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prestnov-my.sharepoint.com/personal/a_bedos_presto_fr/Documents/Poids &amp; Potentiel par pays/Objectif - Marché FRANCE/"/>
    </mc:Choice>
  </mc:AlternateContent>
  <xr:revisionPtr revIDLastSave="439" documentId="8_{A2E3A096-7F0D-42D5-AE6D-333EFD7D12D0}" xr6:coauthVersionLast="47" xr6:coauthVersionMax="47" xr10:uidLastSave="{B7E57AE8-3936-4E08-9485-676A88DDB758}"/>
  <bookViews>
    <workbookView xWindow="-120" yWindow="-120" windowWidth="29040" windowHeight="15720" tabRatio="942" firstSheet="8" activeTab="8" xr2:uid="{00000000-000D-0000-FFFF-FFFF00000000}"/>
  </bookViews>
  <sheets>
    <sheet name="Hypothèses - DuréeVie - ERP&amp;Pdt" sheetId="1" r:id="rId1"/>
    <sheet name="Split Neuf-Réno selon CHAT" sheetId="2" r:id="rId2"/>
    <sheet name="Chat avec Chat" sheetId="3" r:id="rId3"/>
    <sheet name="Re-Challenge Data" sheetId="4" r:id="rId4"/>
    <sheet name="Détail Recherche - Nbre ERP" sheetId="5" r:id="rId5"/>
    <sheet name="ERP -Sans sanitaires collectifs" sheetId="6" r:id="rId6"/>
    <sheet name="Risque de doublons ERP" sheetId="7" r:id="rId7"/>
    <sheet name="Méthode et limites" sheetId="8" r:id="rId8"/>
    <sheet name="ANALYSE - ERP =&gt; SOUS-SEGMENT" sheetId="9" r:id="rId9"/>
    <sheet name="ANALYSE - ERP =&gt; SEGMENT (2)" sheetId="10" r:id="rId10"/>
    <sheet name="ANALYSE - ERP =&gt; CATEGORIE (2)" sheetId="11" r:id="rId11"/>
    <sheet name="Nbre Etab. &amp; Pièces Parc 25-30" sheetId="12" r:id="rId12"/>
    <sheet name="ANALYSE - ERP =&gt; SEGMENT" sheetId="13" r:id="rId13"/>
    <sheet name="ANALYSE - ERP =&gt; CATEGORIE" sheetId="14" r:id="rId14"/>
    <sheet name="Check Volume Marché Robi FRA" sheetId="15" r:id="rId15"/>
    <sheet name="Check Valeur Marché Robi FRA" sheetId="16" r:id="rId16"/>
    <sheet name="Mix Tech Lavabo Parc 25-30" sheetId="17" r:id="rId17"/>
    <sheet name="Méthode dimensionnement" sheetId="18" r:id="rId18"/>
    <sheet name="Méthodo-VOL26-30-Neuf&amp;Réno =&gt;" sheetId="19" r:id="rId19"/>
    <sheet name="VOL Ventes 26-30 Neuf-Réno TOT" sheetId="20" r:id="rId20"/>
    <sheet name="&lt;= MéthodoOpportunitéNeufReno" sheetId="21" r:id="rId21"/>
    <sheet name="VOL Ventes 26-30 Neuf-Réno PDT" sheetId="22" r:id="rId22"/>
    <sheet name="VOL Ventes 26-30 Neuf-Réno LAV" sheetId="23" r:id="rId23"/>
    <sheet name="VOL Ventes 26-30 Neuf-Réno DOU" sheetId="24" r:id="rId24"/>
    <sheet name="VOL Ventes 26-30 Neuf-Réno URI" sheetId="25" r:id="rId25"/>
    <sheet name="VOL Ventes 26-30 Neuf-Réno WC" sheetId="26" r:id="rId26"/>
    <sheet name="Confort% Parc25Ventes26-30 TOT " sheetId="27" r:id="rId27"/>
    <sheet name="Confort-VOLParc25Vente26-30TOT" sheetId="28" r:id="rId28"/>
    <sheet name="Confort% Parc25Ventes26-30 LAV " sheetId="29" r:id="rId29"/>
    <sheet name="Confort-VOLParc25Vente26-30LAV " sheetId="30" r:id="rId30"/>
    <sheet name="Confort% Parc25Ventes26-30 DOU " sheetId="31" r:id="rId31"/>
    <sheet name="Confort-VOLParc25Vente26-30DOU" sheetId="32" r:id="rId32"/>
    <sheet name="Confort% Parc25Ventes26-30 URI " sheetId="33" r:id="rId33"/>
    <sheet name="Confort-VOLParc25Vente26-30URI" sheetId="34" r:id="rId34"/>
    <sheet name="Confort% Parc25Ventes26-30 WC " sheetId="35" r:id="rId35"/>
    <sheet name="Confort-VOLParc25Vente26-30WC" sheetId="36" r:id="rId36"/>
    <sheet name="Nbre Etab. &amp; Pièces SEG 25-30" sheetId="37" r:id="rId37"/>
    <sheet name="Mix Tech Lavabo SEG 25-30" sheetId="38" r:id="rId38"/>
    <sheet name="Méthodo-VOL26-30 NR SEG" sheetId="39" r:id="rId39"/>
    <sheet name="VOL Vtes 26-30 NR TOT SEG" sheetId="40" r:id="rId40"/>
    <sheet name="MéthodoOppNR SEG" sheetId="41" r:id="rId41"/>
    <sheet name="VOL Vtes 26-30 NR PDT SEG" sheetId="42" r:id="rId42"/>
    <sheet name="VOL Vtes 26-30 NR LAV SEG" sheetId="43" r:id="rId43"/>
    <sheet name="VOL Vtes 26-30 NR DOU SEG" sheetId="44" r:id="rId44"/>
    <sheet name="VOL Vtes 26-30 NR URI SEG" sheetId="45" r:id="rId45"/>
    <sheet name="VOL Vtes 26-30 NR WC SEG" sheetId="46" r:id="rId46"/>
    <sheet name="Confort% P25V26-30 TOT SEG" sheetId="47" r:id="rId47"/>
    <sheet name="ConfortVOLP25V26-30TOT SEG" sheetId="48" r:id="rId48"/>
    <sheet name="Confort% P25V26-30 LAV SEG" sheetId="49" r:id="rId49"/>
    <sheet name="ConfortVOLP25V26-30LAV SEG" sheetId="50" r:id="rId50"/>
    <sheet name="Confort% P25V26-30 DOU SEG" sheetId="51" r:id="rId51"/>
    <sheet name="ConfortVOLP25V26-30DOU SEG" sheetId="52" r:id="rId52"/>
    <sheet name="Confort% P25V26-30 URI SEG" sheetId="53" r:id="rId53"/>
    <sheet name="ConfortVOLP25V26-30URI SEG" sheetId="54" r:id="rId54"/>
    <sheet name="Confort% P25V26-30 WC SEG" sheetId="55" r:id="rId55"/>
    <sheet name="ConfortVOLP25V26-30WC SEG" sheetId="56" r:id="rId56"/>
    <sheet name="Nbre Etab. &amp; Pièces CAT 25-30" sheetId="57" r:id="rId57"/>
    <sheet name="Mix Tech Lavabo CAT 25-30" sheetId="58" r:id="rId58"/>
    <sheet name="Méthodo-VOL26-30 NR CAT" sheetId="59" r:id="rId59"/>
    <sheet name="VOL Vtes 26-30 NR TOT CAT" sheetId="60" r:id="rId60"/>
    <sheet name="MéthodoOppNR CAT" sheetId="61" r:id="rId61"/>
    <sheet name="VOL Vtes 26-30 NR PDT CAT" sheetId="62" r:id="rId62"/>
    <sheet name="VOL Vtes 26-30 NR LAV CAT" sheetId="63" r:id="rId63"/>
    <sheet name="VOL Vtes 26-30 NR DOU CAT" sheetId="64" r:id="rId64"/>
    <sheet name="VOL Vtes 26-30 NR URI CAT" sheetId="65" r:id="rId65"/>
    <sheet name="VOL Vtes 26-30 NR WC CAT" sheetId="66" r:id="rId66"/>
    <sheet name="Confort% P25V26-30 TOT CAT" sheetId="67" r:id="rId67"/>
    <sheet name="ConfortVOLP25V26-30TOT CAT" sheetId="68" r:id="rId68"/>
    <sheet name="Confort% P25V26-30 LAV CAT" sheetId="69" r:id="rId69"/>
    <sheet name="ConfortVOLP25V26-30LAV CAT" sheetId="70" r:id="rId70"/>
    <sheet name="Confort% P25V26-30 DOU CAT" sheetId="71" r:id="rId71"/>
    <sheet name="ConfortVOLP25V26-30DOU CAT" sheetId="72" r:id="rId72"/>
    <sheet name="Confort% P25V26-30 URI CAT" sheetId="73" r:id="rId73"/>
    <sheet name="ConfortVOLP25V26-30URI CAT" sheetId="74" r:id="rId74"/>
    <sheet name="Confort% P25V26-30 WC CAT" sheetId="75" r:id="rId75"/>
    <sheet name="ConfortVOLP25V26-30WC CAT" sheetId="76" r:id="rId76"/>
  </sheets>
  <definedNames>
    <definedName name="_xlnm._FilterDatabase" localSheetId="13" hidden="1">'ANALYSE - ERP =&gt; CATEGORIE'!$A$5:$KG$5</definedName>
    <definedName name="_xlnm._FilterDatabase" localSheetId="10" hidden="1">'ANALYSE - ERP =&gt; CATEGORIE (2)'!$A$5:$KJ$20</definedName>
    <definedName name="_xlnm._FilterDatabase" localSheetId="12" hidden="1">'ANALYSE - ERP =&gt; SEGMENT'!$A$5:$KG$5</definedName>
    <definedName name="_xlnm._FilterDatabase" localSheetId="9" hidden="1">'ANALYSE - ERP =&gt; SEGMENT (2)'!$A$5:$KJ$43</definedName>
    <definedName name="_xlnm._FilterDatabase" localSheetId="8" hidden="1">'ANALYSE - ERP =&gt; SOUS-SEGMENT'!$A$5:$KJ$154</definedName>
    <definedName name="_xlnm._FilterDatabase" localSheetId="30" hidden="1">'Confort% Parc25Ventes26-30 DOU '!$A$2:$T$2</definedName>
    <definedName name="_xlnm._FilterDatabase" localSheetId="28" hidden="1">'Confort% Parc25Ventes26-30 LAV '!$A$2:$T$106</definedName>
    <definedName name="_xlnm._FilterDatabase" localSheetId="26" hidden="1">'Confort% Parc25Ventes26-30 TOT '!$A$2:$T$2</definedName>
    <definedName name="_xlnm._FilterDatabase" localSheetId="32" hidden="1">'Confort% Parc25Ventes26-30 URI '!$A$2:$T$2</definedName>
    <definedName name="_xlnm._FilterDatabase" localSheetId="34" hidden="1">'Confort% Parc25Ventes26-30 WC '!$A$2:$T$2</definedName>
    <definedName name="_xlnm._FilterDatabase" localSheetId="31" hidden="1">'Confort-VOLParc25Vente26-30DOU'!$A$2:$T$2</definedName>
    <definedName name="_xlnm._FilterDatabase" localSheetId="29" hidden="1">'Confort-VOLParc25Vente26-30LAV '!$A$2:$T$2</definedName>
    <definedName name="_xlnm._FilterDatabase" localSheetId="27" hidden="1">'Confort-VOLParc25Vente26-30TOT'!$A$2:$T$2</definedName>
    <definedName name="_xlnm._FilterDatabase" localSheetId="33" hidden="1">'Confort-VOLParc25Vente26-30URI'!$A$2:$T$2</definedName>
    <definedName name="_xlnm._FilterDatabase" localSheetId="35" hidden="1">'Confort-VOLParc25Vente26-30WC'!$A$2:$T$2</definedName>
    <definedName name="_xlnm._FilterDatabase" localSheetId="0" hidden="1">'Hypothèses - DuréeVie - ERP&amp;Pdt'!$A$4:$R$4</definedName>
    <definedName name="_xlnm._FilterDatabase" localSheetId="16" hidden="1">'Mix Tech Lavabo Parc 25-30'!$A$2:$S$106</definedName>
    <definedName name="_xlnm._FilterDatabase" localSheetId="11" hidden="1">'Nbre Etab. &amp; Pièces Parc 25-30'!$A$2:$BG$106</definedName>
    <definedName name="_xlnm._FilterDatabase" localSheetId="36" hidden="1">'Nbre Etab. &amp; Pièces SEG 25-30'!$A$2:$BG$2</definedName>
    <definedName name="_xlnm._FilterDatabase" localSheetId="23" hidden="1">'VOL Ventes 26-30 Neuf-Réno DOU'!$A$2:$AC$2</definedName>
    <definedName name="_xlnm._FilterDatabase" localSheetId="22" hidden="1">'VOL Ventes 26-30 Neuf-Réno LAV'!$A$2:$AD$106</definedName>
    <definedName name="_xlnm._FilterDatabase" localSheetId="21" hidden="1">'VOL Ventes 26-30 Neuf-Réno PDT'!$A$2:$AF$2</definedName>
    <definedName name="_xlnm._FilterDatabase" localSheetId="19" hidden="1">'VOL Ventes 26-30 Neuf-Réno TOT'!$A$2:$Q$2</definedName>
    <definedName name="_xlnm._FilterDatabase" localSheetId="24" hidden="1">'VOL Ventes 26-30 Neuf-Réno URI'!$A$2:$AF$2</definedName>
    <definedName name="_xlnm._FilterDatabase" localSheetId="25" hidden="1">'VOL Ventes 26-30 Neuf-Réno WC'!$A$2:$AC$2</definedName>
    <definedName name="_xlnm.Print_Titles" localSheetId="30">'Confort% Parc25Ventes26-30 DOU '!$1:$3</definedName>
    <definedName name="_xlnm.Print_Titles" localSheetId="26">'Confort% Parc25Ventes26-30 TOT '!$1:$3</definedName>
    <definedName name="_xlnm.Print_Titles" localSheetId="32">'Confort% Parc25Ventes26-30 URI '!$1:$3</definedName>
    <definedName name="_xlnm.Print_Titles" localSheetId="34">'Confort% Parc25Ventes26-30 WC '!$1:$3</definedName>
    <definedName name="_xlnm.Print_Titles" localSheetId="29">'Confort-VOLParc25Vente26-30LAV '!$1:$3</definedName>
    <definedName name="_xlnm.Print_Titles" localSheetId="27">'Confort-VOLParc25Vente26-30TOT'!$1:$3</definedName>
    <definedName name="_xlnm.Print_Titles" localSheetId="33">'Confort-VOLParc25Vente26-30URI'!$1:$3</definedName>
    <definedName name="_xlnm.Print_Titles" localSheetId="18">'Méthodo-VOL26-30-Neuf&amp;Réno =&gt;'!$1:$2</definedName>
    <definedName name="_xlnm.Print_Titles" localSheetId="16">'Mix Tech Lavabo Parc 25-30'!$1:$3</definedName>
    <definedName name="_xlnm.Print_Titles" localSheetId="11">'Nbre Etab. &amp; Pièces Parc 25-30'!$1:$3</definedName>
    <definedName name="_xlnm.Print_Titles" localSheetId="23">'VOL Ventes 26-30 Neuf-Réno DOU'!$1:$3</definedName>
    <definedName name="_xlnm.Print_Titles" localSheetId="22">'VOL Ventes 26-30 Neuf-Réno LAV'!$1:$3</definedName>
    <definedName name="_xlnm.Print_Titles" localSheetId="19">'VOL Ventes 26-30 Neuf-Réno TOT'!$2:$3</definedName>
    <definedName name="_xlnm.Print_Titles" localSheetId="24">'VOL Ventes 26-30 Neuf-Réno URI'!$1:$3</definedName>
    <definedName name="_xlnm.Print_Titles" localSheetId="25">'VOL Ventes 26-30 Neuf-Réno WC'!$1:$3</definedName>
    <definedName name="_xlnm.Print_Area" localSheetId="20">'&lt;= MéthodoOpportunitéNeufReno'!$A$1:$H$49</definedName>
    <definedName name="_xlnm.Print_Area" localSheetId="30">'Confort% Parc25Ventes26-30 DOU '!$A$1:$T$106</definedName>
    <definedName name="_xlnm.Print_Area" localSheetId="28">'Confort% Parc25Ventes26-30 LAV '!$A$1:$T$106</definedName>
    <definedName name="_xlnm.Print_Area" localSheetId="26">'Confort% Parc25Ventes26-30 TOT '!$A$1:$T$106</definedName>
    <definedName name="_xlnm.Print_Area" localSheetId="32">'Confort% Parc25Ventes26-30 URI '!$A$1:$T$106</definedName>
    <definedName name="_xlnm.Print_Area" localSheetId="34">'Confort% Parc25Ventes26-30 WC '!$A$1:$T$106</definedName>
    <definedName name="_xlnm.Print_Area" localSheetId="31">'Confort-VOLParc25Vente26-30DOU'!$A$1:$T$106</definedName>
    <definedName name="_xlnm.Print_Area" localSheetId="29">'Confort-VOLParc25Vente26-30LAV '!$A$1:$T$106</definedName>
    <definedName name="_xlnm.Print_Area" localSheetId="27">'Confort-VOLParc25Vente26-30TOT'!$A$1:$T$106</definedName>
    <definedName name="_xlnm.Print_Area" localSheetId="33">'Confort-VOLParc25Vente26-30URI'!$A$1:$T$106</definedName>
    <definedName name="_xlnm.Print_Area" localSheetId="17">'Méthode dimensionnement'!$B$2:$O$60</definedName>
    <definedName name="_xlnm.Print_Area" localSheetId="18">'Méthodo-VOL26-30-Neuf&amp;Réno =&gt;'!$A$1:$H$90</definedName>
    <definedName name="_xlnm.Print_Area" localSheetId="16">'Mix Tech Lavabo Parc 25-30'!$A$1:$T$106</definedName>
    <definedName name="_xlnm.Print_Area" localSheetId="11">'Nbre Etab. &amp; Pièces Parc 25-30'!$A$1:$AC$106</definedName>
    <definedName name="_xlnm.Print_Area" localSheetId="23">'VOL Ventes 26-30 Neuf-Réno DOU'!$A$1:$AC$106</definedName>
    <definedName name="_xlnm.Print_Area" localSheetId="22">'VOL Ventes 26-30 Neuf-Réno LAV'!$A$1:$AF$106</definedName>
    <definedName name="_xlnm.Print_Area" localSheetId="21">'VOL Ventes 26-30 Neuf-Réno PDT'!$A$1:$AF$106</definedName>
    <definedName name="_xlnm.Print_Area" localSheetId="19">'VOL Ventes 26-30 Neuf-Réno TOT'!$A$1:$Q$106</definedName>
    <definedName name="_xlnm.Print_Area" localSheetId="24">'VOL Ventes 26-30 Neuf-Réno URI'!$B$1:$AF$106</definedName>
    <definedName name="_xlnm.Print_Area" localSheetId="25">'VOL Ventes 26-30 Neuf-Réno WC'!$A$1:$AC$106</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76" l="1"/>
  <c r="C13" i="76"/>
  <c r="C12" i="76"/>
  <c r="C11" i="76"/>
  <c r="C10" i="76"/>
  <c r="C9" i="76"/>
  <c r="C8" i="76"/>
  <c r="C7" i="76"/>
  <c r="C6" i="76"/>
  <c r="C5" i="76"/>
  <c r="C4" i="76"/>
  <c r="C14" i="75"/>
  <c r="C13" i="75"/>
  <c r="C12" i="75"/>
  <c r="C11" i="75"/>
  <c r="C10" i="75"/>
  <c r="C9" i="75"/>
  <c r="C8" i="75"/>
  <c r="C7" i="75"/>
  <c r="C6" i="75"/>
  <c r="C5" i="75"/>
  <c r="C4" i="75"/>
  <c r="C14" i="74"/>
  <c r="C13" i="74"/>
  <c r="C12" i="74"/>
  <c r="C11" i="74"/>
  <c r="C10" i="74"/>
  <c r="C9" i="74"/>
  <c r="C8" i="74"/>
  <c r="C7" i="74"/>
  <c r="C6" i="74"/>
  <c r="C5" i="74"/>
  <c r="C4" i="74"/>
  <c r="C14" i="73"/>
  <c r="C13" i="73"/>
  <c r="C12" i="73"/>
  <c r="C11" i="73"/>
  <c r="C10" i="73"/>
  <c r="C9" i="73"/>
  <c r="C8" i="73"/>
  <c r="C7" i="73"/>
  <c r="C6" i="73"/>
  <c r="C5" i="73"/>
  <c r="C4" i="73"/>
  <c r="C14" i="72"/>
  <c r="C13" i="72"/>
  <c r="C12" i="72"/>
  <c r="C11" i="72"/>
  <c r="C10" i="72"/>
  <c r="C9" i="72"/>
  <c r="C8" i="72"/>
  <c r="C7" i="72"/>
  <c r="C6" i="72"/>
  <c r="C5" i="72"/>
  <c r="C4" i="72"/>
  <c r="C14" i="71"/>
  <c r="C13" i="71"/>
  <c r="C12" i="71"/>
  <c r="C11" i="71"/>
  <c r="C10" i="71"/>
  <c r="C9" i="71"/>
  <c r="C8" i="71"/>
  <c r="C7" i="71"/>
  <c r="C6" i="71"/>
  <c r="C5" i="71"/>
  <c r="C4" i="71"/>
  <c r="C14" i="70"/>
  <c r="C13" i="70"/>
  <c r="C12" i="70"/>
  <c r="C11" i="70"/>
  <c r="C10" i="70"/>
  <c r="C9" i="70"/>
  <c r="C8" i="70"/>
  <c r="C7" i="70"/>
  <c r="C6" i="70"/>
  <c r="C5" i="70"/>
  <c r="C4" i="70"/>
  <c r="C14" i="69"/>
  <c r="C13" i="69"/>
  <c r="C12" i="69"/>
  <c r="C11" i="69"/>
  <c r="C10" i="69"/>
  <c r="C9" i="69"/>
  <c r="C8" i="69"/>
  <c r="C7" i="69"/>
  <c r="C6" i="69"/>
  <c r="C5" i="69"/>
  <c r="C4" i="69"/>
  <c r="C14" i="68"/>
  <c r="C13" i="68"/>
  <c r="C12" i="68"/>
  <c r="C11" i="68"/>
  <c r="C10" i="68"/>
  <c r="C9" i="68"/>
  <c r="C8" i="68"/>
  <c r="C7" i="68"/>
  <c r="C6" i="68"/>
  <c r="C5" i="68"/>
  <c r="C4" i="68"/>
  <c r="C14" i="67"/>
  <c r="C13" i="67"/>
  <c r="C12" i="67"/>
  <c r="C11" i="67"/>
  <c r="C10" i="67"/>
  <c r="C9" i="67"/>
  <c r="C8" i="67"/>
  <c r="C7" i="67"/>
  <c r="C6" i="67"/>
  <c r="C5" i="67"/>
  <c r="C4" i="67"/>
  <c r="G14" i="66"/>
  <c r="G13" i="66"/>
  <c r="G12" i="66"/>
  <c r="G11" i="66"/>
  <c r="G10" i="66"/>
  <c r="G9" i="66"/>
  <c r="G8" i="66"/>
  <c r="G7" i="66"/>
  <c r="G6" i="66"/>
  <c r="G5" i="66"/>
  <c r="G4" i="66"/>
  <c r="G14" i="65"/>
  <c r="G13" i="65"/>
  <c r="G12" i="65"/>
  <c r="G11" i="65"/>
  <c r="G10" i="65"/>
  <c r="G9" i="65"/>
  <c r="G8" i="65"/>
  <c r="G7" i="65"/>
  <c r="G6" i="65"/>
  <c r="G5" i="65"/>
  <c r="G4" i="65"/>
  <c r="G14" i="64"/>
  <c r="G13" i="64"/>
  <c r="G12" i="64"/>
  <c r="G11" i="64"/>
  <c r="G10" i="64"/>
  <c r="G9" i="64"/>
  <c r="G8" i="64"/>
  <c r="G7" i="64"/>
  <c r="G6" i="64"/>
  <c r="G5" i="64"/>
  <c r="G4" i="64"/>
  <c r="G14" i="63"/>
  <c r="G13" i="63"/>
  <c r="G12" i="63"/>
  <c r="G11" i="63"/>
  <c r="G10" i="63"/>
  <c r="G9" i="63"/>
  <c r="G8" i="63"/>
  <c r="G7" i="63"/>
  <c r="G6" i="63"/>
  <c r="G5" i="63"/>
  <c r="G4" i="63"/>
  <c r="G14" i="62"/>
  <c r="G13" i="62"/>
  <c r="G12" i="62"/>
  <c r="G11" i="62"/>
  <c r="G10" i="62"/>
  <c r="G9" i="62"/>
  <c r="G8" i="62"/>
  <c r="G7" i="62"/>
  <c r="G6" i="62"/>
  <c r="G5" i="62"/>
  <c r="G4" i="62"/>
  <c r="G14" i="60"/>
  <c r="G13" i="60"/>
  <c r="G12" i="60"/>
  <c r="G11" i="60"/>
  <c r="G10" i="60"/>
  <c r="G9" i="60"/>
  <c r="G8" i="60"/>
  <c r="G7" i="60"/>
  <c r="G6" i="60"/>
  <c r="G5" i="60"/>
  <c r="G4" i="60"/>
  <c r="F14" i="58"/>
  <c r="E14" i="58"/>
  <c r="D14" i="58"/>
  <c r="C14" i="58"/>
  <c r="F13" i="58"/>
  <c r="E13" i="58"/>
  <c r="D13" i="58"/>
  <c r="C13" i="58"/>
  <c r="F12" i="58"/>
  <c r="E12" i="58"/>
  <c r="D12" i="58"/>
  <c r="C12" i="58"/>
  <c r="F11" i="58"/>
  <c r="E11" i="58"/>
  <c r="D11" i="58"/>
  <c r="C11" i="58"/>
  <c r="F10" i="58"/>
  <c r="E10" i="58"/>
  <c r="D10" i="58"/>
  <c r="C10" i="58"/>
  <c r="F9" i="58"/>
  <c r="E9" i="58"/>
  <c r="D9" i="58"/>
  <c r="C9" i="58"/>
  <c r="F8" i="58"/>
  <c r="E8" i="58"/>
  <c r="D8" i="58"/>
  <c r="C8" i="58"/>
  <c r="F7" i="58"/>
  <c r="E7" i="58"/>
  <c r="D7" i="58"/>
  <c r="C7" i="58"/>
  <c r="F6" i="58"/>
  <c r="E6" i="58"/>
  <c r="D6" i="58"/>
  <c r="C6" i="58"/>
  <c r="F5" i="58"/>
  <c r="E5" i="58"/>
  <c r="D5" i="58"/>
  <c r="C5" i="58"/>
  <c r="F4" i="58"/>
  <c r="E4" i="58"/>
  <c r="D4" i="58"/>
  <c r="C4" i="58"/>
  <c r="F14" i="57"/>
  <c r="E14" i="57"/>
  <c r="D14" i="57"/>
  <c r="C14" i="57"/>
  <c r="F13" i="57"/>
  <c r="E13" i="57"/>
  <c r="D13" i="57"/>
  <c r="C13" i="57"/>
  <c r="F12" i="57"/>
  <c r="E12" i="57"/>
  <c r="D12" i="57"/>
  <c r="C12" i="57"/>
  <c r="F11" i="57"/>
  <c r="E11" i="57"/>
  <c r="D11" i="57"/>
  <c r="C11" i="57"/>
  <c r="F10" i="57"/>
  <c r="E10" i="57"/>
  <c r="D10" i="57"/>
  <c r="C10" i="57"/>
  <c r="F9" i="57"/>
  <c r="E9" i="57"/>
  <c r="D9" i="57"/>
  <c r="C9" i="57"/>
  <c r="F8" i="57"/>
  <c r="E8" i="57"/>
  <c r="D8" i="57"/>
  <c r="C8" i="57"/>
  <c r="F7" i="57"/>
  <c r="E7" i="57"/>
  <c r="D7" i="57"/>
  <c r="C7" i="57"/>
  <c r="F6" i="57"/>
  <c r="E6" i="57"/>
  <c r="D6" i="57"/>
  <c r="C6" i="57"/>
  <c r="F5" i="57"/>
  <c r="E5" i="57"/>
  <c r="D5" i="57"/>
  <c r="C5" i="57"/>
  <c r="F4" i="57"/>
  <c r="E4" i="57"/>
  <c r="D4" i="57"/>
  <c r="C4" i="57"/>
  <c r="C34" i="56"/>
  <c r="C33" i="56"/>
  <c r="C32" i="56"/>
  <c r="C31" i="56"/>
  <c r="C30" i="56"/>
  <c r="C29" i="56"/>
  <c r="C28" i="56"/>
  <c r="C27" i="56"/>
  <c r="C26" i="56"/>
  <c r="C25" i="56"/>
  <c r="C24" i="56"/>
  <c r="C23" i="56"/>
  <c r="C22" i="56"/>
  <c r="C21" i="56"/>
  <c r="C20" i="56"/>
  <c r="C19" i="56"/>
  <c r="C18" i="56"/>
  <c r="C17" i="56"/>
  <c r="C16" i="56"/>
  <c r="C15" i="56"/>
  <c r="C14" i="56"/>
  <c r="C13" i="56"/>
  <c r="C12" i="56"/>
  <c r="C11" i="56"/>
  <c r="C10" i="56"/>
  <c r="C9" i="56"/>
  <c r="C8" i="56"/>
  <c r="C7" i="56"/>
  <c r="C6" i="56"/>
  <c r="C5" i="56"/>
  <c r="C4" i="56"/>
  <c r="C34" i="55"/>
  <c r="C33" i="55"/>
  <c r="C32" i="55"/>
  <c r="C31" i="55"/>
  <c r="C30" i="55"/>
  <c r="C29" i="55"/>
  <c r="C28" i="55"/>
  <c r="C27" i="55"/>
  <c r="C26" i="55"/>
  <c r="C25" i="55"/>
  <c r="C24" i="55"/>
  <c r="C23" i="55"/>
  <c r="C22" i="55"/>
  <c r="C21" i="55"/>
  <c r="C20" i="55"/>
  <c r="C19" i="55"/>
  <c r="C18" i="55"/>
  <c r="C17" i="55"/>
  <c r="C16" i="55"/>
  <c r="C15" i="55"/>
  <c r="C14" i="55"/>
  <c r="C13" i="55"/>
  <c r="C12" i="55"/>
  <c r="C11" i="55"/>
  <c r="C10" i="55"/>
  <c r="C9" i="55"/>
  <c r="C8" i="55"/>
  <c r="C7" i="55"/>
  <c r="C6" i="55"/>
  <c r="C5" i="55"/>
  <c r="C4" i="55"/>
  <c r="C34" i="54"/>
  <c r="C33" i="54"/>
  <c r="C32" i="54"/>
  <c r="C31" i="54"/>
  <c r="C30" i="54"/>
  <c r="C29" i="54"/>
  <c r="C28" i="54"/>
  <c r="C27" i="54"/>
  <c r="C26" i="54"/>
  <c r="C25" i="54"/>
  <c r="C24" i="54"/>
  <c r="C23" i="54"/>
  <c r="C22" i="54"/>
  <c r="C21" i="54"/>
  <c r="C20" i="54"/>
  <c r="C19" i="54"/>
  <c r="C18" i="54"/>
  <c r="C17" i="54"/>
  <c r="C16" i="54"/>
  <c r="C15" i="54"/>
  <c r="C14" i="54"/>
  <c r="C13" i="54"/>
  <c r="C12" i="54"/>
  <c r="C11" i="54"/>
  <c r="C10" i="54"/>
  <c r="C9" i="54"/>
  <c r="C8" i="54"/>
  <c r="C7" i="54"/>
  <c r="C6" i="54"/>
  <c r="C5" i="54"/>
  <c r="C4" i="54"/>
  <c r="C34" i="53"/>
  <c r="C33" i="53"/>
  <c r="C32" i="53"/>
  <c r="C31" i="53"/>
  <c r="C30" i="53"/>
  <c r="C29" i="53"/>
  <c r="C28" i="53"/>
  <c r="C27" i="53"/>
  <c r="C26" i="53"/>
  <c r="C25" i="53"/>
  <c r="C24" i="53"/>
  <c r="C23" i="53"/>
  <c r="C22" i="53"/>
  <c r="C21" i="53"/>
  <c r="C20" i="53"/>
  <c r="C19" i="53"/>
  <c r="C18" i="53"/>
  <c r="C17" i="53"/>
  <c r="C16" i="53"/>
  <c r="C15" i="53"/>
  <c r="C14" i="53"/>
  <c r="C13" i="53"/>
  <c r="C12" i="53"/>
  <c r="C11" i="53"/>
  <c r="C10" i="53"/>
  <c r="C9" i="53"/>
  <c r="C8" i="53"/>
  <c r="C7" i="53"/>
  <c r="C6" i="53"/>
  <c r="C5" i="53"/>
  <c r="C4" i="53"/>
  <c r="C34" i="52"/>
  <c r="C33" i="52"/>
  <c r="C32" i="52"/>
  <c r="C31" i="52"/>
  <c r="C30" i="52"/>
  <c r="C29" i="52"/>
  <c r="C28" i="52"/>
  <c r="C27" i="52"/>
  <c r="C26" i="52"/>
  <c r="C25" i="52"/>
  <c r="C24" i="52"/>
  <c r="C23" i="52"/>
  <c r="C22" i="52"/>
  <c r="C21" i="52"/>
  <c r="C20" i="52"/>
  <c r="C19" i="52"/>
  <c r="C18" i="52"/>
  <c r="C17" i="52"/>
  <c r="C16" i="52"/>
  <c r="C15" i="52"/>
  <c r="C14" i="52"/>
  <c r="C13" i="52"/>
  <c r="C12" i="52"/>
  <c r="C11" i="52"/>
  <c r="C10" i="52"/>
  <c r="C9" i="52"/>
  <c r="C8" i="52"/>
  <c r="C7" i="52"/>
  <c r="C6" i="52"/>
  <c r="C5" i="52"/>
  <c r="C4" i="52"/>
  <c r="C34" i="51"/>
  <c r="C33" i="51"/>
  <c r="C32" i="51"/>
  <c r="C31" i="51"/>
  <c r="C30" i="51"/>
  <c r="C29" i="51"/>
  <c r="C28" i="51"/>
  <c r="C27" i="51"/>
  <c r="C26" i="51"/>
  <c r="C25" i="51"/>
  <c r="C24" i="51"/>
  <c r="C23" i="51"/>
  <c r="C22" i="51"/>
  <c r="C21" i="51"/>
  <c r="C20" i="51"/>
  <c r="C19" i="51"/>
  <c r="C18" i="51"/>
  <c r="C17" i="51"/>
  <c r="C16" i="51"/>
  <c r="C15" i="51"/>
  <c r="C14" i="51"/>
  <c r="C13" i="51"/>
  <c r="C12" i="51"/>
  <c r="C11" i="51"/>
  <c r="C10" i="51"/>
  <c r="C9" i="51"/>
  <c r="C8" i="51"/>
  <c r="C7" i="51"/>
  <c r="C6" i="51"/>
  <c r="C5" i="51"/>
  <c r="C4" i="51"/>
  <c r="C34" i="50"/>
  <c r="C33" i="50"/>
  <c r="C32" i="50"/>
  <c r="C31" i="50"/>
  <c r="C30" i="50"/>
  <c r="C29" i="50"/>
  <c r="C28" i="50"/>
  <c r="C27" i="50"/>
  <c r="C26" i="50"/>
  <c r="C25" i="50"/>
  <c r="C24" i="50"/>
  <c r="C23" i="50"/>
  <c r="C22" i="50"/>
  <c r="C21" i="50"/>
  <c r="C20" i="50"/>
  <c r="C19" i="50"/>
  <c r="C18" i="50"/>
  <c r="C17" i="50"/>
  <c r="C16" i="50"/>
  <c r="C15" i="50"/>
  <c r="C14" i="50"/>
  <c r="C13" i="50"/>
  <c r="C12" i="50"/>
  <c r="C11" i="50"/>
  <c r="C10" i="50"/>
  <c r="C9" i="50"/>
  <c r="C8" i="50"/>
  <c r="C7" i="50"/>
  <c r="C6" i="50"/>
  <c r="C5" i="50"/>
  <c r="C4" i="50"/>
  <c r="C34" i="49"/>
  <c r="C33" i="49"/>
  <c r="C32" i="49"/>
  <c r="C31" i="49"/>
  <c r="C30" i="49"/>
  <c r="C29" i="49"/>
  <c r="C28" i="49"/>
  <c r="C27" i="49"/>
  <c r="C26" i="49"/>
  <c r="C25" i="49"/>
  <c r="C24" i="49"/>
  <c r="C23" i="49"/>
  <c r="C22" i="49"/>
  <c r="C21" i="49"/>
  <c r="C20" i="49"/>
  <c r="C19" i="49"/>
  <c r="C18" i="49"/>
  <c r="C17" i="49"/>
  <c r="C16" i="49"/>
  <c r="C15" i="49"/>
  <c r="C14" i="49"/>
  <c r="C13" i="49"/>
  <c r="C12" i="49"/>
  <c r="C11" i="49"/>
  <c r="C10" i="49"/>
  <c r="C9" i="49"/>
  <c r="C8" i="49"/>
  <c r="C7" i="49"/>
  <c r="C6" i="49"/>
  <c r="C5" i="49"/>
  <c r="C4" i="49"/>
  <c r="C34" i="48"/>
  <c r="C33" i="48"/>
  <c r="C32" i="48"/>
  <c r="C31" i="48"/>
  <c r="C30" i="48"/>
  <c r="C29" i="48"/>
  <c r="C28" i="48"/>
  <c r="C27" i="48"/>
  <c r="C26" i="48"/>
  <c r="C25" i="48"/>
  <c r="C24" i="48"/>
  <c r="C23" i="48"/>
  <c r="C22" i="48"/>
  <c r="C21" i="48"/>
  <c r="C20" i="48"/>
  <c r="C19" i="48"/>
  <c r="C18" i="48"/>
  <c r="C17" i="48"/>
  <c r="C16" i="48"/>
  <c r="C15" i="48"/>
  <c r="C14" i="48"/>
  <c r="C13" i="48"/>
  <c r="C12" i="48"/>
  <c r="C11" i="48"/>
  <c r="C10" i="48"/>
  <c r="C9" i="48"/>
  <c r="C8" i="48"/>
  <c r="C7" i="48"/>
  <c r="C6" i="48"/>
  <c r="C5" i="48"/>
  <c r="C4" i="48"/>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C7" i="47"/>
  <c r="C6" i="47"/>
  <c r="C5" i="47"/>
  <c r="C4" i="47"/>
  <c r="G34" i="46"/>
  <c r="G33" i="46"/>
  <c r="G32" i="46"/>
  <c r="G31" i="46"/>
  <c r="G30" i="46"/>
  <c r="G29" i="46"/>
  <c r="G28" i="46"/>
  <c r="G27" i="46"/>
  <c r="G26" i="46"/>
  <c r="G25" i="46"/>
  <c r="G24" i="46"/>
  <c r="G23" i="46"/>
  <c r="G22" i="46"/>
  <c r="G21" i="46"/>
  <c r="G20" i="46"/>
  <c r="G19" i="46"/>
  <c r="G18" i="46"/>
  <c r="G17" i="46"/>
  <c r="G16" i="46"/>
  <c r="G15" i="46"/>
  <c r="G14" i="46"/>
  <c r="G13" i="46"/>
  <c r="G12" i="46"/>
  <c r="G11" i="46"/>
  <c r="G10" i="46"/>
  <c r="G9" i="46"/>
  <c r="G8" i="46"/>
  <c r="G7" i="46"/>
  <c r="G6" i="46"/>
  <c r="G5" i="46"/>
  <c r="G4" i="46"/>
  <c r="G34" i="45"/>
  <c r="G33" i="45"/>
  <c r="G32" i="45"/>
  <c r="G31" i="45"/>
  <c r="G30" i="45"/>
  <c r="G29" i="45"/>
  <c r="G28" i="45"/>
  <c r="G27" i="45"/>
  <c r="G26" i="45"/>
  <c r="G25" i="45"/>
  <c r="G24" i="45"/>
  <c r="G23" i="45"/>
  <c r="G22" i="45"/>
  <c r="G21" i="45"/>
  <c r="G20" i="45"/>
  <c r="G19" i="45"/>
  <c r="G18" i="45"/>
  <c r="G17" i="45"/>
  <c r="G16" i="45"/>
  <c r="G15" i="45"/>
  <c r="G14" i="45"/>
  <c r="G13" i="45"/>
  <c r="G12" i="45"/>
  <c r="G11" i="45"/>
  <c r="G10" i="45"/>
  <c r="G9" i="45"/>
  <c r="G8" i="45"/>
  <c r="G7" i="45"/>
  <c r="G6" i="45"/>
  <c r="G5" i="45"/>
  <c r="G4" i="45"/>
  <c r="G34" i="44"/>
  <c r="G33" i="44"/>
  <c r="G32" i="44"/>
  <c r="G31" i="44"/>
  <c r="G30" i="44"/>
  <c r="G29" i="44"/>
  <c r="G28" i="44"/>
  <c r="G27" i="44"/>
  <c r="G26" i="44"/>
  <c r="G25" i="44"/>
  <c r="G24" i="44"/>
  <c r="G23" i="44"/>
  <c r="G22" i="44"/>
  <c r="G21" i="44"/>
  <c r="G20" i="44"/>
  <c r="G19" i="44"/>
  <c r="G18" i="44"/>
  <c r="G17" i="44"/>
  <c r="G16" i="44"/>
  <c r="G15" i="44"/>
  <c r="G14" i="44"/>
  <c r="G13" i="44"/>
  <c r="G12" i="44"/>
  <c r="G11" i="44"/>
  <c r="G10" i="44"/>
  <c r="G9" i="44"/>
  <c r="G8" i="44"/>
  <c r="G7" i="44"/>
  <c r="G6" i="44"/>
  <c r="G5" i="44"/>
  <c r="G4" i="44"/>
  <c r="G34" i="43"/>
  <c r="G33" i="43"/>
  <c r="G32" i="43"/>
  <c r="G31" i="43"/>
  <c r="G30" i="43"/>
  <c r="G29" i="43"/>
  <c r="G28" i="43"/>
  <c r="G27" i="43"/>
  <c r="G26" i="43"/>
  <c r="G25" i="43"/>
  <c r="G24" i="43"/>
  <c r="G23" i="43"/>
  <c r="G22" i="43"/>
  <c r="G21" i="43"/>
  <c r="G20" i="43"/>
  <c r="G19" i="43"/>
  <c r="G18" i="43"/>
  <c r="G17" i="43"/>
  <c r="G16" i="43"/>
  <c r="G15" i="43"/>
  <c r="G14" i="43"/>
  <c r="G13" i="43"/>
  <c r="G12" i="43"/>
  <c r="G11" i="43"/>
  <c r="G10" i="43"/>
  <c r="G9" i="43"/>
  <c r="G8" i="43"/>
  <c r="G7" i="43"/>
  <c r="G6" i="43"/>
  <c r="G5" i="43"/>
  <c r="G4" i="43"/>
  <c r="G34" i="42"/>
  <c r="G33" i="42"/>
  <c r="G32" i="42"/>
  <c r="G31" i="42"/>
  <c r="G30" i="42"/>
  <c r="G29" i="42"/>
  <c r="G28" i="42"/>
  <c r="G27" i="42"/>
  <c r="G26" i="42"/>
  <c r="G25" i="42"/>
  <c r="G24" i="42"/>
  <c r="G23" i="42"/>
  <c r="G22" i="42"/>
  <c r="G21" i="42"/>
  <c r="G20" i="42"/>
  <c r="G19" i="42"/>
  <c r="G18" i="42"/>
  <c r="G17" i="42"/>
  <c r="G16" i="42"/>
  <c r="G15" i="42"/>
  <c r="G14" i="42"/>
  <c r="G13" i="42"/>
  <c r="G12" i="42"/>
  <c r="G11" i="42"/>
  <c r="G10" i="42"/>
  <c r="G9" i="42"/>
  <c r="G8" i="42"/>
  <c r="G7" i="42"/>
  <c r="G6" i="42"/>
  <c r="G5" i="42"/>
  <c r="G4" i="42"/>
  <c r="G34" i="40"/>
  <c r="G33" i="40"/>
  <c r="G32" i="40"/>
  <c r="G31" i="40"/>
  <c r="G30" i="40"/>
  <c r="G29" i="40"/>
  <c r="G28" i="40"/>
  <c r="G27" i="40"/>
  <c r="G26" i="40"/>
  <c r="G25" i="40"/>
  <c r="G24" i="40"/>
  <c r="G23" i="40"/>
  <c r="G22" i="40"/>
  <c r="G21" i="40"/>
  <c r="G20" i="40"/>
  <c r="G19" i="40"/>
  <c r="G18" i="40"/>
  <c r="G17" i="40"/>
  <c r="G16" i="40"/>
  <c r="G15" i="40"/>
  <c r="G14" i="40"/>
  <c r="G13" i="40"/>
  <c r="G12" i="40"/>
  <c r="G11" i="40"/>
  <c r="G10" i="40"/>
  <c r="G9" i="40"/>
  <c r="G8" i="40"/>
  <c r="G7" i="40"/>
  <c r="G6" i="40"/>
  <c r="G5" i="40"/>
  <c r="G4" i="40"/>
  <c r="F35" i="38"/>
  <c r="E35" i="38"/>
  <c r="D35" i="38"/>
  <c r="C35" i="38"/>
  <c r="F34" i="38"/>
  <c r="E34" i="38"/>
  <c r="D34" i="38"/>
  <c r="C34" i="38"/>
  <c r="F33" i="38"/>
  <c r="E33" i="38"/>
  <c r="D33" i="38"/>
  <c r="C33" i="38"/>
  <c r="F32" i="38"/>
  <c r="E32" i="38"/>
  <c r="D32" i="38"/>
  <c r="C32" i="38"/>
  <c r="F31" i="38"/>
  <c r="E31" i="38"/>
  <c r="D31" i="38"/>
  <c r="C31" i="38"/>
  <c r="F30" i="38"/>
  <c r="E30" i="38"/>
  <c r="D30" i="38"/>
  <c r="C30" i="38"/>
  <c r="F29" i="38"/>
  <c r="E29" i="38"/>
  <c r="D29" i="38"/>
  <c r="C29" i="38"/>
  <c r="F28" i="38"/>
  <c r="E28" i="38"/>
  <c r="D28" i="38"/>
  <c r="C28" i="38"/>
  <c r="F27" i="38"/>
  <c r="E27" i="38"/>
  <c r="D27" i="38"/>
  <c r="C27" i="38"/>
  <c r="F26" i="38"/>
  <c r="E26" i="38"/>
  <c r="D26" i="38"/>
  <c r="C26" i="38"/>
  <c r="F25" i="38"/>
  <c r="E25" i="38"/>
  <c r="D25" i="38"/>
  <c r="C25" i="38"/>
  <c r="F24" i="38"/>
  <c r="E24" i="38"/>
  <c r="D24" i="38"/>
  <c r="C24" i="38"/>
  <c r="F23" i="38"/>
  <c r="E23" i="38"/>
  <c r="D23" i="38"/>
  <c r="C23" i="38"/>
  <c r="F22" i="38"/>
  <c r="E22" i="38"/>
  <c r="D22" i="38"/>
  <c r="C22" i="38"/>
  <c r="F21" i="38"/>
  <c r="E21" i="38"/>
  <c r="D21" i="38"/>
  <c r="C21" i="38"/>
  <c r="F20" i="38"/>
  <c r="E20" i="38"/>
  <c r="D20" i="38"/>
  <c r="C20" i="38"/>
  <c r="F19" i="38"/>
  <c r="E19" i="38"/>
  <c r="D19" i="38"/>
  <c r="C19" i="38"/>
  <c r="F18" i="38"/>
  <c r="E18" i="38"/>
  <c r="D18" i="38"/>
  <c r="C18" i="38"/>
  <c r="F17" i="38"/>
  <c r="E17" i="38"/>
  <c r="D17" i="38"/>
  <c r="C17" i="38"/>
  <c r="F16" i="38"/>
  <c r="E16" i="38"/>
  <c r="D16" i="38"/>
  <c r="C16" i="38"/>
  <c r="F15" i="38"/>
  <c r="E15" i="38"/>
  <c r="D15" i="38"/>
  <c r="C15" i="38"/>
  <c r="F14" i="38"/>
  <c r="E14" i="38"/>
  <c r="D14" i="38"/>
  <c r="C14" i="38"/>
  <c r="F13" i="38"/>
  <c r="E13" i="38"/>
  <c r="D13" i="38"/>
  <c r="C13" i="38"/>
  <c r="F12" i="38"/>
  <c r="E12" i="38"/>
  <c r="D12" i="38"/>
  <c r="C12" i="38"/>
  <c r="F11" i="38"/>
  <c r="E11" i="38"/>
  <c r="D11" i="38"/>
  <c r="C11" i="38"/>
  <c r="F10" i="38"/>
  <c r="E10" i="38"/>
  <c r="D10" i="38"/>
  <c r="C10" i="38"/>
  <c r="F9" i="38"/>
  <c r="E9" i="38"/>
  <c r="D9" i="38"/>
  <c r="C9" i="38"/>
  <c r="F8" i="38"/>
  <c r="E8" i="38"/>
  <c r="D8" i="38"/>
  <c r="C8" i="38"/>
  <c r="F7" i="38"/>
  <c r="E7" i="38"/>
  <c r="D7" i="38"/>
  <c r="C7" i="38"/>
  <c r="F6" i="38"/>
  <c r="E6" i="38"/>
  <c r="D6" i="38"/>
  <c r="C6" i="38"/>
  <c r="F5" i="38"/>
  <c r="E5" i="38"/>
  <c r="D5" i="38"/>
  <c r="C5" i="38"/>
  <c r="F4" i="38"/>
  <c r="E4" i="38"/>
  <c r="D4" i="38"/>
  <c r="C4" i="38"/>
  <c r="F35" i="37"/>
  <c r="E35" i="37"/>
  <c r="D35" i="37"/>
  <c r="C35" i="37"/>
  <c r="F34" i="37"/>
  <c r="E34" i="37"/>
  <c r="D34" i="37"/>
  <c r="C34" i="37"/>
  <c r="F33" i="37"/>
  <c r="E33" i="37"/>
  <c r="D33" i="37"/>
  <c r="C33" i="37"/>
  <c r="F32" i="37"/>
  <c r="E32" i="37"/>
  <c r="D32" i="37"/>
  <c r="C32" i="37"/>
  <c r="F31" i="37"/>
  <c r="E31" i="37"/>
  <c r="D31" i="37"/>
  <c r="C31" i="37"/>
  <c r="F30" i="37"/>
  <c r="E30" i="37"/>
  <c r="D30" i="37"/>
  <c r="C30" i="37"/>
  <c r="F29" i="37"/>
  <c r="E29" i="37"/>
  <c r="D29" i="37"/>
  <c r="C29" i="37"/>
  <c r="F28" i="37"/>
  <c r="E28" i="37"/>
  <c r="D28" i="37"/>
  <c r="C28" i="37"/>
  <c r="F27" i="37"/>
  <c r="E27" i="37"/>
  <c r="D27" i="37"/>
  <c r="C27" i="37"/>
  <c r="F26" i="37"/>
  <c r="E26" i="37"/>
  <c r="D26" i="37"/>
  <c r="C26" i="37"/>
  <c r="F25" i="37"/>
  <c r="E25" i="37"/>
  <c r="D25" i="37"/>
  <c r="C25" i="37"/>
  <c r="F24" i="37"/>
  <c r="E24" i="37"/>
  <c r="D24" i="37"/>
  <c r="C24" i="37"/>
  <c r="F23" i="37"/>
  <c r="E23" i="37"/>
  <c r="D23" i="37"/>
  <c r="C23" i="37"/>
  <c r="F22" i="37"/>
  <c r="E22" i="37"/>
  <c r="D22" i="37"/>
  <c r="C22" i="37"/>
  <c r="F21" i="37"/>
  <c r="E21" i="37"/>
  <c r="D21" i="37"/>
  <c r="C21" i="37"/>
  <c r="F20" i="37"/>
  <c r="E20" i="37"/>
  <c r="D20" i="37"/>
  <c r="C20" i="37"/>
  <c r="F19" i="37"/>
  <c r="E19" i="37"/>
  <c r="D19" i="37"/>
  <c r="C19" i="37"/>
  <c r="F18" i="37"/>
  <c r="E18" i="37"/>
  <c r="D18" i="37"/>
  <c r="C18" i="37"/>
  <c r="F17" i="37"/>
  <c r="E17" i="37"/>
  <c r="D17" i="37"/>
  <c r="C17" i="37"/>
  <c r="F16" i="37"/>
  <c r="E16" i="37"/>
  <c r="D16" i="37"/>
  <c r="C16" i="37"/>
  <c r="F15" i="37"/>
  <c r="E15" i="37"/>
  <c r="D15" i="37"/>
  <c r="C15" i="37"/>
  <c r="F14" i="37"/>
  <c r="E14" i="37"/>
  <c r="D14" i="37"/>
  <c r="C14" i="37"/>
  <c r="F13" i="37"/>
  <c r="E13" i="37"/>
  <c r="D13" i="37"/>
  <c r="C13" i="37"/>
  <c r="F12" i="37"/>
  <c r="E12" i="37"/>
  <c r="D12" i="37"/>
  <c r="C12" i="37"/>
  <c r="F11" i="37"/>
  <c r="E11" i="37"/>
  <c r="D11" i="37"/>
  <c r="C11" i="37"/>
  <c r="F10" i="37"/>
  <c r="E10" i="37"/>
  <c r="D10" i="37"/>
  <c r="C10" i="37"/>
  <c r="F9" i="37"/>
  <c r="E9" i="37"/>
  <c r="D9" i="37"/>
  <c r="C9" i="37"/>
  <c r="F8" i="37"/>
  <c r="E8" i="37"/>
  <c r="D8" i="37"/>
  <c r="C8" i="37"/>
  <c r="F7" i="37"/>
  <c r="E7" i="37"/>
  <c r="D7" i="37"/>
  <c r="C7" i="37"/>
  <c r="F6" i="37"/>
  <c r="E6" i="37"/>
  <c r="D6" i="37"/>
  <c r="C6" i="37"/>
  <c r="F5" i="37"/>
  <c r="E5" i="37"/>
  <c r="D5" i="37"/>
  <c r="C5" i="37"/>
  <c r="F4" i="37"/>
  <c r="E4" i="37"/>
  <c r="D4" i="37"/>
  <c r="C4" i="37"/>
  <c r="T106" i="36"/>
  <c r="F106" i="36"/>
  <c r="E106" i="36"/>
  <c r="D106" i="36"/>
  <c r="T105" i="36"/>
  <c r="F105" i="36"/>
  <c r="E105" i="36"/>
  <c r="D105" i="36"/>
  <c r="T104" i="36"/>
  <c r="F104" i="36"/>
  <c r="E104" i="36"/>
  <c r="D104" i="36"/>
  <c r="T103" i="36"/>
  <c r="F103" i="36"/>
  <c r="E103" i="36"/>
  <c r="D103" i="36"/>
  <c r="T102" i="36"/>
  <c r="F102" i="36"/>
  <c r="E102" i="36"/>
  <c r="D102" i="36"/>
  <c r="T101" i="36"/>
  <c r="F101" i="36"/>
  <c r="E101" i="36"/>
  <c r="D101" i="36"/>
  <c r="T100" i="36"/>
  <c r="F100" i="36"/>
  <c r="E100" i="36"/>
  <c r="D100" i="36"/>
  <c r="T99" i="36"/>
  <c r="F99" i="36"/>
  <c r="E99" i="36"/>
  <c r="D99" i="36"/>
  <c r="T98" i="36"/>
  <c r="F98" i="36"/>
  <c r="E98" i="36"/>
  <c r="D98" i="36"/>
  <c r="T97" i="36"/>
  <c r="F97" i="36"/>
  <c r="E97" i="36"/>
  <c r="D97" i="36"/>
  <c r="T96" i="36"/>
  <c r="F96" i="36"/>
  <c r="E96" i="36"/>
  <c r="D96" i="36"/>
  <c r="T95" i="36"/>
  <c r="F95" i="36"/>
  <c r="E95" i="36"/>
  <c r="D95" i="36"/>
  <c r="T94" i="36"/>
  <c r="F94" i="36"/>
  <c r="E94" i="36"/>
  <c r="D94" i="36"/>
  <c r="T93" i="36"/>
  <c r="F93" i="36"/>
  <c r="E93" i="36"/>
  <c r="D93" i="36"/>
  <c r="T92" i="36"/>
  <c r="F92" i="36"/>
  <c r="E92" i="36"/>
  <c r="D92" i="36"/>
  <c r="T91" i="36"/>
  <c r="F91" i="36"/>
  <c r="E91" i="36"/>
  <c r="D91" i="36"/>
  <c r="T90" i="36"/>
  <c r="F90" i="36"/>
  <c r="E90" i="36"/>
  <c r="D90" i="36"/>
  <c r="T89" i="36"/>
  <c r="F89" i="36"/>
  <c r="E89" i="36"/>
  <c r="D89" i="36"/>
  <c r="T88" i="36"/>
  <c r="R88" i="36"/>
  <c r="Q88" i="36"/>
  <c r="P88" i="36"/>
  <c r="O88" i="36"/>
  <c r="N88" i="36"/>
  <c r="L88" i="36"/>
  <c r="K88" i="36"/>
  <c r="J88" i="36"/>
  <c r="I88" i="36"/>
  <c r="H88" i="36"/>
  <c r="F88" i="36"/>
  <c r="E88" i="36"/>
  <c r="D88" i="36"/>
  <c r="C88" i="36"/>
  <c r="T87" i="36"/>
  <c r="F87" i="36"/>
  <c r="E87" i="36"/>
  <c r="D87" i="36"/>
  <c r="T86" i="36"/>
  <c r="F86" i="36"/>
  <c r="E86" i="36"/>
  <c r="D86" i="36"/>
  <c r="T85" i="36"/>
  <c r="F85" i="36"/>
  <c r="E85" i="36"/>
  <c r="D85" i="36"/>
  <c r="T84" i="36"/>
  <c r="F84" i="36"/>
  <c r="E84" i="36"/>
  <c r="D84" i="36"/>
  <c r="T83" i="36"/>
  <c r="F83" i="36"/>
  <c r="E83" i="36"/>
  <c r="D83" i="36"/>
  <c r="T82" i="36"/>
  <c r="F82" i="36"/>
  <c r="E82" i="36"/>
  <c r="D82" i="36"/>
  <c r="T81" i="36"/>
  <c r="F81" i="36"/>
  <c r="E81" i="36"/>
  <c r="D81" i="36"/>
  <c r="T80" i="36"/>
  <c r="F80" i="36"/>
  <c r="E80" i="36"/>
  <c r="D80" i="36"/>
  <c r="T79" i="36"/>
  <c r="F79" i="36"/>
  <c r="E79" i="36"/>
  <c r="D79" i="36"/>
  <c r="T78" i="36"/>
  <c r="F78" i="36"/>
  <c r="E78" i="36"/>
  <c r="D78" i="36"/>
  <c r="T77" i="36"/>
  <c r="F77" i="36"/>
  <c r="E77" i="36"/>
  <c r="D77" i="36"/>
  <c r="T76" i="36"/>
  <c r="F76" i="36"/>
  <c r="E76" i="36"/>
  <c r="D76" i="36"/>
  <c r="T75" i="36"/>
  <c r="F75" i="36"/>
  <c r="E75" i="36"/>
  <c r="D75" i="36"/>
  <c r="T74" i="36"/>
  <c r="F74" i="36"/>
  <c r="E74" i="36"/>
  <c r="D74" i="36"/>
  <c r="T73" i="36"/>
  <c r="F73" i="36"/>
  <c r="E73" i="36"/>
  <c r="D73" i="36"/>
  <c r="T72" i="36"/>
  <c r="F72" i="36"/>
  <c r="E72" i="36"/>
  <c r="D72" i="36"/>
  <c r="T71" i="36"/>
  <c r="F71" i="36"/>
  <c r="E71" i="36"/>
  <c r="D71" i="36"/>
  <c r="T70" i="36"/>
  <c r="F70" i="36"/>
  <c r="E70" i="36"/>
  <c r="D70" i="36"/>
  <c r="T69" i="36"/>
  <c r="F69" i="36"/>
  <c r="E69" i="36"/>
  <c r="D69" i="36"/>
  <c r="T68" i="36"/>
  <c r="F68" i="36"/>
  <c r="E68" i="36"/>
  <c r="D68" i="36"/>
  <c r="T67" i="36"/>
  <c r="F67" i="36"/>
  <c r="E67" i="36"/>
  <c r="D67" i="36"/>
  <c r="T66" i="36"/>
  <c r="F66" i="36"/>
  <c r="E66" i="36"/>
  <c r="D66" i="36"/>
  <c r="T65" i="36"/>
  <c r="F65" i="36"/>
  <c r="E65" i="36"/>
  <c r="D65" i="36"/>
  <c r="T64" i="36"/>
  <c r="F64" i="36"/>
  <c r="E64" i="36"/>
  <c r="D64" i="36"/>
  <c r="T63" i="36"/>
  <c r="F63" i="36"/>
  <c r="E63" i="36"/>
  <c r="D63" i="36"/>
  <c r="T62" i="36"/>
  <c r="F62" i="36"/>
  <c r="E62" i="36"/>
  <c r="D62" i="36"/>
  <c r="T61" i="36"/>
  <c r="F61" i="36"/>
  <c r="E61" i="36"/>
  <c r="D61" i="36"/>
  <c r="T60" i="36"/>
  <c r="F60" i="36"/>
  <c r="E60" i="36"/>
  <c r="D60" i="36"/>
  <c r="T59" i="36"/>
  <c r="F59" i="36"/>
  <c r="E59" i="36"/>
  <c r="D59" i="36"/>
  <c r="T58" i="36"/>
  <c r="F58" i="36"/>
  <c r="E58" i="36"/>
  <c r="D58" i="36"/>
  <c r="T57" i="36"/>
  <c r="F57" i="36"/>
  <c r="E57" i="36"/>
  <c r="D57" i="36"/>
  <c r="T56" i="36"/>
  <c r="F56" i="36"/>
  <c r="E56" i="36"/>
  <c r="D56" i="36"/>
  <c r="T55" i="36"/>
  <c r="F55" i="36"/>
  <c r="E55" i="36"/>
  <c r="D55" i="36"/>
  <c r="T54" i="36"/>
  <c r="F54" i="36"/>
  <c r="E54" i="36"/>
  <c r="D54" i="36"/>
  <c r="T53" i="36"/>
  <c r="F53" i="36"/>
  <c r="E53" i="36"/>
  <c r="D53" i="36"/>
  <c r="T52" i="36"/>
  <c r="F52" i="36"/>
  <c r="E52" i="36"/>
  <c r="D52" i="36"/>
  <c r="T51" i="36"/>
  <c r="F51" i="36"/>
  <c r="E51" i="36"/>
  <c r="D51" i="36"/>
  <c r="T50" i="36"/>
  <c r="F50" i="36"/>
  <c r="E50" i="36"/>
  <c r="D50" i="36"/>
  <c r="T49" i="36"/>
  <c r="F49" i="36"/>
  <c r="E49" i="36"/>
  <c r="D49" i="36"/>
  <c r="T48" i="36"/>
  <c r="F48" i="36"/>
  <c r="E48" i="36"/>
  <c r="D48" i="36"/>
  <c r="T47" i="36"/>
  <c r="F47" i="36"/>
  <c r="E47" i="36"/>
  <c r="D47" i="36"/>
  <c r="T46" i="36"/>
  <c r="F46" i="36"/>
  <c r="E46" i="36"/>
  <c r="D46" i="36"/>
  <c r="T45" i="36"/>
  <c r="F45" i="36"/>
  <c r="E45" i="36"/>
  <c r="D45" i="36"/>
  <c r="T44" i="36"/>
  <c r="R44" i="36"/>
  <c r="Q44" i="36"/>
  <c r="P44" i="36"/>
  <c r="O44" i="36"/>
  <c r="N44" i="36"/>
  <c r="L44" i="36"/>
  <c r="K44" i="36"/>
  <c r="J44" i="36"/>
  <c r="I44" i="36"/>
  <c r="H44" i="36"/>
  <c r="F44" i="36"/>
  <c r="E44" i="36"/>
  <c r="D44" i="36"/>
  <c r="C44" i="36"/>
  <c r="T43" i="36"/>
  <c r="F43" i="36"/>
  <c r="E43" i="36"/>
  <c r="D43" i="36"/>
  <c r="T42" i="36"/>
  <c r="F42" i="36"/>
  <c r="E42" i="36"/>
  <c r="D42" i="36"/>
  <c r="T41" i="36"/>
  <c r="F41" i="36"/>
  <c r="E41" i="36"/>
  <c r="D41" i="36"/>
  <c r="T40" i="36"/>
  <c r="F40" i="36"/>
  <c r="E40" i="36"/>
  <c r="D40" i="36"/>
  <c r="T39" i="36"/>
  <c r="F39" i="36"/>
  <c r="E39" i="36"/>
  <c r="D39" i="36"/>
  <c r="T38" i="36"/>
  <c r="F38" i="36"/>
  <c r="E38" i="36"/>
  <c r="D38" i="36"/>
  <c r="T37" i="36"/>
  <c r="F37" i="36"/>
  <c r="E37" i="36"/>
  <c r="D37" i="36"/>
  <c r="T36" i="36"/>
  <c r="F36" i="36"/>
  <c r="E36" i="36"/>
  <c r="D36" i="36"/>
  <c r="T35" i="36"/>
  <c r="F35" i="36"/>
  <c r="E35" i="36"/>
  <c r="D35" i="36"/>
  <c r="T34" i="36"/>
  <c r="F34" i="36"/>
  <c r="E34" i="36"/>
  <c r="D34" i="36"/>
  <c r="T33" i="36"/>
  <c r="F33" i="36"/>
  <c r="E33" i="36"/>
  <c r="D33" i="36"/>
  <c r="T32" i="36"/>
  <c r="F32" i="36"/>
  <c r="E32" i="36"/>
  <c r="D32" i="36"/>
  <c r="T31" i="36"/>
  <c r="F31" i="36"/>
  <c r="E31" i="36"/>
  <c r="D31" i="36"/>
  <c r="T30" i="36"/>
  <c r="F30" i="36"/>
  <c r="E30" i="36"/>
  <c r="D30" i="36"/>
  <c r="T29" i="36"/>
  <c r="F29" i="36"/>
  <c r="E29" i="36"/>
  <c r="D29" i="36"/>
  <c r="T28" i="36"/>
  <c r="F28" i="36"/>
  <c r="E28" i="36"/>
  <c r="D28" i="36"/>
  <c r="T27" i="36"/>
  <c r="F27" i="36"/>
  <c r="E27" i="36"/>
  <c r="D27" i="36"/>
  <c r="T26" i="36"/>
  <c r="F26" i="36"/>
  <c r="E26" i="36"/>
  <c r="D26" i="36"/>
  <c r="T25" i="36"/>
  <c r="F25" i="36"/>
  <c r="E25" i="36"/>
  <c r="D25" i="36"/>
  <c r="T24" i="36"/>
  <c r="F24" i="36"/>
  <c r="E24" i="36"/>
  <c r="D24" i="36"/>
  <c r="T23" i="36"/>
  <c r="F23" i="36"/>
  <c r="E23" i="36"/>
  <c r="D23" i="36"/>
  <c r="T22" i="36"/>
  <c r="F22" i="36"/>
  <c r="E22" i="36"/>
  <c r="D22" i="36"/>
  <c r="T21" i="36"/>
  <c r="F21" i="36"/>
  <c r="E21" i="36"/>
  <c r="D21" i="36"/>
  <c r="T20" i="36"/>
  <c r="F20" i="36"/>
  <c r="E20" i="36"/>
  <c r="D20" i="36"/>
  <c r="T19" i="36"/>
  <c r="F19" i="36"/>
  <c r="E19" i="36"/>
  <c r="D19" i="36"/>
  <c r="T18" i="36"/>
  <c r="F18" i="36"/>
  <c r="E18" i="36"/>
  <c r="D18" i="36"/>
  <c r="T17" i="36"/>
  <c r="F17" i="36"/>
  <c r="E17" i="36"/>
  <c r="D17" i="36"/>
  <c r="T16" i="36"/>
  <c r="F16" i="36"/>
  <c r="E16" i="36"/>
  <c r="D16" i="36"/>
  <c r="C16" i="36"/>
  <c r="T15" i="36"/>
  <c r="F15" i="36"/>
  <c r="E15" i="36"/>
  <c r="D15" i="36"/>
  <c r="T14" i="36"/>
  <c r="F14" i="36"/>
  <c r="E14" i="36"/>
  <c r="D14" i="36"/>
  <c r="T13" i="36"/>
  <c r="F13" i="36"/>
  <c r="E13" i="36"/>
  <c r="D13" i="36"/>
  <c r="T12" i="36"/>
  <c r="F12" i="36"/>
  <c r="E12" i="36"/>
  <c r="D12" i="36"/>
  <c r="T11" i="36"/>
  <c r="F11" i="36"/>
  <c r="E11" i="36"/>
  <c r="D11" i="36"/>
  <c r="T10" i="36"/>
  <c r="F10" i="36"/>
  <c r="E10" i="36"/>
  <c r="D10" i="36"/>
  <c r="T9" i="36"/>
  <c r="F9" i="36"/>
  <c r="E9" i="36"/>
  <c r="D9" i="36"/>
  <c r="T8" i="36"/>
  <c r="F8" i="36"/>
  <c r="E8" i="36"/>
  <c r="D8" i="36"/>
  <c r="T7" i="36"/>
  <c r="F7" i="36"/>
  <c r="E7" i="36"/>
  <c r="D7" i="36"/>
  <c r="T6" i="36"/>
  <c r="F6" i="36"/>
  <c r="E6" i="36"/>
  <c r="D6" i="36"/>
  <c r="T5" i="36"/>
  <c r="F5" i="36"/>
  <c r="E5" i="36"/>
  <c r="D5" i="36"/>
  <c r="T4" i="36"/>
  <c r="F4" i="36"/>
  <c r="E4" i="36"/>
  <c r="D4" i="36"/>
  <c r="T3" i="36"/>
  <c r="T106" i="35"/>
  <c r="R106" i="35"/>
  <c r="Q106" i="35"/>
  <c r="P106" i="35"/>
  <c r="O106" i="35"/>
  <c r="N106" i="35"/>
  <c r="L106" i="35"/>
  <c r="K106" i="35"/>
  <c r="J106" i="35"/>
  <c r="I106" i="35"/>
  <c r="H106" i="35"/>
  <c r="F106" i="35"/>
  <c r="E106" i="35"/>
  <c r="D106" i="35"/>
  <c r="T105" i="35"/>
  <c r="R105" i="35"/>
  <c r="Q105" i="35"/>
  <c r="P105" i="35"/>
  <c r="O105" i="35"/>
  <c r="N105" i="35"/>
  <c r="L105" i="35"/>
  <c r="K105" i="35"/>
  <c r="J105" i="35"/>
  <c r="I105" i="35"/>
  <c r="H105" i="35"/>
  <c r="F105" i="35"/>
  <c r="E105" i="35"/>
  <c r="D105" i="35"/>
  <c r="T104" i="35"/>
  <c r="R104" i="35"/>
  <c r="Q104" i="35"/>
  <c r="P104" i="35"/>
  <c r="O104" i="35"/>
  <c r="N104" i="35"/>
  <c r="L104" i="35"/>
  <c r="K104" i="35"/>
  <c r="J104" i="35"/>
  <c r="I104" i="35"/>
  <c r="H104" i="35"/>
  <c r="F104" i="35"/>
  <c r="E104" i="35"/>
  <c r="D104" i="35"/>
  <c r="T103" i="35"/>
  <c r="R103" i="35"/>
  <c r="Q103" i="35"/>
  <c r="P103" i="35"/>
  <c r="O103" i="35"/>
  <c r="N103" i="35"/>
  <c r="L103" i="35"/>
  <c r="K103" i="35"/>
  <c r="J103" i="35"/>
  <c r="I103" i="35"/>
  <c r="H103" i="35"/>
  <c r="F103" i="35"/>
  <c r="E103" i="35"/>
  <c r="D103" i="35"/>
  <c r="T102" i="35"/>
  <c r="R102" i="35"/>
  <c r="Q102" i="35"/>
  <c r="P102" i="35"/>
  <c r="O102" i="35"/>
  <c r="N102" i="35"/>
  <c r="L102" i="35"/>
  <c r="K102" i="35"/>
  <c r="J102" i="35"/>
  <c r="I102" i="35"/>
  <c r="H102" i="35"/>
  <c r="F102" i="35"/>
  <c r="E102" i="35"/>
  <c r="D102" i="35"/>
  <c r="T101" i="35"/>
  <c r="R101" i="35"/>
  <c r="Q101" i="35"/>
  <c r="P101" i="35"/>
  <c r="O101" i="35"/>
  <c r="N101" i="35"/>
  <c r="L101" i="35"/>
  <c r="K101" i="35"/>
  <c r="J101" i="35"/>
  <c r="I101" i="35"/>
  <c r="H101" i="35"/>
  <c r="F101" i="35"/>
  <c r="E101" i="35"/>
  <c r="D101" i="35"/>
  <c r="T100" i="35"/>
  <c r="R100" i="35"/>
  <c r="Q100" i="35"/>
  <c r="P100" i="35"/>
  <c r="O100" i="35"/>
  <c r="N100" i="35"/>
  <c r="L100" i="35"/>
  <c r="K100" i="35"/>
  <c r="J100" i="35"/>
  <c r="I100" i="35"/>
  <c r="H100" i="35"/>
  <c r="F100" i="35"/>
  <c r="E100" i="35"/>
  <c r="D100" i="35"/>
  <c r="T99" i="35"/>
  <c r="R99" i="35"/>
  <c r="Q99" i="35"/>
  <c r="P99" i="35"/>
  <c r="O99" i="35"/>
  <c r="N99" i="35"/>
  <c r="L99" i="35"/>
  <c r="K99" i="35"/>
  <c r="J99" i="35"/>
  <c r="I99" i="35"/>
  <c r="H99" i="35"/>
  <c r="F99" i="35"/>
  <c r="E99" i="35"/>
  <c r="D99" i="35"/>
  <c r="T98" i="35"/>
  <c r="R98" i="35"/>
  <c r="Q98" i="35"/>
  <c r="P98" i="35"/>
  <c r="O98" i="35"/>
  <c r="N98" i="35"/>
  <c r="L98" i="35"/>
  <c r="K98" i="35"/>
  <c r="J98" i="35"/>
  <c r="I98" i="35"/>
  <c r="H98" i="35"/>
  <c r="F98" i="35"/>
  <c r="E98" i="35"/>
  <c r="D98" i="35"/>
  <c r="T97" i="35"/>
  <c r="R97" i="35"/>
  <c r="Q97" i="35"/>
  <c r="P97" i="35"/>
  <c r="O97" i="35"/>
  <c r="N97" i="35"/>
  <c r="L97" i="35"/>
  <c r="K97" i="35"/>
  <c r="J97" i="35"/>
  <c r="I97" i="35"/>
  <c r="H97" i="35"/>
  <c r="F97" i="35"/>
  <c r="E97" i="35"/>
  <c r="D97" i="35"/>
  <c r="T96" i="35"/>
  <c r="R96" i="35"/>
  <c r="Q96" i="35"/>
  <c r="P96" i="35"/>
  <c r="O96" i="35"/>
  <c r="N96" i="35"/>
  <c r="L96" i="35"/>
  <c r="K96" i="35"/>
  <c r="J96" i="35"/>
  <c r="I96" i="35"/>
  <c r="H96" i="35"/>
  <c r="F96" i="35"/>
  <c r="E96" i="35"/>
  <c r="D96" i="35"/>
  <c r="T95" i="35"/>
  <c r="R95" i="35"/>
  <c r="Q95" i="35"/>
  <c r="P95" i="35"/>
  <c r="O95" i="35"/>
  <c r="N95" i="35"/>
  <c r="L95" i="35"/>
  <c r="K95" i="35"/>
  <c r="J95" i="35"/>
  <c r="I95" i="35"/>
  <c r="H95" i="35"/>
  <c r="F95" i="35"/>
  <c r="E95" i="35"/>
  <c r="D95" i="35"/>
  <c r="T94" i="35"/>
  <c r="R94" i="35"/>
  <c r="Q94" i="35"/>
  <c r="P94" i="35"/>
  <c r="O94" i="35"/>
  <c r="N94" i="35"/>
  <c r="L94" i="35"/>
  <c r="K94" i="35"/>
  <c r="J94" i="35"/>
  <c r="I94" i="35"/>
  <c r="H94" i="35"/>
  <c r="F94" i="35"/>
  <c r="E94" i="35"/>
  <c r="D94" i="35"/>
  <c r="T93" i="35"/>
  <c r="R93" i="35"/>
  <c r="Q93" i="35"/>
  <c r="P93" i="35"/>
  <c r="O93" i="35"/>
  <c r="N93" i="35"/>
  <c r="L93" i="35"/>
  <c r="K93" i="35"/>
  <c r="J93" i="35"/>
  <c r="I93" i="35"/>
  <c r="H93" i="35"/>
  <c r="F93" i="35"/>
  <c r="E93" i="35"/>
  <c r="D93" i="35"/>
  <c r="T92" i="35"/>
  <c r="R92" i="35"/>
  <c r="Q92" i="35"/>
  <c r="P92" i="35"/>
  <c r="O92" i="35"/>
  <c r="N92" i="35"/>
  <c r="L92" i="35"/>
  <c r="K92" i="35"/>
  <c r="J92" i="35"/>
  <c r="I92" i="35"/>
  <c r="H92" i="35"/>
  <c r="F92" i="35"/>
  <c r="E92" i="35"/>
  <c r="D92" i="35"/>
  <c r="T91" i="35"/>
  <c r="R91" i="35"/>
  <c r="Q91" i="35"/>
  <c r="P91" i="35"/>
  <c r="O91" i="35"/>
  <c r="N91" i="35"/>
  <c r="L91" i="35"/>
  <c r="K91" i="35"/>
  <c r="J91" i="35"/>
  <c r="I91" i="35"/>
  <c r="H91" i="35"/>
  <c r="F91" i="35"/>
  <c r="E91" i="35"/>
  <c r="D91" i="35"/>
  <c r="T90" i="35"/>
  <c r="R90" i="35"/>
  <c r="Q90" i="35"/>
  <c r="P90" i="35"/>
  <c r="O90" i="35"/>
  <c r="N90" i="35"/>
  <c r="L90" i="35"/>
  <c r="K90" i="35"/>
  <c r="J90" i="35"/>
  <c r="I90" i="35"/>
  <c r="H90" i="35"/>
  <c r="F90" i="35"/>
  <c r="E90" i="35"/>
  <c r="D90" i="35"/>
  <c r="T89" i="35"/>
  <c r="R89" i="35"/>
  <c r="Q89" i="35"/>
  <c r="P89" i="35"/>
  <c r="O89" i="35"/>
  <c r="N89" i="35"/>
  <c r="L89" i="35"/>
  <c r="K89" i="35"/>
  <c r="J89" i="35"/>
  <c r="I89" i="35"/>
  <c r="H89" i="35"/>
  <c r="F89" i="35"/>
  <c r="E89" i="35"/>
  <c r="D89" i="35"/>
  <c r="T88" i="35"/>
  <c r="R88" i="35"/>
  <c r="Q88" i="35"/>
  <c r="P88" i="35"/>
  <c r="O88" i="35"/>
  <c r="N88" i="35"/>
  <c r="L88" i="35"/>
  <c r="K88" i="35"/>
  <c r="J88" i="35"/>
  <c r="I88" i="35"/>
  <c r="H88" i="35"/>
  <c r="F88" i="35"/>
  <c r="E88" i="35"/>
  <c r="D88" i="35"/>
  <c r="C88" i="35"/>
  <c r="T87" i="35"/>
  <c r="R87" i="35"/>
  <c r="Q87" i="35"/>
  <c r="P87" i="35"/>
  <c r="O87" i="35"/>
  <c r="N87" i="35"/>
  <c r="L87" i="35"/>
  <c r="K87" i="35"/>
  <c r="J87" i="35"/>
  <c r="I87" i="35"/>
  <c r="H87" i="35"/>
  <c r="F87" i="35"/>
  <c r="E87" i="35"/>
  <c r="D87" i="35"/>
  <c r="T86" i="35"/>
  <c r="R86" i="35"/>
  <c r="Q86" i="35"/>
  <c r="P86" i="35"/>
  <c r="O86" i="35"/>
  <c r="N86" i="35"/>
  <c r="L86" i="35"/>
  <c r="K86" i="35"/>
  <c r="J86" i="35"/>
  <c r="I86" i="35"/>
  <c r="H86" i="35"/>
  <c r="F86" i="35"/>
  <c r="E86" i="35"/>
  <c r="D86" i="35"/>
  <c r="T85" i="35"/>
  <c r="R85" i="35"/>
  <c r="Q85" i="35"/>
  <c r="P85" i="35"/>
  <c r="O85" i="35"/>
  <c r="N85" i="35"/>
  <c r="L85" i="35"/>
  <c r="K85" i="35"/>
  <c r="J85" i="35"/>
  <c r="I85" i="35"/>
  <c r="H85" i="35"/>
  <c r="F85" i="35"/>
  <c r="E85" i="35"/>
  <c r="D85" i="35"/>
  <c r="T84" i="35"/>
  <c r="R84" i="35"/>
  <c r="Q84" i="35"/>
  <c r="P84" i="35"/>
  <c r="O84" i="35"/>
  <c r="N84" i="35"/>
  <c r="L84" i="35"/>
  <c r="K84" i="35"/>
  <c r="J84" i="35"/>
  <c r="I84" i="35"/>
  <c r="H84" i="35"/>
  <c r="F84" i="35"/>
  <c r="E84" i="35"/>
  <c r="D84" i="35"/>
  <c r="T83" i="35"/>
  <c r="R83" i="35"/>
  <c r="Q83" i="35"/>
  <c r="P83" i="35"/>
  <c r="O83" i="35"/>
  <c r="N83" i="35"/>
  <c r="L83" i="35"/>
  <c r="K83" i="35"/>
  <c r="J83" i="35"/>
  <c r="I83" i="35"/>
  <c r="H83" i="35"/>
  <c r="F83" i="35"/>
  <c r="E83" i="35"/>
  <c r="D83" i="35"/>
  <c r="T82" i="35"/>
  <c r="R82" i="35"/>
  <c r="Q82" i="35"/>
  <c r="P82" i="35"/>
  <c r="O82" i="35"/>
  <c r="N82" i="35"/>
  <c r="L82" i="35"/>
  <c r="K82" i="35"/>
  <c r="J82" i="35"/>
  <c r="I82" i="35"/>
  <c r="H82" i="35"/>
  <c r="F82" i="35"/>
  <c r="E82" i="35"/>
  <c r="D82" i="35"/>
  <c r="T81" i="35"/>
  <c r="R81" i="35"/>
  <c r="Q81" i="35"/>
  <c r="P81" i="35"/>
  <c r="O81" i="35"/>
  <c r="N81" i="35"/>
  <c r="L81" i="35"/>
  <c r="K81" i="35"/>
  <c r="J81" i="35"/>
  <c r="I81" i="35"/>
  <c r="H81" i="35"/>
  <c r="F81" i="35"/>
  <c r="E81" i="35"/>
  <c r="D81" i="35"/>
  <c r="T80" i="35"/>
  <c r="R80" i="35"/>
  <c r="Q80" i="35"/>
  <c r="P80" i="35"/>
  <c r="O80" i="35"/>
  <c r="N80" i="35"/>
  <c r="L80" i="35"/>
  <c r="K80" i="35"/>
  <c r="J80" i="35"/>
  <c r="I80" i="35"/>
  <c r="H80" i="35"/>
  <c r="F80" i="35"/>
  <c r="E80" i="35"/>
  <c r="D80" i="35"/>
  <c r="T79" i="35"/>
  <c r="R79" i="35"/>
  <c r="Q79" i="35"/>
  <c r="P79" i="35"/>
  <c r="O79" i="35"/>
  <c r="N79" i="35"/>
  <c r="L79" i="35"/>
  <c r="K79" i="35"/>
  <c r="J79" i="35"/>
  <c r="I79" i="35"/>
  <c r="H79" i="35"/>
  <c r="F79" i="35"/>
  <c r="E79" i="35"/>
  <c r="D79" i="35"/>
  <c r="T78" i="35"/>
  <c r="R78" i="35"/>
  <c r="Q78" i="35"/>
  <c r="P78" i="35"/>
  <c r="O78" i="35"/>
  <c r="N78" i="35"/>
  <c r="L78" i="35"/>
  <c r="K78" i="35"/>
  <c r="J78" i="35"/>
  <c r="I78" i="35"/>
  <c r="H78" i="35"/>
  <c r="F78" i="35"/>
  <c r="E78" i="35"/>
  <c r="D78" i="35"/>
  <c r="T77" i="35"/>
  <c r="R77" i="35"/>
  <c r="Q77" i="35"/>
  <c r="P77" i="35"/>
  <c r="O77" i="35"/>
  <c r="N77" i="35"/>
  <c r="L77" i="35"/>
  <c r="K77" i="35"/>
  <c r="J77" i="35"/>
  <c r="I77" i="35"/>
  <c r="H77" i="35"/>
  <c r="F77" i="35"/>
  <c r="E77" i="35"/>
  <c r="D77" i="35"/>
  <c r="T76" i="35"/>
  <c r="R76" i="35"/>
  <c r="Q76" i="35"/>
  <c r="P76" i="35"/>
  <c r="O76" i="35"/>
  <c r="N76" i="35"/>
  <c r="L76" i="35"/>
  <c r="K76" i="35"/>
  <c r="J76" i="35"/>
  <c r="I76" i="35"/>
  <c r="H76" i="35"/>
  <c r="F76" i="35"/>
  <c r="E76" i="35"/>
  <c r="D76" i="35"/>
  <c r="T75" i="35"/>
  <c r="R75" i="35"/>
  <c r="Q75" i="35"/>
  <c r="P75" i="35"/>
  <c r="O75" i="35"/>
  <c r="N75" i="35"/>
  <c r="L75" i="35"/>
  <c r="K75" i="35"/>
  <c r="J75" i="35"/>
  <c r="I75" i="35"/>
  <c r="H75" i="35"/>
  <c r="F75" i="35"/>
  <c r="E75" i="35"/>
  <c r="D75" i="35"/>
  <c r="T74" i="35"/>
  <c r="R74" i="35"/>
  <c r="Q74" i="35"/>
  <c r="P74" i="35"/>
  <c r="O74" i="35"/>
  <c r="N74" i="35"/>
  <c r="L74" i="35"/>
  <c r="K74" i="35"/>
  <c r="J74" i="35"/>
  <c r="I74" i="35"/>
  <c r="H74" i="35"/>
  <c r="F74" i="35"/>
  <c r="E74" i="35"/>
  <c r="D74" i="35"/>
  <c r="T73" i="35"/>
  <c r="R73" i="35"/>
  <c r="Q73" i="35"/>
  <c r="P73" i="35"/>
  <c r="O73" i="35"/>
  <c r="N73" i="35"/>
  <c r="L73" i="35"/>
  <c r="K73" i="35"/>
  <c r="J73" i="35"/>
  <c r="I73" i="35"/>
  <c r="H73" i="35"/>
  <c r="F73" i="35"/>
  <c r="E73" i="35"/>
  <c r="D73" i="35"/>
  <c r="T72" i="35"/>
  <c r="R72" i="35"/>
  <c r="Q72" i="35"/>
  <c r="P72" i="35"/>
  <c r="O72" i="35"/>
  <c r="N72" i="35"/>
  <c r="L72" i="35"/>
  <c r="K72" i="35"/>
  <c r="J72" i="35"/>
  <c r="I72" i="35"/>
  <c r="H72" i="35"/>
  <c r="F72" i="35"/>
  <c r="E72" i="35"/>
  <c r="D72" i="35"/>
  <c r="T71" i="35"/>
  <c r="R71" i="35"/>
  <c r="Q71" i="35"/>
  <c r="P71" i="35"/>
  <c r="O71" i="35"/>
  <c r="N71" i="35"/>
  <c r="L71" i="35"/>
  <c r="K71" i="35"/>
  <c r="J71" i="35"/>
  <c r="I71" i="35"/>
  <c r="H71" i="35"/>
  <c r="F71" i="35"/>
  <c r="E71" i="35"/>
  <c r="D71" i="35"/>
  <c r="T70" i="35"/>
  <c r="R70" i="35"/>
  <c r="Q70" i="35"/>
  <c r="P70" i="35"/>
  <c r="O70" i="35"/>
  <c r="N70" i="35"/>
  <c r="L70" i="35"/>
  <c r="K70" i="35"/>
  <c r="J70" i="35"/>
  <c r="I70" i="35"/>
  <c r="H70" i="35"/>
  <c r="F70" i="35"/>
  <c r="E70" i="35"/>
  <c r="D70" i="35"/>
  <c r="T69" i="35"/>
  <c r="R69" i="35"/>
  <c r="Q69" i="35"/>
  <c r="P69" i="35"/>
  <c r="O69" i="35"/>
  <c r="N69" i="35"/>
  <c r="L69" i="35"/>
  <c r="K69" i="35"/>
  <c r="J69" i="35"/>
  <c r="I69" i="35"/>
  <c r="H69" i="35"/>
  <c r="F69" i="35"/>
  <c r="E69" i="35"/>
  <c r="D69" i="35"/>
  <c r="T68" i="35"/>
  <c r="R68" i="35"/>
  <c r="Q68" i="35"/>
  <c r="P68" i="35"/>
  <c r="O68" i="35"/>
  <c r="N68" i="35"/>
  <c r="L68" i="35"/>
  <c r="K68" i="35"/>
  <c r="J68" i="35"/>
  <c r="I68" i="35"/>
  <c r="H68" i="35"/>
  <c r="F68" i="35"/>
  <c r="E68" i="35"/>
  <c r="D68" i="35"/>
  <c r="T67" i="35"/>
  <c r="R67" i="35"/>
  <c r="Q67" i="35"/>
  <c r="P67" i="35"/>
  <c r="O67" i="35"/>
  <c r="N67" i="35"/>
  <c r="L67" i="35"/>
  <c r="K67" i="35"/>
  <c r="J67" i="35"/>
  <c r="I67" i="35"/>
  <c r="H67" i="35"/>
  <c r="F67" i="35"/>
  <c r="E67" i="35"/>
  <c r="D67" i="35"/>
  <c r="T66" i="35"/>
  <c r="R66" i="35"/>
  <c r="Q66" i="35"/>
  <c r="P66" i="35"/>
  <c r="O66" i="35"/>
  <c r="N66" i="35"/>
  <c r="L66" i="35"/>
  <c r="K66" i="35"/>
  <c r="J66" i="35"/>
  <c r="I66" i="35"/>
  <c r="H66" i="35"/>
  <c r="F66" i="35"/>
  <c r="E66" i="35"/>
  <c r="D66" i="35"/>
  <c r="T65" i="35"/>
  <c r="R65" i="35"/>
  <c r="Q65" i="35"/>
  <c r="P65" i="35"/>
  <c r="O65" i="35"/>
  <c r="N65" i="35"/>
  <c r="L65" i="35"/>
  <c r="K65" i="35"/>
  <c r="J65" i="35"/>
  <c r="I65" i="35"/>
  <c r="H65" i="35"/>
  <c r="F65" i="35"/>
  <c r="E65" i="35"/>
  <c r="D65" i="35"/>
  <c r="T64" i="35"/>
  <c r="R64" i="35"/>
  <c r="Q64" i="35"/>
  <c r="P64" i="35"/>
  <c r="O64" i="35"/>
  <c r="N64" i="35"/>
  <c r="L64" i="35"/>
  <c r="K64" i="35"/>
  <c r="J64" i="35"/>
  <c r="I64" i="35"/>
  <c r="H64" i="35"/>
  <c r="F64" i="35"/>
  <c r="E64" i="35"/>
  <c r="D64" i="35"/>
  <c r="T63" i="35"/>
  <c r="R63" i="35"/>
  <c r="Q63" i="35"/>
  <c r="P63" i="35"/>
  <c r="O63" i="35"/>
  <c r="N63" i="35"/>
  <c r="L63" i="35"/>
  <c r="K63" i="35"/>
  <c r="J63" i="35"/>
  <c r="I63" i="35"/>
  <c r="H63" i="35"/>
  <c r="F63" i="35"/>
  <c r="E63" i="35"/>
  <c r="D63" i="35"/>
  <c r="T62" i="35"/>
  <c r="R62" i="35"/>
  <c r="Q62" i="35"/>
  <c r="P62" i="35"/>
  <c r="O62" i="35"/>
  <c r="N62" i="35"/>
  <c r="L62" i="35"/>
  <c r="K62" i="35"/>
  <c r="J62" i="35"/>
  <c r="I62" i="35"/>
  <c r="H62" i="35"/>
  <c r="F62" i="35"/>
  <c r="E62" i="35"/>
  <c r="D62" i="35"/>
  <c r="T61" i="35"/>
  <c r="R61" i="35"/>
  <c r="Q61" i="35"/>
  <c r="P61" i="35"/>
  <c r="O61" i="35"/>
  <c r="N61" i="35"/>
  <c r="L61" i="35"/>
  <c r="K61" i="35"/>
  <c r="J61" i="35"/>
  <c r="I61" i="35"/>
  <c r="H61" i="35"/>
  <c r="F61" i="35"/>
  <c r="E61" i="35"/>
  <c r="D61" i="35"/>
  <c r="T60" i="35"/>
  <c r="R60" i="35"/>
  <c r="Q60" i="35"/>
  <c r="P60" i="35"/>
  <c r="O60" i="35"/>
  <c r="N60" i="35"/>
  <c r="L60" i="35"/>
  <c r="K60" i="35"/>
  <c r="J60" i="35"/>
  <c r="I60" i="35"/>
  <c r="H60" i="35"/>
  <c r="F60" i="35"/>
  <c r="E60" i="35"/>
  <c r="D60" i="35"/>
  <c r="T59" i="35"/>
  <c r="R59" i="35"/>
  <c r="Q59" i="35"/>
  <c r="P59" i="35"/>
  <c r="O59" i="35"/>
  <c r="N59" i="35"/>
  <c r="L59" i="35"/>
  <c r="K59" i="35"/>
  <c r="J59" i="35"/>
  <c r="I59" i="35"/>
  <c r="H59" i="35"/>
  <c r="F59" i="35"/>
  <c r="E59" i="35"/>
  <c r="D59" i="35"/>
  <c r="T58" i="35"/>
  <c r="R58" i="35"/>
  <c r="Q58" i="35"/>
  <c r="P58" i="35"/>
  <c r="O58" i="35"/>
  <c r="N58" i="35"/>
  <c r="L58" i="35"/>
  <c r="K58" i="35"/>
  <c r="J58" i="35"/>
  <c r="I58" i="35"/>
  <c r="H58" i="35"/>
  <c r="F58" i="35"/>
  <c r="E58" i="35"/>
  <c r="D58" i="35"/>
  <c r="T57" i="35"/>
  <c r="R57" i="35"/>
  <c r="Q57" i="35"/>
  <c r="P57" i="35"/>
  <c r="O57" i="35"/>
  <c r="N57" i="35"/>
  <c r="L57" i="35"/>
  <c r="K57" i="35"/>
  <c r="J57" i="35"/>
  <c r="I57" i="35"/>
  <c r="H57" i="35"/>
  <c r="F57" i="35"/>
  <c r="E57" i="35"/>
  <c r="D57" i="35"/>
  <c r="T56" i="35"/>
  <c r="R56" i="35"/>
  <c r="Q56" i="35"/>
  <c r="P56" i="35"/>
  <c r="O56" i="35"/>
  <c r="N56" i="35"/>
  <c r="L56" i="35"/>
  <c r="K56" i="35"/>
  <c r="J56" i="35"/>
  <c r="I56" i="35"/>
  <c r="H56" i="35"/>
  <c r="F56" i="35"/>
  <c r="E56" i="35"/>
  <c r="D56" i="35"/>
  <c r="T55" i="35"/>
  <c r="R55" i="35"/>
  <c r="Q55" i="35"/>
  <c r="P55" i="35"/>
  <c r="O55" i="35"/>
  <c r="N55" i="35"/>
  <c r="L55" i="35"/>
  <c r="K55" i="35"/>
  <c r="J55" i="35"/>
  <c r="I55" i="35"/>
  <c r="H55" i="35"/>
  <c r="F55" i="35"/>
  <c r="E55" i="35"/>
  <c r="D55" i="35"/>
  <c r="T54" i="35"/>
  <c r="R54" i="35"/>
  <c r="Q54" i="35"/>
  <c r="P54" i="35"/>
  <c r="O54" i="35"/>
  <c r="N54" i="35"/>
  <c r="L54" i="35"/>
  <c r="K54" i="35"/>
  <c r="J54" i="35"/>
  <c r="I54" i="35"/>
  <c r="H54" i="35"/>
  <c r="F54" i="35"/>
  <c r="E54" i="35"/>
  <c r="D54" i="35"/>
  <c r="T53" i="35"/>
  <c r="R53" i="35"/>
  <c r="Q53" i="35"/>
  <c r="P53" i="35"/>
  <c r="O53" i="35"/>
  <c r="N53" i="35"/>
  <c r="L53" i="35"/>
  <c r="K53" i="35"/>
  <c r="J53" i="35"/>
  <c r="I53" i="35"/>
  <c r="H53" i="35"/>
  <c r="F53" i="35"/>
  <c r="E53" i="35"/>
  <c r="D53" i="35"/>
  <c r="T52" i="35"/>
  <c r="R52" i="35"/>
  <c r="Q52" i="35"/>
  <c r="P52" i="35"/>
  <c r="O52" i="35"/>
  <c r="N52" i="35"/>
  <c r="L52" i="35"/>
  <c r="K52" i="35"/>
  <c r="J52" i="35"/>
  <c r="I52" i="35"/>
  <c r="H52" i="35"/>
  <c r="F52" i="35"/>
  <c r="E52" i="35"/>
  <c r="D52" i="35"/>
  <c r="T51" i="35"/>
  <c r="R51" i="35"/>
  <c r="Q51" i="35"/>
  <c r="P51" i="35"/>
  <c r="O51" i="35"/>
  <c r="N51" i="35"/>
  <c r="L51" i="35"/>
  <c r="K51" i="35"/>
  <c r="J51" i="35"/>
  <c r="I51" i="35"/>
  <c r="H51" i="35"/>
  <c r="F51" i="35"/>
  <c r="E51" i="35"/>
  <c r="D51" i="35"/>
  <c r="T50" i="35"/>
  <c r="R50" i="35"/>
  <c r="Q50" i="35"/>
  <c r="P50" i="35"/>
  <c r="O50" i="35"/>
  <c r="N50" i="35"/>
  <c r="L50" i="35"/>
  <c r="K50" i="35"/>
  <c r="J50" i="35"/>
  <c r="I50" i="35"/>
  <c r="H50" i="35"/>
  <c r="F50" i="35"/>
  <c r="E50" i="35"/>
  <c r="D50" i="35"/>
  <c r="T49" i="35"/>
  <c r="R49" i="35"/>
  <c r="Q49" i="35"/>
  <c r="P49" i="35"/>
  <c r="O49" i="35"/>
  <c r="N49" i="35"/>
  <c r="L49" i="35"/>
  <c r="K49" i="35"/>
  <c r="J49" i="35"/>
  <c r="I49" i="35"/>
  <c r="H49" i="35"/>
  <c r="F49" i="35"/>
  <c r="E49" i="35"/>
  <c r="D49" i="35"/>
  <c r="T48" i="35"/>
  <c r="R48" i="35"/>
  <c r="Q48" i="35"/>
  <c r="P48" i="35"/>
  <c r="O48" i="35"/>
  <c r="N48" i="35"/>
  <c r="L48" i="35"/>
  <c r="K48" i="35"/>
  <c r="J48" i="35"/>
  <c r="I48" i="35"/>
  <c r="H48" i="35"/>
  <c r="F48" i="35"/>
  <c r="E48" i="35"/>
  <c r="D48" i="35"/>
  <c r="T47" i="35"/>
  <c r="R47" i="35"/>
  <c r="Q47" i="35"/>
  <c r="P47" i="35"/>
  <c r="O47" i="35"/>
  <c r="N47" i="35"/>
  <c r="L47" i="35"/>
  <c r="K47" i="35"/>
  <c r="J47" i="35"/>
  <c r="I47" i="35"/>
  <c r="H47" i="35"/>
  <c r="F47" i="35"/>
  <c r="E47" i="35"/>
  <c r="D47" i="35"/>
  <c r="T46" i="35"/>
  <c r="R46" i="35"/>
  <c r="Q46" i="35"/>
  <c r="P46" i="35"/>
  <c r="O46" i="35"/>
  <c r="N46" i="35"/>
  <c r="L46" i="35"/>
  <c r="K46" i="35"/>
  <c r="J46" i="35"/>
  <c r="I46" i="35"/>
  <c r="H46" i="35"/>
  <c r="F46" i="35"/>
  <c r="E46" i="35"/>
  <c r="D46" i="35"/>
  <c r="T45" i="35"/>
  <c r="R45" i="35"/>
  <c r="Q45" i="35"/>
  <c r="P45" i="35"/>
  <c r="O45" i="35"/>
  <c r="N45" i="35"/>
  <c r="L45" i="35"/>
  <c r="K45" i="35"/>
  <c r="J45" i="35"/>
  <c r="I45" i="35"/>
  <c r="H45" i="35"/>
  <c r="F45" i="35"/>
  <c r="E45" i="35"/>
  <c r="D45" i="35"/>
  <c r="T44" i="35"/>
  <c r="R44" i="35"/>
  <c r="Q44" i="35"/>
  <c r="P44" i="35"/>
  <c r="O44" i="35"/>
  <c r="N44" i="35"/>
  <c r="L44" i="35"/>
  <c r="K44" i="35"/>
  <c r="J44" i="35"/>
  <c r="I44" i="35"/>
  <c r="H44" i="35"/>
  <c r="F44" i="35"/>
  <c r="E44" i="35"/>
  <c r="D44" i="35"/>
  <c r="C44" i="35"/>
  <c r="T43" i="35"/>
  <c r="R43" i="35"/>
  <c r="Q43" i="35"/>
  <c r="P43" i="35"/>
  <c r="O43" i="35"/>
  <c r="N43" i="35"/>
  <c r="L43" i="35"/>
  <c r="K43" i="35"/>
  <c r="J43" i="35"/>
  <c r="I43" i="35"/>
  <c r="H43" i="35"/>
  <c r="F43" i="35"/>
  <c r="E43" i="35"/>
  <c r="D43" i="35"/>
  <c r="T42" i="35"/>
  <c r="R42" i="35"/>
  <c r="Q42" i="35"/>
  <c r="P42" i="35"/>
  <c r="O42" i="35"/>
  <c r="N42" i="35"/>
  <c r="L42" i="35"/>
  <c r="K42" i="35"/>
  <c r="J42" i="35"/>
  <c r="I42" i="35"/>
  <c r="H42" i="35"/>
  <c r="F42" i="35"/>
  <c r="E42" i="35"/>
  <c r="D42" i="35"/>
  <c r="T41" i="35"/>
  <c r="R41" i="35"/>
  <c r="Q41" i="35"/>
  <c r="P41" i="35"/>
  <c r="O41" i="35"/>
  <c r="N41" i="35"/>
  <c r="L41" i="35"/>
  <c r="K41" i="35"/>
  <c r="J41" i="35"/>
  <c r="I41" i="35"/>
  <c r="H41" i="35"/>
  <c r="F41" i="35"/>
  <c r="E41" i="35"/>
  <c r="D41" i="35"/>
  <c r="T40" i="35"/>
  <c r="R40" i="35"/>
  <c r="Q40" i="35"/>
  <c r="P40" i="35"/>
  <c r="O40" i="35"/>
  <c r="N40" i="35"/>
  <c r="L40" i="35"/>
  <c r="K40" i="35"/>
  <c r="J40" i="35"/>
  <c r="I40" i="35"/>
  <c r="H40" i="35"/>
  <c r="F40" i="35"/>
  <c r="E40" i="35"/>
  <c r="D40" i="35"/>
  <c r="T39" i="35"/>
  <c r="R39" i="35"/>
  <c r="Q39" i="35"/>
  <c r="P39" i="35"/>
  <c r="O39" i="35"/>
  <c r="N39" i="35"/>
  <c r="L39" i="35"/>
  <c r="K39" i="35"/>
  <c r="J39" i="35"/>
  <c r="I39" i="35"/>
  <c r="H39" i="35"/>
  <c r="F39" i="35"/>
  <c r="E39" i="35"/>
  <c r="D39" i="35"/>
  <c r="T38" i="35"/>
  <c r="R38" i="35"/>
  <c r="Q38" i="35"/>
  <c r="P38" i="35"/>
  <c r="O38" i="35"/>
  <c r="N38" i="35"/>
  <c r="L38" i="35"/>
  <c r="K38" i="35"/>
  <c r="J38" i="35"/>
  <c r="I38" i="35"/>
  <c r="H38" i="35"/>
  <c r="F38" i="35"/>
  <c r="E38" i="35"/>
  <c r="D38" i="35"/>
  <c r="T37" i="35"/>
  <c r="R37" i="35"/>
  <c r="Q37" i="35"/>
  <c r="P37" i="35"/>
  <c r="O37" i="35"/>
  <c r="N37" i="35"/>
  <c r="L37" i="35"/>
  <c r="K37" i="35"/>
  <c r="J37" i="35"/>
  <c r="I37" i="35"/>
  <c r="H37" i="35"/>
  <c r="F37" i="35"/>
  <c r="E37" i="35"/>
  <c r="D37" i="35"/>
  <c r="T36" i="35"/>
  <c r="R36" i="35"/>
  <c r="Q36" i="35"/>
  <c r="P36" i="35"/>
  <c r="O36" i="35"/>
  <c r="N36" i="35"/>
  <c r="L36" i="35"/>
  <c r="K36" i="35"/>
  <c r="J36" i="35"/>
  <c r="I36" i="35"/>
  <c r="H36" i="35"/>
  <c r="F36" i="35"/>
  <c r="E36" i="35"/>
  <c r="D36" i="35"/>
  <c r="T35" i="35"/>
  <c r="R35" i="35"/>
  <c r="Q35" i="35"/>
  <c r="P35" i="35"/>
  <c r="O35" i="35"/>
  <c r="N35" i="35"/>
  <c r="L35" i="35"/>
  <c r="K35" i="35"/>
  <c r="J35" i="35"/>
  <c r="I35" i="35"/>
  <c r="H35" i="35"/>
  <c r="F35" i="35"/>
  <c r="E35" i="35"/>
  <c r="D35" i="35"/>
  <c r="T34" i="35"/>
  <c r="R34" i="35"/>
  <c r="Q34" i="35"/>
  <c r="P34" i="35"/>
  <c r="O34" i="35"/>
  <c r="N34" i="35"/>
  <c r="L34" i="35"/>
  <c r="K34" i="35"/>
  <c r="J34" i="35"/>
  <c r="I34" i="35"/>
  <c r="H34" i="35"/>
  <c r="F34" i="35"/>
  <c r="E34" i="35"/>
  <c r="D34" i="35"/>
  <c r="T33" i="35"/>
  <c r="R33" i="35"/>
  <c r="Q33" i="35"/>
  <c r="P33" i="35"/>
  <c r="O33" i="35"/>
  <c r="N33" i="35"/>
  <c r="L33" i="35"/>
  <c r="K33" i="35"/>
  <c r="J33" i="35"/>
  <c r="I33" i="35"/>
  <c r="H33" i="35"/>
  <c r="F33" i="35"/>
  <c r="E33" i="35"/>
  <c r="D33" i="35"/>
  <c r="T32" i="35"/>
  <c r="R32" i="35"/>
  <c r="Q32" i="35"/>
  <c r="P32" i="35"/>
  <c r="O32" i="35"/>
  <c r="N32" i="35"/>
  <c r="L32" i="35"/>
  <c r="K32" i="35"/>
  <c r="J32" i="35"/>
  <c r="I32" i="35"/>
  <c r="H32" i="35"/>
  <c r="F32" i="35"/>
  <c r="E32" i="35"/>
  <c r="D32" i="35"/>
  <c r="T31" i="35"/>
  <c r="R31" i="35"/>
  <c r="Q31" i="35"/>
  <c r="P31" i="35"/>
  <c r="O31" i="35"/>
  <c r="N31" i="35"/>
  <c r="L31" i="35"/>
  <c r="K31" i="35"/>
  <c r="J31" i="35"/>
  <c r="I31" i="35"/>
  <c r="H31" i="35"/>
  <c r="F31" i="35"/>
  <c r="E31" i="35"/>
  <c r="D31" i="35"/>
  <c r="T30" i="35"/>
  <c r="R30" i="35"/>
  <c r="Q30" i="35"/>
  <c r="P30" i="35"/>
  <c r="O30" i="35"/>
  <c r="N30" i="35"/>
  <c r="L30" i="35"/>
  <c r="K30" i="35"/>
  <c r="J30" i="35"/>
  <c r="I30" i="35"/>
  <c r="H30" i="35"/>
  <c r="F30" i="35"/>
  <c r="E30" i="35"/>
  <c r="D30" i="35"/>
  <c r="T29" i="35"/>
  <c r="R29" i="35"/>
  <c r="Q29" i="35"/>
  <c r="P29" i="35"/>
  <c r="O29" i="35"/>
  <c r="N29" i="35"/>
  <c r="L29" i="35"/>
  <c r="K29" i="35"/>
  <c r="J29" i="35"/>
  <c r="I29" i="35"/>
  <c r="H29" i="35"/>
  <c r="F29" i="35"/>
  <c r="E29" i="35"/>
  <c r="D29" i="35"/>
  <c r="T28" i="35"/>
  <c r="R28" i="35"/>
  <c r="Q28" i="35"/>
  <c r="P28" i="35"/>
  <c r="O28" i="35"/>
  <c r="N28" i="35"/>
  <c r="L28" i="35"/>
  <c r="K28" i="35"/>
  <c r="J28" i="35"/>
  <c r="I28" i="35"/>
  <c r="H28" i="35"/>
  <c r="F28" i="35"/>
  <c r="E28" i="35"/>
  <c r="D28" i="35"/>
  <c r="T27" i="35"/>
  <c r="R27" i="35"/>
  <c r="Q27" i="35"/>
  <c r="P27" i="35"/>
  <c r="O27" i="35"/>
  <c r="N27" i="35"/>
  <c r="L27" i="35"/>
  <c r="K27" i="35"/>
  <c r="J27" i="35"/>
  <c r="I27" i="35"/>
  <c r="H27" i="35"/>
  <c r="F27" i="35"/>
  <c r="E27" i="35"/>
  <c r="D27" i="35"/>
  <c r="T26" i="35"/>
  <c r="R26" i="35"/>
  <c r="Q26" i="35"/>
  <c r="P26" i="35"/>
  <c r="O26" i="35"/>
  <c r="N26" i="35"/>
  <c r="L26" i="35"/>
  <c r="K26" i="35"/>
  <c r="J26" i="35"/>
  <c r="I26" i="35"/>
  <c r="H26" i="35"/>
  <c r="F26" i="35"/>
  <c r="E26" i="35"/>
  <c r="D26" i="35"/>
  <c r="T25" i="35"/>
  <c r="R25" i="35"/>
  <c r="Q25" i="35"/>
  <c r="P25" i="35"/>
  <c r="O25" i="35"/>
  <c r="N25" i="35"/>
  <c r="L25" i="35"/>
  <c r="K25" i="35"/>
  <c r="J25" i="35"/>
  <c r="I25" i="35"/>
  <c r="H25" i="35"/>
  <c r="F25" i="35"/>
  <c r="E25" i="35"/>
  <c r="D25" i="35"/>
  <c r="T24" i="35"/>
  <c r="R24" i="35"/>
  <c r="Q24" i="35"/>
  <c r="P24" i="35"/>
  <c r="O24" i="35"/>
  <c r="N24" i="35"/>
  <c r="L24" i="35"/>
  <c r="K24" i="35"/>
  <c r="J24" i="35"/>
  <c r="I24" i="35"/>
  <c r="H24" i="35"/>
  <c r="F24" i="35"/>
  <c r="E24" i="35"/>
  <c r="D24" i="35"/>
  <c r="T23" i="35"/>
  <c r="R23" i="35"/>
  <c r="Q23" i="35"/>
  <c r="P23" i="35"/>
  <c r="O23" i="35"/>
  <c r="N23" i="35"/>
  <c r="L23" i="35"/>
  <c r="K23" i="35"/>
  <c r="J23" i="35"/>
  <c r="I23" i="35"/>
  <c r="H23" i="35"/>
  <c r="F23" i="35"/>
  <c r="E23" i="35"/>
  <c r="D23" i="35"/>
  <c r="T22" i="35"/>
  <c r="R22" i="35"/>
  <c r="Q22" i="35"/>
  <c r="P22" i="35"/>
  <c r="O22" i="35"/>
  <c r="N22" i="35"/>
  <c r="L22" i="35"/>
  <c r="K22" i="35"/>
  <c r="J22" i="35"/>
  <c r="I22" i="35"/>
  <c r="H22" i="35"/>
  <c r="F22" i="35"/>
  <c r="E22" i="35"/>
  <c r="D22" i="35"/>
  <c r="T21" i="35"/>
  <c r="R21" i="35"/>
  <c r="Q21" i="35"/>
  <c r="P21" i="35"/>
  <c r="O21" i="35"/>
  <c r="N21" i="35"/>
  <c r="L21" i="35"/>
  <c r="K21" i="35"/>
  <c r="J21" i="35"/>
  <c r="I21" i="35"/>
  <c r="H21" i="35"/>
  <c r="F21" i="35"/>
  <c r="E21" i="35"/>
  <c r="D21" i="35"/>
  <c r="T20" i="35"/>
  <c r="R20" i="35"/>
  <c r="Q20" i="35"/>
  <c r="P20" i="35"/>
  <c r="O20" i="35"/>
  <c r="N20" i="35"/>
  <c r="L20" i="35"/>
  <c r="K20" i="35"/>
  <c r="J20" i="35"/>
  <c r="I20" i="35"/>
  <c r="H20" i="35"/>
  <c r="F20" i="35"/>
  <c r="E20" i="35"/>
  <c r="D20" i="35"/>
  <c r="T19" i="35"/>
  <c r="R19" i="35"/>
  <c r="Q19" i="35"/>
  <c r="P19" i="35"/>
  <c r="O19" i="35"/>
  <c r="N19" i="35"/>
  <c r="L19" i="35"/>
  <c r="K19" i="35"/>
  <c r="J19" i="35"/>
  <c r="I19" i="35"/>
  <c r="H19" i="35"/>
  <c r="F19" i="35"/>
  <c r="E19" i="35"/>
  <c r="D19" i="35"/>
  <c r="T18" i="35"/>
  <c r="R18" i="35"/>
  <c r="Q18" i="35"/>
  <c r="P18" i="35"/>
  <c r="O18" i="35"/>
  <c r="N18" i="35"/>
  <c r="L18" i="35"/>
  <c r="K18" i="35"/>
  <c r="J18" i="35"/>
  <c r="I18" i="35"/>
  <c r="H18" i="35"/>
  <c r="F18" i="35"/>
  <c r="E18" i="35"/>
  <c r="D18" i="35"/>
  <c r="T17" i="35"/>
  <c r="R17" i="35"/>
  <c r="Q17" i="35"/>
  <c r="P17" i="35"/>
  <c r="O17" i="35"/>
  <c r="N17" i="35"/>
  <c r="L17" i="35"/>
  <c r="K17" i="35"/>
  <c r="J17" i="35"/>
  <c r="I17" i="35"/>
  <c r="H17" i="35"/>
  <c r="F17" i="35"/>
  <c r="E17" i="35"/>
  <c r="D17" i="35"/>
  <c r="T16" i="35"/>
  <c r="R16" i="35"/>
  <c r="Q16" i="35"/>
  <c r="P16" i="35"/>
  <c r="O16" i="35"/>
  <c r="N16" i="35"/>
  <c r="L16" i="35"/>
  <c r="K16" i="35"/>
  <c r="J16" i="35"/>
  <c r="I16" i="35"/>
  <c r="H16" i="35"/>
  <c r="F16" i="35"/>
  <c r="E16" i="35"/>
  <c r="D16" i="35"/>
  <c r="C16" i="35"/>
  <c r="T15" i="35"/>
  <c r="R15" i="35"/>
  <c r="Q15" i="35"/>
  <c r="P15" i="35"/>
  <c r="O15" i="35"/>
  <c r="N15" i="35"/>
  <c r="L15" i="35"/>
  <c r="K15" i="35"/>
  <c r="J15" i="35"/>
  <c r="I15" i="35"/>
  <c r="H15" i="35"/>
  <c r="F15" i="35"/>
  <c r="E15" i="35"/>
  <c r="D15" i="35"/>
  <c r="T14" i="35"/>
  <c r="R14" i="35"/>
  <c r="Q14" i="35"/>
  <c r="P14" i="35"/>
  <c r="O14" i="35"/>
  <c r="N14" i="35"/>
  <c r="L14" i="35"/>
  <c r="K14" i="35"/>
  <c r="J14" i="35"/>
  <c r="I14" i="35"/>
  <c r="H14" i="35"/>
  <c r="F14" i="35"/>
  <c r="E14" i="35"/>
  <c r="D14" i="35"/>
  <c r="T13" i="35"/>
  <c r="R13" i="35"/>
  <c r="Q13" i="35"/>
  <c r="P13" i="35"/>
  <c r="O13" i="35"/>
  <c r="N13" i="35"/>
  <c r="L13" i="35"/>
  <c r="K13" i="35"/>
  <c r="J13" i="35"/>
  <c r="I13" i="35"/>
  <c r="H13" i="35"/>
  <c r="F13" i="35"/>
  <c r="E13" i="35"/>
  <c r="D13" i="35"/>
  <c r="T12" i="35"/>
  <c r="R12" i="35"/>
  <c r="Q12" i="35"/>
  <c r="P12" i="35"/>
  <c r="O12" i="35"/>
  <c r="N12" i="35"/>
  <c r="L12" i="35"/>
  <c r="K12" i="35"/>
  <c r="J12" i="35"/>
  <c r="I12" i="35"/>
  <c r="H12" i="35"/>
  <c r="F12" i="35"/>
  <c r="E12" i="35"/>
  <c r="D12" i="35"/>
  <c r="T11" i="35"/>
  <c r="R11" i="35"/>
  <c r="Q11" i="35"/>
  <c r="P11" i="35"/>
  <c r="O11" i="35"/>
  <c r="N11" i="35"/>
  <c r="L11" i="35"/>
  <c r="K11" i="35"/>
  <c r="J11" i="35"/>
  <c r="I11" i="35"/>
  <c r="H11" i="35"/>
  <c r="F11" i="35"/>
  <c r="E11" i="35"/>
  <c r="D11" i="35"/>
  <c r="T10" i="35"/>
  <c r="R10" i="35"/>
  <c r="Q10" i="35"/>
  <c r="P10" i="35"/>
  <c r="O10" i="35"/>
  <c r="N10" i="35"/>
  <c r="L10" i="35"/>
  <c r="K10" i="35"/>
  <c r="J10" i="35"/>
  <c r="I10" i="35"/>
  <c r="H10" i="35"/>
  <c r="F10" i="35"/>
  <c r="E10" i="35"/>
  <c r="D10" i="35"/>
  <c r="T9" i="35"/>
  <c r="R9" i="35"/>
  <c r="Q9" i="35"/>
  <c r="P9" i="35"/>
  <c r="O9" i="35"/>
  <c r="N9" i="35"/>
  <c r="L9" i="35"/>
  <c r="K9" i="35"/>
  <c r="J9" i="35"/>
  <c r="I9" i="35"/>
  <c r="H9" i="35"/>
  <c r="F9" i="35"/>
  <c r="E9" i="35"/>
  <c r="D9" i="35"/>
  <c r="T8" i="35"/>
  <c r="R8" i="35"/>
  <c r="Q8" i="35"/>
  <c r="P8" i="35"/>
  <c r="O8" i="35"/>
  <c r="N8" i="35"/>
  <c r="L8" i="35"/>
  <c r="K8" i="35"/>
  <c r="J8" i="35"/>
  <c r="I8" i="35"/>
  <c r="H8" i="35"/>
  <c r="F8" i="35"/>
  <c r="E8" i="35"/>
  <c r="D8" i="35"/>
  <c r="T7" i="35"/>
  <c r="R7" i="35"/>
  <c r="Q7" i="35"/>
  <c r="P7" i="35"/>
  <c r="O7" i="35"/>
  <c r="N7" i="35"/>
  <c r="L7" i="35"/>
  <c r="K7" i="35"/>
  <c r="J7" i="35"/>
  <c r="I7" i="35"/>
  <c r="H7" i="35"/>
  <c r="F7" i="35"/>
  <c r="E7" i="35"/>
  <c r="D7" i="35"/>
  <c r="T6" i="35"/>
  <c r="R6" i="35"/>
  <c r="Q6" i="35"/>
  <c r="P6" i="35"/>
  <c r="O6" i="35"/>
  <c r="N6" i="35"/>
  <c r="L6" i="35"/>
  <c r="K6" i="35"/>
  <c r="J6" i="35"/>
  <c r="I6" i="35"/>
  <c r="H6" i="35"/>
  <c r="F6" i="35"/>
  <c r="E6" i="35"/>
  <c r="D6" i="35"/>
  <c r="T5" i="35"/>
  <c r="R5" i="35"/>
  <c r="Q5" i="35"/>
  <c r="P5" i="35"/>
  <c r="O5" i="35"/>
  <c r="N5" i="35"/>
  <c r="L5" i="35"/>
  <c r="K5" i="35"/>
  <c r="J5" i="35"/>
  <c r="I5" i="35"/>
  <c r="H5" i="35"/>
  <c r="F5" i="35"/>
  <c r="E5" i="35"/>
  <c r="D5" i="35"/>
  <c r="T4" i="35"/>
  <c r="R4" i="35"/>
  <c r="Q4" i="35"/>
  <c r="P4" i="35"/>
  <c r="O4" i="35"/>
  <c r="N4" i="35"/>
  <c r="L4" i="35"/>
  <c r="K4" i="35"/>
  <c r="J4" i="35"/>
  <c r="I4" i="35"/>
  <c r="H4" i="35"/>
  <c r="F4" i="35"/>
  <c r="E4" i="35"/>
  <c r="D4" i="35"/>
  <c r="T3" i="35"/>
  <c r="R3" i="35"/>
  <c r="Q3" i="35"/>
  <c r="P3" i="35"/>
  <c r="O3" i="35"/>
  <c r="N3" i="35"/>
  <c r="L3" i="35"/>
  <c r="K3" i="35"/>
  <c r="J3" i="35"/>
  <c r="I3" i="35"/>
  <c r="H3" i="35"/>
  <c r="T106" i="34"/>
  <c r="F106" i="34"/>
  <c r="E106" i="34"/>
  <c r="D106" i="34"/>
  <c r="T105" i="34"/>
  <c r="F105" i="34"/>
  <c r="E105" i="34"/>
  <c r="D105" i="34"/>
  <c r="T104" i="34"/>
  <c r="F104" i="34"/>
  <c r="E104" i="34"/>
  <c r="D104" i="34"/>
  <c r="T103" i="34"/>
  <c r="F103" i="34"/>
  <c r="E103" i="34"/>
  <c r="D103" i="34"/>
  <c r="C103" i="34"/>
  <c r="T102" i="34"/>
  <c r="F102" i="34"/>
  <c r="E102" i="34"/>
  <c r="D102" i="34"/>
  <c r="T101" i="34"/>
  <c r="F101" i="34"/>
  <c r="E101" i="34"/>
  <c r="D101" i="34"/>
  <c r="T100" i="34"/>
  <c r="F100" i="34"/>
  <c r="E100" i="34"/>
  <c r="D100" i="34"/>
  <c r="T99" i="34"/>
  <c r="F99" i="34"/>
  <c r="E99" i="34"/>
  <c r="D99" i="34"/>
  <c r="T98" i="34"/>
  <c r="F98" i="34"/>
  <c r="E98" i="34"/>
  <c r="D98" i="34"/>
  <c r="T97" i="34"/>
  <c r="F97" i="34"/>
  <c r="E97" i="34"/>
  <c r="D97" i="34"/>
  <c r="T96" i="34"/>
  <c r="F96" i="34"/>
  <c r="E96" i="34"/>
  <c r="D96" i="34"/>
  <c r="T95" i="34"/>
  <c r="F95" i="34"/>
  <c r="E95" i="34"/>
  <c r="D95" i="34"/>
  <c r="T94" i="34"/>
  <c r="F94" i="34"/>
  <c r="E94" i="34"/>
  <c r="D94" i="34"/>
  <c r="T93" i="34"/>
  <c r="F93" i="34"/>
  <c r="E93" i="34"/>
  <c r="D93" i="34"/>
  <c r="T92" i="34"/>
  <c r="F92" i="34"/>
  <c r="E92" i="34"/>
  <c r="D92" i="34"/>
  <c r="T91" i="34"/>
  <c r="F91" i="34"/>
  <c r="E91" i="34"/>
  <c r="D91" i="34"/>
  <c r="T90" i="34"/>
  <c r="R90" i="34"/>
  <c r="Q90" i="34"/>
  <c r="P90" i="34"/>
  <c r="O90" i="34"/>
  <c r="N90" i="34"/>
  <c r="L90" i="34"/>
  <c r="K90" i="34"/>
  <c r="J90" i="34"/>
  <c r="I90" i="34"/>
  <c r="H90" i="34"/>
  <c r="F90" i="34"/>
  <c r="E90" i="34"/>
  <c r="D90" i="34"/>
  <c r="C90" i="34"/>
  <c r="T89" i="34"/>
  <c r="F89" i="34"/>
  <c r="E89" i="34"/>
  <c r="D89" i="34"/>
  <c r="T88" i="34"/>
  <c r="F88" i="34"/>
  <c r="E88" i="34"/>
  <c r="D88" i="34"/>
  <c r="T87" i="34"/>
  <c r="F87" i="34"/>
  <c r="E87" i="34"/>
  <c r="D87" i="34"/>
  <c r="T86" i="34"/>
  <c r="F86" i="34"/>
  <c r="E86" i="34"/>
  <c r="D86" i="34"/>
  <c r="T85" i="34"/>
  <c r="F85" i="34"/>
  <c r="E85" i="34"/>
  <c r="D85" i="34"/>
  <c r="T84" i="34"/>
  <c r="F84" i="34"/>
  <c r="E84" i="34"/>
  <c r="D84" i="34"/>
  <c r="T83" i="34"/>
  <c r="F83" i="34"/>
  <c r="E83" i="34"/>
  <c r="D83" i="34"/>
  <c r="T82" i="34"/>
  <c r="F82" i="34"/>
  <c r="E82" i="34"/>
  <c r="D82" i="34"/>
  <c r="T81" i="34"/>
  <c r="F81" i="34"/>
  <c r="E81" i="34"/>
  <c r="D81" i="34"/>
  <c r="T80" i="34"/>
  <c r="F80" i="34"/>
  <c r="E80" i="34"/>
  <c r="D80" i="34"/>
  <c r="T79" i="34"/>
  <c r="F79" i="34"/>
  <c r="E79" i="34"/>
  <c r="D79" i="34"/>
  <c r="T78" i="34"/>
  <c r="F78" i="34"/>
  <c r="E78" i="34"/>
  <c r="D78" i="34"/>
  <c r="T77" i="34"/>
  <c r="F77" i="34"/>
  <c r="E77" i="34"/>
  <c r="D77" i="34"/>
  <c r="T76" i="34"/>
  <c r="F76" i="34"/>
  <c r="E76" i="34"/>
  <c r="D76" i="34"/>
  <c r="T75" i="34"/>
  <c r="F75" i="34"/>
  <c r="E75" i="34"/>
  <c r="D75" i="34"/>
  <c r="T74" i="34"/>
  <c r="F74" i="34"/>
  <c r="E74" i="34"/>
  <c r="D74" i="34"/>
  <c r="T73" i="34"/>
  <c r="F73" i="34"/>
  <c r="E73" i="34"/>
  <c r="D73" i="34"/>
  <c r="T72" i="34"/>
  <c r="F72" i="34"/>
  <c r="E72" i="34"/>
  <c r="D72" i="34"/>
  <c r="T71" i="34"/>
  <c r="F71" i="34"/>
  <c r="E71" i="34"/>
  <c r="D71" i="34"/>
  <c r="T70" i="34"/>
  <c r="F70" i="34"/>
  <c r="E70" i="34"/>
  <c r="D70" i="34"/>
  <c r="T69" i="34"/>
  <c r="F69" i="34"/>
  <c r="E69" i="34"/>
  <c r="D69" i="34"/>
  <c r="T68" i="34"/>
  <c r="F68" i="34"/>
  <c r="E68" i="34"/>
  <c r="D68" i="34"/>
  <c r="T67" i="34"/>
  <c r="F67" i="34"/>
  <c r="E67" i="34"/>
  <c r="D67" i="34"/>
  <c r="T66" i="34"/>
  <c r="F66" i="34"/>
  <c r="E66" i="34"/>
  <c r="D66" i="34"/>
  <c r="T65" i="34"/>
  <c r="F65" i="34"/>
  <c r="E65" i="34"/>
  <c r="D65" i="34"/>
  <c r="T64" i="34"/>
  <c r="F64" i="34"/>
  <c r="E64" i="34"/>
  <c r="D64" i="34"/>
  <c r="T63" i="34"/>
  <c r="F63" i="34"/>
  <c r="E63" i="34"/>
  <c r="D63" i="34"/>
  <c r="T62" i="34"/>
  <c r="F62" i="34"/>
  <c r="E62" i="34"/>
  <c r="D62" i="34"/>
  <c r="T61" i="34"/>
  <c r="F61" i="34"/>
  <c r="E61" i="34"/>
  <c r="D61" i="34"/>
  <c r="T60" i="34"/>
  <c r="F60" i="34"/>
  <c r="E60" i="34"/>
  <c r="D60" i="34"/>
  <c r="T59" i="34"/>
  <c r="F59" i="34"/>
  <c r="E59" i="34"/>
  <c r="D59" i="34"/>
  <c r="T58" i="34"/>
  <c r="F58" i="34"/>
  <c r="E58" i="34"/>
  <c r="D58" i="34"/>
  <c r="T57" i="34"/>
  <c r="F57" i="34"/>
  <c r="E57" i="34"/>
  <c r="D57" i="34"/>
  <c r="T56" i="34"/>
  <c r="F56" i="34"/>
  <c r="E56" i="34"/>
  <c r="D56" i="34"/>
  <c r="T55" i="34"/>
  <c r="F55" i="34"/>
  <c r="E55" i="34"/>
  <c r="D55" i="34"/>
  <c r="T54" i="34"/>
  <c r="F54" i="34"/>
  <c r="E54" i="34"/>
  <c r="D54" i="34"/>
  <c r="T53" i="34"/>
  <c r="F53" i="34"/>
  <c r="E53" i="34"/>
  <c r="D53" i="34"/>
  <c r="T52" i="34"/>
  <c r="F52" i="34"/>
  <c r="E52" i="34"/>
  <c r="D52" i="34"/>
  <c r="T51" i="34"/>
  <c r="F51" i="34"/>
  <c r="E51" i="34"/>
  <c r="D51" i="34"/>
  <c r="T50" i="34"/>
  <c r="F50" i="34"/>
  <c r="E50" i="34"/>
  <c r="D50" i="34"/>
  <c r="T49" i="34"/>
  <c r="F49" i="34"/>
  <c r="E49" i="34"/>
  <c r="D49" i="34"/>
  <c r="T48" i="34"/>
  <c r="F48" i="34"/>
  <c r="E48" i="34"/>
  <c r="D48" i="34"/>
  <c r="T47" i="34"/>
  <c r="F47" i="34"/>
  <c r="E47" i="34"/>
  <c r="D47" i="34"/>
  <c r="T46" i="34"/>
  <c r="F46" i="34"/>
  <c r="E46" i="34"/>
  <c r="D46" i="34"/>
  <c r="T45" i="34"/>
  <c r="F45" i="34"/>
  <c r="E45" i="34"/>
  <c r="D45" i="34"/>
  <c r="T44" i="34"/>
  <c r="F44" i="34"/>
  <c r="E44" i="34"/>
  <c r="D44" i="34"/>
  <c r="T43" i="34"/>
  <c r="F43" i="34"/>
  <c r="E43" i="34"/>
  <c r="D43" i="34"/>
  <c r="T42" i="34"/>
  <c r="F42" i="34"/>
  <c r="E42" i="34"/>
  <c r="D42" i="34"/>
  <c r="T41" i="34"/>
  <c r="F41" i="34"/>
  <c r="E41" i="34"/>
  <c r="D41" i="34"/>
  <c r="T40" i="34"/>
  <c r="F40" i="34"/>
  <c r="E40" i="34"/>
  <c r="D40" i="34"/>
  <c r="T39" i="34"/>
  <c r="F39" i="34"/>
  <c r="E39" i="34"/>
  <c r="D39" i="34"/>
  <c r="T38" i="34"/>
  <c r="F38" i="34"/>
  <c r="E38" i="34"/>
  <c r="D38" i="34"/>
  <c r="T37" i="34"/>
  <c r="R37" i="34"/>
  <c r="Q37" i="34"/>
  <c r="P37" i="34"/>
  <c r="O37" i="34"/>
  <c r="N37" i="34"/>
  <c r="L37" i="34"/>
  <c r="K37" i="34"/>
  <c r="J37" i="34"/>
  <c r="I37" i="34"/>
  <c r="H37" i="34"/>
  <c r="F37" i="34"/>
  <c r="E37" i="34"/>
  <c r="D37" i="34"/>
  <c r="C37" i="34"/>
  <c r="T36" i="34"/>
  <c r="F36" i="34"/>
  <c r="E36" i="34"/>
  <c r="D36" i="34"/>
  <c r="T35" i="34"/>
  <c r="F35" i="34"/>
  <c r="E35" i="34"/>
  <c r="D35" i="34"/>
  <c r="T34" i="34"/>
  <c r="F34" i="34"/>
  <c r="E34" i="34"/>
  <c r="D34" i="34"/>
  <c r="T33" i="34"/>
  <c r="F33" i="34"/>
  <c r="E33" i="34"/>
  <c r="D33" i="34"/>
  <c r="T32" i="34"/>
  <c r="F32" i="34"/>
  <c r="E32" i="34"/>
  <c r="D32" i="34"/>
  <c r="T31" i="34"/>
  <c r="F31" i="34"/>
  <c r="E31" i="34"/>
  <c r="D31" i="34"/>
  <c r="T30" i="34"/>
  <c r="F30" i="34"/>
  <c r="E30" i="34"/>
  <c r="D30" i="34"/>
  <c r="T29" i="34"/>
  <c r="F29" i="34"/>
  <c r="E29" i="34"/>
  <c r="D29" i="34"/>
  <c r="T28" i="34"/>
  <c r="F28" i="34"/>
  <c r="E28" i="34"/>
  <c r="D28" i="34"/>
  <c r="T27" i="34"/>
  <c r="F27" i="34"/>
  <c r="E27" i="34"/>
  <c r="D27" i="34"/>
  <c r="T26" i="34"/>
  <c r="F26" i="34"/>
  <c r="E26" i="34"/>
  <c r="D26" i="34"/>
  <c r="T25" i="34"/>
  <c r="F25" i="34"/>
  <c r="E25" i="34"/>
  <c r="D25" i="34"/>
  <c r="T24" i="34"/>
  <c r="F24" i="34"/>
  <c r="E24" i="34"/>
  <c r="D24" i="34"/>
  <c r="T23" i="34"/>
  <c r="F23" i="34"/>
  <c r="E23" i="34"/>
  <c r="D23" i="34"/>
  <c r="T22" i="34"/>
  <c r="F22" i="34"/>
  <c r="E22" i="34"/>
  <c r="D22" i="34"/>
  <c r="T21" i="34"/>
  <c r="F21" i="34"/>
  <c r="E21" i="34"/>
  <c r="D21" i="34"/>
  <c r="T20" i="34"/>
  <c r="F20" i="34"/>
  <c r="E20" i="34"/>
  <c r="D20" i="34"/>
  <c r="T19" i="34"/>
  <c r="F19" i="34"/>
  <c r="E19" i="34"/>
  <c r="D19" i="34"/>
  <c r="T18" i="34"/>
  <c r="F18" i="34"/>
  <c r="E18" i="34"/>
  <c r="D18" i="34"/>
  <c r="T17" i="34"/>
  <c r="F17" i="34"/>
  <c r="E17" i="34"/>
  <c r="D17" i="34"/>
  <c r="T16" i="34"/>
  <c r="F16" i="34"/>
  <c r="E16" i="34"/>
  <c r="D16" i="34"/>
  <c r="T15" i="34"/>
  <c r="F15" i="34"/>
  <c r="E15" i="34"/>
  <c r="D15" i="34"/>
  <c r="T14" i="34"/>
  <c r="F14" i="34"/>
  <c r="E14" i="34"/>
  <c r="D14" i="34"/>
  <c r="T13" i="34"/>
  <c r="F13" i="34"/>
  <c r="E13" i="34"/>
  <c r="D13" i="34"/>
  <c r="T12" i="34"/>
  <c r="F12" i="34"/>
  <c r="E12" i="34"/>
  <c r="D12" i="34"/>
  <c r="T11" i="34"/>
  <c r="F11" i="34"/>
  <c r="E11" i="34"/>
  <c r="D11" i="34"/>
  <c r="T10" i="34"/>
  <c r="F10" i="34"/>
  <c r="E10" i="34"/>
  <c r="D10" i="34"/>
  <c r="T9" i="34"/>
  <c r="F9" i="34"/>
  <c r="E9" i="34"/>
  <c r="D9" i="34"/>
  <c r="T8" i="34"/>
  <c r="F8" i="34"/>
  <c r="E8" i="34"/>
  <c r="D8" i="34"/>
  <c r="T7" i="34"/>
  <c r="F7" i="34"/>
  <c r="E7" i="34"/>
  <c r="D7" i="34"/>
  <c r="T6" i="34"/>
  <c r="F6" i="34"/>
  <c r="E6" i="34"/>
  <c r="D6" i="34"/>
  <c r="T5" i="34"/>
  <c r="F5" i="34"/>
  <c r="E5" i="34"/>
  <c r="D5" i="34"/>
  <c r="T4" i="34"/>
  <c r="F4" i="34"/>
  <c r="E4" i="34"/>
  <c r="D4" i="34"/>
  <c r="T3" i="34"/>
  <c r="T106" i="33"/>
  <c r="R106" i="33"/>
  <c r="Q106" i="33"/>
  <c r="P106" i="33"/>
  <c r="O106" i="33"/>
  <c r="N106" i="33"/>
  <c r="L106" i="33"/>
  <c r="K106" i="33"/>
  <c r="J106" i="33"/>
  <c r="I106" i="33"/>
  <c r="H106" i="33"/>
  <c r="F106" i="33"/>
  <c r="E106" i="33"/>
  <c r="D106" i="33"/>
  <c r="T105" i="33"/>
  <c r="R105" i="33"/>
  <c r="Q105" i="33"/>
  <c r="P105" i="33"/>
  <c r="O105" i="33"/>
  <c r="N105" i="33"/>
  <c r="L105" i="33"/>
  <c r="K105" i="33"/>
  <c r="J105" i="33"/>
  <c r="I105" i="33"/>
  <c r="H105" i="33"/>
  <c r="F105" i="33"/>
  <c r="E105" i="33"/>
  <c r="D105" i="33"/>
  <c r="T104" i="33"/>
  <c r="R104" i="33"/>
  <c r="Q104" i="33"/>
  <c r="P104" i="33"/>
  <c r="O104" i="33"/>
  <c r="N104" i="33"/>
  <c r="L104" i="33"/>
  <c r="K104" i="33"/>
  <c r="J104" i="33"/>
  <c r="I104" i="33"/>
  <c r="H104" i="33"/>
  <c r="F104" i="33"/>
  <c r="E104" i="33"/>
  <c r="D104" i="33"/>
  <c r="T103" i="33"/>
  <c r="R103" i="33"/>
  <c r="Q103" i="33"/>
  <c r="P103" i="33"/>
  <c r="O103" i="33"/>
  <c r="N103" i="33"/>
  <c r="L103" i="33"/>
  <c r="K103" i="33"/>
  <c r="J103" i="33"/>
  <c r="I103" i="33"/>
  <c r="H103" i="33"/>
  <c r="F103" i="33"/>
  <c r="E103" i="33"/>
  <c r="D103" i="33"/>
  <c r="C103" i="33"/>
  <c r="T102" i="33"/>
  <c r="R102" i="33"/>
  <c r="Q102" i="33"/>
  <c r="P102" i="33"/>
  <c r="O102" i="33"/>
  <c r="N102" i="33"/>
  <c r="L102" i="33"/>
  <c r="K102" i="33"/>
  <c r="J102" i="33"/>
  <c r="I102" i="33"/>
  <c r="H102" i="33"/>
  <c r="F102" i="33"/>
  <c r="E102" i="33"/>
  <c r="D102" i="33"/>
  <c r="T101" i="33"/>
  <c r="R101" i="33"/>
  <c r="Q101" i="33"/>
  <c r="P101" i="33"/>
  <c r="O101" i="33"/>
  <c r="N101" i="33"/>
  <c r="L101" i="33"/>
  <c r="K101" i="33"/>
  <c r="J101" i="33"/>
  <c r="I101" i="33"/>
  <c r="H101" i="33"/>
  <c r="F101" i="33"/>
  <c r="E101" i="33"/>
  <c r="D101" i="33"/>
  <c r="T100" i="33"/>
  <c r="R100" i="33"/>
  <c r="Q100" i="33"/>
  <c r="P100" i="33"/>
  <c r="O100" i="33"/>
  <c r="N100" i="33"/>
  <c r="L100" i="33"/>
  <c r="K100" i="33"/>
  <c r="J100" i="33"/>
  <c r="I100" i="33"/>
  <c r="H100" i="33"/>
  <c r="F100" i="33"/>
  <c r="E100" i="33"/>
  <c r="D100" i="33"/>
  <c r="T99" i="33"/>
  <c r="R99" i="33"/>
  <c r="Q99" i="33"/>
  <c r="P99" i="33"/>
  <c r="O99" i="33"/>
  <c r="N99" i="33"/>
  <c r="L99" i="33"/>
  <c r="K99" i="33"/>
  <c r="J99" i="33"/>
  <c r="I99" i="33"/>
  <c r="H99" i="33"/>
  <c r="F99" i="33"/>
  <c r="E99" i="33"/>
  <c r="D99" i="33"/>
  <c r="T98" i="33"/>
  <c r="R98" i="33"/>
  <c r="Q98" i="33"/>
  <c r="P98" i="33"/>
  <c r="O98" i="33"/>
  <c r="N98" i="33"/>
  <c r="L98" i="33"/>
  <c r="K98" i="33"/>
  <c r="J98" i="33"/>
  <c r="I98" i="33"/>
  <c r="H98" i="33"/>
  <c r="F98" i="33"/>
  <c r="E98" i="33"/>
  <c r="D98" i="33"/>
  <c r="T97" i="33"/>
  <c r="R97" i="33"/>
  <c r="Q97" i="33"/>
  <c r="P97" i="33"/>
  <c r="O97" i="33"/>
  <c r="N97" i="33"/>
  <c r="L97" i="33"/>
  <c r="K97" i="33"/>
  <c r="J97" i="33"/>
  <c r="I97" i="33"/>
  <c r="H97" i="33"/>
  <c r="F97" i="33"/>
  <c r="E97" i="33"/>
  <c r="D97" i="33"/>
  <c r="T96" i="33"/>
  <c r="R96" i="33"/>
  <c r="Q96" i="33"/>
  <c r="P96" i="33"/>
  <c r="O96" i="33"/>
  <c r="N96" i="33"/>
  <c r="L96" i="33"/>
  <c r="K96" i="33"/>
  <c r="J96" i="33"/>
  <c r="I96" i="33"/>
  <c r="H96" i="33"/>
  <c r="F96" i="33"/>
  <c r="E96" i="33"/>
  <c r="D96" i="33"/>
  <c r="T95" i="33"/>
  <c r="R95" i="33"/>
  <c r="Q95" i="33"/>
  <c r="P95" i="33"/>
  <c r="O95" i="33"/>
  <c r="N95" i="33"/>
  <c r="L95" i="33"/>
  <c r="K95" i="33"/>
  <c r="J95" i="33"/>
  <c r="I95" i="33"/>
  <c r="H95" i="33"/>
  <c r="F95" i="33"/>
  <c r="E95" i="33"/>
  <c r="D95" i="33"/>
  <c r="T94" i="33"/>
  <c r="R94" i="33"/>
  <c r="Q94" i="33"/>
  <c r="P94" i="33"/>
  <c r="O94" i="33"/>
  <c r="N94" i="33"/>
  <c r="L94" i="33"/>
  <c r="K94" i="33"/>
  <c r="J94" i="33"/>
  <c r="I94" i="33"/>
  <c r="H94" i="33"/>
  <c r="F94" i="33"/>
  <c r="E94" i="33"/>
  <c r="D94" i="33"/>
  <c r="T93" i="33"/>
  <c r="R93" i="33"/>
  <c r="Q93" i="33"/>
  <c r="P93" i="33"/>
  <c r="O93" i="33"/>
  <c r="N93" i="33"/>
  <c r="L93" i="33"/>
  <c r="K93" i="33"/>
  <c r="J93" i="33"/>
  <c r="I93" i="33"/>
  <c r="H93" i="33"/>
  <c r="F93" i="33"/>
  <c r="E93" i="33"/>
  <c r="D93" i="33"/>
  <c r="T92" i="33"/>
  <c r="R92" i="33"/>
  <c r="Q92" i="33"/>
  <c r="P92" i="33"/>
  <c r="O92" i="33"/>
  <c r="N92" i="33"/>
  <c r="L92" i="33"/>
  <c r="K92" i="33"/>
  <c r="J92" i="33"/>
  <c r="I92" i="33"/>
  <c r="H92" i="33"/>
  <c r="F92" i="33"/>
  <c r="E92" i="33"/>
  <c r="D92" i="33"/>
  <c r="T91" i="33"/>
  <c r="R91" i="33"/>
  <c r="Q91" i="33"/>
  <c r="P91" i="33"/>
  <c r="O91" i="33"/>
  <c r="N91" i="33"/>
  <c r="L91" i="33"/>
  <c r="K91" i="33"/>
  <c r="J91" i="33"/>
  <c r="I91" i="33"/>
  <c r="H91" i="33"/>
  <c r="F91" i="33"/>
  <c r="E91" i="33"/>
  <c r="D91" i="33"/>
  <c r="T90" i="33"/>
  <c r="R90" i="33"/>
  <c r="Q90" i="33"/>
  <c r="P90" i="33"/>
  <c r="O90" i="33"/>
  <c r="N90" i="33"/>
  <c r="L90" i="33"/>
  <c r="K90" i="33"/>
  <c r="J90" i="33"/>
  <c r="I90" i="33"/>
  <c r="H90" i="33"/>
  <c r="F90" i="33"/>
  <c r="E90" i="33"/>
  <c r="D90" i="33"/>
  <c r="C90" i="33"/>
  <c r="T89" i="33"/>
  <c r="R89" i="33"/>
  <c r="Q89" i="33"/>
  <c r="P89" i="33"/>
  <c r="O89" i="33"/>
  <c r="N89" i="33"/>
  <c r="L89" i="33"/>
  <c r="K89" i="33"/>
  <c r="J89" i="33"/>
  <c r="I89" i="33"/>
  <c r="H89" i="33"/>
  <c r="F89" i="33"/>
  <c r="E89" i="33"/>
  <c r="D89" i="33"/>
  <c r="T88" i="33"/>
  <c r="R88" i="33"/>
  <c r="Q88" i="33"/>
  <c r="P88" i="33"/>
  <c r="O88" i="33"/>
  <c r="N88" i="33"/>
  <c r="L88" i="33"/>
  <c r="K88" i="33"/>
  <c r="J88" i="33"/>
  <c r="I88" i="33"/>
  <c r="H88" i="33"/>
  <c r="F88" i="33"/>
  <c r="E88" i="33"/>
  <c r="D88" i="33"/>
  <c r="T87" i="33"/>
  <c r="R87" i="33"/>
  <c r="Q87" i="33"/>
  <c r="P87" i="33"/>
  <c r="O87" i="33"/>
  <c r="N87" i="33"/>
  <c r="L87" i="33"/>
  <c r="K87" i="33"/>
  <c r="J87" i="33"/>
  <c r="I87" i="33"/>
  <c r="H87" i="33"/>
  <c r="F87" i="33"/>
  <c r="E87" i="33"/>
  <c r="D87" i="33"/>
  <c r="T86" i="33"/>
  <c r="R86" i="33"/>
  <c r="Q86" i="33"/>
  <c r="P86" i="33"/>
  <c r="O86" i="33"/>
  <c r="N86" i="33"/>
  <c r="L86" i="33"/>
  <c r="K86" i="33"/>
  <c r="J86" i="33"/>
  <c r="I86" i="33"/>
  <c r="H86" i="33"/>
  <c r="F86" i="33"/>
  <c r="E86" i="33"/>
  <c r="D86" i="33"/>
  <c r="T85" i="33"/>
  <c r="R85" i="33"/>
  <c r="Q85" i="33"/>
  <c r="P85" i="33"/>
  <c r="O85" i="33"/>
  <c r="N85" i="33"/>
  <c r="L85" i="33"/>
  <c r="K85" i="33"/>
  <c r="J85" i="33"/>
  <c r="I85" i="33"/>
  <c r="H85" i="33"/>
  <c r="F85" i="33"/>
  <c r="E85" i="33"/>
  <c r="D85" i="33"/>
  <c r="T84" i="33"/>
  <c r="R84" i="33"/>
  <c r="Q84" i="33"/>
  <c r="P84" i="33"/>
  <c r="O84" i="33"/>
  <c r="N84" i="33"/>
  <c r="L84" i="33"/>
  <c r="K84" i="33"/>
  <c r="J84" i="33"/>
  <c r="I84" i="33"/>
  <c r="H84" i="33"/>
  <c r="F84" i="33"/>
  <c r="E84" i="33"/>
  <c r="D84" i="33"/>
  <c r="T83" i="33"/>
  <c r="R83" i="33"/>
  <c r="Q83" i="33"/>
  <c r="P83" i="33"/>
  <c r="O83" i="33"/>
  <c r="N83" i="33"/>
  <c r="L83" i="33"/>
  <c r="K83" i="33"/>
  <c r="J83" i="33"/>
  <c r="I83" i="33"/>
  <c r="H83" i="33"/>
  <c r="F83" i="33"/>
  <c r="E83" i="33"/>
  <c r="D83" i="33"/>
  <c r="T82" i="33"/>
  <c r="R82" i="33"/>
  <c r="Q82" i="33"/>
  <c r="P82" i="33"/>
  <c r="O82" i="33"/>
  <c r="N82" i="33"/>
  <c r="L82" i="33"/>
  <c r="K82" i="33"/>
  <c r="J82" i="33"/>
  <c r="I82" i="33"/>
  <c r="H82" i="33"/>
  <c r="F82" i="33"/>
  <c r="E82" i="33"/>
  <c r="D82" i="33"/>
  <c r="T81" i="33"/>
  <c r="R81" i="33"/>
  <c r="Q81" i="33"/>
  <c r="P81" i="33"/>
  <c r="O81" i="33"/>
  <c r="N81" i="33"/>
  <c r="L81" i="33"/>
  <c r="K81" i="33"/>
  <c r="J81" i="33"/>
  <c r="I81" i="33"/>
  <c r="H81" i="33"/>
  <c r="F81" i="33"/>
  <c r="E81" i="33"/>
  <c r="D81" i="33"/>
  <c r="T80" i="33"/>
  <c r="R80" i="33"/>
  <c r="Q80" i="33"/>
  <c r="P80" i="33"/>
  <c r="O80" i="33"/>
  <c r="N80" i="33"/>
  <c r="L80" i="33"/>
  <c r="K80" i="33"/>
  <c r="J80" i="33"/>
  <c r="I80" i="33"/>
  <c r="H80" i="33"/>
  <c r="F80" i="33"/>
  <c r="E80" i="33"/>
  <c r="D80" i="33"/>
  <c r="T79" i="33"/>
  <c r="R79" i="33"/>
  <c r="Q79" i="33"/>
  <c r="P79" i="33"/>
  <c r="O79" i="33"/>
  <c r="N79" i="33"/>
  <c r="L79" i="33"/>
  <c r="K79" i="33"/>
  <c r="J79" i="33"/>
  <c r="I79" i="33"/>
  <c r="H79" i="33"/>
  <c r="F79" i="33"/>
  <c r="E79" i="33"/>
  <c r="D79" i="33"/>
  <c r="T78" i="33"/>
  <c r="R78" i="33"/>
  <c r="Q78" i="33"/>
  <c r="P78" i="33"/>
  <c r="O78" i="33"/>
  <c r="N78" i="33"/>
  <c r="L78" i="33"/>
  <c r="K78" i="33"/>
  <c r="J78" i="33"/>
  <c r="I78" i="33"/>
  <c r="H78" i="33"/>
  <c r="F78" i="33"/>
  <c r="E78" i="33"/>
  <c r="D78" i="33"/>
  <c r="T77" i="33"/>
  <c r="R77" i="33"/>
  <c r="Q77" i="33"/>
  <c r="P77" i="33"/>
  <c r="O77" i="33"/>
  <c r="N77" i="33"/>
  <c r="L77" i="33"/>
  <c r="K77" i="33"/>
  <c r="J77" i="33"/>
  <c r="I77" i="33"/>
  <c r="H77" i="33"/>
  <c r="F77" i="33"/>
  <c r="E77" i="33"/>
  <c r="D77" i="33"/>
  <c r="T76" i="33"/>
  <c r="R76" i="33"/>
  <c r="Q76" i="33"/>
  <c r="P76" i="33"/>
  <c r="O76" i="33"/>
  <c r="N76" i="33"/>
  <c r="L76" i="33"/>
  <c r="K76" i="33"/>
  <c r="J76" i="33"/>
  <c r="I76" i="33"/>
  <c r="H76" i="33"/>
  <c r="F76" i="33"/>
  <c r="E76" i="33"/>
  <c r="D76" i="33"/>
  <c r="T75" i="33"/>
  <c r="R75" i="33"/>
  <c r="Q75" i="33"/>
  <c r="P75" i="33"/>
  <c r="O75" i="33"/>
  <c r="N75" i="33"/>
  <c r="L75" i="33"/>
  <c r="K75" i="33"/>
  <c r="J75" i="33"/>
  <c r="I75" i="33"/>
  <c r="H75" i="33"/>
  <c r="F75" i="33"/>
  <c r="E75" i="33"/>
  <c r="D75" i="33"/>
  <c r="T74" i="33"/>
  <c r="R74" i="33"/>
  <c r="Q74" i="33"/>
  <c r="P74" i="33"/>
  <c r="O74" i="33"/>
  <c r="N74" i="33"/>
  <c r="L74" i="33"/>
  <c r="K74" i="33"/>
  <c r="J74" i="33"/>
  <c r="I74" i="33"/>
  <c r="H74" i="33"/>
  <c r="F74" i="33"/>
  <c r="E74" i="33"/>
  <c r="D74" i="33"/>
  <c r="T73" i="33"/>
  <c r="R73" i="33"/>
  <c r="Q73" i="33"/>
  <c r="P73" i="33"/>
  <c r="O73" i="33"/>
  <c r="N73" i="33"/>
  <c r="L73" i="33"/>
  <c r="K73" i="33"/>
  <c r="J73" i="33"/>
  <c r="I73" i="33"/>
  <c r="H73" i="33"/>
  <c r="F73" i="33"/>
  <c r="E73" i="33"/>
  <c r="D73" i="33"/>
  <c r="T72" i="33"/>
  <c r="R72" i="33"/>
  <c r="Q72" i="33"/>
  <c r="P72" i="33"/>
  <c r="O72" i="33"/>
  <c r="N72" i="33"/>
  <c r="L72" i="33"/>
  <c r="K72" i="33"/>
  <c r="J72" i="33"/>
  <c r="I72" i="33"/>
  <c r="H72" i="33"/>
  <c r="F72" i="33"/>
  <c r="E72" i="33"/>
  <c r="D72" i="33"/>
  <c r="T71" i="33"/>
  <c r="R71" i="33"/>
  <c r="Q71" i="33"/>
  <c r="P71" i="33"/>
  <c r="O71" i="33"/>
  <c r="N71" i="33"/>
  <c r="L71" i="33"/>
  <c r="K71" i="33"/>
  <c r="J71" i="33"/>
  <c r="I71" i="33"/>
  <c r="H71" i="33"/>
  <c r="F71" i="33"/>
  <c r="E71" i="33"/>
  <c r="D71" i="33"/>
  <c r="T70" i="33"/>
  <c r="R70" i="33"/>
  <c r="Q70" i="33"/>
  <c r="P70" i="33"/>
  <c r="O70" i="33"/>
  <c r="N70" i="33"/>
  <c r="L70" i="33"/>
  <c r="K70" i="33"/>
  <c r="J70" i="33"/>
  <c r="I70" i="33"/>
  <c r="H70" i="33"/>
  <c r="F70" i="33"/>
  <c r="E70" i="33"/>
  <c r="D70" i="33"/>
  <c r="T69" i="33"/>
  <c r="R69" i="33"/>
  <c r="Q69" i="33"/>
  <c r="P69" i="33"/>
  <c r="O69" i="33"/>
  <c r="N69" i="33"/>
  <c r="L69" i="33"/>
  <c r="K69" i="33"/>
  <c r="J69" i="33"/>
  <c r="I69" i="33"/>
  <c r="H69" i="33"/>
  <c r="F69" i="33"/>
  <c r="E69" i="33"/>
  <c r="D69" i="33"/>
  <c r="T68" i="33"/>
  <c r="R68" i="33"/>
  <c r="Q68" i="33"/>
  <c r="P68" i="33"/>
  <c r="O68" i="33"/>
  <c r="N68" i="33"/>
  <c r="L68" i="33"/>
  <c r="K68" i="33"/>
  <c r="J68" i="33"/>
  <c r="I68" i="33"/>
  <c r="H68" i="33"/>
  <c r="F68" i="33"/>
  <c r="E68" i="33"/>
  <c r="D68" i="33"/>
  <c r="T67" i="33"/>
  <c r="R67" i="33"/>
  <c r="Q67" i="33"/>
  <c r="P67" i="33"/>
  <c r="O67" i="33"/>
  <c r="N67" i="33"/>
  <c r="L67" i="33"/>
  <c r="K67" i="33"/>
  <c r="J67" i="33"/>
  <c r="I67" i="33"/>
  <c r="H67" i="33"/>
  <c r="F67" i="33"/>
  <c r="E67" i="33"/>
  <c r="D67" i="33"/>
  <c r="T66" i="33"/>
  <c r="R66" i="33"/>
  <c r="Q66" i="33"/>
  <c r="P66" i="33"/>
  <c r="O66" i="33"/>
  <c r="N66" i="33"/>
  <c r="L66" i="33"/>
  <c r="K66" i="33"/>
  <c r="J66" i="33"/>
  <c r="I66" i="33"/>
  <c r="H66" i="33"/>
  <c r="F66" i="33"/>
  <c r="E66" i="33"/>
  <c r="D66" i="33"/>
  <c r="T65" i="33"/>
  <c r="R65" i="33"/>
  <c r="Q65" i="33"/>
  <c r="P65" i="33"/>
  <c r="O65" i="33"/>
  <c r="N65" i="33"/>
  <c r="L65" i="33"/>
  <c r="K65" i="33"/>
  <c r="J65" i="33"/>
  <c r="I65" i="33"/>
  <c r="H65" i="33"/>
  <c r="F65" i="33"/>
  <c r="E65" i="33"/>
  <c r="D65" i="33"/>
  <c r="T64" i="33"/>
  <c r="R64" i="33"/>
  <c r="Q64" i="33"/>
  <c r="P64" i="33"/>
  <c r="O64" i="33"/>
  <c r="N64" i="33"/>
  <c r="L64" i="33"/>
  <c r="K64" i="33"/>
  <c r="J64" i="33"/>
  <c r="I64" i="33"/>
  <c r="H64" i="33"/>
  <c r="F64" i="33"/>
  <c r="E64" i="33"/>
  <c r="D64" i="33"/>
  <c r="T63" i="33"/>
  <c r="R63" i="33"/>
  <c r="Q63" i="33"/>
  <c r="P63" i="33"/>
  <c r="O63" i="33"/>
  <c r="N63" i="33"/>
  <c r="L63" i="33"/>
  <c r="K63" i="33"/>
  <c r="J63" i="33"/>
  <c r="I63" i="33"/>
  <c r="H63" i="33"/>
  <c r="F63" i="33"/>
  <c r="E63" i="33"/>
  <c r="D63" i="33"/>
  <c r="T62" i="33"/>
  <c r="R62" i="33"/>
  <c r="Q62" i="33"/>
  <c r="P62" i="33"/>
  <c r="O62" i="33"/>
  <c r="N62" i="33"/>
  <c r="L62" i="33"/>
  <c r="K62" i="33"/>
  <c r="J62" i="33"/>
  <c r="I62" i="33"/>
  <c r="H62" i="33"/>
  <c r="F62" i="33"/>
  <c r="E62" i="33"/>
  <c r="D62" i="33"/>
  <c r="T61" i="33"/>
  <c r="R61" i="33"/>
  <c r="Q61" i="33"/>
  <c r="P61" i="33"/>
  <c r="O61" i="33"/>
  <c r="N61" i="33"/>
  <c r="L61" i="33"/>
  <c r="K61" i="33"/>
  <c r="J61" i="33"/>
  <c r="I61" i="33"/>
  <c r="H61" i="33"/>
  <c r="F61" i="33"/>
  <c r="E61" i="33"/>
  <c r="D61" i="33"/>
  <c r="T60" i="33"/>
  <c r="R60" i="33"/>
  <c r="Q60" i="33"/>
  <c r="P60" i="33"/>
  <c r="O60" i="33"/>
  <c r="N60" i="33"/>
  <c r="L60" i="33"/>
  <c r="K60" i="33"/>
  <c r="J60" i="33"/>
  <c r="I60" i="33"/>
  <c r="H60" i="33"/>
  <c r="F60" i="33"/>
  <c r="E60" i="33"/>
  <c r="D60" i="33"/>
  <c r="T59" i="33"/>
  <c r="R59" i="33"/>
  <c r="Q59" i="33"/>
  <c r="P59" i="33"/>
  <c r="O59" i="33"/>
  <c r="N59" i="33"/>
  <c r="L59" i="33"/>
  <c r="K59" i="33"/>
  <c r="J59" i="33"/>
  <c r="I59" i="33"/>
  <c r="H59" i="33"/>
  <c r="F59" i="33"/>
  <c r="E59" i="33"/>
  <c r="D59" i="33"/>
  <c r="T58" i="33"/>
  <c r="R58" i="33"/>
  <c r="Q58" i="33"/>
  <c r="P58" i="33"/>
  <c r="O58" i="33"/>
  <c r="N58" i="33"/>
  <c r="L58" i="33"/>
  <c r="K58" i="33"/>
  <c r="J58" i="33"/>
  <c r="I58" i="33"/>
  <c r="H58" i="33"/>
  <c r="F58" i="33"/>
  <c r="E58" i="33"/>
  <c r="D58" i="33"/>
  <c r="T57" i="33"/>
  <c r="R57" i="33"/>
  <c r="Q57" i="33"/>
  <c r="P57" i="33"/>
  <c r="O57" i="33"/>
  <c r="N57" i="33"/>
  <c r="L57" i="33"/>
  <c r="K57" i="33"/>
  <c r="J57" i="33"/>
  <c r="I57" i="33"/>
  <c r="H57" i="33"/>
  <c r="F57" i="33"/>
  <c r="E57" i="33"/>
  <c r="D57" i="33"/>
  <c r="T56" i="33"/>
  <c r="R56" i="33"/>
  <c r="Q56" i="33"/>
  <c r="P56" i="33"/>
  <c r="O56" i="33"/>
  <c r="N56" i="33"/>
  <c r="L56" i="33"/>
  <c r="K56" i="33"/>
  <c r="J56" i="33"/>
  <c r="I56" i="33"/>
  <c r="H56" i="33"/>
  <c r="F56" i="33"/>
  <c r="E56" i="33"/>
  <c r="D56" i="33"/>
  <c r="T55" i="33"/>
  <c r="R55" i="33"/>
  <c r="Q55" i="33"/>
  <c r="P55" i="33"/>
  <c r="O55" i="33"/>
  <c r="N55" i="33"/>
  <c r="L55" i="33"/>
  <c r="K55" i="33"/>
  <c r="J55" i="33"/>
  <c r="I55" i="33"/>
  <c r="H55" i="33"/>
  <c r="F55" i="33"/>
  <c r="E55" i="33"/>
  <c r="D55" i="33"/>
  <c r="T54" i="33"/>
  <c r="R54" i="33"/>
  <c r="Q54" i="33"/>
  <c r="P54" i="33"/>
  <c r="O54" i="33"/>
  <c r="N54" i="33"/>
  <c r="L54" i="33"/>
  <c r="K54" i="33"/>
  <c r="J54" i="33"/>
  <c r="I54" i="33"/>
  <c r="H54" i="33"/>
  <c r="F54" i="33"/>
  <c r="E54" i="33"/>
  <c r="D54" i="33"/>
  <c r="T53" i="33"/>
  <c r="R53" i="33"/>
  <c r="Q53" i="33"/>
  <c r="P53" i="33"/>
  <c r="O53" i="33"/>
  <c r="N53" i="33"/>
  <c r="L53" i="33"/>
  <c r="K53" i="33"/>
  <c r="J53" i="33"/>
  <c r="I53" i="33"/>
  <c r="H53" i="33"/>
  <c r="F53" i="33"/>
  <c r="E53" i="33"/>
  <c r="D53" i="33"/>
  <c r="T52" i="33"/>
  <c r="R52" i="33"/>
  <c r="Q52" i="33"/>
  <c r="P52" i="33"/>
  <c r="O52" i="33"/>
  <c r="N52" i="33"/>
  <c r="L52" i="33"/>
  <c r="K52" i="33"/>
  <c r="J52" i="33"/>
  <c r="I52" i="33"/>
  <c r="H52" i="33"/>
  <c r="F52" i="33"/>
  <c r="E52" i="33"/>
  <c r="D52" i="33"/>
  <c r="T51" i="33"/>
  <c r="R51" i="33"/>
  <c r="Q51" i="33"/>
  <c r="P51" i="33"/>
  <c r="O51" i="33"/>
  <c r="N51" i="33"/>
  <c r="L51" i="33"/>
  <c r="K51" i="33"/>
  <c r="J51" i="33"/>
  <c r="I51" i="33"/>
  <c r="H51" i="33"/>
  <c r="F51" i="33"/>
  <c r="E51" i="33"/>
  <c r="D51" i="33"/>
  <c r="T50" i="33"/>
  <c r="R50" i="33"/>
  <c r="Q50" i="33"/>
  <c r="P50" i="33"/>
  <c r="O50" i="33"/>
  <c r="N50" i="33"/>
  <c r="L50" i="33"/>
  <c r="K50" i="33"/>
  <c r="J50" i="33"/>
  <c r="I50" i="33"/>
  <c r="H50" i="33"/>
  <c r="F50" i="33"/>
  <c r="E50" i="33"/>
  <c r="D50" i="33"/>
  <c r="T49" i="33"/>
  <c r="R49" i="33"/>
  <c r="Q49" i="33"/>
  <c r="P49" i="33"/>
  <c r="O49" i="33"/>
  <c r="N49" i="33"/>
  <c r="L49" i="33"/>
  <c r="K49" i="33"/>
  <c r="J49" i="33"/>
  <c r="I49" i="33"/>
  <c r="H49" i="33"/>
  <c r="F49" i="33"/>
  <c r="E49" i="33"/>
  <c r="D49" i="33"/>
  <c r="T48" i="33"/>
  <c r="R48" i="33"/>
  <c r="Q48" i="33"/>
  <c r="P48" i="33"/>
  <c r="O48" i="33"/>
  <c r="N48" i="33"/>
  <c r="L48" i="33"/>
  <c r="K48" i="33"/>
  <c r="J48" i="33"/>
  <c r="I48" i="33"/>
  <c r="H48" i="33"/>
  <c r="F48" i="33"/>
  <c r="E48" i="33"/>
  <c r="D48" i="33"/>
  <c r="T47" i="33"/>
  <c r="R47" i="33"/>
  <c r="Q47" i="33"/>
  <c r="P47" i="33"/>
  <c r="O47" i="33"/>
  <c r="N47" i="33"/>
  <c r="L47" i="33"/>
  <c r="K47" i="33"/>
  <c r="J47" i="33"/>
  <c r="I47" i="33"/>
  <c r="H47" i="33"/>
  <c r="F47" i="33"/>
  <c r="E47" i="33"/>
  <c r="D47" i="33"/>
  <c r="T46" i="33"/>
  <c r="R46" i="33"/>
  <c r="Q46" i="33"/>
  <c r="P46" i="33"/>
  <c r="O46" i="33"/>
  <c r="N46" i="33"/>
  <c r="L46" i="33"/>
  <c r="K46" i="33"/>
  <c r="J46" i="33"/>
  <c r="I46" i="33"/>
  <c r="H46" i="33"/>
  <c r="F46" i="33"/>
  <c r="E46" i="33"/>
  <c r="D46" i="33"/>
  <c r="T45" i="33"/>
  <c r="R45" i="33"/>
  <c r="Q45" i="33"/>
  <c r="P45" i="33"/>
  <c r="O45" i="33"/>
  <c r="N45" i="33"/>
  <c r="L45" i="33"/>
  <c r="K45" i="33"/>
  <c r="J45" i="33"/>
  <c r="I45" i="33"/>
  <c r="H45" i="33"/>
  <c r="F45" i="33"/>
  <c r="E45" i="33"/>
  <c r="D45" i="33"/>
  <c r="T44" i="33"/>
  <c r="R44" i="33"/>
  <c r="Q44" i="33"/>
  <c r="P44" i="33"/>
  <c r="O44" i="33"/>
  <c r="N44" i="33"/>
  <c r="L44" i="33"/>
  <c r="K44" i="33"/>
  <c r="J44" i="33"/>
  <c r="I44" i="33"/>
  <c r="H44" i="33"/>
  <c r="F44" i="33"/>
  <c r="E44" i="33"/>
  <c r="D44" i="33"/>
  <c r="T43" i="33"/>
  <c r="R43" i="33"/>
  <c r="Q43" i="33"/>
  <c r="P43" i="33"/>
  <c r="O43" i="33"/>
  <c r="N43" i="33"/>
  <c r="L43" i="33"/>
  <c r="K43" i="33"/>
  <c r="J43" i="33"/>
  <c r="I43" i="33"/>
  <c r="H43" i="33"/>
  <c r="F43" i="33"/>
  <c r="E43" i="33"/>
  <c r="D43" i="33"/>
  <c r="T42" i="33"/>
  <c r="R42" i="33"/>
  <c r="Q42" i="33"/>
  <c r="P42" i="33"/>
  <c r="O42" i="33"/>
  <c r="N42" i="33"/>
  <c r="L42" i="33"/>
  <c r="K42" i="33"/>
  <c r="J42" i="33"/>
  <c r="I42" i="33"/>
  <c r="H42" i="33"/>
  <c r="F42" i="33"/>
  <c r="E42" i="33"/>
  <c r="D42" i="33"/>
  <c r="T41" i="33"/>
  <c r="R41" i="33"/>
  <c r="Q41" i="33"/>
  <c r="P41" i="33"/>
  <c r="O41" i="33"/>
  <c r="N41" i="33"/>
  <c r="L41" i="33"/>
  <c r="K41" i="33"/>
  <c r="J41" i="33"/>
  <c r="I41" i="33"/>
  <c r="H41" i="33"/>
  <c r="F41" i="33"/>
  <c r="E41" i="33"/>
  <c r="D41" i="33"/>
  <c r="T40" i="33"/>
  <c r="R40" i="33"/>
  <c r="Q40" i="33"/>
  <c r="P40" i="33"/>
  <c r="O40" i="33"/>
  <c r="N40" i="33"/>
  <c r="L40" i="33"/>
  <c r="K40" i="33"/>
  <c r="J40" i="33"/>
  <c r="I40" i="33"/>
  <c r="H40" i="33"/>
  <c r="F40" i="33"/>
  <c r="E40" i="33"/>
  <c r="D40" i="33"/>
  <c r="T39" i="33"/>
  <c r="R39" i="33"/>
  <c r="Q39" i="33"/>
  <c r="P39" i="33"/>
  <c r="O39" i="33"/>
  <c r="N39" i="33"/>
  <c r="L39" i="33"/>
  <c r="K39" i="33"/>
  <c r="J39" i="33"/>
  <c r="I39" i="33"/>
  <c r="H39" i="33"/>
  <c r="F39" i="33"/>
  <c r="E39" i="33"/>
  <c r="D39" i="33"/>
  <c r="T38" i="33"/>
  <c r="R38" i="33"/>
  <c r="Q38" i="33"/>
  <c r="P38" i="33"/>
  <c r="O38" i="33"/>
  <c r="N38" i="33"/>
  <c r="L38" i="33"/>
  <c r="K38" i="33"/>
  <c r="J38" i="33"/>
  <c r="I38" i="33"/>
  <c r="H38" i="33"/>
  <c r="F38" i="33"/>
  <c r="E38" i="33"/>
  <c r="D38" i="33"/>
  <c r="T37" i="33"/>
  <c r="R37" i="33"/>
  <c r="Q37" i="33"/>
  <c r="P37" i="33"/>
  <c r="O37" i="33"/>
  <c r="N37" i="33"/>
  <c r="L37" i="33"/>
  <c r="K37" i="33"/>
  <c r="J37" i="33"/>
  <c r="I37" i="33"/>
  <c r="H37" i="33"/>
  <c r="F37" i="33"/>
  <c r="E37" i="33"/>
  <c r="D37" i="33"/>
  <c r="C37" i="33"/>
  <c r="T36" i="33"/>
  <c r="R36" i="33"/>
  <c r="Q36" i="33"/>
  <c r="P36" i="33"/>
  <c r="O36" i="33"/>
  <c r="N36" i="33"/>
  <c r="L36" i="33"/>
  <c r="K36" i="33"/>
  <c r="J36" i="33"/>
  <c r="I36" i="33"/>
  <c r="H36" i="33"/>
  <c r="F36" i="33"/>
  <c r="E36" i="33"/>
  <c r="D36" i="33"/>
  <c r="T35" i="33"/>
  <c r="R35" i="33"/>
  <c r="Q35" i="33"/>
  <c r="P35" i="33"/>
  <c r="O35" i="33"/>
  <c r="N35" i="33"/>
  <c r="L35" i="33"/>
  <c r="K35" i="33"/>
  <c r="J35" i="33"/>
  <c r="I35" i="33"/>
  <c r="H35" i="33"/>
  <c r="F35" i="33"/>
  <c r="E35" i="33"/>
  <c r="D35" i="33"/>
  <c r="T34" i="33"/>
  <c r="R34" i="33"/>
  <c r="Q34" i="33"/>
  <c r="P34" i="33"/>
  <c r="O34" i="33"/>
  <c r="N34" i="33"/>
  <c r="L34" i="33"/>
  <c r="K34" i="33"/>
  <c r="J34" i="33"/>
  <c r="I34" i="33"/>
  <c r="H34" i="33"/>
  <c r="F34" i="33"/>
  <c r="E34" i="33"/>
  <c r="D34" i="33"/>
  <c r="T33" i="33"/>
  <c r="R33" i="33"/>
  <c r="Q33" i="33"/>
  <c r="P33" i="33"/>
  <c r="O33" i="33"/>
  <c r="N33" i="33"/>
  <c r="L33" i="33"/>
  <c r="K33" i="33"/>
  <c r="J33" i="33"/>
  <c r="I33" i="33"/>
  <c r="H33" i="33"/>
  <c r="F33" i="33"/>
  <c r="E33" i="33"/>
  <c r="D33" i="33"/>
  <c r="T32" i="33"/>
  <c r="R32" i="33"/>
  <c r="Q32" i="33"/>
  <c r="P32" i="33"/>
  <c r="O32" i="33"/>
  <c r="N32" i="33"/>
  <c r="L32" i="33"/>
  <c r="K32" i="33"/>
  <c r="J32" i="33"/>
  <c r="I32" i="33"/>
  <c r="H32" i="33"/>
  <c r="F32" i="33"/>
  <c r="E32" i="33"/>
  <c r="D32" i="33"/>
  <c r="T31" i="33"/>
  <c r="R31" i="33"/>
  <c r="Q31" i="33"/>
  <c r="P31" i="33"/>
  <c r="O31" i="33"/>
  <c r="N31" i="33"/>
  <c r="L31" i="33"/>
  <c r="K31" i="33"/>
  <c r="J31" i="33"/>
  <c r="I31" i="33"/>
  <c r="H31" i="33"/>
  <c r="F31" i="33"/>
  <c r="E31" i="33"/>
  <c r="D31" i="33"/>
  <c r="T30" i="33"/>
  <c r="R30" i="33"/>
  <c r="Q30" i="33"/>
  <c r="P30" i="33"/>
  <c r="O30" i="33"/>
  <c r="N30" i="33"/>
  <c r="L30" i="33"/>
  <c r="K30" i="33"/>
  <c r="J30" i="33"/>
  <c r="I30" i="33"/>
  <c r="H30" i="33"/>
  <c r="F30" i="33"/>
  <c r="E30" i="33"/>
  <c r="D30" i="33"/>
  <c r="T29" i="33"/>
  <c r="R29" i="33"/>
  <c r="Q29" i="33"/>
  <c r="P29" i="33"/>
  <c r="O29" i="33"/>
  <c r="N29" i="33"/>
  <c r="L29" i="33"/>
  <c r="K29" i="33"/>
  <c r="J29" i="33"/>
  <c r="I29" i="33"/>
  <c r="H29" i="33"/>
  <c r="F29" i="33"/>
  <c r="E29" i="33"/>
  <c r="D29" i="33"/>
  <c r="T28" i="33"/>
  <c r="R28" i="33"/>
  <c r="Q28" i="33"/>
  <c r="P28" i="33"/>
  <c r="O28" i="33"/>
  <c r="N28" i="33"/>
  <c r="L28" i="33"/>
  <c r="K28" i="33"/>
  <c r="J28" i="33"/>
  <c r="I28" i="33"/>
  <c r="H28" i="33"/>
  <c r="F28" i="33"/>
  <c r="E28" i="33"/>
  <c r="D28" i="33"/>
  <c r="T27" i="33"/>
  <c r="R27" i="33"/>
  <c r="Q27" i="33"/>
  <c r="P27" i="33"/>
  <c r="O27" i="33"/>
  <c r="N27" i="33"/>
  <c r="L27" i="33"/>
  <c r="K27" i="33"/>
  <c r="J27" i="33"/>
  <c r="I27" i="33"/>
  <c r="H27" i="33"/>
  <c r="F27" i="33"/>
  <c r="E27" i="33"/>
  <c r="D27" i="33"/>
  <c r="T26" i="33"/>
  <c r="R26" i="33"/>
  <c r="Q26" i="33"/>
  <c r="P26" i="33"/>
  <c r="O26" i="33"/>
  <c r="N26" i="33"/>
  <c r="L26" i="33"/>
  <c r="K26" i="33"/>
  <c r="J26" i="33"/>
  <c r="I26" i="33"/>
  <c r="H26" i="33"/>
  <c r="F26" i="33"/>
  <c r="E26" i="33"/>
  <c r="D26" i="33"/>
  <c r="T25" i="33"/>
  <c r="R25" i="33"/>
  <c r="Q25" i="33"/>
  <c r="P25" i="33"/>
  <c r="O25" i="33"/>
  <c r="N25" i="33"/>
  <c r="L25" i="33"/>
  <c r="K25" i="33"/>
  <c r="J25" i="33"/>
  <c r="I25" i="33"/>
  <c r="H25" i="33"/>
  <c r="F25" i="33"/>
  <c r="E25" i="33"/>
  <c r="D25" i="33"/>
  <c r="T24" i="33"/>
  <c r="R24" i="33"/>
  <c r="Q24" i="33"/>
  <c r="P24" i="33"/>
  <c r="O24" i="33"/>
  <c r="N24" i="33"/>
  <c r="L24" i="33"/>
  <c r="K24" i="33"/>
  <c r="J24" i="33"/>
  <c r="I24" i="33"/>
  <c r="H24" i="33"/>
  <c r="F24" i="33"/>
  <c r="E24" i="33"/>
  <c r="D24" i="33"/>
  <c r="T23" i="33"/>
  <c r="R23" i="33"/>
  <c r="Q23" i="33"/>
  <c r="P23" i="33"/>
  <c r="O23" i="33"/>
  <c r="N23" i="33"/>
  <c r="L23" i="33"/>
  <c r="K23" i="33"/>
  <c r="J23" i="33"/>
  <c r="I23" i="33"/>
  <c r="H23" i="33"/>
  <c r="F23" i="33"/>
  <c r="E23" i="33"/>
  <c r="D23" i="33"/>
  <c r="T22" i="33"/>
  <c r="R22" i="33"/>
  <c r="Q22" i="33"/>
  <c r="P22" i="33"/>
  <c r="O22" i="33"/>
  <c r="N22" i="33"/>
  <c r="L22" i="33"/>
  <c r="K22" i="33"/>
  <c r="J22" i="33"/>
  <c r="I22" i="33"/>
  <c r="H22" i="33"/>
  <c r="F22" i="33"/>
  <c r="E22" i="33"/>
  <c r="D22" i="33"/>
  <c r="T21" i="33"/>
  <c r="R21" i="33"/>
  <c r="Q21" i="33"/>
  <c r="P21" i="33"/>
  <c r="O21" i="33"/>
  <c r="N21" i="33"/>
  <c r="L21" i="33"/>
  <c r="K21" i="33"/>
  <c r="J21" i="33"/>
  <c r="I21" i="33"/>
  <c r="H21" i="33"/>
  <c r="F21" i="33"/>
  <c r="E21" i="33"/>
  <c r="D21" i="33"/>
  <c r="T20" i="33"/>
  <c r="R20" i="33"/>
  <c r="Q20" i="33"/>
  <c r="P20" i="33"/>
  <c r="O20" i="33"/>
  <c r="N20" i="33"/>
  <c r="L20" i="33"/>
  <c r="K20" i="33"/>
  <c r="J20" i="33"/>
  <c r="I20" i="33"/>
  <c r="H20" i="33"/>
  <c r="F20" i="33"/>
  <c r="E20" i="33"/>
  <c r="D20" i="33"/>
  <c r="T19" i="33"/>
  <c r="R19" i="33"/>
  <c r="Q19" i="33"/>
  <c r="P19" i="33"/>
  <c r="O19" i="33"/>
  <c r="N19" i="33"/>
  <c r="L19" i="33"/>
  <c r="K19" i="33"/>
  <c r="J19" i="33"/>
  <c r="I19" i="33"/>
  <c r="H19" i="33"/>
  <c r="F19" i="33"/>
  <c r="E19" i="33"/>
  <c r="D19" i="33"/>
  <c r="T18" i="33"/>
  <c r="R18" i="33"/>
  <c r="Q18" i="33"/>
  <c r="P18" i="33"/>
  <c r="O18" i="33"/>
  <c r="N18" i="33"/>
  <c r="L18" i="33"/>
  <c r="K18" i="33"/>
  <c r="J18" i="33"/>
  <c r="I18" i="33"/>
  <c r="H18" i="33"/>
  <c r="F18" i="33"/>
  <c r="E18" i="33"/>
  <c r="D18" i="33"/>
  <c r="T17" i="33"/>
  <c r="R17" i="33"/>
  <c r="Q17" i="33"/>
  <c r="P17" i="33"/>
  <c r="O17" i="33"/>
  <c r="N17" i="33"/>
  <c r="L17" i="33"/>
  <c r="K17" i="33"/>
  <c r="J17" i="33"/>
  <c r="I17" i="33"/>
  <c r="H17" i="33"/>
  <c r="F17" i="33"/>
  <c r="E17" i="33"/>
  <c r="D17" i="33"/>
  <c r="T16" i="33"/>
  <c r="R16" i="33"/>
  <c r="Q16" i="33"/>
  <c r="P16" i="33"/>
  <c r="O16" i="33"/>
  <c r="N16" i="33"/>
  <c r="L16" i="33"/>
  <c r="K16" i="33"/>
  <c r="J16" i="33"/>
  <c r="I16" i="33"/>
  <c r="H16" i="33"/>
  <c r="F16" i="33"/>
  <c r="E16" i="33"/>
  <c r="D16" i="33"/>
  <c r="T15" i="33"/>
  <c r="R15" i="33"/>
  <c r="Q15" i="33"/>
  <c r="P15" i="33"/>
  <c r="O15" i="33"/>
  <c r="N15" i="33"/>
  <c r="L15" i="33"/>
  <c r="K15" i="33"/>
  <c r="J15" i="33"/>
  <c r="I15" i="33"/>
  <c r="H15" i="33"/>
  <c r="F15" i="33"/>
  <c r="E15" i="33"/>
  <c r="D15" i="33"/>
  <c r="T14" i="33"/>
  <c r="R14" i="33"/>
  <c r="Q14" i="33"/>
  <c r="P14" i="33"/>
  <c r="O14" i="33"/>
  <c r="N14" i="33"/>
  <c r="L14" i="33"/>
  <c r="K14" i="33"/>
  <c r="J14" i="33"/>
  <c r="I14" i="33"/>
  <c r="H14" i="33"/>
  <c r="F14" i="33"/>
  <c r="E14" i="33"/>
  <c r="D14" i="33"/>
  <c r="T13" i="33"/>
  <c r="R13" i="33"/>
  <c r="Q13" i="33"/>
  <c r="P13" i="33"/>
  <c r="O13" i="33"/>
  <c r="N13" i="33"/>
  <c r="L13" i="33"/>
  <c r="K13" i="33"/>
  <c r="J13" i="33"/>
  <c r="I13" i="33"/>
  <c r="H13" i="33"/>
  <c r="F13" i="33"/>
  <c r="E13" i="33"/>
  <c r="D13" i="33"/>
  <c r="T12" i="33"/>
  <c r="R12" i="33"/>
  <c r="Q12" i="33"/>
  <c r="P12" i="33"/>
  <c r="O12" i="33"/>
  <c r="N12" i="33"/>
  <c r="L12" i="33"/>
  <c r="K12" i="33"/>
  <c r="J12" i="33"/>
  <c r="I12" i="33"/>
  <c r="H12" i="33"/>
  <c r="F12" i="33"/>
  <c r="E12" i="33"/>
  <c r="D12" i="33"/>
  <c r="T11" i="33"/>
  <c r="R11" i="33"/>
  <c r="Q11" i="33"/>
  <c r="P11" i="33"/>
  <c r="O11" i="33"/>
  <c r="N11" i="33"/>
  <c r="L11" i="33"/>
  <c r="K11" i="33"/>
  <c r="J11" i="33"/>
  <c r="I11" i="33"/>
  <c r="H11" i="33"/>
  <c r="F11" i="33"/>
  <c r="E11" i="33"/>
  <c r="D11" i="33"/>
  <c r="T10" i="33"/>
  <c r="R10" i="33"/>
  <c r="Q10" i="33"/>
  <c r="P10" i="33"/>
  <c r="O10" i="33"/>
  <c r="N10" i="33"/>
  <c r="L10" i="33"/>
  <c r="K10" i="33"/>
  <c r="J10" i="33"/>
  <c r="I10" i="33"/>
  <c r="H10" i="33"/>
  <c r="F10" i="33"/>
  <c r="E10" i="33"/>
  <c r="D10" i="33"/>
  <c r="T9" i="33"/>
  <c r="R9" i="33"/>
  <c r="Q9" i="33"/>
  <c r="P9" i="33"/>
  <c r="O9" i="33"/>
  <c r="N9" i="33"/>
  <c r="L9" i="33"/>
  <c r="K9" i="33"/>
  <c r="J9" i="33"/>
  <c r="I9" i="33"/>
  <c r="H9" i="33"/>
  <c r="F9" i="33"/>
  <c r="E9" i="33"/>
  <c r="D9" i="33"/>
  <c r="T8" i="33"/>
  <c r="R8" i="33"/>
  <c r="Q8" i="33"/>
  <c r="P8" i="33"/>
  <c r="O8" i="33"/>
  <c r="N8" i="33"/>
  <c r="L8" i="33"/>
  <c r="K8" i="33"/>
  <c r="J8" i="33"/>
  <c r="I8" i="33"/>
  <c r="H8" i="33"/>
  <c r="F8" i="33"/>
  <c r="E8" i="33"/>
  <c r="D8" i="33"/>
  <c r="T7" i="33"/>
  <c r="R7" i="33"/>
  <c r="Q7" i="33"/>
  <c r="P7" i="33"/>
  <c r="O7" i="33"/>
  <c r="N7" i="33"/>
  <c r="L7" i="33"/>
  <c r="K7" i="33"/>
  <c r="J7" i="33"/>
  <c r="I7" i="33"/>
  <c r="H7" i="33"/>
  <c r="F7" i="33"/>
  <c r="E7" i="33"/>
  <c r="D7" i="33"/>
  <c r="T6" i="33"/>
  <c r="R6" i="33"/>
  <c r="Q6" i="33"/>
  <c r="P6" i="33"/>
  <c r="O6" i="33"/>
  <c r="N6" i="33"/>
  <c r="L6" i="33"/>
  <c r="K6" i="33"/>
  <c r="J6" i="33"/>
  <c r="I6" i="33"/>
  <c r="H6" i="33"/>
  <c r="F6" i="33"/>
  <c r="E6" i="33"/>
  <c r="D6" i="33"/>
  <c r="T5" i="33"/>
  <c r="R5" i="33"/>
  <c r="Q5" i="33"/>
  <c r="P5" i="33"/>
  <c r="O5" i="33"/>
  <c r="N5" i="33"/>
  <c r="L5" i="33"/>
  <c r="K5" i="33"/>
  <c r="J5" i="33"/>
  <c r="I5" i="33"/>
  <c r="H5" i="33"/>
  <c r="F5" i="33"/>
  <c r="E5" i="33"/>
  <c r="D5" i="33"/>
  <c r="T4" i="33"/>
  <c r="R4" i="33"/>
  <c r="Q4" i="33"/>
  <c r="P4" i="33"/>
  <c r="O4" i="33"/>
  <c r="N4" i="33"/>
  <c r="L4" i="33"/>
  <c r="K4" i="33"/>
  <c r="J4" i="33"/>
  <c r="I4" i="33"/>
  <c r="H4" i="33"/>
  <c r="F4" i="33"/>
  <c r="E4" i="33"/>
  <c r="D4" i="33"/>
  <c r="T3" i="33"/>
  <c r="R3" i="33"/>
  <c r="Q3" i="33"/>
  <c r="P3" i="33"/>
  <c r="O3" i="33"/>
  <c r="N3" i="33"/>
  <c r="L3" i="33"/>
  <c r="K3" i="33"/>
  <c r="J3" i="33"/>
  <c r="I3" i="33"/>
  <c r="H3" i="33"/>
  <c r="T106" i="32"/>
  <c r="F106" i="32"/>
  <c r="E106" i="32"/>
  <c r="D106" i="32"/>
  <c r="T105" i="32"/>
  <c r="R105" i="32"/>
  <c r="Q105" i="32"/>
  <c r="P105" i="32"/>
  <c r="O105" i="32"/>
  <c r="N105" i="32"/>
  <c r="L105" i="32"/>
  <c r="K105" i="32"/>
  <c r="J105" i="32"/>
  <c r="I105" i="32"/>
  <c r="H105" i="32"/>
  <c r="F105" i="32"/>
  <c r="E105" i="32"/>
  <c r="D105" i="32"/>
  <c r="C105" i="32"/>
  <c r="T104" i="32"/>
  <c r="F104" i="32"/>
  <c r="E104" i="32"/>
  <c r="D104" i="32"/>
  <c r="T103" i="32"/>
  <c r="F103" i="32"/>
  <c r="E103" i="32"/>
  <c r="D103" i="32"/>
  <c r="T102" i="32"/>
  <c r="F102" i="32"/>
  <c r="E102" i="32"/>
  <c r="D102" i="32"/>
  <c r="T101" i="32"/>
  <c r="F101" i="32"/>
  <c r="E101" i="32"/>
  <c r="D101" i="32"/>
  <c r="T100" i="32"/>
  <c r="F100" i="32"/>
  <c r="E100" i="32"/>
  <c r="D100" i="32"/>
  <c r="T99" i="32"/>
  <c r="F99" i="32"/>
  <c r="E99" i="32"/>
  <c r="D99" i="32"/>
  <c r="T98" i="32"/>
  <c r="F98" i="32"/>
  <c r="E98" i="32"/>
  <c r="D98" i="32"/>
  <c r="T97" i="32"/>
  <c r="F97" i="32"/>
  <c r="E97" i="32"/>
  <c r="D97" i="32"/>
  <c r="T96" i="32"/>
  <c r="F96" i="32"/>
  <c r="E96" i="32"/>
  <c r="D96" i="32"/>
  <c r="T95" i="32"/>
  <c r="F95" i="32"/>
  <c r="E95" i="32"/>
  <c r="D95" i="32"/>
  <c r="T94" i="32"/>
  <c r="F94" i="32"/>
  <c r="E94" i="32"/>
  <c r="D94" i="32"/>
  <c r="T93" i="32"/>
  <c r="F93" i="32"/>
  <c r="E93" i="32"/>
  <c r="D93" i="32"/>
  <c r="T92" i="32"/>
  <c r="F92" i="32"/>
  <c r="E92" i="32"/>
  <c r="D92" i="32"/>
  <c r="T91" i="32"/>
  <c r="F91" i="32"/>
  <c r="E91" i="32"/>
  <c r="D91" i="32"/>
  <c r="T90" i="32"/>
  <c r="F90" i="32"/>
  <c r="E90" i="32"/>
  <c r="D90" i="32"/>
  <c r="T89" i="32"/>
  <c r="F89" i="32"/>
  <c r="E89" i="32"/>
  <c r="D89" i="32"/>
  <c r="T88" i="32"/>
  <c r="F88" i="32"/>
  <c r="E88" i="32"/>
  <c r="D88" i="32"/>
  <c r="T87" i="32"/>
  <c r="F87" i="32"/>
  <c r="E87" i="32"/>
  <c r="D87" i="32"/>
  <c r="T86" i="32"/>
  <c r="F86" i="32"/>
  <c r="E86" i="32"/>
  <c r="D86" i="32"/>
  <c r="T85" i="32"/>
  <c r="F85" i="32"/>
  <c r="E85" i="32"/>
  <c r="D85" i="32"/>
  <c r="T84" i="32"/>
  <c r="F84" i="32"/>
  <c r="E84" i="32"/>
  <c r="D84" i="32"/>
  <c r="T83" i="32"/>
  <c r="F83" i="32"/>
  <c r="E83" i="32"/>
  <c r="D83" i="32"/>
  <c r="T82" i="32"/>
  <c r="F82" i="32"/>
  <c r="E82" i="32"/>
  <c r="D82" i="32"/>
  <c r="T81" i="32"/>
  <c r="F81" i="32"/>
  <c r="E81" i="32"/>
  <c r="D81" i="32"/>
  <c r="T80" i="32"/>
  <c r="F80" i="32"/>
  <c r="E80" i="32"/>
  <c r="D80" i="32"/>
  <c r="T79" i="32"/>
  <c r="F79" i="32"/>
  <c r="E79" i="32"/>
  <c r="D79" i="32"/>
  <c r="T78" i="32"/>
  <c r="F78" i="32"/>
  <c r="E78" i="32"/>
  <c r="D78" i="32"/>
  <c r="T77" i="32"/>
  <c r="F77" i="32"/>
  <c r="E77" i="32"/>
  <c r="D77" i="32"/>
  <c r="T76" i="32"/>
  <c r="F76" i="32"/>
  <c r="E76" i="32"/>
  <c r="D76" i="32"/>
  <c r="T75" i="32"/>
  <c r="F75" i="32"/>
  <c r="E75" i="32"/>
  <c r="D75" i="32"/>
  <c r="T74" i="32"/>
  <c r="F74" i="32"/>
  <c r="E74" i="32"/>
  <c r="D74" i="32"/>
  <c r="T73" i="32"/>
  <c r="F73" i="32"/>
  <c r="E73" i="32"/>
  <c r="D73" i="32"/>
  <c r="T72" i="32"/>
  <c r="F72" i="32"/>
  <c r="E72" i="32"/>
  <c r="D72" i="32"/>
  <c r="T71" i="32"/>
  <c r="F71" i="32"/>
  <c r="E71" i="32"/>
  <c r="D71" i="32"/>
  <c r="T70" i="32"/>
  <c r="F70" i="32"/>
  <c r="E70" i="32"/>
  <c r="D70" i="32"/>
  <c r="T69" i="32"/>
  <c r="F69" i="32"/>
  <c r="E69" i="32"/>
  <c r="D69" i="32"/>
  <c r="T68" i="32"/>
  <c r="F68" i="32"/>
  <c r="E68" i="32"/>
  <c r="D68" i="32"/>
  <c r="T67" i="32"/>
  <c r="F67" i="32"/>
  <c r="E67" i="32"/>
  <c r="D67" i="32"/>
  <c r="T66" i="32"/>
  <c r="F66" i="32"/>
  <c r="E66" i="32"/>
  <c r="D66" i="32"/>
  <c r="T65" i="32"/>
  <c r="F65" i="32"/>
  <c r="E65" i="32"/>
  <c r="D65" i="32"/>
  <c r="T64" i="32"/>
  <c r="F64" i="32"/>
  <c r="E64" i="32"/>
  <c r="D64" i="32"/>
  <c r="T63" i="32"/>
  <c r="F63" i="32"/>
  <c r="E63" i="32"/>
  <c r="D63" i="32"/>
  <c r="T62" i="32"/>
  <c r="F62" i="32"/>
  <c r="E62" i="32"/>
  <c r="D62" i="32"/>
  <c r="T61" i="32"/>
  <c r="F61" i="32"/>
  <c r="E61" i="32"/>
  <c r="D61" i="32"/>
  <c r="T60" i="32"/>
  <c r="F60" i="32"/>
  <c r="E60" i="32"/>
  <c r="D60" i="32"/>
  <c r="T59" i="32"/>
  <c r="F59" i="32"/>
  <c r="E59" i="32"/>
  <c r="D59" i="32"/>
  <c r="T58" i="32"/>
  <c r="F58" i="32"/>
  <c r="E58" i="32"/>
  <c r="D58" i="32"/>
  <c r="T57" i="32"/>
  <c r="F57" i="32"/>
  <c r="E57" i="32"/>
  <c r="D57" i="32"/>
  <c r="T56" i="32"/>
  <c r="F56" i="32"/>
  <c r="E56" i="32"/>
  <c r="D56" i="32"/>
  <c r="T55" i="32"/>
  <c r="F55" i="32"/>
  <c r="E55" i="32"/>
  <c r="D55" i="32"/>
  <c r="T54" i="32"/>
  <c r="F54" i="32"/>
  <c r="E54" i="32"/>
  <c r="D54" i="32"/>
  <c r="T53" i="32"/>
  <c r="F53" i="32"/>
  <c r="E53" i="32"/>
  <c r="D53" i="32"/>
  <c r="T52" i="32"/>
  <c r="F52" i="32"/>
  <c r="E52" i="32"/>
  <c r="D52" i="32"/>
  <c r="T51" i="32"/>
  <c r="F51" i="32"/>
  <c r="E51" i="32"/>
  <c r="D51" i="32"/>
  <c r="T50" i="32"/>
  <c r="F50" i="32"/>
  <c r="E50" i="32"/>
  <c r="D50" i="32"/>
  <c r="T49" i="32"/>
  <c r="F49" i="32"/>
  <c r="E49" i="32"/>
  <c r="D49" i="32"/>
  <c r="T48" i="32"/>
  <c r="F48" i="32"/>
  <c r="E48" i="32"/>
  <c r="D48" i="32"/>
  <c r="T47" i="32"/>
  <c r="F47" i="32"/>
  <c r="E47" i="32"/>
  <c r="D47" i="32"/>
  <c r="T46" i="32"/>
  <c r="F46" i="32"/>
  <c r="E46" i="32"/>
  <c r="D46" i="32"/>
  <c r="T45" i="32"/>
  <c r="F45" i="32"/>
  <c r="E45" i="32"/>
  <c r="D45" i="32"/>
  <c r="T44" i="32"/>
  <c r="F44" i="32"/>
  <c r="E44" i="32"/>
  <c r="D44" i="32"/>
  <c r="T43" i="32"/>
  <c r="F43" i="32"/>
  <c r="E43" i="32"/>
  <c r="D43" i="32"/>
  <c r="C43" i="32"/>
  <c r="T42" i="32"/>
  <c r="F42" i="32"/>
  <c r="E42" i="32"/>
  <c r="D42" i="32"/>
  <c r="T41" i="32"/>
  <c r="F41" i="32"/>
  <c r="E41" i="32"/>
  <c r="D41" i="32"/>
  <c r="T40" i="32"/>
  <c r="F40" i="32"/>
  <c r="E40" i="32"/>
  <c r="D40" i="32"/>
  <c r="T39" i="32"/>
  <c r="F39" i="32"/>
  <c r="E39" i="32"/>
  <c r="D39" i="32"/>
  <c r="T38" i="32"/>
  <c r="F38" i="32"/>
  <c r="E38" i="32"/>
  <c r="D38" i="32"/>
  <c r="T37" i="32"/>
  <c r="F37" i="32"/>
  <c r="E37" i="32"/>
  <c r="D37" i="32"/>
  <c r="T36" i="32"/>
  <c r="F36" i="32"/>
  <c r="E36" i="32"/>
  <c r="D36" i="32"/>
  <c r="T35" i="32"/>
  <c r="F35" i="32"/>
  <c r="E35" i="32"/>
  <c r="D35" i="32"/>
  <c r="T34" i="32"/>
  <c r="F34" i="32"/>
  <c r="E34" i="32"/>
  <c r="D34" i="32"/>
  <c r="T33" i="32"/>
  <c r="F33" i="32"/>
  <c r="E33" i="32"/>
  <c r="D33" i="32"/>
  <c r="T32" i="32"/>
  <c r="F32" i="32"/>
  <c r="E32" i="32"/>
  <c r="D32" i="32"/>
  <c r="T31" i="32"/>
  <c r="F31" i="32"/>
  <c r="E31" i="32"/>
  <c r="D31" i="32"/>
  <c r="T30" i="32"/>
  <c r="F30" i="32"/>
  <c r="E30" i="32"/>
  <c r="D30" i="32"/>
  <c r="T29" i="32"/>
  <c r="F29" i="32"/>
  <c r="E29" i="32"/>
  <c r="D29" i="32"/>
  <c r="T28" i="32"/>
  <c r="F28" i="32"/>
  <c r="E28" i="32"/>
  <c r="D28" i="32"/>
  <c r="T27" i="32"/>
  <c r="F27" i="32"/>
  <c r="E27" i="32"/>
  <c r="D27" i="32"/>
  <c r="T26" i="32"/>
  <c r="F26" i="32"/>
  <c r="E26" i="32"/>
  <c r="D26" i="32"/>
  <c r="T25" i="32"/>
  <c r="F25" i="32"/>
  <c r="E25" i="32"/>
  <c r="D25" i="32"/>
  <c r="T24" i="32"/>
  <c r="R24" i="32"/>
  <c r="Q24" i="32"/>
  <c r="P24" i="32"/>
  <c r="O24" i="32"/>
  <c r="N24" i="32"/>
  <c r="L24" i="32"/>
  <c r="K24" i="32"/>
  <c r="J24" i="32"/>
  <c r="I24" i="32"/>
  <c r="H24" i="32"/>
  <c r="F24" i="32"/>
  <c r="E24" i="32"/>
  <c r="D24" i="32"/>
  <c r="C24" i="32"/>
  <c r="T23" i="32"/>
  <c r="F23" i="32"/>
  <c r="E23" i="32"/>
  <c r="D23" i="32"/>
  <c r="T22" i="32"/>
  <c r="F22" i="32"/>
  <c r="E22" i="32"/>
  <c r="D22" i="32"/>
  <c r="T21" i="32"/>
  <c r="F21" i="32"/>
  <c r="E21" i="32"/>
  <c r="D21" i="32"/>
  <c r="T20" i="32"/>
  <c r="F20" i="32"/>
  <c r="E20" i="32"/>
  <c r="D20" i="32"/>
  <c r="T19" i="32"/>
  <c r="F19" i="32"/>
  <c r="E19" i="32"/>
  <c r="D19" i="32"/>
  <c r="T18" i="32"/>
  <c r="F18" i="32"/>
  <c r="E18" i="32"/>
  <c r="D18" i="32"/>
  <c r="T17" i="32"/>
  <c r="F17" i="32"/>
  <c r="E17" i="32"/>
  <c r="D17" i="32"/>
  <c r="T16" i="32"/>
  <c r="F16" i="32"/>
  <c r="E16" i="32"/>
  <c r="D16" i="32"/>
  <c r="T15" i="32"/>
  <c r="F15" i="32"/>
  <c r="E15" i="32"/>
  <c r="D15" i="32"/>
  <c r="T14" i="32"/>
  <c r="F14" i="32"/>
  <c r="E14" i="32"/>
  <c r="D14" i="32"/>
  <c r="T13" i="32"/>
  <c r="F13" i="32"/>
  <c r="E13" i="32"/>
  <c r="D13" i="32"/>
  <c r="T12" i="32"/>
  <c r="F12" i="32"/>
  <c r="E12" i="32"/>
  <c r="D12" i="32"/>
  <c r="T11" i="32"/>
  <c r="F11" i="32"/>
  <c r="E11" i="32"/>
  <c r="D11" i="32"/>
  <c r="T10" i="32"/>
  <c r="F10" i="32"/>
  <c r="E10" i="32"/>
  <c r="D10" i="32"/>
  <c r="T9" i="32"/>
  <c r="F9" i="32"/>
  <c r="E9" i="32"/>
  <c r="D9" i="32"/>
  <c r="T8" i="32"/>
  <c r="F8" i="32"/>
  <c r="E8" i="32"/>
  <c r="D8" i="32"/>
  <c r="T7" i="32"/>
  <c r="F7" i="32"/>
  <c r="E7" i="32"/>
  <c r="D7" i="32"/>
  <c r="T6" i="32"/>
  <c r="F6" i="32"/>
  <c r="E6" i="32"/>
  <c r="D6" i="32"/>
  <c r="T5" i="32"/>
  <c r="F5" i="32"/>
  <c r="E5" i="32"/>
  <c r="D5" i="32"/>
  <c r="T4" i="32"/>
  <c r="F4" i="32"/>
  <c r="E4" i="32"/>
  <c r="D4" i="32"/>
  <c r="T3" i="32"/>
  <c r="T106" i="31"/>
  <c r="R106" i="31"/>
  <c r="Q106" i="31"/>
  <c r="P106" i="31"/>
  <c r="O106" i="31"/>
  <c r="N106" i="31"/>
  <c r="L106" i="31"/>
  <c r="K106" i="31"/>
  <c r="J106" i="31"/>
  <c r="I106" i="31"/>
  <c r="H106" i="31"/>
  <c r="F106" i="31"/>
  <c r="E106" i="31"/>
  <c r="D106" i="31"/>
  <c r="T105" i="31"/>
  <c r="R105" i="31"/>
  <c r="Q105" i="31"/>
  <c r="P105" i="31"/>
  <c r="O105" i="31"/>
  <c r="N105" i="31"/>
  <c r="L105" i="31"/>
  <c r="K105" i="31"/>
  <c r="J105" i="31"/>
  <c r="I105" i="31"/>
  <c r="H105" i="31"/>
  <c r="F105" i="31"/>
  <c r="E105" i="31"/>
  <c r="D105" i="31"/>
  <c r="C105" i="31"/>
  <c r="T104" i="31"/>
  <c r="R104" i="31"/>
  <c r="Q104" i="31"/>
  <c r="P104" i="31"/>
  <c r="O104" i="31"/>
  <c r="N104" i="31"/>
  <c r="L104" i="31"/>
  <c r="K104" i="31"/>
  <c r="J104" i="31"/>
  <c r="I104" i="31"/>
  <c r="H104" i="31"/>
  <c r="F104" i="31"/>
  <c r="E104" i="31"/>
  <c r="D104" i="31"/>
  <c r="T103" i="31"/>
  <c r="R103" i="31"/>
  <c r="Q103" i="31"/>
  <c r="P103" i="31"/>
  <c r="O103" i="31"/>
  <c r="N103" i="31"/>
  <c r="L103" i="31"/>
  <c r="K103" i="31"/>
  <c r="J103" i="31"/>
  <c r="I103" i="31"/>
  <c r="H103" i="31"/>
  <c r="F103" i="31"/>
  <c r="E103" i="31"/>
  <c r="D103" i="31"/>
  <c r="T102" i="31"/>
  <c r="R102" i="31"/>
  <c r="Q102" i="31"/>
  <c r="P102" i="31"/>
  <c r="O102" i="31"/>
  <c r="N102" i="31"/>
  <c r="L102" i="31"/>
  <c r="K102" i="31"/>
  <c r="J102" i="31"/>
  <c r="I102" i="31"/>
  <c r="H102" i="31"/>
  <c r="F102" i="31"/>
  <c r="E102" i="31"/>
  <c r="D102" i="31"/>
  <c r="T101" i="31"/>
  <c r="R101" i="31"/>
  <c r="Q101" i="31"/>
  <c r="P101" i="31"/>
  <c r="O101" i="31"/>
  <c r="N101" i="31"/>
  <c r="L101" i="31"/>
  <c r="K101" i="31"/>
  <c r="J101" i="31"/>
  <c r="I101" i="31"/>
  <c r="H101" i="31"/>
  <c r="F101" i="31"/>
  <c r="E101" i="31"/>
  <c r="D101" i="31"/>
  <c r="T100" i="31"/>
  <c r="R100" i="31"/>
  <c r="Q100" i="31"/>
  <c r="P100" i="31"/>
  <c r="O100" i="31"/>
  <c r="N100" i="31"/>
  <c r="L100" i="31"/>
  <c r="K100" i="31"/>
  <c r="J100" i="31"/>
  <c r="I100" i="31"/>
  <c r="H100" i="31"/>
  <c r="F100" i="31"/>
  <c r="E100" i="31"/>
  <c r="D100" i="31"/>
  <c r="T99" i="31"/>
  <c r="R99" i="31"/>
  <c r="Q99" i="31"/>
  <c r="P99" i="31"/>
  <c r="O99" i="31"/>
  <c r="N99" i="31"/>
  <c r="L99" i="31"/>
  <c r="K99" i="31"/>
  <c r="J99" i="31"/>
  <c r="I99" i="31"/>
  <c r="H99" i="31"/>
  <c r="F99" i="31"/>
  <c r="E99" i="31"/>
  <c r="D99" i="31"/>
  <c r="T98" i="31"/>
  <c r="R98" i="31"/>
  <c r="Q98" i="31"/>
  <c r="P98" i="31"/>
  <c r="O98" i="31"/>
  <c r="N98" i="31"/>
  <c r="L98" i="31"/>
  <c r="K98" i="31"/>
  <c r="J98" i="31"/>
  <c r="I98" i="31"/>
  <c r="H98" i="31"/>
  <c r="F98" i="31"/>
  <c r="E98" i="31"/>
  <c r="D98" i="31"/>
  <c r="T97" i="31"/>
  <c r="R97" i="31"/>
  <c r="Q97" i="31"/>
  <c r="P97" i="31"/>
  <c r="O97" i="31"/>
  <c r="N97" i="31"/>
  <c r="L97" i="31"/>
  <c r="K97" i="31"/>
  <c r="J97" i="31"/>
  <c r="I97" i="31"/>
  <c r="H97" i="31"/>
  <c r="F97" i="31"/>
  <c r="E97" i="31"/>
  <c r="D97" i="31"/>
  <c r="T96" i="31"/>
  <c r="R96" i="31"/>
  <c r="Q96" i="31"/>
  <c r="P96" i="31"/>
  <c r="O96" i="31"/>
  <c r="N96" i="31"/>
  <c r="L96" i="31"/>
  <c r="K96" i="31"/>
  <c r="J96" i="31"/>
  <c r="I96" i="31"/>
  <c r="H96" i="31"/>
  <c r="F96" i="31"/>
  <c r="E96" i="31"/>
  <c r="D96" i="31"/>
  <c r="T95" i="31"/>
  <c r="R95" i="31"/>
  <c r="Q95" i="31"/>
  <c r="P95" i="31"/>
  <c r="O95" i="31"/>
  <c r="N95" i="31"/>
  <c r="L95" i="31"/>
  <c r="K95" i="31"/>
  <c r="J95" i="31"/>
  <c r="I95" i="31"/>
  <c r="H95" i="31"/>
  <c r="F95" i="31"/>
  <c r="E95" i="31"/>
  <c r="D95" i="31"/>
  <c r="T94" i="31"/>
  <c r="R94" i="31"/>
  <c r="Q94" i="31"/>
  <c r="P94" i="31"/>
  <c r="O94" i="31"/>
  <c r="N94" i="31"/>
  <c r="L94" i="31"/>
  <c r="K94" i="31"/>
  <c r="J94" i="31"/>
  <c r="I94" i="31"/>
  <c r="H94" i="31"/>
  <c r="F94" i="31"/>
  <c r="E94" i="31"/>
  <c r="D94" i="31"/>
  <c r="T93" i="31"/>
  <c r="R93" i="31"/>
  <c r="Q93" i="31"/>
  <c r="P93" i="31"/>
  <c r="O93" i="31"/>
  <c r="N93" i="31"/>
  <c r="L93" i="31"/>
  <c r="K93" i="31"/>
  <c r="J93" i="31"/>
  <c r="I93" i="31"/>
  <c r="H93" i="31"/>
  <c r="F93" i="31"/>
  <c r="E93" i="31"/>
  <c r="D93" i="31"/>
  <c r="T92" i="31"/>
  <c r="R92" i="31"/>
  <c r="Q92" i="31"/>
  <c r="P92" i="31"/>
  <c r="O92" i="31"/>
  <c r="N92" i="31"/>
  <c r="L92" i="31"/>
  <c r="K92" i="31"/>
  <c r="J92" i="31"/>
  <c r="I92" i="31"/>
  <c r="H92" i="31"/>
  <c r="F92" i="31"/>
  <c r="E92" i="31"/>
  <c r="D92" i="31"/>
  <c r="T91" i="31"/>
  <c r="R91" i="31"/>
  <c r="Q91" i="31"/>
  <c r="P91" i="31"/>
  <c r="O91" i="31"/>
  <c r="N91" i="31"/>
  <c r="L91" i="31"/>
  <c r="K91" i="31"/>
  <c r="J91" i="31"/>
  <c r="I91" i="31"/>
  <c r="H91" i="31"/>
  <c r="F91" i="31"/>
  <c r="E91" i="31"/>
  <c r="D91" i="31"/>
  <c r="T90" i="31"/>
  <c r="R90" i="31"/>
  <c r="Q90" i="31"/>
  <c r="P90" i="31"/>
  <c r="O90" i="31"/>
  <c r="N90" i="31"/>
  <c r="L90" i="31"/>
  <c r="K90" i="31"/>
  <c r="J90" i="31"/>
  <c r="I90" i="31"/>
  <c r="H90" i="31"/>
  <c r="F90" i="31"/>
  <c r="E90" i="31"/>
  <c r="D90" i="31"/>
  <c r="T89" i="31"/>
  <c r="R89" i="31"/>
  <c r="Q89" i="31"/>
  <c r="P89" i="31"/>
  <c r="O89" i="31"/>
  <c r="N89" i="31"/>
  <c r="L89" i="31"/>
  <c r="K89" i="31"/>
  <c r="J89" i="31"/>
  <c r="I89" i="31"/>
  <c r="H89" i="31"/>
  <c r="F89" i="31"/>
  <c r="E89" i="31"/>
  <c r="D89" i="31"/>
  <c r="T88" i="31"/>
  <c r="R88" i="31"/>
  <c r="Q88" i="31"/>
  <c r="P88" i="31"/>
  <c r="O88" i="31"/>
  <c r="N88" i="31"/>
  <c r="L88" i="31"/>
  <c r="K88" i="31"/>
  <c r="J88" i="31"/>
  <c r="I88" i="31"/>
  <c r="H88" i="31"/>
  <c r="F88" i="31"/>
  <c r="E88" i="31"/>
  <c r="D88" i="31"/>
  <c r="T87" i="31"/>
  <c r="R87" i="31"/>
  <c r="Q87" i="31"/>
  <c r="P87" i="31"/>
  <c r="O87" i="31"/>
  <c r="N87" i="31"/>
  <c r="L87" i="31"/>
  <c r="K87" i="31"/>
  <c r="J87" i="31"/>
  <c r="I87" i="31"/>
  <c r="H87" i="31"/>
  <c r="F87" i="31"/>
  <c r="E87" i="31"/>
  <c r="D87" i="31"/>
  <c r="T86" i="31"/>
  <c r="R86" i="31"/>
  <c r="Q86" i="31"/>
  <c r="P86" i="31"/>
  <c r="O86" i="31"/>
  <c r="N86" i="31"/>
  <c r="L86" i="31"/>
  <c r="K86" i="31"/>
  <c r="J86" i="31"/>
  <c r="I86" i="31"/>
  <c r="H86" i="31"/>
  <c r="F86" i="31"/>
  <c r="E86" i="31"/>
  <c r="D86" i="31"/>
  <c r="T85" i="31"/>
  <c r="R85" i="31"/>
  <c r="Q85" i="31"/>
  <c r="P85" i="31"/>
  <c r="O85" i="31"/>
  <c r="N85" i="31"/>
  <c r="L85" i="31"/>
  <c r="K85" i="31"/>
  <c r="J85" i="31"/>
  <c r="I85" i="31"/>
  <c r="H85" i="31"/>
  <c r="F85" i="31"/>
  <c r="E85" i="31"/>
  <c r="D85" i="31"/>
  <c r="T84" i="31"/>
  <c r="R84" i="31"/>
  <c r="Q84" i="31"/>
  <c r="P84" i="31"/>
  <c r="O84" i="31"/>
  <c r="N84" i="31"/>
  <c r="L84" i="31"/>
  <c r="K84" i="31"/>
  <c r="J84" i="31"/>
  <c r="I84" i="31"/>
  <c r="H84" i="31"/>
  <c r="F84" i="31"/>
  <c r="E84" i="31"/>
  <c r="D84" i="31"/>
  <c r="T83" i="31"/>
  <c r="R83" i="31"/>
  <c r="Q83" i="31"/>
  <c r="P83" i="31"/>
  <c r="O83" i="31"/>
  <c r="N83" i="31"/>
  <c r="L83" i="31"/>
  <c r="K83" i="31"/>
  <c r="J83" i="31"/>
  <c r="I83" i="31"/>
  <c r="H83" i="31"/>
  <c r="F83" i="31"/>
  <c r="E83" i="31"/>
  <c r="D83" i="31"/>
  <c r="T82" i="31"/>
  <c r="R82" i="31"/>
  <c r="Q82" i="31"/>
  <c r="P82" i="31"/>
  <c r="O82" i="31"/>
  <c r="N82" i="31"/>
  <c r="L82" i="31"/>
  <c r="K82" i="31"/>
  <c r="J82" i="31"/>
  <c r="I82" i="31"/>
  <c r="H82" i="31"/>
  <c r="F82" i="31"/>
  <c r="E82" i="31"/>
  <c r="D82" i="31"/>
  <c r="T81" i="31"/>
  <c r="R81" i="31"/>
  <c r="Q81" i="31"/>
  <c r="P81" i="31"/>
  <c r="O81" i="31"/>
  <c r="N81" i="31"/>
  <c r="L81" i="31"/>
  <c r="K81" i="31"/>
  <c r="J81" i="31"/>
  <c r="I81" i="31"/>
  <c r="H81" i="31"/>
  <c r="F81" i="31"/>
  <c r="E81" i="31"/>
  <c r="D81" i="31"/>
  <c r="T80" i="31"/>
  <c r="R80" i="31"/>
  <c r="Q80" i="31"/>
  <c r="P80" i="31"/>
  <c r="O80" i="31"/>
  <c r="N80" i="31"/>
  <c r="L80" i="31"/>
  <c r="K80" i="31"/>
  <c r="J80" i="31"/>
  <c r="I80" i="31"/>
  <c r="H80" i="31"/>
  <c r="F80" i="31"/>
  <c r="E80" i="31"/>
  <c r="D80" i="31"/>
  <c r="T79" i="31"/>
  <c r="R79" i="31"/>
  <c r="Q79" i="31"/>
  <c r="P79" i="31"/>
  <c r="O79" i="31"/>
  <c r="N79" i="31"/>
  <c r="L79" i="31"/>
  <c r="K79" i="31"/>
  <c r="J79" i="31"/>
  <c r="I79" i="31"/>
  <c r="H79" i="31"/>
  <c r="F79" i="31"/>
  <c r="E79" i="31"/>
  <c r="D79" i="31"/>
  <c r="T78" i="31"/>
  <c r="R78" i="31"/>
  <c r="Q78" i="31"/>
  <c r="P78" i="31"/>
  <c r="O78" i="31"/>
  <c r="N78" i="31"/>
  <c r="L78" i="31"/>
  <c r="K78" i="31"/>
  <c r="J78" i="31"/>
  <c r="I78" i="31"/>
  <c r="H78" i="31"/>
  <c r="F78" i="31"/>
  <c r="E78" i="31"/>
  <c r="D78" i="31"/>
  <c r="T77" i="31"/>
  <c r="R77" i="31"/>
  <c r="Q77" i="31"/>
  <c r="P77" i="31"/>
  <c r="O77" i="31"/>
  <c r="N77" i="31"/>
  <c r="L77" i="31"/>
  <c r="K77" i="31"/>
  <c r="J77" i="31"/>
  <c r="I77" i="31"/>
  <c r="H77" i="31"/>
  <c r="F77" i="31"/>
  <c r="E77" i="31"/>
  <c r="D77" i="31"/>
  <c r="T76" i="31"/>
  <c r="R76" i="31"/>
  <c r="Q76" i="31"/>
  <c r="P76" i="31"/>
  <c r="O76" i="31"/>
  <c r="N76" i="31"/>
  <c r="L76" i="31"/>
  <c r="K76" i="31"/>
  <c r="J76" i="31"/>
  <c r="I76" i="31"/>
  <c r="H76" i="31"/>
  <c r="F76" i="31"/>
  <c r="E76" i="31"/>
  <c r="D76" i="31"/>
  <c r="T75" i="31"/>
  <c r="R75" i="31"/>
  <c r="Q75" i="31"/>
  <c r="P75" i="31"/>
  <c r="O75" i="31"/>
  <c r="N75" i="31"/>
  <c r="L75" i="31"/>
  <c r="K75" i="31"/>
  <c r="J75" i="31"/>
  <c r="I75" i="31"/>
  <c r="H75" i="31"/>
  <c r="F75" i="31"/>
  <c r="E75" i="31"/>
  <c r="D75" i="31"/>
  <c r="T74" i="31"/>
  <c r="R74" i="31"/>
  <c r="Q74" i="31"/>
  <c r="P74" i="31"/>
  <c r="O74" i="31"/>
  <c r="N74" i="31"/>
  <c r="L74" i="31"/>
  <c r="K74" i="31"/>
  <c r="J74" i="31"/>
  <c r="I74" i="31"/>
  <c r="H74" i="31"/>
  <c r="F74" i="31"/>
  <c r="E74" i="31"/>
  <c r="D74" i="31"/>
  <c r="T73" i="31"/>
  <c r="R73" i="31"/>
  <c r="Q73" i="31"/>
  <c r="P73" i="31"/>
  <c r="O73" i="31"/>
  <c r="N73" i="31"/>
  <c r="L73" i="31"/>
  <c r="K73" i="31"/>
  <c r="J73" i="31"/>
  <c r="I73" i="31"/>
  <c r="H73" i="31"/>
  <c r="F73" i="31"/>
  <c r="E73" i="31"/>
  <c r="D73" i="31"/>
  <c r="T72" i="31"/>
  <c r="R72" i="31"/>
  <c r="Q72" i="31"/>
  <c r="P72" i="31"/>
  <c r="O72" i="31"/>
  <c r="N72" i="31"/>
  <c r="L72" i="31"/>
  <c r="K72" i="31"/>
  <c r="J72" i="31"/>
  <c r="I72" i="31"/>
  <c r="H72" i="31"/>
  <c r="F72" i="31"/>
  <c r="E72" i="31"/>
  <c r="D72" i="31"/>
  <c r="T71" i="31"/>
  <c r="R71" i="31"/>
  <c r="Q71" i="31"/>
  <c r="P71" i="31"/>
  <c r="O71" i="31"/>
  <c r="N71" i="31"/>
  <c r="L71" i="31"/>
  <c r="K71" i="31"/>
  <c r="J71" i="31"/>
  <c r="I71" i="31"/>
  <c r="H71" i="31"/>
  <c r="F71" i="31"/>
  <c r="E71" i="31"/>
  <c r="D71" i="31"/>
  <c r="T70" i="31"/>
  <c r="R70" i="31"/>
  <c r="Q70" i="31"/>
  <c r="P70" i="31"/>
  <c r="O70" i="31"/>
  <c r="N70" i="31"/>
  <c r="L70" i="31"/>
  <c r="K70" i="31"/>
  <c r="J70" i="31"/>
  <c r="I70" i="31"/>
  <c r="H70" i="31"/>
  <c r="F70" i="31"/>
  <c r="E70" i="31"/>
  <c r="D70" i="31"/>
  <c r="T69" i="31"/>
  <c r="R69" i="31"/>
  <c r="Q69" i="31"/>
  <c r="P69" i="31"/>
  <c r="O69" i="31"/>
  <c r="N69" i="31"/>
  <c r="L69" i="31"/>
  <c r="K69" i="31"/>
  <c r="J69" i="31"/>
  <c r="I69" i="31"/>
  <c r="H69" i="31"/>
  <c r="F69" i="31"/>
  <c r="E69" i="31"/>
  <c r="D69" i="31"/>
  <c r="T68" i="31"/>
  <c r="R68" i="31"/>
  <c r="Q68" i="31"/>
  <c r="P68" i="31"/>
  <c r="O68" i="31"/>
  <c r="N68" i="31"/>
  <c r="L68" i="31"/>
  <c r="K68" i="31"/>
  <c r="J68" i="31"/>
  <c r="I68" i="31"/>
  <c r="H68" i="31"/>
  <c r="F68" i="31"/>
  <c r="E68" i="31"/>
  <c r="D68" i="31"/>
  <c r="T67" i="31"/>
  <c r="R67" i="31"/>
  <c r="Q67" i="31"/>
  <c r="P67" i="31"/>
  <c r="O67" i="31"/>
  <c r="N67" i="31"/>
  <c r="L67" i="31"/>
  <c r="K67" i="31"/>
  <c r="J67" i="31"/>
  <c r="I67" i="31"/>
  <c r="H67" i="31"/>
  <c r="F67" i="31"/>
  <c r="E67" i="31"/>
  <c r="D67" i="31"/>
  <c r="T66" i="31"/>
  <c r="R66" i="31"/>
  <c r="Q66" i="31"/>
  <c r="P66" i="31"/>
  <c r="O66" i="31"/>
  <c r="N66" i="31"/>
  <c r="L66" i="31"/>
  <c r="K66" i="31"/>
  <c r="J66" i="31"/>
  <c r="I66" i="31"/>
  <c r="H66" i="31"/>
  <c r="F66" i="31"/>
  <c r="E66" i="31"/>
  <c r="D66" i="31"/>
  <c r="T65" i="31"/>
  <c r="R65" i="31"/>
  <c r="Q65" i="31"/>
  <c r="P65" i="31"/>
  <c r="O65" i="31"/>
  <c r="N65" i="31"/>
  <c r="L65" i="31"/>
  <c r="K65" i="31"/>
  <c r="J65" i="31"/>
  <c r="I65" i="31"/>
  <c r="H65" i="31"/>
  <c r="F65" i="31"/>
  <c r="E65" i="31"/>
  <c r="D65" i="31"/>
  <c r="T64" i="31"/>
  <c r="R64" i="31"/>
  <c r="Q64" i="31"/>
  <c r="P64" i="31"/>
  <c r="O64" i="31"/>
  <c r="N64" i="31"/>
  <c r="L64" i="31"/>
  <c r="K64" i="31"/>
  <c r="J64" i="31"/>
  <c r="I64" i="31"/>
  <c r="H64" i="31"/>
  <c r="F64" i="31"/>
  <c r="E64" i="31"/>
  <c r="D64" i="31"/>
  <c r="T63" i="31"/>
  <c r="R63" i="31"/>
  <c r="Q63" i="31"/>
  <c r="P63" i="31"/>
  <c r="O63" i="31"/>
  <c r="N63" i="31"/>
  <c r="L63" i="31"/>
  <c r="K63" i="31"/>
  <c r="J63" i="31"/>
  <c r="I63" i="31"/>
  <c r="H63" i="31"/>
  <c r="F63" i="31"/>
  <c r="E63" i="31"/>
  <c r="D63" i="31"/>
  <c r="T62" i="31"/>
  <c r="R62" i="31"/>
  <c r="Q62" i="31"/>
  <c r="P62" i="31"/>
  <c r="O62" i="31"/>
  <c r="N62" i="31"/>
  <c r="L62" i="31"/>
  <c r="K62" i="31"/>
  <c r="J62" i="31"/>
  <c r="I62" i="31"/>
  <c r="H62" i="31"/>
  <c r="F62" i="31"/>
  <c r="E62" i="31"/>
  <c r="D62" i="31"/>
  <c r="T61" i="31"/>
  <c r="R61" i="31"/>
  <c r="Q61" i="31"/>
  <c r="P61" i="31"/>
  <c r="O61" i="31"/>
  <c r="N61" i="31"/>
  <c r="L61" i="31"/>
  <c r="K61" i="31"/>
  <c r="J61" i="31"/>
  <c r="I61" i="31"/>
  <c r="H61" i="31"/>
  <c r="F61" i="31"/>
  <c r="E61" i="31"/>
  <c r="D61" i="31"/>
  <c r="T60" i="31"/>
  <c r="R60" i="31"/>
  <c r="Q60" i="31"/>
  <c r="P60" i="31"/>
  <c r="O60" i="31"/>
  <c r="N60" i="31"/>
  <c r="L60" i="31"/>
  <c r="K60" i="31"/>
  <c r="J60" i="31"/>
  <c r="I60" i="31"/>
  <c r="H60" i="31"/>
  <c r="F60" i="31"/>
  <c r="E60" i="31"/>
  <c r="D60" i="31"/>
  <c r="T59" i="31"/>
  <c r="R59" i="31"/>
  <c r="Q59" i="31"/>
  <c r="P59" i="31"/>
  <c r="O59" i="31"/>
  <c r="N59" i="31"/>
  <c r="L59" i="31"/>
  <c r="K59" i="31"/>
  <c r="J59" i="31"/>
  <c r="I59" i="31"/>
  <c r="H59" i="31"/>
  <c r="F59" i="31"/>
  <c r="E59" i="31"/>
  <c r="D59" i="31"/>
  <c r="T58" i="31"/>
  <c r="R58" i="31"/>
  <c r="Q58" i="31"/>
  <c r="P58" i="31"/>
  <c r="O58" i="31"/>
  <c r="N58" i="31"/>
  <c r="L58" i="31"/>
  <c r="K58" i="31"/>
  <c r="J58" i="31"/>
  <c r="I58" i="31"/>
  <c r="H58" i="31"/>
  <c r="F58" i="31"/>
  <c r="E58" i="31"/>
  <c r="D58" i="31"/>
  <c r="T57" i="31"/>
  <c r="R57" i="31"/>
  <c r="Q57" i="31"/>
  <c r="P57" i="31"/>
  <c r="O57" i="31"/>
  <c r="N57" i="31"/>
  <c r="L57" i="31"/>
  <c r="K57" i="31"/>
  <c r="J57" i="31"/>
  <c r="I57" i="31"/>
  <c r="H57" i="31"/>
  <c r="F57" i="31"/>
  <c r="E57" i="31"/>
  <c r="D57" i="31"/>
  <c r="T56" i="31"/>
  <c r="R56" i="31"/>
  <c r="Q56" i="31"/>
  <c r="P56" i="31"/>
  <c r="O56" i="31"/>
  <c r="N56" i="31"/>
  <c r="L56" i="31"/>
  <c r="K56" i="31"/>
  <c r="J56" i="31"/>
  <c r="I56" i="31"/>
  <c r="H56" i="31"/>
  <c r="F56" i="31"/>
  <c r="E56" i="31"/>
  <c r="D56" i="31"/>
  <c r="T55" i="31"/>
  <c r="R55" i="31"/>
  <c r="Q55" i="31"/>
  <c r="P55" i="31"/>
  <c r="O55" i="31"/>
  <c r="N55" i="31"/>
  <c r="L55" i="31"/>
  <c r="K55" i="31"/>
  <c r="J55" i="31"/>
  <c r="I55" i="31"/>
  <c r="H55" i="31"/>
  <c r="F55" i="31"/>
  <c r="E55" i="31"/>
  <c r="D55" i="31"/>
  <c r="T54" i="31"/>
  <c r="R54" i="31"/>
  <c r="Q54" i="31"/>
  <c r="P54" i="31"/>
  <c r="O54" i="31"/>
  <c r="N54" i="31"/>
  <c r="L54" i="31"/>
  <c r="K54" i="31"/>
  <c r="J54" i="31"/>
  <c r="I54" i="31"/>
  <c r="H54" i="31"/>
  <c r="F54" i="31"/>
  <c r="E54" i="31"/>
  <c r="D54" i="31"/>
  <c r="T53" i="31"/>
  <c r="R53" i="31"/>
  <c r="Q53" i="31"/>
  <c r="P53" i="31"/>
  <c r="O53" i="31"/>
  <c r="N53" i="31"/>
  <c r="L53" i="31"/>
  <c r="K53" i="31"/>
  <c r="J53" i="31"/>
  <c r="I53" i="31"/>
  <c r="H53" i="31"/>
  <c r="F53" i="31"/>
  <c r="E53" i="31"/>
  <c r="D53" i="31"/>
  <c r="T52" i="31"/>
  <c r="R52" i="31"/>
  <c r="Q52" i="31"/>
  <c r="P52" i="31"/>
  <c r="O52" i="31"/>
  <c r="N52" i="31"/>
  <c r="L52" i="31"/>
  <c r="K52" i="31"/>
  <c r="J52" i="31"/>
  <c r="I52" i="31"/>
  <c r="H52" i="31"/>
  <c r="F52" i="31"/>
  <c r="E52" i="31"/>
  <c r="D52" i="31"/>
  <c r="T51" i="31"/>
  <c r="R51" i="31"/>
  <c r="Q51" i="31"/>
  <c r="P51" i="31"/>
  <c r="O51" i="31"/>
  <c r="N51" i="31"/>
  <c r="L51" i="31"/>
  <c r="K51" i="31"/>
  <c r="J51" i="31"/>
  <c r="I51" i="31"/>
  <c r="H51" i="31"/>
  <c r="F51" i="31"/>
  <c r="E51" i="31"/>
  <c r="D51" i="31"/>
  <c r="T50" i="31"/>
  <c r="R50" i="31"/>
  <c r="Q50" i="31"/>
  <c r="P50" i="31"/>
  <c r="O50" i="31"/>
  <c r="N50" i="31"/>
  <c r="L50" i="31"/>
  <c r="K50" i="31"/>
  <c r="J50" i="31"/>
  <c r="I50" i="31"/>
  <c r="H50" i="31"/>
  <c r="F50" i="31"/>
  <c r="E50" i="31"/>
  <c r="D50" i="31"/>
  <c r="T49" i="31"/>
  <c r="R49" i="31"/>
  <c r="Q49" i="31"/>
  <c r="P49" i="31"/>
  <c r="O49" i="31"/>
  <c r="N49" i="31"/>
  <c r="L49" i="31"/>
  <c r="K49" i="31"/>
  <c r="J49" i="31"/>
  <c r="I49" i="31"/>
  <c r="H49" i="31"/>
  <c r="F49" i="31"/>
  <c r="E49" i="31"/>
  <c r="D49" i="31"/>
  <c r="T48" i="31"/>
  <c r="R48" i="31"/>
  <c r="Q48" i="31"/>
  <c r="P48" i="31"/>
  <c r="O48" i="31"/>
  <c r="N48" i="31"/>
  <c r="L48" i="31"/>
  <c r="K48" i="31"/>
  <c r="J48" i="31"/>
  <c r="I48" i="31"/>
  <c r="H48" i="31"/>
  <c r="F48" i="31"/>
  <c r="E48" i="31"/>
  <c r="D48" i="31"/>
  <c r="T47" i="31"/>
  <c r="R47" i="31"/>
  <c r="Q47" i="31"/>
  <c r="P47" i="31"/>
  <c r="O47" i="31"/>
  <c r="N47" i="31"/>
  <c r="L47" i="31"/>
  <c r="K47" i="31"/>
  <c r="J47" i="31"/>
  <c r="I47" i="31"/>
  <c r="H47" i="31"/>
  <c r="F47" i="31"/>
  <c r="E47" i="31"/>
  <c r="D47" i="31"/>
  <c r="T46" i="31"/>
  <c r="R46" i="31"/>
  <c r="Q46" i="31"/>
  <c r="P46" i="31"/>
  <c r="O46" i="31"/>
  <c r="N46" i="31"/>
  <c r="L46" i="31"/>
  <c r="K46" i="31"/>
  <c r="J46" i="31"/>
  <c r="I46" i="31"/>
  <c r="H46" i="31"/>
  <c r="F46" i="31"/>
  <c r="E46" i="31"/>
  <c r="D46" i="31"/>
  <c r="T45" i="31"/>
  <c r="R45" i="31"/>
  <c r="Q45" i="31"/>
  <c r="P45" i="31"/>
  <c r="O45" i="31"/>
  <c r="N45" i="31"/>
  <c r="L45" i="31"/>
  <c r="K45" i="31"/>
  <c r="J45" i="31"/>
  <c r="I45" i="31"/>
  <c r="H45" i="31"/>
  <c r="F45" i="31"/>
  <c r="E45" i="31"/>
  <c r="D45" i="31"/>
  <c r="T44" i="31"/>
  <c r="R44" i="31"/>
  <c r="Q44" i="31"/>
  <c r="P44" i="31"/>
  <c r="O44" i="31"/>
  <c r="N44" i="31"/>
  <c r="L44" i="31"/>
  <c r="K44" i="31"/>
  <c r="J44" i="31"/>
  <c r="I44" i="31"/>
  <c r="H44" i="31"/>
  <c r="F44" i="31"/>
  <c r="E44" i="31"/>
  <c r="D44" i="31"/>
  <c r="T43" i="31"/>
  <c r="R43" i="31"/>
  <c r="Q43" i="31"/>
  <c r="P43" i="31"/>
  <c r="O43" i="31"/>
  <c r="N43" i="31"/>
  <c r="L43" i="31"/>
  <c r="K43" i="31"/>
  <c r="J43" i="31"/>
  <c r="I43" i="31"/>
  <c r="H43" i="31"/>
  <c r="F43" i="31"/>
  <c r="E43" i="31"/>
  <c r="D43" i="31"/>
  <c r="C43" i="31"/>
  <c r="T42" i="31"/>
  <c r="R42" i="31"/>
  <c r="Q42" i="31"/>
  <c r="P42" i="31"/>
  <c r="O42" i="31"/>
  <c r="N42" i="31"/>
  <c r="L42" i="31"/>
  <c r="K42" i="31"/>
  <c r="J42" i="31"/>
  <c r="I42" i="31"/>
  <c r="H42" i="31"/>
  <c r="F42" i="31"/>
  <c r="E42" i="31"/>
  <c r="D42" i="31"/>
  <c r="T41" i="31"/>
  <c r="R41" i="31"/>
  <c r="Q41" i="31"/>
  <c r="P41" i="31"/>
  <c r="O41" i="31"/>
  <c r="N41" i="31"/>
  <c r="L41" i="31"/>
  <c r="K41" i="31"/>
  <c r="J41" i="31"/>
  <c r="I41" i="31"/>
  <c r="H41" i="31"/>
  <c r="F41" i="31"/>
  <c r="E41" i="31"/>
  <c r="D41" i="31"/>
  <c r="T40" i="31"/>
  <c r="R40" i="31"/>
  <c r="Q40" i="31"/>
  <c r="P40" i="31"/>
  <c r="O40" i="31"/>
  <c r="N40" i="31"/>
  <c r="L40" i="31"/>
  <c r="K40" i="31"/>
  <c r="J40" i="31"/>
  <c r="I40" i="31"/>
  <c r="H40" i="31"/>
  <c r="F40" i="31"/>
  <c r="E40" i="31"/>
  <c r="D40" i="31"/>
  <c r="T39" i="31"/>
  <c r="R39" i="31"/>
  <c r="Q39" i="31"/>
  <c r="P39" i="31"/>
  <c r="O39" i="31"/>
  <c r="N39" i="31"/>
  <c r="L39" i="31"/>
  <c r="K39" i="31"/>
  <c r="J39" i="31"/>
  <c r="I39" i="31"/>
  <c r="H39" i="31"/>
  <c r="F39" i="31"/>
  <c r="E39" i="31"/>
  <c r="D39" i="31"/>
  <c r="T38" i="31"/>
  <c r="R38" i="31"/>
  <c r="Q38" i="31"/>
  <c r="P38" i="31"/>
  <c r="O38" i="31"/>
  <c r="N38" i="31"/>
  <c r="L38" i="31"/>
  <c r="K38" i="31"/>
  <c r="J38" i="31"/>
  <c r="I38" i="31"/>
  <c r="H38" i="31"/>
  <c r="F38" i="31"/>
  <c r="E38" i="31"/>
  <c r="D38" i="31"/>
  <c r="T37" i="31"/>
  <c r="R37" i="31"/>
  <c r="Q37" i="31"/>
  <c r="P37" i="31"/>
  <c r="O37" i="31"/>
  <c r="N37" i="31"/>
  <c r="L37" i="31"/>
  <c r="K37" i="31"/>
  <c r="J37" i="31"/>
  <c r="I37" i="31"/>
  <c r="H37" i="31"/>
  <c r="F37" i="31"/>
  <c r="E37" i="31"/>
  <c r="D37" i="31"/>
  <c r="T36" i="31"/>
  <c r="R36" i="31"/>
  <c r="Q36" i="31"/>
  <c r="P36" i="31"/>
  <c r="O36" i="31"/>
  <c r="N36" i="31"/>
  <c r="L36" i="31"/>
  <c r="K36" i="31"/>
  <c r="J36" i="31"/>
  <c r="I36" i="31"/>
  <c r="H36" i="31"/>
  <c r="F36" i="31"/>
  <c r="E36" i="31"/>
  <c r="D36" i="31"/>
  <c r="T35" i="31"/>
  <c r="R35" i="31"/>
  <c r="Q35" i="31"/>
  <c r="P35" i="31"/>
  <c r="O35" i="31"/>
  <c r="N35" i="31"/>
  <c r="L35" i="31"/>
  <c r="K35" i="31"/>
  <c r="J35" i="31"/>
  <c r="I35" i="31"/>
  <c r="H35" i="31"/>
  <c r="F35" i="31"/>
  <c r="E35" i="31"/>
  <c r="D35" i="31"/>
  <c r="T34" i="31"/>
  <c r="R34" i="31"/>
  <c r="Q34" i="31"/>
  <c r="P34" i="31"/>
  <c r="O34" i="31"/>
  <c r="N34" i="31"/>
  <c r="L34" i="31"/>
  <c r="K34" i="31"/>
  <c r="J34" i="31"/>
  <c r="I34" i="31"/>
  <c r="H34" i="31"/>
  <c r="F34" i="31"/>
  <c r="E34" i="31"/>
  <c r="D34" i="31"/>
  <c r="T33" i="31"/>
  <c r="R33" i="31"/>
  <c r="Q33" i="31"/>
  <c r="P33" i="31"/>
  <c r="O33" i="31"/>
  <c r="N33" i="31"/>
  <c r="L33" i="31"/>
  <c r="K33" i="31"/>
  <c r="J33" i="31"/>
  <c r="I33" i="31"/>
  <c r="H33" i="31"/>
  <c r="F33" i="31"/>
  <c r="E33" i="31"/>
  <c r="D33" i="31"/>
  <c r="T32" i="31"/>
  <c r="R32" i="31"/>
  <c r="Q32" i="31"/>
  <c r="P32" i="31"/>
  <c r="O32" i="31"/>
  <c r="N32" i="31"/>
  <c r="L32" i="31"/>
  <c r="K32" i="31"/>
  <c r="J32" i="31"/>
  <c r="I32" i="31"/>
  <c r="H32" i="31"/>
  <c r="F32" i="31"/>
  <c r="E32" i="31"/>
  <c r="D32" i="31"/>
  <c r="T31" i="31"/>
  <c r="R31" i="31"/>
  <c r="Q31" i="31"/>
  <c r="P31" i="31"/>
  <c r="O31" i="31"/>
  <c r="N31" i="31"/>
  <c r="L31" i="31"/>
  <c r="K31" i="31"/>
  <c r="J31" i="31"/>
  <c r="I31" i="31"/>
  <c r="H31" i="31"/>
  <c r="F31" i="31"/>
  <c r="E31" i="31"/>
  <c r="D31" i="31"/>
  <c r="T30" i="31"/>
  <c r="R30" i="31"/>
  <c r="Q30" i="31"/>
  <c r="P30" i="31"/>
  <c r="O30" i="31"/>
  <c r="N30" i="31"/>
  <c r="L30" i="31"/>
  <c r="K30" i="31"/>
  <c r="J30" i="31"/>
  <c r="I30" i="31"/>
  <c r="H30" i="31"/>
  <c r="F30" i="31"/>
  <c r="E30" i="31"/>
  <c r="D30" i="31"/>
  <c r="T29" i="31"/>
  <c r="R29" i="31"/>
  <c r="Q29" i="31"/>
  <c r="P29" i="31"/>
  <c r="O29" i="31"/>
  <c r="N29" i="31"/>
  <c r="L29" i="31"/>
  <c r="K29" i="31"/>
  <c r="J29" i="31"/>
  <c r="I29" i="31"/>
  <c r="H29" i="31"/>
  <c r="F29" i="31"/>
  <c r="E29" i="31"/>
  <c r="D29" i="31"/>
  <c r="T28" i="31"/>
  <c r="R28" i="31"/>
  <c r="Q28" i="31"/>
  <c r="P28" i="31"/>
  <c r="O28" i="31"/>
  <c r="N28" i="31"/>
  <c r="L28" i="31"/>
  <c r="K28" i="31"/>
  <c r="J28" i="31"/>
  <c r="I28" i="31"/>
  <c r="H28" i="31"/>
  <c r="F28" i="31"/>
  <c r="E28" i="31"/>
  <c r="D28" i="31"/>
  <c r="T27" i="31"/>
  <c r="R27" i="31"/>
  <c r="Q27" i="31"/>
  <c r="P27" i="31"/>
  <c r="O27" i="31"/>
  <c r="N27" i="31"/>
  <c r="L27" i="31"/>
  <c r="K27" i="31"/>
  <c r="J27" i="31"/>
  <c r="I27" i="31"/>
  <c r="H27" i="31"/>
  <c r="F27" i="31"/>
  <c r="E27" i="31"/>
  <c r="D27" i="31"/>
  <c r="T26" i="31"/>
  <c r="R26" i="31"/>
  <c r="Q26" i="31"/>
  <c r="P26" i="31"/>
  <c r="O26" i="31"/>
  <c r="N26" i="31"/>
  <c r="L26" i="31"/>
  <c r="K26" i="31"/>
  <c r="J26" i="31"/>
  <c r="I26" i="31"/>
  <c r="H26" i="31"/>
  <c r="F26" i="31"/>
  <c r="E26" i="31"/>
  <c r="D26" i="31"/>
  <c r="T25" i="31"/>
  <c r="R25" i="31"/>
  <c r="Q25" i="31"/>
  <c r="P25" i="31"/>
  <c r="O25" i="31"/>
  <c r="N25" i="31"/>
  <c r="L25" i="31"/>
  <c r="K25" i="31"/>
  <c r="J25" i="31"/>
  <c r="I25" i="31"/>
  <c r="H25" i="31"/>
  <c r="F25" i="31"/>
  <c r="E25" i="31"/>
  <c r="D25" i="31"/>
  <c r="T24" i="31"/>
  <c r="R24" i="31"/>
  <c r="Q24" i="31"/>
  <c r="P24" i="31"/>
  <c r="O24" i="31"/>
  <c r="N24" i="31"/>
  <c r="L24" i="31"/>
  <c r="K24" i="31"/>
  <c r="J24" i="31"/>
  <c r="I24" i="31"/>
  <c r="H24" i="31"/>
  <c r="F24" i="31"/>
  <c r="E24" i="31"/>
  <c r="D24" i="31"/>
  <c r="C24" i="31"/>
  <c r="T23" i="31"/>
  <c r="R23" i="31"/>
  <c r="Q23" i="31"/>
  <c r="P23" i="31"/>
  <c r="O23" i="31"/>
  <c r="N23" i="31"/>
  <c r="L23" i="31"/>
  <c r="K23" i="31"/>
  <c r="J23" i="31"/>
  <c r="I23" i="31"/>
  <c r="H23" i="31"/>
  <c r="F23" i="31"/>
  <c r="E23" i="31"/>
  <c r="D23" i="31"/>
  <c r="T22" i="31"/>
  <c r="R22" i="31"/>
  <c r="Q22" i="31"/>
  <c r="P22" i="31"/>
  <c r="O22" i="31"/>
  <c r="N22" i="31"/>
  <c r="L22" i="31"/>
  <c r="K22" i="31"/>
  <c r="J22" i="31"/>
  <c r="I22" i="31"/>
  <c r="H22" i="31"/>
  <c r="F22" i="31"/>
  <c r="E22" i="31"/>
  <c r="D22" i="31"/>
  <c r="T21" i="31"/>
  <c r="R21" i="31"/>
  <c r="Q21" i="31"/>
  <c r="P21" i="31"/>
  <c r="O21" i="31"/>
  <c r="N21" i="31"/>
  <c r="L21" i="31"/>
  <c r="K21" i="31"/>
  <c r="J21" i="31"/>
  <c r="I21" i="31"/>
  <c r="H21" i="31"/>
  <c r="F21" i="31"/>
  <c r="E21" i="31"/>
  <c r="D21" i="31"/>
  <c r="T20" i="31"/>
  <c r="R20" i="31"/>
  <c r="Q20" i="31"/>
  <c r="P20" i="31"/>
  <c r="O20" i="31"/>
  <c r="N20" i="31"/>
  <c r="L20" i="31"/>
  <c r="K20" i="31"/>
  <c r="J20" i="31"/>
  <c r="I20" i="31"/>
  <c r="H20" i="31"/>
  <c r="F20" i="31"/>
  <c r="E20" i="31"/>
  <c r="D20" i="31"/>
  <c r="T19" i="31"/>
  <c r="R19" i="31"/>
  <c r="Q19" i="31"/>
  <c r="P19" i="31"/>
  <c r="O19" i="31"/>
  <c r="N19" i="31"/>
  <c r="L19" i="31"/>
  <c r="K19" i="31"/>
  <c r="J19" i="31"/>
  <c r="I19" i="31"/>
  <c r="H19" i="31"/>
  <c r="F19" i="31"/>
  <c r="E19" i="31"/>
  <c r="D19" i="31"/>
  <c r="T18" i="31"/>
  <c r="R18" i="31"/>
  <c r="Q18" i="31"/>
  <c r="P18" i="31"/>
  <c r="O18" i="31"/>
  <c r="N18" i="31"/>
  <c r="L18" i="31"/>
  <c r="K18" i="31"/>
  <c r="J18" i="31"/>
  <c r="I18" i="31"/>
  <c r="H18" i="31"/>
  <c r="F18" i="31"/>
  <c r="E18" i="31"/>
  <c r="D18" i="31"/>
  <c r="T17" i="31"/>
  <c r="R17" i="31"/>
  <c r="Q17" i="31"/>
  <c r="P17" i="31"/>
  <c r="O17" i="31"/>
  <c r="N17" i="31"/>
  <c r="L17" i="31"/>
  <c r="K17" i="31"/>
  <c r="J17" i="31"/>
  <c r="I17" i="31"/>
  <c r="H17" i="31"/>
  <c r="F17" i="31"/>
  <c r="E17" i="31"/>
  <c r="D17" i="31"/>
  <c r="T16" i="31"/>
  <c r="R16" i="31"/>
  <c r="Q16" i="31"/>
  <c r="P16" i="31"/>
  <c r="O16" i="31"/>
  <c r="N16" i="31"/>
  <c r="L16" i="31"/>
  <c r="K16" i="31"/>
  <c r="J16" i="31"/>
  <c r="I16" i="31"/>
  <c r="H16" i="31"/>
  <c r="F16" i="31"/>
  <c r="E16" i="31"/>
  <c r="D16" i="31"/>
  <c r="T15" i="31"/>
  <c r="R15" i="31"/>
  <c r="Q15" i="31"/>
  <c r="P15" i="31"/>
  <c r="O15" i="31"/>
  <c r="N15" i="31"/>
  <c r="L15" i="31"/>
  <c r="K15" i="31"/>
  <c r="J15" i="31"/>
  <c r="I15" i="31"/>
  <c r="H15" i="31"/>
  <c r="F15" i="31"/>
  <c r="E15" i="31"/>
  <c r="D15" i="31"/>
  <c r="T14" i="31"/>
  <c r="R14" i="31"/>
  <c r="Q14" i="31"/>
  <c r="P14" i="31"/>
  <c r="O14" i="31"/>
  <c r="N14" i="31"/>
  <c r="L14" i="31"/>
  <c r="K14" i="31"/>
  <c r="J14" i="31"/>
  <c r="I14" i="31"/>
  <c r="H14" i="31"/>
  <c r="F14" i="31"/>
  <c r="E14" i="31"/>
  <c r="D14" i="31"/>
  <c r="T13" i="31"/>
  <c r="R13" i="31"/>
  <c r="Q13" i="31"/>
  <c r="P13" i="31"/>
  <c r="O13" i="31"/>
  <c r="N13" i="31"/>
  <c r="L13" i="31"/>
  <c r="K13" i="31"/>
  <c r="J13" i="31"/>
  <c r="I13" i="31"/>
  <c r="H13" i="31"/>
  <c r="F13" i="31"/>
  <c r="E13" i="31"/>
  <c r="D13" i="31"/>
  <c r="T12" i="31"/>
  <c r="R12" i="31"/>
  <c r="Q12" i="31"/>
  <c r="P12" i="31"/>
  <c r="O12" i="31"/>
  <c r="N12" i="31"/>
  <c r="L12" i="31"/>
  <c r="K12" i="31"/>
  <c r="J12" i="31"/>
  <c r="I12" i="31"/>
  <c r="H12" i="31"/>
  <c r="F12" i="31"/>
  <c r="E12" i="31"/>
  <c r="D12" i="31"/>
  <c r="T11" i="31"/>
  <c r="R11" i="31"/>
  <c r="Q11" i="31"/>
  <c r="P11" i="31"/>
  <c r="O11" i="31"/>
  <c r="N11" i="31"/>
  <c r="L11" i="31"/>
  <c r="K11" i="31"/>
  <c r="J11" i="31"/>
  <c r="I11" i="31"/>
  <c r="H11" i="31"/>
  <c r="F11" i="31"/>
  <c r="E11" i="31"/>
  <c r="D11" i="31"/>
  <c r="T10" i="31"/>
  <c r="R10" i="31"/>
  <c r="Q10" i="31"/>
  <c r="P10" i="31"/>
  <c r="O10" i="31"/>
  <c r="N10" i="31"/>
  <c r="L10" i="31"/>
  <c r="K10" i="31"/>
  <c r="J10" i="31"/>
  <c r="I10" i="31"/>
  <c r="H10" i="31"/>
  <c r="F10" i="31"/>
  <c r="E10" i="31"/>
  <c r="D10" i="31"/>
  <c r="T9" i="31"/>
  <c r="R9" i="31"/>
  <c r="Q9" i="31"/>
  <c r="P9" i="31"/>
  <c r="O9" i="31"/>
  <c r="N9" i="31"/>
  <c r="L9" i="31"/>
  <c r="K9" i="31"/>
  <c r="J9" i="31"/>
  <c r="I9" i="31"/>
  <c r="H9" i="31"/>
  <c r="F9" i="31"/>
  <c r="E9" i="31"/>
  <c r="D9" i="31"/>
  <c r="T8" i="31"/>
  <c r="R8" i="31"/>
  <c r="Q8" i="31"/>
  <c r="P8" i="31"/>
  <c r="O8" i="31"/>
  <c r="N8" i="31"/>
  <c r="L8" i="31"/>
  <c r="K8" i="31"/>
  <c r="J8" i="31"/>
  <c r="I8" i="31"/>
  <c r="H8" i="31"/>
  <c r="F8" i="31"/>
  <c r="E8" i="31"/>
  <c r="D8" i="31"/>
  <c r="T7" i="31"/>
  <c r="R7" i="31"/>
  <c r="Q7" i="31"/>
  <c r="P7" i="31"/>
  <c r="O7" i="31"/>
  <c r="N7" i="31"/>
  <c r="L7" i="31"/>
  <c r="K7" i="31"/>
  <c r="J7" i="31"/>
  <c r="I7" i="31"/>
  <c r="H7" i="31"/>
  <c r="F7" i="31"/>
  <c r="E7" i="31"/>
  <c r="D7" i="31"/>
  <c r="T6" i="31"/>
  <c r="R6" i="31"/>
  <c r="Q6" i="31"/>
  <c r="P6" i="31"/>
  <c r="O6" i="31"/>
  <c r="N6" i="31"/>
  <c r="L6" i="31"/>
  <c r="K6" i="31"/>
  <c r="J6" i="31"/>
  <c r="I6" i="31"/>
  <c r="H6" i="31"/>
  <c r="F6" i="31"/>
  <c r="E6" i="31"/>
  <c r="D6" i="31"/>
  <c r="T5" i="31"/>
  <c r="R5" i="31"/>
  <c r="Q5" i="31"/>
  <c r="P5" i="31"/>
  <c r="O5" i="31"/>
  <c r="N5" i="31"/>
  <c r="L5" i="31"/>
  <c r="K5" i="31"/>
  <c r="J5" i="31"/>
  <c r="I5" i="31"/>
  <c r="H5" i="31"/>
  <c r="F5" i="31"/>
  <c r="E5" i="31"/>
  <c r="D5" i="31"/>
  <c r="T4" i="31"/>
  <c r="R4" i="31"/>
  <c r="Q4" i="31"/>
  <c r="P4" i="31"/>
  <c r="O4" i="31"/>
  <c r="N4" i="31"/>
  <c r="L4" i="31"/>
  <c r="K4" i="31"/>
  <c r="J4" i="31"/>
  <c r="I4" i="31"/>
  <c r="H4" i="31"/>
  <c r="F4" i="31"/>
  <c r="E4" i="31"/>
  <c r="D4" i="31"/>
  <c r="T3" i="31"/>
  <c r="R3" i="31"/>
  <c r="Q3" i="31"/>
  <c r="P3" i="31"/>
  <c r="O3" i="31"/>
  <c r="N3" i="31"/>
  <c r="L3" i="31"/>
  <c r="K3" i="31"/>
  <c r="J3" i="31"/>
  <c r="I3" i="31"/>
  <c r="H3" i="31"/>
  <c r="T106" i="30"/>
  <c r="F106" i="30"/>
  <c r="E106" i="30"/>
  <c r="D106" i="30"/>
  <c r="T105" i="30"/>
  <c r="F105" i="30"/>
  <c r="E105" i="30"/>
  <c r="D105" i="30"/>
  <c r="T104" i="30"/>
  <c r="F104" i="30"/>
  <c r="E104" i="30"/>
  <c r="D104" i="30"/>
  <c r="T103" i="30"/>
  <c r="F103" i="30"/>
  <c r="E103" i="30"/>
  <c r="D103" i="30"/>
  <c r="T102" i="30"/>
  <c r="F102" i="30"/>
  <c r="E102" i="30"/>
  <c r="D102" i="30"/>
  <c r="T101" i="30"/>
  <c r="F101" i="30"/>
  <c r="E101" i="30"/>
  <c r="D101" i="30"/>
  <c r="T100" i="30"/>
  <c r="F100" i="30"/>
  <c r="E100" i="30"/>
  <c r="D100" i="30"/>
  <c r="T99" i="30"/>
  <c r="F99" i="30"/>
  <c r="E99" i="30"/>
  <c r="D99" i="30"/>
  <c r="T98" i="30"/>
  <c r="F98" i="30"/>
  <c r="E98" i="30"/>
  <c r="D98" i="30"/>
  <c r="T97" i="30"/>
  <c r="F97" i="30"/>
  <c r="E97" i="30"/>
  <c r="D97" i="30"/>
  <c r="T96" i="30"/>
  <c r="F96" i="30"/>
  <c r="E96" i="30"/>
  <c r="D96" i="30"/>
  <c r="T95" i="30"/>
  <c r="F95" i="30"/>
  <c r="E95" i="30"/>
  <c r="D95" i="30"/>
  <c r="T94" i="30"/>
  <c r="F94" i="30"/>
  <c r="E94" i="30"/>
  <c r="D94" i="30"/>
  <c r="T93" i="30"/>
  <c r="F93" i="30"/>
  <c r="E93" i="30"/>
  <c r="D93" i="30"/>
  <c r="T92" i="30"/>
  <c r="F92" i="30"/>
  <c r="E92" i="30"/>
  <c r="D92" i="30"/>
  <c r="T91" i="30"/>
  <c r="F91" i="30"/>
  <c r="E91" i="30"/>
  <c r="D91" i="30"/>
  <c r="T90" i="30"/>
  <c r="F90" i="30"/>
  <c r="E90" i="30"/>
  <c r="D90" i="30"/>
  <c r="T89" i="30"/>
  <c r="F89" i="30"/>
  <c r="E89" i="30"/>
  <c r="D89" i="30"/>
  <c r="T88" i="30"/>
  <c r="R88" i="30"/>
  <c r="Q88" i="30"/>
  <c r="P88" i="30"/>
  <c r="O88" i="30"/>
  <c r="N88" i="30"/>
  <c r="L88" i="30"/>
  <c r="K88" i="30"/>
  <c r="J88" i="30"/>
  <c r="I88" i="30"/>
  <c r="H88" i="30"/>
  <c r="F88" i="30"/>
  <c r="E88" i="30"/>
  <c r="D88" i="30"/>
  <c r="C88" i="30"/>
  <c r="T87" i="30"/>
  <c r="F87" i="30"/>
  <c r="E87" i="30"/>
  <c r="D87" i="30"/>
  <c r="T86" i="30"/>
  <c r="F86" i="30"/>
  <c r="E86" i="30"/>
  <c r="D86" i="30"/>
  <c r="T85" i="30"/>
  <c r="F85" i="30"/>
  <c r="E85" i="30"/>
  <c r="D85" i="30"/>
  <c r="T84" i="30"/>
  <c r="F84" i="30"/>
  <c r="E84" i="30"/>
  <c r="D84" i="30"/>
  <c r="T83" i="30"/>
  <c r="F83" i="30"/>
  <c r="E83" i="30"/>
  <c r="D83" i="30"/>
  <c r="T82" i="30"/>
  <c r="F82" i="30"/>
  <c r="E82" i="30"/>
  <c r="D82" i="30"/>
  <c r="T81" i="30"/>
  <c r="F81" i="30"/>
  <c r="E81" i="30"/>
  <c r="D81" i="30"/>
  <c r="T80" i="30"/>
  <c r="F80" i="30"/>
  <c r="E80" i="30"/>
  <c r="D80" i="30"/>
  <c r="T79" i="30"/>
  <c r="F79" i="30"/>
  <c r="E79" i="30"/>
  <c r="D79" i="30"/>
  <c r="T78" i="30"/>
  <c r="F78" i="30"/>
  <c r="E78" i="30"/>
  <c r="D78" i="30"/>
  <c r="T77" i="30"/>
  <c r="F77" i="30"/>
  <c r="E77" i="30"/>
  <c r="D77" i="30"/>
  <c r="T76" i="30"/>
  <c r="F76" i="30"/>
  <c r="E76" i="30"/>
  <c r="D76" i="30"/>
  <c r="T75" i="30"/>
  <c r="F75" i="30"/>
  <c r="E75" i="30"/>
  <c r="D75" i="30"/>
  <c r="T74" i="30"/>
  <c r="F74" i="30"/>
  <c r="E74" i="30"/>
  <c r="D74" i="30"/>
  <c r="T73" i="30"/>
  <c r="F73" i="30"/>
  <c r="E73" i="30"/>
  <c r="D73" i="30"/>
  <c r="T72" i="30"/>
  <c r="F72" i="30"/>
  <c r="E72" i="30"/>
  <c r="D72" i="30"/>
  <c r="T71" i="30"/>
  <c r="F71" i="30"/>
  <c r="E71" i="30"/>
  <c r="D71" i="30"/>
  <c r="T70" i="30"/>
  <c r="F70" i="30"/>
  <c r="E70" i="30"/>
  <c r="D70" i="30"/>
  <c r="T69" i="30"/>
  <c r="F69" i="30"/>
  <c r="E69" i="30"/>
  <c r="D69" i="30"/>
  <c r="T68" i="30"/>
  <c r="F68" i="30"/>
  <c r="E68" i="30"/>
  <c r="D68" i="30"/>
  <c r="T67" i="30"/>
  <c r="F67" i="30"/>
  <c r="E67" i="30"/>
  <c r="D67" i="30"/>
  <c r="T66" i="30"/>
  <c r="F66" i="30"/>
  <c r="E66" i="30"/>
  <c r="D66" i="30"/>
  <c r="T65" i="30"/>
  <c r="F65" i="30"/>
  <c r="E65" i="30"/>
  <c r="D65" i="30"/>
  <c r="T64" i="30"/>
  <c r="F64" i="30"/>
  <c r="E64" i="30"/>
  <c r="D64" i="30"/>
  <c r="T63" i="30"/>
  <c r="F63" i="30"/>
  <c r="E63" i="30"/>
  <c r="D63" i="30"/>
  <c r="T62" i="30"/>
  <c r="F62" i="30"/>
  <c r="E62" i="30"/>
  <c r="D62" i="30"/>
  <c r="T61" i="30"/>
  <c r="F61" i="30"/>
  <c r="E61" i="30"/>
  <c r="D61" i="30"/>
  <c r="T60" i="30"/>
  <c r="F60" i="30"/>
  <c r="E60" i="30"/>
  <c r="D60" i="30"/>
  <c r="T59" i="30"/>
  <c r="F59" i="30"/>
  <c r="E59" i="30"/>
  <c r="D59" i="30"/>
  <c r="T58" i="30"/>
  <c r="F58" i="30"/>
  <c r="E58" i="30"/>
  <c r="D58" i="30"/>
  <c r="T57" i="30"/>
  <c r="F57" i="30"/>
  <c r="E57" i="30"/>
  <c r="D57" i="30"/>
  <c r="T56" i="30"/>
  <c r="F56" i="30"/>
  <c r="E56" i="30"/>
  <c r="D56" i="30"/>
  <c r="T55" i="30"/>
  <c r="F55" i="30"/>
  <c r="E55" i="30"/>
  <c r="D55" i="30"/>
  <c r="T54" i="30"/>
  <c r="F54" i="30"/>
  <c r="E54" i="30"/>
  <c r="D54" i="30"/>
  <c r="T53" i="30"/>
  <c r="F53" i="30"/>
  <c r="E53" i="30"/>
  <c r="D53" i="30"/>
  <c r="T52" i="30"/>
  <c r="F52" i="30"/>
  <c r="E52" i="30"/>
  <c r="D52" i="30"/>
  <c r="T51" i="30"/>
  <c r="F51" i="30"/>
  <c r="E51" i="30"/>
  <c r="D51" i="30"/>
  <c r="T50" i="30"/>
  <c r="F50" i="30"/>
  <c r="E50" i="30"/>
  <c r="D50" i="30"/>
  <c r="T49" i="30"/>
  <c r="F49" i="30"/>
  <c r="E49" i="30"/>
  <c r="D49" i="30"/>
  <c r="T48" i="30"/>
  <c r="F48" i="30"/>
  <c r="E48" i="30"/>
  <c r="D48" i="30"/>
  <c r="T47" i="30"/>
  <c r="F47" i="30"/>
  <c r="E47" i="30"/>
  <c r="D47" i="30"/>
  <c r="T46" i="30"/>
  <c r="F46" i="30"/>
  <c r="E46" i="30"/>
  <c r="D46" i="30"/>
  <c r="T45" i="30"/>
  <c r="F45" i="30"/>
  <c r="E45" i="30"/>
  <c r="D45" i="30"/>
  <c r="T44" i="30"/>
  <c r="R44" i="30"/>
  <c r="Q44" i="30"/>
  <c r="P44" i="30"/>
  <c r="O44" i="30"/>
  <c r="N44" i="30"/>
  <c r="L44" i="30"/>
  <c r="K44" i="30"/>
  <c r="J44" i="30"/>
  <c r="I44" i="30"/>
  <c r="H44" i="30"/>
  <c r="F44" i="30"/>
  <c r="E44" i="30"/>
  <c r="D44" i="30"/>
  <c r="C44" i="30"/>
  <c r="T43" i="30"/>
  <c r="F43" i="30"/>
  <c r="E43" i="30"/>
  <c r="D43" i="30"/>
  <c r="T42" i="30"/>
  <c r="F42" i="30"/>
  <c r="E42" i="30"/>
  <c r="D42" i="30"/>
  <c r="T41" i="30"/>
  <c r="F41" i="30"/>
  <c r="E41" i="30"/>
  <c r="D41" i="30"/>
  <c r="T40" i="30"/>
  <c r="F40" i="30"/>
  <c r="E40" i="30"/>
  <c r="D40" i="30"/>
  <c r="T39" i="30"/>
  <c r="F39" i="30"/>
  <c r="E39" i="30"/>
  <c r="D39" i="30"/>
  <c r="T38" i="30"/>
  <c r="F38" i="30"/>
  <c r="E38" i="30"/>
  <c r="D38" i="30"/>
  <c r="T37" i="30"/>
  <c r="F37" i="30"/>
  <c r="E37" i="30"/>
  <c r="D37" i="30"/>
  <c r="T36" i="30"/>
  <c r="F36" i="30"/>
  <c r="E36" i="30"/>
  <c r="D36" i="30"/>
  <c r="T35" i="30"/>
  <c r="F35" i="30"/>
  <c r="E35" i="30"/>
  <c r="D35" i="30"/>
  <c r="T34" i="30"/>
  <c r="F34" i="30"/>
  <c r="E34" i="30"/>
  <c r="D34" i="30"/>
  <c r="T33" i="30"/>
  <c r="F33" i="30"/>
  <c r="E33" i="30"/>
  <c r="D33" i="30"/>
  <c r="T32" i="30"/>
  <c r="F32" i="30"/>
  <c r="E32" i="30"/>
  <c r="D32" i="30"/>
  <c r="T31" i="30"/>
  <c r="F31" i="30"/>
  <c r="E31" i="30"/>
  <c r="D31" i="30"/>
  <c r="T30" i="30"/>
  <c r="F30" i="30"/>
  <c r="E30" i="30"/>
  <c r="D30" i="30"/>
  <c r="T29" i="30"/>
  <c r="F29" i="30"/>
  <c r="E29" i="30"/>
  <c r="D29" i="30"/>
  <c r="T28" i="30"/>
  <c r="F28" i="30"/>
  <c r="E28" i="30"/>
  <c r="D28" i="30"/>
  <c r="T27" i="30"/>
  <c r="F27" i="30"/>
  <c r="E27" i="30"/>
  <c r="D27" i="30"/>
  <c r="T26" i="30"/>
  <c r="F26" i="30"/>
  <c r="E26" i="30"/>
  <c r="D26" i="30"/>
  <c r="T25" i="30"/>
  <c r="F25" i="30"/>
  <c r="E25" i="30"/>
  <c r="D25" i="30"/>
  <c r="T24" i="30"/>
  <c r="F24" i="30"/>
  <c r="E24" i="30"/>
  <c r="D24" i="30"/>
  <c r="T23" i="30"/>
  <c r="F23" i="30"/>
  <c r="E23" i="30"/>
  <c r="D23" i="30"/>
  <c r="T22" i="30"/>
  <c r="F22" i="30"/>
  <c r="E22" i="30"/>
  <c r="D22" i="30"/>
  <c r="T21" i="30"/>
  <c r="F21" i="30"/>
  <c r="E21" i="30"/>
  <c r="D21" i="30"/>
  <c r="C21" i="30"/>
  <c r="T20" i="30"/>
  <c r="F20" i="30"/>
  <c r="E20" i="30"/>
  <c r="D20" i="30"/>
  <c r="T19" i="30"/>
  <c r="F19" i="30"/>
  <c r="E19" i="30"/>
  <c r="D19" i="30"/>
  <c r="T18" i="30"/>
  <c r="F18" i="30"/>
  <c r="E18" i="30"/>
  <c r="D18" i="30"/>
  <c r="T17" i="30"/>
  <c r="F17" i="30"/>
  <c r="E17" i="30"/>
  <c r="D17" i="30"/>
  <c r="T16" i="30"/>
  <c r="F16" i="30"/>
  <c r="E16" i="30"/>
  <c r="D16" i="30"/>
  <c r="T15" i="30"/>
  <c r="F15" i="30"/>
  <c r="E15" i="30"/>
  <c r="D15" i="30"/>
  <c r="T14" i="30"/>
  <c r="F14" i="30"/>
  <c r="E14" i="30"/>
  <c r="D14" i="30"/>
  <c r="T13" i="30"/>
  <c r="F13" i="30"/>
  <c r="E13" i="30"/>
  <c r="D13" i="30"/>
  <c r="T12" i="30"/>
  <c r="F12" i="30"/>
  <c r="E12" i="30"/>
  <c r="D12" i="30"/>
  <c r="T11" i="30"/>
  <c r="F11" i="30"/>
  <c r="E11" i="30"/>
  <c r="D11" i="30"/>
  <c r="T10" i="30"/>
  <c r="F10" i="30"/>
  <c r="E10" i="30"/>
  <c r="D10" i="30"/>
  <c r="T9" i="30"/>
  <c r="F9" i="30"/>
  <c r="E9" i="30"/>
  <c r="D9" i="30"/>
  <c r="T8" i="30"/>
  <c r="F8" i="30"/>
  <c r="E8" i="30"/>
  <c r="D8" i="30"/>
  <c r="T7" i="30"/>
  <c r="F7" i="30"/>
  <c r="E7" i="30"/>
  <c r="D7" i="30"/>
  <c r="T6" i="30"/>
  <c r="F6" i="30"/>
  <c r="E6" i="30"/>
  <c r="D6" i="30"/>
  <c r="T5" i="30"/>
  <c r="F5" i="30"/>
  <c r="E5" i="30"/>
  <c r="D5" i="30"/>
  <c r="T4" i="30"/>
  <c r="F4" i="30"/>
  <c r="E4" i="30"/>
  <c r="D4" i="30"/>
  <c r="T3" i="30"/>
  <c r="T106" i="29"/>
  <c r="R106" i="29"/>
  <c r="Q106" i="29"/>
  <c r="P106" i="29"/>
  <c r="O106" i="29"/>
  <c r="N106" i="29"/>
  <c r="L106" i="29"/>
  <c r="K106" i="29"/>
  <c r="J106" i="29"/>
  <c r="I106" i="29"/>
  <c r="H106" i="29"/>
  <c r="F106" i="29"/>
  <c r="E106" i="29"/>
  <c r="D106" i="29"/>
  <c r="T105" i="29"/>
  <c r="R105" i="29"/>
  <c r="Q105" i="29"/>
  <c r="P105" i="29"/>
  <c r="O105" i="29"/>
  <c r="N105" i="29"/>
  <c r="L105" i="29"/>
  <c r="K105" i="29"/>
  <c r="J105" i="29"/>
  <c r="I105" i="29"/>
  <c r="H105" i="29"/>
  <c r="F105" i="29"/>
  <c r="E105" i="29"/>
  <c r="D105" i="29"/>
  <c r="T104" i="29"/>
  <c r="R104" i="29"/>
  <c r="Q104" i="29"/>
  <c r="P104" i="29"/>
  <c r="O104" i="29"/>
  <c r="N104" i="29"/>
  <c r="L104" i="29"/>
  <c r="K104" i="29"/>
  <c r="J104" i="29"/>
  <c r="I104" i="29"/>
  <c r="H104" i="29"/>
  <c r="F104" i="29"/>
  <c r="E104" i="29"/>
  <c r="D104" i="29"/>
  <c r="T103" i="29"/>
  <c r="R103" i="29"/>
  <c r="Q103" i="29"/>
  <c r="P103" i="29"/>
  <c r="O103" i="29"/>
  <c r="N103" i="29"/>
  <c r="L103" i="29"/>
  <c r="K103" i="29"/>
  <c r="J103" i="29"/>
  <c r="I103" i="29"/>
  <c r="H103" i="29"/>
  <c r="F103" i="29"/>
  <c r="E103" i="29"/>
  <c r="D103" i="29"/>
  <c r="T102" i="29"/>
  <c r="R102" i="29"/>
  <c r="Q102" i="29"/>
  <c r="P102" i="29"/>
  <c r="O102" i="29"/>
  <c r="N102" i="29"/>
  <c r="L102" i="29"/>
  <c r="K102" i="29"/>
  <c r="J102" i="29"/>
  <c r="I102" i="29"/>
  <c r="H102" i="29"/>
  <c r="F102" i="29"/>
  <c r="E102" i="29"/>
  <c r="D102" i="29"/>
  <c r="T101" i="29"/>
  <c r="R101" i="29"/>
  <c r="Q101" i="29"/>
  <c r="P101" i="29"/>
  <c r="O101" i="29"/>
  <c r="N101" i="29"/>
  <c r="L101" i="29"/>
  <c r="K101" i="29"/>
  <c r="J101" i="29"/>
  <c r="I101" i="29"/>
  <c r="H101" i="29"/>
  <c r="F101" i="29"/>
  <c r="E101" i="29"/>
  <c r="D101" i="29"/>
  <c r="T100" i="29"/>
  <c r="R100" i="29"/>
  <c r="Q100" i="29"/>
  <c r="P100" i="29"/>
  <c r="O100" i="29"/>
  <c r="N100" i="29"/>
  <c r="L100" i="29"/>
  <c r="K100" i="29"/>
  <c r="J100" i="29"/>
  <c r="I100" i="29"/>
  <c r="H100" i="29"/>
  <c r="F100" i="29"/>
  <c r="E100" i="29"/>
  <c r="D100" i="29"/>
  <c r="T99" i="29"/>
  <c r="R99" i="29"/>
  <c r="Q99" i="29"/>
  <c r="P99" i="29"/>
  <c r="O99" i="29"/>
  <c r="N99" i="29"/>
  <c r="L99" i="29"/>
  <c r="K99" i="29"/>
  <c r="J99" i="29"/>
  <c r="I99" i="29"/>
  <c r="H99" i="29"/>
  <c r="F99" i="29"/>
  <c r="E99" i="29"/>
  <c r="D99" i="29"/>
  <c r="T98" i="29"/>
  <c r="R98" i="29"/>
  <c r="Q98" i="29"/>
  <c r="P98" i="29"/>
  <c r="O98" i="29"/>
  <c r="N98" i="29"/>
  <c r="L98" i="29"/>
  <c r="K98" i="29"/>
  <c r="J98" i="29"/>
  <c r="I98" i="29"/>
  <c r="H98" i="29"/>
  <c r="F98" i="29"/>
  <c r="E98" i="29"/>
  <c r="D98" i="29"/>
  <c r="T97" i="29"/>
  <c r="R97" i="29"/>
  <c r="Q97" i="29"/>
  <c r="P97" i="29"/>
  <c r="O97" i="29"/>
  <c r="N97" i="29"/>
  <c r="L97" i="29"/>
  <c r="K97" i="29"/>
  <c r="J97" i="29"/>
  <c r="I97" i="29"/>
  <c r="H97" i="29"/>
  <c r="F97" i="29"/>
  <c r="E97" i="29"/>
  <c r="D97" i="29"/>
  <c r="T96" i="29"/>
  <c r="R96" i="29"/>
  <c r="Q96" i="29"/>
  <c r="P96" i="29"/>
  <c r="O96" i="29"/>
  <c r="N96" i="29"/>
  <c r="L96" i="29"/>
  <c r="K96" i="29"/>
  <c r="J96" i="29"/>
  <c r="I96" i="29"/>
  <c r="H96" i="29"/>
  <c r="F96" i="29"/>
  <c r="E96" i="29"/>
  <c r="D96" i="29"/>
  <c r="T95" i="29"/>
  <c r="R95" i="29"/>
  <c r="Q95" i="29"/>
  <c r="P95" i="29"/>
  <c r="O95" i="29"/>
  <c r="N95" i="29"/>
  <c r="L95" i="29"/>
  <c r="K95" i="29"/>
  <c r="J95" i="29"/>
  <c r="I95" i="29"/>
  <c r="H95" i="29"/>
  <c r="F95" i="29"/>
  <c r="E95" i="29"/>
  <c r="D95" i="29"/>
  <c r="T94" i="29"/>
  <c r="R94" i="29"/>
  <c r="Q94" i="29"/>
  <c r="P94" i="29"/>
  <c r="O94" i="29"/>
  <c r="N94" i="29"/>
  <c r="L94" i="29"/>
  <c r="K94" i="29"/>
  <c r="J94" i="29"/>
  <c r="I94" i="29"/>
  <c r="H94" i="29"/>
  <c r="F94" i="29"/>
  <c r="E94" i="29"/>
  <c r="D94" i="29"/>
  <c r="T93" i="29"/>
  <c r="R93" i="29"/>
  <c r="Q93" i="29"/>
  <c r="P93" i="29"/>
  <c r="O93" i="29"/>
  <c r="N93" i="29"/>
  <c r="L93" i="29"/>
  <c r="K93" i="29"/>
  <c r="J93" i="29"/>
  <c r="I93" i="29"/>
  <c r="H93" i="29"/>
  <c r="F93" i="29"/>
  <c r="E93" i="29"/>
  <c r="D93" i="29"/>
  <c r="T92" i="29"/>
  <c r="R92" i="29"/>
  <c r="Q92" i="29"/>
  <c r="P92" i="29"/>
  <c r="O92" i="29"/>
  <c r="N92" i="29"/>
  <c r="L92" i="29"/>
  <c r="K92" i="29"/>
  <c r="J92" i="29"/>
  <c r="I92" i="29"/>
  <c r="H92" i="29"/>
  <c r="F92" i="29"/>
  <c r="E92" i="29"/>
  <c r="D92" i="29"/>
  <c r="T91" i="29"/>
  <c r="R91" i="29"/>
  <c r="Q91" i="29"/>
  <c r="P91" i="29"/>
  <c r="O91" i="29"/>
  <c r="N91" i="29"/>
  <c r="L91" i="29"/>
  <c r="K91" i="29"/>
  <c r="J91" i="29"/>
  <c r="I91" i="29"/>
  <c r="H91" i="29"/>
  <c r="F91" i="29"/>
  <c r="E91" i="29"/>
  <c r="D91" i="29"/>
  <c r="T90" i="29"/>
  <c r="R90" i="29"/>
  <c r="Q90" i="29"/>
  <c r="P90" i="29"/>
  <c r="O90" i="29"/>
  <c r="N90" i="29"/>
  <c r="L90" i="29"/>
  <c r="K90" i="29"/>
  <c r="J90" i="29"/>
  <c r="I90" i="29"/>
  <c r="H90" i="29"/>
  <c r="F90" i="29"/>
  <c r="E90" i="29"/>
  <c r="D90" i="29"/>
  <c r="T89" i="29"/>
  <c r="R89" i="29"/>
  <c r="Q89" i="29"/>
  <c r="P89" i="29"/>
  <c r="O89" i="29"/>
  <c r="N89" i="29"/>
  <c r="L89" i="29"/>
  <c r="K89" i="29"/>
  <c r="J89" i="29"/>
  <c r="I89" i="29"/>
  <c r="H89" i="29"/>
  <c r="F89" i="29"/>
  <c r="E89" i="29"/>
  <c r="D89" i="29"/>
  <c r="C89" i="29"/>
  <c r="T88" i="29"/>
  <c r="R88" i="29"/>
  <c r="Q88" i="29"/>
  <c r="P88" i="29"/>
  <c r="O88" i="29"/>
  <c r="N88" i="29"/>
  <c r="L88" i="29"/>
  <c r="K88" i="29"/>
  <c r="J88" i="29"/>
  <c r="I88" i="29"/>
  <c r="H88" i="29"/>
  <c r="F88" i="29"/>
  <c r="E88" i="29"/>
  <c r="D88" i="29"/>
  <c r="T87" i="29"/>
  <c r="R87" i="29"/>
  <c r="Q87" i="29"/>
  <c r="P87" i="29"/>
  <c r="O87" i="29"/>
  <c r="N87" i="29"/>
  <c r="L87" i="29"/>
  <c r="K87" i="29"/>
  <c r="J87" i="29"/>
  <c r="I87" i="29"/>
  <c r="H87" i="29"/>
  <c r="F87" i="29"/>
  <c r="E87" i="29"/>
  <c r="D87" i="29"/>
  <c r="T86" i="29"/>
  <c r="R86" i="29"/>
  <c r="Q86" i="29"/>
  <c r="P86" i="29"/>
  <c r="O86" i="29"/>
  <c r="N86" i="29"/>
  <c r="L86" i="29"/>
  <c r="K86" i="29"/>
  <c r="J86" i="29"/>
  <c r="I86" i="29"/>
  <c r="H86" i="29"/>
  <c r="F86" i="29"/>
  <c r="E86" i="29"/>
  <c r="D86" i="29"/>
  <c r="T85" i="29"/>
  <c r="R85" i="29"/>
  <c r="Q85" i="29"/>
  <c r="P85" i="29"/>
  <c r="O85" i="29"/>
  <c r="N85" i="29"/>
  <c r="L85" i="29"/>
  <c r="K85" i="29"/>
  <c r="J85" i="29"/>
  <c r="I85" i="29"/>
  <c r="H85" i="29"/>
  <c r="F85" i="29"/>
  <c r="E85" i="29"/>
  <c r="D85" i="29"/>
  <c r="T84" i="29"/>
  <c r="R84" i="29"/>
  <c r="Q84" i="29"/>
  <c r="P84" i="29"/>
  <c r="O84" i="29"/>
  <c r="N84" i="29"/>
  <c r="L84" i="29"/>
  <c r="K84" i="29"/>
  <c r="J84" i="29"/>
  <c r="I84" i="29"/>
  <c r="H84" i="29"/>
  <c r="F84" i="29"/>
  <c r="E84" i="29"/>
  <c r="D84" i="29"/>
  <c r="T83" i="29"/>
  <c r="R83" i="29"/>
  <c r="Q83" i="29"/>
  <c r="P83" i="29"/>
  <c r="O83" i="29"/>
  <c r="N83" i="29"/>
  <c r="L83" i="29"/>
  <c r="K83" i="29"/>
  <c r="J83" i="29"/>
  <c r="I83" i="29"/>
  <c r="H83" i="29"/>
  <c r="F83" i="29"/>
  <c r="E83" i="29"/>
  <c r="D83" i="29"/>
  <c r="T82" i="29"/>
  <c r="R82" i="29"/>
  <c r="Q82" i="29"/>
  <c r="P82" i="29"/>
  <c r="O82" i="29"/>
  <c r="N82" i="29"/>
  <c r="L82" i="29"/>
  <c r="K82" i="29"/>
  <c r="J82" i="29"/>
  <c r="I82" i="29"/>
  <c r="H82" i="29"/>
  <c r="F82" i="29"/>
  <c r="E82" i="29"/>
  <c r="D82" i="29"/>
  <c r="T81" i="29"/>
  <c r="R81" i="29"/>
  <c r="Q81" i="29"/>
  <c r="P81" i="29"/>
  <c r="O81" i="29"/>
  <c r="N81" i="29"/>
  <c r="L81" i="29"/>
  <c r="K81" i="29"/>
  <c r="J81" i="29"/>
  <c r="I81" i="29"/>
  <c r="H81" i="29"/>
  <c r="F81" i="29"/>
  <c r="E81" i="29"/>
  <c r="D81" i="29"/>
  <c r="T80" i="29"/>
  <c r="R80" i="29"/>
  <c r="Q80" i="29"/>
  <c r="P80" i="29"/>
  <c r="O80" i="29"/>
  <c r="N80" i="29"/>
  <c r="L80" i="29"/>
  <c r="K80" i="29"/>
  <c r="J80" i="29"/>
  <c r="I80" i="29"/>
  <c r="H80" i="29"/>
  <c r="F80" i="29"/>
  <c r="E80" i="29"/>
  <c r="D80" i="29"/>
  <c r="T79" i="29"/>
  <c r="R79" i="29"/>
  <c r="Q79" i="29"/>
  <c r="P79" i="29"/>
  <c r="O79" i="29"/>
  <c r="N79" i="29"/>
  <c r="L79" i="29"/>
  <c r="K79" i="29"/>
  <c r="J79" i="29"/>
  <c r="I79" i="29"/>
  <c r="H79" i="29"/>
  <c r="F79" i="29"/>
  <c r="E79" i="29"/>
  <c r="D79" i="29"/>
  <c r="T78" i="29"/>
  <c r="R78" i="29"/>
  <c r="Q78" i="29"/>
  <c r="P78" i="29"/>
  <c r="O78" i="29"/>
  <c r="N78" i="29"/>
  <c r="L78" i="29"/>
  <c r="K78" i="29"/>
  <c r="J78" i="29"/>
  <c r="I78" i="29"/>
  <c r="H78" i="29"/>
  <c r="F78" i="29"/>
  <c r="E78" i="29"/>
  <c r="D78" i="29"/>
  <c r="T77" i="29"/>
  <c r="R77" i="29"/>
  <c r="Q77" i="29"/>
  <c r="P77" i="29"/>
  <c r="O77" i="29"/>
  <c r="N77" i="29"/>
  <c r="L77" i="29"/>
  <c r="K77" i="29"/>
  <c r="J77" i="29"/>
  <c r="I77" i="29"/>
  <c r="H77" i="29"/>
  <c r="F77" i="29"/>
  <c r="E77" i="29"/>
  <c r="D77" i="29"/>
  <c r="T76" i="29"/>
  <c r="R76" i="29"/>
  <c r="Q76" i="29"/>
  <c r="P76" i="29"/>
  <c r="O76" i="29"/>
  <c r="N76" i="29"/>
  <c r="L76" i="29"/>
  <c r="K76" i="29"/>
  <c r="J76" i="29"/>
  <c r="I76" i="29"/>
  <c r="H76" i="29"/>
  <c r="F76" i="29"/>
  <c r="E76" i="29"/>
  <c r="D76" i="29"/>
  <c r="T75" i="29"/>
  <c r="R75" i="29"/>
  <c r="Q75" i="29"/>
  <c r="P75" i="29"/>
  <c r="O75" i="29"/>
  <c r="N75" i="29"/>
  <c r="L75" i="29"/>
  <c r="K75" i="29"/>
  <c r="J75" i="29"/>
  <c r="I75" i="29"/>
  <c r="H75" i="29"/>
  <c r="F75" i="29"/>
  <c r="E75" i="29"/>
  <c r="D75" i="29"/>
  <c r="T74" i="29"/>
  <c r="R74" i="29"/>
  <c r="Q74" i="29"/>
  <c r="P74" i="29"/>
  <c r="O74" i="29"/>
  <c r="N74" i="29"/>
  <c r="L74" i="29"/>
  <c r="K74" i="29"/>
  <c r="J74" i="29"/>
  <c r="I74" i="29"/>
  <c r="H74" i="29"/>
  <c r="F74" i="29"/>
  <c r="E74" i="29"/>
  <c r="D74" i="29"/>
  <c r="T73" i="29"/>
  <c r="R73" i="29"/>
  <c r="Q73" i="29"/>
  <c r="P73" i="29"/>
  <c r="O73" i="29"/>
  <c r="N73" i="29"/>
  <c r="L73" i="29"/>
  <c r="K73" i="29"/>
  <c r="J73" i="29"/>
  <c r="I73" i="29"/>
  <c r="H73" i="29"/>
  <c r="F73" i="29"/>
  <c r="E73" i="29"/>
  <c r="D73" i="29"/>
  <c r="T72" i="29"/>
  <c r="R72" i="29"/>
  <c r="Q72" i="29"/>
  <c r="P72" i="29"/>
  <c r="O72" i="29"/>
  <c r="N72" i="29"/>
  <c r="L72" i="29"/>
  <c r="K72" i="29"/>
  <c r="J72" i="29"/>
  <c r="I72" i="29"/>
  <c r="H72" i="29"/>
  <c r="F72" i="29"/>
  <c r="E72" i="29"/>
  <c r="D72" i="29"/>
  <c r="T71" i="29"/>
  <c r="R71" i="29"/>
  <c r="Q71" i="29"/>
  <c r="P71" i="29"/>
  <c r="O71" i="29"/>
  <c r="N71" i="29"/>
  <c r="L71" i="29"/>
  <c r="K71" i="29"/>
  <c r="J71" i="29"/>
  <c r="I71" i="29"/>
  <c r="H71" i="29"/>
  <c r="F71" i="29"/>
  <c r="E71" i="29"/>
  <c r="D71" i="29"/>
  <c r="T70" i="29"/>
  <c r="R70" i="29"/>
  <c r="Q70" i="29"/>
  <c r="P70" i="29"/>
  <c r="O70" i="29"/>
  <c r="N70" i="29"/>
  <c r="L70" i="29"/>
  <c r="K70" i="29"/>
  <c r="J70" i="29"/>
  <c r="I70" i="29"/>
  <c r="H70" i="29"/>
  <c r="F70" i="29"/>
  <c r="E70" i="29"/>
  <c r="D70" i="29"/>
  <c r="T69" i="29"/>
  <c r="R69" i="29"/>
  <c r="Q69" i="29"/>
  <c r="P69" i="29"/>
  <c r="O69" i="29"/>
  <c r="N69" i="29"/>
  <c r="L69" i="29"/>
  <c r="K69" i="29"/>
  <c r="J69" i="29"/>
  <c r="I69" i="29"/>
  <c r="H69" i="29"/>
  <c r="F69" i="29"/>
  <c r="E69" i="29"/>
  <c r="D69" i="29"/>
  <c r="T68" i="29"/>
  <c r="R68" i="29"/>
  <c r="Q68" i="29"/>
  <c r="P68" i="29"/>
  <c r="O68" i="29"/>
  <c r="N68" i="29"/>
  <c r="L68" i="29"/>
  <c r="K68" i="29"/>
  <c r="J68" i="29"/>
  <c r="I68" i="29"/>
  <c r="H68" i="29"/>
  <c r="F68" i="29"/>
  <c r="E68" i="29"/>
  <c r="D68" i="29"/>
  <c r="T67" i="29"/>
  <c r="R67" i="29"/>
  <c r="Q67" i="29"/>
  <c r="P67" i="29"/>
  <c r="O67" i="29"/>
  <c r="N67" i="29"/>
  <c r="L67" i="29"/>
  <c r="K67" i="29"/>
  <c r="J67" i="29"/>
  <c r="I67" i="29"/>
  <c r="H67" i="29"/>
  <c r="F67" i="29"/>
  <c r="E67" i="29"/>
  <c r="D67" i="29"/>
  <c r="T66" i="29"/>
  <c r="R66" i="29"/>
  <c r="Q66" i="29"/>
  <c r="P66" i="29"/>
  <c r="O66" i="29"/>
  <c r="N66" i="29"/>
  <c r="L66" i="29"/>
  <c r="K66" i="29"/>
  <c r="J66" i="29"/>
  <c r="I66" i="29"/>
  <c r="H66" i="29"/>
  <c r="F66" i="29"/>
  <c r="E66" i="29"/>
  <c r="D66" i="29"/>
  <c r="T65" i="29"/>
  <c r="R65" i="29"/>
  <c r="Q65" i="29"/>
  <c r="P65" i="29"/>
  <c r="O65" i="29"/>
  <c r="N65" i="29"/>
  <c r="L65" i="29"/>
  <c r="K65" i="29"/>
  <c r="J65" i="29"/>
  <c r="I65" i="29"/>
  <c r="H65" i="29"/>
  <c r="F65" i="29"/>
  <c r="E65" i="29"/>
  <c r="D65" i="29"/>
  <c r="T64" i="29"/>
  <c r="R64" i="29"/>
  <c r="Q64" i="29"/>
  <c r="P64" i="29"/>
  <c r="O64" i="29"/>
  <c r="N64" i="29"/>
  <c r="L64" i="29"/>
  <c r="K64" i="29"/>
  <c r="J64" i="29"/>
  <c r="I64" i="29"/>
  <c r="H64" i="29"/>
  <c r="F64" i="29"/>
  <c r="E64" i="29"/>
  <c r="D64" i="29"/>
  <c r="T63" i="29"/>
  <c r="R63" i="29"/>
  <c r="Q63" i="29"/>
  <c r="P63" i="29"/>
  <c r="O63" i="29"/>
  <c r="N63" i="29"/>
  <c r="L63" i="29"/>
  <c r="K63" i="29"/>
  <c r="J63" i="29"/>
  <c r="I63" i="29"/>
  <c r="H63" i="29"/>
  <c r="F63" i="29"/>
  <c r="E63" i="29"/>
  <c r="D63" i="29"/>
  <c r="C63" i="29"/>
  <c r="T62" i="29"/>
  <c r="R62" i="29"/>
  <c r="Q62" i="29"/>
  <c r="P62" i="29"/>
  <c r="O62" i="29"/>
  <c r="N62" i="29"/>
  <c r="L62" i="29"/>
  <c r="K62" i="29"/>
  <c r="J62" i="29"/>
  <c r="I62" i="29"/>
  <c r="H62" i="29"/>
  <c r="F62" i="29"/>
  <c r="E62" i="29"/>
  <c r="D62" i="29"/>
  <c r="T61" i="29"/>
  <c r="R61" i="29"/>
  <c r="Q61" i="29"/>
  <c r="P61" i="29"/>
  <c r="O61" i="29"/>
  <c r="N61" i="29"/>
  <c r="L61" i="29"/>
  <c r="K61" i="29"/>
  <c r="J61" i="29"/>
  <c r="I61" i="29"/>
  <c r="H61" i="29"/>
  <c r="F61" i="29"/>
  <c r="E61" i="29"/>
  <c r="D61" i="29"/>
  <c r="T60" i="29"/>
  <c r="R60" i="29"/>
  <c r="Q60" i="29"/>
  <c r="P60" i="29"/>
  <c r="O60" i="29"/>
  <c r="N60" i="29"/>
  <c r="L60" i="29"/>
  <c r="K60" i="29"/>
  <c r="J60" i="29"/>
  <c r="I60" i="29"/>
  <c r="H60" i="29"/>
  <c r="F60" i="29"/>
  <c r="E60" i="29"/>
  <c r="D60" i="29"/>
  <c r="T59" i="29"/>
  <c r="R59" i="29"/>
  <c r="Q59" i="29"/>
  <c r="P59" i="29"/>
  <c r="O59" i="29"/>
  <c r="N59" i="29"/>
  <c r="L59" i="29"/>
  <c r="K59" i="29"/>
  <c r="J59" i="29"/>
  <c r="I59" i="29"/>
  <c r="H59" i="29"/>
  <c r="F59" i="29"/>
  <c r="E59" i="29"/>
  <c r="D59" i="29"/>
  <c r="T58" i="29"/>
  <c r="R58" i="29"/>
  <c r="Q58" i="29"/>
  <c r="P58" i="29"/>
  <c r="O58" i="29"/>
  <c r="N58" i="29"/>
  <c r="L58" i="29"/>
  <c r="K58" i="29"/>
  <c r="J58" i="29"/>
  <c r="I58" i="29"/>
  <c r="H58" i="29"/>
  <c r="F58" i="29"/>
  <c r="E58" i="29"/>
  <c r="D58" i="29"/>
  <c r="T57" i="29"/>
  <c r="R57" i="29"/>
  <c r="Q57" i="29"/>
  <c r="P57" i="29"/>
  <c r="O57" i="29"/>
  <c r="N57" i="29"/>
  <c r="L57" i="29"/>
  <c r="K57" i="29"/>
  <c r="J57" i="29"/>
  <c r="I57" i="29"/>
  <c r="H57" i="29"/>
  <c r="F57" i="29"/>
  <c r="E57" i="29"/>
  <c r="D57" i="29"/>
  <c r="T56" i="29"/>
  <c r="R56" i="29"/>
  <c r="Q56" i="29"/>
  <c r="P56" i="29"/>
  <c r="O56" i="29"/>
  <c r="N56" i="29"/>
  <c r="L56" i="29"/>
  <c r="K56" i="29"/>
  <c r="J56" i="29"/>
  <c r="I56" i="29"/>
  <c r="H56" i="29"/>
  <c r="F56" i="29"/>
  <c r="E56" i="29"/>
  <c r="D56" i="29"/>
  <c r="T55" i="29"/>
  <c r="R55" i="29"/>
  <c r="Q55" i="29"/>
  <c r="P55" i="29"/>
  <c r="O55" i="29"/>
  <c r="N55" i="29"/>
  <c r="L55" i="29"/>
  <c r="K55" i="29"/>
  <c r="J55" i="29"/>
  <c r="I55" i="29"/>
  <c r="H55" i="29"/>
  <c r="F55" i="29"/>
  <c r="E55" i="29"/>
  <c r="D55" i="29"/>
  <c r="T54" i="29"/>
  <c r="R54" i="29"/>
  <c r="Q54" i="29"/>
  <c r="P54" i="29"/>
  <c r="O54" i="29"/>
  <c r="N54" i="29"/>
  <c r="L54" i="29"/>
  <c r="K54" i="29"/>
  <c r="J54" i="29"/>
  <c r="I54" i="29"/>
  <c r="H54" i="29"/>
  <c r="F54" i="29"/>
  <c r="E54" i="29"/>
  <c r="D54" i="29"/>
  <c r="T53" i="29"/>
  <c r="R53" i="29"/>
  <c r="Q53" i="29"/>
  <c r="P53" i="29"/>
  <c r="O53" i="29"/>
  <c r="N53" i="29"/>
  <c r="L53" i="29"/>
  <c r="K53" i="29"/>
  <c r="J53" i="29"/>
  <c r="I53" i="29"/>
  <c r="H53" i="29"/>
  <c r="F53" i="29"/>
  <c r="E53" i="29"/>
  <c r="D53" i="29"/>
  <c r="T52" i="29"/>
  <c r="R52" i="29"/>
  <c r="Q52" i="29"/>
  <c r="P52" i="29"/>
  <c r="O52" i="29"/>
  <c r="N52" i="29"/>
  <c r="L52" i="29"/>
  <c r="K52" i="29"/>
  <c r="J52" i="29"/>
  <c r="I52" i="29"/>
  <c r="H52" i="29"/>
  <c r="F52" i="29"/>
  <c r="E52" i="29"/>
  <c r="D52" i="29"/>
  <c r="T51" i="29"/>
  <c r="R51" i="29"/>
  <c r="Q51" i="29"/>
  <c r="P51" i="29"/>
  <c r="O51" i="29"/>
  <c r="N51" i="29"/>
  <c r="L51" i="29"/>
  <c r="K51" i="29"/>
  <c r="J51" i="29"/>
  <c r="I51" i="29"/>
  <c r="H51" i="29"/>
  <c r="F51" i="29"/>
  <c r="E51" i="29"/>
  <c r="D51" i="29"/>
  <c r="T50" i="29"/>
  <c r="R50" i="29"/>
  <c r="Q50" i="29"/>
  <c r="P50" i="29"/>
  <c r="O50" i="29"/>
  <c r="N50" i="29"/>
  <c r="L50" i="29"/>
  <c r="K50" i="29"/>
  <c r="J50" i="29"/>
  <c r="I50" i="29"/>
  <c r="H50" i="29"/>
  <c r="F50" i="29"/>
  <c r="E50" i="29"/>
  <c r="D50" i="29"/>
  <c r="T49" i="29"/>
  <c r="R49" i="29"/>
  <c r="Q49" i="29"/>
  <c r="P49" i="29"/>
  <c r="O49" i="29"/>
  <c r="N49" i="29"/>
  <c r="L49" i="29"/>
  <c r="K49" i="29"/>
  <c r="J49" i="29"/>
  <c r="I49" i="29"/>
  <c r="H49" i="29"/>
  <c r="F49" i="29"/>
  <c r="E49" i="29"/>
  <c r="D49" i="29"/>
  <c r="T48" i="29"/>
  <c r="R48" i="29"/>
  <c r="Q48" i="29"/>
  <c r="P48" i="29"/>
  <c r="O48" i="29"/>
  <c r="N48" i="29"/>
  <c r="L48" i="29"/>
  <c r="K48" i="29"/>
  <c r="J48" i="29"/>
  <c r="I48" i="29"/>
  <c r="H48" i="29"/>
  <c r="F48" i="29"/>
  <c r="E48" i="29"/>
  <c r="D48" i="29"/>
  <c r="T47" i="29"/>
  <c r="R47" i="29"/>
  <c r="Q47" i="29"/>
  <c r="P47" i="29"/>
  <c r="O47" i="29"/>
  <c r="N47" i="29"/>
  <c r="L47" i="29"/>
  <c r="K47" i="29"/>
  <c r="J47" i="29"/>
  <c r="I47" i="29"/>
  <c r="H47" i="29"/>
  <c r="F47" i="29"/>
  <c r="E47" i="29"/>
  <c r="D47" i="29"/>
  <c r="T46" i="29"/>
  <c r="R46" i="29"/>
  <c r="Q46" i="29"/>
  <c r="P46" i="29"/>
  <c r="O46" i="29"/>
  <c r="N46" i="29"/>
  <c r="L46" i="29"/>
  <c r="K46" i="29"/>
  <c r="J46" i="29"/>
  <c r="I46" i="29"/>
  <c r="H46" i="29"/>
  <c r="F46" i="29"/>
  <c r="E46" i="29"/>
  <c r="D46" i="29"/>
  <c r="T45" i="29"/>
  <c r="R45" i="29"/>
  <c r="Q45" i="29"/>
  <c r="P45" i="29"/>
  <c r="O45" i="29"/>
  <c r="N45" i="29"/>
  <c r="L45" i="29"/>
  <c r="K45" i="29"/>
  <c r="J45" i="29"/>
  <c r="I45" i="29"/>
  <c r="H45" i="29"/>
  <c r="F45" i="29"/>
  <c r="E45" i="29"/>
  <c r="D45" i="29"/>
  <c r="T44" i="29"/>
  <c r="R44" i="29"/>
  <c r="Q44" i="29"/>
  <c r="P44" i="29"/>
  <c r="O44" i="29"/>
  <c r="N44" i="29"/>
  <c r="L44" i="29"/>
  <c r="K44" i="29"/>
  <c r="J44" i="29"/>
  <c r="I44" i="29"/>
  <c r="H44" i="29"/>
  <c r="F44" i="29"/>
  <c r="E44" i="29"/>
  <c r="D44" i="29"/>
  <c r="T43" i="29"/>
  <c r="R43" i="29"/>
  <c r="Q43" i="29"/>
  <c r="P43" i="29"/>
  <c r="O43" i="29"/>
  <c r="N43" i="29"/>
  <c r="L43" i="29"/>
  <c r="K43" i="29"/>
  <c r="J43" i="29"/>
  <c r="I43" i="29"/>
  <c r="H43" i="29"/>
  <c r="F43" i="29"/>
  <c r="E43" i="29"/>
  <c r="D43" i="29"/>
  <c r="T42" i="29"/>
  <c r="R42" i="29"/>
  <c r="Q42" i="29"/>
  <c r="P42" i="29"/>
  <c r="O42" i="29"/>
  <c r="N42" i="29"/>
  <c r="L42" i="29"/>
  <c r="K42" i="29"/>
  <c r="J42" i="29"/>
  <c r="I42" i="29"/>
  <c r="H42" i="29"/>
  <c r="F42" i="29"/>
  <c r="E42" i="29"/>
  <c r="D42" i="29"/>
  <c r="T41" i="29"/>
  <c r="R41" i="29"/>
  <c r="Q41" i="29"/>
  <c r="P41" i="29"/>
  <c r="O41" i="29"/>
  <c r="N41" i="29"/>
  <c r="L41" i="29"/>
  <c r="K41" i="29"/>
  <c r="J41" i="29"/>
  <c r="I41" i="29"/>
  <c r="H41" i="29"/>
  <c r="F41" i="29"/>
  <c r="E41" i="29"/>
  <c r="D41" i="29"/>
  <c r="T40" i="29"/>
  <c r="R40" i="29"/>
  <c r="Q40" i="29"/>
  <c r="P40" i="29"/>
  <c r="O40" i="29"/>
  <c r="N40" i="29"/>
  <c r="L40" i="29"/>
  <c r="K40" i="29"/>
  <c r="J40" i="29"/>
  <c r="I40" i="29"/>
  <c r="H40" i="29"/>
  <c r="F40" i="29"/>
  <c r="E40" i="29"/>
  <c r="D40" i="29"/>
  <c r="T39" i="29"/>
  <c r="R39" i="29"/>
  <c r="Q39" i="29"/>
  <c r="P39" i="29"/>
  <c r="O39" i="29"/>
  <c r="N39" i="29"/>
  <c r="L39" i="29"/>
  <c r="K39" i="29"/>
  <c r="J39" i="29"/>
  <c r="I39" i="29"/>
  <c r="H39" i="29"/>
  <c r="F39" i="29"/>
  <c r="E39" i="29"/>
  <c r="D39" i="29"/>
  <c r="T38" i="29"/>
  <c r="R38" i="29"/>
  <c r="Q38" i="29"/>
  <c r="P38" i="29"/>
  <c r="O38" i="29"/>
  <c r="N38" i="29"/>
  <c r="L38" i="29"/>
  <c r="K38" i="29"/>
  <c r="J38" i="29"/>
  <c r="I38" i="29"/>
  <c r="H38" i="29"/>
  <c r="F38" i="29"/>
  <c r="E38" i="29"/>
  <c r="D38" i="29"/>
  <c r="T37" i="29"/>
  <c r="R37" i="29"/>
  <c r="Q37" i="29"/>
  <c r="P37" i="29"/>
  <c r="O37" i="29"/>
  <c r="N37" i="29"/>
  <c r="L37" i="29"/>
  <c r="K37" i="29"/>
  <c r="J37" i="29"/>
  <c r="I37" i="29"/>
  <c r="H37" i="29"/>
  <c r="F37" i="29"/>
  <c r="E37" i="29"/>
  <c r="D37" i="29"/>
  <c r="T36" i="29"/>
  <c r="R36" i="29"/>
  <c r="Q36" i="29"/>
  <c r="P36" i="29"/>
  <c r="O36" i="29"/>
  <c r="N36" i="29"/>
  <c r="L36" i="29"/>
  <c r="K36" i="29"/>
  <c r="J36" i="29"/>
  <c r="I36" i="29"/>
  <c r="H36" i="29"/>
  <c r="F36" i="29"/>
  <c r="E36" i="29"/>
  <c r="D36" i="29"/>
  <c r="T35" i="29"/>
  <c r="R35" i="29"/>
  <c r="Q35" i="29"/>
  <c r="P35" i="29"/>
  <c r="O35" i="29"/>
  <c r="N35" i="29"/>
  <c r="L35" i="29"/>
  <c r="K35" i="29"/>
  <c r="J35" i="29"/>
  <c r="I35" i="29"/>
  <c r="H35" i="29"/>
  <c r="F35" i="29"/>
  <c r="E35" i="29"/>
  <c r="D35" i="29"/>
  <c r="C35" i="29"/>
  <c r="T34" i="29"/>
  <c r="R34" i="29"/>
  <c r="Q34" i="29"/>
  <c r="P34" i="29"/>
  <c r="O34" i="29"/>
  <c r="N34" i="29"/>
  <c r="L34" i="29"/>
  <c r="K34" i="29"/>
  <c r="J34" i="29"/>
  <c r="I34" i="29"/>
  <c r="H34" i="29"/>
  <c r="F34" i="29"/>
  <c r="E34" i="29"/>
  <c r="D34" i="29"/>
  <c r="T33" i="29"/>
  <c r="R33" i="29"/>
  <c r="Q33" i="29"/>
  <c r="P33" i="29"/>
  <c r="O33" i="29"/>
  <c r="N33" i="29"/>
  <c r="L33" i="29"/>
  <c r="K33" i="29"/>
  <c r="J33" i="29"/>
  <c r="I33" i="29"/>
  <c r="H33" i="29"/>
  <c r="F33" i="29"/>
  <c r="E33" i="29"/>
  <c r="D33" i="29"/>
  <c r="T32" i="29"/>
  <c r="R32" i="29"/>
  <c r="Q32" i="29"/>
  <c r="P32" i="29"/>
  <c r="O32" i="29"/>
  <c r="N32" i="29"/>
  <c r="L32" i="29"/>
  <c r="K32" i="29"/>
  <c r="J32" i="29"/>
  <c r="I32" i="29"/>
  <c r="H32" i="29"/>
  <c r="F32" i="29"/>
  <c r="E32" i="29"/>
  <c r="D32" i="29"/>
  <c r="T31" i="29"/>
  <c r="R31" i="29"/>
  <c r="Q31" i="29"/>
  <c r="P31" i="29"/>
  <c r="O31" i="29"/>
  <c r="N31" i="29"/>
  <c r="L31" i="29"/>
  <c r="K31" i="29"/>
  <c r="J31" i="29"/>
  <c r="I31" i="29"/>
  <c r="H31" i="29"/>
  <c r="F31" i="29"/>
  <c r="E31" i="29"/>
  <c r="D31" i="29"/>
  <c r="T30" i="29"/>
  <c r="R30" i="29"/>
  <c r="Q30" i="29"/>
  <c r="P30" i="29"/>
  <c r="O30" i="29"/>
  <c r="N30" i="29"/>
  <c r="L30" i="29"/>
  <c r="K30" i="29"/>
  <c r="J30" i="29"/>
  <c r="I30" i="29"/>
  <c r="H30" i="29"/>
  <c r="F30" i="29"/>
  <c r="E30" i="29"/>
  <c r="D30" i="29"/>
  <c r="T29" i="29"/>
  <c r="R29" i="29"/>
  <c r="Q29" i="29"/>
  <c r="P29" i="29"/>
  <c r="O29" i="29"/>
  <c r="N29" i="29"/>
  <c r="L29" i="29"/>
  <c r="K29" i="29"/>
  <c r="J29" i="29"/>
  <c r="I29" i="29"/>
  <c r="H29" i="29"/>
  <c r="F29" i="29"/>
  <c r="E29" i="29"/>
  <c r="D29" i="29"/>
  <c r="T28" i="29"/>
  <c r="R28" i="29"/>
  <c r="Q28" i="29"/>
  <c r="P28" i="29"/>
  <c r="O28" i="29"/>
  <c r="N28" i="29"/>
  <c r="L28" i="29"/>
  <c r="K28" i="29"/>
  <c r="J28" i="29"/>
  <c r="I28" i="29"/>
  <c r="H28" i="29"/>
  <c r="F28" i="29"/>
  <c r="E28" i="29"/>
  <c r="D28" i="29"/>
  <c r="T27" i="29"/>
  <c r="R27" i="29"/>
  <c r="Q27" i="29"/>
  <c r="P27" i="29"/>
  <c r="O27" i="29"/>
  <c r="N27" i="29"/>
  <c r="L27" i="29"/>
  <c r="K27" i="29"/>
  <c r="J27" i="29"/>
  <c r="I27" i="29"/>
  <c r="H27" i="29"/>
  <c r="F27" i="29"/>
  <c r="E27" i="29"/>
  <c r="D27" i="29"/>
  <c r="T26" i="29"/>
  <c r="R26" i="29"/>
  <c r="Q26" i="29"/>
  <c r="P26" i="29"/>
  <c r="O26" i="29"/>
  <c r="N26" i="29"/>
  <c r="L26" i="29"/>
  <c r="K26" i="29"/>
  <c r="J26" i="29"/>
  <c r="I26" i="29"/>
  <c r="H26" i="29"/>
  <c r="F26" i="29"/>
  <c r="E26" i="29"/>
  <c r="D26" i="29"/>
  <c r="T25" i="29"/>
  <c r="R25" i="29"/>
  <c r="Q25" i="29"/>
  <c r="P25" i="29"/>
  <c r="O25" i="29"/>
  <c r="N25" i="29"/>
  <c r="L25" i="29"/>
  <c r="K25" i="29"/>
  <c r="J25" i="29"/>
  <c r="I25" i="29"/>
  <c r="H25" i="29"/>
  <c r="F25" i="29"/>
  <c r="E25" i="29"/>
  <c r="D25" i="29"/>
  <c r="T24" i="29"/>
  <c r="R24" i="29"/>
  <c r="Q24" i="29"/>
  <c r="P24" i="29"/>
  <c r="O24" i="29"/>
  <c r="N24" i="29"/>
  <c r="L24" i="29"/>
  <c r="K24" i="29"/>
  <c r="J24" i="29"/>
  <c r="I24" i="29"/>
  <c r="H24" i="29"/>
  <c r="F24" i="29"/>
  <c r="E24" i="29"/>
  <c r="D24" i="29"/>
  <c r="T23" i="29"/>
  <c r="R23" i="29"/>
  <c r="Q23" i="29"/>
  <c r="P23" i="29"/>
  <c r="O23" i="29"/>
  <c r="N23" i="29"/>
  <c r="L23" i="29"/>
  <c r="K23" i="29"/>
  <c r="J23" i="29"/>
  <c r="I23" i="29"/>
  <c r="H23" i="29"/>
  <c r="F23" i="29"/>
  <c r="E23" i="29"/>
  <c r="D23" i="29"/>
  <c r="T22" i="29"/>
  <c r="R22" i="29"/>
  <c r="Q22" i="29"/>
  <c r="P22" i="29"/>
  <c r="O22" i="29"/>
  <c r="N22" i="29"/>
  <c r="L22" i="29"/>
  <c r="K22" i="29"/>
  <c r="J22" i="29"/>
  <c r="I22" i="29"/>
  <c r="H22" i="29"/>
  <c r="F22" i="29"/>
  <c r="E22" i="29"/>
  <c r="D22" i="29"/>
  <c r="T21" i="29"/>
  <c r="R21" i="29"/>
  <c r="Q21" i="29"/>
  <c r="P21" i="29"/>
  <c r="O21" i="29"/>
  <c r="N21" i="29"/>
  <c r="L21" i="29"/>
  <c r="K21" i="29"/>
  <c r="J21" i="29"/>
  <c r="I21" i="29"/>
  <c r="H21" i="29"/>
  <c r="F21" i="29"/>
  <c r="E21" i="29"/>
  <c r="D21" i="29"/>
  <c r="T20" i="29"/>
  <c r="R20" i="29"/>
  <c r="Q20" i="29"/>
  <c r="P20" i="29"/>
  <c r="O20" i="29"/>
  <c r="N20" i="29"/>
  <c r="L20" i="29"/>
  <c r="K20" i="29"/>
  <c r="J20" i="29"/>
  <c r="I20" i="29"/>
  <c r="H20" i="29"/>
  <c r="F20" i="29"/>
  <c r="E20" i="29"/>
  <c r="D20" i="29"/>
  <c r="T19" i="29"/>
  <c r="R19" i="29"/>
  <c r="Q19" i="29"/>
  <c r="P19" i="29"/>
  <c r="O19" i="29"/>
  <c r="N19" i="29"/>
  <c r="L19" i="29"/>
  <c r="K19" i="29"/>
  <c r="J19" i="29"/>
  <c r="I19" i="29"/>
  <c r="H19" i="29"/>
  <c r="F19" i="29"/>
  <c r="E19" i="29"/>
  <c r="D19" i="29"/>
  <c r="T18" i="29"/>
  <c r="R18" i="29"/>
  <c r="Q18" i="29"/>
  <c r="P18" i="29"/>
  <c r="O18" i="29"/>
  <c r="N18" i="29"/>
  <c r="L18" i="29"/>
  <c r="K18" i="29"/>
  <c r="J18" i="29"/>
  <c r="I18" i="29"/>
  <c r="H18" i="29"/>
  <c r="F18" i="29"/>
  <c r="E18" i="29"/>
  <c r="D18" i="29"/>
  <c r="T17" i="29"/>
  <c r="R17" i="29"/>
  <c r="Q17" i="29"/>
  <c r="P17" i="29"/>
  <c r="O17" i="29"/>
  <c r="N17" i="29"/>
  <c r="L17" i="29"/>
  <c r="K17" i="29"/>
  <c r="J17" i="29"/>
  <c r="I17" i="29"/>
  <c r="H17" i="29"/>
  <c r="F17" i="29"/>
  <c r="E17" i="29"/>
  <c r="D17" i="29"/>
  <c r="T16" i="29"/>
  <c r="R16" i="29"/>
  <c r="Q16" i="29"/>
  <c r="P16" i="29"/>
  <c r="O16" i="29"/>
  <c r="N16" i="29"/>
  <c r="L16" i="29"/>
  <c r="K16" i="29"/>
  <c r="J16" i="29"/>
  <c r="I16" i="29"/>
  <c r="H16" i="29"/>
  <c r="F16" i="29"/>
  <c r="E16" i="29"/>
  <c r="D16" i="29"/>
  <c r="T15" i="29"/>
  <c r="R15" i="29"/>
  <c r="Q15" i="29"/>
  <c r="P15" i="29"/>
  <c r="O15" i="29"/>
  <c r="N15" i="29"/>
  <c r="L15" i="29"/>
  <c r="K15" i="29"/>
  <c r="J15" i="29"/>
  <c r="I15" i="29"/>
  <c r="H15" i="29"/>
  <c r="F15" i="29"/>
  <c r="E15" i="29"/>
  <c r="D15" i="29"/>
  <c r="T14" i="29"/>
  <c r="R14" i="29"/>
  <c r="Q14" i="29"/>
  <c r="P14" i="29"/>
  <c r="O14" i="29"/>
  <c r="N14" i="29"/>
  <c r="L14" i="29"/>
  <c r="K14" i="29"/>
  <c r="J14" i="29"/>
  <c r="I14" i="29"/>
  <c r="H14" i="29"/>
  <c r="F14" i="29"/>
  <c r="E14" i="29"/>
  <c r="D14" i="29"/>
  <c r="T13" i="29"/>
  <c r="R13" i="29"/>
  <c r="Q13" i="29"/>
  <c r="P13" i="29"/>
  <c r="O13" i="29"/>
  <c r="N13" i="29"/>
  <c r="L13" i="29"/>
  <c r="K13" i="29"/>
  <c r="J13" i="29"/>
  <c r="I13" i="29"/>
  <c r="H13" i="29"/>
  <c r="F13" i="29"/>
  <c r="E13" i="29"/>
  <c r="D13" i="29"/>
  <c r="T12" i="29"/>
  <c r="R12" i="29"/>
  <c r="Q12" i="29"/>
  <c r="P12" i="29"/>
  <c r="O12" i="29"/>
  <c r="N12" i="29"/>
  <c r="L12" i="29"/>
  <c r="K12" i="29"/>
  <c r="J12" i="29"/>
  <c r="I12" i="29"/>
  <c r="H12" i="29"/>
  <c r="F12" i="29"/>
  <c r="E12" i="29"/>
  <c r="D12" i="29"/>
  <c r="T11" i="29"/>
  <c r="R11" i="29"/>
  <c r="Q11" i="29"/>
  <c r="P11" i="29"/>
  <c r="O11" i="29"/>
  <c r="N11" i="29"/>
  <c r="L11" i="29"/>
  <c r="K11" i="29"/>
  <c r="J11" i="29"/>
  <c r="I11" i="29"/>
  <c r="H11" i="29"/>
  <c r="F11" i="29"/>
  <c r="E11" i="29"/>
  <c r="D11" i="29"/>
  <c r="T10" i="29"/>
  <c r="R10" i="29"/>
  <c r="Q10" i="29"/>
  <c r="P10" i="29"/>
  <c r="O10" i="29"/>
  <c r="N10" i="29"/>
  <c r="L10" i="29"/>
  <c r="K10" i="29"/>
  <c r="J10" i="29"/>
  <c r="I10" i="29"/>
  <c r="H10" i="29"/>
  <c r="F10" i="29"/>
  <c r="E10" i="29"/>
  <c r="D10" i="29"/>
  <c r="T9" i="29"/>
  <c r="R9" i="29"/>
  <c r="Q9" i="29"/>
  <c r="P9" i="29"/>
  <c r="O9" i="29"/>
  <c r="N9" i="29"/>
  <c r="L9" i="29"/>
  <c r="K9" i="29"/>
  <c r="J9" i="29"/>
  <c r="I9" i="29"/>
  <c r="H9" i="29"/>
  <c r="F9" i="29"/>
  <c r="E9" i="29"/>
  <c r="D9" i="29"/>
  <c r="T8" i="29"/>
  <c r="R8" i="29"/>
  <c r="Q8" i="29"/>
  <c r="P8" i="29"/>
  <c r="O8" i="29"/>
  <c r="N8" i="29"/>
  <c r="L8" i="29"/>
  <c r="K8" i="29"/>
  <c r="J8" i="29"/>
  <c r="I8" i="29"/>
  <c r="H8" i="29"/>
  <c r="F8" i="29"/>
  <c r="E8" i="29"/>
  <c r="D8" i="29"/>
  <c r="T7" i="29"/>
  <c r="R7" i="29"/>
  <c r="Q7" i="29"/>
  <c r="P7" i="29"/>
  <c r="O7" i="29"/>
  <c r="N7" i="29"/>
  <c r="L7" i="29"/>
  <c r="K7" i="29"/>
  <c r="J7" i="29"/>
  <c r="I7" i="29"/>
  <c r="H7" i="29"/>
  <c r="F7" i="29"/>
  <c r="E7" i="29"/>
  <c r="D7" i="29"/>
  <c r="T6" i="29"/>
  <c r="R6" i="29"/>
  <c r="Q6" i="29"/>
  <c r="P6" i="29"/>
  <c r="O6" i="29"/>
  <c r="N6" i="29"/>
  <c r="L6" i="29"/>
  <c r="K6" i="29"/>
  <c r="J6" i="29"/>
  <c r="I6" i="29"/>
  <c r="H6" i="29"/>
  <c r="F6" i="29"/>
  <c r="E6" i="29"/>
  <c r="D6" i="29"/>
  <c r="T5" i="29"/>
  <c r="R5" i="29"/>
  <c r="Q5" i="29"/>
  <c r="P5" i="29"/>
  <c r="O5" i="29"/>
  <c r="N5" i="29"/>
  <c r="L5" i="29"/>
  <c r="K5" i="29"/>
  <c r="J5" i="29"/>
  <c r="I5" i="29"/>
  <c r="H5" i="29"/>
  <c r="F5" i="29"/>
  <c r="E5" i="29"/>
  <c r="D5" i="29"/>
  <c r="T4" i="29"/>
  <c r="R4" i="29"/>
  <c r="Q4" i="29"/>
  <c r="P4" i="29"/>
  <c r="O4" i="29"/>
  <c r="N4" i="29"/>
  <c r="L4" i="29"/>
  <c r="K4" i="29"/>
  <c r="J4" i="29"/>
  <c r="I4" i="29"/>
  <c r="H4" i="29"/>
  <c r="F4" i="29"/>
  <c r="E4" i="29"/>
  <c r="D4" i="29"/>
  <c r="T3" i="29"/>
  <c r="R3" i="29"/>
  <c r="Q3" i="29"/>
  <c r="P3" i="29"/>
  <c r="O3" i="29"/>
  <c r="N3" i="29"/>
  <c r="L3" i="29"/>
  <c r="K3" i="29"/>
  <c r="J3" i="29"/>
  <c r="I3" i="29"/>
  <c r="H3" i="29"/>
  <c r="T106" i="28"/>
  <c r="F106" i="28"/>
  <c r="E106" i="28"/>
  <c r="D106" i="28"/>
  <c r="T105" i="28"/>
  <c r="F105" i="28"/>
  <c r="E105" i="28"/>
  <c r="D105" i="28"/>
  <c r="T104" i="28"/>
  <c r="F104" i="28"/>
  <c r="E104" i="28"/>
  <c r="D104" i="28"/>
  <c r="T103" i="28"/>
  <c r="F103" i="28"/>
  <c r="E103" i="28"/>
  <c r="D103" i="28"/>
  <c r="T102" i="28"/>
  <c r="F102" i="28"/>
  <c r="E102" i="28"/>
  <c r="D102" i="28"/>
  <c r="T101" i="28"/>
  <c r="F101" i="28"/>
  <c r="E101" i="28"/>
  <c r="D101" i="28"/>
  <c r="T100" i="28"/>
  <c r="F100" i="28"/>
  <c r="E100" i="28"/>
  <c r="D100" i="28"/>
  <c r="T99" i="28"/>
  <c r="F99" i="28"/>
  <c r="E99" i="28"/>
  <c r="D99" i="28"/>
  <c r="T98" i="28"/>
  <c r="F98" i="28"/>
  <c r="E98" i="28"/>
  <c r="D98" i="28"/>
  <c r="T97" i="28"/>
  <c r="F97" i="28"/>
  <c r="E97" i="28"/>
  <c r="D97" i="28"/>
  <c r="T96" i="28"/>
  <c r="F96" i="28"/>
  <c r="E96" i="28"/>
  <c r="D96" i="28"/>
  <c r="T95" i="28"/>
  <c r="F95" i="28"/>
  <c r="E95" i="28"/>
  <c r="D95" i="28"/>
  <c r="T94" i="28"/>
  <c r="F94" i="28"/>
  <c r="E94" i="28"/>
  <c r="D94" i="28"/>
  <c r="T93" i="28"/>
  <c r="F93" i="28"/>
  <c r="E93" i="28"/>
  <c r="D93" i="28"/>
  <c r="T92" i="28"/>
  <c r="F92" i="28"/>
  <c r="E92" i="28"/>
  <c r="D92" i="28"/>
  <c r="T91" i="28"/>
  <c r="F91" i="28"/>
  <c r="E91" i="28"/>
  <c r="D91" i="28"/>
  <c r="T90" i="28"/>
  <c r="R90" i="28"/>
  <c r="Q90" i="28"/>
  <c r="P90" i="28"/>
  <c r="O90" i="28"/>
  <c r="N90" i="28"/>
  <c r="L90" i="28"/>
  <c r="K90" i="28"/>
  <c r="J90" i="28"/>
  <c r="I90" i="28"/>
  <c r="H90" i="28"/>
  <c r="F90" i="28"/>
  <c r="E90" i="28"/>
  <c r="D90" i="28"/>
  <c r="C90" i="28"/>
  <c r="T89" i="28"/>
  <c r="F89" i="28"/>
  <c r="E89" i="28"/>
  <c r="D89" i="28"/>
  <c r="T88" i="28"/>
  <c r="F88" i="28"/>
  <c r="E88" i="28"/>
  <c r="D88" i="28"/>
  <c r="T87" i="28"/>
  <c r="F87" i="28"/>
  <c r="E87" i="28"/>
  <c r="D87" i="28"/>
  <c r="T86" i="28"/>
  <c r="F86" i="28"/>
  <c r="E86" i="28"/>
  <c r="D86" i="28"/>
  <c r="T85" i="28"/>
  <c r="F85" i="28"/>
  <c r="E85" i="28"/>
  <c r="D85" i="28"/>
  <c r="T84" i="28"/>
  <c r="F84" i="28"/>
  <c r="E84" i="28"/>
  <c r="D84" i="28"/>
  <c r="T83" i="28"/>
  <c r="F83" i="28"/>
  <c r="E83" i="28"/>
  <c r="D83" i="28"/>
  <c r="T82" i="28"/>
  <c r="F82" i="28"/>
  <c r="E82" i="28"/>
  <c r="D82" i="28"/>
  <c r="T81" i="28"/>
  <c r="F81" i="28"/>
  <c r="E81" i="28"/>
  <c r="D81" i="28"/>
  <c r="T80" i="28"/>
  <c r="F80" i="28"/>
  <c r="E80" i="28"/>
  <c r="D80" i="28"/>
  <c r="T79" i="28"/>
  <c r="F79" i="28"/>
  <c r="E79" i="28"/>
  <c r="D79" i="28"/>
  <c r="T78" i="28"/>
  <c r="F78" i="28"/>
  <c r="E78" i="28"/>
  <c r="D78" i="28"/>
  <c r="T77" i="28"/>
  <c r="F77" i="28"/>
  <c r="E77" i="28"/>
  <c r="D77" i="28"/>
  <c r="T76" i="28"/>
  <c r="F76" i="28"/>
  <c r="E76" i="28"/>
  <c r="D76" i="28"/>
  <c r="T75" i="28"/>
  <c r="F75" i="28"/>
  <c r="E75" i="28"/>
  <c r="D75" i="28"/>
  <c r="T74" i="28"/>
  <c r="F74" i="28"/>
  <c r="E74" i="28"/>
  <c r="D74" i="28"/>
  <c r="T73" i="28"/>
  <c r="F73" i="28"/>
  <c r="E73" i="28"/>
  <c r="D73" i="28"/>
  <c r="T72" i="28"/>
  <c r="F72" i="28"/>
  <c r="E72" i="28"/>
  <c r="D72" i="28"/>
  <c r="T71" i="28"/>
  <c r="F71" i="28"/>
  <c r="E71" i="28"/>
  <c r="D71" i="28"/>
  <c r="T70" i="28"/>
  <c r="F70" i="28"/>
  <c r="E70" i="28"/>
  <c r="D70" i="28"/>
  <c r="T69" i="28"/>
  <c r="F69" i="28"/>
  <c r="E69" i="28"/>
  <c r="D69" i="28"/>
  <c r="T68" i="28"/>
  <c r="F68" i="28"/>
  <c r="E68" i="28"/>
  <c r="D68" i="28"/>
  <c r="T67" i="28"/>
  <c r="F67" i="28"/>
  <c r="E67" i="28"/>
  <c r="D67" i="28"/>
  <c r="T66" i="28"/>
  <c r="F66" i="28"/>
  <c r="E66" i="28"/>
  <c r="D66" i="28"/>
  <c r="T65" i="28"/>
  <c r="F65" i="28"/>
  <c r="E65" i="28"/>
  <c r="D65" i="28"/>
  <c r="T64" i="28"/>
  <c r="F64" i="28"/>
  <c r="E64" i="28"/>
  <c r="D64" i="28"/>
  <c r="T63" i="28"/>
  <c r="F63" i="28"/>
  <c r="E63" i="28"/>
  <c r="D63" i="28"/>
  <c r="T62" i="28"/>
  <c r="F62" i="28"/>
  <c r="E62" i="28"/>
  <c r="D62" i="28"/>
  <c r="T61" i="28"/>
  <c r="F61" i="28"/>
  <c r="E61" i="28"/>
  <c r="D61" i="28"/>
  <c r="T60" i="28"/>
  <c r="F60" i="28"/>
  <c r="E60" i="28"/>
  <c r="D60" i="28"/>
  <c r="T59" i="28"/>
  <c r="F59" i="28"/>
  <c r="E59" i="28"/>
  <c r="D59" i="28"/>
  <c r="T58" i="28"/>
  <c r="F58" i="28"/>
  <c r="E58" i="28"/>
  <c r="D58" i="28"/>
  <c r="T57" i="28"/>
  <c r="F57" i="28"/>
  <c r="E57" i="28"/>
  <c r="D57" i="28"/>
  <c r="T56" i="28"/>
  <c r="F56" i="28"/>
  <c r="E56" i="28"/>
  <c r="D56" i="28"/>
  <c r="T55" i="28"/>
  <c r="F55" i="28"/>
  <c r="E55" i="28"/>
  <c r="D55" i="28"/>
  <c r="T54" i="28"/>
  <c r="F54" i="28"/>
  <c r="E54" i="28"/>
  <c r="D54" i="28"/>
  <c r="T53" i="28"/>
  <c r="F53" i="28"/>
  <c r="E53" i="28"/>
  <c r="D53" i="28"/>
  <c r="T52" i="28"/>
  <c r="F52" i="28"/>
  <c r="E52" i="28"/>
  <c r="D52" i="28"/>
  <c r="T51" i="28"/>
  <c r="F51" i="28"/>
  <c r="E51" i="28"/>
  <c r="D51" i="28"/>
  <c r="T50" i="28"/>
  <c r="F50" i="28"/>
  <c r="E50" i="28"/>
  <c r="D50" i="28"/>
  <c r="T49" i="28"/>
  <c r="F49" i="28"/>
  <c r="E49" i="28"/>
  <c r="D49" i="28"/>
  <c r="T48" i="28"/>
  <c r="F48" i="28"/>
  <c r="E48" i="28"/>
  <c r="D48" i="28"/>
  <c r="T47" i="28"/>
  <c r="F47" i="28"/>
  <c r="E47" i="28"/>
  <c r="D47" i="28"/>
  <c r="T46" i="28"/>
  <c r="F46" i="28"/>
  <c r="E46" i="28"/>
  <c r="D46" i="28"/>
  <c r="T45" i="28"/>
  <c r="F45" i="28"/>
  <c r="E45" i="28"/>
  <c r="D45" i="28"/>
  <c r="T44" i="28"/>
  <c r="F44" i="28"/>
  <c r="E44" i="28"/>
  <c r="D44" i="28"/>
  <c r="T43" i="28"/>
  <c r="F43" i="28"/>
  <c r="E43" i="28"/>
  <c r="D43" i="28"/>
  <c r="T42" i="28"/>
  <c r="F42" i="28"/>
  <c r="E42" i="28"/>
  <c r="D42" i="28"/>
  <c r="T41" i="28"/>
  <c r="F41" i="28"/>
  <c r="E41" i="28"/>
  <c r="D41" i="28"/>
  <c r="T40" i="28"/>
  <c r="R40" i="28"/>
  <c r="Q40" i="28"/>
  <c r="P40" i="28"/>
  <c r="O40" i="28"/>
  <c r="N40" i="28"/>
  <c r="L40" i="28"/>
  <c r="K40" i="28"/>
  <c r="J40" i="28"/>
  <c r="I40" i="28"/>
  <c r="H40" i="28"/>
  <c r="F40" i="28"/>
  <c r="E40" i="28"/>
  <c r="D40" i="28"/>
  <c r="C40" i="28"/>
  <c r="T39" i="28"/>
  <c r="F39" i="28"/>
  <c r="E39" i="28"/>
  <c r="D39" i="28"/>
  <c r="T38" i="28"/>
  <c r="F38" i="28"/>
  <c r="E38" i="28"/>
  <c r="D38" i="28"/>
  <c r="T37" i="28"/>
  <c r="F37" i="28"/>
  <c r="E37" i="28"/>
  <c r="D37" i="28"/>
  <c r="T36" i="28"/>
  <c r="F36" i="28"/>
  <c r="E36" i="28"/>
  <c r="D36" i="28"/>
  <c r="T35" i="28"/>
  <c r="F35" i="28"/>
  <c r="E35" i="28"/>
  <c r="D35" i="28"/>
  <c r="T34" i="28"/>
  <c r="F34" i="28"/>
  <c r="E34" i="28"/>
  <c r="D34" i="28"/>
  <c r="T33" i="28"/>
  <c r="F33" i="28"/>
  <c r="E33" i="28"/>
  <c r="D33" i="28"/>
  <c r="T32" i="28"/>
  <c r="F32" i="28"/>
  <c r="E32" i="28"/>
  <c r="D32" i="28"/>
  <c r="T31" i="28"/>
  <c r="F31" i="28"/>
  <c r="E31" i="28"/>
  <c r="D31" i="28"/>
  <c r="T30" i="28"/>
  <c r="F30" i="28"/>
  <c r="E30" i="28"/>
  <c r="D30" i="28"/>
  <c r="T29" i="28"/>
  <c r="F29" i="28"/>
  <c r="E29" i="28"/>
  <c r="D29" i="28"/>
  <c r="T28" i="28"/>
  <c r="F28" i="28"/>
  <c r="E28" i="28"/>
  <c r="D28" i="28"/>
  <c r="T27" i="28"/>
  <c r="F27" i="28"/>
  <c r="E27" i="28"/>
  <c r="D27" i="28"/>
  <c r="T26" i="28"/>
  <c r="F26" i="28"/>
  <c r="E26" i="28"/>
  <c r="D26" i="28"/>
  <c r="T25" i="28"/>
  <c r="F25" i="28"/>
  <c r="E25" i="28"/>
  <c r="D25" i="28"/>
  <c r="C25" i="28"/>
  <c r="T24" i="28"/>
  <c r="F24" i="28"/>
  <c r="E24" i="28"/>
  <c r="D24" i="28"/>
  <c r="T23" i="28"/>
  <c r="F23" i="28"/>
  <c r="E23" i="28"/>
  <c r="D23" i="28"/>
  <c r="T22" i="28"/>
  <c r="F22" i="28"/>
  <c r="E22" i="28"/>
  <c r="D22" i="28"/>
  <c r="T21" i="28"/>
  <c r="F21" i="28"/>
  <c r="E21" i="28"/>
  <c r="D21" i="28"/>
  <c r="T20" i="28"/>
  <c r="F20" i="28"/>
  <c r="E20" i="28"/>
  <c r="D20" i="28"/>
  <c r="T19" i="28"/>
  <c r="F19" i="28"/>
  <c r="E19" i="28"/>
  <c r="D19" i="28"/>
  <c r="T18" i="28"/>
  <c r="F18" i="28"/>
  <c r="E18" i="28"/>
  <c r="D18" i="28"/>
  <c r="T17" i="28"/>
  <c r="F17" i="28"/>
  <c r="E17" i="28"/>
  <c r="D17" i="28"/>
  <c r="T16" i="28"/>
  <c r="F16" i="28"/>
  <c r="E16" i="28"/>
  <c r="D16" i="28"/>
  <c r="T15" i="28"/>
  <c r="F15" i="28"/>
  <c r="E15" i="28"/>
  <c r="D15" i="28"/>
  <c r="T14" i="28"/>
  <c r="F14" i="28"/>
  <c r="E14" i="28"/>
  <c r="D14" i="28"/>
  <c r="T13" i="28"/>
  <c r="F13" i="28"/>
  <c r="E13" i="28"/>
  <c r="D13" i="28"/>
  <c r="T12" i="28"/>
  <c r="F12" i="28"/>
  <c r="E12" i="28"/>
  <c r="D12" i="28"/>
  <c r="T11" i="28"/>
  <c r="F11" i="28"/>
  <c r="E11" i="28"/>
  <c r="D11" i="28"/>
  <c r="T10" i="28"/>
  <c r="F10" i="28"/>
  <c r="E10" i="28"/>
  <c r="D10" i="28"/>
  <c r="T9" i="28"/>
  <c r="F9" i="28"/>
  <c r="E9" i="28"/>
  <c r="D9" i="28"/>
  <c r="T8" i="28"/>
  <c r="F8" i="28"/>
  <c r="E8" i="28"/>
  <c r="D8" i="28"/>
  <c r="T7" i="28"/>
  <c r="F7" i="28"/>
  <c r="E7" i="28"/>
  <c r="D7" i="28"/>
  <c r="T6" i="28"/>
  <c r="F6" i="28"/>
  <c r="E6" i="28"/>
  <c r="D6" i="28"/>
  <c r="T5" i="28"/>
  <c r="F5" i="28"/>
  <c r="E5" i="28"/>
  <c r="D5" i="28"/>
  <c r="T4" i="28"/>
  <c r="F4" i="28"/>
  <c r="E4" i="28"/>
  <c r="D4" i="28"/>
  <c r="T3" i="28"/>
  <c r="T106" i="27"/>
  <c r="F106" i="27"/>
  <c r="E106" i="27"/>
  <c r="D106" i="27"/>
  <c r="T105" i="27"/>
  <c r="F105" i="27"/>
  <c r="E105" i="27"/>
  <c r="D105" i="27"/>
  <c r="T104" i="27"/>
  <c r="F104" i="27"/>
  <c r="E104" i="27"/>
  <c r="D104" i="27"/>
  <c r="T103" i="27"/>
  <c r="F103" i="27"/>
  <c r="E103" i="27"/>
  <c r="D103" i="27"/>
  <c r="T102" i="27"/>
  <c r="F102" i="27"/>
  <c r="E102" i="27"/>
  <c r="D102" i="27"/>
  <c r="T101" i="27"/>
  <c r="F101" i="27"/>
  <c r="E101" i="27"/>
  <c r="D101" i="27"/>
  <c r="T100" i="27"/>
  <c r="F100" i="27"/>
  <c r="E100" i="27"/>
  <c r="D100" i="27"/>
  <c r="T99" i="27"/>
  <c r="F99" i="27"/>
  <c r="E99" i="27"/>
  <c r="D99" i="27"/>
  <c r="T98" i="27"/>
  <c r="F98" i="27"/>
  <c r="E98" i="27"/>
  <c r="D98" i="27"/>
  <c r="T97" i="27"/>
  <c r="F97" i="27"/>
  <c r="E97" i="27"/>
  <c r="D97" i="27"/>
  <c r="T96" i="27"/>
  <c r="F96" i="27"/>
  <c r="E96" i="27"/>
  <c r="D96" i="27"/>
  <c r="T95" i="27"/>
  <c r="F95" i="27"/>
  <c r="E95" i="27"/>
  <c r="D95" i="27"/>
  <c r="T94" i="27"/>
  <c r="F94" i="27"/>
  <c r="E94" i="27"/>
  <c r="D94" i="27"/>
  <c r="T93" i="27"/>
  <c r="F93" i="27"/>
  <c r="E93" i="27"/>
  <c r="D93" i="27"/>
  <c r="T92" i="27"/>
  <c r="F92" i="27"/>
  <c r="E92" i="27"/>
  <c r="D92" i="27"/>
  <c r="T91" i="27"/>
  <c r="F91" i="27"/>
  <c r="E91" i="27"/>
  <c r="D91" i="27"/>
  <c r="T90" i="27"/>
  <c r="R90" i="27"/>
  <c r="Q90" i="27"/>
  <c r="P90" i="27"/>
  <c r="O90" i="27"/>
  <c r="N90" i="27"/>
  <c r="L90" i="27"/>
  <c r="K90" i="27"/>
  <c r="J90" i="27"/>
  <c r="I90" i="27"/>
  <c r="H90" i="27"/>
  <c r="F90" i="27"/>
  <c r="E90" i="27"/>
  <c r="D90" i="27"/>
  <c r="C90" i="27"/>
  <c r="T89" i="27"/>
  <c r="F89" i="27"/>
  <c r="E89" i="27"/>
  <c r="D89" i="27"/>
  <c r="T88" i="27"/>
  <c r="F88" i="27"/>
  <c r="E88" i="27"/>
  <c r="D88" i="27"/>
  <c r="T87" i="27"/>
  <c r="F87" i="27"/>
  <c r="E87" i="27"/>
  <c r="D87" i="27"/>
  <c r="T86" i="27"/>
  <c r="F86" i="27"/>
  <c r="E86" i="27"/>
  <c r="D86" i="27"/>
  <c r="T85" i="27"/>
  <c r="F85" i="27"/>
  <c r="E85" i="27"/>
  <c r="D85" i="27"/>
  <c r="T84" i="27"/>
  <c r="F84" i="27"/>
  <c r="E84" i="27"/>
  <c r="D84" i="27"/>
  <c r="T83" i="27"/>
  <c r="F83" i="27"/>
  <c r="E83" i="27"/>
  <c r="D83" i="27"/>
  <c r="T82" i="27"/>
  <c r="F82" i="27"/>
  <c r="E82" i="27"/>
  <c r="D82" i="27"/>
  <c r="T81" i="27"/>
  <c r="F81" i="27"/>
  <c r="E81" i="27"/>
  <c r="D81" i="27"/>
  <c r="T80" i="27"/>
  <c r="F80" i="27"/>
  <c r="E80" i="27"/>
  <c r="D80" i="27"/>
  <c r="T79" i="27"/>
  <c r="F79" i="27"/>
  <c r="E79" i="27"/>
  <c r="D79" i="27"/>
  <c r="T78" i="27"/>
  <c r="F78" i="27"/>
  <c r="E78" i="27"/>
  <c r="D78" i="27"/>
  <c r="T77" i="27"/>
  <c r="F77" i="27"/>
  <c r="E77" i="27"/>
  <c r="D77" i="27"/>
  <c r="T76" i="27"/>
  <c r="F76" i="27"/>
  <c r="E76" i="27"/>
  <c r="D76" i="27"/>
  <c r="T75" i="27"/>
  <c r="F75" i="27"/>
  <c r="E75" i="27"/>
  <c r="D75" i="27"/>
  <c r="T74" i="27"/>
  <c r="F74" i="27"/>
  <c r="E74" i="27"/>
  <c r="D74" i="27"/>
  <c r="T73" i="27"/>
  <c r="F73" i="27"/>
  <c r="E73" i="27"/>
  <c r="D73" i="27"/>
  <c r="T72" i="27"/>
  <c r="F72" i="27"/>
  <c r="E72" i="27"/>
  <c r="D72" i="27"/>
  <c r="T71" i="27"/>
  <c r="F71" i="27"/>
  <c r="E71" i="27"/>
  <c r="D71" i="27"/>
  <c r="T70" i="27"/>
  <c r="F70" i="27"/>
  <c r="E70" i="27"/>
  <c r="D70" i="27"/>
  <c r="T69" i="27"/>
  <c r="F69" i="27"/>
  <c r="E69" i="27"/>
  <c r="D69" i="27"/>
  <c r="T68" i="27"/>
  <c r="F68" i="27"/>
  <c r="E68" i="27"/>
  <c r="D68" i="27"/>
  <c r="T67" i="27"/>
  <c r="F67" i="27"/>
  <c r="E67" i="27"/>
  <c r="D67" i="27"/>
  <c r="T66" i="27"/>
  <c r="F66" i="27"/>
  <c r="E66" i="27"/>
  <c r="D66" i="27"/>
  <c r="T65" i="27"/>
  <c r="F65" i="27"/>
  <c r="E65" i="27"/>
  <c r="D65" i="27"/>
  <c r="T64" i="27"/>
  <c r="F64" i="27"/>
  <c r="E64" i="27"/>
  <c r="D64" i="27"/>
  <c r="T63" i="27"/>
  <c r="F63" i="27"/>
  <c r="E63" i="27"/>
  <c r="D63" i="27"/>
  <c r="T62" i="27"/>
  <c r="F62" i="27"/>
  <c r="E62" i="27"/>
  <c r="D62" i="27"/>
  <c r="T61" i="27"/>
  <c r="F61" i="27"/>
  <c r="E61" i="27"/>
  <c r="D61" i="27"/>
  <c r="T60" i="27"/>
  <c r="F60" i="27"/>
  <c r="E60" i="27"/>
  <c r="D60" i="27"/>
  <c r="T59" i="27"/>
  <c r="F59" i="27"/>
  <c r="E59" i="27"/>
  <c r="D59" i="27"/>
  <c r="T58" i="27"/>
  <c r="F58" i="27"/>
  <c r="E58" i="27"/>
  <c r="D58" i="27"/>
  <c r="T57" i="27"/>
  <c r="F57" i="27"/>
  <c r="E57" i="27"/>
  <c r="D57" i="27"/>
  <c r="T56" i="27"/>
  <c r="F56" i="27"/>
  <c r="E56" i="27"/>
  <c r="D56" i="27"/>
  <c r="T55" i="27"/>
  <c r="F55" i="27"/>
  <c r="E55" i="27"/>
  <c r="D55" i="27"/>
  <c r="T54" i="27"/>
  <c r="F54" i="27"/>
  <c r="E54" i="27"/>
  <c r="D54" i="27"/>
  <c r="T53" i="27"/>
  <c r="F53" i="27"/>
  <c r="E53" i="27"/>
  <c r="D53" i="27"/>
  <c r="T52" i="27"/>
  <c r="F52" i="27"/>
  <c r="E52" i="27"/>
  <c r="D52" i="27"/>
  <c r="T51" i="27"/>
  <c r="F51" i="27"/>
  <c r="E51" i="27"/>
  <c r="D51" i="27"/>
  <c r="T50" i="27"/>
  <c r="F50" i="27"/>
  <c r="E50" i="27"/>
  <c r="D50" i="27"/>
  <c r="T49" i="27"/>
  <c r="F49" i="27"/>
  <c r="E49" i="27"/>
  <c r="D49" i="27"/>
  <c r="T48" i="27"/>
  <c r="F48" i="27"/>
  <c r="E48" i="27"/>
  <c r="D48" i="27"/>
  <c r="T47" i="27"/>
  <c r="F47" i="27"/>
  <c r="E47" i="27"/>
  <c r="D47" i="27"/>
  <c r="T46" i="27"/>
  <c r="F46" i="27"/>
  <c r="E46" i="27"/>
  <c r="D46" i="27"/>
  <c r="T45" i="27"/>
  <c r="F45" i="27"/>
  <c r="E45" i="27"/>
  <c r="D45" i="27"/>
  <c r="T44" i="27"/>
  <c r="F44" i="27"/>
  <c r="E44" i="27"/>
  <c r="D44" i="27"/>
  <c r="T43" i="27"/>
  <c r="F43" i="27"/>
  <c r="E43" i="27"/>
  <c r="D43" i="27"/>
  <c r="T42" i="27"/>
  <c r="F42" i="27"/>
  <c r="E42" i="27"/>
  <c r="D42" i="27"/>
  <c r="T41" i="27"/>
  <c r="F41" i="27"/>
  <c r="E41" i="27"/>
  <c r="D41" i="27"/>
  <c r="T40" i="27"/>
  <c r="R40" i="27"/>
  <c r="Q40" i="27"/>
  <c r="P40" i="27"/>
  <c r="O40" i="27"/>
  <c r="N40" i="27"/>
  <c r="L40" i="27"/>
  <c r="K40" i="27"/>
  <c r="J40" i="27"/>
  <c r="I40" i="27"/>
  <c r="H40" i="27"/>
  <c r="F40" i="27"/>
  <c r="E40" i="27"/>
  <c r="D40" i="27"/>
  <c r="C40" i="27"/>
  <c r="T39" i="27"/>
  <c r="F39" i="27"/>
  <c r="E39" i="27"/>
  <c r="D39" i="27"/>
  <c r="T38" i="27"/>
  <c r="F38" i="27"/>
  <c r="E38" i="27"/>
  <c r="D38" i="27"/>
  <c r="T37" i="27"/>
  <c r="F37" i="27"/>
  <c r="E37" i="27"/>
  <c r="D37" i="27"/>
  <c r="T36" i="27"/>
  <c r="F36" i="27"/>
  <c r="E36" i="27"/>
  <c r="D36" i="27"/>
  <c r="T35" i="27"/>
  <c r="F35" i="27"/>
  <c r="E35" i="27"/>
  <c r="D35" i="27"/>
  <c r="T34" i="27"/>
  <c r="F34" i="27"/>
  <c r="E34" i="27"/>
  <c r="D34" i="27"/>
  <c r="T33" i="27"/>
  <c r="F33" i="27"/>
  <c r="E33" i="27"/>
  <c r="D33" i="27"/>
  <c r="T32" i="27"/>
  <c r="F32" i="27"/>
  <c r="E32" i="27"/>
  <c r="D32" i="27"/>
  <c r="T31" i="27"/>
  <c r="F31" i="27"/>
  <c r="E31" i="27"/>
  <c r="D31" i="27"/>
  <c r="T30" i="27"/>
  <c r="F30" i="27"/>
  <c r="E30" i="27"/>
  <c r="D30" i="27"/>
  <c r="T29" i="27"/>
  <c r="F29" i="27"/>
  <c r="E29" i="27"/>
  <c r="D29" i="27"/>
  <c r="T28" i="27"/>
  <c r="F28" i="27"/>
  <c r="E28" i="27"/>
  <c r="D28" i="27"/>
  <c r="T27" i="27"/>
  <c r="F27" i="27"/>
  <c r="E27" i="27"/>
  <c r="D27" i="27"/>
  <c r="T26" i="27"/>
  <c r="F26" i="27"/>
  <c r="E26" i="27"/>
  <c r="D26" i="27"/>
  <c r="T25" i="27"/>
  <c r="F25" i="27"/>
  <c r="E25" i="27"/>
  <c r="D25" i="27"/>
  <c r="C25" i="27"/>
  <c r="T24" i="27"/>
  <c r="F24" i="27"/>
  <c r="E24" i="27"/>
  <c r="D24" i="27"/>
  <c r="T23" i="27"/>
  <c r="F23" i="27"/>
  <c r="E23" i="27"/>
  <c r="D23" i="27"/>
  <c r="T22" i="27"/>
  <c r="F22" i="27"/>
  <c r="E22" i="27"/>
  <c r="D22" i="27"/>
  <c r="T21" i="27"/>
  <c r="F21" i="27"/>
  <c r="E21" i="27"/>
  <c r="D21" i="27"/>
  <c r="T20" i="27"/>
  <c r="F20" i="27"/>
  <c r="E20" i="27"/>
  <c r="D20" i="27"/>
  <c r="T19" i="27"/>
  <c r="F19" i="27"/>
  <c r="E19" i="27"/>
  <c r="D19" i="27"/>
  <c r="T18" i="27"/>
  <c r="F18" i="27"/>
  <c r="E18" i="27"/>
  <c r="D18" i="27"/>
  <c r="T17" i="27"/>
  <c r="F17" i="27"/>
  <c r="E17" i="27"/>
  <c r="D17" i="27"/>
  <c r="T16" i="27"/>
  <c r="F16" i="27"/>
  <c r="E16" i="27"/>
  <c r="D16" i="27"/>
  <c r="T15" i="27"/>
  <c r="F15" i="27"/>
  <c r="E15" i="27"/>
  <c r="D15" i="27"/>
  <c r="T14" i="27"/>
  <c r="F14" i="27"/>
  <c r="E14" i="27"/>
  <c r="D14" i="27"/>
  <c r="T13" i="27"/>
  <c r="F13" i="27"/>
  <c r="E13" i="27"/>
  <c r="D13" i="27"/>
  <c r="T12" i="27"/>
  <c r="F12" i="27"/>
  <c r="E12" i="27"/>
  <c r="D12" i="27"/>
  <c r="T11" i="27"/>
  <c r="F11" i="27"/>
  <c r="E11" i="27"/>
  <c r="D11" i="27"/>
  <c r="T10" i="27"/>
  <c r="F10" i="27"/>
  <c r="E10" i="27"/>
  <c r="D10" i="27"/>
  <c r="T9" i="27"/>
  <c r="F9" i="27"/>
  <c r="E9" i="27"/>
  <c r="D9" i="27"/>
  <c r="T8" i="27"/>
  <c r="F8" i="27"/>
  <c r="E8" i="27"/>
  <c r="D8" i="27"/>
  <c r="T7" i="27"/>
  <c r="F7" i="27"/>
  <c r="E7" i="27"/>
  <c r="D7" i="27"/>
  <c r="T6" i="27"/>
  <c r="F6" i="27"/>
  <c r="E6" i="27"/>
  <c r="D6" i="27"/>
  <c r="T5" i="27"/>
  <c r="F5" i="27"/>
  <c r="E5" i="27"/>
  <c r="D5" i="27"/>
  <c r="T4" i="27"/>
  <c r="F4" i="27"/>
  <c r="E4" i="27"/>
  <c r="D4" i="27"/>
  <c r="T3" i="27"/>
  <c r="AC106" i="26"/>
  <c r="G106" i="26"/>
  <c r="F106" i="26"/>
  <c r="E106" i="26"/>
  <c r="AC105" i="26"/>
  <c r="G105" i="26"/>
  <c r="F105" i="26"/>
  <c r="E105" i="26"/>
  <c r="AC104" i="26"/>
  <c r="G104" i="26"/>
  <c r="F104" i="26"/>
  <c r="E104" i="26"/>
  <c r="AC103" i="26"/>
  <c r="G103" i="26"/>
  <c r="F103" i="26"/>
  <c r="E103" i="26"/>
  <c r="AC102" i="26"/>
  <c r="G102" i="26"/>
  <c r="F102" i="26"/>
  <c r="E102" i="26"/>
  <c r="AC101" i="26"/>
  <c r="G101" i="26"/>
  <c r="F101" i="26"/>
  <c r="E101" i="26"/>
  <c r="AC100" i="26"/>
  <c r="G100" i="26"/>
  <c r="F100" i="26"/>
  <c r="E100" i="26"/>
  <c r="AC99" i="26"/>
  <c r="G99" i="26"/>
  <c r="F99" i="26"/>
  <c r="E99" i="26"/>
  <c r="AC98" i="26"/>
  <c r="G98" i="26"/>
  <c r="F98" i="26"/>
  <c r="E98" i="26"/>
  <c r="AC97" i="26"/>
  <c r="G97" i="26"/>
  <c r="F97" i="26"/>
  <c r="E97" i="26"/>
  <c r="AC96" i="26"/>
  <c r="G96" i="26"/>
  <c r="F96" i="26"/>
  <c r="E96" i="26"/>
  <c r="AC95" i="26"/>
  <c r="G95" i="26"/>
  <c r="F95" i="26"/>
  <c r="E95" i="26"/>
  <c r="AC94" i="26"/>
  <c r="G94" i="26"/>
  <c r="F94" i="26"/>
  <c r="E94" i="26"/>
  <c r="AC93" i="26"/>
  <c r="G93" i="26"/>
  <c r="F93" i="26"/>
  <c r="E93" i="26"/>
  <c r="AC92" i="26"/>
  <c r="G92" i="26"/>
  <c r="F92" i="26"/>
  <c r="E92" i="26"/>
  <c r="AC91" i="26"/>
  <c r="G91" i="26"/>
  <c r="F91" i="26"/>
  <c r="E91" i="26"/>
  <c r="AC90" i="26"/>
  <c r="G90" i="26"/>
  <c r="F90" i="26"/>
  <c r="E90" i="26"/>
  <c r="AC89" i="26"/>
  <c r="G89" i="26"/>
  <c r="F89" i="26"/>
  <c r="E89" i="26"/>
  <c r="AC88" i="26"/>
  <c r="G88" i="26"/>
  <c r="F88" i="26"/>
  <c r="E88" i="26"/>
  <c r="AC87" i="26"/>
  <c r="G87" i="26"/>
  <c r="F87" i="26"/>
  <c r="E87" i="26"/>
  <c r="AC86" i="26"/>
  <c r="AA86" i="26"/>
  <c r="Z86" i="26"/>
  <c r="Y86" i="26"/>
  <c r="X86" i="26"/>
  <c r="V86" i="26"/>
  <c r="U86" i="26"/>
  <c r="T86" i="26"/>
  <c r="S86" i="26"/>
  <c r="Q86" i="26"/>
  <c r="P86" i="26"/>
  <c r="O86" i="26"/>
  <c r="N86" i="26"/>
  <c r="I86" i="26" s="1"/>
  <c r="G86" i="26"/>
  <c r="F86" i="26"/>
  <c r="E86" i="26"/>
  <c r="D86" i="26"/>
  <c r="AC85" i="26"/>
  <c r="G85" i="26"/>
  <c r="F85" i="26"/>
  <c r="E85" i="26"/>
  <c r="AC84" i="26"/>
  <c r="G84" i="26"/>
  <c r="F84" i="26"/>
  <c r="E84" i="26"/>
  <c r="AC83" i="26"/>
  <c r="G83" i="26"/>
  <c r="F83" i="26"/>
  <c r="E83" i="26"/>
  <c r="AC82" i="26"/>
  <c r="G82" i="26"/>
  <c r="F82" i="26"/>
  <c r="E82" i="26"/>
  <c r="AC81" i="26"/>
  <c r="G81" i="26"/>
  <c r="F81" i="26"/>
  <c r="E81" i="26"/>
  <c r="AC80" i="26"/>
  <c r="G80" i="26"/>
  <c r="F80" i="26"/>
  <c r="E80" i="26"/>
  <c r="AC79" i="26"/>
  <c r="G79" i="26"/>
  <c r="F79" i="26"/>
  <c r="E79" i="26"/>
  <c r="AC78" i="26"/>
  <c r="G78" i="26"/>
  <c r="F78" i="26"/>
  <c r="E78" i="26"/>
  <c r="AC77" i="26"/>
  <c r="G77" i="26"/>
  <c r="F77" i="26"/>
  <c r="E77" i="26"/>
  <c r="AC76" i="26"/>
  <c r="G76" i="26"/>
  <c r="F76" i="26"/>
  <c r="E76" i="26"/>
  <c r="AC75" i="26"/>
  <c r="G75" i="26"/>
  <c r="F75" i="26"/>
  <c r="E75" i="26"/>
  <c r="AC74" i="26"/>
  <c r="G74" i="26"/>
  <c r="F74" i="26"/>
  <c r="E74" i="26"/>
  <c r="AC73" i="26"/>
  <c r="G73" i="26"/>
  <c r="F73" i="26"/>
  <c r="E73" i="26"/>
  <c r="AC72" i="26"/>
  <c r="G72" i="26"/>
  <c r="F72" i="26"/>
  <c r="E72" i="26"/>
  <c r="AC71" i="26"/>
  <c r="G71" i="26"/>
  <c r="F71" i="26"/>
  <c r="E71" i="26"/>
  <c r="AC70" i="26"/>
  <c r="G70" i="26"/>
  <c r="F70" i="26"/>
  <c r="E70" i="26"/>
  <c r="AC69" i="26"/>
  <c r="G69" i="26"/>
  <c r="F69" i="26"/>
  <c r="E69" i="26"/>
  <c r="AC68" i="26"/>
  <c r="G68" i="26"/>
  <c r="F68" i="26"/>
  <c r="E68" i="26"/>
  <c r="AC67" i="26"/>
  <c r="G67" i="26"/>
  <c r="F67" i="26"/>
  <c r="E67" i="26"/>
  <c r="AC66" i="26"/>
  <c r="G66" i="26"/>
  <c r="F66" i="26"/>
  <c r="E66" i="26"/>
  <c r="AC65" i="26"/>
  <c r="G65" i="26"/>
  <c r="F65" i="26"/>
  <c r="E65" i="26"/>
  <c r="AC64" i="26"/>
  <c r="G64" i="26"/>
  <c r="F64" i="26"/>
  <c r="E64" i="26"/>
  <c r="AC63" i="26"/>
  <c r="G63" i="26"/>
  <c r="F63" i="26"/>
  <c r="E63" i="26"/>
  <c r="AC62" i="26"/>
  <c r="G62" i="26"/>
  <c r="F62" i="26"/>
  <c r="E62" i="26"/>
  <c r="AC61" i="26"/>
  <c r="G61" i="26"/>
  <c r="F61" i="26"/>
  <c r="E61" i="26"/>
  <c r="AC60" i="26"/>
  <c r="G60" i="26"/>
  <c r="F60" i="26"/>
  <c r="E60" i="26"/>
  <c r="AC59" i="26"/>
  <c r="G59" i="26"/>
  <c r="F59" i="26"/>
  <c r="E59" i="26"/>
  <c r="AC58" i="26"/>
  <c r="G58" i="26"/>
  <c r="F58" i="26"/>
  <c r="E58" i="26"/>
  <c r="AC57" i="26"/>
  <c r="G57" i="26"/>
  <c r="F57" i="26"/>
  <c r="E57" i="26"/>
  <c r="AC56" i="26"/>
  <c r="G56" i="26"/>
  <c r="F56" i="26"/>
  <c r="E56" i="26"/>
  <c r="AC55" i="26"/>
  <c r="G55" i="26"/>
  <c r="F55" i="26"/>
  <c r="E55" i="26"/>
  <c r="AC54" i="26"/>
  <c r="AA54" i="26"/>
  <c r="Z54" i="26"/>
  <c r="Y54" i="26"/>
  <c r="X54" i="26"/>
  <c r="V54" i="26"/>
  <c r="U54" i="26"/>
  <c r="T54" i="26"/>
  <c r="S54" i="26"/>
  <c r="Q54" i="26"/>
  <c r="P54" i="26"/>
  <c r="O54" i="26"/>
  <c r="N54" i="26"/>
  <c r="I54" i="26" s="1"/>
  <c r="G54" i="26"/>
  <c r="F54" i="26"/>
  <c r="E54" i="26"/>
  <c r="D54" i="26"/>
  <c r="AC53" i="26"/>
  <c r="G53" i="26"/>
  <c r="F53" i="26"/>
  <c r="E53" i="26"/>
  <c r="AC52" i="26"/>
  <c r="G52" i="26"/>
  <c r="F52" i="26"/>
  <c r="E52" i="26"/>
  <c r="AC51" i="26"/>
  <c r="G51" i="26"/>
  <c r="F51" i="26"/>
  <c r="E51" i="26"/>
  <c r="AC50" i="26"/>
  <c r="G50" i="26"/>
  <c r="F50" i="26"/>
  <c r="E50" i="26"/>
  <c r="AC49" i="26"/>
  <c r="G49" i="26"/>
  <c r="F49" i="26"/>
  <c r="E49" i="26"/>
  <c r="AC48" i="26"/>
  <c r="G48" i="26"/>
  <c r="F48" i="26"/>
  <c r="E48" i="26"/>
  <c r="AC47" i="26"/>
  <c r="G47" i="26"/>
  <c r="F47" i="26"/>
  <c r="E47" i="26"/>
  <c r="AC46" i="26"/>
  <c r="G46" i="26"/>
  <c r="F46" i="26"/>
  <c r="E46" i="26"/>
  <c r="AC45" i="26"/>
  <c r="G45" i="26"/>
  <c r="F45" i="26"/>
  <c r="E45" i="26"/>
  <c r="AC44" i="26"/>
  <c r="G44" i="26"/>
  <c r="F44" i="26"/>
  <c r="E44" i="26"/>
  <c r="AC43" i="26"/>
  <c r="G43" i="26"/>
  <c r="F43" i="26"/>
  <c r="E43" i="26"/>
  <c r="AC42" i="26"/>
  <c r="G42" i="26"/>
  <c r="F42" i="26"/>
  <c r="E42" i="26"/>
  <c r="AC41" i="26"/>
  <c r="G41" i="26"/>
  <c r="F41" i="26"/>
  <c r="E41" i="26"/>
  <c r="AC40" i="26"/>
  <c r="G40" i="26"/>
  <c r="F40" i="26"/>
  <c r="E40" i="26"/>
  <c r="AC39" i="26"/>
  <c r="G39" i="26"/>
  <c r="F39" i="26"/>
  <c r="E39" i="26"/>
  <c r="AC38" i="26"/>
  <c r="G38" i="26"/>
  <c r="F38" i="26"/>
  <c r="E38" i="26"/>
  <c r="AC37" i="26"/>
  <c r="G37" i="26"/>
  <c r="F37" i="26"/>
  <c r="E37" i="26"/>
  <c r="AC36" i="26"/>
  <c r="G36" i="26"/>
  <c r="F36" i="26"/>
  <c r="E36" i="26"/>
  <c r="AC35" i="26"/>
  <c r="G35" i="26"/>
  <c r="F35" i="26"/>
  <c r="E35" i="26"/>
  <c r="AC34" i="26"/>
  <c r="G34" i="26"/>
  <c r="F34" i="26"/>
  <c r="E34" i="26"/>
  <c r="AC33" i="26"/>
  <c r="G33" i="26"/>
  <c r="F33" i="26"/>
  <c r="E33" i="26"/>
  <c r="AC32" i="26"/>
  <c r="G32" i="26"/>
  <c r="F32" i="26"/>
  <c r="E32" i="26"/>
  <c r="AC31" i="26"/>
  <c r="G31" i="26"/>
  <c r="F31" i="26"/>
  <c r="E31" i="26"/>
  <c r="AC30" i="26"/>
  <c r="G30" i="26"/>
  <c r="F30" i="26"/>
  <c r="E30" i="26"/>
  <c r="AC29" i="26"/>
  <c r="G29" i="26"/>
  <c r="F29" i="26"/>
  <c r="E29" i="26"/>
  <c r="AC28" i="26"/>
  <c r="G28" i="26"/>
  <c r="F28" i="26"/>
  <c r="E28" i="26"/>
  <c r="AC27" i="26"/>
  <c r="G27" i="26"/>
  <c r="F27" i="26"/>
  <c r="E27" i="26"/>
  <c r="AC26" i="26"/>
  <c r="G26" i="26"/>
  <c r="F26" i="26"/>
  <c r="E26" i="26"/>
  <c r="AC25" i="26"/>
  <c r="G25" i="26"/>
  <c r="F25" i="26"/>
  <c r="E25" i="26"/>
  <c r="AC24" i="26"/>
  <c r="G24" i="26"/>
  <c r="F24" i="26"/>
  <c r="E24" i="26"/>
  <c r="AC23" i="26"/>
  <c r="G23" i="26"/>
  <c r="F23" i="26"/>
  <c r="E23" i="26"/>
  <c r="D23" i="26"/>
  <c r="AC22" i="26"/>
  <c r="G22" i="26"/>
  <c r="F22" i="26"/>
  <c r="E22" i="26"/>
  <c r="AC21" i="26"/>
  <c r="G21" i="26"/>
  <c r="F21" i="26"/>
  <c r="E21" i="26"/>
  <c r="AC20" i="26"/>
  <c r="G20" i="26"/>
  <c r="F20" i="26"/>
  <c r="E20" i="26"/>
  <c r="AC19" i="26"/>
  <c r="G19" i="26"/>
  <c r="F19" i="26"/>
  <c r="E19" i="26"/>
  <c r="AC18" i="26"/>
  <c r="G18" i="26"/>
  <c r="F18" i="26"/>
  <c r="E18" i="26"/>
  <c r="AC17" i="26"/>
  <c r="G17" i="26"/>
  <c r="F17" i="26"/>
  <c r="E17" i="26"/>
  <c r="AC16" i="26"/>
  <c r="G16" i="26"/>
  <c r="F16" i="26"/>
  <c r="E16" i="26"/>
  <c r="AC15" i="26"/>
  <c r="G15" i="26"/>
  <c r="F15" i="26"/>
  <c r="E15" i="26"/>
  <c r="AC14" i="26"/>
  <c r="G14" i="26"/>
  <c r="F14" i="26"/>
  <c r="E14" i="26"/>
  <c r="AC13" i="26"/>
  <c r="G13" i="26"/>
  <c r="F13" i="26"/>
  <c r="E13" i="26"/>
  <c r="AC12" i="26"/>
  <c r="G12" i="26"/>
  <c r="F12" i="26"/>
  <c r="E12" i="26"/>
  <c r="AC11" i="26"/>
  <c r="G11" i="26"/>
  <c r="F11" i="26"/>
  <c r="E11" i="26"/>
  <c r="AC10" i="26"/>
  <c r="G10" i="26"/>
  <c r="F10" i="26"/>
  <c r="E10" i="26"/>
  <c r="AC9" i="26"/>
  <c r="G9" i="26"/>
  <c r="F9" i="26"/>
  <c r="E9" i="26"/>
  <c r="AC8" i="26"/>
  <c r="G8" i="26"/>
  <c r="F8" i="26"/>
  <c r="E8" i="26"/>
  <c r="AC7" i="26"/>
  <c r="G7" i="26"/>
  <c r="F7" i="26"/>
  <c r="E7" i="26"/>
  <c r="AC6" i="26"/>
  <c r="G6" i="26"/>
  <c r="F6" i="26"/>
  <c r="E6" i="26"/>
  <c r="AC5" i="26"/>
  <c r="G5" i="26"/>
  <c r="F5" i="26"/>
  <c r="E5" i="26"/>
  <c r="AC4" i="26"/>
  <c r="G4" i="26"/>
  <c r="F4" i="26"/>
  <c r="E4" i="26"/>
  <c r="AC3" i="26"/>
  <c r="AF106" i="25"/>
  <c r="G106" i="25"/>
  <c r="F106" i="25"/>
  <c r="E106" i="25"/>
  <c r="AF105" i="25"/>
  <c r="G105" i="25"/>
  <c r="F105" i="25"/>
  <c r="E105" i="25"/>
  <c r="AF104" i="25"/>
  <c r="G104" i="25"/>
  <c r="F104" i="25"/>
  <c r="E104" i="25"/>
  <c r="AF103" i="25"/>
  <c r="G103" i="25"/>
  <c r="F103" i="25"/>
  <c r="E103" i="25"/>
  <c r="D103" i="25"/>
  <c r="AF102" i="25"/>
  <c r="G102" i="25"/>
  <c r="F102" i="25"/>
  <c r="E102" i="25"/>
  <c r="AF101" i="25"/>
  <c r="G101" i="25"/>
  <c r="F101" i="25"/>
  <c r="E101" i="25"/>
  <c r="AF100" i="25"/>
  <c r="G100" i="25"/>
  <c r="F100" i="25"/>
  <c r="E100" i="25"/>
  <c r="AF99" i="25"/>
  <c r="G99" i="25"/>
  <c r="F99" i="25"/>
  <c r="E99" i="25"/>
  <c r="AF98" i="25"/>
  <c r="G98" i="25"/>
  <c r="F98" i="25"/>
  <c r="E98" i="25"/>
  <c r="AF97" i="25"/>
  <c r="G97" i="25"/>
  <c r="F97" i="25"/>
  <c r="E97" i="25"/>
  <c r="AF96" i="25"/>
  <c r="G96" i="25"/>
  <c r="F96" i="25"/>
  <c r="E96" i="25"/>
  <c r="AF95" i="25"/>
  <c r="G95" i="25"/>
  <c r="F95" i="25"/>
  <c r="E95" i="25"/>
  <c r="AF94" i="25"/>
  <c r="G94" i="25"/>
  <c r="F94" i="25"/>
  <c r="E94" i="25"/>
  <c r="AF93" i="25"/>
  <c r="G93" i="25"/>
  <c r="F93" i="25"/>
  <c r="E93" i="25"/>
  <c r="AF92" i="25"/>
  <c r="G92" i="25"/>
  <c r="F92" i="25"/>
  <c r="E92" i="25"/>
  <c r="AF91" i="25"/>
  <c r="AD91" i="25"/>
  <c r="AC91" i="25"/>
  <c r="AB91" i="25"/>
  <c r="AA91" i="25"/>
  <c r="Z91" i="25"/>
  <c r="X91" i="25"/>
  <c r="W91" i="25"/>
  <c r="V91" i="25"/>
  <c r="U91" i="25"/>
  <c r="T91" i="25"/>
  <c r="R91" i="25"/>
  <c r="Q91" i="25"/>
  <c r="P91" i="25"/>
  <c r="O91" i="25"/>
  <c r="N91" i="25"/>
  <c r="I91" i="25" s="1"/>
  <c r="G91" i="25"/>
  <c r="F91" i="25"/>
  <c r="E91" i="25"/>
  <c r="D91" i="25"/>
  <c r="AF90" i="25"/>
  <c r="G90" i="25"/>
  <c r="F90" i="25"/>
  <c r="E90" i="25"/>
  <c r="AF89" i="25"/>
  <c r="G89" i="25"/>
  <c r="F89" i="25"/>
  <c r="E89" i="25"/>
  <c r="AF88" i="25"/>
  <c r="G88" i="25"/>
  <c r="F88" i="25"/>
  <c r="E88" i="25"/>
  <c r="AF87" i="25"/>
  <c r="G87" i="25"/>
  <c r="F87" i="25"/>
  <c r="E87" i="25"/>
  <c r="AF86" i="25"/>
  <c r="G86" i="25"/>
  <c r="F86" i="25"/>
  <c r="E86" i="25"/>
  <c r="AF85" i="25"/>
  <c r="G85" i="25"/>
  <c r="F85" i="25"/>
  <c r="E85" i="25"/>
  <c r="AF84" i="25"/>
  <c r="G84" i="25"/>
  <c r="F84" i="25"/>
  <c r="E84" i="25"/>
  <c r="AF83" i="25"/>
  <c r="G83" i="25"/>
  <c r="F83" i="25"/>
  <c r="E83" i="25"/>
  <c r="AF82" i="25"/>
  <c r="G82" i="25"/>
  <c r="F82" i="25"/>
  <c r="E82" i="25"/>
  <c r="AF81" i="25"/>
  <c r="G81" i="25"/>
  <c r="F81" i="25"/>
  <c r="E81" i="25"/>
  <c r="AF80" i="25"/>
  <c r="G80" i="25"/>
  <c r="F80" i="25"/>
  <c r="E80" i="25"/>
  <c r="AF79" i="25"/>
  <c r="G79" i="25"/>
  <c r="F79" i="25"/>
  <c r="E79" i="25"/>
  <c r="AF78" i="25"/>
  <c r="G78" i="25"/>
  <c r="F78" i="25"/>
  <c r="E78" i="25"/>
  <c r="AF77" i="25"/>
  <c r="G77" i="25"/>
  <c r="F77" i="25"/>
  <c r="E77" i="25"/>
  <c r="AF76" i="25"/>
  <c r="G76" i="25"/>
  <c r="F76" i="25"/>
  <c r="E76" i="25"/>
  <c r="AF75" i="25"/>
  <c r="G75" i="25"/>
  <c r="F75" i="25"/>
  <c r="E75" i="25"/>
  <c r="AF74" i="25"/>
  <c r="G74" i="25"/>
  <c r="F74" i="25"/>
  <c r="E74" i="25"/>
  <c r="AF73" i="25"/>
  <c r="G73" i="25"/>
  <c r="F73" i="25"/>
  <c r="E73" i="25"/>
  <c r="AF72" i="25"/>
  <c r="G72" i="25"/>
  <c r="F72" i="25"/>
  <c r="E72" i="25"/>
  <c r="AF71" i="25"/>
  <c r="G71" i="25"/>
  <c r="F71" i="25"/>
  <c r="E71" i="25"/>
  <c r="AF70" i="25"/>
  <c r="G70" i="25"/>
  <c r="F70" i="25"/>
  <c r="E70" i="25"/>
  <c r="AF69" i="25"/>
  <c r="G69" i="25"/>
  <c r="F69" i="25"/>
  <c r="E69" i="25"/>
  <c r="AF68" i="25"/>
  <c r="G68" i="25"/>
  <c r="F68" i="25"/>
  <c r="E68" i="25"/>
  <c r="AF67" i="25"/>
  <c r="G67" i="25"/>
  <c r="F67" i="25"/>
  <c r="E67" i="25"/>
  <c r="AF66" i="25"/>
  <c r="G66" i="25"/>
  <c r="F66" i="25"/>
  <c r="E66" i="25"/>
  <c r="AF65" i="25"/>
  <c r="G65" i="25"/>
  <c r="F65" i="25"/>
  <c r="E65" i="25"/>
  <c r="AF64" i="25"/>
  <c r="G64" i="25"/>
  <c r="F64" i="25"/>
  <c r="E64" i="25"/>
  <c r="AF63" i="25"/>
  <c r="G63" i="25"/>
  <c r="F63" i="25"/>
  <c r="E63" i="25"/>
  <c r="AF62" i="25"/>
  <c r="G62" i="25"/>
  <c r="F62" i="25"/>
  <c r="E62" i="25"/>
  <c r="AF61" i="25"/>
  <c r="G61" i="25"/>
  <c r="F61" i="25"/>
  <c r="E61" i="25"/>
  <c r="AF60" i="25"/>
  <c r="G60" i="25"/>
  <c r="F60" i="25"/>
  <c r="E60" i="25"/>
  <c r="AF59" i="25"/>
  <c r="G59" i="25"/>
  <c r="F59" i="25"/>
  <c r="E59" i="25"/>
  <c r="AF58" i="25"/>
  <c r="G58" i="25"/>
  <c r="F58" i="25"/>
  <c r="E58" i="25"/>
  <c r="AF57" i="25"/>
  <c r="G57" i="25"/>
  <c r="F57" i="25"/>
  <c r="E57" i="25"/>
  <c r="AF56" i="25"/>
  <c r="G56" i="25"/>
  <c r="F56" i="25"/>
  <c r="E56" i="25"/>
  <c r="AF55" i="25"/>
  <c r="G55" i="25"/>
  <c r="F55" i="25"/>
  <c r="E55" i="25"/>
  <c r="AF54" i="25"/>
  <c r="G54" i="25"/>
  <c r="F54" i="25"/>
  <c r="E54" i="25"/>
  <c r="AF53" i="25"/>
  <c r="G53" i="25"/>
  <c r="F53" i="25"/>
  <c r="E53" i="25"/>
  <c r="AF52" i="25"/>
  <c r="G52" i="25"/>
  <c r="F52" i="25"/>
  <c r="E52" i="25"/>
  <c r="AF51" i="25"/>
  <c r="G51" i="25"/>
  <c r="F51" i="25"/>
  <c r="E51" i="25"/>
  <c r="AF50" i="25"/>
  <c r="G50" i="25"/>
  <c r="F50" i="25"/>
  <c r="E50" i="25"/>
  <c r="AF49" i="25"/>
  <c r="G49" i="25"/>
  <c r="F49" i="25"/>
  <c r="E49" i="25"/>
  <c r="AF48" i="25"/>
  <c r="G48" i="25"/>
  <c r="F48" i="25"/>
  <c r="E48" i="25"/>
  <c r="AF47" i="25"/>
  <c r="G47" i="25"/>
  <c r="F47" i="25"/>
  <c r="E47" i="25"/>
  <c r="AF46" i="25"/>
  <c r="G46" i="25"/>
  <c r="F46" i="25"/>
  <c r="E46" i="25"/>
  <c r="AF45" i="25"/>
  <c r="AD45" i="25"/>
  <c r="AC45" i="25"/>
  <c r="AB45" i="25"/>
  <c r="AA45" i="25"/>
  <c r="Z45" i="25"/>
  <c r="X45" i="25"/>
  <c r="W45" i="25"/>
  <c r="V45" i="25"/>
  <c r="U45" i="25"/>
  <c r="T45" i="25"/>
  <c r="R45" i="25"/>
  <c r="Q45" i="25"/>
  <c r="P45" i="25"/>
  <c r="O45" i="25"/>
  <c r="N45" i="25"/>
  <c r="I45" i="25" s="1"/>
  <c r="G45" i="25"/>
  <c r="F45" i="25"/>
  <c r="E45" i="25"/>
  <c r="D45" i="25"/>
  <c r="AF44" i="25"/>
  <c r="G44" i="25"/>
  <c r="F44" i="25"/>
  <c r="E44" i="25"/>
  <c r="AF43" i="25"/>
  <c r="G43" i="25"/>
  <c r="F43" i="25"/>
  <c r="E43" i="25"/>
  <c r="AF42" i="25"/>
  <c r="G42" i="25"/>
  <c r="F42" i="25"/>
  <c r="E42" i="25"/>
  <c r="AF41" i="25"/>
  <c r="G41" i="25"/>
  <c r="F41" i="25"/>
  <c r="E41" i="25"/>
  <c r="AF40" i="25"/>
  <c r="G40" i="25"/>
  <c r="F40" i="25"/>
  <c r="E40" i="25"/>
  <c r="AF39" i="25"/>
  <c r="G39" i="25"/>
  <c r="F39" i="25"/>
  <c r="E39" i="25"/>
  <c r="AF38" i="25"/>
  <c r="G38" i="25"/>
  <c r="F38" i="25"/>
  <c r="E38" i="25"/>
  <c r="AF37" i="25"/>
  <c r="G37" i="25"/>
  <c r="F37" i="25"/>
  <c r="E37" i="25"/>
  <c r="AF36" i="25"/>
  <c r="G36" i="25"/>
  <c r="F36" i="25"/>
  <c r="E36" i="25"/>
  <c r="AF35" i="25"/>
  <c r="G35" i="25"/>
  <c r="F35" i="25"/>
  <c r="E35" i="25"/>
  <c r="AF34" i="25"/>
  <c r="G34" i="25"/>
  <c r="F34" i="25"/>
  <c r="E34" i="25"/>
  <c r="AF33" i="25"/>
  <c r="G33" i="25"/>
  <c r="F33" i="25"/>
  <c r="E33" i="25"/>
  <c r="AF32" i="25"/>
  <c r="G32" i="25"/>
  <c r="F32" i="25"/>
  <c r="E32" i="25"/>
  <c r="AF31" i="25"/>
  <c r="G31" i="25"/>
  <c r="F31" i="25"/>
  <c r="E31" i="25"/>
  <c r="AF30" i="25"/>
  <c r="G30" i="25"/>
  <c r="F30" i="25"/>
  <c r="E30" i="25"/>
  <c r="AF29" i="25"/>
  <c r="G29" i="25"/>
  <c r="F29" i="25"/>
  <c r="E29" i="25"/>
  <c r="AF28" i="25"/>
  <c r="G28" i="25"/>
  <c r="F28" i="25"/>
  <c r="E28" i="25"/>
  <c r="AF27" i="25"/>
  <c r="G27" i="25"/>
  <c r="F27" i="25"/>
  <c r="E27" i="25"/>
  <c r="AF26" i="25"/>
  <c r="G26" i="25"/>
  <c r="F26" i="25"/>
  <c r="E26" i="25"/>
  <c r="AF25" i="25"/>
  <c r="G25" i="25"/>
  <c r="F25" i="25"/>
  <c r="E25" i="25"/>
  <c r="AF24" i="25"/>
  <c r="G24" i="25"/>
  <c r="F24" i="25"/>
  <c r="E24" i="25"/>
  <c r="AF23" i="25"/>
  <c r="G23" i="25"/>
  <c r="F23" i="25"/>
  <c r="E23" i="25"/>
  <c r="AF22" i="25"/>
  <c r="G22" i="25"/>
  <c r="F22" i="25"/>
  <c r="E22" i="25"/>
  <c r="AF21" i="25"/>
  <c r="G21" i="25"/>
  <c r="F21" i="25"/>
  <c r="E21" i="25"/>
  <c r="AF20" i="25"/>
  <c r="G20" i="25"/>
  <c r="F20" i="25"/>
  <c r="E20" i="25"/>
  <c r="AF19" i="25"/>
  <c r="G19" i="25"/>
  <c r="F19" i="25"/>
  <c r="E19" i="25"/>
  <c r="AF18" i="25"/>
  <c r="G18" i="25"/>
  <c r="F18" i="25"/>
  <c r="E18" i="25"/>
  <c r="AF17" i="25"/>
  <c r="G17" i="25"/>
  <c r="F17" i="25"/>
  <c r="E17" i="25"/>
  <c r="AF16" i="25"/>
  <c r="G16" i="25"/>
  <c r="F16" i="25"/>
  <c r="E16" i="25"/>
  <c r="AF15" i="25"/>
  <c r="G15" i="25"/>
  <c r="F15" i="25"/>
  <c r="E15" i="25"/>
  <c r="AF14" i="25"/>
  <c r="G14" i="25"/>
  <c r="F14" i="25"/>
  <c r="E14" i="25"/>
  <c r="AF13" i="25"/>
  <c r="G13" i="25"/>
  <c r="F13" i="25"/>
  <c r="E13" i="25"/>
  <c r="AF12" i="25"/>
  <c r="G12" i="25"/>
  <c r="F12" i="25"/>
  <c r="E12" i="25"/>
  <c r="AF11" i="25"/>
  <c r="G11" i="25"/>
  <c r="F11" i="25"/>
  <c r="E11" i="25"/>
  <c r="AF10" i="25"/>
  <c r="G10" i="25"/>
  <c r="F10" i="25"/>
  <c r="E10" i="25"/>
  <c r="AF9" i="25"/>
  <c r="G9" i="25"/>
  <c r="F9" i="25"/>
  <c r="E9" i="25"/>
  <c r="AF8" i="25"/>
  <c r="G8" i="25"/>
  <c r="F8" i="25"/>
  <c r="E8" i="25"/>
  <c r="AF7" i="25"/>
  <c r="G7" i="25"/>
  <c r="F7" i="25"/>
  <c r="E7" i="25"/>
  <c r="AF6" i="25"/>
  <c r="G6" i="25"/>
  <c r="F6" i="25"/>
  <c r="E6" i="25"/>
  <c r="AF5" i="25"/>
  <c r="G5" i="25"/>
  <c r="F5" i="25"/>
  <c r="E5" i="25"/>
  <c r="AF4" i="25"/>
  <c r="G4" i="25"/>
  <c r="F4" i="25"/>
  <c r="E4" i="25"/>
  <c r="AF3" i="25"/>
  <c r="AC106" i="24"/>
  <c r="G106" i="24"/>
  <c r="F106" i="24"/>
  <c r="E106" i="24"/>
  <c r="AC105" i="24"/>
  <c r="AA105" i="24"/>
  <c r="Z105" i="24"/>
  <c r="Y105" i="24"/>
  <c r="X105" i="24"/>
  <c r="V105" i="24"/>
  <c r="U105" i="24"/>
  <c r="T105" i="24"/>
  <c r="S105" i="24"/>
  <c r="Q105" i="24"/>
  <c r="P105" i="24"/>
  <c r="O105" i="24"/>
  <c r="N105" i="24"/>
  <c r="I105" i="24" s="1"/>
  <c r="G105" i="24"/>
  <c r="F105" i="24"/>
  <c r="E105" i="24"/>
  <c r="D105" i="24"/>
  <c r="AC104" i="24"/>
  <c r="G104" i="24"/>
  <c r="F104" i="24"/>
  <c r="E104" i="24"/>
  <c r="AC103" i="24"/>
  <c r="G103" i="24"/>
  <c r="F103" i="24"/>
  <c r="E103" i="24"/>
  <c r="AC102" i="24"/>
  <c r="G102" i="24"/>
  <c r="F102" i="24"/>
  <c r="E102" i="24"/>
  <c r="AC101" i="24"/>
  <c r="G101" i="24"/>
  <c r="F101" i="24"/>
  <c r="E101" i="24"/>
  <c r="AC100" i="24"/>
  <c r="G100" i="24"/>
  <c r="F100" i="24"/>
  <c r="E100" i="24"/>
  <c r="AC99" i="24"/>
  <c r="G99" i="24"/>
  <c r="F99" i="24"/>
  <c r="E99" i="24"/>
  <c r="AC98" i="24"/>
  <c r="G98" i="24"/>
  <c r="F98" i="24"/>
  <c r="E98" i="24"/>
  <c r="AC97" i="24"/>
  <c r="G97" i="24"/>
  <c r="F97" i="24"/>
  <c r="E97" i="24"/>
  <c r="AC96" i="24"/>
  <c r="G96" i="24"/>
  <c r="F96" i="24"/>
  <c r="E96" i="24"/>
  <c r="AC95" i="24"/>
  <c r="G95" i="24"/>
  <c r="F95" i="24"/>
  <c r="E95" i="24"/>
  <c r="AC94" i="24"/>
  <c r="G94" i="24"/>
  <c r="F94" i="24"/>
  <c r="E94" i="24"/>
  <c r="AC93" i="24"/>
  <c r="G93" i="24"/>
  <c r="F93" i="24"/>
  <c r="E93" i="24"/>
  <c r="AC92" i="24"/>
  <c r="G92" i="24"/>
  <c r="F92" i="24"/>
  <c r="E92" i="24"/>
  <c r="AC91" i="24"/>
  <c r="G91" i="24"/>
  <c r="F91" i="24"/>
  <c r="E91" i="24"/>
  <c r="AC90" i="24"/>
  <c r="G90" i="24"/>
  <c r="F90" i="24"/>
  <c r="E90" i="24"/>
  <c r="AC89" i="24"/>
  <c r="G89" i="24"/>
  <c r="F89" i="24"/>
  <c r="E89" i="24"/>
  <c r="AC88" i="24"/>
  <c r="G88" i="24"/>
  <c r="F88" i="24"/>
  <c r="E88" i="24"/>
  <c r="AC87" i="24"/>
  <c r="G87" i="24"/>
  <c r="F87" i="24"/>
  <c r="E87" i="24"/>
  <c r="AC86" i="24"/>
  <c r="G86" i="24"/>
  <c r="F86" i="24"/>
  <c r="E86" i="24"/>
  <c r="AC85" i="24"/>
  <c r="G85" i="24"/>
  <c r="F85" i="24"/>
  <c r="E85" i="24"/>
  <c r="AC84" i="24"/>
  <c r="G84" i="24"/>
  <c r="F84" i="24"/>
  <c r="E84" i="24"/>
  <c r="AC83" i="24"/>
  <c r="G83" i="24"/>
  <c r="F83" i="24"/>
  <c r="E83" i="24"/>
  <c r="AC82" i="24"/>
  <c r="G82" i="24"/>
  <c r="F82" i="24"/>
  <c r="E82" i="24"/>
  <c r="AC81" i="24"/>
  <c r="G81" i="24"/>
  <c r="F81" i="24"/>
  <c r="E81" i="24"/>
  <c r="AC80" i="24"/>
  <c r="G80" i="24"/>
  <c r="F80" i="24"/>
  <c r="E80" i="24"/>
  <c r="AC79" i="24"/>
  <c r="G79" i="24"/>
  <c r="F79" i="24"/>
  <c r="E79" i="24"/>
  <c r="AC78" i="24"/>
  <c r="G78" i="24"/>
  <c r="F78" i="24"/>
  <c r="E78" i="24"/>
  <c r="AC77" i="24"/>
  <c r="G77" i="24"/>
  <c r="F77" i="24"/>
  <c r="E77" i="24"/>
  <c r="AC76" i="24"/>
  <c r="G76" i="24"/>
  <c r="F76" i="24"/>
  <c r="E76" i="24"/>
  <c r="AC75" i="24"/>
  <c r="G75" i="24"/>
  <c r="F75" i="24"/>
  <c r="E75" i="24"/>
  <c r="AC74" i="24"/>
  <c r="G74" i="24"/>
  <c r="F74" i="24"/>
  <c r="E74" i="24"/>
  <c r="AC73" i="24"/>
  <c r="G73" i="24"/>
  <c r="F73" i="24"/>
  <c r="E73" i="24"/>
  <c r="AC72" i="24"/>
  <c r="G72" i="24"/>
  <c r="F72" i="24"/>
  <c r="E72" i="24"/>
  <c r="AC71" i="24"/>
  <c r="G71" i="24"/>
  <c r="F71" i="24"/>
  <c r="E71" i="24"/>
  <c r="AC70" i="24"/>
  <c r="G70" i="24"/>
  <c r="F70" i="24"/>
  <c r="E70" i="24"/>
  <c r="AC69" i="24"/>
  <c r="G69" i="24"/>
  <c r="F69" i="24"/>
  <c r="E69" i="24"/>
  <c r="AC68" i="24"/>
  <c r="G68" i="24"/>
  <c r="F68" i="24"/>
  <c r="E68" i="24"/>
  <c r="AC67" i="24"/>
  <c r="G67" i="24"/>
  <c r="F67" i="24"/>
  <c r="E67" i="24"/>
  <c r="AC66" i="24"/>
  <c r="G66" i="24"/>
  <c r="F66" i="24"/>
  <c r="E66" i="24"/>
  <c r="AC65" i="24"/>
  <c r="G65" i="24"/>
  <c r="F65" i="24"/>
  <c r="E65" i="24"/>
  <c r="AC64" i="24"/>
  <c r="G64" i="24"/>
  <c r="F64" i="24"/>
  <c r="E64" i="24"/>
  <c r="AC63" i="24"/>
  <c r="G63" i="24"/>
  <c r="F63" i="24"/>
  <c r="E63" i="24"/>
  <c r="AC62" i="24"/>
  <c r="G62" i="24"/>
  <c r="F62" i="24"/>
  <c r="E62" i="24"/>
  <c r="AC61" i="24"/>
  <c r="G61" i="24"/>
  <c r="F61" i="24"/>
  <c r="E61" i="24"/>
  <c r="AC60" i="24"/>
  <c r="G60" i="24"/>
  <c r="F60" i="24"/>
  <c r="E60" i="24"/>
  <c r="AC59" i="24"/>
  <c r="G59" i="24"/>
  <c r="F59" i="24"/>
  <c r="E59" i="24"/>
  <c r="AC58" i="24"/>
  <c r="G58" i="24"/>
  <c r="F58" i="24"/>
  <c r="E58" i="24"/>
  <c r="AC57" i="24"/>
  <c r="G57" i="24"/>
  <c r="F57" i="24"/>
  <c r="E57" i="24"/>
  <c r="AC56" i="24"/>
  <c r="G56" i="24"/>
  <c r="F56" i="24"/>
  <c r="E56" i="24"/>
  <c r="AC55" i="24"/>
  <c r="G55" i="24"/>
  <c r="F55" i="24"/>
  <c r="E55" i="24"/>
  <c r="AC54" i="24"/>
  <c r="G54" i="24"/>
  <c r="F54" i="24"/>
  <c r="E54" i="24"/>
  <c r="AC53" i="24"/>
  <c r="G53" i="24"/>
  <c r="F53" i="24"/>
  <c r="E53" i="24"/>
  <c r="AC52" i="24"/>
  <c r="G52" i="24"/>
  <c r="F52" i="24"/>
  <c r="E52" i="24"/>
  <c r="AC51" i="24"/>
  <c r="G51" i="24"/>
  <c r="F51" i="24"/>
  <c r="E51" i="24"/>
  <c r="AC50" i="24"/>
  <c r="G50" i="24"/>
  <c r="F50" i="24"/>
  <c r="E50" i="24"/>
  <c r="AC49" i="24"/>
  <c r="G49" i="24"/>
  <c r="F49" i="24"/>
  <c r="E49" i="24"/>
  <c r="AC48" i="24"/>
  <c r="G48" i="24"/>
  <c r="F48" i="24"/>
  <c r="E48" i="24"/>
  <c r="AC47" i="24"/>
  <c r="G47" i="24"/>
  <c r="F47" i="24"/>
  <c r="E47" i="24"/>
  <c r="AC46" i="24"/>
  <c r="G46" i="24"/>
  <c r="F46" i="24"/>
  <c r="E46" i="24"/>
  <c r="D46" i="24"/>
  <c r="AC45" i="24"/>
  <c r="G45" i="24"/>
  <c r="F45" i="24"/>
  <c r="E45" i="24"/>
  <c r="AC44" i="24"/>
  <c r="G44" i="24"/>
  <c r="F44" i="24"/>
  <c r="E44" i="24"/>
  <c r="AC43" i="24"/>
  <c r="G43" i="24"/>
  <c r="F43" i="24"/>
  <c r="E43" i="24"/>
  <c r="AC42" i="24"/>
  <c r="G42" i="24"/>
  <c r="F42" i="24"/>
  <c r="E42" i="24"/>
  <c r="AC41" i="24"/>
  <c r="G41" i="24"/>
  <c r="F41" i="24"/>
  <c r="E41" i="24"/>
  <c r="AC40" i="24"/>
  <c r="G40" i="24"/>
  <c r="F40" i="24"/>
  <c r="E40" i="24"/>
  <c r="AC39" i="24"/>
  <c r="G39" i="24"/>
  <c r="F39" i="24"/>
  <c r="E39" i="24"/>
  <c r="AC38" i="24"/>
  <c r="G38" i="24"/>
  <c r="F38" i="24"/>
  <c r="E38" i="24"/>
  <c r="AC37" i="24"/>
  <c r="G37" i="24"/>
  <c r="F37" i="24"/>
  <c r="E37" i="24"/>
  <c r="AC36" i="24"/>
  <c r="G36" i="24"/>
  <c r="F36" i="24"/>
  <c r="E36" i="24"/>
  <c r="AC35" i="24"/>
  <c r="G35" i="24"/>
  <c r="F35" i="24"/>
  <c r="E35" i="24"/>
  <c r="AC34" i="24"/>
  <c r="G34" i="24"/>
  <c r="F34" i="24"/>
  <c r="E34" i="24"/>
  <c r="AC33" i="24"/>
  <c r="G33" i="24"/>
  <c r="F33" i="24"/>
  <c r="E33" i="24"/>
  <c r="AC32" i="24"/>
  <c r="G32" i="24"/>
  <c r="F32" i="24"/>
  <c r="E32" i="24"/>
  <c r="AC31" i="24"/>
  <c r="G31" i="24"/>
  <c r="F31" i="24"/>
  <c r="E31" i="24"/>
  <c r="AC30" i="24"/>
  <c r="G30" i="24"/>
  <c r="F30" i="24"/>
  <c r="E30" i="24"/>
  <c r="AC29" i="24"/>
  <c r="G29" i="24"/>
  <c r="F29" i="24"/>
  <c r="E29" i="24"/>
  <c r="AC28" i="24"/>
  <c r="AA28" i="24"/>
  <c r="Z28" i="24"/>
  <c r="Y28" i="24"/>
  <c r="X28" i="24"/>
  <c r="V28" i="24"/>
  <c r="U28" i="24"/>
  <c r="T28" i="24"/>
  <c r="S28" i="24"/>
  <c r="Q28" i="24"/>
  <c r="P28" i="24"/>
  <c r="O28" i="24"/>
  <c r="N28" i="24"/>
  <c r="I28" i="24" s="1"/>
  <c r="G28" i="24"/>
  <c r="F28" i="24"/>
  <c r="E28" i="24"/>
  <c r="D28" i="24"/>
  <c r="AC27" i="24"/>
  <c r="G27" i="24"/>
  <c r="F27" i="24"/>
  <c r="E27" i="24"/>
  <c r="AC26" i="24"/>
  <c r="G26" i="24"/>
  <c r="F26" i="24"/>
  <c r="E26" i="24"/>
  <c r="AC25" i="24"/>
  <c r="G25" i="24"/>
  <c r="F25" i="24"/>
  <c r="E25" i="24"/>
  <c r="AC24" i="24"/>
  <c r="G24" i="24"/>
  <c r="F24" i="24"/>
  <c r="E24" i="24"/>
  <c r="AC23" i="24"/>
  <c r="G23" i="24"/>
  <c r="F23" i="24"/>
  <c r="E23" i="24"/>
  <c r="AC22" i="24"/>
  <c r="G22" i="24"/>
  <c r="F22" i="24"/>
  <c r="E22" i="24"/>
  <c r="AC21" i="24"/>
  <c r="G21" i="24"/>
  <c r="F21" i="24"/>
  <c r="E21" i="24"/>
  <c r="AC20" i="24"/>
  <c r="G20" i="24"/>
  <c r="F20" i="24"/>
  <c r="E20" i="24"/>
  <c r="AC19" i="24"/>
  <c r="G19" i="24"/>
  <c r="F19" i="24"/>
  <c r="E19" i="24"/>
  <c r="AC18" i="24"/>
  <c r="G18" i="24"/>
  <c r="F18" i="24"/>
  <c r="E18" i="24"/>
  <c r="AC17" i="24"/>
  <c r="G17" i="24"/>
  <c r="F17" i="24"/>
  <c r="E17" i="24"/>
  <c r="AC16" i="24"/>
  <c r="G16" i="24"/>
  <c r="F16" i="24"/>
  <c r="E16" i="24"/>
  <c r="AC15" i="24"/>
  <c r="G15" i="24"/>
  <c r="F15" i="24"/>
  <c r="E15" i="24"/>
  <c r="AC14" i="24"/>
  <c r="G14" i="24"/>
  <c r="F14" i="24"/>
  <c r="E14" i="24"/>
  <c r="AC13" i="24"/>
  <c r="G13" i="24"/>
  <c r="F13" i="24"/>
  <c r="E13" i="24"/>
  <c r="AC12" i="24"/>
  <c r="G12" i="24"/>
  <c r="F12" i="24"/>
  <c r="E12" i="24"/>
  <c r="AC11" i="24"/>
  <c r="G11" i="24"/>
  <c r="F11" i="24"/>
  <c r="E11" i="24"/>
  <c r="AC10" i="24"/>
  <c r="G10" i="24"/>
  <c r="F10" i="24"/>
  <c r="E10" i="24"/>
  <c r="AC9" i="24"/>
  <c r="G9" i="24"/>
  <c r="F9" i="24"/>
  <c r="E9" i="24"/>
  <c r="AC8" i="24"/>
  <c r="G8" i="24"/>
  <c r="F8" i="24"/>
  <c r="E8" i="24"/>
  <c r="AC7" i="24"/>
  <c r="G7" i="24"/>
  <c r="F7" i="24"/>
  <c r="E7" i="24"/>
  <c r="AC6" i="24"/>
  <c r="G6" i="24"/>
  <c r="F6" i="24"/>
  <c r="E6" i="24"/>
  <c r="AC5" i="24"/>
  <c r="G5" i="24"/>
  <c r="F5" i="24"/>
  <c r="E5" i="24"/>
  <c r="AC4" i="24"/>
  <c r="G4" i="24"/>
  <c r="F4" i="24"/>
  <c r="E4" i="24"/>
  <c r="AC3" i="24"/>
  <c r="AF106" i="23"/>
  <c r="G106" i="23"/>
  <c r="F106" i="23"/>
  <c r="E106" i="23"/>
  <c r="AF105" i="23"/>
  <c r="G105" i="23"/>
  <c r="F105" i="23"/>
  <c r="E105" i="23"/>
  <c r="AF104" i="23"/>
  <c r="G104" i="23"/>
  <c r="F104" i="23"/>
  <c r="E104" i="23"/>
  <c r="AF103" i="23"/>
  <c r="G103" i="23"/>
  <c r="F103" i="23"/>
  <c r="E103" i="23"/>
  <c r="AF102" i="23"/>
  <c r="G102" i="23"/>
  <c r="F102" i="23"/>
  <c r="E102" i="23"/>
  <c r="AF101" i="23"/>
  <c r="G101" i="23"/>
  <c r="F101" i="23"/>
  <c r="E101" i="23"/>
  <c r="AF100" i="23"/>
  <c r="G100" i="23"/>
  <c r="F100" i="23"/>
  <c r="E100" i="23"/>
  <c r="AF99" i="23"/>
  <c r="G99" i="23"/>
  <c r="F99" i="23"/>
  <c r="E99" i="23"/>
  <c r="AF98" i="23"/>
  <c r="G98" i="23"/>
  <c r="F98" i="23"/>
  <c r="E98" i="23"/>
  <c r="AF97" i="23"/>
  <c r="G97" i="23"/>
  <c r="F97" i="23"/>
  <c r="E97" i="23"/>
  <c r="AF96" i="23"/>
  <c r="G96" i="23"/>
  <c r="F96" i="23"/>
  <c r="E96" i="23"/>
  <c r="AF95" i="23"/>
  <c r="G95" i="23"/>
  <c r="F95" i="23"/>
  <c r="E95" i="23"/>
  <c r="AF94" i="23"/>
  <c r="G94" i="23"/>
  <c r="F94" i="23"/>
  <c r="E94" i="23"/>
  <c r="AF93" i="23"/>
  <c r="G93" i="23"/>
  <c r="F93" i="23"/>
  <c r="E93" i="23"/>
  <c r="AF92" i="23"/>
  <c r="G92" i="23"/>
  <c r="F92" i="23"/>
  <c r="E92" i="23"/>
  <c r="AF91" i="23"/>
  <c r="G91" i="23"/>
  <c r="F91" i="23"/>
  <c r="E91" i="23"/>
  <c r="AF90" i="23"/>
  <c r="G90" i="23"/>
  <c r="F90" i="23"/>
  <c r="E90" i="23"/>
  <c r="AF89" i="23"/>
  <c r="G89" i="23"/>
  <c r="F89" i="23"/>
  <c r="E89" i="23"/>
  <c r="AF88" i="23"/>
  <c r="G88" i="23"/>
  <c r="F88" i="23"/>
  <c r="E88" i="23"/>
  <c r="AF87" i="23"/>
  <c r="AD87" i="23"/>
  <c r="AC87" i="23"/>
  <c r="AB87" i="23"/>
  <c r="AA87" i="23"/>
  <c r="Z87" i="23"/>
  <c r="X87" i="23"/>
  <c r="W87" i="23"/>
  <c r="V87" i="23"/>
  <c r="U87" i="23"/>
  <c r="T87" i="23"/>
  <c r="R87" i="23"/>
  <c r="Q87" i="23"/>
  <c r="P87" i="23"/>
  <c r="O87" i="23"/>
  <c r="N87" i="23"/>
  <c r="I87" i="23" s="1"/>
  <c r="G87" i="23"/>
  <c r="F87" i="23"/>
  <c r="E87" i="23"/>
  <c r="D87" i="23"/>
  <c r="AF86" i="23"/>
  <c r="G86" i="23"/>
  <c r="F86" i="23"/>
  <c r="E86" i="23"/>
  <c r="AF85" i="23"/>
  <c r="G85" i="23"/>
  <c r="F85" i="23"/>
  <c r="E85" i="23"/>
  <c r="AF84" i="23"/>
  <c r="G84" i="23"/>
  <c r="F84" i="23"/>
  <c r="E84" i="23"/>
  <c r="AF83" i="23"/>
  <c r="G83" i="23"/>
  <c r="F83" i="23"/>
  <c r="E83" i="23"/>
  <c r="AF82" i="23"/>
  <c r="G82" i="23"/>
  <c r="F82" i="23"/>
  <c r="E82" i="23"/>
  <c r="AF81" i="23"/>
  <c r="G81" i="23"/>
  <c r="F81" i="23"/>
  <c r="E81" i="23"/>
  <c r="AF80" i="23"/>
  <c r="G80" i="23"/>
  <c r="F80" i="23"/>
  <c r="E80" i="23"/>
  <c r="AF79" i="23"/>
  <c r="G79" i="23"/>
  <c r="F79" i="23"/>
  <c r="E79" i="23"/>
  <c r="AF78" i="23"/>
  <c r="G78" i="23"/>
  <c r="F78" i="23"/>
  <c r="E78" i="23"/>
  <c r="AF77" i="23"/>
  <c r="G77" i="23"/>
  <c r="F77" i="23"/>
  <c r="E77" i="23"/>
  <c r="AF76" i="23"/>
  <c r="G76" i="23"/>
  <c r="F76" i="23"/>
  <c r="E76" i="23"/>
  <c r="AF75" i="23"/>
  <c r="G75" i="23"/>
  <c r="F75" i="23"/>
  <c r="E75" i="23"/>
  <c r="AF74" i="23"/>
  <c r="G74" i="23"/>
  <c r="F74" i="23"/>
  <c r="E74" i="23"/>
  <c r="AF73" i="23"/>
  <c r="G73" i="23"/>
  <c r="F73" i="23"/>
  <c r="E73" i="23"/>
  <c r="AF72" i="23"/>
  <c r="G72" i="23"/>
  <c r="F72" i="23"/>
  <c r="E72" i="23"/>
  <c r="AF71" i="23"/>
  <c r="G71" i="23"/>
  <c r="F71" i="23"/>
  <c r="E71" i="23"/>
  <c r="AF70" i="23"/>
  <c r="G70" i="23"/>
  <c r="F70" i="23"/>
  <c r="E70" i="23"/>
  <c r="AF69" i="23"/>
  <c r="G69" i="23"/>
  <c r="F69" i="23"/>
  <c r="E69" i="23"/>
  <c r="AF68" i="23"/>
  <c r="G68" i="23"/>
  <c r="F68" i="23"/>
  <c r="E68" i="23"/>
  <c r="AF67" i="23"/>
  <c r="G67" i="23"/>
  <c r="F67" i="23"/>
  <c r="E67" i="23"/>
  <c r="AF66" i="23"/>
  <c r="G66" i="23"/>
  <c r="F66" i="23"/>
  <c r="E66" i="23"/>
  <c r="AF65" i="23"/>
  <c r="G65" i="23"/>
  <c r="F65" i="23"/>
  <c r="E65" i="23"/>
  <c r="AF64" i="23"/>
  <c r="G64" i="23"/>
  <c r="F64" i="23"/>
  <c r="E64" i="23"/>
  <c r="AF63" i="23"/>
  <c r="G63" i="23"/>
  <c r="F63" i="23"/>
  <c r="E63" i="23"/>
  <c r="AF62" i="23"/>
  <c r="G62" i="23"/>
  <c r="F62" i="23"/>
  <c r="E62" i="23"/>
  <c r="AF61" i="23"/>
  <c r="G61" i="23"/>
  <c r="F61" i="23"/>
  <c r="E61" i="23"/>
  <c r="AF60" i="23"/>
  <c r="G60" i="23"/>
  <c r="F60" i="23"/>
  <c r="E60" i="23"/>
  <c r="AF59" i="23"/>
  <c r="G59" i="23"/>
  <c r="F59" i="23"/>
  <c r="E59" i="23"/>
  <c r="AF58" i="23"/>
  <c r="G58" i="23"/>
  <c r="F58" i="23"/>
  <c r="E58" i="23"/>
  <c r="AF57" i="23"/>
  <c r="G57" i="23"/>
  <c r="F57" i="23"/>
  <c r="E57" i="23"/>
  <c r="AF56" i="23"/>
  <c r="G56" i="23"/>
  <c r="F56" i="23"/>
  <c r="E56" i="23"/>
  <c r="AF55" i="23"/>
  <c r="G55" i="23"/>
  <c r="F55" i="23"/>
  <c r="E55" i="23"/>
  <c r="AF54" i="23"/>
  <c r="G54" i="23"/>
  <c r="F54" i="23"/>
  <c r="E54" i="23"/>
  <c r="AF53" i="23"/>
  <c r="G53" i="23"/>
  <c r="F53" i="23"/>
  <c r="E53" i="23"/>
  <c r="AF52" i="23"/>
  <c r="G52" i="23"/>
  <c r="F52" i="23"/>
  <c r="E52" i="23"/>
  <c r="AF51" i="23"/>
  <c r="AD51" i="23"/>
  <c r="AC51" i="23"/>
  <c r="AB51" i="23"/>
  <c r="AA51" i="23"/>
  <c r="Z51" i="23"/>
  <c r="X51" i="23"/>
  <c r="W51" i="23"/>
  <c r="V51" i="23"/>
  <c r="U51" i="23"/>
  <c r="T51" i="23"/>
  <c r="R51" i="23"/>
  <c r="Q51" i="23"/>
  <c r="P51" i="23"/>
  <c r="O51" i="23"/>
  <c r="N51" i="23"/>
  <c r="I51" i="23" s="1"/>
  <c r="G51" i="23"/>
  <c r="F51" i="23"/>
  <c r="E51" i="23"/>
  <c r="D51" i="23"/>
  <c r="AF50" i="23"/>
  <c r="G50" i="23"/>
  <c r="F50" i="23"/>
  <c r="E50" i="23"/>
  <c r="AF49" i="23"/>
  <c r="G49" i="23"/>
  <c r="F49" i="23"/>
  <c r="E49" i="23"/>
  <c r="AF48" i="23"/>
  <c r="G48" i="23"/>
  <c r="F48" i="23"/>
  <c r="E48" i="23"/>
  <c r="AF47" i="23"/>
  <c r="G47" i="23"/>
  <c r="F47" i="23"/>
  <c r="E47" i="23"/>
  <c r="AF46" i="23"/>
  <c r="G46" i="23"/>
  <c r="F46" i="23"/>
  <c r="E46" i="23"/>
  <c r="AF45" i="23"/>
  <c r="G45" i="23"/>
  <c r="F45" i="23"/>
  <c r="E45" i="23"/>
  <c r="AF44" i="23"/>
  <c r="G44" i="23"/>
  <c r="F44" i="23"/>
  <c r="E44" i="23"/>
  <c r="AF43" i="23"/>
  <c r="G43" i="23"/>
  <c r="F43" i="23"/>
  <c r="E43" i="23"/>
  <c r="AF42" i="23"/>
  <c r="G42" i="23"/>
  <c r="F42" i="23"/>
  <c r="E42" i="23"/>
  <c r="AF41" i="23"/>
  <c r="G41" i="23"/>
  <c r="F41" i="23"/>
  <c r="E41" i="23"/>
  <c r="AF40" i="23"/>
  <c r="G40" i="23"/>
  <c r="F40" i="23"/>
  <c r="E40" i="23"/>
  <c r="AF39" i="23"/>
  <c r="G39" i="23"/>
  <c r="F39" i="23"/>
  <c r="E39" i="23"/>
  <c r="AF38" i="23"/>
  <c r="G38" i="23"/>
  <c r="F38" i="23"/>
  <c r="E38" i="23"/>
  <c r="AF37" i="23"/>
  <c r="G37" i="23"/>
  <c r="F37" i="23"/>
  <c r="E37" i="23"/>
  <c r="AF36" i="23"/>
  <c r="G36" i="23"/>
  <c r="F36" i="23"/>
  <c r="E36" i="23"/>
  <c r="AF35" i="23"/>
  <c r="G35" i="23"/>
  <c r="F35" i="23"/>
  <c r="E35" i="23"/>
  <c r="AF34" i="23"/>
  <c r="G34" i="23"/>
  <c r="F34" i="23"/>
  <c r="E34" i="23"/>
  <c r="AF33" i="23"/>
  <c r="G33" i="23"/>
  <c r="F33" i="23"/>
  <c r="E33" i="23"/>
  <c r="AF32" i="23"/>
  <c r="G32" i="23"/>
  <c r="F32" i="23"/>
  <c r="E32" i="23"/>
  <c r="AF31" i="23"/>
  <c r="G31" i="23"/>
  <c r="F31" i="23"/>
  <c r="E31" i="23"/>
  <c r="AF30" i="23"/>
  <c r="G30" i="23"/>
  <c r="F30" i="23"/>
  <c r="E30" i="23"/>
  <c r="AF29" i="23"/>
  <c r="G29" i="23"/>
  <c r="F29" i="23"/>
  <c r="E29" i="23"/>
  <c r="AF28" i="23"/>
  <c r="G28" i="23"/>
  <c r="F28" i="23"/>
  <c r="E28" i="23"/>
  <c r="AF27" i="23"/>
  <c r="G27" i="23"/>
  <c r="F27" i="23"/>
  <c r="E27" i="23"/>
  <c r="D27" i="23"/>
  <c r="AF26" i="23"/>
  <c r="G26" i="23"/>
  <c r="F26" i="23"/>
  <c r="E26" i="23"/>
  <c r="AF25" i="23"/>
  <c r="G25" i="23"/>
  <c r="F25" i="23"/>
  <c r="E25" i="23"/>
  <c r="AF24" i="23"/>
  <c r="G24" i="23"/>
  <c r="F24" i="23"/>
  <c r="E24" i="23"/>
  <c r="AF23" i="23"/>
  <c r="G23" i="23"/>
  <c r="F23" i="23"/>
  <c r="E23" i="23"/>
  <c r="AF22" i="23"/>
  <c r="G22" i="23"/>
  <c r="F22" i="23"/>
  <c r="E22" i="23"/>
  <c r="AF21" i="23"/>
  <c r="G21" i="23"/>
  <c r="F21" i="23"/>
  <c r="E21" i="23"/>
  <c r="AF20" i="23"/>
  <c r="G20" i="23"/>
  <c r="F20" i="23"/>
  <c r="E20" i="23"/>
  <c r="AF19" i="23"/>
  <c r="G19" i="23"/>
  <c r="F19" i="23"/>
  <c r="E19" i="23"/>
  <c r="AF18" i="23"/>
  <c r="G18" i="23"/>
  <c r="F18" i="23"/>
  <c r="E18" i="23"/>
  <c r="AF17" i="23"/>
  <c r="G17" i="23"/>
  <c r="F17" i="23"/>
  <c r="E17" i="23"/>
  <c r="AF16" i="23"/>
  <c r="G16" i="23"/>
  <c r="F16" i="23"/>
  <c r="E16" i="23"/>
  <c r="AF15" i="23"/>
  <c r="G15" i="23"/>
  <c r="F15" i="23"/>
  <c r="E15" i="23"/>
  <c r="AF14" i="23"/>
  <c r="G14" i="23"/>
  <c r="F14" i="23"/>
  <c r="E14" i="23"/>
  <c r="AF13" i="23"/>
  <c r="G13" i="23"/>
  <c r="F13" i="23"/>
  <c r="E13" i="23"/>
  <c r="AF12" i="23"/>
  <c r="G12" i="23"/>
  <c r="F12" i="23"/>
  <c r="E12" i="23"/>
  <c r="AF11" i="23"/>
  <c r="G11" i="23"/>
  <c r="F11" i="23"/>
  <c r="E11" i="23"/>
  <c r="AF10" i="23"/>
  <c r="G10" i="23"/>
  <c r="F10" i="23"/>
  <c r="E10" i="23"/>
  <c r="AF9" i="23"/>
  <c r="G9" i="23"/>
  <c r="F9" i="23"/>
  <c r="E9" i="23"/>
  <c r="AF8" i="23"/>
  <c r="G8" i="23"/>
  <c r="F8" i="23"/>
  <c r="E8" i="23"/>
  <c r="AF7" i="23"/>
  <c r="G7" i="23"/>
  <c r="F7" i="23"/>
  <c r="E7" i="23"/>
  <c r="AF6" i="23"/>
  <c r="G6" i="23"/>
  <c r="F6" i="23"/>
  <c r="E6" i="23"/>
  <c r="AF5" i="23"/>
  <c r="G5" i="23"/>
  <c r="F5" i="23"/>
  <c r="E5" i="23"/>
  <c r="AF4" i="23"/>
  <c r="G4" i="23"/>
  <c r="F4" i="23"/>
  <c r="E4" i="23"/>
  <c r="AF3" i="23"/>
  <c r="AF106" i="22"/>
  <c r="G106" i="22"/>
  <c r="F106" i="22"/>
  <c r="E106" i="22"/>
  <c r="AF105" i="22"/>
  <c r="G105" i="22"/>
  <c r="F105" i="22"/>
  <c r="E105" i="22"/>
  <c r="AF104" i="22"/>
  <c r="G104" i="22"/>
  <c r="F104" i="22"/>
  <c r="E104" i="22"/>
  <c r="AF103" i="22"/>
  <c r="G103" i="22"/>
  <c r="F103" i="22"/>
  <c r="E103" i="22"/>
  <c r="AF102" i="22"/>
  <c r="G102" i="22"/>
  <c r="F102" i="22"/>
  <c r="E102" i="22"/>
  <c r="AF101" i="22"/>
  <c r="G101" i="22"/>
  <c r="F101" i="22"/>
  <c r="E101" i="22"/>
  <c r="AF100" i="22"/>
  <c r="G100" i="22"/>
  <c r="F100" i="22"/>
  <c r="E100" i="22"/>
  <c r="AF99" i="22"/>
  <c r="G99" i="22"/>
  <c r="F99" i="22"/>
  <c r="E99" i="22"/>
  <c r="AF98" i="22"/>
  <c r="G98" i="22"/>
  <c r="F98" i="22"/>
  <c r="E98" i="22"/>
  <c r="AF97" i="22"/>
  <c r="G97" i="22"/>
  <c r="F97" i="22"/>
  <c r="E97" i="22"/>
  <c r="AF96" i="22"/>
  <c r="G96" i="22"/>
  <c r="F96" i="22"/>
  <c r="E96" i="22"/>
  <c r="AF95" i="22"/>
  <c r="G95" i="22"/>
  <c r="F95" i="22"/>
  <c r="E95" i="22"/>
  <c r="AF94" i="22"/>
  <c r="G94" i="22"/>
  <c r="F94" i="22"/>
  <c r="E94" i="22"/>
  <c r="AF93" i="22"/>
  <c r="G93" i="22"/>
  <c r="F93" i="22"/>
  <c r="E93" i="22"/>
  <c r="AF92" i="22"/>
  <c r="G92" i="22"/>
  <c r="F92" i="22"/>
  <c r="E92" i="22"/>
  <c r="AF91" i="22"/>
  <c r="G91" i="22"/>
  <c r="F91" i="22"/>
  <c r="E91" i="22"/>
  <c r="AF90" i="22"/>
  <c r="G90" i="22"/>
  <c r="F90" i="22"/>
  <c r="E90" i="22"/>
  <c r="AF89" i="22"/>
  <c r="AD89" i="22"/>
  <c r="AC89" i="22"/>
  <c r="AB89" i="22"/>
  <c r="AA89" i="22"/>
  <c r="Z89" i="22"/>
  <c r="X89" i="22"/>
  <c r="W89" i="22"/>
  <c r="V89" i="22"/>
  <c r="U89" i="22"/>
  <c r="T89" i="22"/>
  <c r="R89" i="22"/>
  <c r="Q89" i="22"/>
  <c r="P89" i="22"/>
  <c r="O89" i="22"/>
  <c r="N89" i="22"/>
  <c r="G89" i="22"/>
  <c r="F89" i="22"/>
  <c r="E89" i="22"/>
  <c r="D89" i="22"/>
  <c r="AF88" i="22"/>
  <c r="G88" i="22"/>
  <c r="F88" i="22"/>
  <c r="E88" i="22"/>
  <c r="AF87" i="22"/>
  <c r="G87" i="22"/>
  <c r="F87" i="22"/>
  <c r="E87" i="22"/>
  <c r="AF86" i="22"/>
  <c r="G86" i="22"/>
  <c r="F86" i="22"/>
  <c r="E86" i="22"/>
  <c r="AF85" i="22"/>
  <c r="G85" i="22"/>
  <c r="F85" i="22"/>
  <c r="E85" i="22"/>
  <c r="AF84" i="22"/>
  <c r="G84" i="22"/>
  <c r="F84" i="22"/>
  <c r="E84" i="22"/>
  <c r="AF83" i="22"/>
  <c r="G83" i="22"/>
  <c r="F83" i="22"/>
  <c r="E83" i="22"/>
  <c r="AF82" i="22"/>
  <c r="G82" i="22"/>
  <c r="F82" i="22"/>
  <c r="E82" i="22"/>
  <c r="AF81" i="22"/>
  <c r="G81" i="22"/>
  <c r="F81" i="22"/>
  <c r="E81" i="22"/>
  <c r="AF80" i="22"/>
  <c r="G80" i="22"/>
  <c r="F80" i="22"/>
  <c r="E80" i="22"/>
  <c r="AF79" i="22"/>
  <c r="G79" i="22"/>
  <c r="F79" i="22"/>
  <c r="E79" i="22"/>
  <c r="AF78" i="22"/>
  <c r="G78" i="22"/>
  <c r="F78" i="22"/>
  <c r="E78" i="22"/>
  <c r="AF77" i="22"/>
  <c r="G77" i="22"/>
  <c r="F77" i="22"/>
  <c r="E77" i="22"/>
  <c r="AF76" i="22"/>
  <c r="G76" i="22"/>
  <c r="F76" i="22"/>
  <c r="E76" i="22"/>
  <c r="AF75" i="22"/>
  <c r="G75" i="22"/>
  <c r="F75" i="22"/>
  <c r="E75" i="22"/>
  <c r="AF74" i="22"/>
  <c r="G74" i="22"/>
  <c r="F74" i="22"/>
  <c r="E74" i="22"/>
  <c r="AF73" i="22"/>
  <c r="G73" i="22"/>
  <c r="F73" i="22"/>
  <c r="E73" i="22"/>
  <c r="AF72" i="22"/>
  <c r="G72" i="22"/>
  <c r="F72" i="22"/>
  <c r="E72" i="22"/>
  <c r="AF71" i="22"/>
  <c r="G71" i="22"/>
  <c r="F71" i="22"/>
  <c r="E71" i="22"/>
  <c r="AF70" i="22"/>
  <c r="G70" i="22"/>
  <c r="F70" i="22"/>
  <c r="E70" i="22"/>
  <c r="AF69" i="22"/>
  <c r="G69" i="22"/>
  <c r="F69" i="22"/>
  <c r="E69" i="22"/>
  <c r="AF68" i="22"/>
  <c r="G68" i="22"/>
  <c r="F68" i="22"/>
  <c r="E68" i="22"/>
  <c r="AF67" i="22"/>
  <c r="G67" i="22"/>
  <c r="F67" i="22"/>
  <c r="E67" i="22"/>
  <c r="AF66" i="22"/>
  <c r="G66" i="22"/>
  <c r="F66" i="22"/>
  <c r="E66" i="22"/>
  <c r="AF65" i="22"/>
  <c r="G65" i="22"/>
  <c r="F65" i="22"/>
  <c r="E65" i="22"/>
  <c r="AF64" i="22"/>
  <c r="G64" i="22"/>
  <c r="F64" i="22"/>
  <c r="E64" i="22"/>
  <c r="AF63" i="22"/>
  <c r="G63" i="22"/>
  <c r="F63" i="22"/>
  <c r="E63" i="22"/>
  <c r="AF62" i="22"/>
  <c r="G62" i="22"/>
  <c r="F62" i="22"/>
  <c r="E62" i="22"/>
  <c r="AF61" i="22"/>
  <c r="G61" i="22"/>
  <c r="F61" i="22"/>
  <c r="E61" i="22"/>
  <c r="AF60" i="22"/>
  <c r="G60" i="22"/>
  <c r="F60" i="22"/>
  <c r="E60" i="22"/>
  <c r="AF59" i="22"/>
  <c r="G59" i="22"/>
  <c r="F59" i="22"/>
  <c r="E59" i="22"/>
  <c r="AF58" i="22"/>
  <c r="G58" i="22"/>
  <c r="F58" i="22"/>
  <c r="E58" i="22"/>
  <c r="AF57" i="22"/>
  <c r="G57" i="22"/>
  <c r="F57" i="22"/>
  <c r="E57" i="22"/>
  <c r="AF56" i="22"/>
  <c r="G56" i="22"/>
  <c r="F56" i="22"/>
  <c r="E56" i="22"/>
  <c r="AF55" i="22"/>
  <c r="G55" i="22"/>
  <c r="F55" i="22"/>
  <c r="E55" i="22"/>
  <c r="AF54" i="22"/>
  <c r="G54" i="22"/>
  <c r="F54" i="22"/>
  <c r="E54" i="22"/>
  <c r="AF53" i="22"/>
  <c r="G53" i="22"/>
  <c r="F53" i="22"/>
  <c r="E53" i="22"/>
  <c r="AF52" i="22"/>
  <c r="G52" i="22"/>
  <c r="F52" i="22"/>
  <c r="E52" i="22"/>
  <c r="AF51" i="22"/>
  <c r="G51" i="22"/>
  <c r="F51" i="22"/>
  <c r="E51" i="22"/>
  <c r="AF50" i="22"/>
  <c r="G50" i="22"/>
  <c r="F50" i="22"/>
  <c r="E50" i="22"/>
  <c r="AF49" i="22"/>
  <c r="G49" i="22"/>
  <c r="F49" i="22"/>
  <c r="E49" i="22"/>
  <c r="AF48" i="22"/>
  <c r="G48" i="22"/>
  <c r="F48" i="22"/>
  <c r="E48" i="22"/>
  <c r="AF47" i="22"/>
  <c r="G47" i="22"/>
  <c r="F47" i="22"/>
  <c r="E47" i="22"/>
  <c r="AF46" i="22"/>
  <c r="G46" i="22"/>
  <c r="F46" i="22"/>
  <c r="E46" i="22"/>
  <c r="AF45" i="22"/>
  <c r="G45" i="22"/>
  <c r="F45" i="22"/>
  <c r="E45" i="22"/>
  <c r="AF44" i="22"/>
  <c r="AD44" i="22"/>
  <c r="AC44" i="22"/>
  <c r="AB44" i="22"/>
  <c r="AA44" i="22"/>
  <c r="Z44" i="22"/>
  <c r="X44" i="22"/>
  <c r="W44" i="22"/>
  <c r="V44" i="22"/>
  <c r="U44" i="22"/>
  <c r="T44" i="22"/>
  <c r="R44" i="22"/>
  <c r="Q44" i="22"/>
  <c r="P44" i="22"/>
  <c r="O44" i="22"/>
  <c r="N44" i="22"/>
  <c r="G44" i="22"/>
  <c r="F44" i="22"/>
  <c r="E44" i="22"/>
  <c r="D44" i="22"/>
  <c r="AF43" i="22"/>
  <c r="G43" i="22"/>
  <c r="F43" i="22"/>
  <c r="E43" i="22"/>
  <c r="AF42" i="22"/>
  <c r="G42" i="22"/>
  <c r="F42" i="22"/>
  <c r="E42" i="22"/>
  <c r="AF41" i="22"/>
  <c r="G41" i="22"/>
  <c r="F41" i="22"/>
  <c r="E41" i="22"/>
  <c r="AF40" i="22"/>
  <c r="G40" i="22"/>
  <c r="F40" i="22"/>
  <c r="E40" i="22"/>
  <c r="AF39" i="22"/>
  <c r="G39" i="22"/>
  <c r="F39" i="22"/>
  <c r="E39" i="22"/>
  <c r="AF38" i="22"/>
  <c r="G38" i="22"/>
  <c r="F38" i="22"/>
  <c r="E38" i="22"/>
  <c r="AF37" i="22"/>
  <c r="G37" i="22"/>
  <c r="F37" i="22"/>
  <c r="E37" i="22"/>
  <c r="AF36" i="22"/>
  <c r="G36" i="22"/>
  <c r="F36" i="22"/>
  <c r="E36" i="22"/>
  <c r="AF35" i="22"/>
  <c r="G35" i="22"/>
  <c r="F35" i="22"/>
  <c r="E35" i="22"/>
  <c r="AF34" i="22"/>
  <c r="G34" i="22"/>
  <c r="F34" i="22"/>
  <c r="E34" i="22"/>
  <c r="AF33" i="22"/>
  <c r="G33" i="22"/>
  <c r="F33" i="22"/>
  <c r="E33" i="22"/>
  <c r="AF32" i="22"/>
  <c r="G32" i="22"/>
  <c r="F32" i="22"/>
  <c r="E32" i="22"/>
  <c r="AF31" i="22"/>
  <c r="G31" i="22"/>
  <c r="F31" i="22"/>
  <c r="E31" i="22"/>
  <c r="D31" i="22"/>
  <c r="AF30" i="22"/>
  <c r="G30" i="22"/>
  <c r="F30" i="22"/>
  <c r="E30" i="22"/>
  <c r="AF29" i="22"/>
  <c r="G29" i="22"/>
  <c r="F29" i="22"/>
  <c r="E29" i="22"/>
  <c r="AF28" i="22"/>
  <c r="G28" i="22"/>
  <c r="F28" i="22"/>
  <c r="E28" i="22"/>
  <c r="AF27" i="22"/>
  <c r="G27" i="22"/>
  <c r="F27" i="22"/>
  <c r="E27" i="22"/>
  <c r="AF26" i="22"/>
  <c r="G26" i="22"/>
  <c r="F26" i="22"/>
  <c r="E26" i="22"/>
  <c r="AF25" i="22"/>
  <c r="G25" i="22"/>
  <c r="F25" i="22"/>
  <c r="E25" i="22"/>
  <c r="AF24" i="22"/>
  <c r="G24" i="22"/>
  <c r="F24" i="22"/>
  <c r="E24" i="22"/>
  <c r="AF23" i="22"/>
  <c r="G23" i="22"/>
  <c r="F23" i="22"/>
  <c r="E23" i="22"/>
  <c r="AF22" i="22"/>
  <c r="G22" i="22"/>
  <c r="F22" i="22"/>
  <c r="E22" i="22"/>
  <c r="AF21" i="22"/>
  <c r="G21" i="22"/>
  <c r="F21" i="22"/>
  <c r="E21" i="22"/>
  <c r="AF20" i="22"/>
  <c r="G20" i="22"/>
  <c r="F20" i="22"/>
  <c r="E20" i="22"/>
  <c r="AF19" i="22"/>
  <c r="G19" i="22"/>
  <c r="F19" i="22"/>
  <c r="E19" i="22"/>
  <c r="AF18" i="22"/>
  <c r="G18" i="22"/>
  <c r="F18" i="22"/>
  <c r="E18" i="22"/>
  <c r="AF17" i="22"/>
  <c r="G17" i="22"/>
  <c r="F17" i="22"/>
  <c r="E17" i="22"/>
  <c r="AF16" i="22"/>
  <c r="G16" i="22"/>
  <c r="F16" i="22"/>
  <c r="E16" i="22"/>
  <c r="AF15" i="22"/>
  <c r="G15" i="22"/>
  <c r="F15" i="22"/>
  <c r="E15" i="22"/>
  <c r="AF14" i="22"/>
  <c r="G14" i="22"/>
  <c r="F14" i="22"/>
  <c r="E14" i="22"/>
  <c r="AF13" i="22"/>
  <c r="G13" i="22"/>
  <c r="F13" i="22"/>
  <c r="E13" i="22"/>
  <c r="AF12" i="22"/>
  <c r="G12" i="22"/>
  <c r="F12" i="22"/>
  <c r="E12" i="22"/>
  <c r="AF11" i="22"/>
  <c r="G11" i="22"/>
  <c r="F11" i="22"/>
  <c r="E11" i="22"/>
  <c r="AF10" i="22"/>
  <c r="G10" i="22"/>
  <c r="F10" i="22"/>
  <c r="E10" i="22"/>
  <c r="AF9" i="22"/>
  <c r="G9" i="22"/>
  <c r="F9" i="22"/>
  <c r="E9" i="22"/>
  <c r="AF8" i="22"/>
  <c r="G8" i="22"/>
  <c r="F8" i="22"/>
  <c r="E8" i="22"/>
  <c r="AF7" i="22"/>
  <c r="G7" i="22"/>
  <c r="F7" i="22"/>
  <c r="E7" i="22"/>
  <c r="AF6" i="22"/>
  <c r="G6" i="22"/>
  <c r="F6" i="22"/>
  <c r="E6" i="22"/>
  <c r="AF5" i="22"/>
  <c r="G5" i="22"/>
  <c r="F5" i="22"/>
  <c r="E5" i="22"/>
  <c r="AF4" i="22"/>
  <c r="G4" i="22"/>
  <c r="F4" i="22"/>
  <c r="E4" i="22"/>
  <c r="AF3" i="22"/>
  <c r="Q106" i="20"/>
  <c r="P106" i="20"/>
  <c r="O106" i="20"/>
  <c r="N106" i="20"/>
  <c r="G106" i="20"/>
  <c r="F106" i="20"/>
  <c r="E106" i="20"/>
  <c r="Q105" i="20"/>
  <c r="P105" i="20"/>
  <c r="O105" i="20"/>
  <c r="N105" i="20"/>
  <c r="G105" i="20"/>
  <c r="F105" i="20"/>
  <c r="E105" i="20"/>
  <c r="Q104" i="20"/>
  <c r="P104" i="20"/>
  <c r="O104" i="20"/>
  <c r="N104" i="20"/>
  <c r="G104" i="20"/>
  <c r="F104" i="20"/>
  <c r="E104" i="20"/>
  <c r="Q103" i="20"/>
  <c r="P103" i="20"/>
  <c r="O103" i="20"/>
  <c r="N103" i="20"/>
  <c r="G103" i="20"/>
  <c r="F103" i="20"/>
  <c r="E103" i="20"/>
  <c r="Q102" i="20"/>
  <c r="P102" i="20"/>
  <c r="O102" i="20"/>
  <c r="N102" i="20"/>
  <c r="G102" i="20"/>
  <c r="F102" i="20"/>
  <c r="E102" i="20"/>
  <c r="Q101" i="20"/>
  <c r="P101" i="20"/>
  <c r="O101" i="20"/>
  <c r="N101" i="20"/>
  <c r="G101" i="20"/>
  <c r="F101" i="20"/>
  <c r="E101" i="20"/>
  <c r="Q100" i="20"/>
  <c r="P100" i="20"/>
  <c r="O100" i="20"/>
  <c r="N100" i="20"/>
  <c r="G100" i="20"/>
  <c r="F100" i="20"/>
  <c r="E100" i="20"/>
  <c r="Q99" i="20"/>
  <c r="P99" i="20"/>
  <c r="O99" i="20"/>
  <c r="N99" i="20"/>
  <c r="G99" i="20"/>
  <c r="F99" i="20"/>
  <c r="E99" i="20"/>
  <c r="Q98" i="20"/>
  <c r="P98" i="20"/>
  <c r="O98" i="20"/>
  <c r="N98" i="20"/>
  <c r="G98" i="20"/>
  <c r="F98" i="20"/>
  <c r="E98" i="20"/>
  <c r="Q97" i="20"/>
  <c r="P97" i="20"/>
  <c r="O97" i="20"/>
  <c r="N97" i="20"/>
  <c r="G97" i="20"/>
  <c r="F97" i="20"/>
  <c r="E97" i="20"/>
  <c r="Q96" i="20"/>
  <c r="P96" i="20"/>
  <c r="O96" i="20"/>
  <c r="N96" i="20"/>
  <c r="G96" i="20"/>
  <c r="F96" i="20"/>
  <c r="E96" i="20"/>
  <c r="Q95" i="20"/>
  <c r="P95" i="20"/>
  <c r="O95" i="20"/>
  <c r="N95" i="20"/>
  <c r="G95" i="20"/>
  <c r="F95" i="20"/>
  <c r="E95" i="20"/>
  <c r="Q94" i="20"/>
  <c r="P94" i="20"/>
  <c r="O94" i="20"/>
  <c r="N94" i="20"/>
  <c r="G94" i="20"/>
  <c r="F94" i="20"/>
  <c r="E94" i="20"/>
  <c r="Q93" i="20"/>
  <c r="P93" i="20"/>
  <c r="O93" i="20"/>
  <c r="N93" i="20"/>
  <c r="G93" i="20"/>
  <c r="F93" i="20"/>
  <c r="E93" i="20"/>
  <c r="Q92" i="20"/>
  <c r="P92" i="20"/>
  <c r="O92" i="20"/>
  <c r="N92" i="20"/>
  <c r="G92" i="20"/>
  <c r="F92" i="20"/>
  <c r="E92" i="20"/>
  <c r="Q91" i="20"/>
  <c r="P91" i="20"/>
  <c r="O91" i="20"/>
  <c r="N91" i="20"/>
  <c r="G91" i="20"/>
  <c r="F91" i="20"/>
  <c r="E91" i="20"/>
  <c r="Q90" i="20"/>
  <c r="P90" i="20"/>
  <c r="O90" i="20"/>
  <c r="N90" i="20"/>
  <c r="G90" i="20"/>
  <c r="F90" i="20"/>
  <c r="E90" i="20"/>
  <c r="Q89" i="20"/>
  <c r="P89" i="20"/>
  <c r="O89" i="20"/>
  <c r="N89" i="20"/>
  <c r="M89" i="20"/>
  <c r="L89" i="20"/>
  <c r="K89" i="20"/>
  <c r="J89" i="20"/>
  <c r="I89" i="20"/>
  <c r="H89" i="20" s="1"/>
  <c r="G89" i="20"/>
  <c r="F89" i="20"/>
  <c r="E89" i="20"/>
  <c r="D89" i="20"/>
  <c r="Q88" i="20"/>
  <c r="P88" i="20"/>
  <c r="O88" i="20"/>
  <c r="N88" i="20"/>
  <c r="G88" i="20"/>
  <c r="F88" i="20"/>
  <c r="E88" i="20"/>
  <c r="Q87" i="20"/>
  <c r="P87" i="20"/>
  <c r="O87" i="20"/>
  <c r="N87" i="20"/>
  <c r="G87" i="20"/>
  <c r="F87" i="20"/>
  <c r="E87" i="20"/>
  <c r="Q86" i="20"/>
  <c r="P86" i="20"/>
  <c r="O86" i="20"/>
  <c r="N86" i="20"/>
  <c r="G86" i="20"/>
  <c r="F86" i="20"/>
  <c r="E86" i="20"/>
  <c r="Q85" i="20"/>
  <c r="P85" i="20"/>
  <c r="O85" i="20"/>
  <c r="N85" i="20"/>
  <c r="G85" i="20"/>
  <c r="F85" i="20"/>
  <c r="E85" i="20"/>
  <c r="Q84" i="20"/>
  <c r="P84" i="20"/>
  <c r="O84" i="20"/>
  <c r="N84" i="20"/>
  <c r="G84" i="20"/>
  <c r="F84" i="20"/>
  <c r="E84" i="20"/>
  <c r="Q83" i="20"/>
  <c r="P83" i="20"/>
  <c r="O83" i="20"/>
  <c r="N83" i="20"/>
  <c r="G83" i="20"/>
  <c r="F83" i="20"/>
  <c r="E83" i="20"/>
  <c r="Q82" i="20"/>
  <c r="P82" i="20"/>
  <c r="O82" i="20"/>
  <c r="N82" i="20"/>
  <c r="G82" i="20"/>
  <c r="F82" i="20"/>
  <c r="E82" i="20"/>
  <c r="Q81" i="20"/>
  <c r="P81" i="20"/>
  <c r="O81" i="20"/>
  <c r="N81" i="20"/>
  <c r="G81" i="20"/>
  <c r="F81" i="20"/>
  <c r="E81" i="20"/>
  <c r="Q80" i="20"/>
  <c r="P80" i="20"/>
  <c r="O80" i="20"/>
  <c r="N80" i="20"/>
  <c r="G80" i="20"/>
  <c r="F80" i="20"/>
  <c r="E80" i="20"/>
  <c r="Q79" i="20"/>
  <c r="P79" i="20"/>
  <c r="O79" i="20"/>
  <c r="N79" i="20"/>
  <c r="G79" i="20"/>
  <c r="F79" i="20"/>
  <c r="E79" i="20"/>
  <c r="Q78" i="20"/>
  <c r="P78" i="20"/>
  <c r="O78" i="20"/>
  <c r="N78" i="20"/>
  <c r="G78" i="20"/>
  <c r="F78" i="20"/>
  <c r="E78" i="20"/>
  <c r="Q77" i="20"/>
  <c r="P77" i="20"/>
  <c r="O77" i="20"/>
  <c r="N77" i="20"/>
  <c r="G77" i="20"/>
  <c r="F77" i="20"/>
  <c r="E77" i="20"/>
  <c r="Q76" i="20"/>
  <c r="P76" i="20"/>
  <c r="O76" i="20"/>
  <c r="N76" i="20"/>
  <c r="G76" i="20"/>
  <c r="F76" i="20"/>
  <c r="E76" i="20"/>
  <c r="Q75" i="20"/>
  <c r="P75" i="20"/>
  <c r="O75" i="20"/>
  <c r="N75" i="20"/>
  <c r="G75" i="20"/>
  <c r="F75" i="20"/>
  <c r="E75" i="20"/>
  <c r="Q74" i="20"/>
  <c r="P74" i="20"/>
  <c r="O74" i="20"/>
  <c r="N74" i="20"/>
  <c r="G74" i="20"/>
  <c r="F74" i="20"/>
  <c r="E74" i="20"/>
  <c r="Q73" i="20"/>
  <c r="P73" i="20"/>
  <c r="O73" i="20"/>
  <c r="N73" i="20"/>
  <c r="G73" i="20"/>
  <c r="F73" i="20"/>
  <c r="E73" i="20"/>
  <c r="Q72" i="20"/>
  <c r="P72" i="20"/>
  <c r="O72" i="20"/>
  <c r="N72" i="20"/>
  <c r="G72" i="20"/>
  <c r="F72" i="20"/>
  <c r="E72" i="20"/>
  <c r="Q71" i="20"/>
  <c r="P71" i="20"/>
  <c r="O71" i="20"/>
  <c r="N71" i="20"/>
  <c r="G71" i="20"/>
  <c r="F71" i="20"/>
  <c r="E71" i="20"/>
  <c r="Q70" i="20"/>
  <c r="P70" i="20"/>
  <c r="O70" i="20"/>
  <c r="N70" i="20"/>
  <c r="G70" i="20"/>
  <c r="F70" i="20"/>
  <c r="E70" i="20"/>
  <c r="Q69" i="20"/>
  <c r="P69" i="20"/>
  <c r="O69" i="20"/>
  <c r="N69" i="20"/>
  <c r="G69" i="20"/>
  <c r="F69" i="20"/>
  <c r="E69" i="20"/>
  <c r="Q68" i="20"/>
  <c r="P68" i="20"/>
  <c r="O68" i="20"/>
  <c r="N68" i="20"/>
  <c r="G68" i="20"/>
  <c r="F68" i="20"/>
  <c r="E68" i="20"/>
  <c r="Q67" i="20"/>
  <c r="P67" i="20"/>
  <c r="O67" i="20"/>
  <c r="N67" i="20"/>
  <c r="G67" i="20"/>
  <c r="F67" i="20"/>
  <c r="E67" i="20"/>
  <c r="Q66" i="20"/>
  <c r="P66" i="20"/>
  <c r="O66" i="20"/>
  <c r="N66" i="20"/>
  <c r="G66" i="20"/>
  <c r="F66" i="20"/>
  <c r="E66" i="20"/>
  <c r="Q65" i="20"/>
  <c r="P65" i="20"/>
  <c r="O65" i="20"/>
  <c r="N65" i="20"/>
  <c r="G65" i="20"/>
  <c r="F65" i="20"/>
  <c r="E65" i="20"/>
  <c r="Q64" i="20"/>
  <c r="P64" i="20"/>
  <c r="O64" i="20"/>
  <c r="N64" i="20"/>
  <c r="G64" i="20"/>
  <c r="F64" i="20"/>
  <c r="E64" i="20"/>
  <c r="Q63" i="20"/>
  <c r="P63" i="20"/>
  <c r="O63" i="20"/>
  <c r="N63" i="20"/>
  <c r="G63" i="20"/>
  <c r="F63" i="20"/>
  <c r="E63" i="20"/>
  <c r="Q62" i="20"/>
  <c r="P62" i="20"/>
  <c r="O62" i="20"/>
  <c r="N62" i="20"/>
  <c r="G62" i="20"/>
  <c r="F62" i="20"/>
  <c r="E62" i="20"/>
  <c r="Q61" i="20"/>
  <c r="P61" i="20"/>
  <c r="O61" i="20"/>
  <c r="N61" i="20"/>
  <c r="G61" i="20"/>
  <c r="F61" i="20"/>
  <c r="E61" i="20"/>
  <c r="Q60" i="20"/>
  <c r="P60" i="20"/>
  <c r="O60" i="20"/>
  <c r="N60" i="20"/>
  <c r="G60" i="20"/>
  <c r="F60" i="20"/>
  <c r="E60" i="20"/>
  <c r="Q59" i="20"/>
  <c r="P59" i="20"/>
  <c r="O59" i="20"/>
  <c r="N59" i="20"/>
  <c r="G59" i="20"/>
  <c r="F59" i="20"/>
  <c r="E59" i="20"/>
  <c r="Q58" i="20"/>
  <c r="P58" i="20"/>
  <c r="O58" i="20"/>
  <c r="N58" i="20"/>
  <c r="G58" i="20"/>
  <c r="F58" i="20"/>
  <c r="E58" i="20"/>
  <c r="Q57" i="20"/>
  <c r="P57" i="20"/>
  <c r="O57" i="20"/>
  <c r="N57" i="20"/>
  <c r="G57" i="20"/>
  <c r="F57" i="20"/>
  <c r="E57" i="20"/>
  <c r="Q56" i="20"/>
  <c r="P56" i="20"/>
  <c r="O56" i="20"/>
  <c r="N56" i="20"/>
  <c r="G56" i="20"/>
  <c r="F56" i="20"/>
  <c r="E56" i="20"/>
  <c r="Q55" i="20"/>
  <c r="P55" i="20"/>
  <c r="O55" i="20"/>
  <c r="N55" i="20"/>
  <c r="G55" i="20"/>
  <c r="F55" i="20"/>
  <c r="E55" i="20"/>
  <c r="Q54" i="20"/>
  <c r="P54" i="20"/>
  <c r="O54" i="20"/>
  <c r="N54" i="20"/>
  <c r="G54" i="20"/>
  <c r="F54" i="20"/>
  <c r="E54" i="20"/>
  <c r="Q53" i="20"/>
  <c r="P53" i="20"/>
  <c r="O53" i="20"/>
  <c r="N53" i="20"/>
  <c r="G53" i="20"/>
  <c r="F53" i="20"/>
  <c r="E53" i="20"/>
  <c r="Q52" i="20"/>
  <c r="P52" i="20"/>
  <c r="O52" i="20"/>
  <c r="N52" i="20"/>
  <c r="G52" i="20"/>
  <c r="F52" i="20"/>
  <c r="E52" i="20"/>
  <c r="Q51" i="20"/>
  <c r="P51" i="20"/>
  <c r="O51" i="20"/>
  <c r="N51" i="20"/>
  <c r="G51" i="20"/>
  <c r="F51" i="20"/>
  <c r="E51" i="20"/>
  <c r="Q50" i="20"/>
  <c r="P50" i="20"/>
  <c r="O50" i="20"/>
  <c r="N50" i="20"/>
  <c r="G50" i="20"/>
  <c r="F50" i="20"/>
  <c r="E50" i="20"/>
  <c r="Q49" i="20"/>
  <c r="P49" i="20"/>
  <c r="O49" i="20"/>
  <c r="N49" i="20"/>
  <c r="G49" i="20"/>
  <c r="F49" i="20"/>
  <c r="E49" i="20"/>
  <c r="Q48" i="20"/>
  <c r="P48" i="20"/>
  <c r="O48" i="20"/>
  <c r="N48" i="20"/>
  <c r="G48" i="20"/>
  <c r="F48" i="20"/>
  <c r="E48" i="20"/>
  <c r="Q47" i="20"/>
  <c r="P47" i="20"/>
  <c r="O47" i="20"/>
  <c r="N47" i="20"/>
  <c r="G47" i="20"/>
  <c r="F47" i="20"/>
  <c r="E47" i="20"/>
  <c r="Q46" i="20"/>
  <c r="P46" i="20"/>
  <c r="O46" i="20"/>
  <c r="N46" i="20"/>
  <c r="G46" i="20"/>
  <c r="F46" i="20"/>
  <c r="E46" i="20"/>
  <c r="Q45" i="20"/>
  <c r="P45" i="20"/>
  <c r="O45" i="20"/>
  <c r="N45" i="20"/>
  <c r="G45" i="20"/>
  <c r="F45" i="20"/>
  <c r="E45" i="20"/>
  <c r="Q44" i="20"/>
  <c r="P44" i="20"/>
  <c r="O44" i="20"/>
  <c r="N44" i="20"/>
  <c r="M44" i="20"/>
  <c r="L44" i="20"/>
  <c r="K44" i="20"/>
  <c r="J44" i="20"/>
  <c r="I44" i="20"/>
  <c r="H44" i="20" s="1"/>
  <c r="G44" i="20"/>
  <c r="F44" i="20"/>
  <c r="E44" i="20"/>
  <c r="D44" i="20"/>
  <c r="Q43" i="20"/>
  <c r="P43" i="20"/>
  <c r="O43" i="20"/>
  <c r="N43" i="20"/>
  <c r="G43" i="20"/>
  <c r="F43" i="20"/>
  <c r="E43" i="20"/>
  <c r="Q42" i="20"/>
  <c r="P42" i="20"/>
  <c r="O42" i="20"/>
  <c r="N42" i="20"/>
  <c r="G42" i="20"/>
  <c r="F42" i="20"/>
  <c r="E42" i="20"/>
  <c r="Q41" i="20"/>
  <c r="P41" i="20"/>
  <c r="O41" i="20"/>
  <c r="N41" i="20"/>
  <c r="G41" i="20"/>
  <c r="F41" i="20"/>
  <c r="E41" i="20"/>
  <c r="Q40" i="20"/>
  <c r="P40" i="20"/>
  <c r="O40" i="20"/>
  <c r="N40" i="20"/>
  <c r="G40" i="20"/>
  <c r="F40" i="20"/>
  <c r="E40" i="20"/>
  <c r="Q39" i="20"/>
  <c r="P39" i="20"/>
  <c r="O39" i="20"/>
  <c r="N39" i="20"/>
  <c r="G39" i="20"/>
  <c r="F39" i="20"/>
  <c r="E39" i="20"/>
  <c r="Q38" i="20"/>
  <c r="P38" i="20"/>
  <c r="O38" i="20"/>
  <c r="N38" i="20"/>
  <c r="G38" i="20"/>
  <c r="F38" i="20"/>
  <c r="E38" i="20"/>
  <c r="Q37" i="20"/>
  <c r="P37" i="20"/>
  <c r="O37" i="20"/>
  <c r="N37" i="20"/>
  <c r="G37" i="20"/>
  <c r="F37" i="20"/>
  <c r="E37" i="20"/>
  <c r="Q36" i="20"/>
  <c r="P36" i="20"/>
  <c r="O36" i="20"/>
  <c r="N36" i="20"/>
  <c r="G36" i="20"/>
  <c r="F36" i="20"/>
  <c r="E36" i="20"/>
  <c r="Q35" i="20"/>
  <c r="P35" i="20"/>
  <c r="O35" i="20"/>
  <c r="N35" i="20"/>
  <c r="G35" i="20"/>
  <c r="F35" i="20"/>
  <c r="E35" i="20"/>
  <c r="Q34" i="20"/>
  <c r="P34" i="20"/>
  <c r="O34" i="20"/>
  <c r="N34" i="20"/>
  <c r="G34" i="20"/>
  <c r="F34" i="20"/>
  <c r="E34" i="20"/>
  <c r="Q33" i="20"/>
  <c r="P33" i="20"/>
  <c r="O33" i="20"/>
  <c r="N33" i="20"/>
  <c r="G33" i="20"/>
  <c r="F33" i="20"/>
  <c r="E33" i="20"/>
  <c r="Q32" i="20"/>
  <c r="P32" i="20"/>
  <c r="O32" i="20"/>
  <c r="N32" i="20"/>
  <c r="G32" i="20"/>
  <c r="F32" i="20"/>
  <c r="E32" i="20"/>
  <c r="Q31" i="20"/>
  <c r="P31" i="20"/>
  <c r="O31" i="20"/>
  <c r="N31" i="20"/>
  <c r="G31" i="20"/>
  <c r="F31" i="20"/>
  <c r="E31" i="20"/>
  <c r="D31" i="20"/>
  <c r="Q30" i="20"/>
  <c r="P30" i="20"/>
  <c r="O30" i="20"/>
  <c r="N30" i="20"/>
  <c r="G30" i="20"/>
  <c r="F30" i="20"/>
  <c r="E30" i="20"/>
  <c r="Q29" i="20"/>
  <c r="P29" i="20"/>
  <c r="O29" i="20"/>
  <c r="N29" i="20"/>
  <c r="G29" i="20"/>
  <c r="F29" i="20"/>
  <c r="E29" i="20"/>
  <c r="Q28" i="20"/>
  <c r="P28" i="20"/>
  <c r="O28" i="20"/>
  <c r="N28" i="20"/>
  <c r="G28" i="20"/>
  <c r="F28" i="20"/>
  <c r="E28" i="20"/>
  <c r="Q27" i="20"/>
  <c r="P27" i="20"/>
  <c r="O27" i="20"/>
  <c r="N27" i="20"/>
  <c r="G27" i="20"/>
  <c r="F27" i="20"/>
  <c r="E27" i="20"/>
  <c r="Q26" i="20"/>
  <c r="P26" i="20"/>
  <c r="O26" i="20"/>
  <c r="N26" i="20"/>
  <c r="G26" i="20"/>
  <c r="F26" i="20"/>
  <c r="E26" i="20"/>
  <c r="Q25" i="20"/>
  <c r="P25" i="20"/>
  <c r="O25" i="20"/>
  <c r="N25" i="20"/>
  <c r="G25" i="20"/>
  <c r="F25" i="20"/>
  <c r="E25" i="20"/>
  <c r="Q24" i="20"/>
  <c r="P24" i="20"/>
  <c r="O24" i="20"/>
  <c r="N24" i="20"/>
  <c r="G24" i="20"/>
  <c r="F24" i="20"/>
  <c r="E24" i="20"/>
  <c r="Q23" i="20"/>
  <c r="P23" i="20"/>
  <c r="O23" i="20"/>
  <c r="N23" i="20"/>
  <c r="G23" i="20"/>
  <c r="F23" i="20"/>
  <c r="E23" i="20"/>
  <c r="Q22" i="20"/>
  <c r="P22" i="20"/>
  <c r="O22" i="20"/>
  <c r="N22" i="20"/>
  <c r="G22" i="20"/>
  <c r="F22" i="20"/>
  <c r="E22" i="20"/>
  <c r="Q21" i="20"/>
  <c r="P21" i="20"/>
  <c r="O21" i="20"/>
  <c r="N21" i="20"/>
  <c r="G21" i="20"/>
  <c r="F21" i="20"/>
  <c r="E21" i="20"/>
  <c r="Q20" i="20"/>
  <c r="P20" i="20"/>
  <c r="O20" i="20"/>
  <c r="N20" i="20"/>
  <c r="G20" i="20"/>
  <c r="F20" i="20"/>
  <c r="E20" i="20"/>
  <c r="Q19" i="20"/>
  <c r="P19" i="20"/>
  <c r="O19" i="20"/>
  <c r="N19" i="20"/>
  <c r="G19" i="20"/>
  <c r="F19" i="20"/>
  <c r="E19" i="20"/>
  <c r="Q18" i="20"/>
  <c r="P18" i="20"/>
  <c r="O18" i="20"/>
  <c r="N18" i="20"/>
  <c r="G18" i="20"/>
  <c r="F18" i="20"/>
  <c r="E18" i="20"/>
  <c r="Q17" i="20"/>
  <c r="P17" i="20"/>
  <c r="O17" i="20"/>
  <c r="N17" i="20"/>
  <c r="G17" i="20"/>
  <c r="F17" i="20"/>
  <c r="E17" i="20"/>
  <c r="Q16" i="20"/>
  <c r="P16" i="20"/>
  <c r="O16" i="20"/>
  <c r="N16" i="20"/>
  <c r="G16" i="20"/>
  <c r="F16" i="20"/>
  <c r="E16" i="20"/>
  <c r="Q15" i="20"/>
  <c r="P15" i="20"/>
  <c r="O15" i="20"/>
  <c r="N15" i="20"/>
  <c r="G15" i="20"/>
  <c r="F15" i="20"/>
  <c r="E15" i="20"/>
  <c r="Q14" i="20"/>
  <c r="P14" i="20"/>
  <c r="O14" i="20"/>
  <c r="N14" i="20"/>
  <c r="G14" i="20"/>
  <c r="F14" i="20"/>
  <c r="E14" i="20"/>
  <c r="Q13" i="20"/>
  <c r="P13" i="20"/>
  <c r="O13" i="20"/>
  <c r="N13" i="20"/>
  <c r="G13" i="20"/>
  <c r="F13" i="20"/>
  <c r="E13" i="20"/>
  <c r="Q12" i="20"/>
  <c r="P12" i="20"/>
  <c r="O12" i="20"/>
  <c r="N12" i="20"/>
  <c r="G12" i="20"/>
  <c r="F12" i="20"/>
  <c r="E12" i="20"/>
  <c r="Q11" i="20"/>
  <c r="P11" i="20"/>
  <c r="O11" i="20"/>
  <c r="N11" i="20"/>
  <c r="G11" i="20"/>
  <c r="F11" i="20"/>
  <c r="E11" i="20"/>
  <c r="Q10" i="20"/>
  <c r="P10" i="20"/>
  <c r="O10" i="20"/>
  <c r="N10" i="20"/>
  <c r="G10" i="20"/>
  <c r="F10" i="20"/>
  <c r="E10" i="20"/>
  <c r="Q9" i="20"/>
  <c r="P9" i="20"/>
  <c r="O9" i="20"/>
  <c r="N9" i="20"/>
  <c r="G9" i="20"/>
  <c r="F9" i="20"/>
  <c r="E9" i="20"/>
  <c r="Q8" i="20"/>
  <c r="P8" i="20"/>
  <c r="O8" i="20"/>
  <c r="N8" i="20"/>
  <c r="G8" i="20"/>
  <c r="F8" i="20"/>
  <c r="E8" i="20"/>
  <c r="Q7" i="20"/>
  <c r="P7" i="20"/>
  <c r="O7" i="20"/>
  <c r="N7" i="20"/>
  <c r="G7" i="20"/>
  <c r="F7" i="20"/>
  <c r="E7" i="20"/>
  <c r="Q6" i="20"/>
  <c r="P6" i="20"/>
  <c r="O6" i="20"/>
  <c r="N6" i="20"/>
  <c r="G6" i="20"/>
  <c r="F6" i="20"/>
  <c r="E6" i="20"/>
  <c r="Q5" i="20"/>
  <c r="P5" i="20"/>
  <c r="O5" i="20"/>
  <c r="N5" i="20"/>
  <c r="G5" i="20"/>
  <c r="F5" i="20"/>
  <c r="E5" i="20"/>
  <c r="Q4" i="20"/>
  <c r="P4" i="20"/>
  <c r="O4" i="20"/>
  <c r="N4" i="20"/>
  <c r="G4" i="20"/>
  <c r="F4" i="20"/>
  <c r="E4" i="20"/>
  <c r="Q3" i="20"/>
  <c r="T106" i="17"/>
  <c r="P106" i="17"/>
  <c r="O106" i="17"/>
  <c r="N106" i="17"/>
  <c r="M106" i="17"/>
  <c r="K106" i="17"/>
  <c r="J106" i="17"/>
  <c r="I106" i="17"/>
  <c r="H106" i="17"/>
  <c r="F106" i="17"/>
  <c r="E106" i="17"/>
  <c r="D106" i="17"/>
  <c r="T105" i="17"/>
  <c r="P105" i="17"/>
  <c r="O105" i="17"/>
  <c r="N105" i="17"/>
  <c r="M105" i="17"/>
  <c r="K105" i="17"/>
  <c r="J105" i="17"/>
  <c r="I105" i="17"/>
  <c r="H105" i="17"/>
  <c r="F105" i="17"/>
  <c r="E105" i="17"/>
  <c r="D105" i="17"/>
  <c r="T104" i="17"/>
  <c r="P104" i="17"/>
  <c r="O104" i="17"/>
  <c r="N104" i="17"/>
  <c r="M104" i="17"/>
  <c r="K104" i="17"/>
  <c r="J104" i="17"/>
  <c r="I104" i="17"/>
  <c r="H104" i="17"/>
  <c r="F104" i="17"/>
  <c r="E104" i="17"/>
  <c r="D104" i="17"/>
  <c r="T103" i="17"/>
  <c r="P103" i="17"/>
  <c r="O103" i="17"/>
  <c r="N103" i="17"/>
  <c r="M103" i="17"/>
  <c r="K103" i="17"/>
  <c r="J103" i="17"/>
  <c r="I103" i="17"/>
  <c r="H103" i="17"/>
  <c r="F103" i="17"/>
  <c r="E103" i="17"/>
  <c r="D103" i="17"/>
  <c r="T102" i="17"/>
  <c r="P102" i="17"/>
  <c r="O102" i="17"/>
  <c r="N102" i="17"/>
  <c r="M102" i="17"/>
  <c r="K102" i="17"/>
  <c r="J102" i="17"/>
  <c r="I102" i="17"/>
  <c r="H102" i="17"/>
  <c r="F102" i="17"/>
  <c r="E102" i="17"/>
  <c r="D102" i="17"/>
  <c r="T101" i="17"/>
  <c r="P101" i="17"/>
  <c r="O101" i="17"/>
  <c r="N101" i="17"/>
  <c r="M101" i="17"/>
  <c r="K101" i="17"/>
  <c r="J101" i="17"/>
  <c r="I101" i="17"/>
  <c r="H101" i="17"/>
  <c r="F101" i="17"/>
  <c r="E101" i="17"/>
  <c r="D101" i="17"/>
  <c r="T100" i="17"/>
  <c r="P100" i="17"/>
  <c r="O100" i="17"/>
  <c r="N100" i="17"/>
  <c r="M100" i="17"/>
  <c r="K100" i="17"/>
  <c r="J100" i="17"/>
  <c r="I100" i="17"/>
  <c r="H100" i="17"/>
  <c r="F100" i="17"/>
  <c r="E100" i="17"/>
  <c r="D100" i="17"/>
  <c r="T99" i="17"/>
  <c r="P99" i="17"/>
  <c r="O99" i="17"/>
  <c r="N99" i="17"/>
  <c r="M99" i="17"/>
  <c r="K99" i="17"/>
  <c r="J99" i="17"/>
  <c r="I99" i="17"/>
  <c r="H99" i="17"/>
  <c r="F99" i="17"/>
  <c r="E99" i="17"/>
  <c r="D99" i="17"/>
  <c r="T98" i="17"/>
  <c r="P98" i="17"/>
  <c r="O98" i="17"/>
  <c r="N98" i="17"/>
  <c r="M98" i="17"/>
  <c r="K98" i="17"/>
  <c r="J98" i="17"/>
  <c r="I98" i="17"/>
  <c r="H98" i="17"/>
  <c r="F98" i="17"/>
  <c r="E98" i="17"/>
  <c r="D98" i="17"/>
  <c r="T97" i="17"/>
  <c r="P97" i="17"/>
  <c r="O97" i="17"/>
  <c r="N97" i="17"/>
  <c r="M97" i="17"/>
  <c r="K97" i="17"/>
  <c r="J97" i="17"/>
  <c r="I97" i="17"/>
  <c r="H97" i="17"/>
  <c r="F97" i="17"/>
  <c r="E97" i="17"/>
  <c r="D97" i="17"/>
  <c r="T96" i="17"/>
  <c r="P96" i="17"/>
  <c r="O96" i="17"/>
  <c r="N96" i="17"/>
  <c r="M96" i="17"/>
  <c r="K96" i="17"/>
  <c r="J96" i="17"/>
  <c r="I96" i="17"/>
  <c r="H96" i="17"/>
  <c r="F96" i="17"/>
  <c r="E96" i="17"/>
  <c r="D96" i="17"/>
  <c r="T95" i="17"/>
  <c r="P95" i="17"/>
  <c r="O95" i="17"/>
  <c r="N95" i="17"/>
  <c r="M95" i="17"/>
  <c r="K95" i="17"/>
  <c r="J95" i="17"/>
  <c r="I95" i="17"/>
  <c r="H95" i="17"/>
  <c r="F95" i="17"/>
  <c r="E95" i="17"/>
  <c r="D95" i="17"/>
  <c r="T94" i="17"/>
  <c r="P94" i="17"/>
  <c r="O94" i="17"/>
  <c r="N94" i="17"/>
  <c r="M94" i="17"/>
  <c r="K94" i="17"/>
  <c r="J94" i="17"/>
  <c r="I94" i="17"/>
  <c r="H94" i="17"/>
  <c r="F94" i="17"/>
  <c r="E94" i="17"/>
  <c r="D94" i="17"/>
  <c r="T93" i="17"/>
  <c r="P93" i="17"/>
  <c r="O93" i="17"/>
  <c r="N93" i="17"/>
  <c r="M93" i="17"/>
  <c r="K93" i="17"/>
  <c r="J93" i="17"/>
  <c r="I93" i="17"/>
  <c r="H93" i="17"/>
  <c r="F93" i="17"/>
  <c r="E93" i="17"/>
  <c r="D93" i="17"/>
  <c r="T92" i="17"/>
  <c r="P92" i="17"/>
  <c r="O92" i="17"/>
  <c r="N92" i="17"/>
  <c r="M92" i="17"/>
  <c r="K92" i="17"/>
  <c r="J92" i="17"/>
  <c r="I92" i="17"/>
  <c r="H92" i="17"/>
  <c r="F92" i="17"/>
  <c r="E92" i="17"/>
  <c r="D92" i="17"/>
  <c r="T91" i="17"/>
  <c r="P91" i="17"/>
  <c r="O91" i="17"/>
  <c r="N91" i="17"/>
  <c r="M91" i="17"/>
  <c r="K91" i="17"/>
  <c r="J91" i="17"/>
  <c r="I91" i="17"/>
  <c r="H91" i="17"/>
  <c r="F91" i="17"/>
  <c r="E91" i="17"/>
  <c r="D91" i="17"/>
  <c r="T90" i="17"/>
  <c r="P90" i="17"/>
  <c r="O90" i="17"/>
  <c r="N90" i="17"/>
  <c r="M90" i="17"/>
  <c r="K90" i="17"/>
  <c r="J90" i="17"/>
  <c r="I90" i="17"/>
  <c r="H90" i="17"/>
  <c r="F90" i="17"/>
  <c r="E90" i="17"/>
  <c r="D90" i="17"/>
  <c r="T89" i="17"/>
  <c r="P89" i="17"/>
  <c r="O89" i="17"/>
  <c r="N89" i="17"/>
  <c r="M89" i="17"/>
  <c r="K89" i="17"/>
  <c r="J89" i="17"/>
  <c r="I89" i="17"/>
  <c r="H89" i="17"/>
  <c r="F89" i="17"/>
  <c r="E89" i="17"/>
  <c r="D89" i="17"/>
  <c r="T88" i="17"/>
  <c r="P88" i="17"/>
  <c r="O88" i="17"/>
  <c r="N88" i="17"/>
  <c r="M88" i="17"/>
  <c r="K88" i="17"/>
  <c r="J88" i="17"/>
  <c r="I88" i="17"/>
  <c r="H88" i="17"/>
  <c r="F88" i="17"/>
  <c r="E88" i="17"/>
  <c r="D88" i="17"/>
  <c r="T87" i="17"/>
  <c r="P87" i="17"/>
  <c r="O87" i="17"/>
  <c r="N87" i="17"/>
  <c r="M87" i="17"/>
  <c r="K87" i="17"/>
  <c r="J87" i="17"/>
  <c r="I87" i="17"/>
  <c r="H87" i="17"/>
  <c r="F87" i="17"/>
  <c r="E87" i="17"/>
  <c r="D87" i="17"/>
  <c r="T86" i="17"/>
  <c r="P86" i="17"/>
  <c r="O86" i="17"/>
  <c r="N86" i="17"/>
  <c r="M86" i="17"/>
  <c r="K86" i="17"/>
  <c r="J86" i="17"/>
  <c r="I86" i="17"/>
  <c r="H86" i="17"/>
  <c r="F86" i="17"/>
  <c r="E86" i="17"/>
  <c r="D86" i="17"/>
  <c r="T85" i="17"/>
  <c r="P85" i="17"/>
  <c r="O85" i="17"/>
  <c r="N85" i="17"/>
  <c r="M85" i="17"/>
  <c r="K85" i="17"/>
  <c r="J85" i="17"/>
  <c r="I85" i="17"/>
  <c r="H85" i="17"/>
  <c r="F85" i="17"/>
  <c r="E85" i="17"/>
  <c r="D85" i="17"/>
  <c r="T84" i="17"/>
  <c r="P84" i="17"/>
  <c r="O84" i="17"/>
  <c r="N84" i="17"/>
  <c r="M84" i="17"/>
  <c r="K84" i="17"/>
  <c r="J84" i="17"/>
  <c r="I84" i="17"/>
  <c r="H84" i="17"/>
  <c r="F84" i="17"/>
  <c r="E84" i="17"/>
  <c r="D84" i="17"/>
  <c r="T83" i="17"/>
  <c r="P83" i="17"/>
  <c r="O83" i="17"/>
  <c r="N83" i="17"/>
  <c r="M83" i="17"/>
  <c r="K83" i="17"/>
  <c r="J83" i="17"/>
  <c r="I83" i="17"/>
  <c r="H83" i="17"/>
  <c r="F83" i="17"/>
  <c r="E83" i="17"/>
  <c r="D83" i="17"/>
  <c r="C83" i="17"/>
  <c r="T82" i="17"/>
  <c r="P82" i="17"/>
  <c r="O82" i="17"/>
  <c r="N82" i="17"/>
  <c r="M82" i="17"/>
  <c r="K82" i="17"/>
  <c r="J82" i="17"/>
  <c r="I82" i="17"/>
  <c r="H82" i="17"/>
  <c r="F82" i="17"/>
  <c r="E82" i="17"/>
  <c r="D82" i="17"/>
  <c r="T81" i="17"/>
  <c r="S81" i="17"/>
  <c r="P81" i="17"/>
  <c r="O81" i="17"/>
  <c r="N81" i="17"/>
  <c r="M81" i="17"/>
  <c r="K81" i="17"/>
  <c r="J81" i="17"/>
  <c r="I81" i="17"/>
  <c r="H81" i="17"/>
  <c r="F81" i="17"/>
  <c r="E81" i="17"/>
  <c r="D81" i="17"/>
  <c r="C81" i="17"/>
  <c r="T80" i="17"/>
  <c r="P80" i="17"/>
  <c r="O80" i="17"/>
  <c r="N80" i="17"/>
  <c r="M80" i="17"/>
  <c r="K80" i="17"/>
  <c r="J80" i="17"/>
  <c r="I80" i="17"/>
  <c r="H80" i="17"/>
  <c r="F80" i="17"/>
  <c r="E80" i="17"/>
  <c r="D80" i="17"/>
  <c r="T79" i="17"/>
  <c r="P79" i="17"/>
  <c r="O79" i="17"/>
  <c r="N79" i="17"/>
  <c r="M79" i="17"/>
  <c r="K79" i="17"/>
  <c r="J79" i="17"/>
  <c r="I79" i="17"/>
  <c r="H79" i="17"/>
  <c r="F79" i="17"/>
  <c r="E79" i="17"/>
  <c r="D79" i="17"/>
  <c r="T78" i="17"/>
  <c r="P78" i="17"/>
  <c r="O78" i="17"/>
  <c r="N78" i="17"/>
  <c r="M78" i="17"/>
  <c r="K78" i="17"/>
  <c r="J78" i="17"/>
  <c r="I78" i="17"/>
  <c r="H78" i="17"/>
  <c r="F78" i="17"/>
  <c r="E78" i="17"/>
  <c r="D78" i="17"/>
  <c r="T77" i="17"/>
  <c r="P77" i="17"/>
  <c r="O77" i="17"/>
  <c r="N77" i="17"/>
  <c r="M77" i="17"/>
  <c r="K77" i="17"/>
  <c r="J77" i="17"/>
  <c r="I77" i="17"/>
  <c r="H77" i="17"/>
  <c r="F77" i="17"/>
  <c r="E77" i="17"/>
  <c r="D77" i="17"/>
  <c r="T76" i="17"/>
  <c r="P76" i="17"/>
  <c r="O76" i="17"/>
  <c r="N76" i="17"/>
  <c r="M76" i="17"/>
  <c r="K76" i="17"/>
  <c r="J76" i="17"/>
  <c r="I76" i="17"/>
  <c r="H76" i="17"/>
  <c r="F76" i="17"/>
  <c r="E76" i="17"/>
  <c r="D76" i="17"/>
  <c r="T75" i="17"/>
  <c r="P75" i="17"/>
  <c r="O75" i="17"/>
  <c r="N75" i="17"/>
  <c r="M75" i="17"/>
  <c r="K75" i="17"/>
  <c r="J75" i="17"/>
  <c r="I75" i="17"/>
  <c r="H75" i="17"/>
  <c r="F75" i="17"/>
  <c r="E75" i="17"/>
  <c r="D75" i="17"/>
  <c r="T74" i="17"/>
  <c r="P74" i="17"/>
  <c r="O74" i="17"/>
  <c r="N74" i="17"/>
  <c r="M74" i="17"/>
  <c r="K74" i="17"/>
  <c r="J74" i="17"/>
  <c r="I74" i="17"/>
  <c r="H74" i="17"/>
  <c r="F74" i="17"/>
  <c r="E74" i="17"/>
  <c r="D74" i="17"/>
  <c r="T73" i="17"/>
  <c r="P73" i="17"/>
  <c r="O73" i="17"/>
  <c r="N73" i="17"/>
  <c r="M73" i="17"/>
  <c r="K73" i="17"/>
  <c r="J73" i="17"/>
  <c r="I73" i="17"/>
  <c r="H73" i="17"/>
  <c r="F73" i="17"/>
  <c r="E73" i="17"/>
  <c r="D73" i="17"/>
  <c r="T72" i="17"/>
  <c r="P72" i="17"/>
  <c r="O72" i="17"/>
  <c r="N72" i="17"/>
  <c r="M72" i="17"/>
  <c r="K72" i="17"/>
  <c r="J72" i="17"/>
  <c r="I72" i="17"/>
  <c r="H72" i="17"/>
  <c r="F72" i="17"/>
  <c r="E72" i="17"/>
  <c r="D72" i="17"/>
  <c r="T71" i="17"/>
  <c r="P71" i="17"/>
  <c r="O71" i="17"/>
  <c r="N71" i="17"/>
  <c r="M71" i="17"/>
  <c r="K71" i="17"/>
  <c r="J71" i="17"/>
  <c r="I71" i="17"/>
  <c r="H71" i="17"/>
  <c r="F71" i="17"/>
  <c r="E71" i="17"/>
  <c r="D71" i="17"/>
  <c r="T70" i="17"/>
  <c r="P70" i="17"/>
  <c r="O70" i="17"/>
  <c r="N70" i="17"/>
  <c r="M70" i="17"/>
  <c r="K70" i="17"/>
  <c r="J70" i="17"/>
  <c r="I70" i="17"/>
  <c r="H70" i="17"/>
  <c r="F70" i="17"/>
  <c r="E70" i="17"/>
  <c r="D70" i="17"/>
  <c r="T69" i="17"/>
  <c r="P69" i="17"/>
  <c r="O69" i="17"/>
  <c r="N69" i="17"/>
  <c r="M69" i="17"/>
  <c r="K69" i="17"/>
  <c r="J69" i="17"/>
  <c r="I69" i="17"/>
  <c r="H69" i="17"/>
  <c r="F69" i="17"/>
  <c r="E69" i="17"/>
  <c r="D69" i="17"/>
  <c r="T68" i="17"/>
  <c r="P68" i="17"/>
  <c r="O68" i="17"/>
  <c r="N68" i="17"/>
  <c r="M68" i="17"/>
  <c r="K68" i="17"/>
  <c r="J68" i="17"/>
  <c r="I68" i="17"/>
  <c r="H68" i="17"/>
  <c r="F68" i="17"/>
  <c r="E68" i="17"/>
  <c r="D68" i="17"/>
  <c r="T67" i="17"/>
  <c r="P67" i="17"/>
  <c r="O67" i="17"/>
  <c r="N67" i="17"/>
  <c r="M67" i="17"/>
  <c r="K67" i="17"/>
  <c r="J67" i="17"/>
  <c r="I67" i="17"/>
  <c r="H67" i="17"/>
  <c r="F67" i="17"/>
  <c r="E67" i="17"/>
  <c r="D67" i="17"/>
  <c r="T66" i="17"/>
  <c r="P66" i="17"/>
  <c r="O66" i="17"/>
  <c r="N66" i="17"/>
  <c r="M66" i="17"/>
  <c r="K66" i="17"/>
  <c r="J66" i="17"/>
  <c r="I66" i="17"/>
  <c r="H66" i="17"/>
  <c r="F66" i="17"/>
  <c r="E66" i="17"/>
  <c r="D66" i="17"/>
  <c r="T65" i="17"/>
  <c r="P65" i="17"/>
  <c r="O65" i="17"/>
  <c r="N65" i="17"/>
  <c r="M65" i="17"/>
  <c r="K65" i="17"/>
  <c r="J65" i="17"/>
  <c r="I65" i="17"/>
  <c r="H65" i="17"/>
  <c r="F65" i="17"/>
  <c r="E65" i="17"/>
  <c r="D65" i="17"/>
  <c r="T64" i="17"/>
  <c r="P64" i="17"/>
  <c r="O64" i="17"/>
  <c r="N64" i="17"/>
  <c r="M64" i="17"/>
  <c r="K64" i="17"/>
  <c r="J64" i="17"/>
  <c r="I64" i="17"/>
  <c r="H64" i="17"/>
  <c r="F64" i="17"/>
  <c r="E64" i="17"/>
  <c r="D64" i="17"/>
  <c r="T63" i="17"/>
  <c r="P63" i="17"/>
  <c r="O63" i="17"/>
  <c r="N63" i="17"/>
  <c r="M63" i="17"/>
  <c r="K63" i="17"/>
  <c r="J63" i="17"/>
  <c r="I63" i="17"/>
  <c r="H63" i="17"/>
  <c r="F63" i="17"/>
  <c r="E63" i="17"/>
  <c r="D63" i="17"/>
  <c r="T62" i="17"/>
  <c r="P62" i="17"/>
  <c r="O62" i="17"/>
  <c r="N62" i="17"/>
  <c r="M62" i="17"/>
  <c r="K62" i="17"/>
  <c r="J62" i="17"/>
  <c r="I62" i="17"/>
  <c r="H62" i="17"/>
  <c r="F62" i="17"/>
  <c r="E62" i="17"/>
  <c r="D62" i="17"/>
  <c r="T61" i="17"/>
  <c r="P61" i="17"/>
  <c r="O61" i="17"/>
  <c r="N61" i="17"/>
  <c r="M61" i="17"/>
  <c r="K61" i="17"/>
  <c r="J61" i="17"/>
  <c r="I61" i="17"/>
  <c r="H61" i="17"/>
  <c r="F61" i="17"/>
  <c r="E61" i="17"/>
  <c r="D61" i="17"/>
  <c r="T60" i="17"/>
  <c r="P60" i="17"/>
  <c r="O60" i="17"/>
  <c r="N60" i="17"/>
  <c r="M60" i="17"/>
  <c r="K60" i="17"/>
  <c r="J60" i="17"/>
  <c r="I60" i="17"/>
  <c r="H60" i="17"/>
  <c r="F60" i="17"/>
  <c r="E60" i="17"/>
  <c r="D60" i="17"/>
  <c r="T59" i="17"/>
  <c r="P59" i="17"/>
  <c r="O59" i="17"/>
  <c r="N59" i="17"/>
  <c r="M59" i="17"/>
  <c r="K59" i="17"/>
  <c r="J59" i="17"/>
  <c r="I59" i="17"/>
  <c r="H59" i="17"/>
  <c r="F59" i="17"/>
  <c r="E59" i="17"/>
  <c r="D59" i="17"/>
  <c r="T58" i="17"/>
  <c r="P58" i="17"/>
  <c r="O58" i="17"/>
  <c r="N58" i="17"/>
  <c r="M58" i="17"/>
  <c r="K58" i="17"/>
  <c r="J58" i="17"/>
  <c r="I58" i="17"/>
  <c r="H58" i="17"/>
  <c r="F58" i="17"/>
  <c r="E58" i="17"/>
  <c r="D58" i="17"/>
  <c r="T57" i="17"/>
  <c r="P57" i="17"/>
  <c r="O57" i="17"/>
  <c r="N57" i="17"/>
  <c r="M57" i="17"/>
  <c r="K57" i="17"/>
  <c r="J57" i="17"/>
  <c r="I57" i="17"/>
  <c r="H57" i="17"/>
  <c r="F57" i="17"/>
  <c r="E57" i="17"/>
  <c r="D57" i="17"/>
  <c r="T56" i="17"/>
  <c r="P56" i="17"/>
  <c r="O56" i="17"/>
  <c r="N56" i="17"/>
  <c r="M56" i="17"/>
  <c r="K56" i="17"/>
  <c r="J56" i="17"/>
  <c r="I56" i="17"/>
  <c r="H56" i="17"/>
  <c r="F56" i="17"/>
  <c r="E56" i="17"/>
  <c r="D56" i="17"/>
  <c r="T55" i="17"/>
  <c r="P55" i="17"/>
  <c r="O55" i="17"/>
  <c r="N55" i="17"/>
  <c r="M55" i="17"/>
  <c r="K55" i="17"/>
  <c r="J55" i="17"/>
  <c r="I55" i="17"/>
  <c r="H55" i="17"/>
  <c r="F55" i="17"/>
  <c r="E55" i="17"/>
  <c r="D55" i="17"/>
  <c r="T54" i="17"/>
  <c r="P54" i="17"/>
  <c r="O54" i="17"/>
  <c r="N54" i="17"/>
  <c r="M54" i="17"/>
  <c r="K54" i="17"/>
  <c r="J54" i="17"/>
  <c r="I54" i="17"/>
  <c r="H54" i="17"/>
  <c r="F54" i="17"/>
  <c r="E54" i="17"/>
  <c r="D54" i="17"/>
  <c r="T53" i="17"/>
  <c r="P53" i="17"/>
  <c r="O53" i="17"/>
  <c r="N53" i="17"/>
  <c r="M53" i="17"/>
  <c r="K53" i="17"/>
  <c r="J53" i="17"/>
  <c r="I53" i="17"/>
  <c r="H53" i="17"/>
  <c r="F53" i="17"/>
  <c r="E53" i="17"/>
  <c r="D53" i="17"/>
  <c r="T52" i="17"/>
  <c r="P52" i="17"/>
  <c r="O52" i="17"/>
  <c r="N52" i="17"/>
  <c r="M52" i="17"/>
  <c r="K52" i="17"/>
  <c r="J52" i="17"/>
  <c r="I52" i="17"/>
  <c r="H52" i="17"/>
  <c r="F52" i="17"/>
  <c r="E52" i="17"/>
  <c r="D52" i="17"/>
  <c r="T51" i="17"/>
  <c r="P51" i="17"/>
  <c r="O51" i="17"/>
  <c r="N51" i="17"/>
  <c r="M51" i="17"/>
  <c r="K51" i="17"/>
  <c r="J51" i="17"/>
  <c r="I51" i="17"/>
  <c r="H51" i="17"/>
  <c r="F51" i="17"/>
  <c r="E51" i="17"/>
  <c r="D51" i="17"/>
  <c r="T50" i="17"/>
  <c r="P50" i="17"/>
  <c r="O50" i="17"/>
  <c r="N50" i="17"/>
  <c r="M50" i="17"/>
  <c r="K50" i="17"/>
  <c r="J50" i="17"/>
  <c r="I50" i="17"/>
  <c r="H50" i="17"/>
  <c r="F50" i="17"/>
  <c r="E50" i="17"/>
  <c r="D50" i="17"/>
  <c r="T49" i="17"/>
  <c r="P49" i="17"/>
  <c r="O49" i="17"/>
  <c r="N49" i="17"/>
  <c r="M49" i="17"/>
  <c r="K49" i="17"/>
  <c r="J49" i="17"/>
  <c r="I49" i="17"/>
  <c r="H49" i="17"/>
  <c r="F49" i="17"/>
  <c r="E49" i="17"/>
  <c r="D49" i="17"/>
  <c r="T48" i="17"/>
  <c r="P48" i="17"/>
  <c r="O48" i="17"/>
  <c r="N48" i="17"/>
  <c r="M48" i="17"/>
  <c r="K48" i="17"/>
  <c r="J48" i="17"/>
  <c r="I48" i="17"/>
  <c r="H48" i="17"/>
  <c r="F48" i="17"/>
  <c r="E48" i="17"/>
  <c r="D48" i="17"/>
  <c r="T47" i="17"/>
  <c r="P47" i="17"/>
  <c r="O47" i="17"/>
  <c r="N47" i="17"/>
  <c r="M47" i="17"/>
  <c r="K47" i="17"/>
  <c r="J47" i="17"/>
  <c r="I47" i="17"/>
  <c r="H47" i="17"/>
  <c r="F47" i="17"/>
  <c r="E47" i="17"/>
  <c r="D47" i="17"/>
  <c r="T46" i="17"/>
  <c r="P46" i="17"/>
  <c r="O46" i="17"/>
  <c r="N46" i="17"/>
  <c r="M46" i="17"/>
  <c r="K46" i="17"/>
  <c r="J46" i="17"/>
  <c r="I46" i="17"/>
  <c r="H46" i="17"/>
  <c r="F46" i="17"/>
  <c r="E46" i="17"/>
  <c r="D46" i="17"/>
  <c r="T45" i="17"/>
  <c r="P45" i="17"/>
  <c r="O45" i="17"/>
  <c r="N45" i="17"/>
  <c r="M45" i="17"/>
  <c r="K45" i="17"/>
  <c r="J45" i="17"/>
  <c r="I45" i="17"/>
  <c r="H45" i="17"/>
  <c r="F45" i="17"/>
  <c r="E45" i="17"/>
  <c r="D45" i="17"/>
  <c r="T44" i="17"/>
  <c r="P44" i="17"/>
  <c r="O44" i="17"/>
  <c r="N44" i="17"/>
  <c r="M44" i="17"/>
  <c r="K44" i="17"/>
  <c r="J44" i="17"/>
  <c r="I44" i="17"/>
  <c r="H44" i="17"/>
  <c r="F44" i="17"/>
  <c r="E44" i="17"/>
  <c r="D44" i="17"/>
  <c r="T43" i="17"/>
  <c r="P43" i="17"/>
  <c r="O43" i="17"/>
  <c r="N43" i="17"/>
  <c r="M43" i="17"/>
  <c r="K43" i="17"/>
  <c r="J43" i="17"/>
  <c r="I43" i="17"/>
  <c r="H43" i="17"/>
  <c r="F43" i="17"/>
  <c r="E43" i="17"/>
  <c r="D43" i="17"/>
  <c r="T42" i="17"/>
  <c r="P42" i="17"/>
  <c r="O42" i="17"/>
  <c r="N42" i="17"/>
  <c r="M42" i="17"/>
  <c r="K42" i="17"/>
  <c r="J42" i="17"/>
  <c r="I42" i="17"/>
  <c r="H42" i="17"/>
  <c r="F42" i="17"/>
  <c r="E42" i="17"/>
  <c r="D42" i="17"/>
  <c r="T41" i="17"/>
  <c r="P41" i="17"/>
  <c r="O41" i="17"/>
  <c r="N41" i="17"/>
  <c r="M41" i="17"/>
  <c r="K41" i="17"/>
  <c r="J41" i="17"/>
  <c r="I41" i="17"/>
  <c r="H41" i="17"/>
  <c r="F41" i="17"/>
  <c r="E41" i="17"/>
  <c r="D41" i="17"/>
  <c r="T40" i="17"/>
  <c r="P40" i="17"/>
  <c r="O40" i="17"/>
  <c r="N40" i="17"/>
  <c r="M40" i="17"/>
  <c r="K40" i="17"/>
  <c r="J40" i="17"/>
  <c r="I40" i="17"/>
  <c r="H40" i="17"/>
  <c r="F40" i="17"/>
  <c r="E40" i="17"/>
  <c r="D40" i="17"/>
  <c r="T39" i="17"/>
  <c r="P39" i="17"/>
  <c r="O39" i="17"/>
  <c r="N39" i="17"/>
  <c r="M39" i="17"/>
  <c r="K39" i="17"/>
  <c r="J39" i="17"/>
  <c r="I39" i="17"/>
  <c r="H39" i="17"/>
  <c r="F39" i="17"/>
  <c r="E39" i="17"/>
  <c r="D39" i="17"/>
  <c r="T38" i="17"/>
  <c r="P38" i="17"/>
  <c r="O38" i="17"/>
  <c r="N38" i="17"/>
  <c r="M38" i="17"/>
  <c r="K38" i="17"/>
  <c r="J38" i="17"/>
  <c r="I38" i="17"/>
  <c r="H38" i="17"/>
  <c r="F38" i="17"/>
  <c r="E38" i="17"/>
  <c r="D38" i="17"/>
  <c r="T37" i="17"/>
  <c r="P37" i="17"/>
  <c r="O37" i="17"/>
  <c r="N37" i="17"/>
  <c r="M37" i="17"/>
  <c r="K37" i="17"/>
  <c r="J37" i="17"/>
  <c r="I37" i="17"/>
  <c r="H37" i="17"/>
  <c r="F37" i="17"/>
  <c r="E37" i="17"/>
  <c r="D37" i="17"/>
  <c r="T36" i="17"/>
  <c r="P36" i="17"/>
  <c r="O36" i="17"/>
  <c r="N36" i="17"/>
  <c r="M36" i="17"/>
  <c r="K36" i="17"/>
  <c r="J36" i="17"/>
  <c r="I36" i="17"/>
  <c r="H36" i="17"/>
  <c r="F36" i="17"/>
  <c r="E36" i="17"/>
  <c r="D36" i="17"/>
  <c r="T35" i="17"/>
  <c r="P35" i="17"/>
  <c r="O35" i="17"/>
  <c r="N35" i="17"/>
  <c r="M35" i="17"/>
  <c r="K35" i="17"/>
  <c r="J35" i="17"/>
  <c r="I35" i="17"/>
  <c r="H35" i="17"/>
  <c r="F35" i="17"/>
  <c r="E35" i="17"/>
  <c r="D35" i="17"/>
  <c r="T34" i="17"/>
  <c r="P34" i="17"/>
  <c r="O34" i="17"/>
  <c r="N34" i="17"/>
  <c r="M34" i="17"/>
  <c r="K34" i="17"/>
  <c r="J34" i="17"/>
  <c r="I34" i="17"/>
  <c r="H34" i="17"/>
  <c r="F34" i="17"/>
  <c r="E34" i="17"/>
  <c r="D34" i="17"/>
  <c r="T33" i="17"/>
  <c r="P33" i="17"/>
  <c r="O33" i="17"/>
  <c r="N33" i="17"/>
  <c r="M33" i="17"/>
  <c r="K33" i="17"/>
  <c r="J33" i="17"/>
  <c r="I33" i="17"/>
  <c r="H33" i="17"/>
  <c r="F33" i="17"/>
  <c r="E33" i="17"/>
  <c r="D33" i="17"/>
  <c r="T32" i="17"/>
  <c r="P32" i="17"/>
  <c r="O32" i="17"/>
  <c r="N32" i="17"/>
  <c r="M32" i="17"/>
  <c r="K32" i="17"/>
  <c r="J32" i="17"/>
  <c r="I32" i="17"/>
  <c r="H32" i="17"/>
  <c r="F32" i="17"/>
  <c r="E32" i="17"/>
  <c r="D32" i="17"/>
  <c r="T31" i="17"/>
  <c r="P31" i="17"/>
  <c r="O31" i="17"/>
  <c r="N31" i="17"/>
  <c r="M31" i="17"/>
  <c r="K31" i="17"/>
  <c r="J31" i="17"/>
  <c r="I31" i="17"/>
  <c r="H31" i="17"/>
  <c r="F31" i="17"/>
  <c r="E31" i="17"/>
  <c r="D31" i="17"/>
  <c r="T30" i="17"/>
  <c r="S30" i="17"/>
  <c r="P30" i="17"/>
  <c r="O30" i="17"/>
  <c r="N30" i="17"/>
  <c r="M30" i="17"/>
  <c r="K30" i="17"/>
  <c r="J30" i="17"/>
  <c r="I30" i="17"/>
  <c r="H30" i="17"/>
  <c r="F30" i="17"/>
  <c r="E30" i="17"/>
  <c r="D30" i="17"/>
  <c r="C30" i="17"/>
  <c r="T29" i="17"/>
  <c r="P29" i="17"/>
  <c r="O29" i="17"/>
  <c r="N29" i="17"/>
  <c r="M29" i="17"/>
  <c r="K29" i="17"/>
  <c r="J29" i="17"/>
  <c r="I29" i="17"/>
  <c r="H29" i="17"/>
  <c r="F29" i="17"/>
  <c r="E29" i="17"/>
  <c r="D29" i="17"/>
  <c r="T28" i="17"/>
  <c r="P28" i="17"/>
  <c r="O28" i="17"/>
  <c r="N28" i="17"/>
  <c r="M28" i="17"/>
  <c r="K28" i="17"/>
  <c r="J28" i="17"/>
  <c r="I28" i="17"/>
  <c r="H28" i="17"/>
  <c r="F28" i="17"/>
  <c r="E28" i="17"/>
  <c r="D28" i="17"/>
  <c r="T27" i="17"/>
  <c r="P27" i="17"/>
  <c r="O27" i="17"/>
  <c r="N27" i="17"/>
  <c r="M27" i="17"/>
  <c r="K27" i="17"/>
  <c r="J27" i="17"/>
  <c r="I27" i="17"/>
  <c r="H27" i="17"/>
  <c r="F27" i="17"/>
  <c r="E27" i="17"/>
  <c r="D27" i="17"/>
  <c r="T26" i="17"/>
  <c r="P26" i="17"/>
  <c r="O26" i="17"/>
  <c r="N26" i="17"/>
  <c r="M26" i="17"/>
  <c r="K26" i="17"/>
  <c r="J26" i="17"/>
  <c r="I26" i="17"/>
  <c r="H26" i="17"/>
  <c r="F26" i="17"/>
  <c r="E26" i="17"/>
  <c r="D26" i="17"/>
  <c r="T25" i="17"/>
  <c r="P25" i="17"/>
  <c r="O25" i="17"/>
  <c r="N25" i="17"/>
  <c r="M25" i="17"/>
  <c r="K25" i="17"/>
  <c r="J25" i="17"/>
  <c r="I25" i="17"/>
  <c r="H25" i="17"/>
  <c r="F25" i="17"/>
  <c r="E25" i="17"/>
  <c r="D25" i="17"/>
  <c r="T24" i="17"/>
  <c r="P24" i="17"/>
  <c r="O24" i="17"/>
  <c r="N24" i="17"/>
  <c r="M24" i="17"/>
  <c r="K24" i="17"/>
  <c r="J24" i="17"/>
  <c r="I24" i="17"/>
  <c r="H24" i="17"/>
  <c r="F24" i="17"/>
  <c r="E24" i="17"/>
  <c r="D24" i="17"/>
  <c r="T23" i="17"/>
  <c r="P23" i="17"/>
  <c r="O23" i="17"/>
  <c r="N23" i="17"/>
  <c r="M23" i="17"/>
  <c r="K23" i="17"/>
  <c r="J23" i="17"/>
  <c r="I23" i="17"/>
  <c r="H23" i="17"/>
  <c r="F23" i="17"/>
  <c r="E23" i="17"/>
  <c r="D23" i="17"/>
  <c r="T22" i="17"/>
  <c r="P22" i="17"/>
  <c r="O22" i="17"/>
  <c r="N22" i="17"/>
  <c r="M22" i="17"/>
  <c r="K22" i="17"/>
  <c r="J22" i="17"/>
  <c r="I22" i="17"/>
  <c r="H22" i="17"/>
  <c r="F22" i="17"/>
  <c r="E22" i="17"/>
  <c r="D22" i="17"/>
  <c r="T21" i="17"/>
  <c r="P21" i="17"/>
  <c r="O21" i="17"/>
  <c r="N21" i="17"/>
  <c r="M21" i="17"/>
  <c r="K21" i="17"/>
  <c r="J21" i="17"/>
  <c r="I21" i="17"/>
  <c r="H21" i="17"/>
  <c r="F21" i="17"/>
  <c r="E21" i="17"/>
  <c r="D21" i="17"/>
  <c r="T20" i="17"/>
  <c r="P20" i="17"/>
  <c r="O20" i="17"/>
  <c r="N20" i="17"/>
  <c r="M20" i="17"/>
  <c r="K20" i="17"/>
  <c r="J20" i="17"/>
  <c r="I20" i="17"/>
  <c r="H20" i="17"/>
  <c r="F20" i="17"/>
  <c r="E20" i="17"/>
  <c r="D20" i="17"/>
  <c r="T19" i="17"/>
  <c r="P19" i="17"/>
  <c r="O19" i="17"/>
  <c r="N19" i="17"/>
  <c r="M19" i="17"/>
  <c r="K19" i="17"/>
  <c r="J19" i="17"/>
  <c r="I19" i="17"/>
  <c r="H19" i="17"/>
  <c r="F19" i="17"/>
  <c r="E19" i="17"/>
  <c r="D19" i="17"/>
  <c r="T18" i="17"/>
  <c r="P18" i="17"/>
  <c r="O18" i="17"/>
  <c r="N18" i="17"/>
  <c r="M18" i="17"/>
  <c r="K18" i="17"/>
  <c r="J18" i="17"/>
  <c r="I18" i="17"/>
  <c r="H18" i="17"/>
  <c r="F18" i="17"/>
  <c r="E18" i="17"/>
  <c r="D18" i="17"/>
  <c r="T17" i="17"/>
  <c r="P17" i="17"/>
  <c r="O17" i="17"/>
  <c r="N17" i="17"/>
  <c r="M17" i="17"/>
  <c r="K17" i="17"/>
  <c r="J17" i="17"/>
  <c r="I17" i="17"/>
  <c r="H17" i="17"/>
  <c r="F17" i="17"/>
  <c r="E17" i="17"/>
  <c r="D17" i="17"/>
  <c r="T16" i="17"/>
  <c r="P16" i="17"/>
  <c r="O16" i="17"/>
  <c r="N16" i="17"/>
  <c r="M16" i="17"/>
  <c r="K16" i="17"/>
  <c r="J16" i="17"/>
  <c r="I16" i="17"/>
  <c r="H16" i="17"/>
  <c r="F16" i="17"/>
  <c r="E16" i="17"/>
  <c r="D16" i="17"/>
  <c r="T15" i="17"/>
  <c r="P15" i="17"/>
  <c r="O15" i="17"/>
  <c r="N15" i="17"/>
  <c r="M15" i="17"/>
  <c r="K15" i="17"/>
  <c r="J15" i="17"/>
  <c r="I15" i="17"/>
  <c r="H15" i="17"/>
  <c r="F15" i="17"/>
  <c r="E15" i="17"/>
  <c r="D15" i="17"/>
  <c r="T14" i="17"/>
  <c r="P14" i="17"/>
  <c r="O14" i="17"/>
  <c r="N14" i="17"/>
  <c r="M14" i="17"/>
  <c r="K14" i="17"/>
  <c r="J14" i="17"/>
  <c r="I14" i="17"/>
  <c r="H14" i="17"/>
  <c r="F14" i="17"/>
  <c r="E14" i="17"/>
  <c r="D14" i="17"/>
  <c r="T13" i="17"/>
  <c r="P13" i="17"/>
  <c r="O13" i="17"/>
  <c r="N13" i="17"/>
  <c r="M13" i="17"/>
  <c r="K13" i="17"/>
  <c r="J13" i="17"/>
  <c r="I13" i="17"/>
  <c r="H13" i="17"/>
  <c r="F13" i="17"/>
  <c r="E13" i="17"/>
  <c r="D13" i="17"/>
  <c r="T12" i="17"/>
  <c r="P12" i="17"/>
  <c r="O12" i="17"/>
  <c r="N12" i="17"/>
  <c r="M12" i="17"/>
  <c r="K12" i="17"/>
  <c r="J12" i="17"/>
  <c r="I12" i="17"/>
  <c r="H12" i="17"/>
  <c r="F12" i="17"/>
  <c r="E12" i="17"/>
  <c r="D12" i="17"/>
  <c r="T11" i="17"/>
  <c r="P11" i="17"/>
  <c r="O11" i="17"/>
  <c r="N11" i="17"/>
  <c r="M11" i="17"/>
  <c r="K11" i="17"/>
  <c r="J11" i="17"/>
  <c r="I11" i="17"/>
  <c r="H11" i="17"/>
  <c r="F11" i="17"/>
  <c r="E11" i="17"/>
  <c r="D11" i="17"/>
  <c r="T10" i="17"/>
  <c r="P10" i="17"/>
  <c r="O10" i="17"/>
  <c r="N10" i="17"/>
  <c r="M10" i="17"/>
  <c r="K10" i="17"/>
  <c r="J10" i="17"/>
  <c r="I10" i="17"/>
  <c r="H10" i="17"/>
  <c r="F10" i="17"/>
  <c r="E10" i="17"/>
  <c r="D10" i="17"/>
  <c r="T9" i="17"/>
  <c r="P9" i="17"/>
  <c r="O9" i="17"/>
  <c r="N9" i="17"/>
  <c r="M9" i="17"/>
  <c r="K9" i="17"/>
  <c r="J9" i="17"/>
  <c r="I9" i="17"/>
  <c r="H9" i="17"/>
  <c r="F9" i="17"/>
  <c r="E9" i="17"/>
  <c r="D9" i="17"/>
  <c r="T8" i="17"/>
  <c r="P8" i="17"/>
  <c r="O8" i="17"/>
  <c r="N8" i="17"/>
  <c r="M8" i="17"/>
  <c r="K8" i="17"/>
  <c r="J8" i="17"/>
  <c r="I8" i="17"/>
  <c r="H8" i="17"/>
  <c r="F8" i="17"/>
  <c r="E8" i="17"/>
  <c r="D8" i="17"/>
  <c r="T7" i="17"/>
  <c r="P7" i="17"/>
  <c r="O7" i="17"/>
  <c r="N7" i="17"/>
  <c r="M7" i="17"/>
  <c r="K7" i="17"/>
  <c r="J7" i="17"/>
  <c r="I7" i="17"/>
  <c r="H7" i="17"/>
  <c r="F7" i="17"/>
  <c r="E7" i="17"/>
  <c r="D7" i="17"/>
  <c r="T6" i="17"/>
  <c r="P6" i="17"/>
  <c r="O6" i="17"/>
  <c r="N6" i="17"/>
  <c r="M6" i="17"/>
  <c r="K6" i="17"/>
  <c r="J6" i="17"/>
  <c r="I6" i="17"/>
  <c r="H6" i="17"/>
  <c r="F6" i="17"/>
  <c r="E6" i="17"/>
  <c r="D6" i="17"/>
  <c r="T5" i="17"/>
  <c r="P5" i="17"/>
  <c r="O5" i="17"/>
  <c r="N5" i="17"/>
  <c r="M5" i="17"/>
  <c r="K5" i="17"/>
  <c r="J5" i="17"/>
  <c r="I5" i="17"/>
  <c r="H5" i="17"/>
  <c r="F5" i="17"/>
  <c r="E5" i="17"/>
  <c r="D5" i="17"/>
  <c r="T4" i="17"/>
  <c r="P4" i="17"/>
  <c r="O4" i="17"/>
  <c r="N4" i="17"/>
  <c r="M4" i="17"/>
  <c r="K4" i="17"/>
  <c r="J4" i="17"/>
  <c r="I4" i="17"/>
  <c r="H4" i="17"/>
  <c r="F4" i="17"/>
  <c r="E4" i="17"/>
  <c r="D4" i="17"/>
  <c r="T3" i="17"/>
  <c r="D50" i="15"/>
  <c r="F49" i="15"/>
  <c r="D48" i="15"/>
  <c r="D47" i="15"/>
  <c r="D46" i="15"/>
  <c r="GC19" i="14"/>
  <c r="Q19" i="14"/>
  <c r="GC18" i="14"/>
  <c r="Q18" i="14"/>
  <c r="GC17" i="14"/>
  <c r="Q17" i="14"/>
  <c r="GC16" i="14"/>
  <c r="Q16" i="14"/>
  <c r="GC15" i="14"/>
  <c r="Q15" i="14"/>
  <c r="GC14" i="14"/>
  <c r="Q14" i="14"/>
  <c r="GC13" i="14"/>
  <c r="Q13" i="14"/>
  <c r="GC12" i="14"/>
  <c r="Q12" i="14"/>
  <c r="GC11" i="14"/>
  <c r="Q11" i="14"/>
  <c r="GC10" i="14"/>
  <c r="Q10" i="14"/>
  <c r="GC9" i="14"/>
  <c r="Q9" i="14"/>
  <c r="GC8" i="14"/>
  <c r="Q8" i="14"/>
  <c r="GC6" i="14"/>
  <c r="HV47" i="13"/>
  <c r="Q47" i="13"/>
  <c r="Q46" i="13"/>
  <c r="Q45" i="13"/>
  <c r="Q44" i="13"/>
  <c r="Q43" i="13"/>
  <c r="Q42" i="13"/>
  <c r="Q41" i="13"/>
  <c r="Q40" i="13"/>
  <c r="Q39" i="13"/>
  <c r="Q38" i="13"/>
  <c r="Q37" i="13"/>
  <c r="Q36" i="13"/>
  <c r="Q35" i="13"/>
  <c r="Q34" i="13"/>
  <c r="Q33" i="13"/>
  <c r="Q32" i="13"/>
  <c r="Q31" i="13"/>
  <c r="Q30" i="13"/>
  <c r="Q29" i="13"/>
  <c r="Q28" i="13"/>
  <c r="Q27" i="13"/>
  <c r="Q26" i="13"/>
  <c r="Q25" i="13"/>
  <c r="Q24" i="13"/>
  <c r="Q23" i="13"/>
  <c r="Q22" i="13"/>
  <c r="Q21" i="13"/>
  <c r="Q20" i="13"/>
  <c r="Q19" i="13"/>
  <c r="Q18" i="13"/>
  <c r="Q17" i="13"/>
  <c r="Q16" i="13"/>
  <c r="Q15" i="13"/>
  <c r="Q14" i="13"/>
  <c r="Q13" i="13"/>
  <c r="Q12" i="13"/>
  <c r="Q11" i="13"/>
  <c r="Q10" i="13"/>
  <c r="Q9" i="13"/>
  <c r="Q8" i="13"/>
  <c r="GC6" i="13"/>
  <c r="FT6" i="13"/>
  <c r="FR6" i="13"/>
  <c r="FR6" i="14" s="1"/>
  <c r="FP6" i="13"/>
  <c r="FP6" i="14" s="1"/>
  <c r="AC106" i="12"/>
  <c r="I106" i="12"/>
  <c r="H106" i="12"/>
  <c r="F106" i="12"/>
  <c r="E106" i="12"/>
  <c r="D106" i="12"/>
  <c r="AC105" i="12"/>
  <c r="I105" i="12"/>
  <c r="H105" i="12"/>
  <c r="F105" i="12"/>
  <c r="E105" i="12"/>
  <c r="D105" i="12"/>
  <c r="AC104" i="12"/>
  <c r="I104" i="12"/>
  <c r="H104" i="12"/>
  <c r="F104" i="12"/>
  <c r="E104" i="12"/>
  <c r="D104" i="12"/>
  <c r="AC103" i="12"/>
  <c r="I103" i="12"/>
  <c r="H103" i="12"/>
  <c r="F103" i="12"/>
  <c r="E103" i="12"/>
  <c r="D103" i="12"/>
  <c r="AC102" i="12"/>
  <c r="I102" i="12"/>
  <c r="H102" i="12"/>
  <c r="F102" i="12"/>
  <c r="E102" i="12"/>
  <c r="D102" i="12"/>
  <c r="AC101" i="12"/>
  <c r="I101" i="12"/>
  <c r="H101" i="12"/>
  <c r="F101" i="12"/>
  <c r="E101" i="12"/>
  <c r="D101" i="12"/>
  <c r="AC100" i="12"/>
  <c r="I100" i="12"/>
  <c r="H100" i="12"/>
  <c r="F100" i="12"/>
  <c r="E100" i="12"/>
  <c r="D100" i="12"/>
  <c r="AC99" i="12"/>
  <c r="I99" i="12"/>
  <c r="H99" i="12"/>
  <c r="F99" i="12"/>
  <c r="E99" i="12"/>
  <c r="D99" i="12"/>
  <c r="AC98" i="12"/>
  <c r="I98" i="12"/>
  <c r="H98" i="12"/>
  <c r="F98" i="12"/>
  <c r="E98" i="12"/>
  <c r="D98" i="12"/>
  <c r="AC97" i="12"/>
  <c r="I97" i="12"/>
  <c r="H97" i="12"/>
  <c r="F97" i="12"/>
  <c r="E97" i="12"/>
  <c r="D97" i="12"/>
  <c r="AC96" i="12"/>
  <c r="I96" i="12"/>
  <c r="H96" i="12"/>
  <c r="F96" i="12"/>
  <c r="E96" i="12"/>
  <c r="D96" i="12"/>
  <c r="AC95" i="12"/>
  <c r="I95" i="12"/>
  <c r="H95" i="12"/>
  <c r="F95" i="12"/>
  <c r="E95" i="12"/>
  <c r="D95" i="12"/>
  <c r="AC94" i="12"/>
  <c r="I94" i="12"/>
  <c r="H94" i="12"/>
  <c r="F94" i="12"/>
  <c r="E94" i="12"/>
  <c r="D94" i="12"/>
  <c r="AC93" i="12"/>
  <c r="I93" i="12"/>
  <c r="H93" i="12"/>
  <c r="F93" i="12"/>
  <c r="E93" i="12"/>
  <c r="D93" i="12"/>
  <c r="AC92" i="12"/>
  <c r="I92" i="12"/>
  <c r="H92" i="12"/>
  <c r="F92" i="12"/>
  <c r="E92" i="12"/>
  <c r="D92" i="12"/>
  <c r="AC91" i="12"/>
  <c r="I91" i="12"/>
  <c r="H91" i="12"/>
  <c r="F91" i="12"/>
  <c r="E91" i="12"/>
  <c r="D91" i="12"/>
  <c r="AC90" i="12"/>
  <c r="I90" i="12"/>
  <c r="H90" i="12"/>
  <c r="F90" i="12"/>
  <c r="E90" i="12"/>
  <c r="D90" i="12"/>
  <c r="AC89" i="12"/>
  <c r="I89" i="12"/>
  <c r="H89" i="12"/>
  <c r="F89" i="12"/>
  <c r="E89" i="12"/>
  <c r="D89" i="12"/>
  <c r="AC88" i="12"/>
  <c r="I88" i="12"/>
  <c r="H88" i="12"/>
  <c r="F88" i="12"/>
  <c r="E88" i="12"/>
  <c r="D88" i="12"/>
  <c r="AC87" i="12"/>
  <c r="I87" i="12"/>
  <c r="H87" i="12"/>
  <c r="F87" i="12"/>
  <c r="E87" i="12"/>
  <c r="D87" i="12"/>
  <c r="AC86" i="12"/>
  <c r="I86" i="12"/>
  <c r="H86" i="12"/>
  <c r="F86" i="12"/>
  <c r="E86" i="12"/>
  <c r="D86" i="12"/>
  <c r="AC85" i="12"/>
  <c r="H85" i="12"/>
  <c r="F85" i="12"/>
  <c r="E85" i="12"/>
  <c r="D85" i="12"/>
  <c r="AC84" i="12"/>
  <c r="I84" i="12"/>
  <c r="H84" i="12"/>
  <c r="F84" i="12"/>
  <c r="E84" i="12"/>
  <c r="D84" i="12"/>
  <c r="AC83" i="12"/>
  <c r="Z83" i="12"/>
  <c r="W83" i="12"/>
  <c r="T83" i="12"/>
  <c r="Q83" i="12"/>
  <c r="N83" i="12"/>
  <c r="I83" i="12"/>
  <c r="H83" i="12"/>
  <c r="F83" i="12"/>
  <c r="E83" i="12"/>
  <c r="D83" i="12"/>
  <c r="C83" i="12"/>
  <c r="AC82" i="12"/>
  <c r="I82" i="12"/>
  <c r="H82" i="12"/>
  <c r="F82" i="12"/>
  <c r="E82" i="12"/>
  <c r="D82" i="12"/>
  <c r="AC81" i="12"/>
  <c r="I81" i="12"/>
  <c r="H81" i="12"/>
  <c r="F81" i="12"/>
  <c r="E81" i="12"/>
  <c r="D81" i="12"/>
  <c r="AC80" i="12"/>
  <c r="I80" i="12"/>
  <c r="H80" i="12"/>
  <c r="F80" i="12"/>
  <c r="E80" i="12"/>
  <c r="D80" i="12"/>
  <c r="AC79" i="12"/>
  <c r="I79" i="12"/>
  <c r="H79" i="12"/>
  <c r="F79" i="12"/>
  <c r="E79" i="12"/>
  <c r="D79" i="12"/>
  <c r="AC78" i="12"/>
  <c r="I78" i="12"/>
  <c r="H78" i="12"/>
  <c r="F78" i="12"/>
  <c r="E78" i="12"/>
  <c r="D78" i="12"/>
  <c r="AC77" i="12"/>
  <c r="I77" i="12"/>
  <c r="H77" i="12"/>
  <c r="F77" i="12"/>
  <c r="E77" i="12"/>
  <c r="D77" i="12"/>
  <c r="AC76" i="12"/>
  <c r="I76" i="12"/>
  <c r="H76" i="12"/>
  <c r="F76" i="12"/>
  <c r="E76" i="12"/>
  <c r="D76" i="12"/>
  <c r="AC75" i="12"/>
  <c r="I75" i="12"/>
  <c r="H75" i="12"/>
  <c r="F75" i="12"/>
  <c r="E75" i="12"/>
  <c r="D75" i="12"/>
  <c r="AC74" i="12"/>
  <c r="I74" i="12"/>
  <c r="H74" i="12"/>
  <c r="F74" i="12"/>
  <c r="E74" i="12"/>
  <c r="D74" i="12"/>
  <c r="AC73" i="12"/>
  <c r="I73" i="12"/>
  <c r="H73" i="12"/>
  <c r="F73" i="12"/>
  <c r="E73" i="12"/>
  <c r="D73" i="12"/>
  <c r="AC72" i="12"/>
  <c r="I72" i="12"/>
  <c r="H72" i="12"/>
  <c r="F72" i="12"/>
  <c r="E72" i="12"/>
  <c r="D72" i="12"/>
  <c r="AC71" i="12"/>
  <c r="I71" i="12"/>
  <c r="H71" i="12"/>
  <c r="F71" i="12"/>
  <c r="E71" i="12"/>
  <c r="D71" i="12"/>
  <c r="AC70" i="12"/>
  <c r="I70" i="12"/>
  <c r="H70" i="12"/>
  <c r="F70" i="12"/>
  <c r="E70" i="12"/>
  <c r="D70" i="12"/>
  <c r="AC69" i="12"/>
  <c r="I69" i="12"/>
  <c r="H69" i="12"/>
  <c r="F69" i="12"/>
  <c r="E69" i="12"/>
  <c r="D69" i="12"/>
  <c r="AC68" i="12"/>
  <c r="I68" i="12"/>
  <c r="H68" i="12"/>
  <c r="F68" i="12"/>
  <c r="E68" i="12"/>
  <c r="D68" i="12"/>
  <c r="AC67" i="12"/>
  <c r="I67" i="12"/>
  <c r="H67" i="12"/>
  <c r="F67" i="12"/>
  <c r="E67" i="12"/>
  <c r="D67" i="12"/>
  <c r="AC66" i="12"/>
  <c r="I66" i="12"/>
  <c r="H66" i="12"/>
  <c r="F66" i="12"/>
  <c r="E66" i="12"/>
  <c r="D66" i="12"/>
  <c r="AC65" i="12"/>
  <c r="I65" i="12"/>
  <c r="H65" i="12"/>
  <c r="F65" i="12"/>
  <c r="E65" i="12"/>
  <c r="D65" i="12"/>
  <c r="AC64" i="12"/>
  <c r="I64" i="12"/>
  <c r="H64" i="12"/>
  <c r="F64" i="12"/>
  <c r="E64" i="12"/>
  <c r="D64" i="12"/>
  <c r="AC63" i="12"/>
  <c r="I63" i="12"/>
  <c r="H63" i="12"/>
  <c r="F63" i="12"/>
  <c r="E63" i="12"/>
  <c r="D63" i="12"/>
  <c r="AC62" i="12"/>
  <c r="I62" i="12"/>
  <c r="H62" i="12"/>
  <c r="F62" i="12"/>
  <c r="E62" i="12"/>
  <c r="D62" i="12"/>
  <c r="AC61" i="12"/>
  <c r="I61" i="12"/>
  <c r="H61" i="12"/>
  <c r="F61" i="12"/>
  <c r="E61" i="12"/>
  <c r="D61" i="12"/>
  <c r="AC60" i="12"/>
  <c r="I60" i="12"/>
  <c r="H60" i="12"/>
  <c r="F60" i="12"/>
  <c r="E60" i="12"/>
  <c r="D60" i="12"/>
  <c r="AC59" i="12"/>
  <c r="I59" i="12"/>
  <c r="H59" i="12"/>
  <c r="F59" i="12"/>
  <c r="E59" i="12"/>
  <c r="D59" i="12"/>
  <c r="AC58" i="12"/>
  <c r="I58" i="12"/>
  <c r="H58" i="12"/>
  <c r="F58" i="12"/>
  <c r="E58" i="12"/>
  <c r="D58" i="12"/>
  <c r="AC57" i="12"/>
  <c r="I57" i="12"/>
  <c r="H57" i="12"/>
  <c r="F57" i="12"/>
  <c r="E57" i="12"/>
  <c r="D57" i="12"/>
  <c r="AC56" i="12"/>
  <c r="I56" i="12"/>
  <c r="H56" i="12"/>
  <c r="F56" i="12"/>
  <c r="E56" i="12"/>
  <c r="D56" i="12"/>
  <c r="AC55" i="12"/>
  <c r="I55" i="12"/>
  <c r="H55" i="12"/>
  <c r="F55" i="12"/>
  <c r="E55" i="12"/>
  <c r="D55" i="12"/>
  <c r="AC54" i="12"/>
  <c r="F54" i="12"/>
  <c r="E54" i="12"/>
  <c r="D54" i="12"/>
  <c r="AC53" i="12"/>
  <c r="I53" i="12"/>
  <c r="H53" i="12"/>
  <c r="F53" i="12"/>
  <c r="E53" i="12"/>
  <c r="D53" i="12"/>
  <c r="AC52" i="12"/>
  <c r="I52" i="12"/>
  <c r="H52" i="12"/>
  <c r="F52" i="12"/>
  <c r="E52" i="12"/>
  <c r="D52" i="12"/>
  <c r="AC51" i="12"/>
  <c r="I51" i="12"/>
  <c r="H51" i="12"/>
  <c r="F51" i="12"/>
  <c r="E51" i="12"/>
  <c r="D51" i="12"/>
  <c r="AC50" i="12"/>
  <c r="I50" i="12"/>
  <c r="H50" i="12"/>
  <c r="F50" i="12"/>
  <c r="E50" i="12"/>
  <c r="D50" i="12"/>
  <c r="AC49" i="12"/>
  <c r="I49" i="12"/>
  <c r="H49" i="12"/>
  <c r="F49" i="12"/>
  <c r="E49" i="12"/>
  <c r="D49" i="12"/>
  <c r="AC48" i="12"/>
  <c r="Z48" i="12"/>
  <c r="W48" i="12"/>
  <c r="T48" i="12"/>
  <c r="Q48" i="12"/>
  <c r="N48" i="12"/>
  <c r="I48" i="12"/>
  <c r="H48" i="12"/>
  <c r="F48" i="12"/>
  <c r="E48" i="12"/>
  <c r="D48" i="12"/>
  <c r="C48" i="12"/>
  <c r="AC47" i="12"/>
  <c r="I47" i="12"/>
  <c r="H47" i="12"/>
  <c r="F47" i="12"/>
  <c r="E47" i="12"/>
  <c r="D47" i="12"/>
  <c r="AC46" i="12"/>
  <c r="I46" i="12"/>
  <c r="H46" i="12"/>
  <c r="F46" i="12"/>
  <c r="E46" i="12"/>
  <c r="D46" i="12"/>
  <c r="AC45" i="12"/>
  <c r="I45" i="12"/>
  <c r="H45" i="12"/>
  <c r="F45" i="12"/>
  <c r="E45" i="12"/>
  <c r="D45" i="12"/>
  <c r="AC44" i="12"/>
  <c r="I44" i="12"/>
  <c r="H44" i="12"/>
  <c r="F44" i="12"/>
  <c r="E44" i="12"/>
  <c r="D44" i="12"/>
  <c r="AC43" i="12"/>
  <c r="I43" i="12"/>
  <c r="H43" i="12"/>
  <c r="F43" i="12"/>
  <c r="E43" i="12"/>
  <c r="D43" i="12"/>
  <c r="AC42" i="12"/>
  <c r="I42" i="12"/>
  <c r="H42" i="12"/>
  <c r="F42" i="12"/>
  <c r="E42" i="12"/>
  <c r="D42" i="12"/>
  <c r="AC41" i="12"/>
  <c r="I41" i="12"/>
  <c r="H41" i="12"/>
  <c r="F41" i="12"/>
  <c r="E41" i="12"/>
  <c r="D41" i="12"/>
  <c r="AC40" i="12"/>
  <c r="I40" i="12"/>
  <c r="H40" i="12"/>
  <c r="F40" i="12"/>
  <c r="E40" i="12"/>
  <c r="D40" i="12"/>
  <c r="AC39" i="12"/>
  <c r="I39" i="12"/>
  <c r="H39" i="12"/>
  <c r="F39" i="12"/>
  <c r="E39" i="12"/>
  <c r="D39" i="12"/>
  <c r="AC38" i="12"/>
  <c r="I38" i="12"/>
  <c r="H38" i="12"/>
  <c r="F38" i="12"/>
  <c r="E38" i="12"/>
  <c r="D38" i="12"/>
  <c r="AC37" i="12"/>
  <c r="I37" i="12"/>
  <c r="H37" i="12"/>
  <c r="F37" i="12"/>
  <c r="E37" i="12"/>
  <c r="D37" i="12"/>
  <c r="AC36" i="12"/>
  <c r="I36" i="12"/>
  <c r="H36" i="12"/>
  <c r="F36" i="12"/>
  <c r="E36" i="12"/>
  <c r="D36" i="12"/>
  <c r="AC35" i="12"/>
  <c r="I35" i="12"/>
  <c r="H35" i="12"/>
  <c r="F35" i="12"/>
  <c r="E35" i="12"/>
  <c r="D35" i="12"/>
  <c r="AC34" i="12"/>
  <c r="I34" i="12"/>
  <c r="H34" i="12"/>
  <c r="F34" i="12"/>
  <c r="E34" i="12"/>
  <c r="D34" i="12"/>
  <c r="AC33" i="12"/>
  <c r="I33" i="12"/>
  <c r="H33" i="12"/>
  <c r="F33" i="12"/>
  <c r="E33" i="12"/>
  <c r="D33" i="12"/>
  <c r="AC32" i="12"/>
  <c r="I32" i="12"/>
  <c r="H32" i="12"/>
  <c r="F32" i="12"/>
  <c r="E32" i="12"/>
  <c r="D32" i="12"/>
  <c r="AC31" i="12"/>
  <c r="I31" i="12"/>
  <c r="H31" i="12"/>
  <c r="F31" i="12"/>
  <c r="E31" i="12"/>
  <c r="D31" i="12"/>
  <c r="AC30" i="12"/>
  <c r="I30" i="12"/>
  <c r="H30" i="12"/>
  <c r="F30" i="12"/>
  <c r="E30" i="12"/>
  <c r="D30" i="12"/>
  <c r="AC29" i="12"/>
  <c r="I29" i="12"/>
  <c r="H29" i="12"/>
  <c r="F29" i="12"/>
  <c r="E29" i="12"/>
  <c r="D29" i="12"/>
  <c r="AC28" i="12"/>
  <c r="I28" i="12"/>
  <c r="H28" i="12"/>
  <c r="F28" i="12"/>
  <c r="E28" i="12"/>
  <c r="D28" i="12"/>
  <c r="AC27" i="12"/>
  <c r="I27" i="12"/>
  <c r="H27" i="12"/>
  <c r="F27" i="12"/>
  <c r="E27" i="12"/>
  <c r="D27" i="12"/>
  <c r="AC26" i="12"/>
  <c r="I26" i="12"/>
  <c r="H26" i="12"/>
  <c r="F26" i="12"/>
  <c r="E26" i="12"/>
  <c r="D26" i="12"/>
  <c r="AC25" i="12"/>
  <c r="I25" i="12"/>
  <c r="H25" i="12"/>
  <c r="F25" i="12"/>
  <c r="E25" i="12"/>
  <c r="D25" i="12"/>
  <c r="AC24" i="12"/>
  <c r="I24" i="12"/>
  <c r="H24" i="12"/>
  <c r="F24" i="12"/>
  <c r="E24" i="12"/>
  <c r="D24" i="12"/>
  <c r="AC23" i="12"/>
  <c r="H23" i="12"/>
  <c r="F23" i="12"/>
  <c r="E23" i="12"/>
  <c r="D23" i="12"/>
  <c r="AC22" i="12"/>
  <c r="I22" i="12"/>
  <c r="H22" i="12"/>
  <c r="F22" i="12"/>
  <c r="E22" i="12"/>
  <c r="D22" i="12"/>
  <c r="AC21" i="12"/>
  <c r="I21" i="12"/>
  <c r="H21" i="12"/>
  <c r="F21" i="12"/>
  <c r="E21" i="12"/>
  <c r="D21" i="12"/>
  <c r="AC20" i="12"/>
  <c r="I20" i="12"/>
  <c r="H20" i="12"/>
  <c r="F20" i="12"/>
  <c r="E20" i="12"/>
  <c r="D20" i="12"/>
  <c r="AC19" i="12"/>
  <c r="I19" i="12"/>
  <c r="H19" i="12"/>
  <c r="F19" i="12"/>
  <c r="E19" i="12"/>
  <c r="D19" i="12"/>
  <c r="AC18" i="12"/>
  <c r="I18" i="12"/>
  <c r="H18" i="12"/>
  <c r="F18" i="12"/>
  <c r="E18" i="12"/>
  <c r="D18" i="12"/>
  <c r="AC17" i="12"/>
  <c r="I17" i="12"/>
  <c r="H17" i="12"/>
  <c r="F17" i="12"/>
  <c r="E17" i="12"/>
  <c r="D17" i="12"/>
  <c r="AC16" i="12"/>
  <c r="I16" i="12"/>
  <c r="H16" i="12"/>
  <c r="F16" i="12"/>
  <c r="E16" i="12"/>
  <c r="D16" i="12"/>
  <c r="AC15" i="12"/>
  <c r="F15" i="12"/>
  <c r="E15" i="12"/>
  <c r="D15" i="12"/>
  <c r="AC14" i="12"/>
  <c r="I14" i="12"/>
  <c r="H14" i="12"/>
  <c r="F14" i="12"/>
  <c r="E14" i="12"/>
  <c r="D14" i="12"/>
  <c r="AC13" i="12"/>
  <c r="I13" i="12"/>
  <c r="H13" i="12"/>
  <c r="F13" i="12"/>
  <c r="E13" i="12"/>
  <c r="D13" i="12"/>
  <c r="C13" i="12"/>
  <c r="AC12" i="12"/>
  <c r="I12" i="12"/>
  <c r="H12" i="12"/>
  <c r="F12" i="12"/>
  <c r="E12" i="12"/>
  <c r="D12" i="12"/>
  <c r="AC11" i="12"/>
  <c r="I11" i="12"/>
  <c r="H11" i="12"/>
  <c r="F11" i="12"/>
  <c r="E11" i="12"/>
  <c r="D11" i="12"/>
  <c r="AC10" i="12"/>
  <c r="I10" i="12"/>
  <c r="H10" i="12"/>
  <c r="F10" i="12"/>
  <c r="E10" i="12"/>
  <c r="D10" i="12"/>
  <c r="AC9" i="12"/>
  <c r="I9" i="12"/>
  <c r="H9" i="12"/>
  <c r="F9" i="12"/>
  <c r="E9" i="12"/>
  <c r="D9" i="12"/>
  <c r="AC8" i="12"/>
  <c r="I8" i="12"/>
  <c r="H8" i="12"/>
  <c r="F8" i="12"/>
  <c r="E8" i="12"/>
  <c r="D8" i="12"/>
  <c r="AC7" i="12"/>
  <c r="I7" i="12"/>
  <c r="H7" i="12"/>
  <c r="F7" i="12"/>
  <c r="E7" i="12"/>
  <c r="D7" i="12"/>
  <c r="AC6" i="12"/>
  <c r="I6" i="12"/>
  <c r="H6" i="12"/>
  <c r="F6" i="12"/>
  <c r="E6" i="12"/>
  <c r="D6" i="12"/>
  <c r="AC5" i="12"/>
  <c r="I5" i="12"/>
  <c r="H5" i="12"/>
  <c r="F5" i="12"/>
  <c r="E5" i="12"/>
  <c r="D5" i="12"/>
  <c r="AC4" i="12"/>
  <c r="I4" i="12"/>
  <c r="H4" i="12"/>
  <c r="F4" i="12"/>
  <c r="E4" i="12"/>
  <c r="D4" i="12"/>
  <c r="AC3" i="12"/>
  <c r="Q20" i="11"/>
  <c r="A20" i="11"/>
  <c r="Q19" i="11"/>
  <c r="A19" i="11"/>
  <c r="Q18" i="11"/>
  <c r="A18" i="11"/>
  <c r="Q17" i="11"/>
  <c r="A17" i="11"/>
  <c r="Q16" i="11"/>
  <c r="A16" i="11"/>
  <c r="Q15" i="11"/>
  <c r="A15" i="11"/>
  <c r="Q14" i="11"/>
  <c r="A14" i="11"/>
  <c r="Q13" i="11"/>
  <c r="A13" i="11"/>
  <c r="Q12" i="11"/>
  <c r="A12" i="11"/>
  <c r="Q11" i="11"/>
  <c r="A11" i="11"/>
  <c r="Q10" i="11"/>
  <c r="A10" i="11"/>
  <c r="Q9" i="11"/>
  <c r="A9" i="11"/>
  <c r="Q8" i="11"/>
  <c r="A8" i="11"/>
  <c r="KJ6" i="11"/>
  <c r="KI6" i="11"/>
  <c r="KH6" i="11"/>
  <c r="KG6" i="11"/>
  <c r="KF6" i="11"/>
  <c r="KE6" i="11"/>
  <c r="KD6" i="11"/>
  <c r="KB6" i="11"/>
  <c r="KA6" i="11"/>
  <c r="JZ6" i="11"/>
  <c r="JY6" i="11"/>
  <c r="JX6" i="11"/>
  <c r="JW6" i="11"/>
  <c r="JV6" i="11"/>
  <c r="JU6" i="11"/>
  <c r="JT6" i="11"/>
  <c r="JS6" i="11"/>
  <c r="JR6" i="11"/>
  <c r="JQ6" i="11"/>
  <c r="JP6" i="11"/>
  <c r="JO6" i="11"/>
  <c r="JN6" i="11"/>
  <c r="JM6" i="11"/>
  <c r="JL6" i="11"/>
  <c r="JK6" i="11"/>
  <c r="JJ6" i="11"/>
  <c r="JI6" i="11"/>
  <c r="JH6" i="11"/>
  <c r="JG6" i="11"/>
  <c r="JF6" i="11"/>
  <c r="JE6" i="11"/>
  <c r="JD6" i="11"/>
  <c r="JC6" i="11"/>
  <c r="JB6" i="11"/>
  <c r="JA6" i="11"/>
  <c r="IZ6" i="11"/>
  <c r="IY6" i="11"/>
  <c r="IX6" i="11"/>
  <c r="IW6" i="11"/>
  <c r="IV6" i="11"/>
  <c r="IU6" i="11"/>
  <c r="IT6" i="11"/>
  <c r="IS6" i="11"/>
  <c r="IR6" i="11"/>
  <c r="IQ6" i="11"/>
  <c r="IP6" i="11"/>
  <c r="IO6" i="11"/>
  <c r="IL6" i="11"/>
  <c r="IK6" i="11"/>
  <c r="GE6" i="11"/>
  <c r="GD6" i="11"/>
  <c r="GC6" i="11"/>
  <c r="GB6" i="11"/>
  <c r="GA6" i="11"/>
  <c r="FZ6" i="11"/>
  <c r="FX6" i="11"/>
  <c r="FW6" i="11"/>
  <c r="FV6" i="11"/>
  <c r="FU6" i="11"/>
  <c r="FT6" i="11"/>
  <c r="FS6" i="11"/>
  <c r="FQ6" i="11"/>
  <c r="FN6" i="11"/>
  <c r="ET6" i="11"/>
  <c r="EP6" i="11"/>
  <c r="EK6" i="11"/>
  <c r="EF6" i="11"/>
  <c r="DZ6" i="11"/>
  <c r="DV6" i="11"/>
  <c r="DQ6" i="11"/>
  <c r="DL6" i="11"/>
  <c r="DF6" i="11"/>
  <c r="AX6" i="11"/>
  <c r="AW6" i="11"/>
  <c r="AV6" i="11"/>
  <c r="AU6" i="11"/>
  <c r="Q6" i="11"/>
  <c r="D6" i="11"/>
  <c r="B6" i="11"/>
  <c r="KF43" i="10"/>
  <c r="KB43" i="10"/>
  <c r="KA43" i="10"/>
  <c r="JZ43" i="10"/>
  <c r="JY43" i="10"/>
  <c r="JX43" i="10"/>
  <c r="JW43" i="10"/>
  <c r="JV43" i="10"/>
  <c r="JU43" i="10"/>
  <c r="JT43" i="10"/>
  <c r="JS43" i="10"/>
  <c r="JR43" i="10"/>
  <c r="JQ43" i="10"/>
  <c r="JP43" i="10"/>
  <c r="JO43" i="10"/>
  <c r="JN43" i="10"/>
  <c r="JM43" i="10"/>
  <c r="JL43" i="10"/>
  <c r="JK43" i="10"/>
  <c r="JJ43" i="10"/>
  <c r="JI43" i="10"/>
  <c r="JH43" i="10"/>
  <c r="JG43" i="10"/>
  <c r="JF43" i="10"/>
  <c r="JE43" i="10"/>
  <c r="JD43" i="10"/>
  <c r="JC43" i="10"/>
  <c r="JB43" i="10"/>
  <c r="JA43" i="10"/>
  <c r="IZ43" i="10"/>
  <c r="IY43" i="10"/>
  <c r="IX43" i="10"/>
  <c r="IW43" i="10"/>
  <c r="IV43" i="10"/>
  <c r="IU43" i="10"/>
  <c r="IT43" i="10"/>
  <c r="IS43" i="10"/>
  <c r="IR43" i="10"/>
  <c r="IQ43" i="10"/>
  <c r="IP43" i="10"/>
  <c r="IO43" i="10"/>
  <c r="IK43" i="10"/>
  <c r="IJ43" i="10"/>
  <c r="II43" i="10"/>
  <c r="IH43" i="10"/>
  <c r="IG43" i="10"/>
  <c r="IF43" i="10"/>
  <c r="IE43" i="10"/>
  <c r="ID43" i="10"/>
  <c r="IC43" i="10"/>
  <c r="IB43" i="10"/>
  <c r="IA43" i="10"/>
  <c r="HZ43" i="10"/>
  <c r="HY43" i="10"/>
  <c r="HW43" i="10"/>
  <c r="HV43" i="10"/>
  <c r="HU43" i="10"/>
  <c r="HT43" i="10"/>
  <c r="HS43" i="10"/>
  <c r="HR43" i="10"/>
  <c r="HQ43" i="10"/>
  <c r="HP43" i="10"/>
  <c r="HO43" i="10"/>
  <c r="HN43" i="10"/>
  <c r="HM43" i="10"/>
  <c r="HL43" i="10"/>
  <c r="HK43" i="10"/>
  <c r="HJ43" i="10"/>
  <c r="HI43" i="10"/>
  <c r="HH43" i="10"/>
  <c r="HG43" i="10"/>
  <c r="HF43" i="10"/>
  <c r="HE43" i="10"/>
  <c r="HD43" i="10"/>
  <c r="HC43" i="10"/>
  <c r="HB43" i="10"/>
  <c r="HA43" i="10"/>
  <c r="GZ43" i="10"/>
  <c r="GY43" i="10"/>
  <c r="GX43" i="10"/>
  <c r="GW43" i="10"/>
  <c r="GV43" i="10"/>
  <c r="GU43" i="10"/>
  <c r="GT43" i="10"/>
  <c r="GS43" i="10"/>
  <c r="GR43" i="10"/>
  <c r="GQ43" i="10"/>
  <c r="GP43" i="10"/>
  <c r="GO43" i="10"/>
  <c r="GN43" i="10"/>
  <c r="GM43" i="10"/>
  <c r="GL43" i="10"/>
  <c r="GK43" i="10"/>
  <c r="GJ43" i="10"/>
  <c r="GI43" i="10"/>
  <c r="GH43" i="10"/>
  <c r="FX43" i="10"/>
  <c r="FW43" i="10"/>
  <c r="FV43" i="10"/>
  <c r="FU43" i="10"/>
  <c r="FT43" i="10"/>
  <c r="FS43" i="10"/>
  <c r="FP43" i="10"/>
  <c r="FO43" i="10"/>
  <c r="FL43" i="10"/>
  <c r="FK43" i="10"/>
  <c r="FJ43" i="10"/>
  <c r="FI43" i="10"/>
  <c r="FH43" i="10"/>
  <c r="FG43" i="10"/>
  <c r="FF43" i="10"/>
  <c r="FE43" i="10"/>
  <c r="FD43" i="10"/>
  <c r="FC43" i="10"/>
  <c r="FB43" i="10"/>
  <c r="FA43" i="10"/>
  <c r="EZ43" i="10"/>
  <c r="EY43" i="10"/>
  <c r="EX43" i="10"/>
  <c r="EW43" i="10"/>
  <c r="EV43" i="10"/>
  <c r="ES43" i="10"/>
  <c r="ER43" i="10"/>
  <c r="EQ43" i="10"/>
  <c r="EO43" i="10"/>
  <c r="EN43" i="10"/>
  <c r="EM43" i="10"/>
  <c r="EJ43" i="10"/>
  <c r="EI43" i="10"/>
  <c r="EH43" i="10"/>
  <c r="EG43" i="10"/>
  <c r="EE43" i="10"/>
  <c r="ED43" i="10"/>
  <c r="EC43" i="10"/>
  <c r="EB43" i="10"/>
  <c r="DY43" i="10"/>
  <c r="DX43" i="10"/>
  <c r="DW43" i="10"/>
  <c r="DU43" i="10"/>
  <c r="DT43" i="10"/>
  <c r="DS43" i="10"/>
  <c r="DP43" i="10"/>
  <c r="DO43" i="10"/>
  <c r="DN43" i="10"/>
  <c r="DM43" i="10"/>
  <c r="DK43" i="10"/>
  <c r="DJ43" i="10"/>
  <c r="DI43" i="10"/>
  <c r="DH43" i="10"/>
  <c r="DE43" i="10"/>
  <c r="DD43" i="10"/>
  <c r="DC43" i="10"/>
  <c r="DB43" i="10"/>
  <c r="DA43" i="10"/>
  <c r="CZ43" i="10"/>
  <c r="CY43" i="10"/>
  <c r="CX43" i="10"/>
  <c r="CW43" i="10"/>
  <c r="CV43" i="10"/>
  <c r="CU43" i="10"/>
  <c r="CT43" i="10"/>
  <c r="CS43" i="10"/>
  <c r="CR43" i="10"/>
  <c r="CP43" i="10"/>
  <c r="CO43" i="10"/>
  <c r="CN43" i="10"/>
  <c r="CM43" i="10"/>
  <c r="CL43" i="10"/>
  <c r="CK43" i="10"/>
  <c r="CJ43" i="10"/>
  <c r="CI43" i="10"/>
  <c r="CH43" i="10"/>
  <c r="CG43" i="10"/>
  <c r="CF43" i="10"/>
  <c r="CE43" i="10"/>
  <c r="CD43" i="10"/>
  <c r="CC43" i="10"/>
  <c r="CB43" i="10"/>
  <c r="CA43" i="10"/>
  <c r="BZ43" i="10"/>
  <c r="BY43" i="10"/>
  <c r="BX43" i="10"/>
  <c r="BW43" i="10"/>
  <c r="BV43" i="10"/>
  <c r="BU43" i="10"/>
  <c r="BT43" i="10"/>
  <c r="BS43" i="10"/>
  <c r="BR43" i="10"/>
  <c r="BQ43" i="10"/>
  <c r="BP43" i="10"/>
  <c r="BO43" i="10"/>
  <c r="BM43" i="10"/>
  <c r="BL43" i="10"/>
  <c r="BK43" i="10"/>
  <c r="BJ43" i="10"/>
  <c r="BI43" i="10"/>
  <c r="BH43" i="10"/>
  <c r="BG43" i="10"/>
  <c r="BF43" i="10"/>
  <c r="BE43" i="10"/>
  <c r="BD43" i="10"/>
  <c r="BC43" i="10"/>
  <c r="BB43" i="10"/>
  <c r="BA43" i="10"/>
  <c r="AZ43" i="10"/>
  <c r="AS43" i="10"/>
  <c r="AR43" i="10"/>
  <c r="AQ43" i="10"/>
  <c r="AP43" i="10"/>
  <c r="AK43" i="10"/>
  <c r="AJ43" i="10"/>
  <c r="AI43" i="10"/>
  <c r="AH43" i="10"/>
  <c r="AG43" i="10"/>
  <c r="AF43" i="10"/>
  <c r="AE43" i="10"/>
  <c r="AD43" i="10"/>
  <c r="AC43" i="10"/>
  <c r="AB43" i="10"/>
  <c r="AA43" i="10"/>
  <c r="Z43" i="10"/>
  <c r="Y43" i="10"/>
  <c r="X43" i="10"/>
  <c r="W43" i="10"/>
  <c r="V43" i="10"/>
  <c r="U43" i="10"/>
  <c r="T43" i="10"/>
  <c r="S43" i="10"/>
  <c r="R43" i="10"/>
  <c r="Q43" i="10"/>
  <c r="Q42" i="10"/>
  <c r="A42" i="10"/>
  <c r="Q41" i="10"/>
  <c r="A41" i="10"/>
  <c r="Q40" i="10"/>
  <c r="A40" i="10"/>
  <c r="Q39" i="10"/>
  <c r="A39" i="10"/>
  <c r="Q38" i="10"/>
  <c r="A38" i="10"/>
  <c r="Q37" i="10"/>
  <c r="A37" i="10"/>
  <c r="Q36" i="10"/>
  <c r="A36" i="10"/>
  <c r="Q35" i="10"/>
  <c r="A35" i="10"/>
  <c r="Q34" i="10"/>
  <c r="A34" i="10"/>
  <c r="Q33" i="10"/>
  <c r="A33" i="10"/>
  <c r="Q32" i="10"/>
  <c r="A32" i="10"/>
  <c r="Q31" i="10"/>
  <c r="A31" i="10"/>
  <c r="Q30" i="10"/>
  <c r="A30" i="10"/>
  <c r="Q29" i="10"/>
  <c r="A29" i="10"/>
  <c r="Q28" i="10"/>
  <c r="A28" i="10"/>
  <c r="Q27" i="10"/>
  <c r="A27" i="10"/>
  <c r="Q26" i="10"/>
  <c r="A26" i="10"/>
  <c r="Q25" i="10"/>
  <c r="A25" i="10"/>
  <c r="Q24" i="10"/>
  <c r="A24" i="10"/>
  <c r="Q23" i="10"/>
  <c r="A23" i="10"/>
  <c r="Q22" i="10"/>
  <c r="A22" i="10"/>
  <c r="Q21" i="10"/>
  <c r="A21" i="10"/>
  <c r="Q20" i="10"/>
  <c r="A20" i="10"/>
  <c r="Q19" i="10"/>
  <c r="A19" i="10"/>
  <c r="Q18" i="10"/>
  <c r="A18" i="10"/>
  <c r="Q17" i="10"/>
  <c r="A17" i="10"/>
  <c r="Q16" i="10"/>
  <c r="A16" i="10"/>
  <c r="Q15" i="10"/>
  <c r="A15" i="10"/>
  <c r="Q14" i="10"/>
  <c r="A14" i="10"/>
  <c r="Q13" i="10"/>
  <c r="A13" i="10"/>
  <c r="Q12" i="10"/>
  <c r="A12" i="10"/>
  <c r="Q11" i="10"/>
  <c r="A11" i="10"/>
  <c r="Q10" i="10"/>
  <c r="A10" i="10"/>
  <c r="Q9" i="10"/>
  <c r="A9" i="10"/>
  <c r="Q8" i="10"/>
  <c r="A8" i="10"/>
  <c r="KJ6" i="10"/>
  <c r="KI6" i="10"/>
  <c r="KH6" i="10"/>
  <c r="KG6" i="10"/>
  <c r="KF6" i="10"/>
  <c r="KE6" i="10"/>
  <c r="KD6" i="10"/>
  <c r="KB6" i="10"/>
  <c r="KA6" i="10"/>
  <c r="JZ6" i="10"/>
  <c r="JY6" i="10"/>
  <c r="JX6" i="10"/>
  <c r="JW6" i="10"/>
  <c r="JV6" i="10"/>
  <c r="JU6" i="10"/>
  <c r="JT6" i="10"/>
  <c r="JS6" i="10"/>
  <c r="JR6" i="10"/>
  <c r="JQ6" i="10"/>
  <c r="JP6" i="10"/>
  <c r="JO6" i="10"/>
  <c r="JN6" i="10"/>
  <c r="JM6" i="10"/>
  <c r="JL6" i="10"/>
  <c r="JK6" i="10"/>
  <c r="JJ6" i="10"/>
  <c r="JI6" i="10"/>
  <c r="JH6" i="10"/>
  <c r="JG6" i="10"/>
  <c r="JF6" i="10"/>
  <c r="JE6" i="10"/>
  <c r="JD6" i="10"/>
  <c r="JC6" i="10"/>
  <c r="JB6" i="10"/>
  <c r="JA6" i="10"/>
  <c r="IZ6" i="10"/>
  <c r="IY6" i="10"/>
  <c r="IX6" i="10"/>
  <c r="IW6" i="10"/>
  <c r="IV6" i="10"/>
  <c r="IU6" i="10"/>
  <c r="IT6" i="10"/>
  <c r="IS6" i="10"/>
  <c r="IR6" i="10"/>
  <c r="IQ6" i="10"/>
  <c r="IP6" i="10"/>
  <c r="IO6" i="10"/>
  <c r="IL6" i="10"/>
  <c r="IK6" i="10"/>
  <c r="GE6" i="10"/>
  <c r="GD6" i="10"/>
  <c r="GC6" i="10"/>
  <c r="GB6" i="10"/>
  <c r="GA6" i="10"/>
  <c r="FZ6" i="10"/>
  <c r="FX6" i="10"/>
  <c r="FW6" i="10"/>
  <c r="FV6" i="10"/>
  <c r="FU6" i="10"/>
  <c r="FT6" i="10"/>
  <c r="FS6" i="10"/>
  <c r="FQ6" i="10"/>
  <c r="FN6" i="10"/>
  <c r="ET6" i="10"/>
  <c r="EP6" i="10"/>
  <c r="EK6" i="10"/>
  <c r="EF6" i="10"/>
  <c r="DZ6" i="10"/>
  <c r="DV6" i="10"/>
  <c r="DQ6" i="10"/>
  <c r="DL6" i="10"/>
  <c r="DF6" i="10"/>
  <c r="AX6" i="10"/>
  <c r="AW6" i="10"/>
  <c r="AV6" i="10"/>
  <c r="AU6" i="10"/>
  <c r="Q6" i="10"/>
  <c r="D6" i="10"/>
  <c r="B6" i="10"/>
  <c r="GF154" i="9"/>
  <c r="FX154" i="9"/>
  <c r="FV154" i="9"/>
  <c r="FT154" i="9"/>
  <c r="BM154" i="9"/>
  <c r="BL154" i="9"/>
  <c r="BK154" i="9"/>
  <c r="BJ154" i="9"/>
  <c r="BH154" i="9"/>
  <c r="EM154" i="9" s="1"/>
  <c r="HP154" i="9" s="1"/>
  <c r="BG154" i="9"/>
  <c r="EE154" i="9" s="1"/>
  <c r="HM154" i="9" s="1"/>
  <c r="BF154" i="9"/>
  <c r="BE154" i="9"/>
  <c r="GF153" i="9"/>
  <c r="FX153" i="9"/>
  <c r="FV153" i="9"/>
  <c r="FT153" i="9"/>
  <c r="BM153" i="9"/>
  <c r="EQ153" i="9" s="1"/>
  <c r="BL153" i="9"/>
  <c r="EI153" i="9" s="1"/>
  <c r="BK153" i="9"/>
  <c r="DW153" i="9" s="1"/>
  <c r="BJ153" i="9"/>
  <c r="BH153" i="9"/>
  <c r="BG153" i="9"/>
  <c r="EE153" i="9" s="1"/>
  <c r="HM153" i="9" s="1"/>
  <c r="BF153" i="9"/>
  <c r="BE153" i="9"/>
  <c r="GF152" i="9"/>
  <c r="FX152" i="9"/>
  <c r="FV152" i="9"/>
  <c r="FT152" i="9"/>
  <c r="BM152" i="9"/>
  <c r="EQ152" i="9" s="1"/>
  <c r="BL152" i="9"/>
  <c r="BK152" i="9"/>
  <c r="BJ152" i="9"/>
  <c r="BH152" i="9"/>
  <c r="BG152" i="9"/>
  <c r="EC152" i="9" s="1"/>
  <c r="HG152" i="9" s="1"/>
  <c r="BF152" i="9"/>
  <c r="DU152" i="9" s="1"/>
  <c r="HA152" i="9" s="1"/>
  <c r="BE152" i="9"/>
  <c r="GF151" i="9"/>
  <c r="FX151" i="9"/>
  <c r="FV151" i="9"/>
  <c r="FT151" i="9"/>
  <c r="BM151" i="9"/>
  <c r="EQ151" i="9" s="1"/>
  <c r="BL151" i="9"/>
  <c r="EJ151" i="9" s="1"/>
  <c r="BK151" i="9"/>
  <c r="DW151" i="9" s="1"/>
  <c r="BJ151" i="9"/>
  <c r="DN151" i="9" s="1"/>
  <c r="BH151" i="9"/>
  <c r="BG151" i="9"/>
  <c r="BF151" i="9"/>
  <c r="DS151" i="9" s="1"/>
  <c r="GU151" i="9" s="1"/>
  <c r="BE151" i="9"/>
  <c r="GF150" i="9"/>
  <c r="FX150" i="9"/>
  <c r="FV150" i="9"/>
  <c r="FT150" i="9"/>
  <c r="BM150" i="9"/>
  <c r="BL150" i="9"/>
  <c r="EH150" i="9" s="1"/>
  <c r="BK150" i="9"/>
  <c r="T22" i="12" s="1"/>
  <c r="BJ150" i="9"/>
  <c r="BH150" i="9"/>
  <c r="BG150" i="9"/>
  <c r="EB150" i="9" s="1"/>
  <c r="HD150" i="9" s="1"/>
  <c r="U106" i="25" s="1"/>
  <c r="BF150" i="9"/>
  <c r="DS150" i="9" s="1"/>
  <c r="GU150" i="9" s="1"/>
  <c r="BE150" i="9"/>
  <c r="GF149" i="9"/>
  <c r="FX149" i="9"/>
  <c r="FV149" i="9"/>
  <c r="FT149" i="9"/>
  <c r="BM149" i="9"/>
  <c r="BL149" i="9"/>
  <c r="BK149" i="9"/>
  <c r="BJ149" i="9"/>
  <c r="DN149" i="9" s="1"/>
  <c r="BH149" i="9"/>
  <c r="EO149" i="9" s="1"/>
  <c r="HV149" i="9" s="1"/>
  <c r="V88" i="26" s="1"/>
  <c r="BG149" i="9"/>
  <c r="EB149" i="9" s="1"/>
  <c r="HD149" i="9" s="1"/>
  <c r="BF149" i="9"/>
  <c r="DT149" i="9" s="1"/>
  <c r="GX149" i="9" s="1"/>
  <c r="U104" i="24" s="1"/>
  <c r="BE149" i="9"/>
  <c r="DK149" i="9" s="1"/>
  <c r="GR149" i="9" s="1"/>
  <c r="GF148" i="9"/>
  <c r="FX148" i="9"/>
  <c r="FV148" i="9"/>
  <c r="FT148" i="9"/>
  <c r="BM148" i="9"/>
  <c r="ER148" i="9" s="1"/>
  <c r="BL148" i="9"/>
  <c r="EG148" i="9" s="1"/>
  <c r="BK148" i="9"/>
  <c r="BJ148" i="9"/>
  <c r="BH148" i="9"/>
  <c r="EN148" i="9" s="1"/>
  <c r="HS148" i="9" s="1"/>
  <c r="BG148" i="9"/>
  <c r="BF148" i="9"/>
  <c r="BE148" i="9"/>
  <c r="GF147" i="9"/>
  <c r="FX147" i="9"/>
  <c r="FV147" i="9"/>
  <c r="FT147" i="9"/>
  <c r="BH147" i="9"/>
  <c r="EO147" i="9" s="1"/>
  <c r="BG147" i="9"/>
  <c r="ED147" i="9" s="1"/>
  <c r="BF147" i="9"/>
  <c r="BE147" i="9"/>
  <c r="DK147" i="9" s="1"/>
  <c r="AG147" i="9"/>
  <c r="AH147" i="9" s="1"/>
  <c r="AI147" i="9" s="1"/>
  <c r="AJ147" i="9" s="1"/>
  <c r="AK147" i="9" s="1"/>
  <c r="BK147" i="9" s="1"/>
  <c r="AB147" i="9"/>
  <c r="AC147" i="9" s="1"/>
  <c r="AD147" i="9" s="1"/>
  <c r="AE147" i="9" s="1"/>
  <c r="W147" i="9"/>
  <c r="X147" i="9" s="1"/>
  <c r="GF146" i="9"/>
  <c r="FX146" i="9"/>
  <c r="FV146" i="9"/>
  <c r="FT146" i="9"/>
  <c r="BM146" i="9"/>
  <c r="BL146" i="9"/>
  <c r="EI146" i="9" s="1"/>
  <c r="BK146" i="9"/>
  <c r="T84" i="12" s="1"/>
  <c r="BJ146" i="9"/>
  <c r="DN146" i="9" s="1"/>
  <c r="BH146" i="9"/>
  <c r="EO146" i="9" s="1"/>
  <c r="BG146" i="9"/>
  <c r="EE146" i="9" s="1"/>
  <c r="BF146" i="9"/>
  <c r="DU146" i="9" s="1"/>
  <c r="HA146" i="9" s="1"/>
  <c r="BE146" i="9"/>
  <c r="W146" i="9"/>
  <c r="X146" i="9" s="1"/>
  <c r="Y146" i="9" s="1"/>
  <c r="GF145" i="9"/>
  <c r="FX145" i="9"/>
  <c r="FV145" i="9"/>
  <c r="FT145" i="9"/>
  <c r="BM145" i="9"/>
  <c r="ES145" i="9" s="1"/>
  <c r="BL145" i="9"/>
  <c r="BK145" i="9"/>
  <c r="DY145" i="9" s="1"/>
  <c r="BJ145" i="9"/>
  <c r="BH145" i="9"/>
  <c r="BG145" i="9"/>
  <c r="BF145" i="9"/>
  <c r="DU145" i="9" s="1"/>
  <c r="HA145" i="9" s="1"/>
  <c r="BE145" i="9"/>
  <c r="GF144" i="9"/>
  <c r="FX144" i="9"/>
  <c r="FV144" i="9"/>
  <c r="FT144" i="9"/>
  <c r="BM144" i="9"/>
  <c r="ES144" i="9" s="1"/>
  <c r="BL144" i="9"/>
  <c r="BK144" i="9"/>
  <c r="DY144" i="9" s="1"/>
  <c r="BJ144" i="9"/>
  <c r="BH144" i="9"/>
  <c r="EN144" i="9" s="1"/>
  <c r="HS144" i="9" s="1"/>
  <c r="BG144" i="9"/>
  <c r="BF144" i="9"/>
  <c r="DT144" i="9" s="1"/>
  <c r="GX144" i="9" s="1"/>
  <c r="BE144" i="9"/>
  <c r="AG144" i="9"/>
  <c r="AH144" i="9" s="1"/>
  <c r="AI144" i="9" s="1"/>
  <c r="AJ144" i="9" s="1"/>
  <c r="AB144" i="9"/>
  <c r="AC144" i="9" s="1"/>
  <c r="AD144" i="9" s="1"/>
  <c r="AE144" i="9" s="1"/>
  <c r="GF143" i="9"/>
  <c r="FX143" i="9"/>
  <c r="FV143" i="9"/>
  <c r="FT143" i="9"/>
  <c r="BM143" i="9"/>
  <c r="BL143" i="9"/>
  <c r="BK143" i="9"/>
  <c r="DW143" i="9" s="1"/>
  <c r="BJ143" i="9"/>
  <c r="BH143" i="9"/>
  <c r="BG143" i="9"/>
  <c r="BF143" i="9"/>
  <c r="DU143" i="9" s="1"/>
  <c r="HA143" i="9" s="1"/>
  <c r="BE143" i="9"/>
  <c r="DJ143" i="9" s="1"/>
  <c r="GO143" i="9" s="1"/>
  <c r="GF142" i="9"/>
  <c r="FX142" i="9"/>
  <c r="FV142" i="9"/>
  <c r="FT142" i="9"/>
  <c r="BM142" i="9"/>
  <c r="ER142" i="9" s="1"/>
  <c r="BL142" i="9"/>
  <c r="W96" i="12" s="1"/>
  <c r="BK142" i="9"/>
  <c r="BJ142" i="9"/>
  <c r="BH142" i="9"/>
  <c r="EM142" i="9" s="1"/>
  <c r="HP142" i="9" s="1"/>
  <c r="BG142" i="9"/>
  <c r="EB142" i="9" s="1"/>
  <c r="BF142" i="9"/>
  <c r="BE142" i="9"/>
  <c r="AG142" i="9"/>
  <c r="AH142" i="9" s="1"/>
  <c r="AI142" i="9" s="1"/>
  <c r="AJ142" i="9" s="1"/>
  <c r="AB142" i="9"/>
  <c r="AC142" i="9" s="1"/>
  <c r="GF141" i="9"/>
  <c r="FX141" i="9"/>
  <c r="FV141" i="9"/>
  <c r="FT141" i="9"/>
  <c r="BM141" i="9"/>
  <c r="Z104" i="12" s="1"/>
  <c r="BL141" i="9"/>
  <c r="BK141" i="9"/>
  <c r="BJ141" i="9"/>
  <c r="BH141" i="9"/>
  <c r="EM141" i="9" s="1"/>
  <c r="HP141" i="9" s="1"/>
  <c r="T97" i="26" s="1"/>
  <c r="BG141" i="9"/>
  <c r="EB141" i="9" s="1"/>
  <c r="HD141" i="9" s="1"/>
  <c r="BF141" i="9"/>
  <c r="DT141" i="9" s="1"/>
  <c r="GX141" i="9" s="1"/>
  <c r="U66" i="24" s="1"/>
  <c r="BE141" i="9"/>
  <c r="GF140" i="9"/>
  <c r="FX140" i="9"/>
  <c r="FV140" i="9"/>
  <c r="FT140" i="9"/>
  <c r="BM140" i="9"/>
  <c r="BL140" i="9"/>
  <c r="BK140" i="9"/>
  <c r="DW140" i="9" s="1"/>
  <c r="BJ140" i="9"/>
  <c r="DN140" i="9" s="1"/>
  <c r="BH140" i="9"/>
  <c r="EO140" i="9" s="1"/>
  <c r="HV140" i="9" s="1"/>
  <c r="BG140" i="9"/>
  <c r="EB140" i="9" s="1"/>
  <c r="HD140" i="9" s="1"/>
  <c r="BF140" i="9"/>
  <c r="BE140" i="9"/>
  <c r="GF139" i="9"/>
  <c r="FX139" i="9"/>
  <c r="FV139" i="9"/>
  <c r="FT139" i="9"/>
  <c r="BM139" i="9"/>
  <c r="EQ139" i="9" s="1"/>
  <c r="BL139" i="9"/>
  <c r="BK139" i="9"/>
  <c r="T93" i="12" s="1"/>
  <c r="BJ139" i="9"/>
  <c r="DP139" i="9" s="1"/>
  <c r="BH139" i="9"/>
  <c r="BG139" i="9"/>
  <c r="ED139" i="9" s="1"/>
  <c r="BF139" i="9"/>
  <c r="BE139" i="9"/>
  <c r="W139" i="9"/>
  <c r="X139" i="9" s="1"/>
  <c r="Y139" i="9" s="1"/>
  <c r="GF138" i="9"/>
  <c r="FX138" i="9"/>
  <c r="FV138" i="9"/>
  <c r="FT138" i="9"/>
  <c r="BM138" i="9"/>
  <c r="BL138" i="9"/>
  <c r="BK138" i="9"/>
  <c r="BJ138" i="9"/>
  <c r="BH138" i="9"/>
  <c r="BG138" i="9"/>
  <c r="BF138" i="9"/>
  <c r="BE138" i="9"/>
  <c r="DK138" i="9" s="1"/>
  <c r="GR138" i="9" s="1"/>
  <c r="GF137" i="9"/>
  <c r="FX137" i="9"/>
  <c r="FV137" i="9"/>
  <c r="FT137" i="9"/>
  <c r="BM137" i="9"/>
  <c r="ES137" i="9" s="1"/>
  <c r="BL137" i="9"/>
  <c r="EI137" i="9" s="1"/>
  <c r="BK137" i="9"/>
  <c r="BJ137" i="9"/>
  <c r="BH137" i="9"/>
  <c r="BG137" i="9"/>
  <c r="BF137" i="9"/>
  <c r="DS137" i="9" s="1"/>
  <c r="GU137" i="9" s="1"/>
  <c r="BE137" i="9"/>
  <c r="GF136" i="9"/>
  <c r="FX136" i="9"/>
  <c r="FV136" i="9"/>
  <c r="FT136" i="9"/>
  <c r="BM136" i="9"/>
  <c r="Z91" i="12" s="1"/>
  <c r="BL136" i="9"/>
  <c r="BK136" i="9"/>
  <c r="T91" i="12" s="1"/>
  <c r="BJ136" i="9"/>
  <c r="DO136" i="9" s="1"/>
  <c r="BH136" i="9"/>
  <c r="BG136" i="9"/>
  <c r="EB136" i="9" s="1"/>
  <c r="BF136" i="9"/>
  <c r="DS136" i="9" s="1"/>
  <c r="GU136" i="9" s="1"/>
  <c r="BE136" i="9"/>
  <c r="DK136" i="9" s="1"/>
  <c r="AB136" i="9"/>
  <c r="AC136" i="9" s="1"/>
  <c r="AD136" i="9" s="1"/>
  <c r="AE136" i="9" s="1"/>
  <c r="W136" i="9"/>
  <c r="X136" i="9" s="1"/>
  <c r="Y136" i="9" s="1"/>
  <c r="Z136" i="9" s="1"/>
  <c r="GF135" i="9"/>
  <c r="FX135" i="9"/>
  <c r="FV135" i="9"/>
  <c r="FT135" i="9"/>
  <c r="BM135" i="9"/>
  <c r="BL135" i="9"/>
  <c r="BK135" i="9"/>
  <c r="BJ135" i="9"/>
  <c r="DO135" i="9" s="1"/>
  <c r="BH135" i="9"/>
  <c r="BG135" i="9"/>
  <c r="EC135" i="9" s="1"/>
  <c r="HG135" i="9" s="1"/>
  <c r="V66" i="25" s="1"/>
  <c r="BF135" i="9"/>
  <c r="BE135" i="9"/>
  <c r="DK135" i="9" s="1"/>
  <c r="GR135" i="9" s="1"/>
  <c r="GF134" i="9"/>
  <c r="FX134" i="9"/>
  <c r="FV134" i="9"/>
  <c r="FT134" i="9"/>
  <c r="BM134" i="9"/>
  <c r="BL134" i="9"/>
  <c r="W92" i="12" s="1"/>
  <c r="BK134" i="9"/>
  <c r="DY134" i="9" s="1"/>
  <c r="BJ134" i="9"/>
  <c r="DN134" i="9" s="1"/>
  <c r="BH134" i="9"/>
  <c r="EO134" i="9" s="1"/>
  <c r="BG134" i="9"/>
  <c r="BF134" i="9"/>
  <c r="BE134" i="9"/>
  <c r="AB134" i="9"/>
  <c r="AC134" i="9" s="1"/>
  <c r="AD134" i="9" s="1"/>
  <c r="AE134" i="9" s="1"/>
  <c r="W134" i="9"/>
  <c r="X134" i="9" s="1"/>
  <c r="Y134" i="9" s="1"/>
  <c r="Z134" i="9" s="1"/>
  <c r="GF133" i="9"/>
  <c r="FX133" i="9"/>
  <c r="FV133" i="9"/>
  <c r="FT133" i="9"/>
  <c r="BM133" i="9"/>
  <c r="BL133" i="9"/>
  <c r="EG133" i="9" s="1"/>
  <c r="BK133" i="9"/>
  <c r="BJ133" i="9"/>
  <c r="BH133" i="9"/>
  <c r="BG133" i="9"/>
  <c r="EC133" i="9" s="1"/>
  <c r="BF133" i="9"/>
  <c r="DT133" i="9" s="1"/>
  <c r="GX133" i="9" s="1"/>
  <c r="U96" i="24" s="1"/>
  <c r="BE133" i="9"/>
  <c r="AG133" i="9"/>
  <c r="AH133" i="9" s="1"/>
  <c r="AI133" i="9" s="1"/>
  <c r="AJ133" i="9" s="1"/>
  <c r="AB133" i="9"/>
  <c r="AC133" i="9" s="1"/>
  <c r="AD133" i="9" s="1"/>
  <c r="AE133" i="9" s="1"/>
  <c r="W133" i="9"/>
  <c r="X133" i="9" s="1"/>
  <c r="Y133" i="9" s="1"/>
  <c r="Z133" i="9" s="1"/>
  <c r="GF132" i="9"/>
  <c r="FX132" i="9"/>
  <c r="FV132" i="9"/>
  <c r="FT132" i="9"/>
  <c r="BM132" i="9"/>
  <c r="ER132" i="9" s="1"/>
  <c r="BL132" i="9"/>
  <c r="BK132" i="9"/>
  <c r="BJ132" i="9"/>
  <c r="BH132" i="9"/>
  <c r="BG132" i="9"/>
  <c r="EB132" i="9" s="1"/>
  <c r="BF132" i="9"/>
  <c r="DU132" i="9" s="1"/>
  <c r="BE132" i="9"/>
  <c r="DJ132" i="9" s="1"/>
  <c r="AG132" i="9"/>
  <c r="AH132" i="9" s="1"/>
  <c r="AI132" i="9" s="1"/>
  <c r="AJ132" i="9" s="1"/>
  <c r="AB132" i="9"/>
  <c r="AC132" i="9" s="1"/>
  <c r="AD132" i="9" s="1"/>
  <c r="AE132" i="9" s="1"/>
  <c r="W132" i="9"/>
  <c r="X132" i="9" s="1"/>
  <c r="Y132" i="9" s="1"/>
  <c r="Z132" i="9" s="1"/>
  <c r="GF131" i="9"/>
  <c r="FX131" i="9"/>
  <c r="FV131" i="9"/>
  <c r="FT131" i="9"/>
  <c r="BM131" i="9"/>
  <c r="EQ131" i="9" s="1"/>
  <c r="BL131" i="9"/>
  <c r="BK131" i="9"/>
  <c r="DX131" i="9" s="1"/>
  <c r="BJ131" i="9"/>
  <c r="BH131" i="9"/>
  <c r="EN131" i="9" s="1"/>
  <c r="HS131" i="9" s="1"/>
  <c r="BG131" i="9"/>
  <c r="ED131" i="9" s="1"/>
  <c r="HJ131" i="9" s="1"/>
  <c r="BF131" i="9"/>
  <c r="BE131" i="9"/>
  <c r="GF130" i="9"/>
  <c r="FX130" i="9"/>
  <c r="FV130" i="9"/>
  <c r="FT130" i="9"/>
  <c r="BM130" i="9"/>
  <c r="BL130" i="9"/>
  <c r="EG130" i="9" s="1"/>
  <c r="BK130" i="9"/>
  <c r="DW130" i="9" s="1"/>
  <c r="BJ130" i="9"/>
  <c r="DM130" i="9" s="1"/>
  <c r="BH130" i="9"/>
  <c r="BG130" i="9"/>
  <c r="EE130" i="9" s="1"/>
  <c r="HM130" i="9" s="1"/>
  <c r="BF130" i="9"/>
  <c r="DS130" i="9" s="1"/>
  <c r="GU130" i="9" s="1"/>
  <c r="BE130" i="9"/>
  <c r="DJ130" i="9" s="1"/>
  <c r="GO130" i="9" s="1"/>
  <c r="GF129" i="9"/>
  <c r="FX129" i="9"/>
  <c r="FV129" i="9"/>
  <c r="FT129" i="9"/>
  <c r="BM129" i="9"/>
  <c r="BL129" i="9"/>
  <c r="EI129" i="9" s="1"/>
  <c r="BK129" i="9"/>
  <c r="DX129" i="9" s="1"/>
  <c r="BJ129" i="9"/>
  <c r="DM129" i="9" s="1"/>
  <c r="BH129" i="9"/>
  <c r="EO129" i="9" s="1"/>
  <c r="HV129" i="9" s="1"/>
  <c r="BG129" i="9"/>
  <c r="EE129" i="9" s="1"/>
  <c r="HM129" i="9" s="1"/>
  <c r="BF129" i="9"/>
  <c r="BE129" i="9"/>
  <c r="DK129" i="9" s="1"/>
  <c r="GR129" i="9" s="1"/>
  <c r="GF128" i="9"/>
  <c r="FX128" i="9"/>
  <c r="FV128" i="9"/>
  <c r="FT128" i="9"/>
  <c r="BM128" i="9"/>
  <c r="BL128" i="9"/>
  <c r="EI128" i="9" s="1"/>
  <c r="BK128" i="9"/>
  <c r="DW128" i="9" s="1"/>
  <c r="BJ128" i="9"/>
  <c r="BH128" i="9"/>
  <c r="BG128" i="9"/>
  <c r="BF128" i="9"/>
  <c r="DU128" i="9" s="1"/>
  <c r="HA128" i="9" s="1"/>
  <c r="BE128" i="9"/>
  <c r="GF127" i="9"/>
  <c r="FX127" i="9"/>
  <c r="FV127" i="9"/>
  <c r="FT127" i="9"/>
  <c r="BM127" i="9"/>
  <c r="ER127" i="9" s="1"/>
  <c r="BL127" i="9"/>
  <c r="EJ127" i="9" s="1"/>
  <c r="BK127" i="9"/>
  <c r="BJ127" i="9"/>
  <c r="DM127" i="9" s="1"/>
  <c r="BH127" i="9"/>
  <c r="EN127" i="9" s="1"/>
  <c r="HS127" i="9" s="1"/>
  <c r="BG127" i="9"/>
  <c r="ED127" i="9" s="1"/>
  <c r="BF127" i="9"/>
  <c r="DS127" i="9" s="1"/>
  <c r="GU127" i="9" s="1"/>
  <c r="BE127" i="9"/>
  <c r="AG127" i="9"/>
  <c r="AH127" i="9" s="1"/>
  <c r="AI127" i="9" s="1"/>
  <c r="AJ127" i="9" s="1"/>
  <c r="AB127" i="9"/>
  <c r="AC127" i="9" s="1"/>
  <c r="AD127" i="9" s="1"/>
  <c r="AE127" i="9" s="1"/>
  <c r="GF126" i="9"/>
  <c r="FX126" i="9"/>
  <c r="FV126" i="9"/>
  <c r="FT126" i="9"/>
  <c r="BM126" i="9"/>
  <c r="ES126" i="9" s="1"/>
  <c r="BL126" i="9"/>
  <c r="EH126" i="9" s="1"/>
  <c r="BK126" i="9"/>
  <c r="DW126" i="9" s="1"/>
  <c r="BJ126" i="9"/>
  <c r="DP126" i="9" s="1"/>
  <c r="BH126" i="9"/>
  <c r="BG126" i="9"/>
  <c r="ED126" i="9" s="1"/>
  <c r="HJ126" i="9" s="1"/>
  <c r="BF126" i="9"/>
  <c r="BE126" i="9"/>
  <c r="DK126" i="9" s="1"/>
  <c r="GR126" i="9" s="1"/>
  <c r="GF125" i="9"/>
  <c r="FX125" i="9"/>
  <c r="FV125" i="9"/>
  <c r="FT125" i="9"/>
  <c r="BM125" i="9"/>
  <c r="Z38" i="12" s="1"/>
  <c r="BL125" i="9"/>
  <c r="EG125" i="9" s="1"/>
  <c r="BK125" i="9"/>
  <c r="T38" i="12" s="1"/>
  <c r="BJ125" i="9"/>
  <c r="BH125" i="9"/>
  <c r="BG125" i="9"/>
  <c r="ED125" i="9" s="1"/>
  <c r="HJ125" i="9" s="1"/>
  <c r="BF125" i="9"/>
  <c r="BE125" i="9"/>
  <c r="DJ125" i="9" s="1"/>
  <c r="GO125" i="9" s="1"/>
  <c r="GF124" i="9"/>
  <c r="FX124" i="9"/>
  <c r="FV124" i="9"/>
  <c r="FT124" i="9"/>
  <c r="BM124" i="9"/>
  <c r="ER124" i="9" s="1"/>
  <c r="BL124" i="9"/>
  <c r="EJ124" i="9" s="1"/>
  <c r="BK124" i="9"/>
  <c r="DW124" i="9" s="1"/>
  <c r="BJ124" i="9"/>
  <c r="BH124" i="9"/>
  <c r="BG124" i="9"/>
  <c r="EE124" i="9" s="1"/>
  <c r="BF124" i="9"/>
  <c r="BE124" i="9"/>
  <c r="AH124" i="9"/>
  <c r="AI124" i="9" s="1"/>
  <c r="AJ124" i="9" s="1"/>
  <c r="W124" i="9"/>
  <c r="X124" i="9" s="1"/>
  <c r="Y124" i="9" s="1"/>
  <c r="Z124" i="9" s="1"/>
  <c r="GF123" i="9"/>
  <c r="FX123" i="9"/>
  <c r="FV123" i="9"/>
  <c r="FT123" i="9"/>
  <c r="BM123" i="9"/>
  <c r="EQ123" i="9" s="1"/>
  <c r="BL123" i="9"/>
  <c r="EJ123" i="9" s="1"/>
  <c r="BK123" i="9"/>
  <c r="BJ123" i="9"/>
  <c r="DP123" i="9" s="1"/>
  <c r="BH123" i="9"/>
  <c r="BG123" i="9"/>
  <c r="BF123" i="9"/>
  <c r="DT123" i="9" s="1"/>
  <c r="GX123" i="9" s="1"/>
  <c r="BE123" i="9"/>
  <c r="DK123" i="9" s="1"/>
  <c r="GR123" i="9" s="1"/>
  <c r="X55" i="23" s="1"/>
  <c r="GF122" i="9"/>
  <c r="FX122" i="9"/>
  <c r="FV122" i="9"/>
  <c r="FT122" i="9"/>
  <c r="BM122" i="9"/>
  <c r="ES122" i="9" s="1"/>
  <c r="BL122" i="9"/>
  <c r="BK122" i="9"/>
  <c r="BJ122" i="9"/>
  <c r="DM122" i="9" s="1"/>
  <c r="BH122" i="9"/>
  <c r="EM122" i="9" s="1"/>
  <c r="BG122" i="9"/>
  <c r="EE122" i="9" s="1"/>
  <c r="BF122" i="9"/>
  <c r="BE122" i="9"/>
  <c r="DI122" i="9" s="1"/>
  <c r="GL122" i="9" s="1"/>
  <c r="AG122" i="9"/>
  <c r="AH122" i="9" s="1"/>
  <c r="AI122" i="9" s="1"/>
  <c r="AJ122" i="9" s="1"/>
  <c r="AB122" i="9"/>
  <c r="GF121" i="9"/>
  <c r="FX121" i="9"/>
  <c r="FV121" i="9"/>
  <c r="FT121" i="9"/>
  <c r="BM121" i="9"/>
  <c r="BL121" i="9"/>
  <c r="BK121" i="9"/>
  <c r="BJ121" i="9"/>
  <c r="BH121" i="9"/>
  <c r="BG121" i="9"/>
  <c r="BF121" i="9"/>
  <c r="BE121" i="9"/>
  <c r="DI121" i="9" s="1"/>
  <c r="GL121" i="9" s="1"/>
  <c r="V86" i="23" s="1"/>
  <c r="GF120" i="9"/>
  <c r="FX120" i="9"/>
  <c r="FV120" i="9"/>
  <c r="FT120" i="9"/>
  <c r="BM120" i="9"/>
  <c r="BL120" i="9"/>
  <c r="EH120" i="9" s="1"/>
  <c r="BK120" i="9"/>
  <c r="BJ120" i="9"/>
  <c r="DM120" i="9" s="1"/>
  <c r="BH120" i="9"/>
  <c r="EO120" i="9" s="1"/>
  <c r="HV120" i="9" s="1"/>
  <c r="V37" i="26" s="1"/>
  <c r="BG120" i="9"/>
  <c r="EE120" i="9" s="1"/>
  <c r="HM120" i="9" s="1"/>
  <c r="X28" i="25" s="1"/>
  <c r="BF120" i="9"/>
  <c r="DT120" i="9" s="1"/>
  <c r="GX120" i="9" s="1"/>
  <c r="BE120" i="9"/>
  <c r="DI120" i="9" s="1"/>
  <c r="GL120" i="9" s="1"/>
  <c r="GF119" i="9"/>
  <c r="FX119" i="9"/>
  <c r="FV119" i="9"/>
  <c r="FT119" i="9"/>
  <c r="BM119" i="9"/>
  <c r="ES119" i="9" s="1"/>
  <c r="BL119" i="9"/>
  <c r="EJ119" i="9" s="1"/>
  <c r="BK119" i="9"/>
  <c r="DY119" i="9" s="1"/>
  <c r="BJ119" i="9"/>
  <c r="DO119" i="9" s="1"/>
  <c r="BH119" i="9"/>
  <c r="EM119" i="9" s="1"/>
  <c r="HP119" i="9" s="1"/>
  <c r="BG119" i="9"/>
  <c r="EB119" i="9" s="1"/>
  <c r="HD119" i="9" s="1"/>
  <c r="BF119" i="9"/>
  <c r="DT119" i="9" s="1"/>
  <c r="GX119" i="9" s="1"/>
  <c r="BE119" i="9"/>
  <c r="GF118" i="9"/>
  <c r="FX118" i="9"/>
  <c r="FV118" i="9"/>
  <c r="FT118" i="9"/>
  <c r="BM118" i="9"/>
  <c r="EQ118" i="9" s="1"/>
  <c r="BL118" i="9"/>
  <c r="BK118" i="9"/>
  <c r="DW118" i="9" s="1"/>
  <c r="BJ118" i="9"/>
  <c r="BH118" i="9"/>
  <c r="BG118" i="9"/>
  <c r="EC118" i="9" s="1"/>
  <c r="HG118" i="9" s="1"/>
  <c r="V80" i="25" s="1"/>
  <c r="BF118" i="9"/>
  <c r="BE118" i="9"/>
  <c r="GF117" i="9"/>
  <c r="FX117" i="9"/>
  <c r="FV117" i="9"/>
  <c r="FT117" i="9"/>
  <c r="BM117" i="9"/>
  <c r="BL117" i="9"/>
  <c r="EJ117" i="9" s="1"/>
  <c r="BK117" i="9"/>
  <c r="DX117" i="9" s="1"/>
  <c r="BJ117" i="9"/>
  <c r="BH117" i="9"/>
  <c r="EM117" i="9" s="1"/>
  <c r="HP117" i="9" s="1"/>
  <c r="BG117" i="9"/>
  <c r="EC117" i="9" s="1"/>
  <c r="HG117" i="9" s="1"/>
  <c r="V86" i="25" s="1"/>
  <c r="BF117" i="9"/>
  <c r="BE117" i="9"/>
  <c r="DI117" i="9" s="1"/>
  <c r="GL117" i="9" s="1"/>
  <c r="GF116" i="9"/>
  <c r="FX116" i="9"/>
  <c r="FV116" i="9"/>
  <c r="FT116" i="9"/>
  <c r="BM116" i="9"/>
  <c r="ES116" i="9" s="1"/>
  <c r="BL116" i="9"/>
  <c r="BK116" i="9"/>
  <c r="DY116" i="9" s="1"/>
  <c r="BJ116" i="9"/>
  <c r="BH116" i="9"/>
  <c r="BG116" i="9"/>
  <c r="BF116" i="9"/>
  <c r="BE116" i="9"/>
  <c r="GF115" i="9"/>
  <c r="FX115" i="9"/>
  <c r="FV115" i="9"/>
  <c r="FT115" i="9"/>
  <c r="BM115" i="9"/>
  <c r="BL115" i="9"/>
  <c r="BK115" i="9"/>
  <c r="DY115" i="9" s="1"/>
  <c r="BJ115" i="9"/>
  <c r="DN115" i="9" s="1"/>
  <c r="BH115" i="9"/>
  <c r="EN115" i="9" s="1"/>
  <c r="HS115" i="9" s="1"/>
  <c r="U64" i="26" s="1"/>
  <c r="BG115" i="9"/>
  <c r="EE115" i="9" s="1"/>
  <c r="HM115" i="9" s="1"/>
  <c r="X49" i="25" s="1"/>
  <c r="BF115" i="9"/>
  <c r="BE115" i="9"/>
  <c r="DJ115" i="9" s="1"/>
  <c r="GO115" i="9" s="1"/>
  <c r="W61" i="23" s="1"/>
  <c r="GF114" i="9"/>
  <c r="FX114" i="9"/>
  <c r="FV114" i="9"/>
  <c r="FT114" i="9"/>
  <c r="BM114" i="9"/>
  <c r="Z49" i="12" s="1"/>
  <c r="BL114" i="9"/>
  <c r="BK114" i="9"/>
  <c r="T49" i="12" s="1"/>
  <c r="BJ114" i="9"/>
  <c r="DP114" i="9" s="1"/>
  <c r="BH114" i="9"/>
  <c r="EO114" i="9" s="1"/>
  <c r="HV114" i="9" s="1"/>
  <c r="V74" i="26" s="1"/>
  <c r="BG114" i="9"/>
  <c r="BF114" i="9"/>
  <c r="DU114" i="9" s="1"/>
  <c r="HA114" i="9" s="1"/>
  <c r="BE114" i="9"/>
  <c r="GF113" i="9"/>
  <c r="FX113" i="9"/>
  <c r="FV113" i="9"/>
  <c r="FT113" i="9"/>
  <c r="BM113" i="9"/>
  <c r="BL113" i="9"/>
  <c r="EH113" i="9" s="1"/>
  <c r="BK113" i="9"/>
  <c r="BJ113" i="9"/>
  <c r="BH113" i="9"/>
  <c r="BG113" i="9"/>
  <c r="BF113" i="9"/>
  <c r="DT113" i="9" s="1"/>
  <c r="GX113" i="9" s="1"/>
  <c r="BE113" i="9"/>
  <c r="DK113" i="9" s="1"/>
  <c r="GR113" i="9" s="1"/>
  <c r="X13" i="23" s="1"/>
  <c r="GF112" i="9"/>
  <c r="FX112" i="9"/>
  <c r="FV112" i="9"/>
  <c r="FT112" i="9"/>
  <c r="BM112" i="9"/>
  <c r="ES112" i="9" s="1"/>
  <c r="BL112" i="9"/>
  <c r="EG112" i="9" s="1"/>
  <c r="BK112" i="9"/>
  <c r="BJ112" i="9"/>
  <c r="DM112" i="9" s="1"/>
  <c r="BH112" i="9"/>
  <c r="EM112" i="9" s="1"/>
  <c r="HP112" i="9" s="1"/>
  <c r="BG112" i="9"/>
  <c r="EB112" i="9" s="1"/>
  <c r="HD112" i="9" s="1"/>
  <c r="BF112" i="9"/>
  <c r="BE112" i="9"/>
  <c r="GF111" i="9"/>
  <c r="FX111" i="9"/>
  <c r="FV111" i="9"/>
  <c r="FT111" i="9"/>
  <c r="BM111" i="9"/>
  <c r="BL111" i="9"/>
  <c r="EJ111" i="9" s="1"/>
  <c r="BK111" i="9"/>
  <c r="BJ111" i="9"/>
  <c r="BH111" i="9"/>
  <c r="BG111" i="9"/>
  <c r="EE111" i="9" s="1"/>
  <c r="HM111" i="9" s="1"/>
  <c r="BF111" i="9"/>
  <c r="DT111" i="9" s="1"/>
  <c r="GX111" i="9" s="1"/>
  <c r="BE111" i="9"/>
  <c r="GF110" i="9"/>
  <c r="FX110" i="9"/>
  <c r="FV110" i="9"/>
  <c r="FT110" i="9"/>
  <c r="BM110" i="9"/>
  <c r="EQ110" i="9" s="1"/>
  <c r="BL110" i="9"/>
  <c r="BK110" i="9"/>
  <c r="BJ110" i="9"/>
  <c r="BH110" i="9"/>
  <c r="EN110" i="9" s="1"/>
  <c r="HS110" i="9" s="1"/>
  <c r="BG110" i="9"/>
  <c r="BF110" i="9"/>
  <c r="DS110" i="9" s="1"/>
  <c r="GU110" i="9" s="1"/>
  <c r="BE110" i="9"/>
  <c r="GF109" i="9"/>
  <c r="FX109" i="9"/>
  <c r="FV109" i="9"/>
  <c r="FT109" i="9"/>
  <c r="BM109" i="9"/>
  <c r="ES109" i="9" s="1"/>
  <c r="BL109" i="9"/>
  <c r="EJ109" i="9" s="1"/>
  <c r="BK109" i="9"/>
  <c r="DY109" i="9" s="1"/>
  <c r="BJ109" i="9"/>
  <c r="DN109" i="9" s="1"/>
  <c r="BH109" i="9"/>
  <c r="BG109" i="9"/>
  <c r="BF109" i="9"/>
  <c r="DU109" i="9" s="1"/>
  <c r="HA109" i="9" s="1"/>
  <c r="BE109" i="9"/>
  <c r="GF108" i="9"/>
  <c r="FX108" i="9"/>
  <c r="FV108" i="9"/>
  <c r="FT108" i="9"/>
  <c r="BM108" i="9"/>
  <c r="EQ108" i="9" s="1"/>
  <c r="BL108" i="9"/>
  <c r="EH108" i="9" s="1"/>
  <c r="BK108" i="9"/>
  <c r="DY108" i="9" s="1"/>
  <c r="BJ108" i="9"/>
  <c r="DP108" i="9" s="1"/>
  <c r="BH108" i="9"/>
  <c r="EO108" i="9" s="1"/>
  <c r="HV108" i="9" s="1"/>
  <c r="BG108" i="9"/>
  <c r="ED108" i="9" s="1"/>
  <c r="HJ108" i="9" s="1"/>
  <c r="BF108" i="9"/>
  <c r="BE108" i="9"/>
  <c r="GF107" i="9"/>
  <c r="FX107" i="9"/>
  <c r="FV107" i="9"/>
  <c r="FT107" i="9"/>
  <c r="BM107" i="9"/>
  <c r="ER107" i="9" s="1"/>
  <c r="BL107" i="9"/>
  <c r="EG107" i="9" s="1"/>
  <c r="BK107" i="9"/>
  <c r="BJ107" i="9"/>
  <c r="DP107" i="9" s="1"/>
  <c r="BH107" i="9"/>
  <c r="BG107" i="9"/>
  <c r="BF107" i="9"/>
  <c r="DU107" i="9" s="1"/>
  <c r="HA107" i="9" s="1"/>
  <c r="BE107" i="9"/>
  <c r="DH107" i="9" s="1"/>
  <c r="GI107" i="9" s="1"/>
  <c r="GF106" i="9"/>
  <c r="FX106" i="9"/>
  <c r="FV106" i="9"/>
  <c r="FT106" i="9"/>
  <c r="BM106" i="9"/>
  <c r="EQ106" i="9" s="1"/>
  <c r="BL106" i="9"/>
  <c r="EJ106" i="9" s="1"/>
  <c r="BK106" i="9"/>
  <c r="BJ106" i="9"/>
  <c r="BH106" i="9"/>
  <c r="EO106" i="9" s="1"/>
  <c r="HV106" i="9" s="1"/>
  <c r="BG106" i="9"/>
  <c r="BF106" i="9"/>
  <c r="BE106" i="9"/>
  <c r="GF105" i="9"/>
  <c r="FX105" i="9"/>
  <c r="FV105" i="9"/>
  <c r="FT105" i="9"/>
  <c r="BM105" i="9"/>
  <c r="BL105" i="9"/>
  <c r="BK105" i="9"/>
  <c r="DY105" i="9" s="1"/>
  <c r="BJ105" i="9"/>
  <c r="DN105" i="9" s="1"/>
  <c r="BH105" i="9"/>
  <c r="EN105" i="9" s="1"/>
  <c r="HS105" i="9" s="1"/>
  <c r="BG105" i="9"/>
  <c r="EE105" i="9" s="1"/>
  <c r="HM105" i="9" s="1"/>
  <c r="BF105" i="9"/>
  <c r="DT105" i="9" s="1"/>
  <c r="GX105" i="9" s="1"/>
  <c r="U83" i="24" s="1"/>
  <c r="BE105" i="9"/>
  <c r="DH105" i="9" s="1"/>
  <c r="GI105" i="9" s="1"/>
  <c r="GF104" i="9"/>
  <c r="FX104" i="9"/>
  <c r="FV104" i="9"/>
  <c r="FT104" i="9"/>
  <c r="BM104" i="9"/>
  <c r="ER104" i="9" s="1"/>
  <c r="BL104" i="9"/>
  <c r="EJ104" i="9" s="1"/>
  <c r="BK104" i="9"/>
  <c r="DX104" i="9" s="1"/>
  <c r="BJ104" i="9"/>
  <c r="BH104" i="9"/>
  <c r="EN104" i="9" s="1"/>
  <c r="HS104" i="9" s="1"/>
  <c r="BG104" i="9"/>
  <c r="EB104" i="9" s="1"/>
  <c r="HD104" i="9" s="1"/>
  <c r="BF104" i="9"/>
  <c r="DU104" i="9" s="1"/>
  <c r="HA104" i="9" s="1"/>
  <c r="BE104" i="9"/>
  <c r="GF103" i="9"/>
  <c r="FX103" i="9"/>
  <c r="FV103" i="9"/>
  <c r="FT103" i="9"/>
  <c r="BM103" i="9"/>
  <c r="BL103" i="9"/>
  <c r="BK103" i="9"/>
  <c r="DX103" i="9" s="1"/>
  <c r="BJ103" i="9"/>
  <c r="BH103" i="9"/>
  <c r="BG103" i="9"/>
  <c r="EE103" i="9" s="1"/>
  <c r="HM103" i="9" s="1"/>
  <c r="BF103" i="9"/>
  <c r="DT103" i="9" s="1"/>
  <c r="GX103" i="9" s="1"/>
  <c r="BE103" i="9"/>
  <c r="DK103" i="9" s="1"/>
  <c r="GR103" i="9" s="1"/>
  <c r="GF102" i="9"/>
  <c r="FX102" i="9"/>
  <c r="FV102" i="9"/>
  <c r="FT102" i="9"/>
  <c r="BM102" i="9"/>
  <c r="BL102" i="9"/>
  <c r="EI102" i="9" s="1"/>
  <c r="BK102" i="9"/>
  <c r="DY102" i="9" s="1"/>
  <c r="BJ102" i="9"/>
  <c r="DP102" i="9" s="1"/>
  <c r="BH102" i="9"/>
  <c r="BG102" i="9"/>
  <c r="EC102" i="9" s="1"/>
  <c r="HG102" i="9" s="1"/>
  <c r="BF102" i="9"/>
  <c r="BE102" i="9"/>
  <c r="DI102" i="9" s="1"/>
  <c r="GL102" i="9" s="1"/>
  <c r="GF101" i="9"/>
  <c r="FX101" i="9"/>
  <c r="FV101" i="9"/>
  <c r="FT101" i="9"/>
  <c r="BM101" i="9"/>
  <c r="BL101" i="9"/>
  <c r="EH101" i="9" s="1"/>
  <c r="BK101" i="9"/>
  <c r="DY101" i="9" s="1"/>
  <c r="BJ101" i="9"/>
  <c r="DN101" i="9" s="1"/>
  <c r="BH101" i="9"/>
  <c r="EN101" i="9" s="1"/>
  <c r="HS101" i="9" s="1"/>
  <c r="U7" i="26" s="1"/>
  <c r="BG101" i="9"/>
  <c r="EE101" i="9" s="1"/>
  <c r="HM101" i="9" s="1"/>
  <c r="X8" i="25" s="1"/>
  <c r="BF101" i="9"/>
  <c r="DS101" i="9" s="1"/>
  <c r="GU101" i="9" s="1"/>
  <c r="BE101" i="9"/>
  <c r="GF100" i="9"/>
  <c r="FX100" i="9"/>
  <c r="FV100" i="9"/>
  <c r="FT100" i="9"/>
  <c r="BM100" i="9"/>
  <c r="EQ100" i="9" s="1"/>
  <c r="BL100" i="9"/>
  <c r="BK100" i="9"/>
  <c r="DW100" i="9" s="1"/>
  <c r="BJ100" i="9"/>
  <c r="BH100" i="9"/>
  <c r="EM100" i="9" s="1"/>
  <c r="HP100" i="9" s="1"/>
  <c r="BG100" i="9"/>
  <c r="BF100" i="9"/>
  <c r="DU100" i="9" s="1"/>
  <c r="HA100" i="9" s="1"/>
  <c r="BE100" i="9"/>
  <c r="DJ100" i="9" s="1"/>
  <c r="GO100" i="9" s="1"/>
  <c r="GF99" i="9"/>
  <c r="FX99" i="9"/>
  <c r="FV99" i="9"/>
  <c r="FT99" i="9"/>
  <c r="BM99" i="9"/>
  <c r="BL99" i="9"/>
  <c r="BK99" i="9"/>
  <c r="BJ99" i="9"/>
  <c r="DN99" i="9" s="1"/>
  <c r="BH99" i="9"/>
  <c r="BG99" i="9"/>
  <c r="BF99" i="9"/>
  <c r="DT99" i="9" s="1"/>
  <c r="GX99" i="9" s="1"/>
  <c r="BE99" i="9"/>
  <c r="DI99" i="9" s="1"/>
  <c r="GL99" i="9" s="1"/>
  <c r="GF98" i="9"/>
  <c r="FX98" i="9"/>
  <c r="FV98" i="9"/>
  <c r="FT98" i="9"/>
  <c r="BM98" i="9"/>
  <c r="BL98" i="9"/>
  <c r="EI98" i="9" s="1"/>
  <c r="BK98" i="9"/>
  <c r="BJ98" i="9"/>
  <c r="DM98" i="9" s="1"/>
  <c r="BH98" i="9"/>
  <c r="EO98" i="9" s="1"/>
  <c r="HV98" i="9" s="1"/>
  <c r="BG98" i="9"/>
  <c r="BF98" i="9"/>
  <c r="DT98" i="9" s="1"/>
  <c r="GX98" i="9" s="1"/>
  <c r="BE98" i="9"/>
  <c r="GF97" i="9"/>
  <c r="FX97" i="9"/>
  <c r="FV97" i="9"/>
  <c r="FT97" i="9"/>
  <c r="BM97" i="9"/>
  <c r="EQ97" i="9" s="1"/>
  <c r="BL97" i="9"/>
  <c r="BK97" i="9"/>
  <c r="DW97" i="9" s="1"/>
  <c r="BJ97" i="9"/>
  <c r="DN97" i="9" s="1"/>
  <c r="BH97" i="9"/>
  <c r="EM97" i="9" s="1"/>
  <c r="HP97" i="9" s="1"/>
  <c r="BG97" i="9"/>
  <c r="BF97" i="9"/>
  <c r="BE97" i="9"/>
  <c r="DJ97" i="9" s="1"/>
  <c r="GO97" i="9" s="1"/>
  <c r="GF96" i="9"/>
  <c r="FX96" i="9"/>
  <c r="FV96" i="9"/>
  <c r="FT96" i="9"/>
  <c r="BM96" i="9"/>
  <c r="ER96" i="9" s="1"/>
  <c r="BL96" i="9"/>
  <c r="EJ96" i="9" s="1"/>
  <c r="BK96" i="9"/>
  <c r="BJ96" i="9"/>
  <c r="DO96" i="9" s="1"/>
  <c r="BH96" i="9"/>
  <c r="BG96" i="9"/>
  <c r="BF96" i="9"/>
  <c r="BE96" i="9"/>
  <c r="DI96" i="9" s="1"/>
  <c r="GL96" i="9" s="1"/>
  <c r="GF95" i="9"/>
  <c r="FX95" i="9"/>
  <c r="FV95" i="9"/>
  <c r="FT95" i="9"/>
  <c r="BM95" i="9"/>
  <c r="ES95" i="9" s="1"/>
  <c r="BL95" i="9"/>
  <c r="BK95" i="9"/>
  <c r="DY95" i="9" s="1"/>
  <c r="BJ95" i="9"/>
  <c r="DO95" i="9" s="1"/>
  <c r="BH95" i="9"/>
  <c r="EN95" i="9" s="1"/>
  <c r="HS95" i="9" s="1"/>
  <c r="BG95" i="9"/>
  <c r="EE95" i="9" s="1"/>
  <c r="HM95" i="9" s="1"/>
  <c r="BF95" i="9"/>
  <c r="BE95" i="9"/>
  <c r="DH95" i="9" s="1"/>
  <c r="GI95" i="9" s="1"/>
  <c r="GF94" i="9"/>
  <c r="FX94" i="9"/>
  <c r="FV94" i="9"/>
  <c r="FT94" i="9"/>
  <c r="BM94" i="9"/>
  <c r="EQ94" i="9" s="1"/>
  <c r="BL94" i="9"/>
  <c r="EJ94" i="9" s="1"/>
  <c r="BK94" i="9"/>
  <c r="T28" i="12" s="1"/>
  <c r="BJ94" i="9"/>
  <c r="DP94" i="9" s="1"/>
  <c r="BH94" i="9"/>
  <c r="EO94" i="9" s="1"/>
  <c r="HV94" i="9" s="1"/>
  <c r="BG94" i="9"/>
  <c r="BF94" i="9"/>
  <c r="DS94" i="9" s="1"/>
  <c r="GU94" i="9" s="1"/>
  <c r="T8" i="24" s="1"/>
  <c r="BE94" i="9"/>
  <c r="GF93" i="9"/>
  <c r="FX93" i="9"/>
  <c r="FV93" i="9"/>
  <c r="FT93" i="9"/>
  <c r="BM93" i="9"/>
  <c r="BL93" i="9"/>
  <c r="BK93" i="9"/>
  <c r="DY93" i="9" s="1"/>
  <c r="BJ93" i="9"/>
  <c r="BH93" i="9"/>
  <c r="EN93" i="9" s="1"/>
  <c r="BG93" i="9"/>
  <c r="BF93" i="9"/>
  <c r="BE93" i="9"/>
  <c r="AG93" i="9"/>
  <c r="AH93" i="9" s="1"/>
  <c r="AI93" i="9" s="1"/>
  <c r="AJ93" i="9" s="1"/>
  <c r="AB93" i="9"/>
  <c r="AC93" i="9" s="1"/>
  <c r="AD93" i="9" s="1"/>
  <c r="AE93" i="9" s="1"/>
  <c r="W93" i="9"/>
  <c r="X93" i="9" s="1"/>
  <c r="Y93" i="9" s="1"/>
  <c r="Z93" i="9" s="1"/>
  <c r="GF92" i="9"/>
  <c r="FX92" i="9"/>
  <c r="FV92" i="9"/>
  <c r="FT92" i="9"/>
  <c r="BM92" i="9"/>
  <c r="BL92" i="9"/>
  <c r="BK92" i="9"/>
  <c r="BJ92" i="9"/>
  <c r="BH92" i="9"/>
  <c r="EO92" i="9" s="1"/>
  <c r="BG92" i="9"/>
  <c r="EB92" i="9" s="1"/>
  <c r="BF92" i="9"/>
  <c r="BE92" i="9"/>
  <c r="AG92" i="9"/>
  <c r="AH92" i="9" s="1"/>
  <c r="AI92" i="9" s="1"/>
  <c r="AJ92" i="9" s="1"/>
  <c r="AB92" i="9"/>
  <c r="AC92" i="9" s="1"/>
  <c r="AD92" i="9" s="1"/>
  <c r="AE92" i="9" s="1"/>
  <c r="W92" i="9"/>
  <c r="X92" i="9" s="1"/>
  <c r="GF91" i="9"/>
  <c r="FX91" i="9"/>
  <c r="FV91" i="9"/>
  <c r="FT91" i="9"/>
  <c r="BM91" i="9"/>
  <c r="ES91" i="9" s="1"/>
  <c r="BL91" i="9"/>
  <c r="BK91" i="9"/>
  <c r="BJ91" i="9"/>
  <c r="BH91" i="9"/>
  <c r="BG91" i="9"/>
  <c r="BF91" i="9"/>
  <c r="BE91" i="9"/>
  <c r="GF90" i="9"/>
  <c r="FX90" i="9"/>
  <c r="FV90" i="9"/>
  <c r="FT90" i="9"/>
  <c r="BM90" i="9"/>
  <c r="BL90" i="9"/>
  <c r="BK90" i="9"/>
  <c r="DX90" i="9" s="1"/>
  <c r="BJ90" i="9"/>
  <c r="DN90" i="9" s="1"/>
  <c r="BH90" i="9"/>
  <c r="EN90" i="9" s="1"/>
  <c r="BG90" i="9"/>
  <c r="BF90" i="9"/>
  <c r="DT90" i="9" s="1"/>
  <c r="BE90" i="9"/>
  <c r="AG90" i="9"/>
  <c r="AH90" i="9" s="1"/>
  <c r="AI90" i="9" s="1"/>
  <c r="AJ90" i="9" s="1"/>
  <c r="AB90" i="9"/>
  <c r="AC90" i="9" s="1"/>
  <c r="AD90" i="9" s="1"/>
  <c r="AE90" i="9" s="1"/>
  <c r="W90" i="9"/>
  <c r="GF89" i="9"/>
  <c r="FX89" i="9"/>
  <c r="FV89" i="9"/>
  <c r="FT89" i="9"/>
  <c r="BM89" i="9"/>
  <c r="Z45" i="12" s="1"/>
  <c r="BL89" i="9"/>
  <c r="BK89" i="9"/>
  <c r="BJ89" i="9"/>
  <c r="BH89" i="9"/>
  <c r="EN89" i="9" s="1"/>
  <c r="BG89" i="9"/>
  <c r="BF89" i="9"/>
  <c r="DT89" i="9" s="1"/>
  <c r="BE89" i="9"/>
  <c r="DI89" i="9" s="1"/>
  <c r="AG89" i="9"/>
  <c r="AH89" i="9" s="1"/>
  <c r="AI89" i="9" s="1"/>
  <c r="AJ89" i="9" s="1"/>
  <c r="AB89" i="9"/>
  <c r="AC89" i="9" s="1"/>
  <c r="AD89" i="9" s="1"/>
  <c r="AE89" i="9" s="1"/>
  <c r="W89" i="9"/>
  <c r="GF88" i="9"/>
  <c r="FX88" i="9"/>
  <c r="FV88" i="9"/>
  <c r="FT88" i="9"/>
  <c r="BM88" i="9"/>
  <c r="EQ88" i="9" s="1"/>
  <c r="BL88" i="9"/>
  <c r="EI88" i="9" s="1"/>
  <c r="BK88" i="9"/>
  <c r="BJ88" i="9"/>
  <c r="DM88" i="9" s="1"/>
  <c r="BH88" i="9"/>
  <c r="EM88" i="9" s="1"/>
  <c r="BG88" i="9"/>
  <c r="BF88" i="9"/>
  <c r="DT88" i="9" s="1"/>
  <c r="BE88" i="9"/>
  <c r="DK88" i="9" s="1"/>
  <c r="AG88" i="9"/>
  <c r="AH88" i="9" s="1"/>
  <c r="AI88" i="9" s="1"/>
  <c r="AJ88" i="9" s="1"/>
  <c r="AB88" i="9"/>
  <c r="AC88" i="9" s="1"/>
  <c r="AD88" i="9" s="1"/>
  <c r="AE88" i="9" s="1"/>
  <c r="W88" i="9"/>
  <c r="GF87" i="9"/>
  <c r="FX87" i="9"/>
  <c r="FV87" i="9"/>
  <c r="FT87" i="9"/>
  <c r="BM87" i="9"/>
  <c r="BL87" i="9"/>
  <c r="EJ87" i="9" s="1"/>
  <c r="BK87" i="9"/>
  <c r="BJ87" i="9"/>
  <c r="BH87" i="9"/>
  <c r="EO87" i="9" s="1"/>
  <c r="HV87" i="9" s="1"/>
  <c r="V27" i="26" s="1"/>
  <c r="BG87" i="9"/>
  <c r="EC87" i="9" s="1"/>
  <c r="HG87" i="9" s="1"/>
  <c r="BF87" i="9"/>
  <c r="DT87" i="9" s="1"/>
  <c r="GX87" i="9" s="1"/>
  <c r="BE87" i="9"/>
  <c r="DH87" i="9" s="1"/>
  <c r="GI87" i="9" s="1"/>
  <c r="GF86" i="9"/>
  <c r="FX86" i="9"/>
  <c r="FV86" i="9"/>
  <c r="FT86" i="9"/>
  <c r="BM86" i="9"/>
  <c r="BL86" i="9"/>
  <c r="BK86" i="9"/>
  <c r="BJ86" i="9"/>
  <c r="DN86" i="9" s="1"/>
  <c r="BH86" i="9"/>
  <c r="EO86" i="9" s="1"/>
  <c r="HV86" i="9" s="1"/>
  <c r="BG86" i="9"/>
  <c r="EE86" i="9" s="1"/>
  <c r="HM86" i="9" s="1"/>
  <c r="BF86" i="9"/>
  <c r="DT86" i="9" s="1"/>
  <c r="GX86" i="9" s="1"/>
  <c r="BE86" i="9"/>
  <c r="GF85" i="9"/>
  <c r="FX85" i="9"/>
  <c r="FV85" i="9"/>
  <c r="FT85" i="9"/>
  <c r="BM85" i="9"/>
  <c r="ER85" i="9" s="1"/>
  <c r="BL85" i="9"/>
  <c r="BK85" i="9"/>
  <c r="BJ85" i="9"/>
  <c r="DM85" i="9" s="1"/>
  <c r="BH85" i="9"/>
  <c r="EO85" i="9" s="1"/>
  <c r="HV85" i="9" s="1"/>
  <c r="BG85" i="9"/>
  <c r="EB85" i="9" s="1"/>
  <c r="HD85" i="9" s="1"/>
  <c r="BF85" i="9"/>
  <c r="BE85" i="9"/>
  <c r="GF84" i="9"/>
  <c r="FX84" i="9"/>
  <c r="FV84" i="9"/>
  <c r="FT84" i="9"/>
  <c r="BM84" i="9"/>
  <c r="BL84" i="9"/>
  <c r="BK84" i="9"/>
  <c r="BJ84" i="9"/>
  <c r="DM84" i="9" s="1"/>
  <c r="BH84" i="9"/>
  <c r="BG84" i="9"/>
  <c r="EE84" i="9" s="1"/>
  <c r="HM84" i="9" s="1"/>
  <c r="BF84" i="9"/>
  <c r="BE84" i="9"/>
  <c r="DI84" i="9" s="1"/>
  <c r="GL84" i="9" s="1"/>
  <c r="V17" i="23" s="1"/>
  <c r="GF83" i="9"/>
  <c r="FX83" i="9"/>
  <c r="FV83" i="9"/>
  <c r="FT83" i="9"/>
  <c r="BM83" i="9"/>
  <c r="BL83" i="9"/>
  <c r="EI83" i="9" s="1"/>
  <c r="BK83" i="9"/>
  <c r="BJ83" i="9"/>
  <c r="DO83" i="9" s="1"/>
  <c r="BH83" i="9"/>
  <c r="EN83" i="9" s="1"/>
  <c r="HS83" i="9" s="1"/>
  <c r="BG83" i="9"/>
  <c r="BF83" i="9"/>
  <c r="DU83" i="9" s="1"/>
  <c r="HA83" i="9" s="1"/>
  <c r="BE83" i="9"/>
  <c r="GF82" i="9"/>
  <c r="FX82" i="9"/>
  <c r="FV82" i="9"/>
  <c r="FT82" i="9"/>
  <c r="BM82" i="9"/>
  <c r="BL82" i="9"/>
  <c r="BK82" i="9"/>
  <c r="BJ82" i="9"/>
  <c r="DP82" i="9" s="1"/>
  <c r="BH82" i="9"/>
  <c r="EO82" i="9" s="1"/>
  <c r="HV82" i="9" s="1"/>
  <c r="BG82" i="9"/>
  <c r="ED82" i="9" s="1"/>
  <c r="HJ82" i="9" s="1"/>
  <c r="W5" i="25" s="1"/>
  <c r="BF82" i="9"/>
  <c r="BE82" i="9"/>
  <c r="DH82" i="9" s="1"/>
  <c r="GF81" i="9"/>
  <c r="FX81" i="9"/>
  <c r="FV81" i="9"/>
  <c r="FT81" i="9"/>
  <c r="BM81" i="9"/>
  <c r="ES81" i="9" s="1"/>
  <c r="BL81" i="9"/>
  <c r="EH81" i="9" s="1"/>
  <c r="BK81" i="9"/>
  <c r="DY81" i="9" s="1"/>
  <c r="BJ81" i="9"/>
  <c r="BH81" i="9"/>
  <c r="EM81" i="9" s="1"/>
  <c r="BG81" i="9"/>
  <c r="EE81" i="9" s="1"/>
  <c r="BF81" i="9"/>
  <c r="BE81" i="9"/>
  <c r="DJ81" i="9" s="1"/>
  <c r="AG81" i="9"/>
  <c r="AH81" i="9" s="1"/>
  <c r="AI81" i="9" s="1"/>
  <c r="AJ81" i="9" s="1"/>
  <c r="AB81" i="9"/>
  <c r="AC81" i="9" s="1"/>
  <c r="AD81" i="9" s="1"/>
  <c r="AE81" i="9" s="1"/>
  <c r="W81" i="9"/>
  <c r="X81" i="9" s="1"/>
  <c r="Y81" i="9" s="1"/>
  <c r="Z81" i="9" s="1"/>
  <c r="GF80" i="9"/>
  <c r="FX80" i="9"/>
  <c r="FV80" i="9"/>
  <c r="FT80" i="9"/>
  <c r="BM80" i="9"/>
  <c r="ER80" i="9" s="1"/>
  <c r="BL80" i="9"/>
  <c r="EJ80" i="9" s="1"/>
  <c r="BK80" i="9"/>
  <c r="DY80" i="9" s="1"/>
  <c r="BJ80" i="9"/>
  <c r="DM80" i="9" s="1"/>
  <c r="BH80" i="9"/>
  <c r="BG80" i="9"/>
  <c r="BF80" i="9"/>
  <c r="BE80" i="9"/>
  <c r="GF79" i="9"/>
  <c r="FX79" i="9"/>
  <c r="FV79" i="9"/>
  <c r="FT79" i="9"/>
  <c r="BM79" i="9"/>
  <c r="ES79" i="9" s="1"/>
  <c r="BL79" i="9"/>
  <c r="BK79" i="9"/>
  <c r="BJ79" i="9"/>
  <c r="DM79" i="9" s="1"/>
  <c r="BH79" i="9"/>
  <c r="EN79" i="9" s="1"/>
  <c r="HS79" i="9" s="1"/>
  <c r="U24" i="26" s="1"/>
  <c r="BG79" i="9"/>
  <c r="BF79" i="9"/>
  <c r="BE79" i="9"/>
  <c r="DH79" i="9" s="1"/>
  <c r="GI79" i="9" s="1"/>
  <c r="GF78" i="9"/>
  <c r="FX78" i="9"/>
  <c r="FV78" i="9"/>
  <c r="FT78" i="9"/>
  <c r="BM78" i="9"/>
  <c r="Z76" i="12" s="1"/>
  <c r="BL78" i="9"/>
  <c r="EH78" i="9" s="1"/>
  <c r="BK78" i="9"/>
  <c r="DX78" i="9" s="1"/>
  <c r="BJ78" i="9"/>
  <c r="BH78" i="9"/>
  <c r="BG78" i="9"/>
  <c r="BF78" i="9"/>
  <c r="DS78" i="9" s="1"/>
  <c r="GU78" i="9" s="1"/>
  <c r="BE78" i="9"/>
  <c r="DH78" i="9" s="1"/>
  <c r="AG78" i="9"/>
  <c r="AH78" i="9" s="1"/>
  <c r="AI78" i="9" s="1"/>
  <c r="AJ78" i="9" s="1"/>
  <c r="AB78" i="9"/>
  <c r="AC78" i="9" s="1"/>
  <c r="AD78" i="9" s="1"/>
  <c r="AE78" i="9" s="1"/>
  <c r="W78" i="9"/>
  <c r="GF77" i="9"/>
  <c r="FX77" i="9"/>
  <c r="FV77" i="9"/>
  <c r="FT77" i="9"/>
  <c r="BM77" i="9"/>
  <c r="ES77" i="9" s="1"/>
  <c r="BL77" i="9"/>
  <c r="EG77" i="9" s="1"/>
  <c r="BK77" i="9"/>
  <c r="BJ77" i="9"/>
  <c r="BH77" i="9"/>
  <c r="BG77" i="9"/>
  <c r="BF77" i="9"/>
  <c r="BE77" i="9"/>
  <c r="DK77" i="9" s="1"/>
  <c r="GR77" i="9" s="1"/>
  <c r="GF76" i="9"/>
  <c r="FX76" i="9"/>
  <c r="FV76" i="9"/>
  <c r="FT76" i="9"/>
  <c r="BM76" i="9"/>
  <c r="ES76" i="9" s="1"/>
  <c r="BL76" i="9"/>
  <c r="EJ76" i="9" s="1"/>
  <c r="BK76" i="9"/>
  <c r="DW76" i="9" s="1"/>
  <c r="BJ76" i="9"/>
  <c r="DP76" i="9" s="1"/>
  <c r="BH76" i="9"/>
  <c r="BG76" i="9"/>
  <c r="EB76" i="9" s="1"/>
  <c r="HD76" i="9" s="1"/>
  <c r="BF76" i="9"/>
  <c r="DU76" i="9" s="1"/>
  <c r="HA76" i="9" s="1"/>
  <c r="V76" i="24" s="1"/>
  <c r="BE76" i="9"/>
  <c r="DK76" i="9" s="1"/>
  <c r="GR76" i="9" s="1"/>
  <c r="GF75" i="9"/>
  <c r="FX75" i="9"/>
  <c r="FV75" i="9"/>
  <c r="FT75" i="9"/>
  <c r="BM75" i="9"/>
  <c r="Z4" i="12" s="1"/>
  <c r="BL75" i="9"/>
  <c r="EG75" i="9" s="1"/>
  <c r="BK75" i="9"/>
  <c r="DY75" i="9" s="1"/>
  <c r="BJ75" i="9"/>
  <c r="DP75" i="9" s="1"/>
  <c r="BH75" i="9"/>
  <c r="EM75" i="9" s="1"/>
  <c r="HP75" i="9" s="1"/>
  <c r="BG75" i="9"/>
  <c r="BF75" i="9"/>
  <c r="DS75" i="9" s="1"/>
  <c r="GU75" i="9" s="1"/>
  <c r="T4" i="24" s="1"/>
  <c r="BE75" i="9"/>
  <c r="DJ75" i="9" s="1"/>
  <c r="GO75" i="9" s="1"/>
  <c r="GF74" i="9"/>
  <c r="FX74" i="9"/>
  <c r="FV74" i="9"/>
  <c r="FT74" i="9"/>
  <c r="BM74" i="9"/>
  <c r="ER74" i="9" s="1"/>
  <c r="BL74" i="9"/>
  <c r="EI74" i="9" s="1"/>
  <c r="BK74" i="9"/>
  <c r="BJ74" i="9"/>
  <c r="BH74" i="9"/>
  <c r="BG74" i="9"/>
  <c r="BF74" i="9"/>
  <c r="BE74" i="9"/>
  <c r="DK74" i="9" s="1"/>
  <c r="GR74" i="9" s="1"/>
  <c r="GF73" i="9"/>
  <c r="FX73" i="9"/>
  <c r="FV73" i="9"/>
  <c r="FT73" i="9"/>
  <c r="BM73" i="9"/>
  <c r="BL73" i="9"/>
  <c r="BK73" i="9"/>
  <c r="BJ73" i="9"/>
  <c r="BH73" i="9"/>
  <c r="BG73" i="9"/>
  <c r="BF73" i="9"/>
  <c r="BE73" i="9"/>
  <c r="DH73" i="9" s="1"/>
  <c r="GI73" i="9" s="1"/>
  <c r="GF72" i="9"/>
  <c r="FX72" i="9"/>
  <c r="FV72" i="9"/>
  <c r="FT72" i="9"/>
  <c r="BM72" i="9"/>
  <c r="EQ72" i="9" s="1"/>
  <c r="BL72" i="9"/>
  <c r="EG72" i="9" s="1"/>
  <c r="BK72" i="9"/>
  <c r="DW72" i="9" s="1"/>
  <c r="BJ72" i="9"/>
  <c r="DP72" i="9" s="1"/>
  <c r="BH72" i="9"/>
  <c r="EN72" i="9" s="1"/>
  <c r="HS72" i="9" s="1"/>
  <c r="BG72" i="9"/>
  <c r="EB72" i="9" s="1"/>
  <c r="HD72" i="9" s="1"/>
  <c r="BF72" i="9"/>
  <c r="DS72" i="9" s="1"/>
  <c r="GU72" i="9" s="1"/>
  <c r="BE72" i="9"/>
  <c r="GF71" i="9"/>
  <c r="FX71" i="9"/>
  <c r="FV71" i="9"/>
  <c r="FT71" i="9"/>
  <c r="BM71" i="9"/>
  <c r="ES71" i="9" s="1"/>
  <c r="BL71" i="9"/>
  <c r="EI71" i="9" s="1"/>
  <c r="BK71" i="9"/>
  <c r="DW71" i="9" s="1"/>
  <c r="BJ71" i="9"/>
  <c r="BH71" i="9"/>
  <c r="EN71" i="9" s="1"/>
  <c r="HS71" i="9" s="1"/>
  <c r="BG71" i="9"/>
  <c r="ED71" i="9" s="1"/>
  <c r="HJ71" i="9" s="1"/>
  <c r="BF71" i="9"/>
  <c r="DT71" i="9" s="1"/>
  <c r="GX71" i="9" s="1"/>
  <c r="BE71" i="9"/>
  <c r="DH71" i="9" s="1"/>
  <c r="GI71" i="9" s="1"/>
  <c r="GF70" i="9"/>
  <c r="FX70" i="9"/>
  <c r="FV70" i="9"/>
  <c r="FT70" i="9"/>
  <c r="BM70" i="9"/>
  <c r="BL70" i="9"/>
  <c r="BK70" i="9"/>
  <c r="DX70" i="9" s="1"/>
  <c r="BJ70" i="9"/>
  <c r="BH70" i="9"/>
  <c r="EN70" i="9" s="1"/>
  <c r="BG70" i="9"/>
  <c r="ED70" i="9" s="1"/>
  <c r="BF70" i="9"/>
  <c r="BE70" i="9"/>
  <c r="AG70" i="9"/>
  <c r="AH70" i="9" s="1"/>
  <c r="AI70" i="9" s="1"/>
  <c r="AJ70" i="9" s="1"/>
  <c r="AB70" i="9"/>
  <c r="AC70" i="9" s="1"/>
  <c r="AD70" i="9" s="1"/>
  <c r="AE70" i="9" s="1"/>
  <c r="W70" i="9"/>
  <c r="X70" i="9" s="1"/>
  <c r="Y70" i="9" s="1"/>
  <c r="Z70" i="9" s="1"/>
  <c r="GF69" i="9"/>
  <c r="FX69" i="9"/>
  <c r="FV69" i="9"/>
  <c r="FT69" i="9"/>
  <c r="BM69" i="9"/>
  <c r="ES69" i="9" s="1"/>
  <c r="BL69" i="9"/>
  <c r="EI69" i="9" s="1"/>
  <c r="BK69" i="9"/>
  <c r="BJ69" i="9"/>
  <c r="DP69" i="9" s="1"/>
  <c r="BH69" i="9"/>
  <c r="EM69" i="9" s="1"/>
  <c r="HP69" i="9" s="1"/>
  <c r="BG69" i="9"/>
  <c r="EB69" i="9" s="1"/>
  <c r="HD69" i="9" s="1"/>
  <c r="BF69" i="9"/>
  <c r="BE69" i="9"/>
  <c r="DI69" i="9" s="1"/>
  <c r="GL69" i="9" s="1"/>
  <c r="GF68" i="9"/>
  <c r="FX68" i="9"/>
  <c r="FV68" i="9"/>
  <c r="FT68" i="9"/>
  <c r="BM68" i="9"/>
  <c r="BL68" i="9"/>
  <c r="BK68" i="9"/>
  <c r="BJ68" i="9"/>
  <c r="DO68" i="9" s="1"/>
  <c r="BH68" i="9"/>
  <c r="BG68" i="9"/>
  <c r="BF68" i="9"/>
  <c r="DS68" i="9" s="1"/>
  <c r="GU68" i="9" s="1"/>
  <c r="BE68" i="9"/>
  <c r="AG68" i="9"/>
  <c r="AH68" i="9" s="1"/>
  <c r="AI68" i="9" s="1"/>
  <c r="AJ68" i="9" s="1"/>
  <c r="AB68" i="9"/>
  <c r="AC68" i="9" s="1"/>
  <c r="AD68" i="9" s="1"/>
  <c r="AE68" i="9" s="1"/>
  <c r="W68" i="9"/>
  <c r="X68" i="9" s="1"/>
  <c r="Y68" i="9" s="1"/>
  <c r="Z68" i="9" s="1"/>
  <c r="GF67" i="9"/>
  <c r="FX67" i="9"/>
  <c r="FV67" i="9"/>
  <c r="FT67" i="9"/>
  <c r="BM67" i="9"/>
  <c r="BL67" i="9"/>
  <c r="W12" i="12" s="1"/>
  <c r="BK67" i="9"/>
  <c r="DW67" i="9" s="1"/>
  <c r="BJ67" i="9"/>
  <c r="BH67" i="9"/>
  <c r="EO67" i="9" s="1"/>
  <c r="HV67" i="9" s="1"/>
  <c r="BG67" i="9"/>
  <c r="BF67" i="9"/>
  <c r="DS67" i="9" s="1"/>
  <c r="GU67" i="9" s="1"/>
  <c r="T21" i="24" s="1"/>
  <c r="BE67" i="9"/>
  <c r="GF66" i="9"/>
  <c r="FX66" i="9"/>
  <c r="FV66" i="9"/>
  <c r="FT66" i="9"/>
  <c r="BM66" i="9"/>
  <c r="BL66" i="9"/>
  <c r="EI66" i="9" s="1"/>
  <c r="BK66" i="9"/>
  <c r="DY66" i="9" s="1"/>
  <c r="BJ66" i="9"/>
  <c r="DP66" i="9" s="1"/>
  <c r="BH66" i="9"/>
  <c r="EM66" i="9" s="1"/>
  <c r="HP66" i="9" s="1"/>
  <c r="BG66" i="9"/>
  <c r="EE66" i="9" s="1"/>
  <c r="HM66" i="9" s="1"/>
  <c r="BF66" i="9"/>
  <c r="DT66" i="9" s="1"/>
  <c r="GX66" i="9" s="1"/>
  <c r="BE66" i="9"/>
  <c r="GF65" i="9"/>
  <c r="FX65" i="9"/>
  <c r="FV65" i="9"/>
  <c r="FT65" i="9"/>
  <c r="BM65" i="9"/>
  <c r="EQ65" i="9" s="1"/>
  <c r="BL65" i="9"/>
  <c r="EG65" i="9" s="1"/>
  <c r="BK65" i="9"/>
  <c r="BJ65" i="9"/>
  <c r="DN65" i="9" s="1"/>
  <c r="BH65" i="9"/>
  <c r="BG65" i="9"/>
  <c r="EE65" i="9" s="1"/>
  <c r="HM65" i="9" s="1"/>
  <c r="X34" i="25" s="1"/>
  <c r="BF65" i="9"/>
  <c r="DS65" i="9" s="1"/>
  <c r="GU65" i="9" s="1"/>
  <c r="BE65" i="9"/>
  <c r="GF64" i="9"/>
  <c r="FX64" i="9"/>
  <c r="FV64" i="9"/>
  <c r="FT64" i="9"/>
  <c r="BM64" i="9"/>
  <c r="BL64" i="9"/>
  <c r="BK64" i="9"/>
  <c r="BJ64" i="9"/>
  <c r="DP64" i="9" s="1"/>
  <c r="BH64" i="9"/>
  <c r="EN64" i="9" s="1"/>
  <c r="BG64" i="9"/>
  <c r="EB64" i="9" s="1"/>
  <c r="BF64" i="9"/>
  <c r="DT64" i="9" s="1"/>
  <c r="GX64" i="9" s="1"/>
  <c r="BE64" i="9"/>
  <c r="DK64" i="9" s="1"/>
  <c r="W64" i="9"/>
  <c r="X64" i="9" s="1"/>
  <c r="Y64" i="9" s="1"/>
  <c r="Z64" i="9" s="1"/>
  <c r="GF63" i="9"/>
  <c r="FX63" i="9"/>
  <c r="FV63" i="9"/>
  <c r="FT63" i="9"/>
  <c r="BM63" i="9"/>
  <c r="ER63" i="9" s="1"/>
  <c r="BL63" i="9"/>
  <c r="BK63" i="9"/>
  <c r="DW63" i="9" s="1"/>
  <c r="BJ63" i="9"/>
  <c r="DP63" i="9" s="1"/>
  <c r="BH63" i="9"/>
  <c r="EN63" i="9" s="1"/>
  <c r="BG63" i="9"/>
  <c r="BF63" i="9"/>
  <c r="BE63" i="9"/>
  <c r="DJ63" i="9" s="1"/>
  <c r="AG63" i="9"/>
  <c r="AH63" i="9" s="1"/>
  <c r="AI63" i="9" s="1"/>
  <c r="AJ63" i="9" s="1"/>
  <c r="AB63" i="9"/>
  <c r="AC63" i="9" s="1"/>
  <c r="AD63" i="9" s="1"/>
  <c r="AE63" i="9" s="1"/>
  <c r="W63" i="9"/>
  <c r="X63" i="9" s="1"/>
  <c r="Y63" i="9" s="1"/>
  <c r="Z63" i="9" s="1"/>
  <c r="GF62" i="9"/>
  <c r="FX62" i="9"/>
  <c r="FV62" i="9"/>
  <c r="FT62" i="9"/>
  <c r="BM62" i="9"/>
  <c r="ES62" i="9" s="1"/>
  <c r="BL62" i="9"/>
  <c r="BK62" i="9"/>
  <c r="DY62" i="9" s="1"/>
  <c r="BJ62" i="9"/>
  <c r="BH62" i="9"/>
  <c r="EN62" i="9" s="1"/>
  <c r="HS62" i="9" s="1"/>
  <c r="U44" i="26" s="1"/>
  <c r="BG62" i="9"/>
  <c r="BF62" i="9"/>
  <c r="DT62" i="9" s="1"/>
  <c r="GX62" i="9" s="1"/>
  <c r="BE62" i="9"/>
  <c r="DK62" i="9" s="1"/>
  <c r="GR62" i="9" s="1"/>
  <c r="GF61" i="9"/>
  <c r="FX61" i="9"/>
  <c r="FV61" i="9"/>
  <c r="FT61" i="9"/>
  <c r="BM61" i="9"/>
  <c r="BL61" i="9"/>
  <c r="BK61" i="9"/>
  <c r="DY61" i="9" s="1"/>
  <c r="BJ61" i="9"/>
  <c r="DP61" i="9" s="1"/>
  <c r="BH61" i="9"/>
  <c r="EO61" i="9" s="1"/>
  <c r="HV61" i="9" s="1"/>
  <c r="BG61" i="9"/>
  <c r="BF61" i="9"/>
  <c r="BE61" i="9"/>
  <c r="GF60" i="9"/>
  <c r="FX60" i="9"/>
  <c r="FV60" i="9"/>
  <c r="FT60" i="9"/>
  <c r="BM60" i="9"/>
  <c r="BL60" i="9"/>
  <c r="W42" i="12" s="1"/>
  <c r="BK60" i="9"/>
  <c r="BJ60" i="9"/>
  <c r="DP60" i="9" s="1"/>
  <c r="BH60" i="9"/>
  <c r="EO60" i="9" s="1"/>
  <c r="HV60" i="9" s="1"/>
  <c r="BG60" i="9"/>
  <c r="EE60" i="9" s="1"/>
  <c r="HM60" i="9" s="1"/>
  <c r="X50" i="25" s="1"/>
  <c r="BF60" i="9"/>
  <c r="DS60" i="9" s="1"/>
  <c r="GU60" i="9" s="1"/>
  <c r="BE60" i="9"/>
  <c r="DJ60" i="9" s="1"/>
  <c r="GO60" i="9" s="1"/>
  <c r="GF59" i="9"/>
  <c r="FX59" i="9"/>
  <c r="FV59" i="9"/>
  <c r="FT59" i="9"/>
  <c r="BM59" i="9"/>
  <c r="BL59" i="9"/>
  <c r="EJ59" i="9" s="1"/>
  <c r="BK59" i="9"/>
  <c r="BJ59" i="9"/>
  <c r="BH59" i="9"/>
  <c r="EO59" i="9" s="1"/>
  <c r="HV59" i="9" s="1"/>
  <c r="V36" i="26" s="1"/>
  <c r="BG59" i="9"/>
  <c r="EE59" i="9" s="1"/>
  <c r="HM59" i="9" s="1"/>
  <c r="BF59" i="9"/>
  <c r="BE59" i="9"/>
  <c r="GF58" i="9"/>
  <c r="FX58" i="9"/>
  <c r="FV58" i="9"/>
  <c r="FT58" i="9"/>
  <c r="BM58" i="9"/>
  <c r="ER58" i="9" s="1"/>
  <c r="BL58" i="9"/>
  <c r="EJ58" i="9" s="1"/>
  <c r="BK58" i="9"/>
  <c r="DW58" i="9" s="1"/>
  <c r="BJ58" i="9"/>
  <c r="DP58" i="9" s="1"/>
  <c r="BH58" i="9"/>
  <c r="EO58" i="9" s="1"/>
  <c r="HV58" i="9" s="1"/>
  <c r="BG58" i="9"/>
  <c r="EB58" i="9" s="1"/>
  <c r="HD58" i="9" s="1"/>
  <c r="BF58" i="9"/>
  <c r="BE58" i="9"/>
  <c r="GF57" i="9"/>
  <c r="FX57" i="9"/>
  <c r="FV57" i="9"/>
  <c r="FT57" i="9"/>
  <c r="BM57" i="9"/>
  <c r="ES57" i="9" s="1"/>
  <c r="BL57" i="9"/>
  <c r="EJ57" i="9" s="1"/>
  <c r="BK57" i="9"/>
  <c r="DY57" i="9" s="1"/>
  <c r="BJ57" i="9"/>
  <c r="BH57" i="9"/>
  <c r="EM57" i="9" s="1"/>
  <c r="HP57" i="9" s="1"/>
  <c r="BG57" i="9"/>
  <c r="EB57" i="9" s="1"/>
  <c r="HD57" i="9" s="1"/>
  <c r="BF57" i="9"/>
  <c r="DU57" i="9" s="1"/>
  <c r="HA57" i="9" s="1"/>
  <c r="BE57" i="9"/>
  <c r="DH57" i="9" s="1"/>
  <c r="GI57" i="9" s="1"/>
  <c r="GF56" i="9"/>
  <c r="FX56" i="9"/>
  <c r="FV56" i="9"/>
  <c r="FT56" i="9"/>
  <c r="BM56" i="9"/>
  <c r="BL56" i="9"/>
  <c r="EG56" i="9" s="1"/>
  <c r="BK56" i="9"/>
  <c r="DY56" i="9" s="1"/>
  <c r="BJ56" i="9"/>
  <c r="BH56" i="9"/>
  <c r="EO56" i="9" s="1"/>
  <c r="BG56" i="9"/>
  <c r="BF56" i="9"/>
  <c r="DU56" i="9" s="1"/>
  <c r="BE56" i="9"/>
  <c r="AG56" i="9"/>
  <c r="AH56" i="9" s="1"/>
  <c r="AI56" i="9" s="1"/>
  <c r="AJ56" i="9" s="1"/>
  <c r="AB56" i="9"/>
  <c r="AC56" i="9" s="1"/>
  <c r="AD56" i="9" s="1"/>
  <c r="AE56" i="9" s="1"/>
  <c r="W56" i="9"/>
  <c r="GF55" i="9"/>
  <c r="FX55" i="9"/>
  <c r="FV55" i="9"/>
  <c r="FT55" i="9"/>
  <c r="BM55" i="9"/>
  <c r="BL55" i="9"/>
  <c r="EI55" i="9" s="1"/>
  <c r="BK55" i="9"/>
  <c r="DX55" i="9" s="1"/>
  <c r="BJ55" i="9"/>
  <c r="DM55" i="9" s="1"/>
  <c r="BH55" i="9"/>
  <c r="BG55" i="9"/>
  <c r="BF55" i="9"/>
  <c r="BE55" i="9"/>
  <c r="GF54" i="9"/>
  <c r="FX54" i="9"/>
  <c r="FV54" i="9"/>
  <c r="FT54" i="9"/>
  <c r="BM54" i="9"/>
  <c r="ES54" i="9" s="1"/>
  <c r="BL54" i="9"/>
  <c r="BK54" i="9"/>
  <c r="BJ54" i="9"/>
  <c r="DP54" i="9" s="1"/>
  <c r="BH54" i="9"/>
  <c r="BG54" i="9"/>
  <c r="EC54" i="9" s="1"/>
  <c r="HG54" i="9" s="1"/>
  <c r="BF54" i="9"/>
  <c r="DS54" i="9" s="1"/>
  <c r="GU54" i="9" s="1"/>
  <c r="BE54" i="9"/>
  <c r="GF53" i="9"/>
  <c r="FX53" i="9"/>
  <c r="FV53" i="9"/>
  <c r="FT53" i="9"/>
  <c r="BM53" i="9"/>
  <c r="BL53" i="9"/>
  <c r="EI53" i="9" s="1"/>
  <c r="BK53" i="9"/>
  <c r="DW53" i="9" s="1"/>
  <c r="BJ53" i="9"/>
  <c r="DN53" i="9" s="1"/>
  <c r="BH53" i="9"/>
  <c r="EM53" i="9" s="1"/>
  <c r="HP53" i="9" s="1"/>
  <c r="BG53" i="9"/>
  <c r="BF53" i="9"/>
  <c r="DT53" i="9" s="1"/>
  <c r="GX53" i="9" s="1"/>
  <c r="BE53" i="9"/>
  <c r="DK53" i="9" s="1"/>
  <c r="GR53" i="9" s="1"/>
  <c r="GF52" i="9"/>
  <c r="FX52" i="9"/>
  <c r="FV52" i="9"/>
  <c r="FT52" i="9"/>
  <c r="BM52" i="9"/>
  <c r="BL52" i="9"/>
  <c r="EI52" i="9" s="1"/>
  <c r="BK52" i="9"/>
  <c r="T32" i="12" s="1"/>
  <c r="BJ52" i="9"/>
  <c r="BH52" i="9"/>
  <c r="EO52" i="9" s="1"/>
  <c r="BG52" i="9"/>
  <c r="EE52" i="9" s="1"/>
  <c r="BF52" i="9"/>
  <c r="BE52" i="9"/>
  <c r="DI52" i="9" s="1"/>
  <c r="AG52" i="9"/>
  <c r="AH52" i="9" s="1"/>
  <c r="AI52" i="9" s="1"/>
  <c r="AJ52" i="9" s="1"/>
  <c r="AB52" i="9"/>
  <c r="AC52" i="9" s="1"/>
  <c r="AD52" i="9" s="1"/>
  <c r="AE52" i="9" s="1"/>
  <c r="W52" i="9"/>
  <c r="X52" i="9" s="1"/>
  <c r="Y52" i="9" s="1"/>
  <c r="Z52" i="9" s="1"/>
  <c r="GF51" i="9"/>
  <c r="FX51" i="9"/>
  <c r="FV51" i="9"/>
  <c r="FT51" i="9"/>
  <c r="BM51" i="9"/>
  <c r="ER51" i="9" s="1"/>
  <c r="BL51" i="9"/>
  <c r="EH51" i="9" s="1"/>
  <c r="BK51" i="9"/>
  <c r="DY51" i="9" s="1"/>
  <c r="BJ51" i="9"/>
  <c r="DP51" i="9" s="1"/>
  <c r="BH51" i="9"/>
  <c r="EN51" i="9" s="1"/>
  <c r="HS51" i="9" s="1"/>
  <c r="BG51" i="9"/>
  <c r="BF51" i="9"/>
  <c r="BE51" i="9"/>
  <c r="DK51" i="9" s="1"/>
  <c r="GR51" i="9" s="1"/>
  <c r="GF50" i="9"/>
  <c r="FX50" i="9"/>
  <c r="FV50" i="9"/>
  <c r="FT50" i="9"/>
  <c r="BM50" i="9"/>
  <c r="Z63" i="12" s="1"/>
  <c r="BL50" i="9"/>
  <c r="BK50" i="9"/>
  <c r="DW50" i="9" s="1"/>
  <c r="BJ50" i="9"/>
  <c r="DN50" i="9" s="1"/>
  <c r="BH50" i="9"/>
  <c r="BG50" i="9"/>
  <c r="BF50" i="9"/>
  <c r="DT50" i="9" s="1"/>
  <c r="GX50" i="9" s="1"/>
  <c r="BE50" i="9"/>
  <c r="DK50" i="9" s="1"/>
  <c r="GR50" i="9" s="1"/>
  <c r="X37" i="23" s="1"/>
  <c r="GF49" i="9"/>
  <c r="FX49" i="9"/>
  <c r="FV49" i="9"/>
  <c r="FT49" i="9"/>
  <c r="BM49" i="9"/>
  <c r="ES49" i="9" s="1"/>
  <c r="BL49" i="9"/>
  <c r="BK49" i="9"/>
  <c r="DY49" i="9" s="1"/>
  <c r="BJ49" i="9"/>
  <c r="BH49" i="9"/>
  <c r="BG49" i="9"/>
  <c r="BF49" i="9"/>
  <c r="DU49" i="9" s="1"/>
  <c r="HA49" i="9" s="1"/>
  <c r="BE49" i="9"/>
  <c r="GF48" i="9"/>
  <c r="FX48" i="9"/>
  <c r="FV48" i="9"/>
  <c r="FT48" i="9"/>
  <c r="BM48" i="9"/>
  <c r="Z103" i="12" s="1"/>
  <c r="BL48" i="9"/>
  <c r="EG48" i="9" s="1"/>
  <c r="BK48" i="9"/>
  <c r="BJ48" i="9"/>
  <c r="DN48" i="9" s="1"/>
  <c r="BH48" i="9"/>
  <c r="EM48" i="9" s="1"/>
  <c r="HP48" i="9" s="1"/>
  <c r="BG48" i="9"/>
  <c r="EE48" i="9" s="1"/>
  <c r="HM48" i="9" s="1"/>
  <c r="BF48" i="9"/>
  <c r="DT48" i="9" s="1"/>
  <c r="GX48" i="9" s="1"/>
  <c r="BE48" i="9"/>
  <c r="GF47" i="9"/>
  <c r="FX47" i="9"/>
  <c r="FV47" i="9"/>
  <c r="FT47" i="9"/>
  <c r="BM47" i="9"/>
  <c r="BL47" i="9"/>
  <c r="BK47" i="9"/>
  <c r="DW47" i="9" s="1"/>
  <c r="BJ47" i="9"/>
  <c r="BH47" i="9"/>
  <c r="EN47" i="9" s="1"/>
  <c r="HS47" i="9" s="1"/>
  <c r="U90" i="26" s="1"/>
  <c r="BG47" i="9"/>
  <c r="EB47" i="9" s="1"/>
  <c r="HD47" i="9" s="1"/>
  <c r="U99" i="25" s="1"/>
  <c r="BF47" i="9"/>
  <c r="DT47" i="9" s="1"/>
  <c r="GX47" i="9" s="1"/>
  <c r="U56" i="24" s="1"/>
  <c r="BE47" i="9"/>
  <c r="DK47" i="9" s="1"/>
  <c r="GR47" i="9" s="1"/>
  <c r="GF46" i="9"/>
  <c r="FX46" i="9"/>
  <c r="FV46" i="9"/>
  <c r="FT46" i="9"/>
  <c r="BM46" i="9"/>
  <c r="BL46" i="9"/>
  <c r="BK46" i="9"/>
  <c r="DY46" i="9" s="1"/>
  <c r="BJ46" i="9"/>
  <c r="BH46" i="9"/>
  <c r="EN46" i="9" s="1"/>
  <c r="HS46" i="9" s="1"/>
  <c r="BG46" i="9"/>
  <c r="EE46" i="9" s="1"/>
  <c r="HM46" i="9" s="1"/>
  <c r="BF46" i="9"/>
  <c r="BE46" i="9"/>
  <c r="DH46" i="9" s="1"/>
  <c r="GI46" i="9" s="1"/>
  <c r="GF45" i="9"/>
  <c r="FX45" i="9"/>
  <c r="FV45" i="9"/>
  <c r="FT45" i="9"/>
  <c r="BM45" i="9"/>
  <c r="ER45" i="9" s="1"/>
  <c r="BL45" i="9"/>
  <c r="EG45" i="9" s="1"/>
  <c r="BK45" i="9"/>
  <c r="T61" i="12" s="1"/>
  <c r="BJ45" i="9"/>
  <c r="BH45" i="9"/>
  <c r="EO45" i="9" s="1"/>
  <c r="HV45" i="9" s="1"/>
  <c r="V34" i="26" s="1"/>
  <c r="BG45" i="9"/>
  <c r="EC45" i="9" s="1"/>
  <c r="HG45" i="9" s="1"/>
  <c r="BF45" i="9"/>
  <c r="BE45" i="9"/>
  <c r="GF44" i="9"/>
  <c r="FX44" i="9"/>
  <c r="FV44" i="9"/>
  <c r="FT44" i="9"/>
  <c r="AK44" i="9"/>
  <c r="AJ44" i="9"/>
  <c r="AI44" i="9"/>
  <c r="AH44" i="9"/>
  <c r="AG44" i="9"/>
  <c r="AF44" i="9"/>
  <c r="AE44" i="9"/>
  <c r="AD44" i="9"/>
  <c r="AC44" i="9"/>
  <c r="AB44" i="9"/>
  <c r="AA44" i="9"/>
  <c r="Z44" i="9"/>
  <c r="Y44" i="9"/>
  <c r="X44" i="9"/>
  <c r="W44" i="9"/>
  <c r="V44" i="9"/>
  <c r="U44" i="9"/>
  <c r="U6" i="9" s="1"/>
  <c r="T44" i="9"/>
  <c r="T6" i="9" s="1"/>
  <c r="S44" i="9"/>
  <c r="S6" i="9" s="1"/>
  <c r="GF43" i="9"/>
  <c r="FX43" i="9"/>
  <c r="FV43" i="9"/>
  <c r="FT43" i="9"/>
  <c r="BM43" i="9"/>
  <c r="BL43" i="9"/>
  <c r="BK43" i="9"/>
  <c r="DW43" i="9" s="1"/>
  <c r="BJ43" i="9"/>
  <c r="DP43" i="9" s="1"/>
  <c r="BH43" i="9"/>
  <c r="EM43" i="9" s="1"/>
  <c r="HP43" i="9" s="1"/>
  <c r="BG43" i="9"/>
  <c r="EE43" i="9" s="1"/>
  <c r="HM43" i="9" s="1"/>
  <c r="X87" i="25" s="1"/>
  <c r="BF43" i="9"/>
  <c r="BE43" i="9"/>
  <c r="DK43" i="9" s="1"/>
  <c r="GR43" i="9" s="1"/>
  <c r="X57" i="23" s="1"/>
  <c r="GF42" i="9"/>
  <c r="FX42" i="9"/>
  <c r="FV42" i="9"/>
  <c r="FT42" i="9"/>
  <c r="BM42" i="9"/>
  <c r="BL42" i="9"/>
  <c r="BK42" i="9"/>
  <c r="T55" i="12" s="1"/>
  <c r="BJ42" i="9"/>
  <c r="BH42" i="9"/>
  <c r="EO42" i="9" s="1"/>
  <c r="HV42" i="9" s="1"/>
  <c r="BG42" i="9"/>
  <c r="BF42" i="9"/>
  <c r="DT42" i="9" s="1"/>
  <c r="GX42" i="9" s="1"/>
  <c r="U79" i="24" s="1"/>
  <c r="BE42" i="9"/>
  <c r="DH42" i="9" s="1"/>
  <c r="GI42" i="9" s="1"/>
  <c r="GF41" i="9"/>
  <c r="FX41" i="9"/>
  <c r="FV41" i="9"/>
  <c r="FT41" i="9"/>
  <c r="BM41" i="9"/>
  <c r="BL41" i="9"/>
  <c r="EI41" i="9" s="1"/>
  <c r="BK41" i="9"/>
  <c r="DX41" i="9" s="1"/>
  <c r="BJ41" i="9"/>
  <c r="DO41" i="9" s="1"/>
  <c r="BH41" i="9"/>
  <c r="EO41" i="9" s="1"/>
  <c r="HV41" i="9" s="1"/>
  <c r="V62" i="26" s="1"/>
  <c r="BG41" i="9"/>
  <c r="EC41" i="9" s="1"/>
  <c r="HG41" i="9" s="1"/>
  <c r="BF41" i="9"/>
  <c r="BE41" i="9"/>
  <c r="DH41" i="9" s="1"/>
  <c r="GI41" i="9" s="1"/>
  <c r="GF40" i="9"/>
  <c r="FX40" i="9"/>
  <c r="FV40" i="9"/>
  <c r="FT40" i="9"/>
  <c r="BM40" i="9"/>
  <c r="BL40" i="9"/>
  <c r="EJ40" i="9" s="1"/>
  <c r="BK40" i="9"/>
  <c r="DX40" i="9" s="1"/>
  <c r="BJ40" i="9"/>
  <c r="DO40" i="9" s="1"/>
  <c r="BH40" i="9"/>
  <c r="EM40" i="9" s="1"/>
  <c r="HP40" i="9" s="1"/>
  <c r="BG40" i="9"/>
  <c r="EB40" i="9" s="1"/>
  <c r="HD40" i="9" s="1"/>
  <c r="BF40" i="9"/>
  <c r="DS40" i="9" s="1"/>
  <c r="GU40" i="9" s="1"/>
  <c r="BE40" i="9"/>
  <c r="GF39" i="9"/>
  <c r="FX39" i="9"/>
  <c r="FV39" i="9"/>
  <c r="FT39" i="9"/>
  <c r="BM39" i="9"/>
  <c r="ES39" i="9" s="1"/>
  <c r="BL39" i="9"/>
  <c r="EG39" i="9" s="1"/>
  <c r="BK39" i="9"/>
  <c r="DW39" i="9" s="1"/>
  <c r="BJ39" i="9"/>
  <c r="BH39" i="9"/>
  <c r="BG39" i="9"/>
  <c r="EB39" i="9" s="1"/>
  <c r="HD39" i="9" s="1"/>
  <c r="BF39" i="9"/>
  <c r="DS39" i="9" s="1"/>
  <c r="GU39" i="9" s="1"/>
  <c r="BE39" i="9"/>
  <c r="GF38" i="9"/>
  <c r="FX38" i="9"/>
  <c r="FV38" i="9"/>
  <c r="FT38" i="9"/>
  <c r="BM38" i="9"/>
  <c r="EQ38" i="9" s="1"/>
  <c r="BL38" i="9"/>
  <c r="EH38" i="9" s="1"/>
  <c r="BK38" i="9"/>
  <c r="DY38" i="9" s="1"/>
  <c r="BJ38" i="9"/>
  <c r="DP38" i="9" s="1"/>
  <c r="BH38" i="9"/>
  <c r="EO38" i="9" s="1"/>
  <c r="HV38" i="9" s="1"/>
  <c r="BG38" i="9"/>
  <c r="BF38" i="9"/>
  <c r="BE38" i="9"/>
  <c r="GF37" i="9"/>
  <c r="FX37" i="9"/>
  <c r="FV37" i="9"/>
  <c r="FT37" i="9"/>
  <c r="BM37" i="9"/>
  <c r="BL37" i="9"/>
  <c r="EJ37" i="9" s="1"/>
  <c r="BK37" i="9"/>
  <c r="DX37" i="9" s="1"/>
  <c r="BJ37" i="9"/>
  <c r="DP37" i="9" s="1"/>
  <c r="BH37" i="9"/>
  <c r="EO37" i="9" s="1"/>
  <c r="HV37" i="9" s="1"/>
  <c r="BG37" i="9"/>
  <c r="EE37" i="9" s="1"/>
  <c r="HM37" i="9" s="1"/>
  <c r="BF37" i="9"/>
  <c r="DU37" i="9" s="1"/>
  <c r="HA37" i="9" s="1"/>
  <c r="BE37" i="9"/>
  <c r="GF36" i="9"/>
  <c r="FX36" i="9"/>
  <c r="FV36" i="9"/>
  <c r="FT36" i="9"/>
  <c r="BM36" i="9"/>
  <c r="ES36" i="9" s="1"/>
  <c r="BL36" i="9"/>
  <c r="BK36" i="9"/>
  <c r="BJ36" i="9"/>
  <c r="DN36" i="9" s="1"/>
  <c r="BH36" i="9"/>
  <c r="BG36" i="9"/>
  <c r="EC36" i="9" s="1"/>
  <c r="HG36" i="9" s="1"/>
  <c r="BF36" i="9"/>
  <c r="DU36" i="9" s="1"/>
  <c r="HA36" i="9" s="1"/>
  <c r="BE36" i="9"/>
  <c r="GF35" i="9"/>
  <c r="FX35" i="9"/>
  <c r="FV35" i="9"/>
  <c r="FT35" i="9"/>
  <c r="BM35" i="9"/>
  <c r="ES35" i="9" s="1"/>
  <c r="BL35" i="9"/>
  <c r="BK35" i="9"/>
  <c r="T19" i="12" s="1"/>
  <c r="BJ35" i="9"/>
  <c r="DP35" i="9" s="1"/>
  <c r="BH35" i="9"/>
  <c r="BG35" i="9"/>
  <c r="HM35" i="9" s="1"/>
  <c r="BF35" i="9"/>
  <c r="GU35" i="9" s="1"/>
  <c r="T69" i="24" s="1"/>
  <c r="BE35" i="9"/>
  <c r="GL35" i="9" s="1"/>
  <c r="V33" i="23" s="1"/>
  <c r="GF34" i="9"/>
  <c r="FX34" i="9"/>
  <c r="FV34" i="9"/>
  <c r="FT34" i="9"/>
  <c r="BM34" i="9"/>
  <c r="ER34" i="9" s="1"/>
  <c r="BL34" i="9"/>
  <c r="EG34" i="9" s="1"/>
  <c r="BK34" i="9"/>
  <c r="DY34" i="9" s="1"/>
  <c r="BJ34" i="9"/>
  <c r="DP34" i="9" s="1"/>
  <c r="BH34" i="9"/>
  <c r="EO34" i="9" s="1"/>
  <c r="HV34" i="9" s="1"/>
  <c r="BG34" i="9"/>
  <c r="EC34" i="9" s="1"/>
  <c r="HG34" i="9" s="1"/>
  <c r="BF34" i="9"/>
  <c r="DU34" i="9" s="1"/>
  <c r="HA34" i="9" s="1"/>
  <c r="BE34" i="9"/>
  <c r="DI34" i="9" s="1"/>
  <c r="GL34" i="9" s="1"/>
  <c r="GF33" i="9"/>
  <c r="FX33" i="9"/>
  <c r="FV33" i="9"/>
  <c r="FT33" i="9"/>
  <c r="BM33" i="9"/>
  <c r="EQ33" i="9" s="1"/>
  <c r="BL33" i="9"/>
  <c r="BK33" i="9"/>
  <c r="BJ33" i="9"/>
  <c r="BH33" i="9"/>
  <c r="EO33" i="9" s="1"/>
  <c r="HV33" i="9" s="1"/>
  <c r="BG33" i="9"/>
  <c r="BF33" i="9"/>
  <c r="DS33" i="9" s="1"/>
  <c r="GU33" i="9" s="1"/>
  <c r="BE33" i="9"/>
  <c r="DK33" i="9" s="1"/>
  <c r="GR33" i="9" s="1"/>
  <c r="GF32" i="9"/>
  <c r="FX32" i="9"/>
  <c r="FV32" i="9"/>
  <c r="FT32" i="9"/>
  <c r="BM32" i="9"/>
  <c r="ER32" i="9" s="1"/>
  <c r="BL32" i="9"/>
  <c r="EI32" i="9" s="1"/>
  <c r="BK32" i="9"/>
  <c r="DY32" i="9" s="1"/>
  <c r="BJ32" i="9"/>
  <c r="BH32" i="9"/>
  <c r="EM32" i="9" s="1"/>
  <c r="HP32" i="9" s="1"/>
  <c r="BG32" i="9"/>
  <c r="EB32" i="9" s="1"/>
  <c r="HD32" i="9" s="1"/>
  <c r="BF32" i="9"/>
  <c r="DT32" i="9" s="1"/>
  <c r="GX32" i="9" s="1"/>
  <c r="BE32" i="9"/>
  <c r="GF31" i="9"/>
  <c r="FX31" i="9"/>
  <c r="FV31" i="9"/>
  <c r="FT31" i="9"/>
  <c r="BM31" i="9"/>
  <c r="Z77" i="12" s="1"/>
  <c r="BL31" i="9"/>
  <c r="EJ31" i="9" s="1"/>
  <c r="BK31" i="9"/>
  <c r="DW31" i="9" s="1"/>
  <c r="BJ31" i="9"/>
  <c r="DP31" i="9" s="1"/>
  <c r="BH31" i="9"/>
  <c r="EN31" i="9" s="1"/>
  <c r="BG31" i="9"/>
  <c r="EE31" i="9" s="1"/>
  <c r="BF31" i="9"/>
  <c r="DT31" i="9" s="1"/>
  <c r="BE31" i="9"/>
  <c r="AG31" i="9"/>
  <c r="AH31" i="9" s="1"/>
  <c r="AI31" i="9" s="1"/>
  <c r="AJ31" i="9" s="1"/>
  <c r="AB31" i="9"/>
  <c r="AC31" i="9" s="1"/>
  <c r="AD31" i="9" s="1"/>
  <c r="AE31" i="9" s="1"/>
  <c r="W31" i="9"/>
  <c r="X31" i="9" s="1"/>
  <c r="Y31" i="9" s="1"/>
  <c r="GF30" i="9"/>
  <c r="FX30" i="9"/>
  <c r="FV30" i="9"/>
  <c r="FT30" i="9"/>
  <c r="BM30" i="9"/>
  <c r="Z80" i="12" s="1"/>
  <c r="BL30" i="9"/>
  <c r="W80" i="12" s="1"/>
  <c r="BK30" i="9"/>
  <c r="BJ30" i="9"/>
  <c r="DN30" i="9" s="1"/>
  <c r="BH30" i="9"/>
  <c r="EN30" i="9" s="1"/>
  <c r="HS30" i="9" s="1"/>
  <c r="U52" i="26" s="1"/>
  <c r="BG30" i="9"/>
  <c r="EC30" i="9" s="1"/>
  <c r="HG30" i="9" s="1"/>
  <c r="V44" i="25" s="1"/>
  <c r="BF30" i="9"/>
  <c r="DT30" i="9" s="1"/>
  <c r="GX30" i="9" s="1"/>
  <c r="BE30" i="9"/>
  <c r="GF29" i="9"/>
  <c r="FX29" i="9"/>
  <c r="FV29" i="9"/>
  <c r="FT29" i="9"/>
  <c r="BH29" i="9"/>
  <c r="BG29" i="9"/>
  <c r="EE29" i="9" s="1"/>
  <c r="BF29" i="9"/>
  <c r="BE29" i="9"/>
  <c r="AG29" i="9"/>
  <c r="AH29" i="9" s="1"/>
  <c r="AI29" i="9" s="1"/>
  <c r="AJ29" i="9" s="1"/>
  <c r="AK29" i="9" s="1"/>
  <c r="AB29" i="9"/>
  <c r="AC29" i="9" s="1"/>
  <c r="AD29" i="9" s="1"/>
  <c r="AE29" i="9" s="1"/>
  <c r="W29" i="9"/>
  <c r="X29" i="9" s="1"/>
  <c r="GF28" i="9"/>
  <c r="FX28" i="9"/>
  <c r="FV28" i="9"/>
  <c r="FT28" i="9"/>
  <c r="BM28" i="9"/>
  <c r="Z24" i="12" s="1"/>
  <c r="BL28" i="9"/>
  <c r="EJ28" i="9" s="1"/>
  <c r="BK28" i="9"/>
  <c r="T24" i="12" s="1"/>
  <c r="BJ28" i="9"/>
  <c r="DM28" i="9" s="1"/>
  <c r="BH28" i="9"/>
  <c r="BG28" i="9"/>
  <c r="EC28" i="9" s="1"/>
  <c r="BF28" i="9"/>
  <c r="DU28" i="9" s="1"/>
  <c r="BE28" i="9"/>
  <c r="DI28" i="9" s="1"/>
  <c r="AG28" i="9"/>
  <c r="AH28" i="9" s="1"/>
  <c r="AI28" i="9" s="1"/>
  <c r="AJ28" i="9" s="1"/>
  <c r="AB28" i="9"/>
  <c r="AC28" i="9" s="1"/>
  <c r="AD28" i="9" s="1"/>
  <c r="AE28" i="9" s="1"/>
  <c r="W28" i="9"/>
  <c r="X28" i="9" s="1"/>
  <c r="GF27" i="9"/>
  <c r="FX27" i="9"/>
  <c r="FV27" i="9"/>
  <c r="FT27" i="9"/>
  <c r="BM27" i="9"/>
  <c r="ES27" i="9" s="1"/>
  <c r="BL27" i="9"/>
  <c r="W5" i="12" s="1"/>
  <c r="BK27" i="9"/>
  <c r="T5" i="12" s="1"/>
  <c r="BJ27" i="9"/>
  <c r="DO27" i="9" s="1"/>
  <c r="BH27" i="9"/>
  <c r="EO27" i="9" s="1"/>
  <c r="BG27" i="9"/>
  <c r="EE27" i="9" s="1"/>
  <c r="BF27" i="9"/>
  <c r="BE27" i="9"/>
  <c r="DI27" i="9" s="1"/>
  <c r="AG27" i="9"/>
  <c r="AH27" i="9" s="1"/>
  <c r="AI27" i="9" s="1"/>
  <c r="AJ27" i="9" s="1"/>
  <c r="AB27" i="9"/>
  <c r="AC27" i="9" s="1"/>
  <c r="AD27" i="9" s="1"/>
  <c r="AE27" i="9" s="1"/>
  <c r="W27" i="9"/>
  <c r="X27" i="9" s="1"/>
  <c r="Y27" i="9" s="1"/>
  <c r="Z27" i="9" s="1"/>
  <c r="GF26" i="9"/>
  <c r="FX26" i="9"/>
  <c r="FV26" i="9"/>
  <c r="FT26" i="9"/>
  <c r="BM26" i="9"/>
  <c r="EQ26" i="9" s="1"/>
  <c r="BL26" i="9"/>
  <c r="BK26" i="9"/>
  <c r="BJ26" i="9"/>
  <c r="DP26" i="9" s="1"/>
  <c r="BH26" i="9"/>
  <c r="EO26" i="9" s="1"/>
  <c r="HV26" i="9" s="1"/>
  <c r="BG26" i="9"/>
  <c r="EE26" i="9" s="1"/>
  <c r="HM26" i="9" s="1"/>
  <c r="BF26" i="9"/>
  <c r="BE26" i="9"/>
  <c r="DH26" i="9" s="1"/>
  <c r="GI26" i="9" s="1"/>
  <c r="GF25" i="9"/>
  <c r="FX25" i="9"/>
  <c r="FV25" i="9"/>
  <c r="FT25" i="9"/>
  <c r="BM25" i="9"/>
  <c r="ES25" i="9" s="1"/>
  <c r="BL25" i="9"/>
  <c r="BK25" i="9"/>
  <c r="DY25" i="9" s="1"/>
  <c r="BJ25" i="9"/>
  <c r="DO25" i="9" s="1"/>
  <c r="BH25" i="9"/>
  <c r="BG25" i="9"/>
  <c r="EC25" i="9" s="1"/>
  <c r="HG25" i="9" s="1"/>
  <c r="BF25" i="9"/>
  <c r="DU25" i="9" s="1"/>
  <c r="HA25" i="9" s="1"/>
  <c r="BE25" i="9"/>
  <c r="DI25" i="9" s="1"/>
  <c r="GL25" i="9" s="1"/>
  <c r="GF24" i="9"/>
  <c r="FX24" i="9"/>
  <c r="FV24" i="9"/>
  <c r="FT24" i="9"/>
  <c r="BM24" i="9"/>
  <c r="Z35" i="12" s="1"/>
  <c r="BL24" i="9"/>
  <c r="EI24" i="9" s="1"/>
  <c r="BK24" i="9"/>
  <c r="T35" i="12" s="1"/>
  <c r="BJ24" i="9"/>
  <c r="BH24" i="9"/>
  <c r="EN24" i="9" s="1"/>
  <c r="BG24" i="9"/>
  <c r="EB24" i="9" s="1"/>
  <c r="BF24" i="9"/>
  <c r="DS24" i="9" s="1"/>
  <c r="BE24" i="9"/>
  <c r="DJ24" i="9" s="1"/>
  <c r="AG24" i="9"/>
  <c r="AH24" i="9" s="1"/>
  <c r="AI24" i="9" s="1"/>
  <c r="AJ24" i="9" s="1"/>
  <c r="AB24" i="9"/>
  <c r="AC24" i="9" s="1"/>
  <c r="AD24" i="9" s="1"/>
  <c r="AE24" i="9" s="1"/>
  <c r="W24" i="9"/>
  <c r="X24" i="9" s="1"/>
  <c r="GF23" i="9"/>
  <c r="FX23" i="9"/>
  <c r="FV23" i="9"/>
  <c r="FT23" i="9"/>
  <c r="BM23" i="9"/>
  <c r="Z87" i="12" s="1"/>
  <c r="BL23" i="9"/>
  <c r="W87" i="12" s="1"/>
  <c r="BK23" i="9"/>
  <c r="T87" i="12" s="1"/>
  <c r="BJ23" i="9"/>
  <c r="DO23" i="9" s="1"/>
  <c r="BH23" i="9"/>
  <c r="EM23" i="9" s="1"/>
  <c r="HP23" i="9" s="1"/>
  <c r="BG23" i="9"/>
  <c r="EE23" i="9" s="1"/>
  <c r="HM23" i="9" s="1"/>
  <c r="BF23" i="9"/>
  <c r="DS23" i="9" s="1"/>
  <c r="GU23" i="9" s="1"/>
  <c r="T33" i="24" s="1"/>
  <c r="BE23" i="9"/>
  <c r="DJ23" i="9" s="1"/>
  <c r="GO23" i="9" s="1"/>
  <c r="AG23" i="9"/>
  <c r="AH23" i="9" s="1"/>
  <c r="AI23" i="9" s="1"/>
  <c r="AJ23" i="9" s="1"/>
  <c r="GF22" i="9"/>
  <c r="FX22" i="9"/>
  <c r="FV22" i="9"/>
  <c r="FT22" i="9"/>
  <c r="BM22" i="9"/>
  <c r="Z18" i="12" s="1"/>
  <c r="BL22" i="9"/>
  <c r="BK22" i="9"/>
  <c r="T18" i="12" s="1"/>
  <c r="BJ22" i="9"/>
  <c r="DN22" i="9" s="1"/>
  <c r="BH22" i="9"/>
  <c r="EN22" i="9" s="1"/>
  <c r="HS22" i="9" s="1"/>
  <c r="BG22" i="9"/>
  <c r="EC22" i="9" s="1"/>
  <c r="HG22" i="9" s="1"/>
  <c r="V25" i="25" s="1"/>
  <c r="BF22" i="9"/>
  <c r="DU22" i="9" s="1"/>
  <c r="HA22" i="9" s="1"/>
  <c r="BE22" i="9"/>
  <c r="GF21" i="9"/>
  <c r="FX21" i="9"/>
  <c r="FV21" i="9"/>
  <c r="FT21" i="9"/>
  <c r="V21" i="9"/>
  <c r="GF20" i="9"/>
  <c r="FX20" i="9"/>
  <c r="FV20" i="9"/>
  <c r="FT20" i="9"/>
  <c r="BM20" i="9"/>
  <c r="ES20" i="9" s="1"/>
  <c r="BL20" i="9"/>
  <c r="BK20" i="9"/>
  <c r="DY20" i="9" s="1"/>
  <c r="BJ20" i="9"/>
  <c r="DP20" i="9" s="1"/>
  <c r="BH20" i="9"/>
  <c r="BG20" i="9"/>
  <c r="EB20" i="9" s="1"/>
  <c r="HD20" i="9" s="1"/>
  <c r="BF20" i="9"/>
  <c r="DS20" i="9" s="1"/>
  <c r="GU20" i="9" s="1"/>
  <c r="BE20" i="9"/>
  <c r="DH20" i="9" s="1"/>
  <c r="GI20" i="9" s="1"/>
  <c r="GF19" i="9"/>
  <c r="FX19" i="9"/>
  <c r="FV19" i="9"/>
  <c r="FT19" i="9"/>
  <c r="BM19" i="9"/>
  <c r="Z31" i="12" s="1"/>
  <c r="BL19" i="9"/>
  <c r="BK19" i="9"/>
  <c r="T31" i="12" s="1"/>
  <c r="BJ19" i="9"/>
  <c r="DM19" i="9" s="1"/>
  <c r="BH19" i="9"/>
  <c r="HV19" i="9" s="1"/>
  <c r="BG19" i="9"/>
  <c r="EC19" i="9" s="1"/>
  <c r="BF19" i="9"/>
  <c r="HA19" i="9" s="1"/>
  <c r="V23" i="24" s="1"/>
  <c r="BE19" i="9"/>
  <c r="GO19" i="9" s="1"/>
  <c r="W30" i="23" s="1"/>
  <c r="GF18" i="9"/>
  <c r="FX18" i="9"/>
  <c r="FV18" i="9"/>
  <c r="FT18" i="9"/>
  <c r="BM18" i="9"/>
  <c r="BL18" i="9"/>
  <c r="W56" i="12" s="1"/>
  <c r="BK18" i="9"/>
  <c r="T56" i="12" s="1"/>
  <c r="BJ18" i="9"/>
  <c r="DO18" i="9" s="1"/>
  <c r="BH18" i="9"/>
  <c r="HS18" i="9" s="1"/>
  <c r="U66" i="26" s="1"/>
  <c r="BG18" i="9"/>
  <c r="HM18" i="9" s="1"/>
  <c r="X54" i="25" s="1"/>
  <c r="BF18" i="9"/>
  <c r="BE18" i="9"/>
  <c r="GF17" i="9"/>
  <c r="FX17" i="9"/>
  <c r="FV17" i="9"/>
  <c r="FT17" i="9"/>
  <c r="BM17" i="9"/>
  <c r="Z78" i="12" s="1"/>
  <c r="BL17" i="9"/>
  <c r="W78" i="12" s="1"/>
  <c r="BK17" i="9"/>
  <c r="T78" i="12" s="1"/>
  <c r="BJ17" i="9"/>
  <c r="BH17" i="9"/>
  <c r="EM17" i="9" s="1"/>
  <c r="BG17" i="9"/>
  <c r="BF17" i="9"/>
  <c r="BE17" i="9"/>
  <c r="DI17" i="9" s="1"/>
  <c r="GF16" i="9"/>
  <c r="FX16" i="9"/>
  <c r="FV16" i="9"/>
  <c r="FT16" i="9"/>
  <c r="BM16" i="9"/>
  <c r="Z99" i="12" s="1"/>
  <c r="BL16" i="9"/>
  <c r="W99" i="12" s="1"/>
  <c r="BK16" i="9"/>
  <c r="T99" i="12" s="1"/>
  <c r="BJ16" i="9"/>
  <c r="BH16" i="9"/>
  <c r="HS16" i="9" s="1"/>
  <c r="U72" i="26" s="1"/>
  <c r="BG16" i="9"/>
  <c r="BF16" i="9"/>
  <c r="GU16" i="9" s="1"/>
  <c r="BE16" i="9"/>
  <c r="GR16" i="9" s="1"/>
  <c r="GF15" i="9"/>
  <c r="FX15" i="9"/>
  <c r="FV15" i="9"/>
  <c r="FT15" i="9"/>
  <c r="BM15" i="9"/>
  <c r="Z46" i="12" s="1"/>
  <c r="BL15" i="9"/>
  <c r="W46" i="12" s="1"/>
  <c r="BK15" i="9"/>
  <c r="T46" i="12" s="1"/>
  <c r="BJ15" i="9"/>
  <c r="DP15" i="9" s="1"/>
  <c r="BH15" i="9"/>
  <c r="EN15" i="9" s="1"/>
  <c r="BG15" i="9"/>
  <c r="HG15" i="9" s="1"/>
  <c r="V42" i="25" s="1"/>
  <c r="BF15" i="9"/>
  <c r="DS15" i="9" s="1"/>
  <c r="BE15" i="9"/>
  <c r="GF14" i="9"/>
  <c r="FX14" i="9"/>
  <c r="FV14" i="9"/>
  <c r="FT14" i="9"/>
  <c r="BM14" i="9"/>
  <c r="Z29" i="12" s="1"/>
  <c r="BL14" i="9"/>
  <c r="W29" i="12" s="1"/>
  <c r="BK14" i="9"/>
  <c r="T29" i="12" s="1"/>
  <c r="BJ14" i="9"/>
  <c r="DM14" i="9" s="1"/>
  <c r="BH14" i="9"/>
  <c r="HS14" i="9" s="1"/>
  <c r="BG14" i="9"/>
  <c r="EC14" i="9" s="1"/>
  <c r="BF14" i="9"/>
  <c r="DS14" i="9" s="1"/>
  <c r="BE14" i="9"/>
  <c r="GR14" i="9" s="1"/>
  <c r="GF13" i="9"/>
  <c r="FX13" i="9"/>
  <c r="FV13" i="9"/>
  <c r="FT13" i="9"/>
  <c r="BM13" i="9"/>
  <c r="Z25" i="12" s="1"/>
  <c r="BL13" i="9"/>
  <c r="BK13" i="9"/>
  <c r="T25" i="12" s="1"/>
  <c r="BJ13" i="9"/>
  <c r="DP13" i="9" s="1"/>
  <c r="BH13" i="9"/>
  <c r="HV13" i="9" s="1"/>
  <c r="BG13" i="9"/>
  <c r="HG13" i="9" s="1"/>
  <c r="BF13" i="9"/>
  <c r="DS13" i="9" s="1"/>
  <c r="BE13" i="9"/>
  <c r="GI13" i="9" s="1"/>
  <c r="U20" i="23" s="1"/>
  <c r="GF12" i="9"/>
  <c r="FX12" i="9"/>
  <c r="FV12" i="9"/>
  <c r="FT12" i="9"/>
  <c r="BM12" i="9"/>
  <c r="Z11" i="12" s="1"/>
  <c r="BL12" i="9"/>
  <c r="W11" i="12" s="1"/>
  <c r="BK12" i="9"/>
  <c r="T11" i="12" s="1"/>
  <c r="BJ12" i="9"/>
  <c r="DM12" i="9" s="1"/>
  <c r="BH12" i="9"/>
  <c r="HV12" i="9" s="1"/>
  <c r="BG12" i="9"/>
  <c r="HG12" i="9" s="1"/>
  <c r="V6" i="25" s="1"/>
  <c r="BF12" i="9"/>
  <c r="GX12" i="9" s="1"/>
  <c r="U53" i="24" s="1"/>
  <c r="BE12" i="9"/>
  <c r="GO12" i="9" s="1"/>
  <c r="W10" i="23" s="1"/>
  <c r="GF11" i="9"/>
  <c r="FX11" i="9"/>
  <c r="FV11" i="9"/>
  <c r="FT11" i="9"/>
  <c r="BM11" i="9"/>
  <c r="Z14" i="12" s="1"/>
  <c r="BL11" i="9"/>
  <c r="BK11" i="9"/>
  <c r="T14" i="12" s="1"/>
  <c r="BJ11" i="9"/>
  <c r="DO11" i="9" s="1"/>
  <c r="BH11" i="9"/>
  <c r="BG11" i="9"/>
  <c r="EC11" i="9" s="1"/>
  <c r="BF11" i="9"/>
  <c r="BE11" i="9"/>
  <c r="GF10" i="9"/>
  <c r="FX10" i="9"/>
  <c r="FV10" i="9"/>
  <c r="FT10" i="9"/>
  <c r="BM10" i="9"/>
  <c r="ER10" i="9" s="1"/>
  <c r="BL10" i="9"/>
  <c r="EI10" i="9" s="1"/>
  <c r="BK10" i="9"/>
  <c r="DW10" i="9" s="1"/>
  <c r="BJ10" i="9"/>
  <c r="DO10" i="9" s="1"/>
  <c r="BH10" i="9"/>
  <c r="EM10" i="9" s="1"/>
  <c r="HP10" i="9" s="1"/>
  <c r="BG10" i="9"/>
  <c r="BF10" i="9"/>
  <c r="DU10" i="9" s="1"/>
  <c r="HA10" i="9" s="1"/>
  <c r="BE10" i="9"/>
  <c r="DI10" i="9" s="1"/>
  <c r="GL10" i="9" s="1"/>
  <c r="GF9" i="9"/>
  <c r="FX9" i="9"/>
  <c r="FV9" i="9"/>
  <c r="FT9" i="9"/>
  <c r="BM9" i="9"/>
  <c r="ES9" i="9" s="1"/>
  <c r="BL9" i="9"/>
  <c r="EJ9" i="9" s="1"/>
  <c r="BK9" i="9"/>
  <c r="DY9" i="9" s="1"/>
  <c r="BJ9" i="9"/>
  <c r="BH9" i="9"/>
  <c r="EM9" i="9" s="1"/>
  <c r="HP9" i="9" s="1"/>
  <c r="BG9" i="9"/>
  <c r="EE9" i="9" s="1"/>
  <c r="HM9" i="9" s="1"/>
  <c r="BF9" i="9"/>
  <c r="BE9" i="9"/>
  <c r="A9" i="9"/>
  <c r="A10" i="9" s="1"/>
  <c r="A11" i="9" s="1"/>
  <c r="GF8" i="9"/>
  <c r="FX8" i="9"/>
  <c r="FV8" i="9"/>
  <c r="FT8" i="9"/>
  <c r="BM8" i="9"/>
  <c r="ER8" i="9" s="1"/>
  <c r="BL8" i="9"/>
  <c r="BK8" i="9"/>
  <c r="DY8" i="9" s="1"/>
  <c r="BJ8" i="9"/>
  <c r="DN8" i="9" s="1"/>
  <c r="BH8" i="9"/>
  <c r="EN8" i="9" s="1"/>
  <c r="BG8" i="9"/>
  <c r="HD8" i="9" s="1"/>
  <c r="BF8" i="9"/>
  <c r="HA8" i="9" s="1"/>
  <c r="BE8" i="9"/>
  <c r="DI8" i="9" s="1"/>
  <c r="KB7" i="9"/>
  <c r="KA7" i="9"/>
  <c r="JZ7" i="9"/>
  <c r="JY7" i="9"/>
  <c r="JX7" i="9"/>
  <c r="JR7" i="9"/>
  <c r="JQ7" i="9"/>
  <c r="JP7" i="9"/>
  <c r="JO7" i="9"/>
  <c r="JN7" i="9"/>
  <c r="JH7" i="9"/>
  <c r="JG7" i="9"/>
  <c r="JF7" i="9"/>
  <c r="JE7" i="9"/>
  <c r="JD7" i="9"/>
  <c r="IX7" i="9"/>
  <c r="IW7" i="9"/>
  <c r="IV7" i="9"/>
  <c r="IU7" i="9"/>
  <c r="IT7" i="9"/>
  <c r="GF6" i="9"/>
  <c r="A13" i="6"/>
  <c r="AQ2" i="6"/>
  <c r="AP2" i="6"/>
  <c r="AO2" i="6"/>
  <c r="AN2" i="6"/>
  <c r="AM2" i="6"/>
  <c r="AL2" i="6"/>
  <c r="AK2" i="6"/>
  <c r="AJ2" i="6"/>
  <c r="AI2" i="6"/>
  <c r="AH2" i="6"/>
  <c r="AG2" i="6"/>
  <c r="AF2" i="6"/>
  <c r="AE2" i="6"/>
  <c r="AD2" i="6"/>
  <c r="AC2" i="6"/>
  <c r="AB2" i="6"/>
  <c r="AA2" i="6"/>
  <c r="Z2" i="6"/>
  <c r="Y2" i="6"/>
  <c r="U2" i="6"/>
  <c r="T2" i="6"/>
  <c r="B1685" i="5"/>
  <c r="B1686" i="5" s="1"/>
  <c r="B1687" i="5" s="1"/>
  <c r="B1688" i="5" s="1"/>
  <c r="B1689" i="5" s="1"/>
  <c r="B1690" i="5" s="1"/>
  <c r="B1691" i="5" s="1"/>
  <c r="B1692" i="5" s="1"/>
  <c r="B1717" i="5" s="1"/>
  <c r="B1718" i="5" s="1"/>
  <c r="B1719" i="5" s="1"/>
  <c r="B1720" i="5" s="1"/>
  <c r="B1721" i="5" s="1"/>
  <c r="B1722" i="5" s="1"/>
  <c r="B1723" i="5" s="1"/>
  <c r="B1298" i="5"/>
  <c r="B1361" i="5" s="1"/>
  <c r="B1437" i="5" s="1"/>
  <c r="B1455" i="5" s="1"/>
  <c r="B1513" i="5" s="1"/>
  <c r="B1580" i="5" s="1"/>
  <c r="B1581" i="5" s="1"/>
  <c r="B1582" i="5" s="1"/>
  <c r="B1213" i="5"/>
  <c r="U61" i="12" l="1"/>
  <c r="EM131" i="9"/>
  <c r="HP131" i="9" s="1"/>
  <c r="L81" i="12"/>
  <c r="L21" i="12"/>
  <c r="U35" i="12"/>
  <c r="X42" i="12"/>
  <c r="JN7" i="10"/>
  <c r="EN122" i="9"/>
  <c r="HS122" i="9" s="1"/>
  <c r="U53" i="26" s="1"/>
  <c r="K54" i="26"/>
  <c r="FL86" i="9"/>
  <c r="HW86" i="9" s="1"/>
  <c r="HU86" i="9" s="1"/>
  <c r="EM86" i="9"/>
  <c r="HP86" i="9" s="1"/>
  <c r="EQ23" i="9"/>
  <c r="DK25" i="9"/>
  <c r="GR25" i="9" s="1"/>
  <c r="EN23" i="9"/>
  <c r="HS23" i="9" s="1"/>
  <c r="U75" i="26" s="1"/>
  <c r="DK102" i="9"/>
  <c r="GR102" i="9" s="1"/>
  <c r="DT65" i="9"/>
  <c r="GX65" i="9" s="1"/>
  <c r="U44" i="24" s="1"/>
  <c r="FF91" i="9"/>
  <c r="GY91" i="9" s="1"/>
  <c r="Z47" i="24" s="1"/>
  <c r="DS32" i="9"/>
  <c r="GU32" i="9" s="1"/>
  <c r="EC85" i="9"/>
  <c r="HG85" i="9" s="1"/>
  <c r="EN86" i="9"/>
  <c r="HS86" i="9" s="1"/>
  <c r="EC92" i="9"/>
  <c r="DO151" i="9"/>
  <c r="ED150" i="9"/>
  <c r="HJ150" i="9" s="1"/>
  <c r="W106" i="25" s="1"/>
  <c r="L54" i="26"/>
  <c r="X78" i="12"/>
  <c r="ED48" i="9"/>
  <c r="HJ48" i="9" s="1"/>
  <c r="W100" i="25" s="1"/>
  <c r="EC47" i="9"/>
  <c r="HG47" i="9" s="1"/>
  <c r="V99" i="25" s="1"/>
  <c r="EB124" i="9"/>
  <c r="HD124" i="9" s="1"/>
  <c r="AA78" i="12"/>
  <c r="ED124" i="9"/>
  <c r="HJ124" i="9" s="1"/>
  <c r="W60" i="25" s="1"/>
  <c r="K45" i="25"/>
  <c r="FL11" i="9"/>
  <c r="HW11" i="9" s="1"/>
  <c r="AA19" i="26" s="1"/>
  <c r="AA25" i="12"/>
  <c r="DP30" i="9"/>
  <c r="ES63" i="9"/>
  <c r="FL91" i="9"/>
  <c r="HQ91" i="9" s="1"/>
  <c r="Y87" i="26" s="1"/>
  <c r="EE12" i="9"/>
  <c r="EO31" i="9"/>
  <c r="ES78" i="9"/>
  <c r="EE104" i="9"/>
  <c r="HM104" i="9" s="1"/>
  <c r="EB131" i="9"/>
  <c r="HD131" i="9" s="1"/>
  <c r="DI125" i="9"/>
  <c r="GL125" i="9" s="1"/>
  <c r="V26" i="23" s="1"/>
  <c r="X83" i="12"/>
  <c r="BI24" i="9"/>
  <c r="HA35" i="9"/>
  <c r="V69" i="24" s="1"/>
  <c r="DK41" i="9"/>
  <c r="GR41" i="9" s="1"/>
  <c r="X58" i="23" s="1"/>
  <c r="DO48" i="9"/>
  <c r="DP149" i="9"/>
  <c r="DU151" i="9"/>
  <c r="HA151" i="9" s="1"/>
  <c r="FL137" i="9"/>
  <c r="HW137" i="9" s="1"/>
  <c r="AA95" i="26" s="1"/>
  <c r="U78" i="12"/>
  <c r="DX31" i="9"/>
  <c r="DS149" i="9"/>
  <c r="GU149" i="9" s="1"/>
  <c r="T104" i="24" s="1"/>
  <c r="DU72" i="9"/>
  <c r="HA72" i="9" s="1"/>
  <c r="V61" i="24" s="1"/>
  <c r="ER137" i="9"/>
  <c r="U46" i="12"/>
  <c r="HM122" i="9"/>
  <c r="X38" i="25" s="1"/>
  <c r="DK24" i="9"/>
  <c r="FL66" i="9"/>
  <c r="HT66" i="9" s="1"/>
  <c r="Z35" i="26" s="1"/>
  <c r="EI133" i="9"/>
  <c r="DP134" i="9"/>
  <c r="X46" i="12"/>
  <c r="EJ69" i="9"/>
  <c r="IC22" i="9"/>
  <c r="K24" i="28" s="1"/>
  <c r="DP99" i="9"/>
  <c r="DU65" i="9"/>
  <c r="HA65" i="9" s="1"/>
  <c r="V44" i="24" s="1"/>
  <c r="EJ98" i="9"/>
  <c r="EO131" i="9"/>
  <c r="HV131" i="9" s="1"/>
  <c r="U25" i="12"/>
  <c r="DS36" i="9"/>
  <c r="GU36" i="9" s="1"/>
  <c r="EB18" i="9"/>
  <c r="EE19" i="9"/>
  <c r="ER15" i="9"/>
  <c r="DW114" i="9"/>
  <c r="K13" i="12"/>
  <c r="AA103" i="12"/>
  <c r="HV16" i="9"/>
  <c r="V72" i="26" s="1"/>
  <c r="AA63" i="12"/>
  <c r="FC55" i="9"/>
  <c r="GM55" i="9" s="1"/>
  <c r="AA11" i="12"/>
  <c r="EC48" i="9"/>
  <c r="HG48" i="9" s="1"/>
  <c r="V100" i="25" s="1"/>
  <c r="BI59" i="9"/>
  <c r="DU71" i="9"/>
  <c r="HA71" i="9" s="1"/>
  <c r="V64" i="24" s="1"/>
  <c r="ED85" i="9"/>
  <c r="HJ85" i="9" s="1"/>
  <c r="DW70" i="9"/>
  <c r="DP122" i="9"/>
  <c r="DN123" i="9"/>
  <c r="DX126" i="9"/>
  <c r="L26" i="12"/>
  <c r="L33" i="12"/>
  <c r="K53" i="12"/>
  <c r="FI48" i="9"/>
  <c r="HH48" i="9" s="1"/>
  <c r="AB100" i="25" s="1"/>
  <c r="EN60" i="9"/>
  <c r="HS60" i="9" s="1"/>
  <c r="U55" i="26" s="1"/>
  <c r="EN92" i="9"/>
  <c r="EC119" i="9"/>
  <c r="HG119" i="9" s="1"/>
  <c r="V58" i="25" s="1"/>
  <c r="ED135" i="9"/>
  <c r="HJ135" i="9" s="1"/>
  <c r="W66" i="25" s="1"/>
  <c r="ID48" i="9"/>
  <c r="L101" i="28" s="1"/>
  <c r="EE58" i="9"/>
  <c r="HM58" i="9" s="1"/>
  <c r="X31" i="25" s="1"/>
  <c r="HZ86" i="9"/>
  <c r="JD7" i="11"/>
  <c r="JR7" i="11"/>
  <c r="L88" i="12"/>
  <c r="K102" i="12"/>
  <c r="EE119" i="9"/>
  <c r="HM119" i="9" s="1"/>
  <c r="X58" i="25" s="1"/>
  <c r="DX18" i="9"/>
  <c r="ED76" i="9"/>
  <c r="HJ76" i="9" s="1"/>
  <c r="W15" i="25" s="1"/>
  <c r="EQ78" i="9"/>
  <c r="EC104" i="9"/>
  <c r="HG104" i="9" s="1"/>
  <c r="DO60" i="9"/>
  <c r="EI38" i="9"/>
  <c r="DY55" i="9"/>
  <c r="DJ107" i="9"/>
  <c r="GO107" i="9" s="1"/>
  <c r="DY126" i="9"/>
  <c r="ED18" i="9"/>
  <c r="EO19" i="9"/>
  <c r="EH104" i="9"/>
  <c r="IX7" i="11"/>
  <c r="U18" i="12"/>
  <c r="U55" i="12"/>
  <c r="EB101" i="9"/>
  <c r="HD101" i="9" s="1"/>
  <c r="U8" i="25" s="1"/>
  <c r="DP105" i="9"/>
  <c r="K84" i="12"/>
  <c r="FI113" i="9"/>
  <c r="HN113" i="9" s="1"/>
  <c r="AD17" i="25" s="1"/>
  <c r="U11" i="12"/>
  <c r="DN18" i="9"/>
  <c r="DU149" i="9"/>
  <c r="HA149" i="9" s="1"/>
  <c r="O48" i="12"/>
  <c r="L57" i="12"/>
  <c r="L71" i="12"/>
  <c r="FC97" i="9"/>
  <c r="GS97" i="9" s="1"/>
  <c r="DP151" i="9"/>
  <c r="X11" i="12"/>
  <c r="ER17" i="9"/>
  <c r="BI30" i="9"/>
  <c r="BD48" i="9"/>
  <c r="EM98" i="9"/>
  <c r="HP98" i="9" s="1"/>
  <c r="DO99" i="9"/>
  <c r="EC149" i="9"/>
  <c r="HG149" i="9" s="1"/>
  <c r="V90" i="25" s="1"/>
  <c r="DT151" i="9"/>
  <c r="GX151" i="9" s="1"/>
  <c r="K44" i="12"/>
  <c r="R48" i="12"/>
  <c r="K86" i="26"/>
  <c r="EQ49" i="9"/>
  <c r="L91" i="12"/>
  <c r="DN27" i="9"/>
  <c r="DO13" i="9"/>
  <c r="AA80" i="12"/>
  <c r="DN85" i="9"/>
  <c r="EM127" i="9"/>
  <c r="HP127" i="9" s="1"/>
  <c r="T80" i="26" s="1"/>
  <c r="EO141" i="9"/>
  <c r="HV141" i="9" s="1"/>
  <c r="V97" i="26" s="1"/>
  <c r="DP8" i="9"/>
  <c r="EO12" i="9"/>
  <c r="EC18" i="9"/>
  <c r="DP27" i="9"/>
  <c r="DO30" i="9"/>
  <c r="DY43" i="9"/>
  <c r="DO85" i="9"/>
  <c r="FI86" i="9"/>
  <c r="HH86" i="9" s="1"/>
  <c r="EO127" i="9"/>
  <c r="HV127" i="9" s="1"/>
  <c r="V80" i="26" s="1"/>
  <c r="FL141" i="9"/>
  <c r="AD98" i="22" s="1"/>
  <c r="AA48" i="12"/>
  <c r="L92" i="12"/>
  <c r="DX114" i="9"/>
  <c r="DO8" i="9"/>
  <c r="FC9" i="9"/>
  <c r="GJ9" i="9" s="1"/>
  <c r="EQ95" i="9"/>
  <c r="EO100" i="9"/>
  <c r="HV100" i="9" s="1"/>
  <c r="DU101" i="9"/>
  <c r="HA101" i="9" s="1"/>
  <c r="V82" i="24" s="1"/>
  <c r="DS8" i="9"/>
  <c r="EQ8" i="9"/>
  <c r="DK10" i="9"/>
  <c r="GR10" i="9" s="1"/>
  <c r="EH18" i="9"/>
  <c r="EI27" i="9"/>
  <c r="DM38" i="9"/>
  <c r="EI40" i="9"/>
  <c r="AA4" i="12"/>
  <c r="FF79" i="9"/>
  <c r="GV79" i="9" s="1"/>
  <c r="Y39" i="24" s="1"/>
  <c r="DI86" i="9"/>
  <c r="GL86" i="9" s="1"/>
  <c r="EC101" i="9"/>
  <c r="HG101" i="9" s="1"/>
  <c r="V8" i="25" s="1"/>
  <c r="DM107" i="9"/>
  <c r="ED142" i="9"/>
  <c r="HJ142" i="9" s="1"/>
  <c r="L47" i="12"/>
  <c r="HV18" i="9"/>
  <c r="V66" i="26" s="1"/>
  <c r="IC86" i="9"/>
  <c r="DP101" i="9"/>
  <c r="FL60" i="9"/>
  <c r="X55" i="26" s="1"/>
  <c r="GO14" i="9"/>
  <c r="W21" i="23" s="1"/>
  <c r="HA15" i="9"/>
  <c r="V25" i="24" s="1"/>
  <c r="EI18" i="9"/>
  <c r="DU19" i="9"/>
  <c r="EJ27" i="9"/>
  <c r="DJ57" i="9"/>
  <c r="GO57" i="9" s="1"/>
  <c r="ED60" i="9"/>
  <c r="HJ60" i="9" s="1"/>
  <c r="W50" i="25" s="1"/>
  <c r="DT75" i="9"/>
  <c r="GX75" i="9" s="1"/>
  <c r="EI78" i="9"/>
  <c r="EC86" i="9"/>
  <c r="HG86" i="9" s="1"/>
  <c r="FL135" i="9"/>
  <c r="HT135" i="9" s="1"/>
  <c r="Z77" i="26" s="1"/>
  <c r="BI154" i="9"/>
  <c r="JP7" i="11"/>
  <c r="K5" i="12"/>
  <c r="L14" i="12"/>
  <c r="K70" i="12"/>
  <c r="K77" i="12"/>
  <c r="L86" i="26"/>
  <c r="DY27" i="9"/>
  <c r="EC40" i="9"/>
  <c r="HG40" i="9" s="1"/>
  <c r="DP85" i="9"/>
  <c r="BD8" i="9"/>
  <c r="EE35" i="9"/>
  <c r="BI45" i="9"/>
  <c r="EO64" i="9"/>
  <c r="HV64" i="9" s="1"/>
  <c r="DU75" i="9"/>
  <c r="HA75" i="9" s="1"/>
  <c r="V4" i="24" s="1"/>
  <c r="EJ78" i="9"/>
  <c r="FI97" i="9"/>
  <c r="HN97" i="9" s="1"/>
  <c r="BD100" i="9"/>
  <c r="FF129" i="9"/>
  <c r="GY129" i="9" s="1"/>
  <c r="JQ7" i="11"/>
  <c r="L44" i="22"/>
  <c r="L89" i="22"/>
  <c r="DU32" i="9"/>
  <c r="HA32" i="9" s="1"/>
  <c r="EM47" i="9"/>
  <c r="HP47" i="9" s="1"/>
  <c r="T90" i="26" s="1"/>
  <c r="DS53" i="9"/>
  <c r="GU53" i="9" s="1"/>
  <c r="T70" i="24" s="1"/>
  <c r="ED81" i="9"/>
  <c r="HJ81" i="9" s="1"/>
  <c r="BI125" i="9"/>
  <c r="JF7" i="10"/>
  <c r="JE7" i="11"/>
  <c r="L68" i="12"/>
  <c r="U7" i="9"/>
  <c r="EH52" i="9"/>
  <c r="FC105" i="9"/>
  <c r="GP105" i="9" s="1"/>
  <c r="AC72" i="23" s="1"/>
  <c r="DI113" i="9"/>
  <c r="GL113" i="9" s="1"/>
  <c r="V13" i="23" s="1"/>
  <c r="AA49" i="12"/>
  <c r="EN119" i="9"/>
  <c r="HS119" i="9" s="1"/>
  <c r="U76" i="26" s="1"/>
  <c r="L93" i="12"/>
  <c r="EH58" i="9"/>
  <c r="DX66" i="9"/>
  <c r="EJ71" i="9"/>
  <c r="DW116" i="9"/>
  <c r="EH127" i="9"/>
  <c r="HZ131" i="9"/>
  <c r="EE149" i="9"/>
  <c r="HM149" i="9" s="1"/>
  <c r="X90" i="25" s="1"/>
  <c r="EG150" i="9"/>
  <c r="L8" i="12"/>
  <c r="HG14" i="9"/>
  <c r="V14" i="25" s="1"/>
  <c r="ES80" i="9"/>
  <c r="EH24" i="9"/>
  <c r="AA24" i="12"/>
  <c r="DW30" i="9"/>
  <c r="ER31" i="9"/>
  <c r="ES34" i="9"/>
  <c r="IB39" i="9"/>
  <c r="EQ48" i="9"/>
  <c r="DP50" i="9"/>
  <c r="EI58" i="9"/>
  <c r="DW62" i="9"/>
  <c r="X12" i="12"/>
  <c r="EQ71" i="9"/>
  <c r="DO76" i="9"/>
  <c r="EG86" i="9"/>
  <c r="IA98" i="9"/>
  <c r="ES107" i="9"/>
  <c r="DN108" i="9"/>
  <c r="EQ114" i="9"/>
  <c r="EI127" i="9"/>
  <c r="ID131" i="9"/>
  <c r="IT7" i="10"/>
  <c r="JG7" i="11"/>
  <c r="L20" i="12"/>
  <c r="K75" i="12"/>
  <c r="DW66" i="9"/>
  <c r="ES106" i="9"/>
  <c r="EG127" i="9"/>
  <c r="L29" i="12"/>
  <c r="IA16" i="9"/>
  <c r="I59" i="28" s="1"/>
  <c r="U24" i="12"/>
  <c r="K10" i="12"/>
  <c r="EH9" i="9"/>
  <c r="EQ13" i="9"/>
  <c r="U31" i="12"/>
  <c r="DN94" i="9"/>
  <c r="ER114" i="9"/>
  <c r="EE152" i="9"/>
  <c r="HM152" i="9" s="1"/>
  <c r="ER20" i="9"/>
  <c r="DX50" i="9"/>
  <c r="EJ66" i="9"/>
  <c r="DP25" i="9"/>
  <c r="DJ26" i="9"/>
  <c r="GO26" i="9" s="1"/>
  <c r="DX13" i="9"/>
  <c r="DX20" i="9"/>
  <c r="GI12" i="9"/>
  <c r="U10" i="23" s="1"/>
  <c r="EQ20" i="9"/>
  <c r="DM36" i="9"/>
  <c r="EI86" i="9"/>
  <c r="DM90" i="9"/>
  <c r="FI107" i="9"/>
  <c r="HH107" i="9" s="1"/>
  <c r="GR12" i="9"/>
  <c r="X10" i="23" s="1"/>
  <c r="ER13" i="9"/>
  <c r="EB14" i="9"/>
  <c r="GX19" i="9"/>
  <c r="U23" i="24" s="1"/>
  <c r="EN67" i="9"/>
  <c r="HS67" i="9" s="1"/>
  <c r="U8" i="26" s="1"/>
  <c r="DN82" i="9"/>
  <c r="DW94" i="9"/>
  <c r="DW144" i="9"/>
  <c r="U32" i="12"/>
  <c r="DI103" i="9"/>
  <c r="GL103" i="9" s="1"/>
  <c r="DN120" i="9"/>
  <c r="DX144" i="9"/>
  <c r="IW7" i="10"/>
  <c r="K46" i="12"/>
  <c r="L105" i="24"/>
  <c r="GI8" i="9"/>
  <c r="U27" i="23" s="1"/>
  <c r="DP10" i="9"/>
  <c r="AA46" i="12"/>
  <c r="X99" i="12"/>
  <c r="DH19" i="9"/>
  <c r="DX25" i="9"/>
  <c r="DM26" i="9"/>
  <c r="FC30" i="9"/>
  <c r="Z54" i="23" s="1"/>
  <c r="EI30" i="9"/>
  <c r="DP36" i="9"/>
  <c r="EJ45" i="9"/>
  <c r="ER50" i="9"/>
  <c r="ES51" i="9"/>
  <c r="IC60" i="9"/>
  <c r="K52" i="28" s="1"/>
  <c r="BD75" i="9"/>
  <c r="DJ77" i="9"/>
  <c r="GO77" i="9" s="1"/>
  <c r="W9" i="23" s="1"/>
  <c r="EN82" i="9"/>
  <c r="HS82" i="9" s="1"/>
  <c r="U6" i="26" s="1"/>
  <c r="DM83" i="9"/>
  <c r="DP90" i="9"/>
  <c r="DI95" i="9"/>
  <c r="GL95" i="9" s="1"/>
  <c r="EE102" i="9"/>
  <c r="HM102" i="9" s="1"/>
  <c r="EJ108" i="9"/>
  <c r="DU110" i="9"/>
  <c r="HA110" i="9" s="1"/>
  <c r="DO120" i="9"/>
  <c r="DY125" i="9"/>
  <c r="FC127" i="9"/>
  <c r="Z79" i="23" s="1"/>
  <c r="DY128" i="9"/>
  <c r="DH132" i="9"/>
  <c r="GI132" i="9" s="1"/>
  <c r="U84" i="23" s="1"/>
  <c r="DU136" i="9"/>
  <c r="HA136" i="9" s="1"/>
  <c r="V98" i="24" s="1"/>
  <c r="EM144" i="9"/>
  <c r="HP144" i="9" s="1"/>
  <c r="T100" i="26" s="1"/>
  <c r="DY146" i="9"/>
  <c r="BD150" i="9"/>
  <c r="L44" i="12"/>
  <c r="L100" i="12"/>
  <c r="L65" i="12"/>
  <c r="L79" i="12"/>
  <c r="GL52" i="9"/>
  <c r="V28" i="23" s="1"/>
  <c r="GI17" i="9"/>
  <c r="U69" i="23" s="1"/>
  <c r="DX30" i="9"/>
  <c r="EI9" i="9"/>
  <c r="DY72" i="9"/>
  <c r="U99" i="12"/>
  <c r="EG30" i="9"/>
  <c r="DO36" i="9"/>
  <c r="EQ50" i="9"/>
  <c r="DI77" i="9"/>
  <c r="GL77" i="9" s="1"/>
  <c r="V9" i="23" s="1"/>
  <c r="EG81" i="9"/>
  <c r="DO82" i="9"/>
  <c r="DO90" i="9"/>
  <c r="DX94" i="9"/>
  <c r="DT109" i="9"/>
  <c r="GX109" i="9" s="1"/>
  <c r="DN125" i="9"/>
  <c r="DN11" i="9"/>
  <c r="AA18" i="12"/>
  <c r="FF58" i="9"/>
  <c r="X6" i="24" s="1"/>
  <c r="FF65" i="9"/>
  <c r="GY65" i="9" s="1"/>
  <c r="Z44" i="24" s="1"/>
  <c r="HJ70" i="9"/>
  <c r="W48" i="25" s="1"/>
  <c r="DN83" i="9"/>
  <c r="DK95" i="9"/>
  <c r="GR95" i="9" s="1"/>
  <c r="DS103" i="9"/>
  <c r="GU103" i="9" s="1"/>
  <c r="EG111" i="9"/>
  <c r="DP120" i="9"/>
  <c r="ER125" i="9"/>
  <c r="FF134" i="9"/>
  <c r="X97" i="24" s="1"/>
  <c r="DY136" i="9"/>
  <c r="EM137" i="9"/>
  <c r="HP137" i="9" s="1"/>
  <c r="T95" i="26" s="1"/>
  <c r="DO140" i="9"/>
  <c r="JD7" i="10"/>
  <c r="JR7" i="10"/>
  <c r="KA7" i="10"/>
  <c r="HM14" i="9"/>
  <c r="X14" i="25" s="1"/>
  <c r="K79" i="12"/>
  <c r="EQ31" i="9"/>
  <c r="EQ75" i="9"/>
  <c r="ES24" i="9"/>
  <c r="EO93" i="9"/>
  <c r="HV93" i="9" s="1"/>
  <c r="ES114" i="9"/>
  <c r="K82" i="12"/>
  <c r="FI37" i="9"/>
  <c r="HN37" i="9" s="1"/>
  <c r="HL37" i="9" s="1"/>
  <c r="EE45" i="9"/>
  <c r="HM45" i="9" s="1"/>
  <c r="X69" i="25" s="1"/>
  <c r="FI46" i="9"/>
  <c r="HK46" i="9" s="1"/>
  <c r="AC63" i="25" s="1"/>
  <c r="DT145" i="9"/>
  <c r="GX145" i="9" s="1"/>
  <c r="U100" i="24" s="1"/>
  <c r="L86" i="12"/>
  <c r="DX10" i="9"/>
  <c r="AA99" i="12"/>
  <c r="DO26" i="9"/>
  <c r="DM37" i="9"/>
  <c r="FL8" i="9"/>
  <c r="HQ8" i="9" s="1"/>
  <c r="Y23" i="26" s="1"/>
  <c r="DY10" i="9"/>
  <c r="DX11" i="9"/>
  <c r="DK12" i="9"/>
  <c r="FC15" i="9"/>
  <c r="GP15" i="9" s="1"/>
  <c r="AC47" i="23" s="1"/>
  <c r="DU16" i="9"/>
  <c r="X56" i="12"/>
  <c r="HD18" i="9"/>
  <c r="U54" i="25" s="1"/>
  <c r="X87" i="12"/>
  <c r="EQ30" i="9"/>
  <c r="HJ35" i="9"/>
  <c r="W26" i="25" s="1"/>
  <c r="DT36" i="9"/>
  <c r="GX36" i="9" s="1"/>
  <c r="DO37" i="9"/>
  <c r="EC52" i="9"/>
  <c r="HG52" i="9" s="1"/>
  <c r="V35" i="25" s="1"/>
  <c r="DI55" i="9"/>
  <c r="GL55" i="9" s="1"/>
  <c r="DM63" i="9"/>
  <c r="DP68" i="9"/>
  <c r="DK69" i="9"/>
  <c r="GR69" i="9" s="1"/>
  <c r="DP83" i="9"/>
  <c r="EC84" i="9"/>
  <c r="HG84" i="9" s="1"/>
  <c r="V12" i="25" s="1"/>
  <c r="DW90" i="9"/>
  <c r="ER91" i="9"/>
  <c r="DN95" i="9"/>
  <c r="DU103" i="9"/>
  <c r="HA103" i="9" s="1"/>
  <c r="EH111" i="9"/>
  <c r="FL114" i="9"/>
  <c r="HT114" i="9" s="1"/>
  <c r="Z74" i="26" s="1"/>
  <c r="EC120" i="9"/>
  <c r="HG120" i="9" s="1"/>
  <c r="V28" i="25" s="1"/>
  <c r="DH121" i="9"/>
  <c r="GI121" i="9" s="1"/>
  <c r="U86" i="23" s="1"/>
  <c r="FF125" i="9"/>
  <c r="GY125" i="9" s="1"/>
  <c r="Z30" i="24" s="1"/>
  <c r="DH126" i="9"/>
  <c r="GI126" i="9" s="1"/>
  <c r="HJ127" i="9"/>
  <c r="W75" i="25" s="1"/>
  <c r="DY130" i="9"/>
  <c r="EO137" i="9"/>
  <c r="HV137" i="9" s="1"/>
  <c r="V95" i="26" s="1"/>
  <c r="DP140" i="9"/>
  <c r="AA104" i="12"/>
  <c r="EH146" i="9"/>
  <c r="EB147" i="9"/>
  <c r="K69" i="12"/>
  <c r="U19" i="12"/>
  <c r="L58" i="12"/>
  <c r="R83" i="12"/>
  <c r="DY14" i="9"/>
  <c r="ER48" i="9"/>
  <c r="ED28" i="9"/>
  <c r="DM10" i="9"/>
  <c r="HD19" i="9"/>
  <c r="U18" i="25" s="1"/>
  <c r="EI76" i="9"/>
  <c r="DN102" i="9"/>
  <c r="DX146" i="9"/>
  <c r="U56" i="12"/>
  <c r="DK19" i="9"/>
  <c r="U87" i="12"/>
  <c r="U5" i="12"/>
  <c r="EJ30" i="9"/>
  <c r="DM8" i="9"/>
  <c r="EJ17" i="9"/>
  <c r="DS19" i="9"/>
  <c r="V6" i="9"/>
  <c r="V6" i="11" s="1"/>
  <c r="EB22" i="9"/>
  <c r="HD22" i="9" s="1"/>
  <c r="U25" i="25" s="1"/>
  <c r="AA87" i="12"/>
  <c r="ER30" i="9"/>
  <c r="BI48" i="9"/>
  <c r="DJ53" i="9"/>
  <c r="GO53" i="9" s="1"/>
  <c r="W63" i="23" s="1"/>
  <c r="DP55" i="9"/>
  <c r="FL64" i="9"/>
  <c r="X65" i="26" s="1"/>
  <c r="DJ78" i="9"/>
  <c r="EM83" i="9"/>
  <c r="HP83" i="9" s="1"/>
  <c r="ED84" i="9"/>
  <c r="HJ84" i="9" s="1"/>
  <c r="W12" i="25" s="1"/>
  <c r="EN88" i="9"/>
  <c r="FC90" i="9"/>
  <c r="GM90" i="9" s="1"/>
  <c r="AB97" i="23" s="1"/>
  <c r="EO97" i="9"/>
  <c r="HV97" i="9" s="1"/>
  <c r="FL98" i="9"/>
  <c r="HT98" i="9" s="1"/>
  <c r="EC103" i="9"/>
  <c r="HG103" i="9" s="1"/>
  <c r="EI111" i="9"/>
  <c r="EC112" i="9"/>
  <c r="HG112" i="9" s="1"/>
  <c r="BI123" i="9"/>
  <c r="FL125" i="9"/>
  <c r="X25" i="26" s="1"/>
  <c r="DI126" i="9"/>
  <c r="GL126" i="9" s="1"/>
  <c r="DI131" i="9"/>
  <c r="GL131" i="9" s="1"/>
  <c r="EC147" i="9"/>
  <c r="HG147" i="9" s="1"/>
  <c r="DI149" i="9"/>
  <c r="GL149" i="9" s="1"/>
  <c r="V91" i="23" s="1"/>
  <c r="U48" i="12"/>
  <c r="EH57" i="9"/>
  <c r="ER123" i="9"/>
  <c r="L99" i="12"/>
  <c r="EB28" i="9"/>
  <c r="HV52" i="9"/>
  <c r="V28" i="26" s="1"/>
  <c r="IU7" i="10"/>
  <c r="AA31" i="12"/>
  <c r="DX128" i="9"/>
  <c r="JY7" i="10"/>
  <c r="DT12" i="9"/>
  <c r="BI13" i="9"/>
  <c r="HP18" i="9"/>
  <c r="T66" i="26" s="1"/>
  <c r="DT19" i="9"/>
  <c r="BI20" i="9"/>
  <c r="ED22" i="9"/>
  <c r="HJ22" i="9" s="1"/>
  <c r="W25" i="25" s="1"/>
  <c r="IC35" i="9"/>
  <c r="K27" i="28" s="1"/>
  <c r="EI37" i="9"/>
  <c r="DT40" i="9"/>
  <c r="GX40" i="9" s="1"/>
  <c r="DJ43" i="9"/>
  <c r="GO43" i="9" s="1"/>
  <c r="W57" i="23" s="1"/>
  <c r="EO46" i="9"/>
  <c r="HV46" i="9" s="1"/>
  <c r="V30" i="26" s="1"/>
  <c r="FF52" i="9"/>
  <c r="HB52" i="9" s="1"/>
  <c r="AA15" i="24" s="1"/>
  <c r="HZ82" i="9"/>
  <c r="H6" i="28" s="1"/>
  <c r="FI84" i="9"/>
  <c r="Z12" i="25" s="1"/>
  <c r="EO88" i="9"/>
  <c r="EG96" i="9"/>
  <c r="DT104" i="9"/>
  <c r="GX104" i="9" s="1"/>
  <c r="DH113" i="9"/>
  <c r="GI113" i="9" s="1"/>
  <c r="U13" i="23" s="1"/>
  <c r="U49" i="12"/>
  <c r="DN126" i="9"/>
  <c r="DK131" i="9"/>
  <c r="GR131" i="9" s="1"/>
  <c r="EE147" i="9"/>
  <c r="EO148" i="9"/>
  <c r="HV148" i="9" s="1"/>
  <c r="V93" i="26" s="1"/>
  <c r="X48" i="12"/>
  <c r="L83" i="12"/>
  <c r="L96" i="12"/>
  <c r="DO32" i="9"/>
  <c r="DP32" i="9"/>
  <c r="DH45" i="9"/>
  <c r="GI45" i="9" s="1"/>
  <c r="U34" i="23" s="1"/>
  <c r="DJ45" i="9"/>
  <c r="GO45" i="9" s="1"/>
  <c r="W34" i="23" s="1"/>
  <c r="FI47" i="9"/>
  <c r="HN47" i="9" s="1"/>
  <c r="AD99" i="25" s="1"/>
  <c r="EI47" i="9"/>
  <c r="FC78" i="9"/>
  <c r="GJ78" i="9" s="1"/>
  <c r="AA90" i="23" s="1"/>
  <c r="DP78" i="9"/>
  <c r="Z56" i="12"/>
  <c r="AA56" i="12" s="1"/>
  <c r="FL18" i="9"/>
  <c r="X66" i="26" s="1"/>
  <c r="EH115" i="9"/>
  <c r="FI115" i="9"/>
  <c r="Z49" i="25" s="1"/>
  <c r="L22" i="12"/>
  <c r="HG19" i="9"/>
  <c r="V18" i="25" s="1"/>
  <c r="FC31" i="9"/>
  <c r="Z62" i="23" s="1"/>
  <c r="ED40" i="9"/>
  <c r="HJ40" i="9" s="1"/>
  <c r="EG41" i="9"/>
  <c r="EJ41" i="9"/>
  <c r="DS45" i="9"/>
  <c r="GU45" i="9" s="1"/>
  <c r="T20" i="24" s="1"/>
  <c r="DT45" i="9"/>
  <c r="GX45" i="9" s="1"/>
  <c r="U20" i="24" s="1"/>
  <c r="ES48" i="9"/>
  <c r="W62" i="12"/>
  <c r="X62" i="12" s="1"/>
  <c r="EG49" i="9"/>
  <c r="EH49" i="9"/>
  <c r="EJ49" i="9"/>
  <c r="BD52" i="9"/>
  <c r="FL52" i="9"/>
  <c r="HW52" i="9" s="1"/>
  <c r="AA28" i="26" s="1"/>
  <c r="FL54" i="9"/>
  <c r="HT54" i="9" s="1"/>
  <c r="Z42" i="26" s="1"/>
  <c r="DM67" i="9"/>
  <c r="DN67" i="9"/>
  <c r="EJ112" i="9"/>
  <c r="FI112" i="9"/>
  <c r="HN112" i="9" s="1"/>
  <c r="EI112" i="9"/>
  <c r="EO113" i="9"/>
  <c r="HV113" i="9" s="1"/>
  <c r="V13" i="26" s="1"/>
  <c r="EN113" i="9"/>
  <c r="HS113" i="9" s="1"/>
  <c r="U13" i="26" s="1"/>
  <c r="BD121" i="9"/>
  <c r="DU121" i="9"/>
  <c r="HA121" i="9" s="1"/>
  <c r="V60" i="24" s="1"/>
  <c r="DT121" i="9"/>
  <c r="GX121" i="9" s="1"/>
  <c r="U60" i="24" s="1"/>
  <c r="DS121" i="9"/>
  <c r="GU121" i="9" s="1"/>
  <c r="IA121" i="9"/>
  <c r="I88" i="28" s="1"/>
  <c r="DU125" i="9"/>
  <c r="HA125" i="9" s="1"/>
  <c r="V30" i="24" s="1"/>
  <c r="DT125" i="9"/>
  <c r="GX125" i="9" s="1"/>
  <c r="U30" i="24" s="1"/>
  <c r="DJ126" i="9"/>
  <c r="GO126" i="9" s="1"/>
  <c r="DN10" i="9"/>
  <c r="U14" i="12"/>
  <c r="DH12" i="9"/>
  <c r="X29" i="12"/>
  <c r="DJ16" i="9"/>
  <c r="HA17" i="9"/>
  <c r="V67" i="24" s="1"/>
  <c r="DS17" i="9"/>
  <c r="HM19" i="9"/>
  <c r="X18" i="25" s="1"/>
  <c r="DH23" i="9"/>
  <c r="GI23" i="9" s="1"/>
  <c r="U73" i="23" s="1"/>
  <c r="DX27" i="9"/>
  <c r="EE40" i="9"/>
  <c r="HM40" i="9" s="1"/>
  <c r="IB100" i="9"/>
  <c r="DJ114" i="9"/>
  <c r="GO114" i="9" s="1"/>
  <c r="W75" i="23" s="1"/>
  <c r="IA114" i="9"/>
  <c r="I73" i="28" s="1"/>
  <c r="DH114" i="9"/>
  <c r="GI114" i="9" s="1"/>
  <c r="U75" i="23" s="1"/>
  <c r="IB114" i="9"/>
  <c r="J73" i="28" s="1"/>
  <c r="EJ115" i="9"/>
  <c r="EE121" i="9"/>
  <c r="HM121" i="9" s="1"/>
  <c r="X79" i="25" s="1"/>
  <c r="EC121" i="9"/>
  <c r="HG121" i="9" s="1"/>
  <c r="V79" i="25" s="1"/>
  <c r="ED140" i="9"/>
  <c r="HJ140" i="9" s="1"/>
  <c r="W98" i="25" s="1"/>
  <c r="EE140" i="9"/>
  <c r="HM140" i="9" s="1"/>
  <c r="X98" i="25" s="1"/>
  <c r="BI143" i="9"/>
  <c r="EI143" i="9"/>
  <c r="EG143" i="9"/>
  <c r="FC49" i="9"/>
  <c r="AA39" i="22" s="1"/>
  <c r="DP49" i="9"/>
  <c r="EJ36" i="9"/>
  <c r="EH36" i="9"/>
  <c r="ED42" i="9"/>
  <c r="HJ42" i="9" s="1"/>
  <c r="W36" i="25" s="1"/>
  <c r="EB42" i="9"/>
  <c r="HD42" i="9" s="1"/>
  <c r="U36" i="25" s="1"/>
  <c r="EE67" i="9"/>
  <c r="HM67" i="9" s="1"/>
  <c r="X7" i="25" s="1"/>
  <c r="EC67" i="9"/>
  <c r="HG67" i="9" s="1"/>
  <c r="V7" i="25" s="1"/>
  <c r="EB67" i="9"/>
  <c r="HD67" i="9" s="1"/>
  <c r="U7" i="25" s="1"/>
  <c r="EE22" i="9"/>
  <c r="HM22" i="9" s="1"/>
  <c r="X25" i="25" s="1"/>
  <c r="DJ9" i="9"/>
  <c r="GO9" i="9" s="1"/>
  <c r="DH9" i="9"/>
  <c r="GI9" i="9" s="1"/>
  <c r="W14" i="12"/>
  <c r="X14" i="12" s="1"/>
  <c r="EH11" i="9"/>
  <c r="AA29" i="12"/>
  <c r="DI15" i="9"/>
  <c r="DK15" i="9"/>
  <c r="IB19" i="9"/>
  <c r="J26" i="28" s="1"/>
  <c r="DO22" i="9"/>
  <c r="DM22" i="9"/>
  <c r="DW26" i="9"/>
  <c r="DY26" i="9"/>
  <c r="ID45" i="9"/>
  <c r="L35" i="28" s="1"/>
  <c r="EI49" i="9"/>
  <c r="DY83" i="9"/>
  <c r="BI83" i="9"/>
  <c r="EG99" i="9"/>
  <c r="EJ99" i="9"/>
  <c r="EH99" i="9"/>
  <c r="EB100" i="9"/>
  <c r="HD100" i="9" s="1"/>
  <c r="ED100" i="9"/>
  <c r="HJ100" i="9" s="1"/>
  <c r="DK110" i="9"/>
  <c r="GR110" i="9" s="1"/>
  <c r="DI110" i="9"/>
  <c r="GL110" i="9" s="1"/>
  <c r="EN121" i="9"/>
  <c r="HS121" i="9" s="1"/>
  <c r="U84" i="26" s="1"/>
  <c r="EO121" i="9"/>
  <c r="HV121" i="9" s="1"/>
  <c r="V84" i="26" s="1"/>
  <c r="EO125" i="9"/>
  <c r="HV125" i="9" s="1"/>
  <c r="V25" i="26" s="1"/>
  <c r="EM125" i="9"/>
  <c r="HP125" i="9" s="1"/>
  <c r="T25" i="26" s="1"/>
  <c r="EG142" i="9"/>
  <c r="Z105" i="12"/>
  <c r="AA105" i="12" s="1"/>
  <c r="ER143" i="9"/>
  <c r="EB145" i="9"/>
  <c r="HD145" i="9" s="1"/>
  <c r="U105" i="25" s="1"/>
  <c r="ED145" i="9"/>
  <c r="HJ145" i="9" s="1"/>
  <c r="W105" i="25" s="1"/>
  <c r="DS154" i="9"/>
  <c r="GU154" i="9" s="1"/>
  <c r="DT154" i="9"/>
  <c r="GX154" i="9" s="1"/>
  <c r="DS9" i="9"/>
  <c r="GU9" i="9" s="1"/>
  <c r="DU9" i="9"/>
  <c r="HA9" i="9" s="1"/>
  <c r="DT10" i="9"/>
  <c r="GX10" i="9" s="1"/>
  <c r="AA14" i="12"/>
  <c r="HD11" i="9"/>
  <c r="U104" i="25" s="1"/>
  <c r="IB12" i="9"/>
  <c r="J7" i="28" s="1"/>
  <c r="DH14" i="9"/>
  <c r="EG16" i="9"/>
  <c r="DS25" i="9"/>
  <c r="GU25" i="9" s="1"/>
  <c r="EI26" i="9"/>
  <c r="EJ26" i="9"/>
  <c r="EC27" i="9"/>
  <c r="HG27" i="9" s="1"/>
  <c r="V10" i="25" s="1"/>
  <c r="BI28" i="9"/>
  <c r="ED30" i="9"/>
  <c r="HJ30" i="9" s="1"/>
  <c r="FI30" i="9"/>
  <c r="HH30" i="9" s="1"/>
  <c r="DN32" i="9"/>
  <c r="DM41" i="9"/>
  <c r="BG44" i="9"/>
  <c r="EE44" i="9" s="1"/>
  <c r="HM44" i="9" s="1"/>
  <c r="BF44" i="9"/>
  <c r="DT44" i="9" s="1"/>
  <c r="GX44" i="9" s="1"/>
  <c r="BE44" i="9"/>
  <c r="DK44" i="9" s="1"/>
  <c r="GR44" i="9" s="1"/>
  <c r="X16" i="23" s="1"/>
  <c r="ES67" i="9"/>
  <c r="EQ67" i="9"/>
  <c r="DU84" i="9"/>
  <c r="HA84" i="9" s="1"/>
  <c r="V14" i="24" s="1"/>
  <c r="DT84" i="9"/>
  <c r="GX84" i="9" s="1"/>
  <c r="U14" i="24" s="1"/>
  <c r="DT94" i="9"/>
  <c r="GX94" i="9" s="1"/>
  <c r="U8" i="24" s="1"/>
  <c r="EJ95" i="9"/>
  <c r="EI95" i="9"/>
  <c r="EN98" i="9"/>
  <c r="HS98" i="9" s="1"/>
  <c r="DJ111" i="9"/>
  <c r="GO111" i="9" s="1"/>
  <c r="DI111" i="9"/>
  <c r="GL111" i="9" s="1"/>
  <c r="EI124" i="9"/>
  <c r="EH124" i="9"/>
  <c r="EI142" i="9"/>
  <c r="HZ37" i="9"/>
  <c r="DH37" i="9"/>
  <c r="GI37" i="9" s="1"/>
  <c r="EO11" i="9"/>
  <c r="HS11" i="9"/>
  <c r="U19" i="26" s="1"/>
  <c r="ER83" i="9"/>
  <c r="ES83" i="9"/>
  <c r="ES98" i="9"/>
  <c r="DP145" i="9"/>
  <c r="BI145" i="9"/>
  <c r="HP11" i="9"/>
  <c r="T19" i="26" s="1"/>
  <c r="DO14" i="9"/>
  <c r="EQ16" i="9"/>
  <c r="ES23" i="9"/>
  <c r="DH25" i="9"/>
  <c r="GI25" i="9" s="1"/>
  <c r="DJ25" i="9"/>
  <c r="GO25" i="9" s="1"/>
  <c r="HZ25" i="9"/>
  <c r="ED25" i="9"/>
  <c r="HJ25" i="9" s="1"/>
  <c r="HG35" i="9"/>
  <c r="V26" i="25" s="1"/>
  <c r="DT39" i="9"/>
  <c r="GX39" i="9" s="1"/>
  <c r="DU39" i="9"/>
  <c r="HA39" i="9" s="1"/>
  <c r="DP41" i="9"/>
  <c r="T7" i="9"/>
  <c r="EG47" i="9"/>
  <c r="BI52" i="9"/>
  <c r="DO52" i="9"/>
  <c r="DN52" i="9"/>
  <c r="DM52" i="9"/>
  <c r="DP52" i="9"/>
  <c r="DK55" i="9"/>
  <c r="GR55" i="9" s="1"/>
  <c r="DJ55" i="9"/>
  <c r="GO55" i="9" s="1"/>
  <c r="DH55" i="9"/>
  <c r="GI55" i="9" s="1"/>
  <c r="W27" i="12"/>
  <c r="X27" i="12" s="1"/>
  <c r="EJ56" i="9"/>
  <c r="EI56" i="9"/>
  <c r="EH56" i="9"/>
  <c r="FI56" i="9"/>
  <c r="HE56" i="9" s="1"/>
  <c r="AA33" i="25" s="1"/>
  <c r="EO69" i="9"/>
  <c r="HV69" i="9" s="1"/>
  <c r="EN69" i="9"/>
  <c r="HS69" i="9" s="1"/>
  <c r="EE71" i="9"/>
  <c r="HM71" i="9" s="1"/>
  <c r="X77" i="25" s="1"/>
  <c r="DN78" i="9"/>
  <c r="IA81" i="9"/>
  <c r="I74" i="28" s="1"/>
  <c r="IB81" i="9"/>
  <c r="J74" i="28" s="1"/>
  <c r="DK81" i="9"/>
  <c r="GR81" i="9" s="1"/>
  <c r="DJ85" i="9"/>
  <c r="GO85" i="9" s="1"/>
  <c r="DH85" i="9"/>
  <c r="GI85" i="9" s="1"/>
  <c r="BI92" i="9"/>
  <c r="DX92" i="9"/>
  <c r="EB97" i="9"/>
  <c r="HD97" i="9" s="1"/>
  <c r="EE97" i="9"/>
  <c r="HM97" i="9" s="1"/>
  <c r="ED97" i="9"/>
  <c r="HJ97" i="9" s="1"/>
  <c r="EC97" i="9"/>
  <c r="HG97" i="9" s="1"/>
  <c r="IC105" i="9"/>
  <c r="K76" i="28" s="1"/>
  <c r="DK105" i="9"/>
  <c r="GR105" i="9" s="1"/>
  <c r="X72" i="23" s="1"/>
  <c r="DI105" i="9"/>
  <c r="GL105" i="9" s="1"/>
  <c r="V72" i="23" s="1"/>
  <c r="EB111" i="9"/>
  <c r="HD111" i="9" s="1"/>
  <c r="EC111" i="9"/>
  <c r="HG111" i="9" s="1"/>
  <c r="EH112" i="9"/>
  <c r="DK118" i="9"/>
  <c r="GR118" i="9" s="1"/>
  <c r="X88" i="23" s="1"/>
  <c r="DI118" i="9"/>
  <c r="GL118" i="9" s="1"/>
  <c r="V88" i="23" s="1"/>
  <c r="DM141" i="9"/>
  <c r="DP141" i="9"/>
  <c r="DN141" i="9"/>
  <c r="EG144" i="9"/>
  <c r="EJ144" i="9"/>
  <c r="EI144" i="9"/>
  <c r="K91" i="12"/>
  <c r="K87" i="23"/>
  <c r="DS22" i="9"/>
  <c r="GU22" i="9" s="1"/>
  <c r="T9" i="24" s="1"/>
  <c r="AA35" i="12"/>
  <c r="L89" i="12"/>
  <c r="HM11" i="9"/>
  <c r="X104" i="25" s="1"/>
  <c r="HD15" i="9"/>
  <c r="U42" i="25" s="1"/>
  <c r="EE15" i="9"/>
  <c r="FC17" i="9"/>
  <c r="GP17" i="9" s="1"/>
  <c r="AC69" i="23" s="1"/>
  <c r="DN17" i="9"/>
  <c r="DW89" i="9"/>
  <c r="DY89" i="9"/>
  <c r="DX89" i="9"/>
  <c r="EO109" i="9"/>
  <c r="HV109" i="9" s="1"/>
  <c r="EN109" i="9"/>
  <c r="HS109" i="9" s="1"/>
  <c r="EM109" i="9"/>
  <c r="HP109" i="9" s="1"/>
  <c r="EN32" i="9"/>
  <c r="HS32" i="9" s="1"/>
  <c r="DN62" i="9"/>
  <c r="DP62" i="9"/>
  <c r="DO62" i="9"/>
  <c r="DM110" i="9"/>
  <c r="DO110" i="9"/>
  <c r="ID114" i="9"/>
  <c r="L73" i="28" s="1"/>
  <c r="Z86" i="12"/>
  <c r="AA86" i="12" s="1"/>
  <c r="ES138" i="9"/>
  <c r="FL16" i="9"/>
  <c r="HQ16" i="9" s="1"/>
  <c r="Y72" i="26" s="1"/>
  <c r="ER18" i="9"/>
  <c r="EN39" i="9"/>
  <c r="HS39" i="9" s="1"/>
  <c r="EO39" i="9"/>
  <c r="HV39" i="9" s="1"/>
  <c r="HS93" i="9"/>
  <c r="U89" i="26" s="1"/>
  <c r="ED11" i="9"/>
  <c r="EO71" i="9"/>
  <c r="HV71" i="9" s="1"/>
  <c r="V83" i="26" s="1"/>
  <c r="EI79" i="9"/>
  <c r="EH79" i="9"/>
  <c r="DU82" i="9"/>
  <c r="HA82" i="9" s="1"/>
  <c r="V81" i="24" s="1"/>
  <c r="DT82" i="9"/>
  <c r="GX82" i="9" s="1"/>
  <c r="U81" i="24" s="1"/>
  <c r="DK86" i="9"/>
  <c r="GR86" i="9" s="1"/>
  <c r="DJ86" i="9"/>
  <c r="GO86" i="9" s="1"/>
  <c r="EI99" i="9"/>
  <c r="DS115" i="9"/>
  <c r="GU115" i="9" s="1"/>
  <c r="T87" i="24" s="1"/>
  <c r="DU115" i="9"/>
  <c r="HA115" i="9" s="1"/>
  <c r="V87" i="24" s="1"/>
  <c r="DT115" i="9"/>
  <c r="GX115" i="9" s="1"/>
  <c r="U87" i="24" s="1"/>
  <c r="EO117" i="9"/>
  <c r="HV117" i="9" s="1"/>
  <c r="V98" i="26" s="1"/>
  <c r="EN117" i="9"/>
  <c r="HS117" i="9" s="1"/>
  <c r="U98" i="26" s="1"/>
  <c r="DN31" i="9"/>
  <c r="FC33" i="9"/>
  <c r="GS33" i="9" s="1"/>
  <c r="GQ33" i="9" s="1"/>
  <c r="DS37" i="9"/>
  <c r="GU37" i="9" s="1"/>
  <c r="EC42" i="9"/>
  <c r="HG42" i="9" s="1"/>
  <c r="V36" i="25" s="1"/>
  <c r="DO46" i="9"/>
  <c r="DN46" i="9"/>
  <c r="EE82" i="9"/>
  <c r="HM82" i="9" s="1"/>
  <c r="X5" i="25" s="1"/>
  <c r="EB82" i="9"/>
  <c r="HD82" i="9" s="1"/>
  <c r="U5" i="25" s="1"/>
  <c r="EN11" i="9"/>
  <c r="GI19" i="9"/>
  <c r="U30" i="23" s="1"/>
  <c r="DW22" i="9"/>
  <c r="EM42" i="9"/>
  <c r="HP42" i="9" s="1"/>
  <c r="T47" i="26" s="1"/>
  <c r="DX52" i="9"/>
  <c r="DW55" i="9"/>
  <c r="FF55" i="9"/>
  <c r="GV55" i="9" s="1"/>
  <c r="T33" i="12"/>
  <c r="U33" i="12" s="1"/>
  <c r="FF66" i="9"/>
  <c r="GY66" i="9" s="1"/>
  <c r="Z42" i="24" s="1"/>
  <c r="DK67" i="9"/>
  <c r="GR67" i="9" s="1"/>
  <c r="X8" i="23" s="1"/>
  <c r="DI67" i="9"/>
  <c r="GL67" i="9" s="1"/>
  <c r="V8" i="23" s="1"/>
  <c r="DH67" i="9"/>
  <c r="GI67" i="9" s="1"/>
  <c r="U8" i="23" s="1"/>
  <c r="EH83" i="9"/>
  <c r="ED86" i="9"/>
  <c r="HJ86" i="9" s="1"/>
  <c r="EB86" i="9"/>
  <c r="HD86" i="9" s="1"/>
  <c r="DW104" i="9"/>
  <c r="L12" i="12"/>
  <c r="K24" i="12"/>
  <c r="L38" i="12"/>
  <c r="L105" i="12"/>
  <c r="K105" i="12"/>
  <c r="DP112" i="9"/>
  <c r="DO112" i="9"/>
  <c r="DN112" i="9"/>
  <c r="EO143" i="9"/>
  <c r="HV143" i="9" s="1"/>
  <c r="V103" i="26" s="1"/>
  <c r="EM143" i="9"/>
  <c r="HP143" i="9" s="1"/>
  <c r="T103" i="26" s="1"/>
  <c r="L51" i="12"/>
  <c r="K51" i="12"/>
  <c r="DK48" i="9"/>
  <c r="GR48" i="9" s="1"/>
  <c r="X101" i="23" s="1"/>
  <c r="DJ48" i="9"/>
  <c r="GO48" i="9" s="1"/>
  <c r="W101" i="23" s="1"/>
  <c r="DI48" i="9"/>
  <c r="GL48" i="9" s="1"/>
  <c r="V101" i="23" s="1"/>
  <c r="DH65" i="9"/>
  <c r="GI65" i="9" s="1"/>
  <c r="U48" i="23" s="1"/>
  <c r="DK65" i="9"/>
  <c r="GR65" i="9" s="1"/>
  <c r="X48" i="23" s="1"/>
  <c r="DI65" i="9"/>
  <c r="GL65" i="9" s="1"/>
  <c r="V48" i="23" s="1"/>
  <c r="DP91" i="9"/>
  <c r="DN91" i="9"/>
  <c r="EQ102" i="9"/>
  <c r="ES102" i="9"/>
  <c r="L77" i="12"/>
  <c r="EH16" i="9"/>
  <c r="ID40" i="9"/>
  <c r="DI40" i="9"/>
  <c r="GL40" i="9" s="1"/>
  <c r="HZ40" i="9"/>
  <c r="DK40" i="9"/>
  <c r="GR40" i="9" s="1"/>
  <c r="DJ40" i="9"/>
  <c r="GO40" i="9" s="1"/>
  <c r="FC45" i="9"/>
  <c r="GP45" i="9" s="1"/>
  <c r="AC34" i="23" s="1"/>
  <c r="DH61" i="9"/>
  <c r="GI61" i="9" s="1"/>
  <c r="U60" i="23" s="1"/>
  <c r="DK61" i="9"/>
  <c r="GR61" i="9" s="1"/>
  <c r="X60" i="23" s="1"/>
  <c r="DI61" i="9"/>
  <c r="GL61" i="9" s="1"/>
  <c r="V60" i="23" s="1"/>
  <c r="DY63" i="9"/>
  <c r="EM68" i="9"/>
  <c r="HP68" i="9" s="1"/>
  <c r="EN68" i="9"/>
  <c r="HS68" i="9" s="1"/>
  <c r="U31" i="26" s="1"/>
  <c r="EO68" i="9"/>
  <c r="HV68" i="9" s="1"/>
  <c r="FI73" i="9"/>
  <c r="Z29" i="25" s="1"/>
  <c r="ED73" i="9"/>
  <c r="HJ73" i="9" s="1"/>
  <c r="W29" i="25" s="1"/>
  <c r="DM78" i="9"/>
  <c r="DP92" i="9"/>
  <c r="DN92" i="9"/>
  <c r="EJ102" i="9"/>
  <c r="HV11" i="9"/>
  <c r="V19" i="26" s="1"/>
  <c r="EG12" i="9"/>
  <c r="FF16" i="9"/>
  <c r="AB69" i="22" s="1"/>
  <c r="W77" i="12"/>
  <c r="X77" i="12" s="1"/>
  <c r="FI31" i="9"/>
  <c r="HN31" i="9" s="1"/>
  <c r="AD56" i="25" s="1"/>
  <c r="EC38" i="9"/>
  <c r="HG38" i="9" s="1"/>
  <c r="EE38" i="9"/>
  <c r="HM38" i="9" s="1"/>
  <c r="DS46" i="9"/>
  <c r="GU46" i="9" s="1"/>
  <c r="T17" i="24" s="1"/>
  <c r="DT46" i="9"/>
  <c r="GX46" i="9" s="1"/>
  <c r="U17" i="24" s="1"/>
  <c r="DU46" i="9"/>
  <c r="HA46" i="9" s="1"/>
  <c r="V17" i="24" s="1"/>
  <c r="EC61" i="9"/>
  <c r="HG61" i="9" s="1"/>
  <c r="V55" i="25" s="1"/>
  <c r="EB61" i="9"/>
  <c r="HD61" i="9" s="1"/>
  <c r="U55" i="25" s="1"/>
  <c r="EE61" i="9"/>
  <c r="HM61" i="9" s="1"/>
  <c r="X55" i="25" s="1"/>
  <c r="DU64" i="9"/>
  <c r="HA64" i="9" s="1"/>
  <c r="V74" i="24" s="1"/>
  <c r="FI67" i="9"/>
  <c r="HN67" i="9" s="1"/>
  <c r="AD7" i="25" s="1"/>
  <c r="DO78" i="9"/>
  <c r="DU81" i="9"/>
  <c r="HA81" i="9" s="1"/>
  <c r="V80" i="24" s="1"/>
  <c r="DT81" i="9"/>
  <c r="GX81" i="9" s="1"/>
  <c r="U80" i="24" s="1"/>
  <c r="EG92" i="9"/>
  <c r="FI92" i="9"/>
  <c r="Z88" i="25" s="1"/>
  <c r="EB133" i="9"/>
  <c r="HD133" i="9" s="1"/>
  <c r="T104" i="12"/>
  <c r="U104" i="12" s="1"/>
  <c r="DY141" i="9"/>
  <c r="DX141" i="9"/>
  <c r="DT150" i="9"/>
  <c r="GX150" i="9" s="1"/>
  <c r="U106" i="24" s="1"/>
  <c r="EB11" i="9"/>
  <c r="GL13" i="9"/>
  <c r="V20" i="23" s="1"/>
  <c r="W35" i="12"/>
  <c r="X35" i="12" s="1"/>
  <c r="FI24" i="9"/>
  <c r="Z21" i="25" s="1"/>
  <c r="EJ24" i="9"/>
  <c r="EO32" i="9"/>
  <c r="HV32" i="9" s="1"/>
  <c r="ER33" i="9"/>
  <c r="DJ36" i="9"/>
  <c r="GO36" i="9" s="1"/>
  <c r="DK36" i="9"/>
  <c r="GR36" i="9" s="1"/>
  <c r="EI36" i="9"/>
  <c r="DW42" i="9"/>
  <c r="EJ68" i="9"/>
  <c r="EI68" i="9"/>
  <c r="EE77" i="9"/>
  <c r="HM77" i="9" s="1"/>
  <c r="X11" i="25" s="1"/>
  <c r="ED77" i="9"/>
  <c r="HJ77" i="9" s="1"/>
  <c r="W11" i="25" s="1"/>
  <c r="T21" i="12"/>
  <c r="U21" i="12" s="1"/>
  <c r="DW84" i="9"/>
  <c r="DY84" i="9"/>
  <c r="DP87" i="9"/>
  <c r="DM87" i="9"/>
  <c r="DO87" i="9"/>
  <c r="DN87" i="9"/>
  <c r="EI104" i="9"/>
  <c r="EG104" i="9"/>
  <c r="ED133" i="9"/>
  <c r="HJ133" i="9" s="1"/>
  <c r="EQ138" i="9"/>
  <c r="EH141" i="9"/>
  <c r="EI141" i="9"/>
  <c r="EJ141" i="9"/>
  <c r="DU150" i="9"/>
  <c r="HA150" i="9" s="1"/>
  <c r="V106" i="24" s="1"/>
  <c r="K100" i="12"/>
  <c r="HA12" i="9"/>
  <c r="V53" i="24" s="1"/>
  <c r="DU12" i="9"/>
  <c r="DS12" i="9"/>
  <c r="ER12" i="9"/>
  <c r="GR13" i="9"/>
  <c r="X20" i="23" s="1"/>
  <c r="FI16" i="9"/>
  <c r="Z51" i="25" s="1"/>
  <c r="DM17" i="9"/>
  <c r="EO18" i="9"/>
  <c r="EN18" i="9"/>
  <c r="DT22" i="9"/>
  <c r="GX22" i="9" s="1"/>
  <c r="U9" i="24" s="1"/>
  <c r="DM31" i="9"/>
  <c r="ES33" i="9"/>
  <c r="DX42" i="9"/>
  <c r="Z100" i="12"/>
  <c r="AA100" i="12" s="1"/>
  <c r="FL43" i="9"/>
  <c r="HW43" i="9" s="1"/>
  <c r="AA59" i="26" s="1"/>
  <c r="ER43" i="9"/>
  <c r="EQ43" i="9"/>
  <c r="DH49" i="9"/>
  <c r="GI49" i="9" s="1"/>
  <c r="U38" i="23" s="1"/>
  <c r="DK49" i="9"/>
  <c r="GR49" i="9" s="1"/>
  <c r="X38" i="23" s="1"/>
  <c r="Z32" i="12"/>
  <c r="AA32" i="12" s="1"/>
  <c r="ER52" i="9"/>
  <c r="DW83" i="9"/>
  <c r="EO89" i="9"/>
  <c r="DM92" i="9"/>
  <c r="DS131" i="9"/>
  <c r="GU131" i="9" s="1"/>
  <c r="DT131" i="9"/>
  <c r="GX131" i="9" s="1"/>
  <c r="EE133" i="9"/>
  <c r="HM133" i="9" s="1"/>
  <c r="X97" i="25" s="1"/>
  <c r="DO134" i="9"/>
  <c r="DM134" i="9"/>
  <c r="FC134" i="9"/>
  <c r="GM134" i="9" s="1"/>
  <c r="AB103" i="23" s="1"/>
  <c r="DN145" i="9"/>
  <c r="EI11" i="9"/>
  <c r="EC12" i="9"/>
  <c r="HM12" i="9"/>
  <c r="X6" i="25" s="1"/>
  <c r="HD12" i="9"/>
  <c r="U6" i="25" s="1"/>
  <c r="DP17" i="9"/>
  <c r="DX26" i="9"/>
  <c r="W19" i="12"/>
  <c r="X19" i="12" s="1"/>
  <c r="EI35" i="9"/>
  <c r="DW52" i="9"/>
  <c r="EN54" i="9"/>
  <c r="HS54" i="9" s="1"/>
  <c r="U42" i="26" s="1"/>
  <c r="EM54" i="9"/>
  <c r="HP54" i="9" s="1"/>
  <c r="T42" i="26" s="1"/>
  <c r="ES59" i="9"/>
  <c r="ER59" i="9"/>
  <c r="ES73" i="9"/>
  <c r="EQ73" i="9"/>
  <c r="DX83" i="9"/>
  <c r="DS93" i="9"/>
  <c r="GU93" i="9" s="1"/>
  <c r="T48" i="24" s="1"/>
  <c r="DU93" i="9"/>
  <c r="HA93" i="9" s="1"/>
  <c r="DT93" i="9"/>
  <c r="GX93" i="9" s="1"/>
  <c r="ER100" i="9"/>
  <c r="EO102" i="9"/>
  <c r="HV102" i="9" s="1"/>
  <c r="EN102" i="9"/>
  <c r="HS102" i="9" s="1"/>
  <c r="EM102" i="9"/>
  <c r="HP102" i="9" s="1"/>
  <c r="EM106" i="9"/>
  <c r="HP106" i="9" s="1"/>
  <c r="EN106" i="9"/>
  <c r="HS106" i="9" s="1"/>
  <c r="DP109" i="9"/>
  <c r="FL132" i="9"/>
  <c r="HW132" i="9" s="1"/>
  <c r="AA82" i="26" s="1"/>
  <c r="EO132" i="9"/>
  <c r="HV132" i="9" s="1"/>
  <c r="T92" i="12"/>
  <c r="U92" i="12" s="1"/>
  <c r="DX134" i="9"/>
  <c r="DN135" i="9"/>
  <c r="DM135" i="9"/>
  <c r="DO141" i="9"/>
  <c r="BI148" i="9"/>
  <c r="DU154" i="9"/>
  <c r="HA154" i="9" s="1"/>
  <c r="DI9" i="9"/>
  <c r="GL9" i="9" s="1"/>
  <c r="W25" i="12"/>
  <c r="X25" i="12" s="1"/>
  <c r="EI13" i="9"/>
  <c r="DJ15" i="9"/>
  <c r="BI16" i="9"/>
  <c r="DX17" i="9"/>
  <c r="W31" i="12"/>
  <c r="X31" i="12" s="1"/>
  <c r="EG19" i="9"/>
  <c r="DW24" i="9"/>
  <c r="EG26" i="9"/>
  <c r="EE28" i="9"/>
  <c r="DO31" i="9"/>
  <c r="EG37" i="9"/>
  <c r="EM45" i="9"/>
  <c r="HP45" i="9" s="1"/>
  <c r="T34" i="26" s="1"/>
  <c r="DS62" i="9"/>
  <c r="GU62" i="9" s="1"/>
  <c r="T72" i="24" s="1"/>
  <c r="EJ90" i="9"/>
  <c r="EI90" i="9"/>
  <c r="EH90" i="9"/>
  <c r="DU91" i="9"/>
  <c r="HA91" i="9" s="1"/>
  <c r="V47" i="24" s="1"/>
  <c r="DT91" i="9"/>
  <c r="GX91" i="9" s="1"/>
  <c r="DS91" i="9"/>
  <c r="GU91" i="9" s="1"/>
  <c r="T47" i="24" s="1"/>
  <c r="EJ92" i="9"/>
  <c r="EB93" i="9"/>
  <c r="HD93" i="9" s="1"/>
  <c r="U81" i="25" s="1"/>
  <c r="EC93" i="9"/>
  <c r="HG93" i="9" s="1"/>
  <c r="V81" i="25" s="1"/>
  <c r="ED94" i="9"/>
  <c r="HJ94" i="9" s="1"/>
  <c r="W19" i="25" s="1"/>
  <c r="EC94" i="9"/>
  <c r="HG94" i="9" s="1"/>
  <c r="V19" i="25" s="1"/>
  <c r="DW95" i="9"/>
  <c r="ES100" i="9"/>
  <c r="EM107" i="9"/>
  <c r="HP107" i="9" s="1"/>
  <c r="EN107" i="9"/>
  <c r="HS107" i="9" s="1"/>
  <c r="ES108" i="9"/>
  <c r="FL129" i="9"/>
  <c r="HT129" i="9" s="1"/>
  <c r="ER129" i="9"/>
  <c r="T70" i="12"/>
  <c r="U70" i="12" s="1"/>
  <c r="DX135" i="9"/>
  <c r="DW135" i="9"/>
  <c r="FF11" i="9"/>
  <c r="X51" i="24" s="1"/>
  <c r="ER11" i="9"/>
  <c r="EE14" i="9"/>
  <c r="HD14" i="9"/>
  <c r="U14" i="25" s="1"/>
  <c r="DY17" i="9"/>
  <c r="GR19" i="9"/>
  <c r="X30" i="23" s="1"/>
  <c r="DO20" i="9"/>
  <c r="DY22" i="9"/>
  <c r="EG24" i="9"/>
  <c r="EI28" i="9"/>
  <c r="DK35" i="9"/>
  <c r="EH37" i="9"/>
  <c r="EN45" i="9"/>
  <c r="HS45" i="9" s="1"/>
  <c r="U34" i="26" s="1"/>
  <c r="IA47" i="9"/>
  <c r="I89" i="28" s="1"/>
  <c r="EO48" i="9"/>
  <c r="HV48" i="9" s="1"/>
  <c r="V102" i="26" s="1"/>
  <c r="DY65" i="9"/>
  <c r="EH66" i="9"/>
  <c r="FI66" i="9"/>
  <c r="HN66" i="9" s="1"/>
  <c r="AD27" i="25" s="1"/>
  <c r="FI68" i="9"/>
  <c r="HK68" i="9" s="1"/>
  <c r="AC23" i="25" s="1"/>
  <c r="EC69" i="9"/>
  <c r="HG69" i="9" s="1"/>
  <c r="BD78" i="9"/>
  <c r="BD83" i="9"/>
  <c r="EE87" i="9"/>
  <c r="HM87" i="9" s="1"/>
  <c r="X22" i="25" s="1"/>
  <c r="Z90" i="12"/>
  <c r="AA90" i="12" s="1"/>
  <c r="ER90" i="9"/>
  <c r="ES90" i="9"/>
  <c r="FL90" i="9"/>
  <c r="X96" i="26" s="1"/>
  <c r="DK96" i="9"/>
  <c r="GR96" i="9" s="1"/>
  <c r="EI105" i="9"/>
  <c r="EH105" i="9"/>
  <c r="EG105" i="9"/>
  <c r="DK111" i="9"/>
  <c r="GR111" i="9" s="1"/>
  <c r="EN114" i="9"/>
  <c r="HS114" i="9" s="1"/>
  <c r="U74" i="26" s="1"/>
  <c r="EH130" i="9"/>
  <c r="FI130" i="9"/>
  <c r="HE130" i="9" s="1"/>
  <c r="DX132" i="9"/>
  <c r="DY132" i="9"/>
  <c r="BD133" i="9"/>
  <c r="DH133" i="9"/>
  <c r="GI133" i="9" s="1"/>
  <c r="DK133" i="9"/>
  <c r="GR133" i="9" s="1"/>
  <c r="X105" i="23" s="1"/>
  <c r="DI133" i="9"/>
  <c r="GL133" i="9" s="1"/>
  <c r="V105" i="23" s="1"/>
  <c r="EI135" i="9"/>
  <c r="EH135" i="9"/>
  <c r="EG135" i="9"/>
  <c r="FI135" i="9"/>
  <c r="Z66" i="25" s="1"/>
  <c r="T82" i="12"/>
  <c r="U82" i="12" s="1"/>
  <c r="FF149" i="9"/>
  <c r="GY149" i="9" s="1"/>
  <c r="Z104" i="24" s="1"/>
  <c r="L35" i="12"/>
  <c r="L19" i="12"/>
  <c r="K33" i="12"/>
  <c r="L80" i="12"/>
  <c r="K80" i="12"/>
  <c r="BD104" i="9"/>
  <c r="DK104" i="9"/>
  <c r="GR104" i="9" s="1"/>
  <c r="DJ104" i="9"/>
  <c r="GO104" i="9" s="1"/>
  <c r="FC104" i="9"/>
  <c r="GP104" i="9" s="1"/>
  <c r="IB107" i="9"/>
  <c r="FL113" i="9"/>
  <c r="HW113" i="9" s="1"/>
  <c r="AA13" i="26" s="1"/>
  <c r="DP119" i="9"/>
  <c r="DM119" i="9"/>
  <c r="Z70" i="12"/>
  <c r="AA70" i="12" s="1"/>
  <c r="ES135" i="9"/>
  <c r="ID154" i="9"/>
  <c r="IX7" i="10"/>
  <c r="JZ7" i="10"/>
  <c r="IU7" i="11"/>
  <c r="IA34" i="9"/>
  <c r="EQ39" i="9"/>
  <c r="ER39" i="9"/>
  <c r="BI43" i="9"/>
  <c r="IC46" i="9"/>
  <c r="K33" i="28" s="1"/>
  <c r="HS64" i="9"/>
  <c r="U65" i="26" s="1"/>
  <c r="FI93" i="9"/>
  <c r="Z81" i="25" s="1"/>
  <c r="EH93" i="9"/>
  <c r="DO98" i="9"/>
  <c r="DP98" i="9"/>
  <c r="BI98" i="9"/>
  <c r="IA108" i="9"/>
  <c r="I72" i="28" s="1"/>
  <c r="BI114" i="9"/>
  <c r="DI148" i="9"/>
  <c r="GL148" i="9" s="1"/>
  <c r="V94" i="23" s="1"/>
  <c r="DK148" i="9"/>
  <c r="GR148" i="9" s="1"/>
  <c r="DJ148" i="9"/>
  <c r="GO148" i="9" s="1"/>
  <c r="W94" i="23" s="1"/>
  <c r="DH148" i="9"/>
  <c r="GI148" i="9" s="1"/>
  <c r="U94" i="23" s="1"/>
  <c r="DK152" i="9"/>
  <c r="GR152" i="9" s="1"/>
  <c r="DJ152" i="9"/>
  <c r="GO152" i="9" s="1"/>
  <c r="DI152" i="9"/>
  <c r="GL152" i="9" s="1"/>
  <c r="DH152" i="9"/>
  <c r="GI152" i="9" s="1"/>
  <c r="DT153" i="9"/>
  <c r="GX153" i="9" s="1"/>
  <c r="DU153" i="9"/>
  <c r="HA153" i="9" s="1"/>
  <c r="L25" i="12"/>
  <c r="K25" i="12"/>
  <c r="DJ140" i="9"/>
  <c r="GO140" i="9" s="1"/>
  <c r="W76" i="23" s="1"/>
  <c r="BD140" i="9"/>
  <c r="HZ58" i="9"/>
  <c r="H5" i="28" s="1"/>
  <c r="HZ63" i="9"/>
  <c r="H49" i="28" s="1"/>
  <c r="BD68" i="9"/>
  <c r="IA73" i="9"/>
  <c r="I42" i="28" s="1"/>
  <c r="DK73" i="9"/>
  <c r="GR73" i="9" s="1"/>
  <c r="X40" i="23" s="1"/>
  <c r="ED88" i="9"/>
  <c r="EE88" i="9"/>
  <c r="DU92" i="9"/>
  <c r="DS92" i="9"/>
  <c r="DY98" i="9"/>
  <c r="DW98" i="9"/>
  <c r="DS102" i="9"/>
  <c r="GU102" i="9" s="1"/>
  <c r="DT102" i="9"/>
  <c r="GX102" i="9" s="1"/>
  <c r="DU112" i="9"/>
  <c r="HA112" i="9" s="1"/>
  <c r="DT112" i="9"/>
  <c r="GX112" i="9" s="1"/>
  <c r="U84" i="12"/>
  <c r="DT148" i="9"/>
  <c r="GX148" i="9" s="1"/>
  <c r="U103" i="24" s="1"/>
  <c r="DU148" i="9"/>
  <c r="HA148" i="9" s="1"/>
  <c r="V103" i="24" s="1"/>
  <c r="FC8" i="9"/>
  <c r="Z27" i="23" s="1"/>
  <c r="IC11" i="9"/>
  <c r="K20" i="28" s="1"/>
  <c r="U29" i="12"/>
  <c r="IB26" i="9"/>
  <c r="X5" i="12"/>
  <c r="X80" i="12"/>
  <c r="AA77" i="12"/>
  <c r="DM34" i="9"/>
  <c r="FC34" i="9"/>
  <c r="GJ34" i="9" s="1"/>
  <c r="DU35" i="9"/>
  <c r="DS35" i="9"/>
  <c r="GX35" i="9"/>
  <c r="U69" i="24" s="1"/>
  <c r="BI37" i="9"/>
  <c r="DN37" i="9"/>
  <c r="IB42" i="9"/>
  <c r="J53" i="28" s="1"/>
  <c r="DI42" i="9"/>
  <c r="GL42" i="9" s="1"/>
  <c r="V44" i="23" s="1"/>
  <c r="EI48" i="9"/>
  <c r="EJ48" i="9"/>
  <c r="EH86" i="9"/>
  <c r="EJ86" i="9"/>
  <c r="DP104" i="9"/>
  <c r="DN104" i="9"/>
  <c r="DN119" i="9"/>
  <c r="FL123" i="9"/>
  <c r="HW123" i="9" s="1"/>
  <c r="AA58" i="26" s="1"/>
  <c r="EN123" i="9"/>
  <c r="HS123" i="9" s="1"/>
  <c r="U58" i="26" s="1"/>
  <c r="EO123" i="9"/>
  <c r="HV123" i="9" s="1"/>
  <c r="V58" i="26" s="1"/>
  <c r="DJ134" i="9"/>
  <c r="GO134" i="9" s="1"/>
  <c r="DK134" i="9"/>
  <c r="GR134" i="9" s="1"/>
  <c r="X103" i="23" s="1"/>
  <c r="DI134" i="9"/>
  <c r="GL134" i="9" s="1"/>
  <c r="DH134" i="9"/>
  <c r="GI134" i="9" s="1"/>
  <c r="IC41" i="9"/>
  <c r="K66" i="28" s="1"/>
  <c r="HZ43" i="9"/>
  <c r="H61" i="28" s="1"/>
  <c r="FF47" i="9"/>
  <c r="GV47" i="9" s="1"/>
  <c r="Y56" i="24" s="1"/>
  <c r="DO55" i="9"/>
  <c r="DI57" i="9"/>
  <c r="GL57" i="9" s="1"/>
  <c r="DU66" i="9"/>
  <c r="HA66" i="9" s="1"/>
  <c r="V42" i="24" s="1"/>
  <c r="DI78" i="9"/>
  <c r="EO79" i="9"/>
  <c r="HV79" i="9" s="1"/>
  <c r="V24" i="26" s="1"/>
  <c r="EN100" i="9"/>
  <c r="HS100" i="9" s="1"/>
  <c r="DO105" i="9"/>
  <c r="FI108" i="9"/>
  <c r="HN108" i="9" s="1"/>
  <c r="AD59" i="25" s="1"/>
  <c r="DT114" i="9"/>
  <c r="GX114" i="9" s="1"/>
  <c r="FI126" i="9"/>
  <c r="HH126" i="9" s="1"/>
  <c r="DP146" i="9"/>
  <c r="FL151" i="9"/>
  <c r="HW151" i="9" s="1"/>
  <c r="JE7" i="10"/>
  <c r="K93" i="12"/>
  <c r="FL73" i="9"/>
  <c r="HW73" i="9" s="1"/>
  <c r="AA45" i="12"/>
  <c r="HM124" i="9"/>
  <c r="X60" i="25" s="1"/>
  <c r="FI134" i="9"/>
  <c r="HK134" i="9" s="1"/>
  <c r="AC94" i="25" s="1"/>
  <c r="EH134" i="9"/>
  <c r="DX136" i="9"/>
  <c r="EM140" i="9"/>
  <c r="HP140" i="9" s="1"/>
  <c r="T70" i="26" s="1"/>
  <c r="EE150" i="9"/>
  <c r="HM150" i="9" s="1"/>
  <c r="X106" i="25" s="1"/>
  <c r="L64" i="12"/>
  <c r="U93" i="12"/>
  <c r="KB7" i="10"/>
  <c r="JX7" i="11"/>
  <c r="L6" i="12"/>
  <c r="L69" i="12"/>
  <c r="L76" i="12"/>
  <c r="L90" i="12"/>
  <c r="FL37" i="9"/>
  <c r="HW37" i="9" s="1"/>
  <c r="HU37" i="9" s="1"/>
  <c r="DN63" i="9"/>
  <c r="EN85" i="9"/>
  <c r="HS85" i="9" s="1"/>
  <c r="ER89" i="9"/>
  <c r="IA103" i="9"/>
  <c r="DO123" i="9"/>
  <c r="EI126" i="9"/>
  <c r="DW145" i="9"/>
  <c r="EN147" i="9"/>
  <c r="HS147" i="9" s="1"/>
  <c r="EM149" i="9"/>
  <c r="HP149" i="9" s="1"/>
  <c r="T88" i="26" s="1"/>
  <c r="EO151" i="9"/>
  <c r="HV151" i="9" s="1"/>
  <c r="L41" i="12"/>
  <c r="L53" i="12"/>
  <c r="L67" i="12"/>
  <c r="AA83" i="12"/>
  <c r="L97" i="12"/>
  <c r="L87" i="23"/>
  <c r="FL42" i="9"/>
  <c r="HW42" i="9" s="1"/>
  <c r="AA47" i="26" s="1"/>
  <c r="DO63" i="9"/>
  <c r="AA76" i="12"/>
  <c r="ID87" i="9"/>
  <c r="L28" i="28" s="1"/>
  <c r="ES89" i="9"/>
  <c r="EO90" i="9"/>
  <c r="BI91" i="9"/>
  <c r="U28" i="12"/>
  <c r="EB95" i="9"/>
  <c r="HD95" i="9" s="1"/>
  <c r="DM105" i="9"/>
  <c r="ID106" i="9"/>
  <c r="DX125" i="9"/>
  <c r="FC128" i="9"/>
  <c r="GS128" i="9" s="1"/>
  <c r="EN149" i="9"/>
  <c r="HS149" i="9" s="1"/>
  <c r="U88" i="26" s="1"/>
  <c r="JQ7" i="10"/>
  <c r="FF51" i="9"/>
  <c r="GV51" i="9" s="1"/>
  <c r="Y32" i="24" s="1"/>
  <c r="FL69" i="9"/>
  <c r="HW69" i="9" s="1"/>
  <c r="FL71" i="9"/>
  <c r="HQ71" i="9" s="1"/>
  <c r="Y83" i="26" s="1"/>
  <c r="EO73" i="9"/>
  <c r="HV73" i="9" s="1"/>
  <c r="V40" i="26" s="1"/>
  <c r="FL89" i="9"/>
  <c r="HQ89" i="9" s="1"/>
  <c r="Y63" i="26" s="1"/>
  <c r="BI90" i="9"/>
  <c r="U91" i="12"/>
  <c r="BI144" i="9"/>
  <c r="L16" i="12"/>
  <c r="L39" i="12"/>
  <c r="L49" i="12"/>
  <c r="K65" i="12"/>
  <c r="K91" i="25"/>
  <c r="T82" i="24"/>
  <c r="FF32" i="9"/>
  <c r="GV32" i="9" s="1"/>
  <c r="FI9" i="9"/>
  <c r="HH9" i="9" s="1"/>
  <c r="ED9" i="9"/>
  <c r="HJ9" i="9" s="1"/>
  <c r="DJ10" i="9"/>
  <c r="GO10" i="9" s="1"/>
  <c r="BI12" i="9"/>
  <c r="DK13" i="9"/>
  <c r="FI14" i="9"/>
  <c r="Z14" i="25" s="1"/>
  <c r="ED15" i="9"/>
  <c r="DI16" i="9"/>
  <c r="BI19" i="9"/>
  <c r="DK20" i="9"/>
  <c r="GR20" i="9" s="1"/>
  <c r="BI23" i="9"/>
  <c r="DI26" i="9"/>
  <c r="GL26" i="9" s="1"/>
  <c r="FL28" i="9"/>
  <c r="HQ28" i="9" s="1"/>
  <c r="Y45" i="26" s="1"/>
  <c r="EO30" i="9"/>
  <c r="HV30" i="9" s="1"/>
  <c r="V52" i="26" s="1"/>
  <c r="DT33" i="9"/>
  <c r="GX33" i="9" s="1"/>
  <c r="DY35" i="9"/>
  <c r="EQ36" i="9"/>
  <c r="ED38" i="9"/>
  <c r="HJ38" i="9" s="1"/>
  <c r="EM39" i="9"/>
  <c r="HP39" i="9" s="1"/>
  <c r="DW40" i="9"/>
  <c r="DJ41" i="9"/>
  <c r="GO41" i="9" s="1"/>
  <c r="W58" i="23" s="1"/>
  <c r="DH43" i="9"/>
  <c r="GI43" i="9" s="1"/>
  <c r="U57" i="23" s="1"/>
  <c r="FC43" i="9"/>
  <c r="GS43" i="9" s="1"/>
  <c r="EH45" i="9"/>
  <c r="DJ49" i="9"/>
  <c r="GO49" i="9" s="1"/>
  <c r="W38" i="23" s="1"/>
  <c r="DO50" i="9"/>
  <c r="EO51" i="9"/>
  <c r="HV51" i="9" s="1"/>
  <c r="V49" i="26" s="1"/>
  <c r="DJ52" i="9"/>
  <c r="GO52" i="9" s="1"/>
  <c r="W28" i="23" s="1"/>
  <c r="FC52" i="9"/>
  <c r="Z28" i="23" s="1"/>
  <c r="DM53" i="9"/>
  <c r="FC53" i="9"/>
  <c r="Z63" i="23" s="1"/>
  <c r="ID56" i="9"/>
  <c r="L18" i="28" s="1"/>
  <c r="HZ59" i="9"/>
  <c r="H38" i="28" s="1"/>
  <c r="EQ59" i="9"/>
  <c r="FI60" i="9"/>
  <c r="HH60" i="9" s="1"/>
  <c r="AB50" i="25" s="1"/>
  <c r="W47" i="12"/>
  <c r="X47" i="12" s="1"/>
  <c r="EJ61" i="9"/>
  <c r="DI63" i="9"/>
  <c r="GL63" i="9" s="1"/>
  <c r="Z33" i="12"/>
  <c r="AA33" i="12" s="1"/>
  <c r="ER66" i="9"/>
  <c r="DT69" i="9"/>
  <c r="GX69" i="9" s="1"/>
  <c r="IC69" i="9"/>
  <c r="BD69" i="9"/>
  <c r="DT72" i="9"/>
  <c r="GX72" i="9" s="1"/>
  <c r="U61" i="24" s="1"/>
  <c r="EC73" i="9"/>
  <c r="HG73" i="9" s="1"/>
  <c r="V29" i="25" s="1"/>
  <c r="ED74" i="9"/>
  <c r="HJ74" i="9" s="1"/>
  <c r="EE74" i="9"/>
  <c r="HM74" i="9" s="1"/>
  <c r="FI74" i="9"/>
  <c r="HN74" i="9" s="1"/>
  <c r="DP77" i="9"/>
  <c r="DO77" i="9"/>
  <c r="DN77" i="9"/>
  <c r="DM77" i="9"/>
  <c r="BI78" i="9"/>
  <c r="DP93" i="9"/>
  <c r="DN93" i="9"/>
  <c r="DM93" i="9"/>
  <c r="HZ95" i="9"/>
  <c r="EE99" i="9"/>
  <c r="HM99" i="9" s="1"/>
  <c r="FI99" i="9"/>
  <c r="HE99" i="9" s="1"/>
  <c r="DT101" i="9"/>
  <c r="GX101" i="9" s="1"/>
  <c r="U82" i="24" s="1"/>
  <c r="DT108" i="9"/>
  <c r="GX108" i="9" s="1"/>
  <c r="U84" i="24" s="1"/>
  <c r="DS108" i="9"/>
  <c r="GU108" i="9" s="1"/>
  <c r="T84" i="24" s="1"/>
  <c r="W64" i="12"/>
  <c r="X64" i="12" s="1"/>
  <c r="EI122" i="9"/>
  <c r="EJ122" i="9"/>
  <c r="EH122" i="9"/>
  <c r="FI122" i="9"/>
  <c r="Z38" i="25" s="1"/>
  <c r="EG122" i="9"/>
  <c r="EG131" i="9"/>
  <c r="FI131" i="9"/>
  <c r="HN131" i="9" s="1"/>
  <c r="EI131" i="9"/>
  <c r="DS95" i="9"/>
  <c r="GU95" i="9" s="1"/>
  <c r="DU95" i="9"/>
  <c r="HA95" i="9" s="1"/>
  <c r="BD96" i="9"/>
  <c r="DU96" i="9"/>
  <c r="HA96" i="9" s="1"/>
  <c r="HZ96" i="9"/>
  <c r="DT96" i="9"/>
  <c r="GX96" i="9" s="1"/>
  <c r="DS96" i="9"/>
  <c r="GU96" i="9" s="1"/>
  <c r="GL8" i="9"/>
  <c r="V27" i="23" s="1"/>
  <c r="BI9" i="9"/>
  <c r="EG9" i="9"/>
  <c r="IA9" i="9"/>
  <c r="EQ15" i="9"/>
  <c r="IC15" i="9"/>
  <c r="K36" i="28" s="1"/>
  <c r="DT16" i="9"/>
  <c r="IB16" i="9"/>
  <c r="J59" i="28" s="1"/>
  <c r="GO17" i="9"/>
  <c r="W69" i="23" s="1"/>
  <c r="ER23" i="9"/>
  <c r="DU24" i="9"/>
  <c r="DK26" i="9"/>
  <c r="GR26" i="9" s="1"/>
  <c r="ES32" i="9"/>
  <c r="IA33" i="9"/>
  <c r="EM33" i="9"/>
  <c r="HP33" i="9" s="1"/>
  <c r="EB34" i="9"/>
  <c r="HD34" i="9" s="1"/>
  <c r="BI35" i="9"/>
  <c r="EH35" i="9"/>
  <c r="DK37" i="9"/>
  <c r="GR37" i="9" s="1"/>
  <c r="EG38" i="9"/>
  <c r="BD51" i="9"/>
  <c r="W37" i="12"/>
  <c r="X37" i="12" s="1"/>
  <c r="EJ53" i="9"/>
  <c r="FI53" i="9"/>
  <c r="Z41" i="25" s="1"/>
  <c r="ID57" i="9"/>
  <c r="EE57" i="9"/>
  <c r="HM57" i="9" s="1"/>
  <c r="IC57" i="9"/>
  <c r="DK63" i="9"/>
  <c r="GR63" i="9" s="1"/>
  <c r="IC72" i="9"/>
  <c r="K78" i="28" s="1"/>
  <c r="DK72" i="9"/>
  <c r="GR72" i="9" s="1"/>
  <c r="X78" i="23" s="1"/>
  <c r="DI72" i="9"/>
  <c r="GL72" i="9" s="1"/>
  <c r="V78" i="23" s="1"/>
  <c r="DH72" i="9"/>
  <c r="GI72" i="9" s="1"/>
  <c r="U78" i="23" s="1"/>
  <c r="IA72" i="9"/>
  <c r="I78" i="28" s="1"/>
  <c r="EN73" i="9"/>
  <c r="HS73" i="9" s="1"/>
  <c r="U40" i="26" s="1"/>
  <c r="BI74" i="9"/>
  <c r="DP74" i="9"/>
  <c r="DN74" i="9"/>
  <c r="DM74" i="9"/>
  <c r="EH76" i="9"/>
  <c r="ER78" i="9"/>
  <c r="W59" i="12"/>
  <c r="X59" i="12" s="1"/>
  <c r="EG79" i="9"/>
  <c r="DJ80" i="9"/>
  <c r="GO80" i="9" s="1"/>
  <c r="ID80" i="9"/>
  <c r="DI80" i="9"/>
  <c r="GL80" i="9" s="1"/>
  <c r="FC80" i="9"/>
  <c r="GM80" i="9" s="1"/>
  <c r="DS83" i="9"/>
  <c r="GU83" i="9" s="1"/>
  <c r="DU94" i="9"/>
  <c r="HA94" i="9" s="1"/>
  <c r="V8" i="24" s="1"/>
  <c r="GR136" i="9"/>
  <c r="X104" i="23" s="1"/>
  <c r="DN70" i="9"/>
  <c r="DM70" i="9"/>
  <c r="DX74" i="9"/>
  <c r="DW74" i="9"/>
  <c r="DU80" i="9"/>
  <c r="HA80" i="9" s="1"/>
  <c r="DT80" i="9"/>
  <c r="GX80" i="9" s="1"/>
  <c r="DS80" i="9"/>
  <c r="GU80" i="9" s="1"/>
  <c r="DJ83" i="9"/>
  <c r="GO83" i="9" s="1"/>
  <c r="DH83" i="9"/>
  <c r="GI83" i="9" s="1"/>
  <c r="T75" i="12"/>
  <c r="U75" i="12" s="1"/>
  <c r="DX137" i="9"/>
  <c r="DY137" i="9"/>
  <c r="GR8" i="9"/>
  <c r="X27" i="23" s="1"/>
  <c r="FF12" i="9"/>
  <c r="GV12" i="9" s="1"/>
  <c r="Y53" i="24" s="1"/>
  <c r="BD13" i="9"/>
  <c r="EB16" i="9"/>
  <c r="DT17" i="9"/>
  <c r="GX17" i="9"/>
  <c r="U67" i="24" s="1"/>
  <c r="FF19" i="9"/>
  <c r="GV19" i="9" s="1"/>
  <c r="Y23" i="24" s="1"/>
  <c r="FF23" i="9"/>
  <c r="GY23" i="9" s="1"/>
  <c r="Z33" i="24" s="1"/>
  <c r="IC24" i="9"/>
  <c r="K21" i="28" s="1"/>
  <c r="ED24" i="9"/>
  <c r="EG28" i="9"/>
  <c r="FL32" i="9"/>
  <c r="HW32" i="9" s="1"/>
  <c r="BI33" i="9"/>
  <c r="EN35" i="9"/>
  <c r="EJ38" i="9"/>
  <c r="FF39" i="9"/>
  <c r="HB39" i="9" s="1"/>
  <c r="EG40" i="9"/>
  <c r="DS43" i="9"/>
  <c r="GU43" i="9" s="1"/>
  <c r="T34" i="24" s="1"/>
  <c r="FL51" i="9"/>
  <c r="AD46" i="22" s="1"/>
  <c r="BI54" i="9"/>
  <c r="DP56" i="9"/>
  <c r="DO56" i="9"/>
  <c r="EN56" i="9"/>
  <c r="FF57" i="9"/>
  <c r="GY57" i="9" s="1"/>
  <c r="BI57" i="9"/>
  <c r="T65" i="12"/>
  <c r="U65" i="12" s="1"/>
  <c r="DX59" i="9"/>
  <c r="EQ69" i="9"/>
  <c r="ED72" i="9"/>
  <c r="HJ72" i="9" s="1"/>
  <c r="W61" i="25" s="1"/>
  <c r="DT92" i="9"/>
  <c r="IC92" i="9"/>
  <c r="K91" i="28" s="1"/>
  <c r="DJ101" i="9"/>
  <c r="GO101" i="9" s="1"/>
  <c r="W7" i="23" s="1"/>
  <c r="DK101" i="9"/>
  <c r="GR101" i="9" s="1"/>
  <c r="X7" i="23" s="1"/>
  <c r="FC101" i="9"/>
  <c r="Z7" i="23" s="1"/>
  <c r="FC111" i="9"/>
  <c r="GP111" i="9" s="1"/>
  <c r="DN111" i="9"/>
  <c r="DM111" i="9"/>
  <c r="EJ114" i="9"/>
  <c r="FI114" i="9"/>
  <c r="AC77" i="22" s="1"/>
  <c r="EO116" i="9"/>
  <c r="HV116" i="9" s="1"/>
  <c r="V60" i="26" s="1"/>
  <c r="EN116" i="9"/>
  <c r="HS116" i="9" s="1"/>
  <c r="U60" i="26" s="1"/>
  <c r="EM116" i="9"/>
  <c r="HP116" i="9" s="1"/>
  <c r="T60" i="26" s="1"/>
  <c r="Z69" i="12"/>
  <c r="AA69" i="12" s="1"/>
  <c r="FL121" i="9"/>
  <c r="AD85" i="22" s="1"/>
  <c r="ES121" i="9"/>
  <c r="EQ121" i="9"/>
  <c r="EN33" i="9"/>
  <c r="HS33" i="9" s="1"/>
  <c r="FI59" i="9"/>
  <c r="HE59" i="9" s="1"/>
  <c r="AA73" i="25" s="1"/>
  <c r="ED8" i="9"/>
  <c r="DS10" i="9"/>
  <c r="GU10" i="9" s="1"/>
  <c r="EC13" i="9"/>
  <c r="EC16" i="9"/>
  <c r="DU17" i="9"/>
  <c r="IC20" i="9"/>
  <c r="EC20" i="9"/>
  <c r="HG20" i="9" s="1"/>
  <c r="FL23" i="9"/>
  <c r="X75" i="26" s="1"/>
  <c r="EE24" i="9"/>
  <c r="IB27" i="9"/>
  <c r="J15" i="28" s="1"/>
  <c r="EH28" i="9"/>
  <c r="BD29" i="9"/>
  <c r="EB30" i="9"/>
  <c r="HD30" i="9" s="1"/>
  <c r="U44" i="25" s="1"/>
  <c r="FF33" i="9"/>
  <c r="HB33" i="9" s="1"/>
  <c r="IC34" i="9"/>
  <c r="EO35" i="9"/>
  <c r="IB35" i="9"/>
  <c r="J27" i="28" s="1"/>
  <c r="BD37" i="9"/>
  <c r="FL38" i="9"/>
  <c r="HT38" i="9" s="1"/>
  <c r="EN38" i="9"/>
  <c r="HS38" i="9" s="1"/>
  <c r="BI39" i="9"/>
  <c r="FL39" i="9"/>
  <c r="HW39" i="9" s="1"/>
  <c r="BI40" i="9"/>
  <c r="EH40" i="9"/>
  <c r="IB43" i="9"/>
  <c r="J61" i="28" s="1"/>
  <c r="DU43" i="9"/>
  <c r="HA43" i="9" s="1"/>
  <c r="V34" i="24" s="1"/>
  <c r="Z61" i="12"/>
  <c r="AA61" i="12" s="1"/>
  <c r="ES45" i="9"/>
  <c r="EQ45" i="9"/>
  <c r="BD47" i="9"/>
  <c r="EI54" i="9"/>
  <c r="EH54" i="9"/>
  <c r="FF56" i="9"/>
  <c r="GY56" i="9" s="1"/>
  <c r="Z12" i="24" s="1"/>
  <c r="FI57" i="9"/>
  <c r="HN57" i="9" s="1"/>
  <c r="IA63" i="9"/>
  <c r="I49" i="28" s="1"/>
  <c r="FI69" i="9"/>
  <c r="EG69" i="9"/>
  <c r="ER69" i="9"/>
  <c r="EE72" i="9"/>
  <c r="HM72" i="9" s="1"/>
  <c r="X61" i="25" s="1"/>
  <c r="FL78" i="9"/>
  <c r="HW78" i="9" s="1"/>
  <c r="AA91" i="26" s="1"/>
  <c r="EB83" i="9"/>
  <c r="HD83" i="9" s="1"/>
  <c r="EC83" i="9"/>
  <c r="HG83" i="9" s="1"/>
  <c r="BD92" i="9"/>
  <c r="ID92" i="9"/>
  <c r="L91" i="28" s="1"/>
  <c r="IA92" i="9"/>
  <c r="I91" i="28" s="1"/>
  <c r="IC94" i="9"/>
  <c r="K16" i="28" s="1"/>
  <c r="DJ94" i="9"/>
  <c r="GO94" i="9" s="1"/>
  <c r="W18" i="23" s="1"/>
  <c r="DI94" i="9"/>
  <c r="GL94" i="9" s="1"/>
  <c r="V18" i="23" s="1"/>
  <c r="FF96" i="9"/>
  <c r="GV96" i="9" s="1"/>
  <c r="EH103" i="9"/>
  <c r="EG103" i="9"/>
  <c r="IC109" i="9"/>
  <c r="DI109" i="9"/>
  <c r="GL109" i="9" s="1"/>
  <c r="FC109" i="9"/>
  <c r="GS109" i="9" s="1"/>
  <c r="DP116" i="9"/>
  <c r="DN116" i="9"/>
  <c r="BI116" i="9"/>
  <c r="DO116" i="9"/>
  <c r="ED130" i="9"/>
  <c r="HJ130" i="9" s="1"/>
  <c r="EB130" i="9"/>
  <c r="HD130" i="9" s="1"/>
  <c r="EC130" i="9"/>
  <c r="HG130" i="9" s="1"/>
  <c r="L50" i="12"/>
  <c r="K50" i="12"/>
  <c r="ID15" i="9"/>
  <c r="L36" i="28" s="1"/>
  <c r="GR17" i="9"/>
  <c r="X69" i="23" s="1"/>
  <c r="EE16" i="9"/>
  <c r="FL33" i="9"/>
  <c r="HW33" i="9" s="1"/>
  <c r="HU33" i="9" s="1"/>
  <c r="DN38" i="9"/>
  <c r="ER38" i="9"/>
  <c r="ES40" i="9"/>
  <c r="FC50" i="9"/>
  <c r="GJ50" i="9" s="1"/>
  <c r="AA37" i="23" s="1"/>
  <c r="DO53" i="9"/>
  <c r="DM54" i="9"/>
  <c r="FC58" i="9"/>
  <c r="GM58" i="9" s="1"/>
  <c r="AB6" i="23" s="1"/>
  <c r="DT59" i="9"/>
  <c r="GX59" i="9" s="1"/>
  <c r="U27" i="24" s="1"/>
  <c r="EG60" i="9"/>
  <c r="FC62" i="9"/>
  <c r="GS62" i="9" s="1"/>
  <c r="GR64" i="9"/>
  <c r="X67" i="23" s="1"/>
  <c r="FC69" i="9"/>
  <c r="GJ69" i="9" s="1"/>
  <c r="DO70" i="9"/>
  <c r="BI71" i="9"/>
  <c r="FC72" i="9"/>
  <c r="Z78" i="23" s="1"/>
  <c r="BI73" i="9"/>
  <c r="DO73" i="9"/>
  <c r="DN73" i="9"/>
  <c r="DO74" i="9"/>
  <c r="ER75" i="9"/>
  <c r="EJ79" i="9"/>
  <c r="DS81" i="9"/>
  <c r="GU81" i="9" s="1"/>
  <c r="W21" i="12"/>
  <c r="X21" i="12" s="1"/>
  <c r="EJ84" i="9"/>
  <c r="EI84" i="9"/>
  <c r="EH84" i="9"/>
  <c r="EG84" i="9"/>
  <c r="ER95" i="9"/>
  <c r="DT100" i="9"/>
  <c r="GX100" i="9" s="1"/>
  <c r="DS100" i="9"/>
  <c r="GU100" i="9" s="1"/>
  <c r="FF100" i="9"/>
  <c r="IA113" i="9"/>
  <c r="I12" i="28" s="1"/>
  <c r="EC113" i="9"/>
  <c r="HG113" i="9" s="1"/>
  <c r="V17" i="25" s="1"/>
  <c r="EJ116" i="9"/>
  <c r="EI116" i="9"/>
  <c r="EH116" i="9"/>
  <c r="IA119" i="9"/>
  <c r="I71" i="28" s="1"/>
  <c r="BD119" i="9"/>
  <c r="IC119" i="9"/>
  <c r="K71" i="28" s="1"/>
  <c r="DK119" i="9"/>
  <c r="GR119" i="9" s="1"/>
  <c r="X74" i="23" s="1"/>
  <c r="DJ119" i="9"/>
  <c r="GO119" i="9" s="1"/>
  <c r="W74" i="23" s="1"/>
  <c r="HD136" i="9"/>
  <c r="U95" i="25" s="1"/>
  <c r="IB9" i="9"/>
  <c r="FI35" i="9"/>
  <c r="AC34" i="22" s="1"/>
  <c r="DO35" i="9"/>
  <c r="DO38" i="9"/>
  <c r="FI38" i="9"/>
  <c r="HN38" i="9" s="1"/>
  <c r="FF45" i="9"/>
  <c r="GY45" i="9" s="1"/>
  <c r="Z20" i="24" s="1"/>
  <c r="DP53" i="9"/>
  <c r="DN54" i="9"/>
  <c r="DM56" i="9"/>
  <c r="DW59" i="9"/>
  <c r="EH60" i="9"/>
  <c r="EG61" i="9"/>
  <c r="DP70" i="9"/>
  <c r="DY73" i="9"/>
  <c r="DW73" i="9"/>
  <c r="DY74" i="9"/>
  <c r="ES75" i="9"/>
  <c r="DH76" i="9"/>
  <c r="GI76" i="9" s="1"/>
  <c r="U12" i="23" s="1"/>
  <c r="BI86" i="9"/>
  <c r="DP86" i="9"/>
  <c r="DO86" i="9"/>
  <c r="FC86" i="9"/>
  <c r="GP86" i="9" s="1"/>
  <c r="DM86" i="9"/>
  <c r="DO89" i="9"/>
  <c r="DP89" i="9"/>
  <c r="DN89" i="9"/>
  <c r="DM89" i="9"/>
  <c r="FC89" i="9"/>
  <c r="GS89" i="9" s="1"/>
  <c r="AD68" i="23" s="1"/>
  <c r="EN91" i="9"/>
  <c r="HS91" i="9" s="1"/>
  <c r="EO91" i="9"/>
  <c r="HV91" i="9" s="1"/>
  <c r="V87" i="26" s="1"/>
  <c r="DX107" i="9"/>
  <c r="DY107" i="9"/>
  <c r="DW107" i="9"/>
  <c r="DJ124" i="9"/>
  <c r="GO124" i="9" s="1"/>
  <c r="FC124" i="9"/>
  <c r="Z70" i="23" s="1"/>
  <c r="DH124" i="9"/>
  <c r="GI124" i="9" s="1"/>
  <c r="DK124" i="9"/>
  <c r="GR124" i="9" s="1"/>
  <c r="X70" i="23" s="1"/>
  <c r="DW152" i="9"/>
  <c r="DY152" i="9"/>
  <c r="DX152" i="9"/>
  <c r="FF152" i="9"/>
  <c r="GV152" i="9" s="1"/>
  <c r="BI152" i="9"/>
  <c r="ES60" i="9"/>
  <c r="ER60" i="9"/>
  <c r="T71" i="12"/>
  <c r="U71" i="12" s="1"/>
  <c r="FF93" i="9"/>
  <c r="GV93" i="9" s="1"/>
  <c r="DS117" i="9"/>
  <c r="GU117" i="9" s="1"/>
  <c r="T89" i="24" s="1"/>
  <c r="DU117" i="9"/>
  <c r="HA117" i="9" s="1"/>
  <c r="V89" i="24" s="1"/>
  <c r="EO9" i="9"/>
  <c r="HV9" i="9" s="1"/>
  <c r="BD10" i="9"/>
  <c r="EB31" i="9"/>
  <c r="HS8" i="9"/>
  <c r="U23" i="26" s="1"/>
  <c r="EQ9" i="9"/>
  <c r="GX16" i="9"/>
  <c r="U63" i="24" s="1"/>
  <c r="DN28" i="9"/>
  <c r="EN28" i="9"/>
  <c r="EE30" i="9"/>
  <c r="HM30" i="9" s="1"/>
  <c r="X44" i="25" s="1"/>
  <c r="EC31" i="9"/>
  <c r="DT37" i="9"/>
  <c r="GX37" i="9" s="1"/>
  <c r="FI40" i="9"/>
  <c r="HE40" i="9" s="1"/>
  <c r="HC40" i="9" s="1"/>
  <c r="EB43" i="9"/>
  <c r="HD43" i="9" s="1"/>
  <c r="U87" i="25" s="1"/>
  <c r="IA43" i="9"/>
  <c r="I61" i="28" s="1"/>
  <c r="IC8" i="9"/>
  <c r="K25" i="28" s="1"/>
  <c r="FF9" i="9"/>
  <c r="GY9" i="9" s="1"/>
  <c r="BD12" i="9"/>
  <c r="EG14" i="9"/>
  <c r="GI15" i="9"/>
  <c r="U47" i="23" s="1"/>
  <c r="ED23" i="9"/>
  <c r="HJ23" i="9" s="1"/>
  <c r="W65" i="25" s="1"/>
  <c r="EE25" i="9"/>
  <c r="HM25" i="9" s="1"/>
  <c r="FC26" i="9"/>
  <c r="GP26" i="9" s="1"/>
  <c r="BI27" i="9"/>
  <c r="DS28" i="9"/>
  <c r="ER28" i="9"/>
  <c r="EB29" i="9"/>
  <c r="BI31" i="9"/>
  <c r="DW32" i="9"/>
  <c r="DI33" i="9"/>
  <c r="GL33" i="9" s="1"/>
  <c r="IA36" i="9"/>
  <c r="ED36" i="9"/>
  <c r="HJ36" i="9" s="1"/>
  <c r="DY37" i="9"/>
  <c r="DM40" i="9"/>
  <c r="FC41" i="9"/>
  <c r="EM41" i="9"/>
  <c r="HP41" i="9" s="1"/>
  <c r="T62" i="26" s="1"/>
  <c r="IC43" i="9"/>
  <c r="K61" i="28" s="1"/>
  <c r="DU45" i="9"/>
  <c r="HA45" i="9" s="1"/>
  <c r="V20" i="24" s="1"/>
  <c r="FL45" i="9"/>
  <c r="X34" i="26" s="1"/>
  <c r="EH46" i="9"/>
  <c r="BI47" i="9"/>
  <c r="EO47" i="9"/>
  <c r="HV47" i="9" s="1"/>
  <c r="DX48" i="9"/>
  <c r="DI51" i="9"/>
  <c r="GL51" i="9" s="1"/>
  <c r="V50" i="23" s="1"/>
  <c r="EN52" i="9"/>
  <c r="HS52" i="9" s="1"/>
  <c r="U28" i="26" s="1"/>
  <c r="HZ52" i="9"/>
  <c r="H29" i="28" s="1"/>
  <c r="DO54" i="9"/>
  <c r="DN56" i="9"/>
  <c r="DY59" i="9"/>
  <c r="EI60" i="9"/>
  <c r="EH61" i="9"/>
  <c r="HD64" i="9"/>
  <c r="U67" i="25" s="1"/>
  <c r="EG67" i="9"/>
  <c r="IA67" i="9"/>
  <c r="I9" i="28" s="1"/>
  <c r="W17" i="12"/>
  <c r="X17" i="12" s="1"/>
  <c r="EH68" i="9"/>
  <c r="EG68" i="9"/>
  <c r="DM69" i="9"/>
  <c r="W97" i="12"/>
  <c r="X97" i="12" s="1"/>
  <c r="EH71" i="9"/>
  <c r="EG71" i="9"/>
  <c r="FF71" i="9"/>
  <c r="HB71" i="9" s="1"/>
  <c r="AA64" i="24" s="1"/>
  <c r="ES72" i="9"/>
  <c r="ER72" i="9"/>
  <c r="EB74" i="9"/>
  <c r="HD74" i="9" s="1"/>
  <c r="FL75" i="9"/>
  <c r="HQ75" i="9" s="1"/>
  <c r="DI76" i="9"/>
  <c r="GL76" i="9" s="1"/>
  <c r="V12" i="23" s="1"/>
  <c r="FL80" i="9"/>
  <c r="HT80" i="9" s="1"/>
  <c r="FF83" i="9"/>
  <c r="GV83" i="9" s="1"/>
  <c r="DY86" i="9"/>
  <c r="DW86" i="9"/>
  <c r="EC88" i="9"/>
  <c r="EB88" i="9"/>
  <c r="ID88" i="9"/>
  <c r="IC88" i="9"/>
  <c r="ES88" i="9"/>
  <c r="EE93" i="9"/>
  <c r="HM93" i="9" s="1"/>
  <c r="X81" i="25" s="1"/>
  <c r="W74" i="12"/>
  <c r="X74" i="12" s="1"/>
  <c r="EJ105" i="9"/>
  <c r="FI105" i="9"/>
  <c r="HK105" i="9" s="1"/>
  <c r="AC57" i="25" s="1"/>
  <c r="DU108" i="9"/>
  <c r="HA108" i="9" s="1"/>
  <c r="V84" i="24" s="1"/>
  <c r="DN113" i="9"/>
  <c r="DP113" i="9"/>
  <c r="DO113" i="9"/>
  <c r="DM113" i="9"/>
  <c r="FF124" i="9"/>
  <c r="GV124" i="9" s="1"/>
  <c r="Y50" i="24" s="1"/>
  <c r="DT124" i="9"/>
  <c r="GX124" i="9" s="1"/>
  <c r="EN133" i="9"/>
  <c r="HS133" i="9" s="1"/>
  <c r="U105" i="26" s="1"/>
  <c r="HZ133" i="9"/>
  <c r="H105" i="28" s="1"/>
  <c r="IC133" i="9"/>
  <c r="K105" i="28" s="1"/>
  <c r="IB133" i="9"/>
  <c r="J105" i="28" s="1"/>
  <c r="EO133" i="9"/>
  <c r="HV133" i="9" s="1"/>
  <c r="ID133" i="9"/>
  <c r="L105" i="28" s="1"/>
  <c r="EM133" i="9"/>
  <c r="HP133" i="9" s="1"/>
  <c r="T105" i="26" s="1"/>
  <c r="DK144" i="9"/>
  <c r="GR144" i="9" s="1"/>
  <c r="DH144" i="9"/>
  <c r="GI144" i="9" s="1"/>
  <c r="U99" i="23" s="1"/>
  <c r="HZ144" i="9"/>
  <c r="H100" i="28" s="1"/>
  <c r="DJ144" i="9"/>
  <c r="GO144" i="9" s="1"/>
  <c r="W99" i="23" s="1"/>
  <c r="DI144" i="9"/>
  <c r="GL144" i="9" s="1"/>
  <c r="V99" i="23" s="1"/>
  <c r="FF53" i="9"/>
  <c r="HB53" i="9" s="1"/>
  <c r="AA70" i="24" s="1"/>
  <c r="EJ85" i="9"/>
  <c r="FI85" i="9"/>
  <c r="HE85" i="9" s="1"/>
  <c r="HC85" i="9" s="1"/>
  <c r="EI85" i="9"/>
  <c r="EH85" i="9"/>
  <c r="EG85" i="9"/>
  <c r="ED20" i="9"/>
  <c r="HJ20" i="9" s="1"/>
  <c r="W8" i="12"/>
  <c r="X8" i="12" s="1"/>
  <c r="EG76" i="9"/>
  <c r="HS13" i="9"/>
  <c r="U21" i="26" s="1"/>
  <c r="DM15" i="9"/>
  <c r="DH33" i="9"/>
  <c r="GI33" i="9" s="1"/>
  <c r="DW48" i="9"/>
  <c r="DH51" i="9"/>
  <c r="GI51" i="9" s="1"/>
  <c r="U50" i="23" s="1"/>
  <c r="HP14" i="9"/>
  <c r="T22" i="26" s="1"/>
  <c r="DN15" i="9"/>
  <c r="HD16" i="9"/>
  <c r="U51" i="25" s="1"/>
  <c r="BD19" i="9"/>
  <c r="FC20" i="9"/>
  <c r="GS20" i="9" s="1"/>
  <c r="ED31" i="9"/>
  <c r="FI8" i="9"/>
  <c r="AC31" i="22" s="1"/>
  <c r="ID8" i="9"/>
  <c r="L25" i="28" s="1"/>
  <c r="DT9" i="9"/>
  <c r="GX9" i="9" s="1"/>
  <c r="FL9" i="9"/>
  <c r="HW9" i="9" s="1"/>
  <c r="EJ10" i="9"/>
  <c r="BI11" i="9"/>
  <c r="EQ11" i="9"/>
  <c r="DX12" i="9"/>
  <c r="FC13" i="9"/>
  <c r="GJ13" i="9" s="1"/>
  <c r="AA20" i="23" s="1"/>
  <c r="EH14" i="9"/>
  <c r="HV14" i="9"/>
  <c r="V22" i="26" s="1"/>
  <c r="DO15" i="9"/>
  <c r="GL15" i="9"/>
  <c r="V47" i="23" s="1"/>
  <c r="EI16" i="9"/>
  <c r="HG16" i="9"/>
  <c r="V51" i="25" s="1"/>
  <c r="BI18" i="9"/>
  <c r="EQ18" i="9"/>
  <c r="DX19" i="9"/>
  <c r="FI20" i="9"/>
  <c r="HN20" i="9" s="1"/>
  <c r="FL20" i="9"/>
  <c r="HQ20" i="9" s="1"/>
  <c r="IC23" i="9"/>
  <c r="K70" i="28" s="1"/>
  <c r="EM24" i="9"/>
  <c r="FL25" i="9"/>
  <c r="HW25" i="9" s="1"/>
  <c r="EQ25" i="9"/>
  <c r="EM26" i="9"/>
  <c r="HP26" i="9" s="1"/>
  <c r="EM27" i="9"/>
  <c r="HP27" i="9" s="1"/>
  <c r="T17" i="26" s="1"/>
  <c r="DT28" i="9"/>
  <c r="EC29" i="9"/>
  <c r="EH30" i="9"/>
  <c r="HZ32" i="9"/>
  <c r="EC32" i="9"/>
  <c r="HG32" i="9" s="1"/>
  <c r="DJ33" i="9"/>
  <c r="GO33" i="9" s="1"/>
  <c r="FL36" i="9"/>
  <c r="HT36" i="9" s="1"/>
  <c r="EG36" i="9"/>
  <c r="EB37" i="9"/>
  <c r="HD37" i="9" s="1"/>
  <c r="DX38" i="9"/>
  <c r="DN40" i="9"/>
  <c r="EN41" i="9"/>
  <c r="HS41" i="9" s="1"/>
  <c r="U62" i="26" s="1"/>
  <c r="EN42" i="9"/>
  <c r="HS42" i="9" s="1"/>
  <c r="U47" i="26" s="1"/>
  <c r="EN43" i="9"/>
  <c r="HS43" i="9" s="1"/>
  <c r="U59" i="26" s="1"/>
  <c r="DW45" i="9"/>
  <c r="EI46" i="9"/>
  <c r="DY48" i="9"/>
  <c r="DI50" i="9"/>
  <c r="GL50" i="9" s="1"/>
  <c r="V37" i="23" s="1"/>
  <c r="DJ51" i="9"/>
  <c r="GO51" i="9" s="1"/>
  <c r="W50" i="23" s="1"/>
  <c r="DI53" i="9"/>
  <c r="GL53" i="9" s="1"/>
  <c r="V63" i="23" s="1"/>
  <c r="IC53" i="9"/>
  <c r="K68" i="28" s="1"/>
  <c r="DT56" i="9"/>
  <c r="DS57" i="9"/>
  <c r="GU57" i="9" s="1"/>
  <c r="EG59" i="9"/>
  <c r="EJ60" i="9"/>
  <c r="EI61" i="9"/>
  <c r="EB65" i="9"/>
  <c r="HD65" i="9" s="1"/>
  <c r="U34" i="25" s="1"/>
  <c r="EH67" i="9"/>
  <c r="IC67" i="9"/>
  <c r="K9" i="28" s="1"/>
  <c r="BI68" i="9"/>
  <c r="DN69" i="9"/>
  <c r="DJ72" i="9"/>
  <c r="GO72" i="9" s="1"/>
  <c r="EC74" i="9"/>
  <c r="HG74" i="9" s="1"/>
  <c r="DJ76" i="9"/>
  <c r="GO76" i="9" s="1"/>
  <c r="W12" i="23" s="1"/>
  <c r="ID77" i="9"/>
  <c r="L11" i="28" s="1"/>
  <c r="EQ77" i="9"/>
  <c r="IC78" i="9"/>
  <c r="K93" i="28" s="1"/>
  <c r="HZ78" i="9"/>
  <c r="H93" i="28" s="1"/>
  <c r="DJ79" i="9"/>
  <c r="GO79" i="9" s="1"/>
  <c r="W25" i="23" s="1"/>
  <c r="DK79" i="9"/>
  <c r="GR79" i="9" s="1"/>
  <c r="X25" i="23" s="1"/>
  <c r="DH80" i="9"/>
  <c r="GI80" i="9" s="1"/>
  <c r="ES86" i="9"/>
  <c r="EQ90" i="9"/>
  <c r="DK93" i="9"/>
  <c r="GR93" i="9" s="1"/>
  <c r="X93" i="23" s="1"/>
  <c r="DJ93" i="9"/>
  <c r="GO93" i="9" s="1"/>
  <c r="W93" i="23" s="1"/>
  <c r="EJ97" i="9"/>
  <c r="EI97" i="9"/>
  <c r="EH97" i="9"/>
  <c r="EG97" i="9"/>
  <c r="DP100" i="9"/>
  <c r="DN100" i="9"/>
  <c r="EQ107" i="9"/>
  <c r="FL107" i="9"/>
  <c r="HZ110" i="9"/>
  <c r="EH114" i="9"/>
  <c r="W60" i="12"/>
  <c r="X60" i="12" s="1"/>
  <c r="EG118" i="9"/>
  <c r="EH118" i="9"/>
  <c r="EI118" i="9"/>
  <c r="EJ118" i="9"/>
  <c r="ED57" i="9"/>
  <c r="HJ57" i="9" s="1"/>
  <c r="EC57" i="9"/>
  <c r="HG57" i="9" s="1"/>
  <c r="IB57" i="9"/>
  <c r="DY77" i="9"/>
  <c r="DX77" i="9"/>
  <c r="EM99" i="9"/>
  <c r="HP99" i="9" s="1"/>
  <c r="EO99" i="9"/>
  <c r="HV99" i="9" s="1"/>
  <c r="EN96" i="9"/>
  <c r="HS96" i="9" s="1"/>
  <c r="EM96" i="9"/>
  <c r="HP96" i="9" s="1"/>
  <c r="EN111" i="9"/>
  <c r="HS111" i="9" s="1"/>
  <c r="IA111" i="9"/>
  <c r="ED13" i="9"/>
  <c r="IA24" i="9"/>
  <c r="I21" i="28" s="1"/>
  <c r="FC82" i="9"/>
  <c r="Z5" i="23" s="1"/>
  <c r="DI82" i="9"/>
  <c r="GL82" i="9" s="1"/>
  <c r="V5" i="23" s="1"/>
  <c r="DW93" i="9"/>
  <c r="ES103" i="9"/>
  <c r="ER103" i="9"/>
  <c r="DP23" i="9"/>
  <c r="HM27" i="9"/>
  <c r="X10" i="25" s="1"/>
  <c r="IA29" i="9"/>
  <c r="I17" i="28" s="1"/>
  <c r="DY12" i="9"/>
  <c r="FL13" i="9"/>
  <c r="HT13" i="9" s="1"/>
  <c r="Z21" i="26" s="1"/>
  <c r="EI14" i="9"/>
  <c r="BD15" i="9"/>
  <c r="EJ16" i="9"/>
  <c r="HM16" i="9"/>
  <c r="X51" i="25" s="1"/>
  <c r="DH17" i="9"/>
  <c r="DY19" i="9"/>
  <c r="EG23" i="9"/>
  <c r="BI25" i="9"/>
  <c r="ER25" i="9"/>
  <c r="FC28" i="9"/>
  <c r="Z42" i="23" s="1"/>
  <c r="ED29" i="9"/>
  <c r="EG31" i="9"/>
  <c r="ED32" i="9"/>
  <c r="HJ32" i="9" s="1"/>
  <c r="BD35" i="9"/>
  <c r="EC37" i="9"/>
  <c r="HG37" i="9" s="1"/>
  <c r="ES42" i="9"/>
  <c r="BD45" i="9"/>
  <c r="DX45" i="9"/>
  <c r="T101" i="12"/>
  <c r="U101" i="12" s="1"/>
  <c r="DY47" i="9"/>
  <c r="DJ50" i="9"/>
  <c r="GO50" i="9" s="1"/>
  <c r="W37" i="23" s="1"/>
  <c r="DW51" i="9"/>
  <c r="EQ52" i="9"/>
  <c r="EM55" i="9"/>
  <c r="HP55" i="9" s="1"/>
  <c r="EN55" i="9"/>
  <c r="HS55" i="9" s="1"/>
  <c r="EH55" i="9"/>
  <c r="DT57" i="9"/>
  <c r="GX57" i="9" s="1"/>
  <c r="EI59" i="9"/>
  <c r="EM60" i="9"/>
  <c r="HP60" i="9" s="1"/>
  <c r="T55" i="26" s="1"/>
  <c r="DI62" i="9"/>
  <c r="GL62" i="9" s="1"/>
  <c r="V45" i="23" s="1"/>
  <c r="EI67" i="9"/>
  <c r="DM68" i="9"/>
  <c r="DO69" i="9"/>
  <c r="EM70" i="9"/>
  <c r="HP70" i="9" s="1"/>
  <c r="DN72" i="9"/>
  <c r="DO75" i="9"/>
  <c r="DN75" i="9"/>
  <c r="FI79" i="9"/>
  <c r="HE79" i="9" s="1"/>
  <c r="AA20" i="25" s="1"/>
  <c r="EH80" i="9"/>
  <c r="DI81" i="9"/>
  <c r="GL81" i="9" s="1"/>
  <c r="V71" i="23" s="1"/>
  <c r="DH81" i="9"/>
  <c r="GI81" i="9" s="1"/>
  <c r="EQ85" i="9"/>
  <c r="DP88" i="9"/>
  <c r="DO88" i="9"/>
  <c r="DN88" i="9"/>
  <c r="IA89" i="9"/>
  <c r="I62" i="28" s="1"/>
  <c r="DH90" i="9"/>
  <c r="T57" i="12"/>
  <c r="U57" i="12" s="1"/>
  <c r="DY91" i="9"/>
  <c r="DW91" i="9"/>
  <c r="FC92" i="9"/>
  <c r="GJ92" i="9" s="1"/>
  <c r="AA96" i="23" s="1"/>
  <c r="EO96" i="9"/>
  <c r="HV96" i="9" s="1"/>
  <c r="BD141" i="9"/>
  <c r="ID141" i="9"/>
  <c r="L98" i="28" s="1"/>
  <c r="DH141" i="9"/>
  <c r="GI141" i="9" s="1"/>
  <c r="U98" i="23" s="1"/>
  <c r="DU142" i="9"/>
  <c r="HA142" i="9" s="1"/>
  <c r="DS142" i="9"/>
  <c r="GU142" i="9" s="1"/>
  <c r="T36" i="24" s="1"/>
  <c r="ER19" i="9"/>
  <c r="DJ8" i="9"/>
  <c r="EB9" i="9"/>
  <c r="HD9" i="9" s="1"/>
  <c r="GR15" i="9"/>
  <c r="X47" i="23" s="1"/>
  <c r="EN16" i="9"/>
  <c r="HP16" i="9"/>
  <c r="T72" i="26" s="1"/>
  <c r="DJ17" i="9"/>
  <c r="DI20" i="9"/>
  <c r="GL20" i="9" s="1"/>
  <c r="EQ24" i="9"/>
  <c r="FF25" i="9"/>
  <c r="HB25" i="9" s="1"/>
  <c r="GZ25" i="9" s="1"/>
  <c r="DX28" i="9"/>
  <c r="GI35" i="9"/>
  <c r="U33" i="23" s="1"/>
  <c r="FF36" i="9"/>
  <c r="HB36" i="9" s="1"/>
  <c r="GZ36" i="9" s="1"/>
  <c r="ED37" i="9"/>
  <c r="HJ37" i="9" s="1"/>
  <c r="BD38" i="9"/>
  <c r="EB38" i="9"/>
  <c r="HD38" i="9" s="1"/>
  <c r="BD40" i="9"/>
  <c r="DM50" i="9"/>
  <c r="DH52" i="9"/>
  <c r="GI52" i="9" s="1"/>
  <c r="U28" i="23" s="1"/>
  <c r="EG53" i="9"/>
  <c r="EJ54" i="9"/>
  <c r="DW56" i="9"/>
  <c r="BD57" i="9"/>
  <c r="DT58" i="9"/>
  <c r="GX58" i="9" s="1"/>
  <c r="U6" i="24" s="1"/>
  <c r="DJ62" i="9"/>
  <c r="GO62" i="9" s="1"/>
  <c r="W45" i="23" s="1"/>
  <c r="FC63" i="9"/>
  <c r="GS63" i="9" s="1"/>
  <c r="AD49" i="23" s="1"/>
  <c r="ER65" i="9"/>
  <c r="EQ66" i="9"/>
  <c r="EJ67" i="9"/>
  <c r="DN68" i="9"/>
  <c r="IB68" i="9"/>
  <c r="J31" i="28" s="1"/>
  <c r="DM71" i="9"/>
  <c r="EQ74" i="9"/>
  <c r="FC77" i="9"/>
  <c r="AA10" i="22" s="1"/>
  <c r="EE78" i="9"/>
  <c r="ED78" i="9"/>
  <c r="EC78" i="9"/>
  <c r="EB78" i="9"/>
  <c r="EC79" i="9"/>
  <c r="HG79" i="9" s="1"/>
  <c r="V20" i="25" s="1"/>
  <c r="EE79" i="9"/>
  <c r="HM79" i="9" s="1"/>
  <c r="X20" i="25" s="1"/>
  <c r="ED79" i="9"/>
  <c r="HJ79" i="9" s="1"/>
  <c r="W20" i="25" s="1"/>
  <c r="DK83" i="9"/>
  <c r="GR83" i="9" s="1"/>
  <c r="ES85" i="9"/>
  <c r="DI90" i="9"/>
  <c r="EE110" i="9"/>
  <c r="HM110" i="9" s="1"/>
  <c r="EC110" i="9"/>
  <c r="HG110" i="9" s="1"/>
  <c r="ID110" i="9"/>
  <c r="BD110" i="9"/>
  <c r="DU33" i="9"/>
  <c r="HA33" i="9" s="1"/>
  <c r="DW110" i="9"/>
  <c r="DY110" i="9"/>
  <c r="DX110" i="9"/>
  <c r="IB33" i="9"/>
  <c r="IC58" i="9"/>
  <c r="K5" i="28" s="1"/>
  <c r="DI58" i="9"/>
  <c r="GL58" i="9" s="1"/>
  <c r="V6" i="23" s="1"/>
  <c r="Z16" i="12"/>
  <c r="AA16" i="12" s="1"/>
  <c r="FL87" i="9"/>
  <c r="X27" i="26" s="1"/>
  <c r="ER87" i="9"/>
  <c r="EQ87" i="9"/>
  <c r="EE8" i="9"/>
  <c r="EN9" i="9"/>
  <c r="HS9" i="9" s="1"/>
  <c r="ED16" i="9"/>
  <c r="DO72" i="9"/>
  <c r="DM72" i="9"/>
  <c r="DW106" i="9"/>
  <c r="DY106" i="9"/>
  <c r="DX106" i="9"/>
  <c r="EN120" i="9"/>
  <c r="HS120" i="9" s="1"/>
  <c r="U37" i="26" s="1"/>
  <c r="IA120" i="9"/>
  <c r="I37" i="28" s="1"/>
  <c r="HG8" i="9"/>
  <c r="V103" i="25" s="1"/>
  <c r="HD13" i="9"/>
  <c r="U13" i="25" s="1"/>
  <c r="GO16" i="9"/>
  <c r="W65" i="23" s="1"/>
  <c r="ID20" i="9"/>
  <c r="ED27" i="9"/>
  <c r="HJ27" i="9" s="1"/>
  <c r="W10" i="25" s="1"/>
  <c r="HZ9" i="9"/>
  <c r="FL10" i="9"/>
  <c r="HT10" i="9" s="1"/>
  <c r="FC10" i="9"/>
  <c r="GS10" i="9" s="1"/>
  <c r="EB12" i="9"/>
  <c r="DI13" i="9"/>
  <c r="EJ14" i="9"/>
  <c r="EB19" i="9"/>
  <c r="EJ23" i="9"/>
  <c r="ER27" i="9"/>
  <c r="DM30" i="9"/>
  <c r="EH31" i="9"/>
  <c r="EE32" i="9"/>
  <c r="HM32" i="9" s="1"/>
  <c r="DP33" i="9"/>
  <c r="DN34" i="9"/>
  <c r="DW35" i="9"/>
  <c r="EH39" i="9"/>
  <c r="FI43" i="9"/>
  <c r="Z87" i="25" s="1"/>
  <c r="DN60" i="9"/>
  <c r="DM60" i="9"/>
  <c r="DK8" i="9"/>
  <c r="EC9" i="9"/>
  <c r="HG9" i="9" s="1"/>
  <c r="DH10" i="9"/>
  <c r="GI10" i="9" s="1"/>
  <c r="DJ13" i="9"/>
  <c r="BI14" i="9"/>
  <c r="EO14" i="9"/>
  <c r="DW15" i="9"/>
  <c r="DH16" i="9"/>
  <c r="EO16" i="9"/>
  <c r="DK17" i="9"/>
  <c r="DJ20" i="9"/>
  <c r="GO20" i="9" s="1"/>
  <c r="FF22" i="9"/>
  <c r="X9" i="24" s="1"/>
  <c r="HZ23" i="9"/>
  <c r="H70" i="28" s="1"/>
  <c r="DH24" i="9"/>
  <c r="ER24" i="9"/>
  <c r="FI25" i="9"/>
  <c r="HH25" i="9" s="1"/>
  <c r="HF25" i="9" s="1"/>
  <c r="DH27" i="9"/>
  <c r="GI27" i="9" s="1"/>
  <c r="U14" i="23" s="1"/>
  <c r="DY28" i="9"/>
  <c r="EI31" i="9"/>
  <c r="EJ32" i="9"/>
  <c r="DO34" i="9"/>
  <c r="DX35" i="9"/>
  <c r="EI39" i="9"/>
  <c r="DU40" i="9"/>
  <c r="HA40" i="9" s="1"/>
  <c r="DI41" i="9"/>
  <c r="GL41" i="9" s="1"/>
  <c r="V58" i="23" s="1"/>
  <c r="ES43" i="9"/>
  <c r="DI49" i="9"/>
  <c r="GL49" i="9" s="1"/>
  <c r="V38" i="23" s="1"/>
  <c r="ES52" i="9"/>
  <c r="EH53" i="9"/>
  <c r="EO55" i="9"/>
  <c r="HV55" i="9" s="1"/>
  <c r="DK57" i="9"/>
  <c r="GR57" i="9" s="1"/>
  <c r="HZ57" i="9"/>
  <c r="DX57" i="9"/>
  <c r="DX58" i="9"/>
  <c r="IC59" i="9"/>
  <c r="K38" i="28" s="1"/>
  <c r="DI59" i="9"/>
  <c r="GL59" i="9" s="1"/>
  <c r="V36" i="23" s="1"/>
  <c r="DH59" i="9"/>
  <c r="GI59" i="9" s="1"/>
  <c r="U36" i="23" s="1"/>
  <c r="DM62" i="9"/>
  <c r="Z50" i="12"/>
  <c r="AA50" i="12" s="1"/>
  <c r="EQ63" i="9"/>
  <c r="FL63" i="9"/>
  <c r="HQ63" i="9" s="1"/>
  <c r="Y46" i="26" s="1"/>
  <c r="EJ64" i="9"/>
  <c r="EI64" i="9"/>
  <c r="ES65" i="9"/>
  <c r="ES66" i="9"/>
  <c r="ID69" i="9"/>
  <c r="EH69" i="9"/>
  <c r="ID70" i="9"/>
  <c r="L56" i="28" s="1"/>
  <c r="DN71" i="9"/>
  <c r="DP73" i="9"/>
  <c r="EN77" i="9"/>
  <c r="HS77" i="9" s="1"/>
  <c r="U9" i="26" s="1"/>
  <c r="IC77" i="9"/>
  <c r="K11" i="28" s="1"/>
  <c r="EQ80" i="9"/>
  <c r="EG88" i="9"/>
  <c r="EJ88" i="9"/>
  <c r="DK90" i="9"/>
  <c r="Z57" i="12"/>
  <c r="AA57" i="12" s="1"/>
  <c r="EQ91" i="9"/>
  <c r="DK92" i="9"/>
  <c r="DK94" i="9"/>
  <c r="GR94" i="9" s="1"/>
  <c r="X18" i="23" s="1"/>
  <c r="IA94" i="9"/>
  <c r="I16" i="28" s="1"/>
  <c r="DT95" i="9"/>
  <c r="GX95" i="9" s="1"/>
  <c r="FC96" i="9"/>
  <c r="GM96" i="9" s="1"/>
  <c r="GK96" i="9" s="1"/>
  <c r="IA97" i="9"/>
  <c r="EN99" i="9"/>
  <c r="HS99" i="9" s="1"/>
  <c r="FL100" i="9"/>
  <c r="IB101" i="9"/>
  <c r="J8" i="28" s="1"/>
  <c r="IC108" i="9"/>
  <c r="K72" i="28" s="1"/>
  <c r="DI108" i="9"/>
  <c r="GL108" i="9" s="1"/>
  <c r="V81" i="23" s="1"/>
  <c r="FF117" i="9"/>
  <c r="GY117" i="9" s="1"/>
  <c r="Z89" i="24" s="1"/>
  <c r="EB128" i="9"/>
  <c r="HD128" i="9" s="1"/>
  <c r="EC128" i="9"/>
  <c r="HG128" i="9" s="1"/>
  <c r="EE128" i="9"/>
  <c r="HM128" i="9" s="1"/>
  <c r="ED128" i="9"/>
  <c r="HJ128" i="9" s="1"/>
  <c r="Z102" i="12"/>
  <c r="AA102" i="12" s="1"/>
  <c r="EQ140" i="9"/>
  <c r="ER140" i="9"/>
  <c r="EE141" i="9"/>
  <c r="HM141" i="9" s="1"/>
  <c r="X102" i="25" s="1"/>
  <c r="ED141" i="9"/>
  <c r="HJ141" i="9" s="1"/>
  <c r="W102" i="25" s="1"/>
  <c r="EC141" i="9"/>
  <c r="HG141" i="9" s="1"/>
  <c r="EC151" i="9"/>
  <c r="HG151" i="9" s="1"/>
  <c r="EB151" i="9"/>
  <c r="HD151" i="9" s="1"/>
  <c r="EE151" i="9"/>
  <c r="HM151" i="9" s="1"/>
  <c r="ED151" i="9"/>
  <c r="HJ151" i="9" s="1"/>
  <c r="EM108" i="9"/>
  <c r="HP108" i="9" s="1"/>
  <c r="EG126" i="9"/>
  <c r="DO133" i="9"/>
  <c r="DM133" i="9"/>
  <c r="BI142" i="9"/>
  <c r="DM142" i="9"/>
  <c r="DO142" i="9"/>
  <c r="T88" i="12"/>
  <c r="U88" i="12" s="1"/>
  <c r="DW148" i="9"/>
  <c r="EN154" i="9"/>
  <c r="HS154" i="9" s="1"/>
  <c r="EO154" i="9"/>
  <c r="HV154" i="9" s="1"/>
  <c r="L98" i="12"/>
  <c r="K98" i="12"/>
  <c r="IB104" i="9"/>
  <c r="IC104" i="9"/>
  <c r="DO106" i="9"/>
  <c r="DM106" i="9"/>
  <c r="EN108" i="9"/>
  <c r="HS108" i="9" s="1"/>
  <c r="U81" i="26" s="1"/>
  <c r="ES110" i="9"/>
  <c r="ER110" i="9"/>
  <c r="ER111" i="9"/>
  <c r="EQ111" i="9"/>
  <c r="DX120" i="9"/>
  <c r="DW120" i="9"/>
  <c r="DT129" i="9"/>
  <c r="GX129" i="9" s="1"/>
  <c r="DS129" i="9"/>
  <c r="GU129" i="9" s="1"/>
  <c r="EE132" i="9"/>
  <c r="HM132" i="9" s="1"/>
  <c r="ED132" i="9"/>
  <c r="HJ132" i="9" s="1"/>
  <c r="EC132" i="9"/>
  <c r="HG132" i="9" s="1"/>
  <c r="T96" i="12"/>
  <c r="U96" i="12" s="1"/>
  <c r="DX142" i="9"/>
  <c r="DW142" i="9"/>
  <c r="FF142" i="9"/>
  <c r="HB142" i="9" s="1"/>
  <c r="AA36" i="24" s="1"/>
  <c r="W20" i="12"/>
  <c r="X20" i="12" s="1"/>
  <c r="EI120" i="9"/>
  <c r="EJ120" i="9"/>
  <c r="EG120" i="9"/>
  <c r="FC125" i="9"/>
  <c r="Z26" i="23" s="1"/>
  <c r="DK125" i="9"/>
  <c r="GR125" i="9" s="1"/>
  <c r="X26" i="23" s="1"/>
  <c r="ES128" i="9"/>
  <c r="ER128" i="9"/>
  <c r="DT143" i="9"/>
  <c r="GX143" i="9" s="1"/>
  <c r="U68" i="24" s="1"/>
  <c r="DS143" i="9"/>
  <c r="GU143" i="9" s="1"/>
  <c r="T68" i="24" s="1"/>
  <c r="Z88" i="12"/>
  <c r="AA88" i="12" s="1"/>
  <c r="FL148" i="9"/>
  <c r="HW148" i="9" s="1"/>
  <c r="EQ148" i="9"/>
  <c r="ES148" i="9"/>
  <c r="K96" i="12"/>
  <c r="EJ93" i="9"/>
  <c r="DX100" i="9"/>
  <c r="DY100" i="9"/>
  <c r="IA102" i="9"/>
  <c r="HZ102" i="9"/>
  <c r="ED104" i="9"/>
  <c r="HJ104" i="9" s="1"/>
  <c r="EG109" i="9"/>
  <c r="FI109" i="9"/>
  <c r="HE109" i="9" s="1"/>
  <c r="DS114" i="9"/>
  <c r="GU114" i="9" s="1"/>
  <c r="T86" i="24" s="1"/>
  <c r="T72" i="12"/>
  <c r="U72" i="12" s="1"/>
  <c r="DW117" i="9"/>
  <c r="W41" i="12"/>
  <c r="X41" i="12" s="1"/>
  <c r="EH119" i="9"/>
  <c r="EG119" i="9"/>
  <c r="EI119" i="9"/>
  <c r="FI119" i="9"/>
  <c r="HK119" i="9" s="1"/>
  <c r="AC58" i="25" s="1"/>
  <c r="HP122" i="9"/>
  <c r="T53" i="26" s="1"/>
  <c r="AC122" i="9"/>
  <c r="AD122" i="9" s="1"/>
  <c r="AE122" i="9" s="1"/>
  <c r="EJ126" i="9"/>
  <c r="FF127" i="9"/>
  <c r="AB79" i="22" s="1"/>
  <c r="DX127" i="9"/>
  <c r="Z96" i="12"/>
  <c r="AA96" i="12" s="1"/>
  <c r="ES142" i="9"/>
  <c r="FF143" i="9"/>
  <c r="AB103" i="22" s="1"/>
  <c r="FL146" i="9"/>
  <c r="HT146" i="9" s="1"/>
  <c r="Z79" i="26" s="1"/>
  <c r="ES146" i="9"/>
  <c r="ER146" i="9"/>
  <c r="FF99" i="9"/>
  <c r="HB99" i="9" s="1"/>
  <c r="DY99" i="9"/>
  <c r="DW123" i="9"/>
  <c r="DY123" i="9"/>
  <c r="FC129" i="9"/>
  <c r="GJ129" i="9" s="1"/>
  <c r="EC136" i="9"/>
  <c r="HG136" i="9" s="1"/>
  <c r="V95" i="25" s="1"/>
  <c r="EE136" i="9"/>
  <c r="HM136" i="9" s="1"/>
  <c r="X95" i="25" s="1"/>
  <c r="ED136" i="9"/>
  <c r="HJ136" i="9" s="1"/>
  <c r="W95" i="25" s="1"/>
  <c r="EI138" i="9"/>
  <c r="EH138" i="9"/>
  <c r="FI138" i="9"/>
  <c r="HH138" i="9" s="1"/>
  <c r="AB72" i="25" s="1"/>
  <c r="EM139" i="9"/>
  <c r="EN139" i="9"/>
  <c r="EO139" i="9"/>
  <c r="DP142" i="9"/>
  <c r="ES154" i="9"/>
  <c r="EQ154" i="9"/>
  <c r="FL154" i="9"/>
  <c r="HT154" i="9" s="1"/>
  <c r="L18" i="12"/>
  <c r="K18" i="12"/>
  <c r="K27" i="12"/>
  <c r="L27" i="12"/>
  <c r="ID52" i="9"/>
  <c r="L29" i="28" s="1"/>
  <c r="ID63" i="9"/>
  <c r="L49" i="28" s="1"/>
  <c r="DS63" i="9"/>
  <c r="GU63" i="9" s="1"/>
  <c r="EB71" i="9"/>
  <c r="HD71" i="9" s="1"/>
  <c r="U77" i="25" s="1"/>
  <c r="DW78" i="9"/>
  <c r="EE85" i="9"/>
  <c r="HM85" i="9" s="1"/>
  <c r="IA86" i="9"/>
  <c r="EN87" i="9"/>
  <c r="HS87" i="9" s="1"/>
  <c r="U27" i="26" s="1"/>
  <c r="ED92" i="9"/>
  <c r="EM94" i="9"/>
  <c r="HP94" i="9" s="1"/>
  <c r="T18" i="26" s="1"/>
  <c r="ED95" i="9"/>
  <c r="HJ95" i="9" s="1"/>
  <c r="EC95" i="9"/>
  <c r="HG95" i="9" s="1"/>
  <c r="EH98" i="9"/>
  <c r="EG98" i="9"/>
  <c r="EM101" i="9"/>
  <c r="HP101" i="9" s="1"/>
  <c r="T7" i="26" s="1"/>
  <c r="DN106" i="9"/>
  <c r="DI107" i="9"/>
  <c r="GL107" i="9" s="1"/>
  <c r="DK107" i="9"/>
  <c r="GR107" i="9" s="1"/>
  <c r="DK112" i="9"/>
  <c r="GR112" i="9" s="1"/>
  <c r="DJ112" i="9"/>
  <c r="GO112" i="9" s="1"/>
  <c r="ED112" i="9"/>
  <c r="HJ112" i="9" s="1"/>
  <c r="BD114" i="9"/>
  <c r="EH123" i="9"/>
  <c r="FI123" i="9"/>
  <c r="Z46" i="25" s="1"/>
  <c r="DN130" i="9"/>
  <c r="DO139" i="9"/>
  <c r="DN139" i="9"/>
  <c r="ER153" i="9"/>
  <c r="HM52" i="9"/>
  <c r="X35" i="25" s="1"/>
  <c r="BD54" i="9"/>
  <c r="BI56" i="9"/>
  <c r="EQ56" i="9"/>
  <c r="BD71" i="9"/>
  <c r="ER81" i="9"/>
  <c r="EH92" i="9"/>
  <c r="FI94" i="9"/>
  <c r="HN94" i="9" s="1"/>
  <c r="AD19" i="25" s="1"/>
  <c r="EH94" i="9"/>
  <c r="EN94" i="9"/>
  <c r="HS94" i="9" s="1"/>
  <c r="U18" i="26" s="1"/>
  <c r="EO101" i="9"/>
  <c r="HV101" i="9" s="1"/>
  <c r="V7" i="26" s="1"/>
  <c r="DP106" i="9"/>
  <c r="DT107" i="9"/>
  <c r="GX107" i="9" s="1"/>
  <c r="DS107" i="9"/>
  <c r="GU107" i="9" s="1"/>
  <c r="EE107" i="9"/>
  <c r="HM107" i="9" s="1"/>
  <c r="EE112" i="9"/>
  <c r="HM112" i="9" s="1"/>
  <c r="ED118" i="9"/>
  <c r="HJ118" i="9" s="1"/>
  <c r="W80" i="25" s="1"/>
  <c r="EE118" i="9"/>
  <c r="HM118" i="9" s="1"/>
  <c r="X80" i="25" s="1"/>
  <c r="DK121" i="9"/>
  <c r="GR121" i="9" s="1"/>
  <c r="X86" i="23" s="1"/>
  <c r="DJ121" i="9"/>
  <c r="GO121" i="9" s="1"/>
  <c r="W86" i="23" s="1"/>
  <c r="DS122" i="9"/>
  <c r="GU122" i="9" s="1"/>
  <c r="T93" i="24" s="1"/>
  <c r="DT122" i="9"/>
  <c r="GX122" i="9" s="1"/>
  <c r="U93" i="24" s="1"/>
  <c r="DO130" i="9"/>
  <c r="IB131" i="9"/>
  <c r="BD131" i="9"/>
  <c r="DJ131" i="9"/>
  <c r="GO131" i="9" s="1"/>
  <c r="DH131" i="9"/>
  <c r="GI131" i="9" s="1"/>
  <c r="IA131" i="9"/>
  <c r="Z67" i="12"/>
  <c r="AA67" i="12" s="1"/>
  <c r="EQ132" i="9"/>
  <c r="EM135" i="9"/>
  <c r="HP135" i="9" s="1"/>
  <c r="T77" i="26" s="1"/>
  <c r="EO135" i="9"/>
  <c r="HV135" i="9" s="1"/>
  <c r="V77" i="26" s="1"/>
  <c r="EM150" i="9"/>
  <c r="HP150" i="9" s="1"/>
  <c r="T43" i="26" s="1"/>
  <c r="EN150" i="9"/>
  <c r="HS150" i="9" s="1"/>
  <c r="U43" i="26" s="1"/>
  <c r="ED152" i="9"/>
  <c r="HJ152" i="9" s="1"/>
  <c r="EB152" i="9"/>
  <c r="HD152" i="9" s="1"/>
  <c r="ES153" i="9"/>
  <c r="EH82" i="9"/>
  <c r="EI82" i="9"/>
  <c r="DM95" i="9"/>
  <c r="DP95" i="9"/>
  <c r="DK97" i="9"/>
  <c r="GR97" i="9" s="1"/>
  <c r="DI97" i="9"/>
  <c r="GL97" i="9" s="1"/>
  <c r="FC102" i="9"/>
  <c r="GJ102" i="9" s="1"/>
  <c r="DS105" i="9"/>
  <c r="GU105" i="9" s="1"/>
  <c r="T83" i="24" s="1"/>
  <c r="HZ112" i="9"/>
  <c r="DM125" i="9"/>
  <c r="DP125" i="9"/>
  <c r="DO125" i="9"/>
  <c r="W93" i="12"/>
  <c r="X93" i="12" s="1"/>
  <c r="EJ139" i="9"/>
  <c r="EI139" i="9"/>
  <c r="EH139" i="9"/>
  <c r="FI139" i="9"/>
  <c r="HE139" i="9" s="1"/>
  <c r="AA89" i="25" s="1"/>
  <c r="DY148" i="9"/>
  <c r="DO150" i="9"/>
  <c r="DN150" i="9"/>
  <c r="DM150" i="9"/>
  <c r="EE69" i="9"/>
  <c r="HM69" i="9" s="1"/>
  <c r="EQ83" i="9"/>
  <c r="DN98" i="9"/>
  <c r="DM99" i="9"/>
  <c r="FF102" i="9"/>
  <c r="GY102" i="9" s="1"/>
  <c r="ED105" i="9"/>
  <c r="HJ105" i="9" s="1"/>
  <c r="W57" i="25" s="1"/>
  <c r="EB105" i="9"/>
  <c r="HD105" i="9" s="1"/>
  <c r="U57" i="25" s="1"/>
  <c r="EO107" i="9"/>
  <c r="HV107" i="9" s="1"/>
  <c r="IA110" i="9"/>
  <c r="EO112" i="9"/>
  <c r="HV112" i="9" s="1"/>
  <c r="EN112" i="9"/>
  <c r="HS112" i="9" s="1"/>
  <c r="EJ113" i="9"/>
  <c r="EE114" i="9"/>
  <c r="HM114" i="9" s="1"/>
  <c r="X64" i="25" s="1"/>
  <c r="EC114" i="9"/>
  <c r="HG114" i="9" s="1"/>
  <c r="V64" i="25" s="1"/>
  <c r="EB114" i="9"/>
  <c r="HD114" i="9" s="1"/>
  <c r="U64" i="25" s="1"/>
  <c r="DP115" i="9"/>
  <c r="EE117" i="9"/>
  <c r="HM117" i="9" s="1"/>
  <c r="X86" i="25" s="1"/>
  <c r="FC118" i="9"/>
  <c r="GM118" i="9" s="1"/>
  <c r="AB88" i="23" s="1"/>
  <c r="DP118" i="9"/>
  <c r="DH129" i="9"/>
  <c r="GI129" i="9" s="1"/>
  <c r="EH143" i="9"/>
  <c r="EJ143" i="9"/>
  <c r="DM145" i="9"/>
  <c r="DO145" i="9"/>
  <c r="L63" i="12"/>
  <c r="K63" i="12"/>
  <c r="FC42" i="9"/>
  <c r="Z44" i="23" s="1"/>
  <c r="BD67" i="9"/>
  <c r="BI85" i="9"/>
  <c r="EM85" i="9"/>
  <c r="HP85" i="9" s="1"/>
  <c r="BD88" i="9"/>
  <c r="FF94" i="9"/>
  <c r="GY94" i="9" s="1"/>
  <c r="Z8" i="24" s="1"/>
  <c r="DY103" i="9"/>
  <c r="DW103" i="9"/>
  <c r="FF103" i="9"/>
  <c r="HB103" i="9" s="1"/>
  <c r="DI104" i="9"/>
  <c r="GL104" i="9" s="1"/>
  <c r="ES104" i="9"/>
  <c r="FC107" i="9"/>
  <c r="EH109" i="9"/>
  <c r="ED114" i="9"/>
  <c r="HJ114" i="9" s="1"/>
  <c r="W64" i="25" s="1"/>
  <c r="DY120" i="9"/>
  <c r="DO122" i="9"/>
  <c r="DN122" i="9"/>
  <c r="DJ129" i="9"/>
  <c r="GO129" i="9" s="1"/>
  <c r="DM139" i="9"/>
  <c r="BD153" i="9"/>
  <c r="DH153" i="9"/>
  <c r="GI153" i="9" s="1"/>
  <c r="ER154" i="9"/>
  <c r="L72" i="12"/>
  <c r="K72" i="12"/>
  <c r="K67" i="12"/>
  <c r="L61" i="12"/>
  <c r="L74" i="12"/>
  <c r="K90" i="12"/>
  <c r="L94" i="12"/>
  <c r="K94" i="12"/>
  <c r="DN127" i="9"/>
  <c r="DO127" i="9"/>
  <c r="FL128" i="9"/>
  <c r="HQ128" i="9" s="1"/>
  <c r="EE131" i="9"/>
  <c r="HM131" i="9" s="1"/>
  <c r="EC131" i="9"/>
  <c r="HG131" i="9" s="1"/>
  <c r="DY133" i="9"/>
  <c r="DW133" i="9"/>
  <c r="ER141" i="9"/>
  <c r="X96" i="12"/>
  <c r="DJ146" i="9"/>
  <c r="DK146" i="9"/>
  <c r="GR146" i="9" s="1"/>
  <c r="DI146" i="9"/>
  <c r="GL146" i="9" s="1"/>
  <c r="DH146" i="9"/>
  <c r="GI146" i="9" s="1"/>
  <c r="U80" i="23" s="1"/>
  <c r="FC150" i="9"/>
  <c r="Z66" i="23" s="1"/>
  <c r="DH150" i="9"/>
  <c r="GI150" i="9" s="1"/>
  <c r="K38" i="12"/>
  <c r="L40" i="12"/>
  <c r="K47" i="12"/>
  <c r="K61" i="12"/>
  <c r="FL144" i="9"/>
  <c r="HW144" i="9" s="1"/>
  <c r="AA100" i="26" s="1"/>
  <c r="EO144" i="9"/>
  <c r="HV144" i="9" s="1"/>
  <c r="ES151" i="9"/>
  <c r="ER151" i="9"/>
  <c r="DY153" i="9"/>
  <c r="FF153" i="9"/>
  <c r="GY153" i="9" s="1"/>
  <c r="L4" i="12"/>
  <c r="I3" i="12"/>
  <c r="K11" i="12"/>
  <c r="L11" i="12"/>
  <c r="K36" i="12"/>
  <c r="L52" i="12"/>
  <c r="EC154" i="9"/>
  <c r="HG154" i="9" s="1"/>
  <c r="ED154" i="9"/>
  <c r="HJ154" i="9" s="1"/>
  <c r="EB154" i="9"/>
  <c r="HD154" i="9" s="1"/>
  <c r="KB7" i="11"/>
  <c r="H3" i="12"/>
  <c r="JF7" i="11"/>
  <c r="JO7" i="11"/>
  <c r="L9" i="12"/>
  <c r="K9" i="12"/>
  <c r="L32" i="12"/>
  <c r="K34" i="12"/>
  <c r="L66" i="12"/>
  <c r="K66" i="12"/>
  <c r="BI112" i="9"/>
  <c r="DM123" i="9"/>
  <c r="DP127" i="9"/>
  <c r="ER131" i="9"/>
  <c r="FL131" i="9"/>
  <c r="HT131" i="9" s="1"/>
  <c r="HR131" i="9" s="1"/>
  <c r="HA132" i="9"/>
  <c r="V57" i="24" s="1"/>
  <c r="DJ136" i="9"/>
  <c r="GO136" i="9" s="1"/>
  <c r="DI136" i="9"/>
  <c r="GL136" i="9" s="1"/>
  <c r="DH136" i="9"/>
  <c r="GI136" i="9" s="1"/>
  <c r="U104" i="23" s="1"/>
  <c r="EE138" i="9"/>
  <c r="HM138" i="9" s="1"/>
  <c r="X72" i="25" s="1"/>
  <c r="EB138" i="9"/>
  <c r="HD138" i="9" s="1"/>
  <c r="ED138" i="9"/>
  <c r="HJ138" i="9" s="1"/>
  <c r="W72" i="25" s="1"/>
  <c r="EC138" i="9"/>
  <c r="HG138" i="9" s="1"/>
  <c r="V72" i="25" s="1"/>
  <c r="DP143" i="9"/>
  <c r="DO143" i="9"/>
  <c r="DN143" i="9"/>
  <c r="DM143" i="9"/>
  <c r="FC149" i="9"/>
  <c r="GJ149" i="9" s="1"/>
  <c r="AA91" i="23" s="1"/>
  <c r="K32" i="12"/>
  <c r="L34" i="12"/>
  <c r="K97" i="12"/>
  <c r="K89" i="22"/>
  <c r="I89" i="22"/>
  <c r="EN129" i="9"/>
  <c r="HS129" i="9" s="1"/>
  <c r="EM129" i="9"/>
  <c r="HP129" i="9" s="1"/>
  <c r="EO138" i="9"/>
  <c r="HV138" i="9" s="1"/>
  <c r="V85" i="26" s="1"/>
  <c r="EM138" i="9"/>
  <c r="HP138" i="9" s="1"/>
  <c r="T85" i="26" s="1"/>
  <c r="EH140" i="9"/>
  <c r="EJ140" i="9"/>
  <c r="W84" i="12"/>
  <c r="X84" i="12" s="1"/>
  <c r="FI146" i="9"/>
  <c r="HH146" i="9" s="1"/>
  <c r="AB78" i="25" s="1"/>
  <c r="EJ146" i="9"/>
  <c r="DN148" i="9"/>
  <c r="DP148" i="9"/>
  <c r="FC148" i="9"/>
  <c r="GP148" i="9" s="1"/>
  <c r="AC94" i="23" s="1"/>
  <c r="DM148" i="9"/>
  <c r="EJ149" i="9"/>
  <c r="EH149" i="9"/>
  <c r="W22" i="12"/>
  <c r="X22" i="12" s="1"/>
  <c r="FI150" i="9"/>
  <c r="Z106" i="25" s="1"/>
  <c r="EI150" i="9"/>
  <c r="EJ150" i="9"/>
  <c r="DO154" i="9"/>
  <c r="DN154" i="9"/>
  <c r="DM154" i="9"/>
  <c r="L7" i="12"/>
  <c r="K7" i="12"/>
  <c r="L60" i="12"/>
  <c r="K60" i="12"/>
  <c r="EG102" i="9"/>
  <c r="EH102" i="9"/>
  <c r="BI103" i="9"/>
  <c r="DM109" i="9"/>
  <c r="DO109" i="9"/>
  <c r="FI110" i="9"/>
  <c r="HK110" i="9" s="1"/>
  <c r="FC112" i="9"/>
  <c r="GP112" i="9" s="1"/>
  <c r="DY121" i="9"/>
  <c r="DX121" i="9"/>
  <c r="EE126" i="9"/>
  <c r="HM126" i="9" s="1"/>
  <c r="EC126" i="9"/>
  <c r="HG126" i="9" s="1"/>
  <c r="EB126" i="9"/>
  <c r="HD126" i="9" s="1"/>
  <c r="DW129" i="9"/>
  <c r="DY129" i="9"/>
  <c r="HG133" i="9"/>
  <c r="V97" i="25" s="1"/>
  <c r="EE135" i="9"/>
  <c r="HM135" i="9" s="1"/>
  <c r="X66" i="25" s="1"/>
  <c r="EB135" i="9"/>
  <c r="HD135" i="9" s="1"/>
  <c r="EJ148" i="9"/>
  <c r="EH148" i="9"/>
  <c r="DH149" i="9"/>
  <c r="GI149" i="9" s="1"/>
  <c r="U91" i="23" s="1"/>
  <c r="HZ150" i="9"/>
  <c r="H63" i="28" s="1"/>
  <c r="DX153" i="9"/>
  <c r="IV7" i="11"/>
  <c r="K19" i="12"/>
  <c r="L24" i="12"/>
  <c r="FC110" i="9"/>
  <c r="GM110" i="9" s="1"/>
  <c r="DK115" i="9"/>
  <c r="GR115" i="9" s="1"/>
  <c r="X61" i="23" s="1"/>
  <c r="DI115" i="9"/>
  <c r="GL115" i="9" s="1"/>
  <c r="V61" i="23" s="1"/>
  <c r="Z95" i="12"/>
  <c r="AA95" i="12" s="1"/>
  <c r="EQ124" i="9"/>
  <c r="DH130" i="9"/>
  <c r="GI130" i="9" s="1"/>
  <c r="DK130" i="9"/>
  <c r="GR130" i="9" s="1"/>
  <c r="DI130" i="9"/>
  <c r="GL130" i="9" s="1"/>
  <c r="HZ130" i="9"/>
  <c r="DK132" i="9"/>
  <c r="GR132" i="9" s="1"/>
  <c r="X84" i="23" s="1"/>
  <c r="DI132" i="9"/>
  <c r="GL132" i="9" s="1"/>
  <c r="ID139" i="9"/>
  <c r="L67" i="28" s="1"/>
  <c r="DO146" i="9"/>
  <c r="DM146" i="9"/>
  <c r="FC146" i="9"/>
  <c r="GM146" i="9" s="1"/>
  <c r="AB80" i="23" s="1"/>
  <c r="BI151" i="9"/>
  <c r="L10" i="12"/>
  <c r="K26" i="12"/>
  <c r="L37" i="12"/>
  <c r="K37" i="12"/>
  <c r="K104" i="12"/>
  <c r="L104" i="12"/>
  <c r="BD118" i="9"/>
  <c r="ID120" i="9"/>
  <c r="L37" i="28" s="1"/>
  <c r="DK120" i="9"/>
  <c r="GR120" i="9" s="1"/>
  <c r="X39" i="23" s="1"/>
  <c r="DH120" i="9"/>
  <c r="GI120" i="9" s="1"/>
  <c r="U39" i="23" s="1"/>
  <c r="IA123" i="9"/>
  <c r="I60" i="28" s="1"/>
  <c r="Z89" i="12"/>
  <c r="AA89" i="12" s="1"/>
  <c r="FL127" i="9"/>
  <c r="X80" i="26" s="1"/>
  <c r="EQ127" i="9"/>
  <c r="IA132" i="9"/>
  <c r="I84" i="28" s="1"/>
  <c r="DS132" i="9"/>
  <c r="GU132" i="9" s="1"/>
  <c r="T57" i="24" s="1"/>
  <c r="ES134" i="9"/>
  <c r="ER134" i="9"/>
  <c r="BI141" i="9"/>
  <c r="HZ142" i="9"/>
  <c r="H44" i="28" s="1"/>
  <c r="ID145" i="9"/>
  <c r="L106" i="28" s="1"/>
  <c r="HZ145" i="9"/>
  <c r="H106" i="28" s="1"/>
  <c r="L42" i="12"/>
  <c r="K83" i="12"/>
  <c r="L84" i="12"/>
  <c r="K95" i="12"/>
  <c r="DJ133" i="9"/>
  <c r="GO133" i="9" s="1"/>
  <c r="EQ143" i="9"/>
  <c r="IA144" i="9"/>
  <c r="I100" i="28" s="1"/>
  <c r="U22" i="12"/>
  <c r="IT7" i="11"/>
  <c r="JH7" i="11"/>
  <c r="L30" i="12"/>
  <c r="L43" i="12"/>
  <c r="L55" i="12"/>
  <c r="K76" i="12"/>
  <c r="K78" i="12"/>
  <c r="L82" i="12"/>
  <c r="L102" i="12"/>
  <c r="U38" i="12"/>
  <c r="EI134" i="9"/>
  <c r="AA91" i="12"/>
  <c r="ER136" i="9"/>
  <c r="FL143" i="9"/>
  <c r="X103" i="26" s="1"/>
  <c r="ED149" i="9"/>
  <c r="HJ149" i="9" s="1"/>
  <c r="W90" i="25" s="1"/>
  <c r="FF150" i="9"/>
  <c r="GY150" i="9" s="1"/>
  <c r="Z106" i="24" s="1"/>
  <c r="EG151" i="9"/>
  <c r="IW7" i="11"/>
  <c r="JY7" i="11"/>
  <c r="L5" i="12"/>
  <c r="L62" i="12"/>
  <c r="L70" i="12"/>
  <c r="D49" i="15"/>
  <c r="E49" i="15" s="1"/>
  <c r="EJ134" i="9"/>
  <c r="IA147" i="9"/>
  <c r="I99" i="28" s="1"/>
  <c r="EH151" i="9"/>
  <c r="JH7" i="10"/>
  <c r="JZ7" i="11"/>
  <c r="L46" i="12"/>
  <c r="L48" i="12"/>
  <c r="ID117" i="9"/>
  <c r="L95" i="28" s="1"/>
  <c r="BI122" i="9"/>
  <c r="IC123" i="9"/>
  <c r="K60" i="28" s="1"/>
  <c r="EC123" i="9"/>
  <c r="HG123" i="9" s="1"/>
  <c r="V46" i="25" s="1"/>
  <c r="AA38" i="12"/>
  <c r="IA133" i="9"/>
  <c r="I105" i="28" s="1"/>
  <c r="EQ135" i="9"/>
  <c r="EN140" i="9"/>
  <c r="HS140" i="9" s="1"/>
  <c r="U70" i="26" s="1"/>
  <c r="EG141" i="9"/>
  <c r="DS148" i="9"/>
  <c r="GU148" i="9" s="1"/>
  <c r="T103" i="24" s="1"/>
  <c r="FF151" i="9"/>
  <c r="GY151" i="9" s="1"/>
  <c r="EI151" i="9"/>
  <c r="KA7" i="11"/>
  <c r="X92" i="12"/>
  <c r="ER135" i="9"/>
  <c r="IV7" i="10"/>
  <c r="JX7" i="10"/>
  <c r="JN7" i="11"/>
  <c r="K29" i="12"/>
  <c r="K56" i="12"/>
  <c r="K103" i="12"/>
  <c r="L45" i="25"/>
  <c r="V10" i="26"/>
  <c r="V32" i="26"/>
  <c r="T102" i="26"/>
  <c r="Y24" i="9"/>
  <c r="HS24" i="9" s="1"/>
  <c r="X26" i="25"/>
  <c r="U31" i="23"/>
  <c r="X89" i="23"/>
  <c r="T71" i="24"/>
  <c r="U22" i="26"/>
  <c r="U40" i="24"/>
  <c r="U58" i="23"/>
  <c r="X50" i="23"/>
  <c r="T35" i="24"/>
  <c r="X45" i="23"/>
  <c r="X65" i="23"/>
  <c r="I23" i="12"/>
  <c r="BL29" i="9"/>
  <c r="BJ29" i="9"/>
  <c r="BM29" i="9"/>
  <c r="BK29" i="9"/>
  <c r="T63" i="24"/>
  <c r="W73" i="23"/>
  <c r="U31" i="25"/>
  <c r="U74" i="24"/>
  <c r="U103" i="25"/>
  <c r="U3" i="25"/>
  <c r="V13" i="25"/>
  <c r="V9" i="24"/>
  <c r="U42" i="24"/>
  <c r="X63" i="25"/>
  <c r="V69" i="25"/>
  <c r="U70" i="24"/>
  <c r="V21" i="26"/>
  <c r="X21" i="23"/>
  <c r="Z3" i="25"/>
  <c r="AC3" i="22"/>
  <c r="Y3" i="26"/>
  <c r="X65" i="25"/>
  <c r="W4" i="23"/>
  <c r="C104" i="33"/>
  <c r="C104" i="34"/>
  <c r="C46" i="32"/>
  <c r="C12" i="36"/>
  <c r="C12" i="35"/>
  <c r="C16" i="30"/>
  <c r="C20" i="28"/>
  <c r="C46" i="31"/>
  <c r="C70" i="29"/>
  <c r="D19" i="26"/>
  <c r="C20" i="27"/>
  <c r="D24" i="23"/>
  <c r="D51" i="24"/>
  <c r="D104" i="25"/>
  <c r="C62" i="17"/>
  <c r="D24" i="22"/>
  <c r="D24" i="20"/>
  <c r="C14" i="12"/>
  <c r="A12" i="9"/>
  <c r="AC3" i="23"/>
  <c r="T61" i="26"/>
  <c r="U30" i="26"/>
  <c r="V26" i="24"/>
  <c r="U26" i="26"/>
  <c r="HV27" i="9"/>
  <c r="V47" i="25"/>
  <c r="U62" i="24"/>
  <c r="X27" i="25"/>
  <c r="J44" i="34"/>
  <c r="L44" i="34"/>
  <c r="K44" i="34"/>
  <c r="I44" i="34"/>
  <c r="H44" i="34"/>
  <c r="L52" i="30"/>
  <c r="K52" i="30"/>
  <c r="J52" i="30"/>
  <c r="I52" i="30"/>
  <c r="H52" i="30"/>
  <c r="EC55" i="9"/>
  <c r="HG55" i="9" s="1"/>
  <c r="EB55" i="9"/>
  <c r="HD55" i="9" s="1"/>
  <c r="IA55" i="9"/>
  <c r="L36" i="32"/>
  <c r="K36" i="32"/>
  <c r="J36" i="32"/>
  <c r="I36" i="32"/>
  <c r="H36" i="32"/>
  <c r="IA61" i="9"/>
  <c r="BD61" i="9"/>
  <c r="IB61" i="9"/>
  <c r="HZ61" i="9"/>
  <c r="DU61" i="9"/>
  <c r="HA61" i="9" s="1"/>
  <c r="W50" i="12"/>
  <c r="X50" i="12" s="1"/>
  <c r="EI63" i="9"/>
  <c r="EJ63" i="9"/>
  <c r="FI63" i="9"/>
  <c r="EH63" i="9"/>
  <c r="EG63" i="9"/>
  <c r="HS63" i="9"/>
  <c r="T53" i="12"/>
  <c r="U53" i="12" s="1"/>
  <c r="DW64" i="9"/>
  <c r="L34" i="30"/>
  <c r="K34" i="30"/>
  <c r="J34" i="30"/>
  <c r="I34" i="30"/>
  <c r="H34" i="30"/>
  <c r="BD66" i="9"/>
  <c r="DH66" i="9"/>
  <c r="GI66" i="9" s="1"/>
  <c r="IC66" i="9"/>
  <c r="HZ66" i="9"/>
  <c r="IB66" i="9"/>
  <c r="DJ66" i="9"/>
  <c r="GO66" i="9" s="1"/>
  <c r="FF69" i="9"/>
  <c r="DW69" i="9"/>
  <c r="DY69" i="9"/>
  <c r="BI69" i="9"/>
  <c r="W79" i="12"/>
  <c r="X79" i="12" s="1"/>
  <c r="FI70" i="9"/>
  <c r="EG70" i="9"/>
  <c r="EH70" i="9"/>
  <c r="J86" i="34"/>
  <c r="L86" i="34"/>
  <c r="K86" i="34"/>
  <c r="I86" i="34"/>
  <c r="H86" i="34"/>
  <c r="ID90" i="9"/>
  <c r="IA90" i="9"/>
  <c r="ED90" i="9"/>
  <c r="EC90" i="9"/>
  <c r="BD90" i="9"/>
  <c r="IC90" i="9"/>
  <c r="EE90" i="9"/>
  <c r="FI90" i="9"/>
  <c r="EB90" i="9"/>
  <c r="DX111" i="9"/>
  <c r="FF111" i="9"/>
  <c r="DY111" i="9"/>
  <c r="DW111" i="9"/>
  <c r="K3" i="28"/>
  <c r="ES14" i="9"/>
  <c r="W18" i="12"/>
  <c r="X18" i="12" s="1"/>
  <c r="EJ22" i="9"/>
  <c r="U44" i="23"/>
  <c r="Z58" i="12"/>
  <c r="AA58" i="12" s="1"/>
  <c r="FL46" i="9"/>
  <c r="ES46" i="9"/>
  <c r="ER46" i="9"/>
  <c r="S6" i="11"/>
  <c r="S6" i="10"/>
  <c r="GF6" i="11"/>
  <c r="GF6" i="10"/>
  <c r="DX15" i="9"/>
  <c r="L27" i="32"/>
  <c r="K27" i="32"/>
  <c r="J27" i="32"/>
  <c r="I27" i="32"/>
  <c r="H27" i="32"/>
  <c r="S66" i="17"/>
  <c r="N101" i="12"/>
  <c r="O101" i="12" s="1"/>
  <c r="Q101" i="12"/>
  <c r="R101" i="12" s="1"/>
  <c r="DM47" i="9"/>
  <c r="DO57" i="9"/>
  <c r="FC57" i="9"/>
  <c r="DP57" i="9"/>
  <c r="U72" i="24"/>
  <c r="T44" i="24"/>
  <c r="T75" i="24"/>
  <c r="U83" i="23"/>
  <c r="T6" i="11"/>
  <c r="T6" i="10"/>
  <c r="Z13" i="12"/>
  <c r="AA13" i="12" s="1"/>
  <c r="Z3" i="12"/>
  <c r="ES8" i="9"/>
  <c r="HP8" i="9"/>
  <c r="DW9" i="9"/>
  <c r="IC9" i="9"/>
  <c r="BI10" i="9"/>
  <c r="EN10" i="9"/>
  <c r="HS10" i="9" s="1"/>
  <c r="IA10" i="9"/>
  <c r="H104" i="34"/>
  <c r="K104" i="34"/>
  <c r="I104" i="34"/>
  <c r="L104" i="34"/>
  <c r="J104" i="34"/>
  <c r="DP11" i="9"/>
  <c r="EJ11" i="9"/>
  <c r="FC11" i="9"/>
  <c r="HJ11" i="9"/>
  <c r="L7" i="30"/>
  <c r="K7" i="30"/>
  <c r="J7" i="30"/>
  <c r="I7" i="30"/>
  <c r="H7" i="30"/>
  <c r="DN12" i="9"/>
  <c r="EH12" i="9"/>
  <c r="EE13" i="9"/>
  <c r="DI14" i="9"/>
  <c r="DY15" i="9"/>
  <c r="ES15" i="9"/>
  <c r="FI15" i="9"/>
  <c r="HP15" i="9"/>
  <c r="DW16" i="9"/>
  <c r="GL16" i="9"/>
  <c r="IC16" i="9"/>
  <c r="BI17" i="9"/>
  <c r="EN17" i="9"/>
  <c r="IA17" i="9"/>
  <c r="K48" i="34"/>
  <c r="J48" i="34"/>
  <c r="I48" i="34"/>
  <c r="H48" i="34"/>
  <c r="L48" i="34"/>
  <c r="DP18" i="9"/>
  <c r="EJ18" i="9"/>
  <c r="FC18" i="9"/>
  <c r="HJ18" i="9"/>
  <c r="K25" i="30"/>
  <c r="J25" i="30"/>
  <c r="I25" i="30"/>
  <c r="H25" i="30"/>
  <c r="L25" i="30"/>
  <c r="DN19" i="9"/>
  <c r="EH19" i="9"/>
  <c r="EE20" i="9"/>
  <c r="HM20" i="9" s="1"/>
  <c r="DH22" i="9"/>
  <c r="GI22" i="9" s="1"/>
  <c r="DK23" i="9"/>
  <c r="GR23" i="9" s="1"/>
  <c r="IA23" i="9"/>
  <c r="DX24" i="9"/>
  <c r="EG25" i="9"/>
  <c r="IA25" i="9"/>
  <c r="DS26" i="9"/>
  <c r="GU26" i="9" s="1"/>
  <c r="EN26" i="9"/>
  <c r="HS26" i="9" s="1"/>
  <c r="FF26" i="9"/>
  <c r="DJ27" i="9"/>
  <c r="GO27" i="9" s="1"/>
  <c r="HZ27" i="9"/>
  <c r="S50" i="17"/>
  <c r="Q24" i="12"/>
  <c r="R24" i="12" s="1"/>
  <c r="N24" i="12"/>
  <c r="O24" i="12" s="1"/>
  <c r="IC29" i="9"/>
  <c r="ES30" i="9"/>
  <c r="ES31" i="9"/>
  <c r="IA32" i="9"/>
  <c r="DW33" i="9"/>
  <c r="ID33" i="9"/>
  <c r="FL34" i="9"/>
  <c r="EH34" i="9"/>
  <c r="L24" i="30"/>
  <c r="K24" i="30"/>
  <c r="J24" i="30"/>
  <c r="I24" i="30"/>
  <c r="H24" i="30"/>
  <c r="DJ35" i="9"/>
  <c r="DI35" i="9"/>
  <c r="GO35" i="9"/>
  <c r="DH35" i="9"/>
  <c r="EQ35" i="9"/>
  <c r="ID35" i="9"/>
  <c r="EE36" i="9"/>
  <c r="HM36" i="9" s="1"/>
  <c r="ID37" i="9"/>
  <c r="IC37" i="9"/>
  <c r="IB37" i="9"/>
  <c r="EM37" i="9"/>
  <c r="HP37" i="9" s="1"/>
  <c r="IA37" i="9"/>
  <c r="FF38" i="9"/>
  <c r="BI38" i="9"/>
  <c r="EB41" i="9"/>
  <c r="HD41" i="9" s="1"/>
  <c r="DN42" i="9"/>
  <c r="V47" i="26"/>
  <c r="S69" i="17"/>
  <c r="N100" i="12"/>
  <c r="O100" i="12" s="1"/>
  <c r="Q100" i="12"/>
  <c r="R100" i="12" s="1"/>
  <c r="DO43" i="9"/>
  <c r="DN43" i="9"/>
  <c r="DM43" i="9"/>
  <c r="T17" i="14"/>
  <c r="T13" i="14"/>
  <c r="T16" i="14"/>
  <c r="T19" i="14"/>
  <c r="T18" i="14"/>
  <c r="T41" i="13"/>
  <c r="T9" i="14"/>
  <c r="T8" i="14"/>
  <c r="T6" i="14"/>
  <c r="T36" i="13"/>
  <c r="T15" i="14"/>
  <c r="T11" i="14"/>
  <c r="T10" i="14"/>
  <c r="T40" i="13"/>
  <c r="T12" i="14"/>
  <c r="T39" i="13"/>
  <c r="T45" i="13"/>
  <c r="T24" i="13"/>
  <c r="T42" i="13"/>
  <c r="T33" i="13"/>
  <c r="T28" i="13"/>
  <c r="T38" i="13"/>
  <c r="T47" i="13"/>
  <c r="T46" i="13"/>
  <c r="T32" i="13"/>
  <c r="T14" i="14"/>
  <c r="T44" i="13"/>
  <c r="T27" i="13"/>
  <c r="T37" i="13"/>
  <c r="T22" i="13"/>
  <c r="T31" i="13"/>
  <c r="T43" i="13"/>
  <c r="T26" i="13"/>
  <c r="T21" i="13"/>
  <c r="T30" i="13"/>
  <c r="T25" i="13"/>
  <c r="T35" i="13"/>
  <c r="T17" i="13"/>
  <c r="T8" i="13"/>
  <c r="T34" i="13"/>
  <c r="T16" i="13"/>
  <c r="T12" i="13"/>
  <c r="T29" i="13"/>
  <c r="T15" i="13"/>
  <c r="T11" i="13"/>
  <c r="T23" i="13"/>
  <c r="T19" i="13"/>
  <c r="T14" i="13"/>
  <c r="T10" i="13"/>
  <c r="T18" i="13"/>
  <c r="T9" i="13"/>
  <c r="T19" i="11"/>
  <c r="T17" i="11"/>
  <c r="T15" i="11"/>
  <c r="T20" i="13"/>
  <c r="T6" i="13"/>
  <c r="T20" i="11"/>
  <c r="T18" i="11"/>
  <c r="T16" i="11"/>
  <c r="T14" i="11"/>
  <c r="T12" i="11"/>
  <c r="T10" i="11"/>
  <c r="T13" i="13"/>
  <c r="T11" i="11"/>
  <c r="T8" i="11"/>
  <c r="T41" i="10"/>
  <c r="T39" i="10"/>
  <c r="T37" i="10"/>
  <c r="T35" i="10"/>
  <c r="T9" i="11"/>
  <c r="T40" i="10"/>
  <c r="T38" i="10"/>
  <c r="T36" i="10"/>
  <c r="T34" i="10"/>
  <c r="T32" i="10"/>
  <c r="T30" i="10"/>
  <c r="T42" i="10"/>
  <c r="T13" i="11"/>
  <c r="T33" i="10"/>
  <c r="T28" i="10"/>
  <c r="T26" i="10"/>
  <c r="T24" i="10"/>
  <c r="T22" i="10"/>
  <c r="T20" i="10"/>
  <c r="T18" i="10"/>
  <c r="T16" i="10"/>
  <c r="T14" i="10"/>
  <c r="T12" i="10"/>
  <c r="T10" i="10"/>
  <c r="T31" i="10"/>
  <c r="T27" i="10"/>
  <c r="T25" i="10"/>
  <c r="T23" i="10"/>
  <c r="T21" i="10"/>
  <c r="T19" i="10"/>
  <c r="T17" i="10"/>
  <c r="T15" i="10"/>
  <c r="T13" i="10"/>
  <c r="T11" i="10"/>
  <c r="T9" i="10"/>
  <c r="T29" i="10"/>
  <c r="T8" i="10"/>
  <c r="DI46" i="9"/>
  <c r="GL46" i="9" s="1"/>
  <c r="IA46" i="9"/>
  <c r="IB47" i="9"/>
  <c r="ES50" i="9"/>
  <c r="DM51" i="9"/>
  <c r="W32" i="12"/>
  <c r="X32" i="12" s="1"/>
  <c r="EG52" i="9"/>
  <c r="EJ52" i="9"/>
  <c r="ED52" i="9"/>
  <c r="HJ52" i="9" s="1"/>
  <c r="FI52" i="9"/>
  <c r="IA52" i="9"/>
  <c r="ED55" i="9"/>
  <c r="HJ55" i="9" s="1"/>
  <c r="IC55" i="9"/>
  <c r="L32" i="34"/>
  <c r="K32" i="34"/>
  <c r="J32" i="34"/>
  <c r="I32" i="34"/>
  <c r="H32" i="34"/>
  <c r="EE56" i="9"/>
  <c r="ED56" i="9"/>
  <c r="EC56" i="9"/>
  <c r="EB56" i="9"/>
  <c r="IB56" i="9"/>
  <c r="DU58" i="9"/>
  <c r="HA58" i="9" s="1"/>
  <c r="DN59" i="9"/>
  <c r="H43" i="36"/>
  <c r="L43" i="36"/>
  <c r="K43" i="36"/>
  <c r="J43" i="36"/>
  <c r="I43" i="36"/>
  <c r="EO62" i="9"/>
  <c r="HV62" i="9" s="1"/>
  <c r="EM62" i="9"/>
  <c r="HP62" i="9" s="1"/>
  <c r="Z53" i="12"/>
  <c r="AA53" i="12" s="1"/>
  <c r="ES64" i="9"/>
  <c r="ER64" i="9"/>
  <c r="FC64" i="9"/>
  <c r="S39" i="17"/>
  <c r="Q12" i="12"/>
  <c r="R12" i="12" s="1"/>
  <c r="N12" i="12"/>
  <c r="O12" i="12" s="1"/>
  <c r="DO67" i="9"/>
  <c r="BI67" i="9"/>
  <c r="FC67" i="9"/>
  <c r="DP67" i="9"/>
  <c r="L30" i="30"/>
  <c r="K30" i="30"/>
  <c r="J30" i="30"/>
  <c r="I30" i="30"/>
  <c r="H30" i="30"/>
  <c r="DJ68" i="9"/>
  <c r="GO68" i="9" s="1"/>
  <c r="ID68" i="9"/>
  <c r="DH68" i="9"/>
  <c r="GI68" i="9" s="1"/>
  <c r="IC68" i="9"/>
  <c r="DI68" i="9"/>
  <c r="GL68" i="9" s="1"/>
  <c r="DK68" i="9"/>
  <c r="GR68" i="9" s="1"/>
  <c r="FC68" i="9"/>
  <c r="DJ71" i="9"/>
  <c r="GO71" i="9" s="1"/>
  <c r="I14" i="36"/>
  <c r="H14" i="36"/>
  <c r="L14" i="36"/>
  <c r="K14" i="36"/>
  <c r="J14" i="36"/>
  <c r="EO76" i="9"/>
  <c r="HV76" i="9" s="1"/>
  <c r="EM76" i="9"/>
  <c r="HP76" i="9" s="1"/>
  <c r="EN76" i="9"/>
  <c r="HS76" i="9" s="1"/>
  <c r="HZ76" i="9"/>
  <c r="FL76" i="9"/>
  <c r="BD76" i="9"/>
  <c r="IA76" i="9"/>
  <c r="FF88" i="9"/>
  <c r="DY88" i="9"/>
  <c r="DX88" i="9"/>
  <c r="DW88" i="9"/>
  <c r="BI88" i="9"/>
  <c r="ER99" i="9"/>
  <c r="EQ99" i="9"/>
  <c r="FL99" i="9"/>
  <c r="BI99" i="9"/>
  <c r="ES99" i="9"/>
  <c r="DS41" i="9"/>
  <c r="GU41" i="9" s="1"/>
  <c r="HZ17" i="9"/>
  <c r="S46" i="17"/>
  <c r="N35" i="12"/>
  <c r="O35" i="12" s="1"/>
  <c r="Q35" i="12"/>
  <c r="R35" i="12" s="1"/>
  <c r="GL27" i="9"/>
  <c r="Y28" i="9"/>
  <c r="Z31" i="9"/>
  <c r="S72" i="17"/>
  <c r="Q61" i="12"/>
  <c r="R61" i="12" s="1"/>
  <c r="N61" i="12"/>
  <c r="O61" i="12" s="1"/>
  <c r="DO45" i="9"/>
  <c r="Z37" i="12"/>
  <c r="AA37" i="12" s="1"/>
  <c r="ER53" i="9"/>
  <c r="FL53" i="9"/>
  <c r="ES53" i="9"/>
  <c r="EQ53" i="9"/>
  <c r="T42" i="12"/>
  <c r="U42" i="12" s="1"/>
  <c r="DY60" i="9"/>
  <c r="DX60" i="9"/>
  <c r="DW60" i="9"/>
  <c r="L38" i="34"/>
  <c r="K38" i="34"/>
  <c r="J38" i="34"/>
  <c r="I38" i="34"/>
  <c r="H38" i="34"/>
  <c r="EB62" i="9"/>
  <c r="HD62" i="9" s="1"/>
  <c r="EE62" i="9"/>
  <c r="HM62" i="9" s="1"/>
  <c r="EC62" i="9"/>
  <c r="HG62" i="9" s="1"/>
  <c r="Z79" i="12"/>
  <c r="AA79" i="12" s="1"/>
  <c r="ER70" i="9"/>
  <c r="EQ70" i="9"/>
  <c r="ES70" i="9"/>
  <c r="U6" i="11"/>
  <c r="U6" i="10"/>
  <c r="DH8" i="9"/>
  <c r="EB8" i="9"/>
  <c r="GO8" i="9"/>
  <c r="DX9" i="9"/>
  <c r="ER9" i="9"/>
  <c r="ID9" i="9"/>
  <c r="EO10" i="9"/>
  <c r="HV10" i="9" s="1"/>
  <c r="FF10" i="9"/>
  <c r="IB10" i="9"/>
  <c r="K12" i="36"/>
  <c r="J12" i="36"/>
  <c r="L12" i="36"/>
  <c r="I12" i="36"/>
  <c r="H12" i="36"/>
  <c r="DS11" i="9"/>
  <c r="EM11" i="9"/>
  <c r="GI11" i="9"/>
  <c r="HZ11" i="9"/>
  <c r="L49" i="32"/>
  <c r="K49" i="32"/>
  <c r="J49" i="32"/>
  <c r="I49" i="32"/>
  <c r="H49" i="32"/>
  <c r="DO12" i="9"/>
  <c r="EI12" i="9"/>
  <c r="GU12" i="9"/>
  <c r="DM13" i="9"/>
  <c r="EG13" i="9"/>
  <c r="DJ14" i="9"/>
  <c r="ED14" i="9"/>
  <c r="FL14" i="9"/>
  <c r="DH15" i="9"/>
  <c r="EB15" i="9"/>
  <c r="GO15" i="9"/>
  <c r="DX16" i="9"/>
  <c r="ER16" i="9"/>
  <c r="HA16" i="9"/>
  <c r="ID16" i="9"/>
  <c r="S20" i="17"/>
  <c r="Q78" i="12"/>
  <c r="R78" i="12" s="1"/>
  <c r="N78" i="12"/>
  <c r="O78" i="12" s="1"/>
  <c r="EO17" i="9"/>
  <c r="FF17" i="9"/>
  <c r="HM17" i="9"/>
  <c r="IB17" i="9"/>
  <c r="L53" i="36"/>
  <c r="K53" i="36"/>
  <c r="J53" i="36"/>
  <c r="I53" i="36"/>
  <c r="H53" i="36"/>
  <c r="DS18" i="9"/>
  <c r="EM18" i="9"/>
  <c r="GI18" i="9"/>
  <c r="HZ18" i="9"/>
  <c r="L23" i="32"/>
  <c r="J23" i="32"/>
  <c r="K23" i="32"/>
  <c r="I23" i="32"/>
  <c r="H23" i="32"/>
  <c r="DO19" i="9"/>
  <c r="EI19" i="9"/>
  <c r="GU19" i="9"/>
  <c r="BD20" i="9"/>
  <c r="DM20" i="9"/>
  <c r="EG20" i="9"/>
  <c r="DI22" i="9"/>
  <c r="GL22" i="9" s="1"/>
  <c r="HZ22" i="9"/>
  <c r="DM23" i="9"/>
  <c r="EH23" i="9"/>
  <c r="IB23" i="9"/>
  <c r="DY24" i="9"/>
  <c r="FL24" i="9"/>
  <c r="BD25" i="9"/>
  <c r="DM25" i="9"/>
  <c r="EH25" i="9"/>
  <c r="IB25" i="9"/>
  <c r="BI26" i="9"/>
  <c r="DT26" i="9"/>
  <c r="GX26" i="9" s="1"/>
  <c r="DK27" i="9"/>
  <c r="GR27" i="9" s="1"/>
  <c r="EG27" i="9"/>
  <c r="IA27" i="9"/>
  <c r="HZ28" i="9"/>
  <c r="T80" i="12"/>
  <c r="U80" i="12" s="1"/>
  <c r="FF30" i="9"/>
  <c r="DY30" i="9"/>
  <c r="FL30" i="9"/>
  <c r="IA30" i="9"/>
  <c r="T77" i="12"/>
  <c r="U77" i="12" s="1"/>
  <c r="FF31" i="9"/>
  <c r="DY31" i="9"/>
  <c r="FL31" i="9"/>
  <c r="IA31" i="9"/>
  <c r="EQ32" i="9"/>
  <c r="FI32" i="9"/>
  <c r="IB32" i="9"/>
  <c r="DX33" i="9"/>
  <c r="DH34" i="9"/>
  <c r="GI34" i="9" s="1"/>
  <c r="EI34" i="9"/>
  <c r="L69" i="32"/>
  <c r="K69" i="32"/>
  <c r="J69" i="32"/>
  <c r="I69" i="32"/>
  <c r="H69" i="32"/>
  <c r="DT35" i="9"/>
  <c r="ER35" i="9"/>
  <c r="DI36" i="9"/>
  <c r="GL36" i="9" s="1"/>
  <c r="FC36" i="9"/>
  <c r="EN37" i="9"/>
  <c r="HS37" i="9" s="1"/>
  <c r="EJ39" i="9"/>
  <c r="FI39" i="9"/>
  <c r="EQ40" i="9"/>
  <c r="DO42" i="9"/>
  <c r="HZ42" i="9"/>
  <c r="T100" i="12"/>
  <c r="U100" i="12" s="1"/>
  <c r="FF43" i="9"/>
  <c r="EG43" i="9"/>
  <c r="U17" i="14"/>
  <c r="U10" i="14"/>
  <c r="U13" i="14"/>
  <c r="U47" i="13"/>
  <c r="U19" i="14"/>
  <c r="U9" i="14"/>
  <c r="U8" i="14"/>
  <c r="U6" i="14"/>
  <c r="U15" i="14"/>
  <c r="U11" i="14"/>
  <c r="U40" i="13"/>
  <c r="U12" i="14"/>
  <c r="U35" i="13"/>
  <c r="U39" i="13"/>
  <c r="U18" i="14"/>
  <c r="U16" i="14"/>
  <c r="U44" i="13"/>
  <c r="U43" i="13"/>
  <c r="U14" i="14"/>
  <c r="U46" i="13"/>
  <c r="U42" i="13"/>
  <c r="U41" i="13"/>
  <c r="U33" i="13"/>
  <c r="U28" i="13"/>
  <c r="U38" i="13"/>
  <c r="U36" i="13"/>
  <c r="U23" i="13"/>
  <c r="U32" i="13"/>
  <c r="U45" i="13"/>
  <c r="U27" i="13"/>
  <c r="U37" i="13"/>
  <c r="U22" i="13"/>
  <c r="U31" i="13"/>
  <c r="U26" i="13"/>
  <c r="U30" i="13"/>
  <c r="U25" i="13"/>
  <c r="U34" i="13"/>
  <c r="U24" i="13"/>
  <c r="U8" i="13"/>
  <c r="U16" i="13"/>
  <c r="U12" i="13"/>
  <c r="U29" i="13"/>
  <c r="U21" i="13"/>
  <c r="U15" i="13"/>
  <c r="U11" i="13"/>
  <c r="U19" i="13"/>
  <c r="U14" i="13"/>
  <c r="U10" i="13"/>
  <c r="U18" i="13"/>
  <c r="U20" i="13"/>
  <c r="U17" i="13"/>
  <c r="U6" i="13"/>
  <c r="U20" i="11"/>
  <c r="U18" i="11"/>
  <c r="U16" i="11"/>
  <c r="U14" i="11"/>
  <c r="U12" i="11"/>
  <c r="U10" i="11"/>
  <c r="U8" i="11"/>
  <c r="U13" i="13"/>
  <c r="U9" i="13"/>
  <c r="U19" i="11"/>
  <c r="U17" i="11"/>
  <c r="U15" i="11"/>
  <c r="U13" i="11"/>
  <c r="U11" i="11"/>
  <c r="U9" i="11"/>
  <c r="U40" i="10"/>
  <c r="U38" i="10"/>
  <c r="U36" i="10"/>
  <c r="U34" i="10"/>
  <c r="U32" i="10"/>
  <c r="U30" i="10"/>
  <c r="U42" i="10"/>
  <c r="U41" i="10"/>
  <c r="U39" i="10"/>
  <c r="U37" i="10"/>
  <c r="U35" i="10"/>
  <c r="U33" i="10"/>
  <c r="U31" i="10"/>
  <c r="U29" i="10"/>
  <c r="U28" i="10"/>
  <c r="U26" i="10"/>
  <c r="U24" i="10"/>
  <c r="U22" i="10"/>
  <c r="U20" i="10"/>
  <c r="U18" i="10"/>
  <c r="U16" i="10"/>
  <c r="U14" i="10"/>
  <c r="U12" i="10"/>
  <c r="U10" i="10"/>
  <c r="U8" i="10"/>
  <c r="U27" i="10"/>
  <c r="U25" i="10"/>
  <c r="U23" i="10"/>
  <c r="U21" i="10"/>
  <c r="U19" i="10"/>
  <c r="U17" i="10"/>
  <c r="U11" i="10"/>
  <c r="U13" i="10"/>
  <c r="U15" i="10"/>
  <c r="U9" i="10"/>
  <c r="DJ46" i="9"/>
  <c r="GO46" i="9" s="1"/>
  <c r="IB46" i="9"/>
  <c r="W101" i="12"/>
  <c r="X101" i="12" s="1"/>
  <c r="EJ47" i="9"/>
  <c r="EH47" i="9"/>
  <c r="FL48" i="9"/>
  <c r="HZ48" i="9"/>
  <c r="DO51" i="9"/>
  <c r="EE55" i="9"/>
  <c r="HM55" i="9" s="1"/>
  <c r="ID55" i="9"/>
  <c r="IC56" i="9"/>
  <c r="EI57" i="9"/>
  <c r="EG57" i="9"/>
  <c r="DO59" i="9"/>
  <c r="Z42" i="12"/>
  <c r="AA42" i="12" s="1"/>
  <c r="EQ60" i="9"/>
  <c r="S97" i="17"/>
  <c r="Q47" i="12"/>
  <c r="R47" i="12" s="1"/>
  <c r="N47" i="12"/>
  <c r="O47" i="12" s="1"/>
  <c r="DO61" i="9"/>
  <c r="DN61" i="9"/>
  <c r="FC61" i="9"/>
  <c r="DM61" i="9"/>
  <c r="BI61" i="9"/>
  <c r="DJ64" i="9"/>
  <c r="GO64" i="9" s="1"/>
  <c r="FF64" i="9"/>
  <c r="HZ68" i="9"/>
  <c r="FL70" i="9"/>
  <c r="IC70" i="9"/>
  <c r="L50" i="36"/>
  <c r="K50" i="36"/>
  <c r="J50" i="36"/>
  <c r="I50" i="36"/>
  <c r="H50" i="36"/>
  <c r="W13" i="12"/>
  <c r="X13" i="12" s="1"/>
  <c r="W3" i="12"/>
  <c r="S19" i="17"/>
  <c r="Q99" i="12"/>
  <c r="R99" i="12" s="1"/>
  <c r="N99" i="12"/>
  <c r="O99" i="12" s="1"/>
  <c r="GU18" i="9"/>
  <c r="FL22" i="9"/>
  <c r="EO28" i="9"/>
  <c r="Y29" i="9"/>
  <c r="IC33" i="9"/>
  <c r="K51" i="34"/>
  <c r="I51" i="34"/>
  <c r="H51" i="34"/>
  <c r="L51" i="34"/>
  <c r="J51" i="34"/>
  <c r="FI41" i="9"/>
  <c r="IB55" i="9"/>
  <c r="FC56" i="9"/>
  <c r="FI62" i="9"/>
  <c r="HS70" i="9"/>
  <c r="X9" i="23"/>
  <c r="EC8" i="9"/>
  <c r="EQ10" i="9"/>
  <c r="IC10" i="9"/>
  <c r="DT11" i="9"/>
  <c r="GX11" i="9"/>
  <c r="IA11" i="9"/>
  <c r="H5" i="34"/>
  <c r="I5" i="34"/>
  <c r="K5" i="34"/>
  <c r="J5" i="34"/>
  <c r="L5" i="34"/>
  <c r="DP12" i="9"/>
  <c r="EJ12" i="9"/>
  <c r="FC12" i="9"/>
  <c r="HJ12" i="9"/>
  <c r="I13" i="30"/>
  <c r="H13" i="30"/>
  <c r="J13" i="30"/>
  <c r="L13" i="30"/>
  <c r="K13" i="30"/>
  <c r="DN13" i="9"/>
  <c r="EH13" i="9"/>
  <c r="DK14" i="9"/>
  <c r="EC15" i="9"/>
  <c r="DY16" i="9"/>
  <c r="ES16" i="9"/>
  <c r="DW17" i="9"/>
  <c r="EQ17" i="9"/>
  <c r="GL17" i="9"/>
  <c r="IC17" i="9"/>
  <c r="DT18" i="9"/>
  <c r="GX18" i="9"/>
  <c r="IA18" i="9"/>
  <c r="L16" i="34"/>
  <c r="K16" i="34"/>
  <c r="J16" i="34"/>
  <c r="I16" i="34"/>
  <c r="H16" i="34"/>
  <c r="DP19" i="9"/>
  <c r="EJ19" i="9"/>
  <c r="FC19" i="9"/>
  <c r="HJ19" i="9"/>
  <c r="DN20" i="9"/>
  <c r="EH20" i="9"/>
  <c r="DJ22" i="9"/>
  <c r="GO22" i="9" s="1"/>
  <c r="IA22" i="9"/>
  <c r="BD23" i="9"/>
  <c r="DN23" i="9"/>
  <c r="EI23" i="9"/>
  <c r="FC23" i="9"/>
  <c r="DN25" i="9"/>
  <c r="EI25" i="9"/>
  <c r="FC25" i="9"/>
  <c r="IC25" i="9"/>
  <c r="DU26" i="9"/>
  <c r="HA26" i="9" s="1"/>
  <c r="ER26" i="9"/>
  <c r="FI26" i="9"/>
  <c r="BD27" i="9"/>
  <c r="DM27" i="9"/>
  <c r="EH27" i="9"/>
  <c r="W24" i="12"/>
  <c r="X24" i="12" s="1"/>
  <c r="FI28" i="9"/>
  <c r="IA28" i="9"/>
  <c r="DH29" i="9"/>
  <c r="IC30" i="9"/>
  <c r="IC31" i="9"/>
  <c r="BI32" i="9"/>
  <c r="IC32" i="9"/>
  <c r="DO33" i="9"/>
  <c r="DN33" i="9"/>
  <c r="DM33" i="9"/>
  <c r="DY33" i="9"/>
  <c r="EJ34" i="9"/>
  <c r="FF34" i="9"/>
  <c r="L20" i="34"/>
  <c r="K20" i="34"/>
  <c r="J20" i="34"/>
  <c r="I20" i="34"/>
  <c r="H20" i="34"/>
  <c r="ED35" i="9"/>
  <c r="HD35" i="9"/>
  <c r="EC35" i="9"/>
  <c r="EB35" i="9"/>
  <c r="ES37" i="9"/>
  <c r="IA38" i="9"/>
  <c r="IC40" i="9"/>
  <c r="IB40" i="9"/>
  <c r="IA40" i="9"/>
  <c r="ER40" i="9"/>
  <c r="T51" i="12"/>
  <c r="U51" i="12" s="1"/>
  <c r="DY41" i="9"/>
  <c r="DW41" i="9"/>
  <c r="BI41" i="9"/>
  <c r="ED41" i="9"/>
  <c r="HJ41" i="9" s="1"/>
  <c r="BD42" i="9"/>
  <c r="DP42" i="9"/>
  <c r="W100" i="12"/>
  <c r="X100" i="12" s="1"/>
  <c r="EJ43" i="9"/>
  <c r="EI43" i="9"/>
  <c r="EH43" i="9"/>
  <c r="T59" i="26"/>
  <c r="DK46" i="9"/>
  <c r="GR46" i="9" s="1"/>
  <c r="Z101" i="12"/>
  <c r="AA101" i="12" s="1"/>
  <c r="FL47" i="9"/>
  <c r="ES47" i="9"/>
  <c r="ER47" i="9"/>
  <c r="EQ47" i="9"/>
  <c r="IA48" i="9"/>
  <c r="L26" i="32"/>
  <c r="K26" i="32"/>
  <c r="J26" i="32"/>
  <c r="I26" i="32"/>
  <c r="H26" i="32"/>
  <c r="DU50" i="9"/>
  <c r="HA50" i="9" s="1"/>
  <c r="DS50" i="9"/>
  <c r="GU50" i="9" s="1"/>
  <c r="K53" i="30"/>
  <c r="J53" i="30"/>
  <c r="I53" i="30"/>
  <c r="H53" i="30"/>
  <c r="L53" i="30"/>
  <c r="IB54" i="9"/>
  <c r="IA54" i="9"/>
  <c r="DK54" i="9"/>
  <c r="GR54" i="9" s="1"/>
  <c r="IC54" i="9"/>
  <c r="ID54" i="9"/>
  <c r="DJ54" i="9"/>
  <c r="GO54" i="9" s="1"/>
  <c r="HZ54" i="9"/>
  <c r="DI54" i="9"/>
  <c r="GL54" i="9" s="1"/>
  <c r="DH54" i="9"/>
  <c r="GI54" i="9" s="1"/>
  <c r="DX54" i="9"/>
  <c r="FC54" i="9"/>
  <c r="EJ55" i="9"/>
  <c r="FI55" i="9"/>
  <c r="EG55" i="9"/>
  <c r="BD59" i="9"/>
  <c r="DP59" i="9"/>
  <c r="DI60" i="9"/>
  <c r="GL60" i="9" s="1"/>
  <c r="ED62" i="9"/>
  <c r="HJ62" i="9" s="1"/>
  <c r="S18" i="17"/>
  <c r="Q33" i="12"/>
  <c r="R33" i="12" s="1"/>
  <c r="N33" i="12"/>
  <c r="O33" i="12" s="1"/>
  <c r="DM66" i="9"/>
  <c r="DN66" i="9"/>
  <c r="FC66" i="9"/>
  <c r="DO66" i="9"/>
  <c r="BI66" i="9"/>
  <c r="IA68" i="9"/>
  <c r="H45" i="32"/>
  <c r="K45" i="32"/>
  <c r="J45" i="32"/>
  <c r="I45" i="32"/>
  <c r="L45" i="32"/>
  <c r="DS73" i="9"/>
  <c r="GU73" i="9" s="1"/>
  <c r="DU73" i="9"/>
  <c r="HA73" i="9" s="1"/>
  <c r="DT73" i="9"/>
  <c r="GX73" i="9" s="1"/>
  <c r="DT126" i="9"/>
  <c r="GX126" i="9" s="1"/>
  <c r="DS126" i="9"/>
  <c r="GU126" i="9" s="1"/>
  <c r="IB126" i="9"/>
  <c r="HZ126" i="9"/>
  <c r="FF126" i="9"/>
  <c r="BD126" i="9"/>
  <c r="DU126" i="9"/>
  <c r="HA126" i="9" s="1"/>
  <c r="T13" i="12"/>
  <c r="U13" i="12" s="1"/>
  <c r="T3" i="12"/>
  <c r="L19" i="30"/>
  <c r="K19" i="30"/>
  <c r="J19" i="30"/>
  <c r="I19" i="30"/>
  <c r="H19" i="30"/>
  <c r="HZ56" i="9"/>
  <c r="IA56" i="9"/>
  <c r="DJ56" i="9"/>
  <c r="BD56" i="9"/>
  <c r="DX8" i="9"/>
  <c r="X3" i="26"/>
  <c r="AD3" i="22"/>
  <c r="U3" i="26"/>
  <c r="ID10" i="9"/>
  <c r="S62" i="17"/>
  <c r="N14" i="12"/>
  <c r="O14" i="12" s="1"/>
  <c r="Q14" i="12"/>
  <c r="R14" i="12" s="1"/>
  <c r="DU11" i="9"/>
  <c r="IB11" i="9"/>
  <c r="L9" i="36"/>
  <c r="K9" i="36"/>
  <c r="J9" i="36"/>
  <c r="I9" i="36"/>
  <c r="H9" i="36"/>
  <c r="EM12" i="9"/>
  <c r="HZ12" i="9"/>
  <c r="J15" i="32"/>
  <c r="I15" i="32"/>
  <c r="H15" i="32"/>
  <c r="K15" i="32"/>
  <c r="L15" i="32"/>
  <c r="GU13" i="9"/>
  <c r="BD14" i="9"/>
  <c r="FL15" i="9"/>
  <c r="HS15" i="9"/>
  <c r="ID17" i="9"/>
  <c r="S68" i="17"/>
  <c r="N56" i="12"/>
  <c r="O56" i="12" s="1"/>
  <c r="Q56" i="12"/>
  <c r="R56" i="12" s="1"/>
  <c r="DU18" i="9"/>
  <c r="FF18" i="9"/>
  <c r="IB18" i="9"/>
  <c r="K26" i="36"/>
  <c r="J26" i="36"/>
  <c r="L26" i="36"/>
  <c r="I26" i="36"/>
  <c r="H26" i="36"/>
  <c r="EM19" i="9"/>
  <c r="HZ19" i="9"/>
  <c r="EI20" i="9"/>
  <c r="V6" i="14"/>
  <c r="V13" i="14"/>
  <c r="V16" i="14"/>
  <c r="V9" i="14"/>
  <c r="V19" i="14"/>
  <c r="V15" i="14"/>
  <c r="V11" i="14"/>
  <c r="V10" i="14"/>
  <c r="V40" i="13"/>
  <c r="V12" i="14"/>
  <c r="V18" i="14"/>
  <c r="V17" i="14"/>
  <c r="V44" i="13"/>
  <c r="V43" i="13"/>
  <c r="V45" i="13"/>
  <c r="V37" i="13"/>
  <c r="V8" i="14"/>
  <c r="V42" i="13"/>
  <c r="V28" i="13"/>
  <c r="V38" i="13"/>
  <c r="V36" i="13"/>
  <c r="V23" i="13"/>
  <c r="V32" i="13"/>
  <c r="V47" i="13"/>
  <c r="V46" i="13"/>
  <c r="V14" i="14"/>
  <c r="V22" i="13"/>
  <c r="V31" i="13"/>
  <c r="V26" i="13"/>
  <c r="V30" i="13"/>
  <c r="V41" i="13"/>
  <c r="V25" i="13"/>
  <c r="V34" i="13"/>
  <c r="V35" i="13"/>
  <c r="V29" i="13"/>
  <c r="V16" i="13"/>
  <c r="V12" i="13"/>
  <c r="V21" i="13"/>
  <c r="V15" i="13"/>
  <c r="V39" i="13"/>
  <c r="V27" i="13"/>
  <c r="V19" i="13"/>
  <c r="V6" i="13"/>
  <c r="V14" i="13"/>
  <c r="V10" i="13"/>
  <c r="V33" i="13"/>
  <c r="V18" i="13"/>
  <c r="V9" i="13"/>
  <c r="V20" i="13"/>
  <c r="V13" i="13"/>
  <c r="V17" i="13"/>
  <c r="V20" i="11"/>
  <c r="V18" i="11"/>
  <c r="V16" i="11"/>
  <c r="V14" i="11"/>
  <c r="V12" i="11"/>
  <c r="V10" i="11"/>
  <c r="V8" i="13"/>
  <c r="V11" i="13"/>
  <c r="V24" i="13"/>
  <c r="V9" i="11"/>
  <c r="V40" i="10"/>
  <c r="V38" i="10"/>
  <c r="V36" i="10"/>
  <c r="V34" i="10"/>
  <c r="V32" i="10"/>
  <c r="V30" i="10"/>
  <c r="V28" i="10"/>
  <c r="V42" i="10"/>
  <c r="V15" i="11"/>
  <c r="V17" i="11"/>
  <c r="V13" i="11"/>
  <c r="V19" i="11"/>
  <c r="V11" i="11"/>
  <c r="V8" i="11"/>
  <c r="V26" i="10"/>
  <c r="V24" i="10"/>
  <c r="V22" i="10"/>
  <c r="V20" i="10"/>
  <c r="V18" i="10"/>
  <c r="V16" i="10"/>
  <c r="V14" i="10"/>
  <c r="V12" i="10"/>
  <c r="V39" i="10"/>
  <c r="V31" i="10"/>
  <c r="V35" i="10"/>
  <c r="V27" i="10"/>
  <c r="V25" i="10"/>
  <c r="V23" i="10"/>
  <c r="V21" i="10"/>
  <c r="V19" i="10"/>
  <c r="V17" i="10"/>
  <c r="V15" i="10"/>
  <c r="V13" i="10"/>
  <c r="V37" i="10"/>
  <c r="V41" i="10"/>
  <c r="V29" i="10"/>
  <c r="V33" i="10"/>
  <c r="V10" i="10"/>
  <c r="V11" i="10"/>
  <c r="V9" i="10"/>
  <c r="V8" i="10"/>
  <c r="DK22" i="9"/>
  <c r="GR22" i="9" s="1"/>
  <c r="EG22" i="9"/>
  <c r="IB22" i="9"/>
  <c r="I76" i="30"/>
  <c r="L76" i="30"/>
  <c r="K76" i="30"/>
  <c r="J76" i="30"/>
  <c r="H76" i="30"/>
  <c r="DI23" i="9"/>
  <c r="GL23" i="9" s="1"/>
  <c r="ID23" i="9"/>
  <c r="EJ25" i="9"/>
  <c r="ID25" i="9"/>
  <c r="ES26" i="9"/>
  <c r="L17" i="30"/>
  <c r="K17" i="30"/>
  <c r="J17" i="30"/>
  <c r="I17" i="30"/>
  <c r="H17" i="30"/>
  <c r="IC27" i="9"/>
  <c r="FC27" i="9"/>
  <c r="ID27" i="9"/>
  <c r="IB28" i="9"/>
  <c r="DI29" i="9"/>
  <c r="ID30" i="9"/>
  <c r="ID31" i="9"/>
  <c r="ID32" i="9"/>
  <c r="EB33" i="9"/>
  <c r="HD33" i="9" s="1"/>
  <c r="EM34" i="9"/>
  <c r="HP34" i="9" s="1"/>
  <c r="L24" i="36"/>
  <c r="H24" i="36"/>
  <c r="K24" i="36"/>
  <c r="J24" i="36"/>
  <c r="I24" i="36"/>
  <c r="HS35" i="9"/>
  <c r="DH38" i="9"/>
  <c r="GI38" i="9" s="1"/>
  <c r="IB38" i="9"/>
  <c r="DK39" i="9"/>
  <c r="GR39" i="9" s="1"/>
  <c r="EE41" i="9"/>
  <c r="HM41" i="9" s="1"/>
  <c r="FF41" i="9"/>
  <c r="L51" i="30"/>
  <c r="K51" i="30"/>
  <c r="J51" i="30"/>
  <c r="I51" i="30"/>
  <c r="H51" i="30"/>
  <c r="DK42" i="9"/>
  <c r="GR42" i="9" s="1"/>
  <c r="IA42" i="9"/>
  <c r="DJ42" i="9"/>
  <c r="GO42" i="9" s="1"/>
  <c r="IC42" i="9"/>
  <c r="I54" i="12"/>
  <c r="BJ44" i="9"/>
  <c r="BM44" i="9"/>
  <c r="EQ46" i="9"/>
  <c r="J72" i="34"/>
  <c r="H72" i="34"/>
  <c r="I72" i="34"/>
  <c r="L72" i="34"/>
  <c r="K72" i="34"/>
  <c r="EC50" i="9"/>
  <c r="HG50" i="9" s="1"/>
  <c r="U24" i="24"/>
  <c r="J71" i="32"/>
  <c r="I71" i="32"/>
  <c r="H71" i="32"/>
  <c r="L71" i="32"/>
  <c r="K71" i="32"/>
  <c r="DU54" i="9"/>
  <c r="HA54" i="9" s="1"/>
  <c r="DT54" i="9"/>
  <c r="GX54" i="9" s="1"/>
  <c r="V32" i="25"/>
  <c r="ER55" i="9"/>
  <c r="FL55" i="9"/>
  <c r="EQ55" i="9"/>
  <c r="W56" i="23"/>
  <c r="W44" i="12"/>
  <c r="X44" i="12" s="1"/>
  <c r="EJ62" i="9"/>
  <c r="BI62" i="9"/>
  <c r="EG62" i="9"/>
  <c r="U64" i="24"/>
  <c r="X12" i="25"/>
  <c r="V22" i="25"/>
  <c r="L68" i="36"/>
  <c r="K68" i="36"/>
  <c r="J68" i="36"/>
  <c r="I68" i="36"/>
  <c r="H68" i="36"/>
  <c r="X3" i="23"/>
  <c r="ES10" i="9"/>
  <c r="FI10" i="9"/>
  <c r="DW11" i="9"/>
  <c r="GL11" i="9"/>
  <c r="EN12" i="9"/>
  <c r="IA12" i="9"/>
  <c r="L9" i="34"/>
  <c r="K9" i="34"/>
  <c r="J9" i="34"/>
  <c r="I9" i="34"/>
  <c r="H9" i="34"/>
  <c r="EJ13" i="9"/>
  <c r="HJ13" i="9"/>
  <c r="K15" i="30"/>
  <c r="J15" i="30"/>
  <c r="I15" i="30"/>
  <c r="H15" i="30"/>
  <c r="L15" i="30"/>
  <c r="DN14" i="9"/>
  <c r="ES17" i="9"/>
  <c r="FI17" i="9"/>
  <c r="HP17" i="9"/>
  <c r="DW18" i="9"/>
  <c r="GL18" i="9"/>
  <c r="IC18" i="9"/>
  <c r="EN19" i="9"/>
  <c r="IA19" i="9"/>
  <c r="EJ20" i="9"/>
  <c r="W21" i="9"/>
  <c r="BD22" i="9"/>
  <c r="EH22" i="9"/>
  <c r="I32" i="32"/>
  <c r="H32" i="32"/>
  <c r="J32" i="32"/>
  <c r="K32" i="32"/>
  <c r="L32" i="32"/>
  <c r="HZ24" i="9"/>
  <c r="EM25" i="9"/>
  <c r="HP25" i="9" s="1"/>
  <c r="L10" i="32"/>
  <c r="K10" i="32"/>
  <c r="H10" i="32"/>
  <c r="I10" i="32"/>
  <c r="J10" i="32"/>
  <c r="DH28" i="9"/>
  <c r="ID28" i="9"/>
  <c r="DJ29" i="9"/>
  <c r="DH30" i="9"/>
  <c r="GI30" i="9" s="1"/>
  <c r="DH31" i="9"/>
  <c r="DX32" i="9"/>
  <c r="EI33" i="9"/>
  <c r="EH33" i="9"/>
  <c r="EG33" i="9"/>
  <c r="EC33" i="9"/>
  <c r="HG33" i="9" s="1"/>
  <c r="EN34" i="9"/>
  <c r="HS34" i="9" s="1"/>
  <c r="HZ34" i="9"/>
  <c r="HP35" i="9"/>
  <c r="HZ36" i="9"/>
  <c r="DI38" i="9"/>
  <c r="GL38" i="9" s="1"/>
  <c r="ID38" i="9"/>
  <c r="DM39" i="9"/>
  <c r="Z51" i="12"/>
  <c r="AA51" i="12" s="1"/>
  <c r="FL41" i="9"/>
  <c r="ES41" i="9"/>
  <c r="ER41" i="9"/>
  <c r="EQ41" i="9"/>
  <c r="ID42" i="9"/>
  <c r="DN47" i="9"/>
  <c r="K40" i="36"/>
  <c r="J40" i="36"/>
  <c r="L40" i="36"/>
  <c r="I40" i="36"/>
  <c r="H40" i="36"/>
  <c r="EO50" i="9"/>
  <c r="HV50" i="9" s="1"/>
  <c r="EN50" i="9"/>
  <c r="HS50" i="9" s="1"/>
  <c r="L79" i="34"/>
  <c r="H79" i="34"/>
  <c r="I79" i="34"/>
  <c r="K79" i="34"/>
  <c r="J79" i="34"/>
  <c r="EE51" i="9"/>
  <c r="HM51" i="9" s="1"/>
  <c r="ED51" i="9"/>
  <c r="HJ51" i="9" s="1"/>
  <c r="U49" i="26"/>
  <c r="L35" i="34"/>
  <c r="K35" i="34"/>
  <c r="J35" i="34"/>
  <c r="I35" i="34"/>
  <c r="H35" i="34"/>
  <c r="EB54" i="9"/>
  <c r="HD54" i="9" s="1"/>
  <c r="ED54" i="9"/>
  <c r="HJ54" i="9" s="1"/>
  <c r="FI54" i="9"/>
  <c r="J6" i="32"/>
  <c r="I6" i="32"/>
  <c r="H6" i="32"/>
  <c r="K6" i="32"/>
  <c r="L6" i="32"/>
  <c r="DS58" i="9"/>
  <c r="GU58" i="9" s="1"/>
  <c r="L25" i="32"/>
  <c r="K25" i="32"/>
  <c r="H25" i="32"/>
  <c r="J25" i="32"/>
  <c r="I25" i="32"/>
  <c r="DU59" i="9"/>
  <c r="HA59" i="9" s="1"/>
  <c r="DS59" i="9"/>
  <c r="GU59" i="9" s="1"/>
  <c r="IA59" i="9"/>
  <c r="V55" i="26"/>
  <c r="Z47" i="12"/>
  <c r="AA47" i="12" s="1"/>
  <c r="FL61" i="9"/>
  <c r="ER61" i="9"/>
  <c r="EH62" i="9"/>
  <c r="DX64" i="9"/>
  <c r="H48" i="36"/>
  <c r="L48" i="36"/>
  <c r="K48" i="36"/>
  <c r="J48" i="36"/>
  <c r="I48" i="36"/>
  <c r="EO65" i="9"/>
  <c r="HV65" i="9" s="1"/>
  <c r="IB65" i="9"/>
  <c r="EM65" i="9"/>
  <c r="HP65" i="9" s="1"/>
  <c r="BD65" i="9"/>
  <c r="T35" i="26"/>
  <c r="U83" i="26"/>
  <c r="L23" i="36"/>
  <c r="K23" i="36"/>
  <c r="J23" i="36"/>
  <c r="I23" i="36"/>
  <c r="H23" i="36"/>
  <c r="EN84" i="9"/>
  <c r="HS84" i="9" s="1"/>
  <c r="EM84" i="9"/>
  <c r="HP84" i="9" s="1"/>
  <c r="ID84" i="9"/>
  <c r="IC84" i="9"/>
  <c r="FL84" i="9"/>
  <c r="EO84" i="9"/>
  <c r="HV84" i="9" s="1"/>
  <c r="K39" i="30"/>
  <c r="J39" i="30"/>
  <c r="I39" i="30"/>
  <c r="H39" i="30"/>
  <c r="L39" i="30"/>
  <c r="BD116" i="9"/>
  <c r="DJ116" i="9"/>
  <c r="GO116" i="9" s="1"/>
  <c r="IA116" i="9"/>
  <c r="DK116" i="9"/>
  <c r="GR116" i="9" s="1"/>
  <c r="IC116" i="9"/>
  <c r="DI116" i="9"/>
  <c r="GL116" i="9" s="1"/>
  <c r="DH116" i="9"/>
  <c r="GI116" i="9" s="1"/>
  <c r="FC116" i="9"/>
  <c r="HZ116" i="9"/>
  <c r="ID116" i="9"/>
  <c r="IB116" i="9"/>
  <c r="DK29" i="9"/>
  <c r="DI30" i="9"/>
  <c r="GL30" i="9" s="1"/>
  <c r="DI31" i="9"/>
  <c r="ED33" i="9"/>
  <c r="HJ33" i="9" s="1"/>
  <c r="FI34" i="9"/>
  <c r="S59" i="17"/>
  <c r="Q19" i="12"/>
  <c r="R19" i="12" s="1"/>
  <c r="N19" i="12"/>
  <c r="O19" i="12" s="1"/>
  <c r="BD36" i="9"/>
  <c r="EM36" i="9"/>
  <c r="HP36" i="9" s="1"/>
  <c r="DJ38" i="9"/>
  <c r="GO38" i="9" s="1"/>
  <c r="FC38" i="9"/>
  <c r="DN39" i="9"/>
  <c r="EN40" i="9"/>
  <c r="HS40" i="9" s="1"/>
  <c r="EO40" i="9"/>
  <c r="HV40" i="9" s="1"/>
  <c r="DK45" i="9"/>
  <c r="GR45" i="9" s="1"/>
  <c r="L33" i="30"/>
  <c r="K33" i="30"/>
  <c r="J33" i="30"/>
  <c r="I33" i="30"/>
  <c r="H33" i="30"/>
  <c r="BD46" i="9"/>
  <c r="ID46" i="9"/>
  <c r="HZ46" i="9"/>
  <c r="DO47" i="9"/>
  <c r="EB51" i="9"/>
  <c r="HD51" i="9" s="1"/>
  <c r="FI51" i="9"/>
  <c r="BD53" i="9"/>
  <c r="EE54" i="9"/>
  <c r="HM54" i="9" s="1"/>
  <c r="X56" i="9"/>
  <c r="Y56" i="9" s="1"/>
  <c r="Z56" i="9" s="1"/>
  <c r="H31" i="34"/>
  <c r="I31" i="34"/>
  <c r="L31" i="34"/>
  <c r="K31" i="34"/>
  <c r="J31" i="34"/>
  <c r="ED58" i="9"/>
  <c r="HJ58" i="9" s="1"/>
  <c r="EC58" i="9"/>
  <c r="HG58" i="9" s="1"/>
  <c r="FI58" i="9"/>
  <c r="X73" i="25"/>
  <c r="FF59" i="9"/>
  <c r="HZ60" i="9"/>
  <c r="EQ61" i="9"/>
  <c r="EI62" i="9"/>
  <c r="DY64" i="9"/>
  <c r="S17" i="17"/>
  <c r="Q52" i="12"/>
  <c r="R52" i="12" s="1"/>
  <c r="N52" i="12"/>
  <c r="O52" i="12" s="1"/>
  <c r="DO65" i="9"/>
  <c r="BI65" i="9"/>
  <c r="DP65" i="9"/>
  <c r="DM65" i="9"/>
  <c r="FC65" i="9"/>
  <c r="IA66" i="9"/>
  <c r="V8" i="26"/>
  <c r="I55" i="30"/>
  <c r="H55" i="30"/>
  <c r="J55" i="30"/>
  <c r="K55" i="30"/>
  <c r="L55" i="30"/>
  <c r="DH70" i="9"/>
  <c r="GI70" i="9" s="1"/>
  <c r="IB70" i="9"/>
  <c r="DI70" i="9"/>
  <c r="GL70" i="9" s="1"/>
  <c r="FC70" i="9"/>
  <c r="IA70" i="9"/>
  <c r="HZ70" i="9"/>
  <c r="BD70" i="9"/>
  <c r="DK70" i="9"/>
  <c r="GR70" i="9" s="1"/>
  <c r="DJ70" i="9"/>
  <c r="GO70" i="9" s="1"/>
  <c r="L84" i="30"/>
  <c r="K84" i="30"/>
  <c r="J84" i="30"/>
  <c r="I84" i="30"/>
  <c r="H84" i="30"/>
  <c r="ID71" i="9"/>
  <c r="HZ71" i="9"/>
  <c r="IA71" i="9"/>
  <c r="DK71" i="9"/>
  <c r="GR71" i="9" s="1"/>
  <c r="DI71" i="9"/>
  <c r="GL71" i="9" s="1"/>
  <c r="IC71" i="9"/>
  <c r="IB71" i="9"/>
  <c r="U78" i="26"/>
  <c r="L88" i="32"/>
  <c r="K88" i="32"/>
  <c r="J88" i="32"/>
  <c r="H88" i="32"/>
  <c r="I88" i="32"/>
  <c r="DU116" i="9"/>
  <c r="HA116" i="9" s="1"/>
  <c r="DS116" i="9"/>
  <c r="GU116" i="9" s="1"/>
  <c r="DT116" i="9"/>
  <c r="GX116" i="9" s="1"/>
  <c r="DW8" i="9"/>
  <c r="L16" i="30"/>
  <c r="K16" i="30"/>
  <c r="J16" i="30"/>
  <c r="I16" i="30"/>
  <c r="H16" i="30"/>
  <c r="HJ17" i="9"/>
  <c r="V3" i="24"/>
  <c r="V46" i="24"/>
  <c r="K46" i="32"/>
  <c r="J46" i="32"/>
  <c r="I46" i="32"/>
  <c r="H46" i="32"/>
  <c r="L46" i="32"/>
  <c r="AD3" i="23"/>
  <c r="HA11" i="9"/>
  <c r="ID11" i="9"/>
  <c r="H15" i="36"/>
  <c r="L15" i="36"/>
  <c r="K15" i="36"/>
  <c r="J15" i="36"/>
  <c r="I15" i="36"/>
  <c r="EM13" i="9"/>
  <c r="HZ13" i="9"/>
  <c r="GU14" i="9"/>
  <c r="EB17" i="9"/>
  <c r="HA18" i="9"/>
  <c r="ID18" i="9"/>
  <c r="S44" i="17"/>
  <c r="N31" i="12"/>
  <c r="O31" i="12" s="1"/>
  <c r="Q31" i="12"/>
  <c r="R31" i="12" s="1"/>
  <c r="EM20" i="9"/>
  <c r="HP20" i="9" s="1"/>
  <c r="HZ20" i="9"/>
  <c r="J26" i="30"/>
  <c r="I26" i="30"/>
  <c r="H26" i="30"/>
  <c r="L26" i="30"/>
  <c r="K26" i="30"/>
  <c r="EI22" i="9"/>
  <c r="ID22" i="9"/>
  <c r="H65" i="34"/>
  <c r="I65" i="34"/>
  <c r="K65" i="34"/>
  <c r="J65" i="34"/>
  <c r="L65" i="34"/>
  <c r="EC23" i="9"/>
  <c r="HG23" i="9" s="1"/>
  <c r="T75" i="26"/>
  <c r="EN25" i="9"/>
  <c r="HS25" i="9" s="1"/>
  <c r="EB26" i="9"/>
  <c r="HD26" i="9" s="1"/>
  <c r="FL26" i="9"/>
  <c r="K11" i="34"/>
  <c r="J11" i="34"/>
  <c r="I11" i="34"/>
  <c r="H11" i="34"/>
  <c r="L11" i="34"/>
  <c r="L21" i="30"/>
  <c r="K21" i="30"/>
  <c r="J21" i="30"/>
  <c r="I21" i="30"/>
  <c r="K3" i="30"/>
  <c r="J3" i="30"/>
  <c r="I3" i="30"/>
  <c r="H3" i="30"/>
  <c r="H21" i="30"/>
  <c r="L3" i="30"/>
  <c r="J3" i="17"/>
  <c r="I3" i="17"/>
  <c r="H3" i="17"/>
  <c r="EH8" i="9"/>
  <c r="HV8" i="9"/>
  <c r="DK9" i="9"/>
  <c r="EC10" i="9"/>
  <c r="HG10" i="9" s="1"/>
  <c r="DY11" i="9"/>
  <c r="ES11" i="9"/>
  <c r="FI11" i="9"/>
  <c r="DW12" i="9"/>
  <c r="EQ12" i="9"/>
  <c r="GL12" i="9"/>
  <c r="IC12" i="9"/>
  <c r="DT13" i="9"/>
  <c r="EN13" i="9"/>
  <c r="GX13" i="9"/>
  <c r="IA13" i="9"/>
  <c r="L10" i="34"/>
  <c r="K10" i="34"/>
  <c r="J10" i="34"/>
  <c r="I10" i="34"/>
  <c r="H10" i="34"/>
  <c r="DP14" i="9"/>
  <c r="FC14" i="9"/>
  <c r="HJ14" i="9"/>
  <c r="I41" i="30"/>
  <c r="H41" i="30"/>
  <c r="J41" i="30"/>
  <c r="L41" i="30"/>
  <c r="K41" i="30"/>
  <c r="EH15" i="9"/>
  <c r="HV15" i="9"/>
  <c r="DK16" i="9"/>
  <c r="EC17" i="9"/>
  <c r="HD17" i="9"/>
  <c r="DY18" i="9"/>
  <c r="ES18" i="9"/>
  <c r="FI18" i="9"/>
  <c r="DW19" i="9"/>
  <c r="EQ19" i="9"/>
  <c r="GL19" i="9"/>
  <c r="IC19" i="9"/>
  <c r="DT20" i="9"/>
  <c r="GX20" i="9" s="1"/>
  <c r="EN20" i="9"/>
  <c r="HS20" i="9" s="1"/>
  <c r="IA20" i="9"/>
  <c r="L9" i="32"/>
  <c r="K9" i="32"/>
  <c r="J9" i="32"/>
  <c r="H9" i="32"/>
  <c r="I9" i="32"/>
  <c r="EM22" i="9"/>
  <c r="HP22" i="9" s="1"/>
  <c r="L78" i="36"/>
  <c r="K78" i="36"/>
  <c r="J78" i="36"/>
  <c r="I78" i="36"/>
  <c r="H78" i="36"/>
  <c r="DT23" i="9"/>
  <c r="GX23" i="9" s="1"/>
  <c r="EO23" i="9"/>
  <c r="HV23" i="9" s="1"/>
  <c r="DM24" i="9"/>
  <c r="IB24" i="9"/>
  <c r="DT25" i="9"/>
  <c r="GX25" i="9" s="1"/>
  <c r="EO25" i="9"/>
  <c r="HV25" i="9" s="1"/>
  <c r="EC26" i="9"/>
  <c r="HG26" i="9" s="1"/>
  <c r="L22" i="36"/>
  <c r="K22" i="36"/>
  <c r="J22" i="36"/>
  <c r="I22" i="36"/>
  <c r="H22" i="36"/>
  <c r="DS27" i="9"/>
  <c r="GU27" i="9" s="1"/>
  <c r="EN27" i="9"/>
  <c r="HS27" i="9" s="1"/>
  <c r="FF27" i="9"/>
  <c r="DJ28" i="9"/>
  <c r="DJ30" i="9"/>
  <c r="GO30" i="9" s="1"/>
  <c r="DJ31" i="9"/>
  <c r="EE33" i="9"/>
  <c r="HM33" i="9" s="1"/>
  <c r="BD34" i="9"/>
  <c r="DK34" i="9"/>
  <c r="GR34" i="9" s="1"/>
  <c r="DJ34" i="9"/>
  <c r="GO34" i="9" s="1"/>
  <c r="DS34" i="9"/>
  <c r="GU34" i="9" s="1"/>
  <c r="EQ34" i="9"/>
  <c r="IB34" i="9"/>
  <c r="DH36" i="9"/>
  <c r="GI36" i="9" s="1"/>
  <c r="ID36" i="9"/>
  <c r="EN36" i="9"/>
  <c r="HS36" i="9" s="1"/>
  <c r="IB36" i="9"/>
  <c r="DK38" i="9"/>
  <c r="GR38" i="9" s="1"/>
  <c r="DO39" i="9"/>
  <c r="DY42" i="9"/>
  <c r="DM45" i="9"/>
  <c r="DP47" i="9"/>
  <c r="DS49" i="9"/>
  <c r="GU49" i="9" s="1"/>
  <c r="EB50" i="9"/>
  <c r="HD50" i="9" s="1"/>
  <c r="S82" i="17"/>
  <c r="Q68" i="12"/>
  <c r="R68" i="12" s="1"/>
  <c r="N68" i="12"/>
  <c r="O68" i="12" s="1"/>
  <c r="BI51" i="9"/>
  <c r="FC51" i="9"/>
  <c r="DN51" i="9"/>
  <c r="EC51" i="9"/>
  <c r="HG51" i="9" s="1"/>
  <c r="Z27" i="12"/>
  <c r="AA27" i="12" s="1"/>
  <c r="FL56" i="9"/>
  <c r="ER56" i="9"/>
  <c r="DM57" i="9"/>
  <c r="J5" i="36"/>
  <c r="I5" i="36"/>
  <c r="H5" i="36"/>
  <c r="L5" i="36"/>
  <c r="K5" i="36"/>
  <c r="EN58" i="9"/>
  <c r="HS58" i="9" s="1"/>
  <c r="EM58" i="9"/>
  <c r="HP58" i="9" s="1"/>
  <c r="L37" i="36"/>
  <c r="K37" i="36"/>
  <c r="J37" i="36"/>
  <c r="I37" i="36"/>
  <c r="H37" i="36"/>
  <c r="IB60" i="9"/>
  <c r="ES61" i="9"/>
  <c r="IC61" i="9"/>
  <c r="H73" i="32"/>
  <c r="L73" i="32"/>
  <c r="K73" i="32"/>
  <c r="J73" i="32"/>
  <c r="I73" i="32"/>
  <c r="DU63" i="9"/>
  <c r="HA63" i="9" s="1"/>
  <c r="IC63" i="9"/>
  <c r="DT63" i="9"/>
  <c r="GX63" i="9" s="1"/>
  <c r="BD63" i="9"/>
  <c r="L66" i="30"/>
  <c r="K66" i="30"/>
  <c r="J66" i="30"/>
  <c r="I66" i="30"/>
  <c r="H66" i="30"/>
  <c r="HZ64" i="9"/>
  <c r="BD64" i="9"/>
  <c r="DI64" i="9"/>
  <c r="GL64" i="9" s="1"/>
  <c r="IA64" i="9"/>
  <c r="DH64" i="9"/>
  <c r="GI64" i="9" s="1"/>
  <c r="IC64" i="9"/>
  <c r="IB64" i="9"/>
  <c r="EN65" i="9"/>
  <c r="HS65" i="9" s="1"/>
  <c r="DI66" i="9"/>
  <c r="GL66" i="9" s="1"/>
  <c r="ID66" i="9"/>
  <c r="T17" i="12"/>
  <c r="U17" i="12" s="1"/>
  <c r="DX68" i="9"/>
  <c r="FF68" i="9"/>
  <c r="DW68" i="9"/>
  <c r="DY68" i="9"/>
  <c r="W77" i="25"/>
  <c r="L4" i="30"/>
  <c r="K4" i="30"/>
  <c r="J4" i="30"/>
  <c r="I4" i="30"/>
  <c r="H4" i="30"/>
  <c r="DH75" i="9"/>
  <c r="GI75" i="9" s="1"/>
  <c r="IB75" i="9"/>
  <c r="DK75" i="9"/>
  <c r="GR75" i="9" s="1"/>
  <c r="FC75" i="9"/>
  <c r="IA75" i="9"/>
  <c r="DI75" i="9"/>
  <c r="GL75" i="9" s="1"/>
  <c r="HZ75" i="9"/>
  <c r="ID75" i="9"/>
  <c r="IC75" i="9"/>
  <c r="T94" i="24"/>
  <c r="S5" i="17"/>
  <c r="Q59" i="12"/>
  <c r="R59" i="12" s="1"/>
  <c r="N59" i="12"/>
  <c r="O59" i="12" s="1"/>
  <c r="DN79" i="9"/>
  <c r="FC79" i="9"/>
  <c r="DP79" i="9"/>
  <c r="DO79" i="9"/>
  <c r="BI79" i="9"/>
  <c r="V3" i="23"/>
  <c r="L18" i="36"/>
  <c r="K18" i="36"/>
  <c r="J18" i="36"/>
  <c r="I18" i="36"/>
  <c r="H18" i="36"/>
  <c r="EO29" i="9"/>
  <c r="HZ10" i="9"/>
  <c r="GU11" i="9"/>
  <c r="V3" i="25"/>
  <c r="EB10" i="9"/>
  <c r="HD10" i="9" s="1"/>
  <c r="EG15" i="9"/>
  <c r="J43" i="32"/>
  <c r="H3" i="32"/>
  <c r="I43" i="32"/>
  <c r="H43" i="32"/>
  <c r="I3" i="32"/>
  <c r="K43" i="32"/>
  <c r="J3" i="32"/>
  <c r="L3" i="32"/>
  <c r="K3" i="32"/>
  <c r="L43" i="32"/>
  <c r="EI8" i="9"/>
  <c r="GU8" i="9"/>
  <c r="BD9" i="9"/>
  <c r="DM9" i="9"/>
  <c r="ED10" i="9"/>
  <c r="DH11" i="9"/>
  <c r="GO11" i="9"/>
  <c r="ID12" i="9"/>
  <c r="S42" i="17"/>
  <c r="N25" i="12"/>
  <c r="O25" i="12" s="1"/>
  <c r="Q25" i="12"/>
  <c r="R25" i="12" s="1"/>
  <c r="DU13" i="9"/>
  <c r="EO13" i="9"/>
  <c r="FF13" i="9"/>
  <c r="HM13" i="9"/>
  <c r="IB13" i="9"/>
  <c r="L17" i="36"/>
  <c r="K17" i="36"/>
  <c r="J17" i="36"/>
  <c r="I17" i="36"/>
  <c r="H17" i="36"/>
  <c r="EM14" i="9"/>
  <c r="GI14" i="9"/>
  <c r="HZ14" i="9"/>
  <c r="L21" i="32"/>
  <c r="K21" i="32"/>
  <c r="J21" i="32"/>
  <c r="I21" i="32"/>
  <c r="H21" i="32"/>
  <c r="EI15" i="9"/>
  <c r="GU15" i="9"/>
  <c r="BD16" i="9"/>
  <c r="DM16" i="9"/>
  <c r="ED17" i="9"/>
  <c r="FL17" i="9"/>
  <c r="HS17" i="9"/>
  <c r="DH18" i="9"/>
  <c r="GO18" i="9"/>
  <c r="ID19" i="9"/>
  <c r="DU20" i="9"/>
  <c r="HA20" i="9" s="1"/>
  <c r="EO20" i="9"/>
  <c r="HV20" i="9" s="1"/>
  <c r="FF20" i="9"/>
  <c r="IB20" i="9"/>
  <c r="DU23" i="9"/>
  <c r="HA23" i="9" s="1"/>
  <c r="BD24" i="9"/>
  <c r="DN24" i="9"/>
  <c r="FC24" i="9"/>
  <c r="ED26" i="9"/>
  <c r="HJ26" i="9" s="1"/>
  <c r="DT27" i="9"/>
  <c r="GX27" i="9" s="1"/>
  <c r="DK28" i="9"/>
  <c r="DK30" i="9"/>
  <c r="GR30" i="9" s="1"/>
  <c r="DK31" i="9"/>
  <c r="DH32" i="9"/>
  <c r="GI32" i="9" s="1"/>
  <c r="EJ33" i="9"/>
  <c r="DT34" i="9"/>
  <c r="GX34" i="9" s="1"/>
  <c r="EG35" i="9"/>
  <c r="FC35" i="9"/>
  <c r="HV35" i="9"/>
  <c r="EO36" i="9"/>
  <c r="HV36" i="9" s="1"/>
  <c r="IC36" i="9"/>
  <c r="DP39" i="9"/>
  <c r="BI42" i="9"/>
  <c r="DN45" i="9"/>
  <c r="H68" i="34"/>
  <c r="L68" i="34"/>
  <c r="K68" i="34"/>
  <c r="I68" i="34"/>
  <c r="J68" i="34"/>
  <c r="FC47" i="9"/>
  <c r="L64" i="32"/>
  <c r="K64" i="32"/>
  <c r="I64" i="32"/>
  <c r="J64" i="32"/>
  <c r="H64" i="32"/>
  <c r="DS48" i="9"/>
  <c r="GU48" i="9" s="1"/>
  <c r="DU48" i="9"/>
  <c r="HA48" i="9" s="1"/>
  <c r="W63" i="12"/>
  <c r="X63" i="12" s="1"/>
  <c r="EH50" i="9"/>
  <c r="FI50" i="9"/>
  <c r="EJ50" i="9"/>
  <c r="BI50" i="9"/>
  <c r="ED50" i="9"/>
  <c r="HJ50" i="9" s="1"/>
  <c r="T68" i="12"/>
  <c r="U68" i="12" s="1"/>
  <c r="DX51" i="9"/>
  <c r="IA51" i="9"/>
  <c r="H46" i="34"/>
  <c r="L46" i="34"/>
  <c r="K46" i="34"/>
  <c r="J46" i="34"/>
  <c r="I46" i="34"/>
  <c r="ED53" i="9"/>
  <c r="HJ53" i="9" s="1"/>
  <c r="IA53" i="9"/>
  <c r="EE53" i="9"/>
  <c r="HM53" i="9" s="1"/>
  <c r="ES55" i="9"/>
  <c r="DH56" i="9"/>
  <c r="GI56" i="9" s="1"/>
  <c r="DN57" i="9"/>
  <c r="S100" i="17"/>
  <c r="N26" i="12"/>
  <c r="O26" i="12" s="1"/>
  <c r="Q26" i="12"/>
  <c r="R26" i="12" s="1"/>
  <c r="DM58" i="9"/>
  <c r="DN58" i="9"/>
  <c r="BI58" i="9"/>
  <c r="DO58" i="9"/>
  <c r="BD60" i="9"/>
  <c r="ID62" i="9"/>
  <c r="L39" i="34"/>
  <c r="K39" i="34"/>
  <c r="J39" i="34"/>
  <c r="I39" i="34"/>
  <c r="H39" i="34"/>
  <c r="EB63" i="9"/>
  <c r="HD63" i="9" s="1"/>
  <c r="ED63" i="9"/>
  <c r="HJ63" i="9" s="1"/>
  <c r="HZ65" i="9"/>
  <c r="DK66" i="9"/>
  <c r="GR66" i="9" s="1"/>
  <c r="L49" i="34"/>
  <c r="J49" i="34"/>
  <c r="I49" i="34"/>
  <c r="H49" i="34"/>
  <c r="K49" i="34"/>
  <c r="EB70" i="9"/>
  <c r="HD70" i="9" s="1"/>
  <c r="EE70" i="9"/>
  <c r="HM70" i="9" s="1"/>
  <c r="EC70" i="9"/>
  <c r="HG70" i="9" s="1"/>
  <c r="EI70" i="9"/>
  <c r="EG8" i="9"/>
  <c r="S53" i="17"/>
  <c r="N11" i="12"/>
  <c r="O11" i="12" s="1"/>
  <c r="Q11" i="12"/>
  <c r="R11" i="12" s="1"/>
  <c r="I16" i="32"/>
  <c r="H16" i="32"/>
  <c r="K16" i="32"/>
  <c r="J16" i="32"/>
  <c r="L16" i="32"/>
  <c r="H103" i="34"/>
  <c r="I103" i="34"/>
  <c r="L103" i="34"/>
  <c r="J103" i="34"/>
  <c r="L3" i="34"/>
  <c r="K3" i="34"/>
  <c r="J3" i="34"/>
  <c r="I3" i="34"/>
  <c r="K103" i="34"/>
  <c r="H3" i="34"/>
  <c r="EJ8" i="9"/>
  <c r="Z3" i="23"/>
  <c r="AA3" i="22"/>
  <c r="HJ8" i="9"/>
  <c r="DN9" i="9"/>
  <c r="EE10" i="9"/>
  <c r="DI11" i="9"/>
  <c r="ES12" i="9"/>
  <c r="FI12" i="9"/>
  <c r="HP12" i="9"/>
  <c r="DW13" i="9"/>
  <c r="IC13" i="9"/>
  <c r="DT14" i="9"/>
  <c r="EN14" i="9"/>
  <c r="GX14" i="9"/>
  <c r="IA14" i="9"/>
  <c r="L36" i="34"/>
  <c r="K36" i="34"/>
  <c r="J36" i="34"/>
  <c r="I36" i="34"/>
  <c r="H36" i="34"/>
  <c r="EJ15" i="9"/>
  <c r="HJ15" i="9"/>
  <c r="L50" i="30"/>
  <c r="K50" i="30"/>
  <c r="J50" i="30"/>
  <c r="I50" i="30"/>
  <c r="H50" i="30"/>
  <c r="DN16" i="9"/>
  <c r="EE17" i="9"/>
  <c r="DI18" i="9"/>
  <c r="ES19" i="9"/>
  <c r="FI19" i="9"/>
  <c r="HP19" i="9"/>
  <c r="DW20" i="9"/>
  <c r="I28" i="36"/>
  <c r="H28" i="36"/>
  <c r="L28" i="36"/>
  <c r="K28" i="36"/>
  <c r="J28" i="36"/>
  <c r="EO22" i="9"/>
  <c r="HV22" i="9" s="1"/>
  <c r="S32" i="17"/>
  <c r="Q87" i="12"/>
  <c r="R87" i="12" s="1"/>
  <c r="N87" i="12"/>
  <c r="O87" i="12" s="1"/>
  <c r="DW23" i="9"/>
  <c r="FI23" i="9"/>
  <c r="I27" i="30"/>
  <c r="H27" i="30"/>
  <c r="L27" i="30"/>
  <c r="K27" i="30"/>
  <c r="J27" i="30"/>
  <c r="DI24" i="9"/>
  <c r="DO24" i="9"/>
  <c r="ID24" i="9"/>
  <c r="DW25" i="9"/>
  <c r="HZ26" i="9"/>
  <c r="S51" i="17"/>
  <c r="Q5" i="12"/>
  <c r="R5" i="12" s="1"/>
  <c r="N5" i="12"/>
  <c r="O5" i="12" s="1"/>
  <c r="DU27" i="9"/>
  <c r="HA27" i="9" s="1"/>
  <c r="FI27" i="9"/>
  <c r="BD28" i="9"/>
  <c r="EM29" i="9"/>
  <c r="BD30" i="9"/>
  <c r="BD31" i="9"/>
  <c r="DI32" i="9"/>
  <c r="GL32" i="9" s="1"/>
  <c r="EE34" i="9"/>
  <c r="HM34" i="9" s="1"/>
  <c r="ED34" i="9"/>
  <c r="HJ34" i="9" s="1"/>
  <c r="ID34" i="9"/>
  <c r="Z19" i="12"/>
  <c r="AA19" i="12" s="1"/>
  <c r="FL35" i="9"/>
  <c r="EB36" i="9"/>
  <c r="HD36" i="9" s="1"/>
  <c r="FI36" i="9"/>
  <c r="ER37" i="9"/>
  <c r="EQ37" i="9"/>
  <c r="BD39" i="9"/>
  <c r="IA41" i="9"/>
  <c r="S34" i="17"/>
  <c r="Q55" i="12"/>
  <c r="R55" i="12" s="1"/>
  <c r="N55" i="12"/>
  <c r="O55" i="12" s="1"/>
  <c r="DM42" i="9"/>
  <c r="L35" i="30"/>
  <c r="K35" i="30"/>
  <c r="J35" i="30"/>
  <c r="I35" i="30"/>
  <c r="H35" i="30"/>
  <c r="DI45" i="9"/>
  <c r="GL45" i="9" s="1"/>
  <c r="IC45" i="9"/>
  <c r="IB45" i="9"/>
  <c r="IA45" i="9"/>
  <c r="DP45" i="9"/>
  <c r="J89" i="30"/>
  <c r="L89" i="30"/>
  <c r="K89" i="30"/>
  <c r="I89" i="30"/>
  <c r="H89" i="30"/>
  <c r="DJ47" i="9"/>
  <c r="GO47" i="9" s="1"/>
  <c r="HZ47" i="9"/>
  <c r="DI47" i="9"/>
  <c r="GL47" i="9" s="1"/>
  <c r="DH47" i="9"/>
  <c r="GI47" i="9" s="1"/>
  <c r="ID47" i="9"/>
  <c r="IC47" i="9"/>
  <c r="K28" i="32"/>
  <c r="J28" i="32"/>
  <c r="I28" i="32"/>
  <c r="H28" i="32"/>
  <c r="L28" i="32"/>
  <c r="DT49" i="9"/>
  <c r="GX49" i="9" s="1"/>
  <c r="IA49" i="9"/>
  <c r="BD49" i="9"/>
  <c r="HZ49" i="9"/>
  <c r="DW49" i="9"/>
  <c r="EE50" i="9"/>
  <c r="HM50" i="9" s="1"/>
  <c r="W68" i="12"/>
  <c r="X68" i="12" s="1"/>
  <c r="EI51" i="9"/>
  <c r="EG51" i="9"/>
  <c r="EJ51" i="9"/>
  <c r="IB51" i="9"/>
  <c r="L64" i="36"/>
  <c r="K64" i="36"/>
  <c r="J64" i="36"/>
  <c r="I64" i="36"/>
  <c r="H64" i="36"/>
  <c r="EO53" i="9"/>
  <c r="HV53" i="9" s="1"/>
  <c r="EN53" i="9"/>
  <c r="HS53" i="9" s="1"/>
  <c r="T30" i="12"/>
  <c r="U30" i="12" s="1"/>
  <c r="FF54" i="9"/>
  <c r="DY54" i="9"/>
  <c r="DW54" i="9"/>
  <c r="DI56" i="9"/>
  <c r="V5" i="26"/>
  <c r="S102" i="17"/>
  <c r="Q65" i="12"/>
  <c r="R65" i="12" s="1"/>
  <c r="N65" i="12"/>
  <c r="O65" i="12" s="1"/>
  <c r="DM59" i="9"/>
  <c r="FC59" i="9"/>
  <c r="H57" i="30"/>
  <c r="L57" i="30"/>
  <c r="K57" i="30"/>
  <c r="J57" i="30"/>
  <c r="I57" i="30"/>
  <c r="DH60" i="9"/>
  <c r="GI60" i="9" s="1"/>
  <c r="DK60" i="9"/>
  <c r="GR60" i="9" s="1"/>
  <c r="IA60" i="9"/>
  <c r="ID60" i="9"/>
  <c r="J62" i="34"/>
  <c r="H62" i="34"/>
  <c r="L62" i="34"/>
  <c r="K62" i="34"/>
  <c r="I62" i="34"/>
  <c r="EE64" i="9"/>
  <c r="HM64" i="9" s="1"/>
  <c r="EC64" i="9"/>
  <c r="HG64" i="9" s="1"/>
  <c r="ED64" i="9"/>
  <c r="HJ64" i="9" s="1"/>
  <c r="IA65" i="9"/>
  <c r="Z17" i="12"/>
  <c r="AA17" i="12" s="1"/>
  <c r="FL68" i="9"/>
  <c r="ER68" i="9"/>
  <c r="EQ68" i="9"/>
  <c r="ES68" i="9"/>
  <c r="DX69" i="9"/>
  <c r="EJ70" i="9"/>
  <c r="Z71" i="12"/>
  <c r="AA71" i="12" s="1"/>
  <c r="ER93" i="9"/>
  <c r="FL93" i="9"/>
  <c r="EQ93" i="9"/>
  <c r="ES93" i="9"/>
  <c r="IB41" i="9"/>
  <c r="FF42" i="9"/>
  <c r="BK44" i="9"/>
  <c r="EB46" i="9"/>
  <c r="HD46" i="9" s="1"/>
  <c r="FC46" i="9"/>
  <c r="H101" i="36"/>
  <c r="L101" i="36"/>
  <c r="K101" i="36"/>
  <c r="J101" i="36"/>
  <c r="I101" i="36"/>
  <c r="EN48" i="9"/>
  <c r="HS48" i="9" s="1"/>
  <c r="K71" i="34"/>
  <c r="H71" i="34"/>
  <c r="L71" i="34"/>
  <c r="J71" i="34"/>
  <c r="I71" i="34"/>
  <c r="EB49" i="9"/>
  <c r="HD49" i="9" s="1"/>
  <c r="EE49" i="9"/>
  <c r="HM49" i="9" s="1"/>
  <c r="EC49" i="9"/>
  <c r="HG49" i="9" s="1"/>
  <c r="FI49" i="9"/>
  <c r="IC49" i="9"/>
  <c r="EG50" i="9"/>
  <c r="FL50" i="9"/>
  <c r="IA50" i="9"/>
  <c r="IC51" i="9"/>
  <c r="H17" i="32"/>
  <c r="K17" i="32"/>
  <c r="J17" i="32"/>
  <c r="I17" i="32"/>
  <c r="L17" i="32"/>
  <c r="DS52" i="9"/>
  <c r="GU52" i="9" s="1"/>
  <c r="IC52" i="9"/>
  <c r="DT52" i="9"/>
  <c r="GX52" i="9" s="1"/>
  <c r="BI53" i="9"/>
  <c r="X63" i="23"/>
  <c r="DK56" i="9"/>
  <c r="J34" i="32"/>
  <c r="I34" i="32"/>
  <c r="H34" i="32"/>
  <c r="K34" i="32"/>
  <c r="L34" i="32"/>
  <c r="DU60" i="9"/>
  <c r="HA60" i="9" s="1"/>
  <c r="DT60" i="9"/>
  <c r="GX60" i="9" s="1"/>
  <c r="DS61" i="9"/>
  <c r="GU61" i="9" s="1"/>
  <c r="BI63" i="9"/>
  <c r="IC65" i="9"/>
  <c r="BI70" i="9"/>
  <c r="U40" i="23"/>
  <c r="HZ29" i="9"/>
  <c r="DY36" i="9"/>
  <c r="DX36" i="9"/>
  <c r="L3" i="28"/>
  <c r="EM8" i="9"/>
  <c r="U3" i="23"/>
  <c r="HZ8" i="9"/>
  <c r="DO9" i="9"/>
  <c r="DJ11" i="9"/>
  <c r="HA13" i="9"/>
  <c r="ID13" i="9"/>
  <c r="S43" i="17"/>
  <c r="Q29" i="12"/>
  <c r="R29" i="12" s="1"/>
  <c r="N29" i="12"/>
  <c r="O29" i="12" s="1"/>
  <c r="FF14" i="9"/>
  <c r="BD17" i="9"/>
  <c r="EG17" i="9"/>
  <c r="BI22" i="9"/>
  <c r="EQ22" i="9"/>
  <c r="DX23" i="9"/>
  <c r="DP24" i="9"/>
  <c r="IA26" i="9"/>
  <c r="L45" i="30"/>
  <c r="K45" i="30"/>
  <c r="J45" i="30"/>
  <c r="I45" i="30"/>
  <c r="H45" i="30"/>
  <c r="IC28" i="9"/>
  <c r="L18" i="30"/>
  <c r="I18" i="30"/>
  <c r="H18" i="30"/>
  <c r="J18" i="30"/>
  <c r="K18" i="30"/>
  <c r="ID29" i="9"/>
  <c r="IB29" i="9"/>
  <c r="EN29" i="9"/>
  <c r="H58" i="30"/>
  <c r="I58" i="30"/>
  <c r="L58" i="30"/>
  <c r="K58" i="30"/>
  <c r="J58" i="30"/>
  <c r="IB30" i="9"/>
  <c r="HZ30" i="9"/>
  <c r="H70" i="30"/>
  <c r="I70" i="30"/>
  <c r="L70" i="30"/>
  <c r="J70" i="30"/>
  <c r="K70" i="30"/>
  <c r="IB31" i="9"/>
  <c r="HZ31" i="9"/>
  <c r="HS31" i="9"/>
  <c r="DJ32" i="9"/>
  <c r="GO32" i="9" s="1"/>
  <c r="DW34" i="9"/>
  <c r="BI8" i="9"/>
  <c r="DT8" i="9"/>
  <c r="GX8" i="9"/>
  <c r="IA8" i="9"/>
  <c r="DP9" i="9"/>
  <c r="EH10" i="9"/>
  <c r="DK11" i="9"/>
  <c r="EE11" i="9"/>
  <c r="GR11" i="9"/>
  <c r="DI12" i="9"/>
  <c r="DY13" i="9"/>
  <c r="ES13" i="9"/>
  <c r="FI13" i="9"/>
  <c r="HP13" i="9"/>
  <c r="DW14" i="9"/>
  <c r="EQ14" i="9"/>
  <c r="GL14" i="9"/>
  <c r="IC14" i="9"/>
  <c r="BI15" i="9"/>
  <c r="DT15" i="9"/>
  <c r="GX15" i="9"/>
  <c r="IA15" i="9"/>
  <c r="L41" i="34"/>
  <c r="K41" i="34"/>
  <c r="J41" i="34"/>
  <c r="I41" i="34"/>
  <c r="H41" i="34"/>
  <c r="DP16" i="9"/>
  <c r="FC16" i="9"/>
  <c r="HJ16" i="9"/>
  <c r="H56" i="30"/>
  <c r="I56" i="30"/>
  <c r="L56" i="30"/>
  <c r="K56" i="30"/>
  <c r="J56" i="30"/>
  <c r="EH17" i="9"/>
  <c r="HV17" i="9"/>
  <c r="DK18" i="9"/>
  <c r="EE18" i="9"/>
  <c r="GR18" i="9"/>
  <c r="DI19" i="9"/>
  <c r="S35" i="17"/>
  <c r="Q18" i="12"/>
  <c r="R18" i="12" s="1"/>
  <c r="N18" i="12"/>
  <c r="O18" i="12" s="1"/>
  <c r="FC22" i="9"/>
  <c r="DP22" i="9"/>
  <c r="ER22" i="9"/>
  <c r="FI22" i="9"/>
  <c r="DY23" i="9"/>
  <c r="K25" i="34"/>
  <c r="J25" i="34"/>
  <c r="I25" i="34"/>
  <c r="H25" i="34"/>
  <c r="L25" i="34"/>
  <c r="EC24" i="9"/>
  <c r="FF24" i="9"/>
  <c r="EB25" i="9"/>
  <c r="HD25" i="9" s="1"/>
  <c r="BD26" i="9"/>
  <c r="EH26" i="9"/>
  <c r="K19" i="32"/>
  <c r="J19" i="32"/>
  <c r="I19" i="32"/>
  <c r="H19" i="32"/>
  <c r="L19" i="32"/>
  <c r="DO28" i="9"/>
  <c r="L12" i="32"/>
  <c r="K12" i="32"/>
  <c r="J12" i="32"/>
  <c r="I12" i="32"/>
  <c r="H12" i="32"/>
  <c r="DU29" i="9"/>
  <c r="DS29" i="9"/>
  <c r="K42" i="32"/>
  <c r="J42" i="32"/>
  <c r="I42" i="32"/>
  <c r="H42" i="32"/>
  <c r="L42" i="32"/>
  <c r="DU30" i="9"/>
  <c r="HA30" i="9" s="1"/>
  <c r="DS30" i="9"/>
  <c r="GU30" i="9" s="1"/>
  <c r="J29" i="32"/>
  <c r="I29" i="32"/>
  <c r="H29" i="32"/>
  <c r="L29" i="32"/>
  <c r="K29" i="32"/>
  <c r="DU31" i="9"/>
  <c r="DS31" i="9"/>
  <c r="DK32" i="9"/>
  <c r="GR32" i="9" s="1"/>
  <c r="EG32" i="9"/>
  <c r="FC32" i="9"/>
  <c r="FI33" i="9"/>
  <c r="HZ33" i="9"/>
  <c r="BI34" i="9"/>
  <c r="DX34" i="9"/>
  <c r="DM35" i="9"/>
  <c r="EJ35" i="9"/>
  <c r="FF35" i="9"/>
  <c r="HZ35" i="9"/>
  <c r="BI36" i="9"/>
  <c r="DI37" i="9"/>
  <c r="GL37" i="9" s="1"/>
  <c r="FC37" i="9"/>
  <c r="DU38" i="9"/>
  <c r="HA38" i="9" s="1"/>
  <c r="DT38" i="9"/>
  <c r="GX38" i="9" s="1"/>
  <c r="DS38" i="9"/>
  <c r="GU38" i="9" s="1"/>
  <c r="DX39" i="9"/>
  <c r="FC39" i="9"/>
  <c r="FL40" i="9"/>
  <c r="W55" i="12"/>
  <c r="X55" i="12" s="1"/>
  <c r="EH42" i="9"/>
  <c r="EI42" i="9"/>
  <c r="FI42" i="9"/>
  <c r="EG42" i="9"/>
  <c r="L35" i="32"/>
  <c r="K35" i="32"/>
  <c r="J35" i="32"/>
  <c r="I35" i="32"/>
  <c r="H35" i="32"/>
  <c r="DT43" i="9"/>
  <c r="GX43" i="9" s="1"/>
  <c r="ID43" i="9"/>
  <c r="BD43" i="9"/>
  <c r="BL44" i="9"/>
  <c r="T58" i="12"/>
  <c r="U58" i="12" s="1"/>
  <c r="FF46" i="9"/>
  <c r="DX46" i="9"/>
  <c r="DW46" i="9"/>
  <c r="BI46" i="9"/>
  <c r="EC46" i="9"/>
  <c r="HG46" i="9" s="1"/>
  <c r="L39" i="36"/>
  <c r="K39" i="36"/>
  <c r="J39" i="36"/>
  <c r="I39" i="36"/>
  <c r="H39" i="36"/>
  <c r="EO49" i="9"/>
  <c r="HV49" i="9" s="1"/>
  <c r="EN49" i="9"/>
  <c r="HS49" i="9" s="1"/>
  <c r="EM49" i="9"/>
  <c r="HP49" i="9" s="1"/>
  <c r="ED49" i="9"/>
  <c r="HJ49" i="9" s="1"/>
  <c r="EI50" i="9"/>
  <c r="ID50" i="9"/>
  <c r="L40" i="34"/>
  <c r="K40" i="34"/>
  <c r="J40" i="34"/>
  <c r="I40" i="34"/>
  <c r="H40" i="34"/>
  <c r="EB52" i="9"/>
  <c r="HD52" i="9" s="1"/>
  <c r="DU52" i="9"/>
  <c r="HA52" i="9" s="1"/>
  <c r="EB53" i="9"/>
  <c r="HD53" i="9" s="1"/>
  <c r="Z30" i="12"/>
  <c r="AA30" i="12" s="1"/>
  <c r="ER54" i="9"/>
  <c r="ES56" i="9"/>
  <c r="Z26" i="12"/>
  <c r="AA26" i="12" s="1"/>
  <c r="FL58" i="9"/>
  <c r="EQ58" i="9"/>
  <c r="ES58" i="9"/>
  <c r="EM59" i="9"/>
  <c r="HP59" i="9" s="1"/>
  <c r="FF60" i="9"/>
  <c r="DT61" i="9"/>
  <c r="GX61" i="9" s="1"/>
  <c r="EC63" i="9"/>
  <c r="HG63" i="9" s="1"/>
  <c r="BI64" i="9"/>
  <c r="T4" i="26"/>
  <c r="U71" i="26"/>
  <c r="K78" i="32"/>
  <c r="L78" i="32"/>
  <c r="J78" i="32"/>
  <c r="I78" i="32"/>
  <c r="H78" i="32"/>
  <c r="BD41" i="9"/>
  <c r="HZ41" i="9"/>
  <c r="DU41" i="9"/>
  <c r="HA41" i="9" s="1"/>
  <c r="DT41" i="9"/>
  <c r="GX41" i="9" s="1"/>
  <c r="T62" i="12"/>
  <c r="U62" i="12" s="1"/>
  <c r="DX49" i="9"/>
  <c r="FF49" i="9"/>
  <c r="J3" i="36"/>
  <c r="I3" i="36"/>
  <c r="H3" i="36"/>
  <c r="L16" i="36"/>
  <c r="K16" i="36"/>
  <c r="J16" i="36"/>
  <c r="I16" i="36"/>
  <c r="H16" i="36"/>
  <c r="L3" i="36"/>
  <c r="K3" i="36"/>
  <c r="EG10" i="9"/>
  <c r="DU14" i="9"/>
  <c r="IB14" i="9"/>
  <c r="I42" i="36"/>
  <c r="H42" i="36"/>
  <c r="L42" i="36"/>
  <c r="K42" i="36"/>
  <c r="J42" i="36"/>
  <c r="EM15" i="9"/>
  <c r="HZ15" i="9"/>
  <c r="L62" i="32"/>
  <c r="K62" i="32"/>
  <c r="J62" i="32"/>
  <c r="I62" i="32"/>
  <c r="H62" i="32"/>
  <c r="DO16" i="9"/>
  <c r="HG17" i="9"/>
  <c r="DJ18" i="9"/>
  <c r="L7" i="32"/>
  <c r="K7" i="32"/>
  <c r="J7" i="32"/>
  <c r="I7" i="32"/>
  <c r="H7" i="32"/>
  <c r="IC38" i="9"/>
  <c r="HZ38" i="9"/>
  <c r="IA39" i="9"/>
  <c r="HZ39" i="9"/>
  <c r="DJ39" i="9"/>
  <c r="GO39" i="9" s="1"/>
  <c r="DI39" i="9"/>
  <c r="GL39" i="9" s="1"/>
  <c r="DH39" i="9"/>
  <c r="GI39" i="9" s="1"/>
  <c r="ID39" i="9"/>
  <c r="IC39" i="9"/>
  <c r="S83" i="17"/>
  <c r="P3" i="17"/>
  <c r="O3" i="17"/>
  <c r="N3" i="17"/>
  <c r="M3" i="17"/>
  <c r="Q3" i="12"/>
  <c r="N3" i="12"/>
  <c r="Q13" i="12"/>
  <c r="R13" i="12" s="1"/>
  <c r="N13" i="12"/>
  <c r="O13" i="12" s="1"/>
  <c r="DU8" i="9"/>
  <c r="EO8" i="9"/>
  <c r="FF8" i="9"/>
  <c r="HM8" i="9"/>
  <c r="IB8" i="9"/>
  <c r="BD11" i="9"/>
  <c r="DM11" i="9"/>
  <c r="EG11" i="9"/>
  <c r="HG11" i="9"/>
  <c r="DJ12" i="9"/>
  <c r="ED12" i="9"/>
  <c r="FL12" i="9"/>
  <c r="HS12" i="9"/>
  <c r="DH13" i="9"/>
  <c r="EB13" i="9"/>
  <c r="GO13" i="9"/>
  <c r="DX14" i="9"/>
  <c r="ER14" i="9"/>
  <c r="HA14" i="9"/>
  <c r="ID14" i="9"/>
  <c r="S67" i="17"/>
  <c r="Q46" i="12"/>
  <c r="R46" i="12" s="1"/>
  <c r="N46" i="12"/>
  <c r="O46" i="12" s="1"/>
  <c r="DU15" i="9"/>
  <c r="EO15" i="9"/>
  <c r="FF15" i="9"/>
  <c r="HM15" i="9"/>
  <c r="IB15" i="9"/>
  <c r="L67" i="36"/>
  <c r="K67" i="36"/>
  <c r="I67" i="36"/>
  <c r="H67" i="36"/>
  <c r="J67" i="36"/>
  <c r="DS16" i="9"/>
  <c r="EM16" i="9"/>
  <c r="GI16" i="9"/>
  <c r="HZ16" i="9"/>
  <c r="L63" i="32"/>
  <c r="K63" i="32"/>
  <c r="J63" i="32"/>
  <c r="I63" i="32"/>
  <c r="H63" i="32"/>
  <c r="DO17" i="9"/>
  <c r="EI17" i="9"/>
  <c r="GU17" i="9"/>
  <c r="BD18" i="9"/>
  <c r="DM18" i="9"/>
  <c r="EG18" i="9"/>
  <c r="HG18" i="9"/>
  <c r="DJ19" i="9"/>
  <c r="ED19" i="9"/>
  <c r="FL19" i="9"/>
  <c r="HS19" i="9"/>
  <c r="DX22" i="9"/>
  <c r="ES22" i="9"/>
  <c r="EB23" i="9"/>
  <c r="HD23" i="9" s="1"/>
  <c r="L32" i="36"/>
  <c r="K32" i="36"/>
  <c r="J32" i="36"/>
  <c r="I32" i="36"/>
  <c r="H32" i="36"/>
  <c r="DT24" i="9"/>
  <c r="EO24" i="9"/>
  <c r="IC26" i="9"/>
  <c r="DN26" i="9"/>
  <c r="ID26" i="9"/>
  <c r="Z5" i="12"/>
  <c r="AA5" i="12" s="1"/>
  <c r="EQ27" i="9"/>
  <c r="EB27" i="9"/>
  <c r="HD27" i="9" s="1"/>
  <c r="FL27" i="9"/>
  <c r="H30" i="34"/>
  <c r="L30" i="34"/>
  <c r="J30" i="34"/>
  <c r="K30" i="34"/>
  <c r="I30" i="34"/>
  <c r="DP28" i="9"/>
  <c r="EM28" i="9"/>
  <c r="FF28" i="9"/>
  <c r="L18" i="34"/>
  <c r="H18" i="34"/>
  <c r="K18" i="34"/>
  <c r="J18" i="34"/>
  <c r="I18" i="34"/>
  <c r="DT29" i="9"/>
  <c r="K52" i="34"/>
  <c r="I52" i="34"/>
  <c r="H52" i="34"/>
  <c r="L52" i="34"/>
  <c r="J52" i="34"/>
  <c r="K61" i="34"/>
  <c r="I61" i="34"/>
  <c r="H61" i="34"/>
  <c r="L61" i="34"/>
  <c r="J61" i="34"/>
  <c r="BD32" i="9"/>
  <c r="DM32" i="9"/>
  <c r="EH32" i="9"/>
  <c r="BD33" i="9"/>
  <c r="DN35" i="9"/>
  <c r="EM35" i="9"/>
  <c r="GR35" i="9"/>
  <c r="IA35" i="9"/>
  <c r="DW36" i="9"/>
  <c r="DJ37" i="9"/>
  <c r="GO37" i="9" s="1"/>
  <c r="DW38" i="9"/>
  <c r="ES38" i="9"/>
  <c r="EE39" i="9"/>
  <c r="HM39" i="9" s="1"/>
  <c r="ED39" i="9"/>
  <c r="HJ39" i="9" s="1"/>
  <c r="EC39" i="9"/>
  <c r="HG39" i="9" s="1"/>
  <c r="DY39" i="9"/>
  <c r="DH40" i="9"/>
  <c r="GI40" i="9" s="1"/>
  <c r="ID41" i="9"/>
  <c r="Z55" i="12"/>
  <c r="AA55" i="12" s="1"/>
  <c r="ER42" i="9"/>
  <c r="EQ42" i="9"/>
  <c r="EJ42" i="9"/>
  <c r="L89" i="34"/>
  <c r="K89" i="34"/>
  <c r="J89" i="34"/>
  <c r="I89" i="34"/>
  <c r="H89" i="34"/>
  <c r="EC43" i="9"/>
  <c r="HG43" i="9" s="1"/>
  <c r="ED43" i="9"/>
  <c r="HJ43" i="9" s="1"/>
  <c r="DX43" i="9"/>
  <c r="L35" i="36"/>
  <c r="K35" i="36"/>
  <c r="J35" i="36"/>
  <c r="I35" i="36"/>
  <c r="H35" i="36"/>
  <c r="HZ45" i="9"/>
  <c r="W58" i="12"/>
  <c r="X58" i="12" s="1"/>
  <c r="EG46" i="9"/>
  <c r="EJ46" i="9"/>
  <c r="ED46" i="9"/>
  <c r="HJ46" i="9" s="1"/>
  <c r="S92" i="17"/>
  <c r="Q103" i="12"/>
  <c r="R103" i="12" s="1"/>
  <c r="N103" i="12"/>
  <c r="O103" i="12" s="1"/>
  <c r="DM48" i="9"/>
  <c r="DP48" i="9"/>
  <c r="FC48" i="9"/>
  <c r="S84" i="17"/>
  <c r="Q62" i="12"/>
  <c r="R62" i="12" s="1"/>
  <c r="N62" i="12"/>
  <c r="O62" i="12" s="1"/>
  <c r="BI49" i="9"/>
  <c r="DO49" i="9"/>
  <c r="DN49" i="9"/>
  <c r="DM49" i="9"/>
  <c r="EM50" i="9"/>
  <c r="HP50" i="9" s="1"/>
  <c r="T37" i="12"/>
  <c r="U37" i="12" s="1"/>
  <c r="DX53" i="9"/>
  <c r="DY53" i="9"/>
  <c r="EC53" i="9"/>
  <c r="HG53" i="9" s="1"/>
  <c r="IB53" i="9"/>
  <c r="EQ54" i="9"/>
  <c r="DS55" i="9"/>
  <c r="GU55" i="9" s="1"/>
  <c r="DT55" i="9"/>
  <c r="GX55" i="9" s="1"/>
  <c r="BD55" i="9"/>
  <c r="DU55" i="9"/>
  <c r="HA55" i="9" s="1"/>
  <c r="EN57" i="9"/>
  <c r="HS57" i="9" s="1"/>
  <c r="EO57" i="9"/>
  <c r="HV57" i="9" s="1"/>
  <c r="IA57" i="9"/>
  <c r="DW57" i="9"/>
  <c r="EN59" i="9"/>
  <c r="HS59" i="9" s="1"/>
  <c r="IA62" i="9"/>
  <c r="T50" i="12"/>
  <c r="U50" i="12" s="1"/>
  <c r="FF63" i="9"/>
  <c r="DX63" i="9"/>
  <c r="EE63" i="9"/>
  <c r="HM63" i="9" s="1"/>
  <c r="EQ64" i="9"/>
  <c r="ID64" i="9"/>
  <c r="T79" i="12"/>
  <c r="U79" i="12" s="1"/>
  <c r="FF70" i="9"/>
  <c r="L77" i="36"/>
  <c r="K77" i="36"/>
  <c r="J77" i="36"/>
  <c r="I77" i="36"/>
  <c r="H77" i="36"/>
  <c r="EO72" i="9"/>
  <c r="HV72" i="9" s="1"/>
  <c r="W43" i="12"/>
  <c r="X43" i="12" s="1"/>
  <c r="EG73" i="9"/>
  <c r="EH73" i="9"/>
  <c r="EJ73" i="9"/>
  <c r="T8" i="12"/>
  <c r="U8" i="12" s="1"/>
  <c r="DX76" i="9"/>
  <c r="FF76" i="9"/>
  <c r="DY76" i="9"/>
  <c r="U25" i="23"/>
  <c r="DT85" i="9"/>
  <c r="GX85" i="9" s="1"/>
  <c r="DS85" i="9"/>
  <c r="GU85" i="9" s="1"/>
  <c r="H67" i="34"/>
  <c r="L67" i="34"/>
  <c r="K67" i="34"/>
  <c r="J67" i="34"/>
  <c r="I67" i="34"/>
  <c r="EB91" i="9"/>
  <c r="HD91" i="9" s="1"/>
  <c r="EE91" i="9"/>
  <c r="HM91" i="9" s="1"/>
  <c r="EC91" i="9"/>
  <c r="HG91" i="9" s="1"/>
  <c r="ED91" i="9"/>
  <c r="HJ91" i="9" s="1"/>
  <c r="T9" i="12"/>
  <c r="U9" i="12" s="1"/>
  <c r="DX101" i="9"/>
  <c r="FF101" i="9"/>
  <c r="DW101" i="9"/>
  <c r="BI101" i="9"/>
  <c r="T98" i="26"/>
  <c r="H73" i="36"/>
  <c r="K73" i="36"/>
  <c r="J73" i="36"/>
  <c r="I73" i="36"/>
  <c r="L73" i="36"/>
  <c r="FL124" i="9"/>
  <c r="EO124" i="9"/>
  <c r="HV124" i="9" s="1"/>
  <c r="EN124" i="9"/>
  <c r="HS124" i="9" s="1"/>
  <c r="EM124" i="9"/>
  <c r="HP124" i="9" s="1"/>
  <c r="IA124" i="9"/>
  <c r="BD124" i="9"/>
  <c r="IC124" i="9"/>
  <c r="L26" i="34"/>
  <c r="J26" i="34"/>
  <c r="I26" i="34"/>
  <c r="H26" i="34"/>
  <c r="K26" i="34"/>
  <c r="DW27" i="9"/>
  <c r="DW28" i="9"/>
  <c r="EQ28" i="9"/>
  <c r="K56" i="36"/>
  <c r="J56" i="36"/>
  <c r="I56" i="36"/>
  <c r="H56" i="36"/>
  <c r="L56" i="36"/>
  <c r="EM30" i="9"/>
  <c r="HP30" i="9" s="1"/>
  <c r="K75" i="36"/>
  <c r="J75" i="36"/>
  <c r="I75" i="36"/>
  <c r="H75" i="36"/>
  <c r="L75" i="36"/>
  <c r="EM31" i="9"/>
  <c r="ER36" i="9"/>
  <c r="FF37" i="9"/>
  <c r="EM38" i="9"/>
  <c r="HP38" i="9" s="1"/>
  <c r="FC40" i="9"/>
  <c r="DP40" i="9"/>
  <c r="L65" i="36"/>
  <c r="K65" i="36"/>
  <c r="J65" i="36"/>
  <c r="I65" i="36"/>
  <c r="H65" i="36"/>
  <c r="I79" i="32"/>
  <c r="H79" i="32"/>
  <c r="J79" i="32"/>
  <c r="L79" i="32"/>
  <c r="K79" i="32"/>
  <c r="DS42" i="9"/>
  <c r="GU42" i="9" s="1"/>
  <c r="DY45" i="9"/>
  <c r="L33" i="36"/>
  <c r="K33" i="36"/>
  <c r="J33" i="36"/>
  <c r="I33" i="36"/>
  <c r="H33" i="36"/>
  <c r="EM46" i="9"/>
  <c r="HP46" i="9" s="1"/>
  <c r="K56" i="32"/>
  <c r="J56" i="32"/>
  <c r="I56" i="32"/>
  <c r="H56" i="32"/>
  <c r="L56" i="32"/>
  <c r="DS47" i="9"/>
  <c r="GU47" i="9" s="1"/>
  <c r="T103" i="12"/>
  <c r="U103" i="12" s="1"/>
  <c r="FF48" i="9"/>
  <c r="Z68" i="12"/>
  <c r="AA68" i="12" s="1"/>
  <c r="EQ51" i="9"/>
  <c r="EQ57" i="9"/>
  <c r="DJ58" i="9"/>
  <c r="GO58" i="9" s="1"/>
  <c r="IA58" i="9"/>
  <c r="EC59" i="9"/>
  <c r="HG59" i="9" s="1"/>
  <c r="K55" i="34"/>
  <c r="I55" i="34"/>
  <c r="H55" i="34"/>
  <c r="L55" i="34"/>
  <c r="J55" i="34"/>
  <c r="EB60" i="9"/>
  <c r="HD60" i="9" s="1"/>
  <c r="EC60" i="9"/>
  <c r="HG60" i="9" s="1"/>
  <c r="J58" i="34"/>
  <c r="L58" i="34"/>
  <c r="I58" i="34"/>
  <c r="H58" i="34"/>
  <c r="K58" i="34"/>
  <c r="ED61" i="9"/>
  <c r="HJ61" i="9" s="1"/>
  <c r="FI61" i="9"/>
  <c r="DN64" i="9"/>
  <c r="T52" i="12"/>
  <c r="U52" i="12" s="1"/>
  <c r="DW65" i="9"/>
  <c r="L23" i="34"/>
  <c r="K23" i="34"/>
  <c r="J23" i="34"/>
  <c r="I23" i="34"/>
  <c r="H23" i="34"/>
  <c r="EB66" i="9"/>
  <c r="HD66" i="9" s="1"/>
  <c r="EC66" i="9"/>
  <c r="HG66" i="9" s="1"/>
  <c r="ED66" i="9"/>
  <c r="HJ66" i="9" s="1"/>
  <c r="L75" i="32"/>
  <c r="K75" i="32"/>
  <c r="J75" i="32"/>
  <c r="I75" i="32"/>
  <c r="H75" i="32"/>
  <c r="DT68" i="9"/>
  <c r="GX68" i="9" s="1"/>
  <c r="DU68" i="9"/>
  <c r="HA68" i="9" s="1"/>
  <c r="DH69" i="9"/>
  <c r="GI69" i="9" s="1"/>
  <c r="IB69" i="9"/>
  <c r="W73" i="12"/>
  <c r="X73" i="12" s="1"/>
  <c r="EI72" i="9"/>
  <c r="EJ72" i="9"/>
  <c r="EH72" i="9"/>
  <c r="BI72" i="9"/>
  <c r="U61" i="25"/>
  <c r="I4" i="32"/>
  <c r="H4" i="32"/>
  <c r="J4" i="32"/>
  <c r="L4" i="32"/>
  <c r="K4" i="32"/>
  <c r="X12" i="23"/>
  <c r="DW79" i="9"/>
  <c r="DX80" i="9"/>
  <c r="S48" i="17"/>
  <c r="Q21" i="12"/>
  <c r="R21" i="12" s="1"/>
  <c r="N21" i="12"/>
  <c r="O21" i="12" s="1"/>
  <c r="DN84" i="9"/>
  <c r="BI84" i="9"/>
  <c r="DP84" i="9"/>
  <c r="DO84" i="9"/>
  <c r="FC84" i="9"/>
  <c r="W24" i="25"/>
  <c r="U93" i="26"/>
  <c r="DW37" i="9"/>
  <c r="FF40" i="9"/>
  <c r="DY40" i="9"/>
  <c r="K43" i="34"/>
  <c r="L43" i="34"/>
  <c r="J43" i="34"/>
  <c r="I43" i="34"/>
  <c r="H43" i="34"/>
  <c r="EE42" i="9"/>
  <c r="HM42" i="9" s="1"/>
  <c r="H54" i="12"/>
  <c r="BH44" i="9"/>
  <c r="W61" i="12"/>
  <c r="X61" i="12" s="1"/>
  <c r="EI45" i="9"/>
  <c r="EB45" i="9"/>
  <c r="HD45" i="9" s="1"/>
  <c r="L98" i="34"/>
  <c r="K98" i="34"/>
  <c r="J98" i="34"/>
  <c r="I98" i="34"/>
  <c r="H98" i="34"/>
  <c r="ED47" i="9"/>
  <c r="HJ47" i="9" s="1"/>
  <c r="EE47" i="9"/>
  <c r="HM47" i="9" s="1"/>
  <c r="W103" i="12"/>
  <c r="X103" i="12" s="1"/>
  <c r="EH48" i="9"/>
  <c r="S95" i="17"/>
  <c r="Q32" i="12"/>
  <c r="R32" i="12" s="1"/>
  <c r="N32" i="12"/>
  <c r="O32" i="12" s="1"/>
  <c r="K67" i="30"/>
  <c r="J67" i="30"/>
  <c r="I67" i="30"/>
  <c r="H67" i="30"/>
  <c r="L67" i="30"/>
  <c r="ID53" i="9"/>
  <c r="DH53" i="9"/>
  <c r="GI53" i="9" s="1"/>
  <c r="HZ53" i="9"/>
  <c r="BI55" i="9"/>
  <c r="DN55" i="9"/>
  <c r="T27" i="12"/>
  <c r="U27" i="12" s="1"/>
  <c r="DX56" i="9"/>
  <c r="ER57" i="9"/>
  <c r="FL57" i="9"/>
  <c r="DK58" i="9"/>
  <c r="GR58" i="9" s="1"/>
  <c r="IB58" i="9"/>
  <c r="L52" i="36"/>
  <c r="K52" i="36"/>
  <c r="J52" i="36"/>
  <c r="I52" i="36"/>
  <c r="H52" i="36"/>
  <c r="J57" i="36"/>
  <c r="I57" i="36"/>
  <c r="H57" i="36"/>
  <c r="L57" i="36"/>
  <c r="K57" i="36"/>
  <c r="EM61" i="9"/>
  <c r="HP61" i="9" s="1"/>
  <c r="EN61" i="9"/>
  <c r="HS61" i="9" s="1"/>
  <c r="DW61" i="9"/>
  <c r="HZ62" i="9"/>
  <c r="GO63" i="9"/>
  <c r="W52" i="12"/>
  <c r="X52" i="12" s="1"/>
  <c r="EI65" i="9"/>
  <c r="FI65" i="9"/>
  <c r="EH65" i="9"/>
  <c r="L34" i="36"/>
  <c r="K34" i="36"/>
  <c r="J34" i="36"/>
  <c r="I34" i="36"/>
  <c r="H34" i="36"/>
  <c r="EO66" i="9"/>
  <c r="HV66" i="9" s="1"/>
  <c r="EN66" i="9"/>
  <c r="HS66" i="9" s="1"/>
  <c r="L22" i="34"/>
  <c r="K22" i="34"/>
  <c r="J22" i="34"/>
  <c r="I22" i="34"/>
  <c r="H22" i="34"/>
  <c r="ED68" i="9"/>
  <c r="HJ68" i="9" s="1"/>
  <c r="EE68" i="9"/>
  <c r="HM68" i="9" s="1"/>
  <c r="EB68" i="9"/>
  <c r="HD68" i="9" s="1"/>
  <c r="HZ69" i="9"/>
  <c r="FI72" i="9"/>
  <c r="DJ74" i="9"/>
  <c r="GO74" i="9" s="1"/>
  <c r="ID74" i="9"/>
  <c r="IA74" i="9"/>
  <c r="BD74" i="9"/>
  <c r="HZ74" i="9"/>
  <c r="IB74" i="9"/>
  <c r="DI74" i="9"/>
  <c r="GL74" i="9" s="1"/>
  <c r="FC74" i="9"/>
  <c r="L4" i="34"/>
  <c r="J4" i="34"/>
  <c r="K4" i="34"/>
  <c r="I4" i="34"/>
  <c r="H4" i="34"/>
  <c r="EB75" i="9"/>
  <c r="HD75" i="9" s="1"/>
  <c r="EC75" i="9"/>
  <c r="HG75" i="9" s="1"/>
  <c r="EE75" i="9"/>
  <c r="HM75" i="9" s="1"/>
  <c r="ED75" i="9"/>
  <c r="HJ75" i="9" s="1"/>
  <c r="DX79" i="9"/>
  <c r="EB80" i="9"/>
  <c r="HD80" i="9" s="1"/>
  <c r="EC80" i="9"/>
  <c r="HG80" i="9" s="1"/>
  <c r="FI80" i="9"/>
  <c r="IC80" i="9"/>
  <c r="ED80" i="9"/>
  <c r="HJ80" i="9" s="1"/>
  <c r="BD80" i="9"/>
  <c r="HM81" i="9"/>
  <c r="T16" i="12"/>
  <c r="U16" i="12" s="1"/>
  <c r="FF87" i="9"/>
  <c r="DW87" i="9"/>
  <c r="DY87" i="9"/>
  <c r="DX87" i="9"/>
  <c r="BI87" i="9"/>
  <c r="X88" i="9"/>
  <c r="U91" i="24"/>
  <c r="L48" i="32"/>
  <c r="K48" i="32"/>
  <c r="J48" i="32"/>
  <c r="I48" i="32"/>
  <c r="H48" i="32"/>
  <c r="DU139" i="9"/>
  <c r="DS139" i="9"/>
  <c r="DT139" i="9"/>
  <c r="ES28" i="9"/>
  <c r="S52" i="17"/>
  <c r="Q80" i="12"/>
  <c r="R80" i="12" s="1"/>
  <c r="N80" i="12"/>
  <c r="O80" i="12" s="1"/>
  <c r="S47" i="17"/>
  <c r="Q77" i="12"/>
  <c r="R77" i="12" s="1"/>
  <c r="N77" i="12"/>
  <c r="O77" i="12" s="1"/>
  <c r="S33" i="17"/>
  <c r="Q51" i="12"/>
  <c r="R51" i="12" s="1"/>
  <c r="N51" i="12"/>
  <c r="O51" i="12" s="1"/>
  <c r="DN41" i="9"/>
  <c r="L55" i="36"/>
  <c r="K55" i="36"/>
  <c r="J55" i="36"/>
  <c r="I55" i="36"/>
  <c r="H55" i="36"/>
  <c r="DU42" i="9"/>
  <c r="HA42" i="9" s="1"/>
  <c r="L63" i="30"/>
  <c r="K63" i="30"/>
  <c r="J63" i="30"/>
  <c r="I63" i="30"/>
  <c r="H63" i="30"/>
  <c r="DI43" i="9"/>
  <c r="GL43" i="9" s="1"/>
  <c r="S14" i="14"/>
  <c r="S44" i="13"/>
  <c r="S17" i="14"/>
  <c r="S6" i="14"/>
  <c r="S43" i="13"/>
  <c r="S16" i="14"/>
  <c r="S19" i="14"/>
  <c r="S41" i="13"/>
  <c r="S9" i="14"/>
  <c r="S8" i="14"/>
  <c r="S15" i="14"/>
  <c r="S11" i="14"/>
  <c r="S10" i="14"/>
  <c r="S12" i="14"/>
  <c r="S13" i="14"/>
  <c r="S38" i="13"/>
  <c r="S47" i="13"/>
  <c r="S39" i="13"/>
  <c r="S29" i="13"/>
  <c r="S24" i="13"/>
  <c r="S42" i="13"/>
  <c r="S33" i="13"/>
  <c r="S40" i="13"/>
  <c r="S36" i="13"/>
  <c r="S23" i="13"/>
  <c r="S46" i="13"/>
  <c r="S45" i="13"/>
  <c r="S32" i="13"/>
  <c r="S27" i="13"/>
  <c r="S18" i="14"/>
  <c r="S37" i="13"/>
  <c r="S22" i="13"/>
  <c r="S31" i="13"/>
  <c r="S26" i="13"/>
  <c r="S30" i="13"/>
  <c r="S20" i="13"/>
  <c r="S13" i="13" a="1"/>
  <c r="S13" i="13" s="1"/>
  <c r="S35" i="13"/>
  <c r="S17" i="13"/>
  <c r="S34" i="13"/>
  <c r="S16" i="13"/>
  <c r="S12" i="13"/>
  <c r="S25" i="13"/>
  <c r="S21" i="13"/>
  <c r="S15" i="13"/>
  <c r="S11" i="13"/>
  <c r="S19" i="13"/>
  <c r="S6" i="13"/>
  <c r="S14" i="13" a="1"/>
  <c r="S14" i="13" s="1"/>
  <c r="S10" i="13"/>
  <c r="S18" i="13"/>
  <c r="S9" i="13"/>
  <c r="S19" i="11"/>
  <c r="S17" i="11"/>
  <c r="S15" i="11"/>
  <c r="S13" i="11"/>
  <c r="S8" i="13"/>
  <c r="S28" i="13"/>
  <c r="S20" i="11"/>
  <c r="S18" i="11"/>
  <c r="S16" i="11"/>
  <c r="S14" i="11"/>
  <c r="S12" i="11"/>
  <c r="S11" i="11"/>
  <c r="S8" i="11"/>
  <c r="S41" i="10"/>
  <c r="S39" i="10"/>
  <c r="S37" i="10"/>
  <c r="S35" i="10"/>
  <c r="S33" i="10"/>
  <c r="S31" i="10"/>
  <c r="S10" i="11"/>
  <c r="S9" i="11"/>
  <c r="S40" i="10"/>
  <c r="S38" i="10"/>
  <c r="S36" i="10"/>
  <c r="S34" i="10"/>
  <c r="S42" i="10"/>
  <c r="S32" i="10"/>
  <c r="S29" i="10"/>
  <c r="S28" i="10"/>
  <c r="S26" i="10"/>
  <c r="S24" i="10"/>
  <c r="S22" i="10"/>
  <c r="S20" i="10"/>
  <c r="S18" i="10"/>
  <c r="S16" i="10"/>
  <c r="S14" i="10"/>
  <c r="S12" i="10"/>
  <c r="S10" i="10"/>
  <c r="S8" i="10"/>
  <c r="S30" i="10"/>
  <c r="S27" i="10"/>
  <c r="S25" i="10"/>
  <c r="S23" i="10"/>
  <c r="S21" i="10"/>
  <c r="S19" i="10"/>
  <c r="S17" i="10"/>
  <c r="S15" i="10"/>
  <c r="S11" i="10"/>
  <c r="S13" i="10"/>
  <c r="S9" i="10"/>
  <c r="S73" i="17"/>
  <c r="Q58" i="12"/>
  <c r="R58" i="12" s="1"/>
  <c r="N58" i="12"/>
  <c r="O58" i="12" s="1"/>
  <c r="DM46" i="9"/>
  <c r="DP46" i="9"/>
  <c r="L91" i="36"/>
  <c r="K91" i="36"/>
  <c r="J91" i="36"/>
  <c r="I91" i="36"/>
  <c r="H91" i="36"/>
  <c r="DU47" i="9"/>
  <c r="HA47" i="9" s="1"/>
  <c r="J40" i="30"/>
  <c r="I40" i="30"/>
  <c r="H40" i="30"/>
  <c r="K40" i="30"/>
  <c r="L40" i="30"/>
  <c r="ID49" i="9"/>
  <c r="IB49" i="9"/>
  <c r="T63" i="12"/>
  <c r="U63" i="12" s="1"/>
  <c r="FF50" i="9"/>
  <c r="DY50" i="9"/>
  <c r="DY52" i="9"/>
  <c r="K70" i="32"/>
  <c r="J70" i="32"/>
  <c r="I70" i="32"/>
  <c r="H70" i="32"/>
  <c r="L70" i="32"/>
  <c r="DU53" i="9"/>
  <c r="HA53" i="9" s="1"/>
  <c r="Z65" i="12"/>
  <c r="AA65" i="12" s="1"/>
  <c r="FL59" i="9"/>
  <c r="S99" i="17"/>
  <c r="N42" i="12"/>
  <c r="O42" i="12" s="1"/>
  <c r="Q42" i="12"/>
  <c r="R42" i="12" s="1"/>
  <c r="BI60" i="9"/>
  <c r="FC60" i="9"/>
  <c r="T44" i="12"/>
  <c r="U44" i="12" s="1"/>
  <c r="FF62" i="9"/>
  <c r="DX62" i="9"/>
  <c r="EJ65" i="9"/>
  <c r="L20" i="32"/>
  <c r="K20" i="32"/>
  <c r="J20" i="32"/>
  <c r="I20" i="32"/>
  <c r="H20" i="32"/>
  <c r="FF67" i="9"/>
  <c r="HZ67" i="9"/>
  <c r="DT67" i="9"/>
  <c r="GX67" i="9" s="1"/>
  <c r="DU67" i="9"/>
  <c r="HA67" i="9" s="1"/>
  <c r="EC68" i="9"/>
  <c r="HG68" i="9" s="1"/>
  <c r="IA69" i="9"/>
  <c r="DS74" i="9"/>
  <c r="GU74" i="9" s="1"/>
  <c r="DT74" i="9"/>
  <c r="GX74" i="9" s="1"/>
  <c r="DU74" i="9"/>
  <c r="HA74" i="9" s="1"/>
  <c r="EO80" i="9"/>
  <c r="HV80" i="9" s="1"/>
  <c r="EN80" i="9"/>
  <c r="HS80" i="9" s="1"/>
  <c r="EM80" i="9"/>
  <c r="HP80" i="9" s="1"/>
  <c r="EE80" i="9"/>
  <c r="HM80" i="9" s="1"/>
  <c r="S45" i="17"/>
  <c r="Q66" i="12"/>
  <c r="R66" i="12" s="1"/>
  <c r="N66" i="12"/>
  <c r="O66" i="12" s="1"/>
  <c r="DO81" i="9"/>
  <c r="BI81" i="9"/>
  <c r="DN81" i="9"/>
  <c r="DP81" i="9"/>
  <c r="DM81" i="9"/>
  <c r="FC81" i="9"/>
  <c r="GO81" i="9"/>
  <c r="W16" i="12"/>
  <c r="X16" i="12" s="1"/>
  <c r="EG87" i="9"/>
  <c r="FI87" i="9"/>
  <c r="EI87" i="9"/>
  <c r="EH87" i="9"/>
  <c r="W45" i="12"/>
  <c r="X45" i="12" s="1"/>
  <c r="EG89" i="9"/>
  <c r="FI89" i="9"/>
  <c r="EJ89" i="9"/>
  <c r="EI89" i="9"/>
  <c r="BI89" i="9"/>
  <c r="EH89" i="9"/>
  <c r="L77" i="32"/>
  <c r="K77" i="32"/>
  <c r="I77" i="32"/>
  <c r="J77" i="32"/>
  <c r="H77" i="32"/>
  <c r="DU77" i="9"/>
  <c r="HA77" i="9" s="1"/>
  <c r="DT77" i="9"/>
  <c r="GX77" i="9" s="1"/>
  <c r="DS77" i="9"/>
  <c r="GU77" i="9" s="1"/>
  <c r="L41" i="32"/>
  <c r="K41" i="32"/>
  <c r="J41" i="32"/>
  <c r="I41" i="32"/>
  <c r="H41" i="32"/>
  <c r="DS79" i="9"/>
  <c r="GU79" i="9" s="1"/>
  <c r="DT79" i="9"/>
  <c r="GX79" i="9" s="1"/>
  <c r="DU79" i="9"/>
  <c r="HA79" i="9" s="1"/>
  <c r="BD79" i="9"/>
  <c r="IB79" i="9"/>
  <c r="T66" i="12"/>
  <c r="U66" i="12" s="1"/>
  <c r="DW81" i="9"/>
  <c r="DX81" i="9"/>
  <c r="Z21" i="12"/>
  <c r="AA21" i="12" s="1"/>
  <c r="ES84" i="9"/>
  <c r="ER84" i="9"/>
  <c r="EQ84" i="9"/>
  <c r="Z74" i="12"/>
  <c r="AA74" i="12" s="1"/>
  <c r="ER105" i="9"/>
  <c r="FL105" i="9"/>
  <c r="BI105" i="9"/>
  <c r="EQ105" i="9"/>
  <c r="ES105" i="9"/>
  <c r="L6" i="30"/>
  <c r="K6" i="30"/>
  <c r="J6" i="30"/>
  <c r="I6" i="30"/>
  <c r="H6" i="30"/>
  <c r="BD58" i="9"/>
  <c r="ID58" i="9"/>
  <c r="DH58" i="9"/>
  <c r="GI58" i="9" s="1"/>
  <c r="T47" i="12"/>
  <c r="U47" i="12" s="1"/>
  <c r="DX61" i="9"/>
  <c r="FF61" i="9"/>
  <c r="Z44" i="12"/>
  <c r="AA44" i="12" s="1"/>
  <c r="EQ62" i="9"/>
  <c r="L74" i="32"/>
  <c r="K74" i="32"/>
  <c r="J74" i="32"/>
  <c r="I74" i="32"/>
  <c r="H74" i="32"/>
  <c r="DS64" i="9"/>
  <c r="GU64" i="9" s="1"/>
  <c r="L8" i="36"/>
  <c r="K8" i="36"/>
  <c r="J8" i="36"/>
  <c r="I8" i="36"/>
  <c r="H8" i="36"/>
  <c r="EM67" i="9"/>
  <c r="HP67" i="9" s="1"/>
  <c r="T97" i="12"/>
  <c r="U97" i="12" s="1"/>
  <c r="DX71" i="9"/>
  <c r="DY71" i="9"/>
  <c r="EM72" i="9"/>
  <c r="HP72" i="9" s="1"/>
  <c r="EN74" i="9"/>
  <c r="HS74" i="9" s="1"/>
  <c r="EM74" i="9"/>
  <c r="HP74" i="9" s="1"/>
  <c r="EO74" i="9"/>
  <c r="HV74" i="9" s="1"/>
  <c r="DW80" i="9"/>
  <c r="FF80" i="9"/>
  <c r="HP81" i="9"/>
  <c r="W4" i="12"/>
  <c r="X4" i="12" s="1"/>
  <c r="EH75" i="9"/>
  <c r="EJ75" i="9"/>
  <c r="EI75" i="9"/>
  <c r="X90" i="9"/>
  <c r="HS90" i="9" s="1"/>
  <c r="W26" i="23"/>
  <c r="T86" i="12"/>
  <c r="U86" i="12" s="1"/>
  <c r="FF138" i="9"/>
  <c r="DY138" i="9"/>
  <c r="DX138" i="9"/>
  <c r="DW138" i="9"/>
  <c r="X89" i="9"/>
  <c r="HS89" i="9" s="1"/>
  <c r="L38" i="32"/>
  <c r="K38" i="32"/>
  <c r="J38" i="32"/>
  <c r="I38" i="32"/>
  <c r="H38" i="32"/>
  <c r="DT135" i="9"/>
  <c r="GX135" i="9" s="1"/>
  <c r="DU135" i="9"/>
  <c r="HA135" i="9" s="1"/>
  <c r="DS135" i="9"/>
  <c r="GU135" i="9" s="1"/>
  <c r="FF135" i="9"/>
  <c r="U59" i="24"/>
  <c r="L101" i="30"/>
  <c r="I101" i="30"/>
  <c r="J101" i="30"/>
  <c r="H101" i="30"/>
  <c r="K101" i="30"/>
  <c r="DH48" i="9"/>
  <c r="GI48" i="9" s="1"/>
  <c r="IB48" i="9"/>
  <c r="IC48" i="9"/>
  <c r="I33" i="32"/>
  <c r="H33" i="32"/>
  <c r="J33" i="32"/>
  <c r="L33" i="32"/>
  <c r="K33" i="32"/>
  <c r="DS51" i="9"/>
  <c r="GU51" i="9" s="1"/>
  <c r="DU51" i="9"/>
  <c r="HA51" i="9" s="1"/>
  <c r="DT51" i="9"/>
  <c r="GX51" i="9" s="1"/>
  <c r="L38" i="30"/>
  <c r="K38" i="30"/>
  <c r="J38" i="30"/>
  <c r="I38" i="30"/>
  <c r="H38" i="30"/>
  <c r="DJ59" i="9"/>
  <c r="GO59" i="9" s="1"/>
  <c r="IB59" i="9"/>
  <c r="DK59" i="9"/>
  <c r="GR59" i="9" s="1"/>
  <c r="ID59" i="9"/>
  <c r="FL62" i="9"/>
  <c r="H45" i="36"/>
  <c r="L45" i="36"/>
  <c r="K45" i="36"/>
  <c r="J45" i="36"/>
  <c r="I45" i="36"/>
  <c r="EO63" i="9"/>
  <c r="HV63" i="9" s="1"/>
  <c r="EM63" i="9"/>
  <c r="HP63" i="9" s="1"/>
  <c r="S38" i="17"/>
  <c r="N53" i="12"/>
  <c r="O53" i="12" s="1"/>
  <c r="Q53" i="12"/>
  <c r="R53" i="12" s="1"/>
  <c r="DM64" i="9"/>
  <c r="DO64" i="9"/>
  <c r="DY70" i="9"/>
  <c r="EI73" i="9"/>
  <c r="EJ74" i="9"/>
  <c r="EH74" i="9"/>
  <c r="EG74" i="9"/>
  <c r="U15" i="25"/>
  <c r="W6" i="12"/>
  <c r="X6" i="12" s="1"/>
  <c r="FI77" i="9"/>
  <c r="EH77" i="9"/>
  <c r="BI77" i="9"/>
  <c r="EI77" i="9"/>
  <c r="EJ77" i="9"/>
  <c r="T59" i="12"/>
  <c r="U59" i="12" s="1"/>
  <c r="DY79" i="9"/>
  <c r="FF81" i="9"/>
  <c r="T10" i="12"/>
  <c r="U10" i="12" s="1"/>
  <c r="DW82" i="9"/>
  <c r="DX82" i="9"/>
  <c r="BI82" i="9"/>
  <c r="FF82" i="9"/>
  <c r="DY82" i="9"/>
  <c r="ID124" i="9"/>
  <c r="V101" i="24"/>
  <c r="W10" i="12"/>
  <c r="X10" i="12" s="1"/>
  <c r="EG82" i="9"/>
  <c r="FI82" i="9"/>
  <c r="EJ82" i="9"/>
  <c r="V6" i="26"/>
  <c r="U29" i="24"/>
  <c r="Z28" i="12"/>
  <c r="AA28" i="12" s="1"/>
  <c r="ER94" i="9"/>
  <c r="ES94" i="9"/>
  <c r="FL94" i="9"/>
  <c r="BI94" i="9"/>
  <c r="S14" i="17"/>
  <c r="Q75" i="12"/>
  <c r="R75" i="12" s="1"/>
  <c r="N75" i="12"/>
  <c r="O75" i="12" s="1"/>
  <c r="BI137" i="9"/>
  <c r="FC137" i="9"/>
  <c r="DN137" i="9"/>
  <c r="DP137" i="9"/>
  <c r="DO137" i="9"/>
  <c r="DM137" i="9"/>
  <c r="L70" i="34"/>
  <c r="H70" i="34"/>
  <c r="K70" i="34"/>
  <c r="J70" i="34"/>
  <c r="I70" i="34"/>
  <c r="ED45" i="9"/>
  <c r="HJ45" i="9" s="1"/>
  <c r="FI45" i="9"/>
  <c r="X100" i="25"/>
  <c r="H42" i="30"/>
  <c r="I42" i="30"/>
  <c r="L42" i="30"/>
  <c r="K42" i="30"/>
  <c r="J42" i="30"/>
  <c r="IB50" i="9"/>
  <c r="IC50" i="9"/>
  <c r="BD50" i="9"/>
  <c r="DH50" i="9"/>
  <c r="GI50" i="9" s="1"/>
  <c r="HZ50" i="9"/>
  <c r="L32" i="30"/>
  <c r="K32" i="30"/>
  <c r="I32" i="30"/>
  <c r="H32" i="30"/>
  <c r="J32" i="30"/>
  <c r="DK52" i="9"/>
  <c r="GR52" i="9" s="1"/>
  <c r="IB52" i="9"/>
  <c r="T26" i="12"/>
  <c r="U26" i="12" s="1"/>
  <c r="DY58" i="9"/>
  <c r="H74" i="34"/>
  <c r="I74" i="34"/>
  <c r="L74" i="34"/>
  <c r="K74" i="34"/>
  <c r="J74" i="34"/>
  <c r="ED59" i="9"/>
  <c r="HJ59" i="9" s="1"/>
  <c r="EB59" i="9"/>
  <c r="HD59" i="9" s="1"/>
  <c r="V57" i="26"/>
  <c r="L46" i="30"/>
  <c r="K46" i="30"/>
  <c r="J46" i="30"/>
  <c r="I46" i="30"/>
  <c r="H46" i="30"/>
  <c r="DH62" i="9"/>
  <c r="GI62" i="9" s="1"/>
  <c r="IB62" i="9"/>
  <c r="BD62" i="9"/>
  <c r="IC62" i="9"/>
  <c r="ER62" i="9"/>
  <c r="DX65" i="9"/>
  <c r="DJ69" i="9"/>
  <c r="GO69" i="9" s="1"/>
  <c r="T43" i="12"/>
  <c r="U43" i="12" s="1"/>
  <c r="FF73" i="9"/>
  <c r="DX73" i="9"/>
  <c r="DH74" i="9"/>
  <c r="GI74" i="9" s="1"/>
  <c r="IC74" i="9"/>
  <c r="FI75" i="9"/>
  <c r="X78" i="9"/>
  <c r="IC79" i="9"/>
  <c r="Z10" i="12"/>
  <c r="AA10" i="12" s="1"/>
  <c r="ER82" i="9"/>
  <c r="FL82" i="9"/>
  <c r="ES82" i="9"/>
  <c r="EQ82" i="9"/>
  <c r="DU85" i="9"/>
  <c r="HA85" i="9" s="1"/>
  <c r="HZ85" i="9"/>
  <c r="ED106" i="9"/>
  <c r="HJ106" i="9" s="1"/>
  <c r="EE106" i="9"/>
  <c r="HM106" i="9" s="1"/>
  <c r="EC106" i="9"/>
  <c r="HG106" i="9" s="1"/>
  <c r="EB106" i="9"/>
  <c r="HD106" i="9" s="1"/>
  <c r="IC106" i="9"/>
  <c r="Y147" i="9"/>
  <c r="K70" i="36"/>
  <c r="J70" i="36"/>
  <c r="I70" i="36"/>
  <c r="H70" i="36"/>
  <c r="L70" i="36"/>
  <c r="EN81" i="9"/>
  <c r="HS81" i="9" s="1"/>
  <c r="ID82" i="9"/>
  <c r="K14" i="32"/>
  <c r="J14" i="32"/>
  <c r="I14" i="32"/>
  <c r="H14" i="32"/>
  <c r="L14" i="32"/>
  <c r="DS84" i="9"/>
  <c r="GU84" i="9" s="1"/>
  <c r="IB84" i="9"/>
  <c r="ID86" i="9"/>
  <c r="IB86" i="9"/>
  <c r="BD86" i="9"/>
  <c r="L82" i="30"/>
  <c r="K82" i="30"/>
  <c r="J82" i="30"/>
  <c r="I82" i="30"/>
  <c r="H82" i="30"/>
  <c r="HZ91" i="9"/>
  <c r="IA91" i="9"/>
  <c r="DK91" i="9"/>
  <c r="GR91" i="9" s="1"/>
  <c r="IC91" i="9"/>
  <c r="DI91" i="9"/>
  <c r="GL91" i="9" s="1"/>
  <c r="DH91" i="9"/>
  <c r="GI91" i="9" s="1"/>
  <c r="IB91" i="9"/>
  <c r="EG95" i="9"/>
  <c r="EH95" i="9"/>
  <c r="BI95" i="9"/>
  <c r="FF109" i="9"/>
  <c r="DX112" i="9"/>
  <c r="FF112" i="9"/>
  <c r="ID126" i="9"/>
  <c r="U80" i="26"/>
  <c r="X77" i="23"/>
  <c r="S25" i="17"/>
  <c r="N86" i="12"/>
  <c r="O86" i="12" s="1"/>
  <c r="Q86" i="12"/>
  <c r="R86" i="12" s="1"/>
  <c r="BI138" i="9"/>
  <c r="FC138" i="9"/>
  <c r="DP138" i="9"/>
  <c r="DM138" i="9"/>
  <c r="DO138" i="9"/>
  <c r="DN138" i="9"/>
  <c r="L64" i="30"/>
  <c r="K64" i="30"/>
  <c r="J64" i="30"/>
  <c r="I64" i="30"/>
  <c r="H64" i="30"/>
  <c r="DK139" i="9"/>
  <c r="DI139" i="9"/>
  <c r="IC139" i="9"/>
  <c r="IB139" i="9"/>
  <c r="IA139" i="9"/>
  <c r="HZ139" i="9"/>
  <c r="BD139" i="9"/>
  <c r="DH139" i="9"/>
  <c r="FC139" i="9"/>
  <c r="DJ139" i="9"/>
  <c r="L33" i="34"/>
  <c r="K33" i="34"/>
  <c r="J33" i="34"/>
  <c r="I33" i="34"/>
  <c r="H33" i="34"/>
  <c r="ED116" i="9"/>
  <c r="HJ116" i="9" s="1"/>
  <c r="EB116" i="9"/>
  <c r="HD116" i="9" s="1"/>
  <c r="FI116" i="9"/>
  <c r="EE116" i="9"/>
  <c r="HM116" i="9" s="1"/>
  <c r="EC116" i="9"/>
  <c r="HG116" i="9" s="1"/>
  <c r="T58" i="24"/>
  <c r="DT130" i="9"/>
  <c r="GX130" i="9" s="1"/>
  <c r="DU130" i="9"/>
  <c r="HA130" i="9" s="1"/>
  <c r="BD130" i="9"/>
  <c r="ID130" i="9"/>
  <c r="IC130" i="9"/>
  <c r="T41" i="26"/>
  <c r="ER145" i="9"/>
  <c r="DT110" i="9"/>
  <c r="GX110" i="9" s="1"/>
  <c r="IB110" i="9"/>
  <c r="IC110" i="9"/>
  <c r="S78" i="17"/>
  <c r="N72" i="12"/>
  <c r="O72" i="12" s="1"/>
  <c r="Q72" i="12"/>
  <c r="R72" i="12" s="1"/>
  <c r="BI117" i="9"/>
  <c r="FC117" i="9"/>
  <c r="DP117" i="9"/>
  <c r="DO117" i="9"/>
  <c r="DN117" i="9"/>
  <c r="IC128" i="9"/>
  <c r="HZ128" i="9"/>
  <c r="DK128" i="9"/>
  <c r="GR128" i="9" s="1"/>
  <c r="IB128" i="9"/>
  <c r="IA128" i="9"/>
  <c r="BD128" i="9"/>
  <c r="DJ128" i="9"/>
  <c r="GO128" i="9" s="1"/>
  <c r="DI128" i="9"/>
  <c r="GL128" i="9" s="1"/>
  <c r="DH128" i="9"/>
  <c r="GI128" i="9" s="1"/>
  <c r="ID128" i="9"/>
  <c r="X85" i="23"/>
  <c r="L78" i="30"/>
  <c r="K78" i="30"/>
  <c r="J78" i="30"/>
  <c r="I78" i="30"/>
  <c r="H78" i="30"/>
  <c r="DI140" i="9"/>
  <c r="GL140" i="9" s="1"/>
  <c r="IB140" i="9"/>
  <c r="IA140" i="9"/>
  <c r="HZ140" i="9"/>
  <c r="ID140" i="9"/>
  <c r="DK140" i="9"/>
  <c r="GR140" i="9" s="1"/>
  <c r="DH140" i="9"/>
  <c r="GI140" i="9" s="1"/>
  <c r="L37" i="30"/>
  <c r="K37" i="30"/>
  <c r="J37" i="30"/>
  <c r="I37" i="30"/>
  <c r="H37" i="30"/>
  <c r="ID73" i="9"/>
  <c r="HZ73" i="9"/>
  <c r="BD73" i="9"/>
  <c r="IB73" i="9"/>
  <c r="DJ73" i="9"/>
  <c r="GO73" i="9" s="1"/>
  <c r="DI73" i="9"/>
  <c r="GL73" i="9" s="1"/>
  <c r="IC73" i="9"/>
  <c r="FL74" i="9"/>
  <c r="ES74" i="9"/>
  <c r="J4" i="36"/>
  <c r="I4" i="36"/>
  <c r="H4" i="36"/>
  <c r="L4" i="36"/>
  <c r="K4" i="36"/>
  <c r="L17" i="34"/>
  <c r="K17" i="34"/>
  <c r="J17" i="34"/>
  <c r="H17" i="34"/>
  <c r="I17" i="34"/>
  <c r="EE76" i="9"/>
  <c r="HM76" i="9" s="1"/>
  <c r="HZ77" i="9"/>
  <c r="L94" i="32"/>
  <c r="K94" i="32"/>
  <c r="J94" i="32"/>
  <c r="I94" i="32"/>
  <c r="H94" i="32"/>
  <c r="DU78" i="9"/>
  <c r="HA78" i="9" s="1"/>
  <c r="ID78" i="9"/>
  <c r="Z59" i="12"/>
  <c r="AA59" i="12" s="1"/>
  <c r="FL79" i="9"/>
  <c r="ER79" i="9"/>
  <c r="DO80" i="9"/>
  <c r="BI80" i="9"/>
  <c r="DP80" i="9"/>
  <c r="FL81" i="9"/>
  <c r="ID81" i="9"/>
  <c r="DJ82" i="9"/>
  <c r="GO82" i="9" s="1"/>
  <c r="ID85" i="9"/>
  <c r="IA85" i="9"/>
  <c r="DK85" i="9"/>
  <c r="GR85" i="9" s="1"/>
  <c r="IC85" i="9"/>
  <c r="IB85" i="9"/>
  <c r="BD85" i="9"/>
  <c r="FC85" i="9"/>
  <c r="DI85" i="9"/>
  <c r="GL85" i="9" s="1"/>
  <c r="U32" i="23"/>
  <c r="T90" i="12"/>
  <c r="U90" i="12" s="1"/>
  <c r="FF90" i="9"/>
  <c r="DY90" i="9"/>
  <c r="ID91" i="9"/>
  <c r="EI100" i="9"/>
  <c r="EG100" i="9"/>
  <c r="FI100" i="9"/>
  <c r="EJ100" i="9"/>
  <c r="EH100" i="9"/>
  <c r="IC103" i="9"/>
  <c r="FF104" i="9"/>
  <c r="DS104" i="9"/>
  <c r="GU104" i="9" s="1"/>
  <c r="HZ104" i="9"/>
  <c r="IA104" i="9"/>
  <c r="X57" i="25"/>
  <c r="DU106" i="9"/>
  <c r="HA106" i="9" s="1"/>
  <c r="DS106" i="9"/>
  <c r="GU106" i="9" s="1"/>
  <c r="DT106" i="9"/>
  <c r="GX106" i="9" s="1"/>
  <c r="L81" i="30"/>
  <c r="K81" i="30"/>
  <c r="J81" i="30"/>
  <c r="I81" i="30"/>
  <c r="H81" i="30"/>
  <c r="DI127" i="9"/>
  <c r="GL127" i="9" s="1"/>
  <c r="IC127" i="9"/>
  <c r="IA127" i="9"/>
  <c r="HZ127" i="9"/>
  <c r="BD127" i="9"/>
  <c r="DH127" i="9"/>
  <c r="GI127" i="9" s="1"/>
  <c r="DJ127" i="9"/>
  <c r="GO127" i="9" s="1"/>
  <c r="ID127" i="9"/>
  <c r="IB127" i="9"/>
  <c r="T98" i="24"/>
  <c r="W106" i="12"/>
  <c r="X106" i="12" s="1"/>
  <c r="EJ145" i="9"/>
  <c r="EI145" i="9"/>
  <c r="EH145" i="9"/>
  <c r="EG145" i="9"/>
  <c r="FI145" i="9"/>
  <c r="L93" i="34"/>
  <c r="K93" i="34"/>
  <c r="J93" i="34"/>
  <c r="I93" i="34"/>
  <c r="H93" i="34"/>
  <c r="IC148" i="9"/>
  <c r="EB148" i="9"/>
  <c r="HD148" i="9" s="1"/>
  <c r="IB148" i="9"/>
  <c r="IA148" i="9"/>
  <c r="ED148" i="9"/>
  <c r="HJ148" i="9" s="1"/>
  <c r="BD148" i="9"/>
  <c r="FI148" i="9"/>
  <c r="EE148" i="9"/>
  <c r="HM148" i="9" s="1"/>
  <c r="EC148" i="9"/>
  <c r="HG148" i="9" s="1"/>
  <c r="ID148" i="9"/>
  <c r="X91" i="23"/>
  <c r="Z106" i="12"/>
  <c r="AA106" i="12" s="1"/>
  <c r="FL145" i="9"/>
  <c r="EQ145" i="9"/>
  <c r="H101" i="32"/>
  <c r="L101" i="32"/>
  <c r="J101" i="32"/>
  <c r="I101" i="32"/>
  <c r="K101" i="32"/>
  <c r="DT146" i="9"/>
  <c r="GX146" i="9" s="1"/>
  <c r="ID146" i="9"/>
  <c r="IB146" i="9"/>
  <c r="HZ146" i="9"/>
  <c r="FF146" i="9"/>
  <c r="DS146" i="9"/>
  <c r="GU146" i="9" s="1"/>
  <c r="BD146" i="9"/>
  <c r="W53" i="12"/>
  <c r="X53" i="12" s="1"/>
  <c r="EG64" i="9"/>
  <c r="L7" i="34"/>
  <c r="K7" i="34"/>
  <c r="J7" i="34"/>
  <c r="I7" i="34"/>
  <c r="H7" i="34"/>
  <c r="ED67" i="9"/>
  <c r="HJ67" i="9" s="1"/>
  <c r="DU69" i="9"/>
  <c r="HA69" i="9" s="1"/>
  <c r="DS69" i="9"/>
  <c r="GU69" i="9" s="1"/>
  <c r="H60" i="34"/>
  <c r="L60" i="34"/>
  <c r="J60" i="34"/>
  <c r="I60" i="34"/>
  <c r="K60" i="34"/>
  <c r="BD72" i="9"/>
  <c r="T61" i="24"/>
  <c r="I29" i="34"/>
  <c r="L29" i="34"/>
  <c r="K29" i="34"/>
  <c r="J29" i="34"/>
  <c r="H29" i="34"/>
  <c r="EE73" i="9"/>
  <c r="HM73" i="9" s="1"/>
  <c r="T4" i="12"/>
  <c r="U4" i="12" s="1"/>
  <c r="FF75" i="9"/>
  <c r="DX75" i="9"/>
  <c r="DW75" i="9"/>
  <c r="BI75" i="9"/>
  <c r="S54" i="17"/>
  <c r="Q8" i="12"/>
  <c r="R8" i="12" s="1"/>
  <c r="N8" i="12"/>
  <c r="O8" i="12" s="1"/>
  <c r="BI76" i="9"/>
  <c r="FC76" i="9"/>
  <c r="DN76" i="9"/>
  <c r="DM76" i="9"/>
  <c r="EC76" i="9"/>
  <c r="HG76" i="9" s="1"/>
  <c r="I13" i="34"/>
  <c r="H13" i="34"/>
  <c r="K13" i="34"/>
  <c r="J13" i="34"/>
  <c r="L13" i="34"/>
  <c r="EC77" i="9"/>
  <c r="HG77" i="9" s="1"/>
  <c r="EB77" i="9"/>
  <c r="HD77" i="9" s="1"/>
  <c r="K93" i="36"/>
  <c r="J93" i="36"/>
  <c r="L93" i="36"/>
  <c r="I93" i="36"/>
  <c r="H93" i="36"/>
  <c r="EO78" i="9"/>
  <c r="EM78" i="9"/>
  <c r="EN78" i="9"/>
  <c r="DT78" i="9"/>
  <c r="GX78" i="9" s="1"/>
  <c r="EO81" i="9"/>
  <c r="HV81" i="9" s="1"/>
  <c r="DY85" i="9"/>
  <c r="W57" i="12"/>
  <c r="X57" i="12" s="1"/>
  <c r="EI91" i="9"/>
  <c r="EG91" i="9"/>
  <c r="FI91" i="9"/>
  <c r="EJ91" i="9"/>
  <c r="EH91" i="9"/>
  <c r="T81" i="12"/>
  <c r="U81" i="12" s="1"/>
  <c r="DW92" i="9"/>
  <c r="DY92" i="9"/>
  <c r="FF92" i="9"/>
  <c r="HZ97" i="9"/>
  <c r="DU97" i="9"/>
  <c r="HA97" i="9" s="1"/>
  <c r="DT97" i="9"/>
  <c r="GX97" i="9" s="1"/>
  <c r="IC97" i="9"/>
  <c r="DS97" i="9"/>
  <c r="GU97" i="9" s="1"/>
  <c r="BD97" i="9"/>
  <c r="IB97" i="9"/>
  <c r="ID98" i="9"/>
  <c r="IB98" i="9"/>
  <c r="DJ98" i="9"/>
  <c r="GO98" i="9" s="1"/>
  <c r="DH98" i="9"/>
  <c r="GI98" i="9" s="1"/>
  <c r="BD98" i="9"/>
  <c r="DK98" i="9"/>
  <c r="GR98" i="9" s="1"/>
  <c r="DI98" i="9"/>
  <c r="GL98" i="9" s="1"/>
  <c r="FC98" i="9"/>
  <c r="HZ98" i="9"/>
  <c r="IC98" i="9"/>
  <c r="U72" i="23"/>
  <c r="BI107" i="9"/>
  <c r="EI109" i="9"/>
  <c r="U85" i="24"/>
  <c r="FF116" i="9"/>
  <c r="Z72" i="12"/>
  <c r="AA72" i="12" s="1"/>
  <c r="FL117" i="9"/>
  <c r="ES117" i="9"/>
  <c r="EQ117" i="9"/>
  <c r="ER117" i="9"/>
  <c r="DW121" i="9"/>
  <c r="V52" i="23"/>
  <c r="V68" i="24"/>
  <c r="U90" i="25"/>
  <c r="EO152" i="9"/>
  <c r="HV152" i="9" s="1"/>
  <c r="EN152" i="9"/>
  <c r="HS152" i="9" s="1"/>
  <c r="EM152" i="9"/>
  <c r="HP152" i="9" s="1"/>
  <c r="ID152" i="9"/>
  <c r="IA152" i="9"/>
  <c r="HZ152" i="9"/>
  <c r="DU98" i="9"/>
  <c r="HA98" i="9" s="1"/>
  <c r="DS98" i="9"/>
  <c r="GU98" i="9" s="1"/>
  <c r="EN103" i="9"/>
  <c r="HS103" i="9" s="1"/>
  <c r="BD103" i="9"/>
  <c r="ID103" i="9"/>
  <c r="IB103" i="9"/>
  <c r="HZ103" i="9"/>
  <c r="EO103" i="9"/>
  <c r="HV103" i="9" s="1"/>
  <c r="EM103" i="9"/>
  <c r="HP103" i="9" s="1"/>
  <c r="ED109" i="9"/>
  <c r="HJ109" i="9" s="1"/>
  <c r="EE109" i="9"/>
  <c r="HM109" i="9" s="1"/>
  <c r="EB109" i="9"/>
  <c r="HD109" i="9" s="1"/>
  <c r="IB109" i="9"/>
  <c r="EC109" i="9"/>
  <c r="HG109" i="9" s="1"/>
  <c r="T7" i="12"/>
  <c r="U7" i="12" s="1"/>
  <c r="FF113" i="9"/>
  <c r="DX113" i="9"/>
  <c r="DY113" i="9"/>
  <c r="BI113" i="9"/>
  <c r="DW113" i="9"/>
  <c r="V95" i="23"/>
  <c r="BI128" i="9"/>
  <c r="DP128" i="9"/>
  <c r="DO128" i="9"/>
  <c r="DN128" i="9"/>
  <c r="DM128" i="9"/>
  <c r="V70" i="26"/>
  <c r="I102" i="34"/>
  <c r="H102" i="34"/>
  <c r="L102" i="34"/>
  <c r="J102" i="34"/>
  <c r="K102" i="34"/>
  <c r="EC143" i="9"/>
  <c r="HG143" i="9" s="1"/>
  <c r="EE143" i="9"/>
  <c r="HM143" i="9" s="1"/>
  <c r="ED143" i="9"/>
  <c r="HJ143" i="9" s="1"/>
  <c r="EB143" i="9"/>
  <c r="HD143" i="9" s="1"/>
  <c r="HZ143" i="9"/>
  <c r="BD143" i="9"/>
  <c r="W51" i="12"/>
  <c r="X51" i="12" s="1"/>
  <c r="EH41" i="9"/>
  <c r="I61" i="36"/>
  <c r="H61" i="36"/>
  <c r="L61" i="36"/>
  <c r="K61" i="36"/>
  <c r="J61" i="36"/>
  <c r="EO43" i="9"/>
  <c r="HV43" i="9" s="1"/>
  <c r="K18" i="32"/>
  <c r="J18" i="32"/>
  <c r="I18" i="32"/>
  <c r="H18" i="32"/>
  <c r="L18" i="32"/>
  <c r="DX47" i="9"/>
  <c r="L61" i="30"/>
  <c r="K61" i="30"/>
  <c r="J61" i="30"/>
  <c r="I61" i="30"/>
  <c r="H61" i="30"/>
  <c r="HZ51" i="9"/>
  <c r="ID51" i="9"/>
  <c r="S65" i="17"/>
  <c r="Q37" i="12"/>
  <c r="R37" i="12" s="1"/>
  <c r="N37" i="12"/>
  <c r="O37" i="12" s="1"/>
  <c r="J49" i="36"/>
  <c r="I49" i="36"/>
  <c r="H49" i="36"/>
  <c r="L49" i="36"/>
  <c r="K49" i="36"/>
  <c r="EO54" i="9"/>
  <c r="HV54" i="9" s="1"/>
  <c r="HZ55" i="9"/>
  <c r="L11" i="32"/>
  <c r="K11" i="32"/>
  <c r="I11" i="32"/>
  <c r="H11" i="32"/>
  <c r="J11" i="32"/>
  <c r="DS56" i="9"/>
  <c r="W65" i="12"/>
  <c r="X65" i="12" s="1"/>
  <c r="EH59" i="9"/>
  <c r="I72" i="32"/>
  <c r="H72" i="32"/>
  <c r="L72" i="32"/>
  <c r="K72" i="32"/>
  <c r="J72" i="32"/>
  <c r="DU62" i="9"/>
  <c r="HA62" i="9" s="1"/>
  <c r="EH64" i="9"/>
  <c r="L47" i="30"/>
  <c r="K47" i="30"/>
  <c r="J47" i="30"/>
  <c r="I47" i="30"/>
  <c r="H47" i="30"/>
  <c r="DJ65" i="9"/>
  <c r="GO65" i="9" s="1"/>
  <c r="ID65" i="9"/>
  <c r="S40" i="17"/>
  <c r="Q17" i="12"/>
  <c r="R17" i="12" s="1"/>
  <c r="N17" i="12"/>
  <c r="O17" i="12" s="1"/>
  <c r="L51" i="32"/>
  <c r="J51" i="32"/>
  <c r="H51" i="32"/>
  <c r="I51" i="32"/>
  <c r="K51" i="32"/>
  <c r="DU70" i="9"/>
  <c r="HA70" i="9" s="1"/>
  <c r="DT70" i="9"/>
  <c r="GX70" i="9" s="1"/>
  <c r="DS70" i="9"/>
  <c r="GU70" i="9" s="1"/>
  <c r="EB73" i="9"/>
  <c r="HD73" i="9" s="1"/>
  <c r="EN75" i="9"/>
  <c r="HS75" i="9" s="1"/>
  <c r="FI76" i="9"/>
  <c r="EQ79" i="9"/>
  <c r="IA83" i="9"/>
  <c r="EO83" i="9"/>
  <c r="HV83" i="9" s="1"/>
  <c r="IB83" i="9"/>
  <c r="DH86" i="9"/>
  <c r="GI86" i="9" s="1"/>
  <c r="L65" i="30"/>
  <c r="K65" i="30"/>
  <c r="J65" i="30"/>
  <c r="I65" i="30"/>
  <c r="H65" i="30"/>
  <c r="IB89" i="9"/>
  <c r="HZ89" i="9"/>
  <c r="DJ89" i="9"/>
  <c r="BD89" i="9"/>
  <c r="ID89" i="9"/>
  <c r="IC89" i="9"/>
  <c r="DK89" i="9"/>
  <c r="DH89" i="9"/>
  <c r="DJ91" i="9"/>
  <c r="GO91" i="9" s="1"/>
  <c r="Y92" i="9"/>
  <c r="Z81" i="12"/>
  <c r="AA81" i="12" s="1"/>
  <c r="ES92" i="9"/>
  <c r="ER92" i="9"/>
  <c r="EQ92" i="9"/>
  <c r="FL92" i="9"/>
  <c r="FI95" i="9"/>
  <c r="ED98" i="9"/>
  <c r="HJ98" i="9" s="1"/>
  <c r="FI98" i="9"/>
  <c r="EE98" i="9"/>
  <c r="HM98" i="9" s="1"/>
  <c r="EC98" i="9"/>
  <c r="HG98" i="9" s="1"/>
  <c r="EB98" i="9"/>
  <c r="HD98" i="9" s="1"/>
  <c r="IB99" i="9"/>
  <c r="HZ99" i="9"/>
  <c r="DH99" i="9"/>
  <c r="GI99" i="9" s="1"/>
  <c r="IC99" i="9"/>
  <c r="DJ99" i="9"/>
  <c r="GO99" i="9" s="1"/>
  <c r="FC99" i="9"/>
  <c r="ID99" i="9"/>
  <c r="IA99" i="9"/>
  <c r="BD99" i="9"/>
  <c r="DK99" i="9"/>
  <c r="GR99" i="9" s="1"/>
  <c r="DW112" i="9"/>
  <c r="L51" i="36"/>
  <c r="K51" i="36"/>
  <c r="J51" i="36"/>
  <c r="I51" i="36"/>
  <c r="H51" i="36"/>
  <c r="EM115" i="9"/>
  <c r="HP115" i="9" s="1"/>
  <c r="IA115" i="9"/>
  <c r="EO115" i="9"/>
  <c r="HV115" i="9" s="1"/>
  <c r="DM117" i="9"/>
  <c r="FC131" i="9"/>
  <c r="DP131" i="9"/>
  <c r="DN131" i="9"/>
  <c r="DM131" i="9"/>
  <c r="DO131" i="9"/>
  <c r="BI131" i="9"/>
  <c r="J103" i="36"/>
  <c r="L103" i="36"/>
  <c r="K103" i="36"/>
  <c r="I103" i="36"/>
  <c r="H103" i="36"/>
  <c r="FL136" i="9"/>
  <c r="EM136" i="9"/>
  <c r="HP136" i="9" s="1"/>
  <c r="ID136" i="9"/>
  <c r="IA136" i="9"/>
  <c r="EO136" i="9"/>
  <c r="HV136" i="9" s="1"/>
  <c r="EN136" i="9"/>
  <c r="HS136" i="9" s="1"/>
  <c r="IC140" i="9"/>
  <c r="Z22" i="12"/>
  <c r="AA22" i="12" s="1"/>
  <c r="ES150" i="9"/>
  <c r="FL150" i="9"/>
  <c r="ER150" i="9"/>
  <c r="EQ150" i="9"/>
  <c r="FC152" i="9"/>
  <c r="DN152" i="9"/>
  <c r="DP152" i="9"/>
  <c r="DO152" i="9"/>
  <c r="DM152" i="9"/>
  <c r="S10" i="17"/>
  <c r="Q97" i="12"/>
  <c r="R97" i="12" s="1"/>
  <c r="N97" i="12"/>
  <c r="O97" i="12" s="1"/>
  <c r="DP71" i="9"/>
  <c r="DO71" i="9"/>
  <c r="S60" i="17"/>
  <c r="Q43" i="12"/>
  <c r="R43" i="12" s="1"/>
  <c r="N43" i="12"/>
  <c r="O43" i="12" s="1"/>
  <c r="DM73" i="9"/>
  <c r="FC73" i="9"/>
  <c r="EO75" i="9"/>
  <c r="HV75" i="9" s="1"/>
  <c r="Z8" i="12"/>
  <c r="AA8" i="12" s="1"/>
  <c r="ER76" i="9"/>
  <c r="EQ76" i="9"/>
  <c r="T76" i="12"/>
  <c r="U76" i="12" s="1"/>
  <c r="FF78" i="9"/>
  <c r="DY78" i="9"/>
  <c r="L5" i="30"/>
  <c r="K5" i="30"/>
  <c r="H5" i="30"/>
  <c r="I5" i="30"/>
  <c r="J5" i="30"/>
  <c r="BD82" i="9"/>
  <c r="GI82" i="9"/>
  <c r="IC82" i="9"/>
  <c r="IB82" i="9"/>
  <c r="DK82" i="9"/>
  <c r="GR82" i="9" s="1"/>
  <c r="IC87" i="9"/>
  <c r="FL88" i="9"/>
  <c r="ER88" i="9"/>
  <c r="L92" i="30"/>
  <c r="K92" i="30"/>
  <c r="J92" i="30"/>
  <c r="I92" i="30"/>
  <c r="H92" i="30"/>
  <c r="HZ93" i="9"/>
  <c r="DI93" i="9"/>
  <c r="GL93" i="9" s="1"/>
  <c r="IA93" i="9"/>
  <c r="DH93" i="9"/>
  <c r="GI93" i="9" s="1"/>
  <c r="ID93" i="9"/>
  <c r="IC93" i="9"/>
  <c r="IB93" i="9"/>
  <c r="BD93" i="9"/>
  <c r="DM97" i="9"/>
  <c r="BI97" i="9"/>
  <c r="DO97" i="9"/>
  <c r="DP97" i="9"/>
  <c r="DP103" i="9"/>
  <c r="DN103" i="9"/>
  <c r="DO103" i="9"/>
  <c r="DM103" i="9"/>
  <c r="FC103" i="9"/>
  <c r="EI107" i="9"/>
  <c r="EJ107" i="9"/>
  <c r="EH107" i="9"/>
  <c r="L74" i="30"/>
  <c r="K74" i="30"/>
  <c r="I74" i="30"/>
  <c r="J74" i="30"/>
  <c r="H74" i="30"/>
  <c r="BD108" i="9"/>
  <c r="HZ108" i="9"/>
  <c r="DJ108" i="9"/>
  <c r="GO108" i="9" s="1"/>
  <c r="IB108" i="9"/>
  <c r="DK108" i="9"/>
  <c r="GR108" i="9" s="1"/>
  <c r="DH108" i="9"/>
  <c r="GI108" i="9" s="1"/>
  <c r="FC108" i="9"/>
  <c r="ID108" i="9"/>
  <c r="W59" i="25"/>
  <c r="DY112" i="9"/>
  <c r="K84" i="36"/>
  <c r="J84" i="36"/>
  <c r="I84" i="36"/>
  <c r="H84" i="36"/>
  <c r="L84" i="36"/>
  <c r="EO118" i="9"/>
  <c r="HV118" i="9" s="1"/>
  <c r="EN118" i="9"/>
  <c r="HS118" i="9" s="1"/>
  <c r="EM118" i="9"/>
  <c r="HP118" i="9" s="1"/>
  <c r="U58" i="25"/>
  <c r="Z20" i="12"/>
  <c r="AA20" i="12" s="1"/>
  <c r="EQ120" i="9"/>
  <c r="BI120" i="9"/>
  <c r="ES120" i="9"/>
  <c r="ER120" i="9"/>
  <c r="FL120" i="9"/>
  <c r="S8" i="17"/>
  <c r="N69" i="12"/>
  <c r="O69" i="12" s="1"/>
  <c r="Q69" i="12"/>
  <c r="R69" i="12" s="1"/>
  <c r="DO121" i="9"/>
  <c r="FC121" i="9"/>
  <c r="BI121" i="9"/>
  <c r="DN121" i="9"/>
  <c r="DP121" i="9"/>
  <c r="DM121" i="9"/>
  <c r="L50" i="34"/>
  <c r="J50" i="34"/>
  <c r="I50" i="34"/>
  <c r="H50" i="34"/>
  <c r="K50" i="34"/>
  <c r="EE123" i="9"/>
  <c r="HM123" i="9" s="1"/>
  <c r="ED123" i="9"/>
  <c r="HJ123" i="9" s="1"/>
  <c r="ID123" i="9"/>
  <c r="EB123" i="9"/>
  <c r="HD123" i="9" s="1"/>
  <c r="FF131" i="9"/>
  <c r="DY131" i="9"/>
  <c r="DW131" i="9"/>
  <c r="IB138" i="9"/>
  <c r="AD142" i="9"/>
  <c r="AE142" i="9" s="1"/>
  <c r="T85" i="12"/>
  <c r="FF147" i="9"/>
  <c r="DY147" i="9"/>
  <c r="DX147" i="9"/>
  <c r="DW147" i="9"/>
  <c r="BI153" i="9"/>
  <c r="DP153" i="9"/>
  <c r="DO153" i="9"/>
  <c r="DN153" i="9"/>
  <c r="DM153" i="9"/>
  <c r="FC153" i="9"/>
  <c r="DX85" i="9"/>
  <c r="DW85" i="9"/>
  <c r="FF85" i="9"/>
  <c r="L56" i="34"/>
  <c r="K56" i="34"/>
  <c r="I56" i="34"/>
  <c r="H56" i="34"/>
  <c r="J56" i="34"/>
  <c r="EE89" i="9"/>
  <c r="ED89" i="9"/>
  <c r="EB89" i="9"/>
  <c r="EM95" i="9"/>
  <c r="HP95" i="9" s="1"/>
  <c r="EO95" i="9"/>
  <c r="HV95" i="9" s="1"/>
  <c r="DW96" i="9"/>
  <c r="DY96" i="9"/>
  <c r="DX96" i="9"/>
  <c r="DX97" i="9"/>
  <c r="FF97" i="9"/>
  <c r="DY97" i="9"/>
  <c r="DX109" i="9"/>
  <c r="DW109" i="9"/>
  <c r="BI109" i="9"/>
  <c r="T34" i="12"/>
  <c r="U34" i="12" s="1"/>
  <c r="DX115" i="9"/>
  <c r="FF115" i="9"/>
  <c r="BI115" i="9"/>
  <c r="DW115" i="9"/>
  <c r="S79" i="17"/>
  <c r="Q60" i="12"/>
  <c r="R60" i="12" s="1"/>
  <c r="N60" i="12"/>
  <c r="O60" i="12" s="1"/>
  <c r="BI118" i="9"/>
  <c r="DO118" i="9"/>
  <c r="DN118" i="9"/>
  <c r="DM118" i="9"/>
  <c r="T69" i="12"/>
  <c r="U69" i="12" s="1"/>
  <c r="FF121" i="9"/>
  <c r="HV134" i="9"/>
  <c r="L66" i="32"/>
  <c r="J66" i="32"/>
  <c r="I66" i="32"/>
  <c r="H66" i="32"/>
  <c r="K66" i="32"/>
  <c r="DT138" i="9"/>
  <c r="GX138" i="9" s="1"/>
  <c r="DU138" i="9"/>
  <c r="HA138" i="9" s="1"/>
  <c r="DS138" i="9"/>
  <c r="GU138" i="9" s="1"/>
  <c r="FC140" i="9"/>
  <c r="L21" i="34"/>
  <c r="K21" i="34"/>
  <c r="J21" i="34"/>
  <c r="H21" i="34"/>
  <c r="I21" i="34"/>
  <c r="BD87" i="9"/>
  <c r="ED87" i="9"/>
  <c r="HJ87" i="9" s="1"/>
  <c r="V39" i="23"/>
  <c r="U92" i="24"/>
  <c r="FI129" i="9"/>
  <c r="EJ129" i="9"/>
  <c r="EH129" i="9"/>
  <c r="EG129" i="9"/>
  <c r="W91" i="12"/>
  <c r="X91" i="12" s="1"/>
  <c r="FI136" i="9"/>
  <c r="EI136" i="9"/>
  <c r="EH136" i="9"/>
  <c r="EG136" i="9"/>
  <c r="EJ136" i="9"/>
  <c r="Z82" i="12"/>
  <c r="AA82" i="12" s="1"/>
  <c r="FL149" i="9"/>
  <c r="ES149" i="9"/>
  <c r="ER149" i="9"/>
  <c r="EQ149" i="9"/>
  <c r="K100" i="34"/>
  <c r="J100" i="34"/>
  <c r="H100" i="34"/>
  <c r="L100" i="34"/>
  <c r="I100" i="34"/>
  <c r="EB48" i="9"/>
  <c r="HD48" i="9" s="1"/>
  <c r="Z62" i="12"/>
  <c r="AA62" i="12" s="1"/>
  <c r="ER49" i="9"/>
  <c r="FL49" i="9"/>
  <c r="W30" i="12"/>
  <c r="X30" i="12" s="1"/>
  <c r="EG54" i="9"/>
  <c r="S96" i="17"/>
  <c r="Q27" i="12"/>
  <c r="R27" i="12" s="1"/>
  <c r="N27" i="12"/>
  <c r="O27" i="12" s="1"/>
  <c r="FI64" i="9"/>
  <c r="Z12" i="12"/>
  <c r="AA12" i="12" s="1"/>
  <c r="FL67" i="9"/>
  <c r="ER67" i="9"/>
  <c r="FC71" i="9"/>
  <c r="Z73" i="12"/>
  <c r="AA73" i="12" s="1"/>
  <c r="FL72" i="9"/>
  <c r="EC72" i="9"/>
  <c r="HG72" i="9" s="1"/>
  <c r="ID72" i="9"/>
  <c r="Z43" i="12"/>
  <c r="AA43" i="12" s="1"/>
  <c r="ER73" i="9"/>
  <c r="Z6" i="12"/>
  <c r="AA6" i="12" s="1"/>
  <c r="ER77" i="9"/>
  <c r="FL77" i="9"/>
  <c r="L24" i="34"/>
  <c r="K24" i="34"/>
  <c r="J24" i="34"/>
  <c r="I24" i="34"/>
  <c r="H24" i="34"/>
  <c r="EB79" i="9"/>
  <c r="HD79" i="9" s="1"/>
  <c r="DN80" i="9"/>
  <c r="I63" i="34"/>
  <c r="L63" i="34"/>
  <c r="K63" i="34"/>
  <c r="J63" i="34"/>
  <c r="H63" i="34"/>
  <c r="HZ81" i="9"/>
  <c r="BD81" i="9"/>
  <c r="EC81" i="9"/>
  <c r="HG81" i="9" s="1"/>
  <c r="EB81" i="9"/>
  <c r="HD81" i="9" s="1"/>
  <c r="J6" i="36"/>
  <c r="I6" i="36"/>
  <c r="H6" i="36"/>
  <c r="L6" i="36"/>
  <c r="K6" i="36"/>
  <c r="EM82" i="9"/>
  <c r="HP82" i="9" s="1"/>
  <c r="IA82" i="9"/>
  <c r="EJ83" i="9"/>
  <c r="EG83" i="9"/>
  <c r="FI83" i="9"/>
  <c r="L22" i="30"/>
  <c r="K22" i="30"/>
  <c r="J22" i="30"/>
  <c r="I22" i="30"/>
  <c r="H22" i="30"/>
  <c r="DH84" i="9"/>
  <c r="GI84" i="9" s="1"/>
  <c r="IA84" i="9"/>
  <c r="BD84" i="9"/>
  <c r="DK84" i="9"/>
  <c r="GR84" i="9" s="1"/>
  <c r="DJ84" i="9"/>
  <c r="GO84" i="9" s="1"/>
  <c r="HZ84" i="9"/>
  <c r="EB87" i="9"/>
  <c r="HD87" i="9" s="1"/>
  <c r="EC89" i="9"/>
  <c r="BD91" i="9"/>
  <c r="HZ100" i="9"/>
  <c r="IA100" i="9"/>
  <c r="DK100" i="9"/>
  <c r="GR100" i="9" s="1"/>
  <c r="IC100" i="9"/>
  <c r="DI100" i="9"/>
  <c r="GL100" i="9" s="1"/>
  <c r="DH100" i="9"/>
  <c r="GI100" i="9" s="1"/>
  <c r="ID100" i="9"/>
  <c r="V86" i="24"/>
  <c r="Z34" i="12"/>
  <c r="AA34" i="12" s="1"/>
  <c r="FL115" i="9"/>
  <c r="ES115" i="9"/>
  <c r="ER115" i="9"/>
  <c r="EQ115" i="9"/>
  <c r="Z41" i="12"/>
  <c r="AA41" i="12" s="1"/>
  <c r="ER119" i="9"/>
  <c r="EQ119" i="9"/>
  <c r="FL119" i="9"/>
  <c r="BI119" i="9"/>
  <c r="L59" i="30"/>
  <c r="K59" i="30"/>
  <c r="J59" i="30"/>
  <c r="I59" i="30"/>
  <c r="H59" i="30"/>
  <c r="ID122" i="9"/>
  <c r="IB122" i="9"/>
  <c r="BD122" i="9"/>
  <c r="FC122" i="9"/>
  <c r="DK122" i="9"/>
  <c r="GR122" i="9" s="1"/>
  <c r="DJ122" i="9"/>
  <c r="IC122" i="9"/>
  <c r="DH122" i="9"/>
  <c r="GI122" i="9" s="1"/>
  <c r="IA122" i="9"/>
  <c r="HZ122" i="9"/>
  <c r="DK127" i="9"/>
  <c r="GR127" i="9" s="1"/>
  <c r="Z98" i="12"/>
  <c r="AA98" i="12" s="1"/>
  <c r="ER133" i="9"/>
  <c r="EQ133" i="9"/>
  <c r="FL133" i="9"/>
  <c r="BI133" i="9"/>
  <c r="ES133" i="9"/>
  <c r="L83" i="34"/>
  <c r="K83" i="34"/>
  <c r="J83" i="34"/>
  <c r="I83" i="34"/>
  <c r="H83" i="34"/>
  <c r="EE137" i="9"/>
  <c r="HM137" i="9" s="1"/>
  <c r="ED137" i="9"/>
  <c r="HJ137" i="9" s="1"/>
  <c r="EC137" i="9"/>
  <c r="HG137" i="9" s="1"/>
  <c r="EB137" i="9"/>
  <c r="HD137" i="9" s="1"/>
  <c r="ID137" i="9"/>
  <c r="Z139" i="9"/>
  <c r="HJ139" i="9" s="1"/>
  <c r="DH102" i="9"/>
  <c r="GI102" i="9" s="1"/>
  <c r="IB106" i="9"/>
  <c r="HZ106" i="9"/>
  <c r="DJ106" i="9"/>
  <c r="GO106" i="9" s="1"/>
  <c r="DH106" i="9"/>
  <c r="GI106" i="9" s="1"/>
  <c r="FC106" i="9"/>
  <c r="BD106" i="9"/>
  <c r="IA106" i="9"/>
  <c r="V81" i="26"/>
  <c r="Z7" i="12"/>
  <c r="AA7" i="12" s="1"/>
  <c r="ES113" i="9"/>
  <c r="EE113" i="9"/>
  <c r="HM113" i="9" s="1"/>
  <c r="W72" i="12"/>
  <c r="X72" i="12" s="1"/>
  <c r="FI117" i="9"/>
  <c r="EH117" i="9"/>
  <c r="EI117" i="9"/>
  <c r="L90" i="32"/>
  <c r="K90" i="32"/>
  <c r="I90" i="32"/>
  <c r="J90" i="32"/>
  <c r="H90" i="32"/>
  <c r="DU118" i="9"/>
  <c r="HA118" i="9" s="1"/>
  <c r="DS118" i="9"/>
  <c r="GU118" i="9" s="1"/>
  <c r="L80" i="34"/>
  <c r="K80" i="34"/>
  <c r="J80" i="34"/>
  <c r="I80" i="34"/>
  <c r="H80" i="34"/>
  <c r="ED121" i="9"/>
  <c r="HJ121" i="9" s="1"/>
  <c r="ID121" i="9"/>
  <c r="IC121" i="9"/>
  <c r="EB121" i="9"/>
  <c r="HD121" i="9" s="1"/>
  <c r="GO132" i="9"/>
  <c r="W98" i="12"/>
  <c r="X98" i="12" s="1"/>
  <c r="EJ133" i="9"/>
  <c r="EH133" i="9"/>
  <c r="FI133" i="9"/>
  <c r="S24" i="17"/>
  <c r="Q91" i="12"/>
  <c r="R91" i="12" s="1"/>
  <c r="N91" i="12"/>
  <c r="O91" i="12" s="1"/>
  <c r="DN136" i="9"/>
  <c r="FC136" i="9"/>
  <c r="DM136" i="9"/>
  <c r="DP136" i="9"/>
  <c r="J99" i="32"/>
  <c r="I99" i="32"/>
  <c r="H99" i="32"/>
  <c r="L99" i="32"/>
  <c r="K99" i="32"/>
  <c r="DT137" i="9"/>
  <c r="GX137" i="9" s="1"/>
  <c r="DU137" i="9"/>
  <c r="HA137" i="9" s="1"/>
  <c r="FF137" i="9"/>
  <c r="H87" i="36"/>
  <c r="L87" i="36"/>
  <c r="K87" i="36"/>
  <c r="J87" i="36"/>
  <c r="I87" i="36"/>
  <c r="EN138" i="9"/>
  <c r="HS138" i="9" s="1"/>
  <c r="FL138" i="9"/>
  <c r="FC141" i="9"/>
  <c r="EO142" i="9"/>
  <c r="HV142" i="9" s="1"/>
  <c r="T106" i="12"/>
  <c r="U106" i="12" s="1"/>
  <c r="FF145" i="9"/>
  <c r="DX145" i="9"/>
  <c r="L80" i="36"/>
  <c r="H80" i="36"/>
  <c r="K80" i="36"/>
  <c r="J80" i="36"/>
  <c r="I80" i="36"/>
  <c r="EN146" i="9"/>
  <c r="HS146" i="9" s="1"/>
  <c r="EM146" i="9"/>
  <c r="HP146" i="9" s="1"/>
  <c r="EN151" i="9"/>
  <c r="HS151" i="9" s="1"/>
  <c r="EG153" i="9"/>
  <c r="FI153" i="9"/>
  <c r="EJ153" i="9"/>
  <c r="EH153" i="9"/>
  <c r="T45" i="12"/>
  <c r="U45" i="12" s="1"/>
  <c r="FF89" i="9"/>
  <c r="L20" i="30"/>
  <c r="K20" i="30"/>
  <c r="J20" i="30"/>
  <c r="I20" i="30"/>
  <c r="H20" i="30"/>
  <c r="BD94" i="9"/>
  <c r="IB94" i="9"/>
  <c r="V18" i="26"/>
  <c r="IA96" i="9"/>
  <c r="IB96" i="9"/>
  <c r="ER97" i="9"/>
  <c r="FL97" i="9"/>
  <c r="ES97" i="9"/>
  <c r="W9" i="12"/>
  <c r="X9" i="12" s="1"/>
  <c r="EI101" i="9"/>
  <c r="EG101" i="9"/>
  <c r="BI106" i="9"/>
  <c r="I45" i="34"/>
  <c r="L45" i="34"/>
  <c r="K45" i="34"/>
  <c r="J45" i="34"/>
  <c r="H45" i="34"/>
  <c r="EB108" i="9"/>
  <c r="HD108" i="9" s="1"/>
  <c r="FL109" i="9"/>
  <c r="ER109" i="9"/>
  <c r="IB111" i="9"/>
  <c r="S75" i="17"/>
  <c r="Q49" i="12"/>
  <c r="R49" i="12" s="1"/>
  <c r="N49" i="12"/>
  <c r="O49" i="12" s="1"/>
  <c r="DO114" i="9"/>
  <c r="FC114" i="9"/>
  <c r="DY114" i="9"/>
  <c r="FF118" i="9"/>
  <c r="J68" i="30"/>
  <c r="I68" i="30"/>
  <c r="H68" i="30"/>
  <c r="K68" i="30"/>
  <c r="L68" i="30"/>
  <c r="ID119" i="9"/>
  <c r="IB119" i="9"/>
  <c r="DH119" i="9"/>
  <c r="GI119" i="9" s="1"/>
  <c r="HZ119" i="9"/>
  <c r="W69" i="12"/>
  <c r="X69" i="12" s="1"/>
  <c r="EI121" i="9"/>
  <c r="EG121" i="9"/>
  <c r="EJ121" i="9"/>
  <c r="FI121" i="9"/>
  <c r="L47" i="34"/>
  <c r="K47" i="34"/>
  <c r="J47" i="34"/>
  <c r="I47" i="34"/>
  <c r="H47" i="34"/>
  <c r="EB122" i="9"/>
  <c r="DW122" i="9"/>
  <c r="S4" i="17"/>
  <c r="N95" i="12"/>
  <c r="O95" i="12" s="1"/>
  <c r="Q95" i="12"/>
  <c r="R95" i="12" s="1"/>
  <c r="BI124" i="9"/>
  <c r="DP124" i="9"/>
  <c r="DO124" i="9"/>
  <c r="I58" i="32"/>
  <c r="H58" i="32"/>
  <c r="L58" i="32"/>
  <c r="K58" i="32"/>
  <c r="J58" i="32"/>
  <c r="DU127" i="9"/>
  <c r="HA127" i="9" s="1"/>
  <c r="DT127" i="9"/>
  <c r="GX127" i="9" s="1"/>
  <c r="FI128" i="9"/>
  <c r="EG128" i="9"/>
  <c r="EH128" i="9"/>
  <c r="EN130" i="9"/>
  <c r="HS130" i="9" s="1"/>
  <c r="EO130" i="9"/>
  <c r="HV130" i="9" s="1"/>
  <c r="EM130" i="9"/>
  <c r="HP130" i="9" s="1"/>
  <c r="L92" i="34"/>
  <c r="K92" i="34"/>
  <c r="J92" i="34"/>
  <c r="I92" i="34"/>
  <c r="H92" i="34"/>
  <c r="EE139" i="9"/>
  <c r="EC139" i="9"/>
  <c r="EB139" i="9"/>
  <c r="L52" i="32"/>
  <c r="H52" i="32"/>
  <c r="I52" i="32"/>
  <c r="K52" i="32"/>
  <c r="J52" i="32"/>
  <c r="DU140" i="9"/>
  <c r="HA140" i="9" s="1"/>
  <c r="DT140" i="9"/>
  <c r="GX140" i="9" s="1"/>
  <c r="DS140" i="9"/>
  <c r="GU140" i="9" s="1"/>
  <c r="U98" i="25"/>
  <c r="FF140" i="9"/>
  <c r="DI141" i="9"/>
  <c r="GL141" i="9" s="1"/>
  <c r="BD144" i="9"/>
  <c r="IB145" i="9"/>
  <c r="DJ150" i="9"/>
  <c r="GO150" i="9" s="1"/>
  <c r="BD151" i="9"/>
  <c r="BD95" i="9"/>
  <c r="DJ95" i="9"/>
  <c r="GO95" i="9" s="1"/>
  <c r="IA95" i="9"/>
  <c r="ED96" i="9"/>
  <c r="HJ96" i="9" s="1"/>
  <c r="EB96" i="9"/>
  <c r="HD96" i="9" s="1"/>
  <c r="IC96" i="9"/>
  <c r="Z9" i="12"/>
  <c r="AA9" i="12" s="1"/>
  <c r="ER101" i="9"/>
  <c r="FL101" i="9"/>
  <c r="BD102" i="9"/>
  <c r="DJ102" i="9"/>
  <c r="GO102" i="9" s="1"/>
  <c r="IC102" i="9"/>
  <c r="IB102" i="9"/>
  <c r="EJ103" i="9"/>
  <c r="FI103" i="9"/>
  <c r="EI103" i="9"/>
  <c r="EM104" i="9"/>
  <c r="HP104" i="9" s="1"/>
  <c r="EO104" i="9"/>
  <c r="HV104" i="9" s="1"/>
  <c r="DW108" i="9"/>
  <c r="IC111" i="9"/>
  <c r="ER112" i="9"/>
  <c r="EQ112" i="9"/>
  <c r="EQ113" i="9"/>
  <c r="HZ117" i="9"/>
  <c r="DY122" i="9"/>
  <c r="T40" i="12"/>
  <c r="U40" i="12" s="1"/>
  <c r="FF123" i="9"/>
  <c r="DX123" i="9"/>
  <c r="EN126" i="9"/>
  <c r="HS126" i="9" s="1"/>
  <c r="EM126" i="9"/>
  <c r="HP126" i="9" s="1"/>
  <c r="L77" i="34"/>
  <c r="K77" i="34"/>
  <c r="J77" i="34"/>
  <c r="I77" i="34"/>
  <c r="H77" i="34"/>
  <c r="EC127" i="9"/>
  <c r="HG127" i="9" s="1"/>
  <c r="EB127" i="9"/>
  <c r="HD127" i="9" s="1"/>
  <c r="EE127" i="9"/>
  <c r="HM127" i="9" s="1"/>
  <c r="J57" i="32"/>
  <c r="I57" i="32"/>
  <c r="H57" i="32"/>
  <c r="L57" i="32"/>
  <c r="K57" i="32"/>
  <c r="DT132" i="9"/>
  <c r="GX132" i="9" s="1"/>
  <c r="BD132" i="9"/>
  <c r="ID132" i="9"/>
  <c r="HZ132" i="9"/>
  <c r="IB132" i="9"/>
  <c r="BD134" i="9"/>
  <c r="DH135" i="9"/>
  <c r="GI135" i="9" s="1"/>
  <c r="W75" i="12"/>
  <c r="X75" i="12" s="1"/>
  <c r="EH137" i="9"/>
  <c r="EG137" i="9"/>
  <c r="EJ137" i="9"/>
  <c r="DK141" i="9"/>
  <c r="GR141" i="9" s="1"/>
  <c r="BD142" i="9"/>
  <c r="W102" i="23"/>
  <c r="L96" i="34"/>
  <c r="K96" i="34"/>
  <c r="J96" i="34"/>
  <c r="I96" i="34"/>
  <c r="H96" i="34"/>
  <c r="EE144" i="9"/>
  <c r="HM144" i="9" s="1"/>
  <c r="EB144" i="9"/>
  <c r="HD144" i="9" s="1"/>
  <c r="EC144" i="9"/>
  <c r="HG144" i="9" s="1"/>
  <c r="FC144" i="9"/>
  <c r="IC144" i="9"/>
  <c r="IC145" i="9"/>
  <c r="DH151" i="9"/>
  <c r="GI151" i="9" s="1"/>
  <c r="DK151" i="9"/>
  <c r="GR151" i="9" s="1"/>
  <c r="DJ151" i="9"/>
  <c r="GO151" i="9" s="1"/>
  <c r="DI151" i="9"/>
  <c r="GL151" i="9" s="1"/>
  <c r="IC151" i="9"/>
  <c r="EI152" i="9"/>
  <c r="EG152" i="9"/>
  <c r="FI152" i="9"/>
  <c r="EJ152" i="9"/>
  <c r="EH152" i="9"/>
  <c r="DY154" i="9"/>
  <c r="FF154" i="9"/>
  <c r="DX154" i="9"/>
  <c r="DW154" i="9"/>
  <c r="L65" i="32"/>
  <c r="H65" i="32"/>
  <c r="K65" i="32"/>
  <c r="J65" i="32"/>
  <c r="I65" i="32"/>
  <c r="DS71" i="9"/>
  <c r="GU71" i="9" s="1"/>
  <c r="BD77" i="9"/>
  <c r="EM77" i="9"/>
  <c r="HP77" i="9" s="1"/>
  <c r="W76" i="12"/>
  <c r="X76" i="12" s="1"/>
  <c r="EG78" i="9"/>
  <c r="DI79" i="9"/>
  <c r="GL79" i="9" s="1"/>
  <c r="IA80" i="9"/>
  <c r="DK80" i="9"/>
  <c r="GR80" i="9" s="1"/>
  <c r="HZ80" i="9"/>
  <c r="W66" i="12"/>
  <c r="X66" i="12" s="1"/>
  <c r="EI81" i="9"/>
  <c r="EJ81" i="9"/>
  <c r="DT83" i="9"/>
  <c r="GX83" i="9" s="1"/>
  <c r="IC83" i="9"/>
  <c r="DU86" i="9"/>
  <c r="HA86" i="9" s="1"/>
  <c r="DS86" i="9"/>
  <c r="GU86" i="9" s="1"/>
  <c r="DI87" i="9"/>
  <c r="GL87" i="9" s="1"/>
  <c r="FC87" i="9"/>
  <c r="IA87" i="9"/>
  <c r="DH88" i="9"/>
  <c r="W90" i="12"/>
  <c r="X90" i="12" s="1"/>
  <c r="EG90" i="9"/>
  <c r="S105" i="17"/>
  <c r="Q57" i="12"/>
  <c r="R57" i="12" s="1"/>
  <c r="N57" i="12"/>
  <c r="O57" i="12" s="1"/>
  <c r="DO91" i="9"/>
  <c r="FC91" i="9"/>
  <c r="DH92" i="9"/>
  <c r="L19" i="34"/>
  <c r="K19" i="34"/>
  <c r="J19" i="34"/>
  <c r="I19" i="34"/>
  <c r="H19" i="34"/>
  <c r="EB94" i="9"/>
  <c r="HD94" i="9" s="1"/>
  <c r="EC96" i="9"/>
  <c r="HG96" i="9" s="1"/>
  <c r="ID96" i="9"/>
  <c r="DO100" i="9"/>
  <c r="BI100" i="9"/>
  <c r="FC100" i="9"/>
  <c r="DI101" i="9"/>
  <c r="GL101" i="9" s="1"/>
  <c r="EJ101" i="9"/>
  <c r="FI101" i="9"/>
  <c r="DW102" i="9"/>
  <c r="ID102" i="9"/>
  <c r="FL103" i="9"/>
  <c r="EQ103" i="9"/>
  <c r="BI104" i="9"/>
  <c r="FF106" i="9"/>
  <c r="BI108" i="9"/>
  <c r="DK109" i="9"/>
  <c r="GR109" i="9" s="1"/>
  <c r="DP110" i="9"/>
  <c r="BI110" i="9"/>
  <c r="EG110" i="9"/>
  <c r="BD111" i="9"/>
  <c r="DP111" i="9"/>
  <c r="DH112" i="9"/>
  <c r="GI112" i="9" s="1"/>
  <c r="K11" i="30"/>
  <c r="J11" i="30"/>
  <c r="I11" i="30"/>
  <c r="H11" i="30"/>
  <c r="L11" i="30"/>
  <c r="IB113" i="9"/>
  <c r="HZ113" i="9"/>
  <c r="FC113" i="9"/>
  <c r="BD113" i="9"/>
  <c r="DJ113" i="9"/>
  <c r="GO113" i="9" s="1"/>
  <c r="ER113" i="9"/>
  <c r="IC113" i="9"/>
  <c r="W49" i="12"/>
  <c r="X49" i="12" s="1"/>
  <c r="EI114" i="9"/>
  <c r="EG114" i="9"/>
  <c r="IB117" i="9"/>
  <c r="Z60" i="12"/>
  <c r="AA60" i="12" s="1"/>
  <c r="ER118" i="9"/>
  <c r="FL118" i="9"/>
  <c r="ES118" i="9"/>
  <c r="K54" i="34"/>
  <c r="I54" i="34"/>
  <c r="H54" i="34"/>
  <c r="L54" i="34"/>
  <c r="J54" i="34"/>
  <c r="ED119" i="9"/>
  <c r="HJ119" i="9" s="1"/>
  <c r="EH121" i="9"/>
  <c r="IB121" i="9"/>
  <c r="EC122" i="9"/>
  <c r="HG122" i="9" s="1"/>
  <c r="W40" i="12"/>
  <c r="X40" i="12" s="1"/>
  <c r="EI123" i="9"/>
  <c r="EG123" i="9"/>
  <c r="W95" i="12"/>
  <c r="X95" i="12" s="1"/>
  <c r="FI124" i="9"/>
  <c r="EG124" i="9"/>
  <c r="BI126" i="9"/>
  <c r="DO126" i="9"/>
  <c r="DM126" i="9"/>
  <c r="FC126" i="9"/>
  <c r="EJ128" i="9"/>
  <c r="BD129" i="9"/>
  <c r="FF130" i="9"/>
  <c r="DX130" i="9"/>
  <c r="IC132" i="9"/>
  <c r="DS134" i="9"/>
  <c r="GU134" i="9" s="1"/>
  <c r="DJ135" i="9"/>
  <c r="GO135" i="9" s="1"/>
  <c r="HZ137" i="9"/>
  <c r="EG140" i="9"/>
  <c r="H43" i="30"/>
  <c r="I43" i="30"/>
  <c r="J43" i="30"/>
  <c r="L43" i="30"/>
  <c r="K43" i="30"/>
  <c r="DK142" i="9"/>
  <c r="GR142" i="9" s="1"/>
  <c r="DI142" i="9"/>
  <c r="GL142" i="9" s="1"/>
  <c r="DJ142" i="9"/>
  <c r="GO142" i="9" s="1"/>
  <c r="DH142" i="9"/>
  <c r="GI142" i="9" s="1"/>
  <c r="ID142" i="9"/>
  <c r="IC142" i="9"/>
  <c r="IB142" i="9"/>
  <c r="IA142" i="9"/>
  <c r="ED144" i="9"/>
  <c r="HJ144" i="9" s="1"/>
  <c r="FI144" i="9"/>
  <c r="ID144" i="9"/>
  <c r="EB153" i="9"/>
  <c r="HD153" i="9" s="1"/>
  <c r="L34" i="34"/>
  <c r="K34" i="34"/>
  <c r="H34" i="34"/>
  <c r="I34" i="34"/>
  <c r="J34" i="34"/>
  <c r="ED65" i="9"/>
  <c r="HJ65" i="9" s="1"/>
  <c r="L40" i="32"/>
  <c r="K40" i="32"/>
  <c r="J40" i="32"/>
  <c r="I40" i="32"/>
  <c r="H40" i="32"/>
  <c r="DS66" i="9"/>
  <c r="GU66" i="9" s="1"/>
  <c r="L9" i="30"/>
  <c r="K9" i="30"/>
  <c r="J9" i="30"/>
  <c r="I9" i="30"/>
  <c r="H9" i="30"/>
  <c r="DJ67" i="9"/>
  <c r="GO67" i="9" s="1"/>
  <c r="ID67" i="9"/>
  <c r="L30" i="36"/>
  <c r="K30" i="36"/>
  <c r="J30" i="36"/>
  <c r="I30" i="36"/>
  <c r="H30" i="36"/>
  <c r="L54" i="36"/>
  <c r="K54" i="36"/>
  <c r="J54" i="36"/>
  <c r="I54" i="36"/>
  <c r="H54" i="36"/>
  <c r="EO70" i="9"/>
  <c r="HV70" i="9" s="1"/>
  <c r="H75" i="34"/>
  <c r="L75" i="34"/>
  <c r="K75" i="34"/>
  <c r="J75" i="34"/>
  <c r="I75" i="34"/>
  <c r="FI71" i="9"/>
  <c r="H77" i="30"/>
  <c r="L77" i="30"/>
  <c r="K77" i="30"/>
  <c r="J77" i="30"/>
  <c r="I77" i="30"/>
  <c r="IB72" i="9"/>
  <c r="S58" i="17"/>
  <c r="Q4" i="12"/>
  <c r="R4" i="12" s="1"/>
  <c r="N4" i="12"/>
  <c r="O4" i="12" s="1"/>
  <c r="DM75" i="9"/>
  <c r="L10" i="30"/>
  <c r="K10" i="30"/>
  <c r="J10" i="30"/>
  <c r="I10" i="30"/>
  <c r="H10" i="30"/>
  <c r="IB77" i="9"/>
  <c r="DH77" i="9"/>
  <c r="GI77" i="9" s="1"/>
  <c r="IA77" i="9"/>
  <c r="IB80" i="9"/>
  <c r="Z66" i="12"/>
  <c r="AA66" i="12" s="1"/>
  <c r="EQ81" i="9"/>
  <c r="ED83" i="9"/>
  <c r="HJ83" i="9" s="1"/>
  <c r="EE83" i="9"/>
  <c r="HM83" i="9" s="1"/>
  <c r="DK87" i="9"/>
  <c r="GR87" i="9" s="1"/>
  <c r="DI88" i="9"/>
  <c r="EH88" i="9"/>
  <c r="FC88" i="9"/>
  <c r="IA88" i="9"/>
  <c r="DI92" i="9"/>
  <c r="L81" i="34"/>
  <c r="K81" i="34"/>
  <c r="J81" i="34"/>
  <c r="I81" i="34"/>
  <c r="H81" i="34"/>
  <c r="ED93" i="9"/>
  <c r="HJ93" i="9" s="1"/>
  <c r="DN96" i="9"/>
  <c r="BI96" i="9"/>
  <c r="DP96" i="9"/>
  <c r="EE96" i="9"/>
  <c r="HM96" i="9" s="1"/>
  <c r="EN97" i="9"/>
  <c r="HS97" i="9" s="1"/>
  <c r="DX98" i="9"/>
  <c r="FF98" i="9"/>
  <c r="EC100" i="9"/>
  <c r="HG100" i="9" s="1"/>
  <c r="ED102" i="9"/>
  <c r="HJ102" i="9" s="1"/>
  <c r="EB102" i="9"/>
  <c r="HD102" i="9" s="1"/>
  <c r="DX102" i="9"/>
  <c r="DO104" i="9"/>
  <c r="DM104" i="9"/>
  <c r="L73" i="30"/>
  <c r="J73" i="30"/>
  <c r="H73" i="30"/>
  <c r="I73" i="30"/>
  <c r="K73" i="30"/>
  <c r="ID105" i="9"/>
  <c r="IB105" i="9"/>
  <c r="BD105" i="9"/>
  <c r="DJ105" i="9"/>
  <c r="GO105" i="9" s="1"/>
  <c r="HZ105" i="9"/>
  <c r="IA105" i="9"/>
  <c r="EG106" i="9"/>
  <c r="FI106" i="9"/>
  <c r="EI106" i="9"/>
  <c r="EH106" i="9"/>
  <c r="BD107" i="9"/>
  <c r="EC108" i="9"/>
  <c r="HG108" i="9" s="1"/>
  <c r="EQ109" i="9"/>
  <c r="HZ109" i="9"/>
  <c r="EH110" i="9"/>
  <c r="FF110" i="9"/>
  <c r="HZ111" i="9"/>
  <c r="DI112" i="9"/>
  <c r="GL112" i="9" s="1"/>
  <c r="ID113" i="9"/>
  <c r="FF114" i="9"/>
  <c r="T39" i="12"/>
  <c r="U39" i="12" s="1"/>
  <c r="DX116" i="9"/>
  <c r="BD117" i="9"/>
  <c r="L36" i="30"/>
  <c r="K36" i="30"/>
  <c r="J36" i="30"/>
  <c r="I36" i="30"/>
  <c r="H36" i="30"/>
  <c r="IB120" i="9"/>
  <c r="HZ120" i="9"/>
  <c r="FC120" i="9"/>
  <c r="BD120" i="9"/>
  <c r="DJ120" i="9"/>
  <c r="GO120" i="9" s="1"/>
  <c r="IC120" i="9"/>
  <c r="ED122" i="9"/>
  <c r="Z40" i="12"/>
  <c r="AA40" i="12" s="1"/>
  <c r="ES123" i="9"/>
  <c r="EB129" i="9"/>
  <c r="HD129" i="9" s="1"/>
  <c r="EJ130" i="9"/>
  <c r="EI130" i="9"/>
  <c r="L83" i="36"/>
  <c r="K83" i="36"/>
  <c r="J83" i="36"/>
  <c r="I83" i="36"/>
  <c r="H83" i="36"/>
  <c r="EN132" i="9"/>
  <c r="HS132" i="9" s="1"/>
  <c r="EM132" i="9"/>
  <c r="HP132" i="9" s="1"/>
  <c r="L97" i="32"/>
  <c r="K97" i="32"/>
  <c r="J97" i="32"/>
  <c r="I97" i="32"/>
  <c r="H97" i="32"/>
  <c r="DT134" i="9"/>
  <c r="GX134" i="9" s="1"/>
  <c r="ID134" i="9"/>
  <c r="IB134" i="9"/>
  <c r="HZ134" i="9"/>
  <c r="DU134" i="9"/>
  <c r="HA134" i="9" s="1"/>
  <c r="IB137" i="9"/>
  <c r="BI140" i="9"/>
  <c r="L37" i="32"/>
  <c r="K37" i="32"/>
  <c r="J37" i="32"/>
  <c r="H37" i="32"/>
  <c r="I37" i="32"/>
  <c r="DT142" i="9"/>
  <c r="GX142" i="9" s="1"/>
  <c r="T36" i="12"/>
  <c r="U36" i="12" s="1"/>
  <c r="DX108" i="9"/>
  <c r="FF108" i="9"/>
  <c r="EI110" i="9"/>
  <c r="DS111" i="9"/>
  <c r="GU111" i="9" s="1"/>
  <c r="DU111" i="9"/>
  <c r="HA111" i="9" s="1"/>
  <c r="L15" i="34"/>
  <c r="K15" i="34"/>
  <c r="J15" i="34"/>
  <c r="I15" i="34"/>
  <c r="H15" i="34"/>
  <c r="K93" i="30"/>
  <c r="J93" i="30"/>
  <c r="I93" i="30"/>
  <c r="H93" i="30"/>
  <c r="L93" i="30"/>
  <c r="DJ117" i="9"/>
  <c r="GO117" i="9" s="1"/>
  <c r="DH117" i="9"/>
  <c r="GI117" i="9" s="1"/>
  <c r="IA117" i="9"/>
  <c r="DK117" i="9"/>
  <c r="GR117" i="9" s="1"/>
  <c r="IC117" i="9"/>
  <c r="T76" i="26"/>
  <c r="T64" i="12"/>
  <c r="U64" i="12" s="1"/>
  <c r="DX122" i="9"/>
  <c r="FF122" i="9"/>
  <c r="K27" i="34"/>
  <c r="I27" i="34"/>
  <c r="H27" i="34"/>
  <c r="L27" i="34"/>
  <c r="J27" i="34"/>
  <c r="EC125" i="9"/>
  <c r="HG125" i="9" s="1"/>
  <c r="T89" i="12"/>
  <c r="U89" i="12" s="1"/>
  <c r="DY127" i="9"/>
  <c r="DW127" i="9"/>
  <c r="BI127" i="9"/>
  <c r="EC129" i="9"/>
  <c r="HG129" i="9" s="1"/>
  <c r="HZ129" i="9"/>
  <c r="ER130" i="9"/>
  <c r="FL130" i="9"/>
  <c r="S64" i="17"/>
  <c r="N67" i="12"/>
  <c r="O67" i="12" s="1"/>
  <c r="Q67" i="12"/>
  <c r="R67" i="12" s="1"/>
  <c r="FC132" i="9"/>
  <c r="DP132" i="9"/>
  <c r="DN132" i="9"/>
  <c r="DO132" i="9"/>
  <c r="DM132" i="9"/>
  <c r="BI132" i="9"/>
  <c r="L95" i="34"/>
  <c r="K95" i="34"/>
  <c r="J95" i="34"/>
  <c r="I95" i="34"/>
  <c r="H95" i="34"/>
  <c r="ED134" i="9"/>
  <c r="HJ134" i="9" s="1"/>
  <c r="EC134" i="9"/>
  <c r="HG134" i="9" s="1"/>
  <c r="EB134" i="9"/>
  <c r="HD134" i="9" s="1"/>
  <c r="T99" i="24"/>
  <c r="I98" i="30"/>
  <c r="H98" i="30"/>
  <c r="J98" i="30"/>
  <c r="L98" i="30"/>
  <c r="K98" i="30"/>
  <c r="IC141" i="9"/>
  <c r="DJ141" i="9"/>
  <c r="GO141" i="9" s="1"/>
  <c r="IA141" i="9"/>
  <c r="S91" i="17"/>
  <c r="Q94" i="12"/>
  <c r="R94" i="12" s="1"/>
  <c r="N94" i="12"/>
  <c r="O94" i="12" s="1"/>
  <c r="DN144" i="9"/>
  <c r="DP144" i="9"/>
  <c r="DO144" i="9"/>
  <c r="DM144" i="9"/>
  <c r="L106" i="30"/>
  <c r="K106" i="30"/>
  <c r="J106" i="30"/>
  <c r="I106" i="30"/>
  <c r="H106" i="30"/>
  <c r="DK145" i="9"/>
  <c r="GR145" i="9" s="1"/>
  <c r="DI145" i="9"/>
  <c r="GL145" i="9" s="1"/>
  <c r="BD145" i="9"/>
  <c r="FC145" i="9"/>
  <c r="DJ145" i="9"/>
  <c r="GO145" i="9" s="1"/>
  <c r="DH145" i="9"/>
  <c r="GI145" i="9" s="1"/>
  <c r="IA145" i="9"/>
  <c r="V100" i="24"/>
  <c r="I85" i="12"/>
  <c r="BJ147" i="9"/>
  <c r="BM147" i="9"/>
  <c r="BL147" i="9"/>
  <c r="T106" i="24"/>
  <c r="HZ151" i="9"/>
  <c r="S103" i="17"/>
  <c r="Q71" i="12"/>
  <c r="R71" i="12" s="1"/>
  <c r="N71" i="12"/>
  <c r="O71" i="12" s="1"/>
  <c r="DO93" i="9"/>
  <c r="BI93" i="9"/>
  <c r="S57" i="17"/>
  <c r="N28" i="12"/>
  <c r="O28" i="12" s="1"/>
  <c r="Q28" i="12"/>
  <c r="R28" i="12" s="1"/>
  <c r="DO94" i="9"/>
  <c r="DM94" i="9"/>
  <c r="IB95" i="9"/>
  <c r="EH96" i="9"/>
  <c r="ER98" i="9"/>
  <c r="EQ98" i="9"/>
  <c r="EE100" i="9"/>
  <c r="HM100" i="9" s="1"/>
  <c r="BI102" i="9"/>
  <c r="K57" i="34"/>
  <c r="L57" i="34"/>
  <c r="I57" i="34"/>
  <c r="H57" i="34"/>
  <c r="J57" i="34"/>
  <c r="DI106" i="9"/>
  <c r="GL106" i="9" s="1"/>
  <c r="FL106" i="9"/>
  <c r="EE108" i="9"/>
  <c r="HM108" i="9" s="1"/>
  <c r="EJ110" i="9"/>
  <c r="FL112" i="9"/>
  <c r="L49" i="30"/>
  <c r="K49" i="30"/>
  <c r="J49" i="30"/>
  <c r="I49" i="30"/>
  <c r="H49" i="30"/>
  <c r="BD115" i="9"/>
  <c r="IB115" i="9"/>
  <c r="HZ115" i="9"/>
  <c r="ID115" i="9"/>
  <c r="DH115" i="9"/>
  <c r="GI115" i="9" s="1"/>
  <c r="IC115" i="9"/>
  <c r="Z39" i="12"/>
  <c r="AA39" i="12" s="1"/>
  <c r="FL116" i="9"/>
  <c r="ER116" i="9"/>
  <c r="L89" i="32"/>
  <c r="K89" i="32"/>
  <c r="J89" i="32"/>
  <c r="H89" i="32"/>
  <c r="I89" i="32"/>
  <c r="DT117" i="9"/>
  <c r="GX117" i="9" s="1"/>
  <c r="FC119" i="9"/>
  <c r="J28" i="34"/>
  <c r="H28" i="34"/>
  <c r="L28" i="34"/>
  <c r="K28" i="34"/>
  <c r="I28" i="34"/>
  <c r="EB120" i="9"/>
  <c r="HD120" i="9" s="1"/>
  <c r="HZ125" i="9"/>
  <c r="EQ126" i="9"/>
  <c r="ER126" i="9"/>
  <c r="FL126" i="9"/>
  <c r="ED129" i="9"/>
  <c r="HJ129" i="9" s="1"/>
  <c r="ID129" i="9"/>
  <c r="T67" i="12"/>
  <c r="U67" i="12" s="1"/>
  <c r="FF132" i="9"/>
  <c r="DW132" i="9"/>
  <c r="HD132" i="9"/>
  <c r="K102" i="36"/>
  <c r="J102" i="36"/>
  <c r="I102" i="36"/>
  <c r="H102" i="36"/>
  <c r="L102" i="36"/>
  <c r="EN134" i="9"/>
  <c r="HS134" i="9" s="1"/>
  <c r="EM134" i="9"/>
  <c r="HP134" i="9" s="1"/>
  <c r="HZ136" i="9"/>
  <c r="FI137" i="9"/>
  <c r="HZ138" i="9"/>
  <c r="Z93" i="12"/>
  <c r="AA93" i="12" s="1"/>
  <c r="FL139" i="9"/>
  <c r="ES139" i="9"/>
  <c r="ER139" i="9"/>
  <c r="W102" i="12"/>
  <c r="X102" i="12" s="1"/>
  <c r="FI140" i="9"/>
  <c r="EI140" i="9"/>
  <c r="J41" i="36"/>
  <c r="I41" i="36"/>
  <c r="L41" i="36"/>
  <c r="K41" i="36"/>
  <c r="H41" i="36"/>
  <c r="FL142" i="9"/>
  <c r="T94" i="12"/>
  <c r="U94" i="12" s="1"/>
  <c r="FF144" i="9"/>
  <c r="Z146" i="9"/>
  <c r="BD147" i="9"/>
  <c r="I69" i="30"/>
  <c r="H69" i="30"/>
  <c r="J69" i="30"/>
  <c r="L69" i="30"/>
  <c r="K69" i="30"/>
  <c r="DI150" i="9"/>
  <c r="GL150" i="9" s="1"/>
  <c r="ID150" i="9"/>
  <c r="IC150" i="9"/>
  <c r="IB150" i="9"/>
  <c r="IA150" i="9"/>
  <c r="DK150" i="9"/>
  <c r="GR150" i="9" s="1"/>
  <c r="IA151" i="9"/>
  <c r="L10" i="36"/>
  <c r="K10" i="36"/>
  <c r="J10" i="36"/>
  <c r="I10" i="36"/>
  <c r="H10" i="36"/>
  <c r="EO77" i="9"/>
  <c r="HV77" i="9" s="1"/>
  <c r="H29" i="30"/>
  <c r="I29" i="30"/>
  <c r="L29" i="30"/>
  <c r="K29" i="30"/>
  <c r="J29" i="30"/>
  <c r="HZ79" i="9"/>
  <c r="IA79" i="9"/>
  <c r="L81" i="32"/>
  <c r="K81" i="32"/>
  <c r="J81" i="32"/>
  <c r="I81" i="32"/>
  <c r="H81" i="32"/>
  <c r="DS82" i="9"/>
  <c r="GU82" i="9" s="1"/>
  <c r="H28" i="30"/>
  <c r="I28" i="30"/>
  <c r="L28" i="30"/>
  <c r="K28" i="30"/>
  <c r="J28" i="30"/>
  <c r="IB87" i="9"/>
  <c r="HZ87" i="9"/>
  <c r="DJ87" i="9"/>
  <c r="GO87" i="9" s="1"/>
  <c r="FI88" i="9"/>
  <c r="FC93" i="9"/>
  <c r="DY94" i="9"/>
  <c r="HZ94" i="9"/>
  <c r="FC95" i="9"/>
  <c r="IC95" i="9"/>
  <c r="FL96" i="9"/>
  <c r="ES96" i="9"/>
  <c r="EI96" i="9"/>
  <c r="FI96" i="9"/>
  <c r="ED99" i="9"/>
  <c r="HJ99" i="9" s="1"/>
  <c r="EB99" i="9"/>
  <c r="HD99" i="9" s="1"/>
  <c r="DW99" i="9"/>
  <c r="EQ101" i="9"/>
  <c r="DM102" i="9"/>
  <c r="DO102" i="9"/>
  <c r="FL104" i="9"/>
  <c r="K74" i="36"/>
  <c r="J74" i="36"/>
  <c r="I74" i="36"/>
  <c r="H74" i="36"/>
  <c r="L74" i="36"/>
  <c r="EO105" i="9"/>
  <c r="HV105" i="9" s="1"/>
  <c r="EM105" i="9"/>
  <c r="HP105" i="9" s="1"/>
  <c r="DK106" i="9"/>
  <c r="GR106" i="9" s="1"/>
  <c r="IC107" i="9"/>
  <c r="EB107" i="9"/>
  <c r="HD107" i="9" s="1"/>
  <c r="IA107" i="9"/>
  <c r="ED107" i="9"/>
  <c r="HJ107" i="9" s="1"/>
  <c r="ID107" i="9"/>
  <c r="Z36" i="12"/>
  <c r="AA36" i="12" s="1"/>
  <c r="FL108" i="9"/>
  <c r="ER108" i="9"/>
  <c r="BD109" i="9"/>
  <c r="DJ109" i="9"/>
  <c r="GO109" i="9" s="1"/>
  <c r="DH109" i="9"/>
  <c r="GI109" i="9" s="1"/>
  <c r="IA109" i="9"/>
  <c r="ID109" i="9"/>
  <c r="EM110" i="9"/>
  <c r="HP110" i="9" s="1"/>
  <c r="EO111" i="9"/>
  <c r="HV111" i="9" s="1"/>
  <c r="EM111" i="9"/>
  <c r="HP111" i="9" s="1"/>
  <c r="DM114" i="9"/>
  <c r="FC115" i="9"/>
  <c r="IA118" i="9"/>
  <c r="T41" i="12"/>
  <c r="U41" i="12" s="1"/>
  <c r="DX119" i="9"/>
  <c r="FF119" i="9"/>
  <c r="DW119" i="9"/>
  <c r="Z64" i="12"/>
  <c r="AA64" i="12" s="1"/>
  <c r="ER122" i="9"/>
  <c r="EQ122" i="9"/>
  <c r="FL122" i="9"/>
  <c r="DM124" i="9"/>
  <c r="IA125" i="9"/>
  <c r="BI129" i="9"/>
  <c r="DP129" i="9"/>
  <c r="DO129" i="9"/>
  <c r="DN129" i="9"/>
  <c r="EQ130" i="9"/>
  <c r="ES131" i="9"/>
  <c r="W67" i="12"/>
  <c r="X67" i="12" s="1"/>
  <c r="EJ132" i="9"/>
  <c r="EH132" i="9"/>
  <c r="FI132" i="9"/>
  <c r="EI132" i="9"/>
  <c r="EG132" i="9"/>
  <c r="EE134" i="9"/>
  <c r="HM134" i="9" s="1"/>
  <c r="K98" i="32"/>
  <c r="J98" i="32"/>
  <c r="I98" i="32"/>
  <c r="H98" i="32"/>
  <c r="L98" i="32"/>
  <c r="BD136" i="9"/>
  <c r="FF136" i="9"/>
  <c r="DT136" i="9"/>
  <c r="GX136" i="9" s="1"/>
  <c r="IB136" i="9"/>
  <c r="BD138" i="9"/>
  <c r="HZ141" i="9"/>
  <c r="I104" i="30"/>
  <c r="L104" i="30"/>
  <c r="K104" i="30"/>
  <c r="J104" i="30"/>
  <c r="H104" i="30"/>
  <c r="DI143" i="9"/>
  <c r="GL143" i="9" s="1"/>
  <c r="DH143" i="9"/>
  <c r="GI143" i="9" s="1"/>
  <c r="ID143" i="9"/>
  <c r="IC143" i="9"/>
  <c r="IB143" i="9"/>
  <c r="IA143" i="9"/>
  <c r="DK143" i="9"/>
  <c r="GR143" i="9" s="1"/>
  <c r="J105" i="34"/>
  <c r="H105" i="34"/>
  <c r="L105" i="34"/>
  <c r="K105" i="34"/>
  <c r="I105" i="34"/>
  <c r="EE145" i="9"/>
  <c r="HM145" i="9" s="1"/>
  <c r="EC145" i="9"/>
  <c r="HG145" i="9" s="1"/>
  <c r="I99" i="30"/>
  <c r="H99" i="30"/>
  <c r="J99" i="30"/>
  <c r="L99" i="30"/>
  <c r="K99" i="30"/>
  <c r="IB147" i="9"/>
  <c r="HZ147" i="9"/>
  <c r="DJ147" i="9"/>
  <c r="DI147" i="9"/>
  <c r="GL147" i="9" s="1"/>
  <c r="DH147" i="9"/>
  <c r="GI147" i="9" s="1"/>
  <c r="ID147" i="9"/>
  <c r="IC147" i="9"/>
  <c r="I90" i="30"/>
  <c r="L90" i="30"/>
  <c r="K90" i="30"/>
  <c r="J90" i="30"/>
  <c r="H90" i="30"/>
  <c r="IA149" i="9"/>
  <c r="BD149" i="9"/>
  <c r="ID149" i="9"/>
  <c r="IC149" i="9"/>
  <c r="IB149" i="9"/>
  <c r="HZ149" i="9"/>
  <c r="DJ149" i="9"/>
  <c r="GO149" i="9" s="1"/>
  <c r="FC151" i="9"/>
  <c r="IB151" i="9"/>
  <c r="EC153" i="9"/>
  <c r="HG153" i="9" s="1"/>
  <c r="ED153" i="9"/>
  <c r="HJ153" i="9" s="1"/>
  <c r="IC153" i="9"/>
  <c r="HZ153" i="9"/>
  <c r="L6" i="34"/>
  <c r="K6" i="34"/>
  <c r="J6" i="34"/>
  <c r="I6" i="34"/>
  <c r="H6" i="34"/>
  <c r="EC82" i="9"/>
  <c r="HG82" i="9" s="1"/>
  <c r="DX86" i="9"/>
  <c r="FF86" i="9"/>
  <c r="IB88" i="9"/>
  <c r="HZ88" i="9"/>
  <c r="DJ88" i="9"/>
  <c r="I96" i="30"/>
  <c r="H96" i="30"/>
  <c r="J96" i="30"/>
  <c r="L96" i="30"/>
  <c r="K96" i="30"/>
  <c r="HZ92" i="9"/>
  <c r="DJ92" i="9"/>
  <c r="IB92" i="9"/>
  <c r="W71" i="12"/>
  <c r="X71" i="12" s="1"/>
  <c r="EI93" i="9"/>
  <c r="FC94" i="9"/>
  <c r="FF95" i="9"/>
  <c r="DX95" i="9"/>
  <c r="ID95" i="9"/>
  <c r="DX99" i="9"/>
  <c r="L8" i="30"/>
  <c r="K8" i="30"/>
  <c r="J8" i="30"/>
  <c r="I8" i="30"/>
  <c r="H8" i="30"/>
  <c r="BD101" i="9"/>
  <c r="ID101" i="9"/>
  <c r="DH101" i="9"/>
  <c r="GI101" i="9" s="1"/>
  <c r="HZ101" i="9"/>
  <c r="ES101" i="9"/>
  <c r="IA101" i="9"/>
  <c r="ER106" i="9"/>
  <c r="EO110" i="9"/>
  <c r="HV110" i="9" s="1"/>
  <c r="DO111" i="9"/>
  <c r="BI111" i="9"/>
  <c r="ID112" i="9"/>
  <c r="IB112" i="9"/>
  <c r="BD112" i="9"/>
  <c r="IC112" i="9"/>
  <c r="EB113" i="9"/>
  <c r="HD113" i="9" s="1"/>
  <c r="DN114" i="9"/>
  <c r="L42" i="34"/>
  <c r="K42" i="34"/>
  <c r="J42" i="34"/>
  <c r="I42" i="34"/>
  <c r="H42" i="34"/>
  <c r="EB115" i="9"/>
  <c r="HD115" i="9" s="1"/>
  <c r="ED115" i="9"/>
  <c r="HJ115" i="9" s="1"/>
  <c r="L95" i="36"/>
  <c r="K95" i="36"/>
  <c r="I95" i="36"/>
  <c r="H95" i="36"/>
  <c r="J95" i="36"/>
  <c r="IC118" i="9"/>
  <c r="DN124" i="9"/>
  <c r="EB125" i="9"/>
  <c r="HD125" i="9" s="1"/>
  <c r="IB125" i="9"/>
  <c r="ES130" i="9"/>
  <c r="L79" i="30"/>
  <c r="K79" i="30"/>
  <c r="J79" i="30"/>
  <c r="I79" i="30"/>
  <c r="H79" i="30"/>
  <c r="IA135" i="9"/>
  <c r="ID135" i="9"/>
  <c r="IC135" i="9"/>
  <c r="IB135" i="9"/>
  <c r="HZ135" i="9"/>
  <c r="BD135" i="9"/>
  <c r="DI135" i="9"/>
  <c r="GL135" i="9" s="1"/>
  <c r="L86" i="30"/>
  <c r="K86" i="30"/>
  <c r="J86" i="30"/>
  <c r="I86" i="30"/>
  <c r="H86" i="30"/>
  <c r="IA138" i="9"/>
  <c r="DJ138" i="9"/>
  <c r="GO138" i="9" s="1"/>
  <c r="DI138" i="9"/>
  <c r="GL138" i="9" s="1"/>
  <c r="DH138" i="9"/>
  <c r="GI138" i="9" s="1"/>
  <c r="ID138" i="9"/>
  <c r="IC138" i="9"/>
  <c r="IB141" i="9"/>
  <c r="S89" i="17"/>
  <c r="Q96" i="12"/>
  <c r="R96" i="12" s="1"/>
  <c r="N96" i="12"/>
  <c r="O96" i="12" s="1"/>
  <c r="FC142" i="9"/>
  <c r="DN142" i="9"/>
  <c r="Z94" i="12"/>
  <c r="AA94" i="12" s="1"/>
  <c r="ER144" i="9"/>
  <c r="U100" i="26"/>
  <c r="L106" i="36"/>
  <c r="K106" i="36"/>
  <c r="I106" i="36"/>
  <c r="J106" i="36"/>
  <c r="H106" i="36"/>
  <c r="EM145" i="9"/>
  <c r="HP145" i="9" s="1"/>
  <c r="EO145" i="9"/>
  <c r="HV145" i="9" s="1"/>
  <c r="L102" i="32"/>
  <c r="J102" i="32"/>
  <c r="K102" i="32"/>
  <c r="I102" i="32"/>
  <c r="H102" i="32"/>
  <c r="DU147" i="9"/>
  <c r="HA147" i="9" s="1"/>
  <c r="DS147" i="9"/>
  <c r="GU147" i="9" s="1"/>
  <c r="DT147" i="9"/>
  <c r="GX147" i="9" s="1"/>
  <c r="ID151" i="9"/>
  <c r="EN153" i="9"/>
  <c r="HS153" i="9" s="1"/>
  <c r="EO153" i="9"/>
  <c r="HV153" i="9" s="1"/>
  <c r="EM153" i="9"/>
  <c r="HP153" i="9" s="1"/>
  <c r="FL153" i="9"/>
  <c r="L60" i="30"/>
  <c r="K60" i="30"/>
  <c r="J60" i="30"/>
  <c r="I60" i="30"/>
  <c r="H60" i="30"/>
  <c r="L22" i="32"/>
  <c r="K22" i="32"/>
  <c r="J22" i="32"/>
  <c r="I22" i="32"/>
  <c r="H22" i="32"/>
  <c r="S85" i="17"/>
  <c r="N63" i="12"/>
  <c r="O63" i="12" s="1"/>
  <c r="Q63" i="12"/>
  <c r="R63" i="12" s="1"/>
  <c r="I58" i="36"/>
  <c r="H58" i="36"/>
  <c r="L58" i="36"/>
  <c r="K58" i="36"/>
  <c r="J58" i="36"/>
  <c r="EM51" i="9"/>
  <c r="HP51" i="9" s="1"/>
  <c r="L31" i="36"/>
  <c r="K31" i="36"/>
  <c r="J31" i="36"/>
  <c r="I31" i="36"/>
  <c r="H31" i="36"/>
  <c r="EM52" i="9"/>
  <c r="HP52" i="9" s="1"/>
  <c r="W26" i="12"/>
  <c r="X26" i="12" s="1"/>
  <c r="EG58" i="9"/>
  <c r="L62" i="30"/>
  <c r="K62" i="30"/>
  <c r="J62" i="30"/>
  <c r="I62" i="30"/>
  <c r="H62" i="30"/>
  <c r="DJ61" i="9"/>
  <c r="GO61" i="9" s="1"/>
  <c r="ID61" i="9"/>
  <c r="L48" i="30"/>
  <c r="K48" i="30"/>
  <c r="J48" i="30"/>
  <c r="I48" i="30"/>
  <c r="H48" i="30"/>
  <c r="DH63" i="9"/>
  <c r="GI63" i="9" s="1"/>
  <c r="IB63" i="9"/>
  <c r="Z52" i="12"/>
  <c r="AA52" i="12" s="1"/>
  <c r="FL65" i="9"/>
  <c r="EC65" i="9"/>
  <c r="HG65" i="9" s="1"/>
  <c r="W33" i="12"/>
  <c r="X33" i="12" s="1"/>
  <c r="EG66" i="9"/>
  <c r="T12" i="12"/>
  <c r="U12" i="12" s="1"/>
  <c r="DX67" i="9"/>
  <c r="DY67" i="9"/>
  <c r="IB67" i="9"/>
  <c r="ED69" i="9"/>
  <c r="HJ69" i="9" s="1"/>
  <c r="Z97" i="12"/>
  <c r="AA97" i="12" s="1"/>
  <c r="ER71" i="9"/>
  <c r="EC71" i="9"/>
  <c r="HG71" i="9" s="1"/>
  <c r="T73" i="12"/>
  <c r="U73" i="12" s="1"/>
  <c r="FF72" i="9"/>
  <c r="DX72" i="9"/>
  <c r="HZ72" i="9"/>
  <c r="L76" i="32"/>
  <c r="K76" i="32"/>
  <c r="J76" i="32"/>
  <c r="I76" i="32"/>
  <c r="H76" i="32"/>
  <c r="DT76" i="9"/>
  <c r="GX76" i="9" s="1"/>
  <c r="DS76" i="9"/>
  <c r="GU76" i="9" s="1"/>
  <c r="IB76" i="9"/>
  <c r="T6" i="12"/>
  <c r="U6" i="12" s="1"/>
  <c r="FF77" i="9"/>
  <c r="DW77" i="9"/>
  <c r="H91" i="30"/>
  <c r="L91" i="30"/>
  <c r="K91" i="30"/>
  <c r="J91" i="30"/>
  <c r="I91" i="30"/>
  <c r="IB78" i="9"/>
  <c r="IA78" i="9"/>
  <c r="DK78" i="9"/>
  <c r="FI78" i="9"/>
  <c r="ID79" i="9"/>
  <c r="EI80" i="9"/>
  <c r="EG80" i="9"/>
  <c r="FI81" i="9"/>
  <c r="FL83" i="9"/>
  <c r="FC83" i="9"/>
  <c r="ER86" i="9"/>
  <c r="EQ86" i="9"/>
  <c r="ES87" i="9"/>
  <c r="EQ89" i="9"/>
  <c r="I97" i="30"/>
  <c r="H97" i="30"/>
  <c r="J97" i="30"/>
  <c r="K97" i="30"/>
  <c r="L97" i="30"/>
  <c r="IB90" i="9"/>
  <c r="HZ90" i="9"/>
  <c r="DJ90" i="9"/>
  <c r="DM91" i="9"/>
  <c r="I87" i="34"/>
  <c r="L87" i="34"/>
  <c r="K87" i="34"/>
  <c r="J87" i="34"/>
  <c r="H87" i="34"/>
  <c r="EE92" i="9"/>
  <c r="EG93" i="9"/>
  <c r="DH94" i="9"/>
  <c r="GI94" i="9" s="1"/>
  <c r="EE94" i="9"/>
  <c r="HM94" i="9" s="1"/>
  <c r="ID94" i="9"/>
  <c r="FL95" i="9"/>
  <c r="DM96" i="9"/>
  <c r="EQ96" i="9"/>
  <c r="EC99" i="9"/>
  <c r="HG99" i="9" s="1"/>
  <c r="DM100" i="9"/>
  <c r="L8" i="34"/>
  <c r="K8" i="34"/>
  <c r="J8" i="34"/>
  <c r="I8" i="34"/>
  <c r="H8" i="34"/>
  <c r="ED101" i="9"/>
  <c r="HJ101" i="9" s="1"/>
  <c r="IC101" i="9"/>
  <c r="FL102" i="9"/>
  <c r="ER102" i="9"/>
  <c r="FI102" i="9"/>
  <c r="EQ104" i="9"/>
  <c r="T74" i="12"/>
  <c r="U74" i="12" s="1"/>
  <c r="DX105" i="9"/>
  <c r="FF105" i="9"/>
  <c r="DW105" i="9"/>
  <c r="EC105" i="9"/>
  <c r="HG105" i="9" s="1"/>
  <c r="DO107" i="9"/>
  <c r="DN107" i="9"/>
  <c r="EC107" i="9"/>
  <c r="HG107" i="9" s="1"/>
  <c r="DN110" i="9"/>
  <c r="IA112" i="9"/>
  <c r="W7" i="12"/>
  <c r="X7" i="12" s="1"/>
  <c r="EI113" i="9"/>
  <c r="EG113" i="9"/>
  <c r="ED113" i="9"/>
  <c r="HJ113" i="9" s="1"/>
  <c r="L71" i="30"/>
  <c r="H71" i="30"/>
  <c r="K71" i="30"/>
  <c r="J71" i="30"/>
  <c r="I71" i="30"/>
  <c r="HZ114" i="9"/>
  <c r="DI114" i="9"/>
  <c r="GL114" i="9" s="1"/>
  <c r="IC114" i="9"/>
  <c r="DK114" i="9"/>
  <c r="GR114" i="9" s="1"/>
  <c r="EC115" i="9"/>
  <c r="HG115" i="9" s="1"/>
  <c r="EQ116" i="9"/>
  <c r="EG117" i="9"/>
  <c r="L83" i="30"/>
  <c r="K83" i="30"/>
  <c r="J83" i="30"/>
  <c r="I83" i="30"/>
  <c r="H83" i="30"/>
  <c r="DH118" i="9"/>
  <c r="GI118" i="9" s="1"/>
  <c r="ID118" i="9"/>
  <c r="HZ118" i="9"/>
  <c r="DJ118" i="9"/>
  <c r="GO118" i="9" s="1"/>
  <c r="IB118" i="9"/>
  <c r="DT118" i="9"/>
  <c r="GX118" i="9" s="1"/>
  <c r="DI119" i="9"/>
  <c r="GL119" i="9" s="1"/>
  <c r="T20" i="12"/>
  <c r="U20" i="12" s="1"/>
  <c r="FF120" i="9"/>
  <c r="ED120" i="9"/>
  <c r="HJ120" i="9" s="1"/>
  <c r="J54" i="30"/>
  <c r="I54" i="30"/>
  <c r="H54" i="30"/>
  <c r="K54" i="30"/>
  <c r="L54" i="30"/>
  <c r="IB123" i="9"/>
  <c r="HZ123" i="9"/>
  <c r="FC123" i="9"/>
  <c r="BD123" i="9"/>
  <c r="DJ123" i="9"/>
  <c r="GO123" i="9" s="1"/>
  <c r="DI123" i="9"/>
  <c r="GL123" i="9" s="1"/>
  <c r="DH123" i="9"/>
  <c r="GI123" i="9" s="1"/>
  <c r="U95" i="24"/>
  <c r="W38" i="12"/>
  <c r="X38" i="12" s="1"/>
  <c r="FI125" i="9"/>
  <c r="EJ125" i="9"/>
  <c r="EI125" i="9"/>
  <c r="EH125" i="9"/>
  <c r="EE125" i="9"/>
  <c r="HM125" i="9" s="1"/>
  <c r="EO126" i="9"/>
  <c r="HV126" i="9" s="1"/>
  <c r="DT128" i="9"/>
  <c r="GX128" i="9" s="1"/>
  <c r="DS128" i="9"/>
  <c r="GU128" i="9" s="1"/>
  <c r="FF128" i="9"/>
  <c r="EQ129" i="9"/>
  <c r="ES129" i="9"/>
  <c r="T98" i="12"/>
  <c r="U98" i="12" s="1"/>
  <c r="FF133" i="9"/>
  <c r="DX133" i="9"/>
  <c r="FL134" i="9"/>
  <c r="BI136" i="9"/>
  <c r="J95" i="30"/>
  <c r="I95" i="30"/>
  <c r="H95" i="30"/>
  <c r="K95" i="30"/>
  <c r="L95" i="30"/>
  <c r="IC137" i="9"/>
  <c r="IA137" i="9"/>
  <c r="DK137" i="9"/>
  <c r="GR137" i="9" s="1"/>
  <c r="DJ137" i="9"/>
  <c r="GO137" i="9" s="1"/>
  <c r="DI137" i="9"/>
  <c r="GL137" i="9" s="1"/>
  <c r="DH137" i="9"/>
  <c r="GI137" i="9" s="1"/>
  <c r="BD137" i="9"/>
  <c r="U102" i="25"/>
  <c r="EN142" i="9"/>
  <c r="HS142" i="9" s="1"/>
  <c r="I104" i="36"/>
  <c r="L104" i="36"/>
  <c r="K104" i="36"/>
  <c r="J104" i="36"/>
  <c r="H104" i="36"/>
  <c r="EN143" i="9"/>
  <c r="HS143" i="9" s="1"/>
  <c r="EQ144" i="9"/>
  <c r="EN145" i="9"/>
  <c r="HS145" i="9" s="1"/>
  <c r="L78" i="34"/>
  <c r="K78" i="34"/>
  <c r="J78" i="34"/>
  <c r="I78" i="34"/>
  <c r="H78" i="34"/>
  <c r="ED146" i="9"/>
  <c r="EC146" i="9"/>
  <c r="HG146" i="9" s="1"/>
  <c r="EB146" i="9"/>
  <c r="EM151" i="9"/>
  <c r="HP151" i="9" s="1"/>
  <c r="BD152" i="9"/>
  <c r="JP7" i="10"/>
  <c r="S63" i="17"/>
  <c r="Q30" i="12"/>
  <c r="R30" i="12" s="1"/>
  <c r="N30" i="12"/>
  <c r="O30" i="12" s="1"/>
  <c r="L19" i="36"/>
  <c r="K19" i="36"/>
  <c r="J19" i="36"/>
  <c r="I19" i="36"/>
  <c r="H19" i="36"/>
  <c r="EM56" i="9"/>
  <c r="HP56" i="9" s="1"/>
  <c r="S36" i="17"/>
  <c r="N44" i="12"/>
  <c r="O44" i="12" s="1"/>
  <c r="Q44" i="12"/>
  <c r="R44" i="12" s="1"/>
  <c r="S37" i="17"/>
  <c r="Q50" i="12"/>
  <c r="R50" i="12" s="1"/>
  <c r="N50" i="12"/>
  <c r="O50" i="12" s="1"/>
  <c r="S9" i="17"/>
  <c r="Q79" i="12"/>
  <c r="R79" i="12" s="1"/>
  <c r="N79" i="12"/>
  <c r="O79" i="12" s="1"/>
  <c r="L82" i="36"/>
  <c r="K82" i="36"/>
  <c r="J82" i="36"/>
  <c r="I82" i="36"/>
  <c r="H82" i="36"/>
  <c r="EM71" i="9"/>
  <c r="HP71" i="9" s="1"/>
  <c r="L61" i="32"/>
  <c r="K61" i="32"/>
  <c r="J61" i="32"/>
  <c r="I61" i="32"/>
  <c r="H61" i="32"/>
  <c r="FF74" i="9"/>
  <c r="H14" i="30"/>
  <c r="I14" i="30"/>
  <c r="J14" i="30"/>
  <c r="L14" i="30"/>
  <c r="K14" i="30"/>
  <c r="ID76" i="9"/>
  <c r="IC76" i="9"/>
  <c r="K72" i="30"/>
  <c r="L72" i="30"/>
  <c r="J72" i="30"/>
  <c r="I72" i="30"/>
  <c r="H72" i="30"/>
  <c r="IC81" i="9"/>
  <c r="S12" i="17"/>
  <c r="Q10" i="12"/>
  <c r="R10" i="12" s="1"/>
  <c r="N10" i="12"/>
  <c r="O10" i="12" s="1"/>
  <c r="DM82" i="9"/>
  <c r="DI83" i="9"/>
  <c r="GL83" i="9" s="1"/>
  <c r="HZ83" i="9"/>
  <c r="H14" i="34"/>
  <c r="L14" i="34"/>
  <c r="K14" i="34"/>
  <c r="J14" i="34"/>
  <c r="I14" i="34"/>
  <c r="EB84" i="9"/>
  <c r="HD84" i="9" s="1"/>
  <c r="FF84" i="9"/>
  <c r="FL85" i="9"/>
  <c r="W81" i="12"/>
  <c r="X81" i="12" s="1"/>
  <c r="EI92" i="9"/>
  <c r="DX93" i="9"/>
  <c r="L21" i="36"/>
  <c r="K21" i="36"/>
  <c r="J21" i="36"/>
  <c r="I21" i="36"/>
  <c r="H21" i="36"/>
  <c r="DJ96" i="9"/>
  <c r="GO96" i="9" s="1"/>
  <c r="DH96" i="9"/>
  <c r="GI96" i="9" s="1"/>
  <c r="DH97" i="9"/>
  <c r="GI97" i="9" s="1"/>
  <c r="ID97" i="9"/>
  <c r="S21" i="17"/>
  <c r="Q9" i="12"/>
  <c r="R9" i="12" s="1"/>
  <c r="N9" i="12"/>
  <c r="O9" i="12" s="1"/>
  <c r="DO101" i="9"/>
  <c r="DM101" i="9"/>
  <c r="DU102" i="9"/>
  <c r="HA102" i="9" s="1"/>
  <c r="ED103" i="9"/>
  <c r="HJ103" i="9" s="1"/>
  <c r="EB103" i="9"/>
  <c r="HD103" i="9" s="1"/>
  <c r="FI104" i="9"/>
  <c r="L83" i="32"/>
  <c r="K83" i="32"/>
  <c r="J83" i="32"/>
  <c r="I83" i="32"/>
  <c r="H83" i="32"/>
  <c r="DU105" i="9"/>
  <c r="HA105" i="9" s="1"/>
  <c r="W36" i="12"/>
  <c r="X36" i="12" s="1"/>
  <c r="EI108" i="9"/>
  <c r="EG108" i="9"/>
  <c r="ES111" i="9"/>
  <c r="FL111" i="9"/>
  <c r="DS112" i="9"/>
  <c r="GU112" i="9" s="1"/>
  <c r="J85" i="32"/>
  <c r="I85" i="32"/>
  <c r="H85" i="32"/>
  <c r="L85" i="32"/>
  <c r="K85" i="32"/>
  <c r="DU113" i="9"/>
  <c r="HA113" i="9" s="1"/>
  <c r="DS113" i="9"/>
  <c r="GU113" i="9" s="1"/>
  <c r="W39" i="12"/>
  <c r="X39" i="12" s="1"/>
  <c r="EG116" i="9"/>
  <c r="DY117" i="9"/>
  <c r="T60" i="12"/>
  <c r="U60" i="12" s="1"/>
  <c r="DX118" i="9"/>
  <c r="DY118" i="9"/>
  <c r="FI120" i="9"/>
  <c r="L87" i="30"/>
  <c r="K87" i="30"/>
  <c r="J87" i="30"/>
  <c r="I87" i="30"/>
  <c r="H87" i="30"/>
  <c r="HZ121" i="9"/>
  <c r="I60" i="36"/>
  <c r="H60" i="36"/>
  <c r="L60" i="36"/>
  <c r="K60" i="36"/>
  <c r="J60" i="36"/>
  <c r="EO122" i="9"/>
  <c r="HV122" i="9" s="1"/>
  <c r="L95" i="32"/>
  <c r="K95" i="32"/>
  <c r="J95" i="32"/>
  <c r="H95" i="32"/>
  <c r="I95" i="32"/>
  <c r="DU123" i="9"/>
  <c r="HA123" i="9" s="1"/>
  <c r="DS123" i="9"/>
  <c r="GU123" i="9" s="1"/>
  <c r="T95" i="12"/>
  <c r="U95" i="12" s="1"/>
  <c r="DY124" i="9"/>
  <c r="DX124" i="9"/>
  <c r="IB124" i="9"/>
  <c r="S6" i="17"/>
  <c r="Q38" i="12"/>
  <c r="R38" i="12" s="1"/>
  <c r="N38" i="12"/>
  <c r="O38" i="12" s="1"/>
  <c r="IB129" i="9"/>
  <c r="BI130" i="9"/>
  <c r="FC130" i="9"/>
  <c r="DP130" i="9"/>
  <c r="IB130" i="9"/>
  <c r="DU131" i="9"/>
  <c r="HA131" i="9" s="1"/>
  <c r="ES132" i="9"/>
  <c r="S13" i="17"/>
  <c r="N98" i="12"/>
  <c r="O98" i="12" s="1"/>
  <c r="Q98" i="12"/>
  <c r="R98" i="12" s="1"/>
  <c r="FC133" i="9"/>
  <c r="DP133" i="9"/>
  <c r="DN133" i="9"/>
  <c r="EG134" i="9"/>
  <c r="L94" i="34"/>
  <c r="K94" i="34"/>
  <c r="J94" i="34"/>
  <c r="I94" i="34"/>
  <c r="H94" i="34"/>
  <c r="EG139" i="9"/>
  <c r="W104" i="12"/>
  <c r="X104" i="12" s="1"/>
  <c r="FI141" i="9"/>
  <c r="EJ142" i="9"/>
  <c r="FC143" i="9"/>
  <c r="I100" i="36"/>
  <c r="H100" i="36"/>
  <c r="L100" i="36"/>
  <c r="K100" i="36"/>
  <c r="J100" i="36"/>
  <c r="DU144" i="9"/>
  <c r="HA144" i="9" s="1"/>
  <c r="I100" i="32"/>
  <c r="H100" i="32"/>
  <c r="L100" i="32"/>
  <c r="J100" i="32"/>
  <c r="K100" i="32"/>
  <c r="DS145" i="9"/>
  <c r="GU145" i="9" s="1"/>
  <c r="EG146" i="9"/>
  <c r="W82" i="12"/>
  <c r="X82" i="12" s="1"/>
  <c r="EI149" i="9"/>
  <c r="EG149" i="9"/>
  <c r="DM151" i="9"/>
  <c r="DT152" i="9"/>
  <c r="GX152" i="9" s="1"/>
  <c r="L66" i="36"/>
  <c r="K66" i="36"/>
  <c r="J66" i="36"/>
  <c r="I66" i="36"/>
  <c r="H66" i="36"/>
  <c r="EM64" i="9"/>
  <c r="HP64" i="9" s="1"/>
  <c r="I44" i="32"/>
  <c r="H44" i="32"/>
  <c r="K44" i="32"/>
  <c r="J44" i="32"/>
  <c r="L44" i="32"/>
  <c r="S56" i="17"/>
  <c r="Q73" i="12"/>
  <c r="R73" i="12" s="1"/>
  <c r="N73" i="12"/>
  <c r="O73" i="12" s="1"/>
  <c r="L38" i="36"/>
  <c r="K38" i="36"/>
  <c r="J38" i="36"/>
  <c r="I38" i="36"/>
  <c r="H38" i="36"/>
  <c r="EM73" i="9"/>
  <c r="HP73" i="9" s="1"/>
  <c r="L84" i="34"/>
  <c r="K84" i="34"/>
  <c r="J84" i="34"/>
  <c r="I84" i="34"/>
  <c r="H84" i="34"/>
  <c r="ID83" i="9"/>
  <c r="DX84" i="9"/>
  <c r="I30" i="32"/>
  <c r="H30" i="32"/>
  <c r="J30" i="32"/>
  <c r="L30" i="32"/>
  <c r="K30" i="32"/>
  <c r="DU87" i="9"/>
  <c r="HA87" i="9" s="1"/>
  <c r="DS87" i="9"/>
  <c r="GU87" i="9" s="1"/>
  <c r="DU88" i="9"/>
  <c r="DS88" i="9"/>
  <c r="L39" i="32"/>
  <c r="K39" i="32"/>
  <c r="I39" i="32"/>
  <c r="H39" i="32"/>
  <c r="J39" i="32"/>
  <c r="DU89" i="9"/>
  <c r="DS89" i="9"/>
  <c r="L53" i="32"/>
  <c r="K53" i="32"/>
  <c r="J53" i="32"/>
  <c r="I53" i="32"/>
  <c r="H53" i="32"/>
  <c r="DU90" i="9"/>
  <c r="DS90" i="9"/>
  <c r="W28" i="12"/>
  <c r="X28" i="12" s="1"/>
  <c r="EI94" i="9"/>
  <c r="EG94" i="9"/>
  <c r="DU99" i="9"/>
  <c r="HA99" i="9" s="1"/>
  <c r="DS99" i="9"/>
  <c r="GU99" i="9" s="1"/>
  <c r="DY104" i="9"/>
  <c r="HZ107" i="9"/>
  <c r="FF107" i="9"/>
  <c r="FL110" i="9"/>
  <c r="ED111" i="9"/>
  <c r="HJ111" i="9" s="1"/>
  <c r="I59" i="34"/>
  <c r="L59" i="34"/>
  <c r="J59" i="34"/>
  <c r="H59" i="34"/>
  <c r="K59" i="34"/>
  <c r="ER121" i="9"/>
  <c r="DH125" i="9"/>
  <c r="GI125" i="9" s="1"/>
  <c r="ID125" i="9"/>
  <c r="DI129" i="9"/>
  <c r="GL129" i="9" s="1"/>
  <c r="EJ131" i="9"/>
  <c r="EH131" i="9"/>
  <c r="IC131" i="9"/>
  <c r="K102" i="30"/>
  <c r="H102" i="30"/>
  <c r="L102" i="30"/>
  <c r="J102" i="30"/>
  <c r="I102" i="30"/>
  <c r="IC134" i="9"/>
  <c r="IA134" i="9"/>
  <c r="L96" i="36"/>
  <c r="K96" i="36"/>
  <c r="J96" i="36"/>
  <c r="H96" i="36"/>
  <c r="I96" i="36"/>
  <c r="EN137" i="9"/>
  <c r="HS137" i="9" s="1"/>
  <c r="ER138" i="9"/>
  <c r="FF139" i="9"/>
  <c r="DM140" i="9"/>
  <c r="K85" i="34"/>
  <c r="J85" i="34"/>
  <c r="I85" i="34"/>
  <c r="H85" i="34"/>
  <c r="L85" i="34"/>
  <c r="EE142" i="9"/>
  <c r="HM142" i="9" s="1"/>
  <c r="EC142" i="9"/>
  <c r="HG142" i="9" s="1"/>
  <c r="EQ142" i="9"/>
  <c r="FI142" i="9"/>
  <c r="L68" i="32"/>
  <c r="K68" i="32"/>
  <c r="J68" i="32"/>
  <c r="I68" i="32"/>
  <c r="H68" i="32"/>
  <c r="W94" i="12"/>
  <c r="X94" i="12" s="1"/>
  <c r="EH144" i="9"/>
  <c r="IB144" i="9"/>
  <c r="S106" i="17"/>
  <c r="Q106" i="12"/>
  <c r="R106" i="12" s="1"/>
  <c r="N106" i="12"/>
  <c r="O106" i="12" s="1"/>
  <c r="L80" i="30"/>
  <c r="K80" i="30"/>
  <c r="J80" i="30"/>
  <c r="I80" i="30"/>
  <c r="H80" i="30"/>
  <c r="IC146" i="9"/>
  <c r="IA146" i="9"/>
  <c r="L91" i="34"/>
  <c r="K91" i="34"/>
  <c r="J91" i="34"/>
  <c r="H91" i="34"/>
  <c r="I91" i="34"/>
  <c r="J94" i="30"/>
  <c r="I94" i="30"/>
  <c r="H94" i="30"/>
  <c r="K94" i="30"/>
  <c r="L94" i="30"/>
  <c r="HZ148" i="9"/>
  <c r="FF148" i="9"/>
  <c r="FI154" i="9"/>
  <c r="EJ154" i="9"/>
  <c r="EI154" i="9"/>
  <c r="EH154" i="9"/>
  <c r="EG154" i="9"/>
  <c r="L75" i="30"/>
  <c r="K75" i="30"/>
  <c r="J75" i="30"/>
  <c r="H75" i="30"/>
  <c r="I75" i="30"/>
  <c r="DI124" i="9"/>
  <c r="GL124" i="9" s="1"/>
  <c r="BD125" i="9"/>
  <c r="L81" i="36"/>
  <c r="K81" i="36"/>
  <c r="J81" i="36"/>
  <c r="I81" i="36"/>
  <c r="H81" i="36"/>
  <c r="EM128" i="9"/>
  <c r="HP128" i="9" s="1"/>
  <c r="S23" i="17"/>
  <c r="Q92" i="12"/>
  <c r="R92" i="12" s="1"/>
  <c r="N92" i="12"/>
  <c r="O92" i="12" s="1"/>
  <c r="BI134" i="9"/>
  <c r="L79" i="36"/>
  <c r="K79" i="36"/>
  <c r="J79" i="36"/>
  <c r="I79" i="36"/>
  <c r="H79" i="36"/>
  <c r="EN135" i="9"/>
  <c r="HS135" i="9" s="1"/>
  <c r="Z75" i="12"/>
  <c r="AA75" i="12" s="1"/>
  <c r="EQ137" i="9"/>
  <c r="W86" i="12"/>
  <c r="X86" i="12" s="1"/>
  <c r="EJ138" i="9"/>
  <c r="L63" i="36"/>
  <c r="K63" i="36"/>
  <c r="J63" i="36"/>
  <c r="I63" i="36"/>
  <c r="H63" i="36"/>
  <c r="L99" i="34"/>
  <c r="K99" i="34"/>
  <c r="H99" i="34"/>
  <c r="I99" i="34"/>
  <c r="J99" i="34"/>
  <c r="EC140" i="9"/>
  <c r="HG140" i="9" s="1"/>
  <c r="L67" i="32"/>
  <c r="K67" i="32"/>
  <c r="J67" i="32"/>
  <c r="I67" i="32"/>
  <c r="H67" i="32"/>
  <c r="DY142" i="9"/>
  <c r="S90" i="17"/>
  <c r="Q105" i="12"/>
  <c r="R105" i="12" s="1"/>
  <c r="N105" i="12"/>
  <c r="O105" i="12" s="1"/>
  <c r="S26" i="17"/>
  <c r="N84" i="12"/>
  <c r="O84" i="12" s="1"/>
  <c r="Q84" i="12"/>
  <c r="R84" i="12" s="1"/>
  <c r="BI146" i="9"/>
  <c r="DY151" i="9"/>
  <c r="DX151" i="9"/>
  <c r="DK153" i="9"/>
  <c r="GR153" i="9" s="1"/>
  <c r="ID153" i="9"/>
  <c r="L55" i="32"/>
  <c r="K55" i="32"/>
  <c r="J55" i="32"/>
  <c r="I55" i="32"/>
  <c r="H55" i="32"/>
  <c r="L31" i="30"/>
  <c r="K31" i="30"/>
  <c r="J31" i="30"/>
  <c r="I31" i="30"/>
  <c r="H31" i="30"/>
  <c r="IC125" i="9"/>
  <c r="EN128" i="9"/>
  <c r="HS128" i="9" s="1"/>
  <c r="IC129" i="9"/>
  <c r="IA129" i="9"/>
  <c r="S61" i="17"/>
  <c r="N70" i="12"/>
  <c r="O70" i="12" s="1"/>
  <c r="Q70" i="12"/>
  <c r="R70" i="12" s="1"/>
  <c r="BI135" i="9"/>
  <c r="FC135" i="9"/>
  <c r="DP135" i="9"/>
  <c r="BI139" i="9"/>
  <c r="DW139" i="9"/>
  <c r="L76" i="36"/>
  <c r="K76" i="36"/>
  <c r="J76" i="36"/>
  <c r="I76" i="36"/>
  <c r="H76" i="36"/>
  <c r="J101" i="34"/>
  <c r="I101" i="34"/>
  <c r="K101" i="34"/>
  <c r="H101" i="34"/>
  <c r="L101" i="34"/>
  <c r="FF141" i="9"/>
  <c r="HD142" i="9"/>
  <c r="T105" i="12"/>
  <c r="U105" i="12" s="1"/>
  <c r="DY143" i="9"/>
  <c r="DX143" i="9"/>
  <c r="S28" i="17"/>
  <c r="Q88" i="12"/>
  <c r="R88" i="12" s="1"/>
  <c r="N88" i="12"/>
  <c r="O88" i="12" s="1"/>
  <c r="DO148" i="9"/>
  <c r="H88" i="34"/>
  <c r="L88" i="34"/>
  <c r="K88" i="34"/>
  <c r="J88" i="34"/>
  <c r="I88" i="34"/>
  <c r="FI149" i="9"/>
  <c r="J106" i="34"/>
  <c r="H106" i="34"/>
  <c r="I106" i="34"/>
  <c r="K106" i="34"/>
  <c r="L106" i="34"/>
  <c r="EC150" i="9"/>
  <c r="HG150" i="9" s="1"/>
  <c r="J71" i="36"/>
  <c r="I71" i="36"/>
  <c r="H71" i="36"/>
  <c r="L71" i="36"/>
  <c r="K71" i="36"/>
  <c r="DS109" i="9"/>
  <c r="GU109" i="9" s="1"/>
  <c r="DJ110" i="9"/>
  <c r="GO110" i="9" s="1"/>
  <c r="DH110" i="9"/>
  <c r="GI110" i="9" s="1"/>
  <c r="DH111" i="9"/>
  <c r="GI111" i="9" s="1"/>
  <c r="ID111" i="9"/>
  <c r="S76" i="17"/>
  <c r="Q34" i="12"/>
  <c r="R34" i="12" s="1"/>
  <c r="N34" i="12"/>
  <c r="O34" i="12" s="1"/>
  <c r="DO115" i="9"/>
  <c r="DM115" i="9"/>
  <c r="L47" i="36"/>
  <c r="K47" i="36"/>
  <c r="J47" i="36"/>
  <c r="I47" i="36"/>
  <c r="H47" i="36"/>
  <c r="L82" i="34"/>
  <c r="I82" i="34"/>
  <c r="H82" i="34"/>
  <c r="J82" i="34"/>
  <c r="K82" i="34"/>
  <c r="ED117" i="9"/>
  <c r="HJ117" i="9" s="1"/>
  <c r="EB117" i="9"/>
  <c r="HD117" i="9" s="1"/>
  <c r="H69" i="34"/>
  <c r="J69" i="34"/>
  <c r="I69" i="34"/>
  <c r="K69" i="34"/>
  <c r="L69" i="34"/>
  <c r="EB118" i="9"/>
  <c r="HD118" i="9" s="1"/>
  <c r="FI118" i="9"/>
  <c r="K91" i="32"/>
  <c r="H91" i="32"/>
  <c r="I91" i="32"/>
  <c r="L91" i="32"/>
  <c r="J91" i="32"/>
  <c r="DU119" i="9"/>
  <c r="HA119" i="9" s="1"/>
  <c r="H66" i="34"/>
  <c r="L66" i="34"/>
  <c r="K66" i="34"/>
  <c r="J66" i="34"/>
  <c r="I66" i="34"/>
  <c r="EC124" i="9"/>
  <c r="HG124" i="9" s="1"/>
  <c r="DS124" i="9"/>
  <c r="GU124" i="9" s="1"/>
  <c r="H31" i="32"/>
  <c r="I31" i="32"/>
  <c r="J31" i="32"/>
  <c r="L31" i="32"/>
  <c r="K31" i="32"/>
  <c r="S7" i="17"/>
  <c r="Q89" i="12"/>
  <c r="R89" i="12" s="1"/>
  <c r="N89" i="12"/>
  <c r="O89" i="12" s="1"/>
  <c r="EO128" i="9"/>
  <c r="HV128" i="9" s="1"/>
  <c r="IA130" i="9"/>
  <c r="L96" i="32"/>
  <c r="K96" i="32"/>
  <c r="J96" i="32"/>
  <c r="I96" i="32"/>
  <c r="H96" i="32"/>
  <c r="DS133" i="9"/>
  <c r="GU133" i="9" s="1"/>
  <c r="DY135" i="9"/>
  <c r="S86" i="17"/>
  <c r="Q93" i="12"/>
  <c r="R93" i="12" s="1"/>
  <c r="N93" i="12"/>
  <c r="O93" i="12" s="1"/>
  <c r="DX139" i="9"/>
  <c r="FL140" i="9"/>
  <c r="K98" i="36"/>
  <c r="J98" i="36"/>
  <c r="I98" i="36"/>
  <c r="H98" i="36"/>
  <c r="L98" i="36"/>
  <c r="DS141" i="9"/>
  <c r="GU141" i="9" s="1"/>
  <c r="EN141" i="9"/>
  <c r="HS141" i="9" s="1"/>
  <c r="W105" i="12"/>
  <c r="X105" i="12" s="1"/>
  <c r="FI143" i="9"/>
  <c r="DX148" i="9"/>
  <c r="L89" i="36"/>
  <c r="K89" i="36"/>
  <c r="J89" i="36"/>
  <c r="I89" i="36"/>
  <c r="H89" i="36"/>
  <c r="Z92" i="12"/>
  <c r="AA92" i="12" s="1"/>
  <c r="EQ134" i="9"/>
  <c r="W70" i="12"/>
  <c r="X70" i="12" s="1"/>
  <c r="EJ135" i="9"/>
  <c r="DY139" i="9"/>
  <c r="S87" i="17"/>
  <c r="Q102" i="12"/>
  <c r="R102" i="12" s="1"/>
  <c r="N102" i="12"/>
  <c r="O102" i="12" s="1"/>
  <c r="Z84" i="12"/>
  <c r="AA84" i="12" s="1"/>
  <c r="EQ146" i="9"/>
  <c r="W88" i="12"/>
  <c r="X88" i="12" s="1"/>
  <c r="EI148" i="9"/>
  <c r="BI149" i="9"/>
  <c r="DW149" i="9"/>
  <c r="BI150" i="9"/>
  <c r="DW150" i="9"/>
  <c r="DI154" i="9"/>
  <c r="GL154" i="9" s="1"/>
  <c r="IB154" i="9"/>
  <c r="BD154" i="9"/>
  <c r="HZ154" i="9"/>
  <c r="DK154" i="9"/>
  <c r="GR154" i="9" s="1"/>
  <c r="DJ154" i="9"/>
  <c r="GO154" i="9" s="1"/>
  <c r="DH154" i="9"/>
  <c r="GI154" i="9" s="1"/>
  <c r="IA154" i="9"/>
  <c r="DX91" i="9"/>
  <c r="S104" i="17"/>
  <c r="N81" i="12"/>
  <c r="O81" i="12" s="1"/>
  <c r="Q81" i="12"/>
  <c r="R81" i="12" s="1"/>
  <c r="DO92" i="9"/>
  <c r="K7" i="36"/>
  <c r="J7" i="36"/>
  <c r="I7" i="36"/>
  <c r="H7" i="36"/>
  <c r="L7" i="36"/>
  <c r="DJ103" i="9"/>
  <c r="GO103" i="9" s="1"/>
  <c r="DH103" i="9"/>
  <c r="GI103" i="9" s="1"/>
  <c r="DH104" i="9"/>
  <c r="GI104" i="9" s="1"/>
  <c r="ID104" i="9"/>
  <c r="S41" i="17"/>
  <c r="Q36" i="12"/>
  <c r="R36" i="12" s="1"/>
  <c r="N36" i="12"/>
  <c r="O36" i="12" s="1"/>
  <c r="DO108" i="9"/>
  <c r="DM108" i="9"/>
  <c r="ED110" i="9"/>
  <c r="HJ110" i="9" s="1"/>
  <c r="EB110" i="9"/>
  <c r="HD110" i="9" s="1"/>
  <c r="FI111" i="9"/>
  <c r="W34" i="12"/>
  <c r="X34" i="12" s="1"/>
  <c r="EI115" i="9"/>
  <c r="EG115" i="9"/>
  <c r="S77" i="17"/>
  <c r="N39" i="12"/>
  <c r="O39" i="12" s="1"/>
  <c r="Q39" i="12"/>
  <c r="R39" i="12" s="1"/>
  <c r="DM116" i="9"/>
  <c r="L69" i="36"/>
  <c r="K69" i="36"/>
  <c r="J69" i="36"/>
  <c r="I69" i="36"/>
  <c r="H69" i="36"/>
  <c r="EO119" i="9"/>
  <c r="HV119" i="9" s="1"/>
  <c r="DS119" i="9"/>
  <c r="GU119" i="9" s="1"/>
  <c r="H92" i="32"/>
  <c r="I92" i="32"/>
  <c r="L92" i="32"/>
  <c r="K92" i="32"/>
  <c r="J92" i="32"/>
  <c r="DU120" i="9"/>
  <c r="HA120" i="9" s="1"/>
  <c r="DS120" i="9"/>
  <c r="GU120" i="9" s="1"/>
  <c r="K93" i="32"/>
  <c r="J93" i="32"/>
  <c r="I93" i="32"/>
  <c r="H93" i="32"/>
  <c r="L93" i="32"/>
  <c r="DU122" i="9"/>
  <c r="HA122" i="9" s="1"/>
  <c r="DU124" i="9"/>
  <c r="HA124" i="9" s="1"/>
  <c r="HZ124" i="9"/>
  <c r="H29" i="36"/>
  <c r="L29" i="36"/>
  <c r="K29" i="36"/>
  <c r="J29" i="36"/>
  <c r="I29" i="36"/>
  <c r="DS125" i="9"/>
  <c r="GU125" i="9" s="1"/>
  <c r="EN125" i="9"/>
  <c r="HS125" i="9" s="1"/>
  <c r="IC126" i="9"/>
  <c r="IA126" i="9"/>
  <c r="W89" i="12"/>
  <c r="X89" i="12" s="1"/>
  <c r="FI127" i="9"/>
  <c r="DU129" i="9"/>
  <c r="HA129" i="9" s="1"/>
  <c r="L105" i="36"/>
  <c r="H105" i="36"/>
  <c r="I105" i="36"/>
  <c r="K105" i="36"/>
  <c r="J105" i="36"/>
  <c r="DU133" i="9"/>
  <c r="HA133" i="9" s="1"/>
  <c r="J103" i="30"/>
  <c r="L103" i="30"/>
  <c r="K103" i="30"/>
  <c r="I103" i="30"/>
  <c r="H103" i="30"/>
  <c r="IC136" i="9"/>
  <c r="EG138" i="9"/>
  <c r="T102" i="12"/>
  <c r="U102" i="12" s="1"/>
  <c r="DY140" i="9"/>
  <c r="DX140" i="9"/>
  <c r="S88" i="17"/>
  <c r="Q104" i="12"/>
  <c r="R104" i="12" s="1"/>
  <c r="N104" i="12"/>
  <c r="O104" i="12" s="1"/>
  <c r="DU141" i="9"/>
  <c r="HA141" i="9" s="1"/>
  <c r="EH142" i="9"/>
  <c r="L60" i="32"/>
  <c r="K60" i="32"/>
  <c r="J60" i="32"/>
  <c r="I60" i="32"/>
  <c r="H60" i="32"/>
  <c r="DS144" i="9"/>
  <c r="GU144" i="9" s="1"/>
  <c r="S29" i="17"/>
  <c r="N82" i="12"/>
  <c r="O82" i="12" s="1"/>
  <c r="Q82" i="12"/>
  <c r="R82" i="12" s="1"/>
  <c r="DO149" i="9"/>
  <c r="DM149" i="9"/>
  <c r="DX149" i="9"/>
  <c r="S93" i="17"/>
  <c r="Q22" i="12"/>
  <c r="R22" i="12" s="1"/>
  <c r="N22" i="12"/>
  <c r="O22" i="12" s="1"/>
  <c r="DP150" i="9"/>
  <c r="DX150" i="9"/>
  <c r="ER152" i="9"/>
  <c r="FL152" i="9"/>
  <c r="IC154" i="9"/>
  <c r="JG7" i="10"/>
  <c r="DY149" i="9"/>
  <c r="DY150" i="9"/>
  <c r="IB152" i="9"/>
  <c r="DS152" i="9"/>
  <c r="GU152" i="9" s="1"/>
  <c r="ES152" i="9"/>
  <c r="DI153" i="9"/>
  <c r="GL153" i="9" s="1"/>
  <c r="IA153" i="9"/>
  <c r="DJ153" i="9"/>
  <c r="GO153" i="9" s="1"/>
  <c r="IB153" i="9"/>
  <c r="DS153" i="9"/>
  <c r="GU153" i="9" s="1"/>
  <c r="FC154" i="9"/>
  <c r="DP154" i="9"/>
  <c r="S15" i="17"/>
  <c r="Q6" i="12"/>
  <c r="R6" i="12" s="1"/>
  <c r="N6" i="12"/>
  <c r="O6" i="12" s="1"/>
  <c r="S94" i="17"/>
  <c r="N76" i="12"/>
  <c r="O76" i="12" s="1"/>
  <c r="Q76" i="12"/>
  <c r="R76" i="12" s="1"/>
  <c r="J27" i="36"/>
  <c r="I27" i="36"/>
  <c r="L27" i="36"/>
  <c r="K27" i="36"/>
  <c r="H27" i="36"/>
  <c r="EM79" i="9"/>
  <c r="HP79" i="9" s="1"/>
  <c r="L80" i="32"/>
  <c r="K80" i="32"/>
  <c r="J80" i="32"/>
  <c r="I80" i="32"/>
  <c r="H80" i="32"/>
  <c r="L25" i="36"/>
  <c r="K25" i="36"/>
  <c r="I25" i="36"/>
  <c r="H25" i="36"/>
  <c r="J25" i="36"/>
  <c r="EM87" i="9"/>
  <c r="HP87" i="9" s="1"/>
  <c r="J62" i="36"/>
  <c r="I62" i="36"/>
  <c r="H62" i="36"/>
  <c r="L62" i="36"/>
  <c r="K62" i="36"/>
  <c r="EM89" i="9"/>
  <c r="L97" i="36"/>
  <c r="K97" i="36"/>
  <c r="J97" i="36"/>
  <c r="I97" i="36"/>
  <c r="H97" i="36"/>
  <c r="EM90" i="9"/>
  <c r="K47" i="32"/>
  <c r="J47" i="32"/>
  <c r="I47" i="32"/>
  <c r="H47" i="32"/>
  <c r="L47" i="32"/>
  <c r="L54" i="32"/>
  <c r="K54" i="32"/>
  <c r="J54" i="32"/>
  <c r="I54" i="32"/>
  <c r="H54" i="32"/>
  <c r="L50" i="32"/>
  <c r="K50" i="32"/>
  <c r="J50" i="32"/>
  <c r="I50" i="32"/>
  <c r="H50" i="32"/>
  <c r="S22" i="17"/>
  <c r="Q74" i="12"/>
  <c r="R74" i="12" s="1"/>
  <c r="N74" i="12"/>
  <c r="O74" i="12" s="1"/>
  <c r="L11" i="36"/>
  <c r="K11" i="36"/>
  <c r="J11" i="36"/>
  <c r="I11" i="36"/>
  <c r="H11" i="36"/>
  <c r="EM113" i="9"/>
  <c r="HP113" i="9" s="1"/>
  <c r="I86" i="32"/>
  <c r="H86" i="32"/>
  <c r="L86" i="32"/>
  <c r="K86" i="32"/>
  <c r="J86" i="32"/>
  <c r="S80" i="17"/>
  <c r="Q41" i="12"/>
  <c r="R41" i="12" s="1"/>
  <c r="N41" i="12"/>
  <c r="O41" i="12" s="1"/>
  <c r="L36" i="36"/>
  <c r="K36" i="36"/>
  <c r="J36" i="36"/>
  <c r="I36" i="36"/>
  <c r="H36" i="36"/>
  <c r="EM120" i="9"/>
  <c r="HP120" i="9" s="1"/>
  <c r="H59" i="32"/>
  <c r="L59" i="32"/>
  <c r="K59" i="32"/>
  <c r="J59" i="32"/>
  <c r="I59" i="32"/>
  <c r="S11" i="17"/>
  <c r="Q64" i="12"/>
  <c r="R64" i="12" s="1"/>
  <c r="N64" i="12"/>
  <c r="O64" i="12" s="1"/>
  <c r="H59" i="36"/>
  <c r="I59" i="36"/>
  <c r="L59" i="36"/>
  <c r="K59" i="36"/>
  <c r="J59" i="36"/>
  <c r="EM123" i="9"/>
  <c r="HP123" i="9" s="1"/>
  <c r="ES124" i="9"/>
  <c r="DW125" i="9"/>
  <c r="EQ125" i="9"/>
  <c r="ES127" i="9"/>
  <c r="EQ128" i="9"/>
  <c r="L85" i="30"/>
  <c r="K85" i="30"/>
  <c r="J85" i="30"/>
  <c r="I85" i="30"/>
  <c r="H85" i="30"/>
  <c r="H105" i="30"/>
  <c r="L105" i="30"/>
  <c r="K105" i="30"/>
  <c r="J105" i="30"/>
  <c r="I105" i="30"/>
  <c r="I64" i="34"/>
  <c r="L64" i="34"/>
  <c r="J64" i="34"/>
  <c r="K64" i="34"/>
  <c r="H64" i="34"/>
  <c r="DW136" i="9"/>
  <c r="EQ136" i="9"/>
  <c r="I73" i="34"/>
  <c r="H73" i="34"/>
  <c r="L73" i="34"/>
  <c r="K73" i="34"/>
  <c r="J73" i="34"/>
  <c r="ES140" i="9"/>
  <c r="DW141" i="9"/>
  <c r="EQ141" i="9"/>
  <c r="ES143" i="9"/>
  <c r="J99" i="36"/>
  <c r="I99" i="36"/>
  <c r="H99" i="36"/>
  <c r="L99" i="36"/>
  <c r="K99" i="36"/>
  <c r="EM147" i="9"/>
  <c r="L103" i="32"/>
  <c r="J103" i="32"/>
  <c r="H103" i="32"/>
  <c r="K103" i="32"/>
  <c r="I103" i="32"/>
  <c r="K106" i="32"/>
  <c r="L106" i="32"/>
  <c r="J106" i="32"/>
  <c r="I106" i="32"/>
  <c r="H106" i="32"/>
  <c r="FI151" i="9"/>
  <c r="JO7" i="10"/>
  <c r="S98" i="17"/>
  <c r="Q16" i="12"/>
  <c r="R16" i="12" s="1"/>
  <c r="N16" i="12"/>
  <c r="O16" i="12" s="1"/>
  <c r="S101" i="17"/>
  <c r="Q45" i="12"/>
  <c r="R45" i="12" s="1"/>
  <c r="N45" i="12"/>
  <c r="O45" i="12" s="1"/>
  <c r="S71" i="17"/>
  <c r="Q90" i="12"/>
  <c r="R90" i="12" s="1"/>
  <c r="N90" i="12"/>
  <c r="O90" i="12" s="1"/>
  <c r="J85" i="36"/>
  <c r="I85" i="36"/>
  <c r="H85" i="36"/>
  <c r="L85" i="36"/>
  <c r="K85" i="36"/>
  <c r="EM91" i="9"/>
  <c r="HP91" i="9" s="1"/>
  <c r="L94" i="36"/>
  <c r="J94" i="36"/>
  <c r="I94" i="36"/>
  <c r="K94" i="36"/>
  <c r="H94" i="36"/>
  <c r="EM92" i="9"/>
  <c r="L90" i="36"/>
  <c r="K90" i="36"/>
  <c r="J90" i="36"/>
  <c r="I90" i="36"/>
  <c r="H90" i="36"/>
  <c r="EM93" i="9"/>
  <c r="HP93" i="9" s="1"/>
  <c r="L8" i="32"/>
  <c r="K8" i="32"/>
  <c r="J8" i="32"/>
  <c r="I8" i="32"/>
  <c r="H8" i="32"/>
  <c r="L82" i="32"/>
  <c r="K82" i="32"/>
  <c r="J82" i="32"/>
  <c r="I82" i="32"/>
  <c r="H82" i="32"/>
  <c r="K84" i="32"/>
  <c r="J84" i="32"/>
  <c r="I84" i="32"/>
  <c r="H84" i="32"/>
  <c r="L84" i="32"/>
  <c r="S74" i="17"/>
  <c r="Q7" i="12"/>
  <c r="R7" i="12" s="1"/>
  <c r="N7" i="12"/>
  <c r="O7" i="12" s="1"/>
  <c r="I72" i="36"/>
  <c r="H72" i="36"/>
  <c r="K72" i="36"/>
  <c r="J72" i="36"/>
  <c r="L72" i="36"/>
  <c r="EM114" i="9"/>
  <c r="HP114" i="9" s="1"/>
  <c r="H87" i="32"/>
  <c r="L87" i="32"/>
  <c r="K87" i="32"/>
  <c r="J87" i="32"/>
  <c r="I87" i="32"/>
  <c r="S55" i="17"/>
  <c r="Q20" i="12"/>
  <c r="R20" i="12" s="1"/>
  <c r="N20" i="12"/>
  <c r="O20" i="12" s="1"/>
  <c r="I86" i="36"/>
  <c r="H86" i="36"/>
  <c r="L86" i="36"/>
  <c r="K86" i="36"/>
  <c r="J86" i="36"/>
  <c r="EM121" i="9"/>
  <c r="HP121" i="9" s="1"/>
  <c r="S16" i="17"/>
  <c r="Q40" i="12"/>
  <c r="R40" i="12" s="1"/>
  <c r="N40" i="12"/>
  <c r="O40" i="12" s="1"/>
  <c r="ES125" i="9"/>
  <c r="I76" i="34"/>
  <c r="H76" i="34"/>
  <c r="J76" i="34"/>
  <c r="L76" i="34"/>
  <c r="K76" i="34"/>
  <c r="L97" i="34"/>
  <c r="K97" i="34"/>
  <c r="J97" i="34"/>
  <c r="I97" i="34"/>
  <c r="H97" i="34"/>
  <c r="DW134" i="9"/>
  <c r="ES136" i="9"/>
  <c r="DW137" i="9"/>
  <c r="ES141" i="9"/>
  <c r="I100" i="30"/>
  <c r="H100" i="30"/>
  <c r="J100" i="30"/>
  <c r="L100" i="30"/>
  <c r="K100" i="30"/>
  <c r="DW146" i="9"/>
  <c r="L92" i="36"/>
  <c r="K92" i="36"/>
  <c r="I92" i="36"/>
  <c r="H92" i="36"/>
  <c r="J92" i="36"/>
  <c r="EM148" i="9"/>
  <c r="HP148" i="9" s="1"/>
  <c r="K104" i="32"/>
  <c r="L104" i="32"/>
  <c r="J104" i="32"/>
  <c r="I104" i="32"/>
  <c r="H104" i="32"/>
  <c r="L46" i="36"/>
  <c r="K46" i="36"/>
  <c r="J46" i="36"/>
  <c r="I46" i="36"/>
  <c r="H46" i="36"/>
  <c r="EO150" i="9"/>
  <c r="HV150" i="9" s="1"/>
  <c r="IC152" i="9"/>
  <c r="L13" i="12"/>
  <c r="L36" i="12"/>
  <c r="L59" i="12"/>
  <c r="K59" i="12"/>
  <c r="K89" i="12"/>
  <c r="L95" i="12"/>
  <c r="K14" i="12"/>
  <c r="L28" i="12"/>
  <c r="K41" i="12"/>
  <c r="K71" i="12"/>
  <c r="L78" i="12"/>
  <c r="O83" i="12"/>
  <c r="L103" i="12"/>
  <c r="K6" i="12"/>
  <c r="K28" i="12"/>
  <c r="K55" i="12"/>
  <c r="T6" i="52"/>
  <c r="T5" i="50"/>
  <c r="T5" i="48"/>
  <c r="T5" i="56"/>
  <c r="T5" i="55"/>
  <c r="T6" i="51"/>
  <c r="T15" i="53"/>
  <c r="T15" i="54"/>
  <c r="AF15" i="45"/>
  <c r="T5" i="47"/>
  <c r="AC5" i="46"/>
  <c r="AF5" i="43"/>
  <c r="AF5" i="42"/>
  <c r="AC6" i="44"/>
  <c r="AC35" i="37"/>
  <c r="T35" i="38"/>
  <c r="Q5" i="40"/>
  <c r="T5" i="49"/>
  <c r="K20" i="12"/>
  <c r="K42" i="12"/>
  <c r="L56" i="12"/>
  <c r="L73" i="12"/>
  <c r="K73" i="12"/>
  <c r="U83" i="12"/>
  <c r="K92" i="12"/>
  <c r="T3" i="56"/>
  <c r="T33" i="54"/>
  <c r="T18" i="56"/>
  <c r="T23" i="52"/>
  <c r="T18" i="50"/>
  <c r="T3" i="50"/>
  <c r="T18" i="55"/>
  <c r="T3" i="55"/>
  <c r="T33" i="53"/>
  <c r="T3" i="52"/>
  <c r="T3" i="51"/>
  <c r="T3" i="47"/>
  <c r="T21" i="48"/>
  <c r="T21" i="47"/>
  <c r="AC18" i="46"/>
  <c r="T23" i="51"/>
  <c r="T18" i="49"/>
  <c r="AC3" i="46"/>
  <c r="AF33" i="45"/>
  <c r="AF3" i="45"/>
  <c r="T3" i="54"/>
  <c r="AC23" i="44"/>
  <c r="T15" i="38"/>
  <c r="AC3" i="44"/>
  <c r="AC13" i="37"/>
  <c r="T3" i="49"/>
  <c r="AF3" i="43"/>
  <c r="AF3" i="42"/>
  <c r="Q21" i="40"/>
  <c r="AF18" i="43"/>
  <c r="T3" i="38"/>
  <c r="T3" i="48"/>
  <c r="AF21" i="42"/>
  <c r="T3" i="53"/>
  <c r="Q3" i="40"/>
  <c r="AC3" i="37"/>
  <c r="T10" i="56"/>
  <c r="T10" i="55"/>
  <c r="T9" i="50"/>
  <c r="T10" i="54"/>
  <c r="T5" i="52"/>
  <c r="AC10" i="46"/>
  <c r="T6" i="47"/>
  <c r="T10" i="53"/>
  <c r="T5" i="51"/>
  <c r="AF10" i="45"/>
  <c r="T9" i="49"/>
  <c r="Q6" i="40"/>
  <c r="AC16" i="37"/>
  <c r="AC5" i="44"/>
  <c r="T6" i="48"/>
  <c r="AF6" i="42"/>
  <c r="AF9" i="43"/>
  <c r="T25" i="38"/>
  <c r="T27" i="56"/>
  <c r="T26" i="50"/>
  <c r="T26" i="49"/>
  <c r="AC27" i="46"/>
  <c r="AF24" i="45"/>
  <c r="T24" i="53"/>
  <c r="T27" i="47"/>
  <c r="T27" i="55"/>
  <c r="AC17" i="44"/>
  <c r="T17" i="52"/>
  <c r="T27" i="48"/>
  <c r="AF26" i="43"/>
  <c r="AF27" i="42"/>
  <c r="Q27" i="40"/>
  <c r="T22" i="38"/>
  <c r="T24" i="54"/>
  <c r="AC28" i="37"/>
  <c r="T17" i="51"/>
  <c r="K16" i="12"/>
  <c r="K43" i="12"/>
  <c r="K48" i="12"/>
  <c r="K52" i="12"/>
  <c r="K62" i="12"/>
  <c r="K68" i="12"/>
  <c r="K74" i="12"/>
  <c r="K86" i="12"/>
  <c r="K106" i="12"/>
  <c r="K12" i="12"/>
  <c r="K21" i="12"/>
  <c r="K30" i="12"/>
  <c r="K39" i="12"/>
  <c r="K57" i="12"/>
  <c r="L75" i="12"/>
  <c r="K81" i="12"/>
  <c r="L87" i="12"/>
  <c r="K87" i="12"/>
  <c r="K99" i="12"/>
  <c r="L106" i="12"/>
  <c r="K8" i="12"/>
  <c r="L17" i="12"/>
  <c r="K17" i="12"/>
  <c r="K35" i="12"/>
  <c r="L31" i="12"/>
  <c r="K31" i="12"/>
  <c r="K4" i="12"/>
  <c r="K22" i="12"/>
  <c r="K40" i="12"/>
  <c r="K49" i="12"/>
  <c r="K58" i="12"/>
  <c r="K64" i="12"/>
  <c r="K88" i="12"/>
  <c r="L101" i="12"/>
  <c r="K101" i="12"/>
  <c r="L45" i="12"/>
  <c r="K45" i="12"/>
  <c r="T4" i="56"/>
  <c r="T4" i="55"/>
  <c r="T4" i="52"/>
  <c r="T4" i="54"/>
  <c r="T4" i="53"/>
  <c r="T4" i="51"/>
  <c r="T4" i="50"/>
  <c r="T4" i="48"/>
  <c r="T4" i="49"/>
  <c r="T4" i="47"/>
  <c r="AF4" i="43"/>
  <c r="AF4" i="45"/>
  <c r="AC4" i="46"/>
  <c r="AC4" i="44"/>
  <c r="AC25" i="37"/>
  <c r="AF4" i="42"/>
  <c r="Q4" i="40"/>
  <c r="T24" i="38"/>
  <c r="T19" i="54"/>
  <c r="T20" i="55"/>
  <c r="T20" i="56"/>
  <c r="T15" i="51"/>
  <c r="T21" i="50"/>
  <c r="T15" i="52"/>
  <c r="T21" i="49"/>
  <c r="T20" i="48"/>
  <c r="T19" i="53"/>
  <c r="T20" i="47"/>
  <c r="AC15" i="44"/>
  <c r="AF21" i="43"/>
  <c r="Q20" i="40"/>
  <c r="AF19" i="45"/>
  <c r="AC20" i="46"/>
  <c r="AF20" i="42"/>
  <c r="T17" i="38"/>
  <c r="AC15" i="37"/>
  <c r="T23" i="55"/>
  <c r="T25" i="50"/>
  <c r="T23" i="56"/>
  <c r="T20" i="54"/>
  <c r="T20" i="53"/>
  <c r="T26" i="51"/>
  <c r="T24" i="47"/>
  <c r="T26" i="52"/>
  <c r="T25" i="49"/>
  <c r="AC23" i="46"/>
  <c r="AF20" i="45"/>
  <c r="AC26" i="44"/>
  <c r="Q24" i="40"/>
  <c r="T6" i="38"/>
  <c r="AF25" i="43"/>
  <c r="T24" i="48"/>
  <c r="AF24" i="42"/>
  <c r="AC12" i="37"/>
  <c r="T17" i="56"/>
  <c r="T18" i="54"/>
  <c r="T17" i="50"/>
  <c r="T20" i="51"/>
  <c r="T18" i="53"/>
  <c r="T17" i="47"/>
  <c r="T17" i="55"/>
  <c r="T17" i="48"/>
  <c r="AC17" i="46"/>
  <c r="T17" i="49"/>
  <c r="T20" i="52"/>
  <c r="AF18" i="45"/>
  <c r="AC20" i="44"/>
  <c r="AF17" i="43"/>
  <c r="Q17" i="40"/>
  <c r="AF17" i="42"/>
  <c r="T26" i="38"/>
  <c r="AC26" i="37"/>
  <c r="T14" i="51"/>
  <c r="T14" i="52"/>
  <c r="T13" i="53"/>
  <c r="T21" i="55"/>
  <c r="T19" i="48"/>
  <c r="T13" i="54"/>
  <c r="T20" i="49"/>
  <c r="T21" i="56"/>
  <c r="T20" i="50"/>
  <c r="AF19" i="42"/>
  <c r="AF13" i="45"/>
  <c r="AC14" i="44"/>
  <c r="T19" i="47"/>
  <c r="AF20" i="43"/>
  <c r="AC22" i="37"/>
  <c r="AC21" i="46"/>
  <c r="T19" i="38"/>
  <c r="Q19" i="40"/>
  <c r="T12" i="52"/>
  <c r="T6" i="54"/>
  <c r="AC7" i="46"/>
  <c r="T7" i="49"/>
  <c r="T8" i="48"/>
  <c r="T12" i="51"/>
  <c r="T8" i="47"/>
  <c r="T6" i="53"/>
  <c r="AC12" i="44"/>
  <c r="T7" i="56"/>
  <c r="AF6" i="45"/>
  <c r="T7" i="50"/>
  <c r="AF7" i="43"/>
  <c r="T27" i="38"/>
  <c r="AC19" i="37"/>
  <c r="AF8" i="42"/>
  <c r="T7" i="55"/>
  <c r="Q8" i="40"/>
  <c r="T12" i="55"/>
  <c r="T12" i="56"/>
  <c r="T25" i="54"/>
  <c r="T25" i="53"/>
  <c r="T12" i="48"/>
  <c r="AC12" i="46"/>
  <c r="T12" i="47"/>
  <c r="T12" i="50"/>
  <c r="T8" i="51"/>
  <c r="AF25" i="45"/>
  <c r="T12" i="49"/>
  <c r="T13" i="38"/>
  <c r="AC8" i="44"/>
  <c r="AF12" i="43"/>
  <c r="AF12" i="42"/>
  <c r="T8" i="52"/>
  <c r="Q12" i="40"/>
  <c r="AC23" i="37"/>
  <c r="T26" i="54"/>
  <c r="T29" i="56"/>
  <c r="T29" i="55"/>
  <c r="T28" i="48"/>
  <c r="T24" i="52"/>
  <c r="T28" i="50"/>
  <c r="T28" i="47"/>
  <c r="T28" i="49"/>
  <c r="AF26" i="45"/>
  <c r="AF28" i="42"/>
  <c r="AF28" i="43"/>
  <c r="AC8" i="37"/>
  <c r="T24" i="51"/>
  <c r="T26" i="53"/>
  <c r="AC29" i="46"/>
  <c r="T7" i="38"/>
  <c r="Q28" i="40"/>
  <c r="AC24" i="44"/>
  <c r="T23" i="54"/>
  <c r="T26" i="55"/>
  <c r="T23" i="49"/>
  <c r="T26" i="56"/>
  <c r="T23" i="53"/>
  <c r="T25" i="47"/>
  <c r="AC26" i="46"/>
  <c r="T27" i="52"/>
  <c r="AF23" i="45"/>
  <c r="T23" i="50"/>
  <c r="Q25" i="40"/>
  <c r="T27" i="51"/>
  <c r="AC27" i="44"/>
  <c r="AF25" i="42"/>
  <c r="T25" i="48"/>
  <c r="T4" i="38"/>
  <c r="AC4" i="37"/>
  <c r="AF23" i="43"/>
  <c r="T5" i="54"/>
  <c r="T6" i="56"/>
  <c r="T10" i="52"/>
  <c r="T10" i="51"/>
  <c r="T6" i="55"/>
  <c r="T5" i="53"/>
  <c r="T7" i="48"/>
  <c r="T6" i="50"/>
  <c r="T7" i="47"/>
  <c r="AC6" i="46"/>
  <c r="T6" i="49"/>
  <c r="AF5" i="45"/>
  <c r="AC10" i="44"/>
  <c r="Q7" i="40"/>
  <c r="AF6" i="43"/>
  <c r="AF7" i="42"/>
  <c r="T5" i="38"/>
  <c r="AC6" i="37"/>
  <c r="T17" i="54"/>
  <c r="T17" i="53"/>
  <c r="T19" i="50"/>
  <c r="T19" i="49"/>
  <c r="AC19" i="46"/>
  <c r="T13" i="52"/>
  <c r="T18" i="47"/>
  <c r="T18" i="48"/>
  <c r="AF17" i="45"/>
  <c r="T19" i="56"/>
  <c r="T13" i="51"/>
  <c r="AF19" i="43"/>
  <c r="AF18" i="42"/>
  <c r="T19" i="55"/>
  <c r="AC13" i="44"/>
  <c r="T16" i="38"/>
  <c r="Q18" i="40"/>
  <c r="AC17" i="37"/>
  <c r="T24" i="56"/>
  <c r="T24" i="55"/>
  <c r="T21" i="52"/>
  <c r="T21" i="53"/>
  <c r="T21" i="51"/>
  <c r="T24" i="49"/>
  <c r="T24" i="50"/>
  <c r="T23" i="48"/>
  <c r="T23" i="47"/>
  <c r="AF21" i="45"/>
  <c r="AF24" i="43"/>
  <c r="AC24" i="46"/>
  <c r="AC21" i="44"/>
  <c r="T21" i="54"/>
  <c r="T28" i="38"/>
  <c r="AC33" i="37"/>
  <c r="Q23" i="40"/>
  <c r="AF23" i="42"/>
  <c r="T9" i="52"/>
  <c r="T9" i="51"/>
  <c r="T15" i="56"/>
  <c r="T14" i="54"/>
  <c r="T15" i="49"/>
  <c r="T14" i="48"/>
  <c r="T15" i="50"/>
  <c r="T14" i="47"/>
  <c r="T14" i="53"/>
  <c r="AC15" i="46"/>
  <c r="AF14" i="45"/>
  <c r="AF15" i="43"/>
  <c r="T15" i="55"/>
  <c r="AC9" i="44"/>
  <c r="Q14" i="40"/>
  <c r="AF14" i="42"/>
  <c r="T34" i="38"/>
  <c r="AC32" i="37"/>
  <c r="T11" i="56"/>
  <c r="T11" i="50"/>
  <c r="T8" i="54"/>
  <c r="T11" i="55"/>
  <c r="T10" i="47"/>
  <c r="T10" i="48"/>
  <c r="T7" i="52"/>
  <c r="AC11" i="46"/>
  <c r="T7" i="51"/>
  <c r="AF8" i="45"/>
  <c r="T11" i="49"/>
  <c r="T8" i="53"/>
  <c r="AC7" i="44"/>
  <c r="Q10" i="40"/>
  <c r="AC10" i="37"/>
  <c r="AF11" i="43"/>
  <c r="AF10" i="42"/>
  <c r="T10" i="38"/>
  <c r="T11" i="68"/>
  <c r="T11" i="76"/>
  <c r="T11" i="75"/>
  <c r="T10" i="74"/>
  <c r="T7" i="72"/>
  <c r="T11" i="70"/>
  <c r="T10" i="73"/>
  <c r="T11" i="69"/>
  <c r="T7" i="71"/>
  <c r="AC7" i="64"/>
  <c r="AF10" i="65"/>
  <c r="T11" i="67"/>
  <c r="T11" i="58"/>
  <c r="AF11" i="63"/>
  <c r="AF11" i="62"/>
  <c r="AC11" i="66"/>
  <c r="Q11" i="60"/>
  <c r="AC11" i="57"/>
  <c r="T8" i="56"/>
  <c r="T8" i="55"/>
  <c r="T7" i="54"/>
  <c r="T8" i="50"/>
  <c r="T28" i="51"/>
  <c r="T8" i="49"/>
  <c r="T28" i="52"/>
  <c r="AC28" i="44"/>
  <c r="T7" i="53"/>
  <c r="T9" i="48"/>
  <c r="AF7" i="45"/>
  <c r="AC8" i="46"/>
  <c r="AF9" i="42"/>
  <c r="AC27" i="37"/>
  <c r="AF8" i="43"/>
  <c r="T9" i="47"/>
  <c r="T21" i="38"/>
  <c r="Q9" i="40"/>
  <c r="T9" i="55"/>
  <c r="T9" i="56"/>
  <c r="T10" i="50"/>
  <c r="T29" i="52"/>
  <c r="T9" i="53"/>
  <c r="T10" i="49"/>
  <c r="AC9" i="46"/>
  <c r="T11" i="48"/>
  <c r="T9" i="54"/>
  <c r="AF9" i="45"/>
  <c r="T29" i="51"/>
  <c r="T11" i="47"/>
  <c r="AF10" i="43"/>
  <c r="T14" i="38"/>
  <c r="AC29" i="44"/>
  <c r="Q11" i="40"/>
  <c r="AC20" i="37"/>
  <c r="AF11" i="42"/>
  <c r="T16" i="55"/>
  <c r="T16" i="56"/>
  <c r="T16" i="52"/>
  <c r="T16" i="49"/>
  <c r="T16" i="54"/>
  <c r="T16" i="53"/>
  <c r="T16" i="47"/>
  <c r="T16" i="48"/>
  <c r="T16" i="51"/>
  <c r="AC16" i="44"/>
  <c r="AF16" i="45"/>
  <c r="T16" i="50"/>
  <c r="AC5" i="37"/>
  <c r="AC16" i="46"/>
  <c r="AF16" i="43"/>
  <c r="T11" i="38"/>
  <c r="Q16" i="40"/>
  <c r="AF16" i="42"/>
  <c r="T14" i="56"/>
  <c r="T11" i="52"/>
  <c r="T14" i="55"/>
  <c r="T11" i="54"/>
  <c r="T11" i="53"/>
  <c r="T14" i="50"/>
  <c r="T11" i="51"/>
  <c r="AC14" i="46"/>
  <c r="T14" i="49"/>
  <c r="AC11" i="44"/>
  <c r="T15" i="48"/>
  <c r="T15" i="47"/>
  <c r="AF11" i="45"/>
  <c r="AC11" i="37"/>
  <c r="AF15" i="42"/>
  <c r="Q15" i="40"/>
  <c r="T8" i="38"/>
  <c r="AF14" i="43"/>
  <c r="T12" i="54"/>
  <c r="T30" i="52"/>
  <c r="T12" i="53"/>
  <c r="T30" i="51"/>
  <c r="T13" i="56"/>
  <c r="T13" i="55"/>
  <c r="T13" i="49"/>
  <c r="AC13" i="46"/>
  <c r="AF12" i="45"/>
  <c r="T13" i="50"/>
  <c r="AC30" i="44"/>
  <c r="AF13" i="42"/>
  <c r="Q13" i="40"/>
  <c r="T13" i="48"/>
  <c r="AF13" i="43"/>
  <c r="T13" i="47"/>
  <c r="T9" i="38"/>
  <c r="AC9" i="37"/>
  <c r="T28" i="55"/>
  <c r="T28" i="56"/>
  <c r="T31" i="50"/>
  <c r="T34" i="52"/>
  <c r="T34" i="53"/>
  <c r="T31" i="49"/>
  <c r="AF34" i="45"/>
  <c r="T30" i="48"/>
  <c r="T34" i="54"/>
  <c r="AC34" i="44"/>
  <c r="T34" i="51"/>
  <c r="T30" i="47"/>
  <c r="AC30" i="37"/>
  <c r="Q30" i="40"/>
  <c r="T31" i="38"/>
  <c r="AF31" i="43"/>
  <c r="AC28" i="46"/>
  <c r="AF30" i="42"/>
  <c r="T30" i="55"/>
  <c r="T30" i="56"/>
  <c r="T32" i="52"/>
  <c r="T27" i="53"/>
  <c r="T27" i="54"/>
  <c r="T29" i="49"/>
  <c r="T29" i="47"/>
  <c r="T29" i="50"/>
  <c r="AF27" i="45"/>
  <c r="AC30" i="46"/>
  <c r="AC32" i="44"/>
  <c r="AF29" i="43"/>
  <c r="Q29" i="40"/>
  <c r="T29" i="48"/>
  <c r="T32" i="51"/>
  <c r="T18" i="38"/>
  <c r="AC21" i="37"/>
  <c r="AF29" i="42"/>
  <c r="T22" i="56"/>
  <c r="T18" i="52"/>
  <c r="T22" i="50"/>
  <c r="T31" i="54"/>
  <c r="T18" i="51"/>
  <c r="T22" i="55"/>
  <c r="T31" i="53"/>
  <c r="T22" i="49"/>
  <c r="T22" i="47"/>
  <c r="AC18" i="44"/>
  <c r="T22" i="48"/>
  <c r="AF31" i="45"/>
  <c r="AC22" i="46"/>
  <c r="T30" i="38"/>
  <c r="AF22" i="43"/>
  <c r="AC29" i="37"/>
  <c r="AF22" i="42"/>
  <c r="Q22" i="40"/>
  <c r="T25" i="56"/>
  <c r="T22" i="54"/>
  <c r="T27" i="50"/>
  <c r="T26" i="48"/>
  <c r="T31" i="51"/>
  <c r="T26" i="47"/>
  <c r="AC25" i="46"/>
  <c r="AF26" i="42"/>
  <c r="T25" i="55"/>
  <c r="T31" i="52"/>
  <c r="AF27" i="43"/>
  <c r="T27" i="49"/>
  <c r="T22" i="53"/>
  <c r="AF22" i="45"/>
  <c r="Q26" i="40"/>
  <c r="AC7" i="37"/>
  <c r="AC31" i="44"/>
  <c r="T12" i="38"/>
  <c r="T32" i="38"/>
  <c r="AC18" i="37"/>
  <c r="T30" i="54"/>
  <c r="T25" i="52"/>
  <c r="T33" i="55"/>
  <c r="T25" i="51"/>
  <c r="AC33" i="46"/>
  <c r="T33" i="56"/>
  <c r="T30" i="53"/>
  <c r="T33" i="50"/>
  <c r="T34" i="48"/>
  <c r="AF30" i="45"/>
  <c r="AF33" i="43"/>
  <c r="Q34" i="40"/>
  <c r="AC25" i="44"/>
  <c r="AF34" i="42"/>
  <c r="T29" i="38"/>
  <c r="T33" i="49"/>
  <c r="AC24" i="37"/>
  <c r="T34" i="47"/>
  <c r="T34" i="56"/>
  <c r="T32" i="54"/>
  <c r="T33" i="48"/>
  <c r="T34" i="50"/>
  <c r="T33" i="47"/>
  <c r="AC34" i="46"/>
  <c r="T34" i="49"/>
  <c r="T22" i="52"/>
  <c r="T34" i="55"/>
  <c r="T22" i="51"/>
  <c r="T32" i="53"/>
  <c r="AF33" i="42"/>
  <c r="AF32" i="45"/>
  <c r="AF34" i="43"/>
  <c r="Q33" i="40"/>
  <c r="AC22" i="44"/>
  <c r="AC14" i="37"/>
  <c r="T20" i="38"/>
  <c r="T28" i="54"/>
  <c r="T19" i="51"/>
  <c r="T30" i="49"/>
  <c r="T19" i="52"/>
  <c r="T31" i="47"/>
  <c r="AF28" i="45"/>
  <c r="AC31" i="46"/>
  <c r="T31" i="55"/>
  <c r="AC19" i="44"/>
  <c r="AF30" i="43"/>
  <c r="T28" i="53"/>
  <c r="T30" i="50"/>
  <c r="T33" i="38"/>
  <c r="T31" i="56"/>
  <c r="AF31" i="42"/>
  <c r="Q31" i="40"/>
  <c r="AC31" i="37"/>
  <c r="T31" i="48"/>
  <c r="T13" i="74"/>
  <c r="T13" i="69"/>
  <c r="T11" i="72"/>
  <c r="T13" i="73"/>
  <c r="T13" i="68"/>
  <c r="T11" i="71"/>
  <c r="T13" i="67"/>
  <c r="T13" i="76"/>
  <c r="AF13" i="65"/>
  <c r="AC13" i="66"/>
  <c r="AC11" i="64"/>
  <c r="T13" i="75"/>
  <c r="AF13" i="62"/>
  <c r="AC14" i="57"/>
  <c r="T13" i="70"/>
  <c r="T13" i="58"/>
  <c r="Q13" i="60"/>
  <c r="AF13" i="63"/>
  <c r="T9" i="71"/>
  <c r="T10" i="76"/>
  <c r="T7" i="74"/>
  <c r="T8" i="70"/>
  <c r="T10" i="75"/>
  <c r="T7" i="73"/>
  <c r="T8" i="69"/>
  <c r="T8" i="68"/>
  <c r="T9" i="72"/>
  <c r="AC10" i="66"/>
  <c r="T8" i="67"/>
  <c r="AC9" i="64"/>
  <c r="AF8" i="63"/>
  <c r="T9" i="58"/>
  <c r="AF7" i="65"/>
  <c r="Q8" i="60"/>
  <c r="AF8" i="62"/>
  <c r="AC9" i="57"/>
  <c r="T7" i="76"/>
  <c r="T7" i="75"/>
  <c r="T6" i="74"/>
  <c r="T7" i="70"/>
  <c r="T4" i="72"/>
  <c r="T5" i="68"/>
  <c r="T6" i="73"/>
  <c r="T7" i="69"/>
  <c r="T4" i="71"/>
  <c r="AC4" i="64"/>
  <c r="AF6" i="65"/>
  <c r="AF7" i="63"/>
  <c r="AC7" i="57"/>
  <c r="AC7" i="66"/>
  <c r="T5" i="67"/>
  <c r="Q5" i="60"/>
  <c r="T8" i="58"/>
  <c r="AF5" i="62"/>
  <c r="T8" i="71"/>
  <c r="T3" i="72"/>
  <c r="T5" i="73"/>
  <c r="T6" i="69"/>
  <c r="T3" i="76"/>
  <c r="T3" i="71"/>
  <c r="T3" i="75"/>
  <c r="T3" i="70"/>
  <c r="T7" i="68"/>
  <c r="T6" i="76"/>
  <c r="T3" i="74"/>
  <c r="T3" i="69"/>
  <c r="T3" i="68"/>
  <c r="AC6" i="66"/>
  <c r="T7" i="67"/>
  <c r="AF3" i="63"/>
  <c r="AC8" i="64"/>
  <c r="AF3" i="62"/>
  <c r="Q3" i="60"/>
  <c r="T8" i="72"/>
  <c r="AC3" i="64"/>
  <c r="T6" i="75"/>
  <c r="T5" i="74"/>
  <c r="T6" i="70"/>
  <c r="T3" i="67"/>
  <c r="AF3" i="65"/>
  <c r="T3" i="73"/>
  <c r="AC3" i="66"/>
  <c r="AF6" i="63"/>
  <c r="AF7" i="62"/>
  <c r="Q7" i="60"/>
  <c r="AC3" i="57"/>
  <c r="T5" i="58"/>
  <c r="T3" i="58"/>
  <c r="AC5" i="57"/>
  <c r="AF5" i="65"/>
  <c r="T11" i="73"/>
  <c r="T5" i="69"/>
  <c r="T6" i="68"/>
  <c r="T5" i="76"/>
  <c r="T6" i="72"/>
  <c r="T5" i="75"/>
  <c r="T6" i="71"/>
  <c r="AF11" i="65"/>
  <c r="AC5" i="66"/>
  <c r="Q6" i="60"/>
  <c r="AC6" i="64"/>
  <c r="AF6" i="62"/>
  <c r="T6" i="67"/>
  <c r="AC10" i="57"/>
  <c r="T11" i="74"/>
  <c r="T6" i="58"/>
  <c r="T5" i="70"/>
  <c r="AF5" i="63"/>
  <c r="T9" i="76"/>
  <c r="T10" i="72"/>
  <c r="T9" i="75"/>
  <c r="T10" i="71"/>
  <c r="T8" i="74"/>
  <c r="T10" i="70"/>
  <c r="T8" i="73"/>
  <c r="T10" i="69"/>
  <c r="T10" i="68"/>
  <c r="AF10" i="63"/>
  <c r="AF10" i="62"/>
  <c r="AC9" i="66"/>
  <c r="AF8" i="65"/>
  <c r="T10" i="67"/>
  <c r="AC10" i="64"/>
  <c r="AC8" i="57"/>
  <c r="T10" i="58"/>
  <c r="Q10" i="60"/>
  <c r="T32" i="56"/>
  <c r="T32" i="50"/>
  <c r="T29" i="53"/>
  <c r="T33" i="52"/>
  <c r="T32" i="55"/>
  <c r="T33" i="51"/>
  <c r="T32" i="48"/>
  <c r="T32" i="49"/>
  <c r="AF29" i="45"/>
  <c r="AC32" i="46"/>
  <c r="T32" i="47"/>
  <c r="T29" i="54"/>
  <c r="Q32" i="40"/>
  <c r="AF32" i="43"/>
  <c r="AF32" i="42"/>
  <c r="T23" i="38"/>
  <c r="AC34" i="37"/>
  <c r="AC33" i="44"/>
  <c r="S3" i="17"/>
  <c r="T12" i="69"/>
  <c r="T12" i="73"/>
  <c r="T12" i="68"/>
  <c r="T12" i="72"/>
  <c r="T12" i="76"/>
  <c r="T12" i="71"/>
  <c r="T12" i="75"/>
  <c r="Q12" i="60"/>
  <c r="AC12" i="64"/>
  <c r="AC12" i="66"/>
  <c r="AF12" i="65"/>
  <c r="T12" i="74"/>
  <c r="T12" i="58"/>
  <c r="T12" i="70"/>
  <c r="AC13" i="57"/>
  <c r="T12" i="67"/>
  <c r="AF12" i="62"/>
  <c r="AF12" i="63"/>
  <c r="K3" i="17"/>
  <c r="T8" i="76"/>
  <c r="T8" i="75"/>
  <c r="T9" i="70"/>
  <c r="T9" i="74"/>
  <c r="T13" i="72"/>
  <c r="T9" i="69"/>
  <c r="T9" i="73"/>
  <c r="T13" i="71"/>
  <c r="AC13" i="64"/>
  <c r="T9" i="68"/>
  <c r="T9" i="67"/>
  <c r="AF9" i="63"/>
  <c r="AF9" i="62"/>
  <c r="AF9" i="65"/>
  <c r="Q9" i="60"/>
  <c r="AC8" i="66"/>
  <c r="AC6" i="57"/>
  <c r="T7" i="58"/>
  <c r="I44" i="22"/>
  <c r="K44" i="22"/>
  <c r="T4" i="73"/>
  <c r="T4" i="68"/>
  <c r="T4" i="76"/>
  <c r="T5" i="72"/>
  <c r="T4" i="75"/>
  <c r="T5" i="71"/>
  <c r="T4" i="70"/>
  <c r="AF4" i="65"/>
  <c r="Q4" i="60"/>
  <c r="T4" i="58"/>
  <c r="T4" i="69"/>
  <c r="AF4" i="63"/>
  <c r="T4" i="74"/>
  <c r="AC5" i="64"/>
  <c r="AF4" i="62"/>
  <c r="AC4" i="66"/>
  <c r="AC4" i="57"/>
  <c r="T4" i="67"/>
  <c r="T14" i="76"/>
  <c r="T14" i="75"/>
  <c r="T14" i="70"/>
  <c r="T14" i="74"/>
  <c r="T14" i="69"/>
  <c r="T14" i="73"/>
  <c r="T14" i="68"/>
  <c r="T14" i="72"/>
  <c r="T14" i="67"/>
  <c r="AC14" i="66"/>
  <c r="AF14" i="63"/>
  <c r="T14" i="71"/>
  <c r="AC14" i="64"/>
  <c r="AF14" i="62"/>
  <c r="Q14" i="60"/>
  <c r="AF14" i="65"/>
  <c r="T14" i="58"/>
  <c r="AC12" i="57"/>
  <c r="K51" i="23"/>
  <c r="L51" i="23"/>
  <c r="K28" i="24"/>
  <c r="L28" i="24"/>
  <c r="K105" i="24"/>
  <c r="L91" i="25"/>
  <c r="FK97" i="9" l="1"/>
  <c r="FJ97" i="9" s="1"/>
  <c r="AD73" i="22"/>
  <c r="HK107" i="9"/>
  <c r="HI107" i="9" s="1"/>
  <c r="HE47" i="9"/>
  <c r="AA99" i="25" s="1"/>
  <c r="AD24" i="22"/>
  <c r="X19" i="26"/>
  <c r="HT11" i="9"/>
  <c r="Z19" i="26" s="1"/>
  <c r="GJ90" i="9"/>
  <c r="AA97" i="23" s="1"/>
  <c r="GM97" i="9"/>
  <c r="GK97" i="9" s="1"/>
  <c r="AA92" i="22"/>
  <c r="GS105" i="9"/>
  <c r="AD72" i="23" s="1"/>
  <c r="X97" i="26"/>
  <c r="GS90" i="9"/>
  <c r="AD97" i="23" s="1"/>
  <c r="GP90" i="9"/>
  <c r="AC97" i="23" s="1"/>
  <c r="HN114" i="9"/>
  <c r="AD64" i="25" s="1"/>
  <c r="Z97" i="23"/>
  <c r="HK138" i="9"/>
  <c r="AC72" i="25" s="1"/>
  <c r="Z72" i="25"/>
  <c r="GT32" i="9"/>
  <c r="HE138" i="9"/>
  <c r="AA72" i="25" s="1"/>
  <c r="FK141" i="9"/>
  <c r="S97" i="26" s="1"/>
  <c r="GM105" i="9"/>
  <c r="AB72" i="23" s="1"/>
  <c r="AA74" i="22"/>
  <c r="HQ18" i="9"/>
  <c r="HO18" i="9" s="1"/>
  <c r="O66" i="26" s="1"/>
  <c r="Z72" i="23"/>
  <c r="HB125" i="9"/>
  <c r="AA30" i="24" s="1"/>
  <c r="AB26" i="22"/>
  <c r="HQ141" i="9"/>
  <c r="Y97" i="26" s="1"/>
  <c r="X30" i="24"/>
  <c r="HT141" i="9"/>
  <c r="Z97" i="26" s="1"/>
  <c r="HW141" i="9"/>
  <c r="AA97" i="26" s="1"/>
  <c r="GJ105" i="9"/>
  <c r="AA72" i="23" s="1"/>
  <c r="X47" i="24"/>
  <c r="GM86" i="9"/>
  <c r="GK86" i="9" s="1"/>
  <c r="HE122" i="9"/>
  <c r="AA38" i="25" s="1"/>
  <c r="DH44" i="9"/>
  <c r="GI44" i="9" s="1"/>
  <c r="U16" i="23" s="1"/>
  <c r="GW149" i="9"/>
  <c r="P104" i="24" s="1"/>
  <c r="DI44" i="9"/>
  <c r="GL44" i="9" s="1"/>
  <c r="H23" i="30"/>
  <c r="I23" i="30"/>
  <c r="J23" i="30"/>
  <c r="K23" i="30"/>
  <c r="AB28" i="22"/>
  <c r="L23" i="30"/>
  <c r="DJ44" i="9"/>
  <c r="GO44" i="9" s="1"/>
  <c r="W16" i="23" s="1"/>
  <c r="HH73" i="9"/>
  <c r="AB29" i="25" s="1"/>
  <c r="HK122" i="9"/>
  <c r="AC38" i="25" s="1"/>
  <c r="Z96" i="23"/>
  <c r="HW20" i="9"/>
  <c r="HU20" i="9" s="1"/>
  <c r="GM102" i="9"/>
  <c r="GK102" i="9" s="1"/>
  <c r="X12" i="24"/>
  <c r="GS86" i="9"/>
  <c r="GQ86" i="9" s="1"/>
  <c r="GJ86" i="9"/>
  <c r="GH86" i="9" s="1"/>
  <c r="GZ103" i="9"/>
  <c r="X58" i="26"/>
  <c r="HE113" i="9"/>
  <c r="AA17" i="25" s="1"/>
  <c r="FK131" i="9"/>
  <c r="FJ131" i="9" s="1"/>
  <c r="HV31" i="9"/>
  <c r="V69" i="26" s="1"/>
  <c r="HH56" i="9"/>
  <c r="AB33" i="25" s="1"/>
  <c r="HT123" i="9"/>
  <c r="Z58" i="26" s="1"/>
  <c r="HQ123" i="9"/>
  <c r="Y58" i="26" s="1"/>
  <c r="AD60" i="22"/>
  <c r="X95" i="26"/>
  <c r="X72" i="26"/>
  <c r="HN59" i="9"/>
  <c r="AD73" i="25" s="1"/>
  <c r="HK59" i="9"/>
  <c r="AC73" i="25" s="1"/>
  <c r="AC37" i="22"/>
  <c r="HW80" i="9"/>
  <c r="HU80" i="9" s="1"/>
  <c r="HN92" i="9"/>
  <c r="AD88" i="25" s="1"/>
  <c r="GJ101" i="9"/>
  <c r="AA7" i="23" s="1"/>
  <c r="Z73" i="25"/>
  <c r="GV153" i="9"/>
  <c r="GT153" i="9" s="1"/>
  <c r="HK92" i="9"/>
  <c r="AC88" i="25" s="1"/>
  <c r="GP101" i="9"/>
  <c r="AC7" i="23" s="1"/>
  <c r="AC90" i="22"/>
  <c r="GM101" i="9"/>
  <c r="AB7" i="23" s="1"/>
  <c r="DU44" i="9"/>
  <c r="HA44" i="9" s="1"/>
  <c r="V13" i="24" s="1"/>
  <c r="FK149" i="9"/>
  <c r="S88" i="26" s="1"/>
  <c r="GS101" i="9"/>
  <c r="AD7" i="23" s="1"/>
  <c r="L13" i="32"/>
  <c r="AA9" i="22"/>
  <c r="FK83" i="9"/>
  <c r="FJ83" i="9" s="1"/>
  <c r="HR80" i="9"/>
  <c r="AB35" i="22"/>
  <c r="AD15" i="22"/>
  <c r="X42" i="24"/>
  <c r="HQ80" i="9"/>
  <c r="HO80" i="9" s="1"/>
  <c r="HH59" i="9"/>
  <c r="AB73" i="25" s="1"/>
  <c r="HN134" i="9"/>
  <c r="AD94" i="25" s="1"/>
  <c r="GV125" i="9"/>
  <c r="Y30" i="24" s="1"/>
  <c r="Z94" i="25"/>
  <c r="GW125" i="9"/>
  <c r="P30" i="24" s="1"/>
  <c r="HW8" i="9"/>
  <c r="HU8" i="9" s="1"/>
  <c r="AD31" i="22"/>
  <c r="GP128" i="9"/>
  <c r="GN128" i="9" s="1"/>
  <c r="X23" i="26"/>
  <c r="AC55" i="22"/>
  <c r="GP34" i="9"/>
  <c r="GN34" i="9" s="1"/>
  <c r="HK85" i="9"/>
  <c r="HI85" i="9" s="1"/>
  <c r="AD57" i="22"/>
  <c r="HT8" i="9"/>
  <c r="Z23" i="26" s="1"/>
  <c r="HH110" i="9"/>
  <c r="HF110" i="9" s="1"/>
  <c r="HN138" i="9"/>
  <c r="AD72" i="25" s="1"/>
  <c r="AC86" i="22"/>
  <c r="GY143" i="9"/>
  <c r="Z68" i="24" s="1"/>
  <c r="GV143" i="9"/>
  <c r="Y68" i="24" s="1"/>
  <c r="X68" i="24"/>
  <c r="FK86" i="9"/>
  <c r="FJ86" i="9" s="1"/>
  <c r="HJ122" i="9"/>
  <c r="FH119" i="9"/>
  <c r="T58" i="25" s="1"/>
  <c r="HK113" i="9"/>
  <c r="AC17" i="25" s="1"/>
  <c r="AC54" i="22"/>
  <c r="AC15" i="22"/>
  <c r="Z17" i="25"/>
  <c r="FE110" i="9"/>
  <c r="FD110" i="9" s="1"/>
  <c r="FB55" i="9"/>
  <c r="FA55" i="9" s="1"/>
  <c r="HH139" i="9"/>
  <c r="AB89" i="25" s="1"/>
  <c r="HD122" i="9"/>
  <c r="Z89" i="25"/>
  <c r="GO146" i="9"/>
  <c r="W80" i="23" s="1"/>
  <c r="GV33" i="9"/>
  <c r="GT33" i="9" s="1"/>
  <c r="X49" i="26"/>
  <c r="HK139" i="9"/>
  <c r="AC89" i="25" s="1"/>
  <c r="GS148" i="9"/>
  <c r="AD94" i="23" s="1"/>
  <c r="GO122" i="9"/>
  <c r="W52" i="23" s="1"/>
  <c r="AA96" i="22"/>
  <c r="AD33" i="22"/>
  <c r="HW143" i="9"/>
  <c r="AA103" i="26" s="1"/>
  <c r="HQ143" i="9"/>
  <c r="Y103" i="26" s="1"/>
  <c r="HN139" i="9"/>
  <c r="AD89" i="25" s="1"/>
  <c r="HH35" i="9"/>
  <c r="AB26" i="25" s="1"/>
  <c r="HT9" i="9"/>
  <c r="HR9" i="9" s="1"/>
  <c r="FH95" i="9"/>
  <c r="FG95" i="9" s="1"/>
  <c r="X104" i="24"/>
  <c r="HB150" i="9"/>
  <c r="AA106" i="24" s="1"/>
  <c r="HE38" i="9"/>
  <c r="HC38" i="9" s="1"/>
  <c r="HT60" i="9"/>
  <c r="HR60" i="9" s="1"/>
  <c r="P55" i="26" s="1"/>
  <c r="HE86" i="9"/>
  <c r="HC86" i="9" s="1"/>
  <c r="AB62" i="22"/>
  <c r="HW60" i="9"/>
  <c r="AA55" i="26" s="1"/>
  <c r="X106" i="24"/>
  <c r="HQ60" i="9"/>
  <c r="Y55" i="26" s="1"/>
  <c r="HK86" i="9"/>
  <c r="HI86" i="9" s="1"/>
  <c r="AB88" i="22"/>
  <c r="AD53" i="22"/>
  <c r="X56" i="24"/>
  <c r="HH38" i="9"/>
  <c r="HF38" i="9" s="1"/>
  <c r="HQ66" i="9"/>
  <c r="Y35" i="26" s="1"/>
  <c r="HT73" i="9"/>
  <c r="Z40" i="26" s="1"/>
  <c r="AD77" i="22"/>
  <c r="X46" i="26"/>
  <c r="AD35" i="22"/>
  <c r="HN86" i="9"/>
  <c r="HL86" i="9" s="1"/>
  <c r="GM92" i="9"/>
  <c r="AB96" i="23" s="1"/>
  <c r="GJ97" i="9"/>
  <c r="GH97" i="9" s="1"/>
  <c r="GP92" i="9"/>
  <c r="AC96" i="23" s="1"/>
  <c r="GP97" i="9"/>
  <c r="GN97" i="9" s="1"/>
  <c r="GS92" i="9"/>
  <c r="AD96" i="23" s="1"/>
  <c r="HE68" i="9"/>
  <c r="AA23" i="25" s="1"/>
  <c r="HK60" i="9"/>
  <c r="AC50" i="25" s="1"/>
  <c r="HK38" i="9"/>
  <c r="HI38" i="9" s="1"/>
  <c r="GY33" i="9"/>
  <c r="GW33" i="9" s="1"/>
  <c r="AA90" i="22"/>
  <c r="HN60" i="9"/>
  <c r="AD50" i="25" s="1"/>
  <c r="HN73" i="9"/>
  <c r="AD29" i="25" s="1"/>
  <c r="GQ10" i="9"/>
  <c r="HK97" i="9"/>
  <c r="HI97" i="9" s="1"/>
  <c r="AB94" i="22"/>
  <c r="GV150" i="9"/>
  <c r="Y106" i="24" s="1"/>
  <c r="HH97" i="9"/>
  <c r="HF97" i="9" s="1"/>
  <c r="AD96" i="22"/>
  <c r="HT86" i="9"/>
  <c r="HR86" i="9" s="1"/>
  <c r="AC102" i="22"/>
  <c r="AD69" i="22"/>
  <c r="GM34" i="9"/>
  <c r="GK34" i="9" s="1"/>
  <c r="FE149" i="9"/>
  <c r="S104" i="24" s="1"/>
  <c r="GJ128" i="9"/>
  <c r="GH128" i="9" s="1"/>
  <c r="GM128" i="9"/>
  <c r="GK128" i="9" s="1"/>
  <c r="HT16" i="9"/>
  <c r="Z72" i="26" s="1"/>
  <c r="X93" i="26"/>
  <c r="HQ146" i="9"/>
  <c r="Y79" i="26" s="1"/>
  <c r="HH134" i="9"/>
  <c r="AB94" i="25" s="1"/>
  <c r="HE134" i="9"/>
  <c r="AA94" i="25" s="1"/>
  <c r="GS34" i="9"/>
  <c r="GQ34" i="9" s="1"/>
  <c r="HW16" i="9"/>
  <c r="HU16" i="9" s="1"/>
  <c r="Q72" i="26" s="1"/>
  <c r="HQ32" i="9"/>
  <c r="HO32" i="9" s="1"/>
  <c r="GS112" i="9"/>
  <c r="GQ112" i="9" s="1"/>
  <c r="HT32" i="9"/>
  <c r="HR32" i="9" s="1"/>
  <c r="X23" i="24"/>
  <c r="X35" i="26"/>
  <c r="GW91" i="9"/>
  <c r="P47" i="24" s="1"/>
  <c r="GY83" i="9"/>
  <c r="GW83" i="9" s="1"/>
  <c r="GV91" i="9"/>
  <c r="Y47" i="24" s="1"/>
  <c r="GS78" i="9"/>
  <c r="AD90" i="23" s="1"/>
  <c r="HH135" i="9"/>
  <c r="AB66" i="25" s="1"/>
  <c r="GM78" i="9"/>
  <c r="AB90" i="23" s="1"/>
  <c r="GP78" i="9"/>
  <c r="AC90" i="23" s="1"/>
  <c r="HL57" i="9"/>
  <c r="HE93" i="9"/>
  <c r="AA81" i="25" s="1"/>
  <c r="Z90" i="23"/>
  <c r="HK135" i="9"/>
  <c r="AC66" i="25" s="1"/>
  <c r="FE136" i="9"/>
  <c r="S98" i="24" s="1"/>
  <c r="AA93" i="22"/>
  <c r="HB19" i="9"/>
  <c r="AA23" i="24" s="1"/>
  <c r="HB91" i="9"/>
  <c r="AA47" i="24" s="1"/>
  <c r="GS111" i="9"/>
  <c r="GQ111" i="9" s="1"/>
  <c r="AB21" i="22"/>
  <c r="FK125" i="9"/>
  <c r="FJ125" i="9" s="1"/>
  <c r="AB81" i="22"/>
  <c r="X48" i="24"/>
  <c r="GM111" i="9"/>
  <c r="GK111" i="9" s="1"/>
  <c r="HW114" i="9"/>
  <c r="AA74" i="26" s="1"/>
  <c r="HH14" i="9"/>
  <c r="AB14" i="25" s="1"/>
  <c r="HW66" i="9"/>
  <c r="AA35" i="26" s="1"/>
  <c r="V104" i="24"/>
  <c r="HE112" i="9"/>
  <c r="HC112" i="9" s="1"/>
  <c r="GJ109" i="9"/>
  <c r="GH109" i="9" s="1"/>
  <c r="GM109" i="9"/>
  <c r="GK109" i="9" s="1"/>
  <c r="HE31" i="9"/>
  <c r="AA56" i="25" s="1"/>
  <c r="HW75" i="9"/>
  <c r="AA4" i="26" s="1"/>
  <c r="AD4" i="22"/>
  <c r="HN99" i="9"/>
  <c r="HL99" i="9" s="1"/>
  <c r="AD93" i="22"/>
  <c r="HK99" i="9"/>
  <c r="HI99" i="9" s="1"/>
  <c r="X91" i="26"/>
  <c r="FB107" i="9"/>
  <c r="FA107" i="9" s="1"/>
  <c r="GW102" i="9"/>
  <c r="HW131" i="9"/>
  <c r="HU131" i="9" s="1"/>
  <c r="HQ131" i="9"/>
  <c r="HO131" i="9" s="1"/>
  <c r="HK112" i="9"/>
  <c r="HI112" i="9" s="1"/>
  <c r="GP109" i="9"/>
  <c r="GN109" i="9" s="1"/>
  <c r="HN105" i="9"/>
  <c r="AD57" i="25" s="1"/>
  <c r="AA65" i="22"/>
  <c r="GM127" i="9"/>
  <c r="AB79" i="23" s="1"/>
  <c r="X4" i="26"/>
  <c r="HK31" i="9"/>
  <c r="AC56" i="25" s="1"/>
  <c r="HH105" i="9"/>
  <c r="AB57" i="25" s="1"/>
  <c r="Z68" i="23"/>
  <c r="GJ127" i="9"/>
  <c r="AA79" i="23" s="1"/>
  <c r="AC47" i="22"/>
  <c r="HE105" i="9"/>
  <c r="AA57" i="25" s="1"/>
  <c r="GS127" i="9"/>
  <c r="AD79" i="23" s="1"/>
  <c r="Z56" i="25"/>
  <c r="FH85" i="9"/>
  <c r="FG85" i="9" s="1"/>
  <c r="AC74" i="22"/>
  <c r="GP127" i="9"/>
  <c r="AC79" i="23" s="1"/>
  <c r="HW71" i="9"/>
  <c r="AA83" i="26" s="1"/>
  <c r="GP146" i="9"/>
  <c r="AC80" i="23" s="1"/>
  <c r="GS146" i="9"/>
  <c r="AD80" i="23" s="1"/>
  <c r="GV103" i="9"/>
  <c r="GT103" i="9" s="1"/>
  <c r="Z57" i="25"/>
  <c r="AA79" i="22"/>
  <c r="AD84" i="22"/>
  <c r="GY103" i="9"/>
  <c r="GW103" i="9" s="1"/>
  <c r="GJ146" i="9"/>
  <c r="AA80" i="23" s="1"/>
  <c r="HQ33" i="9"/>
  <c r="HO33" i="9" s="1"/>
  <c r="Z80" i="23"/>
  <c r="AA80" i="22"/>
  <c r="GM53" i="9"/>
  <c r="AB63" i="23" s="1"/>
  <c r="AD79" i="22"/>
  <c r="AA64" i="22"/>
  <c r="HW64" i="9"/>
  <c r="AA65" i="26" s="1"/>
  <c r="AA31" i="22"/>
  <c r="HQ64" i="9"/>
  <c r="Y65" i="26" s="1"/>
  <c r="HT64" i="9"/>
  <c r="Z65" i="26" s="1"/>
  <c r="HT78" i="9"/>
  <c r="Z91" i="26" s="1"/>
  <c r="HH99" i="9"/>
  <c r="HF99" i="9" s="1"/>
  <c r="AD68" i="22"/>
  <c r="GS104" i="9"/>
  <c r="GQ104" i="9" s="1"/>
  <c r="HQ78" i="9"/>
  <c r="Y91" i="26" s="1"/>
  <c r="HT75" i="9"/>
  <c r="Z4" i="26" s="1"/>
  <c r="HT33" i="9"/>
  <c r="HR33" i="9" s="1"/>
  <c r="HQ86" i="9"/>
  <c r="HO86" i="9" s="1"/>
  <c r="HH108" i="9"/>
  <c r="AB59" i="25" s="1"/>
  <c r="AD99" i="22"/>
  <c r="X100" i="26"/>
  <c r="HW38" i="9"/>
  <c r="HU38" i="9" s="1"/>
  <c r="AC82" i="22"/>
  <c r="AA94" i="22"/>
  <c r="X82" i="26"/>
  <c r="HQ144" i="9"/>
  <c r="Y100" i="26" s="1"/>
  <c r="HE108" i="9"/>
  <c r="AA59" i="25" s="1"/>
  <c r="HT144" i="9"/>
  <c r="Z100" i="26" s="1"/>
  <c r="Z59" i="25"/>
  <c r="FH71" i="9"/>
  <c r="FG71" i="9" s="1"/>
  <c r="GM149" i="9"/>
  <c r="AB91" i="23" s="1"/>
  <c r="HH94" i="9"/>
  <c r="AB19" i="25" s="1"/>
  <c r="GP149" i="9"/>
  <c r="AC91" i="23" s="1"/>
  <c r="HE94" i="9"/>
  <c r="AA19" i="25" s="1"/>
  <c r="HT69" i="9"/>
  <c r="HR69" i="9" s="1"/>
  <c r="GS149" i="9"/>
  <c r="AD91" i="23" s="1"/>
  <c r="HK94" i="9"/>
  <c r="AC19" i="25" s="1"/>
  <c r="HQ69" i="9"/>
  <c r="HO69" i="9" s="1"/>
  <c r="Z91" i="23"/>
  <c r="AC16" i="22"/>
  <c r="GR31" i="9"/>
  <c r="X62" i="23" s="1"/>
  <c r="GY52" i="9"/>
  <c r="Z15" i="24" s="1"/>
  <c r="GV94" i="9"/>
  <c r="Y8" i="24" s="1"/>
  <c r="HL131" i="9"/>
  <c r="HN16" i="9"/>
  <c r="AD51" i="25" s="1"/>
  <c r="HE16" i="9"/>
  <c r="HC16" i="9" s="1"/>
  <c r="O51" i="25" s="1"/>
  <c r="HH16" i="9"/>
  <c r="AB51" i="25" s="1"/>
  <c r="AA33" i="22"/>
  <c r="HK16" i="9"/>
  <c r="AC51" i="25" s="1"/>
  <c r="Z34" i="23"/>
  <c r="AC69" i="22"/>
  <c r="HW125" i="9"/>
  <c r="AA25" i="26" s="1"/>
  <c r="AC8" i="22"/>
  <c r="HB94" i="9"/>
  <c r="GZ94" i="9" s="1"/>
  <c r="Q8" i="24" s="1"/>
  <c r="Z7" i="25"/>
  <c r="AB16" i="22"/>
  <c r="X8" i="24"/>
  <c r="FE115" i="9"/>
  <c r="S87" i="24" s="1"/>
  <c r="FH72" i="9"/>
  <c r="FG72" i="9" s="1"/>
  <c r="HT28" i="9"/>
  <c r="Z45" i="26" s="1"/>
  <c r="FK60" i="9"/>
  <c r="S55" i="26" s="1"/>
  <c r="HB102" i="9"/>
  <c r="GZ102" i="9" s="1"/>
  <c r="GY51" i="9"/>
  <c r="Z32" i="24" s="1"/>
  <c r="HT43" i="9"/>
  <c r="Z59" i="26" s="1"/>
  <c r="X59" i="26"/>
  <c r="HE67" i="9"/>
  <c r="AA7" i="25" s="1"/>
  <c r="GS45" i="9"/>
  <c r="AD34" i="23" s="1"/>
  <c r="GS31" i="9"/>
  <c r="AD62" i="23" s="1"/>
  <c r="HN24" i="9"/>
  <c r="AD21" i="25" s="1"/>
  <c r="HQ43" i="9"/>
  <c r="Y59" i="26" s="1"/>
  <c r="AC101" i="22"/>
  <c r="FK85" i="9"/>
  <c r="FJ85" i="9" s="1"/>
  <c r="AC80" i="22"/>
  <c r="AD58" i="22"/>
  <c r="HN46" i="9"/>
  <c r="AD63" i="25" s="1"/>
  <c r="AD36" i="22"/>
  <c r="X45" i="26"/>
  <c r="HK24" i="9"/>
  <c r="AC21" i="25" s="1"/>
  <c r="FH104" i="9"/>
  <c r="FG104" i="9" s="1"/>
  <c r="HE48" i="9"/>
  <c r="AA100" i="25" s="1"/>
  <c r="GN45" i="9"/>
  <c r="Q34" i="23" s="1"/>
  <c r="HW87" i="9"/>
  <c r="AA27" i="26" s="1"/>
  <c r="HH67" i="9"/>
  <c r="AB7" i="25" s="1"/>
  <c r="HH131" i="9"/>
  <c r="HF131" i="9" s="1"/>
  <c r="HK67" i="9"/>
  <c r="AC7" i="25" s="1"/>
  <c r="HT42" i="9"/>
  <c r="Z47" i="26" s="1"/>
  <c r="GS9" i="9"/>
  <c r="GV102" i="9"/>
  <c r="GT102" i="9" s="1"/>
  <c r="HN146" i="9"/>
  <c r="AD78" i="25" s="1"/>
  <c r="HQ87" i="9"/>
  <c r="Y27" i="26" s="1"/>
  <c r="HQ73" i="9"/>
  <c r="Y40" i="26" s="1"/>
  <c r="Z78" i="25"/>
  <c r="HT87" i="9"/>
  <c r="Z27" i="26" s="1"/>
  <c r="AD41" i="22"/>
  <c r="FE16" i="9"/>
  <c r="S63" i="24" s="1"/>
  <c r="AD30" i="22"/>
  <c r="X40" i="26"/>
  <c r="HB149" i="9"/>
  <c r="AA104" i="24" s="1"/>
  <c r="GY99" i="9"/>
  <c r="GW99" i="9" s="1"/>
  <c r="HK109" i="9"/>
  <c r="HI109" i="9" s="1"/>
  <c r="GV149" i="9"/>
  <c r="Y104" i="24" s="1"/>
  <c r="HH68" i="9"/>
  <c r="AB23" i="25" s="1"/>
  <c r="HN68" i="9"/>
  <c r="AD23" i="25" s="1"/>
  <c r="HB32" i="9"/>
  <c r="GZ32" i="9" s="1"/>
  <c r="AC32" i="22"/>
  <c r="HE146" i="9"/>
  <c r="AA78" i="25" s="1"/>
  <c r="FE65" i="9"/>
  <c r="S44" i="24" s="1"/>
  <c r="Z23" i="25"/>
  <c r="HK146" i="9"/>
  <c r="AC78" i="25" s="1"/>
  <c r="AB50" i="22"/>
  <c r="X44" i="24"/>
  <c r="HB16" i="9"/>
  <c r="AA63" i="24" s="1"/>
  <c r="X63" i="24"/>
  <c r="HP147" i="9"/>
  <c r="T99" i="26" s="1"/>
  <c r="HH31" i="9"/>
  <c r="AB56" i="25" s="1"/>
  <c r="GV129" i="9"/>
  <c r="GT129" i="9" s="1"/>
  <c r="GK55" i="9"/>
  <c r="FE80" i="9"/>
  <c r="FD80" i="9" s="1"/>
  <c r="Z100" i="25"/>
  <c r="GP102" i="9"/>
  <c r="GN102" i="9" s="1"/>
  <c r="HN109" i="9"/>
  <c r="HL109" i="9" s="1"/>
  <c r="X50" i="24"/>
  <c r="HH109" i="9"/>
  <c r="HF109" i="9" s="1"/>
  <c r="GY79" i="9"/>
  <c r="Z39" i="24" s="1"/>
  <c r="GS55" i="9"/>
  <c r="GQ55" i="9" s="1"/>
  <c r="HB124" i="9"/>
  <c r="AA50" i="24" s="1"/>
  <c r="FH101" i="9"/>
  <c r="T8" i="25" s="1"/>
  <c r="FB95" i="9"/>
  <c r="FA95" i="9" s="1"/>
  <c r="GM124" i="9"/>
  <c r="AB70" i="23" s="1"/>
  <c r="AB70" i="22"/>
  <c r="HB79" i="9"/>
  <c r="AA39" i="24" s="1"/>
  <c r="HB57" i="9"/>
  <c r="GZ57" i="9" s="1"/>
  <c r="GS102" i="9"/>
  <c r="GQ102" i="9" s="1"/>
  <c r="GS124" i="9"/>
  <c r="AD70" i="23" s="1"/>
  <c r="AC27" i="22"/>
  <c r="AB27" i="22"/>
  <c r="HE150" i="9"/>
  <c r="HC150" i="9" s="1"/>
  <c r="O106" i="25" s="1"/>
  <c r="Z20" i="25"/>
  <c r="X39" i="24"/>
  <c r="HW91" i="9"/>
  <c r="AA87" i="26" s="1"/>
  <c r="GQ20" i="9"/>
  <c r="GV57" i="9"/>
  <c r="GT57" i="9" s="1"/>
  <c r="X87" i="26"/>
  <c r="FK127" i="9"/>
  <c r="S80" i="26" s="1"/>
  <c r="AD81" i="22"/>
  <c r="FE131" i="9"/>
  <c r="FD131" i="9" s="1"/>
  <c r="GP55" i="9"/>
  <c r="GN55" i="9" s="1"/>
  <c r="HQ52" i="9"/>
  <c r="Y28" i="26" s="1"/>
  <c r="HT137" i="9"/>
  <c r="Z95" i="26" s="1"/>
  <c r="HQ137" i="9"/>
  <c r="Y95" i="26" s="1"/>
  <c r="AD25" i="22"/>
  <c r="GN112" i="9"/>
  <c r="AD95" i="22"/>
  <c r="FE114" i="9"/>
  <c r="S86" i="24" s="1"/>
  <c r="HQ11" i="9"/>
  <c r="Y19" i="26" s="1"/>
  <c r="FH128" i="9"/>
  <c r="FG128" i="9" s="1"/>
  <c r="GJ55" i="9"/>
  <c r="GH55" i="9" s="1"/>
  <c r="FE32" i="9"/>
  <c r="FD32" i="9" s="1"/>
  <c r="X83" i="26"/>
  <c r="GT83" i="9"/>
  <c r="L53" i="34"/>
  <c r="FE148" i="9"/>
  <c r="S103" i="24" s="1"/>
  <c r="HQ90" i="9"/>
  <c r="Y96" i="26" s="1"/>
  <c r="GJ33" i="9"/>
  <c r="GH33" i="9" s="1"/>
  <c r="HK150" i="9"/>
  <c r="AC106" i="25" s="1"/>
  <c r="EZ150" i="9"/>
  <c r="K62" i="20" s="1"/>
  <c r="H53" i="34"/>
  <c r="ED44" i="9"/>
  <c r="HJ44" i="9" s="1"/>
  <c r="W43" i="25" s="1"/>
  <c r="HW90" i="9"/>
  <c r="AA96" i="26" s="1"/>
  <c r="GJ150" i="9"/>
  <c r="AA66" i="23" s="1"/>
  <c r="I53" i="34"/>
  <c r="GS80" i="9"/>
  <c r="GQ80" i="9" s="1"/>
  <c r="HT90" i="9"/>
  <c r="Z96" i="26" s="1"/>
  <c r="U86" i="24"/>
  <c r="GW65" i="9"/>
  <c r="P44" i="24" s="1"/>
  <c r="AA62" i="22"/>
  <c r="GJ80" i="9"/>
  <c r="GH80" i="9" s="1"/>
  <c r="AD92" i="22"/>
  <c r="HB65" i="9"/>
  <c r="AA44" i="24" s="1"/>
  <c r="HW28" i="9"/>
  <c r="AA45" i="26" s="1"/>
  <c r="FH154" i="9"/>
  <c r="FG154" i="9" s="1"/>
  <c r="HL97" i="9"/>
  <c r="J53" i="34"/>
  <c r="GP80" i="9"/>
  <c r="GN80" i="9" s="1"/>
  <c r="GV65" i="9"/>
  <c r="Y44" i="24" s="1"/>
  <c r="HN48" i="9"/>
  <c r="HK108" i="9"/>
  <c r="AC59" i="25" s="1"/>
  <c r="GS52" i="9"/>
  <c r="AD28" i="23" s="1"/>
  <c r="HT91" i="9"/>
  <c r="Z87" i="26" s="1"/>
  <c r="HT71" i="9"/>
  <c r="Z83" i="26" s="1"/>
  <c r="GU31" i="9"/>
  <c r="T22" i="24" s="1"/>
  <c r="HA31" i="9"/>
  <c r="V22" i="24" s="1"/>
  <c r="HM31" i="9"/>
  <c r="X56" i="25" s="1"/>
  <c r="GL31" i="9"/>
  <c r="V62" i="23" s="1"/>
  <c r="HG31" i="9"/>
  <c r="V56" i="25" s="1"/>
  <c r="HP31" i="9"/>
  <c r="T69" i="26" s="1"/>
  <c r="GO31" i="9"/>
  <c r="GI31" i="9"/>
  <c r="U62" i="23" s="1"/>
  <c r="GM104" i="9"/>
  <c r="GK104" i="9" s="1"/>
  <c r="Z19" i="25"/>
  <c r="FH152" i="9"/>
  <c r="FG152" i="9" s="1"/>
  <c r="HE97" i="9"/>
  <c r="HC97" i="9" s="1"/>
  <c r="HK48" i="9"/>
  <c r="AC100" i="25" s="1"/>
  <c r="FE103" i="9"/>
  <c r="FD103" i="9" s="1"/>
  <c r="FK98" i="9"/>
  <c r="FJ98" i="9" s="1"/>
  <c r="GV99" i="9"/>
  <c r="GT99" i="9" s="1"/>
  <c r="HK47" i="9"/>
  <c r="AC99" i="25" s="1"/>
  <c r="AD49" i="22"/>
  <c r="Z99" i="25"/>
  <c r="GY55" i="9"/>
  <c r="GW55" i="9" s="1"/>
  <c r="FK18" i="9"/>
  <c r="S66" i="26" s="1"/>
  <c r="HR129" i="9"/>
  <c r="FE154" i="9"/>
  <c r="FD154" i="9" s="1"/>
  <c r="FE75" i="9"/>
  <c r="V4" i="22" s="1"/>
  <c r="FB76" i="9"/>
  <c r="T12" i="23" s="1"/>
  <c r="GP134" i="9"/>
  <c r="AC103" i="23" s="1"/>
  <c r="GV58" i="9"/>
  <c r="Y6" i="24" s="1"/>
  <c r="AC88" i="22"/>
  <c r="GS134" i="9"/>
  <c r="AD103" i="23" s="1"/>
  <c r="HH24" i="9"/>
  <c r="AB21" i="25" s="1"/>
  <c r="GY58" i="9"/>
  <c r="Z6" i="24" s="1"/>
  <c r="X77" i="26"/>
  <c r="FB105" i="9"/>
  <c r="T72" i="23" s="1"/>
  <c r="GJ134" i="9"/>
  <c r="AA103" i="23" s="1"/>
  <c r="HB58" i="9"/>
  <c r="AA6" i="24" s="1"/>
  <c r="HH47" i="9"/>
  <c r="AB99" i="25" s="1"/>
  <c r="AB5" i="22"/>
  <c r="Z103" i="23"/>
  <c r="GM45" i="9"/>
  <c r="AB34" i="23" s="1"/>
  <c r="HE24" i="9"/>
  <c r="AA21" i="25" s="1"/>
  <c r="FB126" i="9"/>
  <c r="FA126" i="9" s="1"/>
  <c r="GY93" i="9"/>
  <c r="Z48" i="24" s="1"/>
  <c r="HE107" i="9"/>
  <c r="HC107" i="9" s="1"/>
  <c r="GJ45" i="9"/>
  <c r="AA34" i="23" s="1"/>
  <c r="AC18" i="22"/>
  <c r="HF126" i="9"/>
  <c r="HQ135" i="9"/>
  <c r="Y77" i="26" s="1"/>
  <c r="HQ129" i="9"/>
  <c r="HO129" i="9" s="1"/>
  <c r="AA102" i="22"/>
  <c r="GK110" i="9"/>
  <c r="HB93" i="9"/>
  <c r="AA48" i="24" s="1"/>
  <c r="HN107" i="9"/>
  <c r="HL107" i="9" s="1"/>
  <c r="HK40" i="9"/>
  <c r="HI40" i="9" s="1"/>
  <c r="HW135" i="9"/>
  <c r="HB55" i="9"/>
  <c r="GZ55" i="9" s="1"/>
  <c r="HW129" i="9"/>
  <c r="HU129" i="9" s="1"/>
  <c r="AB87" i="22"/>
  <c r="HB83" i="9"/>
  <c r="GZ83" i="9" s="1"/>
  <c r="HQ9" i="9"/>
  <c r="HO9" i="9" s="1"/>
  <c r="FH37" i="9"/>
  <c r="FG37" i="9" s="1"/>
  <c r="FE36" i="9"/>
  <c r="FD36" i="9" s="1"/>
  <c r="FK9" i="9"/>
  <c r="FJ9" i="9" s="1"/>
  <c r="FH130" i="9"/>
  <c r="FG130" i="9" s="1"/>
  <c r="HB129" i="9"/>
  <c r="GZ129" i="9" s="1"/>
  <c r="HF9" i="9"/>
  <c r="V6" i="10"/>
  <c r="V7" i="10" s="1"/>
  <c r="FE10" i="9"/>
  <c r="FD10" i="9" s="1"/>
  <c r="FK32" i="9"/>
  <c r="FJ32" i="9" s="1"/>
  <c r="U7" i="13"/>
  <c r="GY36" i="9"/>
  <c r="GW36" i="9" s="1"/>
  <c r="FH30" i="9"/>
  <c r="W52" i="22" s="1"/>
  <c r="FE108" i="9"/>
  <c r="S84" i="24" s="1"/>
  <c r="FK45" i="9"/>
  <c r="X33" i="22" s="1"/>
  <c r="HU39" i="9"/>
  <c r="HW128" i="9"/>
  <c r="HU128" i="9" s="1"/>
  <c r="FE72" i="9"/>
  <c r="FD72" i="9" s="1"/>
  <c r="Z58" i="25"/>
  <c r="HQ125" i="9"/>
  <c r="Y25" i="26" s="1"/>
  <c r="Z38" i="23"/>
  <c r="V7" i="9"/>
  <c r="FK102" i="9"/>
  <c r="FJ102" i="9" s="1"/>
  <c r="FK69" i="9"/>
  <c r="FJ69" i="9" s="1"/>
  <c r="FE151" i="9"/>
  <c r="FD151" i="9" s="1"/>
  <c r="HT125" i="9"/>
  <c r="Z25" i="26" s="1"/>
  <c r="X13" i="26"/>
  <c r="AD26" i="22"/>
  <c r="HK74" i="9"/>
  <c r="HI74" i="9" s="1"/>
  <c r="HK14" i="9"/>
  <c r="AC14" i="25" s="1"/>
  <c r="GW45" i="9"/>
  <c r="P20" i="24" s="1"/>
  <c r="U4" i="24"/>
  <c r="HH37" i="9"/>
  <c r="HF37" i="9" s="1"/>
  <c r="HB56" i="9"/>
  <c r="AA12" i="24" s="1"/>
  <c r="GM9" i="9"/>
  <c r="GK9" i="9" s="1"/>
  <c r="FK39" i="9"/>
  <c r="FJ39" i="9" s="1"/>
  <c r="HN56" i="9"/>
  <c r="AD33" i="25" s="1"/>
  <c r="GV56" i="9"/>
  <c r="Y12" i="24" s="1"/>
  <c r="GP9" i="9"/>
  <c r="GN9" i="9" s="1"/>
  <c r="FK143" i="9"/>
  <c r="FJ143" i="9" s="1"/>
  <c r="GP62" i="9"/>
  <c r="GN62" i="9" s="1"/>
  <c r="Q45" i="23" s="1"/>
  <c r="GP52" i="9"/>
  <c r="AC28" i="23" s="1"/>
  <c r="AD51" i="22"/>
  <c r="FK16" i="9"/>
  <c r="S72" i="26" s="1"/>
  <c r="AB20" i="22"/>
  <c r="GP31" i="9"/>
  <c r="AC62" i="23" s="1"/>
  <c r="FH131" i="9"/>
  <c r="FG131" i="9" s="1"/>
  <c r="FH141" i="9"/>
  <c r="W98" i="22" s="1"/>
  <c r="FE40" i="9"/>
  <c r="FD40" i="9" s="1"/>
  <c r="FH40" i="9"/>
  <c r="FG40" i="9" s="1"/>
  <c r="Z64" i="25"/>
  <c r="HH84" i="9"/>
  <c r="AB12" i="25" s="1"/>
  <c r="HW63" i="9"/>
  <c r="AA46" i="26" s="1"/>
  <c r="AA25" i="22"/>
  <c r="HK56" i="9"/>
  <c r="AC33" i="25" s="1"/>
  <c r="GJ31" i="9"/>
  <c r="AA62" i="23" s="1"/>
  <c r="FK47" i="9"/>
  <c r="X88" i="22" s="1"/>
  <c r="HK84" i="9"/>
  <c r="AC12" i="25" s="1"/>
  <c r="AC20" i="22"/>
  <c r="GM31" i="9"/>
  <c r="AB62" i="23" s="1"/>
  <c r="FE150" i="9"/>
  <c r="S106" i="24" s="1"/>
  <c r="HN84" i="9"/>
  <c r="AD12" i="25" s="1"/>
  <c r="FH61" i="9"/>
  <c r="T55" i="25" s="1"/>
  <c r="HU69" i="9"/>
  <c r="GP49" i="9"/>
  <c r="AC38" i="23" s="1"/>
  <c r="FB15" i="9"/>
  <c r="T47" i="23" s="1"/>
  <c r="Z33" i="25"/>
  <c r="AA47" i="22"/>
  <c r="FH9" i="9"/>
  <c r="FG9" i="9" s="1"/>
  <c r="HK130" i="9"/>
  <c r="HI130" i="9" s="1"/>
  <c r="HE84" i="9"/>
  <c r="AA12" i="25" s="1"/>
  <c r="GS49" i="9"/>
  <c r="GQ49" i="9" s="1"/>
  <c r="R38" i="23" s="1"/>
  <c r="HW98" i="9"/>
  <c r="HU98" i="9" s="1"/>
  <c r="FK142" i="9"/>
  <c r="X42" i="22" s="1"/>
  <c r="AC17" i="22"/>
  <c r="HE37" i="9"/>
  <c r="HC37" i="9" s="1"/>
  <c r="GJ49" i="9"/>
  <c r="GH49" i="9" s="1"/>
  <c r="O38" i="23" s="1"/>
  <c r="EZ52" i="9"/>
  <c r="K25" i="20" s="1"/>
  <c r="W44" i="25"/>
  <c r="HT128" i="9"/>
  <c r="HR128" i="9" s="1"/>
  <c r="GM49" i="9"/>
  <c r="AB38" i="23" s="1"/>
  <c r="HK37" i="9"/>
  <c r="HI37" i="9" s="1"/>
  <c r="HE14" i="9"/>
  <c r="HC14" i="9" s="1"/>
  <c r="O14" i="25" s="1"/>
  <c r="GW153" i="9"/>
  <c r="FB57" i="9"/>
  <c r="FA57" i="9" s="1"/>
  <c r="FB10" i="9"/>
  <c r="FA10" i="9" s="1"/>
  <c r="GN26" i="9"/>
  <c r="HQ98" i="9"/>
  <c r="HO98" i="9" s="1"/>
  <c r="HH113" i="9"/>
  <c r="AB17" i="25" s="1"/>
  <c r="AC76" i="22"/>
  <c r="HN14" i="9"/>
  <c r="AD14" i="25" s="1"/>
  <c r="HF48" i="9"/>
  <c r="P100" i="25" s="1"/>
  <c r="FB8" i="9"/>
  <c r="T27" i="23" s="1"/>
  <c r="GS30" i="9"/>
  <c r="AD54" i="23" s="1"/>
  <c r="GV22" i="9"/>
  <c r="Y9" i="24" s="1"/>
  <c r="HH46" i="9"/>
  <c r="AB63" i="25" s="1"/>
  <c r="FK94" i="9"/>
  <c r="X16" i="22" s="1"/>
  <c r="HE123" i="9"/>
  <c r="AA46" i="25" s="1"/>
  <c r="HN30" i="9"/>
  <c r="AD44" i="25" s="1"/>
  <c r="AC29" i="22"/>
  <c r="GS28" i="9"/>
  <c r="AD42" i="23" s="1"/>
  <c r="HH123" i="9"/>
  <c r="AB46" i="25" s="1"/>
  <c r="Z63" i="25"/>
  <c r="GJ28" i="9"/>
  <c r="AA42" i="23" s="1"/>
  <c r="HN123" i="9"/>
  <c r="AD46" i="25" s="1"/>
  <c r="HE30" i="9"/>
  <c r="AA44" i="25" s="1"/>
  <c r="GM28" i="9"/>
  <c r="AB42" i="23" s="1"/>
  <c r="HQ154" i="9"/>
  <c r="HO154" i="9" s="1"/>
  <c r="FB120" i="9"/>
  <c r="T39" i="23" s="1"/>
  <c r="HK123" i="9"/>
  <c r="AC46" i="25" s="1"/>
  <c r="HK30" i="9"/>
  <c r="AC44" i="25" s="1"/>
  <c r="GP28" i="9"/>
  <c r="AC42" i="23" s="1"/>
  <c r="FE33" i="9"/>
  <c r="FD33" i="9" s="1"/>
  <c r="FH86" i="9"/>
  <c r="FG86" i="9" s="1"/>
  <c r="FE39" i="9"/>
  <c r="FD39" i="9" s="1"/>
  <c r="HW154" i="9"/>
  <c r="HU154" i="9" s="1"/>
  <c r="V102" i="25"/>
  <c r="AC60" i="22"/>
  <c r="AC52" i="22"/>
  <c r="AA36" i="22"/>
  <c r="GN86" i="9"/>
  <c r="Z44" i="25"/>
  <c r="FE121" i="9"/>
  <c r="FD121" i="9" s="1"/>
  <c r="EZ97" i="9"/>
  <c r="HE46" i="9"/>
  <c r="AA63" i="25" s="1"/>
  <c r="HQ37" i="9"/>
  <c r="HO37" i="9" s="1"/>
  <c r="GN111" i="9"/>
  <c r="HF86" i="9"/>
  <c r="HP89" i="9"/>
  <c r="T63" i="26" s="1"/>
  <c r="GZ71" i="9"/>
  <c r="Q64" i="24" s="1"/>
  <c r="HT37" i="9"/>
  <c r="HR37" i="9" s="1"/>
  <c r="GW151" i="9"/>
  <c r="HN79" i="9"/>
  <c r="HL79" i="9" s="1"/>
  <c r="R20" i="25" s="1"/>
  <c r="GY47" i="9"/>
  <c r="Z56" i="24" s="1"/>
  <c r="HH79" i="9"/>
  <c r="AB20" i="25" s="1"/>
  <c r="FK117" i="9"/>
  <c r="FJ117" i="9" s="1"/>
  <c r="GR56" i="9"/>
  <c r="X19" i="23" s="1"/>
  <c r="AC23" i="22"/>
  <c r="FE96" i="9"/>
  <c r="FD96" i="9" s="1"/>
  <c r="HB47" i="9"/>
  <c r="AA56" i="24" s="1"/>
  <c r="FB25" i="9"/>
  <c r="FA25" i="9" s="1"/>
  <c r="HK79" i="9"/>
  <c r="AC20" i="25" s="1"/>
  <c r="HQ36" i="9"/>
  <c r="HO36" i="9" s="1"/>
  <c r="HH112" i="9"/>
  <c r="HF112" i="9" s="1"/>
  <c r="FE57" i="9"/>
  <c r="FD57" i="9" s="1"/>
  <c r="FK100" i="9"/>
  <c r="FJ100" i="9" s="1"/>
  <c r="FK129" i="9"/>
  <c r="FJ129" i="9" s="1"/>
  <c r="FH112" i="9"/>
  <c r="FG112" i="9" s="1"/>
  <c r="HU151" i="9"/>
  <c r="FE143" i="9"/>
  <c r="V103" i="22" s="1"/>
  <c r="HY133" i="9"/>
  <c r="J105" i="27" s="1"/>
  <c r="HL38" i="9"/>
  <c r="FK112" i="9"/>
  <c r="FJ112" i="9" s="1"/>
  <c r="FB71" i="9"/>
  <c r="T83" i="23" s="1"/>
  <c r="FB148" i="9"/>
  <c r="U96" i="22" s="1"/>
  <c r="FE91" i="9"/>
  <c r="V81" i="22" s="1"/>
  <c r="FE37" i="9"/>
  <c r="FD37" i="9" s="1"/>
  <c r="V7" i="14"/>
  <c r="GL92" i="9"/>
  <c r="FH13" i="9"/>
  <c r="W22" i="22" s="1"/>
  <c r="FK154" i="9"/>
  <c r="FJ154" i="9" s="1"/>
  <c r="GI92" i="9"/>
  <c r="GH92" i="9" s="1"/>
  <c r="O96" i="23" s="1"/>
  <c r="FB121" i="9"/>
  <c r="T86" i="23" s="1"/>
  <c r="HH130" i="9"/>
  <c r="HF130" i="9" s="1"/>
  <c r="DS44" i="9"/>
  <c r="GU44" i="9" s="1"/>
  <c r="T13" i="24" s="1"/>
  <c r="HK53" i="9"/>
  <c r="AC41" i="25" s="1"/>
  <c r="GV52" i="9"/>
  <c r="Y15" i="24" s="1"/>
  <c r="AB25" i="22"/>
  <c r="EZ146" i="9"/>
  <c r="Z80" i="22" s="1"/>
  <c r="HN93" i="9"/>
  <c r="AD81" i="25" s="1"/>
  <c r="GY134" i="9"/>
  <c r="Z97" i="24" s="1"/>
  <c r="GS150" i="9"/>
  <c r="AD66" i="23" s="1"/>
  <c r="Z94" i="23"/>
  <c r="X74" i="26"/>
  <c r="HE60" i="9"/>
  <c r="AA50" i="25" s="1"/>
  <c r="HQ42" i="9"/>
  <c r="Y47" i="26" s="1"/>
  <c r="GJ43" i="9"/>
  <c r="AA57" i="23" s="1"/>
  <c r="H13" i="32"/>
  <c r="X47" i="26"/>
  <c r="X32" i="24"/>
  <c r="AD22" i="22"/>
  <c r="X15" i="24"/>
  <c r="HL66" i="9"/>
  <c r="R27" i="25" s="1"/>
  <c r="GJ30" i="9"/>
  <c r="AA54" i="23" s="1"/>
  <c r="FH138" i="9"/>
  <c r="T72" i="25" s="1"/>
  <c r="L3" i="12"/>
  <c r="FK33" i="9"/>
  <c r="FJ33" i="9" s="1"/>
  <c r="FB152" i="9"/>
  <c r="FA152" i="9" s="1"/>
  <c r="HH66" i="9"/>
  <c r="AB27" i="25" s="1"/>
  <c r="GS125" i="9"/>
  <c r="AD26" i="23" s="1"/>
  <c r="HK93" i="9"/>
  <c r="AC81" i="25" s="1"/>
  <c r="HB134" i="9"/>
  <c r="AA97" i="24" s="1"/>
  <c r="EZ109" i="9"/>
  <c r="GM150" i="9"/>
  <c r="AB66" i="23" s="1"/>
  <c r="AC53" i="22"/>
  <c r="HT63" i="9"/>
  <c r="Z46" i="26" s="1"/>
  <c r="I13" i="32"/>
  <c r="GM50" i="9"/>
  <c r="AB37" i="23" s="1"/>
  <c r="HW13" i="9"/>
  <c r="AA21" i="26" s="1"/>
  <c r="X21" i="26"/>
  <c r="GM30" i="9"/>
  <c r="AB54" i="23" s="1"/>
  <c r="HH93" i="9"/>
  <c r="AB81" i="25" s="1"/>
  <c r="GP30" i="9"/>
  <c r="AC54" i="23" s="1"/>
  <c r="HR154" i="9"/>
  <c r="FK140" i="9"/>
  <c r="S70" i="26" s="1"/>
  <c r="AC87" i="22"/>
  <c r="GV134" i="9"/>
  <c r="Y97" i="24" s="1"/>
  <c r="GJ111" i="9"/>
  <c r="GH111" i="9" s="1"/>
  <c r="GP150" i="9"/>
  <c r="AC66" i="23" s="1"/>
  <c r="GM89" i="9"/>
  <c r="AB68" i="23" s="1"/>
  <c r="GJ118" i="9"/>
  <c r="AA88" i="23" s="1"/>
  <c r="Z50" i="25"/>
  <c r="GY53" i="9"/>
  <c r="Z70" i="24" s="1"/>
  <c r="J13" i="32"/>
  <c r="GP50" i="9"/>
  <c r="AC37" i="23" s="1"/>
  <c r="HE53" i="9"/>
  <c r="AA41" i="25" s="1"/>
  <c r="GW57" i="9"/>
  <c r="HR54" i="9"/>
  <c r="P42" i="26" s="1"/>
  <c r="FK14" i="9"/>
  <c r="S22" i="26" s="1"/>
  <c r="AA52" i="22"/>
  <c r="FB20" i="9"/>
  <c r="FA20" i="9" s="1"/>
  <c r="HE110" i="9"/>
  <c r="HC110" i="9" s="1"/>
  <c r="AB46" i="22"/>
  <c r="HH150" i="9"/>
  <c r="AB106" i="25" s="1"/>
  <c r="FE127" i="9"/>
  <c r="S58" i="24" s="1"/>
  <c r="HE135" i="9"/>
  <c r="AA66" i="25" s="1"/>
  <c r="AB102" i="22"/>
  <c r="HY55" i="9"/>
  <c r="GP89" i="9"/>
  <c r="AC68" i="23" s="1"/>
  <c r="HE73" i="9"/>
  <c r="AA29" i="25" s="1"/>
  <c r="GP118" i="9"/>
  <c r="AC88" i="23" s="1"/>
  <c r="GJ62" i="9"/>
  <c r="AA45" i="23" s="1"/>
  <c r="HY33" i="9"/>
  <c r="K13" i="32"/>
  <c r="GS50" i="9"/>
  <c r="GQ50" i="9" s="1"/>
  <c r="R37" i="23" s="1"/>
  <c r="FH19" i="9"/>
  <c r="T18" i="25" s="1"/>
  <c r="HB9" i="9"/>
  <c r="GZ9" i="9" s="1"/>
  <c r="HT52" i="9"/>
  <c r="Z28" i="26" s="1"/>
  <c r="GN104" i="9"/>
  <c r="AA38" i="22"/>
  <c r="HN8" i="9"/>
  <c r="AD103" i="25" s="1"/>
  <c r="HW146" i="9"/>
  <c r="AA79" i="26" s="1"/>
  <c r="HO16" i="9"/>
  <c r="O72" i="26" s="1"/>
  <c r="HU137" i="9"/>
  <c r="Q95" i="26" s="1"/>
  <c r="GS15" i="9"/>
  <c r="AD47" i="23" s="1"/>
  <c r="X94" i="23"/>
  <c r="HN150" i="9"/>
  <c r="AD106" i="25" s="1"/>
  <c r="HQ151" i="9"/>
  <c r="HO151" i="9" s="1"/>
  <c r="GJ125" i="9"/>
  <c r="AA26" i="23" s="1"/>
  <c r="GY142" i="9"/>
  <c r="Z36" i="24" s="1"/>
  <c r="X79" i="26"/>
  <c r="HD139" i="9"/>
  <c r="HC139" i="9" s="1"/>
  <c r="O89" i="25" s="1"/>
  <c r="AA78" i="22"/>
  <c r="HN135" i="9"/>
  <c r="AD66" i="25" s="1"/>
  <c r="U66" i="23"/>
  <c r="EZ148" i="9"/>
  <c r="K96" i="20" s="1"/>
  <c r="GY124" i="9"/>
  <c r="Z50" i="24" s="1"/>
  <c r="GJ89" i="9"/>
  <c r="AA68" i="23" s="1"/>
  <c r="HE66" i="9"/>
  <c r="AA27" i="25" s="1"/>
  <c r="AC41" i="22"/>
  <c r="AA91" i="22"/>
  <c r="GM62" i="9"/>
  <c r="AB45" i="23" s="1"/>
  <c r="GV53" i="9"/>
  <c r="GT53" i="9" s="1"/>
  <c r="O70" i="24" s="1"/>
  <c r="GJ15" i="9"/>
  <c r="GP63" i="9"/>
  <c r="AC49" i="23" s="1"/>
  <c r="X28" i="26"/>
  <c r="FH126" i="9"/>
  <c r="FG126" i="9" s="1"/>
  <c r="FE35" i="9"/>
  <c r="S69" i="24" s="1"/>
  <c r="FE81" i="9"/>
  <c r="S80" i="24" s="1"/>
  <c r="EZ69" i="9"/>
  <c r="HL74" i="9"/>
  <c r="GS118" i="9"/>
  <c r="AD88" i="23" s="1"/>
  <c r="HS29" i="9"/>
  <c r="U15" i="26" s="1"/>
  <c r="Z47" i="23"/>
  <c r="AC62" i="22"/>
  <c r="HT151" i="9"/>
  <c r="HR151" i="9" s="1"/>
  <c r="GM125" i="9"/>
  <c r="AB26" i="23" s="1"/>
  <c r="AB42" i="22"/>
  <c r="AC73" i="22"/>
  <c r="HK73" i="9"/>
  <c r="AC29" i="25" s="1"/>
  <c r="AC35" i="22"/>
  <c r="Z88" i="23"/>
  <c r="AA48" i="22"/>
  <c r="AB64" i="22"/>
  <c r="HQ54" i="9"/>
  <c r="Y42" i="26" s="1"/>
  <c r="Z49" i="23"/>
  <c r="HH53" i="9"/>
  <c r="AB41" i="25" s="1"/>
  <c r="Z103" i="25"/>
  <c r="FB33" i="9"/>
  <c r="FA33" i="9" s="1"/>
  <c r="GT96" i="9"/>
  <c r="AD80" i="22"/>
  <c r="HU11" i="9"/>
  <c r="Q19" i="26" s="1"/>
  <c r="EZ134" i="9"/>
  <c r="K102" i="20" s="1"/>
  <c r="GP125" i="9"/>
  <c r="AC26" i="23" s="1"/>
  <c r="X36" i="24"/>
  <c r="FE137" i="9"/>
  <c r="FD137" i="9" s="1"/>
  <c r="FH97" i="9"/>
  <c r="FG97" i="9" s="1"/>
  <c r="Z27" i="25"/>
  <c r="FH14" i="9"/>
  <c r="T14" i="25" s="1"/>
  <c r="Z45" i="23"/>
  <c r="X70" i="24"/>
  <c r="GY32" i="9"/>
  <c r="GW32" i="9" s="1"/>
  <c r="AD45" i="22"/>
  <c r="X33" i="24"/>
  <c r="AA51" i="22"/>
  <c r="GJ77" i="9"/>
  <c r="AA9" i="23" s="1"/>
  <c r="HN53" i="9"/>
  <c r="AD41" i="25" s="1"/>
  <c r="FK108" i="9"/>
  <c r="FJ108" i="9" s="1"/>
  <c r="FH57" i="9"/>
  <c r="FG57" i="9" s="1"/>
  <c r="HW54" i="9"/>
  <c r="AA42" i="26" s="1"/>
  <c r="FE22" i="9"/>
  <c r="S9" i="24" s="1"/>
  <c r="GZ39" i="9"/>
  <c r="HI110" i="9"/>
  <c r="GW94" i="9"/>
  <c r="P8" i="24" s="1"/>
  <c r="GM148" i="9"/>
  <c r="AB94" i="23" s="1"/>
  <c r="X42" i="26"/>
  <c r="FK41" i="9"/>
  <c r="S62" i="26" s="1"/>
  <c r="V7" i="13"/>
  <c r="GP77" i="9"/>
  <c r="AC9" i="23" s="1"/>
  <c r="AC64" i="22"/>
  <c r="GH9" i="9"/>
  <c r="FH151" i="9"/>
  <c r="FG151" i="9" s="1"/>
  <c r="GM15" i="9"/>
  <c r="AB47" i="23" s="1"/>
  <c r="HC130" i="9"/>
  <c r="FK107" i="9"/>
  <c r="FJ107" i="9" s="1"/>
  <c r="HR98" i="9"/>
  <c r="EZ125" i="9"/>
  <c r="K26" i="20" s="1"/>
  <c r="HQ132" i="9"/>
  <c r="Y82" i="26" s="1"/>
  <c r="HT132" i="9"/>
  <c r="Z82" i="26" s="1"/>
  <c r="HF138" i="9"/>
  <c r="P72" i="25" s="1"/>
  <c r="HN119" i="9"/>
  <c r="AD58" i="25" s="1"/>
  <c r="GJ148" i="9"/>
  <c r="AA94" i="23" s="1"/>
  <c r="HQ114" i="9"/>
  <c r="Y74" i="26" s="1"/>
  <c r="HL67" i="9"/>
  <c r="R7" i="25" s="1"/>
  <c r="GV16" i="9"/>
  <c r="Y63" i="24" s="1"/>
  <c r="GV9" i="9"/>
  <c r="GT9" i="9" s="1"/>
  <c r="HB51" i="9"/>
  <c r="AA32" i="24" s="1"/>
  <c r="GY16" i="9"/>
  <c r="Z63" i="24" s="1"/>
  <c r="Z9" i="23"/>
  <c r="GS26" i="9"/>
  <c r="GQ26" i="9" s="1"/>
  <c r="EZ9" i="9"/>
  <c r="HN9" i="9"/>
  <c r="HL9" i="9" s="1"/>
  <c r="FK55" i="9"/>
  <c r="FJ55" i="9" s="1"/>
  <c r="EB44" i="9"/>
  <c r="HD44" i="9" s="1"/>
  <c r="U43" i="25" s="1"/>
  <c r="GW9" i="9"/>
  <c r="AA43" i="22"/>
  <c r="FH111" i="9"/>
  <c r="FG111" i="9" s="1"/>
  <c r="GV142" i="9"/>
  <c r="Y36" i="24" s="1"/>
  <c r="U47" i="24"/>
  <c r="HK66" i="9"/>
  <c r="AC27" i="25" s="1"/>
  <c r="GY39" i="9"/>
  <c r="GW39" i="9" s="1"/>
  <c r="Z37" i="23"/>
  <c r="AA26" i="22"/>
  <c r="FE94" i="9"/>
  <c r="S8" i="24" s="1"/>
  <c r="FH67" i="9"/>
  <c r="FG67" i="9" s="1"/>
  <c r="HB66" i="9"/>
  <c r="AA42" i="24" s="1"/>
  <c r="GZ99" i="9"/>
  <c r="HU123" i="9"/>
  <c r="Q58" i="26" s="1"/>
  <c r="AD83" i="22"/>
  <c r="HN110" i="9"/>
  <c r="HL110" i="9" s="1"/>
  <c r="FK101" i="9"/>
  <c r="S7" i="26" s="1"/>
  <c r="U85" i="12"/>
  <c r="GU56" i="9"/>
  <c r="T12" i="24" s="1"/>
  <c r="HE119" i="9"/>
  <c r="K53" i="34"/>
  <c r="GQ97" i="9"/>
  <c r="GV66" i="9"/>
  <c r="Y42" i="24" s="1"/>
  <c r="EC44" i="9"/>
  <c r="HG44" i="9" s="1"/>
  <c r="V43" i="25" s="1"/>
  <c r="HQ13" i="9"/>
  <c r="Y21" i="26" s="1"/>
  <c r="GY19" i="9"/>
  <c r="Z23" i="24" s="1"/>
  <c r="HE43" i="9"/>
  <c r="AA87" i="25" s="1"/>
  <c r="HK9" i="9"/>
  <c r="HI9" i="9" s="1"/>
  <c r="HN130" i="9"/>
  <c r="HL130" i="9" s="1"/>
  <c r="V103" i="23"/>
  <c r="GK134" i="9"/>
  <c r="P103" i="23" s="1"/>
  <c r="U72" i="25"/>
  <c r="HB151" i="9"/>
  <c r="GZ151" i="9" s="1"/>
  <c r="HT113" i="9"/>
  <c r="Z13" i="26" s="1"/>
  <c r="GL90" i="9"/>
  <c r="V97" i="23" s="1"/>
  <c r="GJ124" i="9"/>
  <c r="AA70" i="23" s="1"/>
  <c r="HT143" i="9"/>
  <c r="Z103" i="26" s="1"/>
  <c r="HB96" i="9"/>
  <c r="GZ96" i="9" s="1"/>
  <c r="HS56" i="9"/>
  <c r="U20" i="26" s="1"/>
  <c r="HW36" i="9"/>
  <c r="HU36" i="9" s="1"/>
  <c r="FK42" i="9"/>
  <c r="X49" i="22" s="1"/>
  <c r="FH38" i="9"/>
  <c r="FG38" i="9" s="1"/>
  <c r="HK126" i="9"/>
  <c r="HI126" i="9" s="1"/>
  <c r="GM129" i="9"/>
  <c r="GK129" i="9" s="1"/>
  <c r="GP124" i="9"/>
  <c r="AC70" i="23" s="1"/>
  <c r="AD103" i="22"/>
  <c r="GJ8" i="9"/>
  <c r="GH8" i="9" s="1"/>
  <c r="HT39" i="9"/>
  <c r="HR39" i="9" s="1"/>
  <c r="EZ17" i="9"/>
  <c r="Z72" i="22" s="1"/>
  <c r="GM17" i="9"/>
  <c r="AB69" i="23" s="1"/>
  <c r="GP58" i="9"/>
  <c r="AC6" i="23" s="1"/>
  <c r="HE20" i="9"/>
  <c r="HC20" i="9" s="1"/>
  <c r="HU32" i="9"/>
  <c r="HE92" i="9"/>
  <c r="AA88" i="25" s="1"/>
  <c r="HH92" i="9"/>
  <c r="AB88" i="25" s="1"/>
  <c r="HE126" i="9"/>
  <c r="HC126" i="9" s="1"/>
  <c r="FH100" i="9"/>
  <c r="FG100" i="9" s="1"/>
  <c r="GS129" i="9"/>
  <c r="GQ129" i="9" s="1"/>
  <c r="FH149" i="9"/>
  <c r="T90" i="25" s="1"/>
  <c r="AA70" i="22"/>
  <c r="U3" i="12"/>
  <c r="HY40" i="9"/>
  <c r="EZ34" i="9"/>
  <c r="GS58" i="9"/>
  <c r="AD6" i="23" s="1"/>
  <c r="HH20" i="9"/>
  <c r="HF20" i="9" s="1"/>
  <c r="HV139" i="9"/>
  <c r="V51" i="26" s="1"/>
  <c r="GS8" i="9"/>
  <c r="AD27" i="23" s="1"/>
  <c r="HT18" i="9"/>
  <c r="HW18" i="9"/>
  <c r="HN126" i="9"/>
  <c r="HL126" i="9" s="1"/>
  <c r="EZ89" i="9"/>
  <c r="Z65" i="22" s="1"/>
  <c r="HN115" i="9"/>
  <c r="AD49" i="25" s="1"/>
  <c r="GP129" i="9"/>
  <c r="GN129" i="9" s="1"/>
  <c r="HW89" i="9"/>
  <c r="AA63" i="26" s="1"/>
  <c r="GP82" i="9"/>
  <c r="AC5" i="23" s="1"/>
  <c r="HW23" i="9"/>
  <c r="AA75" i="26" s="1"/>
  <c r="FB17" i="9"/>
  <c r="T69" i="23" s="1"/>
  <c r="EZ45" i="9"/>
  <c r="K33" i="20" s="1"/>
  <c r="AD66" i="22"/>
  <c r="AA5" i="22"/>
  <c r="HT20" i="9"/>
  <c r="HR20" i="9" s="1"/>
  <c r="HK20" i="9"/>
  <c r="HI20" i="9" s="1"/>
  <c r="HY32" i="9"/>
  <c r="GM8" i="9"/>
  <c r="AB3" i="23" s="1"/>
  <c r="HE115" i="9"/>
  <c r="AA49" i="25" s="1"/>
  <c r="HT89" i="9"/>
  <c r="Z63" i="26" s="1"/>
  <c r="FK75" i="9"/>
  <c r="FJ75" i="9" s="1"/>
  <c r="HB117" i="9"/>
  <c r="AA89" i="24" s="1"/>
  <c r="GJ82" i="9"/>
  <c r="AA5" i="23" s="1"/>
  <c r="GM82" i="9"/>
  <c r="Z6" i="23"/>
  <c r="HL20" i="9"/>
  <c r="GP8" i="9"/>
  <c r="AC27" i="23" s="1"/>
  <c r="GM33" i="9"/>
  <c r="GK33" i="9" s="1"/>
  <c r="GP33" i="9"/>
  <c r="GN33" i="9" s="1"/>
  <c r="HY154" i="9"/>
  <c r="EZ127" i="9"/>
  <c r="K79" i="20" s="1"/>
  <c r="HH115" i="9"/>
  <c r="AB49" i="25" s="1"/>
  <c r="GY127" i="9"/>
  <c r="Z58" i="24" s="1"/>
  <c r="AD65" i="22"/>
  <c r="GV117" i="9"/>
  <c r="Y89" i="24" s="1"/>
  <c r="GS82" i="9"/>
  <c r="AD5" i="23" s="1"/>
  <c r="HY74" i="9"/>
  <c r="HE25" i="9"/>
  <c r="HC25" i="9" s="1"/>
  <c r="GV11" i="9"/>
  <c r="Y51" i="24" s="1"/>
  <c r="HQ38" i="9"/>
  <c r="HO38" i="9" s="1"/>
  <c r="FE46" i="9"/>
  <c r="S17" i="24" s="1"/>
  <c r="FB41" i="9"/>
  <c r="T58" i="23" s="1"/>
  <c r="FH74" i="9"/>
  <c r="FG74" i="9" s="1"/>
  <c r="HK115" i="9"/>
  <c r="AC49" i="25" s="1"/>
  <c r="GV127" i="9"/>
  <c r="X63" i="26"/>
  <c r="X89" i="24"/>
  <c r="GL89" i="9"/>
  <c r="V68" i="23" s="1"/>
  <c r="AA6" i="22"/>
  <c r="GJ58" i="9"/>
  <c r="AA6" i="23" s="1"/>
  <c r="FK11" i="9"/>
  <c r="S19" i="26" s="1"/>
  <c r="HR13" i="9"/>
  <c r="P21" i="26" s="1"/>
  <c r="GY11" i="9"/>
  <c r="Z51" i="24" s="1"/>
  <c r="GV36" i="9"/>
  <c r="GT36" i="9" s="1"/>
  <c r="HE9" i="9"/>
  <c r="HC9" i="9" s="1"/>
  <c r="FE100" i="9"/>
  <c r="FD100" i="9" s="1"/>
  <c r="FK106" i="9"/>
  <c r="FJ106" i="9" s="1"/>
  <c r="FK109" i="9"/>
  <c r="FJ109" i="9" s="1"/>
  <c r="K3" i="12"/>
  <c r="HP90" i="9"/>
  <c r="T96" i="26" s="1"/>
  <c r="GQ109" i="9"/>
  <c r="HY95" i="9"/>
  <c r="AC67" i="22"/>
  <c r="HB127" i="9"/>
  <c r="AA58" i="24" s="1"/>
  <c r="T80" i="24"/>
  <c r="AB97" i="22"/>
  <c r="HY104" i="9"/>
  <c r="GP43" i="9"/>
  <c r="AC57" i="23" s="1"/>
  <c r="HE8" i="9"/>
  <c r="AA103" i="25" s="1"/>
  <c r="HB11" i="9"/>
  <c r="AA51" i="24" s="1"/>
  <c r="GJ42" i="9"/>
  <c r="FK96" i="9"/>
  <c r="FJ96" i="9" s="1"/>
  <c r="FK133" i="9"/>
  <c r="S105" i="26" s="1"/>
  <c r="X58" i="24"/>
  <c r="Z69" i="23"/>
  <c r="GL56" i="9"/>
  <c r="V19" i="23" s="1"/>
  <c r="FH12" i="9"/>
  <c r="W11" i="22" s="1"/>
  <c r="GJ17" i="9"/>
  <c r="AA69" i="23" s="1"/>
  <c r="AA58" i="22"/>
  <c r="AB24" i="22"/>
  <c r="GP42" i="9"/>
  <c r="AC44" i="23" s="1"/>
  <c r="FB80" i="9"/>
  <c r="FA80" i="9" s="1"/>
  <c r="HY112" i="9"/>
  <c r="EZ129" i="9"/>
  <c r="EZ78" i="9"/>
  <c r="Z93" i="22" s="1"/>
  <c r="T60" i="24"/>
  <c r="HR114" i="9"/>
  <c r="P74" i="26" s="1"/>
  <c r="HY86" i="9"/>
  <c r="AA72" i="22"/>
  <c r="HH8" i="9"/>
  <c r="HF8" i="9" s="1"/>
  <c r="P103" i="25" s="1"/>
  <c r="GW66" i="9"/>
  <c r="P42" i="24" s="1"/>
  <c r="GM42" i="9"/>
  <c r="AB44" i="23" s="1"/>
  <c r="FK99" i="9"/>
  <c r="FJ99" i="9" s="1"/>
  <c r="FE122" i="9"/>
  <c r="S93" i="24" s="1"/>
  <c r="GK118" i="9"/>
  <c r="P88" i="23" s="1"/>
  <c r="GV151" i="9"/>
  <c r="GT151" i="9" s="1"/>
  <c r="FK116" i="9"/>
  <c r="S60" i="26" s="1"/>
  <c r="FE142" i="9"/>
  <c r="S36" i="24" s="1"/>
  <c r="HQ113" i="9"/>
  <c r="Y13" i="26" s="1"/>
  <c r="FH76" i="9"/>
  <c r="FG76" i="9" s="1"/>
  <c r="GY96" i="9"/>
  <c r="GW96" i="9" s="1"/>
  <c r="GS17" i="9"/>
  <c r="AD69" i="23" s="1"/>
  <c r="HQ39" i="9"/>
  <c r="HO39" i="9" s="1"/>
  <c r="HU42" i="9"/>
  <c r="Q47" i="26" s="1"/>
  <c r="HK8" i="9"/>
  <c r="HI8" i="9" s="1"/>
  <c r="AA49" i="22"/>
  <c r="GH149" i="9"/>
  <c r="O91" i="23" s="1"/>
  <c r="HI105" i="9"/>
  <c r="Q57" i="25" s="1"/>
  <c r="FH32" i="9"/>
  <c r="FG32" i="9" s="1"/>
  <c r="GJ104" i="9"/>
  <c r="GH104" i="9" s="1"/>
  <c r="HF107" i="9"/>
  <c r="FB150" i="9"/>
  <c r="T66" i="23" s="1"/>
  <c r="FH93" i="9"/>
  <c r="FG93" i="9" s="1"/>
  <c r="HN25" i="9"/>
  <c r="HL25" i="9" s="1"/>
  <c r="HK25" i="9"/>
  <c r="HI25" i="9" s="1"/>
  <c r="FH22" i="9"/>
  <c r="W21" i="22" s="1"/>
  <c r="FB130" i="9"/>
  <c r="FA130" i="9" s="1"/>
  <c r="FB26" i="9"/>
  <c r="FA26" i="9" s="1"/>
  <c r="X80" i="23"/>
  <c r="EZ96" i="9"/>
  <c r="FE93" i="9"/>
  <c r="V87" i="22" s="1"/>
  <c r="T81" i="26"/>
  <c r="HB153" i="9"/>
  <c r="GZ153" i="9" s="1"/>
  <c r="HB45" i="9"/>
  <c r="AA20" i="24" s="1"/>
  <c r="HQ45" i="9"/>
  <c r="HO45" i="9" s="1"/>
  <c r="O34" i="26" s="1"/>
  <c r="GN17" i="9"/>
  <c r="Q69" i="23" s="1"/>
  <c r="X64" i="24"/>
  <c r="FB49" i="9"/>
  <c r="T38" i="23" s="1"/>
  <c r="X20" i="24"/>
  <c r="AA3" i="12"/>
  <c r="GM77" i="9"/>
  <c r="GZ33" i="9"/>
  <c r="HW10" i="9"/>
  <c r="HU10" i="9" s="1"/>
  <c r="FE45" i="9"/>
  <c r="HH122" i="9"/>
  <c r="AB38" i="25" s="1"/>
  <c r="HN122" i="9"/>
  <c r="FE101" i="9"/>
  <c r="HU25" i="9"/>
  <c r="W78" i="23"/>
  <c r="HQ121" i="9"/>
  <c r="Y84" i="26" s="1"/>
  <c r="HT121" i="9"/>
  <c r="HB143" i="9"/>
  <c r="AA68" i="24" s="1"/>
  <c r="HK114" i="9"/>
  <c r="FB132" i="9"/>
  <c r="U83" i="22" s="1"/>
  <c r="HT45" i="9"/>
  <c r="T7" i="10"/>
  <c r="GS77" i="9"/>
  <c r="HT148" i="9"/>
  <c r="HQ148" i="9"/>
  <c r="Y93" i="26" s="1"/>
  <c r="GP96" i="9"/>
  <c r="GN96" i="9" s="1"/>
  <c r="GS96" i="9"/>
  <c r="GQ96" i="9" s="1"/>
  <c r="GJ96" i="9"/>
  <c r="GH96" i="9" s="1"/>
  <c r="HN40" i="9"/>
  <c r="HL40" i="9" s="1"/>
  <c r="HH40" i="9"/>
  <c r="HF40" i="9" s="1"/>
  <c r="HN69" i="9"/>
  <c r="HL69" i="9" s="1"/>
  <c r="HE69" i="9"/>
  <c r="HC69" i="9" s="1"/>
  <c r="HK69" i="9"/>
  <c r="HI69" i="9" s="1"/>
  <c r="HH69" i="9"/>
  <c r="HF69" i="9" s="1"/>
  <c r="HQ23" i="9"/>
  <c r="HT23" i="9"/>
  <c r="HY130" i="9"/>
  <c r="FK138" i="9"/>
  <c r="FJ138" i="9" s="1"/>
  <c r="EZ80" i="9"/>
  <c r="GV39" i="9"/>
  <c r="GT39" i="9" s="1"/>
  <c r="HW45" i="9"/>
  <c r="AA34" i="26" s="1"/>
  <c r="T7" i="11"/>
  <c r="GJ26" i="9"/>
  <c r="GH26" i="9" s="1"/>
  <c r="HN43" i="9"/>
  <c r="HL43" i="9" s="1"/>
  <c r="R87" i="25" s="1"/>
  <c r="U66" i="25"/>
  <c r="FH135" i="9"/>
  <c r="Y48" i="24"/>
  <c r="GT93" i="9"/>
  <c r="O48" i="24" s="1"/>
  <c r="HY150" i="9"/>
  <c r="H63" i="27" s="1"/>
  <c r="HY142" i="9"/>
  <c r="H44" i="27" s="1"/>
  <c r="HY10" i="9"/>
  <c r="GM26" i="9"/>
  <c r="GK26" i="9" s="1"/>
  <c r="HH43" i="9"/>
  <c r="AB87" i="25" s="1"/>
  <c r="GJ20" i="9"/>
  <c r="GH20" i="9" s="1"/>
  <c r="GM20" i="9"/>
  <c r="GK20" i="9" s="1"/>
  <c r="GP20" i="9"/>
  <c r="GN20" i="9" s="1"/>
  <c r="HH57" i="9"/>
  <c r="HF57" i="9" s="1"/>
  <c r="HK57" i="9"/>
  <c r="HI57" i="9" s="1"/>
  <c r="GL88" i="9"/>
  <c r="HW121" i="9"/>
  <c r="AA84" i="26" s="1"/>
  <c r="GH129" i="9"/>
  <c r="HR36" i="9"/>
  <c r="HB23" i="9"/>
  <c r="AA33" i="24" s="1"/>
  <c r="GP10" i="9"/>
  <c r="GN10" i="9" s="1"/>
  <c r="FK40" i="9"/>
  <c r="FJ40" i="9" s="1"/>
  <c r="HE57" i="9"/>
  <c r="HC57" i="9" s="1"/>
  <c r="GM43" i="9"/>
  <c r="AB57" i="23" s="1"/>
  <c r="HK43" i="9"/>
  <c r="AC87" i="25" s="1"/>
  <c r="FE95" i="9"/>
  <c r="FD95" i="9" s="1"/>
  <c r="HW107" i="9"/>
  <c r="HU107" i="9" s="1"/>
  <c r="HQ107" i="9"/>
  <c r="HO107" i="9" s="1"/>
  <c r="HT107" i="9"/>
  <c r="HR107" i="9" s="1"/>
  <c r="HH85" i="9"/>
  <c r="HF85" i="9" s="1"/>
  <c r="HN85" i="9"/>
  <c r="HL85" i="9" s="1"/>
  <c r="U87" i="26"/>
  <c r="GY100" i="9"/>
  <c r="GW100" i="9" s="1"/>
  <c r="GV100" i="9"/>
  <c r="GT100" i="9" s="1"/>
  <c r="HH114" i="9"/>
  <c r="HE114" i="9"/>
  <c r="HY151" i="9"/>
  <c r="GW150" i="9"/>
  <c r="P106" i="24" s="1"/>
  <c r="X84" i="26"/>
  <c r="HB100" i="9"/>
  <c r="GZ100" i="9" s="1"/>
  <c r="HY57" i="9"/>
  <c r="GK58" i="9"/>
  <c r="P6" i="23" s="1"/>
  <c r="HB12" i="9"/>
  <c r="AA53" i="24" s="1"/>
  <c r="AB66" i="22"/>
  <c r="GY25" i="9"/>
  <c r="GW25" i="9" s="1"/>
  <c r="EZ55" i="9"/>
  <c r="FB46" i="9"/>
  <c r="FA46" i="9" s="1"/>
  <c r="GV25" i="9"/>
  <c r="GT25" i="9" s="1"/>
  <c r="GJ10" i="9"/>
  <c r="GH10" i="9" s="1"/>
  <c r="Z57" i="23"/>
  <c r="AC58" i="22"/>
  <c r="GS42" i="9"/>
  <c r="AD44" i="23" s="1"/>
  <c r="HT127" i="9"/>
  <c r="HQ127" i="9"/>
  <c r="HW127" i="9"/>
  <c r="GJ107" i="9"/>
  <c r="GH107" i="9" s="1"/>
  <c r="GS107" i="9"/>
  <c r="GQ107" i="9" s="1"/>
  <c r="GP107" i="9"/>
  <c r="GN107" i="9" s="1"/>
  <c r="GM107" i="9"/>
  <c r="GK107" i="9" s="1"/>
  <c r="HK35" i="9"/>
  <c r="EZ31" i="9"/>
  <c r="Z47" i="22" s="1"/>
  <c r="HR10" i="9"/>
  <c r="V90" i="26"/>
  <c r="GS110" i="9"/>
  <c r="GQ110" i="9" s="1"/>
  <c r="GJ110" i="9"/>
  <c r="GH110" i="9" s="1"/>
  <c r="GP110" i="9"/>
  <c r="GN110" i="9" s="1"/>
  <c r="GS13" i="9"/>
  <c r="GP13" i="9"/>
  <c r="AC20" i="23" s="1"/>
  <c r="GM13" i="9"/>
  <c r="GS41" i="9"/>
  <c r="GM41" i="9"/>
  <c r="GJ41" i="9"/>
  <c r="GY152" i="9"/>
  <c r="GW152" i="9" s="1"/>
  <c r="HB152" i="9"/>
  <c r="GZ152" i="9" s="1"/>
  <c r="GP72" i="9"/>
  <c r="AC78" i="23" s="1"/>
  <c r="GM72" i="9"/>
  <c r="GS72" i="9"/>
  <c r="GY12" i="9"/>
  <c r="Z53" i="24" s="1"/>
  <c r="GM10" i="9"/>
  <c r="GK10" i="9" s="1"/>
  <c r="HN35" i="9"/>
  <c r="AD26" i="25" s="1"/>
  <c r="HE35" i="9"/>
  <c r="AA26" i="25" s="1"/>
  <c r="FH136" i="9"/>
  <c r="FG136" i="9" s="1"/>
  <c r="GK80" i="9"/>
  <c r="GP53" i="9"/>
  <c r="GJ53" i="9"/>
  <c r="AA63" i="23" s="1"/>
  <c r="EZ149" i="9"/>
  <c r="Z94" i="22" s="1"/>
  <c r="FB136" i="9"/>
  <c r="T104" i="23" s="1"/>
  <c r="HY102" i="9"/>
  <c r="FB72" i="9"/>
  <c r="T78" i="23" s="1"/>
  <c r="AB11" i="22"/>
  <c r="Z26" i="25"/>
  <c r="GP41" i="9"/>
  <c r="AC58" i="23" s="1"/>
  <c r="HL112" i="9"/>
  <c r="FK135" i="9"/>
  <c r="S77" i="26" s="1"/>
  <c r="FH145" i="9"/>
  <c r="T105" i="25" s="1"/>
  <c r="FH114" i="9"/>
  <c r="T64" i="25" s="1"/>
  <c r="EZ118" i="9"/>
  <c r="K91" i="20" s="1"/>
  <c r="HE131" i="9"/>
  <c r="HC131" i="9" s="1"/>
  <c r="HY110" i="9"/>
  <c r="HH119" i="9"/>
  <c r="AB58" i="25" s="1"/>
  <c r="HY85" i="9"/>
  <c r="GS53" i="9"/>
  <c r="GQ53" i="9" s="1"/>
  <c r="R63" i="23" s="1"/>
  <c r="GX139" i="9"/>
  <c r="U43" i="24" s="1"/>
  <c r="FB51" i="9"/>
  <c r="U46" i="22" s="1"/>
  <c r="X53" i="24"/>
  <c r="GY71" i="9"/>
  <c r="AA63" i="22"/>
  <c r="GV23" i="9"/>
  <c r="Y33" i="24" s="1"/>
  <c r="HQ25" i="9"/>
  <c r="HO25" i="9" s="1"/>
  <c r="HR38" i="9"/>
  <c r="GS69" i="9"/>
  <c r="GQ69" i="9" s="1"/>
  <c r="GP69" i="9"/>
  <c r="GN69" i="9" s="1"/>
  <c r="GM69" i="9"/>
  <c r="GK69" i="9" s="1"/>
  <c r="GM52" i="9"/>
  <c r="GJ52" i="9"/>
  <c r="AA28" i="23" s="1"/>
  <c r="HY131" i="9"/>
  <c r="EZ107" i="9"/>
  <c r="HS139" i="9"/>
  <c r="U51" i="26" s="1"/>
  <c r="GJ72" i="9"/>
  <c r="GH72" i="9" s="1"/>
  <c r="O78" i="23" s="1"/>
  <c r="HK131" i="9"/>
  <c r="HI131" i="9" s="1"/>
  <c r="EZ53" i="9"/>
  <c r="Z64" i="22" s="1"/>
  <c r="HH74" i="9"/>
  <c r="HF74" i="9" s="1"/>
  <c r="O3" i="12"/>
  <c r="HY38" i="9"/>
  <c r="EZ10" i="9"/>
  <c r="AA22" i="22"/>
  <c r="GV71" i="9"/>
  <c r="Y64" i="24" s="1"/>
  <c r="X3" i="12"/>
  <c r="GV45" i="9"/>
  <c r="Z58" i="23"/>
  <c r="HT25" i="9"/>
  <c r="HR25" i="9" s="1"/>
  <c r="HQ10" i="9"/>
  <c r="HO10" i="9" s="1"/>
  <c r="FB131" i="9"/>
  <c r="FE107" i="9"/>
  <c r="FD107" i="9" s="1"/>
  <c r="HT51" i="9"/>
  <c r="HQ51" i="9"/>
  <c r="Y49" i="26" s="1"/>
  <c r="HW51" i="9"/>
  <c r="GW129" i="9"/>
  <c r="HY107" i="9"/>
  <c r="GN148" i="9"/>
  <c r="Q94" i="23" s="1"/>
  <c r="HY98" i="9"/>
  <c r="HE74" i="9"/>
  <c r="HC74" i="9" s="1"/>
  <c r="R3" i="12"/>
  <c r="Z20" i="23"/>
  <c r="AB84" i="22"/>
  <c r="FE54" i="9"/>
  <c r="S71" i="24" s="1"/>
  <c r="AB33" i="22"/>
  <c r="GM112" i="9"/>
  <c r="GK112" i="9" s="1"/>
  <c r="GJ112" i="9"/>
  <c r="GH112" i="9" s="1"/>
  <c r="HW100" i="9"/>
  <c r="HU100" i="9" s="1"/>
  <c r="HT100" i="9"/>
  <c r="HR100" i="9" s="1"/>
  <c r="HQ100" i="9"/>
  <c r="HO100" i="9" s="1"/>
  <c r="HB22" i="9"/>
  <c r="GY22" i="9"/>
  <c r="GM63" i="9"/>
  <c r="AB49" i="23" s="1"/>
  <c r="GJ63" i="9"/>
  <c r="AA49" i="23" s="1"/>
  <c r="HU9" i="9"/>
  <c r="FB154" i="9"/>
  <c r="GJ130" i="9"/>
  <c r="GH130" i="9" s="1"/>
  <c r="GM130" i="9"/>
  <c r="GK130" i="9" s="1"/>
  <c r="EZ130" i="9"/>
  <c r="GS130" i="9"/>
  <c r="GQ130" i="9" s="1"/>
  <c r="GP130" i="9"/>
  <c r="GN130" i="9" s="1"/>
  <c r="FH103" i="9"/>
  <c r="FG103" i="9" s="1"/>
  <c r="HY83" i="9"/>
  <c r="HD146" i="9"/>
  <c r="V57" i="25"/>
  <c r="Z41" i="23"/>
  <c r="AA42" i="22"/>
  <c r="GP142" i="9"/>
  <c r="AC41" i="23" s="1"/>
  <c r="EZ142" i="9"/>
  <c r="GS142" i="9"/>
  <c r="AD41" i="23" s="1"/>
  <c r="GJ142" i="9"/>
  <c r="AA41" i="23" s="1"/>
  <c r="GM142" i="9"/>
  <c r="AB41" i="23" s="1"/>
  <c r="K85" i="28"/>
  <c r="U17" i="25"/>
  <c r="FH113" i="9"/>
  <c r="H91" i="28"/>
  <c r="HY92" i="9"/>
  <c r="J91" i="27" s="1"/>
  <c r="L99" i="28"/>
  <c r="V102" i="23"/>
  <c r="U106" i="23"/>
  <c r="FB145" i="9"/>
  <c r="HY109" i="9"/>
  <c r="GY98" i="9"/>
  <c r="GW98" i="9" s="1"/>
  <c r="HB98" i="9"/>
  <c r="GZ98" i="9" s="1"/>
  <c r="GV98" i="9"/>
  <c r="GT98" i="9" s="1"/>
  <c r="U41" i="23"/>
  <c r="FB142" i="9"/>
  <c r="W77" i="23"/>
  <c r="X92" i="26"/>
  <c r="AD91" i="22"/>
  <c r="HQ118" i="9"/>
  <c r="Y92" i="26" s="1"/>
  <c r="HW118" i="9"/>
  <c r="AA92" i="26" s="1"/>
  <c r="HT118" i="9"/>
  <c r="Z92" i="26" s="1"/>
  <c r="H12" i="28"/>
  <c r="HY113" i="9"/>
  <c r="I12" i="27" s="1"/>
  <c r="Z82" i="23"/>
  <c r="AA81" i="22"/>
  <c r="GJ91" i="9"/>
  <c r="AA82" i="23" s="1"/>
  <c r="GS91" i="9"/>
  <c r="AD82" i="23" s="1"/>
  <c r="GP91" i="9"/>
  <c r="AC82" i="23" s="1"/>
  <c r="EZ91" i="9"/>
  <c r="GM91" i="9"/>
  <c r="AB82" i="23" s="1"/>
  <c r="T64" i="24"/>
  <c r="FE71" i="9"/>
  <c r="T49" i="24"/>
  <c r="FE140" i="9"/>
  <c r="W105" i="23"/>
  <c r="J71" i="28"/>
  <c r="J16" i="28"/>
  <c r="X99" i="24"/>
  <c r="AB95" i="22"/>
  <c r="HB137" i="9"/>
  <c r="AA99" i="24" s="1"/>
  <c r="GY137" i="9"/>
  <c r="Z99" i="24" s="1"/>
  <c r="GV137" i="9"/>
  <c r="U79" i="25"/>
  <c r="FH121" i="9"/>
  <c r="H22" i="28"/>
  <c r="HY84" i="9"/>
  <c r="H22" i="27" s="1"/>
  <c r="X37" i="26"/>
  <c r="AD40" i="22"/>
  <c r="HT120" i="9"/>
  <c r="HQ120" i="9"/>
  <c r="Y37" i="26" s="1"/>
  <c r="HW120" i="9"/>
  <c r="AA82" i="22"/>
  <c r="Z81" i="23"/>
  <c r="GS108" i="9"/>
  <c r="AD81" i="23" s="1"/>
  <c r="EZ108" i="9"/>
  <c r="GP108" i="9"/>
  <c r="AC81" i="23" s="1"/>
  <c r="GM108" i="9"/>
  <c r="GJ108" i="9"/>
  <c r="AA81" i="23" s="1"/>
  <c r="K87" i="28"/>
  <c r="V4" i="26"/>
  <c r="L103" i="28"/>
  <c r="FH109" i="9"/>
  <c r="FG109" i="9" s="1"/>
  <c r="HC109" i="9"/>
  <c r="H80" i="28"/>
  <c r="HY146" i="9"/>
  <c r="L80" i="27" s="1"/>
  <c r="L93" i="28"/>
  <c r="I79" i="28"/>
  <c r="HY128" i="9"/>
  <c r="X82" i="23"/>
  <c r="X18" i="26"/>
  <c r="AD16" i="22"/>
  <c r="HW94" i="9"/>
  <c r="HQ94" i="9"/>
  <c r="HT94" i="9"/>
  <c r="X80" i="24"/>
  <c r="AB71" i="22"/>
  <c r="HB81" i="9"/>
  <c r="GY81" i="9"/>
  <c r="GV81" i="9"/>
  <c r="T46" i="26"/>
  <c r="FK63" i="9"/>
  <c r="HO63" i="9"/>
  <c r="O46" i="26" s="1"/>
  <c r="FE83" i="9"/>
  <c r="FD83" i="9" s="1"/>
  <c r="X71" i="26"/>
  <c r="AD74" i="22"/>
  <c r="HQ105" i="9"/>
  <c r="Y71" i="26" s="1"/>
  <c r="HW105" i="9"/>
  <c r="AA71" i="26" s="1"/>
  <c r="HT105" i="9"/>
  <c r="U39" i="24"/>
  <c r="U21" i="24"/>
  <c r="FE67" i="9"/>
  <c r="X72" i="24"/>
  <c r="AB48" i="22"/>
  <c r="GY62" i="9"/>
  <c r="GV62" i="9"/>
  <c r="HB62" i="9"/>
  <c r="AA72" i="24" s="1"/>
  <c r="EZ62" i="9"/>
  <c r="FB69" i="9"/>
  <c r="GH69" i="9"/>
  <c r="U50" i="25"/>
  <c r="FH60" i="9"/>
  <c r="V68" i="26"/>
  <c r="X76" i="24"/>
  <c r="AB12" i="22"/>
  <c r="HB76" i="9"/>
  <c r="GV76" i="9"/>
  <c r="Y76" i="24" s="1"/>
  <c r="GY76" i="9"/>
  <c r="Z76" i="24" s="1"/>
  <c r="V78" i="26"/>
  <c r="X41" i="25"/>
  <c r="Z70" i="25"/>
  <c r="AC38" i="22"/>
  <c r="HH50" i="9"/>
  <c r="AB70" i="25" s="1"/>
  <c r="HE50" i="9"/>
  <c r="AA70" i="25" s="1"/>
  <c r="HN50" i="9"/>
  <c r="AD70" i="25" s="1"/>
  <c r="HK50" i="9"/>
  <c r="AC70" i="25" s="1"/>
  <c r="T93" i="26"/>
  <c r="FK148" i="9"/>
  <c r="H77" i="28"/>
  <c r="HY124" i="9"/>
  <c r="J77" i="27" s="1"/>
  <c r="V84" i="25"/>
  <c r="FB129" i="9"/>
  <c r="FE99" i="9"/>
  <c r="FD99" i="9" s="1"/>
  <c r="V59" i="24"/>
  <c r="Z28" i="25"/>
  <c r="AC40" i="22"/>
  <c r="HK120" i="9"/>
  <c r="AC28" i="25" s="1"/>
  <c r="HN120" i="9"/>
  <c r="HH120" i="9"/>
  <c r="HE120" i="9"/>
  <c r="AA28" i="25" s="1"/>
  <c r="FE112" i="9"/>
  <c r="FD112" i="9" s="1"/>
  <c r="K97" i="28"/>
  <c r="X53" i="26"/>
  <c r="AD55" i="22"/>
  <c r="HQ122" i="9"/>
  <c r="HW122" i="9"/>
  <c r="AA53" i="26" s="1"/>
  <c r="HT122" i="9"/>
  <c r="L63" i="28"/>
  <c r="HV146" i="9"/>
  <c r="FK146" i="9" s="1"/>
  <c r="H32" i="28"/>
  <c r="HY125" i="9"/>
  <c r="H32" i="27" s="1"/>
  <c r="W106" i="23"/>
  <c r="I95" i="28"/>
  <c r="K37" i="28"/>
  <c r="J78" i="28"/>
  <c r="FH153" i="9"/>
  <c r="FG153" i="9" s="1"/>
  <c r="W41" i="23"/>
  <c r="FK126" i="9"/>
  <c r="FJ126" i="9" s="1"/>
  <c r="W66" i="23"/>
  <c r="X100" i="24"/>
  <c r="AB106" i="22"/>
  <c r="HB145" i="9"/>
  <c r="GY145" i="9"/>
  <c r="GV145" i="9"/>
  <c r="Y100" i="24" s="1"/>
  <c r="V99" i="24"/>
  <c r="K88" i="28"/>
  <c r="L62" i="28"/>
  <c r="FE98" i="9"/>
  <c r="FD98" i="9" s="1"/>
  <c r="HY152" i="9"/>
  <c r="L96" i="28"/>
  <c r="HP88" i="9"/>
  <c r="V94" i="24"/>
  <c r="J79" i="28"/>
  <c r="J67" i="28"/>
  <c r="V46" i="26"/>
  <c r="U38" i="24"/>
  <c r="U63" i="26"/>
  <c r="GV80" i="9"/>
  <c r="GT80" i="9" s="1"/>
  <c r="GY80" i="9"/>
  <c r="GW80" i="9" s="1"/>
  <c r="HB80" i="9"/>
  <c r="GZ80" i="9" s="1"/>
  <c r="L5" i="28"/>
  <c r="H9" i="28"/>
  <c r="HY67" i="9"/>
  <c r="L9" i="27" s="1"/>
  <c r="X29" i="24"/>
  <c r="AB30" i="22"/>
  <c r="GY87" i="9"/>
  <c r="GV87" i="9"/>
  <c r="Y29" i="24" s="1"/>
  <c r="HB87" i="9"/>
  <c r="AA29" i="24" s="1"/>
  <c r="X4" i="25"/>
  <c r="U35" i="26"/>
  <c r="HR66" i="9"/>
  <c r="P35" i="26" s="1"/>
  <c r="FK66" i="9"/>
  <c r="U57" i="26"/>
  <c r="HW57" i="9"/>
  <c r="HU57" i="9" s="1"/>
  <c r="HT57" i="9"/>
  <c r="HR57" i="9" s="1"/>
  <c r="HQ57" i="9"/>
  <c r="HO57" i="9" s="1"/>
  <c r="X68" i="26"/>
  <c r="AD70" i="22"/>
  <c r="HW124" i="9"/>
  <c r="AA68" i="26" s="1"/>
  <c r="HT124" i="9"/>
  <c r="Z68" i="26" s="1"/>
  <c r="HQ124" i="9"/>
  <c r="Y68" i="26" s="1"/>
  <c r="L69" i="28"/>
  <c r="H3" i="28"/>
  <c r="H3" i="27"/>
  <c r="H25" i="28"/>
  <c r="HY8" i="9"/>
  <c r="L3" i="27" s="1"/>
  <c r="U26" i="24"/>
  <c r="HT152" i="9"/>
  <c r="HR152" i="9" s="1"/>
  <c r="HQ152" i="9"/>
  <c r="HO152" i="9" s="1"/>
  <c r="HW152" i="9"/>
  <c r="HU152" i="9" s="1"/>
  <c r="V100" i="26"/>
  <c r="HU144" i="9"/>
  <c r="Q100" i="26" s="1"/>
  <c r="V50" i="24"/>
  <c r="T91" i="24"/>
  <c r="FE119" i="9"/>
  <c r="HE111" i="9"/>
  <c r="HC111" i="9" s="1"/>
  <c r="HN111" i="9"/>
  <c r="HL111" i="9" s="1"/>
  <c r="HK111" i="9"/>
  <c r="HI111" i="9" s="1"/>
  <c r="HH111" i="9"/>
  <c r="HF111" i="9" s="1"/>
  <c r="X84" i="25"/>
  <c r="L32" i="28"/>
  <c r="HQ111" i="9"/>
  <c r="HO111" i="9" s="1"/>
  <c r="HW111" i="9"/>
  <c r="HU111" i="9" s="1"/>
  <c r="HT111" i="9"/>
  <c r="HR111" i="9" s="1"/>
  <c r="FE102" i="9"/>
  <c r="FD102" i="9" s="1"/>
  <c r="HJ146" i="9"/>
  <c r="U55" i="23"/>
  <c r="FB123" i="9"/>
  <c r="W28" i="25"/>
  <c r="X83" i="24"/>
  <c r="AB74" i="22"/>
  <c r="GY105" i="9"/>
  <c r="HB105" i="9"/>
  <c r="AA83" i="24" s="1"/>
  <c r="EZ105" i="9"/>
  <c r="GV105" i="9"/>
  <c r="H78" i="28"/>
  <c r="HY72" i="9"/>
  <c r="H78" i="27" s="1"/>
  <c r="V34" i="25"/>
  <c r="FH65" i="9"/>
  <c r="V106" i="26"/>
  <c r="H92" i="28"/>
  <c r="HY149" i="9"/>
  <c r="K92" i="27" s="1"/>
  <c r="V100" i="23"/>
  <c r="FK111" i="9"/>
  <c r="FJ111" i="9" s="1"/>
  <c r="FH107" i="9"/>
  <c r="FG107" i="9" s="1"/>
  <c r="Z93" i="23"/>
  <c r="AA87" i="22"/>
  <c r="GP93" i="9"/>
  <c r="EZ93" i="9"/>
  <c r="GM93" i="9"/>
  <c r="AB93" i="23" s="1"/>
  <c r="GS93" i="9"/>
  <c r="GJ93" i="9"/>
  <c r="AA93" i="23" s="1"/>
  <c r="V66" i="23"/>
  <c r="HW130" i="9"/>
  <c r="HU130" i="9" s="1"/>
  <c r="HT130" i="9"/>
  <c r="HR130" i="9" s="1"/>
  <c r="HQ130" i="9"/>
  <c r="HO130" i="9" s="1"/>
  <c r="U95" i="23"/>
  <c r="FB117" i="9"/>
  <c r="W103" i="23"/>
  <c r="GY106" i="9"/>
  <c r="GW106" i="9" s="1"/>
  <c r="GV106" i="9"/>
  <c r="GT106" i="9" s="1"/>
  <c r="HB106" i="9"/>
  <c r="GZ106" i="9" s="1"/>
  <c r="X7" i="26"/>
  <c r="AD9" i="22"/>
  <c r="HW101" i="9"/>
  <c r="HT101" i="9"/>
  <c r="HQ101" i="9"/>
  <c r="V49" i="24"/>
  <c r="GP106" i="9"/>
  <c r="GN106" i="9" s="1"/>
  <c r="GS106" i="9"/>
  <c r="GQ106" i="9" s="1"/>
  <c r="GJ106" i="9"/>
  <c r="GH106" i="9" s="1"/>
  <c r="EZ106" i="9"/>
  <c r="GM106" i="9"/>
  <c r="GK106" i="9" s="1"/>
  <c r="X17" i="23"/>
  <c r="T6" i="26"/>
  <c r="FK82" i="9"/>
  <c r="X81" i="23"/>
  <c r="U93" i="23"/>
  <c r="FB93" i="9"/>
  <c r="X104" i="26"/>
  <c r="AD104" i="22"/>
  <c r="HQ136" i="9"/>
  <c r="Y104" i="26" s="1"/>
  <c r="HW136" i="9"/>
  <c r="AA104" i="26" s="1"/>
  <c r="HT136" i="9"/>
  <c r="Z104" i="26" s="1"/>
  <c r="HN98" i="9"/>
  <c r="HL98" i="9" s="1"/>
  <c r="HK98" i="9"/>
  <c r="HI98" i="9" s="1"/>
  <c r="HH98" i="9"/>
  <c r="HF98" i="9" s="1"/>
  <c r="HE98" i="9"/>
  <c r="HC98" i="9" s="1"/>
  <c r="HM146" i="9"/>
  <c r="Z12" i="23"/>
  <c r="AA12" i="22"/>
  <c r="GM76" i="9"/>
  <c r="GS76" i="9"/>
  <c r="GP76" i="9"/>
  <c r="GJ76" i="9"/>
  <c r="EZ76" i="9"/>
  <c r="L80" i="28"/>
  <c r="H82" i="28"/>
  <c r="HY127" i="9"/>
  <c r="H82" i="27" s="1"/>
  <c r="W5" i="23"/>
  <c r="V76" i="23"/>
  <c r="U99" i="26"/>
  <c r="K67" i="28"/>
  <c r="H81" i="28"/>
  <c r="HY91" i="9"/>
  <c r="H81" i="27" s="1"/>
  <c r="U73" i="25"/>
  <c r="HC59" i="9"/>
  <c r="O73" i="25" s="1"/>
  <c r="FH59" i="9"/>
  <c r="Z52" i="25"/>
  <c r="AC65" i="22"/>
  <c r="HK89" i="9"/>
  <c r="AC52" i="25" s="1"/>
  <c r="HN89" i="9"/>
  <c r="AD52" i="25" s="1"/>
  <c r="HH89" i="9"/>
  <c r="AB52" i="25" s="1"/>
  <c r="HE89" i="9"/>
  <c r="AA52" i="25" s="1"/>
  <c r="FE74" i="9"/>
  <c r="FD74" i="9" s="1"/>
  <c r="V4" i="25"/>
  <c r="V35" i="26"/>
  <c r="T57" i="26"/>
  <c r="FK61" i="9"/>
  <c r="U75" i="24"/>
  <c r="FE68" i="9"/>
  <c r="X82" i="24"/>
  <c r="AB9" i="22"/>
  <c r="GY101" i="9"/>
  <c r="GV101" i="9"/>
  <c r="HB101" i="9"/>
  <c r="Z101" i="23"/>
  <c r="AA101" i="22"/>
  <c r="GS48" i="9"/>
  <c r="GJ48" i="9"/>
  <c r="AA101" i="23" s="1"/>
  <c r="EZ48" i="9"/>
  <c r="GP48" i="9"/>
  <c r="GM48" i="9"/>
  <c r="X17" i="26"/>
  <c r="AD13" i="22"/>
  <c r="HT27" i="9"/>
  <c r="Z17" i="26" s="1"/>
  <c r="HW27" i="9"/>
  <c r="AA17" i="26" s="1"/>
  <c r="HQ27" i="9"/>
  <c r="T67" i="24"/>
  <c r="FE17" i="9"/>
  <c r="L14" i="28"/>
  <c r="X35" i="24"/>
  <c r="AB53" i="22"/>
  <c r="HB60" i="9"/>
  <c r="AA35" i="24" s="1"/>
  <c r="GY60" i="9"/>
  <c r="Z35" i="24" s="1"/>
  <c r="GV60" i="9"/>
  <c r="U41" i="25"/>
  <c r="FH53" i="9"/>
  <c r="H55" i="28"/>
  <c r="HY30" i="9"/>
  <c r="H55" i="27" s="1"/>
  <c r="HN36" i="9"/>
  <c r="HL36" i="9" s="1"/>
  <c r="HK36" i="9"/>
  <c r="HI36" i="9" s="1"/>
  <c r="HH36" i="9"/>
  <c r="HF36" i="9" s="1"/>
  <c r="HE36" i="9"/>
  <c r="HC36" i="9" s="1"/>
  <c r="Z89" i="23"/>
  <c r="AA88" i="22"/>
  <c r="EZ47" i="9"/>
  <c r="GP47" i="9"/>
  <c r="AC89" i="23" s="1"/>
  <c r="GM47" i="9"/>
  <c r="AB89" i="23" s="1"/>
  <c r="GS47" i="9"/>
  <c r="GJ47" i="9"/>
  <c r="AA89" i="23" s="1"/>
  <c r="Z23" i="23"/>
  <c r="AA18" i="22"/>
  <c r="GP24" i="9"/>
  <c r="AC23" i="23" s="1"/>
  <c r="GM24" i="9"/>
  <c r="AB23" i="23" s="1"/>
  <c r="GJ24" i="9"/>
  <c r="AA23" i="23" s="1"/>
  <c r="EZ24" i="9"/>
  <c r="GS24" i="9"/>
  <c r="AD23" i="23" s="1"/>
  <c r="W64" i="23"/>
  <c r="U3" i="22"/>
  <c r="T84" i="26"/>
  <c r="FK121" i="9"/>
  <c r="T74" i="26"/>
  <c r="FK114" i="9"/>
  <c r="T59" i="24"/>
  <c r="FE144" i="9"/>
  <c r="V93" i="24"/>
  <c r="V76" i="26"/>
  <c r="FK119" i="9"/>
  <c r="FH110" i="9"/>
  <c r="FG110" i="9" s="1"/>
  <c r="X99" i="23"/>
  <c r="X70" i="26"/>
  <c r="AD75" i="22"/>
  <c r="HW140" i="9"/>
  <c r="HT140" i="9"/>
  <c r="HQ140" i="9"/>
  <c r="V106" i="25"/>
  <c r="FH150" i="9"/>
  <c r="U26" i="23"/>
  <c r="FB125" i="9"/>
  <c r="V53" i="26"/>
  <c r="U41" i="26"/>
  <c r="HB128" i="9"/>
  <c r="GZ128" i="9" s="1"/>
  <c r="GY128" i="9"/>
  <c r="GW128" i="9" s="1"/>
  <c r="GV128" i="9"/>
  <c r="GT128" i="9" s="1"/>
  <c r="V55" i="23"/>
  <c r="X92" i="24"/>
  <c r="AB40" i="22"/>
  <c r="GY120" i="9"/>
  <c r="HB120" i="9"/>
  <c r="AA92" i="24" s="1"/>
  <c r="GV120" i="9"/>
  <c r="Y92" i="24" s="1"/>
  <c r="J92" i="28"/>
  <c r="X41" i="26"/>
  <c r="AD42" i="22"/>
  <c r="HT142" i="9"/>
  <c r="Z41" i="26" s="1"/>
  <c r="HW142" i="9"/>
  <c r="AA41" i="26" s="1"/>
  <c r="HQ142" i="9"/>
  <c r="X51" i="26"/>
  <c r="AD54" i="22"/>
  <c r="HT139" i="9"/>
  <c r="Z51" i="26" s="1"/>
  <c r="HW139" i="9"/>
  <c r="AA51" i="26" s="1"/>
  <c r="HQ139" i="9"/>
  <c r="Y51" i="26" s="1"/>
  <c r="U76" i="25"/>
  <c r="FH132" i="9"/>
  <c r="W95" i="23"/>
  <c r="U9" i="23"/>
  <c r="FB77" i="9"/>
  <c r="T42" i="24"/>
  <c r="FE66" i="9"/>
  <c r="X41" i="23"/>
  <c r="K84" i="28"/>
  <c r="J95" i="28"/>
  <c r="FK130" i="9"/>
  <c r="FJ130" i="9" s="1"/>
  <c r="V41" i="26"/>
  <c r="U103" i="23"/>
  <c r="FB134" i="9"/>
  <c r="W79" i="25"/>
  <c r="FB106" i="9"/>
  <c r="H64" i="28"/>
  <c r="HY122" i="9"/>
  <c r="H64" i="27" s="1"/>
  <c r="L78" i="28"/>
  <c r="Z67" i="25"/>
  <c r="AC68" i="22"/>
  <c r="HK64" i="9"/>
  <c r="AC67" i="25" s="1"/>
  <c r="HH64" i="9"/>
  <c r="AB67" i="25" s="1"/>
  <c r="HN64" i="9"/>
  <c r="AD67" i="25" s="1"/>
  <c r="HE64" i="9"/>
  <c r="X60" i="24"/>
  <c r="AB85" i="22"/>
  <c r="GV121" i="9"/>
  <c r="HB121" i="9"/>
  <c r="GY121" i="9"/>
  <c r="W84" i="25"/>
  <c r="J72" i="28"/>
  <c r="I87" i="28"/>
  <c r="X94" i="26"/>
  <c r="AD90" i="22"/>
  <c r="HW92" i="9"/>
  <c r="AA94" i="26" s="1"/>
  <c r="HQ92" i="9"/>
  <c r="Y94" i="26" s="1"/>
  <c r="HT92" i="9"/>
  <c r="Z94" i="26" s="1"/>
  <c r="FK144" i="9"/>
  <c r="Z68" i="25"/>
  <c r="AC81" i="22"/>
  <c r="HK91" i="9"/>
  <c r="AC68" i="25" s="1"/>
  <c r="HH91" i="9"/>
  <c r="AB68" i="25" s="1"/>
  <c r="HE91" i="9"/>
  <c r="AA68" i="25" s="1"/>
  <c r="HN91" i="9"/>
  <c r="AD68" i="25" s="1"/>
  <c r="U101" i="24"/>
  <c r="X93" i="25"/>
  <c r="I82" i="28"/>
  <c r="EZ111" i="9"/>
  <c r="L74" i="28"/>
  <c r="GL139" i="9"/>
  <c r="Y78" i="9"/>
  <c r="W73" i="25"/>
  <c r="T74" i="24"/>
  <c r="FE64" i="9"/>
  <c r="X24" i="24"/>
  <c r="AB38" i="22"/>
  <c r="GY50" i="9"/>
  <c r="GV50" i="9"/>
  <c r="Y24" i="24" s="1"/>
  <c r="HB50" i="9"/>
  <c r="AA24" i="24" s="1"/>
  <c r="EZ50" i="9"/>
  <c r="U4" i="25"/>
  <c r="FH75" i="9"/>
  <c r="V41" i="25"/>
  <c r="U10" i="25"/>
  <c r="FH27" i="9"/>
  <c r="U65" i="25"/>
  <c r="FH23" i="9"/>
  <c r="FH69" i="9"/>
  <c r="FG69" i="9" s="1"/>
  <c r="T36" i="26"/>
  <c r="FK59" i="9"/>
  <c r="HU52" i="9"/>
  <c r="Q28" i="26" s="1"/>
  <c r="V63" i="25"/>
  <c r="GJ32" i="9"/>
  <c r="GH32" i="9" s="1"/>
  <c r="EZ32" i="9"/>
  <c r="GS32" i="9"/>
  <c r="GQ32" i="9" s="1"/>
  <c r="GM32" i="9"/>
  <c r="GK32" i="9" s="1"/>
  <c r="GP32" i="9"/>
  <c r="GN32" i="9" s="1"/>
  <c r="I36" i="28"/>
  <c r="W103" i="25"/>
  <c r="W3" i="25"/>
  <c r="FH8" i="9"/>
  <c r="V43" i="26"/>
  <c r="Z75" i="25"/>
  <c r="AC79" i="22"/>
  <c r="HH127" i="9"/>
  <c r="AB75" i="25" s="1"/>
  <c r="HN127" i="9"/>
  <c r="AD75" i="25" s="1"/>
  <c r="HE127" i="9"/>
  <c r="AA75" i="25" s="1"/>
  <c r="HK127" i="9"/>
  <c r="AA93" i="26"/>
  <c r="HU148" i="9"/>
  <c r="Q93" i="26" s="1"/>
  <c r="U86" i="25"/>
  <c r="FH117" i="9"/>
  <c r="I102" i="28"/>
  <c r="FE128" i="9"/>
  <c r="FD128" i="9" s="1"/>
  <c r="W55" i="23"/>
  <c r="W17" i="25"/>
  <c r="GJ83" i="9"/>
  <c r="GH83" i="9" s="1"/>
  <c r="EZ83" i="9"/>
  <c r="GS83" i="9"/>
  <c r="GQ83" i="9" s="1"/>
  <c r="GP83" i="9"/>
  <c r="GN83" i="9" s="1"/>
  <c r="GM83" i="9"/>
  <c r="GK83" i="9" s="1"/>
  <c r="X61" i="24"/>
  <c r="AB78" i="22"/>
  <c r="GY72" i="9"/>
  <c r="HB72" i="9"/>
  <c r="EZ72" i="9"/>
  <c r="GV72" i="9"/>
  <c r="J98" i="28"/>
  <c r="FK110" i="9"/>
  <c r="FJ110" i="9" s="1"/>
  <c r="HK88" i="9"/>
  <c r="HN88" i="9"/>
  <c r="HE88" i="9"/>
  <c r="HH88" i="9"/>
  <c r="X76" i="25"/>
  <c r="K50" i="28"/>
  <c r="V106" i="23"/>
  <c r="HY129" i="9"/>
  <c r="U70" i="23"/>
  <c r="FB124" i="9"/>
  <c r="FH129" i="9"/>
  <c r="FG129" i="9" s="1"/>
  <c r="Z39" i="23"/>
  <c r="AA40" i="22"/>
  <c r="GP120" i="9"/>
  <c r="AC39" i="23" s="1"/>
  <c r="GM120" i="9"/>
  <c r="GJ120" i="9"/>
  <c r="GS120" i="9"/>
  <c r="EZ120" i="9"/>
  <c r="J11" i="28"/>
  <c r="V80" i="23"/>
  <c r="GK146" i="9"/>
  <c r="P80" i="23" s="1"/>
  <c r="X95" i="24"/>
  <c r="AB60" i="22"/>
  <c r="GY123" i="9"/>
  <c r="HB123" i="9"/>
  <c r="AA95" i="24" s="1"/>
  <c r="GV123" i="9"/>
  <c r="Y95" i="24" s="1"/>
  <c r="Z98" i="23"/>
  <c r="AA98" i="22"/>
  <c r="GP141" i="9"/>
  <c r="AC98" i="23" s="1"/>
  <c r="GM141" i="9"/>
  <c r="AB98" i="23" s="1"/>
  <c r="GS141" i="9"/>
  <c r="AD98" i="23" s="1"/>
  <c r="GJ141" i="9"/>
  <c r="EZ141" i="9"/>
  <c r="Z97" i="25"/>
  <c r="AC105" i="22"/>
  <c r="HH133" i="9"/>
  <c r="HE133" i="9"/>
  <c r="AA97" i="25" s="1"/>
  <c r="HN133" i="9"/>
  <c r="HK133" i="9"/>
  <c r="AC97" i="25" s="1"/>
  <c r="I22" i="28"/>
  <c r="FK95" i="9"/>
  <c r="FJ95" i="9" s="1"/>
  <c r="W81" i="23"/>
  <c r="V93" i="23"/>
  <c r="GJ131" i="9"/>
  <c r="GH131" i="9" s="1"/>
  <c r="GP131" i="9"/>
  <c r="GN131" i="9" s="1"/>
  <c r="GM131" i="9"/>
  <c r="GK131" i="9" s="1"/>
  <c r="EZ131" i="9"/>
  <c r="GS131" i="9"/>
  <c r="GQ131" i="9" s="1"/>
  <c r="H62" i="28"/>
  <c r="HY89" i="9"/>
  <c r="I62" i="27" s="1"/>
  <c r="Z15" i="25"/>
  <c r="AC12" i="22"/>
  <c r="HE76" i="9"/>
  <c r="HN76" i="9"/>
  <c r="AD15" i="25" s="1"/>
  <c r="HK76" i="9"/>
  <c r="HH76" i="9"/>
  <c r="AB15" i="25" s="1"/>
  <c r="L48" i="28"/>
  <c r="FK152" i="9"/>
  <c r="FJ152" i="9" s="1"/>
  <c r="X98" i="26"/>
  <c r="AD97" i="22"/>
  <c r="HQ117" i="9"/>
  <c r="HW117" i="9"/>
  <c r="HT117" i="9"/>
  <c r="Z93" i="25"/>
  <c r="AC96" i="22"/>
  <c r="HK148" i="9"/>
  <c r="AC93" i="25" s="1"/>
  <c r="HH148" i="9"/>
  <c r="AB93" i="25" s="1"/>
  <c r="HN148" i="9"/>
  <c r="AD93" i="25" s="1"/>
  <c r="HE148" i="9"/>
  <c r="AA93" i="25" s="1"/>
  <c r="K82" i="28"/>
  <c r="GR139" i="9"/>
  <c r="L6" i="28"/>
  <c r="EZ128" i="9"/>
  <c r="X62" i="25"/>
  <c r="L20" i="36"/>
  <c r="K20" i="36"/>
  <c r="J20" i="36"/>
  <c r="I20" i="36"/>
  <c r="H20" i="36"/>
  <c r="EM44" i="9"/>
  <c r="HP44" i="9" s="1"/>
  <c r="EN44" i="9"/>
  <c r="HS44" i="9" s="1"/>
  <c r="EO44" i="9"/>
  <c r="HV44" i="9" s="1"/>
  <c r="BD44" i="9"/>
  <c r="IB44" i="9"/>
  <c r="IA44" i="9"/>
  <c r="HZ44" i="9"/>
  <c r="IC44" i="9"/>
  <c r="ID44" i="9"/>
  <c r="FE85" i="9"/>
  <c r="FD85" i="9" s="1"/>
  <c r="Y4" i="26"/>
  <c r="HO75" i="9"/>
  <c r="O4" i="26" s="1"/>
  <c r="X39" i="25"/>
  <c r="U36" i="26"/>
  <c r="V104" i="25"/>
  <c r="FH11" i="9"/>
  <c r="T54" i="12"/>
  <c r="U54" i="12" s="1"/>
  <c r="DW44" i="9"/>
  <c r="FF44" i="9"/>
  <c r="DY44" i="9"/>
  <c r="DX44" i="9"/>
  <c r="T58" i="26"/>
  <c r="FK123" i="9"/>
  <c r="T37" i="26"/>
  <c r="FK120" i="9"/>
  <c r="T13" i="26"/>
  <c r="FK113" i="9"/>
  <c r="K103" i="28"/>
  <c r="V91" i="24"/>
  <c r="W86" i="25"/>
  <c r="FB153" i="9"/>
  <c r="J100" i="28"/>
  <c r="K102" i="28"/>
  <c r="HB74" i="9"/>
  <c r="GZ74" i="9" s="1"/>
  <c r="GY74" i="9"/>
  <c r="GW74" i="9" s="1"/>
  <c r="GV74" i="9"/>
  <c r="GT74" i="9" s="1"/>
  <c r="V74" i="23"/>
  <c r="HT83" i="9"/>
  <c r="HR83" i="9" s="1"/>
  <c r="HQ83" i="9"/>
  <c r="HO83" i="9" s="1"/>
  <c r="HW83" i="9"/>
  <c r="HU83" i="9" s="1"/>
  <c r="J49" i="28"/>
  <c r="HY63" i="9"/>
  <c r="K49" i="27" s="1"/>
  <c r="U102" i="24"/>
  <c r="K86" i="28"/>
  <c r="HY153" i="9"/>
  <c r="L92" i="28"/>
  <c r="J99" i="28"/>
  <c r="X94" i="25"/>
  <c r="FH99" i="9"/>
  <c r="FG99" i="9" s="1"/>
  <c r="HC99" i="9"/>
  <c r="W32" i="23"/>
  <c r="I30" i="28"/>
  <c r="H86" i="28"/>
  <c r="HY138" i="9"/>
  <c r="J86" i="27" s="1"/>
  <c r="U61" i="23"/>
  <c r="FB115" i="9"/>
  <c r="HW112" i="9"/>
  <c r="HU112" i="9" s="1"/>
  <c r="HT112" i="9"/>
  <c r="HR112" i="9" s="1"/>
  <c r="HQ112" i="9"/>
  <c r="HO112" i="9" s="1"/>
  <c r="X106" i="23"/>
  <c r="U94" i="25"/>
  <c r="FH134" i="9"/>
  <c r="FE111" i="9"/>
  <c r="FD111" i="9" s="1"/>
  <c r="J97" i="28"/>
  <c r="H37" i="28"/>
  <c r="HY120" i="9"/>
  <c r="J37" i="27" s="1"/>
  <c r="GS88" i="9"/>
  <c r="GM88" i="9"/>
  <c r="GJ88" i="9"/>
  <c r="GP88" i="9"/>
  <c r="EZ88" i="9"/>
  <c r="FB151" i="9"/>
  <c r="HY106" i="9"/>
  <c r="U52" i="23"/>
  <c r="X76" i="26"/>
  <c r="AD76" i="22"/>
  <c r="HW119" i="9"/>
  <c r="AA76" i="26" s="1"/>
  <c r="HT119" i="9"/>
  <c r="HQ119" i="9"/>
  <c r="U17" i="23"/>
  <c r="FB84" i="9"/>
  <c r="HU113" i="9"/>
  <c r="Q13" i="26" s="1"/>
  <c r="H72" i="28"/>
  <c r="HY108" i="9"/>
  <c r="J72" i="27" s="1"/>
  <c r="H87" i="28"/>
  <c r="HY93" i="9"/>
  <c r="K87" i="27" s="1"/>
  <c r="J62" i="28"/>
  <c r="U4" i="26"/>
  <c r="W48" i="23"/>
  <c r="FB65" i="9"/>
  <c r="H104" i="28"/>
  <c r="HY143" i="9"/>
  <c r="L104" i="27" s="1"/>
  <c r="FE97" i="9"/>
  <c r="FD97" i="9" s="1"/>
  <c r="V79" i="23"/>
  <c r="HK100" i="9"/>
  <c r="HI100" i="9" s="1"/>
  <c r="HH100" i="9"/>
  <c r="HF100" i="9" s="1"/>
  <c r="HN100" i="9"/>
  <c r="HL100" i="9" s="1"/>
  <c r="HE100" i="9"/>
  <c r="HC100" i="9" s="1"/>
  <c r="FE129" i="9"/>
  <c r="FD129" i="9" s="1"/>
  <c r="U67" i="26"/>
  <c r="K47" i="28"/>
  <c r="U37" i="23"/>
  <c r="GH50" i="9"/>
  <c r="O37" i="23" s="1"/>
  <c r="FB50" i="9"/>
  <c r="W69" i="25"/>
  <c r="FK74" i="9"/>
  <c r="FJ74" i="9" s="1"/>
  <c r="J41" i="28"/>
  <c r="V79" i="24"/>
  <c r="I27" i="28"/>
  <c r="H36" i="28"/>
  <c r="HY15" i="9"/>
  <c r="J36" i="27" s="1"/>
  <c r="V10" i="24"/>
  <c r="T32" i="26"/>
  <c r="FK19" i="9"/>
  <c r="HO128" i="9"/>
  <c r="FK128" i="9"/>
  <c r="FJ128" i="9" s="1"/>
  <c r="AA105" i="22"/>
  <c r="Z105" i="23"/>
  <c r="GP133" i="9"/>
  <c r="AC105" i="23" s="1"/>
  <c r="GM133" i="9"/>
  <c r="EZ133" i="9"/>
  <c r="GS133" i="9"/>
  <c r="GJ133" i="9"/>
  <c r="AA105" i="23" s="1"/>
  <c r="J77" i="28"/>
  <c r="HW85" i="9"/>
  <c r="HU85" i="9" s="1"/>
  <c r="HQ85" i="9"/>
  <c r="HO85" i="9" s="1"/>
  <c r="HT85" i="9"/>
  <c r="HR85" i="9" s="1"/>
  <c r="K74" i="28"/>
  <c r="Z55" i="23"/>
  <c r="AA60" i="22"/>
  <c r="EZ123" i="9"/>
  <c r="GM123" i="9"/>
  <c r="AB55" i="23" s="1"/>
  <c r="GJ123" i="9"/>
  <c r="AA55" i="23" s="1"/>
  <c r="GS123" i="9"/>
  <c r="GP123" i="9"/>
  <c r="AC55" i="23" s="1"/>
  <c r="V82" i="26"/>
  <c r="HU132" i="9"/>
  <c r="Q82" i="26" s="1"/>
  <c r="W49" i="25"/>
  <c r="H8" i="28"/>
  <c r="HY101" i="9"/>
  <c r="J8" i="27" s="1"/>
  <c r="HB95" i="9"/>
  <c r="GZ95" i="9" s="1"/>
  <c r="GY95" i="9"/>
  <c r="GW95" i="9" s="1"/>
  <c r="GV95" i="9"/>
  <c r="GT95" i="9" s="1"/>
  <c r="H98" i="28"/>
  <c r="HY141" i="9"/>
  <c r="L98" i="27" s="1"/>
  <c r="T71" i="26"/>
  <c r="FK105" i="9"/>
  <c r="H28" i="28"/>
  <c r="HY87" i="9"/>
  <c r="L28" i="27" s="1"/>
  <c r="H30" i="28"/>
  <c r="HY79" i="9"/>
  <c r="I30" i="27" s="1"/>
  <c r="Z82" i="25"/>
  <c r="AC95" i="22"/>
  <c r="HN137" i="9"/>
  <c r="AD82" i="25" s="1"/>
  <c r="HH137" i="9"/>
  <c r="AB82" i="25" s="1"/>
  <c r="HE137" i="9"/>
  <c r="AA82" i="25" s="1"/>
  <c r="HK137" i="9"/>
  <c r="AC82" i="25" s="1"/>
  <c r="AB83" i="22"/>
  <c r="X57" i="24"/>
  <c r="GV132" i="9"/>
  <c r="HB132" i="9"/>
  <c r="GY132" i="9"/>
  <c r="Z57" i="24" s="1"/>
  <c r="L50" i="28"/>
  <c r="V94" i="25"/>
  <c r="J37" i="28"/>
  <c r="X86" i="24"/>
  <c r="AB77" i="22"/>
  <c r="GY114" i="9"/>
  <c r="HB114" i="9"/>
  <c r="GV114" i="9"/>
  <c r="HK106" i="9"/>
  <c r="HI106" i="9" s="1"/>
  <c r="HN106" i="9"/>
  <c r="HL106" i="9" s="1"/>
  <c r="HE106" i="9"/>
  <c r="HC106" i="9" s="1"/>
  <c r="HH106" i="9"/>
  <c r="HF106" i="9" s="1"/>
  <c r="L100" i="28"/>
  <c r="Z60" i="25"/>
  <c r="AC70" i="22"/>
  <c r="HE124" i="9"/>
  <c r="AA60" i="25" s="1"/>
  <c r="HK124" i="9"/>
  <c r="HN124" i="9"/>
  <c r="HH124" i="9"/>
  <c r="AB60" i="25" s="1"/>
  <c r="HQ103" i="9"/>
  <c r="HO103" i="9" s="1"/>
  <c r="HT103" i="9"/>
  <c r="HR103" i="9" s="1"/>
  <c r="HW103" i="9"/>
  <c r="HU103" i="9" s="1"/>
  <c r="HY80" i="9"/>
  <c r="J106" i="28"/>
  <c r="Z86" i="25"/>
  <c r="AC97" i="22"/>
  <c r="HE117" i="9"/>
  <c r="AA86" i="25" s="1"/>
  <c r="HH117" i="9"/>
  <c r="HK117" i="9"/>
  <c r="AC86" i="25" s="1"/>
  <c r="HN117" i="9"/>
  <c r="K64" i="28"/>
  <c r="U20" i="25"/>
  <c r="FH79" i="9"/>
  <c r="HC79" i="9"/>
  <c r="O20" i="25" s="1"/>
  <c r="X87" i="24"/>
  <c r="AB67" i="22"/>
  <c r="HB115" i="9"/>
  <c r="GY115" i="9"/>
  <c r="GV115" i="9"/>
  <c r="HT88" i="9"/>
  <c r="HW88" i="9"/>
  <c r="HQ88" i="9"/>
  <c r="U50" i="24"/>
  <c r="X88" i="24"/>
  <c r="AB56" i="22"/>
  <c r="GV116" i="9"/>
  <c r="Y88" i="24" s="1"/>
  <c r="HB116" i="9"/>
  <c r="AA88" i="24" s="1"/>
  <c r="GY116" i="9"/>
  <c r="Z88" i="24" s="1"/>
  <c r="W93" i="25"/>
  <c r="X67" i="26"/>
  <c r="AD71" i="22"/>
  <c r="HW81" i="9"/>
  <c r="AA67" i="26" s="1"/>
  <c r="HQ81" i="9"/>
  <c r="Y67" i="26" s="1"/>
  <c r="HT81" i="9"/>
  <c r="Z67" i="26" s="1"/>
  <c r="HT74" i="9"/>
  <c r="HR74" i="9" s="1"/>
  <c r="HW74" i="9"/>
  <c r="HU74" i="9" s="1"/>
  <c r="HQ74" i="9"/>
  <c r="HO74" i="9" s="1"/>
  <c r="Z4" i="25"/>
  <c r="AC4" i="22"/>
  <c r="HH75" i="9"/>
  <c r="AB4" i="25" s="1"/>
  <c r="HE75" i="9"/>
  <c r="AA4" i="25" s="1"/>
  <c r="HN75" i="9"/>
  <c r="AD4" i="25" s="1"/>
  <c r="HK75" i="9"/>
  <c r="AC4" i="25" s="1"/>
  <c r="J101" i="28"/>
  <c r="L41" i="28"/>
  <c r="HY69" i="9"/>
  <c r="X36" i="25"/>
  <c r="FH42" i="9"/>
  <c r="Z55" i="25"/>
  <c r="AC59" i="22"/>
  <c r="HE61" i="9"/>
  <c r="HN61" i="9"/>
  <c r="HK61" i="9"/>
  <c r="AC55" i="25" s="1"/>
  <c r="HH61" i="9"/>
  <c r="V73" i="25"/>
  <c r="X52" i="24"/>
  <c r="AB61" i="22"/>
  <c r="GY70" i="9"/>
  <c r="Z52" i="24" s="1"/>
  <c r="HB70" i="9"/>
  <c r="AA52" i="24" s="1"/>
  <c r="GV70" i="9"/>
  <c r="Y52" i="24" s="1"/>
  <c r="X73" i="24"/>
  <c r="AB51" i="22"/>
  <c r="GY63" i="9"/>
  <c r="Z73" i="24" s="1"/>
  <c r="HB63" i="9"/>
  <c r="AA73" i="24" s="1"/>
  <c r="GV63" i="9"/>
  <c r="Y73" i="24" s="1"/>
  <c r="EZ63" i="9"/>
  <c r="U32" i="26"/>
  <c r="X79" i="24"/>
  <c r="AB49" i="22"/>
  <c r="GV42" i="9"/>
  <c r="Y79" i="24" s="1"/>
  <c r="GY42" i="9"/>
  <c r="HB42" i="9"/>
  <c r="AA79" i="24" s="1"/>
  <c r="EZ42" i="9"/>
  <c r="L47" i="28"/>
  <c r="GT152" i="9"/>
  <c r="FE152" i="9"/>
  <c r="FD152" i="9" s="1"/>
  <c r="X24" i="25"/>
  <c r="H60" i="28"/>
  <c r="HY123" i="9"/>
  <c r="J60" i="27" s="1"/>
  <c r="V49" i="25"/>
  <c r="HW95" i="9"/>
  <c r="HU95" i="9" s="1"/>
  <c r="HT95" i="9"/>
  <c r="HR95" i="9" s="1"/>
  <c r="HQ95" i="9"/>
  <c r="HO95" i="9" s="1"/>
  <c r="H94" i="28"/>
  <c r="HY90" i="9"/>
  <c r="H94" i="27" s="1"/>
  <c r="T28" i="26"/>
  <c r="FK52" i="9"/>
  <c r="FK153" i="9"/>
  <c r="FJ153" i="9" s="1"/>
  <c r="V102" i="24"/>
  <c r="U85" i="23"/>
  <c r="FB138" i="9"/>
  <c r="V77" i="23"/>
  <c r="U49" i="25"/>
  <c r="FH115" i="9"/>
  <c r="U7" i="23"/>
  <c r="FB101" i="9"/>
  <c r="HY88" i="9"/>
  <c r="I92" i="28"/>
  <c r="X91" i="24"/>
  <c r="AB76" i="22"/>
  <c r="GY119" i="9"/>
  <c r="HB119" i="9"/>
  <c r="AA91" i="24" s="1"/>
  <c r="GV119" i="9"/>
  <c r="Y91" i="24" s="1"/>
  <c r="FB109" i="9"/>
  <c r="V71" i="26"/>
  <c r="HE96" i="9"/>
  <c r="HC96" i="9" s="1"/>
  <c r="HN96" i="9"/>
  <c r="HL96" i="9" s="1"/>
  <c r="HK96" i="9"/>
  <c r="HI96" i="9" s="1"/>
  <c r="HH96" i="9"/>
  <c r="HF96" i="9" s="1"/>
  <c r="J28" i="28"/>
  <c r="V97" i="24"/>
  <c r="V76" i="25"/>
  <c r="L12" i="28"/>
  <c r="W81" i="25"/>
  <c r="Z77" i="25"/>
  <c r="AC84" i="22"/>
  <c r="HK71" i="9"/>
  <c r="HE71" i="9"/>
  <c r="HN71" i="9"/>
  <c r="HH71" i="9"/>
  <c r="AB77" i="25" s="1"/>
  <c r="Z96" i="25"/>
  <c r="AC99" i="22"/>
  <c r="HH144" i="9"/>
  <c r="AB96" i="25" s="1"/>
  <c r="HK144" i="9"/>
  <c r="AC96" i="25" s="1"/>
  <c r="HE144" i="9"/>
  <c r="AA96" i="25" s="1"/>
  <c r="HN144" i="9"/>
  <c r="AD96" i="25" s="1"/>
  <c r="X75" i="25"/>
  <c r="FH96" i="9"/>
  <c r="FG96" i="9" s="1"/>
  <c r="AC85" i="22"/>
  <c r="Z79" i="25"/>
  <c r="HK121" i="9"/>
  <c r="AC79" i="25" s="1"/>
  <c r="HN121" i="9"/>
  <c r="HH121" i="9"/>
  <c r="HE121" i="9"/>
  <c r="AA79" i="25" s="1"/>
  <c r="X90" i="24"/>
  <c r="AB91" i="22"/>
  <c r="GY118" i="9"/>
  <c r="Z90" i="24" s="1"/>
  <c r="HB118" i="9"/>
  <c r="AA90" i="24" s="1"/>
  <c r="GV118" i="9"/>
  <c r="Y90" i="24" s="1"/>
  <c r="T79" i="26"/>
  <c r="W89" i="25"/>
  <c r="HN129" i="9"/>
  <c r="HL129" i="9" s="1"/>
  <c r="HH129" i="9"/>
  <c r="HF129" i="9" s="1"/>
  <c r="HE129" i="9"/>
  <c r="HC129" i="9" s="1"/>
  <c r="HK129" i="9"/>
  <c r="HI129" i="9" s="1"/>
  <c r="J86" i="28"/>
  <c r="EZ99" i="9"/>
  <c r="GJ99" i="9"/>
  <c r="GH99" i="9" s="1"/>
  <c r="GP99" i="9"/>
  <c r="GN99" i="9" s="1"/>
  <c r="GM99" i="9"/>
  <c r="GK99" i="9" s="1"/>
  <c r="GS99" i="9"/>
  <c r="GQ99" i="9" s="1"/>
  <c r="T52" i="24"/>
  <c r="FE70" i="9"/>
  <c r="V59" i="26"/>
  <c r="HU43" i="9"/>
  <c r="Q59" i="26" s="1"/>
  <c r="FK43" i="9"/>
  <c r="W101" i="25"/>
  <c r="V11" i="25"/>
  <c r="I96" i="28"/>
  <c r="FE106" i="9"/>
  <c r="FD106" i="9" s="1"/>
  <c r="FB85" i="9"/>
  <c r="U71" i="23"/>
  <c r="FB81" i="9"/>
  <c r="H11" i="28"/>
  <c r="HY77" i="9"/>
  <c r="H11" i="27" s="1"/>
  <c r="K42" i="28"/>
  <c r="X44" i="26"/>
  <c r="AD48" i="22"/>
  <c r="HQ62" i="9"/>
  <c r="Y44" i="26" s="1"/>
  <c r="HT62" i="9"/>
  <c r="HW62" i="9"/>
  <c r="AA44" i="26" s="1"/>
  <c r="U101" i="23"/>
  <c r="FB48" i="9"/>
  <c r="T8" i="26"/>
  <c r="FK67" i="9"/>
  <c r="T77" i="24"/>
  <c r="FE77" i="9"/>
  <c r="Z22" i="25"/>
  <c r="AC30" i="22"/>
  <c r="HK87" i="9"/>
  <c r="AC22" i="25" s="1"/>
  <c r="HN87" i="9"/>
  <c r="HH87" i="9"/>
  <c r="HE87" i="9"/>
  <c r="AA22" i="25" s="1"/>
  <c r="U23" i="25"/>
  <c r="FH68" i="9"/>
  <c r="H68" i="28"/>
  <c r="HY53" i="9"/>
  <c r="K68" i="27" s="1"/>
  <c r="X99" i="25"/>
  <c r="HL47" i="9"/>
  <c r="R99" i="25" s="1"/>
  <c r="L66" i="28"/>
  <c r="X33" i="23"/>
  <c r="FB35" i="9"/>
  <c r="J36" i="28"/>
  <c r="X5" i="26"/>
  <c r="AD5" i="22"/>
  <c r="HT58" i="9"/>
  <c r="Z5" i="26" s="1"/>
  <c r="HQ58" i="9"/>
  <c r="Y5" i="26" s="1"/>
  <c r="HW58" i="9"/>
  <c r="W71" i="25"/>
  <c r="X17" i="24"/>
  <c r="AB29" i="22"/>
  <c r="GY46" i="9"/>
  <c r="HB46" i="9"/>
  <c r="GV46" i="9"/>
  <c r="H27" i="28"/>
  <c r="HY35" i="9"/>
  <c r="H27" i="27" s="1"/>
  <c r="FH25" i="9"/>
  <c r="FG25" i="9" s="1"/>
  <c r="Z22" i="23"/>
  <c r="AA21" i="22"/>
  <c r="GP22" i="9"/>
  <c r="AC22" i="23" s="1"/>
  <c r="GM22" i="9"/>
  <c r="AB22" i="23" s="1"/>
  <c r="GJ22" i="9"/>
  <c r="AA22" i="23" s="1"/>
  <c r="EZ22" i="9"/>
  <c r="GS22" i="9"/>
  <c r="AD22" i="23" s="1"/>
  <c r="J66" i="28"/>
  <c r="X56" i="23"/>
  <c r="Z101" i="25"/>
  <c r="AC103" i="22"/>
  <c r="HN143" i="9"/>
  <c r="AD101" i="25" s="1"/>
  <c r="HK143" i="9"/>
  <c r="AC101" i="25" s="1"/>
  <c r="HE143" i="9"/>
  <c r="AA101" i="25" s="1"/>
  <c r="HH143" i="9"/>
  <c r="AB101" i="25" s="1"/>
  <c r="FB111" i="9"/>
  <c r="U84" i="25"/>
  <c r="FH142" i="9"/>
  <c r="V98" i="25"/>
  <c r="T85" i="24"/>
  <c r="FE113" i="9"/>
  <c r="U12" i="25"/>
  <c r="FH84" i="9"/>
  <c r="U106" i="26"/>
  <c r="J85" i="28"/>
  <c r="HQ102" i="9"/>
  <c r="HO102" i="9" s="1"/>
  <c r="HW102" i="9"/>
  <c r="HU102" i="9" s="1"/>
  <c r="HT102" i="9"/>
  <c r="HR102" i="9" s="1"/>
  <c r="L16" i="28"/>
  <c r="J94" i="28"/>
  <c r="J19" i="28"/>
  <c r="V85" i="23"/>
  <c r="L8" i="28"/>
  <c r="X102" i="23"/>
  <c r="T101" i="26"/>
  <c r="FK134" i="9"/>
  <c r="AA76" i="22"/>
  <c r="Z74" i="23"/>
  <c r="GM119" i="9"/>
  <c r="AB74" i="23" s="1"/>
  <c r="EZ119" i="9"/>
  <c r="GS119" i="9"/>
  <c r="GP119" i="9"/>
  <c r="GJ119" i="9"/>
  <c r="AA74" i="23" s="1"/>
  <c r="J50" i="28"/>
  <c r="Z85" i="12"/>
  <c r="AA85" i="12" s="1"/>
  <c r="EQ147" i="9"/>
  <c r="ES147" i="9"/>
  <c r="FL147" i="9"/>
  <c r="ER147" i="9"/>
  <c r="FB112" i="9"/>
  <c r="HB154" i="9"/>
  <c r="GZ154" i="9" s="1"/>
  <c r="GV154" i="9"/>
  <c r="GT154" i="9" s="1"/>
  <c r="GY154" i="9"/>
  <c r="GW154" i="9" s="1"/>
  <c r="K106" i="28"/>
  <c r="J84" i="28"/>
  <c r="U75" i="25"/>
  <c r="FH127" i="9"/>
  <c r="FK104" i="9"/>
  <c r="FJ104" i="9" s="1"/>
  <c r="HQ97" i="9"/>
  <c r="HO97" i="9" s="1"/>
  <c r="HW97" i="9"/>
  <c r="HU97" i="9" s="1"/>
  <c r="HT97" i="9"/>
  <c r="HR97" i="9" s="1"/>
  <c r="X41" i="24"/>
  <c r="AB65" i="22"/>
  <c r="GY89" i="9"/>
  <c r="Z41" i="24" s="1"/>
  <c r="HB89" i="9"/>
  <c r="AA41" i="24" s="1"/>
  <c r="GV89" i="9"/>
  <c r="Y41" i="24" s="1"/>
  <c r="U85" i="26"/>
  <c r="W84" i="23"/>
  <c r="X105" i="26"/>
  <c r="AD105" i="22"/>
  <c r="HW133" i="9"/>
  <c r="AA105" i="26" s="1"/>
  <c r="HT133" i="9"/>
  <c r="HQ133" i="9"/>
  <c r="X52" i="23"/>
  <c r="U62" i="25"/>
  <c r="FH81" i="9"/>
  <c r="X78" i="26"/>
  <c r="AD78" i="22"/>
  <c r="HW72" i="9"/>
  <c r="AA78" i="26" s="1"/>
  <c r="HQ72" i="9"/>
  <c r="Y78" i="26" s="1"/>
  <c r="HT72" i="9"/>
  <c r="X88" i="26"/>
  <c r="AD94" i="22"/>
  <c r="HT149" i="9"/>
  <c r="HW149" i="9"/>
  <c r="HQ149" i="9"/>
  <c r="V64" i="26"/>
  <c r="U52" i="24"/>
  <c r="L54" i="28"/>
  <c r="X101" i="25"/>
  <c r="FK103" i="9"/>
  <c r="FJ103" i="9" s="1"/>
  <c r="AA97" i="22"/>
  <c r="Z95" i="23"/>
  <c r="GJ117" i="9"/>
  <c r="AA95" i="23" s="1"/>
  <c r="GS117" i="9"/>
  <c r="AD95" i="23" s="1"/>
  <c r="GM117" i="9"/>
  <c r="EZ117" i="9"/>
  <c r="GP117" i="9"/>
  <c r="AC95" i="23" s="1"/>
  <c r="V40" i="25"/>
  <c r="FH106" i="9"/>
  <c r="FG106" i="9" s="1"/>
  <c r="FB74" i="9"/>
  <c r="U45" i="23"/>
  <c r="FB62" i="9"/>
  <c r="J43" i="28"/>
  <c r="Z92" i="23"/>
  <c r="AA95" i="22"/>
  <c r="GJ137" i="9"/>
  <c r="AA92" i="23" s="1"/>
  <c r="EZ137" i="9"/>
  <c r="GS137" i="9"/>
  <c r="AD92" i="23" s="1"/>
  <c r="GP137" i="9"/>
  <c r="AC92" i="23" s="1"/>
  <c r="GM137" i="9"/>
  <c r="AB92" i="23" s="1"/>
  <c r="L38" i="28"/>
  <c r="U77" i="24"/>
  <c r="HK80" i="9"/>
  <c r="HI80" i="9" s="1"/>
  <c r="HH80" i="9"/>
  <c r="HF80" i="9" s="1"/>
  <c r="HE80" i="9"/>
  <c r="HC80" i="9" s="1"/>
  <c r="HN80" i="9"/>
  <c r="HL80" i="9" s="1"/>
  <c r="X23" i="25"/>
  <c r="U63" i="23"/>
  <c r="FB53" i="9"/>
  <c r="W99" i="25"/>
  <c r="W62" i="25"/>
  <c r="W27" i="25"/>
  <c r="W6" i="23"/>
  <c r="T52" i="26"/>
  <c r="FK30" i="9"/>
  <c r="W68" i="25"/>
  <c r="I47" i="28"/>
  <c r="FK57" i="9"/>
  <c r="FJ57" i="9" s="1"/>
  <c r="T38" i="26"/>
  <c r="FK50" i="9"/>
  <c r="FH47" i="9"/>
  <c r="X19" i="24"/>
  <c r="AB36" i="22"/>
  <c r="HB28" i="9"/>
  <c r="AA19" i="24" s="1"/>
  <c r="GY28" i="9"/>
  <c r="Z19" i="24" s="1"/>
  <c r="GV28" i="9"/>
  <c r="Y19" i="24" s="1"/>
  <c r="EZ28" i="9"/>
  <c r="X32" i="26"/>
  <c r="AD28" i="22"/>
  <c r="HQ19" i="9"/>
  <c r="Y32" i="26" s="1"/>
  <c r="HT19" i="9"/>
  <c r="Z32" i="26" s="1"/>
  <c r="HW19" i="9"/>
  <c r="X42" i="25"/>
  <c r="V39" i="25"/>
  <c r="K48" i="28"/>
  <c r="K54" i="28"/>
  <c r="U102" i="26"/>
  <c r="FK48" i="9"/>
  <c r="I48" i="28"/>
  <c r="I54" i="28"/>
  <c r="GP154" i="9"/>
  <c r="GN154" i="9" s="1"/>
  <c r="GM154" i="9"/>
  <c r="GK154" i="9" s="1"/>
  <c r="GS154" i="9"/>
  <c r="GQ154" i="9" s="1"/>
  <c r="EZ154" i="9"/>
  <c r="GJ154" i="9"/>
  <c r="GH154" i="9" s="1"/>
  <c r="T30" i="24"/>
  <c r="FE125" i="9"/>
  <c r="T92" i="24"/>
  <c r="FE120" i="9"/>
  <c r="V105" i="26"/>
  <c r="FB110" i="9"/>
  <c r="Z90" i="25"/>
  <c r="AC94" i="22"/>
  <c r="HK149" i="9"/>
  <c r="HH149" i="9"/>
  <c r="HE149" i="9"/>
  <c r="HN149" i="9"/>
  <c r="X66" i="24"/>
  <c r="AB98" i="22"/>
  <c r="HB141" i="9"/>
  <c r="AA66" i="24" s="1"/>
  <c r="GY141" i="9"/>
  <c r="GV141" i="9"/>
  <c r="Y66" i="24" s="1"/>
  <c r="V104" i="23"/>
  <c r="I80" i="28"/>
  <c r="T29" i="24"/>
  <c r="FE87" i="9"/>
  <c r="T40" i="26"/>
  <c r="FK73" i="9"/>
  <c r="T65" i="26"/>
  <c r="FK64" i="9"/>
  <c r="T100" i="24"/>
  <c r="FE145" i="9"/>
  <c r="Z102" i="25"/>
  <c r="AC98" i="22"/>
  <c r="HN141" i="9"/>
  <c r="HH141" i="9"/>
  <c r="HE141" i="9"/>
  <c r="HK141" i="9"/>
  <c r="H88" i="28"/>
  <c r="HY121" i="9"/>
  <c r="I88" i="27" s="1"/>
  <c r="V85" i="24"/>
  <c r="FB97" i="9"/>
  <c r="W88" i="23"/>
  <c r="X75" i="23"/>
  <c r="K8" i="28"/>
  <c r="X19" i="25"/>
  <c r="HL94" i="9"/>
  <c r="R19" i="25" s="1"/>
  <c r="L30" i="28"/>
  <c r="T76" i="24"/>
  <c r="FE76" i="9"/>
  <c r="W85" i="23"/>
  <c r="H75" i="28"/>
  <c r="HY135" i="9"/>
  <c r="L75" i="27" s="1"/>
  <c r="I32" i="28"/>
  <c r="X59" i="24"/>
  <c r="AB99" i="22"/>
  <c r="HB144" i="9"/>
  <c r="AA59" i="24" s="1"/>
  <c r="GY144" i="9"/>
  <c r="GV144" i="9"/>
  <c r="Y59" i="24" s="1"/>
  <c r="U101" i="26"/>
  <c r="U89" i="24"/>
  <c r="GW117" i="9"/>
  <c r="P89" i="24" s="1"/>
  <c r="HT106" i="9"/>
  <c r="HR106" i="9" s="1"/>
  <c r="HQ106" i="9"/>
  <c r="HO106" i="9" s="1"/>
  <c r="HW106" i="9"/>
  <c r="HU106" i="9" s="1"/>
  <c r="S27" i="17"/>
  <c r="Q85" i="12"/>
  <c r="R85" i="12" s="1"/>
  <c r="N85" i="12"/>
  <c r="O85" i="12" s="1"/>
  <c r="FC147" i="9"/>
  <c r="DM147" i="9"/>
  <c r="DP147" i="9"/>
  <c r="DO147" i="9"/>
  <c r="BI147" i="9"/>
  <c r="DN147" i="9"/>
  <c r="I98" i="28"/>
  <c r="X93" i="24"/>
  <c r="AB55" i="22"/>
  <c r="GY122" i="9"/>
  <c r="HB122" i="9"/>
  <c r="AA93" i="24" s="1"/>
  <c r="GV122" i="9"/>
  <c r="U36" i="24"/>
  <c r="J102" i="28"/>
  <c r="U82" i="26"/>
  <c r="H76" i="28"/>
  <c r="HY105" i="9"/>
  <c r="K76" i="27" s="1"/>
  <c r="FH102" i="9"/>
  <c r="FG102" i="9" s="1"/>
  <c r="W34" i="25"/>
  <c r="I44" i="28"/>
  <c r="K12" i="28"/>
  <c r="Z8" i="25"/>
  <c r="AC9" i="22"/>
  <c r="HE101" i="9"/>
  <c r="HH101" i="9"/>
  <c r="HN101" i="9"/>
  <c r="HK101" i="9"/>
  <c r="AC8" i="25" s="1"/>
  <c r="I28" i="28"/>
  <c r="V25" i="23"/>
  <c r="K100" i="28"/>
  <c r="H84" i="28"/>
  <c r="HY132" i="9"/>
  <c r="I84" i="27" s="1"/>
  <c r="V75" i="25"/>
  <c r="Z52" i="23"/>
  <c r="AA55" i="22"/>
  <c r="GM122" i="9"/>
  <c r="GJ122" i="9"/>
  <c r="AA52" i="23" s="1"/>
  <c r="GS122" i="9"/>
  <c r="AD52" i="23" s="1"/>
  <c r="EZ122" i="9"/>
  <c r="GP122" i="9"/>
  <c r="AC52" i="23" s="1"/>
  <c r="V62" i="25"/>
  <c r="X39" i="26"/>
  <c r="AD39" i="22"/>
  <c r="HT49" i="9"/>
  <c r="Z39" i="26" s="1"/>
  <c r="HQ49" i="9"/>
  <c r="Y39" i="26" s="1"/>
  <c r="HW49" i="9"/>
  <c r="AA39" i="26" s="1"/>
  <c r="U46" i="25"/>
  <c r="FH123" i="9"/>
  <c r="EZ101" i="9"/>
  <c r="X94" i="24"/>
  <c r="AB93" i="22"/>
  <c r="GY78" i="9"/>
  <c r="Z94" i="24" s="1"/>
  <c r="GV78" i="9"/>
  <c r="HB78" i="9"/>
  <c r="AA94" i="24" s="1"/>
  <c r="X85" i="24"/>
  <c r="AB15" i="22"/>
  <c r="GY113" i="9"/>
  <c r="HB113" i="9"/>
  <c r="AA85" i="24" s="1"/>
  <c r="GV113" i="9"/>
  <c r="Y85" i="24" s="1"/>
  <c r="GM98" i="9"/>
  <c r="GK98" i="9" s="1"/>
  <c r="EZ98" i="9"/>
  <c r="GP98" i="9"/>
  <c r="GN98" i="9" s="1"/>
  <c r="GS98" i="9"/>
  <c r="GQ98" i="9" s="1"/>
  <c r="GJ98" i="9"/>
  <c r="GH98" i="9" s="1"/>
  <c r="HY97" i="9"/>
  <c r="U93" i="25"/>
  <c r="FH148" i="9"/>
  <c r="V89" i="26"/>
  <c r="W40" i="23"/>
  <c r="X40" i="25"/>
  <c r="GO139" i="9"/>
  <c r="AA40" i="26"/>
  <c r="HU73" i="9"/>
  <c r="Q40" i="26" s="1"/>
  <c r="X81" i="24"/>
  <c r="AB6" i="22"/>
  <c r="GV82" i="9"/>
  <c r="Y81" i="24" s="1"/>
  <c r="GY82" i="9"/>
  <c r="HB82" i="9"/>
  <c r="X36" i="23"/>
  <c r="AB86" i="22"/>
  <c r="X65" i="24"/>
  <c r="GV138" i="9"/>
  <c r="Y65" i="24" s="1"/>
  <c r="GY138" i="9"/>
  <c r="Z65" i="24" s="1"/>
  <c r="HB138" i="9"/>
  <c r="AA65" i="24" s="1"/>
  <c r="FK80" i="9"/>
  <c r="FJ80" i="9" s="1"/>
  <c r="V70" i="24"/>
  <c r="GZ53" i="9"/>
  <c r="Q70" i="24" s="1"/>
  <c r="FE53" i="9"/>
  <c r="GU139" i="9"/>
  <c r="Y88" i="9"/>
  <c r="GI88" i="9" s="1"/>
  <c r="GP74" i="9"/>
  <c r="GN74" i="9" s="1"/>
  <c r="GJ74" i="9"/>
  <c r="GH74" i="9" s="1"/>
  <c r="EZ74" i="9"/>
  <c r="GM74" i="9"/>
  <c r="GK74" i="9" s="1"/>
  <c r="GS74" i="9"/>
  <c r="GQ74" i="9" s="1"/>
  <c r="W23" i="25"/>
  <c r="HI68" i="9"/>
  <c r="Q23" i="25" s="1"/>
  <c r="Z34" i="25"/>
  <c r="AC50" i="22"/>
  <c r="HE65" i="9"/>
  <c r="HK65" i="9"/>
  <c r="AC34" i="25" s="1"/>
  <c r="HH65" i="9"/>
  <c r="AB34" i="25" s="1"/>
  <c r="HN65" i="9"/>
  <c r="L68" i="28"/>
  <c r="V27" i="25"/>
  <c r="K77" i="28"/>
  <c r="FE117" i="9"/>
  <c r="V68" i="25"/>
  <c r="FB79" i="9"/>
  <c r="W20" i="23"/>
  <c r="FB13" i="9"/>
  <c r="X103" i="25"/>
  <c r="X3" i="25"/>
  <c r="FB39" i="9"/>
  <c r="V65" i="26"/>
  <c r="T24" i="26"/>
  <c r="FK79" i="9"/>
  <c r="FE153" i="9"/>
  <c r="FD153" i="9" s="1"/>
  <c r="FK150" i="9"/>
  <c r="V92" i="24"/>
  <c r="U97" i="26"/>
  <c r="T96" i="24"/>
  <c r="FE133" i="9"/>
  <c r="U77" i="26"/>
  <c r="HR135" i="9"/>
  <c r="P77" i="26" s="1"/>
  <c r="HE154" i="9"/>
  <c r="HC154" i="9" s="1"/>
  <c r="HN154" i="9"/>
  <c r="HL154" i="9" s="1"/>
  <c r="HH154" i="9"/>
  <c r="HF154" i="9" s="1"/>
  <c r="HK154" i="9"/>
  <c r="HI154" i="9" s="1"/>
  <c r="K80" i="28"/>
  <c r="AB54" i="22"/>
  <c r="X43" i="24"/>
  <c r="GV139" i="9"/>
  <c r="Y43" i="24" s="1"/>
  <c r="HB139" i="9"/>
  <c r="AA43" i="24" s="1"/>
  <c r="GY139" i="9"/>
  <c r="Z43" i="24" s="1"/>
  <c r="V29" i="24"/>
  <c r="T95" i="24"/>
  <c r="FE123" i="9"/>
  <c r="U92" i="23"/>
  <c r="FB137" i="9"/>
  <c r="H85" i="28"/>
  <c r="HY118" i="9"/>
  <c r="K85" i="27" s="1"/>
  <c r="K73" i="28"/>
  <c r="W8" i="25"/>
  <c r="U18" i="23"/>
  <c r="FB94" i="9"/>
  <c r="Z83" i="25"/>
  <c r="AC93" i="22"/>
  <c r="HK78" i="9"/>
  <c r="AC83" i="25" s="1"/>
  <c r="HH78" i="9"/>
  <c r="AB83" i="25" s="1"/>
  <c r="HE78" i="9"/>
  <c r="AA83" i="25" s="1"/>
  <c r="HN78" i="9"/>
  <c r="AD83" i="25" s="1"/>
  <c r="U76" i="24"/>
  <c r="J9" i="28"/>
  <c r="I86" i="28"/>
  <c r="J32" i="28"/>
  <c r="GS151" i="9"/>
  <c r="GQ151" i="9" s="1"/>
  <c r="GJ151" i="9"/>
  <c r="GH151" i="9" s="1"/>
  <c r="EZ151" i="9"/>
  <c r="GM151" i="9"/>
  <c r="GK151" i="9" s="1"/>
  <c r="GP151" i="9"/>
  <c r="GN151" i="9" s="1"/>
  <c r="J104" i="28"/>
  <c r="J103" i="28"/>
  <c r="I85" i="28"/>
  <c r="HQ96" i="9"/>
  <c r="HO96" i="9" s="1"/>
  <c r="HT96" i="9"/>
  <c r="HR96" i="9" s="1"/>
  <c r="HW96" i="9"/>
  <c r="HU96" i="9" s="1"/>
  <c r="L85" i="12"/>
  <c r="K85" i="12"/>
  <c r="W98" i="23"/>
  <c r="L102" i="28"/>
  <c r="W72" i="23"/>
  <c r="GN105" i="9"/>
  <c r="Q72" i="23" s="1"/>
  <c r="L9" i="28"/>
  <c r="AA30" i="22"/>
  <c r="Z32" i="23"/>
  <c r="GS87" i="9"/>
  <c r="AD32" i="23" s="1"/>
  <c r="GP87" i="9"/>
  <c r="AC32" i="23" s="1"/>
  <c r="EZ87" i="9"/>
  <c r="GM87" i="9"/>
  <c r="AB32" i="23" s="1"/>
  <c r="GJ87" i="9"/>
  <c r="Z99" i="23"/>
  <c r="AA99" i="22"/>
  <c r="GM144" i="9"/>
  <c r="GJ144" i="9"/>
  <c r="EZ144" i="9"/>
  <c r="GS144" i="9"/>
  <c r="AD99" i="23" s="1"/>
  <c r="GP144" i="9"/>
  <c r="L84" i="28"/>
  <c r="HE103" i="9"/>
  <c r="HC103" i="9" s="1"/>
  <c r="HH103" i="9"/>
  <c r="HF103" i="9" s="1"/>
  <c r="HK103" i="9"/>
  <c r="HI103" i="9" s="1"/>
  <c r="HN103" i="9"/>
  <c r="HL103" i="9" s="1"/>
  <c r="V98" i="23"/>
  <c r="HM139" i="9"/>
  <c r="U59" i="25"/>
  <c r="FH108" i="9"/>
  <c r="Z104" i="23"/>
  <c r="AA104" i="22"/>
  <c r="GJ136" i="9"/>
  <c r="EZ136" i="9"/>
  <c r="GS136" i="9"/>
  <c r="GP136" i="9"/>
  <c r="AC104" i="23" s="1"/>
  <c r="GM136" i="9"/>
  <c r="AB104" i="23" s="1"/>
  <c r="U60" i="25"/>
  <c r="FH124" i="9"/>
  <c r="X17" i="25"/>
  <c r="HL113" i="9"/>
  <c r="R17" i="25" s="1"/>
  <c r="L97" i="28"/>
  <c r="U92" i="26"/>
  <c r="T64" i="26"/>
  <c r="FK115" i="9"/>
  <c r="FB99" i="9"/>
  <c r="W82" i="23"/>
  <c r="X55" i="24"/>
  <c r="AB90" i="22"/>
  <c r="GY92" i="9"/>
  <c r="Z55" i="24" s="1"/>
  <c r="HB92" i="9"/>
  <c r="AA55" i="24" s="1"/>
  <c r="GV92" i="9"/>
  <c r="Y55" i="24" s="1"/>
  <c r="V67" i="26"/>
  <c r="X4" i="24"/>
  <c r="AB4" i="22"/>
  <c r="GV75" i="9"/>
  <c r="HB75" i="9"/>
  <c r="GY75" i="9"/>
  <c r="X106" i="26"/>
  <c r="AD106" i="22"/>
  <c r="HT145" i="9"/>
  <c r="Z106" i="26" s="1"/>
  <c r="HQ145" i="9"/>
  <c r="Y106" i="26" s="1"/>
  <c r="HW145" i="9"/>
  <c r="AA106" i="26" s="1"/>
  <c r="K96" i="28"/>
  <c r="J42" i="28"/>
  <c r="U76" i="23"/>
  <c r="FB140" i="9"/>
  <c r="Z40" i="25"/>
  <c r="AC56" i="22"/>
  <c r="HE116" i="9"/>
  <c r="AA40" i="25" s="1"/>
  <c r="HH116" i="9"/>
  <c r="AB40" i="25" s="1"/>
  <c r="HN116" i="9"/>
  <c r="AD40" i="25" s="1"/>
  <c r="HK116" i="9"/>
  <c r="AC40" i="25" s="1"/>
  <c r="Z53" i="23"/>
  <c r="AA54" i="22"/>
  <c r="GP139" i="9"/>
  <c r="AC53" i="23" s="1"/>
  <c r="EZ139" i="9"/>
  <c r="GS139" i="9"/>
  <c r="AD53" i="23" s="1"/>
  <c r="GM139" i="9"/>
  <c r="AB53" i="23" s="1"/>
  <c r="GJ139" i="9"/>
  <c r="AA53" i="23" s="1"/>
  <c r="Z147" i="9"/>
  <c r="GR147" i="9"/>
  <c r="X6" i="26"/>
  <c r="AD6" i="22"/>
  <c r="HW82" i="9"/>
  <c r="HT82" i="9"/>
  <c r="HQ82" i="9"/>
  <c r="Y6" i="26" s="1"/>
  <c r="EZ92" i="9"/>
  <c r="T78" i="26"/>
  <c r="FK72" i="9"/>
  <c r="FH83" i="9"/>
  <c r="FG83" i="9" s="1"/>
  <c r="HA139" i="9"/>
  <c r="HS88" i="9"/>
  <c r="FH80" i="9"/>
  <c r="FG80" i="9" s="1"/>
  <c r="FH105" i="9"/>
  <c r="X68" i="25"/>
  <c r="V87" i="25"/>
  <c r="FH43" i="9"/>
  <c r="FB40" i="9"/>
  <c r="X25" i="24"/>
  <c r="AB43" i="22"/>
  <c r="GY15" i="9"/>
  <c r="Z25" i="24" s="1"/>
  <c r="GV15" i="9"/>
  <c r="Y25" i="24" s="1"/>
  <c r="EZ15" i="9"/>
  <c r="HB15" i="9"/>
  <c r="P3" i="23"/>
  <c r="T87" i="26"/>
  <c r="HO91" i="9"/>
  <c r="O87" i="26" s="1"/>
  <c r="FK91" i="9"/>
  <c r="V66" i="24"/>
  <c r="V96" i="24"/>
  <c r="FB104" i="9"/>
  <c r="T66" i="24"/>
  <c r="FE141" i="9"/>
  <c r="Z80" i="25"/>
  <c r="AC91" i="22"/>
  <c r="HK118" i="9"/>
  <c r="HH118" i="9"/>
  <c r="HE118" i="9"/>
  <c r="AA80" i="25" s="1"/>
  <c r="HN118" i="9"/>
  <c r="FE109" i="9"/>
  <c r="FD109" i="9" s="1"/>
  <c r="AA73" i="22"/>
  <c r="Z77" i="23"/>
  <c r="GJ135" i="9"/>
  <c r="AA77" i="23" s="1"/>
  <c r="GS135" i="9"/>
  <c r="GP135" i="9"/>
  <c r="AC77" i="23" s="1"/>
  <c r="GM135" i="9"/>
  <c r="AB77" i="23" s="1"/>
  <c r="EZ135" i="9"/>
  <c r="AB96" i="22"/>
  <c r="X103" i="24"/>
  <c r="HB148" i="9"/>
  <c r="GY148" i="9"/>
  <c r="GV148" i="9"/>
  <c r="W97" i="25"/>
  <c r="HQ110" i="9"/>
  <c r="HO110" i="9" s="1"/>
  <c r="HW110" i="9"/>
  <c r="HU110" i="9" s="1"/>
  <c r="HT110" i="9"/>
  <c r="HR110" i="9" s="1"/>
  <c r="V95" i="24"/>
  <c r="T83" i="26"/>
  <c r="HO71" i="9"/>
  <c r="O83" i="26" s="1"/>
  <c r="FK71" i="9"/>
  <c r="FK151" i="9"/>
  <c r="FJ151" i="9" s="1"/>
  <c r="U103" i="26"/>
  <c r="V92" i="23"/>
  <c r="X96" i="24"/>
  <c r="AB105" i="22"/>
  <c r="GV133" i="9"/>
  <c r="Y96" i="24" s="1"/>
  <c r="HB133" i="9"/>
  <c r="AA96" i="24" s="1"/>
  <c r="GY133" i="9"/>
  <c r="Z24" i="25"/>
  <c r="AC26" i="22"/>
  <c r="HN125" i="9"/>
  <c r="AD24" i="25" s="1"/>
  <c r="HH125" i="9"/>
  <c r="AB24" i="25" s="1"/>
  <c r="HE125" i="9"/>
  <c r="AA24" i="25" s="1"/>
  <c r="HK125" i="9"/>
  <c r="L85" i="28"/>
  <c r="K75" i="28"/>
  <c r="U24" i="25"/>
  <c r="FH125" i="9"/>
  <c r="K104" i="28"/>
  <c r="U98" i="24"/>
  <c r="Z76" i="25"/>
  <c r="AC83" i="22"/>
  <c r="HH132" i="9"/>
  <c r="AB76" i="25" s="1"/>
  <c r="HE132" i="9"/>
  <c r="AA76" i="25" s="1"/>
  <c r="HN132" i="9"/>
  <c r="AD76" i="25" s="1"/>
  <c r="HK132" i="9"/>
  <c r="AC76" i="25" s="1"/>
  <c r="X81" i="26"/>
  <c r="AD82" i="22"/>
  <c r="HW108" i="9"/>
  <c r="HQ108" i="9"/>
  <c r="HT108" i="9"/>
  <c r="X66" i="23"/>
  <c r="K98" i="28"/>
  <c r="H97" i="28"/>
  <c r="HY137" i="9"/>
  <c r="K97" i="27" s="1"/>
  <c r="V38" i="25"/>
  <c r="W13" i="23"/>
  <c r="FB113" i="9"/>
  <c r="V7" i="23"/>
  <c r="V48" i="24"/>
  <c r="V32" i="23"/>
  <c r="FB87" i="9"/>
  <c r="X49" i="24"/>
  <c r="AB75" i="22"/>
  <c r="HB140" i="9"/>
  <c r="AA49" i="24" s="1"/>
  <c r="GY140" i="9"/>
  <c r="Z49" i="24" s="1"/>
  <c r="GV140" i="9"/>
  <c r="Y49" i="24" s="1"/>
  <c r="U105" i="23"/>
  <c r="FB133" i="9"/>
  <c r="HY96" i="9"/>
  <c r="W70" i="23"/>
  <c r="T90" i="24"/>
  <c r="FE118" i="9"/>
  <c r="J64" i="28"/>
  <c r="H74" i="28"/>
  <c r="HY81" i="9"/>
  <c r="K74" i="27" s="1"/>
  <c r="FB144" i="9"/>
  <c r="Z76" i="23"/>
  <c r="AA75" i="22"/>
  <c r="GP140" i="9"/>
  <c r="GS140" i="9"/>
  <c r="AD76" i="23" s="1"/>
  <c r="EZ140" i="9"/>
  <c r="GM140" i="9"/>
  <c r="AB76" i="23" s="1"/>
  <c r="GJ140" i="9"/>
  <c r="AA76" i="23" s="1"/>
  <c r="HB97" i="9"/>
  <c r="GZ97" i="9" s="1"/>
  <c r="GY97" i="9"/>
  <c r="GW97" i="9" s="1"/>
  <c r="GV97" i="9"/>
  <c r="GT97" i="9" s="1"/>
  <c r="W46" i="25"/>
  <c r="V92" i="26"/>
  <c r="J6" i="28"/>
  <c r="U104" i="26"/>
  <c r="HY99" i="9"/>
  <c r="FB86" i="9"/>
  <c r="U94" i="24"/>
  <c r="FE78" i="9"/>
  <c r="J82" i="28"/>
  <c r="L81" i="28"/>
  <c r="X76" i="23"/>
  <c r="HP139" i="9"/>
  <c r="U40" i="25"/>
  <c r="FH116" i="9"/>
  <c r="HB109" i="9"/>
  <c r="GZ109" i="9" s="1"/>
  <c r="GY109" i="9"/>
  <c r="GW109" i="9" s="1"/>
  <c r="GV109" i="9"/>
  <c r="GT109" i="9" s="1"/>
  <c r="U82" i="23"/>
  <c r="FB91" i="9"/>
  <c r="J22" i="28"/>
  <c r="X45" i="24"/>
  <c r="AB41" i="22"/>
  <c r="GY73" i="9"/>
  <c r="Z45" i="24" s="1"/>
  <c r="HB73" i="9"/>
  <c r="AA45" i="24" s="1"/>
  <c r="GV73" i="9"/>
  <c r="Y45" i="24" s="1"/>
  <c r="J29" i="28"/>
  <c r="Z11" i="25"/>
  <c r="AC10" i="22"/>
  <c r="HH77" i="9"/>
  <c r="AB11" i="25" s="1"/>
  <c r="HK77" i="9"/>
  <c r="HN77" i="9"/>
  <c r="HE77" i="9"/>
  <c r="AA11" i="25" s="1"/>
  <c r="W36" i="23"/>
  <c r="FB59" i="9"/>
  <c r="U32" i="24"/>
  <c r="X37" i="24"/>
  <c r="AB59" i="22"/>
  <c r="HB61" i="9"/>
  <c r="AA37" i="24" s="1"/>
  <c r="GY61" i="9"/>
  <c r="Z37" i="24" s="1"/>
  <c r="GV61" i="9"/>
  <c r="Y37" i="24" s="1"/>
  <c r="J30" i="28"/>
  <c r="V23" i="25"/>
  <c r="I77" i="28"/>
  <c r="H59" i="28"/>
  <c r="HY16" i="9"/>
  <c r="H59" i="27" s="1"/>
  <c r="X46" i="24"/>
  <c r="X3" i="24"/>
  <c r="AB31" i="22"/>
  <c r="AB3" i="22"/>
  <c r="GY8" i="9"/>
  <c r="GW8" i="9" s="1"/>
  <c r="GV8" i="9"/>
  <c r="GT8" i="9" s="1"/>
  <c r="EZ8" i="9"/>
  <c r="HB8" i="9"/>
  <c r="V78" i="24"/>
  <c r="V48" i="25"/>
  <c r="HJ10" i="9"/>
  <c r="FB103" i="9"/>
  <c r="T50" i="24"/>
  <c r="GT124" i="9"/>
  <c r="O50" i="24" s="1"/>
  <c r="FE124" i="9"/>
  <c r="U80" i="25"/>
  <c r="FH118" i="9"/>
  <c r="H96" i="28"/>
  <c r="HY148" i="9"/>
  <c r="L96" i="27" s="1"/>
  <c r="U95" i="26"/>
  <c r="FK137" i="9"/>
  <c r="HB107" i="9"/>
  <c r="GZ107" i="9" s="1"/>
  <c r="GY107" i="9"/>
  <c r="GW107" i="9" s="1"/>
  <c r="GV107" i="9"/>
  <c r="GT107" i="9" s="1"/>
  <c r="K19" i="28"/>
  <c r="T20" i="26"/>
  <c r="W92" i="23"/>
  <c r="H73" i="28"/>
  <c r="HY114" i="9"/>
  <c r="I93" i="28"/>
  <c r="HY78" i="9"/>
  <c r="J93" i="27" s="1"/>
  <c r="L58" i="28"/>
  <c r="L75" i="28"/>
  <c r="J91" i="28"/>
  <c r="V105" i="25"/>
  <c r="L104" i="28"/>
  <c r="X98" i="24"/>
  <c r="AB104" i="22"/>
  <c r="HB136" i="9"/>
  <c r="GY136" i="9"/>
  <c r="Z98" i="24" s="1"/>
  <c r="GV136" i="9"/>
  <c r="GS95" i="9"/>
  <c r="GQ95" i="9" s="1"/>
  <c r="EZ95" i="9"/>
  <c r="GP95" i="9"/>
  <c r="GN95" i="9" s="1"/>
  <c r="GM95" i="9"/>
  <c r="GK95" i="9" s="1"/>
  <c r="GJ95" i="9"/>
  <c r="GH95" i="9" s="1"/>
  <c r="V9" i="26"/>
  <c r="I63" i="28"/>
  <c r="HQ126" i="9"/>
  <c r="HO126" i="9" s="1"/>
  <c r="HW126" i="9"/>
  <c r="HU126" i="9" s="1"/>
  <c r="HT126" i="9"/>
  <c r="HR126" i="9" s="1"/>
  <c r="HB110" i="9"/>
  <c r="GZ110" i="9" s="1"/>
  <c r="GY110" i="9"/>
  <c r="GW110" i="9" s="1"/>
  <c r="GV110" i="9"/>
  <c r="GT110" i="9" s="1"/>
  <c r="EZ110" i="9"/>
  <c r="J76" i="28"/>
  <c r="K44" i="28"/>
  <c r="W104" i="23"/>
  <c r="J88" i="28"/>
  <c r="GP100" i="9"/>
  <c r="GN100" i="9" s="1"/>
  <c r="GJ100" i="9"/>
  <c r="GH100" i="9" s="1"/>
  <c r="GS100" i="9"/>
  <c r="GQ100" i="9" s="1"/>
  <c r="GM100" i="9"/>
  <c r="GK100" i="9" s="1"/>
  <c r="EZ100" i="9"/>
  <c r="U48" i="24"/>
  <c r="U96" i="25"/>
  <c r="FH144" i="9"/>
  <c r="U57" i="24"/>
  <c r="FE132" i="9"/>
  <c r="FH140" i="9"/>
  <c r="U58" i="24"/>
  <c r="H71" i="28"/>
  <c r="HY119" i="9"/>
  <c r="H71" i="27" s="1"/>
  <c r="Z75" i="23"/>
  <c r="AA77" i="22"/>
  <c r="EZ114" i="9"/>
  <c r="GJ114" i="9"/>
  <c r="GS114" i="9"/>
  <c r="AD75" i="23" s="1"/>
  <c r="GP114" i="9"/>
  <c r="GM114" i="9"/>
  <c r="AB75" i="23" s="1"/>
  <c r="V90" i="24"/>
  <c r="GH102" i="9"/>
  <c r="FB102" i="9"/>
  <c r="V82" i="25"/>
  <c r="L64" i="28"/>
  <c r="HE83" i="9"/>
  <c r="HC83" i="9" s="1"/>
  <c r="HN83" i="9"/>
  <c r="HL83" i="9" s="1"/>
  <c r="HK83" i="9"/>
  <c r="HI83" i="9" s="1"/>
  <c r="HH83" i="9"/>
  <c r="HF83" i="9" s="1"/>
  <c r="X9" i="26"/>
  <c r="AD10" i="22"/>
  <c r="HW77" i="9"/>
  <c r="AA9" i="26" s="1"/>
  <c r="HQ77" i="9"/>
  <c r="Y9" i="26" s="1"/>
  <c r="HT77" i="9"/>
  <c r="U100" i="25"/>
  <c r="FH48" i="9"/>
  <c r="W22" i="25"/>
  <c r="T65" i="24"/>
  <c r="FE138" i="9"/>
  <c r="V101" i="26"/>
  <c r="GV131" i="9"/>
  <c r="GT131" i="9" s="1"/>
  <c r="HB131" i="9"/>
  <c r="GZ131" i="9" s="1"/>
  <c r="GY131" i="9"/>
  <c r="GW131" i="9" s="1"/>
  <c r="X46" i="25"/>
  <c r="K6" i="28"/>
  <c r="V104" i="26"/>
  <c r="V72" i="24"/>
  <c r="FE62" i="9"/>
  <c r="L82" i="28"/>
  <c r="EZ124" i="9"/>
  <c r="X24" i="26"/>
  <c r="AD27" i="22"/>
  <c r="HQ79" i="9"/>
  <c r="Y24" i="26" s="1"/>
  <c r="HT79" i="9"/>
  <c r="HW79" i="9"/>
  <c r="H42" i="28"/>
  <c r="HY73" i="9"/>
  <c r="I42" i="27" s="1"/>
  <c r="V82" i="23"/>
  <c r="T14" i="24"/>
  <c r="FE84" i="9"/>
  <c r="V32" i="24"/>
  <c r="X38" i="24"/>
  <c r="AB73" i="22"/>
  <c r="GV135" i="9"/>
  <c r="Y38" i="24" s="1"/>
  <c r="HB135" i="9"/>
  <c r="AA38" i="24" s="1"/>
  <c r="GY135" i="9"/>
  <c r="Z38" i="24" s="1"/>
  <c r="W71" i="23"/>
  <c r="V56" i="24"/>
  <c r="W49" i="23"/>
  <c r="X62" i="24"/>
  <c r="AB101" i="22"/>
  <c r="HB48" i="9"/>
  <c r="AA62" i="24" s="1"/>
  <c r="GV48" i="9"/>
  <c r="Y62" i="24" s="1"/>
  <c r="GY48" i="9"/>
  <c r="GS40" i="9"/>
  <c r="GQ40" i="9" s="1"/>
  <c r="GP40" i="9"/>
  <c r="GN40" i="9" s="1"/>
  <c r="GM40" i="9"/>
  <c r="GK40" i="9" s="1"/>
  <c r="GJ40" i="9"/>
  <c r="GH40" i="9" s="1"/>
  <c r="EZ40" i="9"/>
  <c r="T68" i="26"/>
  <c r="FK124" i="9"/>
  <c r="FH39" i="9"/>
  <c r="FG39" i="9" s="1"/>
  <c r="V54" i="25"/>
  <c r="FH18" i="9"/>
  <c r="U10" i="26"/>
  <c r="HY39" i="9"/>
  <c r="J14" i="28"/>
  <c r="X26" i="24"/>
  <c r="AB39" i="22"/>
  <c r="HB49" i="9"/>
  <c r="GY49" i="9"/>
  <c r="Z26" i="24" s="1"/>
  <c r="GV49" i="9"/>
  <c r="Y26" i="24" s="1"/>
  <c r="EZ49" i="9"/>
  <c r="K41" i="28"/>
  <c r="U61" i="26"/>
  <c r="FK53" i="9"/>
  <c r="H41" i="28"/>
  <c r="HY49" i="9"/>
  <c r="J41" i="27" s="1"/>
  <c r="V89" i="23"/>
  <c r="T89" i="26"/>
  <c r="FK93" i="9"/>
  <c r="HH151" i="9"/>
  <c r="HF151" i="9" s="1"/>
  <c r="HN151" i="9"/>
  <c r="HL151" i="9" s="1"/>
  <c r="HK151" i="9"/>
  <c r="HI151" i="9" s="1"/>
  <c r="HE151" i="9"/>
  <c r="HC151" i="9" s="1"/>
  <c r="T27" i="26"/>
  <c r="FK87" i="9"/>
  <c r="V60" i="25"/>
  <c r="V70" i="23"/>
  <c r="Z84" i="25"/>
  <c r="AC42" i="22"/>
  <c r="HN142" i="9"/>
  <c r="AD84" i="25" s="1"/>
  <c r="HK142" i="9"/>
  <c r="AC84" i="25" s="1"/>
  <c r="HH142" i="9"/>
  <c r="AB84" i="25" s="1"/>
  <c r="HE142" i="9"/>
  <c r="AA84" i="25" s="1"/>
  <c r="HE104" i="9"/>
  <c r="HC104" i="9" s="1"/>
  <c r="HK104" i="9"/>
  <c r="HI104" i="9" s="1"/>
  <c r="HN104" i="9"/>
  <c r="HL104" i="9" s="1"/>
  <c r="HH104" i="9"/>
  <c r="HF104" i="9" s="1"/>
  <c r="L19" i="28"/>
  <c r="X92" i="23"/>
  <c r="V84" i="23"/>
  <c r="J93" i="28"/>
  <c r="W60" i="23"/>
  <c r="FB61" i="9"/>
  <c r="T49" i="26"/>
  <c r="FK51" i="9"/>
  <c r="I75" i="28"/>
  <c r="V5" i="25"/>
  <c r="FH82" i="9"/>
  <c r="K99" i="28"/>
  <c r="X105" i="25"/>
  <c r="U102" i="23"/>
  <c r="FB143" i="9"/>
  <c r="Z61" i="23"/>
  <c r="AA67" i="22"/>
  <c r="GS115" i="9"/>
  <c r="EZ115" i="9"/>
  <c r="GJ115" i="9"/>
  <c r="AA61" i="23" s="1"/>
  <c r="GP115" i="9"/>
  <c r="GM115" i="9"/>
  <c r="HQ104" i="9"/>
  <c r="HO104" i="9" s="1"/>
  <c r="HW104" i="9"/>
  <c r="HU104" i="9" s="1"/>
  <c r="HT104" i="9"/>
  <c r="HR104" i="9" s="1"/>
  <c r="T81" i="24"/>
  <c r="FE82" i="9"/>
  <c r="J63" i="28"/>
  <c r="K95" i="28"/>
  <c r="L76" i="28"/>
  <c r="V56" i="26"/>
  <c r="L44" i="28"/>
  <c r="Z13" i="23"/>
  <c r="AA15" i="22"/>
  <c r="GS113" i="9"/>
  <c r="GP113" i="9"/>
  <c r="AC13" i="23" s="1"/>
  <c r="EZ113" i="9"/>
  <c r="GM113" i="9"/>
  <c r="GJ113" i="9"/>
  <c r="FE86" i="9"/>
  <c r="FD86" i="9" s="1"/>
  <c r="X96" i="25"/>
  <c r="X98" i="23"/>
  <c r="H95" i="28"/>
  <c r="HY117" i="9"/>
  <c r="L95" i="27" s="1"/>
  <c r="V58" i="24"/>
  <c r="U74" i="23"/>
  <c r="FB119" i="9"/>
  <c r="HN153" i="9"/>
  <c r="HL153" i="9" s="1"/>
  <c r="HK153" i="9"/>
  <c r="HI153" i="9" s="1"/>
  <c r="HH153" i="9"/>
  <c r="HF153" i="9" s="1"/>
  <c r="HE153" i="9"/>
  <c r="HC153" i="9" s="1"/>
  <c r="W82" i="25"/>
  <c r="X79" i="23"/>
  <c r="X64" i="26"/>
  <c r="AD67" i="22"/>
  <c r="HW115" i="9"/>
  <c r="AA64" i="26" s="1"/>
  <c r="HQ115" i="9"/>
  <c r="Y64" i="26" s="1"/>
  <c r="HT115" i="9"/>
  <c r="U22" i="25"/>
  <c r="FH87" i="9"/>
  <c r="X8" i="26"/>
  <c r="AD8" i="22"/>
  <c r="HT67" i="9"/>
  <c r="HQ67" i="9"/>
  <c r="Y8" i="26" s="1"/>
  <c r="HW67" i="9"/>
  <c r="Z95" i="25"/>
  <c r="AC104" i="22"/>
  <c r="HN136" i="9"/>
  <c r="HE136" i="9"/>
  <c r="HK136" i="9"/>
  <c r="HH136" i="9"/>
  <c r="V65" i="24"/>
  <c r="L72" i="28"/>
  <c r="J87" i="28"/>
  <c r="U5" i="23"/>
  <c r="FB82" i="9"/>
  <c r="I103" i="28"/>
  <c r="EZ102" i="9"/>
  <c r="FH98" i="9"/>
  <c r="FG98" i="9" s="1"/>
  <c r="V42" i="26"/>
  <c r="FK54" i="9"/>
  <c r="FB98" i="9"/>
  <c r="V15" i="25"/>
  <c r="FE69" i="9"/>
  <c r="FD69" i="9" s="1"/>
  <c r="X101" i="24"/>
  <c r="AB80" i="22"/>
  <c r="GV146" i="9"/>
  <c r="Y101" i="24" s="1"/>
  <c r="HB146" i="9"/>
  <c r="GY146" i="9"/>
  <c r="Z101" i="24" s="1"/>
  <c r="FB141" i="9"/>
  <c r="W79" i="23"/>
  <c r="FE104" i="9"/>
  <c r="FD104" i="9" s="1"/>
  <c r="H79" i="28"/>
  <c r="HY140" i="9"/>
  <c r="I79" i="27" s="1"/>
  <c r="GQ128" i="9"/>
  <c r="H67" i="28"/>
  <c r="HY139" i="9"/>
  <c r="L67" i="27" s="1"/>
  <c r="K81" i="28"/>
  <c r="K30" i="28"/>
  <c r="FK122" i="9"/>
  <c r="Z5" i="25"/>
  <c r="AC6" i="22"/>
  <c r="HH82" i="9"/>
  <c r="AB5" i="25" s="1"/>
  <c r="HK82" i="9"/>
  <c r="HE82" i="9"/>
  <c r="HN82" i="9"/>
  <c r="T32" i="24"/>
  <c r="GT51" i="9"/>
  <c r="O32" i="24" s="1"/>
  <c r="FE51" i="9"/>
  <c r="HY144" i="9"/>
  <c r="K100" i="27" s="1"/>
  <c r="T38" i="24"/>
  <c r="FE135" i="9"/>
  <c r="EZ82" i="9"/>
  <c r="V39" i="24"/>
  <c r="Z71" i="23"/>
  <c r="AA71" i="22"/>
  <c r="GM81" i="9"/>
  <c r="GP81" i="9"/>
  <c r="AC71" i="23" s="1"/>
  <c r="EZ81" i="9"/>
  <c r="GJ81" i="9"/>
  <c r="AA71" i="23" s="1"/>
  <c r="GS81" i="9"/>
  <c r="AD71" i="23" s="1"/>
  <c r="H47" i="28"/>
  <c r="HY62" i="9"/>
  <c r="I47" i="27" s="1"/>
  <c r="J5" i="28"/>
  <c r="HY58" i="9"/>
  <c r="L5" i="27" s="1"/>
  <c r="GV40" i="9"/>
  <c r="GT40" i="9" s="1"/>
  <c r="HB40" i="9"/>
  <c r="GZ40" i="9" s="1"/>
  <c r="GY40" i="9"/>
  <c r="GW40" i="9" s="1"/>
  <c r="Z17" i="23"/>
  <c r="AA17" i="22"/>
  <c r="GM84" i="9"/>
  <c r="EZ84" i="9"/>
  <c r="GS84" i="9"/>
  <c r="AD17" i="23" s="1"/>
  <c r="GP84" i="9"/>
  <c r="AC17" i="23" s="1"/>
  <c r="GJ84" i="9"/>
  <c r="AA17" i="23" s="1"/>
  <c r="V50" i="25"/>
  <c r="HF60" i="9"/>
  <c r="P50" i="25" s="1"/>
  <c r="FK38" i="9"/>
  <c r="FJ38" i="9" s="1"/>
  <c r="FE130" i="9"/>
  <c r="FD130" i="9" s="1"/>
  <c r="FE55" i="9"/>
  <c r="FD55" i="9" s="1"/>
  <c r="GT55" i="9"/>
  <c r="H35" i="28"/>
  <c r="HY45" i="9"/>
  <c r="L35" i="27" s="1"/>
  <c r="U65" i="23"/>
  <c r="FB16" i="9"/>
  <c r="U34" i="24"/>
  <c r="FE43" i="9"/>
  <c r="T40" i="24"/>
  <c r="FE30" i="9"/>
  <c r="T21" i="26"/>
  <c r="FK13" i="9"/>
  <c r="AA3" i="23"/>
  <c r="V35" i="24"/>
  <c r="FB96" i="9"/>
  <c r="X101" i="26"/>
  <c r="AD102" i="22"/>
  <c r="HQ134" i="9"/>
  <c r="Y101" i="26" s="1"/>
  <c r="HW134" i="9"/>
  <c r="AA101" i="26" s="1"/>
  <c r="HT134" i="9"/>
  <c r="Z101" i="26" s="1"/>
  <c r="J60" i="28"/>
  <c r="U90" i="24"/>
  <c r="HE102" i="9"/>
  <c r="HC102" i="9" s="1"/>
  <c r="HH102" i="9"/>
  <c r="HF102" i="9" s="1"/>
  <c r="HN102" i="9"/>
  <c r="HL102" i="9" s="1"/>
  <c r="HK102" i="9"/>
  <c r="HI102" i="9" s="1"/>
  <c r="Z62" i="25"/>
  <c r="AC71" i="22"/>
  <c r="HE81" i="9"/>
  <c r="AA62" i="25" s="1"/>
  <c r="HK81" i="9"/>
  <c r="AC62" i="25" s="1"/>
  <c r="HN81" i="9"/>
  <c r="AD62" i="25" s="1"/>
  <c r="HH81" i="9"/>
  <c r="AB62" i="25" s="1"/>
  <c r="X77" i="24"/>
  <c r="AB10" i="22"/>
  <c r="GY77" i="9"/>
  <c r="Z77" i="24" s="1"/>
  <c r="GV77" i="9"/>
  <c r="Y77" i="24" s="1"/>
  <c r="HB77" i="9"/>
  <c r="AA77" i="24" s="1"/>
  <c r="EZ77" i="9"/>
  <c r="V77" i="25"/>
  <c r="U49" i="23"/>
  <c r="FB63" i="9"/>
  <c r="HT153" i="9"/>
  <c r="HR153" i="9" s="1"/>
  <c r="HW153" i="9"/>
  <c r="HU153" i="9" s="1"/>
  <c r="HQ153" i="9"/>
  <c r="HO153" i="9" s="1"/>
  <c r="T102" i="24"/>
  <c r="FE147" i="9"/>
  <c r="L86" i="28"/>
  <c r="U97" i="25"/>
  <c r="FH133" i="9"/>
  <c r="I8" i="28"/>
  <c r="K92" i="28"/>
  <c r="H99" i="28"/>
  <c r="HY147" i="9"/>
  <c r="I99" i="27" s="1"/>
  <c r="U28" i="25"/>
  <c r="FH120" i="9"/>
  <c r="X60" i="26"/>
  <c r="AD56" i="22"/>
  <c r="HW116" i="9"/>
  <c r="HT116" i="9"/>
  <c r="HQ116" i="9"/>
  <c r="Z106" i="23"/>
  <c r="AA106" i="22"/>
  <c r="GP145" i="9"/>
  <c r="AC106" i="23" s="1"/>
  <c r="GJ145" i="9"/>
  <c r="AA106" i="23" s="1"/>
  <c r="EZ145" i="9"/>
  <c r="GM145" i="9"/>
  <c r="AB106" i="23" s="1"/>
  <c r="GS145" i="9"/>
  <c r="AD106" i="23" s="1"/>
  <c r="X95" i="23"/>
  <c r="U97" i="24"/>
  <c r="HY111" i="9"/>
  <c r="W8" i="23"/>
  <c r="FB67" i="9"/>
  <c r="J44" i="28"/>
  <c r="GJ126" i="9"/>
  <c r="GH126" i="9" s="1"/>
  <c r="GM126" i="9"/>
  <c r="GK126" i="9" s="1"/>
  <c r="GS126" i="9"/>
  <c r="GQ126" i="9" s="1"/>
  <c r="EZ126" i="9"/>
  <c r="GP126" i="9"/>
  <c r="GN126" i="9" s="1"/>
  <c r="U77" i="23"/>
  <c r="FB135" i="9"/>
  <c r="U99" i="24"/>
  <c r="L88" i="28"/>
  <c r="X82" i="25"/>
  <c r="FB100" i="9"/>
  <c r="Z83" i="23"/>
  <c r="AA84" i="22"/>
  <c r="GM71" i="9"/>
  <c r="AB83" i="23" s="1"/>
  <c r="GP71" i="9"/>
  <c r="AC83" i="23" s="1"/>
  <c r="GJ71" i="9"/>
  <c r="EZ71" i="9"/>
  <c r="GS71" i="9"/>
  <c r="AD83" i="23" s="1"/>
  <c r="GP153" i="9"/>
  <c r="GN153" i="9" s="1"/>
  <c r="GJ153" i="9"/>
  <c r="GH153" i="9" s="1"/>
  <c r="EZ153" i="9"/>
  <c r="GM153" i="9"/>
  <c r="GK153" i="9" s="1"/>
  <c r="GS153" i="9"/>
  <c r="GQ153" i="9" s="1"/>
  <c r="X102" i="24"/>
  <c r="AB100" i="22"/>
  <c r="GY147" i="9"/>
  <c r="Z102" i="24" s="1"/>
  <c r="GV147" i="9"/>
  <c r="Y102" i="24" s="1"/>
  <c r="HB147" i="9"/>
  <c r="AA102" i="24" s="1"/>
  <c r="X5" i="23"/>
  <c r="K79" i="28"/>
  <c r="I50" i="28"/>
  <c r="Z92" i="9"/>
  <c r="HV92" i="9" s="1"/>
  <c r="V52" i="24"/>
  <c r="H54" i="28"/>
  <c r="HY51" i="9"/>
  <c r="K54" i="27" s="1"/>
  <c r="V101" i="25"/>
  <c r="W7" i="25"/>
  <c r="J80" i="28"/>
  <c r="GM85" i="9"/>
  <c r="GK85" i="9" s="1"/>
  <c r="GS85" i="9"/>
  <c r="GQ85" i="9" s="1"/>
  <c r="GJ85" i="9"/>
  <c r="GH85" i="9" s="1"/>
  <c r="EZ85" i="9"/>
  <c r="GP85" i="9"/>
  <c r="GN85" i="9" s="1"/>
  <c r="X15" i="25"/>
  <c r="V40" i="23"/>
  <c r="FB128" i="9"/>
  <c r="I67" i="28"/>
  <c r="J81" i="28"/>
  <c r="V92" i="25"/>
  <c r="J47" i="28"/>
  <c r="K43" i="28"/>
  <c r="U96" i="26"/>
  <c r="K101" i="28"/>
  <c r="Y89" i="9"/>
  <c r="Z89" i="9" s="1"/>
  <c r="X21" i="24"/>
  <c r="AB8" i="22"/>
  <c r="GY67" i="9"/>
  <c r="Z21" i="24" s="1"/>
  <c r="GV67" i="9"/>
  <c r="HB67" i="9"/>
  <c r="AA21" i="24" s="1"/>
  <c r="Z56" i="23"/>
  <c r="AA53" i="22"/>
  <c r="GS60" i="9"/>
  <c r="AD56" i="23" s="1"/>
  <c r="GJ60" i="9"/>
  <c r="AA56" i="23" s="1"/>
  <c r="EZ60" i="9"/>
  <c r="GP60" i="9"/>
  <c r="GM60" i="9"/>
  <c r="AB56" i="23" s="1"/>
  <c r="W4" i="25"/>
  <c r="X6" i="23"/>
  <c r="U69" i="25"/>
  <c r="FH45" i="9"/>
  <c r="U27" i="25"/>
  <c r="FH66" i="9"/>
  <c r="V18" i="24"/>
  <c r="V53" i="25"/>
  <c r="U37" i="24"/>
  <c r="HH33" i="9"/>
  <c r="HF33" i="9" s="1"/>
  <c r="HE33" i="9"/>
  <c r="HC33" i="9" s="1"/>
  <c r="HN33" i="9"/>
  <c r="HL33" i="9" s="1"/>
  <c r="HK33" i="9"/>
  <c r="HI33" i="9" s="1"/>
  <c r="EZ33" i="9"/>
  <c r="V73" i="26"/>
  <c r="I41" i="28"/>
  <c r="W89" i="23"/>
  <c r="FB32" i="9"/>
  <c r="HB20" i="9"/>
  <c r="GZ20" i="9" s="1"/>
  <c r="GY20" i="9"/>
  <c r="GW20" i="9" s="1"/>
  <c r="GV20" i="9"/>
  <c r="GT20" i="9" s="1"/>
  <c r="EZ20" i="9"/>
  <c r="T51" i="24"/>
  <c r="FE11" i="9"/>
  <c r="FE34" i="9"/>
  <c r="FD34" i="9" s="1"/>
  <c r="H13" i="28"/>
  <c r="HY13" i="9"/>
  <c r="J13" i="27" s="1"/>
  <c r="FK25" i="9"/>
  <c r="FJ25" i="9" s="1"/>
  <c r="HH10" i="9"/>
  <c r="HF10" i="9" s="1"/>
  <c r="HK10" i="9"/>
  <c r="HE10" i="9"/>
  <c r="HC10" i="9" s="1"/>
  <c r="HN10" i="9"/>
  <c r="L4" i="28"/>
  <c r="U67" i="23"/>
  <c r="FB64" i="9"/>
  <c r="U5" i="26"/>
  <c r="GH13" i="9"/>
  <c r="O20" i="23" s="1"/>
  <c r="W43" i="23"/>
  <c r="U56" i="26"/>
  <c r="Z8" i="23"/>
  <c r="AA8" i="22"/>
  <c r="GM67" i="9"/>
  <c r="EZ67" i="9"/>
  <c r="GP67" i="9"/>
  <c r="AC8" i="23" s="1"/>
  <c r="GJ67" i="9"/>
  <c r="GS67" i="9"/>
  <c r="Z67" i="23"/>
  <c r="AA68" i="22"/>
  <c r="GS64" i="9"/>
  <c r="EZ64" i="9"/>
  <c r="GP64" i="9"/>
  <c r="AC67" i="23" s="1"/>
  <c r="GJ64" i="9"/>
  <c r="AA67" i="23" s="1"/>
  <c r="GM64" i="9"/>
  <c r="AB67" i="23" s="1"/>
  <c r="X35" i="23"/>
  <c r="X54" i="23"/>
  <c r="J13" i="28"/>
  <c r="H4" i="28"/>
  <c r="HY75" i="9"/>
  <c r="L4" i="27" s="1"/>
  <c r="I69" i="28"/>
  <c r="V10" i="23"/>
  <c r="FB12" i="9"/>
  <c r="X27" i="24"/>
  <c r="AB37" i="22"/>
  <c r="GV59" i="9"/>
  <c r="Y27" i="24" s="1"/>
  <c r="HB59" i="9"/>
  <c r="AA27" i="24" s="1"/>
  <c r="GY59" i="9"/>
  <c r="U46" i="23"/>
  <c r="FB116" i="9"/>
  <c r="K22" i="28"/>
  <c r="Z32" i="25"/>
  <c r="AC45" i="22"/>
  <c r="HK54" i="9"/>
  <c r="AC32" i="25" s="1"/>
  <c r="HH54" i="9"/>
  <c r="HE54" i="9"/>
  <c r="AA32" i="25" s="1"/>
  <c r="HN54" i="9"/>
  <c r="AD32" i="25" s="1"/>
  <c r="X50" i="26"/>
  <c r="AD43" i="22"/>
  <c r="HW15" i="9"/>
  <c r="AA50" i="26" s="1"/>
  <c r="HT15" i="9"/>
  <c r="Z50" i="26" s="1"/>
  <c r="HQ15" i="9"/>
  <c r="Y50" i="26" s="1"/>
  <c r="AA32" i="22"/>
  <c r="Z29" i="23"/>
  <c r="GM68" i="9"/>
  <c r="AB29" i="23" s="1"/>
  <c r="GP68" i="9"/>
  <c r="AC29" i="23" s="1"/>
  <c r="GJ68" i="9"/>
  <c r="AA29" i="23" s="1"/>
  <c r="GS68" i="9"/>
  <c r="AD29" i="23" s="1"/>
  <c r="EZ68" i="9"/>
  <c r="GM37" i="9"/>
  <c r="GK37" i="9" s="1"/>
  <c r="GJ37" i="9"/>
  <c r="GH37" i="9" s="1"/>
  <c r="EZ37" i="9"/>
  <c r="GS37" i="9"/>
  <c r="GQ37" i="9" s="1"/>
  <c r="GP37" i="9"/>
  <c r="GN37" i="9" s="1"/>
  <c r="Z25" i="25"/>
  <c r="AC21" i="22"/>
  <c r="HE22" i="9"/>
  <c r="HN22" i="9"/>
  <c r="HK22" i="9"/>
  <c r="HH22" i="9"/>
  <c r="U25" i="24"/>
  <c r="J55" i="28"/>
  <c r="K39" i="28"/>
  <c r="I43" i="28"/>
  <c r="FH36" i="9"/>
  <c r="FG36" i="9" s="1"/>
  <c r="I14" i="28"/>
  <c r="H48" i="28"/>
  <c r="HY65" i="9"/>
  <c r="I48" i="27" s="1"/>
  <c r="L26" i="28"/>
  <c r="X13" i="25"/>
  <c r="V4" i="23"/>
  <c r="V67" i="23"/>
  <c r="Z21" i="23"/>
  <c r="AA23" i="22"/>
  <c r="GM14" i="9"/>
  <c r="AB21" i="23" s="1"/>
  <c r="GJ14" i="9"/>
  <c r="AA21" i="23" s="1"/>
  <c r="GS14" i="9"/>
  <c r="EZ14" i="9"/>
  <c r="GP14" i="9"/>
  <c r="P3" i="25"/>
  <c r="L43" i="28"/>
  <c r="FB37" i="9"/>
  <c r="X24" i="23"/>
  <c r="X18" i="24"/>
  <c r="AB23" i="22"/>
  <c r="GY14" i="9"/>
  <c r="Z18" i="24" s="1"/>
  <c r="GV14" i="9"/>
  <c r="Y18" i="24" s="1"/>
  <c r="HB14" i="9"/>
  <c r="AA18" i="24" s="1"/>
  <c r="T37" i="24"/>
  <c r="FE61" i="9"/>
  <c r="X38" i="26"/>
  <c r="AD38" i="22"/>
  <c r="HW50" i="9"/>
  <c r="AA38" i="26" s="1"/>
  <c r="HT50" i="9"/>
  <c r="Z38" i="26" s="1"/>
  <c r="HQ50" i="9"/>
  <c r="Y38" i="26" s="1"/>
  <c r="X31" i="26"/>
  <c r="AD32" i="22"/>
  <c r="HW68" i="9"/>
  <c r="AA31" i="26" s="1"/>
  <c r="HQ68" i="9"/>
  <c r="Y31" i="26" s="1"/>
  <c r="HT68" i="9"/>
  <c r="L52" i="28"/>
  <c r="HM10" i="9"/>
  <c r="I4" i="28"/>
  <c r="V31" i="26"/>
  <c r="L83" i="28"/>
  <c r="U59" i="23"/>
  <c r="FB70" i="9"/>
  <c r="FB83" i="9"/>
  <c r="V78" i="25"/>
  <c r="HF146" i="9"/>
  <c r="P78" i="25" s="1"/>
  <c r="I97" i="28"/>
  <c r="U88" i="23"/>
  <c r="FB118" i="9"/>
  <c r="V75" i="23"/>
  <c r="J75" i="28"/>
  <c r="AA16" i="22"/>
  <c r="Z18" i="23"/>
  <c r="GS94" i="9"/>
  <c r="EZ94" i="9"/>
  <c r="GM94" i="9"/>
  <c r="GJ94" i="9"/>
  <c r="AA18" i="23" s="1"/>
  <c r="GP94" i="9"/>
  <c r="GY86" i="9"/>
  <c r="GW86" i="9" s="1"/>
  <c r="HB86" i="9"/>
  <c r="GZ86" i="9" s="1"/>
  <c r="GV86" i="9"/>
  <c r="GT86" i="9" s="1"/>
  <c r="EZ86" i="9"/>
  <c r="I104" i="28"/>
  <c r="H103" i="28"/>
  <c r="HY136" i="9"/>
  <c r="J103" i="27" s="1"/>
  <c r="H50" i="28"/>
  <c r="HY115" i="9"/>
  <c r="K50" i="27" s="1"/>
  <c r="X59" i="25"/>
  <c r="HL108" i="9"/>
  <c r="R59" i="25" s="1"/>
  <c r="W85" i="12"/>
  <c r="X85" i="12" s="1"/>
  <c r="EG147" i="9"/>
  <c r="FI147" i="9"/>
  <c r="EI147" i="9"/>
  <c r="EH147" i="9"/>
  <c r="EJ147" i="9"/>
  <c r="W94" i="25"/>
  <c r="HI134" i="9"/>
  <c r="Q94" i="25" s="1"/>
  <c r="W76" i="25"/>
  <c r="W39" i="23"/>
  <c r="V59" i="25"/>
  <c r="I11" i="28"/>
  <c r="V41" i="23"/>
  <c r="T97" i="24"/>
  <c r="FE134" i="9"/>
  <c r="J12" i="28"/>
  <c r="T9" i="26"/>
  <c r="FK77" i="9"/>
  <c r="HN152" i="9"/>
  <c r="HL152" i="9" s="1"/>
  <c r="HK152" i="9"/>
  <c r="HI152" i="9" s="1"/>
  <c r="HH152" i="9"/>
  <c r="HF152" i="9" s="1"/>
  <c r="HE152" i="9"/>
  <c r="HC152" i="9" s="1"/>
  <c r="V96" i="25"/>
  <c r="V36" i="24"/>
  <c r="GZ142" i="9"/>
  <c r="Q36" i="24" s="1"/>
  <c r="HG139" i="9"/>
  <c r="HN128" i="9"/>
  <c r="HL128" i="9" s="1"/>
  <c r="HE128" i="9"/>
  <c r="HC128" i="9" s="1"/>
  <c r="HK128" i="9"/>
  <c r="HI128" i="9" s="1"/>
  <c r="HH128" i="9"/>
  <c r="HF128" i="9" s="1"/>
  <c r="HW109" i="9"/>
  <c r="HU109" i="9" s="1"/>
  <c r="HT109" i="9"/>
  <c r="HR109" i="9" s="1"/>
  <c r="HQ109" i="9"/>
  <c r="HO109" i="9" s="1"/>
  <c r="U79" i="26"/>
  <c r="HR146" i="9"/>
  <c r="P79" i="26" s="1"/>
  <c r="X85" i="26"/>
  <c r="AD86" i="22"/>
  <c r="HQ138" i="9"/>
  <c r="HW138" i="9"/>
  <c r="HT138" i="9"/>
  <c r="Z85" i="26" s="1"/>
  <c r="I64" i="28"/>
  <c r="HY100" i="9"/>
  <c r="W17" i="23"/>
  <c r="I6" i="28"/>
  <c r="HY82" i="9"/>
  <c r="H6" i="27" s="1"/>
  <c r="U81" i="23"/>
  <c r="FB108" i="9"/>
  <c r="GM103" i="9"/>
  <c r="GK103" i="9" s="1"/>
  <c r="GJ103" i="9"/>
  <c r="GH103" i="9" s="1"/>
  <c r="EZ103" i="9"/>
  <c r="GP103" i="9"/>
  <c r="GN103" i="9" s="1"/>
  <c r="GS103" i="9"/>
  <c r="GQ103" i="9" s="1"/>
  <c r="L87" i="28"/>
  <c r="Z40" i="23"/>
  <c r="AA41" i="22"/>
  <c r="GS73" i="9"/>
  <c r="EZ73" i="9"/>
  <c r="GJ73" i="9"/>
  <c r="GP73" i="9"/>
  <c r="AC40" i="23" s="1"/>
  <c r="GM73" i="9"/>
  <c r="AB40" i="23" s="1"/>
  <c r="GS152" i="9"/>
  <c r="GQ152" i="9" s="1"/>
  <c r="GP152" i="9"/>
  <c r="GN152" i="9" s="1"/>
  <c r="GM152" i="9"/>
  <c r="GK152" i="9" s="1"/>
  <c r="GJ152" i="9"/>
  <c r="GH152" i="9" s="1"/>
  <c r="EZ152" i="9"/>
  <c r="T104" i="26"/>
  <c r="FK136" i="9"/>
  <c r="K62" i="28"/>
  <c r="HY103" i="9"/>
  <c r="U11" i="25"/>
  <c r="FH77" i="9"/>
  <c r="V93" i="25"/>
  <c r="Z105" i="25"/>
  <c r="AC106" i="22"/>
  <c r="HN145" i="9"/>
  <c r="AD105" i="25" s="1"/>
  <c r="HE145" i="9"/>
  <c r="HK145" i="9"/>
  <c r="HH145" i="9"/>
  <c r="AB105" i="25" s="1"/>
  <c r="U79" i="23"/>
  <c r="FB127" i="9"/>
  <c r="HB104" i="9"/>
  <c r="GZ104" i="9" s="1"/>
  <c r="GV104" i="9"/>
  <c r="GT104" i="9" s="1"/>
  <c r="EZ104" i="9"/>
  <c r="GY104" i="9"/>
  <c r="GW104" i="9" s="1"/>
  <c r="X54" i="24"/>
  <c r="AB92" i="22"/>
  <c r="GY90" i="9"/>
  <c r="Z54" i="24" s="1"/>
  <c r="GV90" i="9"/>
  <c r="Y54" i="24" s="1"/>
  <c r="HB90" i="9"/>
  <c r="AA54" i="24" s="1"/>
  <c r="L42" i="28"/>
  <c r="L79" i="28"/>
  <c r="AA86" i="22"/>
  <c r="Z85" i="23"/>
  <c r="GJ138" i="9"/>
  <c r="AA85" i="23" s="1"/>
  <c r="EZ138" i="9"/>
  <c r="GM138" i="9"/>
  <c r="AB85" i="23" s="1"/>
  <c r="GS138" i="9"/>
  <c r="GP138" i="9"/>
  <c r="AC85" i="23" s="1"/>
  <c r="I81" i="28"/>
  <c r="X28" i="23"/>
  <c r="FB52" i="9"/>
  <c r="L77" i="28"/>
  <c r="J38" i="28"/>
  <c r="T67" i="26"/>
  <c r="FK81" i="9"/>
  <c r="U6" i="23"/>
  <c r="FB58" i="9"/>
  <c r="V77" i="24"/>
  <c r="X36" i="26"/>
  <c r="AD37" i="22"/>
  <c r="HQ59" i="9"/>
  <c r="Y36" i="26" s="1"/>
  <c r="HW59" i="9"/>
  <c r="HT59" i="9"/>
  <c r="Z36" i="26" s="1"/>
  <c r="Z61" i="25"/>
  <c r="AC78" i="22"/>
  <c r="HH72" i="9"/>
  <c r="AB61" i="25" s="1"/>
  <c r="HN72" i="9"/>
  <c r="HE72" i="9"/>
  <c r="HK72" i="9"/>
  <c r="V75" i="24"/>
  <c r="T56" i="24"/>
  <c r="GT47" i="9"/>
  <c r="O56" i="24" s="1"/>
  <c r="FE47" i="9"/>
  <c r="T79" i="24"/>
  <c r="FE42" i="9"/>
  <c r="GY37" i="9"/>
  <c r="GW37" i="9" s="1"/>
  <c r="HB37" i="9"/>
  <c r="GZ37" i="9" s="1"/>
  <c r="GV37" i="9"/>
  <c r="GT37" i="9" s="1"/>
  <c r="U68" i="26"/>
  <c r="U68" i="25"/>
  <c r="FH91" i="9"/>
  <c r="W63" i="25"/>
  <c r="HI46" i="9"/>
  <c r="Q63" i="25" s="1"/>
  <c r="W87" i="25"/>
  <c r="J3" i="27"/>
  <c r="J25" i="28"/>
  <c r="J3" i="28"/>
  <c r="U78" i="24"/>
  <c r="Z36" i="25"/>
  <c r="AC49" i="22"/>
  <c r="HK42" i="9"/>
  <c r="HE42" i="9"/>
  <c r="HN42" i="9"/>
  <c r="AD36" i="25" s="1"/>
  <c r="HH42" i="9"/>
  <c r="U35" i="24"/>
  <c r="FE60" i="9"/>
  <c r="I52" i="28"/>
  <c r="J54" i="28"/>
  <c r="X33" i="26"/>
  <c r="AD34" i="22"/>
  <c r="HQ35" i="9"/>
  <c r="Y33" i="26" s="1"/>
  <c r="HW35" i="9"/>
  <c r="AA33" i="26" s="1"/>
  <c r="HT35" i="9"/>
  <c r="Z33" i="26" s="1"/>
  <c r="Z10" i="25"/>
  <c r="AC13" i="22"/>
  <c r="HN27" i="9"/>
  <c r="HE27" i="9"/>
  <c r="AA10" i="25" s="1"/>
  <c r="HH27" i="9"/>
  <c r="HK27" i="9"/>
  <c r="U18" i="24"/>
  <c r="X16" i="24"/>
  <c r="AB22" i="22"/>
  <c r="HB13" i="9"/>
  <c r="AA16" i="24" s="1"/>
  <c r="GY13" i="9"/>
  <c r="Z16" i="24" s="1"/>
  <c r="GV13" i="9"/>
  <c r="Y16" i="24" s="1"/>
  <c r="EZ13" i="9"/>
  <c r="T3" i="24"/>
  <c r="T46" i="24"/>
  <c r="FE8" i="9"/>
  <c r="Z104" i="25"/>
  <c r="AC24" i="22"/>
  <c r="HE11" i="9"/>
  <c r="HH11" i="9"/>
  <c r="AB104" i="25" s="1"/>
  <c r="HN11" i="9"/>
  <c r="HK11" i="9"/>
  <c r="AC104" i="25" s="1"/>
  <c r="FH58" i="9"/>
  <c r="U54" i="23"/>
  <c r="FB30" i="9"/>
  <c r="H31" i="28"/>
  <c r="HY68" i="9"/>
  <c r="J31" i="27" s="1"/>
  <c r="Z50" i="23"/>
  <c r="AA46" i="22"/>
  <c r="GJ51" i="9"/>
  <c r="GM51" i="9"/>
  <c r="GS51" i="9"/>
  <c r="GP51" i="9"/>
  <c r="EZ51" i="9"/>
  <c r="W31" i="25"/>
  <c r="H66" i="28"/>
  <c r="HY41" i="9"/>
  <c r="K66" i="27" s="1"/>
  <c r="T39" i="26"/>
  <c r="FK49" i="9"/>
  <c r="AB18" i="22"/>
  <c r="X7" i="24"/>
  <c r="HB24" i="9"/>
  <c r="AA7" i="24" s="1"/>
  <c r="GY24" i="9"/>
  <c r="Z7" i="24" s="1"/>
  <c r="GV24" i="9"/>
  <c r="Y7" i="24" s="1"/>
  <c r="W51" i="25"/>
  <c r="FH16" i="9"/>
  <c r="K14" i="28"/>
  <c r="Z71" i="25"/>
  <c r="AC39" i="22"/>
  <c r="HH49" i="9"/>
  <c r="AB71" i="25" s="1"/>
  <c r="HN49" i="9"/>
  <c r="AD71" i="25" s="1"/>
  <c r="HE49" i="9"/>
  <c r="AA71" i="25" s="1"/>
  <c r="HK49" i="9"/>
  <c r="AC71" i="25" s="1"/>
  <c r="X89" i="26"/>
  <c r="AD87" i="22"/>
  <c r="HW93" i="9"/>
  <c r="AA89" i="26" s="1"/>
  <c r="HT93" i="9"/>
  <c r="HQ93" i="9"/>
  <c r="Y89" i="26" s="1"/>
  <c r="U56" i="23"/>
  <c r="FB60" i="9"/>
  <c r="I35" i="28"/>
  <c r="W42" i="25"/>
  <c r="FH15" i="9"/>
  <c r="X48" i="25"/>
  <c r="T73" i="24"/>
  <c r="FE63" i="9"/>
  <c r="V33" i="26"/>
  <c r="H14" i="28"/>
  <c r="HY14" i="9"/>
  <c r="J14" i="27" s="1"/>
  <c r="AA27" i="22"/>
  <c r="Z25" i="23"/>
  <c r="GM79" i="9"/>
  <c r="AB25" i="23" s="1"/>
  <c r="GP79" i="9"/>
  <c r="EZ79" i="9"/>
  <c r="GJ79" i="9"/>
  <c r="GS79" i="9"/>
  <c r="W54" i="23"/>
  <c r="U31" i="24"/>
  <c r="X67" i="24"/>
  <c r="AB72" i="22"/>
  <c r="GV17" i="9"/>
  <c r="Y67" i="24" s="1"/>
  <c r="HB17" i="9"/>
  <c r="GY17" i="9"/>
  <c r="U39" i="26"/>
  <c r="W54" i="12"/>
  <c r="X54" i="12" s="1"/>
  <c r="FI44" i="9"/>
  <c r="EJ44" i="9"/>
  <c r="EI44" i="9"/>
  <c r="EH44" i="9"/>
  <c r="EG44" i="9"/>
  <c r="AB34" i="22"/>
  <c r="X69" i="24"/>
  <c r="HB35" i="9"/>
  <c r="GY35" i="9"/>
  <c r="GV35" i="9"/>
  <c r="U69" i="26"/>
  <c r="L13" i="28"/>
  <c r="U15" i="24"/>
  <c r="V71" i="25"/>
  <c r="Z31" i="23"/>
  <c r="AA29" i="22"/>
  <c r="GS46" i="9"/>
  <c r="AD31" i="23" s="1"/>
  <c r="EZ46" i="9"/>
  <c r="GJ46" i="9"/>
  <c r="GP46" i="9"/>
  <c r="AC31" i="23" s="1"/>
  <c r="GM46" i="9"/>
  <c r="AB31" i="23" s="1"/>
  <c r="J35" i="28"/>
  <c r="I66" i="28"/>
  <c r="FH34" i="9"/>
  <c r="FG34" i="9" s="1"/>
  <c r="Z65" i="25"/>
  <c r="AC66" i="22"/>
  <c r="HH23" i="9"/>
  <c r="AB65" i="25" s="1"/>
  <c r="HE23" i="9"/>
  <c r="AA65" i="25" s="1"/>
  <c r="HN23" i="9"/>
  <c r="HK23" i="9"/>
  <c r="K13" i="28"/>
  <c r="U48" i="25"/>
  <c r="FH70" i="9"/>
  <c r="W39" i="25"/>
  <c r="V62" i="24"/>
  <c r="U73" i="26"/>
  <c r="U4" i="23"/>
  <c r="FB75" i="9"/>
  <c r="J52" i="28"/>
  <c r="V15" i="24"/>
  <c r="GZ52" i="9"/>
  <c r="Q15" i="24" s="1"/>
  <c r="V39" i="26"/>
  <c r="HQ40" i="9"/>
  <c r="HO40" i="9" s="1"/>
  <c r="HW40" i="9"/>
  <c r="HU40" i="9" s="1"/>
  <c r="HT40" i="9"/>
  <c r="HR40" i="9" s="1"/>
  <c r="Z65" i="23"/>
  <c r="AA69" i="22"/>
  <c r="GS16" i="9"/>
  <c r="EZ16" i="9"/>
  <c r="GP16" i="9"/>
  <c r="GJ16" i="9"/>
  <c r="AA65" i="23" s="1"/>
  <c r="GM16" i="9"/>
  <c r="AB65" i="23" s="1"/>
  <c r="V21" i="23"/>
  <c r="H57" i="28"/>
  <c r="HY31" i="9"/>
  <c r="H57" i="27" s="1"/>
  <c r="V16" i="24"/>
  <c r="K29" i="28"/>
  <c r="X71" i="25"/>
  <c r="U63" i="25"/>
  <c r="FH46" i="9"/>
  <c r="W67" i="25"/>
  <c r="K89" i="28"/>
  <c r="K35" i="28"/>
  <c r="Z18" i="25"/>
  <c r="AC28" i="22"/>
  <c r="HE19" i="9"/>
  <c r="HN19" i="9"/>
  <c r="HK19" i="9"/>
  <c r="AC18" i="25" s="1"/>
  <c r="HH19" i="9"/>
  <c r="U39" i="25"/>
  <c r="FH63" i="9"/>
  <c r="W70" i="25"/>
  <c r="T62" i="24"/>
  <c r="FE48" i="9"/>
  <c r="Z33" i="23"/>
  <c r="AA34" i="22"/>
  <c r="GP35" i="9"/>
  <c r="AC33" i="23" s="1"/>
  <c r="GM35" i="9"/>
  <c r="GJ35" i="9"/>
  <c r="EZ35" i="9"/>
  <c r="GS35" i="9"/>
  <c r="AD33" i="23" s="1"/>
  <c r="V33" i="24"/>
  <c r="X73" i="26"/>
  <c r="AD72" i="22"/>
  <c r="HW17" i="9"/>
  <c r="AA73" i="26" s="1"/>
  <c r="HT17" i="9"/>
  <c r="Z73" i="26" s="1"/>
  <c r="HQ17" i="9"/>
  <c r="Y73" i="26" s="1"/>
  <c r="U21" i="23"/>
  <c r="FB14" i="9"/>
  <c r="X10" i="24"/>
  <c r="AB13" i="22"/>
  <c r="HB27" i="9"/>
  <c r="AA10" i="24" s="1"/>
  <c r="GY27" i="9"/>
  <c r="Z10" i="24" s="1"/>
  <c r="GV27" i="9"/>
  <c r="Y10" i="24" s="1"/>
  <c r="V75" i="26"/>
  <c r="FK23" i="9"/>
  <c r="V31" i="24"/>
  <c r="HN26" i="9"/>
  <c r="HL26" i="9" s="1"/>
  <c r="HK26" i="9"/>
  <c r="HI26" i="9" s="1"/>
  <c r="HH26" i="9"/>
  <c r="HF26" i="9" s="1"/>
  <c r="HE26" i="9"/>
  <c r="HC26" i="9" s="1"/>
  <c r="AD45" i="23"/>
  <c r="GQ62" i="9"/>
  <c r="R45" i="23" s="1"/>
  <c r="U35" i="25"/>
  <c r="FH52" i="9"/>
  <c r="GJ39" i="9"/>
  <c r="GH39" i="9" s="1"/>
  <c r="EZ39" i="9"/>
  <c r="GM39" i="9"/>
  <c r="GK39" i="9" s="1"/>
  <c r="GS39" i="9"/>
  <c r="GQ39" i="9" s="1"/>
  <c r="GP39" i="9"/>
  <c r="GN39" i="9" s="1"/>
  <c r="I3" i="28"/>
  <c r="I25" i="28"/>
  <c r="I3" i="27"/>
  <c r="J57" i="28"/>
  <c r="J17" i="28"/>
  <c r="FB73" i="9"/>
  <c r="T15" i="24"/>
  <c r="FE52" i="9"/>
  <c r="U71" i="25"/>
  <c r="FH49" i="9"/>
  <c r="V67" i="25"/>
  <c r="FH64" i="9"/>
  <c r="X71" i="24"/>
  <c r="AB45" i="22"/>
  <c r="GY54" i="9"/>
  <c r="Z71" i="24" s="1"/>
  <c r="GV54" i="9"/>
  <c r="HB54" i="9"/>
  <c r="AA71" i="24" s="1"/>
  <c r="X70" i="25"/>
  <c r="L89" i="28"/>
  <c r="V34" i="23"/>
  <c r="FB45" i="9"/>
  <c r="HY26" i="9"/>
  <c r="T10" i="26"/>
  <c r="FK12" i="9"/>
  <c r="X43" i="25"/>
  <c r="I13" i="28"/>
  <c r="I7" i="28"/>
  <c r="I15" i="28"/>
  <c r="H24" i="28"/>
  <c r="HY22" i="9"/>
  <c r="K24" i="27" s="1"/>
  <c r="U29" i="26"/>
  <c r="U25" i="26"/>
  <c r="K32" i="28"/>
  <c r="AA103" i="22"/>
  <c r="Z102" i="23"/>
  <c r="GP143" i="9"/>
  <c r="EZ143" i="9"/>
  <c r="GJ143" i="9"/>
  <c r="AA102" i="23" s="1"/>
  <c r="GS143" i="9"/>
  <c r="AD102" i="23" s="1"/>
  <c r="GM143" i="9"/>
  <c r="AB102" i="23" s="1"/>
  <c r="V83" i="24"/>
  <c r="FE105" i="9"/>
  <c r="X14" i="24"/>
  <c r="AB17" i="22"/>
  <c r="GY84" i="9"/>
  <c r="GV84" i="9"/>
  <c r="Y14" i="24" s="1"/>
  <c r="HB84" i="9"/>
  <c r="X48" i="26"/>
  <c r="AD50" i="22"/>
  <c r="HW65" i="9"/>
  <c r="AA48" i="26" s="1"/>
  <c r="HT65" i="9"/>
  <c r="Z48" i="26" s="1"/>
  <c r="HQ65" i="9"/>
  <c r="Y48" i="26" s="1"/>
  <c r="T106" i="26"/>
  <c r="FK145" i="9"/>
  <c r="W91" i="23"/>
  <c r="U100" i="23"/>
  <c r="H16" i="28"/>
  <c r="HY94" i="9"/>
  <c r="J16" i="27" s="1"/>
  <c r="K63" i="28"/>
  <c r="Z98" i="25"/>
  <c r="AC75" i="22"/>
  <c r="HK140" i="9"/>
  <c r="HH140" i="9"/>
  <c r="AB98" i="25" s="1"/>
  <c r="HN140" i="9"/>
  <c r="HE140" i="9"/>
  <c r="I106" i="28"/>
  <c r="HY145" i="9"/>
  <c r="J106" i="27" s="1"/>
  <c r="Z84" i="23"/>
  <c r="AA83" i="22"/>
  <c r="GM132" i="9"/>
  <c r="AB84" i="23" s="1"/>
  <c r="GS132" i="9"/>
  <c r="GJ132" i="9"/>
  <c r="EZ132" i="9"/>
  <c r="GP132" i="9"/>
  <c r="AC84" i="23" s="1"/>
  <c r="V24" i="25"/>
  <c r="FB114" i="9"/>
  <c r="X84" i="24"/>
  <c r="AB82" i="22"/>
  <c r="GY108" i="9"/>
  <c r="GV108" i="9"/>
  <c r="HB108" i="9"/>
  <c r="H102" i="28"/>
  <c r="HY134" i="9"/>
  <c r="L102" i="27" s="1"/>
  <c r="T82" i="26"/>
  <c r="FK132" i="9"/>
  <c r="I76" i="28"/>
  <c r="X32" i="23"/>
  <c r="W96" i="25"/>
  <c r="GV130" i="9"/>
  <c r="GT130" i="9" s="1"/>
  <c r="GY130" i="9"/>
  <c r="GW130" i="9" s="1"/>
  <c r="HB130" i="9"/>
  <c r="GZ130" i="9" s="1"/>
  <c r="W58" i="25"/>
  <c r="HI119" i="9"/>
  <c r="Q58" i="25" s="1"/>
  <c r="U19" i="25"/>
  <c r="FH94" i="9"/>
  <c r="FB149" i="9"/>
  <c r="U49" i="24"/>
  <c r="L71" i="28"/>
  <c r="U82" i="25"/>
  <c r="FH137" i="9"/>
  <c r="V61" i="25"/>
  <c r="U65" i="24"/>
  <c r="GV85" i="9"/>
  <c r="GT85" i="9" s="1"/>
  <c r="HB85" i="9"/>
  <c r="GZ85" i="9" s="1"/>
  <c r="GY85" i="9"/>
  <c r="GW85" i="9" s="1"/>
  <c r="L60" i="28"/>
  <c r="Z86" i="23"/>
  <c r="AA85" i="22"/>
  <c r="GJ121" i="9"/>
  <c r="EZ121" i="9"/>
  <c r="GP121" i="9"/>
  <c r="GM121" i="9"/>
  <c r="GS121" i="9"/>
  <c r="T92" i="26"/>
  <c r="FK118" i="9"/>
  <c r="K28" i="28"/>
  <c r="X43" i="26"/>
  <c r="AD62" i="22"/>
  <c r="HQ150" i="9"/>
  <c r="HW150" i="9"/>
  <c r="AA43" i="26" s="1"/>
  <c r="HT150" i="9"/>
  <c r="HE95" i="9"/>
  <c r="HC95" i="9" s="1"/>
  <c r="HH95" i="9"/>
  <c r="HF95" i="9" s="1"/>
  <c r="HN95" i="9"/>
  <c r="HL95" i="9" s="1"/>
  <c r="HK95" i="9"/>
  <c r="HI95" i="9" s="1"/>
  <c r="U29" i="25"/>
  <c r="FH73" i="9"/>
  <c r="U101" i="25"/>
  <c r="FH143" i="9"/>
  <c r="X29" i="25"/>
  <c r="T101" i="24"/>
  <c r="FE146" i="9"/>
  <c r="J96" i="28"/>
  <c r="W40" i="25"/>
  <c r="GI139" i="9"/>
  <c r="GY112" i="9"/>
  <c r="GW112" i="9" s="1"/>
  <c r="GV112" i="9"/>
  <c r="GT112" i="9" s="1"/>
  <c r="EZ112" i="9"/>
  <c r="HB112" i="9"/>
  <c r="GZ112" i="9" s="1"/>
  <c r="H43" i="28"/>
  <c r="HY50" i="9"/>
  <c r="I43" i="27" s="1"/>
  <c r="Z69" i="25"/>
  <c r="AC33" i="22"/>
  <c r="HH45" i="9"/>
  <c r="HK45" i="9"/>
  <c r="AC69" i="25" s="1"/>
  <c r="HN45" i="9"/>
  <c r="HE45" i="9"/>
  <c r="AA69" i="25" s="1"/>
  <c r="X71" i="23"/>
  <c r="V38" i="24"/>
  <c r="Y90" i="9"/>
  <c r="HG90" i="9" s="1"/>
  <c r="T39" i="24"/>
  <c r="GT79" i="9"/>
  <c r="O39" i="24" s="1"/>
  <c r="FE79" i="9"/>
  <c r="V21" i="24"/>
  <c r="V57" i="23"/>
  <c r="FB43" i="9"/>
  <c r="W55" i="25"/>
  <c r="I5" i="28"/>
  <c r="T30" i="26"/>
  <c r="FK46" i="9"/>
  <c r="EZ90" i="9"/>
  <c r="J68" i="28"/>
  <c r="X10" i="26"/>
  <c r="AD11" i="22"/>
  <c r="HQ12" i="9"/>
  <c r="HO12" i="9" s="1"/>
  <c r="O10" i="26" s="1"/>
  <c r="HW12" i="9"/>
  <c r="HT12" i="9"/>
  <c r="Z10" i="26" s="1"/>
  <c r="L61" i="28"/>
  <c r="HY43" i="9"/>
  <c r="L61" i="27" s="1"/>
  <c r="X64" i="23"/>
  <c r="U3" i="24"/>
  <c r="U46" i="24"/>
  <c r="L17" i="28"/>
  <c r="X67" i="25"/>
  <c r="U89" i="23"/>
  <c r="FB47" i="9"/>
  <c r="L7" i="28"/>
  <c r="V35" i="23"/>
  <c r="X20" i="26"/>
  <c r="AD20" i="22"/>
  <c r="HT56" i="9"/>
  <c r="Z20" i="26" s="1"/>
  <c r="HQ56" i="9"/>
  <c r="Y20" i="26" s="1"/>
  <c r="HW56" i="9"/>
  <c r="AA20" i="26" s="1"/>
  <c r="U70" i="25"/>
  <c r="FH50" i="9"/>
  <c r="T10" i="24"/>
  <c r="FE27" i="9"/>
  <c r="K26" i="28"/>
  <c r="U16" i="24"/>
  <c r="GR9" i="9"/>
  <c r="GS38" i="9"/>
  <c r="GQ38" i="9" s="1"/>
  <c r="GJ38" i="9"/>
  <c r="GH38" i="9" s="1"/>
  <c r="GP38" i="9"/>
  <c r="GN38" i="9" s="1"/>
  <c r="GM38" i="9"/>
  <c r="GK38" i="9" s="1"/>
  <c r="EZ38" i="9"/>
  <c r="H65" i="28"/>
  <c r="HY17" i="9"/>
  <c r="K65" i="27" s="1"/>
  <c r="V23" i="26"/>
  <c r="V3" i="26"/>
  <c r="H15" i="28"/>
  <c r="HY27" i="9"/>
  <c r="J15" i="27" s="1"/>
  <c r="FE38" i="9"/>
  <c r="FD38" i="9" s="1"/>
  <c r="V40" i="24"/>
  <c r="Z13" i="25"/>
  <c r="AC22" i="22"/>
  <c r="HE13" i="9"/>
  <c r="HN13" i="9"/>
  <c r="AD13" i="25" s="1"/>
  <c r="HK13" i="9"/>
  <c r="AC13" i="25" s="1"/>
  <c r="HH13" i="9"/>
  <c r="H17" i="28"/>
  <c r="HY29" i="9"/>
  <c r="I17" i="27" s="1"/>
  <c r="T56" i="26"/>
  <c r="FK70" i="9"/>
  <c r="Z36" i="23"/>
  <c r="AA37" i="22"/>
  <c r="GM59" i="9"/>
  <c r="GJ59" i="9"/>
  <c r="EZ59" i="9"/>
  <c r="GS59" i="9"/>
  <c r="AD36" i="23" s="1"/>
  <c r="GP59" i="9"/>
  <c r="AC36" i="23" s="1"/>
  <c r="V61" i="26"/>
  <c r="H89" i="28"/>
  <c r="HY47" i="9"/>
  <c r="I89" i="27" s="1"/>
  <c r="L21" i="28"/>
  <c r="V26" i="26"/>
  <c r="Z6" i="25"/>
  <c r="AC11" i="22"/>
  <c r="HE12" i="9"/>
  <c r="HN12" i="9"/>
  <c r="HK12" i="9"/>
  <c r="AC6" i="25" s="1"/>
  <c r="HH12" i="9"/>
  <c r="I68" i="28"/>
  <c r="J69" i="28"/>
  <c r="K49" i="28"/>
  <c r="V30" i="23"/>
  <c r="FB19" i="9"/>
  <c r="X34" i="23"/>
  <c r="GY69" i="9"/>
  <c r="GW69" i="9" s="1"/>
  <c r="HB69" i="9"/>
  <c r="GZ69" i="9" s="1"/>
  <c r="GV69" i="9"/>
  <c r="GT69" i="9" s="1"/>
  <c r="V37" i="24"/>
  <c r="K4" i="28"/>
  <c r="K69" i="28"/>
  <c r="V73" i="24"/>
  <c r="T5" i="26"/>
  <c r="FK58" i="9"/>
  <c r="T26" i="24"/>
  <c r="FE49" i="9"/>
  <c r="U17" i="26"/>
  <c r="U33" i="24"/>
  <c r="GW23" i="9"/>
  <c r="P33" i="24" s="1"/>
  <c r="V50" i="26"/>
  <c r="X32" i="25"/>
  <c r="J45" i="28"/>
  <c r="W32" i="25"/>
  <c r="H21" i="28"/>
  <c r="HY24" i="9"/>
  <c r="L21" i="27" s="1"/>
  <c r="K46" i="28"/>
  <c r="HQ55" i="9"/>
  <c r="HO55" i="9" s="1"/>
  <c r="HW55" i="9"/>
  <c r="HU55" i="9" s="1"/>
  <c r="HT55" i="9"/>
  <c r="HR55" i="9" s="1"/>
  <c r="X78" i="24"/>
  <c r="AB63" i="22"/>
  <c r="HB41" i="9"/>
  <c r="AA78" i="24" s="1"/>
  <c r="GY41" i="9"/>
  <c r="Z78" i="24" s="1"/>
  <c r="GV41" i="9"/>
  <c r="Y78" i="24" s="1"/>
  <c r="EZ41" i="9"/>
  <c r="FK34" i="9"/>
  <c r="FJ34" i="9" s="1"/>
  <c r="J24" i="28"/>
  <c r="HB126" i="9"/>
  <c r="GZ126" i="9" s="1"/>
  <c r="GY126" i="9"/>
  <c r="GW126" i="9" s="1"/>
  <c r="GV126" i="9"/>
  <c r="GT126" i="9" s="1"/>
  <c r="W37" i="25"/>
  <c r="L51" i="28"/>
  <c r="T24" i="24"/>
  <c r="FE50" i="9"/>
  <c r="X90" i="26"/>
  <c r="AD88" i="22"/>
  <c r="HW47" i="9"/>
  <c r="HT47" i="9"/>
  <c r="HQ47" i="9"/>
  <c r="W47" i="25"/>
  <c r="X74" i="24"/>
  <c r="AB68" i="22"/>
  <c r="GY64" i="9"/>
  <c r="HB64" i="9"/>
  <c r="GV64" i="9"/>
  <c r="Y74" i="24" s="1"/>
  <c r="HK32" i="9"/>
  <c r="HI32" i="9" s="1"/>
  <c r="HN32" i="9"/>
  <c r="HL32" i="9" s="1"/>
  <c r="HH32" i="9"/>
  <c r="HF32" i="9" s="1"/>
  <c r="HE32" i="9"/>
  <c r="HC32" i="9" s="1"/>
  <c r="X22" i="26"/>
  <c r="AD23" i="22"/>
  <c r="HW14" i="9"/>
  <c r="HT14" i="9"/>
  <c r="HQ14" i="9"/>
  <c r="X11" i="26"/>
  <c r="AD12" i="22"/>
  <c r="HT76" i="9"/>
  <c r="Z11" i="26" s="1"/>
  <c r="HW76" i="9"/>
  <c r="AA11" i="26" s="1"/>
  <c r="HQ76" i="9"/>
  <c r="Y11" i="26" s="1"/>
  <c r="X29" i="23"/>
  <c r="W14" i="23"/>
  <c r="K94" i="28"/>
  <c r="W35" i="23"/>
  <c r="H58" i="28"/>
  <c r="HY61" i="9"/>
  <c r="L58" i="27" s="1"/>
  <c r="V17" i="26"/>
  <c r="AC3" i="25"/>
  <c r="GX31" i="9"/>
  <c r="FK36" i="9"/>
  <c r="FJ36" i="9" s="1"/>
  <c r="L45" i="28"/>
  <c r="T48" i="26"/>
  <c r="FK65" i="9"/>
  <c r="U32" i="25"/>
  <c r="FH54" i="9"/>
  <c r="FE23" i="9"/>
  <c r="V64" i="23"/>
  <c r="X47" i="25"/>
  <c r="FH33" i="9"/>
  <c r="FG33" i="9" s="1"/>
  <c r="HY126" i="9"/>
  <c r="V56" i="23"/>
  <c r="K51" i="28"/>
  <c r="V24" i="24"/>
  <c r="W18" i="25"/>
  <c r="K65" i="28"/>
  <c r="W67" i="23"/>
  <c r="X34" i="24"/>
  <c r="AB58" i="22"/>
  <c r="HB43" i="9"/>
  <c r="GY43" i="9"/>
  <c r="Z34" i="24" s="1"/>
  <c r="GV43" i="9"/>
  <c r="GM36" i="9"/>
  <c r="GK36" i="9" s="1"/>
  <c r="GS36" i="9"/>
  <c r="GQ36" i="9" s="1"/>
  <c r="GP36" i="9"/>
  <c r="GN36" i="9" s="1"/>
  <c r="EZ36" i="9"/>
  <c r="GJ36" i="9"/>
  <c r="GH36" i="9" s="1"/>
  <c r="X14" i="23"/>
  <c r="V22" i="23"/>
  <c r="H20" i="28"/>
  <c r="HY11" i="9"/>
  <c r="K20" i="27" s="1"/>
  <c r="V37" i="25"/>
  <c r="H19" i="28"/>
  <c r="HY76" i="9"/>
  <c r="K19" i="27" s="1"/>
  <c r="V29" i="23"/>
  <c r="T7" i="14"/>
  <c r="HT34" i="9"/>
  <c r="HR34" i="9" s="1"/>
  <c r="HW34" i="9"/>
  <c r="HU34" i="9" s="1"/>
  <c r="HQ34" i="9"/>
  <c r="HO34" i="9" s="1"/>
  <c r="GV26" i="9"/>
  <c r="GT26" i="9" s="1"/>
  <c r="HB26" i="9"/>
  <c r="GZ26" i="9" s="1"/>
  <c r="GY26" i="9"/>
  <c r="GW26" i="9" s="1"/>
  <c r="GS57" i="9"/>
  <c r="GQ57" i="9" s="1"/>
  <c r="EZ57" i="9"/>
  <c r="GP57" i="9"/>
  <c r="GN57" i="9" s="1"/>
  <c r="GM57" i="9"/>
  <c r="GK57" i="9" s="1"/>
  <c r="GJ57" i="9"/>
  <c r="GH57" i="9" s="1"/>
  <c r="J34" i="28"/>
  <c r="J58" i="28"/>
  <c r="HJ31" i="9"/>
  <c r="T23" i="12"/>
  <c r="U23" i="12" s="1"/>
  <c r="DX29" i="9"/>
  <c r="FF29" i="9"/>
  <c r="DY29" i="9"/>
  <c r="DW29" i="9"/>
  <c r="HY9" i="9"/>
  <c r="HY20" i="9"/>
  <c r="Z31" i="25"/>
  <c r="AC5" i="22"/>
  <c r="HE58" i="9"/>
  <c r="HH58" i="9"/>
  <c r="AB31" i="25" s="1"/>
  <c r="HN58" i="9"/>
  <c r="HK58" i="9"/>
  <c r="AC31" i="25" s="1"/>
  <c r="Z74" i="25"/>
  <c r="AC46" i="22"/>
  <c r="HK51" i="9"/>
  <c r="AC74" i="25" s="1"/>
  <c r="HN51" i="9"/>
  <c r="AD74" i="25" s="1"/>
  <c r="HE51" i="9"/>
  <c r="AA74" i="25" s="1"/>
  <c r="HH51" i="9"/>
  <c r="AB74" i="25" s="1"/>
  <c r="H45" i="28"/>
  <c r="HY116" i="9"/>
  <c r="K45" i="27" s="1"/>
  <c r="V16" i="26"/>
  <c r="J48" i="28"/>
  <c r="V24" i="23"/>
  <c r="K53" i="28"/>
  <c r="T16" i="24"/>
  <c r="FE13" i="9"/>
  <c r="J20" i="28"/>
  <c r="I31" i="28"/>
  <c r="X43" i="23"/>
  <c r="X31" i="23"/>
  <c r="I20" i="28"/>
  <c r="Z47" i="25"/>
  <c r="AC63" i="22"/>
  <c r="HH41" i="9"/>
  <c r="HE41" i="9"/>
  <c r="AA47" i="25" s="1"/>
  <c r="HN41" i="9"/>
  <c r="AD47" i="25" s="1"/>
  <c r="HK41" i="9"/>
  <c r="AC47" i="25" s="1"/>
  <c r="X49" i="23"/>
  <c r="GQ63" i="9"/>
  <c r="R49" i="23" s="1"/>
  <c r="J33" i="28"/>
  <c r="I57" i="28"/>
  <c r="H46" i="28"/>
  <c r="HY18" i="9"/>
  <c r="J46" i="27" s="1"/>
  <c r="U24" i="23"/>
  <c r="FB11" i="9"/>
  <c r="W27" i="23"/>
  <c r="W3" i="23"/>
  <c r="X37" i="25"/>
  <c r="U11" i="26"/>
  <c r="K31" i="28"/>
  <c r="J89" i="28"/>
  <c r="H34" i="28"/>
  <c r="HY66" i="9"/>
  <c r="K34" i="27" s="1"/>
  <c r="U46" i="26"/>
  <c r="Z23" i="12"/>
  <c r="AA23" i="12" s="1"/>
  <c r="ER29" i="9"/>
  <c r="ES29" i="9"/>
  <c r="EQ29" i="9"/>
  <c r="FL29" i="9"/>
  <c r="V65" i="25"/>
  <c r="HO20" i="9"/>
  <c r="FK20" i="9"/>
  <c r="FJ20" i="9" s="1"/>
  <c r="T18" i="24"/>
  <c r="FE14" i="9"/>
  <c r="V31" i="25"/>
  <c r="U74" i="25"/>
  <c r="FH51" i="9"/>
  <c r="Z46" i="23"/>
  <c r="AA56" i="22"/>
  <c r="GS116" i="9"/>
  <c r="AD46" i="23" s="1"/>
  <c r="EZ116" i="9"/>
  <c r="GP116" i="9"/>
  <c r="AC46" i="23" s="1"/>
  <c r="GJ116" i="9"/>
  <c r="AA46" i="23" s="1"/>
  <c r="GM116" i="9"/>
  <c r="AB46" i="23" s="1"/>
  <c r="X16" i="26"/>
  <c r="AD17" i="22"/>
  <c r="HQ84" i="9"/>
  <c r="Y16" i="26" s="1"/>
  <c r="HW84" i="9"/>
  <c r="AA16" i="26" s="1"/>
  <c r="HT84" i="9"/>
  <c r="Z16" i="26" s="1"/>
  <c r="V48" i="26"/>
  <c r="T73" i="26"/>
  <c r="FK17" i="9"/>
  <c r="W13" i="25"/>
  <c r="L57" i="28"/>
  <c r="X22" i="23"/>
  <c r="J46" i="28"/>
  <c r="FE126" i="9"/>
  <c r="FD126" i="9" s="1"/>
  <c r="I51" i="28"/>
  <c r="U26" i="25"/>
  <c r="FH35" i="9"/>
  <c r="GS25" i="9"/>
  <c r="GQ25" i="9" s="1"/>
  <c r="GP25" i="9"/>
  <c r="GN25" i="9" s="1"/>
  <c r="GM25" i="9"/>
  <c r="GK25" i="9" s="1"/>
  <c r="GJ25" i="9"/>
  <c r="GH25" i="9" s="1"/>
  <c r="EZ25" i="9"/>
  <c r="Z30" i="23"/>
  <c r="AA28" i="22"/>
  <c r="GP19" i="9"/>
  <c r="GM19" i="9"/>
  <c r="AB30" i="23" s="1"/>
  <c r="GJ19" i="9"/>
  <c r="GS19" i="9"/>
  <c r="EZ19" i="9"/>
  <c r="V69" i="23"/>
  <c r="Z29" i="9"/>
  <c r="HM29" i="9" s="1"/>
  <c r="H53" i="28"/>
  <c r="HY42" i="9"/>
  <c r="J53" i="27" s="1"/>
  <c r="X69" i="26"/>
  <c r="AD47" i="22"/>
  <c r="HT31" i="9"/>
  <c r="Z69" i="26" s="1"/>
  <c r="HQ31" i="9"/>
  <c r="Y69" i="26" s="1"/>
  <c r="HW31" i="9"/>
  <c r="AA69" i="26" s="1"/>
  <c r="U64" i="23"/>
  <c r="FB18" i="9"/>
  <c r="U37" i="25"/>
  <c r="FH62" i="9"/>
  <c r="X61" i="26"/>
  <c r="AD64" i="22"/>
  <c r="HW53" i="9"/>
  <c r="AA61" i="26" s="1"/>
  <c r="HT53" i="9"/>
  <c r="Z61" i="26" s="1"/>
  <c r="HQ53" i="9"/>
  <c r="T11" i="26"/>
  <c r="FK76" i="9"/>
  <c r="U29" i="23"/>
  <c r="FB68" i="9"/>
  <c r="V49" i="23"/>
  <c r="I33" i="28"/>
  <c r="L27" i="28"/>
  <c r="FE26" i="9"/>
  <c r="FD26" i="9" s="1"/>
  <c r="I65" i="28"/>
  <c r="K34" i="28"/>
  <c r="I58" i="28"/>
  <c r="HS28" i="9"/>
  <c r="S49" i="17"/>
  <c r="Q23" i="12"/>
  <c r="R23" i="12" s="1"/>
  <c r="N23" i="12"/>
  <c r="O23" i="12" s="1"/>
  <c r="DP29" i="9"/>
  <c r="DO29" i="9"/>
  <c r="DN29" i="9"/>
  <c r="DM29" i="9"/>
  <c r="FC29" i="9"/>
  <c r="BI29" i="9"/>
  <c r="FE25" i="9"/>
  <c r="FD25" i="9" s="1"/>
  <c r="HD31" i="9"/>
  <c r="U71" i="24"/>
  <c r="L55" i="28"/>
  <c r="X31" i="24"/>
  <c r="AB57" i="22"/>
  <c r="HB18" i="9"/>
  <c r="AA31" i="24" s="1"/>
  <c r="GY18" i="9"/>
  <c r="Z31" i="24" s="1"/>
  <c r="GV18" i="9"/>
  <c r="Y31" i="24" s="1"/>
  <c r="GO56" i="9"/>
  <c r="J51" i="28"/>
  <c r="K57" i="28"/>
  <c r="U51" i="24"/>
  <c r="Z37" i="25"/>
  <c r="AC48" i="22"/>
  <c r="HE62" i="9"/>
  <c r="AA37" i="25" s="1"/>
  <c r="HN62" i="9"/>
  <c r="AD37" i="25" s="1"/>
  <c r="HK62" i="9"/>
  <c r="AC37" i="25" s="1"/>
  <c r="HH62" i="9"/>
  <c r="AB37" i="25" s="1"/>
  <c r="K18" i="28"/>
  <c r="L59" i="28"/>
  <c r="GY88" i="9"/>
  <c r="HB88" i="9"/>
  <c r="GV88" i="9"/>
  <c r="V11" i="26"/>
  <c r="L31" i="28"/>
  <c r="T44" i="26"/>
  <c r="FK62" i="9"/>
  <c r="V31" i="23"/>
  <c r="HY25" i="9"/>
  <c r="I94" i="28"/>
  <c r="U35" i="23"/>
  <c r="FB66" i="9"/>
  <c r="W23" i="12"/>
  <c r="X23" i="12" s="1"/>
  <c r="FI29" i="9"/>
  <c r="EJ29" i="9"/>
  <c r="EI29" i="9"/>
  <c r="EH29" i="9"/>
  <c r="EG29" i="9"/>
  <c r="Z4" i="23"/>
  <c r="AA4" i="22"/>
  <c r="GS75" i="9"/>
  <c r="AD4" i="23" s="1"/>
  <c r="GM75" i="9"/>
  <c r="AB4" i="23" s="1"/>
  <c r="GJ75" i="9"/>
  <c r="AA4" i="23" s="1"/>
  <c r="EZ75" i="9"/>
  <c r="GP75" i="9"/>
  <c r="H69" i="28"/>
  <c r="HY64" i="9"/>
  <c r="I69" i="27" s="1"/>
  <c r="U88" i="24"/>
  <c r="W59" i="23"/>
  <c r="H33" i="28"/>
  <c r="HY46" i="9"/>
  <c r="K33" i="27" s="1"/>
  <c r="V46" i="23"/>
  <c r="L22" i="28"/>
  <c r="X57" i="26"/>
  <c r="AD59" i="22"/>
  <c r="HQ61" i="9"/>
  <c r="Y57" i="26" s="1"/>
  <c r="HW61" i="9"/>
  <c r="HT61" i="9"/>
  <c r="Z57" i="26" s="1"/>
  <c r="T6" i="24"/>
  <c r="FE58" i="9"/>
  <c r="U38" i="26"/>
  <c r="HY36" i="9"/>
  <c r="Z53" i="25"/>
  <c r="AC72" i="22"/>
  <c r="HH17" i="9"/>
  <c r="AB53" i="25" s="1"/>
  <c r="HK17" i="9"/>
  <c r="AC53" i="25" s="1"/>
  <c r="HE17" i="9"/>
  <c r="AA53" i="25" s="1"/>
  <c r="HN17" i="9"/>
  <c r="AD53" i="25" s="1"/>
  <c r="V71" i="24"/>
  <c r="I18" i="28"/>
  <c r="K55" i="28"/>
  <c r="Z60" i="23"/>
  <c r="AA59" i="22"/>
  <c r="GM61" i="9"/>
  <c r="GJ61" i="9"/>
  <c r="EZ61" i="9"/>
  <c r="GS61" i="9"/>
  <c r="GP61" i="9"/>
  <c r="AC60" i="23" s="1"/>
  <c r="W31" i="23"/>
  <c r="X22" i="24"/>
  <c r="AB47" i="22"/>
  <c r="GY31" i="9"/>
  <c r="Z22" i="24" s="1"/>
  <c r="HB31" i="9"/>
  <c r="AA22" i="24" s="1"/>
  <c r="GV31" i="9"/>
  <c r="Y22" i="24" s="1"/>
  <c r="W29" i="23"/>
  <c r="V44" i="26"/>
  <c r="J18" i="28"/>
  <c r="L94" i="28"/>
  <c r="Z39" i="25"/>
  <c r="AC51" i="22"/>
  <c r="HE63" i="9"/>
  <c r="AA39" i="25" s="1"/>
  <c r="HN63" i="9"/>
  <c r="AD39" i="25" s="1"/>
  <c r="HK63" i="9"/>
  <c r="AC39" i="25" s="1"/>
  <c r="HH63" i="9"/>
  <c r="AB39" i="25" s="1"/>
  <c r="FK26" i="9"/>
  <c r="FJ26" i="9" s="1"/>
  <c r="EZ26" i="9"/>
  <c r="L23" i="12"/>
  <c r="K23" i="12"/>
  <c r="X4" i="23"/>
  <c r="K58" i="28"/>
  <c r="V74" i="25"/>
  <c r="T26" i="26"/>
  <c r="FK22" i="9"/>
  <c r="Z54" i="25"/>
  <c r="AC57" i="22"/>
  <c r="HE18" i="9"/>
  <c r="HH18" i="9"/>
  <c r="AB54" i="25" s="1"/>
  <c r="HN18" i="9"/>
  <c r="HK18" i="9"/>
  <c r="AC54" i="25" s="1"/>
  <c r="K7" i="28"/>
  <c r="T88" i="24"/>
  <c r="FE116" i="9"/>
  <c r="X59" i="23"/>
  <c r="L33" i="28"/>
  <c r="HE34" i="9"/>
  <c r="HC34" i="9" s="1"/>
  <c r="HN34" i="9"/>
  <c r="HL34" i="9" s="1"/>
  <c r="HK34" i="9"/>
  <c r="HI34" i="9" s="1"/>
  <c r="HH34" i="9"/>
  <c r="HF34" i="9" s="1"/>
  <c r="K45" i="28"/>
  <c r="T16" i="26"/>
  <c r="FK84" i="9"/>
  <c r="T31" i="26"/>
  <c r="FK68" i="9"/>
  <c r="V38" i="26"/>
  <c r="L53" i="28"/>
  <c r="T33" i="26"/>
  <c r="FK35" i="9"/>
  <c r="L39" i="28"/>
  <c r="Z3" i="26"/>
  <c r="W44" i="23"/>
  <c r="FB38" i="9"/>
  <c r="H18" i="28"/>
  <c r="HY56" i="9"/>
  <c r="L18" i="27" s="1"/>
  <c r="U45" i="24"/>
  <c r="HK55" i="9"/>
  <c r="HI55" i="9" s="1"/>
  <c r="HN55" i="9"/>
  <c r="HL55" i="9" s="1"/>
  <c r="HH55" i="9"/>
  <c r="HF55" i="9" s="1"/>
  <c r="HE55" i="9"/>
  <c r="HC55" i="9" s="1"/>
  <c r="W6" i="25"/>
  <c r="EZ58" i="9"/>
  <c r="U7" i="14"/>
  <c r="V63" i="24"/>
  <c r="T53" i="24"/>
  <c r="FE12" i="9"/>
  <c r="GT12" i="9"/>
  <c r="O53" i="24" s="1"/>
  <c r="HA56" i="9"/>
  <c r="I29" i="28"/>
  <c r="HY52" i="9"/>
  <c r="I29" i="27" s="1"/>
  <c r="U47" i="25"/>
  <c r="FH41" i="9"/>
  <c r="W33" i="23"/>
  <c r="C9" i="35"/>
  <c r="C5" i="33"/>
  <c r="C49" i="32"/>
  <c r="C9" i="36"/>
  <c r="C7" i="28"/>
  <c r="C49" i="31"/>
  <c r="C5" i="34"/>
  <c r="C7" i="30"/>
  <c r="C7" i="27"/>
  <c r="C80" i="29"/>
  <c r="D10" i="26"/>
  <c r="D6" i="25"/>
  <c r="D53" i="24"/>
  <c r="D10" i="23"/>
  <c r="D11" i="22"/>
  <c r="C53" i="17"/>
  <c r="D11" i="20"/>
  <c r="C11" i="12"/>
  <c r="A13" i="9"/>
  <c r="GX56" i="9"/>
  <c r="W41" i="25"/>
  <c r="T25" i="24"/>
  <c r="FE15" i="9"/>
  <c r="W24" i="23"/>
  <c r="J4" i="28"/>
  <c r="X75" i="24"/>
  <c r="AB32" i="22"/>
  <c r="HB68" i="9"/>
  <c r="AA75" i="24" s="1"/>
  <c r="GY68" i="9"/>
  <c r="Z75" i="24" s="1"/>
  <c r="GV68" i="9"/>
  <c r="W14" i="25"/>
  <c r="HW26" i="9"/>
  <c r="HU26" i="9" s="1"/>
  <c r="HT26" i="9"/>
  <c r="HR26" i="9" s="1"/>
  <c r="HQ26" i="9"/>
  <c r="HO26" i="9" s="1"/>
  <c r="V88" i="24"/>
  <c r="J83" i="28"/>
  <c r="I34" i="28"/>
  <c r="X46" i="23"/>
  <c r="U16" i="26"/>
  <c r="HY34" i="9"/>
  <c r="I53" i="28"/>
  <c r="U33" i="26"/>
  <c r="J39" i="28"/>
  <c r="L70" i="28"/>
  <c r="V45" i="24"/>
  <c r="Z35" i="23"/>
  <c r="AA35" i="22"/>
  <c r="GS66" i="9"/>
  <c r="AD35" i="23" s="1"/>
  <c r="EZ66" i="9"/>
  <c r="GJ66" i="9"/>
  <c r="AA35" i="23" s="1"/>
  <c r="GP66" i="9"/>
  <c r="AC35" i="23" s="1"/>
  <c r="GM66" i="9"/>
  <c r="AB35" i="23" s="1"/>
  <c r="I39" i="28"/>
  <c r="Z73" i="23"/>
  <c r="AA66" i="22"/>
  <c r="GP23" i="9"/>
  <c r="GS23" i="9"/>
  <c r="AD73" i="23" s="1"/>
  <c r="GM23" i="9"/>
  <c r="AB73" i="23" s="1"/>
  <c r="GJ23" i="9"/>
  <c r="EZ23" i="9"/>
  <c r="I55" i="28"/>
  <c r="T23" i="24"/>
  <c r="FE19" i="9"/>
  <c r="GT19" i="9"/>
  <c r="O23" i="24" s="1"/>
  <c r="HD56" i="9"/>
  <c r="Z35" i="25"/>
  <c r="AC25" i="22"/>
  <c r="HK52" i="9"/>
  <c r="AC35" i="25" s="1"/>
  <c r="HN52" i="9"/>
  <c r="HH52" i="9"/>
  <c r="HE52" i="9"/>
  <c r="AA35" i="25" s="1"/>
  <c r="AB44" i="25"/>
  <c r="HF30" i="9"/>
  <c r="P44" i="25" s="1"/>
  <c r="K59" i="28"/>
  <c r="AD29" i="22"/>
  <c r="X30" i="26"/>
  <c r="HW46" i="9"/>
  <c r="HT46" i="9"/>
  <c r="HQ46" i="9"/>
  <c r="Y30" i="26" s="1"/>
  <c r="FH55" i="9"/>
  <c r="FG55" i="9" s="1"/>
  <c r="V7" i="11"/>
  <c r="FE9" i="9"/>
  <c r="FD9" i="9" s="1"/>
  <c r="FH26" i="9"/>
  <c r="FG26" i="9" s="1"/>
  <c r="W53" i="25"/>
  <c r="K83" i="28"/>
  <c r="H56" i="28"/>
  <c r="HY70" i="9"/>
  <c r="L56" i="27" s="1"/>
  <c r="Z48" i="23"/>
  <c r="AA50" i="22"/>
  <c r="EZ65" i="9"/>
  <c r="GJ65" i="9"/>
  <c r="GS65" i="9"/>
  <c r="GP65" i="9"/>
  <c r="AC48" i="23" s="1"/>
  <c r="GM65" i="9"/>
  <c r="I45" i="28"/>
  <c r="U13" i="24"/>
  <c r="X44" i="23"/>
  <c r="L15" i="28"/>
  <c r="V73" i="23"/>
  <c r="T45" i="24"/>
  <c r="FE73" i="9"/>
  <c r="AA45" i="22"/>
  <c r="Z43" i="23"/>
  <c r="GP54" i="9"/>
  <c r="AC43" i="23" s="1"/>
  <c r="EZ54" i="9"/>
  <c r="GM54" i="9"/>
  <c r="AB43" i="23" s="1"/>
  <c r="GS54" i="9"/>
  <c r="AD43" i="23" s="1"/>
  <c r="GJ54" i="9"/>
  <c r="AA43" i="23" s="1"/>
  <c r="I101" i="28"/>
  <c r="Z30" i="25"/>
  <c r="AC36" i="22"/>
  <c r="HN28" i="9"/>
  <c r="AD30" i="25" s="1"/>
  <c r="HE28" i="9"/>
  <c r="AA30" i="25" s="1"/>
  <c r="HK28" i="9"/>
  <c r="AC30" i="25" s="1"/>
  <c r="HH28" i="9"/>
  <c r="AB30" i="25" s="1"/>
  <c r="Z10" i="23"/>
  <c r="AA11" i="22"/>
  <c r="GP12" i="9"/>
  <c r="GM12" i="9"/>
  <c r="AB10" i="23" s="1"/>
  <c r="GJ12" i="9"/>
  <c r="EZ12" i="9"/>
  <c r="GS12" i="9"/>
  <c r="H101" i="28"/>
  <c r="HY48" i="9"/>
  <c r="L101" i="27" s="1"/>
  <c r="X52" i="26"/>
  <c r="AD52" i="22"/>
  <c r="HT30" i="9"/>
  <c r="HQ30" i="9"/>
  <c r="Y52" i="26" s="1"/>
  <c r="HW30" i="9"/>
  <c r="X29" i="26"/>
  <c r="AD18" i="22"/>
  <c r="HQ24" i="9"/>
  <c r="Y29" i="26" s="1"/>
  <c r="HW24" i="9"/>
  <c r="AA29" i="26" s="1"/>
  <c r="HT24" i="9"/>
  <c r="Z29" i="26" s="1"/>
  <c r="U7" i="10"/>
  <c r="Z28" i="9"/>
  <c r="GL28" i="9" s="1"/>
  <c r="T78" i="24"/>
  <c r="FE41" i="9"/>
  <c r="HG56" i="9"/>
  <c r="W35" i="25"/>
  <c r="W54" i="25"/>
  <c r="V65" i="23"/>
  <c r="GV111" i="9"/>
  <c r="GT111" i="9" s="1"/>
  <c r="GY111" i="9"/>
  <c r="GW111" i="9" s="1"/>
  <c r="HB111" i="9"/>
  <c r="GZ111" i="9" s="1"/>
  <c r="Z48" i="25"/>
  <c r="AC61" i="22"/>
  <c r="HH70" i="9"/>
  <c r="AB48" i="25" s="1"/>
  <c r="HE70" i="9"/>
  <c r="AA48" i="25" s="1"/>
  <c r="HN70" i="9"/>
  <c r="AD48" i="25" s="1"/>
  <c r="HK70" i="9"/>
  <c r="FK27" i="9"/>
  <c r="Z24" i="9"/>
  <c r="HG24" i="9" s="1"/>
  <c r="U53" i="25"/>
  <c r="FH17" i="9"/>
  <c r="L24" i="28"/>
  <c r="V83" i="23"/>
  <c r="I56" i="28"/>
  <c r="W46" i="23"/>
  <c r="I38" i="28"/>
  <c r="W13" i="14"/>
  <c r="W16" i="14"/>
  <c r="W19" i="14"/>
  <c r="W18" i="14"/>
  <c r="W15" i="14"/>
  <c r="W10" i="14"/>
  <c r="W40" i="13"/>
  <c r="W12" i="14"/>
  <c r="W35" i="13"/>
  <c r="W39" i="13"/>
  <c r="W17" i="14"/>
  <c r="W44" i="13"/>
  <c r="W43" i="13"/>
  <c r="W38" i="13"/>
  <c r="W45" i="13"/>
  <c r="W14" i="14"/>
  <c r="W46" i="13"/>
  <c r="W42" i="13"/>
  <c r="W47" i="13"/>
  <c r="W11" i="14"/>
  <c r="W9" i="14"/>
  <c r="W6" i="14"/>
  <c r="W7" i="14" s="1"/>
  <c r="W36" i="13"/>
  <c r="W23" i="13"/>
  <c r="W32" i="13"/>
  <c r="W27" i="13"/>
  <c r="W37" i="13"/>
  <c r="W31" i="13"/>
  <c r="W26" i="13"/>
  <c r="W21" i="13"/>
  <c r="W30" i="13"/>
  <c r="W8" i="14"/>
  <c r="W41" i="13"/>
  <c r="W25" i="13"/>
  <c r="W34" i="13"/>
  <c r="W29" i="13"/>
  <c r="W24" i="13"/>
  <c r="W16" i="13"/>
  <c r="W12" i="13"/>
  <c r="W15" i="13"/>
  <c r="W11" i="13"/>
  <c r="W22" i="13"/>
  <c r="W19" i="13"/>
  <c r="W6" i="13"/>
  <c r="W7" i="13" s="1"/>
  <c r="W14" i="13"/>
  <c r="W10" i="13"/>
  <c r="W33" i="13"/>
  <c r="W18" i="13"/>
  <c r="W9" i="13"/>
  <c r="W20" i="13"/>
  <c r="W13" i="13"/>
  <c r="W28" i="13"/>
  <c r="W17" i="13"/>
  <c r="W20" i="11"/>
  <c r="W18" i="11"/>
  <c r="W16" i="11"/>
  <c r="W14" i="11"/>
  <c r="W12" i="11"/>
  <c r="W10" i="11"/>
  <c r="W8" i="13"/>
  <c r="W19" i="11"/>
  <c r="W17" i="11"/>
  <c r="W15" i="11"/>
  <c r="W13" i="11"/>
  <c r="W11" i="11"/>
  <c r="W9" i="11"/>
  <c r="W40" i="10"/>
  <c r="W38" i="10"/>
  <c r="W36" i="10"/>
  <c r="W34" i="10"/>
  <c r="W32" i="10"/>
  <c r="W30" i="10"/>
  <c r="W28" i="10"/>
  <c r="W42" i="10"/>
  <c r="W41" i="10"/>
  <c r="W39" i="10"/>
  <c r="W37" i="10"/>
  <c r="W35" i="10"/>
  <c r="W8" i="11"/>
  <c r="W31" i="10"/>
  <c r="W27" i="10"/>
  <c r="W25" i="10"/>
  <c r="W23" i="10"/>
  <c r="W21" i="10"/>
  <c r="W19" i="10"/>
  <c r="W17" i="10"/>
  <c r="W15" i="10"/>
  <c r="W13" i="10"/>
  <c r="W29" i="10"/>
  <c r="W33" i="10"/>
  <c r="W26" i="10"/>
  <c r="W24" i="10"/>
  <c r="W22" i="10"/>
  <c r="W20" i="10"/>
  <c r="W18" i="10"/>
  <c r="W16" i="10"/>
  <c r="W10" i="10"/>
  <c r="W11" i="10"/>
  <c r="W12" i="10"/>
  <c r="W14" i="10"/>
  <c r="W9" i="10"/>
  <c r="W8" i="10"/>
  <c r="W6" i="9"/>
  <c r="X21" i="9"/>
  <c r="V70" i="25"/>
  <c r="Z54" i="12"/>
  <c r="AA54" i="12" s="1"/>
  <c r="ER44" i="9"/>
  <c r="ES44" i="9"/>
  <c r="FL44" i="9"/>
  <c r="EQ44" i="9"/>
  <c r="Z14" i="23"/>
  <c r="AA13" i="22"/>
  <c r="GP27" i="9"/>
  <c r="AC14" i="23" s="1"/>
  <c r="GM27" i="9"/>
  <c r="AB14" i="23" s="1"/>
  <c r="GJ27" i="9"/>
  <c r="EZ27" i="9"/>
  <c r="GS27" i="9"/>
  <c r="AD14" i="23" s="1"/>
  <c r="L65" i="28"/>
  <c r="H7" i="28"/>
  <c r="HY12" i="9"/>
  <c r="J7" i="27" s="1"/>
  <c r="X26" i="26"/>
  <c r="AD21" i="22"/>
  <c r="HT22" i="9"/>
  <c r="HQ22" i="9"/>
  <c r="Y26" i="26" s="1"/>
  <c r="HW22" i="9"/>
  <c r="AA26" i="26" s="1"/>
  <c r="U7" i="11"/>
  <c r="V14" i="23"/>
  <c r="HJ56" i="9"/>
  <c r="K17" i="28"/>
  <c r="I70" i="28"/>
  <c r="HY23" i="9"/>
  <c r="L70" i="27" s="1"/>
  <c r="Z64" i="23"/>
  <c r="AA57" i="22"/>
  <c r="GS18" i="9"/>
  <c r="AD64" i="23" s="1"/>
  <c r="EZ18" i="9"/>
  <c r="GP18" i="9"/>
  <c r="AC64" i="23" s="1"/>
  <c r="GM18" i="9"/>
  <c r="AB64" i="23" s="1"/>
  <c r="GJ18" i="9"/>
  <c r="AA64" i="23" s="1"/>
  <c r="FB42" i="9"/>
  <c r="FK10" i="9"/>
  <c r="FJ10" i="9" s="1"/>
  <c r="HY59" i="9"/>
  <c r="J38" i="27" s="1"/>
  <c r="FH20" i="9"/>
  <c r="FG20" i="9" s="1"/>
  <c r="FE20" i="9"/>
  <c r="FD20" i="9" s="1"/>
  <c r="L34" i="28"/>
  <c r="J21" i="28"/>
  <c r="X83" i="23"/>
  <c r="Z59" i="23"/>
  <c r="AA61" i="22"/>
  <c r="GJ70" i="9"/>
  <c r="AA59" i="23" s="1"/>
  <c r="GP70" i="9"/>
  <c r="AC59" i="23" s="1"/>
  <c r="GM70" i="9"/>
  <c r="AB59" i="23" s="1"/>
  <c r="EZ70" i="9"/>
  <c r="GS70" i="9"/>
  <c r="AD59" i="23" s="1"/>
  <c r="T27" i="24"/>
  <c r="FE59" i="9"/>
  <c r="W74" i="25"/>
  <c r="S70" i="17"/>
  <c r="Q54" i="12"/>
  <c r="R54" i="12" s="1"/>
  <c r="N54" i="12"/>
  <c r="O54" i="12" s="1"/>
  <c r="BI44" i="9"/>
  <c r="FC44" i="9"/>
  <c r="DP44" i="9"/>
  <c r="DM44" i="9"/>
  <c r="DO44" i="9"/>
  <c r="DN44" i="9"/>
  <c r="K15" i="28"/>
  <c r="H26" i="28"/>
  <c r="HY19" i="9"/>
  <c r="J26" i="27" s="1"/>
  <c r="U43" i="23"/>
  <c r="FB54" i="9"/>
  <c r="GV34" i="9"/>
  <c r="GT34" i="9" s="1"/>
  <c r="HB34" i="9"/>
  <c r="GZ34" i="9" s="1"/>
  <c r="GY34" i="9"/>
  <c r="GW34" i="9" s="1"/>
  <c r="Z19" i="23"/>
  <c r="AA20" i="22"/>
  <c r="EZ56" i="9"/>
  <c r="GS56" i="9"/>
  <c r="AD19" i="23" s="1"/>
  <c r="GJ56" i="9"/>
  <c r="AA19" i="23" s="1"/>
  <c r="GM56" i="9"/>
  <c r="AB19" i="23" s="1"/>
  <c r="GP56" i="9"/>
  <c r="AC19" i="23" s="1"/>
  <c r="T31" i="24"/>
  <c r="FE18" i="9"/>
  <c r="K56" i="28"/>
  <c r="X102" i="26"/>
  <c r="AD101" i="22"/>
  <c r="HQ48" i="9"/>
  <c r="HT48" i="9"/>
  <c r="Z102" i="26" s="1"/>
  <c r="HW48" i="9"/>
  <c r="X40" i="24"/>
  <c r="AB52" i="22"/>
  <c r="GY30" i="9"/>
  <c r="HB30" i="9"/>
  <c r="AA40" i="24" s="1"/>
  <c r="GV30" i="9"/>
  <c r="Y40" i="24" s="1"/>
  <c r="J70" i="28"/>
  <c r="W47" i="23"/>
  <c r="GN15" i="9"/>
  <c r="Q47" i="23" s="1"/>
  <c r="HM56" i="9"/>
  <c r="T7" i="13"/>
  <c r="AD57" i="23"/>
  <c r="GQ43" i="9"/>
  <c r="R57" i="23" s="1"/>
  <c r="GY38" i="9"/>
  <c r="GW38" i="9" s="1"/>
  <c r="GV38" i="9"/>
  <c r="GT38" i="9" s="1"/>
  <c r="HB38" i="9"/>
  <c r="GZ38" i="9" s="1"/>
  <c r="T50" i="26"/>
  <c r="FK15" i="9"/>
  <c r="W104" i="25"/>
  <c r="AA3" i="25"/>
  <c r="L20" i="28"/>
  <c r="I83" i="28"/>
  <c r="V59" i="23"/>
  <c r="V27" i="24"/>
  <c r="X74" i="25"/>
  <c r="I26" i="28"/>
  <c r="K54" i="12"/>
  <c r="L54" i="12"/>
  <c r="U50" i="26"/>
  <c r="V43" i="23"/>
  <c r="I24" i="28"/>
  <c r="I46" i="28"/>
  <c r="X56" i="26"/>
  <c r="AD61" i="22"/>
  <c r="HQ70" i="9"/>
  <c r="Y56" i="26" s="1"/>
  <c r="HW70" i="9"/>
  <c r="AA56" i="26" s="1"/>
  <c r="HT70" i="9"/>
  <c r="Z56" i="26" s="1"/>
  <c r="HN39" i="9"/>
  <c r="HL39" i="9" s="1"/>
  <c r="HH39" i="9"/>
  <c r="HF39" i="9" s="1"/>
  <c r="HE39" i="9"/>
  <c r="HC39" i="9" s="1"/>
  <c r="HK39" i="9"/>
  <c r="HI39" i="9" s="1"/>
  <c r="GH34" i="9"/>
  <c r="FB34" i="9"/>
  <c r="J65" i="28"/>
  <c r="GV10" i="9"/>
  <c r="GT10" i="9" s="1"/>
  <c r="HB10" i="9"/>
  <c r="GZ10" i="9" s="1"/>
  <c r="GY10" i="9"/>
  <c r="GW10" i="9" s="1"/>
  <c r="HT99" i="9"/>
  <c r="HR99" i="9" s="1"/>
  <c r="HW99" i="9"/>
  <c r="HU99" i="9" s="1"/>
  <c r="HQ99" i="9"/>
  <c r="HO99" i="9" s="1"/>
  <c r="HY37" i="9"/>
  <c r="X73" i="23"/>
  <c r="Z42" i="25"/>
  <c r="AC43" i="22"/>
  <c r="HK15" i="9"/>
  <c r="AC42" i="25" s="1"/>
  <c r="HH15" i="9"/>
  <c r="HN15" i="9"/>
  <c r="AD42" i="25" s="1"/>
  <c r="HE15" i="9"/>
  <c r="Z24" i="23"/>
  <c r="AA24" i="22"/>
  <c r="GS11" i="9"/>
  <c r="EZ11" i="9"/>
  <c r="GP11" i="9"/>
  <c r="GM11" i="9"/>
  <c r="GJ11" i="9"/>
  <c r="AA24" i="23" s="1"/>
  <c r="T23" i="26"/>
  <c r="T3" i="26"/>
  <c r="HO8" i="9"/>
  <c r="FK8" i="9"/>
  <c r="EZ43" i="9"/>
  <c r="AD3" i="25"/>
  <c r="FB23" i="9"/>
  <c r="U19" i="23"/>
  <c r="U10" i="24"/>
  <c r="AA3" i="26"/>
  <c r="U48" i="26"/>
  <c r="U73" i="24"/>
  <c r="FB36" i="9"/>
  <c r="L46" i="28"/>
  <c r="V51" i="24"/>
  <c r="H83" i="28"/>
  <c r="HY71" i="9"/>
  <c r="I83" i="27" s="1"/>
  <c r="J56" i="28"/>
  <c r="H52" i="28"/>
  <c r="HY60" i="9"/>
  <c r="K52" i="27" s="1"/>
  <c r="HV56" i="9"/>
  <c r="V54" i="23"/>
  <c r="X62" i="26"/>
  <c r="AD63" i="22"/>
  <c r="HT41" i="9"/>
  <c r="HQ41" i="9"/>
  <c r="HW41" i="9"/>
  <c r="H51" i="28"/>
  <c r="HY54" i="9"/>
  <c r="J51" i="27" s="1"/>
  <c r="W22" i="23"/>
  <c r="H39" i="28"/>
  <c r="HY28" i="9"/>
  <c r="I39" i="27" s="1"/>
  <c r="X53" i="25"/>
  <c r="I19" i="28"/>
  <c r="W83" i="23"/>
  <c r="V6" i="24"/>
  <c r="FK37" i="9"/>
  <c r="FJ37" i="9" s="1"/>
  <c r="U22" i="23"/>
  <c r="FB22" i="9"/>
  <c r="Z85" i="25"/>
  <c r="AC92" i="22"/>
  <c r="HK90" i="9"/>
  <c r="AC85" i="25" s="1"/>
  <c r="HN90" i="9"/>
  <c r="AD85" i="25" s="1"/>
  <c r="HH90" i="9"/>
  <c r="AB85" i="25" s="1"/>
  <c r="HE90" i="9"/>
  <c r="AA85" i="25" s="1"/>
  <c r="AB3" i="25"/>
  <c r="EZ30" i="9"/>
  <c r="FB27" i="9"/>
  <c r="HI138" i="9" l="1"/>
  <c r="Q72" i="25" s="1"/>
  <c r="FJ141" i="9"/>
  <c r="P98" i="36" s="1"/>
  <c r="HC47" i="9"/>
  <c r="O99" i="25" s="1"/>
  <c r="HC138" i="9"/>
  <c r="O72" i="25" s="1"/>
  <c r="GQ105" i="9"/>
  <c r="R72" i="23" s="1"/>
  <c r="HR11" i="9"/>
  <c r="P19" i="26" s="1"/>
  <c r="X98" i="22"/>
  <c r="GK105" i="9"/>
  <c r="P72" i="23" s="1"/>
  <c r="HL114" i="9"/>
  <c r="R64" i="25" s="1"/>
  <c r="Y66" i="26"/>
  <c r="GZ125" i="9"/>
  <c r="Q30" i="24" s="1"/>
  <c r="HR141" i="9"/>
  <c r="P97" i="26" s="1"/>
  <c r="T3" i="23"/>
  <c r="HO141" i="9"/>
  <c r="O97" i="26" s="1"/>
  <c r="HU141" i="9"/>
  <c r="Q97" i="26" s="1"/>
  <c r="GH105" i="9"/>
  <c r="O72" i="23" s="1"/>
  <c r="HC122" i="9"/>
  <c r="O38" i="25" s="1"/>
  <c r="FB44" i="9"/>
  <c r="T16" i="23" s="1"/>
  <c r="V16" i="23"/>
  <c r="HF73" i="9"/>
  <c r="P29" i="25" s="1"/>
  <c r="GT125" i="9"/>
  <c r="O30" i="24" s="1"/>
  <c r="HI122" i="9"/>
  <c r="Q38" i="25" s="1"/>
  <c r="HC113" i="9"/>
  <c r="O17" i="25" s="1"/>
  <c r="HL31" i="9"/>
  <c r="R56" i="25" s="1"/>
  <c r="HR8" i="9"/>
  <c r="P23" i="26" s="1"/>
  <c r="GN101" i="9"/>
  <c r="Q7" i="23" s="1"/>
  <c r="HO123" i="9"/>
  <c r="O58" i="26" s="1"/>
  <c r="HL138" i="9"/>
  <c r="R72" i="25" s="1"/>
  <c r="GW52" i="9"/>
  <c r="P15" i="24" s="1"/>
  <c r="GZ16" i="9"/>
  <c r="Q63" i="24" s="1"/>
  <c r="U38" i="25"/>
  <c r="HI60" i="9"/>
  <c r="Q50" i="25" s="1"/>
  <c r="GZ149" i="9"/>
  <c r="Q104" i="24" s="1"/>
  <c r="HR123" i="9"/>
  <c r="P58" i="26" s="1"/>
  <c r="GK101" i="9"/>
  <c r="P7" i="23" s="1"/>
  <c r="HF59" i="9"/>
  <c r="P73" i="25" s="1"/>
  <c r="HL134" i="9"/>
  <c r="R94" i="25" s="1"/>
  <c r="HO64" i="9"/>
  <c r="O65" i="26" s="1"/>
  <c r="FB122" i="9"/>
  <c r="U55" i="22" s="1"/>
  <c r="HO146" i="9"/>
  <c r="O79" i="26" s="1"/>
  <c r="HF134" i="9"/>
  <c r="P94" i="25" s="1"/>
  <c r="HL59" i="9"/>
  <c r="R73" i="25" s="1"/>
  <c r="GH101" i="9"/>
  <c r="O7" i="23" s="1"/>
  <c r="AA23" i="26"/>
  <c r="GZ150" i="9"/>
  <c r="Q106" i="24" s="1"/>
  <c r="HI59" i="9"/>
  <c r="Q73" i="25" s="1"/>
  <c r="HU60" i="9"/>
  <c r="Q55" i="26" s="1"/>
  <c r="AA38" i="23"/>
  <c r="GK92" i="9"/>
  <c r="P96" i="23" s="1"/>
  <c r="AD20" i="25"/>
  <c r="GT150" i="9"/>
  <c r="O106" i="24" s="1"/>
  <c r="HI113" i="9"/>
  <c r="Q17" i="25" s="1"/>
  <c r="GT143" i="9"/>
  <c r="O68" i="24" s="1"/>
  <c r="GK53" i="9"/>
  <c r="P63" i="23" s="1"/>
  <c r="FJ149" i="9"/>
  <c r="R89" i="36" s="1"/>
  <c r="X94" i="22"/>
  <c r="GT94" i="9"/>
  <c r="O8" i="24" s="1"/>
  <c r="HL16" i="9"/>
  <c r="R51" i="25" s="1"/>
  <c r="GW143" i="9"/>
  <c r="P68" i="24" s="1"/>
  <c r="W84" i="22"/>
  <c r="FG119" i="9"/>
  <c r="Q76" i="22" s="1"/>
  <c r="GQ148" i="9"/>
  <c r="R94" i="23" s="1"/>
  <c r="W76" i="22"/>
  <c r="S25" i="26"/>
  <c r="GK45" i="9"/>
  <c r="P34" i="23" s="1"/>
  <c r="HL73" i="9"/>
  <c r="R29" i="25" s="1"/>
  <c r="HU75" i="9"/>
  <c r="Q4" i="26" s="1"/>
  <c r="GK127" i="9"/>
  <c r="P79" i="23" s="1"/>
  <c r="GN127" i="9"/>
  <c r="Q79" i="23" s="1"/>
  <c r="GT91" i="9"/>
  <c r="O47" i="24" s="1"/>
  <c r="HR73" i="9"/>
  <c r="P40" i="26" s="1"/>
  <c r="HR16" i="9"/>
  <c r="P72" i="26" s="1"/>
  <c r="HF108" i="9"/>
  <c r="P59" i="25" s="1"/>
  <c r="Z55" i="26"/>
  <c r="FH122" i="9"/>
  <c r="FG122" i="9" s="1"/>
  <c r="HL60" i="9"/>
  <c r="R50" i="25" s="1"/>
  <c r="W38" i="25"/>
  <c r="GN146" i="9"/>
  <c r="Q80" i="23" s="1"/>
  <c r="GZ91" i="9"/>
  <c r="Q47" i="24" s="1"/>
  <c r="HU71" i="9"/>
  <c r="Q83" i="26" s="1"/>
  <c r="GQ101" i="9"/>
  <c r="R7" i="23" s="1"/>
  <c r="HI139" i="9"/>
  <c r="Q89" i="25" s="1"/>
  <c r="HO137" i="9"/>
  <c r="O95" i="26" s="1"/>
  <c r="HI48" i="9"/>
  <c r="Q100" i="25" s="1"/>
  <c r="HU143" i="9"/>
  <c r="Q103" i="26" s="1"/>
  <c r="T77" i="25"/>
  <c r="Z62" i="22"/>
  <c r="HI67" i="9"/>
  <c r="Q7" i="25" s="1"/>
  <c r="FD149" i="9"/>
  <c r="Q104" i="32" s="1"/>
  <c r="V94" i="22"/>
  <c r="HR75" i="9"/>
  <c r="P4" i="26" s="1"/>
  <c r="FB146" i="9"/>
  <c r="U80" i="22" s="1"/>
  <c r="GZ19" i="9"/>
  <c r="Q23" i="24" s="1"/>
  <c r="HL105" i="9"/>
  <c r="R57" i="25" s="1"/>
  <c r="HR137" i="9"/>
  <c r="P95" i="26" s="1"/>
  <c r="GN134" i="9"/>
  <c r="Q103" i="23" s="1"/>
  <c r="GQ30" i="9"/>
  <c r="R54" i="23" s="1"/>
  <c r="HO143" i="9"/>
  <c r="O103" i="26" s="1"/>
  <c r="V96" i="22"/>
  <c r="FD148" i="9"/>
  <c r="Q103" i="32" s="1"/>
  <c r="AA106" i="25"/>
  <c r="HR71" i="9"/>
  <c r="P83" i="26" s="1"/>
  <c r="HF14" i="9"/>
  <c r="P14" i="25" s="1"/>
  <c r="GT58" i="9"/>
  <c r="O6" i="24" s="1"/>
  <c r="GT23" i="9"/>
  <c r="O33" i="24" s="1"/>
  <c r="HO43" i="9"/>
  <c r="O59" i="26" s="1"/>
  <c r="GQ127" i="9"/>
  <c r="R79" i="23" s="1"/>
  <c r="GW79" i="9"/>
  <c r="P39" i="24" s="1"/>
  <c r="HF35" i="9"/>
  <c r="P26" i="25" s="1"/>
  <c r="HC68" i="9"/>
  <c r="O23" i="25" s="1"/>
  <c r="HO66" i="9"/>
  <c r="O35" i="26" s="1"/>
  <c r="HO60" i="9"/>
  <c r="O55" i="26" s="1"/>
  <c r="HU114" i="9"/>
  <c r="Q74" i="26" s="1"/>
  <c r="HO73" i="9"/>
  <c r="O40" i="26" s="1"/>
  <c r="HR64" i="9"/>
  <c r="P65" i="26" s="1"/>
  <c r="GQ149" i="9"/>
  <c r="R91" i="23" s="1"/>
  <c r="FJ16" i="9"/>
  <c r="O67" i="36" s="1"/>
  <c r="HO87" i="9"/>
  <c r="O27" i="26" s="1"/>
  <c r="GW51" i="9"/>
  <c r="P32" i="24" s="1"/>
  <c r="HC134" i="9"/>
  <c r="O94" i="25" s="1"/>
  <c r="HI16" i="9"/>
  <c r="Q51" i="25" s="1"/>
  <c r="GH127" i="9"/>
  <c r="O79" i="23" s="1"/>
  <c r="HU66" i="9"/>
  <c r="Q35" i="26" s="1"/>
  <c r="AA72" i="26"/>
  <c r="X26" i="22"/>
  <c r="FG101" i="9"/>
  <c r="N8" i="34" s="1"/>
  <c r="W78" i="22"/>
  <c r="W9" i="22"/>
  <c r="HF94" i="9"/>
  <c r="P19" i="25" s="1"/>
  <c r="HC93" i="9"/>
  <c r="O81" i="25" s="1"/>
  <c r="HI47" i="9"/>
  <c r="Q99" i="25" s="1"/>
  <c r="AA51" i="25"/>
  <c r="AB103" i="25"/>
  <c r="HI30" i="9"/>
  <c r="Q44" i="25" s="1"/>
  <c r="HF135" i="9"/>
  <c r="P66" i="25" s="1"/>
  <c r="T61" i="25"/>
  <c r="GN149" i="9"/>
  <c r="Q91" i="23" s="1"/>
  <c r="GQ146" i="9"/>
  <c r="R80" i="23" s="1"/>
  <c r="HL46" i="9"/>
  <c r="R63" i="25" s="1"/>
  <c r="HF31" i="9"/>
  <c r="P56" i="25" s="1"/>
  <c r="HU64" i="9"/>
  <c r="Q65" i="26" s="1"/>
  <c r="HC123" i="9"/>
  <c r="O46" i="25" s="1"/>
  <c r="HF68" i="9"/>
  <c r="P23" i="25" s="1"/>
  <c r="HI135" i="9"/>
  <c r="Q66" i="25" s="1"/>
  <c r="HU125" i="9"/>
  <c r="Q25" i="26" s="1"/>
  <c r="FD136" i="9"/>
  <c r="Q98" i="32" s="1"/>
  <c r="V104" i="22"/>
  <c r="FD150" i="9"/>
  <c r="N106" i="32" s="1"/>
  <c r="AD38" i="23"/>
  <c r="HC105" i="9"/>
  <c r="O57" i="25" s="1"/>
  <c r="X69" i="22"/>
  <c r="HU87" i="9"/>
  <c r="Q27" i="26" s="1"/>
  <c r="GK42" i="9"/>
  <c r="P44" i="23" s="1"/>
  <c r="V96" i="23"/>
  <c r="HO144" i="9"/>
  <c r="O100" i="26" s="1"/>
  <c r="HO42" i="9"/>
  <c r="O47" i="26" s="1"/>
  <c r="GK124" i="9"/>
  <c r="P70" i="23" s="1"/>
  <c r="HF16" i="9"/>
  <c r="P51" i="25" s="1"/>
  <c r="AC45" i="23"/>
  <c r="HL68" i="9"/>
  <c r="R23" i="25" s="1"/>
  <c r="FJ60" i="9"/>
  <c r="O52" i="36" s="1"/>
  <c r="GW58" i="9"/>
  <c r="P6" i="24" s="1"/>
  <c r="X53" i="22"/>
  <c r="FD114" i="9"/>
  <c r="P77" i="22" s="1"/>
  <c r="V77" i="22"/>
  <c r="HF105" i="9"/>
  <c r="P57" i="25" s="1"/>
  <c r="GK43" i="9"/>
  <c r="P57" i="23" s="1"/>
  <c r="HC94" i="9"/>
  <c r="O19" i="25" s="1"/>
  <c r="HR43" i="9"/>
  <c r="P59" i="26" s="1"/>
  <c r="GH146" i="9"/>
  <c r="O80" i="23" s="1"/>
  <c r="HL30" i="9"/>
  <c r="R44" i="25" s="1"/>
  <c r="V21" i="22"/>
  <c r="L20" i="27"/>
  <c r="FG22" i="9"/>
  <c r="Q21" i="22" s="1"/>
  <c r="GZ143" i="9"/>
  <c r="Q68" i="24" s="1"/>
  <c r="HI94" i="9"/>
  <c r="Q19" i="25" s="1"/>
  <c r="K55" i="27"/>
  <c r="HC108" i="9"/>
  <c r="O59" i="25" s="1"/>
  <c r="HC41" i="9"/>
  <c r="O47" i="25" s="1"/>
  <c r="GT134" i="9"/>
  <c r="O97" i="24" s="1"/>
  <c r="V62" i="22"/>
  <c r="HR144" i="9"/>
  <c r="P100" i="26" s="1"/>
  <c r="GH118" i="9"/>
  <c r="O88" i="23" s="1"/>
  <c r="HI50" i="9"/>
  <c r="Q70" i="25" s="1"/>
  <c r="FA41" i="9"/>
  <c r="Q60" i="30" s="1"/>
  <c r="U63" i="22"/>
  <c r="V67" i="22"/>
  <c r="L65" i="27"/>
  <c r="HO13" i="9"/>
  <c r="O21" i="26" s="1"/>
  <c r="Y70" i="24"/>
  <c r="HR42" i="9"/>
  <c r="P47" i="26" s="1"/>
  <c r="FD115" i="9"/>
  <c r="Q87" i="32" s="1"/>
  <c r="FE31" i="9"/>
  <c r="S22" i="24" s="1"/>
  <c r="HR124" i="9"/>
  <c r="P68" i="26" s="1"/>
  <c r="GK149" i="9"/>
  <c r="P91" i="23" s="1"/>
  <c r="HL50" i="9"/>
  <c r="R70" i="25" s="1"/>
  <c r="GN43" i="9"/>
  <c r="Q57" i="23" s="1"/>
  <c r="FD54" i="9"/>
  <c r="P71" i="32" s="1"/>
  <c r="GZ87" i="9"/>
  <c r="Q29" i="24" s="1"/>
  <c r="V45" i="22"/>
  <c r="FA76" i="9"/>
  <c r="R14" i="30" s="1"/>
  <c r="J80" i="27"/>
  <c r="AA8" i="24"/>
  <c r="AD87" i="25"/>
  <c r="S4" i="24"/>
  <c r="GQ31" i="9"/>
  <c r="R62" i="23" s="1"/>
  <c r="S41" i="26"/>
  <c r="FD75" i="9"/>
  <c r="Q4" i="32" s="1"/>
  <c r="HO52" i="9"/>
  <c r="O28" i="26" s="1"/>
  <c r="FJ14" i="9"/>
  <c r="R23" i="22" s="1"/>
  <c r="HR91" i="9"/>
  <c r="P87" i="26" s="1"/>
  <c r="X23" i="22"/>
  <c r="HR143" i="9"/>
  <c r="P103" i="26" s="1"/>
  <c r="FJ140" i="9"/>
  <c r="Q76" i="36" s="1"/>
  <c r="HO54" i="9"/>
  <c r="O42" i="26" s="1"/>
  <c r="GW60" i="9"/>
  <c r="P35" i="24" s="1"/>
  <c r="X75" i="22"/>
  <c r="FA49" i="9"/>
  <c r="O40" i="30" s="1"/>
  <c r="GN118" i="9"/>
  <c r="Q88" i="23" s="1"/>
  <c r="HF67" i="9"/>
  <c r="P7" i="25" s="1"/>
  <c r="HR87" i="9"/>
  <c r="P27" i="26" s="1"/>
  <c r="HI84" i="9"/>
  <c r="Q12" i="25" s="1"/>
  <c r="V95" i="22"/>
  <c r="FD65" i="9"/>
  <c r="N44" i="24" s="1"/>
  <c r="K44" i="24" s="1"/>
  <c r="V50" i="22"/>
  <c r="GQ45" i="9"/>
  <c r="R34" i="23" s="1"/>
  <c r="HC48" i="9"/>
  <c r="O100" i="25" s="1"/>
  <c r="GN31" i="9"/>
  <c r="Q62" i="23" s="1"/>
  <c r="HF47" i="9"/>
  <c r="P99" i="25" s="1"/>
  <c r="HF43" i="9"/>
  <c r="P87" i="25" s="1"/>
  <c r="GW63" i="9"/>
  <c r="P73" i="24" s="1"/>
  <c r="GT59" i="9"/>
  <c r="O27" i="24" s="1"/>
  <c r="FE44" i="9"/>
  <c r="S13" i="24" s="1"/>
  <c r="FD16" i="9"/>
  <c r="R62" i="32" s="1"/>
  <c r="GT16" i="9"/>
  <c r="O63" i="24" s="1"/>
  <c r="V69" i="22"/>
  <c r="HC67" i="9"/>
  <c r="O7" i="25" s="1"/>
  <c r="GK31" i="9"/>
  <c r="P62" i="23" s="1"/>
  <c r="GQ125" i="9"/>
  <c r="R26" i="23" s="1"/>
  <c r="HI14" i="9"/>
  <c r="Q14" i="25" s="1"/>
  <c r="GH22" i="9"/>
  <c r="O22" i="23" s="1"/>
  <c r="S90" i="26"/>
  <c r="AA14" i="25"/>
  <c r="S68" i="24"/>
  <c r="GZ79" i="9"/>
  <c r="Q39" i="24" s="1"/>
  <c r="FJ94" i="9"/>
  <c r="N18" i="26" s="1"/>
  <c r="I18" i="26" s="1"/>
  <c r="W62" i="23"/>
  <c r="U39" i="22"/>
  <c r="GZ105" i="9"/>
  <c r="Q83" i="24" s="1"/>
  <c r="S18" i="26"/>
  <c r="GK30" i="9"/>
  <c r="P54" i="23" s="1"/>
  <c r="HC8" i="9"/>
  <c r="O103" i="25" s="1"/>
  <c r="FB56" i="9"/>
  <c r="T19" i="23" s="1"/>
  <c r="FD127" i="9"/>
  <c r="Q58" i="32" s="1"/>
  <c r="HF50" i="9"/>
  <c r="P70" i="25" s="1"/>
  <c r="U40" i="22"/>
  <c r="FJ127" i="9"/>
  <c r="O81" i="36" s="1"/>
  <c r="GN63" i="9"/>
  <c r="Q49" i="23" s="1"/>
  <c r="FJ47" i="9"/>
  <c r="R91" i="36" s="1"/>
  <c r="X79" i="22"/>
  <c r="FD143" i="9"/>
  <c r="N68" i="32" s="1"/>
  <c r="GH62" i="9"/>
  <c r="O45" i="23" s="1"/>
  <c r="FD46" i="9"/>
  <c r="P29" i="22" s="1"/>
  <c r="HU23" i="9"/>
  <c r="Q75" i="26" s="1"/>
  <c r="X97" i="22"/>
  <c r="V29" i="22"/>
  <c r="GN47" i="9"/>
  <c r="Q89" i="23" s="1"/>
  <c r="GW93" i="9"/>
  <c r="P48" i="24" s="1"/>
  <c r="GQ134" i="9"/>
  <c r="R103" i="23" s="1"/>
  <c r="S98" i="26"/>
  <c r="GK49" i="9"/>
  <c r="P38" i="23" s="1"/>
  <c r="FJ42" i="9"/>
  <c r="O55" i="36" s="1"/>
  <c r="GH31" i="9"/>
  <c r="O62" i="23" s="1"/>
  <c r="EY72" i="9"/>
  <c r="T78" i="22" s="1"/>
  <c r="HL35" i="9"/>
  <c r="R26" i="25" s="1"/>
  <c r="K80" i="27"/>
  <c r="I80" i="27"/>
  <c r="GT149" i="9"/>
  <c r="O104" i="24" s="1"/>
  <c r="GT22" i="9"/>
  <c r="O9" i="24" s="1"/>
  <c r="X24" i="22"/>
  <c r="HO135" i="9"/>
  <c r="O77" i="26" s="1"/>
  <c r="GZ124" i="9"/>
  <c r="Q50" i="24" s="1"/>
  <c r="AC103" i="25"/>
  <c r="HF66" i="9"/>
  <c r="P27" i="25" s="1"/>
  <c r="FA71" i="9"/>
  <c r="P84" i="30" s="1"/>
  <c r="GN8" i="9"/>
  <c r="Q27" i="23" s="1"/>
  <c r="HF148" i="9"/>
  <c r="P93" i="25" s="1"/>
  <c r="U84" i="22"/>
  <c r="GH17" i="9"/>
  <c r="O69" i="23" s="1"/>
  <c r="HC30" i="9"/>
  <c r="O44" i="25" s="1"/>
  <c r="GZ93" i="9"/>
  <c r="Q48" i="24" s="1"/>
  <c r="HR90" i="9"/>
  <c r="P96" i="26" s="1"/>
  <c r="GK22" i="9"/>
  <c r="P22" i="23" s="1"/>
  <c r="GQ124" i="9"/>
  <c r="R70" i="23" s="1"/>
  <c r="GW11" i="9"/>
  <c r="P51" i="24" s="1"/>
  <c r="T13" i="25"/>
  <c r="HI108" i="9"/>
  <c r="Q59" i="25" s="1"/>
  <c r="GK62" i="9"/>
  <c r="P45" i="23" s="1"/>
  <c r="HR132" i="9"/>
  <c r="P82" i="26" s="1"/>
  <c r="HI144" i="9"/>
  <c r="Q96" i="25" s="1"/>
  <c r="HI123" i="9"/>
  <c r="Q46" i="25" s="1"/>
  <c r="HF144" i="9"/>
  <c r="P96" i="25" s="1"/>
  <c r="FJ101" i="9"/>
  <c r="N7" i="36" s="1"/>
  <c r="W8" i="22"/>
  <c r="X9" i="22"/>
  <c r="T7" i="25"/>
  <c r="V78" i="22"/>
  <c r="GQ52" i="9"/>
  <c r="R28" i="23" s="1"/>
  <c r="S61" i="24"/>
  <c r="HO35" i="9"/>
  <c r="O33" i="26" s="1"/>
  <c r="K94" i="27"/>
  <c r="GH108" i="9"/>
  <c r="O81" i="23" s="1"/>
  <c r="II131" i="9"/>
  <c r="L94" i="27"/>
  <c r="V79" i="22"/>
  <c r="HO136" i="9"/>
  <c r="O104" i="26" s="1"/>
  <c r="S99" i="24"/>
  <c r="GZ61" i="9"/>
  <c r="Q37" i="24" s="1"/>
  <c r="I32" i="27"/>
  <c r="HU91" i="9"/>
  <c r="Q87" i="26" s="1"/>
  <c r="HU62" i="9"/>
  <c r="Q44" i="26" s="1"/>
  <c r="K32" i="27"/>
  <c r="GW134" i="9"/>
  <c r="P97" i="24" s="1"/>
  <c r="HF79" i="9"/>
  <c r="P20" i="25" s="1"/>
  <c r="HL76" i="9"/>
  <c r="R15" i="25" s="1"/>
  <c r="FA8" i="9"/>
  <c r="R21" i="30" s="1"/>
  <c r="GW124" i="9"/>
  <c r="P50" i="24" s="1"/>
  <c r="U31" i="22"/>
  <c r="HO11" i="9"/>
  <c r="O19" i="26" s="1"/>
  <c r="GK90" i="9"/>
  <c r="P97" i="23" s="1"/>
  <c r="HL93" i="9"/>
  <c r="R81" i="25" s="1"/>
  <c r="GH150" i="9"/>
  <c r="O66" i="23" s="1"/>
  <c r="GT120" i="9"/>
  <c r="O92" i="24" s="1"/>
  <c r="HC54" i="9"/>
  <c r="O32" i="25" s="1"/>
  <c r="Z102" i="22"/>
  <c r="GN120" i="9"/>
  <c r="Q39" i="23" s="1"/>
  <c r="HL8" i="9"/>
  <c r="R103" i="25" s="1"/>
  <c r="Z79" i="22"/>
  <c r="L68" i="27"/>
  <c r="GZ65" i="9"/>
  <c r="Q44" i="24" s="1"/>
  <c r="AD100" i="25"/>
  <c r="HL48" i="9"/>
  <c r="R100" i="25" s="1"/>
  <c r="FB31" i="9"/>
  <c r="T62" i="23" s="1"/>
  <c r="I81" i="27"/>
  <c r="U43" i="22"/>
  <c r="HF150" i="9"/>
  <c r="P106" i="25" s="1"/>
  <c r="HI150" i="9"/>
  <c r="Q106" i="25" s="1"/>
  <c r="GT52" i="9"/>
  <c r="O15" i="24" s="1"/>
  <c r="HO114" i="9"/>
  <c r="O74" i="26" s="1"/>
  <c r="IF57" i="9"/>
  <c r="GT116" i="9"/>
  <c r="O88" i="24" s="1"/>
  <c r="GQ137" i="9"/>
  <c r="R92" i="23" s="1"/>
  <c r="L71" i="27"/>
  <c r="I68" i="27"/>
  <c r="FD122" i="9"/>
  <c r="Q93" i="32" s="1"/>
  <c r="HL135" i="9"/>
  <c r="R66" i="25" s="1"/>
  <c r="GH148" i="9"/>
  <c r="O94" i="23" s="1"/>
  <c r="FK31" i="9"/>
  <c r="S69" i="26" s="1"/>
  <c r="V55" i="22"/>
  <c r="FJ142" i="9"/>
  <c r="R41" i="36" s="1"/>
  <c r="HL84" i="9"/>
  <c r="R12" i="25" s="1"/>
  <c r="FG141" i="9"/>
  <c r="R101" i="34" s="1"/>
  <c r="T102" i="25"/>
  <c r="GT65" i="9"/>
  <c r="O44" i="24" s="1"/>
  <c r="FJ18" i="9"/>
  <c r="Q53" i="36" s="1"/>
  <c r="GZ11" i="9"/>
  <c r="Q51" i="24" s="1"/>
  <c r="HI11" i="9"/>
  <c r="Q104" i="25" s="1"/>
  <c r="GN42" i="9"/>
  <c r="Q44" i="23" s="1"/>
  <c r="HO132" i="9"/>
  <c r="O82" i="26" s="1"/>
  <c r="K75" i="27"/>
  <c r="X57" i="22"/>
  <c r="J68" i="27"/>
  <c r="HI115" i="9"/>
  <c r="Q49" i="25" s="1"/>
  <c r="FA120" i="9"/>
  <c r="O40" i="22" s="1"/>
  <c r="L27" i="27"/>
  <c r="IJ136" i="9"/>
  <c r="R103" i="28" s="1"/>
  <c r="HC84" i="9"/>
  <c r="O12" i="25" s="1"/>
  <c r="HF46" i="9"/>
  <c r="P63" i="25" s="1"/>
  <c r="HF23" i="9"/>
  <c r="P65" i="25" s="1"/>
  <c r="GQ68" i="9"/>
  <c r="R29" i="23" s="1"/>
  <c r="HL64" i="9"/>
  <c r="R67" i="25" s="1"/>
  <c r="GT142" i="9"/>
  <c r="O36" i="24" s="1"/>
  <c r="GN124" i="9"/>
  <c r="Q70" i="23" s="1"/>
  <c r="U12" i="22"/>
  <c r="GW47" i="9"/>
  <c r="P56" i="24" s="1"/>
  <c r="GH45" i="9"/>
  <c r="O34" i="23" s="1"/>
  <c r="FG149" i="9"/>
  <c r="P88" i="34" s="1"/>
  <c r="Z33" i="22"/>
  <c r="X103" i="22"/>
  <c r="AA77" i="26"/>
  <c r="HU135" i="9"/>
  <c r="Q77" i="26" s="1"/>
  <c r="S34" i="26"/>
  <c r="GK50" i="9"/>
  <c r="P37" i="23" s="1"/>
  <c r="FD94" i="9"/>
  <c r="P16" i="22" s="1"/>
  <c r="FD91" i="9"/>
  <c r="R47" i="32" s="1"/>
  <c r="L81" i="27"/>
  <c r="FA121" i="9"/>
  <c r="O85" i="22" s="1"/>
  <c r="FA105" i="9"/>
  <c r="R73" i="30" s="1"/>
  <c r="S103" i="26"/>
  <c r="V16" i="22"/>
  <c r="S47" i="24"/>
  <c r="HI75" i="9"/>
  <c r="Q4" i="25" s="1"/>
  <c r="FD108" i="9"/>
  <c r="O84" i="32" s="1"/>
  <c r="L44" i="27"/>
  <c r="IJ148" i="9"/>
  <c r="R96" i="28" s="1"/>
  <c r="FD142" i="9"/>
  <c r="Q37" i="32" s="1"/>
  <c r="U74" i="22"/>
  <c r="GN35" i="9"/>
  <c r="Q33" i="23" s="1"/>
  <c r="L42" i="27"/>
  <c r="GH63" i="9"/>
  <c r="O49" i="23" s="1"/>
  <c r="V82" i="22"/>
  <c r="GH91" i="9"/>
  <c r="O82" i="23" s="1"/>
  <c r="V42" i="22"/>
  <c r="IJ57" i="9"/>
  <c r="GZ45" i="9"/>
  <c r="Q20" i="24" s="1"/>
  <c r="W106" i="22"/>
  <c r="HO15" i="9"/>
  <c r="O50" i="26" s="1"/>
  <c r="EY57" i="9"/>
  <c r="EX57" i="9" s="1"/>
  <c r="EW57" i="9" s="1"/>
  <c r="GK17" i="9"/>
  <c r="P69" i="23" s="1"/>
  <c r="L87" i="27"/>
  <c r="HI132" i="9"/>
  <c r="Q76" i="25" s="1"/>
  <c r="GQ82" i="9"/>
  <c r="R5" i="23" s="1"/>
  <c r="HF137" i="9"/>
  <c r="P82" i="25" s="1"/>
  <c r="GH47" i="9"/>
  <c r="O89" i="23" s="1"/>
  <c r="II57" i="9"/>
  <c r="IG57" i="9"/>
  <c r="J81" i="27"/>
  <c r="K81" i="27"/>
  <c r="HO124" i="9"/>
  <c r="O68" i="26" s="1"/>
  <c r="GW76" i="9"/>
  <c r="P76" i="24" s="1"/>
  <c r="HR118" i="9"/>
  <c r="P92" i="26" s="1"/>
  <c r="FA150" i="9"/>
  <c r="O69" i="30" s="1"/>
  <c r="Z26" i="22"/>
  <c r="FJ45" i="9"/>
  <c r="Q35" i="36" s="1"/>
  <c r="T31" i="23"/>
  <c r="HL14" i="9"/>
  <c r="R14" i="25" s="1"/>
  <c r="AD37" i="23"/>
  <c r="HR49" i="9"/>
  <c r="P39" i="26" s="1"/>
  <c r="U29" i="22"/>
  <c r="HL123" i="9"/>
  <c r="R46" i="25" s="1"/>
  <c r="U62" i="22"/>
  <c r="HU63" i="9"/>
  <c r="Q46" i="26" s="1"/>
  <c r="GZ58" i="9"/>
  <c r="Q6" i="24" s="1"/>
  <c r="GK63" i="9"/>
  <c r="P49" i="23" s="1"/>
  <c r="Y34" i="26"/>
  <c r="HC87" i="9"/>
  <c r="O22" i="25" s="1"/>
  <c r="HO113" i="9"/>
  <c r="O13" i="26" s="1"/>
  <c r="HF53" i="9"/>
  <c r="P41" i="25" s="1"/>
  <c r="GH134" i="9"/>
  <c r="O103" i="23" s="1"/>
  <c r="HO125" i="9"/>
  <c r="O25" i="26" s="1"/>
  <c r="HR58" i="9"/>
  <c r="P5" i="26" s="1"/>
  <c r="GZ54" i="9"/>
  <c r="Q71" i="24" s="1"/>
  <c r="HL150" i="9"/>
  <c r="R106" i="25" s="1"/>
  <c r="HR125" i="9"/>
  <c r="P25" i="26" s="1"/>
  <c r="J75" i="27"/>
  <c r="T44" i="25"/>
  <c r="HF113" i="9"/>
  <c r="P17" i="25" s="1"/>
  <c r="FD22" i="9"/>
  <c r="Q9" i="32" s="1"/>
  <c r="GH30" i="9"/>
  <c r="O54" i="23" s="1"/>
  <c r="FA15" i="9"/>
  <c r="P41" i="30" s="1"/>
  <c r="FG114" i="9"/>
  <c r="P59" i="34" s="1"/>
  <c r="GK125" i="9"/>
  <c r="P26" i="23" s="1"/>
  <c r="Z25" i="22"/>
  <c r="AA27" i="23"/>
  <c r="GQ118" i="9"/>
  <c r="R88" i="23" s="1"/>
  <c r="HR63" i="9"/>
  <c r="P46" i="26" s="1"/>
  <c r="GZ135" i="9"/>
  <c r="Q38" i="24" s="1"/>
  <c r="HU54" i="9"/>
  <c r="Q42" i="26" s="1"/>
  <c r="GZ51" i="9"/>
  <c r="Q32" i="24" s="1"/>
  <c r="FG138" i="9"/>
  <c r="R73" i="34" s="1"/>
  <c r="X4" i="22"/>
  <c r="FA148" i="9"/>
  <c r="Q94" i="30" s="1"/>
  <c r="FH10" i="9"/>
  <c r="FG10" i="9" s="1"/>
  <c r="W86" i="22"/>
  <c r="S4" i="26"/>
  <c r="L82" i="27"/>
  <c r="T94" i="23"/>
  <c r="HI79" i="9"/>
  <c r="Q20" i="25" s="1"/>
  <c r="HC66" i="9"/>
  <c r="O27" i="25" s="1"/>
  <c r="GT56" i="9"/>
  <c r="O12" i="24" s="1"/>
  <c r="K63" i="27"/>
  <c r="K35" i="27"/>
  <c r="GQ150" i="9"/>
  <c r="R66" i="23" s="1"/>
  <c r="HF93" i="9"/>
  <c r="P81" i="25" s="1"/>
  <c r="GQ71" i="9"/>
  <c r="R83" i="23" s="1"/>
  <c r="I53" i="27"/>
  <c r="GZ12" i="9"/>
  <c r="Q53" i="24" s="1"/>
  <c r="HU121" i="9"/>
  <c r="Q84" i="26" s="1"/>
  <c r="I63" i="27"/>
  <c r="J82" i="27"/>
  <c r="HO89" i="9"/>
  <c r="O63" i="26" s="1"/>
  <c r="GN49" i="9"/>
  <c r="Q38" i="23" s="1"/>
  <c r="HF119" i="9"/>
  <c r="P58" i="25" s="1"/>
  <c r="K17" i="27"/>
  <c r="FG30" i="9"/>
  <c r="R52" i="34" s="1"/>
  <c r="J35" i="27"/>
  <c r="I75" i="27"/>
  <c r="S85" i="26"/>
  <c r="K31" i="27"/>
  <c r="GZ59" i="9"/>
  <c r="Q27" i="24" s="1"/>
  <c r="HR65" i="9"/>
  <c r="P48" i="26" s="1"/>
  <c r="J56" i="27"/>
  <c r="HO49" i="9"/>
  <c r="O39" i="26" s="1"/>
  <c r="GK141" i="9"/>
  <c r="P98" i="23" s="1"/>
  <c r="K77" i="27"/>
  <c r="HI64" i="9"/>
  <c r="Q67" i="25" s="1"/>
  <c r="I22" i="27"/>
  <c r="HU45" i="9"/>
  <c r="Q34" i="26" s="1"/>
  <c r="GQ22" i="9"/>
  <c r="R22" i="23" s="1"/>
  <c r="GN64" i="9"/>
  <c r="Q67" i="23" s="1"/>
  <c r="I11" i="27"/>
  <c r="GZ70" i="9"/>
  <c r="Q52" i="24" s="1"/>
  <c r="IH150" i="9"/>
  <c r="P63" i="28" s="1"/>
  <c r="HF84" i="9"/>
  <c r="P12" i="25" s="1"/>
  <c r="I55" i="27"/>
  <c r="GZ23" i="9"/>
  <c r="Q33" i="24" s="1"/>
  <c r="FJ11" i="9"/>
  <c r="R12" i="36" s="1"/>
  <c r="L31" i="27"/>
  <c r="S47" i="26"/>
  <c r="L24" i="27"/>
  <c r="GK60" i="9"/>
  <c r="P56" i="23" s="1"/>
  <c r="HU49" i="9"/>
  <c r="Q39" i="26" s="1"/>
  <c r="FG61" i="9"/>
  <c r="R58" i="34" s="1"/>
  <c r="GH58" i="9"/>
  <c r="O6" i="23" s="1"/>
  <c r="U96" i="23"/>
  <c r="W59" i="22"/>
  <c r="GK64" i="9"/>
  <c r="P67" i="23" s="1"/>
  <c r="HU118" i="9"/>
  <c r="Q92" i="26" s="1"/>
  <c r="HU139" i="9"/>
  <c r="Q51" i="26" s="1"/>
  <c r="HR52" i="9"/>
  <c r="P28" i="26" s="1"/>
  <c r="V34" i="22"/>
  <c r="GW73" i="9"/>
  <c r="P45" i="24" s="1"/>
  <c r="GW118" i="9"/>
  <c r="P90" i="24" s="1"/>
  <c r="GZ127" i="9"/>
  <c r="Q58" i="24" s="1"/>
  <c r="H42" i="27"/>
  <c r="HC144" i="9"/>
  <c r="O96" i="25" s="1"/>
  <c r="HF123" i="9"/>
  <c r="P46" i="25" s="1"/>
  <c r="GN52" i="9"/>
  <c r="Q28" i="23" s="1"/>
  <c r="L22" i="27"/>
  <c r="GT50" i="9"/>
  <c r="O24" i="24" s="1"/>
  <c r="Z96" i="22"/>
  <c r="J22" i="27"/>
  <c r="HC73" i="9"/>
  <c r="O29" i="25" s="1"/>
  <c r="GW14" i="9"/>
  <c r="P18" i="24" s="1"/>
  <c r="K22" i="27"/>
  <c r="GK68" i="9"/>
  <c r="P29" i="23" s="1"/>
  <c r="IF107" i="9"/>
  <c r="AA78" i="23"/>
  <c r="FG145" i="9"/>
  <c r="Q106" i="22" s="1"/>
  <c r="GQ15" i="9"/>
  <c r="R47" i="23" s="1"/>
  <c r="GH68" i="9"/>
  <c r="O29" i="23" s="1"/>
  <c r="J25" i="27"/>
  <c r="FK56" i="9"/>
  <c r="S20" i="26" s="1"/>
  <c r="IH107" i="9"/>
  <c r="HC53" i="9"/>
  <c r="O41" i="25" s="1"/>
  <c r="GZ116" i="9"/>
  <c r="Q88" i="24" s="1"/>
  <c r="GW116" i="9"/>
  <c r="P88" i="24" s="1"/>
  <c r="HC143" i="9"/>
  <c r="O101" i="25" s="1"/>
  <c r="II107" i="9"/>
  <c r="GZ118" i="9"/>
  <c r="Q90" i="24" s="1"/>
  <c r="GK137" i="9"/>
  <c r="P92" i="23" s="1"/>
  <c r="J9" i="27"/>
  <c r="H105" i="27"/>
  <c r="GH77" i="9"/>
  <c r="O9" i="23" s="1"/>
  <c r="FA136" i="9"/>
  <c r="R103" i="30" s="1"/>
  <c r="FH44" i="9"/>
  <c r="W19" i="22" s="1"/>
  <c r="HF72" i="9"/>
  <c r="P61" i="25" s="1"/>
  <c r="U104" i="22"/>
  <c r="L105" i="27"/>
  <c r="GT141" i="9"/>
  <c r="O66" i="24" s="1"/>
  <c r="GQ42" i="9"/>
  <c r="R44" i="23" s="1"/>
  <c r="GW61" i="9"/>
  <c r="P37" i="24" s="1"/>
  <c r="HI73" i="9"/>
  <c r="Q29" i="25" s="1"/>
  <c r="GH133" i="9"/>
  <c r="O105" i="23" s="1"/>
  <c r="FA131" i="9"/>
  <c r="GZ67" i="9"/>
  <c r="Q21" i="24" s="1"/>
  <c r="K28" i="27"/>
  <c r="GN30" i="9"/>
  <c r="Q54" i="23" s="1"/>
  <c r="HL144" i="9"/>
  <c r="R96" i="25" s="1"/>
  <c r="HF122" i="9"/>
  <c r="P38" i="25" s="1"/>
  <c r="IF131" i="9"/>
  <c r="I105" i="27"/>
  <c r="HI54" i="9"/>
  <c r="Q32" i="25" s="1"/>
  <c r="HO145" i="9"/>
  <c r="O106" i="26" s="1"/>
  <c r="HC46" i="9"/>
  <c r="O63" i="25" s="1"/>
  <c r="EY71" i="9"/>
  <c r="T84" i="22" s="1"/>
  <c r="GT117" i="9"/>
  <c r="O89" i="24" s="1"/>
  <c r="HI93" i="9"/>
  <c r="Q81" i="25" s="1"/>
  <c r="FA17" i="9"/>
  <c r="Q56" i="30" s="1"/>
  <c r="FJ41" i="9"/>
  <c r="Q65" i="36" s="1"/>
  <c r="GW19" i="9"/>
  <c r="P23" i="24" s="1"/>
  <c r="HR17" i="9"/>
  <c r="P73" i="26" s="1"/>
  <c r="GZ60" i="9"/>
  <c r="Q35" i="24" s="1"/>
  <c r="FJ116" i="9"/>
  <c r="R47" i="36" s="1"/>
  <c r="U72" i="22"/>
  <c r="V85" i="22"/>
  <c r="S60" i="24"/>
  <c r="X63" i="22"/>
  <c r="GT146" i="9"/>
  <c r="O101" i="24" s="1"/>
  <c r="HO118" i="9"/>
  <c r="O92" i="26" s="1"/>
  <c r="IG107" i="9"/>
  <c r="HC133" i="9"/>
  <c r="O97" i="25" s="1"/>
  <c r="X56" i="22"/>
  <c r="HO90" i="9"/>
  <c r="O96" i="26" s="1"/>
  <c r="T15" i="25"/>
  <c r="K93" i="20"/>
  <c r="IJ107" i="9"/>
  <c r="K47" i="20"/>
  <c r="GZ66" i="9"/>
  <c r="Q42" i="24" s="1"/>
  <c r="GH142" i="9"/>
  <c r="O41" i="23" s="1"/>
  <c r="GQ8" i="9"/>
  <c r="R27" i="23" s="1"/>
  <c r="GN50" i="9"/>
  <c r="Q37" i="23" s="1"/>
  <c r="GN71" i="9"/>
  <c r="Q83" i="23" s="1"/>
  <c r="GK71" i="9"/>
  <c r="P83" i="23" s="1"/>
  <c r="L59" i="27"/>
  <c r="HU15" i="9"/>
  <c r="Q50" i="26" s="1"/>
  <c r="EY107" i="9"/>
  <c r="EX107" i="9" s="1"/>
  <c r="EW107" i="9" s="1"/>
  <c r="HL137" i="9"/>
  <c r="R82" i="25" s="1"/>
  <c r="GN137" i="9"/>
  <c r="Q92" i="23" s="1"/>
  <c r="HC148" i="9"/>
  <c r="O93" i="25" s="1"/>
  <c r="I44" i="27"/>
  <c r="U78" i="22"/>
  <c r="GQ142" i="9"/>
  <c r="R41" i="23" s="1"/>
  <c r="IF148" i="9"/>
  <c r="N96" i="28" s="1"/>
  <c r="I65" i="27"/>
  <c r="GQ58" i="9"/>
  <c r="R6" i="23" s="1"/>
  <c r="GZ47" i="9"/>
  <c r="Q56" i="24" s="1"/>
  <c r="K105" i="27"/>
  <c r="Z91" i="22"/>
  <c r="GK148" i="9"/>
  <c r="P94" i="23" s="1"/>
  <c r="I101" i="27"/>
  <c r="H65" i="27"/>
  <c r="HF71" i="9"/>
  <c r="P77" i="25" s="1"/>
  <c r="U89" i="25"/>
  <c r="L79" i="27"/>
  <c r="GK142" i="9"/>
  <c r="P41" i="23" s="1"/>
  <c r="GH53" i="9"/>
  <c r="O63" i="23" s="1"/>
  <c r="HC135" i="9"/>
  <c r="O66" i="25" s="1"/>
  <c r="T50" i="23"/>
  <c r="HU122" i="9"/>
  <c r="Q53" i="26" s="1"/>
  <c r="GO29" i="9"/>
  <c r="W15" i="23" s="1"/>
  <c r="T25" i="25"/>
  <c r="HR27" i="9"/>
  <c r="P17" i="26" s="1"/>
  <c r="I4" i="27"/>
  <c r="K64" i="20"/>
  <c r="HI65" i="9"/>
  <c r="Q34" i="25" s="1"/>
  <c r="FD81" i="9"/>
  <c r="P80" i="32" s="1"/>
  <c r="FG14" i="9"/>
  <c r="R10" i="34" s="1"/>
  <c r="H86" i="27"/>
  <c r="FD93" i="9"/>
  <c r="R50" i="32" s="1"/>
  <c r="FG19" i="9"/>
  <c r="O16" i="34" s="1"/>
  <c r="HI53" i="9"/>
  <c r="Q41" i="25" s="1"/>
  <c r="GN68" i="9"/>
  <c r="Q29" i="23" s="1"/>
  <c r="L57" i="27"/>
  <c r="GT63" i="9"/>
  <c r="O73" i="24" s="1"/>
  <c r="L86" i="27"/>
  <c r="H67" i="27"/>
  <c r="HI137" i="9"/>
  <c r="Q82" i="25" s="1"/>
  <c r="GK47" i="9"/>
  <c r="P89" i="23" s="1"/>
  <c r="HU136" i="9"/>
  <c r="Q104" i="26" s="1"/>
  <c r="IH148" i="9"/>
  <c r="P96" i="28" s="1"/>
  <c r="K98" i="27"/>
  <c r="V71" i="22"/>
  <c r="W23" i="22"/>
  <c r="K80" i="20"/>
  <c r="GN125" i="9"/>
  <c r="Q26" i="23" s="1"/>
  <c r="GN150" i="9"/>
  <c r="Q66" i="23" s="1"/>
  <c r="GK88" i="9"/>
  <c r="HU13" i="9"/>
  <c r="Q21" i="26" s="1"/>
  <c r="HR50" i="9"/>
  <c r="P38" i="26" s="1"/>
  <c r="GT49" i="9"/>
  <c r="O26" i="24" s="1"/>
  <c r="FG13" i="9"/>
  <c r="P9" i="34" s="1"/>
  <c r="H35" i="27"/>
  <c r="GW132" i="9"/>
  <c r="P57" i="24" s="1"/>
  <c r="K44" i="27"/>
  <c r="GW78" i="9"/>
  <c r="P94" i="24" s="1"/>
  <c r="GT123" i="9"/>
  <c r="O95" i="24" s="1"/>
  <c r="H68" i="27"/>
  <c r="L63" i="27"/>
  <c r="H80" i="27"/>
  <c r="HL119" i="9"/>
  <c r="R58" i="25" s="1"/>
  <c r="GW138" i="9"/>
  <c r="P65" i="24" s="1"/>
  <c r="HI51" i="9"/>
  <c r="Q74" i="25" s="1"/>
  <c r="HG29" i="9"/>
  <c r="V16" i="25" s="1"/>
  <c r="W28" i="22"/>
  <c r="J65" i="27"/>
  <c r="I24" i="27"/>
  <c r="K15" i="27"/>
  <c r="HU31" i="9"/>
  <c r="Q69" i="26" s="1"/>
  <c r="I94" i="27"/>
  <c r="GT13" i="9"/>
  <c r="O16" i="24" s="1"/>
  <c r="HL49" i="9"/>
  <c r="R71" i="25" s="1"/>
  <c r="GH64" i="9"/>
  <c r="O67" i="23" s="1"/>
  <c r="J63" i="27"/>
  <c r="HO105" i="9"/>
  <c r="O71" i="26" s="1"/>
  <c r="FA72" i="9"/>
  <c r="O78" i="22" s="1"/>
  <c r="L72" i="27"/>
  <c r="GT76" i="9"/>
  <c r="O76" i="24" s="1"/>
  <c r="K59" i="27"/>
  <c r="GZ50" i="9"/>
  <c r="Q24" i="24" s="1"/>
  <c r="J12" i="27"/>
  <c r="HC120" i="9"/>
  <c r="O28" i="25" s="1"/>
  <c r="GZ141" i="9"/>
  <c r="Q66" i="24" s="1"/>
  <c r="HR88" i="9"/>
  <c r="L84" i="27"/>
  <c r="U85" i="22"/>
  <c r="GZ117" i="9"/>
  <c r="Q89" i="24" s="1"/>
  <c r="GT66" i="9"/>
  <c r="O42" i="24" s="1"/>
  <c r="HC35" i="9"/>
  <c r="O26" i="25" s="1"/>
  <c r="GH43" i="9"/>
  <c r="O57" i="23" s="1"/>
  <c r="GZ48" i="9"/>
  <c r="Q62" i="24" s="1"/>
  <c r="GW12" i="9"/>
  <c r="P53" i="24" s="1"/>
  <c r="K72" i="20"/>
  <c r="I77" i="27"/>
  <c r="T6" i="25"/>
  <c r="L12" i="27"/>
  <c r="GW53" i="9"/>
  <c r="P70" i="24" s="1"/>
  <c r="GZ137" i="9"/>
  <c r="Q99" i="24" s="1"/>
  <c r="HL53" i="9"/>
  <c r="R41" i="25" s="1"/>
  <c r="GN41" i="9"/>
  <c r="Q58" i="23" s="1"/>
  <c r="L60" i="27"/>
  <c r="GQ116" i="9"/>
  <c r="R46" i="23" s="1"/>
  <c r="FD35" i="9"/>
  <c r="R69" i="32" s="1"/>
  <c r="FJ133" i="9"/>
  <c r="R105" i="36" s="1"/>
  <c r="HC43" i="9"/>
  <c r="O87" i="25" s="1"/>
  <c r="GT41" i="9"/>
  <c r="O78" i="24" s="1"/>
  <c r="K4" i="27"/>
  <c r="IF49" i="9"/>
  <c r="N41" i="28" s="1"/>
  <c r="L77" i="27"/>
  <c r="GK89" i="9"/>
  <c r="P68" i="23" s="1"/>
  <c r="J44" i="27"/>
  <c r="GK91" i="9"/>
  <c r="P82" i="23" s="1"/>
  <c r="I86" i="27"/>
  <c r="K12" i="27"/>
  <c r="GT145" i="9"/>
  <c r="O100" i="24" s="1"/>
  <c r="GZ134" i="9"/>
  <c r="Q97" i="24" s="1"/>
  <c r="X105" i="22"/>
  <c r="GQ117" i="9"/>
  <c r="R95" i="23" s="1"/>
  <c r="II120" i="9"/>
  <c r="Q37" i="28" s="1"/>
  <c r="GN46" i="9"/>
  <c r="Q31" i="23" s="1"/>
  <c r="AA58" i="25"/>
  <c r="HC119" i="9"/>
  <c r="O58" i="25" s="1"/>
  <c r="I38" i="27"/>
  <c r="HI17" i="9"/>
  <c r="Q53" i="25" s="1"/>
  <c r="HI116" i="9"/>
  <c r="Q40" i="25" s="1"/>
  <c r="HF76" i="9"/>
  <c r="P15" i="25" s="1"/>
  <c r="J87" i="27"/>
  <c r="GQ17" i="9"/>
  <c r="R69" i="23" s="1"/>
  <c r="GN81" i="9"/>
  <c r="Q71" i="23" s="1"/>
  <c r="K94" i="20"/>
  <c r="J21" i="27"/>
  <c r="L15" i="27"/>
  <c r="IG33" i="9"/>
  <c r="I66" i="27"/>
  <c r="GZ77" i="9"/>
  <c r="Q77" i="24" s="1"/>
  <c r="HR136" i="9"/>
  <c r="P104" i="26" s="1"/>
  <c r="GH140" i="9"/>
  <c r="O76" i="23" s="1"/>
  <c r="HI101" i="9"/>
  <c r="Q8" i="25" s="1"/>
  <c r="HA28" i="9"/>
  <c r="GZ28" i="9" s="1"/>
  <c r="Q19" i="24" s="1"/>
  <c r="IJ33" i="9"/>
  <c r="HO62" i="9"/>
  <c r="O44" i="26" s="1"/>
  <c r="FG12" i="9"/>
  <c r="R5" i="34" s="1"/>
  <c r="I19" i="27"/>
  <c r="HR15" i="9"/>
  <c r="P50" i="26" s="1"/>
  <c r="HI19" i="9"/>
  <c r="Q18" i="25" s="1"/>
  <c r="GT82" i="9"/>
  <c r="O81" i="24" s="1"/>
  <c r="IG148" i="9"/>
  <c r="GW142" i="9"/>
  <c r="P36" i="24" s="1"/>
  <c r="HU133" i="9"/>
  <c r="Q105" i="26" s="1"/>
  <c r="HI91" i="9"/>
  <c r="Q68" i="25" s="1"/>
  <c r="FA51" i="9"/>
  <c r="O46" i="22" s="1"/>
  <c r="HC60" i="9"/>
  <c r="O50" i="25" s="1"/>
  <c r="S81" i="26"/>
  <c r="X82" i="22"/>
  <c r="S48" i="24"/>
  <c r="GK116" i="9"/>
  <c r="P46" i="23" s="1"/>
  <c r="HO65" i="9"/>
  <c r="O48" i="26" s="1"/>
  <c r="IJ49" i="9"/>
  <c r="R41" i="28" s="1"/>
  <c r="GN22" i="9"/>
  <c r="Q22" i="23" s="1"/>
  <c r="J58" i="27"/>
  <c r="J24" i="27"/>
  <c r="HF125" i="9"/>
  <c r="P24" i="25" s="1"/>
  <c r="IG105" i="9"/>
  <c r="O76" i="28" s="1"/>
  <c r="HO77" i="9"/>
  <c r="O9" i="26" s="1"/>
  <c r="IJ71" i="9"/>
  <c r="R83" i="28" s="1"/>
  <c r="I8" i="27"/>
  <c r="GH137" i="9"/>
  <c r="O92" i="23" s="1"/>
  <c r="HR113" i="9"/>
  <c r="P13" i="26" s="1"/>
  <c r="GW16" i="9"/>
  <c r="P63" i="24" s="1"/>
  <c r="H52" i="27"/>
  <c r="L34" i="27"/>
  <c r="GZ73" i="9"/>
  <c r="Q45" i="24" s="1"/>
  <c r="HU50" i="9"/>
  <c r="Q38" i="26" s="1"/>
  <c r="J48" i="27"/>
  <c r="HO58" i="9"/>
  <c r="O5" i="26" s="1"/>
  <c r="H66" i="27"/>
  <c r="HO81" i="9"/>
  <c r="O67" i="26" s="1"/>
  <c r="GK150" i="9"/>
  <c r="P66" i="23" s="1"/>
  <c r="GN77" i="9"/>
  <c r="Q9" i="23" s="1"/>
  <c r="HI66" i="9"/>
  <c r="Q27" i="25" s="1"/>
  <c r="GH125" i="9"/>
  <c r="O26" i="23" s="1"/>
  <c r="W87" i="22"/>
  <c r="II49" i="9"/>
  <c r="Q41" i="28" s="1"/>
  <c r="GT73" i="9"/>
  <c r="O45" i="24" s="1"/>
  <c r="GT15" i="9"/>
  <c r="O25" i="24" s="1"/>
  <c r="EY49" i="9"/>
  <c r="T39" i="22" s="1"/>
  <c r="HO68" i="9"/>
  <c r="O31" i="26" s="1"/>
  <c r="K58" i="27"/>
  <c r="I58" i="27"/>
  <c r="I31" i="27"/>
  <c r="GZ63" i="9"/>
  <c r="Q73" i="24" s="1"/>
  <c r="H15" i="27"/>
  <c r="HC77" i="9"/>
  <c r="O11" i="25" s="1"/>
  <c r="T81" i="25"/>
  <c r="AA47" i="23"/>
  <c r="GH15" i="9"/>
  <c r="O47" i="23" s="1"/>
  <c r="GT42" i="9"/>
  <c r="O79" i="24" s="1"/>
  <c r="X86" i="22"/>
  <c r="GK15" i="9"/>
  <c r="P47" i="23" s="1"/>
  <c r="GN72" i="9"/>
  <c r="Q78" i="23" s="1"/>
  <c r="L53" i="27"/>
  <c r="I35" i="27"/>
  <c r="GT11" i="9"/>
  <c r="O51" i="24" s="1"/>
  <c r="HD92" i="9"/>
  <c r="U88" i="25" s="1"/>
  <c r="GW137" i="9"/>
  <c r="P99" i="24" s="1"/>
  <c r="EY148" i="9"/>
  <c r="T96" i="22" s="1"/>
  <c r="HC124" i="9"/>
  <c r="O60" i="25" s="1"/>
  <c r="GZ120" i="9"/>
  <c r="Q92" i="24" s="1"/>
  <c r="HF115" i="9"/>
  <c r="P49" i="25" s="1"/>
  <c r="AD63" i="23"/>
  <c r="GN108" i="9"/>
  <c r="Q81" i="23" s="1"/>
  <c r="L78" i="27"/>
  <c r="W12" i="22"/>
  <c r="AB5" i="23"/>
  <c r="GK82" i="9"/>
  <c r="P5" i="23" s="1"/>
  <c r="GU28" i="9"/>
  <c r="T19" i="24" s="1"/>
  <c r="IG71" i="9"/>
  <c r="J84" i="27"/>
  <c r="II71" i="9"/>
  <c r="Q83" i="28" s="1"/>
  <c r="H60" i="27"/>
  <c r="HF58" i="9"/>
  <c r="P31" i="25" s="1"/>
  <c r="H51" i="27"/>
  <c r="HF51" i="9"/>
  <c r="P74" i="25" s="1"/>
  <c r="H89" i="27"/>
  <c r="HC50" i="9"/>
  <c r="O70" i="25" s="1"/>
  <c r="GQ81" i="9"/>
  <c r="R71" i="23" s="1"/>
  <c r="GW140" i="9"/>
  <c r="P49" i="24" s="1"/>
  <c r="GQ87" i="9"/>
  <c r="R32" i="23" s="1"/>
  <c r="I67" i="27"/>
  <c r="HO93" i="9"/>
  <c r="O89" i="26" s="1"/>
  <c r="HU134" i="9"/>
  <c r="Q101" i="26" s="1"/>
  <c r="II148" i="9"/>
  <c r="Q96" i="28" s="1"/>
  <c r="GN141" i="9"/>
  <c r="Q98" i="23" s="1"/>
  <c r="HF127" i="9"/>
  <c r="P75" i="25" s="1"/>
  <c r="H91" i="27"/>
  <c r="GI28" i="9"/>
  <c r="GH28" i="9" s="1"/>
  <c r="O42" i="23" s="1"/>
  <c r="IH71" i="9"/>
  <c r="P83" i="28" s="1"/>
  <c r="J5" i="27"/>
  <c r="GZ138" i="9"/>
  <c r="Q65" i="24" s="1"/>
  <c r="IJ150" i="9"/>
  <c r="R63" i="28" s="1"/>
  <c r="GT87" i="9"/>
  <c r="O29" i="24" s="1"/>
  <c r="H98" i="27"/>
  <c r="K82" i="27"/>
  <c r="IJ95" i="9"/>
  <c r="EY126" i="9"/>
  <c r="EX126" i="9" s="1"/>
  <c r="IF71" i="9"/>
  <c r="N83" i="28" s="1"/>
  <c r="HF143" i="9"/>
  <c r="P101" i="25" s="1"/>
  <c r="GH119" i="9"/>
  <c r="O74" i="23" s="1"/>
  <c r="HF124" i="9"/>
  <c r="P60" i="25" s="1"/>
  <c r="L64" i="27"/>
  <c r="H74" i="27"/>
  <c r="H97" i="27"/>
  <c r="K8" i="27"/>
  <c r="W94" i="22"/>
  <c r="H77" i="27"/>
  <c r="AB27" i="23"/>
  <c r="GK8" i="9"/>
  <c r="P27" i="23" s="1"/>
  <c r="HO76" i="9"/>
  <c r="O11" i="26" s="1"/>
  <c r="I6" i="27"/>
  <c r="GW15" i="9"/>
  <c r="P25" i="24" s="1"/>
  <c r="HU81" i="9"/>
  <c r="Q67" i="26" s="1"/>
  <c r="GQ114" i="9"/>
  <c r="R75" i="23" s="1"/>
  <c r="HO121" i="9"/>
  <c r="O84" i="26" s="1"/>
  <c r="L32" i="27"/>
  <c r="AA66" i="26"/>
  <c r="HU18" i="9"/>
  <c r="Q66" i="26" s="1"/>
  <c r="HI43" i="9"/>
  <c r="Q87" i="25" s="1"/>
  <c r="GW127" i="9"/>
  <c r="P58" i="24" s="1"/>
  <c r="J64" i="27"/>
  <c r="I98" i="27"/>
  <c r="HL143" i="9"/>
  <c r="R101" i="25" s="1"/>
  <c r="GH48" i="9"/>
  <c r="O101" i="23" s="1"/>
  <c r="HU105" i="9"/>
  <c r="Q71" i="26" s="1"/>
  <c r="H8" i="27"/>
  <c r="IH131" i="9"/>
  <c r="GN117" i="9"/>
  <c r="Q95" i="23" s="1"/>
  <c r="HO148" i="9"/>
  <c r="O93" i="26" s="1"/>
  <c r="K65" i="20"/>
  <c r="Z66" i="26"/>
  <c r="HR18" i="9"/>
  <c r="P66" i="26" s="1"/>
  <c r="L46" i="27"/>
  <c r="GK16" i="9"/>
  <c r="P65" i="23" s="1"/>
  <c r="GW27" i="9"/>
  <c r="P10" i="24" s="1"/>
  <c r="HO17" i="9"/>
  <c r="O73" i="26" s="1"/>
  <c r="J96" i="27"/>
  <c r="HC137" i="9"/>
  <c r="O82" i="25" s="1"/>
  <c r="HL91" i="9"/>
  <c r="R68" i="25" s="1"/>
  <c r="J32" i="27"/>
  <c r="HL127" i="9"/>
  <c r="R75" i="25" s="1"/>
  <c r="HC115" i="9"/>
  <c r="O49" i="25" s="1"/>
  <c r="GH124" i="9"/>
  <c r="O70" i="23" s="1"/>
  <c r="IJ131" i="9"/>
  <c r="I46" i="27"/>
  <c r="HL51" i="9"/>
  <c r="R74" i="25" s="1"/>
  <c r="H39" i="27"/>
  <c r="GO28" i="9"/>
  <c r="W42" i="23" s="1"/>
  <c r="HI18" i="9"/>
  <c r="Q54" i="25" s="1"/>
  <c r="IH57" i="9"/>
  <c r="HL54" i="9"/>
  <c r="R32" i="25" s="1"/>
  <c r="I64" i="27"/>
  <c r="I97" i="27"/>
  <c r="K41" i="27"/>
  <c r="J88" i="27"/>
  <c r="H75" i="27"/>
  <c r="L8" i="27"/>
  <c r="GT113" i="9"/>
  <c r="O85" i="24" s="1"/>
  <c r="EY131" i="9"/>
  <c r="EX131" i="9" s="1"/>
  <c r="EW131" i="9" s="1"/>
  <c r="GK93" i="9"/>
  <c r="P93" i="23" s="1"/>
  <c r="HL115" i="9"/>
  <c r="R49" i="25" s="1"/>
  <c r="GH52" i="9"/>
  <c r="O28" i="23" s="1"/>
  <c r="L33" i="27"/>
  <c r="I5" i="27"/>
  <c r="HL10" i="9"/>
  <c r="GT61" i="9"/>
  <c r="O37" i="24" s="1"/>
  <c r="I41" i="27"/>
  <c r="J47" i="27"/>
  <c r="HA92" i="9"/>
  <c r="V55" i="24" s="1"/>
  <c r="GN67" i="9"/>
  <c r="Q8" i="23" s="1"/>
  <c r="GH82" i="9"/>
  <c r="O5" i="23" s="1"/>
  <c r="HO51" i="9"/>
  <c r="O49" i="26" s="1"/>
  <c r="GN58" i="9"/>
  <c r="Q6" i="23" s="1"/>
  <c r="IG131" i="9"/>
  <c r="H87" i="27"/>
  <c r="GN82" i="9"/>
  <c r="Q5" i="23" s="1"/>
  <c r="GQ108" i="9"/>
  <c r="R81" i="23" s="1"/>
  <c r="HI120" i="9"/>
  <c r="Q28" i="25" s="1"/>
  <c r="HR89" i="9"/>
  <c r="P63" i="26" s="1"/>
  <c r="IG121" i="9"/>
  <c r="O88" i="28" s="1"/>
  <c r="W77" i="22"/>
  <c r="AA44" i="23"/>
  <c r="GH42" i="9"/>
  <c r="O44" i="23" s="1"/>
  <c r="Y58" i="24"/>
  <c r="GT127" i="9"/>
  <c r="O58" i="24" s="1"/>
  <c r="AB20" i="23"/>
  <c r="GK13" i="9"/>
  <c r="P20" i="23" s="1"/>
  <c r="II41" i="9"/>
  <c r="GH135" i="9"/>
  <c r="O77" i="23" s="1"/>
  <c r="J104" i="27"/>
  <c r="H104" i="27"/>
  <c r="J49" i="27"/>
  <c r="HR142" i="9"/>
  <c r="P41" i="26" s="1"/>
  <c r="H92" i="27"/>
  <c r="Y20" i="24"/>
  <c r="GT45" i="9"/>
  <c r="O20" i="24" s="1"/>
  <c r="AA64" i="25"/>
  <c r="HC114" i="9"/>
  <c r="O64" i="25" s="1"/>
  <c r="T66" i="25"/>
  <c r="W73" i="22"/>
  <c r="FG135" i="9"/>
  <c r="GT14" i="9"/>
  <c r="O18" i="24" s="1"/>
  <c r="K13" i="27"/>
  <c r="IG49" i="9"/>
  <c r="O41" i="28" s="1"/>
  <c r="IJ126" i="9"/>
  <c r="H54" i="27"/>
  <c r="GO92" i="9"/>
  <c r="W96" i="23" s="1"/>
  <c r="J94" i="27"/>
  <c r="H30" i="27"/>
  <c r="GZ42" i="9"/>
  <c r="Q79" i="24" s="1"/>
  <c r="H62" i="27"/>
  <c r="HF75" i="9"/>
  <c r="P4" i="25" s="1"/>
  <c r="Z64" i="24"/>
  <c r="GW71" i="9"/>
  <c r="P64" i="24" s="1"/>
  <c r="AD20" i="23"/>
  <c r="GQ13" i="9"/>
  <c r="R20" i="23" s="1"/>
  <c r="AB64" i="25"/>
  <c r="HF114" i="9"/>
  <c r="P64" i="25" s="1"/>
  <c r="Z93" i="26"/>
  <c r="HR148" i="9"/>
  <c r="P93" i="26" s="1"/>
  <c r="I70" i="27"/>
  <c r="IJ15" i="9"/>
  <c r="R36" i="28" s="1"/>
  <c r="GQ70" i="9"/>
  <c r="R59" i="23" s="1"/>
  <c r="J18" i="27"/>
  <c r="IG41" i="9"/>
  <c r="O66" i="28" s="1"/>
  <c r="HU27" i="9"/>
  <c r="Q17" i="26" s="1"/>
  <c r="I76" i="27"/>
  <c r="I104" i="27"/>
  <c r="GQ141" i="9"/>
  <c r="R98" i="23" s="1"/>
  <c r="H41" i="27"/>
  <c r="J76" i="27"/>
  <c r="HC116" i="9"/>
  <c r="O40" i="25" s="1"/>
  <c r="HI133" i="9"/>
  <c r="Q97" i="25" s="1"/>
  <c r="GN13" i="9"/>
  <c r="Q20" i="23" s="1"/>
  <c r="H76" i="27"/>
  <c r="HC75" i="9"/>
  <c r="O4" i="25" s="1"/>
  <c r="Z75" i="26"/>
  <c r="HR23" i="9"/>
  <c r="P75" i="26" s="1"/>
  <c r="AD9" i="23"/>
  <c r="GQ77" i="9"/>
  <c r="R9" i="23" s="1"/>
  <c r="V9" i="22"/>
  <c r="FD101" i="9"/>
  <c r="S82" i="24"/>
  <c r="I56" i="27"/>
  <c r="HO22" i="9"/>
  <c r="O26" i="26" s="1"/>
  <c r="GK46" i="9"/>
  <c r="P31" i="23" s="1"/>
  <c r="K18" i="27"/>
  <c r="IF41" i="9"/>
  <c r="N66" i="28" s="1"/>
  <c r="J20" i="27"/>
  <c r="J57" i="27"/>
  <c r="IF46" i="9"/>
  <c r="N33" i="28" s="1"/>
  <c r="GK114" i="9"/>
  <c r="P75" i="23" s="1"/>
  <c r="IG120" i="9"/>
  <c r="O37" i="28" s="1"/>
  <c r="GT77" i="9"/>
  <c r="O77" i="24" s="1"/>
  <c r="GZ119" i="9"/>
  <c r="Q91" i="24" s="1"/>
  <c r="J92" i="27"/>
  <c r="L62" i="27"/>
  <c r="GQ91" i="9"/>
  <c r="R82" i="23" s="1"/>
  <c r="Y75" i="26"/>
  <c r="HO23" i="9"/>
  <c r="O75" i="26" s="1"/>
  <c r="AD38" i="25"/>
  <c r="HL122" i="9"/>
  <c r="R38" i="25" s="1"/>
  <c r="H56" i="27"/>
  <c r="H69" i="27"/>
  <c r="EY41" i="9"/>
  <c r="T63" i="22" s="1"/>
  <c r="GI24" i="9"/>
  <c r="GH24" i="9" s="1"/>
  <c r="O23" i="23" s="1"/>
  <c r="K51" i="27"/>
  <c r="HF64" i="9"/>
  <c r="P67" i="25" s="1"/>
  <c r="J54" i="27"/>
  <c r="K62" i="27"/>
  <c r="L76" i="27"/>
  <c r="GZ62" i="9"/>
  <c r="Q72" i="24" s="1"/>
  <c r="GN91" i="9"/>
  <c r="Q82" i="23" s="1"/>
  <c r="H28" i="27"/>
  <c r="R3" i="23"/>
  <c r="IH41" i="9"/>
  <c r="P66" i="28" s="1"/>
  <c r="HJ29" i="9"/>
  <c r="W16" i="25" s="1"/>
  <c r="HD28" i="9"/>
  <c r="HC28" i="9" s="1"/>
  <c r="O30" i="25" s="1"/>
  <c r="H58" i="27"/>
  <c r="GW13" i="9"/>
  <c r="P16" i="24" s="1"/>
  <c r="I15" i="27"/>
  <c r="I25" i="27"/>
  <c r="GH60" i="9"/>
  <c r="O56" i="23" s="1"/>
  <c r="HI87" i="9"/>
  <c r="Q22" i="25" s="1"/>
  <c r="HR139" i="9"/>
  <c r="P51" i="26" s="1"/>
  <c r="IH76" i="9"/>
  <c r="P19" i="28" s="1"/>
  <c r="AA49" i="26"/>
  <c r="HU51" i="9"/>
  <c r="Q49" i="26" s="1"/>
  <c r="AD78" i="23"/>
  <c r="GQ72" i="9"/>
  <c r="R78" i="23" s="1"/>
  <c r="AA80" i="26"/>
  <c r="HU127" i="9"/>
  <c r="Q80" i="26" s="1"/>
  <c r="Z34" i="26"/>
  <c r="HR45" i="9"/>
  <c r="P34" i="26" s="1"/>
  <c r="S20" i="24"/>
  <c r="V33" i="22"/>
  <c r="FD45" i="9"/>
  <c r="J70" i="27"/>
  <c r="GK27" i="9"/>
  <c r="P14" i="23" s="1"/>
  <c r="HR84" i="9"/>
  <c r="P16" i="26" s="1"/>
  <c r="IJ41" i="9"/>
  <c r="R66" i="28" s="1"/>
  <c r="HC49" i="9"/>
  <c r="O71" i="25" s="1"/>
  <c r="HC91" i="9"/>
  <c r="O68" i="25" s="1"/>
  <c r="J55" i="27"/>
  <c r="K95" i="27"/>
  <c r="J62" i="27"/>
  <c r="L92" i="27"/>
  <c r="IH152" i="9"/>
  <c r="HU124" i="9"/>
  <c r="Q68" i="26" s="1"/>
  <c r="AB28" i="23"/>
  <c r="GK52" i="9"/>
  <c r="P28" i="23" s="1"/>
  <c r="AB78" i="23"/>
  <c r="GK72" i="9"/>
  <c r="P78" i="23" s="1"/>
  <c r="Y80" i="26"/>
  <c r="HO127" i="9"/>
  <c r="O80" i="26" s="1"/>
  <c r="H20" i="27"/>
  <c r="GN66" i="9"/>
  <c r="Q35" i="23" s="1"/>
  <c r="H102" i="27"/>
  <c r="H47" i="27"/>
  <c r="K30" i="27"/>
  <c r="HM92" i="9"/>
  <c r="X88" i="25" s="1"/>
  <c r="H96" i="27"/>
  <c r="H88" i="27"/>
  <c r="IF121" i="9"/>
  <c r="N88" i="28" s="1"/>
  <c r="GK140" i="9"/>
  <c r="P76" i="23" s="1"/>
  <c r="IJ152" i="9"/>
  <c r="FJ135" i="9"/>
  <c r="N79" i="36" s="1"/>
  <c r="Z49" i="26"/>
  <c r="HR51" i="9"/>
  <c r="P49" i="26" s="1"/>
  <c r="Z80" i="26"/>
  <c r="HR127" i="9"/>
  <c r="P80" i="26" s="1"/>
  <c r="IJ17" i="9"/>
  <c r="R65" i="28" s="1"/>
  <c r="HI12" i="9"/>
  <c r="Q6" i="25" s="1"/>
  <c r="L55" i="27"/>
  <c r="H46" i="27"/>
  <c r="HI41" i="9"/>
  <c r="Q47" i="25" s="1"/>
  <c r="K46" i="27"/>
  <c r="HI61" i="9"/>
  <c r="Q55" i="25" s="1"/>
  <c r="L89" i="27"/>
  <c r="GZ13" i="9"/>
  <c r="Q16" i="24" s="1"/>
  <c r="IH8" i="9"/>
  <c r="P25" i="28" s="1"/>
  <c r="L88" i="27"/>
  <c r="GQ140" i="9"/>
  <c r="R76" i="23" s="1"/>
  <c r="K104" i="27"/>
  <c r="HL116" i="9"/>
  <c r="R40" i="25" s="1"/>
  <c r="K64" i="27"/>
  <c r="IH121" i="9"/>
  <c r="P88" i="28" s="1"/>
  <c r="H37" i="27"/>
  <c r="I82" i="27"/>
  <c r="GZ122" i="9"/>
  <c r="Q93" i="24" s="1"/>
  <c r="FA132" i="9"/>
  <c r="P85" i="30" s="1"/>
  <c r="X73" i="22"/>
  <c r="AC63" i="23"/>
  <c r="GN53" i="9"/>
  <c r="Q63" i="23" s="1"/>
  <c r="AC26" i="25"/>
  <c r="HI35" i="9"/>
  <c r="Q26" i="25" s="1"/>
  <c r="AC64" i="25"/>
  <c r="HI114" i="9"/>
  <c r="Q64" i="25" s="1"/>
  <c r="IG25" i="9"/>
  <c r="GH18" i="9"/>
  <c r="O64" i="23" s="1"/>
  <c r="GW139" i="9"/>
  <c r="P43" i="24" s="1"/>
  <c r="I92" i="27"/>
  <c r="IJ121" i="9"/>
  <c r="R88" i="28" s="1"/>
  <c r="GT71" i="9"/>
  <c r="O64" i="24" s="1"/>
  <c r="T84" i="23"/>
  <c r="AB9" i="23"/>
  <c r="GK77" i="9"/>
  <c r="P9" i="23" s="1"/>
  <c r="GN70" i="9"/>
  <c r="Q59" i="23" s="1"/>
  <c r="GX28" i="9"/>
  <c r="U19" i="24" s="1"/>
  <c r="I51" i="27"/>
  <c r="J89" i="27"/>
  <c r="I57" i="27"/>
  <c r="I13" i="27"/>
  <c r="L13" i="27"/>
  <c r="H48" i="27"/>
  <c r="K79" i="27"/>
  <c r="HD89" i="9"/>
  <c r="HC89" i="9" s="1"/>
  <c r="O52" i="25" s="1"/>
  <c r="H99" i="27"/>
  <c r="IH51" i="9"/>
  <c r="P54" i="28" s="1"/>
  <c r="HU77" i="9"/>
  <c r="Q9" i="26" s="1"/>
  <c r="HC118" i="9"/>
  <c r="O80" i="25" s="1"/>
  <c r="GZ123" i="9"/>
  <c r="Q95" i="24" s="1"/>
  <c r="H84" i="27"/>
  <c r="GZ147" i="9"/>
  <c r="Q102" i="24" s="1"/>
  <c r="EY121" i="9"/>
  <c r="EX121" i="9" s="1"/>
  <c r="EW121" i="9" s="1"/>
  <c r="M85" i="20" s="1"/>
  <c r="GW147" i="9"/>
  <c r="P102" i="24" s="1"/>
  <c r="HO120" i="9"/>
  <c r="O37" i="26" s="1"/>
  <c r="GN123" i="9"/>
  <c r="Q55" i="23" s="1"/>
  <c r="Z9" i="24"/>
  <c r="GW22" i="9"/>
  <c r="P9" i="24" s="1"/>
  <c r="T95" i="25"/>
  <c r="W104" i="22"/>
  <c r="AA58" i="23"/>
  <c r="GH41" i="9"/>
  <c r="O58" i="23" s="1"/>
  <c r="HI52" i="9"/>
  <c r="Q35" i="25" s="1"/>
  <c r="HR35" i="9"/>
  <c r="P33" i="26" s="1"/>
  <c r="I34" i="27"/>
  <c r="GQ75" i="9"/>
  <c r="R4" i="23" s="1"/>
  <c r="HU65" i="9"/>
  <c r="Q48" i="26" s="1"/>
  <c r="I20" i="27"/>
  <c r="GQ27" i="9"/>
  <c r="R14" i="23" s="1"/>
  <c r="H21" i="27"/>
  <c r="II121" i="9"/>
  <c r="Q88" i="28" s="1"/>
  <c r="HO82" i="9"/>
  <c r="O6" i="26" s="1"/>
  <c r="AA9" i="24"/>
  <c r="GZ22" i="9"/>
  <c r="Q9" i="24" s="1"/>
  <c r="AB58" i="23"/>
  <c r="GK41" i="9"/>
  <c r="P58" i="23" s="1"/>
  <c r="Z84" i="26"/>
  <c r="HR121" i="9"/>
  <c r="P84" i="26" s="1"/>
  <c r="HL17" i="9"/>
  <c r="R53" i="25" s="1"/>
  <c r="I26" i="27"/>
  <c r="GN116" i="9"/>
  <c r="Q46" i="23" s="1"/>
  <c r="J4" i="27"/>
  <c r="K57" i="27"/>
  <c r="GW54" i="9"/>
  <c r="P71" i="24" s="1"/>
  <c r="GQ46" i="9"/>
  <c r="R31" i="23" s="1"/>
  <c r="GT48" i="9"/>
  <c r="O62" i="24" s="1"/>
  <c r="K89" i="27"/>
  <c r="H4" i="27"/>
  <c r="H13" i="27"/>
  <c r="GK73" i="9"/>
  <c r="P40" i="23" s="1"/>
  <c r="IJ132" i="9"/>
  <c r="R84" i="28" s="1"/>
  <c r="HC125" i="9"/>
  <c r="O24" i="25" s="1"/>
  <c r="IG150" i="9"/>
  <c r="O63" i="28" s="1"/>
  <c r="GQ122" i="9"/>
  <c r="R52" i="23" s="1"/>
  <c r="HC127" i="9"/>
  <c r="O75" i="25" s="1"/>
  <c r="HL125" i="9"/>
  <c r="R24" i="25" s="1"/>
  <c r="H72" i="27"/>
  <c r="AD58" i="23"/>
  <c r="GQ41" i="9"/>
  <c r="R58" i="23" s="1"/>
  <c r="V21" i="25"/>
  <c r="HF24" i="9"/>
  <c r="P21" i="25" s="1"/>
  <c r="P46" i="24"/>
  <c r="P3" i="24"/>
  <c r="K52" i="20"/>
  <c r="Z52" i="22"/>
  <c r="H26" i="27"/>
  <c r="GO24" i="9"/>
  <c r="S17" i="26"/>
  <c r="X13" i="22"/>
  <c r="FJ27" i="9"/>
  <c r="GK23" i="9"/>
  <c r="P73" i="23" s="1"/>
  <c r="AB48" i="23"/>
  <c r="GK65" i="9"/>
  <c r="P48" i="23" s="1"/>
  <c r="J39" i="27"/>
  <c r="T47" i="25"/>
  <c r="W63" i="22"/>
  <c r="FG41" i="9"/>
  <c r="GI29" i="9"/>
  <c r="S26" i="26"/>
  <c r="X21" i="22"/>
  <c r="FJ22" i="9"/>
  <c r="AB60" i="23"/>
  <c r="GK61" i="9"/>
  <c r="P60" i="23" s="1"/>
  <c r="EY26" i="9"/>
  <c r="HG28" i="9"/>
  <c r="W19" i="23"/>
  <c r="GN56" i="9"/>
  <c r="Q19" i="23" s="1"/>
  <c r="HA24" i="9"/>
  <c r="AC30" i="23"/>
  <c r="GN19" i="9"/>
  <c r="Q30" i="23" s="1"/>
  <c r="GK11" i="9"/>
  <c r="P24" i="23" s="1"/>
  <c r="W56" i="25"/>
  <c r="HI31" i="9"/>
  <c r="Q56" i="25" s="1"/>
  <c r="S48" i="26"/>
  <c r="X50" i="22"/>
  <c r="FJ65" i="9"/>
  <c r="AA6" i="25"/>
  <c r="HC12" i="9"/>
  <c r="O6" i="25" s="1"/>
  <c r="GQ9" i="9"/>
  <c r="FB9" i="9"/>
  <c r="L17" i="27"/>
  <c r="Y10" i="26"/>
  <c r="Z90" i="9"/>
  <c r="GR90" i="9" s="1"/>
  <c r="GI90" i="9"/>
  <c r="T101" i="25"/>
  <c r="W103" i="22"/>
  <c r="FG143" i="9"/>
  <c r="Y43" i="26"/>
  <c r="HO150" i="9"/>
  <c r="O43" i="26" s="1"/>
  <c r="AA86" i="23"/>
  <c r="GH121" i="9"/>
  <c r="O86" i="23" s="1"/>
  <c r="Z84" i="24"/>
  <c r="GW108" i="9"/>
  <c r="P84" i="24" s="1"/>
  <c r="I106" i="27"/>
  <c r="H16" i="27"/>
  <c r="H24" i="27"/>
  <c r="AC65" i="23"/>
  <c r="GN16" i="9"/>
  <c r="Q65" i="23" s="1"/>
  <c r="J52" i="27"/>
  <c r="H14" i="27"/>
  <c r="H31" i="27"/>
  <c r="AD10" i="25"/>
  <c r="HL27" i="9"/>
  <c r="R10" i="25" s="1"/>
  <c r="IH55" i="9"/>
  <c r="S79" i="24"/>
  <c r="V49" i="22"/>
  <c r="FD42" i="9"/>
  <c r="II126" i="9"/>
  <c r="L26" i="27"/>
  <c r="GH116" i="9"/>
  <c r="O46" i="23" s="1"/>
  <c r="GN54" i="9"/>
  <c r="Q43" i="23" s="1"/>
  <c r="T69" i="25"/>
  <c r="W33" i="22"/>
  <c r="FG45" i="9"/>
  <c r="GR92" i="9"/>
  <c r="HS92" i="9"/>
  <c r="HG92" i="9"/>
  <c r="GU92" i="9"/>
  <c r="GX92" i="9"/>
  <c r="HJ92" i="9"/>
  <c r="S40" i="24"/>
  <c r="V52" i="22"/>
  <c r="FD30" i="9"/>
  <c r="H79" i="27"/>
  <c r="AB95" i="25"/>
  <c r="HF136" i="9"/>
  <c r="P95" i="25" s="1"/>
  <c r="Z67" i="22"/>
  <c r="K67" i="20"/>
  <c r="GK132" i="9"/>
  <c r="P84" i="23" s="1"/>
  <c r="K6" i="27"/>
  <c r="Z77" i="22"/>
  <c r="K77" i="20"/>
  <c r="J30" i="27"/>
  <c r="AD11" i="25"/>
  <c r="HL77" i="9"/>
  <c r="R11" i="25" s="1"/>
  <c r="T51" i="26"/>
  <c r="FK139" i="9"/>
  <c r="HO139" i="9"/>
  <c r="O51" i="26" s="1"/>
  <c r="I74" i="27"/>
  <c r="J74" i="27"/>
  <c r="GN113" i="9"/>
  <c r="Q13" i="23" s="1"/>
  <c r="AA81" i="26"/>
  <c r="HU108" i="9"/>
  <c r="Q81" i="26" s="1"/>
  <c r="Z96" i="24"/>
  <c r="GW133" i="9"/>
  <c r="P96" i="24" s="1"/>
  <c r="K43" i="20"/>
  <c r="Z43" i="22"/>
  <c r="HO72" i="9"/>
  <c r="O78" i="26" s="1"/>
  <c r="HJ147" i="9"/>
  <c r="HD147" i="9"/>
  <c r="HV147" i="9"/>
  <c r="HM147" i="9"/>
  <c r="U75" i="22"/>
  <c r="T76" i="23"/>
  <c r="IG140" i="9"/>
  <c r="IJ140" i="9"/>
  <c r="EY140" i="9"/>
  <c r="II140" i="9"/>
  <c r="IH140" i="9"/>
  <c r="FA140" i="9"/>
  <c r="IF140" i="9"/>
  <c r="AA4" i="24"/>
  <c r="GZ75" i="9"/>
  <c r="Q4" i="24" s="1"/>
  <c r="AD104" i="23"/>
  <c r="GQ136" i="9"/>
  <c r="R104" i="23" s="1"/>
  <c r="Z30" i="22"/>
  <c r="K30" i="20"/>
  <c r="H85" i="27"/>
  <c r="R3" i="25"/>
  <c r="W96" i="22"/>
  <c r="T93" i="25"/>
  <c r="FG148" i="9"/>
  <c r="AB102" i="25"/>
  <c r="HF141" i="9"/>
  <c r="P102" i="25" s="1"/>
  <c r="AB90" i="25"/>
  <c r="HF149" i="9"/>
  <c r="P90" i="25" s="1"/>
  <c r="GQ56" i="9"/>
  <c r="R19" i="23" s="1"/>
  <c r="GW77" i="9"/>
  <c r="P77" i="24" s="1"/>
  <c r="K97" i="20"/>
  <c r="Z97" i="22"/>
  <c r="Y88" i="26"/>
  <c r="HO149" i="9"/>
  <c r="O88" i="26" s="1"/>
  <c r="AA5" i="26"/>
  <c r="HU58" i="9"/>
  <c r="Q5" i="26" s="1"/>
  <c r="GT70" i="9"/>
  <c r="O52" i="24" s="1"/>
  <c r="GH138" i="9"/>
  <c r="O85" i="23" s="1"/>
  <c r="L41" i="27"/>
  <c r="Y87" i="24"/>
  <c r="GT115" i="9"/>
  <c r="O87" i="24" s="1"/>
  <c r="AA86" i="24"/>
  <c r="GZ114" i="9"/>
  <c r="Q86" i="24" s="1"/>
  <c r="Y57" i="24"/>
  <c r="GT132" i="9"/>
  <c r="O57" i="24" s="1"/>
  <c r="IH120" i="9"/>
  <c r="L37" i="27"/>
  <c r="I37" i="27"/>
  <c r="GN87" i="9"/>
  <c r="Q32" i="23" s="1"/>
  <c r="K86" i="27"/>
  <c r="L23" i="28"/>
  <c r="IJ51" i="9"/>
  <c r="Z78" i="22"/>
  <c r="K78" i="20"/>
  <c r="IH95" i="9"/>
  <c r="T4" i="25"/>
  <c r="W4" i="22"/>
  <c r="FG75" i="9"/>
  <c r="Z78" i="9"/>
  <c r="HV78" i="9" s="1"/>
  <c r="GL78" i="9"/>
  <c r="Z60" i="24"/>
  <c r="GW121" i="9"/>
  <c r="P60" i="24" s="1"/>
  <c r="J95" i="27"/>
  <c r="GK123" i="9"/>
  <c r="P55" i="23" s="1"/>
  <c r="II8" i="9"/>
  <c r="Y82" i="24"/>
  <c r="GT101" i="9"/>
  <c r="O82" i="24" s="1"/>
  <c r="AD12" i="23"/>
  <c r="GQ76" i="9"/>
  <c r="R12" i="23" s="1"/>
  <c r="HJ89" i="9"/>
  <c r="Z7" i="26"/>
  <c r="HR101" i="9"/>
  <c r="P7" i="26" s="1"/>
  <c r="IF152" i="9"/>
  <c r="Z83" i="24"/>
  <c r="GW105" i="9"/>
  <c r="P83" i="24" s="1"/>
  <c r="HR61" i="9"/>
  <c r="P57" i="26" s="1"/>
  <c r="J67" i="27"/>
  <c r="I95" i="27"/>
  <c r="L99" i="27"/>
  <c r="Z42" i="22"/>
  <c r="K42" i="20"/>
  <c r="GI78" i="9"/>
  <c r="AA62" i="26"/>
  <c r="HU41" i="9"/>
  <c r="Q62" i="26" s="1"/>
  <c r="S27" i="24"/>
  <c r="V37" i="22"/>
  <c r="FD59" i="9"/>
  <c r="U45" i="26"/>
  <c r="HR28" i="9"/>
  <c r="P45" i="26" s="1"/>
  <c r="T74" i="25"/>
  <c r="W46" i="22"/>
  <c r="FG51" i="9"/>
  <c r="K37" i="20"/>
  <c r="Z37" i="22"/>
  <c r="AA13" i="25"/>
  <c r="HC13" i="9"/>
  <c r="O13" i="25" s="1"/>
  <c r="Z103" i="22"/>
  <c r="K103" i="20"/>
  <c r="U33" i="22"/>
  <c r="T34" i="23"/>
  <c r="EY45" i="9"/>
  <c r="FA45" i="9"/>
  <c r="IJ45" i="9"/>
  <c r="II45" i="9"/>
  <c r="IH45" i="9"/>
  <c r="IG45" i="9"/>
  <c r="IF45" i="9"/>
  <c r="Z69" i="22"/>
  <c r="K69" i="20"/>
  <c r="GW18" i="9"/>
  <c r="P31" i="24" s="1"/>
  <c r="AA104" i="25"/>
  <c r="HC11" i="9"/>
  <c r="O104" i="25" s="1"/>
  <c r="IJ55" i="9"/>
  <c r="AA36" i="26"/>
  <c r="HU59" i="9"/>
  <c r="Q36" i="26" s="1"/>
  <c r="Z86" i="22"/>
  <c r="K86" i="20"/>
  <c r="S97" i="24"/>
  <c r="V102" i="22"/>
  <c r="FD134" i="9"/>
  <c r="L52" i="27"/>
  <c r="L43" i="27"/>
  <c r="I14" i="27"/>
  <c r="K39" i="27"/>
  <c r="T46" i="23"/>
  <c r="U56" i="22"/>
  <c r="IJ116" i="9"/>
  <c r="IH116" i="9"/>
  <c r="IG116" i="9"/>
  <c r="EY116" i="9"/>
  <c r="II116" i="9"/>
  <c r="IF116" i="9"/>
  <c r="FA116" i="9"/>
  <c r="Z68" i="22"/>
  <c r="K68" i="20"/>
  <c r="HC45" i="9"/>
  <c r="O69" i="25" s="1"/>
  <c r="Y21" i="24"/>
  <c r="GT67" i="9"/>
  <c r="O21" i="24" s="1"/>
  <c r="V94" i="26"/>
  <c r="HU92" i="9"/>
  <c r="Q94" i="26" s="1"/>
  <c r="S102" i="24"/>
  <c r="V100" i="22"/>
  <c r="FD147" i="9"/>
  <c r="O3" i="23"/>
  <c r="O27" i="23"/>
  <c r="AC95" i="25"/>
  <c r="HI136" i="9"/>
  <c r="Q95" i="25" s="1"/>
  <c r="Z64" i="26"/>
  <c r="HR115" i="9"/>
  <c r="P64" i="26" s="1"/>
  <c r="T74" i="23"/>
  <c r="U76" i="22"/>
  <c r="IJ119" i="9"/>
  <c r="IF119" i="9"/>
  <c r="FA119" i="9"/>
  <c r="EY119" i="9"/>
  <c r="II119" i="9"/>
  <c r="IH119" i="9"/>
  <c r="IG119" i="9"/>
  <c r="AA13" i="23"/>
  <c r="GH113" i="9"/>
  <c r="O13" i="23" s="1"/>
  <c r="AD61" i="23"/>
  <c r="GQ115" i="9"/>
  <c r="R61" i="23" s="1"/>
  <c r="X87" i="22"/>
  <c r="S89" i="26"/>
  <c r="FJ93" i="9"/>
  <c r="T80" i="25"/>
  <c r="W91" i="22"/>
  <c r="FG118" i="9"/>
  <c r="AC11" i="25"/>
  <c r="HI77" i="9"/>
  <c r="Q11" i="25" s="1"/>
  <c r="IJ86" i="9"/>
  <c r="FA86" i="9"/>
  <c r="EY86" i="9"/>
  <c r="II86" i="9"/>
  <c r="IH86" i="9"/>
  <c r="IF86" i="9"/>
  <c r="IG86" i="9"/>
  <c r="S66" i="24"/>
  <c r="V98" i="22"/>
  <c r="FD141" i="9"/>
  <c r="S78" i="26"/>
  <c r="X78" i="22"/>
  <c r="FJ72" i="9"/>
  <c r="Y4" i="24"/>
  <c r="GT75" i="9"/>
  <c r="O4" i="24" s="1"/>
  <c r="Z104" i="22"/>
  <c r="K104" i="20"/>
  <c r="HF81" i="9"/>
  <c r="P62" i="25" s="1"/>
  <c r="AD102" i="25"/>
  <c r="HL141" i="9"/>
  <c r="R102" i="25" s="1"/>
  <c r="AC90" i="25"/>
  <c r="HI149" i="9"/>
  <c r="Q90" i="25" s="1"/>
  <c r="Z36" i="22"/>
  <c r="K36" i="20"/>
  <c r="T63" i="23"/>
  <c r="U64" i="22"/>
  <c r="II53" i="9"/>
  <c r="IH53" i="9"/>
  <c r="IG53" i="9"/>
  <c r="FA53" i="9"/>
  <c r="EY53" i="9"/>
  <c r="IF53" i="9"/>
  <c r="IJ53" i="9"/>
  <c r="J43" i="27"/>
  <c r="AB95" i="23"/>
  <c r="GK117" i="9"/>
  <c r="P95" i="23" s="1"/>
  <c r="AA88" i="26"/>
  <c r="HU149" i="9"/>
  <c r="Q88" i="26" s="1"/>
  <c r="IJ112" i="9"/>
  <c r="II112" i="9"/>
  <c r="FA112" i="9"/>
  <c r="EY112" i="9"/>
  <c r="IF112" i="9"/>
  <c r="IH112" i="9"/>
  <c r="IG112" i="9"/>
  <c r="J19" i="27"/>
  <c r="HA29" i="9"/>
  <c r="Z44" i="26"/>
  <c r="HR62" i="9"/>
  <c r="P44" i="26" s="1"/>
  <c r="Z87" i="24"/>
  <c r="GW115" i="9"/>
  <c r="P87" i="24" s="1"/>
  <c r="Z86" i="24"/>
  <c r="GW114" i="9"/>
  <c r="P86" i="24" s="1"/>
  <c r="IJ120" i="9"/>
  <c r="K23" i="28"/>
  <c r="EY51" i="9"/>
  <c r="AB97" i="25"/>
  <c r="HF133" i="9"/>
  <c r="P97" i="25" s="1"/>
  <c r="AA61" i="24"/>
  <c r="GZ72" i="9"/>
  <c r="Q61" i="24" s="1"/>
  <c r="IH72" i="9"/>
  <c r="AA60" i="24"/>
  <c r="GZ121" i="9"/>
  <c r="Q60" i="24" s="1"/>
  <c r="Y41" i="26"/>
  <c r="HO142" i="9"/>
  <c r="O41" i="26" s="1"/>
  <c r="IJ8" i="9"/>
  <c r="GX29" i="9"/>
  <c r="Z82" i="24"/>
  <c r="GW101" i="9"/>
  <c r="P82" i="24" s="1"/>
  <c r="AB12" i="23"/>
  <c r="GK76" i="9"/>
  <c r="P12" i="23" s="1"/>
  <c r="AA7" i="26"/>
  <c r="HU101" i="9"/>
  <c r="Q7" i="26" s="1"/>
  <c r="Y53" i="26"/>
  <c r="HO122" i="9"/>
  <c r="O53" i="26" s="1"/>
  <c r="GZ144" i="9"/>
  <c r="Q59" i="24" s="1"/>
  <c r="GW67" i="9"/>
  <c r="P21" i="24" s="1"/>
  <c r="R17" i="34"/>
  <c r="Q17" i="34"/>
  <c r="P17" i="34"/>
  <c r="O17" i="34"/>
  <c r="N17" i="34"/>
  <c r="N15" i="25"/>
  <c r="I15" i="25" s="1"/>
  <c r="Q12" i="22"/>
  <c r="Y99" i="24"/>
  <c r="GT137" i="9"/>
  <c r="O99" i="24" s="1"/>
  <c r="GU89" i="9"/>
  <c r="P81" i="34"/>
  <c r="R81" i="34"/>
  <c r="Q81" i="34"/>
  <c r="O81" i="34"/>
  <c r="N81" i="34"/>
  <c r="Q87" i="22"/>
  <c r="N81" i="25"/>
  <c r="Y62" i="26"/>
  <c r="HO41" i="9"/>
  <c r="O62" i="26" s="1"/>
  <c r="H83" i="27"/>
  <c r="GH56" i="9"/>
  <c r="O19" i="23" s="1"/>
  <c r="GQ23" i="9"/>
  <c r="R73" i="23" s="1"/>
  <c r="AA102" i="26"/>
  <c r="HU48" i="9"/>
  <c r="Q102" i="26" s="1"/>
  <c r="AD48" i="23"/>
  <c r="GQ65" i="9"/>
  <c r="R48" i="23" s="1"/>
  <c r="S23" i="24"/>
  <c r="V28" i="22"/>
  <c r="FD19" i="9"/>
  <c r="U12" i="24"/>
  <c r="GW56" i="9"/>
  <c r="P12" i="24" s="1"/>
  <c r="C15" i="36"/>
  <c r="C15" i="31"/>
  <c r="C15" i="32"/>
  <c r="C9" i="33"/>
  <c r="C13" i="30"/>
  <c r="C9" i="34"/>
  <c r="C15" i="35"/>
  <c r="D21" i="26"/>
  <c r="C81" i="29"/>
  <c r="C13" i="27"/>
  <c r="D13" i="25"/>
  <c r="C13" i="28"/>
  <c r="D16" i="24"/>
  <c r="D20" i="23"/>
  <c r="D22" i="22"/>
  <c r="D22" i="20"/>
  <c r="C42" i="17"/>
  <c r="C25" i="12"/>
  <c r="A14" i="9"/>
  <c r="AC4" i="23"/>
  <c r="GN75" i="9"/>
  <c r="Q4" i="23" s="1"/>
  <c r="Y61" i="26"/>
  <c r="HO53" i="9"/>
  <c r="O61" i="26" s="1"/>
  <c r="HC51" i="9"/>
  <c r="O74" i="25" s="1"/>
  <c r="X15" i="26"/>
  <c r="AD14" i="22"/>
  <c r="HW29" i="9"/>
  <c r="AA15" i="26" s="1"/>
  <c r="HT29" i="9"/>
  <c r="HQ29" i="9"/>
  <c r="Y15" i="26" s="1"/>
  <c r="S24" i="24"/>
  <c r="V38" i="22"/>
  <c r="FD50" i="9"/>
  <c r="Z63" i="22"/>
  <c r="K63" i="20"/>
  <c r="AA36" i="23"/>
  <c r="GH59" i="9"/>
  <c r="O36" i="23" s="1"/>
  <c r="GK66" i="9"/>
  <c r="P35" i="23" s="1"/>
  <c r="L7" i="27"/>
  <c r="T57" i="23"/>
  <c r="U58" i="22"/>
  <c r="IG43" i="9"/>
  <c r="IH43" i="9"/>
  <c r="IJ43" i="9"/>
  <c r="IF43" i="9"/>
  <c r="FA43" i="9"/>
  <c r="EY43" i="9"/>
  <c r="II43" i="9"/>
  <c r="H43" i="27"/>
  <c r="FE56" i="9"/>
  <c r="AC102" i="23"/>
  <c r="GN143" i="9"/>
  <c r="Q102" i="23" s="1"/>
  <c r="J17" i="27"/>
  <c r="AD65" i="23"/>
  <c r="GQ16" i="9"/>
  <c r="R65" i="23" s="1"/>
  <c r="T4" i="23"/>
  <c r="U4" i="22"/>
  <c r="IF75" i="9"/>
  <c r="IH75" i="9"/>
  <c r="EY75" i="9"/>
  <c r="IG75" i="9"/>
  <c r="II75" i="9"/>
  <c r="IJ75" i="9"/>
  <c r="FA75" i="9"/>
  <c r="HI63" i="9"/>
  <c r="Q39" i="25" s="1"/>
  <c r="HU35" i="9"/>
  <c r="Q33" i="26" s="1"/>
  <c r="GK56" i="9"/>
  <c r="P19" i="23" s="1"/>
  <c r="HV24" i="9"/>
  <c r="IG55" i="9"/>
  <c r="Z31" i="26"/>
  <c r="HR68" i="9"/>
  <c r="P31" i="26" s="1"/>
  <c r="GR28" i="9"/>
  <c r="AD67" i="23"/>
  <c r="GQ64" i="9"/>
  <c r="R67" i="23" s="1"/>
  <c r="I50" i="27"/>
  <c r="GT147" i="9"/>
  <c r="O102" i="24" s="1"/>
  <c r="S34" i="24"/>
  <c r="V58" i="22"/>
  <c r="FD43" i="9"/>
  <c r="S53" i="26"/>
  <c r="X55" i="22"/>
  <c r="FJ122" i="9"/>
  <c r="I103" i="27"/>
  <c r="AA95" i="25"/>
  <c r="HC136" i="9"/>
  <c r="O95" i="25" s="1"/>
  <c r="AB13" i="23"/>
  <c r="GK113" i="9"/>
  <c r="P13" i="23" s="1"/>
  <c r="HR12" i="9"/>
  <c r="P10" i="26" s="1"/>
  <c r="Z70" i="22"/>
  <c r="K70" i="20"/>
  <c r="T100" i="25"/>
  <c r="W101" i="22"/>
  <c r="FG48" i="9"/>
  <c r="HO56" i="9"/>
  <c r="O20" i="26" s="1"/>
  <c r="W26" i="22"/>
  <c r="T24" i="25"/>
  <c r="FG125" i="9"/>
  <c r="AD77" i="23"/>
  <c r="GQ135" i="9"/>
  <c r="R77" i="23" s="1"/>
  <c r="EY99" i="9"/>
  <c r="IG99" i="9"/>
  <c r="FA99" i="9"/>
  <c r="II99" i="9"/>
  <c r="IF99" i="9"/>
  <c r="IJ99" i="9"/>
  <c r="IH99" i="9"/>
  <c r="AA104" i="23"/>
  <c r="GH136" i="9"/>
  <c r="O104" i="23" s="1"/>
  <c r="Y94" i="24"/>
  <c r="GT78" i="9"/>
  <c r="O94" i="24" s="1"/>
  <c r="HR134" i="9"/>
  <c r="P101" i="26" s="1"/>
  <c r="Z88" i="26"/>
  <c r="HR149" i="9"/>
  <c r="P88" i="26" s="1"/>
  <c r="GZ31" i="9"/>
  <c r="Q22" i="24" s="1"/>
  <c r="T36" i="25"/>
  <c r="W49" i="22"/>
  <c r="FG42" i="9"/>
  <c r="R75" i="34"/>
  <c r="Q75" i="34"/>
  <c r="P75" i="34"/>
  <c r="O75" i="34"/>
  <c r="N75" i="34"/>
  <c r="N77" i="25"/>
  <c r="I77" i="25" s="1"/>
  <c r="Q84" i="22"/>
  <c r="AA87" i="24"/>
  <c r="GZ115" i="9"/>
  <c r="Q87" i="24" s="1"/>
  <c r="AD60" i="25"/>
  <c r="HL124" i="9"/>
  <c r="R60" i="25" s="1"/>
  <c r="EY120" i="9"/>
  <c r="K103" i="27"/>
  <c r="H23" i="28"/>
  <c r="HY44" i="9"/>
  <c r="H23" i="27" s="1"/>
  <c r="IF51" i="9"/>
  <c r="II80" i="9"/>
  <c r="Z61" i="24"/>
  <c r="GW72" i="9"/>
  <c r="P61" i="24" s="1"/>
  <c r="I102" i="27"/>
  <c r="HU150" i="9"/>
  <c r="Q43" i="26" s="1"/>
  <c r="T103" i="25"/>
  <c r="T3" i="25"/>
  <c r="W3" i="22"/>
  <c r="W31" i="22"/>
  <c r="FG8" i="9"/>
  <c r="II72" i="9"/>
  <c r="V53" i="23"/>
  <c r="GK139" i="9"/>
  <c r="P53" i="23" s="1"/>
  <c r="Y60" i="24"/>
  <c r="GT121" i="9"/>
  <c r="O60" i="24" s="1"/>
  <c r="IG106" i="9"/>
  <c r="FA106" i="9"/>
  <c r="EY106" i="9"/>
  <c r="II106" i="9"/>
  <c r="IJ106" i="9"/>
  <c r="IH106" i="9"/>
  <c r="IF106" i="9"/>
  <c r="R3" i="30"/>
  <c r="Q3" i="30"/>
  <c r="P3" i="30"/>
  <c r="O3" i="30"/>
  <c r="N3" i="30"/>
  <c r="N3" i="23"/>
  <c r="O3" i="22"/>
  <c r="T73" i="25"/>
  <c r="W37" i="22"/>
  <c r="FG59" i="9"/>
  <c r="S6" i="26"/>
  <c r="X6" i="22"/>
  <c r="FJ82" i="9"/>
  <c r="AD93" i="23"/>
  <c r="GQ93" i="9"/>
  <c r="R93" i="23" s="1"/>
  <c r="HL142" i="9"/>
  <c r="R84" i="25" s="1"/>
  <c r="S35" i="26"/>
  <c r="X35" i="22"/>
  <c r="FJ66" i="9"/>
  <c r="S21" i="24"/>
  <c r="V8" i="22"/>
  <c r="FD67" i="9"/>
  <c r="IG154" i="9"/>
  <c r="IJ154" i="9"/>
  <c r="EY154" i="9"/>
  <c r="FA154" i="9"/>
  <c r="IF154" i="9"/>
  <c r="II154" i="9"/>
  <c r="IH154" i="9"/>
  <c r="T22" i="23"/>
  <c r="U21" i="22"/>
  <c r="IJ22" i="9"/>
  <c r="II22" i="9"/>
  <c r="IH22" i="9"/>
  <c r="IG22" i="9"/>
  <c r="IF22" i="9"/>
  <c r="FA22" i="9"/>
  <c r="EY22" i="9"/>
  <c r="Z62" i="26"/>
  <c r="HR41" i="9"/>
  <c r="P62" i="26" s="1"/>
  <c r="IJ34" i="9"/>
  <c r="II34" i="9"/>
  <c r="EY34" i="9"/>
  <c r="IH34" i="9"/>
  <c r="IG34" i="9"/>
  <c r="FA34" i="9"/>
  <c r="IF34" i="9"/>
  <c r="O3" i="25"/>
  <c r="X33" i="25"/>
  <c r="HL56" i="9"/>
  <c r="R33" i="25" s="1"/>
  <c r="Z20" i="22"/>
  <c r="K20" i="20"/>
  <c r="K70" i="27"/>
  <c r="H70" i="27"/>
  <c r="Z26" i="26"/>
  <c r="HR22" i="9"/>
  <c r="P26" i="26" s="1"/>
  <c r="AD10" i="23"/>
  <c r="GQ12" i="9"/>
  <c r="R10" i="23" s="1"/>
  <c r="AA48" i="23"/>
  <c r="GH65" i="9"/>
  <c r="O48" i="23" s="1"/>
  <c r="J83" i="27"/>
  <c r="L29" i="27"/>
  <c r="H29" i="27"/>
  <c r="HV28" i="9"/>
  <c r="K4" i="20"/>
  <c r="Z4" i="22"/>
  <c r="HU76" i="9"/>
  <c r="Q11" i="26" s="1"/>
  <c r="I33" i="27"/>
  <c r="HL62" i="9"/>
  <c r="R37" i="25" s="1"/>
  <c r="AB47" i="25"/>
  <c r="HF41" i="9"/>
  <c r="P47" i="25" s="1"/>
  <c r="J34" i="27"/>
  <c r="HL41" i="9"/>
  <c r="R47" i="25" s="1"/>
  <c r="L45" i="27"/>
  <c r="K69" i="27"/>
  <c r="HU22" i="9"/>
  <c r="Q26" i="26" s="1"/>
  <c r="AB36" i="23"/>
  <c r="GK59" i="9"/>
  <c r="P36" i="23" s="1"/>
  <c r="K26" i="27"/>
  <c r="T91" i="23"/>
  <c r="U94" i="22"/>
  <c r="II149" i="9"/>
  <c r="IJ149" i="9"/>
  <c r="FA149" i="9"/>
  <c r="IH149" i="9"/>
  <c r="EY149" i="9"/>
  <c r="IG149" i="9"/>
  <c r="IF149" i="9"/>
  <c r="T75" i="23"/>
  <c r="U77" i="22"/>
  <c r="IG114" i="9"/>
  <c r="IJ114" i="9"/>
  <c r="II114" i="9"/>
  <c r="IH114" i="9"/>
  <c r="IF114" i="9"/>
  <c r="FA114" i="9"/>
  <c r="EY114" i="9"/>
  <c r="T71" i="25"/>
  <c r="W39" i="22"/>
  <c r="FG49" i="9"/>
  <c r="GH75" i="9"/>
  <c r="O4" i="23" s="1"/>
  <c r="AC65" i="25"/>
  <c r="HI23" i="9"/>
  <c r="Q65" i="25" s="1"/>
  <c r="AA31" i="23"/>
  <c r="GH46" i="9"/>
  <c r="O31" i="23" s="1"/>
  <c r="HI58" i="9"/>
  <c r="Q31" i="25" s="1"/>
  <c r="HP28" i="9"/>
  <c r="S56" i="24"/>
  <c r="V88" i="22"/>
  <c r="FD47" i="9"/>
  <c r="GN84" i="9"/>
  <c r="Q17" i="23" s="1"/>
  <c r="H50" i="27"/>
  <c r="HP29" i="9"/>
  <c r="Z27" i="24"/>
  <c r="GW59" i="9"/>
  <c r="P27" i="24" s="1"/>
  <c r="IJ32" i="9"/>
  <c r="FA32" i="9"/>
  <c r="II32" i="9"/>
  <c r="IH32" i="9"/>
  <c r="EY32" i="9"/>
  <c r="IG32" i="9"/>
  <c r="IF32" i="9"/>
  <c r="K43" i="27"/>
  <c r="Z106" i="22"/>
  <c r="K106" i="20"/>
  <c r="GW43" i="9"/>
  <c r="P34" i="24" s="1"/>
  <c r="Z17" i="22"/>
  <c r="K17" i="20"/>
  <c r="GT135" i="9"/>
  <c r="O38" i="24" s="1"/>
  <c r="AD95" i="25"/>
  <c r="HL136" i="9"/>
  <c r="R95" i="25" s="1"/>
  <c r="K15" i="20"/>
  <c r="Z15" i="22"/>
  <c r="I71" i="27"/>
  <c r="K71" i="27"/>
  <c r="GZ41" i="9"/>
  <c r="Q78" i="24" s="1"/>
  <c r="T57" i="25"/>
  <c r="W74" i="22"/>
  <c r="FG105" i="9"/>
  <c r="J42" i="27"/>
  <c r="T92" i="23"/>
  <c r="U95" i="22"/>
  <c r="II137" i="9"/>
  <c r="IH137" i="9"/>
  <c r="IG137" i="9"/>
  <c r="FA137" i="9"/>
  <c r="IF137" i="9"/>
  <c r="EY137" i="9"/>
  <c r="IJ137" i="9"/>
  <c r="GN138" i="9"/>
  <c r="Q85" i="23" s="1"/>
  <c r="K48" i="27"/>
  <c r="S52" i="26"/>
  <c r="X52" i="22"/>
  <c r="FJ30" i="9"/>
  <c r="Y105" i="26"/>
  <c r="HO133" i="9"/>
  <c r="O105" i="26" s="1"/>
  <c r="T75" i="25"/>
  <c r="W79" i="22"/>
  <c r="FG127" i="9"/>
  <c r="X102" i="22"/>
  <c r="S101" i="26"/>
  <c r="FJ134" i="9"/>
  <c r="S85" i="24"/>
  <c r="V15" i="22"/>
  <c r="FD113" i="9"/>
  <c r="S77" i="24"/>
  <c r="V10" i="22"/>
  <c r="FD77" i="9"/>
  <c r="I96" i="27"/>
  <c r="U9" i="22"/>
  <c r="T7" i="23"/>
  <c r="IJ101" i="9"/>
  <c r="FA101" i="9"/>
  <c r="II101" i="9"/>
  <c r="EY101" i="9"/>
  <c r="IH101" i="9"/>
  <c r="IG101" i="9"/>
  <c r="IF101" i="9"/>
  <c r="K60" i="27"/>
  <c r="I60" i="27"/>
  <c r="L47" i="27"/>
  <c r="HL42" i="9"/>
  <c r="R36" i="25" s="1"/>
  <c r="AD86" i="25"/>
  <c r="HL117" i="9"/>
  <c r="R86" i="25" s="1"/>
  <c r="AC60" i="25"/>
  <c r="HI124" i="9"/>
  <c r="Q60" i="25" s="1"/>
  <c r="HI45" i="9"/>
  <c r="Q69" i="25" s="1"/>
  <c r="GH122" i="9"/>
  <c r="O52" i="23" s="1"/>
  <c r="T104" i="25"/>
  <c r="W24" i="22"/>
  <c r="FG11" i="9"/>
  <c r="I23" i="28"/>
  <c r="II51" i="9"/>
  <c r="IJ80" i="9"/>
  <c r="T65" i="25"/>
  <c r="W66" i="22"/>
  <c r="FG23" i="9"/>
  <c r="L74" i="27"/>
  <c r="I87" i="27"/>
  <c r="K84" i="27"/>
  <c r="Y70" i="26"/>
  <c r="HO140" i="9"/>
  <c r="O70" i="26" s="1"/>
  <c r="S59" i="24"/>
  <c r="V99" i="22"/>
  <c r="FD144" i="9"/>
  <c r="AD89" i="23"/>
  <c r="GQ47" i="9"/>
  <c r="R89" i="23" s="1"/>
  <c r="EY152" i="9"/>
  <c r="HU145" i="9"/>
  <c r="Q106" i="26" s="1"/>
  <c r="GL24" i="9"/>
  <c r="GN145" i="9"/>
  <c r="Q106" i="23" s="1"/>
  <c r="HA89" i="9"/>
  <c r="EY130" i="9"/>
  <c r="AA37" i="26"/>
  <c r="HU120" i="9"/>
  <c r="Q37" i="26" s="1"/>
  <c r="H12" i="27"/>
  <c r="L91" i="27"/>
  <c r="I91" i="27"/>
  <c r="K91" i="27"/>
  <c r="IF132" i="9"/>
  <c r="IF36" i="9"/>
  <c r="IJ36" i="9"/>
  <c r="EY36" i="9"/>
  <c r="IH36" i="9"/>
  <c r="II36" i="9"/>
  <c r="IG36" i="9"/>
  <c r="FA36" i="9"/>
  <c r="AB24" i="23"/>
  <c r="Y102" i="26"/>
  <c r="HO48" i="9"/>
  <c r="O102" i="26" s="1"/>
  <c r="X14" i="26"/>
  <c r="AD19" i="22"/>
  <c r="HT44" i="9"/>
  <c r="Z14" i="26" s="1"/>
  <c r="HQ44" i="9"/>
  <c r="Y14" i="26" s="1"/>
  <c r="HW44" i="9"/>
  <c r="AA14" i="26" s="1"/>
  <c r="K11" i="20"/>
  <c r="Z11" i="22"/>
  <c r="Z50" i="22"/>
  <c r="K50" i="20"/>
  <c r="AB35" i="25"/>
  <c r="HF52" i="9"/>
  <c r="P35" i="25" s="1"/>
  <c r="S31" i="26"/>
  <c r="X32" i="22"/>
  <c r="FJ68" i="9"/>
  <c r="H53" i="27"/>
  <c r="H19" i="27"/>
  <c r="GZ30" i="9"/>
  <c r="Q40" i="24" s="1"/>
  <c r="Q3" i="26"/>
  <c r="Q23" i="26"/>
  <c r="AA14" i="24"/>
  <c r="GZ84" i="9"/>
  <c r="Q14" i="24" s="1"/>
  <c r="T39" i="25"/>
  <c r="W51" i="22"/>
  <c r="FG63" i="9"/>
  <c r="AB18" i="25"/>
  <c r="HF19" i="9"/>
  <c r="P18" i="25" s="1"/>
  <c r="T63" i="25"/>
  <c r="W29" i="22"/>
  <c r="FG46" i="9"/>
  <c r="T48" i="25"/>
  <c r="W61" i="22"/>
  <c r="FG70" i="9"/>
  <c r="AD65" i="25"/>
  <c r="HL23" i="9"/>
  <c r="R65" i="25" s="1"/>
  <c r="K29" i="20"/>
  <c r="Z29" i="22"/>
  <c r="HR31" i="9"/>
  <c r="P69" i="26" s="1"/>
  <c r="S39" i="26"/>
  <c r="X39" i="22"/>
  <c r="FJ49" i="9"/>
  <c r="IH46" i="9"/>
  <c r="T11" i="25"/>
  <c r="W10" i="22"/>
  <c r="FG77" i="9"/>
  <c r="S9" i="26"/>
  <c r="X10" i="22"/>
  <c r="FJ77" i="9"/>
  <c r="U61" i="22"/>
  <c r="T59" i="23"/>
  <c r="IF70" i="9"/>
  <c r="IG70" i="9"/>
  <c r="FA70" i="9"/>
  <c r="EY70" i="9"/>
  <c r="IJ70" i="9"/>
  <c r="IH70" i="9"/>
  <c r="II70" i="9"/>
  <c r="GK75" i="9"/>
  <c r="P4" i="23" s="1"/>
  <c r="Z32" i="22"/>
  <c r="K32" i="20"/>
  <c r="GK12" i="9"/>
  <c r="P10" i="23" s="1"/>
  <c r="IF15" i="9"/>
  <c r="IH128" i="9"/>
  <c r="FA128" i="9"/>
  <c r="EY128" i="9"/>
  <c r="IJ128" i="9"/>
  <c r="II128" i="9"/>
  <c r="IG128" i="9"/>
  <c r="IF128" i="9"/>
  <c r="T8" i="23"/>
  <c r="U8" i="22"/>
  <c r="IH67" i="9"/>
  <c r="II67" i="9"/>
  <c r="FA67" i="9"/>
  <c r="IG67" i="9"/>
  <c r="EY67" i="9"/>
  <c r="IF67" i="9"/>
  <c r="IJ67" i="9"/>
  <c r="AB17" i="23"/>
  <c r="GK84" i="9"/>
  <c r="P17" i="23" s="1"/>
  <c r="S38" i="24"/>
  <c r="V73" i="22"/>
  <c r="FD135" i="9"/>
  <c r="T5" i="23"/>
  <c r="U6" i="22"/>
  <c r="IJ82" i="9"/>
  <c r="IH82" i="9"/>
  <c r="FA82" i="9"/>
  <c r="EY82" i="9"/>
  <c r="II82" i="9"/>
  <c r="IG82" i="9"/>
  <c r="IF82" i="9"/>
  <c r="L19" i="27"/>
  <c r="T54" i="25"/>
  <c r="W57" i="22"/>
  <c r="FG18" i="9"/>
  <c r="S50" i="24"/>
  <c r="V70" i="22"/>
  <c r="FD124" i="9"/>
  <c r="I59" i="27"/>
  <c r="J59" i="27"/>
  <c r="Z54" i="22"/>
  <c r="K54" i="20"/>
  <c r="S64" i="26"/>
  <c r="X67" i="22"/>
  <c r="FJ115" i="9"/>
  <c r="L97" i="27"/>
  <c r="W53" i="23"/>
  <c r="GN139" i="9"/>
  <c r="Q53" i="23" s="1"/>
  <c r="Z55" i="22"/>
  <c r="K55" i="20"/>
  <c r="J102" i="27"/>
  <c r="GK136" i="9"/>
  <c r="P104" i="23" s="1"/>
  <c r="IH110" i="9"/>
  <c r="IF110" i="9"/>
  <c r="FA110" i="9"/>
  <c r="IJ110" i="9"/>
  <c r="IG110" i="9"/>
  <c r="EY110" i="9"/>
  <c r="II110" i="9"/>
  <c r="HO30" i="9"/>
  <c r="O52" i="26" s="1"/>
  <c r="U48" i="22"/>
  <c r="T45" i="23"/>
  <c r="IF62" i="9"/>
  <c r="IH62" i="9"/>
  <c r="FA62" i="9"/>
  <c r="IJ62" i="9"/>
  <c r="II62" i="9"/>
  <c r="EY62" i="9"/>
  <c r="IG62" i="9"/>
  <c r="Z105" i="26"/>
  <c r="HR133" i="9"/>
  <c r="P105" i="26" s="1"/>
  <c r="X99" i="26"/>
  <c r="AD100" i="22"/>
  <c r="HW147" i="9"/>
  <c r="AA99" i="26" s="1"/>
  <c r="HT147" i="9"/>
  <c r="HQ147" i="9"/>
  <c r="HO134" i="9"/>
  <c r="O101" i="26" s="1"/>
  <c r="L16" i="27"/>
  <c r="J27" i="27"/>
  <c r="K27" i="27"/>
  <c r="S71" i="26"/>
  <c r="X74" i="22"/>
  <c r="FJ105" i="9"/>
  <c r="J97" i="27"/>
  <c r="HF11" i="9"/>
  <c r="J23" i="28"/>
  <c r="L48" i="27"/>
  <c r="EY80" i="9"/>
  <c r="K98" i="20"/>
  <c r="Z98" i="22"/>
  <c r="T86" i="25"/>
  <c r="W97" i="22"/>
  <c r="FG117" i="9"/>
  <c r="Q103" i="25"/>
  <c r="Q3" i="25"/>
  <c r="HO59" i="9"/>
  <c r="O36" i="26" s="1"/>
  <c r="HC23" i="9"/>
  <c r="O65" i="25" s="1"/>
  <c r="Z38" i="22"/>
  <c r="K38" i="20"/>
  <c r="HI121" i="9"/>
  <c r="Q79" i="25" s="1"/>
  <c r="R99" i="32"/>
  <c r="Q99" i="32"/>
  <c r="P99" i="32"/>
  <c r="O99" i="32"/>
  <c r="N99" i="32"/>
  <c r="P95" i="22"/>
  <c r="N99" i="24"/>
  <c r="I99" i="24" s="1"/>
  <c r="Z70" i="26"/>
  <c r="HR140" i="9"/>
  <c r="P70" i="26" s="1"/>
  <c r="GT144" i="9"/>
  <c r="O59" i="24" s="1"/>
  <c r="AB101" i="23"/>
  <c r="GK48" i="9"/>
  <c r="P101" i="23" s="1"/>
  <c r="II105" i="9"/>
  <c r="GQ84" i="9"/>
  <c r="R17" i="23" s="1"/>
  <c r="K87" i="20"/>
  <c r="Z87" i="22"/>
  <c r="GW49" i="9"/>
  <c r="P26" i="24" s="1"/>
  <c r="L69" i="27"/>
  <c r="J79" i="27"/>
  <c r="S93" i="26"/>
  <c r="X96" i="22"/>
  <c r="FJ148" i="9"/>
  <c r="IG130" i="9"/>
  <c r="T50" i="25"/>
  <c r="W53" i="22"/>
  <c r="FG60" i="9"/>
  <c r="Y80" i="24"/>
  <c r="GT81" i="9"/>
  <c r="O80" i="24" s="1"/>
  <c r="L103" i="27"/>
  <c r="IG132" i="9"/>
  <c r="AC24" i="23"/>
  <c r="AA52" i="26"/>
  <c r="HU30" i="9"/>
  <c r="Q52" i="26" s="1"/>
  <c r="AA10" i="23"/>
  <c r="GH12" i="9"/>
  <c r="O10" i="23" s="1"/>
  <c r="I45" i="27"/>
  <c r="AD35" i="25"/>
  <c r="HL52" i="9"/>
  <c r="R35" i="25" s="1"/>
  <c r="Z35" i="22"/>
  <c r="K35" i="20"/>
  <c r="U35" i="22"/>
  <c r="T35" i="23"/>
  <c r="IJ66" i="9"/>
  <c r="IF66" i="9"/>
  <c r="EY66" i="9"/>
  <c r="IG66" i="9"/>
  <c r="FA66" i="9"/>
  <c r="II66" i="9"/>
  <c r="IH66" i="9"/>
  <c r="X16" i="25"/>
  <c r="Q3" i="23"/>
  <c r="HJ28" i="9"/>
  <c r="EY20" i="9"/>
  <c r="AA74" i="24"/>
  <c r="GZ64" i="9"/>
  <c r="Q74" i="24" s="1"/>
  <c r="J45" i="27"/>
  <c r="J69" i="27"/>
  <c r="GT27" i="9"/>
  <c r="O10" i="24" s="1"/>
  <c r="T29" i="25"/>
  <c r="W41" i="22"/>
  <c r="FG73" i="9"/>
  <c r="T19" i="25"/>
  <c r="W16" i="22"/>
  <c r="FG94" i="9"/>
  <c r="AA98" i="25"/>
  <c r="HC140" i="9"/>
  <c r="O98" i="25" s="1"/>
  <c r="T35" i="25"/>
  <c r="W25" i="22"/>
  <c r="FG52" i="9"/>
  <c r="HC63" i="9"/>
  <c r="O39" i="25" s="1"/>
  <c r="HC70" i="9"/>
  <c r="O48" i="25" s="1"/>
  <c r="Z43" i="25"/>
  <c r="AC19" i="22"/>
  <c r="HK44" i="9"/>
  <c r="HH44" i="9"/>
  <c r="HN44" i="9"/>
  <c r="HE44" i="9"/>
  <c r="T56" i="23"/>
  <c r="U53" i="22"/>
  <c r="IJ60" i="9"/>
  <c r="IF60" i="9"/>
  <c r="IG60" i="9"/>
  <c r="EY60" i="9"/>
  <c r="II60" i="9"/>
  <c r="IH60" i="9"/>
  <c r="FA60" i="9"/>
  <c r="EY46" i="9"/>
  <c r="Z22" i="22"/>
  <c r="K22" i="20"/>
  <c r="GW41" i="9"/>
  <c r="P78" i="24" s="1"/>
  <c r="GH70" i="9"/>
  <c r="O59" i="23" s="1"/>
  <c r="AD8" i="23"/>
  <c r="GQ67" i="9"/>
  <c r="R8" i="23" s="1"/>
  <c r="IG15" i="9"/>
  <c r="HF17" i="9"/>
  <c r="P53" i="25" s="1"/>
  <c r="K71" i="20"/>
  <c r="Z71" i="22"/>
  <c r="IH98" i="9"/>
  <c r="IF98" i="9"/>
  <c r="IJ98" i="9"/>
  <c r="II98" i="9"/>
  <c r="FA98" i="9"/>
  <c r="IG98" i="9"/>
  <c r="EY98" i="9"/>
  <c r="AD13" i="23"/>
  <c r="GQ113" i="9"/>
  <c r="R13" i="23" s="1"/>
  <c r="S81" i="24"/>
  <c r="V6" i="22"/>
  <c r="FD82" i="9"/>
  <c r="T102" i="23"/>
  <c r="U103" i="22"/>
  <c r="IG143" i="9"/>
  <c r="IF143" i="9"/>
  <c r="FA143" i="9"/>
  <c r="EY143" i="9"/>
  <c r="II143" i="9"/>
  <c r="IJ143" i="9"/>
  <c r="IH143" i="9"/>
  <c r="S49" i="26"/>
  <c r="X46" i="22"/>
  <c r="FJ51" i="9"/>
  <c r="K39" i="20"/>
  <c r="Z39" i="22"/>
  <c r="HF18" i="9"/>
  <c r="P54" i="25" s="1"/>
  <c r="Z9" i="26"/>
  <c r="HR77" i="9"/>
  <c r="P9" i="26" s="1"/>
  <c r="Y98" i="24"/>
  <c r="GT136" i="9"/>
  <c r="O98" i="24" s="1"/>
  <c r="AA46" i="24"/>
  <c r="AA3" i="24"/>
  <c r="GZ8" i="9"/>
  <c r="U81" i="22"/>
  <c r="T82" i="23"/>
  <c r="IG91" i="9"/>
  <c r="IJ91" i="9"/>
  <c r="IH91" i="9"/>
  <c r="IF91" i="9"/>
  <c r="FA91" i="9"/>
  <c r="EY91" i="9"/>
  <c r="II91" i="9"/>
  <c r="IF104" i="9"/>
  <c r="IJ104" i="9"/>
  <c r="II104" i="9"/>
  <c r="IH104" i="9"/>
  <c r="FA104" i="9"/>
  <c r="IG104" i="9"/>
  <c r="EY104" i="9"/>
  <c r="GX24" i="9"/>
  <c r="HO115" i="9"/>
  <c r="O64" i="26" s="1"/>
  <c r="AC99" i="23"/>
  <c r="GN144" i="9"/>
  <c r="Q99" i="23" s="1"/>
  <c r="T20" i="23"/>
  <c r="U22" i="22"/>
  <c r="IF13" i="9"/>
  <c r="IH13" i="9"/>
  <c r="FA13" i="9"/>
  <c r="IJ13" i="9"/>
  <c r="IG13" i="9"/>
  <c r="II13" i="9"/>
  <c r="EY13" i="9"/>
  <c r="GK79" i="9"/>
  <c r="P25" i="23" s="1"/>
  <c r="Z59" i="24"/>
  <c r="GW144" i="9"/>
  <c r="P59" i="24" s="1"/>
  <c r="V106" i="22"/>
  <c r="S100" i="24"/>
  <c r="FD145" i="9"/>
  <c r="L54" i="27"/>
  <c r="Z78" i="26"/>
  <c r="HR72" i="9"/>
  <c r="P78" i="26" s="1"/>
  <c r="S8" i="26"/>
  <c r="X8" i="22"/>
  <c r="FJ67" i="9"/>
  <c r="K42" i="27"/>
  <c r="HF77" i="9"/>
  <c r="P11" i="25" s="1"/>
  <c r="AB79" i="25"/>
  <c r="HF121" i="9"/>
  <c r="P79" i="25" s="1"/>
  <c r="IJ109" i="9"/>
  <c r="IH109" i="9"/>
  <c r="II109" i="9"/>
  <c r="IF109" i="9"/>
  <c r="FA109" i="9"/>
  <c r="EY109" i="9"/>
  <c r="IG109" i="9"/>
  <c r="Z49" i="22"/>
  <c r="K49" i="20"/>
  <c r="AB86" i="25"/>
  <c r="HF117" i="9"/>
  <c r="P86" i="25" s="1"/>
  <c r="L36" i="27"/>
  <c r="K36" i="27"/>
  <c r="T37" i="23"/>
  <c r="U38" i="22"/>
  <c r="IH50" i="9"/>
  <c r="EY50" i="9"/>
  <c r="IG50" i="9"/>
  <c r="IF50" i="9"/>
  <c r="FA50" i="9"/>
  <c r="II50" i="9"/>
  <c r="IJ50" i="9"/>
  <c r="L49" i="27"/>
  <c r="I49" i="27"/>
  <c r="H49" i="27"/>
  <c r="S13" i="26"/>
  <c r="X15" i="22"/>
  <c r="FJ113" i="9"/>
  <c r="IG51" i="9"/>
  <c r="L6" i="27"/>
  <c r="R61" i="32"/>
  <c r="N61" i="32"/>
  <c r="O61" i="32"/>
  <c r="Q61" i="32"/>
  <c r="P61" i="32"/>
  <c r="N61" i="24"/>
  <c r="I61" i="24" s="1"/>
  <c r="P78" i="22"/>
  <c r="IG80" i="9"/>
  <c r="AA98" i="23"/>
  <c r="GH141" i="9"/>
  <c r="O98" i="23" s="1"/>
  <c r="T70" i="23"/>
  <c r="U70" i="22"/>
  <c r="IG124" i="9"/>
  <c r="IH124" i="9"/>
  <c r="FA124" i="9"/>
  <c r="EY124" i="9"/>
  <c r="IJ124" i="9"/>
  <c r="II124" i="9"/>
  <c r="IF124" i="9"/>
  <c r="HC117" i="9"/>
  <c r="O86" i="25" s="1"/>
  <c r="S36" i="26"/>
  <c r="X37" i="22"/>
  <c r="FJ59" i="9"/>
  <c r="AA67" i="25"/>
  <c r="HC64" i="9"/>
  <c r="O67" i="25" s="1"/>
  <c r="AA70" i="26"/>
  <c r="HU140" i="9"/>
  <c r="Q70" i="26" s="1"/>
  <c r="L14" i="27"/>
  <c r="AC101" i="23"/>
  <c r="GN48" i="9"/>
  <c r="Q101" i="23" s="1"/>
  <c r="HO31" i="9"/>
  <c r="O69" i="26" s="1"/>
  <c r="IF105" i="9"/>
  <c r="IG152" i="9"/>
  <c r="AC93" i="23"/>
  <c r="GN93" i="9"/>
  <c r="Q93" i="23" s="1"/>
  <c r="T34" i="25"/>
  <c r="W50" i="22"/>
  <c r="FG65" i="9"/>
  <c r="T55" i="23"/>
  <c r="U60" i="22"/>
  <c r="II123" i="9"/>
  <c r="IG123" i="9"/>
  <c r="FA123" i="9"/>
  <c r="IF123" i="9"/>
  <c r="EY123" i="9"/>
  <c r="IJ123" i="9"/>
  <c r="IH123" i="9"/>
  <c r="HL75" i="9"/>
  <c r="R4" i="25" s="1"/>
  <c r="K88" i="27"/>
  <c r="GN142" i="9"/>
  <c r="Q41" i="23" s="1"/>
  <c r="IH130" i="9"/>
  <c r="Z80" i="24"/>
  <c r="GW81" i="9"/>
  <c r="P80" i="24" s="1"/>
  <c r="Z37" i="26"/>
  <c r="HR120" i="9"/>
  <c r="P37" i="26" s="1"/>
  <c r="S64" i="24"/>
  <c r="V84" i="22"/>
  <c r="FD71" i="9"/>
  <c r="N87" i="36"/>
  <c r="R87" i="36"/>
  <c r="Q87" i="36"/>
  <c r="P87" i="36"/>
  <c r="O87" i="36"/>
  <c r="N85" i="26"/>
  <c r="I85" i="26" s="1"/>
  <c r="R86" i="22"/>
  <c r="EY132" i="9"/>
  <c r="P3" i="26"/>
  <c r="K24" i="20"/>
  <c r="Z24" i="22"/>
  <c r="H38" i="27"/>
  <c r="K38" i="27"/>
  <c r="T44" i="23"/>
  <c r="U49" i="22"/>
  <c r="II42" i="9"/>
  <c r="EY42" i="9"/>
  <c r="IF42" i="9"/>
  <c r="IJ42" i="9"/>
  <c r="IH42" i="9"/>
  <c r="IG42" i="9"/>
  <c r="FA42" i="9"/>
  <c r="V33" i="25"/>
  <c r="HF56" i="9"/>
  <c r="P33" i="25" s="1"/>
  <c r="K66" i="20"/>
  <c r="Z66" i="22"/>
  <c r="V12" i="24"/>
  <c r="GZ56" i="9"/>
  <c r="Q12" i="24" s="1"/>
  <c r="K7" i="27"/>
  <c r="H33" i="27"/>
  <c r="GH66" i="9"/>
  <c r="O35" i="23" s="1"/>
  <c r="T29" i="23"/>
  <c r="U32" i="22"/>
  <c r="IH68" i="9"/>
  <c r="IF68" i="9"/>
  <c r="FA68" i="9"/>
  <c r="EY68" i="9"/>
  <c r="II68" i="9"/>
  <c r="IJ68" i="9"/>
  <c r="IG68" i="9"/>
  <c r="II20" i="9"/>
  <c r="Z74" i="24"/>
  <c r="GW64" i="9"/>
  <c r="P74" i="24" s="1"/>
  <c r="L51" i="27"/>
  <c r="S56" i="26"/>
  <c r="X61" i="22"/>
  <c r="FJ70" i="9"/>
  <c r="S10" i="24"/>
  <c r="V13" i="22"/>
  <c r="FD27" i="9"/>
  <c r="T89" i="23"/>
  <c r="U88" i="22"/>
  <c r="IH47" i="9"/>
  <c r="FA47" i="9"/>
  <c r="IJ47" i="9"/>
  <c r="EY47" i="9"/>
  <c r="II47" i="9"/>
  <c r="IG47" i="9"/>
  <c r="IF47" i="9"/>
  <c r="HG89" i="9"/>
  <c r="S82" i="26"/>
  <c r="X83" i="22"/>
  <c r="FJ132" i="9"/>
  <c r="AD98" i="25"/>
  <c r="HL140" i="9"/>
  <c r="R98" i="25" s="1"/>
  <c r="Z14" i="24"/>
  <c r="GW84" i="9"/>
  <c r="P14" i="24" s="1"/>
  <c r="S15" i="24"/>
  <c r="V25" i="22"/>
  <c r="FD52" i="9"/>
  <c r="HC52" i="9"/>
  <c r="O35" i="25" s="1"/>
  <c r="Z34" i="22"/>
  <c r="K34" i="20"/>
  <c r="AD18" i="25"/>
  <c r="HL19" i="9"/>
  <c r="R18" i="25" s="1"/>
  <c r="S73" i="24"/>
  <c r="V51" i="22"/>
  <c r="FD63" i="9"/>
  <c r="R33" i="30"/>
  <c r="Q33" i="30"/>
  <c r="P33" i="30"/>
  <c r="O33" i="30"/>
  <c r="N33" i="30"/>
  <c r="N31" i="23"/>
  <c r="I31" i="23" s="1"/>
  <c r="O29" i="22"/>
  <c r="T54" i="23"/>
  <c r="U52" i="22"/>
  <c r="IJ30" i="9"/>
  <c r="II30" i="9"/>
  <c r="IH30" i="9"/>
  <c r="IG30" i="9"/>
  <c r="FA30" i="9"/>
  <c r="IF30" i="9"/>
  <c r="EY30" i="9"/>
  <c r="GU29" i="9"/>
  <c r="GZ68" i="9"/>
  <c r="Q75" i="24" s="1"/>
  <c r="U79" i="22"/>
  <c r="T79" i="23"/>
  <c r="IG127" i="9"/>
  <c r="EY127" i="9"/>
  <c r="IF127" i="9"/>
  <c r="FA127" i="9"/>
  <c r="IJ127" i="9"/>
  <c r="II127" i="9"/>
  <c r="IH127" i="9"/>
  <c r="H103" i="27"/>
  <c r="AA8" i="23"/>
  <c r="GH67" i="9"/>
  <c r="O8" i="23" s="1"/>
  <c r="IH15" i="9"/>
  <c r="Z84" i="22"/>
  <c r="K84" i="20"/>
  <c r="I100" i="27"/>
  <c r="H100" i="27"/>
  <c r="AA8" i="26"/>
  <c r="HU67" i="9"/>
  <c r="Q8" i="26" s="1"/>
  <c r="GH143" i="9"/>
  <c r="O102" i="23" s="1"/>
  <c r="Z62" i="24"/>
  <c r="GW48" i="9"/>
  <c r="P62" i="24" s="1"/>
  <c r="S72" i="24"/>
  <c r="V48" i="22"/>
  <c r="FD62" i="9"/>
  <c r="IJ102" i="9"/>
  <c r="IH102" i="9"/>
  <c r="EY102" i="9"/>
  <c r="II102" i="9"/>
  <c r="IG102" i="9"/>
  <c r="FA102" i="9"/>
  <c r="IF102" i="9"/>
  <c r="H93" i="27"/>
  <c r="K93" i="27"/>
  <c r="HI10" i="9"/>
  <c r="S90" i="24"/>
  <c r="V91" i="22"/>
  <c r="FD118" i="9"/>
  <c r="T32" i="23"/>
  <c r="U30" i="22"/>
  <c r="IG87" i="9"/>
  <c r="FA87" i="9"/>
  <c r="IJ87" i="9"/>
  <c r="IH87" i="9"/>
  <c r="IF87" i="9"/>
  <c r="EY87" i="9"/>
  <c r="II87" i="9"/>
  <c r="GZ133" i="9"/>
  <c r="Q96" i="24" s="1"/>
  <c r="Z90" i="22"/>
  <c r="K90" i="20"/>
  <c r="K96" i="27"/>
  <c r="T59" i="25"/>
  <c r="W82" i="22"/>
  <c r="FG108" i="9"/>
  <c r="GH94" i="9"/>
  <c r="O18" i="23" s="1"/>
  <c r="S95" i="24"/>
  <c r="V60" i="22"/>
  <c r="FD123" i="9"/>
  <c r="S43" i="26"/>
  <c r="X62" i="22"/>
  <c r="FJ150" i="9"/>
  <c r="AD34" i="25"/>
  <c r="HL65" i="9"/>
  <c r="R34" i="25" s="1"/>
  <c r="Z9" i="22"/>
  <c r="K9" i="20"/>
  <c r="Z100" i="23"/>
  <c r="AA100" i="22"/>
  <c r="EZ147" i="9"/>
  <c r="GP147" i="9"/>
  <c r="AC100" i="23" s="1"/>
  <c r="GS147" i="9"/>
  <c r="AD100" i="23" s="1"/>
  <c r="GM147" i="9"/>
  <c r="GJ147" i="9"/>
  <c r="S76" i="24"/>
  <c r="V12" i="22"/>
  <c r="FD76" i="9"/>
  <c r="IF97" i="9"/>
  <c r="IJ97" i="9"/>
  <c r="IH97" i="9"/>
  <c r="II97" i="9"/>
  <c r="FA97" i="9"/>
  <c r="EY97" i="9"/>
  <c r="IG97" i="9"/>
  <c r="HF63" i="9"/>
  <c r="P39" i="25" s="1"/>
  <c r="L38" i="27"/>
  <c r="IH74" i="9"/>
  <c r="IF74" i="9"/>
  <c r="II74" i="9"/>
  <c r="EY74" i="9"/>
  <c r="IG74" i="9"/>
  <c r="IJ74" i="9"/>
  <c r="FA74" i="9"/>
  <c r="GQ143" i="9"/>
  <c r="R102" i="23" s="1"/>
  <c r="HO67" i="9"/>
  <c r="O8" i="26" s="1"/>
  <c r="AD79" i="25"/>
  <c r="HL121" i="9"/>
  <c r="R79" i="25" s="1"/>
  <c r="T49" i="25"/>
  <c r="W67" i="22"/>
  <c r="FG115" i="9"/>
  <c r="S28" i="26"/>
  <c r="X25" i="22"/>
  <c r="FJ52" i="9"/>
  <c r="GH115" i="9"/>
  <c r="O61" i="23" s="1"/>
  <c r="K102" i="27"/>
  <c r="X13" i="24"/>
  <c r="AB19" i="22"/>
  <c r="GY44" i="9"/>
  <c r="GV44" i="9"/>
  <c r="HB44" i="9"/>
  <c r="HR59" i="9"/>
  <c r="P36" i="26" s="1"/>
  <c r="V14" i="26"/>
  <c r="AC15" i="25"/>
  <c r="HI76" i="9"/>
  <c r="Q15" i="25" s="1"/>
  <c r="IF80" i="9"/>
  <c r="T10" i="25"/>
  <c r="W13" i="22"/>
  <c r="FG27" i="9"/>
  <c r="GT64" i="9"/>
  <c r="O74" i="24" s="1"/>
  <c r="GO147" i="9"/>
  <c r="Z88" i="22"/>
  <c r="K88" i="20"/>
  <c r="Z101" i="22"/>
  <c r="K101" i="20"/>
  <c r="EY105" i="9"/>
  <c r="II152" i="9"/>
  <c r="HF65" i="9"/>
  <c r="P34" i="25" s="1"/>
  <c r="GH123" i="9"/>
  <c r="O55" i="23" s="1"/>
  <c r="GZ78" i="9"/>
  <c r="Q94" i="24" s="1"/>
  <c r="IG129" i="9"/>
  <c r="FA129" i="9"/>
  <c r="II129" i="9"/>
  <c r="IF129" i="9"/>
  <c r="EY129" i="9"/>
  <c r="IJ129" i="9"/>
  <c r="IH129" i="9"/>
  <c r="II130" i="9"/>
  <c r="Z71" i="26"/>
  <c r="HR105" i="9"/>
  <c r="P71" i="26" s="1"/>
  <c r="AA80" i="24"/>
  <c r="GZ81" i="9"/>
  <c r="Q80" i="24" s="1"/>
  <c r="T17" i="25"/>
  <c r="W15" i="22"/>
  <c r="FG113" i="9"/>
  <c r="U78" i="25"/>
  <c r="FH146" i="9"/>
  <c r="HC146" i="9"/>
  <c r="O78" i="25" s="1"/>
  <c r="IH132" i="9"/>
  <c r="EY136" i="9"/>
  <c r="T73" i="23"/>
  <c r="U66" i="22"/>
  <c r="IG23" i="9"/>
  <c r="IJ23" i="9"/>
  <c r="II23" i="9"/>
  <c r="IH23" i="9"/>
  <c r="IF23" i="9"/>
  <c r="FA23" i="9"/>
  <c r="EY23" i="9"/>
  <c r="AD24" i="23"/>
  <c r="GK54" i="9"/>
  <c r="P43" i="23" s="1"/>
  <c r="S50" i="26"/>
  <c r="X43" i="22"/>
  <c r="FJ15" i="9"/>
  <c r="Z16" i="23"/>
  <c r="AA19" i="22"/>
  <c r="EZ44" i="9"/>
  <c r="GS44" i="9"/>
  <c r="GP44" i="9"/>
  <c r="GM44" i="9"/>
  <c r="GJ44" i="9"/>
  <c r="H7" i="27"/>
  <c r="T53" i="25"/>
  <c r="W72" i="22"/>
  <c r="FG17" i="9"/>
  <c r="Z52" i="26"/>
  <c r="HR30" i="9"/>
  <c r="P52" i="26" s="1"/>
  <c r="AC10" i="23"/>
  <c r="GN12" i="9"/>
  <c r="Q10" i="23" s="1"/>
  <c r="Z45" i="22"/>
  <c r="K45" i="20"/>
  <c r="IF33" i="9"/>
  <c r="AA73" i="23"/>
  <c r="GH23" i="9"/>
  <c r="O73" i="23" s="1"/>
  <c r="Y75" i="24"/>
  <c r="GT68" i="9"/>
  <c r="O75" i="24" s="1"/>
  <c r="HO84" i="9"/>
  <c r="O16" i="26" s="1"/>
  <c r="I18" i="27"/>
  <c r="S6" i="24"/>
  <c r="V5" i="22"/>
  <c r="FD58" i="9"/>
  <c r="EY25" i="9"/>
  <c r="T37" i="25"/>
  <c r="W48" i="22"/>
  <c r="FG62" i="9"/>
  <c r="HD29" i="9"/>
  <c r="S18" i="24"/>
  <c r="V23" i="22"/>
  <c r="FD14" i="9"/>
  <c r="H34" i="27"/>
  <c r="HU84" i="9"/>
  <c r="Q16" i="26" s="1"/>
  <c r="AD31" i="25"/>
  <c r="HL58" i="9"/>
  <c r="R31" i="25" s="1"/>
  <c r="GK18" i="9"/>
  <c r="P64" i="23" s="1"/>
  <c r="IJ20" i="9"/>
  <c r="HI62" i="9"/>
  <c r="Q37" i="25" s="1"/>
  <c r="HV29" i="9"/>
  <c r="HO70" i="9"/>
  <c r="O56" i="26" s="1"/>
  <c r="GR29" i="9"/>
  <c r="Z92" i="22"/>
  <c r="K92" i="20"/>
  <c r="S101" i="24"/>
  <c r="V80" i="22"/>
  <c r="FD146" i="9"/>
  <c r="S92" i="26"/>
  <c r="X91" i="22"/>
  <c r="FJ118" i="9"/>
  <c r="T82" i="25"/>
  <c r="W95" i="22"/>
  <c r="FG137" i="9"/>
  <c r="K83" i="20"/>
  <c r="Z83" i="22"/>
  <c r="AA33" i="23"/>
  <c r="GH35" i="9"/>
  <c r="O33" i="23" s="1"/>
  <c r="AA18" i="25"/>
  <c r="HC19" i="9"/>
  <c r="O18" i="25" s="1"/>
  <c r="AD25" i="23"/>
  <c r="GQ79" i="9"/>
  <c r="R25" i="23" s="1"/>
  <c r="Z46" i="22"/>
  <c r="K46" i="20"/>
  <c r="IG46" i="9"/>
  <c r="GT31" i="9"/>
  <c r="O22" i="24" s="1"/>
  <c r="T68" i="25"/>
  <c r="W81" i="22"/>
  <c r="FG91" i="9"/>
  <c r="T28" i="23"/>
  <c r="U25" i="22"/>
  <c r="IF52" i="9"/>
  <c r="IH52" i="9"/>
  <c r="IG52" i="9"/>
  <c r="EY52" i="9"/>
  <c r="FA52" i="9"/>
  <c r="IJ52" i="9"/>
  <c r="II52" i="9"/>
  <c r="T88" i="23"/>
  <c r="U91" i="22"/>
  <c r="IF118" i="9"/>
  <c r="IH118" i="9"/>
  <c r="IG118" i="9"/>
  <c r="II118" i="9"/>
  <c r="FA118" i="9"/>
  <c r="EY118" i="9"/>
  <c r="IJ118" i="9"/>
  <c r="L83" i="27"/>
  <c r="AB25" i="25"/>
  <c r="HF22" i="9"/>
  <c r="P25" i="25" s="1"/>
  <c r="GQ66" i="9"/>
  <c r="R35" i="23" s="1"/>
  <c r="EY15" i="9"/>
  <c r="GX89" i="9"/>
  <c r="AA83" i="23"/>
  <c r="GH71" i="9"/>
  <c r="O83" i="23" s="1"/>
  <c r="T77" i="23"/>
  <c r="U73" i="22"/>
  <c r="EY135" i="9"/>
  <c r="IG135" i="9"/>
  <c r="FA135" i="9"/>
  <c r="IJ135" i="9"/>
  <c r="II135" i="9"/>
  <c r="IH135" i="9"/>
  <c r="IF135" i="9"/>
  <c r="T49" i="23"/>
  <c r="U51" i="22"/>
  <c r="IF63" i="9"/>
  <c r="FA63" i="9"/>
  <c r="II63" i="9"/>
  <c r="IJ63" i="9"/>
  <c r="EY63" i="9"/>
  <c r="IH63" i="9"/>
  <c r="IG63" i="9"/>
  <c r="S21" i="26"/>
  <c r="X22" i="22"/>
  <c r="FJ13" i="9"/>
  <c r="AB71" i="23"/>
  <c r="GK81" i="9"/>
  <c r="P71" i="23" s="1"/>
  <c r="S32" i="24"/>
  <c r="V46" i="22"/>
  <c r="FD51" i="9"/>
  <c r="U98" i="22"/>
  <c r="T98" i="23"/>
  <c r="IG141" i="9"/>
  <c r="FA141" i="9"/>
  <c r="IF141" i="9"/>
  <c r="EY141" i="9"/>
  <c r="IH141" i="9"/>
  <c r="IJ141" i="9"/>
  <c r="II141" i="9"/>
  <c r="H95" i="27"/>
  <c r="AA98" i="24"/>
  <c r="GZ136" i="9"/>
  <c r="Q98" i="24" s="1"/>
  <c r="Z31" i="22"/>
  <c r="Z3" i="22"/>
  <c r="O3" i="20"/>
  <c r="K3" i="20"/>
  <c r="K31" i="20"/>
  <c r="GT118" i="9"/>
  <c r="O90" i="24" s="1"/>
  <c r="GK87" i="9"/>
  <c r="P32" i="23" s="1"/>
  <c r="L85" i="27"/>
  <c r="Z99" i="22"/>
  <c r="K99" i="20"/>
  <c r="T18" i="23"/>
  <c r="U16" i="22"/>
  <c r="IJ94" i="9"/>
  <c r="FA94" i="9"/>
  <c r="EY94" i="9"/>
  <c r="II94" i="9"/>
  <c r="IH94" i="9"/>
  <c r="IF94" i="9"/>
  <c r="IG94" i="9"/>
  <c r="T46" i="25"/>
  <c r="W60" i="22"/>
  <c r="FG123" i="9"/>
  <c r="O29" i="36"/>
  <c r="N29" i="36"/>
  <c r="R29" i="36"/>
  <c r="Q29" i="36"/>
  <c r="P29" i="36"/>
  <c r="N25" i="26"/>
  <c r="R26" i="22"/>
  <c r="AB52" i="23"/>
  <c r="GK122" i="9"/>
  <c r="P52" i="23" s="1"/>
  <c r="I28" i="27"/>
  <c r="GZ113" i="9"/>
  <c r="Q85" i="24" s="1"/>
  <c r="S65" i="26"/>
  <c r="X68" i="22"/>
  <c r="FJ64" i="9"/>
  <c r="T99" i="25"/>
  <c r="W88" i="22"/>
  <c r="FG47" i="9"/>
  <c r="GW70" i="9"/>
  <c r="P52" i="24" s="1"/>
  <c r="HF140" i="9"/>
  <c r="P98" i="25" s="1"/>
  <c r="Z21" i="22"/>
  <c r="K21" i="20"/>
  <c r="Y17" i="24"/>
  <c r="GT46" i="9"/>
  <c r="O17" i="24" s="1"/>
  <c r="T33" i="23"/>
  <c r="U34" i="22"/>
  <c r="IH35" i="9"/>
  <c r="IG35" i="9"/>
  <c r="IF35" i="9"/>
  <c r="FA35" i="9"/>
  <c r="IJ35" i="9"/>
  <c r="EY35" i="9"/>
  <c r="II35" i="9"/>
  <c r="T23" i="25"/>
  <c r="W32" i="22"/>
  <c r="FG68" i="9"/>
  <c r="L11" i="27"/>
  <c r="K11" i="27"/>
  <c r="HF132" i="9"/>
  <c r="P76" i="25" s="1"/>
  <c r="Z79" i="24"/>
  <c r="GW42" i="9"/>
  <c r="P79" i="24" s="1"/>
  <c r="L100" i="27"/>
  <c r="H36" i="27"/>
  <c r="P7" i="34"/>
  <c r="O7" i="34"/>
  <c r="N7" i="34"/>
  <c r="R7" i="34"/>
  <c r="Q7" i="34"/>
  <c r="N7" i="25"/>
  <c r="Q8" i="22"/>
  <c r="T61" i="23"/>
  <c r="U67" i="22"/>
  <c r="IJ115" i="9"/>
  <c r="IH115" i="9"/>
  <c r="FA115" i="9"/>
  <c r="II115" i="9"/>
  <c r="IF115" i="9"/>
  <c r="EY115" i="9"/>
  <c r="IG115" i="9"/>
  <c r="S37" i="26"/>
  <c r="X40" i="22"/>
  <c r="FJ120" i="9"/>
  <c r="U14" i="26"/>
  <c r="X53" i="23"/>
  <c r="GQ139" i="9"/>
  <c r="R53" i="23" s="1"/>
  <c r="IH80" i="9"/>
  <c r="J11" i="27"/>
  <c r="HC27" i="9"/>
  <c r="O10" i="25" s="1"/>
  <c r="Z24" i="24"/>
  <c r="GW50" i="9"/>
  <c r="P24" i="24" s="1"/>
  <c r="S74" i="24"/>
  <c r="V68" i="22"/>
  <c r="FD64" i="9"/>
  <c r="HI142" i="9"/>
  <c r="Q84" i="25" s="1"/>
  <c r="T103" i="23"/>
  <c r="U102" i="22"/>
  <c r="IF134" i="9"/>
  <c r="EY134" i="9"/>
  <c r="IH134" i="9"/>
  <c r="IJ134" i="9"/>
  <c r="II134" i="9"/>
  <c r="IG134" i="9"/>
  <c r="FA134" i="9"/>
  <c r="T76" i="25"/>
  <c r="W83" i="22"/>
  <c r="FG132" i="9"/>
  <c r="S74" i="26"/>
  <c r="X77" i="22"/>
  <c r="FJ114" i="9"/>
  <c r="GN18" i="9"/>
  <c r="Q64" i="23" s="1"/>
  <c r="S67" i="24"/>
  <c r="V72" i="22"/>
  <c r="FD17" i="9"/>
  <c r="S75" i="24"/>
  <c r="V32" i="22"/>
  <c r="FD68" i="9"/>
  <c r="GH117" i="9"/>
  <c r="O95" i="23" s="1"/>
  <c r="IF130" i="9"/>
  <c r="L93" i="27"/>
  <c r="II132" i="9"/>
  <c r="IF136" i="9"/>
  <c r="R4" i="36"/>
  <c r="Q4" i="36"/>
  <c r="P4" i="36"/>
  <c r="O4" i="36"/>
  <c r="N4" i="36"/>
  <c r="N4" i="26"/>
  <c r="R4" i="22"/>
  <c r="K56" i="27"/>
  <c r="Z61" i="22"/>
  <c r="K61" i="20"/>
  <c r="W33" i="25"/>
  <c r="HI56" i="9"/>
  <c r="Q33" i="25" s="1"/>
  <c r="HC17" i="9"/>
  <c r="O53" i="25" s="1"/>
  <c r="S78" i="24"/>
  <c r="V63" i="22"/>
  <c r="FD41" i="9"/>
  <c r="EY33" i="9"/>
  <c r="GN11" i="9"/>
  <c r="Q24" i="23" s="1"/>
  <c r="IH49" i="9"/>
  <c r="H18" i="27"/>
  <c r="S16" i="26"/>
  <c r="X17" i="22"/>
  <c r="FJ84" i="9"/>
  <c r="S88" i="24"/>
  <c r="V56" i="22"/>
  <c r="FD116" i="9"/>
  <c r="Z16" i="25"/>
  <c r="AC14" i="22"/>
  <c r="HH29" i="9"/>
  <c r="AB16" i="25" s="1"/>
  <c r="HE29" i="9"/>
  <c r="AA16" i="25" s="1"/>
  <c r="HN29" i="9"/>
  <c r="AD16" i="25" s="1"/>
  <c r="HK29" i="9"/>
  <c r="AC16" i="25" s="1"/>
  <c r="IF25" i="9"/>
  <c r="HC62" i="9"/>
  <c r="O37" i="25" s="1"/>
  <c r="T64" i="23"/>
  <c r="U57" i="22"/>
  <c r="IJ18" i="9"/>
  <c r="IH18" i="9"/>
  <c r="II18" i="9"/>
  <c r="EY18" i="9"/>
  <c r="IG18" i="9"/>
  <c r="IF18" i="9"/>
  <c r="FA18" i="9"/>
  <c r="W34" i="22"/>
  <c r="T26" i="25"/>
  <c r="FG35" i="9"/>
  <c r="HI13" i="9"/>
  <c r="Q13" i="25" s="1"/>
  <c r="V85" i="25"/>
  <c r="HF90" i="9"/>
  <c r="P85" i="25" s="1"/>
  <c r="J33" i="27"/>
  <c r="X11" i="24"/>
  <c r="AB14" i="22"/>
  <c r="GY29" i="9"/>
  <c r="Z11" i="24" s="1"/>
  <c r="HB29" i="9"/>
  <c r="AA11" i="24" s="1"/>
  <c r="GV29" i="9"/>
  <c r="Y11" i="24" s="1"/>
  <c r="IG20" i="9"/>
  <c r="T70" i="25"/>
  <c r="W38" i="22"/>
  <c r="FG50" i="9"/>
  <c r="GQ18" i="9"/>
  <c r="R64" i="23" s="1"/>
  <c r="HO46" i="9"/>
  <c r="O30" i="26" s="1"/>
  <c r="S39" i="24"/>
  <c r="V27" i="22"/>
  <c r="FD79" i="9"/>
  <c r="AA84" i="23"/>
  <c r="GH132" i="9"/>
  <c r="O84" i="23" s="1"/>
  <c r="AC98" i="25"/>
  <c r="HI140" i="9"/>
  <c r="Q98" i="25" s="1"/>
  <c r="T40" i="23"/>
  <c r="U41" i="22"/>
  <c r="IJ73" i="9"/>
  <c r="FA73" i="9"/>
  <c r="II73" i="9"/>
  <c r="IH73" i="9"/>
  <c r="IF73" i="9"/>
  <c r="EY73" i="9"/>
  <c r="IG73" i="9"/>
  <c r="AB33" i="23"/>
  <c r="GK35" i="9"/>
  <c r="P33" i="23" s="1"/>
  <c r="K29" i="27"/>
  <c r="HF49" i="9"/>
  <c r="P71" i="25" s="1"/>
  <c r="AA25" i="23"/>
  <c r="GH79" i="9"/>
  <c r="O25" i="23" s="1"/>
  <c r="HL70" i="9"/>
  <c r="R48" i="25" s="1"/>
  <c r="T42" i="25"/>
  <c r="W43" i="22"/>
  <c r="FG15" i="9"/>
  <c r="Z89" i="26"/>
  <c r="HR93" i="9"/>
  <c r="P89" i="26" s="1"/>
  <c r="K14" i="27"/>
  <c r="AC50" i="23"/>
  <c r="GN51" i="9"/>
  <c r="Q50" i="23" s="1"/>
  <c r="II46" i="9"/>
  <c r="T31" i="25"/>
  <c r="W5" i="22"/>
  <c r="FG58" i="9"/>
  <c r="AC61" i="25"/>
  <c r="HI72" i="9"/>
  <c r="Q61" i="25" s="1"/>
  <c r="U82" i="22"/>
  <c r="T81" i="23"/>
  <c r="IJ108" i="9"/>
  <c r="IF108" i="9"/>
  <c r="II108" i="9"/>
  <c r="IH108" i="9"/>
  <c r="IG108" i="9"/>
  <c r="FA108" i="9"/>
  <c r="EY108" i="9"/>
  <c r="V89" i="25"/>
  <c r="HF139" i="9"/>
  <c r="P89" i="25" s="1"/>
  <c r="AC18" i="23"/>
  <c r="GN94" i="9"/>
  <c r="Q18" i="23" s="1"/>
  <c r="AC25" i="25"/>
  <c r="HI22" i="9"/>
  <c r="Q25" i="25" s="1"/>
  <c r="AB32" i="25"/>
  <c r="HF54" i="9"/>
  <c r="P32" i="25" s="1"/>
  <c r="Z8" i="22"/>
  <c r="K8" i="20"/>
  <c r="II15" i="9"/>
  <c r="HU17" i="9"/>
  <c r="Q73" i="26" s="1"/>
  <c r="GZ14" i="9"/>
  <c r="Q18" i="24" s="1"/>
  <c r="AC56" i="23"/>
  <c r="GN60" i="9"/>
  <c r="Q56" i="23" s="1"/>
  <c r="HV89" i="9"/>
  <c r="Y60" i="26"/>
  <c r="HO116" i="9"/>
  <c r="O60" i="26" s="1"/>
  <c r="Z8" i="26"/>
  <c r="HR67" i="9"/>
  <c r="P8" i="26" s="1"/>
  <c r="HL145" i="9"/>
  <c r="R105" i="25" s="1"/>
  <c r="T60" i="23"/>
  <c r="U59" i="22"/>
  <c r="IH61" i="9"/>
  <c r="IJ61" i="9"/>
  <c r="EY61" i="9"/>
  <c r="II61" i="9"/>
  <c r="IG61" i="9"/>
  <c r="FA61" i="9"/>
  <c r="IF61" i="9"/>
  <c r="AA26" i="24"/>
  <c r="GZ49" i="9"/>
  <c r="Q26" i="24" s="1"/>
  <c r="T98" i="25"/>
  <c r="W75" i="22"/>
  <c r="FG140" i="9"/>
  <c r="I93" i="27"/>
  <c r="IH103" i="9"/>
  <c r="IF103" i="9"/>
  <c r="EY103" i="9"/>
  <c r="II103" i="9"/>
  <c r="IJ103" i="9"/>
  <c r="FA103" i="9"/>
  <c r="IG103" i="9"/>
  <c r="Y3" i="24"/>
  <c r="Y46" i="24"/>
  <c r="J29" i="27"/>
  <c r="S94" i="24"/>
  <c r="V93" i="22"/>
  <c r="FD78" i="9"/>
  <c r="J6" i="27"/>
  <c r="K75" i="20"/>
  <c r="Z75" i="22"/>
  <c r="AC24" i="25"/>
  <c r="HI125" i="9"/>
  <c r="Q24" i="25" s="1"/>
  <c r="Y103" i="24"/>
  <c r="GT148" i="9"/>
  <c r="O103" i="24" s="1"/>
  <c r="AD80" i="25"/>
  <c r="HL118" i="9"/>
  <c r="R80" i="25" s="1"/>
  <c r="O95" i="36"/>
  <c r="N95" i="36"/>
  <c r="Q95" i="36"/>
  <c r="P95" i="36"/>
  <c r="R95" i="36"/>
  <c r="N98" i="26"/>
  <c r="I98" i="26" s="1"/>
  <c r="R97" i="22"/>
  <c r="Z6" i="26"/>
  <c r="HR82" i="9"/>
  <c r="P6" i="26" s="1"/>
  <c r="AA99" i="23"/>
  <c r="GH144" i="9"/>
  <c r="O99" i="23" s="1"/>
  <c r="IG76" i="9"/>
  <c r="GQ59" i="9"/>
  <c r="R36" i="23" s="1"/>
  <c r="Y93" i="24"/>
  <c r="GT122" i="9"/>
  <c r="O93" i="24" s="1"/>
  <c r="Z66" i="24"/>
  <c r="GW141" i="9"/>
  <c r="P66" i="24" s="1"/>
  <c r="S92" i="24"/>
  <c r="V40" i="22"/>
  <c r="FD120" i="9"/>
  <c r="HL15" i="9"/>
  <c r="R42" i="25" s="1"/>
  <c r="S38" i="26"/>
  <c r="X38" i="22"/>
  <c r="FJ50" i="9"/>
  <c r="J50" i="27"/>
  <c r="AA17" i="24"/>
  <c r="GZ46" i="9"/>
  <c r="Q17" i="24" s="1"/>
  <c r="GQ35" i="9"/>
  <c r="R33" i="23" s="1"/>
  <c r="HI143" i="9"/>
  <c r="Q101" i="25" s="1"/>
  <c r="GN122" i="9"/>
  <c r="Q52" i="23" s="1"/>
  <c r="HR19" i="9"/>
  <c r="P32" i="26" s="1"/>
  <c r="AD55" i="23"/>
  <c r="GQ123" i="9"/>
  <c r="R55" i="23" s="1"/>
  <c r="AD105" i="23"/>
  <c r="GQ133" i="9"/>
  <c r="R105" i="23" s="1"/>
  <c r="I72" i="27"/>
  <c r="K72" i="27"/>
  <c r="J99" i="27"/>
  <c r="J100" i="27"/>
  <c r="HL63" i="9"/>
  <c r="R39" i="25" s="1"/>
  <c r="T14" i="26"/>
  <c r="FK44" i="9"/>
  <c r="Z98" i="26"/>
  <c r="HR117" i="9"/>
  <c r="P98" i="26" s="1"/>
  <c r="AA15" i="25"/>
  <c r="HC76" i="9"/>
  <c r="O15" i="25" s="1"/>
  <c r="GK145" i="9"/>
  <c r="P106" i="23" s="1"/>
  <c r="IF17" i="9"/>
  <c r="S100" i="26"/>
  <c r="X99" i="22"/>
  <c r="FJ144" i="9"/>
  <c r="S42" i="24"/>
  <c r="V35" i="22"/>
  <c r="FD66" i="9"/>
  <c r="HC132" i="9"/>
  <c r="O76" i="25" s="1"/>
  <c r="GQ144" i="9"/>
  <c r="R99" i="23" s="1"/>
  <c r="GT17" i="9"/>
  <c r="O67" i="24" s="1"/>
  <c r="AD101" i="23"/>
  <c r="GQ48" i="9"/>
  <c r="R101" i="23" s="1"/>
  <c r="GW68" i="9"/>
  <c r="P75" i="24" s="1"/>
  <c r="T95" i="23"/>
  <c r="U97" i="22"/>
  <c r="IH117" i="9"/>
  <c r="IF117" i="9"/>
  <c r="II117" i="9"/>
  <c r="EY117" i="9"/>
  <c r="IJ117" i="9"/>
  <c r="IG117" i="9"/>
  <c r="FA117" i="9"/>
  <c r="K78" i="27"/>
  <c r="I78" i="27"/>
  <c r="W78" i="25"/>
  <c r="HI146" i="9"/>
  <c r="Q78" i="25" s="1"/>
  <c r="K25" i="27"/>
  <c r="K3" i="27"/>
  <c r="L25" i="27"/>
  <c r="HO88" i="9"/>
  <c r="HF142" i="9"/>
  <c r="P84" i="25" s="1"/>
  <c r="IJ130" i="9"/>
  <c r="IF69" i="9"/>
  <c r="II69" i="9"/>
  <c r="FA69" i="9"/>
  <c r="IJ69" i="9"/>
  <c r="IH69" i="9"/>
  <c r="IG69" i="9"/>
  <c r="EY69" i="9"/>
  <c r="J71" i="27"/>
  <c r="U106" i="22"/>
  <c r="T106" i="23"/>
  <c r="II145" i="9"/>
  <c r="EY145" i="9"/>
  <c r="IG145" i="9"/>
  <c r="IJ145" i="9"/>
  <c r="IH145" i="9"/>
  <c r="IF145" i="9"/>
  <c r="FA145" i="9"/>
  <c r="R104" i="36"/>
  <c r="Q104" i="36"/>
  <c r="O104" i="36"/>
  <c r="N104" i="36"/>
  <c r="P104" i="36"/>
  <c r="N103" i="26"/>
  <c r="R103" i="22"/>
  <c r="K58" i="20"/>
  <c r="Z58" i="22"/>
  <c r="T43" i="23"/>
  <c r="U45" i="22"/>
  <c r="FA54" i="9"/>
  <c r="IJ54" i="9"/>
  <c r="II54" i="9"/>
  <c r="IH54" i="9"/>
  <c r="IG54" i="9"/>
  <c r="IF54" i="9"/>
  <c r="EY54" i="9"/>
  <c r="AC48" i="25"/>
  <c r="HI70" i="9"/>
  <c r="Q48" i="25" s="1"/>
  <c r="Z30" i="26"/>
  <c r="HR46" i="9"/>
  <c r="P30" i="26" s="1"/>
  <c r="U33" i="25"/>
  <c r="FH56" i="9"/>
  <c r="HC56" i="9"/>
  <c r="O33" i="25" s="1"/>
  <c r="AD54" i="25"/>
  <c r="HL18" i="9"/>
  <c r="R54" i="25" s="1"/>
  <c r="IF26" i="9"/>
  <c r="S11" i="26"/>
  <c r="X12" i="22"/>
  <c r="FJ76" i="9"/>
  <c r="AA31" i="25"/>
  <c r="HC58" i="9"/>
  <c r="O31" i="25" s="1"/>
  <c r="HF62" i="9"/>
  <c r="P37" i="25" s="1"/>
  <c r="Y34" i="24"/>
  <c r="GT43" i="9"/>
  <c r="O34" i="24" s="1"/>
  <c r="S33" i="24"/>
  <c r="V66" i="22"/>
  <c r="FD23" i="9"/>
  <c r="IH20" i="9"/>
  <c r="Y22" i="26"/>
  <c r="HO14" i="9"/>
  <c r="O22" i="26" s="1"/>
  <c r="S30" i="26"/>
  <c r="X29" i="22"/>
  <c r="FJ46" i="9"/>
  <c r="AD84" i="23"/>
  <c r="GQ132" i="9"/>
  <c r="R84" i="23" s="1"/>
  <c r="S106" i="26"/>
  <c r="X106" i="22"/>
  <c r="FJ145" i="9"/>
  <c r="S83" i="24"/>
  <c r="V74" i="22"/>
  <c r="FD105" i="9"/>
  <c r="Y71" i="24"/>
  <c r="GT54" i="9"/>
  <c r="O71" i="24" s="1"/>
  <c r="T21" i="23"/>
  <c r="U23" i="22"/>
  <c r="IF14" i="9"/>
  <c r="FA14" i="9"/>
  <c r="IJ14" i="9"/>
  <c r="II14" i="9"/>
  <c r="EY14" i="9"/>
  <c r="IH14" i="9"/>
  <c r="IG14" i="9"/>
  <c r="Z27" i="22"/>
  <c r="K27" i="20"/>
  <c r="HI15" i="9"/>
  <c r="Q42" i="25" s="1"/>
  <c r="AD50" i="23"/>
  <c r="GQ51" i="9"/>
  <c r="R50" i="23" s="1"/>
  <c r="IJ46" i="9"/>
  <c r="AA61" i="25"/>
  <c r="HC72" i="9"/>
  <c r="O61" i="25" s="1"/>
  <c r="U5" i="22"/>
  <c r="T6" i="23"/>
  <c r="IJ58" i="9"/>
  <c r="IH58" i="9"/>
  <c r="FA58" i="9"/>
  <c r="IF58" i="9"/>
  <c r="II58" i="9"/>
  <c r="IG58" i="9"/>
  <c r="EY58" i="9"/>
  <c r="AA40" i="23"/>
  <c r="GH73" i="9"/>
  <c r="O40" i="23" s="1"/>
  <c r="AA85" i="26"/>
  <c r="HU138" i="9"/>
  <c r="Q85" i="26" s="1"/>
  <c r="AC21" i="23"/>
  <c r="GN14" i="9"/>
  <c r="Q21" i="23" s="1"/>
  <c r="AD25" i="25"/>
  <c r="HL22" i="9"/>
  <c r="R25" i="25" s="1"/>
  <c r="AB8" i="23"/>
  <c r="GK67" i="9"/>
  <c r="P8" i="23" s="1"/>
  <c r="Z53" i="22"/>
  <c r="K53" i="20"/>
  <c r="Z60" i="26"/>
  <c r="HR116" i="9"/>
  <c r="P60" i="26" s="1"/>
  <c r="AA101" i="24"/>
  <c r="GZ146" i="9"/>
  <c r="Q101" i="24" s="1"/>
  <c r="S42" i="26"/>
  <c r="X45" i="22"/>
  <c r="FJ54" i="9"/>
  <c r="GN61" i="9"/>
  <c r="Q60" i="23" s="1"/>
  <c r="S27" i="26"/>
  <c r="X30" i="22"/>
  <c r="FJ87" i="9"/>
  <c r="GI89" i="9"/>
  <c r="S57" i="24"/>
  <c r="V83" i="22"/>
  <c r="FD132" i="9"/>
  <c r="S95" i="26"/>
  <c r="X95" i="22"/>
  <c r="FJ137" i="9"/>
  <c r="Z46" i="24"/>
  <c r="Z3" i="24"/>
  <c r="GW136" i="9"/>
  <c r="P98" i="24" s="1"/>
  <c r="Z103" i="24"/>
  <c r="GW148" i="9"/>
  <c r="P103" i="24" s="1"/>
  <c r="IF40" i="9"/>
  <c r="IJ40" i="9"/>
  <c r="II40" i="9"/>
  <c r="IH40" i="9"/>
  <c r="IG40" i="9"/>
  <c r="FA40" i="9"/>
  <c r="EY40" i="9"/>
  <c r="AA6" i="26"/>
  <c r="HU82" i="9"/>
  <c r="Q6" i="26" s="1"/>
  <c r="X89" i="25"/>
  <c r="HL139" i="9"/>
  <c r="R89" i="25" s="1"/>
  <c r="AB99" i="23"/>
  <c r="GK144" i="9"/>
  <c r="P99" i="23" s="1"/>
  <c r="II76" i="9"/>
  <c r="I85" i="27"/>
  <c r="HO79" i="9"/>
  <c r="O24" i="26" s="1"/>
  <c r="AA34" i="25"/>
  <c r="HC65" i="9"/>
  <c r="O34" i="25" s="1"/>
  <c r="Z88" i="9"/>
  <c r="GR88" i="9" s="1"/>
  <c r="GQ88" i="9" s="1"/>
  <c r="HG88" i="9"/>
  <c r="HF88" i="9" s="1"/>
  <c r="S102" i="26"/>
  <c r="X101" i="22"/>
  <c r="FJ48" i="9"/>
  <c r="HO50" i="9"/>
  <c r="O38" i="26" s="1"/>
  <c r="FH139" i="9"/>
  <c r="K106" i="27"/>
  <c r="J85" i="27"/>
  <c r="T84" i="25"/>
  <c r="W42" i="22"/>
  <c r="FG142" i="9"/>
  <c r="Z17" i="24"/>
  <c r="GW46" i="9"/>
  <c r="P17" i="24" s="1"/>
  <c r="Z91" i="24"/>
  <c r="GW119" i="9"/>
  <c r="P91" i="24" s="1"/>
  <c r="Z105" i="22"/>
  <c r="K105" i="20"/>
  <c r="K47" i="27"/>
  <c r="T17" i="23"/>
  <c r="U17" i="22"/>
  <c r="IF84" i="9"/>
  <c r="IG84" i="9"/>
  <c r="FA84" i="9"/>
  <c r="IJ84" i="9"/>
  <c r="IH84" i="9"/>
  <c r="II84" i="9"/>
  <c r="EY84" i="9"/>
  <c r="HL81" i="9"/>
  <c r="R62" i="25" s="1"/>
  <c r="AA98" i="26"/>
  <c r="HU117" i="9"/>
  <c r="Q98" i="26" s="1"/>
  <c r="Z40" i="22"/>
  <c r="K40" i="20"/>
  <c r="AC75" i="25"/>
  <c r="HI127" i="9"/>
  <c r="Q75" i="25" s="1"/>
  <c r="IG95" i="9"/>
  <c r="I36" i="27"/>
  <c r="IG17" i="9"/>
  <c r="HL148" i="9"/>
  <c r="R93" i="25" s="1"/>
  <c r="GO89" i="9"/>
  <c r="HM89" i="9"/>
  <c r="HU142" i="9"/>
  <c r="Q41" i="26" s="1"/>
  <c r="S84" i="26"/>
  <c r="X85" i="22"/>
  <c r="FJ121" i="9"/>
  <c r="IH105" i="9"/>
  <c r="GH93" i="9"/>
  <c r="O93" i="23" s="1"/>
  <c r="GT119" i="9"/>
  <c r="O91" i="24" s="1"/>
  <c r="Z29" i="24"/>
  <c r="GW87" i="9"/>
  <c r="P29" i="24" s="1"/>
  <c r="J78" i="27"/>
  <c r="HU72" i="9"/>
  <c r="Q78" i="26" s="1"/>
  <c r="Z48" i="22"/>
  <c r="K48" i="20"/>
  <c r="Z18" i="26"/>
  <c r="HR94" i="9"/>
  <c r="P18" i="26" s="1"/>
  <c r="GH145" i="9"/>
  <c r="O106" i="23" s="1"/>
  <c r="IG136" i="9"/>
  <c r="S3" i="26"/>
  <c r="S23" i="26"/>
  <c r="X31" i="22"/>
  <c r="X3" i="22"/>
  <c r="FJ8" i="9"/>
  <c r="AA42" i="25"/>
  <c r="HC15" i="9"/>
  <c r="O42" i="25" s="1"/>
  <c r="S31" i="24"/>
  <c r="V57" i="22"/>
  <c r="FD18" i="9"/>
  <c r="GH54" i="9"/>
  <c r="O43" i="23" s="1"/>
  <c r="X47" i="13"/>
  <c r="X16" i="14"/>
  <c r="X19" i="14"/>
  <c r="X12" i="14"/>
  <c r="X46" i="13"/>
  <c r="X15" i="14"/>
  <c r="X18" i="14"/>
  <c r="X17" i="14"/>
  <c r="X39" i="13"/>
  <c r="X44" i="13"/>
  <c r="X43" i="13"/>
  <c r="X38" i="13"/>
  <c r="X13" i="14"/>
  <c r="X45" i="13"/>
  <c r="X14" i="14"/>
  <c r="X42" i="13"/>
  <c r="X41" i="13"/>
  <c r="X10" i="14"/>
  <c r="X40" i="13"/>
  <c r="X32" i="13"/>
  <c r="X27" i="13"/>
  <c r="X11" i="14"/>
  <c r="X6" i="14"/>
  <c r="X7" i="14" s="1"/>
  <c r="X37" i="13"/>
  <c r="X26" i="13"/>
  <c r="X21" i="13"/>
  <c r="X9" i="14"/>
  <c r="X30" i="13"/>
  <c r="X8" i="14"/>
  <c r="X25" i="13"/>
  <c r="X34" i="13"/>
  <c r="X29" i="13"/>
  <c r="X35" i="13"/>
  <c r="X24" i="13"/>
  <c r="X33" i="13"/>
  <c r="X36" i="13"/>
  <c r="X15" i="13"/>
  <c r="X11" i="13"/>
  <c r="X31" i="13"/>
  <c r="X22" i="13"/>
  <c r="X19" i="13"/>
  <c r="X14" i="13"/>
  <c r="X10" i="13"/>
  <c r="X23" i="13"/>
  <c r="X18" i="13"/>
  <c r="X9" i="13"/>
  <c r="X20" i="13"/>
  <c r="X13" i="13"/>
  <c r="X28" i="13"/>
  <c r="X17" i="13"/>
  <c r="X12" i="13"/>
  <c r="X8" i="13"/>
  <c r="X6" i="13"/>
  <c r="X7" i="13" s="1"/>
  <c r="X19" i="11"/>
  <c r="X17" i="11"/>
  <c r="X15" i="11"/>
  <c r="X13" i="11"/>
  <c r="X11" i="11"/>
  <c r="X16" i="13"/>
  <c r="X14" i="11"/>
  <c r="X9" i="11"/>
  <c r="X16" i="11"/>
  <c r="X18" i="11"/>
  <c r="X10" i="11"/>
  <c r="X20" i="11"/>
  <c r="X12" i="11"/>
  <c r="X40" i="10"/>
  <c r="X42" i="10"/>
  <c r="X41" i="10"/>
  <c r="X39" i="10"/>
  <c r="X37" i="10"/>
  <c r="X8" i="11"/>
  <c r="X34" i="10"/>
  <c r="X31" i="10"/>
  <c r="X36" i="10"/>
  <c r="X35" i="10"/>
  <c r="X27" i="10"/>
  <c r="X25" i="10"/>
  <c r="X23" i="10"/>
  <c r="X21" i="10"/>
  <c r="X19" i="10"/>
  <c r="X17" i="10"/>
  <c r="X15" i="10"/>
  <c r="X13" i="10"/>
  <c r="X30" i="10"/>
  <c r="X38" i="10"/>
  <c r="X29" i="10"/>
  <c r="X33" i="10"/>
  <c r="X26" i="10"/>
  <c r="X24" i="10"/>
  <c r="X22" i="10"/>
  <c r="X20" i="10"/>
  <c r="X18" i="10"/>
  <c r="X16" i="10"/>
  <c r="X14" i="10"/>
  <c r="X32" i="10"/>
  <c r="X28" i="10"/>
  <c r="X10" i="10"/>
  <c r="X11" i="10"/>
  <c r="X12" i="10"/>
  <c r="X9" i="10"/>
  <c r="X8" i="10"/>
  <c r="Y21" i="9"/>
  <c r="X6" i="9"/>
  <c r="IH33" i="9"/>
  <c r="K83" i="27"/>
  <c r="AA30" i="26"/>
  <c r="HU46" i="9"/>
  <c r="Q30" i="26" s="1"/>
  <c r="AC73" i="23"/>
  <c r="GN23" i="9"/>
  <c r="Q73" i="23" s="1"/>
  <c r="L39" i="27"/>
  <c r="AA57" i="26"/>
  <c r="HU61" i="9"/>
  <c r="Q57" i="26" s="1"/>
  <c r="IG26" i="9"/>
  <c r="IH25" i="9"/>
  <c r="Z28" i="22"/>
  <c r="K28" i="20"/>
  <c r="GQ54" i="9"/>
  <c r="R43" i="23" s="1"/>
  <c r="V22" i="22"/>
  <c r="S16" i="24"/>
  <c r="FD13" i="9"/>
  <c r="H45" i="27"/>
  <c r="U22" i="24"/>
  <c r="GW31" i="9"/>
  <c r="P22" i="24" s="1"/>
  <c r="GN27" i="9"/>
  <c r="Q14" i="23" s="1"/>
  <c r="Z22" i="26"/>
  <c r="HR14" i="9"/>
  <c r="P22" i="26" s="1"/>
  <c r="S26" i="24"/>
  <c r="V39" i="22"/>
  <c r="FD49" i="9"/>
  <c r="H17" i="27"/>
  <c r="H61" i="27"/>
  <c r="K61" i="27"/>
  <c r="I61" i="27"/>
  <c r="J61" i="27"/>
  <c r="AD69" i="25"/>
  <c r="HL45" i="9"/>
  <c r="R69" i="25" s="1"/>
  <c r="AD86" i="23"/>
  <c r="GQ121" i="9"/>
  <c r="R86" i="23" s="1"/>
  <c r="HR24" i="9"/>
  <c r="P29" i="26" s="1"/>
  <c r="GH14" i="9"/>
  <c r="O21" i="23" s="1"/>
  <c r="GK14" i="9"/>
  <c r="P21" i="23" s="1"/>
  <c r="Y69" i="24"/>
  <c r="GT35" i="9"/>
  <c r="O69" i="24" s="1"/>
  <c r="Z67" i="24"/>
  <c r="GW17" i="9"/>
  <c r="P67" i="24" s="1"/>
  <c r="AC25" i="23"/>
  <c r="GN79" i="9"/>
  <c r="Q25" i="23" s="1"/>
  <c r="T51" i="25"/>
  <c r="W69" i="22"/>
  <c r="FG16" i="9"/>
  <c r="AB50" i="23"/>
  <c r="GK51" i="9"/>
  <c r="P50" i="23" s="1"/>
  <c r="AB36" i="25"/>
  <c r="HF42" i="9"/>
  <c r="P36" i="25" s="1"/>
  <c r="IF55" i="9"/>
  <c r="AD61" i="25"/>
  <c r="HL72" i="9"/>
  <c r="R61" i="25" s="1"/>
  <c r="AC105" i="25"/>
  <c r="HI145" i="9"/>
  <c r="Q105" i="25" s="1"/>
  <c r="Z41" i="22"/>
  <c r="K41" i="20"/>
  <c r="Y85" i="26"/>
  <c r="HO138" i="9"/>
  <c r="O85" i="26" s="1"/>
  <c r="Z92" i="25"/>
  <c r="AC100" i="22"/>
  <c r="HK147" i="9"/>
  <c r="AC92" i="25" s="1"/>
  <c r="HN147" i="9"/>
  <c r="AD92" i="25" s="1"/>
  <c r="HE147" i="9"/>
  <c r="AA92" i="25" s="1"/>
  <c r="HH147" i="9"/>
  <c r="AB18" i="23"/>
  <c r="GK94" i="9"/>
  <c r="P18" i="23" s="1"/>
  <c r="GQ11" i="9"/>
  <c r="R24" i="23" s="1"/>
  <c r="Z23" i="22"/>
  <c r="K23" i="20"/>
  <c r="AA25" i="25"/>
  <c r="HC22" i="9"/>
  <c r="O25" i="25" s="1"/>
  <c r="K101" i="27"/>
  <c r="AA60" i="26"/>
  <c r="HU116" i="9"/>
  <c r="Q60" i="26" s="1"/>
  <c r="GH16" i="9"/>
  <c r="O65" i="23" s="1"/>
  <c r="AD5" i="25"/>
  <c r="HL82" i="9"/>
  <c r="R5" i="25" s="1"/>
  <c r="K99" i="27"/>
  <c r="S61" i="26"/>
  <c r="X64" i="22"/>
  <c r="FJ53" i="9"/>
  <c r="AA24" i="26"/>
  <c r="HU79" i="9"/>
  <c r="Q24" i="26" s="1"/>
  <c r="GN136" i="9"/>
  <c r="Q104" i="23" s="1"/>
  <c r="L73" i="27"/>
  <c r="I73" i="27"/>
  <c r="J73" i="27"/>
  <c r="HF70" i="9"/>
  <c r="P48" i="25" s="1"/>
  <c r="T36" i="23"/>
  <c r="U37" i="22"/>
  <c r="IH59" i="9"/>
  <c r="II59" i="9"/>
  <c r="EY59" i="9"/>
  <c r="IG59" i="9"/>
  <c r="FA59" i="9"/>
  <c r="IJ59" i="9"/>
  <c r="IF59" i="9"/>
  <c r="AC76" i="23"/>
  <c r="GN140" i="9"/>
  <c r="Q76" i="23" s="1"/>
  <c r="AA103" i="24"/>
  <c r="GZ148" i="9"/>
  <c r="Q103" i="24" s="1"/>
  <c r="AB80" i="25"/>
  <c r="HF118" i="9"/>
  <c r="P80" i="25" s="1"/>
  <c r="S87" i="26"/>
  <c r="X81" i="22"/>
  <c r="FJ91" i="9"/>
  <c r="W70" i="22"/>
  <c r="T60" i="25"/>
  <c r="FG124" i="9"/>
  <c r="IJ76" i="9"/>
  <c r="S96" i="24"/>
  <c r="V105" i="22"/>
  <c r="FD133" i="9"/>
  <c r="X27" i="22"/>
  <c r="S24" i="26"/>
  <c r="FJ79" i="9"/>
  <c r="U27" i="22"/>
  <c r="T25" i="23"/>
  <c r="IG79" i="9"/>
  <c r="IJ79" i="9"/>
  <c r="EY79" i="9"/>
  <c r="IF79" i="9"/>
  <c r="FA79" i="9"/>
  <c r="IH79" i="9"/>
  <c r="II79" i="9"/>
  <c r="AA81" i="24"/>
  <c r="GZ82" i="9"/>
  <c r="Q81" i="24" s="1"/>
  <c r="GN73" i="9"/>
  <c r="Q40" i="23" s="1"/>
  <c r="AD8" i="25"/>
  <c r="HL101" i="9"/>
  <c r="R8" i="25" s="1"/>
  <c r="Z93" i="24"/>
  <c r="GW122" i="9"/>
  <c r="P93" i="24" s="1"/>
  <c r="L30" i="27"/>
  <c r="HR48" i="9"/>
  <c r="P102" i="26" s="1"/>
  <c r="AA32" i="26"/>
  <c r="HU19" i="9"/>
  <c r="Q32" i="26" s="1"/>
  <c r="HI81" i="9"/>
  <c r="Q62" i="25" s="1"/>
  <c r="HF116" i="9"/>
  <c r="P40" i="25" s="1"/>
  <c r="HU115" i="9"/>
  <c r="Q64" i="26" s="1"/>
  <c r="HC81" i="9"/>
  <c r="O62" i="25" s="1"/>
  <c r="GN132" i="9"/>
  <c r="Q84" i="23" s="1"/>
  <c r="HC142" i="9"/>
  <c r="O84" i="25" s="1"/>
  <c r="AB22" i="25"/>
  <c r="HF87" i="9"/>
  <c r="P22" i="25" s="1"/>
  <c r="GH81" i="9"/>
  <c r="O71" i="23" s="1"/>
  <c r="S59" i="26"/>
  <c r="X58" i="22"/>
  <c r="FJ43" i="9"/>
  <c r="S79" i="26"/>
  <c r="X80" i="22"/>
  <c r="FJ146" i="9"/>
  <c r="Z51" i="22"/>
  <c r="K51" i="20"/>
  <c r="AB55" i="25"/>
  <c r="HF61" i="9"/>
  <c r="P55" i="25" s="1"/>
  <c r="HI148" i="9"/>
  <c r="Q93" i="25" s="1"/>
  <c r="L50" i="27"/>
  <c r="AB105" i="23"/>
  <c r="GK133" i="9"/>
  <c r="P105" i="23" s="1"/>
  <c r="HO19" i="9"/>
  <c r="O32" i="26" s="1"/>
  <c r="HR81" i="9"/>
  <c r="P67" i="26" s="1"/>
  <c r="GH84" i="9"/>
  <c r="O17" i="23" s="1"/>
  <c r="IJ151" i="9"/>
  <c r="II151" i="9"/>
  <c r="FA151" i="9"/>
  <c r="IH151" i="9"/>
  <c r="IG151" i="9"/>
  <c r="EY151" i="9"/>
  <c r="IF151" i="9"/>
  <c r="II153" i="9"/>
  <c r="IG153" i="9"/>
  <c r="IJ153" i="9"/>
  <c r="IH153" i="9"/>
  <c r="IF153" i="9"/>
  <c r="FA153" i="9"/>
  <c r="EY153" i="9"/>
  <c r="S58" i="26"/>
  <c r="X60" i="22"/>
  <c r="FJ123" i="9"/>
  <c r="Y98" i="26"/>
  <c r="HO117" i="9"/>
  <c r="O98" i="26" s="1"/>
  <c r="AD39" i="23"/>
  <c r="GQ120" i="9"/>
  <c r="R39" i="23" s="1"/>
  <c r="II95" i="9"/>
  <c r="IH17" i="9"/>
  <c r="IF8" i="9"/>
  <c r="K18" i="20"/>
  <c r="Z18" i="22"/>
  <c r="Y17" i="26"/>
  <c r="HO27" i="9"/>
  <c r="O17" i="26" s="1"/>
  <c r="S57" i="26"/>
  <c r="X59" i="22"/>
  <c r="FJ61" i="9"/>
  <c r="IJ105" i="9"/>
  <c r="U87" i="22"/>
  <c r="T93" i="23"/>
  <c r="IG93" i="9"/>
  <c r="FA93" i="9"/>
  <c r="IJ93" i="9"/>
  <c r="EY93" i="9"/>
  <c r="IH93" i="9"/>
  <c r="IF93" i="9"/>
  <c r="II93" i="9"/>
  <c r="S91" i="24"/>
  <c r="V76" i="22"/>
  <c r="FD119" i="9"/>
  <c r="GW135" i="9"/>
  <c r="P38" i="24" s="1"/>
  <c r="Z100" i="24"/>
  <c r="GW145" i="9"/>
  <c r="P100" i="24" s="1"/>
  <c r="V79" i="26"/>
  <c r="HU146" i="9"/>
  <c r="Q79" i="26" s="1"/>
  <c r="AB28" i="25"/>
  <c r="HF120" i="9"/>
  <c r="P28" i="25" s="1"/>
  <c r="Y18" i="26"/>
  <c r="HO94" i="9"/>
  <c r="O18" i="26" s="1"/>
  <c r="GN133" i="9"/>
  <c r="Q105" i="23" s="1"/>
  <c r="Z81" i="22"/>
  <c r="K81" i="20"/>
  <c r="GN135" i="9"/>
  <c r="Q77" i="23" s="1"/>
  <c r="IH136" i="9"/>
  <c r="V20" i="26"/>
  <c r="HU56" i="9"/>
  <c r="Q20" i="26" s="1"/>
  <c r="GK70" i="9"/>
  <c r="P59" i="23" s="1"/>
  <c r="GT18" i="9"/>
  <c r="O31" i="24" s="1"/>
  <c r="Z13" i="22"/>
  <c r="K13" i="20"/>
  <c r="W6" i="11"/>
  <c r="W7" i="11" s="1"/>
  <c r="W6" i="10"/>
  <c r="W7" i="10" s="1"/>
  <c r="W7" i="9"/>
  <c r="V42" i="23"/>
  <c r="GK28" i="9"/>
  <c r="P42" i="23" s="1"/>
  <c r="II33" i="9"/>
  <c r="S25" i="24"/>
  <c r="V43" i="22"/>
  <c r="FD15" i="9"/>
  <c r="S53" i="24"/>
  <c r="V11" i="22"/>
  <c r="FD12" i="9"/>
  <c r="K5" i="20"/>
  <c r="Z5" i="22"/>
  <c r="GL29" i="9"/>
  <c r="AA54" i="25"/>
  <c r="HC18" i="9"/>
  <c r="O54" i="25" s="1"/>
  <c r="AD60" i="23"/>
  <c r="GQ61" i="9"/>
  <c r="R60" i="23" s="1"/>
  <c r="IH26" i="9"/>
  <c r="II25" i="9"/>
  <c r="AD30" i="23"/>
  <c r="GQ19" i="9"/>
  <c r="R30" i="23" s="1"/>
  <c r="S73" i="26"/>
  <c r="X72" i="22"/>
  <c r="FJ17" i="9"/>
  <c r="Z56" i="22"/>
  <c r="K56" i="20"/>
  <c r="HR76" i="9"/>
  <c r="P11" i="26" s="1"/>
  <c r="GH11" i="9"/>
  <c r="O24" i="23" s="1"/>
  <c r="AA34" i="24"/>
  <c r="GZ43" i="9"/>
  <c r="Q34" i="24" s="1"/>
  <c r="T32" i="25"/>
  <c r="W45" i="22"/>
  <c r="FG54" i="9"/>
  <c r="IF20" i="9"/>
  <c r="AA22" i="26"/>
  <c r="HU14" i="9"/>
  <c r="Q22" i="26" s="1"/>
  <c r="Y90" i="26"/>
  <c r="HO47" i="9"/>
  <c r="O90" i="26" s="1"/>
  <c r="T30" i="23"/>
  <c r="U28" i="22"/>
  <c r="IH19" i="9"/>
  <c r="IG19" i="9"/>
  <c r="IF19" i="9"/>
  <c r="II19" i="9"/>
  <c r="FA19" i="9"/>
  <c r="IJ19" i="9"/>
  <c r="EY19" i="9"/>
  <c r="AB6" i="25"/>
  <c r="HF12" i="9"/>
  <c r="P6" i="25" s="1"/>
  <c r="HU53" i="9"/>
  <c r="Q61" i="26" s="1"/>
  <c r="U53" i="23"/>
  <c r="GH139" i="9"/>
  <c r="O53" i="23" s="1"/>
  <c r="FB139" i="9"/>
  <c r="AB86" i="23"/>
  <c r="GK121" i="9"/>
  <c r="P86" i="23" s="1"/>
  <c r="I7" i="27"/>
  <c r="S10" i="26"/>
  <c r="X11" i="22"/>
  <c r="FJ12" i="9"/>
  <c r="GZ18" i="9"/>
  <c r="Q31" i="24" s="1"/>
  <c r="Z69" i="24"/>
  <c r="GW35" i="9"/>
  <c r="P69" i="24" s="1"/>
  <c r="AA67" i="24"/>
  <c r="GZ17" i="9"/>
  <c r="Q67" i="24" s="1"/>
  <c r="HM28" i="9"/>
  <c r="AA50" i="23"/>
  <c r="GH51" i="9"/>
  <c r="O50" i="23" s="1"/>
  <c r="AC10" i="25"/>
  <c r="HI27" i="9"/>
  <c r="Q10" i="25" s="1"/>
  <c r="I52" i="27"/>
  <c r="II55" i="9"/>
  <c r="S67" i="26"/>
  <c r="X71" i="22"/>
  <c r="FJ81" i="9"/>
  <c r="AA105" i="25"/>
  <c r="HC145" i="9"/>
  <c r="O105" i="25" s="1"/>
  <c r="AD40" i="23"/>
  <c r="GQ73" i="9"/>
  <c r="R40" i="23" s="1"/>
  <c r="IF126" i="9"/>
  <c r="K16" i="20"/>
  <c r="Z16" i="22"/>
  <c r="AD21" i="23"/>
  <c r="GQ14" i="9"/>
  <c r="R21" i="23" s="1"/>
  <c r="T67" i="23"/>
  <c r="U68" i="22"/>
  <c r="IJ64" i="9"/>
  <c r="IF64" i="9"/>
  <c r="FA64" i="9"/>
  <c r="IH64" i="9"/>
  <c r="EY64" i="9"/>
  <c r="II64" i="9"/>
  <c r="IG64" i="9"/>
  <c r="T27" i="25"/>
  <c r="W35" i="22"/>
  <c r="FG66" i="9"/>
  <c r="T97" i="25"/>
  <c r="W105" i="22"/>
  <c r="FG133" i="9"/>
  <c r="IH96" i="9"/>
  <c r="IF96" i="9"/>
  <c r="II96" i="9"/>
  <c r="IJ96" i="9"/>
  <c r="FA96" i="9"/>
  <c r="EY96" i="9"/>
  <c r="IG96" i="9"/>
  <c r="U69" i="22"/>
  <c r="T65" i="23"/>
  <c r="FA16" i="9"/>
  <c r="IJ16" i="9"/>
  <c r="II16" i="9"/>
  <c r="EY16" i="9"/>
  <c r="IH16" i="9"/>
  <c r="IG16" i="9"/>
  <c r="IF16" i="9"/>
  <c r="K5" i="27"/>
  <c r="H5" i="27"/>
  <c r="AA5" i="25"/>
  <c r="HC82" i="9"/>
  <c r="O5" i="25" s="1"/>
  <c r="HU70" i="9"/>
  <c r="Q56" i="26" s="1"/>
  <c r="AB61" i="23"/>
  <c r="GK115" i="9"/>
  <c r="P61" i="23" s="1"/>
  <c r="HR53" i="9"/>
  <c r="P61" i="26" s="1"/>
  <c r="Z24" i="26"/>
  <c r="HR79" i="9"/>
  <c r="P24" i="26" s="1"/>
  <c r="GT138" i="9"/>
  <c r="O65" i="24" s="1"/>
  <c r="AC75" i="23"/>
  <c r="GN114" i="9"/>
  <c r="Q75" i="23" s="1"/>
  <c r="H73" i="27"/>
  <c r="GN59" i="9"/>
  <c r="Q36" i="23" s="1"/>
  <c r="T40" i="25"/>
  <c r="W56" i="22"/>
  <c r="FG116" i="9"/>
  <c r="R71" i="36"/>
  <c r="Q71" i="36"/>
  <c r="P71" i="36"/>
  <c r="O71" i="36"/>
  <c r="N71" i="36"/>
  <c r="N81" i="26"/>
  <c r="L81" i="26" s="1"/>
  <c r="R82" i="22"/>
  <c r="S83" i="26"/>
  <c r="X84" i="22"/>
  <c r="FJ71" i="9"/>
  <c r="AC80" i="25"/>
  <c r="HI118" i="9"/>
  <c r="Q80" i="25" s="1"/>
  <c r="T87" i="25"/>
  <c r="W58" i="22"/>
  <c r="FG43" i="9"/>
  <c r="V43" i="24"/>
  <c r="GZ139" i="9"/>
  <c r="Q43" i="24" s="1"/>
  <c r="IF76" i="9"/>
  <c r="K73" i="27"/>
  <c r="GT133" i="9"/>
  <c r="O96" i="24" s="1"/>
  <c r="IF39" i="9"/>
  <c r="FA39" i="9"/>
  <c r="EY39" i="9"/>
  <c r="IH39" i="9"/>
  <c r="II39" i="9"/>
  <c r="IG39" i="9"/>
  <c r="IJ39" i="9"/>
  <c r="HF91" i="9"/>
  <c r="P68" i="25" s="1"/>
  <c r="T43" i="24"/>
  <c r="GT139" i="9"/>
  <c r="O43" i="24" s="1"/>
  <c r="FE139" i="9"/>
  <c r="Z81" i="24"/>
  <c r="GW82" i="9"/>
  <c r="P81" i="24" s="1"/>
  <c r="IF150" i="9"/>
  <c r="AB8" i="25"/>
  <c r="HF101" i="9"/>
  <c r="P8" i="25" s="1"/>
  <c r="S40" i="26"/>
  <c r="X41" i="22"/>
  <c r="FJ73" i="9"/>
  <c r="K95" i="20"/>
  <c r="Z95" i="22"/>
  <c r="T62" i="25"/>
  <c r="W71" i="22"/>
  <c r="FG81" i="9"/>
  <c r="AC74" i="23"/>
  <c r="GN119" i="9"/>
  <c r="Q74" i="23" s="1"/>
  <c r="GK138" i="9"/>
  <c r="P85" i="23" s="1"/>
  <c r="HR145" i="9"/>
  <c r="P106" i="26" s="1"/>
  <c r="GQ60" i="9"/>
  <c r="R56" i="23" s="1"/>
  <c r="L66" i="27"/>
  <c r="AD22" i="25"/>
  <c r="HL87" i="9"/>
  <c r="R22" i="25" s="1"/>
  <c r="U101" i="22"/>
  <c r="T101" i="23"/>
  <c r="IF48" i="9"/>
  <c r="IG48" i="9"/>
  <c r="FA48" i="9"/>
  <c r="EY48" i="9"/>
  <c r="IJ48" i="9"/>
  <c r="II48" i="9"/>
  <c r="IH48" i="9"/>
  <c r="T71" i="23"/>
  <c r="U71" i="22"/>
  <c r="IG81" i="9"/>
  <c r="IJ81" i="9"/>
  <c r="II81" i="9"/>
  <c r="EY81" i="9"/>
  <c r="FA81" i="9"/>
  <c r="IF81" i="9"/>
  <c r="IH81" i="9"/>
  <c r="AD77" i="25"/>
  <c r="HL71" i="9"/>
  <c r="R77" i="25" s="1"/>
  <c r="J28" i="27"/>
  <c r="GK135" i="9"/>
  <c r="P77" i="23" s="1"/>
  <c r="J101" i="27"/>
  <c r="Z60" i="22"/>
  <c r="K60" i="20"/>
  <c r="S32" i="26"/>
  <c r="X28" i="22"/>
  <c r="FJ19" i="9"/>
  <c r="I27" i="27"/>
  <c r="T94" i="25"/>
  <c r="W102" i="22"/>
  <c r="FG134" i="9"/>
  <c r="GK119" i="9"/>
  <c r="P74" i="23" s="1"/>
  <c r="HI117" i="9"/>
  <c r="Q86" i="25" s="1"/>
  <c r="AA39" i="23"/>
  <c r="GH120" i="9"/>
  <c r="O39" i="23" s="1"/>
  <c r="J98" i="27"/>
  <c r="EY17" i="9"/>
  <c r="IF72" i="9"/>
  <c r="GW146" i="9"/>
  <c r="P101" i="24" s="1"/>
  <c r="U10" i="22"/>
  <c r="T9" i="23"/>
  <c r="II77" i="9"/>
  <c r="IH77" i="9"/>
  <c r="IG77" i="9"/>
  <c r="EY77" i="9"/>
  <c r="IF77" i="9"/>
  <c r="FA77" i="9"/>
  <c r="IJ77" i="9"/>
  <c r="Z92" i="24"/>
  <c r="GW120" i="9"/>
  <c r="P92" i="24" s="1"/>
  <c r="T26" i="23"/>
  <c r="U26" i="22"/>
  <c r="IJ125" i="9"/>
  <c r="II125" i="9"/>
  <c r="EY125" i="9"/>
  <c r="IG125" i="9"/>
  <c r="FA125" i="9"/>
  <c r="IH125" i="9"/>
  <c r="IF125" i="9"/>
  <c r="IG8" i="9"/>
  <c r="T41" i="25"/>
  <c r="W64" i="22"/>
  <c r="FG53" i="9"/>
  <c r="HO61" i="9"/>
  <c r="O57" i="26" s="1"/>
  <c r="K12" i="20"/>
  <c r="Z12" i="22"/>
  <c r="GZ140" i="9"/>
  <c r="Q49" i="24" s="1"/>
  <c r="Y83" i="24"/>
  <c r="GT105" i="9"/>
  <c r="O83" i="24" s="1"/>
  <c r="AA100" i="24"/>
  <c r="GZ145" i="9"/>
  <c r="Q100" i="24" s="1"/>
  <c r="K37" i="27"/>
  <c r="AD28" i="25"/>
  <c r="HL120" i="9"/>
  <c r="R28" i="25" s="1"/>
  <c r="Y72" i="24"/>
  <c r="GT62" i="9"/>
  <c r="O72" i="24" s="1"/>
  <c r="AA18" i="26"/>
  <c r="HU94" i="9"/>
  <c r="Q18" i="26" s="1"/>
  <c r="AB81" i="23"/>
  <c r="GK108" i="9"/>
  <c r="P81" i="23" s="1"/>
  <c r="II136" i="9"/>
  <c r="T14" i="23"/>
  <c r="U13" i="22"/>
  <c r="IJ27" i="9"/>
  <c r="II27" i="9"/>
  <c r="IH27" i="9"/>
  <c r="IG27" i="9"/>
  <c r="IF27" i="9"/>
  <c r="FA27" i="9"/>
  <c r="EY27" i="9"/>
  <c r="O3" i="26"/>
  <c r="O23" i="26"/>
  <c r="AB42" i="25"/>
  <c r="HF15" i="9"/>
  <c r="P42" i="25" s="1"/>
  <c r="AA14" i="23"/>
  <c r="GH27" i="9"/>
  <c r="O14" i="23" s="1"/>
  <c r="S45" i="24"/>
  <c r="V41" i="22"/>
  <c r="FD73" i="9"/>
  <c r="S33" i="26"/>
  <c r="X34" i="22"/>
  <c r="FJ35" i="9"/>
  <c r="Z59" i="22"/>
  <c r="K59" i="20"/>
  <c r="II26" i="9"/>
  <c r="S44" i="26"/>
  <c r="X48" i="22"/>
  <c r="FJ62" i="9"/>
  <c r="Z15" i="23"/>
  <c r="AA14" i="22"/>
  <c r="GM29" i="9"/>
  <c r="AB15" i="23" s="1"/>
  <c r="GP29" i="9"/>
  <c r="AC15" i="23" s="1"/>
  <c r="GJ29" i="9"/>
  <c r="AA15" i="23" s="1"/>
  <c r="EZ29" i="9"/>
  <c r="GS29" i="9"/>
  <c r="AD15" i="23" s="1"/>
  <c r="IJ25" i="9"/>
  <c r="AA30" i="23"/>
  <c r="GH19" i="9"/>
  <c r="O30" i="23" s="1"/>
  <c r="T24" i="23"/>
  <c r="U24" i="22"/>
  <c r="IJ11" i="9"/>
  <c r="II11" i="9"/>
  <c r="EY11" i="9"/>
  <c r="IH11" i="9"/>
  <c r="IG11" i="9"/>
  <c r="IF11" i="9"/>
  <c r="FA11" i="9"/>
  <c r="Z90" i="26"/>
  <c r="HR47" i="9"/>
  <c r="P90" i="26" s="1"/>
  <c r="GK19" i="9"/>
  <c r="P30" i="23" s="1"/>
  <c r="AB13" i="25"/>
  <c r="HF13" i="9"/>
  <c r="P13" i="25" s="1"/>
  <c r="AB69" i="25"/>
  <c r="HF45" i="9"/>
  <c r="P69" i="25" s="1"/>
  <c r="Z43" i="26"/>
  <c r="HR150" i="9"/>
  <c r="P43" i="26" s="1"/>
  <c r="AC86" i="23"/>
  <c r="GN121" i="9"/>
  <c r="Q86" i="23" s="1"/>
  <c r="AA84" i="24"/>
  <c r="GZ108" i="9"/>
  <c r="Q84" i="24" s="1"/>
  <c r="S62" i="24"/>
  <c r="V101" i="22"/>
  <c r="FD48" i="9"/>
  <c r="AA69" i="24"/>
  <c r="GZ35" i="9"/>
  <c r="Q69" i="24" s="1"/>
  <c r="O3" i="24"/>
  <c r="O46" i="24"/>
  <c r="AB10" i="25"/>
  <c r="HF27" i="9"/>
  <c r="P10" i="25" s="1"/>
  <c r="S35" i="24"/>
  <c r="V53" i="22"/>
  <c r="FD60" i="9"/>
  <c r="AA36" i="25"/>
  <c r="HC42" i="9"/>
  <c r="O36" i="25" s="1"/>
  <c r="IG126" i="9"/>
  <c r="AD18" i="23"/>
  <c r="GQ94" i="9"/>
  <c r="R18" i="23" s="1"/>
  <c r="HU68" i="9"/>
  <c r="Q31" i="26" s="1"/>
  <c r="HL13" i="9"/>
  <c r="R13" i="25" s="1"/>
  <c r="T10" i="23"/>
  <c r="U11" i="22"/>
  <c r="IH12" i="9"/>
  <c r="IF12" i="9"/>
  <c r="IG12" i="9"/>
  <c r="EY12" i="9"/>
  <c r="IJ12" i="9"/>
  <c r="FA12" i="9"/>
  <c r="II12" i="9"/>
  <c r="HR70" i="9"/>
  <c r="P56" i="26" s="1"/>
  <c r="S51" i="24"/>
  <c r="V24" i="22"/>
  <c r="FD11" i="9"/>
  <c r="Z10" i="22"/>
  <c r="K10" i="20"/>
  <c r="Z6" i="22"/>
  <c r="K6" i="20"/>
  <c r="AC5" i="25"/>
  <c r="HI82" i="9"/>
  <c r="Q5" i="25" s="1"/>
  <c r="GR89" i="9"/>
  <c r="T22" i="25"/>
  <c r="W30" i="22"/>
  <c r="FG87" i="9"/>
  <c r="AC61" i="23"/>
  <c r="GN115" i="9"/>
  <c r="Q61" i="23" s="1"/>
  <c r="T5" i="25"/>
  <c r="W6" i="22"/>
  <c r="FG82" i="9"/>
  <c r="GT84" i="9"/>
  <c r="O14" i="24" s="1"/>
  <c r="S65" i="24"/>
  <c r="V86" i="22"/>
  <c r="FD138" i="9"/>
  <c r="W99" i="22"/>
  <c r="T96" i="25"/>
  <c r="FG144" i="9"/>
  <c r="HF145" i="9"/>
  <c r="P105" i="25" s="1"/>
  <c r="T105" i="23"/>
  <c r="U105" i="22"/>
  <c r="FA133" i="9"/>
  <c r="IJ133" i="9"/>
  <c r="II133" i="9"/>
  <c r="IH133" i="9"/>
  <c r="IF133" i="9"/>
  <c r="EY133" i="9"/>
  <c r="IG133" i="9"/>
  <c r="Z81" i="26"/>
  <c r="HR108" i="9"/>
  <c r="P81" i="26" s="1"/>
  <c r="AA32" i="23"/>
  <c r="GH87" i="9"/>
  <c r="O32" i="23" s="1"/>
  <c r="EY76" i="9"/>
  <c r="S70" i="24"/>
  <c r="V64" i="22"/>
  <c r="FD53" i="9"/>
  <c r="HU93" i="9"/>
  <c r="Q89" i="26" s="1"/>
  <c r="Z85" i="24"/>
  <c r="GW113" i="9"/>
  <c r="P85" i="24" s="1"/>
  <c r="II150" i="9"/>
  <c r="AA8" i="25"/>
  <c r="HC101" i="9"/>
  <c r="O8" i="25" s="1"/>
  <c r="AC102" i="25"/>
  <c r="HI141" i="9"/>
  <c r="Q102" i="25" s="1"/>
  <c r="AD90" i="25"/>
  <c r="HL149" i="9"/>
  <c r="R90" i="25" s="1"/>
  <c r="S30" i="24"/>
  <c r="V26" i="22"/>
  <c r="FD125" i="9"/>
  <c r="I54" i="27"/>
  <c r="HR138" i="9"/>
  <c r="P85" i="26" s="1"/>
  <c r="AD74" i="23"/>
  <c r="GQ119" i="9"/>
  <c r="R74" i="23" s="1"/>
  <c r="HI49" i="9"/>
  <c r="Q71" i="25" s="1"/>
  <c r="AA77" i="25"/>
  <c r="HC71" i="9"/>
  <c r="O77" i="25" s="1"/>
  <c r="AD55" i="25"/>
  <c r="HL61" i="9"/>
  <c r="R55" i="25" s="1"/>
  <c r="T48" i="23"/>
  <c r="U50" i="22"/>
  <c r="IH65" i="9"/>
  <c r="IJ65" i="9"/>
  <c r="II65" i="9"/>
  <c r="IF65" i="9"/>
  <c r="EY65" i="9"/>
  <c r="FA65" i="9"/>
  <c r="IG65" i="9"/>
  <c r="Y76" i="26"/>
  <c r="HO119" i="9"/>
  <c r="O76" i="26" s="1"/>
  <c r="AB39" i="23"/>
  <c r="GK120" i="9"/>
  <c r="P39" i="23" s="1"/>
  <c r="EY95" i="9"/>
  <c r="II17" i="9"/>
  <c r="IG72" i="9"/>
  <c r="S76" i="26"/>
  <c r="X76" i="22"/>
  <c r="FJ119" i="9"/>
  <c r="K67" i="27"/>
  <c r="AA12" i="23"/>
  <c r="GH76" i="9"/>
  <c r="O12" i="23" s="1"/>
  <c r="Z74" i="22"/>
  <c r="K74" i="20"/>
  <c r="K9" i="27"/>
  <c r="I9" i="27"/>
  <c r="Z72" i="24"/>
  <c r="GW62" i="9"/>
  <c r="P72" i="24" s="1"/>
  <c r="T79" i="25"/>
  <c r="W85" i="22"/>
  <c r="FG121" i="9"/>
  <c r="V75" i="22"/>
  <c r="S49" i="24"/>
  <c r="FD140" i="9"/>
  <c r="T41" i="23"/>
  <c r="U42" i="22"/>
  <c r="II142" i="9"/>
  <c r="EY142" i="9"/>
  <c r="IG142" i="9"/>
  <c r="IF142" i="9"/>
  <c r="FA142" i="9"/>
  <c r="IJ142" i="9"/>
  <c r="IH142" i="9"/>
  <c r="GK143" i="9"/>
  <c r="P102" i="23" s="1"/>
  <c r="Z40" i="24"/>
  <c r="GW30" i="9"/>
  <c r="P40" i="24" s="1"/>
  <c r="Z57" i="22"/>
  <c r="K57" i="20"/>
  <c r="HM24" i="9"/>
  <c r="GU24" i="9"/>
  <c r="HP24" i="9"/>
  <c r="HD24" i="9"/>
  <c r="HJ24" i="9"/>
  <c r="GR24" i="9"/>
  <c r="H101" i="27"/>
  <c r="II38" i="9"/>
  <c r="IG38" i="9"/>
  <c r="IF38" i="9"/>
  <c r="IJ38" i="9"/>
  <c r="IH38" i="9"/>
  <c r="FA38" i="9"/>
  <c r="EY38" i="9"/>
  <c r="AA60" i="23"/>
  <c r="GH61" i="9"/>
  <c r="O60" i="23" s="1"/>
  <c r="IJ26" i="9"/>
  <c r="U56" i="25"/>
  <c r="FH31" i="9"/>
  <c r="HC31" i="9"/>
  <c r="O56" i="25" s="1"/>
  <c r="K53" i="27"/>
  <c r="AA90" i="26"/>
  <c r="HU47" i="9"/>
  <c r="Q90" i="26" s="1"/>
  <c r="K21" i="27"/>
  <c r="I21" i="27"/>
  <c r="S5" i="26"/>
  <c r="X5" i="22"/>
  <c r="FJ58" i="9"/>
  <c r="AD6" i="25"/>
  <c r="HL12" i="9"/>
  <c r="R6" i="25" s="1"/>
  <c r="AA10" i="26"/>
  <c r="HU12" i="9"/>
  <c r="Q10" i="26" s="1"/>
  <c r="Z85" i="22"/>
  <c r="K85" i="20"/>
  <c r="Y84" i="24"/>
  <c r="GT108" i="9"/>
  <c r="O84" i="24" s="1"/>
  <c r="H106" i="27"/>
  <c r="L106" i="27"/>
  <c r="K16" i="27"/>
  <c r="I16" i="27"/>
  <c r="T67" i="25"/>
  <c r="W68" i="22"/>
  <c r="FG64" i="9"/>
  <c r="S75" i="26"/>
  <c r="X66" i="22"/>
  <c r="FJ23" i="9"/>
  <c r="AD104" i="25"/>
  <c r="HL11" i="9"/>
  <c r="R104" i="25" s="1"/>
  <c r="S3" i="24"/>
  <c r="S46" i="24"/>
  <c r="V31" i="22"/>
  <c r="V3" i="22"/>
  <c r="FD8" i="9"/>
  <c r="AC36" i="25"/>
  <c r="HI42" i="9"/>
  <c r="Q36" i="25" s="1"/>
  <c r="EY55" i="9"/>
  <c r="AD85" i="23"/>
  <c r="GQ138" i="9"/>
  <c r="R85" i="23" s="1"/>
  <c r="S104" i="26"/>
  <c r="X104" i="22"/>
  <c r="FJ136" i="9"/>
  <c r="IH126" i="9"/>
  <c r="IH83" i="9"/>
  <c r="IJ83" i="9"/>
  <c r="FA83" i="9"/>
  <c r="II83" i="9"/>
  <c r="EY83" i="9"/>
  <c r="IG83" i="9"/>
  <c r="IF83" i="9"/>
  <c r="HR56" i="9"/>
  <c r="P20" i="26" s="1"/>
  <c r="S37" i="24"/>
  <c r="V59" i="22"/>
  <c r="FD61" i="9"/>
  <c r="FA37" i="9"/>
  <c r="IJ37" i="9"/>
  <c r="EY37" i="9"/>
  <c r="II37" i="9"/>
  <c r="IH37" i="9"/>
  <c r="IG37" i="9"/>
  <c r="IF37" i="9"/>
  <c r="IG100" i="9"/>
  <c r="IJ100" i="9"/>
  <c r="IH100" i="9"/>
  <c r="IF100" i="9"/>
  <c r="FA100" i="9"/>
  <c r="EY100" i="9"/>
  <c r="II100" i="9"/>
  <c r="T28" i="25"/>
  <c r="W40" i="22"/>
  <c r="FG120" i="9"/>
  <c r="GT30" i="9"/>
  <c r="O40" i="24" s="1"/>
  <c r="Q94" i="34"/>
  <c r="R94" i="34"/>
  <c r="O94" i="34"/>
  <c r="N94" i="34"/>
  <c r="P94" i="34"/>
  <c r="N95" i="25"/>
  <c r="Q104" i="22"/>
  <c r="HF82" i="9"/>
  <c r="P5" i="25" s="1"/>
  <c r="S68" i="26"/>
  <c r="X70" i="22"/>
  <c r="FJ124" i="9"/>
  <c r="S14" i="24"/>
  <c r="V17" i="22"/>
  <c r="FD84" i="9"/>
  <c r="AA75" i="23"/>
  <c r="GH114" i="9"/>
  <c r="O75" i="23" s="1"/>
  <c r="N59" i="32"/>
  <c r="O59" i="32"/>
  <c r="R59" i="32"/>
  <c r="Q59" i="32"/>
  <c r="P59" i="32"/>
  <c r="N60" i="24"/>
  <c r="L60" i="24" s="1"/>
  <c r="P85" i="22"/>
  <c r="T99" i="23"/>
  <c r="U99" i="22"/>
  <c r="FA144" i="9"/>
  <c r="II144" i="9"/>
  <c r="EY144" i="9"/>
  <c r="IJ144" i="9"/>
  <c r="IH144" i="9"/>
  <c r="IG144" i="9"/>
  <c r="IF144" i="9"/>
  <c r="T13" i="23"/>
  <c r="U15" i="22"/>
  <c r="II113" i="9"/>
  <c r="IG113" i="9"/>
  <c r="FA113" i="9"/>
  <c r="IJ113" i="9"/>
  <c r="IH113" i="9"/>
  <c r="EY113" i="9"/>
  <c r="IF113" i="9"/>
  <c r="Y81" i="26"/>
  <c r="HO108" i="9"/>
  <c r="O81" i="26" s="1"/>
  <c r="Z73" i="22"/>
  <c r="K73" i="20"/>
  <c r="AA25" i="24"/>
  <c r="GZ15" i="9"/>
  <c r="Q25" i="24" s="1"/>
  <c r="X100" i="23"/>
  <c r="Z4" i="24"/>
  <c r="GW75" i="9"/>
  <c r="P4" i="24" s="1"/>
  <c r="S89" i="24"/>
  <c r="V97" i="22"/>
  <c r="FD117" i="9"/>
  <c r="EY150" i="9"/>
  <c r="AA102" i="25"/>
  <c r="HC141" i="9"/>
  <c r="O102" i="25" s="1"/>
  <c r="S29" i="24"/>
  <c r="V30" i="22"/>
  <c r="FD87" i="9"/>
  <c r="AA90" i="25"/>
  <c r="HC149" i="9"/>
  <c r="O90" i="25" s="1"/>
  <c r="GH88" i="9"/>
  <c r="Z76" i="22"/>
  <c r="K76" i="20"/>
  <c r="T12" i="25"/>
  <c r="W17" i="22"/>
  <c r="FG84" i="9"/>
  <c r="IF111" i="9"/>
  <c r="IJ111" i="9"/>
  <c r="II111" i="9"/>
  <c r="IH111" i="9"/>
  <c r="FA111" i="9"/>
  <c r="IG111" i="9"/>
  <c r="EY111" i="9"/>
  <c r="J66" i="27"/>
  <c r="FA85" i="9"/>
  <c r="IF85" i="9"/>
  <c r="IJ85" i="9"/>
  <c r="IH85" i="9"/>
  <c r="IG85" i="9"/>
  <c r="EY85" i="9"/>
  <c r="II85" i="9"/>
  <c r="S52" i="24"/>
  <c r="V61" i="22"/>
  <c r="FD70" i="9"/>
  <c r="AC77" i="25"/>
  <c r="HI71" i="9"/>
  <c r="Q77" i="25" s="1"/>
  <c r="T85" i="23"/>
  <c r="U86" i="22"/>
  <c r="IH138" i="9"/>
  <c r="IG138" i="9"/>
  <c r="FA138" i="9"/>
  <c r="IF138" i="9"/>
  <c r="EY138" i="9"/>
  <c r="IJ138" i="9"/>
  <c r="II138" i="9"/>
  <c r="AA55" i="25"/>
  <c r="HC61" i="9"/>
  <c r="O55" i="25" s="1"/>
  <c r="T20" i="25"/>
  <c r="W27" i="22"/>
  <c r="FG79" i="9"/>
  <c r="Y86" i="24"/>
  <c r="GT114" i="9"/>
  <c r="O86" i="24" s="1"/>
  <c r="AA57" i="24"/>
  <c r="GZ132" i="9"/>
  <c r="Q57" i="24" s="1"/>
  <c r="GZ27" i="9"/>
  <c r="Q10" i="24" s="1"/>
  <c r="R60" i="34"/>
  <c r="Q60" i="34"/>
  <c r="O60" i="34"/>
  <c r="P60" i="34"/>
  <c r="N60" i="34"/>
  <c r="N61" i="25"/>
  <c r="I61" i="25" s="1"/>
  <c r="Q78" i="22"/>
  <c r="GN65" i="9"/>
  <c r="Q48" i="23" s="1"/>
  <c r="IF120" i="9"/>
  <c r="Z76" i="26"/>
  <c r="HR119" i="9"/>
  <c r="P76" i="26" s="1"/>
  <c r="GQ145" i="9"/>
  <c r="R106" i="23" s="1"/>
  <c r="HP92" i="9"/>
  <c r="AD97" i="25"/>
  <c r="HL133" i="9"/>
  <c r="R97" i="25" s="1"/>
  <c r="Z95" i="24"/>
  <c r="GW123" i="9"/>
  <c r="P95" i="24" s="1"/>
  <c r="HL132" i="9"/>
  <c r="R76" i="25" s="1"/>
  <c r="Y61" i="24"/>
  <c r="GT72" i="9"/>
  <c r="O61" i="24" s="1"/>
  <c r="IF95" i="9"/>
  <c r="IJ72" i="9"/>
  <c r="T106" i="25"/>
  <c r="W62" i="22"/>
  <c r="FG150" i="9"/>
  <c r="HU119" i="9"/>
  <c r="Q76" i="26" s="1"/>
  <c r="EY8" i="9"/>
  <c r="Y35" i="24"/>
  <c r="GT60" i="9"/>
  <c r="O35" i="24" s="1"/>
  <c r="AA82" i="24"/>
  <c r="GZ101" i="9"/>
  <c r="Q82" i="24" s="1"/>
  <c r="AC12" i="23"/>
  <c r="GN76" i="9"/>
  <c r="Q12" i="23" s="1"/>
  <c r="X78" i="25"/>
  <c r="HL146" i="9"/>
  <c r="R78" i="25" s="1"/>
  <c r="Y7" i="26"/>
  <c r="HO101" i="9"/>
  <c r="O7" i="26" s="1"/>
  <c r="H25" i="27"/>
  <c r="H9" i="27"/>
  <c r="Z53" i="26"/>
  <c r="HR122" i="9"/>
  <c r="P53" i="26" s="1"/>
  <c r="AA76" i="24"/>
  <c r="GZ76" i="9"/>
  <c r="Q76" i="24" s="1"/>
  <c r="S46" i="26"/>
  <c r="X51" i="22"/>
  <c r="FJ63" i="9"/>
  <c r="Z82" i="22"/>
  <c r="K82" i="20"/>
  <c r="HC121" i="9"/>
  <c r="O79" i="25" s="1"/>
  <c r="GT140" i="9"/>
  <c r="O49" i="24" s="1"/>
  <c r="R98" i="36" l="1"/>
  <c r="R98" i="22"/>
  <c r="N97" i="26"/>
  <c r="K97" i="26" s="1"/>
  <c r="N98" i="36"/>
  <c r="O98" i="36"/>
  <c r="Q98" i="36"/>
  <c r="FA44" i="9"/>
  <c r="R23" i="30" s="1"/>
  <c r="U19" i="22"/>
  <c r="K3" i="23"/>
  <c r="T38" i="25"/>
  <c r="IG122" i="9"/>
  <c r="O64" i="28" s="1"/>
  <c r="P14" i="30"/>
  <c r="P54" i="34"/>
  <c r="Q54" i="34"/>
  <c r="R54" i="34"/>
  <c r="W55" i="22"/>
  <c r="R104" i="32"/>
  <c r="N58" i="25"/>
  <c r="K58" i="25" s="1"/>
  <c r="IF122" i="9"/>
  <c r="N64" i="28" s="1"/>
  <c r="N54" i="34"/>
  <c r="O54" i="34"/>
  <c r="P94" i="22"/>
  <c r="N104" i="24"/>
  <c r="K104" i="24" s="1"/>
  <c r="N104" i="32"/>
  <c r="O104" i="32"/>
  <c r="P104" i="32"/>
  <c r="IH122" i="9"/>
  <c r="II122" i="9"/>
  <c r="Q64" i="28" s="1"/>
  <c r="IJ122" i="9"/>
  <c r="R64" i="28" s="1"/>
  <c r="EY122" i="9"/>
  <c r="T55" i="22" s="1"/>
  <c r="FA122" i="9"/>
  <c r="Q59" i="30" s="1"/>
  <c r="T52" i="23"/>
  <c r="R94" i="22"/>
  <c r="N88" i="26"/>
  <c r="I88" i="26" s="1"/>
  <c r="N89" i="36"/>
  <c r="Q89" i="36"/>
  <c r="O89" i="36"/>
  <c r="P89" i="36"/>
  <c r="P3" i="28"/>
  <c r="N17" i="24"/>
  <c r="I17" i="24" s="1"/>
  <c r="R18" i="32"/>
  <c r="R103" i="32"/>
  <c r="P18" i="32"/>
  <c r="N18" i="32"/>
  <c r="Q18" i="32"/>
  <c r="P96" i="22"/>
  <c r="N103" i="24"/>
  <c r="L103" i="24" s="1"/>
  <c r="N103" i="32"/>
  <c r="O103" i="32"/>
  <c r="P103" i="32"/>
  <c r="O8" i="34"/>
  <c r="Q9" i="22"/>
  <c r="N69" i="23"/>
  <c r="I69" i="23" s="1"/>
  <c r="N8" i="25"/>
  <c r="I8" i="25" s="1"/>
  <c r="P8" i="34"/>
  <c r="R8" i="34"/>
  <c r="N56" i="30"/>
  <c r="Q8" i="34"/>
  <c r="R40" i="30"/>
  <c r="O86" i="32"/>
  <c r="Q40" i="30"/>
  <c r="O21" i="36"/>
  <c r="IH146" i="9"/>
  <c r="P80" i="28" s="1"/>
  <c r="R21" i="36"/>
  <c r="FA146" i="9"/>
  <c r="O80" i="30" s="1"/>
  <c r="P106" i="32"/>
  <c r="P62" i="32"/>
  <c r="T80" i="23"/>
  <c r="Q106" i="32"/>
  <c r="N87" i="24"/>
  <c r="I87" i="24" s="1"/>
  <c r="Q69" i="30"/>
  <c r="R69" i="22"/>
  <c r="N72" i="26"/>
  <c r="K72" i="26" s="1"/>
  <c r="P67" i="36"/>
  <c r="Q67" i="36"/>
  <c r="P104" i="22"/>
  <c r="R67" i="36"/>
  <c r="N98" i="24"/>
  <c r="I98" i="24" s="1"/>
  <c r="N67" i="36"/>
  <c r="R98" i="32"/>
  <c r="N98" i="32"/>
  <c r="O98" i="32"/>
  <c r="P98" i="32"/>
  <c r="P40" i="30"/>
  <c r="O106" i="32"/>
  <c r="R106" i="32"/>
  <c r="O39" i="22"/>
  <c r="N38" i="23"/>
  <c r="K38" i="23" s="1"/>
  <c r="P62" i="22"/>
  <c r="N40" i="30"/>
  <c r="N106" i="24"/>
  <c r="K106" i="24" s="1"/>
  <c r="Q14" i="30"/>
  <c r="N86" i="24"/>
  <c r="I86" i="24" s="1"/>
  <c r="R87" i="32"/>
  <c r="N86" i="32"/>
  <c r="Q36" i="30"/>
  <c r="R79" i="22"/>
  <c r="P86" i="32"/>
  <c r="O12" i="22"/>
  <c r="Q86" i="32"/>
  <c r="R36" i="30"/>
  <c r="N14" i="30"/>
  <c r="R86" i="32"/>
  <c r="P69" i="22"/>
  <c r="O14" i="30"/>
  <c r="N63" i="24"/>
  <c r="K63" i="24" s="1"/>
  <c r="O84" i="22"/>
  <c r="N62" i="32"/>
  <c r="P67" i="22"/>
  <c r="N83" i="23"/>
  <c r="I83" i="23" s="1"/>
  <c r="O62" i="32"/>
  <c r="Q58" i="34"/>
  <c r="Q62" i="32"/>
  <c r="P55" i="22"/>
  <c r="N87" i="32"/>
  <c r="O87" i="32"/>
  <c r="P87" i="32"/>
  <c r="O60" i="30"/>
  <c r="R60" i="30"/>
  <c r="O63" i="22"/>
  <c r="N58" i="23"/>
  <c r="K58" i="23" s="1"/>
  <c r="N60" i="30"/>
  <c r="P60" i="30"/>
  <c r="R56" i="30"/>
  <c r="FA56" i="9"/>
  <c r="N19" i="30" s="1"/>
  <c r="U20" i="22"/>
  <c r="N71" i="32"/>
  <c r="N58" i="24"/>
  <c r="K58" i="24" s="1"/>
  <c r="N91" i="36"/>
  <c r="P52" i="36"/>
  <c r="R88" i="22"/>
  <c r="N90" i="26"/>
  <c r="I90" i="26" s="1"/>
  <c r="O91" i="36"/>
  <c r="P91" i="36"/>
  <c r="R53" i="22"/>
  <c r="Q91" i="36"/>
  <c r="N55" i="26"/>
  <c r="K55" i="26" s="1"/>
  <c r="Q52" i="36"/>
  <c r="R52" i="36"/>
  <c r="N52" i="36"/>
  <c r="N25" i="25"/>
  <c r="I25" i="25" s="1"/>
  <c r="R9" i="32"/>
  <c r="P58" i="32"/>
  <c r="O71" i="32"/>
  <c r="N26" i="34"/>
  <c r="O58" i="32"/>
  <c r="P26" i="34"/>
  <c r="O26" i="34"/>
  <c r="Q26" i="34"/>
  <c r="R26" i="34"/>
  <c r="N58" i="32"/>
  <c r="N71" i="24"/>
  <c r="I71" i="24" s="1"/>
  <c r="Q55" i="36"/>
  <c r="P45" i="22"/>
  <c r="Q71" i="32"/>
  <c r="R71" i="32"/>
  <c r="P79" i="22"/>
  <c r="FD31" i="9"/>
  <c r="N29" i="32" s="1"/>
  <c r="V47" i="22"/>
  <c r="O18" i="32"/>
  <c r="R58" i="32"/>
  <c r="N8" i="32"/>
  <c r="N8" i="24"/>
  <c r="K8" i="24" s="1"/>
  <c r="N17" i="36"/>
  <c r="EX148" i="9"/>
  <c r="EV148" i="9" s="1"/>
  <c r="L96" i="20" s="1"/>
  <c r="J96" i="20"/>
  <c r="R37" i="32"/>
  <c r="P50" i="22"/>
  <c r="O37" i="32"/>
  <c r="P37" i="32"/>
  <c r="O44" i="32"/>
  <c r="N36" i="24"/>
  <c r="K36" i="24" s="1"/>
  <c r="N13" i="25"/>
  <c r="I13" i="25" s="1"/>
  <c r="O9" i="34"/>
  <c r="Q9" i="34"/>
  <c r="N9" i="34"/>
  <c r="P55" i="36"/>
  <c r="R55" i="36"/>
  <c r="N12" i="23"/>
  <c r="I12" i="23" s="1"/>
  <c r="Q84" i="30"/>
  <c r="N80" i="26"/>
  <c r="I80" i="26" s="1"/>
  <c r="R84" i="30"/>
  <c r="Q81" i="36"/>
  <c r="O84" i="30"/>
  <c r="R81" i="36"/>
  <c r="N84" i="30"/>
  <c r="P81" i="36"/>
  <c r="N81" i="36"/>
  <c r="Q52" i="34"/>
  <c r="R49" i="22"/>
  <c r="N27" i="23"/>
  <c r="K27" i="23" s="1"/>
  <c r="T43" i="25"/>
  <c r="O103" i="30"/>
  <c r="N47" i="26"/>
  <c r="K47" i="26" s="1"/>
  <c r="N55" i="36"/>
  <c r="N86" i="23"/>
  <c r="I86" i="23" s="1"/>
  <c r="N47" i="24"/>
  <c r="K47" i="24" s="1"/>
  <c r="R69" i="30"/>
  <c r="P81" i="22"/>
  <c r="Q47" i="32"/>
  <c r="N22" i="26"/>
  <c r="I22" i="26" s="1"/>
  <c r="N44" i="32"/>
  <c r="Q22" i="22"/>
  <c r="O17" i="36"/>
  <c r="P44" i="32"/>
  <c r="P71" i="22"/>
  <c r="P17" i="36"/>
  <c r="R44" i="32"/>
  <c r="R9" i="34"/>
  <c r="P42" i="22"/>
  <c r="Q17" i="36"/>
  <c r="Q44" i="32"/>
  <c r="R17" i="36"/>
  <c r="N37" i="32"/>
  <c r="O35" i="36"/>
  <c r="N19" i="26"/>
  <c r="K19" i="26" s="1"/>
  <c r="Q41" i="30"/>
  <c r="Q10" i="34"/>
  <c r="R4" i="32"/>
  <c r="R76" i="36"/>
  <c r="O62" i="22"/>
  <c r="R41" i="30"/>
  <c r="N66" i="23"/>
  <c r="K66" i="23" s="1"/>
  <c r="N69" i="30"/>
  <c r="N21" i="30"/>
  <c r="O21" i="30"/>
  <c r="P69" i="30"/>
  <c r="P21" i="30"/>
  <c r="P4" i="22"/>
  <c r="O31" i="22"/>
  <c r="R75" i="22"/>
  <c r="N47" i="23"/>
  <c r="L47" i="23" s="1"/>
  <c r="N4" i="24"/>
  <c r="I4" i="24" s="1"/>
  <c r="N70" i="26"/>
  <c r="I70" i="26" s="1"/>
  <c r="N4" i="32"/>
  <c r="Q21" i="30"/>
  <c r="N76" i="36"/>
  <c r="O43" i="22"/>
  <c r="N41" i="30"/>
  <c r="P4" i="32"/>
  <c r="O76" i="36"/>
  <c r="O41" i="30"/>
  <c r="O4" i="32"/>
  <c r="P76" i="36"/>
  <c r="Q68" i="32"/>
  <c r="N21" i="36"/>
  <c r="P21" i="36"/>
  <c r="Q21" i="36"/>
  <c r="P103" i="22"/>
  <c r="N68" i="24"/>
  <c r="I68" i="24" s="1"/>
  <c r="Q88" i="34"/>
  <c r="O68" i="32"/>
  <c r="FD44" i="9"/>
  <c r="N13" i="24" s="1"/>
  <c r="I13" i="24" s="1"/>
  <c r="P68" i="32"/>
  <c r="V19" i="22"/>
  <c r="O7" i="36"/>
  <c r="R7" i="36"/>
  <c r="R16" i="22"/>
  <c r="R68" i="32"/>
  <c r="N102" i="25"/>
  <c r="I102" i="25" s="1"/>
  <c r="Q23" i="22"/>
  <c r="N14" i="25"/>
  <c r="K14" i="25" s="1"/>
  <c r="N10" i="34"/>
  <c r="O10" i="34"/>
  <c r="P10" i="34"/>
  <c r="Q59" i="34"/>
  <c r="P7" i="36"/>
  <c r="R65" i="36"/>
  <c r="Q7" i="36"/>
  <c r="EX72" i="9"/>
  <c r="EW72" i="9" s="1"/>
  <c r="M78" i="20" s="1"/>
  <c r="J78" i="20"/>
  <c r="FJ31" i="9"/>
  <c r="R75" i="36" s="1"/>
  <c r="X47" i="22"/>
  <c r="R88" i="34"/>
  <c r="R9" i="22"/>
  <c r="N7" i="26"/>
  <c r="I7" i="26" s="1"/>
  <c r="R33" i="22"/>
  <c r="Q98" i="22"/>
  <c r="N34" i="26"/>
  <c r="K34" i="26" s="1"/>
  <c r="O101" i="34"/>
  <c r="R35" i="36"/>
  <c r="N101" i="34"/>
  <c r="N35" i="36"/>
  <c r="P101" i="34"/>
  <c r="P35" i="36"/>
  <c r="Q101" i="34"/>
  <c r="N58" i="34"/>
  <c r="R59" i="34"/>
  <c r="R87" i="30"/>
  <c r="O58" i="34"/>
  <c r="Q87" i="30"/>
  <c r="P58" i="34"/>
  <c r="P87" i="30"/>
  <c r="O104" i="22"/>
  <c r="N87" i="30"/>
  <c r="R24" i="22"/>
  <c r="N104" i="23"/>
  <c r="I104" i="23" s="1"/>
  <c r="O87" i="30"/>
  <c r="N12" i="36"/>
  <c r="P103" i="30"/>
  <c r="N93" i="24"/>
  <c r="I93" i="24" s="1"/>
  <c r="O12" i="36"/>
  <c r="Q103" i="30"/>
  <c r="K4" i="26"/>
  <c r="Q52" i="22"/>
  <c r="R93" i="32"/>
  <c r="P12" i="36"/>
  <c r="N103" i="30"/>
  <c r="N44" i="25"/>
  <c r="K44" i="25" s="1"/>
  <c r="N93" i="32"/>
  <c r="Q77" i="22"/>
  <c r="Q12" i="36"/>
  <c r="N52" i="34"/>
  <c r="O93" i="32"/>
  <c r="N64" i="25"/>
  <c r="I64" i="25" s="1"/>
  <c r="N85" i="30"/>
  <c r="O52" i="34"/>
  <c r="P93" i="32"/>
  <c r="Q59" i="22"/>
  <c r="N59" i="34"/>
  <c r="IE57" i="9"/>
  <c r="O85" i="30"/>
  <c r="P52" i="34"/>
  <c r="N55" i="25"/>
  <c r="I55" i="25" s="1"/>
  <c r="O59" i="34"/>
  <c r="O61" i="30"/>
  <c r="R53" i="36"/>
  <c r="N53" i="36"/>
  <c r="O72" i="22"/>
  <c r="P36" i="30"/>
  <c r="N36" i="30"/>
  <c r="P105" i="36"/>
  <c r="O36" i="30"/>
  <c r="Q105" i="36"/>
  <c r="P82" i="22"/>
  <c r="R42" i="22"/>
  <c r="N84" i="24"/>
  <c r="I84" i="24" s="1"/>
  <c r="Q94" i="22"/>
  <c r="N69" i="24"/>
  <c r="L69" i="24" s="1"/>
  <c r="N41" i="26"/>
  <c r="I41" i="26" s="1"/>
  <c r="Q84" i="32"/>
  <c r="N90" i="25"/>
  <c r="I90" i="25" s="1"/>
  <c r="HL92" i="9"/>
  <c r="R88" i="25" s="1"/>
  <c r="P69" i="32"/>
  <c r="N41" i="36"/>
  <c r="R84" i="32"/>
  <c r="N88" i="34"/>
  <c r="N69" i="32"/>
  <c r="O41" i="36"/>
  <c r="P84" i="32"/>
  <c r="P41" i="36"/>
  <c r="N84" i="32"/>
  <c r="N9" i="32"/>
  <c r="O88" i="34"/>
  <c r="Q41" i="36"/>
  <c r="N39" i="23"/>
  <c r="I39" i="23" s="1"/>
  <c r="O8" i="32"/>
  <c r="O53" i="36"/>
  <c r="O56" i="30"/>
  <c r="Q16" i="34"/>
  <c r="P8" i="32"/>
  <c r="Q8" i="32"/>
  <c r="FA31" i="9"/>
  <c r="Q70" i="30" s="1"/>
  <c r="P56" i="30"/>
  <c r="R8" i="32"/>
  <c r="U47" i="22"/>
  <c r="U30" i="25"/>
  <c r="R63" i="22"/>
  <c r="N62" i="26"/>
  <c r="L62" i="26" s="1"/>
  <c r="N65" i="36"/>
  <c r="P61" i="30"/>
  <c r="R57" i="22"/>
  <c r="IJ31" i="9"/>
  <c r="R57" i="28" s="1"/>
  <c r="O65" i="36"/>
  <c r="N66" i="26"/>
  <c r="K66" i="26" s="1"/>
  <c r="P65" i="36"/>
  <c r="P53" i="36"/>
  <c r="U42" i="23"/>
  <c r="N72" i="23"/>
  <c r="K72" i="23" s="1"/>
  <c r="O74" i="22"/>
  <c r="HA90" i="9"/>
  <c r="V54" i="24" s="1"/>
  <c r="N73" i="30"/>
  <c r="O73" i="30"/>
  <c r="P73" i="30"/>
  <c r="Q73" i="30"/>
  <c r="FG44" i="9"/>
  <c r="N43" i="25" s="1"/>
  <c r="I43" i="25" s="1"/>
  <c r="U52" i="25"/>
  <c r="R105" i="34"/>
  <c r="O47" i="32"/>
  <c r="N47" i="32"/>
  <c r="K31" i="23"/>
  <c r="P47" i="32"/>
  <c r="N80" i="24"/>
  <c r="I80" i="24" s="1"/>
  <c r="Q86" i="22"/>
  <c r="R80" i="32"/>
  <c r="N72" i="25"/>
  <c r="K72" i="25" s="1"/>
  <c r="Q80" i="32"/>
  <c r="P73" i="34"/>
  <c r="N80" i="32"/>
  <c r="O73" i="34"/>
  <c r="O80" i="32"/>
  <c r="N73" i="34"/>
  <c r="N105" i="25"/>
  <c r="I105" i="25" s="1"/>
  <c r="Q73" i="34"/>
  <c r="P105" i="34"/>
  <c r="Q105" i="34"/>
  <c r="P94" i="30"/>
  <c r="N78" i="23"/>
  <c r="K78" i="23" s="1"/>
  <c r="IG10" i="9"/>
  <c r="IH10" i="9"/>
  <c r="R94" i="30"/>
  <c r="N77" i="30"/>
  <c r="EY10" i="9"/>
  <c r="EX10" i="9" s="1"/>
  <c r="EW10" i="9" s="1"/>
  <c r="N105" i="34"/>
  <c r="R105" i="22"/>
  <c r="O105" i="34"/>
  <c r="IJ10" i="9"/>
  <c r="O77" i="30"/>
  <c r="P77" i="30"/>
  <c r="II10" i="9"/>
  <c r="N105" i="26"/>
  <c r="I105" i="26" s="1"/>
  <c r="Q77" i="30"/>
  <c r="IF10" i="9"/>
  <c r="O105" i="36"/>
  <c r="P21" i="22"/>
  <c r="R77" i="30"/>
  <c r="P34" i="22"/>
  <c r="N105" i="36"/>
  <c r="N9" i="24"/>
  <c r="K9" i="24" s="1"/>
  <c r="GT28" i="9"/>
  <c r="O19" i="24" s="1"/>
  <c r="O69" i="32"/>
  <c r="P9" i="32"/>
  <c r="O9" i="32"/>
  <c r="Q69" i="32"/>
  <c r="IE131" i="9"/>
  <c r="O96" i="22"/>
  <c r="N94" i="30"/>
  <c r="GO90" i="9"/>
  <c r="W97" i="23" s="1"/>
  <c r="N94" i="23"/>
  <c r="K94" i="23" s="1"/>
  <c r="O94" i="30"/>
  <c r="J63" i="20"/>
  <c r="P16" i="34"/>
  <c r="K81" i="25"/>
  <c r="R16" i="34"/>
  <c r="HD88" i="9"/>
  <c r="HC88" i="9" s="1"/>
  <c r="R56" i="22"/>
  <c r="N60" i="26"/>
  <c r="I60" i="26" s="1"/>
  <c r="I23" i="27"/>
  <c r="N47" i="36"/>
  <c r="O47" i="36"/>
  <c r="IF44" i="9"/>
  <c r="N23" i="28" s="1"/>
  <c r="P47" i="36"/>
  <c r="P87" i="22"/>
  <c r="Q47" i="36"/>
  <c r="N48" i="24"/>
  <c r="K48" i="24" s="1"/>
  <c r="N50" i="32"/>
  <c r="FJ56" i="9"/>
  <c r="Q19" i="36" s="1"/>
  <c r="IE107" i="9"/>
  <c r="L18" i="26"/>
  <c r="Q28" i="22"/>
  <c r="O50" i="32"/>
  <c r="X20" i="22"/>
  <c r="N18" i="25"/>
  <c r="I18" i="25" s="1"/>
  <c r="P50" i="32"/>
  <c r="IE71" i="9"/>
  <c r="P83" i="27" s="1"/>
  <c r="IE148" i="9"/>
  <c r="N96" i="27" s="1"/>
  <c r="N16" i="34"/>
  <c r="Q50" i="32"/>
  <c r="EW126" i="9"/>
  <c r="EV126" i="9"/>
  <c r="J23" i="27"/>
  <c r="K85" i="26"/>
  <c r="EX71" i="9"/>
  <c r="EW71" i="9" s="1"/>
  <c r="M84" i="20" s="1"/>
  <c r="O96" i="28"/>
  <c r="O83" i="28"/>
  <c r="L85" i="26"/>
  <c r="J84" i="20"/>
  <c r="FB92" i="9"/>
  <c r="T96" i="23" s="1"/>
  <c r="HC92" i="9"/>
  <c r="O88" i="25" s="1"/>
  <c r="FH92" i="9"/>
  <c r="T88" i="25" s="1"/>
  <c r="HR44" i="9"/>
  <c r="P14" i="26" s="1"/>
  <c r="Q11" i="22"/>
  <c r="N6" i="25"/>
  <c r="I6" i="25" s="1"/>
  <c r="N5" i="34"/>
  <c r="O5" i="34"/>
  <c r="P5" i="34"/>
  <c r="Q5" i="34"/>
  <c r="P79" i="36"/>
  <c r="GZ92" i="9"/>
  <c r="Q55" i="24" s="1"/>
  <c r="Q79" i="36"/>
  <c r="V19" i="24"/>
  <c r="N61" i="30"/>
  <c r="L15" i="25"/>
  <c r="Q61" i="30"/>
  <c r="EX49" i="9"/>
  <c r="EW49" i="9" s="1"/>
  <c r="M39" i="20" s="1"/>
  <c r="IE41" i="9"/>
  <c r="N66" i="27" s="1"/>
  <c r="R61" i="30"/>
  <c r="J39" i="20"/>
  <c r="L99" i="24"/>
  <c r="GN28" i="9"/>
  <c r="Q42" i="23" s="1"/>
  <c r="J85" i="20"/>
  <c r="FB28" i="9"/>
  <c r="T42" i="23" s="1"/>
  <c r="T85" i="22"/>
  <c r="GQ147" i="9"/>
  <c r="R100" i="23" s="1"/>
  <c r="N50" i="23"/>
  <c r="I50" i="23" s="1"/>
  <c r="EY146" i="9"/>
  <c r="EX146" i="9" s="1"/>
  <c r="O79" i="36"/>
  <c r="IE69" i="9"/>
  <c r="FE28" i="9"/>
  <c r="V36" i="22" s="1"/>
  <c r="GW28" i="9"/>
  <c r="P19" i="24" s="1"/>
  <c r="Q66" i="28"/>
  <c r="HF29" i="9"/>
  <c r="P16" i="25" s="1"/>
  <c r="K77" i="25"/>
  <c r="R73" i="22"/>
  <c r="U23" i="23"/>
  <c r="IE74" i="9"/>
  <c r="N77" i="26"/>
  <c r="K77" i="26" s="1"/>
  <c r="EY56" i="9"/>
  <c r="T20" i="22" s="1"/>
  <c r="R79" i="36"/>
  <c r="O83" i="22"/>
  <c r="IE129" i="9"/>
  <c r="FH28" i="9"/>
  <c r="FG28" i="9" s="1"/>
  <c r="IE100" i="9"/>
  <c r="EV57" i="9"/>
  <c r="FB24" i="9"/>
  <c r="T23" i="23" s="1"/>
  <c r="EV107" i="9"/>
  <c r="IE38" i="9"/>
  <c r="IG146" i="9"/>
  <c r="O80" i="28" s="1"/>
  <c r="K99" i="24"/>
  <c r="EX41" i="9"/>
  <c r="EW41" i="9" s="1"/>
  <c r="M63" i="20" s="1"/>
  <c r="IJ146" i="9"/>
  <c r="R80" i="28" s="1"/>
  <c r="IE99" i="9"/>
  <c r="IE121" i="9"/>
  <c r="HJ78" i="9"/>
  <c r="HI78" i="9" s="1"/>
  <c r="Q83" i="25" s="1"/>
  <c r="IE95" i="9"/>
  <c r="HD78" i="9"/>
  <c r="HC78" i="9" s="1"/>
  <c r="O83" i="25" s="1"/>
  <c r="N84" i="23"/>
  <c r="Q85" i="30"/>
  <c r="GN92" i="9"/>
  <c r="Q96" i="23" s="1"/>
  <c r="R85" i="30"/>
  <c r="EV121" i="9"/>
  <c r="L85" i="20" s="1"/>
  <c r="IE34" i="9"/>
  <c r="R64" i="34"/>
  <c r="Q64" i="34"/>
  <c r="P64" i="34"/>
  <c r="O64" i="34"/>
  <c r="N64" i="34"/>
  <c r="N66" i="25"/>
  <c r="Q73" i="22"/>
  <c r="IH56" i="9"/>
  <c r="P18" i="28" s="1"/>
  <c r="K18" i="26"/>
  <c r="FH89" i="9"/>
  <c r="T52" i="25" s="1"/>
  <c r="K15" i="25"/>
  <c r="L77" i="25"/>
  <c r="R22" i="32"/>
  <c r="Q22" i="32"/>
  <c r="P22" i="32"/>
  <c r="O22" i="32"/>
  <c r="N22" i="32"/>
  <c r="N20" i="24"/>
  <c r="P33" i="22"/>
  <c r="P82" i="32"/>
  <c r="O82" i="32"/>
  <c r="N82" i="24"/>
  <c r="P9" i="22"/>
  <c r="N82" i="32"/>
  <c r="R82" i="32"/>
  <c r="Q82" i="32"/>
  <c r="Q12" i="28"/>
  <c r="R73" i="36"/>
  <c r="Q73" i="36"/>
  <c r="P73" i="36"/>
  <c r="O73" i="36"/>
  <c r="N73" i="36"/>
  <c r="N68" i="26"/>
  <c r="K68" i="26" s="1"/>
  <c r="R70" i="22"/>
  <c r="R44" i="28"/>
  <c r="N15" i="28"/>
  <c r="IE27" i="9"/>
  <c r="N15" i="27" s="1"/>
  <c r="P46" i="34"/>
  <c r="N46" i="34"/>
  <c r="R46" i="34"/>
  <c r="Q46" i="34"/>
  <c r="O46" i="34"/>
  <c r="N41" i="25"/>
  <c r="K41" i="25" s="1"/>
  <c r="Q64" i="22"/>
  <c r="O74" i="28"/>
  <c r="R63" i="34"/>
  <c r="Q63" i="34"/>
  <c r="P63" i="34"/>
  <c r="O63" i="34"/>
  <c r="N63" i="34"/>
  <c r="N62" i="25"/>
  <c r="K62" i="25" s="1"/>
  <c r="Q71" i="22"/>
  <c r="P105" i="28"/>
  <c r="R34" i="32"/>
  <c r="Q34" i="32"/>
  <c r="P34" i="32"/>
  <c r="O34" i="32"/>
  <c r="N34" i="32"/>
  <c r="N35" i="24"/>
  <c r="K35" i="24" s="1"/>
  <c r="P53" i="22"/>
  <c r="R11" i="28"/>
  <c r="R59" i="28"/>
  <c r="O69" i="28"/>
  <c r="R33" i="28"/>
  <c r="O51" i="28"/>
  <c r="R40" i="36"/>
  <c r="Q40" i="36"/>
  <c r="P40" i="36"/>
  <c r="O40" i="36"/>
  <c r="N40" i="36"/>
  <c r="N38" i="26"/>
  <c r="K38" i="26" s="1"/>
  <c r="R38" i="22"/>
  <c r="P58" i="28"/>
  <c r="O72" i="28"/>
  <c r="J67" i="20"/>
  <c r="T67" i="22"/>
  <c r="EX115" i="9"/>
  <c r="EV115" i="9" s="1"/>
  <c r="L67" i="20" s="1"/>
  <c r="R27" i="28"/>
  <c r="R6" i="36"/>
  <c r="Q6" i="36"/>
  <c r="P6" i="36"/>
  <c r="O6" i="36"/>
  <c r="N6" i="36"/>
  <c r="N6" i="26"/>
  <c r="K6" i="26" s="1"/>
  <c r="R6" i="22"/>
  <c r="O24" i="34"/>
  <c r="Q24" i="34"/>
  <c r="P24" i="34"/>
  <c r="N24" i="34"/>
  <c r="R24" i="34"/>
  <c r="N20" i="25"/>
  <c r="Q27" i="22"/>
  <c r="O100" i="28"/>
  <c r="R28" i="34"/>
  <c r="O28" i="34"/>
  <c r="N28" i="34"/>
  <c r="P28" i="34"/>
  <c r="Q28" i="34"/>
  <c r="N28" i="25"/>
  <c r="K28" i="25" s="1"/>
  <c r="Q40" i="22"/>
  <c r="T42" i="22"/>
  <c r="J42" i="20"/>
  <c r="EX142" i="9"/>
  <c r="EV142" i="9" s="1"/>
  <c r="L42" i="20" s="1"/>
  <c r="N48" i="28"/>
  <c r="IE65" i="9"/>
  <c r="N48" i="27" s="1"/>
  <c r="R105" i="30"/>
  <c r="N105" i="30"/>
  <c r="Q105" i="30"/>
  <c r="P105" i="30"/>
  <c r="O105" i="30"/>
  <c r="O105" i="22"/>
  <c r="N105" i="23"/>
  <c r="R15" i="28"/>
  <c r="N32" i="28"/>
  <c r="IE125" i="9"/>
  <c r="O32" i="27" s="1"/>
  <c r="J10" i="20"/>
  <c r="T10" i="22"/>
  <c r="EX77" i="9"/>
  <c r="EV77" i="9" s="1"/>
  <c r="L10" i="20" s="1"/>
  <c r="N78" i="28"/>
  <c r="IE72" i="9"/>
  <c r="N78" i="27" s="1"/>
  <c r="Q101" i="28"/>
  <c r="P69" i="28"/>
  <c r="J87" i="20"/>
  <c r="T87" i="22"/>
  <c r="EX93" i="9"/>
  <c r="T27" i="22"/>
  <c r="J27" i="20"/>
  <c r="EX79" i="9"/>
  <c r="R85" i="36"/>
  <c r="Q85" i="36"/>
  <c r="P85" i="36"/>
  <c r="O85" i="36"/>
  <c r="N85" i="36"/>
  <c r="N87" i="26"/>
  <c r="K87" i="26" s="1"/>
  <c r="R81" i="22"/>
  <c r="Q38" i="28"/>
  <c r="IE55" i="9"/>
  <c r="T5" i="22"/>
  <c r="J5" i="20"/>
  <c r="EX58" i="9"/>
  <c r="EV58" i="9" s="1"/>
  <c r="L5" i="20" s="1"/>
  <c r="T23" i="22"/>
  <c r="J23" i="20"/>
  <c r="EX14" i="9"/>
  <c r="R51" i="28"/>
  <c r="Q106" i="28"/>
  <c r="T97" i="22"/>
  <c r="J97" i="20"/>
  <c r="EX117" i="9"/>
  <c r="EV117" i="9" s="1"/>
  <c r="L97" i="20" s="1"/>
  <c r="HO44" i="9"/>
  <c r="O14" i="26" s="1"/>
  <c r="N72" i="28"/>
  <c r="IE108" i="9"/>
  <c r="N72" i="27" s="1"/>
  <c r="N42" i="28"/>
  <c r="IE73" i="9"/>
  <c r="N42" i="27" s="1"/>
  <c r="Q46" i="28"/>
  <c r="P49" i="30"/>
  <c r="O49" i="30"/>
  <c r="N49" i="30"/>
  <c r="Q49" i="30"/>
  <c r="R49" i="30"/>
  <c r="N61" i="23"/>
  <c r="K61" i="23" s="1"/>
  <c r="O67" i="22"/>
  <c r="O27" i="28"/>
  <c r="N16" i="28"/>
  <c r="IE94" i="9"/>
  <c r="N16" i="27" s="1"/>
  <c r="O49" i="28"/>
  <c r="U41" i="24"/>
  <c r="GW89" i="9"/>
  <c r="P41" i="24" s="1"/>
  <c r="O29" i="28"/>
  <c r="P84" i="28"/>
  <c r="EX129" i="9"/>
  <c r="EW129" i="9" s="1"/>
  <c r="P82" i="28"/>
  <c r="O55" i="28"/>
  <c r="T60" i="22"/>
  <c r="J60" i="20"/>
  <c r="EX123" i="9"/>
  <c r="EV123" i="9" s="1"/>
  <c r="L60" i="20" s="1"/>
  <c r="EX104" i="9"/>
  <c r="EW104" i="9" s="1"/>
  <c r="O81" i="28"/>
  <c r="AC43" i="25"/>
  <c r="HI44" i="9"/>
  <c r="Q43" i="25" s="1"/>
  <c r="T48" i="22"/>
  <c r="J48" i="20"/>
  <c r="EX62" i="9"/>
  <c r="IE110" i="9"/>
  <c r="R55" i="32"/>
  <c r="Q55" i="32"/>
  <c r="P55" i="32"/>
  <c r="O55" i="32"/>
  <c r="N55" i="32"/>
  <c r="N50" i="24"/>
  <c r="P70" i="22"/>
  <c r="R5" i="30"/>
  <c r="Q5" i="30"/>
  <c r="P5" i="30"/>
  <c r="O5" i="30"/>
  <c r="N5" i="30"/>
  <c r="N5" i="23"/>
  <c r="K5" i="23" s="1"/>
  <c r="O6" i="22"/>
  <c r="IE36" i="9"/>
  <c r="P8" i="28"/>
  <c r="EY31" i="9"/>
  <c r="IJ56" i="9"/>
  <c r="P24" i="28"/>
  <c r="R74" i="34"/>
  <c r="Q74" i="34"/>
  <c r="P74" i="34"/>
  <c r="O74" i="34"/>
  <c r="N74" i="34"/>
  <c r="N73" i="25"/>
  <c r="K73" i="25" s="1"/>
  <c r="Q37" i="22"/>
  <c r="IE106" i="9"/>
  <c r="R3" i="34"/>
  <c r="Q3" i="34"/>
  <c r="R103" i="34"/>
  <c r="P3" i="34"/>
  <c r="Q103" i="34"/>
  <c r="O3" i="34"/>
  <c r="N3" i="34"/>
  <c r="P103" i="34"/>
  <c r="O103" i="34"/>
  <c r="N103" i="34"/>
  <c r="N103" i="25"/>
  <c r="K103" i="25" s="1"/>
  <c r="N3" i="25"/>
  <c r="K3" i="25" s="1"/>
  <c r="Q31" i="22"/>
  <c r="Q3" i="22"/>
  <c r="R100" i="34"/>
  <c r="Q100" i="34"/>
  <c r="P100" i="34"/>
  <c r="O100" i="34"/>
  <c r="N100" i="34"/>
  <c r="Q101" i="22"/>
  <c r="N100" i="25"/>
  <c r="K100" i="25" s="1"/>
  <c r="S12" i="24"/>
  <c r="V20" i="22"/>
  <c r="FD56" i="9"/>
  <c r="K23" i="27"/>
  <c r="IE86" i="9"/>
  <c r="R90" i="36"/>
  <c r="Q90" i="36"/>
  <c r="O90" i="36"/>
  <c r="N90" i="36"/>
  <c r="P90" i="36"/>
  <c r="N89" i="26"/>
  <c r="K89" i="26" s="1"/>
  <c r="R87" i="22"/>
  <c r="R68" i="30"/>
  <c r="P68" i="30"/>
  <c r="Q68" i="30"/>
  <c r="O68" i="30"/>
  <c r="N68" i="30"/>
  <c r="N74" i="23"/>
  <c r="K74" i="23" s="1"/>
  <c r="O76" i="22"/>
  <c r="R39" i="30"/>
  <c r="Q39" i="30"/>
  <c r="P39" i="30"/>
  <c r="O39" i="30"/>
  <c r="N39" i="30"/>
  <c r="N46" i="23"/>
  <c r="K46" i="23" s="1"/>
  <c r="O56" i="22"/>
  <c r="P35" i="30"/>
  <c r="O35" i="30"/>
  <c r="N35" i="30"/>
  <c r="Q35" i="30"/>
  <c r="R35" i="30"/>
  <c r="N34" i="23"/>
  <c r="K34" i="23" s="1"/>
  <c r="O33" i="22"/>
  <c r="U90" i="23"/>
  <c r="GH78" i="9"/>
  <c r="O90" i="23" s="1"/>
  <c r="V90" i="23"/>
  <c r="GK78" i="9"/>
  <c r="P90" i="23" s="1"/>
  <c r="P37" i="28"/>
  <c r="W88" i="25"/>
  <c r="HI92" i="9"/>
  <c r="Q88" i="25" s="1"/>
  <c r="EX111" i="9"/>
  <c r="EW111" i="9" s="1"/>
  <c r="P100" i="28"/>
  <c r="I95" i="25"/>
  <c r="K95" i="25"/>
  <c r="O5" i="28"/>
  <c r="Q14" i="28"/>
  <c r="Q53" i="30"/>
  <c r="P53" i="30"/>
  <c r="O53" i="30"/>
  <c r="N53" i="30"/>
  <c r="R53" i="30"/>
  <c r="N43" i="23"/>
  <c r="K43" i="23" s="1"/>
  <c r="O45" i="22"/>
  <c r="Q95" i="28"/>
  <c r="S14" i="26"/>
  <c r="X19" i="22"/>
  <c r="FJ44" i="9"/>
  <c r="R72" i="28"/>
  <c r="Q36" i="34"/>
  <c r="O36" i="34"/>
  <c r="N36" i="34"/>
  <c r="R36" i="34"/>
  <c r="P36" i="34"/>
  <c r="N42" i="25"/>
  <c r="K42" i="25" s="1"/>
  <c r="Q43" i="22"/>
  <c r="P42" i="28"/>
  <c r="P46" i="28"/>
  <c r="R76" i="34"/>
  <c r="Q76" i="34"/>
  <c r="P76" i="34"/>
  <c r="O76" i="34"/>
  <c r="N76" i="34"/>
  <c r="N76" i="25"/>
  <c r="K76" i="25" s="1"/>
  <c r="Q83" i="22"/>
  <c r="P74" i="32"/>
  <c r="O74" i="32"/>
  <c r="N74" i="32"/>
  <c r="Q74" i="32"/>
  <c r="R74" i="32"/>
  <c r="N74" i="24"/>
  <c r="P68" i="22"/>
  <c r="P50" i="28"/>
  <c r="P27" i="28"/>
  <c r="P16" i="28"/>
  <c r="P49" i="28"/>
  <c r="R85" i="28"/>
  <c r="P29" i="28"/>
  <c r="P42" i="34"/>
  <c r="N42" i="34"/>
  <c r="R42" i="34"/>
  <c r="Q42" i="34"/>
  <c r="O42" i="34"/>
  <c r="N49" i="25"/>
  <c r="K49" i="25" s="1"/>
  <c r="Q67" i="22"/>
  <c r="P45" i="34"/>
  <c r="N45" i="34"/>
  <c r="R45" i="34"/>
  <c r="Q45" i="34"/>
  <c r="O45" i="34"/>
  <c r="N59" i="25"/>
  <c r="K59" i="25" s="1"/>
  <c r="Q82" i="22"/>
  <c r="Q82" i="28"/>
  <c r="P55" i="28"/>
  <c r="R83" i="36"/>
  <c r="Q83" i="36"/>
  <c r="P83" i="36"/>
  <c r="O83" i="36"/>
  <c r="N83" i="36"/>
  <c r="N82" i="26"/>
  <c r="K82" i="26" s="1"/>
  <c r="R83" i="22"/>
  <c r="N51" i="30"/>
  <c r="O51" i="30"/>
  <c r="R51" i="30"/>
  <c r="Q51" i="30"/>
  <c r="P51" i="30"/>
  <c r="N44" i="23"/>
  <c r="K44" i="23" s="1"/>
  <c r="O49" i="22"/>
  <c r="N60" i="28"/>
  <c r="IE123" i="9"/>
  <c r="O60" i="27" s="1"/>
  <c r="P104" i="28"/>
  <c r="J29" i="20"/>
  <c r="T29" i="22"/>
  <c r="EX46" i="9"/>
  <c r="EV46" i="9" s="1"/>
  <c r="L29" i="20" s="1"/>
  <c r="Q47" i="28"/>
  <c r="P6" i="28"/>
  <c r="T9" i="22"/>
  <c r="J9" i="20"/>
  <c r="EX101" i="9"/>
  <c r="EV101" i="9" s="1"/>
  <c r="L9" i="20" s="1"/>
  <c r="Q102" i="36"/>
  <c r="P102" i="36"/>
  <c r="R102" i="36"/>
  <c r="O102" i="36"/>
  <c r="N102" i="36"/>
  <c r="N101" i="26"/>
  <c r="K101" i="26" s="1"/>
  <c r="R102" i="22"/>
  <c r="T15" i="26"/>
  <c r="HO29" i="9"/>
  <c r="O15" i="26" s="1"/>
  <c r="FK29" i="9"/>
  <c r="N92" i="28"/>
  <c r="IE149" i="9"/>
  <c r="N92" i="27" s="1"/>
  <c r="IF31" i="9"/>
  <c r="EX34" i="9"/>
  <c r="EW34" i="9" s="1"/>
  <c r="Q24" i="28"/>
  <c r="R20" i="32"/>
  <c r="Q20" i="32"/>
  <c r="N20" i="32"/>
  <c r="O20" i="32"/>
  <c r="P20" i="32"/>
  <c r="N21" i="24"/>
  <c r="K21" i="24" s="1"/>
  <c r="P8" i="22"/>
  <c r="R35" i="32"/>
  <c r="Q35" i="32"/>
  <c r="P35" i="32"/>
  <c r="N35" i="32"/>
  <c r="O35" i="32"/>
  <c r="N34" i="24"/>
  <c r="K34" i="24" s="1"/>
  <c r="P58" i="22"/>
  <c r="R25" i="28"/>
  <c r="R3" i="28"/>
  <c r="R3" i="27"/>
  <c r="N71" i="28"/>
  <c r="IE119" i="9"/>
  <c r="P71" i="27" s="1"/>
  <c r="N45" i="28"/>
  <c r="IE116" i="9"/>
  <c r="N45" i="27" s="1"/>
  <c r="J33" i="20"/>
  <c r="T33" i="22"/>
  <c r="EX45" i="9"/>
  <c r="EV45" i="9" s="1"/>
  <c r="L33" i="20" s="1"/>
  <c r="W52" i="25"/>
  <c r="HI89" i="9"/>
  <c r="Q52" i="25" s="1"/>
  <c r="U55" i="24"/>
  <c r="GW92" i="9"/>
  <c r="P55" i="24" s="1"/>
  <c r="R30" i="28"/>
  <c r="N96" i="32"/>
  <c r="R96" i="32"/>
  <c r="P96" i="32"/>
  <c r="Q96" i="32"/>
  <c r="O96" i="32"/>
  <c r="N96" i="24"/>
  <c r="K96" i="24" s="1"/>
  <c r="P105" i="22"/>
  <c r="P38" i="28"/>
  <c r="EX40" i="9"/>
  <c r="EW40" i="9" s="1"/>
  <c r="Q7" i="28"/>
  <c r="N69" i="28"/>
  <c r="IE64" i="9"/>
  <c r="O69" i="27" s="1"/>
  <c r="R49" i="32"/>
  <c r="Q49" i="32"/>
  <c r="P49" i="32"/>
  <c r="O49" i="32"/>
  <c r="N49" i="32"/>
  <c r="N53" i="24"/>
  <c r="K53" i="24" s="1"/>
  <c r="P11" i="22"/>
  <c r="U68" i="23"/>
  <c r="GH89" i="9"/>
  <c r="O68" i="23" s="1"/>
  <c r="FB89" i="9"/>
  <c r="Q5" i="28"/>
  <c r="R14" i="28"/>
  <c r="Q42" i="28"/>
  <c r="R46" i="28"/>
  <c r="I4" i="26"/>
  <c r="L4" i="26"/>
  <c r="K61" i="24"/>
  <c r="R50" i="28"/>
  <c r="I25" i="26"/>
  <c r="L25" i="26"/>
  <c r="Q16" i="28"/>
  <c r="T51" i="22"/>
  <c r="J51" i="20"/>
  <c r="EX63" i="9"/>
  <c r="EV63" i="9" s="1"/>
  <c r="L51" i="20" s="1"/>
  <c r="J43" i="20"/>
  <c r="T43" i="22"/>
  <c r="EX15" i="9"/>
  <c r="EV15" i="9" s="1"/>
  <c r="L43" i="20" s="1"/>
  <c r="T91" i="22"/>
  <c r="J91" i="20"/>
  <c r="EX118" i="9"/>
  <c r="EV118" i="9" s="1"/>
  <c r="L91" i="20" s="1"/>
  <c r="N29" i="28"/>
  <c r="IE52" i="9"/>
  <c r="O29" i="27" s="1"/>
  <c r="L31" i="23"/>
  <c r="R101" i="32"/>
  <c r="Q101" i="32"/>
  <c r="P101" i="32"/>
  <c r="O101" i="32"/>
  <c r="N101" i="32"/>
  <c r="P80" i="22"/>
  <c r="N101" i="24"/>
  <c r="K101" i="24" s="1"/>
  <c r="EX25" i="9"/>
  <c r="EW25" i="9" s="1"/>
  <c r="T78" i="25"/>
  <c r="W80" i="22"/>
  <c r="FG146" i="9"/>
  <c r="IE80" i="9"/>
  <c r="AA100" i="23"/>
  <c r="GH147" i="9"/>
  <c r="O100" i="23" s="1"/>
  <c r="R90" i="32"/>
  <c r="Q90" i="32"/>
  <c r="P90" i="32"/>
  <c r="O90" i="32"/>
  <c r="N90" i="32"/>
  <c r="N90" i="24"/>
  <c r="P91" i="22"/>
  <c r="P72" i="32"/>
  <c r="O72" i="32"/>
  <c r="N72" i="32"/>
  <c r="Q72" i="32"/>
  <c r="R72" i="32"/>
  <c r="N72" i="24"/>
  <c r="K72" i="24" s="1"/>
  <c r="P48" i="22"/>
  <c r="R82" i="28"/>
  <c r="Q55" i="28"/>
  <c r="P10" i="32"/>
  <c r="O10" i="32"/>
  <c r="N10" i="32"/>
  <c r="R10" i="32"/>
  <c r="Q10" i="32"/>
  <c r="N10" i="24"/>
  <c r="K10" i="24" s="1"/>
  <c r="P13" i="22"/>
  <c r="O53" i="28"/>
  <c r="R54" i="30"/>
  <c r="Q54" i="30"/>
  <c r="P54" i="30"/>
  <c r="O54" i="30"/>
  <c r="N54" i="30"/>
  <c r="O60" i="22"/>
  <c r="N55" i="23"/>
  <c r="K55" i="23" s="1"/>
  <c r="N77" i="28"/>
  <c r="IE124" i="9"/>
  <c r="P77" i="27" s="1"/>
  <c r="P8" i="36"/>
  <c r="O8" i="36"/>
  <c r="R8" i="36"/>
  <c r="Q8" i="36"/>
  <c r="N8" i="36"/>
  <c r="N8" i="26"/>
  <c r="R8" i="22"/>
  <c r="T22" i="22"/>
  <c r="J22" i="20"/>
  <c r="EX13" i="9"/>
  <c r="EV13" i="9" s="1"/>
  <c r="L22" i="20" s="1"/>
  <c r="R104" i="28"/>
  <c r="L95" i="25"/>
  <c r="R57" i="30"/>
  <c r="Q57" i="30"/>
  <c r="P57" i="30"/>
  <c r="O57" i="30"/>
  <c r="N57" i="30"/>
  <c r="N56" i="23"/>
  <c r="O53" i="22"/>
  <c r="EX20" i="9"/>
  <c r="EW20" i="9" s="1"/>
  <c r="IF146" i="9"/>
  <c r="R47" i="28"/>
  <c r="R6" i="28"/>
  <c r="IE128" i="9"/>
  <c r="R104" i="34"/>
  <c r="Q104" i="34"/>
  <c r="P104" i="34"/>
  <c r="N104" i="34"/>
  <c r="O104" i="34"/>
  <c r="N104" i="25"/>
  <c r="K104" i="25" s="1"/>
  <c r="Q24" i="22"/>
  <c r="Q8" i="28"/>
  <c r="R97" i="28"/>
  <c r="Q57" i="34"/>
  <c r="R57" i="34"/>
  <c r="P57" i="34"/>
  <c r="O57" i="34"/>
  <c r="N57" i="34"/>
  <c r="N57" i="25"/>
  <c r="K57" i="25" s="1"/>
  <c r="Q74" i="22"/>
  <c r="R71" i="34"/>
  <c r="Q71" i="34"/>
  <c r="P71" i="34"/>
  <c r="O71" i="34"/>
  <c r="N71" i="34"/>
  <c r="N71" i="25"/>
  <c r="K71" i="25" s="1"/>
  <c r="Q39" i="22"/>
  <c r="O92" i="28"/>
  <c r="R24" i="28"/>
  <c r="X42" i="23"/>
  <c r="GQ28" i="9"/>
  <c r="R42" i="23" s="1"/>
  <c r="Q61" i="28"/>
  <c r="Z15" i="26"/>
  <c r="HR29" i="9"/>
  <c r="P15" i="26" s="1"/>
  <c r="Q23" i="32"/>
  <c r="P23" i="32"/>
  <c r="O23" i="32"/>
  <c r="N23" i="32"/>
  <c r="R23" i="32"/>
  <c r="N23" i="24"/>
  <c r="K23" i="24" s="1"/>
  <c r="P28" i="22"/>
  <c r="R71" i="28"/>
  <c r="R102" i="32"/>
  <c r="Q102" i="32"/>
  <c r="P102" i="32"/>
  <c r="O102" i="32"/>
  <c r="N102" i="32"/>
  <c r="P100" i="22"/>
  <c r="N102" i="24"/>
  <c r="K102" i="24" s="1"/>
  <c r="Q45" i="28"/>
  <c r="R93" i="34"/>
  <c r="Q93" i="34"/>
  <c r="O93" i="34"/>
  <c r="N93" i="34"/>
  <c r="P93" i="34"/>
  <c r="N93" i="25"/>
  <c r="K93" i="25" s="1"/>
  <c r="Q96" i="22"/>
  <c r="X92" i="25"/>
  <c r="HL147" i="9"/>
  <c r="R92" i="25" s="1"/>
  <c r="T55" i="24"/>
  <c r="FE92" i="9"/>
  <c r="GT92" i="9"/>
  <c r="O55" i="24" s="1"/>
  <c r="IE83" i="9"/>
  <c r="R48" i="28"/>
  <c r="R31" i="30"/>
  <c r="Q31" i="30"/>
  <c r="P31" i="30"/>
  <c r="O31" i="30"/>
  <c r="N31" i="30"/>
  <c r="N26" i="23"/>
  <c r="K26" i="23" s="1"/>
  <c r="O26" i="22"/>
  <c r="P11" i="28"/>
  <c r="R92" i="30"/>
  <c r="N92" i="30"/>
  <c r="Q92" i="30"/>
  <c r="P92" i="30"/>
  <c r="O87" i="22"/>
  <c r="O92" i="30"/>
  <c r="N93" i="23"/>
  <c r="K93" i="23" s="1"/>
  <c r="N25" i="28"/>
  <c r="N3" i="28"/>
  <c r="N3" i="27"/>
  <c r="IE8" i="9"/>
  <c r="P3" i="27" s="1"/>
  <c r="O30" i="28"/>
  <c r="T99" i="22"/>
  <c r="J99" i="20"/>
  <c r="EX144" i="9"/>
  <c r="EV144" i="9" s="1"/>
  <c r="L99" i="20" s="1"/>
  <c r="L61" i="25"/>
  <c r="O47" i="34"/>
  <c r="N47" i="34"/>
  <c r="P47" i="34"/>
  <c r="R47" i="34"/>
  <c r="Q47" i="34"/>
  <c r="N38" i="25"/>
  <c r="Q55" i="22"/>
  <c r="P48" i="28"/>
  <c r="R31" i="32"/>
  <c r="Q31" i="32"/>
  <c r="O31" i="32"/>
  <c r="P31" i="32"/>
  <c r="N31" i="32"/>
  <c r="N30" i="24"/>
  <c r="K30" i="24" s="1"/>
  <c r="P26" i="22"/>
  <c r="R70" i="32"/>
  <c r="N70" i="32"/>
  <c r="Q70" i="32"/>
  <c r="P70" i="32"/>
  <c r="O70" i="32"/>
  <c r="N70" i="24"/>
  <c r="K70" i="24" s="1"/>
  <c r="P64" i="22"/>
  <c r="P21" i="34"/>
  <c r="O21" i="34"/>
  <c r="N21" i="34"/>
  <c r="R21" i="34"/>
  <c r="Q21" i="34"/>
  <c r="N22" i="25"/>
  <c r="K22" i="25" s="1"/>
  <c r="Q30" i="22"/>
  <c r="P7" i="30"/>
  <c r="O7" i="30"/>
  <c r="N7" i="30"/>
  <c r="R7" i="30"/>
  <c r="Q7" i="30"/>
  <c r="N10" i="23"/>
  <c r="K10" i="23" s="1"/>
  <c r="O11" i="22"/>
  <c r="Q103" i="28"/>
  <c r="O32" i="28"/>
  <c r="Q11" i="28"/>
  <c r="Q101" i="30"/>
  <c r="R101" i="30"/>
  <c r="P101" i="30"/>
  <c r="O101" i="30"/>
  <c r="N101" i="30"/>
  <c r="N101" i="23"/>
  <c r="K101" i="23" s="1"/>
  <c r="O101" i="22"/>
  <c r="R89" i="34"/>
  <c r="Q89" i="34"/>
  <c r="P89" i="34"/>
  <c r="O89" i="34"/>
  <c r="N89" i="34"/>
  <c r="N87" i="25"/>
  <c r="K87" i="25" s="1"/>
  <c r="Q58" i="22"/>
  <c r="I81" i="26"/>
  <c r="K81" i="26"/>
  <c r="R69" i="28"/>
  <c r="R70" i="36"/>
  <c r="Q70" i="36"/>
  <c r="P70" i="36"/>
  <c r="O70" i="36"/>
  <c r="N70" i="36"/>
  <c r="N67" i="26"/>
  <c r="K67" i="26" s="1"/>
  <c r="R71" i="22"/>
  <c r="P103" i="28"/>
  <c r="O87" i="28"/>
  <c r="IE153" i="9"/>
  <c r="R16" i="36"/>
  <c r="Q16" i="36"/>
  <c r="P16" i="36"/>
  <c r="O16" i="36"/>
  <c r="N16" i="36"/>
  <c r="R3" i="36"/>
  <c r="Q3" i="36"/>
  <c r="P3" i="36"/>
  <c r="O3" i="36"/>
  <c r="N3" i="36"/>
  <c r="N23" i="26"/>
  <c r="K23" i="26" s="1"/>
  <c r="N3" i="26"/>
  <c r="K3" i="26" s="1"/>
  <c r="R31" i="22"/>
  <c r="R3" i="22"/>
  <c r="P76" i="28"/>
  <c r="J17" i="20"/>
  <c r="T17" i="22"/>
  <c r="EX84" i="9"/>
  <c r="EV84" i="9" s="1"/>
  <c r="L17" i="20" s="1"/>
  <c r="R25" i="36"/>
  <c r="Q25" i="36"/>
  <c r="P25" i="36"/>
  <c r="O25" i="36"/>
  <c r="N25" i="36"/>
  <c r="N27" i="26"/>
  <c r="K27" i="26" s="1"/>
  <c r="R30" i="22"/>
  <c r="N5" i="28"/>
  <c r="IE58" i="9"/>
  <c r="N5" i="27" s="1"/>
  <c r="R15" i="30"/>
  <c r="Q15" i="30"/>
  <c r="P15" i="30"/>
  <c r="O15" i="30"/>
  <c r="N15" i="30"/>
  <c r="O23" i="22"/>
  <c r="N21" i="23"/>
  <c r="K21" i="23" s="1"/>
  <c r="R33" i="36"/>
  <c r="Q33" i="36"/>
  <c r="P33" i="36"/>
  <c r="O33" i="36"/>
  <c r="N33" i="36"/>
  <c r="N30" i="26"/>
  <c r="K30" i="26" s="1"/>
  <c r="R29" i="22"/>
  <c r="P95" i="28"/>
  <c r="N37" i="30"/>
  <c r="O37" i="30"/>
  <c r="R37" i="30"/>
  <c r="Q37" i="30"/>
  <c r="P37" i="30"/>
  <c r="N40" i="23"/>
  <c r="K40" i="23" s="1"/>
  <c r="O41" i="22"/>
  <c r="P41" i="28"/>
  <c r="T16" i="22"/>
  <c r="J16" i="20"/>
  <c r="EX94" i="9"/>
  <c r="EV94" i="9" s="1"/>
  <c r="L16" i="20" s="1"/>
  <c r="R49" i="28"/>
  <c r="N75" i="28"/>
  <c r="IE135" i="9"/>
  <c r="N75" i="27" s="1"/>
  <c r="Q83" i="30"/>
  <c r="N83" i="30"/>
  <c r="O83" i="30"/>
  <c r="R83" i="30"/>
  <c r="P83" i="30"/>
  <c r="O91" i="22"/>
  <c r="N88" i="23"/>
  <c r="K88" i="23" s="1"/>
  <c r="AA16" i="23"/>
  <c r="GH44" i="9"/>
  <c r="O16" i="23" s="1"/>
  <c r="W100" i="23"/>
  <c r="GN147" i="9"/>
  <c r="Q100" i="23" s="1"/>
  <c r="FB147" i="9"/>
  <c r="AB100" i="23"/>
  <c r="GK147" i="9"/>
  <c r="P100" i="23" s="1"/>
  <c r="P36" i="28"/>
  <c r="O81" i="30"/>
  <c r="N81" i="30"/>
  <c r="P81" i="30"/>
  <c r="R81" i="30"/>
  <c r="Q81" i="30"/>
  <c r="N79" i="23"/>
  <c r="K79" i="23" s="1"/>
  <c r="O79" i="22"/>
  <c r="R55" i="28"/>
  <c r="HI29" i="9"/>
  <c r="Q16" i="25" s="1"/>
  <c r="P53" i="28"/>
  <c r="O60" i="28"/>
  <c r="Q77" i="28"/>
  <c r="R43" i="28"/>
  <c r="Q13" i="28"/>
  <c r="Q104" i="28"/>
  <c r="EX98" i="9"/>
  <c r="EW98" i="9" s="1"/>
  <c r="P52" i="28"/>
  <c r="P34" i="28"/>
  <c r="N55" i="34"/>
  <c r="R55" i="34"/>
  <c r="Q55" i="34"/>
  <c r="P55" i="34"/>
  <c r="O55" i="34"/>
  <c r="N50" i="25"/>
  <c r="K50" i="25" s="1"/>
  <c r="Q53" i="22"/>
  <c r="Q76" i="28"/>
  <c r="Y99" i="26"/>
  <c r="HO147" i="9"/>
  <c r="O99" i="26" s="1"/>
  <c r="R46" i="30"/>
  <c r="Q46" i="30"/>
  <c r="P46" i="30"/>
  <c r="O46" i="30"/>
  <c r="N46" i="30"/>
  <c r="N45" i="23"/>
  <c r="K45" i="23" s="1"/>
  <c r="O48" i="22"/>
  <c r="Q56" i="28"/>
  <c r="Q13" i="34"/>
  <c r="R13" i="34"/>
  <c r="P13" i="34"/>
  <c r="O13" i="34"/>
  <c r="N13" i="34"/>
  <c r="N11" i="25"/>
  <c r="K11" i="25" s="1"/>
  <c r="Q10" i="22"/>
  <c r="R49" i="34"/>
  <c r="Q49" i="34"/>
  <c r="P49" i="34"/>
  <c r="O49" i="34"/>
  <c r="N49" i="34"/>
  <c r="N48" i="25"/>
  <c r="K48" i="25" s="1"/>
  <c r="Q61" i="22"/>
  <c r="O8" i="30"/>
  <c r="N8" i="30"/>
  <c r="R8" i="30"/>
  <c r="Q8" i="30"/>
  <c r="P8" i="30"/>
  <c r="N7" i="23"/>
  <c r="O9" i="22"/>
  <c r="T95" i="22"/>
  <c r="J95" i="20"/>
  <c r="EX137" i="9"/>
  <c r="EV137" i="9" s="1"/>
  <c r="L95" i="20" s="1"/>
  <c r="J94" i="20"/>
  <c r="T94" i="22"/>
  <c r="EX149" i="9"/>
  <c r="IG31" i="9"/>
  <c r="IF56" i="9"/>
  <c r="IE154" i="9"/>
  <c r="I3" i="23"/>
  <c r="L3" i="23"/>
  <c r="R4" i="30"/>
  <c r="Q4" i="30"/>
  <c r="P4" i="30"/>
  <c r="O4" i="30"/>
  <c r="N4" i="30"/>
  <c r="N4" i="23"/>
  <c r="K4" i="23" s="1"/>
  <c r="O4" i="22"/>
  <c r="T58" i="22"/>
  <c r="J58" i="20"/>
  <c r="EX43" i="9"/>
  <c r="EV43" i="9" s="1"/>
  <c r="L58" i="20" s="1"/>
  <c r="GN29" i="9"/>
  <c r="Q15" i="23" s="1"/>
  <c r="R77" i="36"/>
  <c r="Q77" i="36"/>
  <c r="P77" i="36"/>
  <c r="O77" i="36"/>
  <c r="N77" i="36"/>
  <c r="N78" i="26"/>
  <c r="K78" i="26" s="1"/>
  <c r="R78" i="22"/>
  <c r="EX86" i="9"/>
  <c r="EW86" i="9" s="1"/>
  <c r="J56" i="20"/>
  <c r="T56" i="22"/>
  <c r="EX116" i="9"/>
  <c r="EV116" i="9" s="1"/>
  <c r="L56" i="20" s="1"/>
  <c r="HG78" i="9"/>
  <c r="HS78" i="9"/>
  <c r="HM78" i="9"/>
  <c r="HP78" i="9"/>
  <c r="GR78" i="9"/>
  <c r="GO78" i="9"/>
  <c r="V99" i="26"/>
  <c r="HU147" i="9"/>
  <c r="Q99" i="26" s="1"/>
  <c r="FK147" i="9"/>
  <c r="R42" i="32"/>
  <c r="Q42" i="32"/>
  <c r="P42" i="32"/>
  <c r="N42" i="32"/>
  <c r="O42" i="32"/>
  <c r="N40" i="24"/>
  <c r="K40" i="24" s="1"/>
  <c r="P52" i="22"/>
  <c r="V88" i="25"/>
  <c r="HF92" i="9"/>
  <c r="P88" i="25" s="1"/>
  <c r="R5" i="36"/>
  <c r="Q5" i="36"/>
  <c r="P5" i="36"/>
  <c r="O5" i="36"/>
  <c r="N5" i="36"/>
  <c r="N5" i="26"/>
  <c r="K5" i="26" s="1"/>
  <c r="R5" i="22"/>
  <c r="O11" i="28"/>
  <c r="O97" i="34"/>
  <c r="N97" i="34"/>
  <c r="Q97" i="34"/>
  <c r="P97" i="34"/>
  <c r="R97" i="34"/>
  <c r="N97" i="25"/>
  <c r="Q105" i="22"/>
  <c r="R66" i="30"/>
  <c r="N66" i="30"/>
  <c r="O66" i="30"/>
  <c r="Q66" i="30"/>
  <c r="P66" i="30"/>
  <c r="N67" i="23"/>
  <c r="K67" i="23" s="1"/>
  <c r="O68" i="22"/>
  <c r="R100" i="28"/>
  <c r="T101" i="22"/>
  <c r="J101" i="20"/>
  <c r="EX48" i="9"/>
  <c r="EV48" i="9" s="1"/>
  <c r="L101" i="20" s="1"/>
  <c r="N63" i="28"/>
  <c r="IE150" i="9"/>
  <c r="Q63" i="27" s="1"/>
  <c r="P80" i="36"/>
  <c r="O80" i="36"/>
  <c r="N80" i="36"/>
  <c r="R80" i="36"/>
  <c r="Q80" i="36"/>
  <c r="N79" i="26"/>
  <c r="K79" i="26" s="1"/>
  <c r="R80" i="22"/>
  <c r="R28" i="32"/>
  <c r="Q28" i="32"/>
  <c r="P28" i="32"/>
  <c r="O28" i="32"/>
  <c r="N28" i="32"/>
  <c r="N26" i="24"/>
  <c r="P39" i="22"/>
  <c r="R14" i="36"/>
  <c r="Q14" i="36"/>
  <c r="P14" i="36"/>
  <c r="O14" i="36"/>
  <c r="N14" i="36"/>
  <c r="N11" i="26"/>
  <c r="K11" i="26" s="1"/>
  <c r="R12" i="22"/>
  <c r="I103" i="26"/>
  <c r="L103" i="26"/>
  <c r="N95" i="28"/>
  <c r="IE117" i="9"/>
  <c r="P95" i="27" s="1"/>
  <c r="Q51" i="32"/>
  <c r="P51" i="32"/>
  <c r="O51" i="32"/>
  <c r="N51" i="32"/>
  <c r="R51" i="32"/>
  <c r="N52" i="24"/>
  <c r="P61" i="22"/>
  <c r="N12" i="28"/>
  <c r="IE113" i="9"/>
  <c r="Q12" i="27" s="1"/>
  <c r="Q100" i="28"/>
  <c r="EX100" i="9"/>
  <c r="EW100" i="9" s="1"/>
  <c r="EX83" i="9"/>
  <c r="EW83" i="9" s="1"/>
  <c r="EX55" i="9"/>
  <c r="EW55" i="9" s="1"/>
  <c r="X23" i="23"/>
  <c r="GQ24" i="9"/>
  <c r="R23" i="23" s="1"/>
  <c r="P52" i="32"/>
  <c r="O52" i="32"/>
  <c r="N52" i="32"/>
  <c r="R52" i="32"/>
  <c r="Q52" i="32"/>
  <c r="N49" i="24"/>
  <c r="K49" i="24" s="1"/>
  <c r="P75" i="22"/>
  <c r="R7" i="28"/>
  <c r="R64" i="32"/>
  <c r="Q64" i="32"/>
  <c r="P64" i="32"/>
  <c r="O64" i="32"/>
  <c r="N64" i="32"/>
  <c r="N62" i="24"/>
  <c r="K62" i="24" s="1"/>
  <c r="P101" i="22"/>
  <c r="R16" i="30"/>
  <c r="Q16" i="30"/>
  <c r="P16" i="30"/>
  <c r="O16" i="30"/>
  <c r="N16" i="30"/>
  <c r="N24" i="23"/>
  <c r="K24" i="23" s="1"/>
  <c r="O24" i="22"/>
  <c r="Z14" i="22"/>
  <c r="K14" i="20"/>
  <c r="T26" i="22"/>
  <c r="J26" i="20"/>
  <c r="EX125" i="9"/>
  <c r="EV125" i="9" s="1"/>
  <c r="L26" i="20" s="1"/>
  <c r="P74" i="28"/>
  <c r="O101" i="28"/>
  <c r="IE126" i="9"/>
  <c r="J28" i="20"/>
  <c r="T28" i="22"/>
  <c r="EX19" i="9"/>
  <c r="EV19" i="9" s="1"/>
  <c r="L28" i="20" s="1"/>
  <c r="R19" i="28"/>
  <c r="R27" i="32"/>
  <c r="Q27" i="32"/>
  <c r="P27" i="32"/>
  <c r="O27" i="32"/>
  <c r="N27" i="32"/>
  <c r="N31" i="24"/>
  <c r="K31" i="24" s="1"/>
  <c r="P57" i="22"/>
  <c r="N86" i="36"/>
  <c r="R86" i="36"/>
  <c r="Q86" i="36"/>
  <c r="P86" i="36"/>
  <c r="O86" i="36"/>
  <c r="N84" i="26"/>
  <c r="K84" i="26" s="1"/>
  <c r="R85" i="22"/>
  <c r="Q22" i="28"/>
  <c r="T89" i="25"/>
  <c r="W54" i="22"/>
  <c r="FG139" i="9"/>
  <c r="Q6" i="30"/>
  <c r="P6" i="30"/>
  <c r="O6" i="30"/>
  <c r="N6" i="30"/>
  <c r="R6" i="30"/>
  <c r="N6" i="23"/>
  <c r="K6" i="23" s="1"/>
  <c r="O5" i="22"/>
  <c r="N14" i="28"/>
  <c r="IE14" i="9"/>
  <c r="N14" i="27" s="1"/>
  <c r="Q36" i="28"/>
  <c r="R42" i="28"/>
  <c r="R72" i="34"/>
  <c r="Q72" i="34"/>
  <c r="P72" i="34"/>
  <c r="O72" i="34"/>
  <c r="N72" i="34"/>
  <c r="N70" i="25"/>
  <c r="K70" i="25" s="1"/>
  <c r="Q38" i="22"/>
  <c r="EX33" i="9"/>
  <c r="EW33" i="9" s="1"/>
  <c r="R75" i="32"/>
  <c r="P75" i="32"/>
  <c r="O75" i="32"/>
  <c r="N75" i="32"/>
  <c r="Q75" i="32"/>
  <c r="N75" i="24"/>
  <c r="K75" i="24" s="1"/>
  <c r="P32" i="22"/>
  <c r="R102" i="30"/>
  <c r="N102" i="30"/>
  <c r="O102" i="30"/>
  <c r="P102" i="30"/>
  <c r="Q102" i="30"/>
  <c r="N103" i="23"/>
  <c r="K103" i="23" s="1"/>
  <c r="O102" i="22"/>
  <c r="Q20" i="30"/>
  <c r="P20" i="30"/>
  <c r="O20" i="30"/>
  <c r="N20" i="30"/>
  <c r="R20" i="30"/>
  <c r="N18" i="23"/>
  <c r="K18" i="23" s="1"/>
  <c r="O16" i="22"/>
  <c r="Q98" i="28"/>
  <c r="R15" i="36"/>
  <c r="Q15" i="36"/>
  <c r="P15" i="36"/>
  <c r="O15" i="36"/>
  <c r="N15" i="36"/>
  <c r="N21" i="26"/>
  <c r="K21" i="26" s="1"/>
  <c r="R22" i="22"/>
  <c r="Q49" i="28"/>
  <c r="P75" i="28"/>
  <c r="Q85" i="28"/>
  <c r="AB16" i="23"/>
  <c r="GK44" i="9"/>
  <c r="P16" i="23" s="1"/>
  <c r="R15" i="34"/>
  <c r="Q15" i="34"/>
  <c r="N15" i="34"/>
  <c r="P15" i="34"/>
  <c r="O15" i="34"/>
  <c r="N17" i="25"/>
  <c r="K17" i="25" s="1"/>
  <c r="Q15" i="22"/>
  <c r="N82" i="28"/>
  <c r="IE127" i="9"/>
  <c r="P82" i="27" s="1"/>
  <c r="V52" i="25"/>
  <c r="HF89" i="9"/>
  <c r="P52" i="25" s="1"/>
  <c r="R53" i="28"/>
  <c r="Q60" i="28"/>
  <c r="R77" i="28"/>
  <c r="Q43" i="28"/>
  <c r="O13" i="28"/>
  <c r="T103" i="22"/>
  <c r="J103" i="20"/>
  <c r="EX143" i="9"/>
  <c r="EV143" i="9" s="1"/>
  <c r="L103" i="20" s="1"/>
  <c r="Q52" i="28"/>
  <c r="Q34" i="28"/>
  <c r="Z99" i="26"/>
  <c r="HR147" i="9"/>
  <c r="P99" i="26" s="1"/>
  <c r="P47" i="28"/>
  <c r="R9" i="28"/>
  <c r="P56" i="28"/>
  <c r="R8" i="28"/>
  <c r="R77" i="34"/>
  <c r="Q77" i="34"/>
  <c r="P77" i="34"/>
  <c r="O77" i="34"/>
  <c r="N77" i="34"/>
  <c r="N75" i="25"/>
  <c r="K75" i="25" s="1"/>
  <c r="Q79" i="22"/>
  <c r="N97" i="28"/>
  <c r="IE137" i="9"/>
  <c r="R97" i="27" s="1"/>
  <c r="P92" i="28"/>
  <c r="IH31" i="9"/>
  <c r="R34" i="36"/>
  <c r="Q34" i="36"/>
  <c r="P34" i="36"/>
  <c r="O34" i="36"/>
  <c r="N34" i="36"/>
  <c r="N35" i="26"/>
  <c r="K35" i="26" s="1"/>
  <c r="R35" i="22"/>
  <c r="EX106" i="9"/>
  <c r="EW106" i="9" s="1"/>
  <c r="P43" i="34"/>
  <c r="N43" i="34"/>
  <c r="R43" i="34"/>
  <c r="Q43" i="34"/>
  <c r="O43" i="34"/>
  <c r="N36" i="25"/>
  <c r="K36" i="25" s="1"/>
  <c r="Q49" i="22"/>
  <c r="R4" i="28"/>
  <c r="P63" i="30"/>
  <c r="O63" i="30"/>
  <c r="N63" i="30"/>
  <c r="Q63" i="30"/>
  <c r="R63" i="30"/>
  <c r="N57" i="23"/>
  <c r="K57" i="23" s="1"/>
  <c r="O58" i="22"/>
  <c r="T41" i="24"/>
  <c r="GT89" i="9"/>
  <c r="O41" i="24" s="1"/>
  <c r="FE89" i="9"/>
  <c r="V11" i="24"/>
  <c r="GZ29" i="9"/>
  <c r="Q11" i="24" s="1"/>
  <c r="O45" i="28"/>
  <c r="N97" i="32"/>
  <c r="O97" i="32"/>
  <c r="R97" i="32"/>
  <c r="Q97" i="32"/>
  <c r="P97" i="32"/>
  <c r="N97" i="24"/>
  <c r="P102" i="22"/>
  <c r="R4" i="34"/>
  <c r="Q4" i="34"/>
  <c r="P4" i="34"/>
  <c r="O4" i="34"/>
  <c r="N4" i="34"/>
  <c r="N4" i="25"/>
  <c r="K4" i="25" s="1"/>
  <c r="Q4" i="22"/>
  <c r="U92" i="25"/>
  <c r="HC147" i="9"/>
  <c r="O92" i="25" s="1"/>
  <c r="FH147" i="9"/>
  <c r="U94" i="26"/>
  <c r="HR92" i="9"/>
  <c r="P94" i="26" s="1"/>
  <c r="FA9" i="9"/>
  <c r="IJ9" i="9"/>
  <c r="IH9" i="9"/>
  <c r="II9" i="9"/>
  <c r="EY9" i="9"/>
  <c r="IG9" i="9"/>
  <c r="IF9" i="9"/>
  <c r="O28" i="36"/>
  <c r="N28" i="36"/>
  <c r="R28" i="36"/>
  <c r="Q28" i="36"/>
  <c r="P28" i="36"/>
  <c r="N26" i="26"/>
  <c r="K26" i="26" s="1"/>
  <c r="R21" i="22"/>
  <c r="Q44" i="28"/>
  <c r="Q48" i="28"/>
  <c r="P32" i="28"/>
  <c r="T72" i="22"/>
  <c r="J72" i="20"/>
  <c r="EX17" i="9"/>
  <c r="EV17" i="9" s="1"/>
  <c r="L72" i="20" s="1"/>
  <c r="P95" i="34"/>
  <c r="R95" i="34"/>
  <c r="O95" i="34"/>
  <c r="N95" i="34"/>
  <c r="Q95" i="34"/>
  <c r="N94" i="25"/>
  <c r="Q102" i="22"/>
  <c r="R101" i="28"/>
  <c r="R87" i="28"/>
  <c r="EX153" i="9"/>
  <c r="EW153" i="9" s="1"/>
  <c r="T3" i="22"/>
  <c r="J3" i="20"/>
  <c r="T31" i="22"/>
  <c r="J31" i="20"/>
  <c r="N3" i="20"/>
  <c r="EX8" i="9"/>
  <c r="EV8" i="9" s="1"/>
  <c r="L31" i="20" s="1"/>
  <c r="T15" i="22"/>
  <c r="J15" i="20"/>
  <c r="EX113" i="9"/>
  <c r="EV113" i="9" s="1"/>
  <c r="L15" i="20" s="1"/>
  <c r="N100" i="30"/>
  <c r="R100" i="30"/>
  <c r="P100" i="30"/>
  <c r="O100" i="30"/>
  <c r="Q100" i="30"/>
  <c r="N99" i="23"/>
  <c r="O99" i="22"/>
  <c r="IE37" i="9"/>
  <c r="W21" i="25"/>
  <c r="HI24" i="9"/>
  <c r="Q21" i="25" s="1"/>
  <c r="O96" i="34"/>
  <c r="R96" i="34"/>
  <c r="P96" i="34"/>
  <c r="N96" i="34"/>
  <c r="Q96" i="34"/>
  <c r="N96" i="25"/>
  <c r="Q99" i="22"/>
  <c r="J11" i="20"/>
  <c r="T11" i="22"/>
  <c r="EX12" i="9"/>
  <c r="EV12" i="9" s="1"/>
  <c r="L11" i="20" s="1"/>
  <c r="N20" i="28"/>
  <c r="IE11" i="9"/>
  <c r="N20" i="27" s="1"/>
  <c r="Q45" i="32"/>
  <c r="R45" i="32"/>
  <c r="P45" i="32"/>
  <c r="O45" i="32"/>
  <c r="N45" i="32"/>
  <c r="N45" i="24"/>
  <c r="K45" i="24" s="1"/>
  <c r="P41" i="22"/>
  <c r="Q32" i="28"/>
  <c r="N74" i="28"/>
  <c r="IE81" i="9"/>
  <c r="P74" i="27" s="1"/>
  <c r="N101" i="28"/>
  <c r="IE48" i="9"/>
  <c r="O101" i="27" s="1"/>
  <c r="S43" i="24"/>
  <c r="V54" i="22"/>
  <c r="FD139" i="9"/>
  <c r="P23" i="34"/>
  <c r="N23" i="34"/>
  <c r="Q23" i="34"/>
  <c r="R23" i="34"/>
  <c r="O23" i="34"/>
  <c r="N27" i="25"/>
  <c r="K27" i="25" s="1"/>
  <c r="Q35" i="22"/>
  <c r="R26" i="28"/>
  <c r="K103" i="26"/>
  <c r="R61" i="36"/>
  <c r="Q61" i="36"/>
  <c r="P61" i="36"/>
  <c r="O61" i="36"/>
  <c r="N61" i="36"/>
  <c r="N59" i="26"/>
  <c r="K59" i="26" s="1"/>
  <c r="R58" i="22"/>
  <c r="Q66" i="34"/>
  <c r="R66" i="34"/>
  <c r="P66" i="34"/>
  <c r="N66" i="34"/>
  <c r="O66" i="34"/>
  <c r="N60" i="25"/>
  <c r="K60" i="25" s="1"/>
  <c r="Q70" i="22"/>
  <c r="P22" i="28"/>
  <c r="K25" i="26"/>
  <c r="P5" i="28"/>
  <c r="IE26" i="9"/>
  <c r="EX69" i="9"/>
  <c r="EW69" i="9" s="1"/>
  <c r="N58" i="28"/>
  <c r="IE61" i="9"/>
  <c r="Q58" i="27" s="1"/>
  <c r="R78" i="32"/>
  <c r="Q78" i="32"/>
  <c r="P78" i="32"/>
  <c r="O78" i="32"/>
  <c r="N78" i="32"/>
  <c r="N78" i="24"/>
  <c r="P63" i="22"/>
  <c r="O102" i="28"/>
  <c r="N98" i="34"/>
  <c r="R98" i="34"/>
  <c r="Q98" i="34"/>
  <c r="P98" i="34"/>
  <c r="O98" i="34"/>
  <c r="N99" i="25"/>
  <c r="K99" i="25" s="1"/>
  <c r="Q88" i="22"/>
  <c r="GX88" i="9"/>
  <c r="GW88" i="9" s="1"/>
  <c r="R16" i="28"/>
  <c r="R98" i="28"/>
  <c r="Q48" i="30"/>
  <c r="P48" i="30"/>
  <c r="O48" i="30"/>
  <c r="N48" i="30"/>
  <c r="R48" i="30"/>
  <c r="N49" i="23"/>
  <c r="O51" i="22"/>
  <c r="Q75" i="28"/>
  <c r="O85" i="28"/>
  <c r="P67" i="34"/>
  <c r="R67" i="34"/>
  <c r="Q67" i="34"/>
  <c r="O67" i="34"/>
  <c r="N67" i="34"/>
  <c r="N68" i="25"/>
  <c r="K68" i="25" s="1"/>
  <c r="Q81" i="22"/>
  <c r="P44" i="34"/>
  <c r="N44" i="34"/>
  <c r="Q44" i="34"/>
  <c r="R44" i="34"/>
  <c r="O44" i="34"/>
  <c r="N53" i="25"/>
  <c r="K53" i="25" s="1"/>
  <c r="Q72" i="22"/>
  <c r="AC16" i="23"/>
  <c r="GN44" i="9"/>
  <c r="Q16" i="23" s="1"/>
  <c r="R11" i="34"/>
  <c r="Q11" i="34"/>
  <c r="P11" i="34"/>
  <c r="N11" i="34"/>
  <c r="O11" i="34"/>
  <c r="N10" i="25"/>
  <c r="K10" i="25" s="1"/>
  <c r="Q13" i="22"/>
  <c r="HU44" i="9"/>
  <c r="Q14" i="26" s="1"/>
  <c r="J79" i="20"/>
  <c r="T79" i="22"/>
  <c r="EX127" i="9"/>
  <c r="N54" i="36"/>
  <c r="O54" i="36"/>
  <c r="R54" i="36"/>
  <c r="Q54" i="36"/>
  <c r="P54" i="36"/>
  <c r="N56" i="26"/>
  <c r="R61" i="22"/>
  <c r="N53" i="28"/>
  <c r="IE42" i="9"/>
  <c r="P53" i="27" s="1"/>
  <c r="T83" i="22"/>
  <c r="J83" i="20"/>
  <c r="EX132" i="9"/>
  <c r="O37" i="36"/>
  <c r="N37" i="36"/>
  <c r="R37" i="36"/>
  <c r="Q37" i="36"/>
  <c r="P37" i="36"/>
  <c r="N36" i="26"/>
  <c r="K36" i="26" s="1"/>
  <c r="R37" i="22"/>
  <c r="T70" i="22"/>
  <c r="J70" i="20"/>
  <c r="EX124" i="9"/>
  <c r="EV124" i="9" s="1"/>
  <c r="L70" i="20" s="1"/>
  <c r="R42" i="30"/>
  <c r="Q42" i="30"/>
  <c r="P42" i="30"/>
  <c r="O42" i="30"/>
  <c r="N42" i="30"/>
  <c r="O38" i="22"/>
  <c r="N37" i="23"/>
  <c r="R13" i="28"/>
  <c r="R104" i="30"/>
  <c r="N104" i="30"/>
  <c r="O104" i="30"/>
  <c r="P104" i="30"/>
  <c r="Q104" i="30"/>
  <c r="N102" i="23"/>
  <c r="K102" i="23" s="1"/>
  <c r="O103" i="22"/>
  <c r="T53" i="22"/>
  <c r="J53" i="20"/>
  <c r="EX60" i="9"/>
  <c r="EV60" i="9" s="1"/>
  <c r="L53" i="20" s="1"/>
  <c r="O40" i="34"/>
  <c r="P40" i="34"/>
  <c r="N40" i="34"/>
  <c r="Q40" i="34"/>
  <c r="R40" i="34"/>
  <c r="N35" i="25"/>
  <c r="K35" i="25" s="1"/>
  <c r="Q25" i="22"/>
  <c r="W30" i="25"/>
  <c r="HI28" i="9"/>
  <c r="Q30" i="25" s="1"/>
  <c r="Q34" i="30"/>
  <c r="P34" i="30"/>
  <c r="O34" i="30"/>
  <c r="N34" i="30"/>
  <c r="R34" i="30"/>
  <c r="O35" i="22"/>
  <c r="N35" i="23"/>
  <c r="K35" i="23" s="1"/>
  <c r="N47" i="28"/>
  <c r="IE62" i="9"/>
  <c r="R47" i="27" s="1"/>
  <c r="Q51" i="36"/>
  <c r="P51" i="36"/>
  <c r="O51" i="36"/>
  <c r="N51" i="36"/>
  <c r="R51" i="36"/>
  <c r="N64" i="26"/>
  <c r="K64" i="26" s="1"/>
  <c r="R67" i="22"/>
  <c r="P38" i="32"/>
  <c r="O38" i="32"/>
  <c r="N38" i="32"/>
  <c r="R38" i="32"/>
  <c r="Q38" i="32"/>
  <c r="N38" i="24"/>
  <c r="K38" i="24" s="1"/>
  <c r="P73" i="22"/>
  <c r="N9" i="28"/>
  <c r="IE67" i="9"/>
  <c r="R9" i="27" s="1"/>
  <c r="R56" i="28"/>
  <c r="N30" i="36"/>
  <c r="R30" i="36"/>
  <c r="Q30" i="36"/>
  <c r="P30" i="36"/>
  <c r="O30" i="36"/>
  <c r="N31" i="26"/>
  <c r="K31" i="26" s="1"/>
  <c r="R32" i="22"/>
  <c r="N60" i="32"/>
  <c r="O60" i="32"/>
  <c r="R60" i="32"/>
  <c r="Q60" i="32"/>
  <c r="P60" i="32"/>
  <c r="N59" i="24"/>
  <c r="K59" i="24" s="1"/>
  <c r="P99" i="22"/>
  <c r="R95" i="30"/>
  <c r="P95" i="30"/>
  <c r="N95" i="30"/>
  <c r="O95" i="22"/>
  <c r="Q95" i="30"/>
  <c r="O95" i="30"/>
  <c r="N92" i="23"/>
  <c r="T45" i="26"/>
  <c r="HO28" i="9"/>
  <c r="O45" i="26" s="1"/>
  <c r="FK28" i="9"/>
  <c r="N90" i="30"/>
  <c r="O90" i="30"/>
  <c r="R90" i="30"/>
  <c r="Q90" i="30"/>
  <c r="P90" i="30"/>
  <c r="N91" i="23"/>
  <c r="K91" i="23" s="1"/>
  <c r="O94" i="22"/>
  <c r="II31" i="9"/>
  <c r="EX154" i="9"/>
  <c r="EW154" i="9" s="1"/>
  <c r="T40" i="22"/>
  <c r="J40" i="20"/>
  <c r="EX120" i="9"/>
  <c r="EV120" i="9" s="1"/>
  <c r="L40" i="20" s="1"/>
  <c r="EX99" i="9"/>
  <c r="EW99" i="9" s="1"/>
  <c r="Q4" i="28"/>
  <c r="N61" i="28"/>
  <c r="IE43" i="9"/>
  <c r="Q61" i="27" s="1"/>
  <c r="R68" i="28"/>
  <c r="P45" i="28"/>
  <c r="EV131" i="9"/>
  <c r="W92" i="25"/>
  <c r="HI147" i="9"/>
  <c r="Q92" i="25" s="1"/>
  <c r="X96" i="23"/>
  <c r="GQ92" i="9"/>
  <c r="R96" i="23" s="1"/>
  <c r="EX38" i="9"/>
  <c r="EW38" i="9" s="1"/>
  <c r="U21" i="25"/>
  <c r="FH24" i="9"/>
  <c r="HC24" i="9"/>
  <c r="O21" i="25" s="1"/>
  <c r="X68" i="23"/>
  <c r="GQ89" i="9"/>
  <c r="R68" i="23" s="1"/>
  <c r="O7" i="28"/>
  <c r="O20" i="28"/>
  <c r="R32" i="28"/>
  <c r="R72" i="30"/>
  <c r="Q72" i="30"/>
  <c r="P72" i="30"/>
  <c r="O72" i="30"/>
  <c r="N72" i="30"/>
  <c r="N71" i="23"/>
  <c r="O71" i="22"/>
  <c r="N59" i="28"/>
  <c r="IE16" i="9"/>
  <c r="R59" i="27" s="1"/>
  <c r="O9" i="36"/>
  <c r="N9" i="36"/>
  <c r="P9" i="36"/>
  <c r="R9" i="36"/>
  <c r="Q9" i="36"/>
  <c r="N10" i="26"/>
  <c r="K10" i="26" s="1"/>
  <c r="R11" i="22"/>
  <c r="R25" i="30"/>
  <c r="Q25" i="30"/>
  <c r="P25" i="30"/>
  <c r="O25" i="30"/>
  <c r="N25" i="30"/>
  <c r="O28" i="22"/>
  <c r="N30" i="23"/>
  <c r="K30" i="23" s="1"/>
  <c r="R76" i="28"/>
  <c r="R22" i="28"/>
  <c r="N96" i="36"/>
  <c r="R96" i="36"/>
  <c r="Q96" i="36"/>
  <c r="P96" i="36"/>
  <c r="O96" i="36"/>
  <c r="N95" i="26"/>
  <c r="K95" i="26" s="1"/>
  <c r="R95" i="22"/>
  <c r="R5" i="28"/>
  <c r="Q62" i="30"/>
  <c r="P62" i="30"/>
  <c r="O62" i="30"/>
  <c r="N62" i="30"/>
  <c r="R62" i="30"/>
  <c r="N60" i="23"/>
  <c r="K60" i="23" s="1"/>
  <c r="O59" i="22"/>
  <c r="R31" i="34"/>
  <c r="Q31" i="34"/>
  <c r="P31" i="34"/>
  <c r="O31" i="34"/>
  <c r="N31" i="34"/>
  <c r="N31" i="25"/>
  <c r="K31" i="25" s="1"/>
  <c r="Q5" i="22"/>
  <c r="IE25" i="9"/>
  <c r="Q102" i="28"/>
  <c r="Q22" i="34"/>
  <c r="O22" i="34"/>
  <c r="N22" i="34"/>
  <c r="R22" i="34"/>
  <c r="P22" i="34"/>
  <c r="N23" i="25"/>
  <c r="K23" i="25" s="1"/>
  <c r="Q32" i="22"/>
  <c r="P98" i="28"/>
  <c r="N49" i="28"/>
  <c r="IE63" i="9"/>
  <c r="R49" i="27" s="1"/>
  <c r="R75" i="28"/>
  <c r="P85" i="28"/>
  <c r="AD16" i="23"/>
  <c r="GQ44" i="9"/>
  <c r="R16" i="23" s="1"/>
  <c r="Z100" i="22"/>
  <c r="K100" i="20"/>
  <c r="O82" i="28"/>
  <c r="IG44" i="9"/>
  <c r="O31" i="28"/>
  <c r="J49" i="20"/>
  <c r="T49" i="22"/>
  <c r="EX42" i="9"/>
  <c r="EV42" i="9" s="1"/>
  <c r="L49" i="20" s="1"/>
  <c r="R75" i="30"/>
  <c r="Q75" i="30"/>
  <c r="P75" i="30"/>
  <c r="O75" i="30"/>
  <c r="N75" i="30"/>
  <c r="N70" i="23"/>
  <c r="O70" i="22"/>
  <c r="N43" i="28"/>
  <c r="IE50" i="9"/>
  <c r="Q43" i="27" s="1"/>
  <c r="EX109" i="9"/>
  <c r="EW109" i="9" s="1"/>
  <c r="R13" i="30"/>
  <c r="Q13" i="30"/>
  <c r="P13" i="30"/>
  <c r="O13" i="30"/>
  <c r="N13" i="30"/>
  <c r="O22" i="22"/>
  <c r="N20" i="23"/>
  <c r="IE104" i="9"/>
  <c r="N104" i="28"/>
  <c r="IE143" i="9"/>
  <c r="Q104" i="27" s="1"/>
  <c r="O52" i="28"/>
  <c r="O34" i="28"/>
  <c r="O82" i="34"/>
  <c r="R82" i="34"/>
  <c r="Q82" i="34"/>
  <c r="P82" i="34"/>
  <c r="N82" i="34"/>
  <c r="N86" i="25"/>
  <c r="K86" i="25" s="1"/>
  <c r="Q97" i="22"/>
  <c r="P104" i="25"/>
  <c r="N48" i="34"/>
  <c r="R48" i="34"/>
  <c r="Q48" i="34"/>
  <c r="P48" i="34"/>
  <c r="O48" i="34"/>
  <c r="N54" i="25"/>
  <c r="K54" i="25" s="1"/>
  <c r="Q57" i="22"/>
  <c r="T8" i="22"/>
  <c r="J8" i="20"/>
  <c r="EX67" i="9"/>
  <c r="EV67" i="9" s="1"/>
  <c r="L8" i="20" s="1"/>
  <c r="EX128" i="9"/>
  <c r="EW128" i="9" s="1"/>
  <c r="T61" i="22"/>
  <c r="J61" i="20"/>
  <c r="EX70" i="9"/>
  <c r="EV70" i="9" s="1"/>
  <c r="L61" i="20" s="1"/>
  <c r="EX130" i="9"/>
  <c r="EW130" i="9" s="1"/>
  <c r="O97" i="28"/>
  <c r="IE32" i="9"/>
  <c r="T77" i="22"/>
  <c r="J77" i="20"/>
  <c r="EX114" i="9"/>
  <c r="EV114" i="9" s="1"/>
  <c r="L77" i="20" s="1"/>
  <c r="R92" i="28"/>
  <c r="O4" i="28"/>
  <c r="R61" i="28"/>
  <c r="N26" i="32"/>
  <c r="O26" i="32"/>
  <c r="P26" i="32"/>
  <c r="R26" i="32"/>
  <c r="Q26" i="32"/>
  <c r="N24" i="24"/>
  <c r="K24" i="24" s="1"/>
  <c r="P38" i="22"/>
  <c r="P78" i="28"/>
  <c r="R37" i="28"/>
  <c r="N68" i="28"/>
  <c r="IE53" i="9"/>
  <c r="O68" i="27" s="1"/>
  <c r="R45" i="28"/>
  <c r="R102" i="34"/>
  <c r="Q102" i="34"/>
  <c r="P102" i="34"/>
  <c r="O102" i="34"/>
  <c r="N102" i="34"/>
  <c r="N101" i="25"/>
  <c r="K101" i="25" s="1"/>
  <c r="Q103" i="22"/>
  <c r="P22" i="36"/>
  <c r="O22" i="36"/>
  <c r="R22" i="36"/>
  <c r="Q22" i="36"/>
  <c r="N22" i="36"/>
  <c r="N17" i="26"/>
  <c r="K17" i="26" s="1"/>
  <c r="R13" i="22"/>
  <c r="R30" i="32"/>
  <c r="Q30" i="32"/>
  <c r="O30" i="32"/>
  <c r="N30" i="32"/>
  <c r="P30" i="32"/>
  <c r="N29" i="24"/>
  <c r="K29" i="24" s="1"/>
  <c r="P30" i="22"/>
  <c r="R106" i="34"/>
  <c r="Q106" i="34"/>
  <c r="P106" i="34"/>
  <c r="O106" i="34"/>
  <c r="N106" i="34"/>
  <c r="Q62" i="22"/>
  <c r="N106" i="25"/>
  <c r="K106" i="25" s="1"/>
  <c r="Q86" i="28"/>
  <c r="IE111" i="9"/>
  <c r="R12" i="28"/>
  <c r="R14" i="32"/>
  <c r="Q14" i="32"/>
  <c r="P14" i="32"/>
  <c r="N14" i="32"/>
  <c r="O14" i="32"/>
  <c r="N14" i="24"/>
  <c r="K14" i="24" s="1"/>
  <c r="P17" i="22"/>
  <c r="T29" i="26"/>
  <c r="FK24" i="9"/>
  <c r="HO24" i="9"/>
  <c r="O29" i="26" s="1"/>
  <c r="Q80" i="34"/>
  <c r="R80" i="34"/>
  <c r="P80" i="34"/>
  <c r="O80" i="34"/>
  <c r="N80" i="34"/>
  <c r="N79" i="25"/>
  <c r="K79" i="25" s="1"/>
  <c r="Q85" i="22"/>
  <c r="R69" i="36"/>
  <c r="Q69" i="36"/>
  <c r="P69" i="36"/>
  <c r="O69" i="36"/>
  <c r="N69" i="36"/>
  <c r="N76" i="26"/>
  <c r="R76" i="22"/>
  <c r="N7" i="28"/>
  <c r="IE12" i="9"/>
  <c r="N7" i="27" s="1"/>
  <c r="P20" i="28"/>
  <c r="T71" i="22"/>
  <c r="J71" i="20"/>
  <c r="EX81" i="9"/>
  <c r="EX39" i="9"/>
  <c r="EW39" i="9" s="1"/>
  <c r="O59" i="28"/>
  <c r="Q26" i="28"/>
  <c r="R21" i="32"/>
  <c r="Q21" i="32"/>
  <c r="P21" i="32"/>
  <c r="O21" i="32"/>
  <c r="N21" i="32"/>
  <c r="N25" i="24"/>
  <c r="K25" i="24" s="1"/>
  <c r="P43" i="22"/>
  <c r="R57" i="36"/>
  <c r="Q57" i="36"/>
  <c r="P57" i="36"/>
  <c r="O57" i="36"/>
  <c r="N57" i="36"/>
  <c r="N57" i="26"/>
  <c r="K57" i="26" s="1"/>
  <c r="R59" i="22"/>
  <c r="GO88" i="9"/>
  <c r="N41" i="34"/>
  <c r="P41" i="34"/>
  <c r="R41" i="34"/>
  <c r="Q41" i="34"/>
  <c r="O41" i="34"/>
  <c r="N51" i="25"/>
  <c r="K51" i="25" s="1"/>
  <c r="Q69" i="22"/>
  <c r="R15" i="32"/>
  <c r="P15" i="32"/>
  <c r="Q15" i="32"/>
  <c r="O15" i="32"/>
  <c r="N15" i="32"/>
  <c r="N16" i="24"/>
  <c r="P22" i="22"/>
  <c r="O22" i="30"/>
  <c r="N22" i="30"/>
  <c r="R22" i="30"/>
  <c r="Q22" i="30"/>
  <c r="P22" i="30"/>
  <c r="N17" i="23"/>
  <c r="K17" i="23" s="1"/>
  <c r="O17" i="22"/>
  <c r="HJ88" i="9"/>
  <c r="HI88" i="9" s="1"/>
  <c r="IE40" i="9"/>
  <c r="R49" i="36"/>
  <c r="Q49" i="36"/>
  <c r="P49" i="36"/>
  <c r="O49" i="36"/>
  <c r="N49" i="36"/>
  <c r="N42" i="26"/>
  <c r="K42" i="26" s="1"/>
  <c r="R45" i="22"/>
  <c r="R32" i="32"/>
  <c r="Q32" i="32"/>
  <c r="O32" i="32"/>
  <c r="P32" i="32"/>
  <c r="N32" i="32"/>
  <c r="N33" i="24"/>
  <c r="K33" i="24" s="1"/>
  <c r="P66" i="22"/>
  <c r="N40" i="32"/>
  <c r="Q40" i="32"/>
  <c r="P40" i="32"/>
  <c r="O40" i="32"/>
  <c r="R40" i="32"/>
  <c r="N42" i="24"/>
  <c r="K42" i="24" s="1"/>
  <c r="P35" i="22"/>
  <c r="O58" i="28"/>
  <c r="Q20" i="34"/>
  <c r="P20" i="34"/>
  <c r="O20" i="34"/>
  <c r="N20" i="34"/>
  <c r="R20" i="34"/>
  <c r="N26" i="25"/>
  <c r="K26" i="25" s="1"/>
  <c r="Q34" i="22"/>
  <c r="R63" i="32"/>
  <c r="Q63" i="32"/>
  <c r="P63" i="32"/>
  <c r="O63" i="32"/>
  <c r="N63" i="32"/>
  <c r="N67" i="24"/>
  <c r="K67" i="24" s="1"/>
  <c r="P72" i="22"/>
  <c r="R102" i="28"/>
  <c r="P36" i="36"/>
  <c r="O36" i="36"/>
  <c r="Q36" i="36"/>
  <c r="N36" i="36"/>
  <c r="R36" i="36"/>
  <c r="N37" i="26"/>
  <c r="K37" i="26" s="1"/>
  <c r="R40" i="22"/>
  <c r="I7" i="25"/>
  <c r="L7" i="25"/>
  <c r="T98" i="22"/>
  <c r="J98" i="20"/>
  <c r="EX141" i="9"/>
  <c r="EV141" i="9" s="1"/>
  <c r="L98" i="20" s="1"/>
  <c r="P79" i="30"/>
  <c r="O79" i="30"/>
  <c r="N79" i="30"/>
  <c r="Q79" i="30"/>
  <c r="R79" i="30"/>
  <c r="N77" i="23"/>
  <c r="O73" i="22"/>
  <c r="N85" i="28"/>
  <c r="IE118" i="9"/>
  <c r="Q85" i="27" s="1"/>
  <c r="R6" i="32"/>
  <c r="Q6" i="32"/>
  <c r="P6" i="32"/>
  <c r="O6" i="32"/>
  <c r="N6" i="32"/>
  <c r="N6" i="24"/>
  <c r="K6" i="24" s="1"/>
  <c r="P5" i="22"/>
  <c r="K19" i="20"/>
  <c r="Z19" i="22"/>
  <c r="J66" i="20"/>
  <c r="T66" i="22"/>
  <c r="EX23" i="9"/>
  <c r="EV23" i="9" s="1"/>
  <c r="L66" i="20" s="1"/>
  <c r="EX97" i="9"/>
  <c r="EW97" i="9" s="1"/>
  <c r="Q28" i="28"/>
  <c r="N89" i="28"/>
  <c r="IE47" i="9"/>
  <c r="O89" i="27" s="1"/>
  <c r="IH44" i="9"/>
  <c r="R31" i="28"/>
  <c r="Q53" i="28"/>
  <c r="Q34" i="34"/>
  <c r="P34" i="34"/>
  <c r="O34" i="34"/>
  <c r="N34" i="34"/>
  <c r="R34" i="34"/>
  <c r="N34" i="25"/>
  <c r="K34" i="25" s="1"/>
  <c r="Q50" i="22"/>
  <c r="P77" i="28"/>
  <c r="O43" i="28"/>
  <c r="P13" i="28"/>
  <c r="O104" i="28"/>
  <c r="N52" i="28"/>
  <c r="IE60" i="9"/>
  <c r="Q52" i="27" s="1"/>
  <c r="T35" i="22"/>
  <c r="J35" i="20"/>
  <c r="EX66" i="9"/>
  <c r="R92" i="36"/>
  <c r="Q92" i="36"/>
  <c r="P92" i="36"/>
  <c r="O92" i="36"/>
  <c r="N92" i="36"/>
  <c r="N93" i="26"/>
  <c r="R96" i="22"/>
  <c r="R74" i="36"/>
  <c r="Q74" i="36"/>
  <c r="P74" i="36"/>
  <c r="O74" i="36"/>
  <c r="N74" i="36"/>
  <c r="N71" i="26"/>
  <c r="K71" i="26" s="1"/>
  <c r="R74" i="22"/>
  <c r="O9" i="28"/>
  <c r="R55" i="30"/>
  <c r="Q55" i="30"/>
  <c r="P55" i="30"/>
  <c r="O55" i="30"/>
  <c r="N55" i="30"/>
  <c r="N59" i="23"/>
  <c r="O61" i="22"/>
  <c r="P33" i="28"/>
  <c r="O68" i="34"/>
  <c r="R68" i="34"/>
  <c r="Q68" i="34"/>
  <c r="P68" i="34"/>
  <c r="N68" i="34"/>
  <c r="N63" i="25"/>
  <c r="K63" i="25" s="1"/>
  <c r="Q29" i="22"/>
  <c r="V41" i="24"/>
  <c r="GZ89" i="9"/>
  <c r="Q41" i="24" s="1"/>
  <c r="P97" i="28"/>
  <c r="R71" i="30"/>
  <c r="Q71" i="30"/>
  <c r="P71" i="30"/>
  <c r="O71" i="30"/>
  <c r="N71" i="30"/>
  <c r="O77" i="22"/>
  <c r="N75" i="23"/>
  <c r="Q92" i="28"/>
  <c r="J4" i="20"/>
  <c r="T4" i="22"/>
  <c r="EX75" i="9"/>
  <c r="P61" i="28"/>
  <c r="K61" i="25"/>
  <c r="T64" i="22"/>
  <c r="J64" i="20"/>
  <c r="EX53" i="9"/>
  <c r="EV53" i="9" s="1"/>
  <c r="L64" i="20" s="1"/>
  <c r="Q25" i="28"/>
  <c r="Q3" i="28"/>
  <c r="Q3" i="27"/>
  <c r="R54" i="28"/>
  <c r="N79" i="28"/>
  <c r="IE140" i="9"/>
  <c r="P79" i="27" s="1"/>
  <c r="R70" i="34"/>
  <c r="Q70" i="34"/>
  <c r="P70" i="34"/>
  <c r="O70" i="34"/>
  <c r="N70" i="34"/>
  <c r="N69" i="25"/>
  <c r="K69" i="25" s="1"/>
  <c r="Q33" i="22"/>
  <c r="U15" i="23"/>
  <c r="FB29" i="9"/>
  <c r="GH29" i="9"/>
  <c r="O15" i="23" s="1"/>
  <c r="HV88" i="9"/>
  <c r="P12" i="28"/>
  <c r="T94" i="26"/>
  <c r="FK92" i="9"/>
  <c r="HO92" i="9"/>
  <c r="O94" i="26" s="1"/>
  <c r="R86" i="28"/>
  <c r="EX85" i="9"/>
  <c r="EW85" i="9" s="1"/>
  <c r="R14" i="34"/>
  <c r="N14" i="34"/>
  <c r="O14" i="34"/>
  <c r="Q14" i="34"/>
  <c r="P14" i="34"/>
  <c r="N12" i="25"/>
  <c r="K12" i="25" s="1"/>
  <c r="Q17" i="22"/>
  <c r="Q11" i="30"/>
  <c r="P11" i="30"/>
  <c r="O11" i="30"/>
  <c r="N11" i="30"/>
  <c r="R11" i="30"/>
  <c r="O15" i="22"/>
  <c r="N13" i="23"/>
  <c r="K13" i="23" s="1"/>
  <c r="R3" i="32"/>
  <c r="R43" i="32"/>
  <c r="Q3" i="32"/>
  <c r="P43" i="32"/>
  <c r="O3" i="32"/>
  <c r="P3" i="32"/>
  <c r="N3" i="32"/>
  <c r="Q43" i="32"/>
  <c r="O43" i="32"/>
  <c r="N43" i="32"/>
  <c r="N3" i="24"/>
  <c r="K3" i="24" s="1"/>
  <c r="P31" i="22"/>
  <c r="P3" i="22"/>
  <c r="N46" i="24"/>
  <c r="K46" i="24" s="1"/>
  <c r="R62" i="34"/>
  <c r="O62" i="34"/>
  <c r="N62" i="34"/>
  <c r="P62" i="34"/>
  <c r="Q62" i="34"/>
  <c r="N67" i="25"/>
  <c r="Q68" i="22"/>
  <c r="T7" i="24"/>
  <c r="FE24" i="9"/>
  <c r="GT24" i="9"/>
  <c r="O7" i="24" s="1"/>
  <c r="L98" i="26"/>
  <c r="O105" i="28"/>
  <c r="P66" i="32"/>
  <c r="O66" i="32"/>
  <c r="N66" i="32"/>
  <c r="R66" i="32"/>
  <c r="Q66" i="32"/>
  <c r="N65" i="24"/>
  <c r="K65" i="24" s="1"/>
  <c r="P86" i="22"/>
  <c r="Q46" i="32"/>
  <c r="R46" i="32"/>
  <c r="P46" i="32"/>
  <c r="O46" i="32"/>
  <c r="N46" i="32"/>
  <c r="N51" i="24"/>
  <c r="K51" i="24" s="1"/>
  <c r="P24" i="22"/>
  <c r="P7" i="28"/>
  <c r="T24" i="22"/>
  <c r="J24" i="20"/>
  <c r="EX11" i="9"/>
  <c r="EV11" i="9" s="1"/>
  <c r="L24" i="20" s="1"/>
  <c r="T13" i="22"/>
  <c r="J13" i="20"/>
  <c r="EX27" i="9"/>
  <c r="Q74" i="28"/>
  <c r="P59" i="28"/>
  <c r="N26" i="28"/>
  <c r="IE19" i="9"/>
  <c r="P26" i="27" s="1"/>
  <c r="R91" i="32"/>
  <c r="Q91" i="32"/>
  <c r="P91" i="32"/>
  <c r="O91" i="32"/>
  <c r="N91" i="32"/>
  <c r="N91" i="24"/>
  <c r="K91" i="24" s="1"/>
  <c r="P76" i="22"/>
  <c r="IE151" i="9"/>
  <c r="X52" i="25"/>
  <c r="HL89" i="9"/>
  <c r="R52" i="25" s="1"/>
  <c r="O22" i="28"/>
  <c r="R101" i="36"/>
  <c r="Q101" i="36"/>
  <c r="P101" i="36"/>
  <c r="O101" i="36"/>
  <c r="N101" i="36"/>
  <c r="N102" i="26"/>
  <c r="R101" i="22"/>
  <c r="Q19" i="28"/>
  <c r="R106" i="30"/>
  <c r="N106" i="30"/>
  <c r="O106" i="30"/>
  <c r="P106" i="30"/>
  <c r="Q106" i="30"/>
  <c r="O106" i="22"/>
  <c r="N106" i="23"/>
  <c r="K106" i="23" s="1"/>
  <c r="R92" i="32"/>
  <c r="Q92" i="32"/>
  <c r="P92" i="32"/>
  <c r="O92" i="32"/>
  <c r="N92" i="32"/>
  <c r="N92" i="24"/>
  <c r="P40" i="22"/>
  <c r="Q58" i="28"/>
  <c r="N103" i="28"/>
  <c r="IE136" i="9"/>
  <c r="R103" i="27" s="1"/>
  <c r="P102" i="28"/>
  <c r="P66" i="36"/>
  <c r="O66" i="36"/>
  <c r="N66" i="36"/>
  <c r="R66" i="36"/>
  <c r="Q66" i="36"/>
  <c r="N65" i="26"/>
  <c r="K65" i="26" s="1"/>
  <c r="R68" i="22"/>
  <c r="Q50" i="34"/>
  <c r="R50" i="34"/>
  <c r="P50" i="34"/>
  <c r="O50" i="34"/>
  <c r="N50" i="34"/>
  <c r="N46" i="25"/>
  <c r="K46" i="25" s="1"/>
  <c r="Q60" i="22"/>
  <c r="N98" i="28"/>
  <c r="IE141" i="9"/>
  <c r="N98" i="27" s="1"/>
  <c r="O75" i="28"/>
  <c r="X15" i="23"/>
  <c r="GQ29" i="9"/>
  <c r="R15" i="23" s="1"/>
  <c r="Q16" i="32"/>
  <c r="R16" i="32"/>
  <c r="P16" i="32"/>
  <c r="O16" i="32"/>
  <c r="N16" i="32"/>
  <c r="N18" i="24"/>
  <c r="K18" i="24" s="1"/>
  <c r="P23" i="22"/>
  <c r="R76" i="30"/>
  <c r="Q76" i="30"/>
  <c r="P76" i="30"/>
  <c r="O76" i="30"/>
  <c r="N76" i="30"/>
  <c r="N73" i="23"/>
  <c r="O66" i="22"/>
  <c r="AA13" i="24"/>
  <c r="GZ44" i="9"/>
  <c r="Q13" i="24" s="1"/>
  <c r="R46" i="36"/>
  <c r="Q46" i="36"/>
  <c r="P46" i="36"/>
  <c r="O46" i="36"/>
  <c r="N46" i="36"/>
  <c r="N43" i="26"/>
  <c r="K43" i="26" s="1"/>
  <c r="R62" i="22"/>
  <c r="T30" i="22"/>
  <c r="J30" i="20"/>
  <c r="EX87" i="9"/>
  <c r="EV87" i="9" s="1"/>
  <c r="L30" i="20" s="1"/>
  <c r="Q17" i="32"/>
  <c r="R17" i="32"/>
  <c r="P17" i="32"/>
  <c r="O17" i="32"/>
  <c r="N17" i="32"/>
  <c r="N15" i="24"/>
  <c r="K15" i="24" s="1"/>
  <c r="P25" i="22"/>
  <c r="O89" i="28"/>
  <c r="IJ44" i="9"/>
  <c r="Q31" i="28"/>
  <c r="O77" i="28"/>
  <c r="O54" i="28"/>
  <c r="T38" i="22"/>
  <c r="J38" i="20"/>
  <c r="EX50" i="9"/>
  <c r="EV50" i="9" s="1"/>
  <c r="L38" i="20" s="1"/>
  <c r="IE109" i="9"/>
  <c r="N13" i="28"/>
  <c r="IE13" i="9"/>
  <c r="P13" i="27" s="1"/>
  <c r="Q81" i="28"/>
  <c r="IE98" i="9"/>
  <c r="O36" i="28"/>
  <c r="R52" i="28"/>
  <c r="HL29" i="9"/>
  <c r="R16" i="25" s="1"/>
  <c r="N34" i="28"/>
  <c r="IE66" i="9"/>
  <c r="Q34" i="27" s="1"/>
  <c r="EX80" i="9"/>
  <c r="EW80" i="9" s="1"/>
  <c r="N9" i="30"/>
  <c r="R9" i="30"/>
  <c r="Q9" i="30"/>
  <c r="P9" i="30"/>
  <c r="O9" i="30"/>
  <c r="N8" i="23"/>
  <c r="K8" i="23" s="1"/>
  <c r="O8" i="22"/>
  <c r="O56" i="28"/>
  <c r="R39" i="36"/>
  <c r="Q39" i="36"/>
  <c r="P39" i="36"/>
  <c r="O39" i="36"/>
  <c r="N39" i="36"/>
  <c r="N39" i="26"/>
  <c r="R39" i="22"/>
  <c r="Q97" i="28"/>
  <c r="EX32" i="9"/>
  <c r="EW32" i="9" s="1"/>
  <c r="N73" i="28"/>
  <c r="IE114" i="9"/>
  <c r="N73" i="27" s="1"/>
  <c r="V45" i="26"/>
  <c r="HU28" i="9"/>
  <c r="Q45" i="26" s="1"/>
  <c r="P4" i="28"/>
  <c r="O61" i="28"/>
  <c r="C17" i="36"/>
  <c r="C17" i="35"/>
  <c r="C16" i="31"/>
  <c r="C15" i="30"/>
  <c r="C10" i="33"/>
  <c r="C16" i="32"/>
  <c r="C10" i="34"/>
  <c r="C14" i="28"/>
  <c r="C82" i="29"/>
  <c r="C14" i="27"/>
  <c r="D22" i="26"/>
  <c r="D21" i="23"/>
  <c r="D14" i="25"/>
  <c r="D18" i="24"/>
  <c r="D23" i="22"/>
  <c r="C43" i="17"/>
  <c r="D23" i="20"/>
  <c r="C29" i="12"/>
  <c r="A15" i="9"/>
  <c r="Q67" i="30"/>
  <c r="R67" i="30"/>
  <c r="P67" i="30"/>
  <c r="O67" i="30"/>
  <c r="N67" i="30"/>
  <c r="N63" i="23"/>
  <c r="K63" i="23" s="1"/>
  <c r="O64" i="22"/>
  <c r="N69" i="34"/>
  <c r="R69" i="34"/>
  <c r="Q69" i="34"/>
  <c r="P69" i="34"/>
  <c r="O69" i="34"/>
  <c r="N80" i="25"/>
  <c r="K80" i="25" s="1"/>
  <c r="Q91" i="22"/>
  <c r="L23" i="27"/>
  <c r="Q78" i="30"/>
  <c r="P78" i="30"/>
  <c r="O78" i="30"/>
  <c r="N78" i="30"/>
  <c r="R78" i="30"/>
  <c r="N76" i="23"/>
  <c r="K76" i="23" s="1"/>
  <c r="O75" i="22"/>
  <c r="V7" i="24"/>
  <c r="GZ24" i="9"/>
  <c r="Q7" i="24" s="1"/>
  <c r="R51" i="34"/>
  <c r="O51" i="34"/>
  <c r="N51" i="34"/>
  <c r="P51" i="34"/>
  <c r="Q51" i="34"/>
  <c r="N47" i="25"/>
  <c r="K47" i="25" s="1"/>
  <c r="Q63" i="22"/>
  <c r="T86" i="22"/>
  <c r="J86" i="20"/>
  <c r="EX138" i="9"/>
  <c r="EV138" i="9" s="1"/>
  <c r="L86" i="20" s="1"/>
  <c r="O12" i="28"/>
  <c r="I60" i="24"/>
  <c r="K60" i="24"/>
  <c r="EX37" i="9"/>
  <c r="EW37" i="9" s="1"/>
  <c r="X21" i="25"/>
  <c r="HL24" i="9"/>
  <c r="R21" i="25" s="1"/>
  <c r="P44" i="28"/>
  <c r="J105" i="20"/>
  <c r="T105" i="22"/>
  <c r="EX133" i="9"/>
  <c r="Q20" i="28"/>
  <c r="R17" i="30"/>
  <c r="Q17" i="30"/>
  <c r="P17" i="30"/>
  <c r="O17" i="30"/>
  <c r="N17" i="30"/>
  <c r="N14" i="23"/>
  <c r="K14" i="23" s="1"/>
  <c r="O13" i="22"/>
  <c r="R74" i="28"/>
  <c r="IE39" i="9"/>
  <c r="R33" i="34"/>
  <c r="Q33" i="34"/>
  <c r="P33" i="34"/>
  <c r="O33" i="34"/>
  <c r="N33" i="34"/>
  <c r="N40" i="25"/>
  <c r="K40" i="25" s="1"/>
  <c r="Q56" i="22"/>
  <c r="T69" i="22"/>
  <c r="J69" i="20"/>
  <c r="EX16" i="9"/>
  <c r="EV16" i="9" s="1"/>
  <c r="L69" i="20" s="1"/>
  <c r="EX96" i="9"/>
  <c r="EW96" i="9" s="1"/>
  <c r="O26" i="28"/>
  <c r="EX151" i="9"/>
  <c r="EW151" i="9" s="1"/>
  <c r="K98" i="26"/>
  <c r="N38" i="28"/>
  <c r="IE59" i="9"/>
  <c r="Q38" i="27" s="1"/>
  <c r="W68" i="23"/>
  <c r="GN89" i="9"/>
  <c r="Q68" i="23" s="1"/>
  <c r="N22" i="28"/>
  <c r="IE84" i="9"/>
  <c r="Q22" i="27" s="1"/>
  <c r="Q83" i="32"/>
  <c r="R83" i="32"/>
  <c r="P83" i="32"/>
  <c r="O83" i="32"/>
  <c r="N83" i="32"/>
  <c r="N83" i="24"/>
  <c r="K83" i="24" s="1"/>
  <c r="P74" i="22"/>
  <c r="T33" i="25"/>
  <c r="W20" i="22"/>
  <c r="FG56" i="9"/>
  <c r="T45" i="22"/>
  <c r="J45" i="20"/>
  <c r="EX54" i="9"/>
  <c r="EV54" i="9" s="1"/>
  <c r="L45" i="20" s="1"/>
  <c r="N106" i="28"/>
  <c r="IE145" i="9"/>
  <c r="Q106" i="27" s="1"/>
  <c r="EX103" i="9"/>
  <c r="EW103" i="9" s="1"/>
  <c r="J59" i="20"/>
  <c r="T59" i="22"/>
  <c r="EX61" i="9"/>
  <c r="EV61" i="9" s="1"/>
  <c r="L59" i="20" s="1"/>
  <c r="J82" i="20"/>
  <c r="T82" i="22"/>
  <c r="EX108" i="9"/>
  <c r="EV108" i="9" s="1"/>
  <c r="L82" i="20" s="1"/>
  <c r="Q33" i="28"/>
  <c r="Q84" i="28"/>
  <c r="J102" i="20"/>
  <c r="T102" i="22"/>
  <c r="EX134" i="9"/>
  <c r="EV134" i="9" s="1"/>
  <c r="L102" i="20" s="1"/>
  <c r="Q27" i="28"/>
  <c r="P98" i="30"/>
  <c r="R98" i="30"/>
  <c r="O98" i="30"/>
  <c r="Q98" i="30"/>
  <c r="N98" i="30"/>
  <c r="N98" i="23"/>
  <c r="K98" i="23" s="1"/>
  <c r="O98" i="22"/>
  <c r="T73" i="22"/>
  <c r="J73" i="20"/>
  <c r="EX135" i="9"/>
  <c r="EV135" i="9" s="1"/>
  <c r="L73" i="20" s="1"/>
  <c r="IE33" i="9"/>
  <c r="N70" i="28"/>
  <c r="IE23" i="9"/>
  <c r="R70" i="27" s="1"/>
  <c r="J74" i="20"/>
  <c r="T74" i="22"/>
  <c r="EX105" i="9"/>
  <c r="Y13" i="24"/>
  <c r="GT44" i="9"/>
  <c r="O13" i="24" s="1"/>
  <c r="N28" i="28"/>
  <c r="IE87" i="9"/>
  <c r="Q28" i="27" s="1"/>
  <c r="IE102" i="9"/>
  <c r="Q89" i="28"/>
  <c r="EY44" i="9"/>
  <c r="J32" i="20"/>
  <c r="T32" i="22"/>
  <c r="EX68" i="9"/>
  <c r="EV68" i="9" s="1"/>
  <c r="L32" i="20" s="1"/>
  <c r="R11" i="36"/>
  <c r="Q11" i="36"/>
  <c r="P11" i="36"/>
  <c r="O11" i="36"/>
  <c r="N11" i="36"/>
  <c r="N13" i="26"/>
  <c r="K13" i="26" s="1"/>
  <c r="R15" i="22"/>
  <c r="P43" i="28"/>
  <c r="R100" i="32"/>
  <c r="Q100" i="32"/>
  <c r="P100" i="32"/>
  <c r="O100" i="32"/>
  <c r="N100" i="32"/>
  <c r="N100" i="24"/>
  <c r="P106" i="22"/>
  <c r="U7" i="24"/>
  <c r="GW24" i="9"/>
  <c r="P7" i="24" s="1"/>
  <c r="T81" i="22"/>
  <c r="J81" i="20"/>
  <c r="EX91" i="9"/>
  <c r="R34" i="28"/>
  <c r="L61" i="24"/>
  <c r="I85" i="20"/>
  <c r="H85" i="20" s="1"/>
  <c r="N85" i="22"/>
  <c r="I85" i="22" s="1"/>
  <c r="Q9" i="28"/>
  <c r="N56" i="28"/>
  <c r="IE70" i="9"/>
  <c r="P56" i="27" s="1"/>
  <c r="R77" i="32"/>
  <c r="Q77" i="32"/>
  <c r="P77" i="32"/>
  <c r="O77" i="32"/>
  <c r="N77" i="32"/>
  <c r="N77" i="24"/>
  <c r="P10" i="22"/>
  <c r="R56" i="36"/>
  <c r="Q56" i="36"/>
  <c r="P56" i="36"/>
  <c r="O56" i="36"/>
  <c r="N56" i="36"/>
  <c r="N52" i="26"/>
  <c r="K52" i="26" s="1"/>
  <c r="R52" i="22"/>
  <c r="R56" i="32"/>
  <c r="P56" i="32"/>
  <c r="N56" i="32"/>
  <c r="Q56" i="32"/>
  <c r="O56" i="32"/>
  <c r="N56" i="24"/>
  <c r="P88" i="22"/>
  <c r="P73" i="28"/>
  <c r="N4" i="28"/>
  <c r="IE75" i="9"/>
  <c r="O4" i="27" s="1"/>
  <c r="IE112" i="9"/>
  <c r="O68" i="28"/>
  <c r="N35" i="28"/>
  <c r="IE45" i="9"/>
  <c r="N35" i="27" s="1"/>
  <c r="P79" i="28"/>
  <c r="S51" i="26"/>
  <c r="X54" i="22"/>
  <c r="FJ139" i="9"/>
  <c r="R48" i="36"/>
  <c r="Q48" i="36"/>
  <c r="P48" i="36"/>
  <c r="O48" i="36"/>
  <c r="N48" i="36"/>
  <c r="N48" i="26"/>
  <c r="R50" i="22"/>
  <c r="W23" i="23"/>
  <c r="GN24" i="9"/>
  <c r="Q23" i="23" s="1"/>
  <c r="V91" i="26"/>
  <c r="HU78" i="9"/>
  <c r="Q91" i="26" s="1"/>
  <c r="N86" i="28"/>
  <c r="IE138" i="9"/>
  <c r="Q86" i="27" s="1"/>
  <c r="N105" i="28"/>
  <c r="IE133" i="9"/>
  <c r="O105" i="27" s="1"/>
  <c r="R20" i="28"/>
  <c r="R43" i="36"/>
  <c r="Q43" i="36"/>
  <c r="P43" i="36"/>
  <c r="O43" i="36"/>
  <c r="N43" i="36"/>
  <c r="N44" i="26"/>
  <c r="R48" i="22"/>
  <c r="Q59" i="28"/>
  <c r="P26" i="28"/>
  <c r="Q30" i="28"/>
  <c r="R38" i="28"/>
  <c r="X6" i="11"/>
  <c r="X7" i="11" s="1"/>
  <c r="X6" i="10"/>
  <c r="X7" i="10" s="1"/>
  <c r="X7" i="9"/>
  <c r="O103" i="28"/>
  <c r="HM88" i="9"/>
  <c r="HL88" i="9" s="1"/>
  <c r="HA88" i="9"/>
  <c r="GZ88" i="9" s="1"/>
  <c r="GU88" i="9"/>
  <c r="N51" i="28"/>
  <c r="IE54" i="9"/>
  <c r="R51" i="27" s="1"/>
  <c r="P106" i="28"/>
  <c r="R100" i="36"/>
  <c r="N100" i="36"/>
  <c r="Q100" i="36"/>
  <c r="P100" i="36"/>
  <c r="O100" i="36"/>
  <c r="N100" i="26"/>
  <c r="K100" i="26" s="1"/>
  <c r="R99" i="22"/>
  <c r="O19" i="28"/>
  <c r="P94" i="32"/>
  <c r="O94" i="32"/>
  <c r="N94" i="32"/>
  <c r="R94" i="32"/>
  <c r="Q94" i="32"/>
  <c r="N94" i="24"/>
  <c r="K94" i="24" s="1"/>
  <c r="P93" i="22"/>
  <c r="IE103" i="9"/>
  <c r="R58" i="28"/>
  <c r="R74" i="30"/>
  <c r="Q74" i="30"/>
  <c r="P74" i="30"/>
  <c r="O74" i="30"/>
  <c r="N74" i="30"/>
  <c r="N81" i="23"/>
  <c r="O82" i="22"/>
  <c r="N52" i="30"/>
  <c r="R52" i="30"/>
  <c r="Q52" i="30"/>
  <c r="P52" i="30"/>
  <c r="O52" i="30"/>
  <c r="O57" i="22"/>
  <c r="N64" i="23"/>
  <c r="K64" i="23" s="1"/>
  <c r="R88" i="32"/>
  <c r="Q88" i="32"/>
  <c r="P88" i="32"/>
  <c r="O88" i="32"/>
  <c r="N88" i="32"/>
  <c r="N88" i="24"/>
  <c r="K88" i="24" s="1"/>
  <c r="P56" i="22"/>
  <c r="N102" i="28"/>
  <c r="IE134" i="9"/>
  <c r="N102" i="27" s="1"/>
  <c r="O50" i="28"/>
  <c r="J34" i="20"/>
  <c r="T34" i="22"/>
  <c r="EX35" i="9"/>
  <c r="EV35" i="9" s="1"/>
  <c r="L34" i="20" s="1"/>
  <c r="O98" i="28"/>
  <c r="Q29" i="28"/>
  <c r="O33" i="28"/>
  <c r="N83" i="34"/>
  <c r="R83" i="34"/>
  <c r="Q83" i="34"/>
  <c r="P83" i="34"/>
  <c r="O83" i="34"/>
  <c r="N82" i="25"/>
  <c r="K82" i="25" s="1"/>
  <c r="Q95" i="22"/>
  <c r="V15" i="26"/>
  <c r="HU29" i="9"/>
  <c r="Q15" i="26" s="1"/>
  <c r="I44" i="24"/>
  <c r="L44" i="24"/>
  <c r="R42" i="36"/>
  <c r="Q42" i="36"/>
  <c r="P42" i="36"/>
  <c r="O42" i="36"/>
  <c r="N42" i="36"/>
  <c r="N50" i="26"/>
  <c r="K50" i="26" s="1"/>
  <c r="R43" i="22"/>
  <c r="P70" i="28"/>
  <c r="Z13" i="24"/>
  <c r="GW44" i="9"/>
  <c r="P13" i="24" s="1"/>
  <c r="P28" i="28"/>
  <c r="T11" i="24"/>
  <c r="FE29" i="9"/>
  <c r="GT29" i="9"/>
  <c r="O11" i="24" s="1"/>
  <c r="J88" i="20"/>
  <c r="T88" i="22"/>
  <c r="EX47" i="9"/>
  <c r="EV47" i="9" s="1"/>
  <c r="L88" i="20" s="1"/>
  <c r="R30" i="30"/>
  <c r="Q30" i="30"/>
  <c r="P30" i="30"/>
  <c r="O30" i="30"/>
  <c r="N30" i="30"/>
  <c r="N29" i="23"/>
  <c r="K29" i="23" s="1"/>
  <c r="O32" i="22"/>
  <c r="R82" i="30"/>
  <c r="N82" i="30"/>
  <c r="O82" i="30"/>
  <c r="Q82" i="30"/>
  <c r="P82" i="30"/>
  <c r="N82" i="23"/>
  <c r="O81" i="22"/>
  <c r="Q46" i="24"/>
  <c r="Q3" i="24"/>
  <c r="O81" i="32"/>
  <c r="N81" i="32"/>
  <c r="R81" i="32"/>
  <c r="Q81" i="32"/>
  <c r="P81" i="32"/>
  <c r="N81" i="24"/>
  <c r="K81" i="24" s="1"/>
  <c r="P6" i="22"/>
  <c r="R19" i="34"/>
  <c r="Q19" i="34"/>
  <c r="P19" i="34"/>
  <c r="O19" i="34"/>
  <c r="N19" i="34"/>
  <c r="N19" i="25"/>
  <c r="K19" i="25" s="1"/>
  <c r="Q16" i="22"/>
  <c r="EX110" i="9"/>
  <c r="EW110" i="9" s="1"/>
  <c r="N6" i="28"/>
  <c r="IE82" i="9"/>
  <c r="P6" i="27" s="1"/>
  <c r="P9" i="28"/>
  <c r="N36" i="28"/>
  <c r="IE15" i="9"/>
  <c r="R36" i="27" s="1"/>
  <c r="N84" i="28"/>
  <c r="IE132" i="9"/>
  <c r="R84" i="27" s="1"/>
  <c r="V23" i="23"/>
  <c r="GK24" i="9"/>
  <c r="P23" i="23" s="1"/>
  <c r="Q73" i="28"/>
  <c r="T21" i="22"/>
  <c r="J21" i="20"/>
  <c r="EX22" i="9"/>
  <c r="EX112" i="9"/>
  <c r="EW112" i="9" s="1"/>
  <c r="P68" i="28"/>
  <c r="O67" i="32"/>
  <c r="N67" i="32"/>
  <c r="R67" i="32"/>
  <c r="Q67" i="32"/>
  <c r="P67" i="32"/>
  <c r="N66" i="24"/>
  <c r="K66" i="24" s="1"/>
  <c r="P98" i="22"/>
  <c r="O71" i="28"/>
  <c r="O35" i="28"/>
  <c r="Q79" i="28"/>
  <c r="U97" i="23"/>
  <c r="GH90" i="9"/>
  <c r="O97" i="23" s="1"/>
  <c r="IE46" i="9"/>
  <c r="N33" i="27" s="1"/>
  <c r="T56" i="25"/>
  <c r="W47" i="22"/>
  <c r="FG31" i="9"/>
  <c r="R43" i="30"/>
  <c r="Q43" i="30"/>
  <c r="P43" i="30"/>
  <c r="O43" i="30"/>
  <c r="N43" i="30"/>
  <c r="O42" i="22"/>
  <c r="N41" i="23"/>
  <c r="K41" i="23" s="1"/>
  <c r="Q65" i="28"/>
  <c r="O15" i="28"/>
  <c r="R72" i="36"/>
  <c r="Q72" i="36"/>
  <c r="P72" i="36"/>
  <c r="O72" i="36"/>
  <c r="N72" i="36"/>
  <c r="N74" i="26"/>
  <c r="K74" i="26" s="1"/>
  <c r="R77" i="22"/>
  <c r="R29" i="28"/>
  <c r="Q70" i="28"/>
  <c r="O95" i="32"/>
  <c r="N95" i="32"/>
  <c r="R95" i="32"/>
  <c r="Q95" i="32"/>
  <c r="P95" i="32"/>
  <c r="N95" i="24"/>
  <c r="K95" i="24" s="1"/>
  <c r="P60" i="22"/>
  <c r="R28" i="28"/>
  <c r="N81" i="28"/>
  <c r="IE91" i="9"/>
  <c r="O81" i="27" s="1"/>
  <c r="Q78" i="28"/>
  <c r="N54" i="28"/>
  <c r="IE51" i="9"/>
  <c r="P54" i="27" s="1"/>
  <c r="V29" i="26"/>
  <c r="HU24" i="9"/>
  <c r="Q29" i="26" s="1"/>
  <c r="I81" i="25"/>
  <c r="L81" i="25"/>
  <c r="Q68" i="28"/>
  <c r="P71" i="28"/>
  <c r="P35" i="28"/>
  <c r="R79" i="34"/>
  <c r="Q79" i="34"/>
  <c r="P79" i="34"/>
  <c r="O79" i="34"/>
  <c r="N79" i="34"/>
  <c r="N74" i="25"/>
  <c r="K74" i="25" s="1"/>
  <c r="Q46" i="22"/>
  <c r="T75" i="22"/>
  <c r="J75" i="20"/>
  <c r="EX140" i="9"/>
  <c r="EV140" i="9" s="1"/>
  <c r="L75" i="20" s="1"/>
  <c r="X97" i="23"/>
  <c r="GQ90" i="9"/>
  <c r="R97" i="23" s="1"/>
  <c r="V30" i="25"/>
  <c r="HF28" i="9"/>
  <c r="P30" i="25" s="1"/>
  <c r="O78" i="28"/>
  <c r="N38" i="36"/>
  <c r="R38" i="36"/>
  <c r="Q38" i="36"/>
  <c r="P38" i="36"/>
  <c r="O38" i="36"/>
  <c r="N40" i="26"/>
  <c r="K40" i="26" s="1"/>
  <c r="R41" i="22"/>
  <c r="N86" i="30"/>
  <c r="O86" i="30"/>
  <c r="P86" i="30"/>
  <c r="R86" i="30"/>
  <c r="Q86" i="30"/>
  <c r="N85" i="23"/>
  <c r="O86" i="22"/>
  <c r="J62" i="20"/>
  <c r="T62" i="22"/>
  <c r="EX150" i="9"/>
  <c r="EV150" i="9" s="1"/>
  <c r="L62" i="20" s="1"/>
  <c r="O48" i="28"/>
  <c r="Q87" i="28"/>
  <c r="P65" i="28"/>
  <c r="P30" i="28"/>
  <c r="N38" i="30"/>
  <c r="Q38" i="30"/>
  <c r="P38" i="30"/>
  <c r="O38" i="30"/>
  <c r="R38" i="30"/>
  <c r="O37" i="22"/>
  <c r="N36" i="23"/>
  <c r="K36" i="23" s="1"/>
  <c r="Y16" i="14"/>
  <c r="Y9" i="14"/>
  <c r="Y19" i="14"/>
  <c r="Y18" i="14"/>
  <c r="Y12" i="14"/>
  <c r="Y39" i="13"/>
  <c r="Y44" i="13"/>
  <c r="Y43" i="13"/>
  <c r="Y17" i="14"/>
  <c r="Y13" i="14"/>
  <c r="Y45" i="13"/>
  <c r="Y14" i="14"/>
  <c r="Y42" i="13"/>
  <c r="Y46" i="13"/>
  <c r="Y8" i="14"/>
  <c r="Y15" i="14"/>
  <c r="Y38" i="13"/>
  <c r="Y27" i="13"/>
  <c r="Y11" i="14"/>
  <c r="Y22" i="13"/>
  <c r="Y6" i="14"/>
  <c r="Y7" i="14" s="1"/>
  <c r="Y47" i="13"/>
  <c r="Y40" i="13"/>
  <c r="Y37" i="13"/>
  <c r="Y31" i="13"/>
  <c r="Y10" i="14"/>
  <c r="Y30" i="13"/>
  <c r="Y25" i="13"/>
  <c r="Y41" i="13"/>
  <c r="Y34" i="13"/>
  <c r="Y29" i="13"/>
  <c r="Y35" i="13"/>
  <c r="Y24" i="13"/>
  <c r="Y33" i="13"/>
  <c r="Y28" i="13"/>
  <c r="Y32" i="13"/>
  <c r="Y36" i="13"/>
  <c r="Y15" i="13"/>
  <c r="Y11" i="13"/>
  <c r="Y21" i="13"/>
  <c r="Y19" i="13"/>
  <c r="Y14" i="13"/>
  <c r="Y23" i="13"/>
  <c r="Y18" i="13"/>
  <c r="Y9" i="13"/>
  <c r="Y20" i="13"/>
  <c r="Y13" i="13"/>
  <c r="Y17" i="13"/>
  <c r="Y8" i="13"/>
  <c r="Y12" i="13"/>
  <c r="Y20" i="11"/>
  <c r="Y18" i="11"/>
  <c r="Y16" i="11"/>
  <c r="Y14" i="11"/>
  <c r="Y12" i="11"/>
  <c r="Y10" i="13"/>
  <c r="Y6" i="13"/>
  <c r="Y7" i="13" s="1"/>
  <c r="Y42" i="10"/>
  <c r="Y26" i="13"/>
  <c r="Y19" i="11"/>
  <c r="Y17" i="11"/>
  <c r="Y15" i="11"/>
  <c r="Y13" i="11"/>
  <c r="Y16" i="13"/>
  <c r="Y10" i="11"/>
  <c r="Y40" i="10"/>
  <c r="Y38" i="10"/>
  <c r="Y36" i="10"/>
  <c r="Y34" i="10"/>
  <c r="Y32" i="10"/>
  <c r="Y30" i="10"/>
  <c r="Y28" i="10"/>
  <c r="Y41" i="10"/>
  <c r="Y39" i="10"/>
  <c r="Y8" i="11"/>
  <c r="Y11" i="11"/>
  <c r="Y9" i="11"/>
  <c r="Y31" i="10"/>
  <c r="Y35" i="10"/>
  <c r="Y27" i="10"/>
  <c r="Y25" i="10"/>
  <c r="Y23" i="10"/>
  <c r="Y21" i="10"/>
  <c r="Y19" i="10"/>
  <c r="Y17" i="10"/>
  <c r="Y15" i="10"/>
  <c r="Y37" i="10"/>
  <c r="Y29" i="10"/>
  <c r="Y33" i="10"/>
  <c r="Y26" i="10"/>
  <c r="Y24" i="10"/>
  <c r="Y22" i="10"/>
  <c r="Y20" i="10"/>
  <c r="Y18" i="10"/>
  <c r="Y16" i="10"/>
  <c r="Y14" i="10"/>
  <c r="Y12" i="10"/>
  <c r="Y10" i="10"/>
  <c r="Y11" i="10"/>
  <c r="Y9" i="10"/>
  <c r="Y13" i="10"/>
  <c r="Y8" i="10"/>
  <c r="Z21" i="9"/>
  <c r="Y6" i="9"/>
  <c r="R106" i="28"/>
  <c r="Q93" i="30"/>
  <c r="P93" i="30"/>
  <c r="O93" i="30"/>
  <c r="N93" i="30"/>
  <c r="R93" i="30"/>
  <c r="N95" i="23"/>
  <c r="O97" i="22"/>
  <c r="N46" i="28"/>
  <c r="IE18" i="9"/>
  <c r="R46" i="27" s="1"/>
  <c r="O6" i="28"/>
  <c r="R73" i="28"/>
  <c r="N26" i="30"/>
  <c r="R26" i="30"/>
  <c r="Q26" i="30"/>
  <c r="P26" i="30"/>
  <c r="O26" i="30"/>
  <c r="O21" i="22"/>
  <c r="N22" i="23"/>
  <c r="K22" i="23" s="1"/>
  <c r="R45" i="36"/>
  <c r="Q45" i="36"/>
  <c r="P45" i="36"/>
  <c r="O45" i="36"/>
  <c r="N45" i="36"/>
  <c r="N46" i="26"/>
  <c r="R51" i="22"/>
  <c r="R78" i="28"/>
  <c r="O86" i="28"/>
  <c r="IE85" i="9"/>
  <c r="R89" i="32"/>
  <c r="Q89" i="32"/>
  <c r="P89" i="32"/>
  <c r="O89" i="32"/>
  <c r="N89" i="32"/>
  <c r="P97" i="22"/>
  <c r="N89" i="24"/>
  <c r="K89" i="24" s="1"/>
  <c r="R36" i="32"/>
  <c r="Q36" i="32"/>
  <c r="P36" i="32"/>
  <c r="O36" i="32"/>
  <c r="N36" i="32"/>
  <c r="N37" i="24"/>
  <c r="K37" i="24" s="1"/>
  <c r="P59" i="22"/>
  <c r="R103" i="36"/>
  <c r="P103" i="36"/>
  <c r="O103" i="36"/>
  <c r="Q103" i="36"/>
  <c r="N103" i="36"/>
  <c r="N104" i="26"/>
  <c r="K104" i="26" s="1"/>
  <c r="R104" i="22"/>
  <c r="R78" i="36"/>
  <c r="Q78" i="36"/>
  <c r="P78" i="36"/>
  <c r="O78" i="36"/>
  <c r="N78" i="36"/>
  <c r="N75" i="26"/>
  <c r="K75" i="26" s="1"/>
  <c r="R66" i="22"/>
  <c r="N44" i="28"/>
  <c r="IE142" i="9"/>
  <c r="Q44" i="27" s="1"/>
  <c r="EX95" i="9"/>
  <c r="EW95" i="9" s="1"/>
  <c r="R47" i="30"/>
  <c r="Q47" i="30"/>
  <c r="P47" i="30"/>
  <c r="O47" i="30"/>
  <c r="N47" i="30"/>
  <c r="N48" i="23"/>
  <c r="O50" i="22"/>
  <c r="Q105" i="28"/>
  <c r="Q6" i="34"/>
  <c r="P6" i="34"/>
  <c r="O6" i="34"/>
  <c r="N6" i="34"/>
  <c r="R6" i="34"/>
  <c r="N5" i="25"/>
  <c r="K5" i="25" s="1"/>
  <c r="Q6" i="22"/>
  <c r="N24" i="36"/>
  <c r="R24" i="36"/>
  <c r="Q24" i="36"/>
  <c r="P24" i="36"/>
  <c r="O24" i="36"/>
  <c r="N33" i="26"/>
  <c r="R34" i="22"/>
  <c r="P15" i="28"/>
  <c r="N10" i="30"/>
  <c r="O10" i="30"/>
  <c r="Q10" i="30"/>
  <c r="P10" i="30"/>
  <c r="R10" i="30"/>
  <c r="N9" i="23"/>
  <c r="K9" i="23" s="1"/>
  <c r="O10" i="22"/>
  <c r="R26" i="36"/>
  <c r="Q26" i="36"/>
  <c r="P26" i="36"/>
  <c r="O26" i="36"/>
  <c r="N26" i="36"/>
  <c r="N32" i="26"/>
  <c r="R28" i="22"/>
  <c r="N19" i="28"/>
  <c r="IE76" i="9"/>
  <c r="P19" i="27" s="1"/>
  <c r="O50" i="30"/>
  <c r="N50" i="30"/>
  <c r="P50" i="30"/>
  <c r="R50" i="30"/>
  <c r="Q50" i="30"/>
  <c r="N65" i="23"/>
  <c r="O69" i="22"/>
  <c r="Q69" i="28"/>
  <c r="X30" i="25"/>
  <c r="HL28" i="9"/>
  <c r="R30" i="25" s="1"/>
  <c r="T53" i="23"/>
  <c r="U54" i="22"/>
  <c r="II139" i="9"/>
  <c r="EY139" i="9"/>
  <c r="IG139" i="9"/>
  <c r="IF139" i="9"/>
  <c r="FA139" i="9"/>
  <c r="IH139" i="9"/>
  <c r="IJ139" i="9"/>
  <c r="IE20" i="9"/>
  <c r="N68" i="36"/>
  <c r="Q68" i="36"/>
  <c r="P68" i="36"/>
  <c r="O68" i="36"/>
  <c r="R68" i="36"/>
  <c r="N73" i="26"/>
  <c r="K73" i="26" s="1"/>
  <c r="R72" i="22"/>
  <c r="V15" i="23"/>
  <c r="GK29" i="9"/>
  <c r="P15" i="23" s="1"/>
  <c r="N87" i="28"/>
  <c r="IE93" i="9"/>
  <c r="R87" i="27" s="1"/>
  <c r="R59" i="36"/>
  <c r="Q59" i="36"/>
  <c r="P59" i="36"/>
  <c r="O59" i="36"/>
  <c r="N59" i="36"/>
  <c r="N58" i="26"/>
  <c r="R60" i="22"/>
  <c r="R29" i="30"/>
  <c r="Q29" i="30"/>
  <c r="P29" i="30"/>
  <c r="O29" i="30"/>
  <c r="N29" i="30"/>
  <c r="N25" i="23"/>
  <c r="K25" i="23" s="1"/>
  <c r="O27" i="22"/>
  <c r="N27" i="36"/>
  <c r="R27" i="36"/>
  <c r="Q27" i="36"/>
  <c r="P27" i="36"/>
  <c r="O27" i="36"/>
  <c r="N24" i="26"/>
  <c r="K24" i="26" s="1"/>
  <c r="R27" i="22"/>
  <c r="O38" i="28"/>
  <c r="O65" i="28"/>
  <c r="R57" i="32"/>
  <c r="N57" i="32"/>
  <c r="Q57" i="32"/>
  <c r="P57" i="32"/>
  <c r="O57" i="32"/>
  <c r="N57" i="24"/>
  <c r="K57" i="24" s="1"/>
  <c r="P83" i="22"/>
  <c r="O14" i="28"/>
  <c r="R106" i="36"/>
  <c r="Q106" i="36"/>
  <c r="P106" i="36"/>
  <c r="O106" i="36"/>
  <c r="N106" i="36"/>
  <c r="N106" i="26"/>
  <c r="R106" i="22"/>
  <c r="P51" i="28"/>
  <c r="O106" i="28"/>
  <c r="O95" i="28"/>
  <c r="P72" i="28"/>
  <c r="O42" i="28"/>
  <c r="O46" i="28"/>
  <c r="N50" i="28"/>
  <c r="IE115" i="9"/>
  <c r="P50" i="27" s="1"/>
  <c r="R24" i="30"/>
  <c r="Q24" i="30"/>
  <c r="P24" i="30"/>
  <c r="O24" i="30"/>
  <c r="N24" i="30"/>
  <c r="N33" i="23"/>
  <c r="O34" i="22"/>
  <c r="R32" i="30"/>
  <c r="Q32" i="30"/>
  <c r="P32" i="30"/>
  <c r="O32" i="30"/>
  <c r="N32" i="30"/>
  <c r="N28" i="23"/>
  <c r="O25" i="22"/>
  <c r="U16" i="25"/>
  <c r="FH29" i="9"/>
  <c r="HC29" i="9"/>
  <c r="O16" i="25" s="1"/>
  <c r="R70" i="28"/>
  <c r="R31" i="36"/>
  <c r="Q31" i="36"/>
  <c r="P31" i="36"/>
  <c r="O31" i="36"/>
  <c r="N31" i="36"/>
  <c r="N28" i="26"/>
  <c r="R25" i="22"/>
  <c r="IE97" i="9"/>
  <c r="R28" i="30"/>
  <c r="Q28" i="30"/>
  <c r="P28" i="30"/>
  <c r="O28" i="30"/>
  <c r="N28" i="30"/>
  <c r="N32" i="23"/>
  <c r="K32" i="23" s="1"/>
  <c r="O30" i="22"/>
  <c r="N55" i="28"/>
  <c r="IE30" i="9"/>
  <c r="O55" i="27" s="1"/>
  <c r="N89" i="30"/>
  <c r="O89" i="30"/>
  <c r="R89" i="30"/>
  <c r="Q89" i="30"/>
  <c r="P89" i="30"/>
  <c r="O88" i="22"/>
  <c r="N89" i="23"/>
  <c r="K89" i="23" s="1"/>
  <c r="II44" i="9"/>
  <c r="P31" i="28"/>
  <c r="IE49" i="9"/>
  <c r="P41" i="27" s="1"/>
  <c r="P60" i="28"/>
  <c r="P81" i="28"/>
  <c r="R58" i="36"/>
  <c r="Q58" i="36"/>
  <c r="P58" i="36"/>
  <c r="O58" i="36"/>
  <c r="N58" i="36"/>
  <c r="N49" i="26"/>
  <c r="K49" i="26" s="1"/>
  <c r="R46" i="22"/>
  <c r="AD43" i="25"/>
  <c r="HL44" i="9"/>
  <c r="R43" i="25" s="1"/>
  <c r="O84" i="28"/>
  <c r="Q6" i="28"/>
  <c r="P39" i="34"/>
  <c r="O39" i="34"/>
  <c r="R39" i="34"/>
  <c r="Q39" i="34"/>
  <c r="N39" i="34"/>
  <c r="N39" i="25"/>
  <c r="K39" i="25" s="1"/>
  <c r="Q51" i="22"/>
  <c r="EX36" i="9"/>
  <c r="EW36" i="9" s="1"/>
  <c r="EX152" i="9"/>
  <c r="EW152" i="9" s="1"/>
  <c r="N8" i="28"/>
  <c r="IE101" i="9"/>
  <c r="P8" i="27" s="1"/>
  <c r="Q85" i="32"/>
  <c r="P85" i="32"/>
  <c r="O85" i="32"/>
  <c r="N85" i="32"/>
  <c r="R85" i="32"/>
  <c r="N85" i="24"/>
  <c r="P15" i="22"/>
  <c r="O73" i="28"/>
  <c r="IG56" i="9"/>
  <c r="N24" i="28"/>
  <c r="IE22" i="9"/>
  <c r="R24" i="27" s="1"/>
  <c r="R27" i="34"/>
  <c r="N27" i="34"/>
  <c r="Q27" i="34"/>
  <c r="P27" i="34"/>
  <c r="O27" i="34"/>
  <c r="N24" i="25"/>
  <c r="K24" i="25" s="1"/>
  <c r="Q26" i="22"/>
  <c r="R60" i="36"/>
  <c r="Q60" i="36"/>
  <c r="P60" i="36"/>
  <c r="O60" i="36"/>
  <c r="N60" i="36"/>
  <c r="N53" i="26"/>
  <c r="K53" i="26" s="1"/>
  <c r="R55" i="22"/>
  <c r="Q71" i="28"/>
  <c r="Q35" i="28"/>
  <c r="O25" i="32"/>
  <c r="N25" i="32"/>
  <c r="Q25" i="32"/>
  <c r="R25" i="32"/>
  <c r="P25" i="32"/>
  <c r="N27" i="24"/>
  <c r="P37" i="22"/>
  <c r="IE152" i="9"/>
  <c r="R79" i="28"/>
  <c r="HV90" i="9"/>
  <c r="HJ90" i="9"/>
  <c r="GX90" i="9"/>
  <c r="HD90" i="9"/>
  <c r="GU90" i="9"/>
  <c r="HM90" i="9"/>
  <c r="T52" i="22"/>
  <c r="J52" i="20"/>
  <c r="EX30" i="9"/>
  <c r="EV30" i="9" s="1"/>
  <c r="L52" i="20" s="1"/>
  <c r="R89" i="28"/>
  <c r="N31" i="28"/>
  <c r="IE68" i="9"/>
  <c r="Q31" i="27" s="1"/>
  <c r="AA43" i="25"/>
  <c r="HC44" i="9"/>
  <c r="O43" i="25" s="1"/>
  <c r="N37" i="28"/>
  <c r="IE120" i="9"/>
  <c r="P86" i="28"/>
  <c r="N100" i="28"/>
  <c r="IE144" i="9"/>
  <c r="N100" i="27" s="1"/>
  <c r="O44" i="28"/>
  <c r="J50" i="20"/>
  <c r="T50" i="22"/>
  <c r="EX65" i="9"/>
  <c r="EV65" i="9" s="1"/>
  <c r="L50" i="20" s="1"/>
  <c r="Q63" i="28"/>
  <c r="T12" i="22"/>
  <c r="J12" i="20"/>
  <c r="EX76" i="9"/>
  <c r="EV76" i="9" s="1"/>
  <c r="L12" i="20" s="1"/>
  <c r="R105" i="28"/>
  <c r="Q15" i="28"/>
  <c r="O25" i="28"/>
  <c r="O3" i="28"/>
  <c r="O3" i="27"/>
  <c r="N11" i="28"/>
  <c r="IE77" i="9"/>
  <c r="R11" i="27" s="1"/>
  <c r="P101" i="28"/>
  <c r="N82" i="36"/>
  <c r="R82" i="36"/>
  <c r="Q82" i="36"/>
  <c r="P82" i="36"/>
  <c r="O82" i="36"/>
  <c r="N83" i="26"/>
  <c r="K83" i="26" s="1"/>
  <c r="R84" i="22"/>
  <c r="IE96" i="9"/>
  <c r="T68" i="22"/>
  <c r="J68" i="20"/>
  <c r="EX64" i="9"/>
  <c r="EV64" i="9" s="1"/>
  <c r="L68" i="20" s="1"/>
  <c r="R35" i="34"/>
  <c r="P35" i="34"/>
  <c r="O35" i="34"/>
  <c r="N35" i="34"/>
  <c r="Q35" i="34"/>
  <c r="N32" i="25"/>
  <c r="K32" i="25" s="1"/>
  <c r="Q45" i="22"/>
  <c r="P87" i="28"/>
  <c r="N30" i="28"/>
  <c r="IE79" i="9"/>
  <c r="N30" i="27" s="1"/>
  <c r="J37" i="20"/>
  <c r="T37" i="22"/>
  <c r="EX59" i="9"/>
  <c r="EV59" i="9" s="1"/>
  <c r="L37" i="20" s="1"/>
  <c r="R64" i="36"/>
  <c r="Q64" i="36"/>
  <c r="P64" i="36"/>
  <c r="O64" i="36"/>
  <c r="N64" i="36"/>
  <c r="N61" i="26"/>
  <c r="K61" i="26" s="1"/>
  <c r="R64" i="22"/>
  <c r="AB92" i="25"/>
  <c r="HF147" i="9"/>
  <c r="P92" i="25" s="1"/>
  <c r="K7" i="25"/>
  <c r="R85" i="34"/>
  <c r="Q85" i="34"/>
  <c r="P85" i="34"/>
  <c r="O85" i="34"/>
  <c r="N85" i="34"/>
  <c r="N84" i="25"/>
  <c r="Q42" i="22"/>
  <c r="P14" i="28"/>
  <c r="Q51" i="28"/>
  <c r="T106" i="22"/>
  <c r="J106" i="20"/>
  <c r="EX145" i="9"/>
  <c r="EV145" i="9" s="1"/>
  <c r="L106" i="20" s="1"/>
  <c r="R95" i="28"/>
  <c r="N65" i="28"/>
  <c r="IE17" i="9"/>
  <c r="R65" i="27" s="1"/>
  <c r="R99" i="34"/>
  <c r="Q99" i="34"/>
  <c r="P99" i="34"/>
  <c r="O99" i="34"/>
  <c r="N99" i="34"/>
  <c r="N98" i="25"/>
  <c r="K98" i="25" s="1"/>
  <c r="Q75" i="22"/>
  <c r="V63" i="26"/>
  <c r="HU89" i="9"/>
  <c r="Q63" i="26" s="1"/>
  <c r="FK89" i="9"/>
  <c r="Q72" i="28"/>
  <c r="T41" i="22"/>
  <c r="J41" i="20"/>
  <c r="EX73" i="9"/>
  <c r="EV73" i="9" s="1"/>
  <c r="L41" i="20" s="1"/>
  <c r="R41" i="32"/>
  <c r="Q41" i="32"/>
  <c r="P41" i="32"/>
  <c r="O41" i="32"/>
  <c r="N41" i="32"/>
  <c r="N39" i="24"/>
  <c r="P27" i="22"/>
  <c r="T57" i="22"/>
  <c r="J57" i="20"/>
  <c r="EX18" i="9"/>
  <c r="EV18" i="9" s="1"/>
  <c r="L57" i="20" s="1"/>
  <c r="O23" i="36"/>
  <c r="N23" i="36"/>
  <c r="R23" i="36"/>
  <c r="Q23" i="36"/>
  <c r="P23" i="36"/>
  <c r="N16" i="26"/>
  <c r="K16" i="26" s="1"/>
  <c r="R17" i="22"/>
  <c r="IE130" i="9"/>
  <c r="Q50" i="28"/>
  <c r="N27" i="28"/>
  <c r="IE35" i="9"/>
  <c r="N27" i="27" s="1"/>
  <c r="O16" i="28"/>
  <c r="R33" i="32"/>
  <c r="Q33" i="32"/>
  <c r="O33" i="32"/>
  <c r="P33" i="32"/>
  <c r="N33" i="32"/>
  <c r="P46" i="22"/>
  <c r="N32" i="24"/>
  <c r="K32" i="24" s="1"/>
  <c r="T25" i="22"/>
  <c r="J25" i="20"/>
  <c r="EX52" i="9"/>
  <c r="R84" i="36"/>
  <c r="Q84" i="36"/>
  <c r="P84" i="36"/>
  <c r="O84" i="36"/>
  <c r="N84" i="36"/>
  <c r="N92" i="26"/>
  <c r="K92" i="26" s="1"/>
  <c r="R91" i="22"/>
  <c r="Q38" i="34"/>
  <c r="O38" i="34"/>
  <c r="R38" i="34"/>
  <c r="P38" i="34"/>
  <c r="N38" i="34"/>
  <c r="N37" i="25"/>
  <c r="Q48" i="22"/>
  <c r="O70" i="28"/>
  <c r="T104" i="22"/>
  <c r="J104" i="20"/>
  <c r="EX136" i="9"/>
  <c r="EV136" i="9" s="1"/>
  <c r="L104" i="20" s="1"/>
  <c r="EX74" i="9"/>
  <c r="EW74" i="9" s="1"/>
  <c r="R76" i="32"/>
  <c r="Q76" i="32"/>
  <c r="P76" i="32"/>
  <c r="O76" i="32"/>
  <c r="N76" i="32"/>
  <c r="N76" i="24"/>
  <c r="K76" i="24" s="1"/>
  <c r="P12" i="22"/>
  <c r="O28" i="28"/>
  <c r="EX102" i="9"/>
  <c r="EW102" i="9" s="1"/>
  <c r="R58" i="30"/>
  <c r="Q58" i="30"/>
  <c r="P58" i="30"/>
  <c r="O58" i="30"/>
  <c r="N58" i="30"/>
  <c r="N54" i="23"/>
  <c r="K54" i="23" s="1"/>
  <c r="O52" i="22"/>
  <c r="P73" i="32"/>
  <c r="O73" i="32"/>
  <c r="N73" i="32"/>
  <c r="Q73" i="32"/>
  <c r="R73" i="32"/>
  <c r="N73" i="24"/>
  <c r="K73" i="24" s="1"/>
  <c r="P51" i="22"/>
  <c r="P89" i="28"/>
  <c r="Q65" i="32"/>
  <c r="P65" i="32"/>
  <c r="O65" i="32"/>
  <c r="N65" i="32"/>
  <c r="R65" i="32"/>
  <c r="P84" i="22"/>
  <c r="N64" i="24"/>
  <c r="K64" i="24" s="1"/>
  <c r="R60" i="28"/>
  <c r="N76" i="28"/>
  <c r="IE105" i="9"/>
  <c r="O76" i="27" s="1"/>
  <c r="R81" i="28"/>
  <c r="AB43" i="25"/>
  <c r="HF44" i="9"/>
  <c r="P43" i="25" s="1"/>
  <c r="R29" i="34"/>
  <c r="Q29" i="34"/>
  <c r="P29" i="34"/>
  <c r="O29" i="34"/>
  <c r="N29" i="34"/>
  <c r="N29" i="25"/>
  <c r="K29" i="25" s="1"/>
  <c r="Q41" i="22"/>
  <c r="II146" i="9"/>
  <c r="O47" i="28"/>
  <c r="J6" i="20"/>
  <c r="T6" i="22"/>
  <c r="EX82" i="9"/>
  <c r="EV82" i="9" s="1"/>
  <c r="L6" i="20" s="1"/>
  <c r="N10" i="36"/>
  <c r="Q10" i="36"/>
  <c r="P10" i="36"/>
  <c r="O10" i="36"/>
  <c r="R10" i="36"/>
  <c r="N9" i="26"/>
  <c r="K9" i="26" s="1"/>
  <c r="R10" i="22"/>
  <c r="R65" i="34"/>
  <c r="Q65" i="34"/>
  <c r="P65" i="34"/>
  <c r="N65" i="34"/>
  <c r="O65" i="34"/>
  <c r="Q66" i="22"/>
  <c r="N65" i="25"/>
  <c r="K65" i="25" s="1"/>
  <c r="Q54" i="28"/>
  <c r="O8" i="28"/>
  <c r="II56" i="9"/>
  <c r="O24" i="28"/>
  <c r="U11" i="24"/>
  <c r="GW29" i="9"/>
  <c r="P11" i="24" s="1"/>
  <c r="J46" i="20"/>
  <c r="T46" i="22"/>
  <c r="EX51" i="9"/>
  <c r="EV51" i="9" s="1"/>
  <c r="L46" i="20" s="1"/>
  <c r="J76" i="20"/>
  <c r="T76" i="22"/>
  <c r="EX119" i="9"/>
  <c r="EV119" i="9" s="1"/>
  <c r="L76" i="20" s="1"/>
  <c r="R35" i="28"/>
  <c r="O79" i="28"/>
  <c r="Q79" i="32"/>
  <c r="P79" i="32"/>
  <c r="O79" i="32"/>
  <c r="N79" i="32"/>
  <c r="R79" i="32"/>
  <c r="N79" i="24"/>
  <c r="P49" i="22"/>
  <c r="EX26" i="9"/>
  <c r="EW26" i="9" s="1"/>
  <c r="I97" i="26" l="1"/>
  <c r="L97" i="26"/>
  <c r="N16" i="23"/>
  <c r="I16" i="23" s="1"/>
  <c r="Q23" i="30"/>
  <c r="N23" i="30"/>
  <c r="P23" i="30"/>
  <c r="O19" i="22"/>
  <c r="O23" i="30"/>
  <c r="EX122" i="9"/>
  <c r="EV122" i="9" s="1"/>
  <c r="L55" i="20" s="1"/>
  <c r="J55" i="20"/>
  <c r="K38" i="25"/>
  <c r="O55" i="22"/>
  <c r="O59" i="30"/>
  <c r="R59" i="30"/>
  <c r="N52" i="23"/>
  <c r="K52" i="23" s="1"/>
  <c r="N59" i="30"/>
  <c r="P59" i="30"/>
  <c r="L104" i="24"/>
  <c r="L58" i="25"/>
  <c r="I58" i="25"/>
  <c r="I104" i="24"/>
  <c r="IE122" i="9"/>
  <c r="O64" i="27" s="1"/>
  <c r="P64" i="28"/>
  <c r="K17" i="24"/>
  <c r="L88" i="26"/>
  <c r="K88" i="26"/>
  <c r="L17" i="24"/>
  <c r="L38" i="23"/>
  <c r="I72" i="26"/>
  <c r="L72" i="26"/>
  <c r="I38" i="23"/>
  <c r="O80" i="22"/>
  <c r="K86" i="24"/>
  <c r="N80" i="23"/>
  <c r="K80" i="23" s="1"/>
  <c r="R80" i="30"/>
  <c r="N80" i="30"/>
  <c r="Q80" i="30"/>
  <c r="P80" i="30"/>
  <c r="L58" i="23"/>
  <c r="I58" i="23"/>
  <c r="K98" i="24"/>
  <c r="L86" i="24"/>
  <c r="K103" i="24"/>
  <c r="K22" i="26"/>
  <c r="L22" i="26"/>
  <c r="I103" i="24"/>
  <c r="K69" i="23"/>
  <c r="L69" i="23"/>
  <c r="L8" i="25"/>
  <c r="K8" i="25"/>
  <c r="L58" i="24"/>
  <c r="K87" i="24"/>
  <c r="L87" i="24"/>
  <c r="I58" i="24"/>
  <c r="L98" i="24"/>
  <c r="O19" i="30"/>
  <c r="P19" i="30"/>
  <c r="K80" i="26"/>
  <c r="L63" i="24"/>
  <c r="I63" i="24"/>
  <c r="L106" i="24"/>
  <c r="Q19" i="30"/>
  <c r="L80" i="26"/>
  <c r="R19" i="30"/>
  <c r="L66" i="23"/>
  <c r="I47" i="26"/>
  <c r="Q15" i="27"/>
  <c r="N19" i="23"/>
  <c r="K19" i="23" s="1"/>
  <c r="K83" i="23"/>
  <c r="O20" i="22"/>
  <c r="L19" i="26"/>
  <c r="I106" i="24"/>
  <c r="L47" i="26"/>
  <c r="K71" i="24"/>
  <c r="L68" i="24"/>
  <c r="L83" i="23"/>
  <c r="L71" i="24"/>
  <c r="I19" i="26"/>
  <c r="L94" i="23"/>
  <c r="K90" i="26"/>
  <c r="I94" i="23"/>
  <c r="L13" i="25"/>
  <c r="L90" i="26"/>
  <c r="R29" i="32"/>
  <c r="Q29" i="32"/>
  <c r="P29" i="32"/>
  <c r="K13" i="25"/>
  <c r="P47" i="22"/>
  <c r="N22" i="24"/>
  <c r="K22" i="24" s="1"/>
  <c r="O29" i="32"/>
  <c r="I36" i="24"/>
  <c r="Q83" i="27"/>
  <c r="EW148" i="9"/>
  <c r="M96" i="20" s="1"/>
  <c r="N96" i="22"/>
  <c r="K96" i="22" s="1"/>
  <c r="L55" i="26"/>
  <c r="I96" i="20"/>
  <c r="H96" i="20" s="1"/>
  <c r="K12" i="23"/>
  <c r="I55" i="26"/>
  <c r="L12" i="23"/>
  <c r="P15" i="27"/>
  <c r="O15" i="27"/>
  <c r="K25" i="25"/>
  <c r="O106" i="27"/>
  <c r="K84" i="24"/>
  <c r="L25" i="25"/>
  <c r="L44" i="25"/>
  <c r="I44" i="25"/>
  <c r="O53" i="34"/>
  <c r="N53" i="34"/>
  <c r="R53" i="34"/>
  <c r="P53" i="34"/>
  <c r="Q53" i="34"/>
  <c r="K7" i="26"/>
  <c r="L27" i="23"/>
  <c r="L7" i="26"/>
  <c r="I14" i="25"/>
  <c r="I27" i="23"/>
  <c r="L14" i="25"/>
  <c r="Q19" i="22"/>
  <c r="K70" i="26"/>
  <c r="L8" i="24"/>
  <c r="I8" i="24"/>
  <c r="L4" i="24"/>
  <c r="K4" i="24"/>
  <c r="L86" i="23"/>
  <c r="N13" i="32"/>
  <c r="K86" i="23"/>
  <c r="O66" i="27"/>
  <c r="L36" i="24"/>
  <c r="L70" i="26"/>
  <c r="O25" i="27"/>
  <c r="L47" i="24"/>
  <c r="I47" i="24"/>
  <c r="O13" i="32"/>
  <c r="P13" i="32"/>
  <c r="Q13" i="32"/>
  <c r="FB90" i="9"/>
  <c r="U92" i="22" s="1"/>
  <c r="I47" i="23"/>
  <c r="I66" i="23"/>
  <c r="K102" i="25"/>
  <c r="K68" i="24"/>
  <c r="R83" i="27"/>
  <c r="L102" i="25"/>
  <c r="N83" i="27"/>
  <c r="K47" i="23"/>
  <c r="O83" i="27"/>
  <c r="L55" i="25"/>
  <c r="R13" i="32"/>
  <c r="R19" i="36"/>
  <c r="P19" i="22"/>
  <c r="EV72" i="9"/>
  <c r="L78" i="20" s="1"/>
  <c r="N84" i="22"/>
  <c r="I84" i="22" s="1"/>
  <c r="I84" i="20"/>
  <c r="H84" i="20" s="1"/>
  <c r="L104" i="23"/>
  <c r="N78" i="22"/>
  <c r="I78" i="22" s="1"/>
  <c r="I78" i="20"/>
  <c r="H78" i="20" s="1"/>
  <c r="K69" i="24"/>
  <c r="GZ90" i="9"/>
  <c r="Q54" i="24" s="1"/>
  <c r="K104" i="23"/>
  <c r="R47" i="22"/>
  <c r="K64" i="25"/>
  <c r="L72" i="25"/>
  <c r="I72" i="25"/>
  <c r="N69" i="26"/>
  <c r="K69" i="26" s="1"/>
  <c r="N75" i="36"/>
  <c r="O75" i="36"/>
  <c r="GN90" i="9"/>
  <c r="Q97" i="23" s="1"/>
  <c r="P75" i="36"/>
  <c r="Q75" i="36"/>
  <c r="L39" i="23"/>
  <c r="L90" i="25"/>
  <c r="Q71" i="27"/>
  <c r="L64" i="25"/>
  <c r="Q54" i="27"/>
  <c r="P86" i="27"/>
  <c r="O86" i="27"/>
  <c r="L34" i="26"/>
  <c r="I34" i="26"/>
  <c r="R45" i="27"/>
  <c r="R92" i="27"/>
  <c r="P45" i="27"/>
  <c r="Q92" i="27"/>
  <c r="K39" i="23"/>
  <c r="L66" i="26"/>
  <c r="W83" i="25"/>
  <c r="K93" i="24"/>
  <c r="L93" i="24"/>
  <c r="K60" i="26"/>
  <c r="K90" i="25"/>
  <c r="K41" i="26"/>
  <c r="O45" i="27"/>
  <c r="K55" i="25"/>
  <c r="N39" i="22"/>
  <c r="I39" i="22" s="1"/>
  <c r="L84" i="24"/>
  <c r="L72" i="23"/>
  <c r="I72" i="23"/>
  <c r="EX56" i="9"/>
  <c r="EV56" i="9" s="1"/>
  <c r="L20" i="20" s="1"/>
  <c r="R20" i="22"/>
  <c r="I39" i="20"/>
  <c r="H39" i="20" s="1"/>
  <c r="N20" i="26"/>
  <c r="K20" i="26" s="1"/>
  <c r="N19" i="36"/>
  <c r="O19" i="36"/>
  <c r="K6" i="25"/>
  <c r="P19" i="36"/>
  <c r="K18" i="25"/>
  <c r="P101" i="27"/>
  <c r="I69" i="24"/>
  <c r="L77" i="26"/>
  <c r="L78" i="23"/>
  <c r="R15" i="27"/>
  <c r="K80" i="24"/>
  <c r="Q25" i="27"/>
  <c r="I78" i="23"/>
  <c r="L41" i="26"/>
  <c r="P70" i="30"/>
  <c r="K105" i="26"/>
  <c r="I62" i="26"/>
  <c r="K62" i="26"/>
  <c r="O47" i="22"/>
  <c r="K50" i="23"/>
  <c r="L105" i="25"/>
  <c r="N62" i="23"/>
  <c r="K62" i="23" s="1"/>
  <c r="O70" i="30"/>
  <c r="N70" i="30"/>
  <c r="O73" i="27"/>
  <c r="L48" i="24"/>
  <c r="R70" i="30"/>
  <c r="L9" i="24"/>
  <c r="I48" i="24"/>
  <c r="I66" i="26"/>
  <c r="I9" i="24"/>
  <c r="T80" i="22"/>
  <c r="Q59" i="27"/>
  <c r="R95" i="27"/>
  <c r="L80" i="24"/>
  <c r="O95" i="27"/>
  <c r="K105" i="25"/>
  <c r="I77" i="26"/>
  <c r="L105" i="26"/>
  <c r="IE10" i="9"/>
  <c r="O9" i="27"/>
  <c r="R16" i="27"/>
  <c r="FA92" i="9"/>
  <c r="R96" i="30" s="1"/>
  <c r="U90" i="22"/>
  <c r="R73" i="27"/>
  <c r="Q66" i="27"/>
  <c r="P51" i="27"/>
  <c r="Q51" i="27"/>
  <c r="L18" i="25"/>
  <c r="O79" i="27"/>
  <c r="R35" i="27"/>
  <c r="Q35" i="27"/>
  <c r="Q79" i="27"/>
  <c r="O47" i="27"/>
  <c r="O35" i="27"/>
  <c r="R20" i="27"/>
  <c r="Q45" i="27"/>
  <c r="J80" i="20"/>
  <c r="L60" i="26"/>
  <c r="R96" i="27"/>
  <c r="P20" i="27"/>
  <c r="L6" i="25"/>
  <c r="Q96" i="27"/>
  <c r="O43" i="27"/>
  <c r="EV71" i="9"/>
  <c r="L84" i="20" s="1"/>
  <c r="J20" i="20"/>
  <c r="P96" i="27"/>
  <c r="O96" i="27"/>
  <c r="P81" i="27"/>
  <c r="FD28" i="9"/>
  <c r="N19" i="24" s="1"/>
  <c r="P12" i="27"/>
  <c r="P60" i="27"/>
  <c r="R12" i="27"/>
  <c r="FG92" i="9"/>
  <c r="R87" i="34" s="1"/>
  <c r="N44" i="27"/>
  <c r="W90" i="22"/>
  <c r="N81" i="27"/>
  <c r="P66" i="27"/>
  <c r="O12" i="27"/>
  <c r="P14" i="27"/>
  <c r="P43" i="27"/>
  <c r="Q20" i="27"/>
  <c r="O75" i="27"/>
  <c r="R42" i="27"/>
  <c r="R81" i="27"/>
  <c r="R28" i="27"/>
  <c r="S19" i="24"/>
  <c r="FA28" i="9"/>
  <c r="N42" i="23" s="1"/>
  <c r="K42" i="23" s="1"/>
  <c r="P48" i="27"/>
  <c r="O42" i="27"/>
  <c r="U36" i="22"/>
  <c r="O48" i="27"/>
  <c r="R101" i="27"/>
  <c r="Q48" i="27"/>
  <c r="K13" i="24"/>
  <c r="N51" i="27"/>
  <c r="R48" i="27"/>
  <c r="L13" i="24"/>
  <c r="EV112" i="9"/>
  <c r="IG28" i="9"/>
  <c r="O39" i="28" s="1"/>
  <c r="O28" i="27"/>
  <c r="R66" i="27"/>
  <c r="O38" i="27"/>
  <c r="W36" i="22"/>
  <c r="Q29" i="27"/>
  <c r="P7" i="27"/>
  <c r="N103" i="27"/>
  <c r="R38" i="27"/>
  <c r="P29" i="27"/>
  <c r="P59" i="27"/>
  <c r="N29" i="27"/>
  <c r="L50" i="23"/>
  <c r="P35" i="27"/>
  <c r="R29" i="27"/>
  <c r="P4" i="27"/>
  <c r="IF28" i="9"/>
  <c r="N39" i="28" s="1"/>
  <c r="FA24" i="9"/>
  <c r="Q27" i="30" s="1"/>
  <c r="EV49" i="9"/>
  <c r="L39" i="20" s="1"/>
  <c r="U18" i="22"/>
  <c r="P92" i="27"/>
  <c r="P75" i="27"/>
  <c r="EV146" i="9"/>
  <c r="L80" i="20" s="1"/>
  <c r="Q68" i="27"/>
  <c r="O59" i="27"/>
  <c r="N63" i="22"/>
  <c r="I63" i="22" s="1"/>
  <c r="N50" i="27"/>
  <c r="I63" i="20"/>
  <c r="H63" i="20" s="1"/>
  <c r="O78" i="27"/>
  <c r="N56" i="27"/>
  <c r="Q65" i="27"/>
  <c r="N61" i="27"/>
  <c r="Q72" i="27"/>
  <c r="Q78" i="27"/>
  <c r="R22" i="27"/>
  <c r="Q16" i="27"/>
  <c r="P31" i="27"/>
  <c r="R78" i="27"/>
  <c r="P78" i="27"/>
  <c r="Q4" i="27"/>
  <c r="N9" i="27"/>
  <c r="R86" i="27"/>
  <c r="O20" i="27"/>
  <c r="IJ28" i="9"/>
  <c r="R39" i="28" s="1"/>
  <c r="N36" i="27"/>
  <c r="P61" i="27"/>
  <c r="P97" i="27"/>
  <c r="Q60" i="27"/>
  <c r="FB78" i="9"/>
  <c r="U93" i="22" s="1"/>
  <c r="R72" i="27"/>
  <c r="R89" i="27"/>
  <c r="Q89" i="27"/>
  <c r="O26" i="27"/>
  <c r="O61" i="27"/>
  <c r="Q74" i="27"/>
  <c r="IJ24" i="9"/>
  <c r="R21" i="28" s="1"/>
  <c r="O56" i="27"/>
  <c r="O16" i="27"/>
  <c r="O14" i="27"/>
  <c r="P9" i="27"/>
  <c r="R74" i="27"/>
  <c r="O104" i="27"/>
  <c r="N71" i="27"/>
  <c r="P16" i="27"/>
  <c r="P89" i="27"/>
  <c r="P72" i="27"/>
  <c r="Q50" i="27"/>
  <c r="EV41" i="9"/>
  <c r="L63" i="20" s="1"/>
  <c r="R60" i="27"/>
  <c r="N43" i="27"/>
  <c r="N12" i="27"/>
  <c r="P87" i="27"/>
  <c r="O44" i="27"/>
  <c r="N86" i="27"/>
  <c r="N4" i="27"/>
  <c r="O97" i="27"/>
  <c r="N59" i="27"/>
  <c r="N32" i="27"/>
  <c r="IH28" i="9"/>
  <c r="P39" i="28" s="1"/>
  <c r="N55" i="27"/>
  <c r="R106" i="27"/>
  <c r="N24" i="27"/>
  <c r="P30" i="27"/>
  <c r="N106" i="27"/>
  <c r="N34" i="27"/>
  <c r="O77" i="27"/>
  <c r="Q77" i="27"/>
  <c r="U83" i="25"/>
  <c r="O92" i="27"/>
  <c r="N8" i="27"/>
  <c r="EV39" i="9"/>
  <c r="Q103" i="27"/>
  <c r="P46" i="27"/>
  <c r="N77" i="27"/>
  <c r="Q55" i="27"/>
  <c r="N60" i="27"/>
  <c r="P42" i="27"/>
  <c r="N88" i="27"/>
  <c r="P88" i="27"/>
  <c r="O88" i="27"/>
  <c r="R88" i="27"/>
  <c r="O82" i="27"/>
  <c r="EV69" i="9"/>
  <c r="EV74" i="9"/>
  <c r="EV152" i="9"/>
  <c r="O46" i="27"/>
  <c r="N87" i="27"/>
  <c r="N46" i="27"/>
  <c r="O98" i="27"/>
  <c r="R34" i="27"/>
  <c r="N22" i="27"/>
  <c r="Q97" i="27"/>
  <c r="Q19" i="27"/>
  <c r="R5" i="27"/>
  <c r="R77" i="27"/>
  <c r="Q42" i="27"/>
  <c r="EV34" i="9"/>
  <c r="O8" i="27"/>
  <c r="P28" i="27"/>
  <c r="EV10" i="9"/>
  <c r="R56" i="27"/>
  <c r="P5" i="27"/>
  <c r="EV129" i="9"/>
  <c r="O65" i="27"/>
  <c r="R14" i="27"/>
  <c r="I82" i="24"/>
  <c r="L82" i="24"/>
  <c r="K82" i="24"/>
  <c r="P44" i="27"/>
  <c r="N85" i="27"/>
  <c r="R31" i="27"/>
  <c r="EV109" i="9"/>
  <c r="P85" i="27"/>
  <c r="EY28" i="9"/>
  <c r="T36" i="22" s="1"/>
  <c r="R53" i="27"/>
  <c r="EV55" i="9"/>
  <c r="R55" i="27"/>
  <c r="N28" i="27"/>
  <c r="EV80" i="9"/>
  <c r="P22" i="27"/>
  <c r="T30" i="25"/>
  <c r="I66" i="25"/>
  <c r="L66" i="25"/>
  <c r="N65" i="27"/>
  <c r="N19" i="27"/>
  <c r="Q73" i="27"/>
  <c r="P106" i="27"/>
  <c r="Q30" i="27"/>
  <c r="Q9" i="27"/>
  <c r="EV103" i="9"/>
  <c r="N38" i="27"/>
  <c r="R75" i="27"/>
  <c r="EV106" i="9"/>
  <c r="N97" i="27"/>
  <c r="EV83" i="9"/>
  <c r="P38" i="27"/>
  <c r="EV104" i="9"/>
  <c r="FG89" i="9"/>
  <c r="N52" i="25" s="1"/>
  <c r="K52" i="25" s="1"/>
  <c r="I20" i="24"/>
  <c r="L20" i="24"/>
  <c r="K20" i="24"/>
  <c r="R61" i="27"/>
  <c r="O31" i="27"/>
  <c r="Q75" i="27"/>
  <c r="Q14" i="27"/>
  <c r="W65" i="22"/>
  <c r="Q88" i="27"/>
  <c r="K66" i="25"/>
  <c r="N31" i="27"/>
  <c r="N89" i="27"/>
  <c r="N49" i="27"/>
  <c r="R50" i="27"/>
  <c r="I84" i="23"/>
  <c r="L84" i="23"/>
  <c r="K84" i="23"/>
  <c r="EV26" i="9"/>
  <c r="I76" i="20"/>
  <c r="H76" i="20" s="1"/>
  <c r="N76" i="22"/>
  <c r="K76" i="22" s="1"/>
  <c r="EW119" i="9"/>
  <c r="M76" i="20" s="1"/>
  <c r="O24" i="27"/>
  <c r="N76" i="27"/>
  <c r="I50" i="20"/>
  <c r="H50" i="20" s="1"/>
  <c r="N50" i="22"/>
  <c r="EW65" i="9"/>
  <c r="M50" i="20" s="1"/>
  <c r="I24" i="26"/>
  <c r="L24" i="26"/>
  <c r="I58" i="26"/>
  <c r="L58" i="26"/>
  <c r="I9" i="23"/>
  <c r="L9" i="23"/>
  <c r="I33" i="26"/>
  <c r="L33" i="26"/>
  <c r="Z19" i="14"/>
  <c r="Z12" i="14"/>
  <c r="Z15" i="14"/>
  <c r="Z8" i="14"/>
  <c r="Z18" i="14"/>
  <c r="Z14" i="14"/>
  <c r="Z39" i="13"/>
  <c r="Z44" i="13"/>
  <c r="Z43" i="13"/>
  <c r="Z38" i="13"/>
  <c r="Z17" i="14"/>
  <c r="Z13" i="14"/>
  <c r="Z45" i="13"/>
  <c r="Z42" i="13"/>
  <c r="Z46" i="13"/>
  <c r="Z37" i="13"/>
  <c r="Z16" i="14"/>
  <c r="Z47" i="13"/>
  <c r="Z41" i="13"/>
  <c r="Z11" i="14"/>
  <c r="Z6" i="14"/>
  <c r="Z7" i="14" s="1"/>
  <c r="Z22" i="13"/>
  <c r="Z40" i="13"/>
  <c r="Z31" i="13"/>
  <c r="Z26" i="13"/>
  <c r="Z10" i="14"/>
  <c r="Z30" i="13"/>
  <c r="Z9" i="14"/>
  <c r="Z25" i="13"/>
  <c r="Z34" i="13"/>
  <c r="Z20" i="13"/>
  <c r="Z29" i="13"/>
  <c r="Z35" i="13"/>
  <c r="Z24" i="13"/>
  <c r="Z33" i="13"/>
  <c r="Z28" i="13"/>
  <c r="Z36" i="13"/>
  <c r="Z23" i="13"/>
  <c r="Z15" i="13"/>
  <c r="Z11" i="13"/>
  <c r="Z21" i="13"/>
  <c r="Z19" i="13"/>
  <c r="Z14" i="13"/>
  <c r="Z10" i="13"/>
  <c r="Z27" i="13"/>
  <c r="Z18" i="13"/>
  <c r="Z9" i="13"/>
  <c r="Z13" i="13"/>
  <c r="Z17" i="13"/>
  <c r="Z8" i="13"/>
  <c r="Z16" i="13"/>
  <c r="Z12" i="13"/>
  <c r="Z20" i="11"/>
  <c r="Z18" i="11"/>
  <c r="Z16" i="11"/>
  <c r="Z14" i="11"/>
  <c r="Z6" i="13"/>
  <c r="Z7" i="13" s="1"/>
  <c r="Z32" i="13"/>
  <c r="Z19" i="11"/>
  <c r="Z17" i="11"/>
  <c r="Z15" i="11"/>
  <c r="Z13" i="11"/>
  <c r="Z10" i="11"/>
  <c r="Z40" i="10"/>
  <c r="Z38" i="10"/>
  <c r="Z36" i="10"/>
  <c r="Z34" i="10"/>
  <c r="Z32" i="10"/>
  <c r="Z30" i="10"/>
  <c r="Z12" i="11"/>
  <c r="Z42" i="10"/>
  <c r="Z41" i="10"/>
  <c r="Z39" i="10"/>
  <c r="Z37" i="10"/>
  <c r="Z35" i="10"/>
  <c r="Z33" i="10"/>
  <c r="Z8" i="11"/>
  <c r="Z11" i="11"/>
  <c r="Z9" i="11"/>
  <c r="Z31" i="10"/>
  <c r="Z27" i="10"/>
  <c r="Z25" i="10"/>
  <c r="Z23" i="10"/>
  <c r="Z21" i="10"/>
  <c r="Z19" i="10"/>
  <c r="Z17" i="10"/>
  <c r="Z15" i="10"/>
  <c r="Z13" i="10"/>
  <c r="Z11" i="10"/>
  <c r="Z9" i="10"/>
  <c r="Z29" i="10"/>
  <c r="Z26" i="10"/>
  <c r="Z24" i="10"/>
  <c r="Z22" i="10"/>
  <c r="Z20" i="10"/>
  <c r="Z18" i="10"/>
  <c r="Z16" i="10"/>
  <c r="Z28" i="10"/>
  <c r="Z12" i="10"/>
  <c r="Z14" i="10"/>
  <c r="Z10" i="10"/>
  <c r="Z8" i="10"/>
  <c r="AA21" i="9"/>
  <c r="Z6" i="9"/>
  <c r="P65" i="27"/>
  <c r="O71" i="27"/>
  <c r="N105" i="27"/>
  <c r="P73" i="27"/>
  <c r="T19" i="22"/>
  <c r="J19" i="20"/>
  <c r="EX44" i="9"/>
  <c r="EV44" i="9" s="1"/>
  <c r="L19" i="20" s="1"/>
  <c r="I98" i="23"/>
  <c r="L98" i="23"/>
  <c r="Q84" i="27"/>
  <c r="Q81" i="27"/>
  <c r="I18" i="24"/>
  <c r="L18" i="24"/>
  <c r="O22" i="27"/>
  <c r="S94" i="26"/>
  <c r="X90" i="22"/>
  <c r="FJ92" i="9"/>
  <c r="R54" i="27"/>
  <c r="Q53" i="27"/>
  <c r="EV97" i="9"/>
  <c r="O7" i="27"/>
  <c r="I35" i="23"/>
  <c r="L35" i="23"/>
  <c r="I27" i="25"/>
  <c r="L27" i="25"/>
  <c r="N74" i="27"/>
  <c r="P32" i="27"/>
  <c r="R4" i="27"/>
  <c r="I35" i="26"/>
  <c r="L35" i="26"/>
  <c r="R8" i="27"/>
  <c r="I17" i="25"/>
  <c r="L17" i="25"/>
  <c r="Q49" i="27"/>
  <c r="I24" i="23"/>
  <c r="L24" i="23"/>
  <c r="I79" i="26"/>
  <c r="L79" i="26"/>
  <c r="T91" i="26"/>
  <c r="HO78" i="9"/>
  <c r="O91" i="26" s="1"/>
  <c r="FK78" i="9"/>
  <c r="EV86" i="9"/>
  <c r="N18" i="28"/>
  <c r="IE56" i="9"/>
  <c r="P18" i="27" s="1"/>
  <c r="Q56" i="27"/>
  <c r="I17" i="20"/>
  <c r="H17" i="20" s="1"/>
  <c r="N17" i="22"/>
  <c r="EW84" i="9"/>
  <c r="M17" i="20" s="1"/>
  <c r="I70" i="24"/>
  <c r="L70" i="24"/>
  <c r="I93" i="23"/>
  <c r="L93" i="23"/>
  <c r="I57" i="25"/>
  <c r="L57" i="25"/>
  <c r="L43" i="25"/>
  <c r="I91" i="20"/>
  <c r="H91" i="20" s="1"/>
  <c r="N91" i="22"/>
  <c r="K91" i="22" s="1"/>
  <c r="EW118" i="9"/>
  <c r="M91" i="20" s="1"/>
  <c r="I34" i="24"/>
  <c r="L34" i="24"/>
  <c r="Q47" i="27"/>
  <c r="I5" i="20"/>
  <c r="H5" i="20" s="1"/>
  <c r="N5" i="22"/>
  <c r="K5" i="22" s="1"/>
  <c r="EW58" i="9"/>
  <c r="M5" i="20" s="1"/>
  <c r="N67" i="22"/>
  <c r="K67" i="22" s="1"/>
  <c r="I67" i="20"/>
  <c r="H67" i="20" s="1"/>
  <c r="EW115" i="9"/>
  <c r="M67" i="20" s="1"/>
  <c r="O51" i="27"/>
  <c r="I48" i="26"/>
  <c r="L48" i="26"/>
  <c r="I64" i="26"/>
  <c r="L64" i="26"/>
  <c r="I10" i="25"/>
  <c r="L10" i="25"/>
  <c r="I49" i="23"/>
  <c r="L49" i="23"/>
  <c r="I97" i="24"/>
  <c r="L97" i="24"/>
  <c r="I52" i="24"/>
  <c r="L52" i="24"/>
  <c r="X83" i="25"/>
  <c r="HL78" i="9"/>
  <c r="R83" i="25" s="1"/>
  <c r="I4" i="23"/>
  <c r="L4" i="23"/>
  <c r="I48" i="25"/>
  <c r="L48" i="25"/>
  <c r="S55" i="24"/>
  <c r="V90" i="22"/>
  <c r="FD92" i="9"/>
  <c r="I90" i="24"/>
  <c r="L90" i="24"/>
  <c r="EV25" i="9"/>
  <c r="K43" i="25"/>
  <c r="Q24" i="27"/>
  <c r="I74" i="24"/>
  <c r="L74" i="24"/>
  <c r="I46" i="23"/>
  <c r="L46" i="23"/>
  <c r="P24" i="27"/>
  <c r="I105" i="23"/>
  <c r="L105" i="23"/>
  <c r="I35" i="24"/>
  <c r="L35" i="24"/>
  <c r="X85" i="25"/>
  <c r="HL90" i="9"/>
  <c r="R85" i="25" s="1"/>
  <c r="I70" i="23"/>
  <c r="L70" i="23"/>
  <c r="I27" i="24"/>
  <c r="L27" i="24"/>
  <c r="I5" i="25"/>
  <c r="L5" i="25"/>
  <c r="R61" i="34"/>
  <c r="N61" i="34"/>
  <c r="Q61" i="34"/>
  <c r="P61" i="34"/>
  <c r="O61" i="34"/>
  <c r="N56" i="25"/>
  <c r="K56" i="25" s="1"/>
  <c r="Q47" i="22"/>
  <c r="I21" i="20"/>
  <c r="H21" i="20" s="1"/>
  <c r="N21" i="22"/>
  <c r="K21" i="22" s="1"/>
  <c r="EW22" i="9"/>
  <c r="M21" i="20" s="1"/>
  <c r="I39" i="26"/>
  <c r="L39" i="26"/>
  <c r="I92" i="23"/>
  <c r="L92" i="23"/>
  <c r="I56" i="26"/>
  <c r="L56" i="26"/>
  <c r="I96" i="25"/>
  <c r="L96" i="25"/>
  <c r="I97" i="25"/>
  <c r="L97" i="25"/>
  <c r="U91" i="26"/>
  <c r="HR78" i="9"/>
  <c r="P91" i="26" s="1"/>
  <c r="I7" i="23"/>
  <c r="L7" i="23"/>
  <c r="Q13" i="27"/>
  <c r="I56" i="23"/>
  <c r="L56" i="23"/>
  <c r="I8" i="26"/>
  <c r="L8" i="26"/>
  <c r="R20" i="36"/>
  <c r="Q20" i="36"/>
  <c r="P20" i="36"/>
  <c r="O20" i="36"/>
  <c r="N20" i="36"/>
  <c r="N14" i="26"/>
  <c r="K14" i="26" s="1"/>
  <c r="R19" i="22"/>
  <c r="I50" i="24"/>
  <c r="L50" i="24"/>
  <c r="I97" i="20"/>
  <c r="H97" i="20" s="1"/>
  <c r="N97" i="22"/>
  <c r="EW117" i="9"/>
  <c r="M97" i="20" s="1"/>
  <c r="I20" i="25"/>
  <c r="L20" i="25"/>
  <c r="I100" i="24"/>
  <c r="L100" i="24"/>
  <c r="I92" i="24"/>
  <c r="L92" i="24"/>
  <c r="S7" i="24"/>
  <c r="V18" i="22"/>
  <c r="FD24" i="9"/>
  <c r="I98" i="20"/>
  <c r="H98" i="20" s="1"/>
  <c r="N98" i="22"/>
  <c r="K98" i="22" s="1"/>
  <c r="EW141" i="9"/>
  <c r="M98" i="20" s="1"/>
  <c r="I79" i="24"/>
  <c r="L79" i="24"/>
  <c r="EV102" i="9"/>
  <c r="I104" i="20"/>
  <c r="H104" i="20" s="1"/>
  <c r="N104" i="22"/>
  <c r="K104" i="22" s="1"/>
  <c r="EW136" i="9"/>
  <c r="M104" i="20" s="1"/>
  <c r="I92" i="26"/>
  <c r="L92" i="26"/>
  <c r="I39" i="24"/>
  <c r="L39" i="24"/>
  <c r="U85" i="25"/>
  <c r="FH90" i="9"/>
  <c r="HC90" i="9"/>
  <c r="O85" i="25" s="1"/>
  <c r="EV36" i="9"/>
  <c r="I28" i="26"/>
  <c r="L28" i="26"/>
  <c r="T16" i="25"/>
  <c r="W14" i="22"/>
  <c r="FG29" i="9"/>
  <c r="I33" i="23"/>
  <c r="L33" i="23"/>
  <c r="EV95" i="9"/>
  <c r="Q87" i="27"/>
  <c r="K85" i="22"/>
  <c r="EV22" i="9"/>
  <c r="L21" i="20" s="1"/>
  <c r="I82" i="23"/>
  <c r="L82" i="23"/>
  <c r="P70" i="27"/>
  <c r="N70" i="27"/>
  <c r="I83" i="24"/>
  <c r="L83" i="24"/>
  <c r="N13" i="27"/>
  <c r="I46" i="25"/>
  <c r="L46" i="25"/>
  <c r="N26" i="27"/>
  <c r="I24" i="20"/>
  <c r="H24" i="20" s="1"/>
  <c r="N24" i="22"/>
  <c r="K24" i="22" s="1"/>
  <c r="EW11" i="9"/>
  <c r="M24" i="20" s="1"/>
  <c r="I12" i="25"/>
  <c r="L12" i="25"/>
  <c r="P33" i="27"/>
  <c r="I66" i="20"/>
  <c r="H66" i="20" s="1"/>
  <c r="N66" i="22"/>
  <c r="K66" i="22" s="1"/>
  <c r="EW23" i="9"/>
  <c r="M66" i="20" s="1"/>
  <c r="R102" i="27"/>
  <c r="N68" i="27"/>
  <c r="Q102" i="27"/>
  <c r="IJ92" i="9"/>
  <c r="Q57" i="28"/>
  <c r="R13" i="27"/>
  <c r="I36" i="26"/>
  <c r="L36" i="26"/>
  <c r="I68" i="25"/>
  <c r="L68" i="25"/>
  <c r="N58" i="27"/>
  <c r="I31" i="20"/>
  <c r="H31" i="20" s="1"/>
  <c r="I3" i="20"/>
  <c r="L3" i="20" s="1"/>
  <c r="N3" i="22"/>
  <c r="K3" i="22" s="1"/>
  <c r="P3" i="20"/>
  <c r="N31" i="22"/>
  <c r="K31" i="22" s="1"/>
  <c r="EW8" i="9"/>
  <c r="M31" i="20" s="1"/>
  <c r="S41" i="24"/>
  <c r="V65" i="22"/>
  <c r="FD89" i="9"/>
  <c r="O13" i="27"/>
  <c r="I21" i="26"/>
  <c r="L21" i="26"/>
  <c r="Q36" i="27"/>
  <c r="I26" i="20"/>
  <c r="H26" i="20" s="1"/>
  <c r="N26" i="22"/>
  <c r="K26" i="22" s="1"/>
  <c r="EW125" i="9"/>
  <c r="M26" i="20" s="1"/>
  <c r="R7" i="27"/>
  <c r="V83" i="25"/>
  <c r="HF78" i="9"/>
  <c r="P83" i="25" s="1"/>
  <c r="I78" i="26"/>
  <c r="L78" i="26"/>
  <c r="P34" i="27"/>
  <c r="R43" i="27"/>
  <c r="I30" i="26"/>
  <c r="L30" i="26"/>
  <c r="I101" i="23"/>
  <c r="L101" i="23"/>
  <c r="O30" i="27"/>
  <c r="N80" i="28"/>
  <c r="IE146" i="9"/>
  <c r="N80" i="27" s="1"/>
  <c r="I101" i="24"/>
  <c r="L101" i="24"/>
  <c r="Q5" i="27"/>
  <c r="N69" i="27"/>
  <c r="S15" i="26"/>
  <c r="X14" i="22"/>
  <c r="FJ29" i="9"/>
  <c r="I44" i="23"/>
  <c r="L44" i="23"/>
  <c r="K39" i="24"/>
  <c r="O5" i="27"/>
  <c r="I100" i="25"/>
  <c r="L100" i="25"/>
  <c r="R18" i="28"/>
  <c r="P69" i="27"/>
  <c r="O72" i="27"/>
  <c r="EY24" i="9"/>
  <c r="N6" i="27"/>
  <c r="I19" i="25"/>
  <c r="L19" i="25"/>
  <c r="I88" i="24"/>
  <c r="L88" i="24"/>
  <c r="I44" i="26"/>
  <c r="L44" i="26"/>
  <c r="I56" i="24"/>
  <c r="L56" i="24"/>
  <c r="I77" i="24"/>
  <c r="L77" i="24"/>
  <c r="I64" i="20"/>
  <c r="H64" i="20" s="1"/>
  <c r="N64" i="22"/>
  <c r="K64" i="22" s="1"/>
  <c r="EW53" i="9"/>
  <c r="M64" i="20" s="1"/>
  <c r="I34" i="25"/>
  <c r="L34" i="25"/>
  <c r="I54" i="25"/>
  <c r="L54" i="25"/>
  <c r="I20" i="23"/>
  <c r="L20" i="23"/>
  <c r="I64" i="24"/>
  <c r="L64" i="24"/>
  <c r="I73" i="24"/>
  <c r="L73" i="24"/>
  <c r="I37" i="20"/>
  <c r="H37" i="20" s="1"/>
  <c r="N37" i="22"/>
  <c r="K37" i="22" s="1"/>
  <c r="EW59" i="9"/>
  <c r="M37" i="20" s="1"/>
  <c r="O37" i="27"/>
  <c r="Q37" i="27"/>
  <c r="U54" i="24"/>
  <c r="GW90" i="9"/>
  <c r="P54" i="24" s="1"/>
  <c r="I106" i="26"/>
  <c r="L106" i="26"/>
  <c r="Q69" i="27"/>
  <c r="I104" i="26"/>
  <c r="L104" i="26"/>
  <c r="I46" i="26"/>
  <c r="L46" i="26"/>
  <c r="I95" i="23"/>
  <c r="L95" i="23"/>
  <c r="I66" i="24"/>
  <c r="L66" i="24"/>
  <c r="N84" i="27"/>
  <c r="I29" i="23"/>
  <c r="L29" i="23"/>
  <c r="N88" i="22"/>
  <c r="K88" i="22" s="1"/>
  <c r="I88" i="20"/>
  <c r="H88" i="20" s="1"/>
  <c r="EW47" i="9"/>
  <c r="M88" i="20" s="1"/>
  <c r="I82" i="25"/>
  <c r="L82" i="25"/>
  <c r="Q33" i="27"/>
  <c r="EV37" i="9"/>
  <c r="P102" i="27"/>
  <c r="N52" i="27"/>
  <c r="P23" i="28"/>
  <c r="I33" i="24"/>
  <c r="L33" i="24"/>
  <c r="I57" i="26"/>
  <c r="L57" i="26"/>
  <c r="Q26" i="27"/>
  <c r="S29" i="26"/>
  <c r="X18" i="22"/>
  <c r="FJ24" i="9"/>
  <c r="I77" i="20"/>
  <c r="H77" i="20" s="1"/>
  <c r="N77" i="22"/>
  <c r="K77" i="22" s="1"/>
  <c r="EW114" i="9"/>
  <c r="M77" i="20" s="1"/>
  <c r="O34" i="27"/>
  <c r="O23" i="28"/>
  <c r="IG92" i="9"/>
  <c r="K96" i="25"/>
  <c r="I31" i="26"/>
  <c r="L31" i="26"/>
  <c r="N53" i="27"/>
  <c r="K95" i="23"/>
  <c r="Q32" i="27"/>
  <c r="I94" i="25"/>
  <c r="L94" i="25"/>
  <c r="IE9" i="9"/>
  <c r="I36" i="25"/>
  <c r="L36" i="25"/>
  <c r="K8" i="26"/>
  <c r="I31" i="24"/>
  <c r="L31" i="24"/>
  <c r="I28" i="20"/>
  <c r="H28" i="20" s="1"/>
  <c r="N28" i="22"/>
  <c r="K28" i="22" s="1"/>
  <c r="EW19" i="9"/>
  <c r="M28" i="20" s="1"/>
  <c r="S99" i="26"/>
  <c r="X100" i="22"/>
  <c r="FJ147" i="9"/>
  <c r="T100" i="23"/>
  <c r="U100" i="22"/>
  <c r="IG147" i="9"/>
  <c r="FA147" i="9"/>
  <c r="IF147" i="9"/>
  <c r="EY147" i="9"/>
  <c r="II147" i="9"/>
  <c r="IJ147" i="9"/>
  <c r="IH147" i="9"/>
  <c r="I40" i="23"/>
  <c r="L40" i="23"/>
  <c r="P76" i="27"/>
  <c r="R69" i="27"/>
  <c r="I38" i="25"/>
  <c r="L38" i="25"/>
  <c r="R82" i="27"/>
  <c r="I96" i="24"/>
  <c r="L96" i="24"/>
  <c r="I80" i="20"/>
  <c r="H80" i="20" s="1"/>
  <c r="N80" i="22"/>
  <c r="EW146" i="9"/>
  <c r="M80" i="20" s="1"/>
  <c r="P55" i="27"/>
  <c r="R85" i="27"/>
  <c r="K27" i="24"/>
  <c r="I89" i="26"/>
  <c r="L89" i="26"/>
  <c r="I27" i="20"/>
  <c r="H27" i="20" s="1"/>
  <c r="N27" i="22"/>
  <c r="K27" i="22" s="1"/>
  <c r="EW79" i="9"/>
  <c r="M27" i="20" s="1"/>
  <c r="R33" i="27"/>
  <c r="R44" i="27"/>
  <c r="I16" i="24"/>
  <c r="L16" i="24"/>
  <c r="Q18" i="28"/>
  <c r="I29" i="25"/>
  <c r="L29" i="25"/>
  <c r="T54" i="24"/>
  <c r="FE90" i="9"/>
  <c r="GT90" i="9"/>
  <c r="O54" i="24" s="1"/>
  <c r="Q6" i="27"/>
  <c r="I81" i="23"/>
  <c r="L81" i="23"/>
  <c r="I93" i="26"/>
  <c r="L93" i="26"/>
  <c r="GN88" i="9"/>
  <c r="FB88" i="9"/>
  <c r="I76" i="26"/>
  <c r="L76" i="26"/>
  <c r="I71" i="23"/>
  <c r="L71" i="23"/>
  <c r="Q80" i="28"/>
  <c r="N106" i="22"/>
  <c r="K106" i="22" s="1"/>
  <c r="I106" i="20"/>
  <c r="H106" i="20" s="1"/>
  <c r="EW145" i="9"/>
  <c r="M106" i="20" s="1"/>
  <c r="R105" i="27"/>
  <c r="N37" i="27"/>
  <c r="W85" i="25"/>
  <c r="HI90" i="9"/>
  <c r="Q85" i="25" s="1"/>
  <c r="I85" i="24"/>
  <c r="L85" i="24"/>
  <c r="I49" i="26"/>
  <c r="L49" i="26"/>
  <c r="K71" i="23"/>
  <c r="I89" i="24"/>
  <c r="L89" i="24"/>
  <c r="I36" i="23"/>
  <c r="L36" i="23"/>
  <c r="I40" i="26"/>
  <c r="L40" i="26"/>
  <c r="EV110" i="9"/>
  <c r="O19" i="27"/>
  <c r="EV96" i="9"/>
  <c r="I30" i="20"/>
  <c r="H30" i="20" s="1"/>
  <c r="N30" i="22"/>
  <c r="K30" i="22" s="1"/>
  <c r="EW87" i="9"/>
  <c r="M30" i="20" s="1"/>
  <c r="K16" i="24"/>
  <c r="I67" i="25"/>
  <c r="L67" i="25"/>
  <c r="I71" i="26"/>
  <c r="L71" i="26"/>
  <c r="K56" i="26"/>
  <c r="I67" i="24"/>
  <c r="L67" i="24"/>
  <c r="I106" i="25"/>
  <c r="L106" i="25"/>
  <c r="K52" i="24"/>
  <c r="R37" i="27"/>
  <c r="I61" i="20"/>
  <c r="H61" i="20" s="1"/>
  <c r="N61" i="22"/>
  <c r="K61" i="22" s="1"/>
  <c r="EW70" i="9"/>
  <c r="M61" i="20" s="1"/>
  <c r="EY92" i="9"/>
  <c r="I10" i="26"/>
  <c r="L10" i="26"/>
  <c r="R68" i="27"/>
  <c r="EV99" i="9"/>
  <c r="I91" i="23"/>
  <c r="L91" i="23"/>
  <c r="N53" i="22"/>
  <c r="I53" i="20"/>
  <c r="H53" i="20" s="1"/>
  <c r="EW60" i="9"/>
  <c r="M53" i="20" s="1"/>
  <c r="I37" i="23"/>
  <c r="L37" i="23"/>
  <c r="O102" i="27"/>
  <c r="I60" i="25"/>
  <c r="L60" i="25"/>
  <c r="EV33" i="9"/>
  <c r="R92" i="34"/>
  <c r="P92" i="34"/>
  <c r="O92" i="34"/>
  <c r="N92" i="34"/>
  <c r="Q92" i="34"/>
  <c r="N89" i="25"/>
  <c r="Q54" i="22"/>
  <c r="O57" i="28"/>
  <c r="I79" i="23"/>
  <c r="L79" i="23"/>
  <c r="I3" i="26"/>
  <c r="L3" i="26"/>
  <c r="K105" i="23"/>
  <c r="FH78" i="9"/>
  <c r="I43" i="20"/>
  <c r="H43" i="20" s="1"/>
  <c r="N43" i="22"/>
  <c r="K43" i="22" s="1"/>
  <c r="EW15" i="9"/>
  <c r="M43" i="20" s="1"/>
  <c r="T68" i="23"/>
  <c r="U65" i="22"/>
  <c r="IG89" i="9"/>
  <c r="FA89" i="9"/>
  <c r="IH89" i="9"/>
  <c r="EY89" i="9"/>
  <c r="IJ89" i="9"/>
  <c r="II89" i="9"/>
  <c r="IF89" i="9"/>
  <c r="I33" i="20"/>
  <c r="H33" i="20" s="1"/>
  <c r="N33" i="22"/>
  <c r="K33" i="22" s="1"/>
  <c r="EW45" i="9"/>
  <c r="M33" i="20" s="1"/>
  <c r="I29" i="20"/>
  <c r="H29" i="20" s="1"/>
  <c r="N29" i="22"/>
  <c r="K29" i="22" s="1"/>
  <c r="EW46" i="9"/>
  <c r="M29" i="20" s="1"/>
  <c r="I49" i="25"/>
  <c r="L49" i="25"/>
  <c r="P49" i="27"/>
  <c r="Q95" i="27"/>
  <c r="O49" i="27"/>
  <c r="Q46" i="27"/>
  <c r="EV79" i="9"/>
  <c r="L27" i="20" s="1"/>
  <c r="Q101" i="27"/>
  <c r="I28" i="25"/>
  <c r="L28" i="25"/>
  <c r="K77" i="24"/>
  <c r="P58" i="27"/>
  <c r="O74" i="27"/>
  <c r="L85" i="22"/>
  <c r="IF24" i="9"/>
  <c r="I46" i="20"/>
  <c r="H46" i="20" s="1"/>
  <c r="N46" i="22"/>
  <c r="K46" i="22" s="1"/>
  <c r="EW51" i="9"/>
  <c r="M46" i="20" s="1"/>
  <c r="N6" i="22"/>
  <c r="K6" i="22" s="1"/>
  <c r="I6" i="20"/>
  <c r="H6" i="20" s="1"/>
  <c r="EW82" i="9"/>
  <c r="M6" i="20" s="1"/>
  <c r="I16" i="26"/>
  <c r="L16" i="26"/>
  <c r="I98" i="25"/>
  <c r="L98" i="25"/>
  <c r="V96" i="26"/>
  <c r="HU90" i="9"/>
  <c r="Q96" i="26" s="1"/>
  <c r="FK90" i="9"/>
  <c r="I53" i="26"/>
  <c r="L53" i="26"/>
  <c r="O84" i="27"/>
  <c r="R67" i="28"/>
  <c r="K44" i="26"/>
  <c r="O6" i="27"/>
  <c r="K48" i="26"/>
  <c r="Q70" i="27"/>
  <c r="I50" i="26"/>
  <c r="L50" i="26"/>
  <c r="I82" i="20"/>
  <c r="H82" i="20" s="1"/>
  <c r="N82" i="22"/>
  <c r="K82" i="22" s="1"/>
  <c r="EW108" i="9"/>
  <c r="M82" i="20" s="1"/>
  <c r="EV32" i="9"/>
  <c r="I65" i="24"/>
  <c r="L65" i="24"/>
  <c r="I75" i="23"/>
  <c r="L75" i="23"/>
  <c r="I59" i="23"/>
  <c r="L59" i="23"/>
  <c r="O58" i="27"/>
  <c r="IH92" i="9"/>
  <c r="T21" i="25"/>
  <c r="W18" i="22"/>
  <c r="FG24" i="9"/>
  <c r="I99" i="23"/>
  <c r="L99" i="23"/>
  <c r="EX9" i="9"/>
  <c r="EW9" i="9" s="1"/>
  <c r="I103" i="23"/>
  <c r="L103" i="23"/>
  <c r="I26" i="24"/>
  <c r="L26" i="24"/>
  <c r="O63" i="27"/>
  <c r="P63" i="27"/>
  <c r="R63" i="27"/>
  <c r="R100" i="27"/>
  <c r="I94" i="20"/>
  <c r="H94" i="20" s="1"/>
  <c r="N94" i="22"/>
  <c r="K94" i="22" s="1"/>
  <c r="EW149" i="9"/>
  <c r="M94" i="20" s="1"/>
  <c r="I45" i="23"/>
  <c r="L45" i="23"/>
  <c r="I23" i="26"/>
  <c r="L23" i="26"/>
  <c r="K97" i="25"/>
  <c r="I22" i="25"/>
  <c r="L22" i="25"/>
  <c r="P25" i="27"/>
  <c r="R71" i="27"/>
  <c r="I71" i="25"/>
  <c r="L71" i="25"/>
  <c r="Q7" i="27"/>
  <c r="K79" i="24"/>
  <c r="Q82" i="27"/>
  <c r="K67" i="25"/>
  <c r="II24" i="9"/>
  <c r="O70" i="27"/>
  <c r="I28" i="23"/>
  <c r="L28" i="23"/>
  <c r="I25" i="23"/>
  <c r="L25" i="23"/>
  <c r="P67" i="28"/>
  <c r="I65" i="23"/>
  <c r="L65" i="23"/>
  <c r="I32" i="26"/>
  <c r="L32" i="26"/>
  <c r="I34" i="20"/>
  <c r="H34" i="20" s="1"/>
  <c r="N34" i="22"/>
  <c r="K34" i="22" s="1"/>
  <c r="EW35" i="9"/>
  <c r="M34" i="20" s="1"/>
  <c r="K92" i="24"/>
  <c r="Q27" i="27"/>
  <c r="I63" i="23"/>
  <c r="L63" i="23"/>
  <c r="I38" i="20"/>
  <c r="H38" i="20" s="1"/>
  <c r="N38" i="22"/>
  <c r="EW50" i="9"/>
  <c r="M38" i="20" s="1"/>
  <c r="R23" i="28"/>
  <c r="I73" i="23"/>
  <c r="L73" i="23"/>
  <c r="I17" i="23"/>
  <c r="L17" i="23"/>
  <c r="I14" i="24"/>
  <c r="L14" i="24"/>
  <c r="I101" i="25"/>
  <c r="L101" i="25"/>
  <c r="II92" i="9"/>
  <c r="R48" i="32"/>
  <c r="Q48" i="32"/>
  <c r="N48" i="32"/>
  <c r="P48" i="32"/>
  <c r="O48" i="32"/>
  <c r="N43" i="24"/>
  <c r="P54" i="22"/>
  <c r="N82" i="27"/>
  <c r="I62" i="24"/>
  <c r="L62" i="24"/>
  <c r="I49" i="24"/>
  <c r="L49" i="24"/>
  <c r="EV100" i="9"/>
  <c r="N63" i="27"/>
  <c r="I56" i="20"/>
  <c r="H56" i="20" s="1"/>
  <c r="N56" i="22"/>
  <c r="K56" i="22" s="1"/>
  <c r="EW116" i="9"/>
  <c r="M56" i="20" s="1"/>
  <c r="EV149" i="9"/>
  <c r="L94" i="20" s="1"/>
  <c r="Q76" i="27"/>
  <c r="I27" i="26"/>
  <c r="L27" i="26"/>
  <c r="O87" i="27"/>
  <c r="I30" i="24"/>
  <c r="L30" i="24"/>
  <c r="P11" i="27"/>
  <c r="O53" i="27"/>
  <c r="I101" i="26"/>
  <c r="L101" i="26"/>
  <c r="I42" i="25"/>
  <c r="L42" i="25"/>
  <c r="I34" i="23"/>
  <c r="L34" i="23"/>
  <c r="I60" i="20"/>
  <c r="H60" i="20" s="1"/>
  <c r="N60" i="22"/>
  <c r="K60" i="22" s="1"/>
  <c r="EW123" i="9"/>
  <c r="M60" i="20" s="1"/>
  <c r="K32" i="26"/>
  <c r="IH24" i="9"/>
  <c r="IE44" i="9"/>
  <c r="N23" i="27" s="1"/>
  <c r="I12" i="20"/>
  <c r="H12" i="20" s="1"/>
  <c r="N12" i="22"/>
  <c r="K12" i="22" s="1"/>
  <c r="EW76" i="9"/>
  <c r="M12" i="20" s="1"/>
  <c r="N41" i="27"/>
  <c r="O41" i="27"/>
  <c r="Q41" i="27"/>
  <c r="R41" i="27"/>
  <c r="O64" i="30"/>
  <c r="N64" i="30"/>
  <c r="P64" i="30"/>
  <c r="Q64" i="30"/>
  <c r="R64" i="30"/>
  <c r="N53" i="23"/>
  <c r="K53" i="23" s="1"/>
  <c r="O54" i="22"/>
  <c r="I62" i="20"/>
  <c r="H62" i="20" s="1"/>
  <c r="N62" i="22"/>
  <c r="K62" i="22" s="1"/>
  <c r="EW150" i="9"/>
  <c r="M62" i="20" s="1"/>
  <c r="K39" i="26"/>
  <c r="K56" i="23"/>
  <c r="I64" i="23"/>
  <c r="L64" i="23"/>
  <c r="R58" i="27"/>
  <c r="GT88" i="9"/>
  <c r="FE88" i="9"/>
  <c r="FD88" i="9" s="1"/>
  <c r="R63" i="36"/>
  <c r="Q63" i="36"/>
  <c r="P63" i="36"/>
  <c r="O63" i="36"/>
  <c r="N63" i="36"/>
  <c r="N51" i="26"/>
  <c r="K51" i="26" s="1"/>
  <c r="R54" i="22"/>
  <c r="I69" i="20"/>
  <c r="H69" i="20" s="1"/>
  <c r="N69" i="22"/>
  <c r="K69" i="22" s="1"/>
  <c r="EW16" i="9"/>
  <c r="M69" i="20" s="1"/>
  <c r="N105" i="22"/>
  <c r="I105" i="20"/>
  <c r="H105" i="20" s="1"/>
  <c r="EW133" i="9"/>
  <c r="M105" i="20" s="1"/>
  <c r="R52" i="27"/>
  <c r="I106" i="23"/>
  <c r="L106" i="23"/>
  <c r="I102" i="26"/>
  <c r="L102" i="26"/>
  <c r="I46" i="24"/>
  <c r="L46" i="24"/>
  <c r="I13" i="23"/>
  <c r="L13" i="23"/>
  <c r="HU88" i="9"/>
  <c r="FK88" i="9"/>
  <c r="FJ88" i="9" s="1"/>
  <c r="N79" i="27"/>
  <c r="I35" i="20"/>
  <c r="H35" i="20" s="1"/>
  <c r="N35" i="22"/>
  <c r="K35" i="22" s="1"/>
  <c r="EW66" i="9"/>
  <c r="M35" i="20" s="1"/>
  <c r="I51" i="25"/>
  <c r="L51" i="25"/>
  <c r="K97" i="24"/>
  <c r="I86" i="25"/>
  <c r="L86" i="25"/>
  <c r="R32" i="27"/>
  <c r="I40" i="20"/>
  <c r="H40" i="20" s="1"/>
  <c r="N40" i="22"/>
  <c r="K40" i="22" s="1"/>
  <c r="EW120" i="9"/>
  <c r="M40" i="20" s="1"/>
  <c r="I38" i="24"/>
  <c r="L38" i="24"/>
  <c r="N47" i="27"/>
  <c r="R98" i="27"/>
  <c r="I78" i="24"/>
  <c r="L78" i="24"/>
  <c r="R26" i="27"/>
  <c r="I4" i="25"/>
  <c r="L4" i="25"/>
  <c r="I57" i="23"/>
  <c r="L57" i="23"/>
  <c r="I75" i="25"/>
  <c r="L75" i="25"/>
  <c r="N95" i="27"/>
  <c r="O11" i="27"/>
  <c r="I11" i="25"/>
  <c r="L11" i="25"/>
  <c r="I72" i="24"/>
  <c r="L72" i="24"/>
  <c r="I51" i="20"/>
  <c r="H51" i="20" s="1"/>
  <c r="N51" i="22"/>
  <c r="K51" i="22" s="1"/>
  <c r="EW63" i="9"/>
  <c r="M51" i="20" s="1"/>
  <c r="K20" i="25"/>
  <c r="I76" i="25"/>
  <c r="L76" i="25"/>
  <c r="T47" i="22"/>
  <c r="J47" i="20"/>
  <c r="EX31" i="9"/>
  <c r="EV31" i="9" s="1"/>
  <c r="L47" i="20" s="1"/>
  <c r="I38" i="26"/>
  <c r="L38" i="26"/>
  <c r="P105" i="27"/>
  <c r="I41" i="25"/>
  <c r="L41" i="25"/>
  <c r="I68" i="26"/>
  <c r="L68" i="26"/>
  <c r="IG24" i="9"/>
  <c r="I76" i="24"/>
  <c r="L76" i="24"/>
  <c r="I68" i="20"/>
  <c r="H68" i="20" s="1"/>
  <c r="N68" i="22"/>
  <c r="EW64" i="9"/>
  <c r="M68" i="20" s="1"/>
  <c r="K56" i="24"/>
  <c r="I52" i="20"/>
  <c r="H52" i="20" s="1"/>
  <c r="N52" i="22"/>
  <c r="K52" i="22" s="1"/>
  <c r="EW30" i="9"/>
  <c r="M52" i="20" s="1"/>
  <c r="R79" i="27"/>
  <c r="O18" i="28"/>
  <c r="I39" i="25"/>
  <c r="L39" i="25"/>
  <c r="I32" i="23"/>
  <c r="L32" i="23"/>
  <c r="N67" i="28"/>
  <c r="IE139" i="9"/>
  <c r="R67" i="27" s="1"/>
  <c r="Q105" i="27"/>
  <c r="I41" i="23"/>
  <c r="L41" i="23"/>
  <c r="K59" i="23"/>
  <c r="S11" i="24"/>
  <c r="V14" i="22"/>
  <c r="FD29" i="9"/>
  <c r="I100" i="26"/>
  <c r="L100" i="26"/>
  <c r="I52" i="26"/>
  <c r="L52" i="26"/>
  <c r="I81" i="20"/>
  <c r="H81" i="20" s="1"/>
  <c r="N81" i="22"/>
  <c r="EW91" i="9"/>
  <c r="M81" i="20" s="1"/>
  <c r="I45" i="20"/>
  <c r="H45" i="20" s="1"/>
  <c r="N45" i="22"/>
  <c r="K45" i="22" s="1"/>
  <c r="EW54" i="9"/>
  <c r="M45" i="20" s="1"/>
  <c r="I14" i="23"/>
  <c r="L14" i="23"/>
  <c r="EV133" i="9"/>
  <c r="L105" i="20" s="1"/>
  <c r="I76" i="23"/>
  <c r="L76" i="23"/>
  <c r="I43" i="26"/>
  <c r="L43" i="26"/>
  <c r="I4" i="20"/>
  <c r="H4" i="20" s="1"/>
  <c r="N4" i="22"/>
  <c r="EW75" i="9"/>
  <c r="M4" i="20" s="1"/>
  <c r="EV66" i="9"/>
  <c r="L35" i="20" s="1"/>
  <c r="I77" i="23"/>
  <c r="L77" i="23"/>
  <c r="I42" i="24"/>
  <c r="L42" i="24"/>
  <c r="I79" i="25"/>
  <c r="L79" i="25"/>
  <c r="O52" i="27"/>
  <c r="P98" i="27"/>
  <c r="IF92" i="9"/>
  <c r="R76" i="27"/>
  <c r="EV38" i="9"/>
  <c r="K7" i="23"/>
  <c r="I83" i="20"/>
  <c r="H83" i="20" s="1"/>
  <c r="N83" i="22"/>
  <c r="K83" i="22" s="1"/>
  <c r="EW132" i="9"/>
  <c r="M83" i="20" s="1"/>
  <c r="I79" i="20"/>
  <c r="H79" i="20" s="1"/>
  <c r="N79" i="22"/>
  <c r="K79" i="22" s="1"/>
  <c r="EW127" i="9"/>
  <c r="M79" i="20" s="1"/>
  <c r="K28" i="23"/>
  <c r="Q98" i="27"/>
  <c r="I70" i="25"/>
  <c r="L70" i="25"/>
  <c r="I101" i="20"/>
  <c r="H101" i="20" s="1"/>
  <c r="N101" i="22"/>
  <c r="K101" i="22" s="1"/>
  <c r="EW48" i="9"/>
  <c r="M101" i="20" s="1"/>
  <c r="I67" i="23"/>
  <c r="L67" i="23"/>
  <c r="P52" i="27"/>
  <c r="I88" i="23"/>
  <c r="L88" i="23"/>
  <c r="I16" i="20"/>
  <c r="H16" i="20" s="1"/>
  <c r="N16" i="22"/>
  <c r="K16" i="22" s="1"/>
  <c r="EW94" i="9"/>
  <c r="M16" i="20" s="1"/>
  <c r="I21" i="23"/>
  <c r="L21" i="23"/>
  <c r="P103" i="27"/>
  <c r="Q8" i="27"/>
  <c r="R104" i="27"/>
  <c r="I53" i="24"/>
  <c r="L53" i="24"/>
  <c r="I21" i="24"/>
  <c r="L21" i="24"/>
  <c r="P104" i="27"/>
  <c r="I43" i="23"/>
  <c r="L43" i="23"/>
  <c r="P100" i="27"/>
  <c r="I3" i="25"/>
  <c r="L3" i="25"/>
  <c r="I73" i="25"/>
  <c r="L73" i="25"/>
  <c r="K75" i="23"/>
  <c r="I5" i="23"/>
  <c r="L5" i="23"/>
  <c r="K28" i="26"/>
  <c r="K106" i="26"/>
  <c r="K58" i="26"/>
  <c r="K33" i="26"/>
  <c r="K37" i="23"/>
  <c r="I37" i="25"/>
  <c r="L37" i="25"/>
  <c r="N25" i="22"/>
  <c r="K25" i="22" s="1"/>
  <c r="I25" i="20"/>
  <c r="H25" i="20" s="1"/>
  <c r="EW52" i="9"/>
  <c r="M25" i="20" s="1"/>
  <c r="I41" i="20"/>
  <c r="H41" i="20" s="1"/>
  <c r="N41" i="22"/>
  <c r="EW73" i="9"/>
  <c r="M41" i="20" s="1"/>
  <c r="N11" i="27"/>
  <c r="O67" i="28"/>
  <c r="I75" i="26"/>
  <c r="L75" i="26"/>
  <c r="I22" i="23"/>
  <c r="L22" i="23"/>
  <c r="N54" i="27"/>
  <c r="P68" i="27"/>
  <c r="I81" i="24"/>
  <c r="L81" i="24"/>
  <c r="K20" i="23"/>
  <c r="O33" i="27"/>
  <c r="O50" i="27"/>
  <c r="EV91" i="9"/>
  <c r="L81" i="20" s="1"/>
  <c r="I73" i="20"/>
  <c r="H73" i="20" s="1"/>
  <c r="N73" i="22"/>
  <c r="EW135" i="9"/>
  <c r="M73" i="20" s="1"/>
  <c r="N102" i="22"/>
  <c r="K102" i="22" s="1"/>
  <c r="I102" i="20"/>
  <c r="H102" i="20" s="1"/>
  <c r="EW134" i="9"/>
  <c r="M102" i="20" s="1"/>
  <c r="EV151" i="9"/>
  <c r="O54" i="27"/>
  <c r="I65" i="26"/>
  <c r="L65" i="26"/>
  <c r="I91" i="24"/>
  <c r="L91" i="24"/>
  <c r="EV85" i="9"/>
  <c r="T15" i="23"/>
  <c r="U14" i="22"/>
  <c r="IJ29" i="9"/>
  <c r="II29" i="9"/>
  <c r="IH29" i="9"/>
  <c r="IG29" i="9"/>
  <c r="FA29" i="9"/>
  <c r="IF29" i="9"/>
  <c r="EY29" i="9"/>
  <c r="EV75" i="9"/>
  <c r="L4" i="20" s="1"/>
  <c r="I37" i="26"/>
  <c r="L37" i="26"/>
  <c r="I24" i="24"/>
  <c r="L24" i="24"/>
  <c r="EV128" i="9"/>
  <c r="I95" i="26"/>
  <c r="L95" i="26"/>
  <c r="EV132" i="9"/>
  <c r="L83" i="20" s="1"/>
  <c r="EV127" i="9"/>
  <c r="L79" i="20" s="1"/>
  <c r="I53" i="25"/>
  <c r="L53" i="25"/>
  <c r="O85" i="27"/>
  <c r="K26" i="24"/>
  <c r="Q100" i="27"/>
  <c r="I50" i="25"/>
  <c r="L50" i="25"/>
  <c r="I87" i="25"/>
  <c r="L87" i="25"/>
  <c r="K94" i="25"/>
  <c r="I26" i="23"/>
  <c r="L26" i="23"/>
  <c r="I102" i="24"/>
  <c r="L102" i="24"/>
  <c r="I23" i="24"/>
  <c r="L23" i="24"/>
  <c r="R6" i="27"/>
  <c r="I10" i="24"/>
  <c r="L10" i="24"/>
  <c r="FH88" i="9"/>
  <c r="FG88" i="9" s="1"/>
  <c r="R30" i="27"/>
  <c r="I103" i="25"/>
  <c r="L103" i="25"/>
  <c r="I48" i="20"/>
  <c r="H48" i="20" s="1"/>
  <c r="N48" i="22"/>
  <c r="K48" i="22" s="1"/>
  <c r="EW62" i="9"/>
  <c r="M48" i="20" s="1"/>
  <c r="I23" i="20"/>
  <c r="H23" i="20" s="1"/>
  <c r="N23" i="22"/>
  <c r="K23" i="22" s="1"/>
  <c r="EW14" i="9"/>
  <c r="M23" i="20" s="1"/>
  <c r="K46" i="26"/>
  <c r="K77" i="23"/>
  <c r="I32" i="24"/>
  <c r="L32" i="24"/>
  <c r="S63" i="26"/>
  <c r="X65" i="22"/>
  <c r="FJ89" i="9"/>
  <c r="I84" i="25"/>
  <c r="L84" i="25"/>
  <c r="I32" i="25"/>
  <c r="L32" i="25"/>
  <c r="I83" i="26"/>
  <c r="L83" i="26"/>
  <c r="I74" i="25"/>
  <c r="L74" i="25"/>
  <c r="I54" i="23"/>
  <c r="L54" i="23"/>
  <c r="EV52" i="9"/>
  <c r="L25" i="20" s="1"/>
  <c r="I61" i="26"/>
  <c r="L61" i="26"/>
  <c r="Q23" i="28"/>
  <c r="T54" i="22"/>
  <c r="J54" i="20"/>
  <c r="EX139" i="9"/>
  <c r="EV139" i="9" s="1"/>
  <c r="L54" i="20" s="1"/>
  <c r="I48" i="23"/>
  <c r="L48" i="23"/>
  <c r="I37" i="24"/>
  <c r="L37" i="24"/>
  <c r="I75" i="20"/>
  <c r="H75" i="20" s="1"/>
  <c r="N75" i="22"/>
  <c r="K75" i="22" s="1"/>
  <c r="EW140" i="9"/>
  <c r="M75" i="20" s="1"/>
  <c r="K92" i="23"/>
  <c r="K100" i="24"/>
  <c r="K102" i="26"/>
  <c r="I13" i="26"/>
  <c r="L13" i="26"/>
  <c r="I32" i="20"/>
  <c r="H32" i="20" s="1"/>
  <c r="N32" i="22"/>
  <c r="K32" i="22" s="1"/>
  <c r="EW68" i="9"/>
  <c r="M32" i="20" s="1"/>
  <c r="I8" i="23"/>
  <c r="L8" i="23"/>
  <c r="O36" i="27"/>
  <c r="I15" i="24"/>
  <c r="L15" i="24"/>
  <c r="K49" i="23"/>
  <c r="I3" i="24"/>
  <c r="L3" i="24"/>
  <c r="I63" i="25"/>
  <c r="L63" i="25"/>
  <c r="I6" i="24"/>
  <c r="L6" i="24"/>
  <c r="K78" i="24"/>
  <c r="I25" i="24"/>
  <c r="L25" i="24"/>
  <c r="I23" i="25"/>
  <c r="L23" i="25"/>
  <c r="I31" i="25"/>
  <c r="L31" i="25"/>
  <c r="I30" i="23"/>
  <c r="L30" i="23"/>
  <c r="EV154" i="9"/>
  <c r="S45" i="26"/>
  <c r="X36" i="22"/>
  <c r="FJ28" i="9"/>
  <c r="I59" i="24"/>
  <c r="L59" i="24"/>
  <c r="I102" i="23"/>
  <c r="L102" i="23"/>
  <c r="II28" i="9"/>
  <c r="N101" i="27"/>
  <c r="I45" i="24"/>
  <c r="L45" i="24"/>
  <c r="N11" i="22"/>
  <c r="K11" i="22" s="1"/>
  <c r="I11" i="20"/>
  <c r="H11" i="20" s="1"/>
  <c r="EW12" i="9"/>
  <c r="M11" i="20" s="1"/>
  <c r="EV153" i="9"/>
  <c r="I72" i="20"/>
  <c r="H72" i="20" s="1"/>
  <c r="N72" i="22"/>
  <c r="EW17" i="9"/>
  <c r="M72" i="20" s="1"/>
  <c r="I26" i="26"/>
  <c r="L26" i="26"/>
  <c r="P57" i="28"/>
  <c r="K90" i="24"/>
  <c r="I84" i="26"/>
  <c r="L84" i="26"/>
  <c r="I5" i="26"/>
  <c r="L5" i="26"/>
  <c r="I58" i="20"/>
  <c r="H58" i="20" s="1"/>
  <c r="N58" i="22"/>
  <c r="K58" i="22" s="1"/>
  <c r="EW43" i="9"/>
  <c r="M58" i="20" s="1"/>
  <c r="EV98" i="9"/>
  <c r="P36" i="27"/>
  <c r="Q11" i="27"/>
  <c r="I93" i="25"/>
  <c r="L93" i="25"/>
  <c r="I22" i="20"/>
  <c r="H22" i="20" s="1"/>
  <c r="N22" i="22"/>
  <c r="K22" i="22" s="1"/>
  <c r="EW13" i="9"/>
  <c r="M22" i="20" s="1"/>
  <c r="I55" i="23"/>
  <c r="L55" i="23"/>
  <c r="EV40" i="9"/>
  <c r="K82" i="23"/>
  <c r="I82" i="26"/>
  <c r="L82" i="26"/>
  <c r="I59" i="25"/>
  <c r="L59" i="25"/>
  <c r="P27" i="27"/>
  <c r="EV111" i="9"/>
  <c r="P37" i="27"/>
  <c r="I74" i="23"/>
  <c r="L74" i="23"/>
  <c r="K85" i="24"/>
  <c r="EV62" i="9"/>
  <c r="L48" i="20" s="1"/>
  <c r="O27" i="27"/>
  <c r="EV14" i="9"/>
  <c r="L23" i="20" s="1"/>
  <c r="I87" i="20"/>
  <c r="H87" i="20" s="1"/>
  <c r="N87" i="22"/>
  <c r="EW93" i="9"/>
  <c r="M87" i="20" s="1"/>
  <c r="R27" i="27"/>
  <c r="I89" i="23"/>
  <c r="L89" i="23"/>
  <c r="I73" i="26"/>
  <c r="L73" i="26"/>
  <c r="Q67" i="28"/>
  <c r="I85" i="23"/>
  <c r="L85" i="23"/>
  <c r="I74" i="26"/>
  <c r="L74" i="26"/>
  <c r="K70" i="23"/>
  <c r="I94" i="24"/>
  <c r="L94" i="24"/>
  <c r="I74" i="20"/>
  <c r="H74" i="20" s="1"/>
  <c r="N74" i="22"/>
  <c r="K74" i="22" s="1"/>
  <c r="EW105" i="9"/>
  <c r="M74" i="20" s="1"/>
  <c r="I59" i="20"/>
  <c r="H59" i="20" s="1"/>
  <c r="N59" i="22"/>
  <c r="EW61" i="9"/>
  <c r="M59" i="20" s="1"/>
  <c r="R32" i="34"/>
  <c r="Q32" i="34"/>
  <c r="P32" i="34"/>
  <c r="O32" i="34"/>
  <c r="N32" i="34"/>
  <c r="N33" i="25"/>
  <c r="K33" i="25" s="1"/>
  <c r="Q20" i="22"/>
  <c r="I40" i="25"/>
  <c r="L40" i="25"/>
  <c r="K76" i="26"/>
  <c r="I47" i="25"/>
  <c r="L47" i="25"/>
  <c r="I13" i="20"/>
  <c r="H13" i="20" s="1"/>
  <c r="N13" i="22"/>
  <c r="EW27" i="9"/>
  <c r="M13" i="20" s="1"/>
  <c r="I42" i="26"/>
  <c r="L42" i="26"/>
  <c r="I71" i="20"/>
  <c r="H71" i="20" s="1"/>
  <c r="N71" i="22"/>
  <c r="K71" i="22" s="1"/>
  <c r="EW81" i="9"/>
  <c r="M71" i="20" s="1"/>
  <c r="I8" i="20"/>
  <c r="H8" i="20" s="1"/>
  <c r="N8" i="22"/>
  <c r="K8" i="22" s="1"/>
  <c r="EW67" i="9"/>
  <c r="M8" i="20" s="1"/>
  <c r="I59" i="26"/>
  <c r="L59" i="26"/>
  <c r="I18" i="23"/>
  <c r="L18" i="23"/>
  <c r="I40" i="24"/>
  <c r="L40" i="24"/>
  <c r="W90" i="23"/>
  <c r="GN78" i="9"/>
  <c r="Q90" i="23" s="1"/>
  <c r="I95" i="20"/>
  <c r="H95" i="20" s="1"/>
  <c r="N95" i="22"/>
  <c r="K95" i="22" s="1"/>
  <c r="EW137" i="9"/>
  <c r="M95" i="20" s="1"/>
  <c r="K33" i="23"/>
  <c r="I67" i="26"/>
  <c r="L67" i="26"/>
  <c r="N25" i="27"/>
  <c r="K50" i="24"/>
  <c r="R78" i="34"/>
  <c r="Q78" i="34"/>
  <c r="P78" i="34"/>
  <c r="O78" i="34"/>
  <c r="N78" i="34"/>
  <c r="N78" i="25"/>
  <c r="Q80" i="22"/>
  <c r="R25" i="27"/>
  <c r="K73" i="23"/>
  <c r="K85" i="23"/>
  <c r="P84" i="27"/>
  <c r="I87" i="26"/>
  <c r="L87" i="26"/>
  <c r="EV93" i="9"/>
  <c r="L87" i="20" s="1"/>
  <c r="I10" i="20"/>
  <c r="H10" i="20" s="1"/>
  <c r="N10" i="22"/>
  <c r="K10" i="22" s="1"/>
  <c r="EW77" i="9"/>
  <c r="M10" i="20" s="1"/>
  <c r="I42" i="20"/>
  <c r="H42" i="20" s="1"/>
  <c r="N42" i="22"/>
  <c r="EW142" i="9"/>
  <c r="M42" i="20" s="1"/>
  <c r="O100" i="27"/>
  <c r="I6" i="26"/>
  <c r="L6" i="26"/>
  <c r="I65" i="25"/>
  <c r="L65" i="25"/>
  <c r="I9" i="26"/>
  <c r="L9" i="26"/>
  <c r="I57" i="20"/>
  <c r="H57" i="20" s="1"/>
  <c r="N57" i="22"/>
  <c r="K57" i="22" s="1"/>
  <c r="EW18" i="9"/>
  <c r="M57" i="20" s="1"/>
  <c r="K65" i="23"/>
  <c r="I24" i="25"/>
  <c r="L24" i="25"/>
  <c r="I57" i="24"/>
  <c r="L57" i="24"/>
  <c r="Y6" i="11"/>
  <c r="Y7" i="11" s="1"/>
  <c r="Y6" i="10"/>
  <c r="Y7" i="10" s="1"/>
  <c r="Y7" i="9"/>
  <c r="I95" i="24"/>
  <c r="L95" i="24"/>
  <c r="O103" i="27"/>
  <c r="K93" i="26"/>
  <c r="EV105" i="9"/>
  <c r="L74" i="20" s="1"/>
  <c r="I86" i="20"/>
  <c r="H86" i="20" s="1"/>
  <c r="N86" i="22"/>
  <c r="K86" i="22" s="1"/>
  <c r="EW138" i="9"/>
  <c r="M86" i="20" s="1"/>
  <c r="I80" i="25"/>
  <c r="L80" i="25"/>
  <c r="C42" i="36"/>
  <c r="C21" i="32"/>
  <c r="C36" i="33"/>
  <c r="C36" i="28"/>
  <c r="C36" i="34"/>
  <c r="C42" i="35"/>
  <c r="C41" i="30"/>
  <c r="D50" i="26"/>
  <c r="C36" i="27"/>
  <c r="C39" i="29"/>
  <c r="C21" i="31"/>
  <c r="D25" i="24"/>
  <c r="D47" i="23"/>
  <c r="D42" i="25"/>
  <c r="D43" i="20"/>
  <c r="C67" i="17"/>
  <c r="D43" i="22"/>
  <c r="C46" i="12"/>
  <c r="A16" i="9"/>
  <c r="EV27" i="9"/>
  <c r="L13" i="20" s="1"/>
  <c r="I51" i="24"/>
  <c r="L51" i="24"/>
  <c r="I69" i="25"/>
  <c r="L69" i="25"/>
  <c r="I26" i="25"/>
  <c r="L26" i="25"/>
  <c r="EV81" i="9"/>
  <c r="L71" i="20" s="1"/>
  <c r="K99" i="23"/>
  <c r="I29" i="24"/>
  <c r="L29" i="24"/>
  <c r="I17" i="26"/>
  <c r="L17" i="26"/>
  <c r="EV130" i="9"/>
  <c r="N104" i="27"/>
  <c r="I49" i="20"/>
  <c r="H49" i="20" s="1"/>
  <c r="N49" i="22"/>
  <c r="K49" i="22" s="1"/>
  <c r="EW42" i="9"/>
  <c r="M49" i="20" s="1"/>
  <c r="I60" i="23"/>
  <c r="L60" i="23"/>
  <c r="I35" i="25"/>
  <c r="L35" i="25"/>
  <c r="I70" i="20"/>
  <c r="H70" i="20" s="1"/>
  <c r="N70" i="22"/>
  <c r="K70" i="22" s="1"/>
  <c r="EW124" i="9"/>
  <c r="M70" i="20" s="1"/>
  <c r="I99" i="25"/>
  <c r="L99" i="25"/>
  <c r="K48" i="23"/>
  <c r="I15" i="20"/>
  <c r="H15" i="20" s="1"/>
  <c r="N15" i="22"/>
  <c r="K15" i="22" s="1"/>
  <c r="EW113" i="9"/>
  <c r="M15" i="20" s="1"/>
  <c r="T92" i="25"/>
  <c r="W100" i="22"/>
  <c r="FG147" i="9"/>
  <c r="P47" i="27"/>
  <c r="N103" i="22"/>
  <c r="I103" i="20"/>
  <c r="H103" i="20" s="1"/>
  <c r="EW143" i="9"/>
  <c r="M103" i="20" s="1"/>
  <c r="I75" i="24"/>
  <c r="L75" i="24"/>
  <c r="I6" i="23"/>
  <c r="L6" i="23"/>
  <c r="R19" i="27"/>
  <c r="I11" i="26"/>
  <c r="L11" i="26"/>
  <c r="X90" i="23"/>
  <c r="GQ78" i="9"/>
  <c r="R90" i="23" s="1"/>
  <c r="K74" i="24"/>
  <c r="I10" i="23"/>
  <c r="L10" i="23"/>
  <c r="I99" i="20"/>
  <c r="H99" i="20" s="1"/>
  <c r="N99" i="22"/>
  <c r="EW144" i="9"/>
  <c r="M99" i="20" s="1"/>
  <c r="I104" i="25"/>
  <c r="L104" i="25"/>
  <c r="EV20" i="9"/>
  <c r="K81" i="23"/>
  <c r="K84" i="25"/>
  <c r="N57" i="28"/>
  <c r="IE31" i="9"/>
  <c r="R57" i="27" s="1"/>
  <c r="N9" i="22"/>
  <c r="I9" i="20"/>
  <c r="H9" i="20" s="1"/>
  <c r="EW101" i="9"/>
  <c r="M9" i="20" s="1"/>
  <c r="K37" i="25"/>
  <c r="O11" i="32"/>
  <c r="N11" i="32"/>
  <c r="R11" i="32"/>
  <c r="Q11" i="32"/>
  <c r="P11" i="32"/>
  <c r="N12" i="24"/>
  <c r="K12" i="24" s="1"/>
  <c r="P20" i="22"/>
  <c r="I61" i="23"/>
  <c r="L61" i="23"/>
  <c r="I62" i="25"/>
  <c r="L62" i="25"/>
  <c r="R30" i="34"/>
  <c r="Q30" i="34"/>
  <c r="P30" i="34"/>
  <c r="O30" i="34"/>
  <c r="N30" i="34"/>
  <c r="N30" i="25"/>
  <c r="Q36" i="22"/>
  <c r="K16" i="23" l="1"/>
  <c r="L16" i="23"/>
  <c r="I55" i="20"/>
  <c r="H55" i="20" s="1"/>
  <c r="N55" i="22"/>
  <c r="K55" i="22" s="1"/>
  <c r="EW122" i="9"/>
  <c r="M55" i="20" s="1"/>
  <c r="L52" i="23"/>
  <c r="I52" i="23"/>
  <c r="I96" i="22"/>
  <c r="N64" i="27"/>
  <c r="Q64" i="27"/>
  <c r="P64" i="27"/>
  <c r="R64" i="27"/>
  <c r="I80" i="23"/>
  <c r="L80" i="23"/>
  <c r="L22" i="24"/>
  <c r="I22" i="24"/>
  <c r="L19" i="23"/>
  <c r="I19" i="23"/>
  <c r="L96" i="22"/>
  <c r="K78" i="22"/>
  <c r="L78" i="22"/>
  <c r="FA90" i="9"/>
  <c r="R97" i="30" s="1"/>
  <c r="T97" i="23"/>
  <c r="L84" i="22"/>
  <c r="Q90" i="22"/>
  <c r="N88" i="25"/>
  <c r="I88" i="25" s="1"/>
  <c r="N87" i="34"/>
  <c r="O87" i="34"/>
  <c r="P87" i="34"/>
  <c r="Q87" i="34"/>
  <c r="K84" i="22"/>
  <c r="O45" i="30"/>
  <c r="L39" i="22"/>
  <c r="L69" i="26"/>
  <c r="I69" i="26"/>
  <c r="I20" i="26"/>
  <c r="L62" i="23"/>
  <c r="I62" i="23"/>
  <c r="O18" i="22"/>
  <c r="EW56" i="9"/>
  <c r="M20" i="20" s="1"/>
  <c r="P27" i="30"/>
  <c r="N20" i="22"/>
  <c r="K20" i="22" s="1"/>
  <c r="O27" i="30"/>
  <c r="I20" i="20"/>
  <c r="H20" i="20" s="1"/>
  <c r="K39" i="22"/>
  <c r="R27" i="30"/>
  <c r="L63" i="22"/>
  <c r="K80" i="22"/>
  <c r="L20" i="26"/>
  <c r="O90" i="22"/>
  <c r="O96" i="30"/>
  <c r="Q96" i="30"/>
  <c r="N96" i="23"/>
  <c r="K96" i="23" s="1"/>
  <c r="N96" i="30"/>
  <c r="P96" i="30"/>
  <c r="N19" i="32"/>
  <c r="O19" i="32"/>
  <c r="P19" i="32"/>
  <c r="Q19" i="32"/>
  <c r="P36" i="22"/>
  <c r="R19" i="32"/>
  <c r="N23" i="23"/>
  <c r="K23" i="23" s="1"/>
  <c r="N27" i="30"/>
  <c r="K63" i="22"/>
  <c r="N45" i="30"/>
  <c r="R45" i="30"/>
  <c r="Q45" i="30"/>
  <c r="K19" i="24"/>
  <c r="P45" i="30"/>
  <c r="O36" i="22"/>
  <c r="O56" i="34"/>
  <c r="T90" i="23"/>
  <c r="N56" i="34"/>
  <c r="FA78" i="9"/>
  <c r="R91" i="30" s="1"/>
  <c r="O18" i="27"/>
  <c r="Q18" i="27"/>
  <c r="P56" i="34"/>
  <c r="Q56" i="34"/>
  <c r="R56" i="34"/>
  <c r="Q65" i="22"/>
  <c r="EX28" i="9"/>
  <c r="EV28" i="9" s="1"/>
  <c r="L36" i="20" s="1"/>
  <c r="J36" i="20"/>
  <c r="IF90" i="9"/>
  <c r="N94" i="28" s="1"/>
  <c r="EV9" i="9"/>
  <c r="EY90" i="9"/>
  <c r="EX90" i="9" s="1"/>
  <c r="EV90" i="9" s="1"/>
  <c r="L92" i="20" s="1"/>
  <c r="O67" i="27"/>
  <c r="IH90" i="9"/>
  <c r="P94" i="28" s="1"/>
  <c r="IJ90" i="9"/>
  <c r="R94" i="28" s="1"/>
  <c r="IG90" i="9"/>
  <c r="O94" i="28" s="1"/>
  <c r="Q23" i="27"/>
  <c r="Q67" i="27"/>
  <c r="P67" i="27"/>
  <c r="II90" i="9"/>
  <c r="N67" i="27"/>
  <c r="EY78" i="9"/>
  <c r="EX78" i="9" s="1"/>
  <c r="R18" i="27"/>
  <c r="Q57" i="27"/>
  <c r="I73" i="22"/>
  <c r="L73" i="22"/>
  <c r="I99" i="22"/>
  <c r="L99" i="22"/>
  <c r="P21" i="28"/>
  <c r="I29" i="22"/>
  <c r="L29" i="22"/>
  <c r="Q62" i="28"/>
  <c r="I30" i="22"/>
  <c r="L30" i="22"/>
  <c r="O39" i="32"/>
  <c r="N39" i="32"/>
  <c r="R39" i="32"/>
  <c r="Q39" i="32"/>
  <c r="N41" i="24"/>
  <c r="K41" i="24" s="1"/>
  <c r="P39" i="32"/>
  <c r="P65" i="22"/>
  <c r="I24" i="22"/>
  <c r="L24" i="22"/>
  <c r="IF78" i="9"/>
  <c r="Z6" i="11"/>
  <c r="Z7" i="11" s="1"/>
  <c r="Z6" i="10"/>
  <c r="Z7" i="10" s="1"/>
  <c r="Z7" i="9"/>
  <c r="I105" i="22"/>
  <c r="L105" i="22"/>
  <c r="R62" i="28"/>
  <c r="I28" i="22"/>
  <c r="L28" i="22"/>
  <c r="AA19" i="14"/>
  <c r="AA12" i="14"/>
  <c r="AA46" i="13"/>
  <c r="AA15" i="14"/>
  <c r="AA45" i="13"/>
  <c r="AA18" i="14"/>
  <c r="AA17" i="14"/>
  <c r="AA44" i="13"/>
  <c r="AA43" i="13"/>
  <c r="AA38" i="13"/>
  <c r="AA13" i="14"/>
  <c r="AA42" i="13"/>
  <c r="AA14" i="14"/>
  <c r="AA16" i="14"/>
  <c r="AA47" i="13"/>
  <c r="AA41" i="13"/>
  <c r="AA10" i="14"/>
  <c r="AA9" i="14"/>
  <c r="AA40" i="13"/>
  <c r="AA11" i="14"/>
  <c r="AA31" i="13"/>
  <c r="AA6" i="14"/>
  <c r="AA7" i="14" s="1"/>
  <c r="AA37" i="13"/>
  <c r="AA26" i="13"/>
  <c r="AA25" i="13"/>
  <c r="AA34" i="13"/>
  <c r="AA8" i="14"/>
  <c r="AA29" i="13"/>
  <c r="AA35" i="13"/>
  <c r="AA24" i="13"/>
  <c r="AA33" i="13"/>
  <c r="AA28" i="13"/>
  <c r="AA36" i="13"/>
  <c r="AA23" i="13"/>
  <c r="AA32" i="13"/>
  <c r="AA21" i="13"/>
  <c r="AA19" i="13"/>
  <c r="AA14" i="13"/>
  <c r="AA10" i="13"/>
  <c r="AA27" i="13"/>
  <c r="AA22" i="13"/>
  <c r="AA39" i="13"/>
  <c r="AA18" i="13"/>
  <c r="AA9" i="13"/>
  <c r="AA13" i="13"/>
  <c r="AA20" i="13"/>
  <c r="AA17" i="13"/>
  <c r="AA8" i="13"/>
  <c r="AA30" i="13"/>
  <c r="AA16" i="13"/>
  <c r="AA12" i="13"/>
  <c r="AA20" i="11"/>
  <c r="AA18" i="11"/>
  <c r="AA16" i="11"/>
  <c r="AA14" i="11"/>
  <c r="AA15" i="13"/>
  <c r="AA6" i="13"/>
  <c r="AA7" i="13" s="1"/>
  <c r="AA19" i="11"/>
  <c r="AA17" i="11"/>
  <c r="AA15" i="11"/>
  <c r="AA13" i="11"/>
  <c r="AA11" i="11"/>
  <c r="AA11" i="13"/>
  <c r="AA40" i="10"/>
  <c r="AA38" i="10"/>
  <c r="AA36" i="10"/>
  <c r="AA34" i="10"/>
  <c r="AA12" i="11"/>
  <c r="AA42" i="10"/>
  <c r="AA41" i="10"/>
  <c r="AA39" i="10"/>
  <c r="AA37" i="10"/>
  <c r="AA35" i="10"/>
  <c r="AA33" i="10"/>
  <c r="AA31" i="10"/>
  <c r="AA29" i="10"/>
  <c r="AA8" i="11"/>
  <c r="AA9" i="11"/>
  <c r="AA10" i="11"/>
  <c r="AA27" i="10"/>
  <c r="AA25" i="10"/>
  <c r="AA23" i="10"/>
  <c r="AA21" i="10"/>
  <c r="AA19" i="10"/>
  <c r="AA17" i="10"/>
  <c r="AA15" i="10"/>
  <c r="AA13" i="10"/>
  <c r="AA11" i="10"/>
  <c r="AA30" i="10"/>
  <c r="AA26" i="10"/>
  <c r="AA24" i="10"/>
  <c r="AA22" i="10"/>
  <c r="AA20" i="10"/>
  <c r="AA18" i="10"/>
  <c r="AA16" i="10"/>
  <c r="AA14" i="10"/>
  <c r="AA12" i="10"/>
  <c r="AA10" i="10"/>
  <c r="AA8" i="10"/>
  <c r="AA28" i="10"/>
  <c r="AA32" i="10"/>
  <c r="AA9" i="10"/>
  <c r="AB21" i="9"/>
  <c r="AA6" i="9"/>
  <c r="Q91" i="28"/>
  <c r="T65" i="22"/>
  <c r="J65" i="20"/>
  <c r="EX89" i="9"/>
  <c r="EV89" i="9" s="1"/>
  <c r="L65" i="20" s="1"/>
  <c r="I89" i="25"/>
  <c r="L89" i="25"/>
  <c r="I53" i="22"/>
  <c r="L53" i="22"/>
  <c r="P99" i="28"/>
  <c r="I97" i="22"/>
  <c r="L97" i="22"/>
  <c r="I17" i="22"/>
  <c r="L17" i="22"/>
  <c r="I50" i="22"/>
  <c r="L50" i="22"/>
  <c r="I87" i="22"/>
  <c r="L87" i="22"/>
  <c r="I22" i="22"/>
  <c r="L22" i="22"/>
  <c r="Q39" i="28"/>
  <c r="I9" i="22"/>
  <c r="L9" i="22"/>
  <c r="I103" i="22"/>
  <c r="L103" i="22"/>
  <c r="I70" i="22"/>
  <c r="L70" i="22"/>
  <c r="I13" i="22"/>
  <c r="L13" i="22"/>
  <c r="I101" i="22"/>
  <c r="L101" i="22"/>
  <c r="I45" i="22"/>
  <c r="L45" i="22"/>
  <c r="I52" i="22"/>
  <c r="L52" i="22"/>
  <c r="I69" i="22"/>
  <c r="L69" i="22"/>
  <c r="K89" i="25"/>
  <c r="P62" i="28"/>
  <c r="R99" i="28"/>
  <c r="R91" i="28"/>
  <c r="I38" i="22"/>
  <c r="L38" i="22"/>
  <c r="I59" i="22"/>
  <c r="L59" i="22"/>
  <c r="I83" i="22"/>
  <c r="L83" i="22"/>
  <c r="I60" i="22"/>
  <c r="L60" i="22"/>
  <c r="N65" i="30"/>
  <c r="O65" i="30"/>
  <c r="R65" i="30"/>
  <c r="Q65" i="30"/>
  <c r="P65" i="30"/>
  <c r="N68" i="23"/>
  <c r="K68" i="23" s="1"/>
  <c r="O65" i="22"/>
  <c r="I80" i="22"/>
  <c r="L80" i="22"/>
  <c r="Q99" i="28"/>
  <c r="R18" i="34"/>
  <c r="Q18" i="34"/>
  <c r="P18" i="34"/>
  <c r="O18" i="34"/>
  <c r="N18" i="34"/>
  <c r="N16" i="25"/>
  <c r="K16" i="25" s="1"/>
  <c r="Q14" i="22"/>
  <c r="I104" i="22"/>
  <c r="L104" i="22"/>
  <c r="K17" i="22"/>
  <c r="R91" i="34"/>
  <c r="P91" i="34"/>
  <c r="O91" i="34"/>
  <c r="N91" i="34"/>
  <c r="Q91" i="34"/>
  <c r="N92" i="25"/>
  <c r="K92" i="25" s="1"/>
  <c r="Q100" i="22"/>
  <c r="I58" i="22"/>
  <c r="L58" i="22"/>
  <c r="I72" i="22"/>
  <c r="L72" i="22"/>
  <c r="I54" i="20"/>
  <c r="H54" i="20" s="1"/>
  <c r="N54" i="22"/>
  <c r="K54" i="22" s="1"/>
  <c r="EW139" i="9"/>
  <c r="M54" i="20" s="1"/>
  <c r="K53" i="22"/>
  <c r="O62" i="28"/>
  <c r="IG88" i="9"/>
  <c r="FA88" i="9"/>
  <c r="II88" i="9"/>
  <c r="IF88" i="9"/>
  <c r="EY88" i="9"/>
  <c r="IJ88" i="9"/>
  <c r="IH88" i="9"/>
  <c r="J100" i="20"/>
  <c r="T100" i="22"/>
  <c r="EX147" i="9"/>
  <c r="EV147" i="9" s="1"/>
  <c r="L100" i="20" s="1"/>
  <c r="I88" i="22"/>
  <c r="L88" i="22"/>
  <c r="N57" i="27"/>
  <c r="I95" i="22"/>
  <c r="L95" i="22"/>
  <c r="K73" i="22"/>
  <c r="R50" i="36"/>
  <c r="Q50" i="36"/>
  <c r="P50" i="36"/>
  <c r="O50" i="36"/>
  <c r="N50" i="36"/>
  <c r="N45" i="26"/>
  <c r="K45" i="26" s="1"/>
  <c r="R36" i="22"/>
  <c r="I4" i="22"/>
  <c r="L4" i="22"/>
  <c r="I81" i="22"/>
  <c r="L81" i="22"/>
  <c r="I19" i="24"/>
  <c r="L19" i="24"/>
  <c r="N99" i="28"/>
  <c r="IE147" i="9"/>
  <c r="Q99" i="27" s="1"/>
  <c r="O91" i="28"/>
  <c r="I3" i="22"/>
  <c r="L3" i="22"/>
  <c r="K87" i="22"/>
  <c r="I30" i="25"/>
  <c r="L30" i="25"/>
  <c r="I86" i="22"/>
  <c r="L86" i="22"/>
  <c r="I23" i="22"/>
  <c r="L23" i="22"/>
  <c r="T14" i="22"/>
  <c r="J14" i="20"/>
  <c r="EX29" i="9"/>
  <c r="I68" i="22"/>
  <c r="L68" i="22"/>
  <c r="I47" i="20"/>
  <c r="H47" i="20" s="1"/>
  <c r="N47" i="22"/>
  <c r="EW31" i="9"/>
  <c r="M47" i="20" s="1"/>
  <c r="I51" i="26"/>
  <c r="L51" i="26"/>
  <c r="I43" i="24"/>
  <c r="L43" i="24"/>
  <c r="I27" i="22"/>
  <c r="L27" i="22"/>
  <c r="O99" i="30"/>
  <c r="R99" i="30"/>
  <c r="P99" i="30"/>
  <c r="Q99" i="30"/>
  <c r="N99" i="30"/>
  <c r="O100" i="22"/>
  <c r="N100" i="23"/>
  <c r="K100" i="23" s="1"/>
  <c r="O23" i="27"/>
  <c r="H3" i="20"/>
  <c r="M3" i="20"/>
  <c r="I14" i="26"/>
  <c r="L14" i="26"/>
  <c r="I21" i="22"/>
  <c r="L21" i="22"/>
  <c r="N18" i="27"/>
  <c r="I19" i="20"/>
  <c r="H19" i="20" s="1"/>
  <c r="N19" i="22"/>
  <c r="K19" i="22" s="1"/>
  <c r="EW44" i="9"/>
  <c r="M19" i="20" s="1"/>
  <c r="I76" i="22"/>
  <c r="L76" i="22"/>
  <c r="I78" i="25"/>
  <c r="L78" i="25"/>
  <c r="I12" i="24"/>
  <c r="L12" i="24"/>
  <c r="K72" i="22"/>
  <c r="I74" i="22"/>
  <c r="L74" i="22"/>
  <c r="N17" i="28"/>
  <c r="IE29" i="9"/>
  <c r="N17" i="27" s="1"/>
  <c r="K105" i="22"/>
  <c r="I51" i="22"/>
  <c r="L51" i="22"/>
  <c r="I62" i="22"/>
  <c r="L62" i="22"/>
  <c r="Q21" i="28"/>
  <c r="I6" i="22"/>
  <c r="L6" i="22"/>
  <c r="O99" i="28"/>
  <c r="R18" i="36"/>
  <c r="Q18" i="36"/>
  <c r="P18" i="36"/>
  <c r="O18" i="36"/>
  <c r="N18" i="36"/>
  <c r="N15" i="26"/>
  <c r="K15" i="26" s="1"/>
  <c r="R14" i="22"/>
  <c r="I26" i="22"/>
  <c r="L26" i="22"/>
  <c r="I66" i="22"/>
  <c r="L66" i="22"/>
  <c r="I52" i="25"/>
  <c r="L52" i="25"/>
  <c r="IH78" i="9"/>
  <c r="K103" i="22"/>
  <c r="P94" i="36"/>
  <c r="O94" i="36"/>
  <c r="N94" i="36"/>
  <c r="R94" i="36"/>
  <c r="Q94" i="36"/>
  <c r="N94" i="26"/>
  <c r="K94" i="26" s="1"/>
  <c r="R90" i="22"/>
  <c r="K59" i="22"/>
  <c r="I8" i="22"/>
  <c r="L8" i="22"/>
  <c r="I32" i="22"/>
  <c r="L32" i="22"/>
  <c r="R18" i="30"/>
  <c r="Q18" i="30"/>
  <c r="P18" i="30"/>
  <c r="O18" i="30"/>
  <c r="N18" i="30"/>
  <c r="N15" i="23"/>
  <c r="K15" i="23" s="1"/>
  <c r="O14" i="22"/>
  <c r="I41" i="22"/>
  <c r="L41" i="22"/>
  <c r="I16" i="22"/>
  <c r="L16" i="22"/>
  <c r="N91" i="28"/>
  <c r="IE92" i="9"/>
  <c r="Q91" i="27" s="1"/>
  <c r="I12" i="22"/>
  <c r="L12" i="22"/>
  <c r="I56" i="22"/>
  <c r="L56" i="22"/>
  <c r="I34" i="22"/>
  <c r="L34" i="22"/>
  <c r="I43" i="22"/>
  <c r="L43" i="22"/>
  <c r="T90" i="22"/>
  <c r="J90" i="20"/>
  <c r="EX92" i="9"/>
  <c r="EV92" i="9" s="1"/>
  <c r="L90" i="20" s="1"/>
  <c r="K13" i="22"/>
  <c r="K97" i="22"/>
  <c r="P23" i="27"/>
  <c r="IG78" i="9"/>
  <c r="I67" i="22"/>
  <c r="L67" i="22"/>
  <c r="I15" i="22"/>
  <c r="L15" i="22"/>
  <c r="I49" i="22"/>
  <c r="L49" i="22"/>
  <c r="I42" i="22"/>
  <c r="L42" i="22"/>
  <c r="I11" i="22"/>
  <c r="L11" i="22"/>
  <c r="O17" i="28"/>
  <c r="K38" i="22"/>
  <c r="I40" i="22"/>
  <c r="L40" i="22"/>
  <c r="N25" i="34"/>
  <c r="R25" i="34"/>
  <c r="Q25" i="34"/>
  <c r="P25" i="34"/>
  <c r="O25" i="34"/>
  <c r="Q18" i="22"/>
  <c r="N21" i="25"/>
  <c r="I82" i="22"/>
  <c r="L82" i="22"/>
  <c r="I46" i="22"/>
  <c r="L46" i="22"/>
  <c r="J18" i="20"/>
  <c r="T18" i="22"/>
  <c r="EX24" i="9"/>
  <c r="EV24" i="9" s="1"/>
  <c r="L18" i="20" s="1"/>
  <c r="I31" i="22"/>
  <c r="L31" i="22"/>
  <c r="I98" i="22"/>
  <c r="L98" i="22"/>
  <c r="I56" i="25"/>
  <c r="L56" i="25"/>
  <c r="N54" i="32"/>
  <c r="R54" i="32"/>
  <c r="Q54" i="32"/>
  <c r="P54" i="32"/>
  <c r="O54" i="32"/>
  <c r="N55" i="24"/>
  <c r="P90" i="22"/>
  <c r="K42" i="22"/>
  <c r="S91" i="26"/>
  <c r="X93" i="22"/>
  <c r="FJ78" i="9"/>
  <c r="I57" i="22"/>
  <c r="L57" i="22"/>
  <c r="I33" i="25"/>
  <c r="L33" i="25"/>
  <c r="K81" i="22"/>
  <c r="K41" i="22"/>
  <c r="K4" i="22"/>
  <c r="K68" i="22"/>
  <c r="I48" i="22"/>
  <c r="L48" i="22"/>
  <c r="P17" i="28"/>
  <c r="K43" i="24"/>
  <c r="O21" i="28"/>
  <c r="I53" i="23"/>
  <c r="L53" i="23"/>
  <c r="I94" i="22"/>
  <c r="L94" i="22"/>
  <c r="I33" i="22"/>
  <c r="L33" i="22"/>
  <c r="W93" i="22"/>
  <c r="T83" i="25"/>
  <c r="FG78" i="9"/>
  <c r="I61" i="22"/>
  <c r="L61" i="22"/>
  <c r="O99" i="36"/>
  <c r="R99" i="36"/>
  <c r="Q99" i="36"/>
  <c r="P99" i="36"/>
  <c r="N99" i="36"/>
  <c r="N99" i="26"/>
  <c r="R100" i="22"/>
  <c r="I77" i="22"/>
  <c r="L77" i="22"/>
  <c r="I64" i="22"/>
  <c r="L64" i="22"/>
  <c r="T85" i="25"/>
  <c r="W92" i="22"/>
  <c r="FG90" i="9"/>
  <c r="K50" i="22"/>
  <c r="II78" i="9"/>
  <c r="I91" i="22"/>
  <c r="L91" i="22"/>
  <c r="I71" i="22"/>
  <c r="L71" i="22"/>
  <c r="P57" i="27"/>
  <c r="I75" i="22"/>
  <c r="L75" i="22"/>
  <c r="R62" i="36"/>
  <c r="Q62" i="36"/>
  <c r="P62" i="36"/>
  <c r="O62" i="36"/>
  <c r="N62" i="36"/>
  <c r="N63" i="26"/>
  <c r="K63" i="26" s="1"/>
  <c r="R65" i="22"/>
  <c r="Q17" i="28"/>
  <c r="N12" i="32"/>
  <c r="Q12" i="32"/>
  <c r="P12" i="32"/>
  <c r="O12" i="32"/>
  <c r="R12" i="32"/>
  <c r="N11" i="24"/>
  <c r="K11" i="24" s="1"/>
  <c r="P14" i="22"/>
  <c r="S96" i="26"/>
  <c r="X92" i="22"/>
  <c r="FJ90" i="9"/>
  <c r="N21" i="28"/>
  <c r="IE24" i="9"/>
  <c r="R21" i="27" s="1"/>
  <c r="O57" i="27"/>
  <c r="I106" i="22"/>
  <c r="L106" i="22"/>
  <c r="I37" i="22"/>
  <c r="L37" i="22"/>
  <c r="P80" i="27"/>
  <c r="O80" i="27"/>
  <c r="R80" i="27"/>
  <c r="R7" i="32"/>
  <c r="Q7" i="32"/>
  <c r="P7" i="32"/>
  <c r="N7" i="32"/>
  <c r="O7" i="32"/>
  <c r="N7" i="24"/>
  <c r="P18" i="22"/>
  <c r="K30" i="25"/>
  <c r="IJ78" i="9"/>
  <c r="I5" i="22"/>
  <c r="L5" i="22"/>
  <c r="C62" i="32"/>
  <c r="C67" i="36"/>
  <c r="C62" i="31"/>
  <c r="C67" i="35"/>
  <c r="C41" i="33"/>
  <c r="C52" i="29"/>
  <c r="C50" i="30"/>
  <c r="C59" i="28"/>
  <c r="D72" i="26"/>
  <c r="C41" i="34"/>
  <c r="C59" i="27"/>
  <c r="D63" i="24"/>
  <c r="D51" i="25"/>
  <c r="D69" i="20"/>
  <c r="D65" i="23"/>
  <c r="C19" i="17"/>
  <c r="D69" i="22"/>
  <c r="C99" i="12"/>
  <c r="A17" i="9"/>
  <c r="I10" i="22"/>
  <c r="L10" i="22"/>
  <c r="R17" i="28"/>
  <c r="I102" i="22"/>
  <c r="L102" i="22"/>
  <c r="I25" i="22"/>
  <c r="L25" i="22"/>
  <c r="I79" i="22"/>
  <c r="L79" i="22"/>
  <c r="I42" i="23"/>
  <c r="L42" i="23"/>
  <c r="I35" i="22"/>
  <c r="L35" i="22"/>
  <c r="IE28" i="9"/>
  <c r="Q39" i="27" s="1"/>
  <c r="R23" i="27"/>
  <c r="P91" i="28"/>
  <c r="N62" i="28"/>
  <c r="IE89" i="9"/>
  <c r="O62" i="27" s="1"/>
  <c r="Q80" i="27"/>
  <c r="S54" i="24"/>
  <c r="V92" i="22"/>
  <c r="FD90" i="9"/>
  <c r="R32" i="36"/>
  <c r="Q32" i="36"/>
  <c r="P32" i="36"/>
  <c r="O32" i="36"/>
  <c r="N32" i="36"/>
  <c r="N29" i="26"/>
  <c r="K29" i="26" s="1"/>
  <c r="R18" i="22"/>
  <c r="K9" i="22"/>
  <c r="K99" i="22"/>
  <c r="K78" i="25"/>
  <c r="L55" i="22" l="1"/>
  <c r="I55" i="22"/>
  <c r="O92" i="22"/>
  <c r="Q97" i="30"/>
  <c r="P97" i="30"/>
  <c r="N97" i="23"/>
  <c r="K97" i="23" s="1"/>
  <c r="N97" i="30"/>
  <c r="O97" i="30"/>
  <c r="K88" i="25"/>
  <c r="L88" i="25"/>
  <c r="L20" i="22"/>
  <c r="I20" i="22"/>
  <c r="N91" i="30"/>
  <c r="L96" i="23"/>
  <c r="I96" i="23"/>
  <c r="I23" i="23"/>
  <c r="L23" i="23"/>
  <c r="O91" i="30"/>
  <c r="O93" i="22"/>
  <c r="P91" i="30"/>
  <c r="Q91" i="30"/>
  <c r="N90" i="23"/>
  <c r="K90" i="23" s="1"/>
  <c r="J92" i="20"/>
  <c r="T92" i="22"/>
  <c r="EW28" i="9"/>
  <c r="M36" i="20" s="1"/>
  <c r="N36" i="22"/>
  <c r="K36" i="22" s="1"/>
  <c r="I36" i="20"/>
  <c r="H36" i="20" s="1"/>
  <c r="N99" i="27"/>
  <c r="IE90" i="9"/>
  <c r="Q94" i="27" s="1"/>
  <c r="O21" i="27"/>
  <c r="R17" i="27"/>
  <c r="Q17" i="27"/>
  <c r="Q94" i="28"/>
  <c r="J93" i="20"/>
  <c r="T93" i="22"/>
  <c r="P91" i="27"/>
  <c r="P17" i="27"/>
  <c r="P99" i="27"/>
  <c r="O17" i="27"/>
  <c r="EV78" i="9"/>
  <c r="L93" i="20" s="1"/>
  <c r="N91" i="27"/>
  <c r="O99" i="27"/>
  <c r="I11" i="24"/>
  <c r="L11" i="24"/>
  <c r="I55" i="24"/>
  <c r="L55" i="24"/>
  <c r="I14" i="20"/>
  <c r="H14" i="20" s="1"/>
  <c r="N14" i="22"/>
  <c r="K14" i="22" s="1"/>
  <c r="EW29" i="9"/>
  <c r="M14" i="20" s="1"/>
  <c r="I41" i="24"/>
  <c r="L41" i="24"/>
  <c r="K55" i="24"/>
  <c r="N62" i="27"/>
  <c r="R93" i="28"/>
  <c r="I21" i="25"/>
  <c r="L21" i="25"/>
  <c r="I15" i="26"/>
  <c r="L15" i="26"/>
  <c r="Q21" i="27"/>
  <c r="N92" i="22"/>
  <c r="I92" i="20"/>
  <c r="H92" i="20" s="1"/>
  <c r="EW90" i="9"/>
  <c r="M92" i="20" s="1"/>
  <c r="R62" i="27"/>
  <c r="I100" i="23"/>
  <c r="L100" i="23"/>
  <c r="O91" i="27"/>
  <c r="I45" i="26"/>
  <c r="L45" i="26"/>
  <c r="I29" i="26"/>
  <c r="L29" i="26"/>
  <c r="I94" i="26"/>
  <c r="L94" i="26"/>
  <c r="EX88" i="9"/>
  <c r="EW88" i="9" s="1"/>
  <c r="I16" i="25"/>
  <c r="L16" i="25"/>
  <c r="R91" i="27"/>
  <c r="R99" i="27"/>
  <c r="I65" i="20"/>
  <c r="H65" i="20" s="1"/>
  <c r="N65" i="22"/>
  <c r="K65" i="22" s="1"/>
  <c r="EW89" i="9"/>
  <c r="M65" i="20" s="1"/>
  <c r="I68" i="23"/>
  <c r="L68" i="23"/>
  <c r="I99" i="26"/>
  <c r="L99" i="26"/>
  <c r="I7" i="24"/>
  <c r="L7" i="24"/>
  <c r="N21" i="27"/>
  <c r="I15" i="23"/>
  <c r="L15" i="23"/>
  <c r="IE88" i="9"/>
  <c r="P62" i="27"/>
  <c r="Q62" i="27"/>
  <c r="P39" i="27"/>
  <c r="R39" i="27"/>
  <c r="O39" i="27"/>
  <c r="N39" i="27"/>
  <c r="R97" i="36"/>
  <c r="Q97" i="36"/>
  <c r="P97" i="36"/>
  <c r="O97" i="36"/>
  <c r="N97" i="36"/>
  <c r="N96" i="26"/>
  <c r="K96" i="26" s="1"/>
  <c r="R92" i="22"/>
  <c r="I63" i="26"/>
  <c r="L63" i="26"/>
  <c r="Q93" i="28"/>
  <c r="Q93" i="36"/>
  <c r="P93" i="36"/>
  <c r="O93" i="36"/>
  <c r="N93" i="36"/>
  <c r="R93" i="36"/>
  <c r="N91" i="26"/>
  <c r="R93" i="22"/>
  <c r="I47" i="22"/>
  <c r="L47" i="22"/>
  <c r="I54" i="22"/>
  <c r="L54" i="22"/>
  <c r="C63" i="32"/>
  <c r="C44" i="33"/>
  <c r="C68" i="35"/>
  <c r="C68" i="36"/>
  <c r="C44" i="34"/>
  <c r="C56" i="30"/>
  <c r="C63" i="31"/>
  <c r="C65" i="28"/>
  <c r="D53" i="25"/>
  <c r="C17" i="29"/>
  <c r="C65" i="27"/>
  <c r="D69" i="23"/>
  <c r="D67" i="24"/>
  <c r="D72" i="20"/>
  <c r="D73" i="26"/>
  <c r="C20" i="17"/>
  <c r="D72" i="22"/>
  <c r="C78" i="12"/>
  <c r="A18" i="9"/>
  <c r="I18" i="20"/>
  <c r="H18" i="20" s="1"/>
  <c r="N18" i="22"/>
  <c r="K18" i="22" s="1"/>
  <c r="EW24" i="9"/>
  <c r="M18" i="20" s="1"/>
  <c r="I92" i="25"/>
  <c r="L92" i="25"/>
  <c r="I93" i="20"/>
  <c r="H93" i="20" s="1"/>
  <c r="N93" i="22"/>
  <c r="EW78" i="9"/>
  <c r="M93" i="20" s="1"/>
  <c r="R86" i="34"/>
  <c r="Q86" i="34"/>
  <c r="P86" i="34"/>
  <c r="O86" i="34"/>
  <c r="N86" i="34"/>
  <c r="N85" i="25"/>
  <c r="K85" i="25" s="1"/>
  <c r="Q92" i="22"/>
  <c r="AA6" i="11"/>
  <c r="AA7" i="11" s="1"/>
  <c r="AA6" i="10"/>
  <c r="AA7" i="10" s="1"/>
  <c r="AA7" i="9"/>
  <c r="N93" i="28"/>
  <c r="IE78" i="9"/>
  <c r="R93" i="27" s="1"/>
  <c r="I90" i="20"/>
  <c r="H90" i="20" s="1"/>
  <c r="N90" i="22"/>
  <c r="EW92" i="9"/>
  <c r="M90" i="20" s="1"/>
  <c r="N100" i="22"/>
  <c r="K100" i="22" s="1"/>
  <c r="I100" i="20"/>
  <c r="H100" i="20" s="1"/>
  <c r="EW147" i="9"/>
  <c r="M100" i="20" s="1"/>
  <c r="K99" i="26"/>
  <c r="K21" i="25"/>
  <c r="R84" i="34"/>
  <c r="Q84" i="34"/>
  <c r="P84" i="34"/>
  <c r="O84" i="34"/>
  <c r="N84" i="34"/>
  <c r="N83" i="25"/>
  <c r="K83" i="25" s="1"/>
  <c r="Q93" i="22"/>
  <c r="K47" i="22"/>
  <c r="I19" i="22"/>
  <c r="L19" i="22"/>
  <c r="AB15" i="14"/>
  <c r="AB18" i="14"/>
  <c r="AB11" i="14"/>
  <c r="AB17" i="14"/>
  <c r="AB19" i="14"/>
  <c r="AB44" i="13"/>
  <c r="AB43" i="13"/>
  <c r="AB38" i="13"/>
  <c r="AB13" i="14"/>
  <c r="AB45" i="13"/>
  <c r="AB42" i="13"/>
  <c r="AB14" i="14"/>
  <c r="AB16" i="14"/>
  <c r="AB46" i="13"/>
  <c r="AB47" i="13"/>
  <c r="AB41" i="13"/>
  <c r="AB8" i="14"/>
  <c r="AB6" i="14"/>
  <c r="AB7" i="14" s="1"/>
  <c r="AB12" i="14"/>
  <c r="AB40" i="13"/>
  <c r="AB37" i="13"/>
  <c r="AB26" i="13"/>
  <c r="AB21" i="13"/>
  <c r="AB10" i="14"/>
  <c r="AB30" i="13"/>
  <c r="AB9" i="14"/>
  <c r="AB34" i="13"/>
  <c r="AB29" i="13"/>
  <c r="AB35" i="13"/>
  <c r="AB24" i="13"/>
  <c r="AB33" i="13"/>
  <c r="AB28" i="13"/>
  <c r="AB36" i="13"/>
  <c r="AB23" i="13"/>
  <c r="AB32" i="13"/>
  <c r="AB39" i="13"/>
  <c r="AB27" i="13"/>
  <c r="AB19" i="13"/>
  <c r="AB14" i="13"/>
  <c r="AB10" i="13"/>
  <c r="AB31" i="13"/>
  <c r="AB22" i="13"/>
  <c r="AB18" i="13"/>
  <c r="AB25" i="13"/>
  <c r="AB13" i="13"/>
  <c r="AB20" i="13"/>
  <c r="AB17" i="13"/>
  <c r="AB16" i="13"/>
  <c r="AB12" i="13"/>
  <c r="AB15" i="13"/>
  <c r="AB6" i="13"/>
  <c r="AB7" i="13" s="1"/>
  <c r="AB8" i="13"/>
  <c r="AB19" i="11"/>
  <c r="AB17" i="11"/>
  <c r="AB15" i="11"/>
  <c r="AB13" i="11"/>
  <c r="AB11" i="11"/>
  <c r="AB9" i="11"/>
  <c r="AB11" i="13"/>
  <c r="AB9" i="13"/>
  <c r="AB20" i="11"/>
  <c r="AB18" i="11"/>
  <c r="AB16" i="11"/>
  <c r="AB14" i="11"/>
  <c r="AB12" i="11"/>
  <c r="AB10" i="11"/>
  <c r="AB42" i="10"/>
  <c r="AB41" i="10"/>
  <c r="AB39" i="10"/>
  <c r="AB37" i="10"/>
  <c r="AB35" i="10"/>
  <c r="AB33" i="10"/>
  <c r="AB31" i="10"/>
  <c r="AB29" i="10"/>
  <c r="AB8" i="11"/>
  <c r="AB40" i="10"/>
  <c r="AB38" i="10"/>
  <c r="AB36" i="10"/>
  <c r="AB34" i="10"/>
  <c r="AB32" i="10"/>
  <c r="AB30" i="10"/>
  <c r="AB27" i="10"/>
  <c r="AB25" i="10"/>
  <c r="AB23" i="10"/>
  <c r="AB21" i="10"/>
  <c r="AB19" i="10"/>
  <c r="AB17" i="10"/>
  <c r="AB15" i="10"/>
  <c r="AB13" i="10"/>
  <c r="AB11" i="10"/>
  <c r="AB9" i="10"/>
  <c r="AB26" i="10"/>
  <c r="AB24" i="10"/>
  <c r="AB22" i="10"/>
  <c r="AB20" i="10"/>
  <c r="AB18" i="10"/>
  <c r="AB28" i="10"/>
  <c r="AB12" i="10"/>
  <c r="AB16" i="10"/>
  <c r="AB8" i="10"/>
  <c r="AB14" i="10"/>
  <c r="AB10" i="10"/>
  <c r="AC21" i="9"/>
  <c r="AB6" i="9"/>
  <c r="K7" i="24"/>
  <c r="P21" i="27"/>
  <c r="O53" i="32"/>
  <c r="N53" i="32"/>
  <c r="P53" i="32"/>
  <c r="Q53" i="32"/>
  <c r="R53" i="32"/>
  <c r="N54" i="24"/>
  <c r="P92" i="22"/>
  <c r="O93" i="28"/>
  <c r="P93" i="28"/>
  <c r="EV29" i="9"/>
  <c r="L14" i="20" s="1"/>
  <c r="I97" i="23" l="1"/>
  <c r="L97" i="23"/>
  <c r="L90" i="23"/>
  <c r="I90" i="23"/>
  <c r="R94" i="27"/>
  <c r="L36" i="22"/>
  <c r="I36" i="22"/>
  <c r="N94" i="27"/>
  <c r="P94" i="27"/>
  <c r="O94" i="27"/>
  <c r="K93" i="22"/>
  <c r="N93" i="27"/>
  <c r="P93" i="27"/>
  <c r="Q93" i="27"/>
  <c r="O93" i="27"/>
  <c r="I54" i="24"/>
  <c r="L54" i="24"/>
  <c r="I85" i="25"/>
  <c r="L85" i="25"/>
  <c r="I91" i="26"/>
  <c r="L91" i="26"/>
  <c r="EV88" i="9"/>
  <c r="I90" i="22"/>
  <c r="L90" i="22"/>
  <c r="I92" i="22"/>
  <c r="L92" i="22"/>
  <c r="I83" i="25"/>
  <c r="L83" i="25"/>
  <c r="C48" i="33"/>
  <c r="C53" i="36"/>
  <c r="C53" i="35"/>
  <c r="C27" i="31"/>
  <c r="C48" i="34"/>
  <c r="C27" i="32"/>
  <c r="C52" i="30"/>
  <c r="C46" i="28"/>
  <c r="C36" i="29"/>
  <c r="D54" i="25"/>
  <c r="D66" i="26"/>
  <c r="D64" i="23"/>
  <c r="D31" i="24"/>
  <c r="C46" i="27"/>
  <c r="D57" i="20"/>
  <c r="D57" i="22"/>
  <c r="C68" i="17"/>
  <c r="C56" i="12"/>
  <c r="A19" i="9"/>
  <c r="I93" i="22"/>
  <c r="L93" i="22"/>
  <c r="K54" i="24"/>
  <c r="I65" i="22"/>
  <c r="L65" i="22"/>
  <c r="I14" i="22"/>
  <c r="L14" i="22"/>
  <c r="AB6" i="11"/>
  <c r="AB7" i="11" s="1"/>
  <c r="AB6" i="10"/>
  <c r="AB7" i="10" s="1"/>
  <c r="AB7" i="9"/>
  <c r="K92" i="22"/>
  <c r="AC15" i="14"/>
  <c r="AC8" i="14"/>
  <c r="AC18" i="14"/>
  <c r="AC17" i="14"/>
  <c r="AC44" i="13"/>
  <c r="AC43" i="13"/>
  <c r="AC13" i="14"/>
  <c r="AC45" i="13"/>
  <c r="AC42" i="13"/>
  <c r="AC14" i="14"/>
  <c r="AC37" i="13"/>
  <c r="AC16" i="14"/>
  <c r="AC46" i="13"/>
  <c r="AC47" i="13"/>
  <c r="AC41" i="13"/>
  <c r="AC36" i="13"/>
  <c r="AC6" i="14"/>
  <c r="AC7" i="14" s="1"/>
  <c r="AC11" i="14"/>
  <c r="AC10" i="14"/>
  <c r="AC9" i="14"/>
  <c r="AC40" i="13"/>
  <c r="AC21" i="13"/>
  <c r="AC30" i="13"/>
  <c r="AC25" i="13"/>
  <c r="AC34" i="13"/>
  <c r="AC12" i="14"/>
  <c r="AC29" i="13"/>
  <c r="AC35" i="13"/>
  <c r="AC24" i="13"/>
  <c r="AC33" i="13"/>
  <c r="AC19" i="14"/>
  <c r="AC28" i="13"/>
  <c r="AC23" i="13"/>
  <c r="AC32" i="13"/>
  <c r="AC39" i="13"/>
  <c r="AC27" i="13"/>
  <c r="AC14" i="13"/>
  <c r="AC10" i="13"/>
  <c r="AC31" i="13"/>
  <c r="AC22" i="13"/>
  <c r="AC18" i="13"/>
  <c r="AC9" i="13"/>
  <c r="AC13" i="13"/>
  <c r="AC20" i="13"/>
  <c r="AC17" i="13"/>
  <c r="AC8" i="13"/>
  <c r="AC16" i="13"/>
  <c r="AC12" i="13"/>
  <c r="AC38" i="13"/>
  <c r="AC26" i="13"/>
  <c r="AC15" i="13"/>
  <c r="AC6" i="13"/>
  <c r="AC7" i="13" s="1"/>
  <c r="AC19" i="11"/>
  <c r="AC17" i="11"/>
  <c r="AC15" i="11"/>
  <c r="AC13" i="11"/>
  <c r="AC11" i="11"/>
  <c r="AC9" i="11"/>
  <c r="AC11" i="13"/>
  <c r="AC19" i="13"/>
  <c r="AC16" i="11"/>
  <c r="AC12" i="11"/>
  <c r="AC18" i="11"/>
  <c r="AC42" i="10"/>
  <c r="AC20" i="11"/>
  <c r="AC41" i="10"/>
  <c r="AC39" i="10"/>
  <c r="AC37" i="10"/>
  <c r="AC35" i="10"/>
  <c r="AC33" i="10"/>
  <c r="AC31" i="10"/>
  <c r="AC29" i="10"/>
  <c r="AC8" i="11"/>
  <c r="AC10" i="11"/>
  <c r="AC14" i="11"/>
  <c r="AC34" i="10"/>
  <c r="AC27" i="10"/>
  <c r="AC25" i="10"/>
  <c r="AC23" i="10"/>
  <c r="AC21" i="10"/>
  <c r="AC19" i="10"/>
  <c r="AC17" i="10"/>
  <c r="AC15" i="10"/>
  <c r="AC13" i="10"/>
  <c r="AC40" i="10"/>
  <c r="AC36" i="10"/>
  <c r="AC30" i="10"/>
  <c r="AC26" i="10"/>
  <c r="AC24" i="10"/>
  <c r="AC22" i="10"/>
  <c r="AC20" i="10"/>
  <c r="AC18" i="10"/>
  <c r="AC16" i="10"/>
  <c r="AC14" i="10"/>
  <c r="AC12" i="10"/>
  <c r="AC38" i="10"/>
  <c r="AC28" i="10"/>
  <c r="AC32" i="10"/>
  <c r="AC11" i="10"/>
  <c r="AC8" i="10"/>
  <c r="AC9" i="10"/>
  <c r="AC10" i="10"/>
  <c r="AD21" i="9"/>
  <c r="AC6" i="9"/>
  <c r="I96" i="26"/>
  <c r="L96" i="26"/>
  <c r="K91" i="26"/>
  <c r="I100" i="22"/>
  <c r="L100" i="22"/>
  <c r="I18" i="22"/>
  <c r="L18" i="22"/>
  <c r="K90" i="22"/>
  <c r="AC6" i="11" l="1"/>
  <c r="AC7" i="11" s="1"/>
  <c r="AC6" i="10"/>
  <c r="AC7" i="10" s="1"/>
  <c r="AC7" i="9"/>
  <c r="AD45" i="13"/>
  <c r="AD18" i="14"/>
  <c r="AD11" i="14"/>
  <c r="AD14" i="14"/>
  <c r="AD44" i="13"/>
  <c r="AD17" i="14"/>
  <c r="AD19" i="14"/>
  <c r="AD13" i="14"/>
  <c r="AD42" i="13"/>
  <c r="AD16" i="14"/>
  <c r="AD46" i="13"/>
  <c r="AD47" i="13"/>
  <c r="AD41" i="13"/>
  <c r="AD6" i="14"/>
  <c r="AD7" i="14" s="1"/>
  <c r="AD10" i="14"/>
  <c r="AD9" i="14"/>
  <c r="AD8" i="14"/>
  <c r="AD40" i="13"/>
  <c r="AD39" i="13"/>
  <c r="AD43" i="13"/>
  <c r="AD30" i="13"/>
  <c r="AD25" i="13"/>
  <c r="AD15" i="14"/>
  <c r="AD34" i="13"/>
  <c r="AD12" i="14"/>
  <c r="AD35" i="13"/>
  <c r="AD24" i="13"/>
  <c r="AD33" i="13"/>
  <c r="AD28" i="13"/>
  <c r="AD23" i="13"/>
  <c r="AD36" i="13"/>
  <c r="AD32" i="13"/>
  <c r="AD27" i="13"/>
  <c r="AD31" i="13"/>
  <c r="AD22" i="13"/>
  <c r="AD21" i="13"/>
  <c r="AD18" i="13"/>
  <c r="AD29" i="13"/>
  <c r="AD9" i="13"/>
  <c r="AD13" i="13"/>
  <c r="AD20" i="13"/>
  <c r="AD17" i="13"/>
  <c r="AD37" i="13"/>
  <c r="AD8" i="13"/>
  <c r="AD16" i="13"/>
  <c r="AD12" i="13"/>
  <c r="AD38" i="13"/>
  <c r="AD26" i="13"/>
  <c r="AD15" i="13"/>
  <c r="AD11" i="13"/>
  <c r="AD10" i="13"/>
  <c r="AD19" i="11"/>
  <c r="AD17" i="11"/>
  <c r="AD15" i="11"/>
  <c r="AD13" i="11"/>
  <c r="AD11" i="11"/>
  <c r="AD19" i="13"/>
  <c r="AD14" i="13"/>
  <c r="AD20" i="11"/>
  <c r="AD18" i="11"/>
  <c r="AD16" i="11"/>
  <c r="AD14" i="11"/>
  <c r="AD12" i="11"/>
  <c r="AD6" i="13"/>
  <c r="AD7" i="13" s="1"/>
  <c r="AD42" i="10"/>
  <c r="AD41" i="10"/>
  <c r="AD39" i="10"/>
  <c r="AD37" i="10"/>
  <c r="AD35" i="10"/>
  <c r="AD33" i="10"/>
  <c r="AD31" i="10"/>
  <c r="AD29" i="10"/>
  <c r="AD8" i="11"/>
  <c r="AD9" i="11"/>
  <c r="AD10" i="11"/>
  <c r="AD40" i="10"/>
  <c r="AD38" i="10"/>
  <c r="AD36" i="10"/>
  <c r="AD34" i="10"/>
  <c r="AD30" i="10"/>
  <c r="AD26" i="10"/>
  <c r="AD24" i="10"/>
  <c r="AD22" i="10"/>
  <c r="AD20" i="10"/>
  <c r="AD18" i="10"/>
  <c r="AD16" i="10"/>
  <c r="AD14" i="10"/>
  <c r="AD12" i="10"/>
  <c r="AD28" i="10"/>
  <c r="AD32" i="10"/>
  <c r="AD27" i="10"/>
  <c r="AD25" i="10"/>
  <c r="AD23" i="10"/>
  <c r="AD21" i="10"/>
  <c r="AD19" i="10"/>
  <c r="AD17" i="10"/>
  <c r="AD15" i="10"/>
  <c r="AD11" i="10"/>
  <c r="AD8" i="10"/>
  <c r="AD9" i="10"/>
  <c r="AD13" i="10"/>
  <c r="AD10" i="10"/>
  <c r="AD6" i="9"/>
  <c r="AE21" i="9"/>
  <c r="C23" i="31"/>
  <c r="C16" i="34"/>
  <c r="C26" i="36"/>
  <c r="C16" i="33"/>
  <c r="C23" i="32"/>
  <c r="C26" i="35"/>
  <c r="C53" i="29"/>
  <c r="C25" i="30"/>
  <c r="C26" i="28"/>
  <c r="C26" i="27"/>
  <c r="D32" i="26"/>
  <c r="D18" i="25"/>
  <c r="D23" i="24"/>
  <c r="D30" i="23"/>
  <c r="D28" i="20"/>
  <c r="D28" i="22"/>
  <c r="C44" i="17"/>
  <c r="C31" i="12"/>
  <c r="A20" i="9"/>
  <c r="A21" i="9" s="1"/>
  <c r="C5" i="32" l="1"/>
  <c r="C13" i="36"/>
  <c r="C75" i="29"/>
  <c r="C12" i="33"/>
  <c r="C12" i="34"/>
  <c r="C12" i="30"/>
  <c r="C5" i="31"/>
  <c r="D12" i="26"/>
  <c r="C13" i="35"/>
  <c r="C10" i="28"/>
  <c r="D9" i="25"/>
  <c r="C10" i="27"/>
  <c r="D5" i="24"/>
  <c r="D11" i="23"/>
  <c r="D7" i="20"/>
  <c r="D7" i="22"/>
  <c r="C31" i="17"/>
  <c r="C15" i="12"/>
  <c r="A22" i="9"/>
  <c r="AE18" i="14"/>
  <c r="AE11" i="14"/>
  <c r="AE14" i="14"/>
  <c r="AE16" i="14"/>
  <c r="AE19" i="14"/>
  <c r="AE42" i="13"/>
  <c r="AE45" i="13"/>
  <c r="AE37" i="13"/>
  <c r="AE46" i="13"/>
  <c r="AE17" i="14"/>
  <c r="AE47" i="13"/>
  <c r="AE41" i="13"/>
  <c r="AE6" i="14"/>
  <c r="AE7" i="14" s="1"/>
  <c r="AE10" i="14"/>
  <c r="AE9" i="14"/>
  <c r="AE8" i="14"/>
  <c r="AE40" i="13"/>
  <c r="AE12" i="14"/>
  <c r="AE13" i="14"/>
  <c r="AE44" i="13"/>
  <c r="AE25" i="13"/>
  <c r="AE15" i="14"/>
  <c r="AE34" i="13"/>
  <c r="AE29" i="13"/>
  <c r="AE35" i="13"/>
  <c r="AE33" i="13"/>
  <c r="AE28" i="13"/>
  <c r="AE23" i="13"/>
  <c r="AE43" i="13"/>
  <c r="AE36" i="13"/>
  <c r="AE32" i="13"/>
  <c r="AE27" i="13"/>
  <c r="AE39" i="13"/>
  <c r="AE22" i="13"/>
  <c r="AE31" i="13"/>
  <c r="AE38" i="13"/>
  <c r="AE26" i="13"/>
  <c r="AE18" i="13"/>
  <c r="AE9" i="13"/>
  <c r="AE13" i="13"/>
  <c r="AE20" i="13"/>
  <c r="AE17" i="13"/>
  <c r="AE16" i="13"/>
  <c r="AE12" i="13"/>
  <c r="AE30" i="13"/>
  <c r="AE15" i="13"/>
  <c r="AE11" i="13"/>
  <c r="AE19" i="13"/>
  <c r="AE10" i="13"/>
  <c r="AE8" i="13"/>
  <c r="AE21" i="13"/>
  <c r="AE14" i="13"/>
  <c r="AE24" i="13"/>
  <c r="AE20" i="11"/>
  <c r="AE18" i="11"/>
  <c r="AE16" i="11"/>
  <c r="AE14" i="11"/>
  <c r="AE12" i="11"/>
  <c r="AE10" i="11"/>
  <c r="AE6" i="13"/>
  <c r="AE7" i="13" s="1"/>
  <c r="AE41" i="10"/>
  <c r="AE8" i="11"/>
  <c r="AE15" i="11"/>
  <c r="AE17" i="11"/>
  <c r="AE13" i="11"/>
  <c r="AE19" i="11"/>
  <c r="AE9" i="11"/>
  <c r="AE11" i="11"/>
  <c r="AE40" i="10"/>
  <c r="AE38" i="10"/>
  <c r="AE36" i="10"/>
  <c r="AE42" i="10"/>
  <c r="AE39" i="10"/>
  <c r="AE35" i="10"/>
  <c r="AE30" i="10"/>
  <c r="AE26" i="10"/>
  <c r="AE24" i="10"/>
  <c r="AE22" i="10"/>
  <c r="AE20" i="10"/>
  <c r="AE18" i="10"/>
  <c r="AE16" i="10"/>
  <c r="AE14" i="10"/>
  <c r="AE12" i="10"/>
  <c r="AE37" i="10"/>
  <c r="AE29" i="10"/>
  <c r="AE28" i="10"/>
  <c r="AE33" i="10"/>
  <c r="AE32" i="10"/>
  <c r="AE27" i="10"/>
  <c r="AE25" i="10"/>
  <c r="AE23" i="10"/>
  <c r="AE21" i="10"/>
  <c r="AE19" i="10"/>
  <c r="AE17" i="10"/>
  <c r="AE15" i="10"/>
  <c r="AE13" i="10"/>
  <c r="AE34" i="10"/>
  <c r="AE31" i="10"/>
  <c r="AE9" i="10"/>
  <c r="AE10" i="10"/>
  <c r="AE11" i="10"/>
  <c r="AE8" i="10"/>
  <c r="AE6" i="9"/>
  <c r="AF21" i="9"/>
  <c r="AD6" i="11"/>
  <c r="AD7" i="11" s="1"/>
  <c r="AD6" i="10"/>
  <c r="AD7" i="10" s="1"/>
  <c r="AD7" i="9"/>
  <c r="AS19" i="14" l="1"/>
  <c r="BB18" i="14"/>
  <c r="AQ16" i="14"/>
  <c r="FL15" i="14"/>
  <c r="AZ15" i="14"/>
  <c r="AS12" i="14"/>
  <c r="BB11" i="14"/>
  <c r="AQ9" i="14"/>
  <c r="FL8" i="14"/>
  <c r="AZ8" i="14"/>
  <c r="AS46" i="13"/>
  <c r="FM45" i="13"/>
  <c r="BA45" i="13"/>
  <c r="AR19" i="14"/>
  <c r="FM18" i="14"/>
  <c r="BA18" i="14"/>
  <c r="AY15" i="14"/>
  <c r="AF14" i="14"/>
  <c r="H6" i="57" s="1"/>
  <c r="AR12" i="14"/>
  <c r="FM11" i="14"/>
  <c r="BA11" i="14"/>
  <c r="AQ19" i="14"/>
  <c r="FL18" i="14"/>
  <c r="AZ18" i="14"/>
  <c r="AS15" i="14"/>
  <c r="BB14" i="14"/>
  <c r="AY18" i="14"/>
  <c r="AF17" i="14"/>
  <c r="H14" i="57" s="1"/>
  <c r="AR15" i="14"/>
  <c r="FM14" i="14"/>
  <c r="BA14" i="14"/>
  <c r="AY11" i="14"/>
  <c r="AF10" i="14"/>
  <c r="H8" i="57" s="1"/>
  <c r="AR8" i="14"/>
  <c r="AS45" i="13"/>
  <c r="FM44" i="13"/>
  <c r="BA44" i="13"/>
  <c r="AS18" i="14"/>
  <c r="AR18" i="14"/>
  <c r="FM17" i="14"/>
  <c r="BA17" i="14"/>
  <c r="AQ18" i="14"/>
  <c r="FL17" i="14"/>
  <c r="AZ17" i="14"/>
  <c r="AY17" i="14"/>
  <c r="AF16" i="14"/>
  <c r="H13" i="57" s="1"/>
  <c r="AR14" i="14"/>
  <c r="FM13" i="14"/>
  <c r="AS17" i="14"/>
  <c r="BB16" i="14"/>
  <c r="AF19" i="14"/>
  <c r="BB19" i="14"/>
  <c r="FM19" i="14"/>
  <c r="BA19" i="14"/>
  <c r="FL19" i="14"/>
  <c r="AY19" i="14"/>
  <c r="AQ17" i="14"/>
  <c r="AS16" i="14"/>
  <c r="FM12" i="14"/>
  <c r="BA12" i="14"/>
  <c r="AQ11" i="14"/>
  <c r="AQ10" i="14"/>
  <c r="AF45" i="13"/>
  <c r="BA43" i="13"/>
  <c r="BB42" i="13"/>
  <c r="AR39" i="13"/>
  <c r="AR16" i="14"/>
  <c r="FL12" i="14"/>
  <c r="AZ12" i="14"/>
  <c r="AF46" i="13"/>
  <c r="BB44" i="13"/>
  <c r="AZ43" i="13"/>
  <c r="FM42" i="13"/>
  <c r="BA42" i="13"/>
  <c r="AQ39" i="13"/>
  <c r="AY38" i="13"/>
  <c r="BB37" i="13"/>
  <c r="AY12" i="14"/>
  <c r="AF47" i="13"/>
  <c r="FL44" i="13"/>
  <c r="AZ44" i="13"/>
  <c r="AY43" i="13"/>
  <c r="FL42" i="13"/>
  <c r="AZ42" i="13"/>
  <c r="AF41" i="13"/>
  <c r="AS38" i="13"/>
  <c r="FM16" i="14"/>
  <c r="BB15" i="14"/>
  <c r="BB13" i="14"/>
  <c r="AQ12" i="14"/>
  <c r="BB45" i="13"/>
  <c r="AY44" i="13"/>
  <c r="AS43" i="13"/>
  <c r="AY42" i="13"/>
  <c r="BB41" i="13"/>
  <c r="AR38" i="13"/>
  <c r="FL37" i="13"/>
  <c r="AZ37" i="13"/>
  <c r="AF36" i="13"/>
  <c r="H29" i="37" s="1"/>
  <c r="FL16" i="14"/>
  <c r="FM15" i="14"/>
  <c r="BA15" i="14"/>
  <c r="BA13" i="14"/>
  <c r="FL11" i="14"/>
  <c r="AF6" i="14"/>
  <c r="AF7" i="14" s="1"/>
  <c r="BB46" i="13"/>
  <c r="FL45" i="13"/>
  <c r="AZ45" i="13"/>
  <c r="AS44" i="13"/>
  <c r="AR43" i="13"/>
  <c r="AS42" i="13"/>
  <c r="FM41" i="13"/>
  <c r="BA41" i="13"/>
  <c r="AQ15" i="14"/>
  <c r="AZ13" i="14"/>
  <c r="AF9" i="14"/>
  <c r="H10" i="57" s="1"/>
  <c r="AF8" i="14"/>
  <c r="BB47" i="13"/>
  <c r="FM46" i="13"/>
  <c r="BA46" i="13"/>
  <c r="AY45" i="13"/>
  <c r="AR44" i="13"/>
  <c r="AQ43" i="13"/>
  <c r="AR42" i="13"/>
  <c r="FL41" i="13"/>
  <c r="AZ41" i="13"/>
  <c r="AF40" i="13"/>
  <c r="AF18" i="14"/>
  <c r="H12" i="57" s="1"/>
  <c r="AY13" i="14"/>
  <c r="FM47" i="13"/>
  <c r="BA47" i="13"/>
  <c r="FL46" i="13"/>
  <c r="AZ46" i="13"/>
  <c r="AR45" i="13"/>
  <c r="AQ44" i="13"/>
  <c r="AQ42" i="13"/>
  <c r="AY41" i="13"/>
  <c r="BB40" i="13"/>
  <c r="AR37" i="13"/>
  <c r="FL36" i="13"/>
  <c r="AZ36" i="13"/>
  <c r="AF35" i="13"/>
  <c r="H31" i="37" s="1"/>
  <c r="FL14" i="14"/>
  <c r="AS13" i="14"/>
  <c r="AF11" i="14"/>
  <c r="H4" i="57" s="1"/>
  <c r="BB6" i="14"/>
  <c r="FL47" i="13"/>
  <c r="AZ47" i="13"/>
  <c r="AY46" i="13"/>
  <c r="AQ45" i="13"/>
  <c r="FM43" i="13"/>
  <c r="AS41" i="13"/>
  <c r="FM40" i="13"/>
  <c r="BA40" i="13"/>
  <c r="AZ14" i="14"/>
  <c r="AR13" i="14"/>
  <c r="BB10" i="14"/>
  <c r="BB9" i="14"/>
  <c r="BB8" i="14"/>
  <c r="BA6" i="14"/>
  <c r="AY47" i="13"/>
  <c r="AR46" i="13"/>
  <c r="FL43" i="13"/>
  <c r="AR41" i="13"/>
  <c r="FL40" i="13"/>
  <c r="AZ40" i="13"/>
  <c r="AF15" i="14"/>
  <c r="H7" i="57" s="1"/>
  <c r="AS14" i="14"/>
  <c r="FL13" i="14"/>
  <c r="FL10" i="14"/>
  <c r="AZ10" i="14"/>
  <c r="FL9" i="14"/>
  <c r="AZ9" i="14"/>
  <c r="AY8" i="14"/>
  <c r="AY6" i="14"/>
  <c r="AR47" i="13"/>
  <c r="AS40" i="13"/>
  <c r="FM39" i="13"/>
  <c r="BA39" i="13"/>
  <c r="AQ36" i="13"/>
  <c r="AR17" i="14"/>
  <c r="AY16" i="14"/>
  <c r="BB12" i="14"/>
  <c r="AR11" i="14"/>
  <c r="AR10" i="14"/>
  <c r="AR9" i="14"/>
  <c r="BB43" i="13"/>
  <c r="AF42" i="13"/>
  <c r="AS39" i="13"/>
  <c r="AY10" i="14"/>
  <c r="AR6" i="14"/>
  <c r="AQ47" i="13"/>
  <c r="AQ46" i="13"/>
  <c r="AS36" i="13"/>
  <c r="FM35" i="13"/>
  <c r="AF34" i="13"/>
  <c r="H24" i="37" s="1"/>
  <c r="AS31" i="13"/>
  <c r="FM30" i="13"/>
  <c r="BA30" i="13"/>
  <c r="AQ27" i="13"/>
  <c r="AY26" i="13"/>
  <c r="BB25" i="13"/>
  <c r="AR22" i="13"/>
  <c r="FL21" i="13"/>
  <c r="AZ21" i="13"/>
  <c r="AY14" i="14"/>
  <c r="AS10" i="14"/>
  <c r="BA9" i="14"/>
  <c r="AR36" i="13"/>
  <c r="FL35" i="13"/>
  <c r="BB34" i="13"/>
  <c r="AR31" i="13"/>
  <c r="FL30" i="13"/>
  <c r="AZ30" i="13"/>
  <c r="AF29" i="13"/>
  <c r="H7" i="37" s="1"/>
  <c r="AS26" i="13"/>
  <c r="FM25" i="13"/>
  <c r="BA25" i="13"/>
  <c r="AQ22" i="13"/>
  <c r="AY21" i="13"/>
  <c r="BB20" i="13"/>
  <c r="BA16" i="14"/>
  <c r="AQ14" i="14"/>
  <c r="AF12" i="14"/>
  <c r="H9" i="57" s="1"/>
  <c r="AY9" i="14"/>
  <c r="BA34" i="13"/>
  <c r="AQ31" i="13"/>
  <c r="AY30" i="13"/>
  <c r="BB29" i="13"/>
  <c r="AR26" i="13"/>
  <c r="FL25" i="13"/>
  <c r="AZ25" i="13"/>
  <c r="AF24" i="13"/>
  <c r="H17" i="37" s="1"/>
  <c r="AZ16" i="14"/>
  <c r="AS9" i="14"/>
  <c r="BA8" i="14"/>
  <c r="BB39" i="13"/>
  <c r="BB38" i="13"/>
  <c r="FM37" i="13"/>
  <c r="BA37" i="13"/>
  <c r="AZ34" i="13"/>
  <c r="AF33" i="13"/>
  <c r="H21" i="37" s="1"/>
  <c r="AS8" i="14"/>
  <c r="AF44" i="13"/>
  <c r="AQ41" i="13"/>
  <c r="AZ39" i="13"/>
  <c r="FM38" i="13"/>
  <c r="BA38" i="13"/>
  <c r="AY37" i="13"/>
  <c r="FM34" i="13"/>
  <c r="AY34" i="13"/>
  <c r="BB33" i="13"/>
  <c r="AR30" i="13"/>
  <c r="FL29" i="13"/>
  <c r="AZ29" i="13"/>
  <c r="AF28" i="13"/>
  <c r="H9" i="37" s="1"/>
  <c r="AS25" i="13"/>
  <c r="FM24" i="13"/>
  <c r="BA24" i="13"/>
  <c r="AQ8" i="14"/>
  <c r="AY39" i="13"/>
  <c r="FL38" i="13"/>
  <c r="AZ38" i="13"/>
  <c r="AS37" i="13"/>
  <c r="FL34" i="13"/>
  <c r="AS34" i="13"/>
  <c r="FM33" i="13"/>
  <c r="BA33" i="13"/>
  <c r="AQ30" i="13"/>
  <c r="AY29" i="13"/>
  <c r="BB28" i="13"/>
  <c r="AR25" i="13"/>
  <c r="FL24" i="13"/>
  <c r="AZ24" i="13"/>
  <c r="AF23" i="13"/>
  <c r="H11" i="37" s="1"/>
  <c r="AZ19" i="14"/>
  <c r="AF43" i="13"/>
  <c r="AQ38" i="13"/>
  <c r="AQ37" i="13"/>
  <c r="BB35" i="13"/>
  <c r="AR34" i="13"/>
  <c r="FL33" i="13"/>
  <c r="AZ33" i="13"/>
  <c r="AF32" i="13"/>
  <c r="H5" i="37" s="1"/>
  <c r="AS29" i="13"/>
  <c r="FM28" i="13"/>
  <c r="BA28" i="13"/>
  <c r="AQ25" i="13"/>
  <c r="AY24" i="13"/>
  <c r="BB23" i="13"/>
  <c r="AR20" i="13"/>
  <c r="FL19" i="13"/>
  <c r="AQ13" i="14"/>
  <c r="BA35" i="13"/>
  <c r="AQ34" i="13"/>
  <c r="AY33" i="13"/>
  <c r="BB32" i="13"/>
  <c r="AR29" i="13"/>
  <c r="FL28" i="13"/>
  <c r="AZ28" i="13"/>
  <c r="AF27" i="13"/>
  <c r="H20" i="37" s="1"/>
  <c r="AS24" i="13"/>
  <c r="FM23" i="13"/>
  <c r="BA23" i="13"/>
  <c r="AF39" i="13"/>
  <c r="H18" i="37" s="1"/>
  <c r="AZ35" i="13"/>
  <c r="AS33" i="13"/>
  <c r="FM32" i="13"/>
  <c r="BA32" i="13"/>
  <c r="AQ29" i="13"/>
  <c r="AY28" i="13"/>
  <c r="BB27" i="13"/>
  <c r="AR24" i="13"/>
  <c r="FL23" i="13"/>
  <c r="AZ23" i="13"/>
  <c r="AF22" i="13"/>
  <c r="H27" i="37" s="1"/>
  <c r="AF13" i="14"/>
  <c r="H11" i="57" s="1"/>
  <c r="FM10" i="14"/>
  <c r="AY35" i="13"/>
  <c r="AR33" i="13"/>
  <c r="FL32" i="13"/>
  <c r="AZ32" i="13"/>
  <c r="AF31" i="13"/>
  <c r="H10" i="37" s="1"/>
  <c r="AS28" i="13"/>
  <c r="FM27" i="13"/>
  <c r="BA27" i="13"/>
  <c r="AQ24" i="13"/>
  <c r="AY23" i="13"/>
  <c r="BB22" i="13"/>
  <c r="FL39" i="13"/>
  <c r="AF38" i="13"/>
  <c r="H30" i="37" s="1"/>
  <c r="AS35" i="13"/>
  <c r="AQ33" i="13"/>
  <c r="AY32" i="13"/>
  <c r="BB31" i="13"/>
  <c r="AR28" i="13"/>
  <c r="FL27" i="13"/>
  <c r="AZ27" i="13"/>
  <c r="AF26" i="13"/>
  <c r="H32" i="37" s="1"/>
  <c r="AS23" i="13"/>
  <c r="FM22" i="13"/>
  <c r="BA22" i="13"/>
  <c r="BB17" i="14"/>
  <c r="FM9" i="14"/>
  <c r="AY40" i="13"/>
  <c r="BB36" i="13"/>
  <c r="AR35" i="13"/>
  <c r="AS32" i="13"/>
  <c r="FM31" i="13"/>
  <c r="BA31" i="13"/>
  <c r="AQ28" i="13"/>
  <c r="AY27" i="13"/>
  <c r="BB26" i="13"/>
  <c r="AR23" i="13"/>
  <c r="AY36" i="13"/>
  <c r="AS27" i="13"/>
  <c r="FM26" i="13"/>
  <c r="AY19" i="13"/>
  <c r="BB18" i="13"/>
  <c r="AR15" i="13"/>
  <c r="FL14" i="13"/>
  <c r="AZ14" i="13"/>
  <c r="AR11" i="13"/>
  <c r="FL10" i="13"/>
  <c r="AZ10" i="13"/>
  <c r="AF9" i="13"/>
  <c r="H6" i="37" s="1"/>
  <c r="AY6" i="13"/>
  <c r="AR27" i="13"/>
  <c r="FL26" i="13"/>
  <c r="AS19" i="13"/>
  <c r="FM18" i="13"/>
  <c r="BA18" i="13"/>
  <c r="AQ15" i="13"/>
  <c r="AY14" i="13"/>
  <c r="AF13" i="13"/>
  <c r="H23" i="37" s="1"/>
  <c r="AQ11" i="13"/>
  <c r="AY10" i="13"/>
  <c r="BB9" i="13"/>
  <c r="AZ6" i="14"/>
  <c r="AY25" i="13"/>
  <c r="AQ23" i="13"/>
  <c r="FL22" i="13"/>
  <c r="AF20" i="13"/>
  <c r="H4" i="37" s="1"/>
  <c r="AR19" i="13"/>
  <c r="FL18" i="13"/>
  <c r="AZ18" i="13"/>
  <c r="AF17" i="13"/>
  <c r="H8" i="37" s="1"/>
  <c r="AS14" i="13"/>
  <c r="BB13" i="13"/>
  <c r="AS10" i="13"/>
  <c r="FM9" i="13"/>
  <c r="BA9" i="13"/>
  <c r="FM8" i="14"/>
  <c r="AS6" i="14"/>
  <c r="FM36" i="13"/>
  <c r="AQ19" i="13"/>
  <c r="AY18" i="13"/>
  <c r="BB17" i="13"/>
  <c r="AR14" i="13"/>
  <c r="FM13" i="13"/>
  <c r="BA13" i="13"/>
  <c r="AR10" i="13"/>
  <c r="FL9" i="13"/>
  <c r="AZ9" i="13"/>
  <c r="AF8" i="13"/>
  <c r="BA10" i="14"/>
  <c r="AF37" i="13"/>
  <c r="H34" i="37" s="1"/>
  <c r="AF25" i="13"/>
  <c r="H14" i="37" s="1"/>
  <c r="BB21" i="13"/>
  <c r="AS18" i="13"/>
  <c r="FM17" i="13"/>
  <c r="BA17" i="13"/>
  <c r="AQ14" i="13"/>
  <c r="FL13" i="13"/>
  <c r="AZ13" i="13"/>
  <c r="AR40" i="13"/>
  <c r="FL31" i="13"/>
  <c r="BA21" i="13"/>
  <c r="BA20" i="13"/>
  <c r="AR18" i="13"/>
  <c r="FL17" i="13"/>
  <c r="AZ17" i="13"/>
  <c r="AF16" i="13"/>
  <c r="H19" i="37" s="1"/>
  <c r="AY13" i="13"/>
  <c r="AF12" i="13"/>
  <c r="H22" i="37" s="1"/>
  <c r="AS9" i="13"/>
  <c r="FM8" i="13"/>
  <c r="BA8" i="13"/>
  <c r="AQ40" i="13"/>
  <c r="BB30" i="13"/>
  <c r="FM29" i="13"/>
  <c r="AS21" i="13"/>
  <c r="AZ20" i="13"/>
  <c r="AQ18" i="13"/>
  <c r="AY17" i="13"/>
  <c r="BB16" i="13"/>
  <c r="AS13" i="13"/>
  <c r="BB12" i="13"/>
  <c r="AR9" i="13"/>
  <c r="FL8" i="13"/>
  <c r="AZ8" i="13"/>
  <c r="AS30" i="13"/>
  <c r="BA26" i="13"/>
  <c r="AR21" i="13"/>
  <c r="AY20" i="13"/>
  <c r="AS17" i="13"/>
  <c r="FM16" i="13"/>
  <c r="BA16" i="13"/>
  <c r="AR13" i="13"/>
  <c r="FM12" i="13"/>
  <c r="BA12" i="13"/>
  <c r="AQ9" i="13"/>
  <c r="AF30" i="13"/>
  <c r="H16" i="37" s="1"/>
  <c r="AZ26" i="13"/>
  <c r="AQ21" i="13"/>
  <c r="AS20" i="13"/>
  <c r="AR17" i="13"/>
  <c r="FL16" i="13"/>
  <c r="AZ16" i="13"/>
  <c r="AF15" i="13"/>
  <c r="H12" i="37" s="1"/>
  <c r="AQ13" i="13"/>
  <c r="FL12" i="13"/>
  <c r="AZ12" i="13"/>
  <c r="AF11" i="13"/>
  <c r="H15" i="37" s="1"/>
  <c r="AS8" i="13"/>
  <c r="AZ11" i="14"/>
  <c r="AS47" i="13"/>
  <c r="AQ26" i="13"/>
  <c r="BB24" i="13"/>
  <c r="AZ22" i="13"/>
  <c r="AQ20" i="13"/>
  <c r="AQ17" i="13"/>
  <c r="AY16" i="13"/>
  <c r="BB15" i="13"/>
  <c r="AY12" i="13"/>
  <c r="BB11" i="13"/>
  <c r="AR8" i="13"/>
  <c r="AS11" i="14"/>
  <c r="AY22" i="13"/>
  <c r="FM21" i="13"/>
  <c r="AF19" i="13"/>
  <c r="H25" i="37" s="1"/>
  <c r="AS16" i="13"/>
  <c r="FM15" i="13"/>
  <c r="BA15" i="13"/>
  <c r="AS12" i="13"/>
  <c r="FM11" i="13"/>
  <c r="BA11" i="13"/>
  <c r="AQ8" i="13"/>
  <c r="AR32" i="13"/>
  <c r="AS22" i="13"/>
  <c r="BB19" i="13"/>
  <c r="AR16" i="13"/>
  <c r="FL15" i="13"/>
  <c r="AZ15" i="13"/>
  <c r="AF14" i="13"/>
  <c r="H35" i="37" s="1"/>
  <c r="BA29" i="13"/>
  <c r="AS15" i="13"/>
  <c r="AQ10" i="13"/>
  <c r="AS20" i="11"/>
  <c r="AS18" i="11"/>
  <c r="AS16" i="11"/>
  <c r="AS14" i="11"/>
  <c r="AF10" i="13"/>
  <c r="H28" i="37" s="1"/>
  <c r="AR20" i="11"/>
  <c r="AR18" i="11"/>
  <c r="AR16" i="11"/>
  <c r="AR14" i="11"/>
  <c r="AQ35" i="13"/>
  <c r="FL11" i="13"/>
  <c r="AZ11" i="13"/>
  <c r="BB6" i="13"/>
  <c r="AQ20" i="11"/>
  <c r="FP19" i="11"/>
  <c r="AF19" i="11"/>
  <c r="R19" i="11"/>
  <c r="AQ18" i="11"/>
  <c r="FP17" i="11"/>
  <c r="AF17" i="11"/>
  <c r="R17" i="11"/>
  <c r="AQ16" i="11"/>
  <c r="FP15" i="11"/>
  <c r="AF15" i="11"/>
  <c r="R15" i="11"/>
  <c r="AQ14" i="11"/>
  <c r="FP13" i="11"/>
  <c r="AF13" i="11"/>
  <c r="R13" i="11"/>
  <c r="AQ12" i="11"/>
  <c r="FP11" i="11"/>
  <c r="AF11" i="11"/>
  <c r="R11" i="11"/>
  <c r="AY11" i="13"/>
  <c r="BA6" i="13"/>
  <c r="FM20" i="13"/>
  <c r="BB14" i="13"/>
  <c r="AS11" i="13"/>
  <c r="AZ6" i="13"/>
  <c r="BB19" i="11"/>
  <c r="BB17" i="11"/>
  <c r="BB15" i="11"/>
  <c r="BB13" i="11"/>
  <c r="BB11" i="11"/>
  <c r="AQ32" i="13"/>
  <c r="AF21" i="13"/>
  <c r="H26" i="37" s="1"/>
  <c r="FL20" i="13"/>
  <c r="BA19" i="13"/>
  <c r="FM14" i="13"/>
  <c r="BA14" i="13"/>
  <c r="BA19" i="11"/>
  <c r="BA17" i="11"/>
  <c r="BA15" i="11"/>
  <c r="BA13" i="11"/>
  <c r="BA11" i="11"/>
  <c r="BA9" i="11"/>
  <c r="FM19" i="13"/>
  <c r="AZ19" i="13"/>
  <c r="AZ19" i="11"/>
  <c r="AZ17" i="11"/>
  <c r="AZ15" i="11"/>
  <c r="AZ13" i="11"/>
  <c r="AZ11" i="11"/>
  <c r="AZ9" i="11"/>
  <c r="AQ42" i="10"/>
  <c r="AS19" i="11"/>
  <c r="AS17" i="11"/>
  <c r="AS15" i="11"/>
  <c r="AS13" i="11"/>
  <c r="AS11" i="11"/>
  <c r="AQ16" i="13"/>
  <c r="AY9" i="13"/>
  <c r="AR19" i="11"/>
  <c r="AR17" i="11"/>
  <c r="AR15" i="11"/>
  <c r="AR13" i="11"/>
  <c r="FP20" i="11"/>
  <c r="AF20" i="11"/>
  <c r="R20" i="11"/>
  <c r="AQ19" i="11"/>
  <c r="FP18" i="11"/>
  <c r="AF18" i="11"/>
  <c r="R18" i="11"/>
  <c r="AQ17" i="11"/>
  <c r="FP16" i="11"/>
  <c r="AF16" i="11"/>
  <c r="R16" i="11"/>
  <c r="AQ15" i="11"/>
  <c r="FP14" i="11"/>
  <c r="AF14" i="11"/>
  <c r="R14" i="11"/>
  <c r="AQ13" i="11"/>
  <c r="FP12" i="11"/>
  <c r="AF12" i="11"/>
  <c r="R12" i="11"/>
  <c r="BB8" i="13"/>
  <c r="H15" i="12"/>
  <c r="FO20" i="11"/>
  <c r="BC20" i="11"/>
  <c r="AP19" i="11"/>
  <c r="FO18" i="11"/>
  <c r="BC18" i="11"/>
  <c r="AP17" i="11"/>
  <c r="FO16" i="11"/>
  <c r="BC16" i="11"/>
  <c r="AP15" i="11"/>
  <c r="FO14" i="11"/>
  <c r="BC14" i="11"/>
  <c r="AP13" i="11"/>
  <c r="FO12" i="11"/>
  <c r="BC12" i="11"/>
  <c r="AP11" i="11"/>
  <c r="FO10" i="11"/>
  <c r="BC10" i="11"/>
  <c r="AY8" i="13"/>
  <c r="AF6" i="13"/>
  <c r="AF7" i="13" s="1"/>
  <c r="BB20" i="11"/>
  <c r="BB18" i="11"/>
  <c r="BB16" i="11"/>
  <c r="BB14" i="11"/>
  <c r="BB12" i="11"/>
  <c r="BA36" i="13"/>
  <c r="AZ31" i="13"/>
  <c r="AR12" i="13"/>
  <c r="BB10" i="13"/>
  <c r="AY31" i="13"/>
  <c r="AF18" i="13"/>
  <c r="H33" i="37" s="1"/>
  <c r="AY15" i="13"/>
  <c r="AQ12" i="13"/>
  <c r="FM10" i="13"/>
  <c r="BA10" i="13"/>
  <c r="AZ20" i="11"/>
  <c r="AZ18" i="11"/>
  <c r="AZ16" i="11"/>
  <c r="AZ14" i="11"/>
  <c r="AZ12" i="11"/>
  <c r="AZ10" i="11"/>
  <c r="BA20" i="11"/>
  <c r="AP18" i="11"/>
  <c r="AR9" i="11"/>
  <c r="BC42" i="10"/>
  <c r="AS40" i="10"/>
  <c r="AS38" i="10"/>
  <c r="AS36" i="10"/>
  <c r="AS34" i="10"/>
  <c r="AP20" i="11"/>
  <c r="AQ9" i="11"/>
  <c r="BB42" i="10"/>
  <c r="AR40" i="10"/>
  <c r="AR38" i="10"/>
  <c r="AR36" i="10"/>
  <c r="AR34" i="10"/>
  <c r="AR32" i="10"/>
  <c r="AR30" i="10"/>
  <c r="FP9" i="11"/>
  <c r="AP9" i="11"/>
  <c r="R8" i="11"/>
  <c r="BA42" i="10"/>
  <c r="FP41" i="10"/>
  <c r="AF41" i="10"/>
  <c r="R41" i="10"/>
  <c r="AQ40" i="10"/>
  <c r="FP39" i="10"/>
  <c r="AF39" i="10"/>
  <c r="R39" i="10"/>
  <c r="AQ38" i="10"/>
  <c r="FP37" i="10"/>
  <c r="AF37" i="10"/>
  <c r="R37" i="10"/>
  <c r="AQ36" i="10"/>
  <c r="FP35" i="10"/>
  <c r="AF35" i="10"/>
  <c r="R35" i="10"/>
  <c r="AQ34" i="10"/>
  <c r="FP33" i="10"/>
  <c r="AF33" i="10"/>
  <c r="R33" i="10"/>
  <c r="AQ32" i="10"/>
  <c r="FP31" i="10"/>
  <c r="AF31" i="10"/>
  <c r="R31" i="10"/>
  <c r="AQ30" i="10"/>
  <c r="FP29" i="10"/>
  <c r="AF29" i="10"/>
  <c r="R29" i="10"/>
  <c r="AQ28" i="10"/>
  <c r="FP27" i="10"/>
  <c r="BB10" i="11"/>
  <c r="FO9" i="11"/>
  <c r="AF8" i="11"/>
  <c r="AZ42" i="10"/>
  <c r="FO41" i="10"/>
  <c r="BC41" i="10"/>
  <c r="AP40" i="10"/>
  <c r="BC11" i="11"/>
  <c r="BA10" i="11"/>
  <c r="R10" i="11"/>
  <c r="AS42" i="10"/>
  <c r="BB41" i="10"/>
  <c r="BB39" i="10"/>
  <c r="BB37" i="10"/>
  <c r="BB35" i="10"/>
  <c r="BB33" i="10"/>
  <c r="BB31" i="10"/>
  <c r="BB29" i="10"/>
  <c r="FO15" i="11"/>
  <c r="BC15" i="11"/>
  <c r="BC13" i="11"/>
  <c r="AR11" i="11"/>
  <c r="AS10" i="11"/>
  <c r="BC8" i="11"/>
  <c r="AR42" i="10"/>
  <c r="BA41" i="10"/>
  <c r="BA39" i="10"/>
  <c r="BA37" i="10"/>
  <c r="BA35" i="10"/>
  <c r="BA33" i="10"/>
  <c r="BA31" i="10"/>
  <c r="BA29" i="10"/>
  <c r="FO17" i="11"/>
  <c r="BC17" i="11"/>
  <c r="AQ11" i="11"/>
  <c r="AR10" i="11"/>
  <c r="R9" i="11"/>
  <c r="BB8" i="11"/>
  <c r="FP42" i="10"/>
  <c r="AP42" i="10"/>
  <c r="AZ41" i="10"/>
  <c r="AZ39" i="10"/>
  <c r="AZ37" i="10"/>
  <c r="AZ35" i="10"/>
  <c r="AZ33" i="10"/>
  <c r="AZ31" i="10"/>
  <c r="AZ29" i="10"/>
  <c r="FO19" i="11"/>
  <c r="BC19" i="11"/>
  <c r="FP10" i="11"/>
  <c r="AQ10" i="11"/>
  <c r="BA8" i="11"/>
  <c r="FO42" i="10"/>
  <c r="AS41" i="10"/>
  <c r="AS39" i="10"/>
  <c r="AS37" i="10"/>
  <c r="AS35" i="10"/>
  <c r="AS33" i="10"/>
  <c r="AS31" i="10"/>
  <c r="AS29" i="10"/>
  <c r="AP10" i="11"/>
  <c r="AF9" i="11"/>
  <c r="AZ8" i="11"/>
  <c r="AR41" i="10"/>
  <c r="AR39" i="10"/>
  <c r="AR37" i="10"/>
  <c r="AR35" i="10"/>
  <c r="AR33" i="10"/>
  <c r="FO11" i="11"/>
  <c r="AS8" i="11"/>
  <c r="AQ41" i="10"/>
  <c r="FP40" i="10"/>
  <c r="AF40" i="10"/>
  <c r="R40" i="10"/>
  <c r="AQ39" i="10"/>
  <c r="FP38" i="10"/>
  <c r="AF38" i="10"/>
  <c r="R38" i="10"/>
  <c r="BA12" i="11"/>
  <c r="AF10" i="11"/>
  <c r="AR8" i="11"/>
  <c r="AP41" i="10"/>
  <c r="FO40" i="10"/>
  <c r="BC40" i="10"/>
  <c r="AP39" i="10"/>
  <c r="FO38" i="10"/>
  <c r="BC38" i="10"/>
  <c r="AP37" i="10"/>
  <c r="FO36" i="10"/>
  <c r="BC36" i="10"/>
  <c r="BA14" i="11"/>
  <c r="AS12" i="11"/>
  <c r="BC9" i="11"/>
  <c r="FP8" i="11"/>
  <c r="AQ8" i="11"/>
  <c r="R42" i="10"/>
  <c r="BB40" i="10"/>
  <c r="BB38" i="10"/>
  <c r="BB36" i="10"/>
  <c r="BB34" i="10"/>
  <c r="BA16" i="11"/>
  <c r="AP14" i="11"/>
  <c r="FO13" i="11"/>
  <c r="AR12" i="11"/>
  <c r="BB9" i="11"/>
  <c r="FO8" i="11"/>
  <c r="AP8" i="11"/>
  <c r="AF42" i="10"/>
  <c r="BA18" i="11"/>
  <c r="AP16" i="11"/>
  <c r="AP12" i="11"/>
  <c r="AS9" i="11"/>
  <c r="AZ40" i="10"/>
  <c r="AZ38" i="10"/>
  <c r="AZ36" i="10"/>
  <c r="AZ34" i="10"/>
  <c r="AZ32" i="10"/>
  <c r="AZ30" i="10"/>
  <c r="BA40" i="10"/>
  <c r="FO39" i="10"/>
  <c r="BC39" i="10"/>
  <c r="AP36" i="10"/>
  <c r="AP35" i="10"/>
  <c r="AP30" i="10"/>
  <c r="BC29" i="10"/>
  <c r="AS28" i="10"/>
  <c r="BA27" i="10"/>
  <c r="BA25" i="10"/>
  <c r="BA23" i="10"/>
  <c r="BA21" i="10"/>
  <c r="BA19" i="10"/>
  <c r="BA17" i="10"/>
  <c r="BA15" i="10"/>
  <c r="BA13" i="10"/>
  <c r="AF36" i="10"/>
  <c r="FO35" i="10"/>
  <c r="R32" i="10"/>
  <c r="AR29" i="10"/>
  <c r="AR28" i="10"/>
  <c r="AZ27" i="10"/>
  <c r="AZ25" i="10"/>
  <c r="AZ23" i="10"/>
  <c r="AZ21" i="10"/>
  <c r="AZ19" i="10"/>
  <c r="AZ17" i="10"/>
  <c r="AZ15" i="10"/>
  <c r="AZ13" i="10"/>
  <c r="AZ11" i="10"/>
  <c r="AZ9" i="10"/>
  <c r="R34" i="10"/>
  <c r="BC32" i="10"/>
  <c r="FP30" i="10"/>
  <c r="AF30" i="10"/>
  <c r="AQ29" i="10"/>
  <c r="AP28" i="10"/>
  <c r="AS27" i="10"/>
  <c r="AS25" i="10"/>
  <c r="AS23" i="10"/>
  <c r="AS21" i="10"/>
  <c r="AS19" i="10"/>
  <c r="AS17" i="10"/>
  <c r="AS15" i="10"/>
  <c r="AS13" i="10"/>
  <c r="AS11" i="10"/>
  <c r="BC33" i="10"/>
  <c r="BB32" i="10"/>
  <c r="FO30" i="10"/>
  <c r="AP29" i="10"/>
  <c r="R28" i="10"/>
  <c r="AR27" i="10"/>
  <c r="AR25" i="10"/>
  <c r="AR23" i="10"/>
  <c r="AR21" i="10"/>
  <c r="AR19" i="10"/>
  <c r="AR17" i="10"/>
  <c r="AR15" i="10"/>
  <c r="AR13" i="10"/>
  <c r="AR11" i="10"/>
  <c r="AR9" i="10"/>
  <c r="BC37" i="10"/>
  <c r="R36" i="10"/>
  <c r="AQ33" i="10"/>
  <c r="BA32" i="10"/>
  <c r="AQ27" i="10"/>
  <c r="FP26" i="10"/>
  <c r="AF26" i="10"/>
  <c r="R26" i="10"/>
  <c r="AQ25" i="10"/>
  <c r="FP24" i="10"/>
  <c r="AF24" i="10"/>
  <c r="R24" i="10"/>
  <c r="AQ23" i="10"/>
  <c r="FP22" i="10"/>
  <c r="AF22" i="10"/>
  <c r="R22" i="10"/>
  <c r="AQ21" i="10"/>
  <c r="FP20" i="10"/>
  <c r="AF20" i="10"/>
  <c r="R20" i="10"/>
  <c r="AQ19" i="10"/>
  <c r="FP18" i="10"/>
  <c r="AF18" i="10"/>
  <c r="R18" i="10"/>
  <c r="AQ17" i="10"/>
  <c r="FP16" i="10"/>
  <c r="AF16" i="10"/>
  <c r="R16" i="10"/>
  <c r="AQ15" i="10"/>
  <c r="FP14" i="10"/>
  <c r="AF14" i="10"/>
  <c r="R14" i="10"/>
  <c r="AQ37" i="10"/>
  <c r="FP36" i="10"/>
  <c r="AP33" i="10"/>
  <c r="AS32" i="10"/>
  <c r="AP27" i="10"/>
  <c r="FO26" i="10"/>
  <c r="BC26" i="10"/>
  <c r="AP25" i="10"/>
  <c r="FO24" i="10"/>
  <c r="BC24" i="10"/>
  <c r="AP23" i="10"/>
  <c r="FO22" i="10"/>
  <c r="BC22" i="10"/>
  <c r="AP21" i="10"/>
  <c r="FO20" i="10"/>
  <c r="BC20" i="10"/>
  <c r="AP19" i="10"/>
  <c r="FO18" i="10"/>
  <c r="BC18" i="10"/>
  <c r="AP17" i="10"/>
  <c r="FO16" i="10"/>
  <c r="BC16" i="10"/>
  <c r="AP15" i="10"/>
  <c r="FO14" i="10"/>
  <c r="BC14" i="10"/>
  <c r="AP13" i="10"/>
  <c r="FO12" i="10"/>
  <c r="BC12" i="10"/>
  <c r="BA38" i="10"/>
  <c r="FO33" i="10"/>
  <c r="AP32" i="10"/>
  <c r="BC31" i="10"/>
  <c r="AF28" i="10"/>
  <c r="BB26" i="10"/>
  <c r="BB24" i="10"/>
  <c r="BB22" i="10"/>
  <c r="BB20" i="10"/>
  <c r="BB18" i="10"/>
  <c r="BB16" i="10"/>
  <c r="BB14" i="10"/>
  <c r="BB12" i="10"/>
  <c r="AP38" i="10"/>
  <c r="AR31" i="10"/>
  <c r="FO29" i="10"/>
  <c r="BA26" i="10"/>
  <c r="BA24" i="10"/>
  <c r="BA22" i="10"/>
  <c r="BA20" i="10"/>
  <c r="BA18" i="10"/>
  <c r="BA16" i="10"/>
  <c r="BA14" i="10"/>
  <c r="BA12" i="10"/>
  <c r="FP34" i="10"/>
  <c r="FP32" i="10"/>
  <c r="AF32" i="10"/>
  <c r="AQ31" i="10"/>
  <c r="AZ26" i="10"/>
  <c r="AZ24" i="10"/>
  <c r="AZ22" i="10"/>
  <c r="AZ20" i="10"/>
  <c r="AZ18" i="10"/>
  <c r="AZ16" i="10"/>
  <c r="FO34" i="10"/>
  <c r="BC34" i="10"/>
  <c r="FO32" i="10"/>
  <c r="AP31" i="10"/>
  <c r="R30" i="10"/>
  <c r="FP28" i="10"/>
  <c r="AS26" i="10"/>
  <c r="AS24" i="10"/>
  <c r="AS22" i="10"/>
  <c r="AS20" i="10"/>
  <c r="AS18" i="10"/>
  <c r="AS16" i="10"/>
  <c r="AS14" i="10"/>
  <c r="AS12" i="10"/>
  <c r="AS10" i="10"/>
  <c r="AS8" i="10"/>
  <c r="BA34" i="10"/>
  <c r="BC30" i="10"/>
  <c r="FO28" i="10"/>
  <c r="BC28" i="10"/>
  <c r="AR26" i="10"/>
  <c r="AR24" i="10"/>
  <c r="AR22" i="10"/>
  <c r="AR20" i="10"/>
  <c r="AR18" i="10"/>
  <c r="AR16" i="10"/>
  <c r="AP34" i="10"/>
  <c r="BB30" i="10"/>
  <c r="BB28" i="10"/>
  <c r="AF27" i="10"/>
  <c r="R27" i="10"/>
  <c r="AQ26" i="10"/>
  <c r="FP25" i="10"/>
  <c r="AF25" i="10"/>
  <c r="R25" i="10"/>
  <c r="AQ24" i="10"/>
  <c r="FP23" i="10"/>
  <c r="AF23" i="10"/>
  <c r="R23" i="10"/>
  <c r="AQ22" i="10"/>
  <c r="FP21" i="10"/>
  <c r="AF21" i="10"/>
  <c r="R21" i="10"/>
  <c r="AQ20" i="10"/>
  <c r="FP19" i="10"/>
  <c r="AF19" i="10"/>
  <c r="R19" i="10"/>
  <c r="AQ18" i="10"/>
  <c r="FP17" i="10"/>
  <c r="AF17" i="10"/>
  <c r="R17" i="10"/>
  <c r="AQ16" i="10"/>
  <c r="FP15" i="10"/>
  <c r="AF15" i="10"/>
  <c r="R15" i="10"/>
  <c r="AQ14" i="10"/>
  <c r="FP13" i="10"/>
  <c r="AF13" i="10"/>
  <c r="R13" i="10"/>
  <c r="AQ12" i="10"/>
  <c r="FP11" i="10"/>
  <c r="BC35" i="10"/>
  <c r="AF34" i="10"/>
  <c r="BA30" i="10"/>
  <c r="BA28" i="10"/>
  <c r="BC27" i="10"/>
  <c r="AP26" i="10"/>
  <c r="FO25" i="10"/>
  <c r="BC25" i="10"/>
  <c r="AP24" i="10"/>
  <c r="FO23" i="10"/>
  <c r="BC23" i="10"/>
  <c r="AP22" i="10"/>
  <c r="FO21" i="10"/>
  <c r="BC21" i="10"/>
  <c r="AP20" i="10"/>
  <c r="FO19" i="10"/>
  <c r="BC19" i="10"/>
  <c r="AP18" i="10"/>
  <c r="FO17" i="10"/>
  <c r="BC17" i="10"/>
  <c r="AP16" i="10"/>
  <c r="FO15" i="10"/>
  <c r="BC15" i="10"/>
  <c r="AP14" i="10"/>
  <c r="FO13" i="10"/>
  <c r="BC13" i="10"/>
  <c r="FO37" i="10"/>
  <c r="BA36" i="10"/>
  <c r="AQ35" i="10"/>
  <c r="FO31" i="10"/>
  <c r="AS30" i="10"/>
  <c r="AZ28" i="10"/>
  <c r="FO27" i="10"/>
  <c r="BB27" i="10"/>
  <c r="BB25" i="10"/>
  <c r="BB23" i="10"/>
  <c r="BB21" i="10"/>
  <c r="BB19" i="10"/>
  <c r="BB17" i="10"/>
  <c r="BB15" i="10"/>
  <c r="AP12" i="10"/>
  <c r="BB10" i="10"/>
  <c r="AF8" i="10"/>
  <c r="BA10" i="10"/>
  <c r="AF9" i="10"/>
  <c r="AZ14" i="10"/>
  <c r="BB13" i="10"/>
  <c r="AF12" i="10"/>
  <c r="AZ10" i="10"/>
  <c r="AR14" i="10"/>
  <c r="AQ13" i="10"/>
  <c r="BC11" i="10"/>
  <c r="AR10" i="10"/>
  <c r="FP12" i="10"/>
  <c r="BB11" i="10"/>
  <c r="AQ10" i="10"/>
  <c r="R10" i="10"/>
  <c r="BC8" i="10"/>
  <c r="FO11" i="10"/>
  <c r="BA11" i="10"/>
  <c r="AP10" i="10"/>
  <c r="AQ11" i="10"/>
  <c r="BB9" i="10"/>
  <c r="R12" i="10"/>
  <c r="AP11" i="10"/>
  <c r="BA9" i="10"/>
  <c r="R11" i="10"/>
  <c r="AF10" i="10"/>
  <c r="AS9" i="10"/>
  <c r="AR8" i="10"/>
  <c r="AQ9" i="10"/>
  <c r="AQ8" i="10"/>
  <c r="AP9" i="10"/>
  <c r="FP8" i="10"/>
  <c r="AP8" i="10"/>
  <c r="AR12" i="10"/>
  <c r="FO10" i="10"/>
  <c r="BC10" i="10"/>
  <c r="AF11" i="10"/>
  <c r="R9" i="10"/>
  <c r="AZ12" i="10"/>
  <c r="R8" i="10"/>
  <c r="FP9" i="10"/>
  <c r="BC9" i="10"/>
  <c r="FO8" i="10"/>
  <c r="BB8" i="10"/>
  <c r="FP10" i="10"/>
  <c r="BA8" i="10"/>
  <c r="AZ8" i="10"/>
  <c r="FO9" i="10"/>
  <c r="FO6" i="9"/>
  <c r="BC6" i="9"/>
  <c r="BB6" i="9"/>
  <c r="BH21" i="9"/>
  <c r="BA6" i="9"/>
  <c r="BG21" i="9"/>
  <c r="AZ6" i="9"/>
  <c r="AS6" i="9"/>
  <c r="BF21" i="9"/>
  <c r="AQ6" i="9"/>
  <c r="BE21" i="9"/>
  <c r="AR6" i="9"/>
  <c r="AF6" i="9"/>
  <c r="AG21" i="9"/>
  <c r="FP6" i="9"/>
  <c r="AE6" i="11"/>
  <c r="AE7" i="11" s="1"/>
  <c r="AE6" i="10"/>
  <c r="AE7" i="10" s="1"/>
  <c r="AE7" i="9"/>
  <c r="C9" i="31"/>
  <c r="C28" i="36"/>
  <c r="C28" i="35"/>
  <c r="C34" i="29"/>
  <c r="C26" i="34"/>
  <c r="C26" i="33"/>
  <c r="C26" i="30"/>
  <c r="C9" i="32"/>
  <c r="D26" i="26"/>
  <c r="C24" i="27"/>
  <c r="C24" i="28"/>
  <c r="D9" i="24"/>
  <c r="D25" i="25"/>
  <c r="D22" i="23"/>
  <c r="D21" i="20"/>
  <c r="C35" i="17"/>
  <c r="D21" i="22"/>
  <c r="C18" i="12"/>
  <c r="A23" i="9"/>
  <c r="J12" i="30" l="1"/>
  <c r="I12" i="30"/>
  <c r="H12" i="30"/>
  <c r="L12" i="30"/>
  <c r="K12" i="30"/>
  <c r="IA21" i="9"/>
  <c r="IC21" i="9"/>
  <c r="ID21" i="9"/>
  <c r="IB21" i="9"/>
  <c r="HZ21" i="9"/>
  <c r="BD21" i="9"/>
  <c r="DK21" i="9"/>
  <c r="DJ21" i="9"/>
  <c r="DI21" i="9"/>
  <c r="DH21" i="9"/>
  <c r="BM12" i="14"/>
  <c r="I9" i="58" s="1"/>
  <c r="IO19" i="14"/>
  <c r="IL9" i="14"/>
  <c r="H5" i="69" s="1"/>
  <c r="BO17" i="14"/>
  <c r="K13" i="58" s="1"/>
  <c r="BL9" i="14"/>
  <c r="H6" i="58" s="1"/>
  <c r="IL40" i="13"/>
  <c r="BC47" i="13"/>
  <c r="BL42" i="13"/>
  <c r="IP42" i="13"/>
  <c r="BN45" i="13"/>
  <c r="IN42" i="13"/>
  <c r="BN47" i="13"/>
  <c r="IM6" i="14"/>
  <c r="I3" i="69" s="1"/>
  <c r="IM28" i="13"/>
  <c r="I13" i="49" s="1"/>
  <c r="IL28" i="13"/>
  <c r="H13" i="49" s="1"/>
  <c r="BN30" i="13"/>
  <c r="J25" i="38" s="1"/>
  <c r="BM36" i="13"/>
  <c r="I30" i="38" s="1"/>
  <c r="BL36" i="13"/>
  <c r="H30" i="38" s="1"/>
  <c r="IP35" i="13"/>
  <c r="L30" i="49" s="1"/>
  <c r="IM34" i="13"/>
  <c r="I33" i="49" s="1"/>
  <c r="IO36" i="13"/>
  <c r="K22" i="49" s="1"/>
  <c r="BM37" i="13"/>
  <c r="I23" i="38" s="1"/>
  <c r="IP10" i="14"/>
  <c r="L10" i="69" s="1"/>
  <c r="IL25" i="13"/>
  <c r="H34" i="49" s="1"/>
  <c r="IO33" i="13"/>
  <c r="K29" i="49" s="1"/>
  <c r="BL11" i="13"/>
  <c r="H17" i="38" s="1"/>
  <c r="IP11" i="13"/>
  <c r="L21" i="49" s="1"/>
  <c r="BO10" i="14"/>
  <c r="K10" i="58" s="1"/>
  <c r="BC20" i="13"/>
  <c r="IO14" i="13"/>
  <c r="K5" i="49" s="1"/>
  <c r="IN14" i="13"/>
  <c r="J5" i="49" s="1"/>
  <c r="BL47" i="13"/>
  <c r="IL10" i="13"/>
  <c r="H26" i="49" s="1"/>
  <c r="IO13" i="13"/>
  <c r="K12" i="49" s="1"/>
  <c r="IN13" i="13"/>
  <c r="J12" i="49" s="1"/>
  <c r="IM13" i="13"/>
  <c r="I12" i="49" s="1"/>
  <c r="BE17" i="11"/>
  <c r="IO28" i="13"/>
  <c r="K13" i="49" s="1"/>
  <c r="IS9" i="11"/>
  <c r="IQ17" i="11"/>
  <c r="BL6" i="13"/>
  <c r="IM10" i="14"/>
  <c r="I10" i="69" s="1"/>
  <c r="BE10" i="11"/>
  <c r="BE31" i="10"/>
  <c r="BE11" i="11"/>
  <c r="IS35" i="10"/>
  <c r="BE40" i="10"/>
  <c r="IO37" i="10"/>
  <c r="IP35" i="10"/>
  <c r="IR25" i="10"/>
  <c r="BE22" i="10"/>
  <c r="BE8" i="10"/>
  <c r="IO17" i="10"/>
  <c r="IS22" i="10"/>
  <c r="IR10" i="10"/>
  <c r="BE17" i="10"/>
  <c r="IP12" i="10"/>
  <c r="IQ8" i="10"/>
  <c r="IS8" i="10"/>
  <c r="IO9" i="14"/>
  <c r="K5" i="69" s="1"/>
  <c r="BO18" i="14"/>
  <c r="K14" i="58" s="1"/>
  <c r="IP8" i="14"/>
  <c r="L6" i="69" s="1"/>
  <c r="IM15" i="14"/>
  <c r="I7" i="69" s="1"/>
  <c r="BN19" i="14"/>
  <c r="IM40" i="13"/>
  <c r="IO39" i="13"/>
  <c r="IO45" i="13"/>
  <c r="BO41" i="13"/>
  <c r="BN41" i="13"/>
  <c r="BL44" i="13"/>
  <c r="BL41" i="13"/>
  <c r="BL46" i="13"/>
  <c r="BM6" i="14"/>
  <c r="IP27" i="13"/>
  <c r="L10" i="49" s="1"/>
  <c r="IO27" i="13"/>
  <c r="K10" i="49" s="1"/>
  <c r="IN27" i="13"/>
  <c r="J10" i="49" s="1"/>
  <c r="IP34" i="13"/>
  <c r="L33" i="49" s="1"/>
  <c r="IO34" i="13"/>
  <c r="K33" i="49" s="1"/>
  <c r="IN34" i="13"/>
  <c r="J33" i="49" s="1"/>
  <c r="BN33" i="13"/>
  <c r="J18" i="38" s="1"/>
  <c r="IM35" i="13"/>
  <c r="I30" i="49" s="1"/>
  <c r="IN36" i="13"/>
  <c r="J22" i="49" s="1"/>
  <c r="IP6" i="14"/>
  <c r="L3" i="69" s="1"/>
  <c r="IO24" i="13"/>
  <c r="K19" i="49" s="1"/>
  <c r="BM32" i="13"/>
  <c r="I11" i="38" s="1"/>
  <c r="BO10" i="13"/>
  <c r="K22" i="38" s="1"/>
  <c r="BN10" i="13"/>
  <c r="J22" i="38" s="1"/>
  <c r="BN39" i="13"/>
  <c r="J32" i="38" s="1"/>
  <c r="BM18" i="13"/>
  <c r="I28" i="38" s="1"/>
  <c r="BN13" i="13"/>
  <c r="J13" i="38" s="1"/>
  <c r="BM13" i="13"/>
  <c r="I13" i="38" s="1"/>
  <c r="IM27" i="13"/>
  <c r="I10" i="49" s="1"/>
  <c r="IO9" i="13"/>
  <c r="K6" i="49" s="1"/>
  <c r="BN12" i="13"/>
  <c r="J19" i="38" s="1"/>
  <c r="BM12" i="13"/>
  <c r="I19" i="38" s="1"/>
  <c r="BL27" i="13"/>
  <c r="H14" i="38" s="1"/>
  <c r="IQ16" i="11"/>
  <c r="BL21" i="13"/>
  <c r="H26" i="38" s="1"/>
  <c r="IP42" i="10"/>
  <c r="BE16" i="11"/>
  <c r="IO19" i="11"/>
  <c r="IO16" i="13"/>
  <c r="K7" i="49" s="1"/>
  <c r="IR9" i="11"/>
  <c r="IQ30" i="10"/>
  <c r="IP9" i="11"/>
  <c r="IS33" i="10"/>
  <c r="IQ39" i="10"/>
  <c r="IO35" i="10"/>
  <c r="IP33" i="10"/>
  <c r="IR23" i="10"/>
  <c r="IQ21" i="10"/>
  <c r="IP25" i="10"/>
  <c r="IO15" i="10"/>
  <c r="IS20" i="10"/>
  <c r="IR8" i="10"/>
  <c r="IQ16" i="10"/>
  <c r="BO8" i="14"/>
  <c r="K5" i="58" s="1"/>
  <c r="IM16" i="14"/>
  <c r="I12" i="69" s="1"/>
  <c r="BL8" i="14"/>
  <c r="H5" i="58" s="1"/>
  <c r="IN18" i="14"/>
  <c r="J14" i="69" s="1"/>
  <c r="IL14" i="14"/>
  <c r="H9" i="69" s="1"/>
  <c r="IP39" i="13"/>
  <c r="BM38" i="13"/>
  <c r="I31" i="38" s="1"/>
  <c r="IN44" i="13"/>
  <c r="BC40" i="13"/>
  <c r="IN38" i="13"/>
  <c r="J31" i="49" s="1"/>
  <c r="IL43" i="13"/>
  <c r="BO40" i="13"/>
  <c r="IL42" i="13"/>
  <c r="BC42" i="13"/>
  <c r="BN26" i="13"/>
  <c r="J34" i="38" s="1"/>
  <c r="BM26" i="13"/>
  <c r="I34" i="38" s="1"/>
  <c r="BL26" i="13"/>
  <c r="H34" i="38" s="1"/>
  <c r="BN34" i="13"/>
  <c r="J29" i="38" s="1"/>
  <c r="BM34" i="13"/>
  <c r="I29" i="38" s="1"/>
  <c r="BL34" i="13"/>
  <c r="H29" i="38" s="1"/>
  <c r="IN30" i="13"/>
  <c r="J9" i="49" s="1"/>
  <c r="BM33" i="13"/>
  <c r="I18" i="38" s="1"/>
  <c r="BL33" i="13"/>
  <c r="H18" i="38" s="1"/>
  <c r="BO6" i="14"/>
  <c r="BM23" i="13"/>
  <c r="I8" i="38" s="1"/>
  <c r="IM29" i="13"/>
  <c r="I27" i="49" s="1"/>
  <c r="BC9" i="13"/>
  <c r="BO39" i="13"/>
  <c r="K32" i="38" s="1"/>
  <c r="IL24" i="13"/>
  <c r="H19" i="49" s="1"/>
  <c r="IM15" i="13"/>
  <c r="I25" i="49" s="1"/>
  <c r="BC12" i="13"/>
  <c r="IN10" i="13"/>
  <c r="J26" i="49" s="1"/>
  <c r="IP23" i="13"/>
  <c r="L14" i="49" s="1"/>
  <c r="BM8" i="13"/>
  <c r="I15" i="38" s="1"/>
  <c r="IN9" i="13"/>
  <c r="J6" i="49" s="1"/>
  <c r="IM9" i="13"/>
  <c r="I6" i="49" s="1"/>
  <c r="IL13" i="13"/>
  <c r="H12" i="49" s="1"/>
  <c r="BE15" i="11"/>
  <c r="IL9" i="13"/>
  <c r="H6" i="49" s="1"/>
  <c r="IM17" i="13"/>
  <c r="I28" i="49" s="1"/>
  <c r="IQ15" i="11"/>
  <c r="IO17" i="11"/>
  <c r="BN11" i="13"/>
  <c r="J17" i="38" s="1"/>
  <c r="IO8" i="11"/>
  <c r="BE29" i="10"/>
  <c r="BE8" i="11"/>
  <c r="IS31" i="10"/>
  <c r="BE38" i="10"/>
  <c r="IS8" i="11"/>
  <c r="IQ29" i="10"/>
  <c r="IR21" i="10"/>
  <c r="BE20" i="10"/>
  <c r="IP23" i="10"/>
  <c r="IO13" i="10"/>
  <c r="IS18" i="10"/>
  <c r="IS28" i="10"/>
  <c r="BE15" i="10"/>
  <c r="IO26" i="10"/>
  <c r="IP8" i="10"/>
  <c r="BE6" i="9"/>
  <c r="IO6" i="14"/>
  <c r="K3" i="69" s="1"/>
  <c r="BM15" i="14"/>
  <c r="I8" i="58" s="1"/>
  <c r="IL6" i="14"/>
  <c r="H3" i="69" s="1"/>
  <c r="BN17" i="14"/>
  <c r="J13" i="58" s="1"/>
  <c r="BN14" i="14"/>
  <c r="J7" i="58" s="1"/>
  <c r="BN38" i="13"/>
  <c r="J31" i="38" s="1"/>
  <c r="BC46" i="13"/>
  <c r="BO44" i="13"/>
  <c r="IL39" i="13"/>
  <c r="BL37" i="13"/>
  <c r="H23" i="38" s="1"/>
  <c r="IO42" i="13"/>
  <c r="BO19" i="14"/>
  <c r="IO41" i="13"/>
  <c r="IL41" i="13"/>
  <c r="IN23" i="13"/>
  <c r="J14" i="49" s="1"/>
  <c r="IM23" i="13"/>
  <c r="I14" i="49" s="1"/>
  <c r="BO25" i="13"/>
  <c r="K20" i="38" s="1"/>
  <c r="IN31" i="13"/>
  <c r="J11" i="49" s="1"/>
  <c r="IM31" i="13"/>
  <c r="I11" i="49" s="1"/>
  <c r="BO33" i="13"/>
  <c r="K18" i="38" s="1"/>
  <c r="BL29" i="13"/>
  <c r="H12" i="38" s="1"/>
  <c r="IM30" i="13"/>
  <c r="I9" i="49" s="1"/>
  <c r="BO32" i="13"/>
  <c r="K11" i="38" s="1"/>
  <c r="IM47" i="13"/>
  <c r="IM17" i="14"/>
  <c r="I13" i="69" s="1"/>
  <c r="IP28" i="13"/>
  <c r="L13" i="49" s="1"/>
  <c r="IL8" i="13"/>
  <c r="H18" i="49" s="1"/>
  <c r="IP32" i="13"/>
  <c r="L16" i="49" s="1"/>
  <c r="BC21" i="13"/>
  <c r="IP14" i="13"/>
  <c r="L5" i="49" s="1"/>
  <c r="IL11" i="13"/>
  <c r="H21" i="49" s="1"/>
  <c r="BL9" i="13"/>
  <c r="H5" i="38" s="1"/>
  <c r="IO22" i="13"/>
  <c r="K8" i="49" s="1"/>
  <c r="IM6" i="13"/>
  <c r="I3" i="49" s="1"/>
  <c r="BL8" i="13"/>
  <c r="H15" i="38" s="1"/>
  <c r="IP8" i="13"/>
  <c r="L18" i="49" s="1"/>
  <c r="BM11" i="13"/>
  <c r="I17" i="38" s="1"/>
  <c r="IQ14" i="11"/>
  <c r="BO19" i="13"/>
  <c r="K24" i="38" s="1"/>
  <c r="IR19" i="11"/>
  <c r="BE14" i="11"/>
  <c r="IO15" i="11"/>
  <c r="IS20" i="11"/>
  <c r="IS42" i="10"/>
  <c r="IO14" i="11"/>
  <c r="IQ42" i="10"/>
  <c r="IS29" i="10"/>
  <c r="IQ37" i="10"/>
  <c r="IR8" i="11"/>
  <c r="IS25" i="10"/>
  <c r="IR19" i="10"/>
  <c r="IQ19" i="10"/>
  <c r="IP21" i="10"/>
  <c r="IO11" i="10"/>
  <c r="IS16" i="10"/>
  <c r="IP27" i="10"/>
  <c r="IQ14" i="10"/>
  <c r="IO24" i="10"/>
  <c r="IO8" i="10"/>
  <c r="IO47" i="13"/>
  <c r="IO12" i="14"/>
  <c r="K8" i="69" s="1"/>
  <c r="IL47" i="13"/>
  <c r="BC16" i="14"/>
  <c r="BO11" i="14"/>
  <c r="K4" i="58" s="1"/>
  <c r="IN35" i="13"/>
  <c r="J30" i="49" s="1"/>
  <c r="IP45" i="13"/>
  <c r="IO43" i="13"/>
  <c r="IO38" i="13"/>
  <c r="K31" i="49" s="1"/>
  <c r="BO36" i="13"/>
  <c r="K30" i="38" s="1"/>
  <c r="BM41" i="13"/>
  <c r="IL18" i="14"/>
  <c r="H14" i="69" s="1"/>
  <c r="BM40" i="13"/>
  <c r="IO40" i="13"/>
  <c r="BL22" i="13"/>
  <c r="H21" i="38" s="1"/>
  <c r="IP22" i="13"/>
  <c r="L8" i="49" s="1"/>
  <c r="BC24" i="13"/>
  <c r="BL30" i="13"/>
  <c r="H25" i="38" s="1"/>
  <c r="IP30" i="13"/>
  <c r="L9" i="49" s="1"/>
  <c r="BC32" i="13"/>
  <c r="BO28" i="13"/>
  <c r="K9" i="38" s="1"/>
  <c r="IP29" i="13"/>
  <c r="L27" i="49" s="1"/>
  <c r="BC31" i="13"/>
  <c r="BO47" i="13"/>
  <c r="IN13" i="14"/>
  <c r="J11" i="69" s="1"/>
  <c r="BN27" i="13"/>
  <c r="J14" i="38" s="1"/>
  <c r="BN6" i="13"/>
  <c r="IM24" i="13"/>
  <c r="I19" i="49" s="1"/>
  <c r="BN18" i="13"/>
  <c r="J28" i="38" s="1"/>
  <c r="BO13" i="13"/>
  <c r="K13" i="38" s="1"/>
  <c r="IO10" i="13"/>
  <c r="K26" i="49" s="1"/>
  <c r="BO8" i="13"/>
  <c r="K15" i="38" s="1"/>
  <c r="IM20" i="13"/>
  <c r="I23" i="49" s="1"/>
  <c r="BL32" i="13"/>
  <c r="H11" i="38" s="1"/>
  <c r="IL6" i="13"/>
  <c r="H3" i="49" s="1"/>
  <c r="IL17" i="14"/>
  <c r="H13" i="69" s="1"/>
  <c r="IO8" i="13"/>
  <c r="K18" i="49" s="1"/>
  <c r="BE13" i="11"/>
  <c r="BN9" i="13"/>
  <c r="J5" i="38" s="1"/>
  <c r="BM46" i="13"/>
  <c r="IN19" i="14"/>
  <c r="IO46" i="13"/>
  <c r="IL15" i="14"/>
  <c r="H7" i="69" s="1"/>
  <c r="BM10" i="14"/>
  <c r="I10" i="58" s="1"/>
  <c r="BC18" i="14"/>
  <c r="IO44" i="13"/>
  <c r="BM43" i="13"/>
  <c r="BO16" i="14"/>
  <c r="K12" i="58" s="1"/>
  <c r="BC35" i="13"/>
  <c r="BL17" i="14"/>
  <c r="H13" i="58" s="1"/>
  <c r="IO17" i="14"/>
  <c r="K13" i="69" s="1"/>
  <c r="IM37" i="13"/>
  <c r="I32" i="49" s="1"/>
  <c r="BM39" i="13"/>
  <c r="I32" i="38" s="1"/>
  <c r="BO21" i="13"/>
  <c r="K26" i="38" s="1"/>
  <c r="BN21" i="13"/>
  <c r="J26" i="38" s="1"/>
  <c r="IL23" i="13"/>
  <c r="H14" i="49" s="1"/>
  <c r="BO29" i="13"/>
  <c r="K12" i="38" s="1"/>
  <c r="BN29" i="13"/>
  <c r="J12" i="38" s="1"/>
  <c r="IL31" i="13"/>
  <c r="H11" i="49" s="1"/>
  <c r="BC27" i="13"/>
  <c r="BN28" i="13"/>
  <c r="J9" i="38" s="1"/>
  <c r="IL30" i="13"/>
  <c r="H9" i="49" s="1"/>
  <c r="IP41" i="13"/>
  <c r="IN10" i="14"/>
  <c r="J10" i="69" s="1"/>
  <c r="IN24" i="13"/>
  <c r="J19" i="49" s="1"/>
  <c r="IO37" i="13"/>
  <c r="K32" i="49" s="1"/>
  <c r="BL19" i="13"/>
  <c r="H24" i="38" s="1"/>
  <c r="IN15" i="13"/>
  <c r="J25" i="49" s="1"/>
  <c r="IM11" i="13"/>
  <c r="I21" i="49" s="1"/>
  <c r="BM9" i="13"/>
  <c r="I5" i="38" s="1"/>
  <c r="IO6" i="13"/>
  <c r="K3" i="49" s="1"/>
  <c r="IP19" i="13"/>
  <c r="L4" i="49" s="1"/>
  <c r="BO31" i="13"/>
  <c r="K10" i="38" s="1"/>
  <c r="BN35" i="13"/>
  <c r="J33" i="38" s="1"/>
  <c r="BM35" i="13"/>
  <c r="I33" i="38" s="1"/>
  <c r="IR20" i="11"/>
  <c r="IQ12" i="11"/>
  <c r="IP12" i="13"/>
  <c r="L20" i="49" s="1"/>
  <c r="IR15" i="11"/>
  <c r="BE12" i="11"/>
  <c r="IO11" i="11"/>
  <c r="IS16" i="11"/>
  <c r="IQ40" i="10"/>
  <c r="IR42" i="10"/>
  <c r="IO18" i="11"/>
  <c r="IO10" i="11"/>
  <c r="IQ35" i="10"/>
  <c r="IQ8" i="11"/>
  <c r="IS21" i="10"/>
  <c r="IR15" i="10"/>
  <c r="IQ17" i="10"/>
  <c r="IP17" i="10"/>
  <c r="IO32" i="10"/>
  <c r="IQ27" i="10"/>
  <c r="IQ26" i="10"/>
  <c r="IR28" i="10"/>
  <c r="IO20" i="10"/>
  <c r="IO9" i="10"/>
  <c r="IP19" i="14"/>
  <c r="BN18" i="14"/>
  <c r="J14" i="58" s="1"/>
  <c r="BM45" i="13"/>
  <c r="IP14" i="14"/>
  <c r="L9" i="69" s="1"/>
  <c r="BM9" i="14"/>
  <c r="I6" i="58" s="1"/>
  <c r="BC15" i="14"/>
  <c r="IP43" i="13"/>
  <c r="BM42" i="13"/>
  <c r="BN12" i="14"/>
  <c r="J9" i="58" s="1"/>
  <c r="IL34" i="13"/>
  <c r="H33" i="49" s="1"/>
  <c r="IP16" i="14"/>
  <c r="L12" i="69" s="1"/>
  <c r="IO13" i="14"/>
  <c r="K11" i="69" s="1"/>
  <c r="IP36" i="13"/>
  <c r="L22" i="49" s="1"/>
  <c r="BO9" i="14"/>
  <c r="K6" i="58" s="1"/>
  <c r="BL16" i="14"/>
  <c r="H12" i="58" s="1"/>
  <c r="IM12" i="14"/>
  <c r="I8" i="69" s="1"/>
  <c r="IM42" i="13"/>
  <c r="BC28" i="13"/>
  <c r="IN26" i="13"/>
  <c r="J15" i="49" s="1"/>
  <c r="IO30" i="13"/>
  <c r="K9" i="49" s="1"/>
  <c r="IL26" i="13"/>
  <c r="H15" i="49" s="1"/>
  <c r="IN25" i="13"/>
  <c r="J34" i="49" s="1"/>
  <c r="IO29" i="13"/>
  <c r="K27" i="49" s="1"/>
  <c r="IL38" i="13"/>
  <c r="H31" i="49" s="1"/>
  <c r="IN6" i="14"/>
  <c r="J3" i="69" s="1"/>
  <c r="BL23" i="13"/>
  <c r="H8" i="38" s="1"/>
  <c r="IP26" i="13"/>
  <c r="L15" i="49" s="1"/>
  <c r="BO18" i="13"/>
  <c r="K28" i="38" s="1"/>
  <c r="BL14" i="13"/>
  <c r="H35" i="38" s="1"/>
  <c r="IL11" i="14"/>
  <c r="H4" i="69" s="1"/>
  <c r="IP6" i="13"/>
  <c r="L3" i="49" s="1"/>
  <c r="IM9" i="14"/>
  <c r="I5" i="69" s="1"/>
  <c r="IN18" i="13"/>
  <c r="J24" i="49" s="1"/>
  <c r="IO23" i="13"/>
  <c r="K14" i="49" s="1"/>
  <c r="IN33" i="13"/>
  <c r="J29" i="49" s="1"/>
  <c r="IM33" i="13"/>
  <c r="I29" i="49" s="1"/>
  <c r="IR18" i="11"/>
  <c r="BN25" i="13"/>
  <c r="J20" i="38" s="1"/>
  <c r="BN8" i="13"/>
  <c r="J15" i="38" s="1"/>
  <c r="IR13" i="11"/>
  <c r="IQ11" i="11"/>
  <c r="IO9" i="11"/>
  <c r="IS14" i="11"/>
  <c r="BE39" i="10"/>
  <c r="IP40" i="10"/>
  <c r="IO42" i="10"/>
  <c r="IR41" i="10"/>
  <c r="BE34" i="10"/>
  <c r="IS40" i="10"/>
  <c r="IS19" i="10"/>
  <c r="IR13" i="10"/>
  <c r="BE16" i="10"/>
  <c r="IP15" i="10"/>
  <c r="IQ31" i="10"/>
  <c r="IR26" i="10"/>
  <c r="BE25" i="10"/>
  <c r="IO27" i="10"/>
  <c r="IO18" i="10"/>
  <c r="IS12" i="10"/>
  <c r="BL19" i="14"/>
  <c r="BC17" i="14"/>
  <c r="IM19" i="14"/>
  <c r="BL14" i="14"/>
  <c r="H7" i="58" s="1"/>
  <c r="BL6" i="14"/>
  <c r="BC13" i="14"/>
  <c r="BN43" i="13"/>
  <c r="BO12" i="14"/>
  <c r="K9" i="58" s="1"/>
  <c r="BC6" i="14"/>
  <c r="BN16" i="14"/>
  <c r="J12" i="58" s="1"/>
  <c r="BM16" i="14"/>
  <c r="I12" i="58" s="1"/>
  <c r="BN13" i="14"/>
  <c r="J11" i="58" s="1"/>
  <c r="IO15" i="14"/>
  <c r="K7" i="69" s="1"/>
  <c r="IN8" i="14"/>
  <c r="J6" i="69" s="1"/>
  <c r="BC12" i="14"/>
  <c r="BN8" i="14"/>
  <c r="J5" i="58" s="1"/>
  <c r="BN36" i="13"/>
  <c r="J30" i="38" s="1"/>
  <c r="IL27" i="13"/>
  <c r="H10" i="49" s="1"/>
  <c r="BL25" i="13"/>
  <c r="H20" i="38" s="1"/>
  <c r="BM29" i="13"/>
  <c r="I12" i="38" s="1"/>
  <c r="IO25" i="13"/>
  <c r="K34" i="49" s="1"/>
  <c r="BL24" i="13"/>
  <c r="H16" i="38" s="1"/>
  <c r="BM28" i="13"/>
  <c r="I9" i="38" s="1"/>
  <c r="IM36" i="13"/>
  <c r="I22" i="49" s="1"/>
  <c r="BN6" i="14"/>
  <c r="IP37" i="13"/>
  <c r="L32" i="49" s="1"/>
  <c r="BC25" i="13"/>
  <c r="BC17" i="13"/>
  <c r="IN11" i="13"/>
  <c r="J21" i="49" s="1"/>
  <c r="BC30" i="13"/>
  <c r="IP9" i="14"/>
  <c r="L5" i="69" s="1"/>
  <c r="IO20" i="13"/>
  <c r="K23" i="49" s="1"/>
  <c r="BL17" i="13"/>
  <c r="H7" i="38" s="1"/>
  <c r="IN22" i="13"/>
  <c r="J8" i="49" s="1"/>
  <c r="BN31" i="13"/>
  <c r="J10" i="38" s="1"/>
  <c r="BM27" i="13"/>
  <c r="I14" i="38" s="1"/>
  <c r="IR16" i="11"/>
  <c r="IM8" i="13"/>
  <c r="I18" i="49" s="1"/>
  <c r="IN6" i="13"/>
  <c r="J3" i="49" s="1"/>
  <c r="IR11" i="11"/>
  <c r="BL12" i="13"/>
  <c r="H19" i="38" s="1"/>
  <c r="IL19" i="13"/>
  <c r="H4" i="49" s="1"/>
  <c r="IS12" i="11"/>
  <c r="IQ38" i="10"/>
  <c r="IP38" i="10"/>
  <c r="IO20" i="11"/>
  <c r="IR39" i="10"/>
  <c r="IQ33" i="10"/>
  <c r="IS38" i="10"/>
  <c r="IS17" i="10"/>
  <c r="IR11" i="10"/>
  <c r="IQ15" i="10"/>
  <c r="IP13" i="10"/>
  <c r="IS27" i="10"/>
  <c r="IR24" i="10"/>
  <c r="IQ24" i="10"/>
  <c r="IP26" i="10"/>
  <c r="IO16" i="10"/>
  <c r="IS10" i="10"/>
  <c r="BN15" i="14"/>
  <c r="J8" i="58" s="1"/>
  <c r="IP15" i="14"/>
  <c r="L7" i="69" s="1"/>
  <c r="IL19" i="14"/>
  <c r="BM17" i="14"/>
  <c r="I13" i="58" s="1"/>
  <c r="IN40" i="13"/>
  <c r="BC45" i="13"/>
  <c r="IN39" i="13"/>
  <c r="IN45" i="13"/>
  <c r="IM45" i="13"/>
  <c r="BC9" i="14"/>
  <c r="IO8" i="14"/>
  <c r="K6" i="69" s="1"/>
  <c r="IM11" i="14"/>
  <c r="I4" i="69" s="1"/>
  <c r="BO14" i="14"/>
  <c r="K7" i="58" s="1"/>
  <c r="BL35" i="13"/>
  <c r="H33" i="38" s="1"/>
  <c r="IL37" i="13"/>
  <c r="H32" i="49" s="1"/>
  <c r="BC39" i="13"/>
  <c r="BC33" i="13"/>
  <c r="BM25" i="13"/>
  <c r="I20" i="38" s="1"/>
  <c r="BC23" i="13"/>
  <c r="IP25" i="13"/>
  <c r="L34" i="49" s="1"/>
  <c r="IM21" i="13"/>
  <c r="I17" i="49" s="1"/>
  <c r="BC22" i="13"/>
  <c r="IP24" i="13"/>
  <c r="L19" i="49" s="1"/>
  <c r="BN32" i="13"/>
  <c r="J11" i="38" s="1"/>
  <c r="BN46" i="13"/>
  <c r="BN19" i="13"/>
  <c r="J24" i="38" s="1"/>
  <c r="IM16" i="13"/>
  <c r="I7" i="49" s="1"/>
  <c r="IO15" i="13"/>
  <c r="K25" i="49" s="1"/>
  <c r="BO9" i="13"/>
  <c r="K5" i="38" s="1"/>
  <c r="BN22" i="13"/>
  <c r="J21" i="38" s="1"/>
  <c r="IL29" i="13"/>
  <c r="H27" i="49" s="1"/>
  <c r="BM17" i="13"/>
  <c r="I7" i="38" s="1"/>
  <c r="BC15" i="13"/>
  <c r="BO20" i="13"/>
  <c r="K4" i="38" s="1"/>
  <c r="IN19" i="13"/>
  <c r="J4" i="49" s="1"/>
  <c r="IM19" i="13"/>
  <c r="I4" i="49" s="1"/>
  <c r="IN8" i="13"/>
  <c r="J18" i="49" s="1"/>
  <c r="IP18" i="11"/>
  <c r="IS19" i="11"/>
  <c r="IP10" i="13"/>
  <c r="L26" i="49" s="1"/>
  <c r="IP19" i="11"/>
  <c r="BN15" i="13"/>
  <c r="J6" i="38" s="1"/>
  <c r="IP8" i="11"/>
  <c r="IQ36" i="10"/>
  <c r="IP34" i="10"/>
  <c r="IR12" i="11"/>
  <c r="IR35" i="10"/>
  <c r="IP41" i="10"/>
  <c r="IS34" i="10"/>
  <c r="IS13" i="10"/>
  <c r="IO29" i="10"/>
  <c r="IQ13" i="10"/>
  <c r="IR32" i="10"/>
  <c r="BE30" i="10"/>
  <c r="IR20" i="10"/>
  <c r="IQ22" i="10"/>
  <c r="IP22" i="10"/>
  <c r="IR30" i="10"/>
  <c r="BM19" i="14"/>
  <c r="BC14" i="14"/>
  <c r="BL15" i="14"/>
  <c r="H8" i="58" s="1"/>
  <c r="IP18" i="14"/>
  <c r="L14" i="69" s="1"/>
  <c r="BC19" i="14"/>
  <c r="BL39" i="13"/>
  <c r="H32" i="38" s="1"/>
  <c r="IP44" i="13"/>
  <c r="BL38" i="13"/>
  <c r="H31" i="38" s="1"/>
  <c r="IM44" i="13"/>
  <c r="BO45" i="13"/>
  <c r="BC8" i="14"/>
  <c r="IN47" i="13"/>
  <c r="BC11" i="14"/>
  <c r="IL10" i="14"/>
  <c r="H10" i="69" s="1"/>
  <c r="BC34" i="13"/>
  <c r="IN32" i="13"/>
  <c r="J16" i="49" s="1"/>
  <c r="BC38" i="13"/>
  <c r="IL32" i="13"/>
  <c r="H16" i="49" s="1"/>
  <c r="IM22" i="13"/>
  <c r="I8" i="49" s="1"/>
  <c r="IL22" i="13"/>
  <c r="H8" i="49" s="1"/>
  <c r="BN24" i="13"/>
  <c r="J16" i="38" s="1"/>
  <c r="IO14" i="14"/>
  <c r="K9" i="69" s="1"/>
  <c r="IL21" i="13"/>
  <c r="H17" i="49" s="1"/>
  <c r="BN23" i="13"/>
  <c r="J8" i="38" s="1"/>
  <c r="IN29" i="13"/>
  <c r="J27" i="49" s="1"/>
  <c r="IN41" i="13"/>
  <c r="IN16" i="13"/>
  <c r="J7" i="49" s="1"/>
  <c r="IP15" i="13"/>
  <c r="L25" i="49" s="1"/>
  <c r="BM14" i="13"/>
  <c r="I35" i="38" s="1"/>
  <c r="BC8" i="13"/>
  <c r="BL18" i="13"/>
  <c r="H28" i="38" s="1"/>
  <c r="BM22" i="13"/>
  <c r="I21" i="38" s="1"/>
  <c r="IM14" i="13"/>
  <c r="I5" i="49" s="1"/>
  <c r="IL14" i="13"/>
  <c r="H5" i="49" s="1"/>
  <c r="IO19" i="13"/>
  <c r="K4" i="49" s="1"/>
  <c r="BC19" i="13"/>
  <c r="IN17" i="13"/>
  <c r="J28" i="49" s="1"/>
  <c r="BC6" i="13"/>
  <c r="IP16" i="11"/>
  <c r="IS17" i="11"/>
  <c r="BO6" i="13"/>
  <c r="IP17" i="11"/>
  <c r="BC10" i="13"/>
  <c r="IR40" i="10"/>
  <c r="BE35" i="10"/>
  <c r="IP32" i="10"/>
  <c r="IQ10" i="11"/>
  <c r="IR33" i="10"/>
  <c r="IP39" i="10"/>
  <c r="IS32" i="10"/>
  <c r="IS11" i="10"/>
  <c r="BE26" i="10"/>
  <c r="BE12" i="10"/>
  <c r="IO25" i="10"/>
  <c r="BE28" i="10"/>
  <c r="IR18" i="10"/>
  <c r="BE21" i="10"/>
  <c r="IP20" i="10"/>
  <c r="IO28" i="10"/>
  <c r="IO16" i="14"/>
  <c r="K12" i="69" s="1"/>
  <c r="IL13" i="14"/>
  <c r="H11" i="69" s="1"/>
  <c r="IN12" i="14"/>
  <c r="J8" i="69" s="1"/>
  <c r="BL18" i="14"/>
  <c r="H14" i="58" s="1"/>
  <c r="BM14" i="14"/>
  <c r="I7" i="58" s="1"/>
  <c r="BO43" i="13"/>
  <c r="BO37" i="13"/>
  <c r="K23" i="38" s="1"/>
  <c r="BN44" i="13"/>
  <c r="IL44" i="13"/>
  <c r="IP47" i="13"/>
  <c r="IL46" i="13"/>
  <c r="IO10" i="14"/>
  <c r="K10" i="69" s="1"/>
  <c r="BN10" i="14"/>
  <c r="J10" i="58" s="1"/>
  <c r="IL33" i="13"/>
  <c r="H29" i="49" s="1"/>
  <c r="BL31" i="13"/>
  <c r="H10" i="38" s="1"/>
  <c r="BC37" i="13"/>
  <c r="IO31" i="13"/>
  <c r="K11" i="49" s="1"/>
  <c r="IP21" i="13"/>
  <c r="L17" i="49" s="1"/>
  <c r="IO21" i="13"/>
  <c r="K17" i="49" s="1"/>
  <c r="IN21" i="13"/>
  <c r="J17" i="49" s="1"/>
  <c r="BN40" i="13"/>
  <c r="IN14" i="14"/>
  <c r="J9" i="69" s="1"/>
  <c r="IN20" i="13"/>
  <c r="J23" i="49" s="1"/>
  <c r="BL28" i="13"/>
  <c r="H9" i="38" s="1"/>
  <c r="BO38" i="13"/>
  <c r="K31" i="38" s="1"/>
  <c r="BL15" i="13"/>
  <c r="H6" i="38" s="1"/>
  <c r="BN14" i="13"/>
  <c r="J35" i="38" s="1"/>
  <c r="IL12" i="13"/>
  <c r="H20" i="49" s="1"/>
  <c r="IN11" i="14"/>
  <c r="J4" i="69" s="1"/>
  <c r="BO17" i="13"/>
  <c r="K7" i="38" s="1"/>
  <c r="IP20" i="13"/>
  <c r="L23" i="49" s="1"/>
  <c r="BL13" i="13"/>
  <c r="H13" i="38" s="1"/>
  <c r="IP13" i="13"/>
  <c r="L12" i="49" s="1"/>
  <c r="IM18" i="13"/>
  <c r="I24" i="49" s="1"/>
  <c r="IL18" i="13"/>
  <c r="H24" i="49" s="1"/>
  <c r="BL16" i="13"/>
  <c r="H27" i="38" s="1"/>
  <c r="IQ20" i="11"/>
  <c r="IP14" i="11"/>
  <c r="IS15" i="11"/>
  <c r="BE20" i="11"/>
  <c r="IP15" i="11"/>
  <c r="IP16" i="13"/>
  <c r="L7" i="49" s="1"/>
  <c r="IR38" i="10"/>
  <c r="IQ34" i="10"/>
  <c r="IP30" i="10"/>
  <c r="IS41" i="10"/>
  <c r="IR31" i="10"/>
  <c r="IP37" i="10"/>
  <c r="IS30" i="10"/>
  <c r="IS9" i="10"/>
  <c r="IQ25" i="10"/>
  <c r="IQ11" i="10"/>
  <c r="IO23" i="10"/>
  <c r="IR27" i="10"/>
  <c r="IR16" i="10"/>
  <c r="IQ20" i="10"/>
  <c r="IP18" i="10"/>
  <c r="BO15" i="14"/>
  <c r="K8" i="58" s="1"/>
  <c r="IP12" i="14"/>
  <c r="L8" i="69" s="1"/>
  <c r="BN11" i="14"/>
  <c r="J4" i="58" s="1"/>
  <c r="IN15" i="14"/>
  <c r="J7" i="69" s="1"/>
  <c r="IN17" i="14"/>
  <c r="J13" i="69" s="1"/>
  <c r="BM11" i="14"/>
  <c r="I4" i="58" s="1"/>
  <c r="BO42" i="13"/>
  <c r="BC36" i="13"/>
  <c r="IN43" i="13"/>
  <c r="BM44" i="13"/>
  <c r="IM46" i="13"/>
  <c r="BO46" i="13"/>
  <c r="IN9" i="14"/>
  <c r="J5" i="69" s="1"/>
  <c r="BN9" i="14"/>
  <c r="J6" i="58" s="1"/>
  <c r="IO32" i="13"/>
  <c r="K16" i="49" s="1"/>
  <c r="BO30" i="13"/>
  <c r="K25" i="38" s="1"/>
  <c r="IM32" i="13"/>
  <c r="I16" i="49" s="1"/>
  <c r="BO13" i="14"/>
  <c r="K11" i="58" s="1"/>
  <c r="BM13" i="14"/>
  <c r="I11" i="58" s="1"/>
  <c r="BM20" i="13"/>
  <c r="I4" i="38" s="1"/>
  <c r="BL20" i="13"/>
  <c r="H4" i="38" s="1"/>
  <c r="IP38" i="13"/>
  <c r="L31" i="49" s="1"/>
  <c r="BL40" i="13"/>
  <c r="IP17" i="14"/>
  <c r="L13" i="69" s="1"/>
  <c r="BO27" i="13"/>
  <c r="K14" i="38" s="1"/>
  <c r="IL36" i="13"/>
  <c r="H22" i="49" s="1"/>
  <c r="BO14" i="13"/>
  <c r="K35" i="38" s="1"/>
  <c r="BC13" i="13"/>
  <c r="IO11" i="13"/>
  <c r="K21" i="49" s="1"/>
  <c r="BM30" i="13"/>
  <c r="I25" i="38" s="1"/>
  <c r="BC16" i="13"/>
  <c r="IP18" i="13"/>
  <c r="L24" i="49" s="1"/>
  <c r="IM10" i="13"/>
  <c r="I26" i="49" s="1"/>
  <c r="BO12" i="13"/>
  <c r="K19" i="38" s="1"/>
  <c r="IP17" i="13"/>
  <c r="L28" i="49" s="1"/>
  <c r="IO17" i="13"/>
  <c r="K28" i="49" s="1"/>
  <c r="BO15" i="13"/>
  <c r="K6" i="38" s="1"/>
  <c r="BE19" i="11"/>
  <c r="IP12" i="11"/>
  <c r="IS13" i="11"/>
  <c r="IQ19" i="11"/>
  <c r="IP13" i="11"/>
  <c r="BM15" i="13"/>
  <c r="I6" i="38" s="1"/>
  <c r="IR36" i="10"/>
  <c r="BE33" i="10"/>
  <c r="IP28" i="10"/>
  <c r="IS39" i="10"/>
  <c r="IR29" i="10"/>
  <c r="IO41" i="10"/>
  <c r="BE32" i="10"/>
  <c r="IO33" i="10"/>
  <c r="BE24" i="10"/>
  <c r="BE10" i="10"/>
  <c r="IO21" i="10"/>
  <c r="IS26" i="10"/>
  <c r="IR14" i="10"/>
  <c r="BE19" i="10"/>
  <c r="IP16" i="10"/>
  <c r="BE13" i="10"/>
  <c r="IP11" i="10"/>
  <c r="BL12" i="14"/>
  <c r="H9" i="58" s="1"/>
  <c r="IL35" i="13"/>
  <c r="H30" i="49" s="1"/>
  <c r="BM31" i="13"/>
  <c r="I10" i="38" s="1"/>
  <c r="BN37" i="13"/>
  <c r="J23" i="38" s="1"/>
  <c r="BM10" i="13"/>
  <c r="I22" i="38" s="1"/>
  <c r="BM16" i="13"/>
  <c r="I27" i="38" s="1"/>
  <c r="IP11" i="11"/>
  <c r="IR10" i="11"/>
  <c r="IR17" i="10"/>
  <c r="IR12" i="10"/>
  <c r="IQ12" i="10"/>
  <c r="IL16" i="14"/>
  <c r="H12" i="69" s="1"/>
  <c r="IP46" i="13"/>
  <c r="IL8" i="14"/>
  <c r="H6" i="69" s="1"/>
  <c r="BO23" i="13"/>
  <c r="K8" i="38" s="1"/>
  <c r="BL10" i="13"/>
  <c r="H22" i="38" s="1"/>
  <c r="BM21" i="13"/>
  <c r="I26" i="38" s="1"/>
  <c r="IO13" i="11"/>
  <c r="IS37" i="10"/>
  <c r="IR9" i="10"/>
  <c r="BE27" i="10"/>
  <c r="IQ10" i="10"/>
  <c r="BC10" i="14"/>
  <c r="BL43" i="13"/>
  <c r="BC29" i="13"/>
  <c r="IM38" i="13"/>
  <c r="I31" i="49" s="1"/>
  <c r="BO22" i="13"/>
  <c r="K21" i="38" s="1"/>
  <c r="BC14" i="13"/>
  <c r="BC18" i="13"/>
  <c r="IO12" i="11"/>
  <c r="IQ23" i="10"/>
  <c r="BE23" i="10"/>
  <c r="IO12" i="10"/>
  <c r="BM18" i="14"/>
  <c r="I14" i="58" s="1"/>
  <c r="IN46" i="13"/>
  <c r="IM39" i="13"/>
  <c r="IM25" i="13"/>
  <c r="I34" i="49" s="1"/>
  <c r="BO26" i="13"/>
  <c r="K34" i="38" s="1"/>
  <c r="IR14" i="11"/>
  <c r="BO11" i="13"/>
  <c r="K17" i="38" s="1"/>
  <c r="IR37" i="10"/>
  <c r="BE18" i="10"/>
  <c r="IQ18" i="10"/>
  <c r="IP10" i="10"/>
  <c r="IO18" i="14"/>
  <c r="K14" i="69" s="1"/>
  <c r="IM43" i="13"/>
  <c r="IP31" i="13"/>
  <c r="L11" i="49" s="1"/>
  <c r="IP13" i="14"/>
  <c r="L11" i="69" s="1"/>
  <c r="IL15" i="13"/>
  <c r="H25" i="49" s="1"/>
  <c r="IQ18" i="11"/>
  <c r="IS18" i="11"/>
  <c r="IQ41" i="10"/>
  <c r="BE14" i="10"/>
  <c r="IO38" i="10"/>
  <c r="IO10" i="10"/>
  <c r="IM18" i="14"/>
  <c r="I14" i="69" s="1"/>
  <c r="IP11" i="14"/>
  <c r="L4" i="69" s="1"/>
  <c r="BO34" i="13"/>
  <c r="K29" i="38" s="1"/>
  <c r="IP33" i="13"/>
  <c r="L29" i="49" s="1"/>
  <c r="IM41" i="13"/>
  <c r="IP20" i="11"/>
  <c r="IS10" i="11"/>
  <c r="BE36" i="10"/>
  <c r="IQ9" i="10"/>
  <c r="IP24" i="10"/>
  <c r="IL45" i="13"/>
  <c r="BC43" i="13"/>
  <c r="BC26" i="13"/>
  <c r="BN17" i="13"/>
  <c r="J7" i="38" s="1"/>
  <c r="IP10" i="11"/>
  <c r="IR34" i="10"/>
  <c r="BE9" i="11"/>
  <c r="IP19" i="10"/>
  <c r="IP14" i="10"/>
  <c r="IO11" i="14"/>
  <c r="K4" i="69" s="1"/>
  <c r="IO26" i="13"/>
  <c r="K15" i="49" s="1"/>
  <c r="BM47" i="13"/>
  <c r="IO18" i="13"/>
  <c r="K24" i="49" s="1"/>
  <c r="IO12" i="13"/>
  <c r="K20" i="49" s="1"/>
  <c r="BE41" i="10"/>
  <c r="IO39" i="10"/>
  <c r="IO34" i="10"/>
  <c r="IQ28" i="10"/>
  <c r="BL45" i="13"/>
  <c r="IP40" i="13"/>
  <c r="BO35" i="13"/>
  <c r="K33" i="38" s="1"/>
  <c r="IP9" i="13"/>
  <c r="L6" i="49" s="1"/>
  <c r="IS11" i="11"/>
  <c r="BE37" i="10"/>
  <c r="BE42" i="10"/>
  <c r="IO19" i="10"/>
  <c r="IO22" i="10"/>
  <c r="BC44" i="13"/>
  <c r="IL12" i="14"/>
  <c r="H8" i="69" s="1"/>
  <c r="BO24" i="13"/>
  <c r="K16" i="38" s="1"/>
  <c r="IN28" i="13"/>
  <c r="J13" i="49" s="1"/>
  <c r="BO16" i="13"/>
  <c r="K27" i="38" s="1"/>
  <c r="IR17" i="11"/>
  <c r="IQ32" i="10"/>
  <c r="IS36" i="10"/>
  <c r="IO36" i="10"/>
  <c r="IO14" i="10"/>
  <c r="BL10" i="14"/>
  <c r="H10" i="58" s="1"/>
  <c r="IM8" i="14"/>
  <c r="I6" i="69" s="1"/>
  <c r="BL13" i="14"/>
  <c r="H11" i="58" s="1"/>
  <c r="IN12" i="13"/>
  <c r="J20" i="49" s="1"/>
  <c r="BC11" i="13"/>
  <c r="IL17" i="13"/>
  <c r="H28" i="49" s="1"/>
  <c r="IQ9" i="11"/>
  <c r="IO30" i="10"/>
  <c r="IP31" i="10"/>
  <c r="IS14" i="10"/>
  <c r="BL11" i="14"/>
  <c r="H4" i="58" s="1"/>
  <c r="IM14" i="14"/>
  <c r="I9" i="69" s="1"/>
  <c r="IM26" i="13"/>
  <c r="I15" i="49" s="1"/>
  <c r="BM19" i="13"/>
  <c r="I24" i="38" s="1"/>
  <c r="IL20" i="13"/>
  <c r="H23" i="49" s="1"/>
  <c r="BE18" i="11"/>
  <c r="IP36" i="10"/>
  <c r="IS23" i="10"/>
  <c r="IS24" i="10"/>
  <c r="BE11" i="10"/>
  <c r="IM13" i="14"/>
  <c r="I11" i="69" s="1"/>
  <c r="BC41" i="13"/>
  <c r="BM8" i="14"/>
  <c r="I5" i="58" s="1"/>
  <c r="IO35" i="13"/>
  <c r="K30" i="49" s="1"/>
  <c r="IM12" i="13"/>
  <c r="I20" i="49" s="1"/>
  <c r="BN16" i="13"/>
  <c r="J27" i="38" s="1"/>
  <c r="IQ13" i="11"/>
  <c r="IO16" i="11"/>
  <c r="IS15" i="10"/>
  <c r="IO31" i="10"/>
  <c r="BE9" i="10"/>
  <c r="IN16" i="14"/>
  <c r="J12" i="69" s="1"/>
  <c r="BN42" i="13"/>
  <c r="IN37" i="13"/>
  <c r="J32" i="49" s="1"/>
  <c r="BM24" i="13"/>
  <c r="I16" i="38" s="1"/>
  <c r="IL16" i="13"/>
  <c r="H7" i="49" s="1"/>
  <c r="BN20" i="13"/>
  <c r="J4" i="38" s="1"/>
  <c r="BM6" i="13"/>
  <c r="IO40" i="10"/>
  <c r="IP29" i="10"/>
  <c r="IR22" i="10"/>
  <c r="IP9" i="10"/>
  <c r="H13" i="37"/>
  <c r="FM6" i="13"/>
  <c r="FL6" i="13"/>
  <c r="H3" i="37"/>
  <c r="AS6" i="13"/>
  <c r="AS6" i="11"/>
  <c r="AS6" i="10"/>
  <c r="AZ6" i="11"/>
  <c r="AZ6" i="10"/>
  <c r="I5" i="32"/>
  <c r="H5" i="32"/>
  <c r="J5" i="32"/>
  <c r="L5" i="32"/>
  <c r="K5" i="32"/>
  <c r="DU21" i="9"/>
  <c r="DT21" i="9"/>
  <c r="DS21" i="9"/>
  <c r="BV13" i="14"/>
  <c r="BD6" i="14"/>
  <c r="BT19" i="14"/>
  <c r="IY8" i="14"/>
  <c r="K8" i="71" s="1"/>
  <c r="IX9" i="14"/>
  <c r="J6" i="71" s="1"/>
  <c r="IX11" i="14"/>
  <c r="J5" i="71" s="1"/>
  <c r="IW10" i="14"/>
  <c r="I10" i="71" s="1"/>
  <c r="BU16" i="14"/>
  <c r="IZ18" i="14"/>
  <c r="L14" i="71" s="1"/>
  <c r="IY18" i="14"/>
  <c r="K14" i="71" s="1"/>
  <c r="IZ43" i="13"/>
  <c r="BD38" i="13"/>
  <c r="BV41" i="13"/>
  <c r="IZ36" i="13"/>
  <c r="L18" i="51" s="1"/>
  <c r="BD33" i="13"/>
  <c r="BV18" i="14"/>
  <c r="BV38" i="13"/>
  <c r="BV35" i="13"/>
  <c r="IV32" i="13"/>
  <c r="H16" i="51" s="1"/>
  <c r="IY26" i="13"/>
  <c r="K9" i="51" s="1"/>
  <c r="BD26" i="13"/>
  <c r="IW26" i="13"/>
  <c r="I9" i="51" s="1"/>
  <c r="IY25" i="13"/>
  <c r="K22" i="51" s="1"/>
  <c r="BU8" i="13"/>
  <c r="BD21" i="13"/>
  <c r="IV17" i="13"/>
  <c r="H24" i="51" s="1"/>
  <c r="IX12" i="13"/>
  <c r="J14" i="51" s="1"/>
  <c r="BD28" i="13"/>
  <c r="IY23" i="13"/>
  <c r="K11" i="51" s="1"/>
  <c r="IW11" i="13"/>
  <c r="I15" i="51" s="1"/>
  <c r="BD6" i="13"/>
  <c r="BT18" i="13"/>
  <c r="IW18" i="13"/>
  <c r="I21" i="51" s="1"/>
  <c r="JB10" i="11"/>
  <c r="IZ16" i="11"/>
  <c r="BF14" i="11"/>
  <c r="JC9" i="11"/>
  <c r="IY13" i="13"/>
  <c r="K8" i="51" s="1"/>
  <c r="IY39" i="10"/>
  <c r="JC8" i="11"/>
  <c r="JA40" i="10"/>
  <c r="IZ28" i="10"/>
  <c r="IY28" i="10"/>
  <c r="JC35" i="10"/>
  <c r="IZ29" i="10"/>
  <c r="IZ24" i="10"/>
  <c r="BF26" i="10"/>
  <c r="BF12" i="10"/>
  <c r="JC17" i="10"/>
  <c r="BF28" i="10"/>
  <c r="BF27" i="10"/>
  <c r="BF13" i="10"/>
  <c r="JC18" i="10"/>
  <c r="JB14" i="10"/>
  <c r="JA8" i="10"/>
  <c r="BU17" i="14"/>
  <c r="BD17" i="14"/>
  <c r="BU47" i="13"/>
  <c r="IZ15" i="14"/>
  <c r="L4" i="71" s="1"/>
  <c r="IV46" i="13"/>
  <c r="IV47" i="13"/>
  <c r="IW9" i="14"/>
  <c r="I6" i="71" s="1"/>
  <c r="IV8" i="14"/>
  <c r="H8" i="71" s="1"/>
  <c r="IV12" i="14"/>
  <c r="H9" i="71" s="1"/>
  <c r="BT15" i="14"/>
  <c r="IY14" i="14"/>
  <c r="K13" i="71" s="1"/>
  <c r="BU18" i="14"/>
  <c r="BU12" i="14"/>
  <c r="IZ33" i="13"/>
  <c r="L32" i="51" s="1"/>
  <c r="BT33" i="13"/>
  <c r="IV29" i="13"/>
  <c r="H31" i="51" s="1"/>
  <c r="BT37" i="13"/>
  <c r="IX32" i="13"/>
  <c r="J16" i="51" s="1"/>
  <c r="IZ31" i="13"/>
  <c r="L7" i="51" s="1"/>
  <c r="BT31" i="13"/>
  <c r="IW22" i="13"/>
  <c r="I28" i="51" s="1"/>
  <c r="IV22" i="13"/>
  <c r="H28" i="51" s="1"/>
  <c r="BU25" i="13"/>
  <c r="BD34" i="13"/>
  <c r="IV24" i="13"/>
  <c r="H13" i="51" s="1"/>
  <c r="IW19" i="13"/>
  <c r="I4" i="51" s="1"/>
  <c r="BT16" i="13"/>
  <c r="IW34" i="13"/>
  <c r="I25" i="51" s="1"/>
  <c r="IW21" i="13"/>
  <c r="I20" i="51" s="1"/>
  <c r="BU19" i="13"/>
  <c r="BU10" i="13"/>
  <c r="IZ18" i="13"/>
  <c r="L21" i="51" s="1"/>
  <c r="BV13" i="13"/>
  <c r="BU9" i="13"/>
  <c r="JA20" i="11"/>
  <c r="IZ12" i="11"/>
  <c r="BF12" i="11"/>
  <c r="IZ20" i="13"/>
  <c r="L27" i="51" s="1"/>
  <c r="IV8" i="13"/>
  <c r="H23" i="51" s="1"/>
  <c r="IY37" i="10"/>
  <c r="BF13" i="11"/>
  <c r="JA36" i="10"/>
  <c r="IY40" i="10"/>
  <c r="BF9" i="11"/>
  <c r="BF42" i="10"/>
  <c r="JB27" i="10"/>
  <c r="IZ20" i="10"/>
  <c r="BF24" i="10"/>
  <c r="BF10" i="10"/>
  <c r="JC13" i="10"/>
  <c r="JA23" i="10"/>
  <c r="BF25" i="10"/>
  <c r="BF11" i="10"/>
  <c r="JC14" i="10"/>
  <c r="JC10" i="10"/>
  <c r="JA9" i="10"/>
  <c r="IW14" i="14"/>
  <c r="I13" i="71" s="1"/>
  <c r="IY13" i="14"/>
  <c r="K7" i="71" s="1"/>
  <c r="IX43" i="13"/>
  <c r="BV15" i="14"/>
  <c r="BV45" i="13"/>
  <c r="BV46" i="13"/>
  <c r="IY10" i="14"/>
  <c r="K10" i="71" s="1"/>
  <c r="IV17" i="14"/>
  <c r="H11" i="71" s="1"/>
  <c r="IZ19" i="14"/>
  <c r="BD19" i="14"/>
  <c r="IV42" i="13"/>
  <c r="BD45" i="13"/>
  <c r="BU46" i="13"/>
  <c r="BD47" i="13"/>
  <c r="BT47" i="13"/>
  <c r="BD9" i="14"/>
  <c r="BT9" i="14"/>
  <c r="BU11" i="14"/>
  <c r="IW46" i="13"/>
  <c r="BD29" i="13"/>
  <c r="BU28" i="13"/>
  <c r="IW24" i="13"/>
  <c r="I13" i="51" s="1"/>
  <c r="BT32" i="13"/>
  <c r="IV28" i="13"/>
  <c r="H30" i="51" s="1"/>
  <c r="BD27" i="13"/>
  <c r="BU26" i="13"/>
  <c r="IV18" i="14"/>
  <c r="H14" i="71" s="1"/>
  <c r="IY46" i="13"/>
  <c r="IX45" i="13"/>
  <c r="IY20" i="13"/>
  <c r="K27" i="51" s="1"/>
  <c r="IX17" i="13"/>
  <c r="J24" i="51" s="1"/>
  <c r="BU16" i="13"/>
  <c r="IW8" i="13"/>
  <c r="I23" i="51" s="1"/>
  <c r="BT20" i="13"/>
  <c r="IV16" i="13"/>
  <c r="H12" i="51" s="1"/>
  <c r="BV14" i="13"/>
  <c r="BD19" i="13"/>
  <c r="BD14" i="13"/>
  <c r="IY9" i="13"/>
  <c r="K10" i="51" s="1"/>
  <c r="BV8" i="13"/>
  <c r="JA14" i="11"/>
  <c r="BT13" i="13"/>
  <c r="IV14" i="13"/>
  <c r="H6" i="51" s="1"/>
  <c r="JB19" i="11"/>
  <c r="IZ17" i="11"/>
  <c r="BF35" i="10"/>
  <c r="JB40" i="10"/>
  <c r="JA30" i="10"/>
  <c r="BF38" i="10"/>
  <c r="JA13" i="11"/>
  <c r="JB37" i="10"/>
  <c r="JA22" i="10"/>
  <c r="IZ14" i="10"/>
  <c r="IY20" i="10"/>
  <c r="IY27" i="10"/>
  <c r="JB25" i="10"/>
  <c r="JA17" i="10"/>
  <c r="IY21" i="10"/>
  <c r="JC29" i="10"/>
  <c r="IY29" i="10"/>
  <c r="BF8" i="10"/>
  <c r="BV6" i="14"/>
  <c r="BV16" i="14"/>
  <c r="IX16" i="14"/>
  <c r="J12" i="71" s="1"/>
  <c r="IV19" i="14"/>
  <c r="BT41" i="13"/>
  <c r="IX41" i="13"/>
  <c r="BT45" i="13"/>
  <c r="IV41" i="13"/>
  <c r="BD40" i="13"/>
  <c r="BD8" i="14"/>
  <c r="BT6" i="14"/>
  <c r="IY45" i="13"/>
  <c r="BV44" i="13"/>
  <c r="IV25" i="13"/>
  <c r="H22" i="51" s="1"/>
  <c r="BD24" i="13"/>
  <c r="BU23" i="13"/>
  <c r="IZ27" i="13"/>
  <c r="L29" i="51" s="1"/>
  <c r="BT27" i="13"/>
  <c r="IV23" i="13"/>
  <c r="H11" i="51" s="1"/>
  <c r="BD22" i="13"/>
  <c r="IY47" i="13"/>
  <c r="BD42" i="13"/>
  <c r="IY43" i="13"/>
  <c r="IV18" i="13"/>
  <c r="H21" i="51" s="1"/>
  <c r="BV16" i="13"/>
  <c r="IZ12" i="13"/>
  <c r="L14" i="51" s="1"/>
  <c r="IV43" i="13"/>
  <c r="IZ15" i="13"/>
  <c r="L26" i="51" s="1"/>
  <c r="BT15" i="13"/>
  <c r="BD11" i="13"/>
  <c r="IV15" i="13"/>
  <c r="H26" i="51" s="1"/>
  <c r="BD10" i="13"/>
  <c r="IY19" i="11"/>
  <c r="BU6" i="13"/>
  <c r="JA10" i="11"/>
  <c r="IY20" i="11"/>
  <c r="BF6" i="9"/>
  <c r="BT13" i="14"/>
  <c r="IV16" i="14"/>
  <c r="H12" i="71" s="1"/>
  <c r="BD13" i="14"/>
  <c r="IW8" i="14"/>
  <c r="I8" i="71" s="1"/>
  <c r="BT40" i="13"/>
  <c r="BU39" i="13"/>
  <c r="BT8" i="14"/>
  <c r="IZ42" i="13"/>
  <c r="BU33" i="13"/>
  <c r="IV20" i="13"/>
  <c r="H27" i="51" s="1"/>
  <c r="BU32" i="13"/>
  <c r="IY27" i="13"/>
  <c r="K29" i="51" s="1"/>
  <c r="BT38" i="13"/>
  <c r="IZ21" i="13"/>
  <c r="L20" i="51" s="1"/>
  <c r="IY34" i="13"/>
  <c r="K25" i="51" s="1"/>
  <c r="IV26" i="13"/>
  <c r="H9" i="51" s="1"/>
  <c r="BD17" i="13"/>
  <c r="BV20" i="13"/>
  <c r="BU24" i="13"/>
  <c r="IY11" i="13"/>
  <c r="K15" i="51" s="1"/>
  <c r="BU14" i="13"/>
  <c r="IX10" i="13"/>
  <c r="J17" i="51" s="1"/>
  <c r="IY15" i="11"/>
  <c r="JA18" i="11"/>
  <c r="IY18" i="11"/>
  <c r="JC13" i="11"/>
  <c r="IW6" i="13"/>
  <c r="I3" i="51" s="1"/>
  <c r="JC16" i="11"/>
  <c r="JB30" i="10"/>
  <c r="IZ30" i="10"/>
  <c r="JA17" i="11"/>
  <c r="IZ41" i="10"/>
  <c r="JC34" i="10"/>
  <c r="IY24" i="10"/>
  <c r="JA31" i="10"/>
  <c r="JB17" i="10"/>
  <c r="IZ17" i="10"/>
  <c r="IY9" i="10"/>
  <c r="JC27" i="10"/>
  <c r="IZ11" i="10"/>
  <c r="IY17" i="14"/>
  <c r="K11" i="71" s="1"/>
  <c r="IV10" i="14"/>
  <c r="H10" i="71" s="1"/>
  <c r="IW19" i="14"/>
  <c r="IY12" i="14"/>
  <c r="K9" i="71" s="1"/>
  <c r="IY6" i="14"/>
  <c r="K3" i="71" s="1"/>
  <c r="IW36" i="13"/>
  <c r="I18" i="51" s="1"/>
  <c r="BV17" i="14"/>
  <c r="IX39" i="13"/>
  <c r="BU42" i="13"/>
  <c r="IX29" i="13"/>
  <c r="J31" i="51" s="1"/>
  <c r="IX42" i="13"/>
  <c r="IW38" i="13"/>
  <c r="I34" i="51" s="1"/>
  <c r="IW23" i="13"/>
  <c r="I11" i="51" s="1"/>
  <c r="IY37" i="13"/>
  <c r="K33" i="51" s="1"/>
  <c r="BU21" i="13"/>
  <c r="BV34" i="13"/>
  <c r="BT25" i="13"/>
  <c r="IW13" i="13"/>
  <c r="I8" i="51" s="1"/>
  <c r="BD20" i="13"/>
  <c r="IX21" i="13"/>
  <c r="J20" i="51" s="1"/>
  <c r="BT11" i="13"/>
  <c r="IZ10" i="13"/>
  <c r="L17" i="51" s="1"/>
  <c r="BV9" i="13"/>
  <c r="BF15" i="11"/>
  <c r="JA16" i="11"/>
  <c r="BF18" i="11"/>
  <c r="JC11" i="11"/>
  <c r="IZ19" i="11"/>
  <c r="IY11" i="11"/>
  <c r="JB28" i="10"/>
  <c r="JA42" i="10"/>
  <c r="JB9" i="11"/>
  <c r="IZ39" i="10"/>
  <c r="JA27" i="10"/>
  <c r="IY22" i="10"/>
  <c r="JC28" i="10"/>
  <c r="JB15" i="10"/>
  <c r="JC38" i="10"/>
  <c r="BD14" i="14"/>
  <c r="IZ9" i="14"/>
  <c r="L6" i="71" s="1"/>
  <c r="IY15" i="14"/>
  <c r="K4" i="71" s="1"/>
  <c r="IY11" i="14"/>
  <c r="K5" i="71" s="1"/>
  <c r="BD46" i="13"/>
  <c r="IZ35" i="13"/>
  <c r="L19" i="51" s="1"/>
  <c r="IZ14" i="14"/>
  <c r="L13" i="71" s="1"/>
  <c r="IW18" i="14"/>
  <c r="I14" i="71" s="1"/>
  <c r="IX38" i="13"/>
  <c r="J34" i="51" s="1"/>
  <c r="BV28" i="13"/>
  <c r="IZ38" i="13"/>
  <c r="L34" i="51" s="1"/>
  <c r="IV33" i="13"/>
  <c r="H32" i="51" s="1"/>
  <c r="IZ22" i="13"/>
  <c r="L28" i="51" s="1"/>
  <c r="BT35" i="13"/>
  <c r="BT11" i="14"/>
  <c r="IV31" i="13"/>
  <c r="H7" i="51" s="1"/>
  <c r="BD25" i="13"/>
  <c r="BV12" i="13"/>
  <c r="IV19" i="13"/>
  <c r="H4" i="51" s="1"/>
  <c r="IW16" i="13"/>
  <c r="I12" i="51" s="1"/>
  <c r="BV6" i="13"/>
  <c r="IV39" i="13"/>
  <c r="IV44" i="13"/>
  <c r="IV30" i="13"/>
  <c r="H5" i="51" s="1"/>
  <c r="JA12" i="11"/>
  <c r="IY16" i="11"/>
  <c r="BU36" i="13"/>
  <c r="IZ15" i="11"/>
  <c r="JC10" i="11"/>
  <c r="IY8" i="11"/>
  <c r="BF40" i="10"/>
  <c r="IY42" i="10"/>
  <c r="IZ37" i="10"/>
  <c r="IZ26" i="10"/>
  <c r="BF22" i="10"/>
  <c r="IY31" i="10"/>
  <c r="JB13" i="10"/>
  <c r="IY25" i="10"/>
  <c r="JA41" i="10"/>
  <c r="JB24" i="10"/>
  <c r="JB8" i="10"/>
  <c r="BU10" i="14"/>
  <c r="BV9" i="14"/>
  <c r="IX18" i="14"/>
  <c r="J14" i="71" s="1"/>
  <c r="IZ10" i="14"/>
  <c r="L10" i="71" s="1"/>
  <c r="IW41" i="13"/>
  <c r="BU35" i="13"/>
  <c r="BU9" i="14"/>
  <c r="IX15" i="14"/>
  <c r="J4" i="71" s="1"/>
  <c r="BV37" i="13"/>
  <c r="IY24" i="13"/>
  <c r="K13" i="51" s="1"/>
  <c r="IX36" i="13"/>
  <c r="J18" i="51" s="1"/>
  <c r="IY32" i="13"/>
  <c r="K16" i="51" s="1"/>
  <c r="BU22" i="13"/>
  <c r="IY31" i="13"/>
  <c r="K7" i="51" s="1"/>
  <c r="BV39" i="13"/>
  <c r="IY30" i="13"/>
  <c r="K5" i="51" s="1"/>
  <c r="IZ24" i="13"/>
  <c r="L13" i="51" s="1"/>
  <c r="IV9" i="13"/>
  <c r="H10" i="51" s="1"/>
  <c r="IY16" i="13"/>
  <c r="K12" i="51" s="1"/>
  <c r="BU15" i="13"/>
  <c r="IX35" i="13"/>
  <c r="J19" i="51" s="1"/>
  <c r="BT29" i="13"/>
  <c r="BV36" i="13"/>
  <c r="IX9" i="13"/>
  <c r="J10" i="51" s="1"/>
  <c r="JA8" i="11"/>
  <c r="BF16" i="11"/>
  <c r="BV11" i="13"/>
  <c r="IZ13" i="11"/>
  <c r="JC18" i="11"/>
  <c r="JC42" i="10"/>
  <c r="IY38" i="10"/>
  <c r="JA19" i="11"/>
  <c r="IZ35" i="10"/>
  <c r="IZ22" i="10"/>
  <c r="BF20" i="10"/>
  <c r="BF31" i="10"/>
  <c r="JB11" i="10"/>
  <c r="IY23" i="10"/>
  <c r="JB29" i="10"/>
  <c r="JB22" i="10"/>
  <c r="IZ15" i="10"/>
  <c r="IX44" i="13"/>
  <c r="IZ6" i="14"/>
  <c r="L3" i="71" s="1"/>
  <c r="BT18" i="14"/>
  <c r="IX8" i="14"/>
  <c r="J8" i="71" s="1"/>
  <c r="IZ40" i="13"/>
  <c r="IY16" i="14"/>
  <c r="K12" i="71" s="1"/>
  <c r="BU8" i="14"/>
  <c r="IX14" i="14"/>
  <c r="J13" i="71" s="1"/>
  <c r="IZ8" i="14"/>
  <c r="L8" i="71" s="1"/>
  <c r="BT24" i="13"/>
  <c r="IX33" i="13"/>
  <c r="J32" i="51" s="1"/>
  <c r="IW28" i="13"/>
  <c r="I30" i="51" s="1"/>
  <c r="BT42" i="13"/>
  <c r="IW27" i="13"/>
  <c r="I29" i="51" s="1"/>
  <c r="IW37" i="13"/>
  <c r="I33" i="51" s="1"/>
  <c r="BT30" i="13"/>
  <c r="IY19" i="13"/>
  <c r="K4" i="51" s="1"/>
  <c r="IY8" i="13"/>
  <c r="K23" i="51" s="1"/>
  <c r="IY12" i="13"/>
  <c r="K14" i="51" s="1"/>
  <c r="IW12" i="13"/>
  <c r="I14" i="51" s="1"/>
  <c r="IW25" i="13"/>
  <c r="I22" i="51" s="1"/>
  <c r="BV18" i="13"/>
  <c r="BT34" i="13"/>
  <c r="IX28" i="13"/>
  <c r="J30" i="51" s="1"/>
  <c r="IZ17" i="13"/>
  <c r="L24" i="51" s="1"/>
  <c r="IY14" i="11"/>
  <c r="IY6" i="13"/>
  <c r="K3" i="51" s="1"/>
  <c r="IZ11" i="11"/>
  <c r="BF11" i="11"/>
  <c r="JA38" i="10"/>
  <c r="IY36" i="10"/>
  <c r="IY13" i="11"/>
  <c r="IZ33" i="10"/>
  <c r="IZ18" i="10"/>
  <c r="IY18" i="10"/>
  <c r="JC25" i="10"/>
  <c r="JC30" i="10"/>
  <c r="BF23" i="10"/>
  <c r="JC33" i="10"/>
  <c r="JB20" i="10"/>
  <c r="IY8" i="10"/>
  <c r="BD44" i="13"/>
  <c r="IZ47" i="13"/>
  <c r="IZ12" i="14"/>
  <c r="L9" i="71" s="1"/>
  <c r="BU45" i="13"/>
  <c r="BU40" i="13"/>
  <c r="IV13" i="14"/>
  <c r="H7" i="71" s="1"/>
  <c r="BU6" i="14"/>
  <c r="BT10" i="14"/>
  <c r="IX47" i="13"/>
  <c r="BT43" i="13"/>
  <c r="BV32" i="13"/>
  <c r="BU27" i="13"/>
  <c r="BU38" i="13"/>
  <c r="IZ26" i="13"/>
  <c r="L9" i="51" s="1"/>
  <c r="IW31" i="13"/>
  <c r="I7" i="51" s="1"/>
  <c r="IZ25" i="13"/>
  <c r="L22" i="51" s="1"/>
  <c r="IY17" i="13"/>
  <c r="K24" i="51" s="1"/>
  <c r="BT8" i="13"/>
  <c r="BT12" i="13"/>
  <c r="IZ11" i="13"/>
  <c r="L15" i="51" s="1"/>
  <c r="IV21" i="13"/>
  <c r="H20" i="51" s="1"/>
  <c r="IY14" i="13"/>
  <c r="K6" i="51" s="1"/>
  <c r="IW30" i="13"/>
  <c r="I5" i="51" s="1"/>
  <c r="BT9" i="13"/>
  <c r="BU13" i="13"/>
  <c r="IY12" i="11"/>
  <c r="JB17" i="11"/>
  <c r="IZ9" i="11"/>
  <c r="BF8" i="11"/>
  <c r="JA34" i="10"/>
  <c r="BF36" i="10"/>
  <c r="JA9" i="11"/>
  <c r="IZ31" i="10"/>
  <c r="IZ16" i="10"/>
  <c r="BF18" i="10"/>
  <c r="JC23" i="10"/>
  <c r="JA25" i="10"/>
  <c r="BF21" i="10"/>
  <c r="JA29" i="10"/>
  <c r="JB18" i="10"/>
  <c r="JC9" i="10"/>
  <c r="IX17" i="14"/>
  <c r="J11" i="71" s="1"/>
  <c r="BD43" i="13"/>
  <c r="BT12" i="14"/>
  <c r="BT44" i="13"/>
  <c r="IW13" i="14"/>
  <c r="I7" i="71" s="1"/>
  <c r="IV11" i="14"/>
  <c r="H5" i="71" s="1"/>
  <c r="IV40" i="13"/>
  <c r="IZ44" i="13"/>
  <c r="IV45" i="13"/>
  <c r="IY42" i="13"/>
  <c r="IY28" i="13"/>
  <c r="K30" i="51" s="1"/>
  <c r="IX23" i="13"/>
  <c r="J11" i="51" s="1"/>
  <c r="IZ37" i="13"/>
  <c r="L33" i="51" s="1"/>
  <c r="IX22" i="13"/>
  <c r="J28" i="51" s="1"/>
  <c r="IZ30" i="13"/>
  <c r="L5" i="51" s="1"/>
  <c r="BD11" i="14"/>
  <c r="BT17" i="13"/>
  <c r="BU14" i="14"/>
  <c r="IW45" i="13"/>
  <c r="BU11" i="13"/>
  <c r="IX15" i="13"/>
  <c r="J26" i="51" s="1"/>
  <c r="BT14" i="13"/>
  <c r="IY18" i="13"/>
  <c r="K21" i="51" s="1"/>
  <c r="BT23" i="13"/>
  <c r="IV10" i="13"/>
  <c r="H17" i="51" s="1"/>
  <c r="IY10" i="11"/>
  <c r="JB15" i="11"/>
  <c r="JC14" i="11"/>
  <c r="JC20" i="11"/>
  <c r="JA32" i="10"/>
  <c r="IY34" i="10"/>
  <c r="JC41" i="10"/>
  <c r="JC32" i="10"/>
  <c r="IZ12" i="10"/>
  <c r="IY16" i="10"/>
  <c r="JC21" i="10"/>
  <c r="JA21" i="10"/>
  <c r="IY19" i="10"/>
  <c r="JC26" i="10"/>
  <c r="JB16" i="10"/>
  <c r="JB9" i="10"/>
  <c r="BT17" i="14"/>
  <c r="BV19" i="14"/>
  <c r="IZ11" i="14"/>
  <c r="L5" i="71" s="1"/>
  <c r="BD41" i="13"/>
  <c r="IW12" i="14"/>
  <c r="I9" i="71" s="1"/>
  <c r="IW6" i="14"/>
  <c r="I3" i="71" s="1"/>
  <c r="IY39" i="13"/>
  <c r="IW39" i="13"/>
  <c r="IW42" i="13"/>
  <c r="BD39" i="13"/>
  <c r="BT28" i="13"/>
  <c r="BD23" i="13"/>
  <c r="IW32" i="13"/>
  <c r="I16" i="51" s="1"/>
  <c r="BV11" i="14"/>
  <c r="BU30" i="13"/>
  <c r="IX46" i="13"/>
  <c r="IX13" i="13"/>
  <c r="J8" i="51" s="1"/>
  <c r="IW20" i="13"/>
  <c r="I27" i="51" s="1"/>
  <c r="IY29" i="13"/>
  <c r="K31" i="51" s="1"/>
  <c r="IY35" i="13"/>
  <c r="K19" i="51" s="1"/>
  <c r="BD15" i="13"/>
  <c r="IV11" i="13"/>
  <c r="H15" i="51" s="1"/>
  <c r="IW14" i="13"/>
  <c r="I6" i="51" s="1"/>
  <c r="BT6" i="13"/>
  <c r="IZ20" i="11"/>
  <c r="BF10" i="11"/>
  <c r="JB13" i="11"/>
  <c r="JA11" i="11"/>
  <c r="IV14" i="14"/>
  <c r="H13" i="71" s="1"/>
  <c r="BT16" i="14"/>
  <c r="IY9" i="14"/>
  <c r="K6" i="71" s="1"/>
  <c r="BV40" i="13"/>
  <c r="IW11" i="14"/>
  <c r="I5" i="71" s="1"/>
  <c r="IX40" i="13"/>
  <c r="BT39" i="13"/>
  <c r="IV15" i="14"/>
  <c r="H4" i="71" s="1"/>
  <c r="IZ41" i="13"/>
  <c r="BD37" i="13"/>
  <c r="IZ23" i="13"/>
  <c r="L11" i="51" s="1"/>
  <c r="BV22" i="13"/>
  <c r="BU31" i="13"/>
  <c r="IX37" i="13"/>
  <c r="J33" i="51" s="1"/>
  <c r="IX26" i="13"/>
  <c r="J9" i="51" s="1"/>
  <c r="IY44" i="13"/>
  <c r="BD13" i="13"/>
  <c r="IW17" i="13"/>
  <c r="I24" i="51" s="1"/>
  <c r="BV24" i="13"/>
  <c r="IV34" i="13"/>
  <c r="H25" i="51" s="1"/>
  <c r="IX11" i="13"/>
  <c r="J15" i="51" s="1"/>
  <c r="IY10" i="13"/>
  <c r="K17" i="51" s="1"/>
  <c r="IX18" i="13"/>
  <c r="J21" i="51" s="1"/>
  <c r="JB20" i="11"/>
  <c r="IZ18" i="11"/>
  <c r="BD8" i="13"/>
  <c r="JB11" i="11"/>
  <c r="IY41" i="10"/>
  <c r="JC12" i="11"/>
  <c r="JB42" i="10"/>
  <c r="IY32" i="10"/>
  <c r="JC37" i="10"/>
  <c r="JA24" i="10"/>
  <c r="IZ8" i="10"/>
  <c r="IY14" i="10"/>
  <c r="JC15" i="10"/>
  <c r="JA15" i="10"/>
  <c r="IY17" i="10"/>
  <c r="JC22" i="10"/>
  <c r="IZ13" i="10"/>
  <c r="IZ13" i="14"/>
  <c r="L7" i="71" s="1"/>
  <c r="IY19" i="14"/>
  <c r="IW47" i="13"/>
  <c r="IV37" i="13"/>
  <c r="H33" i="51" s="1"/>
  <c r="IV9" i="14"/>
  <c r="H6" i="71" s="1"/>
  <c r="BU15" i="14"/>
  <c r="IW35" i="13"/>
  <c r="I19" i="51" s="1"/>
  <c r="BV14" i="14"/>
  <c r="BU41" i="13"/>
  <c r="IY33" i="13"/>
  <c r="K32" i="51" s="1"/>
  <c r="IY38" i="13"/>
  <c r="K34" i="51" s="1"/>
  <c r="BV42" i="13"/>
  <c r="IX27" i="13"/>
  <c r="J29" i="51" s="1"/>
  <c r="IX31" i="13"/>
  <c r="J7" i="51" s="1"/>
  <c r="BV25" i="13"/>
  <c r="IX34" i="13"/>
  <c r="J25" i="51" s="1"/>
  <c r="IW9" i="13"/>
  <c r="I10" i="51" s="1"/>
  <c r="IZ16" i="13"/>
  <c r="L12" i="51" s="1"/>
  <c r="BU20" i="13"/>
  <c r="IX25" i="13"/>
  <c r="J22" i="51" s="1"/>
  <c r="BV10" i="13"/>
  <c r="BT10" i="13"/>
  <c r="BU17" i="13"/>
  <c r="JB18" i="11"/>
  <c r="IZ14" i="11"/>
  <c r="IZ19" i="13"/>
  <c r="L4" i="51" s="1"/>
  <c r="IZ13" i="13"/>
  <c r="L8" i="51" s="1"/>
  <c r="BF41" i="10"/>
  <c r="JB8" i="11"/>
  <c r="IZ40" i="10"/>
  <c r="BF32" i="10"/>
  <c r="IY9" i="11"/>
  <c r="JA20" i="10"/>
  <c r="JA37" i="10"/>
  <c r="BF14" i="10"/>
  <c r="JC11" i="10"/>
  <c r="JA13" i="10"/>
  <c r="BF17" i="10"/>
  <c r="JC20" i="10"/>
  <c r="JB10" i="10"/>
  <c r="IW17" i="14"/>
  <c r="I11" i="71" s="1"/>
  <c r="BU19" i="14"/>
  <c r="BU44" i="13"/>
  <c r="IY36" i="13"/>
  <c r="K18" i="51" s="1"/>
  <c r="IX6" i="14"/>
  <c r="J3" i="71" s="1"/>
  <c r="BV8" i="14"/>
  <c r="IZ34" i="13"/>
  <c r="L25" i="51" s="1"/>
  <c r="IZ46" i="13"/>
  <c r="BT14" i="14"/>
  <c r="IW29" i="13"/>
  <c r="I31" i="51" s="1"/>
  <c r="BU37" i="13"/>
  <c r="IV38" i="13"/>
  <c r="H34" i="51" s="1"/>
  <c r="BV26" i="13"/>
  <c r="BD31" i="13"/>
  <c r="IY21" i="13"/>
  <c r="K20" i="51" s="1"/>
  <c r="BU34" i="13"/>
  <c r="IZ8" i="13"/>
  <c r="L23" i="51" s="1"/>
  <c r="IV13" i="13"/>
  <c r="H8" i="51" s="1"/>
  <c r="IX16" i="13"/>
  <c r="J12" i="51" s="1"/>
  <c r="BV21" i="13"/>
  <c r="BU29" i="13"/>
  <c r="IZ6" i="13"/>
  <c r="L3" i="51" s="1"/>
  <c r="IV6" i="13"/>
  <c r="H3" i="51" s="1"/>
  <c r="JB16" i="11"/>
  <c r="IZ10" i="11"/>
  <c r="BD18" i="13"/>
  <c r="IX8" i="13"/>
  <c r="J23" i="51" s="1"/>
  <c r="BF39" i="10"/>
  <c r="JB38" i="10"/>
  <c r="IZ38" i="10"/>
  <c r="IY30" i="10"/>
  <c r="JB41" i="10"/>
  <c r="JA18" i="10"/>
  <c r="BF33" i="10"/>
  <c r="IY12" i="10"/>
  <c r="JA39" i="10"/>
  <c r="IZ25" i="10"/>
  <c r="IY15" i="10"/>
  <c r="JC16" i="10"/>
  <c r="JA10" i="10"/>
  <c r="BU13" i="14"/>
  <c r="IW16" i="14"/>
  <c r="I12" i="71" s="1"/>
  <c r="IY41" i="13"/>
  <c r="BT36" i="13"/>
  <c r="BV47" i="13"/>
  <c r="IV6" i="14"/>
  <c r="H3" i="71" s="1"/>
  <c r="IZ17" i="14"/>
  <c r="L11" i="71" s="1"/>
  <c r="IW44" i="13"/>
  <c r="BD12" i="14"/>
  <c r="IZ28" i="13"/>
  <c r="L30" i="51" s="1"/>
  <c r="IV36" i="13"/>
  <c r="H18" i="51" s="1"/>
  <c r="BD35" i="13"/>
  <c r="IY22" i="13"/>
  <c r="K28" i="51" s="1"/>
  <c r="BV30" i="13"/>
  <c r="BT21" i="13"/>
  <c r="IX30" i="13"/>
  <c r="J5" i="51" s="1"/>
  <c r="BV12" i="14"/>
  <c r="BU12" i="13"/>
  <c r="BD16" i="13"/>
  <c r="BV19" i="13"/>
  <c r="BT19" i="13"/>
  <c r="BV27" i="13"/>
  <c r="BF19" i="11"/>
  <c r="JB14" i="11"/>
  <c r="IZ8" i="11"/>
  <c r="JC19" i="11"/>
  <c r="IX6" i="13"/>
  <c r="J3" i="51" s="1"/>
  <c r="BF37" i="10"/>
  <c r="JB36" i="10"/>
  <c r="IZ36" i="10"/>
  <c r="BF30" i="10"/>
  <c r="JB39" i="10"/>
  <c r="JA16" i="10"/>
  <c r="JC31" i="10"/>
  <c r="IY10" i="10"/>
  <c r="JB23" i="10"/>
  <c r="IZ23" i="10"/>
  <c r="BF15" i="10"/>
  <c r="JA35" i="10"/>
  <c r="JC12" i="10"/>
  <c r="IZ16" i="14"/>
  <c r="L12" i="71" s="1"/>
  <c r="BD16" i="14"/>
  <c r="BD18" i="14"/>
  <c r="IX12" i="14"/>
  <c r="J9" i="71" s="1"/>
  <c r="BT46" i="13"/>
  <c r="IW40" i="13"/>
  <c r="BV10" i="14"/>
  <c r="IW43" i="13"/>
  <c r="BU43" i="13"/>
  <c r="IX24" i="13"/>
  <c r="J13" i="51" s="1"/>
  <c r="IW33" i="13"/>
  <c r="I32" i="51" s="1"/>
  <c r="BD32" i="13"/>
  <c r="BT22" i="13"/>
  <c r="IV27" i="13"/>
  <c r="H29" i="51" s="1"/>
  <c r="IZ45" i="13"/>
  <c r="BD30" i="13"/>
  <c r="IX13" i="14"/>
  <c r="J7" i="71" s="1"/>
  <c r="IX19" i="14"/>
  <c r="BD15" i="14"/>
  <c r="IX10" i="14"/>
  <c r="J10" i="71" s="1"/>
  <c r="IY40" i="13"/>
  <c r="IZ39" i="13"/>
  <c r="BD10" i="14"/>
  <c r="BV43" i="13"/>
  <c r="IV35" i="13"/>
  <c r="H19" i="51" s="1"/>
  <c r="BV23" i="13"/>
  <c r="IZ32" i="13"/>
  <c r="L16" i="51" s="1"/>
  <c r="BV31" i="13"/>
  <c r="IW15" i="14"/>
  <c r="I4" i="71" s="1"/>
  <c r="BT26" i="13"/>
  <c r="BD36" i="13"/>
  <c r="BV29" i="13"/>
  <c r="IX19" i="13"/>
  <c r="J4" i="51" s="1"/>
  <c r="IZ29" i="13"/>
  <c r="L31" i="51" s="1"/>
  <c r="BD12" i="13"/>
  <c r="IV12" i="13"/>
  <c r="H14" i="51" s="1"/>
  <c r="IZ14" i="13"/>
  <c r="L6" i="51" s="1"/>
  <c r="IX14" i="13"/>
  <c r="J6" i="51" s="1"/>
  <c r="BF17" i="11"/>
  <c r="IW10" i="13"/>
  <c r="I17" i="51" s="1"/>
  <c r="BF20" i="11"/>
  <c r="JC15" i="11"/>
  <c r="IZ9" i="13"/>
  <c r="L10" i="51" s="1"/>
  <c r="IY33" i="10"/>
  <c r="JB32" i="10"/>
  <c r="IZ32" i="10"/>
  <c r="IZ42" i="10"/>
  <c r="JB33" i="10"/>
  <c r="JA12" i="10"/>
  <c r="IY26" i="10"/>
  <c r="JB31" i="10"/>
  <c r="JB19" i="10"/>
  <c r="IZ19" i="10"/>
  <c r="IY11" i="10"/>
  <c r="BF29" i="10"/>
  <c r="JA11" i="10"/>
  <c r="BV17" i="13"/>
  <c r="BF16" i="10"/>
  <c r="JC8" i="10"/>
  <c r="IY35" i="10"/>
  <c r="JC36" i="10"/>
  <c r="JC40" i="10"/>
  <c r="JC19" i="10"/>
  <c r="JB34" i="10"/>
  <c r="JB21" i="10"/>
  <c r="IX20" i="13"/>
  <c r="J27" i="51" s="1"/>
  <c r="JA28" i="10"/>
  <c r="JA19" i="10"/>
  <c r="BV33" i="13"/>
  <c r="IZ34" i="10"/>
  <c r="IZ21" i="10"/>
  <c r="BV15" i="13"/>
  <c r="BF34" i="10"/>
  <c r="BF19" i="10"/>
  <c r="IY15" i="13"/>
  <c r="K26" i="51" s="1"/>
  <c r="JA15" i="11"/>
  <c r="IY13" i="10"/>
  <c r="IW15" i="13"/>
  <c r="I26" i="51" s="1"/>
  <c r="JC39" i="10"/>
  <c r="BF9" i="10"/>
  <c r="BU18" i="13"/>
  <c r="JB35" i="10"/>
  <c r="JC24" i="10"/>
  <c r="IY17" i="11"/>
  <c r="JA26" i="10"/>
  <c r="JA33" i="10"/>
  <c r="JB12" i="11"/>
  <c r="JA14" i="10"/>
  <c r="JB26" i="10"/>
  <c r="BD9" i="13"/>
  <c r="IZ10" i="10"/>
  <c r="IZ9" i="10"/>
  <c r="JC17" i="11"/>
  <c r="IZ27" i="10"/>
  <c r="JB12" i="10"/>
  <c r="J12" i="34"/>
  <c r="I12" i="34"/>
  <c r="H12" i="34"/>
  <c r="K12" i="34"/>
  <c r="L12" i="34"/>
  <c r="EE21" i="9"/>
  <c r="ED21" i="9"/>
  <c r="EC21" i="9"/>
  <c r="EB21" i="9"/>
  <c r="CC8" i="14"/>
  <c r="CA15" i="14"/>
  <c r="JI44" i="13"/>
  <c r="JH13" i="14"/>
  <c r="J10" i="73" s="1"/>
  <c r="CB13" i="14"/>
  <c r="JG14" i="14"/>
  <c r="I9" i="73" s="1"/>
  <c r="BE36" i="13"/>
  <c r="CA38" i="13"/>
  <c r="JJ41" i="13"/>
  <c r="JI15" i="14"/>
  <c r="K6" i="73" s="1"/>
  <c r="JF37" i="13"/>
  <c r="H29" i="53" s="1"/>
  <c r="BZ37" i="13"/>
  <c r="JJ12" i="14"/>
  <c r="L7" i="73" s="1"/>
  <c r="JH12" i="14"/>
  <c r="J7" i="73" s="1"/>
  <c r="JI43" i="13"/>
  <c r="BZ22" i="13"/>
  <c r="JG21" i="13"/>
  <c r="I18" i="53" s="1"/>
  <c r="CC38" i="13"/>
  <c r="JF25" i="13"/>
  <c r="H32" i="53" s="1"/>
  <c r="CC24" i="13"/>
  <c r="JJ23" i="13"/>
  <c r="L11" i="53" s="1"/>
  <c r="BE31" i="13"/>
  <c r="JI32" i="13"/>
  <c r="K16" i="53" s="1"/>
  <c r="JJ39" i="13"/>
  <c r="BZ46" i="13"/>
  <c r="JI22" i="13"/>
  <c r="K7" i="53" s="1"/>
  <c r="CB19" i="13"/>
  <c r="JG22" i="13"/>
  <c r="I7" i="53" s="1"/>
  <c r="JI21" i="13"/>
  <c r="K18" i="53" s="1"/>
  <c r="JG18" i="13"/>
  <c r="I21" i="53" s="1"/>
  <c r="CA18" i="13"/>
  <c r="JI8" i="13"/>
  <c r="K33" i="53" s="1"/>
  <c r="JI38" i="13"/>
  <c r="K34" i="53" s="1"/>
  <c r="BE19" i="13"/>
  <c r="BG6" i="9"/>
  <c r="JH18" i="14"/>
  <c r="J14" i="73" s="1"/>
  <c r="BZ15" i="14"/>
  <c r="JF14" i="14"/>
  <c r="H9" i="73" s="1"/>
  <c r="JH19" i="14"/>
  <c r="BZ47" i="13"/>
  <c r="CA6" i="14"/>
  <c r="BZ6" i="14"/>
  <c r="CC11" i="14"/>
  <c r="JJ15" i="14"/>
  <c r="L6" i="73" s="1"/>
  <c r="JJ8" i="14"/>
  <c r="L5" i="73" s="1"/>
  <c r="JI9" i="14"/>
  <c r="K11" i="73" s="1"/>
  <c r="JH10" i="14"/>
  <c r="J8" i="73" s="1"/>
  <c r="JF8" i="14"/>
  <c r="H5" i="73" s="1"/>
  <c r="BZ45" i="13"/>
  <c r="BE37" i="13"/>
  <c r="CB35" i="13"/>
  <c r="JI34" i="13"/>
  <c r="K30" i="53" s="1"/>
  <c r="JI35" i="13"/>
  <c r="K28" i="53" s="1"/>
  <c r="JF34" i="13"/>
  <c r="H30" i="53" s="1"/>
  <c r="JG35" i="13"/>
  <c r="I28" i="53" s="1"/>
  <c r="JF10" i="14"/>
  <c r="H8" i="73" s="1"/>
  <c r="CA24" i="13"/>
  <c r="BZ24" i="13"/>
  <c r="CC32" i="13"/>
  <c r="JG32" i="13"/>
  <c r="I16" i="53" s="1"/>
  <c r="JI31" i="13"/>
  <c r="K8" i="53" s="1"/>
  <c r="CC14" i="13"/>
  <c r="JG14" i="13"/>
  <c r="I15" i="53" s="1"/>
  <c r="JF14" i="13"/>
  <c r="H15" i="53" s="1"/>
  <c r="JI13" i="13"/>
  <c r="K25" i="53" s="1"/>
  <c r="JG25" i="13"/>
  <c r="I32" i="53" s="1"/>
  <c r="JJ16" i="13"/>
  <c r="L6" i="53" s="1"/>
  <c r="JF17" i="13"/>
  <c r="H26" i="53" s="1"/>
  <c r="CB15" i="14"/>
  <c r="JJ10" i="14"/>
  <c r="L8" i="73" s="1"/>
  <c r="JJ16" i="14"/>
  <c r="L12" i="73" s="1"/>
  <c r="CC10" i="14"/>
  <c r="CB9" i="14"/>
  <c r="BE47" i="13"/>
  <c r="JJ47" i="13"/>
  <c r="JF42" i="13"/>
  <c r="JH41" i="13"/>
  <c r="JH36" i="13"/>
  <c r="J31" i="53" s="1"/>
  <c r="JG10" i="14"/>
  <c r="I8" i="73" s="1"/>
  <c r="JF40" i="13"/>
  <c r="CA31" i="13"/>
  <c r="CC30" i="13"/>
  <c r="CC25" i="13"/>
  <c r="CA25" i="13"/>
  <c r="JH6" i="14"/>
  <c r="J3" i="73" s="1"/>
  <c r="JF6" i="14"/>
  <c r="H3" i="73" s="1"/>
  <c r="CC47" i="13"/>
  <c r="CB47" i="13"/>
  <c r="BE21" i="13"/>
  <c r="JG39" i="13"/>
  <c r="BZ15" i="13"/>
  <c r="CB14" i="13"/>
  <c r="JF10" i="13"/>
  <c r="H24" i="53" s="1"/>
  <c r="JH31" i="13"/>
  <c r="J8" i="53" s="1"/>
  <c r="JF9" i="13"/>
  <c r="H5" i="53" s="1"/>
  <c r="BZ32" i="13"/>
  <c r="CC16" i="13"/>
  <c r="JJ11" i="13"/>
  <c r="L19" i="53" s="1"/>
  <c r="BE18" i="13"/>
  <c r="JL15" i="11"/>
  <c r="JI15" i="11"/>
  <c r="BG10" i="11"/>
  <c r="JJ8" i="13"/>
  <c r="L33" i="53" s="1"/>
  <c r="JK14" i="11"/>
  <c r="JI14" i="11"/>
  <c r="BG11" i="11"/>
  <c r="JL41" i="10"/>
  <c r="JI37" i="10"/>
  <c r="BG9" i="11"/>
  <c r="JL36" i="10"/>
  <c r="JM11" i="11"/>
  <c r="BG37" i="10"/>
  <c r="BG16" i="10"/>
  <c r="JM10" i="10"/>
  <c r="JK24" i="10"/>
  <c r="JJ12" i="10"/>
  <c r="JI27" i="10"/>
  <c r="JM13" i="10"/>
  <c r="JK25" i="10"/>
  <c r="JJ19" i="10"/>
  <c r="BG13" i="10"/>
  <c r="JJ9" i="10"/>
  <c r="JI18" i="14"/>
  <c r="K14" i="73" s="1"/>
  <c r="BZ12" i="14"/>
  <c r="JF45" i="13"/>
  <c r="CA17" i="14"/>
  <c r="CB8" i="14"/>
  <c r="BE46" i="13"/>
  <c r="JH45" i="13"/>
  <c r="JG45" i="13"/>
  <c r="JI41" i="13"/>
  <c r="JH15" i="14"/>
  <c r="J6" i="73" s="1"/>
  <c r="BE14" i="14"/>
  <c r="JI6" i="14"/>
  <c r="K3" i="73" s="1"/>
  <c r="JI39" i="13"/>
  <c r="JG26" i="13"/>
  <c r="I14" i="53" s="1"/>
  <c r="CA26" i="13"/>
  <c r="JJ35" i="13"/>
  <c r="L28" i="53" s="1"/>
  <c r="CB40" i="13"/>
  <c r="BZ34" i="13"/>
  <c r="JJ36" i="13"/>
  <c r="L31" i="53" s="1"/>
  <c r="JI36" i="13"/>
  <c r="K31" i="53" s="1"/>
  <c r="CB45" i="13"/>
  <c r="BZ44" i="13"/>
  <c r="JF32" i="13"/>
  <c r="H16" i="53" s="1"/>
  <c r="BZ11" i="13"/>
  <c r="CB10" i="13"/>
  <c r="JI9" i="13"/>
  <c r="K5" i="53" s="1"/>
  <c r="JJ19" i="13"/>
  <c r="L4" i="53" s="1"/>
  <c r="CC31" i="13"/>
  <c r="JI20" i="13"/>
  <c r="K23" i="53" s="1"/>
  <c r="CC12" i="13"/>
  <c r="BZ8" i="13"/>
  <c r="JH15" i="13"/>
  <c r="J20" i="53" s="1"/>
  <c r="CC19" i="13"/>
  <c r="JI11" i="11"/>
  <c r="JK41" i="10"/>
  <c r="JL20" i="11"/>
  <c r="CA15" i="13"/>
  <c r="JI10" i="11"/>
  <c r="JM39" i="10"/>
  <c r="JK37" i="10"/>
  <c r="JI33" i="10"/>
  <c r="JM40" i="10"/>
  <c r="JL32" i="10"/>
  <c r="JI8" i="11"/>
  <c r="BG33" i="10"/>
  <c r="BG12" i="10"/>
  <c r="JL26" i="10"/>
  <c r="JK20" i="10"/>
  <c r="BG28" i="10"/>
  <c r="BG25" i="10"/>
  <c r="JM9" i="10"/>
  <c r="JK21" i="10"/>
  <c r="JJ15" i="10"/>
  <c r="JK8" i="10"/>
  <c r="JI9" i="10"/>
  <c r="JG15" i="14"/>
  <c r="I6" i="73" s="1"/>
  <c r="JH11" i="14"/>
  <c r="J4" i="73" s="1"/>
  <c r="CA45" i="13"/>
  <c r="JI16" i="14"/>
  <c r="K12" i="73" s="1"/>
  <c r="CB6" i="14"/>
  <c r="JJ45" i="13"/>
  <c r="JF44" i="13"/>
  <c r="CC43" i="13"/>
  <c r="JJ18" i="14"/>
  <c r="L14" i="73" s="1"/>
  <c r="CA14" i="14"/>
  <c r="JJ11" i="14"/>
  <c r="L4" i="73" s="1"/>
  <c r="CC45" i="13"/>
  <c r="CC13" i="14"/>
  <c r="CB26" i="13"/>
  <c r="JI25" i="13"/>
  <c r="K32" i="53" s="1"/>
  <c r="BZ35" i="13"/>
  <c r="JH35" i="13"/>
  <c r="J28" i="53" s="1"/>
  <c r="JH33" i="13"/>
  <c r="J27" i="53" s="1"/>
  <c r="CB36" i="13"/>
  <c r="CA36" i="13"/>
  <c r="BE42" i="13"/>
  <c r="JJ43" i="13"/>
  <c r="CA32" i="13"/>
  <c r="JH10" i="13"/>
  <c r="J24" i="53" s="1"/>
  <c r="JJ9" i="13"/>
  <c r="L5" i="53" s="1"/>
  <c r="JF27" i="13"/>
  <c r="H9" i="53" s="1"/>
  <c r="JF18" i="13"/>
  <c r="H21" i="53" s="1"/>
  <c r="JG19" i="13"/>
  <c r="I4" i="53" s="1"/>
  <c r="JF19" i="13"/>
  <c r="H4" i="53" s="1"/>
  <c r="JF8" i="13"/>
  <c r="H33" i="53" s="1"/>
  <c r="JF30" i="13"/>
  <c r="H10" i="53" s="1"/>
  <c r="CC15" i="13"/>
  <c r="JF15" i="13"/>
  <c r="H20" i="53" s="1"/>
  <c r="JI9" i="11"/>
  <c r="JI14" i="13"/>
  <c r="K15" i="53" s="1"/>
  <c r="JL18" i="11"/>
  <c r="JF11" i="13"/>
  <c r="H19" i="53" s="1"/>
  <c r="CC20" i="13"/>
  <c r="JM37" i="10"/>
  <c r="JK35" i="10"/>
  <c r="JI31" i="10"/>
  <c r="JM38" i="10"/>
  <c r="JJ19" i="11"/>
  <c r="JL42" i="10"/>
  <c r="BG31" i="10"/>
  <c r="BG10" i="10"/>
  <c r="JL24" i="10"/>
  <c r="JK18" i="10"/>
  <c r="JL27" i="10"/>
  <c r="BG23" i="10"/>
  <c r="JJ33" i="10"/>
  <c r="JK19" i="10"/>
  <c r="JJ13" i="10"/>
  <c r="JI13" i="10"/>
  <c r="JJ10" i="10"/>
  <c r="CC15" i="14"/>
  <c r="JG18" i="14"/>
  <c r="I14" i="73" s="1"/>
  <c r="CA18" i="14"/>
  <c r="JJ19" i="14"/>
  <c r="BE45" i="13"/>
  <c r="JG44" i="13"/>
  <c r="JF43" i="13"/>
  <c r="JG42" i="13"/>
  <c r="CC14" i="14"/>
  <c r="JI10" i="14"/>
  <c r="K8" i="73" s="1"/>
  <c r="JH9" i="14"/>
  <c r="J11" i="73" s="1"/>
  <c r="CA44" i="13"/>
  <c r="CC6" i="14"/>
  <c r="JJ25" i="13"/>
  <c r="L32" i="53" s="1"/>
  <c r="CB21" i="13"/>
  <c r="JH34" i="13"/>
  <c r="J30" i="53" s="1"/>
  <c r="CA34" i="13"/>
  <c r="CC33" i="13"/>
  <c r="JF35" i="13"/>
  <c r="H28" i="53" s="1"/>
  <c r="JF33" i="13"/>
  <c r="H27" i="53" s="1"/>
  <c r="JG36" i="13"/>
  <c r="I31" i="53" s="1"/>
  <c r="JH39" i="13"/>
  <c r="JG27" i="13"/>
  <c r="I9" i="53" s="1"/>
  <c r="CC10" i="13"/>
  <c r="BE8" i="13"/>
  <c r="JF21" i="13"/>
  <c r="H18" i="53" s="1"/>
  <c r="JI17" i="13"/>
  <c r="K26" i="53" s="1"/>
  <c r="JG17" i="13"/>
  <c r="I26" i="53" s="1"/>
  <c r="CA17" i="13"/>
  <c r="CA8" i="13"/>
  <c r="JI26" i="13"/>
  <c r="K14" i="53" s="1"/>
  <c r="CB9" i="13"/>
  <c r="JJ10" i="13"/>
  <c r="L24" i="53" s="1"/>
  <c r="JJ6" i="13"/>
  <c r="L3" i="53" s="1"/>
  <c r="JG6" i="13"/>
  <c r="I3" i="53" s="1"/>
  <c r="JL16" i="11"/>
  <c r="CA11" i="13"/>
  <c r="JG9" i="13"/>
  <c r="I5" i="53" s="1"/>
  <c r="JM35" i="10"/>
  <c r="JK33" i="10"/>
  <c r="JI29" i="10"/>
  <c r="JM36" i="10"/>
  <c r="JK8" i="11"/>
  <c r="JI40" i="10"/>
  <c r="BG29" i="10"/>
  <c r="BG8" i="10"/>
  <c r="JL22" i="10"/>
  <c r="JK16" i="10"/>
  <c r="JI26" i="10"/>
  <c r="BG21" i="10"/>
  <c r="JJ32" i="10"/>
  <c r="JK17" i="10"/>
  <c r="JJ34" i="10"/>
  <c r="JJ8" i="10"/>
  <c r="JI10" i="10"/>
  <c r="CA12" i="14"/>
  <c r="CC18" i="14"/>
  <c r="BZ18" i="14"/>
  <c r="JI19" i="14"/>
  <c r="JH44" i="13"/>
  <c r="JG43" i="13"/>
  <c r="JH42" i="13"/>
  <c r="CB42" i="13"/>
  <c r="BZ11" i="14"/>
  <c r="BE10" i="14"/>
  <c r="JH8" i="14"/>
  <c r="J5" i="73" s="1"/>
  <c r="BZ41" i="13"/>
  <c r="CA47" i="13"/>
  <c r="BE24" i="13"/>
  <c r="JJ20" i="13"/>
  <c r="L23" i="53" s="1"/>
  <c r="CC34" i="13"/>
  <c r="JI33" i="13"/>
  <c r="K27" i="53" s="1"/>
  <c r="JF29" i="13"/>
  <c r="H22" i="53" s="1"/>
  <c r="JG33" i="13"/>
  <c r="I27" i="53" s="1"/>
  <c r="CA33" i="13"/>
  <c r="BZ36" i="13"/>
  <c r="JF36" i="13"/>
  <c r="H31" i="53" s="1"/>
  <c r="CB27" i="13"/>
  <c r="JI6" i="13"/>
  <c r="K3" i="53" s="1"/>
  <c r="JI29" i="13"/>
  <c r="K22" i="53" s="1"/>
  <c r="CA21" i="13"/>
  <c r="JH13" i="13"/>
  <c r="J25" i="53" s="1"/>
  <c r="CB17" i="13"/>
  <c r="JI16" i="13"/>
  <c r="K6" i="53" s="1"/>
  <c r="JJ30" i="13"/>
  <c r="L10" i="53" s="1"/>
  <c r="CB25" i="13"/>
  <c r="BZ6" i="13"/>
  <c r="JK19" i="11"/>
  <c r="JJ14" i="13"/>
  <c r="L15" i="53" s="1"/>
  <c r="JM20" i="11"/>
  <c r="JL14" i="11"/>
  <c r="JJ20" i="11"/>
  <c r="CC6" i="13"/>
  <c r="JM33" i="10"/>
  <c r="JK31" i="10"/>
  <c r="JJ9" i="11"/>
  <c r="JM34" i="10"/>
  <c r="JK40" i="10"/>
  <c r="JI38" i="10"/>
  <c r="JI28" i="10"/>
  <c r="JK30" i="10"/>
  <c r="JL20" i="10"/>
  <c r="JK14" i="10"/>
  <c r="JI24" i="10"/>
  <c r="BG19" i="10"/>
  <c r="JL25" i="10"/>
  <c r="JK15" i="10"/>
  <c r="JJ31" i="10"/>
  <c r="JK12" i="10"/>
  <c r="JM8" i="10"/>
  <c r="JI11" i="14"/>
  <c r="K4" i="73" s="1"/>
  <c r="JI14" i="14"/>
  <c r="K9" i="73" s="1"/>
  <c r="JH17" i="14"/>
  <c r="J13" i="73" s="1"/>
  <c r="BE18" i="14"/>
  <c r="JH43" i="13"/>
  <c r="JI42" i="13"/>
  <c r="CC42" i="13"/>
  <c r="BE40" i="13"/>
  <c r="JJ9" i="14"/>
  <c r="L11" i="73" s="1"/>
  <c r="JI8" i="14"/>
  <c r="K5" i="73" s="1"/>
  <c r="JJ6" i="14"/>
  <c r="L3" i="73" s="1"/>
  <c r="JH40" i="13"/>
  <c r="JJ44" i="13"/>
  <c r="JH21" i="13"/>
  <c r="J18" i="53" s="1"/>
  <c r="JG37" i="13"/>
  <c r="I29" i="53" s="1"/>
  <c r="BE35" i="13"/>
  <c r="JG29" i="13"/>
  <c r="I22" i="53" s="1"/>
  <c r="CA29" i="13"/>
  <c r="CB33" i="13"/>
  <c r="JG28" i="13"/>
  <c r="I12" i="53" s="1"/>
  <c r="BZ33" i="13"/>
  <c r="CB32" i="13"/>
  <c r="JJ26" i="13"/>
  <c r="L14" i="53" s="1"/>
  <c r="CB6" i="13"/>
  <c r="CC26" i="13"/>
  <c r="CB18" i="13"/>
  <c r="CC13" i="13"/>
  <c r="BE15" i="13"/>
  <c r="BZ13" i="13"/>
  <c r="BZ27" i="13"/>
  <c r="JF16" i="13"/>
  <c r="H6" i="53" s="1"/>
  <c r="BE6" i="13"/>
  <c r="JK17" i="11"/>
  <c r="BZ12" i="13"/>
  <c r="JM18" i="11"/>
  <c r="JL12" i="11"/>
  <c r="JJ18" i="11"/>
  <c r="BE29" i="13"/>
  <c r="JM41" i="10"/>
  <c r="JK29" i="10"/>
  <c r="BG40" i="10"/>
  <c r="JM32" i="10"/>
  <c r="JK38" i="10"/>
  <c r="JI36" i="10"/>
  <c r="JJ37" i="10"/>
  <c r="JM26" i="10"/>
  <c r="JL18" i="10"/>
  <c r="JM27" i="10"/>
  <c r="JI22" i="10"/>
  <c r="BG17" i="10"/>
  <c r="JL23" i="10"/>
  <c r="JK13" i="10"/>
  <c r="JJ28" i="10"/>
  <c r="JL11" i="10"/>
  <c r="JF46" i="13"/>
  <c r="CB18" i="14"/>
  <c r="CB14" i="14"/>
  <c r="CB16" i="14"/>
  <c r="BE41" i="13"/>
  <c r="CB38" i="13"/>
  <c r="JI37" i="13"/>
  <c r="K29" i="53" s="1"/>
  <c r="JH37" i="13"/>
  <c r="J29" i="53" s="1"/>
  <c r="BE8" i="14"/>
  <c r="CC44" i="13"/>
  <c r="CB44" i="13"/>
  <c r="CC19" i="14"/>
  <c r="JF39" i="13"/>
  <c r="JF12" i="14"/>
  <c r="H7" i="73" s="1"/>
  <c r="JG30" i="13"/>
  <c r="I10" i="53" s="1"/>
  <c r="CB34" i="13"/>
  <c r="JJ28" i="13"/>
  <c r="L12" i="53" s="1"/>
  <c r="JG24" i="13"/>
  <c r="I17" i="53" s="1"/>
  <c r="BZ29" i="13"/>
  <c r="JJ27" i="13"/>
  <c r="L9" i="53" s="1"/>
  <c r="JF28" i="13"/>
  <c r="H12" i="53" s="1"/>
  <c r="BE30" i="13"/>
  <c r="BZ23" i="13"/>
  <c r="CA30" i="13"/>
  <c r="BE20" i="13"/>
  <c r="BE16" i="13"/>
  <c r="JI19" i="13"/>
  <c r="K4" i="53" s="1"/>
  <c r="CA13" i="13"/>
  <c r="JG8" i="13"/>
  <c r="I33" i="53" s="1"/>
  <c r="JG16" i="13"/>
  <c r="I6" i="53" s="1"/>
  <c r="JI15" i="13"/>
  <c r="K20" i="53" s="1"/>
  <c r="JM17" i="11"/>
  <c r="JK13" i="11"/>
  <c r="JH6" i="13"/>
  <c r="J3" i="53" s="1"/>
  <c r="JM14" i="11"/>
  <c r="BE13" i="13"/>
  <c r="JJ14" i="11"/>
  <c r="CB8" i="13"/>
  <c r="JL37" i="10"/>
  <c r="JL9" i="11"/>
  <c r="BG36" i="10"/>
  <c r="JM28" i="10"/>
  <c r="JJ8" i="11"/>
  <c r="JL11" i="11"/>
  <c r="JL30" i="10"/>
  <c r="JM22" i="10"/>
  <c r="JL14" i="10"/>
  <c r="JJ24" i="10"/>
  <c r="JI18" i="10"/>
  <c r="JM25" i="10"/>
  <c r="JL19" i="10"/>
  <c r="JK34" i="10"/>
  <c r="JI23" i="10"/>
  <c r="JI8" i="10"/>
  <c r="CA46" i="13"/>
  <c r="JJ17" i="14"/>
  <c r="L13" i="73" s="1"/>
  <c r="JG17" i="14"/>
  <c r="I13" i="73" s="1"/>
  <c r="JG19" i="14"/>
  <c r="BZ39" i="13"/>
  <c r="JJ37" i="13"/>
  <c r="L29" i="53" s="1"/>
  <c r="JI17" i="14"/>
  <c r="K13" i="73" s="1"/>
  <c r="CC37" i="13"/>
  <c r="BE6" i="14"/>
  <c r="BZ43" i="13"/>
  <c r="JF41" i="13"/>
  <c r="JI13" i="14"/>
  <c r="K10" i="73" s="1"/>
  <c r="CA39" i="13"/>
  <c r="BE38" i="13"/>
  <c r="CB30" i="13"/>
  <c r="JJ33" i="13"/>
  <c r="L27" i="53" s="1"/>
  <c r="BE27" i="13"/>
  <c r="CB24" i="13"/>
  <c r="JH28" i="13"/>
  <c r="J12" i="53" s="1"/>
  <c r="BE26" i="13"/>
  <c r="CA28" i="13"/>
  <c r="BZ28" i="13"/>
  <c r="CB37" i="13"/>
  <c r="BE23" i="13"/>
  <c r="BZ19" i="13"/>
  <c r="BZ14" i="13"/>
  <c r="BZ18" i="13"/>
  <c r="JJ12" i="13"/>
  <c r="L13" i="53" s="1"/>
  <c r="JH38" i="13"/>
  <c r="J34" i="53" s="1"/>
  <c r="CB16" i="13"/>
  <c r="JF12" i="13"/>
  <c r="H13" i="53" s="1"/>
  <c r="JM15" i="11"/>
  <c r="JK11" i="11"/>
  <c r="BG20" i="11"/>
  <c r="JM12" i="11"/>
  <c r="JG11" i="13"/>
  <c r="I19" i="53" s="1"/>
  <c r="JJ12" i="11"/>
  <c r="CA6" i="13"/>
  <c r="JL35" i="10"/>
  <c r="JJ41" i="10"/>
  <c r="BG34" i="10"/>
  <c r="JJ17" i="11"/>
  <c r="JM42" i="10"/>
  <c r="JK42" i="10"/>
  <c r="BG26" i="10"/>
  <c r="JM20" i="10"/>
  <c r="JL12" i="10"/>
  <c r="JJ22" i="10"/>
  <c r="JI16" i="10"/>
  <c r="JM23" i="10"/>
  <c r="JL17" i="10"/>
  <c r="JM31" i="10"/>
  <c r="JI21" i="10"/>
  <c r="JJ11" i="10"/>
  <c r="JI45" i="13"/>
  <c r="JH14" i="14"/>
  <c r="J9" i="73" s="1"/>
  <c r="CC17" i="14"/>
  <c r="JF19" i="14"/>
  <c r="JG16" i="14"/>
  <c r="I12" i="73" s="1"/>
  <c r="CA16" i="14"/>
  <c r="BZ17" i="14"/>
  <c r="CA11" i="14"/>
  <c r="JH47" i="13"/>
  <c r="JG41" i="13"/>
  <c r="CA41" i="13"/>
  <c r="CB12" i="14"/>
  <c r="JG12" i="14"/>
  <c r="I7" i="73" s="1"/>
  <c r="JJ34" i="13"/>
  <c r="L30" i="53" s="1"/>
  <c r="JJ29" i="13"/>
  <c r="L22" i="53" s="1"/>
  <c r="BE32" i="13"/>
  <c r="BZ25" i="13"/>
  <c r="BE22" i="13"/>
  <c r="CC28" i="13"/>
  <c r="JH23" i="13"/>
  <c r="J11" i="53" s="1"/>
  <c r="JI27" i="13"/>
  <c r="K9" i="53" s="1"/>
  <c r="JH27" i="13"/>
  <c r="J9" i="53" s="1"/>
  <c r="JH22" i="13"/>
  <c r="J7" i="53" s="1"/>
  <c r="CA22" i="13"/>
  <c r="JH18" i="13"/>
  <c r="J21" i="53" s="1"/>
  <c r="BE12" i="13"/>
  <c r="JH17" i="13"/>
  <c r="J26" i="53" s="1"/>
  <c r="BE11" i="13"/>
  <c r="CA27" i="13"/>
  <c r="JJ15" i="13"/>
  <c r="L20" i="53" s="1"/>
  <c r="CA12" i="13"/>
  <c r="CC22" i="13"/>
  <c r="JI10" i="13"/>
  <c r="K24" i="53" s="1"/>
  <c r="BG18" i="11"/>
  <c r="JM10" i="11"/>
  <c r="CB11" i="13"/>
  <c r="JJ10" i="11"/>
  <c r="BG19" i="11"/>
  <c r="JL33" i="10"/>
  <c r="JJ39" i="10"/>
  <c r="BG32" i="10"/>
  <c r="JJ13" i="11"/>
  <c r="BG42" i="10"/>
  <c r="JJ11" i="11"/>
  <c r="BG24" i="10"/>
  <c r="JM18" i="10"/>
  <c r="JL10" i="10"/>
  <c r="JJ20" i="10"/>
  <c r="JI14" i="10"/>
  <c r="JM21" i="10"/>
  <c r="JL15" i="10"/>
  <c r="JK28" i="10"/>
  <c r="JI19" i="10"/>
  <c r="JI11" i="10"/>
  <c r="BZ19" i="14"/>
  <c r="BE13" i="14"/>
  <c r="BE19" i="14"/>
  <c r="CB19" i="14"/>
  <c r="CC16" i="14"/>
  <c r="BZ13" i="14"/>
  <c r="BZ16" i="14"/>
  <c r="JI47" i="13"/>
  <c r="JG46" i="13"/>
  <c r="CB41" i="13"/>
  <c r="JI40" i="13"/>
  <c r="BE12" i="14"/>
  <c r="JG40" i="13"/>
  <c r="BE33" i="13"/>
  <c r="BE28" i="13"/>
  <c r="BZ30" i="13"/>
  <c r="JH24" i="13"/>
  <c r="J17" i="53" s="1"/>
  <c r="BZ20" i="13"/>
  <c r="JF24" i="13"/>
  <c r="H17" i="53" s="1"/>
  <c r="CC23" i="13"/>
  <c r="JG23" i="13"/>
  <c r="I11" i="53" s="1"/>
  <c r="CC27" i="13"/>
  <c r="CB22" i="13"/>
  <c r="JJ21" i="13"/>
  <c r="L18" i="53" s="1"/>
  <c r="CC18" i="13"/>
  <c r="BZ10" i="13"/>
  <c r="CC17" i="13"/>
  <c r="BZ9" i="13"/>
  <c r="JH20" i="13"/>
  <c r="J23" i="53" s="1"/>
  <c r="BE14" i="13"/>
  <c r="JI11" i="13"/>
  <c r="K19" i="53" s="1"/>
  <c r="JG15" i="13"/>
  <c r="I20" i="53" s="1"/>
  <c r="JJ24" i="13"/>
  <c r="L17" i="53" s="1"/>
  <c r="BG16" i="11"/>
  <c r="BE34" i="13"/>
  <c r="JK20" i="11"/>
  <c r="JI20" i="11"/>
  <c r="JF15" i="14"/>
  <c r="H6" i="73" s="1"/>
  <c r="CB11" i="14"/>
  <c r="CB17" i="14"/>
  <c r="BE15" i="14"/>
  <c r="CB10" i="14"/>
  <c r="CA9" i="14"/>
  <c r="BZ9" i="14"/>
  <c r="CB43" i="13"/>
  <c r="BZ42" i="13"/>
  <c r="BE39" i="13"/>
  <c r="BE11" i="14"/>
  <c r="CC46" i="13"/>
  <c r="JF31" i="13"/>
  <c r="H8" i="53" s="1"/>
  <c r="JH30" i="13"/>
  <c r="J10" i="53" s="1"/>
  <c r="JH25" i="13"/>
  <c r="J32" i="53" s="1"/>
  <c r="CC29" i="13"/>
  <c r="CA20" i="13"/>
  <c r="JJ13" i="14"/>
  <c r="L10" i="73" s="1"/>
  <c r="JG13" i="14"/>
  <c r="I10" i="73" s="1"/>
  <c r="JF9" i="14"/>
  <c r="H11" i="73" s="1"/>
  <c r="JJ22" i="13"/>
  <c r="L7" i="53" s="1"/>
  <c r="CA23" i="13"/>
  <c r="BE17" i="13"/>
  <c r="JI18" i="13"/>
  <c r="K21" i="53" s="1"/>
  <c r="JJ13" i="13"/>
  <c r="L25" i="53" s="1"/>
  <c r="CC9" i="13"/>
  <c r="CB13" i="13"/>
  <c r="CC8" i="13"/>
  <c r="JH16" i="13"/>
  <c r="J6" i="53" s="1"/>
  <c r="CB12" i="13"/>
  <c r="JH26" i="13"/>
  <c r="J14" i="53" s="1"/>
  <c r="JL17" i="11"/>
  <c r="JI17" i="11"/>
  <c r="BG12" i="11"/>
  <c r="CC11" i="13"/>
  <c r="JK16" i="11"/>
  <c r="JI16" i="11"/>
  <c r="BG13" i="11"/>
  <c r="JM9" i="11"/>
  <c r="JI39" i="10"/>
  <c r="JM13" i="11"/>
  <c r="JL38" i="10"/>
  <c r="JJ36" i="10"/>
  <c r="BG39" i="10"/>
  <c r="BG18" i="10"/>
  <c r="JM12" i="10"/>
  <c r="JK26" i="10"/>
  <c r="JJ14" i="10"/>
  <c r="JJ27" i="10"/>
  <c r="JM15" i="10"/>
  <c r="JL28" i="10"/>
  <c r="JJ21" i="10"/>
  <c r="JL13" i="10"/>
  <c r="BG15" i="10"/>
  <c r="BE16" i="14"/>
  <c r="JI46" i="13"/>
  <c r="JG6" i="14"/>
  <c r="I3" i="73" s="1"/>
  <c r="CB29" i="13"/>
  <c r="CC12" i="14"/>
  <c r="JH9" i="13"/>
  <c r="J5" i="53" s="1"/>
  <c r="CA16" i="13"/>
  <c r="JF6" i="13"/>
  <c r="H3" i="53" s="1"/>
  <c r="JK39" i="10"/>
  <c r="JJ40" i="10"/>
  <c r="JJ30" i="10"/>
  <c r="JM19" i="10"/>
  <c r="BG11" i="10"/>
  <c r="JF17" i="14"/>
  <c r="H13" i="73" s="1"/>
  <c r="BZ38" i="13"/>
  <c r="CA40" i="13"/>
  <c r="JF20" i="13"/>
  <c r="H23" i="53" s="1"/>
  <c r="JJ31" i="13"/>
  <c r="L8" i="53" s="1"/>
  <c r="BZ21" i="13"/>
  <c r="JI12" i="14"/>
  <c r="K7" i="73" s="1"/>
  <c r="CB15" i="13"/>
  <c r="JK27" i="10"/>
  <c r="JJ38" i="10"/>
  <c r="JL16" i="10"/>
  <c r="JM17" i="10"/>
  <c r="BG9" i="10"/>
  <c r="BZ14" i="14"/>
  <c r="JH46" i="13"/>
  <c r="BE44" i="13"/>
  <c r="BZ40" i="13"/>
  <c r="JF23" i="13"/>
  <c r="H11" i="53" s="1"/>
  <c r="JG31" i="13"/>
  <c r="I8" i="53" s="1"/>
  <c r="BZ16" i="13"/>
  <c r="JK18" i="11"/>
  <c r="JK9" i="11"/>
  <c r="JK10" i="11"/>
  <c r="JL8" i="10"/>
  <c r="JM11" i="10"/>
  <c r="JL9" i="10"/>
  <c r="JF16" i="14"/>
  <c r="H12" i="73" s="1"/>
  <c r="CA42" i="13"/>
  <c r="CC35" i="13"/>
  <c r="JI28" i="13"/>
  <c r="K12" i="53" s="1"/>
  <c r="JJ38" i="13"/>
  <c r="L34" i="53" s="1"/>
  <c r="JG13" i="13"/>
  <c r="I25" i="53" s="1"/>
  <c r="JM19" i="11"/>
  <c r="JK12" i="11"/>
  <c r="JI41" i="10"/>
  <c r="JI34" i="10"/>
  <c r="JI30" i="10"/>
  <c r="JL21" i="10"/>
  <c r="JK9" i="10"/>
  <c r="JH16" i="14"/>
  <c r="J12" i="73" s="1"/>
  <c r="BE9" i="14"/>
  <c r="JI30" i="13"/>
  <c r="K10" i="53" s="1"/>
  <c r="JH19" i="13"/>
  <c r="J4" i="53" s="1"/>
  <c r="BE25" i="13"/>
  <c r="CA9" i="13"/>
  <c r="JL19" i="11"/>
  <c r="JJ16" i="11"/>
  <c r="JI35" i="10"/>
  <c r="JJ42" i="10"/>
  <c r="JK22" i="10"/>
  <c r="JJ35" i="10"/>
  <c r="JK10" i="10"/>
  <c r="CC9" i="14"/>
  <c r="CA43" i="13"/>
  <c r="CC21" i="13"/>
  <c r="CC39" i="13"/>
  <c r="JJ18" i="13"/>
  <c r="L21" i="53" s="1"/>
  <c r="JF13" i="13"/>
  <c r="H25" i="53" s="1"/>
  <c r="JL13" i="11"/>
  <c r="JI18" i="11"/>
  <c r="BG38" i="10"/>
  <c r="BG41" i="10"/>
  <c r="JJ26" i="10"/>
  <c r="JI32" i="10"/>
  <c r="JJ42" i="13"/>
  <c r="CC41" i="13"/>
  <c r="BZ31" i="13"/>
  <c r="JJ32" i="13"/>
  <c r="L16" i="53" s="1"/>
  <c r="JH14" i="13"/>
  <c r="J15" i="53" s="1"/>
  <c r="JH8" i="13"/>
  <c r="J33" i="53" s="1"/>
  <c r="JK15" i="11"/>
  <c r="JI12" i="11"/>
  <c r="BG30" i="10"/>
  <c r="BG35" i="10"/>
  <c r="JJ18" i="10"/>
  <c r="JK23" i="10"/>
  <c r="CA19" i="14"/>
  <c r="CA13" i="14"/>
  <c r="JG47" i="13"/>
  <c r="JF26" i="13"/>
  <c r="H14" i="53" s="1"/>
  <c r="JI23" i="13"/>
  <c r="K11" i="53" s="1"/>
  <c r="CA37" i="13"/>
  <c r="CB31" i="13"/>
  <c r="JI19" i="11"/>
  <c r="CB20" i="13"/>
  <c r="JJ15" i="11"/>
  <c r="JK36" i="10"/>
  <c r="JJ16" i="10"/>
  <c r="JK11" i="10"/>
  <c r="JG8" i="14"/>
  <c r="I5" i="73" s="1"/>
  <c r="CA8" i="14"/>
  <c r="JJ40" i="13"/>
  <c r="CA35" i="13"/>
  <c r="CB39" i="13"/>
  <c r="CA19" i="13"/>
  <c r="JI12" i="13"/>
  <c r="K13" i="53" s="1"/>
  <c r="JI13" i="11"/>
  <c r="BG17" i="11"/>
  <c r="JM8" i="11"/>
  <c r="BG22" i="10"/>
  <c r="JM29" i="10"/>
  <c r="JJ25" i="10"/>
  <c r="BE17" i="14"/>
  <c r="JG38" i="13"/>
  <c r="I34" i="53" s="1"/>
  <c r="CC36" i="13"/>
  <c r="BZ26" i="13"/>
  <c r="CB28" i="13"/>
  <c r="JG10" i="13"/>
  <c r="I24" i="53" s="1"/>
  <c r="BZ17" i="13"/>
  <c r="BE9" i="13"/>
  <c r="BG15" i="11"/>
  <c r="JM30" i="10"/>
  <c r="BG20" i="10"/>
  <c r="JI20" i="10"/>
  <c r="JJ23" i="10"/>
  <c r="JJ14" i="14"/>
  <c r="L9" i="73" s="1"/>
  <c r="CA10" i="14"/>
  <c r="JF47" i="13"/>
  <c r="BE43" i="13"/>
  <c r="JF13" i="14"/>
  <c r="H10" i="73" s="1"/>
  <c r="JF22" i="13"/>
  <c r="H7" i="53" s="1"/>
  <c r="JH12" i="13"/>
  <c r="J13" i="53" s="1"/>
  <c r="BG14" i="11"/>
  <c r="JI42" i="10"/>
  <c r="JL8" i="11"/>
  <c r="BG14" i="10"/>
  <c r="JI12" i="10"/>
  <c r="JJ17" i="10"/>
  <c r="JF18" i="14"/>
  <c r="H14" i="73" s="1"/>
  <c r="JJ46" i="13"/>
  <c r="JG11" i="14"/>
  <c r="I4" i="73" s="1"/>
  <c r="JG34" i="13"/>
  <c r="I30" i="53" s="1"/>
  <c r="CB46" i="13"/>
  <c r="CA14" i="13"/>
  <c r="JG20" i="13"/>
  <c r="I23" i="53" s="1"/>
  <c r="BG8" i="11"/>
  <c r="JL39" i="10"/>
  <c r="JL40" i="10"/>
  <c r="JM24" i="10"/>
  <c r="JJ29" i="10"/>
  <c r="JI25" i="10"/>
  <c r="JF11" i="14"/>
  <c r="H4" i="73" s="1"/>
  <c r="JF38" i="13"/>
  <c r="H34" i="53" s="1"/>
  <c r="JG9" i="14"/>
  <c r="I11" i="73" s="1"/>
  <c r="JH29" i="13"/>
  <c r="J22" i="53" s="1"/>
  <c r="JH32" i="13"/>
  <c r="J16" i="53" s="1"/>
  <c r="CA10" i="13"/>
  <c r="JG12" i="13"/>
  <c r="I13" i="53" s="1"/>
  <c r="JM16" i="11"/>
  <c r="JL31" i="10"/>
  <c r="JL34" i="10"/>
  <c r="JM16" i="10"/>
  <c r="BG27" i="10"/>
  <c r="JI17" i="10"/>
  <c r="BZ8" i="14"/>
  <c r="BZ10" i="14"/>
  <c r="CC40" i="13"/>
  <c r="JI24" i="13"/>
  <c r="K17" i="53" s="1"/>
  <c r="CB23" i="13"/>
  <c r="JJ17" i="13"/>
  <c r="L26" i="53" s="1"/>
  <c r="BE10" i="13"/>
  <c r="JH11" i="13"/>
  <c r="J19" i="53" s="1"/>
  <c r="JL29" i="10"/>
  <c r="JL10" i="11"/>
  <c r="JM14" i="10"/>
  <c r="JK32" i="10"/>
  <c r="JI15" i="10"/>
  <c r="BA6" i="11"/>
  <c r="BA6" i="10"/>
  <c r="J13" i="36"/>
  <c r="I13" i="36"/>
  <c r="L13" i="36"/>
  <c r="K13" i="36"/>
  <c r="H13" i="36"/>
  <c r="EO21" i="9"/>
  <c r="EN21" i="9"/>
  <c r="EM21" i="9"/>
  <c r="BH6" i="9"/>
  <c r="CJ6" i="14"/>
  <c r="JP19" i="14"/>
  <c r="CJ19" i="14"/>
  <c r="CH18" i="14"/>
  <c r="JS39" i="13"/>
  <c r="CJ12" i="14"/>
  <c r="JT43" i="13"/>
  <c r="JT44" i="13"/>
  <c r="CI18" i="14"/>
  <c r="JR45" i="13"/>
  <c r="BF16" i="14"/>
  <c r="CI16" i="14"/>
  <c r="JS16" i="14"/>
  <c r="K12" i="75" s="1"/>
  <c r="JS36" i="13"/>
  <c r="K22" i="55" s="1"/>
  <c r="JR31" i="13"/>
  <c r="J11" i="55" s="1"/>
  <c r="JR41" i="13"/>
  <c r="CJ31" i="13"/>
  <c r="CI31" i="13"/>
  <c r="JT34" i="13"/>
  <c r="L33" i="55" s="1"/>
  <c r="JR29" i="13"/>
  <c r="J25" i="55" s="1"/>
  <c r="BF30" i="13"/>
  <c r="JR33" i="13"/>
  <c r="J30" i="55" s="1"/>
  <c r="CI34" i="13"/>
  <c r="JS15" i="13"/>
  <c r="K23" i="55" s="1"/>
  <c r="JR11" i="13"/>
  <c r="J20" i="55" s="1"/>
  <c r="JQ23" i="13"/>
  <c r="I14" i="55" s="1"/>
  <c r="JS18" i="13"/>
  <c r="K24" i="55" s="1"/>
  <c r="CJ19" i="13"/>
  <c r="CI19" i="13"/>
  <c r="JP18" i="13"/>
  <c r="H24" i="55" s="1"/>
  <c r="JR17" i="13"/>
  <c r="J29" i="55" s="1"/>
  <c r="JR8" i="13"/>
  <c r="J18" i="55" s="1"/>
  <c r="JV20" i="11"/>
  <c r="JQ12" i="13"/>
  <c r="I21" i="55" s="1"/>
  <c r="JP8" i="13"/>
  <c r="H18" i="55" s="1"/>
  <c r="JU19" i="11"/>
  <c r="JT13" i="11"/>
  <c r="CJ17" i="13"/>
  <c r="JU12" i="11"/>
  <c r="JS36" i="10"/>
  <c r="JW33" i="10"/>
  <c r="JV33" i="10"/>
  <c r="JU33" i="10"/>
  <c r="JS37" i="10"/>
  <c r="JW8" i="11"/>
  <c r="JV21" i="10"/>
  <c r="JU23" i="10"/>
  <c r="JT13" i="10"/>
  <c r="JW32" i="10"/>
  <c r="JV28" i="10"/>
  <c r="JV14" i="10"/>
  <c r="JT22" i="10"/>
  <c r="JS16" i="10"/>
  <c r="JW21" i="10"/>
  <c r="JW13" i="10"/>
  <c r="JT46" i="13"/>
  <c r="CJ16" i="14"/>
  <c r="CH16" i="14"/>
  <c r="JT16" i="14"/>
  <c r="L12" i="75" s="1"/>
  <c r="JQ15" i="14"/>
  <c r="I7" i="75" s="1"/>
  <c r="CJ45" i="13"/>
  <c r="JP39" i="13"/>
  <c r="JT42" i="13"/>
  <c r="JQ13" i="14"/>
  <c r="I11" i="75" s="1"/>
  <c r="JP43" i="13"/>
  <c r="CH10" i="14"/>
  <c r="JR11" i="14"/>
  <c r="J4" i="75" s="1"/>
  <c r="JT36" i="13"/>
  <c r="L22" i="55" s="1"/>
  <c r="JP32" i="13"/>
  <c r="H16" i="55" s="1"/>
  <c r="JP27" i="13"/>
  <c r="H9" i="55" s="1"/>
  <c r="CH32" i="13"/>
  <c r="CH27" i="13"/>
  <c r="JQ30" i="13"/>
  <c r="I10" i="55" s="1"/>
  <c r="JP30" i="13"/>
  <c r="H10" i="55" s="1"/>
  <c r="JP25" i="13"/>
  <c r="H34" i="55" s="1"/>
  <c r="JT28" i="13"/>
  <c r="L13" i="55" s="1"/>
  <c r="JP29" i="13"/>
  <c r="H25" i="55" s="1"/>
  <c r="JQ33" i="13"/>
  <c r="I30" i="55" s="1"/>
  <c r="JS11" i="13"/>
  <c r="K20" i="55" s="1"/>
  <c r="BF12" i="14"/>
  <c r="JP15" i="13"/>
  <c r="H23" i="55" s="1"/>
  <c r="BF15" i="13"/>
  <c r="CH15" i="13"/>
  <c r="JQ18" i="13"/>
  <c r="I24" i="55" s="1"/>
  <c r="CI14" i="13"/>
  <c r="JQ13" i="13"/>
  <c r="I12" i="55" s="1"/>
  <c r="BF29" i="13"/>
  <c r="JT16" i="11"/>
  <c r="JT20" i="11"/>
  <c r="JV19" i="11"/>
  <c r="JU15" i="11"/>
  <c r="JT9" i="11"/>
  <c r="JW18" i="11"/>
  <c r="JT12" i="11"/>
  <c r="JS32" i="10"/>
  <c r="JW29" i="10"/>
  <c r="JV31" i="10"/>
  <c r="JU29" i="10"/>
  <c r="JS33" i="10"/>
  <c r="JU38" i="10"/>
  <c r="JV19" i="10"/>
  <c r="JU19" i="10"/>
  <c r="JT9" i="10"/>
  <c r="JV32" i="10"/>
  <c r="JV26" i="10"/>
  <c r="JV12" i="10"/>
  <c r="JT18" i="10"/>
  <c r="BH35" i="10"/>
  <c r="JW17" i="10"/>
  <c r="JW11" i="10"/>
  <c r="JR19" i="14"/>
  <c r="JR15" i="14"/>
  <c r="J7" i="75" s="1"/>
  <c r="JP15" i="14"/>
  <c r="H7" i="75" s="1"/>
  <c r="JT19" i="14"/>
  <c r="JP11" i="14"/>
  <c r="H4" i="75" s="1"/>
  <c r="CI44" i="13"/>
  <c r="JS38" i="13"/>
  <c r="K28" i="55" s="1"/>
  <c r="CJ18" i="14"/>
  <c r="CH47" i="13"/>
  <c r="JQ42" i="13"/>
  <c r="JT8" i="14"/>
  <c r="L6" i="75" s="1"/>
  <c r="CI11" i="14"/>
  <c r="CI33" i="13"/>
  <c r="JS31" i="13"/>
  <c r="K11" i="55" s="1"/>
  <c r="JS26" i="13"/>
  <c r="K15" i="55" s="1"/>
  <c r="JP31" i="13"/>
  <c r="H11" i="55" s="1"/>
  <c r="JP26" i="13"/>
  <c r="H15" i="55" s="1"/>
  <c r="JT29" i="13"/>
  <c r="L25" i="55" s="1"/>
  <c r="JS29" i="13"/>
  <c r="K25" i="55" s="1"/>
  <c r="JS24" i="13"/>
  <c r="K19" i="55" s="1"/>
  <c r="CJ25" i="13"/>
  <c r="JS28" i="13"/>
  <c r="K13" i="55" s="1"/>
  <c r="JT32" i="13"/>
  <c r="L16" i="55" s="1"/>
  <c r="CI8" i="13"/>
  <c r="CI24" i="13"/>
  <c r="JS14" i="13"/>
  <c r="K5" i="55" s="1"/>
  <c r="JQ14" i="13"/>
  <c r="I5" i="55" s="1"/>
  <c r="JP14" i="13"/>
  <c r="H5" i="55" s="1"/>
  <c r="JT17" i="13"/>
  <c r="L29" i="55" s="1"/>
  <c r="BF14" i="13"/>
  <c r="CH10" i="13"/>
  <c r="JT22" i="13"/>
  <c r="L8" i="55" s="1"/>
  <c r="JT14" i="11"/>
  <c r="CI13" i="13"/>
  <c r="BH18" i="11"/>
  <c r="JU13" i="11"/>
  <c r="JR16" i="13"/>
  <c r="J7" i="55" s="1"/>
  <c r="JW16" i="11"/>
  <c r="JV8" i="11"/>
  <c r="JS30" i="10"/>
  <c r="JW27" i="10"/>
  <c r="BH30" i="10"/>
  <c r="JT10" i="11"/>
  <c r="BH42" i="10"/>
  <c r="JU36" i="10"/>
  <c r="BH18" i="10"/>
  <c r="JU17" i="10"/>
  <c r="BH37" i="10"/>
  <c r="JW28" i="10"/>
  <c r="BH25" i="10"/>
  <c r="CH17" i="14"/>
  <c r="CH13" i="14"/>
  <c r="JT14" i="14"/>
  <c r="L8" i="75" s="1"/>
  <c r="BF18" i="14"/>
  <c r="JP10" i="14"/>
  <c r="H9" i="75" s="1"/>
  <c r="CI40" i="13"/>
  <c r="CI35" i="13"/>
  <c r="JR13" i="14"/>
  <c r="J11" i="75" s="1"/>
  <c r="JS45" i="13"/>
  <c r="JT41" i="13"/>
  <c r="JS47" i="13"/>
  <c r="JR10" i="14"/>
  <c r="J9" i="75" s="1"/>
  <c r="BF33" i="13"/>
  <c r="CI28" i="13"/>
  <c r="CI23" i="13"/>
  <c r="JS30" i="13"/>
  <c r="K10" i="55" s="1"/>
  <c r="JS25" i="13"/>
  <c r="K34" i="55" s="1"/>
  <c r="CJ26" i="13"/>
  <c r="CI26" i="13"/>
  <c r="CI21" i="13"/>
  <c r="JR24" i="13"/>
  <c r="J19" i="55" s="1"/>
  <c r="CI25" i="13"/>
  <c r="CJ29" i="13"/>
  <c r="BF8" i="13"/>
  <c r="JR23" i="13"/>
  <c r="J14" i="55" s="1"/>
  <c r="CH12" i="13"/>
  <c r="CI11" i="13"/>
  <c r="JT13" i="13"/>
  <c r="L12" i="55" s="1"/>
  <c r="CJ14" i="13"/>
  <c r="JR13" i="13"/>
  <c r="J12" i="55" s="1"/>
  <c r="JS19" i="14"/>
  <c r="JP16" i="14"/>
  <c r="H12" i="75" s="1"/>
  <c r="JP12" i="14"/>
  <c r="H10" i="75" s="1"/>
  <c r="CI19" i="14"/>
  <c r="JQ17" i="14"/>
  <c r="I13" i="75" s="1"/>
  <c r="JR6" i="14"/>
  <c r="J3" i="75" s="1"/>
  <c r="BF40" i="13"/>
  <c r="BF35" i="13"/>
  <c r="CJ47" i="13"/>
  <c r="JR44" i="13"/>
  <c r="JS14" i="14"/>
  <c r="K8" i="75" s="1"/>
  <c r="JP46" i="13"/>
  <c r="JR9" i="14"/>
  <c r="J5" i="75" s="1"/>
  <c r="JQ32" i="13"/>
  <c r="I16" i="55" s="1"/>
  <c r="BF28" i="13"/>
  <c r="BF23" i="13"/>
  <c r="CI27" i="13"/>
  <c r="CI22" i="13"/>
  <c r="JR25" i="13"/>
  <c r="J34" i="55" s="1"/>
  <c r="BF26" i="13"/>
  <c r="CI15" i="14"/>
  <c r="CH21" i="13"/>
  <c r="BF25" i="13"/>
  <c r="JR28" i="13"/>
  <c r="J13" i="55" s="1"/>
  <c r="CJ33" i="13"/>
  <c r="CI16" i="13"/>
  <c r="JP11" i="13"/>
  <c r="H20" i="55" s="1"/>
  <c r="BF11" i="13"/>
  <c r="CH11" i="13"/>
  <c r="JS13" i="13"/>
  <c r="K12" i="55" s="1"/>
  <c r="CI10" i="13"/>
  <c r="JS8" i="13"/>
  <c r="K18" i="55" s="1"/>
  <c r="JQ19" i="13"/>
  <c r="I4" i="55" s="1"/>
  <c r="CJ21" i="13"/>
  <c r="JW19" i="11"/>
  <c r="BH16" i="11"/>
  <c r="JU9" i="11"/>
  <c r="CH6" i="13"/>
  <c r="JW12" i="11"/>
  <c r="JT38" i="10"/>
  <c r="JV42" i="10"/>
  <c r="JS42" i="10"/>
  <c r="BH28" i="10"/>
  <c r="JT39" i="10"/>
  <c r="JV14" i="11"/>
  <c r="JU32" i="10"/>
  <c r="BH16" i="10"/>
  <c r="JU13" i="10"/>
  <c r="JS23" i="10"/>
  <c r="CI17" i="14"/>
  <c r="JT15" i="14"/>
  <c r="L7" i="75" s="1"/>
  <c r="JT11" i="14"/>
  <c r="L4" i="75" s="1"/>
  <c r="BF19" i="14"/>
  <c r="JQ11" i="14"/>
  <c r="I4" i="75" s="1"/>
  <c r="CJ44" i="13"/>
  <c r="JQ39" i="13"/>
  <c r="CH14" i="14"/>
  <c r="CH46" i="13"/>
  <c r="JQ43" i="13"/>
  <c r="CI9" i="14"/>
  <c r="BF43" i="13"/>
  <c r="JP8" i="14"/>
  <c r="H6" i="75" s="1"/>
  <c r="JT31" i="13"/>
  <c r="L11" i="55" s="1"/>
  <c r="JQ27" i="13"/>
  <c r="I9" i="55" s="1"/>
  <c r="CH42" i="13"/>
  <c r="BF27" i="13"/>
  <c r="BF22" i="13"/>
  <c r="CH22" i="13"/>
  <c r="JQ25" i="13"/>
  <c r="I34" i="55" s="1"/>
  <c r="CH9" i="14"/>
  <c r="JP20" i="13"/>
  <c r="H26" i="55" s="1"/>
  <c r="JQ24" i="13"/>
  <c r="I19" i="55" s="1"/>
  <c r="CH25" i="13"/>
  <c r="JS27" i="13"/>
  <c r="K9" i="55" s="1"/>
  <c r="BF16" i="13"/>
  <c r="JS10" i="13"/>
  <c r="K27" i="55" s="1"/>
  <c r="JQ10" i="13"/>
  <c r="I27" i="55" s="1"/>
  <c r="JP10" i="13"/>
  <c r="H27" i="55" s="1"/>
  <c r="CJ10" i="13"/>
  <c r="BF10" i="13"/>
  <c r="JR19" i="13"/>
  <c r="J4" i="55" s="1"/>
  <c r="CH18" i="13"/>
  <c r="JR12" i="13"/>
  <c r="J21" i="55" s="1"/>
  <c r="JW17" i="11"/>
  <c r="JV15" i="11"/>
  <c r="JP22" i="13"/>
  <c r="H8" i="55" s="1"/>
  <c r="JS19" i="11"/>
  <c r="JW10" i="11"/>
  <c r="JT36" i="10"/>
  <c r="BH13" i="11"/>
  <c r="JW41" i="10"/>
  <c r="JV27" i="10"/>
  <c r="JT37" i="10"/>
  <c r="JW40" i="10"/>
  <c r="JU30" i="10"/>
  <c r="JV15" i="10"/>
  <c r="JQ16" i="14"/>
  <c r="I12" i="75" s="1"/>
  <c r="JR12" i="14"/>
  <c r="J10" i="75" s="1"/>
  <c r="JR8" i="14"/>
  <c r="J6" i="75" s="1"/>
  <c r="CH19" i="14"/>
  <c r="JQ10" i="14"/>
  <c r="I9" i="75" s="1"/>
  <c r="JR39" i="13"/>
  <c r="CI14" i="14"/>
  <c r="CH12" i="14"/>
  <c r="JR43" i="13"/>
  <c r="CH39" i="13"/>
  <c r="CI6" i="14"/>
  <c r="BF42" i="13"/>
  <c r="BF45" i="13"/>
  <c r="JR27" i="13"/>
  <c r="J9" i="55" s="1"/>
  <c r="CJ23" i="13"/>
  <c r="CI36" i="13"/>
  <c r="JT25" i="13"/>
  <c r="L34" i="55" s="1"/>
  <c r="JT20" i="13"/>
  <c r="L26" i="55" s="1"/>
  <c r="JS20" i="13"/>
  <c r="K26" i="55" s="1"/>
  <c r="JS11" i="14"/>
  <c r="K4" i="75" s="1"/>
  <c r="JR37" i="13"/>
  <c r="J32" i="55" s="1"/>
  <c r="JQ8" i="14"/>
  <c r="I6" i="75" s="1"/>
  <c r="CH8" i="14"/>
  <c r="JS23" i="13"/>
  <c r="K14" i="55" s="1"/>
  <c r="BF21" i="13"/>
  <c r="JT14" i="13"/>
  <c r="L5" i="55" s="1"/>
  <c r="JT18" i="13"/>
  <c r="L24" i="55" s="1"/>
  <c r="JR6" i="13"/>
  <c r="J3" i="55" s="1"/>
  <c r="JQ6" i="13"/>
  <c r="I3" i="55" s="1"/>
  <c r="CI43" i="13"/>
  <c r="JT8" i="13"/>
  <c r="L18" i="55" s="1"/>
  <c r="BF18" i="13"/>
  <c r="JS16" i="13"/>
  <c r="K7" i="55" s="1"/>
  <c r="JU20" i="11"/>
  <c r="JW13" i="11"/>
  <c r="JV13" i="11"/>
  <c r="JT11" i="13"/>
  <c r="L20" i="55" s="1"/>
  <c r="JS15" i="11"/>
  <c r="CH9" i="13"/>
  <c r="BH11" i="11"/>
  <c r="JU42" i="10"/>
  <c r="JV39" i="10"/>
  <c r="JV10" i="11"/>
  <c r="JT33" i="10"/>
  <c r="JW36" i="10"/>
  <c r="JV40" i="10"/>
  <c r="JV13" i="10"/>
  <c r="JT25" i="10"/>
  <c r="JS17" i="10"/>
  <c r="JW18" i="10"/>
  <c r="JV20" i="10"/>
  <c r="JU18" i="10"/>
  <c r="JV34" i="10"/>
  <c r="BH39" i="10"/>
  <c r="JU10" i="10"/>
  <c r="BH8" i="10"/>
  <c r="JS12" i="14"/>
  <c r="K10" i="75" s="1"/>
  <c r="JQ19" i="14"/>
  <c r="CI47" i="13"/>
  <c r="JP18" i="14"/>
  <c r="H14" i="75" s="1"/>
  <c r="JP9" i="14"/>
  <c r="H5" i="75" s="1"/>
  <c r="CH36" i="13"/>
  <c r="JT13" i="14"/>
  <c r="L11" i="75" s="1"/>
  <c r="BF9" i="14"/>
  <c r="JS42" i="13"/>
  <c r="JP38" i="13"/>
  <c r="H28" i="55" s="1"/>
  <c r="JS46" i="13"/>
  <c r="JQ41" i="13"/>
  <c r="CH43" i="13"/>
  <c r="CH24" i="13"/>
  <c r="JR22" i="13"/>
  <c r="J8" i="55" s="1"/>
  <c r="CI32" i="13"/>
  <c r="CJ22" i="13"/>
  <c r="JS10" i="14"/>
  <c r="K9" i="75" s="1"/>
  <c r="CJ11" i="14"/>
  <c r="JS9" i="14"/>
  <c r="K5" i="75" s="1"/>
  <c r="BF36" i="13"/>
  <c r="JQ37" i="13"/>
  <c r="I32" i="55" s="1"/>
  <c r="CJ43" i="13"/>
  <c r="JR40" i="13"/>
  <c r="JQ20" i="13"/>
  <c r="I26" i="55" s="1"/>
  <c r="CI12" i="13"/>
  <c r="CJ15" i="13"/>
  <c r="JS20" i="11"/>
  <c r="CJ6" i="13"/>
  <c r="JP28" i="13"/>
  <c r="H13" i="55" s="1"/>
  <c r="CH34" i="13"/>
  <c r="JQ17" i="13"/>
  <c r="I29" i="55" s="1"/>
  <c r="CJ13" i="13"/>
  <c r="JS18" i="11"/>
  <c r="JW11" i="11"/>
  <c r="BH12" i="11"/>
  <c r="CJ11" i="13"/>
  <c r="JS13" i="11"/>
  <c r="BF6" i="13"/>
  <c r="JU8" i="11"/>
  <c r="BH15" i="11"/>
  <c r="BH38" i="10"/>
  <c r="BH9" i="11"/>
  <c r="JT31" i="10"/>
  <c r="JW34" i="10"/>
  <c r="BH26" i="10"/>
  <c r="BH12" i="10"/>
  <c r="JT23" i="10"/>
  <c r="JS15" i="10"/>
  <c r="JW16" i="10"/>
  <c r="BH19" i="10"/>
  <c r="JU16" i="10"/>
  <c r="JS26" i="10"/>
  <c r="JV36" i="10"/>
  <c r="JS10" i="10"/>
  <c r="CI10" i="14"/>
  <c r="JS15" i="14"/>
  <c r="K7" i="75" s="1"/>
  <c r="BF47" i="13"/>
  <c r="JT17" i="14"/>
  <c r="L13" i="75" s="1"/>
  <c r="JS6" i="14"/>
  <c r="K3" i="75" s="1"/>
  <c r="JP35" i="13"/>
  <c r="H31" i="55" s="1"/>
  <c r="CI12" i="14"/>
  <c r="BF8" i="14"/>
  <c r="CI39" i="13"/>
  <c r="JS37" i="13"/>
  <c r="K32" i="55" s="1"/>
  <c r="JQ45" i="13"/>
  <c r="JT40" i="13"/>
  <c r="CI41" i="13"/>
  <c r="JP23" i="13"/>
  <c r="H14" i="55" s="1"/>
  <c r="JQ6" i="14"/>
  <c r="I3" i="75" s="1"/>
  <c r="JQ12" i="14"/>
  <c r="I10" i="75" s="1"/>
  <c r="JS18" i="14"/>
  <c r="K14" i="75" s="1"/>
  <c r="JS17" i="14"/>
  <c r="K13" i="75" s="1"/>
  <c r="JP40" i="13"/>
  <c r="JT12" i="14"/>
  <c r="L10" i="75" s="1"/>
  <c r="CH44" i="13"/>
  <c r="CH45" i="13"/>
  <c r="JT37" i="13"/>
  <c r="L32" i="55" s="1"/>
  <c r="CJ8" i="14"/>
  <c r="JS41" i="13"/>
  <c r="JR17" i="14"/>
  <c r="J13" i="75" s="1"/>
  <c r="JT39" i="13"/>
  <c r="BF44" i="13"/>
  <c r="CJ32" i="13"/>
  <c r="JT47" i="13"/>
  <c r="JP41" i="13"/>
  <c r="JR38" i="13"/>
  <c r="J28" i="55" s="1"/>
  <c r="CI37" i="13"/>
  <c r="CJ30" i="13"/>
  <c r="CI30" i="13"/>
  <c r="CJ34" i="13"/>
  <c r="JS35" i="13"/>
  <c r="K31" i="55" s="1"/>
  <c r="JP16" i="13"/>
  <c r="H7" i="55" s="1"/>
  <c r="CJ12" i="13"/>
  <c r="BF37" i="13"/>
  <c r="CI29" i="13"/>
  <c r="CJ20" i="13"/>
  <c r="CI20" i="13"/>
  <c r="CH19" i="13"/>
  <c r="CJ18" i="13"/>
  <c r="CJ9" i="13"/>
  <c r="JT6" i="13"/>
  <c r="L3" i="55" s="1"/>
  <c r="BF17" i="13"/>
  <c r="BF9" i="13"/>
  <c r="JQ22" i="13"/>
  <c r="I8" i="55" s="1"/>
  <c r="JT15" i="11"/>
  <c r="CJ8" i="13"/>
  <c r="JU14" i="11"/>
  <c r="JS38" i="10"/>
  <c r="JW35" i="10"/>
  <c r="BH34" i="10"/>
  <c r="JU35" i="10"/>
  <c r="JS39" i="10"/>
  <c r="JV12" i="11"/>
  <c r="BH22" i="10"/>
  <c r="JU25" i="10"/>
  <c r="JT15" i="10"/>
  <c r="BH31" i="10"/>
  <c r="JS31" i="10"/>
  <c r="BH15" i="10"/>
  <c r="JT24" i="10"/>
  <c r="JS18" i="10"/>
  <c r="JW23" i="10"/>
  <c r="JU14" i="10"/>
  <c r="JQ9" i="14"/>
  <c r="I5" i="75" s="1"/>
  <c r="CH11" i="14"/>
  <c r="CI46" i="13"/>
  <c r="CI42" i="13"/>
  <c r="JQ36" i="13"/>
  <c r="I22" i="55" s="1"/>
  <c r="CH6" i="14"/>
  <c r="JS8" i="14"/>
  <c r="K6" i="75" s="1"/>
  <c r="BF34" i="13"/>
  <c r="JT10" i="13"/>
  <c r="L27" i="55" s="1"/>
  <c r="JQ28" i="13"/>
  <c r="I13" i="55" s="1"/>
  <c r="CI18" i="13"/>
  <c r="JS14" i="11"/>
  <c r="JU17" i="11"/>
  <c r="CI17" i="13"/>
  <c r="JW39" i="10"/>
  <c r="JU31" i="10"/>
  <c r="JU28" i="10"/>
  <c r="JT21" i="10"/>
  <c r="JW20" i="10"/>
  <c r="JU26" i="10"/>
  <c r="JS22" i="10"/>
  <c r="JW10" i="10"/>
  <c r="JQ47" i="13"/>
  <c r="BF46" i="13"/>
  <c r="JS43" i="13"/>
  <c r="CJ37" i="13"/>
  <c r="CJ36" i="13"/>
  <c r="JP47" i="13"/>
  <c r="CJ35" i="13"/>
  <c r="JP24" i="13"/>
  <c r="H19" i="55" s="1"/>
  <c r="CH16" i="13"/>
  <c r="CJ27" i="13"/>
  <c r="JT16" i="13"/>
  <c r="L7" i="55" s="1"/>
  <c r="JS12" i="11"/>
  <c r="JU11" i="11"/>
  <c r="JW20" i="11"/>
  <c r="JW37" i="10"/>
  <c r="JU41" i="10"/>
  <c r="JV25" i="10"/>
  <c r="JT19" i="10"/>
  <c r="JW14" i="10"/>
  <c r="JU24" i="10"/>
  <c r="JS20" i="10"/>
  <c r="JV10" i="10"/>
  <c r="CJ13" i="14"/>
  <c r="CH41" i="13"/>
  <c r="JS44" i="13"/>
  <c r="JR36" i="13"/>
  <c r="J22" i="55" s="1"/>
  <c r="CH28" i="13"/>
  <c r="JR46" i="13"/>
  <c r="JQ34" i="13"/>
  <c r="I33" i="55" s="1"/>
  <c r="JT27" i="13"/>
  <c r="L9" i="55" s="1"/>
  <c r="JR35" i="13"/>
  <c r="J31" i="55" s="1"/>
  <c r="BF19" i="13"/>
  <c r="JP13" i="13"/>
  <c r="H12" i="55" s="1"/>
  <c r="JP6" i="13"/>
  <c r="H3" i="55" s="1"/>
  <c r="JP19" i="13"/>
  <c r="H4" i="55" s="1"/>
  <c r="JU18" i="11"/>
  <c r="JW31" i="10"/>
  <c r="JT35" i="10"/>
  <c r="BH24" i="10"/>
  <c r="JT17" i="10"/>
  <c r="JW12" i="10"/>
  <c r="JU22" i="10"/>
  <c r="JS14" i="10"/>
  <c r="BH9" i="10"/>
  <c r="CI13" i="14"/>
  <c r="CJ17" i="14"/>
  <c r="BF39" i="13"/>
  <c r="BF15" i="14"/>
  <c r="JP36" i="13"/>
  <c r="H22" i="55" s="1"/>
  <c r="BF31" i="13"/>
  <c r="JS33" i="13"/>
  <c r="K30" i="55" s="1"/>
  <c r="JR20" i="13"/>
  <c r="J26" i="55" s="1"/>
  <c r="JR14" i="13"/>
  <c r="J5" i="55" s="1"/>
  <c r="JR9" i="13"/>
  <c r="J6" i="55" s="1"/>
  <c r="JT12" i="13"/>
  <c r="L21" i="55" s="1"/>
  <c r="JQ8" i="13"/>
  <c r="I18" i="55" s="1"/>
  <c r="CI6" i="13"/>
  <c r="JU16" i="11"/>
  <c r="BH17" i="11"/>
  <c r="JT29" i="10"/>
  <c r="JV23" i="10"/>
  <c r="JT11" i="10"/>
  <c r="JT32" i="10"/>
  <c r="JU20" i="10"/>
  <c r="JW30" i="10"/>
  <c r="JV8" i="10"/>
  <c r="BF13" i="14"/>
  <c r="CJ40" i="13"/>
  <c r="JQ38" i="13"/>
  <c r="I28" i="55" s="1"/>
  <c r="JT6" i="14"/>
  <c r="L3" i="75" s="1"/>
  <c r="BF32" i="13"/>
  <c r="JP21" i="13"/>
  <c r="H17" i="55" s="1"/>
  <c r="JQ29" i="13"/>
  <c r="I25" i="55" s="1"/>
  <c r="CH17" i="13"/>
  <c r="CI38" i="13"/>
  <c r="BF24" i="13"/>
  <c r="JS32" i="13"/>
  <c r="K16" i="55" s="1"/>
  <c r="JW15" i="11"/>
  <c r="JT19" i="11"/>
  <c r="JU10" i="11"/>
  <c r="BH40" i="10"/>
  <c r="JS10" i="11"/>
  <c r="BH20" i="10"/>
  <c r="JS25" i="10"/>
  <c r="BH27" i="10"/>
  <c r="BH41" i="10"/>
  <c r="JU27" i="10"/>
  <c r="JU8" i="10"/>
  <c r="JT18" i="14"/>
  <c r="L14" i="75" s="1"/>
  <c r="JS34" i="13"/>
  <c r="K33" i="55" s="1"/>
  <c r="BF14" i="14"/>
  <c r="BF41" i="13"/>
  <c r="JQ31" i="13"/>
  <c r="I11" i="55" s="1"/>
  <c r="CJ10" i="14"/>
  <c r="CH15" i="14"/>
  <c r="JP12" i="13"/>
  <c r="H21" i="55" s="1"/>
  <c r="JQ35" i="13"/>
  <c r="I31" i="55" s="1"/>
  <c r="CH20" i="13"/>
  <c r="JT21" i="13"/>
  <c r="L17" i="55" s="1"/>
  <c r="JW9" i="11"/>
  <c r="JT17" i="11"/>
  <c r="JT40" i="10"/>
  <c r="JV37" i="10"/>
  <c r="JT41" i="10"/>
  <c r="JV17" i="10"/>
  <c r="JS21" i="10"/>
  <c r="JV24" i="10"/>
  <c r="JS28" i="10"/>
  <c r="JV30" i="10"/>
  <c r="JS8" i="10"/>
  <c r="CJ9" i="14"/>
  <c r="CJ14" i="14"/>
  <c r="JR42" i="13"/>
  <c r="JQ40" i="13"/>
  <c r="JQ14" i="14"/>
  <c r="I8" i="75" s="1"/>
  <c r="JT9" i="14"/>
  <c r="L5" i="75" s="1"/>
  <c r="JT35" i="13"/>
  <c r="L31" i="55" s="1"/>
  <c r="CJ24" i="13"/>
  <c r="CI15" i="13"/>
  <c r="JT19" i="13"/>
  <c r="L4" i="55" s="1"/>
  <c r="JP17" i="13"/>
  <c r="H29" i="55" s="1"/>
  <c r="JS21" i="13"/>
  <c r="K17" i="55" s="1"/>
  <c r="JT11" i="11"/>
  <c r="JT34" i="10"/>
  <c r="BH36" i="10"/>
  <c r="JS35" i="10"/>
  <c r="BH14" i="10"/>
  <c r="JS19" i="10"/>
  <c r="BH23" i="10"/>
  <c r="JT26" i="10"/>
  <c r="BH29" i="10"/>
  <c r="JU12" i="10"/>
  <c r="JQ46" i="13"/>
  <c r="JP6" i="14"/>
  <c r="H3" i="75" s="1"/>
  <c r="JP13" i="14"/>
  <c r="H11" i="75" s="1"/>
  <c r="BF38" i="13"/>
  <c r="CJ39" i="13"/>
  <c r="JP45" i="13"/>
  <c r="CH35" i="13"/>
  <c r="BF20" i="13"/>
  <c r="JT9" i="13"/>
  <c r="L6" i="55" s="1"/>
  <c r="JS17" i="13"/>
  <c r="K29" i="55" s="1"/>
  <c r="JS12" i="13"/>
  <c r="K21" i="55" s="1"/>
  <c r="CH13" i="13"/>
  <c r="BF13" i="13"/>
  <c r="BH8" i="11"/>
  <c r="JV35" i="10"/>
  <c r="JS41" i="10"/>
  <c r="JV11" i="10"/>
  <c r="JS13" i="10"/>
  <c r="JV22" i="10"/>
  <c r="JT20" i="10"/>
  <c r="JT27" i="10"/>
  <c r="BH11" i="10"/>
  <c r="JT45" i="13"/>
  <c r="JT38" i="13"/>
  <c r="L28" i="55" s="1"/>
  <c r="BF11" i="14"/>
  <c r="CJ28" i="13"/>
  <c r="JQ26" i="13"/>
  <c r="I15" i="55" s="1"/>
  <c r="CH31" i="13"/>
  <c r="JP34" i="13"/>
  <c r="H33" i="55" s="1"/>
  <c r="CJ16" i="13"/>
  <c r="CH38" i="13"/>
  <c r="JQ9" i="13"/>
  <c r="I6" i="55" s="1"/>
  <c r="JT15" i="13"/>
  <c r="L23" i="55" s="1"/>
  <c r="BH20" i="11"/>
  <c r="JS17" i="11"/>
  <c r="JW42" i="10"/>
  <c r="BH32" i="10"/>
  <c r="JW38" i="10"/>
  <c r="BH33" i="10"/>
  <c r="JS11" i="10"/>
  <c r="BH21" i="10"/>
  <c r="JT16" i="10"/>
  <c r="JT30" i="10"/>
  <c r="JV9" i="10"/>
  <c r="JR18" i="14"/>
  <c r="J14" i="75" s="1"/>
  <c r="CJ46" i="13"/>
  <c r="JQ44" i="13"/>
  <c r="JS22" i="13"/>
  <c r="K8" i="55" s="1"/>
  <c r="JR21" i="13"/>
  <c r="J17" i="55" s="1"/>
  <c r="JT24" i="13"/>
  <c r="L19" i="55" s="1"/>
  <c r="CH30" i="13"/>
  <c r="JR15" i="13"/>
  <c r="J23" i="55" s="1"/>
  <c r="JP33" i="13"/>
  <c r="H30" i="55" s="1"/>
  <c r="JR26" i="13"/>
  <c r="J15" i="55" s="1"/>
  <c r="JR10" i="13"/>
  <c r="J27" i="55" s="1"/>
  <c r="JV17" i="11"/>
  <c r="JS11" i="11"/>
  <c r="JS40" i="10"/>
  <c r="JV29" i="10"/>
  <c r="JV16" i="11"/>
  <c r="JS29" i="10"/>
  <c r="JS9" i="10"/>
  <c r="JV18" i="10"/>
  <c r="JT14" i="10"/>
  <c r="JS27" i="10"/>
  <c r="JW9" i="10"/>
  <c r="JQ18" i="14"/>
  <c r="I14" i="75" s="1"/>
  <c r="CI45" i="13"/>
  <c r="CI8" i="14"/>
  <c r="JR16" i="14"/>
  <c r="J12" i="75" s="1"/>
  <c r="JT10" i="14"/>
  <c r="L9" i="75" s="1"/>
  <c r="CH37" i="13"/>
  <c r="JT23" i="13"/>
  <c r="L14" i="55" s="1"/>
  <c r="CH8" i="13"/>
  <c r="CH29" i="13"/>
  <c r="CH23" i="13"/>
  <c r="JT18" i="11"/>
  <c r="BH14" i="11"/>
  <c r="JQ16" i="13"/>
  <c r="I7" i="55" s="1"/>
  <c r="JS34" i="10"/>
  <c r="BH19" i="11"/>
  <c r="JS9" i="11"/>
  <c r="JU21" i="10"/>
  <c r="JV38" i="10"/>
  <c r="BH17" i="10"/>
  <c r="JT12" i="10"/>
  <c r="JW25" i="10"/>
  <c r="JW8" i="10"/>
  <c r="CJ15" i="14"/>
  <c r="CH40" i="13"/>
  <c r="JP44" i="13"/>
  <c r="CH33" i="13"/>
  <c r="JR47" i="13"/>
  <c r="JR34" i="13"/>
  <c r="J33" i="55" s="1"/>
  <c r="CJ41" i="13"/>
  <c r="JQ15" i="13"/>
  <c r="I23" i="55" s="1"/>
  <c r="JR18" i="13"/>
  <c r="J24" i="55" s="1"/>
  <c r="JS19" i="13"/>
  <c r="K4" i="55" s="1"/>
  <c r="JR32" i="13"/>
  <c r="J16" i="55" s="1"/>
  <c r="JV11" i="11"/>
  <c r="JS40" i="13"/>
  <c r="JT8" i="11"/>
  <c r="JV41" i="10"/>
  <c r="JV18" i="11"/>
  <c r="JU15" i="10"/>
  <c r="JW26" i="10"/>
  <c r="JV16" i="10"/>
  <c r="JT10" i="10"/>
  <c r="JW19" i="10"/>
  <c r="BH10" i="10"/>
  <c r="BF17" i="14"/>
  <c r="JR14" i="14"/>
  <c r="J8" i="75" s="1"/>
  <c r="JS13" i="14"/>
  <c r="K11" i="75" s="1"/>
  <c r="JP42" i="13"/>
  <c r="JT26" i="13"/>
  <c r="L15" i="55" s="1"/>
  <c r="JR30" i="13"/>
  <c r="J10" i="55" s="1"/>
  <c r="JT33" i="13"/>
  <c r="L30" i="55" s="1"/>
  <c r="CJ38" i="13"/>
  <c r="BF12" i="13"/>
  <c r="JS9" i="13"/>
  <c r="K6" i="55" s="1"/>
  <c r="CH14" i="13"/>
  <c r="JS6" i="13"/>
  <c r="K3" i="55" s="1"/>
  <c r="BH10" i="11"/>
  <c r="CI9" i="13"/>
  <c r="JS8" i="11"/>
  <c r="JU39" i="10"/>
  <c r="JU40" i="10"/>
  <c r="JU11" i="10"/>
  <c r="JW24" i="10"/>
  <c r="BH13" i="10"/>
  <c r="JT8" i="10"/>
  <c r="JW15" i="10"/>
  <c r="BF10" i="14"/>
  <c r="JP17" i="14"/>
  <c r="H13" i="75" s="1"/>
  <c r="BF6" i="14"/>
  <c r="JP14" i="14"/>
  <c r="H8" i="75" s="1"/>
  <c r="CJ42" i="13"/>
  <c r="JQ21" i="13"/>
  <c r="I17" i="55" s="1"/>
  <c r="CH26" i="13"/>
  <c r="JP37" i="13"/>
  <c r="H32" i="55" s="1"/>
  <c r="JQ11" i="13"/>
  <c r="I20" i="55" s="1"/>
  <c r="JT30" i="13"/>
  <c r="L10" i="55" s="1"/>
  <c r="JP9" i="13"/>
  <c r="H6" i="55" s="1"/>
  <c r="JS16" i="11"/>
  <c r="JV9" i="11"/>
  <c r="JW14" i="11"/>
  <c r="JT42" i="10"/>
  <c r="JU37" i="10"/>
  <c r="JU34" i="10"/>
  <c r="JU9" i="10"/>
  <c r="JW22" i="10"/>
  <c r="JT28" i="10"/>
  <c r="JS24" i="10"/>
  <c r="JS12" i="10"/>
  <c r="AQ6" i="13"/>
  <c r="AQ6" i="14" s="1"/>
  <c r="AQ6" i="11"/>
  <c r="AQ6" i="10"/>
  <c r="BB6" i="11"/>
  <c r="BB6" i="10"/>
  <c r="BC6" i="11"/>
  <c r="BC6" i="10"/>
  <c r="H5" i="57"/>
  <c r="FL6" i="14"/>
  <c r="FM6" i="14"/>
  <c r="H3" i="57"/>
  <c r="C65" i="34"/>
  <c r="C32" i="32"/>
  <c r="C78" i="36"/>
  <c r="C78" i="35"/>
  <c r="C76" i="29"/>
  <c r="C32" i="31"/>
  <c r="C65" i="33"/>
  <c r="D75" i="26"/>
  <c r="C76" i="30"/>
  <c r="C70" i="28"/>
  <c r="C70" i="27"/>
  <c r="D65" i="25"/>
  <c r="D73" i="23"/>
  <c r="D66" i="20"/>
  <c r="D33" i="24"/>
  <c r="D66" i="22"/>
  <c r="C32" i="17"/>
  <c r="C87" i="12"/>
  <c r="A24" i="9"/>
  <c r="FP6" i="11"/>
  <c r="FP6" i="10"/>
  <c r="FO6" i="11"/>
  <c r="FO6" i="10"/>
  <c r="AG14" i="14"/>
  <c r="AP47" i="13"/>
  <c r="AG44" i="13"/>
  <c r="AP16" i="14"/>
  <c r="R14" i="14"/>
  <c r="AG17" i="14"/>
  <c r="AP19" i="14"/>
  <c r="R17" i="14"/>
  <c r="AP12" i="14"/>
  <c r="R10" i="14"/>
  <c r="AG6" i="14"/>
  <c r="AG7" i="14" s="1"/>
  <c r="AP46" i="13"/>
  <c r="AG43" i="13"/>
  <c r="AP15" i="14"/>
  <c r="AG16" i="14"/>
  <c r="AP18" i="14"/>
  <c r="R16" i="14"/>
  <c r="AG19" i="14"/>
  <c r="R19" i="14"/>
  <c r="AP17" i="14"/>
  <c r="AP9" i="14"/>
  <c r="R47" i="13"/>
  <c r="AG46" i="13"/>
  <c r="AP11" i="14"/>
  <c r="AP10" i="14"/>
  <c r="AG47" i="13"/>
  <c r="AG41" i="13"/>
  <c r="R41" i="13"/>
  <c r="AP39" i="13"/>
  <c r="R9" i="14"/>
  <c r="R8" i="14"/>
  <c r="R36" i="13"/>
  <c r="R15" i="14"/>
  <c r="R11" i="14"/>
  <c r="AG9" i="14"/>
  <c r="AG8" i="14"/>
  <c r="AG40" i="13"/>
  <c r="AG18" i="14"/>
  <c r="AG10" i="14"/>
  <c r="R40" i="13"/>
  <c r="AP38" i="13"/>
  <c r="R12" i="14"/>
  <c r="AG11" i="14"/>
  <c r="AP43" i="13"/>
  <c r="R35" i="13"/>
  <c r="AP44" i="13"/>
  <c r="AP42" i="13"/>
  <c r="R13" i="14"/>
  <c r="AG12" i="14"/>
  <c r="AP45" i="13"/>
  <c r="R18" i="14"/>
  <c r="AP13" i="14"/>
  <c r="R44" i="13"/>
  <c r="R43" i="13"/>
  <c r="AP41" i="13"/>
  <c r="AG38" i="13"/>
  <c r="AP8" i="14"/>
  <c r="R46" i="13"/>
  <c r="AG45" i="13"/>
  <c r="R42" i="13"/>
  <c r="AP40" i="13"/>
  <c r="AG15" i="14"/>
  <c r="R34" i="13"/>
  <c r="AP32" i="13"/>
  <c r="AG29" i="13"/>
  <c r="R39" i="13"/>
  <c r="R29" i="13"/>
  <c r="AP27" i="13"/>
  <c r="AG24" i="13"/>
  <c r="AP36" i="13"/>
  <c r="AG35" i="13"/>
  <c r="AG33" i="13"/>
  <c r="R24" i="13"/>
  <c r="AP14" i="14"/>
  <c r="R33" i="13"/>
  <c r="R38" i="13"/>
  <c r="R28" i="13"/>
  <c r="AP26" i="13"/>
  <c r="AG23" i="13"/>
  <c r="AG32" i="13"/>
  <c r="R23" i="13"/>
  <c r="AP21" i="13"/>
  <c r="R45" i="13"/>
  <c r="AG36" i="13"/>
  <c r="R32" i="13"/>
  <c r="AP30" i="13"/>
  <c r="AG27" i="13"/>
  <c r="AG39" i="13"/>
  <c r="AP37" i="13"/>
  <c r="R27" i="13"/>
  <c r="AP25" i="13"/>
  <c r="AG22" i="13"/>
  <c r="AG13" i="14"/>
  <c r="R37" i="13"/>
  <c r="AP34" i="13"/>
  <c r="AG31" i="13"/>
  <c r="R22" i="13"/>
  <c r="R31" i="13"/>
  <c r="AP29" i="13"/>
  <c r="AG26" i="13"/>
  <c r="R26" i="13"/>
  <c r="AP24" i="13"/>
  <c r="AG37" i="13"/>
  <c r="AP33" i="13"/>
  <c r="AG30" i="13"/>
  <c r="AP31" i="13"/>
  <c r="AG13" i="13"/>
  <c r="R9" i="13"/>
  <c r="AG20" i="13"/>
  <c r="R20" i="13"/>
  <c r="AG17" i="13"/>
  <c r="AG34" i="13"/>
  <c r="R17" i="13"/>
  <c r="AP15" i="13"/>
  <c r="R13" i="13"/>
  <c r="AP11" i="13"/>
  <c r="AG25" i="13"/>
  <c r="AP23" i="13"/>
  <c r="R8" i="13"/>
  <c r="AG42" i="13"/>
  <c r="AP19" i="13"/>
  <c r="AG16" i="13"/>
  <c r="AG12" i="13"/>
  <c r="R16" i="13"/>
  <c r="AP14" i="13"/>
  <c r="R12" i="13"/>
  <c r="AP10" i="13"/>
  <c r="AP28" i="13"/>
  <c r="R25" i="13"/>
  <c r="R21" i="13"/>
  <c r="AP18" i="13"/>
  <c r="AG15" i="13"/>
  <c r="AG11" i="13"/>
  <c r="R15" i="13"/>
  <c r="R11" i="13"/>
  <c r="AP9" i="13"/>
  <c r="AG28" i="13"/>
  <c r="AG19" i="13"/>
  <c r="AP13" i="13"/>
  <c r="AG6" i="13"/>
  <c r="AG7" i="13" s="1"/>
  <c r="AP20" i="13"/>
  <c r="R19" i="13"/>
  <c r="AP17" i="13"/>
  <c r="AG14" i="13"/>
  <c r="AG10" i="13"/>
  <c r="R30" i="13"/>
  <c r="AG21" i="13"/>
  <c r="AP12" i="13"/>
  <c r="R18" i="13"/>
  <c r="AG8" i="13"/>
  <c r="AG19" i="11"/>
  <c r="AG17" i="11"/>
  <c r="AG15" i="11"/>
  <c r="AG13" i="11"/>
  <c r="AP22" i="13"/>
  <c r="AP35" i="13"/>
  <c r="R10" i="13"/>
  <c r="R14" i="13"/>
  <c r="AG20" i="11"/>
  <c r="AG18" i="11"/>
  <c r="AG16" i="11"/>
  <c r="AG14" i="11"/>
  <c r="AG12" i="11"/>
  <c r="AP16" i="13"/>
  <c r="AG9" i="13"/>
  <c r="AG18" i="13"/>
  <c r="AP8" i="13"/>
  <c r="AG41" i="10"/>
  <c r="AG39" i="10"/>
  <c r="AG37" i="10"/>
  <c r="AG35" i="10"/>
  <c r="AG33" i="10"/>
  <c r="AG31" i="10"/>
  <c r="AG29" i="10"/>
  <c r="AG8" i="11"/>
  <c r="AG9" i="11"/>
  <c r="AG40" i="10"/>
  <c r="AG38" i="10"/>
  <c r="AG36" i="10"/>
  <c r="AG34" i="10"/>
  <c r="AG11" i="11"/>
  <c r="AG10" i="11"/>
  <c r="AG42" i="10"/>
  <c r="AG30" i="10"/>
  <c r="AG26" i="10"/>
  <c r="AG24" i="10"/>
  <c r="AG22" i="10"/>
  <c r="AG20" i="10"/>
  <c r="AG18" i="10"/>
  <c r="AG16" i="10"/>
  <c r="AG14" i="10"/>
  <c r="AG12" i="10"/>
  <c r="AG10" i="10"/>
  <c r="AG8" i="10"/>
  <c r="AG28" i="10"/>
  <c r="AG32" i="10"/>
  <c r="AG27" i="10"/>
  <c r="AG25" i="10"/>
  <c r="AG23" i="10"/>
  <c r="AG21" i="10"/>
  <c r="AG19" i="10"/>
  <c r="AG17" i="10"/>
  <c r="AG15" i="10"/>
  <c r="AG9" i="10"/>
  <c r="AG13" i="10"/>
  <c r="AG11" i="10"/>
  <c r="R6" i="9"/>
  <c r="AP6" i="9"/>
  <c r="AG6" i="9"/>
  <c r="AH21" i="9"/>
  <c r="AF6" i="11"/>
  <c r="AF7" i="11" s="1"/>
  <c r="AF6" i="10"/>
  <c r="AF7" i="10" s="1"/>
  <c r="AF7" i="9"/>
  <c r="AR6" i="13"/>
  <c r="AR6" i="11"/>
  <c r="AR6" i="10"/>
  <c r="R6" i="13" l="1"/>
  <c r="R6" i="14" s="1"/>
  <c r="R6" i="11"/>
  <c r="R6" i="10"/>
  <c r="L10" i="56"/>
  <c r="J10" i="56"/>
  <c r="I10" i="56"/>
  <c r="K10" i="56"/>
  <c r="H10" i="56"/>
  <c r="EL30" i="13"/>
  <c r="EK30" i="13"/>
  <c r="EJ30" i="13"/>
  <c r="I17" i="54"/>
  <c r="H17" i="54"/>
  <c r="L17" i="54"/>
  <c r="K17" i="54"/>
  <c r="J17" i="54"/>
  <c r="EB24" i="13"/>
  <c r="EA24" i="13"/>
  <c r="DZ24" i="13"/>
  <c r="DY24" i="13"/>
  <c r="K9" i="74"/>
  <c r="J9" i="74"/>
  <c r="I9" i="74"/>
  <c r="H9" i="74"/>
  <c r="L9" i="74"/>
  <c r="EA14" i="14"/>
  <c r="DY14" i="14"/>
  <c r="DZ14" i="14"/>
  <c r="EB14" i="14"/>
  <c r="BG6" i="11"/>
  <c r="BG6" i="10"/>
  <c r="L31" i="54"/>
  <c r="J31" i="54"/>
  <c r="K31" i="54"/>
  <c r="I31" i="54"/>
  <c r="H31" i="54"/>
  <c r="EB36" i="13"/>
  <c r="EA36" i="13"/>
  <c r="DZ36" i="13"/>
  <c r="DY36" i="13"/>
  <c r="L9" i="52"/>
  <c r="K9" i="52"/>
  <c r="J9" i="52"/>
  <c r="I9" i="52"/>
  <c r="H9" i="52"/>
  <c r="DR26" i="13"/>
  <c r="DQ26" i="13"/>
  <c r="DP26" i="13"/>
  <c r="BD18" i="10"/>
  <c r="H5" i="50"/>
  <c r="L5" i="50"/>
  <c r="J5" i="50"/>
  <c r="I5" i="50"/>
  <c r="K5" i="50"/>
  <c r="DH14" i="13"/>
  <c r="DG14" i="13"/>
  <c r="DF14" i="13"/>
  <c r="DE14" i="13"/>
  <c r="K4" i="50"/>
  <c r="J4" i="50"/>
  <c r="L4" i="50"/>
  <c r="I4" i="50"/>
  <c r="H4" i="50"/>
  <c r="DG19" i="13"/>
  <c r="DF19" i="13"/>
  <c r="DE19" i="13"/>
  <c r="DH19" i="13"/>
  <c r="L5" i="70"/>
  <c r="K5" i="70"/>
  <c r="J5" i="70"/>
  <c r="I5" i="70"/>
  <c r="H5" i="70"/>
  <c r="DH9" i="14"/>
  <c r="DG9" i="14"/>
  <c r="DF9" i="14"/>
  <c r="DE9" i="14"/>
  <c r="H34" i="50"/>
  <c r="L34" i="50"/>
  <c r="K34" i="50"/>
  <c r="J34" i="50"/>
  <c r="I34" i="50"/>
  <c r="DH25" i="13"/>
  <c r="DF25" i="13"/>
  <c r="DE25" i="13"/>
  <c r="DG25" i="13"/>
  <c r="BD39" i="10"/>
  <c r="DH40" i="13"/>
  <c r="DF40" i="13"/>
  <c r="DE40" i="13"/>
  <c r="DG40" i="13"/>
  <c r="GL21" i="9"/>
  <c r="CP25" i="13"/>
  <c r="DI14" i="11"/>
  <c r="BP14" i="11" s="1"/>
  <c r="CS15" i="10"/>
  <c r="CP13" i="14"/>
  <c r="CS15" i="11"/>
  <c r="CS25" i="10"/>
  <c r="CS11" i="10"/>
  <c r="CP14" i="14"/>
  <c r="DI37" i="10"/>
  <c r="BP37" i="10" s="1"/>
  <c r="CS26" i="10"/>
  <c r="CP8" i="14"/>
  <c r="CP16" i="14"/>
  <c r="CS33" i="10"/>
  <c r="DI20" i="10"/>
  <c r="BP20" i="10" s="1"/>
  <c r="CP29" i="13"/>
  <c r="CS42" i="10"/>
  <c r="CS36" i="10"/>
  <c r="CP45" i="13"/>
  <c r="CP21" i="13"/>
  <c r="CS20" i="11"/>
  <c r="CS12" i="10"/>
  <c r="CP37" i="13"/>
  <c r="DI19" i="11"/>
  <c r="BP19" i="11" s="1"/>
  <c r="CS12" i="11"/>
  <c r="DI28" i="10"/>
  <c r="BP28" i="10" s="1"/>
  <c r="CP13" i="13"/>
  <c r="CS29" i="10"/>
  <c r="DI16" i="10"/>
  <c r="BP16" i="10" s="1"/>
  <c r="CP44" i="13"/>
  <c r="CS11" i="11"/>
  <c r="CS21" i="10"/>
  <c r="DI11" i="10"/>
  <c r="BP11" i="10" s="1"/>
  <c r="CP10" i="13"/>
  <c r="DI10" i="11"/>
  <c r="BP10" i="11" s="1"/>
  <c r="DI15" i="10"/>
  <c r="BP15" i="10" s="1"/>
  <c r="CP42" i="13"/>
  <c r="DI15" i="11"/>
  <c r="BP15" i="11" s="1"/>
  <c r="DI25" i="10"/>
  <c r="BP25" i="10" s="1"/>
  <c r="CS9" i="10"/>
  <c r="CP23" i="13"/>
  <c r="CS39" i="10"/>
  <c r="DI26" i="10"/>
  <c r="BP26" i="10" s="1"/>
  <c r="CP38" i="13"/>
  <c r="CP30" i="13"/>
  <c r="DI33" i="10"/>
  <c r="BP33" i="10" s="1"/>
  <c r="CS22" i="10"/>
  <c r="CP20" i="13"/>
  <c r="CS14" i="11"/>
  <c r="DI36" i="10"/>
  <c r="BP36" i="10" s="1"/>
  <c r="CP15" i="14"/>
  <c r="CP22" i="13"/>
  <c r="CS18" i="11"/>
  <c r="DI12" i="10"/>
  <c r="BP12" i="10" s="1"/>
  <c r="CP26" i="13"/>
  <c r="CP15" i="13"/>
  <c r="DI8" i="11"/>
  <c r="BP8" i="11" s="1"/>
  <c r="CS32" i="10"/>
  <c r="CP9" i="13"/>
  <c r="DI29" i="10"/>
  <c r="BP29" i="10" s="1"/>
  <c r="CS18" i="10"/>
  <c r="CP41" i="13"/>
  <c r="DI11" i="11"/>
  <c r="BP11" i="11" s="1"/>
  <c r="DI21" i="10"/>
  <c r="BP21" i="10" s="1"/>
  <c r="DI9" i="10"/>
  <c r="BP9" i="10" s="1"/>
  <c r="CP14" i="13"/>
  <c r="CS35" i="10"/>
  <c r="CS17" i="10"/>
  <c r="DI6" i="9"/>
  <c r="BP6" i="9" s="1"/>
  <c r="CS17" i="11"/>
  <c r="CS27" i="10"/>
  <c r="DI30" i="10"/>
  <c r="BP30" i="10" s="1"/>
  <c r="CP28" i="13"/>
  <c r="DI39" i="10"/>
  <c r="BP39" i="10" s="1"/>
  <c r="CS28" i="10"/>
  <c r="CP47" i="13"/>
  <c r="CP6" i="13"/>
  <c r="CS8" i="11"/>
  <c r="DI22" i="10"/>
  <c r="BP22" i="10" s="1"/>
  <c r="CP9" i="14"/>
  <c r="DI18" i="11"/>
  <c r="BP18" i="11" s="1"/>
  <c r="CS13" i="10"/>
  <c r="CP46" i="13"/>
  <c r="CP36" i="13"/>
  <c r="DI42" i="10"/>
  <c r="BP42" i="10" s="1"/>
  <c r="CS14" i="10"/>
  <c r="CP31" i="13"/>
  <c r="CP11" i="13"/>
  <c r="DI17" i="10"/>
  <c r="BP17" i="10" s="1"/>
  <c r="CS40" i="10"/>
  <c r="CP34" i="13"/>
  <c r="CS31" i="10"/>
  <c r="DI18" i="10"/>
  <c r="BP18" i="10" s="1"/>
  <c r="CP11" i="14"/>
  <c r="CS13" i="11"/>
  <c r="CS23" i="10"/>
  <c r="DI8" i="10"/>
  <c r="BP8" i="10" s="1"/>
  <c r="CP19" i="13"/>
  <c r="DI35" i="10"/>
  <c r="BP35" i="10" s="1"/>
  <c r="CS24" i="10"/>
  <c r="CS6" i="9"/>
  <c r="CP27" i="13"/>
  <c r="DI27" i="10"/>
  <c r="BP27" i="10" s="1"/>
  <c r="CS34" i="10"/>
  <c r="CP33" i="13"/>
  <c r="CS41" i="10"/>
  <c r="CS30" i="10"/>
  <c r="CP17" i="14"/>
  <c r="CP12" i="13"/>
  <c r="CS10" i="11"/>
  <c r="DI40" i="10"/>
  <c r="BP40" i="10" s="1"/>
  <c r="CP10" i="14"/>
  <c r="DI17" i="11"/>
  <c r="BP17" i="11" s="1"/>
  <c r="DI13" i="10"/>
  <c r="BP13" i="10" s="1"/>
  <c r="CP12" i="14"/>
  <c r="CP8" i="13"/>
  <c r="CS16" i="11"/>
  <c r="DI14" i="10"/>
  <c r="BP14" i="10" s="1"/>
  <c r="CP39" i="13"/>
  <c r="CS9" i="11"/>
  <c r="CS19" i="10"/>
  <c r="CS8" i="10"/>
  <c r="CP35" i="13"/>
  <c r="DI16" i="11"/>
  <c r="BP16" i="11" s="1"/>
  <c r="CS20" i="10"/>
  <c r="CP43" i="13"/>
  <c r="DI13" i="11"/>
  <c r="BP13" i="11" s="1"/>
  <c r="DI23" i="10"/>
  <c r="BP23" i="10" s="1"/>
  <c r="DI10" i="10"/>
  <c r="BP10" i="10" s="1"/>
  <c r="CP32" i="13"/>
  <c r="CS37" i="10"/>
  <c r="DI24" i="10"/>
  <c r="BP24" i="10" s="1"/>
  <c r="CP18" i="13"/>
  <c r="DI31" i="10"/>
  <c r="BP31" i="10" s="1"/>
  <c r="DI38" i="10"/>
  <c r="BP38" i="10" s="1"/>
  <c r="CP24" i="13"/>
  <c r="DI41" i="10"/>
  <c r="BP41" i="10" s="1"/>
  <c r="DI32" i="10"/>
  <c r="BP32" i="10" s="1"/>
  <c r="CP18" i="14"/>
  <c r="CP16" i="13"/>
  <c r="DI12" i="11"/>
  <c r="BP12" i="11" s="1"/>
  <c r="DI34" i="10"/>
  <c r="BP34" i="10" s="1"/>
  <c r="CP6" i="14"/>
  <c r="CS19" i="11"/>
  <c r="CS38" i="10"/>
  <c r="CP19" i="14"/>
  <c r="CP17" i="13"/>
  <c r="DI20" i="11"/>
  <c r="BP20" i="11" s="1"/>
  <c r="CS16" i="10"/>
  <c r="CP40" i="13"/>
  <c r="DI9" i="11"/>
  <c r="BP9" i="11" s="1"/>
  <c r="DI19" i="10"/>
  <c r="BP19" i="10" s="1"/>
  <c r="CS10" i="10"/>
  <c r="C32" i="36"/>
  <c r="C7" i="32"/>
  <c r="C21" i="28"/>
  <c r="C27" i="30"/>
  <c r="C32" i="35"/>
  <c r="C25" i="33"/>
  <c r="C21" i="27"/>
  <c r="C73" i="29"/>
  <c r="C25" i="34"/>
  <c r="C7" i="31"/>
  <c r="D29" i="26"/>
  <c r="D21" i="25"/>
  <c r="D23" i="23"/>
  <c r="D18" i="22"/>
  <c r="C46" i="17"/>
  <c r="D18" i="20"/>
  <c r="D7" i="24"/>
  <c r="C35" i="12"/>
  <c r="A25" i="9"/>
  <c r="A26" i="9" s="1"/>
  <c r="A27" i="9" s="1"/>
  <c r="EJ41" i="13"/>
  <c r="EK41" i="13"/>
  <c r="EL41" i="13"/>
  <c r="L11" i="56"/>
  <c r="K11" i="56"/>
  <c r="H11" i="56"/>
  <c r="J11" i="56"/>
  <c r="I11" i="56"/>
  <c r="EL31" i="13"/>
  <c r="EK31" i="13"/>
  <c r="EJ31" i="13"/>
  <c r="K32" i="54"/>
  <c r="L32" i="54"/>
  <c r="J32" i="54"/>
  <c r="I32" i="54"/>
  <c r="H32" i="54"/>
  <c r="EB25" i="13"/>
  <c r="DZ25" i="13"/>
  <c r="DY25" i="13"/>
  <c r="EA25" i="13"/>
  <c r="DZ44" i="13"/>
  <c r="DY44" i="13"/>
  <c r="EA44" i="13"/>
  <c r="EB44" i="13"/>
  <c r="L12" i="74"/>
  <c r="K12" i="74"/>
  <c r="J12" i="74"/>
  <c r="I12" i="74"/>
  <c r="H12" i="74"/>
  <c r="EA16" i="14"/>
  <c r="EB16" i="14"/>
  <c r="DZ16" i="14"/>
  <c r="DY16" i="14"/>
  <c r="I20" i="54"/>
  <c r="L20" i="54"/>
  <c r="K20" i="54"/>
  <c r="J20" i="54"/>
  <c r="H20" i="54"/>
  <c r="DY15" i="13"/>
  <c r="EB15" i="13"/>
  <c r="EA15" i="13"/>
  <c r="DZ15" i="13"/>
  <c r="I4" i="54"/>
  <c r="L4" i="54"/>
  <c r="K4" i="54"/>
  <c r="J4" i="54"/>
  <c r="H4" i="54"/>
  <c r="EA19" i="13"/>
  <c r="DZ19" i="13"/>
  <c r="DY19" i="13"/>
  <c r="EB19" i="13"/>
  <c r="L16" i="52"/>
  <c r="K16" i="52"/>
  <c r="J16" i="52"/>
  <c r="I16" i="52"/>
  <c r="H16" i="52"/>
  <c r="DR32" i="13"/>
  <c r="DQ32" i="13"/>
  <c r="DP32" i="13"/>
  <c r="DP41" i="13"/>
  <c r="DQ41" i="13"/>
  <c r="DR41" i="13"/>
  <c r="L15" i="52"/>
  <c r="H15" i="52"/>
  <c r="J15" i="52"/>
  <c r="I15" i="52"/>
  <c r="K15" i="52"/>
  <c r="DQ11" i="13"/>
  <c r="DP11" i="13"/>
  <c r="DR11" i="13"/>
  <c r="BD13" i="10"/>
  <c r="BD33" i="10"/>
  <c r="L7" i="50"/>
  <c r="J7" i="50"/>
  <c r="I7" i="50"/>
  <c r="H7" i="50"/>
  <c r="K7" i="50"/>
  <c r="DH16" i="13"/>
  <c r="DG16" i="13"/>
  <c r="DF16" i="13"/>
  <c r="DE16" i="13"/>
  <c r="GO21" i="9"/>
  <c r="CT6" i="9"/>
  <c r="CQ18" i="14"/>
  <c r="CQ13" i="13"/>
  <c r="CT33" i="10"/>
  <c r="DJ23" i="10"/>
  <c r="BQ23" i="10" s="1"/>
  <c r="CQ21" i="13"/>
  <c r="CQ9" i="13"/>
  <c r="CT28" i="10"/>
  <c r="CT10" i="10"/>
  <c r="CT17" i="11"/>
  <c r="CT24" i="10"/>
  <c r="CQ13" i="14"/>
  <c r="DJ11" i="11"/>
  <c r="BQ11" i="11" s="1"/>
  <c r="CT36" i="10"/>
  <c r="DJ10" i="10"/>
  <c r="BQ10" i="10" s="1"/>
  <c r="CQ32" i="13"/>
  <c r="CT42" i="10"/>
  <c r="CT14" i="10"/>
  <c r="CQ8" i="14"/>
  <c r="CT18" i="11"/>
  <c r="DJ28" i="10"/>
  <c r="BQ28" i="10" s="1"/>
  <c r="CQ45" i="13"/>
  <c r="DJ12" i="11"/>
  <c r="BQ12" i="11" s="1"/>
  <c r="DJ18" i="10"/>
  <c r="BQ18" i="10" s="1"/>
  <c r="CQ16" i="14"/>
  <c r="CQ16" i="13"/>
  <c r="CT29" i="10"/>
  <c r="DJ19" i="10"/>
  <c r="BQ19" i="10" s="1"/>
  <c r="CQ39" i="13"/>
  <c r="CT39" i="10"/>
  <c r="DJ15" i="10"/>
  <c r="BQ15" i="10" s="1"/>
  <c r="CQ31" i="13"/>
  <c r="DJ33" i="10"/>
  <c r="BQ33" i="10" s="1"/>
  <c r="CT25" i="10"/>
  <c r="CQ26" i="13"/>
  <c r="CQ8" i="13"/>
  <c r="CT30" i="10"/>
  <c r="DJ11" i="10"/>
  <c r="BQ11" i="10" s="1"/>
  <c r="CQ6" i="13"/>
  <c r="DJ8" i="11"/>
  <c r="BQ8" i="11" s="1"/>
  <c r="CQ9" i="14"/>
  <c r="CT13" i="11"/>
  <c r="DJ36" i="10"/>
  <c r="BQ36" i="10" s="1"/>
  <c r="CT11" i="10"/>
  <c r="CQ23" i="13"/>
  <c r="CT9" i="11"/>
  <c r="DJ14" i="10"/>
  <c r="BQ14" i="10" s="1"/>
  <c r="CQ38" i="13"/>
  <c r="DJ17" i="11"/>
  <c r="BQ17" i="11" s="1"/>
  <c r="DJ24" i="10"/>
  <c r="BQ24" i="10" s="1"/>
  <c r="CQ29" i="13"/>
  <c r="CT14" i="11"/>
  <c r="CT20" i="10"/>
  <c r="CQ17" i="14"/>
  <c r="CQ22" i="13"/>
  <c r="DJ29" i="10"/>
  <c r="BQ29" i="10" s="1"/>
  <c r="CT21" i="10"/>
  <c r="CQ30" i="13"/>
  <c r="DJ18" i="11"/>
  <c r="BQ18" i="11" s="1"/>
  <c r="CT32" i="10"/>
  <c r="CQ20" i="13"/>
  <c r="DJ6" i="9"/>
  <c r="BQ6" i="9" s="1"/>
  <c r="CQ42" i="13"/>
  <c r="CT35" i="10"/>
  <c r="DJ25" i="10"/>
  <c r="BQ25" i="10" s="1"/>
  <c r="CQ46" i="13"/>
  <c r="CQ15" i="13"/>
  <c r="DJ32" i="10"/>
  <c r="BQ32" i="10" s="1"/>
  <c r="DJ9" i="10"/>
  <c r="BQ9" i="10" s="1"/>
  <c r="CQ19" i="13"/>
  <c r="DJ39" i="10"/>
  <c r="BQ39" i="10" s="1"/>
  <c r="CT17" i="10"/>
  <c r="CT15" i="11"/>
  <c r="CQ24" i="13"/>
  <c r="CT38" i="10"/>
  <c r="CT9" i="10"/>
  <c r="CQ28" i="13"/>
  <c r="CT10" i="11"/>
  <c r="CT16" i="10"/>
  <c r="CQ47" i="13"/>
  <c r="CT19" i="11"/>
  <c r="CT8" i="11"/>
  <c r="CQ10" i="14"/>
  <c r="CT16" i="11"/>
  <c r="CQ18" i="13"/>
  <c r="DJ20" i="10"/>
  <c r="BQ20" i="10" s="1"/>
  <c r="CQ14" i="14"/>
  <c r="CQ25" i="13"/>
  <c r="CT31" i="10"/>
  <c r="DJ21" i="10"/>
  <c r="BQ21" i="10" s="1"/>
  <c r="CQ37" i="13"/>
  <c r="CT20" i="11"/>
  <c r="CT26" i="10"/>
  <c r="CQ34" i="13"/>
  <c r="CT37" i="10"/>
  <c r="DJ14" i="11"/>
  <c r="BQ14" i="11" s="1"/>
  <c r="CT27" i="10"/>
  <c r="CQ41" i="13"/>
  <c r="CQ11" i="13"/>
  <c r="CT34" i="10"/>
  <c r="CT13" i="10"/>
  <c r="CQ27" i="13"/>
  <c r="CT41" i="10"/>
  <c r="CT12" i="10"/>
  <c r="CQ10" i="13"/>
  <c r="CT40" i="10"/>
  <c r="CT22" i="10"/>
  <c r="DJ13" i="11"/>
  <c r="BQ13" i="11" s="1"/>
  <c r="CT8" i="10"/>
  <c r="CQ33" i="13"/>
  <c r="DJ10" i="11"/>
  <c r="BQ10" i="11" s="1"/>
  <c r="DJ16" i="10"/>
  <c r="BQ16" i="10" s="1"/>
  <c r="CQ12" i="14"/>
  <c r="DJ19" i="11"/>
  <c r="BQ19" i="11" s="1"/>
  <c r="DJ9" i="11"/>
  <c r="BQ9" i="11" s="1"/>
  <c r="DJ17" i="10"/>
  <c r="BQ17" i="10" s="1"/>
  <c r="DJ15" i="11"/>
  <c r="BQ15" i="11" s="1"/>
  <c r="DJ22" i="10"/>
  <c r="BQ22" i="10" s="1"/>
  <c r="DJ13" i="10"/>
  <c r="BQ13" i="10" s="1"/>
  <c r="DJ38" i="10"/>
  <c r="BQ38" i="10" s="1"/>
  <c r="DJ35" i="10"/>
  <c r="BQ35" i="10" s="1"/>
  <c r="CQ11" i="14"/>
  <c r="CQ17" i="13"/>
  <c r="DJ31" i="10"/>
  <c r="BQ31" i="10" s="1"/>
  <c r="CT23" i="10"/>
  <c r="CQ40" i="13"/>
  <c r="DJ20" i="11"/>
  <c r="BQ20" i="11" s="1"/>
  <c r="DJ26" i="10"/>
  <c r="BQ26" i="10" s="1"/>
  <c r="CQ6" i="14"/>
  <c r="DJ16" i="11"/>
  <c r="BQ16" i="11" s="1"/>
  <c r="DJ30" i="10"/>
  <c r="BQ30" i="10" s="1"/>
  <c r="CQ43" i="13"/>
  <c r="CT11" i="11"/>
  <c r="DJ34" i="10"/>
  <c r="BQ34" i="10" s="1"/>
  <c r="DJ8" i="10"/>
  <c r="BQ8" i="10" s="1"/>
  <c r="CQ36" i="13"/>
  <c r="DJ41" i="10"/>
  <c r="BQ41" i="10" s="1"/>
  <c r="DJ12" i="10"/>
  <c r="BQ12" i="10" s="1"/>
  <c r="CQ35" i="13"/>
  <c r="DJ37" i="10"/>
  <c r="BQ37" i="10" s="1"/>
  <c r="CT15" i="10"/>
  <c r="CQ15" i="14"/>
  <c r="DJ27" i="10"/>
  <c r="BQ27" i="10" s="1"/>
  <c r="CQ44" i="13"/>
  <c r="CT12" i="11"/>
  <c r="CT18" i="10"/>
  <c r="CQ19" i="14"/>
  <c r="CQ12" i="13"/>
  <c r="DJ42" i="10"/>
  <c r="BQ42" i="10" s="1"/>
  <c r="CT19" i="10"/>
  <c r="CQ14" i="13"/>
  <c r="DJ40" i="10"/>
  <c r="BQ40" i="10" s="1"/>
  <c r="L8" i="76"/>
  <c r="K8" i="76"/>
  <c r="J8" i="76"/>
  <c r="I8" i="76"/>
  <c r="H8" i="76"/>
  <c r="EL14" i="14"/>
  <c r="EK14" i="14"/>
  <c r="EJ14" i="14"/>
  <c r="EL44" i="13"/>
  <c r="EK44" i="13"/>
  <c r="EJ44" i="13"/>
  <c r="EL45" i="13"/>
  <c r="EJ45" i="13"/>
  <c r="EK45" i="13"/>
  <c r="L8" i="56"/>
  <c r="K8" i="56"/>
  <c r="H8" i="56"/>
  <c r="J8" i="56"/>
  <c r="I8" i="56"/>
  <c r="EL22" i="13"/>
  <c r="EK22" i="13"/>
  <c r="EJ22" i="13"/>
  <c r="EL19" i="14"/>
  <c r="EK19" i="14"/>
  <c r="EJ19" i="14"/>
  <c r="L30" i="56"/>
  <c r="K30" i="56"/>
  <c r="J30" i="56"/>
  <c r="I30" i="56"/>
  <c r="H30" i="56"/>
  <c r="EK33" i="13"/>
  <c r="EJ33" i="13"/>
  <c r="EL33" i="13"/>
  <c r="L30" i="54"/>
  <c r="K30" i="54"/>
  <c r="I30" i="54"/>
  <c r="J30" i="54"/>
  <c r="H30" i="54"/>
  <c r="EB34" i="13"/>
  <c r="EA34" i="13"/>
  <c r="DZ34" i="13"/>
  <c r="DY34" i="13"/>
  <c r="L9" i="54"/>
  <c r="I9" i="54"/>
  <c r="J9" i="54"/>
  <c r="H9" i="54"/>
  <c r="K9" i="54"/>
  <c r="EB27" i="13"/>
  <c r="EA27" i="13"/>
  <c r="DY27" i="13"/>
  <c r="DZ27" i="13"/>
  <c r="L33" i="54"/>
  <c r="K33" i="54"/>
  <c r="J33" i="54"/>
  <c r="I33" i="54"/>
  <c r="H33" i="54"/>
  <c r="EB8" i="13"/>
  <c r="DZ8" i="13"/>
  <c r="DY8" i="13"/>
  <c r="EA8" i="13"/>
  <c r="L3" i="54"/>
  <c r="K3" i="54"/>
  <c r="I3" i="54"/>
  <c r="H3" i="54"/>
  <c r="J3" i="54"/>
  <c r="I18" i="54"/>
  <c r="H18" i="54"/>
  <c r="L18" i="54"/>
  <c r="K18" i="54"/>
  <c r="J18" i="54"/>
  <c r="EB21" i="13"/>
  <c r="EA21" i="13"/>
  <c r="DZ21" i="13"/>
  <c r="DY21" i="13"/>
  <c r="L9" i="72"/>
  <c r="K9" i="72"/>
  <c r="J9" i="72"/>
  <c r="I9" i="72"/>
  <c r="H9" i="72"/>
  <c r="DR12" i="14"/>
  <c r="DQ12" i="14"/>
  <c r="DP12" i="14"/>
  <c r="L8" i="52"/>
  <c r="J8" i="52"/>
  <c r="I8" i="52"/>
  <c r="H8" i="52"/>
  <c r="K8" i="52"/>
  <c r="DR13" i="13"/>
  <c r="DQ13" i="13"/>
  <c r="DP13" i="13"/>
  <c r="I5" i="72"/>
  <c r="H5" i="72"/>
  <c r="L5" i="72"/>
  <c r="K5" i="72"/>
  <c r="J5" i="72"/>
  <c r="DR11" i="14"/>
  <c r="DQ11" i="14"/>
  <c r="DP11" i="14"/>
  <c r="DQ43" i="13"/>
  <c r="DP43" i="13"/>
  <c r="DR43" i="13"/>
  <c r="DR44" i="13"/>
  <c r="DQ44" i="13"/>
  <c r="DP44" i="13"/>
  <c r="L13" i="52"/>
  <c r="H13" i="52"/>
  <c r="K13" i="52"/>
  <c r="J13" i="52"/>
  <c r="I13" i="52"/>
  <c r="DP24" i="13"/>
  <c r="DR24" i="13"/>
  <c r="DQ24" i="13"/>
  <c r="L31" i="52"/>
  <c r="K31" i="52"/>
  <c r="J31" i="52"/>
  <c r="I31" i="52"/>
  <c r="H31" i="52"/>
  <c r="DR29" i="13"/>
  <c r="DP29" i="13"/>
  <c r="DQ29" i="13"/>
  <c r="DH41" i="13"/>
  <c r="DG41" i="13"/>
  <c r="DF41" i="13"/>
  <c r="DE41" i="13"/>
  <c r="L15" i="50"/>
  <c r="K15" i="50"/>
  <c r="H15" i="50"/>
  <c r="J15" i="50"/>
  <c r="I15" i="50"/>
  <c r="DG26" i="13"/>
  <c r="DF26" i="13"/>
  <c r="DE26" i="13"/>
  <c r="DH26" i="13"/>
  <c r="L8" i="50"/>
  <c r="K8" i="50"/>
  <c r="I8" i="50"/>
  <c r="J8" i="50"/>
  <c r="H8" i="50"/>
  <c r="DE22" i="13"/>
  <c r="DH22" i="13"/>
  <c r="DG22" i="13"/>
  <c r="DF22" i="13"/>
  <c r="BD25" i="10"/>
  <c r="GR21" i="9"/>
  <c r="CR6" i="14"/>
  <c r="CR16" i="13"/>
  <c r="CU35" i="10"/>
  <c r="CU19" i="10"/>
  <c r="CR39" i="13"/>
  <c r="CU17" i="11"/>
  <c r="CU34" i="10"/>
  <c r="CR31" i="13"/>
  <c r="DK36" i="10"/>
  <c r="BR36" i="10" s="1"/>
  <c r="CU25" i="10"/>
  <c r="CU6" i="9"/>
  <c r="CR45" i="13"/>
  <c r="CU14" i="11"/>
  <c r="CU18" i="10"/>
  <c r="DK11" i="10"/>
  <c r="BR11" i="10" s="1"/>
  <c r="CR14" i="13"/>
  <c r="DK40" i="10"/>
  <c r="BR40" i="10" s="1"/>
  <c r="CU15" i="10"/>
  <c r="CU20" i="11"/>
  <c r="CU24" i="10"/>
  <c r="CU31" i="10"/>
  <c r="CR23" i="13"/>
  <c r="DK13" i="11"/>
  <c r="BR13" i="11" s="1"/>
  <c r="CU37" i="10"/>
  <c r="CR37" i="13"/>
  <c r="CR6" i="13"/>
  <c r="CU28" i="10"/>
  <c r="CR11" i="14"/>
  <c r="CU9" i="11"/>
  <c r="DK37" i="10"/>
  <c r="BR37" i="10" s="1"/>
  <c r="CR18" i="14"/>
  <c r="CR22" i="13"/>
  <c r="CU15" i="11"/>
  <c r="DK19" i="10"/>
  <c r="BR19" i="10" s="1"/>
  <c r="CR30" i="13"/>
  <c r="CU10" i="11"/>
  <c r="CU14" i="10"/>
  <c r="CR34" i="13"/>
  <c r="CU38" i="10"/>
  <c r="DK25" i="10"/>
  <c r="BR25" i="10" s="1"/>
  <c r="CR40" i="13"/>
  <c r="DK14" i="11"/>
  <c r="BR14" i="11" s="1"/>
  <c r="DK18" i="10"/>
  <c r="BR18" i="10" s="1"/>
  <c r="DK9" i="10"/>
  <c r="BR9" i="10" s="1"/>
  <c r="CR27" i="13"/>
  <c r="CU13" i="11"/>
  <c r="DK30" i="10"/>
  <c r="BR30" i="10" s="1"/>
  <c r="CR18" i="13"/>
  <c r="DK24" i="10"/>
  <c r="BR24" i="10" s="1"/>
  <c r="CU33" i="10"/>
  <c r="CR46" i="13"/>
  <c r="CU16" i="11"/>
  <c r="DK42" i="10"/>
  <c r="BR42" i="10" s="1"/>
  <c r="DK9" i="11"/>
  <c r="BR9" i="11" s="1"/>
  <c r="CU39" i="10"/>
  <c r="CR42" i="13"/>
  <c r="CR19" i="13"/>
  <c r="CU30" i="10"/>
  <c r="DK15" i="10"/>
  <c r="BR15" i="10" s="1"/>
  <c r="DK20" i="11"/>
  <c r="BR20" i="11" s="1"/>
  <c r="DK39" i="10"/>
  <c r="BR39" i="10" s="1"/>
  <c r="CR8" i="14"/>
  <c r="CR17" i="13"/>
  <c r="DK17" i="11"/>
  <c r="BR17" i="11" s="1"/>
  <c r="DK19" i="11"/>
  <c r="BR19" i="11" s="1"/>
  <c r="CU21" i="10"/>
  <c r="CR21" i="13"/>
  <c r="DK10" i="11"/>
  <c r="BR10" i="11" s="1"/>
  <c r="DK14" i="10"/>
  <c r="BR14" i="10" s="1"/>
  <c r="CR41" i="13"/>
  <c r="CU19" i="11"/>
  <c r="CU27" i="10"/>
  <c r="CR44" i="13"/>
  <c r="DK16" i="11"/>
  <c r="BR16" i="11" s="1"/>
  <c r="CU20" i="10"/>
  <c r="DK8" i="10"/>
  <c r="BR8" i="10" s="1"/>
  <c r="CR14" i="14"/>
  <c r="DK8" i="11"/>
  <c r="BR8" i="11" s="1"/>
  <c r="DK35" i="10"/>
  <c r="BR35" i="10" s="1"/>
  <c r="CR35" i="13"/>
  <c r="DK38" i="10"/>
  <c r="BR38" i="10" s="1"/>
  <c r="CU13" i="10"/>
  <c r="CR33" i="13"/>
  <c r="CU41" i="10"/>
  <c r="CR16" i="14"/>
  <c r="DK20" i="10"/>
  <c r="BR20" i="10" s="1"/>
  <c r="CU29" i="10"/>
  <c r="CR9" i="14"/>
  <c r="CR15" i="13"/>
  <c r="DK32" i="10"/>
  <c r="BR32" i="10" s="1"/>
  <c r="CU17" i="10"/>
  <c r="CR20" i="13"/>
  <c r="CU26" i="10"/>
  <c r="CR15" i="14"/>
  <c r="CR13" i="13"/>
  <c r="DK15" i="11"/>
  <c r="BR15" i="11" s="1"/>
  <c r="CR8" i="13"/>
  <c r="CR28" i="13"/>
  <c r="DK21" i="10"/>
  <c r="BR21" i="10" s="1"/>
  <c r="CR47" i="13"/>
  <c r="CU12" i="11"/>
  <c r="CU16" i="10"/>
  <c r="CU10" i="10"/>
  <c r="CR26" i="13"/>
  <c r="CU12" i="10"/>
  <c r="CR19" i="14"/>
  <c r="CU18" i="11"/>
  <c r="CU22" i="10"/>
  <c r="DK33" i="10"/>
  <c r="BR33" i="10" s="1"/>
  <c r="CU11" i="10"/>
  <c r="CU23" i="10"/>
  <c r="DK10" i="10"/>
  <c r="BR10" i="10" s="1"/>
  <c r="CR32" i="13"/>
  <c r="CU8" i="11"/>
  <c r="DK28" i="10"/>
  <c r="BR28" i="10" s="1"/>
  <c r="CR43" i="13"/>
  <c r="CU11" i="11"/>
  <c r="DK27" i="10"/>
  <c r="BR27" i="10" s="1"/>
  <c r="CR24" i="13"/>
  <c r="DK41" i="10"/>
  <c r="BR41" i="10" s="1"/>
  <c r="DK34" i="10"/>
  <c r="BR34" i="10" s="1"/>
  <c r="DK6" i="9"/>
  <c r="BR6" i="9" s="1"/>
  <c r="CR10" i="14"/>
  <c r="CR12" i="13"/>
  <c r="DK29" i="10"/>
  <c r="BR29" i="10" s="1"/>
  <c r="DK17" i="10"/>
  <c r="BR17" i="10" s="1"/>
  <c r="CR25" i="13"/>
  <c r="CU40" i="10"/>
  <c r="DK13" i="10"/>
  <c r="BR13" i="10" s="1"/>
  <c r="CR9" i="13"/>
  <c r="CU36" i="10"/>
  <c r="DK23" i="10"/>
  <c r="BR23" i="10" s="1"/>
  <c r="CR17" i="14"/>
  <c r="CR12" i="14"/>
  <c r="DK12" i="11"/>
  <c r="BR12" i="11" s="1"/>
  <c r="DK16" i="10"/>
  <c r="BR16" i="10" s="1"/>
  <c r="CU8" i="10"/>
  <c r="CR10" i="13"/>
  <c r="DK26" i="10"/>
  <c r="BR26" i="10" s="1"/>
  <c r="CR36" i="13"/>
  <c r="DK18" i="11"/>
  <c r="BR18" i="11" s="1"/>
  <c r="DK22" i="10"/>
  <c r="BR22" i="10" s="1"/>
  <c r="CU9" i="10"/>
  <c r="CR38" i="13"/>
  <c r="DK11" i="11"/>
  <c r="BR11" i="11" s="1"/>
  <c r="CU32" i="10"/>
  <c r="CR13" i="14"/>
  <c r="CR11" i="13"/>
  <c r="DK12" i="10"/>
  <c r="BR12" i="10" s="1"/>
  <c r="CR29" i="13"/>
  <c r="CU42" i="10"/>
  <c r="DK31" i="10"/>
  <c r="BR31" i="10" s="1"/>
  <c r="H19" i="56"/>
  <c r="K19" i="56"/>
  <c r="I19" i="56"/>
  <c r="J19" i="56"/>
  <c r="L19" i="56"/>
  <c r="EJ24" i="13"/>
  <c r="EL24" i="13"/>
  <c r="EK24" i="13"/>
  <c r="L7" i="76"/>
  <c r="K7" i="76"/>
  <c r="J7" i="76"/>
  <c r="I7" i="76"/>
  <c r="H7" i="76"/>
  <c r="EL15" i="14"/>
  <c r="EK15" i="14"/>
  <c r="EJ15" i="14"/>
  <c r="EK42" i="13"/>
  <c r="EL42" i="13"/>
  <c r="EJ42" i="13"/>
  <c r="K27" i="56"/>
  <c r="L27" i="56"/>
  <c r="J27" i="56"/>
  <c r="I27" i="56"/>
  <c r="H27" i="56"/>
  <c r="EL10" i="13"/>
  <c r="EK10" i="13"/>
  <c r="EJ10" i="13"/>
  <c r="I9" i="56"/>
  <c r="K9" i="56"/>
  <c r="J9" i="56"/>
  <c r="L9" i="56"/>
  <c r="H9" i="56"/>
  <c r="EK27" i="13"/>
  <c r="EJ27" i="13"/>
  <c r="EL27" i="13"/>
  <c r="L4" i="74"/>
  <c r="K4" i="74"/>
  <c r="J4" i="74"/>
  <c r="I4" i="74"/>
  <c r="H4" i="74"/>
  <c r="EA11" i="14"/>
  <c r="DY11" i="14"/>
  <c r="DZ11" i="14"/>
  <c r="EB11" i="14"/>
  <c r="H7" i="54"/>
  <c r="J7" i="54"/>
  <c r="I7" i="54"/>
  <c r="L7" i="54"/>
  <c r="K7" i="54"/>
  <c r="DY22" i="13"/>
  <c r="DZ22" i="13"/>
  <c r="EB22" i="13"/>
  <c r="EA22" i="13"/>
  <c r="EB47" i="13"/>
  <c r="EA47" i="13"/>
  <c r="DZ47" i="13"/>
  <c r="DY47" i="13"/>
  <c r="DH43" i="13"/>
  <c r="DG43" i="13"/>
  <c r="DF43" i="13"/>
  <c r="DE43" i="13"/>
  <c r="BD14" i="10"/>
  <c r="H27" i="50"/>
  <c r="J27" i="50"/>
  <c r="K27" i="50"/>
  <c r="I27" i="50"/>
  <c r="L27" i="50"/>
  <c r="DH29" i="13"/>
  <c r="DG29" i="13"/>
  <c r="DF29" i="13"/>
  <c r="DE29" i="13"/>
  <c r="BD19" i="10"/>
  <c r="K32" i="50"/>
  <c r="I32" i="50"/>
  <c r="H32" i="50"/>
  <c r="L32" i="50"/>
  <c r="J32" i="50"/>
  <c r="DH37" i="13"/>
  <c r="DE37" i="13"/>
  <c r="DG37" i="13"/>
  <c r="DF37" i="13"/>
  <c r="DF19" i="14"/>
  <c r="DE19" i="14"/>
  <c r="DG19" i="14"/>
  <c r="DH19" i="14"/>
  <c r="BD38" i="10"/>
  <c r="BD8" i="10"/>
  <c r="L13" i="76"/>
  <c r="K13" i="76"/>
  <c r="J13" i="76"/>
  <c r="I13" i="76"/>
  <c r="H13" i="76"/>
  <c r="EK17" i="14"/>
  <c r="EJ17" i="14"/>
  <c r="EL17" i="14"/>
  <c r="H12" i="56"/>
  <c r="I12" i="56"/>
  <c r="L12" i="56"/>
  <c r="J12" i="56"/>
  <c r="K12" i="56"/>
  <c r="EL13" i="13"/>
  <c r="EK13" i="13"/>
  <c r="EJ13" i="13"/>
  <c r="EK39" i="13"/>
  <c r="EJ39" i="13"/>
  <c r="EL39" i="13"/>
  <c r="L32" i="56"/>
  <c r="K32" i="56"/>
  <c r="J32" i="56"/>
  <c r="I32" i="56"/>
  <c r="H32" i="56"/>
  <c r="EL37" i="13"/>
  <c r="EK37" i="13"/>
  <c r="EJ37" i="13"/>
  <c r="L17" i="56"/>
  <c r="K17" i="56"/>
  <c r="J17" i="56"/>
  <c r="I17" i="56"/>
  <c r="H17" i="56"/>
  <c r="EK21" i="13"/>
  <c r="EJ21" i="13"/>
  <c r="EL21" i="13"/>
  <c r="K34" i="56"/>
  <c r="L34" i="56"/>
  <c r="J34" i="56"/>
  <c r="I34" i="56"/>
  <c r="H34" i="56"/>
  <c r="EL25" i="13"/>
  <c r="EK25" i="13"/>
  <c r="EJ25" i="13"/>
  <c r="I25" i="56"/>
  <c r="H25" i="56"/>
  <c r="L25" i="56"/>
  <c r="K25" i="56"/>
  <c r="J25" i="56"/>
  <c r="EL29" i="13"/>
  <c r="EK29" i="13"/>
  <c r="EJ29" i="13"/>
  <c r="L11" i="74"/>
  <c r="K11" i="74"/>
  <c r="J11" i="74"/>
  <c r="I11" i="74"/>
  <c r="H11" i="74"/>
  <c r="EB9" i="14"/>
  <c r="EA9" i="14"/>
  <c r="DZ9" i="14"/>
  <c r="DY9" i="14"/>
  <c r="DY39" i="13"/>
  <c r="DZ39" i="13"/>
  <c r="EB39" i="13"/>
  <c r="EA39" i="13"/>
  <c r="I8" i="74"/>
  <c r="H8" i="74"/>
  <c r="K8" i="74"/>
  <c r="L8" i="74"/>
  <c r="J8" i="74"/>
  <c r="EB10" i="14"/>
  <c r="EA10" i="14"/>
  <c r="DZ10" i="14"/>
  <c r="DY10" i="14"/>
  <c r="L10" i="72"/>
  <c r="K10" i="72"/>
  <c r="J10" i="72"/>
  <c r="I10" i="72"/>
  <c r="H10" i="72"/>
  <c r="DQ10" i="14"/>
  <c r="DP10" i="14"/>
  <c r="DR10" i="14"/>
  <c r="BD11" i="10"/>
  <c r="BD41" i="10"/>
  <c r="H12" i="50"/>
  <c r="I12" i="50"/>
  <c r="L12" i="50"/>
  <c r="K12" i="50"/>
  <c r="J12" i="50"/>
  <c r="DH13" i="13"/>
  <c r="DG13" i="13"/>
  <c r="DF13" i="13"/>
  <c r="DE13" i="13"/>
  <c r="DF45" i="13"/>
  <c r="DE45" i="13"/>
  <c r="DG45" i="13"/>
  <c r="DH45" i="13"/>
  <c r="L17" i="50"/>
  <c r="K17" i="50"/>
  <c r="J17" i="50"/>
  <c r="I17" i="50"/>
  <c r="H17" i="50"/>
  <c r="DH21" i="13"/>
  <c r="DG21" i="13"/>
  <c r="DF21" i="13"/>
  <c r="DE21" i="13"/>
  <c r="BD22" i="10"/>
  <c r="BD17" i="11"/>
  <c r="H10" i="28"/>
  <c r="HY21" i="9"/>
  <c r="K10" i="27" s="1"/>
  <c r="HW15" i="14"/>
  <c r="HW36" i="13"/>
  <c r="HW14" i="13"/>
  <c r="HZ19" i="11"/>
  <c r="HZ42" i="10"/>
  <c r="HZ19" i="10"/>
  <c r="HZ16" i="10"/>
  <c r="HW16" i="14"/>
  <c r="HW14" i="14"/>
  <c r="HW35" i="13"/>
  <c r="HW10" i="13"/>
  <c r="HZ17" i="11"/>
  <c r="HZ41" i="10"/>
  <c r="HZ17" i="10"/>
  <c r="HZ14" i="10"/>
  <c r="HW9" i="14"/>
  <c r="HW13" i="14"/>
  <c r="HW26" i="13"/>
  <c r="HW6" i="13"/>
  <c r="HZ15" i="11"/>
  <c r="HZ39" i="10"/>
  <c r="HZ15" i="10"/>
  <c r="HZ12" i="10"/>
  <c r="HW6" i="14"/>
  <c r="HW11" i="14"/>
  <c r="HW21" i="13"/>
  <c r="HW18" i="13"/>
  <c r="HZ13" i="11"/>
  <c r="HZ37" i="10"/>
  <c r="HZ13" i="10"/>
  <c r="HZ10" i="10"/>
  <c r="HW47" i="13"/>
  <c r="HW38" i="13"/>
  <c r="HW30" i="13"/>
  <c r="HW19" i="13"/>
  <c r="HZ11" i="11"/>
  <c r="HZ35" i="10"/>
  <c r="HZ11" i="10"/>
  <c r="HZ8" i="10"/>
  <c r="HW19" i="14"/>
  <c r="HW8" i="14"/>
  <c r="HW25" i="13"/>
  <c r="HW9" i="13"/>
  <c r="HW22" i="13"/>
  <c r="HZ33" i="10"/>
  <c r="HZ9" i="10"/>
  <c r="HW12" i="14"/>
  <c r="HW42" i="13"/>
  <c r="HW37" i="13"/>
  <c r="HW13" i="13"/>
  <c r="HW12" i="13"/>
  <c r="HZ12" i="11"/>
  <c r="HZ28" i="10"/>
  <c r="HW46" i="13"/>
  <c r="HW10" i="14"/>
  <c r="HW29" i="13"/>
  <c r="HW17" i="13"/>
  <c r="HW23" i="13"/>
  <c r="HZ9" i="11"/>
  <c r="HZ29" i="10"/>
  <c r="HW18" i="14"/>
  <c r="HW41" i="13"/>
  <c r="HW24" i="13"/>
  <c r="HW16" i="13"/>
  <c r="HZ40" i="10"/>
  <c r="HZ8" i="11"/>
  <c r="HZ27" i="10"/>
  <c r="HW17" i="14"/>
  <c r="HW40" i="13"/>
  <c r="HW33" i="13"/>
  <c r="HZ20" i="11"/>
  <c r="HZ38" i="10"/>
  <c r="HZ10" i="11"/>
  <c r="HZ26" i="10"/>
  <c r="HW44" i="13"/>
  <c r="HW32" i="13"/>
  <c r="HW28" i="13"/>
  <c r="HZ18" i="11"/>
  <c r="HZ36" i="10"/>
  <c r="HZ31" i="10"/>
  <c r="HZ24" i="10"/>
  <c r="HW45" i="13"/>
  <c r="HW27" i="13"/>
  <c r="HW15" i="13"/>
  <c r="HZ16" i="11"/>
  <c r="HZ34" i="10"/>
  <c r="HZ25" i="10"/>
  <c r="HZ22" i="10"/>
  <c r="HW39" i="13"/>
  <c r="HW34" i="13"/>
  <c r="HW11" i="13"/>
  <c r="HZ14" i="11"/>
  <c r="HZ32" i="10"/>
  <c r="HZ23" i="10"/>
  <c r="HZ20" i="10"/>
  <c r="HW43" i="13"/>
  <c r="HW31" i="13"/>
  <c r="HW20" i="13"/>
  <c r="HW8" i="13"/>
  <c r="HZ30" i="10"/>
  <c r="HZ21" i="10"/>
  <c r="HZ18" i="10"/>
  <c r="J4" i="56"/>
  <c r="H4" i="56"/>
  <c r="L4" i="56"/>
  <c r="K4" i="56"/>
  <c r="I4" i="56"/>
  <c r="EL19" i="13"/>
  <c r="EK19" i="13"/>
  <c r="EJ19" i="13"/>
  <c r="J31" i="56"/>
  <c r="I31" i="56"/>
  <c r="H31" i="56"/>
  <c r="L31" i="56"/>
  <c r="K31" i="56"/>
  <c r="EK35" i="13"/>
  <c r="EL35" i="13"/>
  <c r="EJ35" i="13"/>
  <c r="L18" i="56"/>
  <c r="J18" i="56"/>
  <c r="I18" i="56"/>
  <c r="H18" i="56"/>
  <c r="K18" i="56"/>
  <c r="EK8" i="13"/>
  <c r="EJ8" i="13"/>
  <c r="EL8" i="13"/>
  <c r="L3" i="56"/>
  <c r="K3" i="56"/>
  <c r="J3" i="56"/>
  <c r="I3" i="56"/>
  <c r="H3" i="56"/>
  <c r="L5" i="54"/>
  <c r="K5" i="54"/>
  <c r="J5" i="54"/>
  <c r="I5" i="54"/>
  <c r="H5" i="54"/>
  <c r="EB9" i="13"/>
  <c r="DZ9" i="13"/>
  <c r="DY9" i="13"/>
  <c r="EA9" i="13"/>
  <c r="L26" i="54"/>
  <c r="K26" i="54"/>
  <c r="J26" i="54"/>
  <c r="I26" i="54"/>
  <c r="H26" i="54"/>
  <c r="EB17" i="13"/>
  <c r="EA17" i="13"/>
  <c r="DZ17" i="13"/>
  <c r="DY17" i="13"/>
  <c r="L16" i="54"/>
  <c r="K16" i="54"/>
  <c r="J16" i="54"/>
  <c r="I16" i="54"/>
  <c r="H16" i="54"/>
  <c r="EB32" i="13"/>
  <c r="EA32" i="13"/>
  <c r="DZ32" i="13"/>
  <c r="DY32" i="13"/>
  <c r="I34" i="54"/>
  <c r="J34" i="54"/>
  <c r="K34" i="54"/>
  <c r="H34" i="54"/>
  <c r="L34" i="54"/>
  <c r="EA38" i="13"/>
  <c r="DZ38" i="13"/>
  <c r="DY38" i="13"/>
  <c r="EB38" i="13"/>
  <c r="L6" i="54"/>
  <c r="K6" i="54"/>
  <c r="J6" i="54"/>
  <c r="I6" i="54"/>
  <c r="H6" i="54"/>
  <c r="EB16" i="13"/>
  <c r="EA16" i="13"/>
  <c r="DZ16" i="13"/>
  <c r="DY16" i="13"/>
  <c r="J22" i="54"/>
  <c r="I22" i="54"/>
  <c r="L22" i="54"/>
  <c r="K22" i="54"/>
  <c r="H22" i="54"/>
  <c r="EB29" i="13"/>
  <c r="EA29" i="13"/>
  <c r="DZ29" i="13"/>
  <c r="DY29" i="13"/>
  <c r="EB42" i="13"/>
  <c r="EA42" i="13"/>
  <c r="DZ42" i="13"/>
  <c r="DY42" i="13"/>
  <c r="DZ46" i="13"/>
  <c r="EB46" i="13"/>
  <c r="EA46" i="13"/>
  <c r="DY46" i="13"/>
  <c r="L27" i="52"/>
  <c r="H27" i="52"/>
  <c r="K27" i="52"/>
  <c r="J27" i="52"/>
  <c r="I27" i="52"/>
  <c r="DP20" i="13"/>
  <c r="DR20" i="13"/>
  <c r="DQ20" i="13"/>
  <c r="L24" i="52"/>
  <c r="K24" i="52"/>
  <c r="H24" i="52"/>
  <c r="J24" i="52"/>
  <c r="I24" i="52"/>
  <c r="DP17" i="13"/>
  <c r="DR17" i="13"/>
  <c r="DQ17" i="13"/>
  <c r="L7" i="72"/>
  <c r="K7" i="72"/>
  <c r="J7" i="72"/>
  <c r="I7" i="72"/>
  <c r="H7" i="72"/>
  <c r="DR13" i="14"/>
  <c r="DQ13" i="14"/>
  <c r="DP13" i="14"/>
  <c r="J21" i="50"/>
  <c r="I21" i="50"/>
  <c r="L21" i="50"/>
  <c r="K21" i="50"/>
  <c r="H21" i="50"/>
  <c r="DE11" i="13"/>
  <c r="DH11" i="13"/>
  <c r="DG11" i="13"/>
  <c r="DF11" i="13"/>
  <c r="DH44" i="13"/>
  <c r="DE44" i="13"/>
  <c r="DG44" i="13"/>
  <c r="DF44" i="13"/>
  <c r="K10" i="70"/>
  <c r="J10" i="70"/>
  <c r="I10" i="70"/>
  <c r="H10" i="70"/>
  <c r="L10" i="70"/>
  <c r="DH10" i="14"/>
  <c r="DG10" i="14"/>
  <c r="DF10" i="14"/>
  <c r="DE10" i="14"/>
  <c r="BD35" i="10"/>
  <c r="L31" i="50"/>
  <c r="K31" i="50"/>
  <c r="J31" i="50"/>
  <c r="I31" i="50"/>
  <c r="H31" i="50"/>
  <c r="DG38" i="13"/>
  <c r="DF38" i="13"/>
  <c r="DE38" i="13"/>
  <c r="DH38" i="13"/>
  <c r="L25" i="50"/>
  <c r="K25" i="50"/>
  <c r="J25" i="50"/>
  <c r="H25" i="50"/>
  <c r="I25" i="50"/>
  <c r="DE15" i="13"/>
  <c r="DH15" i="13"/>
  <c r="DG15" i="13"/>
  <c r="DF15" i="13"/>
  <c r="L14" i="50"/>
  <c r="K14" i="50"/>
  <c r="J14" i="50"/>
  <c r="I14" i="50"/>
  <c r="H14" i="50"/>
  <c r="DH23" i="13"/>
  <c r="DG23" i="13"/>
  <c r="DF23" i="13"/>
  <c r="DE23" i="13"/>
  <c r="BE6" i="11"/>
  <c r="BE6" i="10"/>
  <c r="BD6" i="9"/>
  <c r="BH1" i="9" s="1"/>
  <c r="ID6" i="9"/>
  <c r="IC6" i="9"/>
  <c r="IB6" i="9"/>
  <c r="IA6" i="9"/>
  <c r="HZ6" i="9"/>
  <c r="BD8" i="11"/>
  <c r="J10" i="28"/>
  <c r="HY38" i="13"/>
  <c r="HY26" i="13"/>
  <c r="HY21" i="13"/>
  <c r="IB15" i="11"/>
  <c r="IB39" i="10"/>
  <c r="IB23" i="10"/>
  <c r="IB18" i="10"/>
  <c r="HY14" i="14"/>
  <c r="HY36" i="13"/>
  <c r="HY32" i="13"/>
  <c r="IB13" i="11"/>
  <c r="IB37" i="10"/>
  <c r="IB21" i="10"/>
  <c r="IB16" i="10"/>
  <c r="HY19" i="14"/>
  <c r="HY47" i="13"/>
  <c r="HY16" i="14"/>
  <c r="HY14" i="13"/>
  <c r="IB11" i="11"/>
  <c r="IB35" i="10"/>
  <c r="IB19" i="10"/>
  <c r="IB14" i="10"/>
  <c r="HY12" i="14"/>
  <c r="HY8" i="14"/>
  <c r="HY30" i="13"/>
  <c r="HY10" i="13"/>
  <c r="IB9" i="11"/>
  <c r="IB33" i="10"/>
  <c r="IB17" i="10"/>
  <c r="IB10" i="10"/>
  <c r="HY15" i="14"/>
  <c r="HY42" i="13"/>
  <c r="HY25" i="13"/>
  <c r="HY18" i="13"/>
  <c r="HY12" i="13"/>
  <c r="IB31" i="10"/>
  <c r="IB15" i="10"/>
  <c r="IB12" i="10"/>
  <c r="HY18" i="14"/>
  <c r="HY10" i="14"/>
  <c r="HY20" i="13"/>
  <c r="HY19" i="13"/>
  <c r="HY6" i="13"/>
  <c r="IB29" i="10"/>
  <c r="IB13" i="10"/>
  <c r="IB8" i="10"/>
  <c r="HY17" i="14"/>
  <c r="HY9" i="14"/>
  <c r="HY40" i="13"/>
  <c r="HY9" i="13"/>
  <c r="IB20" i="11"/>
  <c r="IB8" i="11"/>
  <c r="IB11" i="10"/>
  <c r="HY45" i="13"/>
  <c r="HY37" i="13"/>
  <c r="HY29" i="13"/>
  <c r="HY13" i="13"/>
  <c r="IB18" i="11"/>
  <c r="IB40" i="10"/>
  <c r="IB9" i="10"/>
  <c r="HY39" i="13"/>
  <c r="HY6" i="14"/>
  <c r="HY24" i="13"/>
  <c r="HY17" i="13"/>
  <c r="IB16" i="11"/>
  <c r="IB38" i="10"/>
  <c r="IB28" i="10"/>
  <c r="HY43" i="13"/>
  <c r="HY41" i="13"/>
  <c r="HY33" i="13"/>
  <c r="HY8" i="13"/>
  <c r="IB14" i="11"/>
  <c r="IB36" i="10"/>
  <c r="IB27" i="10"/>
  <c r="HY34" i="13"/>
  <c r="HY44" i="13"/>
  <c r="HY28" i="13"/>
  <c r="HY27" i="13"/>
  <c r="IB12" i="11"/>
  <c r="IB34" i="10"/>
  <c r="IB26" i="10"/>
  <c r="HY46" i="13"/>
  <c r="HY22" i="13"/>
  <c r="HY23" i="13"/>
  <c r="HY16" i="13"/>
  <c r="IB10" i="11"/>
  <c r="IB32" i="10"/>
  <c r="IB24" i="10"/>
  <c r="HY13" i="14"/>
  <c r="HY31" i="13"/>
  <c r="HY15" i="13"/>
  <c r="IB19" i="11"/>
  <c r="IB42" i="10"/>
  <c r="IB30" i="10"/>
  <c r="IB22" i="10"/>
  <c r="HY11" i="14"/>
  <c r="HY35" i="13"/>
  <c r="HY11" i="13"/>
  <c r="IB17" i="11"/>
  <c r="IB41" i="10"/>
  <c r="IB25" i="10"/>
  <c r="IB20" i="10"/>
  <c r="L4" i="76"/>
  <c r="K4" i="76"/>
  <c r="J4" i="76"/>
  <c r="I4" i="76"/>
  <c r="H4" i="76"/>
  <c r="EL11" i="14"/>
  <c r="EK11" i="14"/>
  <c r="EJ11" i="14"/>
  <c r="EL40" i="13"/>
  <c r="EK40" i="13"/>
  <c r="EJ40" i="13"/>
  <c r="DZ19" i="14"/>
  <c r="DY19" i="14"/>
  <c r="EA19" i="14"/>
  <c r="EB19" i="14"/>
  <c r="L23" i="54"/>
  <c r="K23" i="54"/>
  <c r="J23" i="54"/>
  <c r="I23" i="54"/>
  <c r="H23" i="54"/>
  <c r="DZ20" i="13"/>
  <c r="DY20" i="13"/>
  <c r="EB20" i="13"/>
  <c r="EA20" i="13"/>
  <c r="H21" i="54"/>
  <c r="L21" i="54"/>
  <c r="J21" i="54"/>
  <c r="K21" i="54"/>
  <c r="I21" i="54"/>
  <c r="EB18" i="13"/>
  <c r="EA18" i="13"/>
  <c r="DZ18" i="13"/>
  <c r="DY18" i="13"/>
  <c r="J14" i="52"/>
  <c r="K14" i="52"/>
  <c r="I14" i="52"/>
  <c r="H14" i="52"/>
  <c r="L14" i="52"/>
  <c r="DR12" i="13"/>
  <c r="DQ12" i="13"/>
  <c r="DP12" i="13"/>
  <c r="J12" i="52"/>
  <c r="L12" i="52"/>
  <c r="K12" i="52"/>
  <c r="I12" i="52"/>
  <c r="H12" i="52"/>
  <c r="DR16" i="13"/>
  <c r="DQ16" i="13"/>
  <c r="DP16" i="13"/>
  <c r="K6" i="72"/>
  <c r="J6" i="72"/>
  <c r="I6" i="72"/>
  <c r="H6" i="72"/>
  <c r="L6" i="72"/>
  <c r="DR9" i="14"/>
  <c r="DP9" i="14"/>
  <c r="DQ9" i="14"/>
  <c r="L11" i="72"/>
  <c r="K11" i="72"/>
  <c r="I11" i="72"/>
  <c r="J11" i="72"/>
  <c r="H11" i="72"/>
  <c r="DQ17" i="14"/>
  <c r="DP17" i="14"/>
  <c r="DR17" i="14"/>
  <c r="H32" i="52"/>
  <c r="L32" i="52"/>
  <c r="K32" i="52"/>
  <c r="I32" i="52"/>
  <c r="J32" i="52"/>
  <c r="DQ33" i="13"/>
  <c r="DP33" i="13"/>
  <c r="DR33" i="13"/>
  <c r="H18" i="50"/>
  <c r="K18" i="50"/>
  <c r="J18" i="50"/>
  <c r="L18" i="50"/>
  <c r="I18" i="50"/>
  <c r="DH8" i="13"/>
  <c r="DF8" i="13"/>
  <c r="DE8" i="13"/>
  <c r="DG8" i="13"/>
  <c r="K3" i="38"/>
  <c r="J3" i="38"/>
  <c r="I3" i="38"/>
  <c r="H3" i="38"/>
  <c r="H3" i="50"/>
  <c r="K3" i="50"/>
  <c r="J3" i="50"/>
  <c r="I3" i="50"/>
  <c r="L3" i="50"/>
  <c r="I9" i="70"/>
  <c r="H9" i="70"/>
  <c r="K9" i="70"/>
  <c r="J9" i="70"/>
  <c r="L9" i="70"/>
  <c r="DG14" i="14"/>
  <c r="DE14" i="14"/>
  <c r="DH14" i="14"/>
  <c r="DF14" i="14"/>
  <c r="BD16" i="10"/>
  <c r="BD12" i="11"/>
  <c r="BD13" i="11"/>
  <c r="BD14" i="11"/>
  <c r="BD29" i="10"/>
  <c r="H20" i="50"/>
  <c r="L20" i="50"/>
  <c r="K20" i="50"/>
  <c r="I20" i="50"/>
  <c r="J20" i="50"/>
  <c r="DH12" i="13"/>
  <c r="DG12" i="13"/>
  <c r="DF12" i="13"/>
  <c r="DE12" i="13"/>
  <c r="DH47" i="13"/>
  <c r="DG47" i="13"/>
  <c r="DF47" i="13"/>
  <c r="DE47" i="13"/>
  <c r="L10" i="28"/>
  <c r="IA13" i="13"/>
  <c r="ID12" i="10"/>
  <c r="IA16" i="13"/>
  <c r="ID23" i="10"/>
  <c r="IA15" i="14"/>
  <c r="IA12" i="13"/>
  <c r="ID10" i="10"/>
  <c r="ID42" i="10"/>
  <c r="ID32" i="10"/>
  <c r="IA6" i="13"/>
  <c r="IA16" i="14"/>
  <c r="ID15" i="11"/>
  <c r="ID41" i="10"/>
  <c r="ID19" i="11"/>
  <c r="IA26" i="13"/>
  <c r="IA33" i="13"/>
  <c r="ID36" i="10"/>
  <c r="IA31" i="13"/>
  <c r="IA42" i="13"/>
  <c r="IA10" i="13"/>
  <c r="ID17" i="11"/>
  <c r="IA20" i="13"/>
  <c r="IA38" i="13"/>
  <c r="ID40" i="10"/>
  <c r="ID16" i="11"/>
  <c r="IA24" i="13"/>
  <c r="IA30" i="13"/>
  <c r="IA14" i="13"/>
  <c r="IA36" i="13"/>
  <c r="ID9" i="11"/>
  <c r="IA44" i="13"/>
  <c r="IA25" i="13"/>
  <c r="IA45" i="13"/>
  <c r="IA12" i="14"/>
  <c r="IA21" i="13"/>
  <c r="IA47" i="13"/>
  <c r="ID33" i="10"/>
  <c r="IA13" i="14"/>
  <c r="IA23" i="13"/>
  <c r="IA17" i="14"/>
  <c r="ID9" i="10"/>
  <c r="IA14" i="14"/>
  <c r="IA35" i="13"/>
  <c r="ID22" i="10"/>
  <c r="IA34" i="13"/>
  <c r="ID13" i="10"/>
  <c r="ID11" i="10"/>
  <c r="ID24" i="10"/>
  <c r="IA28" i="13"/>
  <c r="IA46" i="13"/>
  <c r="ID18" i="10"/>
  <c r="ID20" i="10"/>
  <c r="ID35" i="10"/>
  <c r="ID12" i="11"/>
  <c r="ID14" i="10"/>
  <c r="ID29" i="10"/>
  <c r="ID31" i="10"/>
  <c r="ID11" i="11"/>
  <c r="IA27" i="13"/>
  <c r="IA9" i="13"/>
  <c r="IA15" i="13"/>
  <c r="IA19" i="13"/>
  <c r="IA10" i="14"/>
  <c r="IA8" i="13"/>
  <c r="IA17" i="13"/>
  <c r="IA39" i="13"/>
  <c r="ID15" i="10"/>
  <c r="ID25" i="10"/>
  <c r="ID20" i="11"/>
  <c r="IA37" i="13"/>
  <c r="IA40" i="13"/>
  <c r="ID26" i="10"/>
  <c r="ID34" i="10"/>
  <c r="IA11" i="14"/>
  <c r="IA11" i="13"/>
  <c r="ID38" i="10"/>
  <c r="ID8" i="10"/>
  <c r="IA41" i="13"/>
  <c r="IA6" i="14"/>
  <c r="ID37" i="10"/>
  <c r="ID17" i="10"/>
  <c r="ID21" i="10"/>
  <c r="ID14" i="11"/>
  <c r="ID18" i="11"/>
  <c r="IA19" i="14"/>
  <c r="IA29" i="13"/>
  <c r="ID16" i="10"/>
  <c r="IA18" i="14"/>
  <c r="IA8" i="14"/>
  <c r="ID13" i="11"/>
  <c r="ID27" i="10"/>
  <c r="ID19" i="10"/>
  <c r="ID28" i="10"/>
  <c r="IA22" i="13"/>
  <c r="IA43" i="13"/>
  <c r="IA9" i="14"/>
  <c r="ID8" i="11"/>
  <c r="IA18" i="13"/>
  <c r="ID39" i="10"/>
  <c r="ID30" i="10"/>
  <c r="ID10" i="11"/>
  <c r="IA32" i="13"/>
  <c r="EK46" i="13"/>
  <c r="EJ46" i="13"/>
  <c r="EL46" i="13"/>
  <c r="L5" i="76"/>
  <c r="K5" i="76"/>
  <c r="J5" i="76"/>
  <c r="I5" i="76"/>
  <c r="H5" i="76"/>
  <c r="EL9" i="14"/>
  <c r="EK9" i="14"/>
  <c r="EJ9" i="14"/>
  <c r="L15" i="56"/>
  <c r="K15" i="56"/>
  <c r="H15" i="56"/>
  <c r="J15" i="56"/>
  <c r="I15" i="56"/>
  <c r="EL26" i="13"/>
  <c r="EK26" i="13"/>
  <c r="EJ26" i="13"/>
  <c r="H5" i="56"/>
  <c r="L5" i="56"/>
  <c r="I5" i="56"/>
  <c r="K5" i="56"/>
  <c r="J5" i="56"/>
  <c r="EL14" i="13"/>
  <c r="EK14" i="13"/>
  <c r="EJ14" i="13"/>
  <c r="BH6" i="11"/>
  <c r="BH6" i="10"/>
  <c r="J15" i="54"/>
  <c r="H15" i="54"/>
  <c r="I15" i="54"/>
  <c r="L15" i="54"/>
  <c r="K15" i="54"/>
  <c r="EB14" i="13"/>
  <c r="EA14" i="13"/>
  <c r="DZ14" i="13"/>
  <c r="DY14" i="13"/>
  <c r="L10" i="74"/>
  <c r="K10" i="74"/>
  <c r="J10" i="74"/>
  <c r="I10" i="74"/>
  <c r="H10" i="74"/>
  <c r="EB13" i="14"/>
  <c r="EA13" i="14"/>
  <c r="DZ13" i="14"/>
  <c r="DY13" i="14"/>
  <c r="L19" i="54"/>
  <c r="K19" i="54"/>
  <c r="H19" i="54"/>
  <c r="J19" i="54"/>
  <c r="I19" i="54"/>
  <c r="DY11" i="13"/>
  <c r="EB11" i="13"/>
  <c r="EA11" i="13"/>
  <c r="DZ11" i="13"/>
  <c r="EB40" i="13"/>
  <c r="DZ40" i="13"/>
  <c r="EA40" i="13"/>
  <c r="DY40" i="13"/>
  <c r="HD21" i="9"/>
  <c r="CV41" i="13"/>
  <c r="CV33" i="13"/>
  <c r="CV17" i="13"/>
  <c r="CV8" i="13"/>
  <c r="CV37" i="13"/>
  <c r="EB41" i="10"/>
  <c r="CC41" i="10" s="1"/>
  <c r="CY9" i="11"/>
  <c r="EB30" i="10"/>
  <c r="CC30" i="10" s="1"/>
  <c r="EB15" i="10"/>
  <c r="CC15" i="10" s="1"/>
  <c r="CY23" i="10"/>
  <c r="CY9" i="10"/>
  <c r="CV18" i="14"/>
  <c r="CV47" i="13"/>
  <c r="CV16" i="13"/>
  <c r="CY20" i="11"/>
  <c r="CV9" i="13"/>
  <c r="CY40" i="10"/>
  <c r="EB8" i="11"/>
  <c r="CC8" i="11" s="1"/>
  <c r="CY29" i="10"/>
  <c r="CY14" i="10"/>
  <c r="EB22" i="10"/>
  <c r="CC22" i="10" s="1"/>
  <c r="CY11" i="10"/>
  <c r="CV11" i="14"/>
  <c r="CV23" i="13"/>
  <c r="CV12" i="13"/>
  <c r="EB19" i="11"/>
  <c r="CC19" i="11" s="1"/>
  <c r="CV20" i="13"/>
  <c r="EB39" i="10"/>
  <c r="CC39" i="10" s="1"/>
  <c r="CY42" i="10"/>
  <c r="EB27" i="10"/>
  <c r="CC27" i="10" s="1"/>
  <c r="EB13" i="10"/>
  <c r="CC13" i="10" s="1"/>
  <c r="CY21" i="10"/>
  <c r="EB6" i="9"/>
  <c r="CC6" i="9" s="1"/>
  <c r="CV40" i="13"/>
  <c r="CV32" i="13"/>
  <c r="CV25" i="13"/>
  <c r="CY18" i="11"/>
  <c r="EB20" i="11"/>
  <c r="CC20" i="11" s="1"/>
  <c r="CY38" i="10"/>
  <c r="CY41" i="10"/>
  <c r="CY26" i="10"/>
  <c r="CY12" i="10"/>
  <c r="EB20" i="10"/>
  <c r="CC20" i="10" s="1"/>
  <c r="CY6" i="9"/>
  <c r="CV15" i="14"/>
  <c r="CV27" i="13"/>
  <c r="CV21" i="13"/>
  <c r="EB17" i="11"/>
  <c r="CC17" i="11" s="1"/>
  <c r="CY19" i="11"/>
  <c r="EB37" i="10"/>
  <c r="CC37" i="10" s="1"/>
  <c r="EB40" i="10"/>
  <c r="CC40" i="10" s="1"/>
  <c r="EB25" i="10"/>
  <c r="CC25" i="10" s="1"/>
  <c r="EB11" i="10"/>
  <c r="CC11" i="10" s="1"/>
  <c r="CY19" i="10"/>
  <c r="CV45" i="13"/>
  <c r="CV12" i="14"/>
  <c r="CV15" i="13"/>
  <c r="CY16" i="11"/>
  <c r="EB18" i="11"/>
  <c r="CC18" i="11" s="1"/>
  <c r="CY36" i="10"/>
  <c r="CY39" i="10"/>
  <c r="CY24" i="10"/>
  <c r="CY10" i="10"/>
  <c r="EB18" i="10"/>
  <c r="CC18" i="10" s="1"/>
  <c r="CV14" i="14"/>
  <c r="CV39" i="13"/>
  <c r="CV22" i="13"/>
  <c r="CV11" i="13"/>
  <c r="EB15" i="11"/>
  <c r="CC15" i="11" s="1"/>
  <c r="CY17" i="11"/>
  <c r="EB35" i="10"/>
  <c r="CC35" i="10" s="1"/>
  <c r="EB38" i="10"/>
  <c r="CC38" i="10" s="1"/>
  <c r="EB23" i="10"/>
  <c r="CC23" i="10" s="1"/>
  <c r="EB9" i="10"/>
  <c r="CC9" i="10" s="1"/>
  <c r="CY17" i="10"/>
  <c r="CV44" i="13"/>
  <c r="CV46" i="13"/>
  <c r="CV9" i="14"/>
  <c r="CV34" i="13"/>
  <c r="CY14" i="11"/>
  <c r="EB16" i="11"/>
  <c r="CC16" i="11" s="1"/>
  <c r="CY34" i="10"/>
  <c r="CY37" i="10"/>
  <c r="CY22" i="10"/>
  <c r="CY8" i="10"/>
  <c r="EB16" i="10"/>
  <c r="CC16" i="10" s="1"/>
  <c r="CV17" i="14"/>
  <c r="CV38" i="13"/>
  <c r="CV36" i="13"/>
  <c r="CV19" i="13"/>
  <c r="EB13" i="11"/>
  <c r="CC13" i="11" s="1"/>
  <c r="CY15" i="11"/>
  <c r="EB33" i="10"/>
  <c r="CC33" i="10" s="1"/>
  <c r="EB36" i="10"/>
  <c r="CC36" i="10" s="1"/>
  <c r="EB21" i="10"/>
  <c r="CC21" i="10" s="1"/>
  <c r="CY28" i="10"/>
  <c r="EB14" i="10"/>
  <c r="CC14" i="10" s="1"/>
  <c r="CV6" i="14"/>
  <c r="CV10" i="14"/>
  <c r="CV31" i="13"/>
  <c r="CV6" i="13"/>
  <c r="CY12" i="11"/>
  <c r="EB14" i="11"/>
  <c r="CC14" i="11" s="1"/>
  <c r="CY32" i="10"/>
  <c r="CY35" i="10"/>
  <c r="CY20" i="10"/>
  <c r="EB28" i="10"/>
  <c r="CC28" i="10" s="1"/>
  <c r="EB12" i="10"/>
  <c r="CC12" i="10" s="1"/>
  <c r="CV43" i="13"/>
  <c r="CV35" i="13"/>
  <c r="CV26" i="13"/>
  <c r="CV14" i="13"/>
  <c r="EB11" i="11"/>
  <c r="CC11" i="11" s="1"/>
  <c r="CY13" i="11"/>
  <c r="EB31" i="10"/>
  <c r="CC31" i="10" s="1"/>
  <c r="EB34" i="10"/>
  <c r="CC34" i="10" s="1"/>
  <c r="EB19" i="10"/>
  <c r="CC19" i="10" s="1"/>
  <c r="CY27" i="10"/>
  <c r="CY13" i="10"/>
  <c r="CV16" i="14"/>
  <c r="CV29" i="13"/>
  <c r="CV8" i="14"/>
  <c r="CV10" i="13"/>
  <c r="CY10" i="11"/>
  <c r="EB12" i="11"/>
  <c r="CC12" i="11" s="1"/>
  <c r="CY30" i="10"/>
  <c r="CY33" i="10"/>
  <c r="CY18" i="10"/>
  <c r="EB26" i="10"/>
  <c r="CC26" i="10" s="1"/>
  <c r="CY15" i="10"/>
  <c r="CV19" i="14"/>
  <c r="CV42" i="13"/>
  <c r="CV30" i="13"/>
  <c r="CV28" i="13"/>
  <c r="EB9" i="11"/>
  <c r="CC9" i="11" s="1"/>
  <c r="CY11" i="11"/>
  <c r="EB29" i="10"/>
  <c r="CC29" i="10" s="1"/>
  <c r="EB32" i="10"/>
  <c r="CC32" i="10" s="1"/>
  <c r="EB17" i="10"/>
  <c r="CC17" i="10" s="1"/>
  <c r="CY25" i="10"/>
  <c r="EB10" i="10"/>
  <c r="CC10" i="10" s="1"/>
  <c r="CV13" i="14"/>
  <c r="CV24" i="13"/>
  <c r="CV13" i="13"/>
  <c r="CV18" i="13"/>
  <c r="CY8" i="11"/>
  <c r="EB10" i="11"/>
  <c r="CC10" i="11" s="1"/>
  <c r="EB42" i="10"/>
  <c r="CC42" i="10" s="1"/>
  <c r="CY31" i="10"/>
  <c r="CY16" i="10"/>
  <c r="EB24" i="10"/>
  <c r="CC24" i="10" s="1"/>
  <c r="EB8" i="10"/>
  <c r="CC8" i="10" s="1"/>
  <c r="L10" i="52"/>
  <c r="K10" i="52"/>
  <c r="J10" i="52"/>
  <c r="I10" i="52"/>
  <c r="H10" i="52"/>
  <c r="DR9" i="13"/>
  <c r="DQ9" i="13"/>
  <c r="DP9" i="13"/>
  <c r="J23" i="52"/>
  <c r="I23" i="52"/>
  <c r="H23" i="52"/>
  <c r="L23" i="52"/>
  <c r="K23" i="52"/>
  <c r="DQ8" i="13"/>
  <c r="DP8" i="13"/>
  <c r="DR8" i="13"/>
  <c r="K3" i="52"/>
  <c r="J3" i="52"/>
  <c r="L3" i="52"/>
  <c r="I3" i="52"/>
  <c r="H3" i="52"/>
  <c r="H11" i="52"/>
  <c r="K11" i="52"/>
  <c r="J11" i="52"/>
  <c r="I11" i="52"/>
  <c r="L11" i="52"/>
  <c r="DR23" i="13"/>
  <c r="DQ23" i="13"/>
  <c r="DP23" i="13"/>
  <c r="L8" i="72"/>
  <c r="K8" i="72"/>
  <c r="J8" i="72"/>
  <c r="I8" i="72"/>
  <c r="H8" i="72"/>
  <c r="DP8" i="14"/>
  <c r="DR8" i="14"/>
  <c r="DQ8" i="14"/>
  <c r="L3" i="72"/>
  <c r="K3" i="72"/>
  <c r="J3" i="72"/>
  <c r="I3" i="72"/>
  <c r="H3" i="72"/>
  <c r="H30" i="52"/>
  <c r="L30" i="52"/>
  <c r="K30" i="52"/>
  <c r="J30" i="52"/>
  <c r="I30" i="52"/>
  <c r="DR28" i="13"/>
  <c r="DQ28" i="13"/>
  <c r="DP28" i="13"/>
  <c r="GU21" i="9"/>
  <c r="CS30" i="13"/>
  <c r="DS9" i="11"/>
  <c r="BW9" i="11" s="1"/>
  <c r="CV14" i="10"/>
  <c r="CS33" i="13"/>
  <c r="CV9" i="11"/>
  <c r="DS25" i="10"/>
  <c r="BW25" i="10" s="1"/>
  <c r="CS23" i="13"/>
  <c r="CV39" i="10"/>
  <c r="DS17" i="10"/>
  <c r="BW17" i="10" s="1"/>
  <c r="CS38" i="13"/>
  <c r="DS13" i="11"/>
  <c r="BW13" i="11" s="1"/>
  <c r="DS15" i="10"/>
  <c r="BW15" i="10" s="1"/>
  <c r="CS27" i="13"/>
  <c r="DS38" i="10"/>
  <c r="BW38" i="10" s="1"/>
  <c r="DS35" i="10"/>
  <c r="BW35" i="10" s="1"/>
  <c r="CS9" i="13"/>
  <c r="DS36" i="10"/>
  <c r="BW36" i="10" s="1"/>
  <c r="CV19" i="10"/>
  <c r="CS17" i="13"/>
  <c r="DS30" i="10"/>
  <c r="BW30" i="10" s="1"/>
  <c r="DS29" i="10"/>
  <c r="BW29" i="10" s="1"/>
  <c r="CS8" i="13"/>
  <c r="DS15" i="11"/>
  <c r="BW15" i="11" s="1"/>
  <c r="CV11" i="10"/>
  <c r="CS45" i="13"/>
  <c r="CS21" i="13"/>
  <c r="DS26" i="10"/>
  <c r="BW26" i="10" s="1"/>
  <c r="CV10" i="10"/>
  <c r="CS18" i="14"/>
  <c r="CV17" i="11"/>
  <c r="DS24" i="10"/>
  <c r="BW24" i="10" s="1"/>
  <c r="CS44" i="13"/>
  <c r="DS20" i="11"/>
  <c r="BW20" i="11" s="1"/>
  <c r="DS18" i="10"/>
  <c r="BW18" i="10" s="1"/>
  <c r="CS9" i="14"/>
  <c r="DS18" i="11"/>
  <c r="BW18" i="11" s="1"/>
  <c r="DS31" i="10"/>
  <c r="BW31" i="10" s="1"/>
  <c r="CS41" i="13"/>
  <c r="DS12" i="11"/>
  <c r="BW12" i="11" s="1"/>
  <c r="CV22" i="10"/>
  <c r="CS40" i="13"/>
  <c r="CV14" i="11"/>
  <c r="CV20" i="10"/>
  <c r="CS19" i="13"/>
  <c r="CV12" i="11"/>
  <c r="CV19" i="11"/>
  <c r="DS33" i="10"/>
  <c r="BW33" i="10" s="1"/>
  <c r="CV9" i="10"/>
  <c r="DS10" i="10"/>
  <c r="BW10" i="10" s="1"/>
  <c r="CV32" i="10"/>
  <c r="CV13" i="10"/>
  <c r="CV13" i="11"/>
  <c r="CV15" i="11"/>
  <c r="CS18" i="13"/>
  <c r="CV30" i="10"/>
  <c r="CV25" i="10"/>
  <c r="DS9" i="10"/>
  <c r="BW9" i="10" s="1"/>
  <c r="CV34" i="10"/>
  <c r="CV16" i="10"/>
  <c r="DS19" i="10"/>
  <c r="BW19" i="10" s="1"/>
  <c r="CS13" i="13"/>
  <c r="CS16" i="14"/>
  <c r="CS24" i="13"/>
  <c r="CV40" i="10"/>
  <c r="DS37" i="10"/>
  <c r="BW37" i="10" s="1"/>
  <c r="CV27" i="10"/>
  <c r="DS41" i="10"/>
  <c r="BW41" i="10" s="1"/>
  <c r="DS20" i="10"/>
  <c r="BW20" i="10" s="1"/>
  <c r="DS11" i="10"/>
  <c r="BW11" i="10" s="1"/>
  <c r="CV24" i="10"/>
  <c r="CS46" i="13"/>
  <c r="CS47" i="13"/>
  <c r="CS10" i="14"/>
  <c r="CV31" i="10"/>
  <c r="DS12" i="10"/>
  <c r="BW12" i="10" s="1"/>
  <c r="DS39" i="10"/>
  <c r="BW39" i="10" s="1"/>
  <c r="DS16" i="10"/>
  <c r="BW16" i="10" s="1"/>
  <c r="DS32" i="10"/>
  <c r="BW32" i="10" s="1"/>
  <c r="DS6" i="9"/>
  <c r="BW6" i="9" s="1"/>
  <c r="DS13" i="10"/>
  <c r="BW13" i="10" s="1"/>
  <c r="DS42" i="10"/>
  <c r="BW42" i="10" s="1"/>
  <c r="CS42" i="13"/>
  <c r="CS8" i="14"/>
  <c r="CV18" i="11"/>
  <c r="CV8" i="11"/>
  <c r="DS14" i="10"/>
  <c r="BW14" i="10" s="1"/>
  <c r="DS28" i="10"/>
  <c r="BW28" i="10" s="1"/>
  <c r="CV41" i="10"/>
  <c r="CV18" i="10"/>
  <c r="DS40" i="10"/>
  <c r="BW40" i="10" s="1"/>
  <c r="CS6" i="13"/>
  <c r="CV33" i="10"/>
  <c r="CV10" i="11"/>
  <c r="CV37" i="10"/>
  <c r="DS14" i="11"/>
  <c r="BW14" i="11" s="1"/>
  <c r="DS22" i="10"/>
  <c r="BW22" i="10" s="1"/>
  <c r="CS14" i="13"/>
  <c r="CS20" i="13"/>
  <c r="CV20" i="11"/>
  <c r="CV35" i="10"/>
  <c r="DS10" i="11"/>
  <c r="BW10" i="11" s="1"/>
  <c r="CS12" i="13"/>
  <c r="DS34" i="10"/>
  <c r="BW34" i="10" s="1"/>
  <c r="CV11" i="11"/>
  <c r="CV8" i="10"/>
  <c r="CS34" i="13"/>
  <c r="CS10" i="13"/>
  <c r="CS26" i="13"/>
  <c r="CS15" i="13"/>
  <c r="CS12" i="14"/>
  <c r="CV42" i="10"/>
  <c r="CS29" i="13"/>
  <c r="CV21" i="10"/>
  <c r="CS6" i="14"/>
  <c r="CS31" i="13"/>
  <c r="CS11" i="13"/>
  <c r="CS36" i="13"/>
  <c r="CS39" i="13"/>
  <c r="DS16" i="11"/>
  <c r="BW16" i="11" s="1"/>
  <c r="CS28" i="13"/>
  <c r="CV15" i="10"/>
  <c r="CV17" i="10"/>
  <c r="DS27" i="10"/>
  <c r="BW27" i="10" s="1"/>
  <c r="CS35" i="13"/>
  <c r="CS22" i="13"/>
  <c r="CS37" i="13"/>
  <c r="CS14" i="14"/>
  <c r="CS16" i="13"/>
  <c r="CS43" i="13"/>
  <c r="DS21" i="10"/>
  <c r="BW21" i="10" s="1"/>
  <c r="DS23" i="10"/>
  <c r="BW23" i="10" s="1"/>
  <c r="CV36" i="10"/>
  <c r="CS19" i="14"/>
  <c r="CS25" i="13"/>
  <c r="CS17" i="14"/>
  <c r="CS32" i="13"/>
  <c r="CV26" i="10"/>
  <c r="CV28" i="10"/>
  <c r="CV38" i="10"/>
  <c r="CS13" i="14"/>
  <c r="CS15" i="14"/>
  <c r="DS19" i="11"/>
  <c r="BW19" i="11" s="1"/>
  <c r="DS17" i="11"/>
  <c r="BW17" i="11" s="1"/>
  <c r="CV29" i="10"/>
  <c r="DS8" i="10"/>
  <c r="BW8" i="10" s="1"/>
  <c r="CS11" i="14"/>
  <c r="DS8" i="11"/>
  <c r="BW8" i="11" s="1"/>
  <c r="DS11" i="11"/>
  <c r="BW11" i="11" s="1"/>
  <c r="CV16" i="11"/>
  <c r="CV23" i="10"/>
  <c r="CV6" i="9"/>
  <c r="CV12" i="10"/>
  <c r="BD9" i="10"/>
  <c r="BD36" i="10"/>
  <c r="BD27" i="10"/>
  <c r="BD10" i="10"/>
  <c r="BD20" i="11"/>
  <c r="BD21" i="10"/>
  <c r="K26" i="50"/>
  <c r="L26" i="50"/>
  <c r="J26" i="50"/>
  <c r="I26" i="50"/>
  <c r="H26" i="50"/>
  <c r="DH10" i="13"/>
  <c r="DG10" i="13"/>
  <c r="DF10" i="13"/>
  <c r="DE10" i="13"/>
  <c r="I33" i="50"/>
  <c r="H33" i="50"/>
  <c r="K33" i="50"/>
  <c r="L33" i="50"/>
  <c r="J33" i="50"/>
  <c r="DH34" i="13"/>
  <c r="DG34" i="13"/>
  <c r="DF34" i="13"/>
  <c r="DE34" i="13"/>
  <c r="L29" i="50"/>
  <c r="K29" i="50"/>
  <c r="J29" i="50"/>
  <c r="I29" i="50"/>
  <c r="H29" i="50"/>
  <c r="DH33" i="13"/>
  <c r="DG33" i="13"/>
  <c r="DF33" i="13"/>
  <c r="DE33" i="13"/>
  <c r="L11" i="70"/>
  <c r="K11" i="70"/>
  <c r="J11" i="70"/>
  <c r="I11" i="70"/>
  <c r="H11" i="70"/>
  <c r="DG13" i="14"/>
  <c r="DE13" i="14"/>
  <c r="DH13" i="14"/>
  <c r="DF13" i="14"/>
  <c r="L11" i="50"/>
  <c r="K11" i="50"/>
  <c r="J11" i="50"/>
  <c r="I11" i="50"/>
  <c r="H11" i="50"/>
  <c r="DF31" i="13"/>
  <c r="DE31" i="13"/>
  <c r="DH31" i="13"/>
  <c r="DG31" i="13"/>
  <c r="K10" i="28"/>
  <c r="HZ42" i="13"/>
  <c r="IC9" i="11"/>
  <c r="IC31" i="10"/>
  <c r="IC17" i="11"/>
  <c r="IC17" i="10"/>
  <c r="HZ23" i="13"/>
  <c r="IC16" i="11"/>
  <c r="HZ37" i="13"/>
  <c r="HZ20" i="13"/>
  <c r="HZ19" i="13"/>
  <c r="IC13" i="11"/>
  <c r="HZ30" i="13"/>
  <c r="IC37" i="10"/>
  <c r="HZ39" i="13"/>
  <c r="HZ27" i="13"/>
  <c r="IC24" i="10"/>
  <c r="HZ9" i="14"/>
  <c r="HZ9" i="13"/>
  <c r="HZ25" i="13"/>
  <c r="IC32" i="10"/>
  <c r="HZ10" i="13"/>
  <c r="HZ34" i="13"/>
  <c r="IC19" i="11"/>
  <c r="HZ16" i="14"/>
  <c r="HZ33" i="13"/>
  <c r="IC42" i="10"/>
  <c r="HZ11" i="14"/>
  <c r="HZ15" i="13"/>
  <c r="HZ8" i="14"/>
  <c r="IC40" i="10"/>
  <c r="HZ44" i="13"/>
  <c r="HZ13" i="14"/>
  <c r="HZ21" i="13"/>
  <c r="IC20" i="10"/>
  <c r="HZ41" i="13"/>
  <c r="IC14" i="11"/>
  <c r="IC9" i="10"/>
  <c r="IC12" i="11"/>
  <c r="IC29" i="10"/>
  <c r="HZ47" i="13"/>
  <c r="HZ35" i="13"/>
  <c r="IC23" i="10"/>
  <c r="HZ14" i="14"/>
  <c r="HZ8" i="13"/>
  <c r="IC11" i="11"/>
  <c r="HZ43" i="13"/>
  <c r="IC18" i="11"/>
  <c r="HZ24" i="13"/>
  <c r="HZ18" i="13"/>
  <c r="IC16" i="10"/>
  <c r="HZ16" i="13"/>
  <c r="HZ6" i="14"/>
  <c r="IC10" i="10"/>
  <c r="HZ36" i="13"/>
  <c r="IC36" i="10"/>
  <c r="IC19" i="10"/>
  <c r="HZ28" i="13"/>
  <c r="HZ45" i="13"/>
  <c r="IC27" i="10"/>
  <c r="IC30" i="10"/>
  <c r="HZ12" i="14"/>
  <c r="IC13" i="10"/>
  <c r="IC39" i="10"/>
  <c r="HZ40" i="13"/>
  <c r="IC8" i="11"/>
  <c r="IC33" i="10"/>
  <c r="HZ11" i="13"/>
  <c r="HZ17" i="14"/>
  <c r="IC8" i="10"/>
  <c r="HZ22" i="13"/>
  <c r="HZ18" i="14"/>
  <c r="IC15" i="11"/>
  <c r="HZ32" i="13"/>
  <c r="IC18" i="10"/>
  <c r="IC26" i="10"/>
  <c r="HZ13" i="13"/>
  <c r="IC38" i="10"/>
  <c r="HZ14" i="13"/>
  <c r="IC12" i="10"/>
  <c r="HZ31" i="13"/>
  <c r="IC21" i="10"/>
  <c r="IC10" i="11"/>
  <c r="HZ29" i="13"/>
  <c r="HZ46" i="13"/>
  <c r="IC28" i="10"/>
  <c r="IC34" i="10"/>
  <c r="HZ26" i="13"/>
  <c r="IC15" i="10"/>
  <c r="HZ19" i="14"/>
  <c r="IC41" i="10"/>
  <c r="IC22" i="10"/>
  <c r="HZ6" i="13"/>
  <c r="HZ10" i="14"/>
  <c r="HZ15" i="14"/>
  <c r="IC20" i="11"/>
  <c r="IC11" i="10"/>
  <c r="HZ38" i="13"/>
  <c r="IC35" i="10"/>
  <c r="IC14" i="10"/>
  <c r="HZ12" i="13"/>
  <c r="IC25" i="10"/>
  <c r="HZ17" i="13"/>
  <c r="L6" i="76"/>
  <c r="K6" i="76"/>
  <c r="J6" i="76"/>
  <c r="I6" i="76"/>
  <c r="H6" i="76"/>
  <c r="EK8" i="14"/>
  <c r="EK6" i="14" s="1"/>
  <c r="EJ8" i="14"/>
  <c r="EJ6" i="14" s="1"/>
  <c r="EJ7" i="14" s="1"/>
  <c r="EL8" i="14"/>
  <c r="EL6" i="14" s="1"/>
  <c r="K3" i="76"/>
  <c r="J3" i="76"/>
  <c r="I3" i="76"/>
  <c r="H3" i="76"/>
  <c r="L3" i="76"/>
  <c r="L22" i="56"/>
  <c r="K22" i="56"/>
  <c r="J22" i="56"/>
  <c r="H22" i="56"/>
  <c r="I22" i="56"/>
  <c r="EJ36" i="13"/>
  <c r="EL36" i="13"/>
  <c r="EK36" i="13"/>
  <c r="L7" i="56"/>
  <c r="K7" i="56"/>
  <c r="J7" i="56"/>
  <c r="I7" i="56"/>
  <c r="H7" i="56"/>
  <c r="EL16" i="13"/>
  <c r="EK16" i="13"/>
  <c r="EJ16" i="13"/>
  <c r="EL43" i="13"/>
  <c r="EK43" i="13"/>
  <c r="EJ43" i="13"/>
  <c r="HP21" i="9"/>
  <c r="CZ45" i="13"/>
  <c r="CZ31" i="13"/>
  <c r="CZ16" i="13"/>
  <c r="CZ17" i="13"/>
  <c r="DC19" i="11"/>
  <c r="DC30" i="10"/>
  <c r="DC9" i="11"/>
  <c r="EM37" i="10"/>
  <c r="CK37" i="10" s="1"/>
  <c r="EM27" i="10"/>
  <c r="CK27" i="10" s="1"/>
  <c r="DC22" i="10"/>
  <c r="DC8" i="10"/>
  <c r="CZ39" i="13"/>
  <c r="CZ36" i="13"/>
  <c r="CZ12" i="13"/>
  <c r="DC20" i="11"/>
  <c r="DC17" i="11"/>
  <c r="DC28" i="10"/>
  <c r="DC41" i="10"/>
  <c r="DC29" i="10"/>
  <c r="EM25" i="10"/>
  <c r="CK25" i="10" s="1"/>
  <c r="DC20" i="10"/>
  <c r="DC6" i="9"/>
  <c r="CZ46" i="13"/>
  <c r="CZ26" i="13"/>
  <c r="CZ15" i="13"/>
  <c r="DC18" i="11"/>
  <c r="DC15" i="11"/>
  <c r="DC10" i="11"/>
  <c r="DC39" i="10"/>
  <c r="EM39" i="10"/>
  <c r="CK39" i="10" s="1"/>
  <c r="EM23" i="10"/>
  <c r="CK23" i="10" s="1"/>
  <c r="DC18" i="10"/>
  <c r="EM6" i="9"/>
  <c r="CK6" i="9" s="1"/>
  <c r="CZ12" i="14"/>
  <c r="CZ17" i="14"/>
  <c r="CZ11" i="13"/>
  <c r="DC16" i="11"/>
  <c r="DC13" i="11"/>
  <c r="EM9" i="11"/>
  <c r="CK9" i="11" s="1"/>
  <c r="EM19" i="11"/>
  <c r="CK19" i="11" s="1"/>
  <c r="EM41" i="10"/>
  <c r="CK41" i="10" s="1"/>
  <c r="EM21" i="10"/>
  <c r="CK21" i="10" s="1"/>
  <c r="DC16" i="10"/>
  <c r="CZ47" i="13"/>
  <c r="CZ9" i="14"/>
  <c r="CZ19" i="13"/>
  <c r="DC14" i="11"/>
  <c r="CZ33" i="13"/>
  <c r="EM40" i="10"/>
  <c r="CK40" i="10" s="1"/>
  <c r="DC11" i="11"/>
  <c r="DC27" i="10"/>
  <c r="EM19" i="10"/>
  <c r="CK19" i="10" s="1"/>
  <c r="DC14" i="10"/>
  <c r="CZ13" i="14"/>
  <c r="CZ38" i="13"/>
  <c r="CZ21" i="13"/>
  <c r="CZ6" i="13"/>
  <c r="DC12" i="11"/>
  <c r="EM11" i="11"/>
  <c r="CK11" i="11" s="1"/>
  <c r="EM38" i="10"/>
  <c r="CK38" i="10" s="1"/>
  <c r="EM26" i="10"/>
  <c r="CK26" i="10" s="1"/>
  <c r="DC25" i="10"/>
  <c r="EM17" i="10"/>
  <c r="CK17" i="10" s="1"/>
  <c r="DC12" i="10"/>
  <c r="CZ16" i="14"/>
  <c r="CZ14" i="14"/>
  <c r="CZ41" i="13"/>
  <c r="CZ14" i="13"/>
  <c r="CZ8" i="13"/>
  <c r="EM42" i="10"/>
  <c r="CK42" i="10" s="1"/>
  <c r="EM36" i="10"/>
  <c r="CK36" i="10" s="1"/>
  <c r="EM24" i="10"/>
  <c r="CK24" i="10" s="1"/>
  <c r="DC23" i="10"/>
  <c r="EM15" i="10"/>
  <c r="CK15" i="10" s="1"/>
  <c r="DC13" i="10"/>
  <c r="CZ19" i="14"/>
  <c r="CZ8" i="14"/>
  <c r="CZ30" i="13"/>
  <c r="CZ10" i="13"/>
  <c r="EM20" i="11"/>
  <c r="CK20" i="11" s="1"/>
  <c r="DC8" i="11"/>
  <c r="EM34" i="10"/>
  <c r="CK34" i="10" s="1"/>
  <c r="EM22" i="10"/>
  <c r="CK22" i="10" s="1"/>
  <c r="DC21" i="10"/>
  <c r="EM13" i="10"/>
  <c r="CK13" i="10" s="1"/>
  <c r="EM9" i="10"/>
  <c r="CK9" i="10" s="1"/>
  <c r="CZ18" i="14"/>
  <c r="CZ42" i="13"/>
  <c r="CZ43" i="13"/>
  <c r="CZ22" i="13"/>
  <c r="EM18" i="11"/>
  <c r="CK18" i="11" s="1"/>
  <c r="EM13" i="11"/>
  <c r="CK13" i="11" s="1"/>
  <c r="EM32" i="10"/>
  <c r="CK32" i="10" s="1"/>
  <c r="EM20" i="10"/>
  <c r="CK20" i="10" s="1"/>
  <c r="DC19" i="10"/>
  <c r="DC33" i="10"/>
  <c r="EM8" i="10"/>
  <c r="CK8" i="10" s="1"/>
  <c r="CZ11" i="14"/>
  <c r="CZ10" i="14"/>
  <c r="CZ25" i="13"/>
  <c r="CZ20" i="13"/>
  <c r="EM16" i="11"/>
  <c r="CK16" i="11" s="1"/>
  <c r="DC40" i="10"/>
  <c r="EM30" i="10"/>
  <c r="CK30" i="10" s="1"/>
  <c r="EM18" i="10"/>
  <c r="CK18" i="10" s="1"/>
  <c r="DC17" i="10"/>
  <c r="DC31" i="10"/>
  <c r="EM10" i="10"/>
  <c r="CK10" i="10" s="1"/>
  <c r="CZ40" i="13"/>
  <c r="CZ23" i="13"/>
  <c r="CZ34" i="13"/>
  <c r="CZ18" i="13"/>
  <c r="EM14" i="11"/>
  <c r="CK14" i="11" s="1"/>
  <c r="DC38" i="10"/>
  <c r="EM28" i="10"/>
  <c r="CK28" i="10" s="1"/>
  <c r="EM16" i="10"/>
  <c r="CK16" i="10" s="1"/>
  <c r="DC15" i="10"/>
  <c r="DC35" i="10"/>
  <c r="EM11" i="10"/>
  <c r="CK11" i="10" s="1"/>
  <c r="CZ35" i="13"/>
  <c r="CZ32" i="13"/>
  <c r="CZ37" i="13"/>
  <c r="CZ9" i="13"/>
  <c r="EM12" i="11"/>
  <c r="CK12" i="11" s="1"/>
  <c r="DC36" i="10"/>
  <c r="EM8" i="11"/>
  <c r="CK8" i="11" s="1"/>
  <c r="EM14" i="10"/>
  <c r="CK14" i="10" s="1"/>
  <c r="EM29" i="10"/>
  <c r="CK29" i="10" s="1"/>
  <c r="EM31" i="10"/>
  <c r="CK31" i="10" s="1"/>
  <c r="DC10" i="10"/>
  <c r="CZ15" i="14"/>
  <c r="CZ27" i="13"/>
  <c r="CZ29" i="13"/>
  <c r="CZ28" i="13"/>
  <c r="EM10" i="11"/>
  <c r="CK10" i="11" s="1"/>
  <c r="DC34" i="10"/>
  <c r="EM15" i="11"/>
  <c r="CK15" i="11" s="1"/>
  <c r="EM12" i="10"/>
  <c r="CK12" i="10" s="1"/>
  <c r="EM35" i="10"/>
  <c r="CK35" i="10" s="1"/>
  <c r="DC26" i="10"/>
  <c r="DC9" i="10"/>
  <c r="CZ44" i="13"/>
  <c r="CZ6" i="14"/>
  <c r="CZ24" i="13"/>
  <c r="CZ13" i="13"/>
  <c r="DC42" i="10"/>
  <c r="DC32" i="10"/>
  <c r="EM17" i="11"/>
  <c r="CK17" i="11" s="1"/>
  <c r="EM33" i="10"/>
  <c r="CK33" i="10" s="1"/>
  <c r="DC37" i="10"/>
  <c r="DC24" i="10"/>
  <c r="DC11" i="10"/>
  <c r="H12" i="54"/>
  <c r="J12" i="54"/>
  <c r="I12" i="54"/>
  <c r="L12" i="54"/>
  <c r="K12" i="54"/>
  <c r="EB28" i="13"/>
  <c r="EA28" i="13"/>
  <c r="DZ28" i="13"/>
  <c r="DY28" i="13"/>
  <c r="L5" i="74"/>
  <c r="K5" i="74"/>
  <c r="J5" i="74"/>
  <c r="I5" i="74"/>
  <c r="H5" i="74"/>
  <c r="EB8" i="14"/>
  <c r="DY8" i="14"/>
  <c r="EA8" i="14"/>
  <c r="DZ8" i="14"/>
  <c r="L3" i="74"/>
  <c r="K3" i="74"/>
  <c r="J3" i="74"/>
  <c r="I3" i="74"/>
  <c r="H3" i="74"/>
  <c r="DZ45" i="13"/>
  <c r="EB45" i="13"/>
  <c r="EA45" i="13"/>
  <c r="DY45" i="13"/>
  <c r="HG21" i="9"/>
  <c r="CW43" i="13"/>
  <c r="CW24" i="13"/>
  <c r="CW30" i="13"/>
  <c r="CW10" i="13"/>
  <c r="CZ10" i="11"/>
  <c r="EC39" i="10"/>
  <c r="CD39" i="10" s="1"/>
  <c r="EC10" i="11"/>
  <c r="CD10" i="11" s="1"/>
  <c r="CZ20" i="10"/>
  <c r="CZ39" i="10"/>
  <c r="EC14" i="10"/>
  <c r="CD14" i="10" s="1"/>
  <c r="CZ10" i="10"/>
  <c r="CW41" i="13"/>
  <c r="CW33" i="13"/>
  <c r="CW25" i="13"/>
  <c r="CW20" i="13"/>
  <c r="EC9" i="11"/>
  <c r="CD9" i="11" s="1"/>
  <c r="CZ38" i="10"/>
  <c r="CZ11" i="11"/>
  <c r="EC19" i="10"/>
  <c r="CD19" i="10" s="1"/>
  <c r="CZ27" i="10"/>
  <c r="CZ13" i="10"/>
  <c r="CZ9" i="10"/>
  <c r="CW36" i="13"/>
  <c r="CW28" i="13"/>
  <c r="CW17" i="13"/>
  <c r="CW18" i="13"/>
  <c r="CW37" i="13"/>
  <c r="EC37" i="10"/>
  <c r="CD37" i="10" s="1"/>
  <c r="CZ15" i="11"/>
  <c r="CZ18" i="10"/>
  <c r="EC26" i="10"/>
  <c r="CD26" i="10" s="1"/>
  <c r="EC12" i="10"/>
  <c r="CD12" i="10" s="1"/>
  <c r="CZ8" i="10"/>
  <c r="CW11" i="14"/>
  <c r="CW6" i="14"/>
  <c r="CW8" i="13"/>
  <c r="CW13" i="13"/>
  <c r="CW9" i="13"/>
  <c r="CZ36" i="10"/>
  <c r="CZ9" i="11"/>
  <c r="EC17" i="10"/>
  <c r="CD17" i="10" s="1"/>
  <c r="CZ25" i="10"/>
  <c r="CZ37" i="10"/>
  <c r="EC11" i="10"/>
  <c r="CD11" i="10" s="1"/>
  <c r="CW40" i="13"/>
  <c r="CW32" i="13"/>
  <c r="CW29" i="13"/>
  <c r="CZ20" i="11"/>
  <c r="CW6" i="13"/>
  <c r="EC35" i="10"/>
  <c r="CD35" i="10" s="1"/>
  <c r="EC8" i="11"/>
  <c r="CD8" i="11" s="1"/>
  <c r="CZ16" i="10"/>
  <c r="EC24" i="10"/>
  <c r="CD24" i="10" s="1"/>
  <c r="EC40" i="10"/>
  <c r="CD40" i="10" s="1"/>
  <c r="CZ11" i="10"/>
  <c r="CW15" i="14"/>
  <c r="CW38" i="13"/>
  <c r="CW16" i="13"/>
  <c r="EC19" i="11"/>
  <c r="CD19" i="11" s="1"/>
  <c r="CZ19" i="11"/>
  <c r="CZ34" i="10"/>
  <c r="CZ42" i="10"/>
  <c r="EC15" i="10"/>
  <c r="CD15" i="10" s="1"/>
  <c r="CZ23" i="10"/>
  <c r="EC38" i="10"/>
  <c r="CD38" i="10" s="1"/>
  <c r="EC6" i="9"/>
  <c r="CD6" i="9" s="1"/>
  <c r="CW44" i="13"/>
  <c r="CW27" i="13"/>
  <c r="CW12" i="13"/>
  <c r="CZ18" i="11"/>
  <c r="EC14" i="11"/>
  <c r="CD14" i="11" s="1"/>
  <c r="EC33" i="10"/>
  <c r="CD33" i="10" s="1"/>
  <c r="CZ17" i="11"/>
  <c r="CZ14" i="10"/>
  <c r="EC22" i="10"/>
  <c r="CD22" i="10" s="1"/>
  <c r="CZ33" i="10"/>
  <c r="CZ6" i="9"/>
  <c r="CW45" i="13"/>
  <c r="CW10" i="14"/>
  <c r="CW23" i="13"/>
  <c r="EC17" i="11"/>
  <c r="CD17" i="11" s="1"/>
  <c r="EC16" i="11"/>
  <c r="CD16" i="11" s="1"/>
  <c r="CZ32" i="10"/>
  <c r="EC27" i="10"/>
  <c r="CD27" i="10" s="1"/>
  <c r="EC13" i="10"/>
  <c r="CD13" i="10" s="1"/>
  <c r="CZ21" i="10"/>
  <c r="EC32" i="10"/>
  <c r="CD32" i="10" s="1"/>
  <c r="CW39" i="13"/>
  <c r="CW22" i="13"/>
  <c r="CW15" i="13"/>
  <c r="CZ16" i="11"/>
  <c r="EC18" i="11"/>
  <c r="CD18" i="11" s="1"/>
  <c r="EC31" i="10"/>
  <c r="CD31" i="10" s="1"/>
  <c r="CZ26" i="10"/>
  <c r="CZ12" i="10"/>
  <c r="EC20" i="10"/>
  <c r="CD20" i="10" s="1"/>
  <c r="CZ31" i="10"/>
  <c r="CW17" i="14"/>
  <c r="CW46" i="13"/>
  <c r="CW9" i="14"/>
  <c r="CW11" i="13"/>
  <c r="EC15" i="11"/>
  <c r="CD15" i="11" s="1"/>
  <c r="EC20" i="11"/>
  <c r="CD20" i="11" s="1"/>
  <c r="CZ30" i="10"/>
  <c r="EC25" i="10"/>
  <c r="CD25" i="10" s="1"/>
  <c r="EC28" i="10"/>
  <c r="CD28" i="10" s="1"/>
  <c r="CZ19" i="10"/>
  <c r="EC36" i="10"/>
  <c r="CD36" i="10" s="1"/>
  <c r="CW13" i="14"/>
  <c r="CW12" i="14"/>
  <c r="CW31" i="13"/>
  <c r="CW35" i="13"/>
  <c r="CZ14" i="11"/>
  <c r="EC12" i="11"/>
  <c r="CD12" i="11" s="1"/>
  <c r="EC29" i="10"/>
  <c r="CD29" i="10" s="1"/>
  <c r="CZ24" i="10"/>
  <c r="EC34" i="10"/>
  <c r="CD34" i="10" s="1"/>
  <c r="EC18" i="10"/>
  <c r="CD18" i="10" s="1"/>
  <c r="CZ35" i="10"/>
  <c r="CW16" i="14"/>
  <c r="CW47" i="13"/>
  <c r="CW26" i="13"/>
  <c r="CW34" i="13"/>
  <c r="EC13" i="11"/>
  <c r="CD13" i="11" s="1"/>
  <c r="CZ8" i="11"/>
  <c r="CZ28" i="10"/>
  <c r="EC23" i="10"/>
  <c r="CD23" i="10" s="1"/>
  <c r="EC30" i="10"/>
  <c r="CD30" i="10" s="1"/>
  <c r="CZ17" i="10"/>
  <c r="EC10" i="10"/>
  <c r="CD10" i="10" s="1"/>
  <c r="CW19" i="14"/>
  <c r="CW14" i="14"/>
  <c r="CW8" i="14"/>
  <c r="CW19" i="13"/>
  <c r="CZ12" i="11"/>
  <c r="EC41" i="10"/>
  <c r="CD41" i="10" s="1"/>
  <c r="EC42" i="10"/>
  <c r="CD42" i="10" s="1"/>
  <c r="CZ22" i="10"/>
  <c r="CZ29" i="10"/>
  <c r="EC16" i="10"/>
  <c r="CD16" i="10" s="1"/>
  <c r="EC8" i="10"/>
  <c r="CD8" i="10" s="1"/>
  <c r="CW18" i="14"/>
  <c r="CW42" i="13"/>
  <c r="CW21" i="13"/>
  <c r="CW14" i="13"/>
  <c r="EC11" i="11"/>
  <c r="CD11" i="11" s="1"/>
  <c r="CZ40" i="10"/>
  <c r="CZ13" i="11"/>
  <c r="EC21" i="10"/>
  <c r="CD21" i="10" s="1"/>
  <c r="CZ41" i="10"/>
  <c r="CZ15" i="10"/>
  <c r="EC9" i="10"/>
  <c r="CD9" i="10" s="1"/>
  <c r="L4" i="72"/>
  <c r="K4" i="72"/>
  <c r="J4" i="72"/>
  <c r="H4" i="72"/>
  <c r="I4" i="72"/>
  <c r="DR15" i="14"/>
  <c r="DP15" i="14"/>
  <c r="DQ15" i="14"/>
  <c r="BF6" i="11"/>
  <c r="BF6" i="10"/>
  <c r="DR40" i="13"/>
  <c r="DQ40" i="13"/>
  <c r="DP40" i="13"/>
  <c r="DQ47" i="13"/>
  <c r="DP47" i="13"/>
  <c r="DR47" i="13"/>
  <c r="GX21" i="9"/>
  <c r="CT41" i="13"/>
  <c r="CT28" i="13"/>
  <c r="CT9" i="13"/>
  <c r="CW15" i="11"/>
  <c r="DT19" i="11"/>
  <c r="BX19" i="11" s="1"/>
  <c r="CW29" i="10"/>
  <c r="CW34" i="10"/>
  <c r="CW20" i="10"/>
  <c r="DT15" i="10"/>
  <c r="BX15" i="10" s="1"/>
  <c r="DT20" i="10"/>
  <c r="BX20" i="10" s="1"/>
  <c r="CT40" i="13"/>
  <c r="CT45" i="13"/>
  <c r="CT13" i="13"/>
  <c r="CW13" i="11"/>
  <c r="DT17" i="11"/>
  <c r="BX17" i="11" s="1"/>
  <c r="DT8" i="11"/>
  <c r="BX8" i="11" s="1"/>
  <c r="DT41" i="10"/>
  <c r="BX41" i="10" s="1"/>
  <c r="CW18" i="10"/>
  <c r="DT13" i="10"/>
  <c r="BX13" i="10" s="1"/>
  <c r="DT18" i="10"/>
  <c r="BX18" i="10" s="1"/>
  <c r="CT18" i="14"/>
  <c r="CT15" i="14"/>
  <c r="CT23" i="13"/>
  <c r="CT17" i="13"/>
  <c r="DT20" i="11"/>
  <c r="BX20" i="11" s="1"/>
  <c r="DT15" i="11"/>
  <c r="BX15" i="11" s="1"/>
  <c r="DT40" i="10"/>
  <c r="BX40" i="10" s="1"/>
  <c r="DT39" i="10"/>
  <c r="BX39" i="10" s="1"/>
  <c r="CW16" i="10"/>
  <c r="CW32" i="10"/>
  <c r="DT16" i="10"/>
  <c r="BX16" i="10" s="1"/>
  <c r="CT11" i="14"/>
  <c r="CT44" i="13"/>
  <c r="CT17" i="14"/>
  <c r="CT16" i="13"/>
  <c r="DT18" i="11"/>
  <c r="BX18" i="11" s="1"/>
  <c r="DT13" i="11"/>
  <c r="BX13" i="11" s="1"/>
  <c r="DT38" i="10"/>
  <c r="BX38" i="10" s="1"/>
  <c r="DT37" i="10"/>
  <c r="BX37" i="10" s="1"/>
  <c r="CW14" i="10"/>
  <c r="CW27" i="10"/>
  <c r="DT11" i="10"/>
  <c r="BX11" i="10" s="1"/>
  <c r="CT14" i="14"/>
  <c r="CT46" i="13"/>
  <c r="CT38" i="13"/>
  <c r="CT12" i="13"/>
  <c r="DT16" i="11"/>
  <c r="BX16" i="11" s="1"/>
  <c r="DT11" i="11"/>
  <c r="BX11" i="11" s="1"/>
  <c r="DT36" i="10"/>
  <c r="BX36" i="10" s="1"/>
  <c r="DT35" i="10"/>
  <c r="BX35" i="10" s="1"/>
  <c r="CW12" i="10"/>
  <c r="CW25" i="10"/>
  <c r="DT14" i="10"/>
  <c r="BX14" i="10" s="1"/>
  <c r="CT16" i="14"/>
  <c r="CT6" i="14"/>
  <c r="CT32" i="13"/>
  <c r="CT21" i="13"/>
  <c r="DT14" i="11"/>
  <c r="BX14" i="11" s="1"/>
  <c r="CT14" i="13"/>
  <c r="DT34" i="10"/>
  <c r="BX34" i="10" s="1"/>
  <c r="DT42" i="10"/>
  <c r="BX42" i="10" s="1"/>
  <c r="CW10" i="10"/>
  <c r="CW23" i="10"/>
  <c r="CW13" i="10"/>
  <c r="CT19" i="14"/>
  <c r="CT25" i="13"/>
  <c r="CT12" i="14"/>
  <c r="CT15" i="13"/>
  <c r="DT12" i="11"/>
  <c r="BX12" i="11" s="1"/>
  <c r="CW9" i="11"/>
  <c r="DT32" i="10"/>
  <c r="BX32" i="10" s="1"/>
  <c r="CW11" i="11"/>
  <c r="CW8" i="10"/>
  <c r="CW21" i="10"/>
  <c r="DT12" i="10"/>
  <c r="BX12" i="10" s="1"/>
  <c r="CT10" i="14"/>
  <c r="CT39" i="13"/>
  <c r="CT27" i="13"/>
  <c r="CT11" i="13"/>
  <c r="DT10" i="11"/>
  <c r="BX10" i="11" s="1"/>
  <c r="CW42" i="10"/>
  <c r="DT30" i="10"/>
  <c r="BX30" i="10" s="1"/>
  <c r="DT9" i="11"/>
  <c r="BX9" i="11" s="1"/>
  <c r="DT33" i="10"/>
  <c r="BX33" i="10" s="1"/>
  <c r="CW19" i="10"/>
  <c r="CW11" i="10"/>
  <c r="CT9" i="14"/>
  <c r="CT35" i="13"/>
  <c r="CT36" i="13"/>
  <c r="CT30" i="13"/>
  <c r="CT8" i="13"/>
  <c r="CW41" i="10"/>
  <c r="DT28" i="10"/>
  <c r="BX28" i="10" s="1"/>
  <c r="CW30" i="10"/>
  <c r="DT27" i="10"/>
  <c r="BX27" i="10" s="1"/>
  <c r="CW17" i="10"/>
  <c r="DT9" i="10"/>
  <c r="BX9" i="10" s="1"/>
  <c r="CT8" i="14"/>
  <c r="CT34" i="13"/>
  <c r="CT22" i="13"/>
  <c r="CT19" i="13"/>
  <c r="CW20" i="11"/>
  <c r="CW39" i="10"/>
  <c r="CW10" i="11"/>
  <c r="DT31" i="10"/>
  <c r="BX31" i="10" s="1"/>
  <c r="DT25" i="10"/>
  <c r="BX25" i="10" s="1"/>
  <c r="CW15" i="10"/>
  <c r="DT10" i="10"/>
  <c r="BX10" i="10" s="1"/>
  <c r="CT42" i="13"/>
  <c r="CT20" i="13"/>
  <c r="CT31" i="13"/>
  <c r="CT10" i="13"/>
  <c r="CW18" i="11"/>
  <c r="CW37" i="10"/>
  <c r="CW8" i="11"/>
  <c r="CW28" i="10"/>
  <c r="DT23" i="10"/>
  <c r="BX23" i="10" s="1"/>
  <c r="DT29" i="10"/>
  <c r="BX29" i="10" s="1"/>
  <c r="CW9" i="10"/>
  <c r="CT37" i="13"/>
  <c r="CT29" i="13"/>
  <c r="CT26" i="13"/>
  <c r="CT6" i="13"/>
  <c r="CW16" i="11"/>
  <c r="CW35" i="10"/>
  <c r="CW40" i="10"/>
  <c r="CW26" i="10"/>
  <c r="DT21" i="10"/>
  <c r="BX21" i="10" s="1"/>
  <c r="DT26" i="10"/>
  <c r="BX26" i="10" s="1"/>
  <c r="DT8" i="10"/>
  <c r="BX8" i="10" s="1"/>
  <c r="CT43" i="13"/>
  <c r="CT33" i="13"/>
  <c r="CT24" i="13"/>
  <c r="CW19" i="11"/>
  <c r="CW14" i="11"/>
  <c r="CW33" i="10"/>
  <c r="CW38" i="10"/>
  <c r="CW24" i="10"/>
  <c r="DT19" i="10"/>
  <c r="BX19" i="10" s="1"/>
  <c r="DT24" i="10"/>
  <c r="BX24" i="10" s="1"/>
  <c r="CW6" i="9"/>
  <c r="CT13" i="14"/>
  <c r="CT47" i="13"/>
  <c r="CT18" i="13"/>
  <c r="CW17" i="11"/>
  <c r="CW12" i="11"/>
  <c r="CW31" i="10"/>
  <c r="CW36" i="10"/>
  <c r="CW22" i="10"/>
  <c r="DT17" i="10"/>
  <c r="BX17" i="10" s="1"/>
  <c r="DT22" i="10"/>
  <c r="BX22" i="10" s="1"/>
  <c r="DT6" i="9"/>
  <c r="BX6" i="9" s="1"/>
  <c r="BD18" i="11"/>
  <c r="BD42" i="10"/>
  <c r="BD24" i="10"/>
  <c r="BD19" i="11"/>
  <c r="DE39" i="13"/>
  <c r="DF39" i="13"/>
  <c r="DH39" i="13"/>
  <c r="DG39" i="13"/>
  <c r="BD15" i="10"/>
  <c r="BD40" i="10"/>
  <c r="I10" i="28"/>
  <c r="HX43" i="13"/>
  <c r="HX31" i="13"/>
  <c r="HX32" i="13"/>
  <c r="IA20" i="11"/>
  <c r="IA34" i="10"/>
  <c r="IA23" i="10"/>
  <c r="IA20" i="10"/>
  <c r="HX46" i="13"/>
  <c r="HX35" i="13"/>
  <c r="HX26" i="13"/>
  <c r="IA18" i="11"/>
  <c r="IA42" i="10"/>
  <c r="IA21" i="10"/>
  <c r="IA18" i="10"/>
  <c r="HX13" i="14"/>
  <c r="HX21" i="13"/>
  <c r="HX14" i="13"/>
  <c r="IA16" i="11"/>
  <c r="IA41" i="10"/>
  <c r="IA19" i="10"/>
  <c r="IA16" i="10"/>
  <c r="HX11" i="14"/>
  <c r="HX30" i="13"/>
  <c r="HX6" i="13"/>
  <c r="IA14" i="11"/>
  <c r="IA39" i="10"/>
  <c r="IA17" i="10"/>
  <c r="IA14" i="10"/>
  <c r="HX19" i="14"/>
  <c r="HX47" i="13"/>
  <c r="HX25" i="13"/>
  <c r="HX18" i="13"/>
  <c r="IA19" i="11"/>
  <c r="IA37" i="10"/>
  <c r="IA15" i="10"/>
  <c r="IA12" i="10"/>
  <c r="HX12" i="14"/>
  <c r="HX42" i="13"/>
  <c r="HX40" i="13"/>
  <c r="HX41" i="13"/>
  <c r="IA17" i="11"/>
  <c r="IA35" i="10"/>
  <c r="IA13" i="10"/>
  <c r="IA10" i="10"/>
  <c r="HX15" i="14"/>
  <c r="HX10" i="14"/>
  <c r="HX37" i="13"/>
  <c r="HX19" i="13"/>
  <c r="IA15" i="11"/>
  <c r="IA33" i="10"/>
  <c r="IA11" i="10"/>
  <c r="IA8" i="10"/>
  <c r="HX8" i="14"/>
  <c r="HX9" i="14"/>
  <c r="HX29" i="13"/>
  <c r="HX9" i="13"/>
  <c r="IA13" i="11"/>
  <c r="IA31" i="10"/>
  <c r="IA9" i="10"/>
  <c r="IA32" i="10"/>
  <c r="HX18" i="14"/>
  <c r="HX36" i="13"/>
  <c r="HX24" i="13"/>
  <c r="HX13" i="13"/>
  <c r="IA11" i="11"/>
  <c r="IA29" i="10"/>
  <c r="IA30" i="10"/>
  <c r="HX14" i="14"/>
  <c r="HX16" i="14"/>
  <c r="HX33" i="13"/>
  <c r="HX17" i="13"/>
  <c r="HX12" i="13"/>
  <c r="IA12" i="11"/>
  <c r="IA28" i="10"/>
  <c r="HX17" i="14"/>
  <c r="HX27" i="13"/>
  <c r="HX28" i="13"/>
  <c r="HX8" i="13"/>
  <c r="HX10" i="13"/>
  <c r="IA9" i="11"/>
  <c r="IA27" i="10"/>
  <c r="HX44" i="13"/>
  <c r="HX22" i="13"/>
  <c r="HX15" i="13"/>
  <c r="HX6" i="14"/>
  <c r="IA40" i="10"/>
  <c r="IA8" i="11"/>
  <c r="IA26" i="10"/>
  <c r="HX45" i="13"/>
  <c r="HX38" i="13"/>
  <c r="HX11" i="13"/>
  <c r="HX23" i="13"/>
  <c r="IA38" i="10"/>
  <c r="IA10" i="11"/>
  <c r="IA24" i="10"/>
  <c r="HX39" i="13"/>
  <c r="HX34" i="13"/>
  <c r="HX20" i="13"/>
  <c r="HX16" i="13"/>
  <c r="IA36" i="10"/>
  <c r="IA25" i="10"/>
  <c r="IA22" i="10"/>
  <c r="I26" i="56"/>
  <c r="J26" i="56"/>
  <c r="H26" i="56"/>
  <c r="L26" i="56"/>
  <c r="K26" i="56"/>
  <c r="EL20" i="13"/>
  <c r="EK20" i="13"/>
  <c r="EJ20" i="13"/>
  <c r="I33" i="56"/>
  <c r="L33" i="56"/>
  <c r="J33" i="56"/>
  <c r="K33" i="56"/>
  <c r="H33" i="56"/>
  <c r="EL34" i="13"/>
  <c r="EK34" i="13"/>
  <c r="EJ34" i="13"/>
  <c r="J6" i="56"/>
  <c r="I6" i="56"/>
  <c r="H6" i="56"/>
  <c r="L6" i="56"/>
  <c r="K6" i="56"/>
  <c r="EL9" i="13"/>
  <c r="EJ9" i="13"/>
  <c r="EK9" i="13"/>
  <c r="H23" i="56"/>
  <c r="L23" i="56"/>
  <c r="K23" i="56"/>
  <c r="J23" i="56"/>
  <c r="I23" i="56"/>
  <c r="EL15" i="13"/>
  <c r="EK15" i="13"/>
  <c r="EJ15" i="13"/>
  <c r="HS21" i="9"/>
  <c r="DA21" i="13"/>
  <c r="EN18" i="10"/>
  <c r="CL18" i="10" s="1"/>
  <c r="DD23" i="10"/>
  <c r="DD30" i="10"/>
  <c r="DA31" i="13"/>
  <c r="DA33" i="13"/>
  <c r="EN10" i="11"/>
  <c r="CL10" i="11" s="1"/>
  <c r="EN12" i="11"/>
  <c r="CL12" i="11" s="1"/>
  <c r="DA9" i="13"/>
  <c r="DD24" i="10"/>
  <c r="EN11" i="11"/>
  <c r="CL11" i="11" s="1"/>
  <c r="EN20" i="11"/>
  <c r="CL20" i="11" s="1"/>
  <c r="DA14" i="14"/>
  <c r="EN15" i="10"/>
  <c r="CL15" i="10" s="1"/>
  <c r="DD33" i="10"/>
  <c r="DD6" i="9"/>
  <c r="DD15" i="11"/>
  <c r="DA32" i="13"/>
  <c r="DA40" i="13"/>
  <c r="DA13" i="13"/>
  <c r="DA28" i="13"/>
  <c r="DA29" i="13"/>
  <c r="DD11" i="10"/>
  <c r="EN18" i="11"/>
  <c r="CL18" i="11" s="1"/>
  <c r="DA22" i="13"/>
  <c r="DD21" i="10"/>
  <c r="EN9" i="11"/>
  <c r="CL9" i="11" s="1"/>
  <c r="EN22" i="10"/>
  <c r="CL22" i="10" s="1"/>
  <c r="DD20" i="11"/>
  <c r="DA13" i="14"/>
  <c r="DA17" i="14"/>
  <c r="DA35" i="13"/>
  <c r="DA24" i="13"/>
  <c r="DA43" i="13"/>
  <c r="EN37" i="10"/>
  <c r="CL37" i="10" s="1"/>
  <c r="DA20" i="13"/>
  <c r="DA25" i="13"/>
  <c r="DA9" i="14"/>
  <c r="DA47" i="13"/>
  <c r="DD11" i="11"/>
  <c r="DA6" i="13"/>
  <c r="EN19" i="10"/>
  <c r="CL19" i="10" s="1"/>
  <c r="DA15" i="13"/>
  <c r="DA11" i="14"/>
  <c r="DA41" i="13"/>
  <c r="DA46" i="13"/>
  <c r="EN30" i="10"/>
  <c r="CL30" i="10" s="1"/>
  <c r="DA34" i="13"/>
  <c r="DA42" i="13"/>
  <c r="DA16" i="14"/>
  <c r="DA8" i="14"/>
  <c r="EN40" i="10"/>
  <c r="CL40" i="10" s="1"/>
  <c r="DD16" i="11"/>
  <c r="DD25" i="10"/>
  <c r="DA27" i="13"/>
  <c r="DA18" i="14"/>
  <c r="DA15" i="14"/>
  <c r="DD8" i="11"/>
  <c r="DA30" i="13"/>
  <c r="EN19" i="11"/>
  <c r="CL19" i="11" s="1"/>
  <c r="DA19" i="13"/>
  <c r="DD35" i="10"/>
  <c r="DA44" i="13"/>
  <c r="EN16" i="11"/>
  <c r="CL16" i="11" s="1"/>
  <c r="DA19" i="14"/>
  <c r="DA10" i="13"/>
  <c r="EN16" i="10"/>
  <c r="CL16" i="10" s="1"/>
  <c r="DD14" i="11"/>
  <c r="DA36" i="13"/>
  <c r="DD10" i="11"/>
  <c r="EN12" i="10"/>
  <c r="CL12" i="10" s="1"/>
  <c r="DD12" i="10"/>
  <c r="DA18" i="13"/>
  <c r="DA8" i="13"/>
  <c r="EN13" i="10"/>
  <c r="CL13" i="10" s="1"/>
  <c r="DA23" i="13"/>
  <c r="DA39" i="13"/>
  <c r="DD13" i="11"/>
  <c r="EN26" i="10"/>
  <c r="CL26" i="10" s="1"/>
  <c r="DD16" i="10"/>
  <c r="DD14" i="10"/>
  <c r="DA37" i="13"/>
  <c r="EN15" i="11"/>
  <c r="CL15" i="11" s="1"/>
  <c r="DD19" i="10"/>
  <c r="DA26" i="13"/>
  <c r="DD18" i="11"/>
  <c r="EN23" i="10"/>
  <c r="CL23" i="10" s="1"/>
  <c r="EN25" i="10"/>
  <c r="CL25" i="10" s="1"/>
  <c r="DD8" i="10"/>
  <c r="DD10" i="10"/>
  <c r="DD22" i="10"/>
  <c r="DA6" i="14"/>
  <c r="EN9" i="10"/>
  <c r="CL9" i="10" s="1"/>
  <c r="EN36" i="10"/>
  <c r="CL36" i="10" s="1"/>
  <c r="DD42" i="10"/>
  <c r="DA38" i="13"/>
  <c r="DA11" i="13"/>
  <c r="EN8" i="10"/>
  <c r="CL8" i="10" s="1"/>
  <c r="DD29" i="10"/>
  <c r="DD28" i="10"/>
  <c r="DD18" i="10"/>
  <c r="DD20" i="10"/>
  <c r="DD9" i="10"/>
  <c r="DA12" i="14"/>
  <c r="EN10" i="10"/>
  <c r="CL10" i="10" s="1"/>
  <c r="EN31" i="10"/>
  <c r="CL31" i="10" s="1"/>
  <c r="DD12" i="11"/>
  <c r="EN38" i="10"/>
  <c r="CL38" i="10" s="1"/>
  <c r="DA10" i="14"/>
  <c r="EN24" i="10"/>
  <c r="CL24" i="10" s="1"/>
  <c r="DD39" i="10"/>
  <c r="DD41" i="10"/>
  <c r="EN27" i="10"/>
  <c r="CL27" i="10" s="1"/>
  <c r="EN29" i="10"/>
  <c r="CL29" i="10" s="1"/>
  <c r="EN35" i="10"/>
  <c r="CL35" i="10" s="1"/>
  <c r="DD26" i="10"/>
  <c r="DD15" i="10"/>
  <c r="DD17" i="10"/>
  <c r="EN17" i="11"/>
  <c r="CL17" i="11" s="1"/>
  <c r="EN6" i="9"/>
  <c r="CL6" i="9" s="1"/>
  <c r="DA45" i="13"/>
  <c r="EN21" i="10"/>
  <c r="CL21" i="10" s="1"/>
  <c r="DD32" i="10"/>
  <c r="DD34" i="10"/>
  <c r="EN33" i="10"/>
  <c r="CL33" i="10" s="1"/>
  <c r="EN42" i="10"/>
  <c r="CL42" i="10" s="1"/>
  <c r="EN28" i="10"/>
  <c r="CL28" i="10" s="1"/>
  <c r="DD13" i="10"/>
  <c r="EN41" i="10"/>
  <c r="CL41" i="10" s="1"/>
  <c r="DD31" i="10"/>
  <c r="DA12" i="13"/>
  <c r="EN20" i="10"/>
  <c r="CL20" i="10" s="1"/>
  <c r="DD27" i="10"/>
  <c r="DD17" i="11"/>
  <c r="DD19" i="11"/>
  <c r="DD9" i="11"/>
  <c r="EN8" i="11"/>
  <c r="CL8" i="11" s="1"/>
  <c r="DD40" i="10"/>
  <c r="EN39" i="10"/>
  <c r="CL39" i="10" s="1"/>
  <c r="EN34" i="10"/>
  <c r="CL34" i="10" s="1"/>
  <c r="EN14" i="10"/>
  <c r="CL14" i="10" s="1"/>
  <c r="DA14" i="13"/>
  <c r="EN17" i="10"/>
  <c r="CL17" i="10" s="1"/>
  <c r="DD37" i="10"/>
  <c r="DA16" i="13"/>
  <c r="DA17" i="13"/>
  <c r="DD36" i="10"/>
  <c r="DD38" i="10"/>
  <c r="EN14" i="11"/>
  <c r="CL14" i="11" s="1"/>
  <c r="EN11" i="10"/>
  <c r="CL11" i="10" s="1"/>
  <c r="EN32" i="10"/>
  <c r="CL32" i="10" s="1"/>
  <c r="EN13" i="11"/>
  <c r="CL13" i="11" s="1"/>
  <c r="L27" i="54"/>
  <c r="K27" i="54"/>
  <c r="J27" i="54"/>
  <c r="I27" i="54"/>
  <c r="H27" i="54"/>
  <c r="EB33" i="13"/>
  <c r="EA33" i="13"/>
  <c r="DZ33" i="13"/>
  <c r="DY33" i="13"/>
  <c r="K13" i="54"/>
  <c r="L13" i="54"/>
  <c r="J13" i="54"/>
  <c r="H13" i="54"/>
  <c r="I13" i="54"/>
  <c r="EB12" i="13"/>
  <c r="EA12" i="13"/>
  <c r="DZ12" i="13"/>
  <c r="DY12" i="13"/>
  <c r="J11" i="54"/>
  <c r="I11" i="54"/>
  <c r="H11" i="54"/>
  <c r="L11" i="54"/>
  <c r="K11" i="54"/>
  <c r="EB23" i="13"/>
  <c r="EA23" i="13"/>
  <c r="DZ23" i="13"/>
  <c r="DY23" i="13"/>
  <c r="K25" i="54"/>
  <c r="I25" i="54"/>
  <c r="L25" i="54"/>
  <c r="J25" i="54"/>
  <c r="H25" i="54"/>
  <c r="EB13" i="13"/>
  <c r="EA13" i="13"/>
  <c r="DZ13" i="13"/>
  <c r="DY13" i="13"/>
  <c r="L10" i="54"/>
  <c r="K10" i="54"/>
  <c r="J10" i="54"/>
  <c r="I10" i="54"/>
  <c r="H10" i="54"/>
  <c r="EB30" i="13"/>
  <c r="EA30" i="13"/>
  <c r="DY30" i="13"/>
  <c r="DZ30" i="13"/>
  <c r="HJ21" i="9"/>
  <c r="ED10" i="11"/>
  <c r="CE10" i="11" s="1"/>
  <c r="ED16" i="10"/>
  <c r="CE16" i="10" s="1"/>
  <c r="CX15" i="14"/>
  <c r="ED19" i="11"/>
  <c r="CE19" i="11" s="1"/>
  <c r="ED8" i="11"/>
  <c r="CE8" i="11" s="1"/>
  <c r="CX39" i="13"/>
  <c r="ED16" i="11"/>
  <c r="CE16" i="11" s="1"/>
  <c r="ED22" i="10"/>
  <c r="CE22" i="10" s="1"/>
  <c r="CX13" i="14"/>
  <c r="CX14" i="13"/>
  <c r="DA35" i="10"/>
  <c r="ED29" i="10"/>
  <c r="CE29" i="10" s="1"/>
  <c r="ED21" i="10"/>
  <c r="CE21" i="10" s="1"/>
  <c r="CX33" i="13"/>
  <c r="ED20" i="11"/>
  <c r="CE20" i="11" s="1"/>
  <c r="ED26" i="10"/>
  <c r="CE26" i="10" s="1"/>
  <c r="CX38" i="13"/>
  <c r="ED35" i="10"/>
  <c r="CE35" i="10" s="1"/>
  <c r="ED27" i="10"/>
  <c r="CE27" i="10" s="1"/>
  <c r="CX9" i="14"/>
  <c r="ED11" i="11"/>
  <c r="CE11" i="11" s="1"/>
  <c r="ED18" i="10"/>
  <c r="CE18" i="10" s="1"/>
  <c r="ED34" i="10"/>
  <c r="CE34" i="10" s="1"/>
  <c r="DA8" i="10"/>
  <c r="CX37" i="13"/>
  <c r="ED39" i="10"/>
  <c r="CE39" i="10" s="1"/>
  <c r="ED12" i="10"/>
  <c r="CE12" i="10" s="1"/>
  <c r="CX16" i="13"/>
  <c r="ED40" i="10"/>
  <c r="CE40" i="10" s="1"/>
  <c r="ED10" i="10"/>
  <c r="CE10" i="10" s="1"/>
  <c r="CX36" i="13"/>
  <c r="ED12" i="11"/>
  <c r="CE12" i="11" s="1"/>
  <c r="ED23" i="10"/>
  <c r="CE23" i="10" s="1"/>
  <c r="DA17" i="10"/>
  <c r="CX40" i="13"/>
  <c r="DA20" i="11"/>
  <c r="DA9" i="11"/>
  <c r="ED17" i="10"/>
  <c r="CE17" i="10" s="1"/>
  <c r="DA16" i="11"/>
  <c r="DA23" i="10"/>
  <c r="CX10" i="14"/>
  <c r="CX19" i="13"/>
  <c r="ED31" i="10"/>
  <c r="CE31" i="10" s="1"/>
  <c r="DA12" i="10"/>
  <c r="ED6" i="9"/>
  <c r="CE6" i="9" s="1"/>
  <c r="DA22" i="10"/>
  <c r="CX41" i="13"/>
  <c r="CX6" i="13"/>
  <c r="DA27" i="10"/>
  <c r="CX45" i="13"/>
  <c r="DA17" i="11"/>
  <c r="DA31" i="10"/>
  <c r="CX16" i="14"/>
  <c r="DA12" i="11"/>
  <c r="ED36" i="10"/>
  <c r="CE36" i="10" s="1"/>
  <c r="CX19" i="14"/>
  <c r="DA9" i="10"/>
  <c r="CX25" i="13"/>
  <c r="DA40" i="10"/>
  <c r="DA13" i="10"/>
  <c r="CX32" i="13"/>
  <c r="DA36" i="10"/>
  <c r="DA14" i="10"/>
  <c r="CX31" i="13"/>
  <c r="DA13" i="11"/>
  <c r="DA19" i="10"/>
  <c r="CX11" i="14"/>
  <c r="CX13" i="13"/>
  <c r="ED9" i="11"/>
  <c r="CE9" i="11" s="1"/>
  <c r="DA18" i="10"/>
  <c r="CX29" i="13"/>
  <c r="DA41" i="10"/>
  <c r="CX17" i="14"/>
  <c r="CX11" i="13"/>
  <c r="DA32" i="10"/>
  <c r="DA24" i="10"/>
  <c r="CX43" i="13"/>
  <c r="CX17" i="13"/>
  <c r="DA29" i="10"/>
  <c r="ED13" i="10"/>
  <c r="CE13" i="10" s="1"/>
  <c r="ED17" i="11"/>
  <c r="CE17" i="11" s="1"/>
  <c r="ED24" i="10"/>
  <c r="CE24" i="10" s="1"/>
  <c r="CX12" i="14"/>
  <c r="ED13" i="11"/>
  <c r="CE13" i="11" s="1"/>
  <c r="DA37" i="10"/>
  <c r="DA10" i="10"/>
  <c r="DA6" i="9"/>
  <c r="CX30" i="13"/>
  <c r="ED41" i="10"/>
  <c r="CE41" i="10" s="1"/>
  <c r="ED14" i="10"/>
  <c r="CE14" i="10" s="1"/>
  <c r="CX44" i="13"/>
  <c r="ED18" i="11"/>
  <c r="CE18" i="11" s="1"/>
  <c r="ED32" i="10"/>
  <c r="CE32" i="10" s="1"/>
  <c r="CX22" i="13"/>
  <c r="ED14" i="11"/>
  <c r="CE14" i="11" s="1"/>
  <c r="ED20" i="10"/>
  <c r="CE20" i="10" s="1"/>
  <c r="CX6" i="14"/>
  <c r="CX18" i="14"/>
  <c r="CX18" i="13"/>
  <c r="ED42" i="10"/>
  <c r="CE42" i="10" s="1"/>
  <c r="ED19" i="10"/>
  <c r="CE19" i="10" s="1"/>
  <c r="CX23" i="13"/>
  <c r="ED37" i="10"/>
  <c r="CE37" i="10" s="1"/>
  <c r="ED15" i="10"/>
  <c r="CE15" i="10" s="1"/>
  <c r="CX15" i="13"/>
  <c r="ED33" i="10"/>
  <c r="CE33" i="10" s="1"/>
  <c r="ED25" i="10"/>
  <c r="CE25" i="10" s="1"/>
  <c r="CX21" i="13"/>
  <c r="CX42" i="13"/>
  <c r="CX24" i="13"/>
  <c r="ED30" i="10"/>
  <c r="CE30" i="10" s="1"/>
  <c r="DA11" i="10"/>
  <c r="CX8" i="13"/>
  <c r="DA42" i="10"/>
  <c r="CX46" i="13"/>
  <c r="DA14" i="11"/>
  <c r="ED38" i="10"/>
  <c r="CE38" i="10" s="1"/>
  <c r="ED9" i="10"/>
  <c r="CE9" i="10" s="1"/>
  <c r="CX10" i="13"/>
  <c r="CX14" i="14"/>
  <c r="DA8" i="11"/>
  <c r="DA15" i="10"/>
  <c r="CX35" i="13"/>
  <c r="DA18" i="11"/>
  <c r="DA25" i="10"/>
  <c r="CX27" i="13"/>
  <c r="DA15" i="11"/>
  <c r="DA21" i="10"/>
  <c r="CX47" i="13"/>
  <c r="DA10" i="11"/>
  <c r="CX20" i="13"/>
  <c r="DA28" i="10"/>
  <c r="DA20" i="10"/>
  <c r="CX28" i="13"/>
  <c r="DA19" i="11"/>
  <c r="DA33" i="10"/>
  <c r="CX12" i="13"/>
  <c r="DA34" i="10"/>
  <c r="DA26" i="10"/>
  <c r="CX8" i="14"/>
  <c r="DA11" i="11"/>
  <c r="CX9" i="13"/>
  <c r="ED28" i="10"/>
  <c r="CE28" i="10" s="1"/>
  <c r="ED11" i="10"/>
  <c r="CE11" i="10" s="1"/>
  <c r="CX34" i="13"/>
  <c r="DA38" i="10"/>
  <c r="DA16" i="10"/>
  <c r="ED15" i="11"/>
  <c r="CE15" i="11" s="1"/>
  <c r="DA39" i="10"/>
  <c r="ED8" i="10"/>
  <c r="CE8" i="10" s="1"/>
  <c r="CX26" i="13"/>
  <c r="DA30" i="10"/>
  <c r="J7" i="52"/>
  <c r="L7" i="52"/>
  <c r="K7" i="52"/>
  <c r="H7" i="52"/>
  <c r="I7" i="52"/>
  <c r="DR31" i="13"/>
  <c r="DQ31" i="13"/>
  <c r="DP31" i="13"/>
  <c r="J33" i="52"/>
  <c r="K33" i="52"/>
  <c r="I33" i="52"/>
  <c r="H33" i="52"/>
  <c r="L33" i="52"/>
  <c r="DR37" i="13"/>
  <c r="DQ37" i="13"/>
  <c r="DP37" i="13"/>
  <c r="DQ39" i="13"/>
  <c r="DP39" i="13"/>
  <c r="DR39" i="13"/>
  <c r="DR46" i="13"/>
  <c r="DQ46" i="13"/>
  <c r="DP46" i="13"/>
  <c r="DQ42" i="13"/>
  <c r="DR42" i="13"/>
  <c r="DP42" i="13"/>
  <c r="L34" i="52"/>
  <c r="H34" i="52"/>
  <c r="I34" i="52"/>
  <c r="K34" i="52"/>
  <c r="J34" i="52"/>
  <c r="DR38" i="13"/>
  <c r="DQ38" i="13"/>
  <c r="DP38" i="13"/>
  <c r="HA21" i="9"/>
  <c r="CU36" i="13"/>
  <c r="CU37" i="13"/>
  <c r="CU26" i="13"/>
  <c r="CX19" i="11"/>
  <c r="DU11" i="11"/>
  <c r="BY11" i="11" s="1"/>
  <c r="DU40" i="10"/>
  <c r="BY40" i="10" s="1"/>
  <c r="DU39" i="10"/>
  <c r="BY39" i="10" s="1"/>
  <c r="CX12" i="10"/>
  <c r="DU30" i="10"/>
  <c r="BY30" i="10" s="1"/>
  <c r="CX31" i="10"/>
  <c r="DU8" i="10"/>
  <c r="BY8" i="10" s="1"/>
  <c r="CU18" i="14"/>
  <c r="CU34" i="13"/>
  <c r="CU9" i="13"/>
  <c r="CX17" i="11"/>
  <c r="DU9" i="11"/>
  <c r="BY9" i="11" s="1"/>
  <c r="DU18" i="11"/>
  <c r="BY18" i="11" s="1"/>
  <c r="DU37" i="10"/>
  <c r="BY37" i="10" s="1"/>
  <c r="CX10" i="10"/>
  <c r="CX27" i="10"/>
  <c r="DU26" i="10"/>
  <c r="BY26" i="10" s="1"/>
  <c r="CX8" i="10"/>
  <c r="CU11" i="14"/>
  <c r="CU29" i="13"/>
  <c r="CU13" i="13"/>
  <c r="CX15" i="11"/>
  <c r="CU20" i="13"/>
  <c r="DU20" i="11"/>
  <c r="BY20" i="11" s="1"/>
  <c r="DU35" i="10"/>
  <c r="BY35" i="10" s="1"/>
  <c r="DU33" i="10"/>
  <c r="BY33" i="10" s="1"/>
  <c r="CX25" i="10"/>
  <c r="DU24" i="10"/>
  <c r="BY24" i="10" s="1"/>
  <c r="DU6" i="9"/>
  <c r="BY6" i="9" s="1"/>
  <c r="CU40" i="13"/>
  <c r="CU24" i="13"/>
  <c r="CU17" i="13"/>
  <c r="CU18" i="13"/>
  <c r="CU10" i="13"/>
  <c r="CX8" i="11"/>
  <c r="DU42" i="10"/>
  <c r="BY42" i="10" s="1"/>
  <c r="DU34" i="10"/>
  <c r="BY34" i="10" s="1"/>
  <c r="CX23" i="10"/>
  <c r="DU22" i="10"/>
  <c r="BY22" i="10" s="1"/>
  <c r="CX6" i="9"/>
  <c r="CU15" i="14"/>
  <c r="CU33" i="13"/>
  <c r="CU8" i="13"/>
  <c r="CX20" i="11"/>
  <c r="CU6" i="13"/>
  <c r="DU12" i="11"/>
  <c r="BY12" i="11" s="1"/>
  <c r="CX11" i="11"/>
  <c r="DU27" i="10"/>
  <c r="BY27" i="10" s="1"/>
  <c r="CX21" i="10"/>
  <c r="DU20" i="10"/>
  <c r="BY20" i="10" s="1"/>
  <c r="CU44" i="13"/>
  <c r="CU28" i="13"/>
  <c r="CU16" i="13"/>
  <c r="CX18" i="11"/>
  <c r="CX9" i="11"/>
  <c r="CX40" i="10"/>
  <c r="DU10" i="11"/>
  <c r="BY10" i="11" s="1"/>
  <c r="DU25" i="10"/>
  <c r="BY25" i="10" s="1"/>
  <c r="CX19" i="10"/>
  <c r="DU18" i="10"/>
  <c r="BY18" i="10" s="1"/>
  <c r="CU14" i="14"/>
  <c r="CU35" i="13"/>
  <c r="CU6" i="14"/>
  <c r="CU12" i="13"/>
  <c r="CX16" i="11"/>
  <c r="CX42" i="10"/>
  <c r="CX38" i="10"/>
  <c r="DU31" i="10"/>
  <c r="BY31" i="10" s="1"/>
  <c r="DU23" i="10"/>
  <c r="BY23" i="10" s="1"/>
  <c r="CX17" i="10"/>
  <c r="DU16" i="10"/>
  <c r="BY16" i="10" s="1"/>
  <c r="CU17" i="14"/>
  <c r="CU45" i="13"/>
  <c r="CU46" i="13"/>
  <c r="CU25" i="13"/>
  <c r="CX14" i="11"/>
  <c r="CX41" i="10"/>
  <c r="CX36" i="10"/>
  <c r="CX26" i="10"/>
  <c r="DU21" i="10"/>
  <c r="BY21" i="10" s="1"/>
  <c r="CX15" i="10"/>
  <c r="DU14" i="10"/>
  <c r="BY14" i="10" s="1"/>
  <c r="CU10" i="14"/>
  <c r="CU12" i="14"/>
  <c r="CU23" i="13"/>
  <c r="CU21" i="13"/>
  <c r="CX12" i="11"/>
  <c r="CX39" i="10"/>
  <c r="CX34" i="10"/>
  <c r="CX24" i="10"/>
  <c r="DU19" i="10"/>
  <c r="BY19" i="10" s="1"/>
  <c r="CX13" i="10"/>
  <c r="DU36" i="10"/>
  <c r="BY36" i="10" s="1"/>
  <c r="CU16" i="14"/>
  <c r="CU47" i="13"/>
  <c r="CU38" i="13"/>
  <c r="CU15" i="13"/>
  <c r="CX10" i="11"/>
  <c r="CX37" i="10"/>
  <c r="CX32" i="10"/>
  <c r="CX22" i="10"/>
  <c r="DU17" i="10"/>
  <c r="BY17" i="10" s="1"/>
  <c r="CX11" i="10"/>
  <c r="DU32" i="10"/>
  <c r="BY32" i="10" s="1"/>
  <c r="CU19" i="14"/>
  <c r="CU9" i="14"/>
  <c r="CU32" i="13"/>
  <c r="CU11" i="13"/>
  <c r="DU19" i="11"/>
  <c r="BY19" i="11" s="1"/>
  <c r="CX35" i="10"/>
  <c r="CX30" i="10"/>
  <c r="CX20" i="10"/>
  <c r="DU15" i="10"/>
  <c r="BY15" i="10" s="1"/>
  <c r="CX9" i="10"/>
  <c r="DU12" i="10"/>
  <c r="BY12" i="10" s="1"/>
  <c r="CU43" i="13"/>
  <c r="CU8" i="14"/>
  <c r="CU27" i="13"/>
  <c r="CU30" i="13"/>
  <c r="DU17" i="11"/>
  <c r="BY17" i="11" s="1"/>
  <c r="DU14" i="11"/>
  <c r="BY14" i="11" s="1"/>
  <c r="CX28" i="10"/>
  <c r="CX18" i="10"/>
  <c r="DU13" i="10"/>
  <c r="BY13" i="10" s="1"/>
  <c r="DU29" i="10"/>
  <c r="BY29" i="10" s="1"/>
  <c r="DU11" i="10"/>
  <c r="BY11" i="10" s="1"/>
  <c r="CU13" i="14"/>
  <c r="CU42" i="13"/>
  <c r="CU22" i="13"/>
  <c r="CU19" i="13"/>
  <c r="DU15" i="11"/>
  <c r="BY15" i="11" s="1"/>
  <c r="DU16" i="11"/>
  <c r="BY16" i="11" s="1"/>
  <c r="CX13" i="11"/>
  <c r="CX16" i="10"/>
  <c r="CX29" i="10"/>
  <c r="DU38" i="10"/>
  <c r="BY38" i="10" s="1"/>
  <c r="DU9" i="10"/>
  <c r="BY9" i="10" s="1"/>
  <c r="CU41" i="13"/>
  <c r="CU39" i="13"/>
  <c r="CU31" i="13"/>
  <c r="CU14" i="13"/>
  <c r="DU13" i="11"/>
  <c r="BY13" i="11" s="1"/>
  <c r="DU8" i="11"/>
  <c r="BY8" i="11" s="1"/>
  <c r="DU41" i="10"/>
  <c r="BY41" i="10" s="1"/>
  <c r="CX14" i="10"/>
  <c r="DU28" i="10"/>
  <c r="BY28" i="10" s="1"/>
  <c r="CX33" i="10"/>
  <c r="DU10" i="10"/>
  <c r="BY10" i="10" s="1"/>
  <c r="BD37" i="10"/>
  <c r="BD28" i="10"/>
  <c r="L4" i="70"/>
  <c r="K4" i="70"/>
  <c r="J4" i="70"/>
  <c r="I4" i="70"/>
  <c r="H4" i="70"/>
  <c r="DG11" i="14"/>
  <c r="DF11" i="14"/>
  <c r="DH11" i="14"/>
  <c r="DE11" i="14"/>
  <c r="L30" i="50"/>
  <c r="K30" i="50"/>
  <c r="I30" i="50"/>
  <c r="H30" i="50"/>
  <c r="J30" i="50"/>
  <c r="DH35" i="13"/>
  <c r="DG35" i="13"/>
  <c r="DF35" i="13"/>
  <c r="DE35" i="13"/>
  <c r="DH42" i="13"/>
  <c r="DG42" i="13"/>
  <c r="DF42" i="13"/>
  <c r="DE42" i="13"/>
  <c r="L16" i="56"/>
  <c r="K16" i="56"/>
  <c r="H16" i="56"/>
  <c r="J16" i="56"/>
  <c r="I16" i="56"/>
  <c r="EL32" i="13"/>
  <c r="EK32" i="13"/>
  <c r="EJ32" i="13"/>
  <c r="H9" i="76"/>
  <c r="L9" i="76"/>
  <c r="K9" i="76"/>
  <c r="J9" i="76"/>
  <c r="I9" i="76"/>
  <c r="EK10" i="14"/>
  <c r="EL10" i="14"/>
  <c r="EJ10" i="14"/>
  <c r="L21" i="56"/>
  <c r="K21" i="56"/>
  <c r="J21" i="56"/>
  <c r="I21" i="56"/>
  <c r="H21" i="56"/>
  <c r="EL12" i="13"/>
  <c r="EK12" i="13"/>
  <c r="EJ12" i="13"/>
  <c r="L29" i="56"/>
  <c r="K29" i="56"/>
  <c r="H29" i="56"/>
  <c r="J29" i="56"/>
  <c r="I29" i="56"/>
  <c r="EJ17" i="13"/>
  <c r="EL17" i="13"/>
  <c r="EK17" i="13"/>
  <c r="L12" i="76"/>
  <c r="K12" i="76"/>
  <c r="J12" i="76"/>
  <c r="I12" i="76"/>
  <c r="H12" i="76"/>
  <c r="EL16" i="14"/>
  <c r="EJ16" i="14"/>
  <c r="EK16" i="14"/>
  <c r="HV21" i="9"/>
  <c r="DB16" i="14"/>
  <c r="DB6" i="14"/>
  <c r="DB25" i="13"/>
  <c r="DB14" i="13"/>
  <c r="DE19" i="11"/>
  <c r="DE40" i="10"/>
  <c r="DE39" i="10"/>
  <c r="EO30" i="10"/>
  <c r="CM30" i="10" s="1"/>
  <c r="EO25" i="10"/>
  <c r="CM25" i="10" s="1"/>
  <c r="DE20" i="10"/>
  <c r="EO16" i="10"/>
  <c r="CM16" i="10" s="1"/>
  <c r="DB9" i="14"/>
  <c r="DB17" i="14"/>
  <c r="DB43" i="13"/>
  <c r="DB20" i="13"/>
  <c r="DE17" i="11"/>
  <c r="DE38" i="10"/>
  <c r="DE37" i="10"/>
  <c r="EO34" i="10"/>
  <c r="CM34" i="10" s="1"/>
  <c r="EO23" i="10"/>
  <c r="CM23" i="10" s="1"/>
  <c r="DE18" i="10"/>
  <c r="EO14" i="10"/>
  <c r="CM14" i="10" s="1"/>
  <c r="DB19" i="14"/>
  <c r="DB10" i="14"/>
  <c r="DB34" i="13"/>
  <c r="DB18" i="13"/>
  <c r="DE15" i="11"/>
  <c r="DE36" i="10"/>
  <c r="DE35" i="10"/>
  <c r="DE27" i="10"/>
  <c r="EO21" i="10"/>
  <c r="CM21" i="10" s="1"/>
  <c r="DE16" i="10"/>
  <c r="EO33" i="10"/>
  <c r="CM33" i="10" s="1"/>
  <c r="DB12" i="14"/>
  <c r="DB36" i="13"/>
  <c r="DB37" i="13"/>
  <c r="DB9" i="13"/>
  <c r="DE13" i="11"/>
  <c r="DE34" i="10"/>
  <c r="DE33" i="10"/>
  <c r="DE25" i="10"/>
  <c r="EO19" i="10"/>
  <c r="CM19" i="10" s="1"/>
  <c r="DE14" i="10"/>
  <c r="DE30" i="10"/>
  <c r="DB18" i="14"/>
  <c r="DB13" i="14"/>
  <c r="DB29" i="13"/>
  <c r="DB13" i="13"/>
  <c r="DE11" i="11"/>
  <c r="EO16" i="11"/>
  <c r="CM16" i="11" s="1"/>
  <c r="DE31" i="10"/>
  <c r="DE23" i="10"/>
  <c r="EO17" i="10"/>
  <c r="CM17" i="10" s="1"/>
  <c r="DE12" i="10"/>
  <c r="DE28" i="10"/>
  <c r="DB44" i="13"/>
  <c r="DB27" i="13"/>
  <c r="DB24" i="13"/>
  <c r="DB17" i="13"/>
  <c r="DB6" i="13"/>
  <c r="EO18" i="11"/>
  <c r="CM18" i="11" s="1"/>
  <c r="DE29" i="10"/>
  <c r="DE21" i="10"/>
  <c r="EO15" i="10"/>
  <c r="CM15" i="10" s="1"/>
  <c r="DE10" i="10"/>
  <c r="EO9" i="10"/>
  <c r="CM9" i="10" s="1"/>
  <c r="DB15" i="14"/>
  <c r="DB40" i="13"/>
  <c r="DB35" i="13"/>
  <c r="DB8" i="13"/>
  <c r="EO19" i="11"/>
  <c r="CM19" i="11" s="1"/>
  <c r="DE10" i="11"/>
  <c r="DE42" i="10"/>
  <c r="DE19" i="10"/>
  <c r="EO13" i="10"/>
  <c r="CM13" i="10" s="1"/>
  <c r="DE8" i="10"/>
  <c r="EO8" i="10"/>
  <c r="CM8" i="10" s="1"/>
  <c r="DB45" i="13"/>
  <c r="DB22" i="13"/>
  <c r="DB33" i="13"/>
  <c r="DB26" i="13"/>
  <c r="EO17" i="11"/>
  <c r="CM17" i="11" s="1"/>
  <c r="EO20" i="11"/>
  <c r="CM20" i="11" s="1"/>
  <c r="DE12" i="11"/>
  <c r="DE17" i="10"/>
  <c r="EO11" i="10"/>
  <c r="CM11" i="10" s="1"/>
  <c r="EO36" i="10"/>
  <c r="CM36" i="10" s="1"/>
  <c r="EO10" i="10"/>
  <c r="CM10" i="10" s="1"/>
  <c r="DB39" i="13"/>
  <c r="DB38" i="13"/>
  <c r="DB28" i="13"/>
  <c r="DB16" i="13"/>
  <c r="EO15" i="11"/>
  <c r="CM15" i="11" s="1"/>
  <c r="EO12" i="11"/>
  <c r="CM12" i="11" s="1"/>
  <c r="EO41" i="10"/>
  <c r="CM41" i="10" s="1"/>
  <c r="DE15" i="10"/>
  <c r="EO32" i="10"/>
  <c r="CM32" i="10" s="1"/>
  <c r="EO28" i="10"/>
  <c r="CM28" i="10" s="1"/>
  <c r="DE9" i="10"/>
  <c r="DB46" i="13"/>
  <c r="DB31" i="13"/>
  <c r="DB15" i="13"/>
  <c r="DE20" i="11"/>
  <c r="EO13" i="11"/>
  <c r="CM13" i="11" s="1"/>
  <c r="EO40" i="10"/>
  <c r="CM40" i="10" s="1"/>
  <c r="EO39" i="10"/>
  <c r="CM39" i="10" s="1"/>
  <c r="DE13" i="10"/>
  <c r="EO38" i="10"/>
  <c r="CM38" i="10" s="1"/>
  <c r="EO26" i="10"/>
  <c r="CM26" i="10" s="1"/>
  <c r="EO12" i="10"/>
  <c r="CM12" i="10" s="1"/>
  <c r="DB14" i="14"/>
  <c r="DB11" i="14"/>
  <c r="DB11" i="13"/>
  <c r="DE18" i="11"/>
  <c r="EO11" i="11"/>
  <c r="CM11" i="11" s="1"/>
  <c r="EO8" i="11"/>
  <c r="CM8" i="11" s="1"/>
  <c r="EO37" i="10"/>
  <c r="CM37" i="10" s="1"/>
  <c r="DE11" i="10"/>
  <c r="EO31" i="10"/>
  <c r="CM31" i="10" s="1"/>
  <c r="EO24" i="10"/>
  <c r="CM24" i="10" s="1"/>
  <c r="DE6" i="9"/>
  <c r="DB47" i="13"/>
  <c r="DB21" i="13"/>
  <c r="DB19" i="13"/>
  <c r="DE16" i="11"/>
  <c r="EO9" i="11"/>
  <c r="CM9" i="11" s="1"/>
  <c r="EO10" i="11"/>
  <c r="CM10" i="11" s="1"/>
  <c r="EO35" i="10"/>
  <c r="CM35" i="10" s="1"/>
  <c r="EO29" i="10"/>
  <c r="CM29" i="10" s="1"/>
  <c r="DE26" i="10"/>
  <c r="EO22" i="10"/>
  <c r="CM22" i="10" s="1"/>
  <c r="EO6" i="9"/>
  <c r="CM6" i="9" s="1"/>
  <c r="DB8" i="14"/>
  <c r="DB30" i="13"/>
  <c r="DB32" i="13"/>
  <c r="DE14" i="11"/>
  <c r="DB10" i="13"/>
  <c r="DE9" i="11"/>
  <c r="EO42" i="10"/>
  <c r="CM42" i="10" s="1"/>
  <c r="DE32" i="10"/>
  <c r="DE24" i="10"/>
  <c r="EO20" i="10"/>
  <c r="CM20" i="10" s="1"/>
  <c r="DB42" i="13"/>
  <c r="DB41" i="13"/>
  <c r="DB23" i="13"/>
  <c r="DB12" i="13"/>
  <c r="EO14" i="11"/>
  <c r="CM14" i="11" s="1"/>
  <c r="DE41" i="10"/>
  <c r="DE8" i="11"/>
  <c r="EO27" i="10"/>
  <c r="CM27" i="10" s="1"/>
  <c r="DE22" i="10"/>
  <c r="EO18" i="10"/>
  <c r="CM18" i="10" s="1"/>
  <c r="H24" i="54"/>
  <c r="L24" i="54"/>
  <c r="K24" i="54"/>
  <c r="J24" i="54"/>
  <c r="I24" i="54"/>
  <c r="EB10" i="13"/>
  <c r="EA10" i="13"/>
  <c r="DZ10" i="13"/>
  <c r="DY10" i="13"/>
  <c r="EB43" i="13"/>
  <c r="EA43" i="13"/>
  <c r="DZ43" i="13"/>
  <c r="DY43" i="13"/>
  <c r="L6" i="74"/>
  <c r="K6" i="74"/>
  <c r="J6" i="74"/>
  <c r="I6" i="74"/>
  <c r="H6" i="74"/>
  <c r="EB15" i="14"/>
  <c r="EA15" i="14"/>
  <c r="DZ15" i="14"/>
  <c r="DY15" i="14"/>
  <c r="HM21" i="9"/>
  <c r="EE6" i="9"/>
  <c r="CF6" i="9" s="1"/>
  <c r="DB11" i="10"/>
  <c r="CY15" i="13"/>
  <c r="EE37" i="10"/>
  <c r="CF37" i="10" s="1"/>
  <c r="CY47" i="13"/>
  <c r="DB17" i="11"/>
  <c r="EE39" i="10"/>
  <c r="CF39" i="10" s="1"/>
  <c r="CY28" i="13"/>
  <c r="DB13" i="11"/>
  <c r="EE24" i="10"/>
  <c r="CF24" i="10" s="1"/>
  <c r="DB8" i="10"/>
  <c r="EE15" i="11"/>
  <c r="CF15" i="11" s="1"/>
  <c r="CY44" i="13"/>
  <c r="CY17" i="13"/>
  <c r="EE18" i="10"/>
  <c r="CF18" i="10" s="1"/>
  <c r="CY41" i="13"/>
  <c r="EE13" i="11"/>
  <c r="CF13" i="11" s="1"/>
  <c r="EE14" i="10"/>
  <c r="CF14" i="10" s="1"/>
  <c r="CY34" i="13"/>
  <c r="DB18" i="11"/>
  <c r="EE35" i="10"/>
  <c r="CF35" i="10" s="1"/>
  <c r="CY22" i="13"/>
  <c r="EE9" i="10"/>
  <c r="CF9" i="10" s="1"/>
  <c r="DB6" i="9"/>
  <c r="CY31" i="13"/>
  <c r="EE11" i="11"/>
  <c r="CF11" i="11" s="1"/>
  <c r="DB35" i="10"/>
  <c r="CY19" i="13"/>
  <c r="DB39" i="10"/>
  <c r="DB24" i="10"/>
  <c r="CY20" i="13"/>
  <c r="EE19" i="11"/>
  <c r="CF19" i="11" s="1"/>
  <c r="DB20" i="10"/>
  <c r="CY12" i="13"/>
  <c r="CY27" i="13"/>
  <c r="EE8" i="11"/>
  <c r="CF8" i="11" s="1"/>
  <c r="DB14" i="10"/>
  <c r="EE18" i="11"/>
  <c r="CF18" i="11" s="1"/>
  <c r="DB29" i="10"/>
  <c r="EE10" i="10"/>
  <c r="CF10" i="10" s="1"/>
  <c r="EE14" i="11"/>
  <c r="CF14" i="11" s="1"/>
  <c r="DB25" i="10"/>
  <c r="DB9" i="10"/>
  <c r="CY40" i="13"/>
  <c r="CY24" i="13"/>
  <c r="EE33" i="10"/>
  <c r="CF33" i="10" s="1"/>
  <c r="CY12" i="14"/>
  <c r="DB14" i="11"/>
  <c r="DB15" i="10"/>
  <c r="CY16" i="14"/>
  <c r="EE42" i="10"/>
  <c r="CF42" i="10" s="1"/>
  <c r="DB32" i="10"/>
  <c r="CY18" i="14"/>
  <c r="DB34" i="10"/>
  <c r="EE22" i="10"/>
  <c r="CF22" i="10" s="1"/>
  <c r="CY11" i="13"/>
  <c r="CY10" i="14"/>
  <c r="DB8" i="11"/>
  <c r="DB19" i="10"/>
  <c r="CY8" i="14"/>
  <c r="EE40" i="10"/>
  <c r="CF40" i="10" s="1"/>
  <c r="EE25" i="10"/>
  <c r="CF25" i="10" s="1"/>
  <c r="CY37" i="13"/>
  <c r="EE36" i="10"/>
  <c r="CF36" i="10" s="1"/>
  <c r="EE21" i="10"/>
  <c r="CF21" i="10" s="1"/>
  <c r="CY38" i="13"/>
  <c r="EE23" i="10"/>
  <c r="CF23" i="10" s="1"/>
  <c r="EE10" i="11"/>
  <c r="CF10" i="11" s="1"/>
  <c r="CY42" i="13"/>
  <c r="DB9" i="11"/>
  <c r="DB31" i="10"/>
  <c r="CY35" i="13"/>
  <c r="EE30" i="10"/>
  <c r="CF30" i="10" s="1"/>
  <c r="EE31" i="10"/>
  <c r="CF31" i="10" s="1"/>
  <c r="CY25" i="13"/>
  <c r="EE26" i="10"/>
  <c r="CF26" i="10" s="1"/>
  <c r="DB12" i="10"/>
  <c r="CY16" i="13"/>
  <c r="CY8" i="13"/>
  <c r="DB36" i="10"/>
  <c r="EE15" i="10"/>
  <c r="CF15" i="10" s="1"/>
  <c r="DB19" i="11"/>
  <c r="EE16" i="10"/>
  <c r="CF16" i="10" s="1"/>
  <c r="CY13" i="14"/>
  <c r="CY10" i="13"/>
  <c r="EE12" i="10"/>
  <c r="CF12" i="10" s="1"/>
  <c r="CY15" i="14"/>
  <c r="CY13" i="13"/>
  <c r="DB18" i="10"/>
  <c r="EE28" i="10"/>
  <c r="CF28" i="10" s="1"/>
  <c r="CY33" i="13"/>
  <c r="EE20" i="10"/>
  <c r="CF20" i="10" s="1"/>
  <c r="CY46" i="13"/>
  <c r="DB40" i="10"/>
  <c r="DB26" i="10"/>
  <c r="CY17" i="14"/>
  <c r="DB15" i="11"/>
  <c r="DB22" i="10"/>
  <c r="CY32" i="13"/>
  <c r="DB11" i="11"/>
  <c r="EE17" i="11"/>
  <c r="CF17" i="11" s="1"/>
  <c r="EE32" i="10"/>
  <c r="CF32" i="10" s="1"/>
  <c r="CY26" i="13"/>
  <c r="DB41" i="10"/>
  <c r="DB38" i="10"/>
  <c r="CY43" i="13"/>
  <c r="DB10" i="11"/>
  <c r="DB10" i="10"/>
  <c r="CY39" i="13"/>
  <c r="EE9" i="11"/>
  <c r="CF9" i="11" s="1"/>
  <c r="EE11" i="10"/>
  <c r="CF11" i="10" s="1"/>
  <c r="DB28" i="10"/>
  <c r="DB16" i="10"/>
  <c r="CY21" i="13"/>
  <c r="EE34" i="10"/>
  <c r="CF34" i="10" s="1"/>
  <c r="CY6" i="14"/>
  <c r="CY14" i="13"/>
  <c r="DB37" i="10"/>
  <c r="CY19" i="14"/>
  <c r="CY9" i="13"/>
  <c r="DB30" i="10"/>
  <c r="CY11" i="14"/>
  <c r="DB21" i="10"/>
  <c r="EE8" i="10"/>
  <c r="CF8" i="10" s="1"/>
  <c r="EE20" i="11"/>
  <c r="CF20" i="11" s="1"/>
  <c r="DB17" i="10"/>
  <c r="CY14" i="14"/>
  <c r="EE16" i="11"/>
  <c r="CF16" i="11" s="1"/>
  <c r="DB27" i="10"/>
  <c r="CY23" i="13"/>
  <c r="EE12" i="11"/>
  <c r="CF12" i="11" s="1"/>
  <c r="DB23" i="10"/>
  <c r="DB33" i="10"/>
  <c r="CY45" i="13"/>
  <c r="EE41" i="10"/>
  <c r="CF41" i="10" s="1"/>
  <c r="EE27" i="10"/>
  <c r="CF27" i="10" s="1"/>
  <c r="CY30" i="13"/>
  <c r="DB16" i="11"/>
  <c r="DB13" i="10"/>
  <c r="CY29" i="13"/>
  <c r="DB20" i="11"/>
  <c r="EE29" i="10"/>
  <c r="CF29" i="10" s="1"/>
  <c r="EE17" i="10"/>
  <c r="CF17" i="10" s="1"/>
  <c r="CY36" i="13"/>
  <c r="DB42" i="10"/>
  <c r="EE13" i="10"/>
  <c r="CF13" i="10" s="1"/>
  <c r="CY6" i="13"/>
  <c r="EE38" i="10"/>
  <c r="CF38" i="10" s="1"/>
  <c r="CY9" i="14"/>
  <c r="CY18" i="13"/>
  <c r="DB12" i="11"/>
  <c r="EE19" i="10"/>
  <c r="CF19" i="10" s="1"/>
  <c r="H18" i="52"/>
  <c r="L18" i="52"/>
  <c r="K18" i="52"/>
  <c r="I18" i="52"/>
  <c r="J18" i="52"/>
  <c r="DP36" i="13"/>
  <c r="DR36" i="13"/>
  <c r="DQ36" i="13"/>
  <c r="L14" i="72"/>
  <c r="K14" i="72"/>
  <c r="J14" i="72"/>
  <c r="I14" i="72"/>
  <c r="H14" i="72"/>
  <c r="DP18" i="14"/>
  <c r="DR18" i="14"/>
  <c r="DQ18" i="14"/>
  <c r="DR45" i="13"/>
  <c r="DQ45" i="13"/>
  <c r="DP45" i="13"/>
  <c r="L20" i="52"/>
  <c r="H20" i="52"/>
  <c r="K20" i="52"/>
  <c r="J20" i="52"/>
  <c r="I20" i="52"/>
  <c r="DQ21" i="13"/>
  <c r="DP21" i="13"/>
  <c r="DR21" i="13"/>
  <c r="BD23" i="10"/>
  <c r="BD32" i="10"/>
  <c r="L22" i="50"/>
  <c r="H22" i="50"/>
  <c r="K22" i="50"/>
  <c r="J22" i="50"/>
  <c r="I22" i="50"/>
  <c r="DH36" i="13"/>
  <c r="DG36" i="13"/>
  <c r="DF36" i="13"/>
  <c r="DE36" i="13"/>
  <c r="BD34" i="10"/>
  <c r="L7" i="70"/>
  <c r="K7" i="70"/>
  <c r="J7" i="70"/>
  <c r="I7" i="70"/>
  <c r="H7" i="70"/>
  <c r="DH15" i="14"/>
  <c r="DG15" i="14"/>
  <c r="DF15" i="14"/>
  <c r="DE15" i="14"/>
  <c r="L16" i="50"/>
  <c r="K16" i="50"/>
  <c r="H16" i="50"/>
  <c r="I16" i="50"/>
  <c r="J16" i="50"/>
  <c r="DH32" i="13"/>
  <c r="DG32" i="13"/>
  <c r="DF32" i="13"/>
  <c r="DE32" i="13"/>
  <c r="J6" i="50"/>
  <c r="H6" i="50"/>
  <c r="L6" i="50"/>
  <c r="K6" i="50"/>
  <c r="I6" i="50"/>
  <c r="DH9" i="13"/>
  <c r="DF9" i="13"/>
  <c r="DE9" i="13"/>
  <c r="DG9" i="13"/>
  <c r="BD11" i="11"/>
  <c r="AH17" i="14"/>
  <c r="AH13" i="14"/>
  <c r="AH16" i="14"/>
  <c r="AH19" i="14"/>
  <c r="AH18" i="14"/>
  <c r="AH47" i="13"/>
  <c r="AH41" i="13"/>
  <c r="AH36" i="13"/>
  <c r="AH14" i="14"/>
  <c r="AH9" i="14"/>
  <c r="AH8" i="14"/>
  <c r="AH6" i="14"/>
  <c r="AH7" i="14" s="1"/>
  <c r="AH40" i="13"/>
  <c r="AH10" i="14"/>
  <c r="AH11" i="14"/>
  <c r="AH39" i="13"/>
  <c r="AH12" i="14"/>
  <c r="AH15" i="14"/>
  <c r="AH43" i="13"/>
  <c r="AH46" i="13"/>
  <c r="AH24" i="13"/>
  <c r="AH35" i="13"/>
  <c r="AH33" i="13"/>
  <c r="AH28" i="13"/>
  <c r="AH45" i="13"/>
  <c r="AH44" i="13"/>
  <c r="AH32" i="13"/>
  <c r="AH27" i="13"/>
  <c r="AH22" i="13"/>
  <c r="AH31" i="13"/>
  <c r="AH26" i="13"/>
  <c r="AH38" i="13"/>
  <c r="AH21" i="13"/>
  <c r="AH37" i="13"/>
  <c r="AH30" i="13"/>
  <c r="AH25" i="13"/>
  <c r="AH20" i="13"/>
  <c r="AH17" i="13"/>
  <c r="AH34" i="13"/>
  <c r="AH29" i="13"/>
  <c r="AH8" i="13"/>
  <c r="AH42" i="13"/>
  <c r="AH16" i="13"/>
  <c r="AH12" i="13"/>
  <c r="AH23" i="13"/>
  <c r="AH15" i="13"/>
  <c r="AH11" i="13"/>
  <c r="AH19" i="13"/>
  <c r="AH14" i="13"/>
  <c r="AH10" i="13"/>
  <c r="AH18" i="13"/>
  <c r="AH19" i="11"/>
  <c r="AH17" i="11"/>
  <c r="AH15" i="11"/>
  <c r="AH20" i="11"/>
  <c r="AH18" i="11"/>
  <c r="AH16" i="11"/>
  <c r="AH14" i="11"/>
  <c r="AH12" i="11"/>
  <c r="AH10" i="11"/>
  <c r="AH9" i="13"/>
  <c r="AH6" i="13"/>
  <c r="AH7" i="13" s="1"/>
  <c r="AH13" i="13"/>
  <c r="AH41" i="10"/>
  <c r="AH39" i="10"/>
  <c r="AH37" i="10"/>
  <c r="AH35" i="10"/>
  <c r="AH8" i="11"/>
  <c r="AH9" i="11"/>
  <c r="AH13" i="11"/>
  <c r="AH40" i="10"/>
  <c r="AH38" i="10"/>
  <c r="AH36" i="10"/>
  <c r="AH34" i="10"/>
  <c r="AH32" i="10"/>
  <c r="AH30" i="10"/>
  <c r="AH11" i="11"/>
  <c r="AH42" i="10"/>
  <c r="AH26" i="10"/>
  <c r="AH24" i="10"/>
  <c r="AH22" i="10"/>
  <c r="AH20" i="10"/>
  <c r="AH18" i="10"/>
  <c r="AH16" i="10"/>
  <c r="AH14" i="10"/>
  <c r="AH12" i="10"/>
  <c r="AH10" i="10"/>
  <c r="AH28" i="10"/>
  <c r="AH29" i="10"/>
  <c r="AH33" i="10"/>
  <c r="AH27" i="10"/>
  <c r="AH25" i="10"/>
  <c r="AH23" i="10"/>
  <c r="AH21" i="10"/>
  <c r="AH19" i="10"/>
  <c r="AH17" i="10"/>
  <c r="AH15" i="10"/>
  <c r="AH13" i="10"/>
  <c r="AH11" i="10"/>
  <c r="AH9" i="10"/>
  <c r="AH31" i="10"/>
  <c r="AH8" i="10"/>
  <c r="AI21" i="9"/>
  <c r="AH6" i="9"/>
  <c r="L24" i="56"/>
  <c r="I24" i="56"/>
  <c r="H24" i="56"/>
  <c r="J24" i="56"/>
  <c r="K24" i="56"/>
  <c r="EL18" i="13"/>
  <c r="EK18" i="13"/>
  <c r="EJ18" i="13"/>
  <c r="L14" i="56"/>
  <c r="K14" i="56"/>
  <c r="J14" i="56"/>
  <c r="I14" i="56"/>
  <c r="H14" i="56"/>
  <c r="EL23" i="13"/>
  <c r="EK23" i="13"/>
  <c r="EJ23" i="13"/>
  <c r="L14" i="76"/>
  <c r="K14" i="76"/>
  <c r="J14" i="76"/>
  <c r="I14" i="76"/>
  <c r="H14" i="76"/>
  <c r="EJ18" i="14"/>
  <c r="EL18" i="14"/>
  <c r="EK18" i="14"/>
  <c r="J10" i="76"/>
  <c r="I10" i="76"/>
  <c r="H10" i="76"/>
  <c r="L10" i="76"/>
  <c r="K10" i="76"/>
  <c r="EL12" i="14"/>
  <c r="EK12" i="14"/>
  <c r="EJ12" i="14"/>
  <c r="L7" i="74"/>
  <c r="K7" i="74"/>
  <c r="J7" i="74"/>
  <c r="I7" i="74"/>
  <c r="H7" i="74"/>
  <c r="DZ12" i="14"/>
  <c r="DY12" i="14"/>
  <c r="EB12" i="14"/>
  <c r="EA12" i="14"/>
  <c r="L14" i="74"/>
  <c r="K14" i="74"/>
  <c r="J14" i="74"/>
  <c r="H14" i="74"/>
  <c r="I14" i="74"/>
  <c r="EB18" i="14"/>
  <c r="EA18" i="14"/>
  <c r="DZ18" i="14"/>
  <c r="DY18" i="14"/>
  <c r="J5" i="52"/>
  <c r="L5" i="52"/>
  <c r="K5" i="52"/>
  <c r="I5" i="52"/>
  <c r="H5" i="52"/>
  <c r="DR30" i="13"/>
  <c r="DQ30" i="13"/>
  <c r="DP30" i="13"/>
  <c r="I12" i="72"/>
  <c r="H12" i="72"/>
  <c r="L12" i="72"/>
  <c r="J12" i="72"/>
  <c r="K12" i="72"/>
  <c r="DR16" i="14"/>
  <c r="DP16" i="14"/>
  <c r="DQ16" i="14"/>
  <c r="J21" i="52"/>
  <c r="L21" i="52"/>
  <c r="K21" i="52"/>
  <c r="I21" i="52"/>
  <c r="H21" i="52"/>
  <c r="DR18" i="13"/>
  <c r="DQ18" i="13"/>
  <c r="DP18" i="13"/>
  <c r="L22" i="52"/>
  <c r="K22" i="52"/>
  <c r="J22" i="52"/>
  <c r="I22" i="52"/>
  <c r="H22" i="52"/>
  <c r="DR25" i="13"/>
  <c r="DQ25" i="13"/>
  <c r="DP25" i="13"/>
  <c r="J28" i="52"/>
  <c r="L28" i="52"/>
  <c r="I28" i="52"/>
  <c r="H28" i="52"/>
  <c r="K28" i="52"/>
  <c r="DR22" i="13"/>
  <c r="DQ22" i="13"/>
  <c r="DP22" i="13"/>
  <c r="L29" i="52"/>
  <c r="K29" i="52"/>
  <c r="J29" i="52"/>
  <c r="I29" i="52"/>
  <c r="H29" i="52"/>
  <c r="DQ27" i="13"/>
  <c r="DP27" i="13"/>
  <c r="DR27" i="13"/>
  <c r="BD12" i="10"/>
  <c r="L6" i="70"/>
  <c r="K6" i="70"/>
  <c r="J6" i="70"/>
  <c r="I6" i="70"/>
  <c r="H6" i="70"/>
  <c r="DH8" i="14"/>
  <c r="DH6" i="14" s="1"/>
  <c r="DE8" i="14"/>
  <c r="DE6" i="14" s="1"/>
  <c r="DE7" i="14" s="1"/>
  <c r="DG8" i="14"/>
  <c r="DG6" i="14" s="1"/>
  <c r="DF8" i="14"/>
  <c r="DF6" i="14" s="1"/>
  <c r="L3" i="70"/>
  <c r="K3" i="58"/>
  <c r="J3" i="58"/>
  <c r="K3" i="70"/>
  <c r="I3" i="58"/>
  <c r="J3" i="70"/>
  <c r="H3" i="58"/>
  <c r="I3" i="70"/>
  <c r="H3" i="70"/>
  <c r="I9" i="50"/>
  <c r="H9" i="50"/>
  <c r="K9" i="50"/>
  <c r="L9" i="50"/>
  <c r="J9" i="50"/>
  <c r="DH30" i="13"/>
  <c r="DG30" i="13"/>
  <c r="DE30" i="13"/>
  <c r="DF30" i="13"/>
  <c r="L13" i="70"/>
  <c r="K13" i="70"/>
  <c r="J13" i="70"/>
  <c r="I13" i="70"/>
  <c r="H13" i="70"/>
  <c r="DH17" i="14"/>
  <c r="DG17" i="14"/>
  <c r="DF17" i="14"/>
  <c r="DE17" i="14"/>
  <c r="BD16" i="11"/>
  <c r="BD31" i="10"/>
  <c r="AG6" i="11"/>
  <c r="AG7" i="11" s="1"/>
  <c r="AG6" i="10"/>
  <c r="AG7" i="10" s="1"/>
  <c r="AG7" i="9"/>
  <c r="L11" i="76"/>
  <c r="K11" i="76"/>
  <c r="J11" i="76"/>
  <c r="I11" i="76"/>
  <c r="H11" i="76"/>
  <c r="EL13" i="14"/>
  <c r="EK13" i="14"/>
  <c r="EJ13" i="14"/>
  <c r="J13" i="56"/>
  <c r="I13" i="56"/>
  <c r="H13" i="56"/>
  <c r="L13" i="56"/>
  <c r="K13" i="56"/>
  <c r="EL28" i="13"/>
  <c r="EK28" i="13"/>
  <c r="EJ28" i="13"/>
  <c r="L13" i="74"/>
  <c r="K13" i="74"/>
  <c r="J13" i="74"/>
  <c r="I13" i="74"/>
  <c r="H13" i="74"/>
  <c r="EB17" i="14"/>
  <c r="EA17" i="14"/>
  <c r="DZ17" i="14"/>
  <c r="DY17" i="14"/>
  <c r="EB41" i="13"/>
  <c r="EA41" i="13"/>
  <c r="DZ41" i="13"/>
  <c r="DY41" i="13"/>
  <c r="J26" i="52"/>
  <c r="H26" i="52"/>
  <c r="I26" i="52"/>
  <c r="L26" i="52"/>
  <c r="K26" i="52"/>
  <c r="DR15" i="13"/>
  <c r="DQ15" i="13"/>
  <c r="DP15" i="13"/>
  <c r="L6" i="52"/>
  <c r="H6" i="52"/>
  <c r="K6" i="52"/>
  <c r="J6" i="52"/>
  <c r="I6" i="52"/>
  <c r="DR14" i="13"/>
  <c r="DQ14" i="13"/>
  <c r="DP14" i="13"/>
  <c r="DR19" i="14"/>
  <c r="DQ19" i="14"/>
  <c r="DP19" i="14"/>
  <c r="H25" i="52"/>
  <c r="K25" i="52"/>
  <c r="J25" i="52"/>
  <c r="L25" i="52"/>
  <c r="I25" i="52"/>
  <c r="DR34" i="13"/>
  <c r="DQ34" i="13"/>
  <c r="DP34" i="13"/>
  <c r="BD9" i="11"/>
  <c r="BD26" i="10"/>
  <c r="BD30" i="10"/>
  <c r="L8" i="70"/>
  <c r="K8" i="70"/>
  <c r="J8" i="70"/>
  <c r="I8" i="70"/>
  <c r="H8" i="70"/>
  <c r="DF12" i="14"/>
  <c r="DE12" i="14"/>
  <c r="DH12" i="14"/>
  <c r="DG12" i="14"/>
  <c r="J13" i="50"/>
  <c r="I13" i="50"/>
  <c r="H13" i="50"/>
  <c r="L13" i="50"/>
  <c r="K13" i="50"/>
  <c r="DH28" i="13"/>
  <c r="DG28" i="13"/>
  <c r="DF28" i="13"/>
  <c r="DE28" i="13"/>
  <c r="L10" i="50"/>
  <c r="J10" i="50"/>
  <c r="I10" i="50"/>
  <c r="K10" i="50"/>
  <c r="H10" i="50"/>
  <c r="DH27" i="13"/>
  <c r="DG27" i="13"/>
  <c r="DF27" i="13"/>
  <c r="DE27" i="13"/>
  <c r="L12" i="70"/>
  <c r="K12" i="70"/>
  <c r="J12" i="70"/>
  <c r="I12" i="70"/>
  <c r="H12" i="70"/>
  <c r="DG16" i="14"/>
  <c r="DH16" i="14"/>
  <c r="DF16" i="14"/>
  <c r="DE16" i="14"/>
  <c r="DF46" i="13"/>
  <c r="DH46" i="13"/>
  <c r="DG46" i="13"/>
  <c r="DE46" i="13"/>
  <c r="BD10" i="11"/>
  <c r="H23" i="50"/>
  <c r="L23" i="50"/>
  <c r="K23" i="50"/>
  <c r="I23" i="50"/>
  <c r="J23" i="50"/>
  <c r="DF20" i="13"/>
  <c r="DE20" i="13"/>
  <c r="DH20" i="13"/>
  <c r="DG20" i="13"/>
  <c r="AP6" i="13"/>
  <c r="AP6" i="14" s="1"/>
  <c r="AP6" i="11"/>
  <c r="AP6" i="10"/>
  <c r="L28" i="56"/>
  <c r="J28" i="56"/>
  <c r="I28" i="56"/>
  <c r="K28" i="56"/>
  <c r="H28" i="56"/>
  <c r="EL38" i="13"/>
  <c r="EK38" i="13"/>
  <c r="EJ38" i="13"/>
  <c r="EK47" i="13"/>
  <c r="EJ47" i="13"/>
  <c r="EL47" i="13"/>
  <c r="J20" i="56"/>
  <c r="I20" i="56"/>
  <c r="H20" i="56"/>
  <c r="K20" i="56"/>
  <c r="L20" i="56"/>
  <c r="EK11" i="13"/>
  <c r="EJ11" i="13"/>
  <c r="EL11" i="13"/>
  <c r="H14" i="54"/>
  <c r="J14" i="54"/>
  <c r="K14" i="54"/>
  <c r="I14" i="54"/>
  <c r="L14" i="54"/>
  <c r="EA26" i="13"/>
  <c r="DZ26" i="13"/>
  <c r="DY26" i="13"/>
  <c r="EB26" i="13"/>
  <c r="H28" i="54"/>
  <c r="L28" i="54"/>
  <c r="J28" i="54"/>
  <c r="I28" i="54"/>
  <c r="K28" i="54"/>
  <c r="EB35" i="13"/>
  <c r="EA35" i="13"/>
  <c r="DZ35" i="13"/>
  <c r="DY35" i="13"/>
  <c r="J29" i="54"/>
  <c r="H29" i="54"/>
  <c r="I29" i="54"/>
  <c r="L29" i="54"/>
  <c r="K29" i="54"/>
  <c r="EB37" i="13"/>
  <c r="DY37" i="13"/>
  <c r="EA37" i="13"/>
  <c r="DZ37" i="13"/>
  <c r="J8" i="54"/>
  <c r="K8" i="54"/>
  <c r="L8" i="54"/>
  <c r="I8" i="54"/>
  <c r="H8" i="54"/>
  <c r="DZ31" i="13"/>
  <c r="DY31" i="13"/>
  <c r="EB31" i="13"/>
  <c r="EA31" i="13"/>
  <c r="J19" i="52"/>
  <c r="I19" i="52"/>
  <c r="H19" i="52"/>
  <c r="L19" i="52"/>
  <c r="K19" i="52"/>
  <c r="DQ35" i="13"/>
  <c r="DR35" i="13"/>
  <c r="DP35" i="13"/>
  <c r="K13" i="72"/>
  <c r="J13" i="72"/>
  <c r="I13" i="72"/>
  <c r="H13" i="72"/>
  <c r="L13" i="72"/>
  <c r="DR14" i="14"/>
  <c r="DQ14" i="14"/>
  <c r="DP14" i="14"/>
  <c r="I17" i="52"/>
  <c r="K17" i="52"/>
  <c r="J17" i="52"/>
  <c r="H17" i="52"/>
  <c r="L17" i="52"/>
  <c r="DR10" i="13"/>
  <c r="DQ10" i="13"/>
  <c r="DP10" i="13"/>
  <c r="H4" i="52"/>
  <c r="J4" i="52"/>
  <c r="I4" i="52"/>
  <c r="L4" i="52"/>
  <c r="K4" i="52"/>
  <c r="DR19" i="13"/>
  <c r="DQ19" i="13"/>
  <c r="DP19" i="13"/>
  <c r="K24" i="50"/>
  <c r="J24" i="50"/>
  <c r="I24" i="50"/>
  <c r="H24" i="50"/>
  <c r="L24" i="50"/>
  <c r="DH18" i="13"/>
  <c r="DG18" i="13"/>
  <c r="DF18" i="13"/>
  <c r="DE18" i="13"/>
  <c r="J28" i="50"/>
  <c r="H28" i="50"/>
  <c r="I28" i="50"/>
  <c r="L28" i="50"/>
  <c r="K28" i="50"/>
  <c r="DH17" i="13"/>
  <c r="DG17" i="13"/>
  <c r="DF17" i="13"/>
  <c r="DE17" i="13"/>
  <c r="L14" i="70"/>
  <c r="K14" i="70"/>
  <c r="J14" i="70"/>
  <c r="I14" i="70"/>
  <c r="H14" i="70"/>
  <c r="DH18" i="14"/>
  <c r="DG18" i="14"/>
  <c r="DF18" i="14"/>
  <c r="DE18" i="14"/>
  <c r="K19" i="50"/>
  <c r="J19" i="50"/>
  <c r="I19" i="50"/>
  <c r="H19" i="50"/>
  <c r="L19" i="50"/>
  <c r="DH24" i="13"/>
  <c r="DG24" i="13"/>
  <c r="DF24" i="13"/>
  <c r="DE24" i="13"/>
  <c r="BD20" i="10"/>
  <c r="BD15" i="11"/>
  <c r="BD17" i="10"/>
  <c r="GI21" i="9"/>
  <c r="CO6" i="14"/>
  <c r="CO30" i="13"/>
  <c r="CO11" i="13"/>
  <c r="CO12" i="13"/>
  <c r="DH20" i="11"/>
  <c r="BO20" i="11" s="1"/>
  <c r="CR41" i="10"/>
  <c r="CR8" i="11"/>
  <c r="DH27" i="10"/>
  <c r="BO27" i="10" s="1"/>
  <c r="DH13" i="10"/>
  <c r="BO13" i="10" s="1"/>
  <c r="CR20" i="10"/>
  <c r="DH6" i="9"/>
  <c r="BO6" i="9" s="1"/>
  <c r="CO10" i="14"/>
  <c r="CO25" i="13"/>
  <c r="CO19" i="13"/>
  <c r="CO6" i="13"/>
  <c r="CR20" i="11"/>
  <c r="DH39" i="10"/>
  <c r="BO39" i="10" s="1"/>
  <c r="DH8" i="11"/>
  <c r="BO8" i="11" s="1"/>
  <c r="CR27" i="10"/>
  <c r="CR13" i="10"/>
  <c r="DH18" i="10"/>
  <c r="BO18" i="10" s="1"/>
  <c r="CR6" i="9"/>
  <c r="CO9" i="14"/>
  <c r="CO35" i="13"/>
  <c r="CO14" i="13"/>
  <c r="DH19" i="11"/>
  <c r="BO19" i="11" s="1"/>
  <c r="DH18" i="11"/>
  <c r="BO18" i="11" s="1"/>
  <c r="CR39" i="10"/>
  <c r="DH40" i="10"/>
  <c r="BO40" i="10" s="1"/>
  <c r="DH25" i="10"/>
  <c r="BO25" i="10" s="1"/>
  <c r="DH11" i="10"/>
  <c r="BO11" i="10" s="1"/>
  <c r="CR18" i="10"/>
  <c r="CO42" i="13"/>
  <c r="CO34" i="13"/>
  <c r="CO10" i="13"/>
  <c r="CR19" i="11"/>
  <c r="CR18" i="11"/>
  <c r="DH37" i="10"/>
  <c r="BO37" i="10" s="1"/>
  <c r="CR40" i="10"/>
  <c r="CR25" i="10"/>
  <c r="CR11" i="10"/>
  <c r="DH16" i="10"/>
  <c r="BO16" i="10" s="1"/>
  <c r="CO19" i="14"/>
  <c r="CO37" i="13"/>
  <c r="CO20" i="13"/>
  <c r="CO32" i="13"/>
  <c r="DH17" i="11"/>
  <c r="BO17" i="11" s="1"/>
  <c r="DH16" i="11"/>
  <c r="BO16" i="11" s="1"/>
  <c r="CR37" i="10"/>
  <c r="DH38" i="10"/>
  <c r="BO38" i="10" s="1"/>
  <c r="DH23" i="10"/>
  <c r="BO23" i="10" s="1"/>
  <c r="DH9" i="10"/>
  <c r="BO9" i="10" s="1"/>
  <c r="CR16" i="10"/>
  <c r="CO12" i="14"/>
  <c r="CO13" i="14"/>
  <c r="CO29" i="13"/>
  <c r="CO18" i="13"/>
  <c r="CR17" i="11"/>
  <c r="CR16" i="11"/>
  <c r="DH35" i="10"/>
  <c r="BO35" i="10" s="1"/>
  <c r="CR38" i="10"/>
  <c r="CR23" i="10"/>
  <c r="CR9" i="10"/>
  <c r="DH28" i="10"/>
  <c r="BO28" i="10" s="1"/>
  <c r="CO15" i="14"/>
  <c r="CO43" i="13"/>
  <c r="CO17" i="14"/>
  <c r="CO27" i="13"/>
  <c r="DH15" i="11"/>
  <c r="BO15" i="11" s="1"/>
  <c r="DH14" i="11"/>
  <c r="BO14" i="11" s="1"/>
  <c r="CR35" i="10"/>
  <c r="DH36" i="10"/>
  <c r="BO36" i="10" s="1"/>
  <c r="DH21" i="10"/>
  <c r="BO21" i="10" s="1"/>
  <c r="CR28" i="10"/>
  <c r="CR10" i="10"/>
  <c r="CO8" i="14"/>
  <c r="CO11" i="14"/>
  <c r="CO45" i="13"/>
  <c r="CO9" i="13"/>
  <c r="CR15" i="11"/>
  <c r="CR14" i="11"/>
  <c r="DH33" i="10"/>
  <c r="BO33" i="10" s="1"/>
  <c r="CR36" i="10"/>
  <c r="CR21" i="10"/>
  <c r="DH26" i="10"/>
  <c r="BO26" i="10" s="1"/>
  <c r="CR8" i="10"/>
  <c r="CO18" i="14"/>
  <c r="CO41" i="13"/>
  <c r="CO44" i="13"/>
  <c r="CO13" i="13"/>
  <c r="DH13" i="11"/>
  <c r="BO13" i="11" s="1"/>
  <c r="DH12" i="11"/>
  <c r="BO12" i="11" s="1"/>
  <c r="CR33" i="10"/>
  <c r="DH34" i="10"/>
  <c r="BO34" i="10" s="1"/>
  <c r="DH19" i="10"/>
  <c r="BO19" i="10" s="1"/>
  <c r="CR26" i="10"/>
  <c r="DH14" i="10"/>
  <c r="BO14" i="10" s="1"/>
  <c r="CO14" i="14"/>
  <c r="CO16" i="14"/>
  <c r="CO24" i="13"/>
  <c r="CO17" i="13"/>
  <c r="CR13" i="11"/>
  <c r="CR12" i="11"/>
  <c r="DH31" i="10"/>
  <c r="BO31" i="10" s="1"/>
  <c r="CR34" i="10"/>
  <c r="CR19" i="10"/>
  <c r="DH24" i="10"/>
  <c r="BO24" i="10" s="1"/>
  <c r="DH10" i="10"/>
  <c r="BO10" i="10" s="1"/>
  <c r="CO46" i="13"/>
  <c r="CO22" i="13"/>
  <c r="CO33" i="13"/>
  <c r="CO8" i="13"/>
  <c r="DH11" i="11"/>
  <c r="BO11" i="11" s="1"/>
  <c r="DH10" i="11"/>
  <c r="BO10" i="11" s="1"/>
  <c r="CR31" i="10"/>
  <c r="DH32" i="10"/>
  <c r="BO32" i="10" s="1"/>
  <c r="DH17" i="10"/>
  <c r="BO17" i="10" s="1"/>
  <c r="CR24" i="10"/>
  <c r="DH12" i="10"/>
  <c r="BO12" i="10" s="1"/>
  <c r="CO39" i="13"/>
  <c r="CO31" i="13"/>
  <c r="CO28" i="13"/>
  <c r="CO36" i="13"/>
  <c r="CR11" i="11"/>
  <c r="CR10" i="11"/>
  <c r="DH29" i="10"/>
  <c r="BO29" i="10" s="1"/>
  <c r="CR32" i="10"/>
  <c r="CR17" i="10"/>
  <c r="DH22" i="10"/>
  <c r="BO22" i="10" s="1"/>
  <c r="CR14" i="10"/>
  <c r="CO47" i="13"/>
  <c r="CO26" i="13"/>
  <c r="CO23" i="13"/>
  <c r="CO21" i="13"/>
  <c r="DH9" i="11"/>
  <c r="BO9" i="11" s="1"/>
  <c r="CR42" i="10"/>
  <c r="CR29" i="10"/>
  <c r="DH30" i="10"/>
  <c r="BO30" i="10" s="1"/>
  <c r="DH15" i="10"/>
  <c r="BO15" i="10" s="1"/>
  <c r="CR22" i="10"/>
  <c r="CR12" i="10"/>
  <c r="CO38" i="13"/>
  <c r="CO40" i="13"/>
  <c r="CO15" i="13"/>
  <c r="CO16" i="13"/>
  <c r="CR9" i="11"/>
  <c r="DH41" i="10"/>
  <c r="BO41" i="10" s="1"/>
  <c r="DH42" i="10"/>
  <c r="BO42" i="10" s="1"/>
  <c r="CR30" i="10"/>
  <c r="CR15" i="10"/>
  <c r="DH20" i="10"/>
  <c r="BO20" i="10" s="1"/>
  <c r="DH8" i="10"/>
  <c r="BO8" i="10" s="1"/>
  <c r="BF1" i="9" l="1"/>
  <c r="DF7" i="14"/>
  <c r="DG7" i="14"/>
  <c r="BE1" i="9"/>
  <c r="I10" i="27"/>
  <c r="L10" i="27"/>
  <c r="HY10" i="11"/>
  <c r="HY9" i="11"/>
  <c r="HY33" i="10"/>
  <c r="EB6" i="14"/>
  <c r="DZ6" i="14"/>
  <c r="DU6" i="11"/>
  <c r="DU6" i="10"/>
  <c r="DU7" i="9"/>
  <c r="I10" i="68"/>
  <c r="I23" i="48"/>
  <c r="U5" i="24"/>
  <c r="GU43" i="13"/>
  <c r="GU22" i="13"/>
  <c r="U28" i="44" s="1"/>
  <c r="GU28" i="13"/>
  <c r="U30" i="44" s="1"/>
  <c r="GU34" i="13"/>
  <c r="U25" i="44" s="1"/>
  <c r="GX40" i="10"/>
  <c r="GX42" i="10"/>
  <c r="GX22" i="10"/>
  <c r="GU47" i="13"/>
  <c r="GU31" i="13"/>
  <c r="U7" i="44" s="1"/>
  <c r="GU15" i="13"/>
  <c r="U26" i="44" s="1"/>
  <c r="GU12" i="13"/>
  <c r="U14" i="44" s="1"/>
  <c r="GX38" i="10"/>
  <c r="GX25" i="10"/>
  <c r="GX20" i="10"/>
  <c r="GU39" i="13"/>
  <c r="GU38" i="13"/>
  <c r="U34" i="44" s="1"/>
  <c r="GU11" i="13"/>
  <c r="U15" i="44" s="1"/>
  <c r="GX20" i="11"/>
  <c r="GX36" i="10"/>
  <c r="GX23" i="10"/>
  <c r="GX18" i="10"/>
  <c r="GU10" i="14"/>
  <c r="U10" i="64" s="1"/>
  <c r="GU21" i="13"/>
  <c r="U20" i="44" s="1"/>
  <c r="GU23" i="13"/>
  <c r="U11" i="44" s="1"/>
  <c r="GX18" i="11"/>
  <c r="GX34" i="10"/>
  <c r="GX21" i="10"/>
  <c r="GX16" i="10"/>
  <c r="GU9" i="14"/>
  <c r="U6" i="64" s="1"/>
  <c r="GU16" i="14"/>
  <c r="U12" i="64" s="1"/>
  <c r="GU14" i="13"/>
  <c r="U6" i="44" s="1"/>
  <c r="GX16" i="11"/>
  <c r="GX12" i="11"/>
  <c r="GX19" i="10"/>
  <c r="GX14" i="10"/>
  <c r="GU42" i="13"/>
  <c r="GU41" i="13"/>
  <c r="GU19" i="13"/>
  <c r="U4" i="44" s="1"/>
  <c r="GX14" i="11"/>
  <c r="GX8" i="11"/>
  <c r="GX17" i="10"/>
  <c r="GX12" i="10"/>
  <c r="GU13" i="14"/>
  <c r="U7" i="64" s="1"/>
  <c r="GU30" i="13"/>
  <c r="U5" i="44" s="1"/>
  <c r="GU18" i="13"/>
  <c r="U21" i="44" s="1"/>
  <c r="GU16" i="13"/>
  <c r="U12" i="44" s="1"/>
  <c r="GX41" i="10"/>
  <c r="GX15" i="10"/>
  <c r="GX10" i="10"/>
  <c r="GU17" i="14"/>
  <c r="U11" i="64" s="1"/>
  <c r="GU11" i="14"/>
  <c r="U5" i="64" s="1"/>
  <c r="GU9" i="13"/>
  <c r="U10" i="44" s="1"/>
  <c r="GU10" i="13"/>
  <c r="U17" i="44" s="1"/>
  <c r="GX39" i="10"/>
  <c r="GX13" i="10"/>
  <c r="GX8" i="10"/>
  <c r="GU19" i="14"/>
  <c r="GU44" i="13"/>
  <c r="GU45" i="13"/>
  <c r="GU32" i="13"/>
  <c r="U16" i="44" s="1"/>
  <c r="GX19" i="11"/>
  <c r="GX37" i="10"/>
  <c r="GX11" i="10"/>
  <c r="GX28" i="10"/>
  <c r="GU12" i="14"/>
  <c r="U9" i="64" s="1"/>
  <c r="GU36" i="13"/>
  <c r="U18" i="44" s="1"/>
  <c r="GU25" i="13"/>
  <c r="U22" i="44" s="1"/>
  <c r="GU20" i="13"/>
  <c r="U27" i="44" s="1"/>
  <c r="GX17" i="11"/>
  <c r="GX35" i="10"/>
  <c r="GX9" i="10"/>
  <c r="GX32" i="10"/>
  <c r="GU15" i="14"/>
  <c r="U4" i="64" s="1"/>
  <c r="GU46" i="13"/>
  <c r="GU29" i="13"/>
  <c r="U31" i="44" s="1"/>
  <c r="GU13" i="13"/>
  <c r="U8" i="44" s="1"/>
  <c r="GX15" i="11"/>
  <c r="GX33" i="10"/>
  <c r="GX27" i="10"/>
  <c r="GU8" i="14"/>
  <c r="GU40" i="13"/>
  <c r="GU24" i="13"/>
  <c r="U13" i="44" s="1"/>
  <c r="GU17" i="13"/>
  <c r="U24" i="44" s="1"/>
  <c r="GX13" i="11"/>
  <c r="GX31" i="10"/>
  <c r="GX30" i="10"/>
  <c r="GX6" i="9"/>
  <c r="GU18" i="14"/>
  <c r="U14" i="64" s="1"/>
  <c r="GU37" i="13"/>
  <c r="U33" i="44" s="1"/>
  <c r="GU33" i="13"/>
  <c r="U32" i="44" s="1"/>
  <c r="GU26" i="13"/>
  <c r="U9" i="44" s="1"/>
  <c r="GX11" i="11"/>
  <c r="GX29" i="10"/>
  <c r="GX26" i="10"/>
  <c r="GU14" i="14"/>
  <c r="U13" i="64" s="1"/>
  <c r="GU27" i="13"/>
  <c r="U29" i="44" s="1"/>
  <c r="GU35" i="13"/>
  <c r="U19" i="44" s="1"/>
  <c r="GU8" i="13"/>
  <c r="GX9" i="11"/>
  <c r="GX10" i="11"/>
  <c r="GX24" i="10"/>
  <c r="DY6" i="14"/>
  <c r="T12" i="26"/>
  <c r="FK21" i="9"/>
  <c r="HM11" i="14"/>
  <c r="T4" i="66" s="1"/>
  <c r="HM40" i="13"/>
  <c r="HM28" i="13"/>
  <c r="T13" i="46" s="1"/>
  <c r="HM17" i="13"/>
  <c r="T29" i="46" s="1"/>
  <c r="HP10" i="11"/>
  <c r="HP29" i="10"/>
  <c r="HP33" i="10"/>
  <c r="HP10" i="10"/>
  <c r="HM14" i="14"/>
  <c r="T8" i="66" s="1"/>
  <c r="HM15" i="14"/>
  <c r="T7" i="66" s="1"/>
  <c r="HM23" i="13"/>
  <c r="T14" i="46" s="1"/>
  <c r="HM26" i="13"/>
  <c r="T15" i="46" s="1"/>
  <c r="HP17" i="11"/>
  <c r="HP32" i="10"/>
  <c r="HP30" i="10"/>
  <c r="HM17" i="14"/>
  <c r="T13" i="66" s="1"/>
  <c r="HM45" i="13"/>
  <c r="HM39" i="13"/>
  <c r="HM8" i="13"/>
  <c r="HP19" i="11"/>
  <c r="HP27" i="10"/>
  <c r="HP34" i="10"/>
  <c r="HP6" i="9"/>
  <c r="HM13" i="14"/>
  <c r="T11" i="66" s="1"/>
  <c r="HM47" i="13"/>
  <c r="HM38" i="13"/>
  <c r="T28" i="46" s="1"/>
  <c r="HM16" i="13"/>
  <c r="T7" i="46" s="1"/>
  <c r="HP13" i="11"/>
  <c r="HP26" i="10"/>
  <c r="HP28" i="10"/>
  <c r="HM19" i="14"/>
  <c r="HM21" i="13"/>
  <c r="T17" i="46" s="1"/>
  <c r="HM32" i="13"/>
  <c r="T16" i="46" s="1"/>
  <c r="HM12" i="13"/>
  <c r="T21" i="46" s="1"/>
  <c r="HP41" i="10"/>
  <c r="HP24" i="10"/>
  <c r="HP25" i="10"/>
  <c r="HM16" i="14"/>
  <c r="T12" i="66" s="1"/>
  <c r="HM30" i="13"/>
  <c r="T10" i="46" s="1"/>
  <c r="HM35" i="13"/>
  <c r="T31" i="46" s="1"/>
  <c r="HM31" i="13"/>
  <c r="T11" i="46" s="1"/>
  <c r="HP39" i="10"/>
  <c r="HP22" i="10"/>
  <c r="HP23" i="10"/>
  <c r="HM10" i="14"/>
  <c r="T9" i="66" s="1"/>
  <c r="HM25" i="13"/>
  <c r="T34" i="46" s="1"/>
  <c r="HM27" i="13"/>
  <c r="T9" i="46" s="1"/>
  <c r="HM20" i="13"/>
  <c r="T26" i="46" s="1"/>
  <c r="HP9" i="11"/>
  <c r="HP20" i="10"/>
  <c r="HP21" i="10"/>
  <c r="HM9" i="14"/>
  <c r="T5" i="66" s="1"/>
  <c r="HM46" i="13"/>
  <c r="HM34" i="13"/>
  <c r="T33" i="46" s="1"/>
  <c r="HM15" i="13"/>
  <c r="T23" i="46" s="1"/>
  <c r="HP8" i="11"/>
  <c r="HP18" i="10"/>
  <c r="HP19" i="10"/>
  <c r="HM8" i="14"/>
  <c r="HM43" i="13"/>
  <c r="HM14" i="13"/>
  <c r="T5" i="46" s="1"/>
  <c r="HM11" i="13"/>
  <c r="T20" i="46" s="1"/>
  <c r="HP42" i="10"/>
  <c r="HP16" i="10"/>
  <c r="HP17" i="10"/>
  <c r="HM42" i="13"/>
  <c r="HM29" i="13"/>
  <c r="T25" i="46" s="1"/>
  <c r="HM10" i="13"/>
  <c r="T27" i="46" s="1"/>
  <c r="HP20" i="11"/>
  <c r="HP40" i="10"/>
  <c r="HP14" i="10"/>
  <c r="HP15" i="10"/>
  <c r="HM37" i="13"/>
  <c r="T32" i="46" s="1"/>
  <c r="HM24" i="13"/>
  <c r="T19" i="46" s="1"/>
  <c r="HM22" i="13"/>
  <c r="T8" i="46" s="1"/>
  <c r="HP18" i="11"/>
  <c r="HP38" i="10"/>
  <c r="HP12" i="10"/>
  <c r="HP13" i="10"/>
  <c r="HM41" i="13"/>
  <c r="HM33" i="13"/>
  <c r="T30" i="46" s="1"/>
  <c r="HM18" i="13"/>
  <c r="T24" i="46" s="1"/>
  <c r="HP16" i="11"/>
  <c r="HP36" i="10"/>
  <c r="HP35" i="10"/>
  <c r="HP8" i="10"/>
  <c r="HM36" i="13"/>
  <c r="T22" i="46" s="1"/>
  <c r="HM19" i="13"/>
  <c r="T4" i="46" s="1"/>
  <c r="HM9" i="13"/>
  <c r="T6" i="46" s="1"/>
  <c r="HP14" i="11"/>
  <c r="HP11" i="11"/>
  <c r="HP31" i="10"/>
  <c r="HP11" i="10"/>
  <c r="HM18" i="14"/>
  <c r="T14" i="66" s="1"/>
  <c r="HM44" i="13"/>
  <c r="HM12" i="14"/>
  <c r="T10" i="66" s="1"/>
  <c r="HM13" i="13"/>
  <c r="T12" i="46" s="1"/>
  <c r="HP12" i="11"/>
  <c r="HP15" i="11"/>
  <c r="HP37" i="10"/>
  <c r="HP9" i="10"/>
  <c r="K10" i="68"/>
  <c r="K8" i="48"/>
  <c r="K25" i="48"/>
  <c r="L10" i="68"/>
  <c r="L13" i="48"/>
  <c r="L17" i="48"/>
  <c r="J11" i="68"/>
  <c r="J34" i="48"/>
  <c r="J13" i="68"/>
  <c r="J33" i="48"/>
  <c r="BD6" i="11"/>
  <c r="BE1" i="11" s="1"/>
  <c r="BD6" i="10"/>
  <c r="BH1" i="10" s="1"/>
  <c r="HY18" i="10"/>
  <c r="HY22" i="10"/>
  <c r="HY26" i="10"/>
  <c r="HY29" i="10"/>
  <c r="HY9" i="10"/>
  <c r="HV46" i="13"/>
  <c r="H14" i="48"/>
  <c r="HV25" i="13"/>
  <c r="J33" i="47" s="1"/>
  <c r="HY19" i="11"/>
  <c r="EN6" i="11"/>
  <c r="EN6" i="10"/>
  <c r="EN7" i="9"/>
  <c r="I5" i="68"/>
  <c r="I33" i="48"/>
  <c r="I5" i="48"/>
  <c r="I16" i="48"/>
  <c r="K5" i="48"/>
  <c r="K34" i="48"/>
  <c r="K32" i="48"/>
  <c r="L4" i="48"/>
  <c r="L8" i="68"/>
  <c r="L27" i="48"/>
  <c r="L19" i="48"/>
  <c r="J5" i="48"/>
  <c r="HY21" i="10"/>
  <c r="HY25" i="10"/>
  <c r="HY10" i="10"/>
  <c r="H11" i="68"/>
  <c r="HV13" i="14"/>
  <c r="J11" i="67" s="1"/>
  <c r="H5" i="48"/>
  <c r="I19" i="48"/>
  <c r="I17" i="48"/>
  <c r="I10" i="48"/>
  <c r="DT6" i="11"/>
  <c r="DT6" i="10"/>
  <c r="DT7" i="9"/>
  <c r="V9" i="25"/>
  <c r="HG6" i="9"/>
  <c r="HD40" i="13"/>
  <c r="HG8" i="10"/>
  <c r="HG25" i="10"/>
  <c r="HD20" i="13"/>
  <c r="V23" i="45" s="1"/>
  <c r="HG11" i="10"/>
  <c r="HG23" i="10"/>
  <c r="HG41" i="10"/>
  <c r="HD14" i="14"/>
  <c r="V9" i="65" s="1"/>
  <c r="HD28" i="13"/>
  <c r="V12" i="45" s="1"/>
  <c r="HD15" i="14"/>
  <c r="V6" i="65" s="1"/>
  <c r="HG34" i="10"/>
  <c r="HG9" i="10"/>
  <c r="HG17" i="10"/>
  <c r="HD24" i="13"/>
  <c r="V17" i="45" s="1"/>
  <c r="HG18" i="11"/>
  <c r="HD21" i="13"/>
  <c r="V18" i="45" s="1"/>
  <c r="HG33" i="10"/>
  <c r="HD13" i="14"/>
  <c r="V10" i="65" s="1"/>
  <c r="HD41" i="13"/>
  <c r="HD25" i="13"/>
  <c r="V32" i="45" s="1"/>
  <c r="HG16" i="10"/>
  <c r="HG18" i="10"/>
  <c r="HG17" i="11"/>
  <c r="HD16" i="14"/>
  <c r="V12" i="65" s="1"/>
  <c r="HD47" i="13"/>
  <c r="HD9" i="14"/>
  <c r="V11" i="65" s="1"/>
  <c r="HD13" i="13"/>
  <c r="V25" i="45" s="1"/>
  <c r="HG16" i="11"/>
  <c r="HG10" i="10"/>
  <c r="HG21" i="10"/>
  <c r="HD12" i="13"/>
  <c r="V13" i="45" s="1"/>
  <c r="HD37" i="13"/>
  <c r="V29" i="45" s="1"/>
  <c r="HD42" i="13"/>
  <c r="HG42" i="10"/>
  <c r="HD35" i="13"/>
  <c r="V28" i="45" s="1"/>
  <c r="HD34" i="13"/>
  <c r="V30" i="45" s="1"/>
  <c r="HD12" i="14"/>
  <c r="V7" i="65" s="1"/>
  <c r="HG30" i="10"/>
  <c r="HD14" i="13"/>
  <c r="V15" i="45" s="1"/>
  <c r="HD18" i="13"/>
  <c r="V21" i="45" s="1"/>
  <c r="HG20" i="10"/>
  <c r="HG14" i="11"/>
  <c r="HD17" i="13"/>
  <c r="V26" i="45" s="1"/>
  <c r="HG31" i="10"/>
  <c r="HG39" i="10"/>
  <c r="HD9" i="13"/>
  <c r="V5" i="45" s="1"/>
  <c r="HG19" i="11"/>
  <c r="HG35" i="10"/>
  <c r="HG14" i="10"/>
  <c r="HG40" i="10"/>
  <c r="HD11" i="14"/>
  <c r="V4" i="65" s="1"/>
  <c r="HG36" i="10"/>
  <c r="HG11" i="11"/>
  <c r="HG24" i="10"/>
  <c r="HD18" i="14"/>
  <c r="V14" i="65" s="1"/>
  <c r="HD27" i="13"/>
  <c r="V9" i="45" s="1"/>
  <c r="HG15" i="10"/>
  <c r="HD11" i="13"/>
  <c r="V19" i="45" s="1"/>
  <c r="HD23" i="13"/>
  <c r="V11" i="45" s="1"/>
  <c r="HD17" i="14"/>
  <c r="V13" i="65" s="1"/>
  <c r="HG19" i="10"/>
  <c r="HG13" i="10"/>
  <c r="HD32" i="13"/>
  <c r="V16" i="45" s="1"/>
  <c r="HG10" i="11"/>
  <c r="HD44" i="13"/>
  <c r="HG9" i="11"/>
  <c r="HD46" i="13"/>
  <c r="HD19" i="14"/>
  <c r="HD36" i="13"/>
  <c r="V31" i="45" s="1"/>
  <c r="HD16" i="13"/>
  <c r="V6" i="45" s="1"/>
  <c r="HG12" i="10"/>
  <c r="HD8" i="13"/>
  <c r="HG27" i="10"/>
  <c r="HD22" i="13"/>
  <c r="V7" i="45" s="1"/>
  <c r="HD43" i="13"/>
  <c r="HD8" i="14"/>
  <c r="HG12" i="11"/>
  <c r="HD33" i="13"/>
  <c r="V27" i="45" s="1"/>
  <c r="HD10" i="14"/>
  <c r="V8" i="65" s="1"/>
  <c r="HG38" i="10"/>
  <c r="HD39" i="13"/>
  <c r="HD15" i="13"/>
  <c r="V20" i="45" s="1"/>
  <c r="HD26" i="13"/>
  <c r="V14" i="45" s="1"/>
  <c r="HD30" i="13"/>
  <c r="V10" i="45" s="1"/>
  <c r="HG32" i="10"/>
  <c r="HG20" i="11"/>
  <c r="HD31" i="13"/>
  <c r="V8" i="45" s="1"/>
  <c r="HG37" i="10"/>
  <c r="HD19" i="13"/>
  <c r="V4" i="45" s="1"/>
  <c r="HG8" i="11"/>
  <c r="HD10" i="13"/>
  <c r="V24" i="45" s="1"/>
  <c r="HD38" i="13"/>
  <c r="V34" i="45" s="1"/>
  <c r="HG29" i="10"/>
  <c r="HG22" i="10"/>
  <c r="HD29" i="13"/>
  <c r="V22" i="45" s="1"/>
  <c r="HD45" i="13"/>
  <c r="HG26" i="10"/>
  <c r="HG28" i="10"/>
  <c r="HG15" i="11"/>
  <c r="HG13" i="11"/>
  <c r="K23" i="48"/>
  <c r="K27" i="48"/>
  <c r="L7" i="68"/>
  <c r="L3" i="68"/>
  <c r="L20" i="48"/>
  <c r="L24" i="48"/>
  <c r="L5" i="68"/>
  <c r="J5" i="68"/>
  <c r="J12" i="68"/>
  <c r="J17" i="48"/>
  <c r="HY30" i="10"/>
  <c r="HY34" i="10"/>
  <c r="HY38" i="10"/>
  <c r="H15" i="48"/>
  <c r="HV22" i="13"/>
  <c r="H9" i="47" s="1"/>
  <c r="H9" i="48"/>
  <c r="HV21" i="13"/>
  <c r="L17" i="47" s="1"/>
  <c r="HY13" i="10"/>
  <c r="H6" i="68"/>
  <c r="HV9" i="14"/>
  <c r="H6" i="67" s="1"/>
  <c r="H22" i="48"/>
  <c r="HV35" i="13"/>
  <c r="J31" i="47" s="1"/>
  <c r="AH6" i="11"/>
  <c r="AH7" i="11" s="1"/>
  <c r="AH6" i="10"/>
  <c r="AH7" i="10" s="1"/>
  <c r="AH7" i="9"/>
  <c r="EE6" i="11"/>
  <c r="EE6" i="10"/>
  <c r="EE7" i="9"/>
  <c r="AI17" i="14"/>
  <c r="AI10" i="14"/>
  <c r="AI13" i="14"/>
  <c r="AI47" i="13"/>
  <c r="AI19" i="14"/>
  <c r="AI14" i="14"/>
  <c r="AI16" i="14"/>
  <c r="AI9" i="14"/>
  <c r="AI8" i="14"/>
  <c r="AI6" i="14"/>
  <c r="AI7" i="14" s="1"/>
  <c r="AI40" i="13"/>
  <c r="AI35" i="13"/>
  <c r="AI18" i="14"/>
  <c r="AI11" i="14"/>
  <c r="AI39" i="13"/>
  <c r="AI12" i="14"/>
  <c r="AI15" i="14"/>
  <c r="AI44" i="13"/>
  <c r="AI42" i="13"/>
  <c r="AI41" i="13"/>
  <c r="AI33" i="13"/>
  <c r="AI28" i="13"/>
  <c r="AI46" i="13"/>
  <c r="AI45" i="13"/>
  <c r="AI23" i="13"/>
  <c r="AI32" i="13"/>
  <c r="AI27" i="13"/>
  <c r="AI43" i="13"/>
  <c r="AI36" i="13"/>
  <c r="AI22" i="13"/>
  <c r="AI31" i="13"/>
  <c r="AI26" i="13"/>
  <c r="AI38" i="13"/>
  <c r="AI37" i="13"/>
  <c r="AI30" i="13"/>
  <c r="AI25" i="13"/>
  <c r="AI34" i="13"/>
  <c r="AI29" i="13"/>
  <c r="AI8" i="13"/>
  <c r="AI16" i="13"/>
  <c r="AI12" i="13"/>
  <c r="AI15" i="13"/>
  <c r="AI11" i="13"/>
  <c r="AI19" i="13"/>
  <c r="AI14" i="13"/>
  <c r="AI10" i="13"/>
  <c r="AI21" i="13"/>
  <c r="AI18" i="13"/>
  <c r="AI24" i="13"/>
  <c r="AI20" i="13"/>
  <c r="AI17" i="13"/>
  <c r="AI20" i="11"/>
  <c r="AI18" i="11"/>
  <c r="AI16" i="11"/>
  <c r="AI14" i="11"/>
  <c r="AI12" i="11"/>
  <c r="AI10" i="11"/>
  <c r="AI8" i="11"/>
  <c r="AI9" i="13"/>
  <c r="AI6" i="13"/>
  <c r="AI7" i="13" s="1"/>
  <c r="AI13" i="13"/>
  <c r="AI19" i="11"/>
  <c r="AI17" i="11"/>
  <c r="AI15" i="11"/>
  <c r="AI13" i="11"/>
  <c r="AI11" i="11"/>
  <c r="AI9" i="11"/>
  <c r="AI40" i="10"/>
  <c r="AI38" i="10"/>
  <c r="AI36" i="10"/>
  <c r="AI34" i="10"/>
  <c r="AI32" i="10"/>
  <c r="AI30" i="10"/>
  <c r="AI42" i="10"/>
  <c r="AI41" i="10"/>
  <c r="AI39" i="10"/>
  <c r="AI37" i="10"/>
  <c r="AI35" i="10"/>
  <c r="AI33" i="10"/>
  <c r="AI31" i="10"/>
  <c r="AI29" i="10"/>
  <c r="AI26" i="10"/>
  <c r="AI24" i="10"/>
  <c r="AI22" i="10"/>
  <c r="AI20" i="10"/>
  <c r="AI18" i="10"/>
  <c r="AI16" i="10"/>
  <c r="AI14" i="10"/>
  <c r="AI12" i="10"/>
  <c r="AI10" i="10"/>
  <c r="AI8" i="10"/>
  <c r="AI28" i="10"/>
  <c r="AI27" i="10"/>
  <c r="AI25" i="10"/>
  <c r="AI23" i="10"/>
  <c r="AI21" i="10"/>
  <c r="AI19" i="10"/>
  <c r="AI17" i="10"/>
  <c r="AI13" i="10"/>
  <c r="AI15" i="10"/>
  <c r="AI11" i="10"/>
  <c r="AI9" i="10"/>
  <c r="AJ21" i="9"/>
  <c r="AI6" i="9"/>
  <c r="X9" i="25"/>
  <c r="HJ24" i="13"/>
  <c r="X17" i="45" s="1"/>
  <c r="HM11" i="11"/>
  <c r="HJ32" i="13"/>
  <c r="X16" i="45" s="1"/>
  <c r="HJ43" i="13"/>
  <c r="HJ35" i="13"/>
  <c r="X28" i="45" s="1"/>
  <c r="HM13" i="10"/>
  <c r="HJ9" i="14"/>
  <c r="X11" i="65" s="1"/>
  <c r="HJ19" i="13"/>
  <c r="X4" i="45" s="1"/>
  <c r="HJ30" i="13"/>
  <c r="X10" i="45" s="1"/>
  <c r="HM20" i="10"/>
  <c r="HJ23" i="13"/>
  <c r="X11" i="45" s="1"/>
  <c r="HM9" i="10"/>
  <c r="HJ25" i="13"/>
  <c r="X32" i="45" s="1"/>
  <c r="HJ16" i="14"/>
  <c r="X12" i="65" s="1"/>
  <c r="HM28" i="10"/>
  <c r="HM42" i="10"/>
  <c r="HJ12" i="14"/>
  <c r="X7" i="65" s="1"/>
  <c r="HM26" i="10"/>
  <c r="HM20" i="11"/>
  <c r="HJ8" i="14"/>
  <c r="HM39" i="10"/>
  <c r="HM34" i="10"/>
  <c r="HJ11" i="14"/>
  <c r="X4" i="65" s="1"/>
  <c r="HM16" i="11"/>
  <c r="HJ21" i="13"/>
  <c r="X18" i="45" s="1"/>
  <c r="HM12" i="10"/>
  <c r="HM17" i="11"/>
  <c r="HM22" i="10"/>
  <c r="HM12" i="11"/>
  <c r="HJ8" i="13"/>
  <c r="HJ33" i="13"/>
  <c r="X27" i="45" s="1"/>
  <c r="HM17" i="10"/>
  <c r="HM14" i="10"/>
  <c r="HJ14" i="13"/>
  <c r="X15" i="45" s="1"/>
  <c r="HM30" i="10"/>
  <c r="HJ16" i="13"/>
  <c r="X6" i="45" s="1"/>
  <c r="HJ28" i="13"/>
  <c r="X12" i="45" s="1"/>
  <c r="HM6" i="9"/>
  <c r="HM40" i="10"/>
  <c r="HJ42" i="13"/>
  <c r="HM29" i="10"/>
  <c r="HM19" i="10"/>
  <c r="HM18" i="10"/>
  <c r="HJ45" i="13"/>
  <c r="HM41" i="10"/>
  <c r="HJ36" i="13"/>
  <c r="X31" i="45" s="1"/>
  <c r="HJ41" i="13"/>
  <c r="HM11" i="10"/>
  <c r="HJ15" i="14"/>
  <c r="X6" i="65" s="1"/>
  <c r="HJ12" i="13"/>
  <c r="X13" i="45" s="1"/>
  <c r="HM31" i="10"/>
  <c r="HM25" i="10"/>
  <c r="HJ34" i="13"/>
  <c r="X30" i="45" s="1"/>
  <c r="HM19" i="11"/>
  <c r="HJ13" i="14"/>
  <c r="X10" i="65" s="1"/>
  <c r="HJ17" i="14"/>
  <c r="X13" i="65" s="1"/>
  <c r="HJ9" i="13"/>
  <c r="X5" i="45" s="1"/>
  <c r="HM9" i="11"/>
  <c r="HM37" i="10"/>
  <c r="HJ11" i="13"/>
  <c r="X19" i="45" s="1"/>
  <c r="HM24" i="10"/>
  <c r="HJ46" i="13"/>
  <c r="HM18" i="11"/>
  <c r="HJ18" i="14"/>
  <c r="X14" i="65" s="1"/>
  <c r="HM8" i="10"/>
  <c r="HJ29" i="13"/>
  <c r="X22" i="45" s="1"/>
  <c r="HJ18" i="13"/>
  <c r="X21" i="45" s="1"/>
  <c r="HM15" i="11"/>
  <c r="HJ26" i="13"/>
  <c r="X14" i="45" s="1"/>
  <c r="HM32" i="10"/>
  <c r="HJ17" i="13"/>
  <c r="X26" i="45" s="1"/>
  <c r="HJ37" i="13"/>
  <c r="X29" i="45" s="1"/>
  <c r="HM15" i="10"/>
  <c r="HJ10" i="14"/>
  <c r="X8" i="65" s="1"/>
  <c r="HJ20" i="13"/>
  <c r="X23" i="45" s="1"/>
  <c r="HM16" i="10"/>
  <c r="HJ10" i="13"/>
  <c r="X24" i="45" s="1"/>
  <c r="HJ39" i="13"/>
  <c r="HM10" i="11"/>
  <c r="HJ40" i="13"/>
  <c r="HM8" i="11"/>
  <c r="HJ19" i="14"/>
  <c r="HJ38" i="13"/>
  <c r="X34" i="45" s="1"/>
  <c r="HM10" i="10"/>
  <c r="HM23" i="10"/>
  <c r="HJ44" i="13"/>
  <c r="HJ14" i="14"/>
  <c r="X9" i="65" s="1"/>
  <c r="HM27" i="10"/>
  <c r="HJ15" i="13"/>
  <c r="X20" i="45" s="1"/>
  <c r="HM36" i="10"/>
  <c r="HJ27" i="13"/>
  <c r="X9" i="45" s="1"/>
  <c r="HM21" i="10"/>
  <c r="HM35" i="10"/>
  <c r="HJ47" i="13"/>
  <c r="HJ13" i="13"/>
  <c r="X25" i="45" s="1"/>
  <c r="HM33" i="10"/>
  <c r="HM13" i="11"/>
  <c r="HJ31" i="13"/>
  <c r="X8" i="45" s="1"/>
  <c r="HM14" i="11"/>
  <c r="HJ22" i="13"/>
  <c r="X7" i="45" s="1"/>
  <c r="HM38" i="10"/>
  <c r="V5" i="24"/>
  <c r="GX32" i="13"/>
  <c r="V16" i="44" s="1"/>
  <c r="GX18" i="13"/>
  <c r="V21" i="44" s="1"/>
  <c r="GX35" i="13"/>
  <c r="V19" i="44" s="1"/>
  <c r="HA12" i="10"/>
  <c r="GX13" i="14"/>
  <c r="V7" i="64" s="1"/>
  <c r="GX10" i="13"/>
  <c r="V17" i="44" s="1"/>
  <c r="HA30" i="10"/>
  <c r="GX46" i="13"/>
  <c r="GX8" i="13"/>
  <c r="HA11" i="11"/>
  <c r="GX13" i="13"/>
  <c r="V8" i="44" s="1"/>
  <c r="HA11" i="10"/>
  <c r="GX24" i="13"/>
  <c r="V13" i="44" s="1"/>
  <c r="HA8" i="11"/>
  <c r="GX9" i="14"/>
  <c r="V6" i="64" s="1"/>
  <c r="HA16" i="11"/>
  <c r="HA35" i="10"/>
  <c r="GX15" i="13"/>
  <c r="V26" i="44" s="1"/>
  <c r="HA42" i="10"/>
  <c r="GX14" i="14"/>
  <c r="V13" i="64" s="1"/>
  <c r="HA19" i="11"/>
  <c r="GX10" i="14"/>
  <c r="V10" i="64" s="1"/>
  <c r="HA38" i="10"/>
  <c r="HA20" i="10"/>
  <c r="HA31" i="10"/>
  <c r="GX18" i="14"/>
  <c r="V14" i="64" s="1"/>
  <c r="GX14" i="13"/>
  <c r="V6" i="44" s="1"/>
  <c r="HA28" i="10"/>
  <c r="HA40" i="10"/>
  <c r="GX41" i="13"/>
  <c r="GX25" i="13"/>
  <c r="V22" i="44" s="1"/>
  <c r="GX23" i="13"/>
  <c r="V11" i="44" s="1"/>
  <c r="HA32" i="10"/>
  <c r="HA8" i="10"/>
  <c r="HA16" i="10"/>
  <c r="GX29" i="13"/>
  <c r="V31" i="44" s="1"/>
  <c r="HA13" i="11"/>
  <c r="GX38" i="13"/>
  <c r="V34" i="44" s="1"/>
  <c r="GX44" i="13"/>
  <c r="HA10" i="10"/>
  <c r="GX42" i="13"/>
  <c r="HA18" i="11"/>
  <c r="HA6" i="9"/>
  <c r="GX39" i="13"/>
  <c r="GX45" i="13"/>
  <c r="GX12" i="14"/>
  <c r="V9" i="64" s="1"/>
  <c r="GX8" i="14"/>
  <c r="HA25" i="10"/>
  <c r="GX20" i="13"/>
  <c r="V27" i="44" s="1"/>
  <c r="GX40" i="13"/>
  <c r="GX37" i="13"/>
  <c r="V33" i="44" s="1"/>
  <c r="GX26" i="13"/>
  <c r="V9" i="44" s="1"/>
  <c r="HA36" i="10"/>
  <c r="GX34" i="13"/>
  <c r="V25" i="44" s="1"/>
  <c r="GX36" i="13"/>
  <c r="V18" i="44" s="1"/>
  <c r="GX9" i="13"/>
  <c r="V10" i="44" s="1"/>
  <c r="HA9" i="11"/>
  <c r="GX28" i="13"/>
  <c r="V30" i="44" s="1"/>
  <c r="HA15" i="10"/>
  <c r="HA14" i="11"/>
  <c r="GX21" i="13"/>
  <c r="V20" i="44" s="1"/>
  <c r="HA20" i="11"/>
  <c r="GX22" i="13"/>
  <c r="V28" i="44" s="1"/>
  <c r="HA10" i="11"/>
  <c r="HA33" i="10"/>
  <c r="GX17" i="13"/>
  <c r="V24" i="44" s="1"/>
  <c r="HA24" i="10"/>
  <c r="HA23" i="10"/>
  <c r="GX16" i="13"/>
  <c r="V12" i="44" s="1"/>
  <c r="GX17" i="14"/>
  <c r="V11" i="64" s="1"/>
  <c r="HA27" i="10"/>
  <c r="HA18" i="10"/>
  <c r="GX11" i="13"/>
  <c r="V15" i="44" s="1"/>
  <c r="HA39" i="10"/>
  <c r="HA17" i="10"/>
  <c r="HA34" i="10"/>
  <c r="GX27" i="13"/>
  <c r="V29" i="44" s="1"/>
  <c r="HA21" i="10"/>
  <c r="HA9" i="10"/>
  <c r="HA29" i="10"/>
  <c r="HA15" i="11"/>
  <c r="HA26" i="10"/>
  <c r="HA12" i="11"/>
  <c r="GX47" i="13"/>
  <c r="HA37" i="10"/>
  <c r="GX19" i="14"/>
  <c r="GX16" i="14"/>
  <c r="V12" i="64" s="1"/>
  <c r="GX15" i="14"/>
  <c r="V4" i="64" s="1"/>
  <c r="HA14" i="10"/>
  <c r="HA22" i="10"/>
  <c r="GX19" i="13"/>
  <c r="V4" i="44" s="1"/>
  <c r="HA41" i="10"/>
  <c r="GX12" i="13"/>
  <c r="V14" i="44" s="1"/>
  <c r="GX30" i="13"/>
  <c r="V5" i="44" s="1"/>
  <c r="GX33" i="13"/>
  <c r="V32" i="44" s="1"/>
  <c r="GX11" i="14"/>
  <c r="V5" i="64" s="1"/>
  <c r="HA13" i="10"/>
  <c r="GX43" i="13"/>
  <c r="HA17" i="11"/>
  <c r="HA19" i="10"/>
  <c r="GX31" i="13"/>
  <c r="V7" i="44" s="1"/>
  <c r="I8" i="48"/>
  <c r="I28" i="48"/>
  <c r="I11" i="68"/>
  <c r="K12" i="48"/>
  <c r="K18" i="48"/>
  <c r="K15" i="48"/>
  <c r="L16" i="48"/>
  <c r="L14" i="68"/>
  <c r="L4" i="68"/>
  <c r="L7" i="48"/>
  <c r="L33" i="48"/>
  <c r="L10" i="48"/>
  <c r="DG6" i="13"/>
  <c r="J14" i="48"/>
  <c r="H21" i="48"/>
  <c r="HV8" i="13"/>
  <c r="H21" i="47" s="1"/>
  <c r="H3" i="48"/>
  <c r="HY16" i="11"/>
  <c r="HY20" i="11"/>
  <c r="H28" i="48"/>
  <c r="HV16" i="13"/>
  <c r="K8" i="47" s="1"/>
  <c r="H7" i="48"/>
  <c r="HV9" i="13"/>
  <c r="J7" i="47" s="1"/>
  <c r="HY37" i="10"/>
  <c r="HY14" i="10"/>
  <c r="H5" i="68"/>
  <c r="HV15" i="14"/>
  <c r="I5" i="67" s="1"/>
  <c r="X11" i="23"/>
  <c r="GR24" i="10"/>
  <c r="GR34" i="10"/>
  <c r="GO11" i="13"/>
  <c r="X21" i="43" s="1"/>
  <c r="GO27" i="13"/>
  <c r="X10" i="43" s="1"/>
  <c r="GO26" i="13"/>
  <c r="X15" i="43" s="1"/>
  <c r="GO13" i="13"/>
  <c r="X12" i="43" s="1"/>
  <c r="GR10" i="10"/>
  <c r="GR27" i="10"/>
  <c r="GR20" i="10"/>
  <c r="GR8" i="11"/>
  <c r="GO14" i="13"/>
  <c r="X5" i="43" s="1"/>
  <c r="GO20" i="13"/>
  <c r="X23" i="43" s="1"/>
  <c r="GO8" i="13"/>
  <c r="GR19" i="10"/>
  <c r="GO11" i="14"/>
  <c r="X4" i="63" s="1"/>
  <c r="GO40" i="13"/>
  <c r="GR11" i="10"/>
  <c r="GR30" i="10"/>
  <c r="GR19" i="11"/>
  <c r="GR13" i="11"/>
  <c r="GR9" i="11"/>
  <c r="GO16" i="14"/>
  <c r="X12" i="63" s="1"/>
  <c r="GO35" i="13"/>
  <c r="X30" i="43" s="1"/>
  <c r="GO33" i="13"/>
  <c r="X29" i="43" s="1"/>
  <c r="GO44" i="13"/>
  <c r="GR16" i="10"/>
  <c r="GR41" i="10"/>
  <c r="GR35" i="10"/>
  <c r="GR31" i="10"/>
  <c r="GO45" i="13"/>
  <c r="GO17" i="13"/>
  <c r="X28" i="43" s="1"/>
  <c r="GO16" i="13"/>
  <c r="X7" i="43" s="1"/>
  <c r="GO15" i="14"/>
  <c r="X7" i="63" s="1"/>
  <c r="GR9" i="10"/>
  <c r="GR12" i="10"/>
  <c r="GR25" i="10"/>
  <c r="GR21" i="10"/>
  <c r="GO10" i="14"/>
  <c r="X10" i="63" s="1"/>
  <c r="GR18" i="11"/>
  <c r="GR14" i="11"/>
  <c r="GO23" i="13"/>
  <c r="X14" i="43" s="1"/>
  <c r="GO13" i="14"/>
  <c r="X11" i="63" s="1"/>
  <c r="GO19" i="14"/>
  <c r="GO12" i="14"/>
  <c r="X8" i="63" s="1"/>
  <c r="GO14" i="14"/>
  <c r="X9" i="63" s="1"/>
  <c r="GR6" i="9"/>
  <c r="GR40" i="10"/>
  <c r="GR36" i="10"/>
  <c r="GO15" i="13"/>
  <c r="X25" i="43" s="1"/>
  <c r="GO8" i="14"/>
  <c r="GO38" i="13"/>
  <c r="X31" i="43" s="1"/>
  <c r="GO36" i="13"/>
  <c r="X22" i="43" s="1"/>
  <c r="GO22" i="13"/>
  <c r="X8" i="43" s="1"/>
  <c r="GR26" i="10"/>
  <c r="GR22" i="10"/>
  <c r="GR10" i="11"/>
  <c r="GO32" i="13"/>
  <c r="X16" i="43" s="1"/>
  <c r="GO31" i="13"/>
  <c r="X11" i="43" s="1"/>
  <c r="GO30" i="13"/>
  <c r="X9" i="43" s="1"/>
  <c r="GO21" i="13"/>
  <c r="X17" i="43" s="1"/>
  <c r="GR17" i="10"/>
  <c r="GR13" i="10"/>
  <c r="GR32" i="10"/>
  <c r="GO28" i="13"/>
  <c r="X13" i="43" s="1"/>
  <c r="GO19" i="13"/>
  <c r="X4" i="43" s="1"/>
  <c r="GO9" i="13"/>
  <c r="X6" i="43" s="1"/>
  <c r="GO10" i="13"/>
  <c r="X26" i="43" s="1"/>
  <c r="GO46" i="13"/>
  <c r="GR18" i="10"/>
  <c r="GO18" i="13"/>
  <c r="X24" i="43" s="1"/>
  <c r="GR15" i="11"/>
  <c r="GR11" i="11"/>
  <c r="GR20" i="11"/>
  <c r="GO24" i="13"/>
  <c r="X19" i="43" s="1"/>
  <c r="GO47" i="13"/>
  <c r="GR15" i="10"/>
  <c r="GR28" i="10"/>
  <c r="GR37" i="10"/>
  <c r="GR33" i="10"/>
  <c r="GR17" i="11"/>
  <c r="GO25" i="13"/>
  <c r="X34" i="43" s="1"/>
  <c r="GO34" i="13"/>
  <c r="X33" i="43" s="1"/>
  <c r="GO17" i="14"/>
  <c r="X13" i="63" s="1"/>
  <c r="GR14" i="10"/>
  <c r="GR8" i="10"/>
  <c r="GR23" i="10"/>
  <c r="GR42" i="10"/>
  <c r="GR16" i="11"/>
  <c r="GO12" i="13"/>
  <c r="X20" i="43" s="1"/>
  <c r="GO9" i="14"/>
  <c r="X5" i="63" s="1"/>
  <c r="GO43" i="13"/>
  <c r="GO18" i="14"/>
  <c r="X14" i="63" s="1"/>
  <c r="GO41" i="13"/>
  <c r="GR39" i="10"/>
  <c r="GR38" i="10"/>
  <c r="GR12" i="11"/>
  <c r="GO37" i="13"/>
  <c r="X32" i="43" s="1"/>
  <c r="GO39" i="13"/>
  <c r="GO42" i="13"/>
  <c r="GO29" i="13"/>
  <c r="X27" i="43" s="1"/>
  <c r="GR29" i="10"/>
  <c r="EA6" i="13"/>
  <c r="C22" i="36"/>
  <c r="C22" i="35"/>
  <c r="C11" i="34"/>
  <c r="C17" i="30"/>
  <c r="C10" i="32"/>
  <c r="C11" i="33"/>
  <c r="C10" i="31"/>
  <c r="C15" i="28"/>
  <c r="C79" i="29"/>
  <c r="C15" i="27"/>
  <c r="D10" i="25"/>
  <c r="D17" i="26"/>
  <c r="D10" i="24"/>
  <c r="D14" i="23"/>
  <c r="D13" i="22"/>
  <c r="D13" i="20"/>
  <c r="C51" i="17"/>
  <c r="C5" i="12"/>
  <c r="A28" i="9"/>
  <c r="DH6" i="11"/>
  <c r="DH6" i="10"/>
  <c r="DH7" i="9"/>
  <c r="EO6" i="11"/>
  <c r="EO6" i="10"/>
  <c r="EO7" i="9"/>
  <c r="DA6" i="11"/>
  <c r="DA6" i="10"/>
  <c r="ED6" i="11"/>
  <c r="ED6" i="10"/>
  <c r="ED7" i="9"/>
  <c r="I25" i="48"/>
  <c r="I24" i="48"/>
  <c r="I29" i="48"/>
  <c r="I7" i="48"/>
  <c r="K8" i="68"/>
  <c r="K17" i="48"/>
  <c r="K33" i="48"/>
  <c r="T5" i="24"/>
  <c r="FE21" i="9"/>
  <c r="GR18" i="14"/>
  <c r="T14" i="64" s="1"/>
  <c r="GR17" i="14"/>
  <c r="T11" i="64" s="1"/>
  <c r="GR29" i="13"/>
  <c r="T31" i="44" s="1"/>
  <c r="GR13" i="13"/>
  <c r="T8" i="44" s="1"/>
  <c r="GU40" i="10"/>
  <c r="GU31" i="10"/>
  <c r="GU28" i="10"/>
  <c r="GR45" i="13"/>
  <c r="GR34" i="13"/>
  <c r="T25" i="44" s="1"/>
  <c r="GR36" i="13"/>
  <c r="T18" i="44" s="1"/>
  <c r="GR35" i="13"/>
  <c r="T19" i="44" s="1"/>
  <c r="GU12" i="11"/>
  <c r="GU38" i="10"/>
  <c r="GU26" i="10"/>
  <c r="GR11" i="14"/>
  <c r="T5" i="64" s="1"/>
  <c r="GR23" i="13"/>
  <c r="T11" i="44" s="1"/>
  <c r="GR16" i="13"/>
  <c r="T12" i="44" s="1"/>
  <c r="GR14" i="14"/>
  <c r="T13" i="64" s="1"/>
  <c r="GU14" i="11"/>
  <c r="GU34" i="10"/>
  <c r="GU24" i="10"/>
  <c r="GR46" i="13"/>
  <c r="GR39" i="13"/>
  <c r="GR12" i="13"/>
  <c r="T14" i="44" s="1"/>
  <c r="GR8" i="13"/>
  <c r="GU16" i="11"/>
  <c r="GU25" i="10"/>
  <c r="GU22" i="10"/>
  <c r="GR40" i="13"/>
  <c r="GR32" i="13"/>
  <c r="T16" i="44" s="1"/>
  <c r="GR33" i="13"/>
  <c r="T32" i="44" s="1"/>
  <c r="GR42" i="13"/>
  <c r="GU8" i="11"/>
  <c r="GU23" i="10"/>
  <c r="GU20" i="10"/>
  <c r="GR47" i="13"/>
  <c r="GR22" i="13"/>
  <c r="T28" i="44" s="1"/>
  <c r="GR27" i="13"/>
  <c r="T29" i="44" s="1"/>
  <c r="GU19" i="11"/>
  <c r="GU18" i="11"/>
  <c r="GU21" i="10"/>
  <c r="GU18" i="10"/>
  <c r="GR43" i="13"/>
  <c r="GR38" i="13"/>
  <c r="T34" i="44" s="1"/>
  <c r="GR15" i="13"/>
  <c r="T26" i="44" s="1"/>
  <c r="GU17" i="11"/>
  <c r="GU41" i="10"/>
  <c r="GU19" i="10"/>
  <c r="GU16" i="10"/>
  <c r="GR8" i="14"/>
  <c r="GR31" i="13"/>
  <c r="T7" i="44" s="1"/>
  <c r="GR14" i="13"/>
  <c r="T6" i="44" s="1"/>
  <c r="GU15" i="11"/>
  <c r="GU39" i="10"/>
  <c r="GU17" i="10"/>
  <c r="GU14" i="10"/>
  <c r="GR15" i="14"/>
  <c r="T4" i="64" s="1"/>
  <c r="GR26" i="13"/>
  <c r="T9" i="44" s="1"/>
  <c r="GR10" i="13"/>
  <c r="T17" i="44" s="1"/>
  <c r="GU13" i="11"/>
  <c r="GU37" i="10"/>
  <c r="GU15" i="10"/>
  <c r="GU32" i="10"/>
  <c r="GR9" i="14"/>
  <c r="T6" i="64" s="1"/>
  <c r="GR41" i="13"/>
  <c r="GR19" i="13"/>
  <c r="T4" i="44" s="1"/>
  <c r="GU11" i="11"/>
  <c r="GU35" i="10"/>
  <c r="GU13" i="10"/>
  <c r="GU9" i="10"/>
  <c r="GR10" i="14"/>
  <c r="T10" i="64" s="1"/>
  <c r="GR21" i="13"/>
  <c r="T20" i="44" s="1"/>
  <c r="GR18" i="13"/>
  <c r="T21" i="44" s="1"/>
  <c r="GU9" i="11"/>
  <c r="GU20" i="11"/>
  <c r="GU11" i="10"/>
  <c r="GU8" i="10"/>
  <c r="GR13" i="14"/>
  <c r="T7" i="64" s="1"/>
  <c r="GR37" i="13"/>
  <c r="T33" i="44" s="1"/>
  <c r="GR30" i="13"/>
  <c r="T5" i="44" s="1"/>
  <c r="GR20" i="13"/>
  <c r="T27" i="44" s="1"/>
  <c r="GR11" i="13"/>
  <c r="T15" i="44" s="1"/>
  <c r="GU10" i="11"/>
  <c r="GU30" i="10"/>
  <c r="GU12" i="10"/>
  <c r="GR16" i="14"/>
  <c r="T12" i="64" s="1"/>
  <c r="GR44" i="13"/>
  <c r="GR12" i="14"/>
  <c r="T9" i="64" s="1"/>
  <c r="GR9" i="13"/>
  <c r="T10" i="44" s="1"/>
  <c r="GR17" i="13"/>
  <c r="T24" i="44" s="1"/>
  <c r="GU33" i="10"/>
  <c r="GU27" i="10"/>
  <c r="GU10" i="10"/>
  <c r="GR19" i="14"/>
  <c r="GR28" i="13"/>
  <c r="T30" i="44" s="1"/>
  <c r="GR25" i="13"/>
  <c r="T22" i="44" s="1"/>
  <c r="GR24" i="13"/>
  <c r="T13" i="44" s="1"/>
  <c r="GU42" i="10"/>
  <c r="GU36" i="10"/>
  <c r="GU29" i="10"/>
  <c r="GU6" i="9"/>
  <c r="DQ6" i="14"/>
  <c r="L11" i="48"/>
  <c r="L34" i="48"/>
  <c r="L8" i="48"/>
  <c r="DE6" i="13"/>
  <c r="DE7" i="13" s="1"/>
  <c r="J8" i="48"/>
  <c r="J21" i="48"/>
  <c r="J3" i="48"/>
  <c r="J12" i="48"/>
  <c r="J30" i="48"/>
  <c r="EL6" i="13"/>
  <c r="H25" i="48"/>
  <c r="HV19" i="13"/>
  <c r="L4" i="47" s="1"/>
  <c r="H24" i="48"/>
  <c r="HV14" i="13"/>
  <c r="I5" i="47" s="1"/>
  <c r="H29" i="48"/>
  <c r="HV32" i="13"/>
  <c r="L16" i="47" s="1"/>
  <c r="H26" i="48"/>
  <c r="HV28" i="13"/>
  <c r="L13" i="47" s="1"/>
  <c r="H33" i="48"/>
  <c r="HV24" i="13"/>
  <c r="K18" i="47" s="1"/>
  <c r="HY13" i="11"/>
  <c r="HY17" i="10"/>
  <c r="HV6" i="14"/>
  <c r="HX7" i="14" s="1"/>
  <c r="HV6" i="13"/>
  <c r="HZ7" i="13" s="1"/>
  <c r="DY6" i="13"/>
  <c r="CT6" i="11"/>
  <c r="CT6" i="10"/>
  <c r="CS6" i="11"/>
  <c r="CS6" i="10"/>
  <c r="I34" i="48"/>
  <c r="I9" i="48"/>
  <c r="I12" i="68"/>
  <c r="I26" i="48"/>
  <c r="K28" i="48"/>
  <c r="K11" i="68"/>
  <c r="K7" i="48"/>
  <c r="DR6" i="14"/>
  <c r="L26" i="48"/>
  <c r="L29" i="48"/>
  <c r="DF6" i="13"/>
  <c r="J20" i="48"/>
  <c r="J15" i="48"/>
  <c r="J29" i="48"/>
  <c r="J26" i="48"/>
  <c r="J4" i="48"/>
  <c r="J10" i="27"/>
  <c r="EJ6" i="13"/>
  <c r="EJ7" i="13" s="1"/>
  <c r="H10" i="48"/>
  <c r="HV30" i="13"/>
  <c r="I6" i="47" s="1"/>
  <c r="H11" i="48"/>
  <c r="HV26" i="13"/>
  <c r="H14" i="47" s="1"/>
  <c r="HV39" i="13"/>
  <c r="H10" i="68"/>
  <c r="HV10" i="14"/>
  <c r="I10" i="67" s="1"/>
  <c r="H7" i="68"/>
  <c r="HV8" i="14"/>
  <c r="L7" i="67" s="1"/>
  <c r="H3" i="68"/>
  <c r="H23" i="48"/>
  <c r="HV17" i="13"/>
  <c r="I28" i="47" s="1"/>
  <c r="HY41" i="10"/>
  <c r="H10" i="27"/>
  <c r="DZ6" i="13"/>
  <c r="W11" i="23"/>
  <c r="GL12" i="14"/>
  <c r="W8" i="63" s="1"/>
  <c r="GL35" i="13"/>
  <c r="W30" i="43" s="1"/>
  <c r="GL18" i="13"/>
  <c r="W24" i="43" s="1"/>
  <c r="GO17" i="11"/>
  <c r="GO37" i="10"/>
  <c r="GO34" i="10"/>
  <c r="GO15" i="10"/>
  <c r="GL41" i="13"/>
  <c r="GL24" i="13"/>
  <c r="W19" i="43" s="1"/>
  <c r="GL9" i="13"/>
  <c r="W6" i="43" s="1"/>
  <c r="GO15" i="11"/>
  <c r="GO35" i="10"/>
  <c r="GO26" i="10"/>
  <c r="GO13" i="10"/>
  <c r="GL46" i="13"/>
  <c r="GL33" i="13"/>
  <c r="W29" i="43" s="1"/>
  <c r="GL29" i="13"/>
  <c r="W27" i="43" s="1"/>
  <c r="GO13" i="11"/>
  <c r="GO33" i="10"/>
  <c r="GO24" i="10"/>
  <c r="GO11" i="10"/>
  <c r="GL40" i="13"/>
  <c r="GL34" i="13"/>
  <c r="W33" i="43" s="1"/>
  <c r="GL13" i="13"/>
  <c r="W12" i="43" s="1"/>
  <c r="GO11" i="11"/>
  <c r="GO31" i="10"/>
  <c r="GO22" i="10"/>
  <c r="GO9" i="10"/>
  <c r="GL47" i="13"/>
  <c r="GL28" i="13"/>
  <c r="W13" i="43" s="1"/>
  <c r="GL21" i="13"/>
  <c r="W17" i="43" s="1"/>
  <c r="GL14" i="13"/>
  <c r="W5" i="43" s="1"/>
  <c r="GO29" i="10"/>
  <c r="GO20" i="10"/>
  <c r="GO10" i="10"/>
  <c r="GL18" i="14"/>
  <c r="W14" i="63" s="1"/>
  <c r="GL43" i="13"/>
  <c r="GL37" i="13"/>
  <c r="W32" i="43" s="1"/>
  <c r="GL17" i="13"/>
  <c r="W28" i="43" s="1"/>
  <c r="GL10" i="13"/>
  <c r="W26" i="43" s="1"/>
  <c r="GO27" i="10"/>
  <c r="GO18" i="10"/>
  <c r="GO12" i="10"/>
  <c r="GL11" i="14"/>
  <c r="W4" i="63" s="1"/>
  <c r="GL10" i="14"/>
  <c r="W10" i="63" s="1"/>
  <c r="GL23" i="13"/>
  <c r="W14" i="43" s="1"/>
  <c r="GL8" i="13"/>
  <c r="GO20" i="11"/>
  <c r="GO9" i="11"/>
  <c r="GO16" i="10"/>
  <c r="GO8" i="10"/>
  <c r="GL45" i="13"/>
  <c r="GL9" i="14"/>
  <c r="W5" i="63" s="1"/>
  <c r="GL32" i="13"/>
  <c r="W16" i="43" s="1"/>
  <c r="GL15" i="14"/>
  <c r="W7" i="63" s="1"/>
  <c r="GO18" i="11"/>
  <c r="GO42" i="10"/>
  <c r="GO14" i="10"/>
  <c r="GO6" i="9"/>
  <c r="GL14" i="14"/>
  <c r="W9" i="63" s="1"/>
  <c r="GL8" i="14"/>
  <c r="GL27" i="13"/>
  <c r="W10" i="43" s="1"/>
  <c r="GL16" i="13"/>
  <c r="W7" i="43" s="1"/>
  <c r="GO16" i="11"/>
  <c r="GO40" i="10"/>
  <c r="GO30" i="10"/>
  <c r="GL44" i="13"/>
  <c r="GL39" i="13"/>
  <c r="GL38" i="13"/>
  <c r="W31" i="43" s="1"/>
  <c r="GL12" i="13"/>
  <c r="W20" i="43" s="1"/>
  <c r="GO14" i="11"/>
  <c r="GO38" i="10"/>
  <c r="GO25" i="10"/>
  <c r="GL16" i="14"/>
  <c r="W12" i="63" s="1"/>
  <c r="GL13" i="14"/>
  <c r="W11" i="63" s="1"/>
  <c r="GL22" i="13"/>
  <c r="W8" i="43" s="1"/>
  <c r="GL15" i="13"/>
  <c r="W25" i="43" s="1"/>
  <c r="GO12" i="11"/>
  <c r="GO8" i="11"/>
  <c r="GO23" i="10"/>
  <c r="GL19" i="14"/>
  <c r="GL30" i="13"/>
  <c r="W9" i="43" s="1"/>
  <c r="GL31" i="13"/>
  <c r="W11" i="43" s="1"/>
  <c r="GL11" i="13"/>
  <c r="W21" i="43" s="1"/>
  <c r="GO10" i="11"/>
  <c r="GO28" i="10"/>
  <c r="GO21" i="10"/>
  <c r="GL17" i="14"/>
  <c r="W13" i="63" s="1"/>
  <c r="GL25" i="13"/>
  <c r="W34" i="43" s="1"/>
  <c r="GL19" i="13"/>
  <c r="W4" i="43" s="1"/>
  <c r="GL26" i="13"/>
  <c r="W15" i="43" s="1"/>
  <c r="GO41" i="10"/>
  <c r="GO32" i="10"/>
  <c r="GO19" i="10"/>
  <c r="GL42" i="13"/>
  <c r="GL36" i="13"/>
  <c r="W22" i="43" s="1"/>
  <c r="GL20" i="13"/>
  <c r="W23" i="43" s="1"/>
  <c r="GO19" i="11"/>
  <c r="GO39" i="10"/>
  <c r="GO36" i="10"/>
  <c r="GO17" i="10"/>
  <c r="I9" i="68"/>
  <c r="I6" i="68"/>
  <c r="EC6" i="11"/>
  <c r="EC6" i="10"/>
  <c r="EC7" i="9"/>
  <c r="DC6" i="11"/>
  <c r="DC6" i="10"/>
  <c r="K14" i="48"/>
  <c r="K16" i="48"/>
  <c r="K6" i="68"/>
  <c r="DP6" i="14"/>
  <c r="EB6" i="11"/>
  <c r="EB6" i="10"/>
  <c r="EB7" i="9"/>
  <c r="L31" i="48"/>
  <c r="L22" i="48"/>
  <c r="L14" i="48"/>
  <c r="L12" i="48"/>
  <c r="DH6" i="13"/>
  <c r="J31" i="48"/>
  <c r="J9" i="48"/>
  <c r="J32" i="48"/>
  <c r="J25" i="48"/>
  <c r="EK6" i="13"/>
  <c r="HV42" i="13"/>
  <c r="HV44" i="13"/>
  <c r="H13" i="68"/>
  <c r="HV17" i="14"/>
  <c r="J13" i="67" s="1"/>
  <c r="HV45" i="13"/>
  <c r="HV19" i="14"/>
  <c r="H17" i="48"/>
  <c r="HV20" i="13"/>
  <c r="H25" i="47" s="1"/>
  <c r="HY17" i="11"/>
  <c r="CU6" i="11"/>
  <c r="CU6" i="10"/>
  <c r="EB6" i="13"/>
  <c r="V11" i="23"/>
  <c r="GL19" i="10"/>
  <c r="GL14" i="10"/>
  <c r="GL8" i="10"/>
  <c r="GI15" i="13"/>
  <c r="V25" i="43" s="1"/>
  <c r="GI11" i="13"/>
  <c r="V21" i="43" s="1"/>
  <c r="GI20" i="13"/>
  <c r="V23" i="43" s="1"/>
  <c r="GI44" i="13"/>
  <c r="GI30" i="13"/>
  <c r="V9" i="43" s="1"/>
  <c r="GI42" i="13"/>
  <c r="GL18" i="11"/>
  <c r="GL35" i="10"/>
  <c r="GL26" i="10"/>
  <c r="GI13" i="14"/>
  <c r="V11" i="63" s="1"/>
  <c r="GL27" i="10"/>
  <c r="GI26" i="13"/>
  <c r="V15" i="43" s="1"/>
  <c r="GI29" i="13"/>
  <c r="V27" i="43" s="1"/>
  <c r="GI46" i="13"/>
  <c r="GL40" i="10"/>
  <c r="GL17" i="10"/>
  <c r="GL8" i="11"/>
  <c r="GI35" i="13"/>
  <c r="V30" i="43" s="1"/>
  <c r="GL15" i="11"/>
  <c r="GI27" i="13"/>
  <c r="V10" i="43" s="1"/>
  <c r="GI41" i="13"/>
  <c r="GL11" i="10"/>
  <c r="GL18" i="10"/>
  <c r="GI28" i="13"/>
  <c r="V13" i="43" s="1"/>
  <c r="GL13" i="11"/>
  <c r="GI33" i="13"/>
  <c r="V29" i="43" s="1"/>
  <c r="GI18" i="14"/>
  <c r="V14" i="63" s="1"/>
  <c r="GI11" i="14"/>
  <c r="V4" i="63" s="1"/>
  <c r="GL12" i="11"/>
  <c r="GI9" i="13"/>
  <c r="V6" i="43" s="1"/>
  <c r="GI10" i="14"/>
  <c r="V10" i="63" s="1"/>
  <c r="GL21" i="10"/>
  <c r="GL25" i="10"/>
  <c r="GL16" i="10"/>
  <c r="GL38" i="10"/>
  <c r="GL36" i="10"/>
  <c r="GI22" i="13"/>
  <c r="V8" i="43" s="1"/>
  <c r="GI34" i="13"/>
  <c r="V33" i="43" s="1"/>
  <c r="GI12" i="13"/>
  <c r="V20" i="43" s="1"/>
  <c r="GI8" i="13"/>
  <c r="GL33" i="10"/>
  <c r="GL24" i="10"/>
  <c r="GL9" i="11"/>
  <c r="GL30" i="10"/>
  <c r="GL42" i="10"/>
  <c r="GI17" i="13"/>
  <c r="V28" i="43" s="1"/>
  <c r="GI31" i="13"/>
  <c r="V11" i="43" s="1"/>
  <c r="GI9" i="14"/>
  <c r="V5" i="63" s="1"/>
  <c r="GI19" i="13"/>
  <c r="V4" i="43" s="1"/>
  <c r="GL41" i="10"/>
  <c r="GI24" i="13"/>
  <c r="V19" i="43" s="1"/>
  <c r="GI12" i="14"/>
  <c r="V8" i="63" s="1"/>
  <c r="GL32" i="10"/>
  <c r="GL10" i="11"/>
  <c r="GI19" i="14"/>
  <c r="GL20" i="10"/>
  <c r="GL22" i="10"/>
  <c r="GI43" i="13"/>
  <c r="GL15" i="10"/>
  <c r="GI47" i="13"/>
  <c r="GL10" i="10"/>
  <c r="GL20" i="11"/>
  <c r="GL23" i="10"/>
  <c r="GL37" i="10"/>
  <c r="GL39" i="10"/>
  <c r="GI45" i="13"/>
  <c r="GL19" i="11"/>
  <c r="GI14" i="13"/>
  <c r="V5" i="43" s="1"/>
  <c r="GI18" i="13"/>
  <c r="V24" i="43" s="1"/>
  <c r="GI15" i="14"/>
  <c r="V7" i="63" s="1"/>
  <c r="GL34" i="10"/>
  <c r="GI16" i="13"/>
  <c r="V7" i="43" s="1"/>
  <c r="GL12" i="10"/>
  <c r="GI8" i="14"/>
  <c r="GI23" i="13"/>
  <c r="V14" i="43" s="1"/>
  <c r="GI25" i="13"/>
  <c r="V34" i="43" s="1"/>
  <c r="GL17" i="11"/>
  <c r="GL11" i="11"/>
  <c r="GI40" i="13"/>
  <c r="GI16" i="14"/>
  <c r="V12" i="63" s="1"/>
  <c r="GI39" i="13"/>
  <c r="GL9" i="10"/>
  <c r="GL29" i="10"/>
  <c r="GI17" i="14"/>
  <c r="V13" i="63" s="1"/>
  <c r="GI14" i="14"/>
  <c r="V9" i="63" s="1"/>
  <c r="GL6" i="9"/>
  <c r="GL31" i="10"/>
  <c r="GL14" i="11"/>
  <c r="GI37" i="13"/>
  <c r="V32" i="43" s="1"/>
  <c r="GI36" i="13"/>
  <c r="V22" i="43" s="1"/>
  <c r="GL16" i="11"/>
  <c r="GI10" i="13"/>
  <c r="V26" i="43" s="1"/>
  <c r="GL13" i="10"/>
  <c r="GL28" i="10"/>
  <c r="GI13" i="13"/>
  <c r="V12" i="43" s="1"/>
  <c r="GI32" i="13"/>
  <c r="V16" i="43" s="1"/>
  <c r="GI21" i="13"/>
  <c r="V17" i="43" s="1"/>
  <c r="GI38" i="13"/>
  <c r="V31" i="43" s="1"/>
  <c r="U11" i="23"/>
  <c r="FB21" i="9"/>
  <c r="GF35" i="13"/>
  <c r="U30" i="43" s="1"/>
  <c r="GI9" i="11"/>
  <c r="GF29" i="13"/>
  <c r="U27" i="43" s="1"/>
  <c r="GI19" i="10"/>
  <c r="GF34" i="13"/>
  <c r="U33" i="43" s="1"/>
  <c r="GI11" i="10"/>
  <c r="GI38" i="10"/>
  <c r="GI34" i="10"/>
  <c r="GI30" i="10"/>
  <c r="GF14" i="13"/>
  <c r="U5" i="43" s="1"/>
  <c r="GF45" i="13"/>
  <c r="GI15" i="11"/>
  <c r="GI42" i="10"/>
  <c r="GI25" i="10"/>
  <c r="GI21" i="10"/>
  <c r="GF16" i="13"/>
  <c r="U7" i="43" s="1"/>
  <c r="GF24" i="13"/>
  <c r="U19" i="43" s="1"/>
  <c r="GF10" i="14"/>
  <c r="U10" i="63" s="1"/>
  <c r="GI26" i="10"/>
  <c r="GI22" i="10"/>
  <c r="GI18" i="10"/>
  <c r="GI12" i="11"/>
  <c r="GF9" i="13"/>
  <c r="U6" i="43" s="1"/>
  <c r="GF42" i="13"/>
  <c r="GI17" i="11"/>
  <c r="GI31" i="10"/>
  <c r="GI39" i="10"/>
  <c r="GF8" i="14"/>
  <c r="GF14" i="14"/>
  <c r="U9" i="63" s="1"/>
  <c r="GF16" i="14"/>
  <c r="U12" i="63" s="1"/>
  <c r="GI15" i="10"/>
  <c r="GI13" i="11"/>
  <c r="GF23" i="13"/>
  <c r="U14" i="43" s="1"/>
  <c r="GF40" i="13"/>
  <c r="GF18" i="14"/>
  <c r="U14" i="63" s="1"/>
  <c r="GF32" i="13"/>
  <c r="U16" i="43" s="1"/>
  <c r="GF26" i="13"/>
  <c r="U15" i="43" s="1"/>
  <c r="GF39" i="13"/>
  <c r="GI12" i="10"/>
  <c r="GI35" i="10"/>
  <c r="GI37" i="10"/>
  <c r="GF41" i="13"/>
  <c r="GF22" i="13"/>
  <c r="U8" i="43" s="1"/>
  <c r="GF11" i="13"/>
  <c r="U21" i="43" s="1"/>
  <c r="GF30" i="13"/>
  <c r="U9" i="43" s="1"/>
  <c r="GF47" i="13"/>
  <c r="GI27" i="10"/>
  <c r="GF12" i="13"/>
  <c r="U20" i="43" s="1"/>
  <c r="GF36" i="13"/>
  <c r="U22" i="43" s="1"/>
  <c r="GF37" i="13"/>
  <c r="U32" i="43" s="1"/>
  <c r="GI20" i="11"/>
  <c r="GI16" i="11"/>
  <c r="GF19" i="13"/>
  <c r="U4" i="43" s="1"/>
  <c r="GF38" i="13"/>
  <c r="U31" i="43" s="1"/>
  <c r="GI16" i="10"/>
  <c r="GF13" i="13"/>
  <c r="U12" i="43" s="1"/>
  <c r="GI36" i="10"/>
  <c r="GI32" i="10"/>
  <c r="GF8" i="13"/>
  <c r="GF44" i="13"/>
  <c r="GF18" i="13"/>
  <c r="U24" i="43" s="1"/>
  <c r="GI11" i="11"/>
  <c r="GI29" i="10"/>
  <c r="GI23" i="10"/>
  <c r="GI8" i="11"/>
  <c r="GF10" i="13"/>
  <c r="U26" i="43" s="1"/>
  <c r="GI10" i="10"/>
  <c r="GF19" i="14"/>
  <c r="GI9" i="10"/>
  <c r="GI33" i="10"/>
  <c r="GI24" i="10"/>
  <c r="GI20" i="10"/>
  <c r="GI17" i="10"/>
  <c r="GI19" i="11"/>
  <c r="GF17" i="13"/>
  <c r="U28" i="43" s="1"/>
  <c r="GF20" i="13"/>
  <c r="U23" i="43" s="1"/>
  <c r="GI40" i="10"/>
  <c r="GI28" i="10"/>
  <c r="GF43" i="13"/>
  <c r="GF17" i="14"/>
  <c r="U13" i="63" s="1"/>
  <c r="GI14" i="10"/>
  <c r="GI41" i="10"/>
  <c r="GF12" i="14"/>
  <c r="U8" i="63" s="1"/>
  <c r="GF15" i="14"/>
  <c r="U7" i="63" s="1"/>
  <c r="GF27" i="13"/>
  <c r="U10" i="43" s="1"/>
  <c r="GF21" i="13"/>
  <c r="U17" i="43" s="1"/>
  <c r="GF9" i="14"/>
  <c r="U5" i="63" s="1"/>
  <c r="GI13" i="10"/>
  <c r="GI10" i="11"/>
  <c r="GF33" i="13"/>
  <c r="U29" i="43" s="1"/>
  <c r="GF15" i="13"/>
  <c r="U25" i="43" s="1"/>
  <c r="GF31" i="13"/>
  <c r="U11" i="43" s="1"/>
  <c r="GF13" i="14"/>
  <c r="U11" i="63" s="1"/>
  <c r="GI8" i="10"/>
  <c r="GI6" i="9"/>
  <c r="GF11" i="14"/>
  <c r="U4" i="63" s="1"/>
  <c r="GF28" i="13"/>
  <c r="U13" i="43" s="1"/>
  <c r="GI18" i="11"/>
  <c r="GI14" i="11"/>
  <c r="GF25" i="13"/>
  <c r="U34" i="43" s="1"/>
  <c r="GF46" i="13"/>
  <c r="DE6" i="11"/>
  <c r="DE6" i="10"/>
  <c r="CR6" i="11"/>
  <c r="CR6" i="10"/>
  <c r="DB6" i="11"/>
  <c r="DB6" i="10"/>
  <c r="W9" i="25"/>
  <c r="HG18" i="14"/>
  <c r="W14" i="65" s="1"/>
  <c r="HG9" i="14"/>
  <c r="W11" i="65" s="1"/>
  <c r="HG30" i="13"/>
  <c r="W10" i="45" s="1"/>
  <c r="HG19" i="13"/>
  <c r="W4" i="45" s="1"/>
  <c r="HJ15" i="11"/>
  <c r="HJ37" i="10"/>
  <c r="HJ26" i="10"/>
  <c r="HG17" i="14"/>
  <c r="W13" i="65" s="1"/>
  <c r="HG38" i="13"/>
  <c r="W34" i="45" s="1"/>
  <c r="HG25" i="13"/>
  <c r="W32" i="45" s="1"/>
  <c r="HG18" i="13"/>
  <c r="W21" i="45" s="1"/>
  <c r="HJ13" i="11"/>
  <c r="HJ8" i="11"/>
  <c r="HJ24" i="10"/>
  <c r="HG19" i="14"/>
  <c r="HJ29" i="10"/>
  <c r="HJ31" i="10"/>
  <c r="HJ28" i="10"/>
  <c r="HJ8" i="10"/>
  <c r="HG45" i="13"/>
  <c r="HG40" i="13"/>
  <c r="HJ25" i="10"/>
  <c r="HJ11" i="11"/>
  <c r="HJ9" i="11"/>
  <c r="HJ10" i="11"/>
  <c r="HJ13" i="10"/>
  <c r="HG8" i="13"/>
  <c r="HG13" i="13"/>
  <c r="W25" i="45" s="1"/>
  <c r="HG9" i="13"/>
  <c r="W5" i="45" s="1"/>
  <c r="HG22" i="13"/>
  <c r="W7" i="45" s="1"/>
  <c r="HG20" i="13"/>
  <c r="W23" i="45" s="1"/>
  <c r="HG28" i="13"/>
  <c r="W12" i="45" s="1"/>
  <c r="HG31" i="13"/>
  <c r="W8" i="45" s="1"/>
  <c r="HJ12" i="11"/>
  <c r="HG29" i="13"/>
  <c r="W22" i="45" s="1"/>
  <c r="HG10" i="14"/>
  <c r="W8" i="65" s="1"/>
  <c r="HJ6" i="9"/>
  <c r="HG26" i="13"/>
  <c r="W14" i="45" s="1"/>
  <c r="HG43" i="13"/>
  <c r="HG11" i="13"/>
  <c r="W19" i="45" s="1"/>
  <c r="HG42" i="13"/>
  <c r="HG14" i="14"/>
  <c r="W9" i="65" s="1"/>
  <c r="HJ33" i="10"/>
  <c r="HG39" i="13"/>
  <c r="HG16" i="14"/>
  <c r="W12" i="65" s="1"/>
  <c r="HG41" i="13"/>
  <c r="HJ16" i="10"/>
  <c r="HG44" i="13"/>
  <c r="HJ39" i="10"/>
  <c r="HG11" i="14"/>
  <c r="W4" i="65" s="1"/>
  <c r="HJ12" i="10"/>
  <c r="HJ21" i="10"/>
  <c r="HJ17" i="11"/>
  <c r="HJ27" i="10"/>
  <c r="HJ10" i="10"/>
  <c r="HJ17" i="10"/>
  <c r="HJ38" i="10"/>
  <c r="HG10" i="13"/>
  <c r="W24" i="45" s="1"/>
  <c r="HJ41" i="10"/>
  <c r="HJ15" i="10"/>
  <c r="HJ34" i="10"/>
  <c r="HJ14" i="10"/>
  <c r="HJ20" i="11"/>
  <c r="HJ18" i="10"/>
  <c r="HG21" i="13"/>
  <c r="W18" i="45" s="1"/>
  <c r="HJ19" i="11"/>
  <c r="HJ32" i="10"/>
  <c r="HJ16" i="11"/>
  <c r="HJ19" i="10"/>
  <c r="HG33" i="13"/>
  <c r="W27" i="45" s="1"/>
  <c r="HJ23" i="10"/>
  <c r="HJ18" i="11"/>
  <c r="HG13" i="14"/>
  <c r="W10" i="65" s="1"/>
  <c r="HG24" i="13"/>
  <c r="W17" i="45" s="1"/>
  <c r="HG8" i="14"/>
  <c r="HG14" i="13"/>
  <c r="W15" i="45" s="1"/>
  <c r="HJ14" i="11"/>
  <c r="HG12" i="13"/>
  <c r="W13" i="45" s="1"/>
  <c r="HJ36" i="10"/>
  <c r="HG36" i="13"/>
  <c r="W31" i="45" s="1"/>
  <c r="HJ40" i="10"/>
  <c r="HG15" i="13"/>
  <c r="W20" i="45" s="1"/>
  <c r="HG34" i="13"/>
  <c r="W30" i="45" s="1"/>
  <c r="HG17" i="13"/>
  <c r="W26" i="45" s="1"/>
  <c r="HG15" i="14"/>
  <c r="W6" i="65" s="1"/>
  <c r="HG37" i="13"/>
  <c r="W29" i="45" s="1"/>
  <c r="HG35" i="13"/>
  <c r="W28" i="45" s="1"/>
  <c r="HG16" i="13"/>
  <c r="W6" i="45" s="1"/>
  <c r="HG47" i="13"/>
  <c r="HJ11" i="10"/>
  <c r="HG27" i="13"/>
  <c r="W9" i="45" s="1"/>
  <c r="HJ22" i="10"/>
  <c r="HG12" i="14"/>
  <c r="W7" i="65" s="1"/>
  <c r="HJ9" i="10"/>
  <c r="HJ35" i="10"/>
  <c r="HG46" i="13"/>
  <c r="HG32" i="13"/>
  <c r="W16" i="45" s="1"/>
  <c r="HG23" i="13"/>
  <c r="W11" i="45" s="1"/>
  <c r="HJ20" i="10"/>
  <c r="HJ42" i="10"/>
  <c r="HJ30" i="10"/>
  <c r="DD6" i="11"/>
  <c r="DD6" i="10"/>
  <c r="I7" i="68"/>
  <c r="I3" i="68"/>
  <c r="K19" i="48"/>
  <c r="K21" i="48"/>
  <c r="K3" i="48"/>
  <c r="CV6" i="11"/>
  <c r="CV6" i="10"/>
  <c r="L23" i="48"/>
  <c r="L32" i="48"/>
  <c r="L9" i="68"/>
  <c r="L5" i="48"/>
  <c r="J4" i="68"/>
  <c r="J10" i="68"/>
  <c r="J27" i="48"/>
  <c r="HY20" i="10"/>
  <c r="HY24" i="10"/>
  <c r="HY27" i="10"/>
  <c r="HY28" i="10"/>
  <c r="HY8" i="10"/>
  <c r="H4" i="68"/>
  <c r="HV11" i="14"/>
  <c r="L4" i="67" s="1"/>
  <c r="H27" i="48"/>
  <c r="HV10" i="13"/>
  <c r="J27" i="47" s="1"/>
  <c r="DK6" i="11"/>
  <c r="DK6" i="10"/>
  <c r="DK7" i="9"/>
  <c r="CX6" i="11"/>
  <c r="CX6" i="10"/>
  <c r="I14" i="48"/>
  <c r="K14" i="68"/>
  <c r="K13" i="48"/>
  <c r="K9" i="68"/>
  <c r="K7" i="68"/>
  <c r="K3" i="68"/>
  <c r="K11" i="48"/>
  <c r="L6" i="48"/>
  <c r="J14" i="68"/>
  <c r="J6" i="48"/>
  <c r="HZ6" i="11"/>
  <c r="HZ6" i="10"/>
  <c r="HY6" i="9"/>
  <c r="IB7" i="9" s="1"/>
  <c r="HY23" i="10"/>
  <c r="HY31" i="10"/>
  <c r="HY8" i="11"/>
  <c r="HY12" i="11"/>
  <c r="HY11" i="10"/>
  <c r="H31" i="48"/>
  <c r="HV34" i="13"/>
  <c r="L34" i="47" s="1"/>
  <c r="DI6" i="11"/>
  <c r="DI6" i="10"/>
  <c r="DI7" i="9"/>
  <c r="DH7" i="14"/>
  <c r="U12" i="26"/>
  <c r="HP8" i="13"/>
  <c r="HP10" i="14"/>
  <c r="U9" i="66" s="1"/>
  <c r="HP19" i="14"/>
  <c r="HP41" i="13"/>
  <c r="HP40" i="13"/>
  <c r="HP35" i="13"/>
  <c r="U31" i="46" s="1"/>
  <c r="HP13" i="14"/>
  <c r="U11" i="66" s="1"/>
  <c r="HS16" i="11"/>
  <c r="HP32" i="13"/>
  <c r="U16" i="46" s="1"/>
  <c r="HP37" i="13"/>
  <c r="U32" i="46" s="1"/>
  <c r="HP29" i="13"/>
  <c r="U25" i="46" s="1"/>
  <c r="HP24" i="13"/>
  <c r="U19" i="46" s="1"/>
  <c r="HP33" i="13"/>
  <c r="U30" i="46" s="1"/>
  <c r="HP12" i="14"/>
  <c r="U10" i="66" s="1"/>
  <c r="HS42" i="10"/>
  <c r="HP16" i="13"/>
  <c r="U7" i="46" s="1"/>
  <c r="HP27" i="13"/>
  <c r="U9" i="46" s="1"/>
  <c r="HP22" i="13"/>
  <c r="U8" i="46" s="1"/>
  <c r="HP26" i="13"/>
  <c r="U15" i="46" s="1"/>
  <c r="HP9" i="13"/>
  <c r="U6" i="46" s="1"/>
  <c r="HP17" i="13"/>
  <c r="U29" i="46" s="1"/>
  <c r="HS18" i="10"/>
  <c r="HS12" i="11"/>
  <c r="HP20" i="13"/>
  <c r="U26" i="46" s="1"/>
  <c r="HP11" i="13"/>
  <c r="U20" i="46" s="1"/>
  <c r="HS19" i="11"/>
  <c r="HS15" i="11"/>
  <c r="HS20" i="11"/>
  <c r="HS9" i="10"/>
  <c r="HS38" i="10"/>
  <c r="HP25" i="13"/>
  <c r="U34" i="46" s="1"/>
  <c r="HS41" i="10"/>
  <c r="HS37" i="10"/>
  <c r="HS33" i="10"/>
  <c r="HS8" i="11"/>
  <c r="HP14" i="14"/>
  <c r="U8" i="66" s="1"/>
  <c r="HS14" i="10"/>
  <c r="HS34" i="10"/>
  <c r="HS30" i="10"/>
  <c r="HS11" i="11"/>
  <c r="HS26" i="10"/>
  <c r="HS22" i="10"/>
  <c r="HP47" i="13"/>
  <c r="HS8" i="10"/>
  <c r="HS10" i="10"/>
  <c r="HS25" i="10"/>
  <c r="HS21" i="10"/>
  <c r="HS17" i="10"/>
  <c r="HS13" i="10"/>
  <c r="HP38" i="13"/>
  <c r="U28" i="46" s="1"/>
  <c r="HP16" i="14"/>
  <c r="U12" i="66" s="1"/>
  <c r="HP18" i="14"/>
  <c r="U14" i="66" s="1"/>
  <c r="HP36" i="13"/>
  <c r="U22" i="46" s="1"/>
  <c r="HP44" i="13"/>
  <c r="HP15" i="14"/>
  <c r="U7" i="66" s="1"/>
  <c r="HS20" i="10"/>
  <c r="HP21" i="13"/>
  <c r="U17" i="46" s="1"/>
  <c r="HP42" i="13"/>
  <c r="HP46" i="13"/>
  <c r="HP11" i="14"/>
  <c r="U4" i="66" s="1"/>
  <c r="HP9" i="14"/>
  <c r="U5" i="66" s="1"/>
  <c r="HP28" i="13"/>
  <c r="U13" i="46" s="1"/>
  <c r="HS11" i="10"/>
  <c r="HS14" i="11"/>
  <c r="HP39" i="13"/>
  <c r="HP34" i="13"/>
  <c r="U33" i="46" s="1"/>
  <c r="HP31" i="13"/>
  <c r="U11" i="46" s="1"/>
  <c r="HP19" i="13"/>
  <c r="U4" i="46" s="1"/>
  <c r="HP13" i="13"/>
  <c r="U12" i="46" s="1"/>
  <c r="HP45" i="13"/>
  <c r="HS6" i="9"/>
  <c r="HS40" i="10"/>
  <c r="HP12" i="13"/>
  <c r="U21" i="46" s="1"/>
  <c r="HP15" i="13"/>
  <c r="U23" i="46" s="1"/>
  <c r="HP14" i="13"/>
  <c r="U5" i="46" s="1"/>
  <c r="HS17" i="11"/>
  <c r="HP18" i="13"/>
  <c r="U24" i="46" s="1"/>
  <c r="HP8" i="14"/>
  <c r="HS16" i="10"/>
  <c r="HS10" i="11"/>
  <c r="HP10" i="13"/>
  <c r="U27" i="46" s="1"/>
  <c r="HS39" i="10"/>
  <c r="HS35" i="10"/>
  <c r="HS9" i="11"/>
  <c r="HP30" i="13"/>
  <c r="U10" i="46" s="1"/>
  <c r="HP43" i="13"/>
  <c r="HS29" i="10"/>
  <c r="HS36" i="10"/>
  <c r="HS32" i="10"/>
  <c r="HS28" i="10"/>
  <c r="HS27" i="10"/>
  <c r="HS24" i="10"/>
  <c r="HS18" i="11"/>
  <c r="HP23" i="13"/>
  <c r="U14" i="46" s="1"/>
  <c r="HP17" i="14"/>
  <c r="U13" i="66" s="1"/>
  <c r="HS12" i="10"/>
  <c r="HS31" i="10"/>
  <c r="HS23" i="10"/>
  <c r="HS19" i="10"/>
  <c r="HS15" i="10"/>
  <c r="HS13" i="11"/>
  <c r="I27" i="48"/>
  <c r="I8" i="68"/>
  <c r="I6" i="48"/>
  <c r="I31" i="48"/>
  <c r="CZ6" i="11"/>
  <c r="CZ6" i="10"/>
  <c r="EM6" i="11"/>
  <c r="EM6" i="10"/>
  <c r="EM7" i="9"/>
  <c r="K9" i="48"/>
  <c r="K24" i="48"/>
  <c r="DS6" i="11"/>
  <c r="DS6" i="10"/>
  <c r="DS7" i="9"/>
  <c r="CY6" i="11"/>
  <c r="CY6" i="10"/>
  <c r="L6" i="68"/>
  <c r="L13" i="68"/>
  <c r="L18" i="48"/>
  <c r="J7" i="68"/>
  <c r="J3" i="68"/>
  <c r="J16" i="48"/>
  <c r="IA6" i="11"/>
  <c r="IA6" i="10"/>
  <c r="HY32" i="10"/>
  <c r="HY36" i="10"/>
  <c r="HY40" i="10"/>
  <c r="H19" i="48"/>
  <c r="HV12" i="13"/>
  <c r="I19" i="47" s="1"/>
  <c r="HY35" i="10"/>
  <c r="HY12" i="10"/>
  <c r="H9" i="68"/>
  <c r="HV14" i="14"/>
  <c r="J9" i="67" s="1"/>
  <c r="V12" i="26"/>
  <c r="HS40" i="13"/>
  <c r="HS10" i="14"/>
  <c r="V9" i="66" s="1"/>
  <c r="HS25" i="13"/>
  <c r="V34" i="46" s="1"/>
  <c r="HS13" i="13"/>
  <c r="V12" i="46" s="1"/>
  <c r="HV8" i="11"/>
  <c r="HV9" i="11"/>
  <c r="HV20" i="10"/>
  <c r="HS17" i="14"/>
  <c r="V13" i="66" s="1"/>
  <c r="HS33" i="13"/>
  <c r="V30" i="46" s="1"/>
  <c r="HS37" i="13"/>
  <c r="V32" i="46" s="1"/>
  <c r="HV20" i="11"/>
  <c r="HV42" i="10"/>
  <c r="HV31" i="10"/>
  <c r="HV18" i="10"/>
  <c r="HS35" i="13"/>
  <c r="V31" i="46" s="1"/>
  <c r="HS28" i="13"/>
  <c r="V13" i="46" s="1"/>
  <c r="HS8" i="13"/>
  <c r="HV18" i="11"/>
  <c r="HV40" i="10"/>
  <c r="HV25" i="10"/>
  <c r="HV16" i="10"/>
  <c r="HS44" i="13"/>
  <c r="HS23" i="13"/>
  <c r="V14" i="46" s="1"/>
  <c r="HS16" i="13"/>
  <c r="V7" i="46" s="1"/>
  <c r="HV16" i="11"/>
  <c r="HV38" i="10"/>
  <c r="HV23" i="10"/>
  <c r="HV12" i="10"/>
  <c r="HS45" i="13"/>
  <c r="HS8" i="14"/>
  <c r="HS12" i="13"/>
  <c r="V21" i="46" s="1"/>
  <c r="HV14" i="11"/>
  <c r="HV36" i="10"/>
  <c r="HV21" i="10"/>
  <c r="HV8" i="10"/>
  <c r="HS39" i="13"/>
  <c r="HS32" i="13"/>
  <c r="V16" i="46" s="1"/>
  <c r="HS20" i="13"/>
  <c r="V26" i="46" s="1"/>
  <c r="HV12" i="11"/>
  <c r="HV34" i="10"/>
  <c r="HV19" i="10"/>
  <c r="HV14" i="10"/>
  <c r="HS12" i="14"/>
  <c r="V10" i="66" s="1"/>
  <c r="HS38" i="13"/>
  <c r="V28" i="46" s="1"/>
  <c r="HS15" i="13"/>
  <c r="V23" i="46" s="1"/>
  <c r="HV10" i="11"/>
  <c r="HV32" i="10"/>
  <c r="HV17" i="10"/>
  <c r="HV9" i="10"/>
  <c r="HS13" i="14"/>
  <c r="V11" i="66" s="1"/>
  <c r="HS46" i="13"/>
  <c r="HS27" i="13"/>
  <c r="V9" i="46" s="1"/>
  <c r="HS11" i="13"/>
  <c r="V20" i="46" s="1"/>
  <c r="HS9" i="13"/>
  <c r="V6" i="46" s="1"/>
  <c r="HV30" i="10"/>
  <c r="HV15" i="10"/>
  <c r="HV11" i="10"/>
  <c r="HS16" i="14"/>
  <c r="V12" i="66" s="1"/>
  <c r="HS43" i="13"/>
  <c r="HS22" i="13"/>
  <c r="V8" i="46" s="1"/>
  <c r="HS24" i="13"/>
  <c r="V19" i="46" s="1"/>
  <c r="HS17" i="13"/>
  <c r="V29" i="46" s="1"/>
  <c r="HV28" i="10"/>
  <c r="HV13" i="10"/>
  <c r="HV10" i="10"/>
  <c r="HS9" i="14"/>
  <c r="V5" i="66" s="1"/>
  <c r="HS34" i="13"/>
  <c r="V33" i="46" s="1"/>
  <c r="HS31" i="13"/>
  <c r="V11" i="46" s="1"/>
  <c r="HS14" i="13"/>
  <c r="V5" i="46" s="1"/>
  <c r="HV19" i="11"/>
  <c r="HV41" i="10"/>
  <c r="HV29" i="10"/>
  <c r="HS47" i="13"/>
  <c r="HS14" i="14"/>
  <c r="V8" i="66" s="1"/>
  <c r="HS36" i="13"/>
  <c r="V22" i="46" s="1"/>
  <c r="HS10" i="13"/>
  <c r="V27" i="46" s="1"/>
  <c r="HV17" i="11"/>
  <c r="HV39" i="10"/>
  <c r="HV27" i="10"/>
  <c r="HV6" i="9"/>
  <c r="HS19" i="14"/>
  <c r="HS11" i="14"/>
  <c r="V4" i="66" s="1"/>
  <c r="HS26" i="13"/>
  <c r="V15" i="46" s="1"/>
  <c r="HS29" i="13"/>
  <c r="V25" i="46" s="1"/>
  <c r="HV15" i="11"/>
  <c r="HV37" i="10"/>
  <c r="HV26" i="10"/>
  <c r="HS15" i="14"/>
  <c r="V7" i="66" s="1"/>
  <c r="HS42" i="13"/>
  <c r="HS21" i="13"/>
  <c r="V17" i="46" s="1"/>
  <c r="HS18" i="13"/>
  <c r="V24" i="46" s="1"/>
  <c r="HV13" i="11"/>
  <c r="HV35" i="10"/>
  <c r="HV24" i="10"/>
  <c r="HS18" i="14"/>
  <c r="V14" i="66" s="1"/>
  <c r="HS41" i="13"/>
  <c r="HS30" i="13"/>
  <c r="V10" i="46" s="1"/>
  <c r="HS19" i="13"/>
  <c r="V4" i="46" s="1"/>
  <c r="HV11" i="11"/>
  <c r="HV33" i="10"/>
  <c r="HV22" i="10"/>
  <c r="I15" i="48"/>
  <c r="I21" i="48"/>
  <c r="I3" i="48"/>
  <c r="I12" i="48"/>
  <c r="I4" i="68"/>
  <c r="K30" i="48"/>
  <c r="K26" i="48"/>
  <c r="K31" i="48"/>
  <c r="K4" i="68"/>
  <c r="L15" i="48"/>
  <c r="L12" i="68"/>
  <c r="J8" i="68"/>
  <c r="J22" i="48"/>
  <c r="IB6" i="11"/>
  <c r="IB6" i="10"/>
  <c r="HY14" i="11"/>
  <c r="HY18" i="11"/>
  <c r="H8" i="48"/>
  <c r="HV15" i="13"/>
  <c r="H24" i="47" s="1"/>
  <c r="H12" i="48"/>
  <c r="HV13" i="13"/>
  <c r="H12" i="47" s="1"/>
  <c r="HY11" i="11"/>
  <c r="HY15" i="10"/>
  <c r="H12" i="68"/>
  <c r="HV16" i="14"/>
  <c r="I12" i="67" s="1"/>
  <c r="BG1" i="9"/>
  <c r="I20" i="48"/>
  <c r="I13" i="48"/>
  <c r="I18" i="48"/>
  <c r="EL7" i="14"/>
  <c r="K13" i="68"/>
  <c r="K22" i="48"/>
  <c r="K6" i="48"/>
  <c r="DR6" i="13"/>
  <c r="U9" i="25"/>
  <c r="FH21" i="9"/>
  <c r="HA17" i="14"/>
  <c r="U13" i="65" s="1"/>
  <c r="HA46" i="13"/>
  <c r="HA8" i="14"/>
  <c r="HA30" i="13"/>
  <c r="U10" i="45" s="1"/>
  <c r="HD18" i="11"/>
  <c r="HD42" i="10"/>
  <c r="HD14" i="10"/>
  <c r="HD13" i="10"/>
  <c r="HA23" i="13"/>
  <c r="U11" i="45" s="1"/>
  <c r="HA16" i="13"/>
  <c r="U6" i="45" s="1"/>
  <c r="HD20" i="10"/>
  <c r="HD22" i="10"/>
  <c r="HA9" i="13"/>
  <c r="U5" i="45" s="1"/>
  <c r="HA22" i="13"/>
  <c r="U7" i="45" s="1"/>
  <c r="HA24" i="13"/>
  <c r="U17" i="45" s="1"/>
  <c r="HD14" i="11"/>
  <c r="HA42" i="13"/>
  <c r="HA45" i="13"/>
  <c r="HA28" i="13"/>
  <c r="U12" i="45" s="1"/>
  <c r="HD31" i="10"/>
  <c r="HD33" i="10"/>
  <c r="HA9" i="14"/>
  <c r="U11" i="65" s="1"/>
  <c r="HA20" i="13"/>
  <c r="U23" i="45" s="1"/>
  <c r="HA27" i="13"/>
  <c r="U9" i="45" s="1"/>
  <c r="HA11" i="13"/>
  <c r="U19" i="45" s="1"/>
  <c r="HA14" i="14"/>
  <c r="U9" i="65" s="1"/>
  <c r="HA18" i="14"/>
  <c r="U14" i="65" s="1"/>
  <c r="HD13" i="11"/>
  <c r="HD15" i="11"/>
  <c r="HA44" i="13"/>
  <c r="HA38" i="13"/>
  <c r="U34" i="45" s="1"/>
  <c r="HA32" i="13"/>
  <c r="U16" i="45" s="1"/>
  <c r="HA17" i="13"/>
  <c r="U26" i="45" s="1"/>
  <c r="HA13" i="13"/>
  <c r="U25" i="45" s="1"/>
  <c r="HD23" i="10"/>
  <c r="HA19" i="14"/>
  <c r="HA25" i="13"/>
  <c r="U32" i="45" s="1"/>
  <c r="HA16" i="14"/>
  <c r="U12" i="65" s="1"/>
  <c r="HA35" i="13"/>
  <c r="U28" i="45" s="1"/>
  <c r="HA36" i="13"/>
  <c r="U31" i="45" s="1"/>
  <c r="HD21" i="10"/>
  <c r="HD30" i="10"/>
  <c r="HA40" i="13"/>
  <c r="HA12" i="14"/>
  <c r="U7" i="65" s="1"/>
  <c r="HD26" i="10"/>
  <c r="HD39" i="10"/>
  <c r="HD32" i="10"/>
  <c r="HD37" i="10"/>
  <c r="HA8" i="13"/>
  <c r="HD25" i="10"/>
  <c r="HD9" i="11"/>
  <c r="HD19" i="11"/>
  <c r="HA19" i="13"/>
  <c r="U4" i="45" s="1"/>
  <c r="HD27" i="10"/>
  <c r="HD8" i="11"/>
  <c r="HD12" i="10"/>
  <c r="HA18" i="13"/>
  <c r="U21" i="45" s="1"/>
  <c r="HA11" i="14"/>
  <c r="U4" i="65" s="1"/>
  <c r="HD41" i="10"/>
  <c r="HA21" i="13"/>
  <c r="U18" i="45" s="1"/>
  <c r="HD40" i="10"/>
  <c r="HD9" i="10"/>
  <c r="HA33" i="13"/>
  <c r="U27" i="45" s="1"/>
  <c r="HA13" i="14"/>
  <c r="U10" i="65" s="1"/>
  <c r="HA14" i="13"/>
  <c r="U15" i="45" s="1"/>
  <c r="HA31" i="13"/>
  <c r="U8" i="45" s="1"/>
  <c r="HD16" i="11"/>
  <c r="HD16" i="10"/>
  <c r="HD11" i="10"/>
  <c r="HD19" i="10"/>
  <c r="HA41" i="13"/>
  <c r="HA26" i="13"/>
  <c r="U14" i="45" s="1"/>
  <c r="HA29" i="13"/>
  <c r="U22" i="45" s="1"/>
  <c r="HD28" i="10"/>
  <c r="HA15" i="13"/>
  <c r="U20" i="45" s="1"/>
  <c r="HD10" i="11"/>
  <c r="HD18" i="10"/>
  <c r="HD24" i="10"/>
  <c r="HA47" i="13"/>
  <c r="HA15" i="14"/>
  <c r="U6" i="65" s="1"/>
  <c r="HD34" i="10"/>
  <c r="HD8" i="10"/>
  <c r="HD6" i="9"/>
  <c r="HA34" i="13"/>
  <c r="U30" i="45" s="1"/>
  <c r="HD20" i="11"/>
  <c r="HD29" i="10"/>
  <c r="HD35" i="10"/>
  <c r="HA37" i="13"/>
  <c r="U29" i="45" s="1"/>
  <c r="HD11" i="11"/>
  <c r="HD36" i="10"/>
  <c r="HD10" i="10"/>
  <c r="HA43" i="13"/>
  <c r="HA12" i="13"/>
  <c r="U13" i="45" s="1"/>
  <c r="HA10" i="13"/>
  <c r="U24" i="45" s="1"/>
  <c r="HD15" i="10"/>
  <c r="HD17" i="10"/>
  <c r="HD17" i="11"/>
  <c r="HA39" i="13"/>
  <c r="HD12" i="11"/>
  <c r="HD38" i="10"/>
  <c r="HA10" i="14"/>
  <c r="U8" i="65" s="1"/>
  <c r="L9" i="48"/>
  <c r="L11" i="68"/>
  <c r="J11" i="48"/>
  <c r="J28" i="48"/>
  <c r="J7" i="48"/>
  <c r="J9" i="68"/>
  <c r="IC6" i="11"/>
  <c r="IC6" i="10"/>
  <c r="H20" i="48"/>
  <c r="HV11" i="13"/>
  <c r="J20" i="47" s="1"/>
  <c r="H13" i="48"/>
  <c r="HV27" i="13"/>
  <c r="H11" i="47" s="1"/>
  <c r="H18" i="48"/>
  <c r="HV23" i="13"/>
  <c r="J15" i="47" s="1"/>
  <c r="H32" i="48"/>
  <c r="HV36" i="13"/>
  <c r="H22" i="47" s="1"/>
  <c r="H4" i="48"/>
  <c r="HV18" i="13"/>
  <c r="H23" i="47" s="1"/>
  <c r="HY39" i="10"/>
  <c r="HY16" i="10"/>
  <c r="I30" i="48"/>
  <c r="I11" i="48"/>
  <c r="I22" i="48"/>
  <c r="I4" i="48"/>
  <c r="K20" i="48"/>
  <c r="K29" i="48"/>
  <c r="DP6" i="13"/>
  <c r="L28" i="48"/>
  <c r="L30" i="48"/>
  <c r="J24" i="48"/>
  <c r="J13" i="48"/>
  <c r="J18" i="48"/>
  <c r="J19" i="48"/>
  <c r="ID6" i="11"/>
  <c r="ID6" i="10"/>
  <c r="H34" i="48"/>
  <c r="HV33" i="13"/>
  <c r="K29" i="47" s="1"/>
  <c r="H16" i="48"/>
  <c r="HV31" i="13"/>
  <c r="H10" i="47" s="1"/>
  <c r="HV40" i="13"/>
  <c r="HV41" i="13"/>
  <c r="H6" i="48"/>
  <c r="HV29" i="13"/>
  <c r="I26" i="47" s="1"/>
  <c r="HY15" i="11"/>
  <c r="HY19" i="10"/>
  <c r="I13" i="68"/>
  <c r="I14" i="68"/>
  <c r="I32" i="48"/>
  <c r="CW6" i="11"/>
  <c r="CW6" i="10"/>
  <c r="EA6" i="14"/>
  <c r="EK7" i="14"/>
  <c r="K5" i="68"/>
  <c r="K10" i="48"/>
  <c r="K12" i="68"/>
  <c r="K4" i="48"/>
  <c r="DQ6" i="13"/>
  <c r="L21" i="48"/>
  <c r="L3" i="48"/>
  <c r="L25" i="48"/>
  <c r="J10" i="48"/>
  <c r="J6" i="68"/>
  <c r="J23" i="48"/>
  <c r="HV38" i="13"/>
  <c r="J30" i="47" s="1"/>
  <c r="HV43" i="13"/>
  <c r="H14" i="68"/>
  <c r="HV18" i="14"/>
  <c r="L14" i="67" s="1"/>
  <c r="H8" i="68"/>
  <c r="HV12" i="14"/>
  <c r="I8" i="67" s="1"/>
  <c r="H30" i="48"/>
  <c r="HV37" i="13"/>
  <c r="I32" i="47" s="1"/>
  <c r="HY42" i="10"/>
  <c r="DJ6" i="11"/>
  <c r="DJ6" i="10"/>
  <c r="DJ7" i="9"/>
  <c r="BF1" i="10" l="1"/>
  <c r="I9" i="47"/>
  <c r="H6" i="47"/>
  <c r="H33" i="47"/>
  <c r="L33" i="47"/>
  <c r="K33" i="47"/>
  <c r="L9" i="47"/>
  <c r="L6" i="67"/>
  <c r="J6" i="67"/>
  <c r="I13" i="47"/>
  <c r="H31" i="47"/>
  <c r="K9" i="47"/>
  <c r="IA7" i="14"/>
  <c r="DS7" i="11"/>
  <c r="K13" i="47"/>
  <c r="HY7" i="14"/>
  <c r="H13" i="47"/>
  <c r="J13" i="47"/>
  <c r="K5" i="67"/>
  <c r="L11" i="67"/>
  <c r="J9" i="47"/>
  <c r="K13" i="67"/>
  <c r="I31" i="47"/>
  <c r="H34" i="47"/>
  <c r="I13" i="67"/>
  <c r="L13" i="67"/>
  <c r="K6" i="67"/>
  <c r="K11" i="67"/>
  <c r="K4" i="47"/>
  <c r="K31" i="47"/>
  <c r="EA7" i="14"/>
  <c r="IA7" i="13"/>
  <c r="J6" i="47"/>
  <c r="BF1" i="11"/>
  <c r="L31" i="47"/>
  <c r="BG1" i="11"/>
  <c r="L18" i="47"/>
  <c r="L21" i="47"/>
  <c r="H18" i="47"/>
  <c r="I4" i="47"/>
  <c r="I18" i="47"/>
  <c r="H8" i="47"/>
  <c r="I21" i="47"/>
  <c r="J18" i="47"/>
  <c r="H4" i="47"/>
  <c r="J28" i="47"/>
  <c r="K21" i="47"/>
  <c r="EM7" i="10"/>
  <c r="J21" i="47"/>
  <c r="I8" i="47"/>
  <c r="HW7" i="13"/>
  <c r="L28" i="47"/>
  <c r="EK7" i="13"/>
  <c r="HX7" i="13"/>
  <c r="BH1" i="11"/>
  <c r="H4" i="67"/>
  <c r="HZ7" i="9"/>
  <c r="H16" i="47"/>
  <c r="H11" i="67"/>
  <c r="IA7" i="9"/>
  <c r="K6" i="47"/>
  <c r="L6" i="47"/>
  <c r="HW7" i="14"/>
  <c r="J16" i="47"/>
  <c r="J4" i="67"/>
  <c r="K4" i="67"/>
  <c r="I11" i="67"/>
  <c r="HZ7" i="14"/>
  <c r="I4" i="67"/>
  <c r="H29" i="47"/>
  <c r="DP7" i="13"/>
  <c r="K16" i="47"/>
  <c r="I22" i="47"/>
  <c r="H9" i="67"/>
  <c r="J10" i="67"/>
  <c r="I12" i="47"/>
  <c r="J29" i="47"/>
  <c r="DJ7" i="10"/>
  <c r="J8" i="67"/>
  <c r="L8" i="47"/>
  <c r="DH7" i="13"/>
  <c r="H27" i="47"/>
  <c r="EM7" i="11"/>
  <c r="K10" i="47"/>
  <c r="J19" i="47"/>
  <c r="J10" i="47"/>
  <c r="L5" i="47"/>
  <c r="H13" i="67"/>
  <c r="L14" i="47"/>
  <c r="K14" i="47"/>
  <c r="DZ7" i="13"/>
  <c r="H30" i="47"/>
  <c r="I14" i="47"/>
  <c r="L25" i="47"/>
  <c r="J24" i="47"/>
  <c r="H14" i="67"/>
  <c r="L30" i="47"/>
  <c r="K24" i="47"/>
  <c r="EB7" i="10"/>
  <c r="EC7" i="11"/>
  <c r="I6" i="67"/>
  <c r="J8" i="47"/>
  <c r="J22" i="47"/>
  <c r="J11" i="47"/>
  <c r="K22" i="47"/>
  <c r="I7" i="47"/>
  <c r="H3" i="47"/>
  <c r="L12" i="67"/>
  <c r="K7" i="47"/>
  <c r="I29" i="47"/>
  <c r="J17" i="47"/>
  <c r="I30" i="47"/>
  <c r="I27" i="47"/>
  <c r="DQ7" i="14"/>
  <c r="DJ7" i="11"/>
  <c r="K12" i="67"/>
  <c r="BG1" i="10"/>
  <c r="K11" i="47"/>
  <c r="H5" i="67"/>
  <c r="I23" i="47"/>
  <c r="ID7" i="9"/>
  <c r="J25" i="47"/>
  <c r="DG7" i="13"/>
  <c r="K10" i="67"/>
  <c r="IC7" i="9"/>
  <c r="K7" i="67"/>
  <c r="BE1" i="10"/>
  <c r="I33" i="47"/>
  <c r="H7" i="47"/>
  <c r="L24" i="47"/>
  <c r="K3" i="67"/>
  <c r="DZ7" i="14"/>
  <c r="K26" i="47"/>
  <c r="H17" i="47"/>
  <c r="H10" i="67"/>
  <c r="L7" i="47"/>
  <c r="H15" i="47"/>
  <c r="L27" i="47"/>
  <c r="I7" i="67"/>
  <c r="H8" i="67"/>
  <c r="K30" i="47"/>
  <c r="DS7" i="10"/>
  <c r="DF7" i="13"/>
  <c r="K17" i="47"/>
  <c r="L8" i="67"/>
  <c r="J34" i="47"/>
  <c r="J7" i="67"/>
  <c r="L32" i="47"/>
  <c r="H5" i="47"/>
  <c r="H12" i="67"/>
  <c r="J23" i="47"/>
  <c r="I14" i="67"/>
  <c r="H32" i="47"/>
  <c r="L15" i="47"/>
  <c r="I3" i="47"/>
  <c r="U6" i="66"/>
  <c r="HP6" i="14"/>
  <c r="U3" i="66"/>
  <c r="DI7" i="11"/>
  <c r="K3" i="47"/>
  <c r="GI6" i="11"/>
  <c r="GI6" i="10"/>
  <c r="I9" i="67"/>
  <c r="W6" i="63"/>
  <c r="GL6" i="14"/>
  <c r="W3" i="63"/>
  <c r="W18" i="43"/>
  <c r="GL6" i="13"/>
  <c r="W3" i="43"/>
  <c r="L29" i="47"/>
  <c r="EL7" i="13"/>
  <c r="ED7" i="10"/>
  <c r="J14" i="47"/>
  <c r="I10" i="47"/>
  <c r="K34" i="47"/>
  <c r="CL6" i="11"/>
  <c r="CL6" i="10"/>
  <c r="L10" i="67"/>
  <c r="DY7" i="14"/>
  <c r="T9" i="25"/>
  <c r="W7" i="22"/>
  <c r="JO13" i="14"/>
  <c r="R10" i="73" s="1"/>
  <c r="FE12" i="14"/>
  <c r="JN15" i="14"/>
  <c r="Q6" i="73" s="1"/>
  <c r="JO17" i="14"/>
  <c r="R13" i="73" s="1"/>
  <c r="JO10" i="14"/>
  <c r="R8" i="73" s="1"/>
  <c r="JM40" i="13"/>
  <c r="JN39" i="13"/>
  <c r="JO43" i="13"/>
  <c r="JM46" i="13"/>
  <c r="JK37" i="13"/>
  <c r="N29" i="53" s="1"/>
  <c r="JN23" i="13"/>
  <c r="Q11" i="53" s="1"/>
  <c r="JM27" i="13"/>
  <c r="P9" i="53" s="1"/>
  <c r="JO46" i="13"/>
  <c r="JN38" i="13"/>
  <c r="Q34" i="53" s="1"/>
  <c r="JL26" i="13"/>
  <c r="O14" i="53" s="1"/>
  <c r="JM25" i="13"/>
  <c r="P32" i="53" s="1"/>
  <c r="JO12" i="13"/>
  <c r="R13" i="53" s="1"/>
  <c r="JK19" i="13"/>
  <c r="N4" i="53" s="1"/>
  <c r="JL20" i="13"/>
  <c r="O23" i="53" s="1"/>
  <c r="JL15" i="13"/>
  <c r="O20" i="53" s="1"/>
  <c r="JM10" i="13"/>
  <c r="P24" i="53" s="1"/>
  <c r="FH20" i="11"/>
  <c r="JP18" i="11"/>
  <c r="JL21" i="13"/>
  <c r="O18" i="53" s="1"/>
  <c r="FH17" i="11"/>
  <c r="JQ19" i="11"/>
  <c r="FE8" i="13"/>
  <c r="FH38" i="10"/>
  <c r="JR8" i="11"/>
  <c r="JO32" i="10"/>
  <c r="JO17" i="11"/>
  <c r="FH10" i="11"/>
  <c r="JR9" i="11"/>
  <c r="JO24" i="10"/>
  <c r="JN16" i="10"/>
  <c r="FH15" i="10"/>
  <c r="JO39" i="10"/>
  <c r="JP17" i="10"/>
  <c r="JQ33" i="10"/>
  <c r="JP31" i="10"/>
  <c r="JR20" i="10"/>
  <c r="JP24" i="10"/>
  <c r="JR10" i="10"/>
  <c r="FH6" i="9"/>
  <c r="FH13" i="11"/>
  <c r="JQ25" i="10"/>
  <c r="JP20" i="10"/>
  <c r="JM10" i="14"/>
  <c r="P8" i="73" s="1"/>
  <c r="JN9" i="14"/>
  <c r="Q11" i="73" s="1"/>
  <c r="JK19" i="14"/>
  <c r="FE13" i="14"/>
  <c r="JM9" i="14"/>
  <c r="P11" i="73" s="1"/>
  <c r="JK36" i="13"/>
  <c r="N31" i="53" s="1"/>
  <c r="FE38" i="13"/>
  <c r="JK39" i="13"/>
  <c r="JL45" i="13"/>
  <c r="JM35" i="13"/>
  <c r="P28" i="53" s="1"/>
  <c r="JK33" i="13"/>
  <c r="N27" i="53" s="1"/>
  <c r="JK23" i="13"/>
  <c r="N11" i="53" s="1"/>
  <c r="JO38" i="13"/>
  <c r="R34" i="53" s="1"/>
  <c r="JL31" i="13"/>
  <c r="O8" i="53" s="1"/>
  <c r="JO25" i="13"/>
  <c r="R32" i="53" s="1"/>
  <c r="JN29" i="13"/>
  <c r="Q22" i="53" s="1"/>
  <c r="JM8" i="13"/>
  <c r="P33" i="53" s="1"/>
  <c r="JM16" i="13"/>
  <c r="P6" i="53" s="1"/>
  <c r="JK16" i="13"/>
  <c r="N6" i="53" s="1"/>
  <c r="JO14" i="13"/>
  <c r="R15" i="53" s="1"/>
  <c r="JO24" i="13"/>
  <c r="R17" i="53" s="1"/>
  <c r="FH18" i="11"/>
  <c r="JP16" i="11"/>
  <c r="JO8" i="13"/>
  <c r="R33" i="53" s="1"/>
  <c r="FH15" i="11"/>
  <c r="JQ17" i="11"/>
  <c r="JK18" i="13"/>
  <c r="N21" i="53" s="1"/>
  <c r="FH36" i="10"/>
  <c r="JP40" i="10"/>
  <c r="JO30" i="10"/>
  <c r="JP42" i="10"/>
  <c r="JR41" i="10"/>
  <c r="JO41" i="10"/>
  <c r="JO22" i="10"/>
  <c r="JN14" i="10"/>
  <c r="FH13" i="10"/>
  <c r="JO29" i="10"/>
  <c r="JP15" i="10"/>
  <c r="JQ32" i="10"/>
  <c r="JQ28" i="10"/>
  <c r="JR18" i="10"/>
  <c r="JP22" i="10"/>
  <c r="JN9" i="10"/>
  <c r="JN35" i="13"/>
  <c r="Q28" i="53" s="1"/>
  <c r="JO30" i="13"/>
  <c r="R10" i="53" s="1"/>
  <c r="FE28" i="13"/>
  <c r="JM12" i="13"/>
  <c r="P13" i="53" s="1"/>
  <c r="JN15" i="13"/>
  <c r="Q20" i="53" s="1"/>
  <c r="FE23" i="13"/>
  <c r="FH16" i="11"/>
  <c r="JN20" i="11"/>
  <c r="FH34" i="10"/>
  <c r="JP38" i="10"/>
  <c r="JO19" i="11"/>
  <c r="JN39" i="10"/>
  <c r="FH11" i="10"/>
  <c r="JR31" i="10"/>
  <c r="JQ10" i="10"/>
  <c r="FE47" i="13"/>
  <c r="JN47" i="13"/>
  <c r="JO18" i="14"/>
  <c r="R14" i="73" s="1"/>
  <c r="FE10" i="14"/>
  <c r="JM8" i="14"/>
  <c r="P5" i="73" s="1"/>
  <c r="JL12" i="14"/>
  <c r="O7" i="73" s="1"/>
  <c r="FE14" i="14"/>
  <c r="FE43" i="13"/>
  <c r="JM33" i="13"/>
  <c r="P27" i="53" s="1"/>
  <c r="JN32" i="13"/>
  <c r="Q16" i="53" s="1"/>
  <c r="JN22" i="13"/>
  <c r="Q7" i="53" s="1"/>
  <c r="FE37" i="13"/>
  <c r="JM21" i="13"/>
  <c r="P18" i="53" s="1"/>
  <c r="JO27" i="13"/>
  <c r="R9" i="53" s="1"/>
  <c r="JL11" i="13"/>
  <c r="O19" i="53" s="1"/>
  <c r="JP14" i="11"/>
  <c r="JN19" i="11"/>
  <c r="JO28" i="10"/>
  <c r="JQ39" i="10"/>
  <c r="JN12" i="10"/>
  <c r="FH26" i="10"/>
  <c r="JL44" i="13"/>
  <c r="FE46" i="13"/>
  <c r="JM15" i="14"/>
  <c r="P6" i="73" s="1"/>
  <c r="JO9" i="14"/>
  <c r="R11" i="73" s="1"/>
  <c r="JK47" i="13"/>
  <c r="JK18" i="14"/>
  <c r="N14" i="73" s="1"/>
  <c r="JK11" i="14"/>
  <c r="N4" i="73" s="1"/>
  <c r="JO45" i="13"/>
  <c r="JK42" i="13"/>
  <c r="JK29" i="13"/>
  <c r="N22" i="53" s="1"/>
  <c r="JO36" i="13"/>
  <c r="R31" i="53" s="1"/>
  <c r="FE21" i="13"/>
  <c r="JM31" i="13"/>
  <c r="P8" i="53" s="1"/>
  <c r="JM26" i="13"/>
  <c r="P14" i="53" s="1"/>
  <c r="JK44" i="13"/>
  <c r="JK21" i="13"/>
  <c r="N18" i="53" s="1"/>
  <c r="JO20" i="13"/>
  <c r="R23" i="53" s="1"/>
  <c r="JK8" i="13"/>
  <c r="N33" i="53" s="1"/>
  <c r="FE14" i="13"/>
  <c r="JO10" i="13"/>
  <c r="R24" i="53" s="1"/>
  <c r="JN18" i="13"/>
  <c r="Q21" i="53" s="1"/>
  <c r="FH14" i="11"/>
  <c r="JP12" i="11"/>
  <c r="JN18" i="11"/>
  <c r="FH11" i="11"/>
  <c r="JQ13" i="11"/>
  <c r="JN17" i="11"/>
  <c r="FH32" i="10"/>
  <c r="JP36" i="10"/>
  <c r="JO15" i="11"/>
  <c r="JO42" i="10"/>
  <c r="JQ37" i="10"/>
  <c r="JN37" i="10"/>
  <c r="JO18" i="10"/>
  <c r="JN10" i="10"/>
  <c r="FH9" i="10"/>
  <c r="JQ23" i="10"/>
  <c r="JP11" i="10"/>
  <c r="FH29" i="10"/>
  <c r="FH24" i="10"/>
  <c r="JR14" i="10"/>
  <c r="JP18" i="10"/>
  <c r="FH12" i="10"/>
  <c r="JL17" i="14"/>
  <c r="O13" i="73" s="1"/>
  <c r="JL43" i="13"/>
  <c r="JL18" i="14"/>
  <c r="O14" i="73" s="1"/>
  <c r="JN8" i="14"/>
  <c r="Q5" i="73" s="1"/>
  <c r="JK41" i="13"/>
  <c r="JN12" i="14"/>
  <c r="Q7" i="73" s="1"/>
  <c r="JM39" i="13"/>
  <c r="JN44" i="13"/>
  <c r="JN41" i="13"/>
  <c r="JN28" i="13"/>
  <c r="Q12" i="53" s="1"/>
  <c r="JM32" i="13"/>
  <c r="P16" i="53" s="1"/>
  <c r="JN14" i="14"/>
  <c r="Q9" i="73" s="1"/>
  <c r="JK27" i="13"/>
  <c r="N9" i="53" s="1"/>
  <c r="JK22" i="13"/>
  <c r="N7" i="53" s="1"/>
  <c r="JK38" i="13"/>
  <c r="N34" i="53" s="1"/>
  <c r="JN19" i="13"/>
  <c r="Q4" i="53" s="1"/>
  <c r="FE20" i="13"/>
  <c r="JL34" i="13"/>
  <c r="O30" i="53" s="1"/>
  <c r="JK12" i="13"/>
  <c r="N13" i="53" s="1"/>
  <c r="JK30" i="13"/>
  <c r="N10" i="53" s="1"/>
  <c r="FE17" i="13"/>
  <c r="JR18" i="11"/>
  <c r="JP10" i="11"/>
  <c r="JN16" i="11"/>
  <c r="FE16" i="13"/>
  <c r="JQ11" i="11"/>
  <c r="JN15" i="11"/>
  <c r="FH30" i="10"/>
  <c r="JP34" i="10"/>
  <c r="JO13" i="11"/>
  <c r="FH41" i="10"/>
  <c r="JQ35" i="10"/>
  <c r="JN35" i="10"/>
  <c r="JO16" i="10"/>
  <c r="JN8" i="10"/>
  <c r="JP29" i="10"/>
  <c r="JQ21" i="10"/>
  <c r="JQ38" i="10"/>
  <c r="JN25" i="10"/>
  <c r="FH22" i="10"/>
  <c r="JR12" i="10"/>
  <c r="JP16" i="10"/>
  <c r="JP10" i="10"/>
  <c r="FE16" i="14"/>
  <c r="JO19" i="14"/>
  <c r="FE17" i="14"/>
  <c r="JL47" i="13"/>
  <c r="JN40" i="13"/>
  <c r="JM11" i="14"/>
  <c r="P4" i="73" s="1"/>
  <c r="JK35" i="13"/>
  <c r="N28" i="53" s="1"/>
  <c r="JM43" i="13"/>
  <c r="FE40" i="13"/>
  <c r="FE27" i="13"/>
  <c r="JK28" i="13"/>
  <c r="N12" i="53" s="1"/>
  <c r="JO41" i="13"/>
  <c r="JN26" i="13"/>
  <c r="Q14" i="53" s="1"/>
  <c r="JN21" i="13"/>
  <c r="Q18" i="53" s="1"/>
  <c r="JM30" i="13"/>
  <c r="P10" i="53" s="1"/>
  <c r="JM17" i="13"/>
  <c r="P26" i="53" s="1"/>
  <c r="JL19" i="13"/>
  <c r="O4" i="53" s="1"/>
  <c r="JK25" i="13"/>
  <c r="N32" i="53" s="1"/>
  <c r="JN11" i="13"/>
  <c r="Q19" i="53" s="1"/>
  <c r="JK15" i="13"/>
  <c r="N20" i="53" s="1"/>
  <c r="JL14" i="13"/>
  <c r="O15" i="53" s="1"/>
  <c r="JR16" i="11"/>
  <c r="JM37" i="13"/>
  <c r="P29" i="53" s="1"/>
  <c r="JN14" i="11"/>
  <c r="JN9" i="13"/>
  <c r="Q5" i="53" s="1"/>
  <c r="JQ9" i="11"/>
  <c r="JN13" i="11"/>
  <c r="JR40" i="10"/>
  <c r="JP32" i="10"/>
  <c r="JP8" i="11"/>
  <c r="FH39" i="10"/>
  <c r="JQ41" i="10"/>
  <c r="JN33" i="10"/>
  <c r="JO14" i="10"/>
  <c r="JR29" i="10"/>
  <c r="JN27" i="10"/>
  <c r="JQ19" i="10"/>
  <c r="JR33" i="10"/>
  <c r="JN23" i="10"/>
  <c r="FH20" i="10"/>
  <c r="JQ26" i="10"/>
  <c r="JP14" i="10"/>
  <c r="JO10" i="10"/>
  <c r="JN13" i="14"/>
  <c r="Q10" i="73" s="1"/>
  <c r="JN19" i="14"/>
  <c r="JL14" i="14"/>
  <c r="O9" i="73" s="1"/>
  <c r="JK46" i="13"/>
  <c r="FE39" i="13"/>
  <c r="JL10" i="14"/>
  <c r="O8" i="73" s="1"/>
  <c r="JN34" i="13"/>
  <c r="Q30" i="53" s="1"/>
  <c r="JN42" i="13"/>
  <c r="JL37" i="13"/>
  <c r="O29" i="53" s="1"/>
  <c r="JL24" i="13"/>
  <c r="O17" i="53" s="1"/>
  <c r="JN27" i="13"/>
  <c r="Q9" i="53" s="1"/>
  <c r="JL36" i="13"/>
  <c r="O31" i="53" s="1"/>
  <c r="FE25" i="13"/>
  <c r="JM45" i="13"/>
  <c r="JK26" i="13"/>
  <c r="N14" i="53" s="1"/>
  <c r="JL13" i="13"/>
  <c r="O25" i="53" s="1"/>
  <c r="JK17" i="13"/>
  <c r="N26" i="53" s="1"/>
  <c r="JM23" i="13"/>
  <c r="P11" i="53" s="1"/>
  <c r="FE10" i="13"/>
  <c r="JN14" i="13"/>
  <c r="Q15" i="53" s="1"/>
  <c r="JL10" i="13"/>
  <c r="O24" i="53" s="1"/>
  <c r="JR14" i="11"/>
  <c r="JO20" i="11"/>
  <c r="JN12" i="11"/>
  <c r="FE6" i="13"/>
  <c r="JM13" i="13"/>
  <c r="P25" i="53" s="1"/>
  <c r="JN11" i="11"/>
  <c r="JR38" i="10"/>
  <c r="JP30" i="10"/>
  <c r="JQ42" i="10"/>
  <c r="FH37" i="10"/>
  <c r="JP39" i="10"/>
  <c r="JN31" i="10"/>
  <c r="JO12" i="10"/>
  <c r="JP27" i="10"/>
  <c r="FH27" i="10"/>
  <c r="JQ17" i="10"/>
  <c r="JO25" i="10"/>
  <c r="JN21" i="10"/>
  <c r="FH18" i="10"/>
  <c r="JQ24" i="10"/>
  <c r="JR11" i="10"/>
  <c r="JN15" i="10"/>
  <c r="JK17" i="14"/>
  <c r="N13" i="73" s="1"/>
  <c r="JL16" i="14"/>
  <c r="O12" i="73" s="1"/>
  <c r="FE9" i="14"/>
  <c r="JL41" i="13"/>
  <c r="JM18" i="14"/>
  <c r="P14" i="73" s="1"/>
  <c r="JK9" i="14"/>
  <c r="N11" i="73" s="1"/>
  <c r="JK12" i="14"/>
  <c r="N7" i="73" s="1"/>
  <c r="FE41" i="13"/>
  <c r="JO35" i="13"/>
  <c r="R28" i="53" s="1"/>
  <c r="JO23" i="13"/>
  <c r="R11" i="53" s="1"/>
  <c r="FE26" i="13"/>
  <c r="FE35" i="13"/>
  <c r="JL22" i="13"/>
  <c r="O7" i="53" s="1"/>
  <c r="JM44" i="13"/>
  <c r="JN25" i="13"/>
  <c r="Q32" i="53" s="1"/>
  <c r="JK9" i="13"/>
  <c r="N5" i="53" s="1"/>
  <c r="JN16" i="13"/>
  <c r="Q6" i="53" s="1"/>
  <c r="JM20" i="13"/>
  <c r="P23" i="53" s="1"/>
  <c r="JK20" i="13"/>
  <c r="N23" i="53" s="1"/>
  <c r="JK11" i="13"/>
  <c r="N19" i="53" s="1"/>
  <c r="JO9" i="13"/>
  <c r="R5" i="53" s="1"/>
  <c r="JR12" i="11"/>
  <c r="JO18" i="11"/>
  <c r="JN10" i="11"/>
  <c r="JR19" i="11"/>
  <c r="JL9" i="13"/>
  <c r="O5" i="53" s="1"/>
  <c r="JN9" i="11"/>
  <c r="JR36" i="10"/>
  <c r="JP28" i="10"/>
  <c r="JN40" i="10"/>
  <c r="FH35" i="10"/>
  <c r="JP37" i="10"/>
  <c r="JN29" i="10"/>
  <c r="FH28" i="10"/>
  <c r="JQ29" i="10"/>
  <c r="JR25" i="10"/>
  <c r="JQ15" i="10"/>
  <c r="JO23" i="10"/>
  <c r="JN19" i="10"/>
  <c r="FH16" i="10"/>
  <c r="JQ22" i="10"/>
  <c r="JR9" i="10"/>
  <c r="JR8" i="10"/>
  <c r="JO16" i="14"/>
  <c r="R12" i="73" s="1"/>
  <c r="FE15" i="14"/>
  <c r="JO8" i="14"/>
  <c r="R5" i="73" s="1"/>
  <c r="JO40" i="13"/>
  <c r="JK15" i="14"/>
  <c r="N6" i="73" s="1"/>
  <c r="JK8" i="14"/>
  <c r="N5" i="73" s="1"/>
  <c r="FE44" i="13"/>
  <c r="JL38" i="13"/>
  <c r="O34" i="53" s="1"/>
  <c r="JK34" i="13"/>
  <c r="N30" i="53" s="1"/>
  <c r="FE36" i="13"/>
  <c r="JL23" i="13"/>
  <c r="O11" i="53" s="1"/>
  <c r="JK32" i="13"/>
  <c r="N16" i="53" s="1"/>
  <c r="JO21" i="13"/>
  <c r="R18" i="53" s="1"/>
  <c r="JK43" i="13"/>
  <c r="FE24" i="13"/>
  <c r="JN8" i="13"/>
  <c r="Q33" i="53" s="1"/>
  <c r="FE15" i="13"/>
  <c r="FE19" i="13"/>
  <c r="JM15" i="13"/>
  <c r="P20" i="53" s="1"/>
  <c r="JN10" i="13"/>
  <c r="Q24" i="53" s="1"/>
  <c r="JM42" i="13"/>
  <c r="JR10" i="11"/>
  <c r="JO16" i="11"/>
  <c r="JN8" i="11"/>
  <c r="JR17" i="11"/>
  <c r="JP19" i="11"/>
  <c r="JQ18" i="11"/>
  <c r="JR34" i="10"/>
  <c r="FH9" i="11"/>
  <c r="JN38" i="10"/>
  <c r="FH33" i="10"/>
  <c r="JP35" i="10"/>
  <c r="JO37" i="10"/>
  <c r="JQ27" i="10"/>
  <c r="JO27" i="10"/>
  <c r="JR23" i="10"/>
  <c r="JQ13" i="10"/>
  <c r="JO21" i="10"/>
  <c r="JN17" i="10"/>
  <c r="FH14" i="10"/>
  <c r="JQ20" i="10"/>
  <c r="JP12" i="10"/>
  <c r="JQ8" i="10"/>
  <c r="JM13" i="14"/>
  <c r="P10" i="73" s="1"/>
  <c r="JM19" i="14"/>
  <c r="FE6" i="14"/>
  <c r="JM36" i="13"/>
  <c r="P31" i="53" s="1"/>
  <c r="JO12" i="14"/>
  <c r="R7" i="73" s="1"/>
  <c r="JL40" i="13"/>
  <c r="FE42" i="13"/>
  <c r="JO37" i="13"/>
  <c r="R29" i="53" s="1"/>
  <c r="JN33" i="13"/>
  <c r="Q27" i="53" s="1"/>
  <c r="JL35" i="13"/>
  <c r="O28" i="53" s="1"/>
  <c r="JO22" i="13"/>
  <c r="R7" i="53" s="1"/>
  <c r="JN31" i="13"/>
  <c r="Q8" i="53" s="1"/>
  <c r="JN46" i="13"/>
  <c r="JM38" i="13"/>
  <c r="P34" i="53" s="1"/>
  <c r="JO42" i="13"/>
  <c r="JM29" i="13"/>
  <c r="P22" i="53" s="1"/>
  <c r="JN12" i="13"/>
  <c r="Q13" i="53" s="1"/>
  <c r="JL16" i="13"/>
  <c r="O6" i="53" s="1"/>
  <c r="JM11" i="13"/>
  <c r="P19" i="53" s="1"/>
  <c r="FE9" i="13"/>
  <c r="JN24" i="13"/>
  <c r="Q17" i="53" s="1"/>
  <c r="JO17" i="13"/>
  <c r="R26" i="53" s="1"/>
  <c r="JO14" i="11"/>
  <c r="JR42" i="10"/>
  <c r="JR15" i="11"/>
  <c r="JP17" i="11"/>
  <c r="JP9" i="11"/>
  <c r="JR32" i="10"/>
  <c r="JQ8" i="11"/>
  <c r="JN36" i="10"/>
  <c r="JQ10" i="11"/>
  <c r="JP33" i="10"/>
  <c r="JQ36" i="10"/>
  <c r="JN26" i="10"/>
  <c r="FH25" i="10"/>
  <c r="JR21" i="10"/>
  <c r="JQ11" i="10"/>
  <c r="JO19" i="10"/>
  <c r="JR35" i="10"/>
  <c r="JQ34" i="10"/>
  <c r="JQ18" i="10"/>
  <c r="JN11" i="10"/>
  <c r="JN13" i="10"/>
  <c r="JK16" i="14"/>
  <c r="N12" i="73" s="1"/>
  <c r="JM47" i="13"/>
  <c r="JN18" i="14"/>
  <c r="Q14" i="73" s="1"/>
  <c r="JN11" i="14"/>
  <c r="Q4" i="73" s="1"/>
  <c r="JM12" i="14"/>
  <c r="P7" i="73" s="1"/>
  <c r="JL39" i="13"/>
  <c r="JM16" i="14"/>
  <c r="P12" i="73" s="1"/>
  <c r="FE32" i="13"/>
  <c r="JL33" i="13"/>
  <c r="O27" i="53" s="1"/>
  <c r="JO14" i="14"/>
  <c r="R9" i="73" s="1"/>
  <c r="FE30" i="13"/>
  <c r="JN45" i="13"/>
  <c r="FE34" i="13"/>
  <c r="JO34" i="13"/>
  <c r="R30" i="53" s="1"/>
  <c r="JM19" i="13"/>
  <c r="P4" i="53" s="1"/>
  <c r="FE11" i="13"/>
  <c r="JO15" i="13"/>
  <c r="R20" i="53" s="1"/>
  <c r="JR20" i="11"/>
  <c r="JL28" i="13"/>
  <c r="O12" i="53" s="1"/>
  <c r="JM18" i="13"/>
  <c r="P21" i="53" s="1"/>
  <c r="JQ20" i="11"/>
  <c r="JO12" i="11"/>
  <c r="FE12" i="13"/>
  <c r="JR13" i="11"/>
  <c r="JP15" i="11"/>
  <c r="JN41" i="10"/>
  <c r="JR30" i="10"/>
  <c r="JO40" i="10"/>
  <c r="JN34" i="10"/>
  <c r="JN42" i="10"/>
  <c r="JQ14" i="11"/>
  <c r="FH31" i="10"/>
  <c r="JN24" i="10"/>
  <c r="FH23" i="10"/>
  <c r="JR19" i="10"/>
  <c r="JP25" i="10"/>
  <c r="JO17" i="10"/>
  <c r="JO33" i="10"/>
  <c r="JO31" i="10"/>
  <c r="JQ16" i="10"/>
  <c r="JQ9" i="10"/>
  <c r="JP8" i="10"/>
  <c r="FE19" i="14"/>
  <c r="JO15" i="14"/>
  <c r="R6" i="73" s="1"/>
  <c r="JL46" i="13"/>
  <c r="JN17" i="14"/>
  <c r="Q13" i="73" s="1"/>
  <c r="JN10" i="14"/>
  <c r="Q8" i="73" s="1"/>
  <c r="JL11" i="14"/>
  <c r="O4" i="73" s="1"/>
  <c r="JK13" i="14"/>
  <c r="N10" i="73" s="1"/>
  <c r="JM14" i="14"/>
  <c r="P9" i="73" s="1"/>
  <c r="JL29" i="13"/>
  <c r="O22" i="53" s="1"/>
  <c r="JO32" i="13"/>
  <c r="R16" i="53" s="1"/>
  <c r="JN36" i="13"/>
  <c r="Q31" i="53" s="1"/>
  <c r="JL27" i="13"/>
  <c r="O9" i="53" s="1"/>
  <c r="JO44" i="13"/>
  <c r="JK31" i="13"/>
  <c r="N8" i="53" s="1"/>
  <c r="FE33" i="13"/>
  <c r="JL17" i="13"/>
  <c r="O26" i="53" s="1"/>
  <c r="JM34" i="13"/>
  <c r="P30" i="53" s="1"/>
  <c r="JL12" i="13"/>
  <c r="O13" i="53" s="1"/>
  <c r="JO33" i="13"/>
  <c r="R27" i="53" s="1"/>
  <c r="JO18" i="13"/>
  <c r="R21" i="53" s="1"/>
  <c r="JK14" i="13"/>
  <c r="N15" i="53" s="1"/>
  <c r="JN37" i="13"/>
  <c r="Q29" i="53" s="1"/>
  <c r="JO10" i="11"/>
  <c r="JL8" i="13"/>
  <c r="O33" i="53" s="1"/>
  <c r="JR11" i="11"/>
  <c r="JP13" i="11"/>
  <c r="JQ12" i="11"/>
  <c r="JR28" i="10"/>
  <c r="JO38" i="10"/>
  <c r="JN32" i="10"/>
  <c r="JR39" i="10"/>
  <c r="FH12" i="11"/>
  <c r="JQ30" i="10"/>
  <c r="JN22" i="10"/>
  <c r="FH21" i="10"/>
  <c r="JR17" i="10"/>
  <c r="JP23" i="10"/>
  <c r="JO15" i="10"/>
  <c r="JQ31" i="10"/>
  <c r="JR26" i="10"/>
  <c r="JQ14" i="10"/>
  <c r="JP9" i="10"/>
  <c r="JO8" i="10"/>
  <c r="JM17" i="14"/>
  <c r="P13" i="73" s="1"/>
  <c r="JN16" i="14"/>
  <c r="Q12" i="73" s="1"/>
  <c r="JL19" i="14"/>
  <c r="JK45" i="13"/>
  <c r="JL15" i="14"/>
  <c r="O6" i="73" s="1"/>
  <c r="JL9" i="14"/>
  <c r="O11" i="73" s="1"/>
  <c r="JK10" i="14"/>
  <c r="N8" i="73" s="1"/>
  <c r="FE11" i="14"/>
  <c r="FE8" i="14"/>
  <c r="JO28" i="13"/>
  <c r="R12" i="53" s="1"/>
  <c r="JM28" i="13"/>
  <c r="P12" i="53" s="1"/>
  <c r="JL32" i="13"/>
  <c r="O16" i="53" s="1"/>
  <c r="JO26" i="13"/>
  <c r="R14" i="53" s="1"/>
  <c r="JN43" i="13"/>
  <c r="JN30" i="13"/>
  <c r="Q10" i="53" s="1"/>
  <c r="JL30" i="13"/>
  <c r="O10" i="53" s="1"/>
  <c r="JO16" i="13"/>
  <c r="R6" i="53" s="1"/>
  <c r="JL25" i="13"/>
  <c r="O32" i="53" s="1"/>
  <c r="JO11" i="13"/>
  <c r="R19" i="53" s="1"/>
  <c r="FE31" i="13"/>
  <c r="JM14" i="13"/>
  <c r="P15" i="53" s="1"/>
  <c r="JO13" i="13"/>
  <c r="R25" i="53" s="1"/>
  <c r="JN17" i="13"/>
  <c r="Q26" i="53" s="1"/>
  <c r="JO8" i="11"/>
  <c r="JO19" i="13"/>
  <c r="R4" i="53" s="1"/>
  <c r="JN13" i="13"/>
  <c r="Q25" i="53" s="1"/>
  <c r="JP11" i="11"/>
  <c r="JO9" i="11"/>
  <c r="FH8" i="11"/>
  <c r="JO36" i="10"/>
  <c r="JN30" i="10"/>
  <c r="JR37" i="10"/>
  <c r="FH42" i="10"/>
  <c r="JR27" i="10"/>
  <c r="JN20" i="10"/>
  <c r="FH19" i="10"/>
  <c r="JR15" i="10"/>
  <c r="JP21" i="10"/>
  <c r="JO13" i="10"/>
  <c r="JP41" i="10"/>
  <c r="JR24" i="10"/>
  <c r="JQ12" i="10"/>
  <c r="FH10" i="10"/>
  <c r="FH8" i="10"/>
  <c r="JK14" i="14"/>
  <c r="N9" i="73" s="1"/>
  <c r="JL13" i="14"/>
  <c r="O10" i="73" s="1"/>
  <c r="FE18" i="14"/>
  <c r="JM41" i="13"/>
  <c r="JO11" i="14"/>
  <c r="R4" i="73" s="1"/>
  <c r="JL8" i="14"/>
  <c r="O5" i="73" s="1"/>
  <c r="JK40" i="13"/>
  <c r="FE45" i="13"/>
  <c r="JO47" i="13"/>
  <c r="JM24" i="13"/>
  <c r="P17" i="53" s="1"/>
  <c r="JK24" i="13"/>
  <c r="N17" i="53" s="1"/>
  <c r="JO31" i="13"/>
  <c r="R8" i="53" s="1"/>
  <c r="JM22" i="13"/>
  <c r="P7" i="53" s="1"/>
  <c r="JO39" i="13"/>
  <c r="FE29" i="13"/>
  <c r="JO29" i="13"/>
  <c r="R22" i="53" s="1"/>
  <c r="JK13" i="13"/>
  <c r="N25" i="53" s="1"/>
  <c r="JN20" i="13"/>
  <c r="Q23" i="53" s="1"/>
  <c r="FE22" i="13"/>
  <c r="FE18" i="13"/>
  <c r="FE13" i="13"/>
  <c r="JK10" i="13"/>
  <c r="N24" i="53" s="1"/>
  <c r="JP20" i="11"/>
  <c r="JL42" i="13"/>
  <c r="FH19" i="11"/>
  <c r="JM9" i="13"/>
  <c r="P5" i="53" s="1"/>
  <c r="JL18" i="13"/>
  <c r="O21" i="53" s="1"/>
  <c r="FH40" i="10"/>
  <c r="JQ40" i="10"/>
  <c r="JO34" i="10"/>
  <c r="JN28" i="10"/>
  <c r="JO11" i="11"/>
  <c r="JQ16" i="11"/>
  <c r="JO26" i="10"/>
  <c r="JN18" i="10"/>
  <c r="FH17" i="10"/>
  <c r="JR13" i="10"/>
  <c r="JP19" i="10"/>
  <c r="JO11" i="10"/>
  <c r="JO35" i="10"/>
  <c r="JR22" i="10"/>
  <c r="JP26" i="10"/>
  <c r="JO9" i="10"/>
  <c r="JQ15" i="11"/>
  <c r="JO20" i="10"/>
  <c r="JP13" i="10"/>
  <c r="JR16" i="10"/>
  <c r="W33" i="45"/>
  <c r="HG6" i="13"/>
  <c r="W3" i="45"/>
  <c r="L12" i="47"/>
  <c r="L26" i="47"/>
  <c r="T8" i="64"/>
  <c r="GR6" i="14"/>
  <c r="T3" i="64"/>
  <c r="ED7" i="11"/>
  <c r="K15" i="47"/>
  <c r="J12" i="67"/>
  <c r="V5" i="65"/>
  <c r="HD6" i="14"/>
  <c r="V3" i="65"/>
  <c r="EN7" i="10"/>
  <c r="GX6" i="11"/>
  <c r="GX6" i="10"/>
  <c r="HD6" i="11"/>
  <c r="HD6" i="10"/>
  <c r="I20" i="47"/>
  <c r="J14" i="67"/>
  <c r="K14" i="67"/>
  <c r="V18" i="43"/>
  <c r="GI6" i="13"/>
  <c r="V3" i="43"/>
  <c r="GO6" i="11"/>
  <c r="GO6" i="10"/>
  <c r="H7" i="67"/>
  <c r="I34" i="47"/>
  <c r="K8" i="67"/>
  <c r="HA6" i="11"/>
  <c r="HA6" i="10"/>
  <c r="X5" i="65"/>
  <c r="HJ6" i="14"/>
  <c r="X3" i="65"/>
  <c r="K27" i="47"/>
  <c r="I17" i="47"/>
  <c r="J5" i="47"/>
  <c r="K5" i="47"/>
  <c r="EN7" i="11"/>
  <c r="K25" i="47"/>
  <c r="HP6" i="11"/>
  <c r="HP6" i="10"/>
  <c r="V6" i="66"/>
  <c r="HS6" i="14"/>
  <c r="V3" i="66"/>
  <c r="I11" i="47"/>
  <c r="I15" i="47"/>
  <c r="H19" i="47"/>
  <c r="J4" i="47"/>
  <c r="DR7" i="14"/>
  <c r="HY7" i="13"/>
  <c r="L11" i="47"/>
  <c r="EA7" i="13"/>
  <c r="GR6" i="11"/>
  <c r="GR6" i="10"/>
  <c r="L10" i="47"/>
  <c r="CF6" i="11"/>
  <c r="CF6" i="10"/>
  <c r="J5" i="67"/>
  <c r="K23" i="47"/>
  <c r="DR7" i="13"/>
  <c r="K19" i="47"/>
  <c r="H26" i="47"/>
  <c r="J12" i="47"/>
  <c r="H28" i="47"/>
  <c r="EE7" i="10"/>
  <c r="L5" i="67"/>
  <c r="L19" i="47"/>
  <c r="EB7" i="14"/>
  <c r="U23" i="44"/>
  <c r="GU6" i="13"/>
  <c r="U3" i="44"/>
  <c r="V18" i="46"/>
  <c r="HS6" i="13"/>
  <c r="V3" i="46"/>
  <c r="CK6" i="11"/>
  <c r="CK6" i="10"/>
  <c r="L9" i="67"/>
  <c r="I3" i="67"/>
  <c r="HJ6" i="11"/>
  <c r="HJ6" i="10"/>
  <c r="EB7" i="13"/>
  <c r="L22" i="47"/>
  <c r="J26" i="47"/>
  <c r="CM6" i="11"/>
  <c r="CM6" i="10"/>
  <c r="K12" i="47"/>
  <c r="EE7" i="11"/>
  <c r="V33" i="45"/>
  <c r="HD6" i="13"/>
  <c r="V3" i="45"/>
  <c r="I16" i="47"/>
  <c r="J3" i="47"/>
  <c r="GU6" i="11"/>
  <c r="GU6" i="10"/>
  <c r="EO7" i="10"/>
  <c r="X33" i="45"/>
  <c r="HJ6" i="13"/>
  <c r="X3" i="45"/>
  <c r="T18" i="46"/>
  <c r="HM6" i="13"/>
  <c r="T3" i="46"/>
  <c r="HS6" i="11"/>
  <c r="HS6" i="10"/>
  <c r="U18" i="46"/>
  <c r="HP6" i="13"/>
  <c r="U3" i="46"/>
  <c r="EO7" i="11"/>
  <c r="HG6" i="11"/>
  <c r="HG6" i="10"/>
  <c r="H20" i="47"/>
  <c r="U33" i="45"/>
  <c r="HA6" i="13"/>
  <c r="U3" i="45"/>
  <c r="U18" i="43"/>
  <c r="GF6" i="13"/>
  <c r="U3" i="43"/>
  <c r="K28" i="47"/>
  <c r="DY7" i="13"/>
  <c r="I24" i="47"/>
  <c r="X18" i="43"/>
  <c r="GO6" i="13"/>
  <c r="X3" i="43"/>
  <c r="V23" i="44"/>
  <c r="GX6" i="13"/>
  <c r="V3" i="44"/>
  <c r="T6" i="66"/>
  <c r="HM6" i="14"/>
  <c r="T3" i="66"/>
  <c r="U8" i="64"/>
  <c r="GU6" i="14"/>
  <c r="U3" i="64"/>
  <c r="L3" i="47"/>
  <c r="L23" i="47"/>
  <c r="W5" i="65"/>
  <c r="HG6" i="14"/>
  <c r="W3" i="65"/>
  <c r="J32" i="47"/>
  <c r="CD6" i="11"/>
  <c r="CD6" i="10"/>
  <c r="BO6" i="11"/>
  <c r="BO6" i="10"/>
  <c r="L20" i="47"/>
  <c r="K20" i="47"/>
  <c r="HY6" i="11"/>
  <c r="ID7" i="11" s="1"/>
  <c r="HY6" i="10"/>
  <c r="ID7" i="10" s="1"/>
  <c r="V6" i="63"/>
  <c r="GI6" i="14"/>
  <c r="V3" i="63"/>
  <c r="CC6" i="11"/>
  <c r="CC6" i="10"/>
  <c r="EC7" i="10"/>
  <c r="S5" i="24"/>
  <c r="V7" i="22"/>
  <c r="JD12" i="14"/>
  <c r="Q9" i="71" s="1"/>
  <c r="JD18" i="14"/>
  <c r="Q14" i="71" s="1"/>
  <c r="JE39" i="13"/>
  <c r="JC39" i="13"/>
  <c r="JC17" i="14"/>
  <c r="P11" i="71" s="1"/>
  <c r="JD42" i="13"/>
  <c r="JB42" i="13"/>
  <c r="JA12" i="14"/>
  <c r="N9" i="71" s="1"/>
  <c r="JE22" i="13"/>
  <c r="R28" i="51" s="1"/>
  <c r="FB23" i="13"/>
  <c r="JD30" i="13"/>
  <c r="Q5" i="51" s="1"/>
  <c r="JC34" i="13"/>
  <c r="P25" i="51" s="1"/>
  <c r="JB25" i="13"/>
  <c r="O22" i="51" s="1"/>
  <c r="JD24" i="13"/>
  <c r="Q13" i="51" s="1"/>
  <c r="JE36" i="13"/>
  <c r="R18" i="51" s="1"/>
  <c r="JA8" i="14"/>
  <c r="N8" i="71" s="1"/>
  <c r="JE10" i="13"/>
  <c r="R17" i="51" s="1"/>
  <c r="FB11" i="13"/>
  <c r="JD9" i="13"/>
  <c r="Q10" i="51" s="1"/>
  <c r="JD17" i="13"/>
  <c r="Q24" i="51" s="1"/>
  <c r="JC20" i="13"/>
  <c r="P27" i="51" s="1"/>
  <c r="JE12" i="11"/>
  <c r="FE18" i="11"/>
  <c r="JG17" i="11"/>
  <c r="JE13" i="11"/>
  <c r="FB6" i="13"/>
  <c r="JG10" i="11"/>
  <c r="JE36" i="10"/>
  <c r="JD28" i="10"/>
  <c r="JH35" i="10"/>
  <c r="JE9" i="11"/>
  <c r="JE33" i="10"/>
  <c r="JG38" i="10"/>
  <c r="JH13" i="10"/>
  <c r="JH36" i="10"/>
  <c r="JE23" i="10"/>
  <c r="JD13" i="10"/>
  <c r="JH20" i="10"/>
  <c r="JD29" i="10"/>
  <c r="JE24" i="10"/>
  <c r="JD16" i="10"/>
  <c r="JG12" i="10"/>
  <c r="JG14" i="10"/>
  <c r="JC19" i="14"/>
  <c r="JB15" i="14"/>
  <c r="O4" i="71" s="1"/>
  <c r="JC13" i="14"/>
  <c r="P7" i="71" s="1"/>
  <c r="JD16" i="14"/>
  <c r="Q12" i="71" s="1"/>
  <c r="JA14" i="14"/>
  <c r="N13" i="71" s="1"/>
  <c r="JB38" i="13"/>
  <c r="O34" i="51" s="1"/>
  <c r="JE41" i="13"/>
  <c r="JA11" i="14"/>
  <c r="N5" i="71" s="1"/>
  <c r="JE40" i="13"/>
  <c r="JD37" i="13"/>
  <c r="Q33" i="51" s="1"/>
  <c r="JB26" i="13"/>
  <c r="O9" i="51" s="1"/>
  <c r="JB30" i="13"/>
  <c r="O5" i="51" s="1"/>
  <c r="JE24" i="13"/>
  <c r="R13" i="51" s="1"/>
  <c r="JB20" i="13"/>
  <c r="O27" i="51" s="1"/>
  <c r="JA35" i="13"/>
  <c r="N19" i="51" s="1"/>
  <c r="FB34" i="13"/>
  <c r="JE27" i="13"/>
  <c r="R29" i="51" s="1"/>
  <c r="JC10" i="13"/>
  <c r="P17" i="51" s="1"/>
  <c r="JA39" i="13"/>
  <c r="JC13" i="13"/>
  <c r="P8" i="51" s="1"/>
  <c r="JB19" i="13"/>
  <c r="O4" i="51" s="1"/>
  <c r="JE32" i="13"/>
  <c r="R16" i="51" s="1"/>
  <c r="FE16" i="11"/>
  <c r="JG15" i="11"/>
  <c r="JE11" i="11"/>
  <c r="JC16" i="13"/>
  <c r="P12" i="51" s="1"/>
  <c r="JH16" i="11"/>
  <c r="JE34" i="10"/>
  <c r="JF12" i="11"/>
  <c r="JH33" i="10"/>
  <c r="FE9" i="11"/>
  <c r="JD41" i="10"/>
  <c r="JG36" i="10"/>
  <c r="JH11" i="10"/>
  <c r="JF28" i="10"/>
  <c r="JE21" i="10"/>
  <c r="JH30" i="10"/>
  <c r="JH18" i="10"/>
  <c r="JG27" i="10"/>
  <c r="JE22" i="10"/>
  <c r="JD14" i="10"/>
  <c r="JH8" i="10"/>
  <c r="JE10" i="10"/>
  <c r="FB19" i="14"/>
  <c r="JC14" i="14"/>
  <c r="P13" i="71" s="1"/>
  <c r="JD11" i="14"/>
  <c r="Q5" i="71" s="1"/>
  <c r="FB32" i="13"/>
  <c r="FB21" i="13"/>
  <c r="JC11" i="14"/>
  <c r="P5" i="71" s="1"/>
  <c r="FB24" i="13"/>
  <c r="JB9" i="13"/>
  <c r="O10" i="51" s="1"/>
  <c r="JD20" i="11"/>
  <c r="JA8" i="13"/>
  <c r="N23" i="51" s="1"/>
  <c r="JF42" i="10"/>
  <c r="JF41" i="10"/>
  <c r="JH40" i="10"/>
  <c r="JF30" i="10"/>
  <c r="JE20" i="10"/>
  <c r="JE12" i="10"/>
  <c r="JE15" i="14"/>
  <c r="R4" i="71" s="1"/>
  <c r="JE44" i="13"/>
  <c r="JE10" i="14"/>
  <c r="R10" i="71" s="1"/>
  <c r="JC31" i="13"/>
  <c r="P7" i="51" s="1"/>
  <c r="JD9" i="14"/>
  <c r="Q6" i="71" s="1"/>
  <c r="JD15" i="13"/>
  <c r="Q26" i="51" s="1"/>
  <c r="JE8" i="13"/>
  <c r="R23" i="51" s="1"/>
  <c r="JD18" i="11"/>
  <c r="FE19" i="11"/>
  <c r="JE42" i="10"/>
  <c r="JD37" i="10"/>
  <c r="JF23" i="10"/>
  <c r="JH14" i="10"/>
  <c r="JD35" i="10"/>
  <c r="JA16" i="14"/>
  <c r="N12" i="71" s="1"/>
  <c r="FB12" i="14"/>
  <c r="JB10" i="14"/>
  <c r="O10" i="71" s="1"/>
  <c r="JE25" i="13"/>
  <c r="R22" i="51" s="1"/>
  <c r="JA16" i="13"/>
  <c r="N12" i="51" s="1"/>
  <c r="JB33" i="13"/>
  <c r="O32" i="51" s="1"/>
  <c r="JG13" i="11"/>
  <c r="JE32" i="10"/>
  <c r="JD39" i="10"/>
  <c r="JF25" i="10"/>
  <c r="JH16" i="10"/>
  <c r="JH10" i="10"/>
  <c r="JD39" i="13"/>
  <c r="FB16" i="14"/>
  <c r="JB32" i="13"/>
  <c r="O16" i="51" s="1"/>
  <c r="FB26" i="13"/>
  <c r="JA29" i="13"/>
  <c r="N31" i="51" s="1"/>
  <c r="JC23" i="13"/>
  <c r="P11" i="51" s="1"/>
  <c r="JE16" i="13"/>
  <c r="R12" i="51" s="1"/>
  <c r="JG11" i="11"/>
  <c r="JF8" i="11"/>
  <c r="JH29" i="10"/>
  <c r="JG32" i="10"/>
  <c r="JE17" i="10"/>
  <c r="JE18" i="10"/>
  <c r="JG10" i="10"/>
  <c r="JE19" i="14"/>
  <c r="FB13" i="14"/>
  <c r="JA15" i="14"/>
  <c r="N4" i="71" s="1"/>
  <c r="JB35" i="13"/>
  <c r="O19" i="51" s="1"/>
  <c r="JE43" i="13"/>
  <c r="JC44" i="13"/>
  <c r="JC15" i="14"/>
  <c r="P4" i="71" s="1"/>
  <c r="JE9" i="14"/>
  <c r="R6" i="71" s="1"/>
  <c r="FB41" i="13"/>
  <c r="JE31" i="13"/>
  <c r="R7" i="51" s="1"/>
  <c r="JC37" i="13"/>
  <c r="P33" i="51" s="1"/>
  <c r="JC21" i="13"/>
  <c r="P20" i="51" s="1"/>
  <c r="JC25" i="13"/>
  <c r="P22" i="51" s="1"/>
  <c r="JC10" i="14"/>
  <c r="P10" i="71" s="1"/>
  <c r="JC35" i="13"/>
  <c r="P19" i="51" s="1"/>
  <c r="JD28" i="13"/>
  <c r="Q30" i="51" s="1"/>
  <c r="JA12" i="13"/>
  <c r="N14" i="51" s="1"/>
  <c r="JE21" i="13"/>
  <c r="R20" i="51" s="1"/>
  <c r="JD18" i="13"/>
  <c r="Q21" i="51" s="1"/>
  <c r="JB18" i="13"/>
  <c r="O21" i="51" s="1"/>
  <c r="JB36" i="13"/>
  <c r="O18" i="51" s="1"/>
  <c r="JA13" i="13"/>
  <c r="N8" i="51" s="1"/>
  <c r="JD16" i="11"/>
  <c r="FE10" i="11"/>
  <c r="JG9" i="11"/>
  <c r="JC8" i="13"/>
  <c r="P23" i="51" s="1"/>
  <c r="FE17" i="11"/>
  <c r="FE42" i="10"/>
  <c r="JH20" i="11"/>
  <c r="FE40" i="10"/>
  <c r="JH27" i="10"/>
  <c r="JF37" i="10"/>
  <c r="FE41" i="10"/>
  <c r="JG30" i="10"/>
  <c r="JH28" i="10"/>
  <c r="JF21" i="10"/>
  <c r="JE15" i="10"/>
  <c r="FE23" i="10"/>
  <c r="JH12" i="10"/>
  <c r="JF22" i="10"/>
  <c r="JE16" i="10"/>
  <c r="JH32" i="10"/>
  <c r="JG8" i="10"/>
  <c r="JE8" i="10"/>
  <c r="FB37" i="13"/>
  <c r="JA11" i="13"/>
  <c r="N15" i="51" s="1"/>
  <c r="JF18" i="11"/>
  <c r="JD15" i="11"/>
  <c r="JG41" i="10"/>
  <c r="JG21" i="10"/>
  <c r="JG26" i="10"/>
  <c r="FE10" i="10"/>
  <c r="JE11" i="13"/>
  <c r="R15" i="51" s="1"/>
  <c r="JG31" i="10"/>
  <c r="JF27" i="10"/>
  <c r="FB17" i="14"/>
  <c r="JC12" i="14"/>
  <c r="P9" i="71" s="1"/>
  <c r="JB18" i="14"/>
  <c r="O14" i="71" s="1"/>
  <c r="JE34" i="13"/>
  <c r="R25" i="51" s="1"/>
  <c r="JB39" i="13"/>
  <c r="JC43" i="13"/>
  <c r="FB15" i="14"/>
  <c r="JC8" i="14"/>
  <c r="P8" i="71" s="1"/>
  <c r="JC40" i="13"/>
  <c r="FB28" i="13"/>
  <c r="JB31" i="13"/>
  <c r="O7" i="51" s="1"/>
  <c r="JD34" i="13"/>
  <c r="Q25" i="51" s="1"/>
  <c r="JA21" i="13"/>
  <c r="N20" i="51" s="1"/>
  <c r="JA46" i="13"/>
  <c r="JD33" i="13"/>
  <c r="Q32" i="51" s="1"/>
  <c r="JB24" i="13"/>
  <c r="O13" i="51" s="1"/>
  <c r="JD11" i="13"/>
  <c r="Q15" i="51" s="1"/>
  <c r="JA15" i="13"/>
  <c r="N26" i="51" s="1"/>
  <c r="JB14" i="13"/>
  <c r="O6" i="51" s="1"/>
  <c r="JE17" i="13"/>
  <c r="R24" i="51" s="1"/>
  <c r="JC28" i="13"/>
  <c r="P30" i="51" s="1"/>
  <c r="JE12" i="13"/>
  <c r="R14" i="51" s="1"/>
  <c r="JD14" i="11"/>
  <c r="JA24" i="13"/>
  <c r="N13" i="51" s="1"/>
  <c r="JD42" i="10"/>
  <c r="JD19" i="11"/>
  <c r="FE15" i="11"/>
  <c r="JF40" i="10"/>
  <c r="JH12" i="11"/>
  <c r="FE38" i="10"/>
  <c r="JF9" i="11"/>
  <c r="JF35" i="10"/>
  <c r="FE39" i="10"/>
  <c r="JG28" i="10"/>
  <c r="JG25" i="10"/>
  <c r="JF19" i="10"/>
  <c r="JE13" i="10"/>
  <c r="FE21" i="10"/>
  <c r="JH38" i="10"/>
  <c r="JF20" i="10"/>
  <c r="JE14" i="10"/>
  <c r="JD27" i="10"/>
  <c r="FE8" i="10"/>
  <c r="JA47" i="13"/>
  <c r="JD13" i="13"/>
  <c r="Q8" i="51" s="1"/>
  <c r="JD10" i="11"/>
  <c r="JF36" i="10"/>
  <c r="JF31" i="10"/>
  <c r="JF15" i="10"/>
  <c r="JF16" i="10"/>
  <c r="FB15" i="13"/>
  <c r="JH39" i="10"/>
  <c r="JH24" i="10"/>
  <c r="JC16" i="14"/>
  <c r="P12" i="71" s="1"/>
  <c r="JB19" i="14"/>
  <c r="JD14" i="14"/>
  <c r="Q13" i="71" s="1"/>
  <c r="JE16" i="14"/>
  <c r="R12" i="71" s="1"/>
  <c r="JE38" i="13"/>
  <c r="R34" i="51" s="1"/>
  <c r="JE42" i="13"/>
  <c r="JD46" i="13"/>
  <c r="JB47" i="13"/>
  <c r="JA42" i="13"/>
  <c r="JC27" i="13"/>
  <c r="P29" i="51" s="1"/>
  <c r="JE30" i="13"/>
  <c r="R5" i="51" s="1"/>
  <c r="FB31" i="13"/>
  <c r="JD10" i="14"/>
  <c r="Q10" i="71" s="1"/>
  <c r="JA41" i="13"/>
  <c r="JB29" i="13"/>
  <c r="O31" i="51" s="1"/>
  <c r="JE23" i="13"/>
  <c r="R11" i="51" s="1"/>
  <c r="FB16" i="13"/>
  <c r="JD14" i="13"/>
  <c r="Q6" i="51" s="1"/>
  <c r="JB10" i="13"/>
  <c r="O17" i="51" s="1"/>
  <c r="FB14" i="13"/>
  <c r="JD20" i="13"/>
  <c r="Q27" i="51" s="1"/>
  <c r="JF20" i="11"/>
  <c r="JD12" i="11"/>
  <c r="JA17" i="13"/>
  <c r="N24" i="51" s="1"/>
  <c r="JF19" i="11"/>
  <c r="JD17" i="11"/>
  <c r="FE13" i="11"/>
  <c r="JF38" i="10"/>
  <c r="JD8" i="11"/>
  <c r="FE36" i="10"/>
  <c r="FE8" i="11"/>
  <c r="JF33" i="10"/>
  <c r="FE37" i="10"/>
  <c r="JH34" i="10"/>
  <c r="JG23" i="10"/>
  <c r="JF17" i="10"/>
  <c r="JE11" i="10"/>
  <c r="FE19" i="10"/>
  <c r="JE29" i="10"/>
  <c r="JF18" i="10"/>
  <c r="JD33" i="10"/>
  <c r="JF32" i="10"/>
  <c r="JD11" i="10"/>
  <c r="FE6" i="9"/>
  <c r="JE28" i="13"/>
  <c r="R30" i="51" s="1"/>
  <c r="JE9" i="13"/>
  <c r="R10" i="51" s="1"/>
  <c r="JC19" i="13"/>
  <c r="P4" i="51" s="1"/>
  <c r="JH19" i="11"/>
  <c r="FE11" i="11"/>
  <c r="FE34" i="10"/>
  <c r="FE35" i="10"/>
  <c r="JE9" i="10"/>
  <c r="FE29" i="10"/>
  <c r="JD8" i="13"/>
  <c r="Q23" i="51" s="1"/>
  <c r="JE37" i="10"/>
  <c r="JD20" i="10"/>
  <c r="JA13" i="14"/>
  <c r="N7" i="71" s="1"/>
  <c r="JD15" i="14"/>
  <c r="Q4" i="71" s="1"/>
  <c r="JA18" i="14"/>
  <c r="N14" i="71" s="1"/>
  <c r="JE14" i="14"/>
  <c r="R13" i="71" s="1"/>
  <c r="FB35" i="13"/>
  <c r="FB39" i="13"/>
  <c r="JB45" i="13"/>
  <c r="FB44" i="13"/>
  <c r="JD38" i="13"/>
  <c r="Q34" i="51" s="1"/>
  <c r="JA23" i="13"/>
  <c r="N11" i="51" s="1"/>
  <c r="FB27" i="13"/>
  <c r="JC30" i="13"/>
  <c r="P5" i="51" s="1"/>
  <c r="JB8" i="14"/>
  <c r="O8" i="71" s="1"/>
  <c r="JC15" i="13"/>
  <c r="P26" i="51" s="1"/>
  <c r="JF17" i="11"/>
  <c r="JG42" i="10"/>
  <c r="JE31" i="10"/>
  <c r="FE17" i="10"/>
  <c r="FE26" i="10"/>
  <c r="JD19" i="13"/>
  <c r="Q4" i="51" s="1"/>
  <c r="JG8" i="11"/>
  <c r="FE16" i="10"/>
  <c r="JE12" i="14"/>
  <c r="R9" i="71" s="1"/>
  <c r="JB12" i="14"/>
  <c r="O9" i="71" s="1"/>
  <c r="JE17" i="14"/>
  <c r="R11" i="71" s="1"/>
  <c r="JB13" i="14"/>
  <c r="O7" i="71" s="1"/>
  <c r="FB18" i="14"/>
  <c r="JC38" i="13"/>
  <c r="P34" i="51" s="1"/>
  <c r="JA44" i="13"/>
  <c r="FB42" i="13"/>
  <c r="JA36" i="13"/>
  <c r="N18" i="51" s="1"/>
  <c r="JD22" i="13"/>
  <c r="Q28" i="51" s="1"/>
  <c r="JC26" i="13"/>
  <c r="P9" i="51" s="1"/>
  <c r="JA26" i="13"/>
  <c r="N9" i="51" s="1"/>
  <c r="JB41" i="13"/>
  <c r="JD35" i="13"/>
  <c r="Q19" i="51" s="1"/>
  <c r="FB25" i="13"/>
  <c r="JD32" i="13"/>
  <c r="Q16" i="51" s="1"/>
  <c r="FB12" i="13"/>
  <c r="JA27" i="13"/>
  <c r="N29" i="51" s="1"/>
  <c r="FB29" i="13"/>
  <c r="FB10" i="13"/>
  <c r="FB18" i="13"/>
  <c r="JF16" i="11"/>
  <c r="JD26" i="13"/>
  <c r="Q9" i="51" s="1"/>
  <c r="JH17" i="11"/>
  <c r="JF15" i="11"/>
  <c r="JD13" i="11"/>
  <c r="FB46" i="13"/>
  <c r="JF34" i="10"/>
  <c r="JD40" i="10"/>
  <c r="FE32" i="10"/>
  <c r="JG39" i="10"/>
  <c r="JF29" i="10"/>
  <c r="JH10" i="11"/>
  <c r="JH25" i="10"/>
  <c r="JG19" i="10"/>
  <c r="JF13" i="10"/>
  <c r="JD25" i="10"/>
  <c r="FE15" i="10"/>
  <c r="JG24" i="10"/>
  <c r="JF14" i="10"/>
  <c r="JE27" i="10"/>
  <c r="FE24" i="10"/>
  <c r="JD8" i="10"/>
  <c r="JA19" i="14"/>
  <c r="JD44" i="13"/>
  <c r="JD27" i="13"/>
  <c r="Q29" i="51" s="1"/>
  <c r="JB9" i="14"/>
  <c r="O6" i="71" s="1"/>
  <c r="JD10" i="13"/>
  <c r="Q17" i="51" s="1"/>
  <c r="FB13" i="13"/>
  <c r="JG14" i="11"/>
  <c r="JD17" i="10"/>
  <c r="FB10" i="14"/>
  <c r="JD8" i="14"/>
  <c r="Q8" i="71" s="1"/>
  <c r="FB9" i="14"/>
  <c r="JD17" i="14"/>
  <c r="Q11" i="71" s="1"/>
  <c r="JA17" i="14"/>
  <c r="N11" i="71" s="1"/>
  <c r="JA43" i="13"/>
  <c r="JC41" i="13"/>
  <c r="FB33" i="13"/>
  <c r="JD40" i="13"/>
  <c r="JA22" i="13"/>
  <c r="N28" i="51" s="1"/>
  <c r="JD25" i="13"/>
  <c r="Q22" i="51" s="1"/>
  <c r="FB38" i="13"/>
  <c r="JA34" i="13"/>
  <c r="N25" i="51" s="1"/>
  <c r="JC24" i="13"/>
  <c r="P13" i="51" s="1"/>
  <c r="JB16" i="13"/>
  <c r="O12" i="51" s="1"/>
  <c r="JC11" i="13"/>
  <c r="P15" i="51" s="1"/>
  <c r="JD23" i="13"/>
  <c r="Q11" i="51" s="1"/>
  <c r="FB19" i="13"/>
  <c r="JC9" i="13"/>
  <c r="P10" i="51" s="1"/>
  <c r="JC17" i="13"/>
  <c r="P24" i="51" s="1"/>
  <c r="JF14" i="11"/>
  <c r="JD12" i="13"/>
  <c r="Q14" i="51" s="1"/>
  <c r="JH15" i="11"/>
  <c r="JF13" i="11"/>
  <c r="JD11" i="11"/>
  <c r="JG20" i="11"/>
  <c r="JH18" i="11"/>
  <c r="JD38" i="10"/>
  <c r="FE30" i="10"/>
  <c r="JG37" i="10"/>
  <c r="JD9" i="11"/>
  <c r="JH8" i="11"/>
  <c r="JH23" i="10"/>
  <c r="JG17" i="10"/>
  <c r="JF11" i="10"/>
  <c r="JD23" i="10"/>
  <c r="FE13" i="10"/>
  <c r="JG22" i="10"/>
  <c r="JF12" i="10"/>
  <c r="JD26" i="10"/>
  <c r="FE22" i="10"/>
  <c r="FE12" i="10"/>
  <c r="JD13" i="14"/>
  <c r="Q7" i="71" s="1"/>
  <c r="JE47" i="13"/>
  <c r="JB37" i="13"/>
  <c r="O33" i="51" s="1"/>
  <c r="FB30" i="13"/>
  <c r="JB15" i="13"/>
  <c r="O26" i="51" s="1"/>
  <c r="JA9" i="13"/>
  <c r="N10" i="51" s="1"/>
  <c r="JH11" i="11"/>
  <c r="JH42" i="10"/>
  <c r="JG33" i="10"/>
  <c r="JH19" i="10"/>
  <c r="JH26" i="10"/>
  <c r="JD22" i="10"/>
  <c r="JD19" i="14"/>
  <c r="FB43" i="13"/>
  <c r="FB14" i="14"/>
  <c r="JD47" i="13"/>
  <c r="JE14" i="13"/>
  <c r="R6" i="51" s="1"/>
  <c r="JE17" i="11"/>
  <c r="JH17" i="10"/>
  <c r="JG16" i="10"/>
  <c r="JC9" i="14"/>
  <c r="P6" i="71" s="1"/>
  <c r="FB47" i="13"/>
  <c r="JB17" i="14"/>
  <c r="O11" i="71" s="1"/>
  <c r="FB8" i="14"/>
  <c r="JB14" i="14"/>
  <c r="O13" i="71" s="1"/>
  <c r="JE46" i="13"/>
  <c r="JC42" i="13"/>
  <c r="JA37" i="13"/>
  <c r="N33" i="51" s="1"/>
  <c r="JC32" i="13"/>
  <c r="P16" i="51" s="1"/>
  <c r="JA32" i="13"/>
  <c r="N16" i="51" s="1"/>
  <c r="JD21" i="13"/>
  <c r="Q20" i="51" s="1"/>
  <c r="JB21" i="13"/>
  <c r="O20" i="51" s="1"/>
  <c r="JE35" i="13"/>
  <c r="R19" i="51" s="1"/>
  <c r="JE33" i="13"/>
  <c r="R32" i="51" s="1"/>
  <c r="JB11" i="14"/>
  <c r="O5" i="71" s="1"/>
  <c r="JE15" i="13"/>
  <c r="R26" i="51" s="1"/>
  <c r="JC22" i="13"/>
  <c r="P28" i="51" s="1"/>
  <c r="FB20" i="13"/>
  <c r="JC18" i="13"/>
  <c r="P21" i="51" s="1"/>
  <c r="JC36" i="13"/>
  <c r="P18" i="51" s="1"/>
  <c r="JB13" i="13"/>
  <c r="O8" i="51" s="1"/>
  <c r="JE20" i="11"/>
  <c r="FB17" i="13"/>
  <c r="JH13" i="11"/>
  <c r="JF11" i="11"/>
  <c r="JA20" i="13"/>
  <c r="N27" i="51" s="1"/>
  <c r="JG18" i="11"/>
  <c r="JE8" i="11"/>
  <c r="JD36" i="10"/>
  <c r="FE28" i="10"/>
  <c r="JG35" i="10"/>
  <c r="JE41" i="10"/>
  <c r="JH14" i="11"/>
  <c r="JH21" i="10"/>
  <c r="JG15" i="10"/>
  <c r="JF9" i="10"/>
  <c r="JD21" i="10"/>
  <c r="FE27" i="10"/>
  <c r="JG20" i="10"/>
  <c r="JF10" i="10"/>
  <c r="JD24" i="10"/>
  <c r="FE20" i="10"/>
  <c r="FE11" i="10"/>
  <c r="FB6" i="14"/>
  <c r="JC45" i="13"/>
  <c r="JA28" i="13"/>
  <c r="N30" i="51" s="1"/>
  <c r="JE20" i="13"/>
  <c r="R27" i="51" s="1"/>
  <c r="JB12" i="13"/>
  <c r="O14" i="51" s="1"/>
  <c r="JA14" i="13"/>
  <c r="N6" i="51" s="1"/>
  <c r="JC12" i="13"/>
  <c r="P14" i="51" s="1"/>
  <c r="JE19" i="11"/>
  <c r="JD34" i="10"/>
  <c r="JE39" i="10"/>
  <c r="FE31" i="10"/>
  <c r="JG18" i="10"/>
  <c r="FE18" i="10"/>
  <c r="JC47" i="13"/>
  <c r="JC46" i="13"/>
  <c r="JE45" i="13"/>
  <c r="JD36" i="13"/>
  <c r="Q18" i="51" s="1"/>
  <c r="JD31" i="13"/>
  <c r="Q7" i="51" s="1"/>
  <c r="JB34" i="13"/>
  <c r="O25" i="51" s="1"/>
  <c r="FB11" i="14"/>
  <c r="JE18" i="13"/>
  <c r="R21" i="51" s="1"/>
  <c r="JA33" i="13"/>
  <c r="N32" i="51" s="1"/>
  <c r="JE18" i="11"/>
  <c r="JD16" i="13"/>
  <c r="Q12" i="51" s="1"/>
  <c r="JG16" i="11"/>
  <c r="JH41" i="10"/>
  <c r="JF10" i="11"/>
  <c r="JG13" i="10"/>
  <c r="JD19" i="10"/>
  <c r="JF8" i="10"/>
  <c r="JH9" i="10"/>
  <c r="JA10" i="14"/>
  <c r="N10" i="71" s="1"/>
  <c r="JB46" i="13"/>
  <c r="JB27" i="13"/>
  <c r="O29" i="51" s="1"/>
  <c r="JC29" i="13"/>
  <c r="P31" i="51" s="1"/>
  <c r="JE13" i="13"/>
  <c r="R8" i="51" s="1"/>
  <c r="JH9" i="11"/>
  <c r="JD32" i="10"/>
  <c r="JG11" i="10"/>
  <c r="JD9" i="10"/>
  <c r="JB44" i="13"/>
  <c r="FB36" i="13"/>
  <c r="JA30" i="13"/>
  <c r="N5" i="51" s="1"/>
  <c r="JE16" i="11"/>
  <c r="JE40" i="10"/>
  <c r="JE28" i="10"/>
  <c r="JB16" i="14"/>
  <c r="O12" i="71" s="1"/>
  <c r="JE18" i="14"/>
  <c r="R14" i="71" s="1"/>
  <c r="JB40" i="13"/>
  <c r="FB40" i="13"/>
  <c r="JD43" i="13"/>
  <c r="JB43" i="13"/>
  <c r="JA45" i="13"/>
  <c r="JE13" i="14"/>
  <c r="R7" i="71" s="1"/>
  <c r="JB23" i="13"/>
  <c r="O11" i="51" s="1"/>
  <c r="JE26" i="13"/>
  <c r="R9" i="51" s="1"/>
  <c r="JA31" i="13"/>
  <c r="N7" i="51" s="1"/>
  <c r="JD41" i="13"/>
  <c r="JD29" i="13"/>
  <c r="Q31" i="51" s="1"/>
  <c r="JA25" i="13"/>
  <c r="N22" i="51" s="1"/>
  <c r="JE8" i="14"/>
  <c r="R8" i="71" s="1"/>
  <c r="FB8" i="13"/>
  <c r="JB11" i="13"/>
  <c r="O15" i="51" s="1"/>
  <c r="JC14" i="13"/>
  <c r="P6" i="51" s="1"/>
  <c r="JA10" i="13"/>
  <c r="N17" i="51" s="1"/>
  <c r="JA18" i="13"/>
  <c r="N21" i="51" s="1"/>
  <c r="JB28" i="13"/>
  <c r="O30" i="51" s="1"/>
  <c r="JE14" i="11"/>
  <c r="FE20" i="11"/>
  <c r="JG19" i="11"/>
  <c r="JE15" i="11"/>
  <c r="JB8" i="13"/>
  <c r="O23" i="51" s="1"/>
  <c r="JG12" i="11"/>
  <c r="JE38" i="10"/>
  <c r="JD30" i="10"/>
  <c r="JH37" i="10"/>
  <c r="JG29" i="10"/>
  <c r="JE35" i="10"/>
  <c r="JG40" i="10"/>
  <c r="JH15" i="10"/>
  <c r="JG9" i="10"/>
  <c r="JE25" i="10"/>
  <c r="JD15" i="10"/>
  <c r="JH22" i="10"/>
  <c r="FE33" i="10"/>
  <c r="JE26" i="10"/>
  <c r="JD18" i="10"/>
  <c r="JD10" i="10"/>
  <c r="FE14" i="10"/>
  <c r="JA40" i="13"/>
  <c r="JE37" i="13"/>
  <c r="R33" i="51" s="1"/>
  <c r="JA38" i="13"/>
  <c r="N34" i="51" s="1"/>
  <c r="JE29" i="13"/>
  <c r="R31" i="51" s="1"/>
  <c r="JC33" i="13"/>
  <c r="P32" i="51" s="1"/>
  <c r="FB45" i="13"/>
  <c r="JB17" i="13"/>
  <c r="O24" i="51" s="1"/>
  <c r="FE14" i="11"/>
  <c r="JA19" i="13"/>
  <c r="N4" i="51" s="1"/>
  <c r="JE10" i="11"/>
  <c r="JH31" i="10"/>
  <c r="JG34" i="10"/>
  <c r="JE19" i="10"/>
  <c r="JF26" i="10"/>
  <c r="JD12" i="10"/>
  <c r="JC18" i="14"/>
  <c r="P14" i="71" s="1"/>
  <c r="JD45" i="13"/>
  <c r="JA9" i="14"/>
  <c r="N6" i="71" s="1"/>
  <c r="FB22" i="13"/>
  <c r="JE11" i="14"/>
  <c r="R5" i="71" s="1"/>
  <c r="JB22" i="13"/>
  <c r="O28" i="51" s="1"/>
  <c r="JE19" i="13"/>
  <c r="R4" i="51" s="1"/>
  <c r="FE12" i="11"/>
  <c r="FB9" i="13"/>
  <c r="JE30" i="10"/>
  <c r="JF39" i="10"/>
  <c r="JD31" i="10"/>
  <c r="FE25" i="10"/>
  <c r="JF24" i="10"/>
  <c r="FE9" i="10"/>
  <c r="I25" i="47"/>
  <c r="DH7" i="10"/>
  <c r="AI6" i="11"/>
  <c r="AI7" i="11" s="1"/>
  <c r="AI6" i="10"/>
  <c r="AI7" i="10" s="1"/>
  <c r="AI7" i="9"/>
  <c r="L3" i="67"/>
  <c r="BQ6" i="11"/>
  <c r="BQ6" i="10"/>
  <c r="BW6" i="11"/>
  <c r="BW6" i="10"/>
  <c r="BR6" i="11"/>
  <c r="BR6" i="10"/>
  <c r="U6" i="63"/>
  <c r="GF6" i="14"/>
  <c r="U3" i="63"/>
  <c r="U7" i="22"/>
  <c r="T11" i="23"/>
  <c r="IF21" i="9"/>
  <c r="EY21" i="9"/>
  <c r="IJ21" i="9"/>
  <c r="II21" i="9"/>
  <c r="IH21" i="9"/>
  <c r="IG21" i="9"/>
  <c r="EY13" i="14"/>
  <c r="IR9" i="13"/>
  <c r="O6" i="49" s="1"/>
  <c r="IU34" i="10"/>
  <c r="IT47" i="13"/>
  <c r="IU8" i="13"/>
  <c r="R18" i="49" s="1"/>
  <c r="IX9" i="11"/>
  <c r="IR43" i="13"/>
  <c r="IU17" i="13"/>
  <c r="R28" i="49" s="1"/>
  <c r="IT8" i="11"/>
  <c r="IU42" i="13"/>
  <c r="IT13" i="13"/>
  <c r="Q12" i="49" s="1"/>
  <c r="IX42" i="10"/>
  <c r="IS19" i="14"/>
  <c r="IR10" i="13"/>
  <c r="O26" i="49" s="1"/>
  <c r="FB8" i="11"/>
  <c r="EY14" i="14"/>
  <c r="IS32" i="13"/>
  <c r="P16" i="49" s="1"/>
  <c r="IT10" i="11"/>
  <c r="IX11" i="10"/>
  <c r="IS28" i="13"/>
  <c r="P13" i="49" s="1"/>
  <c r="IW37" i="10"/>
  <c r="IX9" i="10"/>
  <c r="IT19" i="13"/>
  <c r="Q4" i="49" s="1"/>
  <c r="IT14" i="11"/>
  <c r="IV21" i="10"/>
  <c r="IS29" i="13"/>
  <c r="P27" i="49" s="1"/>
  <c r="IU10" i="11"/>
  <c r="IX15" i="10"/>
  <c r="IQ31" i="13"/>
  <c r="N11" i="49" s="1"/>
  <c r="FB14" i="11"/>
  <c r="IT22" i="10"/>
  <c r="IQ13" i="14"/>
  <c r="N11" i="69" s="1"/>
  <c r="IT44" i="13"/>
  <c r="IW14" i="10"/>
  <c r="IR47" i="13"/>
  <c r="EY15" i="13"/>
  <c r="FB16" i="10"/>
  <c r="IQ46" i="13"/>
  <c r="IR22" i="13"/>
  <c r="O8" i="49" s="1"/>
  <c r="IT17" i="10"/>
  <c r="IR38" i="13"/>
  <c r="O31" i="49" s="1"/>
  <c r="EY12" i="13"/>
  <c r="IU36" i="10"/>
  <c r="IR42" i="13"/>
  <c r="IR17" i="13"/>
  <c r="O28" i="49" s="1"/>
  <c r="IT13" i="10"/>
  <c r="IU41" i="13"/>
  <c r="IU16" i="13"/>
  <c r="R7" i="49" s="1"/>
  <c r="IT11" i="10"/>
  <c r="IS46" i="13"/>
  <c r="IT31" i="13"/>
  <c r="Q11" i="49" s="1"/>
  <c r="IV42" i="10"/>
  <c r="IS42" i="13"/>
  <c r="IR27" i="13"/>
  <c r="O10" i="49" s="1"/>
  <c r="IW9" i="11"/>
  <c r="IS38" i="13"/>
  <c r="P31" i="49" s="1"/>
  <c r="IU43" i="13"/>
  <c r="IV40" i="10"/>
  <c r="IT17" i="14"/>
  <c r="Q13" i="69" s="1"/>
  <c r="IT14" i="13"/>
  <c r="Q5" i="49" s="1"/>
  <c r="IT31" i="10"/>
  <c r="IT11" i="14"/>
  <c r="Q4" i="69" s="1"/>
  <c r="IQ28" i="13"/>
  <c r="N13" i="49" s="1"/>
  <c r="IU41" i="10"/>
  <c r="IV11" i="10"/>
  <c r="IQ24" i="13"/>
  <c r="N19" i="49" s="1"/>
  <c r="IW35" i="10"/>
  <c r="IW9" i="10"/>
  <c r="IS14" i="14"/>
  <c r="P9" i="69" s="1"/>
  <c r="IX41" i="10"/>
  <c r="IV19" i="10"/>
  <c r="IR34" i="13"/>
  <c r="O33" i="49" s="1"/>
  <c r="IV20" i="11"/>
  <c r="FB17" i="10"/>
  <c r="IR39" i="13"/>
  <c r="IU13" i="11"/>
  <c r="IW28" i="10"/>
  <c r="IS41" i="13"/>
  <c r="EY25" i="13"/>
  <c r="IX12" i="10"/>
  <c r="IQ42" i="13"/>
  <c r="IT12" i="13"/>
  <c r="Q20" i="49" s="1"/>
  <c r="FB14" i="10"/>
  <c r="EY43" i="13"/>
  <c r="IQ19" i="13"/>
  <c r="N4" i="49" s="1"/>
  <c r="IT15" i="10"/>
  <c r="EY40" i="13"/>
  <c r="IR8" i="13"/>
  <c r="O18" i="49" s="1"/>
  <c r="FB10" i="10"/>
  <c r="IR37" i="13"/>
  <c r="O32" i="49" s="1"/>
  <c r="IR21" i="13"/>
  <c r="O17" i="49" s="1"/>
  <c r="IV37" i="10"/>
  <c r="IT16" i="14"/>
  <c r="Q12" i="69" s="1"/>
  <c r="IQ13" i="13"/>
  <c r="N12" i="49" s="1"/>
  <c r="IW32" i="10"/>
  <c r="IU13" i="14"/>
  <c r="R11" i="69" s="1"/>
  <c r="IU12" i="13"/>
  <c r="R20" i="49" s="1"/>
  <c r="IT40" i="10"/>
  <c r="IQ38" i="13"/>
  <c r="N31" i="49" s="1"/>
  <c r="IS22" i="13"/>
  <c r="P8" i="49" s="1"/>
  <c r="IU42" i="10"/>
  <c r="IR19" i="14"/>
  <c r="IU9" i="13"/>
  <c r="R6" i="49" s="1"/>
  <c r="IX40" i="10"/>
  <c r="IR14" i="14"/>
  <c r="O9" i="69" s="1"/>
  <c r="IQ11" i="13"/>
  <c r="N21" i="49" s="1"/>
  <c r="IT29" i="10"/>
  <c r="IS18" i="14"/>
  <c r="P14" i="69" s="1"/>
  <c r="IT27" i="13"/>
  <c r="Q10" i="49" s="1"/>
  <c r="IU39" i="10"/>
  <c r="IU11" i="10"/>
  <c r="IT23" i="13"/>
  <c r="Q14" i="49" s="1"/>
  <c r="IW33" i="10"/>
  <c r="IX13" i="10"/>
  <c r="IQ25" i="13"/>
  <c r="N34" i="49" s="1"/>
  <c r="IS11" i="13"/>
  <c r="P21" i="49" s="1"/>
  <c r="IU30" i="10"/>
  <c r="IT30" i="13"/>
  <c r="Q9" i="49" s="1"/>
  <c r="FB12" i="11"/>
  <c r="IT20" i="10"/>
  <c r="IR12" i="14"/>
  <c r="O8" i="69" s="1"/>
  <c r="IR30" i="13"/>
  <c r="O9" i="49" s="1"/>
  <c r="IT36" i="10"/>
  <c r="IQ37" i="13"/>
  <c r="N32" i="49" s="1"/>
  <c r="IQ16" i="13"/>
  <c r="N7" i="49" s="1"/>
  <c r="IX10" i="10"/>
  <c r="IT41" i="13"/>
  <c r="EY11" i="13"/>
  <c r="FB12" i="10"/>
  <c r="EY35" i="13"/>
  <c r="EY14" i="13"/>
  <c r="IW36" i="10"/>
  <c r="IQ16" i="14"/>
  <c r="N12" i="69" s="1"/>
  <c r="IQ12" i="13"/>
  <c r="N20" i="49" s="1"/>
  <c r="IT34" i="10"/>
  <c r="EY18" i="14"/>
  <c r="IS16" i="13"/>
  <c r="P7" i="49" s="1"/>
  <c r="IV34" i="10"/>
  <c r="IS16" i="14"/>
  <c r="P12" i="69" s="1"/>
  <c r="IS12" i="13"/>
  <c r="P20" i="49" s="1"/>
  <c r="IU32" i="10"/>
  <c r="IU12" i="14"/>
  <c r="R8" i="69" s="1"/>
  <c r="IS8" i="13"/>
  <c r="P18" i="49" s="1"/>
  <c r="IW34" i="10"/>
  <c r="IQ34" i="13"/>
  <c r="N33" i="49" s="1"/>
  <c r="IU29" i="13"/>
  <c r="R27" i="49" s="1"/>
  <c r="IV38" i="10"/>
  <c r="EY11" i="14"/>
  <c r="IU20" i="13"/>
  <c r="R23" i="49" s="1"/>
  <c r="IX38" i="10"/>
  <c r="IS17" i="14"/>
  <c r="P13" i="69" s="1"/>
  <c r="IT10" i="13"/>
  <c r="Q26" i="49" s="1"/>
  <c r="IT27" i="10"/>
  <c r="IQ15" i="14"/>
  <c r="N7" i="69" s="1"/>
  <c r="EY26" i="13"/>
  <c r="IU37" i="10"/>
  <c r="IU8" i="10"/>
  <c r="IT38" i="13"/>
  <c r="Q31" i="49" s="1"/>
  <c r="IX39" i="10"/>
  <c r="IV17" i="10"/>
  <c r="EY33" i="13"/>
  <c r="IV18" i="11"/>
  <c r="FB15" i="10"/>
  <c r="EY44" i="13"/>
  <c r="IU11" i="11"/>
  <c r="IU27" i="10"/>
  <c r="EY12" i="14"/>
  <c r="IS9" i="13"/>
  <c r="P6" i="49" s="1"/>
  <c r="FB31" i="10"/>
  <c r="IT36" i="13"/>
  <c r="Q22" i="49" s="1"/>
  <c r="IT15" i="13"/>
  <c r="Q25" i="49" s="1"/>
  <c r="IX8" i="10"/>
  <c r="IQ9" i="14"/>
  <c r="N5" i="69" s="1"/>
  <c r="IW17" i="11"/>
  <c r="IV27" i="10"/>
  <c r="IQ41" i="13"/>
  <c r="IW15" i="11"/>
  <c r="IV26" i="10"/>
  <c r="IR13" i="14"/>
  <c r="O11" i="69" s="1"/>
  <c r="FB19" i="11"/>
  <c r="IT32" i="10"/>
  <c r="IS12" i="14"/>
  <c r="P8" i="69" s="1"/>
  <c r="FB17" i="11"/>
  <c r="IX27" i="10"/>
  <c r="IS13" i="14"/>
  <c r="P11" i="69" s="1"/>
  <c r="IQ8" i="13"/>
  <c r="N18" i="49" s="1"/>
  <c r="IX26" i="10"/>
  <c r="IT37" i="13"/>
  <c r="Q32" i="49" s="1"/>
  <c r="IR19" i="13"/>
  <c r="O4" i="49" s="1"/>
  <c r="IV35" i="10"/>
  <c r="IU47" i="13"/>
  <c r="IT22" i="13"/>
  <c r="Q8" i="49" s="1"/>
  <c r="IV36" i="10"/>
  <c r="IT45" i="13"/>
  <c r="IS18" i="13"/>
  <c r="P24" i="49" s="1"/>
  <c r="IX36" i="10"/>
  <c r="IR17" i="14"/>
  <c r="O13" i="69" s="1"/>
  <c r="EY9" i="13"/>
  <c r="IX8" i="11"/>
  <c r="IQ19" i="14"/>
  <c r="EY22" i="13"/>
  <c r="IW31" i="10"/>
  <c r="IV9" i="10"/>
  <c r="IT24" i="13"/>
  <c r="Q19" i="49" s="1"/>
  <c r="EY39" i="13"/>
  <c r="IW25" i="10"/>
  <c r="EY29" i="13"/>
  <c r="FB10" i="11"/>
  <c r="IT18" i="10"/>
  <c r="IT39" i="13"/>
  <c r="IU9" i="11"/>
  <c r="IU26" i="10"/>
  <c r="IQ10" i="14"/>
  <c r="N10" i="69" s="1"/>
  <c r="IW19" i="11"/>
  <c r="IX28" i="10"/>
  <c r="IR31" i="13"/>
  <c r="O11" i="49" s="1"/>
  <c r="IT17" i="11"/>
  <c r="IU22" i="10"/>
  <c r="IU30" i="13"/>
  <c r="R9" i="49" s="1"/>
  <c r="IT15" i="11"/>
  <c r="IU20" i="10"/>
  <c r="IT40" i="13"/>
  <c r="IW13" i="11"/>
  <c r="IV24" i="10"/>
  <c r="EY15" i="14"/>
  <c r="IW11" i="11"/>
  <c r="IV22" i="10"/>
  <c r="IR10" i="14"/>
  <c r="O10" i="69" s="1"/>
  <c r="FB15" i="11"/>
  <c r="IW26" i="10"/>
  <c r="IS11" i="14"/>
  <c r="P4" i="69" s="1"/>
  <c r="EY37" i="13"/>
  <c r="IV32" i="10"/>
  <c r="EY36" i="13"/>
  <c r="IS17" i="13"/>
  <c r="P28" i="49" s="1"/>
  <c r="IV33" i="10"/>
  <c r="EY47" i="13"/>
  <c r="IS20" i="13"/>
  <c r="P23" i="49" s="1"/>
  <c r="IV19" i="11"/>
  <c r="EY45" i="13"/>
  <c r="IQ14" i="13"/>
  <c r="N5" i="49" s="1"/>
  <c r="IX34" i="10"/>
  <c r="IU14" i="14"/>
  <c r="R9" i="69" s="1"/>
  <c r="IR23" i="13"/>
  <c r="O14" i="49" s="1"/>
  <c r="IU35" i="10"/>
  <c r="IW8" i="10"/>
  <c r="IQ36" i="13"/>
  <c r="N22" i="49" s="1"/>
  <c r="IX37" i="10"/>
  <c r="IV15" i="10"/>
  <c r="IQ40" i="13"/>
  <c r="IV16" i="11"/>
  <c r="FB13" i="10"/>
  <c r="IR26" i="13"/>
  <c r="O15" i="49" s="1"/>
  <c r="IX20" i="11"/>
  <c r="IT16" i="10"/>
  <c r="IU34" i="13"/>
  <c r="R33" i="49" s="1"/>
  <c r="IT19" i="11"/>
  <c r="IU24" i="10"/>
  <c r="IS21" i="13"/>
  <c r="P17" i="49" s="1"/>
  <c r="IX16" i="11"/>
  <c r="IT12" i="10"/>
  <c r="IT35" i="13"/>
  <c r="Q30" i="49" s="1"/>
  <c r="IX14" i="11"/>
  <c r="IX30" i="10"/>
  <c r="IS26" i="13"/>
  <c r="P15" i="49" s="1"/>
  <c r="IT13" i="11"/>
  <c r="IU18" i="10"/>
  <c r="IQ22" i="13"/>
  <c r="N8" i="49" s="1"/>
  <c r="IT11" i="11"/>
  <c r="IU16" i="10"/>
  <c r="IQ14" i="14"/>
  <c r="N9" i="69" s="1"/>
  <c r="IS15" i="13"/>
  <c r="P25" i="49" s="1"/>
  <c r="IV20" i="10"/>
  <c r="IT12" i="14"/>
  <c r="Q8" i="69" s="1"/>
  <c r="IQ21" i="13"/>
  <c r="N17" i="49" s="1"/>
  <c r="IX24" i="10"/>
  <c r="IT10" i="14"/>
  <c r="Q10" i="69" s="1"/>
  <c r="IS25" i="13"/>
  <c r="P34" i="49" s="1"/>
  <c r="FB26" i="10"/>
  <c r="IU10" i="14"/>
  <c r="R10" i="69" s="1"/>
  <c r="IR13" i="13"/>
  <c r="O12" i="49" s="1"/>
  <c r="IV29" i="10"/>
  <c r="IT46" i="13"/>
  <c r="IS19" i="13"/>
  <c r="P4" i="49" s="1"/>
  <c r="IV13" i="11"/>
  <c r="EY16" i="14"/>
  <c r="IQ32" i="13"/>
  <c r="N16" i="49" s="1"/>
  <c r="IW8" i="11"/>
  <c r="IU18" i="14"/>
  <c r="R14" i="69" s="1"/>
  <c r="IT15" i="14"/>
  <c r="Q7" i="69" s="1"/>
  <c r="IW29" i="10"/>
  <c r="IU13" i="10"/>
  <c r="EY23" i="13"/>
  <c r="EY18" i="13"/>
  <c r="IW23" i="10"/>
  <c r="IU36" i="13"/>
  <c r="R22" i="49" s="1"/>
  <c r="IV14" i="11"/>
  <c r="FB11" i="10"/>
  <c r="IU25" i="13"/>
  <c r="R34" i="49" s="1"/>
  <c r="IX18" i="11"/>
  <c r="IT14" i="10"/>
  <c r="IQ30" i="13"/>
  <c r="N9" i="49" s="1"/>
  <c r="IV10" i="11"/>
  <c r="IT38" i="10"/>
  <c r="IT29" i="13"/>
  <c r="Q27" i="49" s="1"/>
  <c r="IT11" i="13"/>
  <c r="Q21" i="49" s="1"/>
  <c r="IV30" i="10"/>
  <c r="IS34" i="13"/>
  <c r="P33" i="49" s="1"/>
  <c r="IX12" i="11"/>
  <c r="IU28" i="10"/>
  <c r="IS30" i="13"/>
  <c r="P9" i="49" s="1"/>
  <c r="IU14" i="13"/>
  <c r="R5" i="49" s="1"/>
  <c r="IW30" i="10"/>
  <c r="IT21" i="13"/>
  <c r="Q17" i="49" s="1"/>
  <c r="IT9" i="11"/>
  <c r="IU14" i="10"/>
  <c r="IR9" i="14"/>
  <c r="O5" i="69" s="1"/>
  <c r="EY10" i="13"/>
  <c r="IW24" i="10"/>
  <c r="IQ11" i="14"/>
  <c r="N4" i="69" s="1"/>
  <c r="EY19" i="13"/>
  <c r="IX22" i="10"/>
  <c r="IT9" i="14"/>
  <c r="Q5" i="69" s="1"/>
  <c r="IU21" i="13"/>
  <c r="R17" i="49" s="1"/>
  <c r="FB24" i="10"/>
  <c r="IU9" i="14"/>
  <c r="R5" i="69" s="1"/>
  <c r="IQ9" i="13"/>
  <c r="N6" i="49" s="1"/>
  <c r="IT25" i="10"/>
  <c r="IR44" i="13"/>
  <c r="IU13" i="13"/>
  <c r="R12" i="49" s="1"/>
  <c r="IX32" i="10"/>
  <c r="IR18" i="14"/>
  <c r="O14" i="69" s="1"/>
  <c r="IU22" i="13"/>
  <c r="R8" i="49" s="1"/>
  <c r="IU33" i="10"/>
  <c r="IV8" i="10"/>
  <c r="IS33" i="13"/>
  <c r="P29" i="49" s="1"/>
  <c r="IX35" i="10"/>
  <c r="IV13" i="10"/>
  <c r="IR20" i="13"/>
  <c r="O23" i="49" s="1"/>
  <c r="IR11" i="13"/>
  <c r="O21" i="49" s="1"/>
  <c r="IW21" i="10"/>
  <c r="IR35" i="13"/>
  <c r="O30" i="49" s="1"/>
  <c r="IV12" i="11"/>
  <c r="FB9" i="10"/>
  <c r="IR36" i="13"/>
  <c r="O22" i="49" s="1"/>
  <c r="IV9" i="11"/>
  <c r="IW17" i="10"/>
  <c r="IT33" i="13"/>
  <c r="Q29" i="49" s="1"/>
  <c r="IT42" i="10"/>
  <c r="IW15" i="10"/>
  <c r="EY28" i="13"/>
  <c r="EY6" i="13"/>
  <c r="FB27" i="10"/>
  <c r="IR25" i="13"/>
  <c r="O34" i="49" s="1"/>
  <c r="IU20" i="11"/>
  <c r="IX25" i="10"/>
  <c r="IQ26" i="13"/>
  <c r="N15" i="49" s="1"/>
  <c r="IW20" i="11"/>
  <c r="IT28" i="10"/>
  <c r="IR40" i="13"/>
  <c r="IU26" i="13"/>
  <c r="R15" i="49" s="1"/>
  <c r="IV18" i="10"/>
  <c r="IQ8" i="14"/>
  <c r="N6" i="69" s="1"/>
  <c r="IX19" i="11"/>
  <c r="IW22" i="10"/>
  <c r="IS10" i="14"/>
  <c r="P10" i="69" s="1"/>
  <c r="IR16" i="13"/>
  <c r="O7" i="49" s="1"/>
  <c r="IX20" i="10"/>
  <c r="EY9" i="14"/>
  <c r="EY20" i="13"/>
  <c r="FB22" i="10"/>
  <c r="IQ45" i="13"/>
  <c r="IQ18" i="13"/>
  <c r="N24" i="49" s="1"/>
  <c r="FB11" i="11"/>
  <c r="IT13" i="14"/>
  <c r="Q11" i="69" s="1"/>
  <c r="EY30" i="13"/>
  <c r="FB40" i="10"/>
  <c r="IS15" i="14"/>
  <c r="P7" i="69" s="1"/>
  <c r="IQ33" i="13"/>
  <c r="N29" i="49" s="1"/>
  <c r="IW27" i="10"/>
  <c r="IW10" i="10"/>
  <c r="IQ29" i="13"/>
  <c r="N27" i="49" s="1"/>
  <c r="IX33" i="10"/>
  <c r="FB29" i="10"/>
  <c r="IU38" i="13"/>
  <c r="R31" i="49" s="1"/>
  <c r="FB13" i="11"/>
  <c r="IW19" i="10"/>
  <c r="EY6" i="14"/>
  <c r="EY27" i="13"/>
  <c r="IX29" i="10"/>
  <c r="IU23" i="10"/>
  <c r="IR24" i="13"/>
  <c r="O19" i="49" s="1"/>
  <c r="IT16" i="11"/>
  <c r="IU21" i="10"/>
  <c r="EY32" i="13"/>
  <c r="FB41" i="10"/>
  <c r="IW13" i="10"/>
  <c r="IR29" i="13"/>
  <c r="O27" i="49" s="1"/>
  <c r="FB39" i="10"/>
  <c r="IW11" i="10"/>
  <c r="IU24" i="13"/>
  <c r="R19" i="49" s="1"/>
  <c r="IU18" i="11"/>
  <c r="IX23" i="10"/>
  <c r="IS39" i="13"/>
  <c r="IU10" i="13"/>
  <c r="R26" i="49" s="1"/>
  <c r="IU12" i="10"/>
  <c r="IU39" i="13"/>
  <c r="IR15" i="13"/>
  <c r="O25" i="49" s="1"/>
  <c r="IV16" i="10"/>
  <c r="IR41" i="13"/>
  <c r="IX17" i="11"/>
  <c r="IW20" i="10"/>
  <c r="IS9" i="14"/>
  <c r="P5" i="69" s="1"/>
  <c r="IU15" i="13"/>
  <c r="R25" i="49" s="1"/>
  <c r="IX18" i="10"/>
  <c r="IU8" i="14"/>
  <c r="R6" i="69" s="1"/>
  <c r="IT8" i="13"/>
  <c r="Q18" i="49" s="1"/>
  <c r="IT23" i="10"/>
  <c r="IS43" i="13"/>
  <c r="IQ10" i="13"/>
  <c r="N26" i="49" s="1"/>
  <c r="IV15" i="11"/>
  <c r="EY17" i="14"/>
  <c r="IS37" i="13"/>
  <c r="P32" i="49" s="1"/>
  <c r="IU31" i="10"/>
  <c r="IQ12" i="14"/>
  <c r="N8" i="69" s="1"/>
  <c r="IT32" i="13"/>
  <c r="Q16" i="49" s="1"/>
  <c r="IT18" i="11"/>
  <c r="IU9" i="10"/>
  <c r="IT28" i="13"/>
  <c r="Q13" i="49" s="1"/>
  <c r="IX31" i="10"/>
  <c r="IU25" i="10"/>
  <c r="IS36" i="13"/>
  <c r="P22" i="49" s="1"/>
  <c r="EY24" i="13"/>
  <c r="IW16" i="11"/>
  <c r="IT26" i="10"/>
  <c r="IR8" i="14"/>
  <c r="O6" i="69" s="1"/>
  <c r="IR12" i="13"/>
  <c r="O20" i="49" s="1"/>
  <c r="IS31" i="13"/>
  <c r="P11" i="49" s="1"/>
  <c r="IQ39" i="13"/>
  <c r="IT9" i="13"/>
  <c r="Q6" i="49" s="1"/>
  <c r="IU16" i="14"/>
  <c r="R12" i="69" s="1"/>
  <c r="IR11" i="14"/>
  <c r="O4" i="69" s="1"/>
  <c r="IT12" i="11"/>
  <c r="IS8" i="14"/>
  <c r="P6" i="69" s="1"/>
  <c r="IR28" i="13"/>
  <c r="O13" i="49" s="1"/>
  <c r="IW10" i="11"/>
  <c r="IT9" i="10"/>
  <c r="IU27" i="13"/>
  <c r="R10" i="49" s="1"/>
  <c r="FB42" i="10"/>
  <c r="IU10" i="10"/>
  <c r="IU23" i="13"/>
  <c r="R14" i="49" s="1"/>
  <c r="IX11" i="11"/>
  <c r="IU19" i="10"/>
  <c r="IU15" i="14"/>
  <c r="R7" i="69" s="1"/>
  <c r="IX10" i="11"/>
  <c r="IU17" i="10"/>
  <c r="IU28" i="13"/>
  <c r="R13" i="49" s="1"/>
  <c r="FB37" i="10"/>
  <c r="IT30" i="10"/>
  <c r="IT25" i="13"/>
  <c r="Q34" i="49" s="1"/>
  <c r="IW18" i="11"/>
  <c r="FB25" i="10"/>
  <c r="IU35" i="13"/>
  <c r="R30" i="49" s="1"/>
  <c r="FB20" i="11"/>
  <c r="IV28" i="10"/>
  <c r="IS44" i="13"/>
  <c r="IU19" i="11"/>
  <c r="IV14" i="10"/>
  <c r="IU40" i="13"/>
  <c r="IX15" i="11"/>
  <c r="IW18" i="10"/>
  <c r="IT8" i="14"/>
  <c r="Q6" i="69" s="1"/>
  <c r="IQ17" i="13"/>
  <c r="N28" i="49" s="1"/>
  <c r="FB20" i="10"/>
  <c r="IQ43" i="13"/>
  <c r="IT17" i="13"/>
  <c r="Q28" i="49" s="1"/>
  <c r="IW42" i="10"/>
  <c r="IQ17" i="14"/>
  <c r="N13" i="69" s="1"/>
  <c r="IU18" i="13"/>
  <c r="R24" i="49" s="1"/>
  <c r="FB38" i="10"/>
  <c r="IT14" i="14"/>
  <c r="Q9" i="69" s="1"/>
  <c r="IR32" i="13"/>
  <c r="O16" i="49" s="1"/>
  <c r="IU29" i="10"/>
  <c r="IU11" i="14"/>
  <c r="R4" i="69" s="1"/>
  <c r="EY31" i="13"/>
  <c r="IV11" i="11"/>
  <c r="IV10" i="10"/>
  <c r="IW41" i="10"/>
  <c r="IT34" i="13"/>
  <c r="Q33" i="49" s="1"/>
  <c r="FB18" i="11"/>
  <c r="IV12" i="10"/>
  <c r="IT21" i="10"/>
  <c r="IS14" i="13"/>
  <c r="P5" i="49" s="1"/>
  <c r="FB36" i="10"/>
  <c r="EY10" i="14"/>
  <c r="IS27" i="13"/>
  <c r="P10" i="49" s="1"/>
  <c r="IT41" i="10"/>
  <c r="IR46" i="13"/>
  <c r="IQ23" i="13"/>
  <c r="N14" i="49" s="1"/>
  <c r="IT39" i="10"/>
  <c r="IU45" i="13"/>
  <c r="IS23" i="13"/>
  <c r="P14" i="49" s="1"/>
  <c r="IV41" i="10"/>
  <c r="FB8" i="10"/>
  <c r="EY38" i="13"/>
  <c r="IV39" i="10"/>
  <c r="IW12" i="10"/>
  <c r="IR33" i="13"/>
  <c r="O29" i="49" s="1"/>
  <c r="IU15" i="10"/>
  <c r="IU16" i="11"/>
  <c r="IX21" i="10"/>
  <c r="FB23" i="10"/>
  <c r="IT43" i="13"/>
  <c r="IU17" i="11"/>
  <c r="IX16" i="10"/>
  <c r="FB9" i="11"/>
  <c r="IU31" i="13"/>
  <c r="R11" i="49" s="1"/>
  <c r="IU19" i="14"/>
  <c r="IS10" i="13"/>
  <c r="P26" i="49" s="1"/>
  <c r="FB32" i="10"/>
  <c r="IR45" i="13"/>
  <c r="IT18" i="13"/>
  <c r="Q24" i="49" s="1"/>
  <c r="FB30" i="10"/>
  <c r="IU44" i="13"/>
  <c r="IT26" i="13"/>
  <c r="Q15" i="49" s="1"/>
  <c r="IT37" i="10"/>
  <c r="IT18" i="14"/>
  <c r="Q14" i="69" s="1"/>
  <c r="EY21" i="13"/>
  <c r="IT35" i="10"/>
  <c r="IR15" i="14"/>
  <c r="O7" i="69" s="1"/>
  <c r="IU37" i="13"/>
  <c r="R32" i="49" s="1"/>
  <c r="IT20" i="11"/>
  <c r="IT10" i="10"/>
  <c r="IS24" i="13"/>
  <c r="P19" i="49" s="1"/>
  <c r="FB35" i="10"/>
  <c r="IV25" i="10"/>
  <c r="IQ35" i="13"/>
  <c r="N30" i="49" s="1"/>
  <c r="IU14" i="11"/>
  <c r="IX19" i="10"/>
  <c r="IS40" i="13"/>
  <c r="IW14" i="11"/>
  <c r="FB21" i="10"/>
  <c r="EY34" i="13"/>
  <c r="FB16" i="11"/>
  <c r="IT24" i="10"/>
  <c r="IU17" i="14"/>
  <c r="R13" i="69" s="1"/>
  <c r="IX13" i="11"/>
  <c r="IW16" i="10"/>
  <c r="EY8" i="14"/>
  <c r="IT16" i="13"/>
  <c r="Q7" i="49" s="1"/>
  <c r="FB18" i="10"/>
  <c r="IT42" i="13"/>
  <c r="EY16" i="13"/>
  <c r="IU40" i="10"/>
  <c r="IU46" i="13"/>
  <c r="EY8" i="13"/>
  <c r="IU8" i="11"/>
  <c r="EY19" i="14"/>
  <c r="EY13" i="13"/>
  <c r="FB34" i="10"/>
  <c r="IS45" i="13"/>
  <c r="IU19" i="13"/>
  <c r="R4" i="49" s="1"/>
  <c r="IW38" i="10"/>
  <c r="IQ44" i="13"/>
  <c r="IR18" i="13"/>
  <c r="O24" i="49" s="1"/>
  <c r="IV17" i="11"/>
  <c r="IT19" i="14"/>
  <c r="EY17" i="13"/>
  <c r="FB28" i="10"/>
  <c r="IR16" i="14"/>
  <c r="O12" i="69" s="1"/>
  <c r="IR14" i="13"/>
  <c r="O5" i="49" s="1"/>
  <c r="IV8" i="11"/>
  <c r="IQ18" i="14"/>
  <c r="N14" i="69" s="1"/>
  <c r="IQ15" i="13"/>
  <c r="N25" i="49" s="1"/>
  <c r="IT33" i="10"/>
  <c r="FB6" i="9"/>
  <c r="IU32" i="13"/>
  <c r="R16" i="49" s="1"/>
  <c r="IW39" i="10"/>
  <c r="IT8" i="10"/>
  <c r="IQ20" i="13"/>
  <c r="N23" i="49" s="1"/>
  <c r="FB33" i="10"/>
  <c r="IV23" i="10"/>
  <c r="IU33" i="13"/>
  <c r="R29" i="49" s="1"/>
  <c r="IU12" i="11"/>
  <c r="IX17" i="10"/>
  <c r="IS35" i="13"/>
  <c r="P30" i="49" s="1"/>
  <c r="IW12" i="11"/>
  <c r="FB19" i="10"/>
  <c r="EY42" i="13"/>
  <c r="IU15" i="11"/>
  <c r="IV31" i="10"/>
  <c r="IQ47" i="13"/>
  <c r="IU11" i="13"/>
  <c r="R21" i="49" s="1"/>
  <c r="IX14" i="10"/>
  <c r="IS47" i="13"/>
  <c r="IQ27" i="13"/>
  <c r="N10" i="49" s="1"/>
  <c r="IT19" i="10"/>
  <c r="EY41" i="13"/>
  <c r="IS13" i="13"/>
  <c r="P12" i="49" s="1"/>
  <c r="IU38" i="10"/>
  <c r="EY46" i="13"/>
  <c r="IT20" i="13"/>
  <c r="Q23" i="49" s="1"/>
  <c r="IW40" i="10"/>
  <c r="DH7" i="11"/>
  <c r="AJ6" i="14"/>
  <c r="AJ7" i="14" s="1"/>
  <c r="AJ13" i="14"/>
  <c r="AJ16" i="14"/>
  <c r="AJ9" i="14"/>
  <c r="AJ19" i="14"/>
  <c r="AJ15" i="14"/>
  <c r="AJ14" i="14"/>
  <c r="AJ8" i="14"/>
  <c r="AJ40" i="13"/>
  <c r="AJ17" i="14"/>
  <c r="AJ18" i="14"/>
  <c r="AJ11" i="14"/>
  <c r="AJ10" i="14"/>
  <c r="AJ12" i="14"/>
  <c r="AJ43" i="13"/>
  <c r="AJ45" i="13"/>
  <c r="AJ37" i="13"/>
  <c r="AJ47" i="13"/>
  <c r="AJ35" i="13"/>
  <c r="AJ28" i="13"/>
  <c r="AJ46" i="13"/>
  <c r="AJ23" i="13"/>
  <c r="AJ44" i="13"/>
  <c r="AJ32" i="13"/>
  <c r="AJ36" i="13"/>
  <c r="AJ22" i="13"/>
  <c r="AJ31" i="13"/>
  <c r="AJ41" i="13"/>
  <c r="AJ39" i="13"/>
  <c r="AJ26" i="13"/>
  <c r="AJ38" i="13"/>
  <c r="AJ30" i="13"/>
  <c r="AJ25" i="13"/>
  <c r="AJ34" i="13"/>
  <c r="AJ42" i="13"/>
  <c r="AJ29" i="13"/>
  <c r="AJ16" i="13"/>
  <c r="AJ12" i="13"/>
  <c r="AJ27" i="13"/>
  <c r="AJ15" i="13"/>
  <c r="AJ19" i="13"/>
  <c r="AJ6" i="13"/>
  <c r="AJ7" i="13" s="1"/>
  <c r="AJ33" i="13"/>
  <c r="AJ14" i="13"/>
  <c r="AJ10" i="13"/>
  <c r="AJ21" i="13"/>
  <c r="AJ18" i="13"/>
  <c r="AJ24" i="13"/>
  <c r="AJ9" i="13"/>
  <c r="AJ13" i="13"/>
  <c r="AJ8" i="13"/>
  <c r="AJ20" i="13"/>
  <c r="AJ17" i="13"/>
  <c r="AJ11" i="13"/>
  <c r="AJ20" i="11"/>
  <c r="AJ18" i="11"/>
  <c r="AJ16" i="11"/>
  <c r="AJ14" i="11"/>
  <c r="AJ12" i="11"/>
  <c r="AJ10" i="11"/>
  <c r="AJ8" i="11"/>
  <c r="AJ9" i="11"/>
  <c r="AJ40" i="10"/>
  <c r="AJ38" i="10"/>
  <c r="AJ36" i="10"/>
  <c r="AJ34" i="10"/>
  <c r="AJ32" i="10"/>
  <c r="AJ30" i="10"/>
  <c r="AJ28" i="10"/>
  <c r="AJ15" i="11"/>
  <c r="AJ13" i="11"/>
  <c r="AJ17" i="11"/>
  <c r="AJ11" i="11"/>
  <c r="AJ19" i="11"/>
  <c r="AJ42" i="10"/>
  <c r="AJ26" i="10"/>
  <c r="AJ24" i="10"/>
  <c r="AJ22" i="10"/>
  <c r="AJ20" i="10"/>
  <c r="AJ18" i="10"/>
  <c r="AJ16" i="10"/>
  <c r="AJ14" i="10"/>
  <c r="AJ12" i="10"/>
  <c r="AJ39" i="10"/>
  <c r="AJ35" i="10"/>
  <c r="AJ29" i="10"/>
  <c r="AJ37" i="10"/>
  <c r="AJ33" i="10"/>
  <c r="AJ27" i="10"/>
  <c r="AJ25" i="10"/>
  <c r="AJ23" i="10"/>
  <c r="AJ21" i="10"/>
  <c r="AJ19" i="10"/>
  <c r="AJ17" i="10"/>
  <c r="AJ15" i="10"/>
  <c r="AJ13" i="10"/>
  <c r="AJ41" i="10"/>
  <c r="AJ31" i="10"/>
  <c r="AJ10" i="10"/>
  <c r="AJ11" i="10"/>
  <c r="AJ8" i="10"/>
  <c r="AJ9" i="10"/>
  <c r="AK21" i="9"/>
  <c r="AJ6" i="9"/>
  <c r="BX6" i="11"/>
  <c r="BX6" i="10"/>
  <c r="K32" i="47"/>
  <c r="S12" i="26"/>
  <c r="X7" i="22"/>
  <c r="FH46" i="13"/>
  <c r="JW44" i="13"/>
  <c r="JU19" i="14"/>
  <c r="JW42" i="13"/>
  <c r="JU42" i="13"/>
  <c r="JU45" i="13"/>
  <c r="JX8" i="14"/>
  <c r="Q6" i="75" s="1"/>
  <c r="JU10" i="14"/>
  <c r="N9" i="75" s="1"/>
  <c r="JW30" i="13"/>
  <c r="P10" i="55" s="1"/>
  <c r="JY24" i="13"/>
  <c r="R19" i="55" s="1"/>
  <c r="JX39" i="13"/>
  <c r="JX35" i="13"/>
  <c r="Q31" i="55" s="1"/>
  <c r="FH34" i="13"/>
  <c r="JX27" i="13"/>
  <c r="Q9" i="55" s="1"/>
  <c r="JX31" i="13"/>
  <c r="Q11" i="55" s="1"/>
  <c r="JX18" i="13"/>
  <c r="Q24" i="55" s="1"/>
  <c r="JV18" i="13"/>
  <c r="O24" i="55" s="1"/>
  <c r="FH18" i="13"/>
  <c r="JX16" i="13"/>
  <c r="Q7" i="55" s="1"/>
  <c r="JY21" i="13"/>
  <c r="R17" i="55" s="1"/>
  <c r="FH9" i="14"/>
  <c r="KA17" i="11"/>
  <c r="JW14" i="13"/>
  <c r="P5" i="55" s="1"/>
  <c r="KB10" i="11"/>
  <c r="JZ14" i="11"/>
  <c r="JY18" i="13"/>
  <c r="R24" i="55" s="1"/>
  <c r="FK8" i="11"/>
  <c r="JY39" i="10"/>
  <c r="JY10" i="11"/>
  <c r="KB30" i="10"/>
  <c r="JZ40" i="10"/>
  <c r="KB42" i="10"/>
  <c r="KB37" i="10"/>
  <c r="KB26" i="10"/>
  <c r="KA18" i="10"/>
  <c r="JZ12" i="10"/>
  <c r="JX28" i="10"/>
  <c r="KB27" i="10"/>
  <c r="KB23" i="10"/>
  <c r="KA11" i="10"/>
  <c r="JY21" i="10"/>
  <c r="JX13" i="10"/>
  <c r="JY9" i="10"/>
  <c r="JW45" i="13"/>
  <c r="FH18" i="14"/>
  <c r="JY18" i="14"/>
  <c r="R14" i="75" s="1"/>
  <c r="JU38" i="13"/>
  <c r="N28" i="55" s="1"/>
  <c r="JX41" i="13"/>
  <c r="JV41" i="13"/>
  <c r="JV47" i="13"/>
  <c r="JU9" i="14"/>
  <c r="N5" i="75" s="1"/>
  <c r="JU26" i="13"/>
  <c r="N15" i="55" s="1"/>
  <c r="JY38" i="13"/>
  <c r="R28" i="55" s="1"/>
  <c r="JW38" i="13"/>
  <c r="P28" i="55" s="1"/>
  <c r="JU34" i="13"/>
  <c r="N33" i="55" s="1"/>
  <c r="JU33" i="13"/>
  <c r="N30" i="55" s="1"/>
  <c r="JV23" i="13"/>
  <c r="O14" i="55" s="1"/>
  <c r="JV27" i="13"/>
  <c r="O9" i="55" s="1"/>
  <c r="JV14" i="13"/>
  <c r="O5" i="55" s="1"/>
  <c r="JY17" i="13"/>
  <c r="R29" i="55" s="1"/>
  <c r="JW17" i="13"/>
  <c r="P29" i="55" s="1"/>
  <c r="FH13" i="13"/>
  <c r="JV16" i="13"/>
  <c r="O7" i="55" s="1"/>
  <c r="JU22" i="13"/>
  <c r="N8" i="55" s="1"/>
  <c r="KA15" i="11"/>
  <c r="JV11" i="13"/>
  <c r="O20" i="55" s="1"/>
  <c r="KB8" i="11"/>
  <c r="JZ12" i="11"/>
  <c r="JY10" i="13"/>
  <c r="R27" i="55" s="1"/>
  <c r="JX42" i="10"/>
  <c r="JY37" i="10"/>
  <c r="FK41" i="10"/>
  <c r="KB28" i="10"/>
  <c r="JZ38" i="10"/>
  <c r="JX40" i="10"/>
  <c r="KB35" i="10"/>
  <c r="KB24" i="10"/>
  <c r="KA16" i="10"/>
  <c r="JZ10" i="10"/>
  <c r="JX26" i="10"/>
  <c r="FK26" i="10"/>
  <c r="KB21" i="10"/>
  <c r="KA9" i="10"/>
  <c r="JY19" i="10"/>
  <c r="JX37" i="10"/>
  <c r="JZ13" i="10"/>
  <c r="JV17" i="14"/>
  <c r="O13" i="75" s="1"/>
  <c r="JX37" i="13"/>
  <c r="Q32" i="55" s="1"/>
  <c r="JU46" i="13"/>
  <c r="FH35" i="13"/>
  <c r="JV33" i="13"/>
  <c r="O30" i="55" s="1"/>
  <c r="JY26" i="13"/>
  <c r="R15" i="55" s="1"/>
  <c r="JV13" i="13"/>
  <c r="O12" i="55" s="1"/>
  <c r="JW21" i="13"/>
  <c r="P17" i="55" s="1"/>
  <c r="FK19" i="11"/>
  <c r="JY20" i="11"/>
  <c r="FK39" i="10"/>
  <c r="JZ36" i="10"/>
  <c r="KB22" i="10"/>
  <c r="JX24" i="10"/>
  <c r="FK34" i="10"/>
  <c r="KA29" i="10"/>
  <c r="JV18" i="14"/>
  <c r="O14" i="75" s="1"/>
  <c r="JY40" i="13"/>
  <c r="JX25" i="13"/>
  <c r="Q34" i="55" s="1"/>
  <c r="JY22" i="13"/>
  <c r="R8" i="55" s="1"/>
  <c r="FH14" i="13"/>
  <c r="JY15" i="13"/>
  <c r="R23" i="55" s="1"/>
  <c r="JY41" i="10"/>
  <c r="JY35" i="10"/>
  <c r="JX38" i="10"/>
  <c r="JZ8" i="10"/>
  <c r="KB19" i="10"/>
  <c r="JX14" i="14"/>
  <c r="Q8" i="75" s="1"/>
  <c r="JU17" i="14"/>
  <c r="N13" i="75" s="1"/>
  <c r="JX13" i="14"/>
  <c r="Q11" i="75" s="1"/>
  <c r="JU13" i="14"/>
  <c r="N11" i="75" s="1"/>
  <c r="JY36" i="13"/>
  <c r="R22" i="55" s="1"/>
  <c r="JY9" i="14"/>
  <c r="R5" i="75" s="1"/>
  <c r="FH41" i="13"/>
  <c r="FH40" i="13"/>
  <c r="JV21" i="13"/>
  <c r="O17" i="55" s="1"/>
  <c r="JX34" i="13"/>
  <c r="Q33" i="55" s="1"/>
  <c r="JV34" i="13"/>
  <c r="O33" i="55" s="1"/>
  <c r="JY32" i="13"/>
  <c r="R16" i="55" s="1"/>
  <c r="JV28" i="13"/>
  <c r="O13" i="55" s="1"/>
  <c r="JW17" i="14"/>
  <c r="P13" i="75" s="1"/>
  <c r="FH23" i="13"/>
  <c r="JY9" i="13"/>
  <c r="R6" i="55" s="1"/>
  <c r="JX13" i="13"/>
  <c r="Q12" i="55" s="1"/>
  <c r="JY30" i="13"/>
  <c r="R10" i="55" s="1"/>
  <c r="JV8" i="13"/>
  <c r="O18" i="55" s="1"/>
  <c r="JV12" i="13"/>
  <c r="O21" i="55" s="1"/>
  <c r="JY20" i="13"/>
  <c r="R26" i="55" s="1"/>
  <c r="JZ17" i="11"/>
  <c r="FK17" i="11"/>
  <c r="KA18" i="11"/>
  <c r="KA20" i="11"/>
  <c r="JX10" i="13"/>
  <c r="Q27" i="55" s="1"/>
  <c r="KA37" i="10"/>
  <c r="JY33" i="10"/>
  <c r="FK37" i="10"/>
  <c r="KA11" i="11"/>
  <c r="JZ34" i="10"/>
  <c r="JX36" i="10"/>
  <c r="KB31" i="10"/>
  <c r="KB20" i="10"/>
  <c r="KA12" i="10"/>
  <c r="JX32" i="10"/>
  <c r="JX22" i="10"/>
  <c r="FK22" i="10"/>
  <c r="KB17" i="10"/>
  <c r="JX30" i="10"/>
  <c r="JY15" i="10"/>
  <c r="FK9" i="10"/>
  <c r="JY12" i="10"/>
  <c r="JV11" i="14"/>
  <c r="O4" i="75" s="1"/>
  <c r="JY16" i="14"/>
  <c r="R12" i="75" s="1"/>
  <c r="JV12" i="14"/>
  <c r="O10" i="75" s="1"/>
  <c r="JY45" i="13"/>
  <c r="JY47" i="13"/>
  <c r="JY8" i="14"/>
  <c r="R6" i="75" s="1"/>
  <c r="JW40" i="13"/>
  <c r="JW39" i="13"/>
  <c r="JV30" i="13"/>
  <c r="O10" i="55" s="1"/>
  <c r="JY33" i="13"/>
  <c r="R30" i="55" s="1"/>
  <c r="JW33" i="13"/>
  <c r="P30" i="55" s="1"/>
  <c r="FH29" i="13"/>
  <c r="JY27" i="13"/>
  <c r="R9" i="55" s="1"/>
  <c r="FH6" i="14"/>
  <c r="JW22" i="13"/>
  <c r="P8" i="55" s="1"/>
  <c r="JV16" i="14"/>
  <c r="O12" i="75" s="1"/>
  <c r="FH10" i="13"/>
  <c r="JX19" i="13"/>
  <c r="Q4" i="55" s="1"/>
  <c r="JW36" i="13"/>
  <c r="P22" i="55" s="1"/>
  <c r="JY11" i="13"/>
  <c r="R20" i="55" s="1"/>
  <c r="FH16" i="13"/>
  <c r="JZ15" i="11"/>
  <c r="FK15" i="11"/>
  <c r="KA16" i="11"/>
  <c r="JY18" i="11"/>
  <c r="JX20" i="11"/>
  <c r="KA35" i="10"/>
  <c r="JY31" i="10"/>
  <c r="FK35" i="10"/>
  <c r="KA40" i="10"/>
  <c r="JZ32" i="10"/>
  <c r="FK14" i="11"/>
  <c r="KB29" i="10"/>
  <c r="KB18" i="10"/>
  <c r="KA10" i="10"/>
  <c r="JY28" i="10"/>
  <c r="JX20" i="10"/>
  <c r="FK20" i="10"/>
  <c r="JX34" i="10"/>
  <c r="JX27" i="10"/>
  <c r="JY13" i="10"/>
  <c r="FK10" i="10"/>
  <c r="JX10" i="10"/>
  <c r="JX16" i="14"/>
  <c r="Q12" i="75" s="1"/>
  <c r="JY44" i="13"/>
  <c r="JV44" i="13"/>
  <c r="JX46" i="13"/>
  <c r="JW47" i="13"/>
  <c r="FH14" i="14"/>
  <c r="JW15" i="14"/>
  <c r="P7" i="75" s="1"/>
  <c r="JY29" i="13"/>
  <c r="R25" i="55" s="1"/>
  <c r="JV10" i="14"/>
  <c r="O9" i="75" s="1"/>
  <c r="JU29" i="13"/>
  <c r="N25" i="55" s="1"/>
  <c r="JW28" i="13"/>
  <c r="P13" i="55" s="1"/>
  <c r="FH24" i="13"/>
  <c r="FH47" i="13"/>
  <c r="JY12" i="14"/>
  <c r="R10" i="75" s="1"/>
  <c r="JY25" i="13"/>
  <c r="R34" i="55" s="1"/>
  <c r="JW9" i="13"/>
  <c r="P6" i="55" s="1"/>
  <c r="JV17" i="13"/>
  <c r="O29" i="55" s="1"/>
  <c r="FH27" i="13"/>
  <c r="FH8" i="13"/>
  <c r="JW15" i="13"/>
  <c r="P23" i="55" s="1"/>
  <c r="JZ13" i="11"/>
  <c r="FK13" i="11"/>
  <c r="KA14" i="11"/>
  <c r="JY16" i="11"/>
  <c r="JU15" i="13"/>
  <c r="N23" i="55" s="1"/>
  <c r="KA33" i="10"/>
  <c r="JY29" i="10"/>
  <c r="FK33" i="10"/>
  <c r="KA38" i="10"/>
  <c r="JX11" i="11"/>
  <c r="JX9" i="11"/>
  <c r="JX29" i="10"/>
  <c r="KB16" i="10"/>
  <c r="JY32" i="10"/>
  <c r="JY26" i="10"/>
  <c r="JX18" i="10"/>
  <c r="FK18" i="10"/>
  <c r="JY30" i="10"/>
  <c r="JZ25" i="10"/>
  <c r="JY11" i="10"/>
  <c r="KA8" i="10"/>
  <c r="FK8" i="10"/>
  <c r="JU18" i="14"/>
  <c r="N14" i="75" s="1"/>
  <c r="JV13" i="14"/>
  <c r="O11" i="75" s="1"/>
  <c r="JW43" i="13"/>
  <c r="JU43" i="13"/>
  <c r="JV45" i="13"/>
  <c r="JV46" i="13"/>
  <c r="JW10" i="14"/>
  <c r="P9" i="75" s="1"/>
  <c r="JY13" i="14"/>
  <c r="R11" i="75" s="1"/>
  <c r="FH26" i="13"/>
  <c r="JX38" i="13"/>
  <c r="Q28" i="55" s="1"/>
  <c r="JX28" i="13"/>
  <c r="Q13" i="55" s="1"/>
  <c r="JU24" i="13"/>
  <c r="N19" i="55" s="1"/>
  <c r="JW23" i="13"/>
  <c r="P14" i="55" s="1"/>
  <c r="JU35" i="13"/>
  <c r="N31" i="55" s="1"/>
  <c r="FH10" i="14"/>
  <c r="FH19" i="13"/>
  <c r="JU31" i="13"/>
  <c r="N11" i="55" s="1"/>
  <c r="JY16" i="13"/>
  <c r="R7" i="55" s="1"/>
  <c r="JW26" i="13"/>
  <c r="P15" i="55" s="1"/>
  <c r="JX24" i="13"/>
  <c r="Q19" i="55" s="1"/>
  <c r="FH12" i="13"/>
  <c r="JY19" i="11"/>
  <c r="FK11" i="11"/>
  <c r="KA12" i="11"/>
  <c r="JY14" i="11"/>
  <c r="JW10" i="13"/>
  <c r="P27" i="55" s="1"/>
  <c r="KB41" i="10"/>
  <c r="JY27" i="10"/>
  <c r="FK31" i="10"/>
  <c r="KA36" i="10"/>
  <c r="JZ9" i="11"/>
  <c r="JY8" i="11"/>
  <c r="FK25" i="10"/>
  <c r="KB14" i="10"/>
  <c r="JZ28" i="10"/>
  <c r="JY24" i="10"/>
  <c r="JX16" i="10"/>
  <c r="FK16" i="10"/>
  <c r="JZ27" i="10"/>
  <c r="JZ23" i="10"/>
  <c r="JY36" i="10"/>
  <c r="JY8" i="10"/>
  <c r="JX9" i="10"/>
  <c r="FH19" i="14"/>
  <c r="JY17" i="14"/>
  <c r="R13" i="75" s="1"/>
  <c r="JY19" i="14"/>
  <c r="JX42" i="13"/>
  <c r="JV42" i="13"/>
  <c r="FH44" i="13"/>
  <c r="JU41" i="13"/>
  <c r="JW9" i="14"/>
  <c r="P5" i="75" s="1"/>
  <c r="JW12" i="14"/>
  <c r="P10" i="75" s="1"/>
  <c r="JW25" i="13"/>
  <c r="P34" i="55" s="1"/>
  <c r="JW34" i="13"/>
  <c r="P33" i="55" s="1"/>
  <c r="JV24" i="13"/>
  <c r="O19" i="55" s="1"/>
  <c r="JX23" i="13"/>
  <c r="Q14" i="55" s="1"/>
  <c r="FH13" i="14"/>
  <c r="JV32" i="13"/>
  <c r="O16" i="55" s="1"/>
  <c r="JU40" i="13"/>
  <c r="JW18" i="13"/>
  <c r="P24" i="55" s="1"/>
  <c r="JU18" i="13"/>
  <c r="N24" i="55" s="1"/>
  <c r="JU13" i="13"/>
  <c r="N12" i="55" s="1"/>
  <c r="JU19" i="13"/>
  <c r="N4" i="55" s="1"/>
  <c r="JV22" i="13"/>
  <c r="O8" i="55" s="1"/>
  <c r="JW11" i="13"/>
  <c r="P20" i="55" s="1"/>
  <c r="JY17" i="11"/>
  <c r="FK9" i="11"/>
  <c r="KA10" i="11"/>
  <c r="JY12" i="11"/>
  <c r="KB19" i="11"/>
  <c r="JZ39" i="10"/>
  <c r="JZ41" i="10"/>
  <c r="FK29" i="10"/>
  <c r="KA34" i="10"/>
  <c r="KA8" i="11"/>
  <c r="KA42" i="10"/>
  <c r="FK23" i="10"/>
  <c r="KB12" i="10"/>
  <c r="JZ26" i="10"/>
  <c r="JY22" i="10"/>
  <c r="JX14" i="10"/>
  <c r="FK14" i="10"/>
  <c r="KA25" i="10"/>
  <c r="JZ21" i="10"/>
  <c r="FK28" i="10"/>
  <c r="JX8" i="10"/>
  <c r="JY10" i="10"/>
  <c r="JW18" i="14"/>
  <c r="P14" i="75" s="1"/>
  <c r="FH15" i="14"/>
  <c r="FH17" i="14"/>
  <c r="JV38" i="13"/>
  <c r="O28" i="55" s="1"/>
  <c r="JY41" i="13"/>
  <c r="FH42" i="13"/>
  <c r="JX40" i="13"/>
  <c r="JW8" i="14"/>
  <c r="P6" i="75" s="1"/>
  <c r="JX43" i="13"/>
  <c r="JU21" i="13"/>
  <c r="N17" i="55" s="1"/>
  <c r="JX33" i="13"/>
  <c r="Q30" i="55" s="1"/>
  <c r="JY23" i="13"/>
  <c r="R14" i="55" s="1"/>
  <c r="JV19" i="13"/>
  <c r="O4" i="55" s="1"/>
  <c r="JV8" i="14"/>
  <c r="O6" i="75" s="1"/>
  <c r="JY31" i="13"/>
  <c r="R11" i="55" s="1"/>
  <c r="JX36" i="13"/>
  <c r="Q22" i="55" s="1"/>
  <c r="JU14" i="13"/>
  <c r="N5" i="55" s="1"/>
  <c r="JX17" i="13"/>
  <c r="Q29" i="55" s="1"/>
  <c r="JY12" i="13"/>
  <c r="R21" i="55" s="1"/>
  <c r="FH17" i="13"/>
  <c r="JX21" i="13"/>
  <c r="Q17" i="55" s="1"/>
  <c r="FH21" i="13"/>
  <c r="JY15" i="11"/>
  <c r="JU11" i="13"/>
  <c r="N20" i="55" s="1"/>
  <c r="JW29" i="13"/>
  <c r="P25" i="55" s="1"/>
  <c r="JZ20" i="11"/>
  <c r="KB17" i="11"/>
  <c r="JZ37" i="10"/>
  <c r="JX39" i="10"/>
  <c r="JX17" i="11"/>
  <c r="KA32" i="10"/>
  <c r="FK42" i="10"/>
  <c r="FK16" i="11"/>
  <c r="FK21" i="10"/>
  <c r="KB10" i="10"/>
  <c r="JZ24" i="10"/>
  <c r="JY20" i="10"/>
  <c r="JX12" i="10"/>
  <c r="FK12" i="10"/>
  <c r="KA23" i="10"/>
  <c r="JZ19" i="10"/>
  <c r="JX25" i="10"/>
  <c r="KB15" i="10"/>
  <c r="JX11" i="10"/>
  <c r="JY9" i="11"/>
  <c r="JX17" i="10"/>
  <c r="JU15" i="14"/>
  <c r="N7" i="75" s="1"/>
  <c r="JW14" i="14"/>
  <c r="P8" i="75" s="1"/>
  <c r="JW16" i="14"/>
  <c r="P12" i="75" s="1"/>
  <c r="JX18" i="14"/>
  <c r="Q14" i="75" s="1"/>
  <c r="FH38" i="13"/>
  <c r="JW41" i="13"/>
  <c r="JV36" i="13"/>
  <c r="O22" i="55" s="1"/>
  <c r="JU47" i="13"/>
  <c r="JY42" i="13"/>
  <c r="JX20" i="13"/>
  <c r="Q26" i="55" s="1"/>
  <c r="JV29" i="13"/>
  <c r="O25" i="55" s="1"/>
  <c r="FH20" i="13"/>
  <c r="JU11" i="14"/>
  <c r="N4" i="75" s="1"/>
  <c r="JU37" i="13"/>
  <c r="N32" i="55" s="1"/>
  <c r="FH28" i="13"/>
  <c r="FH32" i="13"/>
  <c r="JY13" i="13"/>
  <c r="R12" i="55" s="1"/>
  <c r="JW13" i="13"/>
  <c r="P12" i="55" s="1"/>
  <c r="FH9" i="13"/>
  <c r="JW16" i="13"/>
  <c r="P7" i="55" s="1"/>
  <c r="JU16" i="13"/>
  <c r="N7" i="55" s="1"/>
  <c r="JW20" i="13"/>
  <c r="P26" i="55" s="1"/>
  <c r="JY13" i="11"/>
  <c r="FH6" i="13"/>
  <c r="JV20" i="13"/>
  <c r="O26" i="55" s="1"/>
  <c r="JX18" i="11"/>
  <c r="KB15" i="11"/>
  <c r="JZ35" i="10"/>
  <c r="KA13" i="11"/>
  <c r="KB40" i="10"/>
  <c r="KA30" i="10"/>
  <c r="JY40" i="10"/>
  <c r="JX8" i="11"/>
  <c r="FK19" i="10"/>
  <c r="KB8" i="10"/>
  <c r="JZ22" i="10"/>
  <c r="JY18" i="10"/>
  <c r="FK38" i="10"/>
  <c r="JX35" i="10"/>
  <c r="KA21" i="10"/>
  <c r="JZ17" i="10"/>
  <c r="JX23" i="10"/>
  <c r="FK11" i="10"/>
  <c r="FK6" i="9"/>
  <c r="FH12" i="14"/>
  <c r="JU12" i="14"/>
  <c r="N10" i="75" s="1"/>
  <c r="JU14" i="14"/>
  <c r="N8" i="75" s="1"/>
  <c r="FH25" i="13"/>
  <c r="FH33" i="13"/>
  <c r="JX9" i="13"/>
  <c r="Q6" i="55" s="1"/>
  <c r="JU8" i="13"/>
  <c r="N18" i="55" s="1"/>
  <c r="KB16" i="11"/>
  <c r="KB11" i="11"/>
  <c r="JZ11" i="11"/>
  <c r="FK15" i="10"/>
  <c r="JY14" i="10"/>
  <c r="FK32" i="10"/>
  <c r="JW19" i="14"/>
  <c r="JY10" i="14"/>
  <c r="R9" i="75" s="1"/>
  <c r="JW24" i="13"/>
  <c r="P19" i="55" s="1"/>
  <c r="JX22" i="13"/>
  <c r="Q8" i="55" s="1"/>
  <c r="JW19" i="13"/>
  <c r="P4" i="55" s="1"/>
  <c r="FH15" i="13"/>
  <c r="JZ18" i="11"/>
  <c r="JX15" i="11"/>
  <c r="JZ16" i="10"/>
  <c r="KA27" i="10"/>
  <c r="JY14" i="14"/>
  <c r="R8" i="75" s="1"/>
  <c r="JX17" i="14"/>
  <c r="Q13" i="75" s="1"/>
  <c r="JW13" i="14"/>
  <c r="P11" i="75" s="1"/>
  <c r="JW37" i="13"/>
  <c r="P32" i="55" s="1"/>
  <c r="FH16" i="14"/>
  <c r="JY35" i="13"/>
  <c r="R31" i="55" s="1"/>
  <c r="JV40" i="13"/>
  <c r="FH39" i="13"/>
  <c r="JY34" i="13"/>
  <c r="R33" i="55" s="1"/>
  <c r="JY28" i="13"/>
  <c r="R13" i="55" s="1"/>
  <c r="JX15" i="14"/>
  <c r="Q7" i="75" s="1"/>
  <c r="JY43" i="13"/>
  <c r="JV35" i="13"/>
  <c r="O31" i="55" s="1"/>
  <c r="JW27" i="13"/>
  <c r="P9" i="55" s="1"/>
  <c r="JW31" i="13"/>
  <c r="P11" i="55" s="1"/>
  <c r="JU10" i="13"/>
  <c r="N27" i="55" s="1"/>
  <c r="JV9" i="13"/>
  <c r="O6" i="55" s="1"/>
  <c r="JW8" i="13"/>
  <c r="P18" i="55" s="1"/>
  <c r="JW12" i="13"/>
  <c r="P21" i="55" s="1"/>
  <c r="JX15" i="13"/>
  <c r="Q23" i="55" s="1"/>
  <c r="JV15" i="13"/>
  <c r="O23" i="55" s="1"/>
  <c r="JY11" i="11"/>
  <c r="KB18" i="11"/>
  <c r="JU9" i="13"/>
  <c r="N6" i="55" s="1"/>
  <c r="JX16" i="11"/>
  <c r="KB13" i="11"/>
  <c r="JZ33" i="10"/>
  <c r="JZ10" i="11"/>
  <c r="KB38" i="10"/>
  <c r="KA28" i="10"/>
  <c r="JY38" i="10"/>
  <c r="JZ42" i="10"/>
  <c r="FK17" i="10"/>
  <c r="KA26" i="10"/>
  <c r="JZ20" i="10"/>
  <c r="JY16" i="10"/>
  <c r="FK36" i="10"/>
  <c r="JY34" i="10"/>
  <c r="KA19" i="10"/>
  <c r="JZ15" i="10"/>
  <c r="JX21" i="10"/>
  <c r="KB9" i="10"/>
  <c r="JV14" i="14"/>
  <c r="O8" i="75" s="1"/>
  <c r="FH11" i="14"/>
  <c r="FH8" i="14"/>
  <c r="JY11" i="14"/>
  <c r="R4" i="75" s="1"/>
  <c r="JU23" i="13"/>
  <c r="N14" i="55" s="1"/>
  <c r="JX30" i="13"/>
  <c r="Q10" i="55" s="1"/>
  <c r="JY14" i="13"/>
  <c r="R5" i="55" s="1"/>
  <c r="KB20" i="11"/>
  <c r="JX41" i="10"/>
  <c r="FK12" i="11"/>
  <c r="KA24" i="10"/>
  <c r="JZ30" i="10"/>
  <c r="JX19" i="10"/>
  <c r="JX10" i="14"/>
  <c r="Q9" i="75" s="1"/>
  <c r="JX47" i="13"/>
  <c r="JX29" i="13"/>
  <c r="Q25" i="55" s="1"/>
  <c r="JW32" i="13"/>
  <c r="P16" i="55" s="1"/>
  <c r="JX19" i="14"/>
  <c r="JY46" i="13"/>
  <c r="JY39" i="13"/>
  <c r="JU30" i="13"/>
  <c r="N10" i="55" s="1"/>
  <c r="JU39" i="13"/>
  <c r="JU27" i="13"/>
  <c r="N9" i="55" s="1"/>
  <c r="JY8" i="13"/>
  <c r="R18" i="55" s="1"/>
  <c r="JU12" i="13"/>
  <c r="N21" i="55" s="1"/>
  <c r="JX8" i="13"/>
  <c r="Q18" i="55" s="1"/>
  <c r="JX14" i="11"/>
  <c r="JZ31" i="10"/>
  <c r="KB36" i="10"/>
  <c r="FK18" i="11"/>
  <c r="JZ18" i="10"/>
  <c r="JX33" i="10"/>
  <c r="KA17" i="10"/>
  <c r="JZ9" i="10"/>
  <c r="JX45" i="13"/>
  <c r="JU16" i="14"/>
  <c r="N12" i="75" s="1"/>
  <c r="JY37" i="13"/>
  <c r="R32" i="55" s="1"/>
  <c r="JX26" i="13"/>
  <c r="Q15" i="55" s="1"/>
  <c r="FH22" i="13"/>
  <c r="JU36" i="13"/>
  <c r="N22" i="55" s="1"/>
  <c r="JX14" i="13"/>
  <c r="Q5" i="55" s="1"/>
  <c r="JX12" i="11"/>
  <c r="KB9" i="11"/>
  <c r="KB34" i="10"/>
  <c r="JY42" i="10"/>
  <c r="KA22" i="10"/>
  <c r="JX31" i="10"/>
  <c r="JY25" i="10"/>
  <c r="KB13" i="10"/>
  <c r="JW11" i="14"/>
  <c r="P4" i="75" s="1"/>
  <c r="JX44" i="13"/>
  <c r="FH36" i="13"/>
  <c r="JV9" i="14"/>
  <c r="O5" i="75" s="1"/>
  <c r="JV31" i="13"/>
  <c r="O11" i="55" s="1"/>
  <c r="JX11" i="13"/>
  <c r="Q20" i="55" s="1"/>
  <c r="KB14" i="11"/>
  <c r="JZ29" i="10"/>
  <c r="FK10" i="11"/>
  <c r="FK13" i="10"/>
  <c r="KA31" i="10"/>
  <c r="KA15" i="10"/>
  <c r="JU8" i="14"/>
  <c r="N6" i="75" s="1"/>
  <c r="FH45" i="13"/>
  <c r="JV19" i="14"/>
  <c r="JV43" i="13"/>
  <c r="JU44" i="13"/>
  <c r="JW46" i="13"/>
  <c r="JX9" i="14"/>
  <c r="Q5" i="75" s="1"/>
  <c r="JX11" i="14"/>
  <c r="Q4" i="75" s="1"/>
  <c r="FH31" i="13"/>
  <c r="JV25" i="13"/>
  <c r="O34" i="55" s="1"/>
  <c r="JY15" i="14"/>
  <c r="R7" i="75" s="1"/>
  <c r="JV39" i="13"/>
  <c r="JW35" i="13"/>
  <c r="P31" i="55" s="1"/>
  <c r="JU28" i="13"/>
  <c r="N13" i="55" s="1"/>
  <c r="JU32" i="13"/>
  <c r="N16" i="55" s="1"/>
  <c r="FH30" i="13"/>
  <c r="JU25" i="13"/>
  <c r="N34" i="55" s="1"/>
  <c r="JY19" i="13"/>
  <c r="R4" i="55" s="1"/>
  <c r="JU17" i="13"/>
  <c r="N29" i="55" s="1"/>
  <c r="JV26" i="13"/>
  <c r="O15" i="55" s="1"/>
  <c r="JX12" i="14"/>
  <c r="Q10" i="75" s="1"/>
  <c r="KA19" i="11"/>
  <c r="FH11" i="13"/>
  <c r="KB12" i="11"/>
  <c r="JZ16" i="11"/>
  <c r="JX10" i="11"/>
  <c r="FK20" i="11"/>
  <c r="KA41" i="10"/>
  <c r="JX13" i="11"/>
  <c r="KB32" i="10"/>
  <c r="KA9" i="11"/>
  <c r="JZ8" i="11"/>
  <c r="KB39" i="10"/>
  <c r="FK27" i="10"/>
  <c r="KA20" i="10"/>
  <c r="JZ14" i="10"/>
  <c r="FK30" i="10"/>
  <c r="FK40" i="10"/>
  <c r="KB25" i="10"/>
  <c r="KA13" i="10"/>
  <c r="JY23" i="10"/>
  <c r="JX15" i="10"/>
  <c r="KB11" i="10"/>
  <c r="JV15" i="14"/>
  <c r="O7" i="75" s="1"/>
  <c r="JV37" i="13"/>
  <c r="O32" i="55" s="1"/>
  <c r="FH43" i="13"/>
  <c r="FH37" i="13"/>
  <c r="JX32" i="13"/>
  <c r="Q16" i="55" s="1"/>
  <c r="JV10" i="13"/>
  <c r="O27" i="55" s="1"/>
  <c r="JX12" i="13"/>
  <c r="Q21" i="55" s="1"/>
  <c r="JZ19" i="11"/>
  <c r="JU20" i="13"/>
  <c r="N26" i="55" s="1"/>
  <c r="KA39" i="10"/>
  <c r="JX19" i="11"/>
  <c r="KB33" i="10"/>
  <c r="KA14" i="10"/>
  <c r="FK24" i="10"/>
  <c r="JY17" i="10"/>
  <c r="JZ11" i="10"/>
  <c r="BY6" i="11"/>
  <c r="BY6" i="10"/>
  <c r="DQ7" i="13"/>
  <c r="U5" i="65"/>
  <c r="HA6" i="14"/>
  <c r="U3" i="65"/>
  <c r="HV6" i="11"/>
  <c r="HV6" i="10"/>
  <c r="BP6" i="11"/>
  <c r="BP6" i="10"/>
  <c r="K9" i="67"/>
  <c r="DK7" i="10"/>
  <c r="GL6" i="11"/>
  <c r="GL6" i="10"/>
  <c r="EB7" i="11"/>
  <c r="T23" i="44"/>
  <c r="GR6" i="13"/>
  <c r="T3" i="44"/>
  <c r="CE6" i="11"/>
  <c r="CE6" i="10"/>
  <c r="C30" i="34"/>
  <c r="C19" i="32"/>
  <c r="C30" i="33"/>
  <c r="C50" i="36"/>
  <c r="C50" i="35"/>
  <c r="C45" i="30"/>
  <c r="C39" i="27"/>
  <c r="C39" i="28"/>
  <c r="C78" i="29"/>
  <c r="D45" i="26"/>
  <c r="C19" i="31"/>
  <c r="D30" i="25"/>
  <c r="D19" i="24"/>
  <c r="D36" i="20"/>
  <c r="D36" i="22"/>
  <c r="C50" i="17"/>
  <c r="D42" i="23"/>
  <c r="C24" i="12"/>
  <c r="A29" i="9"/>
  <c r="V8" i="64"/>
  <c r="GX6" i="14"/>
  <c r="V3" i="64"/>
  <c r="HM6" i="11"/>
  <c r="HM6" i="10"/>
  <c r="DT7" i="10"/>
  <c r="DU7" i="10"/>
  <c r="J3" i="67"/>
  <c r="DI7" i="10"/>
  <c r="DK7" i="11"/>
  <c r="DP7" i="14"/>
  <c r="H3" i="67"/>
  <c r="X6" i="63"/>
  <c r="GO6" i="14"/>
  <c r="X3" i="63"/>
  <c r="DT7" i="11"/>
  <c r="DU7" i="11"/>
  <c r="IA7" i="10" l="1"/>
  <c r="IC7" i="10"/>
  <c r="HZ7" i="10"/>
  <c r="IB7" i="11"/>
  <c r="HZ7" i="11"/>
  <c r="IC7" i="11"/>
  <c r="S10" i="46"/>
  <c r="X6" i="42"/>
  <c r="S17" i="46"/>
  <c r="X17" i="42"/>
  <c r="S25" i="46"/>
  <c r="X26" i="42"/>
  <c r="T28" i="43"/>
  <c r="U28" i="42"/>
  <c r="EV17" i="13"/>
  <c r="EY23" i="10"/>
  <c r="EY13" i="11"/>
  <c r="EY9" i="10"/>
  <c r="T32" i="43"/>
  <c r="U32" i="42"/>
  <c r="EV37" i="13"/>
  <c r="T4" i="63"/>
  <c r="U4" i="62"/>
  <c r="EV11" i="14"/>
  <c r="T25" i="43"/>
  <c r="U24" i="42"/>
  <c r="EV15" i="13"/>
  <c r="S23" i="44"/>
  <c r="V21" i="42"/>
  <c r="V3" i="42"/>
  <c r="S3" i="44"/>
  <c r="S5" i="64"/>
  <c r="V4" i="62"/>
  <c r="FE6" i="11"/>
  <c r="FE6" i="10"/>
  <c r="W34" i="42"/>
  <c r="T30" i="45"/>
  <c r="T17" i="45"/>
  <c r="W18" i="42"/>
  <c r="S10" i="66"/>
  <c r="X8" i="62"/>
  <c r="X34" i="42"/>
  <c r="S33" i="46"/>
  <c r="EY33" i="10"/>
  <c r="T7" i="43"/>
  <c r="U8" i="42"/>
  <c r="EV16" i="13"/>
  <c r="EY39" i="10"/>
  <c r="EY22" i="10"/>
  <c r="T29" i="43"/>
  <c r="U29" i="42"/>
  <c r="EV33" i="13"/>
  <c r="EY12" i="11"/>
  <c r="S34" i="44"/>
  <c r="V30" i="42"/>
  <c r="S8" i="44"/>
  <c r="V12" i="42"/>
  <c r="S21" i="44"/>
  <c r="V23" i="42"/>
  <c r="W13" i="62"/>
  <c r="T13" i="65"/>
  <c r="T15" i="45"/>
  <c r="W5" i="42"/>
  <c r="T29" i="45"/>
  <c r="W32" i="42"/>
  <c r="S12" i="66"/>
  <c r="X12" i="62"/>
  <c r="FK6" i="11"/>
  <c r="FK6" i="10"/>
  <c r="S16" i="46"/>
  <c r="X16" i="42"/>
  <c r="S29" i="46"/>
  <c r="X28" i="42"/>
  <c r="S15" i="46"/>
  <c r="X14" i="42"/>
  <c r="EY29" i="10"/>
  <c r="T23" i="43"/>
  <c r="U25" i="42"/>
  <c r="EV20" i="13"/>
  <c r="U12" i="62"/>
  <c r="T12" i="63"/>
  <c r="EV16" i="14"/>
  <c r="S17" i="44"/>
  <c r="V27" i="42"/>
  <c r="T10" i="45"/>
  <c r="W6" i="42"/>
  <c r="T23" i="45"/>
  <c r="W25" i="42"/>
  <c r="S13" i="46"/>
  <c r="X13" i="42"/>
  <c r="EY18" i="10"/>
  <c r="EY30" i="10"/>
  <c r="T10" i="63"/>
  <c r="U10" i="62"/>
  <c r="EV10" i="14"/>
  <c r="U6" i="62"/>
  <c r="T5" i="63"/>
  <c r="EV9" i="14"/>
  <c r="EY15" i="11"/>
  <c r="T8" i="43"/>
  <c r="U9" i="42"/>
  <c r="EV22" i="13"/>
  <c r="T5" i="43"/>
  <c r="U5" i="42"/>
  <c r="EV14" i="13"/>
  <c r="EY10" i="10"/>
  <c r="V25" i="42"/>
  <c r="S27" i="44"/>
  <c r="S8" i="64"/>
  <c r="V7" i="62"/>
  <c r="V3" i="62"/>
  <c r="S3" i="64"/>
  <c r="S31" i="44"/>
  <c r="V26" i="42"/>
  <c r="S14" i="64"/>
  <c r="V14" i="62"/>
  <c r="S30" i="44"/>
  <c r="V13" i="42"/>
  <c r="T25" i="45"/>
  <c r="W12" i="42"/>
  <c r="T5" i="65"/>
  <c r="W7" i="62"/>
  <c r="T3" i="65"/>
  <c r="W3" i="62"/>
  <c r="T12" i="65"/>
  <c r="W12" i="62"/>
  <c r="S6" i="66"/>
  <c r="X7" i="62"/>
  <c r="X3" i="62"/>
  <c r="S3" i="66"/>
  <c r="S21" i="46"/>
  <c r="X19" i="42"/>
  <c r="AJ6" i="11"/>
  <c r="AJ7" i="11" s="1"/>
  <c r="AJ6" i="10"/>
  <c r="AJ7" i="10" s="1"/>
  <c r="AJ7" i="9"/>
  <c r="EY36" i="10"/>
  <c r="EY38" i="10"/>
  <c r="EY41" i="10"/>
  <c r="EY11" i="10"/>
  <c r="T30" i="43"/>
  <c r="U31" i="42"/>
  <c r="EV35" i="13"/>
  <c r="EY17" i="10"/>
  <c r="S7" i="44"/>
  <c r="V10" i="42"/>
  <c r="S26" i="44"/>
  <c r="V24" i="42"/>
  <c r="S11" i="44"/>
  <c r="V15" i="42"/>
  <c r="T21" i="45"/>
  <c r="W23" i="42"/>
  <c r="T4" i="65"/>
  <c r="W4" i="62"/>
  <c r="T13" i="45"/>
  <c r="W19" i="42"/>
  <c r="W31" i="42"/>
  <c r="T28" i="45"/>
  <c r="T32" i="45"/>
  <c r="W33" i="42"/>
  <c r="FH6" i="11"/>
  <c r="FH6" i="10"/>
  <c r="T7" i="65"/>
  <c r="W8" i="62"/>
  <c r="S4" i="66"/>
  <c r="X4" i="62"/>
  <c r="S13" i="66"/>
  <c r="X13" i="62"/>
  <c r="S8" i="66"/>
  <c r="X9" i="62"/>
  <c r="S7" i="46"/>
  <c r="X8" i="42"/>
  <c r="S5" i="46"/>
  <c r="X5" i="42"/>
  <c r="AK13" i="14"/>
  <c r="I11" i="57" s="1"/>
  <c r="AK16" i="14"/>
  <c r="I13" i="57" s="1"/>
  <c r="AK19" i="14"/>
  <c r="AK18" i="14"/>
  <c r="I12" i="57" s="1"/>
  <c r="AK8" i="14"/>
  <c r="AK40" i="13"/>
  <c r="AK17" i="14"/>
  <c r="I14" i="57" s="1"/>
  <c r="AK9" i="14"/>
  <c r="I10" i="57" s="1"/>
  <c r="AK6" i="14"/>
  <c r="AK7" i="14" s="1"/>
  <c r="AK35" i="13"/>
  <c r="I31" i="37" s="1"/>
  <c r="AK11" i="14"/>
  <c r="I4" i="57" s="1"/>
  <c r="AK10" i="14"/>
  <c r="I8" i="57" s="1"/>
  <c r="AK39" i="13"/>
  <c r="I18" i="37" s="1"/>
  <c r="AK12" i="14"/>
  <c r="I9" i="57" s="1"/>
  <c r="AK15" i="14"/>
  <c r="I7" i="57" s="1"/>
  <c r="AK38" i="13"/>
  <c r="I30" i="37" s="1"/>
  <c r="AK43" i="13"/>
  <c r="AK44" i="13"/>
  <c r="AK42" i="13"/>
  <c r="AK46" i="13"/>
  <c r="AK14" i="14"/>
  <c r="I6" i="57" s="1"/>
  <c r="AK23" i="13"/>
  <c r="I11" i="37" s="1"/>
  <c r="AK47" i="13"/>
  <c r="AK45" i="13"/>
  <c r="AK32" i="13"/>
  <c r="I5" i="37" s="1"/>
  <c r="AK27" i="13"/>
  <c r="I20" i="37" s="1"/>
  <c r="AK36" i="13"/>
  <c r="I29" i="37" s="1"/>
  <c r="AK31" i="13"/>
  <c r="I10" i="37" s="1"/>
  <c r="AK41" i="13"/>
  <c r="AK26" i="13"/>
  <c r="I32" i="37" s="1"/>
  <c r="AK21" i="13"/>
  <c r="I26" i="37" s="1"/>
  <c r="AK30" i="13"/>
  <c r="I16" i="37" s="1"/>
  <c r="AK37" i="13"/>
  <c r="I34" i="37" s="1"/>
  <c r="AK25" i="13"/>
  <c r="I14" i="37" s="1"/>
  <c r="AK34" i="13"/>
  <c r="I24" i="37" s="1"/>
  <c r="AK29" i="13"/>
  <c r="I7" i="37" s="1"/>
  <c r="AK24" i="13"/>
  <c r="I17" i="37" s="1"/>
  <c r="AK16" i="13"/>
  <c r="I19" i="37" s="1"/>
  <c r="AK12" i="13"/>
  <c r="I22" i="37" s="1"/>
  <c r="AK15" i="13"/>
  <c r="I12" i="37" s="1"/>
  <c r="AK11" i="13"/>
  <c r="I15" i="37" s="1"/>
  <c r="AK19" i="13"/>
  <c r="I25" i="37" s="1"/>
  <c r="AK6" i="13"/>
  <c r="AK7" i="13" s="1"/>
  <c r="AK33" i="13"/>
  <c r="I21" i="37" s="1"/>
  <c r="AK14" i="13"/>
  <c r="I35" i="37" s="1"/>
  <c r="AK10" i="13"/>
  <c r="I28" i="37" s="1"/>
  <c r="AK28" i="13"/>
  <c r="I9" i="37" s="1"/>
  <c r="AK18" i="13"/>
  <c r="I33" i="37" s="1"/>
  <c r="AK9" i="13"/>
  <c r="I6" i="37" s="1"/>
  <c r="AK13" i="13"/>
  <c r="I23" i="37" s="1"/>
  <c r="AK20" i="13"/>
  <c r="I4" i="37" s="1"/>
  <c r="AK17" i="13"/>
  <c r="I8" i="37" s="1"/>
  <c r="AK22" i="13"/>
  <c r="I27" i="37" s="1"/>
  <c r="AK20" i="11"/>
  <c r="AK18" i="11"/>
  <c r="AK16" i="11"/>
  <c r="AK14" i="11"/>
  <c r="AK12" i="11"/>
  <c r="AK10" i="11"/>
  <c r="I15" i="12"/>
  <c r="AK19" i="11"/>
  <c r="AK17" i="11"/>
  <c r="AK15" i="11"/>
  <c r="AK13" i="11"/>
  <c r="AK11" i="11"/>
  <c r="AK8" i="13"/>
  <c r="AK9" i="11"/>
  <c r="AK40" i="10"/>
  <c r="AK38" i="10"/>
  <c r="AK36" i="10"/>
  <c r="AK34" i="10"/>
  <c r="AK32" i="10"/>
  <c r="AK30" i="10"/>
  <c r="AK28" i="10"/>
  <c r="AK42" i="10"/>
  <c r="AK41" i="10"/>
  <c r="AK39" i="10"/>
  <c r="AK37" i="10"/>
  <c r="AK35" i="10"/>
  <c r="AK8" i="11"/>
  <c r="AK29" i="10"/>
  <c r="AK33" i="10"/>
  <c r="AK27" i="10"/>
  <c r="AK25" i="10"/>
  <c r="AK23" i="10"/>
  <c r="AK21" i="10"/>
  <c r="AK19" i="10"/>
  <c r="AK17" i="10"/>
  <c r="AK15" i="10"/>
  <c r="AK13" i="10"/>
  <c r="AK31" i="10"/>
  <c r="AK26" i="10"/>
  <c r="AK24" i="10"/>
  <c r="AK22" i="10"/>
  <c r="AK20" i="10"/>
  <c r="AK18" i="10"/>
  <c r="AK16" i="10"/>
  <c r="AK12" i="10"/>
  <c r="AK14" i="10"/>
  <c r="AK10" i="10"/>
  <c r="AK11" i="10"/>
  <c r="AK8" i="10"/>
  <c r="AK9" i="10"/>
  <c r="BJ21" i="9"/>
  <c r="AK6" i="9"/>
  <c r="BM21" i="9"/>
  <c r="BL21" i="9"/>
  <c r="BK21" i="9"/>
  <c r="U7" i="62"/>
  <c r="T6" i="63"/>
  <c r="EV8" i="14"/>
  <c r="T3" i="63"/>
  <c r="U3" i="62"/>
  <c r="EY35" i="10"/>
  <c r="T16" i="43"/>
  <c r="U16" i="42"/>
  <c r="EV32" i="13"/>
  <c r="EY27" i="10"/>
  <c r="EY24" i="10"/>
  <c r="EY12" i="10"/>
  <c r="EV40" i="13"/>
  <c r="S10" i="44"/>
  <c r="V7" i="42"/>
  <c r="S32" i="44"/>
  <c r="V29" i="42"/>
  <c r="S14" i="44"/>
  <c r="V19" i="42"/>
  <c r="S29" i="44"/>
  <c r="V11" i="42"/>
  <c r="V18" i="42"/>
  <c r="S13" i="44"/>
  <c r="T7" i="45"/>
  <c r="W9" i="42"/>
  <c r="T16" i="45"/>
  <c r="W16" i="42"/>
  <c r="T31" i="45"/>
  <c r="W22" i="42"/>
  <c r="T14" i="45"/>
  <c r="W14" i="42"/>
  <c r="S26" i="46"/>
  <c r="X25" i="42"/>
  <c r="S7" i="66"/>
  <c r="X5" i="62"/>
  <c r="S18" i="46"/>
  <c r="X21" i="42"/>
  <c r="X3" i="42"/>
  <c r="S3" i="46"/>
  <c r="FB6" i="11"/>
  <c r="FB6" i="10"/>
  <c r="IJ6" i="9"/>
  <c r="EY6" i="9"/>
  <c r="II6" i="9"/>
  <c r="IH6" i="9"/>
  <c r="IG6" i="9"/>
  <c r="IF6" i="9"/>
  <c r="EY32" i="10"/>
  <c r="EY20" i="11"/>
  <c r="T13" i="63"/>
  <c r="U13" i="62"/>
  <c r="EV17" i="14"/>
  <c r="EV6" i="13"/>
  <c r="EV45" i="13"/>
  <c r="T6" i="43"/>
  <c r="U7" i="42"/>
  <c r="EV9" i="13"/>
  <c r="U20" i="42"/>
  <c r="T21" i="43"/>
  <c r="EV11" i="13"/>
  <c r="EY14" i="11"/>
  <c r="U9" i="62"/>
  <c r="T9" i="63"/>
  <c r="EV14" i="14"/>
  <c r="V22" i="42"/>
  <c r="S18" i="44"/>
  <c r="V5" i="62"/>
  <c r="S4" i="64"/>
  <c r="W10" i="42"/>
  <c r="T8" i="45"/>
  <c r="W9" i="62"/>
  <c r="T9" i="65"/>
  <c r="X20" i="42"/>
  <c r="S20" i="46"/>
  <c r="X10" i="42"/>
  <c r="S11" i="46"/>
  <c r="S9" i="46"/>
  <c r="X11" i="42"/>
  <c r="X6" i="62"/>
  <c r="S5" i="66"/>
  <c r="EV42" i="13"/>
  <c r="T31" i="43"/>
  <c r="U30" i="42"/>
  <c r="EV38" i="13"/>
  <c r="EY42" i="10"/>
  <c r="U13" i="42"/>
  <c r="T13" i="43"/>
  <c r="EV28" i="13"/>
  <c r="T7" i="63"/>
  <c r="U5" i="62"/>
  <c r="EV15" i="14"/>
  <c r="EY17" i="11"/>
  <c r="EY31" i="10"/>
  <c r="U14" i="42"/>
  <c r="T15" i="43"/>
  <c r="EV26" i="13"/>
  <c r="EY8" i="11"/>
  <c r="T11" i="63"/>
  <c r="U11" i="62"/>
  <c r="EV13" i="14"/>
  <c r="S22" i="44"/>
  <c r="V33" i="42"/>
  <c r="S20" i="44"/>
  <c r="V17" i="42"/>
  <c r="T14" i="65"/>
  <c r="W14" i="62"/>
  <c r="T33" i="45"/>
  <c r="W21" i="42"/>
  <c r="T3" i="45"/>
  <c r="W3" i="42"/>
  <c r="S31" i="46"/>
  <c r="X31" i="42"/>
  <c r="S12" i="46"/>
  <c r="X12" i="42"/>
  <c r="EY19" i="10"/>
  <c r="EY34" i="10"/>
  <c r="EY8" i="10"/>
  <c r="EY18" i="11"/>
  <c r="EY25" i="10"/>
  <c r="U23" i="42"/>
  <c r="T24" i="43"/>
  <c r="EV18" i="13"/>
  <c r="EY13" i="10"/>
  <c r="EV43" i="13"/>
  <c r="U19" i="42"/>
  <c r="T20" i="43"/>
  <c r="EV12" i="13"/>
  <c r="O10" i="28"/>
  <c r="ID10" i="14"/>
  <c r="ID18" i="14"/>
  <c r="ID27" i="13"/>
  <c r="ID12" i="13"/>
  <c r="IG12" i="11"/>
  <c r="IG9" i="11"/>
  <c r="IG18" i="10"/>
  <c r="IG13" i="10"/>
  <c r="ID24" i="13"/>
  <c r="ID16" i="14"/>
  <c r="ID13" i="14"/>
  <c r="ID22" i="13"/>
  <c r="ID15" i="13"/>
  <c r="ID36" i="13"/>
  <c r="IG10" i="11"/>
  <c r="IG16" i="10"/>
  <c r="IG9" i="10"/>
  <c r="IG16" i="11"/>
  <c r="ID19" i="14"/>
  <c r="ID47" i="13"/>
  <c r="ID31" i="13"/>
  <c r="ID11" i="13"/>
  <c r="ID6" i="13"/>
  <c r="IG40" i="10"/>
  <c r="IG14" i="10"/>
  <c r="ID12" i="14"/>
  <c r="ID46" i="13"/>
  <c r="ID35" i="13"/>
  <c r="ID38" i="13"/>
  <c r="ID14" i="13"/>
  <c r="IG38" i="10"/>
  <c r="IG12" i="10"/>
  <c r="ID42" i="13"/>
  <c r="ID45" i="13"/>
  <c r="ID34" i="13"/>
  <c r="IG19" i="11"/>
  <c r="ID10" i="13"/>
  <c r="IG36" i="10"/>
  <c r="IG10" i="10"/>
  <c r="IG32" i="10"/>
  <c r="ID11" i="14"/>
  <c r="ID44" i="13"/>
  <c r="ID26" i="13"/>
  <c r="IG17" i="11"/>
  <c r="IG41" i="10"/>
  <c r="IG34" i="10"/>
  <c r="IG8" i="10"/>
  <c r="IG22" i="10"/>
  <c r="ID9" i="14"/>
  <c r="ID25" i="13"/>
  <c r="ID18" i="13"/>
  <c r="IG15" i="11"/>
  <c r="IG39" i="10"/>
  <c r="IG42" i="10"/>
  <c r="ID23" i="13"/>
  <c r="ID8" i="14"/>
  <c r="ID20" i="13"/>
  <c r="ID30" i="13"/>
  <c r="IG13" i="11"/>
  <c r="IG37" i="10"/>
  <c r="IG28" i="10"/>
  <c r="IG25" i="10"/>
  <c r="ID37" i="13"/>
  <c r="ID29" i="13"/>
  <c r="ID9" i="13"/>
  <c r="ID8" i="13"/>
  <c r="IG35" i="10"/>
  <c r="IG30" i="10"/>
  <c r="IG23" i="10"/>
  <c r="ID28" i="13"/>
  <c r="IG29" i="10"/>
  <c r="ID40" i="13"/>
  <c r="ID15" i="14"/>
  <c r="ID39" i="13"/>
  <c r="ID19" i="13"/>
  <c r="ID21" i="13"/>
  <c r="IG33" i="10"/>
  <c r="IG27" i="10"/>
  <c r="IG21" i="10"/>
  <c r="ID17" i="13"/>
  <c r="IG17" i="10"/>
  <c r="ID14" i="14"/>
  <c r="ID6" i="14"/>
  <c r="ID33" i="13"/>
  <c r="ID13" i="13"/>
  <c r="IG20" i="11"/>
  <c r="IG31" i="10"/>
  <c r="IG26" i="10"/>
  <c r="IG19" i="10"/>
  <c r="ID41" i="13"/>
  <c r="IG24" i="10"/>
  <c r="IG15" i="10"/>
  <c r="IG18" i="11"/>
  <c r="IG8" i="11"/>
  <c r="ID17" i="14"/>
  <c r="ID43" i="13"/>
  <c r="ID32" i="13"/>
  <c r="ID16" i="13"/>
  <c r="IG14" i="11"/>
  <c r="IG11" i="11"/>
  <c r="IG20" i="10"/>
  <c r="IG11" i="10"/>
  <c r="S9" i="44"/>
  <c r="V14" i="42"/>
  <c r="S9" i="64"/>
  <c r="V8" i="62"/>
  <c r="V16" i="42"/>
  <c r="S16" i="44"/>
  <c r="IB7" i="10"/>
  <c r="T5" i="45"/>
  <c r="W7" i="42"/>
  <c r="W11" i="42"/>
  <c r="T9" i="45"/>
  <c r="W8" i="42"/>
  <c r="T6" i="45"/>
  <c r="T18" i="45"/>
  <c r="W17" i="42"/>
  <c r="W15" i="42"/>
  <c r="T11" i="45"/>
  <c r="T34" i="45"/>
  <c r="W30" i="42"/>
  <c r="S4" i="46"/>
  <c r="X4" i="42"/>
  <c r="X27" i="42"/>
  <c r="S27" i="46"/>
  <c r="EV46" i="13"/>
  <c r="T12" i="43"/>
  <c r="U12" i="42"/>
  <c r="EV13" i="13"/>
  <c r="U18" i="42"/>
  <c r="T19" i="43"/>
  <c r="EV24" i="13"/>
  <c r="EY40" i="10"/>
  <c r="T4" i="43"/>
  <c r="U4" i="42"/>
  <c r="EV19" i="13"/>
  <c r="T14" i="43"/>
  <c r="U15" i="42"/>
  <c r="EV23" i="13"/>
  <c r="EY26" i="10"/>
  <c r="EV47" i="13"/>
  <c r="U8" i="62"/>
  <c r="T8" i="63"/>
  <c r="EV12" i="14"/>
  <c r="EY14" i="10"/>
  <c r="P10" i="28"/>
  <c r="IE33" i="13"/>
  <c r="IE28" i="13"/>
  <c r="IE32" i="13"/>
  <c r="IE44" i="13"/>
  <c r="IH9" i="10"/>
  <c r="IH36" i="10"/>
  <c r="IE46" i="13"/>
  <c r="IH26" i="10"/>
  <c r="IE13" i="13"/>
  <c r="IE8" i="13"/>
  <c r="IE47" i="13"/>
  <c r="IE22" i="13"/>
  <c r="IE16" i="14"/>
  <c r="IH14" i="10"/>
  <c r="IH32" i="10"/>
  <c r="IE26" i="13"/>
  <c r="IH17" i="10"/>
  <c r="IH15" i="11"/>
  <c r="IE21" i="13"/>
  <c r="IH18" i="11"/>
  <c r="IE12" i="13"/>
  <c r="IE45" i="13"/>
  <c r="IH8" i="10"/>
  <c r="IH10" i="10"/>
  <c r="IH39" i="10"/>
  <c r="IH35" i="10"/>
  <c r="IH8" i="11"/>
  <c r="IH14" i="11"/>
  <c r="IE34" i="13"/>
  <c r="IE11" i="14"/>
  <c r="IE8" i="14"/>
  <c r="IH13" i="10"/>
  <c r="IH42" i="10"/>
  <c r="IH27" i="10"/>
  <c r="IH24" i="10"/>
  <c r="IH9" i="11"/>
  <c r="IE11" i="13"/>
  <c r="IE42" i="13"/>
  <c r="IE29" i="13"/>
  <c r="IE43" i="13"/>
  <c r="IE38" i="13"/>
  <c r="IH23" i="10"/>
  <c r="IH19" i="10"/>
  <c r="IH15" i="10"/>
  <c r="IH20" i="10"/>
  <c r="IH10" i="11"/>
  <c r="IE18" i="14"/>
  <c r="IE9" i="13"/>
  <c r="IE15" i="14"/>
  <c r="IE6" i="14"/>
  <c r="IE36" i="13"/>
  <c r="IE35" i="13"/>
  <c r="IH11" i="10"/>
  <c r="IH38" i="10"/>
  <c r="IE25" i="13"/>
  <c r="IH19" i="11"/>
  <c r="IH13" i="11"/>
  <c r="IE24" i="13"/>
  <c r="IE37" i="13"/>
  <c r="IE23" i="13"/>
  <c r="IE27" i="13"/>
  <c r="IE17" i="14"/>
  <c r="IH16" i="10"/>
  <c r="IE10" i="13"/>
  <c r="IE20" i="13"/>
  <c r="IE30" i="13"/>
  <c r="IE19" i="13"/>
  <c r="IE17" i="13"/>
  <c r="IE13" i="14"/>
  <c r="IE16" i="13"/>
  <c r="IE39" i="13"/>
  <c r="IH31" i="10"/>
  <c r="IH34" i="10"/>
  <c r="IH30" i="10"/>
  <c r="IH17" i="11"/>
  <c r="IE18" i="13"/>
  <c r="IH20" i="11"/>
  <c r="IH16" i="11"/>
  <c r="IE31" i="13"/>
  <c r="IE19" i="14"/>
  <c r="IH12" i="10"/>
  <c r="IH29" i="10"/>
  <c r="IH12" i="11"/>
  <c r="IH41" i="10"/>
  <c r="IH37" i="10"/>
  <c r="IH33" i="10"/>
  <c r="IH11" i="11"/>
  <c r="IE15" i="13"/>
  <c r="IE12" i="14"/>
  <c r="IE9" i="14"/>
  <c r="IH28" i="10"/>
  <c r="IH40" i="10"/>
  <c r="IH25" i="10"/>
  <c r="IH21" i="10"/>
  <c r="IE10" i="14"/>
  <c r="IE41" i="13"/>
  <c r="IE40" i="13"/>
  <c r="IE14" i="14"/>
  <c r="IH18" i="10"/>
  <c r="IE6" i="13"/>
  <c r="IE14" i="13"/>
  <c r="IH22" i="10"/>
  <c r="S5" i="44"/>
  <c r="V6" i="42"/>
  <c r="S4" i="44"/>
  <c r="V4" i="42"/>
  <c r="V32" i="42"/>
  <c r="S33" i="44"/>
  <c r="T22" i="45"/>
  <c r="W26" i="42"/>
  <c r="T8" i="65"/>
  <c r="W10" i="62"/>
  <c r="S8" i="46"/>
  <c r="X9" i="42"/>
  <c r="X11" i="62"/>
  <c r="S11" i="66"/>
  <c r="X10" i="62"/>
  <c r="S9" i="66"/>
  <c r="S24" i="46"/>
  <c r="X23" i="42"/>
  <c r="EV19" i="14"/>
  <c r="EY16" i="11"/>
  <c r="EY9" i="11"/>
  <c r="EY20" i="10"/>
  <c r="U6" i="42"/>
  <c r="T9" i="43"/>
  <c r="EV30" i="13"/>
  <c r="EY10" i="11"/>
  <c r="EY19" i="11"/>
  <c r="Q10" i="28"/>
  <c r="IF18" i="14"/>
  <c r="IF24" i="13"/>
  <c r="IF30" i="13"/>
  <c r="IF21" i="13"/>
  <c r="II17" i="11"/>
  <c r="II39" i="10"/>
  <c r="II12" i="10"/>
  <c r="II16" i="10"/>
  <c r="IF15" i="14"/>
  <c r="IF33" i="13"/>
  <c r="IF19" i="13"/>
  <c r="IF20" i="13"/>
  <c r="II15" i="11"/>
  <c r="II37" i="10"/>
  <c r="II10" i="10"/>
  <c r="II42" i="10"/>
  <c r="IF10" i="14"/>
  <c r="IF37" i="13"/>
  <c r="IF13" i="13"/>
  <c r="IF18" i="13"/>
  <c r="II13" i="11"/>
  <c r="II35" i="10"/>
  <c r="II8" i="10"/>
  <c r="IF6" i="14"/>
  <c r="IF12" i="14"/>
  <c r="IF28" i="13"/>
  <c r="IF8" i="13"/>
  <c r="II11" i="11"/>
  <c r="II33" i="10"/>
  <c r="II25" i="10"/>
  <c r="IF41" i="13"/>
  <c r="IF23" i="13"/>
  <c r="IF17" i="13"/>
  <c r="IF9" i="13"/>
  <c r="II9" i="11"/>
  <c r="II31" i="10"/>
  <c r="II23" i="10"/>
  <c r="IF14" i="14"/>
  <c r="IF42" i="13"/>
  <c r="IF16" i="13"/>
  <c r="II20" i="11"/>
  <c r="II40" i="10"/>
  <c r="II29" i="10"/>
  <c r="II21" i="10"/>
  <c r="IF40" i="13"/>
  <c r="IF32" i="13"/>
  <c r="IF12" i="13"/>
  <c r="II18" i="11"/>
  <c r="II38" i="10"/>
  <c r="II27" i="10"/>
  <c r="II19" i="10"/>
  <c r="IF39" i="13"/>
  <c r="IF27" i="13"/>
  <c r="IF45" i="13"/>
  <c r="II16" i="11"/>
  <c r="II36" i="10"/>
  <c r="II26" i="10"/>
  <c r="II17" i="10"/>
  <c r="IF44" i="13"/>
  <c r="IF46" i="13"/>
  <c r="IF22" i="13"/>
  <c r="IF15" i="13"/>
  <c r="II14" i="11"/>
  <c r="II34" i="10"/>
  <c r="II24" i="10"/>
  <c r="II11" i="10"/>
  <c r="IF14" i="13"/>
  <c r="II9" i="10"/>
  <c r="IF8" i="14"/>
  <c r="IF17" i="14"/>
  <c r="IF38" i="13"/>
  <c r="IF31" i="13"/>
  <c r="IF11" i="13"/>
  <c r="II12" i="11"/>
  <c r="II32" i="10"/>
  <c r="II22" i="10"/>
  <c r="II13" i="10"/>
  <c r="IF26" i="13"/>
  <c r="II28" i="10"/>
  <c r="IF10" i="13"/>
  <c r="IF13" i="14"/>
  <c r="IF11" i="14"/>
  <c r="IF34" i="13"/>
  <c r="IF25" i="13"/>
  <c r="II10" i="11"/>
  <c r="II30" i="10"/>
  <c r="II20" i="10"/>
  <c r="II15" i="10"/>
  <c r="IF43" i="13"/>
  <c r="II18" i="10"/>
  <c r="IF35" i="13"/>
  <c r="IF9" i="14"/>
  <c r="II8" i="11"/>
  <c r="IF16" i="14"/>
  <c r="IF6" i="13"/>
  <c r="IF19" i="14"/>
  <c r="IF29" i="13"/>
  <c r="IF47" i="13"/>
  <c r="IF36" i="13"/>
  <c r="II19" i="11"/>
  <c r="II41" i="10"/>
  <c r="II14" i="10"/>
  <c r="S28" i="44"/>
  <c r="V9" i="42"/>
  <c r="S6" i="64"/>
  <c r="V6" i="62"/>
  <c r="S6" i="44"/>
  <c r="V5" i="42"/>
  <c r="V11" i="62"/>
  <c r="S7" i="64"/>
  <c r="V12" i="62"/>
  <c r="S12" i="64"/>
  <c r="V20" i="42"/>
  <c r="S15" i="44"/>
  <c r="C18" i="36"/>
  <c r="C18" i="34"/>
  <c r="C18" i="33"/>
  <c r="C18" i="35"/>
  <c r="C18" i="30"/>
  <c r="C12" i="31"/>
  <c r="C12" i="32"/>
  <c r="C64" i="29"/>
  <c r="C17" i="28"/>
  <c r="C17" i="27"/>
  <c r="D15" i="26"/>
  <c r="D16" i="25"/>
  <c r="D15" i="23"/>
  <c r="D11" i="24"/>
  <c r="C49" i="17"/>
  <c r="D14" i="22"/>
  <c r="D14" i="20"/>
  <c r="C23" i="12"/>
  <c r="A30" i="9"/>
  <c r="S32" i="46"/>
  <c r="X32" i="42"/>
  <c r="S22" i="46"/>
  <c r="X22" i="42"/>
  <c r="S23" i="46"/>
  <c r="X24" i="42"/>
  <c r="S30" i="46"/>
  <c r="X29" i="42"/>
  <c r="X14" i="62"/>
  <c r="S14" i="66"/>
  <c r="U34" i="42"/>
  <c r="T33" i="43"/>
  <c r="EV34" i="13"/>
  <c r="U11" i="42"/>
  <c r="T10" i="43"/>
  <c r="EV27" i="13"/>
  <c r="T27" i="43"/>
  <c r="U26" i="42"/>
  <c r="EV29" i="13"/>
  <c r="R10" i="28"/>
  <c r="IG41" i="13"/>
  <c r="IG8" i="14"/>
  <c r="IG30" i="13"/>
  <c r="IG46" i="13"/>
  <c r="IJ9" i="11"/>
  <c r="IJ24" i="10"/>
  <c r="IJ21" i="10"/>
  <c r="IG14" i="14"/>
  <c r="IG37" i="13"/>
  <c r="IG38" i="13"/>
  <c r="IG18" i="13"/>
  <c r="IJ40" i="10"/>
  <c r="IJ22" i="10"/>
  <c r="IJ19" i="10"/>
  <c r="IG40" i="13"/>
  <c r="IJ25" i="10"/>
  <c r="IG13" i="14"/>
  <c r="IG10" i="14"/>
  <c r="IG47" i="13"/>
  <c r="IJ16" i="10"/>
  <c r="IG22" i="13"/>
  <c r="IJ13" i="11"/>
  <c r="IG17" i="14"/>
  <c r="IJ34" i="10"/>
  <c r="IJ15" i="10"/>
  <c r="IG15" i="13"/>
  <c r="IG19" i="13"/>
  <c r="IJ20" i="11"/>
  <c r="IJ18" i="10"/>
  <c r="IG23" i="13"/>
  <c r="IG8" i="13"/>
  <c r="IJ36" i="10"/>
  <c r="IJ17" i="10"/>
  <c r="IG21" i="13"/>
  <c r="IJ10" i="10"/>
  <c r="IJ31" i="10"/>
  <c r="IG42" i="13"/>
  <c r="IG9" i="13"/>
  <c r="IG27" i="13"/>
  <c r="IJ20" i="10"/>
  <c r="IG33" i="13"/>
  <c r="IJ39" i="10"/>
  <c r="IJ14" i="10"/>
  <c r="IG39" i="13"/>
  <c r="IG17" i="13"/>
  <c r="IJ38" i="10"/>
  <c r="IG15" i="14"/>
  <c r="IJ19" i="11"/>
  <c r="IJ41" i="10"/>
  <c r="IJ32" i="10"/>
  <c r="IG12" i="14"/>
  <c r="IG13" i="13"/>
  <c r="IJ23" i="10"/>
  <c r="IG6" i="13"/>
  <c r="IJ11" i="10"/>
  <c r="IJ9" i="10"/>
  <c r="IJ27" i="10"/>
  <c r="IJ12" i="10"/>
  <c r="IJ18" i="11"/>
  <c r="IG25" i="13"/>
  <c r="IJ26" i="10"/>
  <c r="IG10" i="13"/>
  <c r="IJ29" i="10"/>
  <c r="IJ37" i="10"/>
  <c r="IJ8" i="10"/>
  <c r="IJ35" i="10"/>
  <c r="IJ30" i="10"/>
  <c r="IG16" i="13"/>
  <c r="IG28" i="13"/>
  <c r="IJ11" i="11"/>
  <c r="IG35" i="13"/>
  <c r="IJ17" i="11"/>
  <c r="IJ15" i="11"/>
  <c r="IJ33" i="10"/>
  <c r="IJ28" i="10"/>
  <c r="IJ16" i="11"/>
  <c r="IG32" i="13"/>
  <c r="IG11" i="13"/>
  <c r="IG36" i="13"/>
  <c r="IG20" i="13"/>
  <c r="IG24" i="13"/>
  <c r="IJ8" i="11"/>
  <c r="IJ10" i="11"/>
  <c r="IJ42" i="10"/>
  <c r="IJ14" i="11"/>
  <c r="IG12" i="13"/>
  <c r="IG44" i="13"/>
  <c r="IG14" i="13"/>
  <c r="IJ12" i="11"/>
  <c r="IG18" i="14"/>
  <c r="IG19" i="14"/>
  <c r="IG29" i="13"/>
  <c r="IG16" i="14"/>
  <c r="IG26" i="13"/>
  <c r="IG34" i="13"/>
  <c r="IG6" i="14"/>
  <c r="IG9" i="14"/>
  <c r="IG11" i="14"/>
  <c r="IG31" i="13"/>
  <c r="IG43" i="13"/>
  <c r="IJ13" i="10"/>
  <c r="IG45" i="13"/>
  <c r="S19" i="44"/>
  <c r="V31" i="42"/>
  <c r="V34" i="42"/>
  <c r="S25" i="44"/>
  <c r="T19" i="45"/>
  <c r="W20" i="42"/>
  <c r="T4" i="45"/>
  <c r="W4" i="42"/>
  <c r="T12" i="45"/>
  <c r="W13" i="42"/>
  <c r="T10" i="65"/>
  <c r="W11" i="62"/>
  <c r="S34" i="46"/>
  <c r="X33" i="42"/>
  <c r="S14" i="46"/>
  <c r="X15" i="42"/>
  <c r="EV41" i="13"/>
  <c r="T18" i="43"/>
  <c r="U21" i="42"/>
  <c r="EV8" i="13"/>
  <c r="U3" i="42"/>
  <c r="T3" i="43"/>
  <c r="EY21" i="10"/>
  <c r="T17" i="43"/>
  <c r="U17" i="42"/>
  <c r="EV21" i="13"/>
  <c r="EY37" i="10"/>
  <c r="EV6" i="14"/>
  <c r="EY11" i="11"/>
  <c r="T26" i="43"/>
  <c r="U27" i="42"/>
  <c r="EV10" i="13"/>
  <c r="T22" i="43"/>
  <c r="U22" i="42"/>
  <c r="EV36" i="13"/>
  <c r="EV44" i="13"/>
  <c r="T14" i="63"/>
  <c r="U14" i="62"/>
  <c r="EV18" i="14"/>
  <c r="T7" i="22"/>
  <c r="J7" i="20"/>
  <c r="FR18" i="14"/>
  <c r="FR29" i="13"/>
  <c r="FR12" i="14"/>
  <c r="FR28" i="13"/>
  <c r="FU13" i="11"/>
  <c r="FU35" i="10"/>
  <c r="FU25" i="10"/>
  <c r="FR15" i="14"/>
  <c r="FR37" i="13"/>
  <c r="FR35" i="13"/>
  <c r="FU20" i="11"/>
  <c r="FU11" i="11"/>
  <c r="FU33" i="10"/>
  <c r="FU23" i="10"/>
  <c r="FR45" i="13"/>
  <c r="FR34" i="13"/>
  <c r="FR13" i="13"/>
  <c r="FU18" i="11"/>
  <c r="FU9" i="11"/>
  <c r="FU31" i="10"/>
  <c r="FU21" i="10"/>
  <c r="FR41" i="13"/>
  <c r="FR24" i="13"/>
  <c r="FR17" i="13"/>
  <c r="FU16" i="11"/>
  <c r="FU42" i="10"/>
  <c r="FU29" i="10"/>
  <c r="FU19" i="10"/>
  <c r="FR14" i="14"/>
  <c r="FR11" i="14"/>
  <c r="FR33" i="13"/>
  <c r="FR16" i="13"/>
  <c r="FU14" i="11"/>
  <c r="FU40" i="10"/>
  <c r="FU26" i="10"/>
  <c r="FU17" i="10"/>
  <c r="FR44" i="13"/>
  <c r="FR46" i="13"/>
  <c r="FR42" i="13"/>
  <c r="FR12" i="13"/>
  <c r="FU12" i="11"/>
  <c r="FU38" i="10"/>
  <c r="FU24" i="10"/>
  <c r="FU27" i="10"/>
  <c r="FR17" i="14"/>
  <c r="FR47" i="13"/>
  <c r="FR23" i="13"/>
  <c r="FR25" i="13"/>
  <c r="FU10" i="11"/>
  <c r="FU36" i="10"/>
  <c r="FU22" i="10"/>
  <c r="FU15" i="10"/>
  <c r="FR40" i="13"/>
  <c r="FR32" i="13"/>
  <c r="FR21" i="13"/>
  <c r="FU8" i="11"/>
  <c r="FU34" i="10"/>
  <c r="FU20" i="10"/>
  <c r="FU13" i="10"/>
  <c r="FR43" i="13"/>
  <c r="FR9" i="14"/>
  <c r="FR27" i="13"/>
  <c r="FR15" i="13"/>
  <c r="FR9" i="13"/>
  <c r="FU32" i="10"/>
  <c r="FU18" i="10"/>
  <c r="FU11" i="10"/>
  <c r="FR10" i="14"/>
  <c r="FU19" i="11"/>
  <c r="FR8" i="14"/>
  <c r="FR22" i="13"/>
  <c r="FR11" i="13"/>
  <c r="FR8" i="13"/>
  <c r="FU30" i="10"/>
  <c r="FU16" i="10"/>
  <c r="FU9" i="10"/>
  <c r="FU12" i="10"/>
  <c r="FU10" i="10"/>
  <c r="FR16" i="14"/>
  <c r="FR13" i="14"/>
  <c r="FR31" i="13"/>
  <c r="FR20" i="13"/>
  <c r="FR18" i="13"/>
  <c r="FU28" i="10"/>
  <c r="FU14" i="10"/>
  <c r="FR26" i="13"/>
  <c r="FU41" i="10"/>
  <c r="FU39" i="10"/>
  <c r="FR19" i="14"/>
  <c r="FR19" i="13"/>
  <c r="FR39" i="13"/>
  <c r="FR36" i="13"/>
  <c r="FR14" i="13"/>
  <c r="FU17" i="11"/>
  <c r="FR38" i="13"/>
  <c r="FR30" i="13"/>
  <c r="FR10" i="13"/>
  <c r="FU15" i="11"/>
  <c r="FU37" i="10"/>
  <c r="FU8" i="10"/>
  <c r="S24" i="44"/>
  <c r="V28" i="42"/>
  <c r="V9" i="62"/>
  <c r="S13" i="64"/>
  <c r="S10" i="64"/>
  <c r="V10" i="62"/>
  <c r="S11" i="64"/>
  <c r="V13" i="62"/>
  <c r="IA7" i="11"/>
  <c r="T27" i="45"/>
  <c r="W29" i="42"/>
  <c r="T20" i="45"/>
  <c r="W24" i="42"/>
  <c r="T24" i="45"/>
  <c r="W27" i="42"/>
  <c r="T26" i="45"/>
  <c r="W28" i="42"/>
  <c r="S6" i="46"/>
  <c r="X7" i="42"/>
  <c r="S28" i="46"/>
  <c r="X30" i="42"/>
  <c r="X18" i="42"/>
  <c r="S19" i="46"/>
  <c r="EY28" i="10"/>
  <c r="T11" i="43"/>
  <c r="U10" i="42"/>
  <c r="EV31" i="13"/>
  <c r="EV39" i="13"/>
  <c r="EY15" i="10"/>
  <c r="U33" i="42"/>
  <c r="T34" i="43"/>
  <c r="EV25" i="13"/>
  <c r="EY16" i="10"/>
  <c r="N10" i="28"/>
  <c r="IE21" i="9"/>
  <c r="R10" i="27" s="1"/>
  <c r="IF15" i="10"/>
  <c r="IF14" i="10"/>
  <c r="IF9" i="10"/>
  <c r="IF9" i="11"/>
  <c r="IF34" i="10"/>
  <c r="IC13" i="14"/>
  <c r="IC38" i="13"/>
  <c r="IC21" i="13"/>
  <c r="IC15" i="13"/>
  <c r="IC20" i="13"/>
  <c r="IF42" i="10"/>
  <c r="IF23" i="10"/>
  <c r="IC47" i="13"/>
  <c r="IC36" i="13"/>
  <c r="IC6" i="13"/>
  <c r="IC11" i="13"/>
  <c r="IF41" i="10"/>
  <c r="IF28" i="10"/>
  <c r="IF21" i="10"/>
  <c r="IC44" i="13"/>
  <c r="IF16" i="11"/>
  <c r="IC6" i="14"/>
  <c r="IC33" i="13"/>
  <c r="IF13" i="10"/>
  <c r="IF15" i="11"/>
  <c r="IC19" i="14"/>
  <c r="IF19" i="10"/>
  <c r="IC34" i="13"/>
  <c r="IC11" i="14"/>
  <c r="IC15" i="14"/>
  <c r="IF22" i="10"/>
  <c r="IC9" i="13"/>
  <c r="IF17" i="10"/>
  <c r="IF30" i="10"/>
  <c r="IC23" i="13"/>
  <c r="IC18" i="14"/>
  <c r="IF11" i="10"/>
  <c r="IF33" i="10"/>
  <c r="IC25" i="13"/>
  <c r="IF26" i="10"/>
  <c r="IF39" i="10"/>
  <c r="IC41" i="13"/>
  <c r="IF20" i="10"/>
  <c r="IF13" i="11"/>
  <c r="IC10" i="14"/>
  <c r="IF37" i="10"/>
  <c r="IF29" i="10"/>
  <c r="IF19" i="11"/>
  <c r="IF32" i="10"/>
  <c r="IC45" i="13"/>
  <c r="IF31" i="10"/>
  <c r="IC19" i="13"/>
  <c r="IF17" i="11"/>
  <c r="IC40" i="13"/>
  <c r="IC18" i="13"/>
  <c r="IF40" i="10"/>
  <c r="IF11" i="11"/>
  <c r="IC24" i="13"/>
  <c r="IC26" i="13"/>
  <c r="IC30" i="13"/>
  <c r="IC14" i="13"/>
  <c r="IC13" i="13"/>
  <c r="IC9" i="14"/>
  <c r="IC43" i="13"/>
  <c r="IC8" i="13"/>
  <c r="IC12" i="14"/>
  <c r="IF25" i="10"/>
  <c r="IC35" i="13"/>
  <c r="IF12" i="10"/>
  <c r="IC37" i="13"/>
  <c r="IC42" i="13"/>
  <c r="IF38" i="10"/>
  <c r="IC22" i="13"/>
  <c r="IF36" i="10"/>
  <c r="IF14" i="11"/>
  <c r="IF8" i="10"/>
  <c r="IC8" i="14"/>
  <c r="IC10" i="13"/>
  <c r="IC17" i="14"/>
  <c r="IF10" i="11"/>
  <c r="IC16" i="13"/>
  <c r="IF16" i="10"/>
  <c r="IF10" i="10"/>
  <c r="IC29" i="13"/>
  <c r="IC16" i="14"/>
  <c r="IF12" i="11"/>
  <c r="IC32" i="13"/>
  <c r="IF27" i="10"/>
  <c r="IF18" i="10"/>
  <c r="IF24" i="10"/>
  <c r="IC31" i="13"/>
  <c r="IC12" i="13"/>
  <c r="IF18" i="11"/>
  <c r="IC46" i="13"/>
  <c r="IC27" i="13"/>
  <c r="IC14" i="14"/>
  <c r="IF20" i="11"/>
  <c r="IC39" i="13"/>
  <c r="IF8" i="11"/>
  <c r="IC28" i="13"/>
  <c r="IC17" i="13"/>
  <c r="IF35" i="10"/>
  <c r="V8" i="42"/>
  <c r="S12" i="44"/>
  <c r="W5" i="62"/>
  <c r="T6" i="65"/>
  <c r="W6" i="62"/>
  <c r="T11" i="65"/>
  <c r="IE34" i="10" l="1"/>
  <c r="IE27" i="10"/>
  <c r="IE13" i="11"/>
  <c r="IE38" i="10"/>
  <c r="IE33" i="10"/>
  <c r="IE8" i="11"/>
  <c r="IE13" i="10"/>
  <c r="IE23" i="10"/>
  <c r="IE8" i="10"/>
  <c r="IE14" i="11"/>
  <c r="IE28" i="10"/>
  <c r="IE9" i="11"/>
  <c r="Q10" i="27"/>
  <c r="IE14" i="10"/>
  <c r="IE29" i="10"/>
  <c r="IE12" i="11"/>
  <c r="IE15" i="10"/>
  <c r="IE32" i="10"/>
  <c r="IE26" i="10"/>
  <c r="IE25" i="10"/>
  <c r="IE16" i="11"/>
  <c r="IE24" i="10"/>
  <c r="IE19" i="11"/>
  <c r="IE18" i="10"/>
  <c r="FV19" i="11"/>
  <c r="FV29" i="10"/>
  <c r="IE41" i="10"/>
  <c r="IE20" i="10"/>
  <c r="IE16" i="10"/>
  <c r="IE17" i="11"/>
  <c r="IE18" i="11"/>
  <c r="IE31" i="10"/>
  <c r="N19" i="48"/>
  <c r="N27" i="48"/>
  <c r="N14" i="68"/>
  <c r="N17" i="48"/>
  <c r="FV15" i="11"/>
  <c r="FV28" i="10"/>
  <c r="N7" i="60"/>
  <c r="FS8" i="14"/>
  <c r="N3" i="60"/>
  <c r="FV8" i="11"/>
  <c r="FV38" i="10"/>
  <c r="FV19" i="10"/>
  <c r="FV23" i="10"/>
  <c r="R10" i="48"/>
  <c r="R31" i="48"/>
  <c r="Q22" i="48"/>
  <c r="Q30" i="48"/>
  <c r="Q14" i="68"/>
  <c r="P28" i="48"/>
  <c r="P9" i="48"/>
  <c r="J4" i="40"/>
  <c r="T4" i="42"/>
  <c r="O16" i="48"/>
  <c r="O15" i="48"/>
  <c r="O4" i="68"/>
  <c r="O24" i="48"/>
  <c r="AK6" i="11"/>
  <c r="AK7" i="11" s="1"/>
  <c r="AK6" i="10"/>
  <c r="AK7" i="10" s="1"/>
  <c r="AK7" i="9"/>
  <c r="L6" i="37"/>
  <c r="K6" i="37"/>
  <c r="L24" i="37"/>
  <c r="K24" i="37"/>
  <c r="L6" i="57"/>
  <c r="K6" i="57"/>
  <c r="K14" i="57"/>
  <c r="L14" i="57"/>
  <c r="J31" i="40"/>
  <c r="T31" i="42"/>
  <c r="N27" i="40"/>
  <c r="FS10" i="13"/>
  <c r="Q33" i="48"/>
  <c r="N12" i="48"/>
  <c r="IE30" i="10"/>
  <c r="N11" i="68"/>
  <c r="N6" i="40"/>
  <c r="FS30" i="13"/>
  <c r="N25" i="40"/>
  <c r="FS20" i="13"/>
  <c r="N10" i="60"/>
  <c r="FS10" i="14"/>
  <c r="N16" i="40"/>
  <c r="FS32" i="13"/>
  <c r="N19" i="40"/>
  <c r="FS12" i="13"/>
  <c r="FV42" i="10"/>
  <c r="FV11" i="11"/>
  <c r="R6" i="68"/>
  <c r="R13" i="48"/>
  <c r="R29" i="48"/>
  <c r="R4" i="48"/>
  <c r="Q26" i="48"/>
  <c r="Q34" i="48"/>
  <c r="Q7" i="68"/>
  <c r="Q3" i="68"/>
  <c r="Q21" i="48"/>
  <c r="Q3" i="48"/>
  <c r="P6" i="48"/>
  <c r="P31" i="48"/>
  <c r="P21" i="48"/>
  <c r="P3" i="48"/>
  <c r="J8" i="60"/>
  <c r="T8" i="62"/>
  <c r="O13" i="68"/>
  <c r="O11" i="68"/>
  <c r="K9" i="37"/>
  <c r="L9" i="37"/>
  <c r="L34" i="37"/>
  <c r="K34" i="37"/>
  <c r="I5" i="57"/>
  <c r="I3" i="57"/>
  <c r="J9" i="40"/>
  <c r="T9" i="42"/>
  <c r="T25" i="42"/>
  <c r="J25" i="40"/>
  <c r="FV33" i="10"/>
  <c r="J27" i="40"/>
  <c r="T27" i="42"/>
  <c r="P10" i="68"/>
  <c r="N5" i="48"/>
  <c r="IE17" i="10"/>
  <c r="IE21" i="10"/>
  <c r="N30" i="40"/>
  <c r="FS38" i="13"/>
  <c r="N10" i="40"/>
  <c r="FS31" i="13"/>
  <c r="FV11" i="10"/>
  <c r="FS40" i="13"/>
  <c r="FS42" i="13"/>
  <c r="FV16" i="11"/>
  <c r="FV20" i="11"/>
  <c r="R8" i="48"/>
  <c r="R24" i="48"/>
  <c r="J26" i="40"/>
  <c r="T26" i="42"/>
  <c r="Q4" i="68"/>
  <c r="Q8" i="48"/>
  <c r="Q13" i="48"/>
  <c r="Q25" i="48"/>
  <c r="P10" i="48"/>
  <c r="P25" i="48"/>
  <c r="P22" i="48"/>
  <c r="P20" i="48"/>
  <c r="P12" i="48"/>
  <c r="O28" i="48"/>
  <c r="O21" i="48"/>
  <c r="O3" i="48"/>
  <c r="O12" i="68"/>
  <c r="T30" i="42"/>
  <c r="J30" i="40"/>
  <c r="T7" i="42"/>
  <c r="J7" i="40"/>
  <c r="L15" i="12"/>
  <c r="K15" i="12"/>
  <c r="L28" i="37"/>
  <c r="K28" i="37"/>
  <c r="L16" i="37"/>
  <c r="K16" i="37"/>
  <c r="L12" i="57"/>
  <c r="K12" i="57"/>
  <c r="T29" i="42"/>
  <c r="J29" i="40"/>
  <c r="T32" i="42"/>
  <c r="J32" i="40"/>
  <c r="N7" i="68"/>
  <c r="N3" i="68"/>
  <c r="N15" i="48"/>
  <c r="N23" i="40"/>
  <c r="FS18" i="13"/>
  <c r="Q13" i="68"/>
  <c r="P4" i="48"/>
  <c r="P26" i="48"/>
  <c r="L14" i="37"/>
  <c r="K14" i="37"/>
  <c r="IE35" i="10"/>
  <c r="IE36" i="10"/>
  <c r="N6" i="48"/>
  <c r="IE37" i="10"/>
  <c r="N7" i="48"/>
  <c r="FV17" i="11"/>
  <c r="N11" i="60"/>
  <c r="FS13" i="14"/>
  <c r="FV18" i="10"/>
  <c r="FV15" i="10"/>
  <c r="FS46" i="13"/>
  <c r="N28" i="40"/>
  <c r="FS17" i="13"/>
  <c r="N31" i="40"/>
  <c r="FS35" i="13"/>
  <c r="T14" i="62"/>
  <c r="J14" i="60"/>
  <c r="R34" i="48"/>
  <c r="R18" i="48"/>
  <c r="R11" i="48"/>
  <c r="R23" i="48"/>
  <c r="Q11" i="68"/>
  <c r="Q5" i="48"/>
  <c r="Q11" i="48"/>
  <c r="Q8" i="68"/>
  <c r="Q4" i="48"/>
  <c r="P27" i="48"/>
  <c r="O7" i="48"/>
  <c r="O23" i="48"/>
  <c r="O27" i="48"/>
  <c r="O18" i="48"/>
  <c r="L35" i="37"/>
  <c r="K35" i="37"/>
  <c r="L26" i="37"/>
  <c r="K26" i="37"/>
  <c r="R4" i="68"/>
  <c r="O9" i="68"/>
  <c r="O8" i="68"/>
  <c r="O9" i="48"/>
  <c r="J19" i="40"/>
  <c r="T19" i="42"/>
  <c r="S31" i="17"/>
  <c r="Q15" i="12"/>
  <c r="R15" i="12" s="1"/>
  <c r="N15" i="12"/>
  <c r="O15" i="12" s="1"/>
  <c r="BI21" i="9"/>
  <c r="FC21" i="9"/>
  <c r="DP21" i="9"/>
  <c r="DO21" i="9"/>
  <c r="DN21" i="9"/>
  <c r="DM21" i="9"/>
  <c r="BJ6" i="9"/>
  <c r="BQ11" i="14"/>
  <c r="N4" i="58" s="1"/>
  <c r="BG9" i="14"/>
  <c r="BR12" i="14"/>
  <c r="O9" i="58" s="1"/>
  <c r="BP16" i="14"/>
  <c r="M12" i="58" s="1"/>
  <c r="BQ17" i="14"/>
  <c r="N13" i="58" s="1"/>
  <c r="BP15" i="14"/>
  <c r="M8" i="58" s="1"/>
  <c r="BG45" i="13"/>
  <c r="BS24" i="13"/>
  <c r="P16" i="38" s="1"/>
  <c r="BR28" i="13"/>
  <c r="O9" i="38" s="1"/>
  <c r="BP28" i="13"/>
  <c r="M9" i="38" s="1"/>
  <c r="BP32" i="13"/>
  <c r="M11" i="38" s="1"/>
  <c r="BS11" i="14"/>
  <c r="P4" i="58" s="1"/>
  <c r="BG29" i="13"/>
  <c r="BR17" i="13"/>
  <c r="O7" i="38" s="1"/>
  <c r="BR16" i="13"/>
  <c r="O27" i="38" s="1"/>
  <c r="BG14" i="13"/>
  <c r="BS6" i="13"/>
  <c r="BG27" i="13"/>
  <c r="BQ6" i="13"/>
  <c r="BJ11" i="11"/>
  <c r="BP45" i="13"/>
  <c r="BP44" i="13"/>
  <c r="BR41" i="13"/>
  <c r="BS13" i="14"/>
  <c r="P11" i="58" s="1"/>
  <c r="BQ13" i="14"/>
  <c r="N11" i="58" s="1"/>
  <c r="BQ9" i="14"/>
  <c r="N6" i="58" s="1"/>
  <c r="BG39" i="13"/>
  <c r="BQ20" i="13"/>
  <c r="N4" i="38" s="1"/>
  <c r="BS23" i="13"/>
  <c r="P8" i="38" s="1"/>
  <c r="BG26" i="13"/>
  <c r="BG30" i="13"/>
  <c r="BR39" i="13"/>
  <c r="O32" i="38" s="1"/>
  <c r="BG21" i="13"/>
  <c r="BP9" i="13"/>
  <c r="M5" i="38" s="1"/>
  <c r="BP8" i="13"/>
  <c r="M15" i="38" s="1"/>
  <c r="BS11" i="13"/>
  <c r="P17" i="38" s="1"/>
  <c r="BP21" i="13"/>
  <c r="M26" i="38" s="1"/>
  <c r="BG17" i="13"/>
  <c r="BR10" i="13"/>
  <c r="O22" i="38" s="1"/>
  <c r="BJ10" i="11"/>
  <c r="BJ38" i="10"/>
  <c r="BJ36" i="10"/>
  <c r="BJ8" i="10"/>
  <c r="BS17" i="14"/>
  <c r="P13" i="58" s="1"/>
  <c r="BG47" i="13"/>
  <c r="BR36" i="13"/>
  <c r="O30" i="38" s="1"/>
  <c r="BR13" i="14"/>
  <c r="O11" i="58" s="1"/>
  <c r="BP13" i="14"/>
  <c r="M11" i="58" s="1"/>
  <c r="BG18" i="14"/>
  <c r="BQ25" i="13"/>
  <c r="N20" i="38" s="1"/>
  <c r="BQ29" i="13"/>
  <c r="N12" i="38" s="1"/>
  <c r="BG31" i="13"/>
  <c r="BP23" i="13"/>
  <c r="M8" i="38" s="1"/>
  <c r="BR31" i="13"/>
  <c r="O10" i="38" s="1"/>
  <c r="BP22" i="13"/>
  <c r="M21" i="38" s="1"/>
  <c r="BS17" i="13"/>
  <c r="P7" i="38" s="1"/>
  <c r="BP26" i="13"/>
  <c r="M34" i="38" s="1"/>
  <c r="BG6" i="13"/>
  <c r="BG7" i="13" s="1"/>
  <c r="BR11" i="13"/>
  <c r="O17" i="38" s="1"/>
  <c r="BG9" i="13"/>
  <c r="BS9" i="13"/>
  <c r="P5" i="38" s="1"/>
  <c r="BP10" i="13"/>
  <c r="M22" i="38" s="1"/>
  <c r="BJ41" i="10"/>
  <c r="BJ19" i="10"/>
  <c r="BJ16" i="10"/>
  <c r="BS14" i="14"/>
  <c r="P7" i="58" s="1"/>
  <c r="BR10" i="14"/>
  <c r="O10" i="58" s="1"/>
  <c r="BQ16" i="14"/>
  <c r="N12" i="58" s="1"/>
  <c r="BQ37" i="13"/>
  <c r="N23" i="38" s="1"/>
  <c r="BS40" i="13"/>
  <c r="BR35" i="13"/>
  <c r="O33" i="38" s="1"/>
  <c r="BP47" i="13"/>
  <c r="BR8" i="14"/>
  <c r="O5" i="58" s="1"/>
  <c r="BP25" i="13"/>
  <c r="M20" i="38" s="1"/>
  <c r="BQ33" i="13"/>
  <c r="N18" i="38" s="1"/>
  <c r="BR32" i="13"/>
  <c r="O11" i="38" s="1"/>
  <c r="BS35" i="13"/>
  <c r="P33" i="38" s="1"/>
  <c r="BG17" i="14"/>
  <c r="BS30" i="13"/>
  <c r="P25" i="38" s="1"/>
  <c r="BR30" i="13"/>
  <c r="O25" i="38" s="1"/>
  <c r="BG33" i="13"/>
  <c r="BS15" i="13"/>
  <c r="P6" i="38" s="1"/>
  <c r="BQ11" i="13"/>
  <c r="N17" i="38" s="1"/>
  <c r="BG13" i="13"/>
  <c r="BR6" i="13"/>
  <c r="BJ13" i="11"/>
  <c r="BJ20" i="11"/>
  <c r="BJ30" i="10"/>
  <c r="BJ10" i="10"/>
  <c r="BQ18" i="14"/>
  <c r="N14" i="58" s="1"/>
  <c r="BP17" i="14"/>
  <c r="M13" i="58" s="1"/>
  <c r="BQ42" i="13"/>
  <c r="BR45" i="13"/>
  <c r="BP46" i="13"/>
  <c r="BR11" i="14"/>
  <c r="O4" i="58" s="1"/>
  <c r="BG23" i="13"/>
  <c r="BP33" i="13"/>
  <c r="M18" i="38" s="1"/>
  <c r="BR38" i="13"/>
  <c r="O31" i="38" s="1"/>
  <c r="BP35" i="13"/>
  <c r="M33" i="38" s="1"/>
  <c r="BG16" i="13"/>
  <c r="BR12" i="13"/>
  <c r="O19" i="38" s="1"/>
  <c r="BP20" i="13"/>
  <c r="M4" i="38" s="1"/>
  <c r="BQ19" i="13"/>
  <c r="N24" i="38" s="1"/>
  <c r="BS18" i="13"/>
  <c r="P28" i="38" s="1"/>
  <c r="BJ39" i="10"/>
  <c r="BJ34" i="10"/>
  <c r="BG6" i="14"/>
  <c r="BG7" i="14" s="1"/>
  <c r="BS12" i="14"/>
  <c r="P9" i="58" s="1"/>
  <c r="BP41" i="13"/>
  <c r="BP40" i="13"/>
  <c r="BG46" i="13"/>
  <c r="BG43" i="13"/>
  <c r="BS32" i="13"/>
  <c r="P11" i="38" s="1"/>
  <c r="BG36" i="13"/>
  <c r="BG34" i="13"/>
  <c r="BR13" i="13"/>
  <c r="O13" i="38" s="1"/>
  <c r="BQ24" i="13"/>
  <c r="N16" i="38" s="1"/>
  <c r="BR15" i="13"/>
  <c r="O6" i="38" s="1"/>
  <c r="BR14" i="13"/>
  <c r="O35" i="38" s="1"/>
  <c r="BQ10" i="13"/>
  <c r="N22" i="38" s="1"/>
  <c r="BJ37" i="10"/>
  <c r="BJ35" i="10"/>
  <c r="BS44" i="13"/>
  <c r="BS16" i="14"/>
  <c r="P12" i="58" s="1"/>
  <c r="BP43" i="13"/>
  <c r="BG14" i="14"/>
  <c r="BS39" i="13"/>
  <c r="P32" i="38" s="1"/>
  <c r="BR43" i="13"/>
  <c r="BP36" i="13"/>
  <c r="M30" i="38" s="1"/>
  <c r="BQ28" i="13"/>
  <c r="N9" i="38" s="1"/>
  <c r="BS31" i="13"/>
  <c r="P10" i="38" s="1"/>
  <c r="BQ31" i="13"/>
  <c r="N10" i="38" s="1"/>
  <c r="BG12" i="13"/>
  <c r="BS20" i="13"/>
  <c r="P4" i="38" s="1"/>
  <c r="BQ21" i="13"/>
  <c r="N26" i="38" s="1"/>
  <c r="BR25" i="13"/>
  <c r="O20" i="38" s="1"/>
  <c r="BG8" i="13"/>
  <c r="BJ16" i="11"/>
  <c r="BJ29" i="10"/>
  <c r="BP18" i="14"/>
  <c r="M14" i="58" s="1"/>
  <c r="BP42" i="13"/>
  <c r="BG10" i="14"/>
  <c r="BR15" i="14"/>
  <c r="O8" i="58" s="1"/>
  <c r="BR42" i="13"/>
  <c r="BP34" i="13"/>
  <c r="M29" i="38" s="1"/>
  <c r="BR23" i="13"/>
  <c r="O8" i="38" s="1"/>
  <c r="BQ27" i="13"/>
  <c r="N14" i="38" s="1"/>
  <c r="BR26" i="13"/>
  <c r="O34" i="38" s="1"/>
  <c r="BQ9" i="13"/>
  <c r="N5" i="38" s="1"/>
  <c r="BG19" i="13"/>
  <c r="BS19" i="13"/>
  <c r="P24" i="38" s="1"/>
  <c r="BG11" i="13"/>
  <c r="BR18" i="13"/>
  <c r="O28" i="38" s="1"/>
  <c r="BJ18" i="11"/>
  <c r="BJ26" i="10"/>
  <c r="BR14" i="14"/>
  <c r="O7" i="58" s="1"/>
  <c r="BR16" i="14"/>
  <c r="O12" i="58" s="1"/>
  <c r="BS41" i="13"/>
  <c r="BS47" i="13"/>
  <c r="BG12" i="14"/>
  <c r="BG44" i="13"/>
  <c r="BS33" i="13"/>
  <c r="P18" i="38" s="1"/>
  <c r="BR18" i="14"/>
  <c r="O14" i="58" s="1"/>
  <c r="BR22" i="13"/>
  <c r="O21" i="38" s="1"/>
  <c r="BQ15" i="14"/>
  <c r="N8" i="58" s="1"/>
  <c r="BQ13" i="13"/>
  <c r="N13" i="38" s="1"/>
  <c r="BQ16" i="13"/>
  <c r="N27" i="38" s="1"/>
  <c r="BG18" i="13"/>
  <c r="BQ14" i="13"/>
  <c r="N35" i="38" s="1"/>
  <c r="BJ8" i="11"/>
  <c r="BJ24" i="10"/>
  <c r="BG13" i="14"/>
  <c r="BG15" i="14"/>
  <c r="BG40" i="13"/>
  <c r="BR46" i="13"/>
  <c r="BS9" i="14"/>
  <c r="P6" i="58" s="1"/>
  <c r="BS36" i="13"/>
  <c r="P30" i="38" s="1"/>
  <c r="BG32" i="13"/>
  <c r="BR37" i="13"/>
  <c r="O23" i="38" s="1"/>
  <c r="BQ6" i="14"/>
  <c r="BP10" i="14"/>
  <c r="M10" i="58" s="1"/>
  <c r="BQ30" i="13"/>
  <c r="N25" i="38" s="1"/>
  <c r="BQ12" i="13"/>
  <c r="N19" i="38" s="1"/>
  <c r="BQ15" i="13"/>
  <c r="N6" i="38" s="1"/>
  <c r="BJ19" i="11"/>
  <c r="BJ31" i="10"/>
  <c r="BJ22" i="10"/>
  <c r="BP11" i="14"/>
  <c r="M4" i="58" s="1"/>
  <c r="BR44" i="13"/>
  <c r="BQ45" i="13"/>
  <c r="BS8" i="14"/>
  <c r="P5" i="58" s="1"/>
  <c r="BR34" i="13"/>
  <c r="O29" i="38" s="1"/>
  <c r="BR24" i="13"/>
  <c r="O16" i="38" s="1"/>
  <c r="BS27" i="13"/>
  <c r="P14" i="38" s="1"/>
  <c r="BQ38" i="13"/>
  <c r="N31" i="38" s="1"/>
  <c r="BQ39" i="13"/>
  <c r="N32" i="38" s="1"/>
  <c r="BS28" i="13"/>
  <c r="P9" i="38" s="1"/>
  <c r="BG24" i="13"/>
  <c r="BP29" i="13"/>
  <c r="M12" i="38" s="1"/>
  <c r="BP19" i="13"/>
  <c r="M24" i="38" s="1"/>
  <c r="BJ17" i="11"/>
  <c r="BJ28" i="10"/>
  <c r="BJ20" i="10"/>
  <c r="BQ14" i="14"/>
  <c r="N7" i="58" s="1"/>
  <c r="BS19" i="14"/>
  <c r="BQ12" i="14"/>
  <c r="N9" i="58" s="1"/>
  <c r="BR40" i="13"/>
  <c r="BR6" i="14"/>
  <c r="BP30" i="13"/>
  <c r="M25" i="38" s="1"/>
  <c r="BG41" i="13"/>
  <c r="BQ23" i="13"/>
  <c r="N8" i="38" s="1"/>
  <c r="BQ35" i="13"/>
  <c r="N33" i="38" s="1"/>
  <c r="BP31" i="13"/>
  <c r="M10" i="38" s="1"/>
  <c r="BQ17" i="13"/>
  <c r="N7" i="38" s="1"/>
  <c r="BS21" i="13"/>
  <c r="P26" i="38" s="1"/>
  <c r="BR19" i="13"/>
  <c r="O24" i="38" s="1"/>
  <c r="BP14" i="13"/>
  <c r="M35" i="38" s="1"/>
  <c r="BJ15" i="11"/>
  <c r="BJ27" i="10"/>
  <c r="BJ18" i="10"/>
  <c r="BR17" i="14"/>
  <c r="O13" i="58" s="1"/>
  <c r="BG8" i="14"/>
  <c r="BG11" i="14"/>
  <c r="BQ10" i="14"/>
  <c r="N10" i="58" s="1"/>
  <c r="BS29" i="13"/>
  <c r="P12" i="38" s="1"/>
  <c r="BG35" i="13"/>
  <c r="BS42" i="13"/>
  <c r="BP27" i="13"/>
  <c r="M14" i="38" s="1"/>
  <c r="BQ26" i="13"/>
  <c r="N34" i="38" s="1"/>
  <c r="BP13" i="13"/>
  <c r="M13" i="38" s="1"/>
  <c r="BR20" i="13"/>
  <c r="O4" i="38" s="1"/>
  <c r="BP15" i="13"/>
  <c r="M6" i="38" s="1"/>
  <c r="BS8" i="13"/>
  <c r="P15" i="38" s="1"/>
  <c r="BJ25" i="10"/>
  <c r="BJ14" i="10"/>
  <c r="BG16" i="14"/>
  <c r="BR19" i="14"/>
  <c r="BS45" i="13"/>
  <c r="BR47" i="13"/>
  <c r="BQ8" i="14"/>
  <c r="N5" i="58" s="1"/>
  <c r="BG28" i="13"/>
  <c r="BR33" i="13"/>
  <c r="O18" i="38" s="1"/>
  <c r="BP37" i="13"/>
  <c r="M23" i="38" s="1"/>
  <c r="BS26" i="13"/>
  <c r="P34" i="38" s="1"/>
  <c r="BG20" i="13"/>
  <c r="BR8" i="13"/>
  <c r="O15" i="38" s="1"/>
  <c r="BP16" i="13"/>
  <c r="M27" i="38" s="1"/>
  <c r="BS14" i="13"/>
  <c r="P35" i="38" s="1"/>
  <c r="BP9" i="14"/>
  <c r="M6" i="58" s="1"/>
  <c r="BJ40" i="10"/>
  <c r="BJ23" i="10"/>
  <c r="BJ33" i="10"/>
  <c r="BP14" i="14"/>
  <c r="M7" i="58" s="1"/>
  <c r="BQ44" i="13"/>
  <c r="BQ46" i="13"/>
  <c r="BP6" i="14"/>
  <c r="BP8" i="14"/>
  <c r="M5" i="58" s="1"/>
  <c r="BP24" i="13"/>
  <c r="M16" i="38" s="1"/>
  <c r="BQ32" i="13"/>
  <c r="N11" i="38" s="1"/>
  <c r="BG25" i="13"/>
  <c r="BQ18" i="13"/>
  <c r="N28" i="38" s="1"/>
  <c r="BP17" i="13"/>
  <c r="M7" i="38" s="1"/>
  <c r="BP12" i="13"/>
  <c r="M19" i="38" s="1"/>
  <c r="BP11" i="13"/>
  <c r="M17" i="38" s="1"/>
  <c r="BQ8" i="13"/>
  <c r="N15" i="38" s="1"/>
  <c r="BJ9" i="11"/>
  <c r="BJ21" i="10"/>
  <c r="BJ32" i="10"/>
  <c r="BS6" i="14"/>
  <c r="BQ19" i="14"/>
  <c r="BQ41" i="13"/>
  <c r="BQ40" i="13"/>
  <c r="BP39" i="13"/>
  <c r="M32" i="38" s="1"/>
  <c r="BQ36" i="13"/>
  <c r="N30" i="38" s="1"/>
  <c r="BG22" i="13"/>
  <c r="BR27" i="13"/>
  <c r="O14" i="38" s="1"/>
  <c r="BQ22" i="13"/>
  <c r="N21" i="38" s="1"/>
  <c r="BS13" i="13"/>
  <c r="P13" i="38" s="1"/>
  <c r="BS16" i="13"/>
  <c r="P27" i="38" s="1"/>
  <c r="BG10" i="13"/>
  <c r="BS10" i="13"/>
  <c r="P22" i="38" s="1"/>
  <c r="BJ42" i="10"/>
  <c r="BJ17" i="10"/>
  <c r="BJ12" i="10"/>
  <c r="BS43" i="13"/>
  <c r="BP19" i="14"/>
  <c r="BP12" i="14"/>
  <c r="M9" i="58" s="1"/>
  <c r="BS15" i="14"/>
  <c r="P8" i="58" s="1"/>
  <c r="BS38" i="13"/>
  <c r="P31" i="38" s="1"/>
  <c r="BQ34" i="13"/>
  <c r="N29" i="38" s="1"/>
  <c r="BS18" i="14"/>
  <c r="P14" i="58" s="1"/>
  <c r="BS22" i="13"/>
  <c r="P21" i="38" s="1"/>
  <c r="BS10" i="14"/>
  <c r="P10" i="58" s="1"/>
  <c r="BR9" i="13"/>
  <c r="O5" i="38" s="1"/>
  <c r="BG15" i="13"/>
  <c r="BG38" i="13"/>
  <c r="BR9" i="14"/>
  <c r="O6" i="58" s="1"/>
  <c r="BS34" i="13"/>
  <c r="P29" i="38" s="1"/>
  <c r="BJ12" i="11"/>
  <c r="BJ15" i="10"/>
  <c r="BJ11" i="10"/>
  <c r="BG19" i="14"/>
  <c r="BQ43" i="13"/>
  <c r="BS46" i="13"/>
  <c r="BQ47" i="13"/>
  <c r="BG37" i="13"/>
  <c r="BR29" i="13"/>
  <c r="O12" i="38" s="1"/>
  <c r="BS37" i="13"/>
  <c r="P23" i="38" s="1"/>
  <c r="BG42" i="13"/>
  <c r="BP38" i="13"/>
  <c r="M31" i="38" s="1"/>
  <c r="BP18" i="13"/>
  <c r="M28" i="38" s="1"/>
  <c r="BS12" i="13"/>
  <c r="P19" i="38" s="1"/>
  <c r="BR21" i="13"/>
  <c r="O26" i="38" s="1"/>
  <c r="BS25" i="13"/>
  <c r="P20" i="38" s="1"/>
  <c r="BP6" i="13"/>
  <c r="BJ14" i="11"/>
  <c r="BJ13" i="10"/>
  <c r="BJ9" i="10"/>
  <c r="K33" i="37"/>
  <c r="L33" i="37"/>
  <c r="N28" i="48"/>
  <c r="N16" i="48"/>
  <c r="N9" i="48"/>
  <c r="N14" i="48"/>
  <c r="N10" i="68"/>
  <c r="IE22" i="10"/>
  <c r="IE9" i="10"/>
  <c r="N5" i="40"/>
  <c r="FS14" i="13"/>
  <c r="N12" i="60"/>
  <c r="FS16" i="14"/>
  <c r="FV32" i="10"/>
  <c r="FV22" i="10"/>
  <c r="FS44" i="13"/>
  <c r="N18" i="40"/>
  <c r="FS24" i="13"/>
  <c r="N32" i="40"/>
  <c r="FS37" i="13"/>
  <c r="J21" i="40"/>
  <c r="T21" i="42"/>
  <c r="T3" i="42"/>
  <c r="J3" i="40"/>
  <c r="R14" i="48"/>
  <c r="R25" i="48"/>
  <c r="R12" i="48"/>
  <c r="R7" i="48"/>
  <c r="R30" i="48"/>
  <c r="Q12" i="68"/>
  <c r="Q27" i="48"/>
  <c r="Q9" i="68"/>
  <c r="Q29" i="48"/>
  <c r="P5" i="68"/>
  <c r="P19" i="48"/>
  <c r="O26" i="48"/>
  <c r="O33" i="48"/>
  <c r="O20" i="48"/>
  <c r="IF6" i="11"/>
  <c r="IF6" i="10"/>
  <c r="IE6" i="9"/>
  <c r="IH7" i="9" s="1"/>
  <c r="L21" i="37"/>
  <c r="K21" i="37"/>
  <c r="L32" i="37"/>
  <c r="K32" i="37"/>
  <c r="L30" i="37"/>
  <c r="K30" i="37"/>
  <c r="K13" i="57"/>
  <c r="L13" i="57"/>
  <c r="N13" i="48"/>
  <c r="N18" i="48"/>
  <c r="N5" i="68"/>
  <c r="N20" i="48"/>
  <c r="N22" i="40"/>
  <c r="FS36" i="13"/>
  <c r="FV10" i="10"/>
  <c r="N7" i="40"/>
  <c r="FS9" i="13"/>
  <c r="FV36" i="10"/>
  <c r="FV17" i="10"/>
  <c r="FS41" i="13"/>
  <c r="N5" i="60"/>
  <c r="FS15" i="14"/>
  <c r="R12" i="68"/>
  <c r="R22" i="48"/>
  <c r="R8" i="68"/>
  <c r="R13" i="68"/>
  <c r="R32" i="48"/>
  <c r="Q5" i="68"/>
  <c r="P6" i="68"/>
  <c r="P23" i="48"/>
  <c r="P13" i="68"/>
  <c r="P7" i="48"/>
  <c r="O32" i="48"/>
  <c r="O6" i="68"/>
  <c r="O34" i="48"/>
  <c r="O10" i="48"/>
  <c r="IG6" i="11"/>
  <c r="IG6" i="10"/>
  <c r="K7" i="57"/>
  <c r="L7" i="57"/>
  <c r="L11" i="57"/>
  <c r="K11" i="57"/>
  <c r="N10" i="48"/>
  <c r="N30" i="48"/>
  <c r="N12" i="68"/>
  <c r="IE11" i="11"/>
  <c r="N4" i="68"/>
  <c r="T10" i="42"/>
  <c r="J10" i="40"/>
  <c r="FS39" i="13"/>
  <c r="FV12" i="10"/>
  <c r="N24" i="40"/>
  <c r="FS15" i="13"/>
  <c r="FV10" i="11"/>
  <c r="FV26" i="10"/>
  <c r="FV21" i="10"/>
  <c r="FV25" i="10"/>
  <c r="R26" i="48"/>
  <c r="R20" i="48"/>
  <c r="R9" i="68"/>
  <c r="T11" i="42"/>
  <c r="J11" i="40"/>
  <c r="Q6" i="68"/>
  <c r="Q14" i="48"/>
  <c r="P8" i="68"/>
  <c r="P11" i="48"/>
  <c r="P14" i="68"/>
  <c r="P17" i="48"/>
  <c r="J18" i="40"/>
  <c r="T18" i="42"/>
  <c r="O17" i="48"/>
  <c r="J11" i="60"/>
  <c r="T11" i="62"/>
  <c r="T9" i="62"/>
  <c r="J9" i="60"/>
  <c r="IH6" i="11"/>
  <c r="IH6" i="10"/>
  <c r="L25" i="37"/>
  <c r="K25" i="37"/>
  <c r="L10" i="37"/>
  <c r="K10" i="37"/>
  <c r="L9" i="57"/>
  <c r="K9" i="57"/>
  <c r="N6" i="68"/>
  <c r="N17" i="40"/>
  <c r="FS21" i="13"/>
  <c r="N26" i="48"/>
  <c r="N32" i="48"/>
  <c r="IE40" i="10"/>
  <c r="N34" i="48"/>
  <c r="N22" i="48"/>
  <c r="IB17" i="14"/>
  <c r="Q13" i="67" s="1"/>
  <c r="IB36" i="13"/>
  <c r="R22" i="47" s="1"/>
  <c r="IB19" i="13"/>
  <c r="P4" i="47" s="1"/>
  <c r="IB34" i="13"/>
  <c r="O34" i="47" s="1"/>
  <c r="KF18" i="11"/>
  <c r="IK8" i="11"/>
  <c r="KF38" i="10"/>
  <c r="IK33" i="10"/>
  <c r="IK25" i="10"/>
  <c r="KF13" i="10"/>
  <c r="KF9" i="10"/>
  <c r="IB13" i="14"/>
  <c r="Q11" i="67" s="1"/>
  <c r="IB40" i="13"/>
  <c r="IB28" i="13"/>
  <c r="R13" i="47" s="1"/>
  <c r="IB31" i="13"/>
  <c r="O10" i="47" s="1"/>
  <c r="KF16" i="11"/>
  <c r="KF13" i="11"/>
  <c r="KF36" i="10"/>
  <c r="KF26" i="10"/>
  <c r="IK23" i="10"/>
  <c r="KF11" i="10"/>
  <c r="IK9" i="10"/>
  <c r="IB16" i="14"/>
  <c r="R12" i="67" s="1"/>
  <c r="IB23" i="13"/>
  <c r="O15" i="47" s="1"/>
  <c r="IB16" i="13"/>
  <c r="Q8" i="47" s="1"/>
  <c r="KF14" i="11"/>
  <c r="KF15" i="11"/>
  <c r="KF34" i="10"/>
  <c r="KF24" i="10"/>
  <c r="IK21" i="10"/>
  <c r="IK31" i="10"/>
  <c r="IK12" i="10"/>
  <c r="IB46" i="13"/>
  <c r="IB44" i="13"/>
  <c r="IB32" i="13"/>
  <c r="P16" i="47" s="1"/>
  <c r="IB12" i="13"/>
  <c r="N19" i="47" s="1"/>
  <c r="KF12" i="11"/>
  <c r="IK9" i="11"/>
  <c r="KF32" i="10"/>
  <c r="KF22" i="10"/>
  <c r="IK19" i="10"/>
  <c r="KF37" i="10"/>
  <c r="KF10" i="10"/>
  <c r="IB47" i="13"/>
  <c r="IB21" i="13"/>
  <c r="P17" i="47" s="1"/>
  <c r="IB27" i="13"/>
  <c r="P11" i="47" s="1"/>
  <c r="IB35" i="13"/>
  <c r="R31" i="47" s="1"/>
  <c r="KF10" i="11"/>
  <c r="IK40" i="10"/>
  <c r="KF30" i="10"/>
  <c r="KF20" i="10"/>
  <c r="IK17" i="10"/>
  <c r="KF29" i="10"/>
  <c r="IK11" i="10"/>
  <c r="IB12" i="14"/>
  <c r="P8" i="67" s="1"/>
  <c r="IB45" i="13"/>
  <c r="IB20" i="13"/>
  <c r="Q25" i="47" s="1"/>
  <c r="IB22" i="13"/>
  <c r="Q9" i="47" s="1"/>
  <c r="KF8" i="11"/>
  <c r="IK38" i="10"/>
  <c r="KF28" i="10"/>
  <c r="KF18" i="10"/>
  <c r="IK15" i="10"/>
  <c r="IK27" i="10"/>
  <c r="IK10" i="10"/>
  <c r="IK16" i="10"/>
  <c r="IB42" i="13"/>
  <c r="IB38" i="13"/>
  <c r="Q30" i="47" s="1"/>
  <c r="IB14" i="13"/>
  <c r="Q5" i="47" s="1"/>
  <c r="IB15" i="13"/>
  <c r="R24" i="47" s="1"/>
  <c r="KF20" i="11"/>
  <c r="IK36" i="10"/>
  <c r="KF19" i="11"/>
  <c r="KF16" i="10"/>
  <c r="IK13" i="10"/>
  <c r="IK26" i="10"/>
  <c r="IK8" i="10"/>
  <c r="IB10" i="14"/>
  <c r="R10" i="67" s="1"/>
  <c r="IB30" i="13"/>
  <c r="P6" i="47" s="1"/>
  <c r="IB10" i="13"/>
  <c r="Q27" i="47" s="1"/>
  <c r="IB11" i="13"/>
  <c r="R20" i="47" s="1"/>
  <c r="IB6" i="13"/>
  <c r="IG7" i="13" s="1"/>
  <c r="IK34" i="10"/>
  <c r="KF11" i="11"/>
  <c r="KF14" i="10"/>
  <c r="KF35" i="10"/>
  <c r="IK24" i="10"/>
  <c r="KF19" i="10"/>
  <c r="IB9" i="14"/>
  <c r="O6" i="67" s="1"/>
  <c r="IB43" i="13"/>
  <c r="IB18" i="13"/>
  <c r="Q23" i="47" s="1"/>
  <c r="IK20" i="11"/>
  <c r="IK19" i="11"/>
  <c r="IK32" i="10"/>
  <c r="KF9" i="11"/>
  <c r="KF12" i="10"/>
  <c r="KF25" i="10"/>
  <c r="IK22" i="10"/>
  <c r="IB8" i="14"/>
  <c r="N7" i="67" s="1"/>
  <c r="IB25" i="13"/>
  <c r="O33" i="47" s="1"/>
  <c r="IB26" i="13"/>
  <c r="R14" i="47" s="1"/>
  <c r="IK18" i="11"/>
  <c r="IK17" i="11"/>
  <c r="IK30" i="10"/>
  <c r="KF42" i="10"/>
  <c r="KF39" i="10"/>
  <c r="KF23" i="10"/>
  <c r="IK20" i="10"/>
  <c r="IB37" i="13"/>
  <c r="Q32" i="47" s="1"/>
  <c r="IB39" i="13"/>
  <c r="IB9" i="13"/>
  <c r="O7" i="47" s="1"/>
  <c r="IK16" i="11"/>
  <c r="IK15" i="11"/>
  <c r="IK28" i="10"/>
  <c r="IK41" i="10"/>
  <c r="KF31" i="10"/>
  <c r="KF21" i="10"/>
  <c r="IK18" i="10"/>
  <c r="IB18" i="14"/>
  <c r="IB15" i="14"/>
  <c r="Q5" i="67" s="1"/>
  <c r="IB29" i="13"/>
  <c r="P26" i="47" s="1"/>
  <c r="IB13" i="13"/>
  <c r="P12" i="47" s="1"/>
  <c r="IK14" i="11"/>
  <c r="IK13" i="11"/>
  <c r="KF17" i="11"/>
  <c r="IK39" i="10"/>
  <c r="IK29" i="10"/>
  <c r="IB11" i="14"/>
  <c r="P4" i="67" s="1"/>
  <c r="IB6" i="14"/>
  <c r="ID7" i="14" s="1"/>
  <c r="IB24" i="13"/>
  <c r="R18" i="47" s="1"/>
  <c r="IB17" i="13"/>
  <c r="P28" i="47" s="1"/>
  <c r="IK12" i="11"/>
  <c r="IK11" i="11"/>
  <c r="IK42" i="10"/>
  <c r="IK37" i="10"/>
  <c r="KF33" i="10"/>
  <c r="KF17" i="10"/>
  <c r="IK14" i="10"/>
  <c r="IB14" i="14"/>
  <c r="O9" i="67" s="1"/>
  <c r="IB41" i="13"/>
  <c r="IB33" i="13"/>
  <c r="R29" i="47" s="1"/>
  <c r="IB8" i="13"/>
  <c r="Q21" i="47" s="1"/>
  <c r="IK10" i="11"/>
  <c r="KF41" i="10"/>
  <c r="KF40" i="10"/>
  <c r="IK35" i="10"/>
  <c r="KF27" i="10"/>
  <c r="KF15" i="10"/>
  <c r="KF8" i="10"/>
  <c r="IB19" i="14"/>
  <c r="N4" i="40"/>
  <c r="FS19" i="13"/>
  <c r="FV9" i="10"/>
  <c r="N11" i="40"/>
  <c r="FS27" i="13"/>
  <c r="N33" i="40"/>
  <c r="FS25" i="13"/>
  <c r="FV40" i="10"/>
  <c r="FV31" i="10"/>
  <c r="FV35" i="10"/>
  <c r="R16" i="48"/>
  <c r="R9" i="48"/>
  <c r="C56" i="35"/>
  <c r="C52" i="34"/>
  <c r="C56" i="36"/>
  <c r="C42" i="32"/>
  <c r="C58" i="30"/>
  <c r="C52" i="33"/>
  <c r="C42" i="31"/>
  <c r="C65" i="29"/>
  <c r="C55" i="28"/>
  <c r="D52" i="26"/>
  <c r="C55" i="27"/>
  <c r="D44" i="25"/>
  <c r="D40" i="24"/>
  <c r="D52" i="20"/>
  <c r="D52" i="22"/>
  <c r="C52" i="17"/>
  <c r="D54" i="23"/>
  <c r="C80" i="12"/>
  <c r="A31" i="9"/>
  <c r="Q31" i="48"/>
  <c r="T6" i="42"/>
  <c r="J6" i="40"/>
  <c r="P24" i="48"/>
  <c r="P15" i="48"/>
  <c r="O4" i="48"/>
  <c r="J5" i="60"/>
  <c r="T5" i="62"/>
  <c r="T7" i="62"/>
  <c r="J7" i="60"/>
  <c r="J3" i="60"/>
  <c r="T3" i="62"/>
  <c r="L15" i="37"/>
  <c r="K15" i="37"/>
  <c r="L29" i="37"/>
  <c r="K29" i="37"/>
  <c r="L18" i="37"/>
  <c r="K18" i="37"/>
  <c r="T6" i="62"/>
  <c r="J6" i="60"/>
  <c r="IE20" i="11"/>
  <c r="IE10" i="10"/>
  <c r="IE12" i="10"/>
  <c r="N23" i="48"/>
  <c r="IE39" i="10"/>
  <c r="IE19" i="10"/>
  <c r="FS19" i="14"/>
  <c r="FV16" i="10"/>
  <c r="N6" i="60"/>
  <c r="FS9" i="14"/>
  <c r="N15" i="40"/>
  <c r="FS23" i="13"/>
  <c r="FV14" i="11"/>
  <c r="FV9" i="11"/>
  <c r="FV13" i="11"/>
  <c r="R14" i="68"/>
  <c r="R27" i="48"/>
  <c r="R17" i="48"/>
  <c r="Q24" i="48"/>
  <c r="Q7" i="48"/>
  <c r="Q23" i="48"/>
  <c r="P5" i="48"/>
  <c r="P32" i="48"/>
  <c r="P7" i="68"/>
  <c r="P3" i="68"/>
  <c r="P16" i="48"/>
  <c r="O19" i="48"/>
  <c r="T23" i="42"/>
  <c r="J23" i="40"/>
  <c r="II6" i="11"/>
  <c r="II6" i="10"/>
  <c r="L12" i="37"/>
  <c r="K12" i="37"/>
  <c r="L20" i="37"/>
  <c r="K20" i="37"/>
  <c r="L8" i="57"/>
  <c r="K8" i="57"/>
  <c r="T24" i="42"/>
  <c r="J24" i="40"/>
  <c r="FV12" i="11"/>
  <c r="N9" i="68"/>
  <c r="N31" i="48"/>
  <c r="N10" i="27"/>
  <c r="FV39" i="10"/>
  <c r="FV30" i="10"/>
  <c r="FS43" i="13"/>
  <c r="FS47" i="13"/>
  <c r="N8" i="40"/>
  <c r="FS16" i="13"/>
  <c r="FV18" i="11"/>
  <c r="N13" i="40"/>
  <c r="FS28" i="13"/>
  <c r="R5" i="68"/>
  <c r="Q9" i="48"/>
  <c r="Q19" i="48"/>
  <c r="Q28" i="48"/>
  <c r="Q12" i="48"/>
  <c r="P18" i="48"/>
  <c r="P4" i="68"/>
  <c r="P14" i="48"/>
  <c r="P13" i="48"/>
  <c r="J15" i="40"/>
  <c r="T15" i="42"/>
  <c r="J12" i="40"/>
  <c r="T12" i="42"/>
  <c r="O5" i="68"/>
  <c r="O11" i="48"/>
  <c r="EY6" i="11"/>
  <c r="EY6" i="10"/>
  <c r="L27" i="37"/>
  <c r="K27" i="37"/>
  <c r="L22" i="37"/>
  <c r="K22" i="37"/>
  <c r="K5" i="37"/>
  <c r="L5" i="37"/>
  <c r="L4" i="57"/>
  <c r="K4" i="57"/>
  <c r="N33" i="48"/>
  <c r="IE15" i="11"/>
  <c r="IE42" i="10"/>
  <c r="FV41" i="10"/>
  <c r="N21" i="40"/>
  <c r="FS8" i="13"/>
  <c r="N3" i="40"/>
  <c r="FV13" i="10"/>
  <c r="N13" i="60"/>
  <c r="FS17" i="14"/>
  <c r="N29" i="40"/>
  <c r="FS33" i="13"/>
  <c r="N12" i="40"/>
  <c r="FS13" i="13"/>
  <c r="N8" i="60"/>
  <c r="FS12" i="14"/>
  <c r="T22" i="42"/>
  <c r="J22" i="40"/>
  <c r="J17" i="40"/>
  <c r="T17" i="42"/>
  <c r="R5" i="48"/>
  <c r="R33" i="48"/>
  <c r="R10" i="68"/>
  <c r="J34" i="40"/>
  <c r="T34" i="42"/>
  <c r="Q16" i="48"/>
  <c r="Q15" i="48"/>
  <c r="Q32" i="48"/>
  <c r="Q17" i="48"/>
  <c r="P34" i="48"/>
  <c r="P29" i="48"/>
  <c r="O6" i="48"/>
  <c r="O5" i="48"/>
  <c r="O14" i="68"/>
  <c r="J13" i="40"/>
  <c r="T13" i="42"/>
  <c r="IJ6" i="11"/>
  <c r="IJ6" i="10"/>
  <c r="T15" i="12"/>
  <c r="U15" i="12" s="1"/>
  <c r="FF21" i="9"/>
  <c r="DW21" i="9"/>
  <c r="DX21" i="9"/>
  <c r="DY21" i="9"/>
  <c r="BW19" i="14"/>
  <c r="BW35" i="13"/>
  <c r="BY17" i="14"/>
  <c r="BX38" i="13"/>
  <c r="BH43" i="13"/>
  <c r="BW23" i="13"/>
  <c r="BW31" i="13"/>
  <c r="BY34" i="13"/>
  <c r="BY33" i="13"/>
  <c r="BH16" i="13"/>
  <c r="BW20" i="13"/>
  <c r="BY21" i="13"/>
  <c r="BY9" i="13"/>
  <c r="BH15" i="14"/>
  <c r="BW8" i="13"/>
  <c r="BX12" i="13"/>
  <c r="BK41" i="10"/>
  <c r="BK29" i="10"/>
  <c r="BK9" i="10"/>
  <c r="BY16" i="14"/>
  <c r="BH19" i="14"/>
  <c r="BH35" i="13"/>
  <c r="BW15" i="14"/>
  <c r="BY11" i="14"/>
  <c r="BW42" i="13"/>
  <c r="BH23" i="13"/>
  <c r="BH31" i="13"/>
  <c r="BW30" i="13"/>
  <c r="BW29" i="13"/>
  <c r="BW12" i="13"/>
  <c r="BX15" i="13"/>
  <c r="BW19" i="13"/>
  <c r="BY32" i="13"/>
  <c r="BY41" i="13"/>
  <c r="BY6" i="13"/>
  <c r="BK19" i="11"/>
  <c r="BK39" i="10"/>
  <c r="BK26" i="10"/>
  <c r="BW13" i="14"/>
  <c r="BX15" i="14"/>
  <c r="BY8" i="14"/>
  <c r="BH14" i="14"/>
  <c r="BW10" i="14"/>
  <c r="BH42" i="13"/>
  <c r="BX37" i="13"/>
  <c r="BX26" i="13"/>
  <c r="BH30" i="13"/>
  <c r="BH29" i="13"/>
  <c r="BH12" i="13"/>
  <c r="BX11" i="13"/>
  <c r="BH19" i="13"/>
  <c r="BX31" i="13"/>
  <c r="BY23" i="13"/>
  <c r="BX6" i="13"/>
  <c r="BK17" i="11"/>
  <c r="BK8" i="11"/>
  <c r="BK24" i="10"/>
  <c r="BH13" i="14"/>
  <c r="BY18" i="14"/>
  <c r="BH8" i="14"/>
  <c r="BX13" i="14"/>
  <c r="BY42" i="13"/>
  <c r="BH17" i="14"/>
  <c r="BW32" i="13"/>
  <c r="BX35" i="13"/>
  <c r="BX25" i="13"/>
  <c r="BX24" i="13"/>
  <c r="BW14" i="14"/>
  <c r="BY26" i="13"/>
  <c r="BX14" i="13"/>
  <c r="BH22" i="13"/>
  <c r="BX17" i="13"/>
  <c r="BK20" i="11"/>
  <c r="BK15" i="11"/>
  <c r="BK10" i="11"/>
  <c r="BK22" i="10"/>
  <c r="BY9" i="14"/>
  <c r="BX18" i="14"/>
  <c r="BW47" i="13"/>
  <c r="BY10" i="14"/>
  <c r="BW38" i="13"/>
  <c r="BY44" i="13"/>
  <c r="BH32" i="13"/>
  <c r="BY30" i="13"/>
  <c r="BX34" i="13"/>
  <c r="BW12" i="14"/>
  <c r="BW44" i="13"/>
  <c r="BW22" i="13"/>
  <c r="BX10" i="13"/>
  <c r="BW18" i="13"/>
  <c r="BW13" i="13"/>
  <c r="BK18" i="11"/>
  <c r="BK13" i="11"/>
  <c r="BK31" i="10"/>
  <c r="BK20" i="10"/>
  <c r="BX47" i="13"/>
  <c r="BW18" i="14"/>
  <c r="BX39" i="13"/>
  <c r="BH10" i="14"/>
  <c r="BH38" i="13"/>
  <c r="BH44" i="13"/>
  <c r="BX27" i="13"/>
  <c r="BW26" i="13"/>
  <c r="BY29" i="13"/>
  <c r="BX45" i="13"/>
  <c r="BX28" i="13"/>
  <c r="BY19" i="13"/>
  <c r="BW6" i="13"/>
  <c r="BH18" i="13"/>
  <c r="BH13" i="13"/>
  <c r="BK16" i="11"/>
  <c r="BK11" i="11"/>
  <c r="BK37" i="10"/>
  <c r="BK18" i="10"/>
  <c r="BX16" i="14"/>
  <c r="BH18" i="14"/>
  <c r="BY15" i="14"/>
  <c r="BX9" i="14"/>
  <c r="BY14" i="14"/>
  <c r="BX41" i="13"/>
  <c r="BY22" i="13"/>
  <c r="BH26" i="13"/>
  <c r="BW25" i="13"/>
  <c r="BX44" i="13"/>
  <c r="BX20" i="13"/>
  <c r="BW15" i="13"/>
  <c r="BH6" i="13"/>
  <c r="BH7" i="13" s="1"/>
  <c r="BY13" i="13"/>
  <c r="BY8" i="13"/>
  <c r="BK14" i="11"/>
  <c r="BK40" i="10"/>
  <c r="BK27" i="10"/>
  <c r="BK16" i="10"/>
  <c r="BY19" i="14"/>
  <c r="BX17" i="14"/>
  <c r="BY13" i="14"/>
  <c r="BW8" i="14"/>
  <c r="BH12" i="14"/>
  <c r="BY36" i="13"/>
  <c r="BH41" i="13"/>
  <c r="BX21" i="13"/>
  <c r="BH25" i="13"/>
  <c r="BW36" i="13"/>
  <c r="BY15" i="13"/>
  <c r="BH15" i="13"/>
  <c r="BY18" i="13"/>
  <c r="BX9" i="13"/>
  <c r="BW41" i="13"/>
  <c r="BK12" i="11"/>
  <c r="BK38" i="10"/>
  <c r="BK25" i="10"/>
  <c r="BK14" i="10"/>
  <c r="BW16" i="14"/>
  <c r="BH47" i="13"/>
  <c r="BH9" i="14"/>
  <c r="BX6" i="14"/>
  <c r="BX11" i="14"/>
  <c r="BY46" i="13"/>
  <c r="BW37" i="13"/>
  <c r="BX30" i="13"/>
  <c r="BW34" i="13"/>
  <c r="BX33" i="13"/>
  <c r="BY11" i="13"/>
  <c r="BW11" i="13"/>
  <c r="BW14" i="13"/>
  <c r="BH45" i="13"/>
  <c r="BX23" i="13"/>
  <c r="BY16" i="13"/>
  <c r="BK36" i="10"/>
  <c r="BK23" i="10"/>
  <c r="BK12" i="10"/>
  <c r="BH16" i="14"/>
  <c r="BW46" i="13"/>
  <c r="BX8" i="14"/>
  <c r="BW17" i="14"/>
  <c r="BY43" i="13"/>
  <c r="BW45" i="13"/>
  <c r="BY31" i="13"/>
  <c r="BY25" i="13"/>
  <c r="BH34" i="13"/>
  <c r="BY28" i="13"/>
  <c r="BH46" i="13"/>
  <c r="BH11" i="13"/>
  <c r="BH14" i="13"/>
  <c r="BW43" i="13"/>
  <c r="BW17" i="13"/>
  <c r="BX16" i="13"/>
  <c r="BK34" i="10"/>
  <c r="BK21" i="10"/>
  <c r="BK33" i="10"/>
  <c r="BY12" i="14"/>
  <c r="BW40" i="13"/>
  <c r="BY6" i="14"/>
  <c r="BH11" i="14"/>
  <c r="BX42" i="13"/>
  <c r="BX40" i="13"/>
  <c r="BW27" i="13"/>
  <c r="BW21" i="13"/>
  <c r="BX29" i="13"/>
  <c r="BW24" i="13"/>
  <c r="BH37" i="13"/>
  <c r="BH33" i="13"/>
  <c r="BW10" i="13"/>
  <c r="BY17" i="13"/>
  <c r="BH17" i="13"/>
  <c r="BY10" i="13"/>
  <c r="BK32" i="10"/>
  <c r="BK19" i="10"/>
  <c r="BK10" i="10"/>
  <c r="BX19" i="14"/>
  <c r="BH40" i="13"/>
  <c r="BH6" i="14"/>
  <c r="BH7" i="14" s="1"/>
  <c r="BX10" i="14"/>
  <c r="BX14" i="14"/>
  <c r="BY37" i="13"/>
  <c r="BH27" i="13"/>
  <c r="BH21" i="13"/>
  <c r="BY24" i="13"/>
  <c r="BH24" i="13"/>
  <c r="BW33" i="13"/>
  <c r="BX19" i="13"/>
  <c r="BH10" i="13"/>
  <c r="BX13" i="13"/>
  <c r="BX8" i="13"/>
  <c r="BK42" i="10"/>
  <c r="BK30" i="10"/>
  <c r="BK17" i="10"/>
  <c r="BK11" i="10"/>
  <c r="BX12" i="14"/>
  <c r="BY47" i="13"/>
  <c r="BW39" i="13"/>
  <c r="BW9" i="14"/>
  <c r="BW11" i="14"/>
  <c r="BX32" i="13"/>
  <c r="BY38" i="13"/>
  <c r="BY40" i="13"/>
  <c r="BY45" i="13"/>
  <c r="BY20" i="13"/>
  <c r="BW28" i="13"/>
  <c r="BY14" i="13"/>
  <c r="BW9" i="13"/>
  <c r="BY12" i="13"/>
  <c r="BK28" i="10"/>
  <c r="BK15" i="10"/>
  <c r="BK13" i="10"/>
  <c r="BW6" i="14"/>
  <c r="BH8" i="13"/>
  <c r="BX43" i="13"/>
  <c r="BK9" i="11"/>
  <c r="BY27" i="13"/>
  <c r="BK35" i="10"/>
  <c r="BY35" i="13"/>
  <c r="BK8" i="10"/>
  <c r="BH36" i="13"/>
  <c r="BK6" i="9"/>
  <c r="BX36" i="13"/>
  <c r="BW16" i="13"/>
  <c r="BX22" i="13"/>
  <c r="BH28" i="13"/>
  <c r="BX18" i="13"/>
  <c r="BX46" i="13"/>
  <c r="BH9" i="13"/>
  <c r="BY39" i="13"/>
  <c r="BH39" i="13"/>
  <c r="BH20" i="13"/>
  <c r="I13" i="37"/>
  <c r="I3" i="37"/>
  <c r="L8" i="37"/>
  <c r="K8" i="37"/>
  <c r="K19" i="37"/>
  <c r="L19" i="37"/>
  <c r="K31" i="37"/>
  <c r="L31" i="37"/>
  <c r="J8" i="40"/>
  <c r="T8" i="42"/>
  <c r="IE10" i="11"/>
  <c r="N8" i="68"/>
  <c r="N4" i="48"/>
  <c r="N25" i="48"/>
  <c r="FV8" i="10"/>
  <c r="N14" i="40"/>
  <c r="FS26" i="13"/>
  <c r="N20" i="40"/>
  <c r="FS11" i="13"/>
  <c r="FV20" i="10"/>
  <c r="FV27" i="10"/>
  <c r="N4" i="60"/>
  <c r="FS11" i="14"/>
  <c r="N34" i="40"/>
  <c r="FS34" i="13"/>
  <c r="N26" i="40"/>
  <c r="FS29" i="13"/>
  <c r="R28" i="48"/>
  <c r="R21" i="48"/>
  <c r="R3" i="48"/>
  <c r="R11" i="68"/>
  <c r="R6" i="48"/>
  <c r="Q20" i="48"/>
  <c r="Q10" i="68"/>
  <c r="Q6" i="48"/>
  <c r="P9" i="68"/>
  <c r="P8" i="48"/>
  <c r="P10" i="27"/>
  <c r="O12" i="48"/>
  <c r="O25" i="48"/>
  <c r="O14" i="48"/>
  <c r="O30" i="48"/>
  <c r="O10" i="68"/>
  <c r="T13" i="62"/>
  <c r="J13" i="60"/>
  <c r="W15" i="12"/>
  <c r="X15" i="12" s="1"/>
  <c r="EJ21" i="9"/>
  <c r="EI21" i="9"/>
  <c r="EH21" i="9"/>
  <c r="EG21" i="9"/>
  <c r="FI21" i="9"/>
  <c r="CF17" i="14"/>
  <c r="CG19" i="14"/>
  <c r="CE43" i="13"/>
  <c r="CE41" i="13"/>
  <c r="CE40" i="13"/>
  <c r="CE46" i="13"/>
  <c r="CF42" i="13"/>
  <c r="CE20" i="13"/>
  <c r="BI26" i="13"/>
  <c r="BI30" i="13"/>
  <c r="BI34" i="13"/>
  <c r="CE31" i="13"/>
  <c r="BI23" i="13"/>
  <c r="BI15" i="13"/>
  <c r="CE8" i="14"/>
  <c r="CG11" i="13"/>
  <c r="CG34" i="13"/>
  <c r="CD19" i="13"/>
  <c r="BI16" i="13"/>
  <c r="CG9" i="13"/>
  <c r="BL33" i="10"/>
  <c r="BL9" i="10"/>
  <c r="CE18" i="14"/>
  <c r="CD14" i="14"/>
  <c r="CE16" i="14"/>
  <c r="CD42" i="13"/>
  <c r="CF36" i="13"/>
  <c r="CF35" i="13"/>
  <c r="CG13" i="14"/>
  <c r="BI40" i="13"/>
  <c r="CF13" i="14"/>
  <c r="CD24" i="13"/>
  <c r="CD28" i="13"/>
  <c r="CD32" i="13"/>
  <c r="CF26" i="13"/>
  <c r="CF21" i="13"/>
  <c r="CE13" i="13"/>
  <c r="CF16" i="13"/>
  <c r="CE35" i="13"/>
  <c r="CF20" i="13"/>
  <c r="CD14" i="13"/>
  <c r="BL40" i="10"/>
  <c r="BL8" i="11"/>
  <c r="BL28" i="10"/>
  <c r="CG14" i="14"/>
  <c r="BI12" i="14"/>
  <c r="CF19" i="14"/>
  <c r="CG41" i="13"/>
  <c r="BI11" i="14"/>
  <c r="CG18" i="14"/>
  <c r="CG9" i="14"/>
  <c r="CF38" i="13"/>
  <c r="CD38" i="13"/>
  <c r="CG23" i="13"/>
  <c r="CG27" i="13"/>
  <c r="CG31" i="13"/>
  <c r="BI24" i="13"/>
  <c r="CE18" i="13"/>
  <c r="BI11" i="13"/>
  <c r="BI14" i="13"/>
  <c r="CG25" i="13"/>
  <c r="CF19" i="13"/>
  <c r="BL20" i="11"/>
  <c r="BL19" i="11"/>
  <c r="BL38" i="10"/>
  <c r="BL10" i="11"/>
  <c r="BL29" i="10"/>
  <c r="CE11" i="14"/>
  <c r="CF10" i="14"/>
  <c r="CE19" i="14"/>
  <c r="CE37" i="13"/>
  <c r="CF44" i="13"/>
  <c r="CE12" i="14"/>
  <c r="CG8" i="14"/>
  <c r="CF34" i="13"/>
  <c r="BI35" i="13"/>
  <c r="CF39" i="13"/>
  <c r="CE23" i="13"/>
  <c r="CE27" i="13"/>
  <c r="CD22" i="13"/>
  <c r="CG13" i="13"/>
  <c r="CD9" i="13"/>
  <c r="CF12" i="13"/>
  <c r="CF15" i="13"/>
  <c r="BI17" i="13"/>
  <c r="BL18" i="11"/>
  <c r="BL17" i="11"/>
  <c r="BL36" i="10"/>
  <c r="BL11" i="11"/>
  <c r="BL26" i="10"/>
  <c r="BI47" i="13"/>
  <c r="CG6" i="14"/>
  <c r="CD19" i="14"/>
  <c r="CE17" i="14"/>
  <c r="CD41" i="13"/>
  <c r="CG47" i="13"/>
  <c r="CF6" i="14"/>
  <c r="BI32" i="13"/>
  <c r="CD34" i="13"/>
  <c r="CE36" i="13"/>
  <c r="CE6" i="14"/>
  <c r="CF22" i="13"/>
  <c r="CE9" i="14"/>
  <c r="CF9" i="13"/>
  <c r="CE24" i="13"/>
  <c r="BI10" i="13"/>
  <c r="CF11" i="13"/>
  <c r="CD15" i="13"/>
  <c r="BL16" i="11"/>
  <c r="BL15" i="11"/>
  <c r="BL34" i="10"/>
  <c r="BL31" i="10"/>
  <c r="BL24" i="10"/>
  <c r="CD45" i="13"/>
  <c r="BI46" i="13"/>
  <c r="BI17" i="14"/>
  <c r="CD15" i="14"/>
  <c r="CG40" i="13"/>
  <c r="CF46" i="13"/>
  <c r="CD47" i="13"/>
  <c r="CD30" i="13"/>
  <c r="CG33" i="13"/>
  <c r="CD33" i="13"/>
  <c r="CE47" i="13"/>
  <c r="CE10" i="14"/>
  <c r="CD37" i="13"/>
  <c r="CD26" i="13"/>
  <c r="CE17" i="13"/>
  <c r="CD8" i="13"/>
  <c r="BI9" i="13"/>
  <c r="CG14" i="13"/>
  <c r="BL14" i="11"/>
  <c r="BL13" i="11"/>
  <c r="BL32" i="10"/>
  <c r="BL27" i="10"/>
  <c r="BL22" i="10"/>
  <c r="CG44" i="13"/>
  <c r="CD44" i="13"/>
  <c r="CD16" i="14"/>
  <c r="CF11" i="14"/>
  <c r="CG12" i="14"/>
  <c r="CE45" i="13"/>
  <c r="BI45" i="13"/>
  <c r="CG29" i="13"/>
  <c r="CE29" i="13"/>
  <c r="CG32" i="13"/>
  <c r="CE32" i="13"/>
  <c r="CG37" i="13"/>
  <c r="BI37" i="13"/>
  <c r="CE21" i="13"/>
  <c r="CD13" i="13"/>
  <c r="CE16" i="13"/>
  <c r="CD35" i="13"/>
  <c r="CD11" i="13"/>
  <c r="CG21" i="13"/>
  <c r="CF6" i="13"/>
  <c r="BL30" i="10"/>
  <c r="BL25" i="10"/>
  <c r="BL20" i="10"/>
  <c r="CD18" i="14"/>
  <c r="CG43" i="13"/>
  <c r="CF15" i="14"/>
  <c r="BI9" i="14"/>
  <c r="CG45" i="13"/>
  <c r="BI43" i="13"/>
  <c r="BI41" i="13"/>
  <c r="CE25" i="13"/>
  <c r="CF24" i="13"/>
  <c r="CE28" i="13"/>
  <c r="CF27" i="13"/>
  <c r="CF31" i="13"/>
  <c r="CG35" i="13"/>
  <c r="CD18" i="13"/>
  <c r="CF8" i="13"/>
  <c r="CE12" i="13"/>
  <c r="CF25" i="13"/>
  <c r="CG10" i="13"/>
  <c r="CF10" i="13"/>
  <c r="CE6" i="13"/>
  <c r="BL9" i="11"/>
  <c r="BL23" i="10"/>
  <c r="BL18" i="10"/>
  <c r="BI16" i="14"/>
  <c r="CD17" i="14"/>
  <c r="BI13" i="14"/>
  <c r="BI6" i="14"/>
  <c r="BI7" i="14" s="1"/>
  <c r="CE44" i="13"/>
  <c r="BI42" i="13"/>
  <c r="CD39" i="13"/>
  <c r="CE38" i="13"/>
  <c r="CE13" i="14"/>
  <c r="CF23" i="13"/>
  <c r="BI25" i="13"/>
  <c r="BI29" i="13"/>
  <c r="BI33" i="13"/>
  <c r="CG17" i="13"/>
  <c r="CF8" i="14"/>
  <c r="CD29" i="13"/>
  <c r="CG20" i="13"/>
  <c r="BI31" i="13"/>
  <c r="CE10" i="13"/>
  <c r="BI12" i="13"/>
  <c r="BL42" i="10"/>
  <c r="BL21" i="10"/>
  <c r="BL16" i="10"/>
  <c r="CF14" i="14"/>
  <c r="BI15" i="14"/>
  <c r="CF43" i="13"/>
  <c r="CD43" i="13"/>
  <c r="CF40" i="13"/>
  <c r="CD40" i="13"/>
  <c r="CG38" i="13"/>
  <c r="CE34" i="13"/>
  <c r="CF33" i="13"/>
  <c r="BI21" i="13"/>
  <c r="CD23" i="13"/>
  <c r="CD27" i="13"/>
  <c r="CD31" i="13"/>
  <c r="CF13" i="13"/>
  <c r="BI28" i="13"/>
  <c r="BI22" i="13"/>
  <c r="CG19" i="13"/>
  <c r="CD20" i="13"/>
  <c r="CD10" i="13"/>
  <c r="CG8" i="13"/>
  <c r="BL12" i="11"/>
  <c r="BL19" i="10"/>
  <c r="BL14" i="10"/>
  <c r="CD11" i="14"/>
  <c r="CG16" i="14"/>
  <c r="CE42" i="13"/>
  <c r="CF41" i="13"/>
  <c r="BI38" i="13"/>
  <c r="CG39" i="13"/>
  <c r="CG15" i="14"/>
  <c r="CF29" i="13"/>
  <c r="CG42" i="13"/>
  <c r="CE39" i="13"/>
  <c r="CG22" i="13"/>
  <c r="CG26" i="13"/>
  <c r="CG30" i="13"/>
  <c r="CE9" i="13"/>
  <c r="BI19" i="13"/>
  <c r="BI18" i="13"/>
  <c r="CE15" i="13"/>
  <c r="CE19" i="13"/>
  <c r="CF30" i="13"/>
  <c r="CD6" i="13"/>
  <c r="BL41" i="10"/>
  <c r="BL17" i="10"/>
  <c r="BL10" i="10"/>
  <c r="CG17" i="14"/>
  <c r="BI18" i="14"/>
  <c r="CE15" i="14"/>
  <c r="BI39" i="13"/>
  <c r="CF12" i="14"/>
  <c r="CF18" i="14"/>
  <c r="CD10" i="14"/>
  <c r="BI27" i="13"/>
  <c r="CG36" i="13"/>
  <c r="CD36" i="13"/>
  <c r="CG10" i="14"/>
  <c r="CE22" i="13"/>
  <c r="CE26" i="13"/>
  <c r="BI44" i="13"/>
  <c r="CD17" i="13"/>
  <c r="CD16" i="13"/>
  <c r="BI13" i="13"/>
  <c r="CF14" i="13"/>
  <c r="CG18" i="13"/>
  <c r="CE8" i="13"/>
  <c r="BL39" i="10"/>
  <c r="BL15" i="10"/>
  <c r="BL12" i="10"/>
  <c r="CE14" i="14"/>
  <c r="CF16" i="14"/>
  <c r="CG11" i="14"/>
  <c r="BI14" i="14"/>
  <c r="CG46" i="13"/>
  <c r="CD12" i="14"/>
  <c r="CD9" i="14"/>
  <c r="CD25" i="13"/>
  <c r="CE33" i="13"/>
  <c r="BI36" i="13"/>
  <c r="CD6" i="14"/>
  <c r="CF9" i="14"/>
  <c r="CE30" i="13"/>
  <c r="CD21" i="13"/>
  <c r="CG16" i="13"/>
  <c r="CG15" i="13"/>
  <c r="CE11" i="13"/>
  <c r="BI20" i="13"/>
  <c r="BI8" i="13"/>
  <c r="BI6" i="13"/>
  <c r="BI7" i="13" s="1"/>
  <c r="BL37" i="10"/>
  <c r="BL13" i="10"/>
  <c r="BL8" i="10"/>
  <c r="BL6" i="9"/>
  <c r="CF28" i="13"/>
  <c r="BL11" i="10"/>
  <c r="CF32" i="13"/>
  <c r="CD46" i="13"/>
  <c r="CF37" i="13"/>
  <c r="CG28" i="13"/>
  <c r="CF17" i="13"/>
  <c r="BI19" i="14"/>
  <c r="CG12" i="13"/>
  <c r="CD13" i="14"/>
  <c r="CD12" i="13"/>
  <c r="BI8" i="14"/>
  <c r="CG6" i="13"/>
  <c r="BI10" i="14"/>
  <c r="CE14" i="13"/>
  <c r="CF45" i="13"/>
  <c r="CF18" i="13"/>
  <c r="CF47" i="13"/>
  <c r="CD8" i="14"/>
  <c r="CG24" i="13"/>
  <c r="BL35" i="10"/>
  <c r="L4" i="37"/>
  <c r="K4" i="37"/>
  <c r="K17" i="37"/>
  <c r="L17" i="37"/>
  <c r="J10" i="60"/>
  <c r="T10" i="62"/>
  <c r="J12" i="60"/>
  <c r="T12" i="62"/>
  <c r="N11" i="48"/>
  <c r="N8" i="48"/>
  <c r="N13" i="68"/>
  <c r="N21" i="48"/>
  <c r="N3" i="48"/>
  <c r="IE11" i="10"/>
  <c r="N29" i="48"/>
  <c r="N24" i="48"/>
  <c r="T33" i="42"/>
  <c r="J33" i="40"/>
  <c r="FV37" i="10"/>
  <c r="FV14" i="10"/>
  <c r="N9" i="40"/>
  <c r="FS22" i="13"/>
  <c r="FV34" i="10"/>
  <c r="FV24" i="10"/>
  <c r="N9" i="60"/>
  <c r="FS14" i="14"/>
  <c r="FS45" i="13"/>
  <c r="N14" i="60"/>
  <c r="FS18" i="14"/>
  <c r="R19" i="48"/>
  <c r="R15" i="48"/>
  <c r="R7" i="68"/>
  <c r="R3" i="68"/>
  <c r="Q10" i="48"/>
  <c r="Q18" i="48"/>
  <c r="P11" i="68"/>
  <c r="P33" i="48"/>
  <c r="P30" i="48"/>
  <c r="P12" i="68"/>
  <c r="O8" i="48"/>
  <c r="O29" i="48"/>
  <c r="O13" i="48"/>
  <c r="O7" i="68"/>
  <c r="O3" i="68"/>
  <c r="O31" i="48"/>
  <c r="O22" i="48"/>
  <c r="O10" i="27"/>
  <c r="T14" i="42"/>
  <c r="J14" i="40"/>
  <c r="T20" i="42"/>
  <c r="J20" i="40"/>
  <c r="T16" i="42"/>
  <c r="J16" i="40"/>
  <c r="Z15" i="12"/>
  <c r="AA15" i="12" s="1"/>
  <c r="FL21" i="9"/>
  <c r="EQ21" i="9"/>
  <c r="ER21" i="9"/>
  <c r="ES21" i="9"/>
  <c r="CM16" i="14"/>
  <c r="CL46" i="13"/>
  <c r="CK14" i="14"/>
  <c r="CK39" i="13"/>
  <c r="CL10" i="14"/>
  <c r="BJ36" i="13"/>
  <c r="BJ41" i="13"/>
  <c r="CM21" i="13"/>
  <c r="CM34" i="13"/>
  <c r="CL29" i="13"/>
  <c r="BJ28" i="13"/>
  <c r="CM19" i="13"/>
  <c r="CM32" i="13"/>
  <c r="CM13" i="13"/>
  <c r="BJ20" i="13"/>
  <c r="CM6" i="13"/>
  <c r="BJ10" i="13"/>
  <c r="BM33" i="10"/>
  <c r="BM28" i="10"/>
  <c r="BJ16" i="14"/>
  <c r="CK19" i="14"/>
  <c r="CK12" i="14"/>
  <c r="CM8" i="14"/>
  <c r="CK9" i="14"/>
  <c r="CM17" i="14"/>
  <c r="CK36" i="13"/>
  <c r="CM11" i="14"/>
  <c r="BJ34" i="13"/>
  <c r="CM24" i="13"/>
  <c r="CK24" i="13"/>
  <c r="BJ19" i="13"/>
  <c r="BJ26" i="13"/>
  <c r="BJ13" i="13"/>
  <c r="CK17" i="13"/>
  <c r="CL28" i="13"/>
  <c r="BM31" i="10"/>
  <c r="BM30" i="10"/>
  <c r="CK13" i="14"/>
  <c r="CL15" i="14"/>
  <c r="BJ6" i="14"/>
  <c r="BJ7" i="14" s="1"/>
  <c r="CK47" i="13"/>
  <c r="CK6" i="14"/>
  <c r="CM14" i="14"/>
  <c r="BJ35" i="13"/>
  <c r="CL37" i="13"/>
  <c r="CK30" i="13"/>
  <c r="BJ24" i="13"/>
  <c r="CK33" i="13"/>
  <c r="CK15" i="13"/>
  <c r="CM18" i="13"/>
  <c r="CL9" i="13"/>
  <c r="CK22" i="13"/>
  <c r="BJ16" i="13"/>
  <c r="BJ6" i="13"/>
  <c r="BJ7" i="13" s="1"/>
  <c r="BM29" i="10"/>
  <c r="BM26" i="10"/>
  <c r="CM9" i="14"/>
  <c r="CM18" i="14"/>
  <c r="CM46" i="13"/>
  <c r="CL8" i="14"/>
  <c r="CL42" i="13"/>
  <c r="BJ13" i="14"/>
  <c r="CK32" i="13"/>
  <c r="CM30" i="13"/>
  <c r="CL25" i="13"/>
  <c r="CL43" i="13"/>
  <c r="CM26" i="13"/>
  <c r="CK11" i="13"/>
  <c r="BJ18" i="13"/>
  <c r="BJ15" i="14"/>
  <c r="BM20" i="11"/>
  <c r="CL6" i="13"/>
  <c r="BM40" i="10"/>
  <c r="BM8" i="11"/>
  <c r="BM24" i="10"/>
  <c r="BJ9" i="14"/>
  <c r="BJ18" i="14"/>
  <c r="CK45" i="13"/>
  <c r="CM6" i="14"/>
  <c r="CM13" i="14"/>
  <c r="BJ47" i="13"/>
  <c r="CL27" i="13"/>
  <c r="BJ30" i="13"/>
  <c r="CM15" i="14"/>
  <c r="CK41" i="13"/>
  <c r="CK16" i="13"/>
  <c r="CL20" i="13"/>
  <c r="CK14" i="13"/>
  <c r="CM17" i="13"/>
  <c r="BM18" i="11"/>
  <c r="BM38" i="10"/>
  <c r="BM10" i="11"/>
  <c r="BM22" i="10"/>
  <c r="CL47" i="13"/>
  <c r="CL18" i="14"/>
  <c r="CM39" i="13"/>
  <c r="CL38" i="13"/>
  <c r="CK10" i="14"/>
  <c r="CM45" i="13"/>
  <c r="CM22" i="13"/>
  <c r="CK26" i="13"/>
  <c r="CL35" i="13"/>
  <c r="BJ40" i="13"/>
  <c r="CK12" i="13"/>
  <c r="CL19" i="13"/>
  <c r="CK10" i="13"/>
  <c r="BJ17" i="13"/>
  <c r="BM16" i="11"/>
  <c r="CK28" i="13"/>
  <c r="BM36" i="10"/>
  <c r="BM27" i="10"/>
  <c r="BM20" i="10"/>
  <c r="CL16" i="14"/>
  <c r="CK18" i="14"/>
  <c r="BJ39" i="13"/>
  <c r="CM10" i="14"/>
  <c r="BJ44" i="13"/>
  <c r="CL44" i="13"/>
  <c r="BJ22" i="13"/>
  <c r="CL21" i="13"/>
  <c r="CL34" i="13"/>
  <c r="CM38" i="13"/>
  <c r="BJ46" i="13"/>
  <c r="CM14" i="13"/>
  <c r="BJ38" i="13"/>
  <c r="CL13" i="13"/>
  <c r="BM14" i="11"/>
  <c r="BM19" i="11"/>
  <c r="BM34" i="10"/>
  <c r="BM25" i="10"/>
  <c r="BM18" i="10"/>
  <c r="CM19" i="14"/>
  <c r="CL17" i="14"/>
  <c r="CK35" i="13"/>
  <c r="CL9" i="14"/>
  <c r="CM43" i="13"/>
  <c r="CL40" i="13"/>
  <c r="CM31" i="13"/>
  <c r="CK11" i="14"/>
  <c r="CM29" i="13"/>
  <c r="BJ37" i="13"/>
  <c r="CM15" i="13"/>
  <c r="BJ14" i="13"/>
  <c r="CM23" i="13"/>
  <c r="CK9" i="13"/>
  <c r="CM16" i="13"/>
  <c r="BM17" i="11"/>
  <c r="BM9" i="11"/>
  <c r="BM23" i="10"/>
  <c r="BM16" i="10"/>
  <c r="BJ19" i="14"/>
  <c r="CK17" i="14"/>
  <c r="BJ14" i="14"/>
  <c r="CK8" i="14"/>
  <c r="CK42" i="13"/>
  <c r="CL36" i="13"/>
  <c r="BJ31" i="13"/>
  <c r="CK37" i="13"/>
  <c r="BJ29" i="13"/>
  <c r="CM33" i="13"/>
  <c r="BJ15" i="13"/>
  <c r="CL31" i="13"/>
  <c r="CL18" i="13"/>
  <c r="BJ32" i="13"/>
  <c r="CM10" i="13"/>
  <c r="BM15" i="11"/>
  <c r="BM42" i="10"/>
  <c r="BM21" i="10"/>
  <c r="BM14" i="10"/>
  <c r="CK16" i="14"/>
  <c r="CL14" i="14"/>
  <c r="BJ10" i="14"/>
  <c r="CL6" i="14"/>
  <c r="CK15" i="14"/>
  <c r="CL32" i="13"/>
  <c r="CK27" i="13"/>
  <c r="CL30" i="13"/>
  <c r="CK25" i="13"/>
  <c r="BJ33" i="13"/>
  <c r="CM11" i="13"/>
  <c r="CK20" i="13"/>
  <c r="CM9" i="13"/>
  <c r="CL17" i="13"/>
  <c r="CL16" i="13"/>
  <c r="BM13" i="11"/>
  <c r="BM12" i="11"/>
  <c r="BM19" i="10"/>
  <c r="BM12" i="10"/>
  <c r="CM12" i="14"/>
  <c r="BJ8" i="14"/>
  <c r="CK46" i="13"/>
  <c r="BJ43" i="13"/>
  <c r="CL11" i="14"/>
  <c r="CM27" i="13"/>
  <c r="CM40" i="13"/>
  <c r="CM25" i="13"/>
  <c r="BJ17" i="14"/>
  <c r="CK29" i="13"/>
  <c r="BJ11" i="13"/>
  <c r="CK19" i="13"/>
  <c r="BJ9" i="13"/>
  <c r="CK13" i="13"/>
  <c r="BJ23" i="13"/>
  <c r="BM11" i="11"/>
  <c r="BM41" i="10"/>
  <c r="BM17" i="10"/>
  <c r="BM10" i="10"/>
  <c r="BJ12" i="14"/>
  <c r="CL45" i="13"/>
  <c r="CL39" i="13"/>
  <c r="CM42" i="13"/>
  <c r="CK43" i="13"/>
  <c r="BJ27" i="13"/>
  <c r="CM37" i="13"/>
  <c r="BJ25" i="13"/>
  <c r="CM44" i="13"/>
  <c r="CL24" i="13"/>
  <c r="CL15" i="13"/>
  <c r="CL14" i="13"/>
  <c r="BJ45" i="13"/>
  <c r="CM8" i="13"/>
  <c r="BJ21" i="13"/>
  <c r="CL8" i="13"/>
  <c r="BM39" i="10"/>
  <c r="BM15" i="10"/>
  <c r="BM8" i="10"/>
  <c r="CL19" i="14"/>
  <c r="CK44" i="13"/>
  <c r="BJ11" i="14"/>
  <c r="BJ42" i="13"/>
  <c r="CL41" i="13"/>
  <c r="CK23" i="13"/>
  <c r="CK31" i="13"/>
  <c r="CK21" i="13"/>
  <c r="CM41" i="13"/>
  <c r="CL33" i="13"/>
  <c r="CL11" i="13"/>
  <c r="CL10" i="13"/>
  <c r="CL23" i="13"/>
  <c r="BJ8" i="13"/>
  <c r="CM12" i="13"/>
  <c r="CK8" i="13"/>
  <c r="BM37" i="10"/>
  <c r="BM13" i="10"/>
  <c r="BM32" i="10"/>
  <c r="CL13" i="14"/>
  <c r="BM11" i="10"/>
  <c r="CL26" i="13"/>
  <c r="BM9" i="10"/>
  <c r="CM35" i="13"/>
  <c r="CK34" i="13"/>
  <c r="CM28" i="13"/>
  <c r="BM6" i="9"/>
  <c r="CM20" i="13"/>
  <c r="CK6" i="13"/>
  <c r="CK18" i="13"/>
  <c r="CL22" i="13"/>
  <c r="CL12" i="14"/>
  <c r="CL12" i="13"/>
  <c r="CK40" i="13"/>
  <c r="CM47" i="13"/>
  <c r="BJ12" i="13"/>
  <c r="CK38" i="13"/>
  <c r="CM36" i="13"/>
  <c r="BM35" i="10"/>
  <c r="K23" i="37"/>
  <c r="L23" i="37"/>
  <c r="L7" i="37"/>
  <c r="K7" i="37"/>
  <c r="L11" i="37"/>
  <c r="K11" i="37"/>
  <c r="L10" i="57"/>
  <c r="K10" i="57"/>
  <c r="J5" i="40"/>
  <c r="T5" i="42"/>
  <c r="J4" i="60"/>
  <c r="T4" i="62"/>
  <c r="J28" i="40"/>
  <c r="T28" i="42"/>
  <c r="R7" i="67" l="1"/>
  <c r="Q10" i="47"/>
  <c r="N13" i="67"/>
  <c r="N25" i="47"/>
  <c r="O25" i="47"/>
  <c r="N8" i="67"/>
  <c r="Q15" i="47"/>
  <c r="O7" i="67"/>
  <c r="O29" i="47"/>
  <c r="N29" i="47"/>
  <c r="O31" i="47"/>
  <c r="N31" i="47"/>
  <c r="R28" i="47"/>
  <c r="Q31" i="47"/>
  <c r="IJ7" i="9"/>
  <c r="Q16" i="47"/>
  <c r="II7" i="9"/>
  <c r="P13" i="47"/>
  <c r="P5" i="47"/>
  <c r="O5" i="47"/>
  <c r="P24" i="47"/>
  <c r="Q24" i="47"/>
  <c r="O13" i="47"/>
  <c r="N24" i="47"/>
  <c r="R9" i="47"/>
  <c r="O22" i="47"/>
  <c r="P33" i="47"/>
  <c r="N21" i="47"/>
  <c r="R21" i="47"/>
  <c r="N11" i="47"/>
  <c r="O4" i="47"/>
  <c r="O14" i="47"/>
  <c r="Q18" i="47"/>
  <c r="N4" i="47"/>
  <c r="P34" i="47"/>
  <c r="R17" i="47"/>
  <c r="Q17" i="47"/>
  <c r="O11" i="47"/>
  <c r="R15" i="47"/>
  <c r="P15" i="47"/>
  <c r="O12" i="47"/>
  <c r="P11" i="67"/>
  <c r="R11" i="67"/>
  <c r="P32" i="47"/>
  <c r="N10" i="47"/>
  <c r="P8" i="47"/>
  <c r="O8" i="47"/>
  <c r="N8" i="47"/>
  <c r="IE7" i="13"/>
  <c r="P30" i="47"/>
  <c r="O30" i="47"/>
  <c r="Q20" i="47"/>
  <c r="P7" i="67"/>
  <c r="P9" i="67"/>
  <c r="P29" i="47"/>
  <c r="R5" i="47"/>
  <c r="P13" i="67"/>
  <c r="Q13" i="47"/>
  <c r="Q7" i="47"/>
  <c r="N9" i="67"/>
  <c r="N32" i="47"/>
  <c r="N20" i="47"/>
  <c r="N26" i="47"/>
  <c r="N5" i="67"/>
  <c r="N12" i="67"/>
  <c r="R3" i="67"/>
  <c r="O32" i="47"/>
  <c r="R6" i="47"/>
  <c r="N13" i="47"/>
  <c r="O12" i="67"/>
  <c r="P12" i="67"/>
  <c r="P27" i="47"/>
  <c r="P10" i="67"/>
  <c r="R19" i="47"/>
  <c r="O10" i="67"/>
  <c r="R32" i="47"/>
  <c r="IG7" i="14"/>
  <c r="Q6" i="47"/>
  <c r="Q12" i="67"/>
  <c r="P20" i="47"/>
  <c r="N11" i="67"/>
  <c r="Q10" i="67"/>
  <c r="O6" i="47"/>
  <c r="R8" i="67"/>
  <c r="BI14" i="10"/>
  <c r="ER14" i="11"/>
  <c r="CO14" i="11" s="1"/>
  <c r="ER12" i="11"/>
  <c r="CO12" i="11" s="1"/>
  <c r="ER23" i="10"/>
  <c r="CO23" i="10" s="1"/>
  <c r="ER13" i="11"/>
  <c r="CO13" i="11" s="1"/>
  <c r="ER16" i="11"/>
  <c r="CO16" i="11" s="1"/>
  <c r="ER32" i="10"/>
  <c r="CO32" i="10" s="1"/>
  <c r="ER22" i="10"/>
  <c r="CO22" i="10" s="1"/>
  <c r="ER16" i="10"/>
  <c r="CO16" i="10" s="1"/>
  <c r="ER20" i="11"/>
  <c r="CO20" i="11" s="1"/>
  <c r="ER27" i="10"/>
  <c r="CO27" i="10" s="1"/>
  <c r="ER26" i="10"/>
  <c r="CO26" i="10" s="1"/>
  <c r="ER21" i="10"/>
  <c r="CO21" i="10" s="1"/>
  <c r="ER36" i="10"/>
  <c r="CO36" i="10" s="1"/>
  <c r="ER42" i="10"/>
  <c r="CO42" i="10" s="1"/>
  <c r="ER31" i="10"/>
  <c r="CO31" i="10" s="1"/>
  <c r="ER30" i="10"/>
  <c r="CO30" i="10" s="1"/>
  <c r="ER20" i="10"/>
  <c r="CO20" i="10" s="1"/>
  <c r="ER40" i="10"/>
  <c r="CO40" i="10" s="1"/>
  <c r="ER35" i="10"/>
  <c r="CO35" i="10" s="1"/>
  <c r="ER8" i="10"/>
  <c r="CO8" i="10" s="1"/>
  <c r="ER10" i="10"/>
  <c r="CO10" i="10" s="1"/>
  <c r="ER18" i="11"/>
  <c r="CO18" i="11" s="1"/>
  <c r="ER25" i="10"/>
  <c r="CO25" i="10" s="1"/>
  <c r="ER11" i="11"/>
  <c r="CO11" i="11" s="1"/>
  <c r="ER38" i="10"/>
  <c r="CO38" i="10" s="1"/>
  <c r="ER13" i="10"/>
  <c r="CO13" i="10" s="1"/>
  <c r="ER15" i="10"/>
  <c r="CO15" i="10" s="1"/>
  <c r="ER34" i="10"/>
  <c r="CO34" i="10" s="1"/>
  <c r="ER29" i="10"/>
  <c r="CO29" i="10" s="1"/>
  <c r="ER41" i="10"/>
  <c r="CO41" i="10" s="1"/>
  <c r="ER10" i="11"/>
  <c r="CO10" i="11" s="1"/>
  <c r="ER28" i="10"/>
  <c r="CO28" i="10" s="1"/>
  <c r="ER24" i="10"/>
  <c r="CO24" i="10" s="1"/>
  <c r="ER17" i="11"/>
  <c r="CO17" i="11" s="1"/>
  <c r="ER19" i="11"/>
  <c r="CO19" i="11" s="1"/>
  <c r="ER33" i="10"/>
  <c r="CO33" i="10" s="1"/>
  <c r="ER39" i="10"/>
  <c r="CO39" i="10" s="1"/>
  <c r="ER9" i="11"/>
  <c r="CO9" i="11" s="1"/>
  <c r="ER11" i="10"/>
  <c r="CO11" i="10" s="1"/>
  <c r="ER6" i="9"/>
  <c r="CO6" i="9" s="1"/>
  <c r="ER14" i="10"/>
  <c r="CO14" i="10" s="1"/>
  <c r="ER9" i="10"/>
  <c r="CO9" i="10" s="1"/>
  <c r="ER15" i="11"/>
  <c r="CO15" i="11" s="1"/>
  <c r="ER17" i="10"/>
  <c r="CO17" i="10" s="1"/>
  <c r="ER12" i="10"/>
  <c r="CO12" i="10" s="1"/>
  <c r="ER37" i="10"/>
  <c r="CO37" i="10" s="1"/>
  <c r="ER8" i="11"/>
  <c r="CO8" i="11" s="1"/>
  <c r="ER19" i="10"/>
  <c r="CO19" i="10" s="1"/>
  <c r="ER18" i="10"/>
  <c r="CO18" i="10" s="1"/>
  <c r="BM6" i="11"/>
  <c r="BM7" i="11" s="1"/>
  <c r="BM6" i="10"/>
  <c r="BM7" i="10" s="1"/>
  <c r="BM7" i="9"/>
  <c r="Z14" i="57"/>
  <c r="AA14" i="57" s="1"/>
  <c r="EO17" i="14"/>
  <c r="EN17" i="14"/>
  <c r="EP17" i="14"/>
  <c r="Z34" i="37"/>
  <c r="AA34" i="37" s="1"/>
  <c r="EP37" i="13"/>
  <c r="EO37" i="13"/>
  <c r="EN37" i="13"/>
  <c r="Z4" i="37"/>
  <c r="AA4" i="37" s="1"/>
  <c r="EN20" i="13"/>
  <c r="EP20" i="13"/>
  <c r="EO20" i="13"/>
  <c r="W5" i="37"/>
  <c r="X5" i="37" s="1"/>
  <c r="EG32" i="13"/>
  <c r="EF32" i="13"/>
  <c r="EE32" i="13"/>
  <c r="ED32" i="13"/>
  <c r="W12" i="37"/>
  <c r="X12" i="37" s="1"/>
  <c r="EG15" i="13"/>
  <c r="EF15" i="13"/>
  <c r="EE15" i="13"/>
  <c r="ED15" i="13"/>
  <c r="Z9" i="25"/>
  <c r="AC7" i="22"/>
  <c r="HN21" i="9"/>
  <c r="HK21" i="9"/>
  <c r="HH21" i="9"/>
  <c r="HE21" i="9"/>
  <c r="FF10" i="14"/>
  <c r="FF15" i="14"/>
  <c r="FF42" i="13"/>
  <c r="FD42" i="13" s="1"/>
  <c r="FF16" i="14"/>
  <c r="FI19" i="10"/>
  <c r="FG19" i="10" s="1"/>
  <c r="FI37" i="10"/>
  <c r="FG37" i="10" s="1"/>
  <c r="FF13" i="13"/>
  <c r="FF17" i="13"/>
  <c r="FF31" i="13"/>
  <c r="FF21" i="13"/>
  <c r="FF30" i="13"/>
  <c r="FF11" i="14"/>
  <c r="FI12" i="10"/>
  <c r="FG12" i="10" s="1"/>
  <c r="FI15" i="10"/>
  <c r="FG15" i="10" s="1"/>
  <c r="FI13" i="11"/>
  <c r="FG13" i="11" s="1"/>
  <c r="FF16" i="13"/>
  <c r="FF33" i="13"/>
  <c r="FF28" i="13"/>
  <c r="FF15" i="13"/>
  <c r="FF38" i="13"/>
  <c r="FF36" i="13"/>
  <c r="FI8" i="10"/>
  <c r="FG8" i="10" s="1"/>
  <c r="FI33" i="10"/>
  <c r="FG33" i="10" s="1"/>
  <c r="FI29" i="10"/>
  <c r="FG29" i="10" s="1"/>
  <c r="FF8" i="13"/>
  <c r="FI20" i="11"/>
  <c r="FG20" i="11" s="1"/>
  <c r="FI16" i="11"/>
  <c r="FG16" i="11" s="1"/>
  <c r="FF26" i="13"/>
  <c r="FF25" i="13"/>
  <c r="FF12" i="14"/>
  <c r="FI11" i="10"/>
  <c r="FG11" i="10" s="1"/>
  <c r="FI30" i="10"/>
  <c r="FG30" i="10" s="1"/>
  <c r="FF6" i="13"/>
  <c r="FI38" i="10"/>
  <c r="FG38" i="10" s="1"/>
  <c r="FI34" i="10"/>
  <c r="FG34" i="10" s="1"/>
  <c r="FF32" i="13"/>
  <c r="FF14" i="13"/>
  <c r="FF43" i="13"/>
  <c r="FD43" i="13" s="1"/>
  <c r="FI9" i="10"/>
  <c r="FG9" i="10" s="1"/>
  <c r="FI6" i="9"/>
  <c r="FI10" i="11"/>
  <c r="FG10" i="11" s="1"/>
  <c r="FI42" i="10"/>
  <c r="FG42" i="10" s="1"/>
  <c r="FI25" i="10"/>
  <c r="FG25" i="10" s="1"/>
  <c r="FI9" i="11"/>
  <c r="FG9" i="11" s="1"/>
  <c r="FI19" i="11"/>
  <c r="FG19" i="11" s="1"/>
  <c r="FF29" i="13"/>
  <c r="FF8" i="14"/>
  <c r="FI26" i="10"/>
  <c r="FG26" i="10" s="1"/>
  <c r="FI22" i="10"/>
  <c r="FG22" i="10" s="1"/>
  <c r="FI18" i="10"/>
  <c r="FG18" i="10" s="1"/>
  <c r="FI21" i="10"/>
  <c r="FG21" i="10" s="1"/>
  <c r="FI39" i="10"/>
  <c r="FG39" i="10" s="1"/>
  <c r="FF9" i="13"/>
  <c r="FF47" i="13"/>
  <c r="FD47" i="13" s="1"/>
  <c r="FF39" i="13"/>
  <c r="FD39" i="13" s="1"/>
  <c r="FF44" i="13"/>
  <c r="FD44" i="13" s="1"/>
  <c r="FF17" i="14"/>
  <c r="FI14" i="10"/>
  <c r="FG14" i="10" s="1"/>
  <c r="FI17" i="10"/>
  <c r="FG17" i="10" s="1"/>
  <c r="FI15" i="11"/>
  <c r="FG15" i="11" s="1"/>
  <c r="FF23" i="13"/>
  <c r="FF14" i="14"/>
  <c r="FF35" i="13"/>
  <c r="FF40" i="13"/>
  <c r="FD40" i="13" s="1"/>
  <c r="FF9" i="14"/>
  <c r="FI10" i="10"/>
  <c r="FG10" i="10" s="1"/>
  <c r="FI35" i="10"/>
  <c r="FG35" i="10" s="1"/>
  <c r="FI11" i="11"/>
  <c r="FG11" i="11" s="1"/>
  <c r="FF41" i="13"/>
  <c r="FD41" i="13" s="1"/>
  <c r="FF20" i="13"/>
  <c r="FF11" i="13"/>
  <c r="FF45" i="13"/>
  <c r="FD45" i="13" s="1"/>
  <c r="FF19" i="14"/>
  <c r="FD19" i="14" s="1"/>
  <c r="FI13" i="10"/>
  <c r="FG13" i="10" s="1"/>
  <c r="FI31" i="10"/>
  <c r="FG31" i="10" s="1"/>
  <c r="FF10" i="13"/>
  <c r="FI18" i="11"/>
  <c r="FG18" i="11" s="1"/>
  <c r="FI14" i="11"/>
  <c r="FG14" i="11" s="1"/>
  <c r="FF37" i="13"/>
  <c r="FF6" i="14"/>
  <c r="FI32" i="10"/>
  <c r="FG32" i="10" s="1"/>
  <c r="FI27" i="10"/>
  <c r="FG27" i="10" s="1"/>
  <c r="FI40" i="10"/>
  <c r="FG40" i="10" s="1"/>
  <c r="FI36" i="10"/>
  <c r="FG36" i="10" s="1"/>
  <c r="FI8" i="11"/>
  <c r="FG8" i="11" s="1"/>
  <c r="FF19" i="13"/>
  <c r="FF34" i="13"/>
  <c r="FF18" i="14"/>
  <c r="FF13" i="14"/>
  <c r="FI12" i="11"/>
  <c r="FG12" i="11" s="1"/>
  <c r="FI28" i="10"/>
  <c r="FG28" i="10" s="1"/>
  <c r="FI23" i="10"/>
  <c r="FG23" i="10" s="1"/>
  <c r="FF12" i="13"/>
  <c r="FF18" i="13"/>
  <c r="FF27" i="13"/>
  <c r="FF22" i="13"/>
  <c r="FI24" i="10"/>
  <c r="FG24" i="10" s="1"/>
  <c r="FI20" i="10"/>
  <c r="FG20" i="10" s="1"/>
  <c r="FI16" i="10"/>
  <c r="FG16" i="10" s="1"/>
  <c r="FI41" i="10"/>
  <c r="FG41" i="10" s="1"/>
  <c r="FI17" i="11"/>
  <c r="FG17" i="11" s="1"/>
  <c r="FF24" i="13"/>
  <c r="FF46" i="13"/>
  <c r="FD46" i="13" s="1"/>
  <c r="FG21" i="9"/>
  <c r="BK6" i="11"/>
  <c r="BK7" i="11" s="1"/>
  <c r="BK6" i="10"/>
  <c r="BK7" i="10" s="1"/>
  <c r="BK7" i="9"/>
  <c r="DV44" i="13"/>
  <c r="DU44" i="13"/>
  <c r="DT44" i="13"/>
  <c r="P18" i="47"/>
  <c r="O17" i="47"/>
  <c r="R26" i="47"/>
  <c r="IF7" i="9"/>
  <c r="O26" i="47"/>
  <c r="N28" i="47"/>
  <c r="BI23" i="10"/>
  <c r="S4" i="58"/>
  <c r="Q4" i="57"/>
  <c r="R4" i="57" s="1"/>
  <c r="N4" i="57"/>
  <c r="O4" i="57" s="1"/>
  <c r="DK11" i="14"/>
  <c r="DJ11" i="14"/>
  <c r="DM11" i="14"/>
  <c r="DL11" i="14"/>
  <c r="BI29" i="10"/>
  <c r="DM46" i="13"/>
  <c r="DJ46" i="13"/>
  <c r="DL46" i="13"/>
  <c r="DK46" i="13"/>
  <c r="BI38" i="10"/>
  <c r="Q18" i="37"/>
  <c r="R18" i="37" s="1"/>
  <c r="N18" i="37"/>
  <c r="O18" i="37" s="1"/>
  <c r="S32" i="38"/>
  <c r="DM39" i="13"/>
  <c r="DJ39" i="13"/>
  <c r="DL39" i="13"/>
  <c r="DK39" i="13"/>
  <c r="S12" i="38"/>
  <c r="Q7" i="37"/>
  <c r="R7" i="37" s="1"/>
  <c r="N7" i="37"/>
  <c r="O7" i="37" s="1"/>
  <c r="DM29" i="13"/>
  <c r="DL29" i="13"/>
  <c r="DK29" i="13"/>
  <c r="DJ29" i="13"/>
  <c r="DM6" i="9"/>
  <c r="BS6" i="9" s="1"/>
  <c r="DM35" i="10"/>
  <c r="BS35" i="10" s="1"/>
  <c r="DM11" i="10"/>
  <c r="BS11" i="10" s="1"/>
  <c r="DM10" i="11"/>
  <c r="BS10" i="11" s="1"/>
  <c r="DM20" i="10"/>
  <c r="BS20" i="10" s="1"/>
  <c r="DM20" i="11"/>
  <c r="BS20" i="11" s="1"/>
  <c r="DM23" i="10"/>
  <c r="BS23" i="10" s="1"/>
  <c r="DM32" i="10"/>
  <c r="BS32" i="10" s="1"/>
  <c r="DM13" i="10"/>
  <c r="BS13" i="10" s="1"/>
  <c r="DM9" i="11"/>
  <c r="BS9" i="11" s="1"/>
  <c r="DM21" i="10"/>
  <c r="BS21" i="10" s="1"/>
  <c r="DM17" i="11"/>
  <c r="BS17" i="11" s="1"/>
  <c r="DM28" i="10"/>
  <c r="BS28" i="10" s="1"/>
  <c r="DM11" i="11"/>
  <c r="BS11" i="11" s="1"/>
  <c r="DM41" i="10"/>
  <c r="BS41" i="10" s="1"/>
  <c r="DM33" i="10"/>
  <c r="BS33" i="10" s="1"/>
  <c r="DM8" i="10"/>
  <c r="BS8" i="10" s="1"/>
  <c r="DM42" i="10"/>
  <c r="BS42" i="10" s="1"/>
  <c r="DM26" i="10"/>
  <c r="BS26" i="10" s="1"/>
  <c r="DM18" i="10"/>
  <c r="BS18" i="10" s="1"/>
  <c r="DM18" i="11"/>
  <c r="BS18" i="11" s="1"/>
  <c r="DM19" i="10"/>
  <c r="BS19" i="10" s="1"/>
  <c r="DM10" i="10"/>
  <c r="BS10" i="10" s="1"/>
  <c r="DM8" i="11"/>
  <c r="BS8" i="11" s="1"/>
  <c r="DM39" i="10"/>
  <c r="BS39" i="10" s="1"/>
  <c r="DM15" i="11"/>
  <c r="BS15" i="11" s="1"/>
  <c r="DM30" i="10"/>
  <c r="BS30" i="10" s="1"/>
  <c r="DM24" i="10"/>
  <c r="BS24" i="10" s="1"/>
  <c r="DM31" i="10"/>
  <c r="BS31" i="10" s="1"/>
  <c r="DM16" i="11"/>
  <c r="BS16" i="11" s="1"/>
  <c r="DM12" i="11"/>
  <c r="BS12" i="11" s="1"/>
  <c r="DM36" i="10"/>
  <c r="BS36" i="10" s="1"/>
  <c r="DM17" i="10"/>
  <c r="BS17" i="10" s="1"/>
  <c r="DM16" i="10"/>
  <c r="BS16" i="10" s="1"/>
  <c r="DM40" i="10"/>
  <c r="BS40" i="10" s="1"/>
  <c r="DM37" i="10"/>
  <c r="BS37" i="10" s="1"/>
  <c r="DM9" i="10"/>
  <c r="BS9" i="10" s="1"/>
  <c r="DM27" i="10"/>
  <c r="BS27" i="10" s="1"/>
  <c r="DM34" i="10"/>
  <c r="BS34" i="10" s="1"/>
  <c r="DM22" i="10"/>
  <c r="BS22" i="10" s="1"/>
  <c r="DM13" i="11"/>
  <c r="BS13" i="11" s="1"/>
  <c r="DM14" i="11"/>
  <c r="BS14" i="11" s="1"/>
  <c r="DM12" i="10"/>
  <c r="BS12" i="10" s="1"/>
  <c r="DM15" i="10"/>
  <c r="BS15" i="10" s="1"/>
  <c r="DM29" i="10"/>
  <c r="BS29" i="10" s="1"/>
  <c r="DM38" i="10"/>
  <c r="BS38" i="10" s="1"/>
  <c r="DM19" i="11"/>
  <c r="BS19" i="11" s="1"/>
  <c r="DM14" i="10"/>
  <c r="BS14" i="10" s="1"/>
  <c r="DM25" i="10"/>
  <c r="BS25" i="10" s="1"/>
  <c r="IE7" i="14"/>
  <c r="N7" i="47"/>
  <c r="P3" i="47"/>
  <c r="Q3" i="67"/>
  <c r="Q22" i="47"/>
  <c r="Z7" i="57"/>
  <c r="AA7" i="57" s="1"/>
  <c r="EO15" i="14"/>
  <c r="EN15" i="14"/>
  <c r="EP15" i="14"/>
  <c r="Z24" i="37"/>
  <c r="AA24" i="37" s="1"/>
  <c r="EP34" i="13"/>
  <c r="EO34" i="13"/>
  <c r="EN34" i="13"/>
  <c r="ES14" i="11"/>
  <c r="CP14" i="11" s="1"/>
  <c r="ES41" i="10"/>
  <c r="CP41" i="10" s="1"/>
  <c r="ES15" i="10"/>
  <c r="CP15" i="10" s="1"/>
  <c r="ES8" i="10"/>
  <c r="CP8" i="10" s="1"/>
  <c r="ES19" i="11"/>
  <c r="CP19" i="11" s="1"/>
  <c r="ES39" i="10"/>
  <c r="CP39" i="10" s="1"/>
  <c r="ES13" i="10"/>
  <c r="CP13" i="10" s="1"/>
  <c r="ES30" i="10"/>
  <c r="CP30" i="10" s="1"/>
  <c r="ES17" i="11"/>
  <c r="CP17" i="11" s="1"/>
  <c r="ES37" i="10"/>
  <c r="CP37" i="10" s="1"/>
  <c r="ES11" i="10"/>
  <c r="CP11" i="10" s="1"/>
  <c r="ES9" i="10"/>
  <c r="CP9" i="10" s="1"/>
  <c r="ES13" i="11"/>
  <c r="CP13" i="11" s="1"/>
  <c r="ES15" i="11"/>
  <c r="CP15" i="11" s="1"/>
  <c r="ES35" i="10"/>
  <c r="CP35" i="10" s="1"/>
  <c r="ES32" i="10"/>
  <c r="CP32" i="10" s="1"/>
  <c r="ES6" i="9"/>
  <c r="CP6" i="9" s="1"/>
  <c r="ES28" i="10"/>
  <c r="CP28" i="10" s="1"/>
  <c r="ES33" i="10"/>
  <c r="CP33" i="10" s="1"/>
  <c r="ES11" i="11"/>
  <c r="CP11" i="11" s="1"/>
  <c r="ES31" i="10"/>
  <c r="CP31" i="10" s="1"/>
  <c r="ES26" i="10"/>
  <c r="CP26" i="10" s="1"/>
  <c r="ES9" i="11"/>
  <c r="CP9" i="11" s="1"/>
  <c r="ES29" i="10"/>
  <c r="CP29" i="10" s="1"/>
  <c r="ES24" i="10"/>
  <c r="CP24" i="10" s="1"/>
  <c r="ES40" i="10"/>
  <c r="CP40" i="10" s="1"/>
  <c r="ES42" i="10"/>
  <c r="CP42" i="10" s="1"/>
  <c r="ES22" i="10"/>
  <c r="CP22" i="10" s="1"/>
  <c r="ES38" i="10"/>
  <c r="CP38" i="10" s="1"/>
  <c r="ES27" i="10"/>
  <c r="CP27" i="10" s="1"/>
  <c r="ES20" i="10"/>
  <c r="CP20" i="10" s="1"/>
  <c r="ES36" i="10"/>
  <c r="CP36" i="10" s="1"/>
  <c r="ES25" i="10"/>
  <c r="CP25" i="10" s="1"/>
  <c r="ES18" i="10"/>
  <c r="CP18" i="10" s="1"/>
  <c r="ES34" i="10"/>
  <c r="CP34" i="10" s="1"/>
  <c r="ES23" i="10"/>
  <c r="CP23" i="10" s="1"/>
  <c r="ES16" i="10"/>
  <c r="CP16" i="10" s="1"/>
  <c r="ES20" i="11"/>
  <c r="CP20" i="11" s="1"/>
  <c r="ES12" i="11"/>
  <c r="CP12" i="11" s="1"/>
  <c r="ES21" i="10"/>
  <c r="CP21" i="10" s="1"/>
  <c r="ES14" i="10"/>
  <c r="CP14" i="10" s="1"/>
  <c r="ES18" i="11"/>
  <c r="CP18" i="11" s="1"/>
  <c r="ES8" i="11"/>
  <c r="CP8" i="11" s="1"/>
  <c r="ES19" i="10"/>
  <c r="CP19" i="10" s="1"/>
  <c r="ES12" i="10"/>
  <c r="CP12" i="10" s="1"/>
  <c r="ES16" i="11"/>
  <c r="CP16" i="11" s="1"/>
  <c r="ES10" i="11"/>
  <c r="CP10" i="11" s="1"/>
  <c r="ES17" i="10"/>
  <c r="CP17" i="10" s="1"/>
  <c r="ES10" i="10"/>
  <c r="CP10" i="10" s="1"/>
  <c r="N3" i="47"/>
  <c r="W13" i="37"/>
  <c r="X13" i="37" s="1"/>
  <c r="EF8" i="13"/>
  <c r="ED8" i="13"/>
  <c r="EG8" i="13"/>
  <c r="EE8" i="13"/>
  <c r="W3" i="37"/>
  <c r="X3" i="37" s="1"/>
  <c r="EG44" i="13"/>
  <c r="ED44" i="13"/>
  <c r="EF44" i="13"/>
  <c r="EE44" i="13"/>
  <c r="W21" i="37"/>
  <c r="X21" i="37" s="1"/>
  <c r="EG33" i="13"/>
  <c r="EF33" i="13"/>
  <c r="EE33" i="13"/>
  <c r="ED33" i="13"/>
  <c r="W11" i="37"/>
  <c r="X11" i="37" s="1"/>
  <c r="EG23" i="13"/>
  <c r="EF23" i="13"/>
  <c r="EE23" i="13"/>
  <c r="ED23" i="13"/>
  <c r="EG19" i="11"/>
  <c r="CG19" i="11" s="1"/>
  <c r="EG33" i="10"/>
  <c r="CG33" i="10" s="1"/>
  <c r="EG20" i="10"/>
  <c r="CG20" i="10" s="1"/>
  <c r="EG28" i="10"/>
  <c r="CG28" i="10" s="1"/>
  <c r="EG17" i="11"/>
  <c r="CG17" i="11" s="1"/>
  <c r="EG31" i="10"/>
  <c r="CG31" i="10" s="1"/>
  <c r="EG18" i="10"/>
  <c r="CG18" i="10" s="1"/>
  <c r="EG12" i="10"/>
  <c r="CG12" i="10" s="1"/>
  <c r="EG15" i="11"/>
  <c r="CG15" i="11" s="1"/>
  <c r="EG29" i="10"/>
  <c r="CG29" i="10" s="1"/>
  <c r="EG16" i="10"/>
  <c r="CG16" i="10" s="1"/>
  <c r="EG10" i="10"/>
  <c r="CG10" i="10" s="1"/>
  <c r="EG13" i="11"/>
  <c r="CG13" i="11" s="1"/>
  <c r="EG42" i="10"/>
  <c r="CG42" i="10" s="1"/>
  <c r="EG14" i="10"/>
  <c r="CG14" i="10" s="1"/>
  <c r="EG8" i="10"/>
  <c r="CG8" i="10" s="1"/>
  <c r="EG11" i="11"/>
  <c r="CG11" i="11" s="1"/>
  <c r="EG10" i="11"/>
  <c r="CG10" i="11" s="1"/>
  <c r="EG32" i="10"/>
  <c r="CG32" i="10" s="1"/>
  <c r="EG9" i="10"/>
  <c r="CG9" i="10" s="1"/>
  <c r="EG20" i="11"/>
  <c r="CG20" i="11" s="1"/>
  <c r="EG9" i="11"/>
  <c r="CG9" i="11" s="1"/>
  <c r="EG36" i="10"/>
  <c r="CG36" i="10" s="1"/>
  <c r="EG11" i="10"/>
  <c r="CG11" i="10" s="1"/>
  <c r="EG18" i="11"/>
  <c r="CG18" i="11" s="1"/>
  <c r="EG8" i="11"/>
  <c r="CG8" i="11" s="1"/>
  <c r="EG27" i="10"/>
  <c r="CG27" i="10" s="1"/>
  <c r="EG6" i="9"/>
  <c r="CG6" i="9" s="1"/>
  <c r="EG16" i="11"/>
  <c r="CG16" i="11" s="1"/>
  <c r="EG40" i="10"/>
  <c r="CG40" i="10" s="1"/>
  <c r="EG25" i="10"/>
  <c r="CG25" i="10" s="1"/>
  <c r="EG14" i="11"/>
  <c r="CG14" i="11" s="1"/>
  <c r="EG38" i="10"/>
  <c r="CG38" i="10" s="1"/>
  <c r="EG23" i="10"/>
  <c r="CG23" i="10" s="1"/>
  <c r="EG12" i="11"/>
  <c r="CG12" i="11" s="1"/>
  <c r="EG34" i="10"/>
  <c r="CG34" i="10" s="1"/>
  <c r="EG21" i="10"/>
  <c r="CG21" i="10" s="1"/>
  <c r="EG41" i="10"/>
  <c r="CG41" i="10" s="1"/>
  <c r="EG30" i="10"/>
  <c r="CG30" i="10" s="1"/>
  <c r="EG19" i="10"/>
  <c r="CG19" i="10" s="1"/>
  <c r="EG39" i="10"/>
  <c r="CG39" i="10" s="1"/>
  <c r="EG26" i="10"/>
  <c r="CG26" i="10" s="1"/>
  <c r="EG17" i="10"/>
  <c r="CG17" i="10" s="1"/>
  <c r="EG37" i="10"/>
  <c r="CG37" i="10" s="1"/>
  <c r="EG24" i="10"/>
  <c r="CG24" i="10" s="1"/>
  <c r="EG15" i="10"/>
  <c r="CG15" i="10" s="1"/>
  <c r="EG35" i="10"/>
  <c r="CG35" i="10" s="1"/>
  <c r="EG22" i="10"/>
  <c r="CG22" i="10" s="1"/>
  <c r="EG13" i="10"/>
  <c r="CG13" i="10" s="1"/>
  <c r="T29" i="37"/>
  <c r="U29" i="37" s="1"/>
  <c r="DV36" i="13"/>
  <c r="DU36" i="13"/>
  <c r="DT36" i="13"/>
  <c r="T35" i="37"/>
  <c r="U35" i="37" s="1"/>
  <c r="DV14" i="13"/>
  <c r="DU14" i="13"/>
  <c r="DT14" i="13"/>
  <c r="T14" i="37"/>
  <c r="U14" i="37" s="1"/>
  <c r="DV25" i="13"/>
  <c r="DU25" i="13"/>
  <c r="DT25" i="13"/>
  <c r="T30" i="37"/>
  <c r="U30" i="37" s="1"/>
  <c r="DU38" i="13"/>
  <c r="DT38" i="13"/>
  <c r="DV38" i="13"/>
  <c r="T11" i="57"/>
  <c r="U11" i="57" s="1"/>
  <c r="DT13" i="14"/>
  <c r="DV13" i="14"/>
  <c r="DU13" i="14"/>
  <c r="DV42" i="13"/>
  <c r="DU42" i="13"/>
  <c r="DT42" i="13"/>
  <c r="P3" i="67"/>
  <c r="Q14" i="47"/>
  <c r="Q34" i="37"/>
  <c r="R34" i="37" s="1"/>
  <c r="S23" i="38"/>
  <c r="N34" i="37"/>
  <c r="O34" i="37" s="1"/>
  <c r="DK37" i="13"/>
  <c r="DM37" i="13"/>
  <c r="DL37" i="13"/>
  <c r="DJ37" i="13"/>
  <c r="BI40" i="10"/>
  <c r="S12" i="58"/>
  <c r="Q13" i="57"/>
  <c r="R13" i="57" s="1"/>
  <c r="N13" i="57"/>
  <c r="O13" i="57" s="1"/>
  <c r="DM16" i="14"/>
  <c r="DL16" i="14"/>
  <c r="DK16" i="14"/>
  <c r="DJ16" i="14"/>
  <c r="N5" i="57"/>
  <c r="O5" i="57" s="1"/>
  <c r="S5" i="58"/>
  <c r="Q5" i="57"/>
  <c r="R5" i="57" s="1"/>
  <c r="DM8" i="14"/>
  <c r="DM6" i="14" s="1"/>
  <c r="DL8" i="14"/>
  <c r="DL6" i="14" s="1"/>
  <c r="DK8" i="14"/>
  <c r="DK6" i="14" s="1"/>
  <c r="DJ8" i="14"/>
  <c r="DJ6" i="14" s="1"/>
  <c r="DJ7" i="14" s="1"/>
  <c r="O3" i="58"/>
  <c r="N3" i="58"/>
  <c r="N3" i="57"/>
  <c r="O3" i="57" s="1"/>
  <c r="S3" i="58"/>
  <c r="P3" i="58"/>
  <c r="M3" i="58"/>
  <c r="Q3" i="57"/>
  <c r="R3" i="57" s="1"/>
  <c r="Q15" i="37"/>
  <c r="R15" i="37" s="1"/>
  <c r="N15" i="37"/>
  <c r="O15" i="37" s="1"/>
  <c r="S17" i="38"/>
  <c r="DM11" i="13"/>
  <c r="DL11" i="13"/>
  <c r="DK11" i="13"/>
  <c r="DJ11" i="13"/>
  <c r="BI16" i="11"/>
  <c r="Q11" i="37"/>
  <c r="R11" i="37" s="1"/>
  <c r="N11" i="37"/>
  <c r="O11" i="37" s="1"/>
  <c r="S8" i="38"/>
  <c r="DM23" i="13"/>
  <c r="DL23" i="13"/>
  <c r="DK23" i="13"/>
  <c r="DJ23" i="13"/>
  <c r="BI10" i="11"/>
  <c r="DN42" i="10"/>
  <c r="BT42" i="10" s="1"/>
  <c r="DN37" i="10"/>
  <c r="BT37" i="10" s="1"/>
  <c r="DN10" i="11"/>
  <c r="BT10" i="11" s="1"/>
  <c r="DN38" i="10"/>
  <c r="BT38" i="10" s="1"/>
  <c r="DN18" i="10"/>
  <c r="BT18" i="10" s="1"/>
  <c r="DN32" i="10"/>
  <c r="BT32" i="10" s="1"/>
  <c r="DN22" i="10"/>
  <c r="BT22" i="10" s="1"/>
  <c r="DN30" i="10"/>
  <c r="BT30" i="10" s="1"/>
  <c r="DN15" i="10"/>
  <c r="BT15" i="10" s="1"/>
  <c r="DN25" i="10"/>
  <c r="BT25" i="10" s="1"/>
  <c r="DN28" i="10"/>
  <c r="BT28" i="10" s="1"/>
  <c r="DN19" i="11"/>
  <c r="BT19" i="11" s="1"/>
  <c r="DN20" i="11"/>
  <c r="BT20" i="11" s="1"/>
  <c r="DN12" i="11"/>
  <c r="BT12" i="11" s="1"/>
  <c r="DN41" i="10"/>
  <c r="BT41" i="10" s="1"/>
  <c r="DN11" i="11"/>
  <c r="BT11" i="11" s="1"/>
  <c r="DN16" i="10"/>
  <c r="BT16" i="10" s="1"/>
  <c r="DN6" i="9"/>
  <c r="BT6" i="9" s="1"/>
  <c r="DN14" i="10"/>
  <c r="BT14" i="10" s="1"/>
  <c r="DN13" i="11"/>
  <c r="BT13" i="11" s="1"/>
  <c r="DN36" i="10"/>
  <c r="BT36" i="10" s="1"/>
  <c r="DN9" i="10"/>
  <c r="BT9" i="10" s="1"/>
  <c r="DN27" i="10"/>
  <c r="BT27" i="10" s="1"/>
  <c r="DN33" i="10"/>
  <c r="BT33" i="10" s="1"/>
  <c r="DN11" i="10"/>
  <c r="BT11" i="10" s="1"/>
  <c r="DN14" i="11"/>
  <c r="BT14" i="11" s="1"/>
  <c r="DN9" i="11"/>
  <c r="BT9" i="11" s="1"/>
  <c r="DN39" i="10"/>
  <c r="BT39" i="10" s="1"/>
  <c r="DN24" i="10"/>
  <c r="BT24" i="10" s="1"/>
  <c r="DN18" i="11"/>
  <c r="BT18" i="11" s="1"/>
  <c r="DN8" i="10"/>
  <c r="BT8" i="10" s="1"/>
  <c r="DN21" i="10"/>
  <c r="BT21" i="10" s="1"/>
  <c r="DN8" i="11"/>
  <c r="BT8" i="11" s="1"/>
  <c r="DN35" i="10"/>
  <c r="BT35" i="10" s="1"/>
  <c r="DN17" i="11"/>
  <c r="BT17" i="11" s="1"/>
  <c r="DN12" i="10"/>
  <c r="BT12" i="10" s="1"/>
  <c r="DN23" i="10"/>
  <c r="BT23" i="10" s="1"/>
  <c r="DN29" i="10"/>
  <c r="BT29" i="10" s="1"/>
  <c r="DN13" i="10"/>
  <c r="BT13" i="10" s="1"/>
  <c r="DN31" i="10"/>
  <c r="BT31" i="10" s="1"/>
  <c r="DN20" i="10"/>
  <c r="BT20" i="10" s="1"/>
  <c r="DN16" i="11"/>
  <c r="BT16" i="11" s="1"/>
  <c r="DN19" i="10"/>
  <c r="BT19" i="10" s="1"/>
  <c r="DN17" i="10"/>
  <c r="BT17" i="10" s="1"/>
  <c r="DN40" i="10"/>
  <c r="BT40" i="10" s="1"/>
  <c r="DN15" i="11"/>
  <c r="BT15" i="11" s="1"/>
  <c r="DN10" i="10"/>
  <c r="BT10" i="10" s="1"/>
  <c r="DN26" i="10"/>
  <c r="BT26" i="10" s="1"/>
  <c r="DN34" i="10"/>
  <c r="BT34" i="10" s="1"/>
  <c r="R4" i="67"/>
  <c r="IF7" i="13"/>
  <c r="R8" i="47"/>
  <c r="Q7" i="67"/>
  <c r="R6" i="67"/>
  <c r="Z16" i="37"/>
  <c r="AA16" i="37" s="1"/>
  <c r="EP30" i="13"/>
  <c r="EO30" i="13"/>
  <c r="EN30" i="13"/>
  <c r="W7" i="37"/>
  <c r="X7" i="37" s="1"/>
  <c r="EG29" i="13"/>
  <c r="EF29" i="13"/>
  <c r="EE29" i="13"/>
  <c r="ED29" i="13"/>
  <c r="EG41" i="13"/>
  <c r="EF41" i="13"/>
  <c r="EE41" i="13"/>
  <c r="ED41" i="13"/>
  <c r="EH33" i="10"/>
  <c r="CH33" i="10" s="1"/>
  <c r="EH24" i="10"/>
  <c r="CH24" i="10" s="1"/>
  <c r="EH19" i="10"/>
  <c r="CH19" i="10" s="1"/>
  <c r="EH19" i="11"/>
  <c r="CH19" i="11" s="1"/>
  <c r="EH31" i="10"/>
  <c r="CH31" i="10" s="1"/>
  <c r="EH22" i="10"/>
  <c r="CH22" i="10" s="1"/>
  <c r="EH17" i="10"/>
  <c r="CH17" i="10" s="1"/>
  <c r="EH17" i="11"/>
  <c r="CH17" i="11" s="1"/>
  <c r="EH29" i="10"/>
  <c r="CH29" i="10" s="1"/>
  <c r="EH20" i="10"/>
  <c r="CH20" i="10" s="1"/>
  <c r="EH15" i="10"/>
  <c r="CH15" i="10" s="1"/>
  <c r="EH15" i="11"/>
  <c r="CH15" i="11" s="1"/>
  <c r="EH11" i="11"/>
  <c r="CH11" i="11" s="1"/>
  <c r="EH18" i="10"/>
  <c r="CH18" i="10" s="1"/>
  <c r="EH28" i="10"/>
  <c r="CH28" i="10" s="1"/>
  <c r="EH13" i="11"/>
  <c r="CH13" i="11" s="1"/>
  <c r="EH42" i="10"/>
  <c r="CH42" i="10" s="1"/>
  <c r="EH16" i="10"/>
  <c r="CH16" i="10" s="1"/>
  <c r="EH9" i="10"/>
  <c r="CH9" i="10" s="1"/>
  <c r="EH20" i="11"/>
  <c r="CH20" i="11" s="1"/>
  <c r="EH10" i="11"/>
  <c r="CH10" i="11" s="1"/>
  <c r="EH14" i="10"/>
  <c r="CH14" i="10" s="1"/>
  <c r="EH11" i="10"/>
  <c r="CH11" i="10" s="1"/>
  <c r="EH18" i="11"/>
  <c r="CH18" i="11" s="1"/>
  <c r="EH9" i="11"/>
  <c r="CH9" i="11" s="1"/>
  <c r="EH12" i="10"/>
  <c r="CH12" i="10" s="1"/>
  <c r="EH13" i="10"/>
  <c r="CH13" i="10" s="1"/>
  <c r="EH16" i="11"/>
  <c r="CH16" i="11" s="1"/>
  <c r="EH8" i="11"/>
  <c r="CH8" i="11" s="1"/>
  <c r="EH10" i="10"/>
  <c r="CH10" i="10" s="1"/>
  <c r="EH6" i="9"/>
  <c r="CH6" i="9" s="1"/>
  <c r="EH14" i="11"/>
  <c r="CH14" i="11" s="1"/>
  <c r="EH40" i="10"/>
  <c r="CH40" i="10" s="1"/>
  <c r="EH8" i="10"/>
  <c r="CH8" i="10" s="1"/>
  <c r="EH12" i="11"/>
  <c r="CH12" i="11" s="1"/>
  <c r="EH38" i="10"/>
  <c r="CH38" i="10" s="1"/>
  <c r="EH32" i="10"/>
  <c r="CH32" i="10" s="1"/>
  <c r="EH41" i="10"/>
  <c r="CH41" i="10" s="1"/>
  <c r="EH36" i="10"/>
  <c r="CH36" i="10" s="1"/>
  <c r="EH27" i="10"/>
  <c r="CH27" i="10" s="1"/>
  <c r="EH39" i="10"/>
  <c r="CH39" i="10" s="1"/>
  <c r="EH34" i="10"/>
  <c r="CH34" i="10" s="1"/>
  <c r="EH25" i="10"/>
  <c r="CH25" i="10" s="1"/>
  <c r="EH37" i="10"/>
  <c r="CH37" i="10" s="1"/>
  <c r="EH30" i="10"/>
  <c r="CH30" i="10" s="1"/>
  <c r="EH23" i="10"/>
  <c r="CH23" i="10" s="1"/>
  <c r="EH35" i="10"/>
  <c r="CH35" i="10" s="1"/>
  <c r="EH26" i="10"/>
  <c r="CH26" i="10" s="1"/>
  <c r="EH21" i="10"/>
  <c r="CH21" i="10" s="1"/>
  <c r="K3" i="37"/>
  <c r="L3" i="37"/>
  <c r="DT40" i="13"/>
  <c r="DU40" i="13"/>
  <c r="DV40" i="13"/>
  <c r="T15" i="37"/>
  <c r="U15" i="37" s="1"/>
  <c r="DV11" i="13"/>
  <c r="DU11" i="13"/>
  <c r="DT11" i="13"/>
  <c r="T10" i="57"/>
  <c r="U10" i="57" s="1"/>
  <c r="DV9" i="14"/>
  <c r="DU9" i="14"/>
  <c r="DT9" i="14"/>
  <c r="T8" i="57"/>
  <c r="U8" i="57" s="1"/>
  <c r="DV10" i="14"/>
  <c r="DU10" i="14"/>
  <c r="DT10" i="14"/>
  <c r="T27" i="37"/>
  <c r="U27" i="37" s="1"/>
  <c r="DV22" i="13"/>
  <c r="DU22" i="13"/>
  <c r="DT22" i="13"/>
  <c r="N13" i="37"/>
  <c r="O13" i="37" s="1"/>
  <c r="S15" i="38"/>
  <c r="Q13" i="37"/>
  <c r="R13" i="37" s="1"/>
  <c r="DL8" i="13"/>
  <c r="DJ8" i="13"/>
  <c r="DK8" i="13"/>
  <c r="DM8" i="13"/>
  <c r="Q3" i="37"/>
  <c r="R3" i="37" s="1"/>
  <c r="N3" i="38"/>
  <c r="N3" i="37"/>
  <c r="O3" i="37" s="1"/>
  <c r="M3" i="38"/>
  <c r="S3" i="38"/>
  <c r="P3" i="38"/>
  <c r="O3" i="38"/>
  <c r="Q21" i="37"/>
  <c r="R21" i="37" s="1"/>
  <c r="N21" i="37"/>
  <c r="O21" i="37" s="1"/>
  <c r="S18" i="38"/>
  <c r="DM33" i="13"/>
  <c r="DL33" i="13"/>
  <c r="DK33" i="13"/>
  <c r="DJ33" i="13"/>
  <c r="DO34" i="10"/>
  <c r="BU34" i="10" s="1"/>
  <c r="DO26" i="10"/>
  <c r="BU26" i="10" s="1"/>
  <c r="DO12" i="10"/>
  <c r="BU12" i="10" s="1"/>
  <c r="DO22" i="10"/>
  <c r="BU22" i="10" s="1"/>
  <c r="DO37" i="10"/>
  <c r="BU37" i="10" s="1"/>
  <c r="DO15" i="10"/>
  <c r="BU15" i="10" s="1"/>
  <c r="DO17" i="10"/>
  <c r="BU17" i="10" s="1"/>
  <c r="DO6" i="9"/>
  <c r="BU6" i="9" s="1"/>
  <c r="DO27" i="10"/>
  <c r="BU27" i="10" s="1"/>
  <c r="DO10" i="10"/>
  <c r="BU10" i="10" s="1"/>
  <c r="DO8" i="10"/>
  <c r="BU8" i="10" s="1"/>
  <c r="DO28" i="10"/>
  <c r="BU28" i="10" s="1"/>
  <c r="DO38" i="10"/>
  <c r="BU38" i="10" s="1"/>
  <c r="DO31" i="10"/>
  <c r="BU31" i="10" s="1"/>
  <c r="DO8" i="11"/>
  <c r="BU8" i="11" s="1"/>
  <c r="DO16" i="10"/>
  <c r="BU16" i="10" s="1"/>
  <c r="DO10" i="11"/>
  <c r="BU10" i="11" s="1"/>
  <c r="DO16" i="11"/>
  <c r="BU16" i="11" s="1"/>
  <c r="DO18" i="11"/>
  <c r="BU18" i="11" s="1"/>
  <c r="DO40" i="10"/>
  <c r="BU40" i="10" s="1"/>
  <c r="DO15" i="11"/>
  <c r="BU15" i="11" s="1"/>
  <c r="DO9" i="11"/>
  <c r="BU9" i="11" s="1"/>
  <c r="DO17" i="11"/>
  <c r="BU17" i="11" s="1"/>
  <c r="DO21" i="10"/>
  <c r="BU21" i="10" s="1"/>
  <c r="DO14" i="11"/>
  <c r="BU14" i="11" s="1"/>
  <c r="DO36" i="10"/>
  <c r="BU36" i="10" s="1"/>
  <c r="DO20" i="11"/>
  <c r="BU20" i="11" s="1"/>
  <c r="DO29" i="10"/>
  <c r="BU29" i="10" s="1"/>
  <c r="DO9" i="10"/>
  <c r="BU9" i="10" s="1"/>
  <c r="DO23" i="10"/>
  <c r="BU23" i="10" s="1"/>
  <c r="DO18" i="10"/>
  <c r="BU18" i="10" s="1"/>
  <c r="DO20" i="10"/>
  <c r="BU20" i="10" s="1"/>
  <c r="DO33" i="10"/>
  <c r="BU33" i="10" s="1"/>
  <c r="DO35" i="10"/>
  <c r="BU35" i="10" s="1"/>
  <c r="DO14" i="10"/>
  <c r="BU14" i="10" s="1"/>
  <c r="DO41" i="10"/>
  <c r="BU41" i="10" s="1"/>
  <c r="DO13" i="11"/>
  <c r="BU13" i="11" s="1"/>
  <c r="DO13" i="10"/>
  <c r="BU13" i="10" s="1"/>
  <c r="DO32" i="10"/>
  <c r="BU32" i="10" s="1"/>
  <c r="DO19" i="10"/>
  <c r="BU19" i="10" s="1"/>
  <c r="DO11" i="11"/>
  <c r="BU11" i="11" s="1"/>
  <c r="DO25" i="10"/>
  <c r="BU25" i="10" s="1"/>
  <c r="DO30" i="10"/>
  <c r="BU30" i="10" s="1"/>
  <c r="DO39" i="10"/>
  <c r="BU39" i="10" s="1"/>
  <c r="DO19" i="11"/>
  <c r="BU19" i="11" s="1"/>
  <c r="DO12" i="11"/>
  <c r="BU12" i="11" s="1"/>
  <c r="DO11" i="10"/>
  <c r="BU11" i="10" s="1"/>
  <c r="DO42" i="10"/>
  <c r="BU42" i="10" s="1"/>
  <c r="DO24" i="10"/>
  <c r="BU24" i="10" s="1"/>
  <c r="T6" i="57"/>
  <c r="U6" i="57" s="1"/>
  <c r="DT14" i="14"/>
  <c r="DV14" i="14"/>
  <c r="DU14" i="14"/>
  <c r="T7" i="57"/>
  <c r="U7" i="57" s="1"/>
  <c r="DU15" i="14"/>
  <c r="DV15" i="14"/>
  <c r="DT15" i="14"/>
  <c r="DY32" i="10"/>
  <c r="CB32" i="10" s="1"/>
  <c r="DY26" i="10"/>
  <c r="CB26" i="10" s="1"/>
  <c r="DY23" i="10"/>
  <c r="CB23" i="10" s="1"/>
  <c r="DY14" i="11"/>
  <c r="CB14" i="11" s="1"/>
  <c r="DY17" i="11"/>
  <c r="CB17" i="11" s="1"/>
  <c r="DY8" i="11"/>
  <c r="CB8" i="11" s="1"/>
  <c r="DY16" i="10"/>
  <c r="CB16" i="10" s="1"/>
  <c r="DY37" i="10"/>
  <c r="CB37" i="10" s="1"/>
  <c r="DY33" i="10"/>
  <c r="CB33" i="10" s="1"/>
  <c r="DY42" i="10"/>
  <c r="CB42" i="10" s="1"/>
  <c r="DY20" i="11"/>
  <c r="CB20" i="11" s="1"/>
  <c r="DY15" i="10"/>
  <c r="CB15" i="10" s="1"/>
  <c r="DY11" i="10"/>
  <c r="CB11" i="10" s="1"/>
  <c r="DY24" i="10"/>
  <c r="CB24" i="10" s="1"/>
  <c r="DY12" i="11"/>
  <c r="CB12" i="11" s="1"/>
  <c r="DY8" i="10"/>
  <c r="CB8" i="10" s="1"/>
  <c r="DY9" i="10"/>
  <c r="CB9" i="10" s="1"/>
  <c r="DY40" i="10"/>
  <c r="CB40" i="10" s="1"/>
  <c r="DY21" i="10"/>
  <c r="CB21" i="10" s="1"/>
  <c r="DY15" i="11"/>
  <c r="CB15" i="11" s="1"/>
  <c r="DY9" i="11"/>
  <c r="CB9" i="11" s="1"/>
  <c r="DY14" i="10"/>
  <c r="CB14" i="10" s="1"/>
  <c r="DY31" i="10"/>
  <c r="CB31" i="10" s="1"/>
  <c r="DY22" i="10"/>
  <c r="CB22" i="10" s="1"/>
  <c r="DY18" i="11"/>
  <c r="CB18" i="11" s="1"/>
  <c r="DY28" i="10"/>
  <c r="CB28" i="10" s="1"/>
  <c r="DY38" i="10"/>
  <c r="CB38" i="10" s="1"/>
  <c r="DY41" i="10"/>
  <c r="CB41" i="10" s="1"/>
  <c r="DY6" i="9"/>
  <c r="CB6" i="9" s="1"/>
  <c r="DY27" i="10"/>
  <c r="CB27" i="10" s="1"/>
  <c r="DY19" i="10"/>
  <c r="CB19" i="10" s="1"/>
  <c r="DY13" i="11"/>
  <c r="CB13" i="11" s="1"/>
  <c r="DY20" i="10"/>
  <c r="CB20" i="10" s="1"/>
  <c r="DY12" i="10"/>
  <c r="CB12" i="10" s="1"/>
  <c r="DY29" i="10"/>
  <c r="CB29" i="10" s="1"/>
  <c r="DY36" i="10"/>
  <c r="CB36" i="10" s="1"/>
  <c r="DY16" i="11"/>
  <c r="CB16" i="11" s="1"/>
  <c r="DY19" i="11"/>
  <c r="CB19" i="11" s="1"/>
  <c r="DY30" i="10"/>
  <c r="CB30" i="10" s="1"/>
  <c r="DY25" i="10"/>
  <c r="CB25" i="10" s="1"/>
  <c r="DY39" i="10"/>
  <c r="CB39" i="10" s="1"/>
  <c r="DY35" i="10"/>
  <c r="CB35" i="10" s="1"/>
  <c r="DY11" i="11"/>
  <c r="CB11" i="11" s="1"/>
  <c r="DY18" i="10"/>
  <c r="CB18" i="10" s="1"/>
  <c r="DY17" i="10"/>
  <c r="CB17" i="10" s="1"/>
  <c r="DY13" i="10"/>
  <c r="CB13" i="10" s="1"/>
  <c r="DY10" i="11"/>
  <c r="CB10" i="11" s="1"/>
  <c r="DY34" i="10"/>
  <c r="CB34" i="10" s="1"/>
  <c r="DY10" i="10"/>
  <c r="CB10" i="10" s="1"/>
  <c r="Q6" i="67"/>
  <c r="IC7" i="13"/>
  <c r="IG7" i="9"/>
  <c r="P7" i="47"/>
  <c r="P19" i="47"/>
  <c r="BI9" i="10"/>
  <c r="BI25" i="10"/>
  <c r="BI18" i="10"/>
  <c r="Q5" i="37"/>
  <c r="R5" i="37" s="1"/>
  <c r="N5" i="37"/>
  <c r="O5" i="37" s="1"/>
  <c r="S11" i="38"/>
  <c r="DM32" i="13"/>
  <c r="DL32" i="13"/>
  <c r="DK32" i="13"/>
  <c r="DJ32" i="13"/>
  <c r="Q25" i="37"/>
  <c r="R25" i="37" s="1"/>
  <c r="N25" i="37"/>
  <c r="O25" i="37" s="1"/>
  <c r="S24" i="38"/>
  <c r="DM19" i="13"/>
  <c r="DL19" i="13"/>
  <c r="DK19" i="13"/>
  <c r="DJ19" i="13"/>
  <c r="BI35" i="10"/>
  <c r="N10" i="37"/>
  <c r="O10" i="37" s="1"/>
  <c r="S10" i="38"/>
  <c r="Q10" i="37"/>
  <c r="R10" i="37" s="1"/>
  <c r="DM31" i="13"/>
  <c r="DL31" i="13"/>
  <c r="DK31" i="13"/>
  <c r="DJ31" i="13"/>
  <c r="S7" i="38"/>
  <c r="Q8" i="37"/>
  <c r="R8" i="37" s="1"/>
  <c r="N8" i="37"/>
  <c r="O8" i="37" s="1"/>
  <c r="DM17" i="13"/>
  <c r="DL17" i="13"/>
  <c r="DK17" i="13"/>
  <c r="DJ17" i="13"/>
  <c r="DP16" i="10"/>
  <c r="BV16" i="10" s="1"/>
  <c r="DP14" i="10"/>
  <c r="BV14" i="10" s="1"/>
  <c r="DP8" i="10"/>
  <c r="BV8" i="10" s="1"/>
  <c r="DP17" i="10"/>
  <c r="BV17" i="10" s="1"/>
  <c r="DP13" i="10"/>
  <c r="BV13" i="10" s="1"/>
  <c r="DP18" i="11"/>
  <c r="BV18" i="11" s="1"/>
  <c r="DP10" i="11"/>
  <c r="BV10" i="11" s="1"/>
  <c r="DP8" i="11"/>
  <c r="BV8" i="11" s="1"/>
  <c r="DP15" i="11"/>
  <c r="BV15" i="11" s="1"/>
  <c r="DP38" i="10"/>
  <c r="BV38" i="10" s="1"/>
  <c r="DP30" i="10"/>
  <c r="BV30" i="10" s="1"/>
  <c r="DP28" i="10"/>
  <c r="BV28" i="10" s="1"/>
  <c r="DP37" i="10"/>
  <c r="BV37" i="10" s="1"/>
  <c r="DP24" i="10"/>
  <c r="BV24" i="10" s="1"/>
  <c r="DP19" i="10"/>
  <c r="BV19" i="10" s="1"/>
  <c r="DP11" i="11"/>
  <c r="BV11" i="11" s="1"/>
  <c r="DP26" i="10"/>
  <c r="BV26" i="10" s="1"/>
  <c r="DP9" i="11"/>
  <c r="BV9" i="11" s="1"/>
  <c r="DP40" i="10"/>
  <c r="BV40" i="10" s="1"/>
  <c r="DP20" i="11"/>
  <c r="BV20" i="11" s="1"/>
  <c r="DP15" i="10"/>
  <c r="BV15" i="10" s="1"/>
  <c r="DP6" i="9"/>
  <c r="BV6" i="9" s="1"/>
  <c r="DP23" i="10"/>
  <c r="BV23" i="10" s="1"/>
  <c r="DP18" i="10"/>
  <c r="BV18" i="10" s="1"/>
  <c r="DP31" i="10"/>
  <c r="BV31" i="10" s="1"/>
  <c r="DP27" i="10"/>
  <c r="BV27" i="10" s="1"/>
  <c r="DP12" i="10"/>
  <c r="BV12" i="10" s="1"/>
  <c r="DP32" i="10"/>
  <c r="BV32" i="10" s="1"/>
  <c r="DP42" i="10"/>
  <c r="BV42" i="10" s="1"/>
  <c r="DP35" i="10"/>
  <c r="BV35" i="10" s="1"/>
  <c r="DP41" i="10"/>
  <c r="BV41" i="10" s="1"/>
  <c r="DP12" i="11"/>
  <c r="BV12" i="11" s="1"/>
  <c r="DP13" i="11"/>
  <c r="BV13" i="11" s="1"/>
  <c r="DP19" i="11"/>
  <c r="BV19" i="11" s="1"/>
  <c r="DP11" i="10"/>
  <c r="BV11" i="10" s="1"/>
  <c r="DP20" i="10"/>
  <c r="BV20" i="10" s="1"/>
  <c r="DP34" i="10"/>
  <c r="BV34" i="10" s="1"/>
  <c r="DP9" i="10"/>
  <c r="BV9" i="10" s="1"/>
  <c r="DP10" i="10"/>
  <c r="BV10" i="10" s="1"/>
  <c r="DP14" i="11"/>
  <c r="BV14" i="11" s="1"/>
  <c r="DP22" i="10"/>
  <c r="BV22" i="10" s="1"/>
  <c r="DP39" i="10"/>
  <c r="BV39" i="10" s="1"/>
  <c r="DP36" i="10"/>
  <c r="BV36" i="10" s="1"/>
  <c r="DP21" i="10"/>
  <c r="BV21" i="10" s="1"/>
  <c r="DP25" i="10"/>
  <c r="BV25" i="10" s="1"/>
  <c r="DP17" i="11"/>
  <c r="BV17" i="11" s="1"/>
  <c r="DP16" i="11"/>
  <c r="BV16" i="11" s="1"/>
  <c r="DP29" i="10"/>
  <c r="BV29" i="10" s="1"/>
  <c r="DP33" i="10"/>
  <c r="BV33" i="10" s="1"/>
  <c r="O18" i="47"/>
  <c r="N6" i="47"/>
  <c r="O3" i="47"/>
  <c r="P21" i="47"/>
  <c r="Q34" i="47"/>
  <c r="W7" i="57"/>
  <c r="X7" i="57" s="1"/>
  <c r="EG15" i="14"/>
  <c r="EF15" i="14"/>
  <c r="EE15" i="14"/>
  <c r="ED15" i="14"/>
  <c r="W24" i="37"/>
  <c r="X24" i="37" s="1"/>
  <c r="EF34" i="13"/>
  <c r="EE34" i="13"/>
  <c r="ED34" i="13"/>
  <c r="EG34" i="13"/>
  <c r="EI33" i="10"/>
  <c r="CI33" i="10" s="1"/>
  <c r="EI24" i="10"/>
  <c r="CI24" i="10" s="1"/>
  <c r="EI17" i="10"/>
  <c r="CI17" i="10" s="1"/>
  <c r="EI19" i="11"/>
  <c r="CI19" i="11" s="1"/>
  <c r="EI11" i="11"/>
  <c r="CI11" i="11" s="1"/>
  <c r="EI22" i="10"/>
  <c r="CI22" i="10" s="1"/>
  <c r="EI15" i="10"/>
  <c r="CI15" i="10" s="1"/>
  <c r="EI17" i="11"/>
  <c r="CI17" i="11" s="1"/>
  <c r="EI42" i="10"/>
  <c r="CI42" i="10" s="1"/>
  <c r="EI20" i="10"/>
  <c r="CI20" i="10" s="1"/>
  <c r="EI13" i="10"/>
  <c r="CI13" i="10" s="1"/>
  <c r="EI15" i="11"/>
  <c r="CI15" i="11" s="1"/>
  <c r="EI13" i="11"/>
  <c r="CI13" i="11" s="1"/>
  <c r="EI18" i="10"/>
  <c r="CI18" i="10" s="1"/>
  <c r="EI11" i="10"/>
  <c r="CI11" i="10" s="1"/>
  <c r="EI20" i="11"/>
  <c r="CI20" i="11" s="1"/>
  <c r="EI9" i="11"/>
  <c r="CI9" i="11" s="1"/>
  <c r="EI16" i="10"/>
  <c r="CI16" i="10" s="1"/>
  <c r="EI9" i="10"/>
  <c r="CI9" i="10" s="1"/>
  <c r="EI18" i="11"/>
  <c r="CI18" i="11" s="1"/>
  <c r="EI8" i="11"/>
  <c r="CI8" i="11" s="1"/>
  <c r="EI14" i="10"/>
  <c r="CI14" i="10" s="1"/>
  <c r="EI31" i="10"/>
  <c r="CI31" i="10" s="1"/>
  <c r="EI16" i="11"/>
  <c r="CI16" i="11" s="1"/>
  <c r="EI40" i="10"/>
  <c r="CI40" i="10" s="1"/>
  <c r="EI12" i="10"/>
  <c r="CI12" i="10" s="1"/>
  <c r="EI8" i="10"/>
  <c r="CI8" i="10" s="1"/>
  <c r="EI14" i="11"/>
  <c r="CI14" i="11" s="1"/>
  <c r="EI38" i="10"/>
  <c r="CI38" i="10" s="1"/>
  <c r="EI10" i="10"/>
  <c r="CI10" i="10" s="1"/>
  <c r="EI6" i="9"/>
  <c r="CI6" i="9" s="1"/>
  <c r="EI12" i="11"/>
  <c r="CI12" i="11" s="1"/>
  <c r="EI36" i="10"/>
  <c r="CI36" i="10" s="1"/>
  <c r="EI29" i="10"/>
  <c r="CI29" i="10" s="1"/>
  <c r="EI10" i="11"/>
  <c r="CI10" i="11" s="1"/>
  <c r="EI34" i="10"/>
  <c r="CI34" i="10" s="1"/>
  <c r="EI27" i="10"/>
  <c r="CI27" i="10" s="1"/>
  <c r="EI41" i="10"/>
  <c r="CI41" i="10" s="1"/>
  <c r="EI32" i="10"/>
  <c r="CI32" i="10" s="1"/>
  <c r="EI25" i="10"/>
  <c r="CI25" i="10" s="1"/>
  <c r="EI39" i="10"/>
  <c r="CI39" i="10" s="1"/>
  <c r="EI30" i="10"/>
  <c r="CI30" i="10" s="1"/>
  <c r="EI23" i="10"/>
  <c r="CI23" i="10" s="1"/>
  <c r="EI37" i="10"/>
  <c r="CI37" i="10" s="1"/>
  <c r="EI28" i="10"/>
  <c r="CI28" i="10" s="1"/>
  <c r="EI21" i="10"/>
  <c r="CI21" i="10" s="1"/>
  <c r="EI35" i="10"/>
  <c r="CI35" i="10" s="1"/>
  <c r="EI26" i="10"/>
  <c r="CI26" i="10" s="1"/>
  <c r="EI19" i="10"/>
  <c r="CI19" i="10" s="1"/>
  <c r="L13" i="37"/>
  <c r="K13" i="37"/>
  <c r="DU46" i="13"/>
  <c r="DV46" i="13"/>
  <c r="DT46" i="13"/>
  <c r="DU47" i="13"/>
  <c r="DV47" i="13"/>
  <c r="DT47" i="13"/>
  <c r="DU41" i="13"/>
  <c r="DV41" i="13"/>
  <c r="DT41" i="13"/>
  <c r="Z21" i="37"/>
  <c r="AA21" i="37" s="1"/>
  <c r="EP33" i="13"/>
  <c r="EO33" i="13"/>
  <c r="EN33" i="13"/>
  <c r="EP19" i="14"/>
  <c r="EO19" i="14"/>
  <c r="EN19" i="14"/>
  <c r="EO46" i="13"/>
  <c r="EP46" i="13"/>
  <c r="EN46" i="13"/>
  <c r="EO47" i="13"/>
  <c r="EN47" i="13"/>
  <c r="EP47" i="13"/>
  <c r="Z19" i="37"/>
  <c r="AA19" i="37" s="1"/>
  <c r="EN16" i="13"/>
  <c r="EP16" i="13"/>
  <c r="EO16" i="13"/>
  <c r="Z9" i="37"/>
  <c r="AA9" i="37" s="1"/>
  <c r="EP28" i="13"/>
  <c r="EO28" i="13"/>
  <c r="EN28" i="13"/>
  <c r="X12" i="26"/>
  <c r="AD7" i="22"/>
  <c r="HW21" i="9"/>
  <c r="HT21" i="9"/>
  <c r="HQ21" i="9"/>
  <c r="FL36" i="10"/>
  <c r="FJ36" i="10" s="1"/>
  <c r="FL8" i="11"/>
  <c r="FJ8" i="11" s="1"/>
  <c r="FL30" i="10"/>
  <c r="FJ30" i="10" s="1"/>
  <c r="FL24" i="10"/>
  <c r="FJ24" i="10" s="1"/>
  <c r="FL9" i="11"/>
  <c r="FJ9" i="11" s="1"/>
  <c r="FI10" i="14"/>
  <c r="FL6" i="9"/>
  <c r="FI9" i="14"/>
  <c r="FL28" i="10"/>
  <c r="FJ28" i="10" s="1"/>
  <c r="FL23" i="10"/>
  <c r="FJ23" i="10" s="1"/>
  <c r="FL19" i="10"/>
  <c r="FJ19" i="10" s="1"/>
  <c r="FL15" i="10"/>
  <c r="FJ15" i="10" s="1"/>
  <c r="FL33" i="10"/>
  <c r="FJ33" i="10" s="1"/>
  <c r="FI31" i="13"/>
  <c r="FI16" i="14"/>
  <c r="FI38" i="13"/>
  <c r="FI44" i="13"/>
  <c r="FG44" i="13" s="1"/>
  <c r="FI45" i="13"/>
  <c r="FG45" i="13" s="1"/>
  <c r="FI15" i="14"/>
  <c r="FL20" i="10"/>
  <c r="FJ20" i="10" s="1"/>
  <c r="FI8" i="13"/>
  <c r="FI35" i="13"/>
  <c r="FI40" i="13"/>
  <c r="FG40" i="13" s="1"/>
  <c r="FI29" i="13"/>
  <c r="FI24" i="13"/>
  <c r="FI46" i="13"/>
  <c r="FG46" i="13" s="1"/>
  <c r="FL13" i="10"/>
  <c r="FJ13" i="10" s="1"/>
  <c r="FL29" i="10"/>
  <c r="FJ29" i="10" s="1"/>
  <c r="FI27" i="13"/>
  <c r="FI19" i="13"/>
  <c r="FI14" i="13"/>
  <c r="FI22" i="13"/>
  <c r="FI33" i="13"/>
  <c r="FI11" i="14"/>
  <c r="FL16" i="10"/>
  <c r="FJ16" i="10" s="1"/>
  <c r="FI25" i="13"/>
  <c r="FI12" i="13"/>
  <c r="FL19" i="11"/>
  <c r="FJ19" i="11" s="1"/>
  <c r="FL15" i="11"/>
  <c r="FJ15" i="11" s="1"/>
  <c r="FI36" i="13"/>
  <c r="FI8" i="14"/>
  <c r="FL9" i="10"/>
  <c r="FJ9" i="10" s="1"/>
  <c r="FL18" i="11"/>
  <c r="FJ18" i="11" s="1"/>
  <c r="FL16" i="11"/>
  <c r="FJ16" i="11" s="1"/>
  <c r="FL12" i="11"/>
  <c r="FJ12" i="11" s="1"/>
  <c r="FI15" i="13"/>
  <c r="FL39" i="10"/>
  <c r="FJ39" i="10" s="1"/>
  <c r="FL11" i="11"/>
  <c r="FJ11" i="11" s="1"/>
  <c r="FI23" i="13"/>
  <c r="FI26" i="13"/>
  <c r="FI17" i="14"/>
  <c r="FL40" i="10"/>
  <c r="FJ40" i="10" s="1"/>
  <c r="FL38" i="10"/>
  <c r="FJ38" i="10" s="1"/>
  <c r="FL34" i="10"/>
  <c r="FJ34" i="10" s="1"/>
  <c r="FL27" i="10"/>
  <c r="FJ27" i="10" s="1"/>
  <c r="FL26" i="10"/>
  <c r="FJ26" i="10" s="1"/>
  <c r="FL35" i="10"/>
  <c r="FJ35" i="10" s="1"/>
  <c r="FI43" i="13"/>
  <c r="FG43" i="13" s="1"/>
  <c r="FI32" i="13"/>
  <c r="FL32" i="10"/>
  <c r="FJ32" i="10" s="1"/>
  <c r="FL25" i="10"/>
  <c r="FJ25" i="10" s="1"/>
  <c r="FL21" i="10"/>
  <c r="FJ21" i="10" s="1"/>
  <c r="FL17" i="10"/>
  <c r="FJ17" i="10" s="1"/>
  <c r="FL22" i="10"/>
  <c r="FJ22" i="10" s="1"/>
  <c r="FI9" i="13"/>
  <c r="FI17" i="13"/>
  <c r="FL12" i="10"/>
  <c r="FJ12" i="10" s="1"/>
  <c r="FI19" i="14"/>
  <c r="FG19" i="14" s="1"/>
  <c r="FI12" i="14"/>
  <c r="FI42" i="13"/>
  <c r="FG42" i="13" s="1"/>
  <c r="FI41" i="13"/>
  <c r="FG41" i="13" s="1"/>
  <c r="FL10" i="10"/>
  <c r="FJ10" i="10" s="1"/>
  <c r="FL31" i="10"/>
  <c r="FJ31" i="10" s="1"/>
  <c r="FL20" i="11"/>
  <c r="FJ20" i="11" s="1"/>
  <c r="FI30" i="13"/>
  <c r="FI37" i="13"/>
  <c r="FI34" i="13"/>
  <c r="FI13" i="14"/>
  <c r="FI18" i="14"/>
  <c r="FL18" i="10"/>
  <c r="FJ18" i="10" s="1"/>
  <c r="FL42" i="10"/>
  <c r="FJ42" i="10" s="1"/>
  <c r="FI39" i="13"/>
  <c r="FG39" i="13" s="1"/>
  <c r="FI20" i="13"/>
  <c r="FI6" i="13"/>
  <c r="FI10" i="13"/>
  <c r="FI18" i="13"/>
  <c r="FI47" i="13"/>
  <c r="FG47" i="13" s="1"/>
  <c r="FL11" i="10"/>
  <c r="FJ11" i="10" s="1"/>
  <c r="FL14" i="10"/>
  <c r="FJ14" i="10" s="1"/>
  <c r="FI16" i="13"/>
  <c r="FI11" i="13"/>
  <c r="FL17" i="11"/>
  <c r="FJ17" i="11" s="1"/>
  <c r="FL13" i="11"/>
  <c r="FJ13" i="11" s="1"/>
  <c r="FI28" i="13"/>
  <c r="FI14" i="14"/>
  <c r="FL8" i="10"/>
  <c r="FJ8" i="10" s="1"/>
  <c r="FL14" i="11"/>
  <c r="FJ14" i="11" s="1"/>
  <c r="FL10" i="11"/>
  <c r="FJ10" i="11" s="1"/>
  <c r="FL41" i="10"/>
  <c r="FJ41" i="10" s="1"/>
  <c r="FL37" i="10"/>
  <c r="FJ37" i="10" s="1"/>
  <c r="FI13" i="13"/>
  <c r="FI6" i="14"/>
  <c r="FI21" i="13"/>
  <c r="FJ21" i="9"/>
  <c r="W9" i="37"/>
  <c r="X9" i="37" s="1"/>
  <c r="EF28" i="13"/>
  <c r="EE28" i="13"/>
  <c r="ED28" i="13"/>
  <c r="EG28" i="13"/>
  <c r="W16" i="37"/>
  <c r="X16" i="37" s="1"/>
  <c r="ED30" i="13"/>
  <c r="EG30" i="13"/>
  <c r="EF30" i="13"/>
  <c r="EE30" i="13"/>
  <c r="EJ19" i="11"/>
  <c r="CJ19" i="11" s="1"/>
  <c r="EJ41" i="10"/>
  <c r="CJ41" i="10" s="1"/>
  <c r="EJ12" i="10"/>
  <c r="CJ12" i="10" s="1"/>
  <c r="EJ17" i="11"/>
  <c r="CJ17" i="11" s="1"/>
  <c r="EJ39" i="10"/>
  <c r="CJ39" i="10" s="1"/>
  <c r="EJ10" i="10"/>
  <c r="CJ10" i="10" s="1"/>
  <c r="EJ15" i="11"/>
  <c r="CJ15" i="11" s="1"/>
  <c r="EJ37" i="10"/>
  <c r="CJ37" i="10" s="1"/>
  <c r="EJ8" i="10"/>
  <c r="CJ8" i="10" s="1"/>
  <c r="EJ13" i="11"/>
  <c r="CJ13" i="11" s="1"/>
  <c r="EJ35" i="10"/>
  <c r="CJ35" i="10" s="1"/>
  <c r="EJ27" i="10"/>
  <c r="CJ27" i="10" s="1"/>
  <c r="EJ11" i="11"/>
  <c r="CJ11" i="11" s="1"/>
  <c r="EJ33" i="10"/>
  <c r="CJ33" i="10" s="1"/>
  <c r="EJ25" i="10"/>
  <c r="CJ25" i="10" s="1"/>
  <c r="EJ9" i="11"/>
  <c r="CJ9" i="11" s="1"/>
  <c r="EJ31" i="10"/>
  <c r="CJ31" i="10" s="1"/>
  <c r="EJ23" i="10"/>
  <c r="CJ23" i="10" s="1"/>
  <c r="EJ42" i="10"/>
  <c r="CJ42" i="10" s="1"/>
  <c r="EJ29" i="10"/>
  <c r="CJ29" i="10" s="1"/>
  <c r="EJ21" i="10"/>
  <c r="CJ21" i="10" s="1"/>
  <c r="EJ20" i="11"/>
  <c r="CJ20" i="11" s="1"/>
  <c r="EJ40" i="10"/>
  <c r="CJ40" i="10" s="1"/>
  <c r="EJ26" i="10"/>
  <c r="CJ26" i="10" s="1"/>
  <c r="EJ19" i="10"/>
  <c r="CJ19" i="10" s="1"/>
  <c r="EJ18" i="11"/>
  <c r="CJ18" i="11" s="1"/>
  <c r="EJ38" i="10"/>
  <c r="CJ38" i="10" s="1"/>
  <c r="EJ24" i="10"/>
  <c r="CJ24" i="10" s="1"/>
  <c r="EJ17" i="10"/>
  <c r="CJ17" i="10" s="1"/>
  <c r="EJ16" i="11"/>
  <c r="CJ16" i="11" s="1"/>
  <c r="EJ36" i="10"/>
  <c r="CJ36" i="10" s="1"/>
  <c r="EJ22" i="10"/>
  <c r="CJ22" i="10" s="1"/>
  <c r="EJ15" i="10"/>
  <c r="CJ15" i="10" s="1"/>
  <c r="EJ14" i="11"/>
  <c r="CJ14" i="11" s="1"/>
  <c r="EJ34" i="10"/>
  <c r="CJ34" i="10" s="1"/>
  <c r="EJ20" i="10"/>
  <c r="CJ20" i="10" s="1"/>
  <c r="EJ9" i="10"/>
  <c r="CJ9" i="10" s="1"/>
  <c r="EJ12" i="11"/>
  <c r="CJ12" i="11" s="1"/>
  <c r="EJ32" i="10"/>
  <c r="CJ32" i="10" s="1"/>
  <c r="EJ18" i="10"/>
  <c r="CJ18" i="10" s="1"/>
  <c r="EJ11" i="10"/>
  <c r="CJ11" i="10" s="1"/>
  <c r="EJ10" i="11"/>
  <c r="CJ10" i="11" s="1"/>
  <c r="EJ30" i="10"/>
  <c r="CJ30" i="10" s="1"/>
  <c r="EJ16" i="10"/>
  <c r="CJ16" i="10" s="1"/>
  <c r="EJ13" i="10"/>
  <c r="CJ13" i="10" s="1"/>
  <c r="EJ8" i="11"/>
  <c r="CJ8" i="11" s="1"/>
  <c r="EJ28" i="10"/>
  <c r="CJ28" i="10" s="1"/>
  <c r="EJ14" i="10"/>
  <c r="CJ14" i="10" s="1"/>
  <c r="EJ6" i="9"/>
  <c r="CJ6" i="9" s="1"/>
  <c r="T4" i="37"/>
  <c r="U4" i="37" s="1"/>
  <c r="DV20" i="13"/>
  <c r="DU20" i="13"/>
  <c r="DT20" i="13"/>
  <c r="T5" i="37"/>
  <c r="U5" i="37" s="1"/>
  <c r="DU32" i="13"/>
  <c r="DT32" i="13"/>
  <c r="DV32" i="13"/>
  <c r="T10" i="37"/>
  <c r="U10" i="37" s="1"/>
  <c r="DV31" i="13"/>
  <c r="DT31" i="13"/>
  <c r="DU31" i="13"/>
  <c r="DX13" i="11"/>
  <c r="CA13" i="11" s="1"/>
  <c r="DX33" i="10"/>
  <c r="CA33" i="10" s="1"/>
  <c r="DX9" i="10"/>
  <c r="CA9" i="10" s="1"/>
  <c r="DX8" i="11"/>
  <c r="CA8" i="11" s="1"/>
  <c r="DX10" i="11"/>
  <c r="CA10" i="11" s="1"/>
  <c r="DX28" i="10"/>
  <c r="CA28" i="10" s="1"/>
  <c r="DX40" i="10"/>
  <c r="CA40" i="10" s="1"/>
  <c r="DX42" i="10"/>
  <c r="CA42" i="10" s="1"/>
  <c r="DX29" i="10"/>
  <c r="CA29" i="10" s="1"/>
  <c r="DX38" i="10"/>
  <c r="CA38" i="10" s="1"/>
  <c r="DX9" i="11"/>
  <c r="CA9" i="11" s="1"/>
  <c r="DX26" i="10"/>
  <c r="CA26" i="10" s="1"/>
  <c r="DX36" i="10"/>
  <c r="CA36" i="10" s="1"/>
  <c r="DX31" i="10"/>
  <c r="CA31" i="10" s="1"/>
  <c r="DX24" i="10"/>
  <c r="CA24" i="10" s="1"/>
  <c r="DX34" i="10"/>
  <c r="CA34" i="10" s="1"/>
  <c r="DX27" i="10"/>
  <c r="CA27" i="10" s="1"/>
  <c r="DX22" i="10"/>
  <c r="CA22" i="10" s="1"/>
  <c r="DX32" i="10"/>
  <c r="CA32" i="10" s="1"/>
  <c r="DX25" i="10"/>
  <c r="CA25" i="10" s="1"/>
  <c r="DX20" i="10"/>
  <c r="CA20" i="10" s="1"/>
  <c r="DX20" i="11"/>
  <c r="CA20" i="11" s="1"/>
  <c r="DX30" i="10"/>
  <c r="CA30" i="10" s="1"/>
  <c r="DX23" i="10"/>
  <c r="CA23" i="10" s="1"/>
  <c r="DX18" i="10"/>
  <c r="CA18" i="10" s="1"/>
  <c r="DX18" i="11"/>
  <c r="CA18" i="11" s="1"/>
  <c r="DX11" i="11"/>
  <c r="CA11" i="11" s="1"/>
  <c r="DX21" i="10"/>
  <c r="CA21" i="10" s="1"/>
  <c r="DX16" i="10"/>
  <c r="CA16" i="10" s="1"/>
  <c r="DX16" i="11"/>
  <c r="CA16" i="11" s="1"/>
  <c r="DX12" i="11"/>
  <c r="CA12" i="11" s="1"/>
  <c r="DX19" i="10"/>
  <c r="CA19" i="10" s="1"/>
  <c r="DX14" i="10"/>
  <c r="CA14" i="10" s="1"/>
  <c r="DX14" i="11"/>
  <c r="CA14" i="11" s="1"/>
  <c r="DX41" i="10"/>
  <c r="CA41" i="10" s="1"/>
  <c r="DX17" i="10"/>
  <c r="CA17" i="10" s="1"/>
  <c r="DX12" i="10"/>
  <c r="CA12" i="10" s="1"/>
  <c r="DX19" i="11"/>
  <c r="CA19" i="11" s="1"/>
  <c r="DX39" i="10"/>
  <c r="CA39" i="10" s="1"/>
  <c r="DX15" i="10"/>
  <c r="CA15" i="10" s="1"/>
  <c r="DX10" i="10"/>
  <c r="CA10" i="10" s="1"/>
  <c r="DX17" i="11"/>
  <c r="CA17" i="11" s="1"/>
  <c r="DX37" i="10"/>
  <c r="CA37" i="10" s="1"/>
  <c r="DX13" i="10"/>
  <c r="CA13" i="10" s="1"/>
  <c r="DX8" i="10"/>
  <c r="CA8" i="10" s="1"/>
  <c r="DX15" i="11"/>
  <c r="CA15" i="11" s="1"/>
  <c r="DX35" i="10"/>
  <c r="CA35" i="10" s="1"/>
  <c r="DX11" i="10"/>
  <c r="CA11" i="10" s="1"/>
  <c r="DX6" i="9"/>
  <c r="CA6" i="9" s="1"/>
  <c r="C75" i="36"/>
  <c r="C75" i="35"/>
  <c r="C61" i="33"/>
  <c r="C61" i="34"/>
  <c r="C29" i="32"/>
  <c r="C70" i="30"/>
  <c r="C29" i="31"/>
  <c r="C57" i="28"/>
  <c r="D69" i="26"/>
  <c r="C77" i="29"/>
  <c r="C57" i="27"/>
  <c r="D22" i="24"/>
  <c r="D56" i="25"/>
  <c r="D47" i="22"/>
  <c r="D47" i="20"/>
  <c r="C47" i="17"/>
  <c r="D62" i="23"/>
  <c r="C77" i="12"/>
  <c r="A32" i="9"/>
  <c r="A33" i="9" s="1"/>
  <c r="A34" i="9" s="1"/>
  <c r="A35" i="9" s="1"/>
  <c r="R13" i="67"/>
  <c r="BI13" i="10"/>
  <c r="N27" i="37"/>
  <c r="O27" i="37" s="1"/>
  <c r="S21" i="38"/>
  <c r="Q27" i="37"/>
  <c r="R27" i="37" s="1"/>
  <c r="DM22" i="13"/>
  <c r="DL22" i="13"/>
  <c r="DK22" i="13"/>
  <c r="DJ22" i="13"/>
  <c r="BI27" i="10"/>
  <c r="BI37" i="10"/>
  <c r="BI16" i="10"/>
  <c r="Z11" i="23"/>
  <c r="AA7" i="22"/>
  <c r="GJ21" i="9"/>
  <c r="GS21" i="9"/>
  <c r="EZ21" i="9"/>
  <c r="GP21" i="9"/>
  <c r="GM21" i="9"/>
  <c r="EZ38" i="13"/>
  <c r="FC11" i="11"/>
  <c r="EZ29" i="13"/>
  <c r="FC40" i="10"/>
  <c r="EZ24" i="13"/>
  <c r="FC28" i="10"/>
  <c r="EZ23" i="13"/>
  <c r="FC35" i="10"/>
  <c r="EZ31" i="13"/>
  <c r="FC33" i="10"/>
  <c r="EZ30" i="13"/>
  <c r="FC26" i="10"/>
  <c r="EZ13" i="13"/>
  <c r="FC14" i="10"/>
  <c r="EZ16" i="13"/>
  <c r="FC25" i="10"/>
  <c r="EZ6" i="13"/>
  <c r="FC23" i="10"/>
  <c r="EZ8" i="13"/>
  <c r="FC17" i="10"/>
  <c r="EZ43" i="13"/>
  <c r="FC20" i="11"/>
  <c r="EZ47" i="13"/>
  <c r="FC14" i="11"/>
  <c r="EZ41" i="13"/>
  <c r="EZ18" i="13"/>
  <c r="EZ8" i="14"/>
  <c r="FC13" i="11"/>
  <c r="EZ17" i="14"/>
  <c r="FC9" i="11"/>
  <c r="EZ10" i="13"/>
  <c r="EZ15" i="13"/>
  <c r="FC12" i="11"/>
  <c r="FC18" i="11"/>
  <c r="EZ37" i="13"/>
  <c r="FC10" i="10"/>
  <c r="EZ36" i="13"/>
  <c r="FC6" i="9"/>
  <c r="EZ12" i="13"/>
  <c r="EZ17" i="13"/>
  <c r="EZ34" i="13"/>
  <c r="FC39" i="10"/>
  <c r="EZ10" i="14"/>
  <c r="EZ32" i="13"/>
  <c r="EZ15" i="14"/>
  <c r="EZ46" i="13"/>
  <c r="FC17" i="11"/>
  <c r="FC12" i="10"/>
  <c r="EZ44" i="13"/>
  <c r="EZ40" i="13"/>
  <c r="FC19" i="10"/>
  <c r="EZ13" i="14"/>
  <c r="EZ14" i="13"/>
  <c r="FC41" i="10"/>
  <c r="FC15" i="10"/>
  <c r="FC29" i="10"/>
  <c r="EZ26" i="13"/>
  <c r="FC19" i="11"/>
  <c r="FC9" i="10"/>
  <c r="FC22" i="10"/>
  <c r="FC42" i="10"/>
  <c r="EZ45" i="13"/>
  <c r="EZ25" i="13"/>
  <c r="FC11" i="10"/>
  <c r="FC18" i="10"/>
  <c r="FC36" i="10"/>
  <c r="FC16" i="11"/>
  <c r="EZ19" i="14"/>
  <c r="EZ35" i="13"/>
  <c r="FC16" i="10"/>
  <c r="FC32" i="10"/>
  <c r="FC10" i="11"/>
  <c r="EZ28" i="13"/>
  <c r="EZ11" i="14"/>
  <c r="FC30" i="10"/>
  <c r="EZ9" i="13"/>
  <c r="EZ20" i="13"/>
  <c r="EZ33" i="13"/>
  <c r="EZ16" i="14"/>
  <c r="EZ21" i="13"/>
  <c r="EZ11" i="13"/>
  <c r="EZ42" i="13"/>
  <c r="EZ9" i="14"/>
  <c r="EZ19" i="13"/>
  <c r="EZ27" i="13"/>
  <c r="FC13" i="10"/>
  <c r="EZ18" i="14"/>
  <c r="FC8" i="10"/>
  <c r="EZ22" i="13"/>
  <c r="EZ12" i="14"/>
  <c r="FC20" i="10"/>
  <c r="EZ14" i="14"/>
  <c r="FC27" i="10"/>
  <c r="FC21" i="10"/>
  <c r="FC37" i="10"/>
  <c r="EZ39" i="13"/>
  <c r="FC34" i="10"/>
  <c r="FC24" i="10"/>
  <c r="FC31" i="10"/>
  <c r="FC15" i="11"/>
  <c r="EZ6" i="14"/>
  <c r="FC8" i="11"/>
  <c r="FC38" i="10"/>
  <c r="FA21" i="9"/>
  <c r="ID7" i="13"/>
  <c r="R23" i="47"/>
  <c r="N15" i="47"/>
  <c r="P22" i="47"/>
  <c r="P31" i="47"/>
  <c r="O24" i="47"/>
  <c r="Z22" i="37"/>
  <c r="AA22" i="37" s="1"/>
  <c r="EN12" i="13"/>
  <c r="EP12" i="13"/>
  <c r="EO12" i="13"/>
  <c r="EP45" i="13"/>
  <c r="EO45" i="13"/>
  <c r="EN45" i="13"/>
  <c r="EN43" i="13"/>
  <c r="EP43" i="13"/>
  <c r="EO43" i="13"/>
  <c r="Z5" i="37"/>
  <c r="AA5" i="37" s="1"/>
  <c r="EO32" i="13"/>
  <c r="EN32" i="13"/>
  <c r="EP32" i="13"/>
  <c r="W30" i="37"/>
  <c r="X30" i="37" s="1"/>
  <c r="EG38" i="13"/>
  <c r="EF38" i="13"/>
  <c r="EE38" i="13"/>
  <c r="ED38" i="13"/>
  <c r="W10" i="57"/>
  <c r="X10" i="57" s="1"/>
  <c r="EG9" i="14"/>
  <c r="EF9" i="14"/>
  <c r="EE9" i="14"/>
  <c r="ED9" i="14"/>
  <c r="W34" i="37"/>
  <c r="X34" i="37" s="1"/>
  <c r="EE37" i="13"/>
  <c r="EG37" i="13"/>
  <c r="EF37" i="13"/>
  <c r="ED37" i="13"/>
  <c r="W32" i="37"/>
  <c r="X32" i="37" s="1"/>
  <c r="EG26" i="13"/>
  <c r="EF26" i="13"/>
  <c r="EE26" i="13"/>
  <c r="ED26" i="13"/>
  <c r="T18" i="37"/>
  <c r="U18" i="37" s="1"/>
  <c r="DV39" i="13"/>
  <c r="DU39" i="13"/>
  <c r="DT39" i="13"/>
  <c r="T28" i="37"/>
  <c r="U28" i="37" s="1"/>
  <c r="DU10" i="13"/>
  <c r="DT10" i="13"/>
  <c r="DV10" i="13"/>
  <c r="T4" i="57"/>
  <c r="U4" i="57" s="1"/>
  <c r="DV11" i="14"/>
  <c r="DU11" i="14"/>
  <c r="DT11" i="14"/>
  <c r="T24" i="37"/>
  <c r="U24" i="37" s="1"/>
  <c r="DV34" i="13"/>
  <c r="DU34" i="13"/>
  <c r="DT34" i="13"/>
  <c r="DV45" i="13"/>
  <c r="DU45" i="13"/>
  <c r="DT45" i="13"/>
  <c r="T9" i="57"/>
  <c r="U9" i="57" s="1"/>
  <c r="DV12" i="14"/>
  <c r="DU12" i="14"/>
  <c r="DT12" i="14"/>
  <c r="T23" i="37"/>
  <c r="U23" i="37" s="1"/>
  <c r="DV13" i="13"/>
  <c r="DU13" i="13"/>
  <c r="DT13" i="13"/>
  <c r="T11" i="37"/>
  <c r="U11" i="37" s="1"/>
  <c r="DT23" i="13"/>
  <c r="DV23" i="13"/>
  <c r="DU23" i="13"/>
  <c r="DW16" i="11"/>
  <c r="BZ16" i="11" s="1"/>
  <c r="DW32" i="10"/>
  <c r="BZ32" i="10" s="1"/>
  <c r="DW19" i="10"/>
  <c r="BZ19" i="10" s="1"/>
  <c r="DW10" i="10"/>
  <c r="BZ10" i="10" s="1"/>
  <c r="DW14" i="11"/>
  <c r="BZ14" i="11" s="1"/>
  <c r="DW30" i="10"/>
  <c r="BZ30" i="10" s="1"/>
  <c r="DW17" i="10"/>
  <c r="BZ17" i="10" s="1"/>
  <c r="DW9" i="10"/>
  <c r="BZ9" i="10" s="1"/>
  <c r="DW12" i="11"/>
  <c r="BZ12" i="11" s="1"/>
  <c r="DW28" i="10"/>
  <c r="BZ28" i="10" s="1"/>
  <c r="DW15" i="10"/>
  <c r="BZ15" i="10" s="1"/>
  <c r="DW8" i="10"/>
  <c r="BZ8" i="10" s="1"/>
  <c r="DW42" i="10"/>
  <c r="BZ42" i="10" s="1"/>
  <c r="DW41" i="10"/>
  <c r="BZ41" i="10" s="1"/>
  <c r="DW13" i="10"/>
  <c r="BZ13" i="10" s="1"/>
  <c r="DW11" i="10"/>
  <c r="BZ11" i="10" s="1"/>
  <c r="DW19" i="11"/>
  <c r="BZ19" i="11" s="1"/>
  <c r="DW39" i="10"/>
  <c r="BZ39" i="10" s="1"/>
  <c r="DW35" i="10"/>
  <c r="BZ35" i="10" s="1"/>
  <c r="DW6" i="9"/>
  <c r="BZ6" i="9" s="1"/>
  <c r="DW17" i="11"/>
  <c r="BZ17" i="11" s="1"/>
  <c r="DW10" i="11"/>
  <c r="BZ10" i="11" s="1"/>
  <c r="DW29" i="10"/>
  <c r="BZ29" i="10" s="1"/>
  <c r="DW15" i="11"/>
  <c r="BZ15" i="11" s="1"/>
  <c r="DW9" i="11"/>
  <c r="BZ9" i="11" s="1"/>
  <c r="DW26" i="10"/>
  <c r="BZ26" i="10" s="1"/>
  <c r="DW13" i="11"/>
  <c r="BZ13" i="11" s="1"/>
  <c r="DW31" i="10"/>
  <c r="BZ31" i="10" s="1"/>
  <c r="DW24" i="10"/>
  <c r="BZ24" i="10" s="1"/>
  <c r="DW11" i="11"/>
  <c r="BZ11" i="11" s="1"/>
  <c r="DW33" i="10"/>
  <c r="BZ33" i="10" s="1"/>
  <c r="DW22" i="10"/>
  <c r="BZ22" i="10" s="1"/>
  <c r="DW8" i="11"/>
  <c r="BZ8" i="11" s="1"/>
  <c r="DW37" i="10"/>
  <c r="BZ37" i="10" s="1"/>
  <c r="DW20" i="10"/>
  <c r="BZ20" i="10" s="1"/>
  <c r="DW40" i="10"/>
  <c r="BZ40" i="10" s="1"/>
  <c r="DW27" i="10"/>
  <c r="BZ27" i="10" s="1"/>
  <c r="DW18" i="10"/>
  <c r="BZ18" i="10" s="1"/>
  <c r="DW38" i="10"/>
  <c r="BZ38" i="10" s="1"/>
  <c r="DW25" i="10"/>
  <c r="BZ25" i="10" s="1"/>
  <c r="DW16" i="10"/>
  <c r="BZ16" i="10" s="1"/>
  <c r="DW20" i="11"/>
  <c r="BZ20" i="11" s="1"/>
  <c r="DW36" i="10"/>
  <c r="BZ36" i="10" s="1"/>
  <c r="DW23" i="10"/>
  <c r="BZ23" i="10" s="1"/>
  <c r="DW14" i="10"/>
  <c r="BZ14" i="10" s="1"/>
  <c r="DW18" i="11"/>
  <c r="BZ18" i="11" s="1"/>
  <c r="DW34" i="10"/>
  <c r="BZ34" i="10" s="1"/>
  <c r="DW21" i="10"/>
  <c r="BZ21" i="10" s="1"/>
  <c r="DW12" i="10"/>
  <c r="BZ12" i="10" s="1"/>
  <c r="Q12" i="47"/>
  <c r="N4" i="67"/>
  <c r="N18" i="47"/>
  <c r="R30" i="47"/>
  <c r="N10" i="67"/>
  <c r="BI14" i="11"/>
  <c r="DM19" i="14"/>
  <c r="DL19" i="14"/>
  <c r="DK19" i="14"/>
  <c r="DJ19" i="14"/>
  <c r="S20" i="38"/>
  <c r="Q14" i="37"/>
  <c r="R14" i="37" s="1"/>
  <c r="N14" i="37"/>
  <c r="O14" i="37" s="1"/>
  <c r="DK25" i="13"/>
  <c r="DJ25" i="13"/>
  <c r="DM25" i="13"/>
  <c r="DL25" i="13"/>
  <c r="BI15" i="11"/>
  <c r="BI34" i="10"/>
  <c r="S13" i="58"/>
  <c r="N14" i="57"/>
  <c r="O14" i="57" s="1"/>
  <c r="Q14" i="57"/>
  <c r="R14" i="57" s="1"/>
  <c r="DM17" i="14"/>
  <c r="DL17" i="14"/>
  <c r="DJ17" i="14"/>
  <c r="DK17" i="14"/>
  <c r="BI19" i="10"/>
  <c r="Q4" i="47"/>
  <c r="N3" i="67"/>
  <c r="P25" i="47"/>
  <c r="Q4" i="67"/>
  <c r="Q26" i="47"/>
  <c r="N12" i="47"/>
  <c r="R10" i="47"/>
  <c r="N17" i="47"/>
  <c r="W27" i="37"/>
  <c r="X27" i="37" s="1"/>
  <c r="EG22" i="13"/>
  <c r="EF22" i="13"/>
  <c r="EE22" i="13"/>
  <c r="ED22" i="13"/>
  <c r="W14" i="37"/>
  <c r="X14" i="37" s="1"/>
  <c r="EE25" i="13"/>
  <c r="ED25" i="13"/>
  <c r="EF25" i="13"/>
  <c r="EG25" i="13"/>
  <c r="Z8" i="37"/>
  <c r="AA8" i="37" s="1"/>
  <c r="EP17" i="13"/>
  <c r="EO17" i="13"/>
  <c r="EN17" i="13"/>
  <c r="W28" i="37"/>
  <c r="X28" i="37" s="1"/>
  <c r="EG10" i="13"/>
  <c r="EF10" i="13"/>
  <c r="EE10" i="13"/>
  <c r="ED10" i="13"/>
  <c r="T33" i="37"/>
  <c r="U33" i="37" s="1"/>
  <c r="DV18" i="13"/>
  <c r="DU18" i="13"/>
  <c r="DT18" i="13"/>
  <c r="X5" i="24"/>
  <c r="AB7" i="22"/>
  <c r="GY21" i="9"/>
  <c r="GV21" i="9"/>
  <c r="HB21" i="9"/>
  <c r="FC13" i="14"/>
  <c r="FC37" i="13"/>
  <c r="FC21" i="13"/>
  <c r="FC14" i="13"/>
  <c r="FF13" i="11"/>
  <c r="FD13" i="11" s="1"/>
  <c r="FF16" i="11"/>
  <c r="FD16" i="11" s="1"/>
  <c r="FF38" i="10"/>
  <c r="FD38" i="10" s="1"/>
  <c r="FF9" i="10"/>
  <c r="FD9" i="10" s="1"/>
  <c r="FC16" i="14"/>
  <c r="FC47" i="13"/>
  <c r="FA47" i="13" s="1"/>
  <c r="FC30" i="13"/>
  <c r="FC10" i="13"/>
  <c r="FF11" i="11"/>
  <c r="FD11" i="11" s="1"/>
  <c r="FF12" i="11"/>
  <c r="FD12" i="11" s="1"/>
  <c r="FF36" i="10"/>
  <c r="FD36" i="10" s="1"/>
  <c r="FF8" i="10"/>
  <c r="FD8" i="10" s="1"/>
  <c r="FC9" i="14"/>
  <c r="FC28" i="13"/>
  <c r="FC25" i="13"/>
  <c r="FC41" i="13"/>
  <c r="FA41" i="13" s="1"/>
  <c r="FF9" i="11"/>
  <c r="FD9" i="11" s="1"/>
  <c r="FF42" i="10"/>
  <c r="FD42" i="10" s="1"/>
  <c r="FF30" i="10"/>
  <c r="FD30" i="10" s="1"/>
  <c r="FF10" i="10"/>
  <c r="FD10" i="10" s="1"/>
  <c r="FC19" i="14"/>
  <c r="FA19" i="14" s="1"/>
  <c r="FC23" i="13"/>
  <c r="FC46" i="13"/>
  <c r="FA46" i="13" s="1"/>
  <c r="FC27" i="13"/>
  <c r="FC39" i="13"/>
  <c r="FA39" i="13" s="1"/>
  <c r="FF31" i="10"/>
  <c r="FD31" i="10" s="1"/>
  <c r="FF33" i="10"/>
  <c r="FD33" i="10" s="1"/>
  <c r="FF12" i="10"/>
  <c r="FD12" i="10" s="1"/>
  <c r="FC15" i="14"/>
  <c r="FC32" i="13"/>
  <c r="FC34" i="13"/>
  <c r="FC18" i="13"/>
  <c r="FF18" i="11"/>
  <c r="FD18" i="11" s="1"/>
  <c r="FF28" i="10"/>
  <c r="FD28" i="10" s="1"/>
  <c r="FF29" i="10"/>
  <c r="FD29" i="10" s="1"/>
  <c r="FC17" i="14"/>
  <c r="FC29" i="13"/>
  <c r="FC9" i="13"/>
  <c r="FF20" i="11"/>
  <c r="FD20" i="11" s="1"/>
  <c r="FF25" i="10"/>
  <c r="FD25" i="10" s="1"/>
  <c r="FF34" i="10"/>
  <c r="FD34" i="10" s="1"/>
  <c r="FC8" i="14"/>
  <c r="FC42" i="13"/>
  <c r="FA42" i="13" s="1"/>
  <c r="FC16" i="13"/>
  <c r="FC13" i="13"/>
  <c r="FF40" i="10"/>
  <c r="FD40" i="10" s="1"/>
  <c r="FF23" i="10"/>
  <c r="FD23" i="10" s="1"/>
  <c r="FF26" i="10"/>
  <c r="FD26" i="10" s="1"/>
  <c r="FC43" i="13"/>
  <c r="FA43" i="13" s="1"/>
  <c r="FC36" i="13"/>
  <c r="FC12" i="13"/>
  <c r="FC8" i="13"/>
  <c r="FF8" i="11"/>
  <c r="FD8" i="11" s="1"/>
  <c r="FF21" i="10"/>
  <c r="FD21" i="10" s="1"/>
  <c r="FF24" i="10"/>
  <c r="FD24" i="10" s="1"/>
  <c r="FF6" i="9"/>
  <c r="FC40" i="13"/>
  <c r="FA40" i="13" s="1"/>
  <c r="FC22" i="13"/>
  <c r="FC24" i="13"/>
  <c r="FC44" i="13"/>
  <c r="FA44" i="13" s="1"/>
  <c r="FF41" i="10"/>
  <c r="FD41" i="10" s="1"/>
  <c r="FF19" i="10"/>
  <c r="FD19" i="10" s="1"/>
  <c r="FF22" i="10"/>
  <c r="FD22" i="10" s="1"/>
  <c r="FC18" i="14"/>
  <c r="FC14" i="14"/>
  <c r="FC20" i="13"/>
  <c r="FC17" i="13"/>
  <c r="FF39" i="10"/>
  <c r="FD39" i="10" s="1"/>
  <c r="FF17" i="10"/>
  <c r="FD17" i="10" s="1"/>
  <c r="FF20" i="10"/>
  <c r="FD20" i="10" s="1"/>
  <c r="FC10" i="14"/>
  <c r="FC31" i="13"/>
  <c r="FC15" i="13"/>
  <c r="FC11" i="13"/>
  <c r="FF37" i="10"/>
  <c r="FD37" i="10" s="1"/>
  <c r="FF15" i="10"/>
  <c r="FD15" i="10" s="1"/>
  <c r="FF18" i="10"/>
  <c r="FD18" i="10" s="1"/>
  <c r="FC12" i="14"/>
  <c r="FC26" i="13"/>
  <c r="FC19" i="13"/>
  <c r="FF19" i="11"/>
  <c r="FD19" i="11" s="1"/>
  <c r="FF35" i="10"/>
  <c r="FD35" i="10" s="1"/>
  <c r="FF13" i="10"/>
  <c r="FD13" i="10" s="1"/>
  <c r="FF16" i="10"/>
  <c r="FD16" i="10" s="1"/>
  <c r="FC11" i="14"/>
  <c r="FC38" i="13"/>
  <c r="FC6" i="13"/>
  <c r="FF17" i="11"/>
  <c r="FD17" i="11" s="1"/>
  <c r="FF14" i="11"/>
  <c r="FD14" i="11" s="1"/>
  <c r="FF11" i="10"/>
  <c r="FD11" i="10" s="1"/>
  <c r="FF14" i="10"/>
  <c r="FD14" i="10" s="1"/>
  <c r="FC6" i="14"/>
  <c r="FC45" i="13"/>
  <c r="FA45" i="13" s="1"/>
  <c r="FC35" i="13"/>
  <c r="FC33" i="13"/>
  <c r="FF15" i="11"/>
  <c r="FD15" i="11" s="1"/>
  <c r="FF10" i="11"/>
  <c r="FD10" i="11" s="1"/>
  <c r="FF27" i="10"/>
  <c r="FD27" i="10" s="1"/>
  <c r="FF32" i="10"/>
  <c r="FD32" i="10" s="1"/>
  <c r="FD21" i="9"/>
  <c r="N6" i="67"/>
  <c r="P5" i="67"/>
  <c r="R7" i="47"/>
  <c r="BI11" i="10"/>
  <c r="Q4" i="37"/>
  <c r="R4" i="37" s="1"/>
  <c r="N4" i="37"/>
  <c r="O4" i="37" s="1"/>
  <c r="S4" i="38"/>
  <c r="DK20" i="13"/>
  <c r="DM20" i="13"/>
  <c r="DL20" i="13"/>
  <c r="DJ20" i="13"/>
  <c r="BI20" i="10"/>
  <c r="DM44" i="13"/>
  <c r="DJ44" i="13"/>
  <c r="DL44" i="13"/>
  <c r="DK44" i="13"/>
  <c r="N22" i="37"/>
  <c r="O22" i="37" s="1"/>
  <c r="Q22" i="37"/>
  <c r="R22" i="37" s="1"/>
  <c r="S19" i="38"/>
  <c r="DM12" i="13"/>
  <c r="DL12" i="13"/>
  <c r="DK12" i="13"/>
  <c r="DJ12" i="13"/>
  <c r="BI39" i="10"/>
  <c r="BI41" i="10"/>
  <c r="Q12" i="57"/>
  <c r="R12" i="57" s="1"/>
  <c r="N12" i="57"/>
  <c r="O12" i="57" s="1"/>
  <c r="S14" i="58"/>
  <c r="DK18" i="14"/>
  <c r="DJ18" i="14"/>
  <c r="DL18" i="14"/>
  <c r="DM18" i="14"/>
  <c r="DJ45" i="13"/>
  <c r="DL45" i="13"/>
  <c r="DM45" i="13"/>
  <c r="DK45" i="13"/>
  <c r="O27" i="47"/>
  <c r="R11" i="47"/>
  <c r="O21" i="47"/>
  <c r="O11" i="67"/>
  <c r="O4" i="67"/>
  <c r="P9" i="47"/>
  <c r="Z30" i="37"/>
  <c r="AA30" i="37" s="1"/>
  <c r="EO38" i="13"/>
  <c r="EN38" i="13"/>
  <c r="EP38" i="13"/>
  <c r="EG19" i="14"/>
  <c r="EF19" i="14"/>
  <c r="EE19" i="14"/>
  <c r="ED19" i="14"/>
  <c r="Z5" i="57"/>
  <c r="AA5" i="57" s="1"/>
  <c r="EP8" i="14"/>
  <c r="EP6" i="14" s="1"/>
  <c r="EO8" i="14"/>
  <c r="EO6" i="14" s="1"/>
  <c r="EN8" i="14"/>
  <c r="EN6" i="14" s="1"/>
  <c r="EN7" i="14" s="1"/>
  <c r="Z3" i="57"/>
  <c r="AA3" i="57" s="1"/>
  <c r="W20" i="37"/>
  <c r="X20" i="37" s="1"/>
  <c r="EG27" i="13"/>
  <c r="EF27" i="13"/>
  <c r="EE27" i="13"/>
  <c r="ED27" i="13"/>
  <c r="EF47" i="13"/>
  <c r="EE47" i="13"/>
  <c r="ED47" i="13"/>
  <c r="EG47" i="13"/>
  <c r="W4" i="57"/>
  <c r="X4" i="57" s="1"/>
  <c r="EE11" i="14"/>
  <c r="ED11" i="14"/>
  <c r="EG11" i="14"/>
  <c r="EF11" i="14"/>
  <c r="T6" i="37"/>
  <c r="U6" i="37" s="1"/>
  <c r="DV9" i="13"/>
  <c r="DU9" i="13"/>
  <c r="DT9" i="13"/>
  <c r="T32" i="37"/>
  <c r="U32" i="37" s="1"/>
  <c r="DU26" i="13"/>
  <c r="DT26" i="13"/>
  <c r="DV26" i="13"/>
  <c r="T19" i="37"/>
  <c r="U19" i="37" s="1"/>
  <c r="DT16" i="13"/>
  <c r="DV16" i="13"/>
  <c r="DU16" i="13"/>
  <c r="Q28" i="47"/>
  <c r="P23" i="47"/>
  <c r="N14" i="47"/>
  <c r="BI15" i="10"/>
  <c r="BI28" i="10"/>
  <c r="DM40" i="13"/>
  <c r="DL40" i="13"/>
  <c r="DK40" i="13"/>
  <c r="DJ40" i="13"/>
  <c r="N9" i="57"/>
  <c r="O9" i="57" s="1"/>
  <c r="S9" i="58"/>
  <c r="Q9" i="57"/>
  <c r="R9" i="57" s="1"/>
  <c r="DL12" i="14"/>
  <c r="DK12" i="14"/>
  <c r="DJ12" i="14"/>
  <c r="DM12" i="14"/>
  <c r="BI11" i="11"/>
  <c r="P10" i="47"/>
  <c r="N5" i="47"/>
  <c r="IC7" i="14"/>
  <c r="Z6" i="57"/>
  <c r="AA6" i="57" s="1"/>
  <c r="EP14" i="14"/>
  <c r="EO14" i="14"/>
  <c r="EN14" i="14"/>
  <c r="Z33" i="37"/>
  <c r="AA33" i="37" s="1"/>
  <c r="EP18" i="13"/>
  <c r="EO18" i="13"/>
  <c r="EN18" i="13"/>
  <c r="Z11" i="37"/>
  <c r="AA11" i="37" s="1"/>
  <c r="EN23" i="13"/>
  <c r="EP23" i="13"/>
  <c r="EO23" i="13"/>
  <c r="Z12" i="37"/>
  <c r="AA12" i="37" s="1"/>
  <c r="EP15" i="13"/>
  <c r="EO15" i="13"/>
  <c r="EN15" i="13"/>
  <c r="Z27" i="37"/>
  <c r="AA27" i="37" s="1"/>
  <c r="EP22" i="13"/>
  <c r="EO22" i="13"/>
  <c r="EN22" i="13"/>
  <c r="Z12" i="57"/>
  <c r="AA12" i="57" s="1"/>
  <c r="EP18" i="14"/>
  <c r="EO18" i="14"/>
  <c r="EN18" i="14"/>
  <c r="EO41" i="13"/>
  <c r="EP41" i="13"/>
  <c r="EN41" i="13"/>
  <c r="W33" i="37"/>
  <c r="X33" i="37" s="1"/>
  <c r="EE18" i="13"/>
  <c r="ED18" i="13"/>
  <c r="EG18" i="13"/>
  <c r="EF18" i="13"/>
  <c r="W22" i="37"/>
  <c r="X22" i="37" s="1"/>
  <c r="EG12" i="13"/>
  <c r="EF12" i="13"/>
  <c r="EE12" i="13"/>
  <c r="ED12" i="13"/>
  <c r="EE42" i="13"/>
  <c r="ED42" i="13"/>
  <c r="EF42" i="13"/>
  <c r="EG42" i="13"/>
  <c r="W31" i="37"/>
  <c r="X31" i="37" s="1"/>
  <c r="EF35" i="13"/>
  <c r="EG35" i="13"/>
  <c r="EE35" i="13"/>
  <c r="ED35" i="13"/>
  <c r="T13" i="37"/>
  <c r="U13" i="37" s="1"/>
  <c r="DV8" i="13"/>
  <c r="DU8" i="13"/>
  <c r="DT8" i="13"/>
  <c r="T3" i="37"/>
  <c r="U3" i="37" s="1"/>
  <c r="T17" i="37"/>
  <c r="U17" i="37" s="1"/>
  <c r="DV24" i="13"/>
  <c r="DU24" i="13"/>
  <c r="DT24" i="13"/>
  <c r="T8" i="37"/>
  <c r="U8" i="37" s="1"/>
  <c r="DV17" i="13"/>
  <c r="DU17" i="13"/>
  <c r="DT17" i="13"/>
  <c r="T25" i="37"/>
  <c r="U25" i="37" s="1"/>
  <c r="DV19" i="13"/>
  <c r="DU19" i="13"/>
  <c r="DT19" i="13"/>
  <c r="Q19" i="47"/>
  <c r="P14" i="67"/>
  <c r="Q29" i="47"/>
  <c r="R12" i="47"/>
  <c r="BI12" i="11"/>
  <c r="BI17" i="11"/>
  <c r="BI22" i="10"/>
  <c r="S8" i="58"/>
  <c r="Q7" i="57"/>
  <c r="R7" i="57" s="1"/>
  <c r="N7" i="57"/>
  <c r="O7" i="57" s="1"/>
  <c r="DJ15" i="14"/>
  <c r="DK15" i="14"/>
  <c r="DM15" i="14"/>
  <c r="DL15" i="14"/>
  <c r="BI10" i="10"/>
  <c r="S26" i="38"/>
  <c r="Q26" i="37"/>
  <c r="R26" i="37" s="1"/>
  <c r="N26" i="37"/>
  <c r="O26" i="37" s="1"/>
  <c r="DL21" i="13"/>
  <c r="DK21" i="13"/>
  <c r="DJ21" i="13"/>
  <c r="DM21" i="13"/>
  <c r="O9" i="47"/>
  <c r="O23" i="47"/>
  <c r="Q8" i="67"/>
  <c r="O28" i="47"/>
  <c r="O13" i="67"/>
  <c r="R4" i="47"/>
  <c r="Q33" i="47"/>
  <c r="N14" i="67"/>
  <c r="EP42" i="13"/>
  <c r="EO42" i="13"/>
  <c r="EN42" i="13"/>
  <c r="Z10" i="57"/>
  <c r="AA10" i="57" s="1"/>
  <c r="EP9" i="14"/>
  <c r="EN9" i="14"/>
  <c r="EO9" i="14"/>
  <c r="Z11" i="57"/>
  <c r="AA11" i="57" s="1"/>
  <c r="EN13" i="14"/>
  <c r="EO13" i="14"/>
  <c r="EP13" i="14"/>
  <c r="Z13" i="57"/>
  <c r="AA13" i="57" s="1"/>
  <c r="EP16" i="14"/>
  <c r="EO16" i="14"/>
  <c r="EN16" i="14"/>
  <c r="Z29" i="37"/>
  <c r="AA29" i="37" s="1"/>
  <c r="EP36" i="13"/>
  <c r="EO36" i="13"/>
  <c r="EN36" i="13"/>
  <c r="W25" i="37"/>
  <c r="X25" i="37" s="1"/>
  <c r="EG19" i="13"/>
  <c r="EF19" i="13"/>
  <c r="EE19" i="13"/>
  <c r="ED19" i="13"/>
  <c r="W26" i="37"/>
  <c r="X26" i="37" s="1"/>
  <c r="EG21" i="13"/>
  <c r="EF21" i="13"/>
  <c r="EE21" i="13"/>
  <c r="ED21" i="13"/>
  <c r="W19" i="37"/>
  <c r="X19" i="37" s="1"/>
  <c r="EG16" i="13"/>
  <c r="EF16" i="13"/>
  <c r="EE16" i="13"/>
  <c r="ED16" i="13"/>
  <c r="T31" i="37"/>
  <c r="U31" i="37" s="1"/>
  <c r="DT35" i="13"/>
  <c r="DU35" i="13"/>
  <c r="DV35" i="13"/>
  <c r="R33" i="47"/>
  <c r="R27" i="47"/>
  <c r="N22" i="47"/>
  <c r="P6" i="67"/>
  <c r="N9" i="47"/>
  <c r="BI12" i="10"/>
  <c r="BI31" i="10"/>
  <c r="S11" i="58"/>
  <c r="N11" i="57"/>
  <c r="O11" i="57" s="1"/>
  <c r="Q11" i="57"/>
  <c r="R11" i="57" s="1"/>
  <c r="DJ13" i="14"/>
  <c r="DM13" i="14"/>
  <c r="DL13" i="14"/>
  <c r="DK13" i="14"/>
  <c r="BI30" i="10"/>
  <c r="Q6" i="37"/>
  <c r="R6" i="37" s="1"/>
  <c r="S5" i="38"/>
  <c r="N6" i="37"/>
  <c r="O6" i="37" s="1"/>
  <c r="DL9" i="13"/>
  <c r="DK9" i="13"/>
  <c r="DJ9" i="13"/>
  <c r="DM9" i="13"/>
  <c r="S14" i="38"/>
  <c r="Q20" i="37"/>
  <c r="R20" i="37" s="1"/>
  <c r="N20" i="37"/>
  <c r="O20" i="37" s="1"/>
  <c r="DM27" i="13"/>
  <c r="DL27" i="13"/>
  <c r="DK27" i="13"/>
  <c r="DJ27" i="13"/>
  <c r="Q11" i="47"/>
  <c r="W6" i="57"/>
  <c r="X6" i="57" s="1"/>
  <c r="EG14" i="14"/>
  <c r="EF14" i="14"/>
  <c r="EE14" i="14"/>
  <c r="ED14" i="14"/>
  <c r="Z26" i="37"/>
  <c r="AA26" i="37" s="1"/>
  <c r="EP21" i="13"/>
  <c r="EO21" i="13"/>
  <c r="EN21" i="13"/>
  <c r="Z4" i="57"/>
  <c r="AA4" i="57" s="1"/>
  <c r="EP11" i="14"/>
  <c r="EO11" i="14"/>
  <c r="EN11" i="14"/>
  <c r="Z14" i="37"/>
  <c r="AA14" i="37" s="1"/>
  <c r="EP25" i="13"/>
  <c r="EO25" i="13"/>
  <c r="EN25" i="13"/>
  <c r="Z6" i="37"/>
  <c r="AA6" i="37" s="1"/>
  <c r="EP9" i="13"/>
  <c r="EO9" i="13"/>
  <c r="EN9" i="13"/>
  <c r="Z7" i="37"/>
  <c r="AA7" i="37" s="1"/>
  <c r="EP29" i="13"/>
  <c r="EO29" i="13"/>
  <c r="EN29" i="13"/>
  <c r="EP44" i="13"/>
  <c r="EO44" i="13"/>
  <c r="EN44" i="13"/>
  <c r="EN40" i="13"/>
  <c r="EO40" i="13"/>
  <c r="EP40" i="13"/>
  <c r="Z17" i="37"/>
  <c r="AA17" i="37" s="1"/>
  <c r="EP24" i="13"/>
  <c r="EO24" i="13"/>
  <c r="EN24" i="13"/>
  <c r="Z23" i="37"/>
  <c r="AA23" i="37" s="1"/>
  <c r="EP13" i="13"/>
  <c r="EO13" i="13"/>
  <c r="EN13" i="13"/>
  <c r="W8" i="57"/>
  <c r="X8" i="57" s="1"/>
  <c r="EF10" i="14"/>
  <c r="EG10" i="14"/>
  <c r="EE10" i="14"/>
  <c r="ED10" i="14"/>
  <c r="BL6" i="11"/>
  <c r="BL7" i="11" s="1"/>
  <c r="BL6" i="10"/>
  <c r="BL7" i="10" s="1"/>
  <c r="BL7" i="9"/>
  <c r="W29" i="37"/>
  <c r="X29" i="37" s="1"/>
  <c r="EF36" i="13"/>
  <c r="EG36" i="13"/>
  <c r="EE36" i="13"/>
  <c r="ED36" i="13"/>
  <c r="W10" i="37"/>
  <c r="X10" i="37" s="1"/>
  <c r="EG31" i="13"/>
  <c r="EF31" i="13"/>
  <c r="EE31" i="13"/>
  <c r="ED31" i="13"/>
  <c r="W6" i="37"/>
  <c r="X6" i="37" s="1"/>
  <c r="EF9" i="13"/>
  <c r="EE9" i="13"/>
  <c r="ED9" i="13"/>
  <c r="EG9" i="13"/>
  <c r="W14" i="57"/>
  <c r="X14" i="57" s="1"/>
  <c r="EG17" i="14"/>
  <c r="EF17" i="14"/>
  <c r="ED17" i="14"/>
  <c r="EE17" i="14"/>
  <c r="W35" i="37"/>
  <c r="X35" i="37" s="1"/>
  <c r="EG14" i="13"/>
  <c r="EF14" i="13"/>
  <c r="EE14" i="13"/>
  <c r="ED14" i="13"/>
  <c r="W9" i="57"/>
  <c r="X9" i="57" s="1"/>
  <c r="EG12" i="14"/>
  <c r="EF12" i="14"/>
  <c r="EE12" i="14"/>
  <c r="ED12" i="14"/>
  <c r="T9" i="37"/>
  <c r="U9" i="37" s="1"/>
  <c r="DV28" i="13"/>
  <c r="DU28" i="13"/>
  <c r="DT28" i="13"/>
  <c r="T26" i="37"/>
  <c r="U26" i="37" s="1"/>
  <c r="DV21" i="13"/>
  <c r="DU21" i="13"/>
  <c r="DT21" i="13"/>
  <c r="T14" i="57"/>
  <c r="U14" i="57" s="1"/>
  <c r="DU17" i="14"/>
  <c r="DV17" i="14"/>
  <c r="DT17" i="14"/>
  <c r="T22" i="37"/>
  <c r="U22" i="37" s="1"/>
  <c r="DT12" i="13"/>
  <c r="DV12" i="13"/>
  <c r="DU12" i="13"/>
  <c r="DV19" i="14"/>
  <c r="DU19" i="14"/>
  <c r="DT19" i="14"/>
  <c r="P14" i="47"/>
  <c r="R14" i="67"/>
  <c r="R9" i="67"/>
  <c r="IF7" i="14"/>
  <c r="BI17" i="10"/>
  <c r="Q9" i="37"/>
  <c r="R9" i="37" s="1"/>
  <c r="N9" i="37"/>
  <c r="O9" i="37" s="1"/>
  <c r="S9" i="38"/>
  <c r="DL28" i="13"/>
  <c r="DK28" i="13"/>
  <c r="DJ28" i="13"/>
  <c r="DM28" i="13"/>
  <c r="BI19" i="11"/>
  <c r="BI24" i="10"/>
  <c r="N24" i="37"/>
  <c r="O24" i="37" s="1"/>
  <c r="S29" i="38"/>
  <c r="Q24" i="37"/>
  <c r="R24" i="37" s="1"/>
  <c r="DL34" i="13"/>
  <c r="DK34" i="13"/>
  <c r="DJ34" i="13"/>
  <c r="DM34" i="13"/>
  <c r="BI20" i="11"/>
  <c r="DJ47" i="13"/>
  <c r="DK47" i="13"/>
  <c r="DM47" i="13"/>
  <c r="DL47" i="13"/>
  <c r="Q16" i="37"/>
  <c r="R16" i="37" s="1"/>
  <c r="N16" i="37"/>
  <c r="O16" i="37" s="1"/>
  <c r="S25" i="38"/>
  <c r="DJ30" i="13"/>
  <c r="DM30" i="13"/>
  <c r="DL30" i="13"/>
  <c r="DK30" i="13"/>
  <c r="R34" i="47"/>
  <c r="Q3" i="47"/>
  <c r="Q14" i="67"/>
  <c r="EG43" i="13"/>
  <c r="EF43" i="13"/>
  <c r="EE43" i="13"/>
  <c r="ED43" i="13"/>
  <c r="Z8" i="57"/>
  <c r="AA8" i="57" s="1"/>
  <c r="EN10" i="14"/>
  <c r="EO10" i="14"/>
  <c r="EP10" i="14"/>
  <c r="Z32" i="37"/>
  <c r="AA32" i="37" s="1"/>
  <c r="EO26" i="13"/>
  <c r="EN26" i="13"/>
  <c r="EP26" i="13"/>
  <c r="O3" i="67"/>
  <c r="W18" i="37"/>
  <c r="X18" i="37" s="1"/>
  <c r="EG39" i="13"/>
  <c r="ED39" i="13"/>
  <c r="EF39" i="13"/>
  <c r="EE39" i="13"/>
  <c r="W11" i="57"/>
  <c r="X11" i="57" s="1"/>
  <c r="ED13" i="14"/>
  <c r="EE13" i="14"/>
  <c r="EG13" i="14"/>
  <c r="EF13" i="14"/>
  <c r="ED45" i="13"/>
  <c r="EE45" i="13"/>
  <c r="EG45" i="13"/>
  <c r="EF45" i="13"/>
  <c r="EE46" i="13"/>
  <c r="ED46" i="13"/>
  <c r="EF46" i="13"/>
  <c r="EG46" i="13"/>
  <c r="W15" i="37"/>
  <c r="X15" i="37" s="1"/>
  <c r="EG11" i="13"/>
  <c r="EF11" i="13"/>
  <c r="EE11" i="13"/>
  <c r="ED11" i="13"/>
  <c r="T20" i="37"/>
  <c r="U20" i="37" s="1"/>
  <c r="DV27" i="13"/>
  <c r="DU27" i="13"/>
  <c r="DT27" i="13"/>
  <c r="T21" i="37"/>
  <c r="U21" i="37" s="1"/>
  <c r="DV33" i="13"/>
  <c r="DU33" i="13"/>
  <c r="DT33" i="13"/>
  <c r="T7" i="37"/>
  <c r="U7" i="37" s="1"/>
  <c r="DV29" i="13"/>
  <c r="DU29" i="13"/>
  <c r="DT29" i="13"/>
  <c r="O14" i="67"/>
  <c r="N33" i="47"/>
  <c r="O19" i="47"/>
  <c r="N23" i="47"/>
  <c r="N34" i="47"/>
  <c r="N30" i="47"/>
  <c r="O20" i="47"/>
  <c r="Q9" i="67"/>
  <c r="R25" i="47"/>
  <c r="N16" i="47"/>
  <c r="S31" i="38"/>
  <c r="Q30" i="37"/>
  <c r="R30" i="37" s="1"/>
  <c r="N30" i="37"/>
  <c r="O30" i="37" s="1"/>
  <c r="DM38" i="13"/>
  <c r="DJ38" i="13"/>
  <c r="DL38" i="13"/>
  <c r="DK38" i="13"/>
  <c r="BI42" i="10"/>
  <c r="BI32" i="10"/>
  <c r="Q31" i="37"/>
  <c r="R31" i="37" s="1"/>
  <c r="N31" i="37"/>
  <c r="O31" i="37" s="1"/>
  <c r="S33" i="38"/>
  <c r="DL35" i="13"/>
  <c r="DM35" i="13"/>
  <c r="DK35" i="13"/>
  <c r="DJ35" i="13"/>
  <c r="S16" i="38"/>
  <c r="Q17" i="37"/>
  <c r="R17" i="37" s="1"/>
  <c r="N17" i="37"/>
  <c r="O17" i="37" s="1"/>
  <c r="DM24" i="13"/>
  <c r="DL24" i="13"/>
  <c r="DJ24" i="13"/>
  <c r="DK24" i="13"/>
  <c r="BI8" i="11"/>
  <c r="S10" i="58"/>
  <c r="Q8" i="57"/>
  <c r="R8" i="57" s="1"/>
  <c r="N8" i="57"/>
  <c r="O8" i="57" s="1"/>
  <c r="DL10" i="14"/>
  <c r="DM10" i="14"/>
  <c r="DK10" i="14"/>
  <c r="DJ10" i="14"/>
  <c r="Q29" i="37"/>
  <c r="R29" i="37" s="1"/>
  <c r="S30" i="38"/>
  <c r="N29" i="37"/>
  <c r="O29" i="37" s="1"/>
  <c r="DL36" i="13"/>
  <c r="DJ36" i="13"/>
  <c r="DM36" i="13"/>
  <c r="DK36" i="13"/>
  <c r="S27" i="38"/>
  <c r="Q19" i="37"/>
  <c r="R19" i="37" s="1"/>
  <c r="N19" i="37"/>
  <c r="O19" i="37" s="1"/>
  <c r="DM16" i="13"/>
  <c r="DL16" i="13"/>
  <c r="DK16" i="13"/>
  <c r="DJ16" i="13"/>
  <c r="BI13" i="11"/>
  <c r="Q32" i="37"/>
  <c r="R32" i="37" s="1"/>
  <c r="N32" i="37"/>
  <c r="O32" i="37" s="1"/>
  <c r="S34" i="38"/>
  <c r="DM26" i="13"/>
  <c r="DL26" i="13"/>
  <c r="DK26" i="13"/>
  <c r="DJ26" i="13"/>
  <c r="Q35" i="37"/>
  <c r="R35" i="37" s="1"/>
  <c r="N35" i="37"/>
  <c r="O35" i="37" s="1"/>
  <c r="S35" i="38"/>
  <c r="DM14" i="13"/>
  <c r="DL14" i="13"/>
  <c r="DK14" i="13"/>
  <c r="DJ14" i="13"/>
  <c r="S6" i="58"/>
  <c r="N10" i="57"/>
  <c r="O10" i="57" s="1"/>
  <c r="Q10" i="57"/>
  <c r="R10" i="57" s="1"/>
  <c r="DM9" i="14"/>
  <c r="DL9" i="14"/>
  <c r="DK9" i="14"/>
  <c r="DJ9" i="14"/>
  <c r="O8" i="67"/>
  <c r="K3" i="57"/>
  <c r="L3" i="57"/>
  <c r="O16" i="47"/>
  <c r="N27" i="47"/>
  <c r="W4" i="37"/>
  <c r="X4" i="37" s="1"/>
  <c r="EE20" i="13"/>
  <c r="EG20" i="13"/>
  <c r="EF20" i="13"/>
  <c r="ED20" i="13"/>
  <c r="Z20" i="37"/>
  <c r="AA20" i="37" s="1"/>
  <c r="EP27" i="13"/>
  <c r="EO27" i="13"/>
  <c r="EN27" i="13"/>
  <c r="Z15" i="37"/>
  <c r="AA15" i="37" s="1"/>
  <c r="EP11" i="13"/>
  <c r="EO11" i="13"/>
  <c r="EN11" i="13"/>
  <c r="Z10" i="37"/>
  <c r="AA10" i="37" s="1"/>
  <c r="EP31" i="13"/>
  <c r="EN31" i="13"/>
  <c r="EO31" i="13"/>
  <c r="Z35" i="37"/>
  <c r="AA35" i="37" s="1"/>
  <c r="EP14" i="13"/>
  <c r="EO14" i="13"/>
  <c r="EN14" i="13"/>
  <c r="Z18" i="37"/>
  <c r="AA18" i="37" s="1"/>
  <c r="EP39" i="13"/>
  <c r="EO39" i="13"/>
  <c r="EN39" i="13"/>
  <c r="Z25" i="37"/>
  <c r="AA25" i="37" s="1"/>
  <c r="EP19" i="13"/>
  <c r="EO19" i="13"/>
  <c r="EN19" i="13"/>
  <c r="Z28" i="37"/>
  <c r="AA28" i="37" s="1"/>
  <c r="EO10" i="13"/>
  <c r="EN10" i="13"/>
  <c r="EP10" i="13"/>
  <c r="W5" i="57"/>
  <c r="X5" i="57" s="1"/>
  <c r="EG8" i="14"/>
  <c r="EF8" i="14"/>
  <c r="EE8" i="14"/>
  <c r="ED8" i="14"/>
  <c r="W3" i="57"/>
  <c r="X3" i="57" s="1"/>
  <c r="W23" i="37"/>
  <c r="X23" i="37" s="1"/>
  <c r="EG13" i="13"/>
  <c r="EF13" i="13"/>
  <c r="EE13" i="13"/>
  <c r="ED13" i="13"/>
  <c r="EG40" i="13"/>
  <c r="EF40" i="13"/>
  <c r="EE40" i="13"/>
  <c r="ED40" i="13"/>
  <c r="T34" i="37"/>
  <c r="U34" i="37" s="1"/>
  <c r="DT37" i="13"/>
  <c r="DV37" i="13"/>
  <c r="DU37" i="13"/>
  <c r="T12" i="37"/>
  <c r="U12" i="37" s="1"/>
  <c r="DV15" i="13"/>
  <c r="DU15" i="13"/>
  <c r="DT15" i="13"/>
  <c r="T16" i="37"/>
  <c r="U16" i="37" s="1"/>
  <c r="DV30" i="13"/>
  <c r="DU30" i="13"/>
  <c r="DT30" i="13"/>
  <c r="DV43" i="13"/>
  <c r="DU43" i="13"/>
  <c r="DT43" i="13"/>
  <c r="R16" i="47"/>
  <c r="DK42" i="13"/>
  <c r="DJ42" i="13"/>
  <c r="DL42" i="13"/>
  <c r="DM42" i="13"/>
  <c r="Q12" i="37"/>
  <c r="R12" i="37" s="1"/>
  <c r="N12" i="37"/>
  <c r="O12" i="37" s="1"/>
  <c r="S6" i="38"/>
  <c r="DM15" i="13"/>
  <c r="DL15" i="13"/>
  <c r="DK15" i="13"/>
  <c r="DJ15" i="13"/>
  <c r="BI21" i="10"/>
  <c r="BI26" i="10"/>
  <c r="BI8" i="10"/>
  <c r="L5" i="57"/>
  <c r="K5" i="57"/>
  <c r="Z9" i="57"/>
  <c r="AA9" i="57" s="1"/>
  <c r="EP12" i="14"/>
  <c r="EO12" i="14"/>
  <c r="EN12" i="14"/>
  <c r="EQ18" i="10"/>
  <c r="CN18" i="10" s="1"/>
  <c r="EQ37" i="10"/>
  <c r="CN37" i="10" s="1"/>
  <c r="EQ10" i="10"/>
  <c r="CN10" i="10" s="1"/>
  <c r="EQ20" i="11"/>
  <c r="CN20" i="11" s="1"/>
  <c r="EQ13" i="11"/>
  <c r="CN13" i="11" s="1"/>
  <c r="EQ17" i="10"/>
  <c r="CN17" i="10" s="1"/>
  <c r="EQ9" i="10"/>
  <c r="CN9" i="10" s="1"/>
  <c r="EQ32" i="10"/>
  <c r="CN32" i="10" s="1"/>
  <c r="EQ27" i="10"/>
  <c r="CN27" i="10" s="1"/>
  <c r="EQ13" i="10"/>
  <c r="CN13" i="10" s="1"/>
  <c r="EQ26" i="10"/>
  <c r="CN26" i="10" s="1"/>
  <c r="EQ28" i="10"/>
  <c r="CN28" i="10" s="1"/>
  <c r="EQ16" i="10"/>
  <c r="CN16" i="10" s="1"/>
  <c r="EQ16" i="11"/>
  <c r="CN16" i="11" s="1"/>
  <c r="EQ6" i="9"/>
  <c r="CN6" i="9" s="1"/>
  <c r="EQ41" i="10"/>
  <c r="CN41" i="10" s="1"/>
  <c r="EQ12" i="11"/>
  <c r="CN12" i="11" s="1"/>
  <c r="EQ25" i="10"/>
  <c r="CN25" i="10" s="1"/>
  <c r="EQ17" i="11"/>
  <c r="CN17" i="11" s="1"/>
  <c r="EQ11" i="10"/>
  <c r="CN11" i="10" s="1"/>
  <c r="EQ14" i="10"/>
  <c r="CN14" i="10" s="1"/>
  <c r="EQ15" i="10"/>
  <c r="CN15" i="10" s="1"/>
  <c r="EQ23" i="10"/>
  <c r="CN23" i="10" s="1"/>
  <c r="EQ20" i="10"/>
  <c r="CN20" i="10" s="1"/>
  <c r="EQ31" i="10"/>
  <c r="CN31" i="10" s="1"/>
  <c r="EQ30" i="10"/>
  <c r="CN30" i="10" s="1"/>
  <c r="EQ33" i="10"/>
  <c r="CN33" i="10" s="1"/>
  <c r="EQ38" i="10"/>
  <c r="CN38" i="10" s="1"/>
  <c r="EQ40" i="10"/>
  <c r="CN40" i="10" s="1"/>
  <c r="EQ29" i="10"/>
  <c r="CN29" i="10" s="1"/>
  <c r="EQ24" i="10"/>
  <c r="CN24" i="10" s="1"/>
  <c r="EQ10" i="11"/>
  <c r="CN10" i="11" s="1"/>
  <c r="EQ8" i="10"/>
  <c r="CN8" i="10" s="1"/>
  <c r="EQ14" i="11"/>
  <c r="CN14" i="11" s="1"/>
  <c r="EQ19" i="10"/>
  <c r="CN19" i="10" s="1"/>
  <c r="EQ11" i="11"/>
  <c r="CN11" i="11" s="1"/>
  <c r="EQ39" i="10"/>
  <c r="CN39" i="10" s="1"/>
  <c r="EQ19" i="11"/>
  <c r="CN19" i="11" s="1"/>
  <c r="EQ35" i="10"/>
  <c r="CN35" i="10" s="1"/>
  <c r="EQ34" i="10"/>
  <c r="CN34" i="10" s="1"/>
  <c r="EQ9" i="11"/>
  <c r="CN9" i="11" s="1"/>
  <c r="EQ15" i="11"/>
  <c r="CN15" i="11" s="1"/>
  <c r="EQ8" i="11"/>
  <c r="CN8" i="11" s="1"/>
  <c r="EQ18" i="11"/>
  <c r="CN18" i="11" s="1"/>
  <c r="EQ12" i="10"/>
  <c r="CN12" i="10" s="1"/>
  <c r="EQ42" i="10"/>
  <c r="CN42" i="10" s="1"/>
  <c r="EQ21" i="10"/>
  <c r="CN21" i="10" s="1"/>
  <c r="EQ22" i="10"/>
  <c r="CN22" i="10" s="1"/>
  <c r="EQ36" i="10"/>
  <c r="CN36" i="10" s="1"/>
  <c r="Z13" i="37"/>
  <c r="AA13" i="37" s="1"/>
  <c r="EP8" i="13"/>
  <c r="EO8" i="13"/>
  <c r="EN8" i="13"/>
  <c r="Z3" i="37"/>
  <c r="AA3" i="37" s="1"/>
  <c r="Z31" i="37"/>
  <c r="AA31" i="37" s="1"/>
  <c r="EN35" i="13"/>
  <c r="EP35" i="13"/>
  <c r="EO35" i="13"/>
  <c r="W12" i="57"/>
  <c r="X12" i="57" s="1"/>
  <c r="EE18" i="14"/>
  <c r="ED18" i="14"/>
  <c r="EF18" i="14"/>
  <c r="EG18" i="14"/>
  <c r="W13" i="57"/>
  <c r="X13" i="57" s="1"/>
  <c r="EG16" i="14"/>
  <c r="EF16" i="14"/>
  <c r="EE16" i="14"/>
  <c r="ED16" i="14"/>
  <c r="W8" i="37"/>
  <c r="X8" i="37" s="1"/>
  <c r="EG17" i="13"/>
  <c r="EF17" i="13"/>
  <c r="EE17" i="13"/>
  <c r="ED17" i="13"/>
  <c r="W17" i="37"/>
  <c r="X17" i="37" s="1"/>
  <c r="EG24" i="13"/>
  <c r="EF24" i="13"/>
  <c r="ED24" i="13"/>
  <c r="EE24" i="13"/>
  <c r="R3" i="47"/>
  <c r="T13" i="57"/>
  <c r="U13" i="57" s="1"/>
  <c r="DV16" i="14"/>
  <c r="DU16" i="14"/>
  <c r="DT16" i="14"/>
  <c r="T12" i="57"/>
  <c r="U12" i="57" s="1"/>
  <c r="DV18" i="14"/>
  <c r="DU18" i="14"/>
  <c r="DT18" i="14"/>
  <c r="T5" i="57"/>
  <c r="U5" i="57" s="1"/>
  <c r="DV8" i="14"/>
  <c r="DT8" i="14"/>
  <c r="DU8" i="14"/>
  <c r="T3" i="57"/>
  <c r="U3" i="57" s="1"/>
  <c r="O5" i="67"/>
  <c r="R5" i="67"/>
  <c r="IE6" i="11"/>
  <c r="IH7" i="11" s="1"/>
  <c r="IE6" i="10"/>
  <c r="IG7" i="10" s="1"/>
  <c r="S22" i="38"/>
  <c r="Q28" i="37"/>
  <c r="R28" i="37" s="1"/>
  <c r="N28" i="37"/>
  <c r="O28" i="37" s="1"/>
  <c r="DM10" i="13"/>
  <c r="DL10" i="13"/>
  <c r="DK10" i="13"/>
  <c r="DJ10" i="13"/>
  <c r="BI9" i="11"/>
  <c r="BI33" i="10"/>
  <c r="DM41" i="13"/>
  <c r="DL41" i="13"/>
  <c r="DK41" i="13"/>
  <c r="DJ41" i="13"/>
  <c r="S28" i="38"/>
  <c r="Q33" i="37"/>
  <c r="R33" i="37" s="1"/>
  <c r="N33" i="37"/>
  <c r="O33" i="37" s="1"/>
  <c r="DK18" i="13"/>
  <c r="DJ18" i="13"/>
  <c r="DM18" i="13"/>
  <c r="DL18" i="13"/>
  <c r="BI18" i="11"/>
  <c r="S7" i="58"/>
  <c r="Q6" i="57"/>
  <c r="R6" i="57" s="1"/>
  <c r="N6" i="57"/>
  <c r="O6" i="57" s="1"/>
  <c r="DM14" i="14"/>
  <c r="DL14" i="14"/>
  <c r="DK14" i="14"/>
  <c r="DJ14" i="14"/>
  <c r="DM43" i="13"/>
  <c r="DL43" i="13"/>
  <c r="DK43" i="13"/>
  <c r="DJ43" i="13"/>
  <c r="S13" i="38"/>
  <c r="Q23" i="37"/>
  <c r="R23" i="37" s="1"/>
  <c r="N23" i="37"/>
  <c r="O23" i="37" s="1"/>
  <c r="DM13" i="13"/>
  <c r="DL13" i="13"/>
  <c r="DK13" i="13"/>
  <c r="DJ13" i="13"/>
  <c r="BI36" i="10"/>
  <c r="BJ6" i="11"/>
  <c r="BJ7" i="11" s="1"/>
  <c r="BJ6" i="10"/>
  <c r="BJ7" i="10" s="1"/>
  <c r="BI6" i="9"/>
  <c r="BJ7" i="9"/>
  <c r="EN6" i="13" l="1"/>
  <c r="EN7" i="13" s="1"/>
  <c r="EO6" i="13"/>
  <c r="IH7" i="10"/>
  <c r="EP7" i="14"/>
  <c r="EQ6" i="11"/>
  <c r="EQ6" i="10"/>
  <c r="EQ7" i="9"/>
  <c r="EG6" i="14"/>
  <c r="DT6" i="13"/>
  <c r="EZ36" i="10"/>
  <c r="FA36" i="10"/>
  <c r="EZ14" i="11"/>
  <c r="FA14" i="11"/>
  <c r="X13" i="46"/>
  <c r="AD13" i="42"/>
  <c r="FG28" i="13"/>
  <c r="AD28" i="42"/>
  <c r="X29" i="46"/>
  <c r="FG17" i="13"/>
  <c r="DV6" i="13"/>
  <c r="EO7" i="14"/>
  <c r="AB12" i="62"/>
  <c r="X12" i="64"/>
  <c r="FA16" i="14"/>
  <c r="AA9" i="62"/>
  <c r="Z9" i="63"/>
  <c r="EW14" i="14"/>
  <c r="EX14" i="14"/>
  <c r="AA29" i="42"/>
  <c r="Z29" i="43"/>
  <c r="EW33" i="13"/>
  <c r="EX33" i="13"/>
  <c r="EZ11" i="10"/>
  <c r="FA11" i="10"/>
  <c r="EW40" i="13"/>
  <c r="EU40" i="13" s="1"/>
  <c r="EX40" i="13"/>
  <c r="EZ10" i="10"/>
  <c r="FA10" i="10"/>
  <c r="EZ20" i="11"/>
  <c r="FA20" i="11"/>
  <c r="EZ35" i="10"/>
  <c r="FA35" i="10"/>
  <c r="X11" i="66"/>
  <c r="AD11" i="62"/>
  <c r="FG13" i="14"/>
  <c r="AD14" i="42"/>
  <c r="X15" i="46"/>
  <c r="FG26" i="13"/>
  <c r="X34" i="46"/>
  <c r="AD33" i="42"/>
  <c r="FG25" i="13"/>
  <c r="X31" i="46"/>
  <c r="AD31" i="42"/>
  <c r="FG35" i="13"/>
  <c r="X5" i="66"/>
  <c r="AD6" i="62"/>
  <c r="FG9" i="14"/>
  <c r="II7" i="11"/>
  <c r="IF7" i="10"/>
  <c r="AC18" i="42"/>
  <c r="Z17" i="45"/>
  <c r="FD24" i="13"/>
  <c r="Z14" i="65"/>
  <c r="AC14" i="62"/>
  <c r="FD18" i="14"/>
  <c r="Z22" i="45"/>
  <c r="AC26" i="42"/>
  <c r="FD29" i="13"/>
  <c r="Z12" i="45"/>
  <c r="AC13" i="42"/>
  <c r="FD28" i="13"/>
  <c r="Z12" i="65"/>
  <c r="AC12" i="62"/>
  <c r="FD16" i="14"/>
  <c r="X15" i="44"/>
  <c r="AB20" i="42"/>
  <c r="FA11" i="13"/>
  <c r="X21" i="44"/>
  <c r="AB23" i="42"/>
  <c r="FA18" i="13"/>
  <c r="EZ20" i="10"/>
  <c r="FA20" i="10"/>
  <c r="Z23" i="43"/>
  <c r="AA25" i="42"/>
  <c r="EW20" i="13"/>
  <c r="EX20" i="13"/>
  <c r="Z34" i="43"/>
  <c r="AA33" i="42"/>
  <c r="EW25" i="13"/>
  <c r="EX25" i="13"/>
  <c r="EW44" i="13"/>
  <c r="EU44" i="13" s="1"/>
  <c r="EX44" i="13"/>
  <c r="Z32" i="43"/>
  <c r="AA32" i="42"/>
  <c r="EW37" i="13"/>
  <c r="EX37" i="13"/>
  <c r="EW43" i="13"/>
  <c r="EU43" i="13" s="1"/>
  <c r="EX43" i="13"/>
  <c r="Z14" i="43"/>
  <c r="AA15" i="42"/>
  <c r="EW23" i="13"/>
  <c r="EX23" i="13"/>
  <c r="X20" i="46"/>
  <c r="AD20" i="42"/>
  <c r="FG11" i="13"/>
  <c r="X33" i="46"/>
  <c r="AD34" i="42"/>
  <c r="FG34" i="13"/>
  <c r="X14" i="46"/>
  <c r="AD15" i="42"/>
  <c r="FG23" i="13"/>
  <c r="X18" i="46"/>
  <c r="AD21" i="42"/>
  <c r="X3" i="46"/>
  <c r="AD3" i="42"/>
  <c r="FG8" i="13"/>
  <c r="FL6" i="11"/>
  <c r="FL6" i="10"/>
  <c r="DM6" i="13"/>
  <c r="Z30" i="45"/>
  <c r="AC34" i="42"/>
  <c r="FD34" i="13"/>
  <c r="AC29" i="42"/>
  <c r="Z27" i="45"/>
  <c r="FD33" i="13"/>
  <c r="X4" i="66"/>
  <c r="AD4" i="62"/>
  <c r="FG11" i="14"/>
  <c r="X9" i="66"/>
  <c r="AD10" i="62"/>
  <c r="FG10" i="14"/>
  <c r="DK6" i="13"/>
  <c r="Z4" i="45"/>
  <c r="AC4" i="42"/>
  <c r="FD19" i="13"/>
  <c r="Z7" i="65"/>
  <c r="AC8" i="62"/>
  <c r="FD12" i="14"/>
  <c r="Z6" i="45"/>
  <c r="AC8" i="42"/>
  <c r="FD16" i="13"/>
  <c r="Z6" i="65"/>
  <c r="AC5" i="62"/>
  <c r="FD15" i="14"/>
  <c r="ER6" i="11"/>
  <c r="ER6" i="10"/>
  <c r="ER7" i="9"/>
  <c r="R12" i="30"/>
  <c r="Q12" i="30"/>
  <c r="P12" i="30"/>
  <c r="O12" i="30"/>
  <c r="N12" i="30"/>
  <c r="O7" i="22"/>
  <c r="N11" i="23"/>
  <c r="L11" i="23" s="1"/>
  <c r="IS6" i="14"/>
  <c r="IQ6" i="14"/>
  <c r="IR6" i="14"/>
  <c r="IU6" i="13"/>
  <c r="IT6" i="13"/>
  <c r="IS6" i="13"/>
  <c r="IU6" i="14"/>
  <c r="IR6" i="13"/>
  <c r="IQ6" i="13"/>
  <c r="FA6" i="9"/>
  <c r="FC7" i="9" s="1"/>
  <c r="IT6" i="14"/>
  <c r="EZ28" i="10"/>
  <c r="FA28" i="10"/>
  <c r="C24" i="35"/>
  <c r="C24" i="36"/>
  <c r="C69" i="32"/>
  <c r="C69" i="31"/>
  <c r="D33" i="26"/>
  <c r="C86" i="29"/>
  <c r="C27" i="28"/>
  <c r="C20" i="33"/>
  <c r="C27" i="27"/>
  <c r="C20" i="34"/>
  <c r="D26" i="25"/>
  <c r="C24" i="30"/>
  <c r="D33" i="23"/>
  <c r="D69" i="24"/>
  <c r="D34" i="20"/>
  <c r="C59" i="17"/>
  <c r="D34" i="22"/>
  <c r="C19" i="12"/>
  <c r="A36" i="9"/>
  <c r="A37" i="9" s="1"/>
  <c r="A38" i="9" s="1"/>
  <c r="A39" i="9" s="1"/>
  <c r="A40" i="9" s="1"/>
  <c r="A41" i="9" s="1"/>
  <c r="R13" i="36"/>
  <c r="Q13" i="36"/>
  <c r="P13" i="36"/>
  <c r="O13" i="36"/>
  <c r="N13" i="36"/>
  <c r="R7" i="22"/>
  <c r="N12" i="26"/>
  <c r="L12" i="26" s="1"/>
  <c r="JV6" i="14"/>
  <c r="JU6" i="14"/>
  <c r="JW6" i="13"/>
  <c r="JV6" i="13"/>
  <c r="JY6" i="13"/>
  <c r="JX6" i="13"/>
  <c r="JU6" i="13"/>
  <c r="FJ6" i="9"/>
  <c r="JY6" i="14"/>
  <c r="JW6" i="14"/>
  <c r="JX6" i="14"/>
  <c r="EP6" i="13"/>
  <c r="R5" i="32"/>
  <c r="Q5" i="32"/>
  <c r="O5" i="32"/>
  <c r="N5" i="32"/>
  <c r="P5" i="32"/>
  <c r="P7" i="22"/>
  <c r="N5" i="24"/>
  <c r="L5" i="24" s="1"/>
  <c r="JE6" i="13"/>
  <c r="JB6" i="13"/>
  <c r="FD6" i="9"/>
  <c r="FF7" i="9" s="1"/>
  <c r="JC6" i="14"/>
  <c r="JB6" i="14"/>
  <c r="JA6" i="14"/>
  <c r="JD6" i="14"/>
  <c r="JD6" i="13"/>
  <c r="JE6" i="14"/>
  <c r="JC6" i="13"/>
  <c r="JA6" i="13"/>
  <c r="X34" i="44"/>
  <c r="AB30" i="42"/>
  <c r="FA38" i="13"/>
  <c r="AB10" i="42"/>
  <c r="X7" i="44"/>
  <c r="FA31" i="13"/>
  <c r="X28" i="44"/>
  <c r="AB9" i="42"/>
  <c r="FA22" i="13"/>
  <c r="X12" i="44"/>
  <c r="AB8" i="42"/>
  <c r="FA16" i="13"/>
  <c r="X16" i="44"/>
  <c r="AB16" i="42"/>
  <c r="FA32" i="13"/>
  <c r="EZ38" i="10"/>
  <c r="FA38" i="10"/>
  <c r="Z8" i="43"/>
  <c r="AA9" i="42"/>
  <c r="EW22" i="13"/>
  <c r="EX22" i="13"/>
  <c r="EZ30" i="10"/>
  <c r="FA30" i="10"/>
  <c r="EZ42" i="10"/>
  <c r="FA42" i="10"/>
  <c r="EZ17" i="11"/>
  <c r="FA17" i="11"/>
  <c r="EZ12" i="11"/>
  <c r="FA12" i="11"/>
  <c r="Z18" i="43"/>
  <c r="AA21" i="42"/>
  <c r="EW8" i="13"/>
  <c r="Z3" i="43"/>
  <c r="AA3" i="42"/>
  <c r="EX8" i="13"/>
  <c r="Z19" i="43"/>
  <c r="AA18" i="42"/>
  <c r="EW24" i="13"/>
  <c r="EX24" i="13"/>
  <c r="X17" i="46"/>
  <c r="AD17" i="42"/>
  <c r="FG21" i="13"/>
  <c r="X10" i="46"/>
  <c r="AD6" i="42"/>
  <c r="FG30" i="13"/>
  <c r="X30" i="46"/>
  <c r="AD29" i="42"/>
  <c r="FG33" i="13"/>
  <c r="X7" i="66"/>
  <c r="AD5" i="62"/>
  <c r="FG15" i="14"/>
  <c r="DJ6" i="13"/>
  <c r="DJ7" i="13" s="1"/>
  <c r="ES6" i="11"/>
  <c r="ES6" i="10"/>
  <c r="ES7" i="9"/>
  <c r="AC20" i="42"/>
  <c r="Z19" i="45"/>
  <c r="FD11" i="13"/>
  <c r="Z13" i="65"/>
  <c r="AC13" i="62"/>
  <c r="FD17" i="14"/>
  <c r="Z32" i="45"/>
  <c r="AC33" i="42"/>
  <c r="FD25" i="13"/>
  <c r="Z8" i="65"/>
  <c r="AC10" i="62"/>
  <c r="FD10" i="14"/>
  <c r="IG7" i="11"/>
  <c r="Z8" i="63"/>
  <c r="AA8" i="62"/>
  <c r="EW12" i="14"/>
  <c r="EX12" i="14"/>
  <c r="EZ17" i="10"/>
  <c r="FA17" i="10"/>
  <c r="DU6" i="14"/>
  <c r="IJ7" i="10"/>
  <c r="X5" i="64"/>
  <c r="AB4" i="62"/>
  <c r="FA11" i="14"/>
  <c r="X10" i="64"/>
  <c r="AB10" i="62"/>
  <c r="FA10" i="14"/>
  <c r="X4" i="64"/>
  <c r="AB5" i="62"/>
  <c r="FA15" i="14"/>
  <c r="X22" i="44"/>
  <c r="AB33" i="42"/>
  <c r="FA25" i="13"/>
  <c r="EZ8" i="11"/>
  <c r="FA8" i="11"/>
  <c r="EZ8" i="10"/>
  <c r="FA8" i="10"/>
  <c r="Z4" i="63"/>
  <c r="AA4" i="62"/>
  <c r="EW11" i="14"/>
  <c r="EX11" i="14"/>
  <c r="EZ22" i="10"/>
  <c r="FA22" i="10"/>
  <c r="EW46" i="13"/>
  <c r="EU46" i="13" s="1"/>
  <c r="EX46" i="13"/>
  <c r="Z25" i="43"/>
  <c r="AA24" i="42"/>
  <c r="EW15" i="13"/>
  <c r="EX15" i="13"/>
  <c r="EZ23" i="10"/>
  <c r="FA23" i="10"/>
  <c r="EZ40" i="10"/>
  <c r="FA40" i="10"/>
  <c r="X23" i="46"/>
  <c r="AD24" i="42"/>
  <c r="FG15" i="13"/>
  <c r="X8" i="46"/>
  <c r="AD9" i="42"/>
  <c r="FG22" i="13"/>
  <c r="DL6" i="13"/>
  <c r="Z23" i="45"/>
  <c r="AC25" i="42"/>
  <c r="FD20" i="13"/>
  <c r="Z14" i="45"/>
  <c r="AC14" i="42"/>
  <c r="FD26" i="13"/>
  <c r="AA9" i="25"/>
  <c r="HB15" i="14"/>
  <c r="AA6" i="65" s="1"/>
  <c r="HB9" i="14"/>
  <c r="AA11" i="65" s="1"/>
  <c r="HB31" i="13"/>
  <c r="AA8" i="45" s="1"/>
  <c r="HB39" i="13"/>
  <c r="HE10" i="11"/>
  <c r="HC10" i="11" s="1"/>
  <c r="HE28" i="10"/>
  <c r="HC28" i="10" s="1"/>
  <c r="HE25" i="10"/>
  <c r="HC25" i="10" s="1"/>
  <c r="HB13" i="14"/>
  <c r="AA10" i="65" s="1"/>
  <c r="HB8" i="14"/>
  <c r="HB37" i="13"/>
  <c r="AA29" i="45" s="1"/>
  <c r="HB21" i="13"/>
  <c r="AA18" i="45" s="1"/>
  <c r="HE41" i="10"/>
  <c r="HC41" i="10" s="1"/>
  <c r="HE9" i="11"/>
  <c r="HC9" i="11" s="1"/>
  <c r="HE23" i="10"/>
  <c r="HC23" i="10" s="1"/>
  <c r="HB44" i="13"/>
  <c r="HB29" i="13"/>
  <c r="AA22" i="45" s="1"/>
  <c r="HB13" i="13"/>
  <c r="AA25" i="45" s="1"/>
  <c r="HE17" i="11"/>
  <c r="HC17" i="11" s="1"/>
  <c r="HE35" i="10"/>
  <c r="HC35" i="10" s="1"/>
  <c r="HE26" i="10"/>
  <c r="HC26" i="10" s="1"/>
  <c r="HE17" i="10"/>
  <c r="HC17" i="10" s="1"/>
  <c r="HB18" i="14"/>
  <c r="AA14" i="65" s="1"/>
  <c r="HB33" i="13"/>
  <c r="AA27" i="45" s="1"/>
  <c r="HB8" i="13"/>
  <c r="HB10" i="13"/>
  <c r="AA24" i="45" s="1"/>
  <c r="HE42" i="10"/>
  <c r="HC42" i="10" s="1"/>
  <c r="HE20" i="10"/>
  <c r="HC20" i="10" s="1"/>
  <c r="HE11" i="10"/>
  <c r="HC11" i="10" s="1"/>
  <c r="HB45" i="13"/>
  <c r="HB28" i="13"/>
  <c r="AA12" i="45" s="1"/>
  <c r="HB20" i="13"/>
  <c r="AA23" i="45" s="1"/>
  <c r="HB18" i="13"/>
  <c r="AA21" i="45" s="1"/>
  <c r="HE40" i="10"/>
  <c r="HC40" i="10" s="1"/>
  <c r="HE18" i="10"/>
  <c r="HC18" i="10" s="1"/>
  <c r="HE9" i="10"/>
  <c r="HC9" i="10" s="1"/>
  <c r="HB35" i="13"/>
  <c r="AA28" i="45" s="1"/>
  <c r="HB23" i="13"/>
  <c r="AA11" i="45" s="1"/>
  <c r="HB16" i="13"/>
  <c r="AA6" i="45" s="1"/>
  <c r="HE20" i="11"/>
  <c r="HC20" i="11" s="1"/>
  <c r="HE38" i="10"/>
  <c r="HC38" i="10" s="1"/>
  <c r="HE16" i="10"/>
  <c r="HC16" i="10" s="1"/>
  <c r="HE31" i="10"/>
  <c r="HC31" i="10" s="1"/>
  <c r="HB17" i="14"/>
  <c r="AA13" i="65" s="1"/>
  <c r="HB43" i="13"/>
  <c r="HB32" i="13"/>
  <c r="AA16" i="45" s="1"/>
  <c r="HB30" i="13"/>
  <c r="AA10" i="45" s="1"/>
  <c r="HE16" i="11"/>
  <c r="HC16" i="11" s="1"/>
  <c r="HE34" i="10"/>
  <c r="HC34" i="10" s="1"/>
  <c r="HE12" i="10"/>
  <c r="HC12" i="10" s="1"/>
  <c r="HE8" i="10"/>
  <c r="HC8" i="10" s="1"/>
  <c r="HB16" i="14"/>
  <c r="AA12" i="65" s="1"/>
  <c r="HB11" i="14"/>
  <c r="AA4" i="65" s="1"/>
  <c r="HB27" i="13"/>
  <c r="AA9" i="45" s="1"/>
  <c r="HB15" i="13"/>
  <c r="AA20" i="45" s="1"/>
  <c r="HE14" i="11"/>
  <c r="HC14" i="11" s="1"/>
  <c r="HE32" i="10"/>
  <c r="HC32" i="10" s="1"/>
  <c r="HE10" i="10"/>
  <c r="HC10" i="10" s="1"/>
  <c r="HE6" i="9"/>
  <c r="HB47" i="13"/>
  <c r="HE8" i="11"/>
  <c r="HC8" i="11" s="1"/>
  <c r="HB41" i="13"/>
  <c r="HE15" i="10"/>
  <c r="HC15" i="10" s="1"/>
  <c r="HE37" i="10"/>
  <c r="HC37" i="10" s="1"/>
  <c r="HE19" i="11"/>
  <c r="HC19" i="11" s="1"/>
  <c r="HE27" i="10"/>
  <c r="HC27" i="10" s="1"/>
  <c r="HE24" i="10"/>
  <c r="HC24" i="10" s="1"/>
  <c r="HB9" i="13"/>
  <c r="AA5" i="45" s="1"/>
  <c r="HB19" i="14"/>
  <c r="HE14" i="10"/>
  <c r="HC14" i="10" s="1"/>
  <c r="HE33" i="10"/>
  <c r="HC33" i="10" s="1"/>
  <c r="HB38" i="13"/>
  <c r="AA34" i="45" s="1"/>
  <c r="HE36" i="10"/>
  <c r="HC36" i="10" s="1"/>
  <c r="HE15" i="11"/>
  <c r="HC15" i="11" s="1"/>
  <c r="HB36" i="13"/>
  <c r="AA31" i="45" s="1"/>
  <c r="HE18" i="11"/>
  <c r="HC18" i="11" s="1"/>
  <c r="HB25" i="13"/>
  <c r="AA32" i="45" s="1"/>
  <c r="HB12" i="13"/>
  <c r="AA13" i="45" s="1"/>
  <c r="HE13" i="10"/>
  <c r="HC13" i="10" s="1"/>
  <c r="HB24" i="13"/>
  <c r="AA17" i="45" s="1"/>
  <c r="HB34" i="13"/>
  <c r="AA30" i="45" s="1"/>
  <c r="HE22" i="10"/>
  <c r="HC22" i="10" s="1"/>
  <c r="HB12" i="14"/>
  <c r="AA7" i="65" s="1"/>
  <c r="HE21" i="10"/>
  <c r="HC21" i="10" s="1"/>
  <c r="HB26" i="13"/>
  <c r="AA14" i="45" s="1"/>
  <c r="HE29" i="10"/>
  <c r="HC29" i="10" s="1"/>
  <c r="HB46" i="13"/>
  <c r="HE13" i="11"/>
  <c r="HC13" i="11" s="1"/>
  <c r="HE11" i="11"/>
  <c r="HC11" i="11" s="1"/>
  <c r="HE30" i="10"/>
  <c r="HC30" i="10" s="1"/>
  <c r="HB14" i="14"/>
  <c r="AA9" i="65" s="1"/>
  <c r="HB19" i="13"/>
  <c r="AA4" i="45" s="1"/>
  <c r="HE39" i="10"/>
  <c r="HC39" i="10" s="1"/>
  <c r="HB14" i="13"/>
  <c r="AA15" i="45" s="1"/>
  <c r="HE12" i="11"/>
  <c r="HC12" i="11" s="1"/>
  <c r="HB17" i="13"/>
  <c r="AA26" i="45" s="1"/>
  <c r="HB11" i="13"/>
  <c r="AA19" i="45" s="1"/>
  <c r="HB10" i="14"/>
  <c r="AA8" i="65" s="1"/>
  <c r="HB22" i="13"/>
  <c r="AA7" i="45" s="1"/>
  <c r="HB40" i="13"/>
  <c r="HE19" i="10"/>
  <c r="HC19" i="10" s="1"/>
  <c r="HB42" i="13"/>
  <c r="HC21" i="9"/>
  <c r="EZ12" i="10"/>
  <c r="FA12" i="10"/>
  <c r="X7" i="46"/>
  <c r="AD8" i="42"/>
  <c r="FG16" i="13"/>
  <c r="DT6" i="14"/>
  <c r="FF6" i="11"/>
  <c r="FF6" i="10"/>
  <c r="AB7" i="62"/>
  <c r="X8" i="64"/>
  <c r="X3" i="64"/>
  <c r="AB3" i="62"/>
  <c r="FA8" i="14"/>
  <c r="X30" i="44"/>
  <c r="AB13" i="42"/>
  <c r="FA28" i="13"/>
  <c r="AB5" i="42"/>
  <c r="X6" i="44"/>
  <c r="FA14" i="13"/>
  <c r="EW6" i="14"/>
  <c r="Z14" i="63"/>
  <c r="AA14" i="62"/>
  <c r="EW18" i="14"/>
  <c r="EX18" i="14"/>
  <c r="AA13" i="42"/>
  <c r="Z13" i="43"/>
  <c r="EW28" i="13"/>
  <c r="EX28" i="13"/>
  <c r="EZ9" i="10"/>
  <c r="FA9" i="10"/>
  <c r="Z7" i="63"/>
  <c r="AA5" i="62"/>
  <c r="EW15" i="14"/>
  <c r="EX15" i="14"/>
  <c r="Z26" i="43"/>
  <c r="AA27" i="42"/>
  <c r="EW10" i="13"/>
  <c r="EX10" i="13"/>
  <c r="EW6" i="13"/>
  <c r="Z27" i="43"/>
  <c r="AA26" i="42"/>
  <c r="EW29" i="13"/>
  <c r="EX29" i="13"/>
  <c r="X12" i="46"/>
  <c r="AD12" i="42"/>
  <c r="FG13" i="13"/>
  <c r="X16" i="46"/>
  <c r="AD16" i="42"/>
  <c r="FG32" i="13"/>
  <c r="X5" i="46"/>
  <c r="AD5" i="42"/>
  <c r="FG14" i="13"/>
  <c r="AB9" i="25"/>
  <c r="HE40" i="13"/>
  <c r="HE28" i="13"/>
  <c r="AB12" i="45" s="1"/>
  <c r="HE20" i="13"/>
  <c r="AB23" i="45" s="1"/>
  <c r="HH16" i="11"/>
  <c r="HF16" i="11" s="1"/>
  <c r="HH25" i="10"/>
  <c r="HF25" i="10" s="1"/>
  <c r="HE45" i="13"/>
  <c r="HE10" i="14"/>
  <c r="AB8" i="65" s="1"/>
  <c r="HE16" i="13"/>
  <c r="AB6" i="45" s="1"/>
  <c r="HH14" i="11"/>
  <c r="HF14" i="11" s="1"/>
  <c r="HH36" i="10"/>
  <c r="HF36" i="10" s="1"/>
  <c r="HH23" i="10"/>
  <c r="HF23" i="10" s="1"/>
  <c r="HH9" i="10"/>
  <c r="HF9" i="10" s="1"/>
  <c r="HE46" i="13"/>
  <c r="HE11" i="13"/>
  <c r="AB19" i="45" s="1"/>
  <c r="HH12" i="10"/>
  <c r="HF12" i="10" s="1"/>
  <c r="HE32" i="13"/>
  <c r="AB16" i="45" s="1"/>
  <c r="HH30" i="10"/>
  <c r="HF30" i="10" s="1"/>
  <c r="HE29" i="13"/>
  <c r="AB22" i="45" s="1"/>
  <c r="HH17" i="10"/>
  <c r="HF17" i="10" s="1"/>
  <c r="HE25" i="13"/>
  <c r="AB32" i="45" s="1"/>
  <c r="HH20" i="11"/>
  <c r="HF20" i="11" s="1"/>
  <c r="HE9" i="14"/>
  <c r="AB11" i="65" s="1"/>
  <c r="HE39" i="13"/>
  <c r="HE31" i="13"/>
  <c r="AB8" i="45" s="1"/>
  <c r="HE24" i="13"/>
  <c r="AB17" i="45" s="1"/>
  <c r="HH17" i="11"/>
  <c r="HF17" i="11" s="1"/>
  <c r="HH41" i="10"/>
  <c r="HF41" i="10" s="1"/>
  <c r="HH31" i="10"/>
  <c r="HF31" i="10" s="1"/>
  <c r="HH6" i="9"/>
  <c r="HE47" i="13"/>
  <c r="HE34" i="13"/>
  <c r="AB30" i="45" s="1"/>
  <c r="HE37" i="13"/>
  <c r="AB29" i="45" s="1"/>
  <c r="HE19" i="13"/>
  <c r="AB4" i="45" s="1"/>
  <c r="HH15" i="11"/>
  <c r="HF15" i="11" s="1"/>
  <c r="HH39" i="10"/>
  <c r="HF39" i="10" s="1"/>
  <c r="HH27" i="10"/>
  <c r="HF27" i="10" s="1"/>
  <c r="HH20" i="10"/>
  <c r="HF20" i="10" s="1"/>
  <c r="HE19" i="14"/>
  <c r="HE8" i="14"/>
  <c r="HE26" i="13"/>
  <c r="AB14" i="45" s="1"/>
  <c r="HE18" i="13"/>
  <c r="AB21" i="45" s="1"/>
  <c r="HH13" i="11"/>
  <c r="HF13" i="11" s="1"/>
  <c r="HH37" i="10"/>
  <c r="HF37" i="10" s="1"/>
  <c r="HH26" i="10"/>
  <c r="HF26" i="10" s="1"/>
  <c r="HH8" i="11"/>
  <c r="HF8" i="11" s="1"/>
  <c r="HE14" i="14"/>
  <c r="AB9" i="65" s="1"/>
  <c r="HE42" i="13"/>
  <c r="HE30" i="13"/>
  <c r="AB10" i="45" s="1"/>
  <c r="HE13" i="13"/>
  <c r="AB25" i="45" s="1"/>
  <c r="HE17" i="13"/>
  <c r="AB26" i="45" s="1"/>
  <c r="HH33" i="10"/>
  <c r="HF33" i="10" s="1"/>
  <c r="HH22" i="10"/>
  <c r="HF22" i="10" s="1"/>
  <c r="HH42" i="10"/>
  <c r="HF42" i="10" s="1"/>
  <c r="HE12" i="14"/>
  <c r="AB7" i="65" s="1"/>
  <c r="HE41" i="13"/>
  <c r="HH38" i="10"/>
  <c r="HF38" i="10" s="1"/>
  <c r="HH16" i="10"/>
  <c r="HF16" i="10" s="1"/>
  <c r="HH15" i="10"/>
  <c r="HF15" i="10" s="1"/>
  <c r="HH21" i="10"/>
  <c r="HF21" i="10" s="1"/>
  <c r="HH8" i="10"/>
  <c r="HF8" i="10" s="1"/>
  <c r="HH24" i="10"/>
  <c r="HF24" i="10" s="1"/>
  <c r="HH28" i="10"/>
  <c r="HF28" i="10" s="1"/>
  <c r="HH34" i="10"/>
  <c r="HF34" i="10" s="1"/>
  <c r="HH12" i="11"/>
  <c r="HF12" i="11" s="1"/>
  <c r="HE35" i="13"/>
  <c r="AB28" i="45" s="1"/>
  <c r="HE9" i="13"/>
  <c r="AB5" i="45" s="1"/>
  <c r="HH11" i="11"/>
  <c r="HF11" i="11" s="1"/>
  <c r="HH13" i="10"/>
  <c r="HF13" i="10" s="1"/>
  <c r="HE14" i="13"/>
  <c r="AB15" i="45" s="1"/>
  <c r="HE12" i="13"/>
  <c r="AB13" i="45" s="1"/>
  <c r="HH18" i="10"/>
  <c r="HF18" i="10" s="1"/>
  <c r="HE38" i="13"/>
  <c r="AB34" i="45" s="1"/>
  <c r="HH9" i="11"/>
  <c r="HF9" i="11" s="1"/>
  <c r="HE27" i="13"/>
  <c r="AB9" i="45" s="1"/>
  <c r="HE23" i="13"/>
  <c r="AB11" i="45" s="1"/>
  <c r="HH29" i="10"/>
  <c r="HF29" i="10" s="1"/>
  <c r="HE21" i="13"/>
  <c r="AB18" i="45" s="1"/>
  <c r="HH19" i="11"/>
  <c r="HF19" i="11" s="1"/>
  <c r="HE11" i="14"/>
  <c r="AB4" i="65" s="1"/>
  <c r="HH14" i="10"/>
  <c r="HF14" i="10" s="1"/>
  <c r="HH40" i="10"/>
  <c r="HF40" i="10" s="1"/>
  <c r="HE17" i="14"/>
  <c r="AB13" i="65" s="1"/>
  <c r="HE10" i="13"/>
  <c r="AB24" i="45" s="1"/>
  <c r="HE13" i="14"/>
  <c r="AB10" i="65" s="1"/>
  <c r="HH19" i="10"/>
  <c r="HF19" i="10" s="1"/>
  <c r="HH18" i="11"/>
  <c r="HF18" i="11" s="1"/>
  <c r="HE15" i="14"/>
  <c r="AB6" i="65" s="1"/>
  <c r="HE22" i="13"/>
  <c r="AB7" i="45" s="1"/>
  <c r="HH32" i="10"/>
  <c r="HF32" i="10" s="1"/>
  <c r="HE8" i="13"/>
  <c r="HE43" i="13"/>
  <c r="HH10" i="11"/>
  <c r="HF10" i="11" s="1"/>
  <c r="HE33" i="13"/>
  <c r="AB27" i="45" s="1"/>
  <c r="HE16" i="14"/>
  <c r="AB12" i="65" s="1"/>
  <c r="HE15" i="13"/>
  <c r="AB20" i="45" s="1"/>
  <c r="HE44" i="13"/>
  <c r="HE36" i="13"/>
  <c r="AB31" i="45" s="1"/>
  <c r="HE18" i="14"/>
  <c r="AB14" i="65" s="1"/>
  <c r="HH11" i="10"/>
  <c r="HF11" i="10" s="1"/>
  <c r="HH10" i="10"/>
  <c r="HF10" i="10" s="1"/>
  <c r="HH35" i="10"/>
  <c r="HF35" i="10" s="1"/>
  <c r="HF21" i="9"/>
  <c r="Z6" i="43"/>
  <c r="AA7" i="42"/>
  <c r="EW9" i="13"/>
  <c r="EX9" i="13"/>
  <c r="EW45" i="13"/>
  <c r="EU45" i="13" s="1"/>
  <c r="EX45" i="13"/>
  <c r="X32" i="46"/>
  <c r="AD32" i="42"/>
  <c r="FG37" i="13"/>
  <c r="DV6" i="14"/>
  <c r="AB6" i="62"/>
  <c r="X6" i="64"/>
  <c r="FA9" i="14"/>
  <c r="X20" i="44"/>
  <c r="AB17" i="42"/>
  <c r="FA21" i="13"/>
  <c r="EZ15" i="11"/>
  <c r="FA15" i="11"/>
  <c r="EZ13" i="10"/>
  <c r="FA13" i="10"/>
  <c r="EZ10" i="11"/>
  <c r="FA10" i="11"/>
  <c r="EZ19" i="11"/>
  <c r="FA19" i="11"/>
  <c r="Z16" i="43"/>
  <c r="AA16" i="42"/>
  <c r="EW32" i="13"/>
  <c r="EX32" i="13"/>
  <c r="EZ9" i="11"/>
  <c r="FA9" i="11"/>
  <c r="EZ25" i="10"/>
  <c r="FA25" i="10"/>
  <c r="EZ11" i="11"/>
  <c r="FA11" i="11"/>
  <c r="X24" i="46"/>
  <c r="AD23" i="42"/>
  <c r="FG18" i="13"/>
  <c r="X4" i="46"/>
  <c r="AD4" i="42"/>
  <c r="FG19" i="13"/>
  <c r="X28" i="46"/>
  <c r="AD30" i="42"/>
  <c r="FG38" i="13"/>
  <c r="DN6" i="11"/>
  <c r="DN6" i="10"/>
  <c r="DN7" i="9"/>
  <c r="DK7" i="14"/>
  <c r="EG6" i="11"/>
  <c r="EG6" i="10"/>
  <c r="EG7" i="9"/>
  <c r="Z7" i="45"/>
  <c r="AC9" i="42"/>
  <c r="FD22" i="13"/>
  <c r="FI6" i="11"/>
  <c r="FI6" i="10"/>
  <c r="Z4" i="65"/>
  <c r="AC4" i="62"/>
  <c r="FD11" i="14"/>
  <c r="AC9" i="25"/>
  <c r="HH16" i="13"/>
  <c r="AC6" i="45" s="1"/>
  <c r="HK40" i="10"/>
  <c r="HI40" i="10" s="1"/>
  <c r="HH40" i="13"/>
  <c r="HK27" i="10"/>
  <c r="HI27" i="10" s="1"/>
  <c r="HH13" i="13"/>
  <c r="AC25" i="45" s="1"/>
  <c r="HK11" i="11"/>
  <c r="HI11" i="11" s="1"/>
  <c r="HK15" i="11"/>
  <c r="HI15" i="11" s="1"/>
  <c r="HK17" i="11"/>
  <c r="HI17" i="11" s="1"/>
  <c r="HK12" i="11"/>
  <c r="HI12" i="11" s="1"/>
  <c r="HH22" i="13"/>
  <c r="AC7" i="45" s="1"/>
  <c r="HK18" i="11"/>
  <c r="HI18" i="11" s="1"/>
  <c r="HH18" i="14"/>
  <c r="AC14" i="65" s="1"/>
  <c r="HK33" i="10"/>
  <c r="HI33" i="10" s="1"/>
  <c r="HH29" i="13"/>
  <c r="AC22" i="45" s="1"/>
  <c r="HH9" i="13"/>
  <c r="AC5" i="45" s="1"/>
  <c r="HH19" i="13"/>
  <c r="AC4" i="45" s="1"/>
  <c r="HH10" i="13"/>
  <c r="AC24" i="45" s="1"/>
  <c r="HH41" i="13"/>
  <c r="HH25" i="13"/>
  <c r="AC32" i="45" s="1"/>
  <c r="HK8" i="10"/>
  <c r="HI8" i="10" s="1"/>
  <c r="HH37" i="13"/>
  <c r="AC29" i="45" s="1"/>
  <c r="HH38" i="13"/>
  <c r="AC34" i="45" s="1"/>
  <c r="HH34" i="13"/>
  <c r="AC30" i="45" s="1"/>
  <c r="HH21" i="13"/>
  <c r="AC18" i="45" s="1"/>
  <c r="HH43" i="13"/>
  <c r="HH36" i="13"/>
  <c r="AC31" i="45" s="1"/>
  <c r="HH20" i="13"/>
  <c r="AC23" i="45" s="1"/>
  <c r="HH19" i="14"/>
  <c r="HH42" i="13"/>
  <c r="HK13" i="10"/>
  <c r="HI13" i="10" s="1"/>
  <c r="HH17" i="14"/>
  <c r="AC13" i="65" s="1"/>
  <c r="HK20" i="10"/>
  <c r="HI20" i="10" s="1"/>
  <c r="HH13" i="14"/>
  <c r="AC10" i="65" s="1"/>
  <c r="HH15" i="14"/>
  <c r="AC6" i="65" s="1"/>
  <c r="HK31" i="10"/>
  <c r="HI31" i="10" s="1"/>
  <c r="HH47" i="13"/>
  <c r="HK41" i="10"/>
  <c r="HI41" i="10" s="1"/>
  <c r="HH16" i="14"/>
  <c r="AC12" i="65" s="1"/>
  <c r="HK14" i="10"/>
  <c r="HI14" i="10" s="1"/>
  <c r="HK25" i="10"/>
  <c r="HI25" i="10" s="1"/>
  <c r="HH44" i="13"/>
  <c r="HK35" i="10"/>
  <c r="HI35" i="10" s="1"/>
  <c r="HK13" i="11"/>
  <c r="HI13" i="11" s="1"/>
  <c r="HK19" i="10"/>
  <c r="HI19" i="10" s="1"/>
  <c r="HK16" i="10"/>
  <c r="HI16" i="10" s="1"/>
  <c r="HK36" i="10"/>
  <c r="HI36" i="10" s="1"/>
  <c r="HH46" i="13"/>
  <c r="HH12" i="13"/>
  <c r="AC13" i="45" s="1"/>
  <c r="HH18" i="13"/>
  <c r="AC21" i="45" s="1"/>
  <c r="HK30" i="10"/>
  <c r="HI30" i="10" s="1"/>
  <c r="HK21" i="10"/>
  <c r="HI21" i="10" s="1"/>
  <c r="HK14" i="11"/>
  <c r="HI14" i="11" s="1"/>
  <c r="HK22" i="10"/>
  <c r="HI22" i="10" s="1"/>
  <c r="HH17" i="13"/>
  <c r="AC26" i="45" s="1"/>
  <c r="HH30" i="13"/>
  <c r="AC10" i="45" s="1"/>
  <c r="HK19" i="11"/>
  <c r="HI19" i="11" s="1"/>
  <c r="HK32" i="10"/>
  <c r="HI32" i="10" s="1"/>
  <c r="HH11" i="13"/>
  <c r="AC19" i="45" s="1"/>
  <c r="HK28" i="10"/>
  <c r="HI28" i="10" s="1"/>
  <c r="HH24" i="13"/>
  <c r="AC17" i="45" s="1"/>
  <c r="HH10" i="14"/>
  <c r="AC8" i="65" s="1"/>
  <c r="HK15" i="10"/>
  <c r="HI15" i="10" s="1"/>
  <c r="HH14" i="13"/>
  <c r="AC15" i="45" s="1"/>
  <c r="HH31" i="13"/>
  <c r="AC8" i="45" s="1"/>
  <c r="HH35" i="13"/>
  <c r="AC28" i="45" s="1"/>
  <c r="HK38" i="10"/>
  <c r="HI38" i="10" s="1"/>
  <c r="HK26" i="10"/>
  <c r="HI26" i="10" s="1"/>
  <c r="HH14" i="14"/>
  <c r="AC9" i="65" s="1"/>
  <c r="HH9" i="14"/>
  <c r="AC11" i="65" s="1"/>
  <c r="HK9" i="10"/>
  <c r="HI9" i="10" s="1"/>
  <c r="HH26" i="13"/>
  <c r="AC14" i="45" s="1"/>
  <c r="HH28" i="13"/>
  <c r="AC12" i="45" s="1"/>
  <c r="HH11" i="14"/>
  <c r="AC4" i="65" s="1"/>
  <c r="HK16" i="11"/>
  <c r="HI16" i="11" s="1"/>
  <c r="HK8" i="11"/>
  <c r="HI8" i="11" s="1"/>
  <c r="HH12" i="14"/>
  <c r="AC7" i="65" s="1"/>
  <c r="HK6" i="9"/>
  <c r="HK10" i="10"/>
  <c r="HI10" i="10" s="1"/>
  <c r="HH8" i="14"/>
  <c r="HH27" i="13"/>
  <c r="AC9" i="45" s="1"/>
  <c r="HK18" i="10"/>
  <c r="HI18" i="10" s="1"/>
  <c r="HH15" i="13"/>
  <c r="AC20" i="45" s="1"/>
  <c r="HK42" i="10"/>
  <c r="HI42" i="10" s="1"/>
  <c r="HK12" i="10"/>
  <c r="HI12" i="10" s="1"/>
  <c r="HH39" i="13"/>
  <c r="HK23" i="10"/>
  <c r="HI23" i="10" s="1"/>
  <c r="HH32" i="13"/>
  <c r="AC16" i="45" s="1"/>
  <c r="HK24" i="10"/>
  <c r="HI24" i="10" s="1"/>
  <c r="HK20" i="11"/>
  <c r="HI20" i="11" s="1"/>
  <c r="HK37" i="10"/>
  <c r="HI37" i="10" s="1"/>
  <c r="HK11" i="10"/>
  <c r="HI11" i="10" s="1"/>
  <c r="HK17" i="10"/>
  <c r="HI17" i="10" s="1"/>
  <c r="HK34" i="10"/>
  <c r="HI34" i="10" s="1"/>
  <c r="HH45" i="13"/>
  <c r="HK29" i="10"/>
  <c r="HI29" i="10" s="1"/>
  <c r="HH33" i="13"/>
  <c r="AC27" i="45" s="1"/>
  <c r="HH8" i="13"/>
  <c r="HK39" i="10"/>
  <c r="HI39" i="10" s="1"/>
  <c r="HK9" i="11"/>
  <c r="HI9" i="11" s="1"/>
  <c r="HK10" i="11"/>
  <c r="HI10" i="11" s="1"/>
  <c r="HH23" i="13"/>
  <c r="AC11" i="45" s="1"/>
  <c r="HI21" i="9"/>
  <c r="X13" i="44"/>
  <c r="AB18" i="42"/>
  <c r="FA24" i="13"/>
  <c r="AB12" i="42"/>
  <c r="X8" i="44"/>
  <c r="FA13" i="13"/>
  <c r="EZ18" i="11"/>
  <c r="FA18" i="11"/>
  <c r="X33" i="44"/>
  <c r="AB32" i="42"/>
  <c r="FA37" i="13"/>
  <c r="EZ31" i="10"/>
  <c r="FA31" i="10"/>
  <c r="Z10" i="43"/>
  <c r="AA11" i="42"/>
  <c r="EW27" i="13"/>
  <c r="EX27" i="13"/>
  <c r="EZ32" i="10"/>
  <c r="FA32" i="10"/>
  <c r="AA14" i="42"/>
  <c r="Z15" i="43"/>
  <c r="EW26" i="13"/>
  <c r="EX26" i="13"/>
  <c r="AA10" i="62"/>
  <c r="Z10" i="63"/>
  <c r="EW10" i="14"/>
  <c r="EX10" i="14"/>
  <c r="Z13" i="63"/>
  <c r="AA13" i="62"/>
  <c r="EW17" i="14"/>
  <c r="EX17" i="14"/>
  <c r="Z7" i="43"/>
  <c r="AA8" i="42"/>
  <c r="EW16" i="13"/>
  <c r="EX16" i="13"/>
  <c r="Z31" i="43"/>
  <c r="AA30" i="42"/>
  <c r="EW38" i="13"/>
  <c r="EX38" i="13"/>
  <c r="X27" i="46"/>
  <c r="AD27" i="42"/>
  <c r="FG10" i="13"/>
  <c r="X9" i="46"/>
  <c r="AD11" i="42"/>
  <c r="FG27" i="13"/>
  <c r="X12" i="66"/>
  <c r="AD12" i="62"/>
  <c r="FG16" i="14"/>
  <c r="EI6" i="11"/>
  <c r="EI6" i="10"/>
  <c r="EI7" i="9"/>
  <c r="DO6" i="11"/>
  <c r="DO6" i="10"/>
  <c r="DO7" i="9"/>
  <c r="DL7" i="14"/>
  <c r="EE6" i="13"/>
  <c r="Z9" i="45"/>
  <c r="AC11" i="42"/>
  <c r="FD27" i="13"/>
  <c r="Z5" i="45"/>
  <c r="AC7" i="42"/>
  <c r="FD9" i="13"/>
  <c r="Z33" i="45"/>
  <c r="AC21" i="42"/>
  <c r="Z3" i="45"/>
  <c r="AC3" i="42"/>
  <c r="FD8" i="13"/>
  <c r="Z10" i="45"/>
  <c r="AC6" i="42"/>
  <c r="FD30" i="13"/>
  <c r="AD9" i="25"/>
  <c r="HK38" i="13"/>
  <c r="AD34" i="45" s="1"/>
  <c r="HK20" i="13"/>
  <c r="AD23" i="45" s="1"/>
  <c r="HK13" i="13"/>
  <c r="AD25" i="45" s="1"/>
  <c r="HK11" i="13"/>
  <c r="AD19" i="45" s="1"/>
  <c r="HN8" i="11"/>
  <c r="HL8" i="11" s="1"/>
  <c r="HN32" i="10"/>
  <c r="HL32" i="10" s="1"/>
  <c r="HN8" i="10"/>
  <c r="HL8" i="10" s="1"/>
  <c r="HK14" i="14"/>
  <c r="AD9" i="65" s="1"/>
  <c r="HK43" i="13"/>
  <c r="HK14" i="13"/>
  <c r="AD15" i="45" s="1"/>
  <c r="HK12" i="13"/>
  <c r="AD13" i="45" s="1"/>
  <c r="HN39" i="10"/>
  <c r="HL39" i="10" s="1"/>
  <c r="HN23" i="10"/>
  <c r="HL23" i="10" s="1"/>
  <c r="HN16" i="10"/>
  <c r="HL16" i="10" s="1"/>
  <c r="HK17" i="14"/>
  <c r="AD13" i="65" s="1"/>
  <c r="HK39" i="13"/>
  <c r="HK10" i="13"/>
  <c r="AD24" i="45" s="1"/>
  <c r="HN19" i="11"/>
  <c r="HL19" i="11" s="1"/>
  <c r="HN37" i="10"/>
  <c r="HL37" i="10" s="1"/>
  <c r="HN21" i="10"/>
  <c r="HL21" i="10" s="1"/>
  <c r="HN14" i="10"/>
  <c r="HL14" i="10" s="1"/>
  <c r="HN12" i="10"/>
  <c r="HL12" i="10" s="1"/>
  <c r="HK18" i="14"/>
  <c r="AD14" i="65" s="1"/>
  <c r="HK33" i="13"/>
  <c r="AD27" i="45" s="1"/>
  <c r="HK10" i="14"/>
  <c r="AD8" i="65" s="1"/>
  <c r="HN16" i="11"/>
  <c r="HL16" i="11" s="1"/>
  <c r="HN13" i="10"/>
  <c r="HL13" i="10" s="1"/>
  <c r="HK19" i="14"/>
  <c r="HN19" i="10"/>
  <c r="HL19" i="10" s="1"/>
  <c r="HK42" i="13"/>
  <c r="HN9" i="11"/>
  <c r="HL9" i="11" s="1"/>
  <c r="HN29" i="10"/>
  <c r="HL29" i="10" s="1"/>
  <c r="HN18" i="10"/>
  <c r="HL18" i="10" s="1"/>
  <c r="HN35" i="10"/>
  <c r="HL35" i="10" s="1"/>
  <c r="HK15" i="14"/>
  <c r="AD6" i="65" s="1"/>
  <c r="HK8" i="14"/>
  <c r="HN17" i="11"/>
  <c r="HL17" i="11" s="1"/>
  <c r="HN25" i="10"/>
  <c r="HL25" i="10" s="1"/>
  <c r="HK25" i="13"/>
  <c r="AD32" i="45" s="1"/>
  <c r="HK30" i="13"/>
  <c r="AD10" i="45" s="1"/>
  <c r="HK22" i="13"/>
  <c r="AD7" i="45" s="1"/>
  <c r="HN41" i="10"/>
  <c r="HL41" i="10" s="1"/>
  <c r="HK37" i="13"/>
  <c r="AD29" i="45" s="1"/>
  <c r="HK13" i="14"/>
  <c r="AD10" i="65" s="1"/>
  <c r="HK16" i="13"/>
  <c r="AD6" i="45" s="1"/>
  <c r="HK47" i="13"/>
  <c r="HK46" i="13"/>
  <c r="HK16" i="14"/>
  <c r="AD12" i="65" s="1"/>
  <c r="HK32" i="13"/>
  <c r="AD16" i="45" s="1"/>
  <c r="HN20" i="10"/>
  <c r="HL20" i="10" s="1"/>
  <c r="HN34" i="10"/>
  <c r="HL34" i="10" s="1"/>
  <c r="HK40" i="13"/>
  <c r="HN38" i="10"/>
  <c r="HL38" i="10" s="1"/>
  <c r="HN6" i="9"/>
  <c r="HN10" i="10"/>
  <c r="HL10" i="10" s="1"/>
  <c r="HN15" i="10"/>
  <c r="HL15" i="10" s="1"/>
  <c r="HK45" i="13"/>
  <c r="HN14" i="11"/>
  <c r="HL14" i="11" s="1"/>
  <c r="HN22" i="10"/>
  <c r="HL22" i="10" s="1"/>
  <c r="HN26" i="10"/>
  <c r="HL26" i="10" s="1"/>
  <c r="HN11" i="10"/>
  <c r="HL11" i="10" s="1"/>
  <c r="HN31" i="10"/>
  <c r="HL31" i="10" s="1"/>
  <c r="HN36" i="10"/>
  <c r="HL36" i="10" s="1"/>
  <c r="HK19" i="13"/>
  <c r="AD4" i="45" s="1"/>
  <c r="HK34" i="13"/>
  <c r="AD30" i="45" s="1"/>
  <c r="HN42" i="10"/>
  <c r="HL42" i="10" s="1"/>
  <c r="HN9" i="10"/>
  <c r="HL9" i="10" s="1"/>
  <c r="HN20" i="11"/>
  <c r="HL20" i="11" s="1"/>
  <c r="HN27" i="10"/>
  <c r="HL27" i="10" s="1"/>
  <c r="HN13" i="11"/>
  <c r="HL13" i="11" s="1"/>
  <c r="HN17" i="10"/>
  <c r="HL17" i="10" s="1"/>
  <c r="HN15" i="11"/>
  <c r="HL15" i="11" s="1"/>
  <c r="HK23" i="13"/>
  <c r="AD11" i="45" s="1"/>
  <c r="HN10" i="11"/>
  <c r="HL10" i="11" s="1"/>
  <c r="HN24" i="10"/>
  <c r="HL24" i="10" s="1"/>
  <c r="HK36" i="13"/>
  <c r="AD31" i="45" s="1"/>
  <c r="HN18" i="11"/>
  <c r="HL18" i="11" s="1"/>
  <c r="HK18" i="13"/>
  <c r="AD21" i="45" s="1"/>
  <c r="HN33" i="10"/>
  <c r="HL33" i="10" s="1"/>
  <c r="HK26" i="13"/>
  <c r="AD14" i="45" s="1"/>
  <c r="HK44" i="13"/>
  <c r="HK35" i="13"/>
  <c r="AD28" i="45" s="1"/>
  <c r="HN12" i="11"/>
  <c r="HL12" i="11" s="1"/>
  <c r="HK17" i="13"/>
  <c r="AD26" i="45" s="1"/>
  <c r="HK15" i="13"/>
  <c r="AD20" i="45" s="1"/>
  <c r="HN28" i="10"/>
  <c r="HL28" i="10" s="1"/>
  <c r="HK11" i="14"/>
  <c r="AD4" i="65" s="1"/>
  <c r="HK28" i="13"/>
  <c r="AD12" i="45" s="1"/>
  <c r="HK27" i="13"/>
  <c r="AD9" i="45" s="1"/>
  <c r="HK24" i="13"/>
  <c r="AD17" i="45" s="1"/>
  <c r="HK21" i="13"/>
  <c r="AD18" i="45" s="1"/>
  <c r="HK12" i="14"/>
  <c r="AD7" i="65" s="1"/>
  <c r="HK41" i="13"/>
  <c r="HK8" i="13"/>
  <c r="HK9" i="14"/>
  <c r="AD11" i="65" s="1"/>
  <c r="HK29" i="13"/>
  <c r="AD22" i="45" s="1"/>
  <c r="HN40" i="10"/>
  <c r="HL40" i="10" s="1"/>
  <c r="HN30" i="10"/>
  <c r="HL30" i="10" s="1"/>
  <c r="HK31" i="13"/>
  <c r="AD8" i="45" s="1"/>
  <c r="HK9" i="13"/>
  <c r="AD5" i="45" s="1"/>
  <c r="HN11" i="11"/>
  <c r="HL11" i="11" s="1"/>
  <c r="HL21" i="9"/>
  <c r="X25" i="44"/>
  <c r="AB34" i="42"/>
  <c r="FA34" i="13"/>
  <c r="X32" i="44"/>
  <c r="AB29" i="42"/>
  <c r="FA33" i="13"/>
  <c r="AB28" i="42"/>
  <c r="X24" i="44"/>
  <c r="FA17" i="13"/>
  <c r="X7" i="64"/>
  <c r="AB11" i="62"/>
  <c r="FA13" i="14"/>
  <c r="EZ24" i="10"/>
  <c r="FA24" i="10"/>
  <c r="AA4" i="42"/>
  <c r="Z4" i="43"/>
  <c r="EW19" i="13"/>
  <c r="EX19" i="13"/>
  <c r="EZ16" i="10"/>
  <c r="FA16" i="10"/>
  <c r="EZ29" i="10"/>
  <c r="FA29" i="10"/>
  <c r="EZ39" i="10"/>
  <c r="FA39" i="10"/>
  <c r="EZ13" i="11"/>
  <c r="FA13" i="11"/>
  <c r="EZ14" i="10"/>
  <c r="FA14" i="10"/>
  <c r="AB11" i="23"/>
  <c r="GM32" i="10"/>
  <c r="GK32" i="10" s="1"/>
  <c r="GM15" i="11"/>
  <c r="GK15" i="11" s="1"/>
  <c r="GJ43" i="13"/>
  <c r="GJ14" i="13"/>
  <c r="AB5" i="43" s="1"/>
  <c r="GJ8" i="14"/>
  <c r="GJ16" i="14"/>
  <c r="AB12" i="63" s="1"/>
  <c r="GM20" i="11"/>
  <c r="GK20" i="11" s="1"/>
  <c r="GM19" i="11"/>
  <c r="GK19" i="11" s="1"/>
  <c r="GM13" i="11"/>
  <c r="GK13" i="11" s="1"/>
  <c r="GJ23" i="13"/>
  <c r="AB14" i="43" s="1"/>
  <c r="GM15" i="10"/>
  <c r="GK15" i="10" s="1"/>
  <c r="GM11" i="11"/>
  <c r="GK11" i="11" s="1"/>
  <c r="GJ13" i="13"/>
  <c r="AB12" i="43" s="1"/>
  <c r="GJ31" i="13"/>
  <c r="AB11" i="43" s="1"/>
  <c r="GM29" i="10"/>
  <c r="GK29" i="10" s="1"/>
  <c r="GJ11" i="13"/>
  <c r="AB21" i="43" s="1"/>
  <c r="GM26" i="10"/>
  <c r="GK26" i="10" s="1"/>
  <c r="GM12" i="11"/>
  <c r="GK12" i="11" s="1"/>
  <c r="GJ47" i="13"/>
  <c r="GJ15" i="13"/>
  <c r="AB25" i="43" s="1"/>
  <c r="GJ15" i="14"/>
  <c r="AB7" i="63" s="1"/>
  <c r="GJ18" i="13"/>
  <c r="AB24" i="43" s="1"/>
  <c r="GJ20" i="13"/>
  <c r="AB23" i="43" s="1"/>
  <c r="GM27" i="10"/>
  <c r="GK27" i="10" s="1"/>
  <c r="GJ11" i="14"/>
  <c r="AB4" i="63" s="1"/>
  <c r="GM37" i="10"/>
  <c r="GK37" i="10" s="1"/>
  <c r="GM8" i="10"/>
  <c r="GK8" i="10" s="1"/>
  <c r="GM21" i="10"/>
  <c r="GK21" i="10" s="1"/>
  <c r="GJ46" i="13"/>
  <c r="GJ38" i="13"/>
  <c r="AB31" i="43" s="1"/>
  <c r="GM33" i="10"/>
  <c r="GK33" i="10" s="1"/>
  <c r="GM24" i="10"/>
  <c r="GK24" i="10" s="1"/>
  <c r="GJ17" i="14"/>
  <c r="AB13" i="63" s="1"/>
  <c r="GJ30" i="13"/>
  <c r="AB9" i="43" s="1"/>
  <c r="GJ22" i="13"/>
  <c r="AB8" i="43" s="1"/>
  <c r="GJ32" i="13"/>
  <c r="AB16" i="43" s="1"/>
  <c r="GM10" i="10"/>
  <c r="GK10" i="10" s="1"/>
  <c r="GJ45" i="13"/>
  <c r="GM13" i="10"/>
  <c r="GK13" i="10" s="1"/>
  <c r="GJ26" i="13"/>
  <c r="AB15" i="43" s="1"/>
  <c r="GJ12" i="13"/>
  <c r="AB20" i="43" s="1"/>
  <c r="GM20" i="10"/>
  <c r="GK20" i="10" s="1"/>
  <c r="GM10" i="11"/>
  <c r="GK10" i="11" s="1"/>
  <c r="GJ40" i="13"/>
  <c r="GM41" i="10"/>
  <c r="GK41" i="10" s="1"/>
  <c r="GM9" i="11"/>
  <c r="GK9" i="11" s="1"/>
  <c r="GJ34" i="13"/>
  <c r="AB33" i="43" s="1"/>
  <c r="GM36" i="10"/>
  <c r="GK36" i="10" s="1"/>
  <c r="GJ28" i="13"/>
  <c r="AB13" i="43" s="1"/>
  <c r="GM23" i="10"/>
  <c r="GK23" i="10" s="1"/>
  <c r="GJ8" i="13"/>
  <c r="GJ44" i="13"/>
  <c r="GM6" i="9"/>
  <c r="GM35" i="10"/>
  <c r="GK35" i="10" s="1"/>
  <c r="GJ17" i="13"/>
  <c r="AB28" i="43" s="1"/>
  <c r="GJ36" i="13"/>
  <c r="AB22" i="43" s="1"/>
  <c r="GM16" i="11"/>
  <c r="GK16" i="11" s="1"/>
  <c r="GJ12" i="14"/>
  <c r="AB8" i="63" s="1"/>
  <c r="GM40" i="10"/>
  <c r="GK40" i="10" s="1"/>
  <c r="GM22" i="10"/>
  <c r="GK22" i="10" s="1"/>
  <c r="GM18" i="11"/>
  <c r="GK18" i="11" s="1"/>
  <c r="GJ9" i="13"/>
  <c r="AB6" i="43" s="1"/>
  <c r="GM12" i="10"/>
  <c r="GK12" i="10" s="1"/>
  <c r="GJ19" i="13"/>
  <c r="AB4" i="43" s="1"/>
  <c r="GJ21" i="13"/>
  <c r="AB17" i="43" s="1"/>
  <c r="GM9" i="10"/>
  <c r="GK9" i="10" s="1"/>
  <c r="GM42" i="10"/>
  <c r="GK42" i="10" s="1"/>
  <c r="GM34" i="10"/>
  <c r="GK34" i="10" s="1"/>
  <c r="GJ19" i="14"/>
  <c r="GM8" i="11"/>
  <c r="GK8" i="11" s="1"/>
  <c r="GJ16" i="13"/>
  <c r="AB7" i="43" s="1"/>
  <c r="GJ18" i="14"/>
  <c r="AB14" i="63" s="1"/>
  <c r="GM14" i="10"/>
  <c r="GK14" i="10" s="1"/>
  <c r="GJ29" i="13"/>
  <c r="AB27" i="43" s="1"/>
  <c r="GJ9" i="14"/>
  <c r="AB5" i="63" s="1"/>
  <c r="GM19" i="10"/>
  <c r="GK19" i="10" s="1"/>
  <c r="GM38" i="10"/>
  <c r="GK38" i="10" s="1"/>
  <c r="GM18" i="10"/>
  <c r="GK18" i="10" s="1"/>
  <c r="GJ10" i="14"/>
  <c r="AB10" i="63" s="1"/>
  <c r="GJ14" i="14"/>
  <c r="AB9" i="63" s="1"/>
  <c r="GJ42" i="13"/>
  <c r="GM17" i="11"/>
  <c r="GK17" i="11" s="1"/>
  <c r="GM14" i="11"/>
  <c r="GK14" i="11" s="1"/>
  <c r="GJ41" i="13"/>
  <c r="GM11" i="10"/>
  <c r="GK11" i="10" s="1"/>
  <c r="GJ33" i="13"/>
  <c r="AB29" i="43" s="1"/>
  <c r="GJ37" i="13"/>
  <c r="AB32" i="43" s="1"/>
  <c r="GJ35" i="13"/>
  <c r="AB30" i="43" s="1"/>
  <c r="GM28" i="10"/>
  <c r="GK28" i="10" s="1"/>
  <c r="GM30" i="10"/>
  <c r="GK30" i="10" s="1"/>
  <c r="GJ10" i="13"/>
  <c r="AB26" i="43" s="1"/>
  <c r="GM31" i="10"/>
  <c r="GK31" i="10" s="1"/>
  <c r="GJ39" i="13"/>
  <c r="GJ25" i="13"/>
  <c r="AB34" i="43" s="1"/>
  <c r="GJ27" i="13"/>
  <c r="AB10" i="43" s="1"/>
  <c r="GJ24" i="13"/>
  <c r="AB19" i="43" s="1"/>
  <c r="GJ13" i="14"/>
  <c r="AB11" i="63" s="1"/>
  <c r="GM39" i="10"/>
  <c r="GK39" i="10" s="1"/>
  <c r="GM17" i="10"/>
  <c r="GK17" i="10" s="1"/>
  <c r="GM16" i="10"/>
  <c r="GK16" i="10" s="1"/>
  <c r="GM25" i="10"/>
  <c r="GK25" i="10" s="1"/>
  <c r="GK21" i="9"/>
  <c r="DX6" i="11"/>
  <c r="DX6" i="10"/>
  <c r="DX7" i="9"/>
  <c r="X11" i="46"/>
  <c r="AD10" i="42"/>
  <c r="FG31" i="13"/>
  <c r="Y12" i="26"/>
  <c r="HQ12" i="10"/>
  <c r="HO12" i="10" s="1"/>
  <c r="HQ17" i="11"/>
  <c r="HO17" i="11" s="1"/>
  <c r="HQ19" i="11"/>
  <c r="HO19" i="11" s="1"/>
  <c r="HQ16" i="10"/>
  <c r="HO16" i="10" s="1"/>
  <c r="HQ11" i="10"/>
  <c r="HO11" i="10" s="1"/>
  <c r="HN13" i="13"/>
  <c r="Y12" i="46" s="1"/>
  <c r="HN9" i="13"/>
  <c r="Y6" i="46" s="1"/>
  <c r="HQ23" i="10"/>
  <c r="HO23" i="10" s="1"/>
  <c r="HQ14" i="11"/>
  <c r="HO14" i="11" s="1"/>
  <c r="HN45" i="13"/>
  <c r="HN39" i="13"/>
  <c r="HN35" i="13"/>
  <c r="Y31" i="46" s="1"/>
  <c r="HN26" i="13"/>
  <c r="Y15" i="46" s="1"/>
  <c r="HN13" i="14"/>
  <c r="Y11" i="66" s="1"/>
  <c r="HQ15" i="11"/>
  <c r="HO15" i="11" s="1"/>
  <c r="HN17" i="14"/>
  <c r="Y13" i="66" s="1"/>
  <c r="HQ6" i="9"/>
  <c r="HQ13" i="10"/>
  <c r="HO13" i="10" s="1"/>
  <c r="HQ15" i="10"/>
  <c r="HO15" i="10" s="1"/>
  <c r="HN10" i="14"/>
  <c r="Y9" i="66" s="1"/>
  <c r="HN46" i="13"/>
  <c r="HN34" i="13"/>
  <c r="Y33" i="46" s="1"/>
  <c r="HQ34" i="10"/>
  <c r="HO34" i="10" s="1"/>
  <c r="HQ8" i="10"/>
  <c r="HO8" i="10" s="1"/>
  <c r="HQ20" i="10"/>
  <c r="HO20" i="10" s="1"/>
  <c r="HQ22" i="10"/>
  <c r="HO22" i="10" s="1"/>
  <c r="HQ17" i="10"/>
  <c r="HO17" i="10" s="1"/>
  <c r="HN11" i="13"/>
  <c r="Y20" i="46" s="1"/>
  <c r="HQ40" i="10"/>
  <c r="HO40" i="10" s="1"/>
  <c r="HN29" i="13"/>
  <c r="Y25" i="46" s="1"/>
  <c r="HN23" i="13"/>
  <c r="Y14" i="46" s="1"/>
  <c r="HQ36" i="10"/>
  <c r="HO36" i="10" s="1"/>
  <c r="HN16" i="14"/>
  <c r="Y12" i="66" s="1"/>
  <c r="HN14" i="14"/>
  <c r="Y8" i="66" s="1"/>
  <c r="HN38" i="13"/>
  <c r="Y28" i="46" s="1"/>
  <c r="HN27" i="13"/>
  <c r="Y9" i="46" s="1"/>
  <c r="HQ18" i="10"/>
  <c r="HO18" i="10" s="1"/>
  <c r="HQ20" i="11"/>
  <c r="HO20" i="11" s="1"/>
  <c r="HQ25" i="10"/>
  <c r="HO25" i="10" s="1"/>
  <c r="HQ38" i="10"/>
  <c r="HO38" i="10" s="1"/>
  <c r="HN20" i="13"/>
  <c r="Y26" i="46" s="1"/>
  <c r="HN47" i="13"/>
  <c r="HQ31" i="10"/>
  <c r="HO31" i="10" s="1"/>
  <c r="HN24" i="13"/>
  <c r="Y19" i="46" s="1"/>
  <c r="HQ10" i="11"/>
  <c r="HO10" i="11" s="1"/>
  <c r="HN42" i="13"/>
  <c r="HN15" i="14"/>
  <c r="Y7" i="66" s="1"/>
  <c r="HN44" i="13"/>
  <c r="HQ41" i="10"/>
  <c r="HO41" i="10" s="1"/>
  <c r="HN18" i="14"/>
  <c r="Y14" i="66" s="1"/>
  <c r="HN32" i="13"/>
  <c r="Y16" i="46" s="1"/>
  <c r="HQ11" i="11"/>
  <c r="HO11" i="11" s="1"/>
  <c r="HN30" i="13"/>
  <c r="Y10" i="46" s="1"/>
  <c r="HN12" i="14"/>
  <c r="Y10" i="66" s="1"/>
  <c r="HN25" i="13"/>
  <c r="Y34" i="46" s="1"/>
  <c r="HN22" i="13"/>
  <c r="Y8" i="46" s="1"/>
  <c r="HN37" i="13"/>
  <c r="Y32" i="46" s="1"/>
  <c r="HN14" i="13"/>
  <c r="Y5" i="46" s="1"/>
  <c r="HQ33" i="10"/>
  <c r="HO33" i="10" s="1"/>
  <c r="HN28" i="13"/>
  <c r="Y13" i="46" s="1"/>
  <c r="HQ35" i="10"/>
  <c r="HO35" i="10" s="1"/>
  <c r="HQ19" i="10"/>
  <c r="HO19" i="10" s="1"/>
  <c r="HN21" i="13"/>
  <c r="Y17" i="46" s="1"/>
  <c r="HN9" i="14"/>
  <c r="Y5" i="66" s="1"/>
  <c r="HN36" i="13"/>
  <c r="Y22" i="46" s="1"/>
  <c r="HN11" i="14"/>
  <c r="Y4" i="66" s="1"/>
  <c r="HN33" i="13"/>
  <c r="Y30" i="46" s="1"/>
  <c r="HQ32" i="10"/>
  <c r="HO32" i="10" s="1"/>
  <c r="HN40" i="13"/>
  <c r="HN17" i="13"/>
  <c r="Y29" i="46" s="1"/>
  <c r="HN8" i="13"/>
  <c r="HQ28" i="10"/>
  <c r="HO28" i="10" s="1"/>
  <c r="HQ27" i="10"/>
  <c r="HO27" i="10" s="1"/>
  <c r="HN16" i="13"/>
  <c r="Y7" i="46" s="1"/>
  <c r="HQ16" i="11"/>
  <c r="HO16" i="11" s="1"/>
  <c r="HQ13" i="11"/>
  <c r="HO13" i="11" s="1"/>
  <c r="HQ18" i="11"/>
  <c r="HO18" i="11" s="1"/>
  <c r="HN19" i="13"/>
  <c r="Y4" i="46" s="1"/>
  <c r="HN31" i="13"/>
  <c r="Y11" i="46" s="1"/>
  <c r="HN43" i="13"/>
  <c r="HQ42" i="10"/>
  <c r="HO42" i="10" s="1"/>
  <c r="HQ9" i="10"/>
  <c r="HO9" i="10" s="1"/>
  <c r="HQ29" i="10"/>
  <c r="HO29" i="10" s="1"/>
  <c r="HQ37" i="10"/>
  <c r="HO37" i="10" s="1"/>
  <c r="HQ8" i="11"/>
  <c r="HO8" i="11" s="1"/>
  <c r="HN10" i="13"/>
  <c r="Y27" i="46" s="1"/>
  <c r="HQ12" i="11"/>
  <c r="HO12" i="11" s="1"/>
  <c r="HN18" i="13"/>
  <c r="Y24" i="46" s="1"/>
  <c r="HN15" i="13"/>
  <c r="Y23" i="46" s="1"/>
  <c r="HN41" i="13"/>
  <c r="HQ30" i="10"/>
  <c r="HO30" i="10" s="1"/>
  <c r="HQ10" i="10"/>
  <c r="HO10" i="10" s="1"/>
  <c r="HQ39" i="10"/>
  <c r="HO39" i="10" s="1"/>
  <c r="HQ21" i="10"/>
  <c r="HO21" i="10" s="1"/>
  <c r="HN19" i="14"/>
  <c r="HQ24" i="10"/>
  <c r="HO24" i="10" s="1"/>
  <c r="HN12" i="13"/>
  <c r="Y21" i="46" s="1"/>
  <c r="HQ9" i="11"/>
  <c r="HO9" i="11" s="1"/>
  <c r="HN8" i="14"/>
  <c r="HQ26" i="10"/>
  <c r="HO26" i="10" s="1"/>
  <c r="HQ14" i="10"/>
  <c r="HO14" i="10" s="1"/>
  <c r="HO21" i="9"/>
  <c r="IF7" i="11"/>
  <c r="DM7" i="14"/>
  <c r="EG6" i="13"/>
  <c r="Z21" i="45"/>
  <c r="AC23" i="42"/>
  <c r="FD18" i="13"/>
  <c r="Z18" i="45"/>
  <c r="AC17" i="42"/>
  <c r="FD21" i="13"/>
  <c r="X26" i="44"/>
  <c r="AB24" i="42"/>
  <c r="FA15" i="13"/>
  <c r="ED6" i="14"/>
  <c r="AB31" i="42"/>
  <c r="X19" i="44"/>
  <c r="FA35" i="13"/>
  <c r="X4" i="44"/>
  <c r="AB4" i="42"/>
  <c r="FA19" i="13"/>
  <c r="X27" i="44"/>
  <c r="AB25" i="42"/>
  <c r="FA20" i="13"/>
  <c r="X23" i="44"/>
  <c r="AB21" i="42"/>
  <c r="AB3" i="42"/>
  <c r="X3" i="44"/>
  <c r="FA8" i="13"/>
  <c r="AB7" i="42"/>
  <c r="X10" i="44"/>
  <c r="FA9" i="13"/>
  <c r="X29" i="44"/>
  <c r="AB11" i="42"/>
  <c r="FA27" i="13"/>
  <c r="AA5" i="24"/>
  <c r="GY18" i="14"/>
  <c r="AA14" i="64" s="1"/>
  <c r="GY45" i="13"/>
  <c r="GY24" i="13"/>
  <c r="AA13" i="44" s="1"/>
  <c r="GY17" i="13"/>
  <c r="AA24" i="44" s="1"/>
  <c r="HB12" i="11"/>
  <c r="GZ12" i="11" s="1"/>
  <c r="HB34" i="10"/>
  <c r="GZ34" i="10" s="1"/>
  <c r="HB35" i="10"/>
  <c r="GZ35" i="10" s="1"/>
  <c r="HB9" i="10"/>
  <c r="GZ9" i="10" s="1"/>
  <c r="GY46" i="13"/>
  <c r="HB39" i="10"/>
  <c r="GZ39" i="10" s="1"/>
  <c r="GY11" i="14"/>
  <c r="AA5" i="64" s="1"/>
  <c r="GY40" i="13"/>
  <c r="GY33" i="13"/>
  <c r="AA32" i="44" s="1"/>
  <c r="GY22" i="13"/>
  <c r="AA28" i="44" s="1"/>
  <c r="HB10" i="11"/>
  <c r="GZ10" i="11" s="1"/>
  <c r="HB27" i="10"/>
  <c r="GZ27" i="10" s="1"/>
  <c r="HB32" i="10"/>
  <c r="GZ32" i="10" s="1"/>
  <c r="HB10" i="10"/>
  <c r="GZ10" i="10" s="1"/>
  <c r="GY14" i="14"/>
  <c r="AA13" i="64" s="1"/>
  <c r="HB15" i="11"/>
  <c r="GZ15" i="11" s="1"/>
  <c r="GY20" i="13"/>
  <c r="AA27" i="44" s="1"/>
  <c r="HB6" i="9"/>
  <c r="GY17" i="14"/>
  <c r="AA11" i="64" s="1"/>
  <c r="GY43" i="13"/>
  <c r="GY35" i="13"/>
  <c r="AA19" i="44" s="1"/>
  <c r="GY8" i="13"/>
  <c r="HB11" i="11"/>
  <c r="GZ11" i="11" s="1"/>
  <c r="HB26" i="10"/>
  <c r="GZ26" i="10" s="1"/>
  <c r="HB33" i="10"/>
  <c r="GZ33" i="10" s="1"/>
  <c r="GY13" i="14"/>
  <c r="AA7" i="64" s="1"/>
  <c r="GY10" i="14"/>
  <c r="AA10" i="64" s="1"/>
  <c r="GY28" i="13"/>
  <c r="AA30" i="44" s="1"/>
  <c r="GY16" i="13"/>
  <c r="AA12" i="44" s="1"/>
  <c r="HB17" i="11"/>
  <c r="GZ17" i="11" s="1"/>
  <c r="HB24" i="10"/>
  <c r="GZ24" i="10" s="1"/>
  <c r="HB25" i="10"/>
  <c r="GZ25" i="10" s="1"/>
  <c r="GY19" i="14"/>
  <c r="GY9" i="14"/>
  <c r="AA6" i="64" s="1"/>
  <c r="GY23" i="13"/>
  <c r="AA11" i="44" s="1"/>
  <c r="GY12" i="13"/>
  <c r="AA14" i="44" s="1"/>
  <c r="HB8" i="11"/>
  <c r="GZ8" i="11" s="1"/>
  <c r="HB22" i="10"/>
  <c r="GZ22" i="10" s="1"/>
  <c r="HB23" i="10"/>
  <c r="GZ23" i="10" s="1"/>
  <c r="GY42" i="13"/>
  <c r="GY8" i="14"/>
  <c r="GY34" i="13"/>
  <c r="AA25" i="44" s="1"/>
  <c r="GY26" i="13"/>
  <c r="AA9" i="44" s="1"/>
  <c r="HB19" i="11"/>
  <c r="GZ19" i="11" s="1"/>
  <c r="HB20" i="10"/>
  <c r="GZ20" i="10" s="1"/>
  <c r="HB21" i="10"/>
  <c r="GZ21" i="10" s="1"/>
  <c r="GY15" i="14"/>
  <c r="AA4" i="64" s="1"/>
  <c r="GY39" i="13"/>
  <c r="GY32" i="13"/>
  <c r="AA16" i="44" s="1"/>
  <c r="GY15" i="13"/>
  <c r="AA26" i="44" s="1"/>
  <c r="HB41" i="10"/>
  <c r="GZ41" i="10" s="1"/>
  <c r="HB18" i="10"/>
  <c r="GZ18" i="10" s="1"/>
  <c r="HB19" i="10"/>
  <c r="GZ19" i="10" s="1"/>
  <c r="GY37" i="13"/>
  <c r="AA33" i="44" s="1"/>
  <c r="GY21" i="13"/>
  <c r="AA20" i="44" s="1"/>
  <c r="GY27" i="13"/>
  <c r="AA29" i="44" s="1"/>
  <c r="GY11" i="13"/>
  <c r="AA15" i="44" s="1"/>
  <c r="HB13" i="11"/>
  <c r="GZ13" i="11" s="1"/>
  <c r="HB16" i="10"/>
  <c r="GZ16" i="10" s="1"/>
  <c r="HB17" i="10"/>
  <c r="GZ17" i="10" s="1"/>
  <c r="GY41" i="13"/>
  <c r="GY30" i="13"/>
  <c r="AA5" i="44" s="1"/>
  <c r="GY14" i="13"/>
  <c r="AA6" i="44" s="1"/>
  <c r="GY31" i="13"/>
  <c r="AA7" i="44" s="1"/>
  <c r="HB42" i="10"/>
  <c r="GZ42" i="10" s="1"/>
  <c r="HB14" i="10"/>
  <c r="GZ14" i="10" s="1"/>
  <c r="HB15" i="10"/>
  <c r="GZ15" i="10" s="1"/>
  <c r="GY16" i="14"/>
  <c r="AA12" i="64" s="1"/>
  <c r="GY25" i="13"/>
  <c r="AA22" i="44" s="1"/>
  <c r="GY10" i="13"/>
  <c r="AA17" i="44" s="1"/>
  <c r="HB20" i="11"/>
  <c r="GZ20" i="11" s="1"/>
  <c r="HB40" i="10"/>
  <c r="GZ40" i="10" s="1"/>
  <c r="HB12" i="10"/>
  <c r="GZ12" i="10" s="1"/>
  <c r="HB13" i="10"/>
  <c r="GZ13" i="10" s="1"/>
  <c r="GY44" i="13"/>
  <c r="GY38" i="13"/>
  <c r="AA34" i="44" s="1"/>
  <c r="GY18" i="13"/>
  <c r="AA21" i="44" s="1"/>
  <c r="HB18" i="11"/>
  <c r="GZ18" i="11" s="1"/>
  <c r="HB38" i="10"/>
  <c r="GZ38" i="10" s="1"/>
  <c r="HB28" i="10"/>
  <c r="GZ28" i="10" s="1"/>
  <c r="HB31" i="10"/>
  <c r="GZ31" i="10" s="1"/>
  <c r="GY36" i="13"/>
  <c r="AA18" i="44" s="1"/>
  <c r="GY47" i="13"/>
  <c r="GY9" i="13"/>
  <c r="AA10" i="44" s="1"/>
  <c r="HB16" i="11"/>
  <c r="GZ16" i="11" s="1"/>
  <c r="HB36" i="10"/>
  <c r="GZ36" i="10" s="1"/>
  <c r="HB29" i="10"/>
  <c r="GZ29" i="10" s="1"/>
  <c r="HB11" i="10"/>
  <c r="GZ11" i="10" s="1"/>
  <c r="GY12" i="14"/>
  <c r="AA9" i="64" s="1"/>
  <c r="GY29" i="13"/>
  <c r="AA31" i="44" s="1"/>
  <c r="GY13" i="13"/>
  <c r="AA8" i="44" s="1"/>
  <c r="HB14" i="11"/>
  <c r="GZ14" i="11" s="1"/>
  <c r="HB9" i="11"/>
  <c r="GZ9" i="11" s="1"/>
  <c r="HB37" i="10"/>
  <c r="GZ37" i="10" s="1"/>
  <c r="HB8" i="10"/>
  <c r="GZ8" i="10" s="1"/>
  <c r="GY19" i="13"/>
  <c r="AA4" i="44" s="1"/>
  <c r="HB30" i="10"/>
  <c r="GZ30" i="10" s="1"/>
  <c r="GZ21" i="9"/>
  <c r="DW6" i="11"/>
  <c r="DW6" i="10"/>
  <c r="DW7" i="9"/>
  <c r="EZ34" i="10"/>
  <c r="FA34" i="10"/>
  <c r="AA6" i="62"/>
  <c r="Z5" i="63"/>
  <c r="EW9" i="14"/>
  <c r="EX9" i="14"/>
  <c r="AA31" i="42"/>
  <c r="Z30" i="43"/>
  <c r="EW35" i="13"/>
  <c r="EX35" i="13"/>
  <c r="EZ15" i="10"/>
  <c r="FA15" i="10"/>
  <c r="Z33" i="43"/>
  <c r="AA34" i="42"/>
  <c r="EW34" i="13"/>
  <c r="EX34" i="13"/>
  <c r="Z6" i="63"/>
  <c r="AA7" i="62"/>
  <c r="EW8" i="14"/>
  <c r="Z3" i="63"/>
  <c r="AA3" i="62"/>
  <c r="EX8" i="14"/>
  <c r="Z12" i="43"/>
  <c r="AA12" i="42"/>
  <c r="EW13" i="13"/>
  <c r="EX13" i="13"/>
  <c r="AC11" i="23"/>
  <c r="GP38" i="10"/>
  <c r="GN38" i="10" s="1"/>
  <c r="GM32" i="13"/>
  <c r="AC16" i="43" s="1"/>
  <c r="GP15" i="10"/>
  <c r="GN15" i="10" s="1"/>
  <c r="GM19" i="13"/>
  <c r="AC4" i="43" s="1"/>
  <c r="GP33" i="10"/>
  <c r="GN33" i="10" s="1"/>
  <c r="GM13" i="13"/>
  <c r="AC12" i="43" s="1"/>
  <c r="GM14" i="13"/>
  <c r="AC5" i="43" s="1"/>
  <c r="GP11" i="11"/>
  <c r="GN11" i="11" s="1"/>
  <c r="GP20" i="10"/>
  <c r="GN20" i="10" s="1"/>
  <c r="GM33" i="13"/>
  <c r="AC29" i="43" s="1"/>
  <c r="GM9" i="13"/>
  <c r="AC6" i="43" s="1"/>
  <c r="GM47" i="13"/>
  <c r="GM23" i="13"/>
  <c r="AC14" i="43" s="1"/>
  <c r="GM17" i="13"/>
  <c r="AC28" i="43" s="1"/>
  <c r="GM8" i="13"/>
  <c r="GP8" i="11"/>
  <c r="GN8" i="11" s="1"/>
  <c r="GM38" i="13"/>
  <c r="AC31" i="43" s="1"/>
  <c r="GM11" i="13"/>
  <c r="AC21" i="43" s="1"/>
  <c r="GM14" i="14"/>
  <c r="AC9" i="63" s="1"/>
  <c r="GM40" i="13"/>
  <c r="GM28" i="13"/>
  <c r="AC13" i="43" s="1"/>
  <c r="GM21" i="13"/>
  <c r="AC17" i="43" s="1"/>
  <c r="GP9" i="11"/>
  <c r="GN9" i="11" s="1"/>
  <c r="GP31" i="10"/>
  <c r="GN31" i="10" s="1"/>
  <c r="GM31" i="13"/>
  <c r="AC11" i="43" s="1"/>
  <c r="GM16" i="14"/>
  <c r="AC12" i="63" s="1"/>
  <c r="GM22" i="13"/>
  <c r="AC8" i="43" s="1"/>
  <c r="GP12" i="10"/>
  <c r="GN12" i="10" s="1"/>
  <c r="GM25" i="13"/>
  <c r="AC34" i="43" s="1"/>
  <c r="GM34" i="13"/>
  <c r="AC33" i="43" s="1"/>
  <c r="GM8" i="14"/>
  <c r="GM9" i="14"/>
  <c r="AC5" i="63" s="1"/>
  <c r="GP22" i="10"/>
  <c r="GN22" i="10" s="1"/>
  <c r="GM35" i="13"/>
  <c r="AC30" i="43" s="1"/>
  <c r="GM18" i="14"/>
  <c r="AC14" i="63" s="1"/>
  <c r="GP9" i="10"/>
  <c r="GN9" i="10" s="1"/>
  <c r="GM15" i="13"/>
  <c r="AC25" i="43" s="1"/>
  <c r="GM46" i="13"/>
  <c r="GM30" i="13"/>
  <c r="AC9" i="43" s="1"/>
  <c r="GM13" i="14"/>
  <c r="AC11" i="63" s="1"/>
  <c r="GP30" i="10"/>
  <c r="GN30" i="10" s="1"/>
  <c r="GP27" i="10"/>
  <c r="GN27" i="10" s="1"/>
  <c r="GP42" i="10"/>
  <c r="GN42" i="10" s="1"/>
  <c r="GM27" i="13"/>
  <c r="AC10" i="43" s="1"/>
  <c r="GM24" i="13"/>
  <c r="AC19" i="43" s="1"/>
  <c r="GM10" i="13"/>
  <c r="AC26" i="43" s="1"/>
  <c r="GM18" i="13"/>
  <c r="AC24" i="43" s="1"/>
  <c r="GM29" i="13"/>
  <c r="AC27" i="43" s="1"/>
  <c r="GP32" i="10"/>
  <c r="GN32" i="10" s="1"/>
  <c r="GP13" i="11"/>
  <c r="GN13" i="11" s="1"/>
  <c r="GP16" i="11"/>
  <c r="GN16" i="11" s="1"/>
  <c r="GM26" i="13"/>
  <c r="AC15" i="43" s="1"/>
  <c r="GP6" i="9"/>
  <c r="GM20" i="13"/>
  <c r="AC23" i="43" s="1"/>
  <c r="GP37" i="10"/>
  <c r="GN37" i="10" s="1"/>
  <c r="GM19" i="14"/>
  <c r="GP25" i="10"/>
  <c r="GN25" i="10" s="1"/>
  <c r="GP35" i="10"/>
  <c r="GN35" i="10" s="1"/>
  <c r="GP20" i="11"/>
  <c r="GN20" i="11" s="1"/>
  <c r="GM15" i="14"/>
  <c r="AC7" i="63" s="1"/>
  <c r="GP14" i="10"/>
  <c r="GN14" i="10" s="1"/>
  <c r="GP10" i="10"/>
  <c r="GN10" i="10" s="1"/>
  <c r="GM36" i="13"/>
  <c r="AC22" i="43" s="1"/>
  <c r="GP26" i="10"/>
  <c r="GN26" i="10" s="1"/>
  <c r="GP17" i="10"/>
  <c r="GN17" i="10" s="1"/>
  <c r="GP19" i="11"/>
  <c r="GN19" i="11" s="1"/>
  <c r="GM39" i="13"/>
  <c r="GP19" i="10"/>
  <c r="GN19" i="10" s="1"/>
  <c r="GP17" i="11"/>
  <c r="GN17" i="11" s="1"/>
  <c r="GP18" i="11"/>
  <c r="GN18" i="11" s="1"/>
  <c r="GM11" i="14"/>
  <c r="AC4" i="63" s="1"/>
  <c r="GM45" i="13"/>
  <c r="GM16" i="13"/>
  <c r="AC7" i="43" s="1"/>
  <c r="GP36" i="10"/>
  <c r="GN36" i="10" s="1"/>
  <c r="GM10" i="14"/>
  <c r="AC10" i="63" s="1"/>
  <c r="GM43" i="13"/>
  <c r="GP39" i="10"/>
  <c r="GN39" i="10" s="1"/>
  <c r="GP23" i="10"/>
  <c r="GN23" i="10" s="1"/>
  <c r="GP40" i="10"/>
  <c r="GN40" i="10" s="1"/>
  <c r="GP8" i="10"/>
  <c r="GN8" i="10" s="1"/>
  <c r="GP28" i="10"/>
  <c r="GN28" i="10" s="1"/>
  <c r="GP24" i="10"/>
  <c r="GN24" i="10" s="1"/>
  <c r="GP13" i="10"/>
  <c r="GN13" i="10" s="1"/>
  <c r="GP15" i="11"/>
  <c r="GN15" i="11" s="1"/>
  <c r="GP10" i="11"/>
  <c r="GN10" i="11" s="1"/>
  <c r="GP41" i="10"/>
  <c r="GN41" i="10" s="1"/>
  <c r="GP29" i="10"/>
  <c r="GN29" i="10" s="1"/>
  <c r="GM37" i="13"/>
  <c r="AC32" i="43" s="1"/>
  <c r="GP11" i="10"/>
  <c r="GN11" i="10" s="1"/>
  <c r="GM12" i="14"/>
  <c r="AC8" i="63" s="1"/>
  <c r="GP34" i="10"/>
  <c r="GN34" i="10" s="1"/>
  <c r="GP21" i="10"/>
  <c r="GN21" i="10" s="1"/>
  <c r="GP12" i="11"/>
  <c r="GN12" i="11" s="1"/>
  <c r="GM12" i="13"/>
  <c r="AC20" i="43" s="1"/>
  <c r="GP18" i="10"/>
  <c r="GN18" i="10" s="1"/>
  <c r="GM17" i="14"/>
  <c r="AC13" i="63" s="1"/>
  <c r="GP14" i="11"/>
  <c r="GN14" i="11" s="1"/>
  <c r="GP16" i="10"/>
  <c r="GN16" i="10" s="1"/>
  <c r="GM44" i="13"/>
  <c r="GM42" i="13"/>
  <c r="GM41" i="13"/>
  <c r="GN21" i="9"/>
  <c r="X26" i="46"/>
  <c r="AD25" i="42"/>
  <c r="FG20" i="13"/>
  <c r="AD8" i="62"/>
  <c r="X10" i="66"/>
  <c r="FG12" i="14"/>
  <c r="X6" i="66"/>
  <c r="AD7" i="62"/>
  <c r="AD3" i="62"/>
  <c r="X3" i="66"/>
  <c r="FG8" i="14"/>
  <c r="Z12" i="26"/>
  <c r="HQ18" i="14"/>
  <c r="Z14" i="66" s="1"/>
  <c r="HQ24" i="13"/>
  <c r="Z19" i="46" s="1"/>
  <c r="HQ30" i="13"/>
  <c r="Z10" i="46" s="1"/>
  <c r="HQ18" i="13"/>
  <c r="Z24" i="46" s="1"/>
  <c r="HT13" i="11"/>
  <c r="HR13" i="11" s="1"/>
  <c r="HT35" i="10"/>
  <c r="HR35" i="10" s="1"/>
  <c r="HT25" i="10"/>
  <c r="HR25" i="10" s="1"/>
  <c r="HQ41" i="13"/>
  <c r="HQ9" i="14"/>
  <c r="Z5" i="66" s="1"/>
  <c r="HQ13" i="13"/>
  <c r="Z12" i="46" s="1"/>
  <c r="HT20" i="11"/>
  <c r="HR20" i="11" s="1"/>
  <c r="HT11" i="11"/>
  <c r="HR11" i="11" s="1"/>
  <c r="HT33" i="10"/>
  <c r="HR33" i="10" s="1"/>
  <c r="HT23" i="10"/>
  <c r="HR23" i="10" s="1"/>
  <c r="HQ40" i="13"/>
  <c r="HQ33" i="13"/>
  <c r="Z30" i="46" s="1"/>
  <c r="HQ17" i="13"/>
  <c r="Z29" i="46" s="1"/>
  <c r="HT18" i="11"/>
  <c r="HR18" i="11" s="1"/>
  <c r="HT9" i="11"/>
  <c r="HR9" i="11" s="1"/>
  <c r="HT31" i="10"/>
  <c r="HR31" i="10" s="1"/>
  <c r="HT21" i="10"/>
  <c r="HR21" i="10" s="1"/>
  <c r="HQ15" i="14"/>
  <c r="Z7" i="66" s="1"/>
  <c r="HQ8" i="14"/>
  <c r="HQ37" i="13"/>
  <c r="Z32" i="46" s="1"/>
  <c r="HT16" i="11"/>
  <c r="HR16" i="11" s="1"/>
  <c r="HT42" i="10"/>
  <c r="HR42" i="10" s="1"/>
  <c r="HT29" i="10"/>
  <c r="HR29" i="10" s="1"/>
  <c r="HT19" i="10"/>
  <c r="HR19" i="10" s="1"/>
  <c r="HQ45" i="13"/>
  <c r="HQ23" i="13"/>
  <c r="Z14" i="46" s="1"/>
  <c r="HQ21" i="13"/>
  <c r="Z17" i="46" s="1"/>
  <c r="HT14" i="11"/>
  <c r="HR14" i="11" s="1"/>
  <c r="HT40" i="10"/>
  <c r="HR40" i="10" s="1"/>
  <c r="HT26" i="10"/>
  <c r="HR26" i="10" s="1"/>
  <c r="HT17" i="10"/>
  <c r="HR17" i="10" s="1"/>
  <c r="HQ39" i="13"/>
  <c r="HQ32" i="13"/>
  <c r="Z16" i="46" s="1"/>
  <c r="HQ28" i="13"/>
  <c r="Z13" i="46" s="1"/>
  <c r="HT12" i="11"/>
  <c r="HR12" i="11" s="1"/>
  <c r="HT38" i="10"/>
  <c r="HR38" i="10" s="1"/>
  <c r="HT24" i="10"/>
  <c r="HR24" i="10" s="1"/>
  <c r="HT27" i="10"/>
  <c r="HR27" i="10" s="1"/>
  <c r="HQ12" i="14"/>
  <c r="Z10" i="66" s="1"/>
  <c r="HQ27" i="13"/>
  <c r="Z9" i="46" s="1"/>
  <c r="HQ16" i="13"/>
  <c r="Z7" i="46" s="1"/>
  <c r="HT10" i="11"/>
  <c r="HR10" i="11" s="1"/>
  <c r="HT36" i="10"/>
  <c r="HR36" i="10" s="1"/>
  <c r="HT22" i="10"/>
  <c r="HR22" i="10" s="1"/>
  <c r="HT9" i="10"/>
  <c r="HR9" i="10" s="1"/>
  <c r="HQ46" i="13"/>
  <c r="HQ35" i="13"/>
  <c r="Z31" i="46" s="1"/>
  <c r="HQ12" i="13"/>
  <c r="Z21" i="46" s="1"/>
  <c r="HT8" i="11"/>
  <c r="HR8" i="11" s="1"/>
  <c r="HT34" i="10"/>
  <c r="HR34" i="10" s="1"/>
  <c r="HT20" i="10"/>
  <c r="HR20" i="10" s="1"/>
  <c r="HT11" i="10"/>
  <c r="HR11" i="10" s="1"/>
  <c r="HQ44" i="13"/>
  <c r="HQ14" i="14"/>
  <c r="Z8" i="66" s="1"/>
  <c r="HQ34" i="13"/>
  <c r="Z33" i="46" s="1"/>
  <c r="HQ20" i="13"/>
  <c r="Z26" i="46" s="1"/>
  <c r="HQ8" i="13"/>
  <c r="HT32" i="10"/>
  <c r="HR32" i="10" s="1"/>
  <c r="HT18" i="10"/>
  <c r="HR18" i="10" s="1"/>
  <c r="HT13" i="10"/>
  <c r="HR13" i="10" s="1"/>
  <c r="HQ17" i="14"/>
  <c r="Z13" i="66" s="1"/>
  <c r="HQ11" i="14"/>
  <c r="Z4" i="66" s="1"/>
  <c r="HQ22" i="13"/>
  <c r="Z8" i="46" s="1"/>
  <c r="HQ15" i="13"/>
  <c r="Z23" i="46" s="1"/>
  <c r="HQ9" i="13"/>
  <c r="Z6" i="46" s="1"/>
  <c r="HT30" i="10"/>
  <c r="HR30" i="10" s="1"/>
  <c r="HT16" i="10"/>
  <c r="HR16" i="10" s="1"/>
  <c r="HT15" i="10"/>
  <c r="HR15" i="10" s="1"/>
  <c r="HQ13" i="14"/>
  <c r="Z11" i="66" s="1"/>
  <c r="HQ38" i="13"/>
  <c r="Z28" i="46" s="1"/>
  <c r="HQ42" i="13"/>
  <c r="HQ11" i="13"/>
  <c r="Z20" i="46" s="1"/>
  <c r="HQ25" i="13"/>
  <c r="Z34" i="46" s="1"/>
  <c r="HT28" i="10"/>
  <c r="HR28" i="10" s="1"/>
  <c r="HT14" i="10"/>
  <c r="HR14" i="10" s="1"/>
  <c r="HT6" i="9"/>
  <c r="HQ43" i="13"/>
  <c r="HQ47" i="13"/>
  <c r="HQ36" i="13"/>
  <c r="Z22" i="46" s="1"/>
  <c r="HQ14" i="13"/>
  <c r="Z5" i="46" s="1"/>
  <c r="HT19" i="11"/>
  <c r="HR19" i="11" s="1"/>
  <c r="HT41" i="10"/>
  <c r="HR41" i="10" s="1"/>
  <c r="HT12" i="10"/>
  <c r="HR12" i="10" s="1"/>
  <c r="HQ16" i="14"/>
  <c r="Z12" i="66" s="1"/>
  <c r="HQ29" i="13"/>
  <c r="Z25" i="46" s="1"/>
  <c r="HQ31" i="13"/>
  <c r="Z11" i="46" s="1"/>
  <c r="HQ10" i="13"/>
  <c r="Z27" i="46" s="1"/>
  <c r="HT17" i="11"/>
  <c r="HR17" i="11" s="1"/>
  <c r="HT39" i="10"/>
  <c r="HR39" i="10" s="1"/>
  <c r="HT10" i="10"/>
  <c r="HR10" i="10" s="1"/>
  <c r="HQ19" i="14"/>
  <c r="HQ10" i="14"/>
  <c r="Z9" i="66" s="1"/>
  <c r="HQ26" i="13"/>
  <c r="Z15" i="46" s="1"/>
  <c r="HQ19" i="13"/>
  <c r="Z4" i="46" s="1"/>
  <c r="HT15" i="11"/>
  <c r="HR15" i="11" s="1"/>
  <c r="HT37" i="10"/>
  <c r="HR37" i="10" s="1"/>
  <c r="HT8" i="10"/>
  <c r="HR8" i="10" s="1"/>
  <c r="HR21" i="9"/>
  <c r="DY6" i="11"/>
  <c r="DY6" i="10"/>
  <c r="DY7" i="9"/>
  <c r="EH6" i="11"/>
  <c r="EH6" i="10"/>
  <c r="EH7" i="9"/>
  <c r="ED6" i="13"/>
  <c r="Z13" i="45"/>
  <c r="AC19" i="42"/>
  <c r="FD12" i="13"/>
  <c r="AC32" i="42"/>
  <c r="Z29" i="45"/>
  <c r="FD37" i="13"/>
  <c r="AC6" i="62"/>
  <c r="Z11" i="65"/>
  <c r="FD9" i="14"/>
  <c r="Z15" i="45"/>
  <c r="AC5" i="42"/>
  <c r="FD14" i="13"/>
  <c r="Z8" i="45"/>
  <c r="AC10" i="42"/>
  <c r="FD31" i="13"/>
  <c r="BI6" i="11"/>
  <c r="BI7" i="11" s="1"/>
  <c r="BI6" i="10"/>
  <c r="BI7" i="10" s="1"/>
  <c r="BI7" i="9"/>
  <c r="IJ7" i="11"/>
  <c r="EE6" i="14"/>
  <c r="X9" i="44"/>
  <c r="AB14" i="42"/>
  <c r="FA26" i="13"/>
  <c r="X13" i="64"/>
  <c r="AB9" i="62"/>
  <c r="FA14" i="14"/>
  <c r="AB19" i="42"/>
  <c r="X14" i="44"/>
  <c r="FA12" i="13"/>
  <c r="X31" i="44"/>
  <c r="AB26" i="42"/>
  <c r="FA29" i="13"/>
  <c r="Y5" i="24"/>
  <c r="GS15" i="14"/>
  <c r="Y4" i="64" s="1"/>
  <c r="GS14" i="14"/>
  <c r="Y13" i="64" s="1"/>
  <c r="GS44" i="13"/>
  <c r="GS18" i="13"/>
  <c r="Y21" i="44" s="1"/>
  <c r="GV17" i="11"/>
  <c r="GT17" i="11" s="1"/>
  <c r="GV39" i="10"/>
  <c r="GT39" i="10" s="1"/>
  <c r="GV26" i="10"/>
  <c r="GT26" i="10" s="1"/>
  <c r="GS18" i="14"/>
  <c r="Y14" i="64" s="1"/>
  <c r="GS42" i="13"/>
  <c r="GS25" i="13"/>
  <c r="Y22" i="44" s="1"/>
  <c r="GS28" i="13"/>
  <c r="Y30" i="44" s="1"/>
  <c r="GV15" i="11"/>
  <c r="GT15" i="11" s="1"/>
  <c r="GV37" i="10"/>
  <c r="GT37" i="10" s="1"/>
  <c r="GV24" i="10"/>
  <c r="GT24" i="10" s="1"/>
  <c r="GS20" i="13"/>
  <c r="Y27" i="44" s="1"/>
  <c r="GV13" i="11"/>
  <c r="GT13" i="11" s="1"/>
  <c r="GS13" i="14"/>
  <c r="Y7" i="64" s="1"/>
  <c r="GV10" i="11"/>
  <c r="GT10" i="11" s="1"/>
  <c r="GS11" i="14"/>
  <c r="Y5" i="64" s="1"/>
  <c r="GS45" i="13"/>
  <c r="GS29" i="13"/>
  <c r="Y31" i="44" s="1"/>
  <c r="GS22" i="13"/>
  <c r="Y28" i="44" s="1"/>
  <c r="GV11" i="11"/>
  <c r="GT11" i="11" s="1"/>
  <c r="GV31" i="10"/>
  <c r="GT31" i="10" s="1"/>
  <c r="GV20" i="10"/>
  <c r="GT20" i="10" s="1"/>
  <c r="GS46" i="13"/>
  <c r="GS34" i="13"/>
  <c r="Y25" i="44" s="1"/>
  <c r="GS36" i="13"/>
  <c r="Y18" i="44" s="1"/>
  <c r="GS13" i="13"/>
  <c r="Y8" i="44" s="1"/>
  <c r="GV9" i="11"/>
  <c r="GT9" i="11" s="1"/>
  <c r="GV25" i="10"/>
  <c r="GT25" i="10" s="1"/>
  <c r="GV18" i="10"/>
  <c r="GT18" i="10" s="1"/>
  <c r="GS40" i="13"/>
  <c r="GS23" i="13"/>
  <c r="Y11" i="44" s="1"/>
  <c r="GS24" i="13"/>
  <c r="Y13" i="44" s="1"/>
  <c r="GS17" i="13"/>
  <c r="Y24" i="44" s="1"/>
  <c r="GV40" i="10"/>
  <c r="GT40" i="10" s="1"/>
  <c r="GV23" i="10"/>
  <c r="GT23" i="10" s="1"/>
  <c r="GV16" i="10"/>
  <c r="GT16" i="10" s="1"/>
  <c r="GS35" i="13"/>
  <c r="Y19" i="44" s="1"/>
  <c r="GS32" i="13"/>
  <c r="Y16" i="44" s="1"/>
  <c r="GS16" i="13"/>
  <c r="Y12" i="44" s="1"/>
  <c r="GS8" i="13"/>
  <c r="GV38" i="10"/>
  <c r="GT38" i="10" s="1"/>
  <c r="GV21" i="10"/>
  <c r="GT21" i="10" s="1"/>
  <c r="GV14" i="10"/>
  <c r="GT14" i="10" s="1"/>
  <c r="GS47" i="13"/>
  <c r="GS37" i="13"/>
  <c r="Y33" i="44" s="1"/>
  <c r="GS12" i="13"/>
  <c r="Y14" i="44" s="1"/>
  <c r="GV20" i="11"/>
  <c r="GT20" i="11" s="1"/>
  <c r="GV36" i="10"/>
  <c r="GT36" i="10" s="1"/>
  <c r="GV19" i="10"/>
  <c r="GT19" i="10" s="1"/>
  <c r="GV12" i="10"/>
  <c r="GT12" i="10" s="1"/>
  <c r="GS43" i="13"/>
  <c r="GS27" i="13"/>
  <c r="Y29" i="44" s="1"/>
  <c r="GS33" i="13"/>
  <c r="Y32" i="44" s="1"/>
  <c r="GV18" i="11"/>
  <c r="GT18" i="11" s="1"/>
  <c r="GV34" i="10"/>
  <c r="GT34" i="10" s="1"/>
  <c r="GV17" i="10"/>
  <c r="GT17" i="10" s="1"/>
  <c r="GV33" i="10"/>
  <c r="GT33" i="10" s="1"/>
  <c r="GS8" i="14"/>
  <c r="GS31" i="13"/>
  <c r="Y7" i="44" s="1"/>
  <c r="GS15" i="13"/>
  <c r="Y26" i="44" s="1"/>
  <c r="GV16" i="11"/>
  <c r="GT16" i="11" s="1"/>
  <c r="GV32" i="10"/>
  <c r="GT32" i="10" s="1"/>
  <c r="GV15" i="10"/>
  <c r="GT15" i="10" s="1"/>
  <c r="GV11" i="10"/>
  <c r="GT11" i="10" s="1"/>
  <c r="GV28" i="10"/>
  <c r="GT28" i="10" s="1"/>
  <c r="GS39" i="13"/>
  <c r="GS26" i="13"/>
  <c r="Y9" i="44" s="1"/>
  <c r="GS11" i="13"/>
  <c r="Y15" i="44" s="1"/>
  <c r="GV14" i="11"/>
  <c r="GT14" i="11" s="1"/>
  <c r="GV30" i="10"/>
  <c r="GT30" i="10" s="1"/>
  <c r="GV13" i="10"/>
  <c r="GT13" i="10" s="1"/>
  <c r="GV9" i="10"/>
  <c r="GT9" i="10" s="1"/>
  <c r="GV27" i="10"/>
  <c r="GT27" i="10" s="1"/>
  <c r="GS16" i="14"/>
  <c r="Y12" i="64" s="1"/>
  <c r="GS9" i="14"/>
  <c r="Y6" i="64" s="1"/>
  <c r="GS41" i="13"/>
  <c r="GS14" i="13"/>
  <c r="Y6" i="44" s="1"/>
  <c r="GV12" i="11"/>
  <c r="GT12" i="11" s="1"/>
  <c r="GV8" i="10"/>
  <c r="GT8" i="10" s="1"/>
  <c r="GS19" i="14"/>
  <c r="GS10" i="14"/>
  <c r="Y10" i="64" s="1"/>
  <c r="GS21" i="13"/>
  <c r="Y20" i="44" s="1"/>
  <c r="GS10" i="13"/>
  <c r="Y17" i="44" s="1"/>
  <c r="GV42" i="10"/>
  <c r="GT42" i="10" s="1"/>
  <c r="GV8" i="11"/>
  <c r="GT8" i="11" s="1"/>
  <c r="GV29" i="10"/>
  <c r="GT29" i="10" s="1"/>
  <c r="GV10" i="10"/>
  <c r="GT10" i="10" s="1"/>
  <c r="GS12" i="14"/>
  <c r="Y9" i="64" s="1"/>
  <c r="GS38" i="13"/>
  <c r="Y34" i="44" s="1"/>
  <c r="GS30" i="13"/>
  <c r="Y5" i="44" s="1"/>
  <c r="GS19" i="13"/>
  <c r="Y4" i="44" s="1"/>
  <c r="GV19" i="11"/>
  <c r="GT19" i="11" s="1"/>
  <c r="GV41" i="10"/>
  <c r="GT41" i="10" s="1"/>
  <c r="GV35" i="10"/>
  <c r="GT35" i="10" s="1"/>
  <c r="GV6" i="9"/>
  <c r="GS17" i="14"/>
  <c r="Y11" i="64" s="1"/>
  <c r="GS9" i="13"/>
  <c r="Y10" i="44" s="1"/>
  <c r="GV22" i="10"/>
  <c r="GT22" i="10" s="1"/>
  <c r="GT21" i="9"/>
  <c r="EW39" i="13"/>
  <c r="EU39" i="13" s="1"/>
  <c r="EX39" i="13"/>
  <c r="EW42" i="13"/>
  <c r="EU42" i="13" s="1"/>
  <c r="EX42" i="13"/>
  <c r="EW19" i="14"/>
  <c r="EX19" i="14"/>
  <c r="EZ41" i="10"/>
  <c r="FA41" i="10"/>
  <c r="Z28" i="43"/>
  <c r="AA28" i="42"/>
  <c r="EW17" i="13"/>
  <c r="EX17" i="13"/>
  <c r="Z24" i="43"/>
  <c r="AA23" i="42"/>
  <c r="EW18" i="13"/>
  <c r="EX18" i="13"/>
  <c r="EZ26" i="10"/>
  <c r="FA26" i="10"/>
  <c r="Z7" i="22"/>
  <c r="K7" i="20"/>
  <c r="FT16" i="14"/>
  <c r="FT33" i="13"/>
  <c r="FT24" i="13"/>
  <c r="FW18" i="11"/>
  <c r="FW40" i="10"/>
  <c r="FW29" i="10"/>
  <c r="FW18" i="10"/>
  <c r="FT12" i="13"/>
  <c r="FW11" i="10"/>
  <c r="FT40" i="13"/>
  <c r="FT28" i="13"/>
  <c r="FT16" i="13"/>
  <c r="FW16" i="11"/>
  <c r="FW38" i="10"/>
  <c r="FW25" i="10"/>
  <c r="FW16" i="10"/>
  <c r="FT23" i="13"/>
  <c r="FW14" i="11"/>
  <c r="FT43" i="13"/>
  <c r="FW23" i="10"/>
  <c r="FT17" i="14"/>
  <c r="FT35" i="13"/>
  <c r="FT32" i="13"/>
  <c r="FT29" i="13"/>
  <c r="FW12" i="11"/>
  <c r="FW34" i="10"/>
  <c r="FW21" i="10"/>
  <c r="FW12" i="10"/>
  <c r="FT10" i="14"/>
  <c r="FT9" i="14"/>
  <c r="FT27" i="13"/>
  <c r="FT15" i="13"/>
  <c r="FW10" i="11"/>
  <c r="FW32" i="10"/>
  <c r="FW19" i="10"/>
  <c r="FW9" i="10"/>
  <c r="FT8" i="14"/>
  <c r="FT22" i="13"/>
  <c r="FT11" i="13"/>
  <c r="FT9" i="13"/>
  <c r="FW30" i="10"/>
  <c r="FW17" i="10"/>
  <c r="FW8" i="10"/>
  <c r="FT13" i="14"/>
  <c r="FT14" i="14"/>
  <c r="FT31" i="13"/>
  <c r="FT37" i="13"/>
  <c r="FT13" i="13"/>
  <c r="FW28" i="10"/>
  <c r="FW15" i="10"/>
  <c r="FW14" i="10"/>
  <c r="FT6" i="14"/>
  <c r="FT39" i="13"/>
  <c r="FT26" i="13"/>
  <c r="FT20" i="13"/>
  <c r="FT12" i="14"/>
  <c r="FW8" i="11"/>
  <c r="FW13" i="10"/>
  <c r="FW10" i="10"/>
  <c r="FT47" i="13"/>
  <c r="FT34" i="13"/>
  <c r="FT21" i="13"/>
  <c r="FT19" i="13"/>
  <c r="FW19" i="11"/>
  <c r="FW41" i="10"/>
  <c r="FW27" i="10"/>
  <c r="FT19" i="14"/>
  <c r="FT42" i="13"/>
  <c r="FT36" i="13"/>
  <c r="FT14" i="13"/>
  <c r="FW17" i="11"/>
  <c r="FW39" i="10"/>
  <c r="FW31" i="10"/>
  <c r="FT15" i="14"/>
  <c r="FT30" i="13"/>
  <c r="FT10" i="13"/>
  <c r="FW15" i="11"/>
  <c r="FW37" i="10"/>
  <c r="FW26" i="10"/>
  <c r="FT18" i="14"/>
  <c r="FT45" i="13"/>
  <c r="FT25" i="13"/>
  <c r="FT18" i="13"/>
  <c r="FW13" i="11"/>
  <c r="FW35" i="10"/>
  <c r="FW24" i="10"/>
  <c r="FT11" i="14"/>
  <c r="FT41" i="13"/>
  <c r="FT44" i="13"/>
  <c r="FT17" i="13"/>
  <c r="FW11" i="11"/>
  <c r="FW33" i="10"/>
  <c r="FW22" i="10"/>
  <c r="FT46" i="13"/>
  <c r="FT38" i="13"/>
  <c r="FT8" i="13"/>
  <c r="FW20" i="11"/>
  <c r="FW42" i="10"/>
  <c r="FW9" i="11"/>
  <c r="FW20" i="10"/>
  <c r="FW36" i="10"/>
  <c r="EX21" i="9"/>
  <c r="X22" i="46"/>
  <c r="AD22" i="42"/>
  <c r="FG36" i="13"/>
  <c r="AA12" i="26"/>
  <c r="HT12" i="14"/>
  <c r="AA10" i="66" s="1"/>
  <c r="HT38" i="13"/>
  <c r="AA28" i="46" s="1"/>
  <c r="HT12" i="13"/>
  <c r="AA21" i="46" s="1"/>
  <c r="HW19" i="11"/>
  <c r="HU19" i="11" s="1"/>
  <c r="HW39" i="10"/>
  <c r="HU39" i="10" s="1"/>
  <c r="HW11" i="10"/>
  <c r="HU11" i="10" s="1"/>
  <c r="HW14" i="10"/>
  <c r="HU14" i="10" s="1"/>
  <c r="HT46" i="13"/>
  <c r="HT22" i="13"/>
  <c r="AA8" i="46" s="1"/>
  <c r="HT20" i="13"/>
  <c r="AA26" i="46" s="1"/>
  <c r="HW17" i="11"/>
  <c r="HU17" i="11" s="1"/>
  <c r="HW37" i="10"/>
  <c r="HU37" i="10" s="1"/>
  <c r="HW33" i="10"/>
  <c r="HU33" i="10" s="1"/>
  <c r="HW38" i="10"/>
  <c r="HU38" i="10" s="1"/>
  <c r="HT43" i="13"/>
  <c r="HT35" i="13"/>
  <c r="AA31" i="46" s="1"/>
  <c r="HT15" i="13"/>
  <c r="AA23" i="46" s="1"/>
  <c r="HW15" i="11"/>
  <c r="HU15" i="11" s="1"/>
  <c r="HW35" i="10"/>
  <c r="HU35" i="10" s="1"/>
  <c r="HW30" i="10"/>
  <c r="HU30" i="10" s="1"/>
  <c r="HW32" i="10"/>
  <c r="HU32" i="10" s="1"/>
  <c r="HT14" i="13"/>
  <c r="AA5" i="46" s="1"/>
  <c r="HW36" i="10"/>
  <c r="HU36" i="10" s="1"/>
  <c r="HT14" i="14"/>
  <c r="AA8" i="66" s="1"/>
  <c r="HT34" i="13"/>
  <c r="AA33" i="46" s="1"/>
  <c r="HT24" i="13"/>
  <c r="AA19" i="46" s="1"/>
  <c r="HW13" i="11"/>
  <c r="HU13" i="11" s="1"/>
  <c r="HW12" i="11"/>
  <c r="HU12" i="11" s="1"/>
  <c r="HW28" i="10"/>
  <c r="HU28" i="10" s="1"/>
  <c r="HW12" i="10"/>
  <c r="HU12" i="10" s="1"/>
  <c r="HT31" i="13"/>
  <c r="AA11" i="46" s="1"/>
  <c r="HW10" i="11"/>
  <c r="HU10" i="11" s="1"/>
  <c r="HT11" i="14"/>
  <c r="AA4" i="66" s="1"/>
  <c r="HW11" i="11"/>
  <c r="HU11" i="11" s="1"/>
  <c r="HW9" i="10"/>
  <c r="HU9" i="10" s="1"/>
  <c r="HT13" i="14"/>
  <c r="AA11" i="66" s="1"/>
  <c r="HT47" i="13"/>
  <c r="HT42" i="13"/>
  <c r="HT10" i="13"/>
  <c r="AA27" i="46" s="1"/>
  <c r="HW9" i="11"/>
  <c r="HU9" i="11" s="1"/>
  <c r="HW8" i="11"/>
  <c r="HU8" i="11" s="1"/>
  <c r="HW34" i="10"/>
  <c r="HU34" i="10" s="1"/>
  <c r="HW10" i="10"/>
  <c r="HU10" i="10" s="1"/>
  <c r="HT16" i="14"/>
  <c r="AA12" i="66" s="1"/>
  <c r="HT8" i="14"/>
  <c r="HT39" i="13"/>
  <c r="HT18" i="13"/>
  <c r="AA24" i="46" s="1"/>
  <c r="HT33" i="13"/>
  <c r="AA30" i="46" s="1"/>
  <c r="HW31" i="10"/>
  <c r="HU31" i="10" s="1"/>
  <c r="HW29" i="10"/>
  <c r="HU29" i="10" s="1"/>
  <c r="HW8" i="10"/>
  <c r="HU8" i="10" s="1"/>
  <c r="HT19" i="14"/>
  <c r="HT10" i="14"/>
  <c r="AA9" i="66" s="1"/>
  <c r="HT36" i="13"/>
  <c r="AA22" i="46" s="1"/>
  <c r="HT19" i="13"/>
  <c r="AA4" i="46" s="1"/>
  <c r="HW42" i="10"/>
  <c r="HU42" i="10" s="1"/>
  <c r="HW25" i="10"/>
  <c r="HU25" i="10" s="1"/>
  <c r="HW27" i="10"/>
  <c r="HU27" i="10" s="1"/>
  <c r="HW6" i="9"/>
  <c r="HT15" i="14"/>
  <c r="AA7" i="66" s="1"/>
  <c r="HT37" i="13"/>
  <c r="AA32" i="46" s="1"/>
  <c r="HT26" i="13"/>
  <c r="AA15" i="46" s="1"/>
  <c r="HT9" i="13"/>
  <c r="AA6" i="46" s="1"/>
  <c r="HW40" i="10"/>
  <c r="HU40" i="10" s="1"/>
  <c r="HW23" i="10"/>
  <c r="HU23" i="10" s="1"/>
  <c r="HW26" i="10"/>
  <c r="HU26" i="10" s="1"/>
  <c r="HT18" i="14"/>
  <c r="AA14" i="66" s="1"/>
  <c r="HT28" i="13"/>
  <c r="AA13" i="46" s="1"/>
  <c r="HT21" i="13"/>
  <c r="AA17" i="46" s="1"/>
  <c r="HT27" i="13"/>
  <c r="AA9" i="46" s="1"/>
  <c r="HW14" i="11"/>
  <c r="HU14" i="11" s="1"/>
  <c r="HW21" i="10"/>
  <c r="HU21" i="10" s="1"/>
  <c r="HW24" i="10"/>
  <c r="HU24" i="10" s="1"/>
  <c r="HT40" i="13"/>
  <c r="HT9" i="14"/>
  <c r="AA5" i="66" s="1"/>
  <c r="HT30" i="13"/>
  <c r="AA10" i="46" s="1"/>
  <c r="HT13" i="13"/>
  <c r="AA12" i="46" s="1"/>
  <c r="HW16" i="11"/>
  <c r="HU16" i="11" s="1"/>
  <c r="HW19" i="10"/>
  <c r="HU19" i="10" s="1"/>
  <c r="HW22" i="10"/>
  <c r="HU22" i="10" s="1"/>
  <c r="HT17" i="14"/>
  <c r="AA13" i="66" s="1"/>
  <c r="HT41" i="13"/>
  <c r="HT25" i="13"/>
  <c r="AA34" i="46" s="1"/>
  <c r="HT11" i="13"/>
  <c r="AA20" i="46" s="1"/>
  <c r="HW18" i="11"/>
  <c r="HU18" i="11" s="1"/>
  <c r="HW17" i="10"/>
  <c r="HU17" i="10" s="1"/>
  <c r="HW20" i="10"/>
  <c r="HU20" i="10" s="1"/>
  <c r="HT44" i="13"/>
  <c r="HT23" i="13"/>
  <c r="AA14" i="46" s="1"/>
  <c r="HT29" i="13"/>
  <c r="AA25" i="46" s="1"/>
  <c r="HT8" i="13"/>
  <c r="HW20" i="11"/>
  <c r="HU20" i="11" s="1"/>
  <c r="HW15" i="10"/>
  <c r="HU15" i="10" s="1"/>
  <c r="HW18" i="10"/>
  <c r="HU18" i="10" s="1"/>
  <c r="HT45" i="13"/>
  <c r="HT32" i="13"/>
  <c r="AA16" i="46" s="1"/>
  <c r="HT16" i="13"/>
  <c r="AA7" i="46" s="1"/>
  <c r="HT17" i="13"/>
  <c r="AA29" i="46" s="1"/>
  <c r="HW41" i="10"/>
  <c r="HU41" i="10" s="1"/>
  <c r="HW13" i="10"/>
  <c r="HU13" i="10" s="1"/>
  <c r="HW16" i="10"/>
  <c r="HU16" i="10" s="1"/>
  <c r="HU21" i="9"/>
  <c r="DP6" i="11"/>
  <c r="DP6" i="10"/>
  <c r="DP7" i="9"/>
  <c r="II7" i="10"/>
  <c r="EF6" i="13"/>
  <c r="Z16" i="45"/>
  <c r="AC16" i="42"/>
  <c r="FD32" i="13"/>
  <c r="AC28" i="42"/>
  <c r="Z26" i="45"/>
  <c r="FD17" i="13"/>
  <c r="EF6" i="14"/>
  <c r="X9" i="64"/>
  <c r="AB8" i="62"/>
  <c r="FA12" i="14"/>
  <c r="X14" i="64"/>
  <c r="AB14" i="62"/>
  <c r="FA18" i="14"/>
  <c r="X18" i="44"/>
  <c r="AB22" i="42"/>
  <c r="FA36" i="13"/>
  <c r="AB13" i="62"/>
  <c r="X11" i="64"/>
  <c r="FA17" i="14"/>
  <c r="X11" i="44"/>
  <c r="AB15" i="42"/>
  <c r="FA23" i="13"/>
  <c r="X17" i="44"/>
  <c r="AB27" i="42"/>
  <c r="FA10" i="13"/>
  <c r="Z5" i="24"/>
  <c r="GV17" i="14"/>
  <c r="Z11" i="64" s="1"/>
  <c r="GV45" i="13"/>
  <c r="GV33" i="13"/>
  <c r="Z32" i="44" s="1"/>
  <c r="GV32" i="13"/>
  <c r="Z16" i="44" s="1"/>
  <c r="GY16" i="11"/>
  <c r="GW16" i="11" s="1"/>
  <c r="GY38" i="10"/>
  <c r="GW38" i="10" s="1"/>
  <c r="GY27" i="10"/>
  <c r="GW27" i="10" s="1"/>
  <c r="GV47" i="13"/>
  <c r="GV43" i="13"/>
  <c r="GV35" i="13"/>
  <c r="Z19" i="44" s="1"/>
  <c r="GV13" i="13"/>
  <c r="Z8" i="44" s="1"/>
  <c r="GY14" i="11"/>
  <c r="GW14" i="11" s="1"/>
  <c r="GY36" i="10"/>
  <c r="GW36" i="10" s="1"/>
  <c r="GY26" i="10"/>
  <c r="GW26" i="10" s="1"/>
  <c r="GV28" i="13"/>
  <c r="Z30" i="44" s="1"/>
  <c r="GY34" i="10"/>
  <c r="GW34" i="10" s="1"/>
  <c r="GV39" i="13"/>
  <c r="GY12" i="11"/>
  <c r="GW12" i="11" s="1"/>
  <c r="GV8" i="14"/>
  <c r="GV31" i="13"/>
  <c r="Z7" i="44" s="1"/>
  <c r="GV23" i="13"/>
  <c r="Z11" i="44" s="1"/>
  <c r="GV8" i="13"/>
  <c r="GY10" i="11"/>
  <c r="GW10" i="11" s="1"/>
  <c r="GY32" i="10"/>
  <c r="GW32" i="10" s="1"/>
  <c r="GY22" i="10"/>
  <c r="GW22" i="10" s="1"/>
  <c r="GV34" i="13"/>
  <c r="Z25" i="44" s="1"/>
  <c r="GV26" i="13"/>
  <c r="Z9" i="44" s="1"/>
  <c r="GV21" i="13"/>
  <c r="Z20" i="44" s="1"/>
  <c r="GV16" i="13"/>
  <c r="Z12" i="44" s="1"/>
  <c r="GY8" i="11"/>
  <c r="GW8" i="11" s="1"/>
  <c r="GY30" i="10"/>
  <c r="GW30" i="10" s="1"/>
  <c r="GY20" i="10"/>
  <c r="GW20" i="10" s="1"/>
  <c r="GV10" i="14"/>
  <c r="Z10" i="64" s="1"/>
  <c r="GV30" i="13"/>
  <c r="Z5" i="44" s="1"/>
  <c r="GV15" i="13"/>
  <c r="Z26" i="44" s="1"/>
  <c r="GY19" i="11"/>
  <c r="GW19" i="11" s="1"/>
  <c r="GY41" i="10"/>
  <c r="GW41" i="10" s="1"/>
  <c r="GY25" i="10"/>
  <c r="GW25" i="10" s="1"/>
  <c r="GY18" i="10"/>
  <c r="GW18" i="10" s="1"/>
  <c r="GV9" i="14"/>
  <c r="Z6" i="64" s="1"/>
  <c r="GV11" i="14"/>
  <c r="Z5" i="64" s="1"/>
  <c r="GV11" i="13"/>
  <c r="Z15" i="44" s="1"/>
  <c r="GY17" i="11"/>
  <c r="GW17" i="11" s="1"/>
  <c r="GY39" i="10"/>
  <c r="GW39" i="10" s="1"/>
  <c r="GY23" i="10"/>
  <c r="GW23" i="10" s="1"/>
  <c r="GY16" i="10"/>
  <c r="GW16" i="10" s="1"/>
  <c r="GV38" i="13"/>
  <c r="Z34" i="44" s="1"/>
  <c r="GV25" i="13"/>
  <c r="Z22" i="44" s="1"/>
  <c r="GV40" i="13"/>
  <c r="GY15" i="11"/>
  <c r="GW15" i="11" s="1"/>
  <c r="GY37" i="10"/>
  <c r="GW37" i="10" s="1"/>
  <c r="GY21" i="10"/>
  <c r="GW21" i="10" s="1"/>
  <c r="GY28" i="10"/>
  <c r="GW28" i="10" s="1"/>
  <c r="GV42" i="13"/>
  <c r="GV46" i="13"/>
  <c r="GV27" i="13"/>
  <c r="Z29" i="44" s="1"/>
  <c r="GY13" i="11"/>
  <c r="GW13" i="11" s="1"/>
  <c r="GY35" i="10"/>
  <c r="GW35" i="10" s="1"/>
  <c r="GY19" i="10"/>
  <c r="GW19" i="10" s="1"/>
  <c r="GY14" i="10"/>
  <c r="GW14" i="10" s="1"/>
  <c r="GV14" i="14"/>
  <c r="Z13" i="64" s="1"/>
  <c r="GV44" i="13"/>
  <c r="GV14" i="13"/>
  <c r="Z6" i="44" s="1"/>
  <c r="GY11" i="11"/>
  <c r="GW11" i="11" s="1"/>
  <c r="GY33" i="10"/>
  <c r="GW33" i="10" s="1"/>
  <c r="GY17" i="10"/>
  <c r="GW17" i="10" s="1"/>
  <c r="GY8" i="10"/>
  <c r="GW8" i="10" s="1"/>
  <c r="GV12" i="13"/>
  <c r="Z14" i="44" s="1"/>
  <c r="GY10" i="10"/>
  <c r="GW10" i="10" s="1"/>
  <c r="GV24" i="13"/>
  <c r="Z13" i="44" s="1"/>
  <c r="GY11" i="10"/>
  <c r="GW11" i="10" s="1"/>
  <c r="GV19" i="14"/>
  <c r="GV37" i="13"/>
  <c r="Z33" i="44" s="1"/>
  <c r="GV20" i="13"/>
  <c r="Z27" i="44" s="1"/>
  <c r="GV10" i="13"/>
  <c r="Z17" i="44" s="1"/>
  <c r="GY9" i="11"/>
  <c r="GW9" i="11" s="1"/>
  <c r="GY31" i="10"/>
  <c r="GW31" i="10" s="1"/>
  <c r="GY15" i="10"/>
  <c r="GW15" i="10" s="1"/>
  <c r="GY12" i="10"/>
  <c r="GW12" i="10" s="1"/>
  <c r="GV13" i="14"/>
  <c r="Z7" i="64" s="1"/>
  <c r="GY29" i="10"/>
  <c r="GW29" i="10" s="1"/>
  <c r="GV16" i="14"/>
  <c r="Z12" i="64" s="1"/>
  <c r="GY42" i="10"/>
  <c r="GW42" i="10" s="1"/>
  <c r="GV12" i="14"/>
  <c r="Z9" i="64" s="1"/>
  <c r="GV29" i="13"/>
  <c r="Z31" i="44" s="1"/>
  <c r="GV19" i="13"/>
  <c r="Z4" i="44" s="1"/>
  <c r="GY13" i="10"/>
  <c r="GW13" i="10" s="1"/>
  <c r="GV15" i="14"/>
  <c r="Z4" i="64" s="1"/>
  <c r="GV18" i="13"/>
  <c r="Z21" i="44" s="1"/>
  <c r="GY6" i="9"/>
  <c r="GY20" i="11"/>
  <c r="GW20" i="11" s="1"/>
  <c r="GV18" i="14"/>
  <c r="Z14" i="64" s="1"/>
  <c r="GV41" i="13"/>
  <c r="GV36" i="13"/>
  <c r="Z18" i="44" s="1"/>
  <c r="GV9" i="13"/>
  <c r="Z10" i="44" s="1"/>
  <c r="GY18" i="11"/>
  <c r="GW18" i="11" s="1"/>
  <c r="GY40" i="10"/>
  <c r="GW40" i="10" s="1"/>
  <c r="GY9" i="10"/>
  <c r="GW9" i="10" s="1"/>
  <c r="GV22" i="13"/>
  <c r="Z28" i="44" s="1"/>
  <c r="GV17" i="13"/>
  <c r="Z24" i="44" s="1"/>
  <c r="GY24" i="10"/>
  <c r="GW24" i="10" s="1"/>
  <c r="GW21" i="9"/>
  <c r="EZ37" i="10"/>
  <c r="FA37" i="10"/>
  <c r="Z21" i="43"/>
  <c r="AA20" i="42"/>
  <c r="EW11" i="13"/>
  <c r="EX11" i="13"/>
  <c r="EZ16" i="11"/>
  <c r="FA16" i="11"/>
  <c r="Z5" i="43"/>
  <c r="AA5" i="42"/>
  <c r="EW14" i="13"/>
  <c r="EX14" i="13"/>
  <c r="AA19" i="42"/>
  <c r="Z20" i="43"/>
  <c r="EW12" i="13"/>
  <c r="EX12" i="13"/>
  <c r="EW41" i="13"/>
  <c r="EU41" i="13" s="1"/>
  <c r="EX41" i="13"/>
  <c r="Z9" i="43"/>
  <c r="AA6" i="42"/>
  <c r="EW30" i="13"/>
  <c r="EX30" i="13"/>
  <c r="AD11" i="23"/>
  <c r="GS26" i="10"/>
  <c r="GQ26" i="10" s="1"/>
  <c r="GS22" i="10"/>
  <c r="GQ22" i="10" s="1"/>
  <c r="GS18" i="10"/>
  <c r="GQ18" i="10" s="1"/>
  <c r="GS14" i="10"/>
  <c r="GQ14" i="10" s="1"/>
  <c r="GS33" i="10"/>
  <c r="GQ33" i="10" s="1"/>
  <c r="GS30" i="10"/>
  <c r="GQ30" i="10" s="1"/>
  <c r="GP11" i="13"/>
  <c r="AD21" i="43" s="1"/>
  <c r="GS19" i="10"/>
  <c r="GQ19" i="10" s="1"/>
  <c r="GS15" i="10"/>
  <c r="GQ15" i="10" s="1"/>
  <c r="GS37" i="10"/>
  <c r="GQ37" i="10" s="1"/>
  <c r="GS39" i="10"/>
  <c r="GQ39" i="10" s="1"/>
  <c r="GS10" i="10"/>
  <c r="GQ10" i="10" s="1"/>
  <c r="GS25" i="10"/>
  <c r="GQ25" i="10" s="1"/>
  <c r="GS18" i="11"/>
  <c r="GQ18" i="11" s="1"/>
  <c r="GP44" i="13"/>
  <c r="GP43" i="13"/>
  <c r="GS8" i="11"/>
  <c r="GQ8" i="11" s="1"/>
  <c r="GP13" i="14"/>
  <c r="AD11" i="63" s="1"/>
  <c r="GP40" i="13"/>
  <c r="GP39" i="13"/>
  <c r="GP12" i="14"/>
  <c r="AD8" i="63" s="1"/>
  <c r="GP35" i="13"/>
  <c r="AD30" i="43" s="1"/>
  <c r="GP33" i="13"/>
  <c r="AD29" i="43" s="1"/>
  <c r="GP37" i="13"/>
  <c r="AD32" i="43" s="1"/>
  <c r="GP27" i="13"/>
  <c r="AD10" i="43" s="1"/>
  <c r="GS28" i="10"/>
  <c r="GQ28" i="10" s="1"/>
  <c r="GS38" i="10"/>
  <c r="GQ38" i="10" s="1"/>
  <c r="GP31" i="13"/>
  <c r="AD11" i="43" s="1"/>
  <c r="GP21" i="13"/>
  <c r="AD17" i="43" s="1"/>
  <c r="GP25" i="13"/>
  <c r="AD34" i="43" s="1"/>
  <c r="GP17" i="13"/>
  <c r="AD28" i="43" s="1"/>
  <c r="GP16" i="13"/>
  <c r="AD7" i="43" s="1"/>
  <c r="GP23" i="13"/>
  <c r="AD14" i="43" s="1"/>
  <c r="GS12" i="10"/>
  <c r="GQ12" i="10" s="1"/>
  <c r="GS6" i="9"/>
  <c r="GP18" i="14"/>
  <c r="AD14" i="63" s="1"/>
  <c r="GP10" i="13"/>
  <c r="AD26" i="43" s="1"/>
  <c r="GP18" i="13"/>
  <c r="AD24" i="43" s="1"/>
  <c r="GP9" i="13"/>
  <c r="AD6" i="43" s="1"/>
  <c r="GS16" i="11"/>
  <c r="GQ16" i="11" s="1"/>
  <c r="GS12" i="11"/>
  <c r="GQ12" i="11" s="1"/>
  <c r="GS23" i="10"/>
  <c r="GQ23" i="10" s="1"/>
  <c r="GP13" i="13"/>
  <c r="AD12" i="43" s="1"/>
  <c r="GS11" i="11"/>
  <c r="GQ11" i="11" s="1"/>
  <c r="GS42" i="10"/>
  <c r="GQ42" i="10" s="1"/>
  <c r="GS9" i="11"/>
  <c r="GQ9" i="11" s="1"/>
  <c r="GS36" i="10"/>
  <c r="GQ36" i="10" s="1"/>
  <c r="GS32" i="10"/>
  <c r="GQ32" i="10" s="1"/>
  <c r="GS35" i="10"/>
  <c r="GQ35" i="10" s="1"/>
  <c r="GS13" i="11"/>
  <c r="GQ13" i="11" s="1"/>
  <c r="GS24" i="10"/>
  <c r="GQ24" i="10" s="1"/>
  <c r="GS20" i="10"/>
  <c r="GQ20" i="10" s="1"/>
  <c r="GS16" i="10"/>
  <c r="GQ16" i="10" s="1"/>
  <c r="GS41" i="10"/>
  <c r="GQ41" i="10" s="1"/>
  <c r="GS31" i="10"/>
  <c r="GQ31" i="10" s="1"/>
  <c r="GP10" i="14"/>
  <c r="AD10" i="63" s="1"/>
  <c r="GS21" i="10"/>
  <c r="GQ21" i="10" s="1"/>
  <c r="GS17" i="10"/>
  <c r="GQ17" i="10" s="1"/>
  <c r="GS13" i="10"/>
  <c r="GQ13" i="10" s="1"/>
  <c r="GS27" i="10"/>
  <c r="GQ27" i="10" s="1"/>
  <c r="GS29" i="10"/>
  <c r="GQ29" i="10" s="1"/>
  <c r="GS11" i="10"/>
  <c r="GQ11" i="10" s="1"/>
  <c r="GS9" i="10"/>
  <c r="GQ9" i="10" s="1"/>
  <c r="GP19" i="14"/>
  <c r="GP41" i="13"/>
  <c r="GP36" i="13"/>
  <c r="AD22" i="43" s="1"/>
  <c r="GP11" i="14"/>
  <c r="AD4" i="63" s="1"/>
  <c r="GP47" i="13"/>
  <c r="GP17" i="14"/>
  <c r="AD13" i="63" s="1"/>
  <c r="GP46" i="13"/>
  <c r="GP16" i="14"/>
  <c r="AD12" i="63" s="1"/>
  <c r="GP14" i="14"/>
  <c r="AD9" i="63" s="1"/>
  <c r="GP24" i="13"/>
  <c r="AD19" i="43" s="1"/>
  <c r="GP34" i="13"/>
  <c r="AD33" i="43" s="1"/>
  <c r="GP32" i="13"/>
  <c r="AD16" i="43" s="1"/>
  <c r="GP9" i="14"/>
  <c r="AD5" i="63" s="1"/>
  <c r="GP8" i="14"/>
  <c r="GP26" i="13"/>
  <c r="AD15" i="43" s="1"/>
  <c r="GP30" i="13"/>
  <c r="AD9" i="43" s="1"/>
  <c r="GP42" i="13"/>
  <c r="GP8" i="13"/>
  <c r="GP12" i="13"/>
  <c r="AD20" i="43" s="1"/>
  <c r="GP22" i="13"/>
  <c r="AD8" i="43" s="1"/>
  <c r="GP28" i="13"/>
  <c r="AD13" i="43" s="1"/>
  <c r="GP14" i="13"/>
  <c r="AD5" i="43" s="1"/>
  <c r="GP19" i="13"/>
  <c r="AD4" i="43" s="1"/>
  <c r="GP20" i="13"/>
  <c r="AD23" i="43" s="1"/>
  <c r="GS20" i="11"/>
  <c r="GQ20" i="11" s="1"/>
  <c r="GS14" i="11"/>
  <c r="GQ14" i="11" s="1"/>
  <c r="GP15" i="13"/>
  <c r="AD25" i="43" s="1"/>
  <c r="GP38" i="13"/>
  <c r="AD31" i="43" s="1"/>
  <c r="GS15" i="11"/>
  <c r="GQ15" i="11" s="1"/>
  <c r="GS17" i="11"/>
  <c r="GQ17" i="11" s="1"/>
  <c r="GS19" i="11"/>
  <c r="GQ19" i="11" s="1"/>
  <c r="GS40" i="10"/>
  <c r="GQ40" i="10" s="1"/>
  <c r="GS34" i="10"/>
  <c r="GQ34" i="10" s="1"/>
  <c r="GS10" i="11"/>
  <c r="GQ10" i="11" s="1"/>
  <c r="GP29" i="13"/>
  <c r="AD27" i="43" s="1"/>
  <c r="GP15" i="14"/>
  <c r="AD7" i="63" s="1"/>
  <c r="GP45" i="13"/>
  <c r="GS8" i="10"/>
  <c r="GQ8" i="10" s="1"/>
  <c r="GQ21" i="9"/>
  <c r="AD9" i="62"/>
  <c r="X8" i="66"/>
  <c r="FG14" i="14"/>
  <c r="X19" i="46"/>
  <c r="AD18" i="42"/>
  <c r="FG24" i="13"/>
  <c r="DM6" i="11"/>
  <c r="DM6" i="10"/>
  <c r="DM7" i="9"/>
  <c r="Z28" i="45"/>
  <c r="AC31" i="42"/>
  <c r="FD35" i="13"/>
  <c r="Z31" i="45"/>
  <c r="AC22" i="42"/>
  <c r="FD36" i="13"/>
  <c r="Z25" i="45"/>
  <c r="AC12" i="42"/>
  <c r="FD13" i="13"/>
  <c r="EZ21" i="10"/>
  <c r="FA21" i="10"/>
  <c r="EZ33" i="10"/>
  <c r="FA33" i="10"/>
  <c r="AA11" i="23"/>
  <c r="GG32" i="13"/>
  <c r="AA16" i="43" s="1"/>
  <c r="GJ27" i="10"/>
  <c r="GH27" i="10" s="1"/>
  <c r="GG9" i="13"/>
  <c r="AA6" i="43" s="1"/>
  <c r="GG12" i="14"/>
  <c r="AA8" i="63" s="1"/>
  <c r="GJ10" i="10"/>
  <c r="GH10" i="10" s="1"/>
  <c r="GJ12" i="10"/>
  <c r="GH12" i="10" s="1"/>
  <c r="GG9" i="14"/>
  <c r="AA5" i="63" s="1"/>
  <c r="GJ18" i="10"/>
  <c r="GH18" i="10" s="1"/>
  <c r="GG16" i="14"/>
  <c r="AA12" i="63" s="1"/>
  <c r="GJ24" i="10"/>
  <c r="GH24" i="10" s="1"/>
  <c r="GG36" i="13"/>
  <c r="AA22" i="43" s="1"/>
  <c r="GJ26" i="10"/>
  <c r="GH26" i="10" s="1"/>
  <c r="GG37" i="13"/>
  <c r="AA32" i="43" s="1"/>
  <c r="GJ35" i="10"/>
  <c r="GH35" i="10" s="1"/>
  <c r="GG35" i="13"/>
  <c r="AA30" i="43" s="1"/>
  <c r="GJ15" i="10"/>
  <c r="GH15" i="10" s="1"/>
  <c r="GJ17" i="10"/>
  <c r="GH17" i="10" s="1"/>
  <c r="GJ23" i="10"/>
  <c r="GH23" i="10" s="1"/>
  <c r="GJ9" i="11"/>
  <c r="GH9" i="11" s="1"/>
  <c r="GJ15" i="11"/>
  <c r="GH15" i="11" s="1"/>
  <c r="GJ41" i="10"/>
  <c r="GH41" i="10" s="1"/>
  <c r="GJ20" i="11"/>
  <c r="GH20" i="11" s="1"/>
  <c r="GJ29" i="10"/>
  <c r="GH29" i="10" s="1"/>
  <c r="GG27" i="13"/>
  <c r="AA10" i="43" s="1"/>
  <c r="GJ6" i="9"/>
  <c r="GG10" i="13"/>
  <c r="AA26" i="43" s="1"/>
  <c r="GJ32" i="10"/>
  <c r="GH32" i="10" s="1"/>
  <c r="GG13" i="13"/>
  <c r="AA12" i="43" s="1"/>
  <c r="GG15" i="14"/>
  <c r="AA7" i="63" s="1"/>
  <c r="GG16" i="13"/>
  <c r="AA7" i="43" s="1"/>
  <c r="GG26" i="13"/>
  <c r="AA15" i="43" s="1"/>
  <c r="GJ14" i="10"/>
  <c r="GH14" i="10" s="1"/>
  <c r="GJ14" i="11"/>
  <c r="GH14" i="11" s="1"/>
  <c r="GG8" i="13"/>
  <c r="GJ33" i="10"/>
  <c r="GH33" i="10" s="1"/>
  <c r="GG29" i="13"/>
  <c r="AA27" i="43" s="1"/>
  <c r="GG23" i="13"/>
  <c r="AA14" i="43" s="1"/>
  <c r="GG14" i="13"/>
  <c r="AA5" i="43" s="1"/>
  <c r="GJ19" i="10"/>
  <c r="GH19" i="10" s="1"/>
  <c r="GG11" i="13"/>
  <c r="AA21" i="43" s="1"/>
  <c r="GG33" i="13"/>
  <c r="AA29" i="43" s="1"/>
  <c r="GG34" i="13"/>
  <c r="AA33" i="43" s="1"/>
  <c r="GJ13" i="11"/>
  <c r="GH13" i="11" s="1"/>
  <c r="GG47" i="13"/>
  <c r="GG45" i="13"/>
  <c r="GG46" i="13"/>
  <c r="GJ8" i="11"/>
  <c r="GH8" i="11" s="1"/>
  <c r="GG30" i="13"/>
  <c r="AA9" i="43" s="1"/>
  <c r="GG31" i="13"/>
  <c r="AA11" i="43" s="1"/>
  <c r="GG22" i="13"/>
  <c r="AA8" i="43" s="1"/>
  <c r="GG17" i="13"/>
  <c r="AA28" i="43" s="1"/>
  <c r="GG8" i="14"/>
  <c r="GG42" i="13"/>
  <c r="GG13" i="14"/>
  <c r="AA11" i="63" s="1"/>
  <c r="GG12" i="13"/>
  <c r="AA20" i="43" s="1"/>
  <c r="GG10" i="14"/>
  <c r="AA10" i="63" s="1"/>
  <c r="GJ20" i="10"/>
  <c r="GH20" i="10" s="1"/>
  <c r="GG14" i="14"/>
  <c r="AA9" i="63" s="1"/>
  <c r="GG24" i="13"/>
  <c r="AA19" i="43" s="1"/>
  <c r="GJ8" i="10"/>
  <c r="GH8" i="10" s="1"/>
  <c r="GG19" i="14"/>
  <c r="GG19" i="13"/>
  <c r="AA4" i="43" s="1"/>
  <c r="GJ25" i="10"/>
  <c r="GH25" i="10" s="1"/>
  <c r="GG43" i="13"/>
  <c r="GJ13" i="10"/>
  <c r="GH13" i="10" s="1"/>
  <c r="GG11" i="14"/>
  <c r="AA4" i="63" s="1"/>
  <c r="GJ16" i="10"/>
  <c r="GH16" i="10" s="1"/>
  <c r="GJ36" i="10"/>
  <c r="GH36" i="10" s="1"/>
  <c r="GJ22" i="10"/>
  <c r="GH22" i="10" s="1"/>
  <c r="GG18" i="14"/>
  <c r="AA14" i="63" s="1"/>
  <c r="GJ39" i="10"/>
  <c r="GH39" i="10" s="1"/>
  <c r="GG39" i="13"/>
  <c r="GJ21" i="10"/>
  <c r="GH21" i="10" s="1"/>
  <c r="GJ16" i="11"/>
  <c r="GH16" i="11" s="1"/>
  <c r="GJ42" i="10"/>
  <c r="GH42" i="10" s="1"/>
  <c r="GG17" i="14"/>
  <c r="AA13" i="63" s="1"/>
  <c r="GJ30" i="10"/>
  <c r="GH30" i="10" s="1"/>
  <c r="GJ19" i="11"/>
  <c r="GH19" i="11" s="1"/>
  <c r="GJ10" i="11"/>
  <c r="GH10" i="11" s="1"/>
  <c r="GG15" i="13"/>
  <c r="AA25" i="43" s="1"/>
  <c r="GJ38" i="10"/>
  <c r="GH38" i="10" s="1"/>
  <c r="GG38" i="13"/>
  <c r="AA31" i="43" s="1"/>
  <c r="GJ28" i="10"/>
  <c r="GH28" i="10" s="1"/>
  <c r="GJ11" i="10"/>
  <c r="GH11" i="10" s="1"/>
  <c r="GG18" i="13"/>
  <c r="AA24" i="43" s="1"/>
  <c r="GG21" i="13"/>
  <c r="AA17" i="43" s="1"/>
  <c r="GJ18" i="11"/>
  <c r="GH18" i="11" s="1"/>
  <c r="GJ31" i="10"/>
  <c r="GH31" i="10" s="1"/>
  <c r="GJ37" i="10"/>
  <c r="GH37" i="10" s="1"/>
  <c r="GG41" i="13"/>
  <c r="GG20" i="13"/>
  <c r="AA23" i="43" s="1"/>
  <c r="GG28" i="13"/>
  <c r="AA13" i="43" s="1"/>
  <c r="GJ11" i="11"/>
  <c r="GH11" i="11" s="1"/>
  <c r="GJ9" i="10"/>
  <c r="GH9" i="10" s="1"/>
  <c r="GJ17" i="11"/>
  <c r="GH17" i="11" s="1"/>
  <c r="GG44" i="13"/>
  <c r="GG25" i="13"/>
  <c r="AA34" i="43" s="1"/>
  <c r="GG40" i="13"/>
  <c r="GJ12" i="11"/>
  <c r="GH12" i="11" s="1"/>
  <c r="GJ34" i="10"/>
  <c r="GH34" i="10" s="1"/>
  <c r="GJ40" i="10"/>
  <c r="GH40" i="10" s="1"/>
  <c r="GH21" i="9"/>
  <c r="X25" i="46"/>
  <c r="AD26" i="42"/>
  <c r="FG29" i="13"/>
  <c r="R12" i="34"/>
  <c r="P12" i="34"/>
  <c r="N12" i="34"/>
  <c r="O12" i="34"/>
  <c r="Q12" i="34"/>
  <c r="N9" i="25"/>
  <c r="Q7" i="22"/>
  <c r="JM6" i="13"/>
  <c r="JL6" i="13"/>
  <c r="JK6" i="13"/>
  <c r="FG6" i="9"/>
  <c r="JN6" i="14"/>
  <c r="JO6" i="14"/>
  <c r="JM6" i="14"/>
  <c r="JL6" i="14"/>
  <c r="JK6" i="14"/>
  <c r="JO6" i="13"/>
  <c r="JN6" i="13"/>
  <c r="Z24" i="45"/>
  <c r="AC27" i="42"/>
  <c r="FD10" i="13"/>
  <c r="Z9" i="65"/>
  <c r="AC9" i="62"/>
  <c r="FD14" i="14"/>
  <c r="Z34" i="45"/>
  <c r="AC30" i="42"/>
  <c r="FD38" i="13"/>
  <c r="X5" i="44"/>
  <c r="AB6" i="42"/>
  <c r="FA30" i="13"/>
  <c r="Z17" i="43"/>
  <c r="AA17" i="42"/>
  <c r="EW21" i="13"/>
  <c r="EX21" i="13"/>
  <c r="Z11" i="63"/>
  <c r="AA11" i="62"/>
  <c r="EW13" i="14"/>
  <c r="EX13" i="14"/>
  <c r="FC6" i="11"/>
  <c r="FC6" i="10"/>
  <c r="EZ6" i="9"/>
  <c r="DU6" i="13"/>
  <c r="EZ27" i="10"/>
  <c r="FA27" i="10"/>
  <c r="AA12" i="62"/>
  <c r="Z12" i="63"/>
  <c r="EW16" i="14"/>
  <c r="EX16" i="14"/>
  <c r="EZ18" i="10"/>
  <c r="FA18" i="10"/>
  <c r="EZ19" i="10"/>
  <c r="FA19" i="10"/>
  <c r="AA22" i="42"/>
  <c r="Z22" i="43"/>
  <c r="EW36" i="13"/>
  <c r="EX36" i="13"/>
  <c r="EW47" i="13"/>
  <c r="EU47" i="13" s="1"/>
  <c r="EX47" i="13"/>
  <c r="AA10" i="42"/>
  <c r="Z11" i="43"/>
  <c r="EW31" i="13"/>
  <c r="EX31" i="13"/>
  <c r="EJ6" i="11"/>
  <c r="EJ6" i="10"/>
  <c r="EJ7" i="9"/>
  <c r="X14" i="66"/>
  <c r="AD14" i="62"/>
  <c r="FG18" i="14"/>
  <c r="AD7" i="42"/>
  <c r="X6" i="46"/>
  <c r="FG9" i="13"/>
  <c r="X13" i="66"/>
  <c r="AD13" i="62"/>
  <c r="FG17" i="14"/>
  <c r="X21" i="46"/>
  <c r="AD19" i="42"/>
  <c r="FG12" i="13"/>
  <c r="Z10" i="65"/>
  <c r="AC11" i="62"/>
  <c r="FD13" i="14"/>
  <c r="Z11" i="45"/>
  <c r="AC15" i="42"/>
  <c r="FD23" i="13"/>
  <c r="Z5" i="65"/>
  <c r="AC7" i="62"/>
  <c r="Z3" i="65"/>
  <c r="AC3" i="62"/>
  <c r="FD8" i="14"/>
  <c r="AC24" i="42"/>
  <c r="Z20" i="45"/>
  <c r="FD15" i="13"/>
  <c r="EP7" i="13" l="1"/>
  <c r="EO7" i="13"/>
  <c r="DU7" i="13"/>
  <c r="EF7" i="14"/>
  <c r="ES7" i="10"/>
  <c r="ES7" i="11"/>
  <c r="EG7" i="11"/>
  <c r="DV7" i="14"/>
  <c r="DO7" i="11"/>
  <c r="DM7" i="10"/>
  <c r="DW7" i="10"/>
  <c r="EH7" i="10"/>
  <c r="DW7" i="11"/>
  <c r="FX11" i="10"/>
  <c r="FX19" i="11"/>
  <c r="EF7" i="13"/>
  <c r="R8" i="76"/>
  <c r="Q8" i="76"/>
  <c r="P8" i="76"/>
  <c r="O8" i="76"/>
  <c r="N8" i="76"/>
  <c r="R9" i="62"/>
  <c r="N8" i="66"/>
  <c r="L8" i="66" s="1"/>
  <c r="GS6" i="11"/>
  <c r="GS6" i="10"/>
  <c r="GY6" i="11"/>
  <c r="GY6" i="10"/>
  <c r="FX14" i="10"/>
  <c r="EX12" i="11"/>
  <c r="EV12" i="11" s="1"/>
  <c r="O13" i="56"/>
  <c r="P13" i="56"/>
  <c r="R13" i="56"/>
  <c r="Q13" i="56"/>
  <c r="N13" i="46"/>
  <c r="L13" i="46" s="1"/>
  <c r="N13" i="56"/>
  <c r="R13" i="42"/>
  <c r="Q3" i="73"/>
  <c r="JN7" i="14"/>
  <c r="Z19" i="42"/>
  <c r="K19" i="40"/>
  <c r="EU12" i="13"/>
  <c r="EZ6" i="11"/>
  <c r="EZ6" i="10"/>
  <c r="EX6" i="9"/>
  <c r="EW6" i="9" s="1"/>
  <c r="P3" i="73"/>
  <c r="JM7" i="14"/>
  <c r="R11" i="72"/>
  <c r="Q11" i="72"/>
  <c r="P11" i="72"/>
  <c r="O11" i="72"/>
  <c r="N11" i="72"/>
  <c r="N11" i="64"/>
  <c r="L11" i="64" s="1"/>
  <c r="P13" i="62"/>
  <c r="O26" i="54"/>
  <c r="N26" i="54"/>
  <c r="R26" i="54"/>
  <c r="Q26" i="54"/>
  <c r="P26" i="54"/>
  <c r="Q28" i="42"/>
  <c r="N26" i="45"/>
  <c r="FU46" i="13"/>
  <c r="O14" i="60"/>
  <c r="FU18" i="14"/>
  <c r="FX27" i="10"/>
  <c r="O9" i="40"/>
  <c r="FU22" i="13"/>
  <c r="O26" i="40"/>
  <c r="FU29" i="13"/>
  <c r="FU40" i="13"/>
  <c r="EX26" i="10"/>
  <c r="EV26" i="10" s="1"/>
  <c r="R13" i="72"/>
  <c r="Q13" i="72"/>
  <c r="P13" i="72"/>
  <c r="O13" i="72"/>
  <c r="N13" i="72"/>
  <c r="P9" i="62"/>
  <c r="N13" i="64"/>
  <c r="L13" i="64" s="1"/>
  <c r="BZ6" i="11"/>
  <c r="BZ6" i="10"/>
  <c r="O23" i="52"/>
  <c r="R23" i="52"/>
  <c r="Q23" i="52"/>
  <c r="N23" i="52"/>
  <c r="N23" i="44"/>
  <c r="L23" i="44" s="1"/>
  <c r="P23" i="52"/>
  <c r="P21" i="42"/>
  <c r="FA6" i="13"/>
  <c r="R3" i="52"/>
  <c r="P3" i="52"/>
  <c r="O3" i="52"/>
  <c r="N3" i="52"/>
  <c r="N3" i="44"/>
  <c r="Q3" i="52"/>
  <c r="P3" i="42"/>
  <c r="ED7" i="14"/>
  <c r="O12" i="26"/>
  <c r="HL39" i="13"/>
  <c r="HL18" i="14"/>
  <c r="O14" i="66" s="1"/>
  <c r="HL34" i="13"/>
  <c r="O33" i="46" s="1"/>
  <c r="HL46" i="13"/>
  <c r="HL32" i="13"/>
  <c r="O16" i="46" s="1"/>
  <c r="HL17" i="14"/>
  <c r="O13" i="66" s="1"/>
  <c r="HL21" i="13"/>
  <c r="O17" i="46" s="1"/>
  <c r="HL14" i="14"/>
  <c r="O8" i="66" s="1"/>
  <c r="HL16" i="13"/>
  <c r="O7" i="46" s="1"/>
  <c r="HL19" i="14"/>
  <c r="HL37" i="13"/>
  <c r="O32" i="46" s="1"/>
  <c r="HL36" i="13"/>
  <c r="O22" i="46" s="1"/>
  <c r="HL12" i="13"/>
  <c r="O21" i="46" s="1"/>
  <c r="HL47" i="13"/>
  <c r="HL30" i="13"/>
  <c r="O10" i="46" s="1"/>
  <c r="HL35" i="13"/>
  <c r="O31" i="46" s="1"/>
  <c r="HL31" i="13"/>
  <c r="O11" i="46" s="1"/>
  <c r="HL38" i="13"/>
  <c r="O28" i="46" s="1"/>
  <c r="HL45" i="13"/>
  <c r="HL27" i="13"/>
  <c r="O9" i="46" s="1"/>
  <c r="HL20" i="13"/>
  <c r="O26" i="46" s="1"/>
  <c r="HL41" i="13"/>
  <c r="HL42" i="13"/>
  <c r="HO6" i="9"/>
  <c r="HL33" i="13"/>
  <c r="O30" i="46" s="1"/>
  <c r="HL22" i="13"/>
  <c r="O8" i="46" s="1"/>
  <c r="HL24" i="13"/>
  <c r="O19" i="46" s="1"/>
  <c r="HL19" i="13"/>
  <c r="O4" i="46" s="1"/>
  <c r="HL8" i="14"/>
  <c r="HL8" i="13"/>
  <c r="HL26" i="13"/>
  <c r="O15" i="46" s="1"/>
  <c r="HL17" i="13"/>
  <c r="O29" i="46" s="1"/>
  <c r="HL23" i="13"/>
  <c r="O14" i="46" s="1"/>
  <c r="HL11" i="14"/>
  <c r="O4" i="66" s="1"/>
  <c r="HL13" i="13"/>
  <c r="O12" i="46" s="1"/>
  <c r="HL15" i="13"/>
  <c r="O23" i="46" s="1"/>
  <c r="HL11" i="13"/>
  <c r="O20" i="46" s="1"/>
  <c r="HL15" i="14"/>
  <c r="O7" i="66" s="1"/>
  <c r="HL40" i="13"/>
  <c r="HL18" i="13"/>
  <c r="O24" i="46" s="1"/>
  <c r="HL14" i="13"/>
  <c r="O5" i="46" s="1"/>
  <c r="HL25" i="13"/>
  <c r="O34" i="46" s="1"/>
  <c r="HL12" i="14"/>
  <c r="O10" i="66" s="1"/>
  <c r="HL28" i="13"/>
  <c r="O13" i="46" s="1"/>
  <c r="HL43" i="13"/>
  <c r="HL44" i="13"/>
  <c r="HL13" i="14"/>
  <c r="O11" i="66" s="1"/>
  <c r="HL9" i="13"/>
  <c r="O6" i="46" s="1"/>
  <c r="HL10" i="14"/>
  <c r="O9" i="66" s="1"/>
  <c r="HL16" i="14"/>
  <c r="O12" i="66" s="1"/>
  <c r="HL10" i="13"/>
  <c r="O27" i="46" s="1"/>
  <c r="HL29" i="13"/>
  <c r="O25" i="46" s="1"/>
  <c r="HL9" i="14"/>
  <c r="O5" i="66" s="1"/>
  <c r="R4" i="50"/>
  <c r="N4" i="50"/>
  <c r="Q4" i="50"/>
  <c r="P4" i="50"/>
  <c r="N4" i="43"/>
  <c r="L4" i="43" s="1"/>
  <c r="O4" i="50"/>
  <c r="O4" i="42"/>
  <c r="DO7" i="10"/>
  <c r="K10" i="60"/>
  <c r="Z10" i="62"/>
  <c r="EU10" i="14"/>
  <c r="ET10" i="14" s="1"/>
  <c r="M10" i="60" s="1"/>
  <c r="EX31" i="10"/>
  <c r="EV31" i="10" s="1"/>
  <c r="EG7" i="10"/>
  <c r="P5" i="56"/>
  <c r="N5" i="56"/>
  <c r="Q5" i="56"/>
  <c r="O5" i="56"/>
  <c r="R5" i="56"/>
  <c r="N5" i="46"/>
  <c r="L5" i="46" s="1"/>
  <c r="R5" i="42"/>
  <c r="R23" i="56"/>
  <c r="Q23" i="56"/>
  <c r="P23" i="56"/>
  <c r="O23" i="56"/>
  <c r="N23" i="56"/>
  <c r="N23" i="46"/>
  <c r="L23" i="46" s="1"/>
  <c r="R24" i="42"/>
  <c r="O16" i="52"/>
  <c r="R16" i="52"/>
  <c r="Q16" i="52"/>
  <c r="P16" i="52"/>
  <c r="N16" i="52"/>
  <c r="N16" i="44"/>
  <c r="P16" i="42"/>
  <c r="P3" i="55"/>
  <c r="JW7" i="13"/>
  <c r="I11" i="23"/>
  <c r="K11" i="23"/>
  <c r="P6" i="54"/>
  <c r="Q6" i="54"/>
  <c r="O6" i="54"/>
  <c r="R6" i="54"/>
  <c r="N6" i="45"/>
  <c r="L6" i="45" s="1"/>
  <c r="Q8" i="42"/>
  <c r="N6" i="54"/>
  <c r="O23" i="50"/>
  <c r="P23" i="50"/>
  <c r="R23" i="50"/>
  <c r="Q23" i="50"/>
  <c r="N23" i="50"/>
  <c r="O25" i="42"/>
  <c r="N23" i="43"/>
  <c r="L23" i="43" s="1"/>
  <c r="K29" i="40"/>
  <c r="Z29" i="42"/>
  <c r="EU33" i="13"/>
  <c r="FX26" i="10"/>
  <c r="K4" i="40"/>
  <c r="Z4" i="42"/>
  <c r="EU19" i="13"/>
  <c r="R25" i="52"/>
  <c r="Q25" i="52"/>
  <c r="P25" i="52"/>
  <c r="O25" i="52"/>
  <c r="N25" i="52"/>
  <c r="N25" i="44"/>
  <c r="L25" i="44" s="1"/>
  <c r="P34" i="42"/>
  <c r="R14" i="70"/>
  <c r="Q14" i="70"/>
  <c r="P14" i="70"/>
  <c r="O14" i="70"/>
  <c r="N14" i="70"/>
  <c r="O14" i="62"/>
  <c r="N14" i="63"/>
  <c r="L14" i="63" s="1"/>
  <c r="HE6" i="11"/>
  <c r="HE6" i="10"/>
  <c r="R17" i="56"/>
  <c r="Q17" i="56"/>
  <c r="P17" i="56"/>
  <c r="O17" i="56"/>
  <c r="N17" i="56"/>
  <c r="N17" i="46"/>
  <c r="L17" i="46" s="1"/>
  <c r="R17" i="42"/>
  <c r="N34" i="54"/>
  <c r="Q34" i="54"/>
  <c r="P34" i="54"/>
  <c r="O34" i="54"/>
  <c r="N34" i="45"/>
  <c r="R34" i="54"/>
  <c r="Q30" i="42"/>
  <c r="O16" i="40"/>
  <c r="FU32" i="13"/>
  <c r="FX22" i="10"/>
  <c r="R12" i="50"/>
  <c r="Q12" i="50"/>
  <c r="P12" i="50"/>
  <c r="O12" i="50"/>
  <c r="O12" i="42"/>
  <c r="N12" i="50"/>
  <c r="N12" i="43"/>
  <c r="Q31" i="50"/>
  <c r="R31" i="50"/>
  <c r="P31" i="50"/>
  <c r="O31" i="50"/>
  <c r="N31" i="50"/>
  <c r="N31" i="43"/>
  <c r="L31" i="43" s="1"/>
  <c r="O30" i="42"/>
  <c r="FX37" i="10"/>
  <c r="Y8" i="64"/>
  <c r="GS6" i="14"/>
  <c r="Y3" i="64"/>
  <c r="EX15" i="10"/>
  <c r="EV15" i="10" s="1"/>
  <c r="N4" i="70"/>
  <c r="R4" i="70"/>
  <c r="P4" i="70"/>
  <c r="O4" i="70"/>
  <c r="N4" i="63"/>
  <c r="L4" i="63" s="1"/>
  <c r="O4" i="62"/>
  <c r="Q4" i="70"/>
  <c r="O3" i="75"/>
  <c r="JV7" i="14"/>
  <c r="EX28" i="10"/>
  <c r="EV28" i="10" s="1"/>
  <c r="R27" i="54"/>
  <c r="P27" i="54"/>
  <c r="N27" i="54"/>
  <c r="Q27" i="54"/>
  <c r="O27" i="54"/>
  <c r="N27" i="45"/>
  <c r="L27" i="45" s="1"/>
  <c r="Q29" i="42"/>
  <c r="R20" i="54"/>
  <c r="Q20" i="54"/>
  <c r="P20" i="54"/>
  <c r="N20" i="54"/>
  <c r="O20" i="54"/>
  <c r="N20" i="45"/>
  <c r="L20" i="45" s="1"/>
  <c r="Q24" i="42"/>
  <c r="CJ6" i="11"/>
  <c r="CJ6" i="10"/>
  <c r="EX19" i="10"/>
  <c r="EV19" i="10" s="1"/>
  <c r="FG6" i="11"/>
  <c r="FI7" i="11" s="1"/>
  <c r="FG6" i="10"/>
  <c r="FI7" i="10" s="1"/>
  <c r="FE1" i="9"/>
  <c r="FH7" i="9"/>
  <c r="P5" i="24"/>
  <c r="GT8" i="14"/>
  <c r="GT13" i="13"/>
  <c r="P8" i="44" s="1"/>
  <c r="GT10" i="14"/>
  <c r="P10" i="64" s="1"/>
  <c r="GT15" i="14"/>
  <c r="P4" i="64" s="1"/>
  <c r="GT16" i="13"/>
  <c r="P12" i="44" s="1"/>
  <c r="GT12" i="13"/>
  <c r="P14" i="44" s="1"/>
  <c r="GT24" i="13"/>
  <c r="P13" i="44" s="1"/>
  <c r="GT14" i="13"/>
  <c r="P6" i="44" s="1"/>
  <c r="GT15" i="13"/>
  <c r="P26" i="44" s="1"/>
  <c r="GT40" i="13"/>
  <c r="GT26" i="13"/>
  <c r="P9" i="44" s="1"/>
  <c r="GT10" i="13"/>
  <c r="P17" i="44" s="1"/>
  <c r="GT37" i="13"/>
  <c r="P33" i="44" s="1"/>
  <c r="GT19" i="14"/>
  <c r="GT28" i="13"/>
  <c r="P30" i="44" s="1"/>
  <c r="GT39" i="13"/>
  <c r="GT18" i="14"/>
  <c r="P14" i="64" s="1"/>
  <c r="GT17" i="13"/>
  <c r="P24" i="44" s="1"/>
  <c r="GT20" i="13"/>
  <c r="P27" i="44" s="1"/>
  <c r="GT44" i="13"/>
  <c r="GT33" i="13"/>
  <c r="P32" i="44" s="1"/>
  <c r="GT36" i="13"/>
  <c r="P18" i="44" s="1"/>
  <c r="GT14" i="14"/>
  <c r="P13" i="64" s="1"/>
  <c r="GT18" i="13"/>
  <c r="P21" i="44" s="1"/>
  <c r="GT19" i="13"/>
  <c r="P4" i="44" s="1"/>
  <c r="GT17" i="14"/>
  <c r="P11" i="64" s="1"/>
  <c r="GT11" i="14"/>
  <c r="P5" i="64" s="1"/>
  <c r="GT22" i="13"/>
  <c r="P28" i="44" s="1"/>
  <c r="GT9" i="13"/>
  <c r="P10" i="44" s="1"/>
  <c r="GT45" i="13"/>
  <c r="GT35" i="13"/>
  <c r="P19" i="44" s="1"/>
  <c r="GT12" i="14"/>
  <c r="P9" i="64" s="1"/>
  <c r="GT47" i="13"/>
  <c r="GT29" i="13"/>
  <c r="P31" i="44" s="1"/>
  <c r="GT25" i="13"/>
  <c r="P22" i="44" s="1"/>
  <c r="GT38" i="13"/>
  <c r="P34" i="44" s="1"/>
  <c r="GT8" i="13"/>
  <c r="GT31" i="13"/>
  <c r="P7" i="44" s="1"/>
  <c r="GT41" i="13"/>
  <c r="GT42" i="13"/>
  <c r="GT11" i="13"/>
  <c r="P15" i="44" s="1"/>
  <c r="GT32" i="13"/>
  <c r="P16" i="44" s="1"/>
  <c r="GT9" i="14"/>
  <c r="P6" i="64" s="1"/>
  <c r="GT16" i="14"/>
  <c r="P12" i="64" s="1"/>
  <c r="GW6" i="9"/>
  <c r="GY7" i="9" s="1"/>
  <c r="GT27" i="13"/>
  <c r="P29" i="44" s="1"/>
  <c r="GT46" i="13"/>
  <c r="GT34" i="13"/>
  <c r="P25" i="44" s="1"/>
  <c r="GT43" i="13"/>
  <c r="GT23" i="13"/>
  <c r="P11" i="44" s="1"/>
  <c r="GT13" i="14"/>
  <c r="P7" i="64" s="1"/>
  <c r="GT30" i="13"/>
  <c r="P5" i="44" s="1"/>
  <c r="GT21" i="13"/>
  <c r="P20" i="44" s="1"/>
  <c r="R18" i="52"/>
  <c r="O18" i="52"/>
  <c r="N18" i="52"/>
  <c r="Q18" i="52"/>
  <c r="P18" i="52"/>
  <c r="P22" i="42"/>
  <c r="N18" i="44"/>
  <c r="L18" i="44" s="1"/>
  <c r="R16" i="54"/>
  <c r="O16" i="54"/>
  <c r="N16" i="54"/>
  <c r="Q16" i="54"/>
  <c r="P16" i="54"/>
  <c r="Q16" i="42"/>
  <c r="N16" i="45"/>
  <c r="L16" i="45" s="1"/>
  <c r="O22" i="56"/>
  <c r="N22" i="56"/>
  <c r="R22" i="56"/>
  <c r="Q22" i="56"/>
  <c r="P22" i="56"/>
  <c r="N22" i="46"/>
  <c r="R22" i="42"/>
  <c r="FX11" i="11"/>
  <c r="FX15" i="11"/>
  <c r="O4" i="40"/>
  <c r="FU19" i="13"/>
  <c r="FX28" i="10"/>
  <c r="FX19" i="10"/>
  <c r="O13" i="60"/>
  <c r="FU17" i="14"/>
  <c r="FX18" i="10"/>
  <c r="O5" i="24"/>
  <c r="GQ16" i="14"/>
  <c r="O12" i="64" s="1"/>
  <c r="GQ14" i="13"/>
  <c r="O6" i="44" s="1"/>
  <c r="GQ9" i="14"/>
  <c r="O6" i="64" s="1"/>
  <c r="GQ31" i="13"/>
  <c r="O7" i="44" s="1"/>
  <c r="GQ38" i="13"/>
  <c r="O34" i="44" s="1"/>
  <c r="GQ10" i="14"/>
  <c r="O10" i="64" s="1"/>
  <c r="GQ44" i="13"/>
  <c r="GQ17" i="14"/>
  <c r="O11" i="64" s="1"/>
  <c r="GQ12" i="14"/>
  <c r="O9" i="64" s="1"/>
  <c r="GQ17" i="13"/>
  <c r="O24" i="44" s="1"/>
  <c r="GQ35" i="13"/>
  <c r="O19" i="44" s="1"/>
  <c r="GQ16" i="13"/>
  <c r="O12" i="44" s="1"/>
  <c r="GQ37" i="13"/>
  <c r="O33" i="44" s="1"/>
  <c r="GQ34" i="13"/>
  <c r="O25" i="44" s="1"/>
  <c r="GQ10" i="13"/>
  <c r="O17" i="44" s="1"/>
  <c r="GT6" i="9"/>
  <c r="GV7" i="9" s="1"/>
  <c r="GQ11" i="14"/>
  <c r="O5" i="64" s="1"/>
  <c r="GQ15" i="13"/>
  <c r="O26" i="44" s="1"/>
  <c r="GQ12" i="13"/>
  <c r="O14" i="44" s="1"/>
  <c r="GQ27" i="13"/>
  <c r="O29" i="44" s="1"/>
  <c r="GQ32" i="13"/>
  <c r="O16" i="44" s="1"/>
  <c r="GQ13" i="13"/>
  <c r="O8" i="44" s="1"/>
  <c r="GQ11" i="13"/>
  <c r="O15" i="44" s="1"/>
  <c r="GQ8" i="14"/>
  <c r="GQ43" i="13"/>
  <c r="GQ29" i="13"/>
  <c r="O31" i="44" s="1"/>
  <c r="GQ22" i="13"/>
  <c r="O28" i="44" s="1"/>
  <c r="GQ28" i="13"/>
  <c r="O30" i="44" s="1"/>
  <c r="GQ9" i="13"/>
  <c r="O10" i="44" s="1"/>
  <c r="GQ18" i="13"/>
  <c r="O21" i="44" s="1"/>
  <c r="GQ39" i="13"/>
  <c r="GQ46" i="13"/>
  <c r="GQ25" i="13"/>
  <c r="O22" i="44" s="1"/>
  <c r="GQ20" i="13"/>
  <c r="O27" i="44" s="1"/>
  <c r="GQ21" i="13"/>
  <c r="O20" i="44" s="1"/>
  <c r="GQ13" i="14"/>
  <c r="O7" i="64" s="1"/>
  <c r="GQ41" i="13"/>
  <c r="GQ30" i="13"/>
  <c r="O5" i="44" s="1"/>
  <c r="GQ14" i="14"/>
  <c r="O13" i="64" s="1"/>
  <c r="GQ19" i="13"/>
  <c r="O4" i="44" s="1"/>
  <c r="GQ45" i="13"/>
  <c r="GQ42" i="13"/>
  <c r="GQ19" i="14"/>
  <c r="GQ26" i="13"/>
  <c r="O9" i="44" s="1"/>
  <c r="GQ36" i="13"/>
  <c r="O18" i="44" s="1"/>
  <c r="GQ15" i="14"/>
  <c r="O4" i="64" s="1"/>
  <c r="GQ18" i="14"/>
  <c r="O14" i="64" s="1"/>
  <c r="GQ23" i="13"/>
  <c r="O11" i="44" s="1"/>
  <c r="GQ47" i="13"/>
  <c r="GQ40" i="13"/>
  <c r="GQ24" i="13"/>
  <c r="O13" i="44" s="1"/>
  <c r="GQ8" i="13"/>
  <c r="GQ33" i="13"/>
  <c r="O32" i="44" s="1"/>
  <c r="O9" i="52"/>
  <c r="P9" i="52"/>
  <c r="N9" i="52"/>
  <c r="N9" i="44"/>
  <c r="R9" i="52"/>
  <c r="Q9" i="52"/>
  <c r="P14" i="42"/>
  <c r="EH7" i="11"/>
  <c r="Z6" i="66"/>
  <c r="HQ6" i="14"/>
  <c r="Z3" i="66"/>
  <c r="GP6" i="11"/>
  <c r="GP6" i="10"/>
  <c r="O30" i="50"/>
  <c r="P30" i="50"/>
  <c r="N30" i="50"/>
  <c r="Q30" i="50"/>
  <c r="N30" i="43"/>
  <c r="L30" i="43" s="1"/>
  <c r="R30" i="50"/>
  <c r="O31" i="42"/>
  <c r="Q5" i="24"/>
  <c r="GW46" i="13"/>
  <c r="GW13" i="14"/>
  <c r="Q7" i="64" s="1"/>
  <c r="GW36" i="13"/>
  <c r="Q18" i="44" s="1"/>
  <c r="GW13" i="13"/>
  <c r="Q8" i="44" s="1"/>
  <c r="GW15" i="14"/>
  <c r="Q4" i="64" s="1"/>
  <c r="GW41" i="13"/>
  <c r="GW33" i="13"/>
  <c r="Q32" i="44" s="1"/>
  <c r="GW17" i="13"/>
  <c r="Q24" i="44" s="1"/>
  <c r="GW18" i="14"/>
  <c r="Q14" i="64" s="1"/>
  <c r="GW44" i="13"/>
  <c r="GW35" i="13"/>
  <c r="Q19" i="44" s="1"/>
  <c r="GW30" i="13"/>
  <c r="Q5" i="44" s="1"/>
  <c r="GW11" i="14"/>
  <c r="Q5" i="64" s="1"/>
  <c r="GW12" i="14"/>
  <c r="Q9" i="64" s="1"/>
  <c r="GW28" i="13"/>
  <c r="Q30" i="44" s="1"/>
  <c r="GW22" i="13"/>
  <c r="Q28" i="44" s="1"/>
  <c r="GW45" i="13"/>
  <c r="GW40" i="13"/>
  <c r="GW23" i="13"/>
  <c r="Q11" i="44" s="1"/>
  <c r="GW8" i="13"/>
  <c r="GW14" i="14"/>
  <c r="Q13" i="64" s="1"/>
  <c r="GW47" i="13"/>
  <c r="GW34" i="13"/>
  <c r="Q25" i="44" s="1"/>
  <c r="GW16" i="13"/>
  <c r="Q12" i="44" s="1"/>
  <c r="GW17" i="14"/>
  <c r="Q11" i="64" s="1"/>
  <c r="GW39" i="13"/>
  <c r="GW32" i="13"/>
  <c r="Q16" i="44" s="1"/>
  <c r="GW12" i="13"/>
  <c r="Q14" i="44" s="1"/>
  <c r="GW16" i="14"/>
  <c r="Q12" i="64" s="1"/>
  <c r="GW31" i="13"/>
  <c r="Q7" i="44" s="1"/>
  <c r="GW27" i="13"/>
  <c r="Q29" i="44" s="1"/>
  <c r="GW21" i="13"/>
  <c r="Q20" i="44" s="1"/>
  <c r="GW19" i="14"/>
  <c r="GW26" i="13"/>
  <c r="Q9" i="44" s="1"/>
  <c r="GW14" i="13"/>
  <c r="Q6" i="44" s="1"/>
  <c r="GW15" i="13"/>
  <c r="Q26" i="44" s="1"/>
  <c r="GW9" i="14"/>
  <c r="Q6" i="64" s="1"/>
  <c r="GW24" i="13"/>
  <c r="Q13" i="44" s="1"/>
  <c r="GW8" i="14"/>
  <c r="GW25" i="13"/>
  <c r="Q22" i="44" s="1"/>
  <c r="GW10" i="13"/>
  <c r="Q17" i="44" s="1"/>
  <c r="GW11" i="13"/>
  <c r="Q15" i="44" s="1"/>
  <c r="GW37" i="13"/>
  <c r="Q33" i="44" s="1"/>
  <c r="GW10" i="14"/>
  <c r="Q10" i="64" s="1"/>
  <c r="GW20" i="13"/>
  <c r="Q27" i="44" s="1"/>
  <c r="GW19" i="13"/>
  <c r="Q4" i="44" s="1"/>
  <c r="GZ6" i="9"/>
  <c r="HB7" i="9" s="1"/>
  <c r="GW18" i="13"/>
  <c r="Q21" i="44" s="1"/>
  <c r="GW29" i="13"/>
  <c r="Q31" i="44" s="1"/>
  <c r="GW38" i="13"/>
  <c r="Q34" i="44" s="1"/>
  <c r="GW42" i="13"/>
  <c r="GW43" i="13"/>
  <c r="GW9" i="13"/>
  <c r="Q10" i="44" s="1"/>
  <c r="Y6" i="66"/>
  <c r="HN6" i="14"/>
  <c r="Y3" i="66"/>
  <c r="Y18" i="46"/>
  <c r="HN6" i="13"/>
  <c r="Y3" i="46"/>
  <c r="O15" i="50"/>
  <c r="N15" i="50"/>
  <c r="R15" i="50"/>
  <c r="Q15" i="50"/>
  <c r="P15" i="50"/>
  <c r="N15" i="43"/>
  <c r="L15" i="43" s="1"/>
  <c r="O14" i="42"/>
  <c r="AC33" i="45"/>
  <c r="HH6" i="13"/>
  <c r="AC3" i="45"/>
  <c r="P4" i="74"/>
  <c r="O4" i="74"/>
  <c r="N4" i="74"/>
  <c r="N4" i="65"/>
  <c r="L4" i="65" s="1"/>
  <c r="R4" i="74"/>
  <c r="Q4" i="62"/>
  <c r="Q4" i="74"/>
  <c r="EX11" i="11"/>
  <c r="EV11" i="11" s="1"/>
  <c r="EX13" i="10"/>
  <c r="EV13" i="10" s="1"/>
  <c r="Q16" i="56"/>
  <c r="P16" i="56"/>
  <c r="O16" i="56"/>
  <c r="N16" i="56"/>
  <c r="R16" i="56"/>
  <c r="N16" i="46"/>
  <c r="L16" i="46" s="1"/>
  <c r="R16" i="42"/>
  <c r="Z4" i="62"/>
  <c r="K4" i="60"/>
  <c r="EU11" i="14"/>
  <c r="ET11" i="14" s="1"/>
  <c r="M4" i="60" s="1"/>
  <c r="R8" i="74"/>
  <c r="Q8" i="74"/>
  <c r="P8" i="74"/>
  <c r="O8" i="74"/>
  <c r="N8" i="74"/>
  <c r="N8" i="65"/>
  <c r="L8" i="65" s="1"/>
  <c r="Q10" i="62"/>
  <c r="EX17" i="11"/>
  <c r="EV17" i="11" s="1"/>
  <c r="R12" i="52"/>
  <c r="Q12" i="52"/>
  <c r="O12" i="52"/>
  <c r="N12" i="52"/>
  <c r="P12" i="52"/>
  <c r="N12" i="44"/>
  <c r="L12" i="44" s="1"/>
  <c r="P8" i="42"/>
  <c r="R3" i="71"/>
  <c r="JE7" i="14"/>
  <c r="I12" i="26"/>
  <c r="K12" i="26"/>
  <c r="Q3" i="69"/>
  <c r="IT7" i="14"/>
  <c r="R7" i="74"/>
  <c r="Q7" i="74"/>
  <c r="P7" i="74"/>
  <c r="O7" i="74"/>
  <c r="N7" i="74"/>
  <c r="N7" i="65"/>
  <c r="L7" i="65" s="1"/>
  <c r="Q8" i="62"/>
  <c r="R14" i="56"/>
  <c r="O14" i="56"/>
  <c r="Q14" i="56"/>
  <c r="N14" i="56"/>
  <c r="P14" i="56"/>
  <c r="N14" i="46"/>
  <c r="L14" i="46" s="1"/>
  <c r="R15" i="42"/>
  <c r="R9" i="70"/>
  <c r="Q9" i="70"/>
  <c r="P9" i="70"/>
  <c r="O9" i="70"/>
  <c r="N9" i="70"/>
  <c r="N9" i="63"/>
  <c r="L9" i="63" s="1"/>
  <c r="O9" i="62"/>
  <c r="O20" i="50"/>
  <c r="N20" i="50"/>
  <c r="P20" i="50"/>
  <c r="R20" i="50"/>
  <c r="O19" i="42"/>
  <c r="Q20" i="50"/>
  <c r="N20" i="43"/>
  <c r="L20" i="43" s="1"/>
  <c r="FX41" i="10"/>
  <c r="N3" i="51"/>
  <c r="JA7" i="13"/>
  <c r="K25" i="40"/>
  <c r="Z25" i="42"/>
  <c r="EU20" i="13"/>
  <c r="EX37" i="10"/>
  <c r="EV37" i="10" s="1"/>
  <c r="CI6" i="11"/>
  <c r="CI6" i="10"/>
  <c r="Z30" i="42"/>
  <c r="K30" i="40"/>
  <c r="EU38" i="13"/>
  <c r="AB5" i="65"/>
  <c r="HE6" i="14"/>
  <c r="AB3" i="65"/>
  <c r="Z27" i="42"/>
  <c r="K27" i="40"/>
  <c r="EU10" i="13"/>
  <c r="Z14" i="62"/>
  <c r="K14" i="60"/>
  <c r="EU18" i="14"/>
  <c r="R10" i="72"/>
  <c r="Q10" i="72"/>
  <c r="P10" i="72"/>
  <c r="O10" i="72"/>
  <c r="N10" i="72"/>
  <c r="P10" i="62"/>
  <c r="N10" i="64"/>
  <c r="L10" i="64" s="1"/>
  <c r="CP6" i="11"/>
  <c r="CP6" i="10"/>
  <c r="P3" i="51"/>
  <c r="JC7" i="13"/>
  <c r="O21" i="56"/>
  <c r="R21" i="56"/>
  <c r="Q21" i="56"/>
  <c r="N21" i="56"/>
  <c r="P21" i="56"/>
  <c r="N21" i="46"/>
  <c r="L21" i="46" s="1"/>
  <c r="R19" i="42"/>
  <c r="EJ7" i="10"/>
  <c r="N11" i="70"/>
  <c r="R11" i="70"/>
  <c r="Q11" i="70"/>
  <c r="P11" i="70"/>
  <c r="O11" i="70"/>
  <c r="N11" i="63"/>
  <c r="L11" i="63" s="1"/>
  <c r="O11" i="62"/>
  <c r="R9" i="74"/>
  <c r="Q9" i="74"/>
  <c r="P9" i="74"/>
  <c r="N9" i="65"/>
  <c r="L9" i="65" s="1"/>
  <c r="O9" i="74"/>
  <c r="Q9" i="62"/>
  <c r="N9" i="74"/>
  <c r="N3" i="53"/>
  <c r="JK7" i="13"/>
  <c r="O11" i="23"/>
  <c r="GE30" i="13"/>
  <c r="O9" i="43" s="1"/>
  <c r="GH6" i="9"/>
  <c r="GE8" i="13"/>
  <c r="GE12" i="13"/>
  <c r="O20" i="43" s="1"/>
  <c r="GE16" i="13"/>
  <c r="O7" i="43" s="1"/>
  <c r="GE18" i="13"/>
  <c r="O24" i="43" s="1"/>
  <c r="GE46" i="13"/>
  <c r="GE19" i="13"/>
  <c r="O4" i="43" s="1"/>
  <c r="GE9" i="14"/>
  <c r="O5" i="63" s="1"/>
  <c r="GE11" i="13"/>
  <c r="O21" i="43" s="1"/>
  <c r="GE15" i="13"/>
  <c r="O25" i="43" s="1"/>
  <c r="GE27" i="13"/>
  <c r="O10" i="43" s="1"/>
  <c r="GE32" i="13"/>
  <c r="O16" i="43" s="1"/>
  <c r="GE41" i="13"/>
  <c r="GE10" i="13"/>
  <c r="O26" i="43" s="1"/>
  <c r="GE13" i="14"/>
  <c r="O11" i="63" s="1"/>
  <c r="GE25" i="13"/>
  <c r="O34" i="43" s="1"/>
  <c r="GE21" i="13"/>
  <c r="O17" i="43" s="1"/>
  <c r="GE26" i="13"/>
  <c r="O15" i="43" s="1"/>
  <c r="GE40" i="13"/>
  <c r="GE47" i="13"/>
  <c r="GE13" i="13"/>
  <c r="O12" i="43" s="1"/>
  <c r="GE42" i="13"/>
  <c r="GE45" i="13"/>
  <c r="GE19" i="14"/>
  <c r="GE39" i="13"/>
  <c r="GE35" i="13"/>
  <c r="O30" i="43" s="1"/>
  <c r="GE43" i="13"/>
  <c r="GE24" i="13"/>
  <c r="O19" i="43" s="1"/>
  <c r="GE15" i="14"/>
  <c r="O7" i="63" s="1"/>
  <c r="GE38" i="13"/>
  <c r="O31" i="43" s="1"/>
  <c r="GE16" i="14"/>
  <c r="O12" i="63" s="1"/>
  <c r="GE20" i="13"/>
  <c r="O23" i="43" s="1"/>
  <c r="GE23" i="13"/>
  <c r="O14" i="43" s="1"/>
  <c r="GE9" i="13"/>
  <c r="O6" i="43" s="1"/>
  <c r="GE12" i="14"/>
  <c r="O8" i="63" s="1"/>
  <c r="GE11" i="14"/>
  <c r="O4" i="63" s="1"/>
  <c r="GE17" i="14"/>
  <c r="O13" i="63" s="1"/>
  <c r="GE29" i="13"/>
  <c r="O27" i="43" s="1"/>
  <c r="GE10" i="14"/>
  <c r="O10" i="63" s="1"/>
  <c r="GE44" i="13"/>
  <c r="GE18" i="14"/>
  <c r="O14" i="63" s="1"/>
  <c r="GE33" i="13"/>
  <c r="O29" i="43" s="1"/>
  <c r="GE31" i="13"/>
  <c r="O11" i="43" s="1"/>
  <c r="GE36" i="13"/>
  <c r="O22" i="43" s="1"/>
  <c r="GE14" i="14"/>
  <c r="O9" i="63" s="1"/>
  <c r="GE34" i="13"/>
  <c r="O33" i="43" s="1"/>
  <c r="GE22" i="13"/>
  <c r="O8" i="43" s="1"/>
  <c r="GE37" i="13"/>
  <c r="O32" i="43" s="1"/>
  <c r="GE8" i="14"/>
  <c r="GE28" i="13"/>
  <c r="O13" i="43" s="1"/>
  <c r="GE17" i="13"/>
  <c r="O28" i="43" s="1"/>
  <c r="GE14" i="13"/>
  <c r="O5" i="43" s="1"/>
  <c r="R11" i="23"/>
  <c r="GN9" i="14"/>
  <c r="R5" i="63" s="1"/>
  <c r="GN41" i="13"/>
  <c r="GN9" i="13"/>
  <c r="R6" i="43" s="1"/>
  <c r="GN10" i="14"/>
  <c r="R10" i="63" s="1"/>
  <c r="GN32" i="13"/>
  <c r="R16" i="43" s="1"/>
  <c r="GN29" i="13"/>
  <c r="R27" i="43" s="1"/>
  <c r="GN18" i="13"/>
  <c r="R24" i="43" s="1"/>
  <c r="GN8" i="13"/>
  <c r="GN12" i="13"/>
  <c r="R20" i="43" s="1"/>
  <c r="GN31" i="13"/>
  <c r="R11" i="43" s="1"/>
  <c r="GN46" i="13"/>
  <c r="GN17" i="14"/>
  <c r="R13" i="63" s="1"/>
  <c r="GN8" i="14"/>
  <c r="GN14" i="13"/>
  <c r="R5" i="43" s="1"/>
  <c r="GN33" i="13"/>
  <c r="R29" i="43" s="1"/>
  <c r="GN35" i="13"/>
  <c r="R30" i="43" s="1"/>
  <c r="GN27" i="13"/>
  <c r="R10" i="43" s="1"/>
  <c r="GN36" i="13"/>
  <c r="R22" i="43" s="1"/>
  <c r="GN13" i="13"/>
  <c r="R12" i="43" s="1"/>
  <c r="GN23" i="13"/>
  <c r="R14" i="43" s="1"/>
  <c r="GN15" i="13"/>
  <c r="R25" i="43" s="1"/>
  <c r="GN24" i="13"/>
  <c r="R19" i="43" s="1"/>
  <c r="GQ6" i="9"/>
  <c r="GS7" i="9" s="1"/>
  <c r="GN25" i="13"/>
  <c r="R34" i="43" s="1"/>
  <c r="GN14" i="14"/>
  <c r="R9" i="63" s="1"/>
  <c r="GN12" i="14"/>
  <c r="R8" i="63" s="1"/>
  <c r="GN26" i="13"/>
  <c r="R15" i="43" s="1"/>
  <c r="GN40" i="13"/>
  <c r="GN16" i="14"/>
  <c r="R12" i="63" s="1"/>
  <c r="GN22" i="13"/>
  <c r="R8" i="43" s="1"/>
  <c r="GN18" i="14"/>
  <c r="R14" i="63" s="1"/>
  <c r="GN19" i="13"/>
  <c r="R4" i="43" s="1"/>
  <c r="GN34" i="13"/>
  <c r="R33" i="43" s="1"/>
  <c r="GN15" i="14"/>
  <c r="R7" i="63" s="1"/>
  <c r="GN38" i="13"/>
  <c r="R31" i="43" s="1"/>
  <c r="GN45" i="13"/>
  <c r="GN21" i="13"/>
  <c r="R17" i="43" s="1"/>
  <c r="GN37" i="13"/>
  <c r="R32" i="43" s="1"/>
  <c r="GN17" i="13"/>
  <c r="R28" i="43" s="1"/>
  <c r="GN11" i="14"/>
  <c r="R4" i="63" s="1"/>
  <c r="GN11" i="13"/>
  <c r="R21" i="43" s="1"/>
  <c r="GN13" i="14"/>
  <c r="R11" i="63" s="1"/>
  <c r="GN47" i="13"/>
  <c r="GN16" i="13"/>
  <c r="R7" i="43" s="1"/>
  <c r="GN44" i="13"/>
  <c r="GN20" i="13"/>
  <c r="R23" i="43" s="1"/>
  <c r="GN28" i="13"/>
  <c r="R13" i="43" s="1"/>
  <c r="GN10" i="13"/>
  <c r="R26" i="43" s="1"/>
  <c r="GN42" i="13"/>
  <c r="GN19" i="14"/>
  <c r="GN30" i="13"/>
  <c r="R9" i="43" s="1"/>
  <c r="GN39" i="13"/>
  <c r="GN43" i="13"/>
  <c r="O28" i="40"/>
  <c r="FU17" i="13"/>
  <c r="O27" i="40"/>
  <c r="FU10" i="13"/>
  <c r="O17" i="40"/>
  <c r="FU21" i="13"/>
  <c r="O12" i="40"/>
  <c r="FU13" i="13"/>
  <c r="FX32" i="10"/>
  <c r="FX23" i="10"/>
  <c r="FX29" i="10"/>
  <c r="P11" i="74"/>
  <c r="O11" i="74"/>
  <c r="N11" i="74"/>
  <c r="R11" i="74"/>
  <c r="Q11" i="74"/>
  <c r="N11" i="65"/>
  <c r="L11" i="65" s="1"/>
  <c r="Q6" i="62"/>
  <c r="R10" i="76"/>
  <c r="Q10" i="76"/>
  <c r="P10" i="76"/>
  <c r="O10" i="76"/>
  <c r="N10" i="76"/>
  <c r="N10" i="66"/>
  <c r="L10" i="66" s="1"/>
  <c r="R8" i="62"/>
  <c r="Z31" i="42"/>
  <c r="K31" i="40"/>
  <c r="EU35" i="13"/>
  <c r="AA8" i="64"/>
  <c r="GY6" i="14"/>
  <c r="AA3" i="64"/>
  <c r="Q18" i="54"/>
  <c r="N18" i="54"/>
  <c r="R18" i="54"/>
  <c r="P18" i="54"/>
  <c r="N18" i="45"/>
  <c r="L18" i="45" s="1"/>
  <c r="O18" i="54"/>
  <c r="Q17" i="42"/>
  <c r="Q5" i="54"/>
  <c r="O5" i="54"/>
  <c r="N5" i="54"/>
  <c r="R5" i="54"/>
  <c r="P5" i="54"/>
  <c r="Q7" i="42"/>
  <c r="N5" i="45"/>
  <c r="L5" i="45" s="1"/>
  <c r="EI7" i="10"/>
  <c r="Z14" i="42"/>
  <c r="K14" i="40"/>
  <c r="EU26" i="13"/>
  <c r="BT6" i="11"/>
  <c r="BT6" i="10"/>
  <c r="Q6" i="50"/>
  <c r="R6" i="50"/>
  <c r="P6" i="50"/>
  <c r="O6" i="50"/>
  <c r="N6" i="43"/>
  <c r="L6" i="43" s="1"/>
  <c r="O7" i="42"/>
  <c r="N6" i="50"/>
  <c r="O14" i="54"/>
  <c r="R14" i="54"/>
  <c r="Q14" i="54"/>
  <c r="P14" i="54"/>
  <c r="N14" i="54"/>
  <c r="N14" i="45"/>
  <c r="L14" i="45" s="1"/>
  <c r="Q14" i="42"/>
  <c r="R19" i="50"/>
  <c r="O19" i="50"/>
  <c r="Q19" i="50"/>
  <c r="P19" i="50"/>
  <c r="N19" i="50"/>
  <c r="N19" i="43"/>
  <c r="L19" i="43" s="1"/>
  <c r="O18" i="42"/>
  <c r="Q3" i="51"/>
  <c r="JD7" i="13"/>
  <c r="FA6" i="11"/>
  <c r="FA6" i="10"/>
  <c r="FC7" i="10" s="1"/>
  <c r="EY1" i="9"/>
  <c r="FB7" i="9"/>
  <c r="R32" i="50"/>
  <c r="N32" i="43"/>
  <c r="P32" i="50"/>
  <c r="O32" i="50"/>
  <c r="Q32" i="50"/>
  <c r="N32" i="50"/>
  <c r="O32" i="42"/>
  <c r="P22" i="54"/>
  <c r="O22" i="54"/>
  <c r="R22" i="54"/>
  <c r="Q22" i="54"/>
  <c r="N22" i="54"/>
  <c r="N22" i="45"/>
  <c r="L22" i="45" s="1"/>
  <c r="Q26" i="42"/>
  <c r="R31" i="56"/>
  <c r="Q31" i="56"/>
  <c r="P31" i="56"/>
  <c r="O31" i="56"/>
  <c r="N31" i="56"/>
  <c r="N31" i="46"/>
  <c r="L31" i="46" s="1"/>
  <c r="R31" i="42"/>
  <c r="EX35" i="10"/>
  <c r="EV35" i="10" s="1"/>
  <c r="K9" i="60"/>
  <c r="Z9" i="62"/>
  <c r="EU14" i="14"/>
  <c r="O5" i="76"/>
  <c r="N5" i="76"/>
  <c r="R5" i="76"/>
  <c r="Q5" i="76"/>
  <c r="P5" i="76"/>
  <c r="N5" i="66"/>
  <c r="L5" i="66" s="1"/>
  <c r="R6" i="62"/>
  <c r="O31" i="54"/>
  <c r="P31" i="54"/>
  <c r="R31" i="54"/>
  <c r="Q31" i="54"/>
  <c r="N31" i="54"/>
  <c r="Q22" i="42"/>
  <c r="N31" i="45"/>
  <c r="Z8" i="64"/>
  <c r="GV6" i="14"/>
  <c r="Z3" i="64"/>
  <c r="EJ7" i="11"/>
  <c r="EX18" i="10"/>
  <c r="EV18" i="10" s="1"/>
  <c r="Z11" i="62"/>
  <c r="K11" i="60"/>
  <c r="EU13" i="14"/>
  <c r="O3" i="53"/>
  <c r="JL7" i="13"/>
  <c r="R28" i="54"/>
  <c r="Q28" i="54"/>
  <c r="P28" i="54"/>
  <c r="N28" i="45"/>
  <c r="L28" i="45" s="1"/>
  <c r="Q31" i="42"/>
  <c r="O28" i="54"/>
  <c r="N28" i="54"/>
  <c r="Q5" i="50"/>
  <c r="P5" i="50"/>
  <c r="N5" i="50"/>
  <c r="R5" i="50"/>
  <c r="O5" i="50"/>
  <c r="N5" i="43"/>
  <c r="L5" i="43" s="1"/>
  <c r="O5" i="42"/>
  <c r="FU44" i="13"/>
  <c r="O6" i="40"/>
  <c r="FU30" i="13"/>
  <c r="O34" i="40"/>
  <c r="FU34" i="13"/>
  <c r="O32" i="40"/>
  <c r="FU37" i="13"/>
  <c r="FX10" i="11"/>
  <c r="FU43" i="13"/>
  <c r="FX40" i="10"/>
  <c r="Q28" i="50"/>
  <c r="O28" i="50"/>
  <c r="N28" i="50"/>
  <c r="R28" i="50"/>
  <c r="P28" i="50"/>
  <c r="O28" i="42"/>
  <c r="N28" i="43"/>
  <c r="L28" i="43" s="1"/>
  <c r="CB6" i="11"/>
  <c r="CB6" i="10"/>
  <c r="R6" i="70"/>
  <c r="Q6" i="70"/>
  <c r="P6" i="70"/>
  <c r="O6" i="70"/>
  <c r="N6" i="70"/>
  <c r="N6" i="63"/>
  <c r="L6" i="63" s="1"/>
  <c r="O7" i="62"/>
  <c r="EX6" i="14"/>
  <c r="N3" i="70"/>
  <c r="O3" i="62"/>
  <c r="N3" i="63"/>
  <c r="L3" i="63" s="1"/>
  <c r="R3" i="70"/>
  <c r="Q3" i="70"/>
  <c r="P3" i="70"/>
  <c r="O3" i="70"/>
  <c r="Q27" i="52"/>
  <c r="P27" i="52"/>
  <c r="O27" i="52"/>
  <c r="N27" i="52"/>
  <c r="R27" i="52"/>
  <c r="P25" i="42"/>
  <c r="N27" i="44"/>
  <c r="L27" i="44" s="1"/>
  <c r="R11" i="56"/>
  <c r="Q11" i="56"/>
  <c r="P11" i="56"/>
  <c r="N11" i="46"/>
  <c r="L11" i="46" s="1"/>
  <c r="O11" i="56"/>
  <c r="N11" i="56"/>
  <c r="R10" i="42"/>
  <c r="EX14" i="10"/>
  <c r="EV14" i="10" s="1"/>
  <c r="EX24" i="10"/>
  <c r="EV24" i="10" s="1"/>
  <c r="R9" i="25"/>
  <c r="HI17" i="14"/>
  <c r="R13" i="65" s="1"/>
  <c r="HI21" i="13"/>
  <c r="R18" i="45" s="1"/>
  <c r="HI32" i="13"/>
  <c r="R16" i="45" s="1"/>
  <c r="HI10" i="13"/>
  <c r="R24" i="45" s="1"/>
  <c r="HI9" i="13"/>
  <c r="R5" i="45" s="1"/>
  <c r="HI19" i="14"/>
  <c r="HI14" i="13"/>
  <c r="R15" i="45" s="1"/>
  <c r="HI23" i="13"/>
  <c r="R11" i="45" s="1"/>
  <c r="HI29" i="13"/>
  <c r="R22" i="45" s="1"/>
  <c r="HI37" i="13"/>
  <c r="R29" i="45" s="1"/>
  <c r="HI22" i="13"/>
  <c r="R7" i="45" s="1"/>
  <c r="HI36" i="13"/>
  <c r="R31" i="45" s="1"/>
  <c r="HI16" i="14"/>
  <c r="R12" i="65" s="1"/>
  <c r="HI12" i="13"/>
  <c r="R13" i="45" s="1"/>
  <c r="HI43" i="13"/>
  <c r="HI20" i="13"/>
  <c r="R23" i="45" s="1"/>
  <c r="HI15" i="14"/>
  <c r="R6" i="65" s="1"/>
  <c r="HI31" i="13"/>
  <c r="R8" i="45" s="1"/>
  <c r="HI15" i="13"/>
  <c r="R20" i="45" s="1"/>
  <c r="HI16" i="13"/>
  <c r="R6" i="45" s="1"/>
  <c r="HI40" i="13"/>
  <c r="HI41" i="13"/>
  <c r="HI28" i="13"/>
  <c r="R12" i="45" s="1"/>
  <c r="HI34" i="13"/>
  <c r="R30" i="45" s="1"/>
  <c r="HI17" i="13"/>
  <c r="R26" i="45" s="1"/>
  <c r="HI39" i="13"/>
  <c r="HI27" i="13"/>
  <c r="R9" i="45" s="1"/>
  <c r="HI11" i="14"/>
  <c r="R4" i="65" s="1"/>
  <c r="HI38" i="13"/>
  <c r="R34" i="45" s="1"/>
  <c r="HI46" i="13"/>
  <c r="HI45" i="13"/>
  <c r="HI19" i="13"/>
  <c r="R4" i="45" s="1"/>
  <c r="HI8" i="13"/>
  <c r="HI18" i="14"/>
  <c r="R14" i="65" s="1"/>
  <c r="HI44" i="13"/>
  <c r="HI11" i="13"/>
  <c r="R19" i="45" s="1"/>
  <c r="HI33" i="13"/>
  <c r="R27" i="45" s="1"/>
  <c r="HI13" i="13"/>
  <c r="R25" i="45" s="1"/>
  <c r="HI26" i="13"/>
  <c r="R14" i="45" s="1"/>
  <c r="HI10" i="14"/>
  <c r="R8" i="65" s="1"/>
  <c r="HI12" i="14"/>
  <c r="R7" i="65" s="1"/>
  <c r="HI35" i="13"/>
  <c r="R28" i="45" s="1"/>
  <c r="HI24" i="13"/>
  <c r="R17" i="45" s="1"/>
  <c r="HI25" i="13"/>
  <c r="R32" i="45" s="1"/>
  <c r="HL6" i="9"/>
  <c r="HN7" i="9" s="1"/>
  <c r="HI18" i="13"/>
  <c r="R21" i="45" s="1"/>
  <c r="HI30" i="13"/>
  <c r="R10" i="45" s="1"/>
  <c r="HI14" i="14"/>
  <c r="R9" i="65" s="1"/>
  <c r="HI13" i="14"/>
  <c r="R10" i="65" s="1"/>
  <c r="HI42" i="13"/>
  <c r="HI8" i="14"/>
  <c r="HI9" i="14"/>
  <c r="R11" i="65" s="1"/>
  <c r="HI47" i="13"/>
  <c r="EI7" i="11"/>
  <c r="N7" i="50"/>
  <c r="O7" i="50"/>
  <c r="R7" i="50"/>
  <c r="Q7" i="50"/>
  <c r="O8" i="42"/>
  <c r="N7" i="43"/>
  <c r="L7" i="43" s="1"/>
  <c r="P7" i="50"/>
  <c r="EX18" i="11"/>
  <c r="EV18" i="11" s="1"/>
  <c r="DN7" i="10"/>
  <c r="EX25" i="10"/>
  <c r="EV25" i="10" s="1"/>
  <c r="EX15" i="11"/>
  <c r="EV15" i="11" s="1"/>
  <c r="K7" i="40"/>
  <c r="Z7" i="42"/>
  <c r="EU9" i="13"/>
  <c r="R7" i="70"/>
  <c r="Q7" i="70"/>
  <c r="P7" i="70"/>
  <c r="O7" i="70"/>
  <c r="N7" i="70"/>
  <c r="N7" i="63"/>
  <c r="L7" i="63" s="1"/>
  <c r="O5" i="62"/>
  <c r="EU6" i="14"/>
  <c r="EW7" i="14" s="1"/>
  <c r="EX40" i="10"/>
  <c r="EV40" i="10" s="1"/>
  <c r="R5" i="72"/>
  <c r="Q5" i="72"/>
  <c r="P5" i="72"/>
  <c r="O5" i="72"/>
  <c r="N5" i="72"/>
  <c r="N5" i="64"/>
  <c r="L5" i="64" s="1"/>
  <c r="P4" i="62"/>
  <c r="K18" i="40"/>
  <c r="Z18" i="42"/>
  <c r="EU24" i="13"/>
  <c r="EX42" i="10"/>
  <c r="EV42" i="10" s="1"/>
  <c r="Q3" i="71"/>
  <c r="JD7" i="14"/>
  <c r="N3" i="49"/>
  <c r="IQ7" i="13"/>
  <c r="R30" i="54"/>
  <c r="Q30" i="54"/>
  <c r="P30" i="54"/>
  <c r="O30" i="54"/>
  <c r="N30" i="54"/>
  <c r="N30" i="45"/>
  <c r="L30" i="45" s="1"/>
  <c r="Q34" i="42"/>
  <c r="K32" i="40"/>
  <c r="Z32" i="42"/>
  <c r="EU37" i="13"/>
  <c r="EX20" i="10"/>
  <c r="EV20" i="10" s="1"/>
  <c r="EX14" i="11"/>
  <c r="EV14" i="11" s="1"/>
  <c r="FX33" i="10"/>
  <c r="R11" i="50"/>
  <c r="Q11" i="50"/>
  <c r="P11" i="50"/>
  <c r="O11" i="50"/>
  <c r="N11" i="43"/>
  <c r="L11" i="43" s="1"/>
  <c r="N11" i="50"/>
  <c r="O10" i="42"/>
  <c r="P12" i="70"/>
  <c r="O12" i="70"/>
  <c r="N12" i="70"/>
  <c r="R12" i="70"/>
  <c r="Q12" i="70"/>
  <c r="O12" i="62"/>
  <c r="N12" i="63"/>
  <c r="L12" i="63" s="1"/>
  <c r="P3" i="53"/>
  <c r="JM7" i="13"/>
  <c r="Z5" i="42"/>
  <c r="K5" i="40"/>
  <c r="EU14" i="13"/>
  <c r="N14" i="72"/>
  <c r="R14" i="72"/>
  <c r="P14" i="72"/>
  <c r="P14" i="62"/>
  <c r="O14" i="72"/>
  <c r="N14" i="64"/>
  <c r="L14" i="64" s="1"/>
  <c r="Q14" i="72"/>
  <c r="I7" i="20"/>
  <c r="H7" i="20" s="1"/>
  <c r="N7" i="22"/>
  <c r="L7" i="22" s="1"/>
  <c r="FS36" i="10"/>
  <c r="FP36" i="13"/>
  <c r="KC45" i="13"/>
  <c r="KC8" i="13"/>
  <c r="FP15" i="13"/>
  <c r="FS20" i="10"/>
  <c r="FP10" i="14"/>
  <c r="KC43" i="13"/>
  <c r="FP18" i="13"/>
  <c r="KC11" i="14"/>
  <c r="FP10" i="13"/>
  <c r="FP13" i="14"/>
  <c r="FP18" i="14"/>
  <c r="KC42" i="13"/>
  <c r="FP13" i="13"/>
  <c r="FS31" i="10"/>
  <c r="FP41" i="13"/>
  <c r="FP32" i="13"/>
  <c r="FP14" i="14"/>
  <c r="KC39" i="13"/>
  <c r="FS28" i="10"/>
  <c r="FS15" i="11"/>
  <c r="FS8" i="10"/>
  <c r="KC29" i="13"/>
  <c r="FS11" i="10"/>
  <c r="KC35" i="13"/>
  <c r="FP22" i="13"/>
  <c r="FS18" i="11"/>
  <c r="FP20" i="13"/>
  <c r="FS34" i="10"/>
  <c r="KC28" i="13"/>
  <c r="FS38" i="10"/>
  <c r="KC14" i="14"/>
  <c r="FS14" i="10"/>
  <c r="KC12" i="14"/>
  <c r="KC23" i="13"/>
  <c r="KC20" i="13"/>
  <c r="FS17" i="10"/>
  <c r="FS21" i="10"/>
  <c r="KC6" i="14"/>
  <c r="KC17" i="13"/>
  <c r="FP42" i="13"/>
  <c r="FS9" i="11"/>
  <c r="FP26" i="13"/>
  <c r="KC6" i="13"/>
  <c r="FP44" i="13"/>
  <c r="FS9" i="10"/>
  <c r="FS10" i="11"/>
  <c r="KC9" i="14"/>
  <c r="KC15" i="14"/>
  <c r="FP24" i="13"/>
  <c r="FS22" i="10"/>
  <c r="FS26" i="10"/>
  <c r="FS23" i="10"/>
  <c r="FP15" i="14"/>
  <c r="FS13" i="11"/>
  <c r="KC27" i="13"/>
  <c r="FS17" i="11"/>
  <c r="FP11" i="14"/>
  <c r="FS12" i="10"/>
  <c r="FS12" i="11"/>
  <c r="KC18" i="14"/>
  <c r="FP17" i="14"/>
  <c r="KC26" i="13"/>
  <c r="FS33" i="10"/>
  <c r="FS37" i="10"/>
  <c r="FS30" i="10"/>
  <c r="KC13" i="14"/>
  <c r="FP16" i="13"/>
  <c r="KC34" i="13"/>
  <c r="KC12" i="13"/>
  <c r="FS11" i="11"/>
  <c r="KC14" i="13"/>
  <c r="FP19" i="14"/>
  <c r="FP33" i="13"/>
  <c r="FS20" i="11"/>
  <c r="FS19" i="10"/>
  <c r="FP19" i="13"/>
  <c r="FS39" i="10"/>
  <c r="FP12" i="14"/>
  <c r="FP46" i="13"/>
  <c r="FP30" i="13"/>
  <c r="KC25" i="13"/>
  <c r="FP43" i="13"/>
  <c r="KC30" i="13"/>
  <c r="KC18" i="13"/>
  <c r="KC19" i="13"/>
  <c r="FP8" i="14"/>
  <c r="FP21" i="13"/>
  <c r="FS24" i="10"/>
  <c r="KC15" i="13"/>
  <c r="FP14" i="13"/>
  <c r="FP45" i="13"/>
  <c r="FP23" i="13"/>
  <c r="FP37" i="13"/>
  <c r="KC37" i="13"/>
  <c r="KC10" i="13"/>
  <c r="KC36" i="13"/>
  <c r="KC40" i="13"/>
  <c r="FP9" i="13"/>
  <c r="FS35" i="10"/>
  <c r="FP35" i="13"/>
  <c r="KC21" i="13"/>
  <c r="FS41" i="10"/>
  <c r="FP27" i="13"/>
  <c r="KC24" i="13"/>
  <c r="KC17" i="14"/>
  <c r="FP25" i="13"/>
  <c r="FS10" i="10"/>
  <c r="FP17" i="13"/>
  <c r="KC32" i="13"/>
  <c r="FS13" i="10"/>
  <c r="FP16" i="14"/>
  <c r="FP39" i="13"/>
  <c r="KC9" i="13"/>
  <c r="KC31" i="13"/>
  <c r="KC13" i="13"/>
  <c r="FS25" i="10"/>
  <c r="FS42" i="10"/>
  <c r="FP40" i="13"/>
  <c r="KC10" i="14"/>
  <c r="FS40" i="10"/>
  <c r="FP31" i="13"/>
  <c r="KC38" i="13"/>
  <c r="FS16" i="10"/>
  <c r="FS27" i="10"/>
  <c r="FP34" i="13"/>
  <c r="KC11" i="13"/>
  <c r="FP29" i="13"/>
  <c r="KC22" i="13"/>
  <c r="FS8" i="11"/>
  <c r="FP8" i="13"/>
  <c r="KC8" i="14"/>
  <c r="FP9" i="14"/>
  <c r="KC33" i="13"/>
  <c r="FS29" i="10"/>
  <c r="KC46" i="13"/>
  <c r="KC41" i="13"/>
  <c r="FP28" i="13"/>
  <c r="FS18" i="10"/>
  <c r="FS19" i="11"/>
  <c r="FS32" i="10"/>
  <c r="KC16" i="13"/>
  <c r="FP47" i="13"/>
  <c r="FP11" i="13"/>
  <c r="FS16" i="11"/>
  <c r="FS15" i="10"/>
  <c r="KC19" i="14"/>
  <c r="FP38" i="13"/>
  <c r="KC16" i="14"/>
  <c r="KC47" i="13"/>
  <c r="FP12" i="13"/>
  <c r="KC44" i="13"/>
  <c r="FS14" i="11"/>
  <c r="EV21" i="9"/>
  <c r="L7" i="20" s="1"/>
  <c r="FU41" i="13"/>
  <c r="O5" i="60"/>
  <c r="FU15" i="14"/>
  <c r="FU47" i="13"/>
  <c r="O10" i="40"/>
  <c r="FU31" i="13"/>
  <c r="O24" i="40"/>
  <c r="FU15" i="13"/>
  <c r="FX14" i="11"/>
  <c r="FX18" i="11"/>
  <c r="K28" i="40"/>
  <c r="Z28" i="42"/>
  <c r="EU17" i="13"/>
  <c r="Y23" i="44"/>
  <c r="GS6" i="13"/>
  <c r="Y3" i="44"/>
  <c r="EE7" i="14"/>
  <c r="DY7" i="10"/>
  <c r="GM6" i="11"/>
  <c r="GM6" i="10"/>
  <c r="N7" i="72"/>
  <c r="R7" i="72"/>
  <c r="N7" i="64"/>
  <c r="L7" i="64" s="1"/>
  <c r="Q7" i="72"/>
  <c r="P7" i="72"/>
  <c r="O7" i="72"/>
  <c r="P11" i="62"/>
  <c r="O12" i="76"/>
  <c r="N12" i="76"/>
  <c r="R12" i="76"/>
  <c r="Q12" i="76"/>
  <c r="P12" i="76"/>
  <c r="R12" i="62"/>
  <c r="N12" i="66"/>
  <c r="L12" i="66" s="1"/>
  <c r="K8" i="40"/>
  <c r="Z8" i="42"/>
  <c r="EU16" i="13"/>
  <c r="Q8" i="52"/>
  <c r="R8" i="52"/>
  <c r="P8" i="52"/>
  <c r="N8" i="52"/>
  <c r="O8" i="52"/>
  <c r="N8" i="44"/>
  <c r="L8" i="44" s="1"/>
  <c r="P12" i="42"/>
  <c r="FI7" i="9"/>
  <c r="DN7" i="11"/>
  <c r="O20" i="52"/>
  <c r="N20" i="52"/>
  <c r="P20" i="52"/>
  <c r="Q20" i="52"/>
  <c r="N20" i="44"/>
  <c r="L20" i="44" s="1"/>
  <c r="P17" i="42"/>
  <c r="R20" i="52"/>
  <c r="R12" i="56"/>
  <c r="Q12" i="56"/>
  <c r="P12" i="56"/>
  <c r="O12" i="56"/>
  <c r="N12" i="56"/>
  <c r="R12" i="42"/>
  <c r="N12" i="46"/>
  <c r="L12" i="46" s="1"/>
  <c r="K5" i="60"/>
  <c r="Z5" i="62"/>
  <c r="EU15" i="14"/>
  <c r="Q32" i="54"/>
  <c r="P32" i="54"/>
  <c r="R32" i="54"/>
  <c r="N32" i="54"/>
  <c r="N32" i="45"/>
  <c r="L32" i="45" s="1"/>
  <c r="O32" i="54"/>
  <c r="Q33" i="42"/>
  <c r="R7" i="76"/>
  <c r="Q7" i="76"/>
  <c r="P7" i="76"/>
  <c r="O7" i="76"/>
  <c r="N7" i="76"/>
  <c r="R5" i="62"/>
  <c r="N7" i="66"/>
  <c r="L7" i="66" s="1"/>
  <c r="O28" i="52"/>
  <c r="Q28" i="52"/>
  <c r="P28" i="52"/>
  <c r="N28" i="52"/>
  <c r="R28" i="52"/>
  <c r="P9" i="42"/>
  <c r="N28" i="44"/>
  <c r="L28" i="44" s="1"/>
  <c r="N3" i="71"/>
  <c r="JA7" i="14"/>
  <c r="Q3" i="75"/>
  <c r="JX7" i="14"/>
  <c r="O3" i="49"/>
  <c r="IR7" i="13"/>
  <c r="Q4" i="54"/>
  <c r="N4" i="54"/>
  <c r="R4" i="54"/>
  <c r="P4" i="54"/>
  <c r="O4" i="54"/>
  <c r="N4" i="45"/>
  <c r="L4" i="45" s="1"/>
  <c r="Q4" i="42"/>
  <c r="P33" i="56"/>
  <c r="O33" i="56"/>
  <c r="N33" i="56"/>
  <c r="R33" i="56"/>
  <c r="Q33" i="56"/>
  <c r="N33" i="46"/>
  <c r="R34" i="42"/>
  <c r="O21" i="52"/>
  <c r="R21" i="52"/>
  <c r="Q21" i="52"/>
  <c r="P21" i="52"/>
  <c r="N21" i="52"/>
  <c r="P23" i="42"/>
  <c r="N21" i="44"/>
  <c r="L21" i="44" s="1"/>
  <c r="EX20" i="11"/>
  <c r="EV20" i="11" s="1"/>
  <c r="R26" i="52"/>
  <c r="N26" i="52"/>
  <c r="N26" i="44"/>
  <c r="P24" i="42"/>
  <c r="Q26" i="52"/>
  <c r="P26" i="52"/>
  <c r="O26" i="52"/>
  <c r="R33" i="52"/>
  <c r="Q33" i="52"/>
  <c r="P33" i="52"/>
  <c r="O33" i="52"/>
  <c r="N33" i="52"/>
  <c r="P32" i="42"/>
  <c r="N33" i="44"/>
  <c r="EX10" i="11"/>
  <c r="EV10" i="11" s="1"/>
  <c r="R5" i="74"/>
  <c r="Q5" i="74"/>
  <c r="P5" i="74"/>
  <c r="O5" i="74"/>
  <c r="N5" i="74"/>
  <c r="Q7" i="62"/>
  <c r="N5" i="65"/>
  <c r="L5" i="65" s="1"/>
  <c r="FD6" i="14"/>
  <c r="Q3" i="62"/>
  <c r="N3" i="65"/>
  <c r="R3" i="74"/>
  <c r="P3" i="74"/>
  <c r="O3" i="74"/>
  <c r="Q3" i="74"/>
  <c r="N3" i="74"/>
  <c r="Q13" i="76"/>
  <c r="P13" i="76"/>
  <c r="O13" i="76"/>
  <c r="N13" i="76"/>
  <c r="R13" i="76"/>
  <c r="N13" i="66"/>
  <c r="L13" i="66" s="1"/>
  <c r="R13" i="62"/>
  <c r="Z10" i="42"/>
  <c r="K10" i="40"/>
  <c r="EU31" i="13"/>
  <c r="K12" i="60"/>
  <c r="Z12" i="62"/>
  <c r="EU16" i="14"/>
  <c r="O24" i="54"/>
  <c r="R24" i="54"/>
  <c r="Q24" i="54"/>
  <c r="P24" i="54"/>
  <c r="N24" i="45"/>
  <c r="L24" i="45" s="1"/>
  <c r="N24" i="54"/>
  <c r="Q27" i="42"/>
  <c r="FX36" i="10"/>
  <c r="O4" i="60"/>
  <c r="FU11" i="14"/>
  <c r="FX31" i="10"/>
  <c r="FX10" i="10"/>
  <c r="O9" i="60"/>
  <c r="FU14" i="14"/>
  <c r="O11" i="40"/>
  <c r="FU27" i="13"/>
  <c r="O15" i="40"/>
  <c r="FU23" i="13"/>
  <c r="O18" i="40"/>
  <c r="FU24" i="13"/>
  <c r="GV6" i="11"/>
  <c r="GV6" i="10"/>
  <c r="R29" i="54"/>
  <c r="N29" i="54"/>
  <c r="Q29" i="54"/>
  <c r="P29" i="54"/>
  <c r="O29" i="54"/>
  <c r="N29" i="45"/>
  <c r="L29" i="45" s="1"/>
  <c r="Q32" i="42"/>
  <c r="DY7" i="11"/>
  <c r="Z18" i="46"/>
  <c r="HQ6" i="13"/>
  <c r="Z3" i="46"/>
  <c r="P26" i="56"/>
  <c r="Q26" i="56"/>
  <c r="O26" i="56"/>
  <c r="N26" i="56"/>
  <c r="R26" i="56"/>
  <c r="R25" i="42"/>
  <c r="N26" i="46"/>
  <c r="L26" i="46" s="1"/>
  <c r="P5" i="70"/>
  <c r="O5" i="70"/>
  <c r="N5" i="70"/>
  <c r="R5" i="70"/>
  <c r="N5" i="63"/>
  <c r="L5" i="63" s="1"/>
  <c r="O6" i="62"/>
  <c r="Q5" i="70"/>
  <c r="EX13" i="11"/>
  <c r="EV13" i="11" s="1"/>
  <c r="O9" i="54"/>
  <c r="R9" i="54"/>
  <c r="Q9" i="54"/>
  <c r="P9" i="54"/>
  <c r="N9" i="54"/>
  <c r="N9" i="45"/>
  <c r="L9" i="45" s="1"/>
  <c r="Q11" i="42"/>
  <c r="AC5" i="65"/>
  <c r="HH6" i="14"/>
  <c r="AC3" i="65"/>
  <c r="N28" i="56"/>
  <c r="Q28" i="56"/>
  <c r="P28" i="56"/>
  <c r="O28" i="56"/>
  <c r="N28" i="46"/>
  <c r="L28" i="46" s="1"/>
  <c r="R28" i="56"/>
  <c r="R30" i="42"/>
  <c r="EX9" i="11"/>
  <c r="EV9" i="11" s="1"/>
  <c r="AB33" i="45"/>
  <c r="HE6" i="13"/>
  <c r="AB3" i="45"/>
  <c r="R6" i="52"/>
  <c r="Q6" i="52"/>
  <c r="P6" i="52"/>
  <c r="N6" i="52"/>
  <c r="N6" i="44"/>
  <c r="L6" i="44" s="1"/>
  <c r="O6" i="52"/>
  <c r="P5" i="42"/>
  <c r="DT7" i="14"/>
  <c r="AA33" i="45"/>
  <c r="HB6" i="13"/>
  <c r="AA3" i="45"/>
  <c r="O23" i="54"/>
  <c r="R23" i="54"/>
  <c r="Q23" i="54"/>
  <c r="P23" i="54"/>
  <c r="N23" i="54"/>
  <c r="N23" i="45"/>
  <c r="L23" i="45" s="1"/>
  <c r="Q25" i="42"/>
  <c r="EX23" i="10"/>
  <c r="EV23" i="10" s="1"/>
  <c r="EX8" i="10"/>
  <c r="EV8" i="10" s="1"/>
  <c r="EX30" i="10"/>
  <c r="EV30" i="10" s="1"/>
  <c r="O3" i="71"/>
  <c r="JB7" i="14"/>
  <c r="P3" i="75"/>
  <c r="JW7" i="14"/>
  <c r="R3" i="69"/>
  <c r="IU7" i="14"/>
  <c r="CO6" i="11"/>
  <c r="CO6" i="10"/>
  <c r="R14" i="74"/>
  <c r="Q14" i="74"/>
  <c r="P14" i="74"/>
  <c r="O14" i="74"/>
  <c r="N14" i="74"/>
  <c r="Q14" i="62"/>
  <c r="N14" i="65"/>
  <c r="L14" i="65" s="1"/>
  <c r="R34" i="56"/>
  <c r="Q34" i="56"/>
  <c r="P34" i="56"/>
  <c r="O34" i="56"/>
  <c r="N34" i="56"/>
  <c r="N34" i="46"/>
  <c r="L34" i="46" s="1"/>
  <c r="R33" i="42"/>
  <c r="R12" i="72"/>
  <c r="Q12" i="72"/>
  <c r="P12" i="72"/>
  <c r="O12" i="72"/>
  <c r="N12" i="72"/>
  <c r="N12" i="64"/>
  <c r="L12" i="64" s="1"/>
  <c r="P12" i="62"/>
  <c r="EX36" i="10"/>
  <c r="EV36" i="10" s="1"/>
  <c r="R3" i="73"/>
  <c r="JO7" i="14"/>
  <c r="AD6" i="63"/>
  <c r="GP6" i="14"/>
  <c r="AD3" i="63"/>
  <c r="R26" i="50"/>
  <c r="Q26" i="50"/>
  <c r="P26" i="50"/>
  <c r="O26" i="50"/>
  <c r="N26" i="50"/>
  <c r="N26" i="43"/>
  <c r="O27" i="42"/>
  <c r="O19" i="40"/>
  <c r="FU12" i="13"/>
  <c r="K23" i="40"/>
  <c r="Z23" i="42"/>
  <c r="EU18" i="13"/>
  <c r="Q17" i="50"/>
  <c r="R17" i="50"/>
  <c r="P17" i="50"/>
  <c r="O17" i="50"/>
  <c r="N17" i="50"/>
  <c r="O17" i="42"/>
  <c r="N17" i="43"/>
  <c r="L17" i="43" s="1"/>
  <c r="I9" i="25"/>
  <c r="K9" i="25"/>
  <c r="BS6" i="11"/>
  <c r="BS6" i="10"/>
  <c r="Q17" i="52"/>
  <c r="R17" i="52"/>
  <c r="P17" i="52"/>
  <c r="O17" i="52"/>
  <c r="N17" i="52"/>
  <c r="N17" i="44"/>
  <c r="L17" i="44" s="1"/>
  <c r="P27" i="42"/>
  <c r="FX20" i="10"/>
  <c r="FX24" i="10"/>
  <c r="FX39" i="10"/>
  <c r="FX13" i="10"/>
  <c r="O11" i="60"/>
  <c r="FU13" i="14"/>
  <c r="O6" i="60"/>
  <c r="FU9" i="14"/>
  <c r="FX16" i="10"/>
  <c r="O29" i="40"/>
  <c r="FU33" i="13"/>
  <c r="Q31" i="52"/>
  <c r="N31" i="52"/>
  <c r="O31" i="52"/>
  <c r="R31" i="52"/>
  <c r="P31" i="52"/>
  <c r="P26" i="42"/>
  <c r="N31" i="44"/>
  <c r="L31" i="44" s="1"/>
  <c r="P12" i="26"/>
  <c r="HO14" i="14"/>
  <c r="P8" i="66" s="1"/>
  <c r="HO46" i="13"/>
  <c r="HO32" i="13"/>
  <c r="P16" i="46" s="1"/>
  <c r="HO30" i="13"/>
  <c r="P10" i="46" s="1"/>
  <c r="HO39" i="13"/>
  <c r="HO28" i="13"/>
  <c r="P13" i="46" s="1"/>
  <c r="HO44" i="13"/>
  <c r="HO42" i="13"/>
  <c r="HO35" i="13"/>
  <c r="P31" i="46" s="1"/>
  <c r="HO9" i="14"/>
  <c r="P5" i="66" s="1"/>
  <c r="HO15" i="14"/>
  <c r="P7" i="66" s="1"/>
  <c r="HO8" i="14"/>
  <c r="HO17" i="14"/>
  <c r="P13" i="66" s="1"/>
  <c r="HO13" i="13"/>
  <c r="P12" i="46" s="1"/>
  <c r="HO14" i="13"/>
  <c r="P5" i="46" s="1"/>
  <c r="HO8" i="13"/>
  <c r="HO10" i="14"/>
  <c r="P9" i="66" s="1"/>
  <c r="HO23" i="13"/>
  <c r="P14" i="46" s="1"/>
  <c r="HO18" i="13"/>
  <c r="P24" i="46" s="1"/>
  <c r="HO26" i="13"/>
  <c r="P15" i="46" s="1"/>
  <c r="HO13" i="14"/>
  <c r="P11" i="66" s="1"/>
  <c r="HO43" i="13"/>
  <c r="HO11" i="14"/>
  <c r="P4" i="66" s="1"/>
  <c r="HO19" i="14"/>
  <c r="HO24" i="13"/>
  <c r="P19" i="46" s="1"/>
  <c r="HO40" i="13"/>
  <c r="HO41" i="13"/>
  <c r="HO47" i="13"/>
  <c r="HO11" i="13"/>
  <c r="P20" i="46" s="1"/>
  <c r="HO12" i="13"/>
  <c r="P21" i="46" s="1"/>
  <c r="HO17" i="13"/>
  <c r="P29" i="46" s="1"/>
  <c r="HO22" i="13"/>
  <c r="P8" i="46" s="1"/>
  <c r="HO27" i="13"/>
  <c r="P9" i="46" s="1"/>
  <c r="HO38" i="13"/>
  <c r="P28" i="46" s="1"/>
  <c r="HO45" i="13"/>
  <c r="HO25" i="13"/>
  <c r="P34" i="46" s="1"/>
  <c r="HO29" i="13"/>
  <c r="P25" i="46" s="1"/>
  <c r="HO12" i="14"/>
  <c r="P10" i="66" s="1"/>
  <c r="HO37" i="13"/>
  <c r="P32" i="46" s="1"/>
  <c r="HO16" i="14"/>
  <c r="P12" i="66" s="1"/>
  <c r="HO15" i="13"/>
  <c r="P23" i="46" s="1"/>
  <c r="HO36" i="13"/>
  <c r="P22" i="46" s="1"/>
  <c r="HO10" i="13"/>
  <c r="P27" i="46" s="1"/>
  <c r="HO31" i="13"/>
  <c r="P11" i="46" s="1"/>
  <c r="HR6" i="9"/>
  <c r="HT7" i="9" s="1"/>
  <c r="HO19" i="13"/>
  <c r="P4" i="46" s="1"/>
  <c r="HO34" i="13"/>
  <c r="P33" i="46" s="1"/>
  <c r="HO21" i="13"/>
  <c r="P17" i="46" s="1"/>
  <c r="HO9" i="13"/>
  <c r="P6" i="46" s="1"/>
  <c r="HO33" i="13"/>
  <c r="P30" i="46" s="1"/>
  <c r="HO18" i="14"/>
  <c r="P14" i="66" s="1"/>
  <c r="HO20" i="13"/>
  <c r="P26" i="46" s="1"/>
  <c r="HO16" i="13"/>
  <c r="P7" i="46" s="1"/>
  <c r="K7" i="60"/>
  <c r="Z7" i="62"/>
  <c r="K3" i="60"/>
  <c r="Z3" i="62"/>
  <c r="EU8" i="14"/>
  <c r="ET8" i="14" s="1"/>
  <c r="M7" i="60" s="1"/>
  <c r="K6" i="60"/>
  <c r="Z6" i="62"/>
  <c r="EU9" i="14"/>
  <c r="Q29" i="52"/>
  <c r="R29" i="52"/>
  <c r="N29" i="52"/>
  <c r="O29" i="52"/>
  <c r="P29" i="52"/>
  <c r="N29" i="44"/>
  <c r="L29" i="44" s="1"/>
  <c r="P11" i="42"/>
  <c r="R4" i="52"/>
  <c r="Q4" i="52"/>
  <c r="P4" i="52"/>
  <c r="O4" i="52"/>
  <c r="N4" i="52"/>
  <c r="P4" i="42"/>
  <c r="N4" i="44"/>
  <c r="N21" i="54"/>
  <c r="O21" i="54"/>
  <c r="R21" i="54"/>
  <c r="Q21" i="54"/>
  <c r="N21" i="45"/>
  <c r="L21" i="45" s="1"/>
  <c r="P21" i="54"/>
  <c r="Q23" i="42"/>
  <c r="AB18" i="43"/>
  <c r="GJ6" i="13"/>
  <c r="AB3" i="43"/>
  <c r="EX32" i="10"/>
  <c r="EV32" i="10" s="1"/>
  <c r="O16" i="50"/>
  <c r="R16" i="50"/>
  <c r="Q16" i="50"/>
  <c r="P16" i="50"/>
  <c r="N16" i="50"/>
  <c r="N16" i="43"/>
  <c r="L16" i="43" s="1"/>
  <c r="O16" i="42"/>
  <c r="Q7" i="56"/>
  <c r="P7" i="56"/>
  <c r="O7" i="56"/>
  <c r="N7" i="56"/>
  <c r="R7" i="56"/>
  <c r="N7" i="46"/>
  <c r="L7" i="46" s="1"/>
  <c r="R8" i="42"/>
  <c r="AA5" i="65"/>
  <c r="HB6" i="14"/>
  <c r="AA3" i="65"/>
  <c r="O25" i="50"/>
  <c r="N25" i="50"/>
  <c r="N25" i="43"/>
  <c r="Q25" i="50"/>
  <c r="P25" i="50"/>
  <c r="R25" i="50"/>
  <c r="O24" i="42"/>
  <c r="N18" i="50"/>
  <c r="R18" i="50"/>
  <c r="Q18" i="50"/>
  <c r="P18" i="50"/>
  <c r="N18" i="43"/>
  <c r="L18" i="43" s="1"/>
  <c r="O18" i="50"/>
  <c r="O21" i="42"/>
  <c r="EX6" i="13"/>
  <c r="N3" i="43"/>
  <c r="Q3" i="50"/>
  <c r="O3" i="42"/>
  <c r="P3" i="50"/>
  <c r="N3" i="50"/>
  <c r="R3" i="50"/>
  <c r="O3" i="50"/>
  <c r="O8" i="50"/>
  <c r="Q8" i="50"/>
  <c r="P8" i="50"/>
  <c r="R8" i="50"/>
  <c r="N8" i="50"/>
  <c r="N8" i="43"/>
  <c r="L8" i="43" s="1"/>
  <c r="O9" i="42"/>
  <c r="P3" i="71"/>
  <c r="JC7" i="14"/>
  <c r="R3" i="75"/>
  <c r="JY7" i="14"/>
  <c r="P3" i="49"/>
  <c r="IS7" i="13"/>
  <c r="DM7" i="13"/>
  <c r="EX10" i="10"/>
  <c r="EV10" i="10" s="1"/>
  <c r="DT7" i="13"/>
  <c r="FX9" i="10"/>
  <c r="HT6" i="11"/>
  <c r="HT6" i="10"/>
  <c r="Z17" i="42"/>
  <c r="K17" i="40"/>
  <c r="EU21" i="13"/>
  <c r="Q9" i="50"/>
  <c r="P9" i="50"/>
  <c r="O9" i="50"/>
  <c r="N9" i="50"/>
  <c r="R9" i="50"/>
  <c r="N9" i="43"/>
  <c r="L9" i="43" s="1"/>
  <c r="O6" i="42"/>
  <c r="R9" i="72"/>
  <c r="Q9" i="72"/>
  <c r="P9" i="72"/>
  <c r="O9" i="72"/>
  <c r="N9" i="72"/>
  <c r="P8" i="62"/>
  <c r="N9" i="64"/>
  <c r="L9" i="64" s="1"/>
  <c r="BV6" i="11"/>
  <c r="BV6" i="10"/>
  <c r="AA18" i="46"/>
  <c r="HT6" i="13"/>
  <c r="AA3" i="46"/>
  <c r="FX9" i="11"/>
  <c r="FX35" i="10"/>
  <c r="FX17" i="11"/>
  <c r="FX8" i="11"/>
  <c r="FX8" i="10"/>
  <c r="O10" i="60"/>
  <c r="FU10" i="14"/>
  <c r="FX25" i="10"/>
  <c r="O12" i="60"/>
  <c r="FU16" i="14"/>
  <c r="AA23" i="44"/>
  <c r="GY6" i="13"/>
  <c r="AA3" i="44"/>
  <c r="EX39" i="10"/>
  <c r="EV39" i="10" s="1"/>
  <c r="Q24" i="52"/>
  <c r="O24" i="52"/>
  <c r="N24" i="52"/>
  <c r="R24" i="52"/>
  <c r="P24" i="52"/>
  <c r="N24" i="44"/>
  <c r="L24" i="44" s="1"/>
  <c r="P28" i="42"/>
  <c r="Q9" i="56"/>
  <c r="P9" i="56"/>
  <c r="O9" i="56"/>
  <c r="N9" i="56"/>
  <c r="R9" i="56"/>
  <c r="R11" i="42"/>
  <c r="N9" i="46"/>
  <c r="L9" i="46" s="1"/>
  <c r="R13" i="70"/>
  <c r="Q13" i="70"/>
  <c r="P13" i="70"/>
  <c r="O13" i="70"/>
  <c r="N13" i="70"/>
  <c r="O13" i="62"/>
  <c r="N13" i="63"/>
  <c r="L13" i="63" s="1"/>
  <c r="R10" i="50"/>
  <c r="Q10" i="50"/>
  <c r="P10" i="50"/>
  <c r="O10" i="50"/>
  <c r="N10" i="50"/>
  <c r="N10" i="43"/>
  <c r="L10" i="43" s="1"/>
  <c r="O11" i="42"/>
  <c r="Q13" i="52"/>
  <c r="P13" i="52"/>
  <c r="O13" i="52"/>
  <c r="N13" i="52"/>
  <c r="R13" i="52"/>
  <c r="N13" i="44"/>
  <c r="P18" i="42"/>
  <c r="HK6" i="11"/>
  <c r="HK6" i="10"/>
  <c r="Q7" i="54"/>
  <c r="P7" i="54"/>
  <c r="O7" i="54"/>
  <c r="N7" i="54"/>
  <c r="R7" i="54"/>
  <c r="Q9" i="42"/>
  <c r="N7" i="45"/>
  <c r="K16" i="40"/>
  <c r="Z16" i="42"/>
  <c r="EU32" i="13"/>
  <c r="R6" i="72"/>
  <c r="Q6" i="72"/>
  <c r="P6" i="72"/>
  <c r="N6" i="72"/>
  <c r="O6" i="72"/>
  <c r="P6" i="62"/>
  <c r="N6" i="64"/>
  <c r="L6" i="64" s="1"/>
  <c r="P9" i="25"/>
  <c r="HC38" i="13"/>
  <c r="P34" i="45" s="1"/>
  <c r="HC43" i="13"/>
  <c r="HC16" i="14"/>
  <c r="P12" i="65" s="1"/>
  <c r="HC11" i="13"/>
  <c r="P19" i="45" s="1"/>
  <c r="HC39" i="13"/>
  <c r="HC22" i="13"/>
  <c r="P7" i="45" s="1"/>
  <c r="HC24" i="13"/>
  <c r="P17" i="45" s="1"/>
  <c r="HC10" i="14"/>
  <c r="P8" i="65" s="1"/>
  <c r="HC18" i="14"/>
  <c r="P14" i="65" s="1"/>
  <c r="HC32" i="13"/>
  <c r="P16" i="45" s="1"/>
  <c r="HC8" i="14"/>
  <c r="HC35" i="13"/>
  <c r="P28" i="45" s="1"/>
  <c r="HC30" i="13"/>
  <c r="P10" i="45" s="1"/>
  <c r="HC45" i="13"/>
  <c r="HC17" i="13"/>
  <c r="P26" i="45" s="1"/>
  <c r="HC9" i="13"/>
  <c r="P5" i="45" s="1"/>
  <c r="HC27" i="13"/>
  <c r="P9" i="45" s="1"/>
  <c r="HC19" i="13"/>
  <c r="P4" i="45" s="1"/>
  <c r="HC36" i="13"/>
  <c r="P31" i="45" s="1"/>
  <c r="HF6" i="9"/>
  <c r="HC13" i="13"/>
  <c r="P25" i="45" s="1"/>
  <c r="HC16" i="13"/>
  <c r="P6" i="45" s="1"/>
  <c r="HC23" i="13"/>
  <c r="P11" i="45" s="1"/>
  <c r="HC8" i="13"/>
  <c r="HC33" i="13"/>
  <c r="P27" i="45" s="1"/>
  <c r="HC12" i="14"/>
  <c r="P7" i="65" s="1"/>
  <c r="HC12" i="13"/>
  <c r="P13" i="45" s="1"/>
  <c r="HC28" i="13"/>
  <c r="P12" i="45" s="1"/>
  <c r="HC11" i="14"/>
  <c r="P4" i="65" s="1"/>
  <c r="HC47" i="13"/>
  <c r="HC46" i="13"/>
  <c r="HC21" i="13"/>
  <c r="P18" i="45" s="1"/>
  <c r="HC37" i="13"/>
  <c r="P29" i="45" s="1"/>
  <c r="HC15" i="13"/>
  <c r="P20" i="45" s="1"/>
  <c r="HC25" i="13"/>
  <c r="P32" i="45" s="1"/>
  <c r="HC19" i="14"/>
  <c r="HC14" i="13"/>
  <c r="P15" i="45" s="1"/>
  <c r="HC44" i="13"/>
  <c r="HC29" i="13"/>
  <c r="P22" i="45" s="1"/>
  <c r="HC14" i="14"/>
  <c r="P9" i="65" s="1"/>
  <c r="HC9" i="14"/>
  <c r="P11" i="65" s="1"/>
  <c r="HC31" i="13"/>
  <c r="P8" i="45" s="1"/>
  <c r="HC17" i="14"/>
  <c r="P13" i="65" s="1"/>
  <c r="HC26" i="13"/>
  <c r="P14" i="45" s="1"/>
  <c r="HC34" i="13"/>
  <c r="P30" i="45" s="1"/>
  <c r="HC13" i="14"/>
  <c r="P10" i="65" s="1"/>
  <c r="HC20" i="13"/>
  <c r="P23" i="45" s="1"/>
  <c r="HC10" i="13"/>
  <c r="P24" i="45" s="1"/>
  <c r="HC42" i="13"/>
  <c r="HC40" i="13"/>
  <c r="HC15" i="14"/>
  <c r="P6" i="65" s="1"/>
  <c r="HC41" i="13"/>
  <c r="HC18" i="13"/>
  <c r="P21" i="45" s="1"/>
  <c r="R27" i="50"/>
  <c r="N27" i="50"/>
  <c r="O26" i="42"/>
  <c r="N27" i="43"/>
  <c r="Q27" i="50"/>
  <c r="P27" i="50"/>
  <c r="O27" i="50"/>
  <c r="Z24" i="42"/>
  <c r="K24" i="40"/>
  <c r="EU15" i="13"/>
  <c r="EX8" i="11"/>
  <c r="EV8" i="11" s="1"/>
  <c r="DU7" i="14"/>
  <c r="R13" i="74"/>
  <c r="Q13" i="74"/>
  <c r="P13" i="74"/>
  <c r="O13" i="74"/>
  <c r="N13" i="74"/>
  <c r="N13" i="65"/>
  <c r="L13" i="65" s="1"/>
  <c r="Q13" i="62"/>
  <c r="R30" i="56"/>
  <c r="O30" i="56"/>
  <c r="N30" i="56"/>
  <c r="Q30" i="56"/>
  <c r="N30" i="46"/>
  <c r="L30" i="46" s="1"/>
  <c r="P30" i="56"/>
  <c r="R29" i="42"/>
  <c r="K9" i="40"/>
  <c r="Z9" i="42"/>
  <c r="EU22" i="13"/>
  <c r="O7" i="52"/>
  <c r="P7" i="52"/>
  <c r="N7" i="52"/>
  <c r="R7" i="52"/>
  <c r="Q7" i="52"/>
  <c r="N7" i="44"/>
  <c r="P10" i="42"/>
  <c r="FD6" i="11"/>
  <c r="FD6" i="10"/>
  <c r="FF7" i="10" s="1"/>
  <c r="FA1" i="9"/>
  <c r="FE7" i="9"/>
  <c r="FJ6" i="11"/>
  <c r="FL7" i="11" s="1"/>
  <c r="FJ6" i="10"/>
  <c r="FL7" i="10" s="1"/>
  <c r="FI1" i="9"/>
  <c r="FK7" i="9"/>
  <c r="Q3" i="49"/>
  <c r="IT7" i="13"/>
  <c r="ER7" i="10"/>
  <c r="DK7" i="13"/>
  <c r="FL7" i="9"/>
  <c r="Q20" i="56"/>
  <c r="R20" i="56"/>
  <c r="P20" i="56"/>
  <c r="O20" i="56"/>
  <c r="N20" i="56"/>
  <c r="N20" i="46"/>
  <c r="L20" i="46" s="1"/>
  <c r="R20" i="42"/>
  <c r="Q15" i="52"/>
  <c r="R15" i="52"/>
  <c r="P15" i="52"/>
  <c r="O15" i="52"/>
  <c r="N15" i="52"/>
  <c r="N15" i="44"/>
  <c r="P20" i="42"/>
  <c r="EG7" i="14"/>
  <c r="O7" i="60"/>
  <c r="FU8" i="14"/>
  <c r="O3" i="60"/>
  <c r="HQ6" i="11"/>
  <c r="HQ6" i="10"/>
  <c r="FX15" i="10"/>
  <c r="R6" i="56"/>
  <c r="O6" i="56"/>
  <c r="Q6" i="56"/>
  <c r="P6" i="56"/>
  <c r="N6" i="56"/>
  <c r="N6" i="46"/>
  <c r="L6" i="46" s="1"/>
  <c r="R7" i="42"/>
  <c r="Q3" i="53"/>
  <c r="JN7" i="13"/>
  <c r="EX33" i="10"/>
  <c r="EV33" i="10" s="1"/>
  <c r="Z6" i="42"/>
  <c r="K6" i="40"/>
  <c r="EU30" i="13"/>
  <c r="EX16" i="11"/>
  <c r="EV16" i="11" s="1"/>
  <c r="DP7" i="10"/>
  <c r="FX42" i="10"/>
  <c r="FX13" i="11"/>
  <c r="O5" i="40"/>
  <c r="FU14" i="13"/>
  <c r="O8" i="60"/>
  <c r="FU12" i="14"/>
  <c r="FX17" i="10"/>
  <c r="FX12" i="10"/>
  <c r="FX38" i="10"/>
  <c r="EW21" i="9"/>
  <c r="M7" i="20" s="1"/>
  <c r="EX41" i="10"/>
  <c r="EV41" i="10" s="1"/>
  <c r="O13" i="54"/>
  <c r="N13" i="54"/>
  <c r="R13" i="54"/>
  <c r="Q13" i="54"/>
  <c r="Q19" i="42"/>
  <c r="N13" i="45"/>
  <c r="L13" i="45" s="1"/>
  <c r="P13" i="54"/>
  <c r="Q11" i="23"/>
  <c r="GK39" i="13"/>
  <c r="GK37" i="13"/>
  <c r="Q32" i="43" s="1"/>
  <c r="GK15" i="13"/>
  <c r="Q25" i="43" s="1"/>
  <c r="GK27" i="13"/>
  <c r="Q10" i="43" s="1"/>
  <c r="GK47" i="13"/>
  <c r="GK38" i="13"/>
  <c r="Q31" i="43" s="1"/>
  <c r="GK22" i="13"/>
  <c r="Q8" i="43" s="1"/>
  <c r="GK32" i="13"/>
  <c r="Q16" i="43" s="1"/>
  <c r="GK16" i="13"/>
  <c r="Q7" i="43" s="1"/>
  <c r="GK45" i="13"/>
  <c r="GK24" i="13"/>
  <c r="Q19" i="43" s="1"/>
  <c r="GK8" i="14"/>
  <c r="GK35" i="13"/>
  <c r="Q30" i="43" s="1"/>
  <c r="GK43" i="13"/>
  <c r="GK17" i="13"/>
  <c r="Q28" i="43" s="1"/>
  <c r="GK12" i="14"/>
  <c r="Q8" i="63" s="1"/>
  <c r="GK29" i="13"/>
  <c r="Q27" i="43" s="1"/>
  <c r="GK19" i="14"/>
  <c r="GK25" i="13"/>
  <c r="Q34" i="43" s="1"/>
  <c r="GK9" i="14"/>
  <c r="Q5" i="63" s="1"/>
  <c r="GK42" i="13"/>
  <c r="GK13" i="14"/>
  <c r="Q11" i="63" s="1"/>
  <c r="GK21" i="13"/>
  <c r="Q17" i="43" s="1"/>
  <c r="GK9" i="13"/>
  <c r="Q6" i="43" s="1"/>
  <c r="GK18" i="13"/>
  <c r="Q24" i="43" s="1"/>
  <c r="GK14" i="14"/>
  <c r="Q9" i="63" s="1"/>
  <c r="GK13" i="13"/>
  <c r="Q12" i="43" s="1"/>
  <c r="GK34" i="13"/>
  <c r="Q33" i="43" s="1"/>
  <c r="GK19" i="13"/>
  <c r="Q4" i="43" s="1"/>
  <c r="GK20" i="13"/>
  <c r="Q23" i="43" s="1"/>
  <c r="GK28" i="13"/>
  <c r="Q13" i="43" s="1"/>
  <c r="GK40" i="13"/>
  <c r="GK46" i="13"/>
  <c r="GK33" i="13"/>
  <c r="Q29" i="43" s="1"/>
  <c r="GN6" i="9"/>
  <c r="GP7" i="9" s="1"/>
  <c r="GK11" i="13"/>
  <c r="Q21" i="43" s="1"/>
  <c r="GK15" i="14"/>
  <c r="Q7" i="63" s="1"/>
  <c r="GK18" i="14"/>
  <c r="Q14" i="63" s="1"/>
  <c r="GK36" i="13"/>
  <c r="Q22" i="43" s="1"/>
  <c r="GK10" i="13"/>
  <c r="Q26" i="43" s="1"/>
  <c r="GK14" i="13"/>
  <c r="Q5" i="43" s="1"/>
  <c r="GK11" i="14"/>
  <c r="Q4" i="63" s="1"/>
  <c r="GK10" i="14"/>
  <c r="Q10" i="63" s="1"/>
  <c r="GK16" i="14"/>
  <c r="Q12" i="63" s="1"/>
  <c r="GK41" i="13"/>
  <c r="GK44" i="13"/>
  <c r="GK8" i="13"/>
  <c r="GK23" i="13"/>
  <c r="Q14" i="43" s="1"/>
  <c r="GK30" i="13"/>
  <c r="Q9" i="43" s="1"/>
  <c r="GK17" i="14"/>
  <c r="Q13" i="63" s="1"/>
  <c r="GK31" i="13"/>
  <c r="Q11" i="43" s="1"/>
  <c r="GK26" i="13"/>
  <c r="Q15" i="43" s="1"/>
  <c r="GK12" i="13"/>
  <c r="Q20" i="43" s="1"/>
  <c r="CA6" i="11"/>
  <c r="CA6" i="10"/>
  <c r="O10" i="54"/>
  <c r="R10" i="54"/>
  <c r="Q10" i="54"/>
  <c r="P10" i="54"/>
  <c r="N10" i="54"/>
  <c r="N10" i="45"/>
  <c r="L10" i="45" s="1"/>
  <c r="Q6" i="42"/>
  <c r="EE7" i="13"/>
  <c r="Z13" i="62"/>
  <c r="K13" i="60"/>
  <c r="EU17" i="14"/>
  <c r="Z11" i="42"/>
  <c r="K11" i="40"/>
  <c r="EU27" i="13"/>
  <c r="R4" i="56"/>
  <c r="P4" i="56"/>
  <c r="Q4" i="56"/>
  <c r="O4" i="56"/>
  <c r="N4" i="56"/>
  <c r="R4" i="42"/>
  <c r="N4" i="46"/>
  <c r="Z26" i="42"/>
  <c r="K26" i="40"/>
  <c r="EU29" i="13"/>
  <c r="EX9" i="10"/>
  <c r="EV9" i="10" s="1"/>
  <c r="O30" i="52"/>
  <c r="R30" i="52"/>
  <c r="P30" i="52"/>
  <c r="N30" i="52"/>
  <c r="Q30" i="52"/>
  <c r="N30" i="44"/>
  <c r="L30" i="44" s="1"/>
  <c r="P13" i="42"/>
  <c r="DL7" i="13"/>
  <c r="Q22" i="52"/>
  <c r="P22" i="52"/>
  <c r="O22" i="52"/>
  <c r="N22" i="52"/>
  <c r="N22" i="44"/>
  <c r="R22" i="52"/>
  <c r="P33" i="42"/>
  <c r="O3" i="51"/>
  <c r="JB7" i="13"/>
  <c r="N3" i="55"/>
  <c r="JU7" i="13"/>
  <c r="C78" i="31"/>
  <c r="C51" i="34"/>
  <c r="C65" i="36"/>
  <c r="C60" i="30"/>
  <c r="C65" i="35"/>
  <c r="C78" i="32"/>
  <c r="C51" i="33"/>
  <c r="C66" i="28"/>
  <c r="C66" i="27"/>
  <c r="C37" i="29"/>
  <c r="D78" i="24"/>
  <c r="D62" i="26"/>
  <c r="D47" i="25"/>
  <c r="D63" i="20"/>
  <c r="D58" i="23"/>
  <c r="D63" i="22"/>
  <c r="C33" i="17"/>
  <c r="C51" i="12"/>
  <c r="A42" i="9"/>
  <c r="R3" i="49"/>
  <c r="IU7" i="13"/>
  <c r="ER7" i="11"/>
  <c r="R9" i="76"/>
  <c r="Q9" i="76"/>
  <c r="P9" i="76"/>
  <c r="O9" i="76"/>
  <c r="N9" i="76"/>
  <c r="N9" i="66"/>
  <c r="R10" i="62"/>
  <c r="N34" i="50"/>
  <c r="P34" i="50"/>
  <c r="O33" i="42"/>
  <c r="N34" i="43"/>
  <c r="R34" i="50"/>
  <c r="Q34" i="50"/>
  <c r="O34" i="50"/>
  <c r="O17" i="54"/>
  <c r="P17" i="54"/>
  <c r="R17" i="54"/>
  <c r="Q17" i="54"/>
  <c r="N17" i="45"/>
  <c r="L17" i="45" s="1"/>
  <c r="N17" i="54"/>
  <c r="Q18" i="42"/>
  <c r="O15" i="56"/>
  <c r="N15" i="56"/>
  <c r="R15" i="56"/>
  <c r="Q15" i="56"/>
  <c r="P15" i="56"/>
  <c r="N15" i="46"/>
  <c r="L15" i="46" s="1"/>
  <c r="R14" i="42"/>
  <c r="AD5" i="65"/>
  <c r="HK6" i="14"/>
  <c r="AD3" i="65"/>
  <c r="R12" i="54"/>
  <c r="Q12" i="54"/>
  <c r="P12" i="54"/>
  <c r="N12" i="54"/>
  <c r="O12" i="54"/>
  <c r="N12" i="45"/>
  <c r="L12" i="45" s="1"/>
  <c r="Q13" i="42"/>
  <c r="AA18" i="43"/>
  <c r="GG6" i="13"/>
  <c r="AA3" i="43"/>
  <c r="O31" i="40"/>
  <c r="FU35" i="13"/>
  <c r="EX27" i="10"/>
  <c r="EV27" i="10" s="1"/>
  <c r="R3" i="53"/>
  <c r="JO7" i="13"/>
  <c r="GJ6" i="11"/>
  <c r="GJ6" i="10"/>
  <c r="DM7" i="11"/>
  <c r="AD18" i="43"/>
  <c r="GP6" i="13"/>
  <c r="AD3" i="43"/>
  <c r="R21" i="50"/>
  <c r="Q21" i="50"/>
  <c r="P21" i="50"/>
  <c r="O21" i="50"/>
  <c r="N21" i="50"/>
  <c r="N21" i="43"/>
  <c r="L21" i="43" s="1"/>
  <c r="O20" i="42"/>
  <c r="N11" i="52"/>
  <c r="R11" i="52"/>
  <c r="Q11" i="52"/>
  <c r="O11" i="52"/>
  <c r="P11" i="52"/>
  <c r="N11" i="44"/>
  <c r="L11" i="44" s="1"/>
  <c r="P15" i="42"/>
  <c r="DP7" i="11"/>
  <c r="FX20" i="11"/>
  <c r="O23" i="40"/>
  <c r="FU18" i="13"/>
  <c r="O22" i="40"/>
  <c r="FU36" i="13"/>
  <c r="O25" i="40"/>
  <c r="FU20" i="13"/>
  <c r="FX30" i="10"/>
  <c r="FX21" i="10"/>
  <c r="FX16" i="11"/>
  <c r="O14" i="52"/>
  <c r="R14" i="52"/>
  <c r="Q14" i="52"/>
  <c r="P14" i="52"/>
  <c r="N14" i="52"/>
  <c r="N14" i="44"/>
  <c r="P19" i="42"/>
  <c r="L9" i="25"/>
  <c r="AC6" i="63"/>
  <c r="GM6" i="14"/>
  <c r="AC3" i="63"/>
  <c r="R33" i="50"/>
  <c r="P33" i="50"/>
  <c r="O33" i="50"/>
  <c r="Q33" i="50"/>
  <c r="N33" i="50"/>
  <c r="N33" i="43"/>
  <c r="L33" i="43" s="1"/>
  <c r="O34" i="42"/>
  <c r="Q10" i="52"/>
  <c r="R10" i="52"/>
  <c r="P10" i="52"/>
  <c r="N10" i="52"/>
  <c r="O10" i="52"/>
  <c r="N10" i="44"/>
  <c r="L10" i="44" s="1"/>
  <c r="P7" i="42"/>
  <c r="Q19" i="52"/>
  <c r="P19" i="52"/>
  <c r="N19" i="52"/>
  <c r="R19" i="52"/>
  <c r="N19" i="44"/>
  <c r="P31" i="42"/>
  <c r="O19" i="52"/>
  <c r="EG7" i="13"/>
  <c r="DX7" i="10"/>
  <c r="EX29" i="10"/>
  <c r="EV29" i="10" s="1"/>
  <c r="HN6" i="11"/>
  <c r="HN6" i="10"/>
  <c r="O13" i="50"/>
  <c r="P13" i="50"/>
  <c r="N13" i="50"/>
  <c r="R13" i="50"/>
  <c r="Q13" i="50"/>
  <c r="N13" i="43"/>
  <c r="L13" i="43" s="1"/>
  <c r="O13" i="42"/>
  <c r="O8" i="56"/>
  <c r="N8" i="56"/>
  <c r="Q8" i="56"/>
  <c r="P8" i="56"/>
  <c r="R8" i="56"/>
  <c r="N8" i="46"/>
  <c r="L8" i="46" s="1"/>
  <c r="R9" i="42"/>
  <c r="EX17" i="10"/>
  <c r="EV17" i="10" s="1"/>
  <c r="Z21" i="42"/>
  <c r="K21" i="40"/>
  <c r="K3" i="40"/>
  <c r="Z3" i="42"/>
  <c r="EU8" i="13"/>
  <c r="R3" i="51"/>
  <c r="JE7" i="13"/>
  <c r="Q3" i="55"/>
  <c r="JX7" i="13"/>
  <c r="O3" i="69"/>
  <c r="IR7" i="14"/>
  <c r="R6" i="74"/>
  <c r="Q6" i="74"/>
  <c r="P6" i="74"/>
  <c r="O6" i="74"/>
  <c r="N6" i="74"/>
  <c r="Q5" i="62"/>
  <c r="N6" i="65"/>
  <c r="L6" i="65" s="1"/>
  <c r="Z33" i="42"/>
  <c r="K33" i="40"/>
  <c r="EU25" i="13"/>
  <c r="DV7" i="13"/>
  <c r="CN6" i="11"/>
  <c r="CN6" i="10"/>
  <c r="R15" i="54"/>
  <c r="N15" i="54"/>
  <c r="N15" i="45"/>
  <c r="Q15" i="54"/>
  <c r="P15" i="54"/>
  <c r="O15" i="54"/>
  <c r="Q5" i="42"/>
  <c r="CH6" i="11"/>
  <c r="CH6" i="10"/>
  <c r="N3" i="75"/>
  <c r="JU7" i="14"/>
  <c r="K12" i="40"/>
  <c r="Z12" i="42"/>
  <c r="EU13" i="13"/>
  <c r="Q11" i="54"/>
  <c r="P11" i="54"/>
  <c r="N11" i="54"/>
  <c r="N11" i="45"/>
  <c r="R11" i="54"/>
  <c r="O11" i="54"/>
  <c r="Q15" i="42"/>
  <c r="R22" i="50"/>
  <c r="P22" i="50"/>
  <c r="O22" i="50"/>
  <c r="N22" i="50"/>
  <c r="Q22" i="50"/>
  <c r="O22" i="42"/>
  <c r="N22" i="43"/>
  <c r="O5" i="52"/>
  <c r="N5" i="52"/>
  <c r="R5" i="52"/>
  <c r="Q5" i="52"/>
  <c r="P5" i="52"/>
  <c r="N5" i="44"/>
  <c r="L5" i="44" s="1"/>
  <c r="P6" i="42"/>
  <c r="N3" i="73"/>
  <c r="JK7" i="14"/>
  <c r="AA6" i="63"/>
  <c r="GG6" i="14"/>
  <c r="AA3" i="63"/>
  <c r="EX21" i="10"/>
  <c r="EV21" i="10" s="1"/>
  <c r="R19" i="56"/>
  <c r="P19" i="56"/>
  <c r="O19" i="56"/>
  <c r="Q19" i="56"/>
  <c r="N19" i="56"/>
  <c r="N19" i="46"/>
  <c r="L19" i="46" s="1"/>
  <c r="R18" i="42"/>
  <c r="Z20" i="42"/>
  <c r="K20" i="40"/>
  <c r="EU11" i="13"/>
  <c r="Q12" i="26"/>
  <c r="HR18" i="13"/>
  <c r="Q24" i="46" s="1"/>
  <c r="HR10" i="13"/>
  <c r="Q27" i="46" s="1"/>
  <c r="HR22" i="13"/>
  <c r="Q8" i="46" s="1"/>
  <c r="HR14" i="14"/>
  <c r="Q8" i="66" s="1"/>
  <c r="HR26" i="13"/>
  <c r="Q15" i="46" s="1"/>
  <c r="HR46" i="13"/>
  <c r="HR20" i="13"/>
  <c r="Q26" i="46" s="1"/>
  <c r="HR45" i="13"/>
  <c r="HR24" i="13"/>
  <c r="Q19" i="46" s="1"/>
  <c r="HR9" i="14"/>
  <c r="Q5" i="66" s="1"/>
  <c r="HR17" i="14"/>
  <c r="Q13" i="66" s="1"/>
  <c r="HR34" i="13"/>
  <c r="Q33" i="46" s="1"/>
  <c r="HR40" i="13"/>
  <c r="HR16" i="14"/>
  <c r="Q12" i="66" s="1"/>
  <c r="HR19" i="14"/>
  <c r="HR12" i="14"/>
  <c r="Q10" i="66" s="1"/>
  <c r="HR19" i="13"/>
  <c r="Q4" i="46" s="1"/>
  <c r="HR11" i="13"/>
  <c r="Q20" i="46" s="1"/>
  <c r="HR8" i="13"/>
  <c r="HR23" i="13"/>
  <c r="Q14" i="46" s="1"/>
  <c r="HR42" i="13"/>
  <c r="HR32" i="13"/>
  <c r="Q16" i="46" s="1"/>
  <c r="HR13" i="13"/>
  <c r="Q12" i="46" s="1"/>
  <c r="HR30" i="13"/>
  <c r="Q10" i="46" s="1"/>
  <c r="HR29" i="13"/>
  <c r="Q25" i="46" s="1"/>
  <c r="HR43" i="13"/>
  <c r="HR12" i="13"/>
  <c r="Q21" i="46" s="1"/>
  <c r="HU6" i="9"/>
  <c r="HW7" i="9" s="1"/>
  <c r="HR9" i="13"/>
  <c r="Q6" i="46" s="1"/>
  <c r="HR25" i="13"/>
  <c r="Q34" i="46" s="1"/>
  <c r="HR11" i="14"/>
  <c r="Q4" i="66" s="1"/>
  <c r="HR21" i="13"/>
  <c r="Q17" i="46" s="1"/>
  <c r="HR10" i="14"/>
  <c r="Q9" i="66" s="1"/>
  <c r="HR35" i="13"/>
  <c r="Q31" i="46" s="1"/>
  <c r="HR37" i="13"/>
  <c r="Q32" i="46" s="1"/>
  <c r="HR17" i="13"/>
  <c r="Q29" i="46" s="1"/>
  <c r="HR33" i="13"/>
  <c r="Q30" i="46" s="1"/>
  <c r="HR41" i="13"/>
  <c r="HR8" i="14"/>
  <c r="HR39" i="13"/>
  <c r="HR27" i="13"/>
  <c r="Q9" i="46" s="1"/>
  <c r="HR38" i="13"/>
  <c r="Q28" i="46" s="1"/>
  <c r="HR13" i="14"/>
  <c r="Q11" i="66" s="1"/>
  <c r="HR28" i="13"/>
  <c r="Q13" i="46" s="1"/>
  <c r="HR18" i="14"/>
  <c r="Q14" i="66" s="1"/>
  <c r="HR15" i="14"/>
  <c r="Q7" i="66" s="1"/>
  <c r="HR14" i="13"/>
  <c r="Q5" i="46" s="1"/>
  <c r="HR44" i="13"/>
  <c r="HR47" i="13"/>
  <c r="HR16" i="13"/>
  <c r="Q7" i="46" s="1"/>
  <c r="HR36" i="13"/>
  <c r="Q22" i="46" s="1"/>
  <c r="HR31" i="13"/>
  <c r="Q11" i="46" s="1"/>
  <c r="HR15" i="13"/>
  <c r="Q23" i="46" s="1"/>
  <c r="O21" i="40"/>
  <c r="FU8" i="13"/>
  <c r="O3" i="40"/>
  <c r="O33" i="40"/>
  <c r="FU25" i="13"/>
  <c r="FU42" i="13"/>
  <c r="O14" i="40"/>
  <c r="FU26" i="13"/>
  <c r="O7" i="40"/>
  <c r="FU9" i="13"/>
  <c r="FX34" i="10"/>
  <c r="O8" i="40"/>
  <c r="FU16" i="13"/>
  <c r="EU19" i="14"/>
  <c r="ES19" i="14" s="1"/>
  <c r="R8" i="54"/>
  <c r="Q8" i="54"/>
  <c r="O8" i="54"/>
  <c r="N8" i="54"/>
  <c r="N8" i="45"/>
  <c r="P8" i="54"/>
  <c r="Q10" i="42"/>
  <c r="Z34" i="42"/>
  <c r="K34" i="40"/>
  <c r="EU34" i="13"/>
  <c r="EX34" i="10"/>
  <c r="EV34" i="10" s="1"/>
  <c r="DX7" i="11"/>
  <c r="AB6" i="63"/>
  <c r="GJ6" i="14"/>
  <c r="AB3" i="63"/>
  <c r="Q32" i="52"/>
  <c r="P32" i="52"/>
  <c r="O32" i="52"/>
  <c r="N32" i="52"/>
  <c r="N32" i="44"/>
  <c r="P29" i="42"/>
  <c r="R32" i="52"/>
  <c r="BU6" i="11"/>
  <c r="BU6" i="10"/>
  <c r="N27" i="56"/>
  <c r="R27" i="56"/>
  <c r="Q27" i="56"/>
  <c r="P27" i="56"/>
  <c r="O27" i="56"/>
  <c r="R27" i="42"/>
  <c r="N27" i="46"/>
  <c r="L27" i="46" s="1"/>
  <c r="Q9" i="25"/>
  <c r="HF13" i="13"/>
  <c r="Q25" i="45" s="1"/>
  <c r="HF29" i="13"/>
  <c r="Q22" i="45" s="1"/>
  <c r="HF44" i="13"/>
  <c r="HF40" i="13"/>
  <c r="HF35" i="13"/>
  <c r="Q28" i="45" s="1"/>
  <c r="HF27" i="13"/>
  <c r="Q9" i="45" s="1"/>
  <c r="HF11" i="13"/>
  <c r="Q19" i="45" s="1"/>
  <c r="HF19" i="14"/>
  <c r="HF10" i="14"/>
  <c r="Q8" i="65" s="1"/>
  <c r="HF42" i="13"/>
  <c r="HF24" i="13"/>
  <c r="Q17" i="45" s="1"/>
  <c r="HF36" i="13"/>
  <c r="Q31" i="45" s="1"/>
  <c r="HF14" i="14"/>
  <c r="Q9" i="65" s="1"/>
  <c r="HF16" i="13"/>
  <c r="Q6" i="45" s="1"/>
  <c r="HF15" i="13"/>
  <c r="Q20" i="45" s="1"/>
  <c r="HF41" i="13"/>
  <c r="HF17" i="13"/>
  <c r="Q26" i="45" s="1"/>
  <c r="HF31" i="13"/>
  <c r="Q8" i="45" s="1"/>
  <c r="HF11" i="14"/>
  <c r="Q4" i="65" s="1"/>
  <c r="HF20" i="13"/>
  <c r="Q23" i="45" s="1"/>
  <c r="HF47" i="13"/>
  <c r="HF8" i="13"/>
  <c r="HF32" i="13"/>
  <c r="Q16" i="45" s="1"/>
  <c r="HF33" i="13"/>
  <c r="Q27" i="45" s="1"/>
  <c r="HF45" i="13"/>
  <c r="HF34" i="13"/>
  <c r="Q30" i="45" s="1"/>
  <c r="HF18" i="13"/>
  <c r="Q21" i="45" s="1"/>
  <c r="HF10" i="13"/>
  <c r="Q24" i="45" s="1"/>
  <c r="HF15" i="14"/>
  <c r="Q6" i="65" s="1"/>
  <c r="HF46" i="13"/>
  <c r="HF39" i="13"/>
  <c r="HF19" i="13"/>
  <c r="Q4" i="45" s="1"/>
  <c r="HF30" i="13"/>
  <c r="Q10" i="45" s="1"/>
  <c r="HF14" i="13"/>
  <c r="Q15" i="45" s="1"/>
  <c r="HF26" i="13"/>
  <c r="Q14" i="45" s="1"/>
  <c r="HF28" i="13"/>
  <c r="Q12" i="45" s="1"/>
  <c r="HF25" i="13"/>
  <c r="Q32" i="45" s="1"/>
  <c r="HF9" i="14"/>
  <c r="Q11" i="65" s="1"/>
  <c r="HF21" i="13"/>
  <c r="Q18" i="45" s="1"/>
  <c r="HF8" i="14"/>
  <c r="HF9" i="13"/>
  <c r="Q5" i="45" s="1"/>
  <c r="HF12" i="13"/>
  <c r="Q13" i="45" s="1"/>
  <c r="HF37" i="13"/>
  <c r="Q29" i="45" s="1"/>
  <c r="HF16" i="14"/>
  <c r="Q12" i="65" s="1"/>
  <c r="HF17" i="14"/>
  <c r="Q13" i="65" s="1"/>
  <c r="HF38" i="13"/>
  <c r="Q34" i="45" s="1"/>
  <c r="HF18" i="14"/>
  <c r="Q14" i="65" s="1"/>
  <c r="HF13" i="14"/>
  <c r="Q10" i="65" s="1"/>
  <c r="HF23" i="13"/>
  <c r="Q11" i="45" s="1"/>
  <c r="HF12" i="14"/>
  <c r="Q7" i="65" s="1"/>
  <c r="HF22" i="13"/>
  <c r="Q7" i="45" s="1"/>
  <c r="HF43" i="13"/>
  <c r="HI6" i="9"/>
  <c r="CG6" i="11"/>
  <c r="CG6" i="10"/>
  <c r="HH6" i="11"/>
  <c r="HH6" i="10"/>
  <c r="Z13" i="42"/>
  <c r="K13" i="40"/>
  <c r="EU28" i="13"/>
  <c r="EX12" i="10"/>
  <c r="EV12" i="10" s="1"/>
  <c r="R8" i="70"/>
  <c r="Q8" i="70"/>
  <c r="P8" i="70"/>
  <c r="O8" i="70"/>
  <c r="N8" i="70"/>
  <c r="N8" i="63"/>
  <c r="L8" i="63" s="1"/>
  <c r="O8" i="62"/>
  <c r="R19" i="54"/>
  <c r="N19" i="54"/>
  <c r="P19" i="54"/>
  <c r="O19" i="54"/>
  <c r="Q19" i="54"/>
  <c r="N19" i="45"/>
  <c r="L19" i="45" s="1"/>
  <c r="Q20" i="42"/>
  <c r="R10" i="56"/>
  <c r="Q10" i="56"/>
  <c r="P10" i="56"/>
  <c r="N10" i="56"/>
  <c r="O10" i="56"/>
  <c r="N10" i="46"/>
  <c r="R6" i="42"/>
  <c r="R34" i="52"/>
  <c r="Q34" i="52"/>
  <c r="P34" i="52"/>
  <c r="N34" i="52"/>
  <c r="O34" i="52"/>
  <c r="N34" i="44"/>
  <c r="L34" i="44" s="1"/>
  <c r="P30" i="42"/>
  <c r="I5" i="24"/>
  <c r="K5" i="24"/>
  <c r="R3" i="55"/>
  <c r="JY7" i="13"/>
  <c r="N3" i="69"/>
  <c r="IQ7" i="14"/>
  <c r="R18" i="56"/>
  <c r="Q18" i="56"/>
  <c r="P18" i="56"/>
  <c r="O18" i="56"/>
  <c r="N18" i="56"/>
  <c r="N18" i="46"/>
  <c r="L18" i="46" s="1"/>
  <c r="R21" i="42"/>
  <c r="FG6" i="13"/>
  <c r="O3" i="56"/>
  <c r="R3" i="42"/>
  <c r="N3" i="46"/>
  <c r="L3" i="46" s="1"/>
  <c r="R3" i="56"/>
  <c r="Q3" i="56"/>
  <c r="P3" i="56"/>
  <c r="N3" i="56"/>
  <c r="R14" i="50"/>
  <c r="O14" i="50"/>
  <c r="Q14" i="50"/>
  <c r="N14" i="50"/>
  <c r="P14" i="50"/>
  <c r="N14" i="43"/>
  <c r="L14" i="43" s="1"/>
  <c r="O15" i="42"/>
  <c r="R12" i="74"/>
  <c r="Q12" i="74"/>
  <c r="P12" i="74"/>
  <c r="O12" i="74"/>
  <c r="N12" i="74"/>
  <c r="Q12" i="62"/>
  <c r="N12" i="65"/>
  <c r="EX11" i="10"/>
  <c r="EV11" i="10" s="1"/>
  <c r="P29" i="56"/>
  <c r="R29" i="56"/>
  <c r="Q29" i="56"/>
  <c r="O29" i="56"/>
  <c r="N29" i="56"/>
  <c r="N29" i="46"/>
  <c r="L29" i="46" s="1"/>
  <c r="R28" i="42"/>
  <c r="EQ7" i="10"/>
  <c r="N10" i="74"/>
  <c r="R10" i="74"/>
  <c r="Q10" i="74"/>
  <c r="P10" i="74"/>
  <c r="O10" i="74"/>
  <c r="N10" i="65"/>
  <c r="L10" i="65" s="1"/>
  <c r="Q11" i="62"/>
  <c r="R25" i="56"/>
  <c r="O25" i="56"/>
  <c r="N25" i="46"/>
  <c r="L25" i="46" s="1"/>
  <c r="P25" i="56"/>
  <c r="N25" i="56"/>
  <c r="R26" i="42"/>
  <c r="Q25" i="56"/>
  <c r="Q24" i="50"/>
  <c r="P24" i="50"/>
  <c r="R24" i="50"/>
  <c r="O24" i="50"/>
  <c r="N24" i="50"/>
  <c r="N24" i="43"/>
  <c r="O23" i="42"/>
  <c r="EX22" i="10"/>
  <c r="EV22" i="10" s="1"/>
  <c r="R14" i="76"/>
  <c r="Q14" i="76"/>
  <c r="P14" i="76"/>
  <c r="O14" i="76"/>
  <c r="N14" i="76"/>
  <c r="N14" i="66"/>
  <c r="R14" i="62"/>
  <c r="K22" i="40"/>
  <c r="Z22" i="42"/>
  <c r="EU36" i="13"/>
  <c r="O3" i="73"/>
  <c r="JL7" i="14"/>
  <c r="Q25" i="54"/>
  <c r="N25" i="54"/>
  <c r="R25" i="54"/>
  <c r="P25" i="54"/>
  <c r="N25" i="45"/>
  <c r="O25" i="54"/>
  <c r="Q12" i="42"/>
  <c r="Z23" i="44"/>
  <c r="GV6" i="13"/>
  <c r="Z3" i="44"/>
  <c r="HW6" i="11"/>
  <c r="HW6" i="10"/>
  <c r="AA6" i="66"/>
  <c r="HT6" i="14"/>
  <c r="AA3" i="66"/>
  <c r="O30" i="40"/>
  <c r="FU38" i="13"/>
  <c r="FU45" i="13"/>
  <c r="FU19" i="14"/>
  <c r="FU39" i="13"/>
  <c r="O20" i="40"/>
  <c r="FU11" i="13"/>
  <c r="FX12" i="11"/>
  <c r="O13" i="40"/>
  <c r="FU28" i="13"/>
  <c r="ED7" i="13"/>
  <c r="Q6" i="76"/>
  <c r="P6" i="76"/>
  <c r="O6" i="76"/>
  <c r="N6" i="76"/>
  <c r="R6" i="76"/>
  <c r="N6" i="66"/>
  <c r="R7" i="62"/>
  <c r="FG6" i="14"/>
  <c r="R3" i="62"/>
  <c r="R3" i="76"/>
  <c r="Q3" i="76"/>
  <c r="P3" i="76"/>
  <c r="N3" i="66"/>
  <c r="L3" i="66" s="1"/>
  <c r="O3" i="76"/>
  <c r="N3" i="76"/>
  <c r="AC18" i="43"/>
  <c r="GM6" i="13"/>
  <c r="AC3" i="43"/>
  <c r="HB6" i="11"/>
  <c r="HB6" i="10"/>
  <c r="P11" i="23"/>
  <c r="GH44" i="13"/>
  <c r="GH12" i="14"/>
  <c r="P8" i="63" s="1"/>
  <c r="GH19" i="14"/>
  <c r="GH19" i="13"/>
  <c r="P4" i="43" s="1"/>
  <c r="GH24" i="13"/>
  <c r="P19" i="43" s="1"/>
  <c r="GH43" i="13"/>
  <c r="GH31" i="13"/>
  <c r="P11" i="43" s="1"/>
  <c r="GH33" i="13"/>
  <c r="P29" i="43" s="1"/>
  <c r="GH32" i="13"/>
  <c r="P16" i="43" s="1"/>
  <c r="GH42" i="13"/>
  <c r="GH13" i="13"/>
  <c r="P12" i="43" s="1"/>
  <c r="GH18" i="13"/>
  <c r="P24" i="43" s="1"/>
  <c r="GH20" i="13"/>
  <c r="P23" i="43" s="1"/>
  <c r="GH17" i="13"/>
  <c r="P28" i="43" s="1"/>
  <c r="GH30" i="13"/>
  <c r="P9" i="43" s="1"/>
  <c r="GK6" i="9"/>
  <c r="GH14" i="13"/>
  <c r="P5" i="43" s="1"/>
  <c r="GH23" i="13"/>
  <c r="P14" i="43" s="1"/>
  <c r="GH11" i="14"/>
  <c r="P4" i="63" s="1"/>
  <c r="GH12" i="13"/>
  <c r="P20" i="43" s="1"/>
  <c r="GH17" i="14"/>
  <c r="P13" i="63" s="1"/>
  <c r="GH14" i="14"/>
  <c r="P9" i="63" s="1"/>
  <c r="GH26" i="13"/>
  <c r="P15" i="43" s="1"/>
  <c r="GH21" i="13"/>
  <c r="P17" i="43" s="1"/>
  <c r="GH47" i="13"/>
  <c r="GH8" i="14"/>
  <c r="GH38" i="13"/>
  <c r="P31" i="43" s="1"/>
  <c r="GH28" i="13"/>
  <c r="P13" i="43" s="1"/>
  <c r="GH22" i="13"/>
  <c r="P8" i="43" s="1"/>
  <c r="GH37" i="13"/>
  <c r="P32" i="43" s="1"/>
  <c r="GH25" i="13"/>
  <c r="P34" i="43" s="1"/>
  <c r="GH8" i="13"/>
  <c r="GH11" i="13"/>
  <c r="P21" i="43" s="1"/>
  <c r="GH46" i="13"/>
  <c r="GH35" i="13"/>
  <c r="P30" i="43" s="1"/>
  <c r="GH16" i="14"/>
  <c r="P12" i="63" s="1"/>
  <c r="GH27" i="13"/>
  <c r="P10" i="43" s="1"/>
  <c r="GH9" i="13"/>
  <c r="P6" i="43" s="1"/>
  <c r="GH39" i="13"/>
  <c r="GH16" i="13"/>
  <c r="P7" i="43" s="1"/>
  <c r="GH36" i="13"/>
  <c r="P22" i="43" s="1"/>
  <c r="GH15" i="13"/>
  <c r="P25" i="43" s="1"/>
  <c r="GH15" i="14"/>
  <c r="P7" i="63" s="1"/>
  <c r="GH10" i="13"/>
  <c r="P26" i="43" s="1"/>
  <c r="GH45" i="13"/>
  <c r="GH10" i="14"/>
  <c r="P10" i="63" s="1"/>
  <c r="GH41" i="13"/>
  <c r="GH18" i="14"/>
  <c r="P14" i="63" s="1"/>
  <c r="GH13" i="14"/>
  <c r="P11" i="63" s="1"/>
  <c r="GH9" i="14"/>
  <c r="P5" i="63" s="1"/>
  <c r="GH34" i="13"/>
  <c r="P33" i="43" s="1"/>
  <c r="GH40" i="13"/>
  <c r="GH29" i="13"/>
  <c r="P27" i="43" s="1"/>
  <c r="EX16" i="10"/>
  <c r="EV16" i="10" s="1"/>
  <c r="AD33" i="45"/>
  <c r="HK6" i="13"/>
  <c r="AD3" i="45"/>
  <c r="Q33" i="54"/>
  <c r="R33" i="54"/>
  <c r="P33" i="54"/>
  <c r="N33" i="54"/>
  <c r="O33" i="54"/>
  <c r="N33" i="45"/>
  <c r="L33" i="45" s="1"/>
  <c r="Q21" i="42"/>
  <c r="FD6" i="13"/>
  <c r="N3" i="54"/>
  <c r="Q3" i="42"/>
  <c r="P3" i="54"/>
  <c r="R3" i="54"/>
  <c r="Q3" i="54"/>
  <c r="N3" i="45"/>
  <c r="L3" i="45" s="1"/>
  <c r="O3" i="54"/>
  <c r="R10" i="70"/>
  <c r="Q10" i="70"/>
  <c r="P10" i="70"/>
  <c r="N10" i="63"/>
  <c r="L10" i="63" s="1"/>
  <c r="O10" i="62"/>
  <c r="O10" i="70"/>
  <c r="N10" i="70"/>
  <c r="R24" i="56"/>
  <c r="Q24" i="56"/>
  <c r="P24" i="56"/>
  <c r="N24" i="56"/>
  <c r="O24" i="56"/>
  <c r="N24" i="46"/>
  <c r="R23" i="42"/>
  <c r="EX19" i="11"/>
  <c r="EV19" i="11" s="1"/>
  <c r="Q32" i="56"/>
  <c r="P32" i="56"/>
  <c r="R32" i="56"/>
  <c r="O32" i="56"/>
  <c r="N32" i="46"/>
  <c r="L32" i="46" s="1"/>
  <c r="N32" i="56"/>
  <c r="R32" i="42"/>
  <c r="EU6" i="13"/>
  <c r="EW7" i="13" s="1"/>
  <c r="P8" i="72"/>
  <c r="O8" i="72"/>
  <c r="N8" i="72"/>
  <c r="N8" i="64"/>
  <c r="L8" i="64" s="1"/>
  <c r="R8" i="72"/>
  <c r="Q8" i="72"/>
  <c r="P7" i="62"/>
  <c r="FA6" i="14"/>
  <c r="N3" i="64"/>
  <c r="L3" i="64" s="1"/>
  <c r="P3" i="62"/>
  <c r="R3" i="72"/>
  <c r="Q3" i="72"/>
  <c r="P3" i="72"/>
  <c r="O3" i="72"/>
  <c r="N3" i="72"/>
  <c r="O9" i="25"/>
  <c r="GZ45" i="13"/>
  <c r="GZ16" i="13"/>
  <c r="O6" i="45" s="1"/>
  <c r="GZ20" i="13"/>
  <c r="O23" i="45" s="1"/>
  <c r="GZ21" i="13"/>
  <c r="O18" i="45" s="1"/>
  <c r="GZ14" i="13"/>
  <c r="O15" i="45" s="1"/>
  <c r="GZ34" i="13"/>
  <c r="O30" i="45" s="1"/>
  <c r="GZ23" i="13"/>
  <c r="O11" i="45" s="1"/>
  <c r="GZ18" i="13"/>
  <c r="O21" i="45" s="1"/>
  <c r="GZ31" i="13"/>
  <c r="O8" i="45" s="1"/>
  <c r="GZ30" i="13"/>
  <c r="O10" i="45" s="1"/>
  <c r="GZ47" i="13"/>
  <c r="GZ17" i="13"/>
  <c r="O26" i="45" s="1"/>
  <c r="GZ43" i="13"/>
  <c r="GZ24" i="13"/>
  <c r="O17" i="45" s="1"/>
  <c r="GZ26" i="13"/>
  <c r="O14" i="45" s="1"/>
  <c r="GZ11" i="14"/>
  <c r="O4" i="65" s="1"/>
  <c r="GZ28" i="13"/>
  <c r="O12" i="45" s="1"/>
  <c r="GZ13" i="14"/>
  <c r="O10" i="65" s="1"/>
  <c r="GZ19" i="14"/>
  <c r="GZ11" i="13"/>
  <c r="O19" i="45" s="1"/>
  <c r="GZ27" i="13"/>
  <c r="O9" i="45" s="1"/>
  <c r="GZ40" i="13"/>
  <c r="GZ37" i="13"/>
  <c r="O29" i="45" s="1"/>
  <c r="GZ38" i="13"/>
  <c r="O34" i="45" s="1"/>
  <c r="GZ13" i="13"/>
  <c r="O25" i="45" s="1"/>
  <c r="GZ10" i="13"/>
  <c r="O24" i="45" s="1"/>
  <c r="GZ46" i="13"/>
  <c r="GZ14" i="14"/>
  <c r="O9" i="65" s="1"/>
  <c r="GZ35" i="13"/>
  <c r="O28" i="45" s="1"/>
  <c r="GZ36" i="13"/>
  <c r="O31" i="45" s="1"/>
  <c r="GZ39" i="13"/>
  <c r="GZ29" i="13"/>
  <c r="O22" i="45" s="1"/>
  <c r="GZ16" i="14"/>
  <c r="O12" i="65" s="1"/>
  <c r="GZ12" i="14"/>
  <c r="O7" i="65" s="1"/>
  <c r="GZ17" i="14"/>
  <c r="O13" i="65" s="1"/>
  <c r="GZ33" i="13"/>
  <c r="O27" i="45" s="1"/>
  <c r="GZ19" i="13"/>
  <c r="O4" i="45" s="1"/>
  <c r="GZ8" i="14"/>
  <c r="HC6" i="9"/>
  <c r="HE7" i="9" s="1"/>
  <c r="GZ42" i="13"/>
  <c r="GZ15" i="13"/>
  <c r="O20" i="45" s="1"/>
  <c r="GZ9" i="14"/>
  <c r="O11" i="65" s="1"/>
  <c r="GZ22" i="13"/>
  <c r="O7" i="45" s="1"/>
  <c r="GZ8" i="13"/>
  <c r="GZ15" i="14"/>
  <c r="O6" i="65" s="1"/>
  <c r="GZ10" i="14"/>
  <c r="O8" i="65" s="1"/>
  <c r="GZ12" i="13"/>
  <c r="O13" i="45" s="1"/>
  <c r="GZ44" i="13"/>
  <c r="GZ32" i="13"/>
  <c r="O16" i="45" s="1"/>
  <c r="GZ9" i="13"/>
  <c r="O5" i="45" s="1"/>
  <c r="GZ25" i="13"/>
  <c r="O32" i="45" s="1"/>
  <c r="GZ18" i="14"/>
  <c r="O14" i="65" s="1"/>
  <c r="GZ41" i="13"/>
  <c r="R4" i="72"/>
  <c r="Q4" i="72"/>
  <c r="P4" i="72"/>
  <c r="O4" i="72"/>
  <c r="N4" i="72"/>
  <c r="P5" i="62"/>
  <c r="N4" i="64"/>
  <c r="L4" i="64" s="1"/>
  <c r="Z8" i="62"/>
  <c r="K8" i="60"/>
  <c r="EU12" i="14"/>
  <c r="EX38" i="10"/>
  <c r="EV38" i="10" s="1"/>
  <c r="O3" i="55"/>
  <c r="JV7" i="13"/>
  <c r="P3" i="69"/>
  <c r="IS7" i="14"/>
  <c r="R4" i="76"/>
  <c r="Q4" i="76"/>
  <c r="P4" i="76"/>
  <c r="O4" i="76"/>
  <c r="N4" i="76"/>
  <c r="N4" i="66"/>
  <c r="L4" i="66" s="1"/>
  <c r="R4" i="62"/>
  <c r="K15" i="40"/>
  <c r="Z15" i="42"/>
  <c r="EU23" i="13"/>
  <c r="R11" i="76"/>
  <c r="Q11" i="76"/>
  <c r="P11" i="76"/>
  <c r="O11" i="76"/>
  <c r="N11" i="76"/>
  <c r="N11" i="66"/>
  <c r="R11" i="62"/>
  <c r="R29" i="50"/>
  <c r="O29" i="50"/>
  <c r="N29" i="50"/>
  <c r="Q29" i="50"/>
  <c r="P29" i="50"/>
  <c r="O29" i="42"/>
  <c r="N29" i="43"/>
  <c r="L29" i="43" s="1"/>
  <c r="EQ7" i="11"/>
  <c r="ET40" i="13" l="1"/>
  <c r="ES11" i="13"/>
  <c r="L20" i="40" s="1"/>
  <c r="ES47" i="13"/>
  <c r="ES35" i="13"/>
  <c r="L31" i="40" s="1"/>
  <c r="ES16" i="13"/>
  <c r="L8" i="40" s="1"/>
  <c r="ES14" i="13"/>
  <c r="L5" i="40" s="1"/>
  <c r="ET41" i="13"/>
  <c r="ES41" i="13"/>
  <c r="ES36" i="13"/>
  <c r="L22" i="40" s="1"/>
  <c r="ES42" i="13"/>
  <c r="ES28" i="13"/>
  <c r="L13" i="40" s="1"/>
  <c r="ET28" i="13"/>
  <c r="M13" i="40" s="1"/>
  <c r="ET12" i="13"/>
  <c r="M19" i="40" s="1"/>
  <c r="EW35" i="10"/>
  <c r="ET39" i="13"/>
  <c r="ES26" i="13"/>
  <c r="L14" i="40" s="1"/>
  <c r="ES9" i="13"/>
  <c r="L7" i="40" s="1"/>
  <c r="EW18" i="10"/>
  <c r="EW29" i="10"/>
  <c r="ES18" i="13"/>
  <c r="L23" i="40" s="1"/>
  <c r="ES45" i="13"/>
  <c r="ES38" i="13"/>
  <c r="L30" i="40" s="1"/>
  <c r="ES24" i="13"/>
  <c r="L18" i="40" s="1"/>
  <c r="ET17" i="13"/>
  <c r="M28" i="40" s="1"/>
  <c r="ET37" i="13"/>
  <c r="M32" i="40" s="1"/>
  <c r="ET46" i="13"/>
  <c r="ET47" i="13"/>
  <c r="ES20" i="13"/>
  <c r="L25" i="40" s="1"/>
  <c r="ET8" i="13"/>
  <c r="M21" i="40" s="1"/>
  <c r="FT20" i="11"/>
  <c r="ET19" i="14"/>
  <c r="EW32" i="10"/>
  <c r="EW8" i="10"/>
  <c r="ET44" i="13"/>
  <c r="ET43" i="13"/>
  <c r="EW37" i="10"/>
  <c r="ES25" i="13"/>
  <c r="L33" i="40" s="1"/>
  <c r="EW41" i="10"/>
  <c r="ES10" i="13"/>
  <c r="L27" i="40" s="1"/>
  <c r="ET20" i="13"/>
  <c r="M25" i="40" s="1"/>
  <c r="ET22" i="13"/>
  <c r="M9" i="40" s="1"/>
  <c r="ET11" i="13"/>
  <c r="M20" i="40" s="1"/>
  <c r="FT15" i="10"/>
  <c r="EW26" i="10"/>
  <c r="ET23" i="13"/>
  <c r="M15" i="40" s="1"/>
  <c r="EW27" i="10"/>
  <c r="EW10" i="11"/>
  <c r="ES31" i="13"/>
  <c r="L10" i="40" s="1"/>
  <c r="ES40" i="13"/>
  <c r="EZ7" i="9"/>
  <c r="EW38" i="10"/>
  <c r="EW39" i="10"/>
  <c r="EW31" i="10"/>
  <c r="ET38" i="13"/>
  <c r="M30" i="40" s="1"/>
  <c r="EW21" i="10"/>
  <c r="EW24" i="10"/>
  <c r="ET6" i="14"/>
  <c r="EW15" i="11"/>
  <c r="EW28" i="10"/>
  <c r="ES8" i="13"/>
  <c r="L21" i="40" s="1"/>
  <c r="ET9" i="13"/>
  <c r="M7" i="40" s="1"/>
  <c r="ET42" i="13"/>
  <c r="EW22" i="10"/>
  <c r="EW34" i="10"/>
  <c r="ES43" i="13"/>
  <c r="EW36" i="10"/>
  <c r="EW13" i="11"/>
  <c r="I29" i="46"/>
  <c r="K29" i="46"/>
  <c r="I32" i="44"/>
  <c r="K32" i="44"/>
  <c r="ET16" i="13"/>
  <c r="M8" i="40" s="1"/>
  <c r="I22" i="43"/>
  <c r="K22" i="43"/>
  <c r="N12" i="42"/>
  <c r="L12" i="42" s="1"/>
  <c r="I12" i="40"/>
  <c r="H12" i="40" s="1"/>
  <c r="ET36" i="13"/>
  <c r="M22" i="40" s="1"/>
  <c r="I11" i="40"/>
  <c r="H11" i="40" s="1"/>
  <c r="N11" i="42"/>
  <c r="L11" i="42" s="1"/>
  <c r="Q18" i="43"/>
  <c r="GK6" i="13"/>
  <c r="GL7" i="13" s="1"/>
  <c r="Q3" i="43"/>
  <c r="FA1" i="11"/>
  <c r="FE7" i="11"/>
  <c r="I24" i="40"/>
  <c r="H24" i="40" s="1"/>
  <c r="N24" i="42"/>
  <c r="ES12" i="13"/>
  <c r="L19" i="40" s="1"/>
  <c r="P6" i="60"/>
  <c r="FQ9" i="14"/>
  <c r="FQ40" i="13"/>
  <c r="P5" i="40"/>
  <c r="FQ14" i="13"/>
  <c r="P4" i="40"/>
  <c r="FQ19" i="13"/>
  <c r="FT15" i="11"/>
  <c r="EW14" i="11"/>
  <c r="I5" i="64"/>
  <c r="K5" i="64"/>
  <c r="I7" i="63"/>
  <c r="K7" i="63"/>
  <c r="EW14" i="10"/>
  <c r="ES44" i="13"/>
  <c r="I6" i="43"/>
  <c r="K6" i="43"/>
  <c r="I11" i="65"/>
  <c r="K11" i="65"/>
  <c r="ES21" i="13"/>
  <c r="L17" i="40" s="1"/>
  <c r="I18" i="44"/>
  <c r="K18" i="44"/>
  <c r="EW19" i="10"/>
  <c r="I23" i="46"/>
  <c r="K23" i="46"/>
  <c r="I4" i="44"/>
  <c r="K4" i="44"/>
  <c r="I6" i="60"/>
  <c r="H6" i="60" s="1"/>
  <c r="N6" i="62"/>
  <c r="L6" i="62" s="1"/>
  <c r="ES9" i="14"/>
  <c r="L6" i="60" s="1"/>
  <c r="P10" i="60"/>
  <c r="FQ10" i="14"/>
  <c r="I22" i="46"/>
  <c r="K22" i="46"/>
  <c r="HI6" i="11"/>
  <c r="HJ7" i="11" s="1"/>
  <c r="HI6" i="10"/>
  <c r="HJ7" i="10" s="1"/>
  <c r="HJ7" i="9"/>
  <c r="FT20" i="10"/>
  <c r="I14" i="60"/>
  <c r="H14" i="60" s="1"/>
  <c r="N14" i="62"/>
  <c r="L14" i="62" s="1"/>
  <c r="ES18" i="14"/>
  <c r="L14" i="60" s="1"/>
  <c r="I9" i="44"/>
  <c r="K9" i="44"/>
  <c r="N26" i="42"/>
  <c r="L26" i="42" s="1"/>
  <c r="I26" i="40"/>
  <c r="H26" i="40" s="1"/>
  <c r="I13" i="60"/>
  <c r="H13" i="60" s="1"/>
  <c r="N13" i="62"/>
  <c r="ES17" i="14"/>
  <c r="L13" i="60" s="1"/>
  <c r="I6" i="40"/>
  <c r="H6" i="40" s="1"/>
  <c r="N6" i="42"/>
  <c r="L6" i="42" s="1"/>
  <c r="I15" i="44"/>
  <c r="K15" i="44"/>
  <c r="EY7" i="13"/>
  <c r="EZ7" i="13"/>
  <c r="I25" i="43"/>
  <c r="K25" i="43"/>
  <c r="FT8" i="11"/>
  <c r="P17" i="40"/>
  <c r="FQ21" i="13"/>
  <c r="P29" i="40"/>
  <c r="FQ33" i="13"/>
  <c r="FT12" i="11"/>
  <c r="FT9" i="10"/>
  <c r="P9" i="60"/>
  <c r="FQ14" i="14"/>
  <c r="P24" i="40"/>
  <c r="FQ15" i="13"/>
  <c r="I5" i="40"/>
  <c r="H5" i="40" s="1"/>
  <c r="N5" i="42"/>
  <c r="L5" i="42" s="1"/>
  <c r="EW20" i="10"/>
  <c r="EW18" i="11"/>
  <c r="ET10" i="13"/>
  <c r="M27" i="40" s="1"/>
  <c r="ET18" i="14"/>
  <c r="M14" i="60" s="1"/>
  <c r="I4" i="65"/>
  <c r="K4" i="65"/>
  <c r="P8" i="64"/>
  <c r="GT6" i="14"/>
  <c r="GU7" i="14" s="1"/>
  <c r="P3" i="64"/>
  <c r="I12" i="43"/>
  <c r="K12" i="43"/>
  <c r="I34" i="45"/>
  <c r="K34" i="45"/>
  <c r="HO6" i="11"/>
  <c r="HP7" i="11" s="1"/>
  <c r="HO6" i="10"/>
  <c r="HP7" i="10" s="1"/>
  <c r="HP7" i="9"/>
  <c r="I3" i="44"/>
  <c r="K3" i="44"/>
  <c r="FT19" i="10"/>
  <c r="I11" i="63"/>
  <c r="K11" i="63"/>
  <c r="I14" i="44"/>
  <c r="K14" i="44"/>
  <c r="I12" i="45"/>
  <c r="K12" i="45"/>
  <c r="C79" i="31"/>
  <c r="C55" i="35"/>
  <c r="C55" i="36"/>
  <c r="C79" i="32"/>
  <c r="C43" i="33"/>
  <c r="C43" i="34"/>
  <c r="D47" i="26"/>
  <c r="C53" i="28"/>
  <c r="C53" i="27"/>
  <c r="C51" i="30"/>
  <c r="C40" i="29"/>
  <c r="D36" i="25"/>
  <c r="D79" i="24"/>
  <c r="D49" i="20"/>
  <c r="C34" i="17"/>
  <c r="D44" i="23"/>
  <c r="D49" i="22"/>
  <c r="C55" i="12"/>
  <c r="A43" i="9"/>
  <c r="EW9" i="10"/>
  <c r="EW16" i="11"/>
  <c r="I7" i="44"/>
  <c r="K7" i="44"/>
  <c r="HF6" i="11"/>
  <c r="HG7" i="11" s="1"/>
  <c r="HF6" i="10"/>
  <c r="HG7" i="10" s="1"/>
  <c r="HG7" i="9"/>
  <c r="I13" i="63"/>
  <c r="K13" i="63"/>
  <c r="L22" i="46"/>
  <c r="I31" i="40"/>
  <c r="H31" i="40" s="1"/>
  <c r="N31" i="42"/>
  <c r="L31" i="42" s="1"/>
  <c r="GH6" i="11"/>
  <c r="GI7" i="11" s="1"/>
  <c r="GH6" i="10"/>
  <c r="GI7" i="10" s="1"/>
  <c r="GI7" i="9"/>
  <c r="ET6" i="13"/>
  <c r="I13" i="44"/>
  <c r="K13" i="44"/>
  <c r="I14" i="65"/>
  <c r="K14" i="65"/>
  <c r="N12" i="62"/>
  <c r="L12" i="62" s="1"/>
  <c r="I12" i="60"/>
  <c r="H12" i="60" s="1"/>
  <c r="ES16" i="14"/>
  <c r="L12" i="60" s="1"/>
  <c r="N8" i="62"/>
  <c r="L8" i="62" s="1"/>
  <c r="I8" i="60"/>
  <c r="H8" i="60" s="1"/>
  <c r="ES12" i="14"/>
  <c r="L8" i="60" s="1"/>
  <c r="I22" i="40"/>
  <c r="H22" i="40" s="1"/>
  <c r="N22" i="42"/>
  <c r="L22" i="42" s="1"/>
  <c r="EW12" i="10"/>
  <c r="ET18" i="13"/>
  <c r="M23" i="40" s="1"/>
  <c r="ET17" i="14"/>
  <c r="M13" i="60" s="1"/>
  <c r="I24" i="44"/>
  <c r="K24" i="44"/>
  <c r="I9" i="64"/>
  <c r="K9" i="64"/>
  <c r="I8" i="43"/>
  <c r="K8" i="43"/>
  <c r="ES33" i="13"/>
  <c r="L29" i="40" s="1"/>
  <c r="I17" i="44"/>
  <c r="K17" i="44"/>
  <c r="I26" i="43"/>
  <c r="K26" i="43"/>
  <c r="I12" i="64"/>
  <c r="K12" i="64"/>
  <c r="ET16" i="14"/>
  <c r="M12" i="60" s="1"/>
  <c r="I26" i="44"/>
  <c r="K26" i="44"/>
  <c r="I7" i="66"/>
  <c r="K7" i="66"/>
  <c r="N28" i="42"/>
  <c r="I28" i="40"/>
  <c r="H28" i="40" s="1"/>
  <c r="FQ47" i="13"/>
  <c r="P31" i="40"/>
  <c r="FQ35" i="13"/>
  <c r="P7" i="60"/>
  <c r="FQ8" i="14"/>
  <c r="P3" i="60"/>
  <c r="FQ19" i="14"/>
  <c r="FT12" i="10"/>
  <c r="FQ44" i="13"/>
  <c r="FT38" i="10"/>
  <c r="P16" i="40"/>
  <c r="FQ32" i="13"/>
  <c r="I11" i="43"/>
  <c r="K11" i="43"/>
  <c r="N32" i="42"/>
  <c r="L32" i="42" s="1"/>
  <c r="I32" i="40"/>
  <c r="H32" i="40" s="1"/>
  <c r="I11" i="46"/>
  <c r="K11" i="46"/>
  <c r="I31" i="45"/>
  <c r="K31" i="45"/>
  <c r="I9" i="60"/>
  <c r="H9" i="60" s="1"/>
  <c r="N9" i="62"/>
  <c r="L9" i="62" s="1"/>
  <c r="ES14" i="14"/>
  <c r="L9" i="60" s="1"/>
  <c r="I22" i="45"/>
  <c r="K22" i="45"/>
  <c r="I14" i="45"/>
  <c r="K14" i="45"/>
  <c r="I14" i="46"/>
  <c r="K14" i="46"/>
  <c r="EW17" i="11"/>
  <c r="I16" i="46"/>
  <c r="K16" i="46"/>
  <c r="Q23" i="44"/>
  <c r="GW6" i="13"/>
  <c r="GX7" i="13" s="1"/>
  <c r="Q3" i="44"/>
  <c r="EW15" i="10"/>
  <c r="ES29" i="13"/>
  <c r="L26" i="40" s="1"/>
  <c r="FT42" i="10"/>
  <c r="I32" i="43"/>
  <c r="K32" i="43"/>
  <c r="GT6" i="11"/>
  <c r="GU7" i="11" s="1"/>
  <c r="GT6" i="10"/>
  <c r="GU7" i="10" s="1"/>
  <c r="GU7" i="9"/>
  <c r="FT16" i="11"/>
  <c r="I10" i="60"/>
  <c r="H10" i="60" s="1"/>
  <c r="N10" i="62"/>
  <c r="L10" i="62" s="1"/>
  <c r="ES10" i="14"/>
  <c r="L10" i="60" s="1"/>
  <c r="I4" i="66"/>
  <c r="K4" i="66"/>
  <c r="O5" i="65"/>
  <c r="GZ6" i="14"/>
  <c r="HA7" i="14" s="1"/>
  <c r="O3" i="65"/>
  <c r="FH7" i="14"/>
  <c r="FI7" i="14"/>
  <c r="I18" i="46"/>
  <c r="K18" i="46"/>
  <c r="I34" i="44"/>
  <c r="K34" i="44"/>
  <c r="I19" i="45"/>
  <c r="K19" i="45"/>
  <c r="I20" i="40"/>
  <c r="H20" i="40" s="1"/>
  <c r="N20" i="42"/>
  <c r="I21" i="43"/>
  <c r="K21" i="43"/>
  <c r="P20" i="40"/>
  <c r="FQ11" i="13"/>
  <c r="ET12" i="14"/>
  <c r="M8" i="60" s="1"/>
  <c r="EW16" i="10"/>
  <c r="P6" i="63"/>
  <c r="GH6" i="14"/>
  <c r="GI7" i="14" s="1"/>
  <c r="P3" i="63"/>
  <c r="I6" i="66"/>
  <c r="K6" i="66"/>
  <c r="ES39" i="13"/>
  <c r="Q33" i="45"/>
  <c r="HF6" i="13"/>
  <c r="HG7" i="13" s="1"/>
  <c r="Q3" i="45"/>
  <c r="I8" i="45"/>
  <c r="K8" i="45"/>
  <c r="Q6" i="66"/>
  <c r="HR6" i="14"/>
  <c r="HS7" i="14" s="1"/>
  <c r="Q3" i="66"/>
  <c r="L15" i="44"/>
  <c r="EW17" i="10"/>
  <c r="I33" i="43"/>
  <c r="K33" i="43"/>
  <c r="L4" i="44"/>
  <c r="I13" i="65"/>
  <c r="K13" i="65"/>
  <c r="N17" i="42"/>
  <c r="L17" i="42" s="1"/>
  <c r="I17" i="40"/>
  <c r="H17" i="40" s="1"/>
  <c r="EW10" i="10"/>
  <c r="N7" i="62"/>
  <c r="L7" i="62" s="1"/>
  <c r="I7" i="60"/>
  <c r="H7" i="60" s="1"/>
  <c r="N3" i="62"/>
  <c r="L3" i="62" s="1"/>
  <c r="I3" i="60"/>
  <c r="M3" i="60" s="1"/>
  <c r="ES8" i="14"/>
  <c r="L7" i="60" s="1"/>
  <c r="HR6" i="11"/>
  <c r="HS7" i="11" s="1"/>
  <c r="HR6" i="10"/>
  <c r="HS7" i="10" s="1"/>
  <c r="HS7" i="9"/>
  <c r="ET33" i="13"/>
  <c r="M29" i="40" s="1"/>
  <c r="FF7" i="11"/>
  <c r="I20" i="44"/>
  <c r="K20" i="44"/>
  <c r="I8" i="40"/>
  <c r="H8" i="40" s="1"/>
  <c r="N8" i="42"/>
  <c r="L8" i="42" s="1"/>
  <c r="P26" i="40"/>
  <c r="FQ29" i="13"/>
  <c r="FT35" i="10"/>
  <c r="P4" i="60"/>
  <c r="FQ11" i="14"/>
  <c r="FQ41" i="13"/>
  <c r="R33" i="45"/>
  <c r="HI6" i="13"/>
  <c r="HJ7" i="13" s="1"/>
  <c r="R3" i="45"/>
  <c r="ET14" i="14"/>
  <c r="M9" i="60" s="1"/>
  <c r="EY1" i="10"/>
  <c r="FB7" i="10"/>
  <c r="L12" i="43"/>
  <c r="ES17" i="13"/>
  <c r="L28" i="40" s="1"/>
  <c r="GZ6" i="11"/>
  <c r="HA7" i="11" s="1"/>
  <c r="GZ6" i="10"/>
  <c r="HA7" i="10" s="1"/>
  <c r="HA7" i="9"/>
  <c r="I20" i="45"/>
  <c r="K20" i="45"/>
  <c r="I14" i="63"/>
  <c r="K14" i="63"/>
  <c r="N4" i="42"/>
  <c r="L4" i="42" s="1"/>
  <c r="I4" i="40"/>
  <c r="H4" i="40" s="1"/>
  <c r="ET29" i="13"/>
  <c r="M26" i="40" s="1"/>
  <c r="I34" i="43"/>
  <c r="K34" i="43"/>
  <c r="I22" i="44"/>
  <c r="K22" i="44"/>
  <c r="R5" i="65"/>
  <c r="HI6" i="14"/>
  <c r="HJ7" i="14" s="1"/>
  <c r="R3" i="65"/>
  <c r="FT25" i="10"/>
  <c r="I11" i="66"/>
  <c r="K11" i="66"/>
  <c r="I3" i="64"/>
  <c r="K3" i="64"/>
  <c r="I24" i="43"/>
  <c r="K24" i="43"/>
  <c r="I10" i="65"/>
  <c r="K10" i="65"/>
  <c r="N13" i="42"/>
  <c r="I13" i="40"/>
  <c r="H13" i="40" s="1"/>
  <c r="N33" i="42"/>
  <c r="L33" i="42" s="1"/>
  <c r="I33" i="40"/>
  <c r="H33" i="40" s="1"/>
  <c r="L25" i="43"/>
  <c r="I19" i="44"/>
  <c r="K19" i="44"/>
  <c r="I7" i="45"/>
  <c r="K7" i="45"/>
  <c r="I18" i="43"/>
  <c r="K18" i="43"/>
  <c r="P18" i="46"/>
  <c r="HO6" i="13"/>
  <c r="HP7" i="13" s="1"/>
  <c r="P3" i="46"/>
  <c r="I33" i="46"/>
  <c r="K33" i="46"/>
  <c r="I5" i="60"/>
  <c r="H5" i="60" s="1"/>
  <c r="N5" i="62"/>
  <c r="L5" i="62" s="1"/>
  <c r="ES15" i="14"/>
  <c r="L5" i="60" s="1"/>
  <c r="I7" i="64"/>
  <c r="K7" i="64"/>
  <c r="FT32" i="10"/>
  <c r="FQ39" i="13"/>
  <c r="P7" i="40"/>
  <c r="FQ9" i="13"/>
  <c r="FT11" i="11"/>
  <c r="FT17" i="11"/>
  <c r="P14" i="40"/>
  <c r="FQ26" i="13"/>
  <c r="FT34" i="10"/>
  <c r="FT31" i="10"/>
  <c r="P22" i="40"/>
  <c r="FQ36" i="13"/>
  <c r="I7" i="43"/>
  <c r="K7" i="43"/>
  <c r="I3" i="63"/>
  <c r="K3" i="63"/>
  <c r="ES37" i="13"/>
  <c r="L32" i="40" s="1"/>
  <c r="I5" i="43"/>
  <c r="K5" i="43"/>
  <c r="EY1" i="11"/>
  <c r="FB7" i="11"/>
  <c r="L24" i="43"/>
  <c r="R6" i="63"/>
  <c r="GN6" i="14"/>
  <c r="GO7" i="14" s="1"/>
  <c r="R3" i="63"/>
  <c r="L31" i="45"/>
  <c r="I27" i="40"/>
  <c r="H27" i="40" s="1"/>
  <c r="N27" i="42"/>
  <c r="L27" i="42" s="1"/>
  <c r="I16" i="44"/>
  <c r="K16" i="44"/>
  <c r="L8" i="45"/>
  <c r="EX6" i="11"/>
  <c r="EZ7" i="11" s="1"/>
  <c r="EX6" i="10"/>
  <c r="EZ7" i="10" s="1"/>
  <c r="EX1" i="9"/>
  <c r="EZ1" i="9" s="1"/>
  <c r="EV6" i="9"/>
  <c r="EY7" i="9"/>
  <c r="I13" i="46"/>
  <c r="K13" i="46"/>
  <c r="I8" i="66"/>
  <c r="K8" i="66"/>
  <c r="FT41" i="10"/>
  <c r="FB7" i="14"/>
  <c r="FC7" i="14"/>
  <c r="I32" i="46"/>
  <c r="K32" i="46"/>
  <c r="FE7" i="13"/>
  <c r="FF7" i="13"/>
  <c r="EW11" i="10"/>
  <c r="I17" i="45"/>
  <c r="K17" i="45"/>
  <c r="I9" i="66"/>
  <c r="K9" i="66"/>
  <c r="I4" i="46"/>
  <c r="K4" i="46"/>
  <c r="Q6" i="63"/>
  <c r="GK6" i="14"/>
  <c r="GL7" i="14" s="1"/>
  <c r="Q3" i="63"/>
  <c r="I13" i="45"/>
  <c r="K13" i="45"/>
  <c r="EW33" i="10"/>
  <c r="HQ7" i="9"/>
  <c r="I27" i="43"/>
  <c r="K27" i="43"/>
  <c r="L33" i="46"/>
  <c r="I16" i="43"/>
  <c r="K16" i="43"/>
  <c r="EW30" i="10"/>
  <c r="I5" i="63"/>
  <c r="K5" i="63"/>
  <c r="ET24" i="13"/>
  <c r="M18" i="40" s="1"/>
  <c r="N10" i="42"/>
  <c r="L10" i="42" s="1"/>
  <c r="I10" i="40"/>
  <c r="H10" i="40" s="1"/>
  <c r="I33" i="44"/>
  <c r="K33" i="44"/>
  <c r="L3" i="44"/>
  <c r="ET15" i="14"/>
  <c r="M5" i="60" s="1"/>
  <c r="FT19" i="11"/>
  <c r="P34" i="40"/>
  <c r="FQ34" i="13"/>
  <c r="P12" i="60"/>
  <c r="FQ16" i="14"/>
  <c r="FT9" i="11"/>
  <c r="P25" i="40"/>
  <c r="FQ20" i="13"/>
  <c r="P12" i="40"/>
  <c r="FQ13" i="13"/>
  <c r="FT36" i="10"/>
  <c r="N7" i="42"/>
  <c r="I7" i="40"/>
  <c r="H7" i="40" s="1"/>
  <c r="HL6" i="11"/>
  <c r="HM7" i="11" s="1"/>
  <c r="HL6" i="10"/>
  <c r="HM7" i="10" s="1"/>
  <c r="HM7" i="9"/>
  <c r="L9" i="44"/>
  <c r="N11" i="62"/>
  <c r="L11" i="62" s="1"/>
  <c r="I11" i="60"/>
  <c r="H11" i="60" s="1"/>
  <c r="ES13" i="14"/>
  <c r="L11" i="60" s="1"/>
  <c r="N14" i="42"/>
  <c r="L14" i="42" s="1"/>
  <c r="I14" i="40"/>
  <c r="H14" i="40" s="1"/>
  <c r="I18" i="45"/>
  <c r="K18" i="45"/>
  <c r="I10" i="66"/>
  <c r="K10" i="66"/>
  <c r="I10" i="64"/>
  <c r="K10" i="64"/>
  <c r="N25" i="42"/>
  <c r="I25" i="40"/>
  <c r="H25" i="40" s="1"/>
  <c r="I8" i="65"/>
  <c r="K8" i="65"/>
  <c r="L6" i="66"/>
  <c r="O23" i="44"/>
  <c r="GQ6" i="13"/>
  <c r="GR7" i="13" s="1"/>
  <c r="O3" i="44"/>
  <c r="O8" i="64"/>
  <c r="GQ6" i="14"/>
  <c r="GR7" i="14" s="1"/>
  <c r="O3" i="64"/>
  <c r="I16" i="45"/>
  <c r="K16" i="45"/>
  <c r="I5" i="46"/>
  <c r="K5" i="46"/>
  <c r="I13" i="64"/>
  <c r="K13" i="64"/>
  <c r="I24" i="46"/>
  <c r="K24" i="46"/>
  <c r="I3" i="45"/>
  <c r="K3" i="45"/>
  <c r="GK6" i="11"/>
  <c r="GL7" i="11" s="1"/>
  <c r="GK6" i="10"/>
  <c r="GL7" i="10" s="1"/>
  <c r="GL7" i="9"/>
  <c r="I13" i="43"/>
  <c r="K13" i="43"/>
  <c r="P13" i="60"/>
  <c r="FQ17" i="14"/>
  <c r="I27" i="46"/>
  <c r="K27" i="46"/>
  <c r="HU6" i="11"/>
  <c r="HV7" i="11" s="1"/>
  <c r="HU6" i="10"/>
  <c r="HV7" i="10" s="1"/>
  <c r="HV7" i="9"/>
  <c r="P21" i="40"/>
  <c r="FQ8" i="13"/>
  <c r="P3" i="40"/>
  <c r="I4" i="64"/>
  <c r="K4" i="64"/>
  <c r="I14" i="66"/>
  <c r="K14" i="66"/>
  <c r="I12" i="65"/>
  <c r="K12" i="65"/>
  <c r="ET26" i="13"/>
  <c r="M14" i="40" s="1"/>
  <c r="I19" i="46"/>
  <c r="K19" i="46"/>
  <c r="I5" i="44"/>
  <c r="K5" i="44"/>
  <c r="I8" i="46"/>
  <c r="K8" i="46"/>
  <c r="L7" i="45"/>
  <c r="FK1" i="9"/>
  <c r="I9" i="40"/>
  <c r="H9" i="40" s="1"/>
  <c r="N9" i="42"/>
  <c r="L9" i="42" s="1"/>
  <c r="I3" i="65"/>
  <c r="K3" i="65"/>
  <c r="I12" i="66"/>
  <c r="K12" i="66"/>
  <c r="FT14" i="11"/>
  <c r="FT18" i="10"/>
  <c r="FT27" i="10"/>
  <c r="FT13" i="10"/>
  <c r="FQ43" i="13"/>
  <c r="FT13" i="11"/>
  <c r="FQ42" i="13"/>
  <c r="FT18" i="11"/>
  <c r="I7" i="22"/>
  <c r="K7" i="22"/>
  <c r="EW42" i="10"/>
  <c r="EW40" i="10"/>
  <c r="I27" i="44"/>
  <c r="K27" i="44"/>
  <c r="I28" i="43"/>
  <c r="K28" i="43"/>
  <c r="ES34" i="13"/>
  <c r="L34" i="40" s="1"/>
  <c r="ET13" i="14"/>
  <c r="M11" i="60" s="1"/>
  <c r="I9" i="63"/>
  <c r="K9" i="63"/>
  <c r="FG1" i="9"/>
  <c r="L14" i="66"/>
  <c r="L32" i="44"/>
  <c r="FB7" i="13"/>
  <c r="FC7" i="13"/>
  <c r="ES22" i="13"/>
  <c r="L9" i="40" s="1"/>
  <c r="EW6" i="11"/>
  <c r="EW6" i="10"/>
  <c r="FH7" i="13"/>
  <c r="FI7" i="13"/>
  <c r="I17" i="43"/>
  <c r="K17" i="43"/>
  <c r="I23" i="45"/>
  <c r="K23" i="45"/>
  <c r="I33" i="45"/>
  <c r="K33" i="45"/>
  <c r="ET45" i="13"/>
  <c r="L9" i="66"/>
  <c r="L27" i="43"/>
  <c r="L19" i="44"/>
  <c r="L13" i="44"/>
  <c r="I30" i="44"/>
  <c r="K30" i="44"/>
  <c r="I10" i="45"/>
  <c r="K10" i="45"/>
  <c r="ET14" i="13"/>
  <c r="M5" i="40" s="1"/>
  <c r="FI1" i="10"/>
  <c r="FK7" i="10"/>
  <c r="I6" i="64"/>
  <c r="K6" i="64"/>
  <c r="I9" i="46"/>
  <c r="K9" i="46"/>
  <c r="L3" i="65"/>
  <c r="I29" i="44"/>
  <c r="K29" i="44"/>
  <c r="EW9" i="11"/>
  <c r="I9" i="45"/>
  <c r="K9" i="45"/>
  <c r="EW20" i="11"/>
  <c r="GM7" i="9"/>
  <c r="ET15" i="13"/>
  <c r="M24" i="40" s="1"/>
  <c r="P13" i="40"/>
  <c r="FQ28" i="13"/>
  <c r="FT16" i="10"/>
  <c r="P8" i="40"/>
  <c r="FQ16" i="13"/>
  <c r="P5" i="60"/>
  <c r="FQ15" i="14"/>
  <c r="P9" i="40"/>
  <c r="FQ22" i="13"/>
  <c r="P14" i="60"/>
  <c r="FQ18" i="14"/>
  <c r="I12" i="63"/>
  <c r="K12" i="63"/>
  <c r="I30" i="45"/>
  <c r="K30" i="45"/>
  <c r="N18" i="42"/>
  <c r="L18" i="42" s="1"/>
  <c r="I18" i="40"/>
  <c r="H18" i="40" s="1"/>
  <c r="EY7" i="14"/>
  <c r="EZ7" i="14"/>
  <c r="ET34" i="13"/>
  <c r="M34" i="40" s="1"/>
  <c r="I21" i="46"/>
  <c r="K21" i="46"/>
  <c r="ES19" i="13"/>
  <c r="L4" i="40" s="1"/>
  <c r="P23" i="44"/>
  <c r="GT6" i="13"/>
  <c r="GU7" i="13" s="1"/>
  <c r="P3" i="44"/>
  <c r="FE1" i="10"/>
  <c r="FH7" i="10"/>
  <c r="L16" i="44"/>
  <c r="L11" i="66"/>
  <c r="N29" i="42"/>
  <c r="I29" i="40"/>
  <c r="H29" i="40" s="1"/>
  <c r="I6" i="45"/>
  <c r="K6" i="45"/>
  <c r="I11" i="64"/>
  <c r="K11" i="64"/>
  <c r="O18" i="43"/>
  <c r="GE6" i="13"/>
  <c r="GF7" i="13" s="1"/>
  <c r="O3" i="43"/>
  <c r="I26" i="45"/>
  <c r="K26" i="45"/>
  <c r="ES6" i="13"/>
  <c r="EV7" i="13"/>
  <c r="FT10" i="11"/>
  <c r="I10" i="63"/>
  <c r="K10" i="63"/>
  <c r="I10" i="46"/>
  <c r="K10" i="46"/>
  <c r="I8" i="63"/>
  <c r="K8" i="63"/>
  <c r="HH7" i="9"/>
  <c r="L14" i="44"/>
  <c r="I11" i="45"/>
  <c r="K11" i="45"/>
  <c r="I11" i="44"/>
  <c r="K11" i="44"/>
  <c r="ET35" i="13"/>
  <c r="M31" i="40" s="1"/>
  <c r="I20" i="46"/>
  <c r="K20" i="46"/>
  <c r="FI1" i="11"/>
  <c r="FK7" i="11"/>
  <c r="I10" i="43"/>
  <c r="K10" i="43"/>
  <c r="I7" i="46"/>
  <c r="K7" i="46"/>
  <c r="I21" i="45"/>
  <c r="K21" i="45"/>
  <c r="P6" i="66"/>
  <c r="HO6" i="14"/>
  <c r="HP7" i="14" s="1"/>
  <c r="P3" i="66"/>
  <c r="I31" i="44"/>
  <c r="K31" i="44"/>
  <c r="N23" i="42"/>
  <c r="L23" i="42" s="1"/>
  <c r="I23" i="40"/>
  <c r="H23" i="40" s="1"/>
  <c r="L32" i="43"/>
  <c r="ES23" i="13"/>
  <c r="L15" i="40" s="1"/>
  <c r="FE7" i="14"/>
  <c r="FF7" i="14"/>
  <c r="I12" i="46"/>
  <c r="K12" i="46"/>
  <c r="ES15" i="13"/>
  <c r="L24" i="40" s="1"/>
  <c r="P19" i="40"/>
  <c r="FQ12" i="13"/>
  <c r="P28" i="40"/>
  <c r="FQ17" i="13"/>
  <c r="P6" i="40"/>
  <c r="FQ30" i="13"/>
  <c r="FT23" i="10"/>
  <c r="P11" i="60"/>
  <c r="FQ13" i="14"/>
  <c r="ES6" i="14"/>
  <c r="EV7" i="14"/>
  <c r="I19" i="43"/>
  <c r="K19" i="43"/>
  <c r="ES13" i="13"/>
  <c r="L12" i="40" s="1"/>
  <c r="GQ6" i="11"/>
  <c r="GR7" i="11" s="1"/>
  <c r="GQ6" i="10"/>
  <c r="GR7" i="10" s="1"/>
  <c r="GR7" i="9"/>
  <c r="O6" i="63"/>
  <c r="GE6" i="14"/>
  <c r="GF7" i="14" s="1"/>
  <c r="O3" i="63"/>
  <c r="I9" i="65"/>
  <c r="K9" i="65"/>
  <c r="L33" i="44"/>
  <c r="ET19" i="13"/>
  <c r="M4" i="40" s="1"/>
  <c r="FE1" i="11"/>
  <c r="FH7" i="11"/>
  <c r="I17" i="46"/>
  <c r="K17" i="46"/>
  <c r="I28" i="45"/>
  <c r="K28" i="45"/>
  <c r="HC6" i="11"/>
  <c r="HD7" i="11" s="1"/>
  <c r="HC6" i="10"/>
  <c r="HD7" i="10" s="1"/>
  <c r="HD7" i="9"/>
  <c r="N16" i="42"/>
  <c r="I16" i="40"/>
  <c r="H16" i="40" s="1"/>
  <c r="I3" i="43"/>
  <c r="K3" i="43"/>
  <c r="ET9" i="14"/>
  <c r="M6" i="60" s="1"/>
  <c r="O33" i="45"/>
  <c r="GZ6" i="13"/>
  <c r="HA7" i="13" s="1"/>
  <c r="O3" i="45"/>
  <c r="I8" i="64"/>
  <c r="K8" i="64"/>
  <c r="I25" i="45"/>
  <c r="K25" i="45"/>
  <c r="Q18" i="46"/>
  <c r="HR6" i="13"/>
  <c r="HS7" i="13" s="1"/>
  <c r="Q3" i="46"/>
  <c r="I15" i="45"/>
  <c r="K15" i="45"/>
  <c r="I6" i="65"/>
  <c r="K6" i="65"/>
  <c r="N21" i="42"/>
  <c r="L21" i="42" s="1"/>
  <c r="I21" i="40"/>
  <c r="H21" i="40" s="1"/>
  <c r="N3" i="42"/>
  <c r="L3" i="42" s="1"/>
  <c r="I3" i="40"/>
  <c r="M3" i="40" s="1"/>
  <c r="L7" i="44"/>
  <c r="I6" i="46"/>
  <c r="K6" i="46"/>
  <c r="P5" i="65"/>
  <c r="HC6" i="14"/>
  <c r="HD7" i="14" s="1"/>
  <c r="P3" i="65"/>
  <c r="I34" i="46"/>
  <c r="K34" i="46"/>
  <c r="I29" i="45"/>
  <c r="K29" i="45"/>
  <c r="I24" i="45"/>
  <c r="K24" i="45"/>
  <c r="I13" i="66"/>
  <c r="K13" i="66"/>
  <c r="I5" i="65"/>
  <c r="K5" i="65"/>
  <c r="I28" i="44"/>
  <c r="K28" i="44"/>
  <c r="P10" i="40"/>
  <c r="FQ31" i="13"/>
  <c r="FT10" i="10"/>
  <c r="P32" i="40"/>
  <c r="FQ37" i="13"/>
  <c r="FQ46" i="13"/>
  <c r="FT30" i="10"/>
  <c r="FT26" i="10"/>
  <c r="FT21" i="10"/>
  <c r="FT11" i="10"/>
  <c r="P27" i="40"/>
  <c r="FQ10" i="13"/>
  <c r="I14" i="64"/>
  <c r="K14" i="64"/>
  <c r="L26" i="45"/>
  <c r="I6" i="63"/>
  <c r="K6" i="63"/>
  <c r="ET30" i="13"/>
  <c r="M6" i="40" s="1"/>
  <c r="I31" i="46"/>
  <c r="K31" i="46"/>
  <c r="L26" i="43"/>
  <c r="ET13" i="13"/>
  <c r="M12" i="40" s="1"/>
  <c r="R18" i="43"/>
  <c r="GN6" i="13"/>
  <c r="GO7" i="13" s="1"/>
  <c r="R3" i="43"/>
  <c r="I12" i="44"/>
  <c r="K12" i="44"/>
  <c r="EW13" i="10"/>
  <c r="L34" i="45"/>
  <c r="I31" i="43"/>
  <c r="K31" i="43"/>
  <c r="L24" i="46"/>
  <c r="I4" i="43"/>
  <c r="K4" i="43"/>
  <c r="O18" i="46"/>
  <c r="HL6" i="13"/>
  <c r="HM7" i="13" s="1"/>
  <c r="O3" i="46"/>
  <c r="I23" i="44"/>
  <c r="K23" i="44"/>
  <c r="L22" i="43"/>
  <c r="Q5" i="65"/>
  <c r="HF6" i="14"/>
  <c r="HG7" i="14" s="1"/>
  <c r="Q3" i="65"/>
  <c r="P11" i="40"/>
  <c r="FQ27" i="13"/>
  <c r="GW6" i="11"/>
  <c r="GX7" i="11" s="1"/>
  <c r="GW6" i="10"/>
  <c r="GX7" i="10" s="1"/>
  <c r="GX7" i="9"/>
  <c r="FT24" i="10"/>
  <c r="I29" i="43"/>
  <c r="K29" i="43"/>
  <c r="L34" i="43"/>
  <c r="I3" i="66"/>
  <c r="K3" i="66"/>
  <c r="I3" i="46"/>
  <c r="K3" i="46"/>
  <c r="I10" i="44"/>
  <c r="K10" i="44"/>
  <c r="L3" i="43"/>
  <c r="GN6" i="11"/>
  <c r="GO7" i="11" s="1"/>
  <c r="GN6" i="10"/>
  <c r="GO7" i="10" s="1"/>
  <c r="GO7" i="9"/>
  <c r="FC1" i="9"/>
  <c r="P33" i="45"/>
  <c r="HC6" i="13"/>
  <c r="HD7" i="13" s="1"/>
  <c r="P3" i="45"/>
  <c r="I9" i="43"/>
  <c r="K9" i="43"/>
  <c r="I28" i="46"/>
  <c r="K28" i="46"/>
  <c r="ET27" i="13"/>
  <c r="M11" i="40" s="1"/>
  <c r="I21" i="44"/>
  <c r="K21" i="44"/>
  <c r="FT29" i="10"/>
  <c r="FT40" i="10"/>
  <c r="P33" i="40"/>
  <c r="FQ25" i="13"/>
  <c r="P15" i="40"/>
  <c r="FQ23" i="13"/>
  <c r="P8" i="60"/>
  <c r="FQ12" i="14"/>
  <c r="FT37" i="10"/>
  <c r="FT22" i="10"/>
  <c r="FT17" i="10"/>
  <c r="ES30" i="13"/>
  <c r="L6" i="40" s="1"/>
  <c r="I5" i="66"/>
  <c r="K5" i="66"/>
  <c r="I5" i="45"/>
  <c r="K5" i="45"/>
  <c r="I7" i="65"/>
  <c r="K7" i="65"/>
  <c r="I15" i="43"/>
  <c r="K15" i="43"/>
  <c r="L26" i="44"/>
  <c r="L15" i="45"/>
  <c r="FC7" i="11"/>
  <c r="I27" i="45"/>
  <c r="K27" i="45"/>
  <c r="I4" i="63"/>
  <c r="K4" i="63"/>
  <c r="ET32" i="13"/>
  <c r="M16" i="40" s="1"/>
  <c r="L12" i="65"/>
  <c r="L10" i="46"/>
  <c r="O6" i="66"/>
  <c r="HL6" i="14"/>
  <c r="HM7" i="14" s="1"/>
  <c r="O3" i="66"/>
  <c r="L11" i="45"/>
  <c r="EW12" i="11"/>
  <c r="FT28" i="10"/>
  <c r="I25" i="46"/>
  <c r="K25" i="46"/>
  <c r="I14" i="43"/>
  <c r="K14" i="43"/>
  <c r="L22" i="44"/>
  <c r="FT14" i="10"/>
  <c r="I15" i="40"/>
  <c r="H15" i="40" s="1"/>
  <c r="N15" i="42"/>
  <c r="EW19" i="11"/>
  <c r="P18" i="43"/>
  <c r="GH6" i="13"/>
  <c r="GI7" i="13" s="1"/>
  <c r="P3" i="43"/>
  <c r="L4" i="46"/>
  <c r="I34" i="40"/>
  <c r="H34" i="40" s="1"/>
  <c r="N34" i="42"/>
  <c r="L34" i="42" s="1"/>
  <c r="ET25" i="13"/>
  <c r="M33" i="40" s="1"/>
  <c r="GJ7" i="9"/>
  <c r="I15" i="46"/>
  <c r="K15" i="46"/>
  <c r="FA1" i="10"/>
  <c r="FE7" i="10"/>
  <c r="I30" i="46"/>
  <c r="K30" i="46"/>
  <c r="EW8" i="11"/>
  <c r="HK7" i="9"/>
  <c r="EW23" i="10"/>
  <c r="I6" i="44"/>
  <c r="K6" i="44"/>
  <c r="I26" i="46"/>
  <c r="K26" i="46"/>
  <c r="ES27" i="13"/>
  <c r="L11" i="40" s="1"/>
  <c r="I4" i="45"/>
  <c r="K4" i="45"/>
  <c r="I32" i="45"/>
  <c r="K32" i="45"/>
  <c r="I8" i="44"/>
  <c r="K8" i="44"/>
  <c r="ET31" i="13"/>
  <c r="M10" i="40" s="1"/>
  <c r="P30" i="40"/>
  <c r="FQ38" i="13"/>
  <c r="FQ45" i="13"/>
  <c r="FT39" i="10"/>
  <c r="FT33" i="10"/>
  <c r="P18" i="40"/>
  <c r="FQ24" i="13"/>
  <c r="FT8" i="10"/>
  <c r="P23" i="40"/>
  <c r="FQ18" i="13"/>
  <c r="EW25" i="10"/>
  <c r="ET21" i="13"/>
  <c r="M17" i="40" s="1"/>
  <c r="N30" i="42"/>
  <c r="L30" i="42" s="1"/>
  <c r="I30" i="40"/>
  <c r="H30" i="40" s="1"/>
  <c r="I20" i="43"/>
  <c r="K20" i="43"/>
  <c r="N4" i="62"/>
  <c r="I4" i="60"/>
  <c r="H4" i="60" s="1"/>
  <c r="ES11" i="14"/>
  <c r="L4" i="60" s="1"/>
  <c r="EW11" i="11"/>
  <c r="Q8" i="64"/>
  <c r="GW6" i="14"/>
  <c r="GX7" i="14" s="1"/>
  <c r="Q3" i="64"/>
  <c r="I30" i="43"/>
  <c r="K30" i="43"/>
  <c r="ES32" i="13"/>
  <c r="L16" i="40" s="1"/>
  <c r="I25" i="44"/>
  <c r="K25" i="44"/>
  <c r="I23" i="43"/>
  <c r="K23" i="43"/>
  <c r="ES46" i="13"/>
  <c r="I19" i="40"/>
  <c r="H19" i="40" s="1"/>
  <c r="N19" i="42"/>
  <c r="L19" i="42" s="1"/>
  <c r="L25" i="45"/>
  <c r="HH7" i="10" l="1"/>
  <c r="GM7" i="14"/>
  <c r="HT7" i="10"/>
  <c r="HK7" i="13"/>
  <c r="GM7" i="10"/>
  <c r="HQ7" i="10"/>
  <c r="GM7" i="13"/>
  <c r="HW7" i="11"/>
  <c r="GJ7" i="14"/>
  <c r="HN7" i="11"/>
  <c r="GP7" i="14"/>
  <c r="HN7" i="14"/>
  <c r="HQ7" i="11"/>
  <c r="GY7" i="10"/>
  <c r="HH7" i="11"/>
  <c r="GS7" i="14"/>
  <c r="GM7" i="11"/>
  <c r="FF1" i="9"/>
  <c r="FB1" i="9"/>
  <c r="FJ1" i="9"/>
  <c r="HE7" i="14"/>
  <c r="HK7" i="10"/>
  <c r="HT7" i="11"/>
  <c r="GV7" i="14"/>
  <c r="GP7" i="10"/>
  <c r="HE7" i="13"/>
  <c r="GP7" i="11"/>
  <c r="GJ7" i="13"/>
  <c r="GG7" i="13"/>
  <c r="GV7" i="11"/>
  <c r="GY7" i="13"/>
  <c r="HH7" i="14"/>
  <c r="FC1" i="10"/>
  <c r="I25" i="42"/>
  <c r="K25" i="42"/>
  <c r="I15" i="42"/>
  <c r="K15" i="42"/>
  <c r="GP7" i="13"/>
  <c r="I29" i="42"/>
  <c r="K29" i="42"/>
  <c r="HB7" i="14"/>
  <c r="HW7" i="10"/>
  <c r="I6" i="42"/>
  <c r="K6" i="42"/>
  <c r="HT7" i="13"/>
  <c r="I12" i="42"/>
  <c r="K12" i="42"/>
  <c r="I7" i="42"/>
  <c r="K7" i="42"/>
  <c r="I13" i="62"/>
  <c r="K13" i="62"/>
  <c r="I31" i="42"/>
  <c r="K31" i="42"/>
  <c r="C61" i="36"/>
  <c r="C89" i="33"/>
  <c r="C35" i="32"/>
  <c r="C61" i="35"/>
  <c r="C35" i="31"/>
  <c r="C18" i="29"/>
  <c r="C89" i="34"/>
  <c r="C61" i="28"/>
  <c r="D87" i="25"/>
  <c r="C61" i="27"/>
  <c r="C63" i="30"/>
  <c r="D59" i="26"/>
  <c r="D34" i="24"/>
  <c r="D58" i="20"/>
  <c r="D57" i="23"/>
  <c r="C69" i="17"/>
  <c r="D58" i="22"/>
  <c r="C100" i="12"/>
  <c r="A44" i="9"/>
  <c r="I4" i="62"/>
  <c r="K4" i="62"/>
  <c r="I10" i="42"/>
  <c r="K10" i="42"/>
  <c r="GV7" i="13"/>
  <c r="GJ7" i="11"/>
  <c r="GS7" i="10"/>
  <c r="FC1" i="11"/>
  <c r="L7" i="42"/>
  <c r="EV6" i="11"/>
  <c r="EV6" i="10"/>
  <c r="HB7" i="11"/>
  <c r="I20" i="42"/>
  <c r="K20" i="42"/>
  <c r="I28" i="42"/>
  <c r="K28" i="42"/>
  <c r="I8" i="62"/>
  <c r="K8" i="62"/>
  <c r="I26" i="42"/>
  <c r="K26" i="42"/>
  <c r="I13" i="42"/>
  <c r="K13" i="42"/>
  <c r="I17" i="42"/>
  <c r="K17" i="42"/>
  <c r="I24" i="42"/>
  <c r="K24" i="42"/>
  <c r="I34" i="42"/>
  <c r="K34" i="42"/>
  <c r="I14" i="42"/>
  <c r="K14" i="42"/>
  <c r="HQ7" i="13"/>
  <c r="L13" i="62"/>
  <c r="GS7" i="11"/>
  <c r="HE7" i="10"/>
  <c r="I5" i="42"/>
  <c r="K5" i="42"/>
  <c r="GG7" i="14"/>
  <c r="I19" i="42"/>
  <c r="K19" i="42"/>
  <c r="I16" i="42"/>
  <c r="K16" i="42"/>
  <c r="I18" i="42"/>
  <c r="K18" i="42"/>
  <c r="I32" i="42"/>
  <c r="K32" i="42"/>
  <c r="H3" i="40"/>
  <c r="L3" i="40"/>
  <c r="FK1" i="10"/>
  <c r="I5" i="62"/>
  <c r="K5" i="62"/>
  <c r="L28" i="42"/>
  <c r="HE7" i="11"/>
  <c r="HT7" i="14"/>
  <c r="I22" i="42"/>
  <c r="K22" i="42"/>
  <c r="I30" i="42"/>
  <c r="K30" i="42"/>
  <c r="HN7" i="10"/>
  <c r="I3" i="42"/>
  <c r="K3" i="42"/>
  <c r="FK1" i="11"/>
  <c r="HQ7" i="14"/>
  <c r="HH7" i="13"/>
  <c r="HN7" i="13"/>
  <c r="EX1" i="10"/>
  <c r="FB1" i="10" s="1"/>
  <c r="D1" i="10"/>
  <c r="EY7" i="10"/>
  <c r="I8" i="42"/>
  <c r="K8" i="42"/>
  <c r="H3" i="60"/>
  <c r="L3" i="60"/>
  <c r="I10" i="62"/>
  <c r="K10" i="62"/>
  <c r="I12" i="62"/>
  <c r="K12" i="62"/>
  <c r="I6" i="62"/>
  <c r="K6" i="62"/>
  <c r="GY7" i="14"/>
  <c r="I11" i="42"/>
  <c r="K11" i="42"/>
  <c r="L15" i="42"/>
  <c r="FG1" i="11"/>
  <c r="I23" i="42"/>
  <c r="K23" i="42"/>
  <c r="HB7" i="13"/>
  <c r="I11" i="62"/>
  <c r="K11" i="62"/>
  <c r="EX1" i="11"/>
  <c r="FF1" i="11" s="1"/>
  <c r="D1" i="11"/>
  <c r="EY7" i="11"/>
  <c r="I4" i="42"/>
  <c r="K4" i="42"/>
  <c r="I3" i="62"/>
  <c r="K3" i="62"/>
  <c r="HB7" i="10"/>
  <c r="L4" i="62"/>
  <c r="GY7" i="11"/>
  <c r="I21" i="42"/>
  <c r="K21" i="42"/>
  <c r="L29" i="42"/>
  <c r="I9" i="42"/>
  <c r="K9" i="42"/>
  <c r="L13" i="42"/>
  <c r="L20" i="42"/>
  <c r="I9" i="62"/>
  <c r="K9" i="62"/>
  <c r="L16" i="42"/>
  <c r="GJ7" i="10"/>
  <c r="GS7" i="13"/>
  <c r="I27" i="42"/>
  <c r="K27" i="42"/>
  <c r="FG1" i="10"/>
  <c r="HK7" i="14"/>
  <c r="L25" i="42"/>
  <c r="I33" i="42"/>
  <c r="K33" i="42"/>
  <c r="I7" i="62"/>
  <c r="K7" i="62"/>
  <c r="GV7" i="10"/>
  <c r="L24" i="42"/>
  <c r="I14" i="62"/>
  <c r="K14" i="62"/>
  <c r="HK7" i="11"/>
  <c r="EZ1" i="11" l="1"/>
  <c r="EZ1" i="10"/>
  <c r="C20" i="35"/>
  <c r="C20" i="36"/>
  <c r="C53" i="34"/>
  <c r="C53" i="33"/>
  <c r="C13" i="31"/>
  <c r="C23" i="27"/>
  <c r="D14" i="26"/>
  <c r="C23" i="30"/>
  <c r="C23" i="29"/>
  <c r="C23" i="28"/>
  <c r="C13" i="32"/>
  <c r="D43" i="25"/>
  <c r="D13" i="24"/>
  <c r="D19" i="22"/>
  <c r="D19" i="20"/>
  <c r="D16" i="23"/>
  <c r="C70" i="17"/>
  <c r="C54" i="12"/>
  <c r="A45" i="9"/>
  <c r="FB1" i="11"/>
  <c r="FJ1" i="11"/>
  <c r="FJ1" i="10"/>
  <c r="FF1" i="10"/>
  <c r="C35" i="35" l="1"/>
  <c r="C70" i="34"/>
  <c r="C22" i="31"/>
  <c r="C35" i="36"/>
  <c r="C35" i="28"/>
  <c r="C70" i="33"/>
  <c r="C10" i="29"/>
  <c r="C35" i="27"/>
  <c r="C22" i="32"/>
  <c r="C35" i="30"/>
  <c r="D69" i="25"/>
  <c r="D20" i="24"/>
  <c r="D34" i="26"/>
  <c r="D33" i="22"/>
  <c r="D33" i="20"/>
  <c r="D34" i="23"/>
  <c r="C72" i="17"/>
  <c r="C61" i="12"/>
  <c r="A46" i="9"/>
  <c r="C33" i="36" l="1"/>
  <c r="C68" i="34"/>
  <c r="C18" i="32"/>
  <c r="C33" i="35"/>
  <c r="C68" i="33"/>
  <c r="C18" i="31"/>
  <c r="C33" i="30"/>
  <c r="C11" i="29"/>
  <c r="D30" i="26"/>
  <c r="C33" i="28"/>
  <c r="C33" i="27"/>
  <c r="D63" i="25"/>
  <c r="D17" i="24"/>
  <c r="D29" i="20"/>
  <c r="D29" i="22"/>
  <c r="C73" i="17"/>
  <c r="D31" i="23"/>
  <c r="C58" i="12"/>
  <c r="A47" i="9"/>
  <c r="C91" i="36" l="1"/>
  <c r="C91" i="35"/>
  <c r="C98" i="34"/>
  <c r="C56" i="32"/>
  <c r="C98" i="33"/>
  <c r="C56" i="31"/>
  <c r="C89" i="30"/>
  <c r="C89" i="28"/>
  <c r="D90" i="26"/>
  <c r="C21" i="29"/>
  <c r="C89" i="27"/>
  <c r="D56" i="24"/>
  <c r="D99" i="25"/>
  <c r="D89" i="23"/>
  <c r="D88" i="20"/>
  <c r="D88" i="22"/>
  <c r="C66" i="17"/>
  <c r="C101" i="12"/>
  <c r="A48" i="9"/>
  <c r="C101" i="36" l="1"/>
  <c r="C64" i="31"/>
  <c r="C101" i="35"/>
  <c r="C100" i="33"/>
  <c r="C64" i="32"/>
  <c r="C101" i="30"/>
  <c r="C101" i="27"/>
  <c r="C66" i="29"/>
  <c r="C100" i="34"/>
  <c r="C101" i="28"/>
  <c r="D102" i="26"/>
  <c r="D100" i="25"/>
  <c r="D62" i="24"/>
  <c r="D101" i="23"/>
  <c r="D101" i="22"/>
  <c r="D101" i="20"/>
  <c r="C92" i="17"/>
  <c r="C103" i="12"/>
  <c r="A49" i="9"/>
  <c r="C39" i="35" l="1"/>
  <c r="C71" i="34"/>
  <c r="C39" i="36"/>
  <c r="C62" i="29"/>
  <c r="C71" i="33"/>
  <c r="C28" i="31"/>
  <c r="C40" i="30"/>
  <c r="C28" i="32"/>
  <c r="C41" i="28"/>
  <c r="C41" i="27"/>
  <c r="D39" i="26"/>
  <c r="D71" i="25"/>
  <c r="D38" i="23"/>
  <c r="D26" i="24"/>
  <c r="D39" i="20"/>
  <c r="C84" i="17"/>
  <c r="D39" i="22"/>
  <c r="C62" i="12"/>
  <c r="A50" i="9"/>
  <c r="C40" i="36" l="1"/>
  <c r="C40" i="35"/>
  <c r="C72" i="34"/>
  <c r="C72" i="33"/>
  <c r="C42" i="30"/>
  <c r="C26" i="32"/>
  <c r="C26" i="31"/>
  <c r="C15" i="29"/>
  <c r="C43" i="28"/>
  <c r="D70" i="25"/>
  <c r="D38" i="26"/>
  <c r="D24" i="24"/>
  <c r="C43" i="27"/>
  <c r="D38" i="20"/>
  <c r="D37" i="23"/>
  <c r="C85" i="17"/>
  <c r="D38" i="22"/>
  <c r="C63" i="12"/>
  <c r="A51" i="9"/>
  <c r="C58" i="36" l="1"/>
  <c r="C33" i="32"/>
  <c r="C79" i="33"/>
  <c r="C33" i="31"/>
  <c r="C58" i="35"/>
  <c r="C79" i="34"/>
  <c r="C61" i="30"/>
  <c r="C13" i="29"/>
  <c r="D49" i="26"/>
  <c r="C54" i="28"/>
  <c r="C54" i="27"/>
  <c r="D74" i="25"/>
  <c r="D32" i="24"/>
  <c r="D50" i="23"/>
  <c r="D46" i="22"/>
  <c r="D46" i="20"/>
  <c r="C82" i="17"/>
  <c r="C68" i="12"/>
  <c r="A52" i="9"/>
  <c r="C31" i="36" l="1"/>
  <c r="C17" i="31"/>
  <c r="C32" i="30"/>
  <c r="C32" i="29"/>
  <c r="C40" i="34"/>
  <c r="C17" i="32"/>
  <c r="C31" i="35"/>
  <c r="D28" i="26"/>
  <c r="C29" i="28"/>
  <c r="C40" i="33"/>
  <c r="C29" i="27"/>
  <c r="D15" i="24"/>
  <c r="D35" i="25"/>
  <c r="D28" i="23"/>
  <c r="C95" i="17"/>
  <c r="D25" i="22"/>
  <c r="D25" i="20"/>
  <c r="C32" i="12"/>
  <c r="A53" i="9"/>
  <c r="C46" i="33" l="1"/>
  <c r="C64" i="36"/>
  <c r="C64" i="35"/>
  <c r="C70" i="31"/>
  <c r="C19" i="29"/>
  <c r="C70" i="32"/>
  <c r="C67" i="30"/>
  <c r="D61" i="26"/>
  <c r="C68" i="28"/>
  <c r="C46" i="34"/>
  <c r="C68" i="27"/>
  <c r="D41" i="25"/>
  <c r="D70" i="24"/>
  <c r="D63" i="23"/>
  <c r="D64" i="20"/>
  <c r="D64" i="22"/>
  <c r="C65" i="17"/>
  <c r="C37" i="12"/>
  <c r="A54" i="9"/>
  <c r="C49" i="36" l="1"/>
  <c r="C49" i="35"/>
  <c r="C71" i="31"/>
  <c r="C35" i="33"/>
  <c r="C71" i="32"/>
  <c r="C53" i="30"/>
  <c r="C35" i="34"/>
  <c r="D42" i="26"/>
  <c r="C9" i="29"/>
  <c r="C51" i="27"/>
  <c r="D71" i="24"/>
  <c r="C51" i="28"/>
  <c r="D32" i="25"/>
  <c r="D45" i="20"/>
  <c r="D43" i="23"/>
  <c r="C63" i="17"/>
  <c r="D45" i="22"/>
  <c r="C30" i="12"/>
  <c r="A55" i="9"/>
  <c r="A56" i="9" s="1"/>
  <c r="C19" i="36" l="1"/>
  <c r="C32" i="34"/>
  <c r="C32" i="33"/>
  <c r="C19" i="35"/>
  <c r="C11" i="32"/>
  <c r="C11" i="31"/>
  <c r="C31" i="29"/>
  <c r="C18" i="28"/>
  <c r="C18" i="27"/>
  <c r="C19" i="30"/>
  <c r="D33" i="25"/>
  <c r="D20" i="26"/>
  <c r="D19" i="23"/>
  <c r="D12" i="24"/>
  <c r="D20" i="22"/>
  <c r="C96" i="17"/>
  <c r="D20" i="20"/>
  <c r="C27" i="12"/>
  <c r="A57" i="9"/>
  <c r="A58" i="9" s="1"/>
  <c r="C5" i="36" l="1"/>
  <c r="C31" i="34"/>
  <c r="C5" i="35"/>
  <c r="C6" i="32"/>
  <c r="C31" i="33"/>
  <c r="C6" i="31"/>
  <c r="C14" i="29"/>
  <c r="C5" i="28"/>
  <c r="C5" i="27"/>
  <c r="C6" i="30"/>
  <c r="D6" i="24"/>
  <c r="D31" i="25"/>
  <c r="D5" i="22"/>
  <c r="D5" i="26"/>
  <c r="D6" i="23"/>
  <c r="C100" i="17"/>
  <c r="D5" i="20"/>
  <c r="C26" i="12"/>
  <c r="A59" i="9"/>
  <c r="C74" i="34" l="1"/>
  <c r="C74" i="33"/>
  <c r="C37" i="35"/>
  <c r="C37" i="36"/>
  <c r="C33" i="29"/>
  <c r="C25" i="32"/>
  <c r="C25" i="31"/>
  <c r="C38" i="27"/>
  <c r="C38" i="28"/>
  <c r="C38" i="30"/>
  <c r="D73" i="25"/>
  <c r="D36" i="26"/>
  <c r="D36" i="23"/>
  <c r="D27" i="24"/>
  <c r="D37" i="20"/>
  <c r="C102" i="17"/>
  <c r="D37" i="22"/>
  <c r="C65" i="12"/>
  <c r="A60" i="9"/>
  <c r="C52" i="36" l="1"/>
  <c r="C34" i="32"/>
  <c r="C34" i="31"/>
  <c r="C52" i="35"/>
  <c r="C55" i="34"/>
  <c r="C55" i="33"/>
  <c r="C57" i="30"/>
  <c r="C52" i="28"/>
  <c r="C30" i="29"/>
  <c r="D55" i="26"/>
  <c r="D50" i="25"/>
  <c r="C52" i="27"/>
  <c r="D35" i="24"/>
  <c r="D56" i="23"/>
  <c r="D53" i="20"/>
  <c r="D53" i="22"/>
  <c r="C99" i="17"/>
  <c r="C42" i="12"/>
  <c r="A61" i="9"/>
  <c r="C57" i="36" l="1"/>
  <c r="C57" i="35"/>
  <c r="C36" i="31"/>
  <c r="C58" i="33"/>
  <c r="C58" i="34"/>
  <c r="C5" i="29"/>
  <c r="C58" i="28"/>
  <c r="C62" i="30"/>
  <c r="C36" i="32"/>
  <c r="D57" i="26"/>
  <c r="C58" i="27"/>
  <c r="D55" i="25"/>
  <c r="D37" i="24"/>
  <c r="D59" i="20"/>
  <c r="C97" i="17"/>
  <c r="D60" i="23"/>
  <c r="D59" i="22"/>
  <c r="C47" i="12"/>
  <c r="A62" i="9"/>
  <c r="C43" i="35" l="1"/>
  <c r="C43" i="36"/>
  <c r="C46" i="30"/>
  <c r="C38" i="34"/>
  <c r="C72" i="32"/>
  <c r="C72" i="31"/>
  <c r="C38" i="33"/>
  <c r="C29" i="29"/>
  <c r="C47" i="28"/>
  <c r="D44" i="26"/>
  <c r="C47" i="27"/>
  <c r="D37" i="25"/>
  <c r="D72" i="24"/>
  <c r="D45" i="23"/>
  <c r="D48" i="20"/>
  <c r="C36" i="17"/>
  <c r="D48" i="22"/>
  <c r="C44" i="12"/>
  <c r="A63" i="9"/>
  <c r="C45" i="36" l="1"/>
  <c r="C45" i="35"/>
  <c r="C49" i="28"/>
  <c r="C39" i="33"/>
  <c r="C48" i="30"/>
  <c r="C45" i="29"/>
  <c r="C73" i="32"/>
  <c r="C73" i="31"/>
  <c r="C39" i="34"/>
  <c r="C49" i="27"/>
  <c r="D46" i="26"/>
  <c r="D73" i="24"/>
  <c r="D49" i="23"/>
  <c r="D39" i="25"/>
  <c r="D51" i="20"/>
  <c r="C37" i="17"/>
  <c r="D51" i="22"/>
  <c r="C50" i="12"/>
  <c r="A64" i="9"/>
  <c r="C66" i="36" l="1"/>
  <c r="C62" i="33"/>
  <c r="C62" i="34"/>
  <c r="C74" i="32"/>
  <c r="C66" i="35"/>
  <c r="C46" i="29"/>
  <c r="C66" i="30"/>
  <c r="D65" i="26"/>
  <c r="D67" i="25"/>
  <c r="C69" i="28"/>
  <c r="C69" i="27"/>
  <c r="C74" i="31"/>
  <c r="D67" i="23"/>
  <c r="D68" i="20"/>
  <c r="D74" i="24"/>
  <c r="C38" i="17"/>
  <c r="D68" i="22"/>
  <c r="C53" i="12"/>
  <c r="A65" i="9"/>
  <c r="C48" i="36" l="1"/>
  <c r="C48" i="35"/>
  <c r="C34" i="34"/>
  <c r="C34" i="33"/>
  <c r="C48" i="28"/>
  <c r="C44" i="32"/>
  <c r="C44" i="31"/>
  <c r="C47" i="30"/>
  <c r="C24" i="29"/>
  <c r="C48" i="27"/>
  <c r="D48" i="26"/>
  <c r="D34" i="25"/>
  <c r="D44" i="24"/>
  <c r="D50" i="20"/>
  <c r="D50" i="22"/>
  <c r="D48" i="23"/>
  <c r="C17" i="17"/>
  <c r="C52" i="12"/>
  <c r="A66" i="9"/>
  <c r="C34" i="35" l="1"/>
  <c r="C34" i="36"/>
  <c r="C23" i="34"/>
  <c r="C34" i="28"/>
  <c r="C23" i="33"/>
  <c r="D35" i="26"/>
  <c r="C40" i="32"/>
  <c r="C34" i="30"/>
  <c r="C40" i="31"/>
  <c r="C25" i="29"/>
  <c r="C34" i="27"/>
  <c r="D27" i="25"/>
  <c r="D35" i="23"/>
  <c r="D35" i="20"/>
  <c r="D42" i="24"/>
  <c r="C18" i="17"/>
  <c r="D35" i="22"/>
  <c r="C33" i="12"/>
  <c r="A67" i="9"/>
  <c r="C8" i="35" l="1"/>
  <c r="C20" i="32"/>
  <c r="C20" i="31"/>
  <c r="C8" i="36"/>
  <c r="C48" i="29"/>
  <c r="C7" i="33"/>
  <c r="C9" i="27"/>
  <c r="C9" i="28"/>
  <c r="C7" i="34"/>
  <c r="C9" i="30"/>
  <c r="D7" i="25"/>
  <c r="D8" i="26"/>
  <c r="D21" i="24"/>
  <c r="D8" i="23"/>
  <c r="D8" i="22"/>
  <c r="D8" i="20"/>
  <c r="C39" i="17"/>
  <c r="C12" i="12"/>
  <c r="A68" i="9"/>
  <c r="C75" i="32" l="1"/>
  <c r="C30" i="36"/>
  <c r="C30" i="35"/>
  <c r="C47" i="29"/>
  <c r="C30" i="30"/>
  <c r="C22" i="33"/>
  <c r="C31" i="28"/>
  <c r="C75" i="31"/>
  <c r="C22" i="34"/>
  <c r="D23" i="25"/>
  <c r="D31" i="26"/>
  <c r="C31" i="27"/>
  <c r="D32" i="22"/>
  <c r="D29" i="23"/>
  <c r="D75" i="24"/>
  <c r="D32" i="20"/>
  <c r="C40" i="17"/>
  <c r="C17" i="12"/>
  <c r="A69" i="9"/>
  <c r="A70" i="9" s="1"/>
  <c r="C51" i="31" l="1"/>
  <c r="C54" i="35"/>
  <c r="C54" i="36"/>
  <c r="C51" i="32"/>
  <c r="C55" i="30"/>
  <c r="C49" i="33"/>
  <c r="C49" i="34"/>
  <c r="D56" i="26"/>
  <c r="C26" i="29"/>
  <c r="C56" i="27"/>
  <c r="C56" i="28"/>
  <c r="D48" i="25"/>
  <c r="D52" i="24"/>
  <c r="D59" i="23"/>
  <c r="D61" i="22"/>
  <c r="D61" i="20"/>
  <c r="C9" i="17"/>
  <c r="C79" i="12"/>
  <c r="A71" i="9"/>
  <c r="C75" i="33" l="1"/>
  <c r="C65" i="31"/>
  <c r="C75" i="34"/>
  <c r="C82" i="35"/>
  <c r="C82" i="36"/>
  <c r="C65" i="32"/>
  <c r="C84" i="30"/>
  <c r="C27" i="29"/>
  <c r="C83" i="28"/>
  <c r="D83" i="26"/>
  <c r="D64" i="24"/>
  <c r="C83" i="27"/>
  <c r="D77" i="25"/>
  <c r="D83" i="23"/>
  <c r="D84" i="20"/>
  <c r="D84" i="22"/>
  <c r="C10" i="17"/>
  <c r="C97" i="12"/>
  <c r="A72" i="9"/>
  <c r="C77" i="36" l="1"/>
  <c r="C77" i="35"/>
  <c r="C60" i="33"/>
  <c r="C61" i="32"/>
  <c r="C60" i="34"/>
  <c r="C78" i="28"/>
  <c r="C78" i="27"/>
  <c r="C61" i="31"/>
  <c r="C101" i="29"/>
  <c r="C77" i="30"/>
  <c r="D78" i="26"/>
  <c r="D61" i="25"/>
  <c r="D61" i="24"/>
  <c r="D78" i="23"/>
  <c r="D78" i="20"/>
  <c r="D78" i="22"/>
  <c r="C56" i="17"/>
  <c r="C73" i="12"/>
  <c r="A73" i="9"/>
  <c r="C38" i="35" l="1"/>
  <c r="C29" i="34"/>
  <c r="C38" i="36"/>
  <c r="C102" i="29"/>
  <c r="C29" i="33"/>
  <c r="C45" i="32"/>
  <c r="C45" i="31"/>
  <c r="C37" i="30"/>
  <c r="D40" i="26"/>
  <c r="C42" i="27"/>
  <c r="C42" i="28"/>
  <c r="D29" i="25"/>
  <c r="D45" i="24"/>
  <c r="D40" i="23"/>
  <c r="D41" i="20"/>
  <c r="C60" i="17"/>
  <c r="D41" i="22"/>
  <c r="C43" i="12"/>
  <c r="A74" i="9"/>
  <c r="A75" i="9" s="1"/>
  <c r="C4" i="36" l="1"/>
  <c r="C4" i="34"/>
  <c r="C4" i="33"/>
  <c r="C4" i="35"/>
  <c r="C4" i="32"/>
  <c r="C4" i="30"/>
  <c r="C4" i="28"/>
  <c r="C4" i="31"/>
  <c r="C22" i="29"/>
  <c r="C4" i="27"/>
  <c r="D4" i="26"/>
  <c r="D4" i="22"/>
  <c r="D4" i="23"/>
  <c r="D4" i="25"/>
  <c r="C58" i="17"/>
  <c r="D4" i="24"/>
  <c r="D4" i="20"/>
  <c r="C4" i="12"/>
  <c r="A76" i="9"/>
  <c r="C14" i="36" l="1"/>
  <c r="C17" i="34"/>
  <c r="C76" i="32"/>
  <c r="C17" i="33"/>
  <c r="C76" i="31"/>
  <c r="C14" i="35"/>
  <c r="C14" i="30"/>
  <c r="C44" i="29"/>
  <c r="C19" i="28"/>
  <c r="C19" i="27"/>
  <c r="D11" i="26"/>
  <c r="D15" i="25"/>
  <c r="D12" i="20"/>
  <c r="D76" i="24"/>
  <c r="C54" i="17"/>
  <c r="D12" i="23"/>
  <c r="D12" i="22"/>
  <c r="C8" i="12"/>
  <c r="A77" i="9"/>
  <c r="C77" i="32" l="1"/>
  <c r="C10" i="36"/>
  <c r="C13" i="33"/>
  <c r="C13" i="34"/>
  <c r="C77" i="31"/>
  <c r="C11" i="27"/>
  <c r="C10" i="35"/>
  <c r="C10" i="30"/>
  <c r="C67" i="29"/>
  <c r="D9" i="26"/>
  <c r="C11" i="28"/>
  <c r="D77" i="24"/>
  <c r="D11" i="25"/>
  <c r="D10" i="22"/>
  <c r="D10" i="20"/>
  <c r="C15" i="17"/>
  <c r="D9" i="23"/>
  <c r="C6" i="12"/>
  <c r="A78" i="9"/>
  <c r="C93" i="35" l="1"/>
  <c r="C93" i="36"/>
  <c r="C84" i="34"/>
  <c r="C28" i="29"/>
  <c r="C84" i="33"/>
  <c r="C93" i="28"/>
  <c r="C93" i="27"/>
  <c r="D91" i="26"/>
  <c r="C91" i="30"/>
  <c r="C94" i="31"/>
  <c r="C94" i="32"/>
  <c r="D83" i="25"/>
  <c r="D94" i="24"/>
  <c r="D93" i="22"/>
  <c r="D93" i="20"/>
  <c r="C94" i="17"/>
  <c r="D90" i="23"/>
  <c r="C76" i="12"/>
  <c r="A79" i="9"/>
  <c r="C27" i="35" l="1"/>
  <c r="C27" i="36"/>
  <c r="C29" i="30"/>
  <c r="C24" i="34"/>
  <c r="C41" i="32"/>
  <c r="C24" i="33"/>
  <c r="C41" i="31"/>
  <c r="C16" i="29"/>
  <c r="C30" i="27"/>
  <c r="D24" i="26"/>
  <c r="D20" i="25"/>
  <c r="D39" i="24"/>
  <c r="D25" i="23"/>
  <c r="D27" i="20"/>
  <c r="C30" i="28"/>
  <c r="D27" i="22"/>
  <c r="C5" i="17"/>
  <c r="C59" i="12"/>
  <c r="A80" i="9"/>
  <c r="A81" i="9" s="1"/>
  <c r="C70" i="36" l="1"/>
  <c r="C70" i="35"/>
  <c r="C63" i="34"/>
  <c r="C72" i="30"/>
  <c r="C72" i="29"/>
  <c r="C80" i="32"/>
  <c r="C74" i="28"/>
  <c r="C63" i="33"/>
  <c r="D67" i="26"/>
  <c r="C80" i="31"/>
  <c r="C74" i="27"/>
  <c r="D80" i="24"/>
  <c r="D62" i="25"/>
  <c r="D71" i="23"/>
  <c r="D71" i="20"/>
  <c r="D71" i="22"/>
  <c r="C45" i="17"/>
  <c r="C66" i="12"/>
  <c r="A82" i="9"/>
  <c r="C6" i="35" l="1"/>
  <c r="C6" i="36"/>
  <c r="C20" i="29"/>
  <c r="C6" i="28"/>
  <c r="C81" i="31"/>
  <c r="C81" i="32"/>
  <c r="C5" i="30"/>
  <c r="C6" i="27"/>
  <c r="C6" i="33"/>
  <c r="C6" i="34"/>
  <c r="D81" i="24"/>
  <c r="D6" i="26"/>
  <c r="D5" i="25"/>
  <c r="D5" i="23"/>
  <c r="D6" i="22"/>
  <c r="C12" i="17"/>
  <c r="D6" i="20"/>
  <c r="C10" i="12"/>
  <c r="A83" i="9"/>
  <c r="A84" i="9" s="1"/>
  <c r="C23" i="36" l="1"/>
  <c r="C23" i="35"/>
  <c r="C14" i="34"/>
  <c r="C14" i="33"/>
  <c r="C14" i="32"/>
  <c r="C22" i="28"/>
  <c r="C14" i="31"/>
  <c r="C22" i="30"/>
  <c r="D16" i="26"/>
  <c r="C93" i="29"/>
  <c r="C22" i="27"/>
  <c r="D12" i="25"/>
  <c r="D14" i="24"/>
  <c r="D17" i="22"/>
  <c r="D17" i="20"/>
  <c r="C48" i="17"/>
  <c r="D17" i="23"/>
  <c r="C21" i="12"/>
  <c r="A85" i="9"/>
  <c r="A86" i="9" s="1"/>
  <c r="A87" i="9" s="1"/>
  <c r="C25" i="35" l="1"/>
  <c r="C25" i="36"/>
  <c r="C21" i="34"/>
  <c r="C30" i="32"/>
  <c r="C30" i="31"/>
  <c r="C28" i="30"/>
  <c r="C21" i="33"/>
  <c r="C8" i="29"/>
  <c r="C28" i="28"/>
  <c r="D27" i="26"/>
  <c r="D29" i="24"/>
  <c r="C28" i="27"/>
  <c r="D22" i="25"/>
  <c r="D30" i="20"/>
  <c r="D32" i="23"/>
  <c r="D30" i="22"/>
  <c r="C98" i="17"/>
  <c r="C16" i="12"/>
  <c r="A88" i="9"/>
  <c r="A89" i="9" s="1"/>
  <c r="C62" i="36" l="1"/>
  <c r="C62" i="35"/>
  <c r="C56" i="34"/>
  <c r="C6" i="29"/>
  <c r="C62" i="28"/>
  <c r="C39" i="32"/>
  <c r="C65" i="30"/>
  <c r="C56" i="33"/>
  <c r="D63" i="26"/>
  <c r="C39" i="31"/>
  <c r="C62" i="27"/>
  <c r="D52" i="25"/>
  <c r="D41" i="24"/>
  <c r="D65" i="20"/>
  <c r="D65" i="22"/>
  <c r="D68" i="23"/>
  <c r="C101" i="17"/>
  <c r="C45" i="12"/>
  <c r="A90" i="9"/>
  <c r="C97" i="36" l="1"/>
  <c r="C86" i="33"/>
  <c r="C53" i="31"/>
  <c r="C97" i="30"/>
  <c r="C53" i="32"/>
  <c r="C94" i="27"/>
  <c r="D96" i="26"/>
  <c r="C94" i="28"/>
  <c r="C86" i="34"/>
  <c r="C43" i="29"/>
  <c r="D97" i="23"/>
  <c r="D54" i="24"/>
  <c r="D85" i="25"/>
  <c r="D92" i="20"/>
  <c r="D92" i="22"/>
  <c r="C71" i="17"/>
  <c r="C97" i="35"/>
  <c r="C90" i="12"/>
  <c r="A91" i="9"/>
  <c r="C67" i="34" l="1"/>
  <c r="C85" i="36"/>
  <c r="C47" i="32"/>
  <c r="C85" i="35"/>
  <c r="C47" i="31"/>
  <c r="C42" i="29"/>
  <c r="C67" i="33"/>
  <c r="C82" i="30"/>
  <c r="C81" i="28"/>
  <c r="D87" i="26"/>
  <c r="D68" i="25"/>
  <c r="D81" i="22"/>
  <c r="C81" i="27"/>
  <c r="D81" i="20"/>
  <c r="D82" i="23"/>
  <c r="D47" i="24"/>
  <c r="C105" i="17"/>
  <c r="C57" i="12"/>
  <c r="A92" i="9"/>
  <c r="C94" i="36" l="1"/>
  <c r="C87" i="33"/>
  <c r="C94" i="35"/>
  <c r="C54" i="31"/>
  <c r="C91" i="28"/>
  <c r="C87" i="34"/>
  <c r="C4" i="29"/>
  <c r="C96" i="30"/>
  <c r="C91" i="27"/>
  <c r="C54" i="32"/>
  <c r="D94" i="26"/>
  <c r="D88" i="25"/>
  <c r="D90" i="20"/>
  <c r="D55" i="24"/>
  <c r="D96" i="23"/>
  <c r="D90" i="22"/>
  <c r="C104" i="17"/>
  <c r="C81" i="12"/>
  <c r="A93" i="9"/>
  <c r="C90" i="36" l="1"/>
  <c r="C90" i="35"/>
  <c r="C50" i="31"/>
  <c r="C81" i="34"/>
  <c r="D89" i="26"/>
  <c r="C81" i="33"/>
  <c r="C87" i="28"/>
  <c r="C92" i="30"/>
  <c r="C50" i="32"/>
  <c r="C87" i="27"/>
  <c r="D81" i="25"/>
  <c r="C94" i="29"/>
  <c r="D93" i="23"/>
  <c r="D48" i="24"/>
  <c r="D87" i="20"/>
  <c r="C103" i="17"/>
  <c r="D87" i="22"/>
  <c r="C71" i="12"/>
  <c r="A94" i="9"/>
  <c r="C21" i="35" l="1"/>
  <c r="C21" i="36"/>
  <c r="C19" i="33"/>
  <c r="C8" i="31"/>
  <c r="C19" i="34"/>
  <c r="C20" i="30"/>
  <c r="C68" i="29"/>
  <c r="C16" i="28"/>
  <c r="C8" i="32"/>
  <c r="D8" i="24"/>
  <c r="D18" i="26"/>
  <c r="D19" i="25"/>
  <c r="C16" i="27"/>
  <c r="D18" i="23"/>
  <c r="D16" i="20"/>
  <c r="C57" i="17"/>
  <c r="D16" i="22"/>
  <c r="C28" i="12"/>
  <c r="A95" i="9"/>
  <c r="A96" i="9" s="1"/>
  <c r="A97" i="9" s="1"/>
  <c r="A98" i="9" s="1"/>
  <c r="A99" i="9" s="1"/>
  <c r="A100" i="9" s="1"/>
  <c r="A101" i="9" s="1"/>
  <c r="C7" i="35" l="1"/>
  <c r="C7" i="36"/>
  <c r="C82" i="32"/>
  <c r="C8" i="28"/>
  <c r="C8" i="34"/>
  <c r="C8" i="33"/>
  <c r="C82" i="31"/>
  <c r="C50" i="29"/>
  <c r="C8" i="30"/>
  <c r="C8" i="27"/>
  <c r="D7" i="23"/>
  <c r="D82" i="24"/>
  <c r="D7" i="26"/>
  <c r="D8" i="25"/>
  <c r="D9" i="22"/>
  <c r="D9" i="20"/>
  <c r="C21" i="17"/>
  <c r="C9" i="12"/>
  <c r="A102" i="9"/>
  <c r="A103" i="9" s="1"/>
  <c r="A104" i="9" s="1"/>
  <c r="A105" i="9" s="1"/>
  <c r="C74" i="36" l="1"/>
  <c r="C57" i="34"/>
  <c r="C74" i="35"/>
  <c r="C73" i="30"/>
  <c r="C76" i="28"/>
  <c r="C83" i="32"/>
  <c r="C83" i="31"/>
  <c r="C49" i="29"/>
  <c r="C76" i="27"/>
  <c r="C57" i="33"/>
  <c r="D71" i="26"/>
  <c r="D83" i="24"/>
  <c r="D57" i="25"/>
  <c r="D74" i="22"/>
  <c r="D72" i="23"/>
  <c r="D74" i="20"/>
  <c r="C22" i="17"/>
  <c r="C74" i="12"/>
  <c r="A106" i="9"/>
  <c r="A107" i="9" s="1"/>
  <c r="A108" i="9" s="1"/>
  <c r="C71" i="36" l="1"/>
  <c r="C71" i="35"/>
  <c r="C45" i="33"/>
  <c r="C74" i="30"/>
  <c r="C84" i="31"/>
  <c r="C45" i="34"/>
  <c r="C84" i="32"/>
  <c r="C72" i="28"/>
  <c r="D81" i="26"/>
  <c r="D59" i="25"/>
  <c r="C72" i="27"/>
  <c r="C38" i="29"/>
  <c r="D84" i="24"/>
  <c r="D82" i="22"/>
  <c r="D81" i="23"/>
  <c r="D82" i="20"/>
  <c r="C41" i="17"/>
  <c r="C36" i="12"/>
  <c r="A109" i="9"/>
  <c r="A110" i="9" s="1"/>
  <c r="A111" i="9" s="1"/>
  <c r="A112" i="9" s="1"/>
  <c r="A113" i="9" s="1"/>
  <c r="C11" i="35" l="1"/>
  <c r="C15" i="34"/>
  <c r="C11" i="36"/>
  <c r="C90" i="29"/>
  <c r="C85" i="31"/>
  <c r="C85" i="32"/>
  <c r="C15" i="33"/>
  <c r="C11" i="30"/>
  <c r="C12" i="28"/>
  <c r="D85" i="24"/>
  <c r="D13" i="26"/>
  <c r="D17" i="25"/>
  <c r="C12" i="27"/>
  <c r="D15" i="20"/>
  <c r="D13" i="23"/>
  <c r="C74" i="17"/>
  <c r="D15" i="22"/>
  <c r="C7" i="12"/>
  <c r="A114" i="9"/>
  <c r="C72" i="35" l="1"/>
  <c r="C72" i="36"/>
  <c r="C59" i="33"/>
  <c r="C59" i="34"/>
  <c r="C86" i="31"/>
  <c r="C71" i="30"/>
  <c r="C91" i="29"/>
  <c r="C86" i="32"/>
  <c r="C73" i="28"/>
  <c r="C73" i="27"/>
  <c r="D74" i="26"/>
  <c r="D75" i="23"/>
  <c r="D64" i="25"/>
  <c r="D77" i="20"/>
  <c r="D77" i="22"/>
  <c r="D86" i="24"/>
  <c r="C75" i="17"/>
  <c r="C49" i="12"/>
  <c r="A115" i="9"/>
  <c r="C51" i="35" l="1"/>
  <c r="C51" i="36"/>
  <c r="C50" i="28"/>
  <c r="C87" i="31"/>
  <c r="C42" i="34"/>
  <c r="C50" i="27"/>
  <c r="C85" i="29"/>
  <c r="C49" i="30"/>
  <c r="C42" i="33"/>
  <c r="D64" i="26"/>
  <c r="C87" i="32"/>
  <c r="D49" i="25"/>
  <c r="D61" i="23"/>
  <c r="D87" i="24"/>
  <c r="D67" i="20"/>
  <c r="D67" i="22"/>
  <c r="C76" i="17"/>
  <c r="C34" i="12"/>
  <c r="A116" i="9"/>
  <c r="C47" i="36" l="1"/>
  <c r="C33" i="33"/>
  <c r="C88" i="32"/>
  <c r="C88" i="31"/>
  <c r="C47" i="35"/>
  <c r="C39" i="30"/>
  <c r="C71" i="29"/>
  <c r="C45" i="28"/>
  <c r="C33" i="34"/>
  <c r="C45" i="27"/>
  <c r="D60" i="26"/>
  <c r="D40" i="25"/>
  <c r="D88" i="24"/>
  <c r="D56" i="20"/>
  <c r="D46" i="23"/>
  <c r="C77" i="17"/>
  <c r="D56" i="22"/>
  <c r="C39" i="12"/>
  <c r="A117" i="9"/>
  <c r="C89" i="32" l="1"/>
  <c r="C95" i="36"/>
  <c r="C95" i="35"/>
  <c r="C82" i="34"/>
  <c r="C93" i="30"/>
  <c r="C89" i="31"/>
  <c r="C92" i="29"/>
  <c r="C95" i="27"/>
  <c r="D98" i="26"/>
  <c r="C82" i="33"/>
  <c r="C95" i="28"/>
  <c r="D86" i="25"/>
  <c r="D89" i="24"/>
  <c r="D95" i="23"/>
  <c r="D97" i="22"/>
  <c r="D97" i="20"/>
  <c r="C78" i="17"/>
  <c r="C72" i="12"/>
  <c r="A118" i="9"/>
  <c r="C84" i="36" l="1"/>
  <c r="C69" i="34"/>
  <c r="C90" i="32"/>
  <c r="C90" i="31"/>
  <c r="C84" i="35"/>
  <c r="C69" i="33"/>
  <c r="C83" i="30"/>
  <c r="C85" i="28"/>
  <c r="C83" i="29"/>
  <c r="D92" i="26"/>
  <c r="C85" i="27"/>
  <c r="D80" i="25"/>
  <c r="D90" i="24"/>
  <c r="D91" i="22"/>
  <c r="D91" i="20"/>
  <c r="D88" i="23"/>
  <c r="C79" i="17"/>
  <c r="C60" i="12"/>
  <c r="A119" i="9"/>
  <c r="C91" i="32" l="1"/>
  <c r="C69" i="35"/>
  <c r="C54" i="34"/>
  <c r="C69" i="36"/>
  <c r="C54" i="33"/>
  <c r="C68" i="30"/>
  <c r="C71" i="28"/>
  <c r="C87" i="29"/>
  <c r="C71" i="27"/>
  <c r="C91" i="31"/>
  <c r="D91" i="24"/>
  <c r="D76" i="26"/>
  <c r="D58" i="25"/>
  <c r="D76" i="20"/>
  <c r="D74" i="23"/>
  <c r="D76" i="22"/>
  <c r="C80" i="17"/>
  <c r="C41" i="12"/>
  <c r="A120" i="9"/>
  <c r="C92" i="31" l="1"/>
  <c r="C28" i="34"/>
  <c r="C36" i="35"/>
  <c r="C36" i="36"/>
  <c r="C28" i="33"/>
  <c r="C92" i="32"/>
  <c r="C37" i="28"/>
  <c r="C69" i="29"/>
  <c r="C37" i="27"/>
  <c r="D37" i="26"/>
  <c r="C36" i="30"/>
  <c r="D92" i="24"/>
  <c r="D39" i="23"/>
  <c r="D28" i="25"/>
  <c r="D40" i="20"/>
  <c r="D40" i="22"/>
  <c r="C55" i="17"/>
  <c r="C20" i="12"/>
  <c r="A121" i="9"/>
  <c r="C86" i="35" l="1"/>
  <c r="C86" i="36"/>
  <c r="C80" i="34"/>
  <c r="C59" i="31"/>
  <c r="C87" i="30"/>
  <c r="C80" i="33"/>
  <c r="C51" i="29"/>
  <c r="D84" i="26"/>
  <c r="C59" i="32"/>
  <c r="C88" i="27"/>
  <c r="C88" i="28"/>
  <c r="D60" i="24"/>
  <c r="D79" i="25"/>
  <c r="D85" i="22"/>
  <c r="D85" i="20"/>
  <c r="D86" i="23"/>
  <c r="C8" i="17"/>
  <c r="C69" i="12"/>
  <c r="A122" i="9"/>
  <c r="C60" i="36" l="1"/>
  <c r="C47" i="33"/>
  <c r="C93" i="31"/>
  <c r="C60" i="35"/>
  <c r="C64" i="28"/>
  <c r="C59" i="30"/>
  <c r="C64" i="27"/>
  <c r="C47" i="34"/>
  <c r="C56" i="29"/>
  <c r="C93" i="32"/>
  <c r="D53" i="26"/>
  <c r="D38" i="25"/>
  <c r="D93" i="24"/>
  <c r="D52" i="23"/>
  <c r="D55" i="20"/>
  <c r="C11" i="17"/>
  <c r="D55" i="22"/>
  <c r="C64" i="12"/>
  <c r="A123" i="9"/>
  <c r="C50" i="34" l="1"/>
  <c r="C59" i="35"/>
  <c r="C59" i="36"/>
  <c r="C50" i="33"/>
  <c r="C54" i="30"/>
  <c r="C95" i="32"/>
  <c r="D58" i="26"/>
  <c r="C60" i="28"/>
  <c r="C95" i="31"/>
  <c r="C60" i="27"/>
  <c r="D46" i="25"/>
  <c r="C96" i="29"/>
  <c r="D55" i="23"/>
  <c r="D60" i="22"/>
  <c r="D60" i="20"/>
  <c r="D95" i="24"/>
  <c r="C16" i="17"/>
  <c r="C40" i="12"/>
  <c r="A124" i="9"/>
  <c r="C73" i="35" l="1"/>
  <c r="C66" i="34"/>
  <c r="C73" i="36"/>
  <c r="C77" i="28"/>
  <c r="C55" i="32"/>
  <c r="C55" i="31"/>
  <c r="C75" i="30"/>
  <c r="D68" i="26"/>
  <c r="C77" i="27"/>
  <c r="C7" i="29"/>
  <c r="C66" i="33"/>
  <c r="D50" i="24"/>
  <c r="D60" i="25"/>
  <c r="D70" i="23"/>
  <c r="D70" i="20"/>
  <c r="C4" i="17"/>
  <c r="D70" i="22"/>
  <c r="C95" i="12"/>
  <c r="A125" i="9"/>
  <c r="C27" i="34" l="1"/>
  <c r="C29" i="36"/>
  <c r="C29" i="35"/>
  <c r="C31" i="30"/>
  <c r="C31" i="31"/>
  <c r="C31" i="32"/>
  <c r="C27" i="33"/>
  <c r="C41" i="29"/>
  <c r="C32" i="28"/>
  <c r="C32" i="27"/>
  <c r="D25" i="26"/>
  <c r="D24" i="25"/>
  <c r="D30" i="24"/>
  <c r="D26" i="23"/>
  <c r="D26" i="20"/>
  <c r="D26" i="22"/>
  <c r="C6" i="17"/>
  <c r="C38" i="12"/>
  <c r="A126" i="9"/>
  <c r="A127" i="9" s="1"/>
  <c r="C77" i="34" l="1"/>
  <c r="C81" i="30"/>
  <c r="C81" i="36"/>
  <c r="C77" i="33"/>
  <c r="C58" i="32"/>
  <c r="C81" i="35"/>
  <c r="C58" i="31"/>
  <c r="C12" i="29"/>
  <c r="C82" i="28"/>
  <c r="D80" i="26"/>
  <c r="D75" i="25"/>
  <c r="C82" i="27"/>
  <c r="D58" i="24"/>
  <c r="D79" i="23"/>
  <c r="D79" i="20"/>
  <c r="D79" i="22"/>
  <c r="C7" i="17"/>
  <c r="C89" i="12"/>
  <c r="A128" i="9"/>
  <c r="A129" i="9" s="1"/>
  <c r="A130" i="9" s="1"/>
  <c r="A131" i="9" s="1"/>
  <c r="A132" i="9" s="1"/>
  <c r="C76" i="33" l="1"/>
  <c r="C76" i="34"/>
  <c r="C83" i="35"/>
  <c r="C83" i="36"/>
  <c r="C57" i="32"/>
  <c r="C85" i="30"/>
  <c r="C84" i="28"/>
  <c r="D82" i="26"/>
  <c r="C57" i="31"/>
  <c r="C84" i="27"/>
  <c r="D57" i="24"/>
  <c r="D76" i="25"/>
  <c r="C95" i="29"/>
  <c r="D84" i="23"/>
  <c r="D83" i="20"/>
  <c r="D83" i="22"/>
  <c r="C64" i="17"/>
  <c r="C67" i="12"/>
  <c r="A133" i="9"/>
  <c r="C105" i="36" l="1"/>
  <c r="C105" i="35"/>
  <c r="C97" i="33"/>
  <c r="C105" i="28"/>
  <c r="C97" i="34"/>
  <c r="C96" i="32"/>
  <c r="C88" i="29"/>
  <c r="C105" i="30"/>
  <c r="C96" i="31"/>
  <c r="D105" i="26"/>
  <c r="C105" i="27"/>
  <c r="D97" i="25"/>
  <c r="D105" i="23"/>
  <c r="D105" i="22"/>
  <c r="D96" i="24"/>
  <c r="D105" i="20"/>
  <c r="C13" i="17"/>
  <c r="C98" i="12"/>
  <c r="A134" i="9"/>
  <c r="C102" i="36" l="1"/>
  <c r="C102" i="35"/>
  <c r="C95" i="34"/>
  <c r="C95" i="33"/>
  <c r="C97" i="32"/>
  <c r="C102" i="30"/>
  <c r="C84" i="29"/>
  <c r="C102" i="27"/>
  <c r="C97" i="31"/>
  <c r="D101" i="26"/>
  <c r="C102" i="28"/>
  <c r="D94" i="25"/>
  <c r="D103" i="23"/>
  <c r="D97" i="24"/>
  <c r="D102" i="20"/>
  <c r="D102" i="22"/>
  <c r="C23" i="17"/>
  <c r="C92" i="12"/>
  <c r="A135" i="9"/>
  <c r="C64" i="34" l="1"/>
  <c r="C79" i="36"/>
  <c r="C79" i="35"/>
  <c r="C38" i="32"/>
  <c r="C74" i="29"/>
  <c r="C38" i="31"/>
  <c r="D77" i="26"/>
  <c r="C79" i="30"/>
  <c r="C64" i="33"/>
  <c r="C75" i="28"/>
  <c r="C75" i="27"/>
  <c r="D77" i="23"/>
  <c r="D66" i="25"/>
  <c r="D73" i="20"/>
  <c r="D38" i="24"/>
  <c r="D73" i="22"/>
  <c r="C61" i="17"/>
  <c r="C70" i="12"/>
  <c r="A136" i="9"/>
  <c r="C103" i="36" l="1"/>
  <c r="C103" i="35"/>
  <c r="C94" i="33"/>
  <c r="C98" i="31"/>
  <c r="C103" i="30"/>
  <c r="C94" i="34"/>
  <c r="C98" i="32"/>
  <c r="C103" i="27"/>
  <c r="C54" i="29"/>
  <c r="D95" i="25"/>
  <c r="C103" i="28"/>
  <c r="D104" i="26"/>
  <c r="D98" i="24"/>
  <c r="D104" i="22"/>
  <c r="D104" i="20"/>
  <c r="D104" i="23"/>
  <c r="C24" i="17"/>
  <c r="C91" i="12"/>
  <c r="A137" i="9"/>
  <c r="C95" i="30" l="1"/>
  <c r="C96" i="36"/>
  <c r="C96" i="35"/>
  <c r="C99" i="31"/>
  <c r="C97" i="27"/>
  <c r="C83" i="33"/>
  <c r="C83" i="34"/>
  <c r="C97" i="28"/>
  <c r="D82" i="25"/>
  <c r="C57" i="29"/>
  <c r="D99" i="24"/>
  <c r="D95" i="26"/>
  <c r="D95" i="22"/>
  <c r="C99" i="32"/>
  <c r="D92" i="23"/>
  <c r="D95" i="20"/>
  <c r="C14" i="17"/>
  <c r="C75" i="12"/>
  <c r="A138" i="9"/>
  <c r="C87" i="35" l="1"/>
  <c r="C73" i="34"/>
  <c r="C73" i="33"/>
  <c r="C87" i="36"/>
  <c r="C66" i="31"/>
  <c r="C66" i="32"/>
  <c r="C86" i="28"/>
  <c r="C86" i="30"/>
  <c r="C86" i="27"/>
  <c r="C55" i="29"/>
  <c r="D72" i="25"/>
  <c r="D85" i="26"/>
  <c r="D85" i="23"/>
  <c r="D86" i="20"/>
  <c r="D65" i="24"/>
  <c r="D86" i="22"/>
  <c r="C25" i="17"/>
  <c r="C86" i="12"/>
  <c r="A139" i="9"/>
  <c r="C63" i="36" l="1"/>
  <c r="C63" i="35"/>
  <c r="C92" i="34"/>
  <c r="C48" i="32"/>
  <c r="C48" i="31"/>
  <c r="C103" i="29"/>
  <c r="C92" i="33"/>
  <c r="C64" i="30"/>
  <c r="C67" i="28"/>
  <c r="D51" i="26"/>
  <c r="C67" i="27"/>
  <c r="D43" i="24"/>
  <c r="D89" i="25"/>
  <c r="D53" i="23"/>
  <c r="D54" i="20"/>
  <c r="C86" i="17"/>
  <c r="D54" i="22"/>
  <c r="C93" i="12"/>
  <c r="A140" i="9"/>
  <c r="C76" i="36" l="1"/>
  <c r="C76" i="35"/>
  <c r="C99" i="34"/>
  <c r="C104" i="29"/>
  <c r="C52" i="31"/>
  <c r="C52" i="32"/>
  <c r="C78" i="30"/>
  <c r="C79" i="28"/>
  <c r="C99" i="33"/>
  <c r="D70" i="26"/>
  <c r="C79" i="27"/>
  <c r="D98" i="25"/>
  <c r="D49" i="24"/>
  <c r="D75" i="22"/>
  <c r="D75" i="20"/>
  <c r="D76" i="23"/>
  <c r="C87" i="17"/>
  <c r="C102" i="12"/>
  <c r="A141" i="9"/>
  <c r="C101" i="34" l="1"/>
  <c r="C98" i="36"/>
  <c r="C101" i="33"/>
  <c r="C98" i="35"/>
  <c r="C67" i="31"/>
  <c r="C98" i="30"/>
  <c r="C67" i="32"/>
  <c r="C98" i="28"/>
  <c r="C98" i="27"/>
  <c r="C105" i="29"/>
  <c r="D97" i="26"/>
  <c r="D102" i="25"/>
  <c r="D98" i="22"/>
  <c r="D98" i="23"/>
  <c r="D66" i="24"/>
  <c r="D98" i="20"/>
  <c r="C88" i="17"/>
  <c r="C104" i="12"/>
  <c r="A142" i="9"/>
  <c r="C41" i="36" l="1"/>
  <c r="C41" i="35"/>
  <c r="C37" i="31"/>
  <c r="C43" i="30"/>
  <c r="C85" i="34"/>
  <c r="C44" i="28"/>
  <c r="C37" i="32"/>
  <c r="C85" i="33"/>
  <c r="C99" i="29"/>
  <c r="C44" i="27"/>
  <c r="D36" i="24"/>
  <c r="D84" i="25"/>
  <c r="D41" i="26"/>
  <c r="D41" i="23"/>
  <c r="D42" i="20"/>
  <c r="C89" i="17"/>
  <c r="D42" i="22"/>
  <c r="C96" i="12"/>
  <c r="A143" i="9"/>
  <c r="C104" i="36" l="1"/>
  <c r="C104" i="35"/>
  <c r="C102" i="34"/>
  <c r="C102" i="33"/>
  <c r="C104" i="28"/>
  <c r="C68" i="31"/>
  <c r="C104" i="30"/>
  <c r="C104" i="27"/>
  <c r="D103" i="26"/>
  <c r="C100" i="29"/>
  <c r="D101" i="25"/>
  <c r="C68" i="32"/>
  <c r="D68" i="24"/>
  <c r="D102" i="23"/>
  <c r="D103" i="20"/>
  <c r="D103" i="22"/>
  <c r="C90" i="17"/>
  <c r="C105" i="12"/>
  <c r="A144" i="9"/>
  <c r="C100" i="36" l="1"/>
  <c r="C60" i="32"/>
  <c r="C100" i="35"/>
  <c r="C96" i="33"/>
  <c r="C100" i="30"/>
  <c r="C100" i="28"/>
  <c r="C96" i="34"/>
  <c r="C60" i="31"/>
  <c r="C100" i="27"/>
  <c r="D100" i="26"/>
  <c r="D96" i="25"/>
  <c r="C97" i="29"/>
  <c r="D59" i="24"/>
  <c r="D99" i="22"/>
  <c r="D99" i="23"/>
  <c r="D99" i="20"/>
  <c r="C91" i="17"/>
  <c r="C94" i="12"/>
  <c r="A145" i="9"/>
  <c r="C106" i="35" l="1"/>
  <c r="C105" i="34"/>
  <c r="C106" i="30"/>
  <c r="C106" i="36"/>
  <c r="C106" i="28"/>
  <c r="C106" i="27"/>
  <c r="C100" i="31"/>
  <c r="C100" i="32"/>
  <c r="C105" i="33"/>
  <c r="C106" i="29"/>
  <c r="D105" i="25"/>
  <c r="D100" i="24"/>
  <c r="D106" i="23"/>
  <c r="D106" i="26"/>
  <c r="D106" i="20"/>
  <c r="D106" i="22"/>
  <c r="C106" i="17"/>
  <c r="C106" i="12"/>
  <c r="A146" i="9"/>
  <c r="C78" i="34" l="1"/>
  <c r="C80" i="36"/>
  <c r="C80" i="35"/>
  <c r="C101" i="32"/>
  <c r="C78" i="33"/>
  <c r="C101" i="31"/>
  <c r="C80" i="30"/>
  <c r="C80" i="28"/>
  <c r="D79" i="26"/>
  <c r="C59" i="29"/>
  <c r="D78" i="25"/>
  <c r="C80" i="27"/>
  <c r="D80" i="23"/>
  <c r="D101" i="24"/>
  <c r="D80" i="20"/>
  <c r="D80" i="22"/>
  <c r="C26" i="17"/>
  <c r="C84" i="12"/>
  <c r="A147" i="9"/>
  <c r="C99" i="36" l="1"/>
  <c r="C102" i="32"/>
  <c r="C99" i="35"/>
  <c r="C91" i="34"/>
  <c r="C102" i="31"/>
  <c r="C99" i="30"/>
  <c r="C91" i="33"/>
  <c r="C99" i="27"/>
  <c r="C99" i="28"/>
  <c r="D99" i="26"/>
  <c r="C58" i="29"/>
  <c r="D92" i="25"/>
  <c r="D102" i="24"/>
  <c r="D100" i="22"/>
  <c r="D100" i="20"/>
  <c r="D100" i="23"/>
  <c r="C27" i="17"/>
  <c r="C85" i="12"/>
  <c r="A148" i="9"/>
  <c r="C92" i="36" l="1"/>
  <c r="C103" i="32"/>
  <c r="C93" i="34"/>
  <c r="C103" i="31"/>
  <c r="C60" i="29"/>
  <c r="C93" i="33"/>
  <c r="C94" i="30"/>
  <c r="C96" i="27"/>
  <c r="D93" i="26"/>
  <c r="C96" i="28"/>
  <c r="D93" i="25"/>
  <c r="D94" i="23"/>
  <c r="D96" i="22"/>
  <c r="D103" i="24"/>
  <c r="D96" i="20"/>
  <c r="C28" i="17"/>
  <c r="C92" i="35"/>
  <c r="C88" i="12"/>
  <c r="A149" i="9"/>
  <c r="C89" i="36" l="1"/>
  <c r="C89" i="35"/>
  <c r="C88" i="33"/>
  <c r="C104" i="32"/>
  <c r="C104" i="31"/>
  <c r="C92" i="28"/>
  <c r="C61" i="29"/>
  <c r="C92" i="27"/>
  <c r="C88" i="34"/>
  <c r="C90" i="30"/>
  <c r="D88" i="26"/>
  <c r="D90" i="25"/>
  <c r="D91" i="23"/>
  <c r="D94" i="22"/>
  <c r="D104" i="24"/>
  <c r="D94" i="20"/>
  <c r="C29" i="17"/>
  <c r="C82" i="12"/>
  <c r="A150" i="9"/>
  <c r="C46" i="36" l="1"/>
  <c r="C106" i="34"/>
  <c r="C106" i="31"/>
  <c r="C46" i="35"/>
  <c r="C63" i="28"/>
  <c r="C106" i="32"/>
  <c r="C69" i="30"/>
  <c r="C98" i="29"/>
  <c r="C106" i="33"/>
  <c r="C63" i="27"/>
  <c r="D106" i="24"/>
  <c r="D106" i="25"/>
  <c r="D43" i="26"/>
  <c r="D66" i="23"/>
  <c r="D62" i="20"/>
  <c r="D62" i="22"/>
  <c r="C93" i="17"/>
  <c r="C22" i="12"/>
  <c r="A151" i="9"/>
  <c r="A152" i="9" s="1"/>
  <c r="A153" i="9" s="1"/>
  <c r="A154" i="9" s="1"/>
</calcChain>
</file>

<file path=xl/sharedStrings.xml><?xml version="1.0" encoding="utf-8"?>
<sst xmlns="http://schemas.openxmlformats.org/spreadsheetml/2006/main" count="22684" uniqueCount="8072">
  <si>
    <t>Méthodologie de durée de vie réelle (parc installé 2025)</t>
  </si>
  <si>
    <t>Horizon de calcul des pièces à rénover</t>
  </si>
  <si>
    <t>5 ans (2025-2030). Formule principale sur l’onglet principal : stock 2025 × min(1 ; 5 / durée de vie réelle).</t>
  </si>
  <si>
    <t>Code profil</t>
  </si>
  <si>
    <t>Libellé profil</t>
  </si>
  <si>
    <t>Usage / logique</t>
  </si>
  <si>
    <t>Lav M</t>
  </si>
  <si>
    <t>Lav TM</t>
  </si>
  <si>
    <t>Lav TE</t>
  </si>
  <si>
    <t>Lav Aut</t>
  </si>
  <si>
    <t>Dou M</t>
  </si>
  <si>
    <t>Dou TM</t>
  </si>
  <si>
    <t>Dou TE</t>
  </si>
  <si>
    <t>Uri Res</t>
  </si>
  <si>
    <t>Uri DM</t>
  </si>
  <si>
    <t>Uri DEI</t>
  </si>
  <si>
    <t>Uri DEC</t>
  </si>
  <si>
    <t>WC Res</t>
  </si>
  <si>
    <t>WC DM</t>
  </si>
  <si>
    <t>WC DE</t>
  </si>
  <si>
    <t>Sources / éléments tangibles (URLs)</t>
  </si>
  <si>
    <t>P1</t>
  </si>
  <si>
    <t>Petite enfance supervisée</t>
  </si>
  <si>
    <t>Faible vandalisme, forte supervision adulte et maintenance régulière, mais lavage des mains intensif. Renouvellement plutôt par campagne bâtiment qu’en urgence.</t>
  </si>
  <si>
    <t>https://www.delabie.fr/nos-services/notre-expertise/nos-solutions/robinetterie-pour-lieux-publics | https://www.delabie.fr/nos-produits/robinetterie-pour-lieux-publics/robinet-de-lavabo-temporise/740500-robinet-de-lavabo-temporise-temposoft-2</t>
  </si>
  <si>
    <t>P2</t>
  </si>
  <si>
    <t>Enseignement intensif sous contrainte budgétaire</t>
  </si>
  <si>
    <t>Pics interclasses, usage quotidien élevé, vandalisme modéré et budgets publics souvent lissés. Le temporisé et la chasse directe tiennent mieux que le manuel/réservoir en usage intensif.</t>
  </si>
  <si>
    <t>https://www.delabie.fr/nos-services/notre-expertise/nos-solutions/robinetterie-pour-lieux-publics | https://www.renovation-bati-scolaire.fr/ressources/fonds-vert-2025</t>
  </si>
  <si>
    <t>P3</t>
  </si>
  <si>
    <t>Campus tertiaire / enseignement supérieur</t>
  </si>
  <si>
    <t>Usage adulte, fréquentation soutenue mais moins agressive, rénovations périodiques de campus et obligations de mise à niveau tertiaire.</t>
  </si>
  <si>
    <t>https://www.ecologie.gouv.fr/eco-energie-tertiaire-eet | https://www.delabie.fr/nos-services/notre-expertise/nos-solutions/robinetterie-pour-lieux-publics</t>
  </si>
  <si>
    <t>P4</t>
  </si>
  <si>
    <t>Résidentiel éducatif / jeunesse</t>
  </si>
  <si>
    <t>Usage résidentiel ou semi-résidentiel, douches plus sollicitées, pics saisonniers mais moindre vandalisme que le scolaire de jour.</t>
  </si>
  <si>
    <t>https://www.ecologie.gouv.fr/politiques-publiques/sante-construction-plomb-legionelle | https://www.delabie.fr/nos-services/notre-expertise/nos-solutions/robinetterie-pour-lieux-publics</t>
  </si>
  <si>
    <t>P5</t>
  </si>
  <si>
    <t>Loisirs jeunesse / usage saisonnier</t>
  </si>
  <si>
    <t>Fréquentation par pics, usage parfois extérieur/saisonnier, surveillance variable et maintenance souvent concentrée hors saison.</t>
  </si>
  <si>
    <t>P6</t>
  </si>
  <si>
    <t>Santé hospitalière aiguë</t>
  </si>
  <si>
    <t>Forte exigence d’hygiène, prévention légionelles, nettoyage fréquent et remplacements préventifs liés aux travaux Ségur ou à la conformité sanitaire.</t>
  </si>
  <si>
    <t>https://fides.sante.gouv.fr/soins-et-maladies/maladies/maladies-et-infections-respiratoires/article/prevention-de-la-legionellose-les-obligations-par-type-d-installation-et-d | https://igas.gouv.fr/pour-un-pilotage-renforce-des-investissements-immobiliers-des-etablissements-de-sante-consolider-lexpertise-et-la-maitrise-douvrage-hospitaliere-0 | https://www.delabie.fr/nos-services/notre-expertise/dossiers-thematiques/chasse-directe-la-reponse-adaptee-aux-problematiques-des-lieux-publics</t>
  </si>
  <si>
    <t>P7</t>
  </si>
  <si>
    <t>Santé spécialisée / ambulatoire / médico-éducatif</t>
  </si>
  <si>
    <t>Contrainte hygiène maintenue mais fréquentation moins continue que l’hospitalier aigu ; maintenance régulière, renouvellement par lots lors de travaux ciblés.</t>
  </si>
  <si>
    <t>https://fides.sante.gouv.fr/soins-et-maladies/maladies/maladies-et-infections-respiratoires/article/prevention-de-la-legionellose-les-obligations-par-type-d-installation-et-d | https://www.delabie.fr/nos-services/notre-expertise/nos-solutions/robinetterie-pour-lieux-publics</t>
  </si>
  <si>
    <t>P8</t>
  </si>
  <si>
    <t>Médico-social résidentiel / seniors / handicap</t>
  </si>
  <si>
    <t>Forte part d’usage résidentiel ou en chambre, moindre vandalisme, mais entretien régulier pour limiter stagnation/tartre ; remplacement souvent en lots de chambres ou d’unités.</t>
  </si>
  <si>
    <t>https://cpias-occitanie.fr/outils-cpias-occitanie/guide-legionelles-en-ehpad/ | https://fides.sante.gouv.fr/soins-et-maladies/maladies/maladies-et-infections-respiratoires/article/prevention-de-la-legionellose-les-obligations-par-type-d-installation-et-d | https://www.delabie.com/our-services/our-expertise/dossiers/direct-flush-designed-to-solve-the-problems-faced-by-public-places</t>
  </si>
  <si>
    <t>P9</t>
  </si>
  <si>
    <t>Culture / conférence / exposition</t>
  </si>
  <si>
    <t>Usage public modéré à fort mais irrégulier, pics événementiels, budgets municipaux/intercommunaux et rénovation par campagnes plutôt que remplacement à la panne.</t>
  </si>
  <si>
    <t>https://www.ecologie.gouv.fr/eco-energie-tertiaire-eet | https://www.delabie.fr/nos-services/notre-expertise/dossiers-thematiques/chasse-directe-la-reponse-adaptee-aux-problematiques-des-lieux-publics</t>
  </si>
  <si>
    <t>P10</t>
  </si>
  <si>
    <t>Restauration / bars / nightlife / loisirs indoor</t>
  </si>
  <si>
    <t>Longues amplitudes, forte humidité, nettoyage agressif, image commerciale importante et vandalisme plus élevé en soirée/nuit.</t>
  </si>
  <si>
    <t>https://www.delabie.fr/nos-services/notre-expertise/dossiers-thematiques/chasse-directe-la-reponse-adaptee-aux-problematiques-des-lieux-publics | https://www.cws.com/fr-LU/hygiene/centre-de-connaissances/sanitaires-anti-vandalisme</t>
  </si>
  <si>
    <t>P11</t>
  </si>
  <si>
    <t>Commerce / transport / parkings / sanitaires publics très intensifs</t>
  </si>
  <si>
    <t>Très forte fréquentation, disponibilité immédiate requise, vandalisme et coûts d’exploitation élevés ; la temporisation mécanique et la chasse directe sont favorisées.</t>
  </si>
  <si>
    <t>https://www.delabie.fr/nos-services/notre-expertise/dossiers-thematiques/chasse-directe-la-reponse-adaptee-aux-problematiques-des-lieux-publics | https://www.cws.com/fr-LU/hygiene/centre-de-connaissances/sanitaires-anti-vandalisme | https://www.delabie.fr/nos-produits/robinetterie-pour-lieux-publics/robinet-d-urinoir-automatique-et-temporise/479410-robinet-d-urinoir-automatique-tempomatic-4</t>
  </si>
  <si>
    <t>P12</t>
  </si>
  <si>
    <t>Bureaux / administration / justice</t>
  </si>
  <si>
    <t>Usage tertiaire moyen, faible vandalisme, rénovations par lots tirées par l’immobilier tertiaire, l’accessibilité et la trajectoire Éco Énergie Tertiaire.</t>
  </si>
  <si>
    <t>https://www.ecologie.gouv.fr/eco-energie-tertiaire-eet | https://www.delabie.fr/nos-services/notre-expertise/dossiers-thematiques/systeme-de-chasse-directe-wc-la-revolution-du-public</t>
  </si>
  <si>
    <t>P13</t>
  </si>
  <si>
    <t>Industrie / logistique / vestiaires salariés</t>
  </si>
  <si>
    <t>Usage posté, vestiaires et sanitaires salariés sollicités, qualité d’eau parfois défavorable, maintenance surtout corrective avec arbitrage budgétaire industriel.</t>
  </si>
  <si>
    <t>https://www.delabie.fr/nos-services/notre-expertise/nos-solutions/robinetterie-pour-lieux-publics | https://www.ecologie.gouv.fr/politiques-publiques/sante-construction-plomb-legionelle</t>
  </si>
  <si>
    <t>P14</t>
  </si>
  <si>
    <t>Hôtellerie / hébergement marchand</t>
  </si>
  <si>
    <t>Usage plus résidentiel, faible vandalisme mais attente client élevée ; renouvellement souvent par programme de rénovation chambre / salle de bains plus que par panne seule.</t>
  </si>
  <si>
    <t>https://conceptrenodeco.fr/guides/renovation-hotel-moderniser-chambres-espaces/ | https://baudet-sa.com/detail-realisation/ibis-munster | https://www.delabie.com/our-services/our-expertise/dossiers/direct-flush-designed-to-solve-the-problems-faced-by-public-places</t>
  </si>
  <si>
    <t>P15</t>
  </si>
  <si>
    <t>Sites saisonniers / montagne / camping / flottants</t>
  </si>
  <si>
    <t>Moins de cycles annuels mais conditions climatiques/corrosives, hivernage et remises en service ; maintenance concentrée et hétérogène.</t>
  </si>
  <si>
    <t>P16</t>
  </si>
  <si>
    <t>Sport / piscines / stades</t>
  </si>
  <si>
    <t>Forts pics de fréquentation, milieu humide ou chloré, nettoyage intensif et vandalisme non négligeable. Les douches et WC sont les plus exposés.</t>
  </si>
  <si>
    <t>https://www.insee.fr/fr/statistiques/8376522 | https://andes.fr/actualites/etude-occupation-des-equipements-sportifs/ | https://www.cws.com/fr-LU/hygiene/centre-de-connaissances/sanitaires-anti-vandalisme</t>
  </si>
  <si>
    <t>P17</t>
  </si>
  <si>
    <t>Sécurité / police / militaire</t>
  </si>
  <si>
    <t>Usage mixte agents/public, recherche de robustesse, interventions maintenues en exploitation, parc hétérogène avec une partie rénovée par opérations ciblées.</t>
  </si>
  <si>
    <t>https://www.delabie.fr/nos-services/notre-expertise/dossiers-thematiques/chasse-directe-la-reponse-adaptee-aux-problematiques-des-lieux-publics | https://www.ecologie.gouv.fr/eco-energie-tertiaire-eet</t>
  </si>
  <si>
    <t>P18</t>
  </si>
  <si>
    <t>Univers carcéral</t>
  </si>
  <si>
    <t>Usage intensif, sûreté et anti-vandalisme, maintenance par l’arrière privilégiée, parc ancien mais renouvelé partiellement par le plan prison 15 000 places.</t>
  </si>
  <si>
    <t>https://www.justice.gouv.fr/plan-15-000-places-prison | https://www.vie-publique.fr/en-bref/301521-surpopulation-carcerale-ou-en-est-le-plan-15-000-places-de-prison | https://www.delabie.fr/nos-services/notre-expertise/dossiers-thematiques/chasse-directe-la-reponse-adaptee-aux-problematiques-des-lieux-publics</t>
  </si>
  <si>
    <t>P19</t>
  </si>
  <si>
    <t>Culte / associatif faible intensité</t>
  </si>
  <si>
    <t>Fréquentation faible à modérée, faible vandalisme, remplacement souvent différé pour raisons budgétaires ; équipements conservés plus longtemps.</t>
  </si>
  <si>
    <t>Repères techniques utilisés</t>
  </si>
  <si>
    <t>R1</t>
  </si>
  <si>
    <t>Robinetterie temporisée collective : durée de vie des piles 3 à 6 ans et mécanismes/électrovannes ≥ 500 000 manoeuvres.</t>
  </si>
  <si>
    <t>https://www.delabie.fr/nos-services/notre-expertise/nos-solutions/robinetterie-pour-lieux-publics</t>
  </si>
  <si>
    <t>R2</t>
  </si>
  <si>
    <t>Lavabo temporisé : 3 l/min, temporisation ~7 s, garantie 30 ans.</t>
  </si>
  <si>
    <t>https://www.delabie.fr/nos-produits/robinetterie-pour-lieux-publics/robinet-de-lavabo-temporise/740500-robinet-de-lavabo-temporise-temposoft-2</t>
  </si>
  <si>
    <t>R3</t>
  </si>
  <si>
    <t>Douche temporisée : ~15 s, mécanisme testé à plus de 500 000 manoeuvres.</t>
  </si>
  <si>
    <t>https://www.sider.biz/produit/robinet-temporise-delabie-m1-2.153713015</t>
  </si>
  <si>
    <t>R4</t>
  </si>
  <si>
    <t>Urinoir temporisé : ~3 s, résistance &gt; 500 000 manoeuvres.</t>
  </si>
  <si>
    <t>https://www.materiauxnet.com/robinet-d-urinoir-delabie-tempostop-alimentation-en-ligne.html</t>
  </si>
  <si>
    <t>R5</t>
  </si>
  <si>
    <t>Urinoir électronique : rinçage périodique hygiénique 24h, mode affluence.</t>
  </si>
  <si>
    <t>https://www.delabie.fr/nos-produits/robinetterie-pour-lieux-publics/robinet-d-urinoir-automatique-et-temporise/479410-robinet-d-urinoir-automatique-tempomatic-4</t>
  </si>
  <si>
    <t>R6</t>
  </si>
  <si>
    <t>WC chasse directe : conçue pour forte fréquentation, résistante au vandalisme, &gt;500 000 manoeuvres, plus hygiénique que réservoir.</t>
  </si>
  <si>
    <t>https://www.delabie.fr/nos-services/notre-expertise/dossiers-thematiques/chasse-directe-la-reponse-adaptee-aux-problematiques-des-lieux-publics</t>
  </si>
  <si>
    <t>R7</t>
  </si>
  <si>
    <t>Prévention légionelles : éviter stagnation, tartre et corrosion ; sujet critique dans santé/EHPAD.</t>
  </si>
  <si>
    <t>https://fides.sante.gouv.fr/soins-et-maladies/maladies/maladies-et-infections-respiratoires/article/prevention-de-la-legionellose-les-obligations-par-type-d-installation-et-d</t>
  </si>
  <si>
    <t>R8</t>
  </si>
  <si>
    <t>Éco Énergie Tertiaire : -40 % d’énergie finale en 2030 pour le tertiaire &gt; 1 000 m² ; favorise les rénovations par lots.</t>
  </si>
  <si>
    <t>https://www.ecologie.gouv.fr/eco-energie-tertiaire-eet</t>
  </si>
  <si>
    <t>R9</t>
  </si>
  <si>
    <t>Sport : 182 700 équipements sportifs, gymnases et salles en zones urbaines ; occupation parfois très élevée.</t>
  </si>
  <si>
    <t>https://www.insee.fr/fr/statistiques/8376522</t>
  </si>
  <si>
    <t>R10</t>
  </si>
  <si>
    <t>Hôpital : plan Ségur 7,5 Md€ pour moderniser le patrimoine hospitalier, mise en oeuvre cependant décalée.</t>
  </si>
  <si>
    <t>https://igas.gouv.fr/pour-un-pilotage-renforce-des-investissements-immobiliers-des-etablissements-de-sante-consolider-lexpertise-et-la-maitrise-douvrage-hospitaliere-0</t>
  </si>
  <si>
    <t>R11</t>
  </si>
  <si>
    <t>Prisons : plan 15 000 places, parc ancien et fortement sollicité ; renouvellement partiel par nouveaux établissements d’ici 2027.</t>
  </si>
  <si>
    <t>https://www.justice.gouv.fr/plan-15-000-places-prison</t>
  </si>
  <si>
    <t>R12</t>
  </si>
  <si>
    <t>Hôtels : rénovations typiquement par campagnes, souvent 7 à 10 ans pour maintenir le standard ; exemples de refresh à 20 ans quand l’asset reste fonctionnel.</t>
  </si>
  <si>
    <t>https://conceptrenodeco.fr/guides/renovation-hotel-moderniser-chambres-espaces/ | https://baudet-sa.com/detail-realisation/ibis-munster</t>
  </si>
  <si>
    <t>Q1</t>
  </si>
  <si>
    <t>Tout en occultant toutes les recherches précédentes réalisées sur le sujet ... peux-tu me dire, via d'autres sources, en France, sur la robinetterie sanitaire collective (lavabos + urinoirs + douche + WC), pour les ERP uniquement, quel serait en volume de pièces, le % consacré à la vente neuve et quel % serait consacré à la rénovation, sur la période 2025-2030, en tenant compte aussi de tous les facteurs endogènes et exogènes identifiés (notamment dynamique économique, dynamique de la construction, dynamique du marché de la robinetterie, impact de la situation internationale, finances puliques, politiques publiques, investissements privés, programme de relance nationaux, écart entre intention et réalisation, ou tout autre élément impactant l'activité) . Merci de me livrer un niveau de fiabilité de ta réponse, ta méthodologie et tes sources.</t>
  </si>
  <si>
    <t>Je repars de zéro et je vais construire une estimation indépendante, en m’appuyant cette fois sur des sources publiques/sectorielles externes et une modélisation explicite du marché ERP.</t>
  </si>
  <si>
    <t>Je tiens la structure du modèle. Le cœur de la réponse va reposer sur un point simple : en ERP, le volume neuf est mécaniquement limité par les mises en chantier annuelles, alors que la rénovation est tirée par un parc existant immense, par les obligations de rénovation tertiaire et par les programmes écoles/hôpitaux/bâtiments publics.</t>
  </si>
  <si>
    <t>Thought for 8m 36s</t>
  </si>
  <si>
    <t>Oui. En repartant indépendamment des échanges précédents et en m’appuyant sur des sources externes publiques/sectorielles, mon estimation centrale pour la robinetterie sanitaire collective en ERP en France — périmètre lavabos + urinoirs + douches + WC, en volume de pièces, hors logement — est la suivante :</t>
  </si>
  <si>
    <t>Année</t>
  </si>
  <si>
    <t>Volume total estimé (pièces)</t>
  </si>
  <si>
    <t>Neuf</t>
  </si>
  <si>
    <t>Rénovation</t>
  </si>
  <si>
    <t>110 000 (20 %)</t>
  </si>
  <si>
    <t>455 000 (80 %)</t>
  </si>
  <si>
    <t>115 000 (20 %)</t>
  </si>
  <si>
    <t>120 000 (21 %)</t>
  </si>
  <si>
    <t>465 000 (79 %)</t>
  </si>
  <si>
    <t>128 000 (21 %)</t>
  </si>
  <si>
    <t>472 000 (79 %)</t>
  </si>
  <si>
    <t>135 000 (22 %)</t>
  </si>
  <si>
    <t>480 000 (78 %)</t>
  </si>
  <si>
    <t>142 000 (23 %)</t>
  </si>
  <si>
    <t>488 000 (77 %)</t>
  </si>
  <si>
    <t xml:space="preserve">Ma lecture synthétique est donc : sur 2025-2030, le marché ERP restera très majoritairement un marché de rénovation, autour de 77 % à 80 % des volumes, tandis que le neuf représenterait 20 % à 23 % selon les années. Cette domination de la rénovation est cohérente avec la taille du parc tertiaire existant, les obligations réglementaires de réduction de consommation dans l’existant, et le fait que la construction neuve non résidentielle reste nettement plus petite que le stock en exploitation. </t>
  </si>
  <si>
    <t>Ce qui me fait pencher vers 80/20 plutôt que 50/50</t>
  </si>
  <si>
    <t xml:space="preserve">Le point décisif est le poids du parc existant. L’ADEME estime la surface tertiaire chauffée à 976 millions de m² en 2023, et le Cerema estime qu’environ 740 millions de m² de locaux tertiaires de métropole sont déjà dans le champ du dispositif Éco Énergie Tertiaire pour les surfaces de plus de 1 000 m². En parallèle, le cahier 2026 du Fonds vert rappelle un parc tertiaire d’environ 1 milliard de m², dont plus du tiers pour les bâtiments publics de l’État et des collectivités, et indique que les collectivités détiennent à elles seules plus de 225 000 bâtiments pour 280 millions de m². Ce stock immense crée mécaniquement un volant de remplacement et de rénovation très supérieur à ce que peut générer le seul flux annuel de bâtiments neufs. </t>
  </si>
  <si>
    <t xml:space="preserve">À l’inverse, le neuf part d’un flux plus étroit. Sur les douze mois allant de février 2025 à janvier 2026, les mises en chantier de locaux non résidentiels atteignent 21,0 millions de m², en hausse de 2,8 %, mais les autorisations baissent encore légèrement à 37,2 millions de m² (-1,9 %). La FFB souligne en outre que le non-résidentiel neuf a encore reculé de 6,6 % en volume en 2025 après -4,1 % en 2024, même si les surfaces commencées ont montré une inflexion positive en 2025. Autrement dit : le neuf cesse de se dégrader autant qu’en 2024, mais il ne redevient pas le moteur principal du marché. </t>
  </si>
  <si>
    <t>Les facteurs qui soutiennent la rénovation ERP jusqu’en 2030</t>
  </si>
  <si>
    <t xml:space="preserve">Le principal moteur structurel est réglementaire : le dispositif Éco Énergie Tertiaire impose pour les bâtiments concernés une baisse de consommation d’énergie de -40 % en 2030, -50 % en 2040 et -60 % en 2050. Le cahier 2026 du Fonds vert rappelle aussi que la directive européenne sur l’efficacité énergétique impose une rénovation à haut niveau de performance d’au moins 3 % des surfaces des bâtiments publics de plus de 250 m² chauffés ou refroidis, ainsi qu’une baisse annuelle de 1,9 % de la consommation d’énergie des organismes publics. Même si la robinetterie n’est pas le premier poste d’investissement d’une rénovation énergétique, elle entre souvent dans les lots “sanitaires / eau / confort d’été / mise en conformité / modernisation”. Le Fonds vert rend d’ailleurs explicitement éligibles les équipements permettant de réduire la consommation d’eau. </t>
  </si>
  <si>
    <t xml:space="preserve">Le deuxième moteur est la massification de programmes ciblés sur les ERP publics. Côté scolaire, la Banque des Territoires indique environ 53 000 établissements scolaires publics, 130 millions de m² de surface et un programme EduRénov visant 10 000 projets d’ici 2027, avec 2 Md€ de prêts et 50 M€ d’ingénierie. En juillet 2025, Localtis indiquait déjà 5 000 chantiers engagés, et la ministre évoquait 2 Md€ supplémentaires. Côté santé, le Ségur représente 19 Md€ d’investissement jusqu’en 2030, dont une part majeure pour les établissements de santé. Côté justice, le ministère a aussi lancé des opérations de rénovation énergétique sur des tribunaux, centres de détention et autres sites. Tout cela alimente un flux de rénovation sanitaire dans des ERP très équipés en lavabos, WC, urinoirs et douches. </t>
  </si>
  <si>
    <t>Les facteurs qui freinent le marché</t>
  </si>
  <si>
    <t xml:space="preserve">Je ne vois pas un scénario de forte accélération linéaire, parce que plusieurs freins sont réels. La FFB signale une activité d’entretien-amélioration en recul, avec un non-résidentiel à -0,6 % entre T3 2024 et T3 2025, et même une légère érosion de la rénovation énergétique non résidentielle. La Banque des Territoires note un contexte budgétaire tendu pour les collectivités, une baisse de certaines aides et surtout un écart important entre étude et réalisation : selon Actee/Banque des Territoires, près de 50 % des projets s’arrêtent entre l’étude technique et la réalisation. Côté santé, le ministère évoque en 2025 un déficit estimé à 2,9 Md€ fin 2024 pour les établissements publics de santé, ce qui peut ralentir ou phaser certains investissements hors opérations déjà financées. </t>
  </si>
  <si>
    <t xml:space="preserve">Le contexte macro ne pousse pas non plus à un emballement. En mars 2026, la Banque de France prévoit une croissance du PIB français de 0,9 % en 2026, puis 0,8 % en 2027 avant 1,2 % en 2028, en soulignant que la hausse des prix de l’énergie et la détérioration du contexte géopolitique pèseraient sur l’activité et l’investissement des entreprises. La Banque mondiale anticipe de son côté des prix des métaux de base en hausse de 3 % en 2025, globalement stables en 2026, puis autour de +2 % en 2027. Enfin, l’indice Insee des prix de production de la robinetterie d’équipement du bâtiment est passé de 100 en 2021 à 120,7 en février 2026, ce qui signifie que la pression prix a déjà été forte depuis 2021, même si le rythme semble désormais plus calme. Cela tend à soutenir la valeur, mais à limiter le volume si les budgets chantier sont serrés. </t>
  </si>
  <si>
    <t>Ma méthodologie</t>
  </si>
  <si>
    <t xml:space="preserve">Je n’ai pas trouvé de série publique prête à l’emploi donnant directement le nombre de pièces de robinetterie sanitaire collective ERP vendues en France, ni leur ventilation neuf/rénovation. Les chiffres ci-dessus sont donc modélisés. Les statistiques publiques consultées décrivent surtout le parc tertiaire, la construction neuve non résidentielle, les programmes de rénovation et les prix de la robinetterie, pas ce sous-segment précis. La robinetterie sanitaire représente par ailleurs près de la moitié de la production commercialisée en valeur de la robinetterie de bâtiment, ce qui confirme l’importance du segment, mais pas son split ERP/neuf/réno. </t>
  </si>
  <si>
    <t>Concrètement, j’ai fait 4 étapes :</t>
  </si>
  <si>
    <t xml:space="preserve">1. Délimitation du parc pertinent ERP : j’ai pris comme enveloppe de référence le parc tertiaire français, puis j’ai retenu un sous-ensemble ERP “effectivement consommateur de robinetterie collective” en m’appuyant sur les ordres de grandeur 976 millions de m² chauffés, 740 millions de m² assujettis &gt;1 000 m², 1 milliard de m² tertiaires et la forte présence des bâtiments publics. </t>
  </si>
  <si>
    <t xml:space="preserve">2. Densité d’équipement en pièces : j’ai utilisé comme base basse les obligations minimales du Code du travail, soit 1 lavabo pour 10 travailleurs, 1 WC + 1 urinoir pour 20 hommes et 2 WC pour 20 femmes, puis j’ai remonté ce niveau pour tenir compte du fait qu’un ERP ne sert pas seulement ses salariés mais aussi le public, et que des branches comme l’enseignement, la santé, le sport, l’hébergement ou certains commerces sont plus denses en sanitaires que des bureaux standards. Les douches sont plus sélectives, mais bien présentes dans certains ERP et dans certains lieux de travail. </t>
  </si>
  <si>
    <t xml:space="preserve">3. Cycle de renouvellement : j’ai retenu un cycle technique/économique moyen d’environ 15 à 18 ans pour la robinetterie collective ERP, avec une dispersion selon les usages. Ce point est le moins documenté par les statistiques publiques. Je l’ai borné par le fait que le CSTB certifie la durée de vie et l’endurance via ECAU/NF 077, et que des fabricants de référence en collectif affichent des garanties de 10 à 30 ans selon les gammes. La durée réelle de remplacement sur le terrain peut être plus courte que la durée technique, notamment en cas de rénovation globale, de mise en conformité ou de chasse aux fuites. </t>
  </si>
  <si>
    <t xml:space="preserve">4. Part neuf : j’ai appliqué au flux de construction neuve non résidentielle un coefficient “ERP pertinent” excluant l’industrie, les entrepôts, l’agricole et la plupart des surfaces sans robinetterie sanitaire collective significative, puis j’ai modulé ce flux avec la conjoncture 2025-2030 : faiblesse du neuf en 2025-2026, redressement progressif ensuite sans véritable boom. </t>
  </si>
  <si>
    <t>Mon niveau de fiabilité</t>
  </si>
  <si>
    <t>Je mettrais la fiabilité globale à 5,5/10.</t>
  </si>
  <si>
    <t xml:space="preserve">La fiabilité est plutôt bonne sur le sens de la conclusion : la rénovation domine nettement le neuf sur ce segment ERP, et restera vraisemblablement autour de 3/4 à 4/5 des volumes jusqu’en 2030. Cette partie est bien soutenue par la taille du parc tertiaire existant, par les obligations DEET, par les programmes écoles/hôpitaux/bâtiments publics et par la faiblesse relative du neuf. </t>
  </si>
  <si>
    <t>La fiabilité est moyenne à prudente sur les volumes absolus de pièces et sur le pourcentage exact année par année, parce qu’il manque une statistique publique directe sur :</t>
  </si>
  <si>
    <t>le nombre de pièces de robinetterie sanitaire collective vendues aux ERP,</t>
  </si>
  <si>
    <t>la frontière exacte ERP / non-ERP dans les locaux tertiaires,</t>
  </si>
  <si>
    <t>et le taux réel de renouvellement des robinetteries par type d’établissement.</t>
  </si>
  <si>
    <t xml:space="preserve">C’est pourquoi je considérerais plutôt mes chiffres comme une base de marché raisonnable avec une marge d’erreur de l’ordre de ±15 % à ±20 % sur les volumes, et de ±3 points sur le split neuf/rénovation. </t>
  </si>
  <si>
    <t>En une phrase</t>
  </si>
  <si>
    <t xml:space="preserve">Ma meilleure estimation indépendante est donc : en France, pour la robinetterie sanitaire collective en ERP, le marché 2025-2030 serait à peu près un marché “80 % rénovation / 20 % neuf”, glissant vers 77/23 à l’horizon 2030, pour un volume total d’environ 565 000 à 630 000 pièces par an. </t>
  </si>
  <si>
    <t>Je peux aussi vous livrer une version plus “cabinet de conseil”, avec scénario bas / central / haut, ou un découpage par type de pièce : lavabos, urinoirs, douches, WC.</t>
  </si>
  <si>
    <t>En France, en robinetterie collective quelle proportion du parc existant entre mitigeur, robinetterie électronique et robinetterie mécanique temporisée ? ... aussi pour les années 2026-2030, chaque année, quelle proportion entre chaque type de robinet - et pourquoi ? ... beaucoup de différence entre parc existant et ventes 2026-2030 ?</t>
  </si>
  <si>
    <t>Je vais chercher des sources de marché et des repères techniques français/européens, puis distinguer clairement parc installé et ventes neuves. Sur ce sujet, il est probable qu’on doive raisonner par estimation documentée plutôt que par statistique officielle unique.</t>
  </si>
  <si>
    <t>J’ai les principaux moteurs de fond : hygiène/sans contact, économie d’eau, maîtrise du risque sanitaire et maintenance/coût total. Je vais maintenant transformer ça en une estimation chiffrée cohérente, en séparant bien le parc installé des ventes annuelles.</t>
  </si>
  <si>
    <t>Réflexion durant 2m 29s</t>
  </si>
  <si>
    <t xml:space="preserve">Oui, mais il faut poser un cadre clair : il n’existe pas, à ma connaissance, de statistique publique française donnant la répartition nationale exacte du parc de robinetterie collective entre mitigeur, électronique et mécanique temporisée. Donc ce qui suit est une estimation de travail pour la robinetterie de lavabo / lave-mains en lieux collectifs (ERP, tertiaire, enseignement, santé, sport, transport), construite à partir des offres réellement dominantes du marché pro, des contraintes d’hygiène et de gestion de l’eau, et du rythme de renouvellement du parc. </t>
  </si>
  <si>
    <t>Ma lecture du parc existant 2026 en France est la suivante :</t>
  </si>
  <si>
    <t>robinetterie mécanique temporisée : ~54 %</t>
  </si>
  <si>
    <t>mitigeur “classique” manuel : ~32 %</t>
  </si>
  <si>
    <t>robinetterie électronique : ~14 %</t>
  </si>
  <si>
    <t xml:space="preserve">C’est cohérent avec un parc historiquement tiré par la temporisation mécanique dans les sanitaires à fort passage, parce qu’elle reste robuste, simple, économique et pensée pour l’usage intensif ; par exemple, les modèles temporisés pro affichent typiquement 3 l/min, ~15 s d’écoulement et jusqu’à 500 000 manœuvres. Le mitigeur manuel reste encore très présent dans les zones moins intensives, les bureaux, les locaux du personnel et une partie du parc ancien. L’électronique progresse, mais part d’un parc plus récent. </t>
  </si>
  <si>
    <t>Pour les ventes 2026, j’estimerais plutôt :</t>
  </si>
  <si>
    <t>mécanique temporisée : ~47 %</t>
  </si>
  <si>
    <t>électronique : ~33 %</t>
  </si>
  <si>
    <t>mitigeur manuel : ~20 %</t>
  </si>
  <si>
    <t xml:space="preserve">Autrement dit, les ventes sont nettement plus “modernes” que le parc installé. L’électronique monte dans les projets neufs et de rénovation parce qu’elle répond bien au triptyque actuel : hygiène sans contact, économies d’eau, maîtrise sanitaire du réseau. Les fabricants mettent en avant le sans-contact, le rinçage périodique anti-stagnation et des débits préréglés bas ; Delabie annonce par exemple un rinçage périodique sur ses gammes électroniques et jusqu’à 90 % d’économie d’eau dans certains cas d’usage, tandis que Presto se positionne explicitement comme acteur des gammes électroniques et temporisées pour collectivités. </t>
  </si>
  <si>
    <t>Ma projection des ventes annuelles pour 2026-2030 serait :</t>
  </si>
  <si>
    <t>Mitigeur manuel</t>
  </si>
  <si>
    <t>Électronique</t>
  </si>
  <si>
    <t>Mécanique temporisée</t>
  </si>
  <si>
    <t xml:space="preserve">L’idée derrière cette courbe est simple : la temporisée mécanique reste très forte car elle garde un avantage de coût d’achat, de simplicité de maintenance et de résistance au vandalisme / usage intensif ; l’électronique gagne du terrain tous les ans grâce à l’hygiène sans contact, à la baisse des consommations d’eau et aux exigences de maîtrise sanitaire ; le mitigeur manuel recule dans les sanitaires collectifs à fort passage, mais ne disparaît pas car il garde des positions dans les bureaux, locaux de service et petites rénovations sous contrainte budgétaire. </t>
  </si>
  <si>
    <t>La projection du parc installé évolue forcément plus lentement. J’estimerais :</t>
  </si>
  <si>
    <t xml:space="preserve">Donc en 2030, même avec des ventes déjà très favorables à l’électronique, le parc resterait encore majoritairement temporisé mécanique, parce que la robinetterie collective se renouvelle lentement, souvent au fil des opérations de maintenance lourde, de réhabilitation sanitaire ou de remise en conformité, et non en remplacement massif annuel. La dynamique du non-résidentiel en France s’améliore un peu, mais on n’est pas dans un scénario de vague de reconstruction capable de retourner très vite le parc ; le Trésor signalait récemment une reprise portée par le non-résidentiel, tout en indiquant que l’investissement public ralentirait, et les données de construction de locaux montraient en 2025 une hausse modérée des autorisations, pas un boom. </t>
  </si>
  <si>
    <t>Sur votre question “beaucoup de différence entre parc existant et ventes ?”, ma réponse est oui, assez nettement. En 2026, dans cette estimation, l’électronique représente ~14 % du parc mais ~33 % des ventes. À l’inverse, le mitigeur manuel ferait encore ~32 % du parc mais seulement ~20 % des ventes. La temporisée mécanique, elle, reste forte des deux côtés : ~54 % du parc et ~47 % des ventes. C’est typiquement le profil d’un marché de remplacement où la nouvelle demande bascule plus vite que le stock installé.</t>
  </si>
  <si>
    <t>Pourquoi cette bascule se fait-elle ainsi ?</t>
  </si>
  <si>
    <t xml:space="preserve">D’abord, l’hygiène. Les fabricants et distributeurs pro poussent clairement le sans-contact pour les ERP et les établissements de soins ; Delabie met en avant la suppression du contact manuel, et les modèles électroniques récents intègrent souvent des fonctions de rinçage périodique utiles contre la stagnation. En parallèle, les obligations de gestion de la qualité de l’eau se renforcent, avec les plans de gestion de la sécurité sanitaire de l’eau et la vigilance sur les légionelles dans les ERP et établissements de santé. </t>
  </si>
  <si>
    <t xml:space="preserve">Ensuite, l’eau et l’énergie. Dans un sanitaire collectif, passer d’un robinet manuel “laissé ouvert” à une solution temporisée ou électronique à faible débit abaisse fortement les consommations. Les acteurs du marché mettent en avant des débits préréglés bas et, pour le sans-contact, des économies très élevées sur le lavage des mains. Cela pousse les cahiers des charges vers le temporisé et l’électronique, surtout en rénovation tertiaire. </t>
  </si>
  <si>
    <t xml:space="preserve">Enfin, le coût total. La temporisée mécanique garde un très bon rapport coût / robustesse / maintenance, donc elle reste souvent le choix rationnel dans les écoles, gymnases, équipements sportifs ou sanitaires publics très sollicités. L’électronique progresse surtout là où l’hygiène, l’image, le confort d’usage ou la gestion technique du bâtiment justifient le surcoût : santé, tertiaire premium, transport, aéroports, grands ERP récents. </t>
  </si>
  <si>
    <t xml:space="preserve">Mon point de vigilance : si vous élargissez la définition en intégrant beaucoup de bureaux internes, cuisines, locaux techniques ou hébergement, la part du mitigeur manuel remonte un peu. À l’inverse, si vous ciblez surtout sanitaires publics à fort trafic ou santé, la part de l’électronique dans les ventes peut être 5 à 10 points plus haute que mon scénario central. </t>
  </si>
  <si>
    <t>Pour un usage de modélisation, je vous conseillerais donc de retenir ce scénario central France 2026 :</t>
  </si>
  <si>
    <t>parc existant : manuel 32 % / électronique 14 % / temporisé mécanique 54 %</t>
  </si>
  <si>
    <t>ventes 2026 : manuel 20 % / électronique 33 % / temporisé mécanique 47 %</t>
  </si>
  <si>
    <t>ventes 2030 : manuel 16 % / électronique 41 % / temporisé mécanique 43 %</t>
  </si>
  <si>
    <t>Et la conclusion de fond est : oui, il y a une vraie différence entre parc et ventes ; l’électronique surperforme fortement en ventes, mais le parc reste dominé par la temporisation mécanique jusqu’en 2030.</t>
  </si>
  <si>
    <t>Q2</t>
  </si>
  <si>
    <t>D'après ton raisonnement, peux-tu renseigner un mix par type de produit selon la technologie employée (mix lavabos, mix douches, mix urinoirs et mix WC), d'après les libellés de colonnes T à AF. Pour chaque type de produit, merci de justifier ton mix par des éléments tangibles par rapport au parc existant, pour chaque ligne. merci de ne considérer que les sanitaires communs dimensionnés pour accueillir plus de 5 personnes - donc, ne pas considérer les sanitaires individuels ... sauf pour EHPAD - USLD et les les catégories Santé hospitalière, Santé spécialisée et Univers carcéral (si toutefois il y a de l'individuel).</t>
  </si>
  <si>
    <t xml:space="preserve">La logique de fond appliquée est celle-ci : le temporisé mécanique reste dominant dans les parcs collectifs intensifs et robustes comme l’enseignement, le sport, l’industrie ou une partie des ERP publics, car c’est la techno historiquement la plus répandue en collectivité, robuste et économe en eau ; l’électronique monte surtout dans les segments rénovés à enjeu d’hygiène et d’image comme aéroports, gares, malls, bureaux récents ou certains sites de santé ; les mitigeurs restent dominants là où le parc ressemble davantage à de l’hébergement ou du soin, en particulier en santé et en EHPAD. Les WC à chasse directe prennent le dessus dans les ERP publics à fort trafic, tandis que les réservoirs restent très présents dans les parcs plus résidentiels ou de chambre. </t>
  </si>
  <si>
    <t>Si vous voulez, je peux maintenant vous faire une version 2026-2030 du même fichier, avec projection annuelle des mix par technologie.</t>
  </si>
  <si>
    <t>J’ai confirmé l’écart : le total lavabos 2025 du fichier ressort autour de 41,5 % mitigeurs, 34,1 % temporisés mécaniques, 17,4 % électroniques et 7,1 % autres. Je vais maintenant cibler les lignes les plus contributrices qui surpondèrent le manuel ou les “autres”, sans refaire tout le tableau arbitrairement.</t>
  </si>
  <si>
    <t>J’ai confirmé que le 32/54/14 décrit surtout les sanitaires collectifs intensifs, pas forcément le total élargi du tableau. Je sécurise maintenant l’écriture du fichier et le rendu final du bloc 2030 avec les justifications sur l’onglet principal.</t>
  </si>
  <si>
    <t>J’ai :</t>
  </si>
  <si>
    <t>remis les justifications sur l’onglet ERP - Sanitaires collectifs 7 ;</t>
  </si>
  <si>
    <t>ajouté le mix 2030 sur les mêmes familles de colonnes, en AH:AU ;</t>
  </si>
  <si>
    <t>ajouté les justifications 2025 et les justifications d’évolution 2025→2030 sur le même onglet, en AV:BE ;</t>
  </si>
  <si>
    <t>conservé l’onglet Références techno et enrichi les sources ;</t>
  </si>
  <si>
    <t>supprimé l’ancien onglet séparé Justifications mix techno 2025 pour éviter les doublons.</t>
  </si>
  <si>
    <t xml:space="preserve">Sur le re-challenge 2025, je n’ai pas forcé tout le tableau à coller au benchmark global 32 / 54 / 14. Je l’ai seulement corrigé là où il y avait un vrai sujet de sous-pondération du temporisé ou de l’électronique dans des sanitaires communs rénovés. Le total pondéré du tableau reste plus “mitigeur” que ce benchmark, et c’est cohérent avec le périmètre réel du fichier : il inclut aussi de la santé, de l’EHPAD, de l’hébergement, de la restauration, du culte et des petits ERP de proximité, où le mitigeur manuel ou médical reste structurellement plus présent. À l’inverse, les blocs collectifs intensifs restent bien dominés par le temporisé mécanique, avec une montée graduelle de l’électronique. Cela colle au marché pro : le temporisé collectif reste une base robuste et économe en eau, tandis que l’électronique progresse grâce au sans-contact et au rinçage périodique ; en santé, les gammes médicales restent disponibles en mécanique comme en électronique. </t>
  </si>
  <si>
    <t xml:space="preserve">Pour 2030, j’ai gardé une logique de projection de parc installé, pas de ventes annuelles. J’ai donc fait monter l’électronique de façon graduelle, surtout dans le tertiaire, les transports, le commerce, la culture et les sanitaires publics, en cohérence avec la poursuite des rénovations du parc tertiaire à horizon 2030 et avec le renforcement des logiques de maîtrise sanitaire de l’eau. </t>
  </si>
  <si>
    <t xml:space="preserve">Pour les WC et urinoirs, la trajectoire 2030 favorise surtout la chasse directe et l’automatique dans les ERP intensifs, sans faire disparaître trop vite les réservoirs et les systèmes mécaniques dans les parcs plus lents à rénover. C’est cohérent avec le fait que la chasse directe est documentée comme plus adaptée aux lieux publics intensifs, alors que les WC à réservoir restent plus proches d’une logique d’habitat et demeurent présents dans le stock existant. </t>
  </si>
  <si>
    <t>Q3</t>
  </si>
  <si>
    <t>A partir du document attaché, pour chacune des colonnes G à T, peux-tu me donner en colonnes suivantes, une durée de vie de produit pour chacune des colonnes ? ... En durée de vie, je n'entends pas une durée de vie théorique du produit ... je souhaite que pour chaque sous-catégorie, tu m'indiques une durée de vie réelle par type de produit, en te basant sur des critères comme l'usage, la fréquentation des lieux, l'intensité d'utilisation, le vandalisme, le budget envisagé sur la période 2025-2030, éventuellement les politiques publiques, le fait de rénover individuellement (panne) ou par lots (batch de rénovation), ou tout autre élément estimé et utile susceptible de raccourcir ou prolonger la durée de vie du produit. A l'issue, j'aimerais estimer le nombre de pièces par type de produit pour chaque sous-catégorie qui devront être rénovées à partir du parc existant précédemment calculé. Merci de justifier pour chaque sous-catégorie, type de produit et techno, cette durée de vie réelle du produit et de me livrer un niveau de fiabilité à chaque fois. Merci d'approfondir toutes tes recherches.</t>
  </si>
  <si>
    <t>J’ai ajouté :</t>
  </si>
  <si>
    <t>les durées de vie réelles par techno pour chaque sous-catégorie,</t>
  </si>
  <si>
    <t>le nombre de pièces du parc 2025 à rénover sur 2025-2030,</t>
  </si>
  <si>
    <t>un niveau de fiabilité par techno,</t>
  </si>
  <si>
    <t>un argumentaire détaillé par sous-catégorie,</t>
  </si>
  <si>
    <t>une colonne sources.</t>
  </si>
  <si>
    <t>À noter : j’ai traité la durée de vie comme une durée réelle d’exploitation (usage, intensité, vandalisme, humidité, maintenance, arbitrages budgétaires, rénovation par lots), pas comme une durée théorique fabricant.</t>
  </si>
  <si>
    <t>Q4</t>
  </si>
  <si>
    <t>Un peu surpris de certaines de tes durées de vie réelles ... notamment une durée de vie réelle des mitigeurs plus longue que les temporisés - l'écart de durée de vie des tempo mécaniques avec les électroniques ... Aussi l'écart important de durée de vie du même produit entre sous-segments différents ... Peux-tu justifier ces écarts (au global - et pour chaque sous-catégorie - autrement dit, qu'est-ce que de manière tangible, dans l'usage, intensité, vandalisme, humidité, maintenance, arbitrages budgétaires, rénovation par lots, on aboutit à cette durée de vie) et éventuellement modifier ton document en faisant une recherche un peu plus approfondie pour chaque techno et chaque sous-segment ... Si tu fais des modifs, merci de me livrer une synthèse des modifications réalisées ... Donc, merci de me livre un doc. Excel mis à jour.</t>
  </si>
  <si>
    <t>J’ai revu la logique pour :</t>
  </si>
  <si>
    <t>remonter / resserrer les durées des temporisés mécaniques vs mitigeurs dans les usages partagés,</t>
  </si>
  <si>
    <t>réduire les écarts trop forts entre tempo mécaniques et électroniques,</t>
  </si>
  <si>
    <t>resserrer les écarts entre sous-segments sauf cas vraiment extrêmes (piscines, transport très intensif, toilettes publiques, carcéral),</t>
  </si>
  <si>
    <t>ajouter une feuille “Synthèse écarts DV” qui explique la logique globale,</t>
  </si>
  <si>
    <t>ajouter des colonnes fiabilité par techno,</t>
  </si>
  <si>
    <t>réécrire les argumentaires par sous-catégorie.</t>
  </si>
  <si>
    <t>Principaux ancrages utilisés :</t>
  </si>
  <si>
    <t xml:space="preserve">la maintenance et l’entretien conditionnent directement la durée réelle des équipements sanitaires ; l’absence d’entretien, l’humidité, la corrosion et les fuites accélèrent les remplacements </t>
  </si>
  <si>
    <t xml:space="preserve">en collectivités, les mécanismes temporisés / électrovannes sont annoncés à au moins 500 000 manœuvres, alors que la durée moyenne des piles des systèmes électroniques est donnée à 350 000 cycles (3 à 6 ans), ce qui explique pourquoi le temporisé mécanique reste souvent au moins aussi durable que le mitigeur en usage partagé intensif </t>
  </si>
  <si>
    <t xml:space="preserve">les temporisés sont explicitement recommandés dans les sanitaires à risque de vandalisme (ex. scolaires, aires d’autoroute), tandis que l’électronique gagne surtout sur l’hygiène et le rinçage périodique des réseaux </t>
  </si>
  <si>
    <t xml:space="preserve">l’électronique reste pertinente en santé / usages intensifs grâce au sans-contact, au rinçage automatique et à la maintenance facilitée </t>
  </si>
  <si>
    <t xml:space="preserve">en piscine, humidité élevée, condensation et chlorures créent un environnement particulièrement corrosif, ce qui justifie des durées plus basses sur toutes les technos, surtout électroniques et douches </t>
  </si>
  <si>
    <t>comme borne générale, un robinet électronique est souvent donné autour de 5 à 10 ans selon usage et entretien, ce qui m’a servi de garde-fou pour ne pas surévaluer cette techno</t>
  </si>
  <si>
    <t>Q5</t>
  </si>
  <si>
    <t>Peux-tu maintenant me donner en quelques phrases une synthèse de ces justifications de durée de vie regroupant l'ensemble de ce que tu constates sur les sous-segments ?</t>
  </si>
  <si>
    <t>Globalement, la durée de vie réelle des équipements sanitaires collectifs dépend bien davantage du niveau d’usage, de la pression d’exploitation et du mode de gestion du parc que de la durée théorique fabricant. Les durées les plus courtes se concentrent dans les sous-segments à fort trafic, exposés au vandalisme, à l’encrassement, aux réglages fréquents et à une maintenance plus réactive, comme les transports, certains ERP publics, le sport, l’enseignement dense ou l’univers carcéral.</t>
  </si>
  <si>
    <t>À l’inverse, les durées sont plus longues dans les environnements mieux maîtrisés, à fréquentation plus régulière ou plus résidentielle, où les usages sont moins intensifs et les remplacements plus espacés, comme une partie des bureaux, de l’hébergement ou de certains établissements médico-sociaux. Les segments de santé ont un profil particulier : même quand l’usage n’est pas toujours extrême, les contraintes d’hygiène, de sécurité sanitaire de l’eau, de maintenance préventive et de conformité tendent à raccourcir la durée effective de certains équipements.</t>
  </si>
  <si>
    <t>On observe aussi une différence nette selon les technologies : les dispositifs mécaniques robustes tiennent souvent bien dans les contextes intensifs, tandis que les équipements électroniques peuvent être remplacés plus tôt non seulement pour usure, mais aussi pour raisons de batteries, capteurs, électrovannes, obsolescence ou politique de rénovation. Enfin, beaucoup de renouvellements ne se font pas uniquement “à la panne” : dans plusieurs sous-segments, ils dépendent aussi de campagnes de rénovation par lots, de contraintes budgétaires 2025-2030, de programmes publics et de la logique de modernisation du parc, ce qui accélère certains remplacements et en retarde d’autres.</t>
  </si>
  <si>
    <t>Q6</t>
  </si>
  <si>
    <t>A ton avis, au global dans les ERP, sur le parc existant, quel mix produit en % tu me proposerait pour les urinoirs ? voir image attachée</t>
  </si>
  <si>
    <t>Oui — sans reprendre le travail d’avant, je proposerais pour les urinoirs sur parc existant ERP le split suivant :</t>
  </si>
  <si>
    <t>Mix 2025 proposé</t>
  </si>
  <si>
    <t>À réservoir : 8 %</t>
  </si>
  <si>
    <t>Chasse directe méca. : 42 %</t>
  </si>
  <si>
    <t>Chasse directe électro indiv. : 30 %</t>
  </si>
  <si>
    <t>Chasse directe électro collect. : 20 %</t>
  </si>
  <si>
    <t>Mix 2030 proposé</t>
  </si>
  <si>
    <t>À réservoir : 5 %</t>
  </si>
  <si>
    <t>Chasse directe méca. : 35 %</t>
  </si>
  <si>
    <t>Chasse directe électro indiv. : 42 %</t>
  </si>
  <si>
    <t>Chasse directe électro collect. : 18 %</t>
  </si>
  <si>
    <t xml:space="preserve">Le point le plus solide, à mon avis, est que l’urinoir en ERP est d’abord un marché de chasse directe, pas de réservoir. Des sources distributeur et fabricant décrivent l’urinoir comme étant “souvent raccordé au système d’évacuation en flux direct, c’est-à-dire sans réservoir”, tandis que DELABIE et SCHELL structurent très visiblement leurs offres urinoirs autour de robinets temporisés et de robinets de chasse directe apparents ou encastrés. </t>
  </si>
  <si>
    <t xml:space="preserve">Je mets donc la chasse directe méca en tête sur le parc existant, car elle coche les cases classiques des ERP : simplicité, robustesse, résistance à l’usage intensif et à l’anti-vandalisme. DELABIE met par exemple en avant des robinets temporisés d’urinoir apparents ou encastrés, avec laiton massif et résistance à plus de 500 000 manœuvres selon les modèles, ce qui correspond très bien au parc historique des collectivités et sites à forte fréquentation. </t>
  </si>
  <si>
    <t xml:space="preserve">Je mets ensuite une part déjà forte en chasse directe électro individuelle. La raison est simple : les fabricants poussent très clairement le sans contact sur l’urinoir en lieux publics et semi-publics. SCHELL insiste sur l’hygiène, la détection automatique et le rinçage anti-stagnation sur ses solutions urinoirs électroniques ; DELABIE met en avant la détection infrarouge, les modes d’affluence et les rinçages hygiéniques périodiques ; Geberit présente des commandes d’urinoir intégrées, invisibles sous la céramique, avec alimentation secteur, batterie ou autonome. Tout cela me pousse à mettre l’électro individuel déjà haut en 2025, puis en nette progression à horizon 2030. </t>
  </si>
  <si>
    <t xml:space="preserve">La part électro collective reste, selon moi, significative mais minoritaire. Je la lis surtout comme un héritage de parc sur certaines batteries d’urinoirs et sanitaires fortement circulants, plutôt que comme le cœur du neuf. Ce qui me fait rester prudent, c’est que les gammes actuelles des grands fabricants visibles en ligne sont surtout orientées vers des commandes individuelles directes, mécaniques ou électroniques, et beaucoup moins vers des architectures collectives mises en avant comme standard de marché. J’en déduis que le collectif existe encore dans l’existant, mais qu’il recule progressivement dans le mix. </t>
  </si>
  <si>
    <t xml:space="preserve">Enfin, je mets le réservoir très bas. Il existe encore, mais les sources consultées pointent plutôt vers le direct flush pour l’urinoir, et l’offre actuelle des acteurs spécialisés collectivités semble massivement centrée sur ce schéma. Donc je garderais un reliquat de parc ancien à réservoir, mais clairement minoritaire. </t>
  </si>
  <si>
    <t>En une ligne</t>
  </si>
  <si>
    <t>Pour un global ERP France – parc existant, je mettrais donc :</t>
  </si>
  <si>
    <t>Urinoirs 2025 : 8 % réservoir / 42 % directe méca / 30 % électro indiv. / 20 % électro collect.</t>
  </si>
  <si>
    <t>Urinoirs 2030 : 5 % réservoir / 35 % directe méca / 42 % électro indiv. / 18 % électro collect.</t>
  </si>
  <si>
    <t>Niveau d’incertitude</t>
  </si>
  <si>
    <t>Je dirais incertitude moyenne à assez élevée : je n’ai pas trouvé de statistique publique France donnant le parc installé d’urinoirs ERP par technologie de chasse. C’est donc un split de marché argumenté, construit à partir de la logique d’usage, du positionnement des gammes collectivités et du fait que les offres actuelles visibles sont très majoritairement orientées chasse directe, avec une montée forte du sans contact.</t>
  </si>
  <si>
    <t>Q7</t>
  </si>
  <si>
    <t>même chose pour les WCs merci de ne pas te référer au travail d'avant et de prendre d'autres sources pour proposer un split ...</t>
  </si>
  <si>
    <t>Oui — sans reprendre le travail d’avant, et en me basant plutôt sur des sources techniques externes sur les usages en collectivités / semi-public, je proposerais pour le parc existant ERP ce split WC :</t>
  </si>
  <si>
    <t>Chasse à réservoir : 55 %</t>
  </si>
  <si>
    <t>Chasse directe méca / temporisée : 35 %</t>
  </si>
  <si>
    <t>Chasse électronique : 10 %</t>
  </si>
  <si>
    <t>Chasse à réservoir : 48 %</t>
  </si>
  <si>
    <t>Chasse directe méca / temporisée : 38 %</t>
  </si>
  <si>
    <t>Chasse électronique : 14 %</t>
  </si>
  <si>
    <t>Pourquoi ce split me paraît défendable</t>
  </si>
  <si>
    <t xml:space="preserve">Le réservoir reste selon moi majoritaire sur le parc existant parce qu’il est très compatible avec le bâti tertiaire et institutionnel, avec de gros atouts en acoustique, en rénovation lourde et en maintenance via trappe d’accès. Geberit pousse clairement cette logique sur les bâtiments non résidentiels et souligne que, dans les lieux publics et semi-publics, le déclenchement se fait souvent via le mécanisme du réservoir, y compris en version sans contact. Geberit met aussi en avant le poids historique des réservoirs encastrés, installés “des millions de fois”, leur silence amélioré et leur facilité d’entretien. </t>
  </si>
  <si>
    <t xml:space="preserve">La chasse directe méca / temporisée doit néanmoins peser lourd dans les ERP, surtout sur les sites à usage intensif et sur une partie du parc rénové ou modernisé. Les fabricants orientés collectivités la présentent comme une solution de référence pour les lieux publics : sans réservoir, robuste, anti-vandalisme, disponible immédiatement, avec des contraintes réseau assez claires comme un débit de base d’environ 1 l/s à 1 bar et un diamètre intérieur mini d’alimentation de 20 mm. SCHELL positionne aussi très explicitement ses chasses apparentes comme une réponse naturelle aux projets de modernisation sur installations existantes dans des lieux comme écoles, gares ou stades. Tout cela justifie, à mon avis, une part importante mais non dominante à l’échelle de tout le parc. </t>
  </si>
  <si>
    <t xml:space="preserve">L’électronique est réelle mais encore minoritaire sur le parc installé. Les sources montrent qu’elle est très présente dans le discours “hygiène / sans contact”, aussi bien chez Geberit que chez DELABIE, avec déclenchement automatique infrarouge ou par approche de la main. En revanche, ces mêmes sources la décrivent surtout comme une solution pour les sanitaires publics et semi-publics récents, premium ou rénovés, pas comme le standard déjà dominant sur l’ensemble du stock. Je la mettrais donc à 10 % en 2025, puis 14 % en 2030 avec poursuite de la rénovation et de la demande de sans-contact. </t>
  </si>
  <si>
    <t xml:space="preserve">Enfin, je garderais une réserve sectorielle importante : en santé / hébergement / zones sensibles au bruit, la chasse directe est moins naturelle à cause des contraintes acoustiques et de pression ; Geberit cite par exemple en milieu hospitalier des niveaux de bruit mesurés de 75 à 85 dB(A) pour la chasse directe et un besoin de 1,5 à 2 bars, ce qui tire le marché vers le réservoir sur ces segments. À l’inverse, dans les ERP très circulants et fortement exposés au vandalisme, la chasse directe reste surreprésentée. C’est précisément ce qui me fait converger vers un mix global assez équilibré, mais avec avantage réservoir sur le parc existant. </t>
  </si>
  <si>
    <t>WC 2025 : 55 % réservoir / 35 % directe méca / 10 % électronique</t>
  </si>
  <si>
    <t>WC 2030 : 48 % réservoir / 38 % directe méca / 14 % électronique</t>
  </si>
  <si>
    <t xml:space="preserve">Je dirais incertitude moyenne à assez élevée, parce qu’il n’existe pas à ma connaissance de statistique publique France donnant le parc installé ERP par technologie de chasse WC. C’est donc un split de marché argumenté, construit à partir de logiques d’usage, de rénovation, de contraintes techniques et du positionnement des gammes collectivités. </t>
  </si>
  <si>
    <t>Je peux aussi te faire une version plus conservative, ou au contraire une version plus orientée rénovation / premium / tertiaire récent.</t>
  </si>
  <si>
    <t>ERP</t>
  </si>
  <si>
    <t>En France, Peux-tu me dire le nombre d'ERP comptabilisé. Combien d'étabilssements dans le Parc existant 2025.</t>
  </si>
  <si>
    <t xml:space="preserve">Oui — si tu parles bien des ERP = établissements recevant du public, le chiffre officiel récent utilisé par l’État pour la France est d’environ 2 millions d’ERP. La page gouvernementale mise à jour en février 2025 indique explicitement que « quelque 2 millions d’ERP sont aujourd’hui recensés en France ». </t>
  </si>
  <si>
    <t>Donc, pour le parc existant 2025, la bonne réponse est :</t>
  </si>
  <si>
    <t xml:space="preserve">≈ 2 000 000 d’établissements (ERP) en France. </t>
  </si>
  <si>
    <t xml:space="preserve">Point utile : dans le dossier de presse gouvernemental de février 2025, l’État rappelle aussi qu’il reste 900 000 ERP non engagés dans une démarche d’accessibilité, ce qui confirme qu’on parle bien d’un parc national très proche de 2 millions d’établissements. </t>
  </si>
  <si>
    <t>Je n’ai pas trouvé, dans les sources officielles consultées, un total 2025 plus précis à l’unité que cet ordre de grandeur officiel. Si tu veux, je peux te donner ensuite une formulation prête à coller dans une note ou un slide.</t>
  </si>
  <si>
    <t>Et parmi ces ERP, combien doivent compter des sanitaires (endroits où on trouve lavabo, douche, urinoirs, WC) ?</t>
  </si>
  <si>
    <t>Pas avec un chiffre national fiable à ce stade.</t>
  </si>
  <si>
    <t xml:space="preserve">La raison est que la règle n’est pas “tous les ERP doivent avoir des sanitaires ouverts au public”. Pour l’accessibilité, le texte dit : “chaque niveau accessible, lorsque des sanitaires y sont prévus pour le public” doit comporter au moins un WC adapté avec lavabo accessible. Autrement dit, l’obligation d’accessibilité porte sur les sanitaires s’ils existent pour le public ; elle ne dit pas que tous les ERP doivent forcément en proposer au public. Le guide ministériel ajoute que la mise à disposition de sanitaires est une obligation pour les cafés-restaurants et pour d’autres établissements, mais pas de façon générale pour l’ensemble des ERP. </t>
  </si>
  <si>
    <t xml:space="preserve">En revanche, pour le personnel, le Code du travail est beaucoup plus large : l’employeur doit mettre à disposition des travailleurs des lavabos, des cabinets d’aisance et, le cas échéant, des douches. Il fixe aussi des seuils minimaux, notamment 1 lavabo pour 10 travailleurs, et au moins 1 WC + 1 urinoir pour 20 hommes et 2 WC pour 20 femmes. </t>
  </si>
  <si>
    <t xml:space="preserve">Donc, la réponse la plus juste est la suivante : sur les ≈ 2 millions d’ERP recensés en France, il n’existe pas, dans les sources publiques officielles que j’ai trouvées, de nombre national publié disant combien “doivent compter des sanitaires”. Pour les sanitaires ouverts au public, ce sous-ensemble dépend du type d’activité et de la configuration de l’établissement. Pour les sanitaires dans l’établissement au sens large, il faut en plus savoir si l’ERP emploie des travailleurs. Les données ouvertes d’Acceslibre décrivent des champs d’accessibilité, y compris sur les toilettes, mais elles sont alimentées pour les collectivités renseignées et via des contributions volontaires ; ce n’est pas présenté comme un décompte national exhaustif de tous les ERP tenus d’avoir des sanitaires. </t>
  </si>
  <si>
    <t>En pratique :</t>
  </si>
  <si>
    <t>si tu parles des sanitaires ouverts au public : je ne peux pas te donner un nombre France 2025 sérieux à partir d’une source officielle unique ;</t>
  </si>
  <si>
    <t xml:space="preserve">si tu parles des sanitaires présents dans l’établissement, y compris pour le personnel : cela concerne probablement une très grande partie des ERP avec salariés, mais là encore je n’ai pas trouvé de total national consolidé. </t>
  </si>
  <si>
    <t>Je peux te faire maintenant une estimation argumentée du volume d’ERP concernés, en séparant sanitaires public et sanitaires personnel.</t>
  </si>
  <si>
    <t>Faire maintenant une estimation argumentée du volume d’ERP concernés, en séparant sanitaires public et sanitaires personnel.</t>
  </si>
  <si>
    <t xml:space="preserve">Oui. En prenant comme base le parc 2025 d’environ 2,0 millions d’ERP en France, mon estimation raisonnable est la suivante : sanitaires ouverts au public : 0,5 à 0,8 million d’ERP ; sanitaires pour le personnel : 1,3 à 1,6 million d’ERP. Le point central que je retiendrais est ~650 000 ERP pour le public et ~1 450 000 ERP pour le personnel. </t>
  </si>
  <si>
    <t xml:space="preserve">Je précise l’hypothèse : ici, je parle d’ERP ayant au moins un local sanitaire au sens large, donc typiquement WC + lavabo, pas forcément une douche ni un urinoir. C’est important, car les douches ne sont exigées que dans certains cas pour le personnel, et côté public la réglementation vise aussi des établissements particuliers comportant des douches, de l’hébergement, des espaces d’essayage, etc. </t>
  </si>
  <si>
    <t xml:space="preserve">Pour les sanitaires ouverts au public, la règle juridique de base n’est pas “tous les ERP doivent en avoir”. Le texte d’accessibilité dit que chaque niveau accessible, lorsque des sanitaires sont prévus pour le public, doit comporter au moins un WC adapté avec lavabo accessible. Autrement dit, l’obligation porte sur l’accessibilité des sanitaires publics s’ils existent, pas sur leur présence universelle dans les 2 millions d’ERP. </t>
  </si>
  <si>
    <t xml:space="preserve">Ensuite, il faut regarder la composition probable du parc. Les sources gouvernementales prennent comme exemples d’ERP des lieux très variés, allant de la boulangerie, du coiffeur, du tabac ou de la pharmacie jusqu’aux écoles, établissements de santé et lieux culturels. Or, dans les petits ERP de proximité — très souvent de 5e catégorie — les sanitaires ouverts au public ne sont pas systématiques. Le Sénat rappelle d’ailleurs que, parmi les 900 000 ERP encore hors démarche d’accessibilité, près de 90 % relèvent de la 5e catégorie, ce qui confirme le poids des petits établissements dans le parc. </t>
  </si>
  <si>
    <t xml:space="preserve">À l’inverse, certains groupes d’ERP ont très probablement des sanitaires publics dans la grande majorité des cas : cafés, bars, restaurants, hôtels et hébergements, établissements de santé, écoles, équipements sportifs, lieux culturels, certaines gares et de nombreuses administrations recevant du public de façon prolongée. Pour les cafés et bars, la DGCCRF précise par exemple que l’exploitant peut refuser l’accès aux toilettes aux personnes qui ne consomment pas, ce qui montre bien que les toilettes font partie du service attendu pour la clientèle. </t>
  </si>
  <si>
    <t xml:space="preserve">À partir de là, mon inférence est que la part des ERP avec sanitaires ouverts au public est vraisemblablement bien inférieure à la moitié, mais nettement au-dessus d’un noyau trop restrictif comme les seuls restaurants/hôtels/écoles/hôpitaux. La fourchette la plus crédible me paraît être 25 % à 40 % du parc ERP, soit 500 000 à 800 000 ERP, avec un point central autour de 650 000. C’est une estimation de structure, pas un décompte officiel publié. </t>
  </si>
  <si>
    <t xml:space="preserve">Pour les sanitaires du personnel, la logique est différente. Le Code du travail impose à l’employeur de mettre à disposition des travailleurs des lavabos, des cabinets d’aisance et, le cas échéant, des douches. Il fixe aussi des minima, notamment 1 lavabo pour 10 travailleurs au plus et, pour les WC, 1 cabinet + 1 urinoir pour 20 hommes et 2 cabinets pour 20 femmes. Donc, dès qu’un ERP emploie du personnel, l’existence d’un sanitaire pour les travailleurs devient la situation normale. </t>
  </si>
  <si>
    <t xml:space="preserve">Le meilleur point d’appui statistique que j’ai trouvé est l’Insee : fin 2024, la France compte 2 411 570 établissements avec activité salariée dans l’année, dont 1 594 079 dans la sphère présentielle, c’est-à-dire les activités tournées vers la population présente sur le territoire. Comme le parc ERP est de l’ordre de 2 millions et qu’il comprend aussi beaucoup de petits établissements sans salarié ou avec uniquement un exploitant indépendant, on n’est pas à 2 millions d’ERP ayant une obligation “personnel” au sens du Code du travail. Mais on est clairement sur une majorité importante du parc. </t>
  </si>
  <si>
    <t xml:space="preserve">Mon estimation pour les sanitaires personnel est donc 65 % à 80 % du parc ERP, soit 1,3 à 1,6 million d’ERP, avec un point central autour de 1,45 million. Là encore, c’est une approximation argumentée : elle colle mieux aux ordres de grandeur Insee qu’une hypothèse trop basse, mais elle évite aussi de supposer à tort que quasiment tous les ERP ont du personnel salarié permanent. </t>
  </si>
  <si>
    <t>En résumé, sur ~2,0 millions d’ERP en France, je retiendrais :</t>
  </si>
  <si>
    <t>~650 000 ERP avec sanitaires ouverts au public</t>
  </si>
  <si>
    <t>~1 450 000 ERP avec sanitaires pour le personnel</t>
  </si>
  <si>
    <t>J'ai réalisé un comptage fin ... Mon total est loin de ton compte ... Quels ERP mentionnés sont alors sous-évalués ? Quels ERP aurais-je pu oublier dans la liste (je pense au wagon de train, WC dans les avions, Douches à trouver sur les plages, autres ???). Peux-tu me mettre à la suite de la liste ces ERP Sous-Segment ? Merci de retrouver et de compléter le Segment Principal et la Catégorie chapeau et de compléter les lignes suivantes du tableau. Comment expliques-tu la différence entre ce que je trouve et ton chiffre ?</t>
  </si>
  <si>
    <t>Je vais ouvrir ton fichier Excel, repérer les lignes à compléter, puis comparer ta logique de comptage avec le périmètre “ERP” officiel pour expliquer l’écart.</t>
  </si>
  <si>
    <t>J’ai trouvé l’écart principal : ton fichier additionne aujourd’hui environ 720 000 unités, alors que le parc ERP national de référence est autour de 2 millions. L’écart vient surtout d’un périmètre très “équipements / institutions / grands sites”, avec probablement une forte sous-couverture des petits commerces et services de proximité.</t>
  </si>
  <si>
    <t>J’ai identifié les familles à ajouter et je les injecte dans le fichier, avec un second onglet qui explique l’écart et isole les faux “oubliés” qui ne sont en fait pas des ERP stricts.</t>
  </si>
  <si>
    <t>J’y ai ajouté une vingtaine de sous-segments probables manquants, et un onglet “Analyse écart”. Le total du fichier passe de 739 966 à 1 349 749 après ces ajouts de travail. Les plus gros angles morts que j’ai ajoutés sont surtout :</t>
  </si>
  <si>
    <t>petits commerces de proximité : boulangeries, boucheries, épiceries/supérettes, pharmacies, coiffure, beauté, opticiens, tabac, habillement, etc. ;</t>
  </si>
  <si>
    <t>santé ambulatoire : cabinets médicaux, dentaires, paramédicaux, laboratoires, imagerie ;</t>
  </si>
  <si>
    <t>services de proximité : agences bancaires, assurances, immobilier, réseau postal.</t>
  </si>
  <si>
    <t xml:space="preserve">Pourquoi l’écart avec le chiffre national reste important : le chiffre officiel d’environ 2 millions d’ERP vise un parc très large de bâtiments, locaux et enceintes recevant du public, avec un poids très fort des petits ERP de 5e catégorie très diffus dans le tissu de proximité. Ton fichier, lui, ressemblait davantage à un inventaire d’équipements, institutions et grands sites, donc il sous-comptait mécaniquement le “long tail” des petits commerces et cabinets. </t>
  </si>
  <si>
    <t>Sur tes exemples :</t>
  </si>
  <si>
    <t xml:space="preserve">wagons de train, WC dans les avions, bus / cars / tram / métro / RER : je les ai ajoutés dans le tableau, mais en Hors ERP avec 0 en comptage ERP. La raison est qu’ils relèvent du matériel roulant et de l’accessibilité des transports, encadrés par le code des transports, pas du parc ERP bâti. </t>
  </si>
  <si>
    <t>blocs sanitaires fixes de plage / front de mer : je les ai rangés en cas limite / mixte. Ils peuvent relever du domaine public, d’un équipement balnéaire ou d’un établissement support ; donc ce n’est pas une bonne idée de les ajouter en masse sans contrôle local, au risque de faire du double compte.</t>
  </si>
  <si>
    <t>Les sous-segments que je considère comme les plus sous-évalués dans ta liste sont surtout :</t>
  </si>
  <si>
    <t xml:space="preserve">pharmacies / commerces santé-beauté ; le réseau officinal reste massif, et l’Ordre des pharmaciens montre qu’il s’agit d’un maillage très important du territoire. </t>
  </si>
  <si>
    <t xml:space="preserve">cabinets médicaux libéraux ; la DREES recense 237 200 médecins en activité au 1er janvier 2025, ce qui montre à quel point les seuls centres de santé et maisons de santé ne suffisent pas à représenter l’ambulatoire. </t>
  </si>
  <si>
    <t xml:space="preserve">points de contact postaux ; La Poste publie un tableau de bord avec 20 041 lignes pour les bureaux, agences postales et relais poste. </t>
  </si>
  <si>
    <t>En bref, ton intuition est bonne sur le fait qu’il manque des lignes, mais les transports embarqués n’expliquent pas l’écart principal. L’écart vient surtout des petits ERP diffus que les inventaires sectoriels oublient facilement.</t>
  </si>
  <si>
    <t>Je peux maintenant te faire une version 2 plus agressive, en rebouclant encore plus le long tail des petits commerces pour te rapprocher davantage des ~2 millions.</t>
  </si>
  <si>
    <t>Merci de revoir le fichier ... ERP ou pas, ce qui m'intéresse, ce sont les établissements publics ou privé qui reçoivent du public, mais qui comptent une partie sanitaire, ce qui n'est pas les cas de boulanangeries, superettes, etcc ... peux-tu me relivrer un fichier Excel et de me faire une synthèse de ce que tu as ajouté, à partir de mon fichier attaché ?</t>
  </si>
  <si>
    <t>Je reprends ton fichier en changeant le critère : je ne garde que les lieux qui reçoivent du public et où il y a vraiment une composante sanitaire pertinente. Je vais filtrer les ajouts précédents, compléter les manques plausibles, puis te relendre un Excel propre.</t>
  </si>
  <si>
    <t>J’ai bien recentré le périmètre : je repars du fichier d’origine et je n’ajoute plus des commerces “généraux”. Je ne garde que les lieux où la composante sanitaire est soit centrale, soit structurellement attendue pour l’accueil du public.</t>
  </si>
  <si>
    <t>Ce que j’ai fait dans ton fichier d’origine :</t>
  </si>
  <si>
    <t>j’ai retiré la logique “ERP large” que j’avais suivie auparavant ;</t>
  </si>
  <si>
    <t>je n’ai ajouté que des sites/établissements où la composante sanitaire est réelle et structurante ;</t>
  </si>
  <si>
    <t>j’ai aussi ajouté, à part, les cas que tu évoquais mais qui ne sont pas des établissements fixes.</t>
  </si>
  <si>
    <t>Ajouts intégrés au total :</t>
  </si>
  <si>
    <t>Bains-douches municipaux / douches publiques fixes : 180</t>
  </si>
  <si>
    <t>Blocs sanitaires de plage / front de mer : 1 800</t>
  </si>
  <si>
    <t>Établissements thermaux : 115</t>
  </si>
  <si>
    <t>Centres de thalassothérapie / balnéothérapie / grands spas : 320</t>
  </si>
  <si>
    <t>Bases nautiques / centres nautiques avec vestiaires-douches : 1 400</t>
  </si>
  <si>
    <t>Bases de loisirs avec plages, douches et sanitaires : 600</t>
  </si>
  <si>
    <t>Ports de plaisance / capitaineries avec sanitaires collectifs : 500</t>
  </si>
  <si>
    <t>Aires d’accueil des gens du voyage : 1 350</t>
  </si>
  <si>
    <t>Ajouts mentionnés mais non additionnés au total :</t>
  </si>
  <si>
    <t>Rames ferroviaires voyageurs avec WC</t>
  </si>
  <si>
    <t>Aéronefs commerciaux passagers avec WC</t>
  </si>
  <si>
    <t>Ferries et navires à passagers avec sanitaires</t>
  </si>
  <si>
    <t>Autocars longue distance avec WC</t>
  </si>
  <si>
    <t>Pourquoi ton total peut être très différent de mon ancien chiffre :</t>
  </si>
  <si>
    <t>ton fichier vise en réalité un sous-ensemble fonctionnel : les lieux qui reçoivent du public et où il existe une vraie dimension sanitaire ;</t>
  </si>
  <si>
    <t>mon ancien raisonnement était plus proche d’un parc ERP large, donc beaucoup plus extensif ;</t>
  </si>
  <si>
    <t>ici, je n’ajoute pas les sanitaires internes à des sites déjà comptés, pour éviter les doubles comptes ;</t>
  </si>
  <si>
    <t>les transports mobiles peuvent intéresser ton analyse sanitaire, mais ne doivent pas être additionnés comme des sites.</t>
  </si>
  <si>
    <t>Dans l’Excel, j’ai ajouté un onglet “Synthèse” avec :</t>
  </si>
  <si>
    <t>le périmètre retenu,</t>
  </si>
  <si>
    <t>le total d’origine,</t>
  </si>
  <si>
    <t>l’impact des ajouts,</t>
  </si>
  <si>
    <t>la liste des sous-segments ajoutés.</t>
  </si>
  <si>
    <t>Chiffres du fichier :</t>
  </si>
  <si>
    <t>total d’origine : 739 966</t>
  </si>
  <si>
    <t>ajouts intégrés : 6 265</t>
  </si>
  <si>
    <t>nouveau total de travail : 746 231</t>
  </si>
  <si>
    <t>Si tu veux, je peux faire une V2 encore plus stricte, en ne gardant que les lieux où les sanitaires sont centraux et non simplement “présents”.</t>
  </si>
  <si>
    <t>Parfait - toujours dans cette logique de sites/établissements où la composante sanitaire est réelle et structurante ... est-ce qu'il serait pertinent de rajouter les éléments de la liste attachée suivante ... si oui, merci de les intégrer et de mettre à jour le précédent document livré ... Je pense aussi à intgérer, une ligne dans sous-segment pour ... Est-ce que les cantines, cuisines et refectoires des Écoles maternelles des Écoles primaires, Lycées, Universités, Grandes écoles, sont bien comptabilisées dans mon tableaux - si ce n'est pas le cas, rajout d'1 ligne par type d'établissement ... Est-ce que les Ateliers (type garage, ou autre ...) sont intégrés dans mon tableau ? si elles sont incluses dans les usines, merci de les distinguer et de créer 2 lignes différentes. Est-ce que les Centres de stockages et centres logistiques sont intégrés dans mon tableau ? si ils sont inclus dans les bureaux, merci de les distinguer, et de créer des lignes différentes. Y a t'il aussi des sanitaires dans les stations de métro en France ? à priori pas pour le public, mais peut-être pour le personnel ... à vrai dire, je ne pense pas, mais si c'est le cas, merci de le rajouter ... Merci aussi de quantifier tout ce qui est "Matériel roulant / transport mobile".</t>
  </si>
  <si>
    <t>J’ai déjà confirmé deux points importants dans le fichier actuel :</t>
  </si>
  <si>
    <t>1. les cantines / cuisines / réfectoires ne sont pas isolés en lignes dédiées ;</t>
  </si>
  <si>
    <t>2. les ateliers, centres logistiques/stockage et les stations de métro ne sont pas distingués non plus.</t>
  </si>
  <si>
    <t>Je vais donc les traiter explicitement, avec des lignes séparées et des unités de compte claires pour éviter les doubles comptes.</t>
  </si>
  <si>
    <t>Je mets maintenant à jour le classeur en distinguant ce qui doit rester additif au total des sites de ce qui doit être quantifié mais non additionné parce que c’est interne à un site déjà compté ou mobile.</t>
  </si>
  <si>
    <t>J’ai traité les ajouts que tu as explicitement listés. Je n’ai pas vu d’autre pièce jointe exploitable que le classeur, donc je suis parti de ton fichier + de ta liste dans le message.</t>
  </si>
  <si>
    <t>Ce que j’ai ajouté ou modifié dans le document :</t>
  </si>
  <si>
    <t>ajout additif au total : Garages / ateliers de réparation automobile recevant du public ;</t>
  </si>
  <si>
    <t>reventilation sans effet sur le total :</t>
  </si>
  <si>
    <t>Bureaux tertiaires privés (&gt;50 personnes, hors logistique) / Centres de stockage / entrepôts / plateformes logistiques (&gt;50 personnes) ;</t>
  </si>
  <si>
    <t>Usines de production (&gt;50 personnes, hors ateliers distingués) / Ateliers industriels / de maintenance (&gt;50 personnes) ;</t>
  </si>
  <si>
    <t>ajouts non additifs car déjà inclus dans un site existant :</t>
  </si>
  <si>
    <t>Cantines / cuisines / réfectoires pour maternelles, primaires, collèges, lycées, universités, grandes écoles ;</t>
  </si>
  <si>
    <t>ajout non additif :</t>
  </si>
  <si>
    <t>Stations / espaces métro équipés de toilettes publiques (minimum observé RATP) ;</t>
  </si>
  <si>
    <t>quantification non additive de tout le bloc Matériel roulant / transport mobile.</t>
  </si>
  <si>
    <t>Les chiffres de synthèse dans le fichier sont maintenant :</t>
  </si>
  <si>
    <t>total additif du tableau : 803 514</t>
  </si>
  <si>
    <t>quantifications non additives ajoutées : 99 558</t>
  </si>
  <si>
    <t>Pourquoi ce total augmente :</t>
  </si>
  <si>
    <t xml:space="preserve">la vraie hausse vient surtout de la nouvelle ligne garages / ateliers auto, que j’ai ajoutée car elle était absente du fichier précédent. J’ai utilisé comme proxy le secteur Insee 452, qui recense 57 283 entreprises d’entretien et réparation automobile. </t>
  </si>
  <si>
    <t>Sur tes questions précises :</t>
  </si>
  <si>
    <t>cantines / cuisines / réfectoires : elles n’étaient pas isolées comme sous-segments, donc je les ai ajoutées, mais hors total additif car elles sont internes à des sites déjà comptés ;</t>
  </si>
  <si>
    <t>ateliers : oui, je les ai distingués en deux familles :</t>
  </si>
  <si>
    <t>Garages / ateliers de réparation automobile recevant du public ;</t>
  </si>
  <si>
    <t>Ateliers industriels / de maintenance (&gt;50 personnes) ;</t>
  </si>
  <si>
    <t>centres de stockage / logistiques : je les ai distingués des bureaux ;</t>
  </si>
  <si>
    <t xml:space="preserve">métro : j’ai ajouté une ligne prudente et non additive. La RATP indique mettre à disposition plus de 45 toilettes publiques dans ses espaces, mais ce n’est pas un comptage national exhaustif des stations et je n’ai pas trouvé de chiffrage robuste pour les sanitaires du personnel. </t>
  </si>
  <si>
    <t>Pour le matériel roulant / transport mobile, j’ai rempli les lignes en restant prudent :</t>
  </si>
  <si>
    <t xml:space="preserve">rames ferroviaires voyageurs : minimum documenté fondé sur 104 rames TGV du programme O2D et près de 1 000 rames TER modernisées ; j’ai donc mis un minimum documenté et non un total France exhaustif. </t>
  </si>
  <si>
    <t xml:space="preserve">aéronefs commerciaux passagers : minimum documenté à partir de flottes françaises explicitement quantifiées dans les sources consultées, notamment Transavia France 90 appareils, French bee 6 A350, et chez Air France au moins 50 A220 et 40 A350 mentionnés dans les communications récentes. </t>
  </si>
  <si>
    <t xml:space="preserve">ferries / navires à passagers : j’ai retenu 86 navires à passagers de plus de 100 UMS sous pavillon français, en notant bien que c’est un périmètre partiel. </t>
  </si>
  <si>
    <t xml:space="preserve">autocars : j’ai quantifié la flotte France à 66 600 autocars au 1er janvier 2025, avec une note précisant que les WC ne sont pas vérifiés unitairement pour chaque véhicule. </t>
  </si>
  <si>
    <t>J’ai aussi mis à jour l’onglet Synthèse pour que tu voies immédiatement ce qui a été :</t>
  </si>
  <si>
    <t>ajouté au total,</t>
  </si>
  <si>
    <t>ventilé sans effet sur le total,</t>
  </si>
  <si>
    <t>quantifié hors total.</t>
  </si>
  <si>
    <t>Si tu veux, je peux maintenant te faire une V3 plus stricte, en ne gardant dans le total que les sites où la fonction sanitaire est vraiment centrale et pas seulement présente.</t>
  </si>
  <si>
    <t>OK - A t'on maintenant vraiment une liste exhaustive ... rappel de la logique : à chaque fois qu'il peut y avoir des sanitaire au moins 1 produit parmi lavabo, douche, urinoir WC, a t'on bien tous les établissements qui peuvent recevoir du public ... si tu en trouves des nouveaux, merci de faire un tableau avec seulement les nouvelles lignes que tu as trouvées ... je veux vraiment une réflexion poussée pour ne rien oublier !!!</t>
  </si>
  <si>
    <t>Je repars du fichier actuel et je vais le challenger comme une taxonomie quasi exhaustive, pas seulement comme un ajout incrémental. L’objectif est de sortir uniquement les nouvelles lignes manquantes plausibles, en séparant ce qui est site fixe, interne non additif, et mobile / hors site.</t>
  </si>
  <si>
    <t>J’ai isolé une dernière famille d’omissions très probables : funéraire, hébergement social, parcs/loisirs structurés et soins ambulatoires spécialisés. Je te prépare un onglet dédié qui liste seulement ces lignes nouvelles, sans toucher au total principal tant qu’on n’a pas arbitré les doublons.</t>
  </si>
  <si>
    <t>J’ai ajouté un nouvel onglet “Nouvelles lignes V3” avec 17 lignes nouvelles plausibles, sans toucher au total principal du tableau précédent. J’ai laissé la colonne 2025 vide sur cet onglet, car plusieurs de ces familles demandent encore un arbitrage anti-doublons avant d’être additionnées proprement.</t>
  </si>
  <si>
    <t xml:space="preserve">Mon verdict honnête : on est maintenant beaucoup plus proche d’une liste quasi exhaustive, mais je ne peux pas certifier une exhaustivité “absolue” au sens juridique strict, parce que la frontière dépend encore de l’exploitation réelle du site, et parce que des exploitations groupées peuvent être comptées ensemble ou séparément selon leur configuration. Le règlement ERP prévoit d’ailleurs que des établissements non explicitement cités peuvent relever de mesures adaptées, et que des bâtiments d’une même exploitation ou des exploitations groupées non isolées peuvent être considérés comme un seul établissement. </t>
  </si>
  <si>
    <t>Les grandes omissions que j’ai retenues sont surtout :</t>
  </si>
  <si>
    <t xml:space="preserve">casinos ; parcs d’attractions / parcs à thèmes ; zoos / parcs animaliers ; aquariums ; chambres funéraires / funérariums ; crématoriums ; centres d’hébergement d’urgence ; CHRS ; CADA / HUDA / CAES ; foyers de jeunes travailleurs / résidences sociales / foyers de travailleurs migrants ; accueils de jour avec douches ; cabinets dentaires / centres dentaires ; laboratoires de biologie médicale ; centres d’imagerie ; centres de dialyse ambulatoire ; villages de vacances ; centres équestres / manèges couverts avec accueil public. Ces ajouts sont cohérents avec les textes ou référentiels officiels sur les casinos, les établissements de plein air, les établissements zoologiques fixes ouverts au public, les chambres funéraires et crématoriums, l’hébergement social et l’asile, les logements-foyers/FJT, les villages de vacances, ainsi que les catégories de lieux de soins recensées par Santé.fr. </t>
  </si>
  <si>
    <t xml:space="preserve">J’ai aussi intégré dans l’onglet une colonne “Traitement conseillé” pour distinguer ce qui peut être ajouté comme site autonome de ce qui doit être ajouté seulement s’il n’est pas déjà absorbé par une autre ligne. C’est particulièrement important pour les aquariums intégrés à un musée ou un zoo, et pour les centres d’imagerie / dialyse / laboratoires quand ils sont physiquement inclus dans un hôpital ou une clinique déjà comptés. Cette prudence est cohérente avec la logique ERP de classement par exploitation réelle et par groupement. </t>
  </si>
  <si>
    <t>La prochaine étape utile serait de faire une V4 d’arbitrage, où je passe ces 17 lignes en trois statuts : à additionner, à laisser hors total, à fusionner avec une ligne existante.</t>
  </si>
  <si>
    <t>A ton avis, est-ce que certains sous-segments cités viennent en doublons ? Quels sont les doublons intégral, les doublons partiels et un sous-segment qui serait contenu dans un autre ?</t>
  </si>
  <si>
    <t>Oui — mais surtout des doublons de maille de comptage, plus que des “vrais doublons textuels”.</t>
  </si>
  <si>
    <t>Mon avis global sur le classeur actuel :</t>
  </si>
  <si>
    <t>très peu de doublons intégraux purs ;</t>
  </si>
  <si>
    <t>pas mal de doublons partiels ;</t>
  </si>
  <si>
    <t>plusieurs sous-segments qui sont en réalité des composantes internes d’un site déjà compté ailleurs.</t>
  </si>
  <si>
    <t>Le point important est celui-ci : dans ton fichier, beaucoup de recouvrements viennent du fait qu’on mélange parfois :</t>
  </si>
  <si>
    <t>un site autonome,</t>
  </si>
  <si>
    <t>une fonction interne à ce site,</t>
  </si>
  <si>
    <t>et parfois une spécialité hébergée dans un site plus large.</t>
  </si>
  <si>
    <t>1) Doublons intégraux ou quasi-intégraux</t>
  </si>
  <si>
    <t>Je ne vois presque aucun doublon intégral pur dans les libellés actuels, parce que beaucoup ont déjà été “protégés” par des mentions du type hors, autonome, si site autonome, hors déjà compté.</t>
  </si>
  <si>
    <t>Les seuls quasi-doublons forts que je retiendrais sont :</t>
  </si>
  <si>
    <t>101 Centres de semi-liberté</t>
  </si>
  <si>
    <t>↔ 103 Centres pour peines aménagées (absorbés par autres centres carcéraux)</t>
  </si>
  <si>
    <t>Pourquoi : ce sont deux objets très proches en logique d’exécution de peine aménagée, et le libellé de la ligne 103 dit lui-même qu’ils sont absorbés par d’autres centres carcéraux.</t>
  </si>
  <si>
    <t>=&gt; Pour moi, c’est le quasi-doublon le plus fort.</t>
  </si>
  <si>
    <t>105 Palais de justice et bâtiments judiciaires multi-usages</t>
  </si>
  <si>
    <t>↔ 107 Tribunaux de commerce autonomes</t>
  </si>
  <si>
    <t>↔ 108 Conseils de prud’hommes autonomes</t>
  </si>
  <si>
    <t>↔ 109 Autres bâtiments judiciaires autonomes recevant du public</t>
  </si>
  <si>
    <t>Pourquoi : si tu comptes par bâtiment, un même palais de justice peut déjà contenir plusieurs juridictions.</t>
  </si>
  <si>
    <t>=&gt; Ce n’est pas un doublon intégral dans tous les cas, mais c’est un quasi-doublon structurel très fort.</t>
  </si>
  <si>
    <t>2) Doublons partiels</t>
  </si>
  <si>
    <t>Là, oui, il y en a plusieurs.</t>
  </si>
  <si>
    <t>Santé hospitalière / spécialisée</t>
  </si>
  <si>
    <t>20 CHU</t>
  </si>
  <si>
    <t>21 Hôpitaux publics</t>
  </si>
  <si>
    <t>22 Hôpitaux privés</t>
  </si>
  <si>
    <t>23 Cliniques</t>
  </si>
  <si>
    <t>24 Centres de psychiatrie</t>
  </si>
  <si>
    <t>25 Centres de rééducation</t>
  </si>
  <si>
    <t>26 Maternités</t>
  </si>
  <si>
    <t>95 Hôpitaux d’instruction des armées et centres médicaux</t>
  </si>
  <si>
    <t>104 Unités hospitalières sécurisées</t>
  </si>
  <si>
    <t>138 Cabinets dentaires / centres dentaires</t>
  </si>
  <si>
    <t>139 Laboratoires de biologie médicale</t>
  </si>
  <si>
    <t>140 Centres d’imagerie médicale</t>
  </si>
  <si>
    <t>141 Centres de dialyse ambulatoire</t>
  </si>
  <si>
    <t>Pourquoi :</t>
  </si>
  <si>
    <t>une maternité, un service de psychiatrie, un centre de rééducation, une unité hospitalière sécurisée, un laboratoire, un plateau d’imagerie ou une dialyse peuvent être autonomes… ou intégrés dans un hôpital / clinique déjà compté ;</t>
  </si>
  <si>
    <t>donc le recouvrement dépend de ton unité de compte réelle.</t>
  </si>
  <si>
    <t>Les plus sensibles :</t>
  </si>
  <si>
    <t>24 / 25 / 26 avec 20 / 21 / 22 / 23</t>
  </si>
  <si>
    <t>104 avec tout le bloc hospitalier</t>
  </si>
  <si>
    <t>139 / 140 / 141 avec hôpitaux et cliniques</t>
  </si>
  <si>
    <t>Justice / police</t>
  </si>
  <si>
    <t>90 Postes de proximité et antennes avec accueil public</t>
  </si>
  <si>
    <t>91 Salles de réunion / prévention / conférence ouvertes au public</t>
  </si>
  <si>
    <t>105 Palais de justice multi-usages</t>
  </si>
  <si>
    <t>106 Maisons de justice et du droit</t>
  </si>
  <si>
    <t>107 Tribunaux de commerce autonomes</t>
  </si>
  <si>
    <t>108 Conseils de prud’hommes autonomes</t>
  </si>
  <si>
    <t>109 Autres bâtiments judiciaires autonomes</t>
  </si>
  <si>
    <t>là aussi, tu peux compter tantôt le site global, tantôt une brique fonctionnelle du site.</t>
  </si>
  <si>
    <t>Tourisme / hébergement</t>
  </si>
  <si>
    <t>55 Hôtels</t>
  </si>
  <si>
    <t>57 Résidences de tourisme</t>
  </si>
  <si>
    <t>60 Auberges de jeunesse</t>
  </si>
  <si>
    <t>61 Campings</t>
  </si>
  <si>
    <t>142 Villages de vacances / clubs vacances / centres de vacances familiaux</t>
  </si>
  <si>
    <t>certains villages vacances sont absorbés par des taxonomies plus larges de type camping ou résidence de tourisme ;</t>
  </si>
  <si>
    <t>certaines auberges ou centres de vacances peuvent être comptés dans des familles d’hébergement plus générales.</t>
  </si>
  <si>
    <t>Loisirs / sites de visite</t>
  </si>
  <si>
    <t>37 Musées</t>
  </si>
  <si>
    <t>128 Parcs d’attractions / parcs à thèmes</t>
  </si>
  <si>
    <t>129 Parcs zoologiques / parcs animaliers</t>
  </si>
  <si>
    <t>130 Aquariums</t>
  </si>
  <si>
    <t>un aquarium peut être un site autonome ou une composante d’un zoo, d’un musée, d’un grand parc.</t>
  </si>
  <si>
    <t>Sanitaires publics / loisirs de plein air</t>
  </si>
  <si>
    <t>110 Toilettes publiques</t>
  </si>
  <si>
    <t>111 Bains-douches municipaux / douches publiques fixes</t>
  </si>
  <si>
    <t>112 Blocs sanitaires de plage / front de mer</t>
  </si>
  <si>
    <t>116 Bases de loisirs avec plages, douches et sanitaires</t>
  </si>
  <si>
    <t>117 Ports de plaisance / capitaineries</t>
  </si>
  <si>
    <t>le même bloc sanitaire peut être rattaché à une plage, une base de loisirs, un port, un camping ;</t>
  </si>
  <si>
    <t>ton libellé 112 protège déjà partiellement ce risque, mais le recouvrement reste réel si les sources sont hétérogènes.</t>
  </si>
  <si>
    <t>Tertiaire / industriel</t>
  </si>
  <si>
    <t>53 Bureaux (&gt;50 personnes, tertiaire privé + logistique hors usines)</t>
  </si>
  <si>
    <t>125 Centres de stockage / entrepôts / plateformes logistiques (&gt;50 personnes)</t>
  </si>
  <si>
    <t>et</t>
  </si>
  <si>
    <t>54 Usines (&gt;50 personnes - hors ateliers industriels)</t>
  </si>
  <si>
    <t>124 Ateliers industriels / de maintenance (&gt;50 personnes)</t>
  </si>
  <si>
    <t>123 Garages / ateliers de réparation automobile recevant du public</t>
  </si>
  <si>
    <t>les séparations sont bonnes dans le fichier, mais si tes sources amont n’isolent pas bien les sous-populations, tu peux recréer un recouvrement à la source.</t>
  </si>
  <si>
    <t>3) Sous-segments clairement contenus dans un autre</t>
  </si>
  <si>
    <t>Là, j’en vois plusieurs.</t>
  </si>
  <si>
    <t>Contenus dans un site hospitalier plus large</t>
  </si>
  <si>
    <t>104 Unités hospitalières sécurisées → contenu dans le bloc hôpitaux / cliniques</t>
  </si>
  <si>
    <t>139 Laboratoires de biologie médicale → parfois contenus dans hôpitaux / cliniques</t>
  </si>
  <si>
    <t>140 Centres d’imagerie médicale → souvent contenus dans hôpitaux / cliniques</t>
  </si>
  <si>
    <t>141 Centres de dialyse ambulatoire → parfois contenus dans hôpitaux / cliniques</t>
  </si>
  <si>
    <t>26 Maternités → souvent contenues dans hôpitaux / cliniques</t>
  </si>
  <si>
    <t>24 Centres de psychiatrie et 25 Centres de rééducation → souvent contenus dans hôpitaux / cliniques</t>
  </si>
  <si>
    <t>Contenus dans un site judiciaire / police</t>
  </si>
  <si>
    <t>91 Salles de réunion, de prévention ou de conférence → contenu dans poste / commissariat / bâtiment judiciaire</t>
  </si>
  <si>
    <t>89 Locaux de sûreté, garde à vue et zones opérationnelles → contenu dans commissariat / poste, pas un site autonome public</t>
  </si>
  <si>
    <t>107 / 108 → peuvent être contenus dans 105 Palais de justice multi-usages</t>
  </si>
  <si>
    <t>Contenus dans un site de loisirs / tourisme</t>
  </si>
  <si>
    <t>112 Blocs sanitaires de plage / front de mer → souvent contenus dans 116 Bases de loisirs, 117 Ports de plaisance, parfois 61 Campings</t>
  </si>
  <si>
    <t>130 Aquariums → parfois contenus dans 129 Zoo/parc animalier ou 37 Musée</t>
  </si>
  <si>
    <t>132 Crématoriums → parfois contenus dans un ensemble funéraire déjà compté avec 131 Chambres funéraires / funérariums</t>
  </si>
  <si>
    <t>Contenus dans un site d’enseignement / hébergement</t>
  </si>
  <si>
    <t>15 Internats scolaires → souvent contenus dans un lycée / collège / établissement scolaire</t>
  </si>
  <si>
    <t>92 Unités d’hébergement des militaires &amp; réservistes → contenus dans une emprise militaire</t>
  </si>
  <si>
    <t>142 Villages de vacances → parfois absorbés dans une catégorie plus large de camping ou résidence de tourisme</t>
  </si>
  <si>
    <t>4) Apparents doublons qui sont en fait plutôt bien sécurisés dans le fichier</t>
  </si>
  <si>
    <t>Ceux-là me paraissent correctement séparés si tu respectes bien le libellé :</t>
  </si>
  <si>
    <t>20 CHU vs 21 Hôpitaux publics</t>
  </si>
  <si>
    <t>car la ligne 21 dit bien hors CHU / universitaire / militaire / carcéral</t>
  </si>
  <si>
    <t>54 Usines vs 124 Ateliers industriels</t>
  </si>
  <si>
    <t>car la ligne 54 dit bien hors ateliers</t>
  </si>
  <si>
    <t>53 Bureaux vs 125 Centres logistiques / stockage</t>
  </si>
  <si>
    <t>car la ligne 125 a été créée justement pour sortir la logistique du bloc bureaux</t>
  </si>
  <si>
    <t>48 Restaurants vs 58 Hôtels-restaurants d’altitude vs 87 Établissements flottants vs 94 Restaurants sur emprise militaire</t>
  </si>
  <si>
    <t>car la ligne 48 exclut déjà altitude, flottant, armée</t>
  </si>
  <si>
    <t>81 Piscines extérieures vs 61 Campings / 55 Hôtels / 57 Résidences de tourisme</t>
  </si>
  <si>
    <t>car la ligne 81 précise bien hors campings, hôtels, résidences</t>
  </si>
  <si>
    <t>82 Aires de service vs 83 Aires de repos</t>
  </si>
  <si>
    <t>car les deux sont libellées réciproquement hors l’autre</t>
  </si>
  <si>
    <t>5) Ma synthèse franche</t>
  </si>
  <si>
    <t>À mon avis :</t>
  </si>
  <si>
    <t>Doublons intégraux</t>
  </si>
  <si>
    <t>Presque aucun dans la version actuelle, sauf le quasi-couple</t>
  </si>
  <si>
    <t>103 Centres pour peines aménagées</t>
  </si>
  <si>
    <t>Doublons partiels les plus dangereux</t>
  </si>
  <si>
    <t>tout le bloc hospitalier / spécialisé / ambulatoire spécialisé</t>
  </si>
  <si>
    <t>tout le bloc judiciaire</t>
  </si>
  <si>
    <t>tout le bloc sanitaires publics / plage / base de loisirs / port</t>
  </si>
  <si>
    <t>villages vacances vs campings / résidences de tourisme</t>
  </si>
  <si>
    <t>aquariums vs zoos / musées</t>
  </si>
  <si>
    <t>Sous-segments contenus dans un autre</t>
  </si>
  <si>
    <t>unités hospitalières sécurisées</t>
  </si>
  <si>
    <t>laboratoires / imagerie / dialyse quand non autonomes</t>
  </si>
  <si>
    <t>salles de réunion police</t>
  </si>
  <si>
    <t>locaux de sûreté</t>
  </si>
  <si>
    <t>internats</t>
  </si>
  <si>
    <t>blocs sanitaires de plage</t>
  </si>
  <si>
    <t>aquariums</t>
  </si>
  <si>
    <t>parfois crématoriums</t>
  </si>
  <si>
    <t>La vraie règle de dédoublonnage, selon moi, devrait être :</t>
  </si>
  <si>
    <t>on ne somme que des sites autonomes, et on met à part toutes les lignes qui décrivent une fonction interne ou une spécialité hébergée.</t>
  </si>
  <si>
    <t>Je peux te faire un tableau propre en 3 colonnes :</t>
  </si>
  <si>
    <t>Sous-segment | Type de doublon | Avec quelle ligne, directement exploitable pour ton Excel.</t>
  </si>
  <si>
    <t>Peux-tu revoir la Surface moyenne 2026 (m²/étab.) et le nombre d'établissements en France pour les années demandées ? Merci de me livrer un Excel pour les établissements suivants ? (ne pas mettre à jour le gros tableau, seulement me livrer les lignes concernées, hors ligne Total) ... un commentaire ? Attention le nombre d'hôtels ne doivent pas inclure les établissements suivants : Villages de vacances / Clubs vacances / Centres de vacances familiaux Résidences de tourisme Auberges de jeunesse Pensions de famille Hôtels-restaurants d’altitude Refuges de montagne Campings Aires d’accueil des gens du voyage</t>
  </si>
  <si>
    <t>Commentaires (important)</t>
  </si>
  <si>
    <t>1. Hôtels</t>
  </si>
  <si>
    <t>J’ai volontairement rehaussé la base 2000–2010 pour corriger un biais fréquent : sous-comptage historique</t>
  </si>
  <si>
    <t>Les 18–19k hôtels en 2025–2030 sont cohérents avec :</t>
  </si>
  <si>
    <t>concentration du parc</t>
  </si>
  <si>
    <t>disparition des petits indépendants</t>
  </si>
  <si>
    <t>montée en gamme (moins d’établissements, plus gros)</t>
  </si>
  <si>
    <t>👉 Ton tableau initial était probablement trop bas sur le passé</t>
  </si>
  <si>
    <t>2. Résidences de tourisme / villages vacances</t>
  </si>
  <si>
    <t>Forte croissance post-2005 → cohérente avec :</t>
  </si>
  <si>
    <t>montée du tourisme géré</t>
  </si>
  <si>
    <t>fiscalité LMNP / résidences services</t>
  </si>
  <si>
    <t>Attention : souvent confondu avec hôtels → j’ai bien séparé</t>
  </si>
  <si>
    <t>3. Campings</t>
  </si>
  <si>
    <t>Ordre de grandeur réaliste : 8 000 → 9 000</t>
  </si>
  <si>
    <t>Peu de croissance en volume, mais montée en gamme (4-5 étoiles)</t>
  </si>
  <si>
    <t>👉 Surface moyenne élevée = cohérente (foncier important)</t>
  </si>
  <si>
    <t>4. Auberges / pensions / refuges</t>
  </si>
  <si>
    <t>Segments petits mais stables</t>
  </si>
  <si>
    <t>Très peu de création → logique de stock quasi figé</t>
  </si>
  <si>
    <t>5. Aires gens du voyage</t>
  </si>
  <si>
    <t>Croissance régulière liée :</t>
  </si>
  <si>
    <t>obligations réglementaires</t>
  </si>
  <si>
    <t>rattrapage territorial</t>
  </si>
  <si>
    <t>⚠️ Point clé méthodo</t>
  </si>
  <si>
    <t>Tu avais un risque majeur dans ton modèle initial :</t>
  </si>
  <si>
    <t>👉 double comptage dans “Hôtels”</t>
  </si>
  <si>
    <t>J’ai corrigé en appliquant une règle stricte :</t>
  </si>
  <si>
    <t>hôtels = uniquement hôtellerie classique (NAF 5510Z)</t>
  </si>
  <si>
    <t>🎯 Conclusion rapide</t>
  </si>
  <si>
    <t>Ton ordre de grandeur global était bon</t>
  </si>
  <si>
    <t>Mais :</t>
  </si>
  <si>
    <t>hôtels sous-estimés historiquement</t>
  </si>
  <si>
    <t>segmentation pas totalement étanche</t>
  </si>
  <si>
    <t>Le nouveau fichier est plus robuste pour volumétrie ERP</t>
  </si>
  <si>
    <t>S'il te plait recompte le nombre d'hôtels (hors autres hébergements touristiques) .... avec réflexion plus poussée et arguments irréfutables ...</t>
  </si>
  <si>
    <t xml:space="preserve">Oui. Si on parle bien des hôtels uniquement, en excluant tous les autres hébergements touristiques (campings, résidences de tourisme, villages vacances, autres AHCT), le meilleur recompte officiel aujourd’hui est celui de l’Insee : 15 155 hôtels en France en 2024. C’est la source la plus solide, car elle isole explicitement la ligne “Hôtels” du reste des hébergements collectifs touristiques. </t>
  </si>
  <si>
    <t>Pourquoi je considère ce chiffre comme le bon “compte de référence” :</t>
  </si>
  <si>
    <t xml:space="preserve">l’Insee publie d’un côté 15 155 hôtels, et séparément 6 608 campings et 2 802 autres hébergements collectifs touristiques (AHCT). Donc il n’y a pas de mélange méthodologique avec les résidences de tourisme, villages de vacances ou autres formes d’hébergement collectif. C’est précisément le découpage que tu demandes : hôtels, hors autres hébergements touristiques. </t>
  </si>
  <si>
    <t xml:space="preserve">Le point méthodologique important, souvent oublié, est que ce 15 155 n’est pas un “stock juridique Sirene au 31 décembre”, mais un nombre moyen mensuel d’établissements sur l’année, tel que l’Insee le précise dans sa note : les données de parc sont fournies en moyenne mensuelle sur la période. Donc si ton tableau cherche un parc opérationnel touristique réellement observé, ce chiffre est meilleur qu’un simple décompte administratif d’unités légales ou de codes NAF. </t>
  </si>
  <si>
    <t>Autre point qui rend ce chiffre robuste : l’Insee donne aussi le détail interne du parc hôtelier, qui retombe exactement sur le total :</t>
  </si>
  <si>
    <t>3 600 hôtels de chaîne</t>
  </si>
  <si>
    <t>11 555 hôtels indépendants</t>
  </si>
  <si>
    <t>total 15 155.</t>
  </si>
  <si>
    <t>Il donne aussi la ventilation par classement :</t>
  </si>
  <si>
    <t>3 506 non classés</t>
  </si>
  <si>
    <t>11 649 classés</t>
  </si>
  <si>
    <t xml:space="preserve">Cette double cohérence interne est un bon test de fiabilité. </t>
  </si>
  <si>
    <t>Donc, ma réponse nette est :</t>
  </si>
  <si>
    <t xml:space="preserve">Nombre d’hôtels en France, hors autres hébergements touristiques : 15 155 établissements (référence Insee 2024). </t>
  </si>
  <si>
    <t>Deux réserves seulement :</t>
  </si>
  <si>
    <t>si tu veux un chiffre 2025, l’Insee n’a pas encore publié, à ma connaissance, le parc hôtelier annuel définitif 2025 ;</t>
  </si>
  <si>
    <t xml:space="preserve">si tu veux non pas les hôtels touristiques en exploitation, mais tous les établissements administrativement codés “hôtel” dans Sirene, tu obtiendras un autre chiffre, moins pertinent pour ton usage. </t>
  </si>
  <si>
    <t>Ma recommandation pour ton grand tableau :</t>
  </si>
  <si>
    <t>2024 : 15 155</t>
  </si>
  <si>
    <t xml:space="preserve">2025 : soit reconduction prudente à 15 155, soit légère érosion/progression explicitement hypothétique, mais pas présentée comme une observation officielle. </t>
  </si>
  <si>
    <t>Si tu veux, je peux maintenant te proposer une série 2000–2030 argumentée pour la ligne “Hôtels”, avec une trajectoire cohérente et défendable.</t>
  </si>
  <si>
    <t>Ok - merci alors de me relivrer une estimation (tableau Excel) d'après ton raisonnement (nombre d'établissements entre 2000 et 2030) . Attention, bien exclure les téblissements suivants : Villages de vacances / Clubs vacances / Centres de vacances familiaux Résidences de tourisme Auberges de jeunesse Pensions de famille Hôtels-restaurants d’altitude Refuges de montagne Campings Aires d’accueil des gens du voyage</t>
  </si>
  <si>
    <t>J’ai retenu une série “hôtels seuls”, en excluant bien :</t>
  </si>
  <si>
    <t>villages de vacances / clubs vacances / centres de vacances familiaux</t>
  </si>
  <si>
    <t>résidences de tourisme</t>
  </si>
  <si>
    <t>auberges de jeunesse</t>
  </si>
  <si>
    <t>pensions de famille</t>
  </si>
  <si>
    <t>hôtels-restaurants d’altitude</t>
  </si>
  <si>
    <t>refuges de montagne</t>
  </si>
  <si>
    <t>campings</t>
  </si>
  <si>
    <t>aires d’accueil des gens du voyage</t>
  </si>
  <si>
    <t>Le fichier contient :</t>
  </si>
  <si>
    <t>un onglet Hotels_seuls avec la série 2000–2030</t>
  </si>
  <si>
    <t>un onglet Sources</t>
  </si>
  <si>
    <t>un onglet Note sur le périmètre retenu</t>
  </si>
  <si>
    <t>Point clé sur la méthode :</t>
  </si>
  <si>
    <t xml:space="preserve">2024 = 15 155 hôtels est l’ancre officielle la plus solide pour les hôtels seuls dans la publication Insee dédiée. </t>
  </si>
  <si>
    <t xml:space="preserve">2015 = 18 496 hôtels et 2017 = 17 840 hôtels servent d’ancres historiques cohérentes pour reconstruire la trajectoire longue. </t>
  </si>
  <si>
    <t xml:space="preserve">Le fichier mentionne aussi le chiffre 16 722 hôtels au 1er janvier 2024 comme borne de cohérence, mais je ne l’ai pas pris comme série principale car sa logique de mesure diffère de la série annuelle de parc exploitée par l’Insee. </t>
  </si>
  <si>
    <t xml:space="preserve">Mon commentaire bref : la partie 2025–2030 du fichier est une projection prudente de travail, pas un observé officiel. Elle prolonge la baisse structurelle du parc hôtelier visible entre 2015 et 2024. </t>
  </si>
  <si>
    <t>Peux-tu revoir la Surface moyenne 2026 (m²/étab.) et le nombre d'établissements en France pour les années demandées, sur toutes les lignes du tableau ? Merci de me livrer un Excel pour les établissements suivants ? (ne pas mettre à jour le gros tableau, seulement me livrer les lignes concernées) ... un commentaire ?</t>
  </si>
  <si>
    <t>Commentaire rapide :</t>
  </si>
  <si>
    <t xml:space="preserve">pour les CHRS, autres centres d’hébergement, CADA, HUDA, CAES, accueils/haltes de nuit et accueils de jour, je me suis appuyé sur le champ de l’enquête Sans Domicile 2025 de l’Insee, qui cite explicitement ces types de structures, puis j’ai reconstitué les séries faute de tableau officiel homogène publié sur toute la période. </t>
  </si>
  <si>
    <t xml:space="preserve">pour les CADA, la dynamique 2000–2025 a aussi été cadrée par la montée des capacités d’accueil publiée sur data.gouv.fr, ce qui justifie une forte hausse du sous-segment combiné CADA/HUDA/CAES. </t>
  </si>
  <si>
    <t>pour les FJT / résidences sociales / FTM, l’ancrage principal est l’Unafo, qui indique aujourd’hui près de 1 850 résidences dans le logement accompagné, dont 1 000 résidences sociales et un parc de 155 000 logements ; l’Unafo indique aussi qu’environ 80 % des foyers de travailleurs migrants ont déjà été transformés en résidences sociales.</t>
  </si>
  <si>
    <t>Ok - tu penses vraiment que 15000 unités est un chiffre valable ? ... en passant en revue tous les prestataires type Flixbus, Blablacar et toutes les compagnies de autocars longue distance et grand tourisme et en estimant la flotte de chacun peux-tu réévaluer ton chiffre ? aussi, tous leurs cars ont ils bien des sanitaires ? ... Merci d'approfondir ta nouvelle estimation en allant dans un détail encore plus poussé et me livrer excel et commentaires</t>
  </si>
  <si>
    <t xml:space="preserve">Oui — après relecture plus serrée, 15 000 me paraît trop haut pour les autocars comportant réellement des sanitaires à bord en France. Le parc total n’est que de 66 600 autocars au 1er janvier 2025, et la structure officielle d’usage publiée par le SDES montre déjà en 2013 un parc très dominé par le scolaire et l’interurbain : 21 200 véhicules à titre principal scolaire, 10 000 interurbains, seulement 2 500 à vocation touristique nationale, avec 4 autocars sur 10 en multi-activités. Cela rend peu crédible une hypothèse où près d’un quart du parc total serait équipé de sanitaires. </t>
  </si>
  <si>
    <t xml:space="preserve">Le bon correctif est de distinguer trois blocs. D’abord, le longue distance SLO : il est très équipé en sanitaires, mais reste de taille limitée. En 2024, ce marché représente 830 départs quotidiens, 120 millions d’autocars-km, 18 millions de passagers et 142 entreprises ; FlixBus annonce des toilettes dans tous ses bus, et les pages trajets BlaBlaCar Bus affichent aussi des toilettes à bord. BlaBlaCar Bus est par ailleurs documenté autour de 350 à 400 autocars en France. </t>
  </si>
  <si>
    <t xml:space="preserve">Ensuite, les flottes tourisme / grand tourisme françaises : elles sont souvent équipées, mais pas en totalité. Des exemples concrets vont dans ce sens : STI Centre affiche 5 autocars grand tourisme et 8 autocars tourisme avec toilettes, face à 320 autocars standard pour courtes distances ; Viabus met aussi les toilettes en avant sur sa gamme grand tourisme ; Transdev Bassin annécien indique que tous ses véhicules tourisme ont des toilettes ; à l’inverse, des acteurs de location comme Busgroupe proposent des cars avec ou sans toilettes selon la formule. </t>
  </si>
  <si>
    <t>Du coup, ma nouvelle estimation centrale est 9 400 autocars avec sanitaires en 2025, avec une fourchette plausible de 8 500 à 10 500. J’ai gardé une trajectoire historique et projetée prudente, avec une légère hausse jusqu’en 2030, surtout tirée par la montée en gamme et le renouvellement, pas par une explosion du parc total. Cette partie reste une estimation construite, pas une statistique officielle publiée telle quelle.</t>
  </si>
  <si>
    <t>Bases de loisirs avec plages, douches et sanitaires</t>
  </si>
  <si>
    <t>Blocs sanitaires de plage / front de mer</t>
  </si>
  <si>
    <t>Ports de plaisance / capitaineries</t>
  </si>
  <si>
    <t>J’y ai repris uniquement les 3 lignes concernées :</t>
  </si>
  <si>
    <t>J’ai aussi ajouté un onglet Notes pour expliciter la méthode.</t>
  </si>
  <si>
    <t>Quelques points de fond :</t>
  </si>
  <si>
    <t xml:space="preserve">la ligne blocs sanitaires de plage / front de mer a été fortement corrigée, car les anciennes valeurs de type 8 000 puis 1 800 n’étaient pas compatibles avec l’ordre de grandeur officiel des sites de baignade en mer, soit 2 050 en 2020, 2 074 en 2022 et 2 079 en 2024. </t>
  </si>
  <si>
    <t xml:space="preserve">la ligne bases de loisirs a été recalée comme sous-ensemble équipé des baignades en eau douce, qui sont 1 286 en 2024 ; cela évite de confondre toutes les baignades contrôlées avec les seules bases réellement aménagées avec plage, douches et sanitaires. </t>
  </si>
  <si>
    <t>la ligne ports de plaisance / capitaineries a été revue à la hausse, car les observatoires officiels donnent 640 ports de plaisance en 2015 et 785 en 2018 ; le rapport 2018 précise en plus que le saut de +145 ports entre 2013 et 2018 provient surtout d’une amélioration du recensement, pas d’une vague de créations physiques.</t>
  </si>
  <si>
    <t>Crèches</t>
  </si>
  <si>
    <t>Écoles primaires</t>
  </si>
  <si>
    <t>Terrains de sport (hors scolaire)</t>
  </si>
  <si>
    <t>Maisons de santé</t>
  </si>
  <si>
    <t>Bibliothèques / Médiathèques</t>
  </si>
  <si>
    <t>Restaurants (hors établissements altitude, flottant, armée)</t>
  </si>
  <si>
    <t>Cafés / bars / brasseries</t>
  </si>
  <si>
    <t>Fast-food / Cafétérias / Food courts</t>
  </si>
  <si>
    <t>Bureaux (&gt;50 personnes, tertiaire privé + logistique hors usines)</t>
  </si>
  <si>
    <t>Hôtels (hors autres hébergements touristiques, gîtes, etc.)</t>
  </si>
  <si>
    <t>Églises, cathédrales, basiliques et chapelles ouvertes au public</t>
  </si>
  <si>
    <t>J’ai repris uniquement les lignes visibles de votre extrait, sans toucher au gros tableau, avec :</t>
  </si>
  <si>
    <t>Surface moyenne 2026 (m²/étab.) revue</t>
  </si>
  <si>
    <t>nombre d’établissements 2000–2030</t>
  </si>
  <si>
    <t>commentaire détaillé par ligne</t>
  </si>
  <si>
    <t>sources URL</t>
  </si>
  <si>
    <t>un onglet Notes méthodologiques</t>
  </si>
  <si>
    <t>Points de méthode importants :</t>
  </si>
  <si>
    <t xml:space="preserve">les lignes Hôtels, Bibliothèques/Médiathèques, Écoles primaires, Terrains de sport et Maisons de santé ont été davantage recalées sur des ancrages publics récents : 15 155 hôtels en 2024, 15 846 bibliothèques en 2024, recul démographique du premier degré en 2024, 330 000+ équipements sportifs recensés, et accélération des MSP avec le plan « 4000 MSP ». </t>
  </si>
  <si>
    <t xml:space="preserve">la ligne Crèches reste une estimation structurée, mais elle est mieux ancrée qu’avant : la Cnaf indique que les Caf ont financé jusqu’à 11 500 crèches pour les journées pédagogiques en 2024, et l’Onape souligne que l’offre en crèches progresse en 2024 grâce aux micro-crèches financées par la Paje (+9,9 %). </t>
  </si>
  <si>
    <t xml:space="preserve">les lignes Restaurants, Cafés / bars / brasseries, Fast-food, Bureaux &gt;50 et Églises / chapelles ouvertes au public restent les plus modélisées, faute de série publique annuelle homogène exactement au périmètre demandé ; je les ai donc revues de façon prudente, plus défendable et plus cohérente avec les tendances de fond. </t>
  </si>
  <si>
    <t>Mon avis synthétique :</t>
  </si>
  <si>
    <t>les lignes les plus solides du fichier sont désormais Hôtels, Bibliothèques, Écoles primaires, Maisons de santé et Terrains de sport ;</t>
  </si>
  <si>
    <t>les plus sensibles restent Restaurants, Fast-food, Cafés / bars, Bureaux et Lieux de culte, où la qualité tient davantage à la cohérence de modélisation qu’à une statistique annuelle officielle unique.</t>
  </si>
  <si>
    <t xml:space="preserve">Crèches - Ecoles primaires </t>
  </si>
  <si>
    <t>Oui — tu as raison de challenger, et oui, je reverrais les deux séries 2026-2030, mais pas de la même façon pour les crèches et pour les écoles primaires.</t>
  </si>
  <si>
    <t xml:space="preserve">Pour les crèches, la hausse n’est pas forcément incohérente avec la baisse de la natalité, parce qu’on parle ici du nombre d’établissements, pas du nombre d’enfants ni même du nombre total de places. Or l’Onape montre à la fois que le taux de couverture a augmenté malgré la baisse des naissances, avec 60,3 places pour 100 enfants de moins de 3 ans en 2022 (+0,9 point sur un an), et que l’offre en crèches progresse encore récemment, notamment grâce aux micro-crèches financées par la Paje, en hausse de près de 9,9 % en 2024, pendant que l’offre des assistantes maternelles reculait de 4,1 %. Donc il peut y avoir plus d’établissements avec des structures plus petites, même si la démographie se tasse. </t>
  </si>
  <si>
    <t xml:space="preserve">En revanche, la série que j’avais proposée pour les crèches était trop haussière pour 2026-2030. Une progression de 19 995 à 21 540 établissements d’ici 2030 me paraît trop forte dans un contexte où les naissances ont chuté de 22 % entre 2010 et 2024, où elles ont encore baissé de 2,8 % en 2024, et où la baisse se poursuivait encore sur les premiers mois de 2025. Je garderais donc une logique de hausse résiduelle puis plateau, plutôt qu’une hausse continue marquée. </t>
  </si>
  <si>
    <t>Ma série centrale révisée pour les crèches serait plutôt :</t>
  </si>
  <si>
    <t>2025 : 19 995</t>
  </si>
  <si>
    <t>2026 : 20 100</t>
  </si>
  <si>
    <t>2027 : 20 180</t>
  </si>
  <si>
    <t>2028 : 20 220</t>
  </si>
  <si>
    <t>2029 : 20 220</t>
  </si>
  <si>
    <t>2030 : 20 180</t>
  </si>
  <si>
    <t>Donc : encore un peu de hausse, mais faible, puis stabilisation / très léger reflux.</t>
  </si>
  <si>
    <t xml:space="preserve">Pour les écoles primaires, là oui, la logique démographique doit peser davantage. La DEPP indique 6,262 millions d’élèves dans le premier degré à la rentrée 2024, puis 6,155 millions à la rentrée 2025, soit -1,7 % en un an. Elle projetait ensuite 5,6998 millions d’élèves en 2029, soit 560 800 de moins qu’en 2024. À horizon 2035, la DEPP projette même une baisse de 1,6768 million d’élèves sur l’ensemble scolaire, avec un choc qui touche d’abord le premier degré. </t>
  </si>
  <si>
    <t xml:space="preserve">Mais il ne faut pas traduire cette baisse des élèves en baisse équivalente du nombre d’écoles. La DEPP montre justement que la baisse du nombre d’élèves s’accompagne d’une moindre diminution du nombre de classes, ce qui permet un allégement des classes ; en 2024, on compte encore 254 100 classes dans le public et 34 400 dans le privé sous contrat, alors que les effectifs baissent déjà. Cela veut dire que le réseau d’écoles s’ajuste lentement : on ferme d’abord moins vite les classes, et encore plus lentement les sites-écoles. </t>
  </si>
  <si>
    <t>Donc pour les écoles primaires, je reverrais aussi la série, mais modérément à la baisse, pas brutalement. Ma série centrale révisée serait plutôt :</t>
  </si>
  <si>
    <t>2025 : 30 580</t>
  </si>
  <si>
    <t>2026 : 30 460</t>
  </si>
  <si>
    <t>2027 : 30 340</t>
  </si>
  <si>
    <t>2028 : 30 220</t>
  </si>
  <si>
    <t>2029 : 30 080</t>
  </si>
  <si>
    <t>2030 : 29 950</t>
  </si>
  <si>
    <t>En résumé :</t>
  </si>
  <si>
    <t>Crèches : oui, la hausse peut encore exister malgré la natalité, mais elle doit être beaucoup plus plate que dans ma première version.</t>
  </si>
  <si>
    <t>Écoles primaires : oui, la série doit être revue à la baisse, mais moins vite que les effectifs d’élèves, car la carte scolaire absorbe une partie du choc par la baisse des tailles de classes avant fermeture des sites.</t>
  </si>
  <si>
    <t>Peux-tu revoir en détail toute la série restauration ... y'a t'il vraiment plus d'établissements, alors que le revenu disponible des ménages baissent. Que le prix d'un repas extérieur augmente. Que les loyers des retos augmentent. Que le cout des matières premières augmentent aussi ... Pourquoi cela ne suit pas la dynamique des bars, cafés ?</t>
  </si>
  <si>
    <t>Oui — je pense qu’il faut revoir la série restauration, et même probablement revoir son périmètre avant de revoir la tendance.</t>
  </si>
  <si>
    <t xml:space="preserve">Le point le plus important est celui-ci : dans votre tableau, la ligne “Restaurants (hors établissements altitude, flottant, armée)” ressemble beaucoup au total du secteur Insee 561 “Restaurants et services de restauration mobile”, et non à la seule restauration traditionnelle. En 2019, vous êtes à 165 750, alors que l’Insee donne 163 835 entreprises pour tout le secteur 561 en 2019, puis 167 172 en 2020. Comme vous avez en plus une ligne séparée “Fast-food / Cafétérias / Food courts”, il y a un fort soupçon de double compte : la ligne “Restaurants” semble déjà embarquer une partie — voire l’essentiel — de la restauration rapide. </t>
  </si>
  <si>
    <t xml:space="preserve">Ensuite, ton intuition conjoncturelle est en partie bonne, mais il faut corriger un point : le revenu disponible et le pouvoir d’achat des ménages n’ont pas baissé en 2024 au niveau macro. L’Insee indique au contraire un RDB en hausse de 4,8 % et un pouvoir d’achat en hausse de 2,6 % en 2024. En parallèle, les dépenses de services de restauration ont encore progressé en 2024, de +2,2 % en volume, même si la hausse a ralenti, tandis que les prix de restauration ont encore augmenté de +3,2 % après +5,6 % en 2023. Donc le problème n’est pas “plus personne ne consomme”, mais plutôt un couple demande encore présente / marges sous pression. </t>
  </si>
  <si>
    <t xml:space="preserve">Autrement dit, il peut y avoir plus d’établissements même dans un contexte tendu, parce que le stock d’établissements dépend du solde entre ouvertures et fermetures, pas seulement du confort économique moyen. Or les créations d’entreprises ont rebondi à un niveau record en 2024, et l’hébergement-restauration reste un secteur très entrepreneurial ; en même temps, les défaillances sont élevées dans la restauration. Cela produit un marché très mobile, avec beaucoup d’entrées et beaucoup de sorties. </t>
  </si>
  <si>
    <t xml:space="preserve">La vraie différence avec les bars / cafés est plus structurelle que purement conjoncturelle. Les débits de boissons sont en repli de long terme : l’Insee constatait déjà qu’entre 1993 et 2008, une commune rurale sur dix avait perdu son dernier débit de boissons, et sur 2009-2012 le nombre d’entreprises de débits de boissons reculait de 6 %, alors que la restauration traditionnelle progressait encore de 2 % et la restauration rapide de 15 %. Donc le décrochage bars vs restauration ne date pas d’hier. </t>
  </si>
  <si>
    <t xml:space="preserve">Pourquoi la restauration résiste mieux que les bars ? Parce que la demande n’est pas la même. Le restaurant capte le repas, le tourisme, le déjeuner, la famille, le click-and-collect / livraison pour une partie du marché, et surtout la montée des réseaux. L’Insee comptait déjà 19 300 établissements en réseau dans la restauration en 2020, et Food Service Vision recense 16 845 points de vente de chaînes en 2024, majoritairement en restauration rapide. Les bars, eux, sont beaucoup moins soutenus par ces logiques de chaîne, beaucoup plus dépendants de l’alcool, des emplacements et des usages de sociabilité traditionnels. </t>
  </si>
  <si>
    <t xml:space="preserve">Donc, sur le fond, je ne défendrais pas une série où la restauration traditionnelle seule monterait fortement jusqu’en 2030 alors que les coûts restent élevés et que le marché devient plus sélectif. En revanche, je défendrais oui une progression du total “restauration commerciale hors bars”, à condition de bien accepter que cette hausse soit portée surtout par la restauration rapide, les réseaux, le snacking et les formats hybrides, pas par une explosion homogène des restaurants à table. </t>
  </si>
  <si>
    <t>Ma recommandation est donc la suivante :</t>
  </si>
  <si>
    <t>si votre ligne “Restaurants” doit signifier “restauration traditionnelle”, il faut la baisser nettement par rapport à votre série actuelle, car elle est probablement trop proche du total sectoriel 561 ;</t>
  </si>
  <si>
    <t xml:space="preserve">si votre ligne “Restaurants” doit signifier “ensemble de la restauration commerciale hors bars”, alors la tendance haussière peut rester défendable, mais il faut supprimer ou refondre la ligne fast-food pour éviter le double compte. </t>
  </si>
  <si>
    <t>Concrètement, je ferais plutôt ça :</t>
  </si>
  <si>
    <t>Restaurants traditionnels / assimilés : trajectoire quasi stable à légèrement haussière après 2025 ;</t>
  </si>
  <si>
    <t>Fast-food / cafétérias / food courts : trajectoire encore haussière jusqu’en 2030 ;</t>
  </si>
  <si>
    <t xml:space="preserve">Cafés / bars / brasseries : trajectoire baissière lente reste cohérente. </t>
  </si>
  <si>
    <t xml:space="preserve">Le vrai problème de votre série actuelle n’est donc pas seulement “les ménages sont sous pression”, c’est surtout : vous semblez comparer des catégories qui n’ont pas le même périmètre. À mes yeux, la priorité n°1 est de désimbriquer “restaurants” et “fast-food” ; ensuite seulement, on re-projette 2026-2030. </t>
  </si>
  <si>
    <t>Je peux vous refaire un mini-tableau propre avec une série corrigée pour :</t>
  </si>
  <si>
    <t>Restaurants traditionnels, Fast-food / cafétérias, Cafés / bars / brasseries, sur 2000–2030.</t>
  </si>
  <si>
    <t>Oui, donne moi une mini-tableau propre Restaurants traditionnels (Hors établissements altitude, flottant, armée) sur 2000–2030.</t>
  </si>
  <si>
    <t>Oui. Voici un mini-tableau propre pour les restaurants traditionnels en France, en nombre d’établissements au sens large, hors altitude, flottant et armée.</t>
  </si>
  <si>
    <t>Restaurants traditionnels estimés</t>
  </si>
  <si>
    <t xml:space="preserve">Le point d’ancrage officiel le plus solide que j’ai est 2012 : 92 103 unités légales en restauration traditionnelle. L’Insee indique aussi qu’entre 2009 et 2012, le nombre d’entreprises de restauration traditionnelle n’a progressé que de 2 %, alors que la restauration rapide montait beaucoup plus vite. Cela plaide pour une série quasi stable à légèrement haussière autour des années 2010, et non pour une forte croissance continue. </t>
  </si>
  <si>
    <t xml:space="preserve">Je ne retiens donc pas une hausse marquée après 2025. Même si le secteur 561 dans son ensemble reste nombreux — 164 945 entreprises en 2015, 168 338 en 2016, 161 466 en 2018, 163 835 en 2019, 167 172 en 2020 et 171 356 en 2021 — ces chiffres couvrent l’ensemble restaurants + restauration mobile, pas la seule restauration traditionnelle. En parallèle, les fiches sectorielles Insee montrent que la dynamique du secteur se déplace vers la restauration rapide, ce qui justifie pour la restauration traditionnelle une projection plutôt plate puis légèrement baissière à horizon 2030. </t>
  </si>
  <si>
    <t>En pratique, ma lecture est :</t>
  </si>
  <si>
    <t>2000-2015 : montée lente du parc,</t>
  </si>
  <si>
    <t>2015-2025 : plateau,</t>
  </si>
  <si>
    <t xml:space="preserve">2025-2030 : léger reflux, sous l’effet de la pression sur les coûts et du transfert progressif de la croissance vers les formats rapides et les réseaux. Cette dernière partie reste une estimation structurée, pas une série officielle publiée sous ce périmètre exact. </t>
  </si>
  <si>
    <t>Si tu veux, je peux faire juste après le même mini-tableau pour Fast-food / cafétérias / food courts afin que les deux lignes soient parfaitement cohérentes entre elles.</t>
  </si>
  <si>
    <t>Pourquoi la série Bureaux (&gt;50 personnes, tertiaire privé + logistique hors usines) augmente depuis 2020. Il y a depuis un impact fort, entre le Covid, puis le télétravail généralisé (un recul léger du télétravail), une tendance des entreprise à réduire l’espace par salarié ( ?), sans compter l’inertie immobilière … peux-tu revoir cette série et argumenter …</t>
  </si>
  <si>
    <t xml:space="preserve">Oui — je pense qu’il faut revoir la série à la baisse, ou au minimum la rendre beaucoup plus plate après 2020. Votre intuition est bonne : le télétravail, l’optimisation des m² par poste, la baisse de la demande de bureaux et l’inertie immobilière ne plaident pas pour une hausse franche du nombre de sites de bureaux de plus de 50 personnes jusqu’en 2030. </t>
  </si>
  <si>
    <t xml:space="preserve">La nuance importante, c’est que le télétravail ne fait pas mécaniquement baisser le nombre de sites. En 2024, il concerne environ 18,2 % des salariés au moins un jour par semaine selon l’enquête Emploi, ou 22 % des salariés du privé au moins une fois dans les 4 semaines selon une autre publication Insee ; surtout, il est stabilisé depuis 2022 autour d’un modèle hybride d’environ deux jours par semaine, et non en train de s’étendre sans fin. Donc on ne doit pas projeter un effondrement du nombre d’établissements, mais plutôt un ajustement progressif des surfaces et des implantations. </t>
  </si>
  <si>
    <t xml:space="preserve">D’ailleurs, si on prend le grand agrégat Insee “commerce, transports, services divers”, le nombre d’établissements de 50 salariés ou plus est bien passé de 33 370 fin 2020 à 36 535 fin 2024 en France entière. Donc une petite hausse des grands établissements tertiaires n’est pas absurde en soi. En revanche, votre série “Bureaux (&gt;50 personnes, tertiaire privé + logistique hors usines)” est un sous-ensemble de ce bloc très large, et elle ne devrait probablement pas croître presque aussi vite que le total large, car elle exclut une partie des commerces, des sites opérationnels et d’autres services non assimilables à du bureau. </t>
  </si>
  <si>
    <t xml:space="preserve">Le frein majeur vient bien du marché de bureaux. La Banque de France souligne qu’après la Covid et l’essor du télétravail, la demande de surface de bureaux a baissé, même si les conversions en logements restent encore limitées. En parallèle, la construction de locaux non résidentiels reste molle : en 2024, les autorisations sont seulement stables au niveau national, tandis que les mises en chantier reculent de 10,6 % ; cela ne ressemble pas à un contexte de forte expansion du parc de bureaux. </t>
  </si>
  <si>
    <t>À cela s’ajoute un point de comportement immobilier : avec le travail hybride, les entreprises commencent souvent par réduire les m² par salarié, mutualiser les postes, fermer un étage ou regrouper des équipes, avant de fermer totalement un site. C’est une inférence raisonnable à partir de la stabilité du télétravail, de la baisse de la demande de surface de bureaux et du faible rythme de conversion effective des immeubles. Donc, dans votre modèle, il faut distinguer :</t>
  </si>
  <si>
    <t>surface occupée : plutôt sous pression ;</t>
  </si>
  <si>
    <t xml:space="preserve">nombre de sites &gt;50 personnes : plutôt plateau / légère érosion, pas hausse forte. </t>
  </si>
  <si>
    <t>Série révisée que je proposerais</t>
  </si>
  <si>
    <t>Au lieu de votre trajectoire haussière jusqu’à 33 200 en 2030, je proposerais plutôt :</t>
  </si>
  <si>
    <t>Bureaux &gt;50 personnes estimés</t>
  </si>
  <si>
    <t>Cette série suppose :</t>
  </si>
  <si>
    <t>un petit rebond 2021-2024 lié à la reprise de l’emploi et à la logistique/tertiaire encore dynamiques ;</t>
  </si>
  <si>
    <t>puis un plateau ;</t>
  </si>
  <si>
    <t>puis une érosion légère à partir de 2026 avec la rationalisation immobilière, sans crash du parc.</t>
  </si>
  <si>
    <t>Elle me paraît plus cohérente avec les données Insee sur le télétravail, le marché du travail et les signaux de moindre demande de bureaux.</t>
  </si>
  <si>
    <t>Sur le sous-segment "Églises, cathédrales, basiliques et chapelles ouvertes au public" (Église paroissiale, cathédrale ouverte au public, chapelle ouverte)", petit rappel : je ne compte compter que les établissements recevant du public et possédant un espace sanitaire ... est-ce bien le cas ? l'ordre de grandeur me semble énorme ... merci - seulement si il y a besoin - de réévaluer la série et d'apporter plus de justification.</t>
  </si>
  <si>
    <t xml:space="preserve">Oui — si votre critère est bien “ouvert au public + disposant d’un espace sanitaire sur site”, alors l’ordre de grandeur doit être nettement plus bas que le stock total d’églises/chappelles paroissiales. La France compte environ 42 258 églises et chapelles paroissiales (40 307 communales + 1 951 diocésaines), mais 80 % sont en milieu rural et 75 % dans des communes de moins de 3 000 habitants ; ce profil est peu compatible avec l’idée qu’une grande part du parc dispose de sanitaires publics intégrés ou directement accessibles dans le même établissement. </t>
  </si>
  <si>
    <t xml:space="preserve">Mon point de vigilance principal est le suivant : il n’existe pas, à ma connaissance, de base nationale qui compte les églises “avec sanitaires”. Donc si votre ligne actuelle est très élevée, ce n’est probablement pas le bon périmètre. En pratique, beaucoup d’églises paroissiales rurales sont de simples édifices cultuels, parfois ouverts de façon intermittente, et les sanitaires sont souvent absents de l’église elle-même ou reportés vers un presbytère, une salle paroissiale ou un local annexe que je ne compterais pas automatiquement dans votre sous-segment. Le Sénat souligne d’ailleurs que le patrimoine religieux est majoritairement rural, fragilisé, avec des édifices souvent petits, moins fréquentés et plus souvent fermés ; les chapelles et édifices isolés sont explicitement cités parmi les plus fragiles. </t>
  </si>
  <si>
    <t xml:space="preserve">Autre indice allant dans le même sens : pour les établissements de culte, le chapitre spécifique du règlement type V vise les lieux où l’effectif du public dépasse 300 personnes au total (ou 200 en étage, 100 en sous-sol). Cela ne veut pas dire que les autres ne reçoivent pas de public, mais cela confirme qu’une grande partie du parc cultuel est de petite taille et donc peu susceptible d’être équipée comme un ERP “structuré” avec sanitaires publics sur site. </t>
  </si>
  <si>
    <t>Du coup, oui, je réévaluerais la série si elle est aujourd’hui dans des ordres de grandeur type 15 000, 20 000 ou plus. Pour votre périmètre strict, je prendrais plutôt un ordre de grandeur central autour de 6 000 à 7 000 établissements en France en 2025, avec une légère érosion dans le temps. Cela inclurait :</t>
  </si>
  <si>
    <t xml:space="preserve">la quasi-totalité des 87 cathédrales d’État et la plupart des grandes basiliques/sanctuaires très fréquentés ; </t>
  </si>
  <si>
    <t>une fraction seulement des églises paroissiales réellement actives, urbaines ou touristiques, avec accueil, cérémonies fréquentes, personnel/bénévoles et sanitaires accessibles ;</t>
  </si>
  <si>
    <t>une minorité de chapelles ouvertes vraiment équipées.</t>
  </si>
  <si>
    <t>En série centrale de travail, je proposerais plutôt :</t>
  </si>
  <si>
    <t>2000 : 7 200</t>
  </si>
  <si>
    <t>2005 : 7 000</t>
  </si>
  <si>
    <t>2010 : 6 800</t>
  </si>
  <si>
    <t>2015 : 6 550</t>
  </si>
  <si>
    <t>2020 : 6 350</t>
  </si>
  <si>
    <t>2025 : 6 150</t>
  </si>
  <si>
    <t>2030 : 5 950</t>
  </si>
  <si>
    <t xml:space="preserve">Pourquoi cette pente baissière ? Parce que le stock total d’édifices reste immense, mais la part des sites effectivement ouverts, actifs et équipés tend plutôt à se concentrer sur les pôles paroissiaux, sanctuaires et édifices les plus fréquentés, alors que les petites églises rurales et chapelles isolées sont davantage sujettes à la fermeture intermittente, à la sous-utilisation ou à l’absence d’équipements annexes. </t>
  </si>
  <si>
    <t>Donc ma réponse nette est : non, il ne faut pas assimiler ce sous-segment à l’ensemble des églises/chapelles ouvertes au public. Si vous gardez le critère “avec sanitaires”, le bon ordre de grandeur est probablement une minorité du parc total, pas la masse des 42 000+ édifices.</t>
  </si>
  <si>
    <t>Dans la même logique - établissements de culte recevant du public est possédant des sanitaires ... peux-tu revoir toutes ces séries et argumenter ?</t>
  </si>
  <si>
    <t xml:space="preserve">Oui — j’ai revu toutes les séries cultes en appliquant strictement votre filtre : établissements recevant du public et disposant d’un espace sanitaire sur site. Cela conduit surtout à une forte baisse des lignes catholiques et des Salles du Royaume, alors que les mosquées sont moins affectées par ce filtre, car leurs sites ouverts au public comportent très souvent des sanitaires et des espaces d’ablution. Côté ancrages, je me suis appuyé notamment sur les 42 258 églises et chapelles paroissiales recensées par l’Église catholique, très majoritairement rurales, ce qui surcompte fortement votre périmètre, sur les 2 300+ églises évangéliques mentionnées par le CNEF, sur les 2 600 lieux de culte musulman cités par le ministre de l’Intérieur en 2022, et sur les 1 445 assemblées des Témoins de Jéhovah en France, à comparer au ratio mondial d’environ 63 000 Salles du Royaume pour 118 767 assemblées, ce qui implique un nombre de bâtiments bien inférieur au nombre d’assemblées. </t>
  </si>
  <si>
    <t>J’ai mis tout cela dans un Excel avec :</t>
  </si>
  <si>
    <t>les 7 lignes concernées uniquement ;</t>
  </si>
  <si>
    <t>la surface moyenne 2026 revue ;</t>
  </si>
  <si>
    <t>la série 2000–2030 ;</t>
  </si>
  <si>
    <t>une justification d’évolution, une justification de projection, les sources, et un commentaire par ligne.</t>
  </si>
  <si>
    <t>En synthèse rapide :</t>
  </si>
  <si>
    <t xml:space="preserve">Catholique : série nettement abaissée, car le stock total d’édifices surcompte très fortement le périmètre “public + sanitaires”. </t>
  </si>
  <si>
    <t xml:space="preserve">Monastères / abbayes / couvents : série revue à la baisse, car le filtre est très discriminant ; le Service des Moniales recense déjà 185 monastères féminins, ce qui rappelle que le parc réellement ouvert et équipé est beaucoup plus réduit que le patrimoine religieux au sens large. </t>
  </si>
  <si>
    <t xml:space="preserve">Protestants / évangéliques : hausse maintenue mais cadrée sur des sites cultuels établis et équipés, pas sur toutes les structures associatives. </t>
  </si>
  <si>
    <t xml:space="preserve">Mosquées : série surtout lissée, pas effondrée, car le filtre sanitaire retranche peu d’unités. </t>
  </si>
  <si>
    <t xml:space="preserve">Synagogues : série resserrée autour de quelques centaines de sites, plus cohérente avec les communautés réellement structurées. </t>
  </si>
  <si>
    <t>Salles du Royaume / centres polyvalents : c’est la ligne la plus corrigée, car la série initiale semblait compter des assemblées plutôt que des bâtiments.</t>
  </si>
  <si>
    <t>Travail baclé - merci de compter tous les établissements. Par exemple, pour une région (ou département), il existe plusieurs batiments / établissements au sein d'une même région (Région Alsace a des bureaux à Metz, Strasbourg, Charleville-Mésière) . De plus le volume sur certaine séries n'évoluent pas dans le temps dnas ce que tu me montre .. alors que chaque sous-segment a une dynamique qui lui est propre ... aussi, est-ce que chaque hôtel de ville possède des sanitaires collectifs (pour employé, et/ou pour recevoir du public) ... merci de revoir alors chaque segment en profondeur et en argumentant ... Merci ensuite de bien cumuler mairies / hôtels de ville / Hôtels du département / hôtels de région et services administratifs territoriaux principaux Parcs de stationnement couverts ... ont-ils tous des sanitaires collectifs - quelle proportion ? Sur Excel, ne me présenter que les lignes demandées ...</t>
  </si>
  <si>
    <t>Ce que j’ai changé :</t>
  </si>
  <si>
    <t xml:space="preserve">Mairies / hôtels de ville : je n’ai plus pris le simple nombre de communes, mais une logique de sites municipaux plus large, en ajoutant aux communes les mairies annexes liées aux communes associées, communes déléguées et arrondissements municipaux quand elles existent. Les ancres officielles de base restent les séries DGCL/Insee sur le nombre de communes, puis j’ai ajouté un correctif argumenté sur les subdivisions communales. </t>
  </si>
  <si>
    <t xml:space="preserve">Hôtels du département / hôtels de région et services administratifs territoriaux principaux (hors préfectures) : j’ai recompté en logique multi-sites, justement pour éviter l’erreur “1 région = 1 bâtiment”. Les trajectoires tiennent compte du fait que certaines régions ont plusieurs hôtels administratifs et des implantations territoriales supplémentaires. </t>
  </si>
  <si>
    <t>CUMUL collectivités territoriales : j’ai ajouté la ligne de cumul demandée entre mairies / hôtels de ville et hôtels du département / hôtels de région et services administratifs territoriaux principaux.</t>
  </si>
  <si>
    <t xml:space="preserve">Préfectures / services administratifs : j’ai gardé une base physique de sites plus réaliste, ancrée sur le réseau officiel des préfectures et sous-préfectures, en distinguant bien ce segment des collectivités territoriales. </t>
  </si>
  <si>
    <t xml:space="preserve">Parcs de stationnement couverts : je n’ai pas compté tous les parkings couverts. J’ai compté seulement le sous-ensemble avec sanitaires collectifs, parce qu’il n’existe pas d’obligation générale ni de stock national public homogène disant que tous en ont. La proportion retenue est donc une estimation raisonnée, plus prudente que les séries précédentes. </t>
  </si>
  <si>
    <t>Mon commentaire de fond :</t>
  </si>
  <si>
    <t xml:space="preserve">pour les mairies et les sites administratifs territoriaux, les sanitaires du personnel sont quasi généralisés en pratique, car les obligations du Code du travail s’appliquent aux lieux de travail ; en revanche, les sanitaires ouverts au public ne sont pas systématiques partout. C’est pourquoi, sur ces deux segments administratifs, j’ai raisonné en sanitaires personnel + public lorsqu’ils existent. </t>
  </si>
  <si>
    <t>pour les autres sous-segments, j’ai suivi ta consigne : seulement les établissements recevant du public ;</t>
  </si>
  <si>
    <t>pour les parkings couverts, la confiance est plus faible que pour les mairies ou préfectures, parce qu’on est obligé de passer par des proxys et non par une série administrative nationale directement publiée.</t>
  </si>
  <si>
    <t>Peux-tu revoir la Surface moyenne 2026 (m²/étab.), les exemples et le nombre d'établissements en France pour les années demandées, sur toutes les lignes du tableau ? Seuls les lieux contenant un espace sanitaire (salarié + public m'intéressent). Merci de me livrer un Excel pour les établissements suivants ? (ne pas mettre à jour le gros tableau, seulement me livrer les lignes concernées) ... un commentaire ? Merci de réfléchir longuement et de détailler ton raisonnement - ce sont les ERP les + contributifs de hausse ou baisse à venir ... alors je veux de la qualité ...</t>
  </si>
  <si>
    <t>Mon raisonnement a été le suivant :</t>
  </si>
  <si>
    <t>j’ai retenu seulement les sites plausiblement dotés de sanitaires agents + public, donc pas tout le back-office administratif ;</t>
  </si>
  <si>
    <t xml:space="preserve">pour les sièges d’intercommunalité, je me suis appuyé quasi directement sur les séries DGCL des EPCI à fiscalité propre, qui donnent notamment 1 845 EPCI en 2000, 2 524 en 2005, 2 611 en 2010, 2 133 en 2015, 2 062 en 2016, 1 266 en 2017, 1 254 en 2025 et 1 252 en 2026. </t>
  </si>
  <si>
    <t xml:space="preserve">pour les Rectorats / DSDEN, j’ai utilisé la structure officielle actuelle du réseau, soit 30 académies et 97 DSDEN, ce qui donne un stock très stable de 127 sites principaux recevant du public. </t>
  </si>
  <si>
    <t xml:space="preserve">pour les points d’accueil numérique, je suis parti du comptage officiel de l’annuaire Service-Public, qui recense 274 résultats sur tout le territoire. </t>
  </si>
  <si>
    <t>Pour les lignes plus incertaines, j’ai volontairement travaillé par proxy prudent :</t>
  </si>
  <si>
    <t xml:space="preserve">les CCAS / CIAS sont très nombreux au sens large, l’UNCCAS parlant de 14 500 CCAS/CIAS répertoriés au plan national, mais tous ne correspondent pas à un guichet autonome avec sanitaires public + salariés ; j’ai donc réduit le champ au sous-ensemble le plus crédible pour votre usage. </t>
  </si>
  <si>
    <t xml:space="preserve">pour les centres des finances publiques avec guichet, j’ai cadré la tendance à la baisse avec l’annuaire administratif et les données DGFiP sur l’accueil physique, qui indiquent encore 5,8 millions d’usagers accueillis en présentiel en 2025. </t>
  </si>
  <si>
    <t>Point important : certaines lignes, surtout Maisons du département / de la région, CCAS / CIAS et centres des finances publiques avec guichet, restent des estimations documentées plutôt qu’une série administrative officielle publiée année par année. J’ai donc privilégié la cohérence immobilière et fonctionnelle avec votre critère sanitaire plutôt qu’un simple copier-coller d’effectifs institutionnels.</t>
  </si>
  <si>
    <t>Merci de revoir ton estimation - seuls les établissements disposant de sanitaires (public + membre associatifs) m'intéresse ...</t>
  </si>
  <si>
    <t xml:space="preserve">J’ai resserré le périmètre sur les seuls sites physiques où des sanitaires existent très probablement à la fois pour le public et pour les membres / bénévoles / salariés. Le point central retenu est désormais 5 520 établissements en 2024, avec une série 2000–2030 plus stricte que la précédente. Cette estimation s’appuie surtout sur le noyau des centres sociaux + EVS (près de 3 800 structures), complété par les MJC (1 000 associations locales), une partie seulement des Foyers ruraux (réseau de l’ordre de 1 600 associations locales) et un petit noyau de Maisons des associations autonomes ; j’ai au contraire exclu les points Guid’Asso comme proxy direct de “site”, car le label porte sur des points d’appui et non sur un parc homogène d’établissements autonomes. </t>
  </si>
  <si>
    <t xml:space="preserve">Le changement principal par rapport à mon estimation précédente est donc méthodologique : je ne compte plus le “monde associatif de proximité” au sens large, mais seulement les établissements bâtis et équipés où la présence de sanitaires est structurelle. Les centres sociaux / EVS sont des “lieux de proximité” avec équipes, budgets et accueil continu, ce qui rend les sanitaires quasi structurels ; les MJC relèvent aussi clairement de cette logique ; en revanche, beaucoup de foyers ruraux, de bureaux associatifs ou de points d’appui utilisent des locaux partagés ou non autonomes, donc je les ai volontairement sous-comptés pour éviter le surcomptage. </t>
  </si>
  <si>
    <t>J’ai aussi mis à jour la surface moyenne 2026 à 520 m²/établissement comme proxy de travail, et détaillé la logique dans l’onglet Méthode. Cette série reste une estimation argumentée, pas un stock administratif national publié sous cette forme.</t>
  </si>
  <si>
    <t>Merci - Et la CAF dans tout ça ? ... C'est bien un service administratif - ils doivent recevoir du public, non ? ... comment compter la CAF dans mon tableau ?</t>
  </si>
  <si>
    <t>Oui, la CAF doit être comptée dans votre tableau, mais pas comme une simple “administration classique”.</t>
  </si>
  <si>
    <t>Comment la classer</t>
  </si>
  <si>
    <t>La bonne lecture est :</t>
  </si>
  <si>
    <t>institutionnellement : les Caf sont des organismes de droit privé investis d’une mission de service public ;</t>
  </si>
  <si>
    <t xml:space="preserve">fonctionnellement / immobilier : ce sont bien des services administratifs recevant du public, avec accueil allocataires, rendez-vous, dépôt de documents, espaces numériques, etc. </t>
  </si>
  <si>
    <t xml:space="preserve">La branche Famille indique disposer d’un réseau de 102 Caf, représenté dans tous les départements. </t>
  </si>
  <si>
    <t>Ce qu’il faut faire dans votre tableau</t>
  </si>
  <si>
    <t>Je vous conseille de créer une ligne dédiée :</t>
  </si>
  <si>
    <t>Sous-segment : CAF / accueils Caf</t>
  </si>
  <si>
    <t>et de la ranger dans :</t>
  </si>
  <si>
    <t>Catégorie chapeau : Culte, Vie civique &amp; Services publics</t>
  </si>
  <si>
    <t>Segment principal : Administrations / services publics</t>
  </si>
  <si>
    <t>Reçoit du public ou mixte ?</t>
  </si>
  <si>
    <t>Pour votre logique sanitaire, la CAF est majoritairement “mixte public / non public” :</t>
  </si>
  <si>
    <t>une partie du site est ouverte au public : accueil, rendez-vous, dépôt de pièces, accompagnement numérique ;</t>
  </si>
  <si>
    <t xml:space="preserve">une autre partie est back-office : traitement des dossiers, services support, management, social interne, etc. </t>
  </si>
  <si>
    <t>Donc, dans votre tableau :</t>
  </si>
  <si>
    <t>siège CAF avec accueil → mixte public / non public</t>
  </si>
  <si>
    <t>antenne ou point d’accueil Caf autonome → reçoit du public</t>
  </si>
  <si>
    <t>site purement back-office → non ouvert au public</t>
  </si>
  <si>
    <t>Ce qu’il faut inclure</t>
  </si>
  <si>
    <t>Pour ne pas surcompter, je vous recommande d’inclure uniquement les sites autonomes disposant de leurs propres sanitaires salariés + public :</t>
  </si>
  <si>
    <t>À inclure</t>
  </si>
  <si>
    <t>sièges de Caf recevant des allocataires ;</t>
  </si>
  <si>
    <t>agences / accueils Caf en propre ;</t>
  </si>
  <si>
    <t xml:space="preserve">permanences Caf autonomes quand elles occupent un site identifiable exploité comme accueil Caf. </t>
  </si>
  <si>
    <t>À exclure</t>
  </si>
  <si>
    <t>France Services où la Caf n’est qu’un partenaire ;</t>
  </si>
  <si>
    <t>points relais Caf tenus par un partenaire ;</t>
  </si>
  <si>
    <t>points numériques partenaires ;</t>
  </si>
  <si>
    <t>permanences hébergées dans un autre équipement déjà compté ailleurs.</t>
  </si>
  <si>
    <t xml:space="preserve">La Caf elle-même explique que beaucoup de points de proximité passent par des partenaires d’accueil, des France Services ou des points relais. Ceux-là doivent plutôt rester comptés dans le site hôte, sinon vous double-comptez les sanitaires. </t>
  </si>
  <si>
    <t>Comment compter la CAF dans le tableau</t>
  </si>
  <si>
    <t>Il y a 2 méthodes possibles.</t>
  </si>
  <si>
    <t>Méthode la plus propre</t>
  </si>
  <si>
    <t>Créer une seule ligne :</t>
  </si>
  <si>
    <t>CAF / accueils Caf autonomes</t>
  </si>
  <si>
    <t>et compter :</t>
  </si>
  <si>
    <t>les 102 Caf de base,</t>
  </si>
  <si>
    <t>plus les accueils Caf autonomes supplémentaires,</t>
  </si>
  <si>
    <t>sans compter les accueils hébergés chez des partenaires.</t>
  </si>
  <si>
    <t>C’est la meilleure méthode pour votre usage sanitaire.</t>
  </si>
  <si>
    <t>Méthode plus fine</t>
  </si>
  <si>
    <t>Créer 2 lignes :</t>
  </si>
  <si>
    <t>1. CAF – sièges et accueils autonomes</t>
  </si>
  <si>
    <t>2. CAF – permanences chez partenaires</t>
  </si>
  <si>
    <t>Mais dans ce cas, je vous conseille de mettre la ligne 2 en 0 dans le total France si les sanitaires sont déjà comptés chez France Services, mairie, CCAS, etc.</t>
  </si>
  <si>
    <t>Mon conseil pratique</t>
  </si>
  <si>
    <t>Pour votre modèle, je ferais simplement :</t>
  </si>
  <si>
    <t>Ligne à ajouter</t>
  </si>
  <si>
    <t>Sous-segment : CAF / accueils Caf autonomes</t>
  </si>
  <si>
    <t>Accueil public : oui / mixte</t>
  </si>
  <si>
    <t>Inclure dans Total France : 1</t>
  </si>
  <si>
    <t>Règle de compte : un site CAF autonome avec sanitaires salariés + public</t>
  </si>
  <si>
    <t>Exclusion : France Services, points relais et accueils partenaires déjà comptés dans le site hôte</t>
  </si>
  <si>
    <t>Point important</t>
  </si>
  <si>
    <t>Ne comptez pas seulement “102 CAF” si votre logique est immobilière/sanitaire.</t>
  </si>
  <si>
    <t xml:space="preserve">Les 102 Caf correspondent au réseau institutionnel, mais il existe aussi de nombreux points d’accueil et permanences ; inversement, beaucoup sont chez des partenaires et ne doivent pas être comptés deux fois. </t>
  </si>
  <si>
    <t>En résumé</t>
  </si>
  <si>
    <t>Oui, la CAF doit être dans votre tableau.</t>
  </si>
  <si>
    <t>Oui, elle reçoit du public.</t>
  </si>
  <si>
    <t>Le bon classement est service administratif mixte, pas simple back-office.</t>
  </si>
  <si>
    <t>La bonne unité de compte est le site CAF autonome avec sanitaires salariés + public.</t>
  </si>
  <si>
    <t>Il faut exclure les accueils hébergés chez partenaires si ces sites sont déjà comptés ailleurs.</t>
  </si>
  <si>
    <t>Y'a t'il 1 risque de doublon de comptage d'établissements dans cette liste (1 ou plusieurs sous-segment contenu dans l'autre - totalement ou partiellement) ...</t>
  </si>
  <si>
    <t>Oui — il y a plusieurs risques de doublon, et même 2 risques majeurs.</t>
  </si>
  <si>
    <t>Risques majeurs</t>
  </si>
  <si>
    <t>1) Points d’accueil numérique ↔ Préfectures / services administratifs</t>
  </si>
  <si>
    <t>C’est le risque le plus clair.</t>
  </si>
  <si>
    <t>Dans la pratique, les points d’accueil numérique sont très souvent situés dans des préfectures ou sous-préfectures.</t>
  </si>
  <si>
    <t>Donc si votre unité de compte est le site physique / l’établissement, il y a un recouvrement quasi total :</t>
  </si>
  <si>
    <t>ligne “Préfectures / services administratifs” = le bâtiment/site,</t>
  </si>
  <si>
    <t>ligne “Points d’accueil numérique” = souvent un espace ou un dispositif à l’intérieur de ce site.</t>
  </si>
  <si>
    <t>Conclusion</t>
  </si>
  <si>
    <t>oui, cette ligne est potentiellement contenue partiellement ou totalement dans l’autre ;</t>
  </si>
  <si>
    <t>si vous comptez les établissements, il faut éviter de compter le point d’accueil numérique comme un établissement autonome quand il est dans une préfecture déjà comptée.</t>
  </si>
  <si>
    <t>2) Maisons France Services / guichets publics ↔ plusieurs autres lignes</t>
  </si>
  <si>
    <t>C’est le 2e gros risque.</t>
  </si>
  <si>
    <t>Beaucoup de France Services sont hébergées :</t>
  </si>
  <si>
    <t>dans une mairie,</t>
  </si>
  <si>
    <t>dans un CCAS/CIAS,</t>
  </si>
  <si>
    <t>dans un siège ou une antenne d’intercommunalité,</t>
  </si>
  <si>
    <t>parfois dans une maison du département ou un autre équipement public.</t>
  </si>
  <si>
    <t>Donc il y a un risque de doublon partiel très fort avec :</t>
  </si>
  <si>
    <t>Mairies / hôtels de ville</t>
  </si>
  <si>
    <t>CCAS / CIAS et guichets sociaux locaux</t>
  </si>
  <si>
    <t>Sièges d’intercommunalité</t>
  </si>
  <si>
    <t>Maisons du département / Maisons de la région / Antennes territoriales</t>
  </si>
  <si>
    <t>La ligne France Services ne doit pas être additionnée “brut de brut” avec ces lignes si l’unité de compte est le site sanitaire.</t>
  </si>
  <si>
    <t>Risques moyens</t>
  </si>
  <si>
    <t>3) CCAS / CIAS et guichets sociaux locaux ↔ Mairies / hôtels de ville</t>
  </si>
  <si>
    <t>Beaucoup de CCAS ne sont pas dans un bâtiment totalement autonome.</t>
  </si>
  <si>
    <t>Ils peuvent être :</t>
  </si>
  <si>
    <t>dans l’hôtel de ville,</t>
  </si>
  <si>
    <t>dans une mairie annexe,</t>
  </si>
  <si>
    <t>dans un bâtiment communal partagé.</t>
  </si>
  <si>
    <t>recouvrement partiel fréquent ;</t>
  </si>
  <si>
    <t>surtout dans les petites et moyennes communes.</t>
  </si>
  <si>
    <t>4) Hôtels du département / Hôtel de région &amp; services administratifs territoriaux ↔ Maisons du département / Maisons de la région / Antennes territoriales</t>
  </si>
  <si>
    <t>Ici, le risque dépend de votre définition exacte de la ligne “services administratifs territoriaux”.</t>
  </si>
  <si>
    <t>Si cette ligne comprend :</t>
  </si>
  <si>
    <t>le siège,</t>
  </si>
  <si>
    <t>et des services déconcentrés / antennes,</t>
  </si>
  <si>
    <t>alors vous pouvez recroiser avec :</t>
  </si>
  <si>
    <t>Maisons du département</t>
  </si>
  <si>
    <t>Maisons de la région</t>
  </si>
  <si>
    <t>antennes territoriales</t>
  </si>
  <si>
    <t>risque partiel ;</t>
  </si>
  <si>
    <t>surtout si la ligne “Hôtels du département / Hôtel de région &amp; services administratifs territoriaux” est définie trop largement.</t>
  </si>
  <si>
    <t>Risques faibles à modérés</t>
  </si>
  <si>
    <t>5) Sièges d’intercommunalité ↔ Maisons France Services</t>
  </si>
  <si>
    <t>Certaines France Services sont portées par des intercommunalités et peuvent être :</t>
  </si>
  <si>
    <t>dans le même site,</t>
  </si>
  <si>
    <t>ou dans un site annexe.</t>
  </si>
  <si>
    <t>Donc :</t>
  </si>
  <si>
    <t>pas un doublon systématique,</t>
  </si>
  <si>
    <t>mais fréquent localement.</t>
  </si>
  <si>
    <t>6) Centres des finances publiques avec guichet ↔ Maisons France Services</t>
  </si>
  <si>
    <t>Le risque est plus faible.</t>
  </si>
  <si>
    <t>La DGFiP est souvent partenaire de France Services sans que le centre des finances publiques soit physiquement le même site.</t>
  </si>
  <si>
    <t>Mais si vous comptez certains accueils fiscaux localisés dans un site partagé, il peut y avoir un recouvrement ponctuel.</t>
  </si>
  <si>
    <t>Risques faibles / quasi nuls</t>
  </si>
  <si>
    <t>7) Rectorats / DSDEN</t>
  </si>
  <si>
    <t>Je vois peu de risque de doublon structurel avec les autres lignes de votre liste.</t>
  </si>
  <si>
    <t>Ce sont des sites assez spécifiques.</t>
  </si>
  <si>
    <t>Réponse simple à votre question</t>
  </si>
  <si>
    <t>Oui, il y a bien un risque de doublon.</t>
  </si>
  <si>
    <t>Et même :</t>
  </si>
  <si>
    <t>un risque fort</t>
  </si>
  <si>
    <t>sur plusieurs sous-segments</t>
  </si>
  <si>
    <t>avec parfois un sous-segment partiellement contenu dans un autre, voire quasi totalement contenu.</t>
  </si>
  <si>
    <t>Les cas les plus sensibles sont :</t>
  </si>
  <si>
    <t>1. Points d’accueil numérique dans Préfectures / services administratifs</t>
  </si>
  <si>
    <t>2. Maisons France Services dans :</t>
  </si>
  <si>
    <t>Mairies</t>
  </si>
  <si>
    <t>CCAS / CIAS</t>
  </si>
  <si>
    <t>Maisons du département / de la région</t>
  </si>
  <si>
    <t>Ma recommandation pour éviter le doublon</t>
  </si>
  <si>
    <t>Adoptez une règle unique :</t>
  </si>
  <si>
    <t>Compter uniquement le site physique autonome disposant de ses propres sanitaires</t>
  </si>
  <si>
    <t>si un service est hébergé dans un autre site déjà compté, ne pas le recompter comme établissement autonome ;</t>
  </si>
  <si>
    <t>si le service a son propre site autonome, le compter.</t>
  </si>
  <si>
    <t>Comment je traiterais votre tableau</t>
  </si>
  <si>
    <t>À garder comme lignes autonomes</t>
  </si>
  <si>
    <t>Préfectures / services administratifs</t>
  </si>
  <si>
    <t>Rectorats / DSDEN</t>
  </si>
  <si>
    <t>Centres des finances publiques avec guichet</t>
  </si>
  <si>
    <t>Maisons du département / de la région / antennes territoriales</t>
  </si>
  <si>
    <t>CCAS / CIAS seulement quand autonomes</t>
  </si>
  <si>
    <t>À traiter avec prudence</t>
  </si>
  <si>
    <t>Maisons France Services / Guichets publics</t>
  </si>
  <si>
    <t>Points d’accueil numérique</t>
  </si>
  <si>
    <t>Ces deux lignes devraient idéalement être comptées :</t>
  </si>
  <si>
    <t>seulement si site autonome, ou</t>
  </si>
  <si>
    <t>conservées dans une logique analytique, mais exclues du total France si elles sont hébergées ailleurs.</t>
  </si>
  <si>
    <t>Peux-tu, selon le raisonnement que tu as sur la CAF, me présenter juste 1 ligne "CAF / Accueils Caf autonomes" en Excel, avec toutes colonnes complétées ?</t>
  </si>
  <si>
    <t>Hypothèse de comptage retenue :</t>
  </si>
  <si>
    <t>inclus : sites Caf autonomes recevant physiquement du public, avec sanitaires salariés + public ;</t>
  </si>
  <si>
    <t>exclus : accueils Caf hébergés chez partenaires (France Services, points relais, points d’accès numériques partenaires), pour éviter le doublon avec le site hôte.</t>
  </si>
  <si>
    <t>Point d’ancrage principal :</t>
  </si>
  <si>
    <t xml:space="preserve">la branche Famille indique un réseau de 101 Caf au plan national ; j’ai ensuite estimé un parc plus large de sites autonomes d’accueil en m’appuyant sur des exemples départementaux montrant plusieurs sites propres par Caf, comme la Manche avec 7 sites et l’Hérault avec 13 points d’accueil Caf. </t>
  </si>
  <si>
    <t>La série proposée reste une estimation documentée, pas une série administrative officielle publiée année par année.</t>
  </si>
  <si>
    <t>Gares ferroviaires et stations : Merci de revoir ton estimation - seuls les établissements disposant de sanitaires (public + membre associatifs) m'intéresse ... Merci de me présenter un Excel en sortie ...</t>
  </si>
  <si>
    <t xml:space="preserve">J’ai repris la ligne en ne gardant que les gares/stations recevant du public où des sanitaires existent très probablement, avec une interprétation public et/ou personnel. Je n’ai pas repris littéralement “membres associatifs”, car ce critère n’est pas pertinent pour une gare. La série reste une estimation argumentée, pas un stock officiel publié tel quel. SNCF Gares &amp; Connexions exploite 3 000 gares, mais sa FAQ précise bien qu’il faut vérifier gare par gare si le service toilettes existe, donc le parc équipé est nécessairement un sous-ensemble. En appui, j’ai utilisé les ancres officielles suivantes : en Île-de-France, 87 gares étaient déjà dotées de toilettes début 2018, 33 de plus devaient être équipées cette même année, avec un objectif de 209 gares équipées d’ici 2024 ; le réseau francilien comptait alors 315 gares au total ; et l’open data SNCF indique par ailleurs que 1 075 gares sont concernées par le décret LOM sur le stationnement vélo sécurisé, ce qui fournit un bon socle minimal pour les gares les plus équipées. </t>
  </si>
  <si>
    <t>Le point central que j’ai retenu dans le fichier est :</t>
  </si>
  <si>
    <t>2024 : 1 270 établissements</t>
  </si>
  <si>
    <t>2026 : 1 300 établissements</t>
  </si>
  <si>
    <t>Surface moyenne 2026 : 4 200 m²/établissement</t>
  </si>
  <si>
    <t>avec une trajectoire légèrement haussière jusqu’en 2030, mais volontairement prudente. J’ai aussi mis un onglet Méthode_sources dans le fichier pour détailler le raisonnement et les URLs sources.</t>
  </si>
  <si>
    <t>Enfance, enseignement et jeunesse</t>
  </si>
  <si>
    <t>Enfance / jeunesse</t>
  </si>
  <si>
    <t>Centres de loisirs sans hébergement</t>
  </si>
  <si>
    <t>Oui — en ordre de grandeur, je vous proposerais ceci pour la France entière, en parlant des ALSH / centres aérés / centres de loisirs sans hébergement :</t>
  </si>
  <si>
    <t>Estimation d’ordre de grandeur</t>
  </si>
  <si>
    <t>≈ 12 000</t>
  </si>
  <si>
    <t>≈ 20 000</t>
  </si>
  <si>
    <t>≈ 32 000</t>
  </si>
  <si>
    <t>2030 (prévision centrale)</t>
  </si>
  <si>
    <t>Avec une lecture un peu plus prudente :</t>
  </si>
  <si>
    <t>2000 : 10 000 à 15 000</t>
  </si>
  <si>
    <t>2010 : 18 000 à 22 000</t>
  </si>
  <si>
    <t>2020 : environ 32 000</t>
  </si>
  <si>
    <t>2025 : environ 32 000</t>
  </si>
  <si>
    <t xml:space="preserve">2030 : 30 000 à 34 000, centre de fourchette ≈ 32 000 </t>
  </si>
  <si>
    <t>Pourquoi cette estimation tient la route :</t>
  </si>
  <si>
    <t xml:space="preserve">En base récente, l’INJEP donne 32 000 lieux d’accueil en 2020-2021 pour les accueils de loisirs, et encore 32 000 lieux d’accueil en 2024-2025. Cela suggère un plateau national autour de 32 000 depuis le début des années 2020. </t>
  </si>
  <si>
    <t xml:space="preserve">Pour remonter dans le temps, on a un très bon repère sur le périscolaire : en 2015-2016, l’INJEP indique 28 600 lieux d’accueil périscolaire. Et un article de synthèse reprenant l’étude INJEP précise qu’en 2014-2015 on était à 23 200 lieux, contre environ 18 000 en 2012-2013, ce dernier chiffre étant déductible des 900 000 places pour un nombre moyen de 50 places par structure. </t>
  </si>
  <si>
    <t xml:space="preserve">Du coup, pour 2010, un ordre de grandeur autour de 20 000 est cohérent : on est avant l’explosion liée à la réforme des rythmes éducatifs de 2013-2015, mais déjà dans une phase de montée en charge engagée entre 2008 et 2013. </t>
  </si>
  <si>
    <t xml:space="preserve">Pour 2000, je serais plus prudent : je n’ai pas trouvé de série publique homogène donnant un chiffre national directement comparable. En revanche, une étude sur le milieu rural indique que la moitié des accueils observés ont été créés après 2000 et que la croissance s’est accélérée entre 2000 et 2010, ce qui va bien dans le sens d’un parc nettement plus faible en 2000 qu’en 2010 et très inférieur au niveau actuel. D’où ma fourchette 10 000 à 15 000, avec un point central à 12 000. </t>
  </si>
  <si>
    <t xml:space="preserve">Pour 2030, je n’ai pas trouvé de prévision publique officielle. Mon estimation ≈ 32 000 est donc une projection tendancielle, fondée sur la stabilité observée entre 2020-2021 et 2024-2025, plutôt qu’une prévision administrative publiée. </t>
  </si>
  <si>
    <t>En version très simple pour un rapport :</t>
  </si>
  <si>
    <t xml:space="preserve">2000 : ~12 000 ; 2010 : ~20 000 ; 2020 : ~32 000 ; 2025 : ~32 000 ; 2030 : ~32 000 (tendanciel). </t>
  </si>
  <si>
    <t>Je peux aussi vous transformer ça en tableau “rapport/Excel-ready” avec trois colonnes : valeur, statut (officiel ou estimé), justification.</t>
  </si>
  <si>
    <t>Enseignement supérieur</t>
  </si>
  <si>
    <t>Universités</t>
  </si>
  <si>
    <t>Je vais repartir sur une base plus nette ici, car pour les universités il existe normalement des séries officielles plus stables que pour les ALSH. Je cherche d’abord le décompte institutionnel exact par année, puis je ferai une projection 2030 séparée du constat historique.</t>
  </si>
  <si>
    <t>J’ai la base juridique actuelle sous la main. Le point délicat maintenant, ce sont les années intermédiaires, parce que le nombre dépend des fusions, scissions et changements de statut (par exemple certains établissements sortent de la catégorie “université” pour devenir “grand établissement”).</t>
  </si>
  <si>
    <t>Réflexion durant 6m 47s</t>
  </si>
  <si>
    <t>Oui. En prenant “universités” au sens juridique du code de l’éducation (et non l’ensemble des établissements du supérieur), j’estimerais le tableau suivant pour la France :</t>
  </si>
  <si>
    <t>Nombre d’universités</t>
  </si>
  <si>
    <t>≈ 71</t>
  </si>
  <si>
    <t>≈ 42</t>
  </si>
  <si>
    <t>Lecture rapide :</t>
  </si>
  <si>
    <t xml:space="preserve">2000 : 82. C’est le décompte direct du décret de classification du 15 mars 2000, qui énumère les universités une par une. </t>
  </si>
  <si>
    <t xml:space="preserve">2005 : 81. La principale rupture entre 2000 et 2005 est le passage de Paris-IX Dauphine au statut de grand établissement par le décret du 26 février 2004 ; on retire donc 1 université au total de 2000. </t>
  </si>
  <si>
    <t xml:space="preserve">2010 : 79. À la baisse liée à Dauphine s’ajoute la fusion de Strasbourg-I, II et III en une seule Université de Strasbourg en 2009, soit un effet net de –2. On passe donc de 81 à 79. </t>
  </si>
  <si>
    <t xml:space="preserve">2015 : ≈ 71. Le meilleur point solide trouvé est la version en vigueur au 1er janvier 2016 de l’article D711-1, qui énumère 71 universités. Ce niveau est cohérent avec les grandes fusions antérieures : Aix-Marseille en 2012, Université de Lorraine en 2012 sous statut de grand établissement, ainsi que les réorganisations Bordeaux / Guyane / Montpellier intervenues avant 2016. Pour un “repère 2015”, je retiens donc environ 71. </t>
  </si>
  <si>
    <t xml:space="preserve">2020 : 59. La version en vigueur du 1er janvier 2020 au 1er janvier 2021 de l’article D711-1 permet un décompte direct de 59 universités. </t>
  </si>
  <si>
    <t xml:space="preserve">2025 : 45. La version en vigueur depuis le 1er mars 2025 du même article permet un décompte direct de 45 universités. </t>
  </si>
  <si>
    <t>Pour 2030, je n’ai pas trouvé de prévision publique officielle du nombre d’universités. La publication officielle de projections du ministère porte sur les effectifs étudiants, pas sur le nombre d’établissements ; elle projette un supérieur autour de 3,1 millions d’inscrits à l’horizon 2030-2033. Du coup, 42 est une projection tendancielle personnelle, fondée sur la poursuite d’une consolidation plus lente qu’entre 2015 et 2025 ; je mettrais une fourchette raisonnable à 40–45.</t>
  </si>
  <si>
    <t>Santé et médico-social</t>
  </si>
  <si>
    <t>Médico-social</t>
  </si>
  <si>
    <t>Établissements médico-éducatifs</t>
  </si>
  <si>
    <t xml:space="preserve">Oui, mais avec une précaution importante : pour les “établissements médico-éducatifs”, la série publique la plus exploitable est celle de la DREES sur les établissements et services médico-sociaux pour enfants et adolescents handicapés. Les millésimes d’observation disponibles sont surtout 2001, 2006, 2010, 2014, 2018 et 2022 ; pour 2000, 2005, 2015, 2020, 2025 et 2030, il faut donc faire des estimations à partir de ces points. </t>
  </si>
  <si>
    <t>Je vous propose cet ordre de grandeur pour la France :</t>
  </si>
  <si>
    <t>Nombre d’établissements / structures</t>
  </si>
  <si>
    <t>≈ 2 900</t>
  </si>
  <si>
    <t>≈ 3 300</t>
  </si>
  <si>
    <t>≈ 3 600</t>
  </si>
  <si>
    <t>≈ 3 900</t>
  </si>
  <si>
    <t>≈ 4 100</t>
  </si>
  <si>
    <t>≈ 3 900 à 4 000</t>
  </si>
  <si>
    <t>≈ 3 700 à 3 900</t>
  </si>
  <si>
    <t>Base documentaire utilisée :</t>
  </si>
  <si>
    <t xml:space="preserve">2001 : la DREES donne 2 892 établissements et services médico-sociaux pour enfants et adolescents handicapés au 31 décembre 2001. </t>
  </si>
  <si>
    <t xml:space="preserve">2014 : la DREES indique 3 760 structures pour enfants en France fin 2014. </t>
  </si>
  <si>
    <t xml:space="preserve">2018 : la DREES donne 4 170 structures fin 2018. </t>
  </si>
  <si>
    <t xml:space="preserve">2022 : la DREES donne 4 030 structures fin 2022. </t>
  </si>
  <si>
    <t xml:space="preserve">Pour 2005, j’ai interpolé entre le point officiel de 2001 (2 892) et le niveau reconstitué à partir de la DREES pour 2006, soit environ 3 370 structures déduit de la hausse de +19,6 % entre 2006 et 2022 mentionnée dans la fiche DREES 2024. Cela donne un ordre de grandeur autour de 3 300 pour 2005. </t>
  </si>
  <si>
    <t xml:space="preserve">Pour 2010, j’ai retenu ≈ 3 600 par interpolation entre 2006 (~3 370 reconstitué) et 2014 (3 760 observé). Pour 2015, j’ai retenu ≈ 3 900 par interpolation entre 2014 (3 760) et 2018 (4 170). Pour 2020, j’ai retenu ≈ 4 100 à mi-chemin entre 2018 (4 170) et 2022 (4 030). </t>
  </si>
  <si>
    <t xml:space="preserve">Pour 2025, je n’ai pas trouvé de publication officielle plus récente que 2022 donnant un nouveau total national de structures sur ce champ précis ; la projection la plus prudente est donc un niveau quasi stable ou légèrement en retrait, soit ~3 900 à 4 000. Pour 2030, il n’existe pas à ma connaissance de prévision publique officielle du nombre de structures ; en prolongeant la légère inflexion observée entre 2018 et 2022, on obtient une fourchette centrale ~3 700 à 3 900. C’est une projection tendancielle, pas une prévision administrative. </t>
  </si>
  <si>
    <t>En version “rapport”, je résumerais ainsi : 2000 ~2,9k ; 2005 ~3,3k ; 2010 ~3,6k ; 2015 ~3,9k ; 2020 ~4,1k ; 2025 ~3,9–4,0k ; 2030 ~3,7–3,9k.</t>
  </si>
  <si>
    <t>Santé hospitalière</t>
  </si>
  <si>
    <t>Hôpitaux privés</t>
  </si>
  <si>
    <t>Ce que je peux affirmer solidement</t>
  </si>
  <si>
    <t>Les points d’ancrage officiels DREES que j’ai retrouvés sont :</t>
  </si>
  <si>
    <t xml:space="preserve">2016 : 686 établissements privés à but non lucratif = 21 CLCC + 665 autres. </t>
  </si>
  <si>
    <t xml:space="preserve">2018 : 682 établissements privés à but non lucratif. </t>
  </si>
  <si>
    <t xml:space="preserve">2019 : 671 établissements privés à but non lucratif. </t>
  </si>
  <si>
    <t xml:space="preserve">2022 : 658 établissements privés à but non lucratif. </t>
  </si>
  <si>
    <t xml:space="preserve">2023 : 657 établissements privés à but non lucratif dans le Panorama 2025, avec une estimation administrative antérieure à 656 avant révision. </t>
  </si>
  <si>
    <t xml:space="preserve">2024 : 655 établissements privés à but non lucratif. </t>
  </si>
  <si>
    <t>Comment j’ai approché les années demandées</t>
  </si>
  <si>
    <t xml:space="preserve">Je n’ai pas retrouvé, dans ce tour, de série officielle homogène déjà publiée donnant directement 2000, 2005, 2010, 2015 et 2020 pour exactement cette catégorie. J’ai donc utilisé la tendance DREES observable : baisse lente du nombre d’établissements privés à but non lucratif sur longue période, plus régulière depuis les années 2010, sous l’effet des restructurations, regroupements et rationalisations. La DREES souligne d’ailleurs que le nombre de structures diminue lentement sous l’effet des réorganisations, et que certaines comparaisons longues doivent être maniées avec prudence en raison des changements de champ et de nomenclature. </t>
  </si>
  <si>
    <t>Lecture rapide</t>
  </si>
  <si>
    <t>La catégorie est globalement en érosion lente, pas en chute brutale.</t>
  </si>
  <si>
    <t xml:space="preserve">Entre 2018 et 2024, on passe de 682 à 655, soit une baisse d’environ 4 % sur 6 ans. </t>
  </si>
  <si>
    <t xml:space="preserve">Une projection à 2030 autour de 645 est donc raisonnable, mais elle reste une projection, pas un chiffre officiel publié. </t>
  </si>
  <si>
    <t>Point méthodo important</t>
  </si>
  <si>
    <t>Avant 2016, il faut être prudent :</t>
  </si>
  <si>
    <t>la catégorie a changé de vocabulaire au fil du temps (privé non lucratif, PSPH, puis Espic pour une partie du champ) ;</t>
  </si>
  <si>
    <t>la DREES rappelle aussi que certaines éditions plus anciennes ne sont pas parfaitement comparables aux plus récentes.</t>
  </si>
  <si>
    <t>Hôpitaux universitaires / CHU</t>
  </si>
  <si>
    <t>Il faut distinguer deux périmètres, car les sources publiques ne comptent pas toujours la même chose :</t>
  </si>
  <si>
    <t>1. périmètre large “établissements hospitaliers universitaires / CHR-CHU” : la liste réglementaire des centres hospitaliers régionaux liée au dispositif hospitalo-universitaire ;</t>
  </si>
  <si>
    <t>2. périmètre strict “CHU/CHRU” : les établissements explicitement comptés comme CHU dans certains rapports et communications.</t>
  </si>
  <si>
    <t>Réponse la plus robuste</t>
  </si>
  <si>
    <t>Pour un besoin de nombre d’établissements, le périmètre le plus solide juridiquement est le périmètre large CHR-CHU. Sur cette base, on obtient :</t>
  </si>
  <si>
    <t xml:space="preserve">2030 : pas de prévision officielle publiée ; scénario central = 33 si aucun nouvel établissement n’est créé ou fusionné. </t>
  </si>
  <si>
    <t>Pourquoi ce chiffrage</t>
  </si>
  <si>
    <t xml:space="preserve">Au 10 septembre 2009, le Code de la santé publique liste déjà 32 centres hospitaliers régionaux dans cette catégorie, dont Metz-Thionville, Orléans et La Réunion. Cette base permet d’ancrer les années 2000, 2005, 2010, 2015 et 2020 à 32 établissements en l’absence de changement réglementaire identifié avant 2025. </t>
  </si>
  <si>
    <t xml:space="preserve">En 2025, un décret crée le centre hospitalier régional de Guyane, puis l’ARS Guyane indique que le CHU de Guyane a été officiellement créé le 16 juin 2025. Dans la liste réglementaire actuelle, la Guyane apparaît en “10° bis”, ce qui porte le total à 33 établissements dans ce périmètre large. </t>
  </si>
  <si>
    <t>Si vous vouliez le périmètre strict “CHU” seulement</t>
  </si>
  <si>
    <t>Là, les sources sont moins homogènes :</t>
  </si>
  <si>
    <t xml:space="preserve">un rapport de 2003 indique 29 CHU en France ; </t>
  </si>
  <si>
    <t xml:space="preserve">le CHU de La Réunion se présente comme le 30e CHU de France en 2012 ; </t>
  </si>
  <si>
    <t xml:space="preserve">le CHU d’Orléans affirme être devenu le 33e CHU de France le 12 octobre 2023 ; </t>
  </si>
  <si>
    <t xml:space="preserve">pour la Guyane, les communications publiques de 2025-2026 ne sont pas parfaitement alignées sur le rang ordinal. </t>
  </si>
  <si>
    <t>Donc, pour une série historique propre, je vous recommande d’utiliser le périmètre large “établissements hospitaliers universitaires / CHR-CHU” : 32, 32, 32, 32, 32, 33, puis 33 en projection 2030.</t>
  </si>
  <si>
    <t>Santé spécialisée</t>
  </si>
  <si>
    <t>Centres de psychiatrie</t>
  </si>
  <si>
    <t xml:space="preserve">Voici la lecture la plus solide que j’ai pu reconstituer pour la France en prenant comme référence les établissements de santé ayant une activité/autorisation en psychiatrie. Il y a toutefois une rupture de série entre les sources anciennes DREES/SAE et les chiffres récents ATIH/PMSI, donc il faut lire 2005–2019 et 2020–2023 avec prudence. </t>
  </si>
  <si>
    <t>Nombre d’établissements</t>
  </si>
  <si>
    <t>Statut</t>
  </si>
  <si>
    <t>pas de chiffre officiel strictement comparable trouvé</t>
  </si>
  <si>
    <t xml:space="preserve">en 2000, la DREES publie surtout des secteurs (830 secteurs de psychiatrie générale, 320 de psychiatrie infanto-juvénile), pas un total national directement comparable d’établissements </t>
  </si>
  <si>
    <t xml:space="preserve">officiel DREES, total des établissements de psychiatrie (378 exclusifs + 243 non exclusifs) </t>
  </si>
  <si>
    <t>≈ 510</t>
  </si>
  <si>
    <t xml:space="preserve">approximation lue sur le graphique officiel DREES 2008–2019 </t>
  </si>
  <si>
    <t>≈ 490</t>
  </si>
  <si>
    <t xml:space="preserve">approximation lue sur le même graphique officiel </t>
  </si>
  <si>
    <t xml:space="preserve">officiel ATIH </t>
  </si>
  <si>
    <t>pas encore publié comme série officielle consolidée ; ordre de grandeur ≈ 590–600 si l’on prolonge la tendance 2020–2023</t>
  </si>
  <si>
    <t>estimation</t>
  </si>
  <si>
    <t>≈ 620–630</t>
  </si>
  <si>
    <t>projection simple, non officielle</t>
  </si>
  <si>
    <t>Repères officiels utiles autour de cette série :</t>
  </si>
  <si>
    <t xml:space="preserve">la DREES indique que le nombre d’entités juridiques déclarant une prise en charge hospitalière en psychiatrie passe de 518 en 2008 à 475 en 2019. </t>
  </si>
  <si>
    <t xml:space="preserve">l’ATIH donne ensuite 555 en 2020, 560 en 2021, 567 en 2022 et 577 en 2023. </t>
  </si>
  <si>
    <t>En clair :</t>
  </si>
  <si>
    <t>sur le long terme ancien, on est plutôt sur une baisse / concentration des structures ;</t>
  </si>
  <si>
    <t>depuis 2020, la série ATIH montre au contraire une remontée du nombre d’établissements recensés, ce qui peut tenir à la fois à des évolutions réelles et à des différences de champ/méthode.</t>
  </si>
  <si>
    <t>Culture, patrimoine et événementiel</t>
  </si>
  <si>
    <t>Culture / spectacle</t>
  </si>
  <si>
    <t>Cinémas</t>
  </si>
  <si>
    <t xml:space="preserve">Voici la série la plus solide que j’ai pu reconstituer à partir des publications du CNC. Pour 2025 et 2030, il n’existe pas à ce stade de chiffre officiel publié par le CNC sur le nombre d’établissements actifs ; je donne donc une estimation clairement signalée. </t>
  </si>
  <si>
    <t>Établissements de cinéma en France</t>
  </si>
  <si>
    <t>officiel</t>
  </si>
  <si>
    <t>~2 050 à 2 055</t>
  </si>
  <si>
    <t>estimation prudente</t>
  </si>
  <si>
    <t>~2 060 à 2 070</t>
  </si>
  <si>
    <t xml:space="preserve">Les points d’appui officiels sont les suivants : en 2000, le CNC indique 5 110 salles regroupées dans 2 159 établissements. En 2005, la publication Géographie du cinéma donne 5 373 écrans actifs dans 2 149 établissements. En 2010, le bilan du CNC précise 5 478 salles regroupées dans 2 050 établissements. En 2015, la fiche Le cinéma en France en 2015 affiche 2 033 établissements. En 2020, les principaux chiffres du cinéma donnent 2 041 établissements. En 2024, les chiffres clés du CNC donnent 2 052 établissements actifs. </t>
  </si>
  <si>
    <t xml:space="preserve">Pour 2025, je n’ai pas trouvé de publication CNC donnant encore un total annuel d’établissements actifs pour l’année 2025 ; les pages statistiques consultées restent centrées sur la géographie 2024, mise à jour en septembre 2025. J’en déduis qu’un ordre de grandeur raisonnable pour 2025 est quasi stable autour de 2 050–2 055 établissements, compte tenu de la stabilité observée entre 2020 et 2024. Cette valeur est une inférence, pas un chiffre publié. </t>
  </si>
  <si>
    <t xml:space="preserve">Pour 2030, il n’y a pas non plus de prévision officielle du CNC repérée dans les sources consultées. En prolongeant simplement la tendance récente 2015-2024, très stable autour de 2 030–2 050 établissements, une fourchette plausible est 2 060 à 2 070 établissements en 2030. Là encore, c’est une projection maison, non une prévision institutionnelle. </t>
  </si>
  <si>
    <t>En lecture rapide : le parc d’établissements a légèrement reculé entre 2000 et 2015, puis s’est globalement stabilisé autour de 2 040–2 050 depuis la seconde moitié des années 2010.</t>
  </si>
  <si>
    <t>Salles polyvalentes / salles des fêtes</t>
  </si>
  <si>
    <t>Oui. Voici une estimation de marché défendable pour les salles polyvalentes / salles des fêtes / salles communales non spécialisées en France, avec une méthode explicite.</t>
  </si>
  <si>
    <t>Point clé préalable : il ne s’agit pas d’une statistique administrative officielle unique. Je propose un modèle d’estimation du stock fondé sur trois ancrages publics :</t>
  </si>
  <si>
    <t>1. le nombre de communes en France ;</t>
  </si>
  <si>
    <t>2. le fait que les salles polyvalentes sont un équipement très répandu du bloc communal, surtout dans les petites communes ;</t>
  </si>
  <si>
    <t xml:space="preserve">3. le fait qu’elles existent aussi comme catégorie nationale dans les nomenclatures d’équipements sportifs/culturels. </t>
  </si>
  <si>
    <t>Estimation centrale</t>
  </si>
  <si>
    <t>Fourchette prudente</t>
  </si>
  <si>
    <t>27 500 – 32 000</t>
  </si>
  <si>
    <t>27 400 – 31 900</t>
  </si>
  <si>
    <t>26 200 – 30 500</t>
  </si>
  <si>
    <t>25 500 – 30 500</t>
  </si>
  <si>
    <t>2030 (prévision)</t>
  </si>
  <si>
    <t>25 000 – 30 500</t>
  </si>
  <si>
    <t>Méthode</t>
  </si>
  <si>
    <t>1) Définition retenue</t>
  </si>
  <si>
    <t xml:space="preserve">J’inclus les salles des fêtes, salles polyvalentes, salles communales non spécialisées, à gestion communale ou intercommunale, utilisées pour des événements festifs, associatifs, culturels, réunions, repas, parfois sport léger. J’exclus les salles purement privées de mariage/réception, hôtels, restaurants, centres de congrès et salles strictement spécialisées. Cette catégorie existe bien dans les sources publiques : l’Insee l’emploie dans sa typologie d’équipements sportifs sous la forme “salles polyvalentes, salles des fêtes ou autres salles non spécialisées”. </t>
  </si>
  <si>
    <t>2) Ancrage “présence locale”</t>
  </si>
  <si>
    <t xml:space="preserve">En 2025, une synthèse AMF reprise par ARTCENA indique que les salles polyvalentes sont les équipements culturels les plus présents sur le territoire des communes et intercommunalités répondantes, à 73 %. La même synthèse précise que les petites communes s’appuient “essentiellement” sur une salle polyvalente, la bibliothèque et leur patrimoine. J’utilise donc 73 % comme ancrage central de taux d’équipement minimal des collectivités locales. </t>
  </si>
  <si>
    <t>3) Ancrage “nombre de communes”</t>
  </si>
  <si>
    <t xml:space="preserve">Pour le nombre de communes, je prends les références publiques suivantes : 36 682 au 1er janvier 2010, 36 658 au 1er janvier 2015, 34 968 au 1er janvier 2020, et 34 875 au 1er janvier 2025. La baisse du nombre de communes traduit surtout les fusions administratives ; elle n’implique pas une baisse équivalente du nombre de bâtiments, car les communes nouvelles conservent souvent plusieurs équipements de proximité. </t>
  </si>
  <si>
    <t>4) Formule d’estimation</t>
  </si>
  <si>
    <t>J’utilise la formule suivante :</t>
  </si>
  <si>
    <t>Nombre de salles estimé = nombre de communes × taux d’équipement × coefficient multi-salles</t>
  </si>
  <si>
    <t>avec :</t>
  </si>
  <si>
    <t>taux d’équipement central = 73 % ;</t>
  </si>
  <si>
    <t>coefficient multi-salles central = 1,10.</t>
  </si>
  <si>
    <t xml:space="preserve">Pourquoi 1,10 ? Parce qu’un simple “une salle par collectivité équipée” sous-estime le stock réel : les villes moyennes/grandes disposent souvent de plusieurs salles de quartier ou maisons de quartier, et certaines intercommunalités gèrent aussi des équipements dédiés. En sens inverse, toutes les collectivités répondantes à l’enquête AMF ne sont pas des communes seules. Ce 1,10 sert donc de correctif modéré, volontairement conservateur. Le calcul 2025 donne ainsi : 34 875 × 0,73 × 1,10 ≈ 28 000. Ce niveau est cohérent avec le fait que les salles polyvalentes sont particulièrement fréquentes en zone rurale ; dans le Grand Est, l’Insee relevait par exemple 2 280 salles polyvalentes, avec 6,6 pour 10 000 habitants en rural contre 2,3 en urbain. </t>
  </si>
  <si>
    <t>5) Backcast 2010–2025</t>
  </si>
  <si>
    <t xml:space="preserve">Pour 2010, 2015, 2020 et 2025, j’applique la même logique en faisant varier surtout le nombre de communes et très peu le coefficient multi-salles, car les fusions administratives ont réduit le nombre de communes plus vite que le parc bâti local. Cela conduit à une quasi-stabilité du stock sur longue période, avec une légère érosion. C’est, à mon sens, plus réaliste qu’une baisse mécanique au même rythme que le nombre de communes. </t>
  </si>
  <si>
    <t>6) Prévision 2030</t>
  </si>
  <si>
    <t>Pour 2030, je prolonge une hypothèse prudente :</t>
  </si>
  <si>
    <t>poursuite modérée des regroupements communaux ;</t>
  </si>
  <si>
    <t>peu de créations nettes de nouvelles salles ;</t>
  </si>
  <si>
    <t>davantage de rénovations / mutualisations que de croissance du parc.</t>
  </si>
  <si>
    <t xml:space="preserve">J’aboutis donc à une prévision centrale quasi stable à légèrement baissière, autour de 27 800 salles en 2030. C’est cohérent avec la tendance récente de baisse graduelle du nombre de communes, mais aussi avec le maintien d’un maillage de proximité très fort dans les petites communes. </t>
  </si>
  <si>
    <t>Lecture business</t>
  </si>
  <si>
    <t>Pour un marché B2G/B2B orienté rénovation, maintenance, mobilier, chauffage, sécurité, accessibilité, équipements scéniques, cuisine, acoustique, digitalisation des réservations, j’utiliserais en pratique :</t>
  </si>
  <si>
    <t>marché adressable central 2025 : ~28 000 sites</t>
  </si>
  <si>
    <t>borne basse prudente : ~25 500</t>
  </si>
  <si>
    <t>borne haute prudente : ~30 500</t>
  </si>
  <si>
    <t>Théâtres</t>
  </si>
  <si>
    <t>Oui. Voici une estimation de marché défendable du nombre de théâtres / établissements théâtraux en France sur 2000–2030, avec une méthode explicite et un niveau d’incertitude.</t>
  </si>
  <si>
    <t>Résultat central estimé</t>
  </si>
  <si>
    <t>Fourchette défendable</t>
  </si>
  <si>
    <t>800–1 250</t>
  </si>
  <si>
    <t>élevée</t>
  </si>
  <si>
    <t>880–1 320</t>
  </si>
  <si>
    <t>980–1 380</t>
  </si>
  <si>
    <t>moyenne à élevée</t>
  </si>
  <si>
    <t>1 070–1 430</t>
  </si>
  <si>
    <t>moyenne</t>
  </si>
  <si>
    <t>1 050–1 400</t>
  </si>
  <si>
    <t>1 120–1 460</t>
  </si>
  <si>
    <t>1 100–1 620</t>
  </si>
  <si>
    <t>J’ai construit l’estimation en 3 étages.</t>
  </si>
  <si>
    <t>1) Définition du périmètre</t>
  </si>
  <si>
    <t xml:space="preserve">J’entends ici par “établissements théâtraux” les lieux recevant du public dont l’activité théâtrale est structurante ou dominante : théâtres nationaux, CDN, scènes nationales, scènes conventionnées d’intérêt national à dominante spectacle vivant, théâtres de ville, théâtres privés, et une partie des lieux pluridisciplinaires où le théâtre est un usage central. Ce périmètre est cohérent avec la Base des lieux et équipements culturels du ministère, qui distingue notamment : théâtre national, CDN, scène conventionnée, scène nationale, théâtre de ville, théâtre privé. Cette base alimente aussi la BPE de l’Insee. </t>
  </si>
  <si>
    <t>2) Ancrages “bas” et “haut”</t>
  </si>
  <si>
    <t xml:space="preserve">Le plancher solide du marché vient des réseaux publics labellisés : 38 CDN, 78 scènes nationales et 141 scènes conventionnées d’intérêt national. Par ailleurs, la Philharmonie rappelle que le spectacle vivant compte environ 350 lieux labellisés au total, tous domaines confondus, ce qui confirme que le seul noyau institutionnel théâtre/spectacle vivant représente déjà quelques centaines de lieux. </t>
  </si>
  <si>
    <t xml:space="preserve">Le plafond macro est beaucoup plus large : la base des lieux culturels recense 32 251 lieux culturels toutes catégories confondues aujourd’hui, tandis que le secteur du spectacle vivant comptait 26 126 employeurs en 2023, chiffre très supérieur au seul nombre de lieux car il inclut producteurs, compagnies, prestataires et autres structures non exploitantes de salles. Cela montre qu’un stock de l’ordre de 1 000 à 1 500 lieux théâtraux est plausible, alors que des chiffres à 300 seraient trop bas et des chiffres à 5 000 trop hauts. </t>
  </si>
  <si>
    <t>3) Profil temporel 2000–2030</t>
  </si>
  <si>
    <t>La série est ensuite modélisée ainsi :</t>
  </si>
  <si>
    <t>2000–2015 : progression lente du parc, portée par la décentralisation culturelle, la densification des réseaux et la montée des lieux municipaux / intercommunaux.</t>
  </si>
  <si>
    <t>2015–2025 : quasi-stabilité avec légère hausse nette ; la crise Covid a fortement touché l’activité et la fréquentation, mais beaucoup moins le stock de lieux que le flux de spectacles ou de billets.</t>
  </si>
  <si>
    <t>2025–2030 : croissance modérée, marché mûr, contrainte budgétaire publique, mais maintien d’un maillage dense.</t>
  </si>
  <si>
    <t xml:space="preserve">Cette forme est cohérente avec le fait que la BPE n’est diffusée qu’à partir de 2007 et que l’Insee rappelle que les comparaisons intermillésimes doivent être faites avec prudence à cause des changements de nomenclature, de sources et de qualité. </t>
  </si>
  <si>
    <t>Pourquoi ces chiffres sont “défendables”</t>
  </si>
  <si>
    <t>Le point central 2025 = 1 280 repose sur une triangulation raisonnable :</t>
  </si>
  <si>
    <t>≈260 lieux publics labellisés théâtre/spectacle vivant déjà identifiables en dur ;</t>
  </si>
  <si>
    <t>+ un stock important de théâtres de ville et de lieux municipaux non labellisés ;</t>
  </si>
  <si>
    <t>+ le segment des théâtres privés ;</t>
  </si>
  <si>
    <t>+ une fraction des lieux pluridisciplinaires où le théâtre est une activité structurante.</t>
  </si>
  <si>
    <t xml:space="preserve">C’est une inférence, pas un chiffre officiel publié tel quel. Mais elle est compatible avec les nomenclatures du ministère et avec l’ordre de grandeur des réseaux labellisés. </t>
  </si>
  <si>
    <t>2000 / 2005 : élevé</t>
  </si>
  <si>
    <t xml:space="preserve">Avant la première diffusion BPE de 2007, on reconstruit surtout par rétropolation. </t>
  </si>
  <si>
    <t>2010 / 2015 / 2020 / 2025 : moyen à moyen-élevé</t>
  </si>
  <si>
    <t xml:space="preserve">Les sources sont meilleures, mais pas publiées comme une série nationale unique “nombre total de théâtres”, et l’Insee avertit sur la comparabilité. </t>
  </si>
  <si>
    <t>2030 : moyen à élevé</t>
  </si>
  <si>
    <t>C’est une prévision structurelle, pas une projection officielle. Je suppose une hausse faible d’environ 0,8 % par an entre 2025 et 2030, soit un marché plutôt mature.</t>
  </si>
  <si>
    <t>Recommandation d’usage</t>
  </si>
  <si>
    <t>Pour une note de marché, je conseillerais de présenter cela comme :</t>
  </si>
  <si>
    <t>France – établissements théâtraux : ~1 300 en 2025, fourchette défendable 1 100–1 450 ; historique estimé ~1 000 en 2000 ; projection 2030 ~1 330.</t>
  </si>
  <si>
    <t>C’est la formulation la plus robuste sans prétendre à une précision administrative que les sources ouvertes ne fournissent pas directement.</t>
  </si>
  <si>
    <t>Je peux aussi vous le transformer en slide prête à coller dans un deck, avec un mini-graphe et une note méthodologique en bas de page.</t>
  </si>
  <si>
    <t>Documentation</t>
  </si>
  <si>
    <t>Bibliothèques / médiathèques</t>
  </si>
  <si>
    <t>e vais m’appuyer sur les sources du ministère de la Culture et de l’Observatoire de la lecture publique, puis interpoler seulement là où il n’existe pas de millésime homogène. L’enjeu ici est surtout de garder une définition stable entre bibliothèques centrales, annexes et points d’accès.</t>
  </si>
  <si>
    <t>J’ai déjà un repère solide : le réseau de lecture publique reste grosso modo dans une fourchette de 15 500 à 16 500 lieux depuis les années 2010. Je cherche maintenant si un point officiel ancien permet d’ancrer 2000/2005 plutôt que de simplement extrapoler.</t>
  </si>
  <si>
    <t>Réflexion durant 1m 13s</t>
  </si>
  <si>
    <t xml:space="preserve">Oui, mais avec une grosse précaution de définition : pour les bibliothèques / médiathèques, la série la plus robuste est celle des “lieux de lecture publique” du ministère de la Culture, c’est-à-dire l’ensemble bibliothèques + médiathèques + points d’accès au livre. Les libellés varient selon les années, ce qui rend les comparaisons imparfaites. </t>
  </si>
  <si>
    <t>En ordre de grandeur France entière, je vous proposerais donc :</t>
  </si>
  <si>
    <t>Estimation du nombre d’établissements</t>
  </si>
  <si>
    <t>≈ 16 500</t>
  </si>
  <si>
    <t>≈ 16 400</t>
  </si>
  <si>
    <t>≈ 16 300</t>
  </si>
  <si>
    <t>≈ 16 000</t>
  </si>
  <si>
    <t>≈ 15 500</t>
  </si>
  <si>
    <t>≈ 15 000 à 15 500</t>
  </si>
  <si>
    <t xml:space="preserve">Le meilleur point d’ancrage ancien que j’ai trouvé est 2011, avec une estimation officielle d’environ 7 100 bibliothèques et 9 200 points d’accès au livre, soit 16 300 lieux de lecture publique. Le rapport précise aussi qu’avant 2009 la statistique reposait sur un dispositif plus partiel, donc les années antérieures sont moins homogènes. </t>
  </si>
  <si>
    <t xml:space="preserve">Pour le milieu des années 2010, plusieurs sources du ministère convergent vers un peu plus de 16 000 à 16 500 lieux : une enquête nationale sur les usages en 2016 parle de “plus de 16 000 lieux de lecture” avec 7 000 bibliothèques et 9 000 points d’accès au livre, tandis que le plan national “Ouvrir plus, ouvrir mieux” indique 16 500 lieux en 2015, dont 7 700 bibliothèques et 8 800 points d’accès. Cela justifie bien un repère 2015 ≈ 16 500. </t>
  </si>
  <si>
    <t xml:space="preserve">Pour la période récente, l’Atlas 2024 du ministère donne 15 500 bibliothèques en 2022, et la page de l’Observatoire indique aujourd’hui plus de 15 500 établissements de lecture publique régulièrement interrogés. Une autre page ministérielle de 2025 parle également des 15 500 bibliothèques publiques françaises. Cela soutient une valeur 2025 ≈ 15 500. </t>
  </si>
  <si>
    <t xml:space="preserve">Du coup, pour 2020, j’utiliserais ≈ 16 000 comme point intermédiaire prudent entre le niveau d’environ 16 500 observé au milieu des années 2010 et les 15 500 relevés pour 2022-2025. C’est une estimation, pas un chiffre officiel millésimé. </t>
  </si>
  <si>
    <t xml:space="preserve">Pour 2000 et 2005, je n’ai pas trouvé dans les sources publiques consultées de total national directement comparable et proprement millésimé. Comme l’enquête nationale existe depuis la fin des années 1960 mais a été profondément refondue à partir de 2009, le plus honnête est de traiter ces années comme des reconstructions d’ordre de grandeur autour d’un réseau déjà très dense, plutôt proche de 16 000–16 500 que de 10 000 ou 20 000. </t>
  </si>
  <si>
    <t xml:space="preserve">Pour 2030, je n’ai pas trouvé de prévision publique officielle du nombre d’établissements. En tendance simple, le réseau semble se tasser légèrement, avec probablement une poursuite de la rationalisation entre petites annexes, points lecture et médiathèques plus structurées. J’utiliserais donc une fourchette 15 000 à 15 500, avec un point central à 15 200. Cette partie est bien une projection, pas une donnée publiée. </t>
  </si>
  <si>
    <t>Pour un tableau de rapport, je vous conseille cette version compacte :</t>
  </si>
  <si>
    <t>2000 : ~16 500</t>
  </si>
  <si>
    <t>2005 : ~16 400</t>
  </si>
  <si>
    <t>2010 : ~16 300</t>
  </si>
  <si>
    <t>2015 : ~16 500</t>
  </si>
  <si>
    <t>2020 : ~16 000</t>
  </si>
  <si>
    <t>2025 : ~15 500</t>
  </si>
  <si>
    <t>2030 : ~15 000–15 500</t>
  </si>
  <si>
    <t>Je peux aussi vous le reformater en tableau “observé / estimé / source / niveau de fiabilité” pour l’intégrer directement à votre volumétrie.</t>
  </si>
  <si>
    <t>Expositions / salons</t>
  </si>
  <si>
    <t>Foires / salons</t>
  </si>
  <si>
    <t>Je vérifie s’il existe une série fiable sur les sites / établissements de foires et salons, car les sources publiques mesurent souvent plutôt le nombre d’événements que le nombre de lieux.</t>
  </si>
  <si>
    <t>Pour “Foires / salons”, il faut distinguer deux choses :</t>
  </si>
  <si>
    <t>le nombre de manifestations (foires et salons organisés),</t>
  </si>
  <si>
    <t>le nombre d’établissements / lieux qui les accueillent.</t>
  </si>
  <si>
    <t xml:space="preserve">Or les sources publiques françaises documentent beaucoup mieux les événements que les établissements. Pour ton usage ERP, la mesure la plus proche est donc le nombre de sites événementiels / parcs d’exposition / centres d’exposition et de congrès capables d’accueillir des foires et salons. UNIMEV indique qu’en France on compte plus de 200 sites événementiels en 2024, tandis qu’une source sectorielle plus ancienne liée à UNIMEV mentionnait 228 sites au global. </t>
  </si>
  <si>
    <t>Réponse exploitable pour ton tableau</t>
  </si>
  <si>
    <t>Nombre d’établissements en France</t>
  </si>
  <si>
    <t>Nature de la donnée</t>
  </si>
  <si>
    <t>≈ 210</t>
  </si>
  <si>
    <t>≈ 215</t>
  </si>
  <si>
    <t>≈ 220</t>
  </si>
  <si>
    <t>≈ 225</t>
  </si>
  <si>
    <t>≈ 230</t>
  </si>
  <si>
    <t>estimation prudente / quasi-ancrée</t>
  </si>
  <si>
    <t>≈ 235</t>
  </si>
  <si>
    <t>projection tendancielle</t>
  </si>
  <si>
    <t>Pourquoi je te donne une estimation et pas un chiffre “officiel” exact</t>
  </si>
  <si>
    <t>Je n’ai pas trouvé, dans les publications publiques consultées, de série annuelle officielle 2000–2025 donnant le nombre d’établissements “foires / salons” au sens ERP. Les sources récentes d’UNIMEV donnent surtout :</t>
  </si>
  <si>
    <t>l’activité des salons,</t>
  </si>
  <si>
    <t>les visites, exposants et surfaces,</t>
  </si>
  <si>
    <t xml:space="preserve">et, pour les lieux, un ordre de grandeur de plus de 200 sites événementiels en France. </t>
  </si>
  <si>
    <t xml:space="preserve">Autrement dit, pour 2025, la meilleure lecture raisonnable est un parc national autour de 230 établissements au sens large des lieux accueillant foires et salons. C’est cohérent avec la mention plus ancienne de 228 sites au global dans la sphère UNIMEV / France Congrès Événements. </t>
  </si>
  <si>
    <t>Lecture de tendance</t>
  </si>
  <si>
    <t>La dynamique de long terme paraît faiblement croissante, puis plutôt stable :</t>
  </si>
  <si>
    <t>la France dispose d’un réseau ancien de parcs d’exposition et centres de congrès ;</t>
  </si>
  <si>
    <t>le secteur évolue davantage par rénovation, agrandissement et polyvalence des sites que par création massive de nouveaux établissements ;</t>
  </si>
  <si>
    <t xml:space="preserve">la crise Covid a fortement touché l’activité en 2020, mais cela n’implique pas forcément une chute équivalente du nombre de lieux. UNIMEV décrit d’ailleurs une reprise de l’activité post-Covid et des lieux de plus en plus polyvalents. </t>
  </si>
  <si>
    <t>Prévision 2030</t>
  </si>
  <si>
    <t>Une projection à 235 en 2030 me paraît la plus prudente :</t>
  </si>
  <si>
    <t>pas de boom attendu sur le nombre de sites,</t>
  </si>
  <si>
    <t>mais un léger effet de modernisation / recomposition du parc,</t>
  </si>
  <si>
    <t xml:space="preserve">avec davantage de transformations de lieux existants que de créations nettes massives. Cette projection est donc faiblement dynamique et de fiabilité moyenne-faible. </t>
  </si>
  <si>
    <t>Niveau de fiabilité</t>
  </si>
  <si>
    <t>2025 : moyen</t>
  </si>
  <si>
    <t>2000–2020 : faible à moyen-faible</t>
  </si>
  <si>
    <t>2030 : faible</t>
  </si>
  <si>
    <t xml:space="preserve">La faiblesse vient du fait que les sources disponibles mesurent surtout le marché événementiel et non une nomenclature exhaustive des établissements ERP “foires / salons” année par année. </t>
  </si>
  <si>
    <t>Recommandation pour ton Excel</t>
  </si>
  <si>
    <t>Pour éviter une fausse précision, je te conseille de renseigner cette ligne comme :</t>
  </si>
  <si>
    <t>Sous-catégorie : Foires / salons</t>
  </si>
  <si>
    <t>Unité de compte : sites événementiels / parcs d’exposition / centres d’exposition accueillant foires et salons</t>
  </si>
  <si>
    <t>Type de donnée : estimation sectorielle encadrée</t>
  </si>
  <si>
    <t>Fiabilité : moyenne-faible</t>
  </si>
  <si>
    <t xml:space="preserve">Note : absence de série publique annuelle exhaustive sur le nombre de lieux ; ordre de grandeur fondé sur les publications UNIMEV et sources sectorielles associées. </t>
  </si>
  <si>
    <t>Je peux aussi te faire la même chose pour Salles d’exposition, pour éviter le doublon avec Foires / salons.</t>
  </si>
  <si>
    <t>Halls d’exposition</t>
  </si>
  <si>
    <t>Je vérifie les sources publiques les plus solides, car pour les halls d’exposition le résultat dépend beaucoup du périmètre retenu : parcs expo, centres de congrès avec halls, ou tout espace événementiel.</t>
  </si>
  <si>
    <t>J’ai trouvé un point d’ancrage utile : UNIMEV suit en 2024 un panel de 33 parcs des expositions en France, tandis qu’un panorama sectoriel parle d’un peu plus de 200 lieux au total si on additionne centres de congrès, parcs expo et espaces multimodaux. Je continue sur le périmètre strict “parcs / halls d’exposition”.</t>
  </si>
  <si>
    <t>Pour les halls d’exposition, il n’existe pas, à ma connaissance, de série publique officielle annuelle en France sur 2000–2025. Le résultat dépend en plus du périmètre :</t>
  </si>
  <si>
    <t>périmètre strict : seuls les parcs / halls d’exposition permanents ;</t>
  </si>
  <si>
    <t>périmètre large : parcs d’exposition + centres de congrès + sites multimodaux disposant d’espaces d’exposition.</t>
  </si>
  <si>
    <t>Ce qu’on peut appuyer solidement</t>
  </si>
  <si>
    <t xml:space="preserve">Sur le périmètre strict, l’étude Coach Omnium 2018 recense 61 parcs des expositions en France métropolitaine. Elle précise aussi que les créations ont repris depuis 2000. </t>
  </si>
  <si>
    <t>Sur le périmètre large, Coach Omnium indique :</t>
  </si>
  <si>
    <t>175 structures en 2013 ;</t>
  </si>
  <si>
    <t>200 structures en 2018 ;</t>
  </si>
  <si>
    <t xml:space="preserve">un peu plus de 200 structures en 2024. </t>
  </si>
  <si>
    <t xml:space="preserve">UNIMEV, de son côté, publie en 2025 des résultats sur un panel de 33 parcs des expositions et 26 centres de congrès ; ce n’est pas un décompte exhaustif national, mais cela confirme le noyau des grands sites suivis par la profession. </t>
  </si>
  <si>
    <t>Réponse utilisable</t>
  </si>
  <si>
    <t>Le plus prudent est donc de présenter des estimations centrales et de bien les marquer comme telles.</t>
  </si>
  <si>
    <t>Parcs / halls d’exposition permanents en France</t>
  </si>
  <si>
    <t>61 à 63</t>
  </si>
  <si>
    <t>estimation centrale</t>
  </si>
  <si>
    <t>62 à 65</t>
  </si>
  <si>
    <t>prévision prudente</t>
  </si>
  <si>
    <t>Lecture</t>
  </si>
  <si>
    <t xml:space="preserve">2018 = 61 est le point d’ancrage le plus robuste sur le périmètre strict. </t>
  </si>
  <si>
    <t xml:space="preserve">Comme les sources parlent d’une relance des créations depuis 2000, sans vague massive de fermetures ensuite, une trajectoire lente et quasi stable autour de 55 → 61/63 est la plus défendable. </t>
  </si>
  <si>
    <t xml:space="preserve">Pour 2030, je ne vois pas de prévision officielle consolidée ; la projection 62–65 correspond à un scénario tendanciel de faible croissance, cohérent avec les projets récents et le fait que l’offre nationale totale reste à un peu plus de 200 lieux au sens large en 2024. </t>
  </si>
  <si>
    <t>Si vous avez besoin d’un tableau pour une étude ou un business plan, je vous conseille d’écrire l’intitulé comme ceci :</t>
  </si>
  <si>
    <t>“Parcs / halls d’exposition permanents en France — estimation”</t>
  </si>
  <si>
    <t>et non pas “nombre officiel”, car ce n’est pas une série administrative publiée année par année.</t>
  </si>
  <si>
    <t>Je peux aussi vous faire la même chose en format tableau CSV/Excel-ready avec une colonne “fiabilité” et “source”.</t>
  </si>
  <si>
    <t>Musées / patrimoine</t>
  </si>
  <si>
    <t>Musées</t>
  </si>
  <si>
    <t>Je vérifie les séries officielles françaises pour éviter de mélanger “musées”, “Musées de France” et “établissements/implantations”, puis je vous donne une série exploitable avec les éventuelles ruptures de définition.</t>
  </si>
  <si>
    <t>J’ai trouvé la bonne définition officielle à utiliser : les “Musées de France”. Le point délicat est que l’appellation n’existe que depuis 2002, donc 2000 n’est pas strictement comparable aux années suivantes.</t>
  </si>
  <si>
    <t xml:space="preserve">Pour les musées en France, la série la plus cohérente est celle des “Musées de France”. Il faut toutefois noter une vraie limite : l’appellation n’existe que depuis la loi du 4 janvier 2002, donc 2000 n’est pas strictement comparable aux années suivantes. Les sources publiques facilement accessibles donnent surtout des points d’ancrage, pas une série complète propre pour chacune des années que vous demandez. </t>
  </si>
  <si>
    <t>Voici la meilleure lecture exploitable :</t>
  </si>
  <si>
    <t>non comparable</t>
  </si>
  <si>
    <t xml:space="preserve">l’appellation “Musée de France” n’existait pas encore </t>
  </si>
  <si>
    <t>≈ 1 200</t>
  </si>
  <si>
    <t xml:space="preserve">estimation cohérente avec la mise en place du label en 2002-2003 et le fait que le réseau est aujourd’hui décrit comme comptant “plus de 1 200” musées </t>
  </si>
  <si>
    <t xml:space="preserve">estimation ; le réseau est décrit comme stable autour de 1 200 institutions </t>
  </si>
  <si>
    <t>≈ 1 240</t>
  </si>
  <si>
    <t xml:space="preserve">estimation appuyée par la série Insee visible en extrait, qui donne 1 242 en 2013 et 2014 </t>
  </si>
  <si>
    <t>≈ 1 220</t>
  </si>
  <si>
    <t xml:space="preserve">estimation ; le ministère publie encore ensuite des ordres de grandeur à 1 220–1 222 </t>
  </si>
  <si>
    <t xml:space="preserve">officiel : “Liste officielle des 1.218 musées de France” au 24/12/2025 </t>
  </si>
  <si>
    <t>≈ 1 210–1 230</t>
  </si>
  <si>
    <t xml:space="preserve">projection simple, non officielle, en prolongeant la stabilité récente autour de 1 200–1 220 </t>
  </si>
  <si>
    <t>En bref, la tendance la plus défendable est :</t>
  </si>
  <si>
    <t>pas de vraie comparabilité en 2000 ;</t>
  </si>
  <si>
    <t>ensuite un réseau très stable autour de 1 200 à 1 240 musées ;</t>
  </si>
  <si>
    <t>et 1 218 comme point officiel récent pour fin 2025.</t>
  </si>
  <si>
    <t>Événementiel temporaire</t>
  </si>
  <si>
    <t>Chapiteaux / tentes / structures</t>
  </si>
  <si>
    <t>Oui — mais il faut vraiment le formuler comme une estimation de marché, pas comme un comptage administratif officiel.</t>
  </si>
  <si>
    <t xml:space="preserve">Le point clé est le suivant : les CTS (chapiteaux, tentes et structures) sont une catégorie réglementaire d’ERP temporaires ou itinérants, soumise à registre de sécurité et à autorisation locale d’ouverture, pas un parc national publié chaque année comme les cinémas. Il n’existe donc pas, dans les sources publiques repérées, de série officielle “nombre d’établissements CTS en France” pour 2000, 2005, 2010, 2015, 2020 ou 2025. </t>
  </si>
  <si>
    <t xml:space="preserve">Du coup, la meilleure façon de répondre est d’utiliser un proxy économique : le nombre d’opérateurs / établissements spécialisés dans la location, fabrication, montage ou exploitation de chapiteaux / tentes / structures événementielles en France. Ce proxy n’est pas parfait, mais il est plus réaliste que de prétendre disposer d’un stock administratif officiel inexistant. La NAF la plus proche côté économie est souvent 77.39Z (“location et location-bail d’autres machines, équipements et biens matériels n.c.a.”), même si elle est plus large que le seul univers chapiteaux/tentes. </t>
  </si>
  <si>
    <t xml:space="preserve">Autre borne utile : le marché n’est pas minuscule. Des sources privées de marché recensent déjà 57 plus grandes entreprises du segment “chapiteaux et tentes pour réceptions”, ce qui implique un univers total supérieur à ce noyau de leaders ; les annuaires professionnels nationaux montrent aussi un tissu diffus de prestataires spécialisés. Ces sources ne donnent pas une statistique publique officielle, mais elles confirment qu’on est plutôt sur un marché de quelques centaines d’acteurs, pas de quelques dizaines. </t>
  </si>
  <si>
    <t>Estimation France — chapiteaux / tentes / structures</t>
  </si>
  <si>
    <t>Proxy utilisé : établissements/opérateurs spécialisés du secteur en France</t>
  </si>
  <si>
    <t>(pas : nombre officiel d’ERP CTS autorisés une année donnée)</t>
  </si>
  <si>
    <t>150–210</t>
  </si>
  <si>
    <t>180–240</t>
  </si>
  <si>
    <t>210–280</t>
  </si>
  <si>
    <t>245–325</t>
  </si>
  <si>
    <t>200–270</t>
  </si>
  <si>
    <t>270–350</t>
  </si>
  <si>
    <t>290–390</t>
  </si>
  <si>
    <t>Comment j’arrive à ces ordres de grandeur</t>
  </si>
  <si>
    <t>J’ai retenu une trajectoire compatible avec trois faits observables :</t>
  </si>
  <si>
    <t xml:space="preserve">1. pas de stock administratif national homogène, car les CTS relèvent d’un régime de sécurité et d’autorisations locales ; </t>
  </si>
  <si>
    <t xml:space="preserve">2. un écosystème économique réel et assez dispersé, avec un noyau déjà important de grands acteurs et de nombreux opérateurs régionaux ; </t>
  </si>
  <si>
    <t xml:space="preserve">3. une dynamique plausible de hausse structurelle jusqu’en 2015, choc Covid autour de 2020 pour l’événementiel, puis rebond ensuite, ce qui colle aussi au rôle persistant du chapiteau dans la diffusion culturelle et événementielle. </t>
  </si>
  <si>
    <t>2000–2015 : montée progressive du nombre d’acteurs spécialisés, avec professionnalisation de l’événementiel et diversification des usages.</t>
  </si>
  <si>
    <t>2020 : creux conjoncturel crédible lié à la crise sanitaire.</t>
  </si>
  <si>
    <t>2025 : retour au-dessus du niveau pré-Covid.</t>
  </si>
  <si>
    <t>2030 : poursuite modérée de la croissance, sans explosion.</t>
  </si>
  <si>
    <t>Ce que je vous conseille d’utiliser</t>
  </si>
  <si>
    <t>Si vous avez besoin d’un chiffre pour une note ou un benchmark, j’utiliserais la série suivante, en la présentant comme “estimation du nombre d’opérateurs/établissements spécialisés en chapiteaux-tentes-structures en France” :</t>
  </si>
  <si>
    <t>2000 : 180</t>
  </si>
  <si>
    <t>2005 : 210</t>
  </si>
  <si>
    <t>2010 : 245</t>
  </si>
  <si>
    <t>2015 : 285</t>
  </si>
  <si>
    <t>2020 : 235</t>
  </si>
  <si>
    <t>2025 : 310</t>
  </si>
  <si>
    <t>2030 : 340</t>
  </si>
  <si>
    <t>Commerce, restauration et loisirs</t>
  </si>
  <si>
    <t>Commerce</t>
  </si>
  <si>
    <t>Centres commerciaux / malls</t>
  </si>
  <si>
    <t>Je vérifie les sources sectorielles les plus solides pour reconstituer une série cohérente et distinguer ce qui est officiel de ce qui relève d’une estimation.</t>
  </si>
  <si>
    <t>J’ai trouvé un ancrage robuste autour de 2017–2021 : “plus de 800 sites commerciaux” côté fédération professionnelle. Je cherche maintenant des points antérieurs pour éviter une simple extrapolation linéaire.</t>
  </si>
  <si>
    <t>Réflexion durant 56s</t>
  </si>
  <si>
    <t xml:space="preserve">Je n’ai pas trouvé de série publique officielle annuelle donnant le nombre de centres commerciaux / malls en France pour 2000, 2005, 2010, 2015, 2020, 2025 et 2030. Les meilleures bases publiques que j’ai trouvées donnent surtout des ordres de grandeur selon des définitions différentes : la filière CNCC/FACT parlait d’“plus de 800 centres commerciaux recensés en France” en 2017, puis de “plus de 800 sites commerciaux en France” en 2022, tandis que LSA Expert affiche aujourd’hui une base d’environ 900 à 970 centres/espaces commerciaux selon ses pages marketing. </t>
  </si>
  <si>
    <t xml:space="preserve">Du coup, la réponse la plus défendable est une estimation de marché, pas un chiffre administratif exact. J’utilise ici une définition “large marché” du mall/centre commercial, proche des bases professionnelles françaises, et j’aligne la série sur trois ancrages : 806 centres autour de 2017 (CNCC), &gt;800 sites autour de 2021-2022 (CNCC) et ~930 espaces commerciaux dans la base LSA actuelle, qui paraît plus large que le périmètre strict CNCC. </t>
  </si>
  <si>
    <t>Estimation France – centres commerciaux / malls</t>
  </si>
  <si>
    <t>640 – 740</t>
  </si>
  <si>
    <t>690 – 790</t>
  </si>
  <si>
    <t>740 – 840</t>
  </si>
  <si>
    <t>780 – 870</t>
  </si>
  <si>
    <t>800 – 900</t>
  </si>
  <si>
    <t>850 – 970</t>
  </si>
  <si>
    <t>850 – 990</t>
  </si>
  <si>
    <t>Méthode explicite</t>
  </si>
  <si>
    <t xml:space="preserve">Je pars du constat qu’autour de 2017, la filière indiquait 806 centres commerciaux en France, et encore plus de 800 sites commerciaux en 2022. Cela suggère un parc national déjà mûr, avec croissance lente ensuite. </t>
  </si>
  <si>
    <t xml:space="preserve">Pour 2025, j’utilise comme borne haute le fait que LSA Expert communique sur 900, 930, puis 970 centres/espaces commerciaux selon plusieurs pages récentes. Comme ce vocabulaire semble plus large que le périmètre CNCC pur, je retiens 900 comme estimation centrale 2025 et 970 comme borne haute prudente. </t>
  </si>
  <si>
    <t xml:space="preserve">Pour reconstituer 2000–2015, j’applique un backcast cohérent avec la dynamique du secteur avant saturation : montée du parc pendant les années 2000, ralentissement au milieu des années 2010, puis quasi-stabilisation. Cette hypothèse est cohérente avec le fait que les centres commerciaux représentaient déjà un secteur très structuré et lourd en 2017, avec 36 000 commerces, 126 Md€ de chiffre d’affaires et 3,2 milliards de visites annuelles. </t>
  </si>
  <si>
    <t xml:space="preserve">Pour 2030, je projette une quasi-stabilité plutôt qu’une forte hausse : le marché français est mature, les nouvelles ouvertures existent encore mais la logique dominante est davantage la restructuration / extension / transformation que la création nette massive. Les suivis Procos montrent encore des projets et des ouvertures récentes, mais sur un marché déjà très équipé. </t>
  </si>
  <si>
    <t>Lecture pratique</t>
  </si>
  <si>
    <t>En pratique, selon le périmètre choisi, on peut retenir :</t>
  </si>
  <si>
    <t>définition “filière stricte” : autour de 800–850 sites/centres ;</t>
  </si>
  <si>
    <t xml:space="preserve">définition “base commerciale large” : autour de 900–970 centres/espaces commerciaux en 2025. </t>
  </si>
  <si>
    <t>Donc, pour un market sizing, j’utiliserais :</t>
  </si>
  <si>
    <t>2025 central : 900 établissements</t>
  </si>
  <si>
    <t>borne basse : 850</t>
  </si>
  <si>
    <t xml:space="preserve">borne haute : 970 </t>
  </si>
  <si>
    <t>Limites à garder en tête</t>
  </si>
  <si>
    <t xml:space="preserve">La principale difficulté est la définition : selon les sources, on parle de centres commerciaux, sites commerciaux ou espaces commerciaux, et certaines bases peuvent inclure plus largement retail parks, galeries ou ensembles commerciaux. C’est pour cela que je présente une fourchette plutôt qu’un unique chiffre “officiel”. </t>
  </si>
  <si>
    <t>Je peux aussi vous faire la même chose en version business plan avec TAM / SAM / SOM, ou en séparant centres commerciaux fermés, retail parks, et galeries marchandes d’hypermarchés.</t>
  </si>
  <si>
    <t>Marchés couverts</t>
  </si>
  <si>
    <t>Voici une estimation de marché défendable pour les marchés couverts / halles commerciales en France sur 2000–2030.</t>
  </si>
  <si>
    <t>Définition retenue</t>
  </si>
  <si>
    <t xml:space="preserve">Je compte ici les sites fixes de type marché couvert / halle alimentaire / halle commerçante ouverts au public, en excluant les marchés de plein vent temporaires. C’est important, car il n’existe pas à ma connaissance de série statistique nationale officielle publiée année par année sur ce périmètre ; la nomenclature BPE de l’Insee détaille 209 types d’équipements, mais ne publie pas un agrégat national dédié “marchés couverts”. </t>
  </si>
  <si>
    <t>Incertitude</t>
  </si>
  <si>
    <t>360–620</t>
  </si>
  <si>
    <t>350–600</t>
  </si>
  <si>
    <t>340–580</t>
  </si>
  <si>
    <t>350–590</t>
  </si>
  <si>
    <t>390–640</t>
  </si>
  <si>
    <t>420–680</t>
  </si>
  <si>
    <t>430–760</t>
  </si>
  <si>
    <t>J’ai construit l’estimation par triangulation.</t>
  </si>
  <si>
    <t>1. Plancher patrimonial/documenté</t>
  </si>
  <si>
    <t xml:space="preserve">Un article académique récent indique qu’en France, près de 214 marchés couverts ou halles sont inscrits à l’Inventaire des Monuments historiques, tout en précisant que tous n’ont pas conservé une fonction commerciale. Cela donne un socle minimal solide, mais pas le total des sites en activité. </t>
  </si>
  <si>
    <t>2. Point d’ancrage urbain observable</t>
  </si>
  <si>
    <t xml:space="preserve">Paris compte aujourd’hui 10 marchés couverts. La Ville de Paris rappelle aussi que les marchés couverts y ont connu leur plus grand développement au XIXe siècle, avec “une trentaine”, puis une baisse nette sous l’effet de la concurrence commerciale et de l’évolution des habitudes. Cet exemple suggère une trajectoire nationale plausible : érosion longue, puis stabilisation / revalorisation récente. </t>
  </si>
  <si>
    <t>3. Contrôle de cohérence par rapport à l’ensemble des marchés</t>
  </si>
  <si>
    <t xml:space="preserve">Une synthèse sectorielle couramment reprise avance qu’il existe environ 10 700 marchés en France, en distinguant marchés de plein vent et marchés couverts. Même si cette source n’est pas une statistique publique, elle est utile comme borne macro : les marchés couverts apparaissent comme une petite minorité du total. En retenant un ordre de grandeur de 4 % à 6 % du parc total, on obtient environ 430 à 640 marchés couverts, ce qui est cohérent avec les deux premiers ancrages. </t>
  </si>
  <si>
    <t>Lecture de la série</t>
  </si>
  <si>
    <t>J’interprète donc l’évolution ainsi :</t>
  </si>
  <si>
    <t xml:space="preserve">2000–2010 : légère baisse du parc, liée au recul ancien des halles traditionnelles dans de nombreuses villes. Cette direction est cohérente avec l’exemple parisien. </t>
  </si>
  <si>
    <t xml:space="preserve">2010–2025 : stabilisation puis légère reprise, portée par les rénovations, les projets de redynamisation de centre-ville et le retour en grâce des halles alimentaires. Cette reprise reste modérée, pas massive. </t>
  </si>
  <si>
    <t xml:space="preserve">2025–2030 : projection prudente à +1,5 % par an environ sur le stock, soit un passage de 520 à 560 sites centraux. C’est une prévision de marché, pas une projection officielle. </t>
  </si>
  <si>
    <t>Niveau de confiance</t>
  </si>
  <si>
    <t>Le chiffre le plus utile à retenir pour une note de marché est :</t>
  </si>
  <si>
    <t>France – marchés couverts / halles commerçantes : ~520 sites en 2025, avec une fourchette défendable de 420 à 680.</t>
  </si>
  <si>
    <t>Pourquoi je considère cette estimation comme défendable :</t>
  </si>
  <si>
    <t xml:space="preserve">elle est au-dessus du socle patrimonial documenté de ~214, ce qui est logique puisque beaucoup de halles actives ne sont pas inscrites MH ; </t>
  </si>
  <si>
    <t xml:space="preserve">elle reste très en dessous de l’ensemble des marchés en France ; </t>
  </si>
  <si>
    <t xml:space="preserve">elle est cohérente avec le fait que, dans une très grande ville comme Paris, il n’en existe aujourd’hui que 10, après un recul historique depuis le XIXe siècle. </t>
  </si>
  <si>
    <t>Je peux aussi vous faire la même chose en format “slide de deck”, avec une phrase de synthèse + note méthodo en bas de page.</t>
  </si>
  <si>
    <t>Loisirs</t>
  </si>
  <si>
    <t>Salles de jeux / bowlings / billards</t>
  </si>
  <si>
    <t>Je pars sur des ordres de grandeur prudents, car cette catégorie n’a pas de série administrative propre et homogène comme les universités ou bibliothèques. Je cherche d’abord des points d’ancrage récents séparés pour bowling, billard et salles de jeux, puis je recompose une série cohérente.</t>
  </si>
  <si>
    <t>J’ai maintenant des points d’ancrage récents utilisables : bowling ~340, billard ~570 clubs affiliés ou ~760 clubs/salles référencés, et pour l’arcade/salles de jeux il existe au moins un annuaire sectoriel qui recense 500+ lieux avec borne d’arcade. Le plus propre est donc de présenter une fourchette agrégée plutôt qu’un faux chiffre exact.</t>
  </si>
  <si>
    <t>Réflexion durant 1m 52s</t>
  </si>
  <si>
    <t xml:space="preserve">Oui, mais ici il faut être très prudent : il n’existe pas, à ma connaissance, de série publique homogène “salles de jeux / bowlings / billards” pour la France. Le plus honnête est donc de donner un ordre de grandeur reconstitué, en partant de points d’ancrage récents : environ 341 bowlings recensés en France au 1er avril 2026, 569 clubs affiliés à la Fédération française de billard, et environ 759 clubs/salles de billard dans un annuaire sectoriel ; côté arcade/salles de jeux, un recensement spécialisé indiquait déjà 500+ lieux où jouer à l’arcade, mais ce total inclut aussi des lieux hybrides et crée des recouvrements avec les bowlings et autres loisirs. </t>
  </si>
  <si>
    <t>Du coup, pour éviter le double compte, je vous recommande de retenir un total agrégé de sites spécialisés ou principalement dédiés à ces usages, et non l’addition brute de tous les annuaires. En ordre de grandeur national, je proposerais :</t>
  </si>
  <si>
    <t>Estimation France</t>
  </si>
  <si>
    <t>≈ 1 300</t>
  </si>
  <si>
    <t>≈ 1 250</t>
  </si>
  <si>
    <t>≈ 1 150</t>
  </si>
  <si>
    <t>≈ 1 100</t>
  </si>
  <si>
    <t xml:space="preserve">La logique est la suivante : le bowling semble aujourd’hui tourner autour de 340 établissements, ce qui donne un socle assez stable pour la composante “bowling”. Le billard est plus large si l’on inclut les clubs associatifs et les salles : la borne basse est 569 clubs affiliés, la borne large ~759 clubs/salles référencés. Les salles de jeux/arcade dédiées ont beaucoup décliné depuis les années 1990-2000, puis un segment plus “retrogaming / loisirs indoor hybrides” est réapparu ; il faut toutefois éviter de les additionner mécaniquement, car une partie des bornes et jeux est implantée dans des bowlings, bars ou complexes multi-loisirs. </t>
  </si>
  <si>
    <t xml:space="preserve">En pratique, cela conduit à une série en léger creux autour de 2010-2015, puis à une stabilisation/reprise modérée depuis 2020 grâce aux complexes de loisirs indoor. Je ne vois pas de base solide pour défendre un envol spectaculaire à l’horizon 2030 ; une hypothèse centrale autour de 1 300 sites me paraît plus crédible qu’une hausse forte. </t>
  </si>
  <si>
    <t>Pour un tableau de volumétrie, je vous conseillerais donc de retenir :</t>
  </si>
  <si>
    <t>borne basse : 1 000–1 100</t>
  </si>
  <si>
    <t>borne centrale : 1 250</t>
  </si>
  <si>
    <t xml:space="preserve">borne haute : 1 400–1 500 en 2025, selon que vous incluez seulement les sites spécialisés ou aussi une partie des lieux hybrides. </t>
  </si>
  <si>
    <t>Si vous voulez, je peux vous refaire cela en 3 sous-catégories séparées : bowlings, billards, salles de jeux/arcade, ce qui sera plus propre et plus défendable pour votre modèle.</t>
  </si>
  <si>
    <t>Hébergement et tourisme</t>
  </si>
  <si>
    <t>Hébergement</t>
  </si>
  <si>
    <t>Auberges de jeunesse</t>
  </si>
  <si>
    <t>Pour “Auberges de jeunesse”, il n’existe pas, à ma connaissance, de série publique officielle homogène en France donnant exactement le nombre d’établissements pour 2000, 2005, 2010, 2015, 2020, 2025 et 2030. Les sources disponibles couvrent surtout :</t>
  </si>
  <si>
    <t>le réseau HI France / FUAJ,</t>
  </si>
  <si>
    <t xml:space="preserve">ou, plus large, le secteur auberges de jeunesse + centres internationaux de séjour + centres sportifs / hostels. </t>
  </si>
  <si>
    <t>La meilleure lecture exploitable est donc de distinguer deux périmètres :</t>
  </si>
  <si>
    <t>1. Auberges de jeunesse “strictes”</t>
  </si>
  <si>
    <t xml:space="preserve">2. Auberges collectives au sens large depuis la réforme Atout France de 2022, qui inclut anciennes auberges de jeunesse, hostels, centres internationaux de séjour et parfois refuges de montagne. Atout France parle d’“près de 400 établissements en France” pour cette catégorie élargie. </t>
  </si>
  <si>
    <t>Si tu veux rester sur “auberges de jeunesse” au sens strict</t>
  </si>
  <si>
    <t xml:space="preserve">Le seul ancrage récent très clair que j’ai trouvé est HI France / FUAJ : 80 auberges en France aujourd’hui. </t>
  </si>
  <si>
    <t xml:space="preserve">UNAT donnait en parallèle 132 auberges de jeunesse dans son secteur “jeunes” autour de 2019, mais ce chiffre relève de son périmètre observé, pas nécessairement d’un recensement administratif exhaustif national. </t>
  </si>
  <si>
    <t>Du coup, pour ton tableau, la série la plus prudente serait :</t>
  </si>
  <si>
    <t>Nature</t>
  </si>
  <si>
    <t>≈ 120</t>
  </si>
  <si>
    <t>≈ 125</t>
  </si>
  <si>
    <t>≈ 128</t>
  </si>
  <si>
    <t>≈ 130</t>
  </si>
  <si>
    <t>≈ 115</t>
  </si>
  <si>
    <t>projection prudente</t>
  </si>
  <si>
    <t>Pourquoi cette trajectoire</t>
  </si>
  <si>
    <t>Elle reflète une lecture prudente du marché :</t>
  </si>
  <si>
    <t>un socle historique associatif assez stable,</t>
  </si>
  <si>
    <t>une recomposition vers des catégories plus larges type hostels / auberges collectives,</t>
  </si>
  <si>
    <t>peu d’indices d’une explosion du nombre d’auberges de jeunesse “strictes”.</t>
  </si>
  <si>
    <t xml:space="preserve">En parallèle, Atout France montre que la dynamique récente passe davantage par l’agrégation dans la catégorie auberge collective, qui compte près de 400 établissements au sens large. </t>
  </si>
  <si>
    <t>2025 : moyen-faible</t>
  </si>
  <si>
    <t>2000–2020 : faible</t>
  </si>
  <si>
    <t>Pour éviter une fausse précision, je te conseille de renseigner :</t>
  </si>
  <si>
    <t>Sous-catégorie : Auberges de jeunesse</t>
  </si>
  <si>
    <t>Type de donnée : estimation encadrée</t>
  </si>
  <si>
    <t>Fiabilité : faible à moyen-faible</t>
  </si>
  <si>
    <t>Note : attention au chevauchement avec auberges collectives / centres internationaux de séjour / hostels. Atout France regroupe désormais ces familles dans une catégorie plus large d’environ 400 établissements.</t>
  </si>
  <si>
    <t>Montagne</t>
  </si>
  <si>
    <t>Hôtels-restaurants d’altitude</t>
  </si>
  <si>
    <t>Je cherche un périmètre exploitable et des points d’ancrage chiffrés, car “hôtels-restaurants d’altitude” n’est pas une catégorie statistique standard en France. Je vais m’appuyer sur les sources de la montagne et de l’hôtellerie pour produire une estimation défendable.</t>
  </si>
  <si>
    <t>Je n’ai pas trouvé de série officielle directe. En revanche, j’ai un bon cadre réglementaire : les “hôtels-restaurants d’altitude” font partie des établissements touristiques d’altitude offrant un service de restauration, c’est-à-dire des sites situés sur le domaine skiable. Je cherche maintenant des bornes quantitatives côté stations/domaines pour transformer ça en estimation crédible.</t>
  </si>
  <si>
    <t xml:space="preserve">Là aussi, il n’existe pas de série statistique publique officielle en France pour les “hôtels-restaurants d’altitude”. La catégorie existe bien en droit et en sécurité incendie sous le type OA, et côté environnement on parle d’“établissements touristiques d’altitude offrant un service de restauration”, c’est-à-dire des établissements situés sur le domaine skiable. En revanche, je n’ai pas trouvé de base publique donnant leur nombre année par année. </t>
  </si>
  <si>
    <t>Périmètre le plus exploitable</t>
  </si>
  <si>
    <t>Pour produire une estimation cohérente, le périmètre le plus défendable est :</t>
  </si>
  <si>
    <t xml:space="preserve">restaurants d’altitude + rares hôtels-restaurants d’altitude situés sur ou au bord immédiat du domaine skiable, en excluant l’hôtellerie classique de station en front de rue. Ce choix est cohérent avec la définition réglementaire et avec les usages professionnels du secteur. </t>
  </si>
  <si>
    <t>Points d’ancrage solides</t>
  </si>
  <si>
    <t>On dispose de trois repères utiles :</t>
  </si>
  <si>
    <t xml:space="preserve">la filière ski parle d’environ 250 stations en France aujourd’hui ; </t>
  </si>
  <si>
    <t xml:space="preserve">un guide spécialisé recense 255 restaurants d’altitude sur son site, mais ce total est trop large pour servir directement de stock national officiel, car il inclut aussi des sites de bord de piste / front de neige et au moins un établissement en Suisse ; </t>
  </si>
  <si>
    <t xml:space="preserve">l’ANMSM fédère près d’une centaine de stations et confirme l’importance du parc français de stations de montagne, sans donner le nombre d’établissements OA. </t>
  </si>
  <si>
    <t>En croisant ces repères, une estimation raisonnable pour la France est un stock dans le bas à milieu des 200 établissements aujourd’hui, avec progression graduelle depuis 2000 puis stabilisation récente.</t>
  </si>
  <si>
    <t>Hôtels-restaurants d’altitude en France</t>
  </si>
  <si>
    <t>210 à 220</t>
  </si>
  <si>
    <t>Comment lire ces chiffres</t>
  </si>
  <si>
    <t xml:space="preserve">Le niveau 2025 ~225 est cohérent avec un parc français d’environ 250 stations et avec un guide spécialisé montrant qu’en pratique l’offre de restauration d’altitude se compte en centaines plutôt qu’en dizaines, tout en restant en dessous du total “255” une fois retirés les doublons, les front-de-neige et les établissements hors France. </t>
  </si>
  <si>
    <t xml:space="preserve">La montée entre 2000 et 2015 reflète bien la montée en gamme et la diversification de l’offre en station, régulièrement documentées par les acteurs de la montagne, tandis que la période 2020–2025 paraît plutôt relever d’une stabilisation que d’une explosion du parc. </t>
  </si>
  <si>
    <t xml:space="preserve">Pour 2030, je ne vois aucune prévision officielle publiée. La fourchette 210–220 correspond à un scénario prudent : maintien global de l’offre dans les grands domaines, mais tension sur certaines moyennes altitudes avec les contraintes climatiques et de modèle économique. C’est une inférence, pas une donnée observée. </t>
  </si>
  <si>
    <t>Point de méthode important</t>
  </si>
  <si>
    <t>Si vous cherchez une série pour un dossier financier ou une étude de marché, je vous conseille d’intituler la ligne ainsi :</t>
  </si>
  <si>
    <t>“Établissements touristiques d’altitude avec restauration en France — estimation”</t>
  </si>
  <si>
    <t>plutôt que “nombre officiel d’hôtels-restaurants d’altitude”. Les sources publiques permettent de cadrer le sujet, mais pas de fournir un inventaire administratif historique complet.</t>
  </si>
  <si>
    <t>Refuges de montagne</t>
  </si>
  <si>
    <t>Je cherche une série la plus robuste possible, en privilégiant une définition stable de “refuge de montagne” et des sources françaises officielles ou sectorielles.</t>
  </si>
  <si>
    <t>J’ai un point d’ancrage récent assez solide : la FFCAM gère 120 refuges et cela représente environ 40 % du parc français, soit un ordre de grandeur proche de 300 refuges aujourd’hui. Je cherche maintenant s’il existe une source plus ancienne pour éviter de projeter ce ratio trop brutalement vers 2000–2015.</t>
  </si>
  <si>
    <t xml:space="preserve">Pour les refuges de montagne, il n’existe pas à ma connaissance de série officielle nationale annuelle homogène comme pour les musées ou les hôpitaux. Le rapport public de 2000 explique justement qu’un recensement exhaustif national est difficile, et propose plutôt des listes préfectorales ; ce même rapport donne toutefois un point d’ancrage solide de 261 refuges identifiés sur l’ensemble des massifs français en 2000. </t>
  </si>
  <si>
    <t xml:space="preserve">Le meilleur point d’ancrage récent est le suivant : la FFCAM indique gérer 120 refuges/chalets aujourd’hui, et des sources de presse sectorielle indiquent que cela représente environ 40 % du parc français, soit un ordre de grandeur voisin de 300 établissements en 2025. Cette part de 40 % n’est pas une statistique publique centrale, donc il faut la lire comme un ordre de grandeur plutôt qu’un comptage administratif exact. </t>
  </si>
  <si>
    <t>Voici donc la meilleure série exploitable, en distinguant ce qui est officiel/ancré de ce qui est estimé :</t>
  </si>
  <si>
    <t xml:space="preserve">ancrage public (rapport Inspection générale du tourisme) </t>
  </si>
  <si>
    <t>≈ 270</t>
  </si>
  <si>
    <t>≈ 280</t>
  </si>
  <si>
    <t>≈ 290</t>
  </si>
  <si>
    <t>≈ 295</t>
  </si>
  <si>
    <t>≈ 300</t>
  </si>
  <si>
    <t xml:space="preserve">estimation à partir de 120 refuges FFCAM ≈ 40 % du parc </t>
  </si>
  <si>
    <t>≈ 305 à 315</t>
  </si>
  <si>
    <t xml:space="preserve">Ma lecture de tendance est donc : parc assez stable, avec légère hausse de long terme, d’environ 260 refuges autour de 2000 vers 300 aujourd’hui. La prudence est indispensable, car les définitions peuvent varier selon qu’on inclut uniquement les refuges stricto sensu, ou aussi certains chalets/centres assimilés par les gestionnaires. </t>
  </si>
  <si>
    <t>Culte, vie civique et services publics</t>
  </si>
  <si>
    <t>Administrations / services publics</t>
  </si>
  <si>
    <t>Maisons France Services / guichets publics</t>
  </si>
  <si>
    <t>Je cherche d’abord s’il existe une base publique qui dénombre directement ces locaux, puis je reconstruirai une estimation explicite si ce décompte n’existe pas.</t>
  </si>
  <si>
    <t>Je n’ai pas trouvé de stock national direct des “locaux associatifs ERP”. Je passe donc par deux ancrages publics : nombre d’associations actives et part des associations ayant effectivement accès à des locaux.</t>
  </si>
  <si>
    <t xml:space="preserve">Je n’ai pas trouvé de série publique officielle qui dénombre directement les “locaux associatifs recevant du public” en France, année par année. La catégorie existe bien dans la réglementation ERP — notamment les établissements de type L, qui incluent les salles réservées aux associations — mais cela ne fournit pas un stock national publié. </t>
  </si>
  <si>
    <t>Du coup, la réponse la plus solide est une estimation de marché. Je la construis à partir de trois ancrages :</t>
  </si>
  <si>
    <t>le nombre d’associations actives en France ;</t>
  </si>
  <si>
    <t>le fait que l’Insee suit explicitement la part des associations bénéficiant de locaux ou terrains ;</t>
  </si>
  <si>
    <t xml:space="preserve">puis un coefficient pour isoler les locaux réellement assimilables à des ERP associatifs. </t>
  </si>
  <si>
    <t>Estimation France – locaux associatifs recevant du public</t>
  </si>
  <si>
    <t>240 000 – 340 000</t>
  </si>
  <si>
    <t>270 000 – 375 000</t>
  </si>
  <si>
    <t>285 000 – 395 000</t>
  </si>
  <si>
    <t>295 000 – 410 000</t>
  </si>
  <si>
    <t>305 000 – 425 000</t>
  </si>
  <si>
    <t>310 000 – 440 000</t>
  </si>
  <si>
    <t>315 000 – 455 000</t>
  </si>
  <si>
    <t>Je réévalue la série en remontant la généalogie complète du dispositif : maisons de services publics, relais, MSAP, puis France Services. L’idée est d’estimer non pas le label, mais les lieux physiques d’accueil polyvalent du public assurant cette mission.</t>
  </si>
  <si>
    <t>J’ai trouvé le point de bascule méthodologique : en 2020, si on parle d’“équivalent France Services”, il faut compter les MSAP encore en service, pas seulement les premières maisons labellisées France Services. Ça change sensiblement la série.</t>
  </si>
  <si>
    <t>Réflexion durant 58s</t>
  </si>
  <si>
    <t>Oui — vous avez raison sur le fond.</t>
  </si>
  <si>
    <t xml:space="preserve">Avant les Maisons France Services, le public était déjà accueilli dans des lieux physiques de proximité, mais sous des formes successives et moins homogènes : maisons de services publics, puis Relais services publics (RSP), puis Maisons de services au public (MSAP), avant la montée en gamme en France Services à partir de 2019-2020. La loi du 12 avril 2000 a bien prévu les maisons de services publics, et le rapport de l’IGA de 2006 décrit les RSP comme des guichets polyvalents déjà présents “dans certains départements sous des dénominations diverses”. </t>
  </si>
  <si>
    <t>Du coup, la bonne série n’est pas “combien de France Services existaient”, mais plutôt : combien de lieux physiques mutualisés d’accueil administratif de proximité jouaient un rôle équivalent à celui des France Services. Sur cette base, je réévalue la série ainsi :</t>
  </si>
  <si>
    <t>Estimation du nombre de guichets publics de proximité “équivalents France Services”</t>
  </si>
  <si>
    <t>Base</t>
  </si>
  <si>
    <t>point d’ancrage officiel MSAP</t>
  </si>
  <si>
    <t>équivalent fonctionnel officiel/proche officiel</t>
  </si>
  <si>
    <t>officiel / quasi officiel France Services</t>
  </si>
  <si>
    <t>projection</t>
  </si>
  <si>
    <t>Pourquoi cette série est plus juste</t>
  </si>
  <si>
    <t xml:space="preserve">2000 ne doit pas être mis à zéro. La loi de 2000 crée juridiquement les maisons de services publics. En pratique, le réseau était encore peu dense et hétérogène, avec des appellations variées selon les territoires. Une estimation à 80 sites me paraît défendable pour un réseau naissant, encore limité mais réel. </t>
  </si>
  <si>
    <t xml:space="preserve">2005 correspond à un moment où les besoins sont clairement identifiés et où l’État prépare la structuration du modèle RSP. Le rapport de 2006 explique que la formule existe déjà dans certains départements avant sa formalisation nationale, puis envisage un maillage de grande ampleur. Cela plaide pour un réseau déjà présent mais encore restreint ; 160 me paraît un ordre de grandeur crédible. </t>
  </si>
  <si>
    <t xml:space="preserve">2010 doit être au-dessus de 2005, car les RSP existent alors depuis la circulaire du 2 avril 2006 et constituent des guichets polyvalents d’accueil, d’orientation et d’aide aux usagers. Comme je n’ai pas trouvé de comptage national consolidé pour 2010, je retiens 260 comme estimation centrale, cohérente avec une montée en charge progressive avant la phase MSAP. </t>
  </si>
  <si>
    <t xml:space="preserve">2015 est le premier vrai point d’ancrage robuste : le Sénat indique 363 maisons de services au public au 1er janvier 2015. Celui-là, je le garde tel quel. </t>
  </si>
  <si>
    <t xml:space="preserve">2020 est l’année qu’il fallait corriger. Si on compte seulement le nouveau label France Services, on tombe sur 460 maisons labellisées au 1er janvier 2020. Mais si votre question porte sur les équivalents fonctionnels de guichets publics de proximité, il faut compter le réseau réellement en service auprès du public, c’est-à-dire les MSAP encore actives au moment de la bascule. Les sources parlent de 1 340 MSAP généralisées avant France Services. Pour une lecture “offre d’accueil de proximité disponible en 2020”, 1 340 est donc bien plus juste que 460. </t>
  </si>
  <si>
    <t xml:space="preserve">2025 est bien documenté : les annonces gouvernementales de novembre 2025 portent le réseau à 2 865 maisons France Services, avec une cible de 3 000 début 2027. </t>
  </si>
  <si>
    <t xml:space="preserve">2030 n’a pas de prévision officielle repérée. Comme l’objectif public est de 3 000 en 2027, une projection prudente à 3 150 en 2030 suppose une poursuite du déploiement, mais à rythme ralenti une fois le maillage national presque complet. C’est une projection maison, pas une cible gouvernementale. </t>
  </si>
  <si>
    <t>Série recommandée à utiliser</t>
  </si>
  <si>
    <t>Si vous voulez une série simple, cohérente et “défendable” dans une note :</t>
  </si>
  <si>
    <t>2000 : 80</t>
  </si>
  <si>
    <t>2005 : 160</t>
  </si>
  <si>
    <t>2010 : 260</t>
  </si>
  <si>
    <t>2015 : 363</t>
  </si>
  <si>
    <t>2020 : 1 340</t>
  </si>
  <si>
    <t>2025 : 2 865</t>
  </si>
  <si>
    <t>2030 : 3 150</t>
  </si>
  <si>
    <t>Formulation méthodologique à mettre en note</t>
  </si>
  <si>
    <t xml:space="preserve">“La série ne mesure pas uniquement le label ‘France Services’, créé à partir de 2019, mais l’ensemble des lieux physiques mutualisés d’accueil administratif de proximité remplissant une fonction équivalente dans le temps : maisons de services publics, relais services publics, MSAP, puis France Services. Les années 2000, 2005, 2010 et 2030 sont des estimations reconstituées ; 2015, 2020 et 2025 s’appuient sur les principaux jalons documentés du déploiement national.” </t>
  </si>
  <si>
    <t>La vraie nuance historique est donc la suivante : le service public n’a pas attendu France Services pour accueillir les usagers, mais France Services a standardisé, densifié et rendu beaucoup plus visible un ensemble de structures de proximité qui existaient déjà sous d’autres noms.</t>
  </si>
  <si>
    <t>Vie associative</t>
  </si>
  <si>
    <t>Locaux associatifs recevant du public</t>
  </si>
  <si>
    <t xml:space="preserve">J’entends par “local associatif recevant du public” un local occupé à titre principal ou régulier par une association, accessible à des adhérents, usagers ou visiteurs : maison d’association, local de quartier associatif, permanence associative, accueil social, local culturel, local de loisirs, etc. J’exclus l’usage purement occasionnel d’une salle municipale, d’un gymnase ou d’une école, car cela surestimerait fortement le parc. La réglementation ERP de type L confirme bien qu’il existe un sous-ensemble de salles réservées aux associations dans le champ des ERP. </t>
  </si>
  <si>
    <t>2) Ancrages statistiques sur les associations</t>
  </si>
  <si>
    <t xml:space="preserve">Pour 2013, l’Insee recense 1 302 200 associations actives. Pour 2018, on retrouve un ordre de grandeur très proche, avec 170 000 associations employeuses et 1,1 million non employeuses, soit environ 1,27 million au total ; l’INJEP résume d’ailleurs que le nombre total d’associations se stabilise entre 2013 et 2018. Pour 2020, l’ouvrage de référence Le Paysage associatif français donne 1 370 000 associations en activité. </t>
  </si>
  <si>
    <t>3) Ancrage sur l’existence de locaux</t>
  </si>
  <si>
    <t xml:space="preserve">L’Insee publie, dans ses résultats détaillés 2018, une table spécifique sur la “part des associations bénéficiant de locaux ou de terrains mis à disposition gratuitement ou à des conditions avantageuses”. Cela confirme que le sujet “local associatif” est massif, mais sans donner dans l’extrait ouvert un total agrégé unique directement exploitable. Pour 2013, l’Insee indiquait aussi que plus de la moitié des associations bénéficient d’avantages en nature, ce qui inclut très souvent des locaux ou terrains. </t>
  </si>
  <si>
    <t>4) Hypothèse de conversion en “locaux ERP associatifs”</t>
  </si>
  <si>
    <t>C’est ici que se situe la vraie modélisation. Toutes les associations n’ont pas de local, et toutes celles qui ont accès à un local ne disposent pas d’un établissement recevant du public propre : beaucoup utilisent ponctuellement des équipements communaux, des salles prêtées, ou le domicile d’un dirigeant. À l’inverse, certaines associations gèrent plusieurs sites.</t>
  </si>
  <si>
    <t>J’applique donc un coefficient central de 26 % à 28 % des associations actives selon la période pour estimer le stock de locaux associatifs recevant du public. Ce ratio est cohérent avec :</t>
  </si>
  <si>
    <t>un univers associatif de 1,27 à 1,37 million d’unités ;</t>
  </si>
  <si>
    <t>une proportion importante d’associations ayant accès à des locaux ;</t>
  </si>
  <si>
    <t xml:space="preserve">mais un sous-ensemble seulement correspondant à un local public identifiable. </t>
  </si>
  <si>
    <t>5) Calculs</t>
  </si>
  <si>
    <t>Locaux associatifs recevant du public = associations actives × ratio de conversion en local ERP associatif</t>
  </si>
  <si>
    <t>Hypothèses centrales :</t>
  </si>
  <si>
    <t>2000 : 1,16 M d’associations actives × 25 % ≈ 290 000</t>
  </si>
  <si>
    <t>2005 : 1,23 M × 26 % ≈ 320 000</t>
  </si>
  <si>
    <t>2010 : 1,28 M × 26,5 % ≈ 340 000</t>
  </si>
  <si>
    <t>2015 : 1,30 M × 27 % ≈ 350 000</t>
  </si>
  <si>
    <t>2020 : 1,37 M × 26,5 % ≈ 365 000</t>
  </si>
  <si>
    <t>2025 : 1,39 M × 27 % ≈ 375 000</t>
  </si>
  <si>
    <t>2030 : 1,40 M × 27,5 % ≈ 385 000</t>
  </si>
  <si>
    <t xml:space="preserve">Les niveaux 2013, 2018 et 2020 sont les ancrages documentés ; 2000–2015 relèvent d’un backcast, 2025–2030 d’une projection prudente. La trajectoire retenue suppose un tissu associatif globalement stable à légèrement croissant, avec davantage de professionnalisation et de formalisation des lieux d’accueil sur longue période. </t>
  </si>
  <si>
    <t>Pour un usage market sizing, je retiendrais comme ordre de grandeur opérationnel :</t>
  </si>
  <si>
    <t>2025 : ~375 000 locaux associatifs recevant du public</t>
  </si>
  <si>
    <t>avec une plage de travail 310 000 à 440 000.</t>
  </si>
  <si>
    <t xml:space="preserve">Cette fourchette est plus utile pour du business plan que la recherche d’un “vrai” stock administratif, qui n’est pas publié tel quel. </t>
  </si>
  <si>
    <t>Limites</t>
  </si>
  <si>
    <t>La principale limite est la définition :</t>
  </si>
  <si>
    <t>un local partagé entre plusieurs associations peut être compté comme un site ou comme plusieurs usages ;</t>
  </si>
  <si>
    <t>certaines associations reçoivent du public sans disposer d’un local autonome ;</t>
  </si>
  <si>
    <t>d’autres ont des locaux non ouverts au public ;</t>
  </si>
  <si>
    <t>et le champ ERP peut varier selon la taille, la fréquence d’accueil et la configuration réelle des lieux.</t>
  </si>
  <si>
    <t>Donc ce tableau est une estimation de marché défendable, pas un inventaire réglementaire exhaustif.</t>
  </si>
  <si>
    <t>Je resserre la définition sur les locaux associatifs réellement autonomes et régulièrement ouverts, puis j’adosse le ratio de personnes à des chiffres publics sur les associations actives, l’emploi et le bénévolat.</t>
  </si>
  <si>
    <t>Réflexion durant 2m 26s</t>
  </si>
  <si>
    <t>Oui — en resserrant la définition, je réviserais à la baisse mon estimation précédente.</t>
  </si>
  <si>
    <t>Définition resserrée</t>
  </si>
  <si>
    <t>Je retiens ici uniquement les locaux associatifs autonomes ou quasi autonomes, c’est-à-dire des lieux :</t>
  </si>
  <si>
    <t>occupés de façon régulière par une association,</t>
  </si>
  <si>
    <t>identifiables comme site propre ou partagé pérenne,</t>
  </si>
  <si>
    <t>et réellement utilisés pour accueillir des adhérents, bénéficiaires, usagers ou visiteurs.</t>
  </si>
  <si>
    <t>J’exclus donc :</t>
  </si>
  <si>
    <t>l’usage occasionnel d’une salle municipale,</t>
  </si>
  <si>
    <t>un gymnase ou une salle scolaire prêtés ponctuellement,</t>
  </si>
  <si>
    <t>le domicile d’un dirigeant,</t>
  </si>
  <si>
    <t>et les lieux non ouverts au public.</t>
  </si>
  <si>
    <t xml:space="preserve">Cette approche est plus stricte que la précédente, qui risquait de surcompter les associations ayant seulement accès à des locaux. L’Insee suit bien la part des associations bénéficiant de locaux ou terrains mis à disposition, mais cela ne correspond pas automatiquement à un local associatif ERP autonome. </t>
  </si>
  <si>
    <t>Réévaluation du nombre de locaux associatifs recevant du public</t>
  </si>
  <si>
    <t xml:space="preserve">En 2018, l’Insee dénombre 1,27 million d’associations actives, dont 170 000 employeuses et 1,1 million non employeuses. </t>
  </si>
  <si>
    <t>À partir de là, j’utiliserais pour une estimation plus stricte l’hypothèse suivante, qui relève d’une inférence :</t>
  </si>
  <si>
    <t>70 à 85 % des associations employeuses disposent d’un vrai site/local d’accueil identifiable ;</t>
  </si>
  <si>
    <t>6 à 10 % des non employeuses seulement disposent d’un local autonome recevant réellement du public.</t>
  </si>
  <si>
    <t xml:space="preserve">Cela donne pour 2018 un ordre de grandeur d’environ 230 000 à 250 000 locaux, avec un point central à 235 000. Cette baisse par rapport à mon estimation précédente vient surtout du fait qu’une grande partie des associations non employeuses fonctionne sans local propre, ou avec des mises à disposition ponctuelles. L’Insee rappelle d’ailleurs que neuf associations sur dix fonctionnent sans salarié. </t>
  </si>
  <si>
    <t>Série révisée</t>
  </si>
  <si>
    <t>175 000 – 235 000</t>
  </si>
  <si>
    <t>190 000 – 250 000</t>
  </si>
  <si>
    <t>200 000 – 260 000</t>
  </si>
  <si>
    <t>205 000 – 265 000</t>
  </si>
  <si>
    <t>205 000 – 275 000</t>
  </si>
  <si>
    <t>210 000 – 280 000</t>
  </si>
  <si>
    <t>210 000 – 290 000</t>
  </si>
  <si>
    <t>Pourquoi une trajectoire assez plate ?</t>
  </si>
  <si>
    <t xml:space="preserve">Parce que le tissu associatif reste massif et relativement stable à long terme : l’Insee mesure 1,3 million d’associations actives en 2013 puis 1,27 million en 2018, et l’INJEP résume que le nombre total d’associations est globalement stable entre 2013 et 2018. </t>
  </si>
  <si>
    <t>Je projette donc surtout une professionnalisation lente et une légère hausse des locaux réellement pérennes, plutôt qu’une explosion du parc.</t>
  </si>
  <si>
    <t>Combien de personnes en moyenne pour un local associatif ?</t>
  </si>
  <si>
    <t>Ici, il faut distinguer deux notions.</t>
  </si>
  <si>
    <t>1) Moyenne en “emplois + participations” par local</t>
  </si>
  <si>
    <t xml:space="preserve">En 2018, les associations reposent sur 2,2 millions de salariés et 21 millions de participations bénévoles. Une même personne pouvant participer à plusieurs associations, ce ne sont donc pas des personnes uniques. </t>
  </si>
  <si>
    <t>Avec un stock central de 235 000 locaux, cela donne :</t>
  </si>
  <si>
    <t>salariés par local : 2,2 M / 235 k ≈ 9,4</t>
  </si>
  <si>
    <t>participations bénévoles par local : 21 M / 235 k ≈ 89</t>
  </si>
  <si>
    <t>soit environ 98 “emplois + participations” par local et par an</t>
  </si>
  <si>
    <t>C’est le ratio le plus directement calculable, mais il surcompte les personnes uniques puisque :</t>
  </si>
  <si>
    <t>un bénévole peut intervenir dans plusieurs associations,</t>
  </si>
  <si>
    <t>et certains très gros acteurs associatifs concentrent beaucoup d’emplois.</t>
  </si>
  <si>
    <t>2) Moyenne en personnes uniques réellement mobilisées autour d’un local</t>
  </si>
  <si>
    <t>Pour un ordre de grandeur plus réaliste, je retiendrais :</t>
  </si>
  <si>
    <t>noyau régulier d’un local associatif : 15 à 30 personnes</t>
  </si>
  <si>
    <t>point central : ~20 personnes par local</t>
  </si>
  <si>
    <t>Ce chiffre est une inférence, pas une statistique officielle. Il est cohérent avec deux faits publics :</t>
  </si>
  <si>
    <t xml:space="preserve">les associations totalisent 1,5 million d’ETP salariés et 580 000 ETP bénévoles, soit 2,08 millions d’ETP au total en 2018 ; </t>
  </si>
  <si>
    <t xml:space="preserve">les postes salariés associatifs sont très souvent à temps partiel : 53 % des postes en 2018. </t>
  </si>
  <si>
    <t>Autrement dit, quand on divise les 2,08 millions d’ETP par environ 235 000 locaux, on obtient ~8,9 ETP par local. Comme un ETP correspond souvent à plusieurs personnes physiques en associatif, un ordre de grandeur de 15 à 30 personnes régulièrement impliquées par local me paraît plus crédible qu’un simple “9 personnes”.</t>
  </si>
  <si>
    <t>Ce que je retiendrais en pratique</t>
  </si>
  <si>
    <t>Pour un sizing marché, j’utiliserais :</t>
  </si>
  <si>
    <t>2025 : ~245 000 locaux associatifs recevant réellement du public</t>
  </si>
  <si>
    <t>moyenne opérationnelle : ~20 personnes mobilisées régulièrement par local</t>
  </si>
  <si>
    <t xml:space="preserve">et, si vous voulez un ratio plus “flux annuel”, ~100 emplois/participations bénévoles par local et par an, avec toutes les limites de double compte. </t>
  </si>
  <si>
    <t>Le point important est que “personnes par local” dépend énormément de la définition :</t>
  </si>
  <si>
    <t>un petit local de quartier ou une permanence associative peut tourner avec 5 à 10 personnes,</t>
  </si>
  <si>
    <t xml:space="preserve">alors qu’une grosse structure médico-sociale ou éducative associative peut en concentrer des dizaines voire davantage. L’Insee souligne d’ailleurs que les ressources et l’emploi associatifs sont très concentrés sur un petit nombre de grosses structures. </t>
  </si>
  <si>
    <t>Je peux vous faire ensuite un tableau plus exploitable en séparant petits locaux associatifs de quartier, maisons des associations, et gros sites associatifs employeurs.</t>
  </si>
  <si>
    <t>Sport</t>
  </si>
  <si>
    <t>Sport couvert</t>
  </si>
  <si>
    <t>Gymnases / salles multisports</t>
  </si>
  <si>
    <t>Voici une estimation de marché défendable pour les gymnases / salles multisports en France, avec méthode explicite et niveau d’incertitude.</t>
  </si>
  <si>
    <t>13 200–16 500</t>
  </si>
  <si>
    <t>14 000–16 900</t>
  </si>
  <si>
    <t>14 700–17 400</t>
  </si>
  <si>
    <t>15 200–17 800</t>
  </si>
  <si>
    <t>15 500–18 100</t>
  </si>
  <si>
    <t>15 800–18 400</t>
  </si>
  <si>
    <t>16 000–19 500</t>
  </si>
  <si>
    <t xml:space="preserve">J’ai retenu comme périmètre les “salles multisports (gymnase)” au sens des bases sportives publiques, en cherchant à approcher un nombre d’établissements. Ce n’est pas parfaitement identique à un comptage administratif de sites, car les bases publiques recensent surtout des équipements et des installations : un même site peut parfois regrouper plusieurs aires ou halls. L’estimation ci-dessus est donc une approximation de marché du nombre de lieux/gymnases exploités, pas une série officielle exhaustive publiée telle quelle. </t>
  </si>
  <si>
    <t>1) Point d’ancrage actuel</t>
  </si>
  <si>
    <t>Le meilleur ancrage exploitable publiquement pour aujourd’hui est le tandem suivant :</t>
  </si>
  <si>
    <t xml:space="preserve">Data ES est la base officielle du ministère chargé des Sports, mise à jour quotidiennement, avec plus de 330 000 lieux de pratique recensés en France ; le portail indique que le recensement existe depuis 2005. </t>
  </si>
  <si>
    <t xml:space="preserve">Une réutilisation de cette base, Gymnases.fr, annonce couvrir “17 000 gymnases français”. C’est une source secondaire, mais elle est cohérente avec Data ES et fournit un ordre de grandeur crédible pour le stock actuel de gymnases/salles multisports. </t>
  </si>
  <si>
    <t>J’utilise donc 2025 = ~17 000 comme point central.</t>
  </si>
  <si>
    <t>2) Contrôle de cohérence macro</t>
  </si>
  <si>
    <t xml:space="preserve">L’Insee indique qu’en 2023, la France compte 182 700 équipements sportifs hors sports de nature. Un stock de l’ordre de 17 000 gymnases/salles multisports représenterait donc environ 9 % de cet ensemble, ce qui est plausible pour une catégorie très diffusée, notamment en zones urbaines et scolaires. L’Insee souligne d’ailleurs que les salles de sport et gymnases figurent parmi les équipements sportifs les plus représentés en milieu urbain. </t>
  </si>
  <si>
    <t>3) Rétropolation 2000–2025</t>
  </si>
  <si>
    <t>Comme le recensement officiel moderne est structuré à partir du milieu des années 2000, j’ai rétropolé 2000–2005 en supposant :</t>
  </si>
  <si>
    <t>un parc déjà mature au début des années 2000 ;</t>
  </si>
  <si>
    <t>une croissance lente portée par les collectivités et les établissements scolaires ;</t>
  </si>
  <si>
    <t>peu d’effet de rupture sur le stock de gymnases, même si l’usage et l’état du parc ont évolué.</t>
  </si>
  <si>
    <t xml:space="preserve">Concrètement, j’ai retenu un rythme tendanciel de l’ordre de +0,4 % à +0,5 % par an entre 2000 et 2025, puis +0,7 % par an entre 2025 et 2030 pour refléter la poursuite des rénovations et quelques créations nettes. C’est une hypothèse de marché, pas une projection officielle. La prudence est d’autant plus nécessaire que l’Insee précise que ses séries d’équipements ont été harmonisées à partir du millésime 2023 et que les nomenclatures peuvent évoluer. </t>
  </si>
  <si>
    <t>Pourquoi c’est défendable</t>
  </si>
  <si>
    <t>Le chiffre-clé à retenir est :</t>
  </si>
  <si>
    <t xml:space="preserve">France – gymnases / salles multisports : ~17 000 établissements en 2025, avec une fourchette défendable de 15 800 à 18 400. </t>
  </si>
  <si>
    <t>Cette estimation est défendable parce qu’elle :</t>
  </si>
  <si>
    <t xml:space="preserve">s’appuie sur la base officielle Data ES pour le périmètre et l’existence du recensement ; </t>
  </si>
  <si>
    <t xml:space="preserve">utilise un ancrage observable à ~17 000 gymnases ; </t>
  </si>
  <si>
    <t xml:space="preserve">reste cohérente avec le volume total d’équipements sportifs recensés par l’Insee. </t>
  </si>
  <si>
    <t xml:space="preserve">2000 : élevée, car on est avant le point d’ancrage robuste du recensement moderne. </t>
  </si>
  <si>
    <t xml:space="preserve">2005–2025 : moyenne, car le socle statistique existe, mais le passage de “nombre d’équipements” à “nombre d’établissements” introduit un biais possible. </t>
  </si>
  <si>
    <t xml:space="preserve">2030 : moyenne à élevée, car il s’agit d’une projection tendancielle, non d’une prévision publique officielle. </t>
  </si>
  <si>
    <t>Pour un deck, la formule la plus propre serait :</t>
  </si>
  <si>
    <t>Gymnases / salles multisports en France : ~17 000 en 2025 ; ~14 800 en 2000 ; projection ~17 600 en 2030.</t>
  </si>
  <si>
    <t>Je peux aussi vous faire la même chose pour stades / terrains de football, piscines, salles de fitness, ou vous mettre tout cela dans un tableau consolidé multi-segments.</t>
  </si>
  <si>
    <t>Patinoires couvertes</t>
  </si>
  <si>
    <t>Oui — ici, l’ordre de grandeur est beaucoup plus stable que pour d’autres catégories.</t>
  </si>
  <si>
    <t>Pour les patinoires couvertes permanentes en France, je vous proposerais le tableau suivant :</t>
  </si>
  <si>
    <t>≈ 150</t>
  </si>
  <si>
    <t>≈ 152</t>
  </si>
  <si>
    <t>≈ 149</t>
  </si>
  <si>
    <t>≈ 145</t>
  </si>
  <si>
    <t xml:space="preserve">La base la plus solide trouvée est la suivante : une question écrite à l’Assemblée nationale indiquait déjà environ 150 patinoires en France au tournant des années 2000. Plus récemment, le Syndicat national des patinoires donne deux repères récents très proches, selon les supports : 148 patinoires permanentes dans son dossier de presse 2026, et 156 patinoires permanentes sur sa page de présentation. Ces écarts suggèrent surtout un problème de périmètre ou de mise à jour, pas un changement structurel massif. </t>
  </si>
  <si>
    <t xml:space="preserve">Le cadrage public du ministère des Sports va dans le même sens : le recensement Data ES existe depuis 2005, vise l’exhaustivité, et recense aujourd’hui plus de 330 000 équipements sportifs au total. Je n’ai pas trouvé, dans les résultats publics consultés, le sous-total directement affiché pour les seules patinoires couvertes, mais ce socle méthodologique conforte l’idée d’un parc national assez stable, de l’ordre de 150 équipements. </t>
  </si>
  <si>
    <t>En conséquence, pour une série 2000–2025, je retiendrais une trajectoire quasi plate autour de 150 patinoires couvertes, avec de petites variations seulement :</t>
  </si>
  <si>
    <t>2000 : ~150</t>
  </si>
  <si>
    <t>2005 : ~150</t>
  </si>
  <si>
    <t>2010 : ~152</t>
  </si>
  <si>
    <t>2015 : ~150</t>
  </si>
  <si>
    <t>2020 : ~149</t>
  </si>
  <si>
    <t>2025 : ~150</t>
  </si>
  <si>
    <t xml:space="preserve">C’est plus défendable qu’une série en forte hausse ou forte baisse, car les sources récentes continuent de converger vers ce même ordre de grandeur. </t>
  </si>
  <si>
    <t>Pour 2030, je n’ai pas trouvé de prévision publique officielle. En projection simple, je prendrais une légère érosion liée au vieillissement du parc et aux contraintes énergétiques, donc ~145 en central, avec une fourchette prudente 140–150. Cette projection est cohérente avec les débats récents sur les fermetures, rénovations et arbitrages énergétiques autour des patinoires françaises.</t>
  </si>
  <si>
    <t>Piscines couvertes</t>
  </si>
  <si>
    <t>Pour les piscines couvertes, il n’existe pas, à ma connaissance, de série publique nationale homogène déjà publiée pour exactement les années 2000, 2005, 2010, 2015, 2020, 2025 et 2030 au niveau “établissements”. Les sources publiques les plus solides sont plutôt :</t>
  </si>
  <si>
    <t>Data ES du ministère des Sports, mis à jour quotidiennement ;</t>
  </si>
  <si>
    <t xml:space="preserve">les publications Insee/BPE, qui mesurent les équipements sportifs et, dans certaines études, les bassins de natation ou les bassins couverts. </t>
  </si>
  <si>
    <t xml:space="preserve">Le point d’ancrage national le plus robuste que j’ai pu reconstituer est celui de l’Insee pour 2023 : les bassins de natation représentent 0,54 équipement pour 10 000 habitants sur un total de 182 700 équipements sportifs et 26,62 équipements pour 10 000 habitants. Cela donne un ordre de grandeur d’environ 3 700 sites de bassins de natation au sens Insee en 2023, mais cette catégorie n’isole pas, dans cette publication nationale, les seules piscines couvertes. </t>
  </si>
  <si>
    <t xml:space="preserve">Pour les piscines couvertes au sens strict, les meilleures traces publiques que j’ai trouvées sont régionales : en 2017, la région PACA comptait 102 bassins de natation couverts ou découvrables répartis sur 99 installations, et le Grand Est 296 bassins de natation couverts. Ces éléments confirment que le parc national se situe à l’échelle de quelques milliers de sites, avec une croissance plutôt lente. </t>
  </si>
  <si>
    <t>Du coup, pour ton tableau, la série la plus prudente est une estimation encadrée :</t>
  </si>
  <si>
    <t>≈ 2 700</t>
  </si>
  <si>
    <t>≈ 3 050</t>
  </si>
  <si>
    <t>≈ 3 150</t>
  </si>
  <si>
    <t>≈ 3 200</t>
  </si>
  <si>
    <t>≈ 3 380</t>
  </si>
  <si>
    <t>Pourquoi cette trajectoire ?</t>
  </si>
  <si>
    <t xml:space="preserve">Le parc de piscines publiques françaises est ancien, en partie hérité du plan des “1000 piscines” des années 1970, et la dynamique récente porte davantage sur la rénovation, la reconstruction et le remplacement d’équipements vétustes que sur une explosion du nombre de sites. La Cour des comptes parlait déjà en 2018 d’un modèle de gestion des piscines publiques sous tension, et plusieurs publications récentes insistent sur le vieillissement du parc. </t>
  </si>
  <si>
    <t xml:space="preserve">La projection 2030 reste donc seulement modérément haussière : il existe bien des soutiens publics aux équipements structurants dans le cadre du plan 5000 équipements, mais ce plan ne vise pas exclusivement les piscines et ne se traduit pas mécaniquement par une forte hausse du nombre de piscines couvertes. </t>
  </si>
  <si>
    <t>Recommandation Excel</t>
  </si>
  <si>
    <t>Je te conseille de libeller la ligne ainsi :</t>
  </si>
  <si>
    <t>Sous-catégorie : Piscines couvertes</t>
  </si>
  <si>
    <t>Unité de compte : site / établissement avec bassin couvert accessible au public</t>
  </si>
  <si>
    <t>Nature de la donnée : estimation encadrée</t>
  </si>
  <si>
    <t>Note : absence de série publique nationale homogène sur les seuls établissements de piscines couvertes ; estimation cohérente avec Insee/BPE, Data ES et études régionales.</t>
  </si>
  <si>
    <t>Sport de plein air</t>
  </si>
  <si>
    <t>Piscines extérieures</t>
  </si>
  <si>
    <t>Oui — avec ce périmètre resserré, il faut réviser nettement à la baisse l’estimation précédente.</t>
  </si>
  <si>
    <t xml:space="preserve">Je retiens ici : établissements ouverts au public avec au moins un bassin extérieur, mais sans aucun bassin intérieur, en excluant campings, hôtels, résidences. C’est cohérent avec le champ de Data ES, qui recense les équipements sportifs publics ou privés ouverts au public, mais ne fournit pas dans les pages de synthèse un total national déjà agrégé pour ce sous-ensemble exact. </t>
  </si>
  <si>
    <t xml:space="preserve">Le meilleur point d’ancrage national disponible reste la Cour des comptes : au 1er avril 2017, la France comptait 4 135 piscines et 6 412 bassins de natation au sens large. La même source rappelle aussi qu’une grande partie du parc est ancienne, et les travaux historiques montrent qu’avant la généralisation des piscines couvertes, beaucoup d’installations étaient de plein air ; mais sur la longue période, le mouvement dominant a plutôt été la couverture, la transformation en centres aquatiques mixtes, ou la fermeture de certains équipements saisonniers. </t>
  </si>
  <si>
    <t xml:space="preserve">Dans ce cadre, le sous-parc “plein air uniquement” est forcément bien inférieur au total des piscines publiques, et aussi bien inférieur à l’estimation précédente qui incluait les établissements mixtes avec bassin extérieur. Je n’ai pas trouvé de série officielle annuelle pour ce périmètre exact ; ce qui suit est donc une estimation de marché prudente, pas un chiffre administratif publié. </t>
  </si>
  <si>
    <t>Estimation révisée</t>
  </si>
  <si>
    <t>Établissements ouverts au public avec bassin extérieur uniquement</t>
  </si>
  <si>
    <t>230 à 270</t>
  </si>
  <si>
    <t>Pourquoi cette révision</t>
  </si>
  <si>
    <t xml:space="preserve">Le niveau 2025 autour de 290 repose sur une lecture simple du parc français : sur un total d’environ 4 135 piscines publiques, la part des équipements strictement extérieurs et sans bassin intérieur paraît aujourd’hui minoritaire, car le parc s’est progressivement déplacé vers des équipements couverts ou mixtes, plus exploitables à l’année. Cette baisse tendancielle est cohérente avec le vieillissement du parc, le poids des rénovations, et la montée des centres aquatiques multifonctions depuis les années 1990-2000. </t>
  </si>
  <si>
    <t xml:space="preserve">La trajectoire 2000 → 2025 est donc ici décroissante : elle traduit moins une disparition de l’offre aquatique qu’un changement de forme de l’offre, avec remplacement progressif des piscines de plein air “pures” par des équipements couverts ou mixtes. Les références historiques sur les piscines françaises indiquent bien qu’une large partie des installations anciennes était de plein air, alors que les politiques plus récentes privilégient des équipements plus polyvalents. </t>
  </si>
  <si>
    <t>Pour 2030, je ne vois pas de prévision officielle. La fourchette 230–270 correspond à un scénario prudent : poursuite de la baisse des équipements saisonniers isolés, maintien d’une partie du parc dans les territoires touristiques et méridionaux, mais peu de créations nettes sur ce format. C’est une inférence, pas une donnée observée.</t>
  </si>
  <si>
    <t>Stades</t>
  </si>
  <si>
    <t>Je vérifie les nomenclatures officielles pour séparer au mieux grands stades avec tribunes, stades et terrains extérieurs, sans double compte. Là, le point sensible sera surtout la frontière entre “grands stades” et “grands terrains extérieurs”.</t>
  </si>
  <si>
    <t>Terrains</t>
  </si>
  <si>
    <t>Réflexion durant 2m 35s</t>
  </si>
  <si>
    <t>Oui — et pour que les trois catégories soient bien distinctes, je vous propose le découpage suivant, sans piscines :</t>
  </si>
  <si>
    <t>Grands stades (football/rugby) avec tribunes : estimation d’un sous-ensemble des terrains de grands jeux disposant de tribunes fixes/télescopiques ;</t>
  </si>
  <si>
    <t>Stades : stades d’athlétisme au sens des nomenclatures publiques ;</t>
  </si>
  <si>
    <t xml:space="preserve">Terrains sportifs extérieurs : petits terrains extérieurs + grands terrains extérieurs hors grands stades avec tribunes, pour éviter le double compte. Le champ “nombre total de places assises en tribunes” existe bien dans Data ES et permet de définir ce sous-ensemble “grands stades”, même si aucune série nationale publiée ne le donne directement année par année. </t>
  </si>
  <si>
    <t>Série France 2000–2030</t>
  </si>
  <si>
    <t>Grands stades football/rugby avec tribunes</t>
  </si>
  <si>
    <t>Stades (athlétisme)</t>
  </si>
  <si>
    <t>Terrains sportifs extérieurs hors grands stades</t>
  </si>
  <si>
    <t>Ce que cela donne en lecture “totale”</t>
  </si>
  <si>
    <t>Si vous souhaitez reconstituer le total terrains sportifs extérieurs (petits + grands) en incluant les grands stades avec tribunes, il faut additionner les colonnes 1 et 3 :</t>
  </si>
  <si>
    <t>2000 : 49 000</t>
  </si>
  <si>
    <t>2005 : 51 500</t>
  </si>
  <si>
    <t>2010 : 54 000</t>
  </si>
  <si>
    <t>2015 : 55 700</t>
  </si>
  <si>
    <t>2020 : 56 700</t>
  </si>
  <si>
    <t>2025 : 58 000</t>
  </si>
  <si>
    <t>2030 : 59 400</t>
  </si>
  <si>
    <t xml:space="preserve">Cette reconstruction est cohérente avec le point d’ancrage Insee 2023 : 4,36 petits terrains extérieurs et 3,89 grands terrains extérieurs pour 10 000 habitants, soit environ 56 000 terrains extérieurs au total en France ; l’Insee distingue par ailleurs séparément les stades d’athlétisme. </t>
  </si>
  <si>
    <t>Pourquoi cette série est crédible</t>
  </si>
  <si>
    <t xml:space="preserve">Le point solide, c’est le niveau récent. L’Insee indique qu’en 2023 les petits terrains extérieurs sont le type le plus fréquent et que les grands terrains extérieurs viennent juste après, avec des taux très élevés dans le parc national. Les définitions Insee précisent bien que les petits terrains correspondent aux plateaux et terrains de jeux extérieurs et les grands terrains aux terrains de grands jeux de la BPE. </t>
  </si>
  <si>
    <t xml:space="preserve">Pour les stades d’athlétisme, la même figure Insee les montre comme une catégorie séparée, autour d’environ 1 équipement pour 10 000 habitants en 2023, soit un ordre de grandeur voisin de 6 500 à 7 000 sites ; j’ai donc retenu 7 200 pour 2025 et reconstruit la trajectoire antérieure de façon progressive. Comme ce chiffre n’est pas donné explicitement en toutes lettres dans le tableau texte visible, il faut le considérer comme une estimation ancrée sur la figure officielle, pas comme une valeur textuellement publiée par l’Insee. </t>
  </si>
  <si>
    <t xml:space="preserve">Pour les grands stades football/rugby avec tribunes, il n’existe pas, dans les sources que j’ai trouvées, de série nationale publiée telle quelle. En revanche, Data ES décrit précisément la variable “nombre total de places assises en tribunes” et l’applique aux équipements de type terrain de football, terrain de rugby, etc. J’ai donc traité cette catégorie comme un sous-ensemble estimé des terrains de grands jeux, en croissance lente sur la période. </t>
  </si>
  <si>
    <t xml:space="preserve">La dynamique temporelle retenue colle aussi aux publications INJEP/Insee : les terrains de grands jeux sont parmi les équipements les plus anciens, alors que les petits terrains extérieurs / équipements en accès libre sont plus récents et se sont davantage développés depuis les années 2000. Cela justifie une hausse modérée du total des terrains extérieurs, avec une progression un peu plus vive côté petits terrains que côté grands terrains classiques. </t>
  </si>
  <si>
    <t>Terrains sportifs extérieurs (total petits + grands) : bon niveau de fiabilité autour de 2023–2025, puis estimation rétropolée/projetée.</t>
  </si>
  <si>
    <t>Stades d’athlétisme : fiabilité moyenne, car ancrée sur une figure officielle mais non fournie en série détaillée pour vos millésimes.</t>
  </si>
  <si>
    <t>Grands stades avec tribunes : fiabilité moyenne à prudente, car c’est une catégorie construite, logique dans Data ES mais non publiée telle quelle en série nationale.</t>
  </si>
  <si>
    <t>Formulation à reprendre dans une note</t>
  </si>
  <si>
    <t>Les “grands stades” correspondent ici à une estimation des terrains de football/rugby disposant de tribunes fixes ; les “stades” correspondent aux stades d’athlétisme ; les “terrains sportifs extérieurs” regroupent les petits et grands terrains extérieurs hors grands stades, afin d’éviter tout double compte. Les piscines ne sont pas incluses. Les années 2000–2025 sont reconstituées à partir des nomenclatures Insee/BPE et Data ES ; 2030 est une projection.</t>
  </si>
  <si>
    <t>Transport, mobilité et stationnement</t>
  </si>
  <si>
    <t>Transport / mobilité</t>
  </si>
  <si>
    <t>Aires d’autoroute</t>
  </si>
  <si>
    <t>Je cherche d’abord des points d’ancrage publics solides sur le nombre d’aires sur le réseau concédé, puis je reconstruirai une série cohérente et une prévision prudente.</t>
  </si>
  <si>
    <t>J’ai maintenant des chiffres ASFA très solides pour 2021 et 2023, et un point 2018 via l’ONISR. Je complète les points antérieurs pour éviter une extrapolation trop mécanique.</t>
  </si>
  <si>
    <t>Oui. Le plus défendable est de raisonner sur les aires du réseau autoroutier concédé en distinguant aires de service et aires de repos.</t>
  </si>
  <si>
    <t xml:space="preserve">Le point important est qu’il y a une rupture de série récente : l’ASFA publiait encore 364 aires de service et 631 aires de repos dans son édition 2024, puis 366 aires de service et 598 aires de repos dans son édition 2025. Cette baisse très forte des aires de repos ressemble davantage à un changement de périmètre / reclassement qu’à une vague de fermetures massives en un an. </t>
  </si>
  <si>
    <t>Estimation France – aires d’autoroute</t>
  </si>
  <si>
    <t>Aires de service</t>
  </si>
  <si>
    <t>Aires de repos</t>
  </si>
  <si>
    <t>Total aires</t>
  </si>
  <si>
    <t>Ce qui est observé dans les sources</t>
  </si>
  <si>
    <t>Pour les années récentes, on a des points assez solides côté ASFA :</t>
  </si>
  <si>
    <t xml:space="preserve">fin 2010 / publication 2011 : 364 aires de service ; le même corpus ASFA donne ensuite 365 aires de service et 625 aires de repos pour 2011. </t>
  </si>
  <si>
    <t xml:space="preserve">2016 : 366 aires de service et 637 aires de repos. </t>
  </si>
  <si>
    <t xml:space="preserve">2018 : 364 aires de service et 637 aires de repos. </t>
  </si>
  <si>
    <t xml:space="preserve">2020 : 364 aires de service et 638 aires de repos. </t>
  </si>
  <si>
    <t xml:space="preserve">2021 : 363 aires de service et 628 aires de repos. </t>
  </si>
  <si>
    <t xml:space="preserve">2023 / édition 2024 : 364 aires de service et 631 aires de repos. </t>
  </si>
  <si>
    <t xml:space="preserve">2024 / édition 2025 : 366 aires de service et 598 aires de repos. </t>
  </si>
  <si>
    <t>Méthode pour 2000, 2005, 2010, 2015</t>
  </si>
  <si>
    <t xml:space="preserve">Pour 2010, 2015, 2020, 2025, je m’appuie d’abord sur les points ASFA observés ci-dessus, puis j’arrondis légèrement quand il manque l’année exacte. Pour 2000 et 2005, je fais une reconstitution prudente : le nombre d’aires suit globalement la croissance du réseau concédé, mais avec une densité assez stable, car l’implantation des aires est encadrée par les conventions de concession et la logique de service aux usagers. </t>
  </si>
  <si>
    <t xml:space="preserve">En pratique, les aires de service bougent peu sur longue période, autour de 360–366 depuis le début des années 2010, tandis que les aires de repos tournent plutôt autour de 625–638 jusqu’à la rupture apparente de l’édition 2025. </t>
  </si>
  <si>
    <t>Lecture la plus utile</t>
  </si>
  <si>
    <t>Si votre question est “combien de sites exploités au sens large sur autoroute ?”, je retiendrais :</t>
  </si>
  <si>
    <t>2000 : ~870</t>
  </si>
  <si>
    <t>2005 : ~935</t>
  </si>
  <si>
    <t>2010 : ~990</t>
  </si>
  <si>
    <t>2015 : ~1 000</t>
  </si>
  <si>
    <t>2020 : ~1 002</t>
  </si>
  <si>
    <t>2025 : ~964</t>
  </si>
  <si>
    <t>2030 : ~970</t>
  </si>
  <si>
    <t>Mon interprétation du point 2025</t>
  </si>
  <si>
    <t xml:space="preserve">Je ne lirais pas le passage de ~1 000 à 964 comme une vraie destruction nette de près de 40 aires en quelques années. C’est plus probablement un effet de méthode dans le comptage des aires de repos. Les aires de service restent, elles, très stables autour de 364–366, ce qui renforce cette lecture. </t>
  </si>
  <si>
    <t>Ma prévision centrale est 970 aires au total, avec :</t>
  </si>
  <si>
    <t>368 aires de service</t>
  </si>
  <si>
    <t>602 aires de repos</t>
  </si>
  <si>
    <t>Hypothèse : réseau mature, peu de créations nettes, surtout des requalifications, fusions fonctionnelles ou reclassements. La variabilité statistique viendra probablement plus des définitions de comptage que des ouvertures/fermetures massives.</t>
  </si>
  <si>
    <t>Aéroports / aérogares</t>
  </si>
  <si>
    <t>Je vais cadrer le périmètre sur les aéroports / aérogares ouverts au trafic commercial de passagers en France, puis l’estimer sur 2000–2030 avec une fourchette défendable. Je m’appuie d’abord sur des sources publiques solides pour éviter de mélanger avec les simples aérodromes.</t>
  </si>
  <si>
    <t>J’ai trouvé un ancrage bien meilleur que de simples listes : la DGAC publie une base annuelle du trafic aérien commercial par aérodrome depuis 1990. Je vais m’en servir pour compter les plateformes ayant réellement eu du trafic commercial passagers, puis transformer ça en estimation “aéroports / aérogares”.</t>
  </si>
  <si>
    <t>Voici une estimation de marché défendable pour les aéroports / aérogares en France, avec une méthode explicite et un niveau d’incertitude.</t>
  </si>
  <si>
    <t>Périmètre retenu</t>
  </si>
  <si>
    <t>Je retiens comme “établissements” les aéroports / aérogares ayant une activité commerciale passagers significative sur l’année, en pratique un seuil proche de &gt; 1 000 passagers annuels. Ce choix est défendable car :</t>
  </si>
  <si>
    <t xml:space="preserve">la DGAC publie une série annuelle du trafic aérien commercial par aérodrome depuis 1990, avec détail pour les aérodromes ayant atteint au moins 1 unité de trafic, soit 1 000 passagers ou 100 kg de fret/poste ; </t>
  </si>
  <si>
    <t xml:space="preserve">la Cour des comptes utilise précisément ce repère et indique qu’en 2019, la France métropolitaine comptait 73 aéroports ayant reçu plus de 1 000 passagers. </t>
  </si>
  <si>
    <t>Je parle donc ici d’un stock de plateformes aéroportuaires commerciales actives, pas du nombre de simples aérodromes, ni du nombre de terminaux physiques à l’intérieur d’un même aéroport.</t>
  </si>
  <si>
    <t>80–105</t>
  </si>
  <si>
    <t>76–98</t>
  </si>
  <si>
    <t>72–90</t>
  </si>
  <si>
    <t>70–83</t>
  </si>
  <si>
    <t>66–80</t>
  </si>
  <si>
    <t>68–82</t>
  </si>
  <si>
    <t>60–80</t>
  </si>
  <si>
    <t>1) Ancrage officiel solide</t>
  </si>
  <si>
    <t xml:space="preserve">Le point d’ancrage le plus robuste est 2019 = 73 aéroports en métropole ayant reçu plus de 1 000 passagers, chiffre donné par la Cour des comptes. C’est la meilleure base publique officielle que j’ai trouvée pour approcher le nombre d’“établissements” aéroportuaires commerciaux. </t>
  </si>
  <si>
    <t>2) Borne haute historique</t>
  </si>
  <si>
    <t xml:space="preserve">Un rapport missionné sur le maillage aéroportuaire français indique avoir étudié 120 aéroports métropolitains ayant eu une activité commerciale au cours des 20 dernières années. Ce n’est pas un stock annuel ; c’est plutôt une borne haute historique de plateformes ayant été actives à un moment donné sur la période. Cela suggère qu’au début des années 2000, le nombre de plateformes encore actives commercialement pouvait être sensiblement supérieur au niveau observé en 2019. </t>
  </si>
  <si>
    <t>3) Profil de tendance retenu</t>
  </si>
  <si>
    <t>J’applique ensuite une trajectoire en trois temps, qui est une inférence de marché :</t>
  </si>
  <si>
    <t xml:space="preserve">2000–2015 : baisse graduelle du nombre de plateformes commercialement actives, sous l’effet de la concentration du trafic, de la domination croissante des grands hubs et grands régionaux, et du déclassement progressif de petites plateformes vers l’aviation d’affaires ou l’activité occasionnelle ; </t>
  </si>
  <si>
    <t xml:space="preserve">2020 : léger creux lié à la crise Covid, qui a fortement réduit l’activité commerciale et a pu faire passer certaines petites plateformes sous le seuil d’activité retenu ; le trafic français a ensuite redémarré progressivement à partir de 2021. </t>
  </si>
  <si>
    <t xml:space="preserve">2025–2030 : stabilité puis légère consolidation. Le trafic passagers a retrouvé une forte dynamique, mais les contraintes structurelles restent là : concurrence ferroviaire, fragilité économique des petites plateformes, transition environnementale et recherche d’un maillage plus efficient. </t>
  </si>
  <si>
    <t>Pourquoi cette estimation est défendable</t>
  </si>
  <si>
    <t>Le point-clé à retenir est :</t>
  </si>
  <si>
    <t xml:space="preserve">France (ordre de grandeur de marché) : ~74 aéroports / aérogares commerciaux actifs en 2025, avec une fourchette défendable de 68 à 82. </t>
  </si>
  <si>
    <t xml:space="preserve">s’appuie sur un ancrage officiel en 2019 ; </t>
  </si>
  <si>
    <t xml:space="preserve">est cohérente avec l’idée d’un réseau historiquement plus large que le stock actif actuel, puisque 120 plateformes métropolitaines ont eu une activité commerciale sur les 20 dernières années ; </t>
  </si>
  <si>
    <t xml:space="preserve">ne confond pas “aérodromes” et “aéroports commerciaux passagers”, ce qui éviterait de surévaluer fortement le marché. </t>
  </si>
  <si>
    <t xml:space="preserve">On reconstruit à partir d’un ancrage 2019 et d’une borne historique 20 ans, pas d’une série publique directe déjà tabulée pour ces années. </t>
  </si>
  <si>
    <t>2010 / 2015 / 2020 / 2025 : moyen</t>
  </si>
  <si>
    <t xml:space="preserve">Le cadrage est meilleur, mais on reste sur une estimation de stock d’établissements à partir de sources avant tout centrées sur le trafic. </t>
  </si>
  <si>
    <t xml:space="preserve">C’est une projection structurelle, pas une prévision officielle publiée. Les tendances de consolidation sont plausibles, mais le rythme exact reste incertain. </t>
  </si>
  <si>
    <t>Formulation prête pour un deck</t>
  </si>
  <si>
    <t>Aéroports / aérogares en France : ~74 établissements actifs en 2025 ; ~92 en 2000 ; projection ~70 en 2030.</t>
  </si>
  <si>
    <t>Méthode : estimation fondée sur le nombre de plateformes commerciales passagers actives (&gt;1 000 passagers/an), ancrée sur 73 aéroports en 2019 d’après la Cour des comptes, puis rétropolée / projetée selon la dynamique de concentration du réseau.</t>
  </si>
  <si>
    <t>Gares ferroviaires et stations</t>
  </si>
  <si>
    <t>Oui — en prenant “gares ferroviaires et stations” au sens des gares voyageurs / points d’arrêt ferroviaires du réseau ferré national, et pas les stations de métro, tram ou bus, l’ordre de grandeur pour la France est le suivant :</t>
  </si>
  <si>
    <t>Nombre estimé</t>
  </si>
  <si>
    <t>≈ 3 100</t>
  </si>
  <si>
    <t>≈ 3 020</t>
  </si>
  <si>
    <t>≈ 3 000</t>
  </si>
  <si>
    <t>≈ 2 950 à 3 000</t>
  </si>
  <si>
    <t xml:space="preserve">Le point solide, c’est la période récente : SNCF Gares &amp; Connexions parle de “3 000 gares” sur tout le territoire, et l’open data SNCF précise que le jeu de fréquentation couvre “l’ensemble des 3 000 gares voyageurs de 2015 à 2024”. Autrement dit, pour 2015, 2020 et 2025, retenir ≈ 3 000 est la base la plus défendable. </t>
  </si>
  <si>
    <t xml:space="preserve">Pour les années antérieures, je n’ai pas trouvé de série publique annuelle homogène donnant un chiffre officiel distinct pour 2000, 2005 et 2010. En revanche, les sources récentes de la Cour des comptes et de SNCF convergent depuis plusieurs années vers “plus de 3 000” ou “quelque 3 000” gares, ce qui suggère un réseau déjà très proche de ce niveau avant 2015, avec plutôt une lente érosion qu’un changement brutal. C’est pourquoi j’utilise une reconstitution prudente : ~3 100 en 2000, ~3 050 en 2005, ~3 020 en 2010. </t>
  </si>
  <si>
    <t>Pour 2030, je n’ai pas trouvé de prévision publique officielle du nombre de gares/stations ferroviaires. En tendance simple, la meilleure hypothèse est une quasi-stabilité ou une légère contraction du réseau de points d’arrêt voyageurs, donc ~2 950 à 3 000. C’est une projection personnelle, pas une donnée publiée. Elle est cohérente avec le fait que les documents récents continuent de cadrer le réseau voyageurs autour de 3 000 gares.</t>
  </si>
  <si>
    <t>Terminaux maritimes / fluviaux</t>
  </si>
  <si>
    <t>Pour “Terminaux maritimes / fluviaux”, il faut être prudent : les sources publiques françaises comptent bien les ports et le trafic, mais beaucoup moins les terminaux passagers / gares maritimes / terminaux fluviaux en tant qu’“établissements” homogènes.</t>
  </si>
  <si>
    <t>Ce que l’on peut affirmer solidement :</t>
  </si>
  <si>
    <t xml:space="preserve">Le système portuaire maritime français compte 66 ports de commerce maritimes. </t>
  </si>
  <si>
    <t xml:space="preserve">Les statistiques officielles sur les voyageurs portent sur les principaux ports maritimes français et non sur un décompte exhaustif des terminaux. </t>
  </si>
  <si>
    <t xml:space="preserve">Pour le fluvial, VNF documente l’activité de transport public de personnes et du tourisme fluvial, mais pas une série nationale simple du nombre de terminaux passagers fluviaux en “sites ERP”. </t>
  </si>
  <si>
    <t>Du coup, pour ton tableau ERP, la meilleure approche est une estimation encadrée sur l’unité de compte suivante :</t>
  </si>
  <si>
    <t>site recevant du public de type gare maritime, terminal ferry, terminal croisière, terminal fluvial voyageurs, gare fluviale, embarcadère structuré exploité comme terminal</t>
  </si>
  <si>
    <t>Série recommandée</t>
  </si>
  <si>
    <t>≈ 95</t>
  </si>
  <si>
    <t>≈ 100</t>
  </si>
  <si>
    <t>≈ 105</t>
  </si>
  <si>
    <t>≈ 110</t>
  </si>
  <si>
    <t>≈ 112</t>
  </si>
  <si>
    <t>≈ 118</t>
  </si>
  <si>
    <t>Pourquoi ces ordres de grandeur</t>
  </si>
  <si>
    <t>La France dispose d’un socle de ports maritimes de commerce bien identifié, mais tous ne correspondent pas à un véritable terminal passagers ERP autonome. À cela s’ajoutent les gares et terminaux fluviaux voyageurs, surtout sur les grands axes touristiques et urbains. La dynamique est donc plutôt lente et modérément haussière, portée par :</t>
  </si>
  <si>
    <t>la consolidation des terminaux ferry / croisière,</t>
  </si>
  <si>
    <t>le développement du tourisme fluvial,</t>
  </si>
  <si>
    <t>quelques créations ou requalifications de gares maritimes et fluviales,</t>
  </si>
  <si>
    <t xml:space="preserve">mais sans explosion du nombre de sites. </t>
  </si>
  <si>
    <t>Justification de cette fiabilité</t>
  </si>
  <si>
    <t>Le point faible n’est pas le secteur lui-même, mais l’absence de série publique nationale annuelle sur le nombre d’établissements correspondant exactement à ton libellé. Les sources disponibles décrivent surtout :</t>
  </si>
  <si>
    <t>les ports,</t>
  </si>
  <si>
    <t>les trafics passagers,</t>
  </si>
  <si>
    <t>les entreprises de transport,</t>
  </si>
  <si>
    <t xml:space="preserve">et non un inventaire national stabilisé des terminaux passagers maritimes et fluviaux. </t>
  </si>
  <si>
    <t>Je te conseille de renseigner cette ligne comme :</t>
  </si>
  <si>
    <t>Sous-catégorie : Terminaux maritimes / fluviaux</t>
  </si>
  <si>
    <t>Unité de compte : terminal passagers / gare maritime / gare fluviale / embarcadère structuré recevant du public</t>
  </si>
  <si>
    <t>Nature de la donnée : estimation sectorielle encadrée</t>
  </si>
  <si>
    <t>Fiabilité : moyen</t>
  </si>
  <si>
    <t>Note : risque de chevauchement avec ports, gares maritimes, croisière fluviale et simples quais non autonomes.</t>
  </si>
  <si>
    <t>Établissements flottants</t>
  </si>
  <si>
    <t xml:space="preserve">Je n’ai pas trouvé de série officielle nationale donnant, année par année, le nombre d’établissements flottants recevant du public en France. En revanche, on peut faire une estimation de marché défendable en s’appuyant sur la catégorie réglementaire EF (établissements flottants), sur le certificat d’établissement flottant du ministère, et sur des points d’ancrage de marché côté Seine/Paris et annuaires spécialisés. </t>
  </si>
  <si>
    <t xml:space="preserve">Je retiens ici les bateaux-restaurants, péniches-restaurants, salles flottantes / lieux événementiels flottants et assimilés, qu’ils soient à quai ou exploités en navigation, dès lors qu’ils sont exploités comme lieu recevant du public. J’exclus les simples bateaux-logements, les barges techniques, les bateaux purement de transport sans offre événementielle/restauration, et les unités privées non ouvertes au public. Cette définition colle bien à la logique réglementaire EF, qui vise les établissements flottants comme catégorie distincte. </t>
  </si>
  <si>
    <t>110 – 180</t>
  </si>
  <si>
    <t>130 – 210</t>
  </si>
  <si>
    <t>155 – 245</t>
  </si>
  <si>
    <t>180 – 280</t>
  </si>
  <si>
    <t>190 – 300</t>
  </si>
  <si>
    <t>210 – 340</t>
  </si>
  <si>
    <t>220 – 370</t>
  </si>
  <si>
    <t>Pourquoi cet ordre de grandeur</t>
  </si>
  <si>
    <t xml:space="preserve">Le premier ancrage solide est réglementaire : l’État distingue explicitement les établissements flottants et leur assigne un certificat d’établissement flottant, ce qui confirme qu’il existe un parc identifié administrativement, mais sans publication nationale agrégée accessible facilement. </t>
  </si>
  <si>
    <t xml:space="preserve">Le deuxième ancrage vient d’Île-de-France, qui concentre une grande partie du marché. HAROPA indique disposer d’un réseau d’escales permettant d’accueillir 55 bateaux simultanément en Île-de-France, puis mentionne aussi 80 compagnies exploitant plus de 150 bateaux sur son réseau d’escales à usage partagé. Tous ne sont pas des bateaux-restaurants ou salles flottantes, mais cela montre qu’à lui seul le bassin parisien porte déjà un stock très significatif d’unités économiques flottantes. </t>
  </si>
  <si>
    <t xml:space="preserve">Le troisième ancrage est marché : un site spécialisé sur Paris annonce 187 péniches disponibles pour l’événementiel, tandis qu’ABC Salles recense 53 lieux de type péniche dans sa rubrique nationale “location de péniche”. Ces chiffres ne sont pas des statistiques publiques et comportent sûrement des doublons ou des périmètres différents, mais ils suggèrent qu’en 2025 le parc français ouvert au public se situe plausiblement dans un corridor de quelques centaines d’unités, et non de quelques dizaines ni de plusieurs milliers. </t>
  </si>
  <si>
    <t>J’utilise une approche en trois couches :</t>
  </si>
  <si>
    <t xml:space="preserve">1. socle francilien : j’infère qu’environ 90 à 140 unités franciliennes sur les “plus de 150 bateaux” HAROPA relèvent réellement de votre champ élargi “bateau-restaurant / salle flottante / événementiel flottant”, le reste étant plutôt transport de passagers, promenade ou usages mixtes ; </t>
  </si>
  <si>
    <t xml:space="preserve">2. reste de la France : j’ajoute les unités visibles sur les grands bassins hors Île-de-France — Bordeaux, Lyon, Nantes, Strasbourg, Lille, Toulouse/Canal, Rhône-Saône, Charente, etc. — ce qui mène à un complément d’environ 120 à 200 unités en 2025, cohérent avec les annuaires nationaux et les exemples d’exploitation commerciale de péniches-restaurants hors Paris ; </t>
  </si>
  <si>
    <t xml:space="preserve">3. backcast / forecast : je fais croître progressivement le parc de 2000 à 2025, puis plus lentement jusqu’en 2030, en supposant un marché de niche mais en expansion lente, porté par l’événementiel, le tourisme urbain et la requalification des quais. Cette hypothèse est cohérente avec la croissance des offres de restauration/croisière sur Seine et avec la diversification évoquée par la filière fluviale. </t>
  </si>
  <si>
    <t>Pour un usage market sizing, je retiendrais :</t>
  </si>
  <si>
    <t>2025 : ~270 établissements flottants en France ;</t>
  </si>
  <si>
    <t>borne basse prudente : ~210 ;</t>
  </si>
  <si>
    <t xml:space="preserve">borne haute prudente : ~340. </t>
  </si>
  <si>
    <t>Ce que couvre ce chiffre</t>
  </si>
  <si>
    <t>Le chiffre couvre surtout :</t>
  </si>
  <si>
    <t>bateaux-restaurants ;</t>
  </si>
  <si>
    <t>péniches à quai exploitées en restauration ;</t>
  </si>
  <si>
    <t>salles flottantes privatisables ;</t>
  </si>
  <si>
    <t xml:space="preserve">certains bateaux événementiels hybrides. </t>
  </si>
  <si>
    <t>Il ne couvre pas proprement :</t>
  </si>
  <si>
    <t>les bateaux-logements ;</t>
  </si>
  <si>
    <t>les péniches purement culturelles sans exploitation commerciale régulière ;</t>
  </si>
  <si>
    <t>les bateaux de promenade sans vraie activité de réception/restauration ;</t>
  </si>
  <si>
    <t xml:space="preserve">ni l’ensemble des unités purement transport passagers. </t>
  </si>
  <si>
    <t>Ma prévision centrale est 290 établissements en 2030. J’anticipe une hausse modérée, pas une explosion, parce que le marché reste contraint par :</t>
  </si>
  <si>
    <t>la disponibilité des emplacements ;</t>
  </si>
  <si>
    <t>les autorisations portuaires ;</t>
  </si>
  <si>
    <t>la réglementation fluviale et ERP ;</t>
  </si>
  <si>
    <t>et le coût de conversion/exploitation.</t>
  </si>
  <si>
    <t>Sécurité et justice</t>
  </si>
  <si>
    <t xml:space="preserve">Commissariats / postes de police </t>
  </si>
  <si>
    <t>Commissariats / postes de police - locaux de sûreté, garde à vue et zones opérationnelles</t>
  </si>
  <si>
    <t xml:space="preserve">Pour ces trois sous-catégories, il n’existe pas de série publique officielle nationale donnant, année par année, le nombre d’implantations par type de local interne. Les sources publiques donnent surtout le nombre global de commissariats / points d’accueil et des orientations d’organisation, pas un inventaire statistique des zones de sûreté, antennes de proximité ou salles de réunion ouvertes au public. </t>
  </si>
  <si>
    <t>Commissariats / postes de police - postes de proximité et antennes avec accueil public</t>
  </si>
  <si>
    <t>Commissariats / postes de police - salles de réunion, de prévention ou de conférence ouvertes au public</t>
  </si>
  <si>
    <t xml:space="preserve">Le meilleur point d’ancrage récent côté parc global est le suivant : le ministère de l’Intérieur indique qu’en 2022, en France métropolitaine, il y avait plus de 700 commissariats de police accessibles au public ; la Police nationale mentionne par ailleurs des dispositifs déployés dans 726 commissariats français en 2026. Cela permet de cadrer un ordre de grandeur national autour de 700 à 726 sites selon le périmètre exact retenu. </t>
  </si>
  <si>
    <t>Deux éléments de fond aident à répartir ce parc :</t>
  </si>
  <si>
    <t xml:space="preserve">en 2000, la police de proximité est généralisée à toutes les circonscriptions relevant de la police nationale, ce qui tirait vers le haut le nombre de postes de proximité / antennes avec accueil ; </t>
  </si>
  <si>
    <t xml:space="preserve">à partir de la police de sécurité du quotidien (2017-2018), l’État précise qu’il ne s’agit pas de recréer des postes de police dans les quartiers, ce qui va plutôt dans le sens d’un réseau plus concentré sur des commissariats principaux et des modalités d’accueil plus hybrides. </t>
  </si>
  <si>
    <t xml:space="preserve">Du coup, la réponse la plus honnête est une estimation structurée, avec un point important : ces trois catégories ne sont pas additives. Un même site peut relever à la fois de la catégorie 1 et de la catégorie 3, par exemple. </t>
  </si>
  <si>
    <t>Estimations</t>
  </si>
  <si>
    <t>1) Commissariats / postes de police — locaux de sûreté, garde à vue et zones opérationnelles</t>
  </si>
  <si>
    <t xml:space="preserve">Interprétation retenue : sites de plein exercice disposant d’une capacité de sûreté / garde à vue et d’espaces opérationnels permanents. Cela correspond en pratique au noyau des commissariats principaux et à une partie des postes les plus complets, mais pas aux simples antennes d’accueil. Cette lecture est cohérente avec les observations du CGLPL, qui ciblent les commissariats et leurs locaux de garde à vue, et avec la distinction public / sûreté visible dans les sources police. </t>
  </si>
  <si>
    <t>Établissements</t>
  </si>
  <si>
    <t>600 à 620</t>
  </si>
  <si>
    <t xml:space="preserve">Lecture : je pars d’un parc total autour de 700–726 et j’estime qu’environ 85–90 % des sites de plein exercice relèvent de cette catégorie, avec une légère baisse tendancielle liée à la concentration des fonctions lourdes sur les implantations principales. C’est une inférence, pas un chiffre publié. </t>
  </si>
  <si>
    <t>2) Commissariats / postes de police — postes de proximité et antennes avec accueil public</t>
  </si>
  <si>
    <t xml:space="preserve">Interprétation retenue : petites implantations d’accueil, points de contact ou antennes de proximité ne disposant pas nécessairement de l’ensemble des fonctions de sûreté lourde. La dynamique historique la plus plausible est : niveau élevé au moment de la police de proximité, puis baisse après son abandon, sans retour massif après 2017 puisque la PSQ précise qu’elle ne vise pas à recréer des postes de quartier. </t>
  </si>
  <si>
    <t>40 à 60</t>
  </si>
  <si>
    <t xml:space="preserve">Lecture : c’est la série la plus sensible aux choix de définition. Le sens de la tendance est relativement robuste, mais le niveau exact est très incertain faute de publication nationale dédiée. </t>
  </si>
  <si>
    <t>3) Commissariats / postes de police — salles de réunion, de prévention ou de conférence ouvertes au public</t>
  </si>
  <si>
    <t xml:space="preserve">Interprétation retenue : sites disposant d’un espace identifiable pour des actions de prévention, réunions publiques, partenariats locaux, accueil d’associations ou dispositifs d’aide aux victimes. Ici, il ne s’agit pas d’une catégorie immobilière suivie statistiquement ; on est donc sur l’estimation la plus fragile des trois. Les politiques récentes d’amélioration de l’accueil des victimes et de partenariat local suggèrent toutefois que ce type d’espace reste présent dans une fraction non négligeable du parc. </t>
  </si>
  <si>
    <t>80 à 95</t>
  </si>
  <si>
    <t xml:space="preserve">Lecture : ici, la tendance est plus plate que pour les antennes de proximité, parce que ces salles peuvent exister à l’intérieur de commissariats principaux qui, eux, restent dans le parc durable. </t>
  </si>
  <si>
    <t>Synthèse rapide</t>
  </si>
  <si>
    <t>Catégorie</t>
  </si>
  <si>
    <t>Locaux de sûreté / GAV / zones opérationnelles</t>
  </si>
  <si>
    <t>600–620</t>
  </si>
  <si>
    <t>Postes de proximité / antennes avec accueil public</t>
  </si>
  <si>
    <t>40–60</t>
  </si>
  <si>
    <t>Salles de réunion / prévention / conférence ouvertes au public</t>
  </si>
  <si>
    <t>80–95</t>
  </si>
  <si>
    <t>Ce que je vous recommande d’écrire dans un tableau</t>
  </si>
  <si>
    <t>Pour rester rigoureux, je mettrais comme intitulé :</t>
  </si>
  <si>
    <t>“Commissariats / postes de police en France — estimations par type fonctionnel de site ou d’aménagement, hors série statistique officielle”</t>
  </si>
  <si>
    <t>Forces armées</t>
  </si>
  <si>
    <t>Forces armées - centres de recrutement et bureaux d’information</t>
  </si>
  <si>
    <t>Oui — vous avez raison. 80 constant est trop mécanique.</t>
  </si>
  <si>
    <t>Forces armées - restaurants ou équipements sportifs ouverts au public sur emprise militaire</t>
  </si>
  <si>
    <t>Forces armées - hôpitaux d’instruction des armées et centres médicaux recevant du public</t>
  </si>
  <si>
    <t>La donnée publique que je peux ancrer aujourd’hui est :</t>
  </si>
  <si>
    <t>Forces armées - salles de conférence, auditoriums et espaces événementiels ouverts au public</t>
  </si>
  <si>
    <t xml:space="preserve">100 CIRFA dans l’annuaire Service-Public sur tout le territoire ; </t>
  </si>
  <si>
    <t xml:space="preserve">et 110 CIRFA cités par l’armée de Terre “au niveau local”, ce qui montre qu’on est bien sur un ordre de grandeur autour de 100, selon le périmètre exact retenu. </t>
  </si>
  <si>
    <t>Comme je n’ai pas trouvé de série historique officielle annuelle pour 2000–2025, la bonne méthode est de reconstruire une trajectoire plausible plutôt qu’une ligne plate. Cette trajectoire doit rester cohérente avec :</t>
  </si>
  <si>
    <t xml:space="preserve">la baisse rapide des effectifs et les restructurations entre 1997 et 2015 ; </t>
  </si>
  <si>
    <t xml:space="preserve">puis le redressement relatif engagé par la LPM 2019–2025. </t>
  </si>
  <si>
    <t>Série révisée proposée</t>
  </si>
  <si>
    <t>Pour “Forces armées - centres de recrutement et bureaux d’information”, je vous propose désormais :</t>
  </si>
  <si>
    <t>Chiffre révisé</t>
  </si>
  <si>
    <t>Pourquoi cette nouvelle série</t>
  </si>
  <si>
    <t>2005 un peu plus haut que 2000 : le modèle de recrutement professionnalisé est alors bien installé.</t>
  </si>
  <si>
    <t xml:space="preserve">2010–2015 en baisse : cela colle mieux au cycle de rationalisation/déflation des armées observé sur cette période. </t>
  </si>
  <si>
    <t xml:space="preserve">2020–2025 en remontée : cohérent avec le regain d’effort de recrutement et le niveau public actuel proche de 100. </t>
  </si>
  <si>
    <t>2030 : légère hausse seulement, car rien ne justifie une explosion du réseau physique.</t>
  </si>
  <si>
    <t>Maisons d’arrêt</t>
  </si>
  <si>
    <t>Oui. J’ai repris votre demande au sens “site / établissement physique” et j’ai séparé ce qui est officiel de ce qui relève d’une reconstitution ou d’une projection.</t>
  </si>
  <si>
    <t>Centres de détention</t>
  </si>
  <si>
    <t xml:space="preserve">Pour le pénitentiaire, on dispose de très bons points d’ancrage publics en 2002, 2005, 2010, 2015, 2020, puis d’un total courant en 2025 ; pour le judiciaire, certaines séries sont solides (MJD, tribunaux de commerce, prud’hommes), alors que les catégories “palais de justice multi-usages” et “autres bâtiments judiciaires autonomes” doivent être reconstituées à partir des totaux de sites judiciaires. </t>
  </si>
  <si>
    <t>Maisons centrales</t>
  </si>
  <si>
    <t>Centres pénitentiaires</t>
  </si>
  <si>
    <t>1) Pénitentiaire</t>
  </si>
  <si>
    <t>Centres de semi-liberté</t>
  </si>
  <si>
    <t>Centres pour peines aménagées</t>
  </si>
  <si>
    <t>Centres éducatifs fermés</t>
  </si>
  <si>
    <t>Unités hospitalières sécurisées</t>
  </si>
  <si>
    <t>0*</t>
  </si>
  <si>
    <t>2*</t>
  </si>
  <si>
    <t>0**</t>
  </si>
  <si>
    <t>* en 2010 et 2015, les sources parlent surtout de quartiers / QPA, pas toujours de centres autonomes.</t>
  </si>
  <si>
    <t>** en 2020, le parc officiel recense 9 quartiers pour peines aménagées, pas un réseau clair de centres autonomes ; en 2025, les CPA sont remplacés par les SAS.</t>
  </si>
  <si>
    <t xml:space="preserve">Les points d’ancrage officiels sont robustes : en 2002, l’administration pénitentiaire comptait 117 maisons d’arrêt, 23 centres de détention, 6 maisons centrales, 26 centres pénitentiaires et 13 centres de semi-liberté autonomes ; en 2005, 115 / 24 / 5 / 31 / 13 ; en 2010, 106 / 24 / 6 / 37 / 12 ; en 2015, 91 / 25 / 6 / 46 / 11 ; en 2020, 81 / 25 / 6 / 59 / 9. J’ai donc utilisé 2000 comme estimation rétropolée à partir de 2002, puis 2025 comme estimation cohérente avec le total actuel de 186 établissements pénitentiaires et la disparition des CPA au profit des SAS. </t>
  </si>
  <si>
    <t>2) Protection judiciaire de la jeunesse et santé sécurisée</t>
  </si>
  <si>
    <t>Unités hospitalières sécurisées***</t>
  </si>
  <si>
    <t>*** j’additionne ici UHSI + UHSA, qui est l’interprétation la plus logique de “unités hospitalières sécurisées”.</t>
  </si>
  <si>
    <t xml:space="preserve">Pour les CEF, le jalon officiel le plus clair est la chronologie du ministère : 30 projets sur 2002-2006, 12 entre 2007-2011, 9 entre 2012-2016, et 51 CEF déjà en activité en 2018 ; en 2025, seules 4 des 22 nouvelles structures annoncées en 2019 étaient effectivement ouvertes. D’où la série 0 / 20 / 42 / 50 / 51 / 55 / 73. </t>
  </si>
  <si>
    <t>Pour les unités hospitalières sécurisées, le socle est plus simple : les 8 UHSI étaient prévues au milieu des années 2000, puis les UHSA se sont ajoutées. En 2015, le ministère recense 8 UHSI et 7 UHSA, soit 15 unités. J’en déduis une montée en charge de 3 en 2005, 9 en 2010, puis 17 vers 2020-2025 une fois le réseau UHSA quasiment achevé.</t>
  </si>
  <si>
    <t>Tribunaux</t>
  </si>
  <si>
    <t>Palais de justice et bâtiments judiciaires multi-usages</t>
  </si>
  <si>
    <t>3) Justice de proximité</t>
  </si>
  <si>
    <t>Maisons de justice et du droit</t>
  </si>
  <si>
    <t>Tribunaux de commerce autonomes</t>
  </si>
  <si>
    <t>Conseils de prud’hommes autonomes</t>
  </si>
  <si>
    <t>Autres bâtiments judiciaires autonomes recevant du public</t>
  </si>
  <si>
    <t xml:space="preserve">Ici, la série est assez bonne. Le rapport officiel sur les MJD indique 103 en 2002, 120 en 2005, 123 en 2006-2007 ; un autre document officiel donne 130 en 2010 ; le ministère recense en 2023 149 MJD, dont 146 en activité. J’ai donc estimé 2000 à 63 à partir du rythme de création connu avant 2002, puis interpolé 2015 et 2020, avant une projection modérée à 155 en 2030. </t>
  </si>
  <si>
    <t>4) Juridictions spécialisées autonomes</t>
  </si>
  <si>
    <t xml:space="preserve">Les séries sont ici bien documentées par les réformes de carte judiciaire. Les statistiques publiques donnent 191 tribunaux de commerce et 271 conseils de prud’hommes au début des années 2000, puis 185 / 271 en 2005, 135 / 210 en 2010 après la réforme de 2008-2009. En 2025, on est à 134 tribunaux de commerce et 211 conseils de prud’hommes. J’ai donc gardé un plateau quasi stable depuis la réforme. </t>
  </si>
  <si>
    <t>5) Bâtiments judiciaires recevant du public</t>
  </si>
  <si>
    <t xml:space="preserve">C’est la partie la plus fragile méthodologiquement. Les sources officielles donnent surtout des totaux de sites judiciaires : 773 sites au début des années 2000, puis 750 sites après la réforme de la carte judiciaire. Elles ne fournissent pas de ventilation prête à l’emploi entre “palais de justice multi-usages” et “autres bâtiments judiciaires autonomes”. J’ai donc reconstitué ces deux lignes en retranchant des totaux de sites les catégories autonomes bien identifiées (tribunaux de commerce, prud’hommes, MJD) et en faisant l’hypothèse d’un noyau relativement stable d’environ 160 à 180 grands sites judiciaires polyvalents. Il faut lire ces deux lignes comme des ordres de grandeur, pas comme une série officielle publiée telle quelle. </t>
  </si>
  <si>
    <t>Série récapitulative unique</t>
  </si>
  <si>
    <t>Ce que je vous recommande d’utiliser tel quel</t>
  </si>
  <si>
    <t xml:space="preserve">Très fiable : maisons d’arrêt, centres de détention, maisons centrales, centres pénitentiaires, centres de semi-liberté, MJD, tribunaux de commerce, conseils de prud’hommes. </t>
  </si>
  <si>
    <t xml:space="preserve">Fiabilité moyenne : CEF, unités hospitalières sécurisées, CPA. </t>
  </si>
  <si>
    <t>Fiabilité prudente : “palais de justice et bâtiments judiciaires multi-usages” et “autres bâtiments judiciaires autonomes recevant du public”, qui sont des catégories reconstruites.</t>
  </si>
  <si>
    <t>ID</t>
  </si>
  <si>
    <t>Catégorie chapeau</t>
  </si>
  <si>
    <t>Catégorie principale</t>
  </si>
  <si>
    <t>Sous-catégorie</t>
  </si>
  <si>
    <t>Type ERP principal</t>
  </si>
  <si>
    <t>Type de classement</t>
  </si>
  <si>
    <t>Notes de classement</t>
  </si>
  <si>
    <t>Exemples</t>
  </si>
  <si>
    <t>ERP / hors ERP / mixte</t>
  </si>
  <si>
    <t>Accueil du public : oui/non/variable</t>
  </si>
  <si>
    <t>Présence de sommeil : oui/non/variable</t>
  </si>
  <si>
    <t>Espaces sanitaires collectifs (WC et/ou douche)</t>
  </si>
  <si>
    <t>Unité de compte retenue</t>
  </si>
  <si>
    <t>Risque de doublon ERP</t>
  </si>
  <si>
    <t>Doublon potentiel avec</t>
  </si>
  <si>
    <t>Sous-catégorie incluse dans</t>
  </si>
  <si>
    <t>Justification de stagnation / faible variation</t>
  </si>
  <si>
    <t>Surface moyenne 2026 (m² / établissement)</t>
  </si>
  <si>
    <t>Capacité instantanée moyenne 2026 (places/lits/usagers)</t>
  </si>
  <si>
    <t>Inclure dans Total France (1/0)</t>
  </si>
  <si>
    <t>Justification de la projection</t>
  </si>
  <si>
    <t>Sources (URL)</t>
  </si>
  <si>
    <t>2000</t>
  </si>
  <si>
    <t>2005</t>
  </si>
  <si>
    <t>2010</t>
  </si>
  <si>
    <t>2015</t>
  </si>
  <si>
    <t>2016</t>
  </si>
  <si>
    <t>2017</t>
  </si>
  <si>
    <t>2018</t>
  </si>
  <si>
    <t>2019</t>
  </si>
  <si>
    <t>2020</t>
  </si>
  <si>
    <t>2021</t>
  </si>
  <si>
    <t>2022</t>
  </si>
  <si>
    <t>2023</t>
  </si>
  <si>
    <t>2024</t>
  </si>
  <si>
    <t>2025</t>
  </si>
  <si>
    <t>2026</t>
  </si>
  <si>
    <t>2027</t>
  </si>
  <si>
    <t>2028</t>
  </si>
  <si>
    <t>2029</t>
  </si>
  <si>
    <t>2030</t>
  </si>
  <si>
    <t>TOTAL</t>
  </si>
  <si>
    <t>France</t>
  </si>
  <si>
    <t>TOTAL FRANCE (formule pilotée par la colonne « Inclure dans Total France (1/0) »)</t>
  </si>
  <si>
    <t>formule</t>
  </si>
  <si>
    <t>Le total additionne uniquement les lignes marquées 1 ; vous pouvez modifier ces drapeaux pour inclure/exclure des sous-catégories.</t>
  </si>
  <si>
    <t>-</t>
  </si>
  <si>
    <t>Formation</t>
  </si>
  <si>
    <t>Auto-écoles</t>
  </si>
  <si>
    <t>R ou W</t>
  </si>
  <si>
    <t>Classement selon activité dominante et configuration.</t>
  </si>
  <si>
    <t>Auto-école avec salle de cours</t>
  </si>
  <si>
    <t>variable</t>
  </si>
  <si>
    <t>non</t>
  </si>
  <si>
    <t>site / établissement principal</t>
  </si>
  <si>
    <t>proxy public / estimation encadrée</t>
  </si>
  <si>
    <t>faible</t>
  </si>
  <si>
    <t>Pas de stagnation structurelle : la série évolue à la baisse sur la période 2000-2026 ; la projection prolonge cette tendance avec prudence.</t>
  </si>
  <si>
    <t>proxy SIRUS/BPE catégorie école de conduite. Dynamique projetée 2027-2030: baisse légère. Fiabilité: faible.</t>
  </si>
  <si>
    <t>https://www.insee.fr/fr/metadonnees/source/fichier/BPE_evol_1924_liste_a_plat_TYPEQU.html</t>
  </si>
  <si>
    <t>Petite enfance</t>
  </si>
  <si>
    <t>Haltes-garderies</t>
  </si>
  <si>
    <t>R</t>
  </si>
  <si>
    <t>Accueil occasionnel de jeunes enfants.</t>
  </si>
  <si>
    <t>Halte-garderie, jardin d’enfants</t>
  </si>
  <si>
    <t>oui</t>
  </si>
  <si>
    <t>proxy DREES; recul au profit des crèches et micro-crèches. Dynamique projetée 2027-2030: baisse structurelle. Fiabilité: faible.</t>
  </si>
  <si>
    <t>https://drees.solidarites-sante.gouv.fr/communique-de-presse-jeux-de-donnees/jeux-de-donnees/250528_DATA_donnees-departementales-sur-l-offre-daccueil-du-jeune-enfant-2023</t>
  </si>
  <si>
    <t>Jardins d’enfants</t>
  </si>
  <si>
    <t>Relève du secteur enseignement / éveil.</t>
  </si>
  <si>
    <t>Jardin d’enfants privé</t>
  </si>
  <si>
    <t>estimation sectorielle. Dynamique projetée 2027-2030: baisse structurelle. Fiabilité: faible.</t>
  </si>
  <si>
    <t>Autres établissements spécialisés pour personnes âgées</t>
  </si>
  <si>
    <t>Variable</t>
  </si>
  <si>
    <t>Cas particulier</t>
  </si>
  <si>
    <t>Catégorie de regroupement pour structures spécialisées non couvertes ailleurs ; classement selon l’activité dominante, le niveau de soins, l’hébergement et l’ouverture au public.</t>
  </si>
  <si>
    <t>Petite unité de vie, maison d’accueil rurale, structure spécialisée seniors</t>
  </si>
  <si>
    <t>mixte</t>
  </si>
  <si>
    <t>proxy résiduel / catégorie non homogène</t>
  </si>
  <si>
    <t>EHPAD ; Résidences autonomie / foyers-logements ; USLD</t>
  </si>
  <si>
    <t>Faute de série nationale homogène publiée annuellement pour cette sous-catégorie, le proxy est lissé ; la faible variation reflète une prudence méthodologique.</t>
  </si>
  <si>
    <t>Catégorie résiduelle et hétérogène ; la projection reste plate par prudence pour éviter des doubles comptes. Fiabilité: faible.</t>
  </si>
  <si>
    <t>https://drees.solidarites-sante.gouv.fr/jeux-de-donnees/jeux-de-donnees/les-residents-en-etablissements-dhebergement-pour-personnes-agees</t>
  </si>
  <si>
    <t>Habitat inclusif / habitats regroupés seniors</t>
  </si>
  <si>
    <t>Logements privatifs avec espaces partagés et projet de vie sociale ; le classement dépend de la configuration immobilière et de l’ouverture au public.</t>
  </si>
  <si>
    <t>Habitat inclusif seniors, béguinage, habitat regroupé seniors</t>
  </si>
  <si>
    <t>proxy habitat accompagné / estimation encadrée</t>
  </si>
  <si>
    <t>Résidences autonomie / foyers-logements ; Résidences services seniors</t>
  </si>
  <si>
    <t>Pas de stagnation structurelle : la série évolue à la hausse sur la période 2000-2026 ; la projection prolonge cette tendance avec prudence.</t>
  </si>
  <si>
    <t>Catégorie en développement mais encore mal couverte statistiquement ; projection modérément haussière. Fiabilité: faible.</t>
  </si>
  <si>
    <t>https://drees.solidarites-sante.gouv.fr/sites/default/files/2025-09/PAPH%20-%20Fiche%2009%20-%20Les%20%C3%A9tablissements%20d%E2%80%99h%C3%A9bergement%20pour%20personnes%20%C3%A2g%C3%A9es_0.pdf</t>
  </si>
  <si>
    <t>Hébergements temporaires seniors</t>
  </si>
  <si>
    <t>Accueil temporaire pour personnes âgées, souvent adossé à un EHPAD ou à une autre structure ; classement selon l’établissement support et l’exploitation.</t>
  </si>
  <si>
    <t>Hébergement temporaire, accueil de répit avec nuitées</t>
  </si>
  <si>
    <t>sous-produit de structures seniors / proxy non additif</t>
  </si>
  <si>
    <t>EHPAD ; Résidences autonomie / foyers-logements ; Résidences services seniors</t>
  </si>
  <si>
    <t>L’hébergement temporaire est souvent adossé à d’autres structures seniors ; projection en légère hausse mais non additive. Fiabilité: faible.</t>
  </si>
  <si>
    <t>Centres de documentation</t>
  </si>
  <si>
    <t>S</t>
  </si>
  <si>
    <t>Consultation documentaire.</t>
  </si>
  <si>
    <t>Centre de documentation spécialisé</t>
  </si>
  <si>
    <t>proxy public / stock documentaire spécifique</t>
  </si>
  <si>
    <t>Bibliothèques / médiathèques (lorsqu’il s’agit d’un service interne)</t>
  </si>
  <si>
    <t>Série conservatrice ; le stock autonome de centres de documentation varie peu et se recoupe parfois avec bibliothèques/médiathèques. Fiabilité: faible.</t>
  </si>
  <si>
    <t>https://www.insee.fr/fr/metadonnees/source/serie/s1161</t>
  </si>
  <si>
    <t>Showrooms / halls de vente</t>
  </si>
  <si>
    <t>M</t>
  </si>
  <si>
    <t>Vente et démonstration.</t>
  </si>
  <si>
    <t>Showroom automobile, showroom ameublement</t>
  </si>
  <si>
    <t>proxy commerce spécialisé / estimation encadrée</t>
  </si>
  <si>
    <t>Centres commerciaux / malls ; Industrie + logistique + stockage</t>
  </si>
  <si>
    <t>Proxy large sur les espaces commerciaux de démonstration, conservé stable faute de série nationale homogène. Fiabilité: faible.</t>
  </si>
  <si>
    <t>Administrations / bureaux</t>
  </si>
  <si>
    <t>Bureaux avec accueil du public</t>
  </si>
  <si>
    <t>W</t>
  </si>
  <si>
    <t>Immeuble tertiaire, siège administratif</t>
  </si>
  <si>
    <t>proxy large / parc tertiaire recevant du public</t>
  </si>
  <si>
    <t>Mairies / hôtels de ville ; Maisons France Services / guichets publics ; Préfectures / services administratifs ; Centres de santé / centres médicaux ; Auto-écoles ; Centres de formation / CFA</t>
  </si>
  <si>
    <t>Catégorie volontairement large et non homogène ; le proxy reste stable pour éviter d’additionner plusieurs sous-catégories déjà détaillées. Fiabilité: faible.</t>
  </si>
  <si>
    <t>Sanitaires publics</t>
  </si>
  <si>
    <t>Toilettes publiques (sur la voie publique)</t>
  </si>
  <si>
    <t>Souvent équipement isolé / non type autonome</t>
  </si>
  <si>
    <t>Pas de type ERP autonome.</t>
  </si>
  <si>
    <t>Sanisette, bloc sanitaires public</t>
  </si>
  <si>
    <t>proxy équipements d’hygiène urbaine. Dynamique projetée 2027-2030: hausse légère. Fiabilité: faible.</t>
  </si>
  <si>
    <t>Industrie et logistique</t>
  </si>
  <si>
    <t>Industrie / logistique</t>
  </si>
  <si>
    <t>Industrie + logistique + stockage</t>
  </si>
  <si>
    <t>Souvent hors ERP autonome</t>
  </si>
  <si>
    <t>Le site industriel, logistique ou de stockage n’est pas un type ERP en soi.</t>
  </si>
  <si>
    <t>Site industriel avec showroom</t>
  </si>
  <si>
    <t>sous-espace / proxy non additif</t>
  </si>
  <si>
    <t>Showrooms / halls de vente ; Bureaux avec accueil du public ; Restaurants</t>
  </si>
  <si>
    <t>Sous-espace rattaché à un site parent ; la série varie peu car elle suit un stock principal administré et non un marché autonome.</t>
  </si>
  <si>
    <t>proxy sites industriels/logistiques avec accueil du public. Dynamique projetée 2027-2030: hausse légère. Fiabilité: faible. Risque de doublon: oui si addition avec la catégorie parente ou avec des sous-espaces d’un même site.</t>
  </si>
  <si>
    <t>https://www.insee.fr/fr/statistiques/2011101</t>
  </si>
  <si>
    <t>Segment
Principal</t>
  </si>
  <si>
    <t>Sous-Segment</t>
  </si>
  <si>
    <t>ERP
Hors ERP
Mixte</t>
  </si>
  <si>
    <t>Accueil Public : oui/non
variable</t>
  </si>
  <si>
    <t>Présence de sommeil
(oui-non
variable)</t>
  </si>
  <si>
    <t>Espaces sanitaires collectifs
(WC et/ou douche)</t>
  </si>
  <si>
    <t>Sous-catégorie incluse dans …</t>
  </si>
  <si>
    <t>Commerce, Restauration &amp; Loisirs</t>
  </si>
  <si>
    <t>Commerce alimentaire de proximité</t>
  </si>
  <si>
    <t>Boulangeries / pâtisseries artisanales</t>
  </si>
  <si>
    <t>Petit commerce alimentaire recevant du public. Très fréquent dans le tissu de proximité ; sanitaires publics non systématiques mais sanitaires personnel fréquents.</t>
  </si>
  <si>
    <t>Boulangerie, pâtisserie, terminal de cuisson</t>
  </si>
  <si>
    <t>Site / point de vente</t>
  </si>
  <si>
    <t>estimation de structure / ordre de grandeur</t>
  </si>
  <si>
    <t>Moyen</t>
  </si>
  <si>
    <t>Boucheries / charcuteries / poissonneries</t>
  </si>
  <si>
    <t>Petit commerce alimentaire recevant du public ; souvent omis dans les listes macros de grands équipements.</t>
  </si>
  <si>
    <t>Boucherie, charcuterie, poissonnerie</t>
  </si>
  <si>
    <t>Épiceries / supérettes / commerces alimentaires spécialisés</t>
  </si>
  <si>
    <t>Commerces alimentaires de proximité avec accueil public ; gros volume diffus de 5e catégorie.</t>
  </si>
  <si>
    <t>Supérette, épicerie fine, magasin bio, primeur</t>
  </si>
  <si>
    <t>Grande distribution alimentaire</t>
  </si>
  <si>
    <t>Supermarchés / hypermarchés / drives avec accueil public</t>
  </si>
  <si>
    <t>Grands commerces alimentaires recevant du public ; à distinguer des seuls centres commerciaux.</t>
  </si>
  <si>
    <t>Supermarché, hypermarché, drive avec accueil clientèle</t>
  </si>
  <si>
    <t>Site / magasin</t>
  </si>
  <si>
    <t>Commerce santé-beauté</t>
  </si>
  <si>
    <t>Pharmacies d’officine</t>
  </si>
  <si>
    <t>Officines ouvertes au public ; sous-segment massif si seules les structures de santé sont comptées.</t>
  </si>
  <si>
    <t>Pharmacie de centre-ville, pharmacie de quartier</t>
  </si>
  <si>
    <t>Site / officine</t>
  </si>
  <si>
    <t>source sectorielle officielle</t>
  </si>
  <si>
    <t>Elevé</t>
  </si>
  <si>
    <t>Services personnels</t>
  </si>
  <si>
    <t>Salons de coiffure / barbiers</t>
  </si>
  <si>
    <t>Très grand volume de petits ERP de proximité, souvent absents des listes d’équipements.</t>
  </si>
  <si>
    <t>Salon de coiffure, barber shop</t>
  </si>
  <si>
    <t>Instituts de beauté / ongleries / esthétiques</t>
  </si>
  <si>
    <t>Réseau très diffus de petits établissements recevant du public.</t>
  </si>
  <si>
    <t>Institut de beauté, onglerie, esthéticienne en local</t>
  </si>
  <si>
    <t>Opticiens / audioprothésistes / appareillage recevant du public</t>
  </si>
  <si>
    <t>Commerces spécialisés avec accueil public régulier.</t>
  </si>
  <si>
    <t>Opticien, audioprothésiste, magasin d’appareillage</t>
  </si>
  <si>
    <t>Commerce non alimentaire</t>
  </si>
  <si>
    <t>Magasins d’habillement / chaussures / accessoires</t>
  </si>
  <si>
    <t>Commerces de détail recevant du public ; fortement sous-représentés si l’on ne retient que les malls.</t>
  </si>
  <si>
    <t>Boutique de vêtements, magasin de chaussures</t>
  </si>
  <si>
    <t>Librairies / papeteries / presse</t>
  </si>
  <si>
    <t>Commerces culturels et de proximité avec accueil public.</t>
  </si>
  <si>
    <t>Librairie, papeterie, maison de la presse</t>
  </si>
  <si>
    <t>Bureaux de tabac / presse-tabac / FDJ</t>
  </si>
  <si>
    <t>Réseau dense de commerces de proximité recevant du public.</t>
  </si>
  <si>
    <t>Bureau de tabac, presse-tabac, point FDJ</t>
  </si>
  <si>
    <t>Fleuristes / jardineries de proximité</t>
  </si>
  <si>
    <t>Commerces spécialisés de proximité recevant du public.</t>
  </si>
  <si>
    <t>Fleuriste, jardinerie de centre-ville</t>
  </si>
  <si>
    <t>Autres petits commerces de proximité recevant du public</t>
  </si>
  <si>
    <t>Ligne de rebouclage partiel pour le long tail non exhaustif : téléphonie, cadeaux, maroquinerie, retouche, etc.</t>
  </si>
  <si>
    <t>Boutique de proximité diverse</t>
  </si>
  <si>
    <t>estimation de rebouclage partiel</t>
  </si>
  <si>
    <t>Faible</t>
  </si>
  <si>
    <t>Santé &amp; Médico-social</t>
  </si>
  <si>
    <t>Santé ambulatoire</t>
  </si>
  <si>
    <t>Cabinets médicaux libéraux recevant du public</t>
  </si>
  <si>
    <t>U ou W</t>
  </si>
  <si>
    <t>Angle mort majeur si l’on ne compte que centres de santé et maisons de santé.</t>
  </si>
  <si>
    <t>Cabinet de généraliste, cabinet de spécialistes</t>
  </si>
  <si>
    <t>Cabinet / site d’exercice</t>
  </si>
  <si>
    <t>estimation proxy à partir des professionnels</t>
  </si>
  <si>
    <t>Cabinets dentaires</t>
  </si>
  <si>
    <t>Sous-segment ambulatoire fréquent recevant du public.</t>
  </si>
  <si>
    <t>Cabinet dentaire, centre dentaire de proximité</t>
  </si>
  <si>
    <t>Cabinets paramédicaux libéraux</t>
  </si>
  <si>
    <t>Kiné, orthophonie, orthoptie, pédicure-podologie, etc. ; très diffus et souvent omis.</t>
  </si>
  <si>
    <t>Cabinet de kiné, cabinet d’orthophonie</t>
  </si>
  <si>
    <t>Laboratoires de biologie médicale et centres de prélèvement</t>
  </si>
  <si>
    <t>U</t>
  </si>
  <si>
    <t>Établissements ambulatoires recevant du public, distincts des hôpitaux et cliniques.</t>
  </si>
  <si>
    <t>Laboratoire d’analyses, centre de prélèvement</t>
  </si>
  <si>
    <t>Site / laboratoire</t>
  </si>
  <si>
    <t>Centres d’imagerie / radiologie autonomes</t>
  </si>
  <si>
    <t>Structures ambulatoires spécialisées recevant du public.</t>
  </si>
  <si>
    <t>Cabinet de radiologie, centre d’imagerie</t>
  </si>
  <si>
    <t>Site / centre</t>
  </si>
  <si>
    <t>Tertiaire &amp; Industriel</t>
  </si>
  <si>
    <t>Services financiers</t>
  </si>
  <si>
    <t>Agences bancaires ouvertes au public</t>
  </si>
  <si>
    <t>Accueil clientèle en agence ; à ne pas confondre avec les seuls bureaux tertiaires fermés au public.</t>
  </si>
  <si>
    <t>Agence bancaire de détail</t>
  </si>
  <si>
    <t>Site / agence</t>
  </si>
  <si>
    <t>estimation de structure</t>
  </si>
  <si>
    <t>Agences d’assurance / mutuelles / courtiers avec accueil</t>
  </si>
  <si>
    <t>Réseau diffus d’accueil clientèle.</t>
  </si>
  <si>
    <t>Agence d’assurance, mutuelle, courtier avec vitrine</t>
  </si>
  <si>
    <t>Services immobiliers</t>
  </si>
  <si>
    <t>Agences immobilières / syndics recevant du public</t>
  </si>
  <si>
    <t>Vitrines et accueil public fréquents, souvent non comptés dans les inventaires d’équipements.</t>
  </si>
  <si>
    <t>Agence immobilière, syndic de copropriété avec accueil</t>
  </si>
  <si>
    <t>Culte, Vie civique &amp; Services publics</t>
  </si>
  <si>
    <t>Services postaux</t>
  </si>
  <si>
    <t>Bureaux de poste / agences postales / relais poste</t>
  </si>
  <si>
    <t>Réseau postal de points de contact avec accueil public.</t>
  </si>
  <si>
    <t>Bureau de poste, agence postale, relais poste</t>
  </si>
  <si>
    <t>Point de contact</t>
  </si>
  <si>
    <t>source open data quasi exhaustive</t>
  </si>
  <si>
    <t>Transport, Mobilité &amp; Stationnement</t>
  </si>
  <si>
    <t>Matériel roulant ferroviaire</t>
  </si>
  <si>
    <t>Voitures voyageurs / wagons de train avec sanitaires embarqués</t>
  </si>
  <si>
    <t>N/A</t>
  </si>
  <si>
    <t>Hors ERP</t>
  </si>
  <si>
    <t>Matériel roulant relevant de l’accessibilité des transports, pas du parc ERP bâti.</t>
  </si>
  <si>
    <t>TGV, TER, Intercités</t>
  </si>
  <si>
    <t>Non additionnable au parc ERP</t>
  </si>
  <si>
    <t>hors périmètre ERP strict</t>
  </si>
  <si>
    <t>Matériel roulant aérien</t>
  </si>
  <si>
    <t>Aéronefs commerciaux avec WC à bord</t>
  </si>
  <si>
    <t>Transport aérien : équipement embarqué, hors périmètre ERP bâti.</t>
  </si>
  <si>
    <t>Avion de ligne</t>
  </si>
  <si>
    <t>Matériel roulant urbain / interurbain</t>
  </si>
  <si>
    <t>Bus, cars, rames de tram, métro, RER</t>
  </si>
  <si>
    <t>Transports publics et matériel roulant, non ERP au sens du code de la construction.</t>
  </si>
  <si>
    <t>Bus urbain, tramway, métro</t>
  </si>
  <si>
    <t>Blocs sanitaires fixes de plage / front de mer</t>
  </si>
  <si>
    <t>Selon l’implantation, peut relever du domaine public, d’un équipement balnéaire, d’une plage aménagée ou d’un établissement lié. À traiter au cas par cas pour éviter les doubles comptes.</t>
  </si>
  <si>
    <t>WC/douches fixes de plage, sanitaires de front de mer</t>
  </si>
  <si>
    <t>Bloc sanitaire / site</t>
  </si>
  <si>
    <t>cas limite / à vérifier localement</t>
  </si>
  <si>
    <t>Pourquoi risque de doublon ?</t>
  </si>
  <si>
    <t>Type de risque</t>
  </si>
  <si>
    <t>Recommandation de déduplication</t>
  </si>
  <si>
    <t>Inclure dans Total France par défaut (1/0)</t>
  </si>
  <si>
    <t>Source principale</t>
  </si>
  <si>
    <t>Des implantations ou emprises peuvent être comptées à la fois dans cette ligne et dans une autre ligne voisine, selon l’unité de compte retenue.</t>
  </si>
  <si>
    <t>co-localisation / recouvrement partiel</t>
  </si>
  <si>
    <t>Laisser la ligne à 0 dans la colonne « Inclure dans Total France » sauf si vous retirez les lignes plus fines/plus larges qui se recoupent.</t>
  </si>
  <si>
    <t>Catégorie transverse ou site mixte : le même lieu peut déjà être couvert par plusieurs sous-catégories plus fines.</t>
  </si>
  <si>
    <t>site mixte / recouvrement fonctionnel</t>
  </si>
  <si>
    <t>La sous-catégorie est généralement un sous-ensemble fonctionnel d’un site plus large déjà compté ailleurs.</t>
  </si>
  <si>
    <t>incluse dans une catégorie plus large</t>
  </si>
  <si>
    <t>Par défaut, ne pas sommer cette ligne avec Bibliothèques / médiathèques (lorsqu’il s’agit d’un service interne). Conserver une seule maille de compte dans le total France.</t>
  </si>
  <si>
    <t>La ligne décrit un sous-espace ou un usage interne d’un site principal et n’est donc pas additive avec le site parent.</t>
  </si>
  <si>
    <t>sous-espace / site parent</t>
  </si>
  <si>
    <t>Par défaut, ne pas sommer cette ligne avec EHPAD ; Résidences autonomie / foyers-logements ; USLD. Conserver une seule maille de compte dans le total France.</t>
  </si>
  <si>
    <t>Vérifier l’unité de compte et éviter de sommer cette ligne avec Résidences autonomie / foyers-logements ; Résidences services seniors lorsqu’un même site est susceptible d’être compté deux fois.</t>
  </si>
  <si>
    <t>Par défaut, ne pas sommer cette ligne avec EHPAD ; Résidences autonomie / foyers-logements ; Résidences services seniors. Conserver une seule maille de compte dans le total France.</t>
  </si>
  <si>
    <t>Résidences services seniors</t>
  </si>
  <si>
    <t>Résidences autonomie / foyers-logements ; Habitat inclusif / habitats regroupés seniors</t>
  </si>
  <si>
    <t>Vérifier l’unité de compte et éviter de sommer cette ligne avec Résidences autonomie / foyers-logements ; Habitat inclusif / habitats regroupés seniors lorsqu’un même site est susceptible d’être compté deux fois.</t>
  </si>
  <si>
    <t>Centres de santé / centres médicaux ; Bureaux avec accueil du public</t>
  </si>
  <si>
    <t>Vérifier l’unité de compte et éviter de sommer cette ligne avec Centres de santé / centres médicaux ; Bureaux avec accueil du public lorsqu’un même site est susceptible d’être compté deux fois.</t>
  </si>
  <si>
    <t>https://sante.gouv.fr/systeme-de-sante/structures-de-soins/article/les-maisons-de-sante-300889</t>
  </si>
  <si>
    <t>Cliniques</t>
  </si>
  <si>
    <t>Centres de rééducation ; Centres de psychiatrie ; Maternités</t>
  </si>
  <si>
    <t>Vérifier l’unité de compte et éviter de sommer cette ligne avec Centres de rééducation ; Centres de psychiatrie ; Maternités lorsqu’un même site est susceptible d’être compté deux fois.</t>
  </si>
  <si>
    <t>https://drees.solidarites-sante.gouv.fr/publications-communique-de-presse/etudes-et-resultats/251113_ER_etablissements-de-sante</t>
  </si>
  <si>
    <t>Centres de rééducation ; Centres de psychiatrie ; Maternités ; Hôpitaux d’instruction des armées et centres médicaux recevant du public</t>
  </si>
  <si>
    <t>Vérifier l’unité de compte et éviter de sommer cette ligne avec Centres de rééducation ; Centres de psychiatrie ; Maternités ; Hôpitaux d’instruction des armées et centres médicaux recevant du public lorsqu’un même site est susceptible d’être compté deux fois.</t>
  </si>
  <si>
    <t>Hôpitaux publics</t>
  </si>
  <si>
    <t>Hôpitaux universitaires / CHU ; Centres de psychiatrie ; Centres de rééducation ; Maternités ; Hôpitaux d’instruction des armées et centres médicaux recevant du public</t>
  </si>
  <si>
    <t>Vérifier l’unité de compte et éviter de sommer cette ligne avec Hôpitaux universitaires / CHU ; Centres de psychiatrie ; Centres de rééducation ; Maternités ; Hôpitaux d’instruction des armées et centres médicaux recevant du public lorsqu’un même site est susceptible d’être compté deux fois.</t>
  </si>
  <si>
    <t>Par défaut, ne pas sommer cette ligne avec Hôpitaux publics. Conserver une seule maille de compte dans le total France.</t>
  </si>
  <si>
    <t>Hôpitaux publics ; Hôpitaux privés ; Cliniques</t>
  </si>
  <si>
    <t>Par défaut, ne pas sommer cette ligne avec Hôpitaux publics ; Hôpitaux privés ; Cliniques. Conserver une seule maille de compte dans le total France.</t>
  </si>
  <si>
    <t>https://drees.solidarites-sante.gouv.fr/publications-communique-de-presse-documents-de-reference/panoramas-de-la-drees/250522_Panorama_etablissements-de-sante2025</t>
  </si>
  <si>
    <t>Centres de rééducation</t>
  </si>
  <si>
    <t>Maternités</t>
  </si>
  <si>
    <t>Hôpitaux publics ; Hôpitaux privés ; Cliniques (quand la maternité n’est pas autonome)</t>
  </si>
  <si>
    <t>Par défaut, ne pas sommer cette ligne avec Hôpitaux publics ; Hôpitaux privés ; Cliniques (quand la maternité n’est pas autonome). Conserver une seule maille de compte dans le total France.</t>
  </si>
  <si>
    <t>https://drees.solidarites-sante.gouv.fr/sites/default/files/2025-05/DREES%20-%20Pano%20-%20ES%202025%20-%20Fiche%2018_La%20naissance%20_les%20maternit%C3%A9s.pdf</t>
  </si>
  <si>
    <t>Commissariats / postes de police - halls d’accueil, guichets et zones de dépôt de plainte</t>
  </si>
  <si>
    <t>Vérifier l’unité de compte et éviter de sommer cette ligne avec Commissariats / postes de police - postes de proximité et antennes avec accueil public lorsqu’un même site est susceptible d’être compté deux fois.</t>
  </si>
  <si>
    <t>https://www.interieur.gouv.fr/actualites/communiques-de-presse/95-de-population-vit-a-moins-de-14-minutes-dun-lieu-daccueil-de</t>
  </si>
  <si>
    <t>Par défaut, ne pas sommer cette ligne avec Commissariats / postes de police - halls d’accueil, guichets et zones de dépôt de plainte. Conserver une seule maille de compte dans le total France.</t>
  </si>
  <si>
    <t>Commissariats / postes de police - halls d’accueil, guichets et zones de dépôt de plainte ; Commissariats / postes de police - postes de proximité et antennes avec accueil public</t>
  </si>
  <si>
    <t>Par défaut, ne pas sommer cette ligne avec Commissariats / postes de police - halls d’accueil, guichets et zones de dépôt de plainte ; Commissariats / postes de police - postes de proximité et antennes avec accueil public. Conserver une seule maille de compte dans le total France.</t>
  </si>
  <si>
    <t>Forces armées - Unités d'hébergement des militaires / réservistes</t>
  </si>
  <si>
    <t>Forces armées - centres de recrutement et bureaux d’information ; Forces armées - hôpitaux d’instruction des armées et centres médicaux recevant du public ; Forces armées - salles de conférence, auditoriums et espaces événementiels ouverts au public</t>
  </si>
  <si>
    <t>Ligne d’hébergement collectif interne à une emprise militaire ; elle n’est pas additive avec d’autres usages recevant ponctuellement du public sur le même site.</t>
  </si>
  <si>
    <t>sous-espace / hébergement interne</t>
  </si>
  <si>
    <t>Laisser la ligne à 0 dans la colonne « Inclure dans Total France » sauf si vous adoptez une convention spécifique de comptage des bâtiments d’hébergement collectif militaires.</t>
  </si>
  <si>
    <t>https://www.defense.gouv.fr/sites/default/files/ssm/EcoDef%20140.pdf ; https://www.ccomptes.fr/fr/publications/les-conditions-dhebergement-dans-les-bases-de-defense-exercices-2011-2021</t>
  </si>
  <si>
    <t>Vérifier l’unité de compte et éviter de sommer cette ligne avec Bureaux avec accueil du public lorsqu’un même site est susceptible d’être compté deux fois.</t>
  </si>
  <si>
    <t>https://www.defense.gouv.fr/sga/nous-rejoindre/cirfa</t>
  </si>
  <si>
    <t>Restaurants ; Cafés / bars / brasseries ; Gymnases / salles multisports ; Salles de fitness / dojos</t>
  </si>
  <si>
    <t>Laisser la ligne à 0 dans la colonne « Inclure dans Total France » sauf si vous retirez les lignes civiles plus larges qui se recoupent.</t>
  </si>
  <si>
    <t>https://www.defense.gouv.fr/</t>
  </si>
  <si>
    <t>Vérifier l’unité de compte et éviter de sommer cette ligne avec Hôpitaux publics ; Hôpitaux privés ; Cliniques lorsqu’un même site est susceptible d’être compté deux fois.</t>
  </si>
  <si>
    <t>https://www.defense.gouv.fr/sante</t>
  </si>
  <si>
    <t>Salles de conférence / réunion ; Salles de spectacle / auditoriums</t>
  </si>
  <si>
    <t>Centres pénitentiaires (lorsqu’un quartier maison d’arrêt est intégré à un site composite)</t>
  </si>
  <si>
    <t>Risque de recouvrement si l’unité de compte mélange établissement autonome et quartier fonctionnel au sein d’un centre pénitentiaire.</t>
  </si>
  <si>
    <t>site composite / recouvrement partiel</t>
  </si>
  <si>
    <t>Centres pénitentiaires (lorsqu’un quartier centre de détention est intégré à un site composite)</t>
  </si>
  <si>
    <t>Centres pénitentiaires (cas rares de restructuration de site)</t>
  </si>
  <si>
    <t>Risque limité mais possible en cas de lecture trop large des sites pénitentiaires spécialisés ou restructurés.</t>
  </si>
  <si>
    <t>recouvrement ponctuel</t>
  </si>
  <si>
    <t>Maisons d’arrêt ; Centres de détention</t>
  </si>
  <si>
    <t>Le centre pénitentiaire est un site composite pouvant regrouper plusieurs quartiers fonctionnels déjà décrits par d’autres sous-catégories.</t>
  </si>
  <si>
    <t>établissement composite / site parent</t>
  </si>
  <si>
    <t>Ces deux catégories sont proches dans leur finalité d’exécution aménagée et peuvent être confondues selon le périmètre retenu.</t>
  </si>
  <si>
    <t>recouvrement fonctionnel</t>
  </si>
  <si>
    <t>Le recouvrement tient surtout à la proximité fonctionnelle et à des périmètres d’inventaire différents ; ce n’est pas un doublon pénitentiaire strict.</t>
  </si>
  <si>
    <t>proximité fonctionnelle</t>
  </si>
  <si>
    <t>Les unités hospitalières sécurisées sont des composantes du champ sanitaire ; elles ne doivent pas être additionnées au parc hospitalier global.</t>
  </si>
  <si>
    <t>Tribunaux judiciaires</t>
  </si>
  <si>
    <t>Palais de justice et bâtiments judiciaires multi-usages ; Autres bâtiments judiciaires autonomes recevant du public</t>
  </si>
  <si>
    <t>Palais de justice et bâtiments judiciaires multi-usages (lorsque l’unité de compte retenue est le bâtiment)</t>
  </si>
  <si>
    <t>Risque de recouvrement si l’on mélange comptage par juridiction et comptage par bâtiment.</t>
  </si>
  <si>
    <t>juridiction vs bâtiment</t>
  </si>
  <si>
    <t>Tribunaux judiciaires ; Tribunaux de commerce autonomes ; Conseils de prud’hommes autonomes</t>
  </si>
  <si>
    <t>Un même palais peut accueillir plusieurs juridictions ; le site ne doit pas être additionné aux juridictions qui y siègent si l’unité de compte est le bâtiment.</t>
  </si>
  <si>
    <t>site multi-juridictions</t>
  </si>
  <si>
    <t>Le risque est limité mais certaines implantations de proximité peuvent être agrégées dans une catégorie résiduelle de bâtiments judiciaires autonomes.</t>
  </si>
  <si>
    <t>recouvrement partiel</t>
  </si>
  <si>
    <t>Risque de recouvrement si un tribunal de commerce est hébergé dans un palais de justice compté par site.</t>
  </si>
  <si>
    <t>Risque de recouvrement si le conseil de prud’hommes est hébergé dans un palais de justice compté par site.</t>
  </si>
  <si>
    <t>Tribunaux judiciaires ; Palais de justice et bâtiments judiciaires multi-usages ; Maisons de justice et du droit</t>
  </si>
  <si>
    <t>Catégorie résiduelle pouvant recouvrir des sites déjà comptés ailleurs si le périmètre n’est pas strictement défini.</t>
  </si>
  <si>
    <t>catégorie résiduelle / recouvrement partiel</t>
  </si>
  <si>
    <t>Stations-service ; Restaurants ; Fast-food / cafétérias / food courts ; Hôtels ; Parcs de stationnement couverts</t>
  </si>
  <si>
    <t>https://www.autoroutes.fr/fr/aires-de-services/</t>
  </si>
  <si>
    <t>Stations-service</t>
  </si>
  <si>
    <t>Vérifier l’unité de compte et éviter de sommer cette ligne avec Aires d’autoroute lorsqu’un même site est susceptible d’être compté deux fois.</t>
  </si>
  <si>
    <t>https://www.insee.fr/fr/statistiques/8610258?geo=FE-1</t>
  </si>
  <si>
    <t>Champ des séries</t>
  </si>
  <si>
    <t>Les années 2000-2026 sont remplies à partir de séries publiques directes quand elles existent ; sinon à partir de proxies publics / estimations encadrées. Certaines lignes sont recalées sur des ancrages 2024-2025 récents (BPE Insee, DEPP, Justice, Intérieur).</t>
  </si>
  <si>
    <t>Fiabilité</t>
  </si>
  <si>
    <t>bonne = série publique directe ou ancrage robuste ; moyenne = proxy proche, ancré par une source officielle récente ; faible = estimation sectorielle, catégorie résiduelle, ou sous-catégorie ne faisant pas l’objet d’une série publique homogène.</t>
  </si>
  <si>
    <t>Sous-catégories stables</t>
  </si>
  <si>
    <t>Quand une sous-catégorie varie peu ou pas, une justification explicite est désormais donnée dans la colonne « Justification de stagnation / faible variation ». Cette stabilité peut refléter soit un stock institutionnel mature, soit un lissage méthodologique prudent en l’absence de série homogène.</t>
  </si>
  <si>
    <t>Risque de doublon</t>
  </si>
  <si>
    <t>La colonne « Doublon potentiel avec » indique les autres sous-catégories susceptibles de recouper la ligne. La colonne « Sous-catégorie incluse dans » précise quand la ligne est généralement comprise dans une catégorie plus large.</t>
  </si>
  <si>
    <t>Total France (V2 comptable)</t>
  </si>
  <si>
    <t>Le total en ligne 2 de chaque onglet est une formule Excel pilotée par la colonne « Inclure dans Total France (1/0) ». Mettre 1 pour inclure la ligne dans le total, 0 pour l’exclure. Cela permet de tester différentes conventions de déduplication sans casser les séries.</t>
  </si>
  <si>
    <t>Interprétation du total</t>
  </si>
  <si>
    <t>Le total France n’a de sens qu’avec une unité de compte stable (site / établissement principal / entité d’exploitation). Les sous-espaces, emprises mixtes et catégories transverses sont exclus par défaut lorsqu’ils créent un risque fort de double comptage.</t>
  </si>
  <si>
    <t>Surface moyenne 2026</t>
  </si>
  <si>
    <t>La colonne « Surface moyenne 2026 » donne un ordre de grandeur moyen par établissement. Ce n’est pas une série officielle exhaustive : ce sont des benchmarks 2026, établis à partir d’ordres de grandeur publics, de ratios sectoriels quand disponibles et de proxys d’ingénierie d’exploitation.</t>
  </si>
  <si>
    <t>Capacité instantanée moyenne 2026</t>
  </si>
  <si>
    <t>La colonne « Capacité instantanée moyenne 2026 » correspond à des places / lits / usagers selon le type d’établissement. Elle sert à comparer l’ordre de grandeur opérationnel moyen d’un site ; elle ne constitue pas une norme réglementaire.</t>
  </si>
  <si>
    <t>Projections 2027-2030</t>
  </si>
  <si>
    <t>Les projections 2027-2030 prolongent les tendances récentes avec prudence. Elles sont peu dynamiques pour les stocks institutionnels stables ; plus dynamiques pour les segments clairement en croissance (par ex. CFA, certaines formes d’habitat seniors).</t>
  </si>
  <si>
    <t>Limite majeure</t>
  </si>
  <si>
    <t>Certaines lignes détaillent des sous-usages d’un même site (tribunaux, commissariats, prisons, emprises militaires, aires d’autoroute, etc.). Elles sont documentées pour l’analyse, mais ne doivent pas être additionnées au site parent sans règle de déduplication explicite.</t>
  </si>
  <si>
    <t>Classement ERP</t>
  </si>
  <si>
    <t>Comptage</t>
  </si>
  <si>
    <t>2015-20</t>
  </si>
  <si>
    <t>2020-25</t>
  </si>
  <si>
    <t>2025-30</t>
  </si>
  <si>
    <t>Argu Evolution</t>
  </si>
  <si>
    <t>Detail Capacité par Public</t>
  </si>
  <si>
    <t>Detail Dimensionnement</t>
  </si>
  <si>
    <t>Volume Pièces</t>
  </si>
  <si>
    <t>Mix Type  Pièces</t>
  </si>
  <si>
    <t>Durée Vie - Type  Pièces</t>
  </si>
  <si>
    <t>Vol Lav 25-30</t>
  </si>
  <si>
    <t>Vol Douches 25-30</t>
  </si>
  <si>
    <t>Vol Urinoirs 25-30</t>
  </si>
  <si>
    <t>Vol WC 25-30</t>
  </si>
  <si>
    <t>33-36%</t>
  </si>
  <si>
    <t>17-19%</t>
  </si>
  <si>
    <t>79-81%</t>
  </si>
  <si>
    <t>Vtes Réno - Neuf</t>
  </si>
  <si>
    <t>Fiabilité - Hypothèses</t>
  </si>
  <si>
    <t>Potentiel-Projets-Dynamisme-Menaces</t>
  </si>
  <si>
    <t>Réno-Neuf</t>
  </si>
  <si>
    <t>Niveau de Confort - Global</t>
  </si>
  <si>
    <t>Niveau de Confort - Type Pdt</t>
  </si>
  <si>
    <t>Drivers - Tendances -Niveau de Confort</t>
  </si>
  <si>
    <t xml:space="preserve"> Exemples</t>
  </si>
  <si>
    <t>2025-2030</t>
  </si>
  <si>
    <t xml:space="preserve"> Nombre Pièces - Robinetterie collectivité - Etablissements Recevant du Public - IMPERATIVEMENT dotés de sanitaires</t>
  </si>
  <si>
    <t>Mix 2025</t>
  </si>
  <si>
    <t>Mix 2030</t>
  </si>
  <si>
    <t>Durée Vie réelle : Nbre Années effectives de vie produit avant remplacement</t>
  </si>
  <si>
    <t xml:space="preserve">    Volumes 2025</t>
  </si>
  <si>
    <t>Volumes 2030</t>
  </si>
  <si>
    <t>Volumes 2025</t>
  </si>
  <si>
    <t xml:space="preserve">       Mix 2030</t>
  </si>
  <si>
    <t>Ventes 2026-2030</t>
  </si>
  <si>
    <t xml:space="preserve">       Dynamisme Ventes 2026-2030</t>
  </si>
  <si>
    <t>Parc 2025</t>
  </si>
  <si>
    <t xml:space="preserve">           Niveau</t>
  </si>
  <si>
    <t>Nombre Etablissements Recevant du Public - IMPERATIVEMENT dotés de sanitaires</t>
  </si>
  <si>
    <t xml:space="preserve">     par Etablissement</t>
  </si>
  <si>
    <t>Total 2025</t>
  </si>
  <si>
    <t>Total 2030</t>
  </si>
  <si>
    <t xml:space="preserve"> Lavabo</t>
  </si>
  <si>
    <t xml:space="preserve"> Douches</t>
  </si>
  <si>
    <t>Urinoirs - Chasse …</t>
  </si>
  <si>
    <t>WC - Chasse …</t>
  </si>
  <si>
    <t>Lavabo</t>
  </si>
  <si>
    <t>Douches</t>
  </si>
  <si>
    <t xml:space="preserve">          Lavabo</t>
  </si>
  <si>
    <t xml:space="preserve">      Tous produits</t>
  </si>
  <si>
    <t>Lavabos</t>
  </si>
  <si>
    <t>Urinoirs</t>
  </si>
  <si>
    <t>WC</t>
  </si>
  <si>
    <t xml:space="preserve">Fiabilité </t>
  </si>
  <si>
    <t>Hypothèses Rénovation</t>
  </si>
  <si>
    <t xml:space="preserve">      Global</t>
  </si>
  <si>
    <t xml:space="preserve"> Renovation</t>
  </si>
  <si>
    <t xml:space="preserve">  Neuf brut</t>
  </si>
  <si>
    <t>Lavabos - Mitigeurs</t>
  </si>
  <si>
    <t>Lavabos - Tempo. méca</t>
  </si>
  <si>
    <t>Lavabos - Tempo. électro</t>
  </si>
  <si>
    <t>Lavabos - Autres</t>
  </si>
  <si>
    <t>Douches - Mitigeurs</t>
  </si>
  <si>
    <t>Douches - Tempo. méca</t>
  </si>
  <si>
    <t>Douches - Tempo. électro</t>
  </si>
  <si>
    <t>Urinoirs - à Réservoir</t>
  </si>
  <si>
    <t>Urinoirs - Directe méca.</t>
  </si>
  <si>
    <t>Urinoirs - Directe électro indiv.</t>
  </si>
  <si>
    <t>Urinoirs - Directe électro collect.</t>
  </si>
  <si>
    <t>WC - à Réservoir</t>
  </si>
  <si>
    <t>WC - Directe méca.</t>
  </si>
  <si>
    <t>WC - Directe électro</t>
  </si>
  <si>
    <t>Volumes - Toutes Pièces</t>
  </si>
  <si>
    <t xml:space="preserve">       Fiabilité</t>
  </si>
  <si>
    <t xml:space="preserve"> Incertitude</t>
  </si>
  <si>
    <t xml:space="preserve">      Fiabilité</t>
  </si>
  <si>
    <t>Inclure dans 
Total France (1/0)</t>
  </si>
  <si>
    <t>Surface moyenne 2026
(m²/étab.)</t>
  </si>
  <si>
    <t>Justification Taille Parc 
&amp; Evolution-Variation
2026-2030</t>
  </si>
  <si>
    <t>Calculs &amp; Sources - Taille Parc 
&amp; Evolution-Variation
2026-2030</t>
  </si>
  <si>
    <t xml:space="preserve">Capacité instantanée
Moyenne 2026 
TOTAL
</t>
  </si>
  <si>
    <t xml:space="preserve">Capacité instantanée
Moyenne 2026 
Usagers Principaux
</t>
  </si>
  <si>
    <t xml:space="preserve">Capacité instantanée
Moyenne 2026 
Staff
</t>
  </si>
  <si>
    <t xml:space="preserve">Capacité instantanée
Moyenne 2026 
Autre Public
</t>
  </si>
  <si>
    <t>Dimensionnement sanitaire
retenu par Etablissement
Sanitaires collectifs &gt;5 pers.
Sanitaires individuels uniquement pour 
Univers Carcéral, Santé, EHPAD-USLD</t>
  </si>
  <si>
    <t>Argumentaire détaillé
(Dimensionnement unitaire + Hypothèse d'usage)</t>
  </si>
  <si>
    <t>Pondération terrain / Hypothèse d’usage</t>
  </si>
  <si>
    <t>Sources de dimensionnement
(URL / références)</t>
  </si>
  <si>
    <t>TOTAL Pièces</t>
  </si>
  <si>
    <t>Mitigeurs</t>
  </si>
  <si>
    <t>Tempo. Méca</t>
  </si>
  <si>
    <t>Tempo. Electro</t>
  </si>
  <si>
    <t>Autres</t>
  </si>
  <si>
    <t>à Réservoir</t>
  </si>
  <si>
    <t>Directe méca.</t>
  </si>
  <si>
    <t>Directe electro indiv</t>
  </si>
  <si>
    <t>Directe electro collect.</t>
  </si>
  <si>
    <t>Directe mécanique</t>
  </si>
  <si>
    <t>Directe electro</t>
  </si>
  <si>
    <t>Justification
Durée de Vie réelle</t>
  </si>
  <si>
    <t>Justification
Mix Lavabos
2025</t>
  </si>
  <si>
    <t xml:space="preserve">Évolution 
Lavabos
2025 → 2030 </t>
  </si>
  <si>
    <t>Justification
Mix Douches 
2025</t>
  </si>
  <si>
    <t xml:space="preserve">Évolution 
Douches
2025 → 2030 </t>
  </si>
  <si>
    <t>Justification 
Mix Urinoirs 
2025</t>
  </si>
  <si>
    <t xml:space="preserve">Évolution 
Urinoirs
2025 → 2030 </t>
  </si>
  <si>
    <t>Justification 
Mix WC 
2025</t>
  </si>
  <si>
    <t xml:space="preserve">Évolution 
WC
2025→2030 </t>
  </si>
  <si>
    <t>Split Rénovation %</t>
  </si>
  <si>
    <t>Split Neuf %</t>
  </si>
  <si>
    <t>Total</t>
  </si>
  <si>
    <t>Neuf brut</t>
  </si>
  <si>
    <t>Split %
Rénovation vs. Neuf</t>
  </si>
  <si>
    <t>Hypothèse % 
Parc  2025 rénové</t>
  </si>
  <si>
    <t>Hypothèse % 
Réalisat° Travaux Réno</t>
  </si>
  <si>
    <t>Justification
% Réalisation</t>
  </si>
  <si>
    <t xml:space="preserve">Score Global
(sur 5) </t>
  </si>
  <si>
    <t>Classement Global
sur 147 sous-segm.</t>
  </si>
  <si>
    <t xml:space="preserve">Score Renovation
(sur 5) </t>
  </si>
  <si>
    <t>Classement sur 103 
Sous-Segments</t>
  </si>
  <si>
    <t xml:space="preserve">Score Neuf brut
 (sur 5) </t>
  </si>
  <si>
    <t>Rénovation
Potentiel 
2026-2030</t>
  </si>
  <si>
    <t>Neuf
Potentiel 
2026-2030</t>
  </si>
  <si>
    <t>Rénovation
Projets Phares
Programmes &amp; Exemples
2026-2030</t>
  </si>
  <si>
    <t>Neuf
Projets Phares
Programmes &amp; Exemples
2026-2030</t>
  </si>
  <si>
    <t>Rénovation
Dynamique &amp; Menaces
2026-2030</t>
  </si>
  <si>
    <t>Neuf
Dynamique &amp; Menaces
2026-2030</t>
  </si>
  <si>
    <t>Neuf &amp; Rénovation
Ventes - Dynamique &amp; Menaces
Sources &amp; URL
2026-2030</t>
  </si>
  <si>
    <t>Total Volumes 
Parc 
2025</t>
  </si>
  <si>
    <t>Entrée</t>
  </si>
  <si>
    <t>Basique</t>
  </si>
  <si>
    <t>Premium</t>
  </si>
  <si>
    <t>Luxe</t>
  </si>
  <si>
    <t>Total Volumes 
Ventes
2026-2030</t>
  </si>
  <si>
    <t>Appréciation</t>
  </si>
  <si>
    <t>Segmentation par Niveau de Confort
Commentaires</t>
  </si>
  <si>
    <t>Parc</t>
  </si>
  <si>
    <t>Ventes
2026-2030</t>
  </si>
  <si>
    <t>Drivers 
Parc existant</t>
  </si>
  <si>
    <t>Tendances 
Ventes 2026-2030</t>
  </si>
  <si>
    <t>Drivers 
Ventes 2026-2030</t>
  </si>
  <si>
    <t>TOTAL France</t>
  </si>
  <si>
    <t>Total additionne
lignes = 1</t>
  </si>
  <si>
    <t>Moyenne pondérée / total France</t>
  </si>
  <si>
    <t>Synthèse pondérée France : sanitaires collectifs &gt;5 pers., hors individuels sauf EHPAD/USLD.</t>
  </si>
  <si>
    <t>Méthode : partir d’1 minimum sanitaire réaliste, ajusté selon taille, fréquentat° probable, puis appliquer 1 moyenne pondérée terrain (éviter qu’1 cas extrême biaise le sous-segment). Enfin, correct° selon intensité d’usage : passage court, usage quotidien, activité salissante, sport, soins, etc.</t>
  </si>
  <si>
    <t>Références réglementaires, guides sectoriels et hypothèses de programmation utilisés pour le programme sanitaire unitaire.</t>
  </si>
  <si>
    <t>La durée de vie réelle dépend surtout de l’usage, de la maintenance, du vandalisme et du mode de rénovation, plus que de la durée théorique fabricant. Plus courte dans les sites à fort trafic ou à fortes contraintes d’hygiène, plus longue dans les environnements plus calmes. Les équipements mécaniques robustes tiennent souvent bien dans les usages intensifs, tandis que les solutions électroniques peuvent être renouvelées plus tôt pour raisons de capteurs, batteries, électrovannes ou modernisation. Part importante des remplacements se fait par lots ou lors de rénovations, pas seulement à la panne.</t>
  </si>
  <si>
    <t>La temporisation mécanique reste structurante dans les parcs intensifs ; la bascule 2025→2030 se fait surtout au profit de l'électronique sur les rénovations lourdes et les bâtiments tertiaires/publics.</t>
  </si>
  <si>
    <t>Dominant, le mitigeur recule, à chaque rénovation prévue et en neuf. Le tempo méca. résiste bien (vs. électro=&gt; budget, installat°, entretien), mais électronique remplace en grande majorité le mitigeur (à nuancer en fonction du type d'ERP).</t>
  </si>
  <si>
    <t xml:space="preserve">Parc dominé par le tempo. mécanique et distance en nombre les mitigeurs. Electronique 5 à 6 fois moins représenté (que mécanique) =&gt; usage plus long, détection moins fiable que lavabo, moins de confort thermique potentiel. </t>
  </si>
  <si>
    <t>Hausse 'électronique plus graduelle (qu'en lavabo) et variable selon ERP (exemple : plus forte sur tertiaire, commerce, que sur univers carcéral).</t>
  </si>
  <si>
    <t>Parc dominé par tempo méca : robustesse, simplicité, adaptation aux usages intensifs. Electronique progresse mais reste minoritaire, freinée par contraintes maintenance/coût.</t>
  </si>
  <si>
    <t>Part temporisé électro. augmente légèrement =&gt; enjeux hygiène sans contact + maîtrise de conso. eau. Mécanique recule légèrement mais reste majoritaire =&gt; fiabilité en usage intensif.</t>
  </si>
  <si>
    <t>Parc WC repose surtout sur systèmes gravitaires, mécaniques, robustes, économiques, faciles à maintenir. Electronique secondaire mais présent dans lieux premium ou à forte exigence sanitaire.</t>
  </si>
  <si>
    <t>Electronique gagne du terrain, surtout sur ERP récents-rénovés =&gt; exigences hygiène + automatisation =&gt; Progression faible : solutions méca conservent avantage coût/fiabilité.</t>
  </si>
  <si>
    <t>Agrégat Pondéré</t>
  </si>
  <si>
    <t>Taux moyen pondéré France de matérialisation des travaux sur 2026-2030.</t>
  </si>
  <si>
    <t>La rénovation domine et reste plus résiliente que le neuf, dépendant moins de créations nettes d’établissements que de cycles de remplacement incompressibles, de remises à niveau d’hygiène/usage et de travaux diffus sur un parc installé très vaste et largement assujetti à des cycles de remplacement / mise à niveau. Sous-segments phares =&gt; Restaurants, EHPAD, Bureaux &gt;50 pers., Écoles primaires, Gymnases, Salles multisports et Mairies.</t>
  </si>
  <si>
    <t>Neuf plus sélectif, dépendant des cycles économiques, porté par créations d’établissements + programmes publics-privés (santé, sport, France services, industrie, carcéral, aéroports). Rythme plus volatil, concentré sur  projets structurants. Sous-segments phares en neuf =&gt; Bureaux, EHPAD, Hôtels, Enseignement supérieur, Santé, Equipements sportifs.</t>
  </si>
  <si>
    <t>Fonds vert / EduRénov ; Modernisation Hôpitaux (Ségur phase 2), Plan CNSA (réhab. EHPAD ; Normes accessibilité (Ad’AP)), Réno 5000 équipements sportifs (JO héritage) ; Loi de Programmation Militaire ; Transformation tertiaire ESG, France services.</t>
  </si>
  <si>
    <t>Prison : plan 15 000 places, Grands projets touristiques (resorts, parcs), Nouveaux hôpitaux + CHU (reconstructions), Cliniques privées + Pôles santé, Maisons de santé pluriprofessionnelles, Campus universitaires, Learning centers, Nouveaux terminaux aéroport, Logistique, entrepôts.</t>
  </si>
  <si>
    <t>Soutenue par décret Éco Énergie Tertiaire (EET) + Age avancé du parc + Logiques d’interventions par lots (sanitaires dans projets + larges : énergie, accessibilité, mise normes). Socle Investissements publics stable + Obligations réglementaires progressives =&gt; Marché résilient, diffus, peu dépendant de cycles économiques courts</t>
  </si>
  <si>
    <t>Dynamique positive, concentrée sur filières motrices (santé, enseignement sup, segments tertiaires). Forte dépendance : arbitrage budget public, décision invest. privé. Sensible =&gt; cycles éco, condit° financement, délais réalisat°. Ecart fréquent intentions vs. livraisons réelles =&gt; croissance + volatile - homogène, ciblée géographiquement</t>
  </si>
  <si>
    <t>Bonne</t>
  </si>
  <si>
    <t>±4 pts</t>
  </si>
  <si>
    <t>±5 pts</t>
  </si>
  <si>
    <t>Agrégation volume × mix par sous-segment ; les gros gisements (bureaux, écoles, santé, sport, hôtels, transports) pèsent davantage dans le total que les niches.</t>
  </si>
  <si>
    <t>Total France pondéré par volumes 2025 et ventes 2026-2030 ; forte fréquentation tire le standard, image/privé tire premium, contrainte sanitaire renforce surtout le milieu de gamme technique.</t>
  </si>
  <si>
    <t>Agrégation volume × ventes 2026-2030 ; le neuf et les rénovations lourdes tirent le mix vers l’moyen/premium, mais la rénovation majoritaire garde un centre de gravité basique/moyen.</t>
  </si>
  <si>
    <t>0 = sous-catég.</t>
  </si>
  <si>
    <t>Variat° Annuelle en % =&gt;</t>
  </si>
  <si>
    <t>&lt;= Split en % =&gt;</t>
  </si>
  <si>
    <t>Split en % =&gt;</t>
  </si>
  <si>
    <t>Evolutions en Pts =&gt;</t>
  </si>
  <si>
    <t>Enfance, Enseignement, Jeunesse &amp; Formation</t>
  </si>
  <si>
    <t>Établissements d’éveil / petite enfance recevant du public.</t>
  </si>
  <si>
    <t>Crèche municipale, micro-crèche</t>
  </si>
  <si>
    <t>Site
Etablissement principal</t>
  </si>
  <si>
    <t>Ancrage sur l’Onape/Cnaf : l’offre crèches progresse en 2024 grâce aux micro-crèches financées par Paje (+9,9 %) et les Caf financent 11 500 crèches PSU (2024) ; la projection prolonge cette dynamique sans surestimer le marché.</t>
  </si>
  <si>
    <t>ancrage DREES 2023 sur les EAJE, puis prolongement 2024-2026. Dynamique projetée 2027-2030: hausse modérée. Fiabilité: moyenne.</t>
  </si>
  <si>
    <t>Bloc enfants + bloc adultes ; comptage limité aux sanitaires collectifs, sans cabine individuelle.</t>
  </si>
  <si>
    <t>Capacité type ≈ 31 usagers principaux + 8 staff + 1 parents/accompagnants. Le programme sanitaire est construit par blocs fonctionnels plausibles (public, personnel, exploitation/hébergement selon le cas) et non par simple ratio national moyen. Calibrage selon capacité simultanée, répartition de flux et organisation réelle du site.</t>
  </si>
  <si>
    <t>Profil petit, capacité moyenne ≈ 40 personnes. Moyenne pondérée terrain : parc majoritairement petits/moyens sites, grands sites intégrés sans surpondération ; usage 2025 modérée.</t>
  </si>
  <si>
    <t>Code du travail (sanitaires et vestiaires staff) + programmation ERP/usages d'exploitation ; source de comptage propre à la ligne en col. AP.</t>
  </si>
  <si>
    <t>Usage très régulier avec nettoyage fréquent et petites dégradations usuelles. Les temporisés mécaniques gardent un avantage tangible sur les mitigeurs en environnement partagé. L'électronique est abaissée car les cellules, alimentations et réglages vieillissent plus vite que les organes purement mécaniques. Rénovation souvent par blocs lors des vacances scolaires. Enseignement intensif sous contrainte budgétaire : Pics interclasses, usage quotidien élevé, vandalisme modéré et budgets publics souvent lissés. Le temporisé et la chasse directe tiennent mieux que le manuel/réservoir en usage intensif.</t>
  </si>
  <si>
    <t>Parc commun plutôt petit et assisté : le mitigeur manuel reste majoritaire sur les lave-mains enfants/adultes, avec une part de temporisé sur zones personnel/usage intensif ; l’électronique reste marginale. Ajustement ciblé 2025 : légère baisse du mitigeur et/ou légère hausse de l’électronique pour mieux refléter la modernisation déjà visible sur les rénovations de sanitaires communs.</t>
  </si>
  <si>
    <t>Évolution modérée d’ici 2030 : le mitigeur recule un peu au profit du temporisé/électronique, mais le parc reste très manuel sur les points enfants et le renouvellement est lent.</t>
  </si>
  <si>
    <t>Sans objet.</t>
  </si>
  <si>
    <t>Les WC restent très majoritairement à réservoir sur ce parc, plus simple et plus proche d’un usage d’habitat collectif ; la chasse directe reste minoritaire.</t>
  </si>
  <si>
    <t>Les WC restent très majoritairement à réservoir ; la chasse directe gagne un peu de terrain mais sans renverser le parc d’ici 2030.</t>
  </si>
  <si>
    <t>Moyenne</t>
  </si>
  <si>
    <t>87,3% retenu : part des besoins réellement transformée en travaux sur 2026-2030 après prise en compte des budgets, du phasage et des arbitrages locaux.</t>
  </si>
  <si>
    <t>Potentiel rénovation élevé : remise à niveau des blocs enfants/personnel, exigences d’hygiène et d’usage intensif, souvent intégrées à des travaux communaux ou délégations de service public. Les volumes restent d’abord tirés par les WC et les lavabos, plus que par les postes spécialisés. En rénovation, le marché reste favorable aux gammes robustes et simples d’entretien, compatibles avec des chantiers par tranches et des budgets contraints.</t>
  </si>
  <si>
    <t>Potentiel neuf moyen à soutenu : créations et extensions encore réelles via le service public de la petite enfance, les micro-crèches et les territoires en tension, mais freinées par les coûts d’exploitation et la pénurie de personnels. Le neuf est significatif mais encore nettement inférieur à la rénovation.</t>
  </si>
  <si>
    <t>Projets phares réno : réfection de blocs enfants/adultes, espaces de change et douches ponctuelles, adaptation climatique, accessibilité et reprises sanitaires lors de rénovations thermiques.</t>
  </si>
  <si>
    <t>Projets phares neuf : micro-crèches, crèches municipales/associatives, créations en quartiers neufs ou opérations mixtes, extensions de capacité lorsque le besoin local est documenté.</t>
  </si>
  <si>
    <t>Dynamique réno 2026-2030 : soutenue et régulière, car les communes et gestionnaires arbitrent plus facilement des travaux ciblés que des créations nettes. Menaces : budget communal, tension sur l’exploitation et travaux en site occupé.</t>
  </si>
  <si>
    <t>Dynamique neuf 2026-2030 : réelle mais sélective ; la volonté politique existe avec le service public de la petite enfance, mais l’écart entre besoin théorique, financement et mise en service effective peut rester marqué.</t>
  </si>
  <si>
    <t>Parc existant surtout intermédiaire. Les ventes se décalent légèrement vers intermédiaire, porté par l’hygiène, la facilité d’entretien et la technicité. Le neuf est un peu plus qualitatif que la rénovation, sans renverser le centre de gravité du mix. Mix piloté par l’hygiène, la sécurité enfant et des budgets publics/associatifs encore contraints ; montée modérée en confort sur les programmes neufs ou restructurations globales.</t>
  </si>
  <si>
    <t>±6 pts</t>
  </si>
  <si>
    <t>Moyenne +</t>
  </si>
  <si>
    <t>Mix piloté par l’hygiène, la sécurité enfant et des budgets publics/associatifs encore contraints ; montée modérée en confort sur les programmes neufs ou restructurations globales.</t>
  </si>
  <si>
    <t>contrainte sanitaire ⇒ standard/intermédiaire technique ↑ ; poids du neuf significatif ⇒ premiumisation des ventes &gt; parc</t>
  </si>
  <si>
    <t>Crèches : petites unités, nettoyage fréquent et sécurité enfant priment sur l’effet décoratif. Ventes 2026-2030 : glissement vers davantage de moyen / premium, surtout sur lavabo (+15,9 pts sur premium+luxe), douche (+14,6 pts sur premium+luxe), WC (+14,1 pts sur premium+luxe). Le neuf pèse suffisamment (38% des ventes) pour relever le niveau de confort moyen au-dessus de la rénovation (62%). L’écart de niveau de confort entre neuf et rénovation est net.</t>
  </si>
  <si>
    <t>Haltes-garderies, jardins d’enfants (hors crèches)</t>
  </si>
  <si>
    <t>ERP / variable</t>
  </si>
  <si>
    <t>Établissements accueil Peite enfance</t>
  </si>
  <si>
    <t>Halte-garderie autonome, jardin d’enfants autonome, structure mono-accueil ponctuel ou pré-scolaire non comptée en crèche</t>
  </si>
  <si>
    <t>série publique directe 2024 / BPE, puis ventilation encadrée</t>
  </si>
  <si>
    <t>Décroissance structurelle : transformation des anciennes haltes-garderies vers le multi-accueil/crèches et extinction progressive des jardins d’enfants.</t>
  </si>
  <si>
    <t>Projection prudente : maintien d’un noyau résiduel de sites autonomes, mais poursuite du reflux jusqu’en 2030. Inclusion uniquement si non déjà absorbés dans crèches/EAJE.</t>
  </si>
  <si>
    <t>https://www.drees.solidarites-sante.gouv.fr/communique-de-presse-jeux-de-donnees/jeux-de-donnees/250528_DATA_donnees-departementales-sur-l-offre-daccueil-du-jeune-enfant-2023
https://www.senat.fr/rap/l23-418/l23-418_mono.html
https://www.legifrance.gouv.fr/jorf/article_jo/JORFARTI000044025660</t>
  </si>
  <si>
    <t>Petit bloc enfants + sanitaire adulte/personnel ; pas de douches collectives hors change.</t>
  </si>
  <si>
    <t>Capacité type ≈ 24 usagers principaux + 5 staff + 1 autre public. Accueil de courte durée en petite enfance, avec rotation et accompagnants ponctuels. Dimensionnement unitaire retenu : bloc enfants proche salles + 1 sanitaire adulte/PMR et point d'eau, surdimensionné pour surveillance et hygiène. Hypothèse d'usage : capacité simultanée moyenne 2026, répartition par flux réels, arrondie par blocs fonctionnels et exclusion des sanitaires strictement privatifs sauf cas explicitement collectifs.</t>
  </si>
  <si>
    <t>Profil petit, capacité moyenne ≈ 30 personnes. Moyenne pondérée terrain : parc majoritairement petits/moyens sites, grands sites intégrés sans surpondération ; usage 2025 modérée.</t>
  </si>
  <si>
    <t>ERP/accessibilité sanitaires publics : https://www.legifrance.gouv.fr/loda/article_lc/LEGIARTI000034485966/ ; Code du travail sanitaires salariés : https://www.legifrance.gouv.fr/codes/id/LEGISCTA000018531984 ; Bâti scolaire / sanitaires : https://batiscolaire.education.gouv.fr/fiche-espace-sanitaires-eleves-elementaire-et-secondaire-240412</t>
  </si>
  <si>
    <t>Petite enfance : Durées plutôt correctes car usage encadré, mais remplacement souvent par blocs lors de travaux municipaux ou scolaires. Mix retenu : Usage encadré et hauteur/ergonomie enfant : mitigeurs et temporisations mécaniques dominent, électronique marginale ; urinoirs généralement nuls.</t>
  </si>
  <si>
    <t>Haltes-garderies, jardins d’enfants (hors crèches) : parc 2025 domine par mitigeur manuel (50%), avec tempo mecanique en appoint. Le choix reflete usage quotidien par cohortes, pics de recreations/cours et renovation par lots ; robustesse scolaire, entretien simple et contraintes de vacances scolaires.</t>
  </si>
  <si>
    <t>2025-2030 : progression de tempo electronique (+2,0%), surtout lors des renov. lourdes/neuf ; recul de mitigeur manuel (-2,0%) mais maintien d un socle robuste pour les remplacements partiels.</t>
  </si>
  <si>
    <t>Haltes-garderies, jardins d’enfants (hors crèches) : parc 2025 domine par mitigeur (90%), avec tempo mecanique en appoint. Le choix reflete usage quotidien par cohortes, pics de recreations/cours et renovation par lots ; robustesse scolaire, entretien simple et contraintes de vacances scolaires.</t>
  </si>
  <si>
    <t>2025-2030 : progression de tempo electronique (+1,0%), surtout lors des renov. lourdes/neuf ; recul de mitigeur (-2,0%) mais maintien d un socle robuste pour les remplacements partiels.</t>
  </si>
  <si>
    <t>Haltes-garderies, jardins d’enfants (hors crèches) : parc 2025 domine par reservoir (85%), avec chasse directe mecanique en appoint. Le choix reflete usage quotidien par cohortes, pics de recreations/cours et renovation par lots ; robustesse scolaire, entretien simple et contraintes de vacances scolaires.</t>
  </si>
  <si>
    <t>2025-2030 : progression de chasse directe mecanique (+3,0%), surtout lors des renov. lourdes/neuf ; recul de reservoir (-5,0%) mais maintien d un socle robuste pour les remplacements partiels.</t>
  </si>
  <si>
    <t>Moyenne à Bonne</t>
  </si>
  <si>
    <t>79,3% retenu : besoins transformes en travaux selon usage quotidien par cohortes, pics de recreations/cours et renovation par lots. Le phasage budgetaire, les fermetures partielles et la maintenance courante limitent la conversion totale.</t>
  </si>
  <si>
    <t>Potentiel renovation : tire par robustesse scolaire, entretien simple et contraintes de vacances scolaires. Les remplacements sont plutot par lots, avec arbitrage entre urgence sanitaire, budget et capacite a intervenir en site occupe.</t>
  </si>
  <si>
    <t>Potentiel neuf : limite pour haltes-garderies, jardins d’enfants (hors crèches), surtout via extensions, reconstructions ou projets locaux. Le neuf reste contraint par foncier, budgets et delais de mise en service.</t>
  </si>
  <si>
    <t>Projets phares renovation : reprise de blocs sanitaires, accessibilite, ventilation, economie d eau, remplacement des pieces usees et adaptation aux pics de frequentation propres au sous-segment.</t>
  </si>
  <si>
    <t>Projets phares neuf : creations ou reconstructions selectives, integration de sanitaires plus sobres, robustes et faciles a maintenir des la conception.</t>
  </si>
  <si>
    <t>Dynamique renovation 2026-2030 : forte, car l usure et l hygiene rendent les interventions recurrentes. Menaces : arbitrages d investissement, travaux en exploitation et cout de maintenance.</t>
  </si>
  <si>
    <t>Dynamique neuf 2026-2030 : faible a moderee, dependante des projets immobiliers, de la demographie locale et des budgets de maitrise d ouvrage.</t>
  </si>
  <si>
    <t>Parc existant centre sur le niveau standard, avec ventes 2026-2030 legerement plus qualitatives. Haltes-garderies, jardins d’enfants (hors crèches) : usage quotidien par cohortes, pics de recreations/cours et renovation par lots; le mix reste guide par robustesse scolaire, entretien simple et contraintes de vacances scolaires.</t>
  </si>
  <si>
    <t>Parc existant : robustesse scolaire, entretien simple et contraintes de vacances scolaires; usage quotidien par cohortes, pics de recreations/cours et renovation par lots. La montee en confort reste proportionnee au budget et au rythme de renovation.</t>
  </si>
  <si>
    <t>renovation dominante =&gt; progression graduelle</t>
  </si>
  <si>
    <t>Haltes-garderies, jardins d’enfants (hors crèches) : ventes 2026-2030 en leger glissement vers moyen/premium lorsque le neuf ou les renov. lourdes interviennent. Le centre de gravite reste toutefois module par robustesse scolaire, entretien simple et contraintes de vacances scolaires et par la part dominante de travaux sur parc existant.</t>
  </si>
  <si>
    <t>Protection Maternelle et Infantile (PMI - sites autonomes)</t>
  </si>
  <si>
    <t>Établissements soin petite enfance et conseils au parents (1000 premiers jours).</t>
  </si>
  <si>
    <t>Centre PMI autonome, consultation PMI indépendante, centre de santé PMI non hébergé en maison des solidarités</t>
  </si>
  <si>
    <t>Réseau PMI stable, mais forte intégration dans maisons départementales des solidarités et centres médico-sociaux. Filtre “sites autonomes” réduit fortement le nombre comptable.</t>
  </si>
  <si>
    <t>Projection stable légèrement en baisse : sites PMI subsistent, mais organisation département tend à mutualiser locaux avec centres médico-sociaux/maisons solidarités.</t>
  </si>
  <si>
    <t>https://www.geo-public.fr/stats.php?t=pmi
https://www.aias.fr/protection-maternelle-et-infantile/
https://code.travail.gouv.fr/code-du-travail/r4228-1</t>
  </si>
  <si>
    <t>Bloc patients/accompagnants + personnel pour consultations PMI ; avec douche ponctuelle soins/enfants/personnel.</t>
  </si>
  <si>
    <t>Capacité type ≈ 18 usagers principaux + 5 staff + 2 autre public. Site de consultation à flux intermittent, patients enfants/parents et petite équipe médico-sociale. Dimensionnement unitaire retenu : 1 bloc public accessible + 1 bloc personnel, avec lavabo et accessibilité PMR au niveau recevant le public. Hypothèse d'usage : capacité simultanée moyenne 2026, répartition par flux réels. Douche de soins, change/hygiène enfant ou personnel, sans en faire un standard public.</t>
  </si>
  <si>
    <t>Profil très petit, capacité moyenne ≈ 25 personnes. Moyenne pondérée terrain : parc majoritairement petits/moyens sites, grands sites intégrés sans surpondération ; usage 2025 modérée.</t>
  </si>
  <si>
    <t>ERP/accessibilité sanitaires publics : https://www.legifrance.gouv.fr/loda/article_lc/LEGIARTI000034485966/ ; Code du travail sanitaires salariés : https://www.legifrance.gouv.fr/codes/id/LEGISCTA000018531984 ; INRS : https://www.inrs.fr/publications/juridique/focus-juridiques/focus-sanitaires-toilettes.html</t>
  </si>
  <si>
    <t>Protection Maternelle et Infantile (PMI) - sites autonomes : parc 2025 domine par mitigeur manuel (50%), avec tempo mecanique en appoint. Le choix reflete usage quotidien par cohortes, pics de recreations/cours et renovation par lots ; robustesse scolaire, entretien simple et contraintes de vacances scolaires.</t>
  </si>
  <si>
    <t>PMI : douches rares, surtout à mitigeur/thermostatique pour sécurité, confort et usage ponctuel de soins/personnel.</t>
  </si>
  <si>
    <t>Évolution 2025-2030 très limitée : maintien majoritaire du mitigeur, légère progression des solutions temporisées/électroniques lors de rénovations ciblées.</t>
  </si>
  <si>
    <t>Protection Maternelle et Infantile (PMI) - sites autonomes : parc 2025 domine par reservoir (85%), avec chasse directe mecanique en appoint. Le choix reflete usage quotidien par cohortes, pics de recreations/cours et renovation par lots ; robustesse scolaire, entretien simple et contraintes de vacances scolaires.</t>
  </si>
  <si>
    <t>Potentiel neuf : limite pour protection maternelle et infantile (pmi) - sites autonomes, surtout via extensions, reconstructions ou projets locaux. Le neuf reste contraint par foncier, budgets et delais de mise en service.</t>
  </si>
  <si>
    <t>Parc existant centre sur le niveau standard, avec ventes 2026-2030 legerement plus qualitatives. Protection Maternelle et Infantile (PMI) - sites autonomes : usage quotidien par cohortes, pics de recreations/cours et renovation par lots; le mix reste guide par robustesse scolaire, entretien simple et contraintes de vacances scolaires.</t>
  </si>
  <si>
    <t>Protection Maternelle et Infantile (PMI) - sites autonomes : ventes 2026-2030 en leger glissement vers moyen/premium lorsque le neuf ou les renov. lourdes interviennent. Le centre de gravite reste toutefois module par robustesse scolaire, entretien simple et contraintes de vacances scolaires et par la part dominante de travaux sur parc existant.</t>
  </si>
  <si>
    <t>Enseignement scolaire</t>
  </si>
  <si>
    <t>Écoles maternelles</t>
  </si>
  <si>
    <t>Établissements d’enseignement.</t>
  </si>
  <si>
    <t>École maternelle publique</t>
  </si>
  <si>
    <t>Stock institutionnel d’enseignement très administré ; les ouvertures/fermetures nettes restent limitées, d’où une variation faible.</t>
  </si>
  <si>
    <t>Ancrage BPE 2024, puis prolongement très prudent de la baisse du stock scolaire. La projection 2027-2030 reste peu dynamique. Fiabilité: moyenne.</t>
  </si>
  <si>
    <t>Noyaux sanitaires enfants par classe + bloc adultes ; très peu de douches.</t>
  </si>
  <si>
    <t>Capacité type ≈ 129 enfants + 15 adultes + 6 parents/accompagnants/intervenants. Programme par noyaux sanitaires au plus près des classes, sans urinoirs ni douches. Répartition par bâtiments/petites sections justifie un léger surdimensionnement par rapport au seul ratio théorique. Calibrage selon capacité simultanée, répartition de flux et organisation réelle du site.</t>
  </si>
  <si>
    <t>Profil moyen, capacité moyenne ≈ 150 personnes. Moyenne pondérée terrain : parc majoritairement petits/moyens sites, grands sites intégrés sans surpondération ; usage 2025 modérée.</t>
  </si>
  <si>
    <t>Éducation nationale / ONS, 'Les sanitaires dans les écoles élémentaires' : https://www.education.gouv.fr/sites/default/files/imported_files/document/ONS-Les-sanitaires-dans-les-ecoles-elementaires_391494.pdf ; + Code du travail pour les sanitaires adultes/staff.</t>
  </si>
  <si>
    <t>Sur le parc existant, les lave-mains de maternelle gardent une base importante de mitigeurs simples, mais les rénovations de blocs élèves font fortement appel au temporisé mécanique, robuste et économe.</t>
  </si>
  <si>
    <t>D’ici 2030, recul modéré du mitigeur et léger recul du temporisé mécanique au profit de l’électronique dans les rénovations de blocs ; le temporisé mécanique reste néanmoins dominant pour robustesse, anti-vandalisme et maîtrise des débits.</t>
  </si>
  <si>
    <t>Urinoirs retenus uniquement pour une partie du parc, surtout blocs garçons traditionnels. Mix 2025 aligné sur écoles primaires : réservoir minoritaire, chasse directe mécanique dominante, électronique encore limitée.</t>
  </si>
  <si>
    <t>Baisse graduelle des réservoirs et des rampes/collectifs les plus anciens, au profit de chasses directes ; l’automatique progresse mais le mécanique reste fort pour le coût et la robustesse.</t>
  </si>
  <si>
    <t>La majorité du stock reste en réservoir ; la chasse directe progresse en rénovation de blocs scolaires mais demeure minoritaire à l’échelle du parc.</t>
  </si>
  <si>
    <t>Le réservoir recule progressivement dans les blocs rénovés au profit de la chasse directe, avec une percée encore mesurée de l’électronique.</t>
  </si>
  <si>
    <t>87,3% retenu : travaux souvent menés par lots pendant les vacances, tirés par rénovation thermique/salubrité, mais freinés par les arbitrages communaux et les calendriers d’exploitation.</t>
  </si>
  <si>
    <t>Potentiel rénovation très élevé : très porté par EduRénov, l’adaptation aux vagues de chaleur, l’accessibilité et la remise à niveau de blocs souvent anciens. Les volumes restent d’abord tirés par les WC et les lavabos, plus que par les postes spécialisés. En rénovation, le marché reste favorable aux gammes robustes et simples d’entretien, compatibles avec des chantiers par tranches et des budgets contraints.</t>
  </si>
  <si>
    <t>Potentiel neuf faible : surtout concentré sur les regroupements scolaires, reconstructions et zones de croissance résidentielle. La baisse ou la stagnation démographique bride toutefois la diffusion du neuf au niveau national. Le neuf est quasi nul dans le modèle et renvoie surtout à des reconstructions ou remplacements de sites.</t>
  </si>
  <si>
    <t>Projets phares réno : réhabilitation des sanitaires élèves/personnel, amélioration de ventilation, accessibilité, reprise des vestiaires éventuels et rénovation énergétique des écoles.</t>
  </si>
  <si>
    <t>Projets phares neuf : groupes scolaires, extensions ponctuelles, reconstructions après fermeture/remplacement de sites, opérations ANRU et projets de quartier.</t>
  </si>
  <si>
    <t>Dynamique réno 2026-2030 : structurellement forte, car le parc public est vaste et les enjeux de confort d’été/énergie rendent les blocs humides difficilement évitables dans les programmes de travaux. Menaces : séquençage budgétaire communal et capacité d’ingénierie.</t>
  </si>
  <si>
    <t>Dynamique neuf 2026-2030 : faible à modérée et très localisée ; les projets existent, mais le ralentissement démographique dans une partie du territoire et la priorité donnée à la rénovation limitent les volumes.</t>
  </si>
  <si>
    <t>Élevée</t>
  </si>
  <si>
    <t>Parc existant surtout standard. Les ventes restent proches du parc, centré sur standard, du fait de budgets et de rénovations menées surtout par lots. La rénovation restant majoritaire, le mix de ventes reste proche du parc et monte surtout d’un cran sur les opérations lourdes. Parc public très diffus, piloté par robustesse, maintenance et rénovation par lots (énergie/accessibilité/vestiaires), ce qui maintient un mix surtout entrée-standard avec légère montée en standard/intermédiaire en neuf.</t>
  </si>
  <si>
    <t>Parc public très diffus, piloté par robustesse, maintenance et rénovation par lots (énergie/accessibilité/vestiaires), ce qui maintient un mix surtout entrée-standard avec légère montée en standard/intermédiaire en neuf.</t>
  </si>
  <si>
    <t>rénovation dominante ⇒ progression graduelle</t>
  </si>
  <si>
    <t>Écoles maternelles : parc communal très diffus et rénovations souvent couplées aux travaux d’école. Ventes 2026-2030 : glissement vers davantage de moyen / premium, surtout sur lavabo (+4,4 pts sur premium+luxe), douche (+4,4 pts sur premium+luxe), WC (+4,0 pts sur premium+luxe). La rénovation reste majoritaire (79% des ventes, contre 21% en neuf) ; le neuf tire le mix vers le haut sans renverser le centre de gravité. L’écart de niveau de confort entre neuf et rénovation est net.</t>
  </si>
  <si>
    <t>École élémentaire privée ou publique</t>
  </si>
  <si>
    <t>Stock institutionnel stable, avec érosion lente (démographie scolaire + regroupements écoles). Recul effectifs en 2024 (effet démographique). Baisse 2024-2030, mais moins vite que les effectifs d’élèves (carte scolaire)</t>
  </si>
  <si>
    <t>Ancrage BPE 2024, puis prolongement prudent d’un parc du premier degré très peu mobile. Projection quasi stable à légère baisse. Fiabilité: moyenne.</t>
  </si>
  <si>
    <t>https://www.insee.fr/fr/statistiques/2012708 ; https://www.education.gouv.fr/depp/les-effectifs-dans-le-premier-degre-6262-millions-d-eleves-scolarises-la-rentree-2024-452571</t>
  </si>
  <si>
    <t>Application d'un schéma scolaire élémentaire : blocs filles/garçons + sanitaires adultes. Très peu de douches.</t>
  </si>
  <si>
    <t>Capacité type ≈ 225 élèves + 20 adultes + 5 accompagnants/intervenants. Base ONS : 1 WC/20 filles, 1 WC/40 garçons + 1 urinoir/20 garçons et 1 point d'eau/20 élèves ; ajout d'un petit bloc adultes et arrondi par bâtiment. Calibrage selon capacité simultanée, répartition de flux et organisation réelle du site.</t>
  </si>
  <si>
    <t>Profil grand, capacité moyenne ≈ 250 personnes. Moyenne pondérée terrain : parc majoritairement petits/moyens sites, grands sites intégrés sans surpondération ; usage 2025 modérée.</t>
  </si>
  <si>
    <t>Les pics d'interclasse, le vandalisme opportuniste et les sollicitations fortes raccourcissent surtout mitigeurs et électroniques. Les temporisés mécaniques restent privilégiés car plus robustes et mieux adaptés à l'usage collectif intensif. Les remplacements se font au fil des pannes puis par campagnes lors des réhabilitations de blocs sanitaires. Enseignement intensif sous contrainte budgétaire : Pics interclasses, usage quotidien élevé, vandalisme modéré et budgets publics souvent lissés. Le temporisé et la chasse directe tiennent mieux que le manuel/réservoir en usage intensif.</t>
  </si>
  <si>
    <t>Dans les écoles primaires, le parc commun est dominé par le temporisé mécanique, recherché pour l’anti-vandalisme et les économies d’eau ; le manuel subsiste surtout dans petits blocs ou zones adultes.</t>
  </si>
  <si>
    <t>Les urinoirs existants restent surtout en chasse directe mécanique ou en configuration collective ancienne (rampe/batterie) ; l’automatique reste minoritaire hors rénovations récentes.</t>
  </si>
  <si>
    <t>Le parc WC reste mixte, avec une majorité de réservoirs hérités et une part significative de chasses directes dans les blocs rénovés.</t>
  </si>
  <si>
    <t>Potentiel rénovation très élevé : très porté par EduRénov, l’adaptation aux vagues de chaleur, l’accessibilité et la remise à niveau de blocs souvent anciens.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t>
  </si>
  <si>
    <t>±3 pts</t>
  </si>
  <si>
    <t>Très bonne</t>
  </si>
  <si>
    <t>poids du neuf significatif ⇒ premiumisation des ventes &gt; parc</t>
  </si>
  <si>
    <t>Écoles primaires : arbitrages municipaux orientés robustesse, maintenance et coût global. Ventes 2026-2030 : glissement vers davantage de moyen / premium, surtout sur lavabo (+5,0 pts sur premium+luxe), douche (+5,0 pts sur premium+luxe), WC (+4,6 pts sur premium+luxe). La rénovation reste majoritaire (74% des ventes, contre 26% en neuf) ; le neuf tire le mix vers le haut sans renverser le centre de gravité. L’écart de niveau de confort entre neuf et rénovation est net.</t>
  </si>
  <si>
    <t>Collèges
(vestiaires EPS inclus)</t>
  </si>
  <si>
    <t>Établissements d’enseignement secondaire.</t>
  </si>
  <si>
    <t>Collège public, collège privé</t>
  </si>
  <si>
    <t>série publique directe / BPE 2024</t>
  </si>
  <si>
    <t>Le parc de collèges est très stable à l’échelle nationale ; la faible variation reflète un stock institutionnel mature, avec peu de changements nets d’une année sur l’autre.</t>
  </si>
  <si>
    <t>Série recalée sur la BPE 2024 ; le parc national de collèges évolue lentement, avec très peu d’ouvertures/fermetures nettes chaque année. Projection 2027-2030: quasi stable. Fiabilité: bonne.</t>
  </si>
  <si>
    <t>Blocs élèves filles/garçons + sanitaires adultes + vestiaires sportifs séparés (si capacité ≥5 pers.). Très peu de douches en proportion.</t>
  </si>
  <si>
    <t>Capacité type ≈ 432 apprenants + 38 adultes + 10 intervenants/visiteurs. Base scolaire dérivée du référentiel ONS pour les élèves, complétée par sanitaires adultes ; ajout de vestiaires sportifs séparés lorsqu'ils desservent au moins 5 personnes. Calibrage selon capacité simultanée, répartition de flux et organisation réelle du site.</t>
  </si>
  <si>
    <t>Profil grand, capacité moyenne ≈ 480 personnes. Moyenne pondérée terrain : parc majoritairement petits/moyens sites, grands sites intégrés sans surpondération ; usage 2025 modérée.</t>
  </si>
  <si>
    <t>Sur collèges, lycées et CFA, le temporisé mécanique domine nettement le parc commun, car il combine robustesse, anti-blocage et maîtrise des débits ; l’électronique monte mais reste minoritaire en stock.</t>
  </si>
  <si>
    <t>Le parc d’urinoirs est encore surtout mécanique/direct, avec un reliquat de rampes collectives dans les ensembles anciens et une part d’automatique concentrée sur les rénovations.</t>
  </si>
  <si>
    <t>Le parc WC est presque à l’équilibre entre réservoir et chasse directe, cette dernière étant mieux adaptée aux usages intensifs des ERP scolaires ; l’électronique reste de niche.</t>
  </si>
  <si>
    <t>88,4% retenu : travaux souvent menés par lots pendant les vacances, tirés par rénovation thermique/salubrité, mais freinés par les arbitrages communaux et les calendriers d’exploitation.</t>
  </si>
  <si>
    <t>Potentiel rénovation très élevé : bâtiments souvent énergivores, vestiaires EPS et sanitaires fortement sollicités, avec chantiers programmés pendant les vacances.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t>
  </si>
  <si>
    <t>Potentiel neuf faible : reconstructions lourdes, extensions et créations ciblées selon la carte scolaire et les besoins territoriaux des départements. Le neuf est quasi nul dans le modèle et renvoie surtout à des reconstructions ou remplacements de sites.</t>
  </si>
  <si>
    <t>Projets phares réno : blocs sanitaires élèves/personnel, vestiaires EPS, accessibilité, confort d’été et rénovation énergétique globale des établissements.</t>
  </si>
  <si>
    <t>Projets phares neuf : collèges/lycées reconstruits, internats, extensions de capacité, opérations liées à la croissance locale ou à la reconfiguration de la carte scolaire.</t>
  </si>
  <si>
    <t>Dynamique réno 2026-2030 : élevée, soutenue par les obligations énergétiques, le confort d’usage et la rotation importante des équipements. Menaces : arbitrages des collectivités et décalages de calendrier.</t>
  </si>
  <si>
    <t>Dynamique neuf 2026-2030 : modérée et très sélective ; les projets lourds existent mais restent peu nombreux, avec un fort écart entre intentions politiques et mises en chantier effectives.</t>
  </si>
  <si>
    <t>Parc existant surtout standard. Les ventes restent proches du parc, centré sur standard, du fait de budgets et de rénovations menées surtout par lots. La rénovation restant majoritaire, le mix de ventes reste proche du parc et monte surtout d’un cran sur les opérations lourdes.</t>
  </si>
  <si>
    <t>Ventes 2026-2030 : glissement vers davantage de moyen / premium, surtout sur lavabo (+4,5 pts sur premium+luxe), douche (+4,5 pts sur premium+luxe), WC (+4,1 pts sur premium+luxe). La rénovation reste majoritaire (73% des ventes, contre 27% en neuf) ; le neuf tire le mix vers le haut sans renverser le centre de gravité. L’écart de niveau de confort entre neuf et rénovation est net.</t>
  </si>
  <si>
    <t>Lycées
(vestiaires EPS inclus)</t>
  </si>
  <si>
    <t>Lycée général, professionnel, technique</t>
  </si>
  <si>
    <t>série publique directe / BPE 2024 (LEGT + LP)</t>
  </si>
  <si>
    <t>Le parc de lycées est un stock institutionnel très administré ; à l’échelle nationale, les ouvertures et fermetures nettes sont peu nombreuses, ce qui explique la quasi-stagnation.</t>
  </si>
  <si>
    <t>Série recalée sur la BPE 2024 (LEGT + lycées professionnels/agricoles) ; le stock varie peu à l’échelle nationale. Projection 2027-2030: légère baisse. Fiabilité: bonne.</t>
  </si>
  <si>
    <t>Capacité type ≈ 549 apprenants + 49 adultes + 12 intervenants/visiteurs. Base scolaire dérivée du référentiel ONS pour les élèves, complétée par sanitaires adultes ; ajout de vestiaires sportifs séparés lorsqu'ils desservent au moins 5 personnes. Calibrage selon capacité simultanée, répartition de flux et organisation réelle du site.</t>
  </si>
  <si>
    <t>Profil grand, capacité moyenne ≈ 610 personnes. Moyenne pondérée terrain : parc majoritairement petits/moyens sites, grands sites intégrés sans surpondération ; usage 2025 modérée.</t>
  </si>
  <si>
    <t>Fréquentation élevée mais utilisateurs plus âgés, pics aux pauses et EPS; vandalisme moins diffus qu'au collège mais blocs plus grands. Durées proches collège, avec renouvellement par campagnes de réfection. Usage élevé mais un peu mieux réparti dans la journée. budgets hétérogènes selon établissements. Temporisés mécaniques restent au-dessus des mitigeurs en usage partagé, tandis que l'électronique est gardée plus courte à cause des capteurs, piles/secteur et cartes. Renouvellement mixte : correctif au fil de l'eau puis rénovation par bâtiment.Fréquentation soutenue mais moins agressive, rénovations périodiques et obligations de mise à niveau tertiaire.</t>
  </si>
  <si>
    <t>Potentiel neuf faible : reconstructions lourdes, extensions et créations ciblées selon la carte scolaire et les besoins territoriaux des régions. Le neuf est quasi nul dans le modèle et renvoie surtout à des reconstructions ou remplacements de sites.</t>
  </si>
  <si>
    <t>Ventes 2026-2030 : glissement vers davantage de moyen / premium, surtout sur lavabo (+4,9 pts sur premium+luxe), douche (+4,9 pts sur premium+luxe), WC (+4,5 pts sur premium+luxe). La rénovation reste majoritaire (73% des ventes, contre 27% en neuf) ; le neuf tire le mix vers le haut sans renverser le centre de gravité. L’écart de niveau de confort entre neuf et rénovation est net.</t>
  </si>
  <si>
    <t>Internats scolaires</t>
  </si>
  <si>
    <t>ERP spécialisé</t>
  </si>
  <si>
    <t>Souvent rattachés à un établissement d’enseignement avec locaux à sommeil.</t>
  </si>
  <si>
    <t>Internat de lycée</t>
  </si>
  <si>
    <t>proxy public partiel / annuaire des internats</t>
  </si>
  <si>
    <t>Le stock d’internats évolue peu à court terme ; les créations/fermetures sont rares et l’annuaire public disponible ne couvre pas de façon exhaustive tous les cas, d’où une série quasi stable.</t>
  </si>
  <si>
    <t>Proxy révisé à partir d’un annuaire public partiel des internats ; la projection reste quasi stable faute de série exhaustive homogène. Fiabilité: moyenne.</t>
  </si>
  <si>
    <t>https://www.data.gouv.fr/fr/datasets/annuaire-des-internats/</t>
  </si>
  <si>
    <t>Blocs collectifs d'hébergement/étage ; exclusion des chambres avec sanitaires privatifs.</t>
  </si>
  <si>
    <t>Capacité type ≈ 162 résidents/usagers + 14 staff + 4 accompagnants/intervenants. Hypothèse d'hébergement collectif : sanitaires d'étage et douches communes, hors chambres purement privatives. Calibrage selon capacité simultanée, répartition de flux et organisation réelle du site.</t>
  </si>
  <si>
    <t>Profil moyen, capacité moyenne ≈ 180 personnes. Moyenne pondérée terrain : parc majoritairement petits/moyens sites, grands sites intégrés sans surpondération ; usage 2025 modérée.</t>
  </si>
  <si>
    <t>Présence jour/nuit, humidité régulière et entretien variable selon l'exploitant. Les durées restent intermédiaires : plus longues qu'en collège pur, mais plus courtes qu'en hôtellerie classique. Les technos électroniques restent pénalisées par maintenance et alimentation. Les remplacements se font souvent par lots lors de rénovation des étages ou blocs d'hébergement. Résidentiel éducatif / jeunesse : Usage résidentiel ou semi-résidentiel, douches plus sollicitées, pics saisonniers mais moindre vandalisme que le scolaire de jour.</t>
  </si>
  <si>
    <t>Dans les internats et résidences étudiantes en bloc commun, le parc existant reste partagé entre mitigeurs manuels et temporisés ; l’électronique progresse surtout dans les rénovations récentes.</t>
  </si>
  <si>
    <t>Projection prudente : progression de l’électronique surtout dans les rénovations de parties communes, mais le mitigeur et le temporisé restent centraux sur les blocs de type hébergement collectif.</t>
  </si>
  <si>
    <t>Le parc de douches communes reste majoritairement mécanique/temporisé, mais une forte part de mitigeurs persiste dans les ensembles résidentiels ou réhabilités plus confort.</t>
  </si>
  <si>
    <t>Progression limitée de l’électronique : les douches communes restent surtout manuelles/temporisées selon le niveau de confort recherché.</t>
  </si>
  <si>
    <t>On retrouve un mix d’urinoirs mécaniques et de collectifs anciens, l’automatique restant secondaire dans le parc existant.</t>
  </si>
  <si>
    <t>Les urinoirs collectifs anciens reculent lentement ; la montée de l’automatique reste réelle mais modérée.</t>
  </si>
  <si>
    <t>Les WC à réservoir restent majoritaires sur ce parc de type hébergement collectif ; la chasse directe progresse mais reste minoritaire à l’échelle du stock.</t>
  </si>
  <si>
    <t>Le parc reste plutôt résidentiel/collectif : le réservoir demeure dominant, avec une progression graduelle de la chasse directe.</t>
  </si>
  <si>
    <t>85,1% retenu : la fréquentation soutient le besoin, mais la matérialisation dépend fortement des programmes de concession/exploitation.</t>
  </si>
  <si>
    <t>Potentiel rénovation élevé : salles d’eau et blocs sanitaires très usés par l’hébergement, avec exigences de confort, sécurité et attractivité. La douche pèse au-dessus de la moyenne, avec des contraintes d’humidité, de corrosion et d’entretien qui accélèrent le remplacement. En rénovation, le marché reste favorable aux gammes robustes et simples d’entretien, compatibles avec des chantiers par tranches et des budgets contraints.</t>
  </si>
  <si>
    <t>Potentiel neuf faible à moyen : porté par quelques internats/reconstructions et surtout par la tension de logement étudiant pour les résidences. Le neuf est très minoritaire et opportuniste.</t>
  </si>
  <si>
    <t>Projets phares réno : chambres, sanitaires d’étage, douches, blocs PMR et modernisation énergétique des bâtiments d’hébergement.</t>
  </si>
  <si>
    <t>Projets phares neuf : internats reconstruits, résidences étudiantes nouvelles, extensions de capacité ou opérations mixtes avec campus.</t>
  </si>
  <si>
    <t>Dynamique réno 2026-2030 : élevée, car l’hébergement rend visibles l’obsolescence et le confort insuffisant. Menaces : exploitation continue, phasage et arbitrages publics.</t>
  </si>
  <si>
    <t>Dynamique neuf 2026-2030 : plus réelle que dans le scolaire classique, mais concentrée sur quelques pôles d’attractivité et opérateurs. Menaces : coût de sortie, montage immobilier et sélectivité des financements.</t>
  </si>
  <si>
    <t>Moyenne+</t>
  </si>
  <si>
    <t>Parc existant surtout intermédiaire. Les ventes se décalent légèrement vers intermédiaire, du fait de budgets et de rénovations menées surtout par lots. La rénovation restant majoritaire, le mix de ventes reste proche du parc et monte surtout d’un cran sur les opérations lourdes. Présence d’hébergement et d’espaces semi-résidentiels : niveau de confort supérieur au scolaire pur, mais budgets encore serrés et rénovations souvent réalisées par vagues.</t>
  </si>
  <si>
    <t>Présence d’hébergement et d’espaces semi-résidentiels : niveau de confort supérieur au scolaire pur, mais budgets encore serrés et rénovations souvent réalisées par vagues.</t>
  </si>
  <si>
    <t>Internats scolaires : présence de chambres et blocs douche collectifs rapproche le parc d’une logique semi-résidentielle. Ventes 2026-2030 : glissement vers davantage de moyen / premium, surtout sur douche (+17,7 pts sur premium+luxe), WC (+16,3 pts sur premium+luxe), lavabo (+15,1 pts sur premium+luxe). La rénovation reste majoritaire (73% des ventes, contre 27% en neuf) ; le neuf tire le mix vers le haut sans renverser le centre de gravité. L’écart de niveau de confort entre neuf et rénovation est net.</t>
  </si>
  <si>
    <t>Enseignement supérieur / amphithéâtres / salles de cours.</t>
  </si>
  <si>
    <t>Campus universitaire</t>
  </si>
  <si>
    <t>proxy par nombre d’universités et établissements assimilés. Dynamique projetée 2027-2030: quasi stable. Fiabilité: moyenne.</t>
  </si>
  <si>
    <t>https://www.enseignementsup-recherche.gouv.fr/fr/effectifs-universitaires-en-2024-2025-99301</t>
  </si>
  <si>
    <t>Programme de campus : sanitaires publics répartis par bâtiments d'enseignement, hors résidences.</t>
  </si>
  <si>
    <t>Capacité type ≈ 10320 usagers + 1200 staff + 480 visiteurs/intervenants/prestataires présents. Dimensionnement par batteries sanitaires de bâtiments d'enseignement, bibliothèques, restauration et administration, sans résidences ; quelques douches conservées pour sport/maintenance. Calibrage selon capacité simultanée, répartition de flux et organisation réelle du site.</t>
  </si>
  <si>
    <t>Profil très grand, capacité moyenne ≈ 12000 personnes. Moyenne pondérée terrain : parc majoritairement petits/moyens sites, grands sites intégrés sans surpondération ; usage 2025 modérée.</t>
  </si>
  <si>
    <t>Usage élevé mais un peu mieux réparti dans la journée. budgets hétérogènes selon les campus. Les temporisés mécaniques restent au-dessus des mitigeurs en usage partagé, tandis que l'électronique est gardée plus courte à cause des capteurs, piles/secteur et cartes. Renouvellement mixte : correctif au fil de l'eau puis rénovation par bâtiment. Campus tertiaire / enseignement supérieur : Usage adulte, fréquentation soutenue mais moins agressive, rénovations périodiques de campus et obligations de mise à niveau tertiaire.</t>
  </si>
  <si>
    <t>Le parc universitaire/grandes écoles est plus mixte : temporisé mécanique et électronique coexistent largement dans les sanitaires communs, l’électronique étant plus présente que dans le scolaire grâce aux rénovations tertiaires/campus.</t>
  </si>
  <si>
    <t>Les campus basculent plus vite que le scolaire vers l’électronique sur les rénovations 2025-2030, tout en gardant un socle temporisé mécanique dans les zones les plus intensives.</t>
  </si>
  <si>
    <t>Quand il existe des douches communes, le temporisé mécanique domine encore, mais l’électronique apparaît dans les rénovations plus récentes.</t>
  </si>
  <si>
    <t>Les douches communes de campus gagnent un peu d’électronique, mais le temporisé mécanique reste dominant pour le coût et la tenue en usage collectif.</t>
  </si>
  <si>
    <t>Les urinoirs basculent progressivement vers l’automatique dans les bâtiments récents, mais le parc installé reste encore largement partagé avec la chasse directe mécanique.</t>
  </si>
  <si>
    <t>Les campus basculent plus vite vers l’automatique sur les rénovations, avec recul des réservoirs et des systèmes collectifs anciens.</t>
  </si>
  <si>
    <t>La chasse directe domine déjà le parc commun, avec une part non négligeable d’électronique dans les campus récents ou premium ; le réservoir reste présent dans les bâtiments plus anciens.</t>
  </si>
  <si>
    <t>La chasse directe et l’électronique progressent sur les rénovations lourdes de campus ; le réservoir continue de reculer.</t>
  </si>
  <si>
    <t>86,2% retenu : matérialisation élevée grâce aux opérations campus et restructurations, avec toutefois des phasages longs et des arbitrages budgétaires.</t>
  </si>
  <si>
    <t>Potentiel rénovation élevé : modernisation de campus, bâtiments d’enseignement, bibliothèques et vie étudiante, souvent dans des patrimoines vieillissants. Les lavabos et les WC portent l’essentiel des volumes, avec un poids secondaire des équipements spécialisés. En rénovation, le marché reste favorable aux gammes robustes et simples d’entretien, compatibles avec des chantiers par tranches et des budgets contraints.</t>
  </si>
  <si>
    <t>Potentiel neuf faible : opérations sélectives de campus, laboratoires, bâtiments pédagogiques et résidences étudiantes. Les campus universitaires souffrent souvent d’un patrimoine plus diffus, ancien et complexe à rénover. Le neuf est quasi nul dans le modèle et renvoie surtout à des reconstructions ou remplacements de sites.</t>
  </si>
  <si>
    <t>Projets phares réno : réhabilitations de campus, sanitaires de bâtiments tertiaires et d’enseignement, accessibilité et amélioration énergétique.</t>
  </si>
  <si>
    <t>Projets phares neuf : bâtiments d’enseignement/recherche, extensions de campus, résidences étudiantes et reconfigurations avec surface complémentaire.</t>
  </si>
  <si>
    <t>Dynamique réno 2026-2030 : élevée, portée par l’ancienneté du parc et les objectifs énergétiques ; la reprise des sanitaires suit souvent des opérations plus larges de campus. Menaces : arbitrages budgétaires, procédures longues et travaux en site occupé.</t>
  </si>
  <si>
    <t>Dynamique neuf 2026-2030 : modérée ; quelques grands projets peuvent faire le marché sur une année, mais le flux reste irrégulier et dépend de la programmation immobilière publique et parapublique.</t>
  </si>
  <si>
    <t>Parc existant surtout standard. Les ventes se décalent légèrement vers standard, du fait de budgets et de rénovations menées surtout par lots. Le neuf est un peu plus qualitatif que la rénovation, sans renverser le centre de gravité du mix. Campus massifiés : priorité au fonctionnel et à la durabilité, mais les opérations neuves et learning centers tirent progressivement une partie du parc vers l’intermédiaire/premium.</t>
  </si>
  <si>
    <t>Campus massifiés : priorité au fonctionnel et à la durabilité, mais les opérations neuves et learning centers tirent progressivement une partie du parc vers l’intermédiaire/premium.</t>
  </si>
  <si>
    <t>image d’accueil ⇒ intermédiaire/premium ↑ ; poids du neuf significatif ⇒ premiumisation des ventes &gt; parc</t>
  </si>
  <si>
    <t>Universités : campus massifiés avec arbitrage entre robustesse et opérations vitrines. Ventes 2026-2030 : glissement vers davantage de moyen / premium, surtout sur lavabo (+15,8 pts sur premium+luxe), douche (+15,7 pts sur premium+luxe), WC (+13,2 pts sur premium+luxe). La rénovation reste majoritaire (65% des ventes, contre 35% en neuf) ; le neuf tire le mix vers le haut sans renverser le centre de gravité. L’écart de niveau de confort entre neuf et rénovation est net.</t>
  </si>
  <si>
    <t>Grandes écoles</t>
  </si>
  <si>
    <t>Établissements d’enseignement supérieur.</t>
  </si>
  <si>
    <t>École d’ingénieurs, école de commerce</t>
  </si>
  <si>
    <t>proxy sur établissements publics/privés du supérieur. Dynamique projetée 2027-2030: hausse légère. Fiabilité: moyenne.</t>
  </si>
  <si>
    <t>https://data.enseignementsup-recherche.gouv.fr/explore/assets/fr-esr-statistiques-sur-les-effectifs-d-etudiants-inscrits-par-etablissement-hcp/</t>
  </si>
  <si>
    <t>Capacité type ≈ 1290 usagers + 150 staff + 60 visiteurs/intervenants/prestataires présents. Dimensionnement par batteries sanitaires de bâtiments d'enseignement, bibliothèques, restauration et administration, sans résidences ; quelques douches conservées pour sport/maintenance. Calibrage selon capacité simultanée, répartition de flux et organisation réelle du site.</t>
  </si>
  <si>
    <t>Profil très grand, capacité moyenne ≈ 1500 personnes. Moyenne pondérée terrain : parc majoritairement petits/moyens sites, grands sites intégrés sans surpondération ; usage 2025 modérée.</t>
  </si>
  <si>
    <t>Usage adulte, campus mieux maintenu et rénovations patrimoniales plus régulières; pics présents mais moins agressifs qu'université ouverte. Durées proches universités, sécurisées par entretien et budgets ciblés. Renouvellement mixte : correctif au fil de l'eau puis rénovation par bâtiment. Campus tertiaire / enseignement supérieur : Usage adulte, fréquentation soutenue mais moins agressive, rénovations périodiques de campus et obligations de mise à niveau tertiaire.Repères durées: lavabos 13/14/10 ans (mit./méca/élec.), douches 13/12/9, urinoirs 11/14/10/12, WC 12/14/11.</t>
  </si>
  <si>
    <t>85,1% retenu : travaux souvent menés par lots pendant les vacances, tirés par rénovation thermique/salubrité, mais freinés par les arbitrages communaux et les calendriers d’exploitation.</t>
  </si>
  <si>
    <t>Potentiel neuf moyen : opérations sélectives de campus, laboratoires, bâtiments pédagogiques et résidences étudiantes. Les grandes écoles bénéficient parfois de décisions plus rapides lorsque la gouvernance et le financement sont concentrés. Le neuf est réel mais secondaire.</t>
  </si>
  <si>
    <t>Parc existant surtout intermédiaire. Les ventes se décalent légèrement au supérieur, sous l’effet combiné de l’hygiène, de l’image et des rénovations lourdes. Le neuf est un peu plus qualitatif que la rénovation, sans renverser le centre de gravité du mix. Écoles sélectives et établissements d’image : budgets unitaires plus élevés, recherche de qualité perçue et de différenciation, surtout sur les projets neufs.</t>
  </si>
  <si>
    <t>Écoles sélectives et établissements d’image : budgets unitaires plus élevés, recherche de qualité perçue et de différenciation, surtout sur les projets neufs.</t>
  </si>
  <si>
    <t>image + privé ⇒ premium/luxe ↑ ; contrainte sanitaire ⇒ standard/intermédiaire technique ↑ ; poids du neuf significatif ⇒ premiumisation des ventes &gt; parc</t>
  </si>
  <si>
    <t>Grandes écoles : image d’établissement, attractivité et budgets unitaires supérieurs soutiennent le milieu/haut de gamme. Ventes 2026-2030 : glissement vers davantage de moyen / premium, surtout sur lavabo (+24,2 pts sur premium+luxe), douche (+23,9 pts sur premium+luxe), WC (+23,2 pts sur premium+luxe). La rénovation reste majoritaire (66% des ventes, contre 34% en neuf) ; le neuf tire le mix vers le haut sans renverser le centre de gravité. L’écart de niveau de confort entre neuf et rénovation est net.</t>
  </si>
  <si>
    <t>Résidences étudiantes et dortoirs</t>
  </si>
  <si>
    <t>Selon exploitation réelle, sommeil et espaces collectifs ouverts au public.</t>
  </si>
  <si>
    <t>Résidence CROUS, foyer étudiant</t>
  </si>
  <si>
    <t>proxy fondé sur CROUS et opérateurs privés. Dynamique projetée 2027-2030: hausse modérée. Fiabilité: moyenne.</t>
  </si>
  <si>
    <t>Capacité type ≈ 162 résidents/usagers + 14 staff + 4 visiteurs/intervenants. Hypothèse d'hébergement collectif : sanitaires d'étage et douches communes, hors chambres purement privatives. Calibrage selon capacité simultanée, répartition de flux et organisation réelle du site.</t>
  </si>
  <si>
    <t>Usage partagé régulier, vandalisme limité et maintenance patrimoniale classique. Les temporisés mécaniques restent légèrement au-dessus des mitigeurs car l'oubli de fermeture et l'usure des cartouches jouent moins. L'électronique est plus courte surtout pour des raisons de capteurs, piles/secteur et réglages. Rénovation mixte, plutôt opportuniste puis par lots lors des travaux. Loisirs jeunesse / usage saisonnier : Fréquentation par pics, usage parfois extérieur/saisonnier, surveillance variable et maintenance souvent concentrée hors saison.</t>
  </si>
  <si>
    <t>85,1% retenu : part des besoins réellement transformée en travaux sur 2026-2030 après prise en compte des budgets, du phasage et des arbitrages locaux.</t>
  </si>
  <si>
    <t>Potentiel rénovation élevé : salles d’eau et blocs sanitaires très usés par l’hébergement, avec exigences de confort, sécurité et attractivité. La douche pèse au-dessus de la moyenne, avec des contraintes d’humidité, de corrosion et d’entretien qui accélèrent le remplacement. En rénovation, le marché reste orienté vers des gammes fiables, disponibles et rapides à poser afin de limiter l’arrêt d’exploitation.</t>
  </si>
  <si>
    <t>Potentiel neuf moyen à soutenu : porté par quelques internats/reconstructions et surtout par la tension de logement étudiant pour les résidences. Le neuf est significatif mais encore nettement inférieur à la rénovation.</t>
  </si>
  <si>
    <t>Parc existant surtout intermédiaire. Les ventes se décalent légèrement vers intermédiaire, du fait de budgets et de rénovations menées surtout par lots. Le neuf est un peu plus qualitatif que la rénovation, sans renverser le centre de gravité du mix. Présence d’hébergement et d’espaces semi-résidentiels : niveau de confort supérieur au scolaire pur, mais budgets encore serrés et rénovations souvent réalisées par vagues.</t>
  </si>
  <si>
    <t>Résidences étudiantes et dortoirs : logique résidentielle étudiante, renouvelée par phases de réhabilitation. Ventes 2026-2030 : glissement vers davantage de moyen / premium, surtout sur douche (+24,0 pts sur premium+luxe), WC (+23,1 pts sur premium+luxe), lavabo (+22,0 pts sur premium+luxe). Le neuf pèse suffisamment (42% des ventes) pour relever le niveau de confort moyen au-dessus de la rénovation (58%). L’écart de niveau de confort entre neuf et rénovation est net.</t>
  </si>
  <si>
    <t>Centres de formation / CFA</t>
  </si>
  <si>
    <t>Formation professionnelle et apprentissage.</t>
  </si>
  <si>
    <t>CFA, centre de formation continue</t>
  </si>
  <si>
    <t>série publique directe 2024 + rétroprojection encadrée</t>
  </si>
  <si>
    <t>La série n’est pas stagnante : le nombre de CFA augmente nettement depuis le milieu des années 2010, sous l’effet du développement de l’apprentissage.</t>
  </si>
  <si>
    <t>Ancrage direct en 2024 à 3 700 CFA, puis poursuite prudente d’une croissance encore soutenue. Projection 2027-2030: hausse modérée. Fiabilité: moyenne.</t>
  </si>
  <si>
    <t>https://www.education.gouv.fr/depp/reperes-et-references-statistiques-2025-450954</t>
  </si>
  <si>
    <t>Blocs apprenants filles/garçons + sanitaires adultes + vestiaires sportifs/ateliers séparés dès lors qu'ils sont collectifs (≥5 pers.).</t>
  </si>
  <si>
    <t>Capacité type ≈ 405 apprenants + 36 adultes + 9 intervenants/visiteurs. Base scolaire dérivée du référentiel ONS pour les élèves, complétée par sanitaires adultes ; ajout de vestiaires sportifs séparés lorsqu'ils desservent au moins 5 personnes. Calibrage selon capacité simultanée, répartition de flux et organisation réelle du site.</t>
  </si>
  <si>
    <t>Profil grand, capacité moyenne ≈ 450 personnes. Moyenne pondérée terrain : parc majoritairement petits/moyens sites, grands sites intégrés sans surpondération ; usage 2025 modérée.</t>
  </si>
  <si>
    <t>Usage 24/7, protocoles d'hygiène, nettoyage fréquent et maintenance technique plus structurée. L'électronique est relevée par rapport aux ERP standards grâce au sans-contact et aux rinçages automatiques, mais reste sous le temporisé mécanique à cause des capteurs, alimentations et électrovannes. Les remplacements sont souvent planifiés par aile ou unité, avec correctif entre deux opérations. Santé hospitalière aiguë : Forte exigence d’hygiène, prévention légionelles, nettoyage fréquent et remplacements préventifs liés aux travaux Ségur ou à la conformité sanitaire.</t>
  </si>
  <si>
    <t>87,3% retenu : matérialisation élevée grâce aux opérations campus et restructurations, avec toutefois des phasages longs et des arbitrages budgétaires.</t>
  </si>
  <si>
    <t>Potentiel rénovation élevé : ateliers, sanitaires élèves/personnel et éventuels vestiaires sont repris lors des modernisations pédagogiques et énergétiques.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t>
  </si>
  <si>
    <t>Potentiel neuf moyen à soutenu : l’apprentissage et les besoins de montée en compétences soutiennent encore quelques créations/extensions, mais de façon inégale selon filières et territoires. Le neuf est significatif mais encore nettement inférieur à la rénovation.</t>
  </si>
  <si>
    <t>Projets phares réno : blocs sanitaires communs, vestiaires d’ateliers, accessibilité, remise à niveau thermique et fonctionnelle.</t>
  </si>
  <si>
    <t>Projets phares neuf : nouveaux CFA, extensions d’ateliers, campus métiers, restructurations avec surfaces nouvelles.</t>
  </si>
  <si>
    <t>Dynamique réno 2026-2030 : robuste car les sites existants doivent rester attractifs et conformes. Menaces : arbitrages des opérateurs, visibilité sur les effectifs et travaux en exploitation.</t>
  </si>
  <si>
    <t>Dynamique neuf 2026-2030 : réelle mais sélective ; la dynamique de l’apprentissage soutient certains projets, sans créer une vague homogène sur tout le territoire.</t>
  </si>
  <si>
    <t>Parc existant surtout standard. Les ventes se décalent légèrement vers standard / intermédiaire, du fait de budgets et de rénovations menées surtout par lots. Le neuf tire clairement le mix plus haut que la rénovation. Centres de formation : arbitrage entre robustesse et attractivité, avec un parc existant standard/intermédiaire et un neuf plus qualitatif pour rester compétitif.</t>
  </si>
  <si>
    <t>Centres de formation : arbitrage entre robustesse et attractivité, avec un parc existant standard/intermédiaire et un neuf plus qualitatif pour rester compétitif.</t>
  </si>
  <si>
    <t>Centres de formation / CFA : compétition d’attractivité des CFA mais arbitrage encore fortement fonctionnel. Ventes 2026-2030 : glissement vers davantage de moyen / premium, surtout sur lavabo (+20,1 pts sur premium+luxe), douche (+18,2 pts sur premium+luxe), WC (+17,5 pts sur premium+luxe). Le neuf pèse suffisamment (45% des ventes) pour relever le niveau de confort moyen au-dessus de la rénovation (55%). L’écart de niveau de confort entre neuf et rénovation est net.</t>
  </si>
  <si>
    <t xml:space="preserve">Agences emploi / Insertion / Orientation professionnelle 
</t>
  </si>
  <si>
    <t>Insertion, orientation professionnelle et apprentissage.</t>
  </si>
  <si>
    <t>France Travail, Missions Locales, Cap emploi, APEC. (sites principaux autonomes uniquement)</t>
  </si>
  <si>
    <t>Réseau plus élevé avant la fusion ANPE/Assedic, puis globalement stable depuis la consolidation du service public de l'emploi ; on ne retient pas les lieux de permanence secondaires.</t>
  </si>
  <si>
    <t xml:space="preserve">Ancre récente : environ 900 agences France Travail + 425 Missions Locales + 98 Cap emploi + 76 centres APEC. Filtre sanitaire neutre pour sites principaux avec salariés et accueil.
</t>
  </si>
  <si>
    <t xml:space="preserve">https://rapportannuel2024.francetravail.org/ ; https://www.unml.info/le-reseau/les-chiffres-cles/ ; https://handicap.agriculture.gouv.fr/reseau-des-cap-emploi-acteurs-specialises-dans-l-accompagnement-des-a49.html ; https://centre.apec.fr/fr
</t>
  </si>
  <si>
    <t>Guichet emploi/insertion : bloc public en attente + sanitaires personnel séparés.</t>
  </si>
  <si>
    <t>Capacité type ≈ 70 usagers principaux + 25 staff + 5 autre public. Flux de demandeurs d'emploi, accompagnants et agents en bureaux/espaces d'entretien. Dimensionnement unitaire retenu : batterie publique compacte + bloc salariés selon Code du travail, sans douche. Hypothèse d'usage : capacité simultanée moyenne 2026, répartition par flux réels, arrondie par blocs fonctionnels et exclusion des sanitaires strictement privatifs sauf cas explicitement collectifs.</t>
  </si>
  <si>
    <t>Profil moyen, capacité moyenne ≈ 100 personnes. Moyenne pondérée terrain : parc majoritairement petits/moyens sites, grands sites intégrés sans surpondération ; usage 2025 modérée.</t>
  </si>
  <si>
    <t>Tertiaire, administrations et services publics : Durées plutôt stables grâce à maintenance organisée et usage régulier mais maîtrisé. Mix retenu : Usage régulier et maintenance organisée : mix équilibré entre mitigeur, temporisation et électronique croissante en rénovation. Flux de guichet régulier, pics matinaux mais faible humidité et vandalisme modéré; sanitaires de taille limitée, maintenance tertiaire. Plus court que bureaux privés si accueil social dense. Repères durées: lavabos 13/14/10 ans (mit./méca/élec.), douches 12/11/9, urinoirs 11/13/9/11, WC 14/14/10.</t>
  </si>
  <si>
    <t>Agences emploi / Insertion / Orientation professionnelle : parc 2025 domine par tempo mecanique (50%), avec mitigeur manuel en appoint. Le choix reflete accueil tertiaire de jour, flux files d attente ponctuels et maintenance immobiliere standard ; image de service public, accessibilite et cout de maintenance.</t>
  </si>
  <si>
    <t>2025-2030 : progression de tempo electronique (+5,0%), surtout lors des renov. lourdes/neuf ; recul de mitigeur manuel (-5,0%) mais maintien d un socle robuste pour les remplacements partiels.</t>
  </si>
  <si>
    <t>Agences emploi / Insertion / Orientation professionnelle : parc 2025 domine par directe mecanique (50%), avec directe electronique collective en appoint. Le choix reflete accueil tertiaire de jour, flux files d attente ponctuels et maintenance immobiliere standard ; image de service public, accessibilite et cout de maintenance.</t>
  </si>
  <si>
    <t>2025-2030 : progression de directe electronique indiv. (+3,0%), surtout lors des renov. lourdes/neuf ; recul de a reservoir (-2,0%) mais maintien d un socle robuste pour les remplacements partiels.</t>
  </si>
  <si>
    <t>Agences emploi / Insertion / Orientation professionnelle : parc 2025 domine par reservoir (55%), avec chasse directe mecanique en appoint. Le choix reflete accueil tertiaire de jour, flux files d attente ponctuels et maintenance immobiliere standard ; image de service public, accessibilite et cout de maintenance.</t>
  </si>
  <si>
    <t>2025-2030 : progression de chasse directe electronique (+5,0%), surtout lors des renov. lourdes/neuf ; recul de reservoir (-8,0%) mais maintien d un socle robuste pour les remplacements partiels.</t>
  </si>
  <si>
    <t>76,5% retenu : besoins transformes en travaux selon accueil tertiaire de jour, flux files d attente ponctuels et maintenance immobiliere standard. Le phasage budgetaire, les fermetures partielles et la maintenance courante limitent la conversion totale.</t>
  </si>
  <si>
    <t>Potentiel renovation : tire par image de service public, accessibilite et cout de maintenance. Les remplacements sont plutot par lots, avec arbitrage entre urgence sanitaire, budget et capacite a intervenir en site occupe.</t>
  </si>
  <si>
    <t>Potentiel neuf : limite pour agences emploi / insertion / orientation professionnelle, surtout via extensions, reconstructions ou projets locaux. Le neuf reste contraint par foncier, budgets et delais de mise en service.</t>
  </si>
  <si>
    <t>Dynamique renovation 2026-2030 : moderee, car l usure et l hygiene rendent les interventions recurrentes. Menaces : arbitrages d investissement, travaux en exploitation et cout de maintenance.</t>
  </si>
  <si>
    <t>Parc existant centre sur le niveau mid, avec ventes 2026-2030 legerement plus qualitatives. Agences emploi / Insertion / Orientation professionnelle : accueil tertiaire de jour, flux files d attente ponctuels et maintenance immobiliere standard; le mix reste guide par image de service public, accessibilite et cout de maintenance.</t>
  </si>
  <si>
    <t>Parc existant : image de service public, accessibilite et cout de maintenance; accueil tertiaire de jour, flux files d attente ponctuels et maintenance immobiliere standard. La montee en confort reste proportionnee au budget et au rythme de renovation.</t>
  </si>
  <si>
    <t>Agences emploi / Insertion / Orientation professionnelle : ventes 2026-2030 en leger glissement vers moyen/premium lorsque le neuf ou les renov. lourdes interviennent. Le centre de gravite reste toutefois module par image de service public, accessibilite et cout de maintenance et par la part dominante de travaux sur parc existant.</t>
  </si>
  <si>
    <t>Sports &amp; Loisirs</t>
  </si>
  <si>
    <t>Sport couvert / Thermalisme / Bien-être</t>
  </si>
  <si>
    <t>Gymnases / salles multisports
(hors scolaire, mais gymnase municipaux inclus)</t>
  </si>
  <si>
    <t>X</t>
  </si>
  <si>
    <t>Établissements sportifs couverts.</t>
  </si>
  <si>
    <t>Gymnase, hall sportif. Hors établissements scolaires stricts, mais incluant gymnases municipaux utilisés par écoles</t>
  </si>
  <si>
    <t>proxy équipements sportifs couverts. Dynamique projetée 2027-2030: stable. Fiabilité: moyenne.</t>
  </si>
  <si>
    <t>Gymnase : sanitaires publics + vestiaires sportifs séparés H/F, arbitres et encadrement (comptés lorsqu'ils desservent ≥5 pers.).</t>
  </si>
  <si>
    <t>Capacité type ≈ 210 sportifs/usagers + 25 staff + 15 arbitres/visiteurs. Le programme inclut sanitaires publics et vestiaires sportifs séparés dès lors qu'ils accueillent au moins 5 personnes ; pour les piscines, les douches collectives sont structurelles. Calibrage selon capacité simultanée, répartition de flux et organisation réelle du site.</t>
  </si>
  <si>
    <t>Profil grand, capacité moyenne ≈ 250 personnes. Moyenne pondérée terrain : parc majoritairement petits/moyens sites, grands sites intégrés sans surpondération ; usage 2025 forte à très forte.</t>
  </si>
  <si>
    <t>Ministère des Sports, réglementation des équipements sportifs : https://www.sports.gouv.fr/reglementation-federale-des-equipements-sportifs-845 ; + Code du travail pour vestiaires collectifs et sanitaires staff.</t>
  </si>
  <si>
    <t>L'humidité permanente, la condensation et les chlorures/chloramines raccourcissent réellement la durée de vie, surtout sur électroniques, finitions et organes de douche. Les temporisés mécaniques restent les plus stables. Les remplacements sont fréquemment regroupés pendant les arrêts techniques et fermetures de bassin. Sport / piscines / stades : Forts pics de fréquentation, milieu humide ou chloré, nettoyage intensif et vandalisme non négligeable. Les douches et WC sont les plus exposés.</t>
  </si>
  <si>
    <t>Dans les gymnases, le temporisé mécanique domine très clairement le parc, car il résiste bien à l’usage intensif et au vandalisme.</t>
  </si>
  <si>
    <t>Dans le sport, l’électronique progresse sur les rénovations, mais le temporisé mécanique reste la colonne vertébrale du parc grâce à sa robustesse et à la maîtrise d’eau.</t>
  </si>
  <si>
    <t>Les douches collectives sont très majoritairement temporisées mécaniques sur le parc existant sportif.</t>
  </si>
  <si>
    <t>Dans les vestiaires sportifs, l’électronique progresse mais le temporisé mécanique reste majoritaire à horizon 2030 grâce au coût total et à la robustesse.</t>
  </si>
  <si>
    <t>Les urinoirs collectifs anciens restent nombreux dans les équipements sportifs ; la chasse directe mécanique reste le deuxième bloc important.</t>
  </si>
  <si>
    <t>Les rampes/collectifs et réservoirs reculent sur les rénovations ; l’automatique progresse, mais le direct mécanique reste très présent.</t>
  </si>
  <si>
    <t>La chasse directe est déjà majoritaire dans les sanitaires sportifs à forte intensité, mais le réservoir reste significatif sur le parc ancien.</t>
  </si>
  <si>
    <t>Les ERP sportifs rénovés basculent progressivement du réservoir vers le direct ; l’électronique progresse mais reste derrière le direct mécanique.</t>
  </si>
  <si>
    <t>88,4% retenu : intensité d’usage et vétusté soutiennent la réno, mais les budgets locaux et la saisonnalité retardent une partie des programmes.</t>
  </si>
  <si>
    <t>Potentiel rénovation très élevé : vestiaires, douches et sanitaires sont fortement exposés à l’humidité, aux pics d’usage et parfois au vandalisme. La douche pèse au-dessus de la moyenne, avec des contraintes d’humidité, de corrosion et d’entretien qui accélèrent le remplacement. En rénovation, les maîtres d’ouvrage privilégient des références robustes, vite posées et faciles à maintenir dans des ambiances humides.</t>
  </si>
  <si>
    <t>Potentiel neuf faible : soutenu par quelques programmes publics et privés, avec un levier visible du plan 5000 équipements jusqu’en 2026 mais pas une vague uniforme ensuite. Le neuf est quasi nul dans le modèle et renvoie surtout à des reconstructions ou remplacements de sites.</t>
  </si>
  <si>
    <t>Projets phares réno : vestiaires, douches, sanitaires spectateurs, accessibilité et modernisation d’équipements sportifs.</t>
  </si>
  <si>
    <t>Projets phares neuf : gymnases, stades reconfigurés, équipements de proximité, tribunes et vestiaires associés.</t>
  </si>
  <si>
    <t>Dynamique réno 2026-2030 : élevée, car le sanitaire sportif s’use vite et reste visible pour les usagers.</t>
  </si>
  <si>
    <t>Dynamique neuf 2026-2030 : modérée ; meilleure sur les projets structurants et les territoires carencés que sur les petits équipements diffus.</t>
  </si>
  <si>
    <t>Parc existant surtout standard. Les ventes restent proches du parc, centré sur standard, car le trafic et la robustesse maintiennent un cahier des charges très fonctionnel. La rénovation restant majoritaire, le mix de ventes reste proche du parc et monte surtout d’un cran sur les opérations lourdes. Équipements sportifs publics : intensité d’usage, humidité, vandalisme et maintenance poussent vers des gammes très robustes ; la montée en confort reste contenue.</t>
  </si>
  <si>
    <t>Équipements sportifs publics : intensité d’usage, humidité, vandalisme et maintenance poussent vers des gammes très robustes ; la montée en confort reste contenue.</t>
  </si>
  <si>
    <t>forte fréquentation ⇒ standard ↑, premium/luxe ↓ ; rénovation dominante ⇒ progression graduelle</t>
  </si>
  <si>
    <t>Gymnases / salles multisports : vestiaires intensifs, robustesse et anti-vandalisme dominent. Ventes 2026-2030 : glissement vers davantage de moyen / premium. La rénovation reste très majoritaire (85% des ventes, contre 15% en neuf) ; le neuf est plus qualitatif mais ne suffit pas à transformer fortement le mix. L’écart de niveau de confort entre neuf et rénovation est net.</t>
  </si>
  <si>
    <t>Salles de fitness / dojos</t>
  </si>
  <si>
    <t>Sport couvert.</t>
  </si>
  <si>
    <t>Salle de sport, dojo</t>
  </si>
  <si>
    <t>proxy salles de sport et arts martiaux. Dynamique projetée 2027-2030: hausse légère. Fiabilité: moyenne.</t>
  </si>
  <si>
    <t>Salle de fitness/dojo : vestiaires H/F et équipe, comptés dès lors qu'ils accueillent au moins 5 personnes simultanément.</t>
  </si>
  <si>
    <t>Capacité type ≈ 101 sportifs/usagers + 12 staff + 7 intervenants/visiteurs. Le programme inclut sanitaires publics et vestiaires sportifs séparés dès lors qu'ils accueillent au moins 5 personnes ; pour les piscines, les douches collectives sont structurelles. Calibrage selon capacité simultanée, répartition de flux et organisation réelle du site.</t>
  </si>
  <si>
    <t>Profil moyen, capacité moyenne ≈ 120 personnes. Moyenne pondérée terrain : parc majoritairement petits/moyens sites, grands sites intégrés sans surpondération ; usage 2025 forte à très forte.</t>
  </si>
  <si>
    <t>Pics d'usage concentrés, vestiaires collectifs et nettoyage énergique. Les douches et chasses restent plus sollicitées que dans les bureaux. Le temporisé mécanique garde un avantage concret sur les zones communes. Rénovation souvent par lot lors de reprise des vestiaires ou mise en conformité du site. Sport / piscines / stades : Forts pics de fréquentation, milieu humide ou chloré, nettoyage intensif et vandalisme non négligeable. Les douches et WC sont les plus exposés.</t>
  </si>
  <si>
    <t>Les salles de fitness/dojos ont un parc plus récent et plus tertiaire que les gymnases : le mitigeur et l’électronique y pèsent davantage.</t>
  </si>
  <si>
    <t>Les douches restent surtout temporisées mécaniques, mais une part non négligeable de mitigeurs et d’électronique existe déjà dans les clubs récents.</t>
  </si>
  <si>
    <t>Le parc d’urinoirs reste mixte, avec davantage d’automatique que dans le sport public traditionnel.</t>
  </si>
  <si>
    <t>Le réservoir et la chasse directe coexistent encore largement, l’électronique restant minoritaire.</t>
  </si>
  <si>
    <t>87,3% retenu : intensité d’usage et vétusté soutiennent la réno, mais les budgets locaux et la saisonnalité retardent une partie des programmes.</t>
  </si>
  <si>
    <t>Potentiel rénovation très élevé : usure commerciale, image d’enseigne et douches/vestiaires soutiennent des refits réguliers. La douche pèse au-dessus de la moyenne, avec des contraintes d’humidité, de corrosion et d’entretien qui accélèrent le remplacement. En rénovation, le marché reste orienté vers des gammes fiables, disponibles et rapides à poser afin de limiter l’arrêt d’exploitation.</t>
  </si>
  <si>
    <t>Potentiel neuf moyen à soutenu : diffusion privée réelle, surtout en salles de fitness, mais sensible à la consommation et au taux d’occupation. Le neuf est réel mais secondaire.</t>
  </si>
  <si>
    <t>Projets phares réno : douches, vestiaires, sanitaires public/adhérents et repositionnement d’espaces.</t>
  </si>
  <si>
    <t>Projets phares neuf : nouvelles salles, studios, dojos privés ou associatifs, extensions de clubs.</t>
  </si>
  <si>
    <t>Dynamique réno 2026-2030 : plus régulière que le neuf grâce aux cycles commerciaux des clubs.</t>
  </si>
  <si>
    <t>Dynamique neuf 2026-2030 : réelle mais plus cyclique ; dépend de l’emplacement et de la solvabilité des exploitants.</t>
  </si>
  <si>
    <t>Parc existant surtout standard / intermédiaire. Les ventes se décalent légèrement vers intermédiaire, tiré par l’image de marque et l’expérience usager. La rénovation restant majoritaire, le mix de ventes reste proche du parc et monte surtout d’un cran sur les opérations lourdes. Salle de fitness / dojos privés : importance de l’expérience client et de l’image, avec niveau de confort supérieur au sport public.</t>
  </si>
  <si>
    <t>Salle de fitness / dojos privés : importance de l’expérience client et de l’image, avec niveau de confort supérieur au sport public.</t>
  </si>
  <si>
    <t>image + privé ⇒ premium/luxe ↑ ; rénovation dominante ⇒ progression graduelle</t>
  </si>
  <si>
    <t>Salles de fitness / dojos : fitness/dojos plus sensibles à l’expérience usager et à l’image. Ventes 2026-2030 : glissement vers davantage de moyen / premium, surtout sur lavabo (+18,5 pts sur premium+luxe), douche (+15,5 pts sur premium+luxe), WC (+14,9 pts sur premium+luxe). La rénovation reste majoritaire (77% des ventes, contre 23% en neuf) ; le neuf tire le mix vers le haut sans renverser le centre de gravité. L’écart de niveau de confort entre neuf et rénovation est net.</t>
  </si>
  <si>
    <t>Équipement sportif couvert avec surfaces de glace recevant du public.</t>
  </si>
  <si>
    <t>Patinoire municipale couverte</t>
  </si>
  <si>
    <t>proxy équipements de glace couverts. Dynamique projetée 2027-2030: stable. Fiabilité: moyenne.</t>
  </si>
  <si>
    <t>Patinoire : blocs public + vestiaires sportifs séparés (joueurs, arbitres, staff), dès lors qu'ils desservent au moins 5 personnes.</t>
  </si>
  <si>
    <t>Capacité type ≈ 672 sportifs/usagers + 80 staff + 48 intervenants/maintenance.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t>
  </si>
  <si>
    <t>Profil grand, capacité moyenne ≈ 800 personnes. Moyenne pondérée terrain : parc majoritairement petits/moyens sites, grands sites intégrés sans surpondération ; usage 2025 forte à très forte.</t>
  </si>
  <si>
    <t>Ambiance froide, condensation, sols mouillés et pics de vestiaires par créneaux; maintenance technique présente mais corrosion/gel local pénalisent. Proche gymnase, avec contrainte humidité/froid plus forte. Usage très saisonnier mais pics forts, salissures, chocs et maintenance souvent contrainte. Les durées réelles sont proches des ERP à forte fréquentation, avec un petit avantage aux technologies mécaniques simples. Remplacements sont généralement batchés avec les vestiaires et sanitaires.</t>
  </si>
  <si>
    <t>Les patinoires restent proches du modèle sportif collectif : temporisé mécanique dominant, avec une part d’électronique un peu plus élevée dans les sites récents.</t>
  </si>
  <si>
    <t>Les douches sont très majoritairement temporisées mécaniques, l’électronique restant secondaire.</t>
  </si>
  <si>
    <t>Les collectifs anciens et la chasse directe restent dominants sur les urinoirs.</t>
  </si>
  <si>
    <t>La chasse directe domine les blocs publics/vestiaires, mais le réservoir reste encore présent.</t>
  </si>
  <si>
    <t>Potentiel rénovation élevé : équipements spécifiques, sanitaires associés et actifs souvent vieillissants. La douche pèse au-dessus de la moyenne, avec des contraintes d’humidité, de corrosion et d’entretien qui accélèrent le remplacement. En rénovation, les maîtres d’ouvrage privilégient des références robustes, vite posées et faciles à maintenir dans des ambiances humides.</t>
  </si>
  <si>
    <t>Potentiel neuf faible : très sélectif, avec peu d’ouvertures pures. Le neuf est quasi nul dans le modèle et renvoie surtout à des reconstructions ou remplacements de sites.</t>
  </si>
  <si>
    <t>Projets phares réno : vestiaires, sanitaires publics, modernisation fonctionnelle et énergétique.</t>
  </si>
  <si>
    <t>Projets phares neuf : rares équipements nouveaux ou reconfigurations lourdes.</t>
  </si>
  <si>
    <t>Dynamique réno 2026-2030 : supérieure au neuf, davantage tirée par la remise à niveau que par l’expansion.</t>
  </si>
  <si>
    <t>Dynamique neuf 2026-2030 : faible, sauf projet emblématique ponctuel.</t>
  </si>
  <si>
    <t>Patinoires couvertes : patinoires énergivores où le sanitaire n’est pas le premier poste de standing. Ventes 2026-2030 : glissement vers davantage de moyen / premium. La rénovation reste très majoritaire (85% des ventes, contre 15% en neuf) ; le neuf est plus qualitatif mais ne suffit pas à transformer fortement le mix. L’écart de niveau de confort entre neuf et rénovation est net.</t>
  </si>
  <si>
    <t>Sport couvert avec équipements spécifiques.</t>
  </si>
  <si>
    <t>Piscine municipale couverte,</t>
  </si>
  <si>
    <t>proxy équipements aquatiques couverts. Dynamique projetée 2027-2030: stable. Fiabilité: moyenne.</t>
  </si>
  <si>
    <t>Piscine couverte : vestiaires humides séparés et douches collectives obligatoires.</t>
  </si>
  <si>
    <t>Capacité type ≈ 420 sportifs/usagers + 50 staff + 30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t>
  </si>
  <si>
    <t>Profil grand, capacité moyenne ≈ 500 personnes. Moyenne pondérée terrain : parc majoritairement petits/moyens sites, grands sites intégrés sans surpondération ; usage 2025 forte à très forte.</t>
  </si>
  <si>
    <t>Dans les piscines, le parc combine temporisé mécanique et électronique, ce dernier étant plus présent que dans les gymnases en raison des rénovations et de l’hygiène.</t>
  </si>
  <si>
    <t>Les douches collectives restent dominées par le temporisé mécanique, l’électronique progressant dans les piscines récentes.</t>
  </si>
  <si>
    <t>Le parc d’urinoirs reste tiré par les collectifs et les chasses directes, avec une part automatique déjà non négligeable.</t>
  </si>
  <si>
    <t>La chasse directe domine les blocs de piscine ; l’électronique apparaît davantage que dans le sport sec.</t>
  </si>
  <si>
    <t>89,5% retenu : intensité d’usage et vétusté soutiennent la réno, mais les budgets locaux et la saisonnalité retardent une partie des programmes.</t>
  </si>
  <si>
    <t>Potentiel rénovation très élevé : parmi les plus élevés du modèle, car l’humidité, la corrosion, l’énergie et l’image usagers imposent des campagnes lourdes. La douche pèse au-dessus de la moyenne, avec des contraintes d’humidité, de corrosion et d’entretien qui accélèrent le remplacement. En rénovation, les maîtres d’ouvrage privilégient des références robustes, vite posées et faciles à maintenir dans des ambiances humides.</t>
  </si>
  <si>
    <t>Potentiel neuf moyen à soutenu : soutenu sur quelques projets structurants, mais très capitalistique et sélectif. Le neuf est réel mais secondaire.</t>
  </si>
  <si>
    <t>Projets phares réno : vestiaires, douches, sanitaires publics, réhabilitation énergétique et reprise des ambiances humides.</t>
  </si>
  <si>
    <t>Projets phares neuf : piscines structurantes, centres aquatiques, bassins extérieurs reconstruits ou complétés.</t>
  </si>
  <si>
    <t>Dynamique réno 2026-2030 : très forte, car les piscines concentrent à la fois besoin de rénovation énergétique et renouvellement sanitaire.</t>
  </si>
  <si>
    <t>Dynamique neuf 2026-2030 : réelle sur quelques sites, mais fortement filtrée par le coût global, le foncier et l’exploitation future.</t>
  </si>
  <si>
    <t>Piscines couvertes : besoin d’hygiène, d’accessibilité et de traitement de l’humidité dans les piscines. Ventes 2026-2030 : glissement vers davantage de moyen / premium. La rénovation reste majoritaire (82% des ventes, contre 18% en neuf) ; le neuf tire le mix vers le haut sans renverser le centre de gravité. L’écart de niveau de confort entre neuf et rénovation est net.</t>
  </si>
  <si>
    <t>Centres de thalassothérapie / balnéothérapie / grands spas ouverts au public</t>
  </si>
  <si>
    <t>Équipements structurés de soins d’eau ou de bien-être recevant du public, avec vestiaires, douches et sanitaires collectifs ; hors simple cabine de soin isolée.</t>
  </si>
  <si>
    <t>Centre de thalasso, balnéothérapie, spa thermal (Logique : bien-être / loisir)</t>
  </si>
  <si>
    <t>proxy de marché / estimation encadrée</t>
  </si>
  <si>
    <t>Spa/thalasso : vestiaires humides, douches collectives, sanitaires clients et personnel.</t>
  </si>
  <si>
    <t>Capacité type ≈ 135 usagers principaux + 30 staff + 15 autre public. Parcours humide avec vestiaires et soins, fréquentation lissée par créneaux. Dimensionnement unitaire retenu : douches/vestiaires dimensionnés par cohortes simultanées, avec blocs WC publics et staff. Hypothèse d'usage : capacité simultanée moyenne 2026, répartition par flux réels, arrondie par blocs fonctionnels et exclusion des sanitaires strictement privatifs sauf cas explicitement collectifs.</t>
  </si>
  <si>
    <t>Profil moyen, capacité moyenne ≈ 180 personnes. Moyenne pondérée terrain : parc majoritairement petits/moyens sites, grands sites intégrés sans surpondération ; usage 2025 forte à très forte.</t>
  </si>
  <si>
    <t>Locaux de sports - équipements sanitaires : https://www.legifrance.gouv.fr/codes/section_lc/LEGITEXT000006070308/LEGISCTA000006148993/ ; Textes équipements sportifs : https://www.sports.gouv.fr/principaux-textes-de-reference-pour-les-equipements-sportifs-842 ; Code du travail : https://www.legifrance.gouv.fr/codes/id/LEGISCTA000018531984</t>
  </si>
  <si>
    <t>Humidité permanente, eau chaude très sollicitée, produits de nettoyage et atmosphère corrosive; usage client premium mais renouvellement esthétique fréquent. Plus court que piscine couverte, surtout douches/électronique. Repères durées: lavabos 10/11/8 ans (mit./méca/élec.), douches 8/8/7, urinoirs 8/10/7/9, WC 10/11/8.</t>
  </si>
  <si>
    <t>Centres de thalassothérapie / balnéothérapie / grands spas ouverts au public : parc 2025 domine par tempo mecanique (76%), avec mitigeur manuel en appoint. Le choix reflete ambiance tres humide, pics saisonniers ou horaires et maintenance sous contrainte sanitaire ; milieu humide, corrosion, securite usager et forte frequence de nettoyage.</t>
  </si>
  <si>
    <t>Centres de thalassothérapie / balnéothérapie / grands spas ouverts au public : parc 2025 domine par tempo mecanique (80%), avec mitigeur en appoint. Le choix reflete ambiance tres humide, pics saisonniers ou horaires et maintenance sous contrainte sanitaire ; milieu humide, corrosion, securite usager et forte frequence de nettoyage.</t>
  </si>
  <si>
    <t>2025-2030 : progression de tempo mecanique (+2,0%), surtout lors des renov. lourdes/neuf ; recul de mitigeur (-3,0%) mais maintien d un socle robuste pour les remplacements partiels.</t>
  </si>
  <si>
    <t>Centres de thalassothérapie / balnéothérapie / grands spas ouverts au public : parc 2025 domine par directe mecanique (55%), avec directe electronique collective en appoint. Le choix reflete ambiance tres humide, pics saisonniers ou horaires et maintenance sous contrainte sanitaire ; milieu humide, corrosion, securite usager et forte frequence de nettoyage.</t>
  </si>
  <si>
    <t>2025-2030 : progression de directe electronique indiv. (+2,0%), surtout lors des renov. lourdes/neuf ; recul de directe electronique collective (-1,0%) mais maintien d un socle robuste pour les remplacements partiels.</t>
  </si>
  <si>
    <t>Centres de thalassothérapie / balnéothérapie / grands spas ouverts au public : parc 2025 domine par chasse directe mecanique (55%), avec reservoir en appoint. Le choix reflete ambiance tres humide, pics saisonniers ou horaires et maintenance sous contrainte sanitaire ; milieu humide, corrosion, securite usager et forte frequence de nettoyage.</t>
  </si>
  <si>
    <t>2025-2030 : progression de chasse directe electronique (+7,0%), surtout lors des renov. lourdes/neuf ; recul de reservoir (-10,0%) mais maintien d un socle robuste pour les remplacements partiels.</t>
  </si>
  <si>
    <t>82,1% retenu : besoins transformes en travaux selon ambiance tres humide, pics saisonniers ou horaires et maintenance sous contrainte sanitaire. Le phasage budgetaire, les fermetures partielles et la maintenance courante limitent la conversion totale.</t>
  </si>
  <si>
    <t>Potentiel renovation : tire par milieu humide, corrosion, securite usager et forte frequence de nettoyage. Les remplacements sont plutot par lots, avec arbitrage entre urgence sanitaire, budget et capacite a intervenir en site occupe.</t>
  </si>
  <si>
    <t>Potentiel neuf : plus visible pour centres de thalassothérapie / balnéothérapie / grands spas ouverts au public, surtout via extensions, reconstructions ou projets locaux. Le neuf reste contraint par foncier, budgets et delais de mise en service.</t>
  </si>
  <si>
    <t>Parc existant centre sur le niveau wet, avec ventes 2026-2030 legerement plus qualitatives. Centres de thalassothérapie / balnéothérapie / grands spas ouverts au public : ambiance tres humide, pics saisonniers ou horaires et maintenance sous contrainte sanitaire; le mix reste guide par milieu humide, corrosion, securite usager et forte frequence de nettoyage.</t>
  </si>
  <si>
    <t>Parc existant : milieu humide, corrosion, securite usager et forte frequence de nettoyage; ambiance tres humide, pics saisonniers ou horaires et maintenance sous contrainte sanitaire. La montee en confort reste proportionnee au budget et au rythme de renovation.</t>
  </si>
  <si>
    <t>forte frequentation =&gt; standard robuste ; milieu humide =&gt; produits techniques</t>
  </si>
  <si>
    <t>Centres de thalassothérapie / balnéothérapie / grands spas ouverts au public : ventes 2026-2030 en leger glissement vers moyen/premium lorsque le neuf ou les renov. lourdes interviennent. Le centre de gravite reste toutefois module par milieu humide, corrosion, securite usager et forte frequence de nettoyage et par la part dominante de travaux sur parc existant.</t>
  </si>
  <si>
    <t>Établissements thermaux</t>
  </si>
  <si>
    <t>Sites recevant des curistes ou visiteurs avec vestiaires, douches, espaces d’eau et sanitaires ; à compter au site principal.</t>
  </si>
  <si>
    <t>Thermes, établissement thermal (Logique : médicale + encadrée par l’État)</t>
  </si>
  <si>
    <t>série sectorielle / proxy public</t>
  </si>
  <si>
    <t>Thermalisme : vestiaires, douches de soins et sanitaires publics/staff, hors cabines privatives de soins.</t>
  </si>
  <si>
    <t>Capacité type ≈ 180 usagers principaux + 50 staff + 20 autre public. Curistes présents par vagues de soins, accompagnants et personnel soignant/technique. Dimensionnement unitaire retenu : blocs humides par secteur de cure + blocs d'attente, proratisés au public simultané. Hypothèse d'usage : capacité simultanée moyenne 2026, répartition par flux réels, arrondie par blocs fonctionnels et exclusion des sanitaires strictement privatifs sauf cas explicitement collectifs.</t>
  </si>
  <si>
    <t>Usage sanitaire programmé mais quotidien, eau minéralisée, humidité et nettoyage renforcé; vandalisme faible mais contraintes d'eau et arrêts techniques saisonniers. Proche thalasso, avec maintenance d'exploitation. Repères durées: lavabos 10/11/8 ans (mit./méca/élec.), douches 8/8/7, urinoirs 8/10/7/9, WC 10/11/8.</t>
  </si>
  <si>
    <t>Établissements thermaux : parc 2025 domine par tempo mecanique (76%), avec mitigeur manuel en appoint. Le choix reflete ambiance tres humide, pics saisonniers ou horaires et maintenance sous contrainte sanitaire ; milieu humide, corrosion, securite usager et forte frequence de nettoyage.</t>
  </si>
  <si>
    <t>Établissements thermaux : parc 2025 domine par tempo mecanique (80%), avec mitigeur en appoint. Le choix reflete ambiance tres humide, pics saisonniers ou horaires et maintenance sous contrainte sanitaire ; milieu humide, corrosion, securite usager et forte frequence de nettoyage.</t>
  </si>
  <si>
    <t>Établissements thermaux : parc 2025 domine par directe mecanique (55%), avec directe electronique collective en appoint. Le choix reflete ambiance tres humide, pics saisonniers ou horaires et maintenance sous contrainte sanitaire ; milieu humide, corrosion, securite usager et forte frequence de nettoyage.</t>
  </si>
  <si>
    <t>Établissements thermaux : parc 2025 domine par chasse directe mecanique (55%), avec reservoir en appoint. Le choix reflete ambiance tres humide, pics saisonniers ou horaires et maintenance sous contrainte sanitaire ; milieu humide, corrosion, securite usager et forte frequence de nettoyage.</t>
  </si>
  <si>
    <t>Potentiel neuf : plus visible pour établissements thermaux, surtout via extensions, reconstructions ou projets locaux. Le neuf reste contraint par foncier, budgets et delais de mise en service.</t>
  </si>
  <si>
    <t>Parc existant centre sur le niveau wet, avec ventes 2026-2030 legerement plus qualitatives. Établissements thermaux : ambiance tres humide, pics saisonniers ou horaires et maintenance sous contrainte sanitaire; le mix reste guide par milieu humide, corrosion, securite usager et forte frequence de nettoyage.</t>
  </si>
  <si>
    <t>Établissements thermaux : ventes 2026-2030 en leger glissement vers moyen/premium lorsque le neuf ou les renov. lourdes interviennent. Le centre de gravite reste toutefois module par milieu humide, corrosion, securite usager et forte frequence de nettoyage et par la part dominante de travaux sur parc existant.</t>
  </si>
  <si>
    <t>Terrains de sport
(Hors scolaire, sans tribune)</t>
  </si>
  <si>
    <t>PA</t>
  </si>
  <si>
    <t>ERP spécial</t>
  </si>
  <si>
    <t>Équipements sportifs de plein air. Complexe multi-terrains sans tribune (Site mutualisé, club-house, plusieurs vestiaires), Standard club municipal (Cas le plus fréquent à retenir), Petit terrain communal, peu ou pas de sanitaire public (Minimal vestiaires seuls).</t>
  </si>
  <si>
    <t>Terrain de rugby, football, athlétisme (sans tribunes), hand, basket ou autre …</t>
  </si>
  <si>
    <t>Hausse lente mais régulière, renforcée après 2021 par les plans publics d’équipements sportifs ; l’effet porte surtout sur des créations/rénovations de proximité, pas sur un bond massif des grands terrains.</t>
  </si>
  <si>
    <t>Dynamique projetée 2027-2030: stable. Plans « 5000 terrains/équipements » ajoutent un support à la croissance 2022-2026. 70 % du volume brut disposeraient de sanitaires accessibles au public, sur la base de Data ES et du constat Insee.</t>
  </si>
  <si>
    <t>https://www.sports.gouv.fr/recensement-des-equipements-sportifs-data-es-671 ; https://www.sports.gouv.fr/plan-5000-terrains-de-sport-d-ici-2024-678 ; https://www.agencedusport.fr/plan-5000-equipements-generation-2024</t>
  </si>
  <si>
    <t>Terrain sportif local : sanitaires publics/club-house + vestiaires-douches si collectifs.</t>
  </si>
  <si>
    <t>2 vestiaires joueurs : 5 à 7 douches chacun, 1 lavabo, parfois 1 WC ; 1 vestiaire arbitre : 1 douche, 1 lavabo, 1 WC ; un petit bloc public / club-house : quelques WC, lavabos, parfois 1 à 2 urinoirs .
Rarement de gros blocs sanitaires spectateurs, puisqu’il n’y a pas de tribune. Donc les douches peuvent dépasser les lavabos, ce qui est normal pour ce sous-segment.</t>
  </si>
  <si>
    <t>Profil petit, capacité moyenne ≈ 50 personnes. Moyenne pondérée terrain : parc majoritairement petits/moyens sites, grands sites intégrés sans surpondération ; usage 2025 forte à très forte.</t>
  </si>
  <si>
    <t>Usage très saisonnier mais pics forts, salissures, chocs et maintenance souvent contrainte. Les durées réelles sont proches des ERP à forte fréquentation, avec un petit avantage aux technologies mécaniques simples. Les remplacements sont généralement batchés avec les vestiaires et sanitaires de stade. Sport / piscines / stades : Forts pics de fréquentation, milieu humide ou chloré, nettoyage intensif et vandalisme non négligeable. Les douches et WC sont les plus exposés.</t>
  </si>
  <si>
    <t>Terrains de sport (Hors scolaire) : parc 2025 domine par tempo mecanique (76%), avec mitigeur manuel en appoint. Le choix reflete vestiaires et sanitaires soumis aux pics match/entrainement et a une exposition exterieure ; anti-vandalisme, lavage frequent et tenue aux usages sportifs.</t>
  </si>
  <si>
    <t>Terrains de sport (Hors scolaire) : parc 2025 domine par tempo mecanique (80%), avec mitigeur en appoint. Le choix reflete vestiaires et sanitaires soumis aux pics match/entrainement et a une exposition exterieure ; anti-vandalisme, lavage frequent et tenue aux usages sportifs.</t>
  </si>
  <si>
    <t>Terrains de sport (Hors scolaire) : parc 2025 domine par directe mecanique (55%), avec directe electronique collective en appoint. Le choix reflete vestiaires et sanitaires soumis aux pics match/entrainement et a une exposition exterieure ; anti-vandalisme, lavage frequent et tenue aux usages sportifs.</t>
  </si>
  <si>
    <t>Terrains de sport (Hors scolaire) : parc 2025 domine par chasse directe mecanique (55%), avec reservoir en appoint. Le choix reflete vestiaires et sanitaires soumis aux pics match/entrainement et a une exposition exterieure ; anti-vandalisme, lavage frequent et tenue aux usages sportifs.</t>
  </si>
  <si>
    <t>80,1% retenu : besoins transformes en travaux selon vestiaires et sanitaires soumis aux pics match/entrainement et a une exposition exterieure. Le phasage budgetaire, les fermetures partielles et la maintenance courante limitent la conversion totale.</t>
  </si>
  <si>
    <t>Potentiel renovation : tire par anti-vandalisme, lavage frequent et tenue aux usages sportifs. Les remplacements sont plutot par lots, avec arbitrage entre urgence sanitaire, budget et capacite a intervenir en site occupe.</t>
  </si>
  <si>
    <t>Potentiel neuf : limite pour terrains de sport (hors scolaire), surtout via extensions, reconstructions ou projets locaux. Le neuf reste contraint par foncier, budgets et delais de mise en service.</t>
  </si>
  <si>
    <t>Parc existant centre sur le niveau anti, avec ventes 2026-2030 legerement plus qualitatives. Terrains de sport (Hors scolaire) : vestiaires et sanitaires soumis aux pics match/entrainement et a une exposition exterieure; le mix reste guide par anti-vandalisme, lavage frequent et tenue aux usages sportifs.</t>
  </si>
  <si>
    <t>Parc existant : anti-vandalisme, lavage frequent et tenue aux usages sportifs; vestiaires et sanitaires soumis aux pics match/entrainement et a une exposition exterieure. La montee en confort reste proportionnee au budget et au rythme de renovation.</t>
  </si>
  <si>
    <t>forte frequentation =&gt; standard robuste</t>
  </si>
  <si>
    <t>Terrains de sport (Hors scolaire) : ventes 2026-2030 en leger glissement vers moyen/premium lorsque le neuf ou les renov. lourdes interviennent. Le centre de gravite reste toutefois module par anti-vandalisme, lavage frequent et tenue aux usages sportifs et par la part dominante de travaux sur parc existant.</t>
  </si>
  <si>
    <t>Stades avec tribunes
(Hors grands stades, hors terrains sport)</t>
  </si>
  <si>
    <t>Équipements sportifs de plein air. Stade municipal/intercommunal, club amateur structuré ou semi-pro, tribune permanente, bloc vestiaires-douches, sanitaires publics, usage compétition locale/régionale/nationale ponctuelle</t>
  </si>
  <si>
    <t>Stades municipaux à tribune permanente ; stades clubs amateurs structurés ; stades avec bloc vestiaires-douches joueurs/arbitres ; stades à usage événementiel régulier</t>
  </si>
  <si>
    <t>proxy équipements extérieurs. Dynamique projetée 2027-2030: stable. Fiabilité: moyenne.</t>
  </si>
  <si>
    <t>Stade d'athlétisme : petit bloc public + vestiaires sportifs séparés si la jauge du vestiaire atteint ≥5 personnes.</t>
  </si>
  <si>
    <t>Capacité type ≈ 59 sportifs/usagers + 7 staff + 4 arbitres/maintenance + Public. Le programme inclut sanitaires publics et vestiaires sportifs séparés dès lors qu'ils accueillent au moins 5 personnes ; pour les piscines, les douches collectives sont structurelles. Calibrage selon capacité simultanée, répartition de flux et organisation réelle du site.</t>
  </si>
  <si>
    <t>Profil à capacité moyenne ≈ 900 personnes. Moyenne pondérée terrain : parc majoritairement petits/moyens sites, grands sites intégrés sans surpondération ; usage 2025 forte à très forte.</t>
  </si>
  <si>
    <t>Usage très intermittent, pics compétitions/entraînements, salissures et maintenance hors saison. Moins intensif qu'un grand stade, mais plus extérieur qu'un gymnase; douches et électroniques restent prudents. Les durées réelles sont proches des ERP à forte fréquentation, avec un petit avantage aux technologies mécaniques simples. Les remplacements sont généralement batchés avec les vestiaires et sanitaires de stade. Nettoyage intensif et vandalisme non négligeable. Les douches et WC sont les plus exposés.</t>
  </si>
  <si>
    <t>Dans les stades et terrains sportifs ordinaires, le temporisé mécanique reste la norme du parc commun, avec une faible part d’électronique.</t>
  </si>
  <si>
    <t>Les douches de vestiaires restent très majoritairement temporisées mécaniques.</t>
  </si>
  <si>
    <t>Les collectifs anciens restent très présents sur les urinoirs de ce parc sportif de proximité.</t>
  </si>
  <si>
    <t>La chasse directe est déjà majoritaire, mais le réservoir conserve un poids important sur le parc existant.</t>
  </si>
  <si>
    <t>82,9% retenu : intensité d’usage et vétusté soutiennent la réno, mais les budgets locaux et la saisonnalité retardent une partie des programmes.</t>
  </si>
  <si>
    <t>Potentiel rénovation élevé : vestiaires, douches et sanitaires sont fortement exposés à l’humidité, aux pics d’usage et parfois au vandalisme. La douche pèse au-dessus de la moyenne, avec des contraintes d’humidité, de corrosion et d’entretien qui accélèrent le remplacement. En rénovation, l’achat reste orienté vers des produits robustes, anti-vandalisme et simples à maintenir en site occupé.</t>
  </si>
  <si>
    <t>Potentiel neuf moyen : soutenu par quelques programmes publics et privés, avec un levier visible du plan 5000 équipements jusqu’en 2026 mais pas une vague uniforme ensuite. Le neuf est réel mais secondaire.</t>
  </si>
  <si>
    <t>Ventes 2026-2030 : glissement vers davantage de moyen / premium. La rénovation reste majoritaire (77% des ventes, contre 23% en neuf) ; le neuf tire le mix vers le haut sans renverser le centre de gravité. L’écart de niveau de confort entre neuf et rénovation est net.</t>
  </si>
  <si>
    <t xml:space="preserve">Grands stades avec tribunes
(Type football/rugby) </t>
  </si>
  <si>
    <t>Équipements sportifs de plein air de grande taille. Club pro ou semi-pro haut niveau, usage événementiel, concerts possibles, compétitions avec public moyen/nombreux, capacité et équipements ERP spectateurs plus lourds</t>
  </si>
  <si>
    <t>Club pro - semi-pro haut niveau, usage événementiel, concerts possibles, compétitions avec public, capacité ERP spectateurs lourde</t>
  </si>
  <si>
    <t>proxy terrains sportifs de plein air. Dynamique projetée 2027-2030: stable. Fiabilité: moyenne.</t>
  </si>
  <si>
    <t>Grand stade : batteries public + vestiaires équipes/arbitres/contrôle, vestiaires collectifs séparés.</t>
  </si>
  <si>
    <t>Capacité type ≈ 504 sportifs/usagers + 60 staff + 36 arbitres/maintenance + Public (ultra-majoritaire). Le programme inclut sanitaires publics et vestiaires sportifs séparés dès lors qu'ils accueillent au moins 5 personnes ; pour les piscines, les douches collectives sont structurelles. Calibrage selon capacité simultanée, répartition de flux et organisation réelle du site.</t>
  </si>
  <si>
    <t>Profil grand, capacité moyenne ≈ 11500 personnes. Moyenne pondérée terrain : parc majoritairement petits/moyens sites, grands sites intégrés sans surpondération ; usage 2025 forte à très forte.</t>
  </si>
  <si>
    <t>Très forts pics concentrés, usage anonyme, nettoyage de masse et risque de dégradation lors d'événements. Durée tirée vers le bas malgré maintenance structurée; chasses mécaniques les plus robustes. Usage ponctuels mais pics forts, salissures, chocs et maintenance souvent contrainte. Les durées réelles sont celles des ERP à forte fréquentation, avec un petit avantage aux technologies mécaniques simples. Remplacements sont généralement batchés avec les vestiaires et sanitaires de stade.Nettoyage intensif et vandalisme non négligeable. Les douches et WC sont les plus exposés.</t>
  </si>
  <si>
    <t>Dans les grands stades, le parc commun reste d’abord pensé pour l’intensité : temporisé mécanique dominant, avec une part d’électronique plus élevée sur les rénovations premium.</t>
  </si>
  <si>
    <t>Les urinoirs collectifs (rampe/batterie) conservent un poids majeur dans le parc existant des grands stades ; l’automatique progresse sans devenir majoritaire.</t>
  </si>
  <si>
    <t>La chasse directe domine très nettement les sanitaires publics de stade, mieux adaptée à de très forts pics de fréquentation.</t>
  </si>
  <si>
    <t>86,2% retenu : intensité d’usage et vétusté soutiennent la réno, mais les budgets locaux et la saisonnalité retardent une partie des programmes.</t>
  </si>
  <si>
    <t>Potentiel rénovation très élevé : vestiaires, douches et sanitaires sont fortement exposés à l’humidité, aux pics d’usage et parfois au vandalisme. Les volumes se concentrent surtout sur lavabos et wc. En rénovation, l’achat reste orienté vers des produits robustes, anti-vandalisme et simples à maintenir en site occupé.</t>
  </si>
  <si>
    <t>Potentiel neuf moyen à soutenu : soutenu par quelques programmes publics et privés, avec un levier visible du plan 5000 équipements jusqu’en 2026 mais pas une vague uniforme ensuite. Le neuf est réel mais secondaire. Les projets neufs sont rares ; l’activité vient plus souvent de requalifications lourdes.</t>
  </si>
  <si>
    <t>Parc existant surtout standard. Les ventes se décalent légèrement vers standard / intermédiaire, car le trafic et la robustesse maintiennent un cahier des charges très fonctionnel. La rénovation restant majoritaire, le mix de ventes reste proche du parc et monte surtout d’un cran sur les opérations lourdes. Grands stades et hippodromes : forte pression trafic mais aussi enjeux d’image/VIP ; le parc grand public reste surtout standard, avec poches plus premium.</t>
  </si>
  <si>
    <t>Grands stades et hippodromes : forte pression trafic mais aussi enjeux d’image/VIP ; le parc grand public reste surtout standard, avec poches plus premium.</t>
  </si>
  <si>
    <t>forte fréquentation ⇒ standard ↑, premium/luxe ↓ ; image d’accueil ⇒ intermédiaire/premium ↑ ; poids du neuf significatif ⇒ premiumisation des ventes &gt; parc</t>
  </si>
  <si>
    <t>Ventes 2026-2030 : glissement vers davantage de moyen / premium, surtout sur lavabo (+8,4 pts sur premium+luxe), WC (+3,9 pts sur premium+luxe), douche (+3,4 pts sur premium+luxe). La rénovation reste majoritaire (74% des ventes, contre 26% en neuf) ; le neuf tire le mix vers le haut sans renverser le centre de gravité. L’écart de niveau de confort entre neuf et rénovation est net.</t>
  </si>
  <si>
    <t>Hippodromes, Centres équestres &amp; Manèges couverts</t>
  </si>
  <si>
    <t>Équipements sportifs et de loisirs de plein air.</t>
  </si>
  <si>
    <t>Hippodrome, centre équestre, poney-club, manège couvert</t>
  </si>
  <si>
    <t>2025 =&gt; 233 hippodromes + environ 6 000 centres équestres / poney-clubs / manèges ouverts au public. Environ 55-60% dotés de sanitaires.</t>
  </si>
  <si>
    <t>Projection 2026-2030 légèrement baissière : socle hippodromes reste limité, tandis que centres équestres sanitaires-équipés restent nombreux mais soumis à une concentration progressive.</t>
  </si>
  <si>
    <t>https://www.ffe.com/actualites/assemblees-generales-ordinaires-2024-de-la-ffe-et-du-cnte ; https://www.ffe.com/tourisme/le-comite-national-de-tourisme-equestre-cnte
https://www.insee.fr/fr/metadonnees/source/serie/s1161</t>
  </si>
  <si>
    <t>Hippodrome/centre équestre : bloc public + sanitaires cavaliers/staff, douches surtout pour activité équestre.</t>
  </si>
  <si>
    <t>Capacité type ≈ 130 usagers principaux + 35 staff + 15 autre public. Mix spectateurs, cavaliers et encadrement ; pics événementiels non retenus comme moyenne. Dimensionnement unitaire retenu : blocs séparés public/exploitant + vestiaires/douches cavaliers en cas de pratique collective. Hypothèse d'usage : capacité simultanée moyenne 2026, répartition par flux réels, arrondie par blocs fonctionnels et exclusion des sanitaires strictement privatifs sauf cas explicitement collectifs.</t>
  </si>
  <si>
    <t>Poussière, boue, saisonnalité et public événementiel; douches/vestiaires de personnels ou cavaliers subissent humidité et salissures. Plus exposé qu'un stade classique, rénovations souvent après saison.</t>
  </si>
  <si>
    <t>Le parc des hippodromes mélange équipements publics anciens et rénovations ponctuelles : temporisé mécanique dominant, avec une part d’équipements atypiques ou robustes plus élevée.  Parc 2025 domine par tempo mecanique (76%), avec mitigeur manuel en appoint. Le choix reflete vestiaires et sanitaires soumis aux pics match/entrainement et a une exposition exterieure ; anti-vandalisme, lavage frequent et tenue aux usages sportifs.</t>
  </si>
  <si>
    <t>Hippodromes, Centres équestres &amp; Manèges couverts : parc 2025 domine par tempo mecanique (80%), avec mitigeur en appoint. Le choix reflete vestiaires et sanitaires soumis aux pics match/entrainement et a une exposition exterieure ; anti-vandalisme, lavage frequent et tenue aux usages sportifs.</t>
  </si>
  <si>
    <t>Hippodromes, Centres équestres &amp; Manèges couverts : parc 2025 domine par directe mecanique (55%), avec directe electronique collective en appoint. Le choix reflete vestiaires et sanitaires soumis aux pics match/entrainement et a une exposition exterieure ; anti-vandalisme, lavage frequent et tenue aux usages sportifs.</t>
  </si>
  <si>
    <t>Hippodromes, Centres équestres &amp; Manèges couverts : parc 2025 domine par chasse directe mecanique (55%), avec reservoir en appoint. Le choix reflete vestiaires et sanitaires soumis aux pics match/entrainement et a une exposition exterieure ; anti-vandalisme, lavage frequent et tenue aux usages sportifs.</t>
  </si>
  <si>
    <t>Potentiel neuf : limite pour hippodromes, centres équestres &amp; manèges couverts, surtout via extensions, reconstructions ou projets locaux. Le neuf reste contraint par foncier, budgets et delais de mise en service.</t>
  </si>
  <si>
    <t>Parc existant centre sur le niveau anti, avec ventes 2026-2030 legerement plus qualitatives. Hippodromes, Centres équestres &amp; Manèges couverts : vestiaires et sanitaires soumis aux pics match/entrainement et a une exposition exterieure; le mix reste guide par anti-vandalisme, lavage frequent et tenue aux usages sportifs.</t>
  </si>
  <si>
    <t>Hippodromes, Centres équestres &amp; Manèges couverts : ventes 2026-2030 en leger glissement vers moyen/premium lorsque le neuf ou les renov. lourdes interviennent. Le centre de gravite reste toutefois module par anti-vandalisme, lavage frequent et tenue aux usages sportifs et par la part dominante de travaux sur parc existant.</t>
  </si>
  <si>
    <t>Piscines extérieures 
(Hors campings, hôtels, résidences et établissement avec bassin intérieur)</t>
  </si>
  <si>
    <t>Équipement nautique de plein air recevant du public.</t>
  </si>
  <si>
    <t>Piscine de plein air</t>
  </si>
  <si>
    <t>proxy piscines de plein air. Dynamique projetée 2027-2030: stable. Fiabilité: moyenne.</t>
  </si>
  <si>
    <t>Piscine de plein air : vestiaires humides séparés et douches collectives ; cabines individuelles non comptées.</t>
  </si>
  <si>
    <t>Capacité type ≈ 504 sportifs/usagers + 60 staff + 36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t>
  </si>
  <si>
    <t>Profil grand, capacité moyenne ≈ 600 personnes. Moyenne pondérée terrain : parc majoritairement petits/moyens sites, grands sites intégrés sans surpondération ; usage 2025 forte à très forte.</t>
  </si>
  <si>
    <t>Usage saisonnier avec UV, variations thermiques, chlore et remises en eau; pics estivaux mais longue fermeture. Plus agressif pour joints/capteurs qu'une piscine couverte malgré moindre usage annuel. Très forte fréquentation, mais plus ponctuelle, usage anonyme, nettoyage intensif et vandalisme tangible. Temporisés mécaniques et chasses directes mécaniques gardent l'avantage réel. Electronique limité surtout par capteurs, piles/secteur et interventions plus lourdes. Remplacements souvent planifiés par campagne de remise à niveau des sanitaires, hors saison. Disponibilité immédiate requise, vandalisme et coûts d’exploitation élevés. Temporisation mécanique et la chasse directe sont favorisées.</t>
  </si>
  <si>
    <t>79,6% retenu : intensité d’usage et vétusté soutiennent la réno, mais les budgets locaux et la saisonnalité retardent une partie des programmes.</t>
  </si>
  <si>
    <t>Potentiel rénovation élevé : parmi les plus élevés du modèle, car l’humidité, la corrosion, l’énergie et l’image usagers imposent des campagnes lourdes. La douche pèse au-dessus de la moyenne, avec des contraintes d’humidité, de corrosion et d’entretien qui accélèrent le remplacement. En rénovation, les maîtres d’ouvrage privilégient des références robustes, vite posées et faciles à maintenir dans des ambiances humides.</t>
  </si>
  <si>
    <t>Potentiel neuf faible : soutenu sur quelques projets structurants, mais très capitalistique et sélectif. Le neuf est quasi nul dans le modèle et renvoie surtout à des reconstructions ou remplacements de sites.</t>
  </si>
  <si>
    <t>Dynamique réno 2026-2030 : très forte, car les piscines concentrent à la fois besoin de rénovation énergétique et renouvellement sanitaire. Les exploitants arbitrent vite quand la qualité sanitaire pénalise la note client.</t>
  </si>
  <si>
    <t>Dynamique neuf 2026-2030 : réelle sur quelques sites, mais fortement filtrée par le coût global, le foncier et l’exploitation future. Le tourisme reste bien orienté, mais les décisions de construction sont plus sélectives qu’en phase de rattrapage post-Covid.</t>
  </si>
  <si>
    <t>Ventes 2026-2030 : glissement vers davantage de moyen / premium. La rénovation reste très majoritaire (89% des ventes, contre 11% en neuf) ; le neuf est plus qualitatif mais ne suffit pas à transformer fortement le mix. L’écart de niveau de confort entre neuf et rénovation est net.</t>
  </si>
  <si>
    <t>Bases nautiques / centres nautiques avec vestiaires-douches</t>
  </si>
  <si>
    <t>X ou PA</t>
  </si>
  <si>
    <t>Équipements nautiques ouverts au public avec vestiaires, douches et sanitaires ; hors piscines déjà comptées séparément et hors simple mise à l’eau sans bâtiment recevant du public.</t>
  </si>
  <si>
    <t>Base nautique, centre nautique, club nautique avec accueil public</t>
  </si>
  <si>
    <t>Base nautique : vestiaires humides, douches collectives et sanitaires publics.</t>
  </si>
  <si>
    <t>Capacité type ≈ 95 usagers principaux + 18 staff + 7 autre public. Cohortes de pratiquants nautiques, encadrement et visiteurs/accompagnants. Dimensionnement unitaire retenu : douches/vestiaires par groupes de cours ou sorties, plus WC public et staff. Hypothèse d'usage : capacité simultanée moyenne 2026, répartition par flux réels, arrondie par blocs fonctionnels et exclusion des sanitaires strictement privatifs sauf cas explicitement collectifs.</t>
  </si>
  <si>
    <t>Eau, sable, sel éventuel et pics d'été sur vestiaires; maintenance souvent saisonnière et locaux parfois peu chauffés. Proche plage, mais meilleure tenue si base encadrée et fermée hors saison. Repères durées: lavabos 10/11/8 ans (mit./méca/élec.), douches 8/8/7, urinoirs 8/10/7/9, WC 10/11/8.</t>
  </si>
  <si>
    <t>Bases nautiques / centres nautiques avec vestiaires-douches : parc 2025 domine par tempo mecanique (76%), avec mitigeur manuel en appoint. Le choix reflete ambiance tres humide, pics saisonniers ou horaires et maintenance sous contrainte sanitaire ; milieu humide, corrosion, securite usager et forte frequence de nettoyage.</t>
  </si>
  <si>
    <t>Bases nautiques / centres nautiques avec vestiaires-douches : parc 2025 domine par tempo mecanique (80%), avec mitigeur en appoint. Le choix reflete ambiance tres humide, pics saisonniers ou horaires et maintenance sous contrainte sanitaire ; milieu humide, corrosion, securite usager et forte frequence de nettoyage.</t>
  </si>
  <si>
    <t>Bases nautiques / centres nautiques avec vestiaires-douches : parc 2025 domine par directe mecanique (55%), avec directe electronique collective en appoint. Le choix reflete ambiance tres humide, pics saisonniers ou horaires et maintenance sous contrainte sanitaire ; milieu humide, corrosion, securite usager et forte frequence de nettoyage.</t>
  </si>
  <si>
    <t>Bases nautiques / centres nautiques avec vestiaires-douches : parc 2025 domine par chasse directe mecanique (55%), avec reservoir en appoint. Le choix reflete ambiance tres humide, pics saisonniers ou horaires et maintenance sous contrainte sanitaire ; milieu humide, corrosion, securite usager et forte frequence de nettoyage.</t>
  </si>
  <si>
    <t>Potentiel neuf : plus visible pour bases nautiques / centres nautiques avec vestiaires-douches, surtout via extensions, reconstructions ou projets locaux. Le neuf reste contraint par foncier, budgets et delais de mise en service.</t>
  </si>
  <si>
    <t>Parc existant centre sur le niveau wet, avec ventes 2026-2030 legerement plus qualitatives. Bases nautiques / centres nautiques avec vestiaires-douches : ambiance tres humide, pics saisonniers ou horaires et maintenance sous contrainte sanitaire; le mix reste guide par milieu humide, corrosion, securite usager et forte frequence de nettoyage.</t>
  </si>
  <si>
    <t>Bases nautiques / centres nautiques avec vestiaires-douches : ventes 2026-2030 en leger glissement vers moyen/premium lorsque le neuf ou les renov. lourdes interviennent. Le centre de gravite reste toutefois module par milieu humide, corrosion, securite usager et forte frequence de nettoyage et par la part dominante de travaux sur parc existant.</t>
  </si>
  <si>
    <t>PA ou variable</t>
  </si>
  <si>
    <t>Sites de loisirs autonomes avec accueil public et blocs sanitaires ; hors campings et piscines déjà comptés séparément.</t>
  </si>
  <si>
    <t>Base de loisirs, plan d’eau aménagé, centre de loisirs de plein air</t>
  </si>
  <si>
    <t>Tendance faiblement baissière : rationalisat° petits plans d’eau, coûts surveillance/maintenance, exigences qualité eau + encadrement. Projection 2026-30 reste stable à légère baisse.</t>
  </si>
  <si>
    <t>Ancrage par borne officielle sites baignade eau douce : 1286 (2024). Seule 1 fraction sont de vraies bases loisirs + plage, douches + sanitaires. Série retenue vise 1 sous-ensemble équipé, homogène et prudent.</t>
  </si>
  <si>
    <t>https://sante.gouv.fr/actualites/presse/communiques-de-presse/article/qualite-des-eaux-de-baignade-en-france-90-5-des-sites-de-baignade-juges-d ; https://www.documentation.oieau.fr/3098 ; https://www.insee.fr/fr/metadonnees/source/fichier/BPE21_Liste_hierarchisee_equipements.pdf</t>
  </si>
  <si>
    <t>Base de loisirs/plage : batteries publiques saisonnières + douches extérieures/vestiaires selon site.</t>
  </si>
  <si>
    <t>Capacité type ≈ 520 usagers principaux + 50 staff + 30 autre public. Flux familial saisonnier, forte simultanéité en journée mais sites souvent extensifs. Dimensionnement unitaire retenu : plusieurs blocs sanitaires répartis, dimensionnés par zones de baignade/restauration/accueil. Hypothèse d'usage : capacité simultanée moyenne 2026, répartition par flux réels, arrondie par blocs fonctionnels et exclusion des sanitaires strictement privatifs sauf cas explicitement collectifs.</t>
  </si>
  <si>
    <t>Forte saisonnalité, sable/boue, passages pieds nus et pics météo; vandalisme et nettoyage sous contrainte. Plus exposé qu'un centre de loisirs encadré, douches et électroniques nettement pénalisés. Repères durées: lavabos 10/11/8 ans (mit./méca/élec.), douches 8/8/7, urinoirs 8/10/7/9, WC 10/11/8.</t>
  </si>
  <si>
    <t>Bases de loisirs avec plages, douches et sanitaires : parc 2025 domine par tempo mecanique (76%), avec mitigeur manuel en appoint. Le choix reflete ambiance tres humide, pics saisonniers ou horaires et maintenance sous contrainte sanitaire ; milieu humide, corrosion, securite usager et forte frequence de nettoyage.</t>
  </si>
  <si>
    <t>Bases de loisirs avec plages, douches et sanitaires : parc 2025 domine par tempo mecanique (80%), avec mitigeur en appoint. Le choix reflete ambiance tres humide, pics saisonniers ou horaires et maintenance sous contrainte sanitaire ; milieu humide, corrosion, securite usager et forte frequence de nettoyage.</t>
  </si>
  <si>
    <t>Bases de loisirs avec plages, douches et sanitaires : parc 2025 domine par directe mecanique (55%), avec directe electronique collective en appoint. Le choix reflete ambiance tres humide, pics saisonniers ou horaires et maintenance sous contrainte sanitaire ; milieu humide, corrosion, securite usager et forte frequence de nettoyage.</t>
  </si>
  <si>
    <t>Bases de loisirs avec plages, douches et sanitaires : parc 2025 domine par chasse directe mecanique (55%), avec reservoir en appoint. Le choix reflete ambiance tres humide, pics saisonniers ou horaires et maintenance sous contrainte sanitaire ; milieu humide, corrosion, securite usager et forte frequence de nettoyage.</t>
  </si>
  <si>
    <t>Potentiel neuf : plus visible pour bases de loisirs avec plages, douches et sanitaires, surtout via extensions, reconstructions ou projets locaux. Le neuf reste contraint par foncier, budgets et delais de mise en service.</t>
  </si>
  <si>
    <t>Parc existant centre sur le niveau wet, avec ventes 2026-2030 legerement plus qualitatives. Bases de loisirs avec plages, douches et sanitaires : ambiance tres humide, pics saisonniers ou horaires et maintenance sous contrainte sanitaire; le mix reste guide par milieu humide, corrosion, securite usager et forte frequence de nettoyage.</t>
  </si>
  <si>
    <t>Bases de loisirs avec plages, douches et sanitaires : ventes 2026-2030 en leger glissement vers moyen/premium lorsque le neuf ou les renov. lourdes interviennent. Le centre de gravite reste toutefois module par milieu humide, corrosion, securite usager et forte frequence de nettoyage et par la part dominante de travaux sur parc existant.</t>
  </si>
  <si>
    <t>Loisirs de plein air</t>
  </si>
  <si>
    <t>Équipement public recevant du public</t>
  </si>
  <si>
    <t>Installations fixes de WC et douches sur plages aménagées ou fronts de mer ; hors sanitaires déjà inclus dans un camping, un port ou une base de loisirs comptée par ailleurs.</t>
  </si>
  <si>
    <t>Bloc sanitaire de plage, douche de plage, sanitaire de front de mer</t>
  </si>
  <si>
    <t>Tendance haussière modérée. Léger creux 2020 (fermetures, exploitat° réduite) puis reprise graduelle. Ordre grandeur cohérent avec masse de sites baignade contrôlés + fronts de mer équipés.</t>
  </si>
  <si>
    <t>Ancrage par stat officielle sites de baignade mer : 2050 (2020), 2074 (2022), 2079 (2024). 1 bloc sanitaire ne correspond pas à chaque plage. Certains équipements servent plusieurs plages. Série retenue représente donc 1 sous-ensemble d’équipements bâtis cohérent.</t>
  </si>
  <si>
    <t>https://www.eaufrance.fr/chiffres-cles/nombre-de-ports-de-plaisance-en-2015 ; https://www.eaufrance.fr/chiffres-cles/nombre-de-ports-de-plaisance-en-2018 ; https://www.mer.gouv.fr/sites/default/files/2021-03/Observatoire-des-ports-de-plaisance_rapport-enquete-2018.pdf ; https://www.mer.gouv.fr/lobservatoire-des-ports-de-plaisance ; https://www.mer.gouv.fr/sites/default/files/2026-01/opp-rapport-preliminaire-de-l-enquete-2025.pdf</t>
  </si>
  <si>
    <t>Bloc plage/front de mer : sanitaires publics et douches de rinçage, très faible staff.</t>
  </si>
  <si>
    <t>Capacité type ≈ 145 usagers principaux + 3 staff + 2 autre public. Équipement autonome de forte rotation, usage public principalement diurne et saisonnier. Dimensionnement unitaire retenu : bloc robuste multi-cabines + point d'eau/douches extérieures, avec accessibilité PMR. Hypothèse d'usage : capacité simultanée moyenne 2026, répartition par flux réels, arrondie par blocs fonctionnels et exclusion des sanitaires strictement privatifs sauf cas explicitement collectifs.</t>
  </si>
  <si>
    <t>Profil moyen, capacité moyenne ≈ 150 personnes. Moyenne pondérée terrain : parc majoritairement petits/moyens sites, grands sites intégrés sans surpondération ; usage 2025 forte à très forte.</t>
  </si>
  <si>
    <t>Environnement salin, sable, UV, usage anonyme et pics massifs d'été; vandalisme et corrosion accélèrent le renouvellement. Parmi les plus prudents, proche toilettes publiques avec contrainte littorale. Repères durées: lavabos 10/11/8 ans (mit./méca/élec.), douches 8/8/7, urinoirs 8/10/7/9, WC 10/11/8.</t>
  </si>
  <si>
    <t>Blocs sanitaires de plage / front de mer : parc 2025 domine par tempo mecanique (76%), avec mitigeur manuel en appoint. Le choix reflete ambiance tres humide, pics saisonniers ou horaires et maintenance sous contrainte sanitaire ; milieu humide, corrosion, securite usager et forte frequence de nettoyage.</t>
  </si>
  <si>
    <t>Blocs sanitaires de plage / front de mer : parc 2025 domine par tempo mecanique (80%), avec mitigeur en appoint. Le choix reflete ambiance tres humide, pics saisonniers ou horaires et maintenance sous contrainte sanitaire ; milieu humide, corrosion, securite usager et forte frequence de nettoyage.</t>
  </si>
  <si>
    <t>Blocs sanitaires de plage / front de mer : parc 2025 domine par directe mecanique (55%), avec directe electronique collective en appoint. Le choix reflete ambiance tres humide, pics saisonniers ou horaires et maintenance sous contrainte sanitaire ; milieu humide, corrosion, securite usager et forte frequence de nettoyage.</t>
  </si>
  <si>
    <t>Blocs sanitaires de plage / front de mer : parc 2025 domine par chasse directe mecanique (55%), avec reservoir en appoint. Le choix reflete ambiance tres humide, pics saisonniers ou horaires et maintenance sous contrainte sanitaire ; milieu humide, corrosion, securite usager et forte frequence de nettoyage.</t>
  </si>
  <si>
    <t>Potentiel neuf : plus visible pour blocs sanitaires de plage / front de mer, surtout via extensions, reconstructions ou projets locaux. Le neuf reste contraint par foncier, budgets et delais de mise en service.</t>
  </si>
  <si>
    <t>Parc existant centre sur le niveau wet, avec ventes 2026-2030 legerement plus qualitatives. Blocs sanitaires de plage / front de mer : ambiance tres humide, pics saisonniers ou horaires et maintenance sous contrainte sanitaire; le mix reste guide par milieu humide, corrosion, securite usager et forte frequence de nettoyage.</t>
  </si>
  <si>
    <t>Blocs sanitaires de plage / front de mer : ventes 2026-2030 en leger glissement vers moyen/premium lorsque le neuf ou les renov. lourdes interviennent. Le centre de gravite reste toutefois module par milieu humide, corrosion, securite usager et forte frequence de nettoyage et par la part dominante de travaux sur parc existant.</t>
  </si>
  <si>
    <t>Accueil de mineurs en journée.</t>
  </si>
  <si>
    <t>ALSH, centre aéré</t>
  </si>
  <si>
    <t>Faute de série nationale homogène annuelle strictement équivalente à cette sous-catégorie, le proxy est volontairement lissé ; le parc reste globalement stable à l’échelle nationale.</t>
  </si>
  <si>
    <t>proxy sectoriel sur accueils collectifs de mineurs. Dynamique projetée 2027-2030: stable. Fiabilité: moyenne.</t>
  </si>
  <si>
    <t>Accueil loisirs sans hébergement : sanitaires enfants + équipe, douches ponctuelles si sport, sorties ou locaux mutualisés.</t>
  </si>
  <si>
    <t>Capacité type ≈ 106 usagers principaux + 12 staff + 2 parents/accompagnants/intervenants. Le programme sanitaire est construit par blocs fonctionnels plausibles (public, personnel, exploitation/hébergement selon le cas) et non par simple ratio national moyen. Calibrage selon capacité simultanée, répartition de flux et organisation réelle du site. Part des sites utilise des locaux sportifs, écoles/gymnases ou équipements mutualisés avec douche.</t>
  </si>
  <si>
    <t>Usage enfants encadré, pics vacances/mercredis, douches moins fréquentes sauf activités sportives; dégradations modérées. Entre scolaire et loisirs, électronique plus court par piles/capteurs et budgets municipaux. Repères durées: lavabos 13/13/9 ans (mit./méca/élec.), douches 8/8/7, urinoirs 10/12/8/10, WC 11/12/9.</t>
  </si>
  <si>
    <t>Dans les centres de loisirs sans hébergement, le parc commun reprend largement les logiques scolaires : temporisé mécanique dominant, manuel en complément, électronique marginale.</t>
  </si>
  <si>
    <t>ALSH : lorsqu’elles existent, douches surtout collectives ou semi-collectives robustes, dominées par le temporisé mécanique.</t>
  </si>
  <si>
    <t>Progression modérée de l’électronique à horizon 2030 dans les rénovations, mais le temporisé mécanique reste dominant.</t>
  </si>
  <si>
    <t>Quand des urinoirs existent, ils restent surtout mécaniques ou collectifs anciens.</t>
  </si>
  <si>
    <t>Les WC à réservoir restent majoritaires dans le parc existant, avec une part notable de chasses directes sur les rénovations.</t>
  </si>
  <si>
    <t>84,0% retenu : part des besoins réellement transformée en travaux sur 2026-2030 après prise en compte des budgets, du phasage et des arbitrages locaux.</t>
  </si>
  <si>
    <t>Potentiel rénovation élevé : bâtiments souvent hétérogènes, avec remise à niveau des blocs sanitaires lors de modernisations de confort, sécurité ou adaptation climatique. Les volumes restent d’abord tirés par les WC et les lavabos, plus que par les postes spécialisés. En rénovation, le marché reste favorable aux gammes robustes et simples d’entretien, compatibles avec des chantiers par tranches et des budgets contraints.</t>
  </si>
  <si>
    <t>Potentiel neuf faible : limité et opportuniste, surtout via restructurations, extensions ponctuelles ou nouveaux sites de loisirs/accueil. Le neuf est quasi nul dans le modèle et renvoie surtout à des reconstructions ou remplacements de sites.</t>
  </si>
  <si>
    <t>Projets phares réno : blocs sanitaires enfants/adultes, douches, hébergements collectifs, accessibilité et confort d’été.</t>
  </si>
  <si>
    <t>Projets phares neuf : bases de loisirs, centres de vacances restructurés avec extension, nouveaux bâtiments d’accueil sur sites attractifs.</t>
  </si>
  <si>
    <t>Dynamique réno 2026-2030 : soutenue par la sécurité et le confort d’usage, mais avec de petits tickets et des arbitrages locaux fréquents.</t>
  </si>
  <si>
    <t>Dynamique neuf 2026-2030 : faible à modérée ; les annonces existent, mais beaucoup restent dépendantes de subventions, de foncier disponible et de la fréquentation future.</t>
  </si>
  <si>
    <t>Parc existant surtout standard. Les ventes restent proches du parc, centré sur standard, du fait de budgets et de rénovations menées surtout par lots. La rénovation restant majoritaire, le mix de ventes reste proche du parc et monte surtout d’un cran sur les opérations lourdes. Sites collectifs à budget serré, souvent saisonniers ou associatifs : le fonctionnel domine, la montée en gamme reste limitée et surtout visible dans le neuf.</t>
  </si>
  <si>
    <t>Sites collectifs à budget serré, souvent saisonniers ou associatifs : le fonctionnel domine, la montée en gamme reste limitée et surtout visible dans le neuf.</t>
  </si>
  <si>
    <t>Centres de loisirs sans hébergement : bâtiments simples et saisonnalité limitent la montée en gamme. Ventes 2026-2030 : glissement vers davantage de moyen / premium, surtout sur lavabo (+1,3 pts sur premium+luxe), WC (+0,9 pts sur premium+luxe). La rénovation reste majoritaire (76% des ventes, contre 24% en neuf) ; le neuf tire le mix vers le haut sans renverser le centre de gravité. L’écart de niveau de confort entre neuf et rénovation reste perceptible.</t>
  </si>
  <si>
    <t>Parcs d’attractions / Parcs à thèmes fixes</t>
  </si>
  <si>
    <t>ERP spécial / variable</t>
  </si>
  <si>
    <t>Parcs de loisirs fixes recevant du public avec bâtiments d’accueil, restauration et sanitaires.</t>
  </si>
  <si>
    <t>Parc d’attractions, parc à thème</t>
  </si>
  <si>
    <t>Site / établissement principal</t>
  </si>
  <si>
    <t>ajout qualitatif – à quantifier avant intégration</t>
  </si>
  <si>
    <t>Élevé</t>
  </si>
  <si>
    <t>Périmètre volontairement strict : parcs fixes autonomes d’attractions / à thème, hors aquatiques, zoologiques et simples bases de loisirs. Série recalée sur un noyau d’environ 33-35 grands sites recensés récemment, avec légère reprise par nouveaux projets / requalifications d’ici 2030.</t>
  </si>
  <si>
    <t>proxy piscines de plein air. Dynamique projetée 2027-2030: stable.</t>
  </si>
  <si>
    <t>https://www.legifrance.gouv.fr/codes/section_lc/JORFTEXT000000290033/LEGISCTA000024845052/
https://www.formulaires.service-public.fr/gf/getNotice.do?cerfaFormulaire=13703&amp;cerfaNotice=51434</t>
  </si>
  <si>
    <t>Parc d'attractions : batteries sanitaires visiteurs par zones + locaux staff/maintenance.</t>
  </si>
  <si>
    <t>Capacité type ≈ 4300 usagers principaux + 500 staff + 200 autre public. Parc à flux étalé mais avec files, restauration et sorties de spectacles créant des pointes locales. Dimensionnement unitaire retenu : batteries multi-cabines réparties par zone, renforts près restauration/spectacles, blocs personnel séparés. Hypothèse d'usage : capacité simultanée moyenne 2026, répartition par flux réels, arrondie par blocs fonctionnels et exclusion des sanitaires strictement privatifs sauf cas explicitement collectifs.</t>
  </si>
  <si>
    <t>Profil très grand, capacité moyenne ≈ 5000 personnes. Moyenne pondérée terrain : parc majoritairement petits/moyens sites, grands sites intégrés sans surpondération ; usage 2025 forte à très forte.</t>
  </si>
  <si>
    <t>Flux très élevés mais saisonniers, pics files d'attente et nettoyage intensif; usage anonyme, enfants et familles. Plus proche centre commercial très fréquenté que musée; sanitaires très sollicités. Repères durées: lavabos 10/11/8 ans (mit./méca/élec.), douches 8/8/7, urinoirs 8/10/7/9, WC 10/11/8.</t>
  </si>
  <si>
    <t>Parcs d’attractions / Parcs à thèmes fixes : parc 2025 domine par tempo mecanique (76%), avec mitigeur manuel en appoint. Le choix reflete usage collectif regulier, contraintes de maintenance et arbitrages budgetaires ; robustesse, hygiene et cout global restent prioritaires.</t>
  </si>
  <si>
    <t>Parcs d’attractions / Parcs à thèmes fixes : parc 2025 domine par tempo mecanique (80%), avec mitigeur en appoint. Le choix reflete usage collectif regulier, contraintes de maintenance et arbitrages budgetaires ; robustesse, hygiene et cout global restent prioritaires.</t>
  </si>
  <si>
    <t>Parcs d’attractions / Parcs à thèmes fixes : parc 2025 domine par directe mecanique (55%), avec directe electronique collective en appoint. Le choix reflete usage collectif regulier, contraintes de maintenance et arbitrages budgetaires ; robustesse, hygiene et cout global restent prioritaires.</t>
  </si>
  <si>
    <t>Parcs d’attractions / Parcs à thèmes fixes : parc 2025 domine par chasse directe mecanique (55%), avec reservoir en appoint. Le choix reflete usage collectif regulier, contraintes de maintenance et arbitrages budgetaires ; robustesse, hygiene et cout global restent prioritaires.</t>
  </si>
  <si>
    <t>77,2% retenu : besoins transformes en travaux selon usage collectif regulier, contraintes de maintenance et arbitrages budgetaires. Le phasage budgetaire, les fermetures partielles et la maintenance courante limitent la conversion totale.</t>
  </si>
  <si>
    <t>Potentiel renovation : tire par robustesse, hygiene et cout global restent prioritaires. Les remplacements sont plutot par lots, avec arbitrage entre urgence sanitaire, budget et capacite a intervenir en site occupe.</t>
  </si>
  <si>
    <t>Potentiel neuf : limite pour parcs d’attractions / parcs à thèmes fixes, surtout via extensions, reconstructions ou projets locaux. Le neuf reste contraint par foncier, budgets et delais de mise en service.</t>
  </si>
  <si>
    <t>Parc existant centre sur le niveau standard, avec ventes 2026-2030 legerement plus qualitatives. Parcs d’attractions / Parcs à thèmes fixes : usage collectif regulier, contraintes de maintenance et arbitrages budgetaires; le mix reste guide par robustesse, hygiene et cout global restent prioritaires.</t>
  </si>
  <si>
    <t>Parc existant : robustesse, hygiene et cout global restent prioritaires; usage collectif regulier, contraintes de maintenance et arbitrages budgetaires. La montee en confort reste proportionnee au budget et au rythme de renovation.</t>
  </si>
  <si>
    <t>Parcs d’attractions / Parcs à thèmes fixes : ventes 2026-2030 en leger glissement vers moyen/premium lorsque le neuf ou les renov. lourdes interviennent. Le centre de gravite reste toutefois module par robustesse, hygiene et cout global restent prioritaires et par la part dominante de travaux sur parc existant.</t>
  </si>
  <si>
    <t>Parcs zoologiques / Parcs animaliers</t>
  </si>
  <si>
    <t>PA / variable</t>
  </si>
  <si>
    <t>Établissements fixes et permanents présentant des animaux au public ; sanitaires publics très probables sur site.</t>
  </si>
  <si>
    <t>Zoo, parc animalier, réserve animalière visitable</t>
  </si>
  <si>
    <t>Série recalée sur un périmètre national plus large que les seuls adhérents AFdPZ : environ une centaine de parcs zoologiques majeurs, élargie aux sites autonomes ouverts au public non membres mais comparables. Progression lente, sans rupture majeure.</t>
  </si>
  <si>
    <t>proxy Parcs d’attractions. Dynamique projetée 2027-2030: stable.</t>
  </si>
  <si>
    <t>https://www.legifrance.gouv.fr/loda/id/JORFTEXT000000610915/
https://www.legifrance.gouv.fr/codes/section_lc/JORFTEXT000000290033/LEGISCTA000024845052/</t>
  </si>
  <si>
    <t>Parc zoologique : sanitaires visiteurs répartis sur parcours + blocs staff/soigneurs.</t>
  </si>
  <si>
    <t>Capacité type ≈ 1260 usagers principaux + 180 staff + 60 autre public. Parcours long avec familles, groupes scolaires et équipes d'exploitation. Dimensionnement unitaire retenu : blocs publics à l'entrée et aux pôles de restauration, staff séparé, peu de douches sauf exploitation. Hypothèse d'usage : capacité simultanée moyenne 2026, répartition par flux réels, arrondie par blocs fonctionnels et exclusion des sanitaires strictement privatifs sauf cas explicitement collectifs.</t>
  </si>
  <si>
    <t>Profil très grand, capacité moyenne ≈ 1500 personnes. Moyenne pondérée terrain : parc majoritairement petits/moyens sites, grands sites intégrés sans surpondération ; usage 2025 forte à très forte.</t>
  </si>
  <si>
    <t>Usage familial saisonnier, blocs parfois extérieurs, poussière/boue et forte dispersion du parc; vandalisme modéré mais maintenance éloignée. Proche parc d'attractions, avec contrainte environnementale supérieure. Repères durées: lavabos 10/11/8 ans (mit./méca/élec.), douches 8/8/7, urinoirs 8/10/7/9, WC 10/11/8.</t>
  </si>
  <si>
    <t>Parcs zoologiques / Parcs animaliers : parc 2025 domine par tempo mecanique (76%), avec mitigeur manuel en appoint. Le choix reflete flux visiteurs avec pics week-end/vacances et exigence d experience client ; image client, rapidite de nettoyage et resistance aux pics de frequentation.</t>
  </si>
  <si>
    <t>Parcs zoologiques / Parcs animaliers : parc 2025 domine par tempo mecanique (80%), avec mitigeur en appoint. Le choix reflete flux visiteurs avec pics week-end/vacances et exigence d experience client ; image client, rapidite de nettoyage et resistance aux pics de frequentation.</t>
  </si>
  <si>
    <t>Parcs zoologiques / Parcs animaliers : parc 2025 domine par directe mecanique (55%), avec directe electronique collective en appoint. Le choix reflete flux visiteurs avec pics week-end/vacances et exigence d experience client ; image client, rapidite de nettoyage et resistance aux pics de frequentation.</t>
  </si>
  <si>
    <t>Parcs zoologiques / Parcs animaliers : parc 2025 domine par chasse directe mecanique (55%), avec reservoir en appoint. Le choix reflete flux visiteurs avec pics week-end/vacances et exigence d experience client ; image client, rapidite de nettoyage et resistance aux pics de frequentation.</t>
  </si>
  <si>
    <t>80,6% retenu : besoins transformes en travaux selon flux visiteurs avec pics week-end/vacances et exigence d experience client. Le phasage budgetaire, les fermetures partielles et la maintenance courante limitent la conversion totale.</t>
  </si>
  <si>
    <t>Potentiel renovation : tire par image client, rapidite de nettoyage et resistance aux pics de frequentation. Les remplacements sont plutot par lots, avec arbitrage entre urgence sanitaire, budget et capacite a intervenir en site occupe.</t>
  </si>
  <si>
    <t>Potentiel neuf : plus visible pour parcs zoologiques / parcs animaliers, surtout via extensions, reconstructions ou projets locaux. Le neuf reste contraint par foncier, budgets et delais de mise en service.</t>
  </si>
  <si>
    <t>Parc existant centre sur le niveau upscale, avec ventes 2026-2030 legerement plus qualitatives. Parcs zoologiques / Parcs animaliers : flux visiteurs avec pics week-end/vacances et exigence d experience client; le mix reste guide par image client, rapidite de nettoyage et resistance aux pics de frequentation.</t>
  </si>
  <si>
    <t>Parc existant : image client, rapidite de nettoyage et resistance aux pics de frequentation; flux visiteurs avec pics week-end/vacances et exigence d experience client. La montee en confort reste proportionnee au budget et au rythme de renovation.</t>
  </si>
  <si>
    <t>forte frequentation =&gt; standard robuste ; image client =&gt; premiumisation ciblee</t>
  </si>
  <si>
    <t>Parcs zoologiques / Parcs animaliers : ventes 2026-2030 en leger glissement vers moyen/premium lorsque le neuf ou les renov. lourdes interviennent. Le centre de gravite reste toutefois module par image client, rapidite de nettoyage et resistance aux pics de frequentation et par la part dominante de travaux sur parc existant.</t>
  </si>
  <si>
    <t>Parcs aquatiques</t>
  </si>
  <si>
    <t>PA / X / ERP variable</t>
  </si>
  <si>
    <t>Parcs de loisirs aquatiques fixes recevant du public, majoritairement saisonniers ; peuvent combiner toboggans, bassins, espaces enfants et restauration. Hors piscines municipales, bases de loisirs simples, campings et centres aquatiques publics.</t>
  </si>
  <si>
    <t>Petit parc familial / régional + Parc standard saisonnier + Grand parc national. Aqualand, O'Gliss Park, Wave Island, Aquascope</t>
  </si>
  <si>
    <t>Site / parc d'exploitation</t>
  </si>
  <si>
    <t>ordre de grandeur reconstitué à partir de recensements sectoriels récents et ancrages d'ouverture</t>
  </si>
  <si>
    <t>Estimation fondée sur un recensement sectoriel de 29 parcs aquatiques en France en 2025 et sur l'ouverture récente de l'Aquascope en 2024 ; trajectoire historique prudente avec croissance lente et parc globalement stable.</t>
  </si>
  <si>
    <t>Estimation fondée sur recensement sectoriel de 29 parcs aquatiques France (2025) et ouverture de l'Aquascope en 2024 ; trajectoire historique prudente avec croissance lente. Parc stable.</t>
  </si>
  <si>
    <t>https://www.parcs-aquatiques.com/parcs-aquatiques-france/ ; https://www.tendancehotellerie.fr/articles-breves/communique-de-presse/22889-article/le-futuroscope-a-inaugure-son-nouveau-parc-aquatique-indoor-l-aquascope ; https://madeinfr.fr/etudes-de-marche/loisir-voyage-sport/le-marche-des-parcs-aquatiques-en-france/</t>
  </si>
  <si>
    <t>Parc aquatique : vestiaires humides, douches collectives, sanitaires publics et personnel.</t>
  </si>
  <si>
    <t>Capacité type ≈ 2100 usagers principaux + 250 staff + 150 autre public. Équipement aquatique à forte densité, familles et groupes, rotations par demi-journée. Dimensionnement unitaire retenu : douches/vestiaires en batteries + WC publics, calibrés comme équipement humide collectif. Hypothèse d'usage : capacité simultanée moyenne 2026, répartition par flux réels, arrondie par blocs fonctionnels et exclusion des sanitaires strictement privatifs sauf cas explicitement collectifs.</t>
  </si>
  <si>
    <t>Profil très grand, capacité moyenne ≈ 2500 personnes. Moyenne pondérée terrain : parc majoritairement petits/moyens sites, grands sites intégrés sans surpondération ; usage 2025 forte à très forte.</t>
  </si>
  <si>
    <t>Humidité, chlore, douches quasi systématiques et pics estivaux très forts; nettoyage et corrosion réduisent surtout capteurs/électrovannes. Plus sévère qu'une piscine extérieure par intensité de passage. Repères durées: lavabos 10/11/8 ans (mit./méca/élec.), douches 8/8/7, urinoirs 8/10/7/9, WC 10/11/8.</t>
  </si>
  <si>
    <t>Parcs aquatiques : parc 2025 domine par tempo mecanique (76%), avec mitigeur manuel en appoint. Le choix reflete ambiance tres humide, pics saisonniers ou horaires et maintenance sous contrainte sanitaire ; milieu humide, corrosion, securite usager et forte frequence de nettoyage.</t>
  </si>
  <si>
    <t>Parcs aquatiques : parc 2025 domine par tempo mecanique (80%), avec mitigeur en appoint. Le choix reflete ambiance tres humide, pics saisonniers ou horaires et maintenance sous contrainte sanitaire ; milieu humide, corrosion, securite usager et forte frequence de nettoyage.</t>
  </si>
  <si>
    <t>Parcs aquatiques : parc 2025 domine par directe mecanique (55%), avec directe electronique collective en appoint. Le choix reflete ambiance tres humide, pics saisonniers ou horaires et maintenance sous contrainte sanitaire ; milieu humide, corrosion, securite usager et forte frequence de nettoyage.</t>
  </si>
  <si>
    <t>Parcs aquatiques : parc 2025 domine par chasse directe mecanique (55%), avec reservoir en appoint. Le choix reflete ambiance tres humide, pics saisonniers ou horaires et maintenance sous contrainte sanitaire ; milieu humide, corrosion, securite usager et forte frequence de nettoyage.</t>
  </si>
  <si>
    <t>Potentiel neuf : plus visible pour parcs aquatiques, surtout via extensions, reconstructions ou projets locaux. Le neuf reste contraint par foncier, budgets et delais de mise en service.</t>
  </si>
  <si>
    <t>Parc existant centre sur le niveau wet, avec ventes 2026-2030 legerement plus qualitatives. Parcs aquatiques : ambiance tres humide, pics saisonniers ou horaires et maintenance sous contrainte sanitaire; le mix reste guide par milieu humide, corrosion, securite usager et forte frequence de nettoyage.</t>
  </si>
  <si>
    <t>Parcs aquatiques : ventes 2026-2030 en leger glissement vers moyen/premium lorsque le neuf ou les renov. lourdes interviennent. Le centre de gravite reste toutefois module par milieu humide, corrosion, securite usager et forte frequence de nettoyage et par la part dominante de travaux sur parc existant.</t>
  </si>
  <si>
    <t>Aquariums</t>
  </si>
  <si>
    <t>Y ou PA / variable</t>
  </si>
  <si>
    <t>À compter lorsqu’il s’agit d’un site autonome ; éviter le double compte si l’aquarium est déjà inclus dans un musée, un zoo ou un grand équipement multi-activités.</t>
  </si>
  <si>
    <t>Aquarium public, aquarium océanographique</t>
  </si>
  <si>
    <t>Parc d’équipements public/associatif mature ; renouvellement lent et faible variation nette d’une année sur l’autre.</t>
  </si>
  <si>
    <t>proxy musées de France et assimilés. Dynamique projetée 2027-2030: stable. Fiabilité: bonne.</t>
  </si>
  <si>
    <t>https://www.legifrance.gouv.fr/jorf/id/JORFTEXT000051832274
https://www.legifrance.gouv.fr/codes/section_lc/JORFTEXT000000290033/LEGISCTA000024845052/</t>
  </si>
  <si>
    <t>Aquarium : batteries visiteurs à l'entrée/parcours + blocs personnel technique ; douche ponctuelle côté maintenance humide/animalier.</t>
  </si>
  <si>
    <t>Capacité type ≈ 656 usagers principaux + 96 staff + 48 autre public. Parcours muséal avec pics groupes scolaires/touristiques, sans douches. Dimensionnement unitaire retenu : blocs publics répartis par flux et au moins un accessible par niveau concerné. Hypothèse d'usage : capacité simultanée moyenne 2026. DQuelques douches pour sites avec personnel technique, locaux humides, maintenance, soins animaliers ou interventions salissantes.</t>
  </si>
  <si>
    <t>Usage touristique intérieur, pics week-end/vacances, humidité ambiante mais blocs mieux contrôlés que parcs aquatiques. Durées proches musée très fréquenté, réserve sur électronique en zones humides. Repères durées: lavabos 10/11/8 ans (mit./méca/élec.), douches 8/8/7, urinoirs 8/10/7/9, WC 10/11/8.</t>
  </si>
  <si>
    <t>Aquariums : parc 2025 domine par tempo mecanique (76%), avec mitigeur manuel en appoint. Le choix reflete flux visiteurs avec pics week-end/vacances et exigence d experience client ; image client, rapidite de nettoyage et resistance aux pics de frequentation.</t>
  </si>
  <si>
    <t>Aquariums : douches surtout personnel/technique ; mitigeur majoritaire, temporisé mécanique en appoint sur vestiaires.</t>
  </si>
  <si>
    <t>Progression limitée du temporisé et de l’électronique lors de rénovations de locaux techniques, mitigeur restant majoritaire.</t>
  </si>
  <si>
    <t>Aquariums : parc 2025 domine par directe mecanique (55%), avec directe electronique collective en appoint. Le choix reflete flux visiteurs avec pics week-end/vacances et exigence d experience client ; image client, rapidite de nettoyage et resistance aux pics de frequentation.</t>
  </si>
  <si>
    <t>Aquariums : parc 2025 domine par chasse directe mecanique (55%), avec reservoir en appoint. Le choix reflete flux visiteurs avec pics week-end/vacances et exigence d experience client ; image client, rapidite de nettoyage et resistance aux pics de frequentation.</t>
  </si>
  <si>
    <t>Potentiel neuf : plus visible pour aquariums, surtout via extensions, reconstructions ou projets locaux. Le neuf reste contraint par foncier, budgets et delais de mise en service.</t>
  </si>
  <si>
    <t>Parc existant centre sur le niveau upscale, avec ventes 2026-2030 legerement plus qualitatives. Aquariums : flux visiteurs avec pics week-end/vacances et exigence d experience client; le mix reste guide par image client, rapidite de nettoyage et resistance aux pics de frequentation.</t>
  </si>
  <si>
    <t>Aquariums : ventes 2026-2030 en leger glissement vers moyen/premium lorsque le neuf ou les renov. lourdes interviennent. Le centre de gravite reste toutefois module par image client, rapidite de nettoyage et resistance aux pics de frequentation et par la part dominante de travaux sur parc existant.</t>
  </si>
  <si>
    <t>Casinos</t>
  </si>
  <si>
    <t>P / N / L</t>
  </si>
  <si>
    <t>Ensemble multi-activités</t>
  </si>
  <si>
    <t>Établissements recevant du public où le jeu, l’animation et la restauration sont réunis sous une direction unique ; sanitaires publics très probables.</t>
  </si>
  <si>
    <t>Casino</t>
  </si>
  <si>
    <t>proxy loisirs intérieurs. Dynamique projetée 2027-2030: stable. Fiabilité: moyenne.</t>
  </si>
  <si>
    <t>https://www.legifrance.gouv.fr/loda/id/JORFTEXT000000278899
https://www.legifrance.gouv.fr/codes/section_lc/JORFTEXT000000290033/LEGISCTA000020334969/</t>
  </si>
  <si>
    <t>Casino : sanitaires clientèle en batterie + sanitaires personnel/contrôle.</t>
  </si>
  <si>
    <t>Capacité type ≈ 390 usagers principaux + 80 staff + 30 autre public. Présence prolongée, restauration/bar et événements ponctuels ; flux adultes. Dimensionnement unitaire retenu : blocs clients H/F/PMR dimensionnés au temps de séjour, personnel séparé, pas de douche. Hypothèse d'usage : capacité simultanée moyenne 2026, répartition par flux réels, arrondie par blocs fonctionnels et exclusion des sanitaires strictement privatifs sauf cas explicitement collectifs.</t>
  </si>
  <si>
    <t>Usage adulte, nocturne et prolongé, pics événementiels mais maintenance régulière et image premium. Vandalisme limité mais nettoyage fréquent; meilleur que discothèque, proche bars haut de gamme. Repères durées: lavabos 10/11/8 ans (mit./méca/élec.), douches 8/8/7, urinoirs 8/10/7/9, WC 10/11/8.</t>
  </si>
  <si>
    <t>Casinos : parc 2025 domine par tempo mecanique (76%), avec mitigeur manuel en appoint. Le choix reflete flux visiteurs avec pics week-end/vacances et exigence d experience client ; image client, rapidite de nettoyage et resistance aux pics de frequentation.</t>
  </si>
  <si>
    <t>Casinos : parc 2025 domine par directe mecanique (55%), avec directe electronique collective en appoint. Le choix reflete flux visiteurs avec pics week-end/vacances et exigence d experience client ; image client, rapidite de nettoyage et resistance aux pics de frequentation.</t>
  </si>
  <si>
    <t>Casinos : parc 2025 domine par chasse directe mecanique (55%), avec reservoir en appoint. Le choix reflete flux visiteurs avec pics week-end/vacances et exigence d experience client ; image client, rapidite de nettoyage et resistance aux pics de frequentation.</t>
  </si>
  <si>
    <t>Potentiel neuf : plus visible pour casinos, surtout via extensions, reconstructions ou projets locaux. Le neuf reste contraint par foncier, budgets et delais de mise en service.</t>
  </si>
  <si>
    <t>Parc existant centre sur le niveau upscale, avec ventes 2026-2030 legerement plus qualitatives. Casinos : flux visiteurs avec pics week-end/vacances et exigence d experience client; le mix reste guide par image client, rapidite de nettoyage et resistance aux pics de frequentation.</t>
  </si>
  <si>
    <t>Casinos : ventes 2026-2030 en leger glissement vers moyen/premium lorsque le neuf ou les renov. lourdes interviennent. Le centre de gravite reste toutefois module par image client, rapidite de nettoyage et resistance aux pics de frequentation et par la part dominante de travaux sur parc existant.</t>
  </si>
  <si>
    <t>Salles de jeux / Bowlings / Billards</t>
  </si>
  <si>
    <t>P</t>
  </si>
  <si>
    <t>Jeux et loisirs intérieurs.</t>
  </si>
  <si>
    <t>Bowling, salle de jeux</t>
  </si>
  <si>
    <t>Proxy reconstitué à partir du socle des clubs/salles de billard (≈575-589) auquel s’ajoutent bowlings et salles de jeux autonomes ; baisse sur 2000-2015 puis reprise modérée portée par le loisir indoor multi-activités. Exclut les bars avec simple billard/borne.</t>
  </si>
  <si>
    <t>Bowling/jeux : bloc clients + sanitaire personnel, sans douches.</t>
  </si>
  <si>
    <t>Capacité type ≈ 180 usagers principaux + 30 staff + 10 autre public. Clientèle en rotation mais présence prolongée sur pistes/salles de jeux. Dimensionnement unitaire retenu : bloc public compact avec PMR + bloc staff, dimensionné par la jauge simultanée moyenne. Hypothèse d'usage : capacité simultanée moyenne 2026, répartition par flux réels, arrondie par blocs fonctionnels et exclusion des sanitaires strictement privatifs sauf cas explicitement collectifs.</t>
  </si>
  <si>
    <t>Profil moyen, capacité moyenne ≈ 220 personnes. Moyenne pondérée terrain : parc majoritairement petits/moyens sites, grands sites intégrés sans surpondération ; usage 2025 forte à très forte.</t>
  </si>
  <si>
    <t>Usage loisirs soir/week-end, public familial ou groupes, pics courts et nettoyage soutenu ; chocs possibles mais humidité limitée. Proche bars, un peu meilleur que discothèque. Usage dense, arbitrages économiques serrés. Les temporisés mécaniques conservent un léger avantage en robustesse sur les mitigeurs dans les sanitaires partagés. L'électronique reste plus courte en raison de la maintenance plus opportuniste. Renouvellement surtout à la panne, puis par lot lors des refurbishments. Nettoyage agressif, image commerciale importante et vandalisme plus élevé en soirée/nuit.</t>
  </si>
  <si>
    <t>Salles de jeux / Bowlings / Billards : parc 2025 domine par tempo mecanique (76%), avec mitigeur manuel en appoint ; l’électronique progressant dans les complexes récents.. Le choix reflete flux visiteurs avec pics week-end/vacances et exigence d experience client ; image client, rapidite de nettoyage et resistance aux pics de frequentation.</t>
  </si>
  <si>
    <t>Salles de jeux / Bowlings / Billards : parc 2025 domine par directe mecanique (55%), avec directe electronique collective en appoint. Le choix reflete flux visiteurs avec pics week-end/vacances et exigence d experience client ; image client, rapidite de nettoyage et resistance aux pics de frequentation.</t>
  </si>
  <si>
    <t>Salles de jeux / Bowlings / Billards : parc 2025 domine par chasse directe mecanique (55%), avec reservoir en appoint. Le choix reflete flux visiteurs avec pics week-end/vacances et exigence d experience client ; image client, rapidite de nettoyage et resistance aux pics de frequentation.</t>
  </si>
  <si>
    <t>Potentiel neuf : plus visible pour salles de jeux / bowlings / billards, surtout via extensions, reconstructions ou projets locaux. Le neuf reste contraint par foncier, budgets et delais de mise en service.</t>
  </si>
  <si>
    <t>Parc existant centre sur le niveau upscale, avec ventes 2026-2030 legerement plus qualitatives. Salles de jeux / Bowlings / Billards : flux visiteurs avec pics week-end/vacances et exigence d experience client; le mix reste guide par image client, rapidite de nettoyage et resistance aux pics de frequentation.</t>
  </si>
  <si>
    <t>Salles de jeux / Bowlings / Billards : ventes 2026-2030 en leger glissement vers moyen/premium lorsque le neuf ou les renov. lourdes interviennent. Le centre de gravite reste toutefois module par image client, rapidite de nettoyage et resistance aux pics de frequentation et par la part dominante de travaux sur parc existant.</t>
  </si>
  <si>
    <t>Discothèques / Salles de danse</t>
  </si>
  <si>
    <t>Danse et activités assimilées.</t>
  </si>
  <si>
    <t>Discothèque, dancing</t>
  </si>
  <si>
    <t>Série recalée sur le déclin structurel du parc : ≈2 000 discothèques autour de 2014, puis ≈1 300-1 400 en 2025. Légère érosion projetée après 2025, sans hypothèse de fermeture massive supplémentaire.</t>
  </si>
  <si>
    <t>proxy loisirs nocturnes. Dynamique projetée 2027-2030: baisse lente. Fiabilité: moyenne.</t>
  </si>
  <si>
    <t>Discothèque/salle de danse : batteries sanitaires clients + blocs personnel/sécurité.</t>
  </si>
  <si>
    <t>Capacité type ≈ 510 usagers principaux + 60 staff + 30 autre public. Occupation dense, consommation de boissons et pics aux entractes/sorties. Dimensionnement unitaire retenu : batteries clients renforcées, ventilation/entretien intensifs, personnel séparé. Hypothèse d'usage : capacité simultanée moyenne 2026, répartition par flux réels, arrondie par blocs fonctionnels et exclusion des sanitaires strictement privatifs sauf cas explicitement collectifs.</t>
  </si>
  <si>
    <t>Usage nocturne intense, alcoolisation, pics concentrés, chocs et vandalisme plus élevés; nettoyage après fermeture souvent agressif. Durées raccourcies, surtout mitigeurs, réservoirs et électronique exposée.. Très forte fréquentation ponctuelle, peu d'appropriation des lieux et vandalisme non nul. Durées abaissées sans créer de grands écarts artificiels : mécanique simple &gt; mitigeur &gt; électronique. Chasses directes mécaniques gardent le meilleur comportement réel. Remplacements souvent batchés par sanitaires. Disponibilité immédiate requise, vandalisme et coûts d’exploitation élevés. Temporisation mécanique et la chasse directe sont favorisées.</t>
  </si>
  <si>
    <t>Discothèques / Salles de danse : parc 2025 domine par tempo mecanique (76%), avec mitigeur manuel en appoint ; l’électronique progresse dans les rénovations d’image et d’hygiène. Le choix reflete flux visiteurs avec pics week-end/vacances et exigence d experience client ; image client, rapidite de nettoyage et resistance aux pics de frequentation.</t>
  </si>
  <si>
    <t>Discothèques / Salles de danse : parc 2025 domine par directe mecanique (55%), avec directe electronique collective en appoint. Le choix reflete flux visiteurs avec pics week-end/vacances et exigence d experience client ; image client, rapidite de nettoyage et resistance aux pics de frequentation.</t>
  </si>
  <si>
    <t>Discothèques / Salles de danse : parc 2025 domine par chasse directe mecanique (55%), avec reservoir en appoint. Le choix reflete flux visiteurs avec pics week-end/vacances et exigence d experience client ; image client, rapidite de nettoyage et resistance aux pics de frequentation.</t>
  </si>
  <si>
    <t>Potentiel neuf : plus visible pour discothèques / salles de danse, surtout via extensions, reconstructions ou projets locaux. Le neuf reste contraint par foncier, budgets et delais de mise en service.</t>
  </si>
  <si>
    <t>Parc existant centre sur le niveau upscale, avec ventes 2026-2030 legerement plus qualitatives. Discothèques / Salles de danse : flux visiteurs avec pics week-end/vacances et exigence d experience client; le mix reste guide par image client, rapidite de nettoyage et resistance aux pics de frequentation.</t>
  </si>
  <si>
    <t>Discothèques / Salles de danse : ventes 2026-2030 en leger glissement vers moyen/premium lorsque le neuf ou les renov. lourdes interviennent. Le centre de gravite reste toutefois module par image client, rapidite de nettoyage et resistance aux pics de frequentation et par la part dominante de travaux sur parc existant.</t>
  </si>
  <si>
    <t>Établissements sanitaires et universitaires.</t>
  </si>
  <si>
    <t>CHU</t>
  </si>
  <si>
    <t>proxy sur le réseau CHU/CHR. Dynamique projetée 2027-2030: stable. Fiabilité: bonne.</t>
  </si>
  <si>
    <t>Blocs communs (accueil, consultations, urgences, visiteurs, staff) + chambres d'hospitalisation et chambres/boxes équipés lorsqu'il existe de l'individuel.</t>
  </si>
  <si>
    <t>Capacité type ≈ 660 patients/résidents principaux + 300 staff + 240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t>
  </si>
  <si>
    <t>Profil très grand, capacité moyenne ≈ 1200 personnes. Moyenne pondérée terrain : parc majoritairement petits/moyens sites, grands sites intégrés sans surpondération ; usage 2025 forte à très forte.</t>
  </si>
  <si>
    <t>Programmation hospitalière / médico-sociale (ANAP/CNSA) + pratique courante d'hospitalisation complète : https://anap.fr/ ; https://www.cnsa.fr/actualites/immobilier-et-ehpad-un-autodiagnostic-et-un-nouvel-outil-de-dimensionnement-surfacique</t>
  </si>
  <si>
    <t>Le parc CHU intègre une forte part de points d’eau de chambre et de sanitaires de soins : les mitigeurs mécaniques/médicaux dominent, l’électronique étant surtout utilisée en sanitaires publics et zones sensibles.</t>
  </si>
  <si>
    <t>En santé, la projection reste prudente : le mitigeur/médical demeure majoritaire, l’électronique progresse surtout sur les lave-mains communs rénovés et zones publiques, sans évincer rapidement le parc mécanique spécifique.</t>
  </si>
  <si>
    <t>Les douches restent majoritairement à mitigeur/thermostatique pour la sécurité anti-brûlure et le confort patient ; le temporisé mécanique subsiste dans quelques zones communes.</t>
  </si>
  <si>
    <t>En santé, les douches restent d’abord manuelles/mécaniques ; l’électronique progresse peu et surtout sur certains espaces rénovés.</t>
  </si>
  <si>
    <t>Les urinoirs sont partagés entre réservoir/concealed tank, chasse directe mécanique et automatique, cette dernière étant plus présente que dans d’autres secteurs pour l’hygiène.</t>
  </si>
  <si>
    <t>Dans les zones où des urinoirs existent, l’automatique progresse modestement sur les rénovations, sans disparition rapide des systèmes historiques.</t>
  </si>
  <si>
    <t>Le stock reste majoritairement à réservoir du fait des chambres et sanitaires patients ; la chasse directe équipe surtout les zones communes et une partie des rénovations.</t>
  </si>
  <si>
    <t>En santé, le réservoir recule lentement ; la bascule vers le direct et l’électronique reste plus graduelle que dans les ERP intensifs car le parc est plus spécifique.</t>
  </si>
  <si>
    <t>90,0% retenu : matérialisation élevée grâce aux opérations campus et restructurations, avec toutefois des phasages longs et des arbitrages budgétaires.</t>
  </si>
  <si>
    <t>Potentiel rénovation élevé : hygiène, sécurité des soins, continuité de service et vieillissement des bâtiments maintiennent un flux élevé de remplacements et de restructurations. Les lavabos et les WC portent l’essentiel des volumes, avec un poids secondaire des équipements spécialisés. En rénovation, les maîtres d’ouvrage privilégient des références robustes, vite posées et faciles à maintenir dans des ambiances humides.</t>
  </si>
  <si>
    <t>Potentiel neuf faible : extensions d’urgences, plateaux techniques, ambulatoire et recompositions hospitalières existent, mais le neuf reste quasi nul dans le modèle et renvoie surtout à des reconstructions ou remplacements de sites. Les opérations sont soutenues par la pression d’activité, la conformité et les plans d’investissement, mais restent contraintes par la trajectoire financière hospitalière.</t>
  </si>
  <si>
    <t>Projets phares réno : chambres et sanitaires patients, consultations, urgences, zones publiques/personnel, restructurations par lots en site occupé.</t>
  </si>
  <si>
    <t>Projets phares neuf : nouveaux bâtiments hospitaliers, extensions de plateaux techniques ou d’urgences, pôles ambulatoires, restructurations avec surfaces additionnelles.</t>
  </si>
  <si>
    <t>Dynamique réno 2026-2030 : élevée et prioritaire, car la qualité d’accueil, l’hygiène et la sécurité des soins rendent le remplacement difficilement reportable. Menaces : tension financière des établissements, phasage en site occupé et priorités techniques concurrentes.</t>
  </si>
  <si>
    <t>Dynamique neuf 2026-2030 : sélective mais parfois dimensionnante sur quelques grands projets ; l’activité progresse, mais les décisions lourdes restent conditionnées par l’autorisation, le financement et la capacité d’exploitation.</t>
  </si>
  <si>
    <t>Parc existant surtout intermédiaire. Les ventes se décalent légèrement vers intermédiaire, porté par l’hygiène, la facilité d’entretien et la technicité. La rénovation restant majoritaire, le mix de ventes reste proche du parc et monte surtout d’un cran sur les opérations lourdes. La technicité, l’hygiène et les programmes hospitaliers tirent le parc vers le standard/intermédiaire ; le confort monte surtout lors de restructurations lourdes plus larges que le sanitaire.</t>
  </si>
  <si>
    <t>La technicité, l’hygiène et les programmes hospitaliers tirent le parc vers le standard/intermédiaire ; le confort monte surtout lors de restructurations lourdes plus larges que le sanitaire.</t>
  </si>
  <si>
    <t>contrainte sanitaire ⇒ standard/intermédiaire technique ↑ ; rénovation dominante ⇒ progression graduelle</t>
  </si>
  <si>
    <t>Hôpitaux universitaires / CHU : technicité hospitalière, hygiène et restructurations lourdes pilotent les arbitrages. Ventes 2026-2030 : glissement vers davantage de moyen / premium, surtout sur lavabo (+14,1 pts sur premium+luxe), douche (+12,9 pts sur premium+luxe), WC (+12,5 pts sur premium+luxe). La rénovation reste majoritaire (77% des ventes, contre 23% en neuf) ; le neuf tire le mix vers le haut sans renverser le centre de gravité. L’écart de niveau de confort entre neuf et rénovation est net.</t>
  </si>
  <si>
    <t>Hôpitaux publics 
(Hors CHU, Universitaire, Militaire, Carcéral)</t>
  </si>
  <si>
    <t>Établissements sanitaires.</t>
  </si>
  <si>
    <t>Centre hospitalier public</t>
  </si>
  <si>
    <t>série publique directe</t>
  </si>
  <si>
    <t>DREES 2024 public hors CHU estimé par retrait des CHU. Dynamique projetée 2027-2030: baisse légère. Fiabilité: bonne.</t>
  </si>
  <si>
    <t>Hôpital général : blocs communs + part majoritaire de chambres/lits hospitaliers équipés en lavabo/WC et salle d'eau lorsque l'hébergement est individualisé.</t>
  </si>
  <si>
    <t>Capacité type ≈ 203 patients/résidents principaux + 84 staff + 63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t>
  </si>
  <si>
    <t>Profil grand, capacité moyenne ≈ 350 personnes. Moyenne pondérée terrain : parc majoritairement petits/moyens sites, grands sites intégrés sans surpondération ; usage 2025 forte à très forte.</t>
  </si>
  <si>
    <t>Simiaire CHU. Usage 24/7, exigences d'hygiène et nettoyage fréquent; maintenance technique existe mais budgets publics arbitrés. Proche CHU, avec renouvellements par ailes et électronique prudent. Repères durées: lavabos 12/11/8 ans (mit./méca/élec.), douches 11/10/8, urinoirs 10/12/8/10, WC 12/12/9. Ségur ou à la conformité sanitaire.</t>
  </si>
  <si>
    <t>Dans le parc hospitalier public hors CHU, le mitigeur mécanique/médical reste majoritaire car beaucoup de points d’eau sont en chambre ou en sanitaires patients ; l’électronique se concentre dans les espaces publics rénovés.</t>
  </si>
  <si>
    <t>Les douches restent largement à mitigeur pour des raisons de sécurité, de réglage de température et d’assistance aux usagers.</t>
  </si>
  <si>
    <t>Les urinoirs sont encore largement en solutions classiques (réservoir ou directe mécanique), l’automatique progressant surtout dans les rénovations de halls et consultations.</t>
  </si>
  <si>
    <t>Le WC à réservoir demeure dominant dans le parc existant, car il suit la logique des chambres et sanitaires patients ; la chasse directe reste plus présente dans les zones communes.</t>
  </si>
  <si>
    <t>Potentiel rénovation très élevé : Les lavabos et les WC portent l’essentiel des volumes, avec un poids secondaire des équipements spécialisés. Le moteur principal reste le remplacement du parc existant en site occupé, souvent couplé à des travaux d’énergie, d’accessibilité ou de conformité. En rénovation, le marché reste favorable aux gammes robustes et simples d’entretien, compatibles avec des chantiers par tranches et des budgets contraints.</t>
  </si>
  <si>
    <t>Potentiel neuf faible : le neuf est quasi nul dans le modèle et renvoie surtout à des reconstructions ou remplacements de sites sur 2026-2030. Il dépend de la dynamique réelle du non-résidentiel, de la solvabilité du maître d’ouvrage et du passage du permis au chantier. Le passage de l’intention au chantier reste sélectif, dépendant des budgets, de l’ingénierie disponible et du calendrier politique.</t>
  </si>
  <si>
    <t>Projets phares réno : remise à niveau des blocs sanitaires, accessibilité/PMR, reprise partielle lors de rénovations énergétiques ou fonctionnelles, et remplacements ciblés des postes les plus usés.</t>
  </si>
  <si>
    <t>Projets phares neuf : créations ou extensions sélectives, reconstructions partielles et opérations neuves concentrées sur les territoires ou opérateurs les plus dynamiques.</t>
  </si>
  <si>
    <t>Dynamique réno 2026-2030 : très élevé, plus résiliente que le neuf car tirée par l’usure et les obligations techniques. La normalisation relative des coûts travaux aide la décision, mais les arbitrages budgétaires et les travaux en site occupé peuvent étaler les commandes.</t>
  </si>
  <si>
    <t>Dynamique neuf 2026-2030 : faible. Le contexte de construction non résidentielle reste contrasté, avec un écart persistant entre intentions et réalisations ; les projets les mieux financés ou les plus stratégiques sortent en priorité.</t>
  </si>
  <si>
    <t>Ventes 2026-2030 : glissement vers davantage de moyen / premium, surtout sur lavabo (+12,0 pts sur premium+luxe), douche (+10,8 pts sur premium+luxe), WC (+10,4 pts sur premium+luxe). La rénovation reste majoritaire (82% des ventes, contre 18% en neuf) ; le neuf tire le mix vers le haut sans renverser le centre de gravité. L’écart de niveau de confort entre neuf et rénovation est net.</t>
  </si>
  <si>
    <t>Hôpital privé</t>
  </si>
  <si>
    <t>Parc d’établissements très encadré et capitalistique ; à l’échelle nationale, le nombre d’implantations varie lentement.</t>
  </si>
  <si>
    <t>DREES 2024 établissements privés à but non lucratif. Dynamique projetée 2027-2030: stable. Fiabilité: bonne. Risque de doublon: oui si addition avec la catégorie parente ou avec des sous-espaces d’un même site.</t>
  </si>
  <si>
    <t>Hôpital privé : blocs communs + chambres/secteurs d'hospitalisation complète équipés quand l'hébergement est individualisé.</t>
  </si>
  <si>
    <t>Capacité type ≈ 123 patients/résidents principaux + 57 staff + 40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t>
  </si>
  <si>
    <t>Simiaire CHU. Flux médical soutenu mais gestion plus centralisée et travaux programmés plus fréquents; hygiène élevée, vandalisme faible. Comparable hôpital public, meilleure tenue possible des mécaniques. Repères durées: lavabos 12/11/8 ans (mit./méca/élec.), douches 11/10/8, urinoirs 10/12/8/10, WC 12/12/9.</t>
  </si>
  <si>
    <t>Le parc des hôpitaux privés et cliniques reste très orienté mitigeurs de chambre/sanitaires patients ; l’électronique apparaît davantage dans les espaces publics et halls que dans l’ensemble du parc.</t>
  </si>
  <si>
    <t>Les douches sont d’abord à mitigeur/thermostatique, conformément à une logique de confort et de sécurité des patients.</t>
  </si>
  <si>
    <t>Les urinoirs rénovés sont plus souvent automatiques dans le privé, mais le parc existant conserve beaucoup de solutions classiques.</t>
  </si>
  <si>
    <t>Le réservoir reste majoritaire à cause des chambres ; la part électronique demeure minoritaire mais plus élevée que dans le public sur les espaces d’accueil récents.</t>
  </si>
  <si>
    <t>89,5% retenu : besoin fortement matérialisé par l’usage continu, les enjeux hygiène et les opérations lourdes, mais étalé par les phasages de service.</t>
  </si>
  <si>
    <t>Potentiel neuf faible : extensions d’urgences, plateaux techniques, ambulatoire et recompositions hospitalières existent, mais le neuf reste quasi nul dans le modèle et renvoie surtout à des reconstructions ou remplacements de sites. Les groupes privés arbitrent plus vite, mais fortement en fonction du retour d’exploitation et du mix d’activité.</t>
  </si>
  <si>
    <t>Parc existant surtout intermédiaire. Les ventes se décalent légèrement vers intermédiaire / premium, sous l’effet combiné de l’hygiène, de l’image et des rénovations lourdes. La rénovation restant majoritaire, le mix de ventes reste proche du parc et monte surtout d’un cran sur les opérations lourdes. Santé privée : combinaison de technicité, image de marque et confort patient ; les opérations neuves et de repositionnement poussent davantage vers l’intermédiaire/premium.</t>
  </si>
  <si>
    <t>Santé privée : combinaison de technicité, image de marque et confort patient ; les opérations neuves et de repositionnement poussent davantage vers l’intermédiaire/premium.</t>
  </si>
  <si>
    <t>image + privé ⇒ premium/luxe ↑ ; contrainte sanitaire ⇒ standard/intermédiaire technique ↑ ; rénovation dominante ⇒ progression graduelle</t>
  </si>
  <si>
    <t>Hôpitaux privés : positionnement privé avec exigence patient plus visible sur les halls et chambres. Ventes 2026-2030 : glissement vers davantage de moyen / premium, surtout sur lavabo (+18,1 pts sur premium+luxe), WC (+18,1 pts sur premium+luxe), douche (+17,9 pts sur premium+luxe). La rénovation reste majoritaire (83% des ventes, contre 17% en neuf) ; le neuf tire le mix vers le haut sans renverser le centre de gravité. L’écart de niveau de confort entre neuf et rénovation est net.</t>
  </si>
  <si>
    <t>Clinique chirurgicale, clinique SSR</t>
  </si>
  <si>
    <t>DREES 2024 cliniques privées. Dynamique projetée 2027-2030: baisse légère. Fiabilité: bonne.</t>
  </si>
  <si>
    <t>Clinique : blocs communs + chambres de chirurgie/médecine équipées lorsqu'elles sont individuelles ou à faible occupation.</t>
  </si>
  <si>
    <t>Capacité type ≈ 101 patients/résidents principaux + 47 staff + 32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t>
  </si>
  <si>
    <t>Simiaire CHU. Parcours patients/visiteurs plus maîtrisé, pics moins violents que CHU, mais nettoyage et prévention sanitaire forts. Légèrement sécurisée par maintenance ciblée, électronique abaissé par capteurs/rinçages. Repères durées: lavabos 12/11/8 ans (mit./méca/élec.), douches 11/10/8, urinoirs 10/12/8/10, WC 12/12/9.</t>
  </si>
  <si>
    <t>Cliniques : cliniques plus sensibles à l’expérience patient et au repositionnement commercial. Ventes 2026-2030 : glissement vers davantage de moyen / premium, surtout sur WC (+18,2 pts sur premium+luxe), douche (+17,3 pts sur premium+luxe), lavabo (+17,0 pts sur premium+luxe). La rénovation reste majoritaire (83% des ventes, contre 17% en neuf) ; le neuf tire le mix vers le haut sans renverser le centre de gravité. L’écart de niveau de confort entre neuf et rénovation est net.</t>
  </si>
  <si>
    <t>Hôpitaux d’instruction des armées et centres médicaux recevant du public</t>
  </si>
  <si>
    <t>Les établissements sanitaires relevant des armées se classent comme établissements sanitaires lorsqu’ils accueillent patients, visiteurs ou consultants.</t>
  </si>
  <si>
    <t>Hôpital d’instruction des armées (HIA) , centre médical militaire (CMA)</t>
  </si>
  <si>
    <t>proxy HIA et centres médicaux des armées. Dynamique projetée 2027-2030: stable. Fiabilité: bonne.</t>
  </si>
  <si>
    <t>Hôpital d'instruction des armées : blocs communs + chambres/secteurs d'hospitalisation équipés lorsqu'il existe de l'individuel.</t>
  </si>
  <si>
    <t>Capacité type ≈ 105 patients/résidents principaux + 43 staff + 32 intervenants/visiteurs.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t>
  </si>
  <si>
    <t>Usage santé avec contraintes militaires, maintenance interne structurée et zones parfois sécurisées; hygiène élevée. Proche hôpital public, avec risque moindre de vandalisme mais standard robuste. Flux publics variables, budgets souvent contraints et maintenance plutôt réactive. Les écarts de durée ont été resserrés : le mécanique garde un petit avantage, l'électronique reste en retrait mais sans décote excessive. Le renouvellement intervient au fil des pannes puis lors des opérations de remise à niveau des sanitaires. Usage mixte agents/public, recherche de robustesse, interventions maintenues en exploitation, parc hétérogène avec une partie rénovée par opérations ciblées.</t>
  </si>
  <si>
    <t>Les hôpitaux d’instruction des armées suivent une logique proche du parc hospitalier public : mitigeurs médicaux majoritaires, électronique concentrée dans les espaces communs.</t>
  </si>
  <si>
    <t>Dans les sites de sûreté/forces armées, l’évolution reste graduelle : un peu plus d’électronique dans les zones publiques et tertiaires, mais forte inertie du parc robuste.</t>
  </si>
  <si>
    <t>Les douches restent majoritairement à mitigeur/thermostatique.</t>
  </si>
  <si>
    <t>Évolution lente et prudente : un peu plus d’électronique dans certaines rénovations, sans remise en cause du socle mécanique.</t>
  </si>
  <si>
    <t>Le parc d’urinoirs reste surtout classique, avec un peu d’automatique sur les zones rénovées.</t>
  </si>
  <si>
    <t>Évolution maîtrisée : la robustesse garde du poids, le mécanique reste fort et l’automatique progresse surtout dans les zones publiques.</t>
  </si>
  <si>
    <t>Le réservoir demeure majoritaire à cause des chambres et sanitaires patients.</t>
  </si>
  <si>
    <t>Évolution graduelle vers davantage de direct pour la robustesse ; l’électronique reste plus secondaire.</t>
  </si>
  <si>
    <t>85,1% retenu : besoin fortement matérialisé par l’usage continu, les enjeux hygiène et les opérations lourdes, mais étalé par les phasages de service.</t>
  </si>
  <si>
    <t>Potentiel rénovation moyen à soutenu : dominant sur ce périmètre, avec modernisation des installations existantes plus que création de nouveaux sites recevant du public. Les lavabos et les WC portent l’essentiel des volumes, avec un poids secondaire des équipements spécialisés. En rénovation, les maîtres d’ouvrage privilégient des références robustes, vite posées et faciles à maintenir dans des ambiances humides.</t>
  </si>
  <si>
    <t>Potentiel neuf faible : la LPM soutient l’effort global de défense, mais le sous-périmètre ouvert au public reste secondaire et sélectif. Le neuf est quasi nul dans le modèle et renvoie surtout à des reconstructions ou remplacements de sites.</t>
  </si>
  <si>
    <t>Projets phares réno : hébergement, sanitaires public/personnel, espaces de soutien, équipements de restauration/sport ou de recrutement, remise à niveau d’accueil.</t>
  </si>
  <si>
    <t>Projets phares neuf : opérations intégrées à des programmes souverains plus larges, centres de soutien ou d’accueil restructurés avec surfaces nouvelles.</t>
  </si>
  <si>
    <t>Dynamique réno 2026-2030 : plus lisible que le neuf, car elle s’inscrit dans la modernisation des emprises et des services existants.</t>
  </si>
  <si>
    <t>Dynamique neuf 2026-2030 : faible à modérée ; l’investissement défense est élevé, mais il ne se traduit pas mécaniquement par des surfaces recevant du public dans ce sous-périmètre.</t>
  </si>
  <si>
    <t>Espaces militaires recevant du public : niveau de confort supérieur au parc purement interne, sans logique de luxe.</t>
  </si>
  <si>
    <t>image d’accueil ⇒ intermédiaire/premium ↑ ; rénovation dominante ⇒ progression graduelle</t>
  </si>
  <si>
    <t>Hôpitaux d’instruction des armées et centres médicaux recevant du public : hôpitaux militaires : contrainte sanitaire forte et technicité au-dessus de la moyenne. Ventes 2026-2030 : glissement vers davantage de moyen / premium, surtout sur lavabo (+13,0 pts sur premium+luxe), douche (+9,8 pts sur premium+luxe), WC (+9,2 pts sur premium+luxe). La rénovation reste majoritaire (80% des ventes, contre 20% en neuf) ; le neuf tire le mix vers le haut sans renverser le centre de gravité. L’écart de niveau de confort entre neuf et rénovation est net.</t>
  </si>
  <si>
    <t>Unités hospitalières sécurisées en milieu carcéral</t>
  </si>
  <si>
    <t>ERP partiel / variable</t>
  </si>
  <si>
    <t>Unités hospitalières sécurisées rattachées au champ sanitaire lorsqu’elles fonctionnent comme espaces de soins recevant des patients, accompagnants ou intervenants. Les zones strictement sécurisées restent à analyser séparément.</t>
  </si>
  <si>
    <t>UHSA / UHSI</t>
  </si>
  <si>
    <t>Site
Etablissement secondaire</t>
  </si>
  <si>
    <t>Le nombre d’unités hospitalières sécurisées évolue peu ; la stagnation reflète un parc spécialisé à planification longue.</t>
  </si>
  <si>
    <t>Proxy UHSA/UHSI ; projection 2027-2030 stable.</t>
  </si>
  <si>
    <t>https://www.justice.gouv.fr/sites/default/files/2025-02/statistique_etablissements_personnes_ecrouees_01022025.pdf</t>
  </si>
  <si>
    <t>Unité hospitalière sécurisée : chambres sanitaires + blocs staff/visiteurs/consultations ; approche mixte hospitalière et sécuritaire.</t>
  </si>
  <si>
    <t>Capacité type ≈ 29 patients/résidents principaux + 9 staff + 2 visiteurs/assesseurs.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t>
  </si>
  <si>
    <t>Profil petit, capacité moyenne ≈ 40 personnes. Moyenne pondérée terrain : parc majoritairement petits/moyens sites, grands sites intégrés sans surpondération ; usage 2025 forte à très forte.</t>
  </si>
  <si>
    <t>Milieu hospitalier en zone sécurisée: hygiène forte, usage 24/7 et risque de dégradation volontaire. Proche psychiatrie/carcéral, avec chasses mécaniques privilégiées pour robustesse. Repères durées: lavabos 12/11/8 ans (mit./méca/élec.), douches 11/10/8, urinoirs 10/12/8/10, WC 12/12/9.</t>
  </si>
  <si>
    <t>Les unités hospitalières sécurisées mélangent logique hospitalière et sécuritaire : mitigeurs majoritaires, mais forte part d’équipements spécifiques/antivandalisme.</t>
  </si>
  <si>
    <t>En univers carcéral, la progression reste très prudente : la robustesse, les contraintes de sûreté et les produits spécifiques limitent la bascule rapide vers l’électronique.</t>
  </si>
  <si>
    <t>Les douches restent surtout temporisées mécaniques ou à mitigeur sécurisé.</t>
  </si>
  <si>
    <t>Progression très limitée pour des raisons de robustesse, sûreté et maintenance.</t>
  </si>
  <si>
    <t>Le collectif et les solutions robustes restent plus présents que dans la santé classique.</t>
  </si>
  <si>
    <t>Bascule très partielle : contraintes de sûreté et robustesse maintiennent le mécanique/collectif spécifique à un niveau élevé.</t>
  </si>
  <si>
    <t>Le réservoir reste dominant mais la chasse directe est bien représentée dans les zones les plus sollicitées.</t>
  </si>
  <si>
    <t>Dans l’univers carcéral, la robustesse et la sûreté favorisent d’abord le direct spécifique ; la progression de l’électronique reste limitée.</t>
  </si>
  <si>
    <t>90,0% retenu : forte matérialisation car l’usage est intensif et la maintenance contrainte, avec toutefois un phasage strict site par site.</t>
  </si>
  <si>
    <t>Potentiel rénovation moyen à soutenu : fort sur un parc ancien et durci, avec besoins anti-vandalisme, sûreté et dignité d’usage. Les volumes se concentrent surtout sur lavabos et wc. En rénovation, l’achat reste orienté vers des produits robustes, anti-vandalisme et simples à maintenir en site occupé.</t>
  </si>
  <si>
    <t>Potentiel neuf moyen : alimenté par le programme prison 15 000 places et les opérations judiciaires 2023-2027, avec une meilleure dynamique sur les établissements spécialisés ou récents. Le neuf est significatif mais encore nettement inférieur à la rénovation.</t>
  </si>
  <si>
    <t>Projets phares réno : cellules, sanitaires collectifs, espaces visiteurs/personnel, sécurisation et remise à niveau technique en site occupé.</t>
  </si>
  <si>
    <t>Projets phares neuf : nouveaux centres pénitentiaires, SAS, centres éducatifs fermés, unités hospitalières sécurisées et extensions.</t>
  </si>
  <si>
    <t>Dynamique réno 2026-2030 : élevée et défensive, car l’existant reste volumineux et techniquement contraint.</t>
  </si>
  <si>
    <t>Dynamique neuf 2026-2030 : plus forte que dans la plupart des segments publics grâce à la programmation carcérale, tout en restant concentrée sur un nombre limité d’opérations lourdes.</t>
  </si>
  <si>
    <t>Parc existant surtout standard. Les ventes restent proches du parc, centré sur standard, sous l’effet des contraintes de sûreté, d’anti-vandalisme et de maintenance. Le neuf est un peu plus qualitatif que la rénovation, sans renverser le centre de gravité du mix. Les contraintes de sûreté, d’anti-vandalisme et de maintenance pèsent fortement ; la technicité prime sur la recherche de standing.</t>
  </si>
  <si>
    <t>Les établissements plus récents ou orientés réinsertion/éducatif montent légèrement en standard, mais le fonctionnel et la robustesse restent déterminants.</t>
  </si>
  <si>
    <t>Unités hospitalières sécurisées : unités hospitalières sécurisées mêlant sanitaire technique et environnement sécurisé. Ventes 2026-2030 : glissement vers davantage de moyen / premium, surtout sur lavabo (+5,4 pts sur premium+luxe), douche (+5,4 pts sur premium+luxe), WC (+4,9 pts sur premium+luxe). La rénovation reste majoritaire (69% des ventes, contre 31% en neuf) ; le neuf tire le mix vers le haut sans renverser le centre de gravité. L’écart de niveau de confort entre neuf et rénovation est net.</t>
  </si>
  <si>
    <t>Hôpital psychiatrique, centre spécialisé</t>
  </si>
  <si>
    <t>Hôpitaux public, privés, Cliniques</t>
  </si>
  <si>
    <t>proxy psychiatrie hospitalière et centres spécialisés. Dynamique projetée 2027-2030: stable. Fiabilité: moyenne. Risque de doublon: oui si addition avec la catégorie parente ou avec des sous-espaces d’un même site.</t>
  </si>
  <si>
    <t>Psychiatrie : blocs de jour + sanitaires d'unités + chambres lorsqu'elles comportent un sanitaire privatif ; douches collectives encore présentes.</t>
  </si>
  <si>
    <t>Capacité type ≈ 78 patients/résidents principaux + 26 staff + 16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t>
  </si>
  <si>
    <t>Usage 24/7, protocoles d'hygiène, nettoyage fréquent et maintenance technique plus structurée. L'électronique est relevée par rapport aux ERP standards grâce au sans-contact et aux rinçages automatiques, mais reste sous le temporisé mécanique à cause des capteurs, alimentations et électrovannes. Les remplacements sont souvent planifiés par aile ou unité, avec correctif entre deux opérations. Santé spécialisée / ambulatoire / médico-éducatif : Contrainte hygiène maintenue mais fréquentation moins continue que l’hospitalier aigu. maintenance régulière, renouvellement par lots lors de travaux ciblés.</t>
  </si>
  <si>
    <t>En psychiatrie, le parc existant combine mitigeurs et équipements spécifiques sécurisés/anti-vandalisme, d’où une part d’'autres' plus élevée que dans le reste de la santé.</t>
  </si>
  <si>
    <t>Les douches sont surtout mécaniques/temporisées ou à mitigeur robuste ; l’électronique reste marginale dans les unités sécurisées.</t>
  </si>
  <si>
    <t>Le parc d’urinoirs reste plutôt classique, avec une part de solutions collectives ou renforcées sur certains ensembles anciens.</t>
  </si>
  <si>
    <t>Le stock reste majoritairement réservoir, mais la chasse directe progresse quand la robustesse et l’hygiène priment dans les unités communes.</t>
  </si>
  <si>
    <t>Potentiel rénovation élevé : mise à niveau de bâtiments souvent anciens, amélioration des conditions d’accueil et de sécurité, avec poids dominant du remplacement. Les volumes se concentrent surtout sur lavabos et wc. En rénovation, le marché reste favorable aux gammes robustes et simples d’entretien, compatibles avec des chantiers par tranches et des budgets contraints.</t>
  </si>
  <si>
    <t>Potentiel neuf moyen : quelques projets existent dans la santé mentale, surtout en recomposition de l’offre ou création ciblée de capacités, mais le neuf reste significatif mais encore nettement inférieur à la rénovation.</t>
  </si>
  <si>
    <t>Projets phares réno : unités d’hospitalisation, accueils, sanitaires patients/personnel, sécurisation douce et amélioration des conditions d’accueil.</t>
  </si>
  <si>
    <t>Projets phares neuf : nouveaux pavillons, unités spécialisées, restructurations avec surfaces nouvelles dans des projets territoriaux de santé mentale.</t>
  </si>
  <si>
    <t>Dynamique réno 2026-2030 : soutenue, car l’écart entre besoins immobiliers et état du parc reste important. Menaces : arbitrages ARS/opérateurs et priorités cliniques concurrentes.</t>
  </si>
  <si>
    <t>Dynamique neuf 2026-2030 : réelle mais sélective ; la santé mentale est plus visible dans les politiques publiques, sans pour autant ouvrir un cycle massif de constructions neuves.</t>
  </si>
  <si>
    <t>Parc existant surtout standard. Les ventes se décalent légèrement vers standard, sous l’effet des contraintes de sûreté, d’anti-vandalisme et de maintenance. Le neuf est un peu plus qualitatif que la rénovation, sans renverser le centre de gravité du mix. Les contraintes de sûreté, d’anti-vandalisme et de maintenance pèsent fortement ; la technicité prime sur la recherche de standing.</t>
  </si>
  <si>
    <t>Les contraintes de sûreté, d’anti-vandalisme et de maintenance pèsent fortement ; la technicité prime sur la recherche de standing.</t>
  </si>
  <si>
    <t>Centres de psychiatrie : environnement sécurisé et anti-vandalisme, priorité à la maintenance. Ventes 2026-2030 : glissement vers davantage de moyen / premium, surtout sur lavabo (+5,0 pts sur premium+luxe), douche (+5,0 pts sur premium+luxe), WC (+4,6 pts sur premium+luxe). La rénovation reste majoritaire (70% des ventes, contre 30% en neuf) ; le neuf tire le mix vers le haut sans renverser le centre de gravité. L’écart de niveau de confort entre neuf et rénovation est net.</t>
  </si>
  <si>
    <t>Centre de rééducation fonctionnelle</t>
  </si>
  <si>
    <t>proxy SSR/SMR. Dynamique projetée 2027-2030: légère baisse. Fiabilité: moyenne. Risque de doublon: oui si addition avec la catégorie parente ou avec des sous-espaces d’un même site.</t>
  </si>
  <si>
    <t>Rééducation : blocs communs, vestiaires de plateaux techniques et chambres/salles d'eau de séjour quand elles sont individualisées.</t>
  </si>
  <si>
    <t>Capacité type ≈ 69 patients/résidents principaux + 25 staff + 16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t>
  </si>
  <si>
    <t>Profil moyen, capacité moyenne ≈ 110 personnes. Moyenne pondérée terrain : parc majoritairement petits/moyens sites, grands sites intégrés sans surpondération ; usage 2025 forte à très forte.</t>
  </si>
  <si>
    <t>En rééducation, les mitigeurs restent dominants pour l’accessibilité et l’accompagnement, avec une part d’équipements spécifiques/PMR qui explique le niveau d’'autres'.</t>
  </si>
  <si>
    <t>Les douches sont surtout à mitigeur/thermostatique, la temporisation restant présente dans les zones communes.</t>
  </si>
  <si>
    <t>Les urinoirs relèvent surtout du parc classique ; l’automatique reste secondaire.</t>
  </si>
  <si>
    <t>Le parc existant demeure majoritairement à réservoir, la chasse directe équipant surtout les parties communes rénovées.</t>
  </si>
  <si>
    <t>Potentiel rénovation élevé : salles d’eau, douches et sanitaires patients sont fortement sollicités par l’hébergement et la réadaptation. Les volumes se concentrent surtout sur lavabos et wc. En rénovation, les maîtres d’ouvrage privilégient des références robustes, vite posées et faciles à maintenir dans des ambiances humides.</t>
  </si>
  <si>
    <t>Potentiel neuf faible : quelques opérations liées au SMR, à la réorganisation de plateaux et à l’aval d’hospitalisation existent ; le neuf reste quasi nul dans le modèle et renvoie surtout à des reconstructions ou remplacements de sites.</t>
  </si>
  <si>
    <t>Projets phares réno : chambres/salles d’eau, douches PMR, circuits patients, réhabilitation de bâtiments de soins de suite.</t>
  </si>
  <si>
    <t>Projets phares neuf : extensions de SMR, pôles de réadaptation, bâtiments neufs ou restructurations avec ajout de surfaces.</t>
  </si>
  <si>
    <t>Dynamique réno 2026-2030 : élevée grâce à l’usure d’usage et aux besoins d’accessibilité. Menaces : arbitrages budgétaires et délais de chantier en site occupé.</t>
  </si>
  <si>
    <t>Dynamique neuf 2026-2030 : modérée, davantage liée à des recompositions régionales qu’à une expansion diffuse.</t>
  </si>
  <si>
    <t>Parc existant surtout intermédiaire. Les ventes se décalent légèrement vers intermédiaire, sous l’effet combiné de l’hygiène, de l’image et des rénovations lourdes. La rénovation restant majoritaire, le mix de ventes reste proche du parc et monte surtout d’un cran sur les opérations lourdes. Rééducation valorise davantage le confort d’usage et la qualité perçue, tout en restant très cadrés par l’hygiène et la maintenance.</t>
  </si>
  <si>
    <t>Rééducation et maternité valorisent davantage le confort d’usage et la qualité perçue, tout en restant très cadrés par l’hygiène et la maintenance.</t>
  </si>
  <si>
    <t>image d’accueil ⇒ intermédiaire/premium ↑ ; contrainte sanitaire ⇒ standard/intermédiaire technique ↑ ; rénovation dominante ⇒ progression graduelle</t>
  </si>
  <si>
    <t>Centres de rééducation : confort patient important mais sous enveloppes médicales encore rationnelles. Ventes 2026-2030 : glissement vers davantage de moyen / premium, surtout sur douche (+14,6 pts sur premium+luxe), lavabo (+13,5 pts sur premium+luxe), WC (+13,4 pts sur premium+luxe). La rénovation reste majoritaire (82% des ventes, contre 18% en neuf) ; le neuf tire le mix vers le haut sans renverser le centre de gravité. L’écart de niveau de confort entre neuf et rénovation est net.</t>
  </si>
  <si>
    <t>Maternité hospitalière</t>
  </si>
  <si>
    <t>Hôpitaux public, privés, Cliniques (mater. non-autonome)</t>
  </si>
  <si>
    <t>DREES, poursuite de la baisse du parc. Dynamique projetée 2027-2030: baisse. Fiabilité: bonne.</t>
  </si>
  <si>
    <t>Maternité : espaces communs + chambres/post-partum équipées et sanitaires proches des naissances ; pas de simple ratio public seul.</t>
  </si>
  <si>
    <t>Capacité type ≈ 40 patients/résidents principaux + 24 staff + 16 accompagnants/visiteurs.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t>
  </si>
  <si>
    <t>Profil moyen, capacité moyenne ≈ 80 personnes. Moyenne pondérée terrain : parc majoritairement petits/moyens sites, grands sites intégrés sans surpondération ; usage 2025 forte à très forte.</t>
  </si>
  <si>
    <t>Usage soutenu mais moins brutal qu'en transport ou scolaire, avec forte exigence d'accessibilité et d'aide au soin. Les durées de vie sont donc un peu plus hautes. L'électronique progresse quand la maintenance est organisée, sans dépasser le mécanique simple. Les remplacements sont fréquemment groupés par étage, chambre ou unité de vie. Santé spécialisée / ambulatoire / médico-éducatif : Contrainte hygiène maintenue mais fréquentation moins continue que l’hospitalier aigu. maintenance régulière, renouvellement par lots lors de travaux ciblés.</t>
  </si>
  <si>
    <t>Les maternités conservent un parc très majoritairement en mitigeurs de chambre/salle d’eau, avec une part d’électronique concentrée sur les sanitaires publics et zones hygiène.</t>
  </si>
  <si>
    <t>Les douches sont principalement à mitigeur pour le confort et la sécurité thermique.</t>
  </si>
  <si>
    <t>Les rares urinoirs relèvent surtout de sanitaires publics ou personnel, avec une part d’automatique en rénovation.</t>
  </si>
  <si>
    <t>Le réservoir domine nettement car le parc est tiré par les chambres et salles d’eau individuelles.</t>
  </si>
  <si>
    <t>90,0% retenu : besoin fortement matérialisé par l’usage continu, les enjeux hygiène et les opérations lourdes, mais étalé par les phasages de service.</t>
  </si>
  <si>
    <t>Potentiel rénovation élevé : hygiène, chambres, consultations et sanitaires associés restent un besoin régulier sur le parc existant. Les volumes se concentrent surtout sur lavabos et wc. En rénovation, le marché reste favorable aux gammes robustes et simples d’entretien, compatibles avec des chantiers par tranches et des budgets contraints.</t>
  </si>
  <si>
    <t>Potentiel neuf faible : le neuf est freiné par les regroupements de sites, les tensions de personnel et la rationalisation de l’offre. Il reste quasi nul dans le modèle et renvoie surtout à des reconstructions ou remplacements de sites, plutôt via recompositions que créations nettes.</t>
  </si>
  <si>
    <t>Projets phares réno : chambres, salles d’eau, sanitaires visiteurs/personnel, modernisation de secteurs mère-enfant.</t>
  </si>
  <si>
    <t>Projets phares neuf : regroupements maternité-hôpital, extensions ciblées ou reconstructions au sein de pôles hospitaliers plus larges.</t>
  </si>
  <si>
    <t>Dynamique réno 2026-2030 : réelle mais prudente, souvent intégrée à des projets hospitaliers plus vastes. Menaces : arbitrage médical, activité et organisation territoriale.</t>
  </si>
  <si>
    <t>Dynamique neuf 2026-2030 : limitée, car la tendance sectorielle est plutôt au regroupement et à la concentration des plateaux.</t>
  </si>
  <si>
    <t>Parc existant surtout intermédiaire. Les ventes se décalent légèrement vers intermédiaire, sous l’effet combiné de l’hygiène, de l’image et des rénovations lourdes. La rénovation restant majoritaire, le mix de ventes reste proche du parc et monte surtout d’un cran sur les opérations lourdes. Maternité valorise davantage le confort d’usage et la qualité perçue, tout en restant très cadrés par l’hygiène et la maintenance.</t>
  </si>
  <si>
    <t>Maternités : expérience mère/enfant et confort perçu plus élevés que dans l’hospitalier standard. Ventes 2026-2030 : glissement vers davantage de moyen / premium, surtout sur lavabo (+15,6 pts sur premium+luxe), douche (+15,2 pts sur premium+luxe), WC (+14,1 pts sur premium+luxe). La rénovation reste majoritaire (84% des ventes, contre 16% en neuf) ; le neuf tire le mix vers le haut sans renverser le centre de gravité. L’écart de niveau de confort entre neuf et rénovation est net.</t>
  </si>
  <si>
    <t>Établissements Médico-éducatifs</t>
  </si>
  <si>
    <t>J ou R</t>
  </si>
  <si>
    <t>Classement selon public et activité principale.
IME, ITEP, IEM, EEAP/polyhandicap, instituts sensoriels, établissements expérimentaux avec places, accueils temporaires spécialisés</t>
  </si>
  <si>
    <t>IME (enfants, adolescents situation handicap), IEM (enfants, jeunes, handicap moteur), ITEP, EEAP</t>
  </si>
  <si>
    <t>proxy IME/IEM et assimilés. Dynamique projetée 2027-2030: stable. Fiabilité: moyenne.</t>
  </si>
  <si>
    <t>https://drees.solidarites-sante.gouv.fr/</t>
  </si>
  <si>
    <t>Médico-éducatif : blocs éducatifs/soins + petites unités d'hébergement ou chambres lorsqu'elles existent, hors cabinets purement privatifs dispersés.</t>
  </si>
  <si>
    <t>Capacité type ≈ 50 patients/résidents principaux + 18 staff + 2 parents/accompagnants.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t>
  </si>
  <si>
    <t>Profil petit, capacité moyenne ≈ 70 personnes. Moyenne pondérée terrain : parc majoritairement petits/moyens sites, grands sites intégrés sans surpondération ; usage 2025 forte à très forte.</t>
  </si>
  <si>
    <t>Public accompagné, usage quotidien et gestes parfois moins précautionneux; douches/changes augmentent l'humidité. Entre foyer handicap et école spécialisée, mécanique robuste et électronique plus court. Repères durées: lavabos 12/12/9 ans (mit./méca/élec.), douches 12/11/8, urinoirs 11/12/8/10, WC 12/12/9.</t>
  </si>
  <si>
    <t>Le parc des établissements médico-éducatifs reste équilibré entre mitigeurs et temporisés mécaniques, avec quelques équipements spécifiques enfants/PMR classés en 'autres'.</t>
  </si>
  <si>
    <t>Dans les établissements médico-sociaux résidentiels, l’électronique gagne un peu sur les rénovations des espaces communs, mais le mix reste dominé par des solutions manuelles/médicales proches d’un usage résidentiel ou de soin.</t>
  </si>
  <si>
    <t>Les douches communes sont surtout temporisées mécaniques, tout en gardant des mitigeurs dans les espaces d’accompagnement.</t>
  </si>
  <si>
    <t>La projection reste lente : le mitigeur et les solutions mécaniques dominent encore largement les douches de ce parc.</t>
  </si>
  <si>
    <t>La part de collectifs anciens reste notable dans ce parc, surtout dans les établissements les plus anciens.</t>
  </si>
  <si>
    <t>Évolution limitée : le parc reste peu standardisé et la bascule vers l’automatique est lente.</t>
  </si>
  <si>
    <t>Le réservoir reste dominant, la chasse directe étant surtout liée aux rénovations de blocs.</t>
  </si>
  <si>
    <t>Dans les établissements résidentiels de soin, le réservoir reste majoritaire ; les chasses directes/électroniques progressent surtout dans les espaces communs rénovés.</t>
  </si>
  <si>
    <t>86,2% retenu : réno assez tangible grâce aux besoins d’usage quotidien et aux mises à niveau, avec décalages liés aux financeurs et à l’exploitation.</t>
  </si>
  <si>
    <t>Potentiel rénovation élevé : adaptation d’usage, accessibilité, confort et hygiène soutiennent fortement le remplacement sur un parc souvent hétérogène. Les volumes se concentrent surtout sur lavabos et wc. En rénovation, le marché reste favorable aux gammes robustes et simples d’entretien, compatibles avec des chantiers par tranches et des budgets contraints.</t>
  </si>
  <si>
    <t>Potentiel neuf faible : création et transformation de l’offre existent encore dans le handicap, mais par vagues régionales et montages ciblés. Le neuf est quasi nul dans le modèle et renvoie surtout à des reconstructions ou remplacements de sites.</t>
  </si>
  <si>
    <t>Projets phares réno : salles d’eau adaptées, douches PMR, sanitaires collectifs et personnels, réaménagements de chambres et espaces éducatifs.</t>
  </si>
  <si>
    <t>Projets phares neuf : créations/extensions d’IME et foyers, unités spécialisées, habitats adossés à une transformation de l’offre.</t>
  </si>
  <si>
    <t>Dynamique réno 2026-2030 : élevée, portée par l’accessibilité, la dignité d’usage et les plans d’investissement médico-sociaux. Menaces : délais administratifs, arbitrages départementaux/ARS et pénurie d’exploitants.</t>
  </si>
  <si>
    <t>Dynamique neuf 2026-2030 : plus réelle que dans le grand âge classique grâce aux politiques de transformation de l’offre, mais toujours sélective et territorialisée.</t>
  </si>
  <si>
    <t>Parc existant surtout intermédiaire. Les ventes restent proches du parc, centré sur intermédiaire, du fait de budgets et de rénovations menées surtout par lots. La rénovation restant majoritaire, le mix de ventes reste proche du parc et monte surtout d’un cran sur les opérations lourdes. Le médico-social combine logique résidentielle, maintenance en exploitation et enveloppes publiques ciblées ; la montée en gamme existe mais reste graduelle.</t>
  </si>
  <si>
    <t>Le médico-social combine logique résidentielle, maintenance en exploitation et enveloppes publiques ciblées ; la montée en gamme existe mais reste graduelle.</t>
  </si>
  <si>
    <t>Établissements médico-éducatifs : ESMS publics/associatifs où l’accessibilité et la facilité d’usage priment. Ventes 2026-2030 : glissement vers davantage de moyen / premium, surtout sur douche (+10,2 pts sur premium+luxe), lavabo (+9,4 pts sur premium+luxe), WC (+9,3 pts sur premium+luxe). La rénovation reste majoritaire (82% des ventes, contre 18% en neuf) ; le neuf tire le mix vers le haut sans renverser le centre de gravité. L’écart de niveau de confort entre neuf et rénovation est net.</t>
  </si>
  <si>
    <t>Centres de santé / Centres médicaux</t>
  </si>
  <si>
    <t>Accueil de patients hors hospitalisation lourde.</t>
  </si>
  <si>
    <t>Centre de santé familiale, maison médicale</t>
  </si>
  <si>
    <t>proxy sur centres de santé et cabinets regroupés. Dynamique projetée 2027-2030: hausse modérée. Fiabilité: moyenne.</t>
  </si>
  <si>
    <t>Site ambulatoire / consultations ; petits blocs d'attente et de personnel.</t>
  </si>
  <si>
    <t>Capacité type ≈ 18 usagers principaux + 5 staff + 2 accompagnants/visiteurs. Le programme sanitaire est construit par blocs fonctionnels plausibles (public, personnel, exploitation/hébergement selon le cas) et non par simple ratio national moyen. Douches rares, mais certains sites disposent d’une douche de soins, PMR, personnel ou activité médicale spécifique.</t>
  </si>
  <si>
    <t>Profil très petit, capacité moyenne ≈ 25 personnes. Moyenne pondérée terrain : parc majoritairement petits/moyens sites, grands sites intégrés sans surpondération ; usage 2025 forte à très forte.</t>
  </si>
  <si>
    <t>Flux sur rendez-vous, sanitaires visiteurs/personnel peu humides et vandalisme faible; nettoyage régulier sans usage 24/7. Plus long qu'hôpital, mais électronique limité par maintenance légère. Repères durées: lavabos 12/12/9 ans (mit./méca/élec.), douches 11/10/8, urinoirs 11/12/8/10, WC 12/12/9.</t>
  </si>
  <si>
    <t>Dans les centres de santé et maisons de santé, l’électronique est plus présente que dans le parc global grâce aux rénovations récentes et aux exigences d’hygiène, mais le mitigeur reste encore majoritaire.</t>
  </si>
  <si>
    <t>Centres de santé : douches rares et plutôt assimilables à des douches de soins/confort, majoritairement à mitigeur/thermostatique.</t>
  </si>
  <si>
    <t>Évolution lente : maintien du mitigeur, légère progression du temporisé/électronique dans certains sites rénovés.</t>
  </si>
  <si>
    <t>Les urinoirs des sanitaires publics récents vont plus souvent vers l’automatique, mais le parc installé garde une base importante de mécanique/direct.</t>
  </si>
  <si>
    <t>Le réservoir demeure dominant sur les petits établissements, avec une montée de la chasse directe et de l’électronique dans les sanitaires récents.</t>
  </si>
  <si>
    <t>86,2% retenu : part des besoins réellement transformée en travaux sur 2026-2030 après prise en compte des budgets, du phasage et des arbitrages locaux.</t>
  </si>
  <si>
    <t>Potentiel rénovation élevé : remises à niveau fonctionnelles et réglementaires, reconfiguration des accueils et sanitaires publics/personnel dans des locaux existants. Les volumes restent d’abord tirés par les WC et les lavabos, plus que par les postes spécialisés. En rénovation, le marché reste favorable aux gammes robustes et simples d’entretien, compatibles avec des chantiers par tranches et des budgets contraints.</t>
  </si>
  <si>
    <t>Potentiel neuf moyen à soutenu : développement ciblé de centres de santé dans certains territoires, mais les ouvertures restent très dépendantes du modèle économique local. Le neuf est significatif mais encore nettement inférieur à la rénovation.</t>
  </si>
  <si>
    <t>Projets phares réno : accueils, sanitaires publics/personnel, reconfiguration de cabinets et circuits patients.</t>
  </si>
  <si>
    <t>Projets phares neuf : centres de santé pluridisciplinaires, antennes de proximité, extensions dans les territoires sous-dotés.</t>
  </si>
  <si>
    <t>Dynamique réno 2026-2030 : soutenue, car l’adaptation de locaux existants est souvent la voie la plus rapide pour renforcer l’offre. Menaces : équilibre économique et recrutement médical.</t>
  </si>
  <si>
    <t>Dynamique neuf 2026-2030 : modérée ; des projets émergent dans les territoires en tension d’accès aux soins, mais l’exécution reste inégale.</t>
  </si>
  <si>
    <t>Parc existant surtout intermédiaire. Les ventes se décalent légèrement vers intermédiaire, porté par l’hygiène, la facilité d’entretien et la technicité. Le neuf est un peu plus qualitatif que la rénovation, sans renverser le centre de gravité du mix. Structures ambulatoires : parc encore hétérogène mais dynamique de créations et regroupements qui élèvent le standard sur les ventes 2026-2030.</t>
  </si>
  <si>
    <t>Structures ambulatoires : parc encore hétérogène mais dynamique de créations et regroupements qui élèvent le standard sur les ventes 2026-2030.</t>
  </si>
  <si>
    <t>Centres de santé / centres médicaux : parc de soins de proximité assez standardisé, avec peu de luxe mais une attente de propreté visible. Ventes 2026-2030 : glissement vers davantage de moyen / premium, surtout sur lavabo (+17,3 pts sur premium+luxe), WC (+15,8 pts sur premium+luxe), urinoir (+12,4 pts sur premium+luxe). La rénovation reste majoritaire (65% des ventes, contre 35% en neuf) ; le neuf tire le mix vers le haut sans renverser le centre de gravité. L’écart de niveau de confort entre neuf et rénovation est net.</t>
  </si>
  <si>
    <t>Classement selon exploitation et accueil du public.</t>
  </si>
  <si>
    <t>Maison de santé pluridisciplinaire</t>
  </si>
  <si>
    <t>Très forte hausse structurelle, portée par la politique publique de déploiement des MSP ; après 2025, la croissance reste soutenue mais moins explosive à mesure que le maillage se densifie.</t>
  </si>
  <si>
    <t>Le plan « 4000 MSP » lancé en 2023 et l’objectif gouvernemental de 5 000 MSP à horizon 2027-2030 justifient une trajectoire haussière marquée. La fin de série est une projection politique structurée.</t>
  </si>
  <si>
    <t>https://www.assurance-maladie.ameli.fr/actualite/accompagner-les-evolutions-du-systeme-de-sante ; https://www.ameli.fr/medecin/exercice-liberal/vie-cabinet/structures-sante-pluriprofessionnelles ; https://www.ameli.fr/exercice-coordonne/exercice-professionnel/organisations-d-exercice-coordonne/constitution-d-une-maison-de-sante-pluriprofessionnelle-msp</t>
  </si>
  <si>
    <t>Capacité type ≈ 14 usagers principaux + 4 staff + 2 visiteurs/intervenants. Le programme sanitaire est construit par blocs fonctionnels plausibles (public, personnel, exploitation/hébergement selon le cas) et non par simple ratio national moyen. Calibrage selon capacité simultanée, répartition de flux et organisation réelle du site.</t>
  </si>
  <si>
    <t>Profil très petit, capacité moyenne ≈ 20 personnes. Moyenne pondérée terrain : parc majoritairement petits/moyens sites, grands sites intégrés sans surpondération ; usage 2025 forte à très forte.</t>
  </si>
  <si>
    <t>Petits sites pluridisciplinaires, fréquentation régulière mais maîtrisée; peu de douches, peu de vandalisme, maintenance externalisée. Proche centre médical, renouvellement lors de réaménagements. Repères durées: lavabos 12/12/9 ans (mit./méca/élec.), douches 11/10/8, urinoirs 11/12/8/10, WC 12/12/9.</t>
  </si>
  <si>
    <t>Potentiel rénovation élevé : refits et extensions légères de structures récentes, avec volumes de remplacement encore inférieurs au parc plus ancien. Les volumes restent d’abord tirés par les WC et les lavabos, plus que par les postes spécialisés. En rénovation, le marché reste favorable aux gammes robustes et simples d’entretien, compatibles avec des chantiers par tranches et des budgets contraints.</t>
  </si>
  <si>
    <t>Potentiel neuf très élevé : c’est l’un des sous-segments les plus porteurs du modèle grâce à la politique d’accès aux soins et au développement des MSP. Le neuf est très soutenu et pèse réellement dans l’activité.</t>
  </si>
  <si>
    <t>Projets phares réno : adaptation de locaux, accessibilité, reprises de sanitaires publics/personnel lors d’extensions ou regroupements.</t>
  </si>
  <si>
    <t>Projets phares neuf : MSP, cabinets solidaires, pôles de proximité et structures pluridisciplinaires en zones sous-dotées.</t>
  </si>
  <si>
    <t>Dynamique réno 2026-2030 : moyenne à soutenue, car le parc est plus récent et l’entretien prime souvent sur la rénovation lourde.</t>
  </si>
  <si>
    <t>Dynamique neuf 2026-2030 : forte, portée par politiques d’accès aux soins et territoires en désertification médicale. Menaces : recrutement des professionnels, délais de montage et financement d’exploitation. Rare segment santé où le neuf dépasse réellement le simple remplacement.</t>
  </si>
  <si>
    <t>Parc existant surtout intermédiaire. Les ventes 2026-2030 montent nettement vers intermédiaire, sous l’effet combiné de l’hygiène, de l’image et des rénovations lourdes. Le neuf tire clairement le mix plus haut que la rénovation. Sous-segment très tiré par le neuf récent, avec un positionnement plus qualitatif que l’ambulatoire historique et des budgets de réalisation mieux fléchés.</t>
  </si>
  <si>
    <t>Sous-segment très tiré par le neuf récent, avec un positionnement plus qualitatif que l’ambulatoire historique et des budgets de réalisation mieux fléchés.</t>
  </si>
  <si>
    <t>Maisons de santé : maisons de santé récentes et souvent conçues en neuf, donc niveau moyen supérieur. Ventes 2026-2030 : glissement vers davantage de moyen / premium, surtout sur urinoir (+34,2 pts sur premium+luxe), WC (+33,9 pts sur premium+luxe), lavabo (+32,4 pts sur premium+luxe). Le neuf représente 75% des ventes contre 25% en rénovation et tire nettement le mix vers le haut. L’écart de niveau de confort entre neuf et rénovation est net.</t>
  </si>
  <si>
    <t>Cabinets Dentaires</t>
  </si>
  <si>
    <t>U ou W / variable</t>
  </si>
  <si>
    <t>Forte omission probable si l’objectif est d’inventorier les sites de soins recevant du public avec lavabos et sanitaires. Compter par site autonome, pas par praticien.</t>
  </si>
  <si>
    <t>Cabinet dentaire, centre dentaire</t>
  </si>
  <si>
    <t>https://www.sante.fr/recherche/trouver/dentistes%20
https://www.sante.fr/recherche/trouver/Centre%20M%C3%A9dical%20Et%20Dentaire</t>
  </si>
  <si>
    <t>Cabinet dentaire : petit bloc patients/accompagnants + sanitaire personnel.</t>
  </si>
  <si>
    <t>Capacité type ≈ 12 usagers principaux + 6 staff + 2 autre public. Flux sur rendez-vous avec temps d'attente limité ; plusieurs fauteuils possibles. Dimensionnement unitaire retenu : 1 sanitaire public/PMR lorsque public accueilli + 1 sanitaire personnel si nécessaire. Hypothèse d'usage : capacité simultanée moyenne 2026, répartition par flux réels, arrondie par blocs fonctionnels et exclusion des sanitaires strictement privatifs sauf cas explicitement collectifs.</t>
  </si>
  <si>
    <t>Usage limité patients/personnel, hygiène suivie mais sanitaires peu intensifs; faible humidité hors salles techniques. Durées élevées sur mécaniques, électroniques plus courts par capteurs/alimentations. Repères durées: lavabos 12/13/9 ans (mit./méca/élec.), douches 11/10/8, urinoirs 10/12/8/10, WC 13/13/9.</t>
  </si>
  <si>
    <t>Cabinets Dentaires : parc 2025 domine par tempo mecanique (42%), avec mitigeur manuel en appoint. Le choix reflete exigence hygiene forte, accessibilite et flux patients/accompagnants de jour ; hygiene, accessibilite, continuite de service et maintenance encadree.</t>
  </si>
  <si>
    <t>2025-2030 : progression de tempo electronique (+4,0%), surtout lors des renov. lourdes/neuf ; recul de mitigeur manuel (-4,0%) mais maintien d un socle robuste pour les remplacements partiels.</t>
  </si>
  <si>
    <t>Sans objet : pas de urinoirs collectif dimensionne dans ce sous-segment.</t>
  </si>
  <si>
    <t>Sans objet : pas de trajectoire 2025-2030 a modeliser pour les urinoirs.</t>
  </si>
  <si>
    <t>Cabinets Dentaires : parc 2025 domine par reservoir (55%), avec chasse directe mecanique en appoint. Le choix reflete exigence hygiene forte, accessibilite et flux patients/accompagnants de jour ; hygiene, accessibilite, continuite de service et maintenance encadree.</t>
  </si>
  <si>
    <t>2025-2030 : progression de chasse directe mecanique (+5,0%), surtout lors des renov. lourdes/neuf ; recul de reservoir (-10,0%) mais maintien d un socle robuste pour les remplacements partiels.</t>
  </si>
  <si>
    <t>80,8% retenu : besoins transformes en travaux selon exigence hygiene forte, accessibilite et flux patients/accompagnants de jour. Le phasage budgetaire, les fermetures partielles et la maintenance courante limitent la conversion totale.</t>
  </si>
  <si>
    <t>Potentiel renovation : tire par hygiene, accessibilite, continuite de service et maintenance encadree. Les remplacements sont plutot par lots, avec arbitrage entre urgence sanitaire, budget et capacite a intervenir en site occupe.</t>
  </si>
  <si>
    <t>Potentiel neuf : limite pour cabinets dentaires, surtout via extensions, reconstructions ou projets locaux. Le neuf reste contraint par foncier, budgets et delais de mise en service.</t>
  </si>
  <si>
    <t>Parc existant centre sur le niveau health, avec ventes 2026-2030 legerement plus qualitatives. Cabinets Dentaires : exigence hygiene forte, accessibilite et flux patients/accompagnants de jour; le mix reste guide par hygiene, accessibilite, continuite de service et maintenance encadree.</t>
  </si>
  <si>
    <t>Parc existant : hygiene, accessibilite, continuite de service et maintenance encadree; exigence hygiene forte, accessibilite et flux patients/accompagnants de jour. La montee en confort reste proportionnee au budget et au rythme de renovation.</t>
  </si>
  <si>
    <t>Cabinets Dentaires : ventes 2026-2030 en leger glissement vers moyen/premium lorsque le neuf ou les renov. lourdes interviennent. Le centre de gravite reste toutefois module par hygiene, accessibilite, continuite de service et maintenance encadree et par la part dominante de travaux sur parc existant.</t>
  </si>
  <si>
    <t>Foyers pour personnes handicapées</t>
  </si>
  <si>
    <t>J</t>
  </si>
  <si>
    <t>Structures d’accueil de personnes handicapées. Foyers de vie / occupationnels, foyers d’hébergement, établissements d’accueil non médicalisés, FAM/EAM et MAS</t>
  </si>
  <si>
    <t>FAM, MAS, foyer de vie</t>
  </si>
  <si>
    <t>proxy médico-social handicap. Dynamique projetée 2027-2030: hausse légère. Fiabilité: moyenne.</t>
  </si>
  <si>
    <t>Foyer handicap : blocs résidentiels collectifs + chambres/salles d'eau individuelles quand le modèle d'hébergement le prévoit.</t>
  </si>
  <si>
    <t>Capacité type ≈ 43 patients/résidents principaux + 15 staff + 2 visiteurs/intervenants.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t>
  </si>
  <si>
    <t>Profil petit, capacité moyenne ≈ 60 personnes. Moyenne pondérée terrain : parc majoritairement petits/moyens sites, grands sites intégrés sans surpondération ; usage 2025 forte à très forte.</t>
  </si>
  <si>
    <t>Usage soutenu mais moins brutal qu'en transport ou scolaire, avec forte exigence d'accessibilité et d'aide au soin. Les durées de vie sont donc un peu plus hautes. L'électronique progresse quand la maintenance est organisée, sans dépasser le mécanique simple. Les remplacements sont fréquemment groupés par étage, chambre ou unité de vie. Médico-social résidentiel / seniors / handicap : Forte part d’usage résidentiel ou en chambre, moindre vandalisme, mais entretien régulier pour limiter stagnation/tartre. Remplacement souvent en lots de chambres ou d’unités.</t>
  </si>
  <si>
    <t>Dans les foyers pour personnes handicapées, les mitigeurs restent majoritaires pour l’accompagnement, avec une part d’équipements spécifiques/PMR supérieure au parc moyen.</t>
  </si>
  <si>
    <t>Les douches communes restent surtout à mitigeur/thermostatique, la temporisation étant présente mais moins dominante que dans le sport.</t>
  </si>
  <si>
    <t>Le parc d’urinoirs reste principalement classique, avec un reliquat de collectifs sur certains sites anciens.</t>
  </si>
  <si>
    <t>Le parc WC reste dominé par le réservoir, la chasse directe équipant surtout les blocs communs rénovés.</t>
  </si>
  <si>
    <t>Potentiel neuf moyen à soutenu : création et transformation de l’offre existent encore dans le handicap, mais par vagues régionales et montages ciblés. Le neuf est significatif mais encore nettement inférieur à la rénovation.</t>
  </si>
  <si>
    <t>Parc existant surtout intermédiaire. Les ventes se décalent légèrement vers intermédiaire, du fait de budgets et de rénovations menées surtout par lots. Le neuf est un peu plus qualitatif que la rénovation, sans renverser le centre de gravité du mix. Le médico-social combine logique résidentielle, maintenance en exploitation et enveloppes publiques ciblées ; la montée en gamme existe mais reste graduelle.</t>
  </si>
  <si>
    <t>Foyers pour personnes handicapées : foyers collectifs à budget contraint et arbitrages au service de la robustesse. Ventes 2026-2030 : glissement vers davantage de moyen / premium, surtout sur douche (+14,4 pts sur premium+luxe), lavabo (+13,4 pts sur premium+luxe), WC (+13,2 pts sur premium+luxe). La rénovation reste majoritaire (68% des ventes, contre 32% en neuf) ; le neuf tire le mix vers le haut sans renverser le centre de gravité. L’écart de niveau de confort entre neuf et rénovation est net.</t>
  </si>
  <si>
    <t>MDPH
Maisons de l’autonomie
Guichets handicap</t>
  </si>
  <si>
    <t>MDPH / maisons de l’autonomie / guichets handicap
(sites principaux autonomes uniquement)</t>
  </si>
  <si>
    <t>MDPH, MDA-MDPH, maison départementale de l'autonomie</t>
  </si>
  <si>
    <t>Réseau créé à partir de 2005/2006 et ensuite quasi stable ; sanitaires structurels pour salariés et accueil de personnes handicapées.</t>
  </si>
  <si>
    <t>Ancre actuelle : une MDPH par département ; l'annuaire Service-Public recense 103 résultats, incluant MDPH et MDA/MDMPH.</t>
  </si>
  <si>
    <t>https://www.monparcourshandicap.gouv.fr/glossaire/mdph ; https://lannuaire.service-public.gouv.fr/navigation/maison_handicapees</t>
  </si>
  <si>
    <t>Guichet autonomie/handicap : sanitaires accessibles public + personnel.</t>
  </si>
  <si>
    <t>Capacité type ≈ 55 usagers principaux + 20 staff + 5 autre public. Public potentiellement PMR, accompagnants et équipes sociales en bureaux. Dimensionnement unitaire retenu : bloc accessible renforcé au niveau public + bloc salariés séparé. Hypothèse d'usage : capacité simultanée moyenne 2026, répartition par flux réels, arrondie par blocs fonctionnels et exclusion des sanitaires strictement privatifs sauf cas explicitement collectifs.</t>
  </si>
  <si>
    <t>Guichet administratif sensible, flux sur rendez-vous et forte exigence d'accessibilité; faible humidité et vandalisme limité. Proche France Services, plus contraint par usage PMR fréquent. Repères durées: lavabos 12/13/9 ans (mit./méca/élec.), douches 11/10/8, urinoirs 10/12/8/10, WC 13/13/9.</t>
  </si>
  <si>
    <t>MDPH Maisons de l’autonomie Guichets handicap : parc 2025 domine par tempo mecanique (42%), avec mitigeur manuel en appoint. Le choix reflete exigence hygiene forte, accessibilite et flux patients/accompagnants de jour ; hygiene, accessibilite, continuite de service et maintenance encadree.</t>
  </si>
  <si>
    <t>MDPH Maisons de l’autonomie Guichets handicap : parc 2025 domine par directe mecanique (52%), avec directe electronique collective en appoint. Le choix reflete exigence hygiene forte, accessibilite et flux patients/accompagnants de jour ; hygiene, accessibilite, continuite de service et maintenance encadree.</t>
  </si>
  <si>
    <t>MDPH Maisons de l’autonomie Guichets handicap : parc 2025 domine par reservoir (55%), avec chasse directe mecanique en appoint. Le choix reflete exigence hygiene forte, accessibilite et flux patients/accompagnants de jour ; hygiene, accessibilite, continuite de service et maintenance encadree.</t>
  </si>
  <si>
    <t>Potentiel neuf : limite pour mdph maisons de l’autonomie guichets handicap, surtout via extensions, reconstructions ou projets locaux. Le neuf reste contraint par foncier, budgets et delais de mise en service.</t>
  </si>
  <si>
    <t>Parc existant centre sur le niveau health, avec ventes 2026-2030 legerement plus qualitatives. MDPH Maisons de l’autonomie Guichets handicap : exigence hygiene forte, accessibilite et flux patients/accompagnants de jour; le mix reste guide par hygiene, accessibilite, continuite de service et maintenance encadree.</t>
  </si>
  <si>
    <t>MDPH Maisons de l’autonomie Guichets handicap : ventes 2026-2030 en leger glissement vers moyen/premium lorsque le neuf ou les renov. lourdes interviennent. Le centre de gravite reste toutefois module par hygiene, accessibilite, continuite de service et maintenance encadree et par la part dominante de travaux sur parc existant.</t>
  </si>
  <si>
    <t>EHPAD</t>
  </si>
  <si>
    <t>Établissements d’hébergement pour personnes âgées dépendantes ; hébergement permanent avec accompagnement et soins.</t>
  </si>
  <si>
    <t>EHPAD public, EHPAD privé associatif, EHPAD privé commercial</t>
  </si>
  <si>
    <t>proxy au sein des 10 400 structures pour personnes âgées en 2023. Dynamique projetée 2027-2030: légère baisse. Fiabilité: bonne.</t>
  </si>
  <si>
    <t>Exception demandée : inclusion d'une large part des sanitaires privatifs/résidents + blocs communs d'étage et staff.</t>
  </si>
  <si>
    <t>Capacité type ≈ 69 résidents/lits + 13 staff + 3 visiteurs/intervenants. Conformément à l'exception déjà retenue, les chambres sont comptées lorsqu'elles sont équipées ; les locaux communs et sanitaires de personnel s'y ajoutent. Calibrage selon capacité simultanée, répartition de flux et organisation réelle du site.</t>
  </si>
  <si>
    <t>Profil moyen, capacité moyenne ≈ 85 personnes. Moyenne pondérée terrain : parc majoritairement petits/moyens sites, grands sites intégrés sans surpondération ; usage 2025 forte à très forte.</t>
  </si>
  <si>
    <t>CNSA / ANAP sur immobilier et profil des chambres en EHPAD : https://www.cnsa.fr/actualites/immobilier-et-ehpad-un-autodiagnostic-et-un-nouvel-outil-de-dimensionnement-surfacique ; https://www.cnsa.fr/presse/ehpad-le-site-pour-les-personnes-ageesgouvfr-affiche-de-nouveaux-indicateurs-sur-les</t>
  </si>
  <si>
    <t>Le parc EHPAD est tiré par les chambres et salles d’eau privatives : les mitigeurs mécaniques/médicaux dominent nettement, l’électronique restant concentrée sur les espaces publics ou quelques rénovations ciblées.</t>
  </si>
  <si>
    <t>Les douches sont très majoritairement à mitigeur/thermostatique pour la sécurité anti-brûlure et l’accompagnement des résidents.</t>
  </si>
  <si>
    <t>Les rares urinoirs relèvent surtout d’équipements classiques ; la part collective ou automatique reste faible à l’échelle du parc.</t>
  </si>
  <si>
    <t>Le WC à réservoir domine très largement à cause des chambres et unités ; la chasse directe reste marginale.</t>
  </si>
  <si>
    <t>89,5% retenu : réno assez tangible grâce aux besoins d’usage quotidien et aux mises à niveau, avec décalages liés aux financeurs et à l’exploitation.</t>
  </si>
  <si>
    <t>Potentiel rénovation très élevé : chambres, salles d’eau, douches PMR et sanitaires communs restent un besoin structurel du vieillissement du parc. Les lavabos et les WC portent l’essentiel des volumes, avec un poids secondaire des équipements spécialisés. En rénovation, les maîtres d’ouvrage privilégient des références robustes, vite posées et faciles à maintenir dans des ambiances humides.</t>
  </si>
  <si>
    <t>Potentiel neuf faible : surtout via reconstruction, transformation ou création très ciblée de capacités ; le neuf reste quasi nul dans le modèle et renvoie surtout à des reconstructions ou remplacements de sites.</t>
  </si>
  <si>
    <t>Projets phares réno : salles d’eau des chambres, douches adaptées, sanitaires communs, accessibilité, confort d’été et rénovation énergétique.</t>
  </si>
  <si>
    <t>Projets phares neuf : EHPAD/USLD reconstruits, extensions ciblées, habitats intermédiaires et transformations d’offre.</t>
  </si>
  <si>
    <t>Dynamique réno 2026-2030 : très soutenue, car la dignité d’usage, l’accessibilité et la pression réglementaire rendent les reports plus difficiles que dans d’autres ERP. Menaces : tensions financières des opérateurs, exploitation continue et pénurie de main-d’œuvre.</t>
  </si>
  <si>
    <t>Dynamique neuf 2026-2030 : modérée à faible selon les sous-segments publics ; la priorité reste la modernisation du parc plus que l’expansion diffuse.</t>
  </si>
  <si>
    <t>Parc existant surtout intermédiaire. Les ventes se décalent légèrement vers premium / intermédiaire, porté par l’hygiène, la facilité d’entretien et la technicité. La rénovation restant majoritaire, le mix de ventes reste proche du parc et monte surtout d’un cran sur les opérations lourdes. EHPAD : présence de chambres et salles d’eau individuelles, importance du confort résidentiel mais sous forte contrainte de budget et de maintenance ; les plans d’investissement améliorent surtout le standard/intermédiaire.</t>
  </si>
  <si>
    <t>EHPAD : présence de chambres et salles d’eau individuelles, importance du confort résidentiel mais sous forte contrainte de budget et de maintenance ; les plans d’investissement améliorent surtout le standard/intermédiaire.</t>
  </si>
  <si>
    <t>EHPAD : dimension résidentielle et confort d’usage importants malgré une forte contrainte budgétaire. Ventes 2026-2030 : glissement vers davantage de moyen / premium, surtout sur douche (+12,8 pts sur premium+luxe), WC (+12,6 pts sur premium+luxe), lavabo (+11,4 pts sur premium+luxe). La rénovation reste majoritaire (83% des ventes, contre 17% en neuf) ; le neuf tire le mix vers le haut sans renverser le centre de gravité. L’écart de niveau de confort entre neuf et rénovation est net.</t>
  </si>
  <si>
    <t>USLD</t>
  </si>
  <si>
    <t>Unités de soins de longue durée accueillant des personnes très dépendantes avec besoins médicaux lourds ; relève du sanitaire.</t>
  </si>
  <si>
    <t>USLD hospitalière, unité de long séjour</t>
  </si>
  <si>
    <t>proxy ESLD/USLD. Dynamique projetée 2027-2030: légère baisse. Fiabilité: moyenne.</t>
  </si>
  <si>
    <t>Exception demandée : inclusion des chambres/lits médicalisés avec sanitaires, plus locaux communs.</t>
  </si>
  <si>
    <t>Capacité type ≈ 48 résidents/lits + 10 staff + 2 visiteurs/intervenants. Conformément à l'exception déjà retenue, les chambres sont comptées lorsqu'elles sont équipées ; les locaux communs et sanitaires de personnel s'y ajoutent. Calibrage selon capacité simultanée, répartition de flux et organisation réelle du site.</t>
  </si>
  <si>
    <t>Usage résidentiel médicalisé, aides répétées, nettoyage fréquent et humidité de douches; maintenance sanitaire suivie. Proche EHPAD mais usure plus continue, surtout douches et commandes électroniques. Repères durées: lavabos 14/13/10 ans (mit./méca/élec.), douches 13/12/9, urinoirs 13/13/9/11, WC 15/13/10.</t>
  </si>
  <si>
    <t>Comme en EHPAD, le parc USLD reste très orienté mitigeurs de chambre/sanitaires patients, avec une part plus technique mais encore peu d’électronique en stock.</t>
  </si>
  <si>
    <t>Les douches restent d’abord à mitigeur/thermostatique pour des raisons de sécurité et de soins.</t>
  </si>
  <si>
    <t>Les rares urinoirs relèvent surtout de solutions classiques.</t>
  </si>
  <si>
    <t>Le réservoir reste majoritaire car le parc est fortement structuré par les chambres et unités de soins.</t>
  </si>
  <si>
    <t>90,0% retenu : réno assez tangible grâce aux besoins d’usage quotidien et aux mises à niveau, avec décalages liés aux financeurs et à l’exploitation.</t>
  </si>
  <si>
    <t>Potentiel rénovation élevé : chambres, salles d’eau, douches PMR et sanitaires communs restent un besoin structurel du vieillissement du parc. Les volumes se concentrent surtout sur lavabos et wc. En rénovation, les maîtres d’ouvrage privilégient des références robustes, vite posées et faciles à maintenir dans des ambiances humides.</t>
  </si>
  <si>
    <t>Parc existant surtout intermédiaire. Les ventes se décalent légèrement vers intermédiaire, du fait de budgets et de rénovations menées surtout par lots. La rénovation restant majoritaire, le mix de ventes reste proche du parc et monte surtout d’un cran sur les opérations lourdes. Le médico-social combine logique résidentielle, maintenance en exploitation et enveloppes publiques ciblées ; la montée en gamme existe mais reste graduelle.</t>
  </si>
  <si>
    <t>USLD : présence de chambres et salles d’eau individuelles, importance du confort résidentiel mais sous forte contrainte de budget et de maintenance ; les plans d’investissement améliorent surtout le standard/intermédiaire.</t>
  </si>
  <si>
    <t>USLD : dimension résidentielle mais avec médicalisation plus forte, ce qui favorise surtout le milieu de gamme technique. Ventes 2026-2030 : glissement vers davantage de moyen / premium, surtout sur douche (+12,3 pts sur premium+luxe), WC (+11,5 pts sur premium+luxe), lavabo (+10,3 pts sur premium+luxe). La rénovation reste majoritaire (84% des ventes, contre 16% en neuf) ; le neuf tire le mix vers le haut sans renverser le centre de gravité. L’écart de niveau de confort entre neuf et rénovation est net.</t>
  </si>
  <si>
    <t>Résidences autonomie
Foyers-logements
(Public)</t>
  </si>
  <si>
    <t>Destinés à des personnes âgées plutôt autonomes ; logements privatifs avec services collectifs. Le classement dépend de l’exploitation réelle et des espaces communs ouverts au public.</t>
  </si>
  <si>
    <t>Résidence autonomie, foyer-logement seniors</t>
  </si>
  <si>
    <t>proxy DREES. Dynamique projetée 2027-2030: baisse légère. Fiabilité: moyenne.</t>
  </si>
  <si>
    <t>Résidences seniors/autonomie : seuls les locaux communs sont retenus, pas les appartements.</t>
  </si>
  <si>
    <t>Capacité type ≈ 58 usagers principaux + 8 staff + 4 visiteurs/intervenants. Le programme sanitaire est construit par blocs fonctionnels plausibles (public, personnel, exploitation/hébergement selon le cas) et non par simple ratio national moyen. Calibrage selon capacité simultanée, répartition de flux et organisation réelle du site.</t>
  </si>
  <si>
    <t>Usage résidentiel moins médicalisé, fréquentation calme et équipements mieux respectés; entretien patrimonial. Meilleur qu'USLD ou EHPAD, mais douches et électroniques restent sous surveillance. Repères durées: lavabos 14/13/10 ans (mit./méca/élec.), douches 13/12/9, urinoirs 13/13/9/11, WC 15/13/10.</t>
  </si>
  <si>
    <t>En parties communes de résidences seniors/autonomie, le parc est partagé entre mitigeurs et solutions plus 'collectivité', avec une part modeste d’électronique sur les rénovations récentes.</t>
  </si>
  <si>
    <t>Les douches communes restent majoritairement à mitigeur, avec une présence secondaire de temporisé mécanique.</t>
  </si>
  <si>
    <t>Les rares urinoirs relèvent surtout d’un parc classique.</t>
  </si>
  <si>
    <t>Le réservoir domine encore, la chasse directe restant concentrée sur quelques espaces communs modernisés.</t>
  </si>
  <si>
    <t>81,8% retenu : réno assez tangible grâce aux besoins d’usage quotidien et aux mises à niveau, avec décalages liés aux financeurs et à l’exploitation.</t>
  </si>
  <si>
    <t>Parc existant surtout intermédiaire. Les ventes restent proches du parc, centré sur intermédiaire, du fait de budgets et de rénovations menées surtout par lots. La rénovation restant majoritaire, le mix de ventes reste proche du parc et monte surtout d’un cran sur les opérations lourdes. Parc plutôt résidentiel mais public, avec budgets d’investissement plus serrés que le privé ; les rénovations priorisent souvent l’accessibilité et la maintenance.</t>
  </si>
  <si>
    <t>Parc plutôt résidentiel mais public, avec budgets d’investissement plus serrés que le privé ; les rénovations priorisent souvent l’accessibilité et la maintenance.</t>
  </si>
  <si>
    <t>Ventes 2026-2030 : glissement vers davantage de moyen / premium, surtout sur douche (+12,2 pts sur premium+luxe), WC (+11,1 pts sur premium+luxe), lavabo (+10,2 pts sur premium+luxe). La rénovation reste majoritaire (82% des ventes, contre 18% en neuf) ; le neuf tire le mix vers le haut sans renverser le centre de gravité. L’écart de niveau de confort entre neuf et rénovation est net.</t>
  </si>
  <si>
    <t>Résidences services seniors
(Privé)</t>
  </si>
  <si>
    <t>Résidences pour seniors autonomes avec services à la carte ; le classement dépend de l’exploitation, des parties communes et de l’accueil du public.</t>
  </si>
  <si>
    <t>Résidence services seniors, résidence seniors</t>
  </si>
  <si>
    <t>Proxy de marché révisé ; la croissance reste soutenue mais moins rapide qu’en phase d’émergence. Projection 2027-2030: hausse modérée. Fiabilité: moyenne.</t>
  </si>
  <si>
    <t>Capacité type ≈ 74 usagers principaux + 11 staff + 5 visiteurs/intervenants. Le programme sanitaire est construit par blocs fonctionnels plausibles (public, personnel, exploitation/hébergement selon le cas) et non par simple ratio national moyen. Calibrage selon capacité simultanée, répartition de flux et organisation réelle du site.</t>
  </si>
  <si>
    <t>Profil moyen, capacité moyenne ≈ 90 personnes. Moyenne pondérée terrain : parc majoritairement petits/moyens sites, grands sites intégrés sans surpondération ; usage 2025 forte à très forte.</t>
  </si>
  <si>
    <t>Usage résidentiel privé, budgets d'image et rénovation plus réguliers; vandalisme très faible. Proche résidence autonomie, parfois renouvelé avant panne pour confort/standing. Repères durées: lavabos 14/13/10 ans (mit./méca/élec.), douches 13/12/9, urinoirs 13/13/9/11, WC 15/13/10.</t>
  </si>
  <si>
    <t>87,3% retenu : réno assez tangible grâce aux besoins d’usage quotidien et aux mises à niveau, avec décalages liés aux financeurs et à l’exploitation.</t>
  </si>
  <si>
    <t>Potentiel neuf élevé : encore porté par quelques opérateurs privés et programmes mixtes seniors, donc plus vivant que dans le médico-social public. Le neuf est très soutenu et pèse réellement dans l’activité.</t>
  </si>
  <si>
    <t>Projets phares neuf : résidences services seniors neuves, opérations en cœur de ville, programmes mixtes avec services et espaces communs.</t>
  </si>
  <si>
    <t>Dynamique réno 2026-2030 : très soutenue, car la dignité d’usage, l’accessibilité et la pression réglementaire rendent les reports plus difficiles que dans d’autres ERP. Menaces : tensions financières des opérateurs, exploitation continue et pénurie de main-d’œuvre. Le marché de la robinetterie y bénéficie aussi d’une logique de montée en gamme et de confort résidentiel.</t>
  </si>
  <si>
    <t>Dynamique neuf 2026-2030 : réelle mais très sélective ; elle dépend du pouvoir d’achat, du taux de commercialisation et de l’appétit des investisseurs.</t>
  </si>
  <si>
    <t>Parc existant surtout intermédiaire / premium. Les ventes se décalent légèrement vers premium, tiré par l’image de marque et l’expérience usager. Le neuf tire clairement le mix plus haut que la rénovation. Résidences seniors privées : mix nettement plus qualitatif, tiré par le standing résidentiel, l’image commerciale et des opérations neuves plus nombreuses.</t>
  </si>
  <si>
    <t>Résidences seniors privées : mix nettement plus qualitatif, tiré par le standing résidentiel, l’image commerciale et des opérations neuves plus nombreuses.</t>
  </si>
  <si>
    <t>image + privé ⇒ premium/luxe ↑ ; poids du neuf significatif ⇒ premiumisation des ventes &gt; parc</t>
  </si>
  <si>
    <t>Ventes 2026-2030 : glissement vers davantage de moyen / premium, surtout sur urinoir (+29,0 pts sur premium+luxe), WC (+18,0 pts sur premium+luxe), lavabo (+17,8 pts sur premium+luxe). Le neuf représente 71% des ventes contre 29% en rénovation et tire nettement le mix vers le haut. L’écart de niveau de confort entre neuf et rénovation est net.</t>
  </si>
  <si>
    <t>Culture, Patrimoine &amp; Evénementiel</t>
  </si>
  <si>
    <t>L</t>
  </si>
  <si>
    <t>Salles de projection recevant du public.</t>
  </si>
  <si>
    <t>Multiplexe</t>
  </si>
  <si>
    <t>parc de cinémas actifs 2024. Dynamique projetée 2027-2030: stable. Fiabilité: bonne.</t>
  </si>
  <si>
    <t>https://www.boxofficepro.fr/geographie-du-cinema-2024-un-parc-de-salles-stable/</t>
  </si>
  <si>
    <t>Bloc public de salle/circulation + sanitaire staff ; pas de douches.</t>
  </si>
  <si>
    <t>Capacité type ≈ 440 usagers principaux + 40 staff + 20 techniciens/exploitants externes. Le programme sanitaire est construit par blocs fonctionnels plausibles (public, personnel, exploitation/hébergement selon le cas) et non par simple ratio national moyen. Calibrage selon capacité simultanée, répartition de flux et organisation réelle du site.</t>
  </si>
  <si>
    <t>Profil grand, capacité moyenne ≈ 500 personnes. Moyenne pondérée terrain : parc majoritairement petits/moyens sites, grands sites intégrés sans surpondération ; usage 2025 modérée à forte par pics.</t>
  </si>
  <si>
    <t>Flux publics variables, budgets souvent contraints et maintenance plutôt réactive. Les écarts de durée ont été resserrés : le mécanique garde un petit avantage, l'électronique reste en retrait mais sans décote excessive. Le renouvellement intervient au fil des pannes puis lors des opérations de remise à niveau des sanitaires. Pics très concentrés avant/après séances, usage anonyme mais humidité faible; nettoyage par rotations. Plus court qu'un musée calme, meilleur qu'un stade grâce au public. Rénovation par campagnes plutôt que remplacement à la panne.</t>
  </si>
  <si>
    <t>Dans les ERP culturels à fréquentation variable, le parc existant reste d’abord temporisé mécanique, avec une progression de l’électronique dans les rénovations plus récentes.</t>
  </si>
  <si>
    <t>Progression mesurée de l’électronique 2025-2030 sur les ERP culturels et événementiels rénovés ; le temporisé mécanique reste important sur les flux intensifs, et le mitigeur persiste dans les sites plus patrimoniaux ou petits.</t>
  </si>
  <si>
    <t>Les urinoirs relèvent surtout de la chasse directe mécanique, avec une part encore notable de collectifs anciens dans certains sites.</t>
  </si>
  <si>
    <t>Réservoirs et systèmes collectifs anciens reculent ; l’automatique gagne du terrain dans les rénovations de sites recevant du public.</t>
  </si>
  <si>
    <t>Le parc WC est partagé entre réservoir et chasse directe ; cette dernière progresse dans les rénovations pour mieux tenir l’usage public.</t>
  </si>
  <si>
    <t>Le réservoir poursuit son reflux au profit du direct et, plus marginalement, de l’électronique sur les rénovations de sanitaires publics.</t>
  </si>
  <si>
    <t>82,9% retenu : part des besoins réellement transformée en travaux sur 2026-2030 après prise en compte des budgets, du phasage et des arbitrages locaux.</t>
  </si>
  <si>
    <t>Potentiel rénovation moyen à soutenu : refits réguliers des espaces publics, image d’accueil et usure d’exploitation, plus que vagues de construction neuve. Les volumes restent d’abord tirés par les WC et les lavabos, plus que par les postes spécialisés. En rénovation, le marché reste orienté vers des gammes fiables, disponibles et rapides à poser afin de limiter l’arrêt d’exploitation.</t>
  </si>
  <si>
    <t>Potentiel neuf faible à moyen : quelques ouvertures/reconfigurations de multiplexes ou loisirs mixtes existent, mais le marché reste très sélectif. Le neuf est très minoritaire et opportuniste.</t>
  </si>
  <si>
    <t>Projets phares réno : halls, sanitaires spectateurs, espaces premium, remises à niveau accessibilité et confort.</t>
  </si>
  <si>
    <t>Projets phares neuf : complexes de loisirs/commerces avec cinéma, reprises de friches commerciales, opérations de destination.</t>
  </si>
  <si>
    <t>Dynamique réno 2026-2030 : supérieure au neuf, car les exploitants privilégient le refresh pour soutenir la fréquentation.</t>
  </si>
  <si>
    <t>Dynamique neuf 2026-2030 : faible à modérée ; peu de grands projets, avec un vrai écart entre intention immobilière et exécution.</t>
  </si>
  <si>
    <t>Parc existant surtout intermédiaire. Les ventes se décalent légèrement vers intermédiaire, du fait de budgets et de rénovations menées surtout par lots. La rénovation restant majoritaire, le mix de ventes reste proche du parc et monte surtout d’un cran sur les opérations lourdes. Équipements culturels ou événementiels d’image : meilleur niveau de finition et d’expérience usager, surtout sur les rénovations lourdes et extensions.</t>
  </si>
  <si>
    <t>Équipements culturels ou événementiels d’image : meilleur niveau de finition et d’expérience usager, surtout sur les rénovations lourdes et extensions.</t>
  </si>
  <si>
    <t>Cinémas : cinémas intégrés à des réseaux ou à des sites commerciaux, avec attentes d’image homogènes. Ventes 2026-2030 : glissement vers davantage de moyen / premium, surtout sur lavabo (+16,1 pts sur premium+luxe), WC (+15,2 pts sur premium+luxe), urinoir (+13,5 pts sur premium+luxe). La rénovation reste majoritaire (83% des ventes, contre 17% en neuf) ; le neuf tire le mix vers le haut sans renverser le centre de gravité. L’écart de niveau de confort entre neuf et rénovation est net.</t>
  </si>
  <si>
    <t>Salles de spectacles et auditions.</t>
  </si>
  <si>
    <t>Théâtre municipal</t>
  </si>
  <si>
    <t>proxy équipements culturels. Dynamique projetée 2027-2030: stable. Fiabilité: moyenne.</t>
  </si>
  <si>
    <t>Capacité type ≈ 616 usagers principaux + 56 staff + 28 artistes/intervenants. Le programme sanitaire est construit par blocs fonctionnels plausibles (public, personnel, exploitation/hébergement selon le cas) et non par simple ratio national moyen. Calibrage selon capacité simultanée, répartition de flux et organisation réelle du site. Les douches ne sont pas un équipement public standard, mais sont plausibles dans les loges, espaces artistes, techniques ou grands théâtres municipaux.</t>
  </si>
  <si>
    <t>Profil grand, capacité moyenne ≈ 700 personnes. Moyenne pondérée terrain : parc majoritairement petits/moyens sites, grands sites intégrés sans surpondération ; usage 2025 modérée à forte par pics.</t>
  </si>
  <si>
    <t>Pics entracte/fin de spectacle, public généralement respectueux, faible humidité et maintenance patrimoniale. Proche cinéma, un peu moins agressif si jauge plus faible. Budgets souvent contraints et maintenance plutôt réactive. Les écarts de durée ont été resserrés : le mécanique garde un petit avantage, l'électronique reste en retrait mais sans décote excessive. Le renouvellement intervient au fil des pannes puis lors des opérations de remise à niveau des sanitaires. Budgets municipaux/intercommunaux et rénovation par campagnes plutôt que remplacement à la panne.</t>
  </si>
  <si>
    <t>Théâtres : douches rares mais présentes dans les loges/espaces techniques ; mix équilibré entre mitigeur et temporisé mécanique.</t>
  </si>
  <si>
    <t>Évolution prudente : légère montée de l’électronique dans les rénovations, sans remettre en cause le socle mitigeur/temporisé.</t>
  </si>
  <si>
    <t>Potentiel rénovation moyen à soutenu : fort sur des actifs souvent anciens, avec enjeu d’accessibilité, confort visiteurs, adaptation climatique et parfois protection patrimoniale. Les volumes restent d’abord tirés par les WC et les lavabos, plus que par les postes spécialisés. En rénovation, le marché reste favorable aux gammes robustes et simples d’entretien, compatibles avec des chantiers par tranches et des budgets contraints.</t>
  </si>
  <si>
    <t>Potentiel neuf moyen : les opérations neuves existent mais restent rares et concentrées sur quelques priorités locales ou grands équipements. Le neuf est réel mais secondaire.</t>
  </si>
  <si>
    <t>Projets phares réno : halls et sanitaires publics, réhabilitation patrimoniale, accessibilité, rénovation énergétique, modernisation des espaces d’accueil.</t>
  </si>
  <si>
    <t>Projets phares neuf : médiathèques, auditoriums, équipements culturels de quartier, extensions ou requalifications d’équipements publics.</t>
  </si>
  <si>
    <t>Dynamique réno 2026-2030 : élevée, car elle s’inscrit dans les politiques de sobriété énergétique et de confort du public.</t>
  </si>
  <si>
    <t>Dynamique neuf 2026-2030 : ponctuelle et très dépendante de la volonté politique locale ; les projets vitrines sortent, mais la masse reste en rénovation.</t>
  </si>
  <si>
    <t>Parc existant surtout standard. Les ventes restent proches du parc, centré sur intermédiaire / standard, du fait de budgets et de rénovations menées surtout par lots. La rénovation restant majoritaire, le mix de ventes reste proche du parc et monte surtout d’un cran sur les opérations lourdes. Culture/patrimoine : arbitrage permanent entre image d’accueil, contraintes patrimoniales et budgets publics, d’où un mix centre de gravité standard/intermédiaire.</t>
  </si>
  <si>
    <t>Culture/patrimoine : arbitrage permanent entre image d’accueil, contraintes patrimoniales et budgets publics, d’où un mix centre de gravité standard/intermédiaire.</t>
  </si>
  <si>
    <t>Théâtres : théâtres souvent patrimoniaux, où le sanitaire est rénové par tranches. Ventes 2026-2030 : glissement vers davantage de moyen / premium, surtout sur lavabo (+12,5 pts sur premium+luxe), WC (+11,1 pts sur premium+luxe), urinoir (+8,5 pts sur premium+luxe). La rénovation reste majoritaire (78% des ventes, contre 22% en neuf) ; le neuf tire le mix vers le haut sans renverser le centre de gravité. L’écart de niveau de confort entre neuf et rénovation est net.</t>
  </si>
  <si>
    <t>Y</t>
  </si>
  <si>
    <t>Exposition permanente de collections.</t>
  </si>
  <si>
    <t>Musée municipal, musée privé</t>
  </si>
  <si>
    <t>https://www.culture.gouv.fr/Aides-demarches/Protections-labels-et-appellations/Appellation-Musee-de-France</t>
  </si>
  <si>
    <t>Musée/bibliothèque : sanitaires visiteurs aux pôles d'accueil + staff.</t>
  </si>
  <si>
    <t>Capacité type ≈ 246 usagers principaux + 36 staff + 18 intervenants/prestataires. Le programme sanitaire est construit par blocs fonctionnels plausibles (public, personnel, exploitation/hébergement selon le cas) et non par simple ratio national moyen. Calibrage selon capacité simultanée, répartition de flux et organisation réelle du site.</t>
  </si>
  <si>
    <t>Profil grand, capacité moyenne ≈ 300 personnes. Moyenne pondérée terrain : parc majoritairement petits/moyens sites, grands sites intégrés sans surpondération ; usage 2025 modérée à forte par pics.</t>
  </si>
  <si>
    <t>Flux touristique étalé, pics vacances mais usage calme et surveillance; faible humidité. Durées longues pour mécaniques, électronique limité par obsolescence, meilleur qu'un parc d'attractions. Flux publics variables, budgets souvent contraints et maintenance plutôt réactive. Les écarts de durée ont été resserrés : le mécanique garde un petit avantage, l'électronique reste en retrait mais sans décote excessive. Le renouvellement intervient au fil des pannes puis lors des opérations de remise à niveau des sanitaires. Usage public modéré à fort mais irrégulier, pics événementiels, budgets municipaux/intercommunaux et rénovation par campagnes plutôt que remplacement à la panne.</t>
  </si>
  <si>
    <t>Musées, bibliothèques et centres de conférence ont souvent un parc un peu plus premium : le mitigeur et l’électronique y pèsent davantage que dans les autres ERP culturels. Ajustement ciblé 2025 : légère baisse du mitigeur et/ou légère hausse de l’électronique pour mieux refléter la modernisation déjà visible sur les rénovations de sanitaires communs.</t>
  </si>
  <si>
    <t>L’automatique est plus fréquent que dans le culturel 'classique', mais le parc en stock reste encore mixte.</t>
  </si>
  <si>
    <t>Le réservoir reste majoritaire dans les petits sites ; la chasse directe et l’électronique progressent dans les établissements récents.</t>
  </si>
  <si>
    <t>Potentiel neuf faible : les opérations neuves existent mais restent rares et concentrées sur quelques priorités locales ou grands équipements. Le neuf est quasi nul dans le modèle et renvoie surtout à des reconstructions ou remplacements de sites.</t>
  </si>
  <si>
    <t>Dynamique réno 2026-2030 : élevée, car elle s’inscrit dans les politiques de sobriété énergétique et de confort du public. La protection patrimoniale peut toutefois allonger les études et décaler les remplacements.</t>
  </si>
  <si>
    <t>Musées : musées sous contraintes patrimoniales et budgets publics, avec qualité visible surtout dans les grands projets. Ventes 2026-2030 : glissement vers davantage de moyen / premium, surtout sur lavabo (+10,3 pts sur premium+luxe), WC (+9,0 pts sur premium+luxe), urinoir (+6,8 pts sur premium+luxe). La rénovation reste majoritaire (84% des ventes, contre 16% en neuf) ; le neuf tire le mix vers le haut sans renverser le centre de gravité. L’écart de niveau de confort entre neuf et rénovation est net.</t>
  </si>
  <si>
    <t>Salles de spectacle / Auditoriums</t>
  </si>
  <si>
    <t>Salles de spectacles, conférences ou auditions.</t>
  </si>
  <si>
    <t>Auditorium, salle de concert</t>
  </si>
  <si>
    <t>proxy équipements culturels de spectacle. Dynamique projetée 2027-2030: hausse légère. Fiabilité: moyenne.</t>
  </si>
  <si>
    <t>Équipement événementiel : programme public en batterie à l'entrée et en pourtour, staff séparé.</t>
  </si>
  <si>
    <t>Capacité type ≈ 572 usagers principaux + 52 staff + 26 artistes/intervenants. Le programme sanitaire est construit par blocs fonctionnels plausibles (public, personnel, exploitation/hébergement selon le cas) et non par simple ratio national moyen. Calibrage selon capacité simultanée, répartition de flux et organisation réelle du site.</t>
  </si>
  <si>
    <t>Profil grand, capacité moyenne ≈ 650 personnes. Moyenne pondérée terrain : parc majoritairement petits/moyens sites, grands sites intégrés sans surpondération ; usage 2025 modérée à forte par pics.</t>
  </si>
  <si>
    <t>Grands pics simultanés aux entractes, mais public assis et environnement intérieur. Douches rares; durées théoriques élevées, WC mécaniques robustes malgré forts à-coups. Budgets souvent contraints et maintenance plutôt réactive. Ecarts de durée ont été resserrés : le mécanique garde un petit avantage, l'électronique reste en retrait mais sans décote excessive. Renouvellement intervient au fil des pannes puis lors des opérations de remise à niveau sanitaires. Budgets municipaux/intercommunaux et rénovation par campagnes plutôt que remplacement à la panne.</t>
  </si>
  <si>
    <t>Les rares douches (artistes, personnel, PMR) restent majoritairement manuelles ou temporisées mécaniques ; l’électronique demeure marginale.</t>
  </si>
  <si>
    <t>Quand des douches existent, l’électronique progresse un peu dans les rénovations récentes, sans détrôner rapidement le temporisé/mécanique.</t>
  </si>
  <si>
    <t>Potentiel rénovation moyen à soutenu : fort sur des actifs souvent anciens, avec enjeu d’accessibilité, confort visiteurs, adaptation climatique et parfois protection patrimoniale. Les lavabos et les WC portent l’essentiel des volumes, avec un poids secondaire des équipements spécialisés. En rénovation, le marché reste favorable aux gammes robustes et simples d’entretien, compatibles avec des chantiers par tranches et des budgets contraints.</t>
  </si>
  <si>
    <t>Potentiel neuf moyen : les opérations neuves existent mais restent rares et concentrées sur quelques priorités locales ou grands équipements. Le neuf est significatif mais encore nettement inférieur à la rénovation.</t>
  </si>
  <si>
    <t>Salles de spectacle / auditoriums : parc plutôt public ou délégataire, avec logique d’accueil et d’image mais budgets encadrés ; le centre de gravité reste moyen/premium, plus élevé sur les sanitaires visibles du public que sur les zones back-of-house. Ventes 2026-2030 : progression surtout du premium+luxe sur lavabo (+19,3 pts), douche (+18,1 pts) et WC (+17,8 pts), portée par rénovations d’accueil, accessibilité, requalification thermique et renouvellement d’équipements dans les salles culturelles. La rénovation reste dominante (72% des ventes) ; le neuf reste minoritaire mais plus haut de gamme, ce qui crée un écart net entre neuf et rénovation.</t>
  </si>
  <si>
    <t>Sous-segments publics/événementiels à image, mais sous contrainte de maintenance et de flux ; le parc se situe surtout en moyen/premium.</t>
  </si>
  <si>
    <t>image + accueil public ⇒ moyen/premium ↑ ; rénovation majoritaire ⇒ amélioration graduelle ; coût global et maintenance contiennent le luxe</t>
  </si>
  <si>
    <t>Salles de conférence / Réunion</t>
  </si>
  <si>
    <t>Accueil d’assemblées et réunions publiques.</t>
  </si>
  <si>
    <t>Centre de conférences</t>
  </si>
  <si>
    <t>proxy centres de congrès et salles publiques. Dynamique projetée 2027-2030: hausse légère. Fiabilité: moyenne.</t>
  </si>
  <si>
    <t>Capacité type ≈ 220 usagers principaux + 20 staff + 10 intervenants/prestataires. Le programme sanitaire est construit par blocs fonctionnels plausibles (public, personnel, exploitation/hébergement selon le cas) et non par simple ratio national moyen. Calibrage selon capacité simultanée, répartition de flux et organisation réelle du site.</t>
  </si>
  <si>
    <t>Profil grand, capacité moyenne ≈ 250 personnes. Moyenne pondérée terrain : parc majoritairement petits/moyens sites, grands sites intégrés sans surpondération ; usage 2025 modérée à forte par pics.</t>
  </si>
  <si>
    <t>Usage intermittent par événements, faible humidité et public professionnel; pics aux pauses café. Supérieur aux salles des fêtes, car moindre alcoolisation et vandalisme. Budgets souvent contraints et maintenance plutôt réactive. Ecarts de durée ont été resserrés : le mécanique garde un petit avantage, l'électronique reste en retrait mais sans décote excessive. Le renouvellement intervient au fil des pannes puis lors des opérations de remise à niveau des sanitaires. Budgets municipaux/intercommunaux et rénovation par campagnes plutôt que remplacement à la panne.</t>
  </si>
  <si>
    <t>Quand des douches existent, elles relèvent surtout d’usages personnel/technique et restent majoritairement manuelles ou temporisées.</t>
  </si>
  <si>
    <t>Potentiel rénovation élevé : fort sur des actifs souvent anciens, avec enjeu d’accessibilité, confort visiteurs, adaptation climatique et parfois protection patrimoniale. Les lavabos et les WC portent l’essentiel des volumes, avec un poids secondaire des équipements spécialisés. En rénovation, le marché reste favorable aux gammes robustes et simples d’entretien, compatibles avec des chantiers par tranches et des budgets contraints.</t>
  </si>
  <si>
    <t>Salles de conférence / réunion : sous-segment hétérogène mais mieux borné par les codes du tertiaire événementiel ; parc centré sur basique/moyen avec montée vers premium dans les sites récents, congrès et corporate. Ventes 2026-2030 : progression surtout du premium+luxe sur lavabo (+13,6 pts), douche (+12,4 pts) et WC (+12,0 pts), sous l’effet des rénovations de halls, espaces meeting et standards d’image. La rénovation reste dominante (72% des ventes) ; le neuf est plus qualitatif que la rénovation.</t>
  </si>
  <si>
    <t>Salles polyvalentes / Salles des fêtes</t>
  </si>
  <si>
    <t>Réunions, manifestations, polyvalence.</t>
  </si>
  <si>
    <t>Salle communale, salle polyvalente</t>
  </si>
  <si>
    <t>Parc très diffus et plutôt stable, avec légère hausse/renouvellement. Le filtre sanitaire est peu réducteur : une salle louée au public dispose normalement de WC/lavabos.</t>
  </si>
  <si>
    <t>Dédoublonnage réalisé vis-à-vis des gymnases, salles de spectacle, locaux associatifs, salles intégrées à mairie, MJC/local associatif, gymnase, salle de spectacle ou équipement culturel déjà compté.</t>
  </si>
  <si>
    <t>https://www.data.gouv.fr/datasets/recensement-des-equipements-sportifs-espaces-et-sites-de-pratiques ; https://www.insee.fr/fr/statistiques/3196299?sommaire=3197322 ; https://code.travail.gouv.fr/code-du-travail/r4228-1
https://www.insee.fr/fr/metadonnees/source/serie/s1161</t>
  </si>
  <si>
    <t>Salle polyvalente/salle des fêtes : batteries public événementiel + sanitaire staff/office.</t>
  </si>
  <si>
    <t>Capacité type ≈ 315 usagers principaux + 28 staff + 7 autre public. Repas, réunions et fêtes avec occupation dense et pics de courte durée. Dimensionnement unitaire retenu : batteries WC public H/F/PMR près hall/office, dimensionnées à la jauge assise/debout. Hypothèse d'usage : capacité simultanée moyenne 2026, répartition par flux réels, arrondie par blocs fonctionnels et exclusion des sanitaires strictement privatifs sauf cas explicitement collectifs.</t>
  </si>
  <si>
    <t>Profil grand, capacité moyenne ≈ 350 personnes. Moyenne pondérée terrain : parc majoritairement petits/moyens sites, grands sites intégrés sans surpondération ; usage 2025 modérée à forte par pics.</t>
  </si>
  <si>
    <t>Usages très variables, soirées, repas et événements associatifs; pics forts, nettoyage parfois tardif et budgets municipaux limités. Durées abaissées vs salle de réunion, surtout électronique/réservoirs. Usage public modéré à fort mais irrégulier, pics événementiels, budgets municipaux/intercommunaux limités. Remplacement à la panne.</t>
  </si>
  <si>
    <t>ERP culturels à fréquentation variable : parc 2025 domine par tempo mecanique (62%), avec mitigeur manuel en appoint. Electronique dans les rénovations plus récentes. Le choix reflete frequentation discontinue avec pics evenementiels et maintenance par gestionnaire public/prive ; accueil du public, accessibilite et remise a niveau lors de renov. globales.</t>
  </si>
  <si>
    <t>2025-2030 : progression de tempo electronique (+3,0%), surtout lors des renov. lourdes/neuf ; recul de mitigeur manuel (-3,0%) mais maintien d un socle robuste pour les remplacements partiels.</t>
  </si>
  <si>
    <t>Salles polyvalentes / Salles des fêtes : parc 2025 domine par tempo mecanique (50%), avec mitigeur en appoint. Le choix reflete frequentation discontinue avec pics evenementiels et maintenance par gestionnaire public/prive ; accueil du public, accessibilite et remise a niveau lors de renov. globales.</t>
  </si>
  <si>
    <t>2025-2030 : progression de tempo electronique (+3,0%), surtout lors des renov. lourdes/neuf ; recul de mitigeur (-5,0%) mais maintien d un socle robuste pour les remplacements partiels.</t>
  </si>
  <si>
    <t>Salles polyvalentes / Salles des fêtes : parc 2025 domine par directe mecanique (55%), avec directe electronique collective en appoint. Le choix reflete frequentation discontinue avec pics evenementiels et maintenance par gestionnaire public/prive ; accueil du public, accessibilite et remise a niveau lors de renov. globales.</t>
  </si>
  <si>
    <t>Salles polyvalentes / Salles des fêtes : parc 2025 domine par reservoir (45%), avec chasse directe mecanique en appoint. Le choix reflete frequentation discontinue avec pics evenementiels et maintenance par gestionnaire public/prive ; accueil du public, accessibilite et remise a niveau lors de renov. globales.</t>
  </si>
  <si>
    <t>2025-2030 : progression de chasse directe electronique (+5,0%), surtout lors des renov. lourdes/neuf ; recul de reservoir (-10,0%) mais maintien d un socle robuste pour les remplacements partiels.</t>
  </si>
  <si>
    <t>77,3% retenu : besoins transformes en travaux selon frequentation discontinue avec pics evenementiels et maintenance par gestionnaire public/prive. Le phasage budgetaire, les fermetures partielles et la maintenance courante limitent la conversion totale.</t>
  </si>
  <si>
    <t>Potentiel renovation : tire par accueil du public, accessibilite et remise a niveau lors de renov. globales. Les remplacements sont plutot par lots, avec arbitrage entre urgence sanitaire, budget et capacite a intervenir en site occupe.</t>
  </si>
  <si>
    <t>Potentiel neuf : limite pour salles polyvalentes / salles des fêtes, surtout via extensions, reconstructions ou projets locaux. Le neuf reste contraint par foncier, budgets et delais de mise en service.</t>
  </si>
  <si>
    <t>Parc existant centre sur le niveau mid, avec ventes 2026-2030 legerement plus qualitatives. Salles polyvalentes / Salles des fêtes : frequentation discontinue avec pics evenementiels et maintenance par gestionnaire public/prive; le mix reste guide par accueil du public, accessibilite et remise a niveau lors de renov. globales.</t>
  </si>
  <si>
    <t>Parc existant : accueil du public, accessibilite et remise a niveau lors de renov. globales; frequentation discontinue avec pics evenementiels et maintenance par gestionnaire public/prive. La montee en confort reste proportionnee au budget et au rythme de renovation.</t>
  </si>
  <si>
    <t>Salles polyvalentes / Salles des fêtes : ventes 2026-2030 en leger glissement vers moyen/premium lorsque le neuf ou les renov. lourdes interviennent. Le centre de gravite reste toutefois module par accueil du public, accessibilite et remise a niveau lors de renov. globales et par la part dominante de travaux sur parc existant.</t>
  </si>
  <si>
    <t>Consultation et prêt de documents.</t>
  </si>
  <si>
    <t>Bibliothèque municipale</t>
  </si>
  <si>
    <t>Le stock de bibliothèques/médiathèques est mature et très majoritairement public. Tassement lent du réseau, avec rationalisation locale mais maintien d’un maillage très dense ; pas de rupture 2026-2030.</t>
  </si>
  <si>
    <t>BPE 2024 bibliothèques et points d’accès. Ancré sur BPE Insee (15 846 bibliothèques). Reste de la série vise continuité cohérente avec travaux du ministère Culture sur lieux de lecture publique.</t>
  </si>
  <si>
    <t>https://www.insee.fr/fr/statistiques/8610258?geo=FE-1 ; https://www.culture.gouv.fr/thematiques/livre-et-lecture/pour-les-professionnels-des-bibliotheques/donnees-sur-les-bibliotheques/cartographie-des-bibliotheques</t>
  </si>
  <si>
    <t>Capacité type ≈ 123 usagers principaux + 18 staff + 9 intervenants/visiteurs. Le programme sanitaire est construit par blocs fonctionnels plausibles (public, personnel, exploitation/hébergement selon le cas) et non par simple ratio national moyen. Calibrage selon capacité simultanée, répartition de flux et organisation réelle du site.</t>
  </si>
  <si>
    <t>Profil moyen, capacité moyenne ≈ 150 personnes. Moyenne pondérée terrain : parc majoritairement petits/moyens sites, grands sites intégrés sans surpondération ; usage 2025 modérée à forte par pics.</t>
  </si>
  <si>
    <t>Flux calme et réparti, faible humidité, surveillance et vandalisme faible. Favorable, proche musée, mais renouvellement public par cycles longs et budgets étalés. Fréquentation irrégulière mais pics élevés, Le renouvellement se fait souvent par campagnes avant ou après rénovation des halls/blocs. Usage public modéré à fort mais irrégulier, pics événementiels, budgets municipaux/intercommunaux et rénovation par campagnes plutôt que remplacement à la panne.</t>
  </si>
  <si>
    <t>Musées, bibliothèques et centres de conférence ont souvent un parc un peu plus premium : le mitigeur et l’électronique y pèsent davantage que dans les autres ERP culturels.</t>
  </si>
  <si>
    <t>Potentiel rénovation élevé : fort sur des actifs souvent anciens, avec enjeu d’accessibilité, confort visiteurs, adaptation climatique et parfois protection patrimoniale. Les volumes restent d’abord tirés par les WC et les lavabos, plus que par les postes spécialisés. En rénovation, le marché reste favorable aux gammes robustes et simples d’entretien, compatibles avec des chantiers par tranches et des budgets contraints.</t>
  </si>
  <si>
    <t>Bibliothèques / médiathèques : bibliothèques/médiathèques rénovées par programmes publics, souvent sur un standard qualitatif maîtrisé. Ventes 2026-2030 : glissement vers davantage de moyen / premium, surtout sur lavabo (+9,0 pts sur premium+luxe), WC (+7,7 pts sur premium+luxe), urinoir (+5,6 pts sur premium+luxe). La rénovation reste très majoritaire (85% des ventes, contre 15% en neuf) ; le neuf est plus qualitatif mais ne suffit pas à transformer fortement le mix. L’écart de niveau de confort entre neuf et rénovation est net.</t>
  </si>
  <si>
    <t>Centres de Documentation 
et Consultation d’archives autonomes</t>
  </si>
  <si>
    <t>Consultation de documents.</t>
  </si>
  <si>
    <t>Archives départementales, régionales autonomes, municipales/intercommunales autonomes, centre de documentation public autonome</t>
  </si>
  <si>
    <t>Croissance lente puis quasi-stabilité : parc physique public d’archives/documentation assez mature, avec quelques créations ou regroupements de sites autonomes.</t>
  </si>
  <si>
    <t>Projection prudente : seuls sites autonomes avec salle consultation-accueil public sont retenus ; sanitaires publics-personnel fréquents dans ces bâtiments recevant public.</t>
  </si>
  <si>
    <t>https://www.data.gouv.fr/fr/datasets/activite-des-services-darchives-en-france/
https://francearchives.gouv.fr/fr/article/37979
https://www.legifrance.gouv.fr/codes/section_lc/JORFTEXT000000290033/LEGISCTA000020334994/</t>
  </si>
  <si>
    <t>Archives/centre de consultation : bloc lecteurs + sanitaire personnel.</t>
  </si>
  <si>
    <t>Capacité type ≈ 56 usagers principaux + 20 staff + 4 autre public. Consultation sur place à faible rotation, chercheurs/lecteurs et équipe de conservation. Dimensionnement unitaire retenu : petit bloc public accessible + bloc personnel, sans douche. Hypothèse d'usage : capacité simultanée moyenne 2026, répartition par flux réels, arrondie par blocs fonctionnels et exclusion des sanitaires strictement privatifs sauf cas explicitement collectifs.</t>
  </si>
  <si>
    <t>Profil moyen, capacité moyenne ≈ 80 personnes. Moyenne pondérée terrain : parc majoritairement petits/moyens sites, grands sites intégrés sans surpondération ; usage 2025 modérée à forte par pics.</t>
  </si>
  <si>
    <t>Public restreint, fréquentation faible, exigence patrimoniale et humidité maîtrisée; sanitaires peu sollicités. Proche bibliothèque, électronique plus court par obsolescence que par usage. Repères durées: lavabos 12/13/9 ans (mit./méca/élec.), douches 11/11/8, urinoirs 10/12/8/10, WC 13/13/9.</t>
  </si>
  <si>
    <t>Centres de Documentation et Consultation d’archives autonomes : parc 2025 domine par tempo mecanique (62%), avec mitigeur manuel en appoint. Le choix reflete frequentation discontinue avec pics evenementiels et maintenance par gestionnaire public/prive ; accueil du public, accessibilite et remise a niveau lors de renov. globales.</t>
  </si>
  <si>
    <t>Centres de Documentation et Consultation d’archives autonomes : parc 2025 domine par directe mecanique (55%), avec directe electronique collective en appoint. Le choix reflete frequentation discontinue avec pics evenementiels et maintenance par gestionnaire public/prive ; accueil du public, accessibilite et remise a niveau lors de renov. globales.</t>
  </si>
  <si>
    <t>Centres de Documentation et Consultation d’archives autonomes : parc 2025 domine par reservoir (45%), avec chasse directe mecanique en appoint. Le choix reflete frequentation discontinue avec pics evenementiels et maintenance par gestionnaire public/prive ; accueil du public, accessibilite et remise a niveau lors de renov. globales.</t>
  </si>
  <si>
    <t>Potentiel neuf : limite pour centres de documentation et consultation d’archives autonomes, surtout via extensions, reconstructions ou projets locaux. Le neuf reste contraint par foncier, budgets et delais de mise en service.</t>
  </si>
  <si>
    <t>Parc existant centre sur le niveau mid, avec ventes 2026-2030 legerement plus qualitatives. Centres de Documentation et Consultation d’archives autonomes : frequentation discontinue avec pics evenementiels et maintenance par gestionnaire public/prive; le mix reste guide par accueil du public, accessibilite et remise a niveau lors de renov. globales.</t>
  </si>
  <si>
    <t>Centres de Documentation et Consultation d’archives autonomes : ventes 2026-2030 en leger glissement vers moyen/premium lorsque le neuf ou les renov. lourdes interviennent. Le centre de gravite reste toutefois module par accueil du public, accessibilite et remise a niveau lors de renov. globales et par la part dominante de travaux sur parc existant.</t>
  </si>
  <si>
    <t>Foires / Salons</t>
  </si>
  <si>
    <t>T</t>
  </si>
  <si>
    <t>Manifestations commerciales ou thématiques.</t>
  </si>
  <si>
    <t>Salon professionnel, foire</t>
  </si>
  <si>
    <t>proxy grands sites accueillant salons et foires. Dynamique projetée 2027-2030: stable. Fiabilité: moyenne.</t>
  </si>
  <si>
    <t>Foires/halls : batteries de sanitaires permanents, hors renforts mobiles d'événement.</t>
  </si>
  <si>
    <t>Capacité type ≈ 2125 usagers principaux + 250 staff + 125 exposants/prestataires. Le programme sanitaire est construit par blocs fonctionnels plausibles (public, personnel, exploitation/hébergement selon le cas) et non par simple ratio national moyen. Calibrage selon capacité simultanée, répartition de flux et organisation réelle du site.</t>
  </si>
  <si>
    <t>Profil très grand, capacité moyenne ≈ 2500 personnes. Moyenne pondérée terrain : parc majoritairement petits/moyens sites, grands sites intégrés sans surpondération ; usage 2025 modérée à forte par pics.</t>
  </si>
  <si>
    <t>Fréquentation irrégulière mais pics très élevés, chocs d'usage et remises en service rapides. Les durées réelles descendent surtout sur mitigeurs et électroniques. Les temporisés mécaniques et les chasses directes mécaniques résistent mieux à ces pics. Le renouvellement se fait souvent par campagnes avant ou après rénovation des halls/blocs. Culture / conférence / exposition : Usage public modéré à fort mais irrégulier, pics événementiels, budgets municipaux/intercommunaux et rénovation par campagnes plutôt que remplacement à la panne.</t>
  </si>
  <si>
    <t>Sur foires, salons et halls, le parc commun est tiré par des usages intensifs : temporisé mécanique encore dominant, mais électronique déjà élevée dans les ensembles récents.</t>
  </si>
  <si>
    <t>Les douches éventuelles restent plutôt temporisées mécaniques, l’électronique apparaissant sur les rénovations haut de gamme.</t>
  </si>
  <si>
    <t>Les grands sites événementiels sont l’un des segments où l’automatique est la plus avancée, sans effacer totalement la base mécanique/directe.</t>
  </si>
  <si>
    <t>La chasse directe domine nettement ce parc ERP à forte fréquentation ; l’électronique progresse mais reste minoritaire dans le stock.</t>
  </si>
  <si>
    <t>80,7% retenu : part des besoins réellement transformée en travaux sur 2026-2030 après prise en compte des budgets, du phasage et des arbitrages locaux.</t>
  </si>
  <si>
    <t>Potentiel neuf faible à moyen : les opérations neuves existent mais restent rares et concentrées sur quelques priorités locales ou grands équipements. Le neuf est réel mais secondaire.</t>
  </si>
  <si>
    <t>Foires / salons : parc vaste mais assez lisible car dominé par des halls et équipements gérés de façon professionnelle, avec priorité à la robustesse, au flux et à l’image d’accueil. Ventes 2026-2030 : montée du moyen/premium plutôt dans les zones visiteurs et VIP, plus limitée dans les zones techniques ; l’écart neuf/rénovation existe mais reste contenu car le fonctionnel et la maintenance pèsent fortement.</t>
  </si>
  <si>
    <t>Expositions temporaires ou permanentes.</t>
  </si>
  <si>
    <t>Hall d’exposition</t>
  </si>
  <si>
    <t>proxy centres d’exposition. Dynamique projetée 2027-2030: stable. Fiabilité: moyenne.</t>
  </si>
  <si>
    <t>Capacité type ≈ 1530 usagers principaux + 180 staff + 90 exposants/prestataires. Le programme sanitaire est construit par blocs fonctionnels plausibles (public, personnel, exploitation/hébergement selon le cas) et non par simple ratio national moyen. Calibrage selon capacité simultanée, répartition de flux et organisation réelle du site.</t>
  </si>
  <si>
    <t>Profil très grand, capacité moyenne ≈ 1800 personnes. Moyenne pondérée terrain : parc majoritairement petits/moyens sites, grands sites intégrés sans surpondération ; usage 2025 modérée à forte par pics.</t>
  </si>
  <si>
    <t>Montages/démontages, stockage, transport et remise en service raccourcissent la durée réelle au-delà du seul usage hydraulique. Les technologies mécaniques simples restent les plus stables. L'électronique souffre davantage des raccordements, de l'humidité et des chocs de manutention. Remplacements souvent par lots pour homogénéiser les parcs. Sites saisonniers / montagne / camping / flottants : Moins de cycles annuels mais conditions climatiques/corrosives, hivernage et remises en service. maintenance concentrée et hétérogène.</t>
  </si>
  <si>
    <t>Halls d’exposition : mix confort piloté par la gestion de flux, la maintenance et l’image d’accueil sur les zones publiques ; le parc reste centré sur moyen/premium, sans bascule massive vers le luxe. Ventes 2026-2030 : progression graduelle du premium dans les rénovations visibles et les extensions, avec un neuf plus qualitatif que la rénovation mais une forte inertie du parc.</t>
  </si>
  <si>
    <t>Chapiteaux / Tentes / Structures</t>
  </si>
  <si>
    <t>CTS</t>
  </si>
  <si>
    <t>Structures temporaires recevant du public.</t>
  </si>
  <si>
    <t>Chapiteau de cirque, tente événementielle</t>
  </si>
  <si>
    <t>Structures exploités comme sites autonomes recevant du public avec sanitaires intégrés. Sont exclus les montages événementiels reposant sur les sanitaires du site hôte déjà compté ailleurs.</t>
  </si>
  <si>
    <t>Projection 2026-2030 en hausse très modérée. Fiabilité: moyenne.</t>
  </si>
  <si>
    <t>https://www.legifrance.gouv.fr/codes/section_lc/JORFTEXT000000290033/LEGISCTA000020303822/</t>
  </si>
  <si>
    <t>Chapiteau/structure temporaire : sanitaires publics permanents ou mobiles raccordés + staff. Douche très ponctuelle artistes/staff selon événement.</t>
  </si>
  <si>
    <t>Capacité type ≈ 440 usagers principaux + 40 staff + 20 autre public. Jauge temporaire déjà renseignée ; usage événementiel avec pics d'entracte et sortie. Dimensionnement unitaire retenu : batteries mobiles ou blocs raccordés dimensionnés à la jauge et au temps de présence. Les douches restent exceptionnelles et souvent mobiles, liées à certains événements, artistes, équipes techniques ou configurations temporaires longues.</t>
  </si>
  <si>
    <t>Installations temporaires, montages/démontages/stockage transport et remise en service raccourcissent la durée réelle au-delà du seul usage hydraulique. Raccordements variables et pics événementiels; renouvellement lié aux campagnes et au stockage plus qu'à l'usage quotidien. Les technologies mécaniques simples restent les plus stables. L'électronique souffre davantage des raccordements, de l'humidité et des chocs de manutention. Moins de cycles annuels mais conditions climatiques/corrosives, hivernage et remises en service. maintenance concentrée et hétérogène.</t>
  </si>
  <si>
    <t>Chapiteaux / Tentes / Structures : parc 2025 domine par tempo mecanique (62%), avec mitigeur manuel en appoint. Le choix reflete frequentation discontinue avec pics evenementiels et maintenance par gestionnaire public/prive ; accueil du public, accessibilite et remise a niveau lors de renov. globales.</t>
  </si>
  <si>
    <t>Chapiteaux/CTS : douches rares, souvent mobiles ou simples ; mitigeurs dominants, temporisation plus limitée.</t>
  </si>
  <si>
    <t>Évolution faible : un peu plus de temporisé/électronique en prestation événementielle récente, mais présence globale marginale.</t>
  </si>
  <si>
    <t>Chapiteaux / Tentes / Structures : parc 2025 domine par directe mecanique (55%), avec directe electronique collective en appoint. Le choix reflete frequentation discontinue avec pics evenementiels et maintenance par gestionnaire public/prive ; accueil du public, accessibilite et remise a niveau lors de renov. globales.</t>
  </si>
  <si>
    <t>Chapiteaux / Tentes / Structures : parc 2025 domine par reservoir (45%), avec chasse directe mecanique en appoint. Le choix reflete frequentation discontinue avec pics evenementiels et maintenance par gestionnaire public/prive ; accueil du public, accessibilite et remise a niveau lors de renov. globales.</t>
  </si>
  <si>
    <t>Potentiel neuf : limite pour chapiteaux / tentes / structures, surtout via extensions, reconstructions ou projets locaux. Le neuf reste contraint par foncier, budgets et delais de mise en service.</t>
  </si>
  <si>
    <t>Parc existant centre sur le niveau mid, avec ventes 2026-2030 legerement plus qualitatives. Chapiteaux / Tentes / Structures : frequentation discontinue avec pics evenementiels et maintenance par gestionnaire public/prive; le mix reste guide par accueil du public, accessibilite et remise a niveau lors de renov. globales.</t>
  </si>
  <si>
    <t>Chapiteaux / Tentes / Structures : ventes 2026-2030 en leger glissement vers moyen/premium lorsque le neuf ou les renov. lourdes interviennent. Le centre de gravite reste toutefois module par accueil du public, accessibilite et remise a niveau lors de renov. globales et par la part dominante de travaux sur parc existant.</t>
  </si>
  <si>
    <t>Structures gonflables</t>
  </si>
  <si>
    <t>SG</t>
  </si>
  <si>
    <t>Installations gonflables ouvertes au public.</t>
  </si>
  <si>
    <t>Parc - château - parc aquatique - centre indoor gonflable autonome avec base d’accueil</t>
  </si>
  <si>
    <t>Chiffrage vise uniquement les sites autonomes ou clairement dotés de leurs propres sanitaires recevant du public (campings, parcs de loisirs, fêtes locales, bases nautiques).</t>
  </si>
  <si>
    <t xml:space="preserve">2026-30 faible hausse =&gt; secteur continue à se développer. Part de sites réellement autonomes avec sanitaires bien plus restreinte que le volume total d’implantations temporaires ou hébergées. </t>
  </si>
  <si>
    <t>https://www.economie.gouv.fr/dgccrf/laction-de-la-dgccrf/les-enquetes-et-les-controles/structures-gonflables-des-controles-renforces-pour-garantir-la-securite-du-public ; https://www.economie.gouv.fr/node/3234953</t>
  </si>
  <si>
    <t>Capacité type ≈ 71 usagers principaux + 6 staff + 3 accompagnants/encadrants. Le programme sanitaire est construit par blocs fonctionnels plausibles (public, personnel, exploitation/hébergement selon le cas) et non par simple ratio national moyen. Calibrage selon capacité simultanée, répartition de flux et organisation réelle du site.</t>
  </si>
  <si>
    <t>Profil moyen, capacité moyenne ≈ 80 personnes. Moyenne pondérée terrain : parc majoritairement petits/moyens sites, grands sites intégrés sans surpondération ; usage 2025 modérée.</t>
  </si>
  <si>
    <t>Usage saisonnier et mobile, sanitaires souvent temporaires/annexes, forte manutention et contrôle limité. Inférieur aux chapiteaux, surtout douches et chasses électro en environnement changeant.. Usage dense, nettoyage agressif, graisse/humidité et arbitrages économiques serrés. Les temporisés mécaniques conservent un léger avantage en robustesse sur les mitigeurs dans les sanitaires partagés. L'électronique reste plus courte en raison de la maintenance plus opportuniste. Renouvellement surtout à la panne, puis par lot lors des refurbishments. Longues amplitudes, nettoyage agressif.</t>
  </si>
  <si>
    <t>Les installations temporaires ou mobiles font davantage appel à des équipements atypiques ou intégrés ('autres'), d’où une part plus élevée hors trio classique mitigeur/temporisé/électronique.</t>
  </si>
  <si>
    <t>Les douches éventuelles restent surtout manuelles ou temporisées simples, l’électronique étant rare sur du provisoire.</t>
  </si>
  <si>
    <t>Quand des urinoirs existent, ils sont souvent collectifs (rampe/batterie) sur les installations événementielles provisoires.</t>
  </si>
  <si>
    <t>Le parc provisoire reste très majoritairement assimilable à du WC à réservoir ou autonome ; la chasse directe demeure secondaire.</t>
  </si>
  <si>
    <t>78,6% retenu : part des besoins réellement transformée en travaux sur 2026-2030 après prise en compte des budgets, du phasage et des arbitrages locaux.</t>
  </si>
  <si>
    <t>Potentiel rénovation élevé : maintenance et renouvellement liés à l’intensité d’usage, à la sécurité et à l’image de l’événementiel. Les lavabos et les WC portent l’essentiel des volumes, avec un poids secondaire des équipements spécialisés. En rénovation, le marché reste orienté vers des gammes fiables, disponibles et rapides à poser afin de limiter l’arrêt d’exploitation.</t>
  </si>
  <si>
    <t>Potentiel neuf moyen : plus réel que dans le culturel public, mais très lié au calendrier des événements, à l’investissement privé et à la fréquentation. Le neuf est réel mais secondaire.</t>
  </si>
  <si>
    <t>Projets phares réno : remise à niveau des blocs sanitaires associés, renouvellement d’équipements mobiles et accessoires d’accueil.</t>
  </si>
  <si>
    <t>Projets phares neuf : nouvelles structures temporaires, équipements événementiels, bases d’accueil sur festivals ou salons.</t>
  </si>
  <si>
    <t>Dynamique réno 2026-2030 : régulière mais morcelée ; la demande suit les saisons et l’état du matériel.</t>
  </si>
  <si>
    <t>Dynamique neuf 2026-2030 : opportuniste, plus sensible au cycle événementiel et au contexte économique qu’aux politiques publiques.</t>
  </si>
  <si>
    <t>Structures gonflables : parc très standardisé, saisonnier et contraint par les budgets d’exploitation, avec priorité à la sécurité, à la simplicité de maintenance et à la mobilité ; le basique reste très dominant. Ventes 2026-2030 : légère montée du moyen dans les gammes neuves, mais la logique de remplacement rapide et le faible poids du neuf maintiennent un mix proche du parc.</t>
  </si>
  <si>
    <t>Parc très fonctionnel, souvent temporaire, isolé ou saisonnier : priorité à la robustesse, à la logistique et au coût total, d’où un mix basique/moyen très dominant.</t>
  </si>
  <si>
    <t>temporaire / accès difficile / saisonnalité ⇒ basique ↑ ; modularité et maintenance simple ⇒ premium ↓ ; neuf marginal ⇒ ventes proches du parc</t>
  </si>
  <si>
    <t>Accueil touristique</t>
  </si>
  <si>
    <t>Offices de tourisme
(Sites principaux autonomes uniquement)</t>
  </si>
  <si>
    <t>W / L</t>
  </si>
  <si>
    <t>Office de tourisme intercommunal, bureau principal de destination</t>
  </si>
  <si>
    <t>Baisse forte liée aux regroupements intercommunaux, à la numérisation de l'information touristique et à la fermeture de certains accueils physiques.</t>
  </si>
  <si>
    <t>ADN Tourisme représente 1 200 structures institutionnelles de tourisme tous niveaux confondus ; la ligne retient un sous-ensemble d'offices/sites principaux autonomes.</t>
  </si>
  <si>
    <t>https://www.adn-tourisme.fr/qui-sommes-nous/missions/ ; https://www.entreprises.gouv.fr/espace-entreprises/s-informer-sur-la-reglementation/les-offices-de-tourisme</t>
  </si>
  <si>
    <t>Office de tourisme : petit bloc visiteurs + sanitaire personnel. Urinoir rare, présent surtout dans quelques sites principaux très fréquentés.</t>
  </si>
  <si>
    <t>Capacité type ≈ 25 visiteurs + 6 staff + 4 autres usagers. Flux de visiteurs court, pics saisonniers absorbés par rotation rapide. Dimensionnement unitaire retenu : 1 sanitaire public/PMR lorsque prévu + 1 sanitaire personnel si local autonome. Hypothèse d'usage : capacité simultanée moyenne 2026, répartition par flux réels, arrondie par blocs fonctionnels et exclusion des sanitaires strictement privatifs sauf cas explicitement collectifs.</t>
  </si>
  <si>
    <t>Profil petit, capacité moyenne ≈ 35 personnes. Moyenne pondérée terrain : parc majoritairement petits/moyens sites, grands sites intégrés sans surpondération ; usage 2025 modérée.</t>
  </si>
  <si>
    <t>Accueil public modéré, pics saisonniers mais usage calme et faible humidité; maintenance communale/intercommunale. Proche guichet public, plus favorable que loisirs extérieurs. Repères durées: lavabos 12/13/9 ans (mit./méca/élec.), douches 11/11/8, urinoirs 10/12/8/10, WC 13/13/9.</t>
  </si>
  <si>
    <t>Offices de tourisme (Sites principaux autonomes uniquement) : parc 2025 domine par tempo mecanique (62%), avec mitigeur manuel en appoint. Le choix reflete usage collectif regulier, contraintes de maintenance et arbitrages budgetaires ; robustesse, hygiene et cout global restent prioritaires.</t>
  </si>
  <si>
    <t>Urinoirs très rares : quand présents, ils relèvent souvent de petits blocs collectifs rénovés ou de sites historiques à forte fréquentation.</t>
  </si>
  <si>
    <t>L’électronique progresse légèrement dans les sites rénovés, le mécanique reste majoritaire.</t>
  </si>
  <si>
    <t>Offices de tourisme (Sites principaux autonomes uniquement) : parc 2025 domine par reservoir (45%), avec chasse directe mecanique en appoint. Le choix reflete usage collectif regulier, contraintes de maintenance et arbitrages budgetaires ; robustesse, hygiene et cout global restent prioritaires.</t>
  </si>
  <si>
    <t>Potentiel neuf : limite pour offices de tourisme (sites principaux autonomes uniquement), surtout via extensions, reconstructions ou projets locaux. Le neuf reste contraint par foncier, budgets et delais de mise en service.</t>
  </si>
  <si>
    <t>Parc existant centre sur le niveau standard, avec ventes 2026-2030 legerement plus qualitatives. Offices de tourisme (Sites principaux autonomes uniquement) : usage collectif regulier, contraintes de maintenance et arbitrages budgetaires; le mix reste guide par robustesse, hygiene et cout global restent prioritaires.</t>
  </si>
  <si>
    <t>Offices de tourisme (Sites principaux autonomes uniquement) : ventes 2026-2030 en leger glissement vers moyen/premium lorsque le neuf ou les renov. lourdes interviennent. Le centre de gravite reste toutefois module par robustesse, hygiene et cout global restent prioritaires et par la part dominante de travaux sur parc existant.</t>
  </si>
  <si>
    <t>Restauration / boissons</t>
  </si>
  <si>
    <t>Restaurants
(Hors établissements altitude, flottant, armée)</t>
  </si>
  <si>
    <t>N</t>
  </si>
  <si>
    <t>Restauration assise ou rapide.</t>
  </si>
  <si>
    <t>Restaurant traditionnel</t>
  </si>
  <si>
    <t>Creux Covid 2020-2021 puis léger reflux, sous l’effet de la pression sur les coûts et du transfert progressif de la croissance vers les formats rapides et les réseaux.</t>
  </si>
  <si>
    <t>proxy SIRUS restauration traditionnelle et rapide. Dynamique projetée 2027-2030: hausse légère. Fiabilité: moyenne.</t>
  </si>
  <si>
    <t>Restaurant : bloc clients + sanitaire personnel/cuisine, sans douche.</t>
  </si>
  <si>
    <t>Capacité type ≈ 80 usagers principaux + 15 staff + 5 autre public. Repas assis avec rotation par service ; clients et équipe présents simultanément. Dimensionnement unitaire retenu : WC clients PMR + sanitaires personnel selon Code du travail, adaptés à la jauge de salle. Hypothèse d'usage : capacité simultanée moyenne 2026, répartition par flux réels, arrondie par blocs fonctionnels et exclusion des sanitaires strictement privatifs sauf cas explicitement collectifs.</t>
  </si>
  <si>
    <t>Profil moyen, capacité moyenne ≈ 100 personnes. Moyenne pondérée terrain : parc majoritairement petits/moyens sites, grands sites intégrés sans surpondération ; usage 2025 modérée à forte par pics.</t>
  </si>
  <si>
    <t>Usage clients/personnel continu aux repas, graisse, produits de nettoyage et contraintes de fermeture courte. Plus court que tertiaire, mécaniques mieux adaptées aux pics. Budgets souvent contraints et maintenance plutôt réactive. Ecarts de durée resserrés : le mécanique garde un petit avantage, l'électronique reste en retrait mais sans décote excessive. Renouvellement intervient au fil des pannes, sinon opérations de remise à niveau sanitaires. Image commerciale importante et vandalisme plus élevé en soirée/nuit.</t>
  </si>
  <si>
    <t>Restaurants (Hors établissements altitude, flottant, armée) : parc 2025 domine par tempo mecanique, avec mitigeur manuel en appoint. Le choix reflete rotation clients/personnel, pics repas et pression sur image de marque ; experience client, debit de nettoyage, economie d eau et cout d exploitation.</t>
  </si>
  <si>
    <t>2025-2030 : progression du tempo electronique dans les renovations de salles et sanitaires clients ; le mecanique reste majoritaire pour robustesse et cout de maintenance.</t>
  </si>
  <si>
    <t>Restaurants (Hors établissements altitude, flottant, armée) : urinoirs surtout en chasse directe mecanique, adaptes aux pics de service et au nettoyage rapide ; l electronique reste ciblee sur etablissements premium ou renov. lourdes.</t>
  </si>
  <si>
    <t>2025-2030 : recul des solutions les plus anciennes au profit de chasses directes, avec electronique en hausse dans les sanitaires clients visibles mais sans devenir majoritaire.</t>
  </si>
  <si>
    <t>Restaurants (Hors établissements altitude, flottant, armée) : WC majoritairement a reservoir, avec chasse directe dans les blocs clients recents. Le niveau technique depend du standing et de la frequence de nettoyage.</t>
  </si>
  <si>
    <t>2025-2030 : hausse graduelle de la chasse directe, surtout en renovation de sanitaires clients ; le reservoir reste important dans les petits etablissements et les remplacements partiels.</t>
  </si>
  <si>
    <t>81,2% retenu : besoins transformes en travaux selon rotation clients/personnel, pics repas et pression sur image de marque. Les fermetures courtes, arbitrages de tresorerie et travaux par lots limitent la conversion totale.</t>
  </si>
  <si>
    <t>Potentiel renovation : tire par experience client, debit de nettoyage, economie d eau et cout d exploitation. Les travaux portent surtout sur blocs clients et personnel, souvent lors de reprises de salle, cuisine ou accessibilite.</t>
  </si>
  <si>
    <t>Potentiel neuf : modere, lie aux creations/remplacements d etablissements et aux food courts ; il reste sensible a la conjoncture restauration et aux couts immobiliers.</t>
  </si>
  <si>
    <t>Projets phares renovation : sanitaires clients, accessibilite, economie d eau, robinetterie temporisee, remise a niveau des WC et zones personnel.</t>
  </si>
  <si>
    <t>Projets phares neuf : restaurants de chaine, food courts, extensions commerciales et concepts avec sanitaires clients plus visibles et faciles a maintenir.</t>
  </si>
  <si>
    <t>Dynamique renovation 2026-2030 : soutenue par la rotation du parc et l image client. Menaces : marges d exploitation, fermetures temporaires et arbitrages de tresorerie.</t>
  </si>
  <si>
    <t>Dynamique neuf 2026-2030 : selective, plus forte dans les zones commerciales et franchises que dans la restauration independante mature.</t>
  </si>
  <si>
    <t>Parc existant plutot moyen/upscale selon standing. Restaurants (Hors établissements altitude, flottant, armée) : rotation clients/personnel, pics repas et pression sur image de marque; les ventes se decalent vers moyen/premium quand les sanitaires clients sont visibles, tout en restant pilotees par experience client, debit de nettoyage, economie d eau et cout d exploitation.</t>
  </si>
  <si>
    <t>Parc existant : experience client, debit de nettoyage, economie d eau et cout d exploitation; rotation clients/personnel, pics repas et pression sur image de marque. La montee en confort reste proportionnee au standing et a la frequence de renovation.</t>
  </si>
  <si>
    <t>image client =&gt; premiumisation ciblee ; forte frequentation =&gt; standard robuste ; renovation dominante =&gt; progression graduelle</t>
  </si>
  <si>
    <t>Restaurants (Hors établissements altitude, flottant, armée) : ventes 2026-2030 en glissement vers moyen/premium dans les sanitaires clients visibles, mais le centre de gravite reste module par le cout d exploitation et les travaux sur parc existant.</t>
  </si>
  <si>
    <t>Débits de boissons et restauration.</t>
  </si>
  <si>
    <t>Bar, café, brasserie</t>
  </si>
  <si>
    <t>Tendance baissière de fond, avec un décrochage historique long du nombre de débits de boissons, perturbé par le Covid puis par une stabilisation temporaire post-réouverture.</t>
  </si>
  <si>
    <t>proxy SIRUS débits de boissons. Le segment 5630Z reste structurellement orienté à la baisse sur longue période. La projection 2026-2030 prolonge une érosion lente plutôt qu’un effondrement rapide.</t>
  </si>
  <si>
    <t>https://www.insee.fr/fr/statistiques/2011101?geo=FRANCE-1 ; https://www.insee.fr/fr/statistiques/8602650</t>
  </si>
  <si>
    <t>Débit de boisson : bloc client + sanitaire personnel.</t>
  </si>
  <si>
    <t>Capacité type ≈ 73 usagers principaux + 14 staff + 3 livreurs/prestataires. Le programme sanitaire est construit par blocs fonctionnels plausibles (public, personnel, exploitation/hébergement selon le cas) et non par simple ratio national moyen. Calibrage selon capacité simultanée, répartition de flux et organisation réelle du site.</t>
  </si>
  <si>
    <t>Profil moyen, capacité moyenne ≈ 90 personnes. Moyenne pondérée terrain : parc majoritairement petits/moyens sites, grands sites intégrés sans surpondération ; usage 2025 modérée à forte par pics.</t>
  </si>
  <si>
    <t>Usage dense, nettoyage agressif, graisse/humidité et arbitrages économiques serrés. Les temporisés mécaniques conservent un léger avantage en robustesse sur les mitigeurs dans les sanitaires partagés. L'électronique reste plus courte en raison de l'environnement humide et de la maintenance plus opportuniste. Renouvellement surtout à la panne, puis par lot lors des refurbishments. Restauration / bars / nightlife / loisirs indoor : Longues amplitudes, forte humidité, nettoyage agressif, image commerciale importante et vandalisme plus élevé en soirée/nuit.</t>
  </si>
  <si>
    <t>Dans les cafés, bars, brasseries et restaurants, le mitigeur reste majoritaire dans le parc existant, avec une montée du temporisé ou de l’électronique surtout dans les rénovations et chaînes. Ajustement ciblé 2025 : légère baisse du mitigeur et/ou légère hausse de l’électronique pour mieux refléter la modernisation déjà visible sur les rénovations de sanitaires communs.</t>
  </si>
  <si>
    <t>En restauration, le mitigeur reste important mais recule dans les sanitaires clients rénovés au profit de l’électronique ; la trajectoire est plus rapide dans les chaînes que dans l’indépendant.</t>
  </si>
  <si>
    <t>Le parc d’urinoirs reste surtout classique, avec un partage entre réservoir/concealed tank, mécanique directe et un peu d’automatique.</t>
  </si>
  <si>
    <t>Quand ils existent, les urinoirs glissent lentement du réservoir/mécanique vers plus d’automatique, surtout dans les établissements rénovés.</t>
  </si>
  <si>
    <t>Les WC à réservoir restent dominants dans ce parc de petite et moyenne taille ; la chasse directe progresse mais reste minoritaire.</t>
  </si>
  <si>
    <t>Le direct et l’électronique gagnent du terrain dans les sanitaires clients rénovés, mais le réservoir reste significatif dans l’indépendant et les petits sites.</t>
  </si>
  <si>
    <t>Potentiel rénovation très élevé : usure d’exploitation, hygiène, changement de concept et transmission/reprise d’établissements alimentent le remplacement. Les lavabos et les WC portent l’essentiel des volumes, avec un poids secondaire des équipements spécialisés. En rénovation, le marché reste orienté vers des gammes fiables, disponibles et rapides à poser afin de limiter l’arrêt d’exploitation.</t>
  </si>
  <si>
    <t>Potentiel neuf faible : diffusion plus fragmentée que le fast-food, avec ouvertures et reprises surtout dans les zones de flux. Le neuf est quasi nul dans le modèle et renvoie surtout à des reconstructions ou remplacements de sites.</t>
  </si>
  <si>
    <t>Projets phares réno : refits de sanitaires clients/personnel, réagencements, montées en gamme ou mise aux normes.</t>
  </si>
  <si>
    <t>Projets phares neuf : nouveaux restaurants, bars, concepts hybrides, implantations dans programmes tertiaires/commerciaux ou touristiques.</t>
  </si>
  <si>
    <t>Dynamique réno 2026-2030 : plus solide que le neuf, car le refresh commercial est souvent préféré à une création ex nihilo.</t>
  </si>
  <si>
    <t>Dynamique neuf 2026-2030 : moyenne et très dépendante de la confiance des exploitants, des emplacements et de la fréquentation.</t>
  </si>
  <si>
    <t>Cafés / bars / brasseries : parc très diffus mais bien ancré dans le CHR de proximité, avec arbitrage constant entre image, coût et robustesse. Le niveau moyen domine, le premium restant ciblé sur les établissements d’image et les centres-villes touristiques. Ventes 2026-2030 : progression du premium+luxe sur lavabo (+8,0 pts), urinoir (+6,4 pts) et WC (+8,0 pts), tirée par rebranding, mises aux normes et rénovations décoratives. Le neuf est plus qualitatif que la rénovation, mais la rénovation reste majoritaire.</t>
  </si>
  <si>
    <t>CHR diffus : image commerciale importante côté clients, mais arbitrages serrés sur le coût et la maintenance ; le niveau moyen domine.</t>
  </si>
  <si>
    <t>Restauration rapide.
Petit fast-food / restauration rapide indépendante, Chaîne fast-food standard, Cafétéria / self / restauration collective ouverte au public, Food court mutualisé</t>
  </si>
  <si>
    <t>Petit fast-food / restauration rapide indépendante, Chaîne fast-food standard, Cafétéria / self / restauration collective ouverte au public, Food court mutualisé</t>
  </si>
  <si>
    <t>Malgré le creux Covid, sous-segment profite de dynamique + favorable que restaurat° traditionnelle, avec diffusion des enseignes, drive, livraison et formats compacts.</t>
  </si>
  <si>
    <t>proxy SIRUS restauration rapide. Hausse structurelle forte, malgré le creux Covid. Dynamique projetée 2027-2030: hausse modérée. Fiabilité: moyenne.</t>
  </si>
  <si>
    <t>https://www.insee.fr/fr/metadonnees/source/fichier/BPE_evol_1924_liste_a_plat_TYPEQU.html
https://www.insee.fr/fr/statistiques/2011101?geo=FRANCE-1 ; https://www.insee.fr/fr/statistiques/8602650</t>
  </si>
  <si>
    <t>Restauration rapide : bloc clients à fort turnover + staff.</t>
  </si>
  <si>
    <t>Capacité type ≈ 101 usagers principaux + 17 staff + 2 livreurs/prestataires. Le programme sanitaire est construit par blocs fonctionnels plausibles (public, personnel, exploitation/hébergement selon le cas) et non par simple ratio national moyen. Calibrage selon capacité simultanée, répartition de flux et organisation réelle du site.</t>
  </si>
  <si>
    <t>Profil moyen, capacité moyenne ≈ 120 personnes. Moyenne pondérée terrain : parc majoritairement petits/moyens sites, grands sites intégrés sans surpondération ; usage 2025 modérée à forte par pics.</t>
  </si>
  <si>
    <t>Très forte rotation, familles/jeunes, nettoyage répété et petits chocs; arbitrage économique favorise remplacement correctif. Proche bars, avec intensité journalière plus forte sur WC/lavabos. Nettoyage agressif et arbitrages économiques serrés. Renouvellement surtout à la panne. Restauration / bars / nightlife / loisirs indoor : Longues amplitudes, image commerciale importante et vandalisme plus élevé en soirée/nuit.</t>
  </si>
  <si>
    <t>Dans les fast-foods et food courts, le parc commun se modernise plus vite : temporisé et électronique sont plus présents que dans la restauration traditionnelle. Ajustement ciblé 2025 : légère baisse du mitigeur et/ou légère hausse de l’électronique pour mieux refléter la modernisation déjà visible sur les rénovations de sanitaires communs.</t>
  </si>
  <si>
    <t>Les sites commerciaux/loisirs intensifs montent plus franchement en électronique d’ici 2030, avec maintien d’un socle temporisé mécanique pour la robustesse et la simplicité.</t>
  </si>
  <si>
    <t>L’automatique est nettement plus fréquent que dans les bars/restaurants, sans être encore totalement majoritaire sur le stock.</t>
  </si>
  <si>
    <t>Les sites commerciaux et de loisirs font davantage progresser l’automatique d’ici 2030, tout en gardant une part mécanique.</t>
  </si>
  <si>
    <t>Le parc WC est plus orienté chasse directe que la restauration traditionnelle, mais conserve encore beaucoup de réservoirs.</t>
  </si>
  <si>
    <t>Les sites commerciaux/loisirs intensifs font monter plus vite la chasse directe et l’électronique ; le réservoir recule nettement mais ne disparaît pas.</t>
  </si>
  <si>
    <t>Potentiel rénovation très élevé : refits fréquents, hygiène, forte rotation clientèle et image d’enseigne soutiennent les remplacements. Les volumes restent d’abord tirés par les WC et les lavabos, plus que par les postes spécialisés. En rénovation, le marché reste orienté vers des gammes fiables, disponibles et rapides à poser afin de limiter l’arrêt d’exploitation.</t>
  </si>
  <si>
    <t>Potentiel neuf élevé : l’un des sous-segments privés les plus dynamiques via franchises, retail parks, gares, aéroports et food courts. Le neuf est significatif mais encore nettement inférieur à la rénovation.</t>
  </si>
  <si>
    <t>Projets phares réno : sanitaires clients/personnel, remises à niveau lors de changement de concept, modernisation rapide en site exploité.</t>
  </si>
  <si>
    <t>Projets phares neuf : ouvertures de restaurants rapides, food courts, corners en zones commerciales et hubs de transport.</t>
  </si>
  <si>
    <t>Dynamique réno 2026-2030 : très régulière car les cycles d’enseigne sont courts et les travaux légers rapidement arbitrables.</t>
  </si>
  <si>
    <t>Dynamique neuf 2026-2030 : soutenue mais sensible à la consommation, aux loyers commerciaux et au coût du financement.</t>
  </si>
  <si>
    <t>Parc existant surtout standard. Les ventes restent proches du parc, centré sur standard, tiré par l’image de marque et l’expérience usager. Le neuf est un peu plus qualitatif que la rénovation, sans renverser le centre de gravité du mix. Fast-food et cafétérias : priorité à la robustesse, à la rapidité de maintenance et à l’uniformisation réseau ; amélioration surtout vers le standard.</t>
  </si>
  <si>
    <t>Fast-food et cafétérias : priorité à la robustesse, à la rapidité de maintenance et à l’uniformisation réseau ; amélioration surtout vers le standard.</t>
  </si>
  <si>
    <t>forte fréquentation ⇒ standard ↑, premium/luxe ↓ ; image + privé ⇒ premium/luxe ↑ ; poids du neuf significatif ⇒ premiumisation des ventes &gt; parc</t>
  </si>
  <si>
    <t>Fast-food / cafétérias / food courts : réseaux standardisés où l’efficacité de maintenance prime. Ventes 2026-2030 : glissement vers davantage de moyen / premium, surtout sur lavabo (+6,5 pts sur premium+luxe), WC (+3,5 pts sur premium+luxe). La rénovation reste majoritaire (71% des ventes, contre 29% en neuf) ; le neuf tire le mix vers le haut sans renverser le centre de gravité. L’écart de niveau de confort entre neuf et rénovation est net.</t>
  </si>
  <si>
    <t>EF</t>
  </si>
  <si>
    <t>Établissements flottants recevant du public.</t>
  </si>
  <si>
    <t>Bateau-restaurant, salle flottante</t>
  </si>
  <si>
    <t>proxy bateaux-restaurants et salles flottantes. Dynamique projetée 2027-2030: stable. Fiabilité: moyenne.</t>
  </si>
  <si>
    <t>Bateau-restaurant / salle flottante : sanitaires communs passagers + équipage.</t>
  </si>
  <si>
    <t>Capacité type ≈ 98 usagers principaux + 12 staff + 10 visiteurs techniques/prestataires. Le programme sanitaire est construit par blocs fonctionnels plausibles (public, personnel, exploitation/hébergement selon le cas) et non par simple ratio national moyen. Calibrage selon capacité simultanée, répartition de flux et organisation réelle du site.</t>
  </si>
  <si>
    <t>Profil moyen, capacité moyenne ≈ 120 personnes. Moyenne pondérée terrain : parc majoritairement petits/moyens sites, grands sites intégrés sans surpondération ; usage 2025 modérée.</t>
  </si>
  <si>
    <t>Humidité, vibrations, accès maintenance contraint et corrosion; saisonnalité touristique possible. Plus court qu'un restaurant terrestre, notamment électronique. Usage de transit, humidité variable et maintenance plutôt réactive. Valeurs sont proches des ERP de passage : mécaniques simples devant, électronique en retrait modéré. Rénovation souvent couplée aux remises en état de sûreté, ventilation ou éclairage du parc.Très forte fréquentation, disponibilité immédiate requise, vandalisme et coûts d’exploitation élevés. La temporisation mécanique et la chasse directe sont favorisées.</t>
  </si>
  <si>
    <t>Les établissements flottants conservent une base importante de mitigeurs, avec davantage d’équipements spécifiques ou compacts classés en 'autres'.</t>
  </si>
  <si>
    <t>Transport et stationnement voient une montée plus rapide de l’électronique 2025-2030 pour l’hygiène, l’image et l’exploitation ; le temporisé reste présent mais recule un peu dans les sites modernisés.</t>
  </si>
  <si>
    <t>Quand des douches existent, elles suivent une trajectoire de rénovation lente ; le mix reste surtout mécanique.</t>
  </si>
  <si>
    <t>Le parc d’urinoirs reste très hétérogène entre classique, automatique et quelques collectifs.</t>
  </si>
  <si>
    <t>Dans transport/stationnement, l’automatique progresse rapidement sur les sites rénovés ou premium, avec recul net des réservoirs.</t>
  </si>
  <si>
    <t>Le réservoir reste majoritaire sur le parc existant, la chasse directe restant secondaire.</t>
  </si>
  <si>
    <t>Transport et stationnement accélèrent la montée du direct puis de l’électronique sur les sites modernisés ; le réservoir recule franchement.</t>
  </si>
  <si>
    <t>84,0% retenu : intensité d’usage et vétusté soutiennent la réno, mais les budgets locaux et la saisonnalité retardent une partie des programmes.</t>
  </si>
  <si>
    <t>Potentiel rénovation moyen à soutenu : contraintes d’exploitation, humidité et cycles techniques imposent des remplacements réguliers. Les volumes restent d’abord tirés par les WC et les lavabos, plus que par les postes spécialisés. En rénovation, les maîtres d’ouvrage privilégient des références robustes, vite posées et faciles à maintenir dans des ambiances humides.</t>
  </si>
  <si>
    <t>Potentiel neuf moyen : dépendant d’opérateurs privés et de projets spécifiques ; le neuf est significatif mais encore nettement inférieur à la rénovation.</t>
  </si>
  <si>
    <t>Projets phares réno : sanitaires passagers/personnel, douches et remises à niveau d’unités flottantes recevant du public.</t>
  </si>
  <si>
    <t>Projets phares neuf : bateaux/hubs flottants, péniches événementielles ou de restauration, renouvellement de flotte.</t>
  </si>
  <si>
    <t>Dynamique réno 2026-2030 : régulière, tirée par l’entretien technique et l’exploitation.</t>
  </si>
  <si>
    <t>Dynamique neuf 2026-2030 : opportuniste, plus sensible au tourisme et à l’investissement privé qu’aux programmes publics.</t>
  </si>
  <si>
    <t>Établissements flottants : contraintes maritimes/fluviales, entretien et image touristique se combinent ; le parc penche vers moyen avec un premium ciblé sur les unités d’image. Ventes 2026-2030 : progression du premium+luxe surtout sur lavabo (+13,5 pts) et WC (+11,0 pts), tirée par rénovation d’accueil et montée en qualité sur les unités touristiques ; le neuf est plus haut de gamme que la rénovation, mais de faible volume.</t>
  </si>
  <si>
    <t>Unités flottantes soumises aux contraintes d’entretien et à l’image client : mix centré sur moyen, avec premium ciblé.</t>
  </si>
  <si>
    <t>Centres commerciaux / Malls
(dotés de sanitaires collectifs clients)</t>
  </si>
  <si>
    <t>Centres commerciaux et grands magasins.</t>
  </si>
  <si>
    <t>Centre commercial, mall, galerie marchande gérée comme entité, retail park couvert avec sanitaires communs</t>
  </si>
  <si>
    <t>Le stock national évolue peu ; la série est volontairement prudente et cohérente avec un parc mature.</t>
  </si>
  <si>
    <t>Ancrage sur le parc CNCC/FACT de l'ordre de 835 centres commerciaux, puis filtre sanitaire clients très élevé. Fiabilité: bonne.</t>
  </si>
  <si>
    <t>https://www.lesacteursducommerce.com/wp-content/uploads/2022/08/29012021_CP_Le-CNCC-prend-acte-regrette-lannonce-pour-le-moins-surprenante-du-PM.pdf ; https://www.fcd.fr/le-secteur/ ; https://www.insee.fr/fr/statistiques/8610258?geo=FE-1
https://www.insee.fr/fr/metadonnees/source/serie/s1161</t>
  </si>
  <si>
    <t>Centre commercial : batteries clients par mail/étage + sanitaires personnel/commerçants.</t>
  </si>
  <si>
    <t>Capacité type ≈ 2870 usagers principaux + 450 staff + 180 autre public. Flux élevé mais réparti par zones, restauration et événements créant des pointes. Dimensionnement unitaire retenu : batteries multi-cabines aux pôles de flux et blocs staff/locataires, PMR par niveau. Hypothèse d'usage : capacité simultanée moyenne 2026, répartition par flux réels, arrondie par blocs fonctionnels et exclusion des sanitaires strictement privatifs sauf cas explicitement collectifs.</t>
  </si>
  <si>
    <t>Profil très grand, capacité moyenne ≈ 3500 personnes. Moyenne pondérée terrain : parc majoritairement petits/moyens sites, grands sites intégrés sans surpondération ; usage 2025 modérée à forte par pics.</t>
  </si>
  <si>
    <t>Trafic client élevé, usage anonyme, nettoyage multi-passage et pics week-end; maintenance professionnelle mais sollicitations fortes. Entre aéroport et hypermarché, électronique prudent. Pics fréquentation, peu d'appropriation des lieux et vandalisme non nul. Disponibilité immédiate requise, vandalisme et coûts d’exploitation élevés. La temporisation mécanique et la chasse directe sont favorisées.</t>
  </si>
  <si>
    <t>81,2% retenu : besoins transformes en travaux selon rotation clients/personnel, pics repas ou achats et pression sur image de marque. Le phasage budgetaire, les fermetures partielles et la maintenance courante limitent la conversion totale.</t>
  </si>
  <si>
    <t>Potentiel renovation : tire par experience client, debit de nettoyage, economie d eau et cout d exploitation. Les remplacements sont plutot par lots, avec arbitrage entre urgence sanitaire, budget et capacite a intervenir en site occupe.</t>
  </si>
  <si>
    <t>Potentiel neuf : plus visible pour centres commerciaux / malls (dotés de sanitaires collectifs clients), surtout via extensions, reconstructions ou projets locaux. Le neuf reste contraint par foncier, budgets et delais de mise en service.</t>
  </si>
  <si>
    <t>Parc existant centre sur le niveau upscale, avec ventes 2026-2030 legerement plus qualitatives. Centres commerciaux / Malls (dotés de sanitaires collectifs clients) : rotation clients/personnel, pics repas ou achats et pression sur image de marque; le mix reste guide par experience client, debit de nettoyage, economie d eau et cout d exploitation.</t>
  </si>
  <si>
    <t>Parc existant : experience client, debit de nettoyage, economie d eau et cout d exploitation; rotation clients/personnel, pics repas ou achats et pression sur image de marque. La montee en confort reste proportionnee au budget et au rythme de renovation.</t>
  </si>
  <si>
    <t>Centres commerciaux / Malls (dotés de sanitaires collectifs clients) : ventes 2026-2030 en leger glissement vers moyen/premium lorsque le neuf ou les renov. lourdes interviennent. Le centre de gravite reste toutefois module par experience client, debit de nettoyage, economie d eau et cout d exploitation et par la part dominante de travaux sur parc existant.</t>
  </si>
  <si>
    <t>Hyper-Supermarchés 
(dotés de sanitaires collectifs clients)</t>
  </si>
  <si>
    <t>Hypermarché autonome, supermarché autonome, SDMP/discount autonome avec WC clients propres. Hors magasin intégré à centre/mall</t>
  </si>
  <si>
    <t>L’Insee recense 14 871 grandes surfaces en 2024 , mais toilettes clients pas systématiques. Série construite comme sous-ensemble de supermarchés de grand format, avec légère progression de la part équipée.</t>
  </si>
  <si>
    <t>Parc mature, pression drive/e-commerce, volumes en recul et rationalisation des grands formats. Projection 2026-2030 : -1,6 %/an environ. Montée modérée des services clients dans les grands supermarchés. Sanitaires du personnel exclus</t>
  </si>
  <si>
    <t>https://www.fcd.fr/le-secteur/
https://www.insee.fr/fr/statistiques/4473482 ; https://www.insee.fr/fr/statistiques/2015133 ; https://www.lemonde.fr/economie/article/2025/01/15/la-consommation-n-a-pas-redemarre-dans-les-supermarches-en-2024-en-2024-tous-les-moteurs-sont-casses_6498977_3234.html
https://code.travail.gouv.fr/code-du-travail/r4228-1
https://code.travail.gouv.fr/code-du-travail/r4228-10</t>
  </si>
  <si>
    <t>Hypermarché/supermarché : bloc clients + sanitaires personnel/réserve. Douches selon postes salissants, horaires postés et maintenance.</t>
  </si>
  <si>
    <t>Capacité type ≈ 330 usagers principaux + 55 staff + 15 autre public. Clients en rotation rapide, personnel de vente/réserve et prestataires. Dimensionnement unitaire retenu : petite batterie clients près accueil + sanitaires salariés séparés ; peu de douches (manutention, froid, maintenance, poussières ou horaires postés). Hypothèse d'usage : capacité simultanée moyenne 2026, répartition par flux réels, arrondie par blocs fonctionnels.</t>
  </si>
  <si>
    <t>Profil grand, capacité moyenne ≈ 400 personnes. Moyenne pondérée terrain : parc majoritairement petits/moyens sites, grands sites intégrés sans surpondération ; usage 2025 modérée à forte par pics.</t>
  </si>
  <si>
    <t>Flux clients important mais blocs plus petits que malls, pics courses et usage familles; maintenance sous contrainte d'exploitation. Proche centres commerciaux mais légèrement moins continu. Repères durées: lavabos 11/12/8 ans (mit./méca/élec.), douches 10/9/7, urinoirs 9/11/7/9, WC 12/12/8.</t>
  </si>
  <si>
    <t>Hyper-Supermarchés (dotés de sanitaires collectifs clients) : parc 2025 domine par tempo mecanique (55%), avec mitigeur manuel en appoint. Le choix reflete rotation clients/personnel, pics repas ou achats et pression sur image de marque ; experience client, debit de nettoyage, economie d eau et cout d exploitation.</t>
  </si>
  <si>
    <t>Hyper/supermarchés : douches salariés minoritaires, mix proche tertiaire/logistique avec mitigeur dominant et temporisé mécanique en appoint.</t>
  </si>
  <si>
    <t>Évolution 2025-2030 : léger recul du mitigeur au profit du temporisé et de l’électronique dans les rénovations de locaux sociaux.</t>
  </si>
  <si>
    <t>Hyper-Supermarchés (dotés de sanitaires collectifs clients) : parc 2025 domine par directe mecanique (55%), avec directe electronique collective en appoint. Le choix reflete rotation clients/personnel, pics repas ou achats et pression sur image de marque ; experience client, debit de nettoyage, economie d eau et cout d exploitation.</t>
  </si>
  <si>
    <t>Hyper-Supermarchés (dotés de sanitaires collectifs clients) : parc 2025 domine par reservoir (50%), avec chasse directe mecanique en appoint. Le choix reflete rotation clients/personnel, pics repas ou achats et pression sur image de marque ; experience client, debit de nettoyage, economie d eau et cout d exploitation.</t>
  </si>
  <si>
    <t>Potentiel neuf : plus visible pour hyper-supermarchés (dotés de sanitaires collectifs clients), surtout via extensions, reconstructions ou projets locaux. Le neuf reste contraint par foncier, budgets et delais de mise en service.</t>
  </si>
  <si>
    <t>Parc existant centre sur le niveau upscale, avec ventes 2026-2030 legerement plus qualitatives. Hyper-Supermarchés (dotés de sanitaires collectifs clients) : rotation clients/personnel, pics repas ou achats et pression sur image de marque; le mix reste guide par experience client, debit de nettoyage, economie d eau et cout d exploitation.</t>
  </si>
  <si>
    <t>Hyper-Supermarchés (dotés de sanitaires collectifs clients) : ventes 2026-2030 en leger glissement vers moyen/premium lorsque le neuf ou les renov. lourdes interviennent. Le centre de gravite reste toutefois module par experience client, debit de nettoyage, economie d eau et cout d exploitation et par la part dominante de travaux sur parc existant.</t>
  </si>
  <si>
    <t>Vente au détail sous halle / couvert.</t>
  </si>
  <si>
    <t>Marché couvert</t>
  </si>
  <si>
    <t>proxy équipements commerciaux communaux. Dynamique projetée 2027-2030: stable. Fiabilité: moyenne.</t>
  </si>
  <si>
    <t>Marché couvert : bloc public central + commerçants.</t>
  </si>
  <si>
    <t>Capacité type ≈ 312 usagers principaux + 60 staff + 28 prestataires/livreurs. Le programme sanitaire est construit par blocs fonctionnels plausibles (public, personnel, exploitation/hébergement selon le cas) et non par simple ratio national moyen. Calibrage selon capacité simultanée, répartition de flux et organisation réelle du site.</t>
  </si>
  <si>
    <t>Ouverture par plages, salissures alimentaires, humidité de nettoyage et maintenance parfois municipale. Plus court que commerce classique, surtout réservoirs, lavabos et électroniques. Usage quotidien mais mieux maîtrisé, faible vandalisme et maintenance planifiée. Cela allonge toutes les durées et réduit les écarts. Le temporisé mécanique n'est plus vraiment derrière le mitigeur et l'électronique est soutenue lorsque l'alimentation et la maintenance sont stabilisées. Faible vandalisme, rénovations par lots.</t>
  </si>
  <si>
    <t>Potentiel rénovation élevé : modernisation des parties communes, sanitaires visiteurs, repositionnement d’actifs et amélioration ESG. Les volumes restent d’abord tirés par les WC et les lavabos, plus que par les postes spécialisés. En rénovation, le marché reste orienté vers des gammes fiables, disponibles et rapides à poser afin de limiter l’arrêt d’exploitation.</t>
  </si>
  <si>
    <t>Potentiel neuf moyen : peu de grands centres neufs, davantage d’extensions/requalifications et de retail parks. Le neuf est significatif mais encore nettement inférieur à la rénovation.</t>
  </si>
  <si>
    <t>Projets phares réno : sanitaires visiteurs, parties communes, food court, repositionnement de centres et marchés couverts.</t>
  </si>
  <si>
    <t>Projets phares neuf : retail parks, extensions ciblées, marchés couverts reconstruits, programmes mixtes commerce/loisirs.</t>
  </si>
  <si>
    <t>Dynamique réno 2026-2030 : élevée, car la valeur des actifs se joue surtout dans la remise à niveau et la fréquentation.</t>
  </si>
  <si>
    <t>Dynamique neuf 2026-2030 : modérée ; la création pure est limitée, le marché privilégiant la requalification. Les programmes sortent plus facilement quand ils sont intégrés à une requalification urbaine plus large.</t>
  </si>
  <si>
    <t>Marchés couverts : parc majoritairement public, souvent ancien, avec priorité au robuste, au simple et au nettoyable ; basique et moyen dominent clairement. Ventes 2026-2030 : progression surtout du moyen et un peu du premium sur les zones rénovées, liée aux programmes de requalification commerciale et touristique, mais sans rupture du centre de gravité.</t>
  </si>
  <si>
    <t>Marchés couverts : équipements utilitaires, budgets locaux et rénovations surtout portées par remise à niveau technique plutôt que par recherche de standing.</t>
  </si>
  <si>
    <t>Bureaux</t>
  </si>
  <si>
    <t>Bureaux Tertiaire Privé (&gt;50 salariés)
(hors usines et logistique )</t>
  </si>
  <si>
    <t>W ou hors ERP</t>
  </si>
  <si>
    <t>Hors ERP dominant / ERP ponctuel selon accueil</t>
  </si>
  <si>
    <t>On compte uniquement les bureaux autonomes recevant des salariés sur site, avec sanitaires dédiés ou mutualisés sur place. Ne compter que les bureaux tertiaires privés classiques et ceux intégrés à des sites logistiques (hors usines), de plus de 50 personnes.</t>
  </si>
  <si>
    <t>Immeuble tertiaire privé, siège social, centre de services, bureau de site logistique</t>
  </si>
  <si>
    <t>proxy emploi / établissements 50+</t>
  </si>
  <si>
    <t>Petit rebond 2021-2024 lié à la reprise de l’emploi et à la logistique/tertiaire encore dynamiques ; puis plateau et érosion légère à partir de 2026 avec la rationalisat° immobilière, sans crash du parc.</t>
  </si>
  <si>
    <t>Insee Flores 2024 établissements de 50 salariés ou plus ; proxy marché bureaux tertiaires privés.</t>
  </si>
  <si>
    <t>https://www.insee.fr/fr/statistiques/8266010
https://www.insee.fr/fr/statistiques/2012766
https://www.insee.fr/fr/statistiques/2496914</t>
  </si>
  <si>
    <t>Bureaux privés &gt;50 salariés : sanitaires salariés par noyaux d'étage, hors public.</t>
  </si>
  <si>
    <t>Capacité type ≈ 225 usagers principaux + 25 staff + 0 autre public. Occupation tertiaire stable sur journée, visiteurs faibles/non structurants. Dimensionnement unitaire retenu : cabinets et lavabos séparés selon effectif maximal simultané, pas de douche sauf usages spécifiques. Hypothèse d'usage : capacité simultanée moyenne 2026, répartition par flux réels, arrondie par blocs fonctionnels et exclusion des sanitaires strictement privatifs sauf cas explicitement collectifs.</t>
  </si>
  <si>
    <t>Profil grand, capacité moyenne ≈ 250 personnes. Moyenne pondérée terrain : parc majoritairement petits/moyens sites, grands sites intégrés sans surpondération ; usage 2025 modérée, majoritairement courte.</t>
  </si>
  <si>
    <t>Usage salarié prévisible, faible vandalisme, entretien régulier et rénovation par bail/aménagement; peu d'humidité. Durées longues, supérieures aux ERP publics ouverts. Qualité d’eau parfois défavorable, maintenance surtout corrective avec arbitrage budgétaire selon entreprise.</t>
  </si>
  <si>
    <t>Dans les bureaux, le mitigeur reste encore très présent dans le parc existant, mais l’électronique a gagné du terrain dans les rénovations tertiaires ; le temporisé mécanique est plus minoritaire que dans l’enseignement ou le sport. Ajustement ciblé 2025 : légère baisse du mitigeur et/ou légère hausse de l’électronique pour mieux refléter la modernisation déjà visible sur les rénovations de sanitaires communs.</t>
  </si>
  <si>
    <t>Bureaux Tertiaire Privé (&gt;50 salariés) (hors usines et logistique ) : parc 2025 domine par mitigeur (50%), avec tempo mecanique en appoint. Le choix reflete usage salarie de jour, maintenance planifiee et contraintes Code du travail ; sanitaires salaries, cout global, robustesse et sobriete eau.</t>
  </si>
  <si>
    <t>2025-2030 : progression de tempo electronique (+3,0%), surtout lors des renov. lourdes/neuf ; recul de mitigeur (-6,0%) mais maintien d un socle robuste pour les remplacements partiels.</t>
  </si>
  <si>
    <t>Bureaux Tertiaire Privé (&gt;50 salariés) (hors usines et logistique ) : parc 2025 domine par directe mecanique (50%), avec directe electronique collective en appoint. Le choix reflete usage salarie de jour, maintenance planifiee et contraintes Code du travail ; sanitaires salaries, cout global, robustesse et sobriete eau.</t>
  </si>
  <si>
    <t>Bureaux Tertiaire Privé (&gt;50 salariés) (hors usines et logistique ) : parc 2025 domine par reservoir (55%), avec chasse directe mecanique en appoint. Le choix reflete usage salarie de jour, maintenance planifiee et contraintes Code du travail ; sanitaires salaries, cout global, robustesse et sobriete eau.</t>
  </si>
  <si>
    <t>80,4% retenu : besoins transformes en travaux selon usage salarie de jour, maintenance planifiee et contraintes Code du travail. Le phasage budgetaire, les fermetures partielles et la maintenance courante limitent la conversion totale.</t>
  </si>
  <si>
    <t>Potentiel renovation : tire par sanitaires salaries, cout global, robustesse et sobriete eau. Les remplacements sont plutot par lots, avec arbitrage entre urgence sanitaire, budget et capacite a intervenir en site occupe.</t>
  </si>
  <si>
    <t>Potentiel neuf : limite pour bureaux tertiaire privé (&gt;50 salariés) (hors usines et logistique ), surtout via extensions, reconstructions ou projets locaux. Le neuf reste contraint par foncier, budgets et delais de mise en service.</t>
  </si>
  <si>
    <t>Parc existant centre sur le niveau mid, avec ventes 2026-2030 legerement plus qualitatives. Bureaux Tertiaire Privé (&gt;50 salariés) (hors usines et logistique ) : usage salarie de jour, maintenance planifiee et contraintes Code du travail; le mix reste guide par sanitaires salaries, cout global, robustesse et sobriete eau.</t>
  </si>
  <si>
    <t>Parc existant : sanitaires salaries, cout global, robustesse et sobriete eau; usage salarie de jour, maintenance planifiee et contraintes Code du travail. La montee en confort reste proportionnee au budget et au rythme de renovation.</t>
  </si>
  <si>
    <t>image client =&gt; premiumisation ciblee</t>
  </si>
  <si>
    <t>Bureaux Tertiaire Privé (&gt;50 salariés) (hors usines et logistique ) : ventes 2026-2030 en leger glissement vers moyen/premium lorsque le neuf ou les renov. lourdes interviennent. Le centre de gravite reste toutefois module par sanitaires salaries, cout global, robustesse et sobriete eau et par la part dominante de travaux sur parc existant.</t>
  </si>
  <si>
    <t>Logistique / Stockage</t>
  </si>
  <si>
    <t>Centres de stockage / Entrepôts / Plateformes logistiques
(&gt;50 salariés)</t>
  </si>
  <si>
    <t>Sous-ensemble distingué de l'ancienne ligne 'Bureaux (&gt;50 personnes, tertiaire privé + logistique hors usines)'. Ventilation proxy pour isoler la logistique.</t>
  </si>
  <si>
    <t>Entrepôt, plateforme logistique, centre de distribution</t>
  </si>
  <si>
    <t>proxy de ventilation d'une ligne existante (somme conservée)</t>
  </si>
  <si>
    <t>Ancienne ligne : Bureaux (&gt;50 personnes, tertiaire privé + logistique hors usines)</t>
  </si>
  <si>
    <t>Estimation calée sur parc national d'entrepôts / plateformes logistiques de grande taille, ramenée aux sites de + 50 personnes. Hausse portée par grands EPL, e-commerce et concentration des flux.</t>
  </si>
  <si>
    <t>SDES entrepôts et plateformes logistiques 2023-2024 ; Insee Flores 2024 ; proxy exploitants logistiques.</t>
  </si>
  <si>
    <t>Référence code travail - Bureaux &gt;50 pers. : cabinets/urinoirs par sexe + lavabos. Vestiaires et sanitaires salariés, douches selon postes salissants, horaires postés et maintenance.</t>
  </si>
  <si>
    <t>Capacité type ≈ 145 salariés/usagers principaux + 17 staff support + 8 visiteurs/prestataires. Application prioritaire du Code du travail : 1 lavabo/10 travailleurs, 1 WC + 1 urinoir/20 hommes, 2 WC/20 femmes, avec douches dès que les postes sont salissants ; arrondis par noyaux sanitaires/vestiaires. Calibrage selon capacité simultanée, répartition de flux et organisation réelle du site.</t>
  </si>
  <si>
    <t>Profil moyen, capacité moyenne ≈ 170 personnes. Moyenne pondérée terrain : parc majoritairement petits/moyens sites, grands sites intégrés sans surpondération ; usage 2025 modérée, majoritairement courte.</t>
  </si>
  <si>
    <t>Code du travail, art. R4228-1 à R4228-10 (installations sanitaires, vestiaires, lavabos, douches, WC) : https://www.legifrance.gouv.fr/codes/section_lc/LEGITEXT000006072050/LEGISCTA000018489205/ ; https://code.travail.gouv.fr/code-du-travail/r4228-10</t>
  </si>
  <si>
    <t>Usage soutenu, parfois salissant, avec vestiaires et douches davantage sollicités. Les durées réelles restent correctes grâce à une maintenance technique présente, mais l'intensité et l'environnement raccourcissent les douches et les organes exposés. Les renouvellements se font souvent par vestiaires ou batteries sanitaires pendant des arrêts programmés. Industrie / logistique / vestiaires salariés : Usage posté, vestiaires et sanitaires salariés sollicités, qualité d’eau parfois défavorable, maintenance surtout corrective avec arbitrage budgétaire industriel.</t>
  </si>
  <si>
    <t>Parc 2025 domine par tempo mecanique (60%+). Mitigeur manuel en appoint et éléctronique à même ordre de grandeur. Le choix reflete usage salarie, maintenance planifiee et contraintes Code du travail ; sanitaires salaries, cout global, robustesse et sobriete eau.</t>
  </si>
  <si>
    <t>Dans les bureaux, la projection 2030 privilégie la montée de l’électronique sur les rénovations tertiaires ; le temporisé mécanique reste secondaire et le mitigeur recule surtout dans les immeubles neufs ou rénovés.</t>
  </si>
  <si>
    <t>Entrepôts/logistique : douches de vestiaires salariés, mix tertiaire-logistique avec mitigeur dominant et temporisé mécanique significatif.</t>
  </si>
  <si>
    <t>Évolution modérée vers temporisé/électronique lors de rénovations, sous contrainte robustesse, maintenance et économie d’eau.</t>
  </si>
  <si>
    <t>Les urinoirs automatiques sont désormais courants dans l’immobilier tertiaire récent, sans avoir complètement remplacé le parc mécanique/direct existant.</t>
  </si>
  <si>
    <t>Projection prudente : recul des systèmes les plus anciens et progression graduelle de l’automatique.</t>
  </si>
  <si>
    <t>Le réservoir reste légèrement majoritaire dans le stock, mais la chasse directe et l’électronique sont déjà bien représentées dans les immeubles récents.</t>
  </si>
  <si>
    <t>Dans les bureaux, la progression va surtout du réservoir vers l’électronique dans les opérations tertiaires lourdes ; le direct simple reste intermédiaire.</t>
  </si>
  <si>
    <t>82,9% retenu : EET, ESG et repositionnement d’actifs rendent la réno concrète, mais la vacance et les arbitrages immobiliers étalent les travaux.</t>
  </si>
  <si>
    <t>Potentiel rénovation élevé : très soutenu par le décret tertiaire, le repositionnement ESG et le besoin d’améliorer l’expérience salariés. Les lavabos et les WC portent l’essentiel des volumes, avec un poids secondaire des équipements spécialisés. En rénovation, le marché reste orienté vers des gammes fiables, disponibles et rapides à poser afin de limiter l’arrêt d’exploitation.</t>
  </si>
  <si>
    <t>Potentiel neuf moyen à soutenu : le neuf existe surtout sur des immeubles prime, campus et programmes mixtes, mais le marché reste très sélectif. Le neuf est réel mais secondaire.</t>
  </si>
  <si>
    <t>Projets phares réno : sanitaires salariés/visiteurs, douches vélo, parties communes, repositionnement d’immeubles anciens ou secondaires.</t>
  </si>
  <si>
    <t>Projets phares neuf : immeubles prime, campus tertiaires, bureaux intégrés à des opérations mixtes ou logistiques.</t>
  </si>
  <si>
    <t>Dynamique réno 2026-2030 : élevée et plus lisible que le neuf ; le remplacement sanitaire accompagne souvent la montée en qualité des immeubles.</t>
  </si>
  <si>
    <t>Dynamique neuf 2026-2030 : modérée, avec polarisation sur les meilleurs actifs et un écart important entre autorisations et chantiers. Le marché est polarisé entre prime et seconde main, ce qui renforce encore le poids de la rénovation.</t>
  </si>
  <si>
    <t>Parc existant surtout intermédiaire. Les ventes se décalent légèrement vers intermédiaire, sous l’effet combiné de l’hygiène, de l’image et des rénovations lourdes. Le neuf est un peu plus qualitatif que la rénovation, sans renverser le centre de gravité du mix. Bureaux tertiaires : le parc existant reste largement standard/intermédiaire, mais le tertiaire rénové et les sièges cherchent plus de qualité perçue, d’image et d’hygiène.</t>
  </si>
  <si>
    <t>Bureaux tertiaires : le parc existant reste largement standard/intermédiaire, mais le tertiaire rénové et les sièges cherchent plus de qualité perçue, d’image et d’hygiène.</t>
  </si>
  <si>
    <t>Centres de stockage / entrepôts / plateformes logistiques (&gt;50 personnes) : tertiaire privé majoritairement standard, avec premium concentré sur sièges, campus et immeubles récents. Ventes 2026-2030 : glissement vers davantage de moyen / premium, surtout sur lavabo (+14,6 pts sur premium+luxe), WC (+12,4 pts sur premium+luxe), urinoir (+9,7 pts sur premium+luxe). La rénovation reste majoritaire (70% des ventes, contre 30% en neuf) ; le neuf tire le mix vers le haut sans renverser le centre de gravité. L’écart de niveau de confort entre neuf et rénovation est net.</t>
  </si>
  <si>
    <t>Usines &amp; Ateliers</t>
  </si>
  <si>
    <t>Usines 
(&gt;50 salariés)
(Hors Ateliers industriels)</t>
  </si>
  <si>
    <t>hors ERP</t>
  </si>
  <si>
    <t>Tout type d’usine de plus de 50 personnes, avec sanitaires dédiés ou mutualisés sur place. Hors bureaux autonomes et hors entrepôts / logistique sans fabrication.</t>
  </si>
  <si>
    <t>Usine agroalimentaire, site métallurgique, usine chimique, usine automobile</t>
  </si>
  <si>
    <t>proxy emploi / établissements industriels 50+</t>
  </si>
  <si>
    <t>Série revue à partir du socle d'étab. industriels + 50 salariés, retranchant ateliers / maintenance (isoler les usines). Baisse jusqu'à 2020, puis stabilisation et légère reprise avec la réindustrialisation récente.</t>
  </si>
  <si>
    <t>Insee Flores 2024 ; Insee Focus 2024 sur les établissements manufacturiers ; Baromètre industriel de l'État 2024.</t>
  </si>
  <si>
    <t>https://www.insee.fr/fr/statistiques/8266010
https://www.insee.fr/fr/statistiques/2012766
https://www.insee.fr/fr/statistiques/8673351</t>
  </si>
  <si>
    <t>Usine &gt;50 salariés : sanitaires/vestiaires salariés + douches si travaux salissants.</t>
  </si>
  <si>
    <t>Capacité type ≈ 225 usagers principaux + 20 staff + 5 autre public. Équipes de production et maintenance, visiteurs/prestataires minoritaires. Dimensionnement unitaire retenu : blocs par vestiaires/ateliers, douches collectives quand l'activité le justifie. Hypothèse d'usage : capacité simultanée moyenne 2026, répartition par flux réels, arrondie par blocs fonctionnels et exclusion des sanitaires strictement privatifs sauf cas explicitement collectifs.</t>
  </si>
  <si>
    <t>Usage soutenu, salissures industrielles, avec vestiaires, douches davantage sollicités. Durées réelles restent correctes grâce à une maintenance technique présente, mais intensité et environnement raccourcissent les douches. Maintenance technique disponible mais contraintes de production. Renouvellements souvent par vestiaires ou batteries sanitaires pendant arrêts programmés. Industrie / vestiaires salariés : Usage posté, vestiaires et sanitaires salariés sollicités, qualité d’eau parfois défavorable, maintenance surtout corrective avec arbitrage budgétaire industriel. Proche logistique, avantage aux mécaniques robustes.</t>
  </si>
  <si>
    <t>Usines (&gt;50 salariés) (Hors Ateliers industriels) : parc 2025 domine par reservoir (55%), avec chasse directe mecanique en appoint. Le choix reflete usage salarie de jour, maintenance planifiee et contraintes Code du travail ; sanitaires salaries, cout global, robustesse et sobriete eau.</t>
  </si>
  <si>
    <t>Potentiel neuf : limite pour usines (&gt;50 salariés) (hors ateliers industriels), surtout via extensions, reconstructions ou projets locaux. Le neuf reste contraint par foncier, budgets et delais de mise en service.</t>
  </si>
  <si>
    <t>Parc existant centre sur le niveau mid, avec ventes 2026-2030 legerement plus qualitatives. Usines (&gt;50 salariés) (Hors Ateliers industriels) : usage salarie de jour, maintenance planifiee et contraintes Code du travail; le mix reste guide par sanitaires salaries, cout global, robustesse et sobriete eau.</t>
  </si>
  <si>
    <t>Usines (&gt;50 salariés) (Hors Ateliers industriels) : ventes 2026-2030 en leger glissement vers moyen/premium lorsque le neuf ou les renov. lourdes interviennent. Le centre de gravite reste toutefois module par sanitaires salaries, cout global, robustesse et sobriete eau et par la part dominante de travaux sur parc existant.</t>
  </si>
  <si>
    <t>Ateliers industriels / de maintenance (&gt;50 personnes)</t>
  </si>
  <si>
    <t>Sous-ensemble distingué de l'ancienne ligne 'Usines (&gt;50 personnes)'. Ventilation proxy pour isoler les ateliers et centres de maintenance.</t>
  </si>
  <si>
    <t>Atelier de maintenance, atelier technique, atelier industriel</t>
  </si>
  <si>
    <t>Ancienne ligne : Usines (&gt;50 personnes)</t>
  </si>
  <si>
    <t>Tendance baissière historique, stabilisation récente (besoins de maintenance et à quelques relocalisations industrielles). Incertitude  plus forte que pour les usines ou la logistique.</t>
  </si>
  <si>
    <t>Insee Flores 2024 ; Insee Focus 2024 sur l'industrie manufacturière ; proxy maintenance industrielle.</t>
  </si>
  <si>
    <t>Usine &gt;50 pers. : base code du travail + douches collectives d'atelier/vestiaires ; pas de sanitaires individuels.</t>
  </si>
  <si>
    <t>Capacité type ≈ 119 salariés/usagers principaux + 14 staff support + 7 prestataires/intérimaires. Application prioritaire du Code du travail : 1 lavabo/10 travailleurs, 1 WC + 1 urinoir/20 hommes, 2 WC/20 femmes, avec douches dès que les postes sont salissants ; arrondis par noyaux sanitaires/vestiaires. Calibrage selon capacité simultanée, répartition de flux et organisation réelle du site.</t>
  </si>
  <si>
    <t>Profil moyen, capacité moyenne ≈ 140 personnes. Moyenne pondérée terrain : parc majoritairement petits/moyens sites, grands sites intégrés sans surpondération ; usage 2025 modérée, majoritairement courte.</t>
  </si>
  <si>
    <t>Usage diffus, entretien régulier et qualité de finition plus élevée que dans les ERP de transit. Les durées de vie sont donc au-dessus de la moyenne. L'électronique reste plus courte si elle existe, surtout hors contrats de maintenance dédiés. Le remplacement se fait souvent par chambre ou par lot lors des rénovations d'étage. Hôtellerie / hébergement marchand : Usage plus résidentiel, faible vandalisme mais attente client élevée. renouvellement souvent par programme de rénovation chambre / salle de bains plus que par panne seule.</t>
  </si>
  <si>
    <t>En industrie, la bascule reste limitée : le mitigeur baisse un peu, l’électronique progresse surtout dans les sanitaires d’accueil/tertiaires, mais le socle mécanique demeure robuste sur site.</t>
  </si>
  <si>
    <t>Le direct mécanique reste fort ; la baisse des réservoirs profite d’abord au mécanique robuste, l’automatique progressant plus lentement.</t>
  </si>
  <si>
    <t>86,2% retenu : les sanitaires et vestiaires sont souvent repris lors de travaux sécurité/process, mais le phasage industriel limite une matérialisation totale.</t>
  </si>
  <si>
    <t>Potentiel rénovation élevé : vestiaires, douches, sanitaires et bâtiments sociaux doivent suivre les exigences de sécurité, d’hygiène et de recrutement. Les volumes se concentrent surtout sur lavabos et wc. En rénovation, les maîtres d’ouvrage privilégient des références robustes, vite posées et faciles à maintenir dans des ambiances humides.</t>
  </si>
  <si>
    <t>Potentiel neuf faible : soutenu par la réindustrialisation, la décarbonation et certains investissements France 2030/Choose France, mais très concentré par filière et par site. Le neuf est quasi nul dans le modèle et renvoie surtout à des reconstructions ou remplacements de sites.</t>
  </si>
  <si>
    <t>Projets phares réno : vestiaires, douches, sanitaires salariés, bases vie, bâtiments sociaux et modernisation d’ateliers existants.</t>
  </si>
  <si>
    <t>Projets phares neuf : nouvelles usines, extensions de capacité, ateliers, bâtiments salariés et bases vie liées à la décarbonation ou à la relocalisation.</t>
  </si>
  <si>
    <t>Dynamique réno 2026-2030 : soutenue, car elle accompagne la modernisation des sites existants et l’amélioration des conditions de travail.</t>
  </si>
  <si>
    <t>Dynamique neuf 2026-2030 : réelle mais très polarisée ; les grands projets tirent le marché, tandis que beaucoup d’intentions ne passent pas toutes en chantiers dans les mêmes délais.</t>
  </si>
  <si>
    <t>Parc existant surtout standard. Les ventes restent proches du parc, centré sur standard, car le trafic et la robustesse maintiennent un cahier des charges très fonctionnel. La rénovation restant majoritaire, le mix de ventes reste proche du parc et monte surtout d’un cran sur les opérations lourdes. Sites industriels : le sanitaire suit d’abord la logique d’exploitation, d’entretien et de robustesse ; l’image pèse peu hors bâtiments administratifs.</t>
  </si>
  <si>
    <t>Sites industriels : le sanitaire suit d’abord la logique d’exploitation, d’entretien et de robustesse ; l’image pèse peu hors bâtiments administratifs.</t>
  </si>
  <si>
    <t>Usines (&gt;50 personnes) : sanitaires d’usine exposés aux usages intensifs et à une logique strictement fonctionnelle. Ventes 2026-2030 : glissement vers davantage de moyen / premium. La rénovation reste majoritaire (81% des ventes, contre 19% en neuf) ; le neuf tire le mix vers le haut sans renverser le centre de gravité. L’écart de niveau de confort entre neuf et rénovation reste perceptible.</t>
  </si>
  <si>
    <t>Garages / Ateliers de réparation automobile (&gt;10 personnes) recevant du public</t>
  </si>
  <si>
    <t>Mixte / variable selon accueil</t>
  </si>
  <si>
    <t>Ajout dédié pour les garages et centres auto recevant une clientèle, avec atelier, vestiaires/sanitaires du personnel et souvent sanitaires clients. Proxy sectoriel fondé sur le secteur Insee 452.</t>
  </si>
  <si>
    <t>Garage automobile, centre auto, atelier de réparation</t>
  </si>
  <si>
    <t>Site / établissement principal (proxy sectoriel)</t>
  </si>
  <si>
    <t>série sectorielle Insee 2021 / proxy établissements</t>
  </si>
  <si>
    <t>Point d'ancrage : l'observatoire ANFA indiquait 1 700 entreprises de réparation d'automobiles ayant +10 salariés en 2009. Série 2021-25 remonte, en cohérence avec la hausse de l'emploi du secteur.</t>
  </si>
  <si>
    <t>Insee Ésane secteur 452 entretien-réparation automobile ; presse sectorielle sur les défaillances 2024.</t>
  </si>
  <si>
    <t>https://observatoire-old.anfa-auto.fr/L-essentiel-des-services-de-l-automobile/Les-secteurs/Commerce-et-maintenance-de-vehicules-legers ; https://www.insee.fr/fr/statistiques/7929133</t>
  </si>
  <si>
    <t>Référence code du travail pour bureaux &gt;50 pers. : cabinets/urinoirs par sexe + lavabos, hors sanitaires privatifs. Activité salissante et intervention mécanique : présence de douches salariés, sans systématisation.</t>
  </si>
  <si>
    <t>Capacité type ≈ 24 salariés/usagers principaux + 5 staff support + 1 visiteurs/prestataires. Application prioritaire du Code du travail : 1 lavabo/10 travailleurs, 1 WC + 1 urinoir/20 hommes, 2 WC/20 femmes, avec douches dès que les postes sont salissants (1,2) ; arrondis par noyaux sanitaires/vestiaires. Calibrage selon capacité simultanée, répartition de flux et organisation réelle du site.</t>
  </si>
  <si>
    <t>Profil moyen, capacité moyenne ≈ 30 personnes. Moyenne pondérée terrain : parc majoritairement petits/moyens sites, grands sites intégrés sans surpondération ; usage 2025 modérée, majoritairement courte.</t>
  </si>
  <si>
    <t>Public plus atelier, graisses, solvants, salissures et usage du personnel; blocs souvent petits mais fortement salis. Usage soutenu, parfois salissant, avec vestiaires + douches davantage sollicités. Durées réelles  correctes grâce à une maintenance technique présente, mais l'intensité et l'environnement raccourcissent les douches et les organes exposés. Renouvellements souvent par vestiaires ou batteries sanitaires pendant des arrêts programmés. Usage posté, vestiaires et sanitaires salariés sollicités, qualité d’eau parfois défavorable, maintenance surtout corrective avec arbitrage budgétaire industriel.</t>
  </si>
  <si>
    <t>Garages/ateliers auto : douches de vestiaires robustes, majoritairement temporisées mécaniques compte tenu de l’usage salissant et de la maintenance.</t>
  </si>
  <si>
    <t>Évolution 2025-2030 : le temporisé mécanique progresse légèrement, électronique encore minoritaire, mitigeur en recul prudent.</t>
  </si>
  <si>
    <t>Garages / ateliers de réparation automobile recevant du public : tertiaire privé majoritairement standard, avec premium concentré sur sièges, campus et immeubles récents. Ventes 2026-2030 : glissement vers davantage de moyen / premium, surtout sur lavabo (+14,6 pts sur premium+luxe), WC (+12,4 pts sur premium+luxe), urinoir (+9,7 pts sur premium+luxe). La rénovation reste majoritaire (70% des ventes, contre 30% en neuf) ; le neuf tire le mix vers le haut sans renverser le centre de gravité. L’écart de niveau de confort entre neuf et rénovation est net.</t>
  </si>
  <si>
    <t>Hébergement Touristique</t>
  </si>
  <si>
    <t>Hôtels 
(hors autres hébérgements touristiques)</t>
  </si>
  <si>
    <t>O</t>
  </si>
  <si>
    <t>Hébergement hôtelier. Comptage =&gt; lobby / accueil ; sanitaires clients communs ; restaurant / petit-déjeuner / bar d’hôtel ; salles de réunion / séminaire internes ; sanitaires salariés ; éventuellement vestiaires salariés ; mais aucune salle de bain de chambre.</t>
  </si>
  <si>
    <t>Hôtel, motel</t>
  </si>
  <si>
    <t>Ancres officielles Insee : 2015=18 496 (parc annuel), 2017=17 840 (parc annuel), 2024=15 155 (moyenne mensuelle annuelle France). 2000-2014 et 2025-2030 = reconstitution / projection prudente.</t>
  </si>
  <si>
    <t>Insee parc hôtelier 2024. Baisse structurelle longue du nombre d’hôtels, surtout chez les petits indépendants, puis légère stabilisation/reprise après 2024.</t>
  </si>
  <si>
    <t>https://www.insee.fr/fr/statistiques/2015412 ; https://www.insee.fr/fr/statistiques/2015395</t>
  </si>
  <si>
    <t>Hôtel : sanitaires communs lobby/restaurant/salles + staff ; chambres privatives exclues.</t>
  </si>
  <si>
    <t>Capacité type ≈ 65 usagers principaux + 20 staff + 5 autre public. Clients hébergés mais sanitaires privatifs majoritaires ; seuls espaces communs et staff sont comptés. Dimensionnement unitaire retenu : blocs communs par rez-de-chaussée/salles et sanitaires salariés, sans compter salles d'eau des chambres. Hypothèse d'usage : capacité simultanée moyenne 2026, répartition par flux réels, arrondie par blocs fonctionnels et exclusion des sanitaires strictement privatifs sauf cas explicitement collectifs.</t>
  </si>
  <si>
    <t>Atout France hébergements/campings : https://www.classement.atout-france.fr/ ; Code du tourisme campings : https://www.legifrance.gouv.fr/codes/section_lc/LEGITEXT000006074073/LEGISCTA000017631906/ ; ERP/accessibilité : https://www.legifrance.gouv.fr/loda/article_lc/LEGIARTI000034485966/ ; Code du travail : https://www.legifrance.gouv.fr/codes/id/LEGISCTA000018531984</t>
  </si>
  <si>
    <t>Usage client régulier, exigence d'image et rénovations périodiques; vandalisme limité mais maintenance sanitaire récurrente. Durées moyennes, parfois renouvelées avant panne pour standing. L'électronique progresse pour des questions image, surtout quand la maintenance est organisée. Les remplacements sont fréquemment groupés par étage, chambre ou unité de vie. Hébergement marchand : Usage plus résidentiel, faible vandalisme mais attente client élevée. Renouvellement souvent par programme de rénovation chambre / salle de bains plus que par panne seule.</t>
  </si>
  <si>
    <t>Une fois les salles d’eau privatives exclues, parc 2025 dominé par mitigeur manuel (55%), avec tempo mecanique en appoint. Le choix reflete usage clients/residents, saisonnalite marquee et arbitrage experience vs cout de maintenance ; experience usager, image d hebergement et tenue en usage intensif.</t>
  </si>
  <si>
    <t>2025-2030 : progression de tempo electronique (+3,0%), surtout lors des renov. lourdes/neuf ; recul de mitigeur manuel (-5,0%) mais maintien d un socle robuste pour les remplacements partiels.</t>
  </si>
  <si>
    <t>Hôtels (hors autres hébérgements touristiques) : parc 2025 domine par mitigeur (60%), avec tempo mecanique en appoint. Le choix reflete usage clients/residents, saisonnalite marquee et arbitrage experience vs cout de maintenance ; experience usager, image d hebergement et tenue en usage intensif.</t>
  </si>
  <si>
    <t>2025-2030 : progression de tempo mecanique (+3,0%), surtout lors des renov. lourdes/neuf ; recul de mitigeur (-5,0%) mais maintien d un socle robuste pour les remplacements partiels.</t>
  </si>
  <si>
    <t>Hôtels (hors autres hébérgements touristiques) : parc 2025 domine par directe mecanique (45%), avec directe electronique collective en appoint. Le choix reflete usage clients/residents, saisonnalite marquee et arbitrage experience vs cout de maintenance ; experience usager, image d hebergement et tenue en usage intensif.</t>
  </si>
  <si>
    <t>Hôtels (hors autres hébérgements touristiques) : parc 2025 domine par reservoir (60%), avec chasse directe mecanique en appoint. Le choix reflete usage clients/residents, saisonnalite marquee et arbitrage experience vs cout de maintenance ; experience usager, image d hebergement et tenue en usage intensif.</t>
  </si>
  <si>
    <t>82,1% retenu : besoins transformes en travaux selon usage clients/residents, saisonnalite marquee et arbitrage experience vs cout de maintenance. Le phasage budgetaire, les fermetures partielles et la maintenance courante limitent la conversion totale.</t>
  </si>
  <si>
    <t>Potentiel renovation : tire par experience usager, image d hebergement et tenue en usage intensif. Les remplacements sont plutot par lots, avec arbitrage entre urgence sanitaire, budget et capacite a intervenir en site occupe.</t>
  </si>
  <si>
    <t>Potentiel neuf : plus visible pour hôtels (hors autres hébérgements touristiques), surtout via extensions, reconstructions ou projets locaux. Le neuf reste contraint par foncier, budgets et delais de mise en service.</t>
  </si>
  <si>
    <t>Parc existant centre sur le niveau upscale, avec ventes 2026-2030 legerement plus qualitatives. Hôtels (hors autres hébérgements touristiques) : usage clients/residents, saisonnalite marquee et arbitrage experience vs cout de maintenance; le mix reste guide par experience usager, image d hebergement et tenue en usage intensif.</t>
  </si>
  <si>
    <t>Parc existant : experience usager, image d hebergement et tenue en usage intensif; usage clients/residents, saisonnalite marquee et arbitrage experience vs cout de maintenance. La montee en confort reste proportionnee au budget et au rythme de renovation.</t>
  </si>
  <si>
    <t>Hôtels (hors autres hébérgements touristiques) : ventes 2026-2030 en leger glissement vers moyen/premium lorsque le neuf ou les renov. lourdes interviennent. Le centre de gravite reste toutefois module par experience usager, image d hebergement et tenue en usage intensif et par la part dominante de travaux sur parc existant.</t>
  </si>
  <si>
    <t>Villages de vacances / Clubs vacances / Centres de vacances familiaux</t>
  </si>
  <si>
    <t>O / variable</t>
  </si>
  <si>
    <t xml:space="preserve">accueil / lobby ; restaurant ou salle de restauration collective ; bar ; salle polyvalente / animation / spectacle ; clubs enfants ; sanitaires publics extérieurs ou communs ; sanitaires salariés ; parfois vestiaires salariés ; parfois petits blocs liés à piscine, plage, sport ou animation. </t>
  </si>
  <si>
    <t>Village vacances, club vacances, maison familiale vacances, petit centre familial (Logique : séjour “tout-en-un”)</t>
  </si>
  <si>
    <t>Insee autres hébergements collectifs touristiques 2024. Dynamique projetée 2027-2030: hausse légère. Fiabilité: bonne.</t>
  </si>
  <si>
    <t>https://www.legifrance.gouv.fr/codes/section_lc/LEGITEXT000006074073/LEGISCTA000006158431/
https://www.legifrance.gouv.fr/codes/article_lc/LEGIARTI000006813419/2006-10-07</t>
  </si>
  <si>
    <t>Village/club vacances : blocs communs restauration/animation/piscine + staff, hébergements privatifs exclus.</t>
  </si>
  <si>
    <t>Capacité type ≈ 180 usagers principaux + 35 staff + 10 autre public. Équipement multi-activités avec familles, restauration et animation. Dimensionnement unitaire retenu : plusieurs blocs collectifs sur pôles publics et vestiaires/douches zones sport/piscine. Hypothèse d'usage : capacité simultanée moyenne 2026, répartition par flux réels, arrondie par blocs fonctionnels et exclusion des sanitaires strictement privatifs sauf cas explicitement collectifs.</t>
  </si>
  <si>
    <t>Profil grand, capacité moyenne ≈ 225 personnes. Moyenne pondérée terrain : parc majoritairement petits/moyens sites, grands sites intégrés sans surpondération ; usage 2025 forte à très forte.</t>
  </si>
  <si>
    <t>Saisonnalité, pics de vacances, familles et douches collectives; remise en service annuelle et budget par campagnes. Un peu plus court que hôtel classique, surtout douches. Usage partagé régulier, vandalisme limité et maintenance patrimoniale classique. Temporisés mécaniques restent légèrement au-dessus des mitigeurs car l'oubli de fermeture et l'usure des cartouches jouent moins. Electronique plus courte surtout pour des raisons de capteurs, piles/secteur et réglages. Rénovation mixte, plutôt opportuniste puis par lots lors des travaux. Contraintes budgétaires et budgets souvent lissés. Temporisé et la chasse directe tiennent mieux que le manuel/réservoir en usage intensif.</t>
  </si>
  <si>
    <t>Villages de vacances / Clubs vacances / Centres de vacances familiaux : parc 2025 domine par mitigeur manuel (55%), avec tempo mecanique en appoint. Le choix reflete usage collectif regulier, contraintes de maintenance et arbitrages budgetaires ; robustesse, hygiene et cout global restent prioritaires.</t>
  </si>
  <si>
    <t>Villages de vacances / Clubs vacances / Centres de vacances familiaux : parc 2025 domine par mitigeur (60%), avec tempo mecanique en appoint. Le choix reflete usage collectif regulier, contraintes de maintenance et arbitrages budgetaires ; robustesse, hygiene et cout global restent prioritaires.</t>
  </si>
  <si>
    <t>Villages de vacances / Clubs vacances / Centres de vacances familiaux : parc 2025 domine par directe mecanique (45%), avec directe electronique collective en appoint. Le choix reflete usage collectif regulier, contraintes de maintenance et arbitrages budgetaires ; robustesse, hygiene et cout global restent prioritaires.</t>
  </si>
  <si>
    <t>Villages de vacances / Clubs vacances / Centres de vacances familiaux : parc 2025 domine par reservoir (60%), avec chasse directe mecanique en appoint. Le choix reflete usage collectif regulier, contraintes de maintenance et arbitrages budgetaires ; robustesse, hygiene et cout global restent prioritaires.</t>
  </si>
  <si>
    <t>Potentiel neuf : limite pour villages de vacances / clubs vacances / centres de vacances familiaux, surtout via extensions, reconstructions ou projets locaux. Le neuf reste contraint par foncier, budgets et delais de mise en service.</t>
  </si>
  <si>
    <t>Parc existant centre sur le niveau standard, avec ventes 2026-2030 legerement plus qualitatives. Villages de vacances / Clubs vacances / Centres de vacances familiaux : usage collectif regulier, contraintes de maintenance et arbitrages budgetaires; le mix reste guide par robustesse, hygiene et cout global restent prioritaires.</t>
  </si>
  <si>
    <t>Villages de vacances / Clubs vacances / Centres de vacances familiaux : ventes 2026-2030 en leger glissement vers moyen/premium lorsque le neuf ou les renov. lourdes interviennent. Le centre de gravite reste toutefois module par robustesse, hygiene et cout global restent prioritaires et par la part dominante de travaux sur parc existant.</t>
  </si>
  <si>
    <t>Résidences de tourisme</t>
  </si>
  <si>
    <t>Hébergement touristique avec accueil.</t>
  </si>
  <si>
    <t>Résidence hôtelière (Logique : hébergement autonome)</t>
  </si>
  <si>
    <t>https://www.insee.fr/fr/statistiques/2015462</t>
  </si>
  <si>
    <t>Résidence de tourisme : sanitaires communs d'accueil/loisirs + staff ; logements privatifs exclus.</t>
  </si>
  <si>
    <t>Capacité type ≈ 96 usagers principaux + 18 staff + 6 autre public. Jauge déjà renseignée ; usage collectif limité aux espaces communs, hors sanitaires des logements. Dimensionnement unitaire retenu : petits blocs accueil/salle/piscine et sanitaires salariés. Hypothèse d'usage : capacité simultanée moyenne 2026, répartition par flux réels, arrondie par blocs fonctionnels et exclusion des sanitaires strictement privatifs sauf cas explicitement collectifs.</t>
  </si>
  <si>
    <t>Usage saisonnier par séjours, moins de passage quotidien que hôtel mais remises en état groupées. Proche hôtel, renouvellement par appartements/blocs lors de rénovations. Usage dense, nettoyage agressif, graisse/humidité et arbitrages économiques serrés. Temporisés mécaniques conservent un léger avantage en robustesse sur mitigeurs dans sanitaires partagés. Electronique reste plus courte si environnement humide et maintenance plus opportuniste. Renouvellement surtout à la panne, puis par lot. Moins de cycles annuels, hivernage et remises en service. maintenance concentrée et hétérogène.</t>
  </si>
  <si>
    <t>Une fois les salles d’eau privatives exclues, parc 2025 domine par mitigeur manuel (55%), avec tempo mecanique en appoint. Le choix reflete usage collectif regulier, contraintes de maintenance et arbitrages budgetaires ; robustesse, hygiene et cout global restent prioritaires. Part croissante d’électronique dans les zones lobby/public.</t>
  </si>
  <si>
    <t>Résidences de tourisme : parc 2025 domine par mitigeur (60%), avec tempo mecanique en appoint. Le choix reflete usage collectif regulier, contraintes de maintenance et arbitrages budgetaires ; robustesse, hygiene et cout global restent prioritaires.</t>
  </si>
  <si>
    <t>Résidences de tourisme : parc 2025 domine par directe mecanique (45%), avec directe electronique collective en appoint. Le choix reflete usage collectif regulier, contraintes de maintenance et arbitrages budgetaires ; robustesse, hygiene et cout global restent prioritaires.</t>
  </si>
  <si>
    <t>Résidences de tourisme : parc 2025 domine par reservoir (60%), avec chasse directe mecanique en appoint. Le choix reflete usage collectif regulier, contraintes de maintenance et arbitrages budgetaires ; robustesse, hygiene et cout global restent prioritaires.</t>
  </si>
  <si>
    <t>Potentiel neuf : limite pour résidences de tourisme, surtout via extensions, reconstructions ou projets locaux. Le neuf reste contraint par foncier, budgets et delais de mise en service.</t>
  </si>
  <si>
    <t>Parc existant centre sur le niveau standard, avec ventes 2026-2030 legerement plus qualitatives. Résidences de tourisme : usage collectif regulier, contraintes de maintenance et arbitrages budgetaires; le mix reste guide par robustesse, hygiene et cout global restent prioritaires.</t>
  </si>
  <si>
    <t>Résidences de tourisme : ventes 2026-2030 en leger glissement vers moyen/premium lorsque le neuf ou les renov. lourdes interviennent. Le centre de gravite reste toutefois module par robustesse, hygiene et cout global restent prioritaires et par la part dominante de travaux sur parc existant.</t>
  </si>
  <si>
    <t>O ou R</t>
  </si>
  <si>
    <t>Classement selon exploitation et activité.</t>
  </si>
  <si>
    <t>Auberge de jeunesse</t>
  </si>
  <si>
    <t>proxy auberges collectives/jeunesse. Dynamique projetée 2027-2030: stable. Fiabilité: moyenne.</t>
  </si>
  <si>
    <t>https://www.atout-france.fr/fr/classement/les-categories-dhebergement</t>
  </si>
  <si>
    <t>Auberge : blocs collectifs d'étage, pas de chambres privatives.</t>
  </si>
  <si>
    <t>Capacité type ≈ 77 usagers principaux + 11 staff + 2 visiteurs/intervenants. Le programme sanitaire est construit par blocs fonctionnels plausibles (public, personnel, exploitation/hébergement selon le cas) et non par simple ratio national moyen. Calibrage selon capacité simultanée, répartition de flux et organisation réelle du site.</t>
  </si>
  <si>
    <t>Code du travail pour staff + hypothèse programmatique d'hébergement collectif / tourisme ; source de comptage propre à la ligne en col. AP.</t>
  </si>
  <si>
    <t>Public jeune, rotation élevée, dortoirs et douches collectives; pics matin/soir et risque de dégradation. Plus court que résidence tourisme, proche internats. Repères durées: lavabos 12/13/9 ans (mit./méca/élec.), douches 11/10/8, urinoirs 10/12/8/10, WC 13/13/9.</t>
  </si>
  <si>
    <t>Auberges de jeunesse : parc commun plus 'collectif' que l’hôtellerie classique - dominé par mitigeur manuel (55%), avec tempo mecanique en appoint. Le choix reflete usage clients/residents, saisonnalite marquee et arbitrage experience vs cout de maintenance ; experience usager, image d hebergement et tenue en usage intensif.</t>
  </si>
  <si>
    <t>Auberges de jeunesse : parc 2025 domine par mitigeur (60%), avec tempo mecanique en appoint. Le choix reflete usage clients/residents, saisonnalite marquee et arbitrage experience vs cout de maintenance ; experience usager, image d hebergement et tenue en usage intensif.</t>
  </si>
  <si>
    <t>Auberges de jeunesse : parc 2025 domine par directe mecanique (45%), avec directe electronique collective en appoint. Le choix reflete usage clients/residents, saisonnalite marquee et arbitrage experience vs cout de maintenance ; experience usager, image d hebergement et tenue en usage intensif.</t>
  </si>
  <si>
    <t>Auberges de jeunesse : parc 2025 domine par reservoir (60%), avec chasse directe mecanique en appoint. Le choix reflete usage clients/residents, saisonnalite marquee et arbitrage experience vs cout de maintenance ; experience usager, image d hebergement et tenue en usage intensif.</t>
  </si>
  <si>
    <t>Potentiel neuf : plus visible pour auberges de jeunesse, surtout via extensions, reconstructions ou projets locaux. Le neuf reste contraint par foncier, budgets et delais de mise en service.</t>
  </si>
  <si>
    <t>Parc existant centre sur le niveau upscale, avec ventes 2026-2030 legerement plus qualitatives. Auberges de jeunesse : usage clients/residents, saisonnalite marquee et arbitrage experience vs cout de maintenance; le mix reste guide par experience usager, image d hebergement et tenue en usage intensif.</t>
  </si>
  <si>
    <t>Auberges de jeunesse : ventes 2026-2030 en leger glissement vers moyen/premium lorsque le neuf ou les renov. lourdes interviennent. Le centre de gravite reste toutefois module par experience usager, image d hebergement et tenue en usage intensif et par la part dominante de travaux sur parc existant.</t>
  </si>
  <si>
    <t>Pensions de famille</t>
  </si>
  <si>
    <t>Hébergement de type pension.</t>
  </si>
  <si>
    <t>Pension de famille</t>
  </si>
  <si>
    <t>proxy pensions/structures assimilées. Dynamique projetée 2027-2030: hausse légère. Fiabilité: moyenne.</t>
  </si>
  <si>
    <t>Pension de famille : blocs communs seulement.</t>
  </si>
  <si>
    <t>Capacité type ≈ 21 usagers principaux + 3 staff + 1 visiteurs/intervenants. Le programme sanitaire est construit par blocs fonctionnels plausibles (public, personnel, exploitation/hébergement selon le cas) et non par simple ratio national moyen. Calibrage selon capacité simultanée, répartition de flux et organisation réelle du site.</t>
  </si>
  <si>
    <t>Dans les pensions de famille, le parc commun reste plus proche d’un usage résidentiel que d’un grand ERP : le mitigeur domine nettement.</t>
  </si>
  <si>
    <t>Sur ce parc collectif/touristique, l’électronique progresse surtout sur les rénovations complètes ; le parc reste majoritairement mitigeur/temporisé sur les sanitaires communs.</t>
  </si>
  <si>
    <t>Les douches communes, quand elles existent, sont d’abord à mitigeur.</t>
  </si>
  <si>
    <t>La montée de l’électronique reste modérée ; les douches collectives gardent un socle manuel/temporisé important.</t>
  </si>
  <si>
    <t>Les systèmes collectifs anciens régressent lentement ; l’automatique monte mais n’écrase pas le parc mécanique.</t>
  </si>
  <si>
    <t>Le réservoir demeure nettement majoritaire dans ce parc.</t>
  </si>
  <si>
    <t>Évolution lente : le réservoir reste majoritaire, le direct progresse surtout lors de rénovations complètes.</t>
  </si>
  <si>
    <t>81,8% retenu : part des besoins réellement transformée en travaux sur 2026-2030 après prise en compte des budgets, du phasage et des arbitrages locaux.</t>
  </si>
  <si>
    <t>Potentiel rénovation élevé : adaptation de locaux, confort d’usage et remise à niveau de bâtiments souvent transformés à partir d’existant. Les volumes se concentrent surtout sur lavabos et douches. En rénovation, le marché reste favorable aux gammes robustes et simples d’entretien, compatibles avec des chantiers par tranches et des budgets contraints.</t>
  </si>
  <si>
    <t>Potentiel neuf moyen : limité ; l’activité passe souvent par transformation ou acquisition-amélioration plus que par construction pure. Le neuf est réel mais secondaire.</t>
  </si>
  <si>
    <t>Projets phares réno : sanitaires privatifs ou partagés, accessibilité, amélioration énergétique et requalification d’actifs existants.</t>
  </si>
  <si>
    <t>Projets phares neuf : opérations sociales ou intermédiaires avec création de petites unités d’hébergement.</t>
  </si>
  <si>
    <t>Dynamique réno 2026-2030 : supérieure au neuf, car la transformation d’existant domine économiquement.</t>
  </si>
  <si>
    <t>Dynamique neuf 2026-2030 : faible à modérée, très dépendante des opérateurs et du foncier.</t>
  </si>
  <si>
    <t>Parc existant surtout intermédiaire. Les ventes restent proches du parc, centré sur intermédiaire, du fait de budgets et de rénovations menées surtout par lots. La rénovation restant majoritaire, le mix de ventes reste proche du parc et monte surtout d’un cran sur les opérations lourdes. Segments d’hébergement social ou très contraints : confort correct mais budgets serrés, avec peu de luxe et des arbitrages très fonctionnels.</t>
  </si>
  <si>
    <t>Segments d’hébergement social ou très contraints : confort correct mais budgets serrés, avec peu de luxe et des arbitrages très fonctionnels.</t>
  </si>
  <si>
    <t>Pensions de famille : hébergement social ou très économique, arbitrages centrés sur le coût global. Ventes 2026-2030 : glissement vers davantage de moyen / premium, surtout sur douche (+10,3 pts sur premium+luxe), lavabo (+9,3 pts sur premium+luxe), WC (+9,2 pts sur premium+luxe). La rénovation reste majoritaire (77% des ventes, contre 23% en neuf) ; le neuf tire le mix vers le haut sans renverser le centre de gravité. L’écart de niveau de confort entre neuf et rénovation reste perceptible.</t>
  </si>
  <si>
    <t>Hébergement Montagne</t>
  </si>
  <si>
    <t>OA</t>
  </si>
  <si>
    <t>Établissements d’altitude.</t>
  </si>
  <si>
    <t>Restaurant d’altitude, hôtel d’altitude</t>
  </si>
  <si>
    <t>proxy stations de montagne. Dynamique projetée 2027-2030: stable. Fiabilité: moyenne.</t>
  </si>
  <si>
    <t>Altitude : bloc restauration/skieurs + vestiaires/douches collectives ; chambres non comptées.</t>
  </si>
  <si>
    <t>Capacité type ≈ 98 usagers principaux + 18 staff + 4 accompagnants/ravitaillement. Le programme sanitaire est construit par blocs fonctionnels plausibles (public, personnel, exploitation/hébergement selon le cas) et non par simple ratio national moyen. Calibrage selon capacité simultanée, répartition de flux et organisation réelle du site.</t>
  </si>
  <si>
    <t>Altitude, saisonnalité, hivernage/remise en eau ou contraintes de plein air rendent l'exploitation plus dure qu'en hôtellerie classique. Les durées restent correctes mais sont abaissées par le gel, l'humidité et les remises en service. Les remplacements sont souvent groupés à l'intersaison ou lors d'opérations de remise à niveau. Sites saisonniers / montagne / camping / flottants : Moins de cycles annuels mais conditions climatiques/corrosives, hivernage et remises en service. maintenance concentrée et hétérogène.</t>
  </si>
  <si>
    <t>Sur les hôtels-restaurants d’altitude, le parc commun reste surtout en mitigeurs, avec un niveau intermédiaire de temporisé et d’électronique.</t>
  </si>
  <si>
    <t>Dans l’hôtellerie, l’évolution concerne surtout les sanitaires communs : le mitigeur reste significatif, l’électronique progresse dans les parties publiques rénovées et premium.</t>
  </si>
  <si>
    <t>Les douches restent majoritairement à mitigeur ; le temporisé mécanique apparaît sur les vestiaires ou espaces collectifs.</t>
  </si>
  <si>
    <t>Dans les douches communes d’hébergement, le mitigeur reste fort ; l’électronique gagne un peu sur les rénovations des parties communes.</t>
  </si>
  <si>
    <t>Les urinoirs restent partagés entre solutions classiques et un peu d’automatique.</t>
  </si>
  <si>
    <t>Dans les parties communes, la hausse de l’automatique est visible sur les rénovations, mais le parc reste mixte.</t>
  </si>
  <si>
    <t>Le réservoir reste majoritaire sur le parc existant, malgré une présence croissante de chasses directes sur les rénovations.</t>
  </si>
  <si>
    <t>Le réservoir demeure important dans ce parc, avec une progression graduelle du direct/électronique sur les sanitaires communs rénovés.</t>
  </si>
  <si>
    <t>Potentiel rénovation moyen à soutenu : remise à niveau d’équipements soumis à des conditions climatiques exigeantes, avec recherche de sobriété eau/énergie. Les volumes se concentrent surtout sur wc et lavabos. En rénovation, les maîtres d’ouvrage privilégient des références robustes, vite posées et faciles à maintenir dans des ambiances humides.</t>
  </si>
  <si>
    <t>Potentiel neuf faible : très sélectif, souvent limité à des reconstructions ou extensions ponctuelles. Le neuf est quasi nul dans le modèle et renvoie surtout à des reconstructions ou remplacements de sites.</t>
  </si>
  <si>
    <t>Projets phares réno : salles d’eau, douches, sanitaires collectifs, amélioration énergétique et adaptation climatique.</t>
  </si>
  <si>
    <t>Projets phares neuf : refuges reconstruits, extensions limitées, hébergements d’altitude restructurés.</t>
  </si>
  <si>
    <t>Dynamique réno 2026-2030 : plus prévisible que le neuf, car l’entretien lourd est indispensable dans ces environnements.</t>
  </si>
  <si>
    <t>Dynamique neuf 2026-2030 : faible à modérée ; peu de projets mais parfois techniquement ambitieux.</t>
  </si>
  <si>
    <t>Parc existant surtout premium. Les ventes restent proches du parc, centré sur premium / luxe, tiré par l’image de marque et l’expérience usager. La rénovation restant majoritaire, le mix de ventes reste proche du parc et monte surtout d’un cran sur les opérations lourdes. L’image de marque et la recherche d’expérience client tirent fortement le mix vers premium/luxe, surtout dans le neuf ou les rénovations de repositionnement.</t>
  </si>
  <si>
    <t>L’image de marque et la recherche d’expérience client tirent fortement le mix vers premium/luxe, surtout dans le neuf ou les rénovations de repositionnement.</t>
  </si>
  <si>
    <t>Hôtels-restaurants d’altitude : altitude et image touristique soutiennent un niveau plus premium malgré la contrainte technique. Ventes 2026-2030 : glissement vers davantage de moyen / premium, surtout sur urinoir (+12,8 pts sur premium+luxe), WC (+8,6 pts sur premium+luxe), lavabo (+8,5 pts sur premium+luxe). La rénovation reste très majoritaire (90% des ventes, contre 10% en neuf) ; le neuf est plus qualitatif mais ne suffit pas à transformer fortement le mix. L’écart de niveau de confort entre neuf et rénovation est net.</t>
  </si>
  <si>
    <t>REF</t>
  </si>
  <si>
    <t>Refuges recevant du public en zone de montagne.</t>
  </si>
  <si>
    <t>Refuge alpin</t>
  </si>
  <si>
    <t>proxy parc de refuges français. Dynamique projetée 2027-2030: stable. Fiabilité: moyenne.</t>
  </si>
  <si>
    <t>Refuge : blocs communs dortoir/restauration, sans cellules ou sanitaires individuels.</t>
  </si>
  <si>
    <t>Capacité type ≈ 40 usagers principaux + 4 staff + 1 accompagnants/gardiens. Le programme sanitaire est construit par blocs fonctionnels plausibles (public, personnel, exploitation/hébergement selon le cas) et non par simple ratio national moyen. Calibrage selon capacité simultanée, répartition de flux et organisation réelle du site.</t>
  </si>
  <si>
    <t>Profil petit, capacité moyenne ≈ 45 personnes. Moyenne pondérée terrain : parc majoritairement petits/moyens sites, grands sites intégrés sans surpondération ; usage 2025 forte à très forte.</t>
  </si>
  <si>
    <t>Dans les refuges, le parc reste très simple et robuste : mitigeurs manuels dominants, avec une part de temporisé limitée et quelques dispositifs atypiques.</t>
  </si>
  <si>
    <t>Les douches communes restent très simples, surtout manuelles ou temporisées mécaniques.</t>
  </si>
  <si>
    <t>Les rares urinoirs sont souvent en configuration collective simple sur le parc existant.</t>
  </si>
  <si>
    <t>Le réservoir reste de loin la technologie dominante.</t>
  </si>
  <si>
    <t>79,6% retenu : part des besoins réellement transformée en travaux sur 2026-2030 après prise en compte des budgets, du phasage et des arbitrages locaux.</t>
  </si>
  <si>
    <t>Potentiel rénovation moyen à soutenu : remise à niveau d’équipements soumis à des conditions climatiques exigeantes, avec recherche de sobriété eau/énergie. La douche pèse au-dessus de la moyenne, avec des contraintes d’humidité, de corrosion et d’entretien qui accélèrent le remplacement. En rénovation, les maîtres d’ouvrage privilégient des références robustes, vite posées et faciles à maintenir dans des ambiances humides.</t>
  </si>
  <si>
    <t>Refuges de montagne : contraintes d’accès, gel, maintenance et saisonnalité tirent fortement le mix vers le basique robuste ; le moyen progresse surtout dans les sites rénovés et premiumisés, mais le luxe reste hors cible. Ventes 2026-2030 : léger glissement vers le moyen, plus en neuf qu’en rénovation, sans transformation rapide du parc compte tenu des contraintes techniques et logistiques.</t>
  </si>
  <si>
    <t>Tourisme de plein air</t>
  </si>
  <si>
    <t>Campings</t>
  </si>
  <si>
    <t>Établissements de plein air recevant du public.</t>
  </si>
  <si>
    <t>Camping, village vacances</t>
  </si>
  <si>
    <t>Ligne robuste. Série ancrée sur l'Insee (2024 = 6 608 campings). Projection 2025-2030 en érosion très modérée, cohérente avec la baisse tendancielle de long terme et sans rupture artificielle.</t>
  </si>
  <si>
    <t>Insee parc des campings 2024. Dynamique projetée 2027-2030: baisse légère. Fiabilité: bonne.</t>
  </si>
  <si>
    <t>https://www.insee.fr/fr/statistiques/2015437</t>
  </si>
  <si>
    <t>Camping : blocs sanitaires collectifs permanents ; hébergements individuels exclus.</t>
  </si>
  <si>
    <t>Capacité type ≈ 270 usagers principaux + 24 staff + 6 visiteurs/maintenance. Le programme sanitaire est construit par blocs fonctionnels plausibles (public, personnel, exploitation/hébergement selon le cas) et non par simple ratio national moyen. Calibrage selon capacité simultanée, répartition de flux et organisation réelle du site.</t>
  </si>
  <si>
    <t>Profil grand, capacité moyenne ≈ 300 personnes. Moyenne pondérée terrain : parc majoritairement petits/moyens sites, grands sites intégrés sans surpondération ; usage 2025 forte à très forte.</t>
  </si>
  <si>
    <t>Blocs collectifs très sollicités en saison, humidité, sable/boue et remise en eau annuelle; maintenance concentrée hors saison. Durées prudentes, surtout douches et électronique. Entretien régulier et qualité de finition plus élevée que dans les ERP de transit. Durées de vie sont donc au-dessus de la moyenne. Electronique reste plus courte si elle existe, surtout hors contrats de maintenance dédiés. Remplacement se fait souvent par lot.</t>
  </si>
  <si>
    <t>Dans les blocs de camping, le temporisé mécanique domine le parc existant, avec une part d’équipements spécifiques de bloc sanitaire classés en 'autres'.</t>
  </si>
  <si>
    <t>Les douches de camping restent très majoritairement temporisées mécaniques sur le parc installé.</t>
  </si>
  <si>
    <t>Les urinoirs collectifs (rampe/batterie) restent très présents dans ce parc saisonnier ancien.</t>
  </si>
  <si>
    <t>Le réservoir reste dominant dans les blocs existants, même si les chasses directes progressent dans les campings rénovés.</t>
  </si>
  <si>
    <t>Potentiel rénovation très élevé : très fort sur les blocs sanitaires collectifs, soumis à l’usure saisonnière, à l’humidité et à la montée en gamme de l’expérience client. La douche pèse au-dessus de la moyenne, avec des contraintes d’humidité, de corrosion et d’entretien qui accélèrent le remplacement. En rénovation, les maîtres d’ouvrage privilégient des références robustes, vite posées et faciles à maintenir dans des ambiances humides.</t>
  </si>
  <si>
    <t>Potentiel neuf faible : extensions et créations existent mais le marché est surtout porté par la montée en qualité du parc existant. Le neuf est quasi nul dans le modèle et renvoie surtout à des reconstructions ou remplacements de sites.</t>
  </si>
  <si>
    <t>Projets phares réno : blocs sanitaires collectifs, douches, lavabos, sanitaires PMR et modernisation de l’offre client.</t>
  </si>
  <si>
    <t>Projets phares neuf : extensions de campings, nouveaux quartiers premium, réorganisation de sites avec nouveaux blocs.</t>
  </si>
  <si>
    <t>Dynamique réno 2026-2030 : très soutenue ; le sanitaire collectif est un levier direct de notation et de satisfaction client. Les exploitants arbitrent vite quand la qualité sanitaire pénalise la note client.</t>
  </si>
  <si>
    <t>Dynamique neuf 2026-2030 : modérée, positive sur les sites attractifs mais plus sélective que la rénovation.</t>
  </si>
  <si>
    <t>Campings : parc très large mais bien structuré par l’hôtellerie de plein air, avec différenciation claire entre campings économiques et sites 4-5 étoiles ; basique/moyen dominent dans le parc, avec premium plus présent en neuf et réhabilitation lourde. Ventes 2026-2030 : progression du premium+luxe sur lavabo (+4,4 pts), douche (+4,4 pts), urinoir (+2,9 pts) et WC (+4,7 pts), portée par la montée en gamme du tourisme de plein air. Le neuf est nettement plus qualitatif que la rénovation.</t>
  </si>
  <si>
    <t>Hôtellerie de plein air hiérarchisée, avec montée en gamme réelle mais parc encore très majoritairement basique/moyen hors 4-5 étoiles.</t>
  </si>
  <si>
    <t>Aires d’accueil des gens du voyage</t>
  </si>
  <si>
    <t>Sites aménagés avec emplacements, blocs sanitaires et accueil ; public ciblé et régime spécifique, mais composante sanitaire structurelle. Equipements obligatoires pour les communes (loi Besson)</t>
  </si>
  <si>
    <t>Aire d’accueil des gens du voyage (Logique : stationnement encadré + équipements sanitaires)</t>
  </si>
  <si>
    <t>série publique directe / estimation encadrée</t>
  </si>
  <si>
    <t>Estimation 2025 proche de 1 350 sites, puis légère érosion 2026-2030. Surface 2026 = proxy fondé sur des aires permanentes de 15-20 emplacements avec blocs sanitaires.</t>
  </si>
  <si>
    <t>https://www.data.gouv.fr/datasets/localisation-des-aires-daceuil-des-gens-du-voyage/ | https://www.ecologie.gouv.fr/politiques-publiques/accueil-habitat-gens-du-voyage | https://www.paris.fr/pages/une-aire-d-accueil-a-paris-pour-les-gens-du-voyage-4395 | https://www.var.gouv.fr/index.php/Actions-de-l-Etat/Solidarites/Gens-du-voyage/Les-aires-d-accueil-et-aires-de-grand-passage-dans-le-Var/Aires-d-accueil/Aire-d-accueil-des-gens-du-Voyage-La-Garde</t>
  </si>
  <si>
    <t>Aire d'accueil gens du voyage : blocs sanitaires collectifs par emplacements/îlots.</t>
  </si>
  <si>
    <t>Capacité type ≈ 70 usagers principaux + 8 staff + 2 autre public. Occupation résidentielle temporaire, familles et gestionnaire. Dimensionnement unitaire retenu : WC/douches/lavabos mutualisés par îlots, avec robustesse et entretien renforcé. Hypothèse d'usage : capacité simultanée moyenne 2026, répartition par flux réels, arrondie par blocs fonctionnels et exclusion des sanitaires strictement privatifs sauf cas explicitement collectifs.</t>
  </si>
  <si>
    <t>Usage résidentiel temporaire, contraintes sociales, maintenance publique parfois réactive et risques de chocs. Proche hébergement social, WC mécaniques privilégiés. Repères durées: lavabos 12/13/9 ans (mit./méca/élec.), douches 11/10/8, urinoirs 10/12/8/10, WC 13/13/9.</t>
  </si>
  <si>
    <t>Aires d’accueil des gens du voyage : parc 2025 domine par tempo mecanique (42%), avec mitigeur manuel en appoint. Le choix reflete usage clients/residents, saisonnalite marquee et arbitrage experience vs cout de maintenance ; experience usager, image d hebergement et tenue en usage intensif.</t>
  </si>
  <si>
    <t>Aires d’accueil des gens du voyage : parc 2025 domine par mitigeur (65%), avec tempo mecanique en appoint. Le choix reflete usage clients/residents, saisonnalite marquee et arbitrage experience vs cout de maintenance ; experience usager, image d hebergement et tenue en usage intensif.</t>
  </si>
  <si>
    <t>Aires d’accueil des gens du voyage : parc 2025 domine par reservoir (55%), avec chasse directe mecanique en appoint. Le choix reflete usage clients/residents, saisonnalite marquee et arbitrage experience vs cout de maintenance ; experience usager, image d hebergement et tenue en usage intensif.</t>
  </si>
  <si>
    <t>Potentiel neuf : plus visible pour aires d’accueil des gens du voyage, surtout via extensions, reconstructions ou projets locaux. Le neuf reste contraint par foncier, budgets et delais de mise en service.</t>
  </si>
  <si>
    <t>Parc existant centre sur le niveau upscale, avec ventes 2026-2030 legerement plus qualitatives. Aires d’accueil des gens du voyage : usage clients/residents, saisonnalite marquee et arbitrage experience vs cout de maintenance; le mix reste guide par experience usager, image d hebergement et tenue en usage intensif.</t>
  </si>
  <si>
    <t>Aires d’accueil des gens du voyage : ventes 2026-2030 en leger glissement vers moyen/premium lorsque le neuf ou les renov. lourdes interviennent. Le centre de gravite reste toutefois module par experience usager, image d hebergement et tenue en usage intensif et par la part dominante de travaux sur parc existant.</t>
  </si>
  <si>
    <t>Hébergement Social</t>
  </si>
  <si>
    <t>Hébergement Social &amp; Accueil spécialisé</t>
  </si>
  <si>
    <t>Centres d’hébergement d’urgence / accueils de nuit</t>
  </si>
  <si>
    <t>Hébergement collectif accueillant du public spécifique avec sanitaires collectifs quasi systématiques ; à distinguer des simples bureaux sociaux sans hébergement.</t>
  </si>
  <si>
    <t>Centre d’hébergement d’urgence, accueil de nuit (personnes sans abri, en détresse sociale)</t>
  </si>
  <si>
    <t>Ordre grandeur reconstitué pour hébergement d’urgence + accueil nuit .Série tirée par montée en charge de l’hébergement d’urgence depuis 2000. Léger palier post-Covid puis progression prudente.</t>
  </si>
  <si>
    <t>https://www.insee.fr/fr/metadonnees/source/operation/s2125/presentation ; https://www.ecologie.gouv.fr/dossiers/comment-faciliter-lacces-logement/lhebergement-durgence-solution-temporaire-personnes</t>
  </si>
  <si>
    <t>Hébergement d'urgence : douches/WC collectifs d'étage + bloc accueil/personnel.</t>
  </si>
  <si>
    <t>Capacité type ≈ 70 usagers principaux + 8 staff + 2 autre public. Résidents en nuitée, usage intensif matin/soir et équipe sociale. Dimensionnement unitaire retenu : blocs douches/WC par unité de vie + sanitaires accueil et staff. Hypothèse d'usage : capacité simultanée moyenne 2026, répartition par flux réels, arrondie par blocs fonctionnels et exclusion des sanitaires strictement privatifs sauf cas explicitement collectifs.</t>
  </si>
  <si>
    <t>Occupation forte, rotation, usage parfois 24/7 et maintenance sous contrainte budgétaire; douches très sollicitées. Plus court qu'hôtel social classique, surtout électronique. Repères durées: lavabos 12/13/9 ans (mit./méca/élec.), douches 11/10/8, urinoirs 10/12/8/10, WC 13/13/9.</t>
  </si>
  <si>
    <t>Centres d’hébergement d’urgence / accueils de nuit : parc 2025 domine par tempo mecanique (42%), avec mitigeur manuel en appoint. Le choix reflete usage social intensif, occupation longue et budgets de gestion contraints ; robustesse, facilite de maintenance, hygiene et renovation par tranches.</t>
  </si>
  <si>
    <t>Centres d’hébergement d’urgence / accueils de nuit : parc 2025 domine par mitigeur (65%), avec tempo mecanique en appoint. Le choix reflete usage social intensif, occupation longue et budgets de gestion contraints ; robustesse, facilite de maintenance, hygiene et renovation par tranches.</t>
  </si>
  <si>
    <t>Centres d’hébergement d’urgence / accueils de nuit : parc 2025 domine par directe mecanique (52%), avec directe electronique collective en appoint. Le choix reflete usage social intensif, occupation longue et budgets de gestion contraints ; robustesse, facilite de maintenance, hygiene et renovation par tranches.</t>
  </si>
  <si>
    <t>Centres d’hébergement d’urgence / accueils de nuit : parc 2025 domine par reservoir (55%), avec chasse directe mecanique en appoint. Le choix reflete usage social intensif, occupation longue et budgets de gestion contraints ; robustesse, facilite de maintenance, hygiene et renovation par tranches.</t>
  </si>
  <si>
    <t>79,2% retenu : besoins transformes en travaux selon usage social intensif, occupation longue et budgets de gestion contraints. Le phasage budgetaire, les fermetures partielles et la maintenance courante limitent la conversion totale.</t>
  </si>
  <si>
    <t>Potentiel renovation : tire par robustesse, facilite de maintenance, hygiene et renovation par tranches. Les remplacements sont plutot par lots, avec arbitrage entre urgence sanitaire, budget et capacite a intervenir en site occupe.</t>
  </si>
  <si>
    <t>Potentiel neuf : limite pour centres d’hébergement d’urgence / accueils de nuit, surtout via extensions, reconstructions ou projets locaux. Le neuf reste contraint par foncier, budgets et delais de mise en service.</t>
  </si>
  <si>
    <t>Parc existant centre sur le niveau standard, avec ventes 2026-2030 legerement plus qualitatives. Centres d’hébergement d’urgence / accueils de nuit : usage social intensif, occupation longue et budgets de gestion contraints; le mix reste guide par robustesse, facilite de maintenance, hygiene et renovation par tranches.</t>
  </si>
  <si>
    <t>Parc existant : robustesse, facilite de maintenance, hygiene et renovation par tranches; usage social intensif, occupation longue et budgets de gestion contraints. La montee en confort reste proportionnee au budget et au rythme de renovation.</t>
  </si>
  <si>
    <t>Centres d’hébergement d’urgence / accueils de nuit : ventes 2026-2030 en leger glissement vers moyen/premium lorsque le neuf ou les renov. lourdes interviennent. Le centre de gravite reste toutefois module par robustesse, facilite de maintenance, hygiene et renovation par tranches et par la part dominante de travaux sur parc existant.</t>
  </si>
  <si>
    <t>Accueils de jour / haltes de jour</t>
  </si>
  <si>
    <t>W ou variable</t>
  </si>
  <si>
    <t>À ajouter quand le lieu d’accueil dispose réellement d’espaces d’hygiène (douches, sanitaires, vestiaire, laverie) et fonctionne comme site autonome.</t>
  </si>
  <si>
    <t>Accueil de jour, halte de jour, structure hygiène (sans abri, en détresse sociale)</t>
  </si>
  <si>
    <t>Réseau paraît densifié progressivement depuis années 2000. Série reconstruite par proxy à partir de Insee =&gt; services d’aide et de visibilité accrue des dispositifs d’aller-vers et d’accueil de jour.</t>
  </si>
  <si>
    <t>proxy équipements d’hygiène urbaine. Dynamique projetée 2027-2030: hausse légère. Fiabilité: moyenne.</t>
  </si>
  <si>
    <t>https://www.insee.fr/fr/metadonnees/source/operation/s2125/presentation ; https://www.insee.fr/fr/information/8545597</t>
  </si>
  <si>
    <t>Accueil de jour : sanitaires publics renforcés + douches/hygiène selon service.</t>
  </si>
  <si>
    <t>Capacité type ≈ 50 usagers principaux + 8 staff + 2 autre public. Flux de jour avec usage hygiène plus élevé que guichet standard. Dimensionnement unitaire retenu : bloc public robuste, parfois douches sociales, plus sanitaire personnel. Hypothèse d'usage : capacité simultanée moyenne 2026, répartition par flux réels, arrondie par blocs fonctionnels et exclusion des sanitaires strictement privatifs sauf cas explicitement collectifs.</t>
  </si>
  <si>
    <t>Pics matin/mi-journée, douches et lavabos d'hygiène très utilisés, publics fragiles; nettoyage renforcé. Proche bains-douches mais meilleur car ouverture limitée. Repères durées: lavabos 12/13/9 ans (mit./méca/élec.), douches 11/10/8, urinoirs 10/12/8/10, WC 13/13/9.</t>
  </si>
  <si>
    <t>Accueils de jour / haltes de jour : parc 2025 domine par tempo mecanique (42%), avec mitigeur manuel en appoint. Le choix reflete usage social intensif, occupation longue et budgets de gestion contraints ; robustesse, facilite de maintenance, hygiene et renovation par tranches.</t>
  </si>
  <si>
    <t>Accueils de jour / haltes de jour : parc 2025 domine par mitigeur (65%), avec tempo mecanique en appoint. Le choix reflete usage social intensif, occupation longue et budgets de gestion contraints ; robustesse, facilite de maintenance, hygiene et renovation par tranches.</t>
  </si>
  <si>
    <t>Urinoirs présents dans les accueils structurés pour adultes avec bloc hommes. Mix 2025 robuste : chasse directe mécanique majoritaire, part électronique limitée mais utile pour hygiène et maintenance.</t>
  </si>
  <si>
    <t>2025-2030 : progression modérée de l’électronique individuelle dans les rénovations, avec maintien de la chasse directe mécanique pour fiabilité en usage social intensif.</t>
  </si>
  <si>
    <t>Accueils de jour / haltes de jour : parc 2025 domine par reservoir (55%), avec chasse directe mecanique en appoint. Le choix reflete usage social intensif, occupation longue et budgets de gestion contraints ; robustesse, facilite de maintenance, hygiene et renovation par tranches.</t>
  </si>
  <si>
    <t>Potentiel neuf : limite pour accueils de jour / haltes de jour, surtout via extensions, reconstructions ou projets locaux. Le neuf reste contraint par foncier, budgets et delais de mise en service.</t>
  </si>
  <si>
    <t>Parc existant centre sur le niveau standard, avec ventes 2026-2030 legerement plus qualitatives. Accueils de jour / haltes de jour : usage social intensif, occupation longue et budgets de gestion contraints; le mix reste guide par robustesse, facilite de maintenance, hygiene et renovation par tranches.</t>
  </si>
  <si>
    <t>Accueils de jour / haltes de jour : ventes 2026-2030 en leger glissement vers moyen/premium lorsque le neuf ou les renov. lourdes interviennent. Le centre de gravite reste toutefois module par robustesse, facilite de maintenance, hygiene et renovation par tranches et par la part dominante de travaux sur parc existant.</t>
  </si>
  <si>
    <t>CHRS / Centres d’hébergement et de réinsertion sociale</t>
  </si>
  <si>
    <t>O ou J / variable</t>
  </si>
  <si>
    <t>Structures d’hébergement social avec espaces collectifs et sanitaires structurants ; éviter le double compte quand le CHRS partage un site déjà ventilé autrement.</t>
  </si>
  <si>
    <t>CHRS (personnes en difficulté sociale (logement, emploi, santé))</t>
  </si>
  <si>
    <t>CHRS explicitement dans le champ des services d’aide de l’enquête Sans Domicile 2025. Série revue comme parc d’établissements stable à long terme, avec faible hausse structurelle.</t>
  </si>
  <si>
    <t>CHRS : blocs collectifs d'étage + sanitaires accueil/personnel.</t>
  </si>
  <si>
    <t>Capacité type ≈ 47 usagers principaux + 6 staff + 2 autre public. Hébergement avec résidents et accompagnement social, chambres parfois sans salle d'eau privative. Dimensionnement unitaire retenu : WC/douches mutualisés par unité, staff séparé, dimensionné aux pics matin/soir. Hypothèse d'usage : capacité simultanée moyenne 2026, répartition par flux réels, arrondie par blocs fonctionnels et exclusion des sanitaires strictement privatifs sauf cas explicitement collectifs.</t>
  </si>
  <si>
    <t>Profil petit, capacité moyenne ≈ 55 personnes. Moyenne pondérée terrain : parc majoritairement petits/moyens sites, grands sites intégrés sans surpondération ; usage 2025 forte à très forte.</t>
  </si>
  <si>
    <t>Usage résidentiel social, rotation et contraintes budgétaires; douches quotidiennes, entretien correctif fréquent. Proche FJT mais plus contraint par public fragile et turnover. Repères durées: lavabos 12/13/9 ans (mit./méca/élec.), douches 11/10/8, urinoirs 10/12/8/10, WC 13/13/9.</t>
  </si>
  <si>
    <t>CHRS / Centres d’hébergement et de réinsertion sociale : parc 2025 domine par tempo mecanique (42%), avec mitigeur manuel en appoint. Le choix reflete usage social intensif, occupation longue et budgets de gestion contraints ; robustesse, facilite de maintenance, hygiene et renovation par tranches.</t>
  </si>
  <si>
    <t>CHRS / Centres d’hébergement et de réinsertion sociale : parc 2025 domine par mitigeur (65%), avec tempo mecanique en appoint. Le choix reflete usage social intensif, occupation longue et budgets de gestion contraints ; robustesse, facilite de maintenance, hygiene et renovation par tranches.</t>
  </si>
  <si>
    <t>CHRS / Centres d’hébergement et de réinsertion sociale : parc 2025 domine par directe mecanique (52%), avec directe electronique collective en appoint. Le choix reflete usage social intensif, occupation longue et budgets de gestion contraints ; robustesse, facilite de maintenance, hygiene et renovation par tranches.</t>
  </si>
  <si>
    <t>CHRS / Centres d’hébergement et de réinsertion sociale : parc 2025 domine par reservoir (55%), avec chasse directe mecanique en appoint. Le choix reflete usage social intensif, occupation longue et budgets de gestion contraints ; robustesse, facilite de maintenance, hygiene et renovation par tranches.</t>
  </si>
  <si>
    <t>Potentiel neuf : limite pour chrs / centres d’hébergement et de réinsertion sociale, surtout via extensions, reconstructions ou projets locaux. Le neuf reste contraint par foncier, budgets et delais de mise en service.</t>
  </si>
  <si>
    <t>Parc existant centre sur le niveau standard, avec ventes 2026-2030 legerement plus qualitatives. CHRS / Centres d’hébergement et de réinsertion sociale : usage social intensif, occupation longue et budgets de gestion contraints; le mix reste guide par robustesse, facilite de maintenance, hygiene et renovation par tranches.</t>
  </si>
  <si>
    <t>CHRS / Centres d’hébergement et de réinsertion sociale : ventes 2026-2030 en leger glissement vers moyen/premium lorsque le neuf ou les renov. lourdes interviennent. Le centre de gravite reste toutefois module par robustesse, facilite de maintenance, hygiene et renovation par tranches et par la part dominante de travaux sur parc existant.</t>
  </si>
  <si>
    <t>CADA / HUDA / CAES / Centres d’accueil pour demandeurs d’asile</t>
  </si>
  <si>
    <t>Structures d’hébergement et d’accueil avec sanitaires collectifs très probables ; à compter par site autonome d’hébergement.</t>
  </si>
  <si>
    <t>CADA, HUDA, CAES (demandeurs d’asile)</t>
  </si>
  <si>
    <t>Série combine CADA, puis montée HUDA et plus récemment CAES. Forte progression 2015=&gt;2025, cohérente avec extension capacités accueil demandeurs d’asile. Stabilisat° après 2026.</t>
  </si>
  <si>
    <t>https://www.data.gouv.fr/datasets/capacites-des-centres-daccueil-pour-demandeurs-dasile-de-1994-a-2024 ; https://www.insee.fr/fr/metadonnees/source/operation/s2125/presentation</t>
  </si>
  <si>
    <t>CADA/HUDA/CAES : sanitaires collectifs par unités d'hébergement + accueil/staff.</t>
  </si>
  <si>
    <t>Capacité type ≈ 80 usagers principaux + 8 staff + 2 autre public. Hébergement collectif ou semi-collectif de familles et isolés, avec gestion sociale. Dimensionnement unitaire retenu : blocs WC/douches mutualisés, arrondis par unités de vie et accessibilité. Hypothèse d'usage : capacité simultanée moyenne 2026, répartition par flux réels, arrondie par blocs fonctionnels et exclusion des sanitaires strictement privatifs sauf cas explicitement collectifs.</t>
  </si>
  <si>
    <t>Hébergement collectif avec familles, rotation administrative et usages partagés; maintenance gestionnaire variable. Proche CHRS, légèrement stabilisé si occupation familiale et encadrement. Repères durées: lavabos 12/13/9 ans (mit./méca/élec.), douches 11/10/8, urinoirs 10/12/8/10, WC 13/13/9.</t>
  </si>
  <si>
    <t>CADA / HUDA / CAES / Centres d’accueil pour demandeurs d’asile : parc 2025 domine par tempo mecanique (42%), avec mitigeur manuel en appoint. Le choix reflete usage social intensif, occupation longue et budgets de gestion contraints ; robustesse, facilite de maintenance, hygiene et renovation par tranches.</t>
  </si>
  <si>
    <t>CADA / HUDA / CAES / Centres d’accueil pour demandeurs d’asile : parc 2025 domine par mitigeur (65%), avec tempo mecanique en appoint. Le choix reflete usage social intensif, occupation longue et budgets de gestion contraints ; robustesse, facilite de maintenance, hygiene et renovation par tranches.</t>
  </si>
  <si>
    <t>CADA / HUDA / CAES / Centres d’accueil pour demandeurs d’asile : parc 2025 domine par directe mecanique (52%), avec directe electronique collective en appoint. Le choix reflete usage social intensif, occupation longue et budgets de gestion contraints ; robustesse, facilite de maintenance, hygiene et renovation par tranches.</t>
  </si>
  <si>
    <t>CADA / HUDA / CAES / Centres d’accueil pour demandeurs d’asile : parc 2025 domine par reservoir (55%), avec chasse directe mecanique en appoint. Le choix reflete usage social intensif, occupation longue et budgets de gestion contraints ; robustesse, facilite de maintenance, hygiene et renovation par tranches.</t>
  </si>
  <si>
    <t>Potentiel neuf : limite pour cada / huda / caes / centres d’accueil pour demandeurs d’asile, surtout via extensions, reconstructions ou projets locaux. Le neuf reste contraint par foncier, budgets et delais de mise en service.</t>
  </si>
  <si>
    <t>Parc existant centre sur le niveau standard, avec ventes 2026-2030 legerement plus qualitatives. CADA / HUDA / CAES / Centres d’accueil pour demandeurs d’asile : usage social intensif, occupation longue et budgets de gestion contraints; le mix reste guide par robustesse, facilite de maintenance, hygiene et renovation par tranches.</t>
  </si>
  <si>
    <t>CADA / HUDA / CAES / Centres d’accueil pour demandeurs d’asile : ventes 2026-2030 en leger glissement vers moyen/premium lorsque le neuf ou les renov. lourdes interviennent. Le centre de gravite reste toutefois module par robustesse, facilite de maintenance, hygiene et renovation par tranches et par la part dominante de travaux sur parc existant.</t>
  </si>
  <si>
    <t>Foyers de jeunes travailleurs / Résidences sociales / Foyers de travailleurs migrants</t>
  </si>
  <si>
    <t>O ou mixte / variable</t>
  </si>
  <si>
    <t>Logements-foyers et résidences sociales avec locaux communs et sanitaires structurants ; à isoler lorsqu’ils ne sont pas déjà rangés dans une autre ligne logement collectif.</t>
  </si>
  <si>
    <t>FJT, résidence sociale, foyer de travailleurs migrants, Résidence sociale issue d’ancien FTM, FTM ancien ou partiellement transformé</t>
  </si>
  <si>
    <t>Trajectoire historique retenue traduit la montée des résidences sociales depuis 1995, l’essor des résidences jeunes et la transformation progressive des FTM.</t>
  </si>
  <si>
    <t>https://www.unafo.org/lunafo/ ; https://www.unafo.org/le-logement-accompagne/les-residences-sociales/ ; https://www.unafo.org/le-logement-accompagne/les-foyers-de-travailleurs-migrants/ ; https://www.unafo.org/le-logement-accompagne/les-foyers-de-jeunes-travailleurs-fjt/</t>
  </si>
  <si>
    <t>FJT/résidences sociales : sanitaires collectifs des espaces communs + part de chambres non privatives.</t>
  </si>
  <si>
    <t>Capacité type ≈ 126 usagers principaux + 10 staff + 4 autre public. Résidents longue durée, locaux communs et parfois blocs d'étage historiques. Dimensionnement unitaire retenu : blocs communs/d'étage, hors logements équipés de salles d'eau privatives. Hypothèse d'usage : capacité simultanée moyenne 2026, répartition par flux réels, arrondie par blocs fonctionnels et exclusion des sanitaires strictement privatifs sauf cas explicitement collectifs.</t>
  </si>
  <si>
    <t>Profil moyen, capacité moyenne ≈ 140 personnes. Moyenne pondérée terrain : parc majoritairement petits/moyens sites, grands sites intégrés sans surpondération ; usage 2025 forte à très forte.</t>
  </si>
  <si>
    <t>Résidentiel collectif durable, usage matin/soir, douches partagées et budgets sociaux contraints. Proche résidence étudiante mais un peu plus bas par maintenance corrective. Repères durées: lavabos 12/13/9 ans (mit./méca/élec.), douches 11/10/8, urinoirs 10/12/8/10, WC 13/13/9.</t>
  </si>
  <si>
    <t>Foyers de jeunes travailleurs / Résidences sociales / Foyers de travailleurs migrants : parc 2025 domine par tempo mecanique (42%), avec mitigeur manuel en appoint. Le choix reflete usage social intensif, occupation longue et budgets de gestion contraints ; robustesse, facilite de maintenance, hygiene et renovation par tranches.</t>
  </si>
  <si>
    <t>Foyers de jeunes travailleurs / Résidences sociales / Foyers de travailleurs migrants : parc 2025 domine par mitigeur (65%), avec tempo mecanique en appoint. Le choix reflete usage social intensif, occupation longue et budgets de gestion contraints ; robustesse, facilite de maintenance, hygiene et renovation par tranches.</t>
  </si>
  <si>
    <t>Foyers de jeunes travailleurs / Résidences sociales / Foyers de travailleurs migrants : parc 2025 domine par directe mecanique (52%), avec directe electronique collective en appoint. Le choix reflete usage social intensif, occupation longue et budgets de gestion contraints ; robustesse, facilite de maintenance, hygiene et renovation par tranches.</t>
  </si>
  <si>
    <t>Foyers de jeunes travailleurs / Résidences sociales / Foyers de travailleurs migrants : parc 2025 domine par reservoir (55%), avec chasse directe mecanique en appoint. Le choix reflete usage social intensif, occupation longue et budgets de gestion contraints ; robustesse, facilite de maintenance, hygiene et renovation par tranches.</t>
  </si>
  <si>
    <t>Potentiel neuf : limite pour foyers de jeunes travailleurs / résidences sociales / foyers de travailleurs migrants, surtout via extensions, reconstructions ou projets locaux. Le neuf reste contraint par foncier, budgets et delais de mise en service.</t>
  </si>
  <si>
    <t>Parc existant centre sur le niveau standard, avec ventes 2026-2030 legerement plus qualitatives. Foyers de jeunes travailleurs / Résidences sociales / Foyers de travailleurs migrants : usage social intensif, occupation longue et budgets de gestion contraints; le mix reste guide par robustesse, facilite de maintenance, hygiene et renovation par tranches.</t>
  </si>
  <si>
    <t>Foyers de jeunes travailleurs / Résidences sociales / Foyers de travailleurs migrants : ventes 2026-2030 en leger glissement vers moyen/premium lorsque le neuf ou les renov. lourdes interviennent. Le centre de gravite reste toutefois module par robustesse, facilite de maintenance, hygiene et renovation par tranches et par la part dominante de travaux sur parc existant.</t>
  </si>
  <si>
    <t>Administrations recevant du public.</t>
  </si>
  <si>
    <t>Mairie, hôtel de ville</t>
  </si>
  <si>
    <t>Recompte par sites administratifs municipaux. Base = nbre communes (DGCL/Insee) ; supplément = subdivisions communales officiellement dotées d’annexe de mairie (communes associées, communes déléguées, arrondissements municipaux).</t>
  </si>
  <si>
    <t>nombre de communes = proxy du nombre de mairies principales. Dynamique projetée 2027-2030: baisse très lente. Fiabilité: bonne.</t>
  </si>
  <si>
    <t>https://www.vie-publique.fr/en-bref/298350-collectivites-34-875-communes-au-1er-janvier-2025</t>
  </si>
  <si>
    <t>Mairie/hôtel de ville : bloc public/état civil + sanitaires agents.</t>
  </si>
  <si>
    <t>Capacité type ≈ 25 usagers principaux + 12 staff + 3 autre public. Accueil administratif de proximité, salles de réunion et élus/agents. Dimensionnement unitaire retenu : 1 bloc public accessible + sanitaires personnel, ajustés par taille de commune. Hypothèse d'usage : capacité simultanée moyenne 2026, répartition par flux réels, arrondie par blocs fonctionnels et exclusion des sanitaires strictement privatifs sauf cas explicitement collectifs.</t>
  </si>
  <si>
    <t>Accueil public régulier mais flux modéré, cérémonies ponctuelles et faible humidité; maintenance patrimoniale municipale. Long, proche préfecture mais trafic moindre. Usage public régulier globalement respectueux, avec maintenance patrimoniale classique. Temporisés mécaniques gardent un léger avantage de durée réelle. Electronique reste plus courte si la maintenance n'est pas contractualisée. Remplacements se font plutôt par bâtiment ou par noyau sanitaire lors de travaux programmés. Usage tertiaire moyen, faible vandalisme, rénovations par lots tirées par l’accessibilité et la trajectoire Éco Énergie Tertiaire.</t>
  </si>
  <si>
    <t>Dans les mairies, préfectures et grands bâtiments administratifs, le parc existant reste équilibré entre mitigeur et solutions plus ERP ; l’électronique est déjà bien présente sur les rénovations. Le choix reflete accueil public de jour, flux moderes et renov. liees aux rogrammes patrimoniaux ; accessibilite, image institutionnelle et maintenance sobre.</t>
  </si>
  <si>
    <t>77,4% retenu : besoins transformes en travaux selon accueil public de jour, flux moderes et renov. liees aux programmes patrimoniaux. Le phasage budgetaire, les fermetures partielles et la maintenance courante limitent la conversion totale.</t>
  </si>
  <si>
    <t>Potentiel renovation : tire par accessibilite, image institutionnelle et maintenance sobre. Les remplacements sont plutot par lots, avec arbitrage entre urgence sanitaire, budget et capacite a intervenir en site occupe.</t>
  </si>
  <si>
    <t>Potentiel neuf : limite pour mairies / hôtels de ville, surtout via extensions, reconstructions ou projets locaux. Le neuf reste contraint par foncier, budgets et delais de mise en service.</t>
  </si>
  <si>
    <t>Parc existant centre sur le niveau mid, avec ventes 2026-2030 legerement plus qualitatives. Mairies / hôtels de ville : accueil public de jour, flux moderes et renov. liees aux programmes patrimoniaux; le mix reste guide par accessibilite, image institutionnelle et maintenance sobre.</t>
  </si>
  <si>
    <t>Parc existant : accessibilite, image institutionnelle et maintenance sobre; accueil public de jour, flux moderes et renov. liees aux programmes patrimoniaux. La montee en confort reste proportionnee au budget et au rythme de renovation.</t>
  </si>
  <si>
    <t>Mairies / hôtels de ville : ventes 2026-2030 en leger glissement vers moyen/premium lorsque le neuf ou les renov. lourdes interviennent. Le centre de gravite reste toutefois module par accessibilite, image institutionnelle et maintenance sobre et par la part dominante de travaux sur parc existant.</t>
  </si>
  <si>
    <t>Bureaux administratifs secondaires non ERP &gt;50 salariés</t>
  </si>
  <si>
    <t>Hors ERP dominant / personnel uniquement</t>
  </si>
  <si>
    <t>Sites de gestion interne &gt;50 salariés, directions support sans accueil, back-offices administratifs de l’État, services techniques / RH / finances de collectivités, annexes administratives d’universités ou de rectorats, back-offices CPAM, CARSAT, ARS, MSA, CROUS, bâtiments administratifs hospitaliers séparés des zones patient/public</t>
  </si>
  <si>
    <t>sites de gestion interne &gt;50 salariés, directions support sans accueil, back-offices administratifs de l’État, services techniques / RH / finances de collectivités, annexes administratives d’universités ou de rectorats, back-offices CPAM, CARSAT, ARS, MSA, CROUS, bâtiments administratifs hospitaliers séparés des zones patient/public</t>
  </si>
  <si>
    <t>Stock résiduel hors sous-segments déjà comptés dans le modèle : mairies, hôtels département/région … Érosion légère post-2025 liée à la rationalisation immobilière publique, au télétravail et aux regroupements de sites.</t>
  </si>
  <si>
    <t>Besoin back-office reste structurel compte tenu du volume d’agents publics et d’établissements employeurs publics. Nombre sites secondaires décroît légèrement =&gt; réduction ciblée de surfaces bureaux de l’État, mutualisation et fermeture/regroupement sites internes.</t>
  </si>
  <si>
    <t>https://www.insee.fr/fr/metadonnees/source/serie/s1042 ; https://www.insee.fr/fr/statistiques/8956736?geo=FRANCE-1 ; https://www.fonction-publique.gouv.fr/toutes-les-publications/rapport-annuel-sur-letat-de-la-fonction-publique-edition-2024 ; https://presse.economie.gouv.fr/bilan-2023-et-perspectives-2024-de-limmobilier-de-letat-un-parc-mieux-valorise-plus-sobre-et-plus-durable/</t>
  </si>
  <si>
    <t>Bureaux administratifs non ERP : sanitaires salariés par noyaux, visiteurs négligeables.</t>
  </si>
  <si>
    <t>Capacité type ≈ 150 usagers principaux + 17 staff + 3 autre public. Occupation de bureaux sans accueil public structurant. Dimensionnement unitaire retenu : cabinets/lavabos séparés selon effectif simultané et Code du travail. Hypothèse d'usage : capacité simultanée moyenne 2026, répartition par flux réels, arrondie par blocs fonctionnels et exclusion des sanitaires strictement privatifs sauf cas explicitement collectifs.</t>
  </si>
  <si>
    <t>Usage principalement salariés, peu de public et faible vandalisme; nettoyage régulier. Proche tertiaire privé, légèrement contraint par cycles budgétaires publics. Repères durées: lavabos 13/13/10 ans (mit./méca/élec.), douches 12/11/9, urinoirs 11/13/9/11, WC 14/14/10.</t>
  </si>
  <si>
    <t>77,6% retenu : besoins transformes en travaux selon accueil public de jour, flux moderes et renov. liees aux programmes patrimoniaux. Le phasage budgetaire, les fermetures partielles et la maintenance courante limitent la conversion totale.</t>
  </si>
  <si>
    <t>Potentiel neuf : limite pour bureaux administratifs secondaires non erp &gt;50 salariés, surtout via extensions, reconstructions ou projets locaux. Le neuf reste contraint par foncier, budgets et delais de mise en service.</t>
  </si>
  <si>
    <t>Parc existant centre sur le niveau mid, avec ventes 2026-2030 legerement plus qualitatives. Bureaux administratifs secondaires non ERP &gt;50 salariés : accueil public de jour, flux moderes et renov. liees aux programmes patrimoniaux; le mix reste guide par accessibilite, image institutionnelle et maintenance sobre.</t>
  </si>
  <si>
    <t>Bureaux administratifs secondaires non ERP &gt;50 salariés : ventes 2026-2030 en leger glissement vers moyen/premium lorsque le neuf ou les renov. lourdes interviennent. Le centre de gravite reste toutefois module par accessibilite, image institutionnelle et maintenance sobre et par la part dominante de travaux sur parc existant.</t>
  </si>
  <si>
    <t xml:space="preserve">Hôtels du département
Hôtels de région 
&amp; Services administratifs territoriaux </t>
  </si>
  <si>
    <t>Conseil départemental ; hôtel de région ; siège administratif territorial central</t>
  </si>
  <si>
    <t>Ancrage sur 101 départements et 26 puis 18 régions ; supplément multi-sites fondé sur organisations territoriales officiellement affichées par Régions. Anciens doublons sites régionaux désormais traités plus restrictivement.</t>
  </si>
  <si>
    <t>Pour salariés, présence sanitaires universelle (code du travail) ; pour public, non-systématique. 2026-30 =&gt; Quelques sites centraux multiples subsistent , mais moins qu’avant la fusion régions.</t>
  </si>
  <si>
    <t>https://www.collectivites-locales.gouv.fr/bis-ndeg195-les-structures-territoriales-au-1er-janvier-2025
https://www.insee.fr/fr/statistiques/5039877?sommaire=5040030
https://www.insee.fr/fr/metadonnees/definition/c2297
https://www.collectivites-locales.gouv.fr/connaitre-les-acteurs-et-les-institutions/structures-territoriales/les-communes/le-territoire-communal/la-creation-dune-commune-nouvelle
https://codegeo.fr/
https://www.legifrance.gouv.fr/codes/section_lc/LEGITEXT000006072050/LEGISCTA000018489205/</t>
  </si>
  <si>
    <t>Hôtel département/région : bloc public/assemblée + sanitaires agents par étages.</t>
  </si>
  <si>
    <t>Capacité type ≈ 240 usagers principaux + 85 staff + 25 autre public. Accueil institutionnel, réunions, élus, agents et visiteurs. Dimensionnement unitaire retenu : batteries public/assemblée + noyaux salariés, PMR par niveaux ouverts. Hypothèse d'usage : capacité simultanée moyenne 2026, répartition par flux réels, arrondie par blocs fonctionnels et exclusion des sanitaires strictement privatifs sauf cas explicitement collectifs.</t>
  </si>
  <si>
    <t>Guichets territoriaux, flux sociaux/modérés, maintenance publique externalisée; faible humidité. Proche France Services, plus long si site récent et fréquentation faible. Repères durées: lavabos 13/14/10 ans (mit./méca/élec.), douches 12/11/9, urinoirs 11/13/9/11, WC 14/14/10.</t>
  </si>
  <si>
    <t>Potentiel neuf : limite pour hôtels du département hôtels de région &amp; services administratifs territoriaux, surtout via extensions, reconstructions ou projets locaux. Le neuf reste contraint par foncier, budgets et delais de mise en service.</t>
  </si>
  <si>
    <t>Parc existant centre sur le niveau mid, avec ventes 2026-2030 legerement plus qualitatives. Hôtels du département Hôtels de région &amp; Services administratifs territoriaux : accueil public de jour, flux moderes et renov. liees aux programmes patrimoniaux; le mix reste guide par accessibilite, image institutionnelle et maintenance sobre.</t>
  </si>
  <si>
    <t>Hôtels du département Hôtels de région &amp; Services administratifs territoriaux : ventes 2026-2030 en leger glissement vers moyen/premium lorsque le neuf ou les renov. lourdes interviennent. Le centre de gravite reste toutefois module par accessibilite, image institutionnelle et maintenance sobre et par la part dominante de travaux sur parc existant.</t>
  </si>
  <si>
    <t>Accueil administratif du public.</t>
  </si>
  <si>
    <t>Maisons du Département ; Maisons de la Région ; Antennes territoriales régionales / départementales</t>
  </si>
  <si>
    <t xml:space="preserve">Noyau dur provient des nombreuses maisons des solidarités / du département gérées par les conseils départementaux, complété par les maisons et antennes des régions. </t>
  </si>
  <si>
    <t>Hausse 2000-2025 reflète surtout la territorialisation des services sociaux, de l’insertion, de l’emploi-formation et des permanences locales ; la projection 2026-2030 reste faiblement haussière.</t>
  </si>
  <si>
    <t>https://www.departements.fr/les-departements/ ; https://regions-france.org/nos-regions/ ; https://lannuaire.service-public.fr/</t>
  </si>
  <si>
    <t>Maison département/région : guichet public + sanitaires agents.</t>
  </si>
  <si>
    <t>Capacité type ≈ 50 usagers principaux + 17 staff + 3 autre public. Antenne territoriale avec accueil social/administratif et bureaux. Dimensionnement unitaire retenu : petit bloc public accessible + sanitaires personnel séparés. Hypothèse d'usage : capacité simultanée moyenne 2026, répartition par flux réels, arrondie par blocs fonctionnels et exclusion des sanitaires strictement privatifs sauf cas explicitement collectifs.</t>
  </si>
  <si>
    <t>Profil petit, capacité moyenne ≈ 70 personnes. Moyenne pondérée terrain : parc majoritairement petits/moyens sites, grands sites intégrés sans surpondération ; usage 2025 modérée à forte par pics.</t>
  </si>
  <si>
    <t>Bâtiments administratifs à forte fréquentation institutionnelle, pics réunions mais public encadré. Durées longues, renouvelées par marchés publics et rénovations patrimoniales. Repères durées: lavabos 13/14/10 ans (mit./méca/élec.), douches 12/11/9, urinoirs 11/13/9/11, WC 14/14/10.</t>
  </si>
  <si>
    <t>Maisons du département / Maisons de la région / Antennes territoriales : parc 2025 domine par tempo mecanique (50%), avec mitigeur manuel en appoint. Le choix reflete usage collectif regulier, contraintes de maintenance et arbitrages budgetaires ; robustesse, hygiene et cout global restent prioritaires.</t>
  </si>
  <si>
    <t>Maisons du département / Maisons de la région / Antennes territoriales : parc 2025 domine par directe mecanique (50%), avec directe electronique collective en appoint. Le choix reflete usage collectif regulier, contraintes de maintenance et arbitrages budgetaires ; robustesse, hygiene et cout global restent prioritaires.</t>
  </si>
  <si>
    <t>Maisons du département / Maisons de la région / Antennes territoriales : parc 2025 domine par reservoir (55%), avec chasse directe mecanique en appoint. Le choix reflete usage collectif regulier, contraintes de maintenance et arbitrages budgetaires ; robustesse, hygiene et cout global restent prioritaires.</t>
  </si>
  <si>
    <t>Potentiel neuf : limite pour maisons du département / maisons de la région / antennes territoriales, surtout via extensions, reconstructions ou projets locaux. Le neuf reste contraint par foncier, budgets et delais de mise en service.</t>
  </si>
  <si>
    <t>Parc existant centre sur le niveau standard, avec ventes 2026-2030 legerement plus qualitatives. Maisons du département / Maisons de la région / Antennes territoriales : usage collectif regulier, contraintes de maintenance et arbitrages budgetaires; le mix reste guide par robustesse, hygiene et cout global restent prioritaires.</t>
  </si>
  <si>
    <t>Maisons du département / Maisons de la région / Antennes territoriales : ventes 2026-2030 en leger glissement vers moyen/premium lorsque le neuf ou les renov. lourdes interviennent. Le centre de gravite reste toutefois module par robustesse, hygiene et cout global restent prioritaires et par la part dominante de travaux sur parc existant.</t>
  </si>
  <si>
    <t>Préfecture, sous-préfecture (hors points d’accueil numérique dédiés, hors France Services autonomes)</t>
  </si>
  <si>
    <t>proxy institutionnel / réseau préfectoral et sous-préfectoral</t>
  </si>
  <si>
    <t>Le réseau préfectoral et sous-préfectoral bouge très peu ; Stagnation cohérente avec maillage administratif. Base principale = réseau préfectoral. L’Intérieur indique aujourd’hui 18 préfectures de région, 101 préfectures de département et 234 sous-préfectures</t>
  </si>
  <si>
    <t>Proxy révisé sur le réseau préfectoral et sous-préfectoral ; les implantations bougent peu, la projection est donc plate. Fiabilité: moyenne.</t>
  </si>
  <si>
    <t>https://www.interieur.gouv.fr/Le-ministere/Prefectures
https://www.interieur.gouv.fr/prefectures
https://www.legifrance.gouv.fr/codes/section_lc/LEGITEXT000006072050/LEGISCTA000018489205/</t>
  </si>
  <si>
    <t>Capacité type ≈ 213 usagers principaux + 25 staff + 12 prestataires/visiteurs. Le programme sanitaire est construit par blocs fonctionnels plausibles (public, personnel, exploitation/hébergement selon le cas) et non par simple ratio national moyen. Calibrage selon capacité simultanée, répartition de flux et organisation réelle du site.</t>
  </si>
  <si>
    <t>Usage public régulier mais globalement respectueux, avec maintenance patrimoniale classique. Les temporisés mécaniques gardent un léger avantage de durée réelle. L'électronique reste plus courte si la maintenance n'est pas contractualisée. Les remplacements se font plutôt par bâtiment ou par noyau sanitaire lors de travaux programmés. Bureaux / administration / justice : Usage tertiaire moyen, faible vandalisme, rénovations par lots tirées par l’immobilier tertiaire, l’accessibilité et la trajectoire Éco Énergie Tertiaire.</t>
  </si>
  <si>
    <t>Dans les mairies, préfectures et grands bâtiments administratifs, le parc existant reste équilibré entre mitigeur et solutions plus ERP ; l’électronique est déjà bien présente sur les rénovations. Ajustement ciblé 2025 : légère baisse du mitigeur et/ou légère hausse de l’électronique pour mieux refléter la modernisation déjà visible sur les rénovations de sanitaires communs.</t>
  </si>
  <si>
    <t>Les administrations publiques rénovent progressivement leurs sanitaires 2025-2030 : recul du mitigeur, progression de l’électronique, mais sans disparition rapide du parc existant.</t>
  </si>
  <si>
    <t>Les urinoirs automatiques progressent dans les bâtiments administratifs récents, mais le parc mécanique/direct reste important.</t>
  </si>
  <si>
    <t>Progression modérée de l’automatique dans les rénovations des bâtiments publics ; recul des réservoirs les plus anciens.</t>
  </si>
  <si>
    <t>Le réservoir demeure un peu majoritaire, avec une montée progressive des chasses directes et électroniques.</t>
  </si>
  <si>
    <t>Dans les bâtiments publics, le réservoir recule au profit du direct, puis de l’électronique sur les rénovations plus qualitatives.</t>
  </si>
  <si>
    <t>Potentiel rénovation moyen à soutenu : bâtiments publics souvent anciens, avec reprise des sanitaires lors de mises aux normes, d’améliorations énergétiques et d’accueil du public. Les lavabos et les WC portent l’essentiel des volumes, avec un poids secondaire des équipements spécialisés. En rénovation, le marché reste favorable aux gammes robustes et simples d’entretien, compatibles avec des chantiers par tranches et des budgets contraints.</t>
  </si>
  <si>
    <t>Potentiel neuf faible : surtout via regroupements administratifs, reconstructions ou extensions ponctuelles. Le neuf est quasi nul dans le modèle et renvoie surtout à des reconstructions ou remplacements de sites.</t>
  </si>
  <si>
    <t>Projets phares réno : sanitaires public/personnel, halls d’accueil, accessibilité, rénovation énergétique et confort d’été.</t>
  </si>
  <si>
    <t>Projets phares neuf : hôtels de ville reconstruits, cités administratives, extensions ou relocalisations de services.</t>
  </si>
  <si>
    <t>Dynamique réno 2026-2030 : soutenue par la sobriété énergétique et la modernisation de l’accueil, mais conditionnée par les finances publiques.</t>
  </si>
  <si>
    <t>Dynamique neuf 2026-2030 : modérée à faible ; peu de programmes massifs hors opérations ciblées de réorganisation administrative.</t>
  </si>
  <si>
    <t>Parc existant surtout standard. Les ventes restent proches du parc, centré sur intermédiaire, du fait de budgets et de rénovations menées surtout par lots. La rénovation restant majoritaire, le mix de ventes reste proche du parc et monte surtout d’un cran sur les opérations lourdes. Administrations : parc plutôt standard, avec améliorations liées aux réhabilitations globales, à l’accessibilité et à l’accueil du public plus qu’à une recherche de luxe.</t>
  </si>
  <si>
    <t>Administrations : parc plutôt standard, avec améliorations liées aux réhabilitations globales, à l’accessibilité et à l’accueil du public plus qu’à une recherche de luxe.</t>
  </si>
  <si>
    <t>Préfectures / services administratifs : préfectures et centres administratifs plus institutionnels, avec qualité visible dans les espaces d’accueil. Ventes 2026-2030 : glissement vers davantage de moyen / premium, surtout sur lavabo (+8,5 pts sur premium+luxe), WC (+6,8 pts sur premium+luxe), urinoir (+4,4 pts sur premium+luxe). La rénovation reste majoritaire (81% des ventes, contre 19% en neuf) ; le neuf tire le mix vers le haut sans renverser le centre de gravité. L’écart de niveau de confort entre neuf et rénovation est net.</t>
  </si>
  <si>
    <t>Sièges d’intercommunalité 
(hors France Services autonomes)</t>
  </si>
  <si>
    <t>Toulouse Métropole ; Grand Annecy ; Communauté de communes</t>
  </si>
  <si>
    <t xml:space="preserve">Ligne quasi directe sur la base du nombre d’EPCI à fiscalité propre, en retenant un siège principal par EPCI. Valeurs 2000, 2005, 2010, 2015, 2016, 2017, 2024, 2025 et 2026 sont ancrées sur les séries DGCL </t>
  </si>
  <si>
    <t>Ces sièges ont presque toujours des sanitaires pour agents et visiteurs, même quand l’accueil du public est limité ou sur rendez-vous.</t>
  </si>
  <si>
    <t>https://www.collectivites-locales.gouv.fr/files/Accueil/Statistiques/BilanStat_EPCIaFP_Janv2010.pdf ; https://www.collectivites-locales.gouv.fr/bis-ndeg195-les-structures-territoriales-au-1er-janvier-2025 ; https://www.collectivites-locales.gouv.fr/etudes-et-statistiques/acces-par-thematique/perimetre-des-intercommunalites/cartographie-des-epci-fiscalite-propre</t>
  </si>
  <si>
    <t>Siège d'intercommunalité : accueil/élus + sanitaires agents par noyaux.</t>
  </si>
  <si>
    <t>Capacité type ≈ 45 usagers principaux + 40 staff + 5 autre public. Réunions institutionnelles et bureaux, public plus ponctuel que préfecture. Dimensionnement unitaire retenu : bloc public/assemblée compact + sanitaires salariés. Hypothèse d'usage : capacité simultanée moyenne 2026, répartition par flux réels, arrondie par blocs fonctionnels et exclusion des sanitaires strictement privatifs sauf cas explicitement collectifs.</t>
  </si>
  <si>
    <t>Profil moyen, capacité moyenne ≈ 90 personnes. Moyenne pondérée terrain : parc majoritairement petits/moyens sites, grands sites intégrés sans surpondération ; usage 2025 modérée, majoritairement courte.</t>
  </si>
  <si>
    <t>Usage administratif et réunions, trafic public limité, faible vandalisme; maintenance programmée. Proche mairie, plutôt favorable sur mécaniques et WC. Repères durées: lavabos 13/14/10 ans (mit./méca/élec.), douches 12/11/9, urinoirs 11/13/9/11, WC 14/14/10.</t>
  </si>
  <si>
    <t>Sièges d’intercommunalité (hors France Services autonomes) : parc 2025 domine par tempo mecanique (50%), avec mitigeur manuel en appoint. Le choix reflete accueil public de jour, flux moderes et renov. liees aux programmes patrimoniaux ; accessibilite, image institutionnelle et maintenance sobre.</t>
  </si>
  <si>
    <t>Sièges d’intercommunalité (hors France Services autonomes) : parc 2025 domine par directe mecanique (50%), avec directe electronique collective en appoint. Le choix reflete accueil public de jour, flux moderes et renov. liees aux programmes patrimoniaux ; accessibilite, image institutionnelle et maintenance sobre.</t>
  </si>
  <si>
    <t>Sièges d’intercommunalité (hors France Services autonomes) : parc 2025 domine par reservoir (55%), avec chasse directe mecanique en appoint. Le choix reflete accueil public de jour, flux moderes et renov. liees aux programmes patrimoniaux ; accessibilite, image institutionnelle et maintenance sobre.</t>
  </si>
  <si>
    <t>76,8% retenu : besoins transformes en travaux selon accueil public de jour, flux moderes et renov. liees aux programmes patrimoniaux. Le phasage budgetaire, les fermetures partielles et la maintenance courante limitent la conversion totale.</t>
  </si>
  <si>
    <t>Potentiel neuf : limite pour sièges d’intercommunalité (hors france services autonomes), surtout via extensions, reconstructions ou projets locaux. Le neuf reste contraint par foncier, budgets et delais de mise en service.</t>
  </si>
  <si>
    <t>Parc existant centre sur le niveau mid, avec ventes 2026-2030 legerement plus qualitatives. Sièges d’intercommunalité (hors France Services autonomes) : accueil public de jour, flux moderes et renov. liees aux programmes patrimoniaux; le mix reste guide par accessibilite, image institutionnelle et maintenance sobre.</t>
  </si>
  <si>
    <t>Sièges d’intercommunalité (hors France Services autonomes) : ventes 2026-2030 en leger glissement vers moyen/premium lorsque le neuf ou les renov. lourdes interviennent. Le centre de gravite reste toutefois module par accessibilite, image institutionnelle et maintenance sobre et par la part dominante de travaux sur parc existant.</t>
  </si>
  <si>
    <t>Rectorat, DSDEN</t>
  </si>
  <si>
    <t>La structure du réseau est très stable à l’échelle nationale. Le ministère indique aujourd’hui 30 académies et 97 DSDEN ; le stock est donc ramené à 127 sites principaux recevant du public.</t>
  </si>
  <si>
    <t>Série historique maintenue quasi stable car réformes ont modifié organisation régionale + périmètres académiques, sans supprimer implantations rectorales, départementales ouvertes aux usagers.</t>
  </si>
  <si>
    <t>https://www.education.gouv.fr/les-regions-academiques-academies-et-services-departementaux-de-l-education-nationale-6557 ; https://lannuaire.service-public.fr/</t>
  </si>
  <si>
    <t>Rectorat/DSDEN : guichets/réunions + sanitaires agents.</t>
  </si>
  <si>
    <t>Capacité type ≈ 100 usagers principaux + 50 staff + 10 autre public. Agents administratifs, visiteurs professionnels et réunions. Dimensionnement unitaire retenu : batterie publique limitée + noyaux salariés par étages. Hypothèse d'usage : capacité simultanée moyenne 2026, répartition par flux réels, arrondie par blocs fonctionnels et exclusion des sanitaires strictement privatifs sauf cas explicitement collectifs.</t>
  </si>
  <si>
    <t>Profil moyen, capacité moyenne ≈ 160 personnes. Moyenne pondérée terrain : parc majoritairement petits/moyens sites, grands sites intégrés sans surpondération ; usage 2025 modérée, majoritairement courte.</t>
  </si>
  <si>
    <t>Guichet de proximité, flux régulier et publics variés; petits blocs, maintenance communale. Légèrement sous mairie car accueil plus continu. Usage administratif, visiteurs sur rendez-vous et pics ponctuels de rentrée; faible humidité. Proche hôtels de région, électronique raccourci par obsolescence. Repères durées: lavabos 13/14/10 ans (mit./méca/élec.), douches 12/11/9, urinoirs 11/13/9/11, WC 14/14/10.</t>
  </si>
  <si>
    <t>Rectorats / DSDEN : parc 2025 domine par tempo mecanique (50%), avec mitigeur manuel en appoint. Le choix reflete accueil public de jour, flux moderes et renov. liees aux programmes patrimoniaux ; accessibilite, image institutionnelle et maintenance sobre.</t>
  </si>
  <si>
    <t>Rectorats / DSDEN : parc 2025 domine par directe mecanique (50%), avec directe electronique collective en appoint. Le choix reflete accueil public de jour, flux moderes et renov. liees aux programmes patrimoniaux ; accessibilite, image institutionnelle et maintenance sobre.</t>
  </si>
  <si>
    <t>Rectorats / DSDEN : parc 2025 domine par reservoir (55%), avec chasse directe mecanique en appoint. Le choix reflete accueil public de jour, flux moderes et renov. liees aux programmes patrimoniaux ; accessibilite, image institutionnelle et maintenance sobre.</t>
  </si>
  <si>
    <t>Potentiel neuf : limite pour rectorats / dsden, surtout via extensions, reconstructions ou projets locaux. Le neuf reste contraint par foncier, budgets et delais de mise en service.</t>
  </si>
  <si>
    <t>Parc existant centre sur le niveau mid, avec ventes 2026-2030 legerement plus qualitatives. Rectorats / DSDEN : accueil public de jour, flux moderes et renov. liees aux programmes patrimoniaux; le mix reste guide par accessibilite, image institutionnelle et maintenance sobre.</t>
  </si>
  <si>
    <t>Rectorats / DSDEN : ventes 2026-2030 en leger glissement vers moyen/premium lorsque le neuf ou les renov. lourdes interviennent. Le centre de gravite reste toutefois module par accessibilite, image institutionnelle et maintenance sobre et par la part dominante de travaux sur parc existant.</t>
  </si>
  <si>
    <t>Maisons France Services / Guichets publics autonomes ou dédiés</t>
  </si>
  <si>
    <t>Maison de services publics</t>
  </si>
  <si>
    <t>Maillage institutionnel ou d’infrastructure piloté administrativement ; la variation annuelle du nombre de sites est généralement faible.</t>
  </si>
  <si>
    <t>ancrage réseau France services, 2025 &gt; 2 800. Dynamique projetée 2027-2030: hausse modérée. Fiabilité: bonne.</t>
  </si>
  <si>
    <t>https://www.france-services.gouv.fr/notre-mission/un-service-public-de-proximite</t>
  </si>
  <si>
    <t>Guichet public de petite taille : un bloc usagers et un bloc équipe.</t>
  </si>
  <si>
    <t>Capacité type ≈ 22 usagers principaux + 2 staff + 1 partenaires/prestataires. Le programme sanitaire est construit par blocs fonctionnels plausibles (public, personnel, exploitation/hébergement selon le cas) et non par simple ratio national moyen. Calibrage selon capacité simultanée, répartition de flux et organisation réelle du site.</t>
  </si>
  <si>
    <t>Profil très petit, capacité moyenne ≈ 25 personnes. Moyenne pondérée terrain : parc majoritairement petits/moyens sites, grands sites intégrés sans surpondération ; usage 2025 modérée, majoritairement courte.</t>
  </si>
  <si>
    <t>Faible nombre de cycles annuels et faible humidité hors périodes d'affluence. cela allonge la durée réelle malgré des budgets souvent contraints. Les écarts entre technologies sont volontairement resserrés, la faible fréquence d'usage jouant davantage que la sophistication produit. Renouvellement surtout à la panne, avec peu de batch hors gros travaux. Culte / associatif faible intensité : Fréquentation faible à modérée, faible vandalisme, remplacement souvent différé pour raisons budgétaires. équipements conservés plus longtemps.</t>
  </si>
  <si>
    <t>Les Maisons France Services relèvent d’un parc petit tertiaire/public : le mitigeur reste majoritaire, l’électronique étant plus occasionnelle. Ajustement ciblé 2025 : légère baisse du mitigeur et/ou légère hausse de l’électronique pour mieux refléter la modernisation déjà visible sur les rénovations de sanitaires communs.</t>
  </si>
  <si>
    <t>Les rares urinoirs restent majoritairement sur des technologies classiques.</t>
  </si>
  <si>
    <t>Le réservoir domine encore ce petit parc tertiaire/public.</t>
  </si>
  <si>
    <t>Potentiel rénovation moyen à soutenu : adaptation de locaux existants pour améliorer l’accueil et la confidentialité, souvent par petits travaux rapides.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t>
  </si>
  <si>
    <t>Potentiel neuf moyen : le maillage France services s’est fortement densifié et le marché bascule davantage vers l’optimisation de l’existant ; le neuf est significatif mais encore nettement inférieur à la rénovation.</t>
  </si>
  <si>
    <t>Projets phares réno : requalification de guichets, sanitaires public/personnel, accessibilité et amélioration de l’accueil physique.</t>
  </si>
  <si>
    <t>Projets phares neuf : nouveaux guichets ou maisons France services, antennes en territoires carencés, relocalisations intégrées à d’autres services publics.</t>
  </si>
  <si>
    <t>Dynamique réno 2026-2030 : plus lisible que le neuf, car beaucoup d’implantations se font dans l’existant avec petits budgets.</t>
  </si>
  <si>
    <t>Dynamique neuf 2026-2030 : encore réelle mais moins expansive qu’au lancement du programme ; elle dépend surtout des derniers vides territoriaux et des mutualisations.</t>
  </si>
  <si>
    <t>Parc existant surtout intermédiaire / standard. Les ventes se décalent légèrement vers intermédiaire, du fait de budgets et de rénovations menées surtout par lots. Le neuf tire clairement le mix plus haut que la rénovation. Réseau récent et très standardisé : le neuf et les mises aux normes tirent plus nettement le confort vers le standard/intermédiaire.</t>
  </si>
  <si>
    <t>Réseau récent et très standardisé : le neuf et les mises aux normes tirent plus nettement le confort vers le standard/intermédiaire.</t>
  </si>
  <si>
    <t>Ventes 2026-2030 : glissement vers davantage de moyen / premium, surtout sur lavabo (+28,4 pts sur premium+luxe), WC (+24,6 pts sur premium+luxe), urinoir (+18,1 pts sur premium+luxe). Le neuf représente 66% des ventes contre 34% en rénovation et tire nettement le mix vers le haut. L’écart de niveau de confort entre neuf et rénovation est net.</t>
  </si>
  <si>
    <t>Centres des finances publiques 
avec guichet</t>
  </si>
  <si>
    <t xml:space="preserve">Centre des finances publiques ; SIP ; SIE </t>
  </si>
  <si>
    <t xml:space="preserve">sous-segment vise les sites DGFiP recevant physiquement le public et disposant de sanitaires agents + usagers : centres des finances publiques, SIP/SIE ou services assimilés avec guichet. </t>
  </si>
  <si>
    <t>Tendance nettement baissière sur longue période =&gt; effet rationalisation réseau + montée téléprocédures. Niveau récent cadré par annuaire administratif (trésoreries / CFP, SIP, SIE) et par communications DGFiP sur accueil présentiel.</t>
  </si>
  <si>
    <t>https://lannuaire.service-public.fr/navigation/tresorerie ; https://lannuaire.service-public.fr/navigation/sip?page=21 ; https://lannuaire.service-public.fr/navigation/sie?page=14 ; https://presse.economie.gouv.fr/?p=171074</t>
  </si>
  <si>
    <t>Centre des finances avec guichet : bloc public d'attente + sanitaires agents.</t>
  </si>
  <si>
    <t>Capacité type ≈ 85 usagers principaux + 30 staff + 5 autre public. Flux de contribuables par créneaux, forte attente ponctuelle. Dimensionnement unitaire retenu : bloc public accessible + sanitaires salariés selon effectif. Hypothèse d'usage : capacité simultanée moyenne 2026, répartition par flux réels, arrondie par blocs fonctionnels et exclusion des sanitaires strictement privatifs sauf cas explicitement collectifs.</t>
  </si>
  <si>
    <t>Profil moyen, capacité moyenne ≈ 120 personnes. Moyenne pondérée terrain : parc majoritairement petits/moyens sites, grands sites intégrés sans surpondération ; usage 2025 modérée, majoritairement courte.</t>
  </si>
  <si>
    <t>Public dense à certaines échéances, attente et pics fiscaux, mais environnement tertiaire contrôlé. Proche préfecture; mécaniques robustes, électroniques plus sensibles. Repères durées: lavabos 13/14/10 ans (mit./méca/élec.), douches 12/11/9, urinoirs 11/13/9/11, WC 14/14/10.</t>
  </si>
  <si>
    <t>Centres des finances publiques avec guichet : parc 2025 domine par tempo mecanique (50%), avec mitigeur manuel en appoint. Le choix reflete accueil public de jour, flux moderes et renov. liees aux programmes patrimoniaux ; accessibilite, image institutionnelle et maintenance sobre.</t>
  </si>
  <si>
    <t>Centres des finances publiques avec guichet : parc 2025 domine par directe mecanique (50%), avec directe electronique collective en appoint. Le choix reflete accueil public de jour, flux moderes et renov. liees aux programmes patrimoniaux ; accessibilite, image institutionnelle et maintenance sobre.</t>
  </si>
  <si>
    <t>Centres des finances publiques avec guichet : parc 2025 domine par reservoir (55%), avec chasse directe mecanique en appoint. Le choix reflete accueil public de jour, flux moderes et renov. liees aux programmes patrimoniaux ; accessibilite, image institutionnelle et maintenance sobre.</t>
  </si>
  <si>
    <t>Potentiel neuf : limite pour centres des finances publiques avec guichet, surtout via extensions, reconstructions ou projets locaux. Le neuf reste contraint par foncier, budgets et delais de mise en service.</t>
  </si>
  <si>
    <t>Parc existant centre sur le niveau mid, avec ventes 2026-2030 legerement plus qualitatives. Centres des finances publiques avec guichet : accueil public de jour, flux moderes et renov. liees aux programmes patrimoniaux; le mix reste guide par accessibilite, image institutionnelle et maintenance sobre.</t>
  </si>
  <si>
    <t>Centres des finances publiques avec guichet : ventes 2026-2030 en leger glissement vers moyen/premium lorsque le neuf ou les renov. lourdes interviennent. Le centre de gravite reste toutefois module par accessibilite, image institutionnelle et maintenance sobre et par la part dominante de travaux sur parc existant.</t>
  </si>
  <si>
    <t xml:space="preserve">CCAS / CIAS et guichets sociaux locaux autonomes </t>
  </si>
  <si>
    <t>CCAS ; CIAS (hors accueils intégrés en mairie et hors France Services hébergées)</t>
  </si>
  <si>
    <t xml:space="preserve">Total national des CCAS/CIAS répertoriés est très supérieur (14 500 selon l’UNCCAS). </t>
  </si>
  <si>
    <t>Seul sous-ensemble ayant une vraie fonction d’accueil sur site sont retenus.</t>
  </si>
  <si>
    <t>https://www.unccas.org/quest-ce-que-le-ccas-et-cias ; https://www.unccas.org/enquete-asco-2025-les-ccas-et-cias-appeles-temoigner ; https://lannuaire.service-public.fr/</t>
  </si>
  <si>
    <t>CCAS/CIAS : bloc usagers sociaux + sanitaire équipe.</t>
  </si>
  <si>
    <t>Capacité type ≈ 34 usagers principaux + 9 staff + 2 autre public. Accueil social avec rendez-vous, accompagnants et petite équipe. Dimensionnement unitaire retenu : 1 bloc public accessible + 1 bloc personnel, sans douche sauf service social spécifique. Hypothèse d'usage : capacité simultanée moyenne 2026, répartition par flux réels, arrondie par blocs fonctionnels et exclusion des sanitaires strictement privatifs sauf cas explicitement collectifs.</t>
  </si>
  <si>
    <t>Profil petit, capacité moyenne ≈ 45 personnes. Moyenne pondérée terrain : parc majoritairement petits/moyens sites, grands sites intégrés sans surpondération ; usage 2025 modérée, majoritairement courte.</t>
  </si>
  <si>
    <t>Accueil social parfois intensif, publics fragiles, petits blocs très sollicités et budgets contraints. Sous mairie classique, proche France Services social. Repères durées: lavabos 13/14/10 ans (mit./méca/élec.), douches 12/11/9, urinoirs 11/13/9/11, WC 14/14/10.</t>
  </si>
  <si>
    <t>CCAS / CIAS et guichets sociaux locaux autonomes : parc 2025 domine par tempo mecanique (50%), avec mitigeur manuel en appoint. Le choix reflete accueil public de jour, flux moderes et renov. liees aux programmes patrimoniaux ; accessibilite, image institutionnelle et maintenance sobre.</t>
  </si>
  <si>
    <t>CCAS / CIAS et guichets sociaux locaux autonomes : parc 2025 domine par directe mecanique (50%), avec directe electronique collective en appoint. Le choix reflete accueil public de jour, flux moderes et renov. liees aux programmes patrimoniaux ; accessibilite, image institutionnelle et maintenance sobre.</t>
  </si>
  <si>
    <t>CCAS / CIAS et guichets sociaux locaux autonomes : parc 2025 domine par reservoir (55%), avec chasse directe mecanique en appoint. Le choix reflete accueil public de jour, flux moderes et renov. liees aux programmes patrimoniaux ; accessibilite, image institutionnelle et maintenance sobre.</t>
  </si>
  <si>
    <t>Potentiel neuf : limite pour ccas / cias et guichets sociaux locaux autonomes, surtout via extensions, reconstructions ou projets locaux. Le neuf reste contraint par foncier, budgets et delais de mise en service.</t>
  </si>
  <si>
    <t>Parc existant centre sur le niveau mid, avec ventes 2026-2030 legerement plus qualitatives. CCAS / CIAS et guichets sociaux locaux autonomes : accueil public de jour, flux moderes et renov. liees aux programmes patrimoniaux; le mix reste guide par accessibilite, image institutionnelle et maintenance sobre.</t>
  </si>
  <si>
    <t>CCAS / CIAS et guichets sociaux locaux autonomes : ventes 2026-2030 en leger glissement vers moyen/premium lorsque le neuf ou les renov. lourdes interviennent. Le centre de gravite reste toutefois module par accessibilite, image institutionnelle et maintenance sobre et par la part dominante de travaux sur parc existant.</t>
  </si>
  <si>
    <t>Points d’accueil numérique 
dédiés / autonomes</t>
  </si>
  <si>
    <t>Accueil numérique dédié en préfecture avec local distinct ; point d’accueil numérique autonome sur site séparé</t>
  </si>
  <si>
    <t>Point d’ancrage principal =&gt; annuaire officiel compte 274 points d’accueil (préfectures / sous-préfectures). Montée en charge récente, liée au plan préfectures nouvelle génération + accompagnement téléprocédures.</t>
  </si>
  <si>
    <t>Trajectoire 2026-2030 prudente et quasi stable. Légère érosion possible à mesure qu’une part de l’accompagnement se diffuse dans d’autres réseaux (France Services, accueil généraliste).</t>
  </si>
  <si>
    <t>https://lannuaire.service-public.fr/navigation/point_accueil_numerique ; https://www.interieur.gouv.fr/prefectures</t>
  </si>
  <si>
    <t>Point d'accueil numérique : micro-bloc usagers + personnel.</t>
  </si>
  <si>
    <t>Capacité type ≈ 12 usagers principaux + 2 staff + 1 autre public. Petite antenne avec flux court et accompagnement individuel. Dimensionnement unitaire retenu : sanitaire public/PMR mutualisé lorsque prévu + sanitaire personnel éventuel. Hypothèse d'usage : capacité simultanée moyenne 2026, répartition par flux réels, arrondie par blocs fonctionnels et exclusion des sanitaires strictement privatifs sauf cas explicitement collectifs.</t>
  </si>
  <si>
    <t>Profil très petit, capacité moyenne ≈ 15 personnes. Moyenne pondérée terrain : parc majoritairement petits/moyens sites, grands sites intégrés sans surpondération ; usage 2025 modérée à forte par pics.</t>
  </si>
  <si>
    <t>Petits sites de médiation, flux modéré, faible humidité et surveillance; équipements peu nombreux. Proche guichet public, renouvellement souvent opportuniste. Repères durées: lavabos 13/14/10 ans (mit./méca/élec.), douches 12/11/9, urinoirs 11/13/9/11, WC 14/14/10.</t>
  </si>
  <si>
    <t>Points d’accueil numérique dédiés / autonomes : parc 2025 domine par tempo mecanique (50%), avec mitigeur manuel en appoint. Le choix reflete usage collectif regulier, contraintes de maintenance et arbitrages budgetaires ; robustesse, hygiene et cout global restent prioritaires.</t>
  </si>
  <si>
    <t>Points d’accueil numérique dédiés / autonomes : parc 2025 domine par reservoir (55%), avec chasse directe mecanique en appoint. Le choix reflete usage collectif regulier, contraintes de maintenance et arbitrages budgetaires ; robustesse, hygiene et cout global restent prioritaires.</t>
  </si>
  <si>
    <t>Potentiel neuf : limite pour points d’accueil numérique dédiés / autonomes, surtout via extensions, reconstructions ou projets locaux. Le neuf reste contraint par foncier, budgets et delais de mise en service.</t>
  </si>
  <si>
    <t>Parc existant centre sur le niveau standard, avec ventes 2026-2030 legerement plus qualitatives. Points d’accueil numérique dédiés / autonomes : usage collectif regulier, contraintes de maintenance et arbitrages budgetaires; le mix reste guide par robustesse, hygiene et cout global restent prioritaires.</t>
  </si>
  <si>
    <t>Points d’accueil numérique dédiés / autonomes : ventes 2026-2030 en leger glissement vers moyen/premium lorsque le neuf ou les renov. lourdes interviennent. Le centre de gravite reste toutefois module par robustesse, hygiene et cout global restent prioritaires et par la part dominante de travaux sur parc existant.</t>
  </si>
  <si>
    <t>CAF / Accueils Caf autonomes</t>
  </si>
  <si>
    <t>CAF : sièges et accueils autonomes + permanences chez partenaires</t>
  </si>
  <si>
    <t xml:space="preserve">Périmètre retenu =&gt; Sites Caf autonomes recevant physiquement public avec sanitaires salariés + public. Exclus =&gt; Accueils hébergés chez partenaires (France Services, points relais, points d’accès numériques partenaires). </t>
  </si>
  <si>
    <t>Projection 2026-2030 faiblement baissière : maintien réseau de 101 Caf départementales. Poursuite rationalisation légère des accueils autonomes. Baisse limitée car accueil physique reste nécessaire pour accompagnement allocataires + publics fragiles.</t>
  </si>
  <si>
    <t>https://www.caf.fr/professionnels/nous-connaitre/presentation ; https://www.caf.fr/professionnels/nous-connaitre/caf-du-calvados/qui-sommes-nous/accueil-qui-sommes-nous ; https://www.caf.fr/professionnels/nous-connaitre/caf-de-l-herault/qui-sommes-nous ; https://www.caf.fr/professionnels/nous-connaitre/caf-de-la-manche/qui-sommes-nous/rapport-d-activite-de-l-annee-2024/organisation-et-fonctionnement ; https://www.caf.fr/allocataires/actualites/la-caf-et-vous/prendre-un-rendez-vous-avec-la-caf</t>
  </si>
  <si>
    <t>Accueil CAF autonome : bloc public d'attente + sanitaires personnel.</t>
  </si>
  <si>
    <t>Capacité type ≈ 70 usagers principaux + 17 staff + 3 autre public. Flux de bénéficiaires et accompagnants, rendez-vous et attente. Dimensionnement unitaire retenu : bloc public accessible + sanitaires salariés par noyau. Hypothèse d'usage : capacité simultanée moyenne 2026, répartition par flux réels, arrondie par blocs fonctionnels et exclusion des sanitaires strictement privatifs sauf cas explicitement collectifs.</t>
  </si>
  <si>
    <t>Flux public élevé, pics périodiques de prestations, attente prolongée et nettoyage régulier; maintenance tertiaire. Sous bureaux administratifs, proche finances publiques. Repères durées: lavabos 13/14/10 ans (mit./méca/élec.), douches 12/11/9, urinoirs 11/13/9/11, WC 14/14/10.</t>
  </si>
  <si>
    <t>CAF / Accueils Caf autonomes : parc 2025 domine par tempo mecanique (50%), avec mitigeur manuel en appoint. Le choix reflete accueil public de jour, flux moderes et renov. liees aux programmes patrimoniaux ; accessibilite, image institutionnelle et maintenance sobre.</t>
  </si>
  <si>
    <t>CAF / Accueils Caf autonomes : parc 2025 domine par directe mecanique (50%), avec directe electronique collective en appoint. Le choix reflete accueil public de jour, flux moderes et renov. liees aux programmes patrimoniaux ; accessibilite, image institutionnelle et maintenance sobre.</t>
  </si>
  <si>
    <t>CAF / Accueils Caf autonomes : parc 2025 domine par reservoir (55%), avec chasse directe mecanique en appoint. Le choix reflete accueil public de jour, flux moderes et renov. liees aux programmes patrimoniaux ; accessibilite, image institutionnelle et maintenance sobre.</t>
  </si>
  <si>
    <t>Potentiel neuf : limite pour caf / accueils caf autonomes, surtout via extensions, reconstructions ou projets locaux. Le neuf reste contraint par foncier, budgets et delais de mise en service.</t>
  </si>
  <si>
    <t>Parc existant centre sur le niveau mid, avec ventes 2026-2030 legerement plus qualitatives. CAF / Accueils Caf autonomes : accueil public de jour, flux moderes et renov. liees aux programmes patrimoniaux; le mix reste guide par accessibilite, image institutionnelle et maintenance sobre.</t>
  </si>
  <si>
    <t>CAF / Accueils Caf autonomes : ventes 2026-2030 en leger glissement vers moyen/premium lorsque le neuf ou les renov. lourdes interviennent. Le centre de gravite reste toutefois module par accessibilite, image institutionnelle et maintenance sobre et par la part dominante de travaux sur parc existant.</t>
  </si>
  <si>
    <t>Culte</t>
  </si>
  <si>
    <t>V</t>
  </si>
  <si>
    <t>Édifices cultuels chrétiens recevant des fidèles ou des visiteurs. Les annexes paroissiales se classent séparément selon leur usage.</t>
  </si>
  <si>
    <t>Grands sites paroissiaux, sanctuaires, sites touristiques, ensembles avec salles annexes</t>
  </si>
  <si>
    <t xml:space="preserve"> Environ 4000 cumulent critères : recevant public et possédant sanitaires sur 42 258 églises + chapelles paroissiales =&gt; majoritée rural, fragilisé, petits édifices, moins fréquentés et  souvent fermés.</t>
  </si>
  <si>
    <t>Pourquoi cette pente baissière ? Sites effectivement ouverts, actifs et équipés tend plutôt à se concentrer sur les pôles paroissiaux, sanctuaires et édifices les plus fréquentés</t>
  </si>
  <si>
    <t>https://eglise.catholique.fr/espace-presse/communiques-de-presse/426515-etat-des-lieux-sur-les-eglises-en-france/ ; https://eglise.catholique.fr/etats-generaux-du-patrimoine-religieux-2023-2024/ ; https://www.culture.gouv.fr/Thematiques/monuments-sites/monuments-historiques-sites-patrimoniaux/les-monuments-historiques/les-cathedrales ; https://www.culture.gouv.fr/presse/communiques-de-presse/collecte-nationale-pour-le-patrimoine-religieux-mme-rachida-dati-ministre-de-la-culture-devoile-la-liste-des-100-premiers-edifices-qui-benefici</t>
  </si>
  <si>
    <t>Lieu de culte chrétien : bloc fidèles/visiteurs + petit sanitaire équipe, pas de douches.</t>
  </si>
  <si>
    <t>Capacité type ≈ 110 usagers principaux + 5 staff + 5 autre public. Offices et visites, forte pointe ponctuelle mais durée limitée. Dimensionnement unitaire retenu : bloc public accessible si sanitaires prévus, dimensionné à la nef/salle ouverte. Hypothèse d'usage : capacité simultanée moyenne 2026, répartition par flux réels, arrondie par blocs fonctionnels et exclusion des sanitaires strictement privatifs sauf cas explicitement collectifs.</t>
  </si>
  <si>
    <t>Usage touristique/cérémoniel irrégulier, faibles moyens de maintenance et locaux parfois anciens/froids. Long si usage faible, électronique prudent; rénovations rares et patrimoniales. Repères durées: lavabos 13/14/10 ans (mit./méca/élec.), douches 12/11/9, urinoirs 11/13/9/11, WC 14/14/10.</t>
  </si>
  <si>
    <t>Églises, cathédrales, basiliques et chapelles ouvertes au public : parc 2025 domine par tempo mecanique (50%), avec mitigeur manuel en appoint. Le choix reflete usage ponctuel avec pics offices/ceremonies et budgets patrimoniaux limites ; equipements simples, faible renouvellement et contraintes patrimoniales.</t>
  </si>
  <si>
    <t>Églises, cathédrales, basiliques et chapelles ouvertes au public : parc 2025 domine par directe mecanique (50%), avec directe electronique collective en appoint. Le choix reflete usage ponctuel avec pics offices/ceremonies et budgets patrimoniaux limites ; equipements simples, faible renouvellement et contraintes patrimoniales.</t>
  </si>
  <si>
    <t>Églises, cathédrales, basiliques et chapelles ouvertes au public : parc 2025 domine par reservoir (55%), avec chasse directe mecanique en appoint. Le choix reflete usage ponctuel avec pics offices/ceremonies et budgets patrimoniaux limites ; equipements simples, faible renouvellement et contraintes patrimoniales.</t>
  </si>
  <si>
    <t>74,0% retenu : besoins transformes en travaux selon usage ponctuel avec pics offices/ceremonies et budgets patrimoniaux limites. Le phasage budgetaire, les fermetures partielles et la maintenance courante limitent la conversion totale.</t>
  </si>
  <si>
    <t>Potentiel renovation : tire par equipements simples, faible renouvellement et contraintes patrimoniales. Les remplacements sont plutot par lots, avec arbitrage entre urgence sanitaire, budget et capacite a intervenir en site occupe.</t>
  </si>
  <si>
    <t>Potentiel neuf : limite pour églises, cathédrales, basiliques et chapelles ouvertes au public, surtout via extensions, reconstructions ou projets locaux. Le neuf reste contraint par foncier, budgets et delais de mise en service.</t>
  </si>
  <si>
    <t>Parc existant centre sur le niveau standard, avec ventes 2026-2030 legerement plus qualitatives. Églises, cathédrales, basiliques et chapelles ouvertes au public : usage ponctuel avec pics offices/ceremonies et budgets patrimoniaux limites; le mix reste guide par equipements simples, faible renouvellement et contraintes patrimoniales.</t>
  </si>
  <si>
    <t>Parc existant : equipements simples, faible renouvellement et contraintes patrimoniales; usage ponctuel avec pics offices/ceremonies et budgets patrimoniaux limites. La montee en confort reste proportionnee au budget et au rythme de renovation.</t>
  </si>
  <si>
    <t>Églises, cathédrales, basiliques et chapelles ouvertes au public : ventes 2026-2030 en leger glissement vers moyen/premium lorsque le neuf ou les renov. lourdes interviennent. Le centre de gravite reste toutefois module par equipements simples, faible renouvellement et contraintes patrimoniales et par la part dominante de travaux sur parc existant.</t>
  </si>
  <si>
    <t>Monastères, abbayes et couvents ouverts au public</t>
  </si>
  <si>
    <t>Ensemble multi-classements</t>
  </si>
  <si>
    <t>Les parties ouvertes au public à vocation cultuelle relèvent du type V ; les espaces d’hébergement, de retraite, de visite ou de restauration se classent selon leur usage réel.</t>
  </si>
  <si>
    <t>Abbaye ouverte aux visiteurs, monastère avec hôtellerie, couvent avec chapelle publique</t>
  </si>
  <si>
    <t>Recul est cohérent avec la baisse des effectifs religieux et la raréfaction des sites monastiques pleinement ouverts, malgré la bonne tenue de quelques grands pôles patrimoniaux et spirituels.</t>
  </si>
  <si>
    <t xml:space="preserve"> La série agrège couvents, abbayes et monastères ouverts au public avec sanitaires, et prolonge une érosion prudente à horizon 2030.</t>
  </si>
  <si>
    <t>https://www.service-des-moniales.cef.fr/ ; https://www.culture.gouv.fr/actualites/patrimoine-la-frequentation-consolidee-en-2024 ; https://eglise.catholique.fr/etats-generaux-du-patrimoine-religieux-2023-2024/</t>
  </si>
  <si>
    <t>Abbaye/couvent ouvert : bloc visiteurs + communauté/staff, hébergement privatif exclu.</t>
  </si>
  <si>
    <t>Capacité type ≈ 60 usagers principaux + 15 staff + 5 autre public. Visites, offices et boutique/accueil, avec communauté résidente non entièrement publique. Dimensionnement unitaire retenu : bloc visiteurs accessible + sanitaires staff/communauté des espaces communs. Hypothèse d'usage : capacité simultanée moyenne 2026, répartition par flux réels, arrondie par blocs fonctionnels et exclusion des sanitaires strictement privatifs sauf cas explicitement collectifs.</t>
  </si>
  <si>
    <t>Usage touristique saisonnier dans bâtiments anciens, humidité/pierre et accès maintenance délicat; pics lors visites. Plus court qu'église urbaine pour douches/locaux annexes. Repères durées: lavabos 10/11/8 ans (mit./méca/élec.), douches 8/8/7, urinoirs 8/10/7/9, WC 10/11/8.</t>
  </si>
  <si>
    <t>Monastères, abbayes et couvents ouverts au public : parc 2025 domine par tempo mecanique (76%), avec mitigeur manuel en appoint. Le choix reflete usage ponctuel avec pics offices/ceremonies et budgets patrimoniaux limites ; equipements simples, faible renouvellement et contraintes patrimoniales.</t>
  </si>
  <si>
    <t>Monastères, abbayes et couvents ouverts au public : parc 2025 domine par tempo mecanique (80%), avec mitigeur en appoint. Le choix reflete usage ponctuel avec pics offices/ceremonies et budgets patrimoniaux limites ; equipements simples, faible renouvellement et contraintes patrimoniales.</t>
  </si>
  <si>
    <t>Urinoirs présents surtout dans les sites patrimoniaux ouverts au public avec blocs visiteurs. Mix 2025 prudent, dominé par chasse directe mécanique avec quelques équipements anciens à réservoir.</t>
  </si>
  <si>
    <t>2025-2030 : évolution lente ; mécanique majoritaire, électronique progresse marginalement sur sites touristiques rénovés ou espaces d’accueil modernisés.</t>
  </si>
  <si>
    <t>Monastères, abbayes et couvents ouverts au public : parc 2025 domine par chasse directe mecanique (55%), avec reservoir en appoint. Le choix reflete usage ponctuel avec pics offices/ceremonies et budgets patrimoniaux limites ; equipements simples, faible renouvellement et contraintes patrimoniales.</t>
  </si>
  <si>
    <t>Potentiel neuf : limite pour monastères, abbayes et couvents ouverts au public, surtout via extensions, reconstructions ou projets locaux. Le neuf reste contraint par foncier, budgets et delais de mise en service.</t>
  </si>
  <si>
    <t>Parc existant centre sur le niveau standard, avec ventes 2026-2030 legerement plus qualitatives. Monastères, abbayes et couvents ouverts au public : usage ponctuel avec pics offices/ceremonies et budgets patrimoniaux limites; le mix reste guide par equipements simples, faible renouvellement et contraintes patrimoniales.</t>
  </si>
  <si>
    <t>Monastères, abbayes et couvents ouverts au public : ventes 2026-2030 en leger glissement vers moyen/premium lorsque le neuf ou les renov. lourdes interviennent. Le centre de gravite reste toutefois module par equipements simples, faible renouvellement et contraintes patrimoniales et par la part dominante de travaux sur parc existant.</t>
  </si>
  <si>
    <t>Temples protestants, évangéliques et salles de culte assimilées</t>
  </si>
  <si>
    <t>Lieux de culte protestants ou évangéliques recevant du public. Les salles polyvalentes ou d’enseignement biblique annexes se classent selon leur usage dominant.</t>
  </si>
  <si>
    <t>Temple protestant, église évangélique, salle de culte réaménagée avec sanitaires</t>
  </si>
  <si>
    <t>Périmètre conservé reste large car de nombreuses salles protestantes/évangéliques sont des bâtiments d'assemblée dotés de blocs sanitaires.</t>
  </si>
  <si>
    <t xml:space="preserve">Le CNEF indique plus de 2 300 Églises protestantes évangéliques en France métropolitaine et 35 implantations supplémentaires par an. </t>
  </si>
  <si>
    <t>https://www.lecnef.org/page/510470-questions-frequentes ; https://www.lecnef.org/ ; https://www.vie-publique.fr/eclairage/20205-le-regime-de-separation-principe-des-relations-etat-et-les-cultes</t>
  </si>
  <si>
    <t>Temple/salle de culte : bloc fidèles + sanitaire équipe, sans douches.</t>
  </si>
  <si>
    <t>Capacité type ≈ 92 usagers principaux + 5 staff + 3 autre public. Offices hebdomadaires et réunions, occupation assise prolongée. Dimensionnement unitaire retenu : bloc public accessible et sanitaires séparés si jauge/sexes le justifient. Hypothèse d'usage : capacité simultanée moyenne 2026, répartition par flux réels, arrondie par blocs fonctionnels et exclusion des sanitaires strictement privatifs sauf cas explicitement collectifs.</t>
  </si>
  <si>
    <t>Fréquentation hebdomadaire, groupes ponctuels, faible humidité et public respectueux. Durées longues, proches locaux associatifs calmes, renouvellement lié aux budgets de communauté. Repères durées: lavabos 13/14/10 ans (mit./méca/élec.), douches 12/11/9, urinoirs 11/13/9/11, WC 14/14/10.</t>
  </si>
  <si>
    <t>Temples protestants, évangéliques et salles de culte assimilées : parc 2025 domine par tempo mecanique (50%), avec mitigeur manuel en appoint. Le choix reflete usage ponctuel avec pics offices/ceremonies et budgets patrimoniaux limites ; equipements simples, faible renouvellement et contraintes patrimoniales.</t>
  </si>
  <si>
    <t>Temples protestants, évangéliques et salles de culte assimilées : parc 2025 domine par directe mecanique (50%), avec directe electronique collective en appoint. Le choix reflete usage ponctuel avec pics offices/ceremonies et budgets patrimoniaux limites ; equipements simples, faible renouvellement et contraintes patrimoniales.</t>
  </si>
  <si>
    <t>Temples protestants, évangéliques et salles de culte assimilées : parc 2025 domine par reservoir (55%), avec chasse directe mecanique en appoint. Le choix reflete usage ponctuel avec pics offices/ceremonies et budgets patrimoniaux limites ; equipements simples, faible renouvellement et contraintes patrimoniales.</t>
  </si>
  <si>
    <t>Potentiel neuf : limite pour temples protestants, évangéliques et salles de culte assimilées, surtout via extensions, reconstructions ou projets locaux. Le neuf reste contraint par foncier, budgets et delais de mise en service.</t>
  </si>
  <si>
    <t>Parc existant centre sur le niveau standard, avec ventes 2026-2030 legerement plus qualitatives. Temples protestants, évangéliques et salles de culte assimilées : usage ponctuel avec pics offices/ceremonies et budgets patrimoniaux limites; le mix reste guide par equipements simples, faible renouvellement et contraintes patrimoniales.</t>
  </si>
  <si>
    <t>Temples protestants, évangéliques et salles de culte assimilées : ventes 2026-2030 en leger glissement vers moyen/premium lorsque le neuf ou les renov. lourdes interviennent. Le centre de gravite reste toutefois module par equipements simples, faible renouvellement et contraintes patrimoniales et par la part dominante de travaux sur parc existant.</t>
  </si>
  <si>
    <t>Mosquées et salles de prière musulmanes</t>
  </si>
  <si>
    <t>Lieux de culte musulmans recevant du public. Les espaces d’ablutions, salles polyvalentes ou locaux d’enseignement associés s’analysent selon l’exploitation réelle du site.</t>
  </si>
  <si>
    <t>Mosquée de quartier, grande mosquée, salle de prière ouverte avec sanitaires/ablutions</t>
  </si>
  <si>
    <t xml:space="preserve">Hausse longue, puis stabilisation progressive. Contrairement au catholicisme, le filtre 'public + sanitaires' retranche peu d'unités =&gt; lieux culte musulmans ont sanitaires et espaces d'ablution. </t>
  </si>
  <si>
    <t>2 600 lieux de culte musulman en France en 2022. Série 2025-30 est surtout une stabilisation-haussière =&gt; ouvertures ciblées, remplacements qualitatifs, peu de sauts de volume.</t>
  </si>
  <si>
    <t>https://www.vie-publique.fr/discours/286080-gerald-darmanin-04082022-ordre-public ; https://www.vie-publique.fr/ressources/mots-cles/mosquee ; https://www.interieur.gouv.fr/actualites/dossiers-de-presse/deuxieme-session-du-forum-de-lislam-de-france-dialogue-qui-samplifie</t>
  </si>
  <si>
    <t>Mosquée/salle de prière : sanitaires fidèles + points d'ablution distingués des WC.</t>
  </si>
  <si>
    <t>Capacité type ≈ 165 usagers principaux + 10 staff + 5 autre public. Forte pointe hebdomadaire, rotations avant prière et usage d'ablutions. Dimensionnement unitaire retenu : blocs WC H/F/PMR + zones d'ablution, staff/administration en complément. Hypothèse d'usage : capacité simultanée moyenne 2026, répartition par flux réels, arrondie par blocs fonctionnels et exclusion des sanitaires strictement privatifs sauf cas explicitement collectifs.</t>
  </si>
  <si>
    <t>Profil moyen, capacité moyenne ≈ 180 personnes. Moyenne pondérée terrain : parc majoritairement petits/moyens sites, grands sites intégrés sans surpondération ; usage 2025 modérée à forte par pics.</t>
  </si>
  <si>
    <t>Ablutions fréquentes, pics avant prières, forte humidité autour des lavabos et sols mouillés; maintenance communautaire variable. Abaissé vs autres cultes, surtout lavabos/électronique. Repères durées: lavabos 10/11/8 ans (mit./méca/élec.), douches 8/8/7, urinoirs 8/10/7/9, WC 10/11/8.</t>
  </si>
  <si>
    <t>Mosquées et salles de prière musulmanes : parc 2025 domine par tempo mecanique (76%), avec mitigeur manuel en appoint. Le choix reflete usage ponctuel avec pics offices/ceremonies et budgets patrimoniaux limites ; equipements simples, faible renouvellement et contraintes patrimoniales.</t>
  </si>
  <si>
    <t>Mosquées et salles de prière musulmanes : parc 2025 domine par directe mecanique (55%), avec directe electronique collective en appoint. Le choix reflete usage ponctuel avec pics offices/ceremonies et budgets patrimoniaux limites ; equipements simples, faible renouvellement et contraintes patrimoniales.</t>
  </si>
  <si>
    <t>Mosquées et salles de prière musulmanes : parc 2025 domine par chasse directe mecanique (55%), avec reservoir en appoint. Le choix reflete usage ponctuel avec pics offices/ceremonies et budgets patrimoniaux limites ; equipements simples, faible renouvellement et contraintes patrimoniales.</t>
  </si>
  <si>
    <t>Potentiel neuf : limite pour mosquées et salles de prière musulmanes, surtout via extensions, reconstructions ou projets locaux. Le neuf reste contraint par foncier, budgets et delais de mise en service.</t>
  </si>
  <si>
    <t>Parc existant centre sur le niveau standard, avec ventes 2026-2030 legerement plus qualitatives. Mosquées et salles de prière musulmanes : usage ponctuel avec pics offices/ceremonies et budgets patrimoniaux limites; le mix reste guide par equipements simples, faible renouvellement et contraintes patrimoniales.</t>
  </si>
  <si>
    <t>Mosquées et salles de prière musulmanes : ventes 2026-2030 en leger glissement vers moyen/premium lorsque le neuf ou les renov. lourdes interviennent. Le centre de gravite reste toutefois module par equipements simples, faible renouvellement et contraintes patrimoniales et par la part dominante de travaux sur parc existant.</t>
  </si>
  <si>
    <t>Synagogues et oratoires juifs ouverts au public</t>
  </si>
  <si>
    <t>Lieux de culte juifs recevant des fidèles ou visiteurs. Les salles communautaires annexes peuvent relever de L ou W selon l’usage.</t>
  </si>
  <si>
    <t>Synagogue, oratoire, centre cultuel juif avec accueil public et sanitaires</t>
  </si>
  <si>
    <t>Périmètre 'public + sanitaires' couvre l'essentiel des synagogues + centres cultuels. Migrations internes, sécurité + recomposit° géographique déplacent la fréquentation plus qu'elles ne changent fortement le nombre total de sites.</t>
  </si>
  <si>
    <t>Consistoire de Paris gère  une 100aine de communautés et fait état de 80 lieux de culte en IDF.  Cela plaide pour quelques centaines de synagogues et oratoires actifs en Frabce. Projection 2026-30 presque plate.</t>
  </si>
  <si>
    <t>https://www.consistoire.org/communautes/ ; https://www.consistoire.org/event/la-frequentation-des-synagogues-en-pleine-mutation/ ; https://www.consistoire.org/210-ans-de-construction-du-patrimoine-juif-de-france-et-de-solidarite/ ; https://www.crif.org/ressources/rapports/rapport-annuel-du-spcj-les-chiffres-de-lantisemitisme-en-france-en-2024/</t>
  </si>
  <si>
    <t>Synagogue/oratoire : bloc fidèles + sanitaire équipe, sans douches.</t>
  </si>
  <si>
    <t>Capacité type ≈ 72 usagers principaux + 5 staff + 3 autre public. Offices et événements communautaires, jauge modérée avec contrôle d'accès. Dimensionnement unitaire retenu : bloc public accessible + sanitaire personnel, dimensionné à la salle principale. Hypothèse d'usage : capacité simultanée moyenne 2026, répartition par flux réels, arrondie par blocs fonctionnels et exclusion des sanitaires strictement privatifs sauf cas explicitement collectifs.</t>
  </si>
  <si>
    <t>Usage hebdomadaire et fêtes, public encadré, faible humidité hors offices; contraintes de sûreté mais peu de vandalisme. Proche temple, renouvellement budgétaire prudent. Repères durées: lavabos 13/14/10 ans (mit./méca/élec.), douches 12/11/9, urinoirs 11/13/9/11, WC 14/14/10.</t>
  </si>
  <si>
    <t>Synagogues et oratoires juifs ouverts au public : parc 2025 domine par tempo mecanique (50%), avec mitigeur manuel en appoint. Le choix reflete usage ponctuel avec pics offices/ceremonies et budgets patrimoniaux limites ; equipements simples, faible renouvellement et contraintes patrimoniales.</t>
  </si>
  <si>
    <t>Synagogues et oratoires juifs ouverts au public : parc 2025 domine par directe mecanique (50%), avec directe electronique collective en appoint. Le choix reflete usage ponctuel avec pics offices/ceremonies et budgets patrimoniaux limites ; equipements simples, faible renouvellement et contraintes patrimoniales.</t>
  </si>
  <si>
    <t>Synagogues et oratoires juifs ouverts au public : parc 2025 domine par reservoir (55%), avec chasse directe mecanique en appoint. Le choix reflete usage ponctuel avec pics offices/ceremonies et budgets patrimoniaux limites ; equipements simples, faible renouvellement et contraintes patrimoniales.</t>
  </si>
  <si>
    <t>Potentiel neuf : limite pour synagogues et oratoires juifs ouverts au public, surtout via extensions, reconstructions ou projets locaux. Le neuf reste contraint par foncier, budgets et delais de mise en service.</t>
  </si>
  <si>
    <t>Parc existant centre sur le niveau standard, avec ventes 2026-2030 legerement plus qualitatives. Synagogues et oratoires juifs ouverts au public : usage ponctuel avec pics offices/ceremonies et budgets patrimoniaux limites; le mix reste guide par equipements simples, faible renouvellement et contraintes patrimoniales.</t>
  </si>
  <si>
    <t>Synagogues et oratoires juifs ouverts au public : ventes 2026-2030 en leger glissement vers moyen/premium lorsque le neuf ou les renov. lourdes interviennent. Le centre de gravite reste toutefois module par equipements simples, faible renouvellement et contraintes patrimoniales et par la part dominante de travaux sur parc existant.</t>
  </si>
  <si>
    <t>Temples bouddhistes, hindous et autres lieux de culte non abrahamiques ouverts au public</t>
  </si>
  <si>
    <t>Lieux de culte recevant du public pour cérémonies, offices ou pratiques religieuses. Les bâtiments d’hébergement ou de retraite se classent séparément si présents.</t>
  </si>
  <si>
    <t>Pagode, temple bouddhiste, temple hindou, centre cultuel non abrahamique ouvert avec sanitaires</t>
  </si>
  <si>
    <t>Hausse structurelle, assez régulière. Le segment part de bas, avec dynamique portée par ancrage de diasporas, formalisation associative + quelques grands projets. Le filtre 'public + sanitaires' laisse subsister une croissance réelle du nombre de sites équipés.</t>
  </si>
  <si>
    <t>Trajectoire modélisée, mais cohérente avec visibilité croissante de lieux bouddhistes et hindous en France + projets récents de grande taille (BAPS Hindu Mandir à Paris - 2026).</t>
  </si>
  <si>
    <t>https://www.hinduismtoday.com/hpi/2024/12/06/baps-hindu-mandir-in-paris-to-open-in-2026/ ; https://www.vie-publique.fr/eclairage/20205-le-regime-de-separation-principe-des-relations-etat-et-les-cultes</t>
  </si>
  <si>
    <t>Temple bouddhiste/hindou/autre : bloc fidèles/visiteurs + staff, sans douches.</t>
  </si>
  <si>
    <t>Capacité type ≈ 70 usagers principaux + 7 staff + 3 autre public. Pratiques cultuelles, visites et événements ponctuels. Dimensionnement unitaire retenu : bloc public accessible + sanitaire équipe, avec points d'eau adaptés aux usages locaux. Hypothèse d'usage : capacité simultanée moyenne 2026, répartition par flux réels, arrondie par blocs fonctionnels et exclusion des sanitaires strictement privatifs sauf cas explicitement collectifs.</t>
  </si>
  <si>
    <t>Fréquentation événementielle, parfois repas/rituels et pics de fêtes; humidité modérée. Entre temple classique et salle polyvalente selon intensité associative. Repères durées: lavabos 12/13/9 ans (mit./méca/élec.), douches 11/10/8, urinoirs 10/12/8/10, WC 13/13/9.</t>
  </si>
  <si>
    <t>Temples bouddhistes, hindous et autres lieux de culte non abrahamiques ouverts au public : parc 2025 domine par mitigeur manuel (55%), avec tempo mecanique en appoint. Le choix reflete usage ponctuel avec pics offices/ceremonies et budgets patrimoniaux limites ; equipements simples, faible renouvellement et contraintes patrimoniales.</t>
  </si>
  <si>
    <t>Temples bouddhistes, hindous et autres lieux de culte non abrahamiques ouverts au public : parc 2025 domine par directe mecanique (45%), avec directe electronique collective en appoint. Le choix reflete usage ponctuel avec pics offices/ceremonies et budgets patrimoniaux limites ; equipements simples, faible renouvellement et contraintes patrimoniales.</t>
  </si>
  <si>
    <t>Temples bouddhistes, hindous et autres lieux de culte non abrahamiques ouverts au public : parc 2025 domine par reservoir (60%), avec chasse directe mecanique en appoint. Le choix reflete usage ponctuel avec pics offices/ceremonies et budgets patrimoniaux limites ; equipements simples, faible renouvellement et contraintes patrimoniales.</t>
  </si>
  <si>
    <t>Potentiel neuf : limite pour temples bouddhistes, hindous et autres lieux de culte non abrahamiques ouverts au public, surtout via extensions, reconstructions ou projets locaux. Le neuf reste contraint par foncier, budgets et delais de mise en service.</t>
  </si>
  <si>
    <t>Parc existant centre sur le niveau standard, avec ventes 2026-2030 legerement plus qualitatives. Temples bouddhistes, hindous et autres lieux de culte non abrahamiques ouverts au public : usage ponctuel avec pics offices/ceremonies et budgets patrimoniaux limites; le mix reste guide par equipements simples, faible renouvellement et contraintes patrimoniales.</t>
  </si>
  <si>
    <t>Temples bouddhistes, hindous et autres lieux de culte non abrahamiques ouverts au public : ventes 2026-2030 en leger glissement vers moyen/premium lorsque le neuf ou les renov. lourdes interviennent. Le centre de gravite reste toutefois module par equipements simples, faible renouvellement et contraintes patrimoniales et par la part dominante de travaux sur parc existant.</t>
  </si>
  <si>
    <t>Salles du Royaume, centres cultuels pluriconfessionnels et lieux de culte polyvalents</t>
  </si>
  <si>
    <t>Lieux de rassemblement religieux recevant du public, parfois polyvalents. Les espaces de réunion, restauration ou bureau associés peuvent relever d’autres types complémentaires.</t>
  </si>
  <si>
    <t>Salle du Royaume, centre cultuel partagé, bâtiment polyvalent cultuel avec sanitaires</t>
  </si>
  <si>
    <t>Bâtiments physiques, souvent partagés par plusieurs assemblées. JW indique 1 445 assemblées de fidèles en France, en moyenne près de 1,9 assemblée par salle.</t>
  </si>
  <si>
    <t>En ajoutant quelques centres pluriconfessionnels/polyvalents, une série autour de 860 en 2025 est plus crédible.</t>
  </si>
  <si>
    <t>https://www.jw.org/fr/actualites/region/france/ ; https://www.jw.org/fr/infos-pour-representants-de-l-etat/pays/france/ ; https://www.jw.org/fr/bibliotheque/revues/wp20100501/salle-du-royaume/ ; https://www.jw.org/fr/bibliotheque/rubriques/comment-vos-dons-sont-utilises/La-maintenance-de-nos-salles-du-Royaume/</t>
  </si>
  <si>
    <t>Salle du Royaume/centre cultuel polyvalent : bloc fidèles + sanitaire équipe.</t>
  </si>
  <si>
    <t>Capacité type ≈ 82 usagers principaux + 5 staff + 3 autre public. Réunions régulières, occupation assise et rotation faible. Dimensionnement unitaire retenu : bloc public accessible, sanitaires séparés selon jauge et configuration. Hypothèse d'usage : capacité simultanée moyenne 2026, répartition par flux réels, arrondie par blocs fonctionnels et exclusion des sanitaires strictement privatifs sauf cas explicitement collectifs.</t>
  </si>
  <si>
    <t>Forte modularité, réunions régulières et usages partagés; maintenance bénévole ou associative. Sous lieu de culte classique, proche salle polyvalente. Repères durées: lavabos 10/11/8 ans (mit./méca/élec.), douches 8/8/7, urinoirs 8/10/7/9, WC 10/11/8.</t>
  </si>
  <si>
    <t>Salles du Royaume, centres cultuels pluriconfessionnels et lieux de culte polyvalents : parc 2025 domine par tempo mecanique (76%), avec mitigeur manuel en appoint. Le choix reflete usage ponctuel avec pics offices/ceremonies et budgets patrimoniaux limites ; equipements simples, faible renouvellement et contraintes patrimoniales.</t>
  </si>
  <si>
    <t>Salles du Royaume, centres cultuels pluriconfessionnels et lieux de culte polyvalents : parc 2025 domine par directe mecanique (55%), avec directe electronique collective en appoint. Le choix reflete usage ponctuel avec pics offices/ceremonies et budgets patrimoniaux limites ; equipements simples, faible renouvellement et contraintes patrimoniales.</t>
  </si>
  <si>
    <t>Salles du Royaume, centres cultuels pluriconfessionnels et lieux de culte polyvalents : parc 2025 domine par chasse directe mecanique (55%), avec reservoir en appoint. Le choix reflete usage ponctuel avec pics offices/ceremonies et budgets patrimoniaux limites ; equipements simples, faible renouvellement et contraintes patrimoniales.</t>
  </si>
  <si>
    <t>Potentiel neuf : limite pour salles du royaume, centres cultuels pluriconfessionnels et lieux de culte polyvalents, surtout via extensions, reconstructions ou projets locaux. Le neuf reste contraint par foncier, budgets et delais de mise en service.</t>
  </si>
  <si>
    <t>Parc existant centre sur le niveau standard, avec ventes 2026-2030 legerement plus qualitatives. Salles du Royaume, centres cultuels pluriconfessionnels et lieux de culte polyvalents : usage ponctuel avec pics offices/ceremonies et budgets patrimoniaux limites; le mix reste guide par equipements simples, faible renouvellement et contraintes patrimoniales.</t>
  </si>
  <si>
    <t>Salles du Royaume, centres cultuels pluriconfessionnels et lieux de culte polyvalents : ventes 2026-2030 en leger glissement vers moyen/premium lorsque le neuf ou les renov. lourdes interviennent. Le centre de gravite reste toutefois module par equipements simples, faible renouvellement et contraintes patrimoniales et par la part dominante de travaux sur parc existant.</t>
  </si>
  <si>
    <t>Locaux associatifs recevant du public (dotés de sanitaires)</t>
  </si>
  <si>
    <t>L ou W</t>
  </si>
  <si>
    <t>Selon activité dominante : réunion, bureau, activités.</t>
  </si>
  <si>
    <t xml:space="preserve">Maison des associations, MJC, Foyers ruraux, Centres sociaux, EVS </t>
  </si>
  <si>
    <t>Centres sociaux + EVS (près de 3 800 structures), complété par les MJC (1 000 associations locales), une partie seulement des Foyers ruraux (réseau de l’ordre de 1 600 associations locales) et un petit noyau de Maisons des associations autonomes</t>
  </si>
  <si>
    <t xml:space="preserve"> La dynamique 2000-2024 reflète surtout la montée des EVS et du maillage de l’animation de la vie sociale ; 2026-2030 prolonge ensuite une hausse lente puis un quasi-palier.</t>
  </si>
  <si>
    <t>https://www.insee.fr/fr/metadonnees/source/serie/s1161
https://www.caf.fr/professionnels/actualites/quel-impact-des-centres-sociaux-et-espaces-de-vie-sociale-pour-les-habitants-une-evaluation-inedite
https://www.caf.fr/professionnels/offres-et-services/caf-du-calvados/partenaires-locaux/centres-sociaux-et-espaces-de-vie-sociale
https://www.caf.fr/professionnels/offres-et-services/dispositifs-partenaires/espace-de-vie-sociale
https://mjc-de-france.fr/
https://www.cnajep.asso.fr/membre/cmjcf/
https://www.foyersruraux.org/
https://www.foyersruraux.org/qui-sommes-nous/
https://www.rnma.fr/reseau/
https://www.rnma.fr/maisons/
https://www.associations.gouv.fr/guid-asso-en-chiffres-2024.html
https://www.associations.gouv.fr/la-france-associative-en-mouvement-2024.html</t>
  </si>
  <si>
    <t>Local associatif : bloc usagers + sanitaire équipe/bénévoles.</t>
  </si>
  <si>
    <t>Capacité type ≈ 44 usagers principaux + 5 staff + 1 autre public. Réunions, ateliers ou permanences avec occupation modérée. Dimensionnement unitaire retenu : 1 à 2 WC publics/PMR + point d'eau, sans douche sauf activité spécifique. Hypothèse d'usage : capacité simultanée moyenne 2026, répartition par flux réels, arrondie par blocs fonctionnels et exclusion des sanitaires strictement privatifs sauf cas explicitement collectifs.</t>
  </si>
  <si>
    <t>Profil petit, capacité moyenne ≈ 50 personnes. Moyenne pondérée terrain : parc majoritairement petits/moyens sites, grands sites intégrés sans surpondération ; usage 2025 modérée à forte par pics.</t>
  </si>
  <si>
    <t>Usage très hétérogène, soirées/réunions, entretien variable et petits budgets; pics ponctuels. Entre salle polyvalente et bureau, renouvellement souvent correctif. Repères durées: lavabos 13/14/10 ans (mit./méca/élec.), douches 12/11/9, urinoirs 11/13/9/11, WC 14/14/10.</t>
  </si>
  <si>
    <t>Locaux associatifs recevant du public (dotés de sanitaires) : parc 2025 domine par tempo mecanique (50%), avec mitigeur manuel en appoint. Le choix reflete usage local discontinu, pics lors d activites et forte contrainte budgetaire ; simplicite, mutualisation et maintenance communale.</t>
  </si>
  <si>
    <t>Locaux associatifs recevant du public (dotés de sanitaires) : parc 2025 domine par directe mecanique (50%), avec directe electronique collective en appoint. Le choix reflete usage local discontinu, pics lors d activites et forte contrainte budgetaire ; simplicite, mutualisation et maintenance communale.</t>
  </si>
  <si>
    <t>Locaux associatifs recevant du public (dotés de sanitaires) : parc 2025 domine par reservoir (55%), avec chasse directe mecanique en appoint. Le choix reflete usage local discontinu, pics lors d activites et forte contrainte budgetaire ; simplicite, mutualisation et maintenance communale.</t>
  </si>
  <si>
    <t>75,5% retenu : besoins transformes en travaux selon usage local discontinu, pics lors d activites et forte contrainte budgetaire. Le phasage budgetaire, les fermetures partielles et la maintenance courante limitent la conversion totale.</t>
  </si>
  <si>
    <t>Potentiel renovation : tire par simplicite, mutualisation et maintenance communale. Les remplacements sont plutot par lots, avec arbitrage entre urgence sanitaire, budget et capacite a intervenir en site occupe.</t>
  </si>
  <si>
    <t>Potentiel neuf : limite pour locaux associatifs recevant du public (dotés de sanitaires), surtout via extensions, reconstructions ou projets locaux. Le neuf reste contraint par foncier, budgets et delais de mise en service.</t>
  </si>
  <si>
    <t>Parc existant centre sur le niveau standard, avec ventes 2026-2030 legerement plus qualitatives. Locaux associatifs recevant du public (dotés de sanitaires) : usage local discontinu, pics lors d activites et forte contrainte budgetaire; le mix reste guide par simplicite, mutualisation et maintenance communale.</t>
  </si>
  <si>
    <t>Parc existant : simplicite, mutualisation et maintenance communale; usage local discontinu, pics lors d activites et forte contrainte budgetaire. La montee en confort reste proportionnee au budget et au rythme de renovation.</t>
  </si>
  <si>
    <t>Locaux associatifs recevant du public (dotés de sanitaires) : ventes 2026-2030 en leger glissement vers moyen/premium lorsque le neuf ou les renov. lourdes interviennent. Le centre de gravite reste toutefois module par simplicite, mutualisation et maintenance communale et par la part dominante de travaux sur parc existant.</t>
  </si>
  <si>
    <t>Transport / Mobilité</t>
  </si>
  <si>
    <t>Aires de service - Autoroutes
(Hors Aires de repos)</t>
  </si>
  <si>
    <t>Ensemble mixte</t>
  </si>
  <si>
    <t>Le bâtiment de boutique/restauration se classe selon son activité dominante.</t>
  </si>
  <si>
    <t>Station-service autoroutière ou urbaine</t>
  </si>
  <si>
    <t>BPE 2024 stations-service. Dynamique projetée 2027-2030: baisse lente. Fiabilité: bonne. Risque de doublon: oui si addition avec la catégorie parente ou avec des sous-espaces d’un même site.</t>
  </si>
  <si>
    <t>Aire de service : bloc voyageurs + personnel/restauration.</t>
  </si>
  <si>
    <t>Capacité type ≈ 66 usagers principaux + 8 staff + 6 chauffeurs accompagnants/prestataires. Le programme sanitaire est construit par blocs fonctionnels plausibles (public, personnel, exploitation/hébergement selon le cas) et non par simple ratio national moyen. Calibrage selon capacité simultanée, répartition de flux et organisation réelle du site.</t>
  </si>
  <si>
    <t>Très forte fréquentation, usage anonyme, nettoyage intensif et vandalisme tangible. Les temporisés mécaniques et chasses directes mécaniques gardent l'avantage réel. L'électronique est limitée surtout par capteurs, piles/secteur et interventions plus lourdes. Les remplacements sont souvent planifiés par campagne de remise à niveau des sanitaires. Commerce / transport / parkings / sanitaires publics très intensifs : Très forte fréquentation, disponibilité immédiate requise, vandalisme et coûts d’exploitation élevés. La temporisation mécanique et la chasse directe sont favorisées.</t>
  </si>
  <si>
    <t>Dans les aires de service, l’électronique est déjà élevée sur les lavabos publics, mais le temporisé mécanique reste très présent dans le stock.</t>
  </si>
  <si>
    <t>Les rares douches du parc existant restent majoritairement à mitigeur/thermostatique, la temporisation venant ensuite.</t>
  </si>
  <si>
    <t>Les urinoirs automatiques sont très présents sur ce segment, sans avoir totalement remplacé le parc mécanique/direct.</t>
  </si>
  <si>
    <t>La chasse directe domine les sanitaires publics d’aires de service, avec une part d’électronique déjà notable.</t>
  </si>
  <si>
    <t>Potentiel rénovation élevé : sanitaires très intensifs, disponibilité impérative et requalification commerciale/exploitation soutiennent le remplacement. Les volumes restent d’abord tirés par les WC et les lavabos, plus que par les postes spécialisés. En rénovation, l’achat reste orienté vers des produits robustes, anti-vandalisme et simples à maintenir en site occupé.</t>
  </si>
  <si>
    <t>Potentiel neuf faible à moyen : davantage lié à des reconfigurations ou extensions d’aires qu’à une vraie croissance de sites. Le neuf est très minoritaire et opportuniste.</t>
  </si>
  <si>
    <t>Projets phares réno : blocs sanitaires voyageurs, PMR, modernisation d’image et optimisation d’exploitation.</t>
  </si>
  <si>
    <t>Projets phares neuf : nouvelles aires ou extensions, reconstruction de bâtiments services, ajouts de blocs sur sites reconfigurés.</t>
  </si>
  <si>
    <t>Dynamique réno 2026-2030 : élevée et défensive, car la fréquentation rend le remplacement difficilement reportable. Les concessionnaires privilégient en général des solutions robustes, standardisées et faciles à maintenir.</t>
  </si>
  <si>
    <t>Dynamique neuf 2026-2030 : modérée et concentrée sur les programmes concessionnaires les plus structurants.</t>
  </si>
  <si>
    <t>Parc existant surtout standard. Les ventes se décalent légèrement vers intermédiaire, tiré par l’image de marque et l’expérience usager. La rénovation restant majoritaire, le mix de ventes reste proche du parc et monte surtout d’un cran sur les opérations lourdes. Aires d’autoroute : forte intensité, exploitation industrialisée et enjeux d’image des opérateurs ; standard renforcé, peu de luxe.</t>
  </si>
  <si>
    <t>Aires d’autoroute : forte intensité, exploitation industrialisée et enjeux d’image des opérateurs ; standard renforcé, peu de luxe.</t>
  </si>
  <si>
    <t>forte fréquentation ⇒ standard ↑, premium/luxe ↓ ; image + privé ⇒ premium/luxe ↑ ; rénovation dominante ⇒ progression graduelle</t>
  </si>
  <si>
    <t>Ventes 2026-2030 : glissement vers davantage de moyen / premium, surtout sur lavabo (+5,8 pts sur premium+luxe), douche (+3,9 pts sur premium+luxe). La rénovation reste très majoritaire (86% des ventes, contre 14% en neuf) ; le neuf est plus qualitatif mais ne suffit pas à transformer fortement le mix. L’écart de niveau de confort entre neuf et rénovation reste perceptible.</t>
  </si>
  <si>
    <t>Aires de repos - Autoroutes
(Hors Aires de service)</t>
  </si>
  <si>
    <t>Les bâtiments ouverts au public se classent selon leur usage.</t>
  </si>
  <si>
    <t>Aire de repos, aire de services</t>
  </si>
  <si>
    <t>Série varie peu car suit un stock principal administré et non un marché autonome. Pour 1 établissement doté de sanitaires recevant du public, la logique pertinente est celle du site autoroutier multi-services.</t>
  </si>
  <si>
    <t>proxy aires de repos et de services sur réseaux concédés. Dynamique projetée 2027-2030: stable. Fiabilité: bonne. Risque de doublon: oui si addition avec la catégorie parente ou avec des sous-espaces d’un même site.</t>
  </si>
  <si>
    <t>Aire de repos : batteries publiques seulement.</t>
  </si>
  <si>
    <t>Capacité type ≈ 492 usagers principaux + 60 staff + 48 chauffeurs accompagnants/prestataires. Le programme sanitaire est construit par blocs fonctionnels plausibles (public, personnel, exploitation/hébergement selon le cas) et non par simple ratio national moyen. Calibrage selon capacité simultanée, répartition de flux et organisation réelle du site.</t>
  </si>
  <si>
    <t>Fréquentation élevée et quasi continue, avec exigence de disponibilité permanente. Les durées restent légèrement supérieures aux aires d'autoroute mais inférieures aux bureaux. Le mécanique simple garde un avantage structurel. Les remplacements sont souvent pilotés par zone terminale ou batterie sanitaire. Commerce / transport / parkings / sanitaires publics très intensifs : Très forte fréquentation, disponibilité immédiate requise, vandalisme et coûts d’exploitation élevés. La temporisation mécanique et la chasse directe sont favorisées.</t>
  </si>
  <si>
    <t>Les aires de repos ont un parc public déjà assez modernisé, mais encore partagé entre temporisé mécanique, électronique et mitigeurs simples.</t>
  </si>
  <si>
    <t>L’automatique est fréquent, mais le parc existant conserve encore beaucoup de chasses directes et quelques collectifs.</t>
  </si>
  <si>
    <t>La chasse directe domine légèrement, avec une part d’électronique plus élevée que dans la moyenne des ERP.</t>
  </si>
  <si>
    <t>Ventes 2026-2030 : glissement vers davantage de moyen / premium, surtout sur lavabo (+4,4 pts sur premium+luxe). La rénovation reste très majoritaire (87% des ventes, contre 13% en neuf) ; le neuf est plus qualitatif mais ne suffit pas à transformer fortement le mix. L’écart de niveau de confort entre neuf et rénovation reste perceptible.</t>
  </si>
  <si>
    <t>Parcs de stationnement couverts (dotés de sanitaires)</t>
  </si>
  <si>
    <t>PS</t>
  </si>
  <si>
    <t>Parkings couverts recevant du public et disposant de sanitaires collectifs identifiables ; exclusion des parkings couverts sans toilettes publiques/personnel dédiées.</t>
  </si>
  <si>
    <t>Parking silo couvert</t>
  </si>
  <si>
    <t>Série évolue à la hausse sur la période 2000-2026. Minorité équipée de sanitaires collectifs (ordre de grandeur retenu ~18 % en 2025-2026). Réglementat° ERP de type PS ne les impose pas universellement ; l’accessibilité ne vise les sanitaires que lorsqu’ils existent.</t>
  </si>
  <si>
    <t>proxy parkings couverts publics/commerciaux. Dynamique projetée 2027-2030: hausse légère. Fiabilité: moyenne.</t>
  </si>
  <si>
    <t>https://www.insee.fr/fr/metadonnees/source/serie/s1161
https://www.legifrance.gouv.fr/codes/section_lc/JORFTEXT000000290033/LEGISCTA000020370857/2025-03-27/
https://www.ecologie.gouv.fr/politiques-publiques/laccessibilite-etablissements-recevant-du-public-erp
https://www.cerema.fr/fr/actualites/panorama-du-stationnement-public-parc-enseignements-enquete
https://www.insee.fr/fr/statistiques/7768216
https://www.effia.com/parking/parking-gare-de-vitre-effia</t>
  </si>
  <si>
    <t>Parking couvert : petit bloc public/usagers + local exploitation.</t>
  </si>
  <si>
    <t>Capacité type ≈ 45 usagers principaux + 4 staff + 1 autre public. Usage court, flux diffus et personnel réduit. Dimensionnement unitaire retenu : sanitaire public accessible près accueil/caisse + sanitaire personnel. Hypothèse d'usage : capacité simultanée moyenne 2026, répartition par flux réels, arrondie par blocs fonctionnels et exclusion des sanitaires strictement privatifs sauf cas explicitement collectifs.</t>
  </si>
  <si>
    <t>Usage anonyme, faible surveillance, humidité/odeurs et vandalisme; maintenance souvent sous-traitée. Proche toilettes publiques abritées, inférieur aux gares surveillées. Repères durées: lavabos 10/11/8 ans (mit./méca/élec.), douches 8/8/7, urinoirs 8/10/7/9, WC 10/11/8.</t>
  </si>
  <si>
    <t>Parcs de stationnement couverts (dotés de sanitaires) : parc 2025 domine par tempo mecanique (76%), avec mitigeur manuel en appoint. Le choix reflete flux voyageurs eleves, pics de transit et maintenance sous contrainte d ouverture ; debit, anti-vandalisme, hygiene percue et disponibilite continue.</t>
  </si>
  <si>
    <t>Parcs de stationnement couverts (dotés de sanitaires) : parc 2025 domine par directe mecanique (55%), avec directe electronique collective en appoint. Le choix reflete flux voyageurs eleves, pics de transit et maintenance sous contrainte d ouverture ; debit, anti-vandalisme, hygiene percue et disponibilite continue.</t>
  </si>
  <si>
    <t>Parcs de stationnement couverts (dotés de sanitaires) : parc 2025 domine par chasse directe mecanique (55%), avec reservoir en appoint. Le choix reflete flux voyageurs eleves, pics de transit et maintenance sous contrainte d ouverture ; debit, anti-vandalisme, hygiene percue et disponibilite continue.</t>
  </si>
  <si>
    <t>82,4% retenu : besoins transformes en travaux selon flux voyageurs eleves, pics de transit et maintenance sous contrainte d ouverture. Le phasage budgetaire, les fermetures partielles et la maintenance courante limitent la conversion totale.</t>
  </si>
  <si>
    <t>Potentiel renovation : tire par debit, anti-vandalisme, hygiene percue et disponibilite continue. Les remplacements sont plutot par lots, avec arbitrage entre urgence sanitaire, budget et capacite a intervenir en site occupe.</t>
  </si>
  <si>
    <t>Potentiel neuf : plus visible pour parcs de stationnement couverts (dotés de sanitaires), surtout via extensions, reconstructions ou projets locaux. Le neuf reste contraint par foncier, budgets et delais de mise en service.</t>
  </si>
  <si>
    <t>Parc existant centre sur le niveau transport, avec ventes 2026-2030 legerement plus qualitatives. Parcs de stationnement couverts (dotés de sanitaires) : flux voyageurs eleves, pics de transit et maintenance sous contrainte d ouverture; le mix reste guide par debit, anti-vandalisme, hygiene percue et disponibilite continue.</t>
  </si>
  <si>
    <t>Parc existant : debit, anti-vandalisme, hygiene percue et disponibilite continue; flux voyageurs eleves, pics de transit et maintenance sous contrainte d ouverture. La montee en confort reste proportionnee au budget et au rythme de renovation.</t>
  </si>
  <si>
    <t>forte frequentation =&gt; standard robuste ; vandalisme =&gt; anti-vandalisme</t>
  </si>
  <si>
    <t>Parcs de stationnement couverts (dotés de sanitaires) : ventes 2026-2030 en leger glissement vers moyen/premium lorsque le neuf ou les renov. lourdes interviennent. Le centre de gravite reste toutefois module par debit, anti-vandalisme, hygiene percue et disponibilite continue et par la part dominante de travaux sur parc existant.</t>
  </si>
  <si>
    <t>Aéroports / aérogares
(&gt;1 000 passagers/an)</t>
  </si>
  <si>
    <t>Les terminaux recevant du public relèvent d’un classement par bâtiments et usages.</t>
  </si>
  <si>
    <t>Terminal passagers, aérogare</t>
  </si>
  <si>
    <t>proxy aérodromes ouverts au trafic commercial et terminaux. Dynamique projetée 2027-2030: stable. Fiabilité: moyenne.</t>
  </si>
  <si>
    <t>https://www.ecologie.gouv.fr/aviation-commerciale</t>
  </si>
  <si>
    <t>Aérogare : blocs publics par zone + personnel ; hors salons privatifs.</t>
  </si>
  <si>
    <t>Capacité type ≈ 2870 usagers principaux + 350 staff + 280 agents/visiteurs techniques. Le programme sanitaire est construit par blocs fonctionnels plausibles (public, personnel, exploitation/hébergement selon le cas) et non par simple ratio national moyen. Calibrage selon capacité simultanée, répartition de flux et organisation réelle du site.</t>
  </si>
  <si>
    <t>Profil très grand, capacité moyenne ≈ 3500 personnes. Moyenne pondérée terrain : parc majoritairement petits/moyens sites, grands sites intégrés sans surpondération ; usage 2025 forte à très forte.</t>
  </si>
  <si>
    <t>Les aéroports sont l’un des segments les plus avancés en électronique sur le parc existant, sans faire totalement disparaître le temporisé mécanique sur les zones secondaires.</t>
  </si>
  <si>
    <t>Les douches éventuelles restent mixtes entre mitigeur/temporisé et électronique dans les zones premium ou équipages.</t>
  </si>
  <si>
    <t>L’automatique domine très nettement le parc d’urinoirs d’aéroport.</t>
  </si>
  <si>
    <t>La chasse directe domine, avec une part d’électronique élevée sur les sanitaires publics récents.</t>
  </si>
  <si>
    <t>Potentiel rénovation élevé : flux voyageurs, exigence de qualité d’accueil et travaux de modernisation soutiennent un flux régulier. Les lavabos et les WC portent l’essentiel des volumes, avec un poids secondaire des équipements spécialisés. En rénovation, le marché reste favorable aux gammes robustes et simples d’entretien, compatibles avec des chantiers par tranches et des budgets contraints.</t>
  </si>
  <si>
    <t>Potentiel neuf faible : lumpy et concentré sur quelques grands nœuds, extensions et reconfigurations. Le neuf est quasi nul dans le modèle et renvoie surtout à des reconstructions ou remplacements de sites.</t>
  </si>
  <si>
    <t>Projets phares réno : sanitaires voyageurs, blocs PMR, halls, zones d’attente, espaces public/personnel.</t>
  </si>
  <si>
    <t>Projets phares neuf : extensions d’aérogares, gares restructurées, terminaux neufs ou réaménagés avec nouvelles surfaces.</t>
  </si>
  <si>
    <t>Dynamique réno 2026-2030 : soutenue, car la qualité perçue des sanitaires est directement visible dans l’expérience passager.</t>
  </si>
  <si>
    <t>Dynamique neuf 2026-2030 : modérée ; quelques grands projets font le marché, mais le flux reste irrégulier. Les opérations sont concentrées sur peu d’actifs mais peuvent générer de gros volumes à l’unité.</t>
  </si>
  <si>
    <t>Parc existant surtout intermédiaire. Les ventes se décalent légèrement vers premium, sous l’effet combiné de l’hygiène, de l’image et des rénovations lourdes. La rénovation restant majoritaire, le mix de ventes reste proche du parc et monte surtout d’un cran sur les opérations lourdes. Aéroports et grands terminaux : expérience passager, image, hygiène et investissements ciblés poussent plus franchement vers l’intermédiaire/premium.</t>
  </si>
  <si>
    <t>Aéroports et grands terminaux : expérience passager, image, hygiène et investissements ciblés poussent plus franchement vers l’intermédiaire/premium.</t>
  </si>
  <si>
    <t>forte fréquentation ⇒ standard ↑, premium/luxe ↓ ; image + privé ⇒ premium/luxe ↑ ; contrainte sanitaire ⇒ standard/intermédiaire technique ↑ ; rénovation dominante ⇒ progression graduelle</t>
  </si>
  <si>
    <t>Ventes 2026-2030 : glissement vers davantage de moyen / premium, surtout sur urinoir (+19,0 pts sur premium+luxe), WC (+18,9 pts sur premium+luxe), douche (+18,5 pts sur premium+luxe). La rénovation reste majoritaire (81% des ventes, contre 19% en neuf) ; le neuf tire le mix vers le haut sans renverser le centre de gravité. L’écart de niveau de confort entre neuf et rénovation est net.</t>
  </si>
  <si>
    <t>Gares ferroviaires et stations
(dotés de sanitaires)</t>
  </si>
  <si>
    <t>Gares et espaces d’accueil associés.</t>
  </si>
  <si>
    <t>Gare SNCF, gare routière, grande station</t>
  </si>
  <si>
    <t>Ancrage sur 1 075 gares 'LOM' (les plus équipées) sur 3000 gares au total (2026) . Le parc national de gares voyageurs varie peu. Stabilité reflète stock d’infra. lourdes dont les évolutionssont limitées.</t>
  </si>
  <si>
    <t>Montée progressive parc gares équipées, accélération 2018-2024 =&gt;programmes de confort + accessibilité, léger creux 2020, puis reprise lente. Hausse modérée =&gt; petites haltes restent sans sanitaires.</t>
  </si>
  <si>
    <t>https://www.garesetconnexions.sncf/fr/nos-metiers | https://www.garesetconnexions.sncf/fr/faq/services/toilettes-sont-elles-presentes-ma-gare-000001219 | https://www.garesetconnexions.sncf/fr/journaliste/toilettes-gares-dile-france | https://www.sncf-reseau.com/accessibilite/rapport-accessibilite-2018/index.html | https://ressources.data.sncf.com/explore/dataset/stationnement-securise-velo-en-gare-au-30-06-24/
https://www.groupe-sncf.com/fr/groupe/portrait-entreprise/groupe-societes/sncf-gares-et-connexions/frequentation-gare</t>
  </si>
  <si>
    <t>Gare/station : batteries voyageurs + sanitaires personnel/exploitation.</t>
  </si>
  <si>
    <t>Capacité type ≈ 700 usagers principaux + 70 staff + 30 autre public. Flux voyageurs concentré aux quais, correspondances et halls ; rotation rapide. Dimensionnement unitaire retenu : blocs publics par hall/quais + staff, PMR selon zones accessibles. Hypothèse d'usage : capacité simultanée moyenne 2026, répartition par flux réels, arrondie par blocs fonctionnels et exclusion des sanitaires strictement privatifs sauf cas explicitement collectifs.</t>
  </si>
  <si>
    <t>ERP/accessibilité : https://www.legifrance.gouv.fr/loda/article_lc/LEGIARTI000034485966/ ; SNCF accessibilité à bord : https://www.sncf-voyageurs.com/fr/voyagez-avec-nous/preparez-votre-voyage/accessibilite/equipements-daccessibilite-a-bord/ ; Navires à passagers : https://www.legifrance.gouv.fr/codes/section_lc/JORFTEXT000000841523/LEGISCTA000027071095/ ; Code du travail : https://www.legifrance.gouv.fr/codes/id/LEGISCTA000018531984</t>
  </si>
  <si>
    <t>Flux très élevé, pics pendulaires et usage anonyme; maintenance présente mais vandalisme et nettoyage intensif. Proche aéroports, souvent plus bas par environnement ouvert. Fréquentation élevée et quasi continue, avec exigence de disponibilité permanente. Les durées restent légèrement supérieures aux aires d'autoroute mais inférieures aux bureaux. Le mécanique simple garde un avantage structurel. Très forte fréquentation, disponibilité immédiate requise, vandalisme et coûts d’exploitation élevés. La temporisation mécanique et la chasse directe sont favorisées.</t>
  </si>
  <si>
    <t>Gares ferroviaires et stations (dotés de sanitaires) : parc 2025 domine par tempo mecanique (76%), avec mitigeur manuel en appoint. Le choix reflete flux voyageurs eleves, pics de transit et maintenance sous contrainte d ouverture ; debit, anti-vandalisme, hygiene percue et disponibilite continue.</t>
  </si>
  <si>
    <t>Gares ferroviaires et stations (dotés de sanitaires) : parc 2025 domine par tempo mecanique (80%), avec mitigeur en appoint. Le choix reflete flux voyageurs eleves, pics de transit et maintenance sous contrainte d ouverture ; debit, anti-vandalisme, hygiene percue et disponibilite continue.</t>
  </si>
  <si>
    <t>Gares ferroviaires et stations (dotés de sanitaires) : parc 2025 domine par directe mecanique (55%), avec directe electronique collective en appoint. Le choix reflete flux voyageurs eleves, pics de transit et maintenance sous contrainte d ouverture ; debit, anti-vandalisme, hygiene percue et disponibilite continue.</t>
  </si>
  <si>
    <t>Gares ferroviaires et stations (dotés de sanitaires) : parc 2025 domine par chasse directe mecanique (55%), avec reservoir en appoint. Le choix reflete flux voyageurs eleves, pics de transit et maintenance sous contrainte d ouverture ; debit, anti-vandalisme, hygiene percue et disponibilite continue.</t>
  </si>
  <si>
    <t>Potentiel neuf : plus visible pour gares ferroviaires et stations (dotés de sanitaires), surtout via extensions, reconstructions ou projets locaux. Le neuf reste contraint par foncier, budgets et delais de mise en service.</t>
  </si>
  <si>
    <t>Parc existant centre sur le niveau transport, avec ventes 2026-2030 legerement plus qualitatives. Gares ferroviaires et stations (dotés de sanitaires) : flux voyageurs eleves, pics de transit et maintenance sous contrainte d ouverture; le mix reste guide par debit, anti-vandalisme, hygiene percue et disponibilite continue.</t>
  </si>
  <si>
    <t>Gares ferroviaires et stations (dotés de sanitaires) : ventes 2026-2030 en leger glissement vers moyen/premium lorsque le neuf ou les renov. lourdes interviennent. Le centre de gravite reste toutefois module par debit, anti-vandalisme, hygiene percue et disponibilite continue et par la part dominante de travaux sur parc existant.</t>
  </si>
  <si>
    <t>Sites recevant plaisanciers et visiteurs avec sanitaires, douches et accueil ; hors simple quai sans bâtiment recevant du public.</t>
  </si>
  <si>
    <t>Port de plaisance, capitainerie, halte fluviale équipée</t>
  </si>
  <si>
    <t>Ports de plaisance / capitaineries dont les sanitaires publics ou partagés avec les visiteurs. Simples capitaineries techniques ou sites réservés aux plaisanciers abonnés, sans accueil public structuré, exclus.</t>
  </si>
  <si>
    <t>Ancrage fort  : Observatoire Ports de plaisance. Rapport 2018 recense 785 ports hexagonaux dont 47 ultramarins sur périmètre maritime spécifique. Project° 2026-30 prudente.</t>
  </si>
  <si>
    <t>Port de plaisance/capitainerie : sanitaires plaisanciers + douches/vestiaires et staff.</t>
  </si>
  <si>
    <t>Capacité type ≈ 64 usagers principaux + 12 staff + 4 autre public. Plaisanciers, visiteurs et capitainerie, usage douche concentré matin/soir. Dimensionnement unitaire retenu : blocs WC/douches par bassin ou capitainerie, staff séparé. Hypothèse d'usage : capacité simultanée moyenne 2026, répartition par flux réels, arrondie par blocs fonctionnels et exclusion des sanitaires strictement privatifs sauf cas explicitement collectifs.</t>
  </si>
  <si>
    <t>Saisonnalité, humidité saline, douches plaisanciers et remises en service; maintenance capitainerie. Proche bases nautiques, corrosion forte mais public plus soigneux. Repères durées: lavabos 10/11/8 ans (mit./méca/élec.), douches 8/8/7, urinoirs 8/10/7/9, WC 10/11/8.</t>
  </si>
  <si>
    <t>Ports de plaisance / capitaineries : parc 2025 domine par tempo mecanique (76%), avec mitigeur manuel en appoint. Le choix reflete flux voyageurs eleves, pics de transit et maintenance sous contrainte d ouverture ; debit, anti-vandalisme, hygiene percue et disponibilite continue.</t>
  </si>
  <si>
    <t>Ports de plaisance / capitaineries : parc 2025 domine par tempo mecanique (80%), avec mitigeur en appoint. Le choix reflete flux voyageurs eleves, pics de transit et maintenance sous contrainte d ouverture ; debit, anti-vandalisme, hygiene percue et disponibilite continue.</t>
  </si>
  <si>
    <t>Ports de plaisance / capitaineries : parc 2025 domine par directe mecanique (55%), avec directe electronique collective en appoint. Le choix reflete flux voyageurs eleves, pics de transit et maintenance sous contrainte d ouverture ; debit, anti-vandalisme, hygiene percue et disponibilite continue.</t>
  </si>
  <si>
    <t>Ports de plaisance / capitaineries : parc 2025 domine par chasse directe mecanique (55%), avec reservoir en appoint. Le choix reflete flux voyageurs eleves, pics de transit et maintenance sous contrainte d ouverture ; debit, anti-vandalisme, hygiene percue et disponibilite continue.</t>
  </si>
  <si>
    <t>Potentiel neuf : plus visible pour ports de plaisance / capitaineries, surtout via extensions, reconstructions ou projets locaux. Le neuf reste contraint par foncier, budgets et delais de mise en service.</t>
  </si>
  <si>
    <t>Parc existant centre sur le niveau transport, avec ventes 2026-2030 legerement plus qualitatives. Ports de plaisance / capitaineries : flux voyageurs eleves, pics de transit et maintenance sous contrainte d ouverture; le mix reste guide par debit, anti-vandalisme, hygiene percue et disponibilite continue.</t>
  </si>
  <si>
    <t>Ports de plaisance / capitaineries : ventes 2026-2030 en leger glissement vers moyen/premium lorsque le neuf ou les renov. lourdes interviennent. Le centre de gravite reste toutefois module par debit, anti-vandalisme, hygiene percue et disponibilite continue et par la part dominante de travaux sur parc existant.</t>
  </si>
  <si>
    <t>Classement selon bâtiment et activité dominante.</t>
  </si>
  <si>
    <t>Terminal ferry, gare fluviale</t>
  </si>
  <si>
    <t>proxy ports passagers et gares fluviales. Dynamique projetée 2027-2030: stable. Fiabilité: moyenne.</t>
  </si>
  <si>
    <t>https://www.ecologie.gouv.fr/transports-maritime</t>
  </si>
  <si>
    <t>Terminal maritime/fluvial : blocs publics + personnel d'exploitation.</t>
  </si>
  <si>
    <t>Capacité type ≈ 984 usagers principaux + 120 staff + 96 visiteurs techniques/prestataires. Le programme sanitaire est construit par blocs fonctionnels plausibles (public, personnel, exploitation/hébergement selon le cas) et non par simple ratio national moyen. Calibrage selon capacité simultanée, répartition de flux et organisation réelle du site.</t>
  </si>
  <si>
    <t>Usage diffus, entretien régulier et qualité de finition plus élevée que dans les ERP de transit. Les durées de vie sont donc au-dessus de la moyenne. L'électronique reste plus courte si elle existe, surtout hors contrats de maintenance dédiés. Le remplacement se fait souvent par chambre ou par lot lors des rénovations d'étage. Moins de cycles annuels mais conditions climatiques/corrosives, hivernage et remises en service. maintenance concentrée et hétérogène.</t>
  </si>
  <si>
    <t>Les terminaux maritimes/fluviaux ont un parc un peu moins standardisé que les aéroports/gares, avec une part plus forte d’équipements spécifiques ou anciens.</t>
  </si>
  <si>
    <t>Les rares douches restent mixtes entre mitigeur, temporisé et électronique.</t>
  </si>
  <si>
    <t>Le parc d’urinoirs est partagé entre automatique et direct mécanique.</t>
  </si>
  <si>
    <t>La chasse directe domine, mais le réservoir reste plus présent que dans l’aérien.</t>
  </si>
  <si>
    <t>Potentiel rénovation élevé : flux voyageurs, exigence de qualité d’accueil et travaux de modernisation soutiennent un flux régulier. Les volumes restent d’abord tirés par les WC et les lavabos, plus que par les postes spécialisés. En rénovation, le marché reste favorable aux gammes robustes et simples d’entretien, compatibles avec des chantiers par tranches et des budgets contraints.</t>
  </si>
  <si>
    <t>Potentiel neuf moyen : lumpy et concentré sur quelques grands nœuds, extensions et reconfigurations. Le neuf est significatif mais encore nettement inférieur à la rénovation.</t>
  </si>
  <si>
    <t>Dynamique neuf 2026-2030 : modérée ; quelques grands projets font le marché, mais le flux reste irrégulier.</t>
  </si>
  <si>
    <t>Parc existant surtout intermédiaire. Les ventes se décalent légèrement vers intermédiaire / premium, sous l’effet combiné de l’hygiène, de l’image et des rénovations lourdes. La rénovation restant majoritaire, le mix de ventes reste proche du parc et monte surtout d’un cran sur les opérations lourdes. Aéroports et grands terminaux : expérience passager, image, hygiène et investissements ciblés poussent plus franchement vers l’intermédiaire/premium.</t>
  </si>
  <si>
    <t>forte fréquentation ⇒ standard ↑, premium/luxe ↓ ; image + privé ⇒ premium/luxe ↑ ; contrainte sanitaire ⇒ standard/intermédiaire technique ↑ ; poids du neuf significatif ⇒ premiumisation des ventes &gt; parc</t>
  </si>
  <si>
    <t>Terminaux maritimes / fluviaux : terminaux maritimes/fluviaux davantage différenciés selon tourisme et croisière. Ventes 2026-2030 : glissement vers davantage de moyen / premium, surtout sur WC (+21,5 pts sur premium+luxe), urinoir (+21,5 pts sur premium+luxe), douche (+21,4 pts sur premium+luxe). La rénovation reste majoritaire (75% des ventes, contre 25% en neuf) ; le neuf tire le mix vers le haut sans renverser le centre de gravité. L’écart de niveau de confort entre neuf et rénovation est net.</t>
  </si>
  <si>
    <t>Matériel roulant / Transport mobile</t>
  </si>
  <si>
    <t>Aéronefs commerciaux</t>
  </si>
  <si>
    <t>Hors champ établissement mobile</t>
  </si>
  <si>
    <t>Minimum documenté à partir des flottes explicitement quantifiées dans les sources consultées (Air France 50 A220 + 40 A350, Transavia France 90, French bee 6). Le total réel France est supérieur. Non comparable à un décompte de sites.</t>
  </si>
  <si>
    <t>Avion de ligne, avion charter passagers. (Aéronef commercial passagers exploité par transporteurs français ou basés France, avec sanitaires à bord).</t>
  </si>
  <si>
    <t>Aéronef</t>
  </si>
  <si>
    <t>minimum documenté / non additif</t>
  </si>
  <si>
    <t>Rebond post-Covid puis croissance prudente portée par renouvellement de flotte et trafic, mais limitée par coûts, sobriété carbone et disponibilités constructeurs.</t>
  </si>
  <si>
    <t>Projection 2026-2030 prudente : +1,7 à +1,9 %/an, davantage par renouvellement/capacité que par forte hausse du nombre d'appareils.</t>
  </si>
  <si>
    <t>Air France flotte 2025 : https://corporate.airfrance.com/a-propos-air-france/chiffres-cles ; flotte Air France 2023 : https://fr.scribd.com/document/859479901/SOCIETE-AIR-FRANCE-Comptes-consolides-2023</t>
  </si>
  <si>
    <t>Aéronef commercial : lavatories embarqués passagers + équipage, sans douches.</t>
  </si>
  <si>
    <t>Capacité type ≈ 170 usagers principaux + 8 staff + 2 autre public. Capacité moyenne d'un appareil commercial court/moyen courrier avec équipage. Dimensionnement unitaire retenu : ratio d'exploitation de plusieurs lavatories par cabine, dimensionné par places assises et durée de vol. Hypothèse d'usage : capacité simultanée moyenne 2026, répartition par flux réels, arrondie par blocs fonctionnels et exclusion des sanitaires strictement privatifs sauf cas explicitement collectifs.</t>
  </si>
  <si>
    <t>EASA lavatories : https://www.easa.europa.eu/en/faq/115319 ; DOT accessible lavatories single-aisle aircraft : https://www.transportation.gov/airconsumer/final-rule-accessible-lavatories-single-aisle-aircraft-PDF ; hypothèse d'exploitation selon configurations cabine courantes.</t>
  </si>
  <si>
    <t>Milieu embarqué, vibrations, contraintes poids/maintenance et cycles courts d'exploitation; sanitaires compacts très sollicités. Prudence, renouvellement lors visites lourdes ou rétrofits. Repères durées: lavabos 10/11/8 ans (mit./méca/élec.), douches 8/8/7, urinoirs 8/10/7/9, WC 10/11/8.</t>
  </si>
  <si>
    <t>Aéronefs commerciaux : parc 2025 domine par tempo mecanique (76%), avec mitigeur manuel en appoint. Le choix reflete espace embarque contraint, cycles de flotte et maintenance immobilisante ; compacite, fiabilite embarquee et cout d immobilisation.</t>
  </si>
  <si>
    <t>Aéronefs commerciaux : parc 2025 domine par chasse directe mecanique (55%), avec reservoir en appoint. Le choix reflete espace embarque contraint, cycles de flotte et maintenance immobilisante ; compacite, fiabilite embarquee et cout d immobilisation.</t>
  </si>
  <si>
    <t>80,9% retenu : besoins transformes en travaux selon espace embarque contraint, cycles de flotte et maintenance immobilisante. Le phasage budgetaire, les fermetures partielles et la maintenance courante limitent la conversion totale.</t>
  </si>
  <si>
    <t>Potentiel renovation : tire par compacite, fiabilite embarquee et cout d immobilisation. Les remplacements sont plutot par lots, avec arbitrage entre urgence sanitaire, budget et capacite a intervenir en site occupe.</t>
  </si>
  <si>
    <t>Potentiel neuf : plus visible pour aéronefs commerciaux, surtout via extensions, reconstructions ou projets locaux. Le neuf reste contraint par foncier, budgets et delais de mise en service.</t>
  </si>
  <si>
    <t>Parc existant centre sur le niveau mobile, avec ventes 2026-2030 legerement plus qualitatives. Aéronefs commerciaux : espace embarque contraint, cycles de flotte et maintenance immobilisante; le mix reste guide par compacite, fiabilite embarquee et cout d immobilisation.</t>
  </si>
  <si>
    <t>Parc existant : compacite, fiabilite embarquee et cout d immobilisation; espace embarque contraint, cycles de flotte et maintenance immobilisante. La montee en confort reste proportionnee au budget et au rythme de renovation.</t>
  </si>
  <si>
    <t>Aéronefs commerciaux : ventes 2026-2030 en leger glissement vers moyen/premium lorsque le neuf ou les renov. lourdes interviennent. Le centre de gravite reste toutefois module par compacite, fiabilite embarquee et cout d immobilisation et par la part dominante de travaux sur parc existant.</t>
  </si>
  <si>
    <t>Rames ferroviaires voyageurs</t>
  </si>
  <si>
    <t>Quantification minimale documentée à partir des programmes SNCF cités (environ 1 000 rames TER modernisées + 104 rames TGV O2D). Le parc réel France est supérieur. Non comparable à un décompte de sites.</t>
  </si>
  <si>
    <t>TGV, Intercités, train de nuit, rame TER équipée</t>
  </si>
  <si>
    <t>Rame / voiture</t>
  </si>
  <si>
    <t>Unité = rame voyageurs nationale/régionale longue ou moyenne distance, avec sanitaires à bord selon matériel : mélange TGV, Intercités, TER et matériels franciliens équipés.</t>
  </si>
  <si>
    <t>Hausse lente, liée aux commandes de matériels neufs et au développement de l'offre ferroviaire, mais freinée par durée de vie élevée des rames et contraintes industrielles.</t>
  </si>
  <si>
    <t>Commande TGV M SNCF 2026 : https://www.groupe-sncf.com/fr/groupe/portrait-entreprise/groupe-societes/sncf-voyageurs/commande-15-tgv-m-alstom ; transports ferrés voyageurs Insee : https://www.insee.fr/fr/statistiques/2016150</t>
  </si>
  <si>
    <t>Rame ferroviaire voyageurs : toilettes embarquées, dont équipement accessible selon matériel.</t>
  </si>
  <si>
    <t>Capacité type ≈ 470 usagers principaux + 25 staff + 5 autre public. Capacité d'une rame voyageurs moyenne, forte rotation et temps de trajet variable. Dimensionnement unitaire retenu : plusieurs WC embarqués répartis par rame/voiture, avec au moins un module accessible sur matériels adaptés. Hypothèse d'usage : capacité simultanée moyenne 2026, répartition par flux réels, arrondie par blocs fonctionnels et exclusion des sanitaires strictement privatifs sauf cas explicitement collectifs.</t>
  </si>
  <si>
    <t>Usage mobile, vibrations, vandalisme possible et maintenance en dépôt; eau limitée et cycles de nettoyage rapides. Proche gares, mais contraintes embarquées réduisent électronique/douches. Repères durées: lavabos 10/11/8 ans (mit./méca/élec.), douches 8/8/7, urinoirs 8/10/7/9, WC 10/11/8.</t>
  </si>
  <si>
    <t>Rames ferroviaires voyageurs : parc 2025 domine par tempo mecanique (76%), avec mitigeur manuel en appoint. Le choix reflete espace embarque contraint, cycles de flotte et maintenance immobilisante ; compacite, fiabilite embarquee et cout d immobilisation.</t>
  </si>
  <si>
    <t>Rames ferroviaires voyageurs : parc 2025 domine par chasse directe mecanique (55%), avec reservoir en appoint. Le choix reflete espace embarque contraint, cycles de flotte et maintenance immobilisante ; compacite, fiabilite embarquee et cout d immobilisation.</t>
  </si>
  <si>
    <t>Potentiel neuf : plus visible pour rames ferroviaires voyageurs, surtout via extensions, reconstructions ou projets locaux. Le neuf reste contraint par foncier, budgets et delais de mise en service.</t>
  </si>
  <si>
    <t>Parc existant centre sur le niveau mobile, avec ventes 2026-2030 legerement plus qualitatives. Rames ferroviaires voyageurs : espace embarque contraint, cycles de flotte et maintenance immobilisante; le mix reste guide par compacite, fiabilite embarquee et cout d immobilisation.</t>
  </si>
  <si>
    <t>Rames ferroviaires voyageurs : ventes 2026-2030 en leger glissement vers moyen/premium lorsque le neuf ou les renov. lourdes interviennent. Le centre de gravite reste toutefois module par compacite, fiabilite embarquee et cout d immobilisation et par la part dominante de travaux sur parc existant.</t>
  </si>
  <si>
    <t xml:space="preserve">Ferries et navires à passagers </t>
  </si>
  <si>
    <t>Périmètre partiel documenté : navires à passagers de plus de 100 UMS sous pavillon français ; les unités côtières plus petites peuvent s'y ajouter. Non comparable à un décompte de sites.</t>
  </si>
  <si>
    <t>Ferry, navire à passagers, bateau d’excursion</t>
  </si>
  <si>
    <t>Navire</t>
  </si>
  <si>
    <t>série publique partielle / non additif</t>
  </si>
  <si>
    <t>Unité = navire à passagers/ferry sous pavillon français &gt;100 UMS (navires côtiers très petits exclus. Surface = espaces intérieurs voyageurs/services/sanitaires d'un mix ferries et navires passagers, très variable.</t>
  </si>
  <si>
    <t>Quasi-stabilité à légère hausse, avec renouvellement et quelques entrées, mais pas d'expansion massive du parc.</t>
  </si>
  <si>
    <t>SDES chiffres clés transports 2025 : https://www.statistiques.developpement-durable.gouv.fr/edition-numerique/chiffres-cles-transports/fr/34-materiel-de-transport ; flotte française juillet 2025 : https://www.mer.gouv.fr/sites/default/files/2026-01/flotte-de-commerce-juillet-2025.pdf</t>
  </si>
  <si>
    <t>Ferry/navire à passagers : WC passagers + douches/lavabos si traversée et cabines non privatives.</t>
  </si>
  <si>
    <t>Capacité type ≈ 800 usagers principaux + 80 staff + 20 autre public. Traversées avec passagers, équipage et services hôteliers/garage. Dimensionnement unitaire retenu : WC par tranche de passagers selon durée, lavabos/douches suffisants pour passagers sans sanitaires privatifs. Hypothèse d'usage : capacité simultanée moyenne 2026, répartition par flux réels, arrondie par blocs fonctionnels et exclusion des sanitaires strictement privatifs sauf cas explicitement collectifs.</t>
  </si>
  <si>
    <t>Profil grand, capacité moyenne ≈ 900 personnes. Moyenne pondérée terrain : parc majoritairement petits/moyens sites, grands sites intégrés sans surpondération ; usage 2025 forte à très forte.</t>
  </si>
  <si>
    <t>Humidité saline, vibrations, pics d'embarquement et maintenance en arrêt technique. Proche ports/plaisance mais usage passagers plus intensif et corrosion supérieure. Repères durées: lavabos 10/11/8 ans (mit./méca/élec.), douches 8/8/7, urinoirs 8/10/7/9, WC 10/11/8.</t>
  </si>
  <si>
    <t>Ferries et navires à passagers : parc 2025 domine par tempo mecanique (76%), avec mitigeur manuel en appoint. Le choix reflete espace embarque contraint, cycles de flotte et maintenance immobilisante ; compacite, fiabilite embarquee et cout d immobilisation.</t>
  </si>
  <si>
    <t>Ferries et navires à passagers : parc 2025 domine par tempo mecanique (80%), avec mitigeur en appoint. Le choix reflete espace embarque contraint, cycles de flotte et maintenance immobilisante ; compacite, fiabilite embarquee et cout d immobilisation.</t>
  </si>
  <si>
    <t>Ferries et navires à passagers : parc 2025 domine par directe mecanique (55%), avec directe electronique collective en appoint. Le choix reflete espace embarque contraint, cycles de flotte et maintenance immobilisante ; compacite, fiabilite embarquee et cout d immobilisation.</t>
  </si>
  <si>
    <t>Ferries et navires à passagers : parc 2025 domine par chasse directe mecanique (55%), avec reservoir en appoint. Le choix reflete espace embarque contraint, cycles de flotte et maintenance immobilisante ; compacite, fiabilite embarquee et cout d immobilisation.</t>
  </si>
  <si>
    <t>Potentiel neuf : plus visible pour ferries et navires à passagers, surtout via extensions, reconstructions ou projets locaux. Le neuf reste contraint par foncier, budgets et delais de mise en service.</t>
  </si>
  <si>
    <t>Parc existant centre sur le niveau mobile, avec ventes 2026-2030 legerement plus qualitatives. Ferries et navires à passagers : espace embarque contraint, cycles de flotte et maintenance immobilisante; le mix reste guide par compacite, fiabilite embarquee et cout d immobilisation.</t>
  </si>
  <si>
    <t>Ferries et navires à passagers : ventes 2026-2030 en leger glissement vers moyen/premium lorsque le neuf ou les renov. lourdes interviennent. Le centre de gravite reste toutefois module par compacite, fiabilite embarquee et cout d immobilisation et par la part dominante de travaux sur parc existant.</t>
  </si>
  <si>
    <t>Autocars
(dotés de sanitaires collectifs)</t>
  </si>
  <si>
    <t>Quantification de la flotte France d'autocars en circulation. Tous ne sont pas nécessairement équipés de WC ; à suivre séparément si tu veux ensuite restreindre au sous-ensemble longue distance/tourisme.</t>
  </si>
  <si>
    <t>Autocar de tourisme longue distance</t>
  </si>
  <si>
    <t>Véhicule</t>
  </si>
  <si>
    <t>série publique directe / non additif</t>
  </si>
  <si>
    <t>Les toilettes sont concentrées sur les autocars tourisme / grand tourisme / premium (standard, scolaires et une large part de l'interurbain n'en ont pas).</t>
  </si>
  <si>
    <t>Progression lente du sous-parc équipé, portée par la montée en gamme, le tourisme et le renouvellement, sans changement d'échelle car le parc total d'autocars reste quasi stable.</t>
  </si>
  <si>
    <t xml:space="preserve">https://www.statistiques.developpement-durable.gouv.fr/66-600-autocars-et-28-000-autobus-en-circulation-au-1er-janvier-2025
https://www.flixbus.fr/services/services-a-bord
https://newsroom.blablacar.fr/news/pour-les-10-ans-de-la-liberalisation-du-bus-blablacar-bus-dresse-le-bilan-de-ses-lignes-au-niveau-national ; https://caretbusnews.fr/les-infos/autocar/autocar-expo-2024-blablacar-mise-sur-le-hvo-et-le-b100/ ; https://www.blablacar.fr/bus/routes/paris-2/concarneau-2
https://www.sticentre.fr/notre-parc-de-vehicules
https://viabus.fr/notre-flotte-de-vehicules/
https://busgroupe.fr/flotte/autocars-grand-tourisme/
</t>
  </si>
  <si>
    <t>Autocar équipé : WC embarqué unique, usage ponctuel ; pas de douche.</t>
  </si>
  <si>
    <t>Capacité type ≈ 49 usagers principaux + 1 staff + 0 autre public. Autocar longue distance ou tourisme avec une cabine sanitaire et conducteur. Dimensionnement unitaire retenu : 1 WC embarqué pour l'ensemble des passagers, complété par pauses/aires de service. Hypothèse d'usage : capacité simultanée moyenne 2026, répartition par flux réels, arrondie par blocs fonctionnels et exclusion des sanitaires strictement privatifs sauf cas explicitement collectifs.</t>
  </si>
  <si>
    <t>Sanitaire embarqué compact, vibrations, nettoyage limité et usage ponctuel mais agressif; accès maintenance restreint. Prudence, surtout électronique et réservoirs. Repères durées: lavabos 10/11/8 ans (mit./méca/élec.), douches 8/8/7, urinoirs 8/10/7/9, WC 10/11/8.</t>
  </si>
  <si>
    <t>Autocars (dotés de sanitaires collectifs) : parc 2025 domine par tempo mecanique (76%), avec mitigeur manuel en appoint. Le choix reflete espace embarque contraint, cycles de flotte et maintenance immobilisante ; compacite, fiabilite embarquee et cout d immobilisation.</t>
  </si>
  <si>
    <t>Autocars (dotés de sanitaires collectifs) : parc 2025 domine par chasse directe mecanique (55%), avec reservoir en appoint. Le choix reflete espace embarque contraint, cycles de flotte et maintenance immobilisante ; compacite, fiabilite embarquee et cout d immobilisation.</t>
  </si>
  <si>
    <t>Potentiel neuf : plus visible pour autocars (dotés de sanitaires collectifs), surtout via extensions, reconstructions ou projets locaux. Le neuf reste contraint par foncier, budgets et delais de mise en service.</t>
  </si>
  <si>
    <t>Parc existant centre sur le niveau mobile, avec ventes 2026-2030 legerement plus qualitatives. Autocars (dotés de sanitaires collectifs) : espace embarque contraint, cycles de flotte et maintenance immobilisante; le mix reste guide par compacite, fiabilite embarquee et cout d immobilisation.</t>
  </si>
  <si>
    <t>Autocars (dotés de sanitaires collectifs) : ventes 2026-2030 en leger glissement vers moyen/premium lorsque le neuf ou les renov. lourdes interviennent. Le centre de gravite reste toutefois module par compacite, fiabilite embarquee et cout d immobilisation et par la part dominante de travaux sur parc existant.</t>
  </si>
  <si>
    <t>Sécurité &amp; Justice</t>
  </si>
  <si>
    <t>Locaux de sûreté, garde à vue et zones opérationnelles</t>
  </si>
  <si>
    <t>Hors ERP autonome / accès contrôlé</t>
  </si>
  <si>
    <t>Les zones de sûreté, d’enquête ou de garde à vue ne constituent pas un type ERP autonome lorsqu’elles ne sont pas ouvertes au public.</t>
  </si>
  <si>
    <t>Locaux de garde à vue, salles opérationnelles, armurerie, zone technique</t>
  </si>
  <si>
    <t>sous-espace / proxy institutionnel</t>
  </si>
  <si>
    <t>sous-espace d’un commissariat/poste</t>
  </si>
  <si>
    <t>Sous-espace rattaché aux commissariats ; projection alignée sur le parc de sites police ouverts au public. Fiabilité: moyenne.</t>
  </si>
  <si>
    <t>Commissariat complet : sanitaires staff/opérationnels + garde à vue/visiteurs, hors cellules individuelles.</t>
  </si>
  <si>
    <t>Capacité type ≈ 8 présents principaux + 28 staff + 4 familles/intervenants. Programme mixte police : accueil public, locaux opérationnels et personnels ; pas de simple ratio public, mais noyaux par zone fonctionnelle. Calibrage selon capacité simultanée, répartition de flux et organisation réelle du site.</t>
  </si>
  <si>
    <t>Ministère de la Justice, plan encellulement individuel : https://www.justice.gouv.fr/actualites/espace-presse/plan-encellulement-individuel-0 ; CGLPL, avis relatif à l'encellulement individuel : https://www.cglpl.fr/publications/avis-relatif-a-lencellulement-individuel-dans-les-etablissements-penitentiaires ; + Code du travail pour personnels.</t>
  </si>
  <si>
    <t>Usage professionnel soutenu, zones dures, risque de chocs et d'actes de dégradation supérieur à la moyenne. Les temporisés mécaniques et chasses directes mécaniques restent privilégiés car plus robustes et plus faciles à maintenir. L'électronique est gardée plus courte en milieu contraint. Les remplacements se font à la panne puis par lots lors des reprises de zones sécurisées ou d'accueil. Sécurité / police / militaire : Usage mixte agents/public, recherche de robustesse, interventions maintenues en exploitation, parc hétérogène avec une partie rénovée par opérations ciblées.</t>
  </si>
  <si>
    <t>Dans les zones de sûreté/police, le parc combine équipements robustes de collectivité et matériels sécurisés/antivandalisme, d’où une part d’'autres' plus élevée.</t>
  </si>
  <si>
    <t>Les douches restent principalement temporisées mécaniques sur ce parc robuste.</t>
  </si>
  <si>
    <t>Le parc d’urinoirs reste très classique, avec un poids important des solutions collectives/renforcées.</t>
  </si>
  <si>
    <t>La chasse directe est majoritaire dans les zones les plus sollicitées, mais le réservoir reste encore présent.</t>
  </si>
  <si>
    <t>Potentiel rénovation moyen à soutenu : amélioration des conditions de travail et d’accueil, avec priorité aux actifs existants. Les volumes restent d’abord tirés par les WC et les lavabos, plus que par les postes spécialisés. En rénovation, l’achat reste orienté vers des produits robustes, anti-vandalisme et simples à maintenir en site occupé.</t>
  </si>
  <si>
    <t>Potentiel neuf faible : porté par la LOPMI, mais surtout sur des opérations ciblées de proximité, d’accueil et de modernisation immobilière. Le neuf est quasi nul dans le modèle et renvoie surtout à des reconstructions ou remplacements de sites.</t>
  </si>
  <si>
    <t>Projets phares réno : sanitaires agents/public, remise à niveau de locaux d’accueil, zones de sûreté et espaces support.</t>
  </si>
  <si>
    <t>Projets phares neuf : nouveaux postes ou brigades de proximité, accueils modernisés, bâtiments adaptés aux nouvelles organisations.</t>
  </si>
  <si>
    <t>Dynamique réno 2026-2030 : régulière et prioritaire, car l’existant concentre l’essentiel du besoin.</t>
  </si>
  <si>
    <t>Dynamique neuf 2026-2030 : modérée ; des moyens existent, mais l’exécution dépend des arbitrages immobiliers et territoriaux.</t>
  </si>
  <si>
    <t>Parc existant surtout standard. Les ventes restent proches du parc, centré sur standard, sous l’effet des contraintes de sûreté, d’anti-vandalisme et de maintenance. La rénovation restant majoritaire, le mix de ventes reste proche du parc et monte surtout d’un cran sur les opérations lourdes. Police : priorité à la robustesse, à la sûreté et à la continuité de service ; le confort progresse peu hors espaces d’accueil.</t>
  </si>
  <si>
    <t>Police : priorité à la robustesse, à la sûreté et à la continuité de service ; le confort progresse peu hors espaces d’accueil.</t>
  </si>
  <si>
    <t>Locaux de sûreté, garde à vue et zones opérationnelles : zones de sûreté et garde à vue dominées par la robustesse et l’anti-vandalisme. Ventes 2026-2030 : glissement vers davantage de moyen / premium. La rénovation reste très majoritaire (85% des ventes, contre 15% en neuf) ; le neuf est plus qualitatif mais ne suffit pas à transformer fortement le mix. L’écart de niveau de confort entre neuf et rénovation reste perceptible.</t>
  </si>
  <si>
    <t>Postes de proximité et antennes avec accueil public</t>
  </si>
  <si>
    <t>Les antennes ou postes assurant un accueil administratif du public relèvent du type W.</t>
  </si>
  <si>
    <t>Poste de police de quartier, antenne de police municipale</t>
  </si>
  <si>
    <t>proxy institutionnel / antennes de proximité</t>
  </si>
  <si>
    <t>Proxy prudent sur les antennes de proximité ; projection légèrement baissière par rationalisation du maillage. Fiabilité: moyenne.</t>
  </si>
  <si>
    <t>Antenne de proximité : un bloc accueil et un bloc personnel.</t>
  </si>
  <si>
    <t>Capacité type ≈ 14 présents principaux + 22 staff + 4 visiteurs/intervenants. Programme mixte police : accueil public, locaux opérationnels et personnels ; pas de simple ratio public, mais noyaux par zone fonctionnelle. Calibrage selon capacité simultanée, répartition de flux et organisation réelle du site.</t>
  </si>
  <si>
    <t>Dans les postes de proximité, le parc est plus proche d’un petit tertiaire/public : le mitigeur reste majoritaire, avec un peu d’électronique sur les rénovations.</t>
  </si>
  <si>
    <t>Les urinoirs relèvent surtout de solutions classiques.</t>
  </si>
  <si>
    <t>Le réservoir reste dominant sur ce parc relativement petit.</t>
  </si>
  <si>
    <t>Potentiel rénovation moyen : amélioration des conditions de travail et d’accueil, avec priorité aux actifs existants.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t>
  </si>
  <si>
    <t>Postes de proximité et antennes avec accueil public : petits postes avec accueil public, niveau modeste et fonctionnel. Ventes 2026-2030 : glissement vers davantage de moyen / premium, surtout sur lavabo (+0,7 pts sur premium+luxe). La rénovation reste très majoritaire (88% des ventes, contre 12% en neuf) ; le neuf est plus qualitatif mais ne suffit pas à transformer fortement le mix. L’écart de niveau de confort entre neuf et rénovation reste perceptible.</t>
  </si>
  <si>
    <t>Salles de réunion, de prévention ou de conférence ouvertes au public</t>
  </si>
  <si>
    <t>Si ces locaux accueillent réunions publiques, conférences ou actions de prévention, ils peuvent relever de L ; sinon ils restent rattachés à W selon l’usage dominant.</t>
  </si>
  <si>
    <t>Salle de réunion publique, salle de prévention, salle de conférence</t>
  </si>
  <si>
    <t>sous-fonction d’un commissariat/poste, pas additive</t>
  </si>
  <si>
    <t>Sous-espace non additif ; projection maintenue quasi stable par prudence. Fiabilité: moyenne.</t>
  </si>
  <si>
    <t>Salle ouverte au public : sanitaire public + équipe.</t>
  </si>
  <si>
    <t>Capacité type ≈ 27 présents principaux + 18 staff + 5 visiteurs/prestataires. Programme mixte police : accueil public, locaux opérationnels et personnels ; pas de simple ratio public, mais noyaux par zone fonctionnelle. Calibrage selon capacité simultanée, répartition de flux et organisation réelle du site.</t>
  </si>
  <si>
    <t>Maintenance technique présente mais usage hétérogène selon que l'on parle d'hébergement, de sport ou d'accueil public. Les durées sont intermédiaires : au-dessus du transport, en dessous du bureau. Les remplacements se font souvent par casernement, bâtiment ou opération de rénovation planifiée. Sécurité / police / militaire : Usage mixte agents/public, recherche de robustesse, interventions maintenues en exploitation, parc hétérogène avec une partie rénovée par opérations ciblées.</t>
  </si>
  <si>
    <t>Dans les salles de réunion/prévention/conférence de la police, le parc suit une logique tertiaire/public modernisée, avec une part élevée d’électronique.</t>
  </si>
  <si>
    <t>L’automatique progresse mais coexiste encore avec le parc classique.</t>
  </si>
  <si>
    <t>Le parc WC reste mixte, l’électronique apparaissant plus souvent que dans les postes de proximité.</t>
  </si>
  <si>
    <t>Potentiel rénovation moyen à soutenu : amélioration des conditions de travail et d’accueil, avec priorité aux actifs existants. Les volumes restent d’abord tirés par les WC et les lavabos, plus que par les postes spécialisés. En rénovation, le marché reste favorable aux gammes robustes et simples d’entretien, compatibles avec des chantiers par tranches et des budgets contraints.</t>
  </si>
  <si>
    <t>Potentiel neuf faible : porté par la LOPMI, mais surtout sur des opérations ciblées de proximité, d’accueil et de modernisation immobilière. Le neuf est réel mais secondaire.</t>
  </si>
  <si>
    <t>Salles de réunion, de prévention ou de conférence ouvertes au public : espaces de prévention/conférence plus proches d’un ERP administratif. Ventes 2026-2030 : glissement vers davantage de moyen / premium. La rénovation reste majoritaire (83% des ventes, contre 17% en neuf) ; le neuf tire le mix vers le haut sans renverser le centre de gravité. L’écart de niveau de confort entre neuf et rénovation reste perceptible.</t>
  </si>
  <si>
    <t>Unités d'hébergement des militaires &amp; réservistes</t>
  </si>
  <si>
    <t>Souvent hors ERP autonome / accès contrôlé</t>
  </si>
  <si>
    <t>Les unités d’hébergement collectif des militaires et réservistes sont le plus souvent intégrées à une emprise militaire ; elles peuvent comporter des dortoirs, chambres collectives et sanitaires communs, sans constituer à elles seules un type ERP autonome homogène.</t>
  </si>
  <si>
    <t>Bâtiment d’hébergement en caserne, hébergement collectif de réservistes, bâtiment cadres célibataires</t>
  </si>
  <si>
    <t>Bâtiment
Unité Hébergement collectif</t>
  </si>
  <si>
    <t>La série est peu mobile car elle reflète un stock administré d’unités d’hébergement collectif ; l’ancrage disponible (316 établissements militaires hébergeant collectivement en 2016) suggère une évolution graduelle plutôt qu’un marché libre très volatil.</t>
  </si>
  <si>
    <t>Proxy d’unités d’hébergement collectif militaires, ancré sur 316 établissements militaires hébergeant collectivement en 2016 ; prolongement modéré à la hausse à partir des besoins d’hébergement et des efforts récents sur la condition militaire. Fiabilité: moyenne à bonne-moyenne ; non additif avec d’autres usages du même site.</t>
  </si>
  <si>
    <t>Hébergement militaire collectif : blocs d'étage/vestiaires, hors chambres individualisées.</t>
  </si>
  <si>
    <t>Capacité type ≈ 128 usagers principaux + 14 staff + 3 visiteurs/intervenants. Le programme sanitaire est construit par blocs fonctionnels plausibles (public, personnel, exploitation/hébergement selon le cas) et non par simple ratio national moyen. Calibrage selon capacité simultanée, répartition de flux et organisation réelle du site.</t>
  </si>
  <si>
    <t>Profil moyen, capacité moyenne ≈ 145 personnes. Moyenne pondérée terrain : parc majoritairement petits/moyens sites, grands sites intégrés sans surpondération ; usage 2025 forte à très forte.</t>
  </si>
  <si>
    <t>Sur les unités d’hébergement collectif militaire, le parc commun combine robuste/collectivité et quelques équipements spécifiques, d’où une part d’'autres' supérieure à la moyenne.</t>
  </si>
  <si>
    <t>Les douches communes restent très majoritairement temporisées mécaniques.</t>
  </si>
  <si>
    <t>Les urinoirs collectifs anciens gardent un poids important dans ce parc.</t>
  </si>
  <si>
    <t>La chasse directe est déjà très présente dans les blocs collectifs, mais le réservoir reste encore significatif.</t>
  </si>
  <si>
    <t>Potentiel rénovation moyen à soutenu : dominant sur ce périmètre, avec modernisation des installations existantes plus que création de nouveaux sites recevant du public. La douche pèse au-dessus de la moyenne, avec des contraintes d’humidité, de corrosion et d’entretien qui accélèrent le remplacement. En rénovation, le marché reste favorable aux gammes robustes et simples d’entretien, compatibles avec des chantiers par tranches et des budgets contraints.</t>
  </si>
  <si>
    <t>Potentiel neuf moyen : la LPM soutient l’effort global de défense, mais le sous-périmètre ouvert au public reste secondaire et sélectif. Le neuf est significatif mais encore nettement inférieur à la rénovation.</t>
  </si>
  <si>
    <t>Parc existant surtout standard. Les ventes restent proches du parc, centré sur standard, du fait de budgets et de rénovations menées surtout par lots. Le neuf est un peu plus qualitatif que la rénovation, sans renverser le centre de gravité du mix. Parcs militaires d’hébergement : fonctionnels et standardisés, avec montée en qualité essentiellement lors d’opérations immobilières de plus grande ampleur.</t>
  </si>
  <si>
    <t>Parcs militaires d’hébergement : fonctionnels et standardisés, avec montée en qualité essentiellement lors d’opérations immobilières de plus grande ampleur.</t>
  </si>
  <si>
    <t>Unités d'hébergement des militaires &amp; réservistes : hébergements militaires sobres, renouvelés par lots. Ventes 2026-2030 : glissement vers davantage de moyen / premium, surtout sur lavabo (+2,5 pts sur premium+luxe), douche (+2,5 pts sur premium+luxe), WC (+2,3 pts sur premium+luxe). La rénovation reste majoritaire (71% des ventes, contre 29% en neuf) ; le neuf tire le mix vers le haut sans renverser le centre de gravité. L’écart de niveau de confort entre neuf et rénovation reste perceptible.</t>
  </si>
  <si>
    <t>Centres de recrutement et bureaux d’information</t>
  </si>
  <si>
    <t>Locaux administratifs recevant du public : information, orientation, recrutement, démarches.</t>
  </si>
  <si>
    <t>CIRFA, bureau d’information et de recrutement</t>
  </si>
  <si>
    <t>réseau CIRFA et bureaux d’information. Dynamique projetée 2027-2030: stable. Fiabilité: bonne. Risque de doublon: oui si addition avec la catégorie parente ou avec des sous-espaces d’un même site.</t>
  </si>
  <si>
    <t>Centre de recrutement : sanitaire public + personnel.</t>
  </si>
  <si>
    <t>Capacité type ≈ 19 usagers principaux + 12 staff + 4 visiteurs/intervenants. Le programme sanitaire est construit par blocs fonctionnels plausibles (public, personnel, exploitation/hébergement selon le cas) et non par simple ratio national moyen. Calibrage selon capacité simultanée, répartition de flux et organisation réelle du site.</t>
  </si>
  <si>
    <t>Accueil public jeune/adulte sur rendez-vous, peu d'humidité, maintenance militaire structurée. Proche guichet public, meilleur que zones opérationnelles. Repères durées: lavabos 11/12/9 ans (mit./méca/élec.), douches 12/11/9, urinoirs 10/12/8/10, WC 10/12/9.</t>
  </si>
  <si>
    <t>Sur les espaces militaires ouverts au public, le parc se rapproche d’un ERP robuste : temporisé et mitigeur dominent, avec un peu d’électronique.</t>
  </si>
  <si>
    <t>Le parc d’urinoirs reste mixte entre mécanique/direct et quelques collectifs anciens.</t>
  </si>
  <si>
    <t>La chasse directe domine légèrement, mais le réservoir reste important.</t>
  </si>
  <si>
    <t>82,9% retenu : matérialisation élevée grâce aux opérations campus et restructurations, avec toutefois des phasages longs et des arbitrages budgétaires.</t>
  </si>
  <si>
    <t>Potentiel rénovation moyen : dominant sur ce périmètre, avec modernisation des installations existantes plus que création de nouveaux sites recevant du public.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t>
  </si>
  <si>
    <t>Potentiel neuf faible : la LPM soutient l’effort global de défense, mais le sous-périmètre ouvert au public reste secondaire et sélectif. Le neuf est réel mais secondaire.</t>
  </si>
  <si>
    <t>Parc existant surtout standard. Les ventes restent proches du parc, centré sur standard / intermédiaire, du fait de budgets et de rénovations menées surtout par lots. La rénovation restant majoritaire, le mix de ventes reste proche du parc et monte surtout d’un cran sur les opérations lourdes. Espaces militaires recevant du public : niveau de confort supérieur au parc purement interne, sans logique de luxe.</t>
  </si>
  <si>
    <t>Centres de recrutement et bureaux d’information : centres de recrutement plus orientés accueil et image que les hébergements. Ventes 2026-2030 : glissement vers davantage de moyen / premium, surtout sur lavabo (+12,6 pts sur premium+luxe), WC (+10,7 pts sur premium+luxe), urinoir (+7,5 pts sur premium+luxe). La rénovation reste majoritaire (77% des ventes, contre 23% en neuf) ; le neuf tire le mix vers le haut sans renverser le centre de gravité. L’écart de niveau de confort entre neuf et rénovation est net.</t>
  </si>
  <si>
    <t>Restaurants ou équipements sportifs ouverts au public sur emprise militaire</t>
  </si>
  <si>
    <t>Lorsqu’une activité commerciale, de restauration ou sportive est ouverte au public, le classement suit l’usage dominant du local : M, N, X ou L selon le cas.</t>
  </si>
  <si>
    <t>Boutique de musée militaire, restaurant de cercle ouvert, équipement sportif accessible au public</t>
  </si>
  <si>
    <t>proxy équipements militaires partiellement ouverts. Dynamique projetée 2027-2030: stable. Fiabilité: moyenne. Risque de doublon: oui si addition avec la catégorie parente ou avec des sous-espaces d’un même site.</t>
  </si>
  <si>
    <t>Restaurant classique : bloc clients + personnel, hors sanitaires de chambres.</t>
  </si>
  <si>
    <t>Capacité type ≈ 64 sportifs/usagers + 14 staff + 2 intervenants/visiteurs. Le programme inclut sanitaires publics et vestiaires sportifs séparés dès lors qu'ils accueillent au moins 5 personnes ; pour les piscines, les douches collectives sont structurelles. Calibrage selon capacité simultanée, répartition de flux et organisation réelle du site.</t>
  </si>
  <si>
    <t>Usage collectif encadré mais pics repas/sport, vestiaires humides et maintenance interne. Inférieur aux bureaux militaires, proche équipements sportifs. Repères durées: lavabos 11/12/9 ans (mit./méca/élec.), douches 8/8/7, urinoirs 10/12/8/10, WC 10/12/9.</t>
  </si>
  <si>
    <t>Potentiel rénovation moyen à soutenu : dominant sur ce périmètre, avec modernisation des installations existantes plus que création de nouveaux sites recevant du public. Les lavabos et les WC portent l’essentiel des volumes, avec un poids secondaire des équipements spécialisés. En rénovation, le marché reste favorable aux gammes robustes et simples d’entretien, compatibles avec des chantiers par tranches et des budgets contraints.</t>
  </si>
  <si>
    <t>Parc existant surtout standard. Les ventes restent proches du parc, centré sur standard / intermédiaire, du fait de budgets et de rénovations menées surtout par lots. La rénovation restant majoritaire, le mix de ventes reste proche du parc et monte surtout d’un cran sur les opérations lourdes. Espaces militaires recevant du public : niveau de confort supérieur au parc purement interne, sans logique de luxe. Espaces militaires recevant du public : niveau de confort supérieur au parc purement interne, sans logique de luxe.</t>
  </si>
  <si>
    <t>Restaurants ou équipements sportifs ouverts au public sur emprise militaire : espaces recevant du public sur emprise militaire plus proches d’un ERP classique. Ventes 2026-2030 : glissement vers davantage de moyen / premium, surtout sur lavabo (+9,1 pts sur premium+luxe), WC (+7,4 pts sur premium+luxe), urinoir (+4,8 pts sur premium+luxe). La rénovation reste majoritaire (84% des ventes, contre 16% en neuf) ; le neuf tire le mix vers le haut sans renverser le centre de gravité. L’écart de niveau de confort entre neuf et rénovation est net.</t>
  </si>
  <si>
    <t>Salles de conférence, auditoriums et espaces événementiels ouverts au public</t>
  </si>
  <si>
    <t>Les salles accueillant conférences, cérémonies, présentations ou réunions publiques relèvent en pratique du type L.</t>
  </si>
  <si>
    <t>Auditorium, salle de conférence, amphithéâtre ouvert au public</t>
  </si>
  <si>
    <t>proxy parc événementiel militaire ouvert. Dynamique projetée 2027-2030: stable. Fiabilité: moyenne. Risque de doublon: oui si addition avec la catégorie parente ou avec des sous-espaces d’un même site.</t>
  </si>
  <si>
    <t>Capacité type ≈ 159 usagers principaux + 14 staff + 7 techniciens/prestataires. Le programme sanitaire est construit par blocs fonctionnels plausibles (public, personnel, exploitation/hébergement selon le cas) et non par simple ratio national moyen. Calibrage selon capacité simultanée, répartition de flux et organisation réelle du site.</t>
  </si>
  <si>
    <t>Usage intensif, dégradations volontaires possibles et accès maintenance plus complexe. ces facteurs raccourcissent concrètement la durée réelle. Les technos mécaniques simples sont favorisées, l'électronique restant plus courte malgré ses atouts d'hygiène. Le renouvellement intervient surtout à la panne, puis par lots dans les programmes de réhabilitation. Univers carcéral : Usage intensif, sûreté et anti-vandalisme, maintenance par l’arrière privilégiée, parc ancien mais renouvelé partiellement par le plan prison 15 000 places.</t>
  </si>
  <si>
    <t>Les espaces événementiels militaires ouverts au public ont un parc plus modernisé que l’hébergement collectif, avec une part élevée d’électronique.</t>
  </si>
  <si>
    <t>Les rares douches restent surtout temporisées mécaniques.</t>
  </si>
  <si>
    <t>L’automatique est déjà bien présente, sans être exclusive.</t>
  </si>
  <si>
    <t>La chasse directe domine, avec une part d’électronique non négligeable.</t>
  </si>
  <si>
    <t>Salles de conférence, auditoriums et espaces événementiels ouverts au public : auditoriums/espaces événementiels militaires plus visibles et plus qualitatifs. Ventes 2026-2030 : glissement vers davantage de moyen / premium, surtout sur lavabo (+11,2 pts sur premium+luxe), douche (+10,3 pts sur premium+luxe), WC (+7,8 pts sur premium+luxe). La rénovation reste majoritaire (83% des ventes, contre 17% en neuf) ; le neuf tire le mix vers le haut sans renverser le centre de gravité. L’écart de niveau de confort entre neuf et rénovation est net.</t>
  </si>
  <si>
    <t>Cas particulier / accès contrôlé</t>
  </si>
  <si>
    <t>Établissements pénitentiaires accueillant principalement des prévenus et des condamnés à courte peine. Le site n’est pas un ERP autonome homogène ; seuls les espaces recevant effectivement visiteurs, intervenants ou patients relèvent d’un classement par usage.</t>
  </si>
  <si>
    <t>Maison d’arrêt</t>
  </si>
  <si>
    <t>Le parc de maisons d’arrêt varie peu sur la période ; les évolutions concernent surtout des restructurations et reconstructions plus que des ouvertures nettes.</t>
  </si>
  <si>
    <t>Ancrage sur les statistiques de l’administration pénitentiaire ; projection 2027-2030 prudente et stable.</t>
  </si>
  <si>
    <t>Maison d'arrêt : cellules/chambres avec coin sanitaire individuel quand il existe + douches de promenade/sport/ateliers et locaux staff.</t>
  </si>
  <si>
    <t>Capacité type ≈ 188 détenus/résidents + 50 staff + 12 visiteurs/intervenants. Le programme inclut cellules/chambres équipées quand elles existent, complétées par douches de secteur, parloirs, ateliers, sport et staff ; il ne s'agit pas d'un calcul au seul flux public. Calibrage selon capacité simultanée, répartition de flux et organisation réelle du site.</t>
  </si>
  <si>
    <t>Dans les maisons d’arrêt / maisons centrales, le parc comprend beaucoup d’équipements sécurisés/antivandalisme ou intégrés en cellule, d’où une part élevée d’'autres'.</t>
  </si>
  <si>
    <t>Les douches restent très majoritairement temporisées mécaniques dans le parc pénitentiaire.</t>
  </si>
  <si>
    <t>Quand des urinoirs existent, ils sont souvent collectifs sur le parc ancien.</t>
  </si>
  <si>
    <t>Le parc WC est partagé entre réservoirs robustes et chasses directes ; cette dernière progresse mais n’est pas encore majoritaire sur l’ancien stock.</t>
  </si>
  <si>
    <t>Potentiel rénovation élevé : fort sur un parc ancien et durci, avec besoins anti-vandalisme, sûreté et dignité d’usage. Les volumes restent d’abord tirés par les WC et les lavabos, plus que par les postes spécialisés. En rénovation, l’achat reste orienté vers des produits robustes, anti-vandalisme et simples à maintenir en site occupé.</t>
  </si>
  <si>
    <t>Potentiel neuf faible : alimenté par le programme prison 15 000 places et les opérations judiciaires 2023-2027, avec une meilleure dynamique sur les établissements spécialisés ou récents. Le neuf est quasi nul dans le modèle et renvoie surtout à des reconstructions ou remplacements de sites. La croissance nette peut néanmoins être partiellement compensée par fermetures ou remplacements d’établissements vétustes.</t>
  </si>
  <si>
    <t>Parc existant surtout entrée de gamme. Les ventes restent proches du parc, centré sur entrée de gamme / standard, sous l’effet des contraintes de sûreté, d’anti-vandalisme et de maintenance. La rénovation restant majoritaire, le mix de ventes reste proche du parc et monte surtout d’un cran sur les opérations lourdes. Univers carcéral : l’anti-vandalisme, la sûreté et la maintenance dominent très largement le cahier des charges ; le coût unitaire peut être élevé sans traduire un niveau de confort élevé.</t>
  </si>
  <si>
    <t>Univers carcéral : l’anti-vandalisme, la sûreté et la maintenance dominent très largement le cahier des charges ; le coût unitaire peut être élevé sans traduire un niveau de confort élevé.</t>
  </si>
  <si>
    <t>Maisons d’arrêt : maisons d’arrêt à pression d’usage maximale et budget fonctionnel. Ventes 2026-2030 : glissement vers davantage de moyen / premium. La rénovation reste majoritaire (81% des ventes, contre 19% en neuf) ; le neuf tire le mix vers le haut sans renverser le centre de gravité. L’écart de niveau de confort entre neuf et rénovation reste perceptible.</t>
  </si>
  <si>
    <t>Établissements pour condamnés à des peines plus longues, orientés vers la réinsertion. Le site n’est pas un ERP autonome homogène ; les espaces visiteurs, administratifs ou de santé se classent selon leur usage.</t>
  </si>
  <si>
    <t>Centre de détention</t>
  </si>
  <si>
    <t>Le nombre de centres de détention évolue faiblement ; les transformations se font surtout par changement de statut d’établissement ou restructuration.</t>
  </si>
  <si>
    <t>Centre de détention : part importante de cellules/chambres équipées + douches par aile et locaux communs/staff.</t>
  </si>
  <si>
    <t>Capacité type ≈ 262 détenus/résidents + 70 staff + 18 visiteurs/intervenants. Le programme inclut cellules/chambres équipées quand elles existent, complétées par douches de secteur, parloirs, ateliers, sport et staff ; il ne s'agit pas d'un calcul au seul flux public. Calibrage selon capacité simultanée, répartition de flux et organisation réelle du site.</t>
  </si>
  <si>
    <t>Profil grand, capacité moyenne ≈ 350 personnes. Moyenne pondérée terrain : parc majoritairement petits/moyens sites, grands sites intégrés sans surpondération ; usage 2025 modérée.</t>
  </si>
  <si>
    <t>Usage carcéral quotidien, dégradations possibles mais population plus stable que maison d'arrêt; maintenance encadrée. Proche maison d'arrêt, légèrement plus prévisible. Univers carcéral : Usage intensif, sûreté et anti-vandalisme, maintenance par l’arrière privilégiée, parc ancien mais renouvelé partiellement par le plan prison 15 000 places.</t>
  </si>
  <si>
    <t>Dans les centres de détention / pénitentiaires récents, la part d’équipements sécurisés reste élevée, mais le temporisé recule au profit d’ensembles plus modernes ou intégrés.</t>
  </si>
  <si>
    <t>Les douches restent dominées par le temporisé mécanique, avec une part un peu plus élevée d’équipements récents.</t>
  </si>
  <si>
    <t>Les configurations collectives restent dominantes pour les rares urinoirs présents.</t>
  </si>
  <si>
    <t>La chasse directe devient majoritaire sur le parc le plus moderne, sans faire disparaître les réservoirs robustes.</t>
  </si>
  <si>
    <t>Potentiel neuf faible : alimenté par le programme prison 15 000 places et les opérations judiciaires 2023-2027, avec une meilleure dynamique sur les établissements spécialisés ou récents. Le neuf est quasi nul dans le modèle et renvoie surtout à des reconstructions ou remplacements de sites.</t>
  </si>
  <si>
    <t>Centres de détention : centres de détention un peu moins sous tension que les maisons d’arrêt, mais toujours très utilitaires. Ventes 2026-2030 : glissement vers davantage de moyen / premium. La rénovation reste majoritaire (81% des ventes, contre 19% en neuf) ; le neuf tire le mix vers le haut sans renverser le centre de gravité. L’écart de niveau de confort entre neuf et rénovation reste perceptible.</t>
  </si>
  <si>
    <t>Établissements à haut niveau de sécurité pour longues peines. Les zones de détention relèvent d’un régime sécurisé ; seuls les espaces visiteurs, administratifs ou de soins peuvent relever d’un classement par usage.</t>
  </si>
  <si>
    <t>Maison centrale</t>
  </si>
  <si>
    <t>Le parc des maisons centrales est structurellement très limité et très stable ; la stagnation reflète la rareté de ce type d’établissement.</t>
  </si>
  <si>
    <t>Estimation encadrée sur un nombre très limité d’établissements ; projection 2027-2030 stable.</t>
  </si>
  <si>
    <t>Maison centrale : cellules équipées et quelques douches collectives/sectorisées, complétées par locaux communs.</t>
  </si>
  <si>
    <t>Capacité type ≈ 150 détenus/résidents + 40 staff + 10 visiteurs/intervenants. Le programme inclut cellules/chambres équipées quand elles existent, complétées par douches de secteur, parloirs, ateliers, sport et staff ; il ne s'agit pas d'un calcul au seul flux public. Calibrage selon capacité simultanée, répartition de flux et organisation réelle du site.</t>
  </si>
  <si>
    <t>Profil moyen, capacité moyenne ≈ 200 personnes. Moyenne pondérée terrain : parc majoritairement petits/moyens sites, grands sites intégrés sans surpondération ; usage 2025 modérée.</t>
  </si>
  <si>
    <t>Haut niveau de sécurité, détenus longue peine et équipements anti-vandalisme; usage quotidien mais maintenance complexe. Similaire détention, renouvellement lent par sécurité. Univers carcéral : Usage intensif, sûreté et anti-vandalisme, maintenance par l’arrière privilégiée, parc ancien mais renouvelé partiellement par le plan prison 15 000 places.</t>
  </si>
  <si>
    <t>Potentiel rénovation moyen à soutenu : fort sur un parc ancien et durci, avec besoins anti-vandalisme, sûreté et dignité d’usage. Les volumes restent d’abord tirés par les WC et les lavabos, plus que par les postes spécialisés. En rénovation, l’achat reste orienté vers des produits robustes, anti-vandalisme et simples à maintenir en site occupé.</t>
  </si>
  <si>
    <t>Maisons centrales : maisons centrales très sécurisées et anti-vandalisme. Ventes 2026-2030 : glissement vers davantage de moyen / premium. La rénovation reste majoritaire (80% des ventes, contre 20% en neuf) ; le neuf tire le mix vers le haut sans renverser le centre de gravité. L’écart de niveau de confort entre neuf et rénovation reste perceptible.</t>
  </si>
  <si>
    <t>Établissements composites regroupant plusieurs quartiers ou régimes (maison d’arrêt, centre de détention, etc.). Pour un décompte par site, cette ligne est additive ; elle recoupe toutefois certaines logiques par quartier.</t>
  </si>
  <si>
    <t>Centre pénitentiaire</t>
  </si>
  <si>
    <t>Hausse lente liée à la modernisation du parc pénitentiaire et au regroupement de quartiers sur des sites composites.</t>
  </si>
  <si>
    <t>Série proxy lissée à partir de la structure du parc pénitentiaire ; projection 2027-2030 en légère hausse.</t>
  </si>
  <si>
    <t>Centre pénitentiaire : cellules équipées + douches sectorisées + parloirs/ateliers/sport/staff.</t>
  </si>
  <si>
    <t>Capacité type ≈ 488 détenus/résidents + 130 staff + 32 avocats/visiteurs. Le programme inclut cellules/chambres équipées quand elles existent, complétées par douches de secteur, parloirs, ateliers, sport et staff ; il ne s'agit pas d'un calcul au seul flux public. Calibrage selon capacité simultanée, répartition de flux et organisation réelle du site.</t>
  </si>
  <si>
    <t>Profil grand, capacité moyenne ≈ 650 personnes. Moyenne pondérée terrain : parc majoritairement petits/moyens sites, grands sites intégrés sans surpondération ; usage 2025 modérée.</t>
  </si>
  <si>
    <t>Mix maison d'arrêt/détention, intensité forte et diversité de zones; dégradations et accès maintenance contraints. Durées prudentes, proches maison d'arrêt. Univers carcéral : Usage intensif, sûreté et anti-vandalisme, maintenance par l’arrière privilégiée, parc ancien mais renouvelé partiellement par le plan prison 15 000 places.</t>
  </si>
  <si>
    <t>90,0% retenu : la fréquentation soutient le besoin, mais la matérialisation dépend fortement des programmes de concession/exploitation.</t>
  </si>
  <si>
    <t>Potentiel neuf moyen à soutenu : alimenté par le programme prison 15 000 places et les opérations judiciaires 2023-2027, avec une meilleure dynamique sur les établissements spécialisés ou récents. Le neuf est significatif mais encore nettement inférieur à la rénovation.</t>
  </si>
  <si>
    <t>Dynamique neuf 2026-2030 : plus forte que dans la plupart des segments publics grâce à la programmation carcérale, tout en restant concentrée sur un nombre limité d’opérations lourdes. C’est l’un des sous-segments judiciaires où le neuf reste le plus tangible.</t>
  </si>
  <si>
    <t>Parc existant surtout standard. Les ventes restent proches du parc, centré sur standard, sous l’effet des contraintes de sûreté, d’anti-vandalisme et de maintenance. Le neuf est un peu plus qualitatif que la rénovation, sans renverser le centre de gravité du mix. Les établissements plus récents ou orientés réinsertion/éducatif montent légèrement en standard, mais le fonctionnel et la robustesse restent déterminants.</t>
  </si>
  <si>
    <t>forte fréquentation ⇒ standard ↑, premium/luxe ↓ ; poids du neuf significatif ⇒ premiumisation des ventes &gt; parc</t>
  </si>
  <si>
    <t>Centres pénitentiaires : centres pénitentiaires mixtes mais encore pilotés par robustesse. Ventes 2026-2030 : glissement vers davantage de moyen / premium. Le neuf pèse suffisamment (37% des ventes) pour relever le niveau de confort moyen au-dessus de la rénovation (63%). L’écart de niveau de confort entre neuf et rénovation reste perceptible.</t>
  </si>
  <si>
    <t>Structures dédiées à l’exécution de peines avec régime de semi-liberté. Les espaces administratifs, de contrôle et d’accueil suivent une logique de classement par usage dominant.</t>
  </si>
  <si>
    <t>Centre de semi-liberté</t>
  </si>
  <si>
    <t>Parc restreint, évoluant lentement ; une partie des évolutions se fait par requalification ou articulation avec les centres pour peines aménagées.</t>
  </si>
  <si>
    <t>Proxy sur structures d’exécution aménagée ; projection 2027-2030 stable à légèrement haussière.</t>
  </si>
  <si>
    <t>Centre de semi-liberté : chambres/cellules équipées lorsqu'elles existent + blocs communs et douches.</t>
  </si>
  <si>
    <t>Capacité type ≈ 43 détenus/résidents + 14 staff + 3 visiteurs/assesseurs. Le programme inclut cellules/chambres équipées quand elles existent, complétées par douches de secteur, parloirs, ateliers, sport et staff ; il ne s'agit pas d'un calcul au seul flux public. Calibrage selon capacité simultanée, répartition de flux et organisation réelle du site.</t>
  </si>
  <si>
    <t>Profil petit, capacité moyenne ≈ 60 personnes. Moyenne pondérée terrain : parc majoritairement petits/moyens sites, grands sites intégrés sans surpondération ; usage 2025 modérée.</t>
  </si>
  <si>
    <t>Usage résidentiel encadré mais ouvertures quotidiennes, pics matin/soir et maintenance moins lourde que détention. Similaire carcéral mais un peu moins exposé. Univers carcéral : Usage intensif, sûreté et anti-vandalisme, maintenance par l’arrière privilégiée, parc ancien mais renouvelé partiellement par le plan prison 15 000 places.</t>
  </si>
  <si>
    <t>Dans les structures pénitentiaires plus ouvertes (semi-liberté, CEF, peines aménagées), le parc reste sécurisé mais moins spécifique que dans le dur pénitentiaire.</t>
  </si>
  <si>
    <t>Les douches restent surtout temporisées mécaniques, avec davantage de mitigeurs que dans le parc fermé.</t>
  </si>
  <si>
    <t>Le collectif reste important, mais un peu moins que dans les établissements fermés anciens.</t>
  </si>
  <si>
    <t>Le réservoir reste légèrement majoritaire sur le parc existant, la chasse directe venant ensuite.</t>
  </si>
  <si>
    <t>Potentiel rénovation moyen à soutenu : fort sur un parc ancien et durci, avec besoins anti-vandalisme, sûreté et dignité d’usage. Les lavabos et les WC portent l’essentiel des volumes, avec un poids secondaire des équipements spécialisés. En rénovation, l’achat reste orienté vers des produits robustes, anti-vandalisme et simples à maintenir en site occupé.</t>
  </si>
  <si>
    <t>Parc existant surtout standard. Les ventes restent proches du parc, centré sur standard, sous l’effet des contraintes de sûreté, d’anti-vandalisme et de maintenance. La rénovation restant majoritaire, le mix de ventes reste proche du parc et monte surtout d’un cran sur les opérations lourdes. Les établissements plus récents ou orientés réinsertion/éducatif montent légèrement en standard, mais le fonctionnel et la robustesse restent déterminants.</t>
  </si>
  <si>
    <t>Centres de semi-liberté : semi-liberté avec logique plus proche du résidentiel encadré. Ventes 2026-2030 : glissement vers davantage de moyen / premium, surtout sur lavabo (+2,8 pts sur premium+luxe), douche (+2,6 pts sur premium+luxe), WC (+2,6 pts sur premium+luxe). La rénovation reste majoritaire (84% des ventes, contre 16% en neuf) ; le neuf tire le mix vers le haut sans renverser le centre de gravité. L’écart de niveau de confort entre neuf et rénovation est net.</t>
  </si>
  <si>
    <t>Structures éducatives sécurisées pour mineurs relevant de la PJJ. Le classement dépend de l’exploitation réelle : composantes éducatives, hébergement, soins et espaces d’accueil peuvent relever de logiques proches de R, J, U ou W selon les locaux concernés.</t>
  </si>
  <si>
    <t>CEF</t>
  </si>
  <si>
    <t>Le parc a augmenté de manière graduelle puis plus rapide avec les programmes récents de création ; la série n’est pas stagnante.</t>
  </si>
  <si>
    <t>Ancrage sur les CEF publiés par la Justice ; projection 2027-2030 haussière mais prudente.</t>
  </si>
  <si>
    <t>https://www.justice.gouv.fr/documentation/ressources/mission-thematique-devaluation-centres-educatifs-fermes-cef</t>
  </si>
  <si>
    <t>Centre éducatif fermé : petit internat sécurisé ; chambres et petits blocs communs, dimensionnés sans compter les cabines isolées.</t>
  </si>
  <si>
    <t>Capacité type ≈ 8 détenus/résidents + 3 staff + 1 visiteurs/avocats. Le programme inclut cellules/chambres équipées quand elles existent, complétées par douches de secteur, parloirs, ateliers, sport et staff ; il ne s'agit pas d'un calcul au seul flux public. Calibrage selon capacité simultanée, répartition de flux et organisation réelle du site.</t>
  </si>
  <si>
    <t>Profil très petit, capacité moyenne ≈ 12 personnes. Moyenne pondérée terrain : parc majoritairement petits/moyens sites, grands sites intégrés sans surpondération ; usage 2025 modérée.</t>
  </si>
  <si>
    <t>Public jeune, encadrement éducatif, risque de chocs/vandalisme et usage intensif des douches. Prudence proche scolaire dur et carcéral léger. Usage intensif, dégradations volontaires possibles et accès maintenance plus complexe. ces facteurs raccourcissent concrètement la durée réelle. Les technos mécaniques simples sont favorisées, l'électronique restant plus courte malgré ses atouts d'hygiène. Le renouvellement intervient surtout à la panne, puis par lots dans les programmes de réhabilitation.</t>
  </si>
  <si>
    <t>Potentiel rénovation moyen à soutenu : fort sur un parc ancien et durci, avec besoins anti-vandalisme, sûreté et dignité d’usage. Les volumes se concentrent surtout sur lavabos et douches. En rénovation, l’achat reste orienté vers des produits robustes, anti-vandalisme et simples à maintenir en site occupé.</t>
  </si>
  <si>
    <t>Potentiel neuf moyen à soutenu : alimenté par le programme prison 15 000 places et les opérations judiciaires 2023-2027, avec une meilleure dynamique sur les établissements spécialisés ou récents. Le neuf est très soutenu et pèse réellement dans l’activité.</t>
  </si>
  <si>
    <t>Parc existant surtout standard. Les ventes restent proches du parc, centré sur standard, sous l’effet des contraintes de sûreté, d’anti-vandalisme et de maintenance. Le neuf tire clairement le mix plus haut que la rénovation. Les établissements plus récents ou orientés réinsertion/éducatif montent légèrement en standard, mais le fonctionnel et la robustesse restent déterminants.</t>
  </si>
  <si>
    <t>Centres éducatifs fermés : centres éducatifs fermés un peu moins durs que le carcéral adulte. Ventes 2026-2030 : glissement vers davantage de moyen / premium, surtout sur lavabo (+8,4 pts sur premium+luxe), WC (+7,7 pts sur premium+luxe), douche (+6,3 pts sur premium+luxe). Le neuf pèse suffisamment (49% des ventes) pour relever le niveau de confort moyen au-dessus de la rénovation (51%). L’écart de niveau de confort entre neuf et rénovation est net.</t>
  </si>
  <si>
    <t>Centres pour peines aménagées
(absorbés par autres centres carcéraux)</t>
  </si>
  <si>
    <t>Établissements dédiés aux peines aménagées, à la préparation de sortie et à l’insertion. Les espaces d’accueil, de rendez-vous et de bureaux sont généralement assimilables à W.</t>
  </si>
  <si>
    <t>CPA</t>
  </si>
  <si>
    <t>Sous-catégorie prochainement plus existante</t>
  </si>
  <si>
    <t>Parc limité, avec progression modérée liée aux politiques d’aménagement des peines ; faible variation annuelle.</t>
  </si>
  <si>
    <t>Proxy sur structures d’aménagement des peines ; projection 2027-2030 stable à légèrement haussière.</t>
  </si>
  <si>
    <t>Centre pour peines aménagées : chambres/cellules équipées + blocs communs et douches de secteur.</t>
  </si>
  <si>
    <t>Capacité type ≈ 39 détenus/résidents + 13 staff + 3 visiteurs/avocats. Le programme inclut cellules/chambres équipées quand elles existent, complétées par douches de secteur, parloirs, ateliers, sport et staff ; il ne s'agit pas d'un calcul au seul flux public. Calibrage selon capacité simultanée, répartition de flux et organisation réelle du site.</t>
  </si>
  <si>
    <t>Profil petit, capacité moyenne ≈ 55 personnes. Moyenne pondérée terrain : parc majoritairement petits/moyens sites, grands sites intégrés sans surpondération ; usage 2025 modérée.</t>
  </si>
  <si>
    <t>Structures résiduelles ou intégrées, usage plus limité mais maintenance pénitentiaire complexe; risque moindre que maison centrale. Proche locaux sécurisés, douches/électronique pénalisés. Repères durées: lavabos 10/11/8 ans (mit./méca/élec.), douches 8/8/7, urinoirs 8/10/7/9, WC 10/11/8.</t>
  </si>
  <si>
    <t>Sans objet : pas de lavabos collectif dimensionne dans ce sous-segment.</t>
  </si>
  <si>
    <t>Sans objet : pas de trajectoire 2025-2030 a modeliser pour les lavabos.</t>
  </si>
  <si>
    <t>Sans objet : pas de douches collectif dimensionne dans ce sous-segment.</t>
  </si>
  <si>
    <t>Sans objet : pas de trajectoire 2025-2030 a modeliser pour les douches.</t>
  </si>
  <si>
    <t>Sans objet : pas de WC collectif dimensionne dans ce sous-segment.</t>
  </si>
  <si>
    <t>Sans objet : pas de trajectoire 2025-2030 a modeliser pour les WC.</t>
  </si>
  <si>
    <t>Potentiel renovation : tire par robustesse, surete, maintenance controlee et faible recherche decorative. Les remplacements sont plutot par lots, avec arbitrage entre urgence sanitaire, budget et capacite a intervenir en site occupe.</t>
  </si>
  <si>
    <t>Potentiel neuf : limite pour centres pour peines aménagées (absorbés par autres centres carcéraux), surtout via extensions, reconstructions ou projets locaux. Le neuf reste contraint par foncier, budgets et delais de mise en service.</t>
  </si>
  <si>
    <t>Peu ou pas de chasse collectifs structurants sur ce sous-segment ; lecture seulement indicative si présence ponctuelle. Les établissements plus récents ou orientés réinsertion/éducatif montent légèrement en standard, mais le fonctionnel et la robustesse restent déterminants.</t>
  </si>
  <si>
    <t>Ventes 2026-2030 : glissement vers davantage de moyen / premium. La rénovation reste très majoritaire (0% des ventes, contre 0% en neuf) ; le neuf est plus qualitatif mais ne suffit pas à transformer fortement le mix. L’écart de niveau de confort entre neuf et rénovation est net.</t>
  </si>
  <si>
    <t>Un même bâtiment judiciaire peut regrouper des espaces de type W, des salles d’audience de type L et d’autres locaux annexes ; le classement se raisonne par usage et exploitation. Cette ligne sert de référence si l’unité de compte retenue est le site physique.</t>
  </si>
  <si>
    <t>Palais de justice</t>
  </si>
  <si>
    <t>Site
Bâtiment principal</t>
  </si>
  <si>
    <t>Le parc de bâtiments judiciaires évolue lentement ; la variation tient surtout aux regroupements ou relocalisations plutôt qu’aux créations nettes.</t>
  </si>
  <si>
    <t>Ancrage sur le réseau des juridictions judiciaires ; projection 2027-2030 stable.</t>
  </si>
  <si>
    <t>https://www.justice.gouv.fr/sites/default/files/2025-10/Chiffres_Cl%C3%A9s_2025.pdf</t>
  </si>
  <si>
    <t>Palais de justice : blocs publics, magistrats/agents et locaux d'audience.</t>
  </si>
  <si>
    <t>Capacité type ≈ 390 usagers principaux + 150 staff + 60 visiteurs/avocats. Le programme sanitaire est construit par blocs fonctionnels plausibles (public, personnel, exploitation/hébergement selon le cas) et non par simple ratio national moyen. Calibrage selon capacité simultanée, répartition de flux et organisation réelle du site.</t>
  </si>
  <si>
    <t>Profil grand, capacité moyenne ≈ 600 personnes. Moyenne pondérée terrain : parc majoritairement petits/moyens sites, grands sites intégrés sans surpondération ; usage 2025 modérée.</t>
  </si>
  <si>
    <t>Flux publics variables, budgets souvent contraints et maintenance plutôt réactive. Les écarts de durée ont été resserrés : le mécanique garde un petit avantage, l'électronique reste en retrait mais sans décote excessive. Le renouvellement intervient au fil des pannes puis lors des opérations de remise à niveau des sanitaires. Bureaux / administration / justice : Usage tertiaire moyen, faible vandalisme, rénovations par lots tirées par l’immobilier tertiaire, l’accessibilité et la trajectoire Éco Énergie Tertiaire.</t>
  </si>
  <si>
    <t>Dans les palais de justice multi-usages, l’électronique est déjà bien présente sur les grands sites, sans éliminer le mitigeur et le temporisé du parc existant.</t>
  </si>
  <si>
    <t>Les juridictions et bâtiments judiciaires glissent progressivement vers plus d’électronique sur les rénovations, tout en conservant une part importante de solutions mécaniques robustes.</t>
  </si>
  <si>
    <t>Les urinoirs automatiques progressent mais coexistent encore avec le parc classique.</t>
  </si>
  <si>
    <t>Les rénovations 2025-2030 font progresser l’automatique, sans disparition du direct mécanique.</t>
  </si>
  <si>
    <t>Le parc WC est plus modernisé que dans les petits tribunaux : réservoir, chasse directe et électronique coexistent à des niveaux élevés.</t>
  </si>
  <si>
    <t>Les juridictions et bâtiments judiciaires rénovés voient croître le direct et l’électronique, avec recul du réservoir.</t>
  </si>
  <si>
    <t>84,0% retenu : la fréquentation soutient le besoin, mais la matérialisation dépend fortement des programmes de concession/exploitation.</t>
  </si>
  <si>
    <t>Potentiel rénovation moyen à soutenu : accueil du public, accessibilité, sécurité et montée en effectifs tirent la modernisation des juridictions existantes. Les volumes restent d’abord tirés par les WC et les lavabos, plus que par les postes spécialisés. En rénovation, le marché reste favorable aux gammes robustes et simples d’entretien, compatibles avec des chantiers par tranches et des budgets contraints.</t>
  </si>
  <si>
    <t>Potentiel neuf faible : quelques opérations immobilières judiciaires neuves ou extensions sont prévues, mais le flux reste sélectif. Le neuf est quasi nul dans le modèle et renvoie surtout à des reconstructions ou remplacements de sites.</t>
  </si>
  <si>
    <t>Projets phares réno : sanitaires public/personnel, halls d’accueil, accessibilité, sécurité et modernisation des bâtiments judiciaires.</t>
  </si>
  <si>
    <t>Projets phares neuf : tribunaux reconstruits, maisons de justice et du droit, extensions ou nouveaux bâtiments judiciaires.</t>
  </si>
  <si>
    <t>Dynamique réno 2026-2030 : soutenue par la programmation immobilière de la justice et l’amélioration de l’accueil des justiciables.</t>
  </si>
  <si>
    <t>Dynamique neuf 2026-2030 : modérée ; la programmation existe, mais peu d’opérations concentrent l’essentiel des volumes.</t>
  </si>
  <si>
    <t>Parc existant surtout standard. Les ventes restent proches du parc, centré sur standard / intermédiaire, du fait de budgets et de rénovations menées surtout par lots. La rénovation restant majoritaire, le mix de ventes reste proche du parc et monte surtout d’un cran sur les opérations lourdes. Bâtiments judiciaires : accueil public et représentation institutionnelle tirent un peu le confort, mais les budgets restent majoritairement standard.</t>
  </si>
  <si>
    <t>Bâtiments judiciaires : accueil public et représentation institutionnelle tirent un peu le confort, mais les budgets restent majoritairement standard.</t>
  </si>
  <si>
    <t>Palais de justice et bâtiments judiciaires multi-usages : palais de justice multi-usages où l’image institutionnelle pèse dans les halls. Ventes 2026-2030 : glissement vers davantage de moyen / premium, surtout sur lavabo (+12,1 pts sur premium+luxe), WC (+9,4 pts sur premium+luxe), urinoir (+6,9 pts sur premium+luxe). La rénovation reste très majoritaire (85% des ventes, contre 15% en neuf) ; le neuf est plus qualitatif mais ne suffit pas à transformer fortement le mix. L’écart de niveau de confort entre neuf et rénovation est net.</t>
  </si>
  <si>
    <t>Structures de proximité recevant le public pour l’accès au droit, l’information, la médiation et certaines permanences judiciaires. Classement principalement de type W.</t>
  </si>
  <si>
    <t>MJD</t>
  </si>
  <si>
    <t>série publique directe / proxy public</t>
  </si>
  <si>
    <t>Le réseau s’est densifié puis s’est stabilisé ; la croissance récente est beaucoup plus lente qu’au début de période.</t>
  </si>
  <si>
    <t>Ancrage sur les chiffres-clés de la Justice ; projection 2027-2030 stable.</t>
  </si>
  <si>
    <t>Bâtiment judiciaire : bloc public + personnel.</t>
  </si>
  <si>
    <t>Capacité type ≈ 52 usagers principaux + 20 staff + 8 visiteurs/avocats. Le programme sanitaire est construit par blocs fonctionnels plausibles (public, personnel, exploitation/hébergement selon le cas) et non par simple ratio national moyen. Calibrage selon capacité simultanée, répartition de flux et organisation réelle du site.</t>
  </si>
  <si>
    <t>Accueil de proximité, rendez-vous, flux modéré et faible humidité; maintenance communale/judiciaire. Plus long que palais de justice, sans grands pics d'audience. Repères durées: lavabos 13/13/10 ans (mit./méca/élec.), douches 11/10/8, urinoirs 11/13/9/11, WC 12/13/10.</t>
  </si>
  <si>
    <t>Dans les bâtiments judiciaires autonomes de petite taille, le parc reste plus proche d’un petit tertiaire/public : mitigeur majoritaire, électronique secondaire.</t>
  </si>
  <si>
    <t>Le réservoir reste majoritaire, la chasse directe et l’électronique étant plus ponctuelles.</t>
  </si>
  <si>
    <t>Potentiel neuf faible à moyen : quelques opérations immobilières judiciaires neuves ou extensions sont prévues, mais le flux reste sélectif. Le neuf est réel mais secondaire. Les formats de petite taille rendent les tickets unitaires modestes malgré une dynamique institutionnelle réelle.</t>
  </si>
  <si>
    <t>Maisons de justice et du droit : maisons de justice au budget plus serré et dimension de proximité. Ventes 2026-2030 : glissement vers davantage de moyen / premium, surtout sur lavabo (+10,9 pts sur premium+luxe), WC (+9,2 pts sur premium+luxe), urinoir (+8,3 pts sur premium+luxe). La rénovation reste majoritaire (79% des ventes, contre 21% en neuf) ; le neuf tire le mix vers le haut sans renverser le centre de gravité. L’écart de niveau de confort entre neuf et rénovation est net.</t>
  </si>
  <si>
    <t>W ou L</t>
  </si>
  <si>
    <t>Juridictions commerciales recevant du public dans des bâtiments autonomes. Le classement relève principalement de W, avec des composantes L si des salles d’audience dominent l’exploitation.</t>
  </si>
  <si>
    <t>Tribunal de commerce</t>
  </si>
  <si>
    <t>Le nombre d’établissements évolue peu ; la stagnation reflète la stabilité relative de la carte des juridictions commerciales autonomes.</t>
  </si>
  <si>
    <t>Capacité type ≈ 143 usagers principaux + 55 staff + 22 visiteurs/avocats. Le programme sanitaire est construit par blocs fonctionnels plausibles (public, personnel, exploitation/hébergement selon le cas) et non par simple ratio national moyen. Calibrage selon capacité simultanée, répartition de flux et organisation réelle du site.</t>
  </si>
  <si>
    <t>Profil moyen, capacité moyenne ≈ 220 personnes. Moyenne pondérée terrain : parc majoritairement petits/moyens sites, grands sites intégrés sans surpondération ; usage 2025 modérée à forte par pics.</t>
  </si>
  <si>
    <t>Public professionnel, flux par audiences et rendez-vous, faible vandalisme; rénovation par cycles immobiliers. Proche maisons de justice, électronique plus court par obsolescence. Repères durées: lavabos 13/13/10 ans (mit./méca/élec.), douches 11/10/8, urinoirs 11/13/9/11, WC 12/13/10.</t>
  </si>
  <si>
    <t>Tribunaux de commerce autonomes : tribunaux de commerce autonomes, souvent plus compacts et plus soignés. Ventes 2026-2030 : glissement vers davantage de moyen / premium, surtout sur lavabo (+11,3 pts sur premium+luxe), WC (+8,5 pts sur premium+luxe), urinoir (+7,9 pts sur premium+luxe). La rénovation reste très majoritaire (87% des ventes, contre 13% en neuf) ; le neuf est plus qualitatif mais ne suffit pas à transformer fortement le mix. L’écart de niveau de confort entre neuf et rénovation est net.</t>
  </si>
  <si>
    <t>Juridictions prud’homales recevant du public dans des bâtiments autonomes. Le classement relève principalement de W, avec composantes L lorsque les salles d’audience ou de conciliation dominent l’exploitation.</t>
  </si>
  <si>
    <t>Conseil de prud’hommes</t>
  </si>
  <si>
    <t>Le nombre de conseils de prud’hommes autonomes varie peu ; la stagnation reflète une carte prud’homale assez stable.</t>
  </si>
  <si>
    <t>Capacité type ≈ 117 usagers principaux + 45 staff + 18 visiteurs/avocats. Le programme sanitaire est construit par blocs fonctionnels plausibles (public, personnel, exploitation/hébergement selon le cas) et non par simple ratio national moyen. Calibrage selon capacité simultanée, répartition de flux et organisation réelle du site.</t>
  </si>
  <si>
    <t>Pics liés aux audiences, tensions possibles mais blocs limités et usage intérieur; maintenance publique. Légèrement sous tribunal commerce, au-dessus palais multi-usages. Repères durées: lavabos 13/13/10 ans (mit./méca/élec.), douches 11/10/8, urinoirs 11/13/9/11, WC 12/13/10.</t>
  </si>
  <si>
    <t>Conseils de prud’hommes autonomes : prud’hommes plus sobres et rationnels. Ventes 2026-2030 : glissement vers davantage de moyen / premium, surtout sur lavabo (+9,7 pts sur premium+luxe), WC (+8,2 pts sur premium+luxe), urinoir (+7,7 pts sur premium+luxe). La rénovation reste très majoritaire (87% des ventes, contre 13% en neuf) ; le neuf est plus qualitatif mais ne suffit pas à transformer fortement le mix. L’écart de niveau de confort entre neuf et rénovation est net.</t>
  </si>
  <si>
    <t>Sanitaires Publics</t>
  </si>
  <si>
    <t>Trajectoire s'appuie sur ordre de grandeur de 14 000 toilettes publiques et sur ratio d'1installation pour 4 500 habitants (2020). Hausse lente liée à l'hygiène urbaine, tourisme + accessibilité, sans rupture massive</t>
  </si>
  <si>
    <t>proxy équipements d’hygiène urbaine. Dynamique projetée 2027-2030: hausse légère.</t>
  </si>
  <si>
    <t>https://www.leprogres.fr/societe/2026/01/10/un-droit-tres-important-face-au-manque-de-toilettes-publiques-quelles-solutions ; https://www.insee.fr/fr/metadonnees/source/serie/s1161 ; https://www.toilettespubliques.com/article/nombre-toilettes-par-ville-france</t>
  </si>
  <si>
    <t>Toilettes publiques autonomes : bloc urbain multi-usagers, entretien/exploitation non permanent.</t>
  </si>
  <si>
    <t>Capacité type ≈ 6 usagers principaux + 0 staff + 0 autre public. Jauge déjà renseignée ; usage très court mais rotations élevées. Dimensionnement unitaire retenu : cabines WC/lavabos accessibles, robuste et ventilé, sans staff permanent. Hypothèse d'usage : capacité simultanée moyenne 2026, répartition par flux réels, arrondie par blocs fonctionnels et exclusion des sanitaires strictement privatifs sauf cas explicitement collectifs.</t>
  </si>
  <si>
    <t>Profil très petit, capacité moyenne ≈ 6 personnes. Moyenne pondérée terrain : parc majoritairement petits/moyens sites, grands sites intégrés sans surpondération ; usage 2025 modérée.</t>
  </si>
  <si>
    <t>Usage anonyme continu, vandalisme, intempéries, nettoyage agressif et maintenance d'urgence. Durées les plus basses, surtout électronique/capteurs et douches si présentes. Repères durées: lavabos 9/10/7 ans (mit./méca/élec.), douches 8/8/6, urinoirs 8/9/6/8, WC 9/10/7.</t>
  </si>
  <si>
    <t>ans les toilettes publiques, le parc existant est dominé par les solutions robustes de collectivité : temporisé mécanique en tête, électronique très présente, mitigeur simple marginal. Le choix reflete usage non surveille, vandalisme eleve et nettoyage tres frequent ; anti-vandalisme, automatismes, hygienisation et maintenance rapide.</t>
  </si>
  <si>
    <t>2025-2030 : progression de tempo electronique (+1,0%), surtout lors des renov. lourdes/neuf ; recul de tempo mecanique (-1,0%) mais maintien d un socle robuste pour les remplacements partiels.</t>
  </si>
  <si>
    <t>Urinoirs présents dans une partie du parc urbain : vespasiennes, blocs multi-usagers ou équipements dédiés. Mix 2025 dominé par chasse directe mécanique robuste, adaptée au vandalisme et à l’usage intensif.</t>
  </si>
  <si>
    <t>2025-2030 : électronique en légère hausse, mais le contexte voie publique conserve une forte préférence pour la chasse directe mécanique robuste et facile à maintenir.</t>
  </si>
  <si>
    <t>Toilettes publiques (sur la voie publique) : parc 2025 domine par chasse directe mecanique (65%), avec chasse directe electronique en appoint. Le choix reflete usage non surveille, vandalisme eleve et nettoyage tres frequent ; anti-vandalisme, automatismes, hygienisation et maintenance rapide.</t>
  </si>
  <si>
    <t>2025-2030 : progression de chasse directe electronique (+5,0%), surtout lors des renov. lourdes/neuf ; recul de reservoir (-5,0%) mais maintien d un socle robuste pour les remplacements partiels.</t>
  </si>
  <si>
    <t>80,8% retenu : besoins transformes en travaux selon usage non surveille, vandalisme eleve et nettoyage tres frequent. Le phasage budgetaire, les fermetures partielles et la maintenance courante limitent la conversion totale.</t>
  </si>
  <si>
    <t>Potentiel renovation : tire par anti-vandalisme, automatismes, hygienisation et maintenance rapide. Les remplacements sont plutot par lots, avec arbitrage entre urgence sanitaire, budget et capacite a intervenir en site occupe.</t>
  </si>
  <si>
    <t>Potentiel neuf : plus visible pour toilettes publiques (sur la voie publique), surtout via extensions, reconstructions ou projets locaux. Le neuf reste contraint par foncier, budgets et delais de mise en service.</t>
  </si>
  <si>
    <t>Parc existant centre sur le niveau public_low, avec ventes 2026-2030 legerement plus qualitatives. Toilettes publiques (sur la voie publique) : usage non surveille, vandalisme eleve et nettoyage tres frequent; le mix reste guide par anti-vandalisme, automatismes, hygienisation et maintenance rapide.</t>
  </si>
  <si>
    <t>Parc existant : anti-vandalisme, automatismes, hygienisation et maintenance rapide; usage non surveille, vandalisme eleve et nettoyage tres frequent. La montee en confort reste proportionnee au budget et au rythme de renovation.</t>
  </si>
  <si>
    <t>Toilettes publiques (sur la voie publique) : ventes 2026-2030 en leger glissement vers moyen/premium lorsque le neuf ou les renov. lourdes interviennent. Le centre de gravite reste toutefois module par anti-vandalisme, automatismes, hygienisation et maintenance rapide et par la part dominante de travaux sur parc existant.</t>
  </si>
  <si>
    <t>Bains-douches municipaux / douches publiques fixes</t>
  </si>
  <si>
    <t>Équipements dédiés à l’hygiène du public ; à distinguer des toilettes publiques simples déjà comptées séparément.</t>
  </si>
  <si>
    <t>Bain-douche municipal, douche publique fixe</t>
  </si>
  <si>
    <t>Paris = 16 bains-douches municipaux ouverts en 2025, Lyon (2). Mouvement de fond reste toutefois baissier à long terme avec fermeture ou transformation d'une partie du parc historique.</t>
  </si>
  <si>
    <t>https://www.ined.fr/fr/publications/editions/document-travail/bains-douches-de-paris-enquete-sur-lieux-et-usages/ ; https://www.paris.fr/pages/les-bains-douches-municipaux-138 ; https://portail.documentation.developpement-durable.gouv.fr/pub/ALNOUV00202594-acces-eau-assainissement-pour-les-plus-demunis-exe.html ; https://www.rue89lyon.fr/2024/05/11/les-bains-douches-de-la-croix-rousse-un-lieu-aussi-historique-quutile/</t>
  </si>
  <si>
    <t>Bains-douches : service d’hygiène publique avec cabines de douche individuelles, petit bloc WC/lavabos et accueil/maintenance limitée.</t>
  </si>
  <si>
    <t>Capacité type ≈ 30 personnes présentes : 26 usagers, 3 agents, 1 accompagnant/intervenant. Dimensionnement retenu : 8 cabines de douche publiques, 4 lavabos, 1,5 urioir et 3 WC par site moyen. Hypothèse volontairement prudente : petit équipement municipal, flux par créneaux, attente limitée, hors très grands bains-douches parisiens.</t>
  </si>
  <si>
    <t>Profil petit, capacité moyenne ≈ 30 personnes. Moyenne pondérée terrain : parc majoritairement petits/moyens sites, grands sites intégrés sans surpondération ; usage 2025 forte à très forte.</t>
  </si>
  <si>
    <t>Ville de Paris - cabines individuelles : https://www.paris.fr/pages/les-bains-douches-municipaux-138 ; Ville de Saint-Denis - 12 cabines individuelles : https://www.saintdenis.fr/bains-douches ; ERP/accessibilité sanitaires : https://www.legifrance.gouv.fr/loda/article_lc/LEGIARTI000034485966/</t>
  </si>
  <si>
    <t>Usage centré sur la douche, eau chaude et humidité quasi permanentes, nettoyage soutenu et public parfois fragile. Les douches et l’électronique vieillissent vite; les temporisés mécaniques et chasses directes tiennent mieux sous maintenance municipale contrainte.</t>
  </si>
  <si>
    <t>Bains-douches : lavabos secondaires face aux cabines, mais sollicités à chaque passage. Temporisé mécanique dominant pour sobriété, robustesse et maintenance simple; électronique limité aux rénovations.</t>
  </si>
  <si>
    <t>2025-2030 : légère hausse de l’électronique pour hygiène et économie d’eau, mais le temporisé mécanique reste dominant car plus simple à dépanner en environnement humide.</t>
  </si>
  <si>
    <t>Douches : cœur d’usage du site. Le temporisé mécanique domine nettement car il limite l’eau chaude consommée et résiste mieux qu’un mitigeur libre-service.</t>
  </si>
  <si>
    <t>2025-2030 : l’électronique progresse surtout en rénovation lourde, mais le temporisé mécanique reste le standard compte tenu des usages intensifs et budgets municipaux.</t>
  </si>
  <si>
    <t>Urinoirs peu fréquents dans l’unitaire moyen - en majorité en direct mécanique. Service organisé autour de cabines de douche, WC accessibles et lavabos, non d’un grand bloc hommes/femmes.</t>
  </si>
  <si>
    <t>WC en bloc d’appoint : chasse directe mécanique majoritaire pour robustesse, réservoir encore présent dans l’ancien, électronique limité aux sites rénovés.</t>
  </si>
  <si>
    <t>2025-2030 : recul léger du réservoir et progression de l’électronique, mais maintien du direct mécanique grâce à sa robustesse et sa maintenance rapide.</t>
  </si>
  <si>
    <t>90,0% retenu : part des besoins réellement transformée en travaux sur 2026-2030 après prise en compte des budgets, du phasage et des arbitrages locaux.</t>
  </si>
  <si>
    <t>Potentiel rénovation élevé : usage intensif, exploitation contractuelle, image urbaine et vandalisme rendent le renouvellement très régulier. Les volumes restent d’abord tirés par les WC et les lavabos, plus que par les postes spécialisés. En rénovation, l’achat reste orienté vers des produits robustes, anti-vandalisme et simples à maintenir en site occupé.</t>
  </si>
  <si>
    <t>Potentiel neuf moyen : surtout via requalification d’espaces publics, centres-villes et sites touristiques ; le neuf reste réel mais secondaire.</t>
  </si>
  <si>
    <t>Projets phares réno : remplacement de cabines, auto-lavants, équipements anti-vandalisme et modernisation d’exploitation.</t>
  </si>
  <si>
    <t>Projets phares neuf : nouvelles cabines automatiques, déploiement dans parcs, hubs, fronts d’eau et zones touristiques.</t>
  </si>
  <si>
    <t>Dynamique réno 2026-2030 : forte et assez prévisible, car la maintenance ne suffit pas toujours à compenser l’usure et le vandalisme.</t>
  </si>
  <si>
    <t>Dynamique neuf 2026-2030 : modérée ; elle dépend surtout de la volonté municipale, de l’attractivité touristique et des projets d’espace public.</t>
  </si>
  <si>
    <t>Parc existant surtout standard. Les ventes restent proches du parc, centré sur standard, porté par l’hygiène, la facilité d’entretien et la technicité. La rénovation restant majoritaire, le mix de ventes reste proche du parc et monte surtout d’un cran sur les opérations lourdes. Toilettes publiques : très forte contrainte d’exploitation, d’hygiène et de vandalisme ; montée de l’automatisation mais confort perçu restant majoritairement entrée/standard.</t>
  </si>
  <si>
    <t>Toilettes publiques : très forte contrainte d’exploitation, d’hygiène et de vandalisme ; montée de l’automatisation mais confort perçu restant majoritairement entrée/standard.</t>
  </si>
  <si>
    <t>forte fréquentation ⇒ standard ↑, premium/luxe ↓ ; contrainte sanitaire ⇒ standard/intermédiaire technique ↑ ; rénovation dominante ⇒ progression graduelle</t>
  </si>
  <si>
    <t>Bains-douches municipaux / douches publiques fixes : toilettes publiques exposées au vandalisme, à la maintenance rapide et à la pression d’exploitation. Ventes 2026-2030 : glissement vers davantage de moyen / premium. La rénovation reste majoritaire (80% des ventes, contre 20% en neuf) ; le neuf tire le mix vers le haut sans renverser le centre de gravité. L’écart de niveau de confort entre neuf et rénovation reste perceptible.</t>
  </si>
  <si>
    <t>Funéraire &amp; Recueillement</t>
  </si>
  <si>
    <t>Funéraire</t>
  </si>
  <si>
    <t xml:space="preserve">Cimetières 
(dotés de sanitaires collectifs) </t>
  </si>
  <si>
    <t>PA / cas particulier</t>
  </si>
  <si>
    <t>Équipement public ouvert / variable</t>
  </si>
  <si>
    <t>Ne pas compter les cimetières sans sanitaires, ni doubler avec crématoriums, chambres funéraires, mémoriaux/monuments ou jardins publics.</t>
  </si>
  <si>
    <t>Cimetière communal avec toilettes publiques ou local sanitaire accessible</t>
  </si>
  <si>
    <t>Point de départ : obligation d'au moins 1 cimetière par commune/EPCI compétent, mais aucune obligation générale de toilettes. Project° : hausse lente avec mises à niveau de grands cimetières urbains/touristiques.</t>
  </si>
  <si>
    <t>Point départ : 40 000+ cimetières - Obligation d'au moins 1 cimetière par commune. Hypothèse sanitaire à 18-20 % du parc, + forte en zones urbaines/touristiques.</t>
  </si>
  <si>
    <t>https://www.legifrance.gouv.fr/codes/section_lc/LEGITEXT000006070633/LEGISCTA000006180985/2024-11-21 ; https://www.techniques-ingenieur.fr/base-documentaire/environnement-securite-th5/genie-ecologique-en-milieu-urbain-42703210/conception-et-gestion-ecologique-des-cimetieres-ge1021/glossaire-ge1021niv10006.html
https://www.orias.fr/ ; https://www.orias.fr/static/communications/rapports/Rapport_annuel_2024.pdf ; https://www.franceassureurs.fr/actualites/les-donnees-cles-de-lassurance-francaise-en-2024/</t>
  </si>
  <si>
    <t>Cimetière doté : petit bloc visiteurs + local agents, sans douche.</t>
  </si>
  <si>
    <t>Capacité type ≈ 36 usagers principaux + 3 staff + 1 autre public. Visiteurs de passage, cérémonies ponctuelles et agents d'entretien. Dimensionnement unitaire retenu : 1 bloc public accessible + point d'eau, sanitaire agents si local d'exploitation. Hypothèse d'usage : capacité simultanée moyenne 2026, répartition par flux réels, arrondie par blocs fonctionnels et exclusion des sanitaires strictement privatifs sauf cas explicitement collectifs.</t>
  </si>
  <si>
    <t>Usage faible mais extérieur, gel, poussière et maintenance municipale espacée; pics Toussaint/cérémonies. Long en mécanique, électronique raccourci par environnement et vandalisme. Repères durées: lavabos 13/14/10 ans (mit./méca/élec.), douches 12/11/9, urinoirs 11/13/9/11, WC 14/14/10.</t>
  </si>
  <si>
    <t>Cimetières (dotés de sanitaires collectifs) : parc 2025 domine par tempo mecanique (50%), avec mitigeur manuel en appoint. Le choix reflete usage ponctuel mais sensible, recherche de proprete et discretion ; qualite d accueil sobre, faible intensite et maintenance discrete.</t>
  </si>
  <si>
    <t>Urinoirs rares, réservés aux grands cimetières ou blocs visiteurs structurés. Mix 2025 prudent, proche des petits ERP publics avec chasse directe mécanique majoritaire.</t>
  </si>
  <si>
    <t>2025-2030 : légère hausse de l’électronique lors de rénovations de blocs visiteurs, mais volumes faibles et parc majoritairement mécanique.</t>
  </si>
  <si>
    <t>Cimetières (dotés de sanitaires collectifs) : parc 2025 domine par reservoir (60%), avec chasse directe mecanique en appoint. Le choix reflete usage ponctuel mais sensible, recherche de proprete et discretion ; qualite d accueil sobre, faible intensite et maintenance discrete.</t>
  </si>
  <si>
    <t>76,2% retenu : besoins transformes en travaux selon usage ponctuel mais sensible, recherche de proprete et discretion. Le phasage budgetaire, les fermetures partielles et la maintenance courante limitent la conversion totale.</t>
  </si>
  <si>
    <t>Potentiel renovation : tire par qualite d accueil sobre, faible intensite et maintenance discrete. Les remplacements sont plutot par lots, avec arbitrage entre urgence sanitaire, budget et capacite a intervenir en site occupe.</t>
  </si>
  <si>
    <t>Potentiel neuf : limite pour cimetières (dotés de sanitaires collectifs), surtout via extensions, reconstructions ou projets locaux. Le neuf reste contraint par foncier, budgets et delais de mise en service.</t>
  </si>
  <si>
    <t>Parc existant centre sur le niveau mid, avec ventes 2026-2030 legerement plus qualitatives. Cimetières (dotés de sanitaires collectifs) : usage ponctuel mais sensible, recherche de proprete et discretion; le mix reste guide par qualite d accueil sobre, faible intensite et maintenance discrete.</t>
  </si>
  <si>
    <t>Parc existant : qualite d accueil sobre, faible intensite et maintenance discrete; usage ponctuel mais sensible, recherche de proprete et discretion. La montee en confort reste proportionnee au budget et au rythme de renovation.</t>
  </si>
  <si>
    <t>Cimetières (dotés de sanitaires collectifs) : ventes 2026-2030 en leger glissement vers moyen/premium lorsque le neuf ou les renov. lourdes interviennent. Le centre de gravite reste toutefois module par qualite d accueil sobre, faible intensite et maintenance discrete et par la part dominante de travaux sur parc existant.</t>
  </si>
  <si>
    <t>Chambres funéraires / funérariums</t>
  </si>
  <si>
    <t>ERP / variable selon exploitation</t>
  </si>
  <si>
    <t>Les familles ont accès à ces équipements ; présence de sanitaires probable pour le public et le personnel. À distinguer des chambres mortuaires internes aux hôpitaux.</t>
  </si>
  <si>
    <t>Funérarium, chambre funéraire</t>
  </si>
  <si>
    <t>Croissance longue du parc, portée par banalisation du recours au funérarium. Après la forte montée 2016-2020, la trajectoire récente redevient plus modérée ; la projection 2026-2030 prolonge cette hausse lente.</t>
  </si>
  <si>
    <t>Ancrage fort sur les jalons officiels CNOF 2016, 2018, 2020, 2022 et 2024. Années 2000-2015 calculées à partir des points parlementaires 2002 et 2006, lissées jusqu'au point CNOF 2016.</t>
  </si>
  <si>
    <t>https://www2.assemblee-nationale.fr/documents/notice/13/rapports/r0664/%28index%29/rapports/%28archives%29/index-rapports ; https://www.collectivites-locales.gouv.fr/files/files/1.%20Connaitre%20les%20acteurs%20et%20les%20institutions/4.%20Organismes%20consultatifs/CNOF/CNOF%20-%20rapport_du_cnof_2017-2018_relu_idp.pdf ; https://www.collectivites-locales.gouv.fr/files/competences/RAPPORT%20DU%20CNOF%202021-2022.pdf ; https://www.collectivites-locales.gouv.fr/files/files/3.%20Animer%20les%20territoires/3.%20Les%20services%20%C3%A0%20la%20population/RapportCNOF23-24maquett%C3%A9comvuCIL3-2.pdf ; https://www.jd-architecture.fr/projet/funerarium-martigne/ ; https://deces-info.fr/arts-funeraires/chambre-funerairefunerarium/chambre-mortuaire-funeraire</t>
  </si>
  <si>
    <t>Funérarium/chambre funéraire : bloc familles/visiteurs + personnel.</t>
  </si>
  <si>
    <t>Capacité type ≈ 30 usagers principaux + 8 staff + 2 autre public. Salon de recueillement avec petits groupes, temps de présence prolongé. Dimensionnement unitaire retenu : bloc public accessible près accueil/salons + sanitaires personnel. Hypothèse d'usage : capacité simultanée moyenne 2026, répartition par flux réels, arrondie par blocs fonctionnels et exclusion des sanitaires strictement privatifs sauf cas explicitement collectifs.</t>
  </si>
  <si>
    <t>Flux mesuré, public calme, hygiène suivie et faible vandalisme; entretien professionnel. Durées longues proches tertiaire, renouvellement surtout esthétique. Repères durées: lavabos 13/14/10 ans (mit./méca/élec.), douches 12/11/9, urinoirs 11/13/9/11, WC 14/14/10.</t>
  </si>
  <si>
    <t>Chambres funéraires / funérariums : parc 2025 domine par tempo mecanique (50%), avec mitigeur manuel en appoint. Le choix reflete usage ponctuel mais sensible, recherche de proprete et discretion ; qualite d accueil sobre, faible intensite et maintenance discrete.</t>
  </si>
  <si>
    <t>Urinoirs minoritaires, présents surtout dans les grands funérariums avec blocs visiteurs séparés. Mix 2025 prudent, proche des petits ERP publics : chasse directe mécanique majoritaire.</t>
  </si>
  <si>
    <t>2025-2030 : hausse modérée de l’électronique dans les sites récents, l’objectif étant surtout confort/hygiène dans des volumes faibles.</t>
  </si>
  <si>
    <t>Chambres funéraires / funérariums : parc 2025 domine par reservoir (60%), avec chasse directe mecanique en appoint. Le choix reflete usage ponctuel mais sensible, recherche de proprete et discretion ; qualite d accueil sobre, faible intensite et maintenance discrete.</t>
  </si>
  <si>
    <t>Potentiel neuf : limite pour chambres funéraires / funérariums, surtout via extensions, reconstructions ou projets locaux. Le neuf reste contraint par foncier, budgets et delais de mise en service.</t>
  </si>
  <si>
    <t>Parc existant centre sur le niveau mid, avec ventes 2026-2030 legerement plus qualitatives. Chambres funéraires / funérariums : usage ponctuel mais sensible, recherche de proprete et discretion; le mix reste guide par qualite d accueil sobre, faible intensite et maintenance discrete.</t>
  </si>
  <si>
    <t>Chambres funéraires / funérariums : ventes 2026-2030 en leger glissement vers moyen/premium lorsque le neuf ou les renov. lourdes interviennent. Le centre de gravite reste toutefois module par qualite d accueil sobre, faible intensite et maintenance discrete et par la part dominante de travaux sur parc existant.</t>
  </si>
  <si>
    <t>Crématoriums</t>
  </si>
  <si>
    <t>Équipements recevant familles et public ; sanitaires très probables. Ne pas compter séparément les salles intégrées à une chambre funéraire déjà comptée comme site unique.</t>
  </si>
  <si>
    <t>Crématorium</t>
  </si>
  <si>
    <t>Progression continue du parc depuis 2000 =&gt; hausse crémation. Rythme + mais se tasse. Mises en service se poursuivent, sans hausse brutale. Davantage de compléments territoriaux que de maillage massif.</t>
  </si>
  <si>
    <t>Jalons officiels CNOF : 178(2016), 188(2018), 198(2020), 216(2022), 227(2024). Antérieuriorié reconstituée : repère 100 (2001). Project° 2026-30 suppose hausse de 3- 4 unités/an.</t>
  </si>
  <si>
    <t>https://www.legifrance.gouv.fr/codes/section_lc/LEGITEXT000006070633/LEGISCTA000006199203/2021-03-01
https://www.legifrance.gouv.fr/codes/section_lc/LEGITEXT000006070633/LEGISCTA000006197723/</t>
  </si>
  <si>
    <t>Crématorium : batteries public/cérémonie + sanitaires personnel technique.</t>
  </si>
  <si>
    <t>Capacité type ≈ 100 usagers principaux + 15 staff + 5 autre public. Cérémonies avec familles, salle d'hommage et flux par créneaux. Dimensionnement unitaire retenu : bloc public dimensionné à la salle de cérémonie + sanitaire personnel séparé. Hypothèse d'usage : capacité simultanée moyenne 2026, répartition par flux réels, arrondie par blocs fonctionnels et exclusion des sanitaires strictement privatifs sauf cas explicitement collectifs.</t>
  </si>
  <si>
    <t>Fréquentation régulière mais respectueuse, pics cérémonies et faible humidité; maintenance planifiée. Proche chambres funéraires, légèrement plus soutenu par volume d'événements. Repères durées: lavabos 13/14/10 ans (mit./méca/élec.), douches 12/11/9, urinoirs 11/13/9/11, WC 14/14/10.</t>
  </si>
  <si>
    <t>Crématoriums : parc 2025 domine par tempo mecanique (50%), avec mitigeur manuel en appoint. Le choix reflete usage ponctuel mais sensible, recherche de proprete et discretion ; qualite d accueil sobre, faible intensite et maintenance discrete.</t>
  </si>
  <si>
    <t>Crématoriums : parc 2025 domine par directe mecanique (50%), avec directe electronique collective en appoint. Le choix reflete usage ponctuel mais sensible, recherche de proprete et discretion ; qualite d accueil sobre, faible intensite et maintenance discrete.</t>
  </si>
  <si>
    <t>Crématoriums : parc 2025 domine par reservoir (60%), avec chasse directe mecanique en appoint. Le choix reflete usage ponctuel mais sensible, recherche de proprete et discretion ; qualite d accueil sobre, faible intensite et maintenance discrete.</t>
  </si>
  <si>
    <t>Potentiel neuf : limite pour crématoriums, surtout via extensions, reconstructions ou projets locaux. Le neuf reste contraint par foncier, budgets et delais de mise en service.</t>
  </si>
  <si>
    <t>Parc existant centre sur le niveau mid, avec ventes 2026-2030 legerement plus qualitatives. Crématoriums : usage ponctuel mais sensible, recherche de proprete et discretion; le mix reste guide par qualite d accueil sobre, faible intensite et maintenance discrete.</t>
  </si>
  <si>
    <t>Crématoriums : ventes 2026-2030 en leger glissement vers moyen/premium lorsque le neuf ou les renov. lourdes interviennent. Le centre de gravite reste toutefois module par qualite d accueil sobre, faible intensite et maintenance discrete et par la part dominante de travaux sur parc existant.</t>
  </si>
  <si>
    <t>1 - Crèches
2 - Haltes-garderies, jardins d’enfants
3 - Protection Maternelle et Infantile</t>
  </si>
  <si>
    <r>
      <rPr>
        <b/>
        <sz val="9"/>
        <rFont val="Calibri"/>
      </rPr>
      <t>Crèches</t>
    </r>
    <r>
      <rPr>
        <sz val="9"/>
        <rFont val="Calibri"/>
      </rPr>
      <t xml:space="preserve"> : ERPHaltes-garderies, jardins d’enfants ; Protection Maternelle et Infantile : ERP / variable</t>
    </r>
  </si>
  <si>
    <r>
      <rPr>
        <b/>
        <sz val="9"/>
        <rFont val="Calibri"/>
      </rPr>
      <t>Crèches</t>
    </r>
    <r>
      <rPr>
        <sz val="9"/>
        <rFont val="Calibri"/>
      </rPr>
      <t xml:space="preserve"> : Crèche municipale, micro-crècheHaltes-garderies, jardins d’enfants : Halte-garderie autonome, jardin d’enfants autonome, structure mono-accueil ponctuel ou pré-scolaire non comptée en crècheProtection Maternelle et Infantile : Centre PMI autonome, consultation PMI indépendante, centre de santé PMI non hébergé en maison des solidarités</t>
    </r>
  </si>
  <si>
    <r>
      <rPr>
        <b/>
        <sz val="9"/>
        <rFont val="Calibri"/>
      </rPr>
      <t>Crèches</t>
    </r>
    <r>
      <rPr>
        <sz val="9"/>
        <rFont val="Calibri"/>
      </rPr>
      <t xml:space="preserve"> : proxy public / estimation encadréeHaltes-garderies, jardins d’enfants ; Protection Maternelle et Infantile : série publique directe 2024 / BPE, puis ventilation encadrée</t>
    </r>
  </si>
  <si>
    <r>
      <rPr>
        <b/>
        <sz val="9"/>
        <rFont val="Calibri"/>
      </rPr>
      <t>Crèches</t>
    </r>
    <r>
      <rPr>
        <sz val="9"/>
        <rFont val="Calibri"/>
      </rPr>
      <t xml:space="preserve"> : ElevéHaltes-garderies, jardins d’enfants ; Protection Maternelle et Infantile : Moyenne</t>
    </r>
  </si>
  <si>
    <r>
      <rPr>
        <b/>
        <sz val="9"/>
        <rFont val="Calibri"/>
      </rPr>
      <t>Crèches</t>
    </r>
    <r>
      <rPr>
        <sz val="9"/>
        <rFont val="Calibri"/>
      </rPr>
      <t xml:space="preserve"> : Ancrage sur l’Onape/Cnaf : l’offre crèches progresse en 2024 grâce aux micro-crèches financées par Paje (+9,9 %) et les Caf financent 11 500 crèches PSU (2024) ; la projection prolonge cette dynamique sans surestimer le marché.Haltes-garderies, jardins d’enfants : Décroissance structurelle : transformation des anciennes haltes-garderies vers le multi-accueil/crèches et extinction progressive des jardins d’enfants.Protection Maternelle et Infantile : Réseau PMI stable, mais forte intégration dans maisons départementales des solidarités et centres médico-sociaux. Filtre “sites autonomes” réduit fortement le nombre comptable.</t>
    </r>
  </si>
  <si>
    <r>
      <rPr>
        <b/>
        <sz val="9"/>
        <rFont val="Calibri"/>
      </rPr>
      <t>Crèches</t>
    </r>
    <r>
      <rPr>
        <sz val="9"/>
        <rFont val="Calibri"/>
      </rPr>
      <t xml:space="preserve"> : ancrage DREES 2023 sur les EAJE, puis prolongement 2024-2026. Dynamique projetée 2027-2030: hausse modérée. Fiabilité: moyenne.Haltes-garderies, jardins d’enfants : Projection prudente : maintien d’un noyau résiduel de sites autonomes, mais poursuite du reflux jusqu’en 2030. Inclusion uniquement si non déjà absorbés dans crèches/EAJE.Protection Maternelle et Infantile : Projection stable légèrement en baisse : sites PMI subsistent, mais organisation département tend à mutualiser locaux avec centres médico-sociaux/maisons solidarités.</t>
    </r>
  </si>
  <si>
    <r>
      <rPr>
        <b/>
        <sz val="9"/>
        <rFont val="Calibri"/>
      </rPr>
      <t>Crèches</t>
    </r>
    <r>
      <rPr>
        <sz val="9"/>
        <rFont val="Calibri"/>
      </rPr>
      <t xml:space="preserve"> : https://drees.solidarites-sante.gouv.fr/communique-de-presse-jeux-de-donnees/jeux-de-donnees/250528_DATA_donnees-departementales-sur-l-offre-daccueil-du-jeune-enfant-2023Haltes-garderies, jardins d’enfants : https://www.drees.solidarites-sante.gouv.fr/communique-de-presse-jeux-de-donnees/jeux-de-donnees/250528_DATA_donnees-departementales-sur-l-offre-daccueil-du-jeune-enfant-2023
https://www.senat.fr/rap/l23-418/l23-418_mono.html
https://www.legifrance.gouv.fr/jorf/article_jo/JORFARTI000044025660Protection Maternelle et Infantile : https://www.geo-public.fr/stats.php?t=pmi
https://www.aias.fr/protection-maternelle-et-infantile/
https://code.travail.gouv.fr/code-du-travail/r4228-1</t>
    </r>
  </si>
  <si>
    <r>
      <rPr>
        <b/>
        <sz val="9"/>
        <rFont val="Calibri"/>
      </rPr>
      <t>Crèches</t>
    </r>
    <r>
      <rPr>
        <sz val="9"/>
        <rFont val="Calibri"/>
      </rPr>
      <t xml:space="preserve"> : Bloc enfants + bloc adultes ; comptage limité aux sanitaires collectifs, sans cabine individuelle.Haltes-garderies, jardins d’enfants : Petit bloc enfants + sanitaire adulte/personnel ; pas de douches collectives hors change.Protection Maternelle et Infantile : Bloc patients/accompagnants + personnel pour consultations PMI ; avec douche ponctuelle soins/enfants/personnel.</t>
    </r>
  </si>
  <si>
    <r>
      <rPr>
        <b/>
        <sz val="9"/>
        <rFont val="Calibri"/>
      </rPr>
      <t>Crèches</t>
    </r>
    <r>
      <rPr>
        <sz val="9"/>
        <rFont val="Calibri"/>
      </rPr>
      <t xml:space="preserve"> : Capacité type ≈ 31 usagers principaux + 8 staff + 1 parents/accompagnants. Le programme sanitaire est construit par blocs fonctionnels plausibles (public, personnel, exploitation/hébergement selon le cas) et non par simple ratio national moyen. Calibrage selon capacité simultanée, répartition de flux et organisation réelle du site.Haltes-garderies, jardins d’enfants : Capacité type ≈ 24 usagers principaux + 5 staff + 1 autre public. Accueil de courte durée en petite enfance, avec rotation et accompagnants ponctuels. Dimensionnement unitaire retenu : bloc enfants proche salles + 1 sanitaire adulte/PMR et point d'eau, surdimensionné pour surveillance et hygiène. Hypothèse d'usage : capacité simultanée moyenne 2026, répartition par flux réels, arrondie par blocs fonctionnels et exclusion des sanitaires strictement privatifs sauf cas explicitement collectifs.Protection Maternelle et Infantile : Capacité type ≈ 18 usagers principaux + 5 staff + 2 autre public. Site de consultation à flux intermittent, patients enfants/parents et petite équipe médico-sociale. Dimensionnement unitaire retenu : 1 bloc public accessible + 1 bloc personnel, avec lavabo et accessibilité PMR au niveau recevant le public. Hypothèse d'usage : capacité simultanée moyenne 2026, répartition par flux réels. Douche de soins, change/hygiène enfant ou personnel, sans en faire un standard public.</t>
    </r>
  </si>
  <si>
    <r>
      <rPr>
        <b/>
        <sz val="9"/>
        <rFont val="Calibri"/>
      </rPr>
      <t>Crèches</t>
    </r>
    <r>
      <rPr>
        <sz val="9"/>
        <rFont val="Calibri"/>
      </rPr>
      <t xml:space="preserve"> : Profil petit, capacité moyenne ≈ 40 personnes. Moyenne pondérée terrain : parc majoritairement petits/moyens sites, grands sites intégrés sans surpondération ; usage 2025 modérée.Haltes-garderies, jardins d’enfants : Profil petit, capacité moyenne ≈ 30 personnes. Moyenne pondérée terrain : parc majoritairement petits/moyens sites, grands sites intégrés sans surpondération ; usage 2025 modérée.Protection Maternelle et Infantile : Profil très petit, capacité moyenne ≈ 25 personnes. Moyenne pondérée terrain : parc majoritairement petits/moyens sites, grands sites intégrés sans surpondération ; usage 2025 modérée.</t>
    </r>
  </si>
  <si>
    <r>
      <rPr>
        <b/>
        <sz val="9"/>
        <rFont val="Calibri"/>
      </rPr>
      <t>Crèches</t>
    </r>
    <r>
      <rPr>
        <sz val="9"/>
        <rFont val="Calibri"/>
      </rPr>
      <t xml:space="preserve"> : Code du travail (sanitaires et vestiaires staff) + programmation ERP/usages d'exploitation ; source de comptage propre à la ligne en col. AP.Haltes-garderies, jardins d’enfants : ERP/accessibilité sanitaires publics : https://www.legifrance.gouv.fr/loda/article_lc/LEGIARTI000034485966/ ; Code du travail sanitaires salariés : https://www.legifrance.gouv.fr/codes/id/LEGISCTA000018531984 ; Bâti scolaire / sanitaires : https://batiscolaire.education.gouv.fr/fiche-espace-sanitaires-eleves-elementaire-et-secondaire-240412Protection Maternelle et Infantile : ERP/accessibilité sanitaires publics : https://www.legifrance.gouv.fr/loda/article_lc/LEGIARTI000034485966/ ; Code du travail sanitaires salariés : https://www.legifrance.gouv.fr/codes/id/LEGISCTA000018531984 ; INRS : https://www.inrs.fr/publications/juridique/focus-juridiques/focus-sanitaires-toilettes.html</t>
    </r>
  </si>
  <si>
    <r>
      <rPr>
        <b/>
        <sz val="9"/>
        <rFont val="Calibri"/>
      </rPr>
      <t>Crèches</t>
    </r>
    <r>
      <rPr>
        <sz val="9"/>
        <rFont val="Calibri"/>
      </rPr>
      <t xml:space="preserve"> : Usage très régulier avec nettoyage fréquent et petites dégradations usuelles. Les temporisés mécaniques gardent un avantage tangible sur les mitigeurs en environnement partagé. L'électronique est abaissée car les cellules, alimentations et réglages vieillissent plus vite que les organes purement mécaniques. Rénovation souvent par blocs lors des vacances scolaires. Enseignement intensif sous contrainte budgétaire : Pics interclasses, usage quotidien élevé, vandalisme modéré et budgets publics souvent lissés. Le temporisé et la chasse directe tiennent mieux que le manuel/réservoir en usage intensif.Haltes-garderies, jardins d’enfants ; Protection Maternelle et Infantile : Petite enfance : Durées plutôt correctes car usage encadré, mais remplacement souvent par blocs lors de travaux municipaux ou scolaires. Mix retenu : Usage encadré et hauteur/ergonomie enfant : mitigeurs et temporisations mécaniques dominent, électronique marginale ; urinoirs généralement nuls.</t>
    </r>
  </si>
  <si>
    <r>
      <rPr>
        <b/>
        <sz val="9"/>
        <rFont val="Calibri"/>
      </rPr>
      <t>Crèches</t>
    </r>
    <r>
      <rPr>
        <sz val="9"/>
        <rFont val="Calibri"/>
      </rPr>
      <t xml:space="preserve"> : Parc commun plutôt petit et assisté : le mitigeur manuel reste majoritaire sur les lave-mains enfants/adultes, avec une part de temporisé sur zones personnel/usage intensif ; l’électronique reste marginale. Ajustement ciblé 2025 : légère baisse du mitigeur et/ou légère hausse de l’électronique pour mieux refléter la modernisation déjà visible sur les rénovations de sanitaires communs.Haltes-garderies, jardins d’enfants : Haltes-garderies, jardins d’enfants (hors crèches) : parc 2025 domine par mitigeur manuel (50%), avec tempo mecanique en appoint. Le choix reflete usage quotidien par cohortes, pics de recreations/cours et renovation par lots ; robustesse scolaire, entretien simple et contraintes de vacances scolaires.Protection Maternelle et Infantile : Protection Maternelle et Infantile (PMI) - sites autonomes : parc 2025 domine par mitigeur manuel (50%), avec tempo mecanique en appoint. Le choix reflete usage quotidien par cohortes, pics de recreations/cours et renovation par lots ; robustesse scolaire, entretien simple et contraintes de vacances scolaires.</t>
    </r>
  </si>
  <si>
    <r>
      <rPr>
        <b/>
        <sz val="9"/>
        <rFont val="Calibri"/>
      </rPr>
      <t>Crèches</t>
    </r>
    <r>
      <rPr>
        <sz val="9"/>
        <rFont val="Calibri"/>
      </rPr>
      <t xml:space="preserve"> : Évolution modérée d’ici 2030 : le mitigeur recule un peu au profit du temporisé/électronique, mais le parc reste très manuel sur les points enfants et le renouvellement est lent.Haltes-garderies, jardins d’enfants ; Protection Maternelle et Infantile : 2025-2030 : progression de tempo electronique (+2,0%), surtout lors des renov. lourdes/neuf ; recul de mitigeur manuel (-2,0%) mais maintien d un socle robuste pour les remplacements partiels.</t>
    </r>
  </si>
  <si>
    <r>
      <rPr>
        <b/>
        <sz val="9"/>
        <rFont val="Calibri"/>
      </rPr>
      <t>Crèches</t>
    </r>
    <r>
      <rPr>
        <sz val="9"/>
        <rFont val="Calibri"/>
      </rPr>
      <t xml:space="preserve"> : Sans objet.Haltes-garderies, jardins d’enfants : Haltes-garderies, jardins d’enfants (hors crèches) : parc 2025 domine par mitigeur (90%), avec tempo mecanique en appoint. Le choix reflete usage quotidien par cohortes, pics de recreations/cours et renovation par lots ; robustesse scolaire, entretien simple et contraintes de vacances scolaires.Protection Maternelle et Infantile : PMI : douches rares, surtout à mitigeur/thermostatique pour sécurité, confort et usage ponctuel de soins/personnel.</t>
    </r>
  </si>
  <si>
    <r>
      <rPr>
        <b/>
        <sz val="9"/>
        <rFont val="Calibri"/>
      </rPr>
      <t>Crèches</t>
    </r>
    <r>
      <rPr>
        <sz val="9"/>
        <rFont val="Calibri"/>
      </rPr>
      <t xml:space="preserve"> : Sans objet.Haltes-garderies, jardins d’enfants : 2025-2030 : progression de tempo electronique (+1,0%), surtout lors des renov. lourdes/neuf ; recul de mitigeur (-2,0%) mais maintien d un socle robuste pour les remplacements partiels.Protection Maternelle et Infantile : Évolution 2025-2030 très limitée : maintien majoritaire du mitigeur, légère progression des solutions temporisées/électroniques lors de rénovations ciblées.</t>
    </r>
  </si>
  <si>
    <r>
      <rPr>
        <b/>
        <sz val="9"/>
        <rFont val="Calibri"/>
      </rPr>
      <t>Crèches</t>
    </r>
    <r>
      <rPr>
        <sz val="9"/>
        <rFont val="Calibri"/>
      </rPr>
      <t xml:space="preserve"> : Les WC restent très majoritairement à réservoir sur ce parc, plus simple et plus proche d’un usage d’habitat collectif ; la chasse directe reste minoritaire.Haltes-garderies, jardins d’enfants : Haltes-garderies, jardins d’enfants (hors crèches) : parc 2025 domine par reservoir (85%), avec chasse directe mecanique en appoint. Le choix reflete usage quotidien par cohortes, pics de recreations/cours et renovation par lots ; robustesse scolaire, entretien simple et contraintes de vacances scolaires.Protection Maternelle et Infantile : Protection Maternelle et Infantile (PMI) - sites autonomes : parc 2025 domine par reservoir (85%), avec chasse directe mecanique en appoint. Le choix reflete usage quotidien par cohortes, pics de recreations/cours et renovation par lots ; robustesse scolaire, entretien simple et contraintes de vacances scolaires.</t>
    </r>
  </si>
  <si>
    <r>
      <rPr>
        <b/>
        <sz val="9"/>
        <rFont val="Calibri"/>
      </rPr>
      <t>Crèches</t>
    </r>
    <r>
      <rPr>
        <sz val="9"/>
        <rFont val="Calibri"/>
      </rPr>
      <t xml:space="preserve"> : Les WC restent très majoritairement à réservoir ; la chasse directe gagne un peu de terrain mais sans renverser le parc d’ici 2030.Haltes-garderies, jardins d’enfants ; Protection Maternelle et Infantile : 2025-2030 : progression de chasse directe mecanique (+3,0%), surtout lors des renov. lourdes/neuf ; recul de reservoir (-5,0%) mais maintien d un socle robuste pour les remplacements partiels.</t>
    </r>
  </si>
  <si>
    <r>
      <rPr>
        <b/>
        <sz val="9"/>
        <rFont val="Calibri"/>
      </rPr>
      <t>Crèches</t>
    </r>
    <r>
      <rPr>
        <sz val="9"/>
        <rFont val="Calibri"/>
      </rPr>
      <t xml:space="preserve"> : MoyenneHaltes-garderies, jardins d’enfants ; Protection Maternelle et Infantile : Moyenne à Bonne</t>
    </r>
  </si>
  <si>
    <r>
      <rPr>
        <b/>
        <sz val="9"/>
        <rFont val="Calibri"/>
      </rPr>
      <t>Crèches</t>
    </r>
    <r>
      <rPr>
        <sz val="9"/>
        <rFont val="Calibri"/>
      </rPr>
      <t xml:space="preserve"> : 87,3% retenu : part des besoins réellement transformée en travaux sur 2026-2030 après prise en compte des budgets, du phasage et des arbitrages locaux.Haltes-garderies, jardins d’enfants ; Protection Maternelle et Infantile : 79,3% retenu : besoins transformes en travaux selon usage quotidien par cohortes, pics de recreations/cours et renovation par lots. Le phasage budgetaire, les fermetures partielles et la maintenance courante limitent la conversion totale.</t>
    </r>
  </si>
  <si>
    <r>
      <rPr>
        <b/>
        <sz val="9"/>
        <rFont val="Calibri"/>
      </rPr>
      <t>Crèches</t>
    </r>
    <r>
      <rPr>
        <sz val="9"/>
        <rFont val="Calibri"/>
      </rPr>
      <t xml:space="preserve"> : Potentiel rénovation élevé : remise à niveau des blocs enfants/personnel, exigences d’hygiène et d’usage intensif, souvent intégrées à des travaux communaux ou délégations de service public. Les volumes restent d’abord tirés par les WC et les lavabos, plus que par les postes spécialisés. En rénovation, le marché reste favorable aux gammes robustes et simples d’entretien, compatibles avec des chantiers par tranches et des budgets contraints.Haltes-garderies, jardins d’enfants ; Protection Maternelle et Infantile : Potentiel renovation : tire par robustesse scolaire, entretien simple et contraintes de vacances scolaires. Les remplacements sont plutot par lots, avec arbitrage entre urgence sanitaire, budget et capacite a intervenir en site occupe.</t>
    </r>
  </si>
  <si>
    <r>
      <rPr>
        <b/>
        <sz val="9"/>
        <rFont val="Calibri"/>
      </rPr>
      <t>Crèches</t>
    </r>
    <r>
      <rPr>
        <sz val="9"/>
        <rFont val="Calibri"/>
      </rPr>
      <t xml:space="preserve"> : Potentiel neuf moyen à soutenu : créations et extensions encore réelles via le service public de la petite enfance, les micro-crèches et les territoires en tension, mais freinées par les coûts d’exploitation et la pénurie de personnels. Le neuf est significatif mais encore nettement inférieur à la rénovation.Haltes-garderies, jardins d’enfants : Potentiel neuf : limite pour haltes-garderies, jardins d’enfants (hors crèches), surtout via extensions, reconstructions ou projets locaux. Le neuf reste contraint par foncier, budgets et delais de mise en service.Protection Maternelle et Infantile : Potentiel neuf : limite pour protection maternelle et infantile (pmi) - sites autonomes, surtout via extensions, reconstructions ou projets locaux. Le neuf reste contraint par foncier, budgets et delais de mise en service.</t>
    </r>
  </si>
  <si>
    <r>
      <rPr>
        <b/>
        <sz val="9"/>
        <rFont val="Calibri"/>
      </rPr>
      <t>Crèches</t>
    </r>
    <r>
      <rPr>
        <sz val="9"/>
        <rFont val="Calibri"/>
      </rPr>
      <t xml:space="preserve"> : Projets phares réno : réfection de blocs enfants/adultes, espaces de change et douches ponctuelles, adaptation climatique, accessibilité et reprises sanitaires lors de rénovations thermiques.Haltes-garderies, jardins d’enfants ; Protection Maternelle et Infantile : Projets phares renovation : reprise de blocs sanitaires, accessibilite, ventilation, economie d eau, remplacement des pieces usees et adaptation aux pics de frequentation propres au sous-segment.</t>
    </r>
  </si>
  <si>
    <r>
      <rPr>
        <b/>
        <sz val="9"/>
        <rFont val="Calibri"/>
      </rPr>
      <t>Crèches</t>
    </r>
    <r>
      <rPr>
        <sz val="9"/>
        <rFont val="Calibri"/>
      </rPr>
      <t xml:space="preserve"> : Projets phares neuf : micro-crèches, crèches municipales/associatives, créations en quartiers neufs ou opérations mixtes, extensions de capacité lorsque le besoin local est documenté.Haltes-garderies, jardins d’enfants ; Protection Maternelle et Infantile : Projets phares neuf : creations ou reconstructions selectives, integration de sanitaires plus sobres, robustes et faciles a maintenir des la conception.</t>
    </r>
  </si>
  <si>
    <r>
      <rPr>
        <b/>
        <sz val="9"/>
        <rFont val="Calibri"/>
      </rPr>
      <t>Crèches</t>
    </r>
    <r>
      <rPr>
        <sz val="9"/>
        <rFont val="Calibri"/>
      </rPr>
      <t xml:space="preserve"> : Dynamique réno 2026-2030 : soutenue et régulière, car les communes et gestionnaires arbitrent plus facilement des travaux ciblés que des créations nettes. Menaces : budget communal, tension sur l’exploitation et travaux en site occupé.Haltes-garderies, jardins d’enfants ; Protection Maternelle et Infantile : Dynamique renovation 2026-2030 : forte, car l usure et l hygiene rendent les interventions recurrentes. Menaces : arbitrages d investissement, travaux en exploitation et cout de maintenance.</t>
    </r>
  </si>
  <si>
    <r>
      <rPr>
        <b/>
        <sz val="9"/>
        <rFont val="Calibri"/>
      </rPr>
      <t>Crèches</t>
    </r>
    <r>
      <rPr>
        <sz val="9"/>
        <rFont val="Calibri"/>
      </rPr>
      <t xml:space="preserve"> : Dynamique neuf 2026-2030 : réelle mais sélective ; la volonté politique existe avec le service public de la petite enfance, mais l’écart entre besoin théorique, financement et mise en service effective peut rester marqué.Haltes-garderies, jardins d’enfants ; Protection Maternelle et Infantile : Dynamique neuf 2026-2030 : faible a moderee, dependante des projets immobiliers, de la demographie locale et des budgets de maitrise d ouvrage.</t>
    </r>
  </si>
  <si>
    <r>
      <rPr>
        <b/>
        <sz val="9"/>
        <color theme="1"/>
        <rFont val="Calibri"/>
        <family val="2"/>
        <scheme val="minor"/>
      </rPr>
      <t>Crèches ; Haltes-garderies, jardins d’enfants</t>
    </r>
    <r>
      <rPr>
        <sz val="9"/>
        <color theme="1"/>
        <rFont val="Calibri"/>
        <family val="2"/>
        <scheme val="minor"/>
      </rPr>
      <t xml:space="preserve"> : https://solidarites.gouv.fr/le-service-public-de-la-petite-enfance-garantir-un-accueil-de-qualite-tous-les-enfants-et-leurs-familles
https://solidarites.gouv.fr/outils-et-ressources-destination-des-autorites-organisatrices-de-laccueil-du-jeune-enfant
https://solidarites.gouv.fr/stephanie-rist-annonce-une-revalorisation-du-financement-des-creches-par-les-caf-de-2-en-2025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https://www.insee.fr/fr/statistiques/8906564Protection Maternelle et Infantile : https://sante.gouv.fr/actualites/presse/communiques-de-presse/article/acces-aux-soins-dans-les-territoires-agnes-firmin-le-bodo-a-annonce-le-plan-d
https://www.projetdeloi.sante.gouv.fr/grands-dossiers/un-meilleur-acces-aux-soins-pour-tous-sur-le-territoire/article/pacte-de-lutte-contre-les-deserts-medicaux-151-zones-prioritaires-identifiees
https://sante.gouv.fr/actualites-presse/presse/communiques-de-presse/article/campagne-tarifaire-et-budgetaire-2026-des-etablissements-de-sante-3-6-milliards
https://sante.gouv.fr/systeme-de-sante/segur-de-la-sante/investissement-en-sante-une-nouvelle-politique-au-service-de-la-qualite-des-11226/csis
https://sante.gouv.fr/soins-et-maladies/qualite-securite-et-pertinence-des-soins/securite-des-prises-en-charge/securite-des-soins-et-des-patients/article/ameliorer-la-securite-des-patients-et-des-residents-la-1ere-feuille-de-route
https://www.statistiques.developpement-durable.gouv.fr/construction-de-locaux-resultats-fin-janvier-2026-france-entiere
https://www.insee.fr/fr/statistiques/8671745
https://www.insee.fr/fr/statistiques/8906564</t>
    </r>
  </si>
  <si>
    <r>
      <rPr>
        <b/>
        <sz val="9"/>
        <rFont val="Calibri"/>
      </rPr>
      <t>Crèches</t>
    </r>
    <r>
      <rPr>
        <sz val="9"/>
        <rFont val="Calibri"/>
      </rPr>
      <t xml:space="preserve"> : Parc existant surtout intermédiaire. Les ventes se décalent légèrement vers intermédiaire, porté par l’hygiène, la facilité d’entretien et la technicité. Le neuf est un peu plus qualitatif que la rénovation, sans renverser le centre de gravité du mix. Mix piloté par l’hygiène, la sécurité enfant et des budgets publics/associatifs encore contraints ; montée modérée en confort sur les programmes neufs ou restructurations globales.Haltes-garderies, jardins d’enfants : Parc existant centre sur le niveau standard, avec ventes 2026-2030 legerement plus qualitatives. Haltes-garderies, jardins d’enfants (hors crèches) : usage quotidien par cohortes, pics de recreations/cours et renovation par lots; le mix reste guide par robustesse scolaire, entretien simple et contraintes de vacances scolaires.Protection Maternelle et Infantile : Parc existant centre sur le niveau standard, avec ventes 2026-2030 legerement plus qualitatives. Protection Maternelle et Infantile (PMI) - sites autonomes : usage quotidien par cohortes, pics de recreations/cours et renovation par lots; le mix reste guide par robustesse scolaire, entretien simple et contraintes de vacances scolaires.</t>
    </r>
  </si>
  <si>
    <r>
      <rPr>
        <b/>
        <sz val="9"/>
        <rFont val="Calibri"/>
      </rPr>
      <t>Crèches</t>
    </r>
    <r>
      <rPr>
        <sz val="9"/>
        <rFont val="Calibri"/>
      </rPr>
      <t xml:space="preserve"> : ±5 ptsHaltes-garderies, jardins d’enfants ; Protection Maternelle et Infantile : ±4 pts</t>
    </r>
  </si>
  <si>
    <r>
      <rPr>
        <b/>
        <sz val="9"/>
        <rFont val="Calibri"/>
      </rPr>
      <t>Crèches</t>
    </r>
    <r>
      <rPr>
        <sz val="9"/>
        <rFont val="Calibri"/>
      </rPr>
      <t xml:space="preserve"> : ±6 ptsHaltes-garderies, jardins d’enfants ; Protection Maternelle et Infantile : ±4 pts</t>
    </r>
  </si>
  <si>
    <r>
      <rPr>
        <b/>
        <sz val="9"/>
        <rFont val="Calibri"/>
      </rPr>
      <t>Crèches</t>
    </r>
    <r>
      <rPr>
        <sz val="9"/>
        <rFont val="Calibri"/>
      </rPr>
      <t xml:space="preserve"> : Moyenne +Haltes-garderies, jardins d’enfants ; Protection Maternelle et Infantile : Bonne</t>
    </r>
  </si>
  <si>
    <r>
      <rPr>
        <b/>
        <sz val="9"/>
        <rFont val="Calibri"/>
      </rPr>
      <t>Crèches</t>
    </r>
    <r>
      <rPr>
        <sz val="9"/>
        <rFont val="Calibri"/>
      </rPr>
      <t xml:space="preserve"> : Mix piloté par l’hygiène, la sécurité enfant et des budgets publics/associatifs encore contraints ; montée modérée en confort sur les programmes neufs ou restructurations globales.Haltes-garderies, jardins d’enfants ; Protection Maternelle et Infantile : Parc existant : robustesse scolaire, entretien simple et contraintes de vacances scolaires; usage quotidien par cohortes, pics de recreations/cours et renovation par lots. La montee en confort reste proportionnee au budget et au rythme de renovation.</t>
    </r>
  </si>
  <si>
    <r>
      <rPr>
        <b/>
        <sz val="9"/>
        <rFont val="Calibri"/>
      </rPr>
      <t>Crèches</t>
    </r>
    <r>
      <rPr>
        <sz val="9"/>
        <rFont val="Calibri"/>
      </rPr>
      <t xml:space="preserve"> : contrainte sanitaire ⇒ standard/intermédiaire technique ↑ ; poids du neuf significatif ⇒ premiumisation des ventes &gt; parcHaltes-garderies, jardins d’enfants ; Protection Maternelle et Infantile : renovation dominante =&gt; progression graduelle</t>
    </r>
  </si>
  <si>
    <r>
      <rPr>
        <b/>
        <sz val="9"/>
        <rFont val="Calibri"/>
      </rPr>
      <t>Crèches</t>
    </r>
    <r>
      <rPr>
        <sz val="9"/>
        <rFont val="Calibri"/>
      </rPr>
      <t xml:space="preserve"> : Crèches : petites unités, nettoyage fréquent et sécurité enfant priment sur l’effet décoratif. Ventes 2026-2030 : glissement vers davantage de moyen / premium, surtout sur lavabo (+15,9 pts sur premium+luxe), douche (+14,6 pts sur premium+luxe), WC (+14,1 pts sur premium+luxe). Le neuf pèse suffisamment (38% des ventes) pour relever le niveau de confort moyen au-dessus de la rénovation (62%). L’écart de niveau de confort entre neuf et rénovation est net.Haltes-garderies, jardins d’enfants : Haltes-garderies, jardins d’enfants (hors crèches) : ventes 2026-2030 en leger glissement vers moyen/premium lorsque le neuf ou les renov. lourdes interviennent. Le centre de gravite reste toutefois module par robustesse scolaire, entretien simple et contraintes de vacances scolaires et par la part dominante de travaux sur parc existant.Protection Maternelle et Infantile : Protection Maternelle et Infantile (PMI) - sites autonomes : ventes 2026-2030 en leger glissement vers moyen/premium lorsque le neuf ou les renov. lourdes interviennent. Le centre de gravite reste toutefois module par robustesse scolaire, entretien simple et contraintes de vacances scolaires et par la part dominante de travaux sur parc existant.</t>
    </r>
  </si>
  <si>
    <t>1 - Écoles maternelles
2 - Écoles primaires
3 - Collèges
4 - Lycées
5 - Internats scolaires</t>
  </si>
  <si>
    <r>
      <rPr>
        <b/>
        <sz val="9"/>
        <rFont val="Calibri"/>
      </rPr>
      <t>Écoles maternelles ; Écoles primaires ; Collèges ; Lycées</t>
    </r>
    <r>
      <rPr>
        <sz val="9"/>
        <rFont val="Calibri"/>
      </rPr>
      <t xml:space="preserve"> : ERPInternats scolaires : ERP spécialisé</t>
    </r>
  </si>
  <si>
    <r>
      <rPr>
        <b/>
        <sz val="9"/>
        <rFont val="Calibri"/>
      </rPr>
      <t>Écoles maternelles ; Écoles primaires</t>
    </r>
    <r>
      <rPr>
        <sz val="9"/>
        <rFont val="Calibri"/>
      </rPr>
      <t xml:space="preserve"> : Établissements d’enseignement.Collèges ; Lycées : Établissements d’enseignement secondaire.Internats scolaires : Souvent rattachés à un établissement d’enseignement avec locaux à sommeil.</t>
    </r>
  </si>
  <si>
    <r>
      <rPr>
        <b/>
        <sz val="9"/>
        <rFont val="Calibri"/>
      </rPr>
      <t>Écoles maternelles</t>
    </r>
    <r>
      <rPr>
        <sz val="9"/>
        <rFont val="Calibri"/>
      </rPr>
      <t xml:space="preserve"> : École maternelle publiqueÉcoles primaires : École élémentaire privée ou publiqueCollèges : Collège public, collège privéLycées : Lycée général, professionnel, techniqueInternats scolaires : Internat de lycée</t>
    </r>
  </si>
  <si>
    <r>
      <rPr>
        <b/>
        <sz val="9"/>
        <rFont val="Calibri"/>
      </rPr>
      <t>Écoles maternelles ; Écoles primaires ; Collèges ; Lycées</t>
    </r>
    <r>
      <rPr>
        <sz val="9"/>
        <rFont val="Calibri"/>
      </rPr>
      <t xml:space="preserve"> : nonInternats scolaires : oui</t>
    </r>
  </si>
  <si>
    <r>
      <rPr>
        <b/>
        <sz val="9"/>
        <rFont val="Calibri"/>
      </rPr>
      <t>Écoles maternelles ; Écoles primaires</t>
    </r>
    <r>
      <rPr>
        <sz val="9"/>
        <rFont val="Calibri"/>
      </rPr>
      <t xml:space="preserve"> : série publique directe 2024 / BPE, puis ventilation encadréeCollèges : série publique directe / BPE 2024Lycées : série publique directe / BPE 2024 (LEGT + LP)Internats scolaires : proxy public partiel / annuaire des internats</t>
    </r>
  </si>
  <si>
    <r>
      <rPr>
        <b/>
        <sz val="9"/>
        <rFont val="Calibri"/>
      </rPr>
      <t>Écoles maternelles ; Écoles primaires ; Collèges ; Lycées</t>
    </r>
    <r>
      <rPr>
        <sz val="9"/>
        <rFont val="Calibri"/>
      </rPr>
      <t xml:space="preserve"> : ElevéInternats scolaires : Moyenne</t>
    </r>
  </si>
  <si>
    <r>
      <rPr>
        <b/>
        <sz val="9"/>
        <rFont val="Calibri"/>
      </rPr>
      <t>Écoles maternelles</t>
    </r>
    <r>
      <rPr>
        <sz val="9"/>
        <rFont val="Calibri"/>
      </rPr>
      <t xml:space="preserve"> : Stock institutionnel d’enseignement très administré ; les ouvertures/fermetures nettes restent limitées, d’où une variation faible.Écoles primaires : Stock institutionnel stable, avec érosion lente (démographie scolaire + regroupements écoles). Recul effectifs en 2024 (effet démographique). Baisse 2024-2030, mais moins vite que les effectifs d’élèves (carte scolaire)Collèges : Le parc de collèges est très stable à l’échelle nationale ; la faible variation reflète un stock institutionnel mature, avec peu de changements nets d’une année sur l’autre.Lycées : Le parc de lycées est un stock institutionnel très administré ; à l’échelle nationale, les ouvertures et fermetures nettes sont peu nombreuses, ce qui explique la quasi-stagnation.Internats scolaires : Le stock d’internats évolue peu à court terme ; les créations/fermetures sont rares et l’annuaire public disponible ne couvre pas de façon exhaustive tous les cas, d’où une série quasi stable.</t>
    </r>
  </si>
  <si>
    <r>
      <rPr>
        <b/>
        <sz val="9"/>
        <rFont val="Calibri"/>
      </rPr>
      <t>Écoles maternelles</t>
    </r>
    <r>
      <rPr>
        <sz val="9"/>
        <rFont val="Calibri"/>
      </rPr>
      <t xml:space="preserve"> : Ancrage BPE 2024, puis prolongement très prudent de la baisse du stock scolaire. La projection 2027-2030 reste peu dynamique. Fiabilité: moyenne.Écoles primaires : Ancrage BPE 2024, puis prolongement prudent d’un parc du premier degré très peu mobile. Projection quasi stable à légère baisse. Fiabilité: moyenne.Collèges : Série recalée sur la BPE 2024 ; le parc national de collèges évolue lentement, avec très peu d’ouvertures/fermetures nettes chaque année. Projection 2027-2030: quasi stable. Fiabilité: bonne.Lycées : Série recalée sur la BPE 2024 (LEGT + lycées professionnels/agricoles) ; le stock varie peu à l’échelle nationale. Projection 2027-2030: légère baisse. Fiabilité: bonne.Internats scolaires : Proxy révisé à partir d’un annuaire public partiel des internats ; la projection reste quasi stable faute de série exhaustive homogène. Fiabilité: moyenne.</t>
    </r>
  </si>
  <si>
    <r>
      <rPr>
        <b/>
        <sz val="9"/>
        <rFont val="Calibri"/>
      </rPr>
      <t>Écoles maternelles ; Collèges ; Lycées</t>
    </r>
    <r>
      <rPr>
        <sz val="9"/>
        <rFont val="Calibri"/>
      </rPr>
      <t xml:space="preserve"> : https://www.insee.fr/fr/statistiques/8610258?geo=FE-1Écoles primaires : https://www.insee.fr/fr/statistiques/2012708 ; https://www.education.gouv.fr/depp/les-effectifs-dans-le-premier-degre-6262-millions-d-eleves-scolarises-la-rentree-2024-452571Internats scolaires : https://www.data.gouv.fr/fr/datasets/annuaire-des-internats/</t>
    </r>
  </si>
  <si>
    <r>
      <rPr>
        <b/>
        <sz val="9"/>
        <rFont val="Calibri"/>
      </rPr>
      <t>Écoles maternelles</t>
    </r>
    <r>
      <rPr>
        <sz val="9"/>
        <rFont val="Calibri"/>
      </rPr>
      <t xml:space="preserve"> : Noyaux sanitaires enfants par classe + bloc adultes ; très peu de douches.Écoles primaires : Application d'un schéma scolaire élémentaire : blocs filles/garçons + sanitaires adultes. Très peu de douches.Collèges ; Lycées : Blocs élèves filles/garçons + sanitaires adultes + vestiaires sportifs séparés (si capacité ≥5 pers.). Très peu de douches en proportion.Internats scolaires : Blocs collectifs d'hébergement/étage ; exclusion des chambres avec sanitaires privatifs.</t>
    </r>
  </si>
  <si>
    <r>
      <rPr>
        <b/>
        <sz val="9"/>
        <rFont val="Calibri"/>
      </rPr>
      <t>Écoles maternelles</t>
    </r>
    <r>
      <rPr>
        <sz val="9"/>
        <rFont val="Calibri"/>
      </rPr>
      <t xml:space="preserve"> : Capacité type ≈ 129 enfants + 15 adultes + 6 parents/accompagnants/intervenants. Programme par noyaux sanitaires au plus près des classes, sans urinoirs ni douches. Répartition par bâtiments/petites sections justifie un léger surdimensionnement par rapport au seul ratio théorique. Calibrage selon capacité simultanée, répartition de flux et organisation réelle du site.Écoles primaires : Capacité type ≈ 225 élèves + 20 adultes + 5 accompagnants/intervenants. Base ONS : 1 WC/20 filles, 1 WC/40 garçons + 1 urinoir/20 garçons et 1 point d'eau/20 élèves ; ajout d'un petit bloc adultes et arrondi par bâtiment. Calibrage selon capacité simultanée, répartition de flux et organisation réelle du site.Collèges : Capacité type ≈ 432 apprenants + 38 adultes + 10 intervenants/visiteurs. Base scolaire dérivée du référentiel ONS pour les élèves, complétée par sanitaires adultes ; ajout de vestiaires sportifs séparés lorsqu'ils desservent au moins 5 personnes. Calibrage selon capacité simultanée, répartition de flux et organisation réelle du site.Lycées : Capacité type ≈ 549 apprenants + 49 adultes + 12 intervenants/visiteurs. Base scolaire dérivée du référentiel ONS pour les élèves, complétée par sanitaires adultes ; ajout de vestiaires sportifs séparés lorsqu'ils desservent au moins 5 personnes. Calibrage selon capacité simultanée, répartition de flux et organisation réelle du site.Internats scolaires : Capacité type ≈ 162 résidents/usagers + 14 staff + 4 accompagnants/intervenants. Hypothèse d'hébergement collectif : sanitaires d'étage et douches communes, hors chambres purement privatives. Calibrage selon capacité simultanée, répartition de flux et organisation réelle du site.</t>
    </r>
  </si>
  <si>
    <r>
      <rPr>
        <b/>
        <sz val="9"/>
        <rFont val="Calibri"/>
      </rPr>
      <t>Écoles maternelles</t>
    </r>
    <r>
      <rPr>
        <sz val="9"/>
        <rFont val="Calibri"/>
      </rPr>
      <t xml:space="preserve"> : Profil moyen, capacité moyenne ≈ 150 personnes. Moyenne pondérée terrain : parc majoritairement petits/moyens sites, grands sites intégrés sans surpondération ; usage 2025 modérée.Écoles primaires : Profil grand, capacité moyenne ≈ 250 personnes. Moyenne pondérée terrain : parc majoritairement petits/moyens sites, grands sites intégrés sans surpondération ; usage 2025 modérée.Collèges : Profil grand, capacité moyenne ≈ 480 personnes. Moyenne pondérée terrain : parc majoritairement petits/moyens sites, grands sites intégrés sans surpondération ; usage 2025 modérée.Lycées : Profil grand, capacité moyenne ≈ 610 personnes. Moyenne pondérée terrain : parc majoritairement petits/moyens sites, grands sites intégrés sans surpondération ; usage 2025 modérée.Internats scolaires : Profil moyen, capacité moyenne ≈ 180 personnes. Moyenne pondérée terrain : parc majoritairement petits/moyens sites, grands sites intégrés sans surpondération ; usage 2025 modérée.</t>
    </r>
  </si>
  <si>
    <r>
      <rPr>
        <b/>
        <sz val="9"/>
        <rFont val="Calibri"/>
      </rPr>
      <t>Écoles maternelles</t>
    </r>
    <r>
      <rPr>
        <sz val="9"/>
        <rFont val="Calibri"/>
      </rPr>
      <t xml:space="preserve"> : Usage très régulier avec nettoyage fréquent et petites dégradations usuelles. Les temporisés mécaniques gardent un avantage tangible sur les mitigeurs en environnement partagé. L'électronique est abaissée car les cellules, alimentations et réglages vieillissent plus vite que les organes purement mécaniques. Rénovation souvent par blocs lors des vacances scolaires. Enseignement intensif sous contrainte budgétaire : Pics interclasses, usage quotidien élevé, vandalisme modéré et budgets publics souvent lissés. Le temporisé et la chasse directe tiennent mieux que le manuel/réservoir en usage intensif.Écoles primaires ; Collèges : Les pics d'interclasse, le vandalisme opportuniste et les sollicitations fortes raccourcissent surtout mitigeurs et électroniques. Les temporisés mécaniques restent privilégiés car plus robustes et mieux adaptés à l'usage collectif intensif. Les remplacements se font au fil des pannes puis par campagnes lors des réhabilitations de blocs sanitaires. Enseignement intensif sous contrainte budgétaire : Pics interclasses, usage quotidien élevé, vandalisme modéré et budgets publics souvent lissés. Le temporisé et la chasse directe tiennent mieux que le manuel/réservoir en usage intensif.Lycées : Fréquentation élevée mais utilisateurs plus âgés, pics aux pauses et EPS; vandalisme moins diffus qu'au collège mais blocs plus grands. Durées proches collège, avec renouvellement par campagnes de réfection. Usage élevé mais un peu mieux réparti dans la journée. budgets hétérogènes selon établissements. Temporisés mécaniques restent au-dessus des mitigeurs en usage partagé, tandis que l'électronique est gardée plus courte à cause des capteurs, piles/secteur et cartes. Renouvellement mixte : correctif au fil de l'eau puis rénovation par bâtiment.Fréquentation soutenue mais moins agressive, rénovations périodiques et obligations de mise à niveau tertiaire.Internats scolaires : Présence jour/nuit, humidité régulière et entretien variable selon l'exploitant. Les durées restent intermédiaires : plus longues qu'en collège pur, mais plus courtes qu'en hôtellerie classique. Les technos électroniques restent pénalisées par maintenance et alimentation. Les remplacements se font souvent par lots lors de rénovation des étages ou blocs d'hébergement. Résidentiel éducatif / jeunesse : Usage résidentiel ou semi-résidentiel, douches plus sollicitées, pics saisonniers mais moindre vandalisme que le scolaire de jour.</t>
    </r>
  </si>
  <si>
    <r>
      <rPr>
        <b/>
        <sz val="9"/>
        <rFont val="Calibri"/>
      </rPr>
      <t>Écoles maternelles</t>
    </r>
    <r>
      <rPr>
        <sz val="9"/>
        <rFont val="Calibri"/>
      </rPr>
      <t xml:space="preserve"> : Sur le parc existant, les lave-mains de maternelle gardent une base importante de mitigeurs simples, mais les rénovations de blocs élèves font fortement appel au temporisé mécanique, robuste et économe.Écoles primaires : Dans les écoles primaires, le parc commun est dominé par le temporisé mécanique, recherché pour l’anti-vandalisme et les économies d’eau ; le manuel subsiste surtout dans petits blocs ou zones adultes.Collèges ; Lycées : Sur collèges, lycées et CFA, le temporisé mécanique domine nettement le parc commun, car il combine robustesse, anti-blocage et maîtrise des débits ; l’électronique monte mais reste minoritaire en stock.Internats scolaires : Dans les internats et résidences étudiantes en bloc commun, le parc existant reste partagé entre mitigeurs manuels et temporisés ; l’électronique progresse surtout dans les rénovations récentes.</t>
    </r>
  </si>
  <si>
    <r>
      <rPr>
        <b/>
        <sz val="9"/>
        <rFont val="Calibri"/>
      </rPr>
      <t>Écoles maternelles ; Écoles primaires ; Collèges ; Lycées</t>
    </r>
    <r>
      <rPr>
        <sz val="9"/>
        <rFont val="Calibri"/>
      </rPr>
      <t xml:space="preserve"> : D’ici 2030, recul modéré du mitigeur et léger recul du temporisé mécanique au profit de l’électronique dans les rénovations de blocs ; le temporisé mécanique reste néanmoins dominant pour robustesse, anti-vandalisme et maîtrise des débits.Internats scolaires : Projection prudente : progression de l’électronique surtout dans les rénovations de parties communes, mais le mitigeur et le temporisé restent centraux sur les blocs de type hébergement collectif.</t>
    </r>
  </si>
  <si>
    <r>
      <rPr>
        <b/>
        <sz val="9"/>
        <rFont val="Calibri"/>
      </rPr>
      <t>Écoles maternelles ; Écoles primaires ; Collèges ; Lycées</t>
    </r>
    <r>
      <rPr>
        <sz val="9"/>
        <rFont val="Calibri"/>
      </rPr>
      <t xml:space="preserve"> : Sans objet.Internats scolaires : Le parc de douches communes reste majoritairement mécanique/temporisé, mais une forte part de mitigeurs persiste dans les ensembles résidentiels ou réhabilités plus confort.</t>
    </r>
  </si>
  <si>
    <r>
      <rPr>
        <b/>
        <sz val="9"/>
        <rFont val="Calibri"/>
      </rPr>
      <t>Écoles maternelles ; Écoles primaires ; Collèges ; Lycées</t>
    </r>
    <r>
      <rPr>
        <sz val="9"/>
        <rFont val="Calibri"/>
      </rPr>
      <t xml:space="preserve"> : Sans objet.Internats scolaires : Progression limitée de l’électronique : les douches communes restent surtout manuelles/temporisées selon le niveau de confort recherché.</t>
    </r>
  </si>
  <si>
    <r>
      <rPr>
        <b/>
        <sz val="9"/>
        <rFont val="Calibri"/>
      </rPr>
      <t>Écoles maternelles</t>
    </r>
    <r>
      <rPr>
        <sz val="9"/>
        <rFont val="Calibri"/>
      </rPr>
      <t xml:space="preserve"> : Urinoirs retenus uniquement pour une partie du parc, surtout blocs garçons traditionnels. Mix 2025 aligné sur écoles primaires : réservoir minoritaire, chasse directe mécanique dominante, électronique encore limitée.Écoles primaires : Les urinoirs existants restent surtout en chasse directe mécanique ou en configuration collective ancienne (rampe/batterie) ; l’automatique reste minoritaire hors rénovations récentes.Collèges ; Lycées : Le parc d’urinoirs est encore surtout mécanique/direct, avec un reliquat de rampes collectives dans les ensembles anciens et une part d’automatique concentrée sur les rénovations.Internats scolaires : On retrouve un mix d’urinoirs mécaniques et de collectifs anciens, l’automatique restant secondaire dans le parc existant.</t>
    </r>
  </si>
  <si>
    <r>
      <rPr>
        <b/>
        <sz val="9"/>
        <rFont val="Calibri"/>
      </rPr>
      <t>Écoles maternelles ; Écoles primaires ; Collèges ; Lycées</t>
    </r>
    <r>
      <rPr>
        <sz val="9"/>
        <rFont val="Calibri"/>
      </rPr>
      <t xml:space="preserve"> : Baisse graduelle des réservoirs et des rampes/collectifs les plus anciens, au profit de chasses directes ; l’automatique progresse mais le mécanique reste fort pour le coût et la robustesse.Internats scolaires : Les urinoirs collectifs anciens reculent lentement ; la montée de l’automatique reste réelle mais modérée.</t>
    </r>
  </si>
  <si>
    <r>
      <rPr>
        <b/>
        <sz val="9"/>
        <rFont val="Calibri"/>
      </rPr>
      <t>Écoles maternelles</t>
    </r>
    <r>
      <rPr>
        <sz val="9"/>
        <rFont val="Calibri"/>
      </rPr>
      <t xml:space="preserve"> : La majorité du stock reste en réservoir ; la chasse directe progresse en rénovation de blocs scolaires mais demeure minoritaire à l’échelle du parc.Écoles primaires : Le parc WC reste mixte, avec une majorité de réservoirs hérités et une part significative de chasses directes dans les blocs rénovés.Collèges ; Lycées : Le parc WC est presque à l’équilibre entre réservoir et chasse directe, cette dernière étant mieux adaptée aux usages intensifs des ERP scolaires ; l’électronique reste de niche.Internats scolaires : Les WC à réservoir restent majoritaires sur ce parc de type hébergement collectif ; la chasse directe progresse mais reste minoritaire à l’échelle du stock.</t>
    </r>
  </si>
  <si>
    <r>
      <rPr>
        <b/>
        <sz val="9"/>
        <rFont val="Calibri"/>
      </rPr>
      <t>Écoles maternelles ; Écoles primaires ; Collèges ; Lycées</t>
    </r>
    <r>
      <rPr>
        <sz val="9"/>
        <rFont val="Calibri"/>
      </rPr>
      <t xml:space="preserve"> : Le réservoir recule progressivement dans les blocs rénovés au profit de la chasse directe, avec une percée encore mesurée de l’électronique.Internats scolaires : Le parc reste plutôt résidentiel/collectif : le réservoir demeure dominant, avec une progression graduelle de la chasse directe.</t>
    </r>
  </si>
  <si>
    <r>
      <rPr>
        <b/>
        <sz val="9"/>
        <rFont val="Calibri"/>
      </rPr>
      <t>Écoles maternelles ; Écoles primaires</t>
    </r>
    <r>
      <rPr>
        <sz val="9"/>
        <rFont val="Calibri"/>
      </rPr>
      <t xml:space="preserve"> : 87,3% retenu : travaux souvent menés par lots pendant les vacances, tirés par rénovation thermique/salubrité, mais freinés par les arbitrages communaux et les calendriers d’exploitation.Collèges ; Lycées : 88,4% retenu : travaux souvent menés par lots pendant les vacances, tirés par rénovation thermique/salubrité, mais freinés par les arbitrages communaux et les calendriers d’exploitation.Internats scolaires : 85,1% retenu : la fréquentation soutient le besoin, mais la matérialisation dépend fortement des programmes de concession/exploitation.</t>
    </r>
  </si>
  <si>
    <r>
      <rPr>
        <b/>
        <sz val="9"/>
        <rFont val="Calibri"/>
      </rPr>
      <t>Écoles maternelles</t>
    </r>
    <r>
      <rPr>
        <sz val="9"/>
        <rFont val="Calibri"/>
      </rPr>
      <t xml:space="preserve"> : Potentiel rénovation très élevé : très porté par EduRénov, l’adaptation aux vagues de chaleur, l’accessibilité et la remise à niveau de blocs souvent anciens. Les volumes restent d’abord tirés par les WC et les lavabos, plus que par les postes spécialisés. En rénovation, le marché reste favorable aux gammes robustes et simples d’entretien, compatibles avec des chantiers par tranches et des budgets contraints.Écoles primaires : Potentiel rénovation très élevé : très porté par EduRénov, l’adaptation aux vagues de chaleur, l’accessibilité et la remise à niveau de blocs souvent anciens.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contraints.Collèges ; Lycées : Potentiel rénovation très élevé : bâtiments souvent énergivores, vestiaires EPS et sanitaires fortement sollicités, avec chantiers programmés pendant les vacances.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contraints.Internats scolaires : Potentiel rénovation élevé : salles d’eau et blocs sanitaires très usés par l’hébergement, avec exigences de confort, sécurité et attractivité. La douche pèse au-dessus de la moyenne, avec des contraintes d’humidité, de corrosion et d’entretien qui accélèrent le remplacement. En rénovation, le marché reste favorable aux gammes robustes et simples d’entretien, compatibles avec des chantiers par tranches et des budgets contraints.</t>
    </r>
  </si>
  <si>
    <r>
      <rPr>
        <b/>
        <sz val="9"/>
        <rFont val="Calibri"/>
      </rPr>
      <t>Écoles maternelles ; Écoles primaires</t>
    </r>
    <r>
      <rPr>
        <sz val="9"/>
        <rFont val="Calibri"/>
      </rPr>
      <t xml:space="preserve"> : Potentiel neuf faible : surtout concentré sur les regroupements scolaires, reconstructions et zones de croissance résidentielle. La baisse ou la stagnation démographique bride toutefois la diffusion du neuf au niveau national. Le neuf est quasi nul dans le modèle et renvoie surtout à des reconstructions ou remplacements de sites.Collèges : Potentiel neuf faible : reconstructions lourdes, extensions et créations ciblées selon la carte scolaire et les besoins territoriaux des départements. Le neuf est quasi nul dans le modèle et renvoie surtout à des reconstructions ou remplacements de sites.Lycées : Potentiel neuf faible : reconstructions lourdes, extensions et créations ciblées selon la carte scolaire et les besoins territoriaux des régions. Le neuf est quasi nul dans le modèle et renvoie surtout à des reconstructions ou remplacements de sites.Internats scolaires : Potentiel neuf faible à moyen : porté par quelques internats/reconstructions et surtout par la tension de logement étudiant pour les résidences. Le neuf est très minoritaire et opportuniste.</t>
    </r>
  </si>
  <si>
    <r>
      <rPr>
        <b/>
        <sz val="9"/>
        <rFont val="Calibri"/>
      </rPr>
      <t>Écoles maternelles ; Écoles primaires</t>
    </r>
    <r>
      <rPr>
        <sz val="9"/>
        <rFont val="Calibri"/>
      </rPr>
      <t xml:space="preserve"> : Projets phares réno : réhabilitation des sanitaires élèves/personnel, amélioration de ventilation, accessibilité, reprise des vestiaires éventuels et rénovation énergétique des écoles.Collèges ; Lycées : Projets phares réno : blocs sanitaires élèves/personnel, vestiaires EPS, accessibilité, confort d’été et rénovation énergétique globale des établissements.Internats scolaires : Projets phares réno : chambres, sanitaires d’étage, douches, blocs PMR et modernisation énergétique des bâtiments d’hébergement.</t>
    </r>
  </si>
  <si>
    <r>
      <rPr>
        <b/>
        <sz val="9"/>
        <rFont val="Calibri"/>
      </rPr>
      <t>Écoles maternelles ; Écoles primaires</t>
    </r>
    <r>
      <rPr>
        <sz val="9"/>
        <rFont val="Calibri"/>
      </rPr>
      <t xml:space="preserve"> : Projets phares neuf : groupes scolaires, extensions ponctuelles, reconstructions après fermeture/remplacement de sites, opérations ANRU et projets de quartier.Collèges ; Lycées : Projets phares neuf : collèges/lycées reconstruits, internats, extensions de capacité, opérations liées à la croissance locale ou à la reconfiguration de la carte scolaire.Internats scolaires : Projets phares neuf : internats reconstruits, résidences étudiantes nouvelles, extensions de capacité ou opérations mixtes avec campus.</t>
    </r>
  </si>
  <si>
    <r>
      <rPr>
        <b/>
        <sz val="9"/>
        <rFont val="Calibri"/>
      </rPr>
      <t>Écoles maternelles ; Écoles primaires</t>
    </r>
    <r>
      <rPr>
        <sz val="9"/>
        <rFont val="Calibri"/>
      </rPr>
      <t xml:space="preserve"> : Dynamique réno 2026-2030 : structurellement forte, car le parc public est vaste et les enjeux de confort d’été/énergie rendent les blocs humides difficilement évitables dans les programmes de travaux. Menaces : séquençage budgétaire communal et capacité d’ingénierie.Collèges ; Lycées : Dynamique réno 2026-2030 : élevée, soutenue par les obligations énergétiques, le confort d’usage et la rotation importante des équipements. Menaces : arbitrages des collectivités et décalages de calendrier.Internats scolaires : Dynamique réno 2026-2030 : élevée, car l’hébergement rend visibles l’obsolescence et le confort insuffisant. Menaces : exploitation continue, phasage et arbitrages publics.</t>
    </r>
  </si>
  <si>
    <r>
      <rPr>
        <b/>
        <sz val="9"/>
        <rFont val="Calibri"/>
      </rPr>
      <t>Écoles maternelles ; Écoles primaires</t>
    </r>
    <r>
      <rPr>
        <sz val="9"/>
        <rFont val="Calibri"/>
      </rPr>
      <t xml:space="preserve"> : Dynamique neuf 2026-2030 : faible à modérée et très localisée ; les projets existent, mais le ralentissement démographique dans une partie du territoire et la priorité donnée à la rénovation limitent les volumes.Collèges ; Lycées : Dynamique neuf 2026-2030 : modérée et très sélective ; les projets lourds existent mais restent peu nombreux, avec un fort écart entre intentions politiques et mises en chantier effectives.Internats scolaires : Dynamique neuf 2026-2030 : plus réelle que dans le scolaire classique, mais concentrée sur quelques pôles d’attractivité et opérateurs. Menaces : coût de sortie, montage immobilier et sélectivité des financements.</t>
    </r>
  </si>
  <si>
    <r>
      <rPr>
        <b/>
        <sz val="9"/>
        <rFont val="Calibri"/>
      </rPr>
      <t>Écoles maternelles</t>
    </r>
    <r>
      <rPr>
        <sz val="9"/>
        <rFont val="Calibri"/>
      </rPr>
      <t xml:space="preserve"> ; </t>
    </r>
    <r>
      <rPr>
        <b/>
        <sz val="9"/>
        <rFont val="Calibri"/>
      </rPr>
      <t>Écoles primaires</t>
    </r>
    <r>
      <rPr>
        <sz val="9"/>
        <rFont val="Calibri"/>
      </rPr>
      <t xml:space="preserve"> : </t>
    </r>
    <r>
      <rPr>
        <sz val="9"/>
        <rFont val="Calibri"/>
      </rPr>
      <t>https://www.banquedesterritoires.fr/plan-renovation-energetique-batiments-publics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https://www.insee.fr/fr/statistiques/8906564Collèges ; Lycées : https://www.banquedesterritoires.fr/plan-renovation-energetique-batiments-publics
https://www.ecologie.gouv.fr/eco-energie-tertiaire-eet
https://www.agencedusport.fr/plan-5000-equipements-generation-2024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https://www.insee.fr/fr/statistiques/8906564Internats scolaires : https://www.banquedesterritoires.fr/plan-renovation-energetique-batiments-publics
https://www.ecologie.gouv.fr/eco-energie-tertiaire-eet
https://www.statistiques.developpement-durable.gouv.fr/construction-de-locaux-resultats-fin-janvier-2026-france-entiere
https://www.insee.fr/fr/statistiques/8671745
https://www.insee.fr/fr/statistiques/8906564</t>
    </r>
  </si>
  <si>
    <r>
      <rPr>
        <b/>
        <sz val="9"/>
        <rFont val="Calibri"/>
      </rPr>
      <t>Écoles maternelles ; Écoles primaires ; Collèges ; Lycées</t>
    </r>
    <r>
      <rPr>
        <sz val="9"/>
        <rFont val="Calibri"/>
      </rPr>
      <t xml:space="preserve"> : ÉlevéeInternats scolaires : Moyenne+</t>
    </r>
  </si>
  <si>
    <r>
      <rPr>
        <b/>
        <sz val="9"/>
        <rFont val="Calibri"/>
      </rPr>
      <t>Écoles maternelles ; Écoles primaires</t>
    </r>
    <r>
      <rPr>
        <sz val="9"/>
        <rFont val="Calibri"/>
      </rPr>
      <t xml:space="preserve"> : Parc existant surtout standard. Les ventes restent proches du parc, centré sur standard, du fait de budgets et de rénovations menées surtout par lots. La rénovation restant majoritaire, le mix de ventes reste proche du parc et monte surtout d’un cran sur les opérations lourdes. Parc public très diffus, piloté par robustesse, maintenance et rénovation par lots (énergie/accessibilité/vestiaires), ce qui maintient un mix surtout entrée-standard avec légère montée en standard/intermédiaire en neuf.Collèges ; Lycées : Parc existant surtout standard. Les ventes restent proches du parc, centré sur standard, du fait de budgets et de rénovations menées surtout par lots. La rénovation restant majoritaire, le mix de ventes reste proche du parc et monte surtout d’un cran sur les opérations lourdes.Internats scolaires : Parc existant surtout intermédiaire. Les ventes se décalent légèrement vers intermédiaire, du fait de budgets et de rénovations menées surtout par lots. La rénovation restant majoritaire, le mix de ventes reste proche du parc et monte surtout d’un cran sur les opérations lourdes. Présence d’hébergement et d’espaces semi-résidentiels : niveau de confort supérieur au scolaire pur, mais budgets encore serrés et rénovations souvent réalisées par vagues.</t>
    </r>
  </si>
  <si>
    <r>
      <rPr>
        <b/>
        <sz val="9"/>
        <rFont val="Calibri"/>
      </rPr>
      <t>Écoles maternelles</t>
    </r>
    <r>
      <rPr>
        <sz val="9"/>
        <rFont val="Calibri"/>
      </rPr>
      <t xml:space="preserve"> : ±4 ptsÉcoles primaires ; Collèges ; Lycées : ±3 ptsInternats scolaires : ±5 pts</t>
    </r>
  </si>
  <si>
    <r>
      <rPr>
        <b/>
        <sz val="9"/>
        <rFont val="Calibri"/>
      </rPr>
      <t>Écoles maternelles</t>
    </r>
    <r>
      <rPr>
        <sz val="9"/>
        <rFont val="Calibri"/>
      </rPr>
      <t xml:space="preserve"> : BonneÉcoles primaires ; Collèges ; Lycées : Très bonneInternats scolaires : Moyenne +</t>
    </r>
  </si>
  <si>
    <r>
      <rPr>
        <b/>
        <sz val="9"/>
        <rFont val="Calibri"/>
      </rPr>
      <t>Écoles maternelles ; Écoles primaires ; Collèges ; Lycées</t>
    </r>
    <r>
      <rPr>
        <sz val="9"/>
        <rFont val="Calibri"/>
      </rPr>
      <t xml:space="preserve"> : Parc public très diffus, piloté par robustesse, maintenance et rénovation par lots (énergie/accessibilité/vestiaires), ce qui maintient un mix surtout entrée-standard avec légère montée en standard/intermédiaire en neuf.Internats scolaires : Présence d’hébergement et d’espaces semi-résidentiels : niveau de confort supérieur au scolaire pur, mais budgets encore serrés et rénovations souvent réalisées par vagues.</t>
    </r>
  </si>
  <si>
    <r>
      <rPr>
        <b/>
        <sz val="9"/>
        <rFont val="Calibri"/>
      </rPr>
      <t>Écoles maternelles</t>
    </r>
    <r>
      <rPr>
        <sz val="9"/>
        <rFont val="Calibri"/>
      </rPr>
      <t xml:space="preserve"> : rénovation dominante ⇒ progression graduelleÉcoles primaires ; Collèges ; Lycées ; Internats scolaires : poids du neuf significatif ⇒ premiumisation des ventes &gt; parc</t>
    </r>
  </si>
  <si>
    <r>
      <rPr>
        <b/>
        <sz val="9"/>
        <rFont val="Calibri"/>
      </rPr>
      <t>Écoles maternelles</t>
    </r>
    <r>
      <rPr>
        <sz val="9"/>
        <rFont val="Calibri"/>
      </rPr>
      <t xml:space="preserve"> : Écoles maternelles : parc communal très diffus et rénovations souvent couplées aux travaux d’école. Ventes 2026-2030 : glissement vers davantage de moyen / premium, surtout sur lavabo (+4,4 pts sur premium+luxe), douche (+4,4 pts sur premium+luxe), WC (+4,0 pts sur premium+luxe). La rénovation reste majoritaire (79% des ventes, contre 21% en neuf) ; le neuf tire le mix vers le haut sans renverser le centre de gravité. L’écart de niveau de confort entre neuf et rénovation est net.Écoles primaires : Écoles primaires : arbitrages municipaux orientés robustesse, maintenance et coût global. Ventes 2026-2030 : glissement vers davantage de moyen / premium, surtout sur lavabo (+5,0 pts sur premium+luxe), douche (+5,0 pts sur premium+luxe), WC (+4,6 pts sur premium+luxe). La rénovation reste majoritaire (74% des ventes, contre 26% en neuf) ; le neuf tire le mix vers le haut sans renverser le centre de gravité. L’écart de niveau de confort entre neuf et rénovation est net.Collèges : Ventes 2026-2030 : glissement vers davantage de moyen / premium, surtout sur lavabo (+4,5 pts sur premium+luxe), douche (+4,5 pts sur premium+luxe), WC (+4,1 pts sur premium+luxe). La rénovation reste majoritaire (73% des ventes, contre 27% en neuf) ; le neuf tire le mix vers le haut sans renverser le centre de gravité. L’écart de niveau de confort entre neuf et rénovation est net.Lycées : Ventes 2026-2030 : glissement vers davantage de moyen / premium, surtout sur lavabo (+4,9 pts sur premium+luxe), douche (+4,9 pts sur premium+luxe), WC (+4,5 pts sur premium+luxe). La rénovation reste majoritaire (73% des ventes, contre 27% en neuf) ; le neuf tire le mix vers le haut sans renverser le centre de gravité. L’écart de niveau de confort entre neuf et rénovation est net.Internats scolaires : Internats scolaires : présence de chambres et blocs douche collectifs rapproche le parc d’une logique semi-résidentielle. Ventes 2026-2030 : glissement vers davantage de moyen / premium, surtout sur douche (+17,7 pts sur premium+luxe), WC (+16,3 pts sur premium+luxe), lavabo (+15,1 pts sur premium+luxe). La rénovation reste majoritaire (73% des ventes, contre 27% en neuf) ; le neuf tire le mix vers le haut sans renverser le centre de gravité. L’écart de niveau de confort entre neuf et rénovation est net.</t>
    </r>
  </si>
  <si>
    <t>1 - Universités
2 - Grandes écoles
3 - Résidences étudiantes et dortoirs</t>
  </si>
  <si>
    <r>
      <rPr>
        <b/>
        <sz val="9"/>
        <rFont val="Calibri"/>
      </rPr>
      <t>Universités ; Grandes écoles</t>
    </r>
    <r>
      <rPr>
        <sz val="9"/>
        <rFont val="Calibri"/>
      </rPr>
      <t xml:space="preserve"> : ERPRésidences étudiantes et dortoirs : Cas particulier</t>
    </r>
  </si>
  <si>
    <r>
      <rPr>
        <b/>
        <sz val="9"/>
        <rFont val="Calibri"/>
      </rPr>
      <t>Universités ; Grandes écoles</t>
    </r>
    <r>
      <rPr>
        <sz val="9"/>
        <rFont val="Calibri"/>
      </rPr>
      <t xml:space="preserve"> : ERPRésidences étudiantes et dortoirs : mixte</t>
    </r>
  </si>
  <si>
    <r>
      <rPr>
        <b/>
        <sz val="9"/>
        <rFont val="Calibri"/>
      </rPr>
      <t>Universités ; Grandes écoles</t>
    </r>
    <r>
      <rPr>
        <sz val="9"/>
        <rFont val="Calibri"/>
      </rPr>
      <t xml:space="preserve"> : ouiRésidences étudiantes et dortoirs : variable</t>
    </r>
  </si>
  <si>
    <r>
      <rPr>
        <b/>
        <sz val="9"/>
        <rFont val="Calibri"/>
      </rPr>
      <t>Universités</t>
    </r>
    <r>
      <rPr>
        <sz val="9"/>
        <rFont val="Calibri"/>
      </rPr>
      <t xml:space="preserve"> : Enseignement supérieur / amphithéâtres / salles de cours.Grandes écoles : Établissements d’enseignement supérieur.Résidences étudiantes et dortoirs : Selon exploitation réelle, sommeil et espaces collectifs ouverts au public.</t>
    </r>
  </si>
  <si>
    <r>
      <rPr>
        <b/>
        <sz val="9"/>
        <rFont val="Calibri"/>
      </rPr>
      <t>Universités</t>
    </r>
    <r>
      <rPr>
        <sz val="9"/>
        <rFont val="Calibri"/>
      </rPr>
      <t xml:space="preserve"> : Campus universitaireGrandes écoles : École d’ingénieurs, école de commerceRésidences étudiantes et dortoirs : Résidence CROUS, foyer étudiant</t>
    </r>
  </si>
  <si>
    <r>
      <rPr>
        <b/>
        <sz val="9"/>
        <rFont val="Calibri"/>
      </rPr>
      <t>Universités ; Grandes écoles</t>
    </r>
    <r>
      <rPr>
        <sz val="9"/>
        <rFont val="Calibri"/>
      </rPr>
      <t xml:space="preserve"> : nonRésidences étudiantes et dortoirs : oui</t>
    </r>
  </si>
  <si>
    <r>
      <rPr>
        <b/>
        <sz val="9"/>
        <rFont val="Calibri"/>
      </rPr>
      <t>Universités</t>
    </r>
    <r>
      <rPr>
        <sz val="9"/>
        <rFont val="Calibri"/>
      </rPr>
      <t xml:space="preserve"> : ElevéGrandes écoles ; Résidences étudiantes et dortoirs : Moyenne</t>
    </r>
  </si>
  <si>
    <r>
      <rPr>
        <b/>
        <sz val="9"/>
        <rFont val="Calibri"/>
      </rPr>
      <t>Universités</t>
    </r>
    <r>
      <rPr>
        <sz val="9"/>
        <rFont val="Calibri"/>
      </rPr>
      <t xml:space="preserve"> : Stock institutionnel d’enseignement très administré ; les ouvertures/fermetures nettes restent limitées, d’où une variation faible.Grandes écoles ; Résidences étudiantes et dortoirs : Pas de stagnation structurelle : la série évolue à la hausse sur la période 2000-2026 ; la projection prolonge cette tendance avec prudence.</t>
    </r>
  </si>
  <si>
    <r>
      <rPr>
        <b/>
        <sz val="9"/>
        <rFont val="Calibri"/>
      </rPr>
      <t>Universités</t>
    </r>
    <r>
      <rPr>
        <sz val="9"/>
        <rFont val="Calibri"/>
      </rPr>
      <t xml:space="preserve"> : proxy par nombre d’universités et établissements assimilés. Dynamique projetée 2027-2030: quasi stable. Fiabilité: moyenne.Grandes écoles : proxy sur établissements publics/privés du supérieur. Dynamique projetée 2027-2030: hausse légère. Fiabilité: moyenne.Résidences étudiantes et dortoirs : proxy fondé sur CROUS et opérateurs privés. Dynamique projetée 2027-2030: hausse modérée. Fiabilité: moyenne.</t>
    </r>
  </si>
  <si>
    <r>
      <rPr>
        <b/>
        <sz val="9"/>
        <rFont val="Calibri"/>
      </rPr>
      <t>Universités ; Résidences étudiantes et dortoirs</t>
    </r>
    <r>
      <rPr>
        <sz val="9"/>
        <rFont val="Calibri"/>
      </rPr>
      <t xml:space="preserve"> : https://www.enseignementsup-recherche.gouv.fr/fr/effectifs-universitaires-en-2024-2025-99301Grandes écoles : https://data.enseignementsup-recherche.gouv.fr/explore/assets/fr-esr-statistiques-sur-les-effectifs-d-etudiants-inscrits-par-etablissement-hcp/</t>
    </r>
  </si>
  <si>
    <r>
      <rPr>
        <b/>
        <sz val="9"/>
        <rFont val="Calibri"/>
      </rPr>
      <t>Universités ; Grandes écoles</t>
    </r>
    <r>
      <rPr>
        <sz val="9"/>
        <rFont val="Calibri"/>
      </rPr>
      <t xml:space="preserve"> : Programme de campus : sanitaires publics répartis par bâtiments d'enseignement, hors résidences.Résidences étudiantes et dortoirs : Blocs collectifs d'hébergement/étage ; exclusion des chambres avec sanitaires privatifs.</t>
    </r>
  </si>
  <si>
    <r>
      <rPr>
        <b/>
        <sz val="9"/>
        <rFont val="Calibri"/>
      </rPr>
      <t>Universités</t>
    </r>
    <r>
      <rPr>
        <sz val="9"/>
        <rFont val="Calibri"/>
      </rPr>
      <t xml:space="preserve"> : Capacité type ≈ 10320 usagers + 1200 staff + 480 visiteurs/intervenants/prestataires présents. Dimensionnement par batteries sanitaires de bâtiments d'enseignement, bibliothèques, restauration et administration, sans résidences ; quelques douches conservées pour sport/maintenance. Calibrage selon capacité simultanée, répartition de flux et organisation réelle du site.Grandes écoles : Capacité type ≈ 1290 usagers + 150 staff + 60 visiteurs/intervenants/prestataires présents. Dimensionnement par batteries sanitaires de bâtiments d'enseignement, bibliothèques, restauration et administration, sans résidences ; quelques douches conservées pour sport/maintenance. Calibrage selon capacité simultanée, répartition de flux et organisation réelle du site.Résidences étudiantes et dortoirs : Capacité type ≈ 162 résidents/usagers + 14 staff + 4 visiteurs/intervenants. Hypothèse d'hébergement collectif : sanitaires d'étage et douches communes, hors chambres purement privatives. Calibrage selon capacité simultanée, répartition de flux et organisation réelle du site.</t>
    </r>
  </si>
  <si>
    <r>
      <rPr>
        <b/>
        <sz val="9"/>
        <rFont val="Calibri"/>
      </rPr>
      <t>Universités</t>
    </r>
    <r>
      <rPr>
        <sz val="9"/>
        <rFont val="Calibri"/>
      </rPr>
      <t xml:space="preserve"> : Profil très grand, capacité moyenne ≈ 12000 personnes. Moyenne pondérée terrain : parc majoritairement petits/moyens sites, grands sites intégrés sans surpondération ; usage 2025 modérée.Grandes écoles : Profil très grand, capacité moyenne ≈ 1500 personnes. Moyenne pondérée terrain : parc majoritairement petits/moyens sites, grands sites intégrés sans surpondération ; usage 2025 modérée.Résidences étudiantes et dortoirs : Profil moyen, capacité moyenne ≈ 180 personnes. Moyenne pondérée terrain : parc majoritairement petits/moyens sites, grands sites intégrés sans surpondération ; usage 2025 modérée.</t>
    </r>
  </si>
  <si>
    <r>
      <rPr>
        <b/>
        <sz val="9"/>
        <rFont val="Calibri"/>
      </rPr>
      <t>Universités</t>
    </r>
    <r>
      <rPr>
        <sz val="9"/>
        <rFont val="Calibri"/>
      </rPr>
      <t xml:space="preserve"> : Usage élevé mais un peu mieux réparti dans la journée. budgets hétérogènes selon les campus. Les temporisés mécaniques restent au-dessus des mitigeurs en usage partagé, tandis que l'électronique est gardée plus courte à cause des capteurs, piles/secteur et cartes. Renouvellement mixte : correctif au fil de l'eau puis rénovation par bâtiment. Campus tertiaire / enseignement supérieur : Usage adulte, fréquentation soutenue mais moins agressive, rénovations périodiques de campus et obligations de mise à niveau tertiaire.Grandes écoles : Usage adulte, campus mieux maintenu et rénovations patrimoniales plus régulières; pics présents mais moins agressifs qu'université ouverte. Durées proches universités, sécurisées par entretien et budgets ciblés. Renouvellement mixte : correctif au fil de l'eau puis rénovation par bâtiment. Campus tertiaire / enseignement supérieur : Usage adulte, fréquentation soutenue mais moins agressive, rénovations périodiques de campus et obligations de mise à niveau tertiaire.Repères durées: lavabos 13/14/10 ans (mit./méca/élec.), douches 13/12/9, urinoirs 11/14/10/12, WC 12/14/11.Résidences étudiantes et dortoirs : Usage partagé régulier, vandalisme limité et maintenance patrimoniale classique. Les temporisés mécaniques restent légèrement au-dessus des mitigeurs car l'oubli de fermeture et l'usure des cartouches jouent moins. L'électronique est plus courte surtout pour des raisons de capteurs, piles/secteur et réglages. Rénovation mixte, plutôt opportuniste puis par lots lors des travaux. Loisirs jeunesse / usage saisonnier : Fréquentation par pics, usage parfois extérieur/saisonnier, surveillance variable et maintenance souvent concentrée hors saison.</t>
    </r>
  </si>
  <si>
    <r>
      <rPr>
        <b/>
        <sz val="9"/>
        <rFont val="Calibri"/>
      </rPr>
      <t>Universités ; Grandes écoles</t>
    </r>
    <r>
      <rPr>
        <sz val="9"/>
        <rFont val="Calibri"/>
      </rPr>
      <t xml:space="preserve"> : Le parc universitaire/grandes écoles est plus mixte : temporisé mécanique et électronique coexistent largement dans les sanitaires communs, l’électronique étant plus présente que dans le scolaire grâce aux rénovations tertiaires/campus.Résidences étudiantes et dortoirs : Dans les internats et résidences étudiantes en bloc commun, le parc existant reste partagé entre mitigeurs manuels et temporisés ; l’électronique progresse surtout dans les rénovations récentes.</t>
    </r>
  </si>
  <si>
    <r>
      <rPr>
        <b/>
        <sz val="9"/>
        <rFont val="Calibri"/>
      </rPr>
      <t>Universités ; Grandes écoles</t>
    </r>
    <r>
      <rPr>
        <sz val="9"/>
        <rFont val="Calibri"/>
      </rPr>
      <t xml:space="preserve"> : Les campus basculent plus vite que le scolaire vers l’électronique sur les rénovations 2025-2030, tout en gardant un socle temporisé mécanique dans les zones les plus intensives.Résidences étudiantes et dortoirs : Projection prudente : progression de l’électronique surtout dans les rénovations de parties communes, mais le mitigeur et le temporisé restent centraux sur les blocs de type hébergement collectif.</t>
    </r>
  </si>
  <si>
    <r>
      <rPr>
        <b/>
        <sz val="9"/>
        <rFont val="Calibri"/>
      </rPr>
      <t>Universités ; Grandes écoles</t>
    </r>
    <r>
      <rPr>
        <sz val="9"/>
        <rFont val="Calibri"/>
      </rPr>
      <t xml:space="preserve"> : Quand il existe des douches communes, le temporisé mécanique domine encore, mais l’électronique apparaît dans les rénovations plus récentes.Résidences étudiantes et dortoirs : Le parc de douches communes reste majoritairement mécanique/temporisé, mais une forte part de mitigeurs persiste dans les ensembles résidentiels ou réhabilités plus confort.</t>
    </r>
  </si>
  <si>
    <r>
      <rPr>
        <b/>
        <sz val="9"/>
        <rFont val="Calibri"/>
      </rPr>
      <t>Universités ; Grandes écoles</t>
    </r>
    <r>
      <rPr>
        <sz val="9"/>
        <rFont val="Calibri"/>
      </rPr>
      <t xml:space="preserve"> : Les douches communes de campus gagnent un peu d’électronique, mais le temporisé mécanique reste dominant pour le coût et la tenue en usage collectif.Résidences étudiantes et dortoirs : Progression limitée de l’électronique : les douches communes restent surtout manuelles/temporisées selon le niveau de confort recherché.</t>
    </r>
  </si>
  <si>
    <r>
      <rPr>
        <b/>
        <sz val="9"/>
        <rFont val="Calibri"/>
      </rPr>
      <t>Universités ; Grandes écoles</t>
    </r>
    <r>
      <rPr>
        <sz val="9"/>
        <rFont val="Calibri"/>
      </rPr>
      <t xml:space="preserve"> : Les urinoirs basculent progressivement vers l’automatique dans les bâtiments récents, mais le parc installé reste encore largement partagé avec la chasse directe mécanique.Résidences étudiantes et dortoirs : On retrouve un mix d’urinoirs mécaniques et de collectifs anciens, l’automatique restant secondaire dans le parc existant.</t>
    </r>
  </si>
  <si>
    <r>
      <rPr>
        <b/>
        <sz val="9"/>
        <rFont val="Calibri"/>
      </rPr>
      <t>Universités ; Grandes écoles</t>
    </r>
    <r>
      <rPr>
        <sz val="9"/>
        <rFont val="Calibri"/>
      </rPr>
      <t xml:space="preserve"> : Les campus basculent plus vite vers l’automatique sur les rénovations, avec recul des réservoirs et des systèmes collectifs anciens.Résidences étudiantes et dortoirs : Les urinoirs collectifs anciens reculent lentement ; la montée de l’automatique reste réelle mais modérée.</t>
    </r>
  </si>
  <si>
    <r>
      <rPr>
        <b/>
        <sz val="9"/>
        <rFont val="Calibri"/>
      </rPr>
      <t>Universités ; Grandes écoles</t>
    </r>
    <r>
      <rPr>
        <sz val="9"/>
        <rFont val="Calibri"/>
      </rPr>
      <t xml:space="preserve"> : La chasse directe domine déjà le parc commun, avec une part non négligeable d’électronique dans les campus récents ou premium ; le réservoir reste présent dans les bâtiments plus anciens.Résidences étudiantes et dortoirs : Les WC à réservoir restent majoritaires sur ce parc de type hébergement collectif ; la chasse directe progresse mais reste minoritaire à l’échelle du stock.</t>
    </r>
  </si>
  <si>
    <r>
      <rPr>
        <b/>
        <sz val="9"/>
        <rFont val="Calibri"/>
      </rPr>
      <t>Universités ; Grandes écoles</t>
    </r>
    <r>
      <rPr>
        <sz val="9"/>
        <rFont val="Calibri"/>
      </rPr>
      <t xml:space="preserve"> : La chasse directe et l’électronique progressent sur les rénovations lourdes de campus ; le réservoir continue de reculer.Résidences étudiantes et dortoirs : Le parc reste plutôt résidentiel/collectif : le réservoir demeure dominant, avec une progression graduelle de la chasse directe.</t>
    </r>
  </si>
  <si>
    <r>
      <rPr>
        <b/>
        <sz val="9"/>
        <rFont val="Calibri"/>
      </rPr>
      <t>Universités</t>
    </r>
    <r>
      <rPr>
        <sz val="9"/>
        <rFont val="Calibri"/>
      </rPr>
      <t xml:space="preserve"> : 86,2% retenu : matérialisation élevée grâce aux opérations campus et restructurations, avec toutefois des phasages longs et des arbitrages budgétaires.Grandes écoles : 85,1% retenu : travaux souvent menés par lots pendant les vacances, tirés par rénovation thermique/salubrité, mais freinés par les arbitrages communaux et les calendriers d’exploitation.Résidences étudiantes et dortoirs : 85,1% retenu : part des besoins réellement transformée en travaux sur 2026-2030 après prise en compte des budgets, du phasage et des arbitrages locaux.</t>
    </r>
  </si>
  <si>
    <r>
      <rPr>
        <b/>
        <sz val="9"/>
        <rFont val="Calibri"/>
      </rPr>
      <t>Universités ; Grandes écoles</t>
    </r>
    <r>
      <rPr>
        <sz val="9"/>
        <rFont val="Calibri"/>
      </rPr>
      <t xml:space="preserve"> : Potentiel rénovation élevé : modernisation de campus, bâtiments d’enseignement, bibliothèques et vie étudiante, souvent dans des patrimoines vieillissants. Les lavabos et les WC portent l’essentiel des volumes, avec un poids secondaire des équipements spécialisés. En rénovation, le marché reste favorable aux gammes robustes et simples d’entretien, compatibles avec des chantiers par tranches et des budgets contraints.Résidences étudiantes et dortoirs : Potentiel rénovation élevé : salles d’eau et blocs sanitaires très usés par l’hébergement, avec exigences de confort, sécurité et attractivité. La douche pèse au-dessus de la moyenne, avec des contraintes d’humidité, de corrosion et d’entretien qui accélèrent le remplacement. En rénovation, le marché reste orienté vers des gammes fiables, disponibles et rapides à poser afin de limiter l’arrêt d’exploitation.</t>
    </r>
  </si>
  <si>
    <r>
      <rPr>
        <b/>
        <sz val="9"/>
        <rFont val="Calibri"/>
      </rPr>
      <t>Universités</t>
    </r>
    <r>
      <rPr>
        <sz val="9"/>
        <rFont val="Calibri"/>
      </rPr>
      <t xml:space="preserve"> : Potentiel neuf faible : opérations sélectives de campus, laboratoires, bâtiments pédagogiques et résidences étudiantes. Les campus universitaires souffrent souvent d’un patrimoine plus diffus, ancien et complexe à rénover. Le neuf est quasi nul dans le modèle et renvoie surtout à des reconstructions ou remplacements de sites.Grandes écoles : Potentiel neuf moyen : opérations sélectives de campus, laboratoires, bâtiments pédagogiques et résidences étudiantes. Les grandes écoles bénéficient parfois de décisions plus rapides lorsque la gouvernance et le financement sont concentrés. Le neuf est réel mais secondaire.Résidences étudiantes et dortoirs : Potentiel neuf moyen à soutenu : porté par quelques internats/reconstructions et surtout par la tension de logement étudiant pour les résidences. Le neuf est significatif mais encore nettement inférieur à la rénovation.</t>
    </r>
  </si>
  <si>
    <r>
      <rPr>
        <b/>
        <sz val="9"/>
        <rFont val="Calibri"/>
      </rPr>
      <t>Universités ; Grandes écoles</t>
    </r>
    <r>
      <rPr>
        <sz val="9"/>
        <rFont val="Calibri"/>
      </rPr>
      <t xml:space="preserve"> : Projets phares réno : réhabilitations de campus, sanitaires de bâtiments tertiaires et d’enseignement, accessibilité et amélioration énergétique.Résidences étudiantes et dortoirs : Projets phares réno : chambres, sanitaires d’étage, douches, blocs PMR et modernisation énergétique des bâtiments d’hébergement.</t>
    </r>
  </si>
  <si>
    <r>
      <rPr>
        <b/>
        <sz val="9"/>
        <rFont val="Calibri"/>
      </rPr>
      <t>Universités ; Grandes écoles</t>
    </r>
    <r>
      <rPr>
        <sz val="9"/>
        <rFont val="Calibri"/>
      </rPr>
      <t xml:space="preserve"> : Projets phares neuf : bâtiments d’enseignement/recherche, extensions de campus, résidences étudiantes et reconfigurations avec surface complémentaire.Résidences étudiantes et dortoirs : Projets phares neuf : internats reconstruits, résidences étudiantes nouvelles, extensions de capacité ou opérations mixtes avec campus.</t>
    </r>
  </si>
  <si>
    <r>
      <rPr>
        <b/>
        <sz val="9"/>
        <rFont val="Calibri"/>
      </rPr>
      <t>Universités ; Grandes écoles</t>
    </r>
    <r>
      <rPr>
        <sz val="9"/>
        <rFont val="Calibri"/>
      </rPr>
      <t xml:space="preserve"> : Dynamique réno 2026-2030 : élevée, portée par l’ancienneté du parc et les objectifs énergétiques ; la reprise des sanitaires suit souvent des opérations plus larges de campus. Menaces : arbitrages budgétaires, procédures longues et travaux en site occupé.Résidences étudiantes et dortoirs : Dynamique réno 2026-2030 : élevée, car l’hébergement rend visibles l’obsolescence et le confort insuffisant. Menaces : exploitation continue, phasage et arbitrages publics.</t>
    </r>
  </si>
  <si>
    <r>
      <rPr>
        <b/>
        <sz val="9"/>
        <rFont val="Calibri"/>
      </rPr>
      <t>Universités ; Grandes écoles</t>
    </r>
    <r>
      <rPr>
        <sz val="9"/>
        <rFont val="Calibri"/>
      </rPr>
      <t xml:space="preserve"> : Dynamique neuf 2026-2030 : modérée ; quelques grands projets peuvent faire le marché sur une année, mais le flux reste irrégulier et dépend de la programmation immobilière publique et parapublique.Résidences étudiantes et dortoirs : Dynamique neuf 2026-2030 : plus réelle que dans le scolaire classique, mais concentrée sur quelques pôles d’attractivité et opérateurs. Menaces : coût de sortie, montage immobilier et sélectivité des financements.</t>
    </r>
  </si>
  <si>
    <r>
      <rPr>
        <b/>
        <sz val="9"/>
        <rFont val="Calibri"/>
      </rPr>
      <t>Universités</t>
    </r>
    <r>
      <rPr>
        <sz val="9"/>
        <rFont val="Calibri"/>
      </rPr>
      <t xml:space="preserve"> ; </t>
    </r>
    <r>
      <rPr>
        <b/>
        <sz val="9"/>
        <rFont val="Calibri"/>
      </rPr>
      <t>Grandes écoles</t>
    </r>
    <r>
      <rPr>
        <sz val="9"/>
        <rFont val="Calibri"/>
      </rPr>
      <t xml:space="preserve"> : </t>
    </r>
    <r>
      <rPr>
        <sz val="9"/>
        <rFont val="Calibri"/>
      </rPr>
      <t>https://www.banquedesterritoires.fr/plan-renovation-energetique-batiments-publics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https://www.insee.fr/fr/statistiques/8906564Résidences étudiantes et dortoirs : https://www.banquedesterritoires.fr/plan-renovation-energetique-batiments-publics
https://www.ecologie.gouv.fr/eco-energie-tertiaire-eet
https://www.statistiques.developpement-durable.gouv.fr/construction-de-locaux-resultats-fin-janvier-2026-france-entiere
https://www.insee.fr/fr/statistiques/8671745
https://www.insee.fr/fr/statistiques/8906564</t>
    </r>
  </si>
  <si>
    <r>
      <rPr>
        <b/>
        <sz val="9"/>
        <rFont val="Calibri"/>
      </rPr>
      <t>Universités ; Grandes écoles</t>
    </r>
    <r>
      <rPr>
        <sz val="9"/>
        <rFont val="Calibri"/>
      </rPr>
      <t xml:space="preserve"> : BonneRésidences étudiantes et dortoirs : Moyenne+</t>
    </r>
  </si>
  <si>
    <r>
      <rPr>
        <b/>
        <sz val="9"/>
        <rFont val="Calibri"/>
      </rPr>
      <t>Universités</t>
    </r>
    <r>
      <rPr>
        <sz val="9"/>
        <rFont val="Calibri"/>
      </rPr>
      <t xml:space="preserve"> : Parc existant surtout standard. Les ventes se décalent légèrement vers standard, du fait de budgets et de rénovations menées surtout par lots. Le neuf est un peu plus qualitatif que la rénovation, sans renverser le centre de gravité du mix. Campus massifiés : priorité au fonctionnel et à la durabilité, mais les opérations neuves et learning centers tirent progressivement une partie du parc vers l’intermédiaire/premium.Grandes écoles : Parc existant surtout intermédiaire. Les ventes se décalent légèrement au supérieur, sous l’effet combiné de l’hygiène, de l’image et des rénovations lourdes. Le neuf est un peu plus qualitatif que la rénovation, sans renverser le centre de gravité du mix. Écoles sélectives et établissements d’image : budgets unitaires plus élevés, recherche de qualité perçue et de différenciation, surtout sur les projets neufs.Résidences étudiantes et dortoirs : Parc existant surtout intermédiaire. Les ventes se décalent légèrement vers intermédiaire, du fait de budgets et de rénovations menées surtout par lots. Le neuf est un peu plus qualitatif que la rénovation, sans renverser le centre de gravité du mix. Présence d’hébergement et d’espaces semi-résidentiels : niveau de confort supérieur au scolaire pur, mais budgets encore serrés et rénovations souvent réalisées par vagues.</t>
    </r>
  </si>
  <si>
    <r>
      <rPr>
        <b/>
        <sz val="9"/>
        <rFont val="Calibri"/>
      </rPr>
      <t>Universités</t>
    </r>
    <r>
      <rPr>
        <sz val="9"/>
        <rFont val="Calibri"/>
      </rPr>
      <t xml:space="preserve"> : Campus massifiés : priorité au fonctionnel et à la durabilité, mais les opérations neuves et learning centers tirent progressivement une partie du parc vers l’intermédiaire/premium.Grandes écoles : Écoles sélectives et établissements d’image : budgets unitaires plus élevés, recherche de qualité perçue et de différenciation, surtout sur les projets neufs.Résidences étudiantes et dortoirs : Présence d’hébergement et d’espaces semi-résidentiels : niveau de confort supérieur au scolaire pur, mais budgets encore serrés et rénovations souvent réalisées par vagues.</t>
    </r>
  </si>
  <si>
    <r>
      <rPr>
        <b/>
        <sz val="9"/>
        <rFont val="Calibri"/>
      </rPr>
      <t>Universités</t>
    </r>
    <r>
      <rPr>
        <sz val="9"/>
        <rFont val="Calibri"/>
      </rPr>
      <t xml:space="preserve"> : image d’accueil ⇒ intermédiaire/premium ↑ ; poids du neuf significatif ⇒ premiumisation des ventes &gt; parcGrandes écoles : image + privé ⇒ premium/luxe ↑ ; contrainte sanitaire ⇒ standard/intermédiaire technique ↑ ; poids du neuf significatif ⇒ premiumisation des ventes &gt; parcRésidences étudiantes et dortoirs : poids du neuf significatif ⇒ premiumisation des ventes &gt; parc</t>
    </r>
  </si>
  <si>
    <r>
      <rPr>
        <b/>
        <sz val="9"/>
        <rFont val="Calibri"/>
      </rPr>
      <t>Universités</t>
    </r>
    <r>
      <rPr>
        <sz val="9"/>
        <rFont val="Calibri"/>
      </rPr>
      <t xml:space="preserve"> : Universités : campus massifiés avec arbitrage entre robustesse et opérations vitrines. Ventes 2026-2030 : glissement vers davantage de moyen / premium, surtout sur lavabo (+15,8 pts sur premium+luxe), douche (+15,7 pts sur premium+luxe), WC (+13,2 pts sur premium+luxe). La rénovation reste majoritaire (65% des ventes, contre 35% en neuf) ; le neuf tire le mix vers le haut sans renverser le centre de gravité. L’écart de niveau de confort entre neuf et rénovation est net.Grandes écoles : Grandes écoles : image d’établissement, attractivité et budgets unitaires supérieurs soutiennent le milieu/haut de gamme. Ventes 2026-2030 : glissement vers davantage de moyen / premium, surtout sur lavabo (+24,2 pts sur premium+luxe), douche (+23,9 pts sur premium+luxe), WC (+23,2 pts sur premium+luxe). La rénovation reste majoritaire (66% des ventes, contre 34% en neuf) ; le neuf tire le mix vers le haut sans renverser le centre de gravité. L’écart de niveau de confort entre neuf et rénovation est net.Résidences étudiantes et dortoirs : Résidences étudiantes et dortoirs : logique résidentielle étudiante, renouvelée par phases de réhabilitation. Ventes 2026-2030 : glissement vers davantage de moyen / premium, surtout sur douche (+24,0 pts sur premium+luxe), WC (+23,1 pts sur premium+luxe), lavabo (+22,0 pts sur premium+luxe). Le neuf pèse suffisamment (42% des ventes) pour relever le niveau de confort moyen au-dessus de la rénovation (58%). L’écart de niveau de confort entre neuf et rénovation est net.</t>
    </r>
  </si>
  <si>
    <t>1 - Centres de formation / CFA
2 - Agences emploi / Insertion / Orientation professionnelle</t>
  </si>
  <si>
    <r>
      <rPr>
        <b/>
        <sz val="9"/>
        <rFont val="Calibri"/>
      </rPr>
      <t>Centres de formation / CFA</t>
    </r>
    <r>
      <rPr>
        <sz val="9"/>
        <rFont val="Calibri"/>
      </rPr>
      <t xml:space="preserve"> : RAgences emploi / Insertion / Orientation professionnelle : W</t>
    </r>
  </si>
  <si>
    <r>
      <rPr>
        <b/>
        <sz val="9"/>
        <rFont val="Calibri"/>
      </rPr>
      <t>Centres de formation / CFA</t>
    </r>
    <r>
      <rPr>
        <sz val="9"/>
        <rFont val="Calibri"/>
      </rPr>
      <t xml:space="preserve"> : Formation professionnelle et apprentissage.Agences emploi / Insertion / Orientation professionnelle : Insertion, orientation professionnelle et apprentissage.</t>
    </r>
  </si>
  <si>
    <r>
      <rPr>
        <b/>
        <sz val="9"/>
        <rFont val="Calibri"/>
      </rPr>
      <t>Centres de formation / CFA</t>
    </r>
    <r>
      <rPr>
        <sz val="9"/>
        <rFont val="Calibri"/>
      </rPr>
      <t xml:space="preserve"> : CFA, centre de formation continueAgences emploi / Insertion / Orientation professionnelle : France Travail, Missions Locales, Cap emploi, APEC. (sites principaux autonomes uniquement)</t>
    </r>
  </si>
  <si>
    <r>
      <rPr>
        <b/>
        <sz val="9"/>
        <rFont val="Calibri"/>
      </rPr>
      <t>Centres de formation / CFA</t>
    </r>
    <r>
      <rPr>
        <sz val="9"/>
        <rFont val="Calibri"/>
      </rPr>
      <t xml:space="preserve"> : série publique directe 2024 + rétroprojection encadréeAgences emploi / Insertion / Orientation professionnelle : proxy public / estimation encadrée</t>
    </r>
  </si>
  <si>
    <r>
      <rPr>
        <b/>
        <sz val="9"/>
        <rFont val="Calibri"/>
      </rPr>
      <t>Centres de formation / CFA</t>
    </r>
    <r>
      <rPr>
        <sz val="9"/>
        <rFont val="Calibri"/>
      </rPr>
      <t xml:space="preserve"> : La série n’est pas stagnante : le nombre de CFA augmente nettement depuis le milieu des années 2010, sous l’effet du développement de l’apprentissage.Agences emploi / Insertion / Orientation professionnelle : Réseau plus élevé avant la fusion ANPE/Assedic, puis globalement stable depuis la consolidation du service public de l'emploi ; on ne retient pas les lieux de permanence secondaires.</t>
    </r>
  </si>
  <si>
    <r>
      <rPr>
        <b/>
        <sz val="9"/>
        <rFont val="Calibri"/>
      </rPr>
      <t>Centres de formation / CFA</t>
    </r>
    <r>
      <rPr>
        <sz val="9"/>
        <rFont val="Calibri"/>
      </rPr>
      <t xml:space="preserve"> : Ancrage direct en 2024 à 3 700 CFA, puis poursuite prudente d’une croissance encore soutenue. Projection 2027-2030: hausse modérée. Fiabilité: moyenne.Agences emploi / Insertion / Orientation professionnelle : Ancre récente : environ 900 agences France Travail + 425 Missions Locales + 98 Cap emploi + 76 centres APEC. Filtre sanitaire neutre pour sites principaux avec salariés et accueil.</t>
    </r>
  </si>
  <si>
    <r>
      <rPr>
        <b/>
        <sz val="9"/>
        <rFont val="Calibri"/>
      </rPr>
      <t>Centres de formation / CFA</t>
    </r>
    <r>
      <rPr>
        <sz val="9"/>
        <rFont val="Calibri"/>
      </rPr>
      <t xml:space="preserve"> : https://www.education.gouv.fr/depp/reperes-et-references-statistiques-2025-450954Agences emploi / Insertion / Orientation professionnelle : https://rapportannuel2024.francetravail.org/ ; https://www.unml.info/le-reseau/les-chiffres-cles/ ; https://handicap.agriculture.gouv.fr/reseau-des-cap-emploi-acteurs-specialises-dans-l-accompagnement-des-a49.html ; https://centre.apec.fr/fr</t>
    </r>
  </si>
  <si>
    <r>
      <rPr>
        <b/>
        <sz val="9"/>
        <rFont val="Calibri"/>
      </rPr>
      <t>Centres de formation / CFA</t>
    </r>
    <r>
      <rPr>
        <sz val="9"/>
        <rFont val="Calibri"/>
      </rPr>
      <t xml:space="preserve"> : Blocs apprenants filles/garçons + sanitaires adultes + vestiaires sportifs/ateliers séparés dès lors qu'ils sont collectifs (≥5 pers.).Agences emploi / Insertion / Orientation professionnelle : Guichet emploi/insertion : bloc public en attente + sanitaires personnel séparés.</t>
    </r>
  </si>
  <si>
    <r>
      <rPr>
        <b/>
        <sz val="9"/>
        <rFont val="Calibri"/>
      </rPr>
      <t>Centres de formation / CFA</t>
    </r>
    <r>
      <rPr>
        <sz val="9"/>
        <rFont val="Calibri"/>
      </rPr>
      <t xml:space="preserve"> : Capacité type ≈ 405 apprenants + 36 adultes + 9 intervenants/visiteurs. Base scolaire dérivée du référentiel ONS pour les élèves, complétée par sanitaires adultes ; ajout de vestiaires sportifs séparés lorsqu'ils desservent au moins 5 personnes. Calibrage selon capacité simultanée, répartition de flux et organisation réelle du site.Agences emploi / Insertion / Orientation professionnelle : Capacité type ≈ 70 usagers principaux + 25 staff + 5 autre public. Flux de demandeurs d'emploi, accompagnants et agents en bureaux/espaces d'entretien. Dimensionnement unitaire retenu : batterie publique compacte + bloc salariés selon Code du travail, sans douche. Hypothèse d'usage : capacité simultanée moyenne 2026, répartition par flux réels, arrondie par blocs fonctionnels et exclusion des sanitaires strictement privatifs sauf cas explicitement collectifs.</t>
    </r>
  </si>
  <si>
    <r>
      <rPr>
        <b/>
        <sz val="9"/>
        <rFont val="Calibri"/>
      </rPr>
      <t>Centres de formation / CFA</t>
    </r>
    <r>
      <rPr>
        <sz val="9"/>
        <rFont val="Calibri"/>
      </rPr>
      <t xml:space="preserve"> : Profil grand, capacité moyenne ≈ 450 personnes. Moyenne pondérée terrain : parc majoritairement petits/moyens sites, grands sites intégrés sans surpondération ; usage 2025 modérée.Agences emploi / Insertion / Orientation professionnelle : Profil moyen, capacité moyenne ≈ 100 personnes. Moyenne pondérée terrain : parc majoritairement petits/moyens sites, grands sites intégrés sans surpondération ; usage 2025 modérée.</t>
    </r>
  </si>
  <si>
    <r>
      <rPr>
        <b/>
        <sz val="9"/>
        <rFont val="Calibri"/>
      </rPr>
      <t>Centres de formation / CFA</t>
    </r>
    <r>
      <rPr>
        <sz val="9"/>
        <rFont val="Calibri"/>
      </rPr>
      <t xml:space="preserve"> : Éducation nationale / ONS, 'Les sanitaires dans les écoles élémentaires' : https://www.education.gouv.fr/sites/default/files/imported_files/document/ONS-Les-sanitaires-dans-les-ecoles-elementaires_391494.pdf ; + Code du travail pour les sanitaires adultes/staff.Agences emploi / Insertion / Orientation professionnelle : ERP/accessibilité sanitaires publics : https://www.legifrance.gouv.fr/loda/article_lc/LEGIARTI000034485966/ ; Code du travail sanitaires salariés : https://www.legifrance.gouv.fr/codes/id/LEGISCTA000018531984 ; INRS : https://www.inrs.fr/publications/juridique/focus-juridiques/focus-sanitaires-toilettes.html</t>
    </r>
  </si>
  <si>
    <r>
      <rPr>
        <b/>
        <sz val="9"/>
        <rFont val="Calibri"/>
      </rPr>
      <t>Centres de formation / CFA</t>
    </r>
    <r>
      <rPr>
        <sz val="9"/>
        <rFont val="Calibri"/>
      </rPr>
      <t xml:space="preserve"> : Usage 24/7, protocoles d'hygiène, nettoyage fréquent et maintenance technique plus structurée. L'électronique est relevée par rapport aux ERP standards grâce au sans-contact et aux rinçages automatiques, mais reste sous le temporisé mécanique à cause des capteurs, alimentations et électrovannes. Les remplacements sont souvent planifiés par aile ou unité, avec correctif entre deux opérations. Santé hospitalière aiguë : Forte exigence d’hygiène, prévention légionelles, nettoyage fréquent et remplacements préventifs liés aux travaux Ségur ou à la conformité sanitaire.Agences emploi / Insertion / Orientation professionnelle : Tertiaire, administrations et services publics : Durées plutôt stables grâce à maintenance organisée et usage régulier mais maîtrisé. Mix retenu : Usage régulier et maintenance organisée : mix équilibré entre mitigeur, temporisation et électronique croissante en rénovation. Flux de guichet régulier, pics matinaux mais faible humidité et vandalisme modéré; sanitaires de taille limitée, maintenance tertiaire. Plus court que bureaux privés si accueil social dense. Repères durées: lavabos 13/14/10 ans (mit./méca/élec.), douches 12/11/9, urinoirs 11/13/9/11, WC 14/14/10.</t>
    </r>
  </si>
  <si>
    <r>
      <rPr>
        <b/>
        <sz val="9"/>
        <rFont val="Calibri"/>
      </rPr>
      <t>Centres de formation / CFA</t>
    </r>
    <r>
      <rPr>
        <sz val="9"/>
        <rFont val="Calibri"/>
      </rPr>
      <t xml:space="preserve"> : Sur collèges, lycées et CFA, le temporisé mécanique domine nettement le parc commun, car il combine robustesse, anti-blocage et maîtrise des débits ; l’électronique monte mais reste minoritaire en stock.Agences emploi / Insertion / Orientation professionnelle : Agences emploi / Insertion / Orientation professionnelle : parc 2025 domine par tempo mecanique (50%), avec mitigeur manuel en appoint. Le choix reflete accueil tertiaire de jour, flux files d attente ponctuels et maintenance immobiliere standard ; image de service public, accessibilite et cout de maintenance.</t>
    </r>
  </si>
  <si>
    <r>
      <rPr>
        <b/>
        <sz val="9"/>
        <rFont val="Calibri"/>
      </rPr>
      <t>Centres de formation / CFA</t>
    </r>
    <r>
      <rPr>
        <sz val="9"/>
        <rFont val="Calibri"/>
      </rPr>
      <t xml:space="preserve"> : D’ici 2030, recul modéré du mitigeur et léger recul du temporisé mécanique au profit de l’électronique dans les rénovations de blocs ; le temporisé mécanique reste néanmoins dominant pour robustesse, anti-vandalisme et maîtrise des débits.Agences emploi / Insertion / Orientation professionnelle : 2025-2030 : progression de tempo electronique (+5,0%), surtout lors des renov. lourdes/neuf ; recul de mitigeur manuel (-5,0%) mais maintien d un socle robuste pour les remplacements partiels.</t>
    </r>
  </si>
  <si>
    <r>
      <rPr>
        <b/>
        <sz val="9"/>
        <rFont val="Calibri"/>
      </rPr>
      <t>Centres de formation / CFA</t>
    </r>
    <r>
      <rPr>
        <sz val="9"/>
        <rFont val="Calibri"/>
      </rPr>
      <t xml:space="preserve"> : Le parc d’urinoirs est encore surtout mécanique/direct, avec un reliquat de rampes collectives dans les ensembles anciens et une part d’automatique concentrée sur les rénovations.Agences emploi / Insertion / Orientation professionnelle : Agences emploi / Insertion / Orientation professionnelle : parc 2025 domine par directe mecanique (50%), avec directe electronique collective en appoint. Le choix reflete accueil tertiaire de jour, flux files d attente ponctuels et maintenance immobiliere standard ; image de service public, accessibilite et cout de maintenance.</t>
    </r>
  </si>
  <si>
    <r>
      <rPr>
        <b/>
        <sz val="9"/>
        <rFont val="Calibri"/>
      </rPr>
      <t>Centres de formation / CFA</t>
    </r>
    <r>
      <rPr>
        <sz val="9"/>
        <rFont val="Calibri"/>
      </rPr>
      <t xml:space="preserve"> : Baisse graduelle des réservoirs et des rampes/collectifs les plus anciens, au profit de chasses directes ; l’automatique progresse mais le mécanique reste fort pour le coût et la robustesse.Agences emploi / Insertion / Orientation professionnelle : 2025-2030 : progression de directe electronique indiv. (+3,0%), surtout lors des renov. lourdes/neuf ; recul de a reservoir (-2,0%) mais maintien d un socle robuste pour les remplacements partiels.</t>
    </r>
  </si>
  <si>
    <r>
      <rPr>
        <b/>
        <sz val="9"/>
        <rFont val="Calibri"/>
      </rPr>
      <t>Centres de formation / CFA</t>
    </r>
    <r>
      <rPr>
        <sz val="9"/>
        <rFont val="Calibri"/>
      </rPr>
      <t xml:space="preserve"> : Le parc WC est presque à l’équilibre entre réservoir et chasse directe, cette dernière étant mieux adaptée aux usages intensifs des ERP scolaires ; l’électronique reste de niche.Agences emploi / Insertion / Orientation professionnelle : Agences emploi / Insertion / Orientation professionnelle : parc 2025 domine par reservoir (55%), avec chasse directe mecanique en appoint. Le choix reflete accueil tertiaire de jour, flux files d attente ponctuels et maintenance immobiliere standard ; image de service public, accessibilite et cout de maintenance.</t>
    </r>
  </si>
  <si>
    <r>
      <rPr>
        <b/>
        <sz val="9"/>
        <rFont val="Calibri"/>
      </rPr>
      <t>Centres de formation / CFA</t>
    </r>
    <r>
      <rPr>
        <sz val="9"/>
        <rFont val="Calibri"/>
      </rPr>
      <t xml:space="preserve"> : Le réservoir recule progressivement dans les blocs rénovés au profit de la chasse directe, avec une percée encore mesurée de l’électronique.Agences emploi / Insertion / Orientation professionnelle : 2025-2030 : progression de chasse directe electronique (+5,0%), surtout lors des renov. lourdes/neuf ; recul de reservoir (-8,0%) mais maintien d un socle robuste pour les remplacements partiels.</t>
    </r>
  </si>
  <si>
    <r>
      <rPr>
        <b/>
        <sz val="9"/>
        <rFont val="Calibri"/>
      </rPr>
      <t>Centres de formation / CFA</t>
    </r>
    <r>
      <rPr>
        <sz val="9"/>
        <rFont val="Calibri"/>
      </rPr>
      <t xml:space="preserve"> : 87,3% retenu : matérialisation élevée grâce aux opérations campus et restructurations, avec toutefois des phasages longs et des arbitrages budgétaires.Agences emploi / Insertion / Orientation professionnelle : 76,5% retenu : besoins transformes en travaux selon accueil tertiaire de jour, flux files d attente ponctuels et maintenance immobiliere standard. Le phasage budgetaire, les fermetures partielles et la maintenance courante limitent la conversion totale.</t>
    </r>
  </si>
  <si>
    <r>
      <rPr>
        <b/>
        <sz val="9"/>
        <rFont val="Calibri"/>
      </rPr>
      <t>Centres de formation / CFA</t>
    </r>
    <r>
      <rPr>
        <sz val="9"/>
        <rFont val="Calibri"/>
      </rPr>
      <t xml:space="preserve"> : Potentiel rénovation élevé : ateliers, sanitaires élèves/personnel et éventuels vestiaires sont repris lors des modernisations pédagogiques et énergétiques.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contraints.Agences emploi / Insertion / Orientation professionnelle : Potentiel renovation : tire par image de service public, accessibilite et cout de maintenance. Les remplacements sont plutot par lots, avec arbitrage entre urgence sanitaire, budget et capacite a intervenir en site occupe.</t>
    </r>
  </si>
  <si>
    <r>
      <rPr>
        <b/>
        <sz val="9"/>
        <rFont val="Calibri"/>
      </rPr>
      <t>Centres de formation / CFA</t>
    </r>
    <r>
      <rPr>
        <sz val="9"/>
        <rFont val="Calibri"/>
      </rPr>
      <t xml:space="preserve"> : Potentiel neuf moyen à soutenu : l’apprentissage et les besoins de montée en compétences soutiennent encore quelques créations/extensions, mais de façon inégale selon filières et territoires. Le neuf est significatif mais encore nettement inférieur à la rénovation.Agences emploi / Insertion / Orientation professionnelle : Potentiel neuf : limite pour agences emploi / insertion / orientation professionnelle, surtout via extensions, reconstructions ou projets locaux. Le neuf reste contraint par foncier, budgets et delais de mise en service.</t>
    </r>
  </si>
  <si>
    <r>
      <rPr>
        <b/>
        <sz val="9"/>
        <rFont val="Calibri"/>
      </rPr>
      <t>Centres de formation / CFA</t>
    </r>
    <r>
      <rPr>
        <sz val="9"/>
        <rFont val="Calibri"/>
      </rPr>
      <t xml:space="preserve"> : Projets phares réno : blocs sanitaires communs, vestiaires d’ateliers, accessibilité, remise à niveau thermique et fonctionnelle.Agences emploi / Insertion / Orientation professionnelle : Projets phares renovation : reprise de blocs sanitaires, accessibilite, ventilation, economie d eau, remplacement des pieces usees et adaptation aux pics de frequentation propres au sous-segment.</t>
    </r>
  </si>
  <si>
    <r>
      <rPr>
        <b/>
        <sz val="9"/>
        <rFont val="Calibri"/>
      </rPr>
      <t>Centres de formation / CFA</t>
    </r>
    <r>
      <rPr>
        <sz val="9"/>
        <rFont val="Calibri"/>
      </rPr>
      <t xml:space="preserve"> : Projets phares neuf : nouveaux CFA, extensions d’ateliers, campus métiers, restructurations avec surfaces nouvelles.Agences emploi / Insertion / Orientation professionnelle : Projets phares neuf : creations ou reconstructions selectives, integration de sanitaires plus sobres, robustes et faciles a maintenir des la conception.</t>
    </r>
  </si>
  <si>
    <r>
      <rPr>
        <b/>
        <sz val="9"/>
        <rFont val="Calibri"/>
      </rPr>
      <t>Centres de formation / CFA</t>
    </r>
    <r>
      <rPr>
        <sz val="9"/>
        <rFont val="Calibri"/>
      </rPr>
      <t xml:space="preserve"> : Dynamique réno 2026-2030 : robuste car les sites existants doivent rester attractifs et conformes. Menaces : arbitrages des opérateurs, visibilité sur les effectifs et travaux en exploitation.Agences emploi / Insertion / Orientation professionnelle : Dynamique renovation 2026-2030 : moderee, car l usure et l hygiene rendent les interventions recurrentes. Menaces : arbitrages d investissement, travaux en exploitation et cout de maintenance.</t>
    </r>
  </si>
  <si>
    <r>
      <rPr>
        <b/>
        <sz val="9"/>
        <rFont val="Calibri"/>
      </rPr>
      <t>Centres de formation / CFA</t>
    </r>
    <r>
      <rPr>
        <sz val="9"/>
        <rFont val="Calibri"/>
      </rPr>
      <t xml:space="preserve"> : Dynamique neuf 2026-2030 : réelle mais sélective ; la dynamique de l’apprentissage soutient certains projets, sans créer une vague homogène sur tout le territoire.Agences emploi / Insertion / Orientation professionnelle : Dynamique neuf 2026-2030 : faible a moderee, dependante des projets immobiliers, de la demographie locale et des budgets de maitrise d ouvrage.</t>
    </r>
  </si>
  <si>
    <r>
      <rPr>
        <b/>
        <sz val="9"/>
        <rFont val="Calibri"/>
      </rPr>
      <t>Centres de formation / CFA</t>
    </r>
    <r>
      <rPr>
        <sz val="9"/>
        <rFont val="Calibri"/>
      </rPr>
      <t xml:space="preserve"> : </t>
    </r>
    <r>
      <rPr>
        <sz val="9"/>
        <rFont val="Calibri"/>
      </rPr>
      <t>https://www.banquedesterritoires.fr/plan-renovation-energetique-batiments-publics
https://www.ecologie.gouv.fr/eco-energie-tertiaire-eet
https://experience.france2030.gouv.fr/fr/visit/decarbonation-de-leconomie/la-decarbonation-de-l-industrie/full/
https://www.tresor.economie.gouv.fr/Articles/2025/05/19/choose-france-2025-une-edition-record-au-service-de-la-souverainete-economique-et-de-l-innovation
https://www.statistiques.developpement-durable.gouv.fr/construction-de-locaux-resultats-fin-janvier-2026-france-entiere
https://www.insee.fr/fr/statistiques/8671745
https://www.insee.fr/fr/statistiques/8906564Agences emploi / Insertion / Orientation professionnelle : 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t>
    </r>
  </si>
  <si>
    <r>
      <rPr>
        <b/>
        <sz val="9"/>
        <rFont val="Calibri"/>
      </rPr>
      <t>Centres de formation / CFA</t>
    </r>
    <r>
      <rPr>
        <sz val="9"/>
        <rFont val="Calibri"/>
      </rPr>
      <t xml:space="preserve"> : Parc existant surtout standard. Les ventes se décalent légèrement vers standard / intermédiaire, du fait de budgets et de rénovations menées surtout par lots. Le neuf tire clairement le mix plus haut que la rénovation. Centres de formation : arbitrage entre robustesse et attractivité, avec un parc existant standard/intermédiaire et un neuf plus qualitatif pour rester compétitif.Agences emploi / Insertion / Orientation professionnelle : Parc existant centre sur le niveau mid, avec ventes 2026-2030 legerement plus qualitatives. Agences emploi / Insertion / Orientation professionnelle : accueil tertiaire de jour, flux files d attente ponctuels et maintenance immobiliere standard; le mix reste guide par image de service public, accessibilite et cout de maintenance.</t>
    </r>
  </si>
  <si>
    <r>
      <rPr>
        <b/>
        <sz val="9"/>
        <rFont val="Calibri"/>
      </rPr>
      <t>Centres de formation / CFA</t>
    </r>
    <r>
      <rPr>
        <sz val="9"/>
        <rFont val="Calibri"/>
      </rPr>
      <t xml:space="preserve"> : ±5 ptsAgences emploi / Insertion / Orientation professionnelle : ±4 pts</t>
    </r>
  </si>
  <si>
    <r>
      <rPr>
        <b/>
        <sz val="9"/>
        <rFont val="Calibri"/>
      </rPr>
      <t>Centres de formation / CFA</t>
    </r>
    <r>
      <rPr>
        <sz val="9"/>
        <rFont val="Calibri"/>
      </rPr>
      <t xml:space="preserve"> : ±6 ptsAgences emploi / Insertion / Orientation professionnelle : ±4 pts</t>
    </r>
  </si>
  <si>
    <r>
      <rPr>
        <b/>
        <sz val="9"/>
        <rFont val="Calibri"/>
      </rPr>
      <t>Centres de formation / CFA</t>
    </r>
    <r>
      <rPr>
        <sz val="9"/>
        <rFont val="Calibri"/>
      </rPr>
      <t xml:space="preserve"> : Moyenne +Agences emploi / Insertion / Orientation professionnelle : Bonne</t>
    </r>
  </si>
  <si>
    <r>
      <rPr>
        <b/>
        <sz val="9"/>
        <rFont val="Calibri"/>
      </rPr>
      <t>Centres de formation / CFA</t>
    </r>
    <r>
      <rPr>
        <sz val="9"/>
        <rFont val="Calibri"/>
      </rPr>
      <t xml:space="preserve"> : Centres de formation : arbitrage entre robustesse et attractivité, avec un parc existant standard/intermédiaire et un neuf plus qualitatif pour rester compétitif.Agences emploi / Insertion / Orientation professionnelle : Parc existant : image de service public, accessibilite et cout de maintenance; accueil tertiaire de jour, flux files d attente ponctuels et maintenance immobiliere standard. La montee en confort reste proportionnee au budget et au rythme de renovation.</t>
    </r>
  </si>
  <si>
    <r>
      <rPr>
        <b/>
        <sz val="9"/>
        <rFont val="Calibri"/>
      </rPr>
      <t>Centres de formation / CFA</t>
    </r>
    <r>
      <rPr>
        <sz val="9"/>
        <rFont val="Calibri"/>
      </rPr>
      <t xml:space="preserve"> : image d’accueil ⇒ intermédiaire/premium ↑ ; poids du neuf significatif ⇒ premiumisation des ventes &gt; parcAgences emploi / Insertion / Orientation professionnelle : renovation dominante =&gt; progression graduelle</t>
    </r>
  </si>
  <si>
    <r>
      <rPr>
        <b/>
        <sz val="9"/>
        <rFont val="Calibri"/>
      </rPr>
      <t>Centres de formation / CFA</t>
    </r>
    <r>
      <rPr>
        <sz val="9"/>
        <rFont val="Calibri"/>
      </rPr>
      <t xml:space="preserve"> : Centres de formation / CFA : compétition d’attractivité des CFA mais arbitrage encore fortement fonctionnel. Ventes 2026-2030 : glissement vers davantage de moyen / premium, surtout sur lavabo (+20,1 pts sur premium+luxe), douche (+18,2 pts sur premium+luxe), WC (+17,5 pts sur premium+luxe). Le neuf pèse suffisamment (45% des ventes) pour relever le niveau de confort moyen au-dessus de la rénovation (55%). L’écart de niveau de confort entre neuf et rénovation est net.Agences emploi / Insertion / Orientation professionnelle : Agences emploi / Insertion / Orientation professionnelle : ventes 2026-2030 en leger glissement vers moyen/premium lorsque le neuf ou les renov. lourdes interviennent. Le centre de gravite reste toutefois module par image de service public, accessibilite et cout de maintenance et par la part dominante de travaux sur parc existant.</t>
    </r>
  </si>
  <si>
    <t>1 - Gymnases / salles multisports
2 - Salles de fitness / dojos
3 - Patinoires couvertes
4 - Piscines couvertes
5 - Centres de thalassothérapie / balnéothérapie / grands spas ouverts au public
6 - Établissements thermaux</t>
  </si>
  <si>
    <r>
      <rPr>
        <b/>
        <sz val="9"/>
        <rFont val="Calibri"/>
      </rPr>
      <t>Gymnases / salles multisports ; Salles de fitness / dojos ; Patinoires couvertes ; Piscines couvertes</t>
    </r>
    <r>
      <rPr>
        <sz val="9"/>
        <rFont val="Calibri"/>
      </rPr>
      <t xml:space="preserve"> : XCentres de thalassothérapie / balnéothérapie / grands spas ouverts au public ; Établissements thermaux : Variable</t>
    </r>
  </si>
  <si>
    <r>
      <rPr>
        <b/>
        <sz val="9"/>
        <rFont val="Calibri"/>
      </rPr>
      <t>Gymnases / salles multisports ; Salles de fitness / dojos ; Patinoires couvertes ; Piscines couvertes</t>
    </r>
    <r>
      <rPr>
        <sz val="9"/>
        <rFont val="Calibri"/>
      </rPr>
      <t xml:space="preserve"> : ERPCentres de thalassothérapie / balnéothérapie / grands spas ouverts au public ; Établissements thermaux : ERP / variable</t>
    </r>
  </si>
  <si>
    <r>
      <rPr>
        <b/>
        <sz val="9"/>
        <rFont val="Calibri"/>
      </rPr>
      <t>Gymnases / salles multisports</t>
    </r>
    <r>
      <rPr>
        <sz val="9"/>
        <rFont val="Calibri"/>
      </rPr>
      <t xml:space="preserve"> : Établissements sportifs couverts.Salles de fitness / dojos : Sport couvert.Patinoires couvertes : Équipement sportif couvert avec surfaces de glace recevant du public.Piscines couvertes : Sport couvert avec équipements spécifiques.Centres de thalassothérapie / balnéothérapie / grands spas ouverts au public : Équipements structurés de soins d’eau ou de bien-être recevant du public, avec vestiaires, douches et sanitaires collectifs ; hors simple cabine de soin isolée.Établissements thermaux : Sites recevant des curistes ou visiteurs avec vestiaires, douches, espaces d’eau et sanitaires ; à compter au site principal.</t>
    </r>
  </si>
  <si>
    <r>
      <rPr>
        <b/>
        <sz val="9"/>
        <rFont val="Calibri"/>
      </rPr>
      <t>Gymnases / salles multisports</t>
    </r>
    <r>
      <rPr>
        <sz val="9"/>
        <rFont val="Calibri"/>
      </rPr>
      <t xml:space="preserve"> : Gymnase, hall sportif. Hors établissements scolaires stricts, mais incluant gymnases municipaux utilisés par écolesSalles de fitness / dojos : Salle de sport, dojoPatinoires couvertes : Patinoire municipale couvertePiscines couvertes : Piscine municipale couverte,Centres de thalassothérapie / balnéothérapie / grands spas ouverts au public : Centre de thalasso, balnéothérapie, spa thermal (Logique : bien-être / loisir)Établissements thermaux : Thermes, établissement thermal (Logique : médicale + encadrée par l’État)</t>
    </r>
  </si>
  <si>
    <r>
      <rPr>
        <b/>
        <sz val="9"/>
        <rFont val="Calibri"/>
      </rPr>
      <t>Gymnases / salles multisports ; Salles de fitness / dojos ; Patinoires couvertes ; Piscines couvertes</t>
    </r>
    <r>
      <rPr>
        <sz val="9"/>
        <rFont val="Calibri"/>
      </rPr>
      <t xml:space="preserve"> : proxy public / estimation encadréeCentres de thalassothérapie / balnéothérapie / grands spas ouverts au public : proxy de marché / estimation encadréeÉtablissements thermaux : série sectorielle / proxy public</t>
    </r>
  </si>
  <si>
    <r>
      <rPr>
        <b/>
        <sz val="9"/>
        <rFont val="Calibri"/>
      </rPr>
      <t>Gymnases / salles multisports ; Piscines couvertes</t>
    </r>
    <r>
      <rPr>
        <sz val="9"/>
        <rFont val="Calibri"/>
      </rPr>
      <t xml:space="preserve"> : ElevéSalles de fitness / dojos ; Patinoires couvertes ; Centres de thalassothérapie / balnéothérapie / grands spas ouverts au public ; Établissements thermaux : Moyenne</t>
    </r>
  </si>
  <si>
    <r>
      <rPr>
        <b/>
        <sz val="9"/>
        <rFont val="Calibri"/>
      </rPr>
      <t>Gymnases / salles multisports ; Patinoires couvertes ; Piscines couvertes ; Centres de thalassothérapie / balnéothérapie / grands spas ouverts au public ; Établissements thermaux</t>
    </r>
    <r>
      <rPr>
        <sz val="9"/>
        <rFont val="Calibri"/>
      </rPr>
      <t xml:space="preserve"> : Faute de série nationale homogène publiée annuellement pour cette sous-catégorie, le proxy est lissé ; la faible variation reflète une prudence méthodologique.Salles de fitness / dojos : Pas de stagnation structurelle : la série évolue à la hausse sur la période 2000-2026 ; la projection prolonge cette tendance avec prudence.</t>
    </r>
  </si>
  <si>
    <r>
      <rPr>
        <b/>
        <sz val="9"/>
        <rFont val="Calibri"/>
      </rPr>
      <t>Gymnases / salles multisports</t>
    </r>
    <r>
      <rPr>
        <sz val="9"/>
        <rFont val="Calibri"/>
      </rPr>
      <t xml:space="preserve"> : proxy équipements sportifs couverts. Dynamique projetée 2027-2030: stable. Fiabilité: moyenne.Salles de fitness / dojos : proxy salles de sport et arts martiaux. Dynamique projetée 2027-2030: hausse légère. Fiabilité: moyenne.Patinoires couvertes : proxy équipements de glace couverts. Dynamique projetée 2027-2030: stable. Fiabilité: moyenne.Piscines couvertes ; Centres de thalassothérapie / balnéothérapie / grands spas ouverts au public ; Établissements thermaux : proxy équipements aquatiques couverts. Dynamique projetée 2027-2030: stable. Fiabilité: moyenne.</t>
    </r>
  </si>
  <si>
    <r>
      <rPr>
        <b/>
        <sz val="9"/>
        <rFont val="Calibri"/>
      </rPr>
      <t>Gymnases / salles multisports ; Salles de fitness / dojos ; Patinoires couvertes ; Piscines couvertes</t>
    </r>
    <r>
      <rPr>
        <sz val="9"/>
        <rFont val="Calibri"/>
      </rPr>
      <t xml:space="preserve"> : https://www.insee.fr/fr/metadonnees/source/serie/s1161</t>
    </r>
  </si>
  <si>
    <r>
      <rPr>
        <b/>
        <sz val="9"/>
        <rFont val="Calibri"/>
      </rPr>
      <t>Gymnases / salles multisports</t>
    </r>
    <r>
      <rPr>
        <sz val="9"/>
        <rFont val="Calibri"/>
      </rPr>
      <t xml:space="preserve"> : Gymnase : sanitaires publics + vestiaires sportifs séparés H/F, arbitres et encadrement (comptés lorsqu'ils desservent ≥5 pers.).Salles de fitness / dojos : Salle de fitness/dojo : vestiaires H/F et équipe, comptés dès lors qu'ils accueillent au moins 5 personnes simultanément.Patinoires couvertes : Patinoire : blocs public + vestiaires sportifs séparés (joueurs, arbitres, staff), dès lors qu'ils desservent au moins 5 personnes.Piscines couvertes : Piscine couverte : vestiaires humides séparés et douches collectives obligatoires.Centres de thalassothérapie / balnéothérapie / grands spas ouverts au public : Spa/thalasso : vestiaires humides, douches collectives, sanitaires clients et personnel.Établissements thermaux : Thermalisme : vestiaires, douches de soins et sanitaires publics/staff, hors cabines privatives de soins.</t>
    </r>
  </si>
  <si>
    <r>
      <rPr>
        <b/>
        <sz val="9"/>
        <rFont val="Calibri"/>
      </rPr>
      <t>Gymnases / salles multisports</t>
    </r>
    <r>
      <rPr>
        <sz val="9"/>
        <rFont val="Calibri"/>
      </rPr>
      <t xml:space="preserve"> : Capacité type ≈ 210 sportifs/usagers + 25 staff + 15 arbitres/visiteurs. Le programme inclut sanitaires publics et vestiaires sportifs séparés dès lors qu'ils accueillent au moins 5 personnes ; pour les piscines, les douches collectives sont structurelles. Calibrage selon capacité simultanée, répartition de flux et organisation réelle du site.Salles de fitness / dojos : Capacité type ≈ 101 sportifs/usagers + 12 staff + 7 intervenants/visiteurs. Le programme inclut sanitaires publics et vestiaires sportifs séparés dès lors qu'ils accueillent au moins 5 personnes ; pour les piscines, les douches collectives sont structurelles. Calibrage selon capacité simultanée, répartition de flux et organisation réelle du site.Patinoires couvertes : Capacité type ≈ 672 sportifs/usagers + 80 staff + 48 intervenants/maintenance.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site.Piscines couvertes : Capacité type ≈ 420 sportifs/usagers + 50 staff + 30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site.Centres de thalassothérapie / balnéothérapie / grands spas ouverts au public : Capacité type ≈ 135 usagers principaux + 30 staff + 15 autre public. Parcours humide avec vestiaires et soins, fréquentation lissée par créneaux. Dimensionnement unitaire retenu : douches/vestiaires dimensionnés par cohortes simultanées, avec blocs WC publics et staff. Hypothèse d'usage : capacité simultanée moyenne 2026, répartition par flux réels, arrondie par blocs fonctionnels et exclusion des sanitaires strictement privatifs sauf cas explicitement collectifs.Établissements thermaux : Capacité type ≈ 180 usagers principaux + 50 staff + 20 autre public. Curistes présents par vagues de soins, accompagnants et personnel soignant/technique. Dimensionnement unitaire retenu : blocs humides par secteur de cure + blocs d'attente, proratisés au public simultané. Hypothèse d'usage : capacité simultanée moyenne 2026, répartition par flux réels, arrondie par blocs fonctionnels et exclusion des sanitaires strictement privatifs sauf cas explicitement collectifs.</t>
    </r>
  </si>
  <si>
    <r>
      <rPr>
        <b/>
        <sz val="9"/>
        <rFont val="Calibri"/>
      </rPr>
      <t>Gymnases / salles multisports ; Établissements thermaux</t>
    </r>
    <r>
      <rPr>
        <sz val="9"/>
        <rFont val="Calibri"/>
      </rPr>
      <t xml:space="preserve"> : Profil grand, capacité moyenne ≈ 250 personnes. Moyenne pondérée terrain : parc majoritairement petits/moyens sites, grands sites intégrés sans surpondération ; usage 2025 forte à très forte.Salles de fitness / dojos : Profil moyen, capacité moyenne ≈ 120 personnes. Moyenne pondérée terrain : parc majoritairement petits/moyens sites, grands sites intégrés sans surpondération ; usage 2025 forte à très forte.Patinoires couvertes : Profil grand, capacité moyenne ≈ 800 personnes. Moyenne pondérée terrain : parc majoritairement petits/moyens sites, grands sites intégrés sans surpondération ; usage 2025 forte à très forte.Piscines couvertes : Profil grand, capacité moyenne ≈ 500 personnes. Moyenne pondérée terrain : parc majoritairement petits/moyens sites, grands sites intégrés sans surpondération ; usage 2025 forte à très forte.Centres de thalassothérapie / balnéothérapie / grands spas ouverts au public : Profil moyen, capacité moyenne ≈ 180 personnes. Moyenne pondérée terrain : parc majoritairement petits/moyens sites, grands sites intégrés sans surpondération ; usage 2025 forte à très forte.</t>
    </r>
  </si>
  <si>
    <r>
      <rPr>
        <b/>
        <sz val="9"/>
        <rFont val="Calibri"/>
      </rPr>
      <t>Gymnases / salles multisports ; Salles de fitness / dojos ; Patinoires couvertes ; Piscines couvertes</t>
    </r>
    <r>
      <rPr>
        <sz val="9"/>
        <rFont val="Calibri"/>
      </rPr>
      <t xml:space="preserve"> : Ministère des Sports, réglementation des équipements sportifs : https://www.sports.gouv.fr/reglementation-federale-des-equipements-sportifs-845 ; + Code du travail pour vestiaires collectifs et sanitaires staff.Centres de thalassothérapie / balnéothérapie / grands spas ouverts au public ; Établissements thermaux : Locaux de sports - équipements sanitaires : https://www.legifrance.gouv.fr/codes/section_lc/LEGITEXT000006070308/LEGISCTA000006148993/ ; Textes équipements sportifs : https://www.sports.gouv.fr/principaux-textes-de-reference-pour-les-equipements-sportifs-842 ; Code du travail : https://www.legifrance.gouv.fr/codes/id/LEGISCTA000018531984</t>
    </r>
  </si>
  <si>
    <r>
      <rPr>
        <b/>
        <sz val="9"/>
        <rFont val="Calibri"/>
      </rPr>
      <t>Gymnases / salles multisports</t>
    </r>
    <r>
      <rPr>
        <sz val="9"/>
        <rFont val="Calibri"/>
      </rPr>
      <t xml:space="preserve"> : L'humidité permanente, la condensation et les chlorures/chloramines raccourcissent réellement la durée de vie, surtout sur électroniques, finitions et organes de douche. Les temporisés mécaniques restent les plus stables. Les remplacements sont fréquemment regroupés pendant les arrêts techniques et fermetures de bassin. Sport / piscines / stades : Forts pics de fréquentation, milieu humide ou chloré, nettoyage intensif et vandalisme non négligeable. Les douches et WC sont les plus exposés.Salles de fitness / dojos ; Piscines couvertes : Pics d'usage concentrés, vestiaires collectifs et nettoyage énergique. Les douches et chasses restent plus sollicitées que dans les bureaux. Le temporisé mécanique garde un avantage concret sur les zones communes. Rénovation souvent par lot lors de reprise des vestiaires ou mise en conformité du site. Sport / piscines / stades : Forts pics de fréquentation, milieu humide ou chloré, nettoyage intensif et vandalisme non négligeable. Les douches et WC sont les plus exposés.Patinoires couvertes : Ambiance froide, condensation, sols mouillés et pics de vestiaires par créneaux; maintenance technique présente mais corrosion/gel local pénalisent. Proche gymnase, avec contrainte humidité/froid plus forte. Usage très saisonnier mais pics forts, salissures, chocs et maintenance souvent contrainte. Les durées réelles sont proches des ERP à forte fréquentation, avec un petit avantage aux technologies mécaniques simples. Remplacements sont généralement batchés avec les vestiaires et sanitaires.Centres de thalassothérapie / balnéothérapie / grands spas ouverts au public : Humidité permanente, eau chaude très sollicitée, produits de nettoyage et atmosphère corrosive; usage client premium mais renouvellement esthétique fréquent. Plus court que piscine couverte, surtout douches/électronique. Repères durées: lavabos 10/11/8 ans (mit./méca/élec.), douches 8/8/7, urinoirs 8/10/7/9, WC 10/11/8.Établissements thermaux : Usage sanitaire programmé mais quotidien, eau minéralisée, humidité et nettoyage renforcé; vandalisme faible mais contraintes d'eau et arrêts techniques saisonniers. Proche thalasso, avec maintenance d'exploitation. Repères durées: lavabos 10/11/8 ans (mit./méca/élec.), douches 8/8/7, urinoirs 8/10/7/9, WC 10/11/8.</t>
    </r>
  </si>
  <si>
    <r>
      <rPr>
        <b/>
        <sz val="9"/>
        <rFont val="Calibri"/>
      </rPr>
      <t>Gymnases / salles multisports</t>
    </r>
    <r>
      <rPr>
        <sz val="9"/>
        <rFont val="Calibri"/>
      </rPr>
      <t xml:space="preserve"> : Dans les gymnases, le temporisé mécanique domine très clairement le parc, car il résiste bien à l’usage intensif et au vandalisme.Salles de fitness / dojos : Les salles de fitness/dojos ont un parc plus récent et plus tertiaire que les gymnases : le mitigeur et l’électronique y pèsent davantage.Patinoires couvertes : Les patinoires restent proches du modèle sportif collectif : temporisé mécanique dominant, avec une part d’électronique un peu plus élevée dans les sites récents.Piscines couvertes : Dans les piscines, le parc combine temporisé mécanique et électronique, ce dernier étant plus présent que dans les gymnases en raison des rénovations et de l’hygiène.Centres de thalassothérapie / balnéothérapie / grands spas ouverts au public : Centres de thalassothérapie / balnéothérapie / grands spas ouverts au public : parc 2025 domine par tempo mecanique (76%), avec mitigeur manuel en appoint. Le choix reflete ambiance tres humide, pics saisonniers ou horaires et maintenance sous contrainte sanitaire ; milieu humide, corrosion, securite usager et forte frequence de nettoyage.Établissements thermaux : Établissements thermaux : parc 2025 domine par tempo mecanique (76%), avec mitigeur manuel en appoint. Le choix reflete ambiance tres humide, pics saisonniers ou horaires et maintenance sous contrainte sanitaire ; milieu humide, corrosion, securite usager et forte frequence de nettoyage.</t>
    </r>
  </si>
  <si>
    <r>
      <rPr>
        <b/>
        <sz val="9"/>
        <rFont val="Calibri"/>
      </rPr>
      <t>Gymnases / salles multisports ; Salles de fitness / dojos ; Patinoires couvertes ; Piscines couvertes</t>
    </r>
    <r>
      <rPr>
        <sz val="9"/>
        <rFont val="Calibri"/>
      </rPr>
      <t xml:space="preserve"> : Dans le sport, l’électronique progresse sur les rénovations, mais le temporisé mécanique reste la colonne vertébrale du parc grâce à sa robustesse et à la maîtrise d’eau.Centres de thalassothérapie / balnéothérapie / grands spas ouverts au public ; Établissements thermaux : 2025-2030 : progression de tempo electronique (+2,0%), surtout lors des renov. lourdes/neuf ; recul de mitigeur manuel (-2,0%) mais maintien d un socle robuste pour les remplacements partiels.</t>
    </r>
  </si>
  <si>
    <r>
      <rPr>
        <b/>
        <sz val="9"/>
        <rFont val="Calibri"/>
      </rPr>
      <t>Gymnases / salles multisports</t>
    </r>
    <r>
      <rPr>
        <sz val="9"/>
        <rFont val="Calibri"/>
      </rPr>
      <t xml:space="preserve"> : Les douches collectives sont très majoritairement temporisées mécaniques sur le parc existant sportif.Salles de fitness / dojos : Les douches restent surtout temporisées mécaniques, mais une part non négligeable de mitigeurs et d’électronique existe déjà dans les clubs récents.Patinoires couvertes : Les douches sont très majoritairement temporisées mécaniques, l’électronique restant secondaire.Piscines couvertes : Les douches collectives restent dominées par le temporisé mécanique, l’électronique progressant dans les piscines récentes.Centres de thalassothérapie / balnéothérapie / grands spas ouverts au public : Centres de thalassothérapie / balnéothérapie / grands spas ouverts au public : parc 2025 domine par tempo mecanique (80%), avec mitigeur en appoint. Le choix reflete ambiance tres humide, pics saisonniers ou horaires et maintenance sous contrainte sanitaire ; milieu humide, corrosion, securite usager et forte frequence de nettoyage.Établissements thermaux : Établissements thermaux : parc 2025 domine par tempo mecanique (80%), avec mitigeur en appoint. Le choix reflete ambiance tres humide, pics saisonniers ou horaires et maintenance sous contrainte sanitaire ; milieu humide, corrosion, securite usager et forte frequence de nettoyage.</t>
    </r>
  </si>
  <si>
    <r>
      <rPr>
        <b/>
        <sz val="9"/>
        <rFont val="Calibri"/>
      </rPr>
      <t>Gymnases / salles multisports ; Salles de fitness / dojos ; Patinoires couvertes ; Piscines couvertes</t>
    </r>
    <r>
      <rPr>
        <sz val="9"/>
        <rFont val="Calibri"/>
      </rPr>
      <t xml:space="preserve"> : Dans les vestiaires sportifs, l’électronique progresse mais le temporisé mécanique reste majoritaire à horizon 2030 grâce au coût total et à la robustesse.Centres de thalassothérapie / balnéothérapie / grands spas ouverts au public ; Établissements thermaux : 2025-2030 : progression de tempo mecanique (+2,0%), surtout lors des renov. lourdes/neuf ; recul de mitigeur (-3,0%) mais maintien d un socle robuste pour les remplacements partiels.</t>
    </r>
  </si>
  <si>
    <r>
      <rPr>
        <b/>
        <sz val="9"/>
        <rFont val="Calibri"/>
      </rPr>
      <t>Gymnases / salles multisports</t>
    </r>
    <r>
      <rPr>
        <sz val="9"/>
        <rFont val="Calibri"/>
      </rPr>
      <t xml:space="preserve"> : Les urinoirs collectifs anciens restent nombreux dans les équipements sportifs ; la chasse directe mécanique reste le deuxième bloc important.Salles de fitness / dojos : Le parc d’urinoirs reste mixte, avec davantage d’automatique que dans le sport public traditionnel.Patinoires couvertes : Les collectifs anciens et la chasse directe restent dominants sur les urinoirs.Piscines couvertes : Le parc d’urinoirs reste tiré par les collectifs et les chasses directes, avec une part automatique déjà non négligeable.Centres de thalassothérapie / balnéothérapie / grands spas ouverts au public : Centres de thalassothérapie / balnéothérapie / grands spas ouverts au public : parc 2025 domine par directe mecanique (55%), avec directe electronique collective en appoint. Le choix reflete ambiance tres humide, pics saisonniers ou horaires et maintenance sous contrainte sanitaire ; milieu humide, corrosion, securite usager et forte frequence de nettoyage.Établissements thermaux : Établissements thermaux : parc 2025 domine par directe mecanique (55%), avec directe electronique collective en appoint. Le choix reflete ambiance tres humide, pics saisonniers ou horaires et maintenance sous contrainte sanitaire ; milieu humide, corrosion, securite usager et forte frequence de nettoyage.</t>
    </r>
  </si>
  <si>
    <r>
      <rPr>
        <b/>
        <sz val="9"/>
        <rFont val="Calibri"/>
      </rPr>
      <t>Gymnases / salles multisports ; Salles de fitness / dojos ; Patinoires couvertes ; Piscines couvertes</t>
    </r>
    <r>
      <rPr>
        <sz val="9"/>
        <rFont val="Calibri"/>
      </rPr>
      <t xml:space="preserve"> : Les rampes/collectifs et réservoirs reculent sur les rénovations ; l’automatique progresse, mais le direct mécanique reste très présent.Centres de thalassothérapie / balnéothérapie / grands spas ouverts au public ; Établissements thermaux : 2025-2030 : progression de directe electronique indiv. (+2,0%), surtout lors des renov. lourdes/neuf ; recul de directe electronique collective (-1,0%) mais maintien d un socle robuste pour les remplacements partiels.</t>
    </r>
  </si>
  <si>
    <r>
      <rPr>
        <b/>
        <sz val="9"/>
        <rFont val="Calibri"/>
      </rPr>
      <t>Gymnases / salles multisports</t>
    </r>
    <r>
      <rPr>
        <sz val="9"/>
        <rFont val="Calibri"/>
      </rPr>
      <t xml:space="preserve"> : La chasse directe est déjà majoritaire dans les sanitaires sportifs à forte intensité, mais le réservoir reste significatif sur le parc ancien.Salles de fitness / dojos : Le réservoir et la chasse directe coexistent encore largement, l’électronique restant minoritaire.Patinoires couvertes : La chasse directe domine les blocs publics/vestiaires, mais le réservoir reste encore présent.Piscines couvertes : La chasse directe domine les blocs de piscine ; l’électronique apparaît davantage que dans le sport sec.Centres de thalassothérapie / balnéothérapie / grands spas ouverts au public : Centres de thalassothérapie / balnéothérapie / grands spas ouverts au public : parc 2025 domine par chasse directe mecanique (55%), avec reservoir en appoint. Le choix reflete ambiance tres humide, pics saisonniers ou horaires et maintenance sous contrainte sanitaire ; milieu humide, corrosion, securite usager et forte frequence de nettoyage.Établissements thermaux : Établissements thermaux : parc 2025 domine par chasse directe mecanique (55%), avec reservoir en appoint. Le choix reflete ambiance tres humide, pics saisonniers ou horaires et maintenance sous contrainte sanitaire ; milieu humide, corrosion, securite usager et forte frequence de nettoyage.</t>
    </r>
  </si>
  <si>
    <r>
      <rPr>
        <b/>
        <sz val="9"/>
        <rFont val="Calibri"/>
      </rPr>
      <t>Gymnases / salles multisports ; Salles de fitness / dojos ; Patinoires couvertes ; Piscines couvertes</t>
    </r>
    <r>
      <rPr>
        <sz val="9"/>
        <rFont val="Calibri"/>
      </rPr>
      <t xml:space="preserve"> : Les ERP sportifs rénovés basculent progressivement du réservoir vers le direct ; l’électronique progresse mais reste derrière le direct mécanique.Centres de thalassothérapie / balnéothérapie / grands spas ouverts au public ; Établissements thermaux : 2025-2030 : progression de chasse directe electronique (+7,0%), surtout lors des renov. lourdes/neuf ; recul de reservoir (-10,0%) mais maintien d un socle robuste pour les remplacements partiels.</t>
    </r>
  </si>
  <si>
    <r>
      <rPr>
        <b/>
        <sz val="9"/>
        <rFont val="Calibri"/>
      </rPr>
      <t>Gymnases / salles multisports</t>
    </r>
    <r>
      <rPr>
        <sz val="9"/>
        <rFont val="Calibri"/>
      </rPr>
      <t xml:space="preserve"> : 88,4% retenu : intensité d’usage et vétusté soutiennent la réno, mais les budgets locaux et la saisonnalité retardent une partie des programmes.Salles de fitness / dojos ; Patinoires couvertes : 87,3% retenu : intensité d’usage et vétusté soutiennent la réno, mais les budgets locaux et la saisonnalité retardent une partie des programmes.Piscines couvertes : 89,5% retenu : intensité d’usage et vétusté soutiennent la réno, mais les budgets locaux et la saisonnalité retardent une partie des programmes.Centres de thalassothérapie / balnéothérapie / grands spas ouverts au public ; Établissements thermaux : 82,1% retenu : besoins transformes en travaux selon ambiance tres humide, pics saisonniers ou horaires et maintenance sous contrainte sanitaire. Le phasage budgetaire, les fermetures partielles et la maintenance courante limitent la conversion totale.</t>
    </r>
  </si>
  <si>
    <r>
      <rPr>
        <b/>
        <sz val="9"/>
        <rFont val="Calibri"/>
      </rPr>
      <t>Gymnases / salles multisports</t>
    </r>
    <r>
      <rPr>
        <sz val="9"/>
        <rFont val="Calibri"/>
      </rPr>
      <t xml:space="preserve"> : Potentiel rénovation très élevé : vestiaires, douches et sanitaires sont fortement exposés à l’humidité, aux pics d’usage et parfois au vandalisme. La douche pèse au-dessus de la moyenne, avec des contraintes d’humidité, de corrosion et d’entretien qui accélèrent le remplacement. En rénovation, les maîtres d’ouvrage privilégient des références robustes, vite posées et faciles à maintenir dans des ambiances humides.Salles de fitness / dojos : Potentiel rénovation très élevé : usure commerciale, image d’enseigne et douches/vestiaires soutiennent des refits réguliers. La douche pèse au-dessus de la moyenne, avec des contraintes d’humidité, de corrosion et d’entretien qui accélèrent le remplacement. En rénovation, le marché reste orienté vers des gammes fiables, disponibles et rapides à poser afin de limiter l’arrêt d’exploitation.Patinoires couvertes : Potentiel rénovation élevé : équipements spécifiques, sanitaires associés et actifs souvent vieillissants. La douche pèse au-dessus de la moyenne, avec des contraintes d’humidité, de corrosion et d’entretien qui accélèrent le remplacement. En rénovation, les maîtres d’ouvrage privilégient des références robustes, vite posées et faciles à maintenir dans des ambiances humides.Piscines couvertes : Potentiel rénovation très élevé : parmi les plus élevés du modèle, car l’humidité, la corrosion, l’énergie et l’image usagers imposent des campagnes lourdes. La douche pèse au-dessus de la moyenne, avec des contraintes d’humidité, de corrosion et d’entretien qui accélèrent le remplacement. En rénovation, les maîtres d’ouvrage privilégient des références robustes, vite posées et faciles à maintenir dans des ambiances humides.Centres de thalassothérapie / balnéothérapie / grands spas ouverts au public ; Établissements thermaux : Potentiel renovation : tire par milieu humide, corrosion, securite usager et forte frequence de nettoyage. Les remplacements sont plutot par lots, avec arbitrage entre urgence sanitaire, budget et capacite a intervenir en site occupe.</t>
    </r>
  </si>
  <si>
    <r>
      <rPr>
        <b/>
        <sz val="9"/>
        <rFont val="Calibri"/>
      </rPr>
      <t>Gymnases / salles multisports</t>
    </r>
    <r>
      <rPr>
        <sz val="9"/>
        <rFont val="Calibri"/>
      </rPr>
      <t xml:space="preserve"> : Potentiel neuf faible : soutenu par quelques programmes publics et privés, avec un levier visible du plan 5000 équipements jusqu’en 2026 mais pas une vague uniforme ensuite. Le neuf est quasi nul dans le modèle et renvoie surtout à des reconstructions ou remplacements de sites.Salles de fitness / dojos : Potentiel neuf moyen à soutenu : diffusion privée réelle, surtout en salles de fitness, mais sensible à la consommation et au taux d’occupation. Le neuf est réel mais secondaire.Patinoires couvertes : Potentiel neuf faible : très sélectif, avec peu d’ouvertures pures. Le neuf est quasi nul dans le modèle et renvoie surtout à des reconstructions ou remplacements de sites.Piscines couvertes : Potentiel neuf moyen à soutenu : soutenu sur quelques projets structurants, mais très capitalistique et sélectif. Le neuf est réel mais secondaire.Centres de thalassothérapie / balnéothérapie / grands spas ouverts au public : Potentiel neuf : plus visible pour centres de thalassothérapie / balnéothérapie / grands spas ouverts au public, surtout via extensions, reconstructions ou projets locaux. Le neuf reste contraint par foncier, budgets et delais de mise en service.Établissements thermaux : Potentiel neuf : plus visible pour établissements thermaux, surtout via extensions, reconstructions ou projets locaux. Le neuf reste contraint par foncier, budgets et delais de mise en service.</t>
    </r>
  </si>
  <si>
    <r>
      <rPr>
        <b/>
        <sz val="9"/>
        <rFont val="Calibri"/>
      </rPr>
      <t>Gymnases / salles multisports</t>
    </r>
    <r>
      <rPr>
        <sz val="9"/>
        <rFont val="Calibri"/>
      </rPr>
      <t xml:space="preserve"> : Projets phares réno : vestiaires, douches, sanitaires spectateurs, accessibilité et modernisation d’équipements sportifs.Salles de fitness / dojos : Projets phares réno : douches, vestiaires, sanitaires public/adhérents et repositionnement d’espaces.Patinoires couvertes : Projets phares réno : vestiaires, sanitaires publics, modernisation fonctionnelle et énergétique.Piscines couvertes : Projets phares réno : vestiaires, douches, sanitaires publics, réhabilitation énergétique et reprise des ambiances humides.Centres de thalassothérapie / balnéothérapie / grands spas ouverts au public ; Établissements thermaux : Projets phares renovation : reprise de blocs sanitaires, accessibilite, ventilation, economie d eau, remplacement des pieces usees et adaptation aux pics de frequentation propres au sous-segment.</t>
    </r>
  </si>
  <si>
    <r>
      <rPr>
        <b/>
        <sz val="9"/>
        <rFont val="Calibri"/>
      </rPr>
      <t>Gymnases / salles multisports</t>
    </r>
    <r>
      <rPr>
        <sz val="9"/>
        <rFont val="Calibri"/>
      </rPr>
      <t xml:space="preserve"> : Projets phares neuf : gymnases, stades reconfigurés, équipements de proximité, tribunes et vestiaires associés.Salles de fitness / dojos : Projets phares neuf : nouvelles salles, studios, dojos privés ou associatifs, extensions de clubs.Patinoires couvertes : Projets phares neuf : rares équipements nouveaux ou reconfigurations lourdes.Piscines couvertes : Projets phares neuf : piscines structurantes, centres aquatiques, bassins extérieurs reconstruits ou complétés.Centres de thalassothérapie / balnéothérapie / grands spas ouverts au public ; Établissements thermaux : Projets phares neuf : creations ou reconstructions selectives, integration de sanitaires plus sobres, robustes et faciles a maintenir des la conception.</t>
    </r>
  </si>
  <si>
    <r>
      <rPr>
        <b/>
        <sz val="9"/>
        <rFont val="Calibri"/>
      </rPr>
      <t>Gymnases / salles multisports</t>
    </r>
    <r>
      <rPr>
        <sz val="9"/>
        <rFont val="Calibri"/>
      </rPr>
      <t xml:space="preserve"> : Dynamique réno 2026-2030 : élevée, car le sanitaire sportif s’use vite et reste visible pour les usagers.Salles de fitness / dojos : Dynamique réno 2026-2030 : plus régulière que le neuf grâce aux cycles commerciaux des clubs.Patinoires couvertes : Dynamique réno 2026-2030 : supérieure au neuf, davantage tirée par la remise à niveau que par l’expansion.Piscines couvertes : Dynamique réno 2026-2030 : très forte, car les piscines concentrent à la fois besoin de rénovation énergétique et renouvellement sanitaire.Centres de thalassothérapie / balnéothérapie / grands spas ouverts au public ; Établissements thermaux : Dynamique renovation 2026-2030 : forte, car l usure et l hygiene rendent les interventions recurrentes. Menaces : arbitrages d investissement, travaux en exploitation et cout de maintenance.</t>
    </r>
  </si>
  <si>
    <r>
      <rPr>
        <b/>
        <sz val="9"/>
        <rFont val="Calibri"/>
      </rPr>
      <t>Gymnases / salles multisports</t>
    </r>
    <r>
      <rPr>
        <sz val="9"/>
        <rFont val="Calibri"/>
      </rPr>
      <t xml:space="preserve"> : Dynamique neuf 2026-2030 : modérée ; meilleure sur les projets structurants et les territoires carencés que sur les petits équipements diffus.Salles de fitness / dojos : Dynamique neuf 2026-2030 : réelle mais plus cyclique ; dépend de l’emplacement et de la solvabilité des exploitants.Patinoires couvertes : Dynamique neuf 2026-2030 : faible, sauf projet emblématique ponctuel.Piscines couvertes : Dynamique neuf 2026-2030 : réelle sur quelques sites, mais fortement filtrée par le coût global, le foncier et l’exploitation future.Centres de thalassothérapie / balnéothérapie / grands spas ouverts au public ; Établissements thermaux : Dynamique neuf 2026-2030 : faible a moderee, dependante des projets immobiliers, de la demographie locale et des budgets de maitrise d ouvrage.</t>
    </r>
  </si>
  <si>
    <r>
      <rPr>
        <b/>
        <sz val="9"/>
        <rFont val="Calibri"/>
      </rPr>
      <t>Gymnases / salles multisports</t>
    </r>
    <r>
      <rPr>
        <sz val="9"/>
        <rFont val="Calibri"/>
      </rPr>
      <t xml:space="preserve"> ; </t>
    </r>
    <r>
      <rPr>
        <b/>
        <sz val="9"/>
        <rFont val="Calibri"/>
      </rPr>
      <t>Patinoires couvertes</t>
    </r>
    <r>
      <rPr>
        <sz val="9"/>
        <rFont val="Calibri"/>
      </rPr>
      <t xml:space="preserve"> ; </t>
    </r>
    <r>
      <rPr>
        <b/>
        <sz val="9"/>
        <rFont val="Calibri"/>
      </rPr>
      <t>Piscines couvertes</t>
    </r>
    <r>
      <rPr>
        <sz val="9"/>
        <rFont val="Calibri"/>
      </rPr>
      <t xml:space="preserve"> ; </t>
    </r>
    <r>
      <rPr>
        <b/>
        <sz val="9"/>
        <rFont val="Calibri"/>
      </rPr>
      <t>Centres de thalassothérapie / balnéothérapie / grands spas ouverts au public</t>
    </r>
    <r>
      <rPr>
        <sz val="9"/>
        <rFont val="Calibri"/>
      </rPr>
      <t xml:space="preserve"> ; </t>
    </r>
    <r>
      <rPr>
        <b/>
        <sz val="9"/>
        <rFont val="Calibri"/>
      </rPr>
      <t>Établissements thermaux</t>
    </r>
    <r>
      <rPr>
        <sz val="9"/>
        <rFont val="Calibri"/>
      </rPr>
      <t xml:space="preserve"> : </t>
    </r>
    <r>
      <rPr>
        <sz val="9"/>
        <rFont val="Calibri"/>
      </rPr>
      <t>https://www.agencedusport.fr/plan-5000-equipements-generation-2024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https://www.insee.fr/fr/statistiques/8906564Salles de fitness / dojos : https://www.agencedusport.fr/plan-5000-equipements-generation-2024
https://www.ecologie.gouv.fr/eco-energie-tertiaire-eet
https://www.statistiques.developpement-durable.gouv.fr/construction-de-locaux-resultats-fin-janvier-2026-france-entiere
https://www.insee.fr/fr/statistiques/8671745
https://www.insee.fr/fr/statistiques/8906564</t>
    </r>
  </si>
  <si>
    <r>
      <rPr>
        <b/>
        <sz val="9"/>
        <rFont val="Calibri"/>
      </rPr>
      <t>Gymnases / salles multisports ; Patinoires couvertes ; Piscines couvertes ; Centres de thalassothérapie / balnéothérapie / grands spas ouverts au public ; Établissements thermaux</t>
    </r>
    <r>
      <rPr>
        <sz val="9"/>
        <rFont val="Calibri"/>
      </rPr>
      <t xml:space="preserve"> : BonneSalles de fitness / dojos : Moyenne+</t>
    </r>
  </si>
  <si>
    <r>
      <rPr>
        <b/>
        <sz val="9"/>
        <rFont val="Calibri"/>
      </rPr>
      <t>Gymnases / salles multisports ; Patinoires couvertes ; Piscines couvertes</t>
    </r>
    <r>
      <rPr>
        <sz val="9"/>
        <rFont val="Calibri"/>
      </rPr>
      <t xml:space="preserve"> : Parc existant surtout standard. Les ventes restent proches du parc, centré sur standard, car le trafic et la robustesse maintiennent un cahier des charges très fonctionnel. La rénovation restant majoritaire, le mix de ventes reste proche du parc et monte surtout d’un cran sur les opérations lourdes. Équipements sportifs publics : intensité d’usage, humidité, vandalisme et maintenance poussent vers des gammes très robustes ; la montée en confort reste contenue.Salles de fitness / dojos : Parc existant surtout standard / intermédiaire. Les ventes se décalent légèrement vers intermédiaire, tiré par l’image de marque et l’expérience usager. La rénovation restant majoritaire, le mix de ventes reste proche du parc et monte surtout d’un cran sur les opérations lourdes. Salle de fitness / dojos privés : importance de l’expérience client et de l’image, avec niveau de confort supérieur au sport public.Centres de thalassothérapie / balnéothérapie / grands spas ouverts au public : Parc existant centre sur le niveau wet, avec ventes 2026-2030 legerement plus qualitatives. Centres de thalassothérapie / balnéothérapie / grands spas ouverts au public : ambiance tres humide, pics saisonniers ou horaires et maintenance sous contrainte sanitaire; le mix reste guide par milieu humide, corrosion, securite usager et forte frequence de nettoyage.Établissements thermaux : Parc existant centre sur le niveau wet, avec ventes 2026-2030 legerement plus qualitatives. Établissements thermaux : ambiance tres humide, pics saisonniers ou horaires et maintenance sous contrainte sanitaire; le mix reste guide par milieu humide, corrosion, securite usager et forte frequence de nettoyage.</t>
    </r>
  </si>
  <si>
    <r>
      <rPr>
        <b/>
        <sz val="9"/>
        <rFont val="Calibri"/>
      </rPr>
      <t>Gymnases / salles multisports</t>
    </r>
    <r>
      <rPr>
        <sz val="9"/>
        <rFont val="Calibri"/>
      </rPr>
      <t xml:space="preserve"> : ±3 ptsSalles de fitness / dojos : ±5 ptsPatinoires couvertes ; Piscines couvertes ; Centres de thalassothérapie / balnéothérapie / grands spas ouverts au public ; Établissements thermaux : ±4 pts</t>
    </r>
  </si>
  <si>
    <r>
      <rPr>
        <b/>
        <sz val="9"/>
        <rFont val="Calibri"/>
      </rPr>
      <t>Gymnases / salles multisports</t>
    </r>
    <r>
      <rPr>
        <sz val="9"/>
        <rFont val="Calibri"/>
      </rPr>
      <t xml:space="preserve"> : Très bonneSalles de fitness / dojos : Moyenne +Patinoires couvertes ; Piscines couvertes ; Centres de thalassothérapie / balnéothérapie / grands spas ouverts au public ; Établissements thermaux : Bonne</t>
    </r>
  </si>
  <si>
    <r>
      <rPr>
        <b/>
        <sz val="9"/>
        <rFont val="Calibri"/>
      </rPr>
      <t>Gymnases / salles multisports ; Patinoires couvertes ; Piscines couvertes</t>
    </r>
    <r>
      <rPr>
        <sz val="9"/>
        <rFont val="Calibri"/>
      </rPr>
      <t xml:space="preserve"> : Équipements sportifs publics : intensité d’usage, humidité, vandalisme et maintenance poussent vers des gammes très robustes ; la montée en confort reste contenue.Salles de fitness / dojos : Salle de fitness / dojos privés : importance de l’expérience client et de l’image, avec niveau de confort supérieur au sport public.Centres de thalassothérapie / balnéothérapie / grands spas ouverts au public ; Établissements thermaux : Parc existant : milieu humide, corrosion, securite usager et forte frequence de nettoyage; ambiance tres humide, pics saisonniers ou horaires et maintenance sous contrainte sanitaire. La montee en confort reste proportionnee au budget et au rythme de renovation.</t>
    </r>
  </si>
  <si>
    <r>
      <rPr>
        <b/>
        <sz val="9"/>
        <rFont val="Calibri"/>
      </rPr>
      <t>Gymnases / salles multisports ; Patinoires couvertes ; Piscines couvertes</t>
    </r>
    <r>
      <rPr>
        <sz val="9"/>
        <rFont val="Calibri"/>
      </rPr>
      <t xml:space="preserve"> : forte fréquentation ⇒ standard ↑, premium/luxe ↓ ; rénovation dominante ⇒ progression graduelleSalles de fitness / dojos : image + privé ⇒ premium/luxe ↑ ; rénovation dominante ⇒ progression graduelleCentres de thalassothérapie / balnéothérapie / grands spas ouverts au public ; Établissements thermaux : forte frequentation =&gt; standard robuste ; milieu humide =&gt; produits techniques</t>
    </r>
  </si>
  <si>
    <r>
      <rPr>
        <b/>
        <sz val="9"/>
        <rFont val="Calibri"/>
      </rPr>
      <t>Gymnases / salles multisports</t>
    </r>
    <r>
      <rPr>
        <sz val="9"/>
        <rFont val="Calibri"/>
      </rPr>
      <t xml:space="preserve"> : Gymnases / salles multisports : vestiaires intensifs, robustesse et anti-vandalisme dominent. Ventes 2026-2030 : glissement vers davantage de moyen / premium. La rénovation reste très majoritaire (85% des ventes, contre 15% en neuf) ; le neuf est plus qualitatif mais ne suffit pas à transformer fortement le mix. L’écart de niveau de confort entre neuf et rénovation est net.Salles de fitness / dojos : Salles de fitness / dojos : fitness/dojos plus sensibles à l’expérience usager et à l’image. Ventes 2026-2030 : glissement vers davantage de moyen / premium, surtout sur lavabo (+18,5 pts sur premium+luxe), douche (+15,5 pts sur premium+luxe), WC (+14,9 pts sur premium+luxe). La rénovation reste majoritaire (77% des ventes, contre 23% en neuf) ; le neuf tire le mix vers le haut sans renverser le centre de gravité. L’écart de niveau de confort entre neuf et rénovation est net.Patinoires couvertes : Patinoires couvertes : patinoires énergivores où le sanitaire n’est pas le premier poste de standing. Ventes 2026-2030 : glissement vers davantage de moyen / premium. La rénovation reste très majoritaire (85% des ventes, contre 15% en neuf) ; le neuf est plus qualitatif mais ne suffit pas à transformer fortement le mix. L’écart de niveau de confort entre neuf et rénovation est net.Piscines couvertes : Piscines couvertes : besoin d’hygiène, d’accessibilité et de traitement de l’humidité dans les piscines. Ventes 2026-2030 : glissement vers davantage de moyen / premium. La rénovation reste majoritaire (82% des ventes, contre 18% en neuf) ; le neuf tire le mix vers le haut sans renverser le centre de gravité. L’écart de niveau de confort entre neuf et rénovation est net.Centres de thalassothérapie / balnéothérapie / grands spas ouverts au public : Centres de thalassothérapie / balnéothérapie / grands spas ouverts au public : ventes 2026-2030 en leger glissement vers moyen/premium lorsque le neuf ou les renov. lourdes interviennent. Le centre de gravite reste toutefois module par milieu humide, corrosion, securite usager et forte frequence de nettoyage et par la part dominante de travaux sur parc existant.Établissements thermaux : Établissements thermaux : ventes 2026-2030 en leger glissement vers moyen/premium lorsque le neuf ou les renov. lourdes interviennent. Le centre de gravite reste toutefois module par milieu humide, corrosion, securite usager et forte frequence de nettoyage et par la part dominante de travaux sur parc existant.</t>
    </r>
  </si>
  <si>
    <t>1 - Terrains de sport
2 - Stades avec tribunes
3 - Grands stades avec tribunes
4 - Hippodromes, Centres équestres &amp; Manèges couverts
5 - Piscines extérieures
6 - Bases nautiques / centres nautiques avec vestiaires-douches
7 - Bases de loisirs avec plages, douches et sanitaires</t>
  </si>
  <si>
    <r>
      <rPr>
        <b/>
        <sz val="9"/>
        <rFont val="Calibri"/>
      </rPr>
      <t>Terrains de sport ; Stades avec tribunes ; Grands stades avec tribunes ; Hippodromes, Centres équestres &amp; Manèges couverts ; Piscines extérieures</t>
    </r>
    <r>
      <rPr>
        <sz val="9"/>
        <rFont val="Calibri"/>
      </rPr>
      <t xml:space="preserve"> : PABases nautiques / centres nautiques avec vestiaires-douches : X ou PABases de loisirs avec plages, douches et sanitaires : PA ou variable</t>
    </r>
  </si>
  <si>
    <r>
      <rPr>
        <b/>
        <sz val="9"/>
        <rFont val="Calibri"/>
      </rPr>
      <t>Terrains de sport ; Stades avec tribunes ; Grands stades avec tribunes ; Hippodromes, Centres équestres &amp; Manèges couverts ; Piscines extérieures</t>
    </r>
    <r>
      <rPr>
        <sz val="9"/>
        <rFont val="Calibri"/>
      </rPr>
      <t xml:space="preserve"> : ERP spécialBases nautiques / centres nautiques avec vestiaires-douches ; Bases de loisirs avec plages, douches et sanitaires : ERP / variable</t>
    </r>
  </si>
  <si>
    <r>
      <rPr>
        <b/>
        <sz val="9"/>
        <rFont val="Calibri"/>
      </rPr>
      <t>Terrains de sport ; Stades avec tribunes ; Grands stades avec tribunes ; Hippodromes, Centres équestres &amp; Manèges couverts ; Piscines extérieures ; Bases nautiques / centres nautiques avec vestiaires-douches</t>
    </r>
    <r>
      <rPr>
        <sz val="9"/>
        <rFont val="Calibri"/>
      </rPr>
      <t xml:space="preserve"> : ERPBases de loisirs avec plages, douches et sanitaires : mixte</t>
    </r>
  </si>
  <si>
    <r>
      <rPr>
        <b/>
        <sz val="9"/>
        <rFont val="Calibri"/>
      </rPr>
      <t>Terrains de sport</t>
    </r>
    <r>
      <rPr>
        <sz val="9"/>
        <rFont val="Calibri"/>
      </rPr>
      <t xml:space="preserve"> : Équipements sportifs de plein air. Complexe multi-terrains sans tribune (Site mutualisé, club-house, plusieurs vestiaires), Standard club municipal (Cas le plus fréquent à retenir), Petit terrain communal, peu ou pas de sanitaire public (Minimal vestiaires seuls).Stades avec tribunes : Équipements sportifs de plein air. Stade municipal/intercommunal, club amateur structuré ou semi-pro, tribune permanente, bloc vestiaires-douches, sanitaires publics, usage compétition locale/régionale/nationale ponctuelleGrands stades avec tribunes : Équipements sportifs de plein air de grande taille. Club pro ou semi-pro haut niveau, usage événementiel, concerts possibles, compétitions avec public moyen/nombreux, capacité et équipements ERP spectateurs plus lourdsHippodromes, Centres équestres &amp; Manèges couverts : Équipements sportifs et de loisirs de plein air.Piscines extérieures : Équipement nautique de plein air recevant du public.Bases nautiques / centres nautiques avec vestiaires-douches : Équipements nautiques ouverts au public avec vestiaires, douches et sanitaires ; hors piscines déjà comptées séparément et hors simple mise à l’eau sans bâtiment recevant du public.Bases de loisirs avec plages, douches et sanitaires : Sites de loisirs autonomes avec accueil public et blocs sanitaires ; hors campings et piscines déjà comptés séparément.</t>
    </r>
  </si>
  <si>
    <r>
      <rPr>
        <b/>
        <sz val="9"/>
        <rFont val="Calibri"/>
      </rPr>
      <t>Terrains de sport</t>
    </r>
    <r>
      <rPr>
        <sz val="9"/>
        <rFont val="Calibri"/>
      </rPr>
      <t xml:space="preserve"> : Terrain de rugby, football, athlétisme (sans tribunes), hand, basket ou autre …Stades avec tribunes : Stades municipaux à tribune permanente ; stades clubs amateurs structurés ; stades avec bloc vestiaires-douches joueurs/arbitres ; stades à usage événementiel régulierGrands stades avec tribunes : Club pro - semi-pro haut niveau, usage événementiel, concerts possibles, compétitions avec public, capacité ERP spectateurs lourdeHippodromes, Centres équestres &amp; Manèges couverts : Hippodrome, centre équestre, poney-club, manège couvertPiscines extérieures : Piscine de plein airBases nautiques / centres nautiques avec vestiaires-douches : Base nautique, centre nautique, club nautique avec accueil publicBases de loisirs avec plages, douches et sanitaires : Base de loisirs, plan d’eau aménagé, centre de loisirs de plein air</t>
    </r>
  </si>
  <si>
    <r>
      <rPr>
        <b/>
        <sz val="9"/>
        <rFont val="Calibri"/>
      </rPr>
      <t>Terrains de sport ; Stades avec tribunes ; Bases nautiques / centres nautiques avec vestiaires-douches ; Bases de loisirs avec plages, douches et sanitaires</t>
    </r>
    <r>
      <rPr>
        <sz val="9"/>
        <rFont val="Calibri"/>
      </rPr>
      <t xml:space="preserve"> : MoyenneGrands stades avec tribunes ; Hippodromes, Centres équestres &amp; Manèges couverts ; Piscines extérieures : Elevé</t>
    </r>
  </si>
  <si>
    <r>
      <rPr>
        <b/>
        <sz val="9"/>
        <rFont val="Calibri"/>
      </rPr>
      <t>Terrains de sport</t>
    </r>
    <r>
      <rPr>
        <sz val="9"/>
        <rFont val="Calibri"/>
      </rPr>
      <t xml:space="preserve"> : Hausse lente mais régulière, renforcée après 2021 par les plans publics d’équipements sportifs ; l’effet porte surtout sur des créations/rénovations de proximité, pas sur un bond massif des grands terrains.Stades avec tribunes ; Grands stades avec tribunes ; Piscines extérieures ; Bases nautiques / centres nautiques avec vestiaires-douches : Faute de série nationale homogène publiée annuellement pour cette sous-catégorie, le proxy est lissé ; la faible variation reflète une prudence méthodologique.Hippodromes, Centres équestres &amp; Manèges couverts : 2025 =&gt; 233 hippodromes + environ 6 000 centres équestres / poney-clubs / manèges ouverts au public. Environ 55-60% dotés de sanitaires.Bases de loisirs avec plages, douches et sanitaires : Tendance faiblement baissière : rationalisat° petits plans d’eau, coûts surveillance/maintenance, exigences qualité eau + encadrement. Projection 2026-30 reste stable à légère baisse.</t>
    </r>
  </si>
  <si>
    <r>
      <rPr>
        <b/>
        <sz val="9"/>
        <rFont val="Calibri"/>
      </rPr>
      <t>Terrains de sport</t>
    </r>
    <r>
      <rPr>
        <sz val="9"/>
        <rFont val="Calibri"/>
      </rPr>
      <t xml:space="preserve"> : Dynamique projetée 2027-2030: stable. Plans « 5000 terrains/équipements » ajoutent un support à la croissance 2022-2026. 70 % du volume brut disposeraient de sanitaires accessibles au public, sur la base de Data ES et du constat Insee.Stades avec tribunes : proxy équipements extérieurs. Dynamique projetée 2027-2030: stable. Fiabilité: moyenne.Grands stades avec tribunes : proxy terrains sportifs de plein air. Dynamique projetée 2027-2030: stable. Fiabilité: moyenne.Hippodromes, Centres équestres &amp; Manèges couverts : Projection 2026-2030 légèrement baissière : socle hippodromes reste limité, tandis que centres équestres sanitaires-équipés restent nombreux mais soumis à une concentration progressive.Piscines extérieures : proxy piscines de plein air. Dynamique projetée 2027-2030: stable. Fiabilité: moyenne.Bases nautiques / centres nautiques avec vestiaires-douches : proxy équipements aquatiques couverts. Dynamique projetée 2027-2030: stable. Fiabilité: moyenne.Bases de loisirs avec plages, douches et sanitaires : Ancrage par borne officielle sites baignade eau douce : 1286 (2024). Seule 1 fraction sont de vraies bases loisirs + plage, douches + sanitaires. Série retenue vise 1 sous-ensemble équipé, homogène et prudent.</t>
    </r>
  </si>
  <si>
    <r>
      <rPr>
        <b/>
        <sz val="9"/>
        <rFont val="Calibri"/>
      </rPr>
      <t>Terrains de sport</t>
    </r>
    <r>
      <rPr>
        <sz val="9"/>
        <rFont val="Calibri"/>
      </rPr>
      <t xml:space="preserve"> : https://www.sports.gouv.fr/recensement-des-equipements-sportifs-data-es-671 ; https://www.sports.gouv.fr/plan-5000-terrains-de-sport-d-ici-2024-678 ; https://www.agencedusport.fr/plan-5000-equipements-generation-2024Stades avec tribunes ; Grands stades avec tribunes ; Piscines extérieures : https://www.insee.fr/fr/metadonnees/source/serie/s1161Hippodromes, Centres équestres &amp; Manèges couverts : https://www.ffe.com/actualites/assemblees-generales-ordinaires-2024-de-la-ffe-et-du-cnte ; https://www.ffe.com/tourisme/le-comite-national-de-tourisme-equestre-cnte
https://www.insee.fr/fr/metadonnees/source/serie/s1161Bases de loisirs avec plages, douches et sanitaires : https://sante.gouv.fr/actualites/presse/communiques-de-presse/article/qualite-des-eaux-de-baignade-en-france-90-5-des-sites-de-baignade-juges-d ; https://www.documentation.oieau.fr/3098 ; https://www.insee.fr/fr/metadonnees/source/fichier/BPE21_Liste_hierarchisee_equipements.pdf</t>
    </r>
  </si>
  <si>
    <r>
      <rPr>
        <b/>
        <sz val="9"/>
        <rFont val="Calibri"/>
      </rPr>
      <t>Terrains de sport</t>
    </r>
    <r>
      <rPr>
        <sz val="9"/>
        <rFont val="Calibri"/>
      </rPr>
      <t xml:space="preserve"> : Terrain sportif local : sanitaires publics/club-house + vestiaires-douches si collectifs.Stades avec tribunes : Stade d'athlétisme : petit bloc public + vestiaires sportifs séparés si la jauge du vestiaire atteint ≥5 personnes.Grands stades avec tribunes : Grand stade : batteries public + vestiaires équipes/arbitres/contrôle, vestiaires collectifs séparés.Hippodromes, Centres équestres &amp; Manèges couverts : Hippodrome/centre équestre : bloc public + sanitaires cavaliers/staff, douches surtout pour activité équestre.Piscines extérieures : Piscine de plein air : vestiaires humides séparés et douches collectives ; cabines individuelles non comptées.Bases nautiques / centres nautiques avec vestiaires-douches : Base nautique : vestiaires humides, douches collectives et sanitaires publics.Bases de loisirs avec plages, douches et sanitaires : Base de loisirs/plage : batteries publiques saisonnières + douches extérieures/vestiaires selon site.</t>
    </r>
  </si>
  <si>
    <r>
      <rPr>
        <b/>
        <sz val="9"/>
        <rFont val="Calibri"/>
      </rPr>
      <t>Terrains de sport</t>
    </r>
    <r>
      <rPr>
        <sz val="9"/>
        <rFont val="Calibri"/>
      </rPr>
      <t xml:space="preserve"> : 2 vestiaires joueurs : 5 à 7 douches chacun, 1 lavabo, parfois 1 WC ; 1 vestiaire arbitre : 1 douche, 1 lavabo, 1 WC ; un petit bloc public / club-house : quelques WC, lavabos, parfois 1 à 2 urinoirs .
Rarement de gros blocs sanitaires spectateurs, puisqu’il n’y a pas de tribune. Donc les douches peuvent dépasser les lavabos, ce qui est normal pour ce sous-segment.Stades avec tribunes : Capacité type ≈ 59 sportifs/usagers + 7 staff + 4 arbitres/maintenance + Public. Le programme inclut sanitaires publics et vestiaires sportifs séparés dès lors qu'ils accueillent au moins 5 personnes ; pour les piscines, les douches collectives sont structurelles. Calibrage selon capacité simultanée, répartition de flux et organisation réelle du site.Grands stades avec tribunes : Capacité type ≈ 504 sportifs/usagers + 60 staff + 36 arbitres/maintenance + Public (ultra-majoritaire). Le programme inclut sanitaires publics et vestiaires sportifs séparés dès lors qu'ils accueillent au moins 5 personnes ; pour les piscines, les douches collectives sont structurelles. Calibrage selon capacité simultanée, répartition de flux et organisation réelle du site.Hippodromes, Centres équestres &amp; Manèges couverts : Capacité type ≈ 130 usagers principaux + 35 staff + 15 autre public. Mix spectateurs, cavaliers et encadrement ; pics événementiels non retenus comme moyenne. Dimensionnement unitaire retenu : blocs séparés public/exploitant + vestiaires/douches cavaliers en cas de pratique collective. Hypothèse d'usage : capacité simultanée moyenne 2026, répartition par flux réels, arrondie par blocs fonctionnels et exclusion des sanitaires strictement privatifs sauf cas explicitement collectifs.Piscines extérieures : Capacité type ≈ 504 sportifs/usagers + 60 staff + 36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site.Bases nautiques / centres nautiques avec vestiaires-douches : Capacité type ≈ 95 usagers principaux + 18 staff + 7 autre public. Cohortes de pratiquants nautiques, encadrement et visiteurs/accompagnants. Dimensionnement unitaire retenu : douches/vestiaires par groupes de cours ou sorties, plus WC public et staff. Hypothèse d'usage : capacité simultanée moyenne 2026, répartition par flux réels, arrondie par blocs fonctionnels et exclusion des sanitaires strictement privatifs sauf cas explicitement collectifs.Bases de loisirs avec plages, douches et sanitaires : Capacité type ≈ 520 usagers principaux + 50 staff + 30 autre public. Flux familial saisonnier, forte simultanéité en journée mais sites souvent extensifs. Dimensionnement unitaire retenu : plusieurs blocs sanitaires répartis, dimensionnés par zones de baignade/restauration/accueil. Hypothèse d'usage : capacité simultanée moyenne 2026, répartition par flux réels, arrondie par blocs fonctionnels et exclusion des sanitaires strictement privatifs sauf cas explicitement collectifs.</t>
    </r>
  </si>
  <si>
    <r>
      <rPr>
        <b/>
        <sz val="9"/>
        <rFont val="Calibri"/>
      </rPr>
      <t>Terrains de sport</t>
    </r>
    <r>
      <rPr>
        <sz val="9"/>
        <rFont val="Calibri"/>
      </rPr>
      <t xml:space="preserve"> : Profil petit, capacité moyenne ≈ 50 personnes. Moyenne pondérée terrain : parc majoritairement petits/moyens sites, grands sites intégrés sans surpondération ; usage 2025 forte à très forte.Stades avec tribunes : Profil à capacité moyenne ≈ 900 personnes. Moyenne pondérée terrain : parc majoritairement petits/moyens sites, grands sites intégrés sans surpondération ; usage 2025 forte à très forte.Grands stades avec tribunes : Profil grand, capacité moyenne ≈ 11500 personnes. Moyenne pondérée terrain : parc majoritairement petits/moyens sites, grands sites intégrés sans surpondération ; usage 2025 forte à très forte.Hippodromes, Centres équestres &amp; Manèges couverts : Profil moyen, capacité moyenne ≈ 180 personnes. Moyenne pondérée terrain : parc majoritairement petits/moyens sites, grands sites intégrés sans surpondération ; usage 2025 forte à très forte.Piscines extérieures ; Bases de loisirs avec plages, douches et sanitaires : Profil grand, capacité moyenne ≈ 600 personnes. Moyenne pondérée terrain : parc majoritairement petits/moyens sites, grands sites intégrés sans surpondération ; usage 2025 forte à très forte.Bases nautiques / centres nautiques avec vestiaires-douches : Profil moyen, capacité moyenne ≈ 120 personnes. Moyenne pondérée terrain : parc majoritairement petits/moyens sites, grands sites intégrés sans surpondération ; usage 2025 forte à très forte.</t>
    </r>
  </si>
  <si>
    <r>
      <rPr>
        <b/>
        <sz val="9"/>
        <rFont val="Calibri"/>
      </rPr>
      <t>Terrains de sport ; Hippodromes, Centres équestres &amp; Manèges couverts ; Bases nautiques / centres nautiques avec vestiaires-douches ; Bases de loisirs avec plages, douches et sanitaires</t>
    </r>
    <r>
      <rPr>
        <sz val="9"/>
        <rFont val="Calibri"/>
      </rPr>
      <t xml:space="preserve"> : Locaux de sports - équipements sanitaires : https://www.legifrance.gouv.fr/codes/section_lc/LEGITEXT000006070308/LEGISCTA000006148993/ ; Textes équipements sportifs : https://www.sports.gouv.fr/principaux-textes-de-reference-pour-les-equipements-sportifs-842 ; Code du travail : https://www.legifrance.gouv.fr/codes/id/LEGISCTA000018531984Stades avec tribunes ; Grands stades avec tribunes ; Piscines extérieures : Ministère des Sports, réglementation des équipements sportifs : https://www.sports.gouv.fr/reglementation-federale-des-equipements-sportifs-845 ; + Code du travail pour vestiaires collectifs et sanitaires staff.</t>
    </r>
  </si>
  <si>
    <r>
      <rPr>
        <b/>
        <sz val="9"/>
        <rFont val="Calibri"/>
      </rPr>
      <t>Terrains de sport</t>
    </r>
    <r>
      <rPr>
        <sz val="9"/>
        <rFont val="Calibri"/>
      </rPr>
      <t xml:space="preserve"> : Usage très saisonnier mais pics forts, salissures, chocs et maintenance souvent contrainte. Les durées réelles sont proches des ERP à forte fréquentation, avec un petit avantage aux technologies mécaniques simples. Les remplacements sont généralement batchés avec les vestiaires et sanitaires de stade. Sport / piscines / stades : Forts pics de fréquentation, milieu humide ou chloré, nettoyage intensif et vandalisme non négligeable. Les douches et WC sont les plus exposés.Stades avec tribunes : Usage très intermittent, pics compétitions/entraînements, salissures et maintenance hors saison. Moins intensif qu'un grand stade, mais plus extérieur qu'un gymnase; douches et électroniques restent prudents. Les durées réelles sont proches des ERP à forte fréquentation, avec un petit avantage aux technologies mécaniques simples. Les remplacements sont généralement batchés avec les vestiaires et sanitaires de stade. Nettoyage intensif et vandalisme non négligeable. Les douches et WC sont les plus exposés.Grands stades avec tribunes : Très forts pics concentrés, usage anonyme, nettoyage de masse et risque de dégradation lors d'événements. Durée tirée vers le bas malgré maintenance structurée; chasses mécaniques les plus robustes. Usage ponctuels mais pics forts, salissures, chocs et maintenance souvent contrainte. Les durées réelles sont celles des ERP à forte fréquentation, avec un petit avantage aux technologies mécaniques simples. Remplacements sont généralement batchés avec les vestiaires et sanitaires de stade.Nettoyage intensif et vandalisme non négligeable. Les douches et WC sont les plus exposés.Hippodromes, Centres équestres &amp; Manèges couverts : Poussière, boue, saisonnalité et public événementiel; douches/vestiaires de personnels ou cavaliers subissent humidité et salissures. Plus exposé qu'un stade classique, rénovations souvent après saison.Piscines extérieures : Usage saisonnier avec UV, variations thermiques, chlore et remises en eau; pics estivaux mais longue fermeture. Plus agressif pour joints/capteurs qu'une piscine couverte malgré moindre usage annuel. Très forte fréquentation, mais plus ponctuelle, usage anonyme, nettoyage intensif et vandalisme tangible. Temporisés mécaniques et chasses directes mécaniques gardent l'avantage réel. Electronique limité surtout par capteurs, piles/secteur et interventions plus lourdes. Remplacements souvent planifiés par campagne de remise à niveau des sanitaires, hors saison. Disponibilité immédiate requise, vandalisme et coûts d’exploitation élevés. Temporisation mécanique et la chasse directe sont favorisées.Bases nautiques / centres nautiques avec vestiaires-douches : Eau, sable, sel éventuel et pics d'été sur vestiaires; maintenance souvent saisonnière et locaux parfois peu chauffés. Proche plage, mais meilleure tenue si base encadrée et fermée hors saison. Repères durées: lavabos 10/11/8 ans (mit./méca/élec.), douches 8/8/7, urinoirs 8/10/7/9, WC 10/11/8.Bases de loisirs avec plages, douches et sanitaires : Forte saisonnalité, sable/boue, passages pieds nus et pics météo; vandalisme et nettoyage sous contrainte. Plus exposé qu'un centre de loisirs encadré, douches et électroniques nettement pénalisés. Repères durées: lavabos 10/11/8 ans (mit./méca/élec.), douches 8/8/7, urinoirs 8/10/7/9, WC 10/11/8.</t>
    </r>
  </si>
  <si>
    <r>
      <rPr>
        <b/>
        <sz val="9"/>
        <rFont val="Calibri"/>
      </rPr>
      <t>Terrains de sport</t>
    </r>
    <r>
      <rPr>
        <sz val="9"/>
        <rFont val="Calibri"/>
      </rPr>
      <t xml:space="preserve"> : Terrains de sport (Hors scolaire) : parc 2025 domine par tempo mecanique (76%), avec mitigeur manuel en appoint. Le choix reflete vestiaires et sanitaires soumis aux pics match/entrainement et a une exposition exterieure ; anti-vandalisme, lavage frequent et tenue aux usages sportifs.Stades avec tribunes : Dans les stades et terrains sportifs ordinaires, le temporisé mécanique reste la norme du parc commun, avec une faible part d’électronique.Grands stades avec tribunes : Dans les grands stades, le parc commun reste d’abord pensé pour l’intensité : temporisé mécanique dominant, avec une part d’électronique plus élevée sur les rénovations premium.Hippodromes, Centres équestres &amp; Manèges couverts : Le parc des hippodromes mélange équipements publics anciens et rénovations ponctuelles : temporisé mécanique dominant, avec une part d’équipements atypiques ou robustes plus élevée.  Parc 2025 domine par tempo mecanique (76%), avec mitigeur manuel en appoint. Le choix reflete vestiaires et sanitaires soumis aux pics match/entrainement et a une exposition exterieure ; anti-vandalisme, lavage frequent et tenue aux usages sportifs.Piscines extérieures : Dans les piscines, le parc combine temporisé mécanique et électronique, ce dernier étant plus présent que dans les gymnases en raison des rénovations et de l’hygiène.Bases nautiques / centres nautiques avec vestiaires-douches : Bases nautiques / centres nautiques avec vestiaires-douches : parc 2025 domine par tempo mecanique (76%), avec mitigeur manuel en appoint. Le choix reflete ambiance tres humide, pics saisonniers ou horaires et maintenance sous contrainte sanitaire ; milieu humide, corrosion, securite usager et forte frequence de nettoyage.Bases de loisirs avec plages, douches et sanitaires : Bases de loisirs avec plages, douches et sanitaires : parc 2025 domine par tempo mecanique (76%), avec mitigeur manuel en appoint. Le choix reflete ambiance tres humide, pics saisonniers ou horaires et maintenance sous contrainte sanitaire ; milieu humide, corrosion, securite usager et forte frequence de nettoyage.</t>
    </r>
  </si>
  <si>
    <r>
      <rPr>
        <b/>
        <sz val="9"/>
        <rFont val="Calibri"/>
      </rPr>
      <t>Terrains de sport ; Hippodromes, Centres équestres &amp; Manèges couverts ; Bases nautiques / centres nautiques avec vestiaires-douches ; Bases de loisirs avec plages, douches et sanitaires</t>
    </r>
    <r>
      <rPr>
        <sz val="9"/>
        <rFont val="Calibri"/>
      </rPr>
      <t xml:space="preserve"> : 2025-2030 : progression de tempo electronique (+2,0%), surtout lors des renov. lourdes/neuf ; recul de mitigeur manuel (-2,0%) mais maintien d un socle robuste pour les remplacements partiels.Stades avec tribunes ; Grands stades avec tribunes ; Piscines extérieures : Dans le sport, l’électronique progresse sur les rénovations, mais le temporisé mécanique reste la colonne vertébrale du parc grâce à sa robustesse et à la maîtrise d’eau.</t>
    </r>
  </si>
  <si>
    <r>
      <rPr>
        <b/>
        <sz val="9"/>
        <rFont val="Calibri"/>
      </rPr>
      <t>Terrains de sport</t>
    </r>
    <r>
      <rPr>
        <sz val="9"/>
        <rFont val="Calibri"/>
      </rPr>
      <t xml:space="preserve"> : Terrains de sport (Hors scolaire) : parc 2025 domine par tempo mecanique (80%), avec mitigeur en appoint. Le choix reflete vestiaires et sanitaires soumis aux pics match/entrainement et a une exposition exterieure ; anti-vandalisme, lavage frequent et tenue aux usages sportifs.Stades avec tribunes ; Grands stades avec tribunes : Les douches de vestiaires restent très majoritairement temporisées mécaniques.Hippodromes, Centres équestres &amp; Manèges couverts : Hippodromes, Centres équestres &amp; Manèges couverts : parc 2025 domine par tempo mecanique (80%), avec mitigeur en appoint. Le choix reflete vestiaires et sanitaires soumis aux pics match/entrainement et a une exposition exterieure ; anti-vandalisme, lavage frequent et tenue aux usages sportifs.Piscines extérieures : Les douches collectives restent dominées par le temporisé mécanique, l’électronique progressant dans les piscines récentes.Bases nautiques / centres nautiques avec vestiaires-douches : Bases nautiques / centres nautiques avec vestiaires-douches : parc 2025 domine par tempo mecanique (80%), avec mitigeur en appoint. Le choix reflete ambiance tres humide, pics saisonniers ou horaires et maintenance sous contrainte sanitaire ; milieu humide, corrosion, securite usager et forte frequence de nettoyage.Bases de loisirs avec plages, douches et sanitaires : Bases de loisirs avec plages, douches et sanitaires : parc 2025 domine par tempo mecanique (80%), avec mitigeur en appoint. Le choix reflete ambiance tres humide, pics saisonniers ou horaires et maintenance sous contrainte sanitaire ; milieu humide, corrosion, securite usager et forte frequence de nettoyage.</t>
    </r>
  </si>
  <si>
    <r>
      <rPr>
        <b/>
        <sz val="9"/>
        <rFont val="Calibri"/>
      </rPr>
      <t>Terrains de sport ; Hippodromes, Centres équestres &amp; Manèges couverts ; Bases nautiques / centres nautiques avec vestiaires-douches ; Bases de loisirs avec plages, douches et sanitaires</t>
    </r>
    <r>
      <rPr>
        <sz val="9"/>
        <rFont val="Calibri"/>
      </rPr>
      <t xml:space="preserve"> : 2025-2030 : progression de tempo mecanique (+2,0%), surtout lors des renov. lourdes/neuf ; recul de mitigeur (-3,0%) mais maintien d un socle robuste pour les remplacements partiels.Stades avec tribunes ; Grands stades avec tribunes ; Piscines extérieures : Dans les vestiaires sportifs, l’électronique progresse mais le temporisé mécanique reste majoritaire à horizon 2030 grâce au coût total et à la robustesse.</t>
    </r>
  </si>
  <si>
    <r>
      <rPr>
        <b/>
        <sz val="9"/>
        <rFont val="Calibri"/>
      </rPr>
      <t>Terrains de sport</t>
    </r>
    <r>
      <rPr>
        <sz val="9"/>
        <rFont val="Calibri"/>
      </rPr>
      <t xml:space="preserve"> : Terrains de sport (Hors scolaire) : parc 2025 domine par directe mecanique (55%), avec directe electronique collective en appoint. Le choix reflete vestiaires et sanitaires soumis aux pics match/entrainement et a une exposition exterieure ; anti-vandalisme, lavage frequent et tenue aux usages sportifs.Stades avec tribunes : Les collectifs anciens restent très présents sur les urinoirs de ce parc sportif de proximité.Grands stades avec tribunes : Les urinoirs collectifs (rampe/batterie) conservent un poids majeur dans le parc existant des grands stades ; l’automatique progresse sans devenir majoritaire.Hippodromes, Centres équestres &amp; Manèges couverts : Hippodromes, Centres équestres &amp; Manèges couverts : parc 2025 domine par directe mecanique (55%), avec directe electronique collective en appoint. Le choix reflete vestiaires et sanitaires soumis aux pics match/entrainement et a une exposition exterieure ; anti-vandalisme, lavage frequent et tenue aux usages sportifs.Piscines extérieures : Le parc d’urinoirs reste tiré par les collectifs et les chasses directes, avec une part automatique déjà non négligeable.Bases nautiques / centres nautiques avec vestiaires-douches : Bases nautiques / centres nautiques avec vestiaires-douches : parc 2025 domine par directe mecanique (55%), avec directe electronique collective en appoint. Le choix reflete ambiance tres humide, pics saisonniers ou horaires et maintenance sous contrainte sanitaire ; milieu humide, corrosion, securite usager et forte frequence de nettoyage.Bases de loisirs avec plages, douches et sanitaires : Bases de loisirs avec plages, douches et sanitaires : parc 2025 domine par directe mecanique (55%), avec directe electronique collective en appoint. Le choix reflete ambiance tres humide, pics saisonniers ou horaires et maintenance sous contrainte sanitaire ; milieu humide, corrosion, securite usager et forte frequence de nettoyage.</t>
    </r>
  </si>
  <si>
    <r>
      <rPr>
        <b/>
        <sz val="9"/>
        <rFont val="Calibri"/>
      </rPr>
      <t>Terrains de sport ; Hippodromes, Centres équestres &amp; Manèges couverts ; Bases nautiques / centres nautiques avec vestiaires-douches ; Bases de loisirs avec plages, douches et sanitaires</t>
    </r>
    <r>
      <rPr>
        <sz val="9"/>
        <rFont val="Calibri"/>
      </rPr>
      <t xml:space="preserve"> : 2025-2030 : progression de directe electronique indiv. (+2,0%), surtout lors des renov. lourdes/neuf ; recul de directe electronique collective (-1,0%) mais maintien d un socle robuste pour les remplacements partiels.Stades avec tribunes ; Grands stades avec tribunes ; Piscines extérieures : Les rampes/collectifs et réservoirs reculent sur les rénovations ; l’automatique progresse, mais le direct mécanique reste très présent.</t>
    </r>
  </si>
  <si>
    <r>
      <rPr>
        <b/>
        <sz val="9"/>
        <rFont val="Calibri"/>
      </rPr>
      <t>Terrains de sport</t>
    </r>
    <r>
      <rPr>
        <sz val="9"/>
        <rFont val="Calibri"/>
      </rPr>
      <t xml:space="preserve"> : Terrains de sport (Hors scolaire) : parc 2025 domine par chasse directe mecanique (55%), avec reservoir en appoint. Le choix reflete vestiaires et sanitaires soumis aux pics match/entrainement et a une exposition exterieure ; anti-vandalisme, lavage frequent et tenue aux usages sportifs.Stades avec tribunes : La chasse directe est déjà majoritaire, mais le réservoir conserve un poids important sur le parc existant.Grands stades avec tribunes : La chasse directe domine très nettement les sanitaires publics de stade, mieux adaptée à de très forts pics de fréquentation.Hippodromes, Centres équestres &amp; Manèges couverts : Hippodromes, Centres équestres &amp; Manèges couverts : parc 2025 domine par chasse directe mecanique (55%), avec reservoir en appoint. Le choix reflete vestiaires et sanitaires soumis aux pics match/entrainement et a une exposition exterieure ; anti-vandalisme, lavage frequent et tenue aux usages sportifs.Piscines extérieures : La chasse directe domine les blocs de piscine ; l’électronique apparaît davantage que dans le sport sec.Bases nautiques / centres nautiques avec vestiaires-douches : Bases nautiques / centres nautiques avec vestiaires-douches : parc 2025 domine par chasse directe mecanique (55%), avec reservoir en appoint. Le choix reflete ambiance tres humide, pics saisonniers ou horaires et maintenance sous contrainte sanitaire ; milieu humide, corrosion, securite usager et forte frequence de nettoyage.Bases de loisirs avec plages, douches et sanitaires : Bases de loisirs avec plages, douches et sanitaires : parc 2025 domine par chasse directe mecanique (55%), avec reservoir en appoint. Le choix reflete ambiance tres humide, pics saisonniers ou horaires et maintenance sous contrainte sanitaire ; milieu humide, corrosion, securite usager et forte frequence de nettoyage.</t>
    </r>
  </si>
  <si>
    <r>
      <rPr>
        <b/>
        <sz val="9"/>
        <rFont val="Calibri"/>
      </rPr>
      <t>Terrains de sport ; Hippodromes, Centres équestres &amp; Manèges couverts ; Bases nautiques / centres nautiques avec vestiaires-douches ; Bases de loisirs avec plages, douches et sanitaires</t>
    </r>
    <r>
      <rPr>
        <sz val="9"/>
        <rFont val="Calibri"/>
      </rPr>
      <t xml:space="preserve"> : 2025-2030 : progression de chasse directe electronique (+7,0%), surtout lors des renov. lourdes/neuf ; recul de reservoir (-10,0%) mais maintien d un socle robuste pour les remplacements partiels.Stades avec tribunes ; Grands stades avec tribunes ; Piscines extérieures : Les ERP sportifs rénovés basculent progressivement du réservoir vers le direct ; l’électronique progresse mais reste derrière le direct mécanique.</t>
    </r>
  </si>
  <si>
    <r>
      <rPr>
        <b/>
        <sz val="9"/>
        <rFont val="Calibri"/>
      </rPr>
      <t>Terrains de sport ; Hippodromes, Centres équestres &amp; Manèges couverts</t>
    </r>
    <r>
      <rPr>
        <sz val="9"/>
        <rFont val="Calibri"/>
      </rPr>
      <t xml:space="preserve"> : 80,1% retenu : besoins transformes en travaux selon vestiaires et sanitaires soumis aux pics match/entrainement et a une exposition exterieure. Le phasage budgetaire, les fermetures partielles et la maintenance courante limitent la conversion totale.Stades avec tribunes : 82,9% retenu : intensité d’usage et vétusté soutiennent la réno, mais les budgets locaux et la saisonnalité retardent une partie des programmes.Grands stades avec tribunes : 86,2% retenu : intensité d’usage et vétusté soutiennent la réno, mais les budgets locaux et la saisonnalité retardent une partie des programmes.Piscines extérieures : 79,6% retenu : intensité d’usage et vétusté soutiennent la réno, mais les budgets locaux et la saisonnalité retardent une partie des programmes.Bases nautiques / centres nautiques avec vestiaires-douches ; Bases de loisirs avec plages, douches et sanitaires : 82,1% retenu : besoins transformes en travaux selon ambiance tres humide, pics saisonniers ou horaires et maintenance sous contrainte sanitaire. Le phasage budgetaire, les fermetures partielles et la maintenance courante limitent la conversion totale.</t>
    </r>
  </si>
  <si>
    <r>
      <rPr>
        <b/>
        <sz val="9"/>
        <rFont val="Calibri"/>
      </rPr>
      <t>Terrains de sport ; Hippodromes, Centres équestres &amp; Manèges couverts</t>
    </r>
    <r>
      <rPr>
        <sz val="9"/>
        <rFont val="Calibri"/>
      </rPr>
      <t xml:space="preserve"> : Potentiel renovation : tire par anti-vandalisme, lavage frequent et tenue aux usages sportifs. Les remplacements sont plutot par lots, avec arbitrage entre urgence sanitaire, budget et capacite a intervenir en site occupe.Stades avec tribunes : Potentiel rénovation élevé : vestiaires, douches et sanitaires sont fortement exposés à l’humidité, aux pics d’usage et parfois au vandalisme. La douche pèse au-dessus de la moyenne, avec des contraintes d’humidité, de corrosion et d’entretien qui accélèrent le remplacement. En rénovation, l’achat reste orienté vers des produits robustes, anti-vandalisme et simples à maintenir en site occupé.Grands stades avec tribunes : Potentiel rénovation très élevé : vestiaires, douches et sanitaires sont fortement exposés à l’humidité, aux pics d’usage et parfois au vandalisme. Les volumes se concentrent surtout sur lavabos et wc. En rénovation, l’achat reste orienté vers des produits robustes, anti-vandalisme et simples à maintenir en site occupé.Piscines extérieures : Potentiel rénovation élevé : parmi les plus élevés du modèle, car l’humidité, la corrosion, l’énergie et l’image usagers imposent des campagnes lourdes. La douche pèse au-dessus de la moyenne, avec des contraintes d’humidité, de corrosion et d’entretien qui accélèrent le remplacement. En rénovation, les maîtres d’ouvrage privilégient des références robustes, vite posées et faciles à maintenir dans des ambiances humides.Bases nautiques / centres nautiques avec vestiaires-douches ; Bases de loisirs avec plages, douches et sanitaires : Potentiel renovation : tire par milieu humide, corrosion, securite usager et forte frequence de nettoyage. Les remplacements sont plutot par lots, avec arbitrage entre urgence sanitaire, budget et capacite a intervenir en site occupe.</t>
    </r>
  </si>
  <si>
    <r>
      <rPr>
        <b/>
        <sz val="9"/>
        <rFont val="Calibri"/>
      </rPr>
      <t>Terrains de sport</t>
    </r>
    <r>
      <rPr>
        <sz val="9"/>
        <rFont val="Calibri"/>
      </rPr>
      <t xml:space="preserve"> : Potentiel neuf : limite pour terrains de sport (hors scolaire), surtout via extensions, reconstructions ou projets locaux. Le neuf reste contraint par foncier, budgets et delais de mise en service.Stades avec tribunes : Potentiel neuf moyen : soutenu par quelques programmes publics et privés, avec un levier visible du plan 5000 équipements jusqu’en 2026 mais pas une vague uniforme ensuite. Le neuf est réel mais secondaire.Grands stades avec tribunes : Potentiel neuf moyen à soutenu : soutenu par quelques programmes publics et privés, avec un levier visible du plan 5000 équipements jusqu’en 2026 mais pas une vague uniforme ensuite. Le neuf est réel mais secondaire. Les projets neufs sont rares ; l’activité vient plus souvent de requalifications lourdes.Hippodromes, Centres équestres &amp; Manèges couverts : Potentiel neuf : limite pour hippodromes, centres équestres &amp; manèges couverts, surtout via extensions, reconstructions ou projets locaux. Le neuf reste contraint par foncier, budgets et delais de mise en service.Piscines extérieures : Potentiel neuf faible : soutenu sur quelques projets structurants, mais très capitalistique et sélectif. Le neuf est quasi nul dans le modèle et renvoie surtout à des reconstructions ou remplacements de sites.Bases nautiques / centres nautiques avec vestiaires-douches : Potentiel neuf : plus visible pour bases nautiques / centres nautiques avec vestiaires-douches, surtout via extensions, reconstructions ou projets locaux. Le neuf reste contraint par foncier, budgets et delais de mise en service.Bases de loisirs avec plages, douches et sanitaires : Potentiel neuf : plus visible pour bases de loisirs avec plages, douches et sanitaires, surtout via extensions, reconstructions ou projets locaux. Le neuf reste contraint par foncier, budgets et delais de mise en service.</t>
    </r>
  </si>
  <si>
    <r>
      <rPr>
        <b/>
        <sz val="9"/>
        <rFont val="Calibri"/>
      </rPr>
      <t>Terrains de sport ; Hippodromes, Centres équestres &amp; Manèges couverts ; Bases nautiques / centres nautiques avec vestiaires-douches ; Bases de loisirs avec plages, douches et sanitaires</t>
    </r>
    <r>
      <rPr>
        <sz val="9"/>
        <rFont val="Calibri"/>
      </rPr>
      <t xml:space="preserve"> : Projets phares renovation : reprise de blocs sanitaires, accessibilite, ventilation, economie d eau, remplacement des pieces usees et adaptation aux pics de frequentation propres au sous-segment.Stades avec tribunes ; Grands stades avec tribunes : Projets phares réno : vestiaires, douches, sanitaires spectateurs, accessibilité et modernisation d’équipements sportifs.Piscines extérieures : Projets phares réno : vestiaires, douches, sanitaires publics, réhabilitation énergétique et reprise des ambiances humides.</t>
    </r>
  </si>
  <si>
    <r>
      <rPr>
        <b/>
        <sz val="9"/>
        <rFont val="Calibri"/>
      </rPr>
      <t>Terrains de sport ; Hippodromes, Centres équestres &amp; Manèges couverts ; Bases nautiques / centres nautiques avec vestiaires-douches ; Bases de loisirs avec plages, douches et sanitaires</t>
    </r>
    <r>
      <rPr>
        <sz val="9"/>
        <rFont val="Calibri"/>
      </rPr>
      <t xml:space="preserve"> : Projets phares neuf : creations ou reconstructions selectives, integration de sanitaires plus sobres, robustes et faciles a maintenir des la conception.Stades avec tribunes ; Grands stades avec tribunes : Projets phares neuf : gymnases, stades reconfigurés, équipements de proximité, tribunes et vestiaires associés.Piscines extérieures : Projets phares neuf : piscines structurantes, centres aquatiques, bassins extérieurs reconstruits ou complétés.</t>
    </r>
  </si>
  <si>
    <r>
      <rPr>
        <b/>
        <sz val="9"/>
        <rFont val="Calibri"/>
      </rPr>
      <t>Terrains de sport ; Hippodromes, Centres équestres &amp; Manèges couverts ; Bases nautiques / centres nautiques avec vestiaires-douches ; Bases de loisirs avec plages, douches et sanitaires</t>
    </r>
    <r>
      <rPr>
        <sz val="9"/>
        <rFont val="Calibri"/>
      </rPr>
      <t xml:space="preserve"> : Dynamique renovation 2026-2030 : forte, car l usure et l hygiene rendent les interventions recurrentes. Menaces : arbitrages d investissement, travaux en exploitation et cout de maintenance.Stades avec tribunes ; Grands stades avec tribunes : Dynamique réno 2026-2030 : élevée, car le sanitaire sportif s’use vite et reste visible pour les usagers.Piscines extérieures : Dynamique réno 2026-2030 : très forte, car les piscines concentrent à la fois besoin de rénovation énergétique et renouvellement sanitaire. Les exploitants arbitrent vite quand la qualité sanitaire pénalise la note client.</t>
    </r>
  </si>
  <si>
    <r>
      <rPr>
        <b/>
        <sz val="9"/>
        <rFont val="Calibri"/>
      </rPr>
      <t>Terrains de sport ; Hippodromes, Centres équestres &amp; Manèges couverts ; Bases nautiques / centres nautiques avec vestiaires-douches ; Bases de loisirs avec plages, douches et sanitaires</t>
    </r>
    <r>
      <rPr>
        <sz val="9"/>
        <rFont val="Calibri"/>
      </rPr>
      <t xml:space="preserve"> : Dynamique neuf 2026-2030 : faible a moderee, dependante des projets immobiliers, de la demographie locale et des budgets de maitrise d ouvrage.Stades avec tribunes ; Grands stades avec tribunes : Dynamique neuf 2026-2030 : modérée ; meilleure sur les projets structurants et les territoires carencés que sur les petits équipements diffus.Piscines extérieures : Dynamique neuf 2026-2030 : réelle sur quelques sites, mais fortement filtrée par le coût global, le foncier et l’exploitation future. Le tourisme reste bien orienté, mais les décisions de construction sont plus sélectives qu’en phase de rattrapage post-Covid.</t>
    </r>
  </si>
  <si>
    <t>https://www.agencedusport.fr/plan-5000-equipements-generation-2024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t>
  </si>
  <si>
    <r>
      <rPr>
        <b/>
        <sz val="9"/>
        <rFont val="Calibri"/>
      </rPr>
      <t>Terrains de sport ; Stades avec tribunes ; Hippodromes, Centres équestres &amp; Manèges couverts ; Piscines extérieures ; Bases nautiques / centres nautiques avec vestiaires-douches ; Bases de loisirs avec plages, douches et sanitaires</t>
    </r>
    <r>
      <rPr>
        <sz val="9"/>
        <rFont val="Calibri"/>
      </rPr>
      <t xml:space="preserve"> : BonneGrands stades avec tribunes : Moyenne+</t>
    </r>
  </si>
  <si>
    <r>
      <rPr>
        <b/>
        <sz val="9"/>
        <rFont val="Calibri"/>
      </rPr>
      <t>Terrains de sport</t>
    </r>
    <r>
      <rPr>
        <sz val="9"/>
        <rFont val="Calibri"/>
      </rPr>
      <t xml:space="preserve"> : Parc existant centre sur le niveau anti, avec ventes 2026-2030 legerement plus qualitatives. Terrains de sport (Hors scolaire) : vestiaires et sanitaires soumis aux pics match/entrainement et a une exposition exterieure; le mix reste guide par anti-vandalisme, lavage frequent et tenue aux usages sportifs.Stades avec tribunes ; Piscines extérieures : Parc existant surtout standard. Les ventes restent proches du parc, centré sur standard, car le trafic et la robustesse maintiennent un cahier des charges très fonctionnel. La rénovation restant majoritaire, le mix de ventes reste proche du parc et monte surtout d’un cran sur les opérations lourdes. Équipements sportifs publics : intensité d’usage, humidité, vandalisme et maintenance poussent vers des gammes très robustes ; la montée en confort reste contenue.Grands stades avec tribunes : Parc existant surtout standard. Les ventes se décalent légèrement vers standard / intermédiaire, car le trafic et la robustesse maintiennent un cahier des charges très fonctionnel. La rénovation restant majoritaire, le mix de ventes reste proche du parc et monte surtout d’un cran sur les opérations lourdes. Grands stades et hippodromes : forte pression trafic mais aussi enjeux d’image/VIP ; le parc grand public reste surtout standard, avec poches plus premium.Hippodromes, Centres équestres &amp; Manèges couverts : Parc existant centre sur le niveau anti, avec ventes 2026-2030 legerement plus qualitatives. Hippodromes, Centres équestres &amp; Manèges couverts : vestiaires et sanitaires soumis aux pics match/entrainement et a une exposition exterieure; le mix reste guide par anti-vandalisme, lavage frequent et tenue aux usages sportifs.Bases nautiques / centres nautiques avec vestiaires-douches : Parc existant centre sur le niveau wet, avec ventes 2026-2030 legerement plus qualitatives. Bases nautiques / centres nautiques avec vestiaires-douches : ambiance tres humide, pics saisonniers ou horaires et maintenance sous contrainte sanitaire; le mix reste guide par milieu humide, corrosion, securite usager et forte frequence de nettoyage.Bases de loisirs avec plages, douches et sanitaires : Parc existant centre sur le niveau wet, avec ventes 2026-2030 legerement plus qualitatives. Bases de loisirs avec plages, douches et sanitaires : ambiance tres humide, pics saisonniers ou horaires et maintenance sous contrainte sanitaire; le mix reste guide par milieu humide, corrosion, securite usager et forte frequence de nettoyage.</t>
    </r>
  </si>
  <si>
    <r>
      <rPr>
        <b/>
        <sz val="9"/>
        <rFont val="Calibri"/>
      </rPr>
      <t>Terrains de sport ; Stades avec tribunes ; Hippodromes, Centres équestres &amp; Manèges couverts ; Piscines extérieures ; Bases nautiques / centres nautiques avec vestiaires-douches ; Bases de loisirs avec plages, douches et sanitaires</t>
    </r>
    <r>
      <rPr>
        <sz val="9"/>
        <rFont val="Calibri"/>
      </rPr>
      <t xml:space="preserve"> : ±4 ptsGrands stades avec tribunes : ±5 pts</t>
    </r>
  </si>
  <si>
    <r>
      <rPr>
        <b/>
        <sz val="9"/>
        <rFont val="Calibri"/>
      </rPr>
      <t>Terrains de sport ; Stades avec tribunes ; Hippodromes, Centres équestres &amp; Manèges couverts ; Piscines extérieures ; Bases nautiques / centres nautiques avec vestiaires-douches ; Bases de loisirs avec plages, douches et sanitaires</t>
    </r>
    <r>
      <rPr>
        <sz val="9"/>
        <rFont val="Calibri"/>
      </rPr>
      <t xml:space="preserve"> : BonneGrands stades avec tribunes : Moyenne +</t>
    </r>
  </si>
  <si>
    <r>
      <rPr>
        <b/>
        <sz val="9"/>
        <rFont val="Calibri"/>
      </rPr>
      <t>Terrains de sport ; Hippodromes, Centres équestres &amp; Manèges couverts</t>
    </r>
    <r>
      <rPr>
        <sz val="9"/>
        <rFont val="Calibri"/>
      </rPr>
      <t xml:space="preserve"> : Parc existant : anti-vandalisme, lavage frequent et tenue aux usages sportifs; vestiaires et sanitaires soumis aux pics match/entrainement et a une exposition exterieure. La montee en confort reste proportionnee au budget et au rythme de renovation.Stades avec tribunes ; Piscines extérieures : Équipements sportifs publics : intensité d’usage, humidité, vandalisme et maintenance poussent vers des gammes très robustes ; la montée en confort reste contenue.Grands stades avec tribunes : Grands stades et hippodromes : forte pression trafic mais aussi enjeux d’image/VIP ; le parc grand public reste surtout standard, avec poches plus premium.Bases nautiques / centres nautiques avec vestiaires-douches ; Bases de loisirs avec plages, douches et sanitaires : Parc existant : milieu humide, corrosion, securite usager et forte frequence de nettoyage; ambiance tres humide, pics saisonniers ou horaires et maintenance sous contrainte sanitaire. La montee en confort reste proportionnee au budget et au rythme de renovation.</t>
    </r>
  </si>
  <si>
    <r>
      <rPr>
        <b/>
        <sz val="9"/>
        <rFont val="Calibri"/>
      </rPr>
      <t>Terrains de sport ; Hippodromes, Centres équestres &amp; Manèges couverts</t>
    </r>
    <r>
      <rPr>
        <sz val="9"/>
        <rFont val="Calibri"/>
      </rPr>
      <t xml:space="preserve"> : forte frequentation =&gt; standard robusteStades avec tribunes ; Piscines extérieures : forte fréquentation ⇒ standard ↑, premium/luxe ↓ ; rénovation dominante ⇒ progression graduelleGrands stades avec tribunes : forte fréquentation ⇒ standard ↑, premium/luxe ↓ ; image d’accueil ⇒ intermédiaire/premium ↑ ; poids du neuf significatif ⇒ premiumisation des ventes &gt; parcBases nautiques / centres nautiques avec vestiaires-douches ; Bases de loisirs avec plages, douches et sanitaires : forte frequentation =&gt; standard robuste ; milieu humide =&gt; produits techniques</t>
    </r>
  </si>
  <si>
    <r>
      <rPr>
        <b/>
        <sz val="9"/>
        <rFont val="Calibri"/>
      </rPr>
      <t>Terrains de sport</t>
    </r>
    <r>
      <rPr>
        <sz val="9"/>
        <rFont val="Calibri"/>
      </rPr>
      <t xml:space="preserve"> : Terrains de sport (Hors scolaire) : ventes 2026-2030 en leger glissement vers moyen/premium lorsque le neuf ou les renov. lourdes interviennent. Le centre de gravite reste toutefois module par anti-vandalisme, lavage frequent et tenue aux usages sportifs et par la part dominante de travaux sur parc existant.Stades avec tribunes : Ventes 2026-2030 : glissement vers davantage de moyen / premium. La rénovation reste majoritaire (77% des ventes, contre 23% en neuf) ; le neuf tire le mix vers le haut sans renverser le centre de gravité. L’écart de niveau de confort entre neuf et rénovation est net.Grands stades avec tribunes : Ventes 2026-2030 : glissement vers davantage de moyen / premium, surtout sur lavabo (+8,4 pts sur premium+luxe), WC (+3,9 pts sur premium+luxe), douche (+3,4 pts sur premium+luxe). La rénovation reste majoritaire (74% des ventes, contre 26% en neuf) ; le neuf tire le mix vers le haut sans renverser le centre de gravité. L’écart de niveau de confort entre neuf et rénovation est net.Hippodromes, Centres équestres &amp; Manèges couverts : Hippodromes, Centres équestres &amp; Manèges couverts : ventes 2026-2030 en leger glissement vers moyen/premium lorsque le neuf ou les renov. lourdes interviennent. Le centre de gravite reste toutefois module par anti-vandalisme, lavage frequent et tenue aux usages sportifs et par la part dominante de travaux sur parc existant.Piscines extérieures : Ventes 2026-2030 : glissement vers davantage de moyen / premium. La rénovation reste très majoritaire (89% des ventes, contre 11% en neuf) ; le neuf est plus qualitatif mais ne suffit pas à transformer fortement le mix. L’écart de niveau de confort entre neuf et rénovation est net.Bases nautiques / centres nautiques avec vestiaires-douches : Bases nautiques / centres nautiques avec vestiaires-douches : ventes 2026-2030 en leger glissement vers moyen/premium lorsque le neuf ou les renov. lourdes interviennent. Le centre de gravite reste toutefois module par milieu humide, corrosion, securite usager et forte frequence de nettoyage et par la part dominante de travaux sur parc existant.Bases de loisirs avec plages, douches et sanitaires : Bases de loisirs avec plages, douches et sanitaires : ventes 2026-2030 en leger glissement vers moyen/premium lorsque le neuf ou les renov. lourdes interviennent. Le centre de gravite reste toutefois module par milieu humide, corrosion, securite usager et forte frequence de nettoyage et par la part dominante de travaux sur parc existant.</t>
    </r>
  </si>
  <si>
    <t>1 - Blocs sanitaires de plage / front de mer
2 - Centres de loisirs sans hébergement
3 - Parcs d’attractions / Parcs à thèmes fixes
4 - Parcs zoologiques / Parcs animaliers
5 - Parcs aquatiques</t>
  </si>
  <si>
    <r>
      <rPr>
        <b/>
        <sz val="9"/>
        <rFont val="Calibri"/>
      </rPr>
      <t>Blocs sanitaires de plage / front de mer</t>
    </r>
    <r>
      <rPr>
        <sz val="9"/>
        <rFont val="Calibri"/>
      </rPr>
      <t xml:space="preserve"> : VariableCentres de loisirs sans hébergement : RParcs d’attractions / Parcs à thèmes fixes : PAParcs zoologiques / Parcs animaliers : PA / variableParcs aquatiques : PA / X / ERP variable</t>
    </r>
  </si>
  <si>
    <r>
      <rPr>
        <b/>
        <sz val="9"/>
        <rFont val="Calibri"/>
      </rPr>
      <t>Blocs sanitaires de plage / front de mer</t>
    </r>
    <r>
      <rPr>
        <sz val="9"/>
        <rFont val="Calibri"/>
      </rPr>
      <t xml:space="preserve"> : Équipement public recevant du publicCentres de loisirs sans hébergement : ERPParcs d’attractions / Parcs à thèmes fixes ; Parcs zoologiques / Parcs animaliers ; Parcs aquatiques : ERP spécial / variable</t>
    </r>
  </si>
  <si>
    <r>
      <rPr>
        <b/>
        <sz val="9"/>
        <rFont val="Calibri"/>
      </rPr>
      <t>Blocs sanitaires de plage / front de mer</t>
    </r>
    <r>
      <rPr>
        <sz val="9"/>
        <rFont val="Calibri"/>
      </rPr>
      <t xml:space="preserve"> : mixteCentres de loisirs sans hébergement ; Parcs d’attractions / Parcs à thèmes fixes ; Parcs zoologiques / Parcs animaliers ; Parcs aquatiques : ERP</t>
    </r>
  </si>
  <si>
    <r>
      <rPr>
        <b/>
        <sz val="9"/>
        <rFont val="Calibri"/>
      </rPr>
      <t>Blocs sanitaires de plage / front de mer</t>
    </r>
    <r>
      <rPr>
        <sz val="9"/>
        <rFont val="Calibri"/>
      </rPr>
      <t xml:space="preserve"> : Installations fixes de WC et douches sur plages aménagées ou fronts de mer ; hors sanitaires déjà inclus dans un camping, un port ou une base de loisirs comptée par ailleurs.Centres de loisirs sans hébergement : Accueil de mineurs en journée.Parcs d’attractions / Parcs à thèmes fixes : Parcs de loisirs fixes recevant du public avec bâtiments d’accueil, restauration et sanitaires.Parcs zoologiques / Parcs animaliers : Établissements fixes et permanents présentant des animaux au public ; sanitaires publics très probables sur site.Parcs aquatiques : Parcs de loisirs aquatiques fixes recevant du public, majoritairement saisonniers ; peuvent combiner toboggans, bassins, espaces enfants et restauration. Hors piscines municipales, bases de loisirs simples, campings et centres aquatiques publics.</t>
    </r>
  </si>
  <si>
    <r>
      <rPr>
        <b/>
        <sz val="9"/>
        <rFont val="Calibri"/>
      </rPr>
      <t>Blocs sanitaires de plage / front de mer</t>
    </r>
    <r>
      <rPr>
        <sz val="9"/>
        <rFont val="Calibri"/>
      </rPr>
      <t xml:space="preserve"> : Bloc sanitaire de plage, douche de plage, sanitaire de front de merCentres de loisirs sans hébergement : ALSH, centre aéréParcs d’attractions / Parcs à thèmes fixes : Parc d’attractions, parc à thèmeParcs zoologiques / Parcs animaliers : Zoo, parc animalier, réserve animalière visitableParcs aquatiques : Petit parc familial / régional + Parc standard saisonnier + Grand parc national. Aqualand, O'Gliss Park, Wave Island, Aquascope</t>
    </r>
  </si>
  <si>
    <r>
      <rPr>
        <b/>
        <sz val="9"/>
        <rFont val="Calibri"/>
      </rPr>
      <t>Blocs sanitaires de plage / front de mer ; Centres de loisirs sans hébergement</t>
    </r>
    <r>
      <rPr>
        <sz val="9"/>
        <rFont val="Calibri"/>
      </rPr>
      <t xml:space="preserve"> : Site
Etablissement principalParcs d’attractions / Parcs à thèmes fixes ; Parcs zoologiques / Parcs animaliers : Site / établissement principalParcs aquatiques : Site / parc d'exploitation</t>
    </r>
  </si>
  <si>
    <r>
      <rPr>
        <b/>
        <sz val="9"/>
        <rFont val="Calibri"/>
      </rPr>
      <t>Blocs sanitaires de plage / front de mer ; Centres de loisirs sans hébergement</t>
    </r>
    <r>
      <rPr>
        <sz val="9"/>
        <rFont val="Calibri"/>
      </rPr>
      <t xml:space="preserve"> : proxy public / estimation encadréeParcs d’attractions / Parcs à thèmes fixes ; Parcs zoologiques / Parcs animaliers : ajout qualitatif – à quantifier avant intégrationParcs aquatiques : ordre de grandeur reconstitué à partir de recensements sectoriels récents et ancrages d'ouverture</t>
    </r>
  </si>
  <si>
    <r>
      <rPr>
        <b/>
        <sz val="9"/>
        <rFont val="Calibri"/>
      </rPr>
      <t>Blocs sanitaires de plage / front de mer ; Centres de loisirs sans hébergement</t>
    </r>
    <r>
      <rPr>
        <sz val="9"/>
        <rFont val="Calibri"/>
      </rPr>
      <t xml:space="preserve"> : MoyenneParcs d’attractions / Parcs à thèmes fixes ; Parcs zoologiques / Parcs animaliers : ÉlevéParcs aquatiques : Bonne</t>
    </r>
  </si>
  <si>
    <r>
      <rPr>
        <b/>
        <sz val="9"/>
        <rFont val="Calibri"/>
      </rPr>
      <t>Blocs sanitaires de plage / front de mer</t>
    </r>
    <r>
      <rPr>
        <sz val="9"/>
        <rFont val="Calibri"/>
      </rPr>
      <t xml:space="preserve"> : Tendance haussière modérée. Léger creux 2020 (fermetures, exploitat° réduite) puis reprise graduelle. Ordre grandeur cohérent avec masse de sites baignade contrôlés + fronts de mer équipés.Centres de loisirs sans hébergement : Faute de série nationale homogène annuelle strictement équivalente à cette sous-catégorie, le proxy est volontairement lissé ; le parc reste globalement stable à l’échelle nationale.Parcs d’attractions / Parcs à thèmes fixes : Périmètre volontairement strict : parcs fixes autonomes d’attractions / à thème, hors aquatiques, zoologiques et simples bases de loisirs. Série recalée sur un noyau d’environ 33-35 grands sites recensés récemment, avec légère reprise par nouveaux projets / requalifications d’ici 2030.Parcs zoologiques / Parcs animaliers : Série recalée sur un périmètre national plus large que les seuls adhérents AFdPZ : environ une centaine de parcs zoologiques majeurs, élargie aux sites autonomes ouverts au public non membres mais comparables. Progression lente, sans rupture majeure.Parcs aquatiques : Estimation fondée sur un recensement sectoriel de 29 parcs aquatiques en France en 2025 et sur l'ouverture récente de l'Aquascope en 2024 ; trajectoire historique prudente avec croissance lente et parc globalement stable.</t>
    </r>
  </si>
  <si>
    <r>
      <rPr>
        <b/>
        <sz val="9"/>
        <rFont val="Calibri"/>
      </rPr>
      <t>Blocs sanitaires de plage / front de mer</t>
    </r>
    <r>
      <rPr>
        <sz val="9"/>
        <rFont val="Calibri"/>
      </rPr>
      <t xml:space="preserve"> : Ancrage par stat officielle sites de baignade mer : 2050 (2020), 2074 (2022), 2079 (2024). 1 bloc sanitaire ne correspond pas à chaque plage. Certains équipements servent plusieurs plages. Série retenue représente donc 1 sous-ensemble d’équipements bâtis cohérent.Centres de loisirs sans hébergement : proxy sectoriel sur accueils collectifs de mineurs. Dynamique projetée 2027-2030: stable. Fiabilité: moyenne.Parcs d’attractions / Parcs à thèmes fixes : proxy piscines de plein air. Dynamique projetée 2027-2030: stable.Parcs zoologiques / Parcs animaliers : proxy Parcs d’attractions. Dynamique projetée 2027-2030: stable.Parcs aquatiques : Estimation fondée sur recensement sectoriel de 29 parcs aquatiques France (2025) et ouverture de l'Aquascope en 2024 ; trajectoire historique prudente avec croissance lente. Parc stable.</t>
    </r>
  </si>
  <si>
    <r>
      <rPr>
        <b/>
        <sz val="9"/>
        <rFont val="Calibri"/>
      </rPr>
      <t>Blocs sanitaires de plage / front de mer</t>
    </r>
    <r>
      <rPr>
        <sz val="9"/>
        <rFont val="Calibri"/>
      </rPr>
      <t xml:space="preserve"> : https://www.eaufrance.fr/chiffres-cles/nombre-de-ports-de-plaisance-en-2015 ; https://www.eaufrance.fr/chiffres-cles/nombre-de-ports-de-plaisance-en-2018 ; https://www.mer.gouv.fr/sites/default/files/2021-03/Observatoire-des-ports-de-plaisance_rapport-enquete-2018.pdf ; https://www.mer.gouv.fr/lobservatoire-des-ports-de-plaisance ; https://www.mer.gouv.fr/sites/default/files/2026-01/opp-rapport-preliminaire-de-l-enquete-2025.pdfCentres de loisirs sans hébergement : https://www.education.gouv.fr/depp/reperes-et-references-statistiques-2025-450954Parcs d’attractions / Parcs à thèmes fixes : https://www.legifrance.gouv.fr/codes/section_lc/JORFTEXT000000290033/LEGISCTA000024845052/
https://www.formulaires.service-public.fr/gf/getNotice.do?cerfaFormulaire=13703&amp;cerfaNotice=51434Parcs zoologiques / Parcs animaliers : https://www.legifrance.gouv.fr/loda/id/JORFTEXT000000610915/
https://www.legifrance.gouv.fr/codes/section_lc/JORFTEXT000000290033/LEGISCTA000024845052/Parcs aquatiques : https://www.parcs-aquatiques.com/parcs-aquatiques-france/ ; https://www.tendancehotellerie.fr/articles-breves/communique-de-presse/22889-article/le-futuroscope-a-inaugure-son-nouveau-parc-aquatique-indoor-l-aquascope ; https://madeinfr.fr/etudes-de-marche/loisir-voyage-sport/le-marche-des-parcs-aquatiques-en-france/</t>
    </r>
  </si>
  <si>
    <r>
      <rPr>
        <b/>
        <sz val="9"/>
        <rFont val="Calibri"/>
      </rPr>
      <t>Blocs sanitaires de plage / front de mer</t>
    </r>
    <r>
      <rPr>
        <sz val="9"/>
        <rFont val="Calibri"/>
      </rPr>
      <t xml:space="preserve"> : Bloc plage/front de mer : sanitaires publics et douches de rinçage, très faible staff.Centres de loisirs sans hébergement : Accueil loisirs sans hébergement : sanitaires enfants + équipe, douches ponctuelles si sport, sorties ou locaux mutualisés.Parcs d’attractions / Parcs à thèmes fixes : Parc d'attractions : batteries sanitaires visiteurs par zones + locaux staff/maintenance.Parcs zoologiques / Parcs animaliers : Parc zoologique : sanitaires visiteurs répartis sur parcours + blocs staff/soigneurs.Parcs aquatiques : Parc aquatique : vestiaires humides, douches collectives, sanitaires publics et personnel.</t>
    </r>
  </si>
  <si>
    <r>
      <rPr>
        <b/>
        <sz val="9"/>
        <rFont val="Calibri"/>
      </rPr>
      <t>Blocs sanitaires de plage / front de mer</t>
    </r>
    <r>
      <rPr>
        <sz val="9"/>
        <rFont val="Calibri"/>
      </rPr>
      <t xml:space="preserve"> : Capacité type ≈ 145 usagers principaux + 3 staff + 2 autre public. Équipement autonome de forte rotation, usage public principalement diurne et saisonnier. Dimensionnement unitaire retenu : bloc robuste multi-cabines + point d'eau/douches extérieures, avec accessibilité PMR. Hypothèse d'usage : capacité simultanée moyenne 2026, répartition par flux réels, arrondie par blocs fonctionnels et exclusion des sanitaires strictement privatifs sauf cas explicitement collectifs.Centres de loisirs sans hébergement : Capacité type ≈ 106 usagers principaux + 12 staff + 2 parents/accompagnants/intervenants. Le programme sanitaire est construit par blocs fonctionnels plausibles (public, personnel, exploitation/hébergement selon le cas) et non par simple ratio national moyen. Calibrage selon capacité simultanée, répartition de flux et organisation réelle du site. Part des sites utilise des locaux sportifs, écoles/gymnases ou équipements mutualisés avec douche.Parcs d’attractions / Parcs à thèmes fixes : Capacité type ≈ 4300 usagers principaux + 500 staff + 200 autre public. Parc à flux étalé mais avec files, restauration et sorties de spectacles créant des pointes locales. Dimensionnement unitaire retenu : batteries multi-cabines réparties par zone, renforts près restauration/spectacles, blocs personnel séparés. Hypothèse d'usage : capacité simultanée moyenne 2026, répartition par flux réels, arrondie par blocs fonctionnels et exclusion des sanitaires strictement privatifs sauf cas explicitement collectifs.Parcs zoologiques / Parcs animaliers : Capacité type ≈ 1260 usagers principaux + 180 staff + 60 autre public. Parcours long avec familles, groupes scolaires et équipes d'exploitation. Dimensionnement unitaire retenu : blocs publics à l'entrée et aux pôles de restauration, staff séparé, peu de douches sauf exploitation. Hypothèse d'usage : capacité simultanée moyenne 2026, répartition par flux réels, arrondie par blocs fonctionnels et exclusion des sanitaires strictement privatifs sauf cas explicitement collectifs.Parcs aquatiques : Capacité type ≈ 2100 usagers principaux + 250 staff + 150 autre public. Équipement aquatique à forte densité, familles et groupes, rotations par demi-journée. Dimensionnement unitaire retenu : douches/vestiaires en batteries + WC publics, calibrés comme équipement humide collectif. Hypothèse d'usage : capacité simultanée moyenne 2026, répartition par flux réels, arrondie par blocs fonctionnels et exclusion des sanitaires strictement privatifs sauf cas explicitement collectifs.</t>
    </r>
  </si>
  <si>
    <r>
      <rPr>
        <b/>
        <sz val="9"/>
        <rFont val="Calibri"/>
      </rPr>
      <t>Blocs sanitaires de plage / front de mer</t>
    </r>
    <r>
      <rPr>
        <sz val="9"/>
        <rFont val="Calibri"/>
      </rPr>
      <t xml:space="preserve"> : Profil moyen, capacité moyenne ≈ 150 personnes. Moyenne pondérée terrain : parc majoritairement petits/moyens sites, grands sites intégrés sans surpondération ; usage 2025 forte à très forte.Centres de loisirs sans hébergement : Profil moyen, capacité moyenne ≈ 120 personnes. Moyenne pondérée terrain : parc majoritairement petits/moyens sites, grands sites intégrés sans surpondération ; usage 2025 forte à très forte.Parcs d’attractions / Parcs à thèmes fixes : Profil très grand, capacité moyenne ≈ 5000 personnes. Moyenne pondérée terrain : parc majoritairement petits/moyens sites, grands sites intégrés sans surpondération ; usage 2025 forte à très forte.Parcs zoologiques / Parcs animaliers : Profil très grand, capacité moyenne ≈ 1500 personnes. Moyenne pondérée terrain : parc majoritairement petits/moyens sites, grands sites intégrés sans surpondération ; usage 2025 forte à très forte.Parcs aquatiques : Profil très grand, capacité moyenne ≈ 2500 personnes. Moyenne pondérée terrain : parc majoritairement petits/moyens sites, grands sites intégrés sans surpondération ; usage 2025 forte à très forte.</t>
    </r>
  </si>
  <si>
    <r>
      <rPr>
        <b/>
        <sz val="9"/>
        <rFont val="Calibri"/>
      </rPr>
      <t>Blocs sanitaires de plage / front de mer ; Parcs d’attractions / Parcs à thèmes fixes ; Parcs zoologiques / Parcs animaliers</t>
    </r>
    <r>
      <rPr>
        <sz val="9"/>
        <rFont val="Calibri"/>
      </rPr>
      <t xml:space="preserve"> : ERP/accessibilité sanitaires publics : https://www.legifrance.gouv.fr/loda/article_lc/LEGIARTI000034485966/ ; Code du travail sanitaires salariés : https://www.legifrance.gouv.fr/codes/id/LEGISCTA000018531984 ; INRS : https://www.inrs.fr/publications/juridique/focus-juridiques/focus-sanitaires-toilettes.htmlCentres de loisirs sans hébergement : Éducation nationale / ONS, 'Les sanitaires dans les écoles élémentaires' : https://www.education.gouv.fr/sites/default/files/imported_files/document/ONS-Les-sanitaires-dans-les-ecoles-elementaires_391494.pdf ; + Code du travail pour les sanitaires adultes/staff.Parcs aquatiques : Locaux de sports - équipements sanitaires : https://www.legifrance.gouv.fr/codes/section_lc/LEGITEXT000006070308/LEGISCTA000006148993/ ; Textes équipements sportifs : https://www.sports.gouv.fr/principaux-textes-de-reference-pour-les-equipements-sportifs-842 ; Code du travail : https://www.legifrance.gouv.fr/codes/id/LEGISCTA000018531984</t>
    </r>
  </si>
  <si>
    <r>
      <rPr>
        <b/>
        <sz val="9"/>
        <rFont val="Calibri"/>
      </rPr>
      <t>Blocs sanitaires de plage / front de mer</t>
    </r>
    <r>
      <rPr>
        <sz val="9"/>
        <rFont val="Calibri"/>
      </rPr>
      <t xml:space="preserve"> : Environnement salin, sable, UV, usage anonyme et pics massifs d'été; vandalisme et corrosion accélèrent le renouvellement. Parmi les plus prudents, proche toilettes publiques avec contrainte littorale. Repères durées: lavabos 10/11/8 ans (mit./méca/élec.), douches 8/8/7, urinoirs 8/10/7/9, WC 10/11/8.Centres de loisirs sans hébergement : Usage enfants encadré, pics vacances/mercredis, douches moins fréquentes sauf activités sportives; dégradations modérées. Entre scolaire et loisirs, électronique plus court par piles/capteurs et budgets municipaux. Repères durées: lavabos 13/13/9 ans (mit./méca/élec.), douches 8/8/7, urinoirs 10/12/8/10, WC 11/12/9.Parcs d’attractions / Parcs à thèmes fixes : Flux très élevés mais saisonniers, pics files d'attente et nettoyage intensif; usage anonyme, enfants et familles. Plus proche centre commercial très fréquenté que musée; sanitaires très sollicités. Repères durées: lavabos 10/11/8 ans (mit./méca/élec.), douches 8/8/7, urinoirs 8/10/7/9, WC 10/11/8.Parcs zoologiques / Parcs animaliers : Usage familial saisonnier, blocs parfois extérieurs, poussière/boue et forte dispersion du parc; vandalisme modéré mais maintenance éloignée. Proche parc d'attractions, avec contrainte environnementale supérieure. Repères durées: lavabos 10/11/8 ans (mit./méca/élec.), douches 8/8/7, urinoirs 8/10/7/9, WC 10/11/8.Parcs aquatiques : Humidité, chlore, douches quasi systématiques et pics estivaux très forts; nettoyage et corrosion réduisent surtout capteurs/électrovannes. Plus sévère qu'une piscine extérieure par intensité de passage. Repères durées: lavabos 10/11/8 ans (mit./méca/élec.), douches 8/8/7, urinoirs 8/10/7/9, WC 10/11/8.</t>
    </r>
  </si>
  <si>
    <r>
      <rPr>
        <b/>
        <sz val="9"/>
        <rFont val="Calibri"/>
      </rPr>
      <t>Blocs sanitaires de plage / front de mer</t>
    </r>
    <r>
      <rPr>
        <sz val="9"/>
        <rFont val="Calibri"/>
      </rPr>
      <t xml:space="preserve"> : Blocs sanitaires de plage / front de mer : parc 2025 domine par tempo mecanique (76%), avec mitigeur manuel en appoint. Le choix reflete ambiance tres humide, pics saisonniers ou horaires et maintenance sous contrainte sanitaire ; milieu humide, corrosion, securite usager et forte frequence de nettoyage.Centres de loisirs sans hébergement : Dans les centres de loisirs sans hébergement, le parc commun reprend largement les logiques scolaires : temporisé mécanique dominant, manuel en complément, électronique marginale.Parcs d’attractions / Parcs à thèmes fixes : Parcs d’attractions / Parcs à thèmes fixes : parc 2025 domine par tempo mecanique (76%), avec mitigeur manuel en appoint. Le choix reflete usage collectif regulier, contraintes de maintenance et arbitrages budgetaires ; robustesse, hygiene et cout global restent prioritaires.Parcs zoologiques / Parcs animaliers : Parcs zoologiques / Parcs animaliers : parc 2025 domine par tempo mecanique (76%), avec mitigeur manuel en appoint. Le choix reflete flux visiteurs avec pics week-end/vacances et exigence d experience client ; image client, rapidite de nettoyage et resistance aux pics de frequentation.Parcs aquatiques : Parcs aquatiques : parc 2025 domine par tempo mecanique (76%), avec mitigeur manuel en appoint. Le choix reflete ambiance tres humide, pics saisonniers ou horaires et maintenance sous contrainte sanitaire ; milieu humide, corrosion, securite usager et forte frequence de nettoyage.</t>
    </r>
  </si>
  <si>
    <r>
      <rPr>
        <b/>
        <sz val="9"/>
        <rFont val="Calibri"/>
      </rPr>
      <t>Blocs sanitaires de plage / front de mer ; Parcs d’attractions / Parcs à thèmes fixes ; Parcs zoologiques / Parcs animaliers ; Parcs aquatiques</t>
    </r>
    <r>
      <rPr>
        <sz val="9"/>
        <rFont val="Calibri"/>
      </rPr>
      <t xml:space="preserve"> : 2025-2030 : progression de tempo electronique (+2,0%), surtout lors des renov. lourdes/neuf ; recul de mitigeur manuel (-2,0%) mais maintien d un socle robuste pour les remplacements partiels.Centres de loisirs sans hébergement : D’ici 2030, recul modéré du mitigeur et léger recul du temporisé mécanique au profit de l’électronique dans les rénovations de blocs ; le temporisé mécanique reste néanmoins dominant pour robustesse, anti-vandalisme et maîtrise des débits.</t>
    </r>
  </si>
  <si>
    <r>
      <rPr>
        <b/>
        <sz val="9"/>
        <rFont val="Calibri"/>
      </rPr>
      <t>Blocs sanitaires de plage / front de mer</t>
    </r>
    <r>
      <rPr>
        <sz val="9"/>
        <rFont val="Calibri"/>
      </rPr>
      <t xml:space="preserve"> : Blocs sanitaires de plage / front de mer : parc 2025 domine par tempo mecanique (80%), avec mitigeur en appoint. Le choix reflete ambiance tres humide, pics saisonniers ou horaires et maintenance sous contrainte sanitaire ; milieu humide, corrosion, securite usager et forte frequence de nettoyage.Centres de loisirs sans hébergement : ALSH : lorsqu’elles existent, douches surtout collectives ou semi-collectives robustes, dominées par le temporisé mécanique.Parcs d’attractions / Parcs à thèmes fixes : Parcs d’attractions / Parcs à thèmes fixes : parc 2025 domine par tempo mecanique (80%), avec mitigeur en appoint. Le choix reflete usage collectif regulier, contraintes de maintenance et arbitrages budgetaires ; robustesse, hygiene et cout global restent prioritaires.Parcs zoologiques / Parcs animaliers : Parcs zoologiques / Parcs animaliers : parc 2025 domine par tempo mecanique (80%), avec mitigeur en appoint. Le choix reflete flux visiteurs avec pics week-end/vacances et exigence d experience client ; image client, rapidite de nettoyage et resistance aux pics de frequentation.Parcs aquatiques : Parcs aquatiques : parc 2025 domine par tempo mecanique (80%), avec mitigeur en appoint. Le choix reflete ambiance tres humide, pics saisonniers ou horaires et maintenance sous contrainte sanitaire ; milieu humide, corrosion, securite usager et forte frequence de nettoyage.</t>
    </r>
  </si>
  <si>
    <r>
      <rPr>
        <b/>
        <sz val="9"/>
        <rFont val="Calibri"/>
      </rPr>
      <t>Blocs sanitaires de plage / front de mer ; Parcs d’attractions / Parcs à thèmes fixes ; Parcs zoologiques / Parcs animaliers ; Parcs aquatiques</t>
    </r>
    <r>
      <rPr>
        <sz val="9"/>
        <rFont val="Calibri"/>
      </rPr>
      <t xml:space="preserve"> : 2025-2030 : progression de tempo mecanique (+2,0%), surtout lors des renov. lourdes/neuf ; recul de mitigeur (-3,0%) mais maintien d un socle robuste pour les remplacements partiels.Centres de loisirs sans hébergement : Progression modérée de l’électronique à horizon 2030 dans les rénovations, mais le temporisé mécanique reste dominant.</t>
    </r>
  </si>
  <si>
    <r>
      <rPr>
        <b/>
        <sz val="9"/>
        <rFont val="Calibri"/>
      </rPr>
      <t>Blocs sanitaires de plage / front de mer</t>
    </r>
    <r>
      <rPr>
        <sz val="9"/>
        <rFont val="Calibri"/>
      </rPr>
      <t xml:space="preserve"> : Blocs sanitaires de plage / front de mer : parc 2025 domine par directe mecanique (55%), avec directe electronique collective en appoint. Le choix reflete ambiance tres humide, pics saisonniers ou horaires et maintenance sous contrainte sanitaire ; milieu humide, corrosion, securite usager et forte frequence de nettoyage.Centres de loisirs sans hébergement : Quand des urinoirs existent, ils restent surtout mécaniques ou collectifs anciens.Parcs d’attractions / Parcs à thèmes fixes : Parcs d’attractions / Parcs à thèmes fixes : parc 2025 domine par directe mecanique (55%), avec directe electronique collective en appoint. Le choix reflete usage collectif regulier, contraintes de maintenance et arbitrages budgetaires ; robustesse, hygiene et cout global restent prioritaires.Parcs zoologiques / Parcs animaliers : Parcs zoologiques / Parcs animaliers : parc 2025 domine par directe mecanique (55%), avec directe electronique collective en appoint. Le choix reflete flux visiteurs avec pics week-end/vacances et exigence d experience client ; image client, rapidite de nettoyage et resistance aux pics de frequentation.Parcs aquatiques : Parcs aquatiques : parc 2025 domine par directe mecanique (55%), avec directe electronique collective en appoint. Le choix reflete ambiance tres humide, pics saisonniers ou horaires et maintenance sous contrainte sanitaire ; milieu humide, corrosion, securite usager et forte frequence de nettoyage.</t>
    </r>
  </si>
  <si>
    <r>
      <rPr>
        <b/>
        <sz val="9"/>
        <rFont val="Calibri"/>
      </rPr>
      <t>Blocs sanitaires de plage / front de mer ; Parcs d’attractions / Parcs à thèmes fixes ; Parcs zoologiques / Parcs animaliers ; Parcs aquatiques</t>
    </r>
    <r>
      <rPr>
        <sz val="9"/>
        <rFont val="Calibri"/>
      </rPr>
      <t xml:space="preserve"> : 2025-2030 : progression de directe electronique indiv. (+2,0%), surtout lors des renov. lourdes/neuf ; recul de directe electronique collective (-1,0%) mais maintien d un socle robuste pour les remplacements partiels.Centres de loisirs sans hébergement : Baisse graduelle des réservoirs et des rampes/collectifs les plus anciens, au profit de chasses directes ; l’automatique progresse mais le mécanique reste fort pour le coût et la robustesse.</t>
    </r>
  </si>
  <si>
    <r>
      <rPr>
        <b/>
        <sz val="9"/>
        <rFont val="Calibri"/>
      </rPr>
      <t>Blocs sanitaires de plage / front de mer</t>
    </r>
    <r>
      <rPr>
        <sz val="9"/>
        <rFont val="Calibri"/>
      </rPr>
      <t xml:space="preserve"> : Blocs sanitaires de plage / front de mer : parc 2025 domine par chasse directe mecanique (55%), avec reservoir en appoint. Le choix reflete ambiance tres humide, pics saisonniers ou horaires et maintenance sous contrainte sanitaire ; milieu humide, corrosion, securite usager et forte frequence de nettoyage.Centres de loisirs sans hébergement : Les WC à réservoir restent majoritaires dans le parc existant, avec une part notable de chasses directes sur les rénovations.Parcs d’attractions / Parcs à thèmes fixes : Parcs d’attractions / Parcs à thèmes fixes : parc 2025 domine par chasse directe mecanique (55%), avec reservoir en appoint. Le choix reflete usage collectif regulier, contraintes de maintenance et arbitrages budgetaires ; robustesse, hygiene et cout global restent prioritaires.Parcs zoologiques / Parcs animaliers : Parcs zoologiques / Parcs animaliers : parc 2025 domine par chasse directe mecanique (55%), avec reservoir en appoint. Le choix reflete flux visiteurs avec pics week-end/vacances et exigence d experience client ; image client, rapidite de nettoyage et resistance aux pics de frequentation.Parcs aquatiques : Parcs aquatiques : parc 2025 domine par chasse directe mecanique (55%), avec reservoir en appoint. Le choix reflete ambiance tres humide, pics saisonniers ou horaires et maintenance sous contrainte sanitaire ; milieu humide, corrosion, securite usager et forte frequence de nettoyage.</t>
    </r>
  </si>
  <si>
    <r>
      <rPr>
        <b/>
        <sz val="9"/>
        <rFont val="Calibri"/>
      </rPr>
      <t>Blocs sanitaires de plage / front de mer ; Parcs d’attractions / Parcs à thèmes fixes ; Parcs zoologiques / Parcs animaliers ; Parcs aquatiques</t>
    </r>
    <r>
      <rPr>
        <sz val="9"/>
        <rFont val="Calibri"/>
      </rPr>
      <t xml:space="preserve"> : 2025-2030 : progression de chasse directe electronique (+7,0%), surtout lors des renov. lourdes/neuf ; recul de reservoir (-10,0%) mais maintien d un socle robuste pour les remplacements partiels.Centres de loisirs sans hébergement : Le réservoir recule progressivement dans les blocs rénovés au profit de la chasse directe, avec une percée encore mesurée de l’électronique.</t>
    </r>
  </si>
  <si>
    <r>
      <rPr>
        <b/>
        <sz val="9"/>
        <rFont val="Calibri"/>
      </rPr>
      <t>Blocs sanitaires de plage / front de mer ; Parcs aquatiques</t>
    </r>
    <r>
      <rPr>
        <sz val="9"/>
        <rFont val="Calibri"/>
      </rPr>
      <t xml:space="preserve"> : 82,1% retenu : besoins transformes en travaux selon ambiance tres humide, pics saisonniers ou horaires et maintenance sous contrainte sanitaire. Le phasage budgetaire, les fermetures partielles et la maintenance courante limitent la conversion totale.Centres de loisirs sans hébergement : 84,0% retenu : part des besoins réellement transformée en travaux sur 2026-2030 après prise en compte des budgets, du phasage et des arbitrages locaux.Parcs d’attractions / Parcs à thèmes fixes : 77,2% retenu : besoins transformes en travaux selon usage collectif regulier, contraintes de maintenance et arbitrages budgetaires. Le phasage budgetaire, les fermetures partielles et la maintenance courante limitent la conversion totale.Parcs zoologiques / Parcs animaliers : 80,6% retenu : besoins transformes en travaux selon flux visiteurs avec pics week-end/vacances et exigence d experience client. Le phasage budgetaire, les fermetures partielles et la maintenance courante limitent la conversion totale.</t>
    </r>
  </si>
  <si>
    <r>
      <rPr>
        <b/>
        <sz val="9"/>
        <rFont val="Calibri"/>
      </rPr>
      <t>Blocs sanitaires de plage / front de mer ; Parcs aquatiques</t>
    </r>
    <r>
      <rPr>
        <sz val="9"/>
        <rFont val="Calibri"/>
      </rPr>
      <t xml:space="preserve"> : Potentiel renovation : tire par milieu humide, corrosion, securite usager et forte frequence de nettoyage. Les remplacements sont plutot par lots, avec arbitrage entre urgence sanitaire, budget et capacite a intervenir en site occupe.Centres de loisirs sans hébergement : Potentiel rénovation élevé : bâtiments souvent hétérogènes, avec remise à niveau des blocs sanitaires lors de modernisations de confort, sécurité ou adaptation climatique. Les volumes restent d’abord tirés par les WC et les lavabos, plus que par les postes spécialisés. En rénovation, le marché reste favorable aux gammes robustes et simples d’entretien, compatibles avec des chantiers par tranches et des budgets contraints.Parcs d’attractions / Parcs à thèmes fixes : Potentiel renovation : tire par robustesse, hygiene et cout global restent prioritaires. Les remplacements sont plutot par lots, avec arbitrage entre urgence sanitaire, budget et capacite a intervenir en site occupe.Parcs zoologiques / Parcs animaliers : Potentiel renovation : tire par image client, rapidite de nettoyage et resistance aux pics de frequentation. Les remplacements sont plutot par lots, avec arbitrage entre urgence sanitaire, budget et capacite a intervenir en site occupe.</t>
    </r>
  </si>
  <si>
    <r>
      <rPr>
        <b/>
        <sz val="9"/>
        <rFont val="Calibri"/>
      </rPr>
      <t>Blocs sanitaires de plage / front de mer</t>
    </r>
    <r>
      <rPr>
        <sz val="9"/>
        <rFont val="Calibri"/>
      </rPr>
      <t xml:space="preserve"> : Potentiel neuf : plus visible pour blocs sanitaires de plage / front de mer, surtout via extensions, reconstructions ou projets locaux. Le neuf reste contraint par foncier, budgets et delais de mise en service.Centres de loisirs sans hébergement : Potentiel neuf faible : limité et opportuniste, surtout via restructurations, extensions ponctuelles ou nouveaux sites de loisirs/accueil. Le neuf est quasi nul dans le modèle et renvoie surtout à des reconstructions ou remplacements de sites.Parcs d’attractions / Parcs à thèmes fixes : Potentiel neuf : limite pour parcs d’attractions / parcs à thèmes fixes, surtout via extensions, reconstructions ou projets locaux. Le neuf reste contraint par foncier, budgets et delais de mise en service.Parcs zoologiques / Parcs animaliers : Potentiel neuf : plus visible pour parcs zoologiques / parcs animaliers, surtout via extensions, reconstructions ou projets locaux. Le neuf reste contraint par foncier, budgets et delais de mise en service.Parcs aquatiques : Potentiel neuf : plus visible pour parcs aquatiques, surtout via extensions, reconstructions ou projets locaux. Le neuf reste contraint par foncier, budgets et delais de mise en service.</t>
    </r>
  </si>
  <si>
    <r>
      <rPr>
        <b/>
        <sz val="9"/>
        <rFont val="Calibri"/>
      </rPr>
      <t>Blocs sanitaires de plage / front de mer ; Parcs d’attractions / Parcs à thèmes fixes ; Parcs zoologiques / Parcs animaliers ; Parcs aquatiques</t>
    </r>
    <r>
      <rPr>
        <sz val="9"/>
        <rFont val="Calibri"/>
      </rPr>
      <t xml:space="preserve"> : Projets phares renovation : reprise de blocs sanitaires, accessibilite, ventilation, economie d eau, remplacement des pieces usees et adaptation aux pics de frequentation propres au sous-segment.Centres de loisirs sans hébergement : Projets phares réno : blocs sanitaires enfants/adultes, douches, hébergements collectifs, accessibilité et confort d’été.</t>
    </r>
  </si>
  <si>
    <r>
      <rPr>
        <b/>
        <sz val="9"/>
        <rFont val="Calibri"/>
      </rPr>
      <t>Blocs sanitaires de plage / front de mer ; Parcs d’attractions / Parcs à thèmes fixes ; Parcs zoologiques / Parcs animaliers ; Parcs aquatiques</t>
    </r>
    <r>
      <rPr>
        <sz val="9"/>
        <rFont val="Calibri"/>
      </rPr>
      <t xml:space="preserve"> : Projets phares neuf : creations ou reconstructions selectives, integration de sanitaires plus sobres, robustes et faciles a maintenir des la conception.Centres de loisirs sans hébergement : Projets phares neuf : bases de loisirs, centres de vacances restructurés avec extension, nouveaux bâtiments d’accueil sur sites attractifs.</t>
    </r>
  </si>
  <si>
    <r>
      <rPr>
        <b/>
        <sz val="9"/>
        <rFont val="Calibri"/>
      </rPr>
      <t>Blocs sanitaires de plage / front de mer ; Parcs zoologiques / Parcs animaliers ; Parcs aquatiques</t>
    </r>
    <r>
      <rPr>
        <sz val="9"/>
        <rFont val="Calibri"/>
      </rPr>
      <t xml:space="preserve"> : Dynamique renovation 2026-2030 : forte, car l usure et l hygiene rendent les interventions recurrentes. Menaces : arbitrages d investissement, travaux en exploitation et cout de maintenance.Centres de loisirs sans hébergement : Dynamique réno 2026-2030 : soutenue par la sécurité et le confort d’usage, mais avec de petits tickets et des arbitrages locaux fréquents.Parcs d’attractions / Parcs à thèmes fixes : Dynamique renovation 2026-2030 : moderee, car l usure et l hygiene rendent les interventions recurrentes. Menaces : arbitrages d investissement, travaux en exploitation et cout de maintenance.</t>
    </r>
  </si>
  <si>
    <r>
      <rPr>
        <b/>
        <sz val="9"/>
        <rFont val="Calibri"/>
      </rPr>
      <t>Blocs sanitaires de plage / front de mer ; Parcs d’attractions / Parcs à thèmes fixes ; Parcs zoologiques / Parcs animaliers ; Parcs aquatiques</t>
    </r>
    <r>
      <rPr>
        <sz val="9"/>
        <rFont val="Calibri"/>
      </rPr>
      <t xml:space="preserve"> : Dynamique neuf 2026-2030 : faible a moderee, dependante des projets immobiliers, de la demographie locale et des budgets de maitrise d ouvrage.Centres de loisirs sans hébergement : Dynamique neuf 2026-2030 : faible à modérée ; les annonces existent, mais beaucoup restent dépendantes de subventions, de foncier disponible et de la fréquentation future.</t>
    </r>
  </si>
  <si>
    <r>
      <rPr>
        <b/>
        <sz val="9"/>
        <rFont val="Calibri"/>
      </rPr>
      <t>Blocs sanitaires de plage / front de mer</t>
    </r>
    <r>
      <rPr>
        <sz val="9"/>
        <rFont val="Calibri"/>
      </rPr>
      <t xml:space="preserve"> ; </t>
    </r>
    <r>
      <rPr>
        <b/>
        <sz val="9"/>
        <rFont val="Calibri"/>
      </rPr>
      <t>Parcs aquatiques</t>
    </r>
    <r>
      <rPr>
        <sz val="9"/>
        <rFont val="Calibri"/>
      </rPr>
      <t xml:space="preserve"> : </t>
    </r>
    <r>
      <rPr>
        <sz val="9"/>
        <rFont val="Calibri"/>
      </rPr>
      <t>https://www.agencedusport.fr/plan-5000-equipements-generation-2024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https://www.insee.fr/fr/statistiques/8906564Centres de loisirs sans hébergement : https://www.banquedesterritoires.fr/plan-renovation-energetique-batiments-publics
https://www.ecologie.gouv.fr/eco-energie-tertiaire-eet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https://www.insee.fr/fr/statistiques/8906564Parcs d’attractions / Parcs à thèmes fixes ; Parcs zoologiques / Parcs animaliers :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t>
    </r>
  </si>
  <si>
    <r>
      <rPr>
        <b/>
        <sz val="9"/>
        <rFont val="Calibri"/>
      </rPr>
      <t>Blocs sanitaires de plage / front de mer ; Parcs d’attractions / Parcs à thèmes fixes ; Parcs zoologiques / Parcs animaliers ; Parcs aquatiques</t>
    </r>
    <r>
      <rPr>
        <sz val="9"/>
        <rFont val="Calibri"/>
      </rPr>
      <t xml:space="preserve"> : BonneCentres de loisirs sans hébergement : Moyenne+</t>
    </r>
  </si>
  <si>
    <r>
      <rPr>
        <b/>
        <sz val="9"/>
        <rFont val="Calibri"/>
      </rPr>
      <t>Blocs sanitaires de plage / front de mer</t>
    </r>
    <r>
      <rPr>
        <sz val="9"/>
        <rFont val="Calibri"/>
      </rPr>
      <t xml:space="preserve"> : Parc existant centre sur le niveau wet, avec ventes 2026-2030 legerement plus qualitatives. Blocs sanitaires de plage / front de mer : ambiance tres humide, pics saisonniers ou horaires et maintenance sous contrainte sanitaire; le mix reste guide par milieu humide, corrosion, securite usager et forte frequence de nettoyage.Centres de loisirs sans hébergement : Parc existant surtout standard. Les ventes restent proches du parc, centré sur standard, du fait de budgets et de rénovations menées surtout par lots. La rénovation restant majoritaire, le mix de ventes reste proche du parc et monte surtout d’un cran sur les opérations lourdes. Sites collectifs à budget serré, souvent saisonniers ou associatifs : le fonctionnel domine, la montée en gamme reste limitée et surtout visible dans le neuf.Parcs d’attractions / Parcs à thèmes fixes : Parc existant centre sur le niveau standard, avec ventes 2026-2030 legerement plus qualitatives. Parcs d’attractions / Parcs à thèmes fixes : usage collectif regulier, contraintes de maintenance et arbitrages budgetaires; le mix reste guide par robustesse, hygiene et cout global restent prioritaires.Parcs zoologiques / Parcs animaliers : Parc existant centre sur le niveau upscale, avec ventes 2026-2030 legerement plus qualitatives. Parcs zoologiques / Parcs animaliers : flux visiteurs avec pics week-end/vacances et exigence d experience client; le mix reste guide par image client, rapidite de nettoyage et resistance aux pics de frequentation.Parcs aquatiques : Parc existant centre sur le niveau wet, avec ventes 2026-2030 legerement plus qualitatives. Parcs aquatiques : ambiance tres humide, pics saisonniers ou horaires et maintenance sous contrainte sanitaire; le mix reste guide par milieu humide, corrosion, securite usager et forte frequence de nettoyage.</t>
    </r>
  </si>
  <si>
    <r>
      <rPr>
        <b/>
        <sz val="9"/>
        <rFont val="Calibri"/>
      </rPr>
      <t>Blocs sanitaires de plage / front de mer ; Parcs d’attractions / Parcs à thèmes fixes ; Parcs zoologiques / Parcs animaliers ; Parcs aquatiques</t>
    </r>
    <r>
      <rPr>
        <sz val="9"/>
        <rFont val="Calibri"/>
      </rPr>
      <t xml:space="preserve"> : ±4 ptsCentres de loisirs sans hébergement : ±5 pts</t>
    </r>
  </si>
  <si>
    <r>
      <rPr>
        <b/>
        <sz val="9"/>
        <rFont val="Calibri"/>
      </rPr>
      <t>Blocs sanitaires de plage / front de mer ; Parcs d’attractions / Parcs à thèmes fixes ; Parcs aquatiques</t>
    </r>
    <r>
      <rPr>
        <sz val="9"/>
        <rFont val="Calibri"/>
      </rPr>
      <t xml:space="preserve"> : ±4 ptsCentres de loisirs sans hébergement ; Parcs zoologiques / Parcs animaliers : ±5 pts</t>
    </r>
  </si>
  <si>
    <r>
      <rPr>
        <b/>
        <sz val="9"/>
        <rFont val="Calibri"/>
      </rPr>
      <t>Blocs sanitaires de plage / front de mer ; Parcs d’attractions / Parcs à thèmes fixes ; Parcs zoologiques / Parcs animaliers ; Parcs aquatiques</t>
    </r>
    <r>
      <rPr>
        <sz val="9"/>
        <rFont val="Calibri"/>
      </rPr>
      <t xml:space="preserve"> : BonneCentres de loisirs sans hébergement : Moyenne +</t>
    </r>
  </si>
  <si>
    <r>
      <rPr>
        <b/>
        <sz val="9"/>
        <rFont val="Calibri"/>
      </rPr>
      <t>Blocs sanitaires de plage / front de mer ; Parcs aquatiques</t>
    </r>
    <r>
      <rPr>
        <sz val="9"/>
        <rFont val="Calibri"/>
      </rPr>
      <t xml:space="preserve"> : Parc existant : milieu humide, corrosion, securite usager et forte frequence de nettoyage; ambiance tres humide, pics saisonniers ou horaires et maintenance sous contrainte sanitaire. La montee en confort reste proportionnee au budget et au rythme de renovation.Centres de loisirs sans hébergement : Sites collectifs à budget serré, souvent saisonniers ou associatifs : le fonctionnel domine, la montée en gamme reste limitée et surtout visible dans le neuf.Parcs d’attractions / Parcs à thèmes fixes : Parc existant : robustesse, hygiene et cout global restent prioritaires; usage collectif regulier, contraintes de maintenance et arbitrages budgetaires. La montee en confort reste proportionnee au budget et au rythme de renovation.Parcs zoologiques / Parcs animaliers : Parc existant : image client, rapidite de nettoyage et resistance aux pics de frequentation; flux visiteurs avec pics week-end/vacances et exigence d experience client. La montee en confort reste proportionnee au budget et au rythme de renovation.</t>
    </r>
  </si>
  <si>
    <r>
      <rPr>
        <b/>
        <sz val="9"/>
        <rFont val="Calibri"/>
      </rPr>
      <t>Blocs sanitaires de plage / front de mer ; Parcs aquatiques</t>
    </r>
    <r>
      <rPr>
        <sz val="9"/>
        <rFont val="Calibri"/>
      </rPr>
      <t xml:space="preserve"> : forte frequentation =&gt; standard robuste ; milieu humide =&gt; produits techniquesCentres de loisirs sans hébergement : rénovation dominante ⇒ progression graduelleParcs d’attractions / Parcs à thèmes fixes : renovation dominante =&gt; progression graduelleParcs zoologiques / Parcs animaliers : forte frequentation =&gt; standard robuste ; image client =&gt; premiumisation ciblee</t>
    </r>
  </si>
  <si>
    <r>
      <rPr>
        <b/>
        <sz val="9"/>
        <rFont val="Calibri"/>
      </rPr>
      <t>Blocs sanitaires de plage / front de mer</t>
    </r>
    <r>
      <rPr>
        <sz val="9"/>
        <rFont val="Calibri"/>
      </rPr>
      <t xml:space="preserve"> : Blocs sanitaires de plage / front de mer : ventes 2026-2030 en leger glissement vers moyen/premium lorsque le neuf ou les renov. lourdes interviennent. Le centre de gravite reste toutefois module par milieu humide, corrosion, securite usager et forte frequence de nettoyage et par la part dominante de travaux sur parc existant.Centres de loisirs sans hébergement : Centres de loisirs sans hébergement : bâtiments simples et saisonnalité limitent la montée en gamme. Ventes 2026-2030 : glissement vers davantage de moyen / premium, surtout sur lavabo (+1,3 pts sur premium+luxe), WC (+0,9 pts sur premium+luxe). La rénovation reste majoritaire (76% des ventes, contre 24% en neuf) ; le neuf tire le mix vers le haut sans renverser le centre de gravité. L’écart de niveau de confort entre neuf et rénovation reste perceptible.Parcs d’attractions / Parcs à thèmes fixes : Parcs d’attractions / Parcs à thèmes fixes : ventes 2026-2030 en leger glissement vers moyen/premium lorsque le neuf ou les renov. lourdes interviennent. Le centre de gravite reste toutefois module par robustesse, hygiene et cout global restent prioritaires et par la part dominante de travaux sur parc existant.Parcs zoologiques / Parcs animaliers : Parcs zoologiques / Parcs animaliers : ventes 2026-2030 en leger glissement vers moyen/premium lorsque le neuf ou les renov. lourdes interviennent. Le centre de gravite reste toutefois module par image client, rapidite de nettoyage et resistance aux pics de frequentation et par la part dominante de travaux sur parc existant.Parcs aquatiques : Parcs aquatiques : ventes 2026-2030 en leger glissement vers moyen/premium lorsque le neuf ou les renov. lourdes interviennent. Le centre de gravite reste toutefois module par milieu humide, corrosion, securite usager et forte frequence de nettoyage et par la part dominante de travaux sur parc existant.</t>
    </r>
  </si>
  <si>
    <t>1 - Aquariums
2 - Casinos
3 - Salles de jeux / Bowlings / Billards
4 - Discothèques / Salles de danse</t>
  </si>
  <si>
    <r>
      <rPr>
        <b/>
        <sz val="9"/>
        <rFont val="Calibri"/>
      </rPr>
      <t>Aquariums</t>
    </r>
    <r>
      <rPr>
        <sz val="9"/>
        <rFont val="Calibri"/>
      </rPr>
      <t xml:space="preserve"> : Y ou PA / variableCasinos : P / N / LSalles de jeux / Bowlings / Billards ; Discothèques / Salles de danse : P</t>
    </r>
  </si>
  <si>
    <r>
      <rPr>
        <b/>
        <sz val="9"/>
        <rFont val="Calibri"/>
      </rPr>
      <t>Aquariums</t>
    </r>
    <r>
      <rPr>
        <sz val="9"/>
        <rFont val="Calibri"/>
      </rPr>
      <t xml:space="preserve"> : ERP / variableCasinos : Ensemble multi-activitésSalles de jeux / Bowlings / Billards ; Discothèques / Salles de danse : ERP</t>
    </r>
  </si>
  <si>
    <r>
      <rPr>
        <b/>
        <sz val="9"/>
        <rFont val="Calibri"/>
      </rPr>
      <t>Aquariums</t>
    </r>
    <r>
      <rPr>
        <sz val="9"/>
        <rFont val="Calibri"/>
      </rPr>
      <t xml:space="preserve"> : À compter lorsqu’il s’agit d’un site autonome ; éviter le double compte si l’aquarium est déjà inclus dans un musée, un zoo ou un grand équipement multi-activités.Casinos : Établissements recevant du public où le jeu, l’animation et la restauration sont réunis sous une direction unique ; sanitaires publics très probables.Salles de jeux / Bowlings / Billards : Jeux et loisirs intérieurs.Discothèques / Salles de danse : Danse et activités assimilées.</t>
    </r>
  </si>
  <si>
    <r>
      <rPr>
        <b/>
        <sz val="9"/>
        <rFont val="Calibri"/>
      </rPr>
      <t>Aquariums</t>
    </r>
    <r>
      <rPr>
        <sz val="9"/>
        <rFont val="Calibri"/>
      </rPr>
      <t xml:space="preserve"> : Aquarium public, aquarium océanographiqueCasinos : CasinoSalles de jeux / Bowlings / Billards : Bowling, salle de jeuxDiscothèques / Salles de danse : Discothèque, dancing</t>
    </r>
  </si>
  <si>
    <r>
      <rPr>
        <b/>
        <sz val="9"/>
        <rFont val="Calibri"/>
      </rPr>
      <t>Aquariums ; Casinos</t>
    </r>
    <r>
      <rPr>
        <sz val="9"/>
        <rFont val="Calibri"/>
      </rPr>
      <t xml:space="preserve"> : Site / établissement principalSalles de jeux / Bowlings / Billards ; Discothèques / Salles de danse : Site
Etablissement principal</t>
    </r>
  </si>
  <si>
    <r>
      <rPr>
        <b/>
        <sz val="9"/>
        <rFont val="Calibri"/>
      </rPr>
      <t>Aquariums ; Casinos</t>
    </r>
    <r>
      <rPr>
        <sz val="9"/>
        <rFont val="Calibri"/>
      </rPr>
      <t xml:space="preserve"> : ajout qualitatif – à quantifier avant intégrationSalles de jeux / Bowlings / Billards ; Discothèques / Salles de danse : proxy public / estimation encadrée</t>
    </r>
  </si>
  <si>
    <r>
      <rPr>
        <b/>
        <sz val="9"/>
        <rFont val="Calibri"/>
      </rPr>
      <t>Aquariums ; Salles de jeux / Bowlings / Billards ; Discothèques / Salles de danse</t>
    </r>
    <r>
      <rPr>
        <sz val="9"/>
        <rFont val="Calibri"/>
      </rPr>
      <t xml:space="preserve"> : MoyenneCasinos : Élevé</t>
    </r>
  </si>
  <si>
    <r>
      <rPr>
        <b/>
        <sz val="9"/>
        <rFont val="Calibri"/>
      </rPr>
      <t>Aquariums</t>
    </r>
    <r>
      <rPr>
        <sz val="9"/>
        <rFont val="Calibri"/>
      </rPr>
      <t xml:space="preserve"> : Parc d’équipements public/associatif mature ; renouvellement lent et faible variation nette d’une année sur l’autre.Casinos : Faute de série nationale homogène publiée annuellement pour cette sous-catégorie, le proxy est lissé ; la faible variation reflète une prudence méthodologique.Salles de jeux / Bowlings / Billards : Proxy reconstitué à partir du socle des clubs/salles de billard (≈575-589) auquel s’ajoutent bowlings et salles de jeux autonomes ; baisse sur 2000-2015 puis reprise modérée portée par le loisir indoor multi-activités. Exclut les bars avec simple billard/borne.Discothèques / Salles de danse : Série recalée sur le déclin structurel du parc : ≈2 000 discothèques autour de 2014, puis ≈1 300-1 400 en 2025. Légère érosion projetée après 2025, sans hypothèse de fermeture massive supplémentaire.</t>
    </r>
  </si>
  <si>
    <r>
      <rPr>
        <b/>
        <sz val="9"/>
        <rFont val="Calibri"/>
      </rPr>
      <t>Aquariums</t>
    </r>
    <r>
      <rPr>
        <sz val="9"/>
        <rFont val="Calibri"/>
      </rPr>
      <t xml:space="preserve"> : proxy musées de France et assimilés. Dynamique projetée 2027-2030: stable. Fiabilité: bonne.Casinos ; Salles de jeux / Bowlings / Billards : proxy loisirs intérieurs. Dynamique projetée 2027-2030: stable. Fiabilité: moyenne.Discothèques / Salles de danse : proxy loisirs nocturnes. Dynamique projetée 2027-2030: baisse lente. Fiabilité: moyenne.</t>
    </r>
  </si>
  <si>
    <r>
      <rPr>
        <b/>
        <sz val="9"/>
        <rFont val="Calibri"/>
      </rPr>
      <t>Aquariums</t>
    </r>
    <r>
      <rPr>
        <sz val="9"/>
        <rFont val="Calibri"/>
      </rPr>
      <t xml:space="preserve"> : https://www.legifrance.gouv.fr/jorf/id/JORFTEXT000051832274
https://www.legifrance.gouv.fr/codes/section_lc/JORFTEXT000000290033/LEGISCTA000024845052/Casinos : https://www.legifrance.gouv.fr/loda/id/JORFTEXT000000278899
https://www.legifrance.gouv.fr/codes/section_lc/JORFTEXT000000290033/LEGISCTA000020334969/Salles de jeux / Bowlings / Billards ; Discothèques / Salles de danse : https://www.insee.fr/fr/metadonnees/source/serie/s1161</t>
    </r>
  </si>
  <si>
    <r>
      <rPr>
        <b/>
        <sz val="9"/>
        <rFont val="Calibri"/>
      </rPr>
      <t>Aquariums</t>
    </r>
    <r>
      <rPr>
        <sz val="9"/>
        <rFont val="Calibri"/>
      </rPr>
      <t xml:space="preserve"> : Aquarium : batteries visiteurs à l'entrée/parcours + blocs personnel technique ; douche ponctuelle côté maintenance humide/animalier.Casinos : Casino : sanitaires clientèle en batterie + sanitaires personnel/contrôle.Salles de jeux / Bowlings / Billards : Bowling/jeux : bloc clients + sanitaire personnel, sans douches.Discothèques / Salles de danse : Discothèque/salle de danse : batteries sanitaires clients + blocs personnel/sécurité.</t>
    </r>
  </si>
  <si>
    <r>
      <rPr>
        <b/>
        <sz val="9"/>
        <rFont val="Calibri"/>
      </rPr>
      <t>Aquariums</t>
    </r>
    <r>
      <rPr>
        <sz val="9"/>
        <rFont val="Calibri"/>
      </rPr>
      <t xml:space="preserve"> : Capacité type ≈ 656 usagers principaux + 96 staff + 48 autre public. Parcours muséal avec pics groupes scolaires/touristiques, sans douches. Dimensionnement unitaire retenu : blocs publics répartis par flux et au moins un accessible par niveau concerné. Hypothèse d'usage : capacité simultanée moyenne 2026. DQuelques douches pour sites avec personnel technique, locaux humides, maintenance, soins animaliers ou interventions salissantes.Casinos : Capacité type ≈ 390 usagers principaux + 80 staff + 30 autre public. Présence prolongée, restauration/bar et événements ponctuels ; flux adultes. Dimensionnement unitaire retenu : blocs clients H/F/PMR dimensionnés au temps de séjour, personnel séparé, pas de douche. Hypothèse d'usage : capacité simultanée moyenne 2026, répartition par flux réels, arrondie par blocs fonctionnels et exclusion des sanitaires strictement privatifs sauf cas explicitement collectifs.Salles de jeux / Bowlings / Billards : Capacité type ≈ 180 usagers principaux + 30 staff + 10 autre public. Clientèle en rotation mais présence prolongée sur pistes/salles de jeux. Dimensionnement unitaire retenu : bloc public compact avec PMR + bloc staff, dimensionné par la jauge simultanée moyenne. Hypothèse d'usage : capacité simultanée moyenne 2026, répartition par flux réels, arrondie par blocs fonctionnels et exclusion des sanitaires strictement privatifs sauf cas explicitement collectifs.Discothèques / Salles de danse : Capacité type ≈ 510 usagers principaux + 60 staff + 30 autre public. Occupation dense, consommation de boissons et pics aux entractes/sorties. Dimensionnement unitaire retenu : batteries clients renforcées, ventilation/entretien intensifs, personnel séparé. Hypothèse d'usage : capacité simultanée moyenne 2026, répartition par flux réels, arrondie par blocs fonctionnels et exclusion des sanitaires strictement privatifs sauf cas explicitement collectifs.</t>
    </r>
  </si>
  <si>
    <r>
      <rPr>
        <b/>
        <sz val="9"/>
        <rFont val="Calibri"/>
      </rPr>
      <t>Aquariums</t>
    </r>
    <r>
      <rPr>
        <sz val="9"/>
        <rFont val="Calibri"/>
      </rPr>
      <t xml:space="preserve"> : Profil grand, capacité moyenne ≈ 800 personnes. Moyenne pondérée terrain : parc majoritairement petits/moyens sites, grands sites intégrés sans surpondération ; usage 2025 forte à très forte.Casinos : Profil grand, capacité moyenne ≈ 500 personnes. Moyenne pondérée terrain : parc majoritairement petits/moyens sites, grands sites intégrés sans surpondération ; usage 2025 forte à très forte.Salles de jeux / Bowlings / Billards : Profil moyen, capacité moyenne ≈ 220 personnes. Moyenne pondérée terrain : parc majoritairement petits/moyens sites, grands sites intégrés sans surpondération ; usage 2025 forte à très forte.Discothèques / Salles de danse : Profil grand, capacité moyenne ≈ 600 personnes. Moyenne pondérée terrain : parc majoritairement petits/moyens sites, grands sites intégrés sans surpondération ; usage 2025 forte à très forte.</t>
    </r>
  </si>
  <si>
    <r>
      <rPr>
        <b/>
        <sz val="9"/>
        <rFont val="Calibri"/>
      </rPr>
      <t>Aquariums</t>
    </r>
    <r>
      <rPr>
        <sz val="9"/>
        <rFont val="Calibri"/>
      </rPr>
      <t xml:space="preserve"> : Usage touristique intérieur, pics week-end/vacances, humidité ambiante mais blocs mieux contrôlés que parcs aquatiques. Durées proches musée très fréquenté, réserve sur électronique en zones humides. Repères durées: lavabos 10/11/8 ans (mit./méca/élec.), douches 8/8/7, urinoirs 8/10/7/9, WC 10/11/8.Casinos : Usage adulte, nocturne et prolongé, pics événementiels mais maintenance régulière et image premium. Vandalisme limité mais nettoyage fréquent; meilleur que discothèque, proche bars haut de gamme. Repères durées: lavabos 10/11/8 ans (mit./méca/élec.), douches 8/8/7, urinoirs 8/10/7/9, WC 10/11/8.Salles de jeux / Bowlings / Billards : Usage loisirs soir/week-end, public familial ou groupes, pics courts et nettoyage soutenu ; chocs possibles mais humidité limitée. Proche bars, un peu meilleur que discothèque. Usage dense, arbitrages économiques serrés. Les temporisés mécaniques conservent un léger avantage en robustesse sur les mitigeurs dans les sanitaires partagés. L'électronique reste plus courte en raison de la maintenance plus opportuniste. Renouvellement surtout à la panne, puis par lot lors des refurbishments. Nettoyage agressif, image commerciale importante et vandalisme plus élevé en soirée/nuit.Discothèques / Salles de danse : Usage nocturne intense, alcoolisation, pics concentrés, chocs et vandalisme plus élevés; nettoyage après fermeture souvent agressif. Durées raccourcies, surtout mitigeurs, réservoirs et électronique exposée.. Très forte fréquentation ponctuelle, peu d'appropriation des lieux et vandalisme non nul. Durées abaissées sans créer de grands écarts artificiels : mécanique simple &gt; mitigeur &gt; électronique. Chasses directes mécaniques gardent le meilleur comportement réel. Remplacements souvent batchés par sanitaires. Disponibilité immédiate requise, vandalisme et coûts d’exploitation élevés. Temporisation mécanique et la chasse directe sont favorisées.</t>
    </r>
  </si>
  <si>
    <r>
      <rPr>
        <b/>
        <sz val="9"/>
        <rFont val="Calibri"/>
      </rPr>
      <t>Aquariums</t>
    </r>
    <r>
      <rPr>
        <sz val="9"/>
        <rFont val="Calibri"/>
      </rPr>
      <t xml:space="preserve"> : Aquariums : parc 2025 domine par tempo mecanique (76%), avec mitigeur manuel en appoint. Le choix reflete flux visiteurs avec pics week-end/vacances et exigence d experience client ; image client, rapidite de nettoyage et resistance aux pics de frequentation.Casinos : Casinos : parc 2025 domine par tempo mecanique (76%), avec mitigeur manuel en appoint. Le choix reflete flux visiteurs avec pics week-end/vacances et exigence d experience client ; image client, rapidite de nettoyage et resistance aux pics de frequentation.Salles de jeux / Bowlings / Billards : Salles de jeux / Bowlings / Billards : parc 2025 domine par tempo mecanique (76%), avec mitigeur manuel en appoint ; l’électronique progressant dans les complexes récents.. Le choix reflete flux visiteurs avec pics week-end/vacances et exigence d experience client ; image client, rapidite de nettoyage et resistance aux pics de frequentation.Discothèques / Salles de danse : Discothèques / Salles de danse : parc 2025 domine par tempo mecanique (76%), avec mitigeur manuel en appoint ; l’électronique progresse dans les rénovations d’image et d’hygiène. Le choix reflete flux visiteurs avec pics week-end/vacances et exigence d experience client ; image client, rapidite de nettoyage et resistance aux pics de frequentation.</t>
    </r>
  </si>
  <si>
    <r>
      <rPr>
        <b/>
        <sz val="9"/>
        <rFont val="Calibri"/>
      </rPr>
      <t>Aquariums</t>
    </r>
    <r>
      <rPr>
        <sz val="9"/>
        <rFont val="Calibri"/>
      </rPr>
      <t xml:space="preserve"> : Aquariums : douches surtout personnel/technique ; mitigeur majoritaire, temporisé mécanique en appoint sur vestiaires.Casinos ; Salles de jeux / Bowlings / Billards ; Discothèques / Salles de danse : Sans objet.</t>
    </r>
  </si>
  <si>
    <r>
      <rPr>
        <b/>
        <sz val="9"/>
        <rFont val="Calibri"/>
      </rPr>
      <t>Aquariums</t>
    </r>
    <r>
      <rPr>
        <sz val="9"/>
        <rFont val="Calibri"/>
      </rPr>
      <t xml:space="preserve"> : Progression limitée du temporisé et de l’électronique lors de rénovations de locaux techniques, mitigeur restant majoritaire.Casinos ; Salles de jeux / Bowlings / Billards ; Discothèques / Salles de danse : Sans objet.</t>
    </r>
  </si>
  <si>
    <r>
      <rPr>
        <b/>
        <sz val="9"/>
        <rFont val="Calibri"/>
      </rPr>
      <t>Aquariums</t>
    </r>
    <r>
      <rPr>
        <sz val="9"/>
        <rFont val="Calibri"/>
      </rPr>
      <t xml:space="preserve"> : Aquariums : parc 2025 domine par directe mecanique (55%), avec directe electronique collective en appoint. Le choix reflete flux visiteurs avec pics week-end/vacances et exigence d experience client ; image client, rapidite de nettoyage et resistance aux pics de frequentation.Casinos : Casinos : parc 2025 domine par directe mecanique (55%), avec directe electronique collective en appoint. Le choix reflete flux visiteurs avec pics week-end/vacances et exigence d experience client ; image client, rapidite de nettoyage et resistance aux pics de frequentation.Salles de jeux / Bowlings / Billards : Salles de jeux / Bowlings / Billards : parc 2025 domine par directe mecanique (55%), avec directe electronique collective en appoint. Le choix reflete flux visiteurs avec pics week-end/vacances et exigence d experience client ; image client, rapidite de nettoyage et resistance aux pics de frequentation.Discothèques / Salles de danse : Discothèques / Salles de danse : parc 2025 domine par directe mecanique (55%), avec directe electronique collective en appoint. Le choix reflete flux visiteurs avec pics week-end/vacances et exigence d experience client ; image client, rapidite de nettoyage et resistance aux pics de frequentation.</t>
    </r>
  </si>
  <si>
    <r>
      <rPr>
        <b/>
        <sz val="9"/>
        <rFont val="Calibri"/>
      </rPr>
      <t>Aquariums</t>
    </r>
    <r>
      <rPr>
        <sz val="9"/>
        <rFont val="Calibri"/>
      </rPr>
      <t xml:space="preserve"> : Aquariums : parc 2025 domine par chasse directe mecanique (55%), avec reservoir en appoint. Le choix reflete flux visiteurs avec pics week-end/vacances et exigence d experience client ; image client, rapidite de nettoyage et resistance aux pics de frequentation.Casinos : Casinos : parc 2025 domine par chasse directe mecanique (55%), avec reservoir en appoint. Le choix reflete flux visiteurs avec pics week-end/vacances et exigence d experience client ; image client, rapidite de nettoyage et resistance aux pics de frequentation.Salles de jeux / Bowlings / Billards : Salles de jeux / Bowlings / Billards : parc 2025 domine par chasse directe mecanique (55%), avec reservoir en appoint. Le choix reflete flux visiteurs avec pics week-end/vacances et exigence d experience client ; image client, rapidite de nettoyage et resistance aux pics de frequentation.Discothèques / Salles de danse : Discothèques / Salles de danse : parc 2025 domine par chasse directe mecanique (55%), avec reservoir en appoint. Le choix reflete flux visiteurs avec pics week-end/vacances et exigence d experience client ; image client, rapidite de nettoyage et resistance aux pics de frequentation.</t>
    </r>
  </si>
  <si>
    <r>
      <rPr>
        <b/>
        <sz val="9"/>
        <rFont val="Calibri"/>
      </rPr>
      <t>Aquariums</t>
    </r>
    <r>
      <rPr>
        <sz val="9"/>
        <rFont val="Calibri"/>
      </rPr>
      <t xml:space="preserve"> : Potentiel neuf : plus visible pour aquariums, surtout via extensions, reconstructions ou projets locaux. Le neuf reste contraint par foncier, budgets et delais de mise en service.Casinos : Potentiel neuf : plus visible pour casinos, surtout via extensions, reconstructions ou projets locaux. Le neuf reste contraint par foncier, budgets et delais de mise en service.Salles de jeux / Bowlings / Billards : Potentiel neuf : plus visible pour salles de jeux / bowlings / billards, surtout via extensions, reconstructions ou projets locaux. Le neuf reste contraint par foncier, budgets et delais de mise en service.Discothèques / Salles de danse : Potentiel neuf : plus visible pour discothèques / salles de danse, surtout via extensions, reconstructions ou projets locaux. Le neuf reste contraint par foncier, budgets et delais de mise en service.</t>
    </r>
  </si>
  <si>
    <r>
      <rPr>
        <b/>
        <sz val="9"/>
        <rFont val="Calibri"/>
      </rPr>
      <t>Aquariums</t>
    </r>
    <r>
      <rPr>
        <sz val="9"/>
        <rFont val="Calibri"/>
      </rPr>
      <t xml:space="preserve"> ; </t>
    </r>
    <r>
      <rPr>
        <b/>
        <sz val="9"/>
        <rFont val="Calibri"/>
      </rPr>
      <t>Casinos</t>
    </r>
    <r>
      <rPr>
        <sz val="9"/>
        <rFont val="Calibri"/>
      </rPr>
      <t xml:space="preserve"> : </t>
    </r>
    <r>
      <rPr>
        <sz val="9"/>
        <rFont val="Calibri"/>
      </rPr>
      <t>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https://www.insee.fr/fr/statistiques/8906564Salles de jeux / Bowlings / Billards ; Discothèques / Salles de danse : https://www.statistiques.developpement-durable.gouv.fr/construction-de-locaux-resultats-fin-janvier-2026-france-entiere
https://www.insee.fr/fr/statistiques/8671745
https://www.insee.fr/fr/statistiques/8906564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t>
    </r>
  </si>
  <si>
    <r>
      <rPr>
        <b/>
        <sz val="9"/>
        <rFont val="Calibri"/>
      </rPr>
      <t>Aquariums</t>
    </r>
    <r>
      <rPr>
        <sz val="9"/>
        <rFont val="Calibri"/>
      </rPr>
      <t xml:space="preserve"> : Parc existant centre sur le niveau upscale, avec ventes 2026-2030 legerement plus qualitatives. Aquariums : flux visiteurs avec pics week-end/vacances et exigence d experience client; le mix reste guide par image client, rapidite de nettoyage et resistance aux pics de frequentation.Casinos : Parc existant centre sur le niveau upscale, avec ventes 2026-2030 legerement plus qualitatives. Casinos : flux visiteurs avec pics week-end/vacances et exigence d experience client; le mix reste guide par image client, rapidite de nettoyage et resistance aux pics de frequentation.Salles de jeux / Bowlings / Billards : Parc existant centre sur le niveau upscale, avec ventes 2026-2030 legerement plus qualitatives. Salles de jeux / Bowlings / Billards : flux visiteurs avec pics week-end/vacances et exigence d experience client; le mix reste guide par image client, rapidite de nettoyage et resistance aux pics de frequentation.Discothèques / Salles de danse : Parc existant centre sur le niveau upscale, avec ventes 2026-2030 legerement plus qualitatives. Discothèques / Salles de danse : flux visiteurs avec pics week-end/vacances et exigence d experience client; le mix reste guide par image client, rapidite de nettoyage et resistance aux pics de frequentation.</t>
    </r>
  </si>
  <si>
    <r>
      <rPr>
        <b/>
        <sz val="9"/>
        <rFont val="Calibri"/>
      </rPr>
      <t>Aquariums</t>
    </r>
    <r>
      <rPr>
        <sz val="9"/>
        <rFont val="Calibri"/>
      </rPr>
      <t xml:space="preserve"> : Aquariums : ventes 2026-2030 en leger glissement vers moyen/premium lorsque le neuf ou les renov. lourdes interviennent. Le centre de gravite reste toutefois module par image client, rapidite de nettoyage et resistance aux pics de frequentation et par la part dominante de travaux sur parc existant.Casinos : Casinos : ventes 2026-2030 en leger glissement vers moyen/premium lorsque le neuf ou les renov. lourdes interviennent. Le centre de gravite reste toutefois module par image client, rapidite de nettoyage et resistance aux pics de frequentation et par la part dominante de travaux sur parc existant.Salles de jeux / Bowlings / Billards : Salles de jeux / Bowlings / Billards : ventes 2026-2030 en leger glissement vers moyen/premium lorsque le neuf ou les renov. lourdes interviennent. Le centre de gravite reste toutefois module par image client, rapidite de nettoyage et resistance aux pics de frequentation et par la part dominante de travaux sur parc existant.Discothèques / Salles de danse : Discothèques / Salles de danse : ventes 2026-2030 en leger glissement vers moyen/premium lorsque le neuf ou les renov. lourdes interviennent. Le centre de gravite reste toutefois module par image client, rapidite de nettoyage et resistance aux pics de frequentation et par la part dominante de travaux sur parc existant.</t>
    </r>
  </si>
  <si>
    <t>1 - Hôpitaux universitaires / CHU
2 - Hôpitaux publics
3 - Hôpitaux privés
4 - Cliniques
5 - Hôpitaux d’instruction des armées et centres médicaux recevant du public
6 - Unités hospitalières sécurisées en milieu carcéral</t>
  </si>
  <si>
    <r>
      <rPr>
        <b/>
        <sz val="9"/>
        <rFont val="Calibri"/>
      </rPr>
      <t>Hôpitaux universitaires / CHU ; Hôpitaux publics ; Hôpitaux privés ; Cliniques ; Hôpitaux d’instruction des armées et centres médicaux recevant du public</t>
    </r>
    <r>
      <rPr>
        <sz val="9"/>
        <rFont val="Calibri"/>
      </rPr>
      <t xml:space="preserve"> : ERPUnités hospitalières sécurisées en milieu carcéral : ERP partiel / variable</t>
    </r>
  </si>
  <si>
    <r>
      <rPr>
        <b/>
        <sz val="9"/>
        <rFont val="Calibri"/>
      </rPr>
      <t>Hôpitaux universitaires / CHU ; Hôpitaux publics ; Hôpitaux privés ; Cliniques ; Hôpitaux d’instruction des armées et centres médicaux recevant du public</t>
    </r>
    <r>
      <rPr>
        <sz val="9"/>
        <rFont val="Calibri"/>
      </rPr>
      <t xml:space="preserve"> : ouiUnités hospitalières sécurisées en milieu carcéral : variable</t>
    </r>
  </si>
  <si>
    <r>
      <rPr>
        <b/>
        <sz val="9"/>
        <rFont val="Calibri"/>
      </rPr>
      <t>Hôpitaux universitaires / CHU</t>
    </r>
    <r>
      <rPr>
        <sz val="9"/>
        <rFont val="Calibri"/>
      </rPr>
      <t xml:space="preserve"> : Établissements sanitaires et universitaires.Hôpitaux publics ; Hôpitaux privés ; Cliniques : Établissements sanitaires.Hôpitaux d’instruction des armées et centres médicaux recevant du public : Les établissements sanitaires relevant des armées se classent comme établissements sanitaires lorsqu’ils accueillent patients, visiteurs ou consultants.Unités hospitalières sécurisées en milieu carcéral : Unités hospitalières sécurisées rattachées au champ sanitaire lorsqu’elles fonctionnent comme espaces de soins recevant des patients, accompagnants ou intervenants. Les zones strictement sécurisées restent à analyser séparément.</t>
    </r>
  </si>
  <si>
    <r>
      <rPr>
        <b/>
        <sz val="9"/>
        <rFont val="Calibri"/>
      </rPr>
      <t>Hôpitaux universitaires / CHU</t>
    </r>
    <r>
      <rPr>
        <sz val="9"/>
        <rFont val="Calibri"/>
      </rPr>
      <t xml:space="preserve"> : CHUHôpitaux publics : Centre hospitalier publicHôpitaux privés : Hôpital privéCliniques : Clinique chirurgicale, clinique SSRHôpitaux d’instruction des armées et centres médicaux recevant du public : Hôpital d’instruction des armées (HIA) , centre médical militaire (CMA)Unités hospitalières sécurisées en milieu carcéral : UHSA / UHSI</t>
    </r>
  </si>
  <si>
    <r>
      <rPr>
        <b/>
        <sz val="9"/>
        <rFont val="Calibri"/>
      </rPr>
      <t>Hôpitaux universitaires / CHU ; Hôpitaux publics ; Hôpitaux privés ; Hôpitaux d’instruction des armées et centres médicaux recevant du public</t>
    </r>
    <r>
      <rPr>
        <sz val="9"/>
        <rFont val="Calibri"/>
      </rPr>
      <t xml:space="preserve"> : nonCliniques ; Unités hospitalières sécurisées en milieu carcéral : oui</t>
    </r>
  </si>
  <si>
    <r>
      <rPr>
        <b/>
        <sz val="9"/>
        <rFont val="Calibri"/>
      </rPr>
      <t>Hôpitaux universitaires / CHU ; Hôpitaux publics ; Hôpitaux privés ; Cliniques ; Hôpitaux d’instruction des armées et centres médicaux recevant du public</t>
    </r>
    <r>
      <rPr>
        <sz val="9"/>
        <rFont val="Calibri"/>
      </rPr>
      <t xml:space="preserve"> : Site
Etablissement principalUnités hospitalières sécurisées en milieu carcéral : Site
Etablissement secondaire</t>
    </r>
  </si>
  <si>
    <r>
      <rPr>
        <b/>
        <sz val="9"/>
        <rFont val="Calibri"/>
      </rPr>
      <t>Hôpitaux universitaires / CHU ; Hôpitaux d’instruction des armées et centres médicaux recevant du public</t>
    </r>
    <r>
      <rPr>
        <sz val="9"/>
        <rFont val="Calibri"/>
      </rPr>
      <t xml:space="preserve"> : sous-espace / proxy non additifHôpitaux publics ; Hôpitaux privés ; Cliniques : série publique directeUnités hospitalières sécurisées en milieu carcéral : proxy public / estimation encadrée</t>
    </r>
  </si>
  <si>
    <r>
      <rPr>
        <b/>
        <sz val="9"/>
        <rFont val="Calibri"/>
      </rPr>
      <t>Hôpitaux universitaires / CHU ; Hôpitaux publics</t>
    </r>
    <r>
      <rPr>
        <sz val="9"/>
        <rFont val="Calibri"/>
      </rPr>
      <t xml:space="preserve"> : ElevéHôpitaux privés ; Cliniques ; Hôpitaux d’instruction des armées et centres médicaux recevant du public ; Unités hospitalières sécurisées en milieu carcéral : Moyenne</t>
    </r>
  </si>
  <si>
    <r>
      <rPr>
        <b/>
        <sz val="9"/>
        <rFont val="Calibri"/>
      </rPr>
      <t>Hôpitaux universitaires / CHU ; Hôpitaux d’instruction des armées et centres médicaux recevant du public</t>
    </r>
    <r>
      <rPr>
        <sz val="9"/>
        <rFont val="Calibri"/>
      </rPr>
      <t xml:space="preserve"> : Sous-espace rattaché à un site parent ; la série varie peu car elle suit un stock principal administré et non un marché autonome.Hôpitaux publics ; Cliniques : Pas de stagnation structurelle : la série évolue à la baisse sur la période 2000-2026 ; la projection prolonge cette tendance avec prudence.Hôpitaux privés : Parc d’établissements très encadré et capitalistique ; à l’échelle nationale, le nombre d’implantations varie lentement.Unités hospitalières sécurisées en milieu carcéral : Le nombre d’unités hospitalières sécurisées évolue peu ; la stagnation reflète un parc spécialisé à planification longue.</t>
    </r>
  </si>
  <si>
    <r>
      <rPr>
        <b/>
        <sz val="9"/>
        <rFont val="Calibri"/>
      </rPr>
      <t>Hôpitaux universitaires / CHU</t>
    </r>
    <r>
      <rPr>
        <sz val="9"/>
        <rFont val="Calibri"/>
      </rPr>
      <t xml:space="preserve"> : proxy sur le réseau CHU/CHR. Dynamique projetée 2027-2030: stable. Fiabilité: bonne.Hôpitaux publics : DREES 2024 public hors CHU estimé par retrait des CHU. Dynamique projetée 2027-2030: baisse légère. Fiabilité: bonne.Hôpitaux privés : DREES 2024 établissements privés à but non lucratif. Dynamique projetée 2027-2030: stable. Fiabilité: bonne. Risque de doublon: oui si addition avec la catégorie parente ou avec des sous-espaces d’un même site.Cliniques : DREES 2024 cliniques privées. Dynamique projetée 2027-2030: baisse légère. Fiabilité: bonne.Hôpitaux d’instruction des armées et centres médicaux recevant du public : proxy HIA et centres médicaux des armées. Dynamique projetée 2027-2030: stable. Fiabilité: bonne.Unités hospitalières sécurisées en milieu carcéral : Proxy UHSA/UHSI ; projection 2027-2030 stable.</t>
    </r>
  </si>
  <si>
    <r>
      <rPr>
        <b/>
        <sz val="9"/>
        <rFont val="Calibri"/>
      </rPr>
      <t>Hôpitaux universitaires / CHU ; Hôpitaux publics ; Hôpitaux privés ; Cliniques</t>
    </r>
    <r>
      <rPr>
        <sz val="9"/>
        <rFont val="Calibri"/>
      </rPr>
      <t xml:space="preserve"> : https://drees.solidarites-sante.gouv.fr/publications-communique-de-presse/etudes-et-resultats/251113_ER_etablissements-de-santeHôpitaux d’instruction des armées et centres médicaux recevant du public : https://www.defense.gouv.fr/santeUnités hospitalières sécurisées en milieu carcéral : https://www.justice.gouv.fr/sites/default/files/2025-02/statistique_etablissements_personnes_ecrouees_01022025.pdf</t>
    </r>
  </si>
  <si>
    <r>
      <rPr>
        <b/>
        <sz val="9"/>
        <rFont val="Calibri"/>
      </rPr>
      <t>Hôpitaux universitaires / CHU</t>
    </r>
    <r>
      <rPr>
        <sz val="9"/>
        <rFont val="Calibri"/>
      </rPr>
      <t xml:space="preserve"> : Blocs communs (accueil, consultations, urgences, visiteurs, staff) + chambres d'hospitalisation et chambres/boxes équipés lorsqu'il existe de l'individuel.Hôpitaux publics : Hôpital général : blocs communs + part majoritaire de chambres/lits hospitaliers équipés en lavabo/WC et salle d'eau lorsque l'hébergement est individualisé.Hôpitaux privés : Hôpital privé : blocs communs + chambres/secteurs d'hospitalisation complète équipés quand l'hébergement est individualisé.Cliniques : Clinique : blocs communs + chambres de chirurgie/médecine équipées lorsqu'elles sont individuelles ou à faible occupation.Hôpitaux d’instruction des armées et centres médicaux recevant du public : Hôpital d'instruction des armées : blocs communs + chambres/secteurs d'hospitalisation équipés lorsqu'il existe de l'individuel.Unités hospitalières sécurisées en milieu carcéral : Unité hospitalière sécurisée : chambres sanitaires + blocs staff/visiteurs/consultations ; approche mixte hospitalière et sécuritaire.</t>
    </r>
  </si>
  <si>
    <r>
      <rPr>
        <b/>
        <sz val="9"/>
        <rFont val="Calibri"/>
      </rPr>
      <t>Hôpitaux universitaires / CHU</t>
    </r>
    <r>
      <rPr>
        <sz val="9"/>
        <rFont val="Calibri"/>
      </rPr>
      <t xml:space="preserve"> : Capacité type ≈ 660 patients/résidents principaux + 300 staff + 240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site.Hôpitaux publics : Capacité type ≈ 203 patients/résidents principaux + 84 staff + 63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site.Hôpitaux privés : Capacité type ≈ 123 patients/résidents principaux + 57 staff + 40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site.Cliniques : Capacité type ≈ 101 patients/résidents principaux + 47 staff + 32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site.Hôpitaux d’instruction des armées et centres médicaux recevant du public : Capacité type ≈ 105 patients/résidents principaux + 43 staff + 32 intervenants/visiteurs.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site.Unités hospitalières sécurisées en milieu carcéral : Capacité type ≈ 29 patients/résidents principaux + 9 staff + 2 visiteurs/assesseurs.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t>
    </r>
  </si>
  <si>
    <r>
      <rPr>
        <b/>
        <sz val="9"/>
        <rFont val="Calibri"/>
      </rPr>
      <t>Hôpitaux universitaires / CHU</t>
    </r>
    <r>
      <rPr>
        <sz val="9"/>
        <rFont val="Calibri"/>
      </rPr>
      <t xml:space="preserve"> : Profil très grand, capacité moyenne ≈ 1200 personnes. Moyenne pondérée terrain : parc majoritairement petits/moyens sites, grands sites intégrés sans surpondération ; usage 2025 forte à très forte.Hôpitaux publics : Profil grand, capacité moyenne ≈ 350 personnes. Moyenne pondérée terrain : parc majoritairement petits/moyens sites, grands sites intégrés sans surpondération ; usage 2025 forte à très forte.Hôpitaux privés : Profil moyen, capacité moyenne ≈ 220 personnes. Moyenne pondérée terrain : parc majoritairement petits/moyens sites, grands sites intégrés sans surpondération ; usage 2025 forte à très forte.Cliniques ; Hôpitaux d’instruction des armées et centres médicaux recevant du public : Profil moyen, capacité moyenne ≈ 180 personnes. Moyenne pondérée terrain : parc majoritairement petits/moyens sites, grands sites intégrés sans surpondération ; usage 2025 forte à très forte.Unités hospitalières sécurisées en milieu carcéral : Profil petit, capacité moyenne ≈ 40 personnes. Moyenne pondérée terrain : parc majoritairement petits/moyens sites, grands sites intégrés sans surpondération ; usage 2025 forte à très forte.</t>
    </r>
  </si>
  <si>
    <r>
      <rPr>
        <b/>
        <sz val="9"/>
        <rFont val="Calibri"/>
      </rPr>
      <t>Hôpitaux universitaires / CHU</t>
    </r>
    <r>
      <rPr>
        <sz val="9"/>
        <rFont val="Calibri"/>
      </rPr>
      <t xml:space="preserve"> : Usage 24/7, protocoles d'hygiène, nettoyage fréquent et maintenance technique plus structurée. L'électronique est relevée par rapport aux ERP standards grâce au sans-contact et aux rinçages automatiques, mais reste sous le temporisé mécanique à cause des capteurs, alimentations et électrovannes. Les remplacements sont souvent planifiés par aile ou unité, avec correctif entre deux opérations. Santé hospitalière aiguë : Forte exigence d’hygiène, prévention légionelles, nettoyage fréquent et remplacements préventifs liés aux travaux Ségur ou à la conformité sanitaire.Hôpitaux publics : Simiaire CHU. Usage 24/7, exigences d'hygiène et nettoyage fréquent; maintenance technique existe mais budgets publics arbitrés. Proche CHU, avec renouvellements par ailes et électronique prudent. Repères durées: lavabos 12/11/8 ans (mit./méca/élec.), douches 11/10/8, urinoirs 10/12/8/10, WC 12/12/9. Ségur ou à la conformité sanitaire.Hôpitaux privés : Simiaire CHU. Flux médical soutenu mais gestion plus centralisée et travaux programmés plus fréquents; hygiène élevée, vandalisme faible. Comparable hôpital public, meilleure tenue possible des mécaniques. Repères durées: lavabos 12/11/8 ans (mit./méca/élec.), douches 11/10/8, urinoirs 10/12/8/10, WC 12/12/9.Cliniques : Simiaire CHU. Parcours patients/visiteurs plus maîtrisé, pics moins violents que CHU, mais nettoyage et prévention sanitaire forts. Légèrement sécurisée par maintenance ciblée, électronique abaissé par capteurs/rinçages. Repères durées: lavabos 12/11/8 ans (mit./méca/élec.), douches 11/10/8, urinoirs 10/12/8/10, WC 12/12/9.Hôpitaux d’instruction des armées et centres médicaux recevant du public : Usage santé avec contraintes militaires, maintenance interne structurée et zones parfois sécurisées; hygiène élevée. Proche hôpital public, avec risque moindre de vandalisme mais standard robuste. Flux publics variables, budgets souvent contraints et maintenance plutôt réactive. Les écarts de durée ont été resserrés : le mécanique garde un petit avantage, l'électronique reste en retrait mais sans décote excessive. Le renouvellement intervient au fil des pannes puis lors des opérations de remise à niveau des sanitaires. Usage mixte agents/public, recherche de robustesse, interventions maintenues en exploitation, parc hétérogène avec une partie rénovée par opérations ciblées.Unités hospitalières sécurisées en milieu carcéral : Milieu hospitalier en zone sécurisée: hygiène forte, usage 24/7 et risque de dégradation volontaire. Proche psychiatrie/carcéral, avec chasses mécaniques privilégiées pour robustesse. Repères durées: lavabos 12/11/8 ans (mit./méca/élec.), douches 11/10/8, urinoirs 10/12/8/10, WC 12/12/9.</t>
    </r>
  </si>
  <si>
    <r>
      <rPr>
        <b/>
        <sz val="9"/>
        <rFont val="Calibri"/>
      </rPr>
      <t>Hôpitaux universitaires / CHU</t>
    </r>
    <r>
      <rPr>
        <sz val="9"/>
        <rFont val="Calibri"/>
      </rPr>
      <t xml:space="preserve"> : Le parc CHU intègre une forte part de points d’eau de chambre et de sanitaires de soins : les mitigeurs mécaniques/médicaux dominent, l’électronique étant surtout utilisée en sanitaires publics et zones sensibles.Hôpitaux publics : Dans le parc hospitalier public hors CHU, le mitigeur mécanique/médical reste majoritaire car beaucoup de points d’eau sont en chambre ou en sanitaires patients ; l’électronique se concentre dans les espaces publics rénovés.Hôpitaux privés ; Cliniques : Le parc des hôpitaux privés et cliniques reste très orienté mitigeurs de chambre/sanitaires patients ; l’électronique apparaît davantage dans les espaces publics et halls que dans l’ensemble du parc.Hôpitaux d’instruction des armées et centres médicaux recevant du public : Les hôpitaux d’instruction des armées suivent une logique proche du parc hospitalier public : mitigeurs médicaux majoritaires, électronique concentrée dans les espaces communs.Unités hospitalières sécurisées en milieu carcéral : Les unités hospitalières sécurisées mélangent logique hospitalière et sécuritaire : mitigeurs majoritaires, mais forte part d’équipements spécifiques/antivandalisme.</t>
    </r>
  </si>
  <si>
    <r>
      <rPr>
        <b/>
        <sz val="9"/>
        <rFont val="Calibri"/>
      </rPr>
      <t>Hôpitaux universitaires / CHU ; Hôpitaux publics ; Hôpitaux privés ; Cliniques</t>
    </r>
    <r>
      <rPr>
        <sz val="9"/>
        <rFont val="Calibri"/>
      </rPr>
      <t xml:space="preserve"> : En santé, la projection reste prudente : le mitigeur/médical demeure majoritaire, l’électronique progresse surtout sur les lave-mains communs rénovés et zones publiques, sans évincer rapidement le parc mécanique spécifique.Hôpitaux d’instruction des armées et centres médicaux recevant du public : Dans les sites de sûreté/forces armées, l’évolution reste graduelle : un peu plus d’électronique dans les zones publiques et tertiaires, mais forte inertie du parc robuste.Unités hospitalières sécurisées en milieu carcéral : En univers carcéral, la progression reste très prudente : la robustesse, les contraintes de sûreté et les produits spécifiques limitent la bascule rapide vers l’électronique.</t>
    </r>
  </si>
  <si>
    <r>
      <rPr>
        <b/>
        <sz val="9"/>
        <rFont val="Calibri"/>
      </rPr>
      <t>Hôpitaux universitaires / CHU</t>
    </r>
    <r>
      <rPr>
        <sz val="9"/>
        <rFont val="Calibri"/>
      </rPr>
      <t xml:space="preserve"> : Les douches restent majoritairement à mitigeur/thermostatique pour la sécurité anti-brûlure et le confort patient ; le temporisé mécanique subsiste dans quelques zones communes.Hôpitaux publics : Les douches restent largement à mitigeur pour des raisons de sécurité, de réglage de température et d’assistance aux usagers.Hôpitaux privés ; Cliniques : Les douches sont d’abord à mitigeur/thermostatique, conformément à une logique de confort et de sécurité des patients.Hôpitaux d’instruction des armées et centres médicaux recevant du public : Les douches restent majoritairement à mitigeur/thermostatique.Unités hospitalières sécurisées en milieu carcéral : Les douches restent surtout temporisées mécaniques ou à mitigeur sécurisé.</t>
    </r>
  </si>
  <si>
    <r>
      <rPr>
        <b/>
        <sz val="9"/>
        <rFont val="Calibri"/>
      </rPr>
      <t>Hôpitaux universitaires / CHU ; Hôpitaux publics ; Hôpitaux privés ; Cliniques</t>
    </r>
    <r>
      <rPr>
        <sz val="9"/>
        <rFont val="Calibri"/>
      </rPr>
      <t xml:space="preserve"> : En santé, les douches restent d’abord manuelles/mécaniques ; l’électronique progresse peu et surtout sur certains espaces rénovés.Hôpitaux d’instruction des armées et centres médicaux recevant du public : Évolution lente et prudente : un peu plus d’électronique dans certaines rénovations, sans remise en cause du socle mécanique.Unités hospitalières sécurisées en milieu carcéral : Progression très limitée pour des raisons de robustesse, sûreté et maintenance.</t>
    </r>
  </si>
  <si>
    <r>
      <rPr>
        <b/>
        <sz val="9"/>
        <rFont val="Calibri"/>
      </rPr>
      <t>Hôpitaux universitaires / CHU</t>
    </r>
    <r>
      <rPr>
        <sz val="9"/>
        <rFont val="Calibri"/>
      </rPr>
      <t xml:space="preserve"> : Les urinoirs sont partagés entre réservoir/concealed tank, chasse directe mécanique et automatique, cette dernière étant plus présente que dans d’autres secteurs pour l’hygiène.Hôpitaux publics : Les urinoirs sont encore largement en solutions classiques (réservoir ou directe mécanique), l’automatique progressant surtout dans les rénovations de halls et consultations.Hôpitaux privés ; Cliniques : Les urinoirs rénovés sont plus souvent automatiques dans le privé, mais le parc existant conserve beaucoup de solutions classiques.Hôpitaux d’instruction des armées et centres médicaux recevant du public : Le parc d’urinoirs reste surtout classique, avec un peu d’automatique sur les zones rénovées.Unités hospitalières sécurisées en milieu carcéral : Le collectif et les solutions robustes restent plus présents que dans la santé classique.</t>
    </r>
  </si>
  <si>
    <r>
      <rPr>
        <b/>
        <sz val="9"/>
        <rFont val="Calibri"/>
      </rPr>
      <t>Hôpitaux universitaires / CHU ; Hôpitaux publics ; Hôpitaux privés ; Cliniques</t>
    </r>
    <r>
      <rPr>
        <sz val="9"/>
        <rFont val="Calibri"/>
      </rPr>
      <t xml:space="preserve"> : Dans les zones où des urinoirs existent, l’automatique progresse modestement sur les rénovations, sans disparition rapide des systèmes historiques.Hôpitaux d’instruction des armées et centres médicaux recevant du public : Évolution maîtrisée : la robustesse garde du poids, le mécanique reste fort et l’automatique progresse surtout dans les zones publiques.Unités hospitalières sécurisées en milieu carcéral : Bascule très partielle : contraintes de sûreté et robustesse maintiennent le mécanique/collectif spécifique à un niveau élevé.</t>
    </r>
  </si>
  <si>
    <r>
      <rPr>
        <b/>
        <sz val="9"/>
        <rFont val="Calibri"/>
      </rPr>
      <t>Hôpitaux universitaires / CHU</t>
    </r>
    <r>
      <rPr>
        <sz val="9"/>
        <rFont val="Calibri"/>
      </rPr>
      <t xml:space="preserve"> : Le stock reste majoritairement à réservoir du fait des chambres et sanitaires patients ; la chasse directe équipe surtout les zones communes et une partie des rénovations.Hôpitaux publics : Le WC à réservoir demeure dominant dans le parc existant, car il suit la logique des chambres et sanitaires patients ; la chasse directe reste plus présente dans les zones communes.Hôpitaux privés ; Cliniques : Le réservoir reste majoritaire à cause des chambres ; la part électronique demeure minoritaire mais plus élevée que dans le public sur les espaces d’accueil récents.Hôpitaux d’instruction des armées et centres médicaux recevant du public : Le réservoir demeure majoritaire à cause des chambres et sanitaires patients.Unités hospitalières sécurisées en milieu carcéral : Le réservoir reste dominant mais la chasse directe est bien représentée dans les zones les plus sollicitées.</t>
    </r>
  </si>
  <si>
    <r>
      <rPr>
        <b/>
        <sz val="9"/>
        <rFont val="Calibri"/>
      </rPr>
      <t>Hôpitaux universitaires / CHU ; Hôpitaux publics ; Hôpitaux privés ; Cliniques</t>
    </r>
    <r>
      <rPr>
        <sz val="9"/>
        <rFont val="Calibri"/>
      </rPr>
      <t xml:space="preserve"> : En santé, le réservoir recule lentement ; la bascule vers le direct et l’électronique reste plus graduelle que dans les ERP intensifs car le parc est plus spécifique.Hôpitaux d’instruction des armées et centres médicaux recevant du public : Évolution graduelle vers davantage de direct pour la robustesse ; l’électronique reste plus secondaire.Unités hospitalières sécurisées en milieu carcéral : Dans l’univers carcéral, la robustesse et la sûreté favorisent d’abord le direct spécifique ; la progression de l’électronique reste limitée.</t>
    </r>
  </si>
  <si>
    <r>
      <rPr>
        <b/>
        <sz val="9"/>
        <rFont val="Calibri"/>
      </rPr>
      <t>Hôpitaux universitaires / CHU ; Hôpitaux publics</t>
    </r>
    <r>
      <rPr>
        <sz val="9"/>
        <rFont val="Calibri"/>
      </rPr>
      <t xml:space="preserve"> : 90,0% retenu : matérialisation élevée grâce aux opérations campus et restructurations, avec toutefois des phasages longs et des arbitrages budgétaires.Hôpitaux privés ; Cliniques : 89,5% retenu : besoin fortement matérialisé par l’usage continu, les enjeux hygiène et les opérations lourdes, mais étalé par les phasages de service.Hôpitaux d’instruction des armées et centres médicaux recevant du public : 85,1% retenu : besoin fortement matérialisé par l’usage continu, les enjeux hygiène et les opérations lourdes, mais étalé par les phasages de service.Unités hospitalières sécurisées en milieu carcéral : 90,0% retenu : forte matérialisation car l’usage est intensif et la maintenance contrainte, avec toutefois un phasage strict site par site.</t>
    </r>
  </si>
  <si>
    <r>
      <rPr>
        <b/>
        <sz val="9"/>
        <rFont val="Calibri"/>
      </rPr>
      <t>Hôpitaux universitaires / CHU ; Hôpitaux privés ; Cliniques</t>
    </r>
    <r>
      <rPr>
        <sz val="9"/>
        <rFont val="Calibri"/>
      </rPr>
      <t xml:space="preserve"> : Potentiel rénovation élevé : hygiène, sécurité des soins, continuité de service et vieillissement des bâtiments maintiennent un flux élevé de remplacements et de restructurations. Les lavabos et les WC portent l’essentiel des volumes, avec un poids secondaire des équipements spécialisés. En rénovation, les maîtres d’ouvrage privilégient des références robustes, vite posées et faciles à maintenir dans des ambiances humides.Hôpitaux publics : Potentiel rénovation très élevé : Les lavabos et les WC portent l’essentiel des volumes, avec un poids secondaire des équipements spécialisés. Le moteur principal reste le remplacement du parc existant en site occupé, souvent couplé à des travaux d’énergie, d’accessibilité ou de conformité. En rénovation, le marché reste favorable aux gammes robustes et simples d’entretien, compatibles avec des chantiers par tranches et des budgets contraints.Hôpitaux d’instruction des armées et centres médicaux recevant du public : Potentiel rénovation moyen à soutenu : dominant sur ce périmètre, avec modernisation des installations existantes plus que création de nouveaux sites recevant du public. Les lavabos et les WC portent l’essentiel des volumes, avec un poids secondaire des équipements spécialisés. En rénovation, les maîtres d’ouvrage privilégient des références robustes, vite posées et faciles à maintenir dans des ambiances humides.Unités hospitalières sécurisées en milieu carcéral : Potentiel rénovation moyen à soutenu : fort sur un parc ancien et durci, avec besoins anti-vandalisme, sûreté et dignité d’usage. Les volumes se concentrent surtout sur lavabos et wc. En rénovation, l’achat reste orienté vers des produits robustes, anti-vandalisme et simples à maintenir en site occupé.</t>
    </r>
  </si>
  <si>
    <r>
      <rPr>
        <b/>
        <sz val="9"/>
        <rFont val="Calibri"/>
      </rPr>
      <t>Hôpitaux universitaires / CHU</t>
    </r>
    <r>
      <rPr>
        <sz val="9"/>
        <rFont val="Calibri"/>
      </rPr>
      <t xml:space="preserve"> : Potentiel neuf faible : extensions d’urgences, plateaux techniques, ambulatoire et recompositions hospitalières existent, mais le neuf reste quasi nul dans le modèle et renvoie surtout à des reconstructions ou remplacements de sites. Les opérations sont soutenues par la pression d’activité, la conformité et les plans d’investissement, mais restent contraintes par la trajectoire financière hospitalière.Hôpitaux publics : Potentiel neuf faible : le neuf est quasi nul dans le modèle et renvoie surtout à des reconstructions ou remplacements de sites sur 2026-2030. Il dépend de la dynamique réelle du non-résidentiel, de la solvabilité du maître d’ouvrage et du passage du permis au chantier. Le passage de l’intention au chantier reste sélectif, dépendant des budgets, de l’ingénierie disponible et du calendrier politique.Hôpitaux privés ; Cliniques : Potentiel neuf faible : extensions d’urgences, plateaux techniques, ambulatoire et recompositions hospitalières existent, mais le neuf reste quasi nul dans le modèle et renvoie surtout à des reconstructions ou remplacements de sites. Les groupes privés arbitrent plus vite, mais fortement en fonction du retour d’exploitation et du mix d’activité.Hôpitaux d’instruction des armées et centres médicaux recevant du public : Potentiel neuf faible : la LPM soutient l’effort global de défense, mais le sous-périmètre ouvert au public reste secondaire et sélectif. Le neuf est quasi nul dans le modèle et renvoie surtout à des reconstructions ou remplacements de sites.Unités hospitalières sécurisées en milieu carcéral : Potentiel neuf moyen : alimenté par le programme prison 15 000 places et les opérations judiciaires 2023-2027, avec une meilleure dynamique sur les établissements spécialisés ou récents. Le neuf est significatif mais encore nettement inférieur à la rénovation.</t>
    </r>
  </si>
  <si>
    <r>
      <rPr>
        <b/>
        <sz val="9"/>
        <rFont val="Calibri"/>
      </rPr>
      <t>Hôpitaux universitaires / CHU ; Hôpitaux privés ; Cliniques</t>
    </r>
    <r>
      <rPr>
        <sz val="9"/>
        <rFont val="Calibri"/>
      </rPr>
      <t xml:space="preserve"> : Projets phares réno : chambres et sanitaires patients, consultations, urgences, zones publiques/personnel, restructurations par lots en site occupé.Hôpitaux publics : Projets phares réno : remise à niveau des blocs sanitaires, accessibilité/PMR, reprise partielle lors de rénovations énergétiques ou fonctionnelles, et remplacements ciblés des postes les plus usés.Hôpitaux d’instruction des armées et centres médicaux recevant du public : Projets phares réno : hébergement, sanitaires public/personnel, espaces de soutien, équipements de restauration/sport ou de recrutement, remise à niveau d’accueil.Unités hospitalières sécurisées en milieu carcéral : Projets phares réno : cellules, sanitaires collectifs, espaces visiteurs/personnel, sécurisation et remise à niveau technique en site occupé.</t>
    </r>
  </si>
  <si>
    <r>
      <rPr>
        <b/>
        <sz val="9"/>
        <rFont val="Calibri"/>
      </rPr>
      <t>Hôpitaux universitaires / CHU ; Hôpitaux privés ; Cliniques</t>
    </r>
    <r>
      <rPr>
        <sz val="9"/>
        <rFont val="Calibri"/>
      </rPr>
      <t xml:space="preserve"> : Projets phares neuf : nouveaux bâtiments hospitaliers, extensions de plateaux techniques ou d’urgences, pôles ambulatoires, restructurations avec surfaces additionnelles.Hôpitaux publics : Projets phares neuf : créations ou extensions sélectives, reconstructions partielles et opérations neuves concentrées sur les territoires ou opérateurs les plus dynamiques.Hôpitaux d’instruction des armées et centres médicaux recevant du public : Projets phares neuf : opérations intégrées à des programmes souverains plus larges, centres de soutien ou d’accueil restructurés avec surfaces nouvelles.Unités hospitalières sécurisées en milieu carcéral : Projets phares neuf : nouveaux centres pénitentiaires, SAS, centres éducatifs fermés, unités hospitalières sécurisées et extensions.</t>
    </r>
  </si>
  <si>
    <r>
      <rPr>
        <b/>
        <sz val="9"/>
        <rFont val="Calibri"/>
      </rPr>
      <t>Hôpitaux universitaires / CHU ; Hôpitaux privés ; Cliniques</t>
    </r>
    <r>
      <rPr>
        <sz val="9"/>
        <rFont val="Calibri"/>
      </rPr>
      <t xml:space="preserve"> : Dynamique réno 2026-2030 : élevée et prioritaire, car la qualité d’accueil, l’hygiène et la sécurité des soins rendent le remplacement difficilement reportable. Menaces : tension financière des établissements, phasage en site occupé et priorités techniques concurrentes.Hôpitaux publics : Dynamique réno 2026-2030 : très élevé, plus résiliente que le neuf car tirée par l’usure et les obligations techniques. La normalisation relative des coûts travaux aide la décision, mais les arbitrages budgétaires et les travaux en site occupé peuvent étaler les commandes.Hôpitaux d’instruction des armées et centres médicaux recevant du public : Dynamique réno 2026-2030 : plus lisible que le neuf, car elle s’inscrit dans la modernisation des emprises et des services existants.Unités hospitalières sécurisées en milieu carcéral : Dynamique réno 2026-2030 : élevée et défensive, car l’existant reste volumineux et techniquement contraint.</t>
    </r>
  </si>
  <si>
    <r>
      <rPr>
        <b/>
        <sz val="9"/>
        <rFont val="Calibri"/>
      </rPr>
      <t>Hôpitaux universitaires / CHU ; Hôpitaux privés ; Cliniques</t>
    </r>
    <r>
      <rPr>
        <sz val="9"/>
        <rFont val="Calibri"/>
      </rPr>
      <t xml:space="preserve"> : Dynamique neuf 2026-2030 : sélective mais parfois dimensionnante sur quelques grands projets ; l’activité progresse, mais les décisions lourdes restent conditionnées par l’autorisation, le financement et la capacité d’exploitation.Hôpitaux publics : Dynamique neuf 2026-2030 : faible. Le contexte de construction non résidentielle reste contrasté, avec un écart persistant entre intentions et réalisations ; les projets les mieux financés ou les plus stratégiques sortent en priorité.Hôpitaux d’instruction des armées et centres médicaux recevant du public : Dynamique neuf 2026-2030 : faible à modérée ; l’investissement défense est élevé, mais il ne se traduit pas mécaniquement par des surfaces recevant du public dans ce sous-périmètre.Unités hospitalières sécurisées en milieu carcéral : Dynamique neuf 2026-2030 : plus forte que dans la plupart des segments publics grâce à la programmation carcérale, tout en restant concentrée sur un nombre limité d’opérations lourdes.</t>
    </r>
  </si>
  <si>
    <r>
      <rPr>
        <b/>
        <sz val="9"/>
        <rFont val="Calibri"/>
      </rPr>
      <t>Hôpitaux universitaires / CHU</t>
    </r>
    <r>
      <rPr>
        <sz val="9"/>
        <rFont val="Calibri"/>
      </rPr>
      <t xml:space="preserve"> ; </t>
    </r>
    <r>
      <rPr>
        <b/>
        <sz val="9"/>
        <rFont val="Calibri"/>
      </rPr>
      <t>Hôpitaux privés</t>
    </r>
    <r>
      <rPr>
        <sz val="9"/>
        <rFont val="Calibri"/>
      </rPr>
      <t xml:space="preserve"> ; </t>
    </r>
    <r>
      <rPr>
        <b/>
        <sz val="9"/>
        <rFont val="Calibri"/>
      </rPr>
      <t>Cliniques</t>
    </r>
    <r>
      <rPr>
        <sz val="9"/>
        <rFont val="Calibri"/>
      </rPr>
      <t xml:space="preserve"> : </t>
    </r>
    <r>
      <rPr>
        <sz val="9"/>
        <rFont val="Calibri"/>
      </rPr>
      <t>https://sante.gouv.fr/actualites-presse/presse/communiques-de-presse/article/campagne-tarifaire-et-budgetaire-2026-des-etablissements-de-sante-3-6-milliards
https://sante.gouv.fr/systeme-de-sante/segur-de-la-sante/investissement-en-sante-une-nouvelle-politique-au-service-de-la-qualite-des-11226/csis
https://sante.gouv.fr/soins-et-maladies/qualite-securite-et-pertinence-des-soins/securite-des-prises-en-charge/securite-des-soins-et-des-patients/article/ameliorer-la-securite-des-patients-et-des-residents-la-1ere-feuille-de-route
https://www.statistiques.developpement-durable.gouv.fr/construction-de-locaux-resultats-fin-janvier-2026-france-entiere
https://www.insee.fr/fr/statistiques/8671745
https://www.insee.fr/fr/statistiques/8906564Hôpitaux publics : https://www.statistiques.developpement-durable.gouv.fr/construction-de-locaux-resultats-fin-janvier-2026-france-entiere
https://www.insee.fr/fr/statistiques/8671745
https://www.insee.fr/fr/statistiques/8906564Hôpitaux d’instruction des armées et centres médicaux recevant du public : https://www.defense.gouv.fr/ministere/politique-defense/loi-programmation-militaire-2024-2030
https://www.defense.gouv.fr/loi-programmation-militaire-2024-2030-grandes-orientations
https://www.statistiques.developpement-durable.gouv.fr/construction-de-locaux-resultats-fin-janvier-2026-france-entiere
https://www.insee.fr/fr/statistiques/8671745
https://www.insee.fr/fr/statistiques/8906564Unités hospitalières sécurisées en milieu carcéral : https://www.justice.gouv.fr/presentation-loi-dorientation-programmation-ministere-justice-2023-2027
https://www.justice.gouv.fr/ministere-justice/budget-justice
https://www.justice.gouv.fr/documentation/ressources/rapport-2024-loi-dorientation-programmation-du-ministere-justice-2023-2027
https://www.justice.gouv.fr/plan-15-000-places-prison
https://www.justice.gouv.fr/actualites/actualite/immobilier-penitentiaire-15000-places-plus-prisons
https://www.statistiques.developpement-durable.gouv.fr/construction-de-locaux-resultats-fin-janvier-2026-france-entiere
https://www.insee.fr/fr/statistiques/8671745
https://www.insee.fr/fr/statistiques/8906564</t>
    </r>
  </si>
  <si>
    <r>
      <rPr>
        <b/>
        <sz val="9"/>
        <rFont val="Calibri"/>
      </rPr>
      <t>Hôpitaux universitaires / CHU ; Hôpitaux publics ; Hôpitaux d’instruction des armées et centres médicaux recevant du public</t>
    </r>
    <r>
      <rPr>
        <sz val="9"/>
        <rFont val="Calibri"/>
      </rPr>
      <t xml:space="preserve"> : ÉlevéeHôpitaux privés ; Cliniques ; Unités hospitalières sécurisées en milieu carcéral : Bonne</t>
    </r>
  </si>
  <si>
    <r>
      <rPr>
        <b/>
        <sz val="9"/>
        <rFont val="Calibri"/>
      </rPr>
      <t>Hôpitaux universitaires / CHU ; Hôpitaux publics ; Hôpitaux d’instruction des armées et centres médicaux recevant du public</t>
    </r>
    <r>
      <rPr>
        <sz val="9"/>
        <rFont val="Calibri"/>
      </rPr>
      <t xml:space="preserve"> : Parc existant surtout intermédiaire. Les ventes se décalent légèrement vers intermédiaire, porté par l’hygiène, la facilité d’entretien et la technicité. La rénovation restant majoritaire, le mix de ventes reste proche du parc et monte surtout d’un cran sur les opérations lourdes. La technicité, l’hygiène et les programmes hospitaliers tirent le parc vers le standard/intermédiaire ; le confort monte surtout lors de restructurations lourdes plus larges que le sanitaire.Hôpitaux privés ; Cliniques : Parc existant surtout intermédiaire. Les ventes se décalent légèrement vers intermédiaire / premium, sous l’effet combiné de l’hygiène, de l’image et des rénovations lourdes. La rénovation restant majoritaire, le mix de ventes reste proche du parc et monte surtout d’un cran sur les opérations lourdes. Santé privée : combinaison de technicité, image de marque et confort patient ; les opérations neuves et de repositionnement poussent davantage vers l’intermédiaire/premium.Unités hospitalières sécurisées en milieu carcéral : Parc existant surtout standard. Les ventes restent proches du parc, centré sur standard, sous l’effet des contraintes de sûreté, d’anti-vandalisme et de maintenance. Le neuf est un peu plus qualitatif que la rénovation, sans renverser le centre de gravité du mix. Les contraintes de sûreté, d’anti-vandalisme et de maintenance pèsent fortement ; la technicité prime sur la recherche de standing.</t>
    </r>
  </si>
  <si>
    <r>
      <rPr>
        <b/>
        <sz val="9"/>
        <rFont val="Calibri"/>
      </rPr>
      <t>Hôpitaux universitaires / CHU ; Hôpitaux publics</t>
    </r>
    <r>
      <rPr>
        <sz val="9"/>
        <rFont val="Calibri"/>
      </rPr>
      <t xml:space="preserve"> : ±3 ptsHôpitaux privés ; Cliniques ; Unités hospitalières sécurisées en milieu carcéral : ±4 ptsHôpitaux d’instruction des armées et centres médicaux recevant du public : ±5 pts</t>
    </r>
  </si>
  <si>
    <r>
      <rPr>
        <b/>
        <sz val="9"/>
        <rFont val="Calibri"/>
      </rPr>
      <t>Hôpitaux universitaires / CHU ; Hôpitaux publics</t>
    </r>
    <r>
      <rPr>
        <sz val="9"/>
        <rFont val="Calibri"/>
      </rPr>
      <t xml:space="preserve"> : ±3 ptsHôpitaux privés ; Cliniques : ±4 ptsHôpitaux d’instruction des armées et centres médicaux recevant du public ; Unités hospitalières sécurisées en milieu carcéral : ±5 pts</t>
    </r>
  </si>
  <si>
    <r>
      <rPr>
        <b/>
        <sz val="9"/>
        <rFont val="Calibri"/>
      </rPr>
      <t>Hôpitaux universitaires / CHU ; Hôpitaux publics</t>
    </r>
    <r>
      <rPr>
        <sz val="9"/>
        <rFont val="Calibri"/>
      </rPr>
      <t xml:space="preserve"> : Très bonneHôpitaux privés ; Cliniques ; Unités hospitalières sécurisées en milieu carcéral : BonneHôpitaux d’instruction des armées et centres médicaux recevant du public : Moyenne +</t>
    </r>
  </si>
  <si>
    <r>
      <rPr>
        <b/>
        <sz val="9"/>
        <rFont val="Calibri"/>
      </rPr>
      <t>Hôpitaux universitaires / CHU ; Hôpitaux publics</t>
    </r>
    <r>
      <rPr>
        <sz val="9"/>
        <rFont val="Calibri"/>
      </rPr>
      <t xml:space="preserve"> : La technicité, l’hygiène et les programmes hospitaliers tirent le parc vers le standard/intermédiaire ; le confort monte surtout lors de restructurations lourdes plus larges que le sanitaire.Hôpitaux privés ; Cliniques : Santé privée : combinaison de technicité, image de marque et confort patient ; les opérations neuves et de repositionnement poussent davantage vers l’intermédiaire/premium.Hôpitaux d’instruction des armées et centres médicaux recevant du public : Espaces militaires recevant du public : niveau de confort supérieur au parc purement interne, sans logique de luxe.Unités hospitalières sécurisées en milieu carcéral : Les établissements plus récents ou orientés réinsertion/éducatif montent légèrement en standard, mais le fonctionnel et la robustesse restent déterminants.</t>
    </r>
  </si>
  <si>
    <r>
      <rPr>
        <b/>
        <sz val="9"/>
        <rFont val="Calibri"/>
      </rPr>
      <t>Hôpitaux universitaires / CHU ; Hôpitaux publics</t>
    </r>
    <r>
      <rPr>
        <sz val="9"/>
        <rFont val="Calibri"/>
      </rPr>
      <t xml:space="preserve"> : contrainte sanitaire ⇒ standard/intermédiaire technique ↑ ; rénovation dominante ⇒ progression graduelleHôpitaux privés ; Cliniques : image + privé ⇒ premium/luxe ↑ ; contrainte sanitaire ⇒ standard/intermédiaire technique ↑ ; rénovation dominante ⇒ progression graduelleHôpitaux d’instruction des armées et centres médicaux recevant du public : image d’accueil ⇒ intermédiaire/premium ↑ ; rénovation dominante ⇒ progression graduelleUnités hospitalières sécurisées en milieu carcéral : poids du neuf significatif ⇒ premiumisation des ventes &gt; parc</t>
    </r>
  </si>
  <si>
    <r>
      <rPr>
        <b/>
        <sz val="9"/>
        <rFont val="Calibri"/>
      </rPr>
      <t>Hôpitaux universitaires / CHU</t>
    </r>
    <r>
      <rPr>
        <sz val="9"/>
        <rFont val="Calibri"/>
      </rPr>
      <t xml:space="preserve"> : Hôpitaux universitaires / CHU : technicité hospitalière, hygiène et restructurations lourdes pilotent les arbitrages. Ventes 2026-2030 : glissement vers davantage de moyen / premium, surtout sur lavabo (+14,1 pts sur premium+luxe), douche (+12,9 pts sur premium+luxe), WC (+12,5 pts sur premium+luxe). La rénovation reste majoritaire (77% des ventes, contre 23% en neuf) ; le neuf tire le mix vers le haut sans renverser le centre de gravité. L’écart de niveau de confort entre neuf et rénovation est net.Hôpitaux publics : Ventes 2026-2030 : glissement vers davantage de moyen / premium, surtout sur lavabo (+12,0 pts sur premium+luxe), douche (+10,8 pts sur premium+luxe), WC (+10,4 pts sur premium+luxe). La rénovation reste majoritaire (82% des ventes, contre 18% en neuf) ; le neuf tire le mix vers le haut sans renverser le centre de gravité. L’écart de niveau de confort entre neuf et rénovation est net.Hôpitaux privés : Hôpitaux privés : positionnement privé avec exigence patient plus visible sur les halls et chambres. Ventes 2026-2030 : glissement vers davantage de moyen / premium, surtout sur lavabo (+18,1 pts sur premium+luxe), WC (+18,1 pts sur premium+luxe), douche (+17,9 pts sur premium+luxe). La rénovation reste majoritaire (83% des ventes, contre 17% en neuf) ; le neuf tire le mix vers le haut sans renverser le centre de gravité. L’écart de niveau de confort entre neuf et rénovation est net.Cliniques : Cliniques : cliniques plus sensibles à l’expérience patient et au repositionnement commercial. Ventes 2026-2030 : glissement vers davantage de moyen / premium, surtout sur WC (+18,2 pts sur premium+luxe), douche (+17,3 pts sur premium+luxe), lavabo (+17,0 pts sur premium+luxe). La rénovation reste majoritaire (83% des ventes, contre 17% en neuf) ; le neuf tire le mix vers le haut sans renverser le centre de gravité. L’écart de niveau de confort entre neuf et rénovation est net.Hôpitaux d’instruction des armées et centres médicaux recevant du public : Hôpitaux d’instruction des armées et centres médicaux recevant du public : hôpitaux militaires : contrainte sanitaire forte et technicité au-dessus de la moyenne. Ventes 2026-2030 : glissement vers davantage de moyen / premium, surtout sur lavabo (+13,0 pts sur premium+luxe), douche (+9,8 pts sur premium+luxe), WC (+9,2 pts sur premium+luxe). La rénovation reste majoritaire (80% des ventes, contre 20% en neuf) ; le neuf tire le mix vers le haut sans renverser le centre de gravité. L’écart de niveau de confort entre neuf et rénovation est net.Unités hospitalières sécurisées en milieu carcéral : Unités hospitalières sécurisées : unités hospitalières sécurisées mêlant sanitaire technique et environnement sécurisé. Ventes 2026-2030 : glissement vers davantage de moyen / premium, surtout sur lavabo (+5,4 pts sur premium+luxe), douche (+5,4 pts sur premium+luxe), WC (+4,9 pts sur premium+luxe). La rénovation reste majoritaire (69% des ventes, contre 31% en neuf) ; le neuf tire le mix vers le haut sans renverser le centre de gravité. L’écart de niveau de confort entre neuf et rénovation est net.</t>
    </r>
  </si>
  <si>
    <t>1 - Établissements Médico-éducatifs
2 - Foyers pour personnes handicapées
3 - MDPH Maisons de l’autonomie Guichets handicap
4 - EHPAD
5 - USLD
6 - Résidences autonomie Foyers-logements
7 - Résidences services seniors</t>
  </si>
  <si>
    <r>
      <rPr>
        <b/>
        <sz val="9"/>
        <rFont val="Calibri"/>
      </rPr>
      <t>Établissements Médico-éducatifs</t>
    </r>
    <r>
      <rPr>
        <sz val="9"/>
        <rFont val="Calibri"/>
      </rPr>
      <t xml:space="preserve"> : J ou RFoyers pour personnes handicapées ; EHPAD : JMDPH Maisons de l’autonomie Guichets handicap : WUSLD : URésidences autonomie Foyers-logements ; Résidences services seniors : Variable</t>
    </r>
  </si>
  <si>
    <r>
      <rPr>
        <b/>
        <sz val="9"/>
        <rFont val="Calibri"/>
      </rPr>
      <t>Établissements Médico-éducatifs ; Foyers pour personnes handicapées ; MDPH Maisons de l’autonomie Guichets handicap ; EHPAD ; USLD</t>
    </r>
    <r>
      <rPr>
        <sz val="9"/>
        <rFont val="Calibri"/>
      </rPr>
      <t xml:space="preserve"> : ERPRésidences autonomie Foyers-logements ; Résidences services seniors : Cas particulier</t>
    </r>
  </si>
  <si>
    <r>
      <rPr>
        <b/>
        <sz val="9"/>
        <rFont val="Calibri"/>
      </rPr>
      <t>Établissements Médico-éducatifs ; Foyers pour personnes handicapées ; MDPH Maisons de l’autonomie Guichets handicap ; EHPAD ; USLD</t>
    </r>
    <r>
      <rPr>
        <sz val="9"/>
        <rFont val="Calibri"/>
      </rPr>
      <t xml:space="preserve"> : ERPRésidences autonomie Foyers-logements ; Résidences services seniors : mixte</t>
    </r>
  </si>
  <si>
    <r>
      <rPr>
        <b/>
        <sz val="9"/>
        <rFont val="Calibri"/>
      </rPr>
      <t>Établissements Médico-éducatifs ; Résidences autonomie Foyers-logements ; Résidences services seniors</t>
    </r>
    <r>
      <rPr>
        <sz val="9"/>
        <rFont val="Calibri"/>
      </rPr>
      <t xml:space="preserve"> : variableFoyers pour personnes handicapées ; MDPH Maisons de l’autonomie Guichets handicap ; EHPAD ; USLD : oui</t>
    </r>
  </si>
  <si>
    <r>
      <rPr>
        <b/>
        <sz val="9"/>
        <rFont val="Calibri"/>
      </rPr>
      <t>Établissements Médico-éducatifs</t>
    </r>
    <r>
      <rPr>
        <sz val="9"/>
        <rFont val="Calibri"/>
      </rPr>
      <t xml:space="preserve"> : Classement selon public et activité principale.
IME, ITEP, IEM, EEAP/polyhandicap, instituts sensoriels, établissements expérimentaux avec places, accueils temporaires spécialisésFoyers pour personnes handicapées : Structures d’accueil de personnes handicapées. Foyers de vie / occupationnels, foyers d’hébergement, établissements d’accueil non médicalisés, FAM/EAM et MASMDPH Maisons de l’autonomie Guichets handicap : MDPH / maisons de l’autonomie / guichets handicap
(sites principaux autonomes uniquement)EHPAD : Établissements d’hébergement pour personnes âgées dépendantes ; hébergement permanent avec accompagnement et soins.USLD : Unités de soins de longue durée accueillant des personnes très dépendantes avec besoins médicaux lourds ; relève du sanitaire.Résidences autonomie Foyers-logements : Destinés à des personnes âgées plutôt autonomes ; logements privatifs avec services collectifs. Le classement dépend de l’exploitation réelle et des espaces communs ouverts au public.Résidences services seniors : Résidences pour seniors autonomes avec services à la carte ; le classement dépend de l’exploitation, des parties communes et de l’accueil du public.</t>
    </r>
  </si>
  <si>
    <r>
      <rPr>
        <b/>
        <sz val="9"/>
        <rFont val="Calibri"/>
      </rPr>
      <t>Établissements Médico-éducatifs</t>
    </r>
    <r>
      <rPr>
        <sz val="9"/>
        <rFont val="Calibri"/>
      </rPr>
      <t xml:space="preserve"> : IME (enfants, adolescents situation handicap), IEM (enfants, jeunes, handicap moteur), ITEP, EEAPFoyers pour personnes handicapées : FAM, MAS, foyer de vieMDPH Maisons de l’autonomie Guichets handicap : MDPH, MDA-MDPH, maison départementale de l'autonomieEHPAD : EHPAD public, EHPAD privé associatif, EHPAD privé commercialUSLD : USLD hospitalière, unité de long séjourRésidences autonomie Foyers-logements : Résidence autonomie, foyer-logement seniorsRésidences services seniors : Résidence services seniors, résidence seniors</t>
    </r>
  </si>
  <si>
    <r>
      <rPr>
        <b/>
        <sz val="9"/>
        <rFont val="Calibri"/>
      </rPr>
      <t>Établissements Médico-éducatifs ; Foyers pour personnes handicapées ; EHPAD ; USLD ; Résidences autonomie Foyers-logements ; Résidences services seniors</t>
    </r>
    <r>
      <rPr>
        <sz val="9"/>
        <rFont val="Calibri"/>
      </rPr>
      <t xml:space="preserve"> : oui</t>
    </r>
  </si>
  <si>
    <r>
      <rPr>
        <b/>
        <sz val="9"/>
        <rFont val="Calibri"/>
      </rPr>
      <t>Établissements Médico-éducatifs ; Foyers pour personnes handicapées ; EHPAD ; USLD ; Résidences autonomie Foyers-logements ; Résidences services seniors</t>
    </r>
    <r>
      <rPr>
        <sz val="9"/>
        <rFont val="Calibri"/>
      </rPr>
      <t xml:space="preserve"> : Site
Etablissement principal</t>
    </r>
  </si>
  <si>
    <r>
      <rPr>
        <b/>
        <sz val="9"/>
        <rFont val="Calibri"/>
      </rPr>
      <t>Établissements Médico-éducatifs ; Foyers pour personnes handicapées ; EHPAD ; USLD ; Résidences autonomie Foyers-logements</t>
    </r>
    <r>
      <rPr>
        <sz val="9"/>
        <rFont val="Calibri"/>
      </rPr>
      <t xml:space="preserve"> : proxy public / estimation encadréeRésidences services seniors : proxy de marché / estimation encadrée</t>
    </r>
  </si>
  <si>
    <r>
      <rPr>
        <b/>
        <sz val="9"/>
        <rFont val="Calibri"/>
      </rPr>
      <t>Établissements Médico-éducatifs ; Résidences autonomie Foyers-logements ; Résidences services seniors</t>
    </r>
    <r>
      <rPr>
        <sz val="9"/>
        <rFont val="Calibri"/>
      </rPr>
      <t xml:space="preserve"> : MoyenneFoyers pour personnes handicapées ; EHPAD ; USLD : Elevé</t>
    </r>
  </si>
  <si>
    <r>
      <rPr>
        <b/>
        <sz val="9"/>
        <rFont val="Calibri"/>
      </rPr>
      <t>Établissements Médico-éducatifs ; USLD</t>
    </r>
    <r>
      <rPr>
        <sz val="9"/>
        <rFont val="Calibri"/>
      </rPr>
      <t xml:space="preserve"> : Faute de série nationale homogène publiée annuellement pour cette sous-catégorie, le proxy est lissé ; la faible variation reflète une prudence méthodologique.Foyers pour personnes handicapées ; Résidences services seniors : Pas de stagnation structurelle : la série évolue à la hausse sur la période 2000-2026 ; la projection prolonge cette tendance avec prudence.MDPH Maisons de l’autonomie Guichets handicap : Réseau créé à partir de 2005/2006 et ensuite quasi stable ; sanitaires structurels pour salariés et accueil de personnes handicapées.EHPAD : Parc d’établissements très encadré et capitalistique ; à l’échelle nationale, le nombre d’implantations varie lentement.Résidences autonomie Foyers-logements : Pas de stagnation structurelle : la série évolue à la baisse sur la période 2000-2026 ; la projection prolonge cette tendance avec prudence.</t>
    </r>
  </si>
  <si>
    <r>
      <rPr>
        <b/>
        <sz val="9"/>
        <rFont val="Calibri"/>
      </rPr>
      <t>Établissements Médico-éducatifs</t>
    </r>
    <r>
      <rPr>
        <sz val="9"/>
        <rFont val="Calibri"/>
      </rPr>
      <t xml:space="preserve"> : proxy IME/IEM et assimilés. Dynamique projetée 2027-2030: stable. Fiabilité: moyenne.Foyers pour personnes handicapées : proxy médico-social handicap. Dynamique projetée 2027-2030: hausse légère. Fiabilité: moyenne.MDPH Maisons de l’autonomie Guichets handicap : Ancre actuelle : une MDPH par département ; l'annuaire Service-Public recense 103 résultats, incluant MDPH et MDA/MDMPH.EHPAD : proxy au sein des 10 400 structures pour personnes âgées en 2023. Dynamique projetée 2027-2030: légère baisse. Fiabilité: bonne.USLD : proxy ESLD/USLD. Dynamique projetée 2027-2030: légère baisse. Fiabilité: moyenne.Résidences autonomie Foyers-logements : proxy DREES. Dynamique projetée 2027-2030: baisse légère. Fiabilité: moyenne.Résidences services seniors : Proxy de marché révisé ; la croissance reste soutenue mais moins rapide qu’en phase d’émergence. Projection 2027-2030: hausse modérée. Fiabilité: moyenne.</t>
    </r>
  </si>
  <si>
    <r>
      <rPr>
        <b/>
        <sz val="9"/>
        <rFont val="Calibri"/>
      </rPr>
      <t>Établissements Médico-éducatifs ; Foyers pour personnes handicapées</t>
    </r>
    <r>
      <rPr>
        <sz val="9"/>
        <rFont val="Calibri"/>
      </rPr>
      <t xml:space="preserve"> : https://drees.solidarites-sante.gouv.fr/MDPH Maisons de l’autonomie Guichets handicap : https://www.monparcourshandicap.gouv.fr/glossaire/mdph ; https://lannuaire.service-public.gouv.fr/navigation/maison_handicapeesEHPAD ; Résidences autonomie Foyers-logements ; Résidences services seniors : https://drees.solidarites-sante.gouv.fr/sites/default/files/2025-09/PAPH%20-%20Fiche%2009%20-%20Les%20%C3%A9tablissements%20d%E2%80%99h%C3%A9bergement%20pour%20personnes%20%C3%A2g%C3%A9es_0.pdfUSLD : https://drees.solidarites-sante.gouv.fr/jeux-de-donnees/jeux-de-donnees/les-residents-en-etablissements-dhebergement-pour-personnes-agees</t>
    </r>
  </si>
  <si>
    <r>
      <rPr>
        <b/>
        <sz val="9"/>
        <rFont val="Calibri"/>
      </rPr>
      <t>Établissements Médico-éducatifs</t>
    </r>
    <r>
      <rPr>
        <sz val="9"/>
        <rFont val="Calibri"/>
      </rPr>
      <t xml:space="preserve"> : Médico-éducatif : blocs éducatifs/soins + petites unités d'hébergement ou chambres lorsqu'elles existent, hors cabinets purement privatifs dispersés.Foyers pour personnes handicapées : Foyer handicap : blocs résidentiels collectifs + chambres/salles d'eau individuelles quand le modèle d'hébergement le prévoit.MDPH Maisons de l’autonomie Guichets handicap : Guichet autonomie/handicap : sanitaires accessibles public + personnel.EHPAD : Exception demandée : inclusion d'une large part des sanitaires privatifs/résidents + blocs communs d'étage et staff.USLD : Exception demandée : inclusion des chambres/lits médicalisés avec sanitaires, plus locaux communs.Résidences autonomie Foyers-logements ; Résidences services seniors : Résidences seniors/autonomie : seuls les locaux communs sont retenus, pas les appartements.</t>
    </r>
  </si>
  <si>
    <r>
      <rPr>
        <b/>
        <sz val="9"/>
        <rFont val="Calibri"/>
      </rPr>
      <t>Établissements Médico-éducatifs</t>
    </r>
    <r>
      <rPr>
        <sz val="9"/>
        <rFont val="Calibri"/>
      </rPr>
      <t xml:space="preserve"> : Capacité type ≈ 50 patients/résidents principaux + 18 staff + 2 parents/accompagnants.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site.Foyers pour personnes handicapées : Capacité type ≈ 43 patients/résidents principaux + 15 staff + 2 visiteurs/intervenants.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site.MDPH Maisons de l’autonomie Guichets handicap : Capacité type ≈ 55 usagers principaux + 20 staff + 5 autre public. Public potentiellement PMR, accompagnants et équipes sociales en bureaux. Dimensionnement unitaire retenu : bloc accessible renforcé au niveau public + bloc salariés séparé. Hypothèse d'usage : capacité simultanée moyenne 2026, répartition par flux réels, arrondie par blocs fonctionnels et exclusion des sanitaires strictement privatifs sauf cas explicitement collectifs.EHPAD : Capacité type ≈ 69 résidents/lits + 13 staff + 3 visiteurs/intervenants. Conformément à l'exception déjà retenue, les chambres sont comptées lorsqu'elles sont équipées ; les locaux communs et sanitaires de personnel s'y ajoutent. Calibrage selon capacité simultanée, répartition de flux et organisation réelle du site.USLD : Capacité type ≈ 48 résidents/lits + 10 staff + 2 visiteurs/intervenants. Conformément à l'exception déjà retenue, les chambres sont comptées lorsqu'elles sont équipées ; les locaux communs et sanitaires de personnel s'y ajoutent. Calibrage selon capacité simultanée, répartition de flux et organisation réelle du site.Résidences autonomie Foyers-logements : Capacité type ≈ 58 usagers principaux + 8 staff + 4 visiteurs/intervenants. Le programme sanitaire est construit par blocs fonctionnels plausibles (public, personnel, exploitation/hébergement selon le cas) et non par simple ratio national moyen. Calibrage selon capacité simultanée, répartition de flux et organisation réelle du site.Résidences services seniors : Capacité type ≈ 74 usagers principaux + 11 staff + 5 visiteurs/intervenants. Le programme sanitaire est construit par blocs fonctionnels plausibles (public, personnel, exploitation/hébergement selon le cas) et non par simple ratio national moyen. Calibrage selon capacité simultanée, répartition de flux et organisation réelle du site.</t>
    </r>
  </si>
  <si>
    <r>
      <rPr>
        <b/>
        <sz val="9"/>
        <rFont val="Calibri"/>
      </rPr>
      <t>Établissements Médico-éducatifs ; Résidences autonomie Foyers-logements</t>
    </r>
    <r>
      <rPr>
        <sz val="9"/>
        <rFont val="Calibri"/>
      </rPr>
      <t xml:space="preserve"> : Profil petit, capacité moyenne ≈ 70 personnes. Moyenne pondérée terrain : parc majoritairement petits/moyens sites, grands sites intégrés sans surpondération ; usage 2025 forte à très forte.Foyers pour personnes handicapées ; USLD : Profil petit, capacité moyenne ≈ 60 personnes. Moyenne pondérée terrain : parc majoritairement petits/moyens sites, grands sites intégrés sans surpondération ; usage 2025 forte à très forte.MDPH Maisons de l’autonomie Guichets handicap : Profil moyen, capacité moyenne ≈ 80 personnes. Moyenne pondérée terrain : parc majoritairement petits/moyens sites, grands sites intégrés sans surpondération ; usage 2025 forte à très forte.EHPAD : Profil moyen, capacité moyenne ≈ 85 personnes. Moyenne pondérée terrain : parc majoritairement petits/moyens sites, grands sites intégrés sans surpondération ; usage 2025 forte à très forte.Résidences services seniors : Profil moyen, capacité moyenne ≈ 90 personnes. Moyenne pondérée terrain : parc majoritairement petits/moyens sites, grands sites intégrés sans surpondération ; usage 2025 forte à très forte.</t>
    </r>
  </si>
  <si>
    <r>
      <rPr>
        <b/>
        <sz val="9"/>
        <rFont val="Calibri"/>
      </rPr>
      <t>Établissements Médico-éducatifs ; Foyers pour personnes handicapées ; Résidences autonomie Foyers-logements ; Résidences services seniors</t>
    </r>
    <r>
      <rPr>
        <sz val="9"/>
        <rFont val="Calibri"/>
      </rPr>
      <t xml:space="preserve"> : Programmation hospitalière / médico-sociale (ANAP/CNSA) + pratique courante d'hospitalisation complète : https://anap.fr/ ; https://www.cnsa.fr/actualites/immobilier-et-ehpad-un-autodiagnostic-et-un-nouvel-outil-de-dimensionnement-surfaciqueMDPH Maisons de l’autonomie Guichets handicap : ERP/accessibilité sanitaires publics : https://www.legifrance.gouv.fr/loda/article_lc/LEGIARTI000034485966/ ; Code du travail sanitaires salariés : https://www.legifrance.gouv.fr/codes/id/LEGISCTA000018531984 ; INRS : https://www.inrs.fr/publications/juridique/focus-juridiques/focus-sanitaires-toilettes.htmlEHPAD ; USLD : CNSA / ANAP sur immobilier et profil des chambres en EHPAD : https://www.cnsa.fr/actualites/immobilier-et-ehpad-un-autodiagnostic-et-un-nouvel-outil-de-dimensionnement-surfacique ; https://www.cnsa.fr/presse/ehpad-le-site-pour-les-personnes-ageesgouvfr-affiche-de-nouveaux-indicateurs-sur-les</t>
    </r>
  </si>
  <si>
    <r>
      <rPr>
        <b/>
        <sz val="9"/>
        <rFont val="Calibri"/>
      </rPr>
      <t>Établissements Médico-éducatifs</t>
    </r>
    <r>
      <rPr>
        <sz val="9"/>
        <rFont val="Calibri"/>
      </rPr>
      <t xml:space="preserve"> : Public accompagné, usage quotidien et gestes parfois moins précautionneux; douches/changes augmentent l'humidité. Entre foyer handicap et école spécialisée, mécanique robuste et électronique plus court. Repères durées: lavabos 12/12/9 ans (mit./méca/élec.), douches 12/11/8, urinoirs 11/12/8/10, WC 12/12/9.Foyers pour personnes handicapées ; EHPAD : Usage soutenu mais moins brutal qu'en transport ou scolaire, avec forte exigence d'accessibilité et d'aide au soin. Les durées de vie sont donc un peu plus hautes. L'électronique progresse quand la maintenance est organisée, sans dépasser le mécanique simple. Les remplacements sont fréquemment groupés par étage, chambre ou unité de vie. Médico-social résidentiel / seniors / handicap : Forte part d’usage résidentiel ou en chambre, moindre vandalisme, mais entretien régulier pour limiter stagnation/tartre. Remplacement souvent en lots de chambres ou d’unités.MDPH Maisons de l’autonomie Guichets handicap : Guichet administratif sensible, flux sur rendez-vous et forte exigence d'accessibilité; faible humidité et vandalisme limité. Proche France Services, plus contraint par usage PMR fréquent. Repères durées: lavabos 12/13/9 ans (mit./méca/élec.), douches 11/10/8, urinoirs 10/12/8/10, WC 13/13/9.USLD : Usage résidentiel médicalisé, aides répétées, nettoyage fréquent et humidité de douches; maintenance sanitaire suivie. Proche EHPAD mais usure plus continue, surtout douches et commandes électroniques. Repères durées: lavabos 14/13/10 ans (mit./méca/élec.), douches 13/12/9, urinoirs 13/13/9/11, WC 15/13/10.Résidences autonomie Foyers-logements : Usage résidentiel moins médicalisé, fréquentation calme et équipements mieux respectés; entretien patrimonial. Meilleur qu'USLD ou EHPAD, mais douches et électroniques restent sous surveillance. Repères durées: lavabos 14/13/10 ans (mit./méca/élec.), douches 13/12/9, urinoirs 13/13/9/11, WC 15/13/10.Résidences services seniors : Usage résidentiel privé, budgets d'image et rénovation plus réguliers; vandalisme très faible. Proche résidence autonomie, parfois renouvelé avant panne pour confort/standing. Repères durées: lavabos 14/13/10 ans (mit./méca/élec.), douches 13/12/9, urinoirs 13/13/9/11, WC 15/13/10.</t>
    </r>
  </si>
  <si>
    <r>
      <rPr>
        <b/>
        <sz val="9"/>
        <rFont val="Calibri"/>
      </rPr>
      <t>Établissements Médico-éducatifs</t>
    </r>
    <r>
      <rPr>
        <sz val="9"/>
        <rFont val="Calibri"/>
      </rPr>
      <t xml:space="preserve"> : Le parc des établissements médico-éducatifs reste équilibré entre mitigeurs et temporisés mécaniques, avec quelques équipements spécifiques enfants/PMR classés en 'autres'.Foyers pour personnes handicapées : Dans les foyers pour personnes handicapées, les mitigeurs restent majoritaires pour l’accompagnement, avec une part d’équipements spécifiques/PMR supérieure au parc moyen.MDPH Maisons de l’autonomie Guichets handicap : MDPH Maisons de l’autonomie Guichets handicap : parc 2025 domine par tempo mecanique (42%), avec mitigeur manuel en appoint. Le choix reflete exigence hygiene forte, accessibilite et flux patients/accompagnants de jour ; hygiene, accessibilite, continuite de service et maintenance encadree.EHPAD : Le parc EHPAD est tiré par les chambres et salles d’eau privatives : les mitigeurs mécaniques/médicaux dominent nettement, l’électronique restant concentrée sur les espaces publics ou quelques rénovations ciblées.USLD : Comme en EHPAD, le parc USLD reste très orienté mitigeurs de chambre/sanitaires patients, avec une part plus technique mais encore peu d’électronique en stock.Résidences autonomie Foyers-logements ; Résidences services seniors : En parties communes de résidences seniors/autonomie, le parc est partagé entre mitigeurs et solutions plus 'collectivité', avec une part modeste d’électronique sur les rénovations récentes.</t>
    </r>
  </si>
  <si>
    <r>
      <rPr>
        <b/>
        <sz val="9"/>
        <rFont val="Calibri"/>
      </rPr>
      <t>Établissements Médico-éducatifs ; Foyers pour personnes handicapées ; EHPAD ; USLD ; Résidences autonomie Foyers-logements ; Résidences services seniors</t>
    </r>
    <r>
      <rPr>
        <sz val="9"/>
        <rFont val="Calibri"/>
      </rPr>
      <t xml:space="preserve"> : Dans les établissements médico-sociaux résidentiels, l’électronique gagne un peu sur les rénovations des espaces communs, mais le mix reste dominé par des solutions manuelles/médicales proches d’un usage résidentiel ou de soin.MDPH Maisons de l’autonomie Guichets handicap : 2025-2030 : progression de tempo electronique (+4,0%), surtout lors des renov. lourdes/neuf ; recul de mitigeur manuel (-4,0%) mais maintien d un socle robuste pour les remplacements partiels.</t>
    </r>
  </si>
  <si>
    <r>
      <rPr>
        <b/>
        <sz val="9"/>
        <rFont val="Calibri"/>
      </rPr>
      <t>Établissements Médico-éducatifs</t>
    </r>
    <r>
      <rPr>
        <sz val="9"/>
        <rFont val="Calibri"/>
      </rPr>
      <t xml:space="preserve"> : Les douches communes sont surtout temporisées mécaniques, tout en gardant des mitigeurs dans les espaces d’accompagnement.Foyers pour personnes handicapées : Les douches communes restent surtout à mitigeur/thermostatique, la temporisation étant présente mais moins dominante que dans le sport.MDPH Maisons de l’autonomie Guichets handicap : Sans objet.EHPAD : Les douches sont très majoritairement à mitigeur/thermostatique pour la sécurité anti-brûlure et l’accompagnement des résidents.USLD : Les douches restent d’abord à mitigeur/thermostatique pour des raisons de sécurité et de soins.Résidences autonomie Foyers-logements ; Résidences services seniors : Les douches communes restent majoritairement à mitigeur, avec une présence secondaire de temporisé mécanique.</t>
    </r>
  </si>
  <si>
    <r>
      <rPr>
        <b/>
        <sz val="9"/>
        <rFont val="Calibri"/>
      </rPr>
      <t>Établissements Médico-éducatifs ; Foyers pour personnes handicapées ; EHPAD ; USLD ; Résidences autonomie Foyers-logements ; Résidences services seniors</t>
    </r>
    <r>
      <rPr>
        <sz val="9"/>
        <rFont val="Calibri"/>
      </rPr>
      <t xml:space="preserve"> : La projection reste lente : le mitigeur et les solutions mécaniques dominent encore largement les douches de ce parc.MDPH Maisons de l’autonomie Guichets handicap : Sans objet.</t>
    </r>
  </si>
  <si>
    <r>
      <rPr>
        <b/>
        <sz val="9"/>
        <rFont val="Calibri"/>
      </rPr>
      <t>Établissements Médico-éducatifs</t>
    </r>
    <r>
      <rPr>
        <sz val="9"/>
        <rFont val="Calibri"/>
      </rPr>
      <t xml:space="preserve"> : La part de collectifs anciens reste notable dans ce parc, surtout dans les établissements les plus anciens.Foyers pour personnes handicapées : Le parc d’urinoirs reste principalement classique, avec un reliquat de collectifs sur certains sites anciens.MDPH Maisons de l’autonomie Guichets handicap : MDPH Maisons de l’autonomie Guichets handicap : parc 2025 domine par directe mecanique (52%), avec directe electronique collective en appoint. Le choix reflete exigence hygiene forte, accessibilite et flux patients/accompagnants de jour ; hygiene, accessibilite, continuite de service et maintenance encadree.EHPAD : Les rares urinoirs relèvent surtout d’équipements classiques ; la part collective ou automatique reste faible à l’échelle du parc.USLD : Les rares urinoirs relèvent surtout de solutions classiques.Résidences autonomie Foyers-logements ; Résidences services seniors : Les rares urinoirs relèvent surtout d’un parc classique.</t>
    </r>
  </si>
  <si>
    <r>
      <rPr>
        <b/>
        <sz val="9"/>
        <rFont val="Calibri"/>
      </rPr>
      <t>Établissements Médico-éducatifs ; Foyers pour personnes handicapées ; EHPAD ; USLD ; Résidences autonomie Foyers-logements ; Résidences services seniors</t>
    </r>
    <r>
      <rPr>
        <sz val="9"/>
        <rFont val="Calibri"/>
      </rPr>
      <t xml:space="preserve"> : Évolution limitée : le parc reste peu standardisé et la bascule vers l’automatique est lente.MDPH Maisons de l’autonomie Guichets handicap : 2025-2030 : progression de directe electronique indiv. (+3,0%), surtout lors des renov. lourdes/neuf ; recul de a reservoir (-2,0%) mais maintien d un socle robuste pour les remplacements partiels.</t>
    </r>
  </si>
  <si>
    <r>
      <rPr>
        <b/>
        <sz val="9"/>
        <rFont val="Calibri"/>
      </rPr>
      <t>Établissements Médico-éducatifs</t>
    </r>
    <r>
      <rPr>
        <sz val="9"/>
        <rFont val="Calibri"/>
      </rPr>
      <t xml:space="preserve"> : Le réservoir reste dominant, la chasse directe étant surtout liée aux rénovations de blocs.Foyers pour personnes handicapées : Le parc WC reste dominé par le réservoir, la chasse directe équipant surtout les blocs communs rénovés.MDPH Maisons de l’autonomie Guichets handicap : MDPH Maisons de l’autonomie Guichets handicap : parc 2025 domine par reservoir (55%), avec chasse directe mecanique en appoint. Le choix reflete exigence hygiene forte, accessibilite et flux patients/accompagnants de jour ; hygiene, accessibilite, continuite de service et maintenance encadree.EHPAD : Le WC à réservoir domine très largement à cause des chambres et unités ; la chasse directe reste marginale.USLD : Le réservoir reste majoritaire car le parc est fortement structuré par les chambres et unités de soins.Résidences autonomie Foyers-logements ; Résidences services seniors : Le réservoir domine encore, la chasse directe restant concentrée sur quelques espaces communs modernisés.</t>
    </r>
  </si>
  <si>
    <r>
      <rPr>
        <b/>
        <sz val="9"/>
        <rFont val="Calibri"/>
      </rPr>
      <t>Établissements Médico-éducatifs ; Foyers pour personnes handicapées ; EHPAD ; USLD ; Résidences autonomie Foyers-logements ; Résidences services seniors</t>
    </r>
    <r>
      <rPr>
        <sz val="9"/>
        <rFont val="Calibri"/>
      </rPr>
      <t xml:space="preserve"> : Dans les établissements résidentiels de soin, le réservoir reste majoritaire ; les chasses directes/électroniques progressent surtout dans les espaces communs rénovés.MDPH Maisons de l’autonomie Guichets handicap : 2025-2030 : progression de chasse directe mecanique (+5,0%), surtout lors des renov. lourdes/neuf ; recul de reservoir (-10,0%) mais maintien d un socle robuste pour les remplacements partiels.</t>
    </r>
  </si>
  <si>
    <r>
      <rPr>
        <b/>
        <sz val="9"/>
        <rFont val="Calibri"/>
      </rPr>
      <t>Établissements Médico-éducatifs ; Foyers pour personnes handicapées</t>
    </r>
    <r>
      <rPr>
        <sz val="9"/>
        <rFont val="Calibri"/>
      </rPr>
      <t xml:space="preserve"> : 86,2% retenu : réno assez tangible grâce aux besoins d’usage quotidien et aux mises à niveau, avec décalages liés aux financeurs et à l’exploitation.MDPH Maisons de l’autonomie Guichets handicap : 80,8% retenu : besoins transformes en travaux selon exigence hygiene forte, accessibilite et flux patients/accompagnants de jour. Le phasage budgetaire, les fermetures partielles et la maintenance courante limitent la conversion totale.EHPAD : 89,5% retenu : réno assez tangible grâce aux besoins d’usage quotidien et aux mises à niveau, avec décalages liés aux financeurs et à l’exploitation.USLD : 90,0% retenu : réno assez tangible grâce aux besoins d’usage quotidien et aux mises à niveau, avec décalages liés aux financeurs et à l’exploitation.Résidences autonomie Foyers-logements : 81,8% retenu : réno assez tangible grâce aux besoins d’usage quotidien et aux mises à niveau, avec décalages liés aux financeurs et à l’exploitation.Résidences services seniors : 87,3% retenu : réno assez tangible grâce aux besoins d’usage quotidien et aux mises à niveau, avec décalages liés aux financeurs et à l’exploitation.</t>
    </r>
  </si>
  <si>
    <r>
      <rPr>
        <b/>
        <sz val="9"/>
        <rFont val="Calibri"/>
      </rPr>
      <t>Établissements Médico-éducatifs ; Foyers pour personnes handicapées</t>
    </r>
    <r>
      <rPr>
        <sz val="9"/>
        <rFont val="Calibri"/>
      </rPr>
      <t xml:space="preserve"> : Potentiel rénovation élevé : adaptation d’usage, accessibilité, confort et hygiène soutiennent fortement le remplacement sur un parc souvent hétérogène. Les volumes se concentrent surtout sur lavabos et wc. En rénovation, le marché reste favorable aux gammes robustes et simples d’entretien, compatibles avec des chantiers par tranches et des budgets contraints.MDPH Maisons de l’autonomie Guichets handicap : Potentiel renovation : tire par hygiene, accessibilite, continuite de service et maintenance encadree. Les remplacements sont plutot par lots, avec arbitrage entre urgence sanitaire, budget et capacite a intervenir en site occupe.EHPAD : Potentiel rénovation très élevé : chambres, salles d’eau, douches PMR et sanitaires communs restent un besoin structurel du vieillissement du parc. Les lavabos et les WC portent l’essentiel des volumes, avec un poids secondaire des équipements spécialisés. En rénovation, les maîtres d’ouvrage privilégient des références robustes, vite posées et faciles à maintenir dans des ambiances humides.USLD ; Résidences autonomie Foyers-logements ; Résidences services seniors : Potentiel rénovation élevé : chambres, salles d’eau, douches PMR et sanitaires communs restent un besoin structurel du vieillissement du parc. Les volumes se concentrent surtout sur lavabos et wc. En rénovation, les maîtres d’ouvrage privilégient des références robustes, vite posées et faciles à maintenir dans des ambiances humides.</t>
    </r>
  </si>
  <si>
    <r>
      <rPr>
        <b/>
        <sz val="9"/>
        <rFont val="Calibri"/>
      </rPr>
      <t>Établissements Médico-éducatifs</t>
    </r>
    <r>
      <rPr>
        <sz val="9"/>
        <rFont val="Calibri"/>
      </rPr>
      <t xml:space="preserve"> : Potentiel neuf faible : création et transformation de l’offre existent encore dans le handicap, mais par vagues régionales et montages ciblés. Le neuf est quasi nul dans le modèle et renvoie surtout à des reconstructions ou remplacements de sites.Foyers pour personnes handicapées : Potentiel neuf moyen à soutenu : création et transformation de l’offre existent encore dans le handicap, mais par vagues régionales et montages ciblés. Le neuf est significatif mais encore nettement inférieur à la rénovation.MDPH Maisons de l’autonomie Guichets handicap : Potentiel neuf : limite pour mdph maisons de l’autonomie guichets handicap, surtout via extensions, reconstructions ou projets locaux. Le neuf reste contraint par foncier, budgets et delais de mise en service.EHPAD ; USLD ; Résidences autonomie Foyers-logements : Potentiel neuf faible : surtout via reconstruction, transformation ou création très ciblée de capacités ; le neuf reste quasi nul dans le modèle et renvoie surtout à des reconstructions ou remplacements de sites.Résidences services seniors : Potentiel neuf élevé : encore porté par quelques opérateurs privés et programmes mixtes seniors, donc plus vivant que dans le médico-social public. Le neuf est très soutenu et pèse réellement dans l’activité.</t>
    </r>
  </si>
  <si>
    <r>
      <rPr>
        <b/>
        <sz val="9"/>
        <rFont val="Calibri"/>
      </rPr>
      <t>Établissements Médico-éducatifs ; Foyers pour personnes handicapées</t>
    </r>
    <r>
      <rPr>
        <sz val="9"/>
        <rFont val="Calibri"/>
      </rPr>
      <t xml:space="preserve"> : Projets phares réno : salles d’eau adaptées, douches PMR, sanitaires collectifs et personnels, réaménagements de chambres et espaces éducatifs.MDPH Maisons de l’autonomie Guichets handicap : Projets phares renovation : reprise de blocs sanitaires, accessibilite, ventilation, economie d eau, remplacement des pieces usees et adaptation aux pics de frequentation propres au sous-segment.EHPAD ; USLD ; Résidences autonomie Foyers-logements ; Résidences services seniors : Projets phares réno : salles d’eau des chambres, douches adaptées, sanitaires communs, accessibilité, confort d’été et rénovation énergétique.</t>
    </r>
  </si>
  <si>
    <r>
      <rPr>
        <b/>
        <sz val="9"/>
        <rFont val="Calibri"/>
      </rPr>
      <t>Établissements Médico-éducatifs ; Foyers pour personnes handicapées</t>
    </r>
    <r>
      <rPr>
        <sz val="9"/>
        <rFont val="Calibri"/>
      </rPr>
      <t xml:space="preserve"> : Projets phares neuf : créations/extensions d’IME et foyers, unités spécialisées, habitats adossés à une transformation de l’offre.MDPH Maisons de l’autonomie Guichets handicap : Projets phares neuf : creations ou reconstructions selectives, integration de sanitaires plus sobres, robustes et faciles a maintenir des la conception.EHPAD ; USLD ; Résidences autonomie Foyers-logements : Projets phares neuf : EHPAD/USLD reconstruits, extensions ciblées, habitats intermédiaires et transformations d’offre.Résidences services seniors : Projets phares neuf : résidences services seniors neuves, opérations en cœur de ville, programmes mixtes avec services et espaces communs.</t>
    </r>
  </si>
  <si>
    <r>
      <rPr>
        <b/>
        <sz val="9"/>
        <rFont val="Calibri"/>
      </rPr>
      <t>Établissements Médico-éducatifs ; Foyers pour personnes handicapées</t>
    </r>
    <r>
      <rPr>
        <sz val="9"/>
        <rFont val="Calibri"/>
      </rPr>
      <t xml:space="preserve"> : Dynamique réno 2026-2030 : élevée, portée par l’accessibilité, la dignité d’usage et les plans d’investissement médico-sociaux. Menaces : délais administratifs, arbitrages départementaux/ARS et pénurie d’exploitants.MDPH Maisons de l’autonomie Guichets handicap : Dynamique renovation 2026-2030 : forte, car l usure et l hygiene rendent les interventions recurrentes. Menaces : arbitrages d investissement, travaux en exploitation et cout de maintenance.EHPAD ; USLD ; Résidences autonomie Foyers-logements : Dynamique réno 2026-2030 : très soutenue, car la dignité d’usage, l’accessibilité et la pression réglementaire rendent les reports plus difficiles que dans d’autres ERP. Menaces : tensions financières des opérateurs, exploitation continue et pénurie de main-d’œuvre.Résidences services seniors : Dynamique réno 2026-2030 : très soutenue, car la dignité d’usage, l’accessibilité et la pression réglementaire rendent les reports plus difficiles que dans d’autres ERP. Menaces : tensions financières des opérateurs, exploitation continue et pénurie de main-d’œuvre. Le marché de la robinetterie y bénéficie aussi d’une logique de montée en gamme et de confort résidentiel.</t>
    </r>
  </si>
  <si>
    <r>
      <rPr>
        <b/>
        <sz val="9"/>
        <rFont val="Calibri"/>
      </rPr>
      <t>Établissements Médico-éducatifs ; Foyers pour personnes handicapées</t>
    </r>
    <r>
      <rPr>
        <sz val="9"/>
        <rFont val="Calibri"/>
      </rPr>
      <t xml:space="preserve"> : Dynamique neuf 2026-2030 : plus réelle que dans le grand âge classique grâce aux politiques de transformation de l’offre, mais toujours sélective et territorialisée.MDPH Maisons de l’autonomie Guichets handicap : Dynamique neuf 2026-2030 : faible a moderee, dependante des projets immobiliers, de la demographie locale et des budgets de maitrise d ouvrage.EHPAD ; USLD ; Résidences autonomie Foyers-logements : Dynamique neuf 2026-2030 : modérée à faible selon les sous-segments publics ; la priorité reste la modernisation du parc plus que l’expansion diffuse.Résidences services seniors : Dynamique neuf 2026-2030 : réelle mais très sélective ; elle dépend du pouvoir d’achat, du taux de commercialisation et de l’appétit des investisseurs.</t>
    </r>
  </si>
  <si>
    <t>https://sante.gouv.fr/actualites-presse/presse/communiques-de-presse/article/campagne-tarifaire-et-budgetaire-2026-des-etablissements-de-sante-3-6-milliards
https://sante.gouv.fr/systeme-de-sante/segur-de-la-sante/investissement-en-sante-une-nouvelle-politique-au-service-de-la-qualite-des-11226/csis
https://sante.gouv.fr/soins-et-maladies/qualite-securite-et-pertinence-des-soins/securite-des-prises-en-charge/securite-des-soins-et-des-patients/article/ameliorer-la-securite-des-patients-et-des-residents-la-1ere-feuille-de-route
https://www.statistiques.developpement-durable.gouv.fr/construction-de-locaux-resultats-fin-janvier-2026-france-entiere
https://www.insee.fr/fr/statistiques/8671745
https://www.insee.fr/fr/statistiques/8906564</t>
  </si>
  <si>
    <r>
      <rPr>
        <b/>
        <sz val="9"/>
        <rFont val="Calibri"/>
      </rPr>
      <t>Établissements Médico-éducatifs ; Foyers pour personnes handicapées ; MDPH Maisons de l’autonomie Guichets handicap ; USLD ; Résidences services seniors</t>
    </r>
    <r>
      <rPr>
        <sz val="9"/>
        <rFont val="Calibri"/>
      </rPr>
      <t xml:space="preserve"> : BonneEHPAD : ÉlevéeRésidences autonomie Foyers-logements : Moyenne+</t>
    </r>
  </si>
  <si>
    <r>
      <rPr>
        <b/>
        <sz val="9"/>
        <rFont val="Calibri"/>
      </rPr>
      <t>Établissements Médico-éducatifs</t>
    </r>
    <r>
      <rPr>
        <sz val="9"/>
        <rFont val="Calibri"/>
      </rPr>
      <t xml:space="preserve"> : Parc existant surtout intermédiaire. Les ventes restent proches du parc, centré sur intermédiaire, du fait de budgets et de rénovations menées surtout par lots. La rénovation restant majoritaire, le mix de ventes reste proche du parc et monte surtout d’un cran sur les opérations lourdes. Le médico-social combine logique résidentielle, maintenance en exploitation et enveloppes publiques ciblées ; la montée en gamme existe mais reste graduelle.Foyers pour personnes handicapées : Parc existant surtout intermédiaire. Les ventes se décalent légèrement vers intermédiaire, du fait de budgets et de rénovations menées surtout par lots. Le neuf est un peu plus qualitatif que la rénovation, sans renverser le centre de gravité du mix. Le médico-social combine logique résidentielle, maintenance en exploitation et enveloppes publiques ciblées ; la montée en gamme existe mais reste graduelle.MDPH Maisons de l’autonomie Guichets handicap : Parc existant centre sur le niveau health, avec ventes 2026-2030 legerement plus qualitatives. MDPH Maisons de l’autonomie Guichets handicap : exigence hygiene forte, accessibilite et flux patients/accompagnants de jour; le mix reste guide par hygiene, accessibilite, continuite de service et maintenance encadree.EHPAD : Parc existant surtout intermédiaire. Les ventes se décalent légèrement vers premium / intermédiaire, porté par l’hygiène, la facilité d’entretien et la technicité. La rénovation restant majoritaire, le mix de ventes reste proche du parc et monte surtout d’un cran sur les opérations lourdes. EHPAD : présence de chambres et salles d’eau individuelles, importance du confort résidentiel mais sous forte contrainte de budget et de maintenance ; les plans d’investissement améliorent surtout le standard/intermédiaire.USLD : Parc existant surtout intermédiaire. Les ventes se décalent légèrement vers intermédiaire, du fait de budgets et de rénovations menées surtout par lots. La rénovation restant majoritaire, le mix de ventes reste proche du parc et monte surtout d’un cran sur les opérations lourdes. Le médico-social combine logique résidentielle, maintenance en exploitation et enveloppes publiques ciblées ; la montée en gamme existe mais reste graduelle.Résidences autonomie Foyers-logements : Parc existant surtout intermédiaire. Les ventes restent proches du parc, centré sur intermédiaire, du fait de budgets et de rénovations menées surtout par lots. La rénovation restant majoritaire, le mix de ventes reste proche du parc et monte surtout d’un cran sur les opérations lourdes. Parc plutôt résidentiel mais public, avec budgets d’investissement plus serrés que le privé ; les rénovations priorisent souvent l’accessibilité et la maintenance.Résidences services seniors : Parc existant surtout intermédiaire / premium. Les ventes se décalent légèrement vers premium, tiré par l’image de marque et l’expérience usager. Le neuf tire clairement le mix plus haut que la rénovation. Résidences seniors privées : mix nettement plus qualitatif, tiré par le standing résidentiel, l’image commerciale et des opérations neuves plus nombreuses.</t>
    </r>
  </si>
  <si>
    <r>
      <rPr>
        <b/>
        <sz val="9"/>
        <rFont val="Calibri"/>
      </rPr>
      <t>Établissements Médico-éducatifs ; Foyers pour personnes handicapées ; MDPH Maisons de l’autonomie Guichets handicap ; USLD</t>
    </r>
    <r>
      <rPr>
        <sz val="9"/>
        <rFont val="Calibri"/>
      </rPr>
      <t xml:space="preserve"> : ±4 ptsEHPAD : ±3 ptsRésidences autonomie Foyers-logements ; Résidences services seniors : ±5 pts</t>
    </r>
  </si>
  <si>
    <r>
      <rPr>
        <b/>
        <sz val="9"/>
        <rFont val="Calibri"/>
      </rPr>
      <t>Établissements Médico-éducatifs ; MDPH Maisons de l’autonomie Guichets handicap ; USLD</t>
    </r>
    <r>
      <rPr>
        <sz val="9"/>
        <rFont val="Calibri"/>
      </rPr>
      <t xml:space="preserve"> : ±4 ptsFoyers pour personnes handicapées ; Résidences autonomie Foyers-logements : ±5 ptsEHPAD : ±3 ptsRésidences services seniors : ±6 pts</t>
    </r>
  </si>
  <si>
    <r>
      <rPr>
        <b/>
        <sz val="9"/>
        <rFont val="Calibri"/>
      </rPr>
      <t>Établissements Médico-éducatifs ; Foyers pour personnes handicapées ; USLD</t>
    </r>
    <r>
      <rPr>
        <sz val="9"/>
        <rFont val="Calibri"/>
      </rPr>
      <t xml:space="preserve"> : BonneMDPH Maisons de l’autonomie Guichets handicap : ÉlevéeEHPAD : Très bonneRésidences autonomie Foyers-logements ; Résidences services seniors : Moyenne +</t>
    </r>
  </si>
  <si>
    <r>
      <rPr>
        <b/>
        <sz val="9"/>
        <rFont val="Calibri"/>
      </rPr>
      <t>Établissements Médico-éducatifs ; Foyers pour personnes handicapées</t>
    </r>
    <r>
      <rPr>
        <sz val="9"/>
        <rFont val="Calibri"/>
      </rPr>
      <t xml:space="preserve"> : Le médico-social combine logique résidentielle, maintenance en exploitation et enveloppes publiques ciblées ; la montée en gamme existe mais reste graduelle.MDPH Maisons de l’autonomie Guichets handicap : Parc existant : hygiene, accessibilite, continuite de service et maintenance encadree; exigence hygiene forte, accessibilite et flux patients/accompagnants de jour. La montee en confort reste proportionnee au budget et au rythme de renovation.EHPAD : EHPAD : présence de chambres et salles d’eau individuelles, importance du confort résidentiel mais sous forte contrainte de budget et de maintenance ; les plans d’investissement améliorent surtout le standard/intermédiaire.USLD : USLD : présence de chambres et salles d’eau individuelles, importance du confort résidentiel mais sous forte contrainte de budget et de maintenance ; les plans d’investissement améliorent surtout le standard/intermédiaire.Résidences autonomie Foyers-logements : Parc plutôt résidentiel mais public, avec budgets d’investissement plus serrés que le privé ; les rénovations priorisent souvent l’accessibilité et la maintenance.Résidences services seniors : Résidences seniors privées : mix nettement plus qualitatif, tiré par le standing résidentiel, l’image commerciale et des opérations neuves plus nombreuses.</t>
    </r>
  </si>
  <si>
    <r>
      <rPr>
        <b/>
        <sz val="9"/>
        <rFont val="Calibri"/>
      </rPr>
      <t>Établissements Médico-éducatifs ; EHPAD ; USLD</t>
    </r>
    <r>
      <rPr>
        <sz val="9"/>
        <rFont val="Calibri"/>
      </rPr>
      <t xml:space="preserve"> : contrainte sanitaire ⇒ standard/intermédiaire technique ↑ ; rénovation dominante ⇒ progression graduelleFoyers pour personnes handicapées : contrainte sanitaire ⇒ standard/intermédiaire technique ↑ ; poids du neuf significatif ⇒ premiumisation des ventes &gt; parcMDPH Maisons de l’autonomie Guichets handicap : renovation dominante =&gt; progression graduelleRésidences autonomie Foyers-logements : rénovation dominante ⇒ progression graduelleRésidences services seniors : image + privé ⇒ premium/luxe ↑ ; poids du neuf significatif ⇒ premiumisation des ventes &gt; parc</t>
    </r>
  </si>
  <si>
    <r>
      <rPr>
        <b/>
        <sz val="9"/>
        <rFont val="Calibri"/>
      </rPr>
      <t>Établissements Médico-éducatifs</t>
    </r>
    <r>
      <rPr>
        <sz val="9"/>
        <rFont val="Calibri"/>
      </rPr>
      <t xml:space="preserve"> : Établissements médico-éducatifs : ESMS publics/associatifs où l’accessibilité et la facilité d’usage priment. Ventes 2026-2030 : glissement vers davantage de moyen / premium, surtout sur douche (+10,2 pts sur premium+luxe), lavabo (+9,4 pts sur premium+luxe), WC (+9,3 pts sur premium+luxe). La rénovation reste majoritaire (82% des ventes, contre 18% en neuf) ; le neuf tire le mix vers le haut sans renverser le centre de gravité. L’écart de niveau de confort entre neuf et rénovation est net.Foyers pour personnes handicapées : Foyers pour personnes handicapées : foyers collectifs à budget contraint et arbitrages au service de la robustesse. Ventes 2026-2030 : glissement vers davantage de moyen / premium, surtout sur douche (+14,4 pts sur premium+luxe), lavabo (+13,4 pts sur premium+luxe), WC (+13,2 pts sur premium+luxe). La rénovation reste majoritaire (68% des ventes, contre 32% en neuf) ; le neuf tire le mix vers le haut sans renverser le centre de gravité. L’écart de niveau de confort entre neuf et rénovation est net.MDPH Maisons de l’autonomie Guichets handicap : MDPH Maisons de l’autonomie Guichets handicap : ventes 2026-2030 en leger glissement vers moyen/premium lorsque le neuf ou les renov. lourdes interviennent. Le centre de gravite reste toutefois module par hygiene, accessibilite, continuite de service et maintenance encadree et par la part dominante de travaux sur parc existant.EHPAD : EHPAD : dimension résidentielle et confort d’usage importants malgré une forte contrainte budgétaire. Ventes 2026-2030 : glissement vers davantage de moyen / premium, surtout sur douche (+12,8 pts sur premium+luxe), WC (+12,6 pts sur premium+luxe), lavabo (+11,4 pts sur premium+luxe). La rénovation reste majoritaire (83% des ventes, contre 17% en neuf) ; le neuf tire le mix vers le haut sans renverser le centre de gravité. L’écart de niveau de confort entre neuf et rénovation est net.USLD : USLD : dimension résidentielle mais avec médicalisation plus forte, ce qui favorise surtout le milieu de gamme technique. Ventes 2026-2030 : glissement vers davantage de moyen / premium, surtout sur douche (+12,3 pts sur premium+luxe), WC (+11,5 pts sur premium+luxe), lavabo (+10,3 pts sur premium+luxe). La rénovation reste majoritaire (84% des ventes, contre 16% en neuf) ; le neuf tire le mix vers le haut sans renverser le centre de gravité. L’écart de niveau de confort entre neuf et rénovation est net.Résidences autonomie Foyers-logements : Ventes 2026-2030 : glissement vers davantage de moyen / premium, surtout sur douche (+12,2 pts sur premium+luxe), WC (+11,1 pts sur premium+luxe), lavabo (+10,2 pts sur premium+luxe). La rénovation reste majoritaire (82% des ventes, contre 18% en neuf) ; le neuf tire le mix vers le haut sans renverser le centre de gravité. L’écart de niveau de confort entre neuf et rénovation est net.Résidences services seniors : Ventes 2026-2030 : glissement vers davantage de moyen / premium, surtout sur urinoir (+29,0 pts sur premium+luxe), WC (+18,0 pts sur premium+luxe), lavabo (+17,8 pts sur premium+luxe). Le neuf représente 71% des ventes contre 29% en rénovation et tire nettement le mix vers le haut. L’écart de niveau de confort entre neuf et rénovation est net.</t>
    </r>
  </si>
  <si>
    <t>1 - Centres de santé / Centres médicaux
2 - Maisons de santé
3 - Cabinets Dentaires</t>
  </si>
  <si>
    <r>
      <rPr>
        <b/>
        <sz val="9"/>
        <rFont val="Calibri"/>
      </rPr>
      <t>Centres de santé / Centres médicaux</t>
    </r>
    <r>
      <rPr>
        <sz val="9"/>
        <rFont val="Calibri"/>
      </rPr>
      <t xml:space="preserve"> : UMaisons de santé : U ou WCabinets Dentaires : U ou W / variable</t>
    </r>
  </si>
  <si>
    <r>
      <rPr>
        <b/>
        <sz val="9"/>
        <rFont val="Calibri"/>
      </rPr>
      <t>Centres de santé / Centres médicaux ; Maisons de santé</t>
    </r>
    <r>
      <rPr>
        <sz val="9"/>
        <rFont val="Calibri"/>
      </rPr>
      <t xml:space="preserve"> : ERPCabinets Dentaires : ERP / variable</t>
    </r>
  </si>
  <si>
    <r>
      <rPr>
        <b/>
        <sz val="9"/>
        <rFont val="Calibri"/>
      </rPr>
      <t>Centres de santé / Centres médicaux ; Cabinets Dentaires</t>
    </r>
    <r>
      <rPr>
        <sz val="9"/>
        <rFont val="Calibri"/>
      </rPr>
      <t xml:space="preserve"> : ouiMaisons de santé : variable</t>
    </r>
  </si>
  <si>
    <r>
      <rPr>
        <b/>
        <sz val="9"/>
        <rFont val="Calibri"/>
      </rPr>
      <t>Centres de santé / Centres médicaux</t>
    </r>
    <r>
      <rPr>
        <sz val="9"/>
        <rFont val="Calibri"/>
      </rPr>
      <t xml:space="preserve"> : Accueil de patients hors hospitalisation lourde.Maisons de santé : Classement selon exploitation et accueil du public.Cabinets Dentaires : Forte omission probable si l’objectif est d’inventorier les sites de soins recevant du public avec lavabos et sanitaires. Compter par site autonome, pas par praticien.</t>
    </r>
  </si>
  <si>
    <r>
      <rPr>
        <b/>
        <sz val="9"/>
        <rFont val="Calibri"/>
      </rPr>
      <t>Centres de santé / Centres médicaux</t>
    </r>
    <r>
      <rPr>
        <sz val="9"/>
        <rFont val="Calibri"/>
      </rPr>
      <t xml:space="preserve"> : Centre de santé familiale, maison médicaleMaisons de santé : Maison de santé pluridisciplinaireCabinets Dentaires : Cabinet dentaire, centre dentaire</t>
    </r>
  </si>
  <si>
    <r>
      <rPr>
        <b/>
        <sz val="9"/>
        <rFont val="Calibri"/>
      </rPr>
      <t>Centres de santé / Centres médicaux ; Cabinets Dentaires</t>
    </r>
    <r>
      <rPr>
        <sz val="9"/>
        <rFont val="Calibri"/>
      </rPr>
      <t xml:space="preserve"> : nonMaisons de santé : variable</t>
    </r>
  </si>
  <si>
    <r>
      <rPr>
        <b/>
        <sz val="9"/>
        <rFont val="Calibri"/>
      </rPr>
      <t>Centres de santé / Centres médicaux ; Maisons de santé</t>
    </r>
    <r>
      <rPr>
        <sz val="9"/>
        <rFont val="Calibri"/>
      </rPr>
      <t xml:space="preserve"> : Site
Etablissement principalCabinets Dentaires : Site / établissement principal</t>
    </r>
  </si>
  <si>
    <r>
      <rPr>
        <b/>
        <sz val="9"/>
        <rFont val="Calibri"/>
      </rPr>
      <t>Centres de santé / Centres médicaux</t>
    </r>
    <r>
      <rPr>
        <sz val="9"/>
        <rFont val="Calibri"/>
      </rPr>
      <t xml:space="preserve"> : proxy public / estimation encadréeMaisons de santé : série publique directeCabinets Dentaires : ajout qualitatif – à quantifier avant intégration</t>
    </r>
  </si>
  <si>
    <r>
      <rPr>
        <b/>
        <sz val="9"/>
        <rFont val="Calibri"/>
      </rPr>
      <t>Centres de santé / Centres médicaux ; Cabinets Dentaires</t>
    </r>
    <r>
      <rPr>
        <sz val="9"/>
        <rFont val="Calibri"/>
      </rPr>
      <t xml:space="preserve"> : MoyenneMaisons de santé : Elevé</t>
    </r>
  </si>
  <si>
    <r>
      <rPr>
        <b/>
        <sz val="9"/>
        <rFont val="Calibri"/>
      </rPr>
      <t>Centres de santé / Centres médicaux ; Cabinets Dentaires</t>
    </r>
    <r>
      <rPr>
        <sz val="9"/>
        <rFont val="Calibri"/>
      </rPr>
      <t xml:space="preserve"> : Pas de stagnation structurelle : la série évolue à la hausse sur la période 2000-2026 ; la projection prolonge cette tendance avec prudence.Maisons de santé : Très forte hausse structurelle, portée par la politique publique de déploiement des MSP ; après 2025, la croissance reste soutenue mais moins explosive à mesure que le maillage se densifie.</t>
    </r>
  </si>
  <si>
    <r>
      <rPr>
        <b/>
        <sz val="9"/>
        <rFont val="Calibri"/>
      </rPr>
      <t>Centres de santé / Centres médicaux ; Cabinets Dentaires</t>
    </r>
    <r>
      <rPr>
        <sz val="9"/>
        <rFont val="Calibri"/>
      </rPr>
      <t xml:space="preserve"> : proxy sur centres de santé et cabinets regroupés. Dynamique projetée 2027-2030: hausse modérée. Fiabilité: moyenne.Maisons de santé : Le plan « 4000 MSP » lancé en 2023 et l’objectif gouvernemental de 5 000 MSP à horizon 2027-2030 justifient une trajectoire haussière marquée. La fin de série est une projection politique structurée.</t>
    </r>
  </si>
  <si>
    <r>
      <rPr>
        <b/>
        <sz val="9"/>
        <rFont val="Calibri"/>
      </rPr>
      <t>Centres de santé / Centres médicaux</t>
    </r>
    <r>
      <rPr>
        <sz val="9"/>
        <rFont val="Calibri"/>
      </rPr>
      <t xml:space="preserve"> : https://drees.solidarites-sante.gouv.fr/Maisons de santé : https://www.assurance-maladie.ameli.fr/actualite/accompagner-les-evolutions-du-systeme-de-sante ; https://www.ameli.fr/medecin/exercice-liberal/vie-cabinet/structures-sante-pluriprofessionnelles ; https://www.ameli.fr/exercice-coordonne/exercice-professionnel/organisations-d-exercice-coordonne/constitution-d-une-maison-de-sante-pluriprofessionnelle-mspCabinets Dentaires : https://www.sante.fr/recherche/trouver/dentistes%20
https://www.sante.fr/recherche/trouver/Centre%20M%C3%A9dical%20Et%20Dentaire</t>
    </r>
  </si>
  <si>
    <r>
      <rPr>
        <b/>
        <sz val="9"/>
        <rFont val="Calibri"/>
      </rPr>
      <t>Centres de santé / Centres médicaux ; Maisons de santé</t>
    </r>
    <r>
      <rPr>
        <sz val="9"/>
        <rFont val="Calibri"/>
      </rPr>
      <t xml:space="preserve"> : Site ambulatoire / consultations ; petits blocs d'attente et de personnel.Cabinets Dentaires : Cabinet dentaire : petit bloc patients/accompagnants + sanitaire personnel.</t>
    </r>
  </si>
  <si>
    <r>
      <rPr>
        <b/>
        <sz val="9"/>
        <rFont val="Calibri"/>
      </rPr>
      <t>Centres de santé / Centres médicaux</t>
    </r>
    <r>
      <rPr>
        <sz val="9"/>
        <rFont val="Calibri"/>
      </rPr>
      <t xml:space="preserve"> : Capacité type ≈ 18 usagers principaux + 5 staff + 2 accompagnants/visiteurs. Le programme sanitaire est construit par blocs fonctionnels plausibles (public, personnel, exploitation/hébergement selon le cas) et non par simple ratio national moyen. Douches rares, mais certains sites disposent d’une douche de soins, PMR, personnel ou activité médicale spécifique.Maisons de santé : Capacité type ≈ 14 usagers principaux + 4 staff + 2 visiteurs/intervenants. Le programme sanitaire est construit par blocs fonctionnels plausibles (public, personnel, exploitation/hébergement selon le cas) et non par simple ratio national moyen. Calibrage selon capacité simultanée, répartition de flux et organisation réelle du site.Cabinets Dentaires : Capacité type ≈ 12 usagers principaux + 6 staff + 2 autre public. Flux sur rendez-vous avec temps d'attente limité ; plusieurs fauteuils possibles. Dimensionnement unitaire retenu : 1 sanitaire public/PMR lorsque public accueilli + 1 sanitaire personnel si nécessaire. Hypothèse d'usage : capacité simultanée moyenne 2026, répartition par flux réels, arrondie par blocs fonctionnels et exclusion des sanitaires strictement privatifs sauf cas explicitement collectifs.</t>
    </r>
  </si>
  <si>
    <r>
      <rPr>
        <b/>
        <sz val="9"/>
        <rFont val="Calibri"/>
      </rPr>
      <t>Centres de santé / Centres médicaux</t>
    </r>
    <r>
      <rPr>
        <sz val="9"/>
        <rFont val="Calibri"/>
      </rPr>
      <t xml:space="preserve"> : Profil très petit, capacité moyenne ≈ 25 personnes. Moyenne pondérée terrain : parc majoritairement petits/moyens sites, grands sites intégrés sans surpondération ; usage 2025 forte à très forte.Maisons de santé ; Cabinets Dentaires : Profil très petit, capacité moyenne ≈ 20 personnes. Moyenne pondérée terrain : parc majoritairement petits/moyens sites, grands sites intégrés sans surpondération ; usage 2025 forte à très forte.</t>
    </r>
  </si>
  <si>
    <r>
      <rPr>
        <b/>
        <sz val="9"/>
        <rFont val="Calibri"/>
      </rPr>
      <t>Centres de santé / Centres médicaux ; Maisons de santé</t>
    </r>
    <r>
      <rPr>
        <sz val="9"/>
        <rFont val="Calibri"/>
      </rPr>
      <t xml:space="preserve"> : Programmation hospitalière / médico-sociale (ANAP/CNSA) + pratique courante d'hospitalisation complète : https://anap.fr/ ; https://www.cnsa.fr/actualites/immobilier-et-ehpad-un-autodiagnostic-et-un-nouvel-outil-de-dimensionnement-surfaciqueCabinets Dentaires : ERP/accessibilité sanitaires publics : https://www.legifrance.gouv.fr/loda/article_lc/LEGIARTI000034485966/ ; Code du travail sanitaires salariés : https://www.legifrance.gouv.fr/codes/id/LEGISCTA000018531984 ; INRS : https://www.inrs.fr/publications/juridique/focus-juridiques/focus-sanitaires-toilettes.html</t>
    </r>
  </si>
  <si>
    <r>
      <rPr>
        <b/>
        <sz val="9"/>
        <rFont val="Calibri"/>
      </rPr>
      <t>Centres de santé / Centres médicaux</t>
    </r>
    <r>
      <rPr>
        <sz val="9"/>
        <rFont val="Calibri"/>
      </rPr>
      <t xml:space="preserve"> : Flux sur rendez-vous, sanitaires visiteurs/personnel peu humides et vandalisme faible; nettoyage régulier sans usage 24/7. Plus long qu'hôpital, mais électronique limité par maintenance légère. Repères durées: lavabos 12/12/9 ans (mit./méca/élec.), douches 11/10/8, urinoirs 11/12/8/10, WC 12/12/9.Maisons de santé : Petits sites pluridisciplinaires, fréquentation régulière mais maîtrisée; peu de douches, peu de vandalisme, maintenance externalisée. Proche centre médical, renouvellement lors de réaménagements. Repères durées: lavabos 12/12/9 ans (mit./méca/élec.), douches 11/10/8, urinoirs 11/12/8/10, WC 12/12/9.Cabinets Dentaires : Usage limité patients/personnel, hygiène suivie mais sanitaires peu intensifs; faible humidité hors salles techniques. Durées élevées sur mécaniques, électroniques plus courts par capteurs/alimentations. Repères durées: lavabos 12/13/9 ans (mit./méca/élec.), douches 11/10/8, urinoirs 10/12/8/10, WC 13/13/9.</t>
    </r>
  </si>
  <si>
    <r>
      <rPr>
        <b/>
        <sz val="9"/>
        <rFont val="Calibri"/>
      </rPr>
      <t>Centres de santé / Centres médicaux ; Maisons de santé</t>
    </r>
    <r>
      <rPr>
        <sz val="9"/>
        <rFont val="Calibri"/>
      </rPr>
      <t xml:space="preserve"> : Dans les centres de santé et maisons de santé, l’électronique est plus présente que dans le parc global grâce aux rénovations récentes et aux exigences d’hygiène, mais le mitigeur reste encore majoritaire.Cabinets Dentaires : Cabinets Dentaires : parc 2025 domine par tempo mecanique (42%), avec mitigeur manuel en appoint. Le choix reflete exigence hygiene forte, accessibilite et flux patients/accompagnants de jour ; hygiene, accessibilite, continuite de service et maintenance encadree.</t>
    </r>
  </si>
  <si>
    <r>
      <rPr>
        <b/>
        <sz val="9"/>
        <rFont val="Calibri"/>
      </rPr>
      <t>Centres de santé / Centres médicaux ; Maisons de santé</t>
    </r>
    <r>
      <rPr>
        <sz val="9"/>
        <rFont val="Calibri"/>
      </rPr>
      <t xml:space="preserve"> : En santé, la projection reste prudente : le mitigeur/médical demeure majoritaire, l’électronique progresse surtout sur les lave-mains communs rénovés et zones publiques, sans évincer rapidement le parc mécanique spécifique.Cabinets Dentaires : 2025-2030 : progression de tempo electronique (+4,0%), surtout lors des renov. lourdes/neuf ; recul de mitigeur manuel (-4,0%) mais maintien d un socle robuste pour les remplacements partiels.</t>
    </r>
  </si>
  <si>
    <r>
      <rPr>
        <b/>
        <sz val="9"/>
        <rFont val="Calibri"/>
      </rPr>
      <t>Centres de santé / Centres médicaux</t>
    </r>
    <r>
      <rPr>
        <sz val="9"/>
        <rFont val="Calibri"/>
      </rPr>
      <t xml:space="preserve"> : Centres de santé : douches rares et plutôt assimilables à des douches de soins/confort, majoritairement à mitigeur/thermostatique.Maisons de santé ; Cabinets Dentaires : Sans objet.</t>
    </r>
  </si>
  <si>
    <r>
      <rPr>
        <b/>
        <sz val="9"/>
        <rFont val="Calibri"/>
      </rPr>
      <t>Centres de santé / Centres médicaux</t>
    </r>
    <r>
      <rPr>
        <sz val="9"/>
        <rFont val="Calibri"/>
      </rPr>
      <t xml:space="preserve"> : Évolution lente : maintien du mitigeur, légère progression du temporisé/électronique dans certains sites rénovés.Maisons de santé ; Cabinets Dentaires : Sans objet.</t>
    </r>
  </si>
  <si>
    <r>
      <rPr>
        <b/>
        <sz val="9"/>
        <rFont val="Calibri"/>
      </rPr>
      <t>Centres de santé / Centres médicaux ; Maisons de santé</t>
    </r>
    <r>
      <rPr>
        <sz val="9"/>
        <rFont val="Calibri"/>
      </rPr>
      <t xml:space="preserve"> : Les urinoirs des sanitaires publics récents vont plus souvent vers l’automatique, mais le parc installé garde une base importante de mécanique/direct.Cabinets Dentaires : Sans objet : pas de urinoirs collectif dimensionne dans ce sous-segment.</t>
    </r>
  </si>
  <si>
    <r>
      <rPr>
        <b/>
        <sz val="9"/>
        <rFont val="Calibri"/>
      </rPr>
      <t>Centres de santé / Centres médicaux ; Maisons de santé</t>
    </r>
    <r>
      <rPr>
        <sz val="9"/>
        <rFont val="Calibri"/>
      </rPr>
      <t xml:space="preserve"> : Dans les zones où des urinoirs existent, l’automatique progresse modestement sur les rénovations, sans disparition rapide des systèmes historiques.Cabinets Dentaires : Sans objet : pas de trajectoire 2025-2030 a modeliser pour les urinoirs.</t>
    </r>
  </si>
  <si>
    <r>
      <rPr>
        <b/>
        <sz val="9"/>
        <rFont val="Calibri"/>
      </rPr>
      <t>Centres de santé / Centres médicaux ; Maisons de santé</t>
    </r>
    <r>
      <rPr>
        <sz val="9"/>
        <rFont val="Calibri"/>
      </rPr>
      <t xml:space="preserve"> : Le réservoir demeure dominant sur les petits établissements, avec une montée de la chasse directe et de l’électronique dans les sanitaires récents.Cabinets Dentaires : Cabinets Dentaires : parc 2025 domine par reservoir (55%), avec chasse directe mecanique en appoint. Le choix reflete exigence hygiene forte, accessibilite et flux patients/accompagnants de jour ; hygiene, accessibilite, continuite de service et maintenance encadree.</t>
    </r>
  </si>
  <si>
    <r>
      <rPr>
        <b/>
        <sz val="9"/>
        <rFont val="Calibri"/>
      </rPr>
      <t>Centres de santé / Centres médicaux ; Maisons de santé</t>
    </r>
    <r>
      <rPr>
        <sz val="9"/>
        <rFont val="Calibri"/>
      </rPr>
      <t xml:space="preserve"> : En santé, le réservoir recule lentement ; la bascule vers le direct et l’électronique reste plus graduelle que dans les ERP intensifs car le parc est plus spécifique.Cabinets Dentaires : 2025-2030 : progression de chasse directe mecanique (+5,0%), surtout lors des renov. lourdes/neuf ; recul de reservoir (-10,0%) mais maintien d un socle robuste pour les remplacements partiels.</t>
    </r>
  </si>
  <si>
    <r>
      <rPr>
        <b/>
        <sz val="9"/>
        <rFont val="Calibri"/>
      </rPr>
      <t>Centres de santé / Centres médicaux</t>
    </r>
    <r>
      <rPr>
        <sz val="9"/>
        <rFont val="Calibri"/>
      </rPr>
      <t xml:space="preserve"> : 86,2% retenu : part des besoins réellement transformée en travaux sur 2026-2030 après prise en compte des budgets, du phasage et des arbitrages locaux.Maisons de santé : 85,1% retenu : part des besoins réellement transformée en travaux sur 2026-2030 après prise en compte des budgets, du phasage et des arbitrages locaux.Cabinets Dentaires : 80,8% retenu : besoins transformes en travaux selon exigence hygiene forte, accessibilite et flux patients/accompagnants de jour. Le phasage budgetaire, les fermetures partielles et la maintenance courante limitent la conversion totale.</t>
    </r>
  </si>
  <si>
    <r>
      <rPr>
        <b/>
        <sz val="9"/>
        <rFont val="Calibri"/>
      </rPr>
      <t>Centres de santé / Centres médicaux</t>
    </r>
    <r>
      <rPr>
        <sz val="9"/>
        <rFont val="Calibri"/>
      </rPr>
      <t xml:space="preserve"> : Potentiel rénovation élevé : remises à niveau fonctionnelles et réglementaires, reconfiguration des accueils et sanitaires publics/personnel dans des locaux existants. Les volumes restent d’abord tirés par les WC et les lavabos, plus que par les postes spécialisés. En rénovation, le marché reste favorable aux gammes robustes et simples d’entretien, compatibles avec des chantiers par tranches et des budgets contraints.Maisons de santé : Potentiel rénovation élevé : refits et extensions légères de structures récentes, avec volumes de remplacement encore inférieurs au parc plus ancien. Les volumes restent d’abord tirés par les WC et les lavabos, plus que par les postes spécialisés. En rénovation, le marché reste favorable aux gammes robustes et simples d’entretien, compatibles avec des chantiers par tranches et des budgets contraints.Cabinets Dentaires : Potentiel renovation : tire par hygiene, accessibilite, continuite de service et maintenance encadree. Les remplacements sont plutot par lots, avec arbitrage entre urgence sanitaire, budget et capacite a intervenir en site occupe.</t>
    </r>
  </si>
  <si>
    <r>
      <rPr>
        <b/>
        <sz val="9"/>
        <rFont val="Calibri"/>
      </rPr>
      <t>Centres de santé / Centres médicaux</t>
    </r>
    <r>
      <rPr>
        <sz val="9"/>
        <rFont val="Calibri"/>
      </rPr>
      <t xml:space="preserve"> : Potentiel neuf moyen à soutenu : développement ciblé de centres de santé dans certains territoires, mais les ouvertures restent très dépendantes du modèle économique local. Le neuf est significatif mais encore nettement inférieur à la rénovation.Maisons de santé : Potentiel neuf très élevé : c’est l’un des sous-segments les plus porteurs du modèle grâce à la politique d’accès aux soins et au développement des MSP. Le neuf est très soutenu et pèse réellement dans l’activité.Cabinets Dentaires : Potentiel neuf : limite pour cabinets dentaires, surtout via extensions, reconstructions ou projets locaux. Le neuf reste contraint par foncier, budgets et delais de mise en service.</t>
    </r>
  </si>
  <si>
    <r>
      <rPr>
        <b/>
        <sz val="9"/>
        <rFont val="Calibri"/>
      </rPr>
      <t>Centres de santé / Centres médicaux</t>
    </r>
    <r>
      <rPr>
        <sz val="9"/>
        <rFont val="Calibri"/>
      </rPr>
      <t xml:space="preserve"> : Projets phares réno : accueils, sanitaires publics/personnel, reconfiguration de cabinets et circuits patients.Maisons de santé : Projets phares réno : adaptation de locaux, accessibilité, reprises de sanitaires publics/personnel lors d’extensions ou regroupements.Cabinets Dentaires : Projets phares renovation : reprise de blocs sanitaires, accessibilite, ventilation, economie d eau, remplacement des pieces usees et adaptation aux pics de frequentation propres au sous-segment.</t>
    </r>
  </si>
  <si>
    <r>
      <rPr>
        <b/>
        <sz val="9"/>
        <rFont val="Calibri"/>
      </rPr>
      <t>Centres de santé / Centres médicaux</t>
    </r>
    <r>
      <rPr>
        <sz val="9"/>
        <rFont val="Calibri"/>
      </rPr>
      <t xml:space="preserve"> : Projets phares neuf : centres de santé pluridisciplinaires, antennes de proximité, extensions dans les territoires sous-dotés.Maisons de santé : Projets phares neuf : MSP, cabinets solidaires, pôles de proximité et structures pluridisciplinaires en zones sous-dotées.Cabinets Dentaires : Projets phares neuf : creations ou reconstructions selectives, integration de sanitaires plus sobres, robustes et faciles a maintenir des la conception.</t>
    </r>
  </si>
  <si>
    <r>
      <rPr>
        <b/>
        <sz val="9"/>
        <rFont val="Calibri"/>
      </rPr>
      <t>Centres de santé / Centres médicaux</t>
    </r>
    <r>
      <rPr>
        <sz val="9"/>
        <rFont val="Calibri"/>
      </rPr>
      <t xml:space="preserve"> : Dynamique réno 2026-2030 : soutenue, car l’adaptation de locaux existants est souvent la voie la plus rapide pour renforcer l’offre. Menaces : équilibre économique et recrutement médical.Maisons de santé : Dynamique réno 2026-2030 : moyenne à soutenue, car le parc est plus récent et l’entretien prime souvent sur la rénovation lourde.Cabinets Dentaires : Dynamique renovation 2026-2030 : forte, car l usure et l hygiene rendent les interventions recurrentes. Menaces : arbitrages d investissement, travaux en exploitation et cout de maintenance.</t>
    </r>
  </si>
  <si>
    <r>
      <rPr>
        <b/>
        <sz val="9"/>
        <rFont val="Calibri"/>
      </rPr>
      <t>Centres de santé / Centres médicaux</t>
    </r>
    <r>
      <rPr>
        <sz val="9"/>
        <rFont val="Calibri"/>
      </rPr>
      <t xml:space="preserve"> : Dynamique neuf 2026-2030 : modérée ; des projets émergent dans les territoires en tension d’accès aux soins, mais l’exécution reste inégale.Maisons de santé : Dynamique neuf 2026-2030 : forte, portée par politiques d’accès aux soins et territoires en désertification médicale. Menaces : recrutement des professionnels, délais de montage et financement d’exploitation. Rare segment santé où le neuf dépasse réellement le simple remplacement.Cabinets Dentaires : Dynamique neuf 2026-2030 : faible a moderee, dependante des projets immobiliers, de la demographie locale et des budgets de maitrise d ouvrage.</t>
    </r>
  </si>
  <si>
    <r>
      <rPr>
        <b/>
        <sz val="9"/>
        <rFont val="Calibri"/>
      </rPr>
      <t>Établissements Médico-éducatifs</t>
    </r>
    <r>
      <rPr>
        <sz val="9"/>
        <rFont val="Calibri"/>
      </rPr>
      <t xml:space="preserve"> ; </t>
    </r>
    <r>
      <rPr>
        <b/>
        <sz val="9"/>
        <rFont val="Calibri"/>
      </rPr>
      <t>Foyers pour personnes handicapées</t>
    </r>
    <r>
      <rPr>
        <sz val="9"/>
        <rFont val="Calibri"/>
      </rPr>
      <t xml:space="preserve"> : </t>
    </r>
    <r>
      <rPr>
        <sz val="9"/>
        <rFont val="Calibri"/>
      </rPr>
      <t>https://www.cnsa.fr/budget-et-financement/financement-des-esms/investissement-immobilier
https://www.cnsa.fr/actualites/instruction-budgetaire-les-priorites-de-financement-des-esms-pour-lexercice-2025
https://www.cnsa.fr/actualites/le-plan-national-50-000-solutions-des-avancees-tangibles
https://sante.gouv.fr/actualites-presse/presse/communiques-de-presse/article/campagne-tarifaire-et-budgetaire-2026-des-etablissements-de-sante-3-6-milliards
https://sante.gouv.fr/systeme-de-sante/segur-de-la-sante/investissement-en-sante-une-nouvelle-politique-au-service-de-la-qualite-des-11226/csis
https://sante.gouv.fr/soins-et-maladies/qualite-securite-et-pertinence-des-soins/securite-des-prises-en-charge/securite-des-soins-et-des-patients/article/ameliorer-la-securite-des-patients-et-des-residents-la-1ere-feuille-de-route
https://www.statistiques.developpement-durable.gouv.fr/construction-de-locaux-resultats-fin-janvier-2026-france-entiere
https://www.insee.fr/fr/statistiques/8671745
https://www.insee.fr/fr/statistiques/8906564MDPH Maisons de l’autonomie Guichets handicap : 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https://www.insee.fr/fr/statistiques/8906564EHPAD ; USLD ; Résidences autonomie Foyers-logements : https://www.cnsa.fr/budget-et-financement/financement-des-esms/investissement-immobilier
https://www.cnsa.fr/actualites/instruction-budgetaire-les-priorites-de-financement-des-esms-pour-lexercice-2025
https://www.cnsa.fr/actualites/le-plan-national-50-000-solutions-des-avancees-tangibles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https://www.insee.fr/fr/statistiques/8906564Résidences services seniors : https://www.cnsa.fr/budget-et-financement/financement-des-esms/investissement-immobilier
https://www.cnsa.fr/actualites/instruction-budgetaire-les-priorites-de-financement-des-esms-pour-lexercice-2025
https://www.cnsa.fr/actualites/le-plan-national-50-000-solutions-des-avancees-tangibles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
https://www.statistiques.developpement-durable.gouv.fr/construction-de-locaux-resultats-fin-janvier-2026-france-entiere
https://www.insee.fr/fr/statistiques/8671745
https://www.insee.fr/fr/statistiques/8906564</t>
    </r>
  </si>
  <si>
    <r>
      <rPr>
        <b/>
        <sz val="9"/>
        <rFont val="Calibri"/>
      </rPr>
      <t>Centres de santé / Centres médicaux</t>
    </r>
    <r>
      <rPr>
        <sz val="9"/>
        <rFont val="Calibri"/>
      </rPr>
      <t xml:space="preserve"> : Parc existant surtout intermédiaire. Les ventes se décalent légèrement vers intermédiaire, porté par l’hygiène, la facilité d’entretien et la technicité. Le neuf est un peu plus qualitatif que la rénovation, sans renverser le centre de gravité du mix. Structures ambulatoires : parc encore hétérogène mais dynamique de créations et regroupements qui élèvent le standard sur les ventes 2026-2030.Maisons de santé : Parc existant surtout intermédiaire. Les ventes 2026-2030 montent nettement vers intermédiaire, sous l’effet combiné de l’hygiène, de l’image et des rénovations lourdes. Le neuf tire clairement le mix plus haut que la rénovation. Sous-segment très tiré par le neuf récent, avec un positionnement plus qualitatif que l’ambulatoire historique et des budgets de réalisation mieux fléchés.Cabinets Dentaires : Parc existant centre sur le niveau health, avec ventes 2026-2030 legerement plus qualitatives. Cabinets Dentaires : exigence hygiene forte, accessibilite et flux patients/accompagnants de jour; le mix reste guide par hygiene, accessibilite, continuite de service et maintenance encadree.</t>
    </r>
  </si>
  <si>
    <r>
      <rPr>
        <b/>
        <sz val="9"/>
        <rFont val="Calibri"/>
      </rPr>
      <t>Centres de santé / Centres médicaux ; Maisons de santé</t>
    </r>
    <r>
      <rPr>
        <sz val="9"/>
        <rFont val="Calibri"/>
      </rPr>
      <t xml:space="preserve"> : ±5 ptsCabinets Dentaires : ±4 pts</t>
    </r>
  </si>
  <si>
    <r>
      <rPr>
        <b/>
        <sz val="9"/>
        <rFont val="Calibri"/>
      </rPr>
      <t>Centres de santé / Centres médicaux ; Maisons de santé</t>
    </r>
    <r>
      <rPr>
        <sz val="9"/>
        <rFont val="Calibri"/>
      </rPr>
      <t xml:space="preserve"> : ±6 ptsCabinets Dentaires : ±4 pts</t>
    </r>
  </si>
  <si>
    <r>
      <rPr>
        <b/>
        <sz val="9"/>
        <rFont val="Calibri"/>
      </rPr>
      <t>Centres de santé / Centres médicaux ; Maisons de santé</t>
    </r>
    <r>
      <rPr>
        <sz val="9"/>
        <rFont val="Calibri"/>
      </rPr>
      <t xml:space="preserve"> : Moyenne +Cabinets Dentaires : Élevée</t>
    </r>
  </si>
  <si>
    <r>
      <rPr>
        <b/>
        <sz val="9"/>
        <rFont val="Calibri"/>
      </rPr>
      <t>Centres de santé / Centres médicaux</t>
    </r>
    <r>
      <rPr>
        <sz val="9"/>
        <rFont val="Calibri"/>
      </rPr>
      <t xml:space="preserve"> : Structures ambulatoires : parc encore hétérogène mais dynamique de créations et regroupements qui élèvent le standard sur les ventes 2026-2030.Maisons de santé : Sous-segment très tiré par le neuf récent, avec un positionnement plus qualitatif que l’ambulatoire historique et des budgets de réalisation mieux fléchés.Cabinets Dentaires : Parc existant : hygiene, accessibilite, continuite de service et maintenance encadree; exigence hygiene forte, accessibilite et flux patients/accompagnants de jour. La montee en confort reste proportionnee au budget et au rythme de renovation.</t>
    </r>
  </si>
  <si>
    <r>
      <rPr>
        <b/>
        <sz val="9"/>
        <rFont val="Calibri"/>
      </rPr>
      <t>Centres de santé / Centres médicaux</t>
    </r>
    <r>
      <rPr>
        <sz val="9"/>
        <rFont val="Calibri"/>
      </rPr>
      <t xml:space="preserve"> : contrainte sanitaire ⇒ standard/intermédiaire technique ↑ ; poids du neuf significatif ⇒ premiumisation des ventes &gt; parcMaisons de santé : image + privé ⇒ premium/luxe ↑ ; contrainte sanitaire ⇒ standard/intermédiaire technique ↑ ; poids du neuf significatif ⇒ premiumisation des ventes &gt; parcCabinets Dentaires : renovation dominante =&gt; progression graduelle</t>
    </r>
  </si>
  <si>
    <r>
      <rPr>
        <b/>
        <sz val="9"/>
        <rFont val="Calibri"/>
      </rPr>
      <t>Centres de santé / Centres médicaux</t>
    </r>
    <r>
      <rPr>
        <sz val="9"/>
        <rFont val="Calibri"/>
      </rPr>
      <t xml:space="preserve"> : Centres de santé / centres médicaux : parc de soins de proximité assez standardisé, avec peu de luxe mais une attente de propreté visible. Ventes 2026-2030 : glissement vers davantage de moyen / premium, surtout sur lavabo (+17,3 pts sur premium+luxe), WC (+15,8 pts sur premium+luxe), urinoir (+12,4 pts sur premium+luxe). La rénovation reste majoritaire (65% des ventes, contre 35% en neuf) ; le neuf tire le mix vers le haut sans renverser le centre de gravité. L’écart de niveau de confort entre neuf et rénovation est net.Maisons de santé : Maisons de santé : maisons de santé récentes et souvent conçues en neuf, donc niveau moyen supérieur. Ventes 2026-2030 : glissement vers davantage de moyen / premium, surtout sur urinoir (+34,2 pts sur premium+luxe), WC (+33,9 pts sur premium+luxe), lavabo (+32,4 pts sur premium+luxe). Le neuf représente 75% des ventes contre 25% en rénovation et tire nettement le mix vers le haut. L’écart de niveau de confort entre neuf et rénovation est net.Cabinets Dentaires : Cabinets Dentaires : ventes 2026-2030 en leger glissement vers moyen/premium lorsque le neuf ou les renov. lourdes interviennent. Le centre de gravite reste toutefois module par hygiene, accessibilite, continuite de service et maintenance encadree et par la part dominante de travaux sur parc existant.</t>
    </r>
  </si>
  <si>
    <t>1 - Cinémas
2 - Théâtres
3 - Musées
4 - Salles de spectacle / Auditoriums
5 - Salles de conférence / Réunion
6 - Salles polyvalentes / Salles des fêtes
7 - Bibliothèques / Médiathèques
8 - Centres de Documentation et Consultation d’archives autonomes</t>
  </si>
  <si>
    <r>
      <rPr>
        <b/>
        <sz val="9"/>
        <rFont val="Calibri"/>
      </rPr>
      <t>Cinémas ; Théâtres ; Salles de spectacle / Auditoriums ; Salles de conférence / Réunion ; Salles polyvalentes / Salles des fêtes</t>
    </r>
    <r>
      <rPr>
        <sz val="9"/>
        <rFont val="Calibri"/>
      </rPr>
      <t xml:space="preserve"> : LMusées : YBibliothèques / Médiathèques ; Centres de Documentation et Consultation d’archives autonomes : S</t>
    </r>
  </si>
  <si>
    <r>
      <rPr>
        <b/>
        <sz val="9"/>
        <rFont val="Calibri"/>
      </rPr>
      <t>Cinémas</t>
    </r>
    <r>
      <rPr>
        <sz val="9"/>
        <rFont val="Calibri"/>
      </rPr>
      <t xml:space="preserve"> : Salles de projection recevant du public.Théâtres : Salles de spectacles et auditions.Musées : Exposition permanente de collections.Salles de spectacle / Auditoriums : Salles de spectacles, conférences ou auditions.Salles de conférence / Réunion : Accueil d’assemblées et réunions publiques.Salles polyvalentes / Salles des fêtes : Réunions, manifestations, polyvalence.Bibliothèques / Médiathèques : Consultation et prêt de documents.Centres de Documentation et Consultation d’archives autonomes : Consultation de documents.</t>
    </r>
  </si>
  <si>
    <r>
      <rPr>
        <b/>
        <sz val="9"/>
        <rFont val="Calibri"/>
      </rPr>
      <t>Cinémas</t>
    </r>
    <r>
      <rPr>
        <sz val="9"/>
        <rFont val="Calibri"/>
      </rPr>
      <t xml:space="preserve"> : MultiplexeThéâtres : Théâtre municipalMusées : Musée municipal, musée privéSalles de spectacle / Auditoriums : Auditorium, salle de concertSalles de conférence / Réunion : Centre de conférencesSalles polyvalentes / Salles des fêtes : Salle communale, salle polyvalenteBibliothèques / Médiathèques : Bibliothèque municipaleCentres de Documentation et Consultation d’archives autonomes : Archives départementales, régionales autonomes, municipales/intercommunales autonomes, centre de documentation public autonome</t>
    </r>
  </si>
  <si>
    <r>
      <rPr>
        <b/>
        <sz val="9"/>
        <rFont val="Calibri"/>
      </rPr>
      <t>Cinémas ; Bibliothèques / Médiathèques ; Centres de Documentation et Consultation d’archives autonomes</t>
    </r>
    <r>
      <rPr>
        <sz val="9"/>
        <rFont val="Calibri"/>
      </rPr>
      <t xml:space="preserve"> : série publique directeThéâtres ; Musées ; Salles de spectacle / Auditoriums ; Salles de conférence / Réunion ; Salles polyvalentes / Salles des fêtes : proxy public / estimation encadrée</t>
    </r>
  </si>
  <si>
    <r>
      <rPr>
        <b/>
        <sz val="9"/>
        <rFont val="Calibri"/>
      </rPr>
      <t>Cinémas ; Théâtres ; Musées ; Bibliothèques / Médiathèques</t>
    </r>
    <r>
      <rPr>
        <sz val="9"/>
        <rFont val="Calibri"/>
      </rPr>
      <t xml:space="preserve"> : ElevéSalles de spectacle / Auditoriums ; Salles de conférence / Réunion ; Salles polyvalentes / Salles des fêtes ; Centres de Documentation et Consultation d’archives autonomes : Moyenne</t>
    </r>
  </si>
  <si>
    <r>
      <rPr>
        <b/>
        <sz val="9"/>
        <rFont val="Calibri"/>
      </rPr>
      <t>Cinémas ; Musées</t>
    </r>
    <r>
      <rPr>
        <sz val="9"/>
        <rFont val="Calibri"/>
      </rPr>
      <t xml:space="preserve"> : Parc d’équipements public/associatif mature ; renouvellement lent et faible variation nette d’une année sur l’autre.Théâtres : Faute de série nationale homogène publiée annuellement pour cette sous-catégorie, le proxy est lissé ; la faible variation reflète une prudence méthodologique.Salles de spectacle / Auditoriums ; Salles de conférence / Réunion : Pas de stagnation structurelle : la série évolue à la hausse sur la période 2000-2026 ; la projection prolonge cette tendance avec prudence.Salles polyvalentes / Salles des fêtes : Parc très diffus et plutôt stable, avec légère hausse/renouvellement. Le filtre sanitaire est peu réducteur : une salle louée au public dispose normalement de WC/lavabos.Bibliothèques / Médiathèques : Le stock de bibliothèques/médiathèques est mature et très majoritairement public. Tassement lent du réseau, avec rationalisation locale mais maintien d’un maillage très dense ; pas de rupture 2026-2030.Centres de Documentation et Consultation d’archives autonomes : Croissance lente puis quasi-stabilité : parc physique public d’archives/documentation assez mature, avec quelques créations ou regroupements de sites autonomes.</t>
    </r>
  </si>
  <si>
    <r>
      <rPr>
        <b/>
        <sz val="9"/>
        <rFont val="Calibri"/>
      </rPr>
      <t>Cinémas</t>
    </r>
    <r>
      <rPr>
        <sz val="9"/>
        <rFont val="Calibri"/>
      </rPr>
      <t xml:space="preserve"> : parc de cinémas actifs 2024. Dynamique projetée 2027-2030: stable. Fiabilité: bonne.Théâtres : proxy équipements culturels. Dynamique projetée 2027-2030: stable. Fiabilité: moyenne.Musées : proxy musées de France et assimilés. Dynamique projetée 2027-2030: stable. Fiabilité: bonne.Salles de spectacle / Auditoriums : proxy équipements culturels de spectacle. Dynamique projetée 2027-2030: hausse légère. Fiabilité: moyenne.Salles de conférence / Réunion : proxy centres de congrès et salles publiques. Dynamique projetée 2027-2030: hausse légère. Fiabilité: moyenne.Salles polyvalentes / Salles des fêtes : Dédoublonnage réalisé vis-à-vis des gymnases, salles de spectacle, locaux associatifs, salles intégrées à mairie, MJC/local associatif, gymnase, salle de spectacle ou équipement culturel déjà compté.Bibliothèques / Médiathèques : BPE 2024 bibliothèques et points d’accès. Ancré sur BPE Insee (15 846 bibliothèques). Reste de la série vise continuité cohérente avec travaux du ministère Culture sur lieux de lecture publique.Centres de Documentation et Consultation d’archives autonomes : Projection prudente : seuls sites autonomes avec salle consultation-accueil public sont retenus ; sanitaires publics-personnel fréquents dans ces bâtiments recevant public.</t>
    </r>
  </si>
  <si>
    <r>
      <rPr>
        <b/>
        <sz val="9"/>
        <rFont val="Calibri"/>
      </rPr>
      <t>Cinémas</t>
    </r>
    <r>
      <rPr>
        <sz val="9"/>
        <rFont val="Calibri"/>
      </rPr>
      <t xml:space="preserve"> : https://www.boxofficepro.fr/geographie-du-cinema-2024-un-parc-de-salles-stable/Théâtres ; Salles de spectacle / Auditoriums ; Salles de conférence / Réunion : https://www.insee.fr/fr/metadonnees/source/serie/s1161Musées : https://www.culture.gouv.fr/Aides-demarches/Protections-labels-et-appellations/Appellation-Musee-de-FranceSalles polyvalentes / Salles des fêtes : https://www.data.gouv.fr/datasets/recensement-des-equipements-sportifs-espaces-et-sites-de-pratiques ; https://www.insee.fr/fr/statistiques/3196299?sommaire=3197322 ; https://code.travail.gouv.fr/code-du-travail/r4228-1
https://www.insee.fr/fr/metadonnees/source/serie/s1161Bibliothèques / Médiathèques : https://www.insee.fr/fr/statistiques/8610258?geo=FE-1 ; https://www.culture.gouv.fr/thematiques/livre-et-lecture/pour-les-professionnels-des-bibliotheques/donnees-sur-les-bibliotheques/cartographie-des-bibliothequesCentres de Documentation et Consultation d’archives autonomes : https://www.data.gouv.fr/fr/datasets/activite-des-services-darchives-en-france/
https://francearchives.gouv.fr/fr/article/37979
https://www.legifrance.gouv.fr/codes/section_lc/JORFTEXT000000290033/LEGISCTA000020334994/</t>
    </r>
  </si>
  <si>
    <r>
      <rPr>
        <b/>
        <sz val="9"/>
        <rFont val="Calibri"/>
      </rPr>
      <t>Cinémas ; Théâtres</t>
    </r>
    <r>
      <rPr>
        <sz val="9"/>
        <rFont val="Calibri"/>
      </rPr>
      <t xml:space="preserve"> : Bloc public de salle/circulation + sanitaire staff ; pas de douches.Musées ; Bibliothèques / Médiathèques : Musée/bibliothèque : sanitaires visiteurs aux pôles d'accueil + staff.Salles de spectacle / Auditoriums ; Salles de conférence / Réunion : Équipement événementiel : programme public en batterie à l'entrée et en pourtour, staff séparé.Salles polyvalentes / Salles des fêtes : Salle polyvalente/salle des fêtes : batteries public événementiel + sanitaire staff/office.Centres de Documentation et Consultation d’archives autonomes : Archives/centre de consultation : bloc lecteurs + sanitaire personnel.</t>
    </r>
  </si>
  <si>
    <r>
      <rPr>
        <b/>
        <sz val="9"/>
        <rFont val="Calibri"/>
      </rPr>
      <t>Cinémas</t>
    </r>
    <r>
      <rPr>
        <sz val="9"/>
        <rFont val="Calibri"/>
      </rPr>
      <t xml:space="preserve"> : Capacité type ≈ 440 usagers principaux + 40 staff + 20 techniciens/exploitants externes. Le programme sanitaire est construit par blocs fonctionnels plausibles (public, personnel, exploitation/hébergement selon le cas) et non par simple ratio national moyen. Calibrage selon capacité simultanée, répartition de flux et organisation réelle du site.Théâtres : Capacité type ≈ 616 usagers principaux + 56 staff + 28 artistes/intervenants. Le programme sanitaire est construit par blocs fonctionnels plausibles (public, personnel, exploitation/hébergement selon le cas) et non par simple ratio national moyen. Calibrage selon capacité simultanée, répartition de flux et organisation réelle du site. Les douches ne sont pas un équipement public standard, mais sont plausibles dans les loges, espaces artistes, techniques ou grands théâtres municipaux.Musées : Capacité type ≈ 246 usagers principaux + 36 staff + 18 intervenants/prestataires. Le programme sanitaire est construit par blocs fonctionnels plausibles (public, personnel, exploitation/hébergement selon le cas) et non par simple ratio national moyen. Calibrage selon capacité simultanée, répartition de flux et organisation réelle du site.Salles de spectacle / Auditoriums : Capacité type ≈ 572 usagers principaux + 52 staff + 26 artistes/intervenants. Le programme sanitaire est construit par blocs fonctionnels plausibles (public, personnel, exploitation/hébergement selon le cas) et non par simple ratio national moyen. Calibrage selon capacité simultanée, répartition de flux et organisation réelle du site.Salles de conférence / Réunion : Capacité type ≈ 220 usagers principaux + 20 staff + 10 intervenants/prestataires. Le programme sanitaire est construit par blocs fonctionnels plausibles (public, personnel, exploitation/hébergement selon le cas) et non par simple ratio national moyen. Calibrage selon capacité simultanée, répartition de flux et organisation réelle du site.Salles polyvalentes / Salles des fêtes : Capacité type ≈ 315 usagers principaux + 28 staff + 7 autre public. Repas, réunions et fêtes avec occupation dense et pics de courte durée. Dimensionnement unitaire retenu : batteries WC public H/F/PMR près hall/office, dimensionnées à la jauge assise/debout. Hypothèse d'usage : capacité simultanée moyenne 2026, répartition par flux réels, arrondie par blocs fonctionnels et exclusion des sanitaires strictement privatifs sauf cas explicitement collectifs.Bibliothèques / Médiathèques : Capacité type ≈ 123 usagers principaux + 18 staff + 9 intervenants/visiteurs. Le programme sanitaire est construit par blocs fonctionnels plausibles (public, personnel, exploitation/hébergement selon le cas) et non par simple ratio national moyen. Calibrage selon capacité simultanée, répartition de flux et organisation réelle du site.Centres de Documentation et Consultation d’archives autonomes : Capacité type ≈ 56 usagers principaux + 20 staff + 4 autre public. Consultation sur place à faible rotation, chercheurs/lecteurs et équipe de conservation. Dimensionnement unitaire retenu : petit bloc public accessible + bloc personnel, sans douche. Hypothèse d'usage : capacité simultanée moyenne 2026, répartition par flux réels, arrondie par blocs fonctionnels et exclusion des sanitaires strictement privatifs sauf cas explicitement collectifs.</t>
    </r>
  </si>
  <si>
    <r>
      <rPr>
        <b/>
        <sz val="9"/>
        <rFont val="Calibri"/>
      </rPr>
      <t>Cinémas</t>
    </r>
    <r>
      <rPr>
        <sz val="9"/>
        <rFont val="Calibri"/>
      </rPr>
      <t xml:space="preserve"> : Profil grand, capacité moyenne ≈ 500 personnes. Moyenne pondérée terrain : parc majoritairement petits/moyens sites, grands sites intégrés sans surpondération ; usage 2025 modérée à forte par pics.Théâtres : Profil grand, capacité moyenne ≈ 700 personnes. Moyenne pondérée terrain : parc majoritairement petits/moyens sites, grands sites intégrés sans surpondération ; usage 2025 modérée à forte par pics.Musées : Profil grand, capacité moyenne ≈ 300 personnes. Moyenne pondérée terrain : parc majoritairement petits/moyens sites, grands sites intégrés sans surpondération ; usage 2025 modérée à forte par pics.Salles de spectacle / Auditoriums : Profil grand, capacité moyenne ≈ 650 personnes. Moyenne pondérée terrain : parc majoritairement petits/moyens sites, grands sites intégrés sans surpondération ; usage 2025 modérée à forte par pics.Salles de conférence / Réunion : Profil grand, capacité moyenne ≈ 250 personnes. Moyenne pondérée terrain : parc majoritairement petits/moyens sites, grands sites intégrés sans surpondération ; usage 2025 modérée à forte par pics.Salles polyvalentes / Salles des fêtes : Profil grand, capacité moyenne ≈ 350 personnes. Moyenne pondérée terrain : parc majoritairement petits/moyens sites, grands sites intégrés sans surpondération ; usage 2025 modérée à forte par pics.Bibliothèques / Médiathèques : Profil moyen, capacité moyenne ≈ 150 personnes. Moyenne pondérée terrain : parc majoritairement petits/moyens sites, grands sites intégrés sans surpondération ; usage 2025 modérée à forte par pics.Centres de Documentation et Consultation d’archives autonomes : Profil moyen, capacité moyenne ≈ 80 personnes. Moyenne pondérée terrain : parc majoritairement petits/moyens sites, grands sites intégrés sans surpondération ; usage 2025 modérée à forte par pics.</t>
    </r>
  </si>
  <si>
    <r>
      <rPr>
        <b/>
        <sz val="9"/>
        <rFont val="Calibri"/>
      </rPr>
      <t>Cinémas ; Théâtres ; Musées ; Salles de spectacle / Auditoriums ; Salles de conférence / Réunion ; Bibliothèques / Médiathèques</t>
    </r>
    <r>
      <rPr>
        <sz val="9"/>
        <rFont val="Calibri"/>
      </rPr>
      <t xml:space="preserve"> : Code du travail (sanitaires et vestiaires staff) + programmation ERP/usages d'exploitation ; source de comptage propre à la ligne en col. AP.Salles polyvalentes / Salles des fêtes ; Centres de Documentation et Consultation d’archives autonomes : ERP/accessibilité sanitaires publics : https://www.legifrance.gouv.fr/loda/article_lc/LEGIARTI000034485966/ ; Code du travail sanitaires salariés : https://www.legifrance.gouv.fr/codes/id/LEGISCTA000018531984 ; INRS : https://www.inrs.fr/publications/juridique/focus-juridiques/focus-sanitaires-toilettes.html</t>
    </r>
  </si>
  <si>
    <r>
      <rPr>
        <b/>
        <sz val="9"/>
        <rFont val="Calibri"/>
      </rPr>
      <t>Cinémas</t>
    </r>
    <r>
      <rPr>
        <sz val="9"/>
        <rFont val="Calibri"/>
      </rPr>
      <t xml:space="preserve"> : Flux publics variables, budgets souvent contraints et maintenance plutôt réactive. Les écarts de durée ont été resserrés : le mécanique garde un petit avantage, l'électronique reste en retrait mais sans décote excessive. Le renouvellement intervient au fil des pannes puis lors des opérations de remise à niveau des sanitaires. Pics très concentrés avant/après séances, usage anonyme mais humidité faible; nettoyage par rotations. Plus court qu'un musée calme, meilleur qu'un stade grâce au public. Rénovation par campagnes plutôt que remplacement à la panne.Théâtres : Pics entracte/fin de spectacle, public généralement respectueux, faible humidité et maintenance patrimoniale. Proche cinéma, un peu moins agressif si jauge plus faible. Budgets souvent contraints et maintenance plutôt réactive. Les écarts de durée ont été resserrés : le mécanique garde un petit avantage, l'électronique reste en retrait mais sans décote excessive. Le renouvellement intervient au fil des pannes puis lors des opérations de remise à niveau des sanitaires. Budgets municipaux/intercommunaux et rénovation par campagnes plutôt que remplacement à la panne.Musées : Flux touristique étalé, pics vacances mais usage calme et surveillance; faible humidité. Durées longues pour mécaniques, électronique limité par obsolescence, meilleur qu'un parc d'attractions. Flux publics variables, budgets souvent contraints et maintenance plutôt réactive. Les écarts de durée ont été resserrés : le mécanique garde un petit avantage, l'électronique reste en retrait mais sans décote excessive. Le renouvellement intervient au fil des pannes puis lors des opérations de remise à niveau des sanitaires. Usage public modéré à fort mais irrégulier, pics événementiels, budgets municipaux/intercommunaux et rénovation par campagnes plutôt que remplacement à la panne.Salles de spectacle / Auditoriums : Grands pics simultanés aux entractes, mais public assis et environnement intérieur. Douches rares; durées théoriques élevées, WC mécaniques robustes malgré forts à-coups. Budgets souvent contraints et maintenance plutôt réactive. Ecarts de durée ont été resserrés : le mécanique garde un petit avantage, l'électronique reste en retrait mais sans décote excessive. Renouvellement intervient au fil des pannes puis lors des opérations de remise à niveau sanitaires. Budgets municipaux/intercommunaux et rénovation par campagnes plutôt que remplacement à la panne.Salles de conférence / Réunion : Usage intermittent par événements, faible humidité et public professionnel; pics aux pauses café. Supérieur aux salles des fêtes, car moindre alcoolisation et vandalisme. Budgets souvent contraints et maintenance plutôt réactive. Ecarts de durée ont été resserrés : le mécanique garde un petit avantage, l'électronique reste en retrait mais sans décote excessive. Le renouvellement intervient au fil des pannes puis lors des opérations de remise à niveau des sanitaires. Budgets municipaux/intercommunaux et rénovation par campagnes plutôt que remplacement à la panne.Salles polyvalentes / Salles des fêtes : Usages très variables, soirées, repas et événements associatifs; pics forts, nettoyage parfois tardif et budgets municipaux limités. Durées abaissées vs salle de réunion, surtout électronique/réservoirs. Usage public modéré à fort mais irrégulier, pics événementiels, budgets municipaux/intercommunaux limités. Remplacement à la panne.Bibliothèques / Médiathèques : Flux calme et réparti, faible humidité, surveillance et vandalisme faible. Favorable, proche musée, mais renouvellement public par cycles longs et budgets étalés. Fréquentation irrégulière mais pics élevés, Le renouvellement se fait souvent par campagnes avant ou après rénovation des halls/blocs. Usage public modéré à fort mais irrégulier, pics événementiels, budgets municipaux/intercommunaux et rénovation par campagnes plutôt que remplacement à la panne.Centres de Documentation et Consultation d’archives autonomes : Public restreint, fréquentation faible, exigence patrimoniale et humidité maîtrisée; sanitaires peu sollicités. Proche bibliothèque, électronique plus court par obsolescence que par usage. Repères durées: lavabos 12/13/9 ans (mit./méca/élec.), douches 11/11/8, urinoirs 10/12/8/10, WC 13/13/9.</t>
    </r>
  </si>
  <si>
    <r>
      <rPr>
        <b/>
        <sz val="9"/>
        <rFont val="Calibri"/>
      </rPr>
      <t>Cinémas ; Théâtres ; Salles de spectacle / Auditoriums</t>
    </r>
    <r>
      <rPr>
        <sz val="9"/>
        <rFont val="Calibri"/>
      </rPr>
      <t xml:space="preserve"> : Dans les ERP culturels à fréquentation variable, le parc existant reste d’abord temporisé mécanique, avec une progression de l’électronique dans les rénovations plus récentes.Musées ; Salles de conférence / Réunion : Musées, bibliothèques et centres de conférence ont souvent un parc un peu plus premium : le mitigeur et l’électronique y pèsent davantage que dans les autres ERP culturels. Ajustement ciblé 2025 : légère baisse du mitigeur et/ou légère hausse de l’électronique pour mieux refléter la modernisation déjà visible sur les rénovations de sanitaires communs.Salles polyvalentes / Salles des fêtes : ERP culturels à fréquentation variable : parc 2025 domine par tempo mecanique (62%), avec mitigeur manuel en appoint. Electronique dans les rénovations plus récentes. Le choix reflete frequentation discontinue avec pics evenementiels et maintenance par gestionnaire public/prive ; accueil du public, accessibilite et remise a niveau lors de renov. globales.Bibliothèques / Médiathèques : Musées, bibliothèques et centres de conférence ont souvent un parc un peu plus premium : le mitigeur et l’électronique y pèsent davantage que dans les autres ERP culturels.Centres de Documentation et Consultation d’archives autonomes : Centres de Documentation et Consultation d’archives autonomes : parc 2025 domine par tempo mecanique (62%), avec mitigeur manuel en appoint. Le choix reflete frequentation discontinue avec pics evenementiels et maintenance par gestionnaire public/prive ; accueil du public, accessibilite et remise a niveau lors de renov. globales.</t>
    </r>
  </si>
  <si>
    <r>
      <rPr>
        <b/>
        <sz val="9"/>
        <rFont val="Calibri"/>
      </rPr>
      <t>Cinémas ; Théâtres ; Musées ; Salles de spectacle / Auditoriums ; Salles de conférence / Réunion ; Bibliothèques / Médiathèques</t>
    </r>
    <r>
      <rPr>
        <sz val="9"/>
        <rFont val="Calibri"/>
      </rPr>
      <t xml:space="preserve"> : Progression mesurée de l’électronique 2025-2030 sur les ERP culturels et événementiels rénovés ; le temporisé mécanique reste important sur les flux intensifs, et le mitigeur persiste dans les sites plus patrimoniaux ou petits.Salles polyvalentes / Salles des fêtes ; Centres de Documentation et Consultation d’archives autonomes : 2025-2030 : progression de tempo electronique (+3,0%), surtout lors des renov. lourdes/neuf ; recul de mitigeur manuel (-3,0%) mais maintien d un socle robuste pour les remplacements partiels.</t>
    </r>
  </si>
  <si>
    <r>
      <rPr>
        <b/>
        <sz val="9"/>
        <rFont val="Calibri"/>
      </rPr>
      <t>Cinémas ; Musées ; Bibliothèques / Médiathèques ; Centres de Documentation et Consultation d’archives autonomes</t>
    </r>
    <r>
      <rPr>
        <sz val="9"/>
        <rFont val="Calibri"/>
      </rPr>
      <t xml:space="preserve"> : Sans objet.Théâtres : Théâtres : douches rares mais présentes dans les loges/espaces techniques ; mix équilibré entre mitigeur et temporisé mécanique.Salles de spectacle / Auditoriums : Les rares douches (artistes, personnel, PMR) restent majoritairement manuelles ou temporisées mécaniques ; l’électronique demeure marginale.Salles de conférence / Réunion : Quand des douches existent, elles relèvent surtout d’usages personnel/technique et restent majoritairement manuelles ou temporisées.Salles polyvalentes / Salles des fêtes : Salles polyvalentes / Salles des fêtes : parc 2025 domine par tempo mecanique (50%), avec mitigeur en appoint. Le choix reflete frequentation discontinue avec pics evenementiels et maintenance par gestionnaire public/prive ; accueil du public, accessibilite et remise a niveau lors de renov. globales.</t>
    </r>
  </si>
  <si>
    <r>
      <rPr>
        <b/>
        <sz val="9"/>
        <rFont val="Calibri"/>
      </rPr>
      <t>Cinémas ; Musées ; Bibliothèques / Médiathèques ; Centres de Documentation et Consultation d’archives autonomes</t>
    </r>
    <r>
      <rPr>
        <sz val="9"/>
        <rFont val="Calibri"/>
      </rPr>
      <t xml:space="preserve"> : Sans objet.Théâtres : Évolution prudente : légère montée de l’électronique dans les rénovations, sans remettre en cause le socle mitigeur/temporisé.Salles de spectacle / Auditoriums ; Salles de conférence / Réunion : Quand des douches existent, l’électronique progresse un peu dans les rénovations récentes, sans détrôner rapidement le temporisé/mécanique.Salles polyvalentes / Salles des fêtes : 2025-2030 : progression de tempo electronique (+3,0%), surtout lors des renov. lourdes/neuf ; recul de mitigeur (-5,0%) mais maintien d un socle robuste pour les remplacements partiels.</t>
    </r>
  </si>
  <si>
    <r>
      <rPr>
        <b/>
        <sz val="9"/>
        <rFont val="Calibri"/>
      </rPr>
      <t>Cinémas ; Théâtres ; Salles de spectacle / Auditoriums</t>
    </r>
    <r>
      <rPr>
        <sz val="9"/>
        <rFont val="Calibri"/>
      </rPr>
      <t xml:space="preserve"> : Les urinoirs relèvent surtout de la chasse directe mécanique, avec une part encore notable de collectifs anciens dans certains sites.Musées ; Salles de conférence / Réunion ; Bibliothèques / Médiathèques : L’automatique est plus fréquent que dans le culturel 'classique', mais le parc en stock reste encore mixte.Salles polyvalentes / Salles des fêtes : Salles polyvalentes / Salles des fêtes : parc 2025 domine par directe mecanique (55%), avec directe electronique collective en appoint. Le choix reflete frequentation discontinue avec pics evenementiels et maintenance par gestionnaire public/prive ; accueil du public, accessibilite et remise a niveau lors de renov. globales.Centres de Documentation et Consultation d’archives autonomes : Centres de Documentation et Consultation d’archives autonomes : parc 2025 domine par directe mecanique (55%), avec directe electronique collective en appoint. Le choix reflete frequentation discontinue avec pics evenementiels et maintenance par gestionnaire public/prive ; accueil du public, accessibilite et remise a niveau lors de renov. globales.</t>
    </r>
  </si>
  <si>
    <r>
      <rPr>
        <b/>
        <sz val="9"/>
        <rFont val="Calibri"/>
      </rPr>
      <t>Cinémas ; Théâtres ; Musées ; Salles de spectacle / Auditoriums ; Salles de conférence / Réunion ; Bibliothèques / Médiathèques</t>
    </r>
    <r>
      <rPr>
        <sz val="9"/>
        <rFont val="Calibri"/>
      </rPr>
      <t xml:space="preserve"> : Réservoirs et systèmes collectifs anciens reculent ; l’automatique gagne du terrain dans les rénovations de sites recevant du public.Salles polyvalentes / Salles des fêtes ; Centres de Documentation et Consultation d’archives autonomes : 2025-2030 : progression de directe electronique indiv. (+3,0%), surtout lors des renov. lourdes/neuf ; recul de a reservoir (-2,0%) mais maintien d un socle robuste pour les remplacements partiels.</t>
    </r>
  </si>
  <si>
    <r>
      <rPr>
        <b/>
        <sz val="9"/>
        <rFont val="Calibri"/>
      </rPr>
      <t>Cinémas ; Théâtres ; Salles de spectacle / Auditoriums</t>
    </r>
    <r>
      <rPr>
        <sz val="9"/>
        <rFont val="Calibri"/>
      </rPr>
      <t xml:space="preserve"> : Le parc WC est partagé entre réservoir et chasse directe ; cette dernière progresse dans les rénovations pour mieux tenir l’usage public.Musées ; Salles de conférence / Réunion ; Bibliothèques / Médiathèques : Le réservoir reste majoritaire dans les petits sites ; la chasse directe et l’électronique progressent dans les établissements récents.Salles polyvalentes / Salles des fêtes : Salles polyvalentes / Salles des fêtes : parc 2025 domine par reservoir (45%), avec chasse directe mecanique en appoint. Le choix reflete frequentation discontinue avec pics evenementiels et maintenance par gestionnaire public/prive ; accueil du public, accessibilite et remise a niveau lors de renov. globales.Centres de Documentation et Consultation d’archives autonomes : Centres de Documentation et Consultation d’archives autonomes : parc 2025 domine par reservoir (45%), avec chasse directe mecanique en appoint. Le choix reflete frequentation discontinue avec pics evenementiels et maintenance par gestionnaire public/prive ; accueil du public, accessibilite et remise a niveau lors de renov. globales.</t>
    </r>
  </si>
  <si>
    <r>
      <rPr>
        <b/>
        <sz val="9"/>
        <rFont val="Calibri"/>
      </rPr>
      <t>Cinémas ; Théâtres ; Musées ; Salles de spectacle / Auditoriums ; Salles de conférence / Réunion ; Bibliothèques / Médiathèques</t>
    </r>
    <r>
      <rPr>
        <sz val="9"/>
        <rFont val="Calibri"/>
      </rPr>
      <t xml:space="preserve"> : Le réservoir poursuit son reflux au profit du direct et, plus marginalement, de l’électronique sur les rénovations de sanitaires publics.Salles polyvalentes / Salles des fêtes ; Centres de Documentation et Consultation d’archives autonomes : 2025-2030 : progression de chasse directe electronique (+5,0%), surtout lors des renov. lourdes/neuf ; recul de reservoir (-10,0%) mais maintien d un socle robuste pour les remplacements partiels.</t>
    </r>
  </si>
  <si>
    <r>
      <rPr>
        <b/>
        <sz val="9"/>
        <rFont val="Calibri"/>
      </rPr>
      <t>Cinémas ; Théâtres ; Musées ; Salles de spectacle / Auditoriums ; Salles de conférence / Réunion ; Bibliothèques / Médiathèques</t>
    </r>
    <r>
      <rPr>
        <sz val="9"/>
        <rFont val="Calibri"/>
      </rPr>
      <t xml:space="preserve"> : 82,9% retenu : part des besoins réellement transformée en travaux sur 2026-2030 après prise en compte des budgets, du phasage et des arbitrages locaux.Salles polyvalentes / Salles des fêtes ; Centres de Documentation et Consultation d’archives autonomes : 77,3% retenu : besoins transformes en travaux selon frequentation discontinue avec pics evenementiels et maintenance par gestionnaire public/prive. Le phasage budgetaire, les fermetures partielles et la maintenance courante limitent la conversion totale.</t>
    </r>
  </si>
  <si>
    <r>
      <rPr>
        <b/>
        <sz val="9"/>
        <rFont val="Calibri"/>
      </rPr>
      <t>Cinémas</t>
    </r>
    <r>
      <rPr>
        <sz val="9"/>
        <rFont val="Calibri"/>
      </rPr>
      <t xml:space="preserve"> : Potentiel rénovation moyen à soutenu : refits réguliers des espaces publics, image d’accueil et usure d’exploitation, plus que vagues de construction neuve. Les volumes restent d’abord tirés par les WC et les lavabos, plus que par les postes spécialisés. En rénovation, le marché reste orienté vers des gammes fiables, disponibles et rapides à poser afin de limiter l’arrêt d’exploitation.Théâtres ; Musées : Potentiel rénovation moyen à soutenu : fort sur des actifs souvent anciens, avec enjeu d’accessibilité, confort visiteurs, adaptation climatique et parfois protection patrimoniale. Les volumes restent d’abord tirés par les WC et les lavabos, plus que par les postes spécialisés. En rénovation, le marché reste favorable aux gammes robustes et simples d’entretien, compatibles avec des chantiers par tranches et des budgets contraints.Salles de spectacle / Auditoriums : Potentiel rénovation moyen à soutenu : fort sur des actifs souvent anciens, avec enjeu d’accessibilité, confort visiteurs, adaptation climatique et parfois protection patrimoniale. Les lavabos et les WC portent l’essentiel des volumes, avec un poids secondaire des équipements spécialisés. En rénovation, le marché reste favorable aux gammes robustes et simples d’entretien, compatibles avec des chantiers par tranches et des budgets contraints.Salles de conférence / Réunion : Potentiel rénovation élevé : fort sur des actifs souvent anciens, avec enjeu d’accessibilité, confort visiteurs, adaptation climatique et parfois protection patrimoniale. Les lavabos et les WC portent l’essentiel des volumes, avec un poids secondaire des équipements spécialisés. En rénovation, le marché reste favorable aux gammes robustes et simples d’entretien, compatibles avec des chantiers par tranches et des budgets contraints.Salles polyvalentes / Salles des fêtes ; Centres de Documentation et Consultation d’archives autonomes : Potentiel renovation : tire par accueil du public, accessibilite et remise a niveau lors de renov. globales. Les remplacements sont plutot par lots, avec arbitrage entre urgence sanitaire, budget et capacite a intervenir en site occupe.Bibliothèques / Médiathèques : Potentiel rénovation élevé : fort sur des actifs souvent anciens, avec enjeu d’accessibilité, confort visiteurs, adaptation climatique et parfois protection patrimoniale. Les volumes restent d’abord tirés par les WC et les lavabos, plus que par les postes spécialisés. En rénovation, le marché reste favorable aux gammes robustes et simples d’entretien, compatibles avec des chantiers par tranches et des budgets contraints.</t>
    </r>
  </si>
  <si>
    <r>
      <rPr>
        <b/>
        <sz val="9"/>
        <rFont val="Calibri"/>
      </rPr>
      <t>Cinémas</t>
    </r>
    <r>
      <rPr>
        <sz val="9"/>
        <rFont val="Calibri"/>
      </rPr>
      <t xml:space="preserve"> : Potentiel neuf faible à moyen : quelques ouvertures/reconfigurations de multiplexes ou loisirs mixtes existent, mais le marché reste très sélectif. Le neuf est très minoritaire et opportuniste.Théâtres : Potentiel neuf moyen : les opérations neuves existent mais restent rares et concentrées sur quelques priorités locales ou grands équipements. Le neuf est réel mais secondaire.Musées ; Bibliothèques / Médiathèques : Potentiel neuf faible : les opérations neuves existent mais restent rares et concentrées sur quelques priorités locales ou grands équipements. Le neuf est quasi nul dans le modèle et renvoie surtout à des reconstructions ou remplacements de sites.Salles de spectacle / Auditoriums ; Salles de conférence / Réunion : Potentiel neuf moyen : les opérations neuves existent mais restent rares et concentrées sur quelques priorités locales ou grands équipements. Le neuf est significatif mais encore nettement inférieur à la rénovation.Salles polyvalentes / Salles des fêtes : Potentiel neuf : limite pour salles polyvalentes / salles des fêtes, surtout via extensions, reconstructions ou projets locaux. Le neuf reste contraint par foncier, budgets et delais de mise en service.Centres de Documentation et Consultation d’archives autonomes : Potentiel neuf : limite pour centres de documentation et consultation d’archives autonomes, surtout via extensions, reconstructions ou projets locaux. Le neuf reste contraint par foncier, budgets et delais de mise en service.</t>
    </r>
  </si>
  <si>
    <r>
      <rPr>
        <b/>
        <sz val="9"/>
        <rFont val="Calibri"/>
      </rPr>
      <t>Cinémas</t>
    </r>
    <r>
      <rPr>
        <sz val="9"/>
        <rFont val="Calibri"/>
      </rPr>
      <t xml:space="preserve"> : Projets phares réno : halls, sanitaires spectateurs, espaces premium, remises à niveau accessibilité et confort.Théâtres ; Musées ; Salles de spectacle / Auditoriums ; Salles de conférence / Réunion ; Bibliothèques / Médiathèques : Projets phares réno : halls et sanitaires publics, réhabilitation patrimoniale, accessibilité, rénovation énergétique, modernisation des espaces d’accueil.Salles polyvalentes / Salles des fêtes ; Centres de Documentation et Consultation d’archives autonomes : Projets phares renovation : reprise de blocs sanitaires, accessibilite, ventilation, economie d eau, remplacement des pieces usees et adaptation aux pics de frequentation propres au sous-segment.</t>
    </r>
  </si>
  <si>
    <r>
      <rPr>
        <b/>
        <sz val="9"/>
        <rFont val="Calibri"/>
      </rPr>
      <t>Cinémas</t>
    </r>
    <r>
      <rPr>
        <sz val="9"/>
        <rFont val="Calibri"/>
      </rPr>
      <t xml:space="preserve"> : Projets phares neuf : complexes de loisirs/commerces avec cinéma, reprises de friches commerciales, opérations de destination.Théâtres ; Musées ; Salles de spectacle / Auditoriums ; Salles de conférence / Réunion ; Bibliothèques / Médiathèques : Projets phares neuf : médiathèques, auditoriums, équipements culturels de quartier, extensions ou requalifications d’équipements publics.Salles polyvalentes / Salles des fêtes ; Centres de Documentation et Consultation d’archives autonomes : Projets phares neuf : creations ou reconstructions selectives, integration de sanitaires plus sobres, robustes et faciles a maintenir des la conception.</t>
    </r>
  </si>
  <si>
    <r>
      <rPr>
        <b/>
        <sz val="9"/>
        <rFont val="Calibri"/>
      </rPr>
      <t>Cinémas</t>
    </r>
    <r>
      <rPr>
        <sz val="9"/>
        <rFont val="Calibri"/>
      </rPr>
      <t xml:space="preserve"> : Dynamique réno 2026-2030 : supérieure au neuf, car les exploitants privilégient le refresh pour soutenir la fréquentation.Théâtres ; Salles de spectacle / Auditoriums ; Salles de conférence / Réunion ; Bibliothèques / Médiathèques : Dynamique réno 2026-2030 : élevée, car elle s’inscrit dans les politiques de sobriété énergétique et de confort du public.Musées : Dynamique réno 2026-2030 : élevée, car elle s’inscrit dans les politiques de sobriété énergétique et de confort du public. La protection patrimoniale peut toutefois allonger les études et décaler les remplacements.Salles polyvalentes / Salles des fêtes ; Centres de Documentation et Consultation d’archives autonomes : Dynamique renovation 2026-2030 : moderee, car l usure et l hygiene rendent les interventions recurrentes. Menaces : arbitrages d investissement, travaux en exploitation et cout de maintenance.</t>
    </r>
  </si>
  <si>
    <r>
      <rPr>
        <b/>
        <sz val="9"/>
        <rFont val="Calibri"/>
      </rPr>
      <t>Cinémas</t>
    </r>
    <r>
      <rPr>
        <sz val="9"/>
        <rFont val="Calibri"/>
      </rPr>
      <t xml:space="preserve"> : Dynamique neuf 2026-2030 : faible à modérée ; peu de grands projets, avec un vrai écart entre intention immobilière et exécution.Théâtres ; Musées ; Salles de spectacle / Auditoriums ; Salles de conférence / Réunion ; Bibliothèques / Médiathèques : Dynamique neuf 2026-2030 : ponctuelle et très dépendante de la volonté politique locale ; les projets vitrines sortent, mais la masse reste en rénovation.Salles polyvalentes / Salles des fêtes ; Centres de Documentation et Consultation d’archives autonomes : Dynamique neuf 2026-2030 : faible a moderee, dependante des projets immobiliers, de la demographie locale et des budgets de maitrise d ouvrage.</t>
    </r>
  </si>
  <si>
    <t>https://sante.gouv.fr/actualites/presse/communiques-de-presse/article/acces-aux-soins-dans-les-territoires-agnes-firmin-le-bodo-a-annonce-le-plan-d
https://www.projetdeloi.sante.gouv.fr/grands-dossiers/un-meilleur-acces-aux-soins-pour-tous-sur-le-territoire/article/pacte-de-lutte-contre-les-deserts-medicaux-151-zones-prioritaires-identifiees
https://sante.gouv.fr/actualites-presse/presse/communiques-de-presse/article/campagne-tarifaire-et-budgetaire-2026-des-etablissements-de-sante-3-6-milliards
https://sante.gouv.fr/systeme-de-sante/segur-de-la-sante/investissement-en-sante-une-nouvelle-politique-au-service-de-la-qualite-des-11226/csis
https://sante.gouv.fr/soins-et-maladies/qualite-securite-et-pertinence-des-soins/securite-des-prises-en-charge/securite-des-soins-et-des-patients/article/ameliorer-la-securite-des-patients-et-des-residents-la-1ere-feuille-de-route
https://www.statistiques.developpement-durable.gouv.fr/construction-de-locaux-resultats-fin-janvier-2026-france-entiere
https://www.insee.fr/fr/statistiques/8671745
https://www.insee.fr/fr/statistiques/8906564</t>
  </si>
  <si>
    <r>
      <rPr>
        <b/>
        <sz val="9"/>
        <rFont val="Calibri"/>
      </rPr>
      <t>Cinémas ; Théâtres ; Musées ; Bibliothèques / Médiathèques</t>
    </r>
    <r>
      <rPr>
        <sz val="9"/>
        <rFont val="Calibri"/>
      </rPr>
      <t xml:space="preserve"> : Moyenne+Salles de spectacle / Auditoriums ; Salles de conférence / Réunion ; Salles polyvalentes / Salles des fêtes ; Centres de Documentation et Consultation d’archives autonomes : Bonne</t>
    </r>
  </si>
  <si>
    <r>
      <rPr>
        <b/>
        <sz val="9"/>
        <rFont val="Calibri"/>
      </rPr>
      <t>Cinémas</t>
    </r>
    <r>
      <rPr>
        <sz val="9"/>
        <rFont val="Calibri"/>
      </rPr>
      <t xml:space="preserve"> : Parc existant surtout intermédiaire. Les ventes se décalent légèrement vers intermédiaire, du fait de budgets et de rénovations menées surtout par lots. La rénovation restant majoritaire, le mix de ventes reste proche du parc et monte surtout d’un cran sur les opérations lourdes. Équipements culturels ou événementiels d’image : meilleur niveau de finition et d’expérience usager, surtout sur les rénovations lourdes et extensions.Théâtres ; Musées ; Bibliothèques / Médiathèques : Parc existant surtout standard. Les ventes restent proches du parc, centré sur intermédiaire / standard, du fait de budgets et de rénovations menées surtout par lots. La rénovation restant majoritaire, le mix de ventes reste proche du parc et monte surtout d’un cran sur les opérations lourdes. Culture/patrimoine : arbitrage permanent entre image d’accueil, contraintes patrimoniales et budgets publics, d’où un mix centre de gravité standard/intermédiaire.Salles de spectacle / Auditoriums : Salles de spectacle / auditoriums : parc plutôt public ou délégataire, avec logique d’accueil et d’image mais budgets encadrés ; le centre de gravité reste moyen/premium, plus élevé sur les sanitaires visibles du public que sur les zones back-of-house. Ventes 2026-2030 : progression surtout du premium+luxe sur lavabo (+19,3 pts), douche (+18,1 pts) et WC (+17,8 pts), portée par rénovations d’accueil, accessibilité, requalification thermique et renouvellement d’équipements dans les salles culturelles. La rénovation reste dominante (72% des ventes) ; le neuf reste minoritaire mais plus haut de gamme, ce qui crée un écart net entre neuf et rénovation.Salles de conférence / Réunion : Salles de conférence / réunion : sous-segment hétérogène mais mieux borné par les codes du tertiaire événementiel ; parc centré sur basique/moyen avec montée vers premium dans les sites récents, congrès et corporate. Ventes 2026-2030 : progression surtout du premium+luxe sur lavabo (+13,6 pts), douche (+12,4 pts) et WC (+12,0 pts), sous l’effet des rénovations de halls, espaces meeting et standards d’image. La rénovation reste dominante (72% des ventes) ; le neuf est plus qualitatif que la rénovation.Salles polyvalentes / Salles des fêtes : Parc existant centre sur le niveau mid, avec ventes 2026-2030 legerement plus qualitatives. Salles polyvalentes / Salles des fêtes : frequentation discontinue avec pics evenementiels et maintenance par gestionnaire public/prive; le mix reste guide par accueil du public, accessibilite et remise a niveau lors de renov. globales.Centres de Documentation et Consultation d’archives autonomes : Parc existant centre sur le niveau mid, avec ventes 2026-2030 legerement plus qualitatives. Centres de Documentation et Consultation d’archives autonomes : frequentation discontinue avec pics evenementiels et maintenance par gestionnaire public/prive; le mix reste guide par accueil du public, accessibilite et remise a niveau lors de renov. globales.</t>
    </r>
  </si>
  <si>
    <r>
      <rPr>
        <b/>
        <sz val="9"/>
        <rFont val="Calibri"/>
      </rPr>
      <t>Cinémas</t>
    </r>
    <r>
      <rPr>
        <sz val="9"/>
        <rFont val="Calibri"/>
      </rPr>
      <t xml:space="preserve"> : ±6 ptsThéâtres ; Musées ; Salles de spectacle / Auditoriums ; Salles de conférence / Réunion ; Bibliothèques / Médiathèques : ±5 ptsSalles polyvalentes / Salles des fêtes ; Centres de Documentation et Consultation d’archives autonomes : ±4 pts</t>
    </r>
  </si>
  <si>
    <r>
      <rPr>
        <b/>
        <sz val="9"/>
        <rFont val="Calibri"/>
      </rPr>
      <t>Cinémas ; Salles de spectacle / Auditoriums</t>
    </r>
    <r>
      <rPr>
        <sz val="9"/>
        <rFont val="Calibri"/>
      </rPr>
      <t xml:space="preserve"> : MoyenneThéâtres ; Musées ; Salles de conférence / Réunion ; Bibliothèques / Médiathèques : Moyenne +Salles polyvalentes / Salles des fêtes ; Centres de Documentation et Consultation d’archives autonomes : Bonne</t>
    </r>
  </si>
  <si>
    <r>
      <rPr>
        <b/>
        <sz val="9"/>
        <rFont val="Calibri"/>
      </rPr>
      <t>Cinémas</t>
    </r>
    <r>
      <rPr>
        <sz val="9"/>
        <rFont val="Calibri"/>
      </rPr>
      <t xml:space="preserve"> : Équipements culturels ou événementiels d’image : meilleur niveau de finition et d’expérience usager, surtout sur les rénovations lourdes et extensions.Théâtres ; Musées ; Bibliothèques / Médiathèques : Culture/patrimoine : arbitrage permanent entre image d’accueil, contraintes patrimoniales et budgets publics, d’où un mix centre de gravité standard/intermédiaire.Salles de spectacle / Auditoriums ; Salles de conférence / Réunion : Sous-segments publics/événementiels à image, mais sous contrainte de maintenance et de flux ; le parc se situe surtout en moyen/premium.Salles polyvalentes / Salles des fêtes ; Centres de Documentation et Consultation d’archives autonomes : Parc existant : accueil du public, accessibilite et remise a niveau lors de renov. globales; frequentation discontinue avec pics evenementiels et maintenance par gestionnaire public/prive. La montee en confort reste proportionnee au budget et au rythme de renovation.</t>
    </r>
  </si>
  <si>
    <r>
      <rPr>
        <b/>
        <sz val="9"/>
        <rFont val="Calibri"/>
      </rPr>
      <t>Cinémas ; Théâtres ; Musées ; Bibliothèques / Médiathèques</t>
    </r>
    <r>
      <rPr>
        <sz val="9"/>
        <rFont val="Calibri"/>
      </rPr>
      <t xml:space="preserve"> : image d’accueil ⇒ intermédiaire/premium ↑ ; rénovation dominante ⇒ progression graduelleSalles de spectacle / Auditoriums ; Salles de conférence / Réunion : image + accueil public ⇒ moyen/premium ↑ ; rénovation majoritaire ⇒ amélioration graduelle ; coût global et maintenance contiennent le luxeSalles polyvalentes / Salles des fêtes ; Centres de Documentation et Consultation d’archives autonomes : renovation dominante =&gt; progression graduelle</t>
    </r>
  </si>
  <si>
    <r>
      <rPr>
        <b/>
        <sz val="9"/>
        <rFont val="Calibri"/>
      </rPr>
      <t>Cinémas</t>
    </r>
    <r>
      <rPr>
        <sz val="9"/>
        <rFont val="Calibri"/>
      </rPr>
      <t xml:space="preserve"> : Cinémas : cinémas intégrés à des réseaux ou à des sites commerciaux, avec attentes d’image homogènes. Ventes 2026-2030 : glissement vers davantage de moyen / premium, surtout sur lavabo (+16,1 pts sur premium+luxe), WC (+15,2 pts sur premium+luxe), urinoir (+13,5 pts sur premium+luxe). La rénovation reste majoritaire (83% des ventes, contre 17% en neuf) ; le neuf tire le mix vers le haut sans renverser le centre de gravité. L’écart de niveau de confort entre neuf et rénovation est net.Théâtres : Théâtres : théâtres souvent patrimoniaux, où le sanitaire est rénové par tranches. Ventes 2026-2030 : glissement vers davantage de moyen / premium, surtout sur lavabo (+12,5 pts sur premium+luxe), WC (+11,1 pts sur premium+luxe), urinoir (+8,5 pts sur premium+luxe). La rénovation reste majoritaire (78% des ventes, contre 22% en neuf) ; le neuf tire le mix vers le haut sans renverser le centre de gravité. L’écart de niveau de confort entre neuf et rénovation est net.Musées : Musées : musées sous contraintes patrimoniales et budgets publics, avec qualité visible surtout dans les grands projets. Ventes 2026-2030 : glissement vers davantage de moyen / premium, surtout sur lavabo (+10,3 pts sur premium+luxe), WC (+9,0 pts sur premium+luxe), urinoir (+6,8 pts sur premium+luxe). La rénovation reste majoritaire (84% des ventes, contre 16% en neuf) ; le neuf tire le mix vers le haut sans renverser le centre de gravité. L’écart de niveau de confort entre neuf et rénovation est net.Salles de spectacle / Auditoriums : Salles de spectacle / auditoriums : parc plutôt public ou délégataire, avec logique d’accueil et d’image mais budgets encadrés ; le centre de gravité reste moyen/premium, plus élevé sur les sanitaires visibles du public que sur les zones back-of-house. Ventes 2026-2030 : progression surtout du premium+luxe sur lavabo (+19,3 pts), douche (+18,1 pts) et WC (+17,8 pts), portée par rénovations d’accueil, accessibilité, requalification thermique et renouvellement d’équipements dans les salles culturelles. La rénovation reste dominante (72% des ventes) ; le neuf reste minoritaire mais plus haut de gamme, ce qui crée un écart net entre neuf et rénovation.Salles de conférence / Réunion : Salles de conférence / réunion : sous-segment hétérogène mais mieux borné par les codes du tertiaire événementiel ; parc centré sur basique/moyen avec montée vers premium dans les sites récents, congrès et corporate. Ventes 2026-2030 : progression surtout du premium+luxe sur lavabo (+13,6 pts), douche (+12,4 pts) et WC (+12,0 pts), sous l’effet des rénovations de halls, espaces meeting et standards d’image. La rénovation reste dominante (72% des ventes) ; le neuf est plus qualitatif que la rénovation.Salles polyvalentes / Salles des fêtes : Salles polyvalentes / Salles des fêtes : ventes 2026-2030 en leger glissement vers moyen/premium lorsque le neuf ou les renov. lourdes interviennent. Le centre de gravite reste toutefois module par accueil du public, accessibilite et remise a niveau lors de renov. globales et par la part dominante de travaux sur parc existant.Bibliothèques / Médiathèques : Bibliothèques / médiathèques : bibliothèques/médiathèques rénovées par programmes publics, souvent sur un standard qualitatif maîtrisé. Ventes 2026-2030 : glissement vers davantage de moyen / premium, surtout sur lavabo (+9,0 pts sur premium+luxe), WC (+7,7 pts sur premium+luxe), urinoir (+5,6 pts sur premium+luxe). La rénovation reste très majoritaire (85% des ventes, contre 15% en neuf) ; le neuf est plus qualitatif mais ne suffit pas à transformer fortement le mix. L’écart de niveau de confort entre neuf et rénovation est net.Centres de Documentation et Consultation d’archives autonomes : Centres de Documentation et Consultation d’archives autonomes : ventes 2026-2030 en leger glissement vers moyen/premium lorsque le neuf ou les renov. lourdes interviennent. Le centre de gravite reste toutefois module par accueil du public, accessibilite et remise a niveau lors de renov. globales et par la part dominante de travaux sur parc existant.</t>
    </r>
  </si>
  <si>
    <t>1 - Foires / Salons
2 - Halls d’exposition</t>
  </si>
  <si>
    <r>
      <rPr>
        <b/>
        <sz val="9"/>
        <rFont val="Calibri"/>
      </rPr>
      <t>Foires / Salons</t>
    </r>
    <r>
      <rPr>
        <sz val="9"/>
        <rFont val="Calibri"/>
      </rPr>
      <t xml:space="preserve"> : Manifestations commerciales ou thématiques.Halls d’exposition : Expositions temporaires ou permanentes.</t>
    </r>
  </si>
  <si>
    <r>
      <rPr>
        <b/>
        <sz val="9"/>
        <rFont val="Calibri"/>
      </rPr>
      <t>Foires / Salons</t>
    </r>
    <r>
      <rPr>
        <sz val="9"/>
        <rFont val="Calibri"/>
      </rPr>
      <t xml:space="preserve"> : Salon professionnel, foireHalls d’exposition : Hall d’exposition</t>
    </r>
  </si>
  <si>
    <r>
      <rPr>
        <b/>
        <sz val="9"/>
        <rFont val="Calibri"/>
      </rPr>
      <t>Foires / Salons</t>
    </r>
    <r>
      <rPr>
        <sz val="9"/>
        <rFont val="Calibri"/>
      </rPr>
      <t xml:space="preserve"> : proxy grands sites accueillant salons et foires. Dynamique projetée 2027-2030: stable. Fiabilité: moyenne.Halls d’exposition : proxy centres d’exposition. Dynamique projetée 2027-2030: stable. Fiabilité: moyenne.</t>
    </r>
  </si>
  <si>
    <r>
      <rPr>
        <b/>
        <sz val="9"/>
        <rFont val="Calibri"/>
      </rPr>
      <t>Foires / Salons</t>
    </r>
    <r>
      <rPr>
        <sz val="9"/>
        <rFont val="Calibri"/>
      </rPr>
      <t xml:space="preserve"> : Capacité type ≈ 2125 usagers principaux + 250 staff + 125 exposants/prestataires. Le programme sanitaire est construit par blocs fonctionnels plausibles (public, personnel, exploitation/hébergement selon le cas) et non par simple ratio national moyen. Calibrage selon capacité simultanée, répartition de flux et organisation réelle du site.Halls d’exposition : Capacité type ≈ 1530 usagers principaux + 180 staff + 90 exposants/prestataires. Le programme sanitaire est construit par blocs fonctionnels plausibles (public, personnel, exploitation/hébergement selon le cas) et non par simple ratio national moyen. Calibrage selon capacité simultanée, répartition de flux et organisation réelle du site.</t>
    </r>
  </si>
  <si>
    <r>
      <rPr>
        <b/>
        <sz val="9"/>
        <rFont val="Calibri"/>
      </rPr>
      <t>Foires / Salons</t>
    </r>
    <r>
      <rPr>
        <sz val="9"/>
        <rFont val="Calibri"/>
      </rPr>
      <t xml:space="preserve"> : Profil très grand, capacité moyenne ≈ 2500 personnes. Moyenne pondérée terrain : parc majoritairement petits/moyens sites, grands sites intégrés sans surpondération ; usage 2025 modérée à forte par pics.Halls d’exposition : Profil très grand, capacité moyenne ≈ 1800 personnes. Moyenne pondérée terrain : parc majoritairement petits/moyens sites, grands sites intégrés sans surpondération ; usage 2025 modérée à forte par pics.</t>
    </r>
  </si>
  <si>
    <r>
      <rPr>
        <b/>
        <sz val="9"/>
        <rFont val="Calibri"/>
      </rPr>
      <t>Foires / Salons</t>
    </r>
    <r>
      <rPr>
        <sz val="9"/>
        <rFont val="Calibri"/>
      </rPr>
      <t xml:space="preserve"> : Fréquentation irrégulière mais pics très élevés, chocs d'usage et remises en service rapides. Les durées réelles descendent surtout sur mitigeurs et électroniques. Les temporisés mécaniques et les chasses directes mécaniques résistent mieux à ces pics. Le renouvellement se fait souvent par campagnes avant ou après rénovation des halls/blocs. Culture / conférence / exposition : Usage public modéré à fort mais irrégulier, pics événementiels, budgets municipaux/intercommunaux et rénovation par campagnes plutôt que remplacement à la panne.Halls d’exposition : Montages/démontages, stockage, transport et remise en service raccourcissent la durée réelle au-delà du seul usage hydraulique. Les technologies mécaniques simples restent les plus stables. L'électronique souffre davantage des raccordements, de l'humidité et des chocs de manutention. Remplacements souvent par lots pour homogénéiser les parcs. Sites saisonniers / montagne / camping / flottants : Moins de cycles annuels mais conditions climatiques/corrosives, hivernage et remises en service. maintenance concentrée et hétérogène.</t>
    </r>
  </si>
  <si>
    <r>
      <rPr>
        <b/>
        <sz val="9"/>
        <rFont val="Calibri"/>
      </rPr>
      <t>Cinémas</t>
    </r>
    <r>
      <rPr>
        <sz val="9"/>
        <rFont val="Calibri"/>
      </rPr>
      <t xml:space="preserve"> : </t>
    </r>
    <r>
      <rPr>
        <sz val="9"/>
        <rFont val="Calibri"/>
      </rPr>
      <t>https://www.statistiques.developpement-durable.gouv.fr/construction-de-locaux-resultats-fin-janvier-2026-france-entiere
https://www.insee.fr/fr/statistiques/8671745
https://www.insee.fr/fr/statistiques/8906564Théâtres ; Musées ; Salles de spectacle / Auditoriums ; Salles de conférence / Réunion ; Salles polyvalentes / Salles des fêtes ; Bibliothèques / Médiathèques ; Centres de Documentation et Consultation d’archives autonomes :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t>
    </r>
  </si>
  <si>
    <r>
      <rPr>
        <b/>
        <sz val="9"/>
        <rFont val="Calibri"/>
      </rPr>
      <t>Foires / Salons</t>
    </r>
    <r>
      <rPr>
        <sz val="9"/>
        <rFont val="Calibri"/>
      </rPr>
      <t xml:space="preserve"> : Foires / salons : parc vaste mais assez lisible car dominé par des halls et équipements gérés de façon professionnelle, avec priorité à la robustesse, au flux et à l’image d’accueil. Ventes 2026-2030 : montée du moyen/premium plutôt dans les zones visiteurs et VIP, plus limitée dans les zones techniques ; l’écart neuf/rénovation existe mais reste contenu car le fonctionnel et la maintenance pèsent fortement.Halls d’exposition : Halls d’exposition : mix confort piloté par la gestion de flux, la maintenance et l’image d’accueil sur les zones publiques ; le parc reste centré sur moyen/premium, sans bascule massive vers le luxe. Ventes 2026-2030 : progression graduelle du premium dans les rénovations visibles et les extensions, avec un neuf plus qualitatif que la rénovation mais une forte inertie du parc.</t>
    </r>
  </si>
  <si>
    <t>1 - Chapiteaux / Tentes / Structures
2 - Structures gonflables</t>
  </si>
  <si>
    <r>
      <rPr>
        <b/>
        <sz val="9"/>
        <rFont val="Calibri"/>
      </rPr>
      <t>Chapiteaux / Tentes / Structures</t>
    </r>
    <r>
      <rPr>
        <sz val="9"/>
        <rFont val="Calibri"/>
      </rPr>
      <t xml:space="preserve"> : CTSStructures gonflables : SG</t>
    </r>
  </si>
  <si>
    <r>
      <rPr>
        <b/>
        <sz val="9"/>
        <rFont val="Calibri"/>
      </rPr>
      <t>Chapiteaux / Tentes / Structures</t>
    </r>
    <r>
      <rPr>
        <sz val="9"/>
        <rFont val="Calibri"/>
      </rPr>
      <t xml:space="preserve"> : Structures temporaires recevant du public.Structures gonflables : Installations gonflables ouvertes au public.</t>
    </r>
  </si>
  <si>
    <r>
      <rPr>
        <b/>
        <sz val="9"/>
        <rFont val="Calibri"/>
      </rPr>
      <t>Chapiteaux / Tentes / Structures</t>
    </r>
    <r>
      <rPr>
        <sz val="9"/>
        <rFont val="Calibri"/>
      </rPr>
      <t xml:space="preserve"> : Chapiteau de cirque, tente événementielleStructures gonflables : Parc - château - parc aquatique - centre indoor gonflable autonome avec base d’accueil</t>
    </r>
  </si>
  <si>
    <r>
      <rPr>
        <b/>
        <sz val="9"/>
        <rFont val="Calibri"/>
      </rPr>
      <t>Chapiteaux / Tentes / Structures</t>
    </r>
    <r>
      <rPr>
        <sz val="9"/>
        <rFont val="Calibri"/>
      </rPr>
      <t xml:space="preserve"> : Structures exploités comme sites autonomes recevant du public avec sanitaires intégrés. Sont exclus les montages événementiels reposant sur les sanitaires du site hôte déjà compté ailleurs.Structures gonflables : Chiffrage vise uniquement les sites autonomes ou clairement dotés de leurs propres sanitaires recevant du public (campings, parcs de loisirs, fêtes locales, bases nautiques).</t>
    </r>
  </si>
  <si>
    <r>
      <rPr>
        <b/>
        <sz val="9"/>
        <rFont val="Calibri"/>
      </rPr>
      <t>Chapiteaux / Tentes / Structures</t>
    </r>
    <r>
      <rPr>
        <sz val="9"/>
        <rFont val="Calibri"/>
      </rPr>
      <t xml:space="preserve"> : Projection 2026-2030 en hausse très modérée. Fiabilité: moyenne.Structures gonflables : 2026-30 faible hausse =&gt; secteur continue à se développer. Part de sites réellement autonomes avec sanitaires bien plus restreinte que le volume total d’implantations temporaires ou hébergées.</t>
    </r>
  </si>
  <si>
    <r>
      <rPr>
        <b/>
        <sz val="9"/>
        <rFont val="Calibri"/>
      </rPr>
      <t>Chapiteaux / Tentes / Structures</t>
    </r>
    <r>
      <rPr>
        <sz val="9"/>
        <rFont val="Calibri"/>
      </rPr>
      <t xml:space="preserve"> : https://www.legifrance.gouv.fr/codes/section_lc/JORFTEXT000000290033/LEGISCTA000020303822/Structures gonflables : https://www.economie.gouv.fr/dgccrf/laction-de-la-dgccrf/les-enquetes-et-les-controles/structures-gonflables-des-controles-renforces-pour-garantir-la-securite-du-public ; https://www.economie.gouv.fr/node/3234953</t>
    </r>
  </si>
  <si>
    <r>
      <rPr>
        <b/>
        <sz val="9"/>
        <rFont val="Calibri"/>
      </rPr>
      <t>Chapiteaux / Tentes / Structures</t>
    </r>
    <r>
      <rPr>
        <sz val="9"/>
        <rFont val="Calibri"/>
      </rPr>
      <t xml:space="preserve"> : Chapiteau/structure temporaire : sanitaires publics permanents ou mobiles raccordés + staff. Douche très ponctuelle artistes/staff selon événement.Structures gonflables : Équipement événementiel : programme public en batterie à l'entrée et en pourtour, staff séparé.</t>
    </r>
  </si>
  <si>
    <r>
      <rPr>
        <b/>
        <sz val="9"/>
        <rFont val="Calibri"/>
      </rPr>
      <t>Chapiteaux / Tentes / Structures</t>
    </r>
    <r>
      <rPr>
        <sz val="9"/>
        <rFont val="Calibri"/>
      </rPr>
      <t xml:space="preserve"> : Capacité type ≈ 440 usagers principaux + 40 staff + 20 autre public. Jauge temporaire déjà renseignée ; usage événementiel avec pics d'entracte et sortie. Dimensionnement unitaire retenu : batteries mobiles ou blocs raccordés dimensionnés à la jauge et au temps de présence. Les douches restent exceptionnelles et souvent mobiles, liées à certains événements, artistes, équipes techniques ou configurations temporaires longues.Structures gonflables : Capacité type ≈ 71 usagers principaux + 6 staff + 3 accompagnants/encadrants. Le programme sanitaire est construit par blocs fonctionnels plausibles (public, personnel, exploitation/hébergement selon le cas) et non par simple ratio national moyen. Calibrage selon capacité simultanée, répartition de flux et organisation réelle du site.</t>
    </r>
  </si>
  <si>
    <r>
      <rPr>
        <b/>
        <sz val="9"/>
        <rFont val="Calibri"/>
      </rPr>
      <t>Chapiteaux / Tentes / Structures</t>
    </r>
    <r>
      <rPr>
        <sz val="9"/>
        <rFont val="Calibri"/>
      </rPr>
      <t xml:space="preserve"> : Profil grand, capacité moyenne ≈ 500 personnes. Moyenne pondérée terrain : parc majoritairement petits/moyens sites, grands sites intégrés sans surpondération ; usage 2025 modérée à forte par pics.Structures gonflables : Profil moyen, capacité moyenne ≈ 80 personnes. Moyenne pondérée terrain : parc majoritairement petits/moyens sites, grands sites intégrés sans surpondération ; usage 2025 modérée.</t>
    </r>
  </si>
  <si>
    <r>
      <rPr>
        <b/>
        <sz val="9"/>
        <rFont val="Calibri"/>
      </rPr>
      <t>Chapiteaux / Tentes / Structures</t>
    </r>
    <r>
      <rPr>
        <sz val="9"/>
        <rFont val="Calibri"/>
      </rPr>
      <t xml:space="preserve"> : ERP/accessibilité sanitaires publics : https://www.legifrance.gouv.fr/loda/article_lc/LEGIARTI000034485966/ ; Code du travail sanitaires salariés : https://www.legifrance.gouv.fr/codes/id/LEGISCTA000018531984 ; INRS : https://www.inrs.fr/publications/juridique/focus-juridiques/focus-sanitaires-toilettes.htmlStructures gonflables : Code du travail (sanitaires et vestiaires staff) + programmation ERP/usages d'exploitation ; source de comptage propre à la ligne en col. AP.</t>
    </r>
  </si>
  <si>
    <r>
      <rPr>
        <b/>
        <sz val="9"/>
        <rFont val="Calibri"/>
      </rPr>
      <t>Chapiteaux / Tentes / Structures</t>
    </r>
    <r>
      <rPr>
        <sz val="9"/>
        <rFont val="Calibri"/>
      </rPr>
      <t xml:space="preserve"> : Installations temporaires, montages/démontages/stockage transport et remise en service raccourcissent la durée réelle au-delà du seul usage hydraulique. Raccordements variables et pics événementiels; renouvellement lié aux campagnes et au stockage plus qu'à l'usage quotidien. Les technologies mécaniques simples restent les plus stables. L'électronique souffre davantage des raccordements, de l'humidité et des chocs de manutention. Moins de cycles annuels mais conditions climatiques/corrosives, hivernage et remises en service. maintenance concentrée et hétérogène.Structures gonflables : Usage saisonnier et mobile, sanitaires souvent temporaires/annexes, forte manutention et contrôle limité. Inférieur aux chapiteaux, surtout douches et chasses électro en environnement changeant.. Usage dense, nettoyage agressif, graisse/humidité et arbitrages économiques serrés. Les temporisés mécaniques conservent un léger avantage en robustesse sur les mitigeurs dans les sanitaires partagés. L'électronique reste plus courte en raison de la maintenance plus opportuniste. Renouvellement surtout à la panne, puis par lot lors des refurbishments. Longues amplitudes, nettoyage agressif.</t>
    </r>
  </si>
  <si>
    <r>
      <rPr>
        <b/>
        <sz val="9"/>
        <rFont val="Calibri"/>
      </rPr>
      <t>Chapiteaux / Tentes / Structures</t>
    </r>
    <r>
      <rPr>
        <sz val="9"/>
        <rFont val="Calibri"/>
      </rPr>
      <t xml:space="preserve"> : Chapiteaux / Tentes / Structures : parc 2025 domine par tempo mecanique (62%), avec mitigeur manuel en appoint. Le choix reflete frequentation discontinue avec pics evenementiels et maintenance par gestionnaire public/prive ; accueil du public, accessibilite et remise a niveau lors de renov. globales.Structures gonflables : Les installations temporaires ou mobiles font davantage appel à des équipements atypiques ou intégrés ('autres'), d’où une part plus élevée hors trio classique mitigeur/temporisé/électronique.</t>
    </r>
  </si>
  <si>
    <r>
      <rPr>
        <b/>
        <sz val="9"/>
        <rFont val="Calibri"/>
      </rPr>
      <t>Chapiteaux / Tentes / Structures</t>
    </r>
    <r>
      <rPr>
        <sz val="9"/>
        <rFont val="Calibri"/>
      </rPr>
      <t xml:space="preserve"> : 2025-2030 : progression de tempo electronique (+3,0%), surtout lors des renov. lourdes/neuf ; recul de mitigeur manuel (-3,0%) mais maintien d un socle robuste pour les remplacements partiels.Structures gonflables : Progression mesurée de l’électronique 2025-2030 sur les ERP culturels et événementiels rénovés ; le temporisé mécanique reste important sur les flux intensifs, et le mitigeur persiste dans les sites plus patrimoniaux ou petits.</t>
    </r>
  </si>
  <si>
    <r>
      <rPr>
        <b/>
        <sz val="9"/>
        <rFont val="Calibri"/>
      </rPr>
      <t>Chapiteaux / Tentes / Structures</t>
    </r>
    <r>
      <rPr>
        <sz val="9"/>
        <rFont val="Calibri"/>
      </rPr>
      <t xml:space="preserve"> : Chapiteaux/CTS : douches rares, souvent mobiles ou simples ; mitigeurs dominants, temporisation plus limitée.Structures gonflables : Les douches éventuelles restent surtout manuelles ou temporisées simples, l’électronique étant rare sur du provisoire.</t>
    </r>
  </si>
  <si>
    <r>
      <rPr>
        <b/>
        <sz val="9"/>
        <rFont val="Calibri"/>
      </rPr>
      <t>Chapiteaux / Tentes / Structures</t>
    </r>
    <r>
      <rPr>
        <sz val="9"/>
        <rFont val="Calibri"/>
      </rPr>
      <t xml:space="preserve"> : Évolution faible : un peu plus de temporisé/électronique en prestation événementielle récente, mais présence globale marginale.Structures gonflables : Quand des douches existent, l’électronique progresse un peu dans les rénovations récentes, sans détrôner rapidement le temporisé/mécanique.</t>
    </r>
  </si>
  <si>
    <r>
      <rPr>
        <b/>
        <sz val="9"/>
        <rFont val="Calibri"/>
      </rPr>
      <t>Chapiteaux / Tentes / Structures</t>
    </r>
    <r>
      <rPr>
        <sz val="9"/>
        <rFont val="Calibri"/>
      </rPr>
      <t xml:space="preserve"> : Chapiteaux / Tentes / Structures : parc 2025 domine par directe mecanique (55%), avec directe electronique collective en appoint. Le choix reflete frequentation discontinue avec pics evenementiels et maintenance par gestionnaire public/prive ; accueil du public, accessibilite et remise a niveau lors de renov. globales.Structures gonflables : Quand des urinoirs existent, ils sont souvent collectifs (rampe/batterie) sur les installations événementielles provisoires.</t>
    </r>
  </si>
  <si>
    <r>
      <rPr>
        <b/>
        <sz val="9"/>
        <rFont val="Calibri"/>
      </rPr>
      <t>Chapiteaux / Tentes / Structures</t>
    </r>
    <r>
      <rPr>
        <sz val="9"/>
        <rFont val="Calibri"/>
      </rPr>
      <t xml:space="preserve"> : 2025-2030 : progression de directe electronique indiv. (+3,0%), surtout lors des renov. lourdes/neuf ; recul de a reservoir (-2,0%) mais maintien d un socle robuste pour les remplacements partiels.Structures gonflables : Réservoirs et systèmes collectifs anciens reculent ; l’automatique gagne du terrain dans les rénovations de sites recevant du public.</t>
    </r>
  </si>
  <si>
    <r>
      <rPr>
        <b/>
        <sz val="9"/>
        <rFont val="Calibri"/>
      </rPr>
      <t>Chapiteaux / Tentes / Structures</t>
    </r>
    <r>
      <rPr>
        <sz val="9"/>
        <rFont val="Calibri"/>
      </rPr>
      <t xml:space="preserve"> : Chapiteaux / Tentes / Structures : parc 2025 domine par reservoir (45%), avec chasse directe mecanique en appoint. Le choix reflete frequentation discontinue avec pics evenementiels et maintenance par gestionnaire public/prive ; accueil du public, accessibilite et remise a niveau lors de renov. globales.Structures gonflables : Le parc provisoire reste très majoritairement assimilable à du WC à réservoir ou autonome ; la chasse directe demeure secondaire.</t>
    </r>
  </si>
  <si>
    <r>
      <rPr>
        <b/>
        <sz val="9"/>
        <rFont val="Calibri"/>
      </rPr>
      <t>Chapiteaux / Tentes / Structures</t>
    </r>
    <r>
      <rPr>
        <sz val="9"/>
        <rFont val="Calibri"/>
      </rPr>
      <t xml:space="preserve"> : 2025-2030 : progression de chasse directe electronique (+5,0%), surtout lors des renov. lourdes/neuf ; recul de reservoir (-10,0%) mais maintien d un socle robuste pour les remplacements partiels.Structures gonflables : Le réservoir poursuit son reflux au profit du direct et, plus marginalement, de l’électronique sur les rénovations de sanitaires publics.</t>
    </r>
  </si>
  <si>
    <r>
      <rPr>
        <b/>
        <sz val="9"/>
        <rFont val="Calibri"/>
      </rPr>
      <t>Chapiteaux / Tentes / Structures</t>
    </r>
    <r>
      <rPr>
        <sz val="9"/>
        <rFont val="Calibri"/>
      </rPr>
      <t xml:space="preserve"> : 77,3% retenu : besoins transformes en travaux selon frequentation discontinue avec pics evenementiels et maintenance par gestionnaire public/prive. Le phasage budgetaire, les fermetures partielles et la maintenance courante limitent la conversion totale.Structures gonflables : 78,6% retenu : part des besoins réellement transformée en travaux sur 2026-2030 après prise en compte des budgets, du phasage et des arbitrages locaux.</t>
    </r>
  </si>
  <si>
    <r>
      <rPr>
        <b/>
        <sz val="9"/>
        <rFont val="Calibri"/>
      </rPr>
      <t>Chapiteaux / Tentes / Structures</t>
    </r>
    <r>
      <rPr>
        <sz val="9"/>
        <rFont val="Calibri"/>
      </rPr>
      <t xml:space="preserve"> : Potentiel renovation : tire par accueil du public, accessibilite et remise a niveau lors de renov. globales. Les remplacements sont plutot par lots, avec arbitrage entre urgence sanitaire, budget et capacite a intervenir en site occupe.Structures gonflables : Potentiel rénovation élevé : maintenance et renouvellement liés à l’intensité d’usage, à la sécurité et à l’image de l’événementiel. Les lavabos et les WC portent l’essentiel des volumes, avec un poids secondaire des équipements spécialisés. En rénovation, le marché reste orienté vers des gammes fiables, disponibles et rapides à poser afin de limiter l’arrêt d’exploitation.</t>
    </r>
  </si>
  <si>
    <r>
      <rPr>
        <b/>
        <sz val="9"/>
        <rFont val="Calibri"/>
      </rPr>
      <t>Chapiteaux / Tentes / Structures</t>
    </r>
    <r>
      <rPr>
        <sz val="9"/>
        <rFont val="Calibri"/>
      </rPr>
      <t xml:space="preserve"> : Potentiel neuf : limite pour chapiteaux / tentes / structures, surtout via extensions, reconstructions ou projets locaux. Le neuf reste contraint par foncier, budgets et delais de mise en service.Structures gonflables : Potentiel neuf moyen : plus réel que dans le culturel public, mais très lié au calendrier des événements, à l’investissement privé et à la fréquentation. Le neuf est réel mais secondaire.</t>
    </r>
  </si>
  <si>
    <r>
      <rPr>
        <b/>
        <sz val="9"/>
        <rFont val="Calibri"/>
      </rPr>
      <t>Chapiteaux / Tentes / Structures</t>
    </r>
    <r>
      <rPr>
        <sz val="9"/>
        <rFont val="Calibri"/>
      </rPr>
      <t xml:space="preserve"> : Projets phares renovation : reprise de blocs sanitaires, accessibilite, ventilation, economie d eau, remplacement des pieces usees et adaptation aux pics de frequentation propres au sous-segment.Structures gonflables : Projets phares réno : remise à niveau des blocs sanitaires associés, renouvellement d’équipements mobiles et accessoires d’accueil.</t>
    </r>
  </si>
  <si>
    <r>
      <rPr>
        <b/>
        <sz val="9"/>
        <rFont val="Calibri"/>
      </rPr>
      <t>Chapiteaux / Tentes / Structures</t>
    </r>
    <r>
      <rPr>
        <sz val="9"/>
        <rFont val="Calibri"/>
      </rPr>
      <t xml:space="preserve"> : Projets phares neuf : creations ou reconstructions selectives, integration de sanitaires plus sobres, robustes et faciles a maintenir des la conception.Structures gonflables : Projets phares neuf : nouvelles structures temporaires, équipements événementiels, bases d’accueil sur festivals ou salons.</t>
    </r>
  </si>
  <si>
    <r>
      <rPr>
        <b/>
        <sz val="9"/>
        <rFont val="Calibri"/>
      </rPr>
      <t>Chapiteaux / Tentes / Structures</t>
    </r>
    <r>
      <rPr>
        <sz val="9"/>
        <rFont val="Calibri"/>
      </rPr>
      <t xml:space="preserve"> : Dynamique renovation 2026-2030 : moderee, car l usure et l hygiene rendent les interventions recurrentes. Menaces : arbitrages d investissement, travaux en exploitation et cout de maintenance.Structures gonflables : Dynamique réno 2026-2030 : régulière mais morcelée ; la demande suit les saisons et l’état du matériel.</t>
    </r>
  </si>
  <si>
    <r>
      <rPr>
        <b/>
        <sz val="9"/>
        <rFont val="Calibri"/>
      </rPr>
      <t>Chapiteaux / Tentes / Structures</t>
    </r>
    <r>
      <rPr>
        <sz val="9"/>
        <rFont val="Calibri"/>
      </rPr>
      <t xml:space="preserve"> : Dynamique neuf 2026-2030 : faible a moderee, dependante des projets immobiliers, de la demographie locale et des budgets de maitrise d ouvrage.Structures gonflables : Dynamique neuf 2026-2030 : opportuniste, plus sensible au cycle événementiel et au contexte économique qu’aux politiques publiques.</t>
    </r>
  </si>
  <si>
    <t>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t>
  </si>
  <si>
    <r>
      <rPr>
        <b/>
        <sz val="9"/>
        <rFont val="Calibri"/>
      </rPr>
      <t>Chapiteaux / Tentes / Structures</t>
    </r>
    <r>
      <rPr>
        <sz val="9"/>
        <rFont val="Calibri"/>
      </rPr>
      <t xml:space="preserve"> : BonneStructures gonflables : Moyenne+</t>
    </r>
  </si>
  <si>
    <r>
      <rPr>
        <b/>
        <sz val="9"/>
        <rFont val="Calibri"/>
      </rPr>
      <t>Chapiteaux / Tentes / Structures</t>
    </r>
    <r>
      <rPr>
        <sz val="9"/>
        <rFont val="Calibri"/>
      </rPr>
      <t xml:space="preserve"> : Parc existant centre sur le niveau mid, avec ventes 2026-2030 legerement plus qualitatives. Chapiteaux / Tentes / Structures : frequentation discontinue avec pics evenementiels et maintenance par gestionnaire public/prive; le mix reste guide par accueil du public, accessibilite et remise a niveau lors de renov. globales.Structures gonflables : Structures gonflables : parc très standardisé, saisonnier et contraint par les budgets d’exploitation, avec priorité à la sécurité, à la simplicité de maintenance et à la mobilité ; le basique reste très dominant. Ventes 2026-2030 : légère montée du moyen dans les gammes neuves, mais la logique de remplacement rapide et le faible poids du neuf maintiennent un mix proche du parc.</t>
    </r>
  </si>
  <si>
    <r>
      <rPr>
        <b/>
        <sz val="9"/>
        <rFont val="Calibri"/>
      </rPr>
      <t>Chapiteaux / Tentes / Structures</t>
    </r>
    <r>
      <rPr>
        <sz val="9"/>
        <rFont val="Calibri"/>
      </rPr>
      <t xml:space="preserve"> : ±4 ptsStructures gonflables : ±5 pts</t>
    </r>
  </si>
  <si>
    <r>
      <rPr>
        <b/>
        <sz val="9"/>
        <rFont val="Calibri"/>
      </rPr>
      <t>Chapiteaux / Tentes / Structures</t>
    </r>
    <r>
      <rPr>
        <sz val="9"/>
        <rFont val="Calibri"/>
      </rPr>
      <t xml:space="preserve"> : ±4 ptsStructures gonflables : ±6 pts</t>
    </r>
  </si>
  <si>
    <r>
      <rPr>
        <b/>
        <sz val="9"/>
        <rFont val="Calibri"/>
      </rPr>
      <t>Chapiteaux / Tentes / Structures</t>
    </r>
    <r>
      <rPr>
        <sz val="9"/>
        <rFont val="Calibri"/>
      </rPr>
      <t xml:space="preserve"> : BonneStructures gonflables : Moyenne</t>
    </r>
  </si>
  <si>
    <r>
      <rPr>
        <b/>
        <sz val="9"/>
        <rFont val="Calibri"/>
      </rPr>
      <t>Chapiteaux / Tentes / Structures</t>
    </r>
    <r>
      <rPr>
        <sz val="9"/>
        <rFont val="Calibri"/>
      </rPr>
      <t xml:space="preserve"> : Parc existant : accueil du public, accessibilite et remise a niveau lors de renov. globales; frequentation discontinue avec pics evenementiels et maintenance par gestionnaire public/prive. La montee en confort reste proportionnee au budget et au rythme de renovation.Structures gonflables : Parc très fonctionnel, souvent temporaire, isolé ou saisonnier : priorité à la robustesse, à la logistique et au coût total, d’où un mix basique/moyen très dominant.</t>
    </r>
  </si>
  <si>
    <r>
      <rPr>
        <b/>
        <sz val="9"/>
        <rFont val="Calibri"/>
      </rPr>
      <t>Chapiteaux / Tentes / Structures</t>
    </r>
    <r>
      <rPr>
        <sz val="9"/>
        <rFont val="Calibri"/>
      </rPr>
      <t xml:space="preserve"> : renovation dominante =&gt; progression graduelleStructures gonflables : temporaire / accès difficile / saisonnalité ⇒ basique ↑ ; modularité et maintenance simple ⇒ premium ↓ ; neuf marginal ⇒ ventes proches du parc</t>
    </r>
  </si>
  <si>
    <r>
      <rPr>
        <b/>
        <sz val="9"/>
        <rFont val="Calibri"/>
      </rPr>
      <t>Chapiteaux / Tentes / Structures</t>
    </r>
    <r>
      <rPr>
        <sz val="9"/>
        <rFont val="Calibri"/>
      </rPr>
      <t xml:space="preserve"> : Chapiteaux / Tentes / Structures : ventes 2026-2030 en leger glissement vers moyen/premium lorsque le neuf ou les renov. lourdes interviennent. Le centre de gravite reste toutefois module par accueil du public, accessibilite et remise a niveau lors de renov. globales et par la part dominante de travaux sur parc existant.Structures gonflables : Structures gonflables : parc très standardisé, saisonnier et contraint par les budgets d’exploitation, avec priorité à la sécurité, à la simplicité de maintenance et à la mobilité ; le basique reste très dominant. Ventes 2026-2030 : légère montée du moyen dans les gammes neuves, mais la logique de remplacement rapide et le faible poids du neuf maintiennent un mix proche du parc.</t>
    </r>
  </si>
  <si>
    <t>1 - Offices de tourisme</t>
  </si>
  <si>
    <t>https://www.statistiques.developpement-durable.gouv.fr/construction-de-locaux-resultats-fin-janvier-2026-france-entiere
https://www.insee.fr/fr/statistiques/8671745
https://www.insee.fr/fr/statistiques/8906564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t>
  </si>
  <si>
    <t>1 - Restaurants
2 - Cafés / bars / brasseries
3 - Fast-food / Cafétérias / Food courts
4 - Établissements flottants</t>
  </si>
  <si>
    <r>
      <rPr>
        <b/>
        <sz val="9"/>
        <rFont val="Calibri"/>
      </rPr>
      <t>Restaurants ; Cafés / bars / brasseries ; Fast-food / Cafétérias / Food courts</t>
    </r>
    <r>
      <rPr>
        <sz val="9"/>
        <rFont val="Calibri"/>
      </rPr>
      <t xml:space="preserve"> : NÉtablissements flottants : EF</t>
    </r>
  </si>
  <si>
    <r>
      <rPr>
        <b/>
        <sz val="9"/>
        <rFont val="Calibri"/>
      </rPr>
      <t>Restaurants ; Cafés / bars / brasseries ; Fast-food / Cafétérias / Food courts</t>
    </r>
    <r>
      <rPr>
        <sz val="9"/>
        <rFont val="Calibri"/>
      </rPr>
      <t xml:space="preserve"> : ERPÉtablissements flottants : ERP spécial</t>
    </r>
  </si>
  <si>
    <r>
      <rPr>
        <b/>
        <sz val="9"/>
        <rFont val="Calibri"/>
      </rPr>
      <t>Restaurants</t>
    </r>
    <r>
      <rPr>
        <sz val="9"/>
        <rFont val="Calibri"/>
      </rPr>
      <t xml:space="preserve"> : Restauration assise ou rapide.Cafés / bars / brasseries : Débits de boissons et restauration.Fast-food / Cafétérias / Food courts : Restauration rapide.
Petit fast-food / restauration rapide indépendante, Chaîne fast-food standard, Cafétéria / self / restauration collective ouverte au public, Food court mutualiséÉtablissements flottants : Établissements flottants recevant du public.</t>
    </r>
  </si>
  <si>
    <r>
      <rPr>
        <b/>
        <sz val="9"/>
        <rFont val="Calibri"/>
      </rPr>
      <t>Restaurants</t>
    </r>
    <r>
      <rPr>
        <sz val="9"/>
        <rFont val="Calibri"/>
      </rPr>
      <t xml:space="preserve"> : Restaurant traditionnelCafés / bars / brasseries : Bar, café, brasserieFast-food / Cafétérias / Food courts : Petit fast-food / restauration rapide indépendante, Chaîne fast-food standard, Cafétéria / self / restauration collective ouverte au public, Food court mutualiséÉtablissements flottants : Bateau-restaurant, salle flottante</t>
    </r>
  </si>
  <si>
    <r>
      <rPr>
        <b/>
        <sz val="9"/>
        <rFont val="Calibri"/>
      </rPr>
      <t>Restaurants</t>
    </r>
    <r>
      <rPr>
        <sz val="9"/>
        <rFont val="Calibri"/>
      </rPr>
      <t xml:space="preserve"> : Creux Covid 2020-2021 puis léger reflux, sous l’effet de la pression sur les coûts et du transfert progressif de la croissance vers les formats rapides et les réseaux.Cafés / bars / brasseries : Tendance baissière de fond, avec un décrochage historique long du nombre de débits de boissons, perturbé par le Covid puis par une stabilisation temporaire post-réouverture.Fast-food / Cafétérias / Food courts : Malgré le creux Covid, sous-segment profite de dynamique + favorable que restaurat° traditionnelle, avec diffusion des enseignes, drive, livraison et formats compacts.Établissements flottants : Faute de série nationale homogène publiée annuellement pour cette sous-catégorie, le proxy est lissé ; la faible variation reflète une prudence méthodologique.</t>
    </r>
  </si>
  <si>
    <r>
      <rPr>
        <b/>
        <sz val="9"/>
        <rFont val="Calibri"/>
      </rPr>
      <t>Restaurants</t>
    </r>
    <r>
      <rPr>
        <sz val="9"/>
        <rFont val="Calibri"/>
      </rPr>
      <t xml:space="preserve"> : proxy SIRUS restauration traditionnelle et rapide. Dynamique projetée 2027-2030: hausse légère. Fiabilité: moyenne.Cafés / bars / brasseries : proxy SIRUS débits de boissons. Le segment 5630Z reste structurellement orienté à la baisse sur longue période. La projection 2026-2030 prolonge une érosion lente plutôt qu’un effondrement rapide.Fast-food / Cafétérias / Food courts : proxy SIRUS restauration rapide. Hausse structurelle forte, malgré le creux Covid. Dynamique projetée 2027-2030: hausse modérée. Fiabilité: moyenne.Établissements flottants : proxy bateaux-restaurants et salles flottantes. Dynamique projetée 2027-2030: stable. Fiabilité: moyenne.</t>
    </r>
  </si>
  <si>
    <r>
      <rPr>
        <b/>
        <sz val="9"/>
        <rFont val="Calibri"/>
      </rPr>
      <t>Restaurants</t>
    </r>
    <r>
      <rPr>
        <sz val="9"/>
        <rFont val="Calibri"/>
      </rPr>
      <t xml:space="preserve"> : https://www.insee.fr/fr/metadonnees/source/fichier/BPE_evol_1924_liste_a_plat_TYPEQU.htmlCafés / bars / brasseries : https://www.insee.fr/fr/statistiques/2011101?geo=FRANCE-1 ; https://www.insee.fr/fr/statistiques/8602650Fast-food / Cafétérias / Food courts : https://www.insee.fr/fr/metadonnees/source/fichier/BPE_evol_1924_liste_a_plat_TYPEQU.html
https://www.insee.fr/fr/statistiques/2011101?geo=FRANCE-1 ; https://www.insee.fr/fr/statistiques/8602650Établissements flottants : https://www.legifrance.gouv.fr/codes/section_lc/JORFTEXT000000290033/LEGISCTA000020303822/</t>
    </r>
  </si>
  <si>
    <r>
      <rPr>
        <b/>
        <sz val="9"/>
        <rFont val="Calibri"/>
      </rPr>
      <t>Restaurants</t>
    </r>
    <r>
      <rPr>
        <sz val="9"/>
        <rFont val="Calibri"/>
      </rPr>
      <t xml:space="preserve"> : Restaurant : bloc clients + sanitaire personnel/cuisine, sans douche.Cafés / bars / brasseries : Débit de boisson : bloc client + sanitaire personnel.Fast-food / Cafétérias / Food courts : Restauration rapide : bloc clients à fort turnover + staff.Établissements flottants : Bateau-restaurant / salle flottante : sanitaires communs passagers + équipage.</t>
    </r>
  </si>
  <si>
    <r>
      <rPr>
        <b/>
        <sz val="9"/>
        <rFont val="Calibri"/>
      </rPr>
      <t>Restaurants</t>
    </r>
    <r>
      <rPr>
        <sz val="9"/>
        <rFont val="Calibri"/>
      </rPr>
      <t xml:space="preserve"> : Capacité type ≈ 80 usagers principaux + 15 staff + 5 autre public. Repas assis avec rotation par service ; clients et équipe présents simultanément. Dimensionnement unitaire retenu : WC clients PMR + sanitaires personnel selon Code du travail, adaptés à la jauge de salle. Hypothèse d'usage : capacité simultanée moyenne 2026, répartition par flux réels, arrondie par blocs fonctionnels et exclusion des sanitaires strictement privatifs sauf cas explicitement collectifs.Cafés / bars / brasseries : Capacité type ≈ 73 usagers principaux + 14 staff + 3 livreurs/prestataires. Le programme sanitaire est construit par blocs fonctionnels plausibles (public, personnel, exploitation/hébergement selon le cas) et non par simple ratio national moyen. Calibrage selon capacité simultanée, répartition de flux et organisation réelle du site.Fast-food / Cafétérias / Food courts : Capacité type ≈ 101 usagers principaux + 17 staff + 2 livreurs/prestataires. Le programme sanitaire est construit par blocs fonctionnels plausibles (public, personnel, exploitation/hébergement selon le cas) et non par simple ratio national moyen. Calibrage selon capacité simultanée, répartition de flux et organisation réelle du site.Établissements flottants : Capacité type ≈ 98 usagers principaux + 12 staff + 10 visiteurs techniques/prestataires. Le programme sanitaire est construit par blocs fonctionnels plausibles (public, personnel, exploitation/hébergement selon le cas) et non par simple ratio national moyen. Calibrage selon capacité simultanée, répartition de flux et organisation réelle du site.</t>
    </r>
  </si>
  <si>
    <r>
      <rPr>
        <b/>
        <sz val="9"/>
        <rFont val="Calibri"/>
      </rPr>
      <t>Restaurants</t>
    </r>
    <r>
      <rPr>
        <sz val="9"/>
        <rFont val="Calibri"/>
      </rPr>
      <t xml:space="preserve"> : Profil moyen, capacité moyenne ≈ 100 personnes. Moyenne pondérée terrain : parc majoritairement petits/moyens sites, grands sites intégrés sans surpondération ; usage 2025 modérée à forte par pics.Cafés / bars / brasseries : Profil moyen, capacité moyenne ≈ 90 personnes. Moyenne pondérée terrain : parc majoritairement petits/moyens sites, grands sites intégrés sans surpondération ; usage 2025 modérée à forte par pics.Fast-food / Cafétérias / Food courts : Profil moyen, capacité moyenne ≈ 120 personnes. Moyenne pondérée terrain : parc majoritairement petits/moyens sites, grands sites intégrés sans surpondération ; usage 2025 modérée à forte par pics.Établissements flottants : Profil moyen, capacité moyenne ≈ 120 personnes. Moyenne pondérée terrain : parc majoritairement petits/moyens sites, grands sites intégrés sans surpondération ; usage 2025 modérée.</t>
    </r>
  </si>
  <si>
    <r>
      <rPr>
        <b/>
        <sz val="9"/>
        <rFont val="Calibri"/>
      </rPr>
      <t>Restaurants</t>
    </r>
    <r>
      <rPr>
        <sz val="9"/>
        <rFont val="Calibri"/>
      </rPr>
      <t xml:space="preserve"> : ERP/accessibilité sanitaires publics : https://www.legifrance.gouv.fr/loda/article_lc/LEGIARTI000034485966/ ; Code du travail sanitaires salariés : https://www.legifrance.gouv.fr/codes/id/LEGISCTA000018531984 ; INRS : https://www.inrs.fr/publications/juridique/focus-juridiques/focus-sanitaires-toilettes.htmlCafés / bars / brasseries ; Fast-food / Cafétérias / Food courts ; Établissements flottants : Code du travail (sanitaires et vestiaires staff) + programmation ERP/usages d'exploitation ; source de comptage propre à la ligne en col. AP.</t>
    </r>
  </si>
  <si>
    <r>
      <rPr>
        <b/>
        <sz val="9"/>
        <rFont val="Calibri"/>
      </rPr>
      <t>Restaurants</t>
    </r>
    <r>
      <rPr>
        <sz val="9"/>
        <rFont val="Calibri"/>
      </rPr>
      <t xml:space="preserve"> : Usage clients/personnel continu aux repas, graisse, produits de nettoyage et contraintes de fermeture courte. Plus court que tertiaire, mécaniques mieux adaptées aux pics. Budgets souvent contraints et maintenance plutôt réactive. Ecarts de durée resserrés : le mécanique garde un petit avantage, l'électronique reste en retrait mais sans décote excessive. Renouvellement intervient au fil des pannes, sinon opérations de remise à niveau sanitaires. Image commerciale importante et vandalisme plus élevé en soirée/nuit.Cafés / bars / brasseries : Usage dense, nettoyage agressif, graisse/humidité et arbitrages économiques serrés. Les temporisés mécaniques conservent un léger avantage en robustesse sur les mitigeurs dans les sanitaires partagés. L'électronique reste plus courte en raison de l'environnement humide et de la maintenance plus opportuniste. Renouvellement surtout à la panne, puis par lot lors des refurbishments. Restauration / bars / nightlife / loisirs indoor : Longues amplitudes, forte humidité, nettoyage agressif, image commerciale importante et vandalisme plus élevé en soirée/nuit.Fast-food / Cafétérias / Food courts : Très forte rotation, familles/jeunes, nettoyage répété et petits chocs; arbitrage économique favorise remplacement correctif. Proche bars, avec intensité journalière plus forte sur WC/lavabos. Nettoyage agressif et arbitrages économiques serrés. Renouvellement surtout à la panne. Restauration / bars / nightlife / loisirs indoor : Longues amplitudes, image commerciale importante et vandalisme plus élevé en soirée/nuit.Établissements flottants : Humidité, vibrations, accès maintenance contraint et corrosion; saisonnalité touristique possible. Plus court qu'un restaurant terrestre, notamment électronique. Usage de transit, humidité variable et maintenance plutôt réactive. Valeurs sont proches des ERP de passage : mécaniques simples devant, électronique en retrait modéré. Rénovation souvent couplée aux remises en état de sûreté, ventilation ou éclairage du parc.Très forte fréquentation, disponibilité immédiate requise, vandalisme et coûts d’exploitation élevés. La temporisation mécanique et la chasse directe sont favorisées.</t>
    </r>
  </si>
  <si>
    <r>
      <rPr>
        <b/>
        <sz val="9"/>
        <rFont val="Calibri"/>
      </rPr>
      <t>Restaurants</t>
    </r>
    <r>
      <rPr>
        <sz val="9"/>
        <rFont val="Calibri"/>
      </rPr>
      <t xml:space="preserve"> : Restaurants (Hors établissements altitude, flottant, armée) : parc 2025 domine par tempo mecanique, avec mitigeur manuel en appoint. Le choix reflete rotation clients/personnel, pics repas et pression sur image de marque ; experience client, debit de nettoyage, economie d eau et cout d exploitation.Cafés / bars / brasseries : Dans les cafés, bars, brasseries et restaurants, le mitigeur reste majoritaire dans le parc existant, avec une montée du temporisé ou de l’électronique surtout dans les rénovations et chaînes. Ajustement ciblé 2025 : légère baisse du mitigeur et/ou légère hausse de l’électronique pour mieux refléter la modernisation déjà visible sur les rénovations de sanitaires communs.Fast-food / Cafétérias / Food courts : Dans les fast-foods et food courts, le parc commun se modernise plus vite : temporisé et électronique sont plus présents que dans la restauration traditionnelle. Ajustement ciblé 2025 : légère baisse du mitigeur et/ou légère hausse de l’électronique pour mieux refléter la modernisation déjà visible sur les rénovations de sanitaires communs.Établissements flottants : Les établissements flottants conservent une base importante de mitigeurs, avec davantage d’équipements spécifiques ou compacts classés en 'autres'.</t>
    </r>
  </si>
  <si>
    <r>
      <rPr>
        <b/>
        <sz val="9"/>
        <rFont val="Calibri"/>
      </rPr>
      <t>Restaurants</t>
    </r>
    <r>
      <rPr>
        <sz val="9"/>
        <rFont val="Calibri"/>
      </rPr>
      <t xml:space="preserve"> : 2025-2030 : progression du tempo electronique dans les renovations de salles et sanitaires clients ; le mecanique reste majoritaire pour robustesse et cout de maintenance.Cafés / bars / brasseries : En restauration, le mitigeur reste important mais recule dans les sanitaires clients rénovés au profit de l’électronique ; la trajectoire est plus rapide dans les chaînes que dans l’indépendant.Fast-food / Cafétérias / Food courts : Les sites commerciaux/loisirs intensifs montent plus franchement en électronique d’ici 2030, avec maintien d’un socle temporisé mécanique pour la robustesse et la simplicité.Établissements flottants : Transport et stationnement voient une montée plus rapide de l’électronique 2025-2030 pour l’hygiène, l’image et l’exploitation ; le temporisé reste présent mais recule un peu dans les sites modernisés.</t>
    </r>
  </si>
  <si>
    <r>
      <rPr>
        <b/>
        <sz val="9"/>
        <rFont val="Calibri"/>
      </rPr>
      <t>Restaurants ; Cafés / bars / brasseries ; Fast-food / Cafétérias / Food courts</t>
    </r>
    <r>
      <rPr>
        <sz val="9"/>
        <rFont val="Calibri"/>
      </rPr>
      <t xml:space="preserve"> : Sans objet.Établissements flottants : Quand des douches existent, elles suivent une trajectoire de rénovation lente ; le mix reste surtout mécanique.</t>
    </r>
  </si>
  <si>
    <r>
      <rPr>
        <b/>
        <sz val="9"/>
        <rFont val="Calibri"/>
      </rPr>
      <t>Restaurants</t>
    </r>
    <r>
      <rPr>
        <sz val="9"/>
        <rFont val="Calibri"/>
      </rPr>
      <t xml:space="preserve"> : Restaurants (Hors établissements altitude, flottant, armée) : urinoirs surtout en chasse directe mecanique, adaptes aux pics de service et au nettoyage rapide ; l electronique reste ciblee sur etablissements premium ou renov. lourdes.Cafés / bars / brasseries : Le parc d’urinoirs reste surtout classique, avec un partage entre réservoir/concealed tank, mécanique directe et un peu d’automatique.Fast-food / Cafétérias / Food courts : L’automatique est nettement plus fréquent que dans les bars/restaurants, sans être encore totalement majoritaire sur le stock.Établissements flottants : Le parc d’urinoirs reste très hétérogène entre classique, automatique et quelques collectifs.</t>
    </r>
  </si>
  <si>
    <r>
      <rPr>
        <b/>
        <sz val="9"/>
        <rFont val="Calibri"/>
      </rPr>
      <t>Restaurants</t>
    </r>
    <r>
      <rPr>
        <sz val="9"/>
        <rFont val="Calibri"/>
      </rPr>
      <t xml:space="preserve"> : 2025-2030 : recul des solutions les plus anciennes au profit de chasses directes, avec electronique en hausse dans les sanitaires clients visibles mais sans devenir majoritaire.Cafés / bars / brasseries : Quand ils existent, les urinoirs glissent lentement du réservoir/mécanique vers plus d’automatique, surtout dans les établissements rénovés.Fast-food / Cafétérias / Food courts : Les sites commerciaux et de loisirs font davantage progresser l’automatique d’ici 2030, tout en gardant une part mécanique.Établissements flottants : Dans transport/stationnement, l’automatique progresse rapidement sur les sites rénovés ou premium, avec recul net des réservoirs.</t>
    </r>
  </si>
  <si>
    <r>
      <rPr>
        <b/>
        <sz val="9"/>
        <rFont val="Calibri"/>
      </rPr>
      <t>Restaurants</t>
    </r>
    <r>
      <rPr>
        <sz val="9"/>
        <rFont val="Calibri"/>
      </rPr>
      <t xml:space="preserve"> : Restaurants (Hors établissements altitude, flottant, armée) : WC majoritairement a reservoir, avec chasse directe dans les blocs clients recents. Le niveau technique depend du standing et de la frequence de nettoyage.Cafés / bars / brasseries : Les WC à réservoir restent dominants dans ce parc de petite et moyenne taille ; la chasse directe progresse mais reste minoritaire.Fast-food / Cafétérias / Food courts : Le parc WC est plus orienté chasse directe que la restauration traditionnelle, mais conserve encore beaucoup de réservoirs.Établissements flottants : Le réservoir reste majoritaire sur le parc existant, la chasse directe restant secondaire.</t>
    </r>
  </si>
  <si>
    <r>
      <rPr>
        <b/>
        <sz val="9"/>
        <rFont val="Calibri"/>
      </rPr>
      <t>Restaurants</t>
    </r>
    <r>
      <rPr>
        <sz val="9"/>
        <rFont val="Calibri"/>
      </rPr>
      <t xml:space="preserve"> : 2025-2030 : hausse graduelle de la chasse directe, surtout en renovation de sanitaires clients ; le reservoir reste important dans les petits etablissements et les remplacements partiels.Cafés / bars / brasseries : Le direct et l’électronique gagnent du terrain dans les sanitaires clients rénovés, mais le réservoir reste significatif dans l’indépendant et les petits sites.Fast-food / Cafétérias / Food courts : Les sites commerciaux/loisirs intensifs font monter plus vite la chasse directe et l’électronique ; le réservoir recule nettement mais ne disparaît pas.Établissements flottants : Transport et stationnement accélèrent la montée du direct puis de l’électronique sur les sites modernisés ; le réservoir recule franchement.</t>
    </r>
  </si>
  <si>
    <r>
      <rPr>
        <b/>
        <sz val="9"/>
        <rFont val="Calibri"/>
      </rPr>
      <t>Restaurants</t>
    </r>
    <r>
      <rPr>
        <sz val="9"/>
        <rFont val="Calibri"/>
      </rPr>
      <t xml:space="preserve"> : 81,2% retenu : besoins transformes en travaux selon rotation clients/personnel, pics repas et pression sur image de marque. Les fermetures courtes, arbitrages de tresorerie et travaux par lots limitent la conversion totale.Cafés / bars / brasseries ; Fast-food / Cafétérias / Food courts : 87,3% retenu : part des besoins réellement transformée en travaux sur 2026-2030 après prise en compte des budgets, du phasage et des arbitrages locaux.Établissements flottants : 84,0% retenu : intensité d’usage et vétusté soutiennent la réno, mais les budgets locaux et la saisonnalité retardent une partie des programmes.</t>
    </r>
  </si>
  <si>
    <r>
      <rPr>
        <b/>
        <sz val="9"/>
        <rFont val="Calibri"/>
      </rPr>
      <t>Restaurants</t>
    </r>
    <r>
      <rPr>
        <sz val="9"/>
        <rFont val="Calibri"/>
      </rPr>
      <t xml:space="preserve"> : Potentiel renovation : tire par experience client, debit de nettoyage, economie d eau et cout d exploitation. Les travaux portent surtout sur blocs clients et personnel, souvent lors de reprises de salle, cuisine ou accessibilite.Cafés / bars / brasseries : Potentiel rénovation très élevé : usure d’exploitation, hygiène, changement de concept et transmission/reprise d’établissements alimentent le remplacement. Les lavabos et les WC portent l’essentiel des volumes, avec un poids secondaire des équipements spécialisés. En rénovation, le marché reste orienté vers des gammes fiables, disponibles et rapides à poser afin de limiter l’arrêt d’exploitation.Fast-food / Cafétérias / Food courts : Potentiel rénovation très élevé : refits fréquents, hygiène, forte rotation clientèle et image d’enseigne soutiennent les remplacements. Les volumes restent d’abord tirés par les WC et les lavabos, plus que par les postes spécialisés. En rénovation, le marché reste orienté vers des gammes fiables, disponibles et rapides à poser afin de limiter l’arrêt d’exploitation.Établissements flottants : Potentiel rénovation moyen à soutenu : contraintes d’exploitation, humidité et cycles techniques imposent des remplacements réguliers. Les volumes restent d’abord tirés par les WC et les lavabos, plus que par les postes spécialisés. En rénovation, les maîtres d’ouvrage privilégient des références robustes, vite posées et faciles à maintenir dans des ambiances humides.</t>
    </r>
  </si>
  <si>
    <r>
      <rPr>
        <b/>
        <sz val="9"/>
        <rFont val="Calibri"/>
      </rPr>
      <t>Restaurants</t>
    </r>
    <r>
      <rPr>
        <sz val="9"/>
        <rFont val="Calibri"/>
      </rPr>
      <t xml:space="preserve"> : Potentiel neuf : modere, lie aux creations/remplacements d etablissements et aux food courts ; il reste sensible a la conjoncture restauration et aux couts immobiliers.Cafés / bars / brasseries : Potentiel neuf faible : diffusion plus fragmentée que le fast-food, avec ouvertures et reprises surtout dans les zones de flux. Le neuf est quasi nul dans le modèle et renvoie surtout à des reconstructions ou remplacements de sites.Fast-food / Cafétérias / Food courts : Potentiel neuf élevé : l’un des sous-segments privés les plus dynamiques via franchises, retail parks, gares, aéroports et food courts. Le neuf est significatif mais encore nettement inférieur à la rénovation.Établissements flottants : Potentiel neuf moyen : dépendant d’opérateurs privés et de projets spécifiques ; le neuf est significatif mais encore nettement inférieur à la rénovation.</t>
    </r>
  </si>
  <si>
    <r>
      <rPr>
        <b/>
        <sz val="9"/>
        <rFont val="Calibri"/>
      </rPr>
      <t>Restaurants</t>
    </r>
    <r>
      <rPr>
        <sz val="9"/>
        <rFont val="Calibri"/>
      </rPr>
      <t xml:space="preserve"> : Projets phares renovation : sanitaires clients, accessibilite, economie d eau, robinetterie temporisee, remise a niveau des WC et zones personnel.Cafés / bars / brasseries : Projets phares réno : refits de sanitaires clients/personnel, réagencements, montées en gamme ou mise aux normes.Fast-food / Cafétérias / Food courts : Projets phares réno : sanitaires clients/personnel, remises à niveau lors de changement de concept, modernisation rapide en site exploité.Établissements flottants : Projets phares réno : sanitaires passagers/personnel, douches et remises à niveau d’unités flottantes recevant du public.</t>
    </r>
  </si>
  <si>
    <r>
      <rPr>
        <b/>
        <sz val="9"/>
        <rFont val="Calibri"/>
      </rPr>
      <t>Restaurants</t>
    </r>
    <r>
      <rPr>
        <sz val="9"/>
        <rFont val="Calibri"/>
      </rPr>
      <t xml:space="preserve"> : Projets phares neuf : restaurants de chaine, food courts, extensions commerciales et concepts avec sanitaires clients plus visibles et faciles a maintenir.Cafés / bars / brasseries : Projets phares neuf : nouveaux restaurants, bars, concepts hybrides, implantations dans programmes tertiaires/commerciaux ou touristiques.Fast-food / Cafétérias / Food courts : Projets phares neuf : ouvertures de restaurants rapides, food courts, corners en zones commerciales et hubs de transport.Établissements flottants : Projets phares neuf : bateaux/hubs flottants, péniches événementielles ou de restauration, renouvellement de flotte.</t>
    </r>
  </si>
  <si>
    <r>
      <rPr>
        <b/>
        <sz val="9"/>
        <rFont val="Calibri"/>
      </rPr>
      <t>Restaurants</t>
    </r>
    <r>
      <rPr>
        <sz val="9"/>
        <rFont val="Calibri"/>
      </rPr>
      <t xml:space="preserve"> : Dynamique renovation 2026-2030 : soutenue par la rotation du parc et l image client. Menaces : marges d exploitation, fermetures temporaires et arbitrages de tresorerie.Cafés / bars / brasseries : Dynamique réno 2026-2030 : plus solide que le neuf, car le refresh commercial est souvent préféré à une création ex nihilo.Fast-food / Cafétérias / Food courts : Dynamique réno 2026-2030 : très régulière car les cycles d’enseigne sont courts et les travaux légers rapidement arbitrables.Établissements flottants : Dynamique réno 2026-2030 : régulière, tirée par l’entretien technique et l’exploitation.</t>
    </r>
  </si>
  <si>
    <r>
      <rPr>
        <b/>
        <sz val="9"/>
        <rFont val="Calibri"/>
      </rPr>
      <t>Restaurants</t>
    </r>
    <r>
      <rPr>
        <sz val="9"/>
        <rFont val="Calibri"/>
      </rPr>
      <t xml:space="preserve"> : Dynamique neuf 2026-2030 : selective, plus forte dans les zones commerciales et franchises que dans la restauration independante mature.Cafés / bars / brasseries : Dynamique neuf 2026-2030 : moyenne et très dépendante de la confiance des exploitants, des emplacements et de la fréquentation.Fast-food / Cafétérias / Food courts : Dynamique neuf 2026-2030 : soutenue mais sensible à la consommation, aux loyers commerciaux et au coût du financement.Établissements flottants : Dynamique neuf 2026-2030 : opportuniste, plus sensible au tourisme et à l’investissement privé qu’aux programmes publics.</t>
    </r>
  </si>
  <si>
    <r>
      <rPr>
        <b/>
        <sz val="9"/>
        <rFont val="Calibri"/>
      </rPr>
      <t>Restaurants ; Cafés / bars / brasseries</t>
    </r>
    <r>
      <rPr>
        <sz val="9"/>
        <rFont val="Calibri"/>
      </rPr>
      <t xml:space="preserve"> : BonneFast-food / Cafétérias / Food courts ; Établissements flottants : Moyenne+</t>
    </r>
  </si>
  <si>
    <r>
      <rPr>
        <b/>
        <sz val="9"/>
        <rFont val="Calibri"/>
      </rPr>
      <t>Restaurants</t>
    </r>
    <r>
      <rPr>
        <sz val="9"/>
        <rFont val="Calibri"/>
      </rPr>
      <t xml:space="preserve"> : Parc existant plutot moyen/upscale selon standing. Restaurants (Hors établissements altitude, flottant, armée) : rotation clients/personnel, pics repas et pression sur image de marque; les ventes se decalent vers moyen/premium quand les sanitaires clients sont visibles, tout en restant pilotees par experience client, debit de nettoyage, economie d eau et cout d exploitation.Cafés / bars / brasseries : Cafés / bars / brasseries : parc très diffus mais bien ancré dans le CHR de proximité, avec arbitrage constant entre image, coût et robustesse. Le niveau moyen domine, le premium restant ciblé sur les établissements d’image et les centres-villes touristiques. Ventes 2026-2030 : progression du premium+luxe sur lavabo (+8,0 pts), urinoir (+6,4 pts) et WC (+8,0 pts), tirée par rebranding, mises aux normes et rénovations décoratives. Le neuf est plus qualitatif que la rénovation, mais la rénovation reste majoritaire.Fast-food / Cafétérias / Food courts : Parc existant surtout standard. Les ventes restent proches du parc, centré sur standard, tiré par l’image de marque et l’expérience usager. Le neuf est un peu plus qualitatif que la rénovation, sans renverser le centre de gravité du mix. Fast-food et cafétérias : priorité à la robustesse, à la rapidité de maintenance et à l’uniformisation réseau ; amélioration surtout vers le standard.Établissements flottants : Établissements flottants : contraintes maritimes/fluviales, entretien et image touristique se combinent ; le parc penche vers moyen avec un premium ciblé sur les unités d’image. Ventes 2026-2030 : progression du premium+luxe surtout sur lavabo (+13,5 pts) et WC (+11,0 pts), tirée par rénovation d’accueil et montée en qualité sur les unités touristiques ; le neuf est plus haut de gamme que la rénovation, mais de faible volume.</t>
    </r>
  </si>
  <si>
    <r>
      <rPr>
        <b/>
        <sz val="9"/>
        <rFont val="Calibri"/>
      </rPr>
      <t>Restaurants ; Cafés / bars / brasseries ; Fast-food / Cafétérias / Food courts</t>
    </r>
    <r>
      <rPr>
        <sz val="9"/>
        <rFont val="Calibri"/>
      </rPr>
      <t xml:space="preserve"> : ±4 ptsÉtablissements flottants : ±5 pts</t>
    </r>
  </si>
  <si>
    <r>
      <rPr>
        <b/>
        <sz val="9"/>
        <rFont val="Calibri"/>
      </rPr>
      <t>Restaurants</t>
    </r>
    <r>
      <rPr>
        <sz val="9"/>
        <rFont val="Calibri"/>
      </rPr>
      <t xml:space="preserve"> : ±4 ptsCafés / bars / brasseries ; Fast-food / Cafétérias / Food courts : ±5 ptsÉtablissements flottants : ±6 pts</t>
    </r>
  </si>
  <si>
    <r>
      <rPr>
        <b/>
        <sz val="9"/>
        <rFont val="Calibri"/>
      </rPr>
      <t>Restaurants ; Fast-food / Cafétérias / Food courts</t>
    </r>
    <r>
      <rPr>
        <sz val="9"/>
        <rFont val="Calibri"/>
      </rPr>
      <t xml:space="preserve"> : BonneCafés / bars / brasseries : Moyenne +Établissements flottants : Moyenne</t>
    </r>
  </si>
  <si>
    <r>
      <rPr>
        <b/>
        <sz val="9"/>
        <rFont val="Calibri"/>
      </rPr>
      <t>Restaurants</t>
    </r>
    <r>
      <rPr>
        <sz val="9"/>
        <rFont val="Calibri"/>
      </rPr>
      <t xml:space="preserve"> : Parc existant : experience client, debit de nettoyage, economie d eau et cout d exploitation; rotation clients/personnel, pics repas et pression sur image de marque. La montee en confort reste proportionnee au standing et a la frequence de renovation.Cafés / bars / brasseries : CHR diffus : image commerciale importante côté clients, mais arbitrages serrés sur le coût et la maintenance ; le niveau moyen domine.Fast-food / Cafétérias / Food courts : Fast-food et cafétérias : priorité à la robustesse, à la rapidité de maintenance et à l’uniformisation réseau ; amélioration surtout vers le standard.Établissements flottants : Unités flottantes soumises aux contraintes d’entretien et à l’image client : mix centré sur moyen, avec premium ciblé.</t>
    </r>
  </si>
  <si>
    <r>
      <rPr>
        <b/>
        <sz val="9"/>
        <rFont val="Calibri"/>
      </rPr>
      <t>Restaurants</t>
    </r>
    <r>
      <rPr>
        <sz val="9"/>
        <rFont val="Calibri"/>
      </rPr>
      <t xml:space="preserve"> : image client =&gt; premiumisation ciblee ; forte frequentation =&gt; standard robuste ; renovation dominante =&gt; progression graduelleCafés / bars / brasseries ; Établissements flottants : image + accueil public ⇒ moyen/premium ↑ ; rénovation majoritaire ⇒ amélioration graduelle ; coût global et maintenance contiennent le luxeFast-food / Cafétérias / Food courts : forte fréquentation ⇒ standard ↑, premium/luxe ↓ ; image + privé ⇒ premium/luxe ↑ ; poids du neuf significatif ⇒ premiumisation des ventes &gt; parc</t>
    </r>
  </si>
  <si>
    <r>
      <rPr>
        <b/>
        <sz val="9"/>
        <rFont val="Calibri"/>
      </rPr>
      <t>Restaurants</t>
    </r>
    <r>
      <rPr>
        <sz val="9"/>
        <rFont val="Calibri"/>
      </rPr>
      <t xml:space="preserve"> : Restaurants (Hors établissements altitude, flottant, armée) : ventes 2026-2030 en glissement vers moyen/premium dans les sanitaires clients visibles, mais le centre de gravite reste module par le cout d exploitation et les travaux sur parc existant.Cafés / bars / brasseries : Cafés / bars / brasseries : parc très diffus mais bien ancré dans le CHR de proximité, avec arbitrage constant entre image, coût et robustesse. Le niveau moyen domine, le premium restant ciblé sur les établissements d’image et les centres-villes touristiques. Ventes 2026-2030 : progression du premium+luxe sur lavabo (+8,0 pts), urinoir (+6,4 pts) et WC (+8,0 pts), tirée par rebranding, mises aux normes et rénovations décoratives. Le neuf est plus qualitatif que la rénovation, mais la rénovation reste majoritaire.Fast-food / Cafétérias / Food courts : Fast-food / cafétérias / food courts : réseaux standardisés où l’efficacité de maintenance prime. Ventes 2026-2030 : glissement vers davantage de moyen / premium, surtout sur lavabo (+6,5 pts sur premium+luxe), WC (+3,5 pts sur premium+luxe). La rénovation reste majoritaire (71% des ventes, contre 29% en neuf) ; le neuf tire le mix vers le haut sans renverser le centre de gravité. L’écart de niveau de confort entre neuf et rénovation est net.Établissements flottants : Établissements flottants : contraintes maritimes/fluviales, entretien et image touristique se combinent ; le parc penche vers moyen avec un premium ciblé sur les unités d’image. Ventes 2026-2030 : progression du premium+luxe surtout sur lavabo (+13,5 pts) et WC (+11,0 pts), tirée par rénovation d’accueil et montée en qualité sur les unités touristiques ; le neuf est plus haut de gamme que la rénovation, mais de faible volume.</t>
    </r>
  </si>
  <si>
    <t>1 - Centres commerciaux / Malls
2 - Hyper-Supermarchés
3 - Marchés couverts</t>
  </si>
  <si>
    <r>
      <rPr>
        <b/>
        <sz val="9"/>
        <rFont val="Calibri"/>
      </rPr>
      <t>Centres commerciaux / Malls</t>
    </r>
    <r>
      <rPr>
        <sz val="9"/>
        <rFont val="Calibri"/>
      </rPr>
      <t xml:space="preserve"> : Centres commerciaux et grands magasins.Hyper-Supermarchés : Grande distribution alimentaireMarchés couverts : Vente au détail sous halle / couvert.</t>
    </r>
  </si>
  <si>
    <r>
      <rPr>
        <b/>
        <sz val="9"/>
        <rFont val="Calibri"/>
      </rPr>
      <t>Centres commerciaux / Malls</t>
    </r>
    <r>
      <rPr>
        <sz val="9"/>
        <rFont val="Calibri"/>
      </rPr>
      <t xml:space="preserve"> : Centre commercial, mall, galerie marchande gérée comme entité, retail park couvert avec sanitaires communsHyper-Supermarchés : Hypermarché autonome, supermarché autonome, SDMP/discount autonome avec WC clients propres. Hors magasin intégré à centre/mallMarchés couverts : Marché couvert</t>
    </r>
  </si>
  <si>
    <r>
      <rPr>
        <b/>
        <sz val="9"/>
        <rFont val="Calibri"/>
      </rPr>
      <t>Centres commerciaux / Malls</t>
    </r>
    <r>
      <rPr>
        <sz val="9"/>
        <rFont val="Calibri"/>
      </rPr>
      <t xml:space="preserve"> : Le stock national évolue peu ; la série est volontairement prudente et cohérente avec un parc mature.Hyper-Supermarchés : L’Insee recense 14 871 grandes surfaces en 2024 , mais toilettes clients pas systématiques. Série construite comme sous-ensemble de supermarchés de grand format, avec légère progression de la part équipée.Marchés couverts : Faute de série nationale homogène publiée annuellement pour cette sous-catégorie, le proxy est lissé ; la faible variation reflète une prudence méthodologique.</t>
    </r>
  </si>
  <si>
    <r>
      <rPr>
        <b/>
        <sz val="9"/>
        <rFont val="Calibri"/>
      </rPr>
      <t>Centres commerciaux / Malls</t>
    </r>
    <r>
      <rPr>
        <sz val="9"/>
        <rFont val="Calibri"/>
      </rPr>
      <t xml:space="preserve"> : Ancrage sur le parc CNCC/FACT de l'ordre de 835 centres commerciaux, puis filtre sanitaire clients très élevé. Fiabilité: bonne.Hyper-Supermarchés : Parc mature, pression drive/e-commerce, volumes en recul et rationalisation des grands formats. Projection 2026-2030 : -1,6 %/an environ. Montée modérée des services clients dans les grands supermarchés. Sanitaires du personnel exclusMarchés couverts : proxy équipements commerciaux communaux. Dynamique projetée 2027-2030: stable. Fiabilité: moyenne.</t>
    </r>
  </si>
  <si>
    <r>
      <rPr>
        <b/>
        <sz val="9"/>
        <rFont val="Calibri"/>
      </rPr>
      <t>Centres commerciaux / Malls</t>
    </r>
    <r>
      <rPr>
        <sz val="9"/>
        <rFont val="Calibri"/>
      </rPr>
      <t xml:space="preserve"> : https://www.lesacteursducommerce.com/wp-content/uploads/2022/08/29012021_CP_Le-CNCC-prend-acte-regrette-lannonce-pour-le-moins-surprenante-du-PM.pdf ; https://www.fcd.fr/le-secteur/ ; https://www.insee.fr/fr/statistiques/8610258?geo=FE-1
https://www.insee.fr/fr/metadonnees/source/serie/s1161Hyper-Supermarchés : https://www.fcd.fr/le-secteur/
https://www.insee.fr/fr/statistiques/4473482 ; https://www.insee.fr/fr/statistiques/2015133 ; https://www.lemonde.fr/economie/article/2025/01/15/la-consommation-n-a-pas-redemarre-dans-les-supermarches-en-2024-en-2024-tous-les-moteurs-sont-casses_6498977_3234.html
https://code.travail.gouv.fr/code-du-travail/r4228-1
https://code.travail.gouv.fr/code-du-travail/r4228-10Marchés couverts : https://www.insee.fr/fr/metadonnees/source/serie/s1161</t>
    </r>
  </si>
  <si>
    <r>
      <rPr>
        <b/>
        <sz val="9"/>
        <rFont val="Calibri"/>
      </rPr>
      <t>Centres commerciaux / Malls</t>
    </r>
    <r>
      <rPr>
        <sz val="9"/>
        <rFont val="Calibri"/>
      </rPr>
      <t xml:space="preserve"> : Centre commercial : batteries clients par mail/étage + sanitaires personnel/commerçants.Hyper-Supermarchés : Hypermarché/supermarché : bloc clients + sanitaires personnel/réserve. Douches selon postes salissants, horaires postés et maintenance.Marchés couverts : Marché couvert : bloc public central + commerçants.</t>
    </r>
  </si>
  <si>
    <r>
      <rPr>
        <b/>
        <sz val="9"/>
        <rFont val="Calibri"/>
      </rPr>
      <t>Centres commerciaux / Malls</t>
    </r>
    <r>
      <rPr>
        <sz val="9"/>
        <rFont val="Calibri"/>
      </rPr>
      <t xml:space="preserve"> : Capacité type ≈ 2870 usagers principaux + 450 staff + 180 autre public. Flux élevé mais réparti par zones, restauration et événements créant des pointes. Dimensionnement unitaire retenu : batteries multi-cabines aux pôles de flux et blocs staff/locataires, PMR par niveau. Hypothèse d'usage : capacité simultanée moyenne 2026, répartition par flux réels, arrondie par blocs fonctionnels et exclusion des sanitaires strictement privatifs sauf cas explicitement collectifs.Hyper-Supermarchés : Capacité type ≈ 330 usagers principaux + 55 staff + 15 autre public. Clients en rotation rapide, personnel de vente/réserve et prestataires. Dimensionnement unitaire retenu : petite batterie clients près accueil + sanitaires salariés séparés ; peu de douches (manutention, froid, maintenance, poussières ou horaires postés). Hypothèse d'usage : capacité simultanée moyenne 2026, répartition par flux réels, arrondie par blocs fonctionnels.Marchés couverts : Capacité type ≈ 312 usagers principaux + 60 staff + 28 prestataires/livreurs. Le programme sanitaire est construit par blocs fonctionnels plausibles (public, personnel, exploitation/hébergement selon le cas) et non par simple ratio national moyen. Calibrage selon capacité simultanée, répartition de flux et organisation réelle du site.</t>
    </r>
  </si>
  <si>
    <r>
      <rPr>
        <b/>
        <sz val="9"/>
        <rFont val="Calibri"/>
      </rPr>
      <t>Centres commerciaux / Malls</t>
    </r>
    <r>
      <rPr>
        <sz val="9"/>
        <rFont val="Calibri"/>
      </rPr>
      <t xml:space="preserve"> : Profil très grand, capacité moyenne ≈ 3500 personnes. Moyenne pondérée terrain : parc majoritairement petits/moyens sites, grands sites intégrés sans surpondération ; usage 2025 modérée à forte par pics.Hyper-Supermarchés ; Marchés couverts : Profil grand, capacité moyenne ≈ 400 personnes. Moyenne pondérée terrain : parc majoritairement petits/moyens sites, grands sites intégrés sans surpondération ; usage 2025 modérée à forte par pics.</t>
    </r>
  </si>
  <si>
    <r>
      <rPr>
        <b/>
        <sz val="9"/>
        <rFont val="Calibri"/>
      </rPr>
      <t>Centres commerciaux / Malls ; Hyper-Supermarchés</t>
    </r>
    <r>
      <rPr>
        <sz val="9"/>
        <rFont val="Calibri"/>
      </rPr>
      <t xml:space="preserve"> : ERP/accessibilité sanitaires publics : https://www.legifrance.gouv.fr/loda/article_lc/LEGIARTI000034485966/ ; Code du travail sanitaires salariés : https://www.legifrance.gouv.fr/codes/id/LEGISCTA000018531984 ; INRS : https://www.inrs.fr/publications/juridique/focus-juridiques/focus-sanitaires-toilettes.htmlMarchés couverts : Code du travail (sanitaires et vestiaires staff) + programmation ERP/usages d'exploitation ; source de comptage propre à la ligne en col. AP.</t>
    </r>
  </si>
  <si>
    <r>
      <rPr>
        <b/>
        <sz val="9"/>
        <rFont val="Calibri"/>
      </rPr>
      <t>Centres commerciaux / Malls</t>
    </r>
    <r>
      <rPr>
        <sz val="9"/>
        <rFont val="Calibri"/>
      </rPr>
      <t xml:space="preserve"> : Trafic client élevé, usage anonyme, nettoyage multi-passage et pics week-end; maintenance professionnelle mais sollicitations fortes. Entre aéroport et hypermarché, électronique prudent. Pics fréquentation, peu d'appropriation des lieux et vandalisme non nul. Disponibilité immédiate requise, vandalisme et coûts d’exploitation élevés. La temporisation mécanique et la chasse directe sont favorisées.Hyper-Supermarchés : Flux clients important mais blocs plus petits que malls, pics courses et usage familles; maintenance sous contrainte d'exploitation. Proche centres commerciaux mais légèrement moins continu. Repères durées: lavabos 11/12/8 ans (mit./méca/élec.), douches 10/9/7, urinoirs 9/11/7/9, WC 12/12/8.Marchés couverts : Ouverture par plages, salissures alimentaires, humidité de nettoyage et maintenance parfois municipale. Plus court que commerce classique, surtout réservoirs, lavabos et électroniques. Usage quotidien mais mieux maîtrisé, faible vandalisme et maintenance planifiée. Cela allonge toutes les durées et réduit les écarts. Le temporisé mécanique n'est plus vraiment derrière le mitigeur et l'électronique est soutenue lorsque l'alimentation et la maintenance sont stabilisées. Faible vandalisme, rénovations par lots.</t>
    </r>
  </si>
  <si>
    <r>
      <rPr>
        <b/>
        <sz val="9"/>
        <rFont val="Calibri"/>
      </rPr>
      <t>Centres commerciaux / Malls</t>
    </r>
    <r>
      <rPr>
        <sz val="9"/>
        <rFont val="Calibri"/>
      </rPr>
      <t xml:space="preserve"> : Centres commerciaux / Malls (dotés de sanitaires collectifs clients) : parc 2025 domine par tempo mecanique (55%), avec mitigeur manuel en appoint. Le choix reflete rotation clients/personnel, pics repas ou achats et pression sur image de marque ; experience client, debit de nettoyage, economie d eau et cout d exploitation.Hyper-Supermarchés : Hyper-Supermarchés (dotés de sanitaires collectifs clients) : parc 2025 domine par tempo mecanique (55%), avec mitigeur manuel en appoint. Le choix reflete rotation clients/personnel, pics repas ou achats et pression sur image de marque ; experience client, debit de nettoyage, economie d eau et cout d exploitation.Marchés couverts : Le parc des marchés couverts reste assez hétérogène : mitigeurs et temporisés mécaniques coexistent largement, avec une électronique encore minoritaire.</t>
    </r>
  </si>
  <si>
    <r>
      <rPr>
        <b/>
        <sz val="9"/>
        <rFont val="Calibri"/>
      </rPr>
      <t>Centres commerciaux / Malls ; Hyper-Supermarchés</t>
    </r>
    <r>
      <rPr>
        <sz val="9"/>
        <rFont val="Calibri"/>
      </rPr>
      <t xml:space="preserve"> : 2025-2030 : progression de tempo electronique (+4,0%), surtout lors des renov. lourdes/neuf ; recul de mitigeur manuel (-4,0%) mais maintien d un socle robuste pour les remplacements partiels.Marchés couverts : Les sites commerciaux/loisirs intensifs montent plus franchement en électronique d’ici 2030, avec maintien d’un socle temporisé mécanique pour la robustesse et la simplicité.</t>
    </r>
  </si>
  <si>
    <r>
      <rPr>
        <b/>
        <sz val="9"/>
        <rFont val="Calibri"/>
      </rPr>
      <t>Centres commerciaux / Malls</t>
    </r>
    <r>
      <rPr>
        <sz val="9"/>
        <rFont val="Calibri"/>
      </rPr>
      <t xml:space="preserve"> : Centres commerciaux / Malls (dotés de sanitaires collectifs clients) : parc 2025 domine par mitigeur (45%), avec tempo mecanique en appoint. Le choix reflete rotation clients/personnel, pics repas ou achats et pression sur image de marque ; experience client, debit de nettoyage, economie d eau et cout d exploitation.Hyper-Supermarchés : Hyper/supermarchés : douches salariés minoritaires, mix proche tertiaire/logistique avec mitigeur dominant et temporisé mécanique en appoint.Marchés couverts : Sans objet.</t>
    </r>
  </si>
  <si>
    <r>
      <rPr>
        <b/>
        <sz val="9"/>
        <rFont val="Calibri"/>
      </rPr>
      <t>Centres commerciaux / Malls</t>
    </r>
    <r>
      <rPr>
        <sz val="9"/>
        <rFont val="Calibri"/>
      </rPr>
      <t xml:space="preserve"> : 2025-2030 : progression de tempo electronique (+3,0%), surtout lors des renov. lourdes/neuf ; recul de mitigeur (-5,0%) mais maintien d un socle robuste pour les remplacements partiels.Hyper-Supermarchés : Évolution 2025-2030 : léger recul du mitigeur au profit du temporisé et de l’électronique dans les rénovations de locaux sociaux.Marchés couverts : Sans objet.</t>
    </r>
  </si>
  <si>
    <r>
      <rPr>
        <b/>
        <sz val="9"/>
        <rFont val="Calibri"/>
      </rPr>
      <t>Centres commerciaux / Malls</t>
    </r>
    <r>
      <rPr>
        <sz val="9"/>
        <rFont val="Calibri"/>
      </rPr>
      <t xml:space="preserve"> : Centres commerciaux / Malls (dotés de sanitaires collectifs clients) : parc 2025 domine par directe mecanique (55%), avec directe electronique collective en appoint. Le choix reflete rotation clients/personnel, pics repas ou achats et pression sur image de marque ; experience client, debit de nettoyage, economie d eau et cout d exploitation.Hyper-Supermarchés : Hyper-Supermarchés (dotés de sanitaires collectifs clients) : parc 2025 domine par directe mecanique (55%), avec directe electronique collective en appoint. Le choix reflete rotation clients/personnel, pics repas ou achats et pression sur image de marque ; experience client, debit de nettoyage, economie d eau et cout d exploitation.Marchés couverts : Le parc d’urinoirs reste mixte entre solutions classiques et quelques collectifs anciens.</t>
    </r>
  </si>
  <si>
    <r>
      <rPr>
        <b/>
        <sz val="9"/>
        <rFont val="Calibri"/>
      </rPr>
      <t>Centres commerciaux / Malls ; Hyper-Supermarchés</t>
    </r>
    <r>
      <rPr>
        <sz val="9"/>
        <rFont val="Calibri"/>
      </rPr>
      <t xml:space="preserve"> : 2025-2030 : progression de directe electronique indiv. (+3,0%), surtout lors des renov. lourdes/neuf ; recul de a reservoir (-2,0%) mais maintien d un socle robuste pour les remplacements partiels.Marchés couverts : Les sites commerciaux et de loisirs font davantage progresser l’automatique d’ici 2030, tout en gardant une part mécanique.</t>
    </r>
  </si>
  <si>
    <r>
      <rPr>
        <b/>
        <sz val="9"/>
        <rFont val="Calibri"/>
      </rPr>
      <t>Centres commerciaux / Malls</t>
    </r>
    <r>
      <rPr>
        <sz val="9"/>
        <rFont val="Calibri"/>
      </rPr>
      <t xml:space="preserve"> : Centres commerciaux / Malls (dotés de sanitaires collectifs clients) : parc 2025 domine par reservoir (50%), avec chasse directe mecanique en appoint. Le choix reflete rotation clients/personnel, pics repas ou achats et pression sur image de marque ; experience client, debit de nettoyage, economie d eau et cout d exploitation.Hyper-Supermarchés : Hyper-Supermarchés (dotés de sanitaires collectifs clients) : parc 2025 domine par reservoir (50%), avec chasse directe mecanique en appoint. Le choix reflete rotation clients/personnel, pics repas ou achats et pression sur image de marque ; experience client, debit de nettoyage, economie d eau et cout d exploitation.Marchés couverts : Les réservoirs restent majoritaires sur ce parc souvent ancien, la chasse directe progressant par modernisation des blocs.</t>
    </r>
  </si>
  <si>
    <r>
      <rPr>
        <b/>
        <sz val="9"/>
        <rFont val="Calibri"/>
      </rPr>
      <t>Centres commerciaux / Malls ; Hyper-Supermarchés</t>
    </r>
    <r>
      <rPr>
        <sz val="9"/>
        <rFont val="Calibri"/>
      </rPr>
      <t xml:space="preserve"> : 2025-2030 : progression de chasse directe mecanique (+5,0%), surtout lors des renov. lourdes/neuf ; recul de reservoir (-10,0%) mais maintien d un socle robuste pour les remplacements partiels.Marchés couverts : Les sites commerciaux/loisirs intensifs font monter plus vite la chasse directe et l’électronique ; le réservoir recule nettement mais ne disparaît pas.</t>
    </r>
  </si>
  <si>
    <r>
      <rPr>
        <b/>
        <sz val="9"/>
        <rFont val="Calibri"/>
      </rPr>
      <t>Centres commerciaux / Malls ; Hyper-Supermarchés</t>
    </r>
    <r>
      <rPr>
        <sz val="9"/>
        <rFont val="Calibri"/>
      </rPr>
      <t xml:space="preserve"> : 81,2% retenu : besoins transformes en travaux selon rotation clients/personnel, pics repas ou achats et pression sur image de marque. Le phasage budgetaire, les fermetures partielles et la maintenance courante limitent la conversion totale.Marchés couverts : 85,1% retenu : part des besoins réellement transformée en travaux sur 2026-2030 après prise en compte des budgets, du phasage et des arbitrages locaux.</t>
    </r>
  </si>
  <si>
    <r>
      <rPr>
        <b/>
        <sz val="9"/>
        <rFont val="Calibri"/>
      </rPr>
      <t>Centres commerciaux / Malls ; Hyper-Supermarchés</t>
    </r>
    <r>
      <rPr>
        <sz val="9"/>
        <rFont val="Calibri"/>
      </rPr>
      <t xml:space="preserve"> : Potentiel renovation : tire par experience client, debit de nettoyage, economie d eau et cout d exploitation. Les remplacements sont plutot par lots, avec arbitrage entre urgence sanitaire, budget et capacite a intervenir en site occupe.Marchés couverts : Potentiel rénovation élevé : modernisation des parties communes, sanitaires visiteurs, repositionnement d’actifs et amélioration ESG. Les volumes restent d’abord tirés par les WC et les lavabos, plus que par les postes spécialisés. En rénovation, le marché reste orienté vers des gammes fiables, disponibles et rapides à poser afin de limiter l’arrêt d’exploitation.</t>
    </r>
  </si>
  <si>
    <r>
      <rPr>
        <b/>
        <sz val="9"/>
        <rFont val="Calibri"/>
      </rPr>
      <t>Centres commerciaux / Malls</t>
    </r>
    <r>
      <rPr>
        <sz val="9"/>
        <rFont val="Calibri"/>
      </rPr>
      <t xml:space="preserve"> : Potentiel neuf : plus visible pour centres commerciaux / malls (dotés de sanitaires collectifs clients), surtout via extensions, reconstructions ou projets locaux. Le neuf reste contraint par foncier, budgets et delais de mise en service.Hyper-Supermarchés : Potentiel neuf : plus visible pour hyper-supermarchés (dotés de sanitaires collectifs clients), surtout via extensions, reconstructions ou projets locaux. Le neuf reste contraint par foncier, budgets et delais de mise en service.Marchés couverts : Potentiel neuf moyen : peu de grands centres neufs, davantage d’extensions/requalifications et de retail parks. Le neuf est significatif mais encore nettement inférieur à la rénovation.</t>
    </r>
  </si>
  <si>
    <r>
      <rPr>
        <b/>
        <sz val="9"/>
        <rFont val="Calibri"/>
      </rPr>
      <t>Centres commerciaux / Malls ; Hyper-Supermarchés</t>
    </r>
    <r>
      <rPr>
        <sz val="9"/>
        <rFont val="Calibri"/>
      </rPr>
      <t xml:space="preserve"> : Projets phares renovation : reprise de blocs sanitaires, accessibilite, ventilation, economie d eau, remplacement des pieces usees et adaptation aux pics de frequentation propres au sous-segment.Marchés couverts : Projets phares réno : sanitaires visiteurs, parties communes, food court, repositionnement de centres et marchés couverts.</t>
    </r>
  </si>
  <si>
    <r>
      <rPr>
        <b/>
        <sz val="9"/>
        <rFont val="Calibri"/>
      </rPr>
      <t>Centres commerciaux / Malls ; Hyper-Supermarchés</t>
    </r>
    <r>
      <rPr>
        <sz val="9"/>
        <rFont val="Calibri"/>
      </rPr>
      <t xml:space="preserve"> : Projets phares neuf : creations ou reconstructions selectives, integration de sanitaires plus sobres, robustes et faciles a maintenir des la conception.Marchés couverts : Projets phares neuf : retail parks, extensions ciblées, marchés couverts reconstruits, programmes mixtes commerce/loisirs.</t>
    </r>
  </si>
  <si>
    <r>
      <rPr>
        <b/>
        <sz val="9"/>
        <rFont val="Calibri"/>
      </rPr>
      <t>Centres commerciaux / Malls ; Hyper-Supermarchés</t>
    </r>
    <r>
      <rPr>
        <sz val="9"/>
        <rFont val="Calibri"/>
      </rPr>
      <t xml:space="preserve"> : Dynamique renovation 2026-2030 : forte, car l usure et l hygiene rendent les interventions recurrentes. Menaces : arbitrages d investissement, travaux en exploitation et cout de maintenance.Marchés couverts : Dynamique réno 2026-2030 : élevée, car la valeur des actifs se joue surtout dans la remise à niveau et la fréquentation.</t>
    </r>
  </si>
  <si>
    <r>
      <rPr>
        <b/>
        <sz val="9"/>
        <rFont val="Calibri"/>
      </rPr>
      <t>Centres commerciaux / Malls ; Hyper-Supermarchés</t>
    </r>
    <r>
      <rPr>
        <sz val="9"/>
        <rFont val="Calibri"/>
      </rPr>
      <t xml:space="preserve"> : Dynamique neuf 2026-2030 : faible a moderee, dependante des projets immobiliers, de la demographie locale et des budgets de maitrise d ouvrage.Marchés couverts : Dynamique neuf 2026-2030 : modérée ; la création pure est limitée, le marché privilégiant la requalification. Les programmes sortent plus facilement quand ils sont intégrés à une requalification urbaine plus large.</t>
    </r>
  </si>
  <si>
    <r>
      <rPr>
        <b/>
        <sz val="9"/>
        <rFont val="Calibri"/>
      </rPr>
      <t>Restaurants</t>
    </r>
    <r>
      <rPr>
        <sz val="9"/>
        <rFont val="Calibri"/>
      </rPr>
      <t xml:space="preserve"> ; </t>
    </r>
    <r>
      <rPr>
        <b/>
        <sz val="9"/>
        <rFont val="Calibri"/>
      </rPr>
      <t>Cafés / bars / brasseries</t>
    </r>
    <r>
      <rPr>
        <sz val="9"/>
        <rFont val="Calibri"/>
      </rPr>
      <t xml:space="preserve"> : </t>
    </r>
    <r>
      <rPr>
        <sz val="9"/>
        <rFont val="Calibri"/>
      </rPr>
      <t>https://www.statistiques.developpement-durable.gouv.fr/construction-de-locaux-resultats-fin-janvier-2026-france-entiere
https://www.insee.fr/fr/statistiques/8671745
https://www.insee.fr/fr/statistiques/8906564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https://www.atout-france.fr/fr/actualites/bilan-touristique-de-lannee-2025-avec-102-millions-de-visiteurs-la-france-pays-le-plusFast-food / Cafétérias / Food courts : https://www.statistiques.developpement-durable.gouv.fr/construction-de-locaux-resultats-fin-janvier-2026-france-entiere
https://www.insee.fr/fr/statistiques/8671745
https://www.insee.fr/fr/statistiques/8906564Établissements flottants :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
https://www.statistiques.developpement-durable.gouv.fr/construction-de-locaux-resultats-fin-janvier-2026-france-entiere
https://www.insee.fr/fr/statistiques/8671745
https://www.insee.fr/fr/statistiques/8906564</t>
    </r>
  </si>
  <si>
    <r>
      <rPr>
        <b/>
        <sz val="9"/>
        <rFont val="Calibri"/>
      </rPr>
      <t>Centres commerciaux / Malls ; Hyper-Supermarchés</t>
    </r>
    <r>
      <rPr>
        <sz val="9"/>
        <rFont val="Calibri"/>
      </rPr>
      <t xml:space="preserve"> : BonneMarchés couverts : Moyenne+</t>
    </r>
  </si>
  <si>
    <r>
      <rPr>
        <b/>
        <sz val="9"/>
        <rFont val="Calibri"/>
      </rPr>
      <t>Centres commerciaux / Malls</t>
    </r>
    <r>
      <rPr>
        <sz val="9"/>
        <rFont val="Calibri"/>
      </rPr>
      <t xml:space="preserve"> : Parc existant centre sur le niveau upscale, avec ventes 2026-2030 legerement plus qualitatives. Centres commerciaux / Malls (dotés de sanitaires collectifs clients) : rotation clients/personnel, pics repas ou achats et pression sur image de marque; le mix reste guide par experience client, debit de nettoyage, economie d eau et cout d exploitation.Hyper-Supermarchés : Parc existant centre sur le niveau upscale, avec ventes 2026-2030 legerement plus qualitatives. Hyper-Supermarchés (dotés de sanitaires collectifs clients) : rotation clients/personnel, pics repas ou achats et pression sur image de marque; le mix reste guide par experience client, debit de nettoyage, economie d eau et cout d exploitation.Marchés couverts : Marchés couverts : parc majoritairement public, souvent ancien, avec priorité au robuste, au simple et au nettoyable ; basique et moyen dominent clairement. Ventes 2026-2030 : progression surtout du moyen et un peu du premium sur les zones rénovées, liée aux programmes de requalification commerciale et touristique, mais sans rupture du centre de gravité.</t>
    </r>
  </si>
  <si>
    <r>
      <rPr>
        <b/>
        <sz val="9"/>
        <rFont val="Calibri"/>
      </rPr>
      <t>Centres commerciaux / Malls ; Hyper-Supermarchés</t>
    </r>
    <r>
      <rPr>
        <sz val="9"/>
        <rFont val="Calibri"/>
      </rPr>
      <t xml:space="preserve"> : ±4 ptsMarchés couverts : ±5 pts</t>
    </r>
  </si>
  <si>
    <r>
      <rPr>
        <b/>
        <sz val="9"/>
        <rFont val="Calibri"/>
      </rPr>
      <t>Centres commerciaux / Malls ; Hyper-Supermarchés</t>
    </r>
    <r>
      <rPr>
        <sz val="9"/>
        <rFont val="Calibri"/>
      </rPr>
      <t xml:space="preserve"> : BonneMarchés couverts : Moyenne</t>
    </r>
  </si>
  <si>
    <r>
      <rPr>
        <b/>
        <sz val="9"/>
        <rFont val="Calibri"/>
      </rPr>
      <t>Centres commerciaux / Malls ; Hyper-Supermarchés</t>
    </r>
    <r>
      <rPr>
        <sz val="9"/>
        <rFont val="Calibri"/>
      </rPr>
      <t xml:space="preserve"> : Parc existant : experience client, debit de nettoyage, economie d eau et cout d exploitation; rotation clients/personnel, pics repas ou achats et pression sur image de marque. La montee en confort reste proportionnee au budget et au rythme de renovation.Marchés couverts : Marchés couverts : équipements utilitaires, budgets locaux et rénovations surtout portées par remise à niveau technique plutôt que par recherche de standing.</t>
    </r>
  </si>
  <si>
    <r>
      <rPr>
        <b/>
        <sz val="9"/>
        <rFont val="Calibri"/>
      </rPr>
      <t>Centres commerciaux / Malls ; Hyper-Supermarchés</t>
    </r>
    <r>
      <rPr>
        <sz val="9"/>
        <rFont val="Calibri"/>
      </rPr>
      <t xml:space="preserve"> : forte frequentation =&gt; standard robuste ; image client =&gt; premiumisation cibleeMarchés couverts : poids du neuf significatif ⇒ premiumisation des ventes &gt; parc</t>
    </r>
  </si>
  <si>
    <r>
      <rPr>
        <b/>
        <sz val="9"/>
        <rFont val="Calibri"/>
      </rPr>
      <t>Centres commerciaux / Malls</t>
    </r>
    <r>
      <rPr>
        <sz val="9"/>
        <rFont val="Calibri"/>
      </rPr>
      <t xml:space="preserve"> : Centres commerciaux / Malls (dotés de sanitaires collectifs clients) : ventes 2026-2030 en leger glissement vers moyen/premium lorsque le neuf ou les renov. lourdes interviennent. Le centre de gravite reste toutefois module par experience client, debit de nettoyage, economie d eau et cout d exploitation et par la part dominante de travaux sur parc existant.Hyper-Supermarchés : Hyper-Supermarchés (dotés de sanitaires collectifs clients) : ventes 2026-2030 en leger glissement vers moyen/premium lorsque le neuf ou les renov. lourdes interviennent. Le centre de gravite reste toutefois module par experience client, debit de nettoyage, economie d eau et cout d exploitation et par la part dominante de travaux sur parc existant.Marchés couverts : Marchés couverts : parc majoritairement public, souvent ancien, avec priorité au robuste, au simple et au nettoyable ; basique et moyen dominent clairement. Ventes 2026-2030 : progression surtout du moyen et un peu du premium sur les zones rénovées, liée aux programmes de requalification commerciale et touristique, mais sans rupture du centre de gravité.</t>
    </r>
  </si>
  <si>
    <t>1 - Bureaux Tertiaire Privé</t>
  </si>
  <si>
    <t>https://www.statistiques.developpement-durable.gouv.fr/construction-de-locaux-resultats-fin-janvier-2026-france-entiere
https://www.insee.fr/fr/statistiques/8671745
https://www.insee.fr/fr/statistiques/8906564</t>
  </si>
  <si>
    <t>1 - Centres de stockage / Entrepôts / Plateformes logistiques</t>
  </si>
  <si>
    <t>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t>
  </si>
  <si>
    <t>1 - Usines
2 - Ateliers industriels / de maintenance
3 - Garages / Ateliers de réparation automobile recevant du public</t>
  </si>
  <si>
    <r>
      <rPr>
        <b/>
        <sz val="9"/>
        <rFont val="Calibri"/>
      </rPr>
      <t>Usines ; Ateliers industriels / de maintenance</t>
    </r>
    <r>
      <rPr>
        <sz val="9"/>
        <rFont val="Calibri"/>
      </rPr>
      <t xml:space="preserve"> : Hors ERPGarages / Ateliers de réparation automobile recevant du public : Variable</t>
    </r>
  </si>
  <si>
    <r>
      <rPr>
        <b/>
        <sz val="9"/>
        <rFont val="Calibri"/>
      </rPr>
      <t>Usines ; Ateliers industriels / de maintenance</t>
    </r>
    <r>
      <rPr>
        <sz val="9"/>
        <rFont val="Calibri"/>
      </rPr>
      <t xml:space="preserve"> : Hors ERP dominant / ERP ponctuel selon accueilGarages / Ateliers de réparation automobile recevant du public : Mixte / variable selon accueil</t>
    </r>
  </si>
  <si>
    <r>
      <rPr>
        <b/>
        <sz val="9"/>
        <rFont val="Calibri"/>
      </rPr>
      <t>Usines ; Ateliers industriels / de maintenance</t>
    </r>
    <r>
      <rPr>
        <sz val="9"/>
        <rFont val="Calibri"/>
      </rPr>
      <t xml:space="preserve"> : hors ERPGarages / Ateliers de réparation automobile recevant du public : mixte</t>
    </r>
  </si>
  <si>
    <r>
      <rPr>
        <b/>
        <sz val="9"/>
        <rFont val="Calibri"/>
      </rPr>
      <t>Usines ; Ateliers industriels / de maintenance</t>
    </r>
    <r>
      <rPr>
        <sz val="9"/>
        <rFont val="Calibri"/>
      </rPr>
      <t xml:space="preserve"> : nonGarages / Ateliers de réparation automobile recevant du public : oui</t>
    </r>
  </si>
  <si>
    <r>
      <rPr>
        <b/>
        <sz val="9"/>
        <rFont val="Calibri"/>
      </rPr>
      <t>Usines</t>
    </r>
    <r>
      <rPr>
        <sz val="9"/>
        <rFont val="Calibri"/>
      </rPr>
      <t xml:space="preserve"> : Tout type d’usine de plus de 50 personnes, avec sanitaires dédiés ou mutualisés sur place. Hors bureaux autonomes et hors entrepôts / logistique sans fabrication.Ateliers industriels / de maintenance : Sous-ensemble distingué de l'ancienne ligne 'Usines (&gt;50 personnes)'. Ventilation proxy pour isoler les ateliers et centres de maintenance.Garages / Ateliers de réparation automobile recevant du public : Ajout dédié pour les garages et centres auto recevant une clientèle, avec atelier, vestiaires/sanitaires du personnel et souvent sanitaires clients. Proxy sectoriel fondé sur le secteur Insee 452.</t>
    </r>
  </si>
  <si>
    <r>
      <rPr>
        <b/>
        <sz val="9"/>
        <rFont val="Calibri"/>
      </rPr>
      <t>Usines</t>
    </r>
    <r>
      <rPr>
        <sz val="9"/>
        <rFont val="Calibri"/>
      </rPr>
      <t xml:space="preserve"> : Usine agroalimentaire, site métallurgique, usine chimique, usine automobileAteliers industriels / de maintenance : Atelier de maintenance, atelier technique, atelier industrielGarages / Ateliers de réparation automobile recevant du public : Garage automobile, centre auto, atelier de réparation</t>
    </r>
  </si>
  <si>
    <r>
      <rPr>
        <b/>
        <sz val="9"/>
        <rFont val="Calibri"/>
      </rPr>
      <t>Usines ; Ateliers industriels / de maintenance</t>
    </r>
    <r>
      <rPr>
        <sz val="9"/>
        <rFont val="Calibri"/>
      </rPr>
      <t xml:space="preserve"> : Site
Etablissement principalGarages / Ateliers de réparation automobile recevant du public : Site / établissement principal (proxy sectoriel)</t>
    </r>
  </si>
  <si>
    <r>
      <rPr>
        <b/>
        <sz val="9"/>
        <rFont val="Calibri"/>
      </rPr>
      <t>Usines</t>
    </r>
    <r>
      <rPr>
        <sz val="9"/>
        <rFont val="Calibri"/>
      </rPr>
      <t xml:space="preserve"> : proxy emploi / établissements industriels 50+Ateliers industriels / de maintenance : proxy de ventilation d'une ligne existante (somme conservée)Garages / Ateliers de réparation automobile recevant du public : série sectorielle Insee 2021 / proxy établissements</t>
    </r>
  </si>
  <si>
    <r>
      <rPr>
        <b/>
        <sz val="9"/>
        <rFont val="Calibri"/>
      </rPr>
      <t>Ateliers industriels / de maintenance</t>
    </r>
    <r>
      <rPr>
        <sz val="9"/>
        <rFont val="Calibri"/>
      </rPr>
      <t xml:space="preserve"> : Ancienne ligne : Usines (&gt;50 personnes)</t>
    </r>
  </si>
  <si>
    <r>
      <rPr>
        <b/>
        <sz val="9"/>
        <rFont val="Calibri"/>
      </rPr>
      <t>Usines</t>
    </r>
    <r>
      <rPr>
        <sz val="9"/>
        <rFont val="Calibri"/>
      </rPr>
      <t xml:space="preserve"> : Série revue à partir du socle d'étab. industriels + 50 salariés, retranchant ateliers / maintenance (isoler les usines). Baisse jusqu'à 2020, puis stabilisation et légère reprise avec la réindustrialisation récente.Ateliers industriels / de maintenance : Tendance baissière historique, stabilisation récente (besoins de maintenance et à quelques relocalisations industrielles). Incertitude  plus forte que pour les usines ou la logistique.Garages / Ateliers de réparation automobile recevant du public : Point d'ancrage : l'observatoire ANFA indiquait 1 700 entreprises de réparation d'automobiles ayant +10 salariés en 2009. Série 2021-25 remonte, en cohérence avec la hausse de l'emploi du secteur.</t>
    </r>
  </si>
  <si>
    <r>
      <rPr>
        <b/>
        <sz val="9"/>
        <rFont val="Calibri"/>
      </rPr>
      <t>Usines</t>
    </r>
    <r>
      <rPr>
        <sz val="9"/>
        <rFont val="Calibri"/>
      </rPr>
      <t xml:space="preserve"> : Insee Flores 2024 ; Insee Focus 2024 sur les établissements manufacturiers ; Baromètre industriel de l'État 2024.Ateliers industriels / de maintenance : Insee Flores 2024 ; Insee Focus 2024 sur l'industrie manufacturière ; proxy maintenance industrielle.Garages / Ateliers de réparation automobile recevant du public : Insee Ésane secteur 452 entretien-réparation automobile ; presse sectorielle sur les défaillances 2024.</t>
    </r>
  </si>
  <si>
    <r>
      <rPr>
        <b/>
        <sz val="9"/>
        <rFont val="Calibri"/>
      </rPr>
      <t>Usines</t>
    </r>
    <r>
      <rPr>
        <sz val="9"/>
        <rFont val="Calibri"/>
      </rPr>
      <t xml:space="preserve"> : https://www.insee.fr/fr/statistiques/8266010
https://www.insee.fr/fr/statistiques/2012766
https://www.insee.fr/fr/statistiques/8673351Garages / Ateliers de réparation automobile recevant du public : https://observatoire-old.anfa-auto.fr/L-essentiel-des-services-de-l-automobile/Les-secteurs/Commerce-et-maintenance-de-vehicules-legers ; https://www.insee.fr/fr/statistiques/7929133</t>
    </r>
  </si>
  <si>
    <r>
      <rPr>
        <b/>
        <sz val="9"/>
        <rFont val="Calibri"/>
      </rPr>
      <t>Usines</t>
    </r>
    <r>
      <rPr>
        <sz val="9"/>
        <rFont val="Calibri"/>
      </rPr>
      <t xml:space="preserve"> : Usine &gt;50 salariés : sanitaires/vestiaires salariés + douches si travaux salissants.Ateliers industriels / de maintenance : Usine &gt;50 pers. : base code du travail + douches collectives d'atelier/vestiaires ; pas de sanitaires individuels.Garages / Ateliers de réparation automobile recevant du public : Référence code du travail pour bureaux &gt;50 pers. : cabinets/urinoirs par sexe + lavabos, hors sanitaires privatifs. Activité salissante et intervention mécanique : présence de douches salariés, sans systématisation.</t>
    </r>
  </si>
  <si>
    <r>
      <rPr>
        <b/>
        <sz val="9"/>
        <rFont val="Calibri"/>
      </rPr>
      <t>Usines</t>
    </r>
    <r>
      <rPr>
        <sz val="9"/>
        <rFont val="Calibri"/>
      </rPr>
      <t xml:space="preserve"> : Capacité type ≈ 225 usagers principaux + 20 staff + 5 autre public. Équipes de production et maintenance, visiteurs/prestataires minoritaires. Dimensionnement unitaire retenu : blocs par vestiaires/ateliers, douches collectives quand l'activité le justifie. Hypothèse d'usage : capacité simultanée moyenne 2026, répartition par flux réels, arrondie par blocs fonctionnels et exclusion des sanitaires strictement privatifs sauf cas explicitement collectifs.Ateliers industriels / de maintenance : Capacité type ≈ 119 salariés/usagers principaux + 14 staff support + 7 prestataires/intérimaires. Application prioritaire du Code du travail : 1 lavabo/10 travailleurs, 1 WC + 1 urinoir/20 hommes, 2 WC/20 femmes, avec douches dès que les postes sont salissants ; arrondis par noyaux sanitaires/vestiaires. Calibrage selon capacité simultanée, répartition de flux et organisation réelle du site.Garages / Ateliers de réparation automobile recevant du public : Capacité type ≈ 24 salariés/usagers principaux + 5 staff support + 1 visiteurs/prestataires. Application prioritaire du Code du travail : 1 lavabo/10 travailleurs, 1 WC + 1 urinoir/20 hommes, 2 WC/20 femmes, avec douches dès que les postes sont salissants (1,2) ; arrondis par noyaux sanitaires/vestiaires. Calibrage selon capacité simultanée, répartition de flux et organisation réelle du site.</t>
    </r>
  </si>
  <si>
    <r>
      <rPr>
        <b/>
        <sz val="9"/>
        <rFont val="Calibri"/>
      </rPr>
      <t>Usines</t>
    </r>
    <r>
      <rPr>
        <sz val="9"/>
        <rFont val="Calibri"/>
      </rPr>
      <t xml:space="preserve"> : Profil grand, capacité moyenne ≈ 250 personnes. Moyenne pondérée terrain : parc majoritairement petits/moyens sites, grands sites intégrés sans surpondération ; usage 2025 modérée, majoritairement courte.Ateliers industriels / de maintenance : Profil moyen, capacité moyenne ≈ 140 personnes. Moyenne pondérée terrain : parc majoritairement petits/moyens sites, grands sites intégrés sans surpondération ; usage 2025 modérée, majoritairement courte.Garages / Ateliers de réparation automobile recevant du public : Profil moyen, capacité moyenne ≈ 30 personnes. Moyenne pondérée terrain : parc majoritairement petits/moyens sites, grands sites intégrés sans surpondération ; usage 2025 modérée, majoritairement courte.</t>
    </r>
  </si>
  <si>
    <r>
      <rPr>
        <b/>
        <sz val="9"/>
        <rFont val="Calibri"/>
      </rPr>
      <t>Usines</t>
    </r>
    <r>
      <rPr>
        <sz val="9"/>
        <rFont val="Calibri"/>
      </rPr>
      <t xml:space="preserve"> : ERP/accessibilité sanitaires publics : https://www.legifrance.gouv.fr/loda/article_lc/LEGIARTI000034485966/ ; Code du travail sanitaires salariés : https://www.legifrance.gouv.fr/codes/id/LEGISCTA000018531984 ; INRS : https://www.inrs.fr/publications/juridique/focus-juridiques/focus-sanitaires-toilettes.htmlAteliers industriels / de maintenance ; Garages / Ateliers de réparation automobile recevant du public : Code du travail, art. R4228-1 à R4228-10 (installations sanitaires, vestiaires, lavabos, douches, WC) : https://www.legifrance.gouv.fr/codes/section_lc/LEGITEXT000006072050/LEGISCTA000018489205/ ; https://code.travail.gouv.fr/code-du-travail/r4228-10</t>
    </r>
  </si>
  <si>
    <r>
      <rPr>
        <b/>
        <sz val="9"/>
        <rFont val="Calibri"/>
      </rPr>
      <t>Usines</t>
    </r>
    <r>
      <rPr>
        <sz val="9"/>
        <rFont val="Calibri"/>
      </rPr>
      <t xml:space="preserve"> : Usage soutenu, salissures industrielles, avec vestiaires, douches davantage sollicités. Durées réelles restent correctes grâce à une maintenance technique présente, mais intensité et environnement raccourcissent les douches. Maintenance technique disponible mais contraintes de production. Renouvellements souvent par vestiaires ou batteries sanitaires pendant arrêts programmés. Industrie / vestiaires salariés : Usage posté, vestiaires et sanitaires salariés sollicités, qualité d’eau parfois défavorable, maintenance surtout corrective avec arbitrage budgétaire industriel. Proche logistique, avantage aux mécaniques robustes.Ateliers industriels / de maintenance : Usage diffus, entretien régulier et qualité de finition plus élevée que dans les ERP de transit. Les durées de vie sont donc au-dessus de la moyenne. L'électronique reste plus courte si elle existe, surtout hors contrats de maintenance dédiés. Le remplacement se fait souvent par chambre ou par lot lors des rénovations d'étage. Hôtellerie / hébergement marchand : Usage plus résidentiel, faible vandalisme mais attente client élevée. renouvellement souvent par programme de rénovation chambre / salle de bains plus que par panne seule.Garages / Ateliers de réparation automobile recevant du public : Public plus atelier, graisses, solvants, salissures et usage du personnel; blocs souvent petits mais fortement salis. Usage soutenu, parfois salissant, avec vestiaires + douches davantage sollicités. Durées réelles  correctes grâce à une maintenance technique présente, mais l'intensité et l'environnement raccourcissent les douches et les organes exposés. Renouvellements souvent par vestiaires ou batteries sanitaires pendant des arrêts programmés. Usage posté, vestiaires et sanitaires salariés sollicités, qualité d’eau parfois défavorable, maintenance surtout corrective avec arbitrage budgétaire industriel.</t>
    </r>
  </si>
  <si>
    <r>
      <rPr>
        <b/>
        <sz val="9"/>
        <rFont val="Calibri"/>
      </rPr>
      <t>Usines</t>
    </r>
    <r>
      <rPr>
        <sz val="9"/>
        <rFont val="Calibri"/>
      </rPr>
      <t xml:space="preserve"> : Usines (&gt;50 salariés) (Hors Ateliers industriels) : parc 2025 domine par tempo mecanique (50%), avec mitigeur manuel en appoint. Le choix reflete usage salarie de jour, maintenance planifiee et contraintes Code du travail ; sanitaires salaries, cout global, robustesse et sobriete eau.Ateliers industriels / de maintenance : Dans l’industrie, le parc commun privilégie la robustesse : temporisé mécanique dominant, avec une part d’équipements spécifiques/industriels classés en 'autres'.Garages / Ateliers de réparation automobile recevant du public : Dans les bureaux, le mitigeur reste encore très présent dans le parc existant, mais l’électronique a gagné du terrain dans les rénovations tertiaires ; le temporisé mécanique est plus minoritaire que dans l’enseignement ou le sport. Ajustement ciblé 2025 : légère baisse du mitigeur et/ou légère hausse de l’électronique pour mieux refléter la modernisation déjà visible sur les rénovations de sanitaires communs.</t>
    </r>
  </si>
  <si>
    <r>
      <rPr>
        <b/>
        <sz val="9"/>
        <rFont val="Calibri"/>
      </rPr>
      <t>Usines</t>
    </r>
    <r>
      <rPr>
        <sz val="9"/>
        <rFont val="Calibri"/>
      </rPr>
      <t xml:space="preserve"> : 2025-2030 : progression de tempo electronique (+5,0%), surtout lors des renov. lourdes/neuf ; recul de mitigeur manuel (-5,0%) mais maintien d un socle robuste pour les remplacements partiels.Ateliers industriels / de maintenance : En industrie, la bascule reste limitée : le mitigeur baisse un peu, l’électronique progresse surtout dans les sanitaires d’accueil/tertiaires, mais le socle mécanique demeure robuste sur site.Garages / Ateliers de réparation automobile recevant du public : Dans les bureaux, la projection 2030 privilégie la montée de l’électronique sur les rénovations tertiaires ; le temporisé mécanique reste secondaire et le mitigeur recule surtout dans les immeubles neufs ou rénovés.</t>
    </r>
  </si>
  <si>
    <r>
      <rPr>
        <b/>
        <sz val="9"/>
        <rFont val="Calibri"/>
      </rPr>
      <t>Usines</t>
    </r>
    <r>
      <rPr>
        <sz val="9"/>
        <rFont val="Calibri"/>
      </rPr>
      <t xml:space="preserve"> : Usines (&gt;50 salariés) (Hors Ateliers industriels) : parc 2025 domine par mitigeur (50%), avec tempo mecanique en appoint. Le choix reflete usage salarie de jour, maintenance planifiee et contraintes Code du travail ; sanitaires salaries, cout global, robustesse et sobriete eau.Ateliers industriels / de maintenance : Les douches de vestiaires sont très majoritairement temporisées mécaniques sur le parc existant.Garages / Ateliers de réparation automobile recevant du public : Garages/ateliers auto : douches de vestiaires robustes, majoritairement temporisées mécaniques compte tenu de l’usage salissant et de la maintenance.</t>
    </r>
  </si>
  <si>
    <r>
      <rPr>
        <b/>
        <sz val="9"/>
        <rFont val="Calibri"/>
      </rPr>
      <t>Usines</t>
    </r>
    <r>
      <rPr>
        <sz val="9"/>
        <rFont val="Calibri"/>
      </rPr>
      <t xml:space="preserve"> : 2025-2030 : progression de tempo electronique (+3,0%), surtout lors des renov. lourdes/neuf ; recul de mitigeur (-6,0%) mais maintien d un socle robuste pour les remplacements partiels.Ateliers industriels / de maintenance : Les douches d’usine progressent modérément vers l’électronique, mais le parc reste surtout robuste et mécanique.Garages / Ateliers de réparation automobile recevant du public : Évolution 2025-2030 : le temporisé mécanique progresse légèrement, électronique encore minoritaire, mitigeur en recul prudent.</t>
    </r>
  </si>
  <si>
    <r>
      <rPr>
        <b/>
        <sz val="9"/>
        <rFont val="Calibri"/>
      </rPr>
      <t>Usines</t>
    </r>
    <r>
      <rPr>
        <sz val="9"/>
        <rFont val="Calibri"/>
      </rPr>
      <t xml:space="preserve"> : Usines (&gt;50 salariés) (Hors Ateliers industriels) : parc 2025 domine par directe mecanique (50%), avec directe electronique collective en appoint. Le choix reflete usage salarie de jour, maintenance planifiee et contraintes Code du travail ; sanitaires salaries, cout global, robustesse et sobriete eau.Ateliers industriels / de maintenance : Les urinoirs restent surtout mécaniques ou collectifs anciens ; l’automatique est minoritaire.Garages / Ateliers de réparation automobile recevant du public : Les urinoirs automatiques sont désormais courants dans l’immobilier tertiaire récent, sans avoir complètement remplacé le parc mécanique/direct existant.</t>
    </r>
  </si>
  <si>
    <r>
      <rPr>
        <b/>
        <sz val="9"/>
        <rFont val="Calibri"/>
      </rPr>
      <t>Usines</t>
    </r>
    <r>
      <rPr>
        <sz val="9"/>
        <rFont val="Calibri"/>
      </rPr>
      <t xml:space="preserve"> : 2025-2030 : progression de directe electronique indiv. (+3,0%), surtout lors des renov. lourdes/neuf ; recul de a reservoir (-2,0%) mais maintien d un socle robuste pour les remplacements partiels.Ateliers industriels / de maintenance : Le direct mécanique reste fort ; la baisse des réservoirs profite d’abord au mécanique robuste, l’automatique progressant plus lentement.Garages / Ateliers de réparation automobile recevant du public : Projection prudente : recul des systèmes les plus anciens et progression graduelle de l’automatique.</t>
    </r>
  </si>
  <si>
    <r>
      <rPr>
        <b/>
        <sz val="9"/>
        <rFont val="Calibri"/>
      </rPr>
      <t>Usines</t>
    </r>
    <r>
      <rPr>
        <sz val="9"/>
        <rFont val="Calibri"/>
      </rPr>
      <t xml:space="preserve"> : Usines (&gt;50 salariés) (Hors Ateliers industriels) : parc 2025 domine par reservoir (55%), avec chasse directe mecanique en appoint. Le choix reflete usage salarie de jour, maintenance planifiee et contraintes Code du travail ; sanitaires salaries, cout global, robustesse et sobriete eau.Ateliers industriels / de maintenance : La chasse directe est déjà très présente dans les blocs industriels à fort passage, même si le réservoir reste important dans le parc ancien.Garages / Ateliers de réparation automobile recevant du public : Le réservoir reste légèrement majoritaire dans le stock, mais la chasse directe et l’électronique sont déjà bien représentées dans les immeubles récents.</t>
    </r>
  </si>
  <si>
    <r>
      <rPr>
        <b/>
        <sz val="9"/>
        <rFont val="Calibri"/>
      </rPr>
      <t>Usines</t>
    </r>
    <r>
      <rPr>
        <sz val="9"/>
        <rFont val="Calibri"/>
      </rPr>
      <t xml:space="preserve"> : 2025-2030 : progression de chasse directe electronique (+5,0%), surtout lors des renov. lourdes/neuf ; recul de reservoir (-8,0%) mais maintien d un socle robuste pour les remplacements partiels.Ateliers industriels / de maintenance : Le direct progresse pour robustesse, mais le parc existant conserve une forte inertie et le réservoir reste encore important.Garages / Ateliers de réparation automobile recevant du public : Dans les bureaux, la progression va surtout du réservoir vers l’électronique dans les opérations tertiaires lourdes ; le direct simple reste intermédiaire.</t>
    </r>
  </si>
  <si>
    <r>
      <rPr>
        <b/>
        <sz val="9"/>
        <rFont val="Calibri"/>
      </rPr>
      <t>Usines</t>
    </r>
    <r>
      <rPr>
        <sz val="9"/>
        <rFont val="Calibri"/>
      </rPr>
      <t xml:space="preserve"> : 80,4% retenu : besoins transformes en travaux selon usage salarie de jour, maintenance planifiee et contraintes Code du travail. Le phasage budgetaire, les fermetures partielles et la maintenance courante limitent la conversion totale.Ateliers industriels / de maintenance : 86,2% retenu : les sanitaires et vestiaires sont souvent repris lors de travaux sécurité/process, mais le phasage industriel limite une matérialisation totale.Garages / Ateliers de réparation automobile recevant du public : 82,9% retenu : EET, ESG et repositionnement d’actifs rendent la réno concrète, mais la vacance et les arbitrages immobiliers étalent les travaux.</t>
    </r>
  </si>
  <si>
    <r>
      <rPr>
        <b/>
        <sz val="9"/>
        <rFont val="Calibri"/>
      </rPr>
      <t>Usines</t>
    </r>
    <r>
      <rPr>
        <sz val="9"/>
        <rFont val="Calibri"/>
      </rPr>
      <t xml:space="preserve"> : Potentiel renovation : tire par sanitaires salaries, cout global, robustesse et sobriete eau. Les remplacements sont plutot par lots, avec arbitrage entre urgence sanitaire, budget et capacite a intervenir en site occupe.Ateliers industriels / de maintenance : Potentiel rénovation élevé : vestiaires, douches, sanitaires et bâtiments sociaux doivent suivre les exigences de sécurité, d’hygiène et de recrutement. Les volumes se concentrent surtout sur lavabos et wc. En rénovation, les maîtres d’ouvrage privilégient des références robustes, vite posées et faciles à maintenir dans des ambiances humides.Garages / Ateliers de réparation automobile recevant du public : Potentiel rénovation élevé : très soutenu par le décret tertiaire, le repositionnement ESG et le besoin d’améliorer l’expérience salariés. Les lavabos et les WC portent l’essentiel des volumes, avec un poids secondaire des équipements spécialisés. En rénovation, le marché reste orienté vers des gammes fiables, disponibles et rapides à poser afin de limiter l’arrêt d’exploitation.</t>
    </r>
  </si>
  <si>
    <r>
      <rPr>
        <b/>
        <sz val="9"/>
        <rFont val="Calibri"/>
      </rPr>
      <t>Usines</t>
    </r>
    <r>
      <rPr>
        <sz val="9"/>
        <rFont val="Calibri"/>
      </rPr>
      <t xml:space="preserve"> : Potentiel neuf : limite pour usines (&gt;50 salariés) (hors ateliers industriels), surtout via extensions, reconstructions ou projets locaux. Le neuf reste contraint par foncier, budgets et delais de mise en service.Ateliers industriels / de maintenance : Potentiel neuf faible : soutenu par la réindustrialisation, la décarbonation et certains investissements France 2030/Choose France, mais très concentré par filière et par site. Le neuf est quasi nul dans le modèle et renvoie surtout à des reconstructions ou remplacements de sites.Garages / Ateliers de réparation automobile recevant du public : Potentiel neuf moyen à soutenu : le neuf existe surtout sur des immeubles prime, campus et programmes mixtes, mais le marché reste très sélectif. Le neuf est réel mais secondaire.</t>
    </r>
  </si>
  <si>
    <r>
      <rPr>
        <b/>
        <sz val="9"/>
        <rFont val="Calibri"/>
      </rPr>
      <t>Usines</t>
    </r>
    <r>
      <rPr>
        <sz val="9"/>
        <rFont val="Calibri"/>
      </rPr>
      <t xml:space="preserve"> : Projets phares renovation : reprise de blocs sanitaires, accessibilite, ventilation, economie d eau, remplacement des pieces usees et adaptation aux pics de frequentation propres au sous-segment.Ateliers industriels / de maintenance : Projets phares réno : vestiaires, douches, sanitaires salariés, bases vie, bâtiments sociaux et modernisation d’ateliers existants.Garages / Ateliers de réparation automobile recevant du public : Projets phares réno : sanitaires salariés/visiteurs, douches vélo, parties communes, repositionnement d’immeubles anciens ou secondaires.</t>
    </r>
  </si>
  <si>
    <r>
      <rPr>
        <b/>
        <sz val="9"/>
        <rFont val="Calibri"/>
      </rPr>
      <t>Usines</t>
    </r>
    <r>
      <rPr>
        <sz val="9"/>
        <rFont val="Calibri"/>
      </rPr>
      <t xml:space="preserve"> : Projets phares neuf : creations ou reconstructions selectives, integration de sanitaires plus sobres, robustes et faciles a maintenir des la conception.Ateliers industriels / de maintenance : Projets phares neuf : nouvelles usines, extensions de capacité, ateliers, bâtiments salariés et bases vie liées à la décarbonation ou à la relocalisation.Garages / Ateliers de réparation automobile recevant du public : Projets phares neuf : immeubles prime, campus tertiaires, bureaux intégrés à des opérations mixtes ou logistiques.</t>
    </r>
  </si>
  <si>
    <r>
      <rPr>
        <b/>
        <sz val="9"/>
        <rFont val="Calibri"/>
      </rPr>
      <t>Usines</t>
    </r>
    <r>
      <rPr>
        <sz val="9"/>
        <rFont val="Calibri"/>
      </rPr>
      <t xml:space="preserve"> : Dynamique renovation 2026-2030 : moderee, car l usure et l hygiene rendent les interventions recurrentes. Menaces : arbitrages d investissement, travaux en exploitation et cout de maintenance.Ateliers industriels / de maintenance : Dynamique réno 2026-2030 : soutenue, car elle accompagne la modernisation des sites existants et l’amélioration des conditions de travail.Garages / Ateliers de réparation automobile recevant du public : Dynamique réno 2026-2030 : élevée et plus lisible que le neuf ; le remplacement sanitaire accompagne souvent la montée en qualité des immeubles.</t>
    </r>
  </si>
  <si>
    <r>
      <rPr>
        <b/>
        <sz val="9"/>
        <rFont val="Calibri"/>
      </rPr>
      <t>Usines</t>
    </r>
    <r>
      <rPr>
        <sz val="9"/>
        <rFont val="Calibri"/>
      </rPr>
      <t xml:space="preserve"> : Dynamique neuf 2026-2030 : faible a moderee, dependante des projets immobiliers, de la demographie locale et des budgets de maitrise d ouvrage.Ateliers industriels / de maintenance : Dynamique neuf 2026-2030 : réelle mais très polarisée ; les grands projets tirent le marché, tandis que beaucoup d’intentions ne passent pas toutes en chantiers dans les mêmes délais.Garages / Ateliers de réparation automobile recevant du public : Dynamique neuf 2026-2030 : modérée, avec polarisation sur les meilleurs actifs et un écart important entre autorisations et chantiers. Le marché est polarisé entre prime et seconde main, ce qui renforce encore le poids de la rénovation.</t>
    </r>
  </si>
  <si>
    <r>
      <rPr>
        <b/>
        <sz val="9"/>
        <rFont val="Calibri"/>
      </rPr>
      <t>Usines</t>
    </r>
    <r>
      <rPr>
        <sz val="9"/>
        <rFont val="Calibri"/>
      </rPr>
      <t xml:space="preserve"> : Parc existant centre sur le niveau mid, avec ventes 2026-2030 legerement plus qualitatives. Usines (&gt;50 salariés) (Hors Ateliers industriels) : usage salarie de jour, maintenance planifiee et contraintes Code du travail; le mix reste guide par sanitaires salaries, cout global, robustesse et sobriete eau.Ateliers industriels / de maintenance : Parc existant surtout standard. Les ventes restent proches du parc, centré sur standard, car le trafic et la robustesse maintiennent un cahier des charges très fonctionnel. La rénovation restant majoritaire, le mix de ventes reste proche du parc et monte surtout d’un cran sur les opérations lourdes. Sites industriels : le sanitaire suit d’abord la logique d’exploitation, d’entretien et de robustesse ; l’image pèse peu hors bâtiments administratifs.Garages / Ateliers de réparation automobile recevant du public : Parc existant surtout intermédiaire. Les ventes se décalent légèrement vers intermédiaire, sous l’effet combiné de l’hygiène, de l’image et des rénovations lourdes. Le neuf est un peu plus qualitatif que la rénovation, sans renverser le centre de gravité du mix. Bureaux tertiaires : le parc existant reste largement standard/intermédiaire, mais le tertiaire rénové et les sièges cherchent plus de qualité perçue, d’image et d’hygiène.</t>
    </r>
  </si>
  <si>
    <r>
      <rPr>
        <b/>
        <sz val="9"/>
        <rFont val="Calibri"/>
      </rPr>
      <t>Usines ; Ateliers industriels / de maintenance</t>
    </r>
    <r>
      <rPr>
        <sz val="9"/>
        <rFont val="Calibri"/>
      </rPr>
      <t xml:space="preserve"> : ±4 ptsGarages / Ateliers de réparation automobile recevant du public : ±5 pts</t>
    </r>
  </si>
  <si>
    <r>
      <rPr>
        <b/>
        <sz val="9"/>
        <rFont val="Calibri"/>
      </rPr>
      <t>Usines</t>
    </r>
    <r>
      <rPr>
        <sz val="9"/>
        <rFont val="Calibri"/>
      </rPr>
      <t xml:space="preserve"> : Parc existant : sanitaires salaries, cout global, robustesse et sobriete eau; usage salarie de jour, maintenance planifiee et contraintes Code du travail. La montee en confort reste proportionnee au budget et au rythme de renovation.Ateliers industriels / de maintenance : Sites industriels : le sanitaire suit d’abord la logique d’exploitation, d’entretien et de robustesse ; l’image pèse peu hors bâtiments administratifs.Garages / Ateliers de réparation automobile recevant du public : Bureaux tertiaires : le parc existant reste largement standard/intermédiaire, mais le tertiaire rénové et les sièges cherchent plus de qualité perçue, d’image et d’hygiène.</t>
    </r>
  </si>
  <si>
    <r>
      <rPr>
        <b/>
        <sz val="9"/>
        <rFont val="Calibri"/>
      </rPr>
      <t>Usines</t>
    </r>
    <r>
      <rPr>
        <sz val="9"/>
        <rFont val="Calibri"/>
      </rPr>
      <t xml:space="preserve"> : image client =&gt; premiumisation cibleeAteliers industriels / de maintenance : forte fréquentation ⇒ standard ↑, premium/luxe ↓ ; rénovation dominante ⇒ progression graduelleGarages / Ateliers de réparation automobile recevant du public : image + privé ⇒ premium/luxe ↑ ; contrainte sanitaire ⇒ standard/intermédiaire technique ↑ ; poids du neuf significatif ⇒ premiumisation des ventes &gt; parc</t>
    </r>
  </si>
  <si>
    <r>
      <rPr>
        <b/>
        <sz val="9"/>
        <rFont val="Calibri"/>
      </rPr>
      <t>Usines</t>
    </r>
    <r>
      <rPr>
        <sz val="9"/>
        <rFont val="Calibri"/>
      </rPr>
      <t xml:space="preserve"> : Usines (&gt;50 salariés) (Hors Ateliers industriels) : ventes 2026-2030 en leger glissement vers moyen/premium lorsque le neuf ou les renov. lourdes interviennent. Le centre de gravite reste toutefois module par sanitaires salaries, cout global, robustesse et sobriete eau et par la part dominante de travaux sur parc existant.Ateliers industriels / de maintenance : Usines (&gt;50 personnes) : sanitaires d’usine exposés aux usages intensifs et à une logique strictement fonctionnelle. Ventes 2026-2030 : glissement vers davantage de moyen / premium. La rénovation reste majoritaire (81% des ventes, contre 19% en neuf) ; le neuf tire le mix vers le haut sans renverser le centre de gravité. L’écart de niveau de confort entre neuf et rénovation reste perceptible.Garages / Ateliers de réparation automobile recevant du public : Garages / ateliers de réparation automobile recevant du public : tertiaire privé majoritairement standard, avec premium concentré sur sièges, campus et immeubles récents. Ventes 2026-2030 : glissement vers davantage de moyen / premium, surtout sur lavabo (+14,6 pts sur premium+luxe), WC (+12,4 pts sur premium+luxe), urinoir (+9,7 pts sur premium+luxe). La rénovation reste majoritaire (70% des ventes, contre 30% en neuf) ; le neuf tire le mix vers le haut sans renverser le centre de gravité. L’écart de niveau de confort entre neuf et rénovation est net.</t>
    </r>
  </si>
  <si>
    <t>1 - Hôtels
2 - Villages de vacances / Clubs vacances / Centres de vacances familiaux
3 - Résidences de tourisme
4 - Auberges de jeunesse
5 - Pensions de famille</t>
  </si>
  <si>
    <r>
      <rPr>
        <b/>
        <sz val="9"/>
        <rFont val="Calibri"/>
      </rPr>
      <t>Hôtels ; Résidences de tourisme ; Pensions de famille</t>
    </r>
    <r>
      <rPr>
        <sz val="9"/>
        <rFont val="Calibri"/>
      </rPr>
      <t xml:space="preserve"> : OVillages de vacances / Clubs vacances / Centres de vacances familiaux : O / variableAuberges de jeunesse : O ou R</t>
    </r>
  </si>
  <si>
    <r>
      <rPr>
        <b/>
        <sz val="9"/>
        <rFont val="Calibri"/>
      </rPr>
      <t>Hôtels ; Résidences de tourisme ; Auberges de jeunesse ; Pensions de famille</t>
    </r>
    <r>
      <rPr>
        <sz val="9"/>
        <rFont val="Calibri"/>
      </rPr>
      <t xml:space="preserve"> : ERPVillages de vacances / Clubs vacances / Centres de vacances familiaux : ERP / variable</t>
    </r>
  </si>
  <si>
    <r>
      <rPr>
        <b/>
        <sz val="9"/>
        <rFont val="Calibri"/>
      </rPr>
      <t>Hôtels ; Villages de vacances / Clubs vacances / Centres de vacances familiaux ; Résidences de tourisme ; Pensions de famille</t>
    </r>
    <r>
      <rPr>
        <sz val="9"/>
        <rFont val="Calibri"/>
      </rPr>
      <t xml:space="preserve"> : ouiAuberges de jeunesse : variable</t>
    </r>
  </si>
  <si>
    <r>
      <rPr>
        <b/>
        <sz val="9"/>
        <rFont val="Calibri"/>
      </rPr>
      <t>Hôtels</t>
    </r>
    <r>
      <rPr>
        <sz val="9"/>
        <rFont val="Calibri"/>
      </rPr>
      <t xml:space="preserve"> : Hébergement hôtelier. Comptage =&gt; lobby / accueil ; sanitaires clients communs ; restaurant / petit-déjeuner / bar d’hôtel ; salles de réunion / séminaire internes ; sanitaires salariés ; éventuellement vestiaires salariés ; mais aucune salle de bain de chambre.Villages de vacances / Clubs vacances / Centres de vacances familiaux : accueil / lobby ; restaurant ou salle de restauration collective ; bar ; salle polyvalente / animation / spectacle ; clubs enfants ; sanitaires publics extérieurs ou communs ; sanitaires salariés ; parfois vestiaires salariés ; parfois petits blocs liés à piscine, plage, sport ou animation.Résidences de tourisme : Hébergement touristique avec accueil.Auberges de jeunesse : Classement selon exploitation et activité.Pensions de famille : Hébergement de type pension.</t>
    </r>
  </si>
  <si>
    <r>
      <rPr>
        <b/>
        <sz val="9"/>
        <rFont val="Calibri"/>
      </rPr>
      <t>Hôtels</t>
    </r>
    <r>
      <rPr>
        <sz val="9"/>
        <rFont val="Calibri"/>
      </rPr>
      <t xml:space="preserve"> : Hôtel, motelVillages de vacances / Clubs vacances / Centres de vacances familiaux : Village vacances, club vacances, maison familiale vacances, petit centre familial (Logique : séjour “tout-en-un”)Résidences de tourisme : Résidence hôtelière (Logique : hébergement autonome)Auberges de jeunesse : Auberge de jeunessePensions de famille : Pension de famille</t>
    </r>
  </si>
  <si>
    <r>
      <rPr>
        <b/>
        <sz val="9"/>
        <rFont val="Calibri"/>
      </rPr>
      <t>Hôtels ; Résidences de tourisme ; Auberges de jeunesse ; Pensions de famille</t>
    </r>
    <r>
      <rPr>
        <sz val="9"/>
        <rFont val="Calibri"/>
      </rPr>
      <t xml:space="preserve"> : Site
Etablissement principalVillages de vacances / Clubs vacances / Centres de vacances familiaux : Site / établissement principal</t>
    </r>
  </si>
  <si>
    <r>
      <rPr>
        <b/>
        <sz val="9"/>
        <rFont val="Calibri"/>
      </rPr>
      <t>Hôtels ; Résidences de tourisme</t>
    </r>
    <r>
      <rPr>
        <sz val="9"/>
        <rFont val="Calibri"/>
      </rPr>
      <t xml:space="preserve"> : série publique directeVillages de vacances / Clubs vacances / Centres de vacances familiaux : ajout qualitatif – à quantifier avant intégrationAuberges de jeunesse ; Pensions de famille : proxy public / estimation encadrée</t>
    </r>
  </si>
  <si>
    <r>
      <rPr>
        <b/>
        <sz val="9"/>
        <rFont val="Calibri"/>
      </rPr>
      <t>Hôtels ; Résidences de tourisme ; Auberges de jeunesse ; Pensions de famille</t>
    </r>
    <r>
      <rPr>
        <sz val="9"/>
        <rFont val="Calibri"/>
      </rPr>
      <t xml:space="preserve"> : MoyenneVillages de vacances / Clubs vacances / Centres de vacances familiaux : Élevé</t>
    </r>
  </si>
  <si>
    <r>
      <rPr>
        <b/>
        <sz val="9"/>
        <rFont val="Calibri"/>
      </rPr>
      <t>Hôtels</t>
    </r>
    <r>
      <rPr>
        <sz val="9"/>
        <rFont val="Calibri"/>
      </rPr>
      <t xml:space="preserve"> : Ancres officielles Insee : 2015=18 496 (parc annuel), 2017=17 840 (parc annuel), 2024=15 155 (moyenne mensuelle annuelle France). 2000-2014 et 2025-2030 = reconstitution / projection prudente.Villages de vacances / Clubs vacances / Centres de vacances familiaux ; Résidences de tourisme ; Pensions de famille : Pas de stagnation structurelle : la série évolue à la hausse sur la période 2000-2026 ; la projection prolonge cette tendance avec prudence.Auberges de jeunesse : Faute de série nationale homogène publiée annuellement pour cette sous-catégorie, le proxy est lissé ; la faible variation reflète une prudence méthodologique.</t>
    </r>
  </si>
  <si>
    <r>
      <rPr>
        <b/>
        <sz val="9"/>
        <rFont val="Calibri"/>
      </rPr>
      <t>Hôtels</t>
    </r>
    <r>
      <rPr>
        <sz val="9"/>
        <rFont val="Calibri"/>
      </rPr>
      <t xml:space="preserve"> : Insee parc hôtelier 2024. Baisse structurelle longue du nombre d’hôtels, surtout chez les petits indépendants, puis légère stabilisation/reprise après 2024.Villages de vacances / Clubs vacances / Centres de vacances familiaux ; Résidences de tourisme : Insee autres hébergements collectifs touristiques 2024. Dynamique projetée 2027-2030: hausse légère. Fiabilité: bonne.Auberges de jeunesse : proxy auberges collectives/jeunesse. Dynamique projetée 2027-2030: stable. Fiabilité: moyenne.Pensions de famille : proxy pensions/structures assimilées. Dynamique projetée 2027-2030: hausse légère. Fiabilité: moyenne.</t>
    </r>
  </si>
  <si>
    <r>
      <rPr>
        <b/>
        <sz val="9"/>
        <rFont val="Calibri"/>
      </rPr>
      <t>Hôtels</t>
    </r>
    <r>
      <rPr>
        <sz val="9"/>
        <rFont val="Calibri"/>
      </rPr>
      <t xml:space="preserve"> : https://www.insee.fr/fr/statistiques/2015412 ; https://www.insee.fr/fr/statistiques/2015395Villages de vacances / Clubs vacances / Centres de vacances familiaux : https://www.legifrance.gouv.fr/codes/section_lc/LEGITEXT000006074073/LEGISCTA000006158431/
https://www.legifrance.gouv.fr/codes/article_lc/LEGIARTI000006813419/2006-10-07Résidences de tourisme : https://www.insee.fr/fr/statistiques/2015462Auberges de jeunesse : https://www.atout-france.fr/fr/classement/les-categories-dhebergementPensions de famille : https://www.insee.fr/fr/metadonnees/source/serie/s1161</t>
    </r>
  </si>
  <si>
    <r>
      <rPr>
        <b/>
        <sz val="9"/>
        <rFont val="Calibri"/>
      </rPr>
      <t>Hôtels</t>
    </r>
    <r>
      <rPr>
        <sz val="9"/>
        <rFont val="Calibri"/>
      </rPr>
      <t xml:space="preserve"> : Hôtel : sanitaires communs lobby/restaurant/salles + staff ; chambres privatives exclues.Villages de vacances / Clubs vacances / Centres de vacances familiaux : Village/club vacances : blocs communs restauration/animation/piscine + staff, hébergements privatifs exclus.Résidences de tourisme : Résidence de tourisme : sanitaires communs d'accueil/loisirs + staff ; logements privatifs exclus.Auberges de jeunesse : Auberge : blocs collectifs d'étage, pas de chambres privatives.Pensions de famille : Pension de famille : blocs communs seulement.</t>
    </r>
  </si>
  <si>
    <r>
      <rPr>
        <b/>
        <sz val="9"/>
        <rFont val="Calibri"/>
      </rPr>
      <t>Hôtels</t>
    </r>
    <r>
      <rPr>
        <sz val="9"/>
        <rFont val="Calibri"/>
      </rPr>
      <t xml:space="preserve"> : Capacité type ≈ 65 usagers principaux + 20 staff + 5 autre public. Clients hébergés mais sanitaires privatifs majoritaires ; seuls espaces communs et staff sont comptés. Dimensionnement unitaire retenu : blocs communs par rez-de-chaussée/salles et sanitaires salariés, sans compter salles d'eau des chambres. Hypothèse d'usage : capacité simultanée moyenne 2026, répartition par flux réels, arrondie par blocs fonctionnels et exclusion des sanitaires strictement privatifs sauf cas explicitement collectifs.Villages de vacances / Clubs vacances / Centres de vacances familiaux : Capacité type ≈ 180 usagers principaux + 35 staff + 10 autre public. Équipement multi-activités avec familles, restauration et animation. Dimensionnement unitaire retenu : plusieurs blocs collectifs sur pôles publics et vestiaires/douches zones sport/piscine. Hypothèse d'usage : capacité simultanée moyenne 2026, répartition par flux réels, arrondie par blocs fonctionnels et exclusion des sanitaires strictement privatifs sauf cas explicitement collectifs.Résidences de tourisme : Capacité type ≈ 96 usagers principaux + 18 staff + 6 autre public. Jauge déjà renseignée ; usage collectif limité aux espaces communs, hors sanitaires des logements. Dimensionnement unitaire retenu : petits blocs accueil/salle/piscine et sanitaires salariés. Hypothèse d'usage : capacité simultanée moyenne 2026, répartition par flux réels, arrondie par blocs fonctionnels et exclusion des sanitaires strictement privatifs sauf cas explicitement collectifs.Auberges de jeunesse : Capacité type ≈ 77 usagers principaux + 11 staff + 2 visiteurs/intervenants. Le programme sanitaire est construit par blocs fonctionnels plausibles (public, personnel, exploitation/hébergement selon le cas) et non par simple ratio national moyen. Calibrage selon capacité simultanée, répartition de flux et organisation réelle du site.Pensions de famille : Capacité type ≈ 21 usagers principaux + 3 staff + 1 visiteurs/intervenants. Le programme sanitaire est construit par blocs fonctionnels plausibles (public, personnel, exploitation/hébergement selon le cas) et non par simple ratio national moyen. Calibrage selon capacité simultanée, répartition de flux et organisation réelle du site.</t>
    </r>
  </si>
  <si>
    <r>
      <rPr>
        <b/>
        <sz val="9"/>
        <rFont val="Calibri"/>
      </rPr>
      <t>Hôtels ; Auberges de jeunesse</t>
    </r>
    <r>
      <rPr>
        <sz val="9"/>
        <rFont val="Calibri"/>
      </rPr>
      <t xml:space="preserve"> : Profil moyen, capacité moyenne ≈ 90 personnes. Moyenne pondérée terrain : parc majoritairement petits/moyens sites, grands sites intégrés sans surpondération ; usage 2025 forte à très forte.Villages de vacances / Clubs vacances / Centres de vacances familiaux : Profil grand, capacité moyenne ≈ 225 personnes. Moyenne pondérée terrain : parc majoritairement petits/moyens sites, grands sites intégrés sans surpondération ; usage 2025 forte à très forte.Résidences de tourisme : Profil moyen, capacité moyenne ≈ 120 personnes. Moyenne pondérée terrain : parc majoritairement petits/moyens sites, grands sites intégrés sans surpondération ; usage 2025 forte à très forte.Pensions de famille : Profil très petit, capacité moyenne ≈ 25 personnes. Moyenne pondérée terrain : parc majoritairement petits/moyens sites, grands sites intégrés sans surpondération ; usage 2025 forte à très forte.</t>
    </r>
  </si>
  <si>
    <r>
      <rPr>
        <b/>
        <sz val="9"/>
        <rFont val="Calibri"/>
      </rPr>
      <t>Hôtels ; Villages de vacances / Clubs vacances / Centres de vacances familiaux ; Résidences de tourisme</t>
    </r>
    <r>
      <rPr>
        <sz val="9"/>
        <rFont val="Calibri"/>
      </rPr>
      <t xml:space="preserve"> : Atout France hébergements/campings : https://www.classement.atout-france.fr/ ; Code du tourisme campings : https://www.legifrance.gouv.fr/codes/section_lc/LEGITEXT000006074073/LEGISCTA000017631906/ ; ERP/accessibilité : https://www.legifrance.gouv.fr/loda/article_lc/LEGIARTI000034485966/ ; Code du travail : https://www.legifrance.gouv.fr/codes/id/LEGISCTA000018531984Auberges de jeunesse ; Pensions de famille : Code du travail pour staff + hypothèse programmatique d'hébergement collectif / tourisme ; source de comptage propre à la ligne en col. AP.</t>
    </r>
  </si>
  <si>
    <r>
      <rPr>
        <b/>
        <sz val="9"/>
        <rFont val="Calibri"/>
      </rPr>
      <t>Hôtels</t>
    </r>
    <r>
      <rPr>
        <sz val="9"/>
        <rFont val="Calibri"/>
      </rPr>
      <t xml:space="preserve"> : Usage client régulier, exigence d'image et rénovations périodiques; vandalisme limité mais maintenance sanitaire récurrente. Durées moyennes, parfois renouvelées avant panne pour standing. L'électronique progresse pour des questions image, surtout quand la maintenance est organisée. Les remplacements sont fréquemment groupés par étage, chambre ou unité de vie. Hébergement marchand : Usage plus résidentiel, faible vandalisme mais attente client élevée. Renouvellement souvent par programme de rénovation chambre / salle de bains plus que par panne seule.Villages de vacances / Clubs vacances / Centres de vacances familiaux : Saisonnalité, pics de vacances, familles et douches collectives; remise en service annuelle et budget par campagnes. Un peu plus court que hôtel classique, surtout douches. Usage partagé régulier, vandalisme limité et maintenance patrimoniale classique. Temporisés mécaniques restent légèrement au-dessus des mitigeurs car l'oubli de fermeture et l'usure des cartouches jouent moins. Electronique plus courte surtout pour des raisons de capteurs, piles/secteur et réglages. Rénovation mixte, plutôt opportuniste puis par lots lors des travaux. Contraintes budgétaires et budgets souvent lissés. Temporisé et la chasse directe tiennent mieux que le manuel/réservoir en usage intensif.Résidences de tourisme : Usage saisonnier par séjours, moins de passage quotidien que hôtel mais remises en état groupées. Proche hôtel, renouvellement par appartements/blocs lors de rénovations. Usage dense, nettoyage agressif, graisse/humidité et arbitrages économiques serrés. Temporisés mécaniques conservent un léger avantage en robustesse sur mitigeurs dans sanitaires partagés. Electronique reste plus courte si environnement humide et maintenance plus opportuniste. Renouvellement surtout à la panne, puis par lot. Moins de cycles annuels, hivernage et remises en service. maintenance concentrée et hétérogène.Auberges de jeunesse : Public jeune, rotation élevée, dortoirs et douches collectives; pics matin/soir et risque de dégradation. Plus court que résidence tourisme, proche internats. Repères durées: lavabos 12/13/9 ans (mit./méca/élec.), douches 11/10/8, urinoirs 10/12/8/10, WC 13/13/9.Pensions de famille : Usage diffus, entretien régulier et qualité de finition plus élevée que dans les ERP de transit. Les durées de vie sont donc au-dessus de la moyenne. L'électronique reste plus courte si elle existe, surtout hors contrats de maintenance dédiés. Le remplacement se fait souvent par chambre ou par lot lors des rénovations d'étage. Hôtellerie / hébergement marchand : Usage plus résidentiel, faible vandalisme mais attente client élevée. renouvellement souvent par programme de rénovation chambre / salle de bains plus que par panne seule.</t>
    </r>
  </si>
  <si>
    <r>
      <rPr>
        <b/>
        <sz val="9"/>
        <rFont val="Calibri"/>
      </rPr>
      <t>Hôtels</t>
    </r>
    <r>
      <rPr>
        <sz val="9"/>
        <rFont val="Calibri"/>
      </rPr>
      <t xml:space="preserve"> : Une fois les salles d’eau privatives exclues, parc 2025 dominé par mitigeur manuel (55%), avec tempo mecanique en appoint. Le choix reflete usage clients/residents, saisonnalite marquee et arbitrage experience vs cout de maintenance ; experience usager, image d hebergement et tenue en usage intensif.Villages de vacances / Clubs vacances / Centres de vacances familiaux : Villages de vacances / Clubs vacances / Centres de vacances familiaux : parc 2025 domine par mitigeur manuel (55%), avec tempo mecanique en appoint. Le choix reflete usage collectif regulier, contraintes de maintenance et arbitrages budgetaires ; robustesse, hygiene et cout global restent prioritaires.Résidences de tourisme : Une fois les salles d’eau privatives exclues, parc 2025 domine par mitigeur manuel (55%), avec tempo mecanique en appoint. Le choix reflete usage collectif regulier, contraintes de maintenance et arbitrages budgetaires ; robustesse, hygiene et cout global restent prioritaires. Part croissante d’électronique dans les zones lobby/public.Auberges de jeunesse : Auberges de jeunesse : parc commun plus 'collectif' que l’hôtellerie classique - dominé par mitigeur manuel (55%), avec tempo mecanique en appoint. Le choix reflete usage clients/residents, saisonnalite marquee et arbitrage experience vs cout de maintenance ; experience usager, image d hebergement et tenue en usage intensif.Pensions de famille : Dans les pensions de famille, le parc commun reste plus proche d’un usage résidentiel que d’un grand ERP : le mitigeur domine nettement.</t>
    </r>
  </si>
  <si>
    <r>
      <rPr>
        <b/>
        <sz val="9"/>
        <rFont val="Calibri"/>
      </rPr>
      <t>Hôtels ; Villages de vacances / Clubs vacances / Centres de vacances familiaux ; Résidences de tourisme ; Auberges de jeunesse</t>
    </r>
    <r>
      <rPr>
        <sz val="9"/>
        <rFont val="Calibri"/>
      </rPr>
      <t xml:space="preserve"> : 2025-2030 : progression de tempo electronique (+3,0%), surtout lors des renov. lourdes/neuf ; recul de mitigeur manuel (-5,0%) mais maintien d un socle robuste pour les remplacements partiels.Pensions de famille : Sur ce parc collectif/touristique, l’électronique progresse surtout sur les rénovations complètes ; le parc reste majoritairement mitigeur/temporisé sur les sanitaires communs.</t>
    </r>
  </si>
  <si>
    <r>
      <rPr>
        <b/>
        <sz val="9"/>
        <rFont val="Calibri"/>
      </rPr>
      <t>Hôtels</t>
    </r>
    <r>
      <rPr>
        <sz val="9"/>
        <rFont val="Calibri"/>
      </rPr>
      <t xml:space="preserve"> : Hôtels (hors autres hébérgements touristiques) : parc 2025 domine par mitigeur (60%), avec tempo mecanique en appoint. Le choix reflete usage clients/residents, saisonnalite marquee et arbitrage experience vs cout de maintenance ; experience usager, image d hebergement et tenue en usage intensif.Villages de vacances / Clubs vacances / Centres de vacances familiaux : Villages de vacances / Clubs vacances / Centres de vacances familiaux : parc 2025 domine par mitigeur (60%), avec tempo mecanique en appoint. Le choix reflete usage collectif regulier, contraintes de maintenance et arbitrages budgetaires ; robustesse, hygiene et cout global restent prioritaires.Résidences de tourisme : Résidences de tourisme : parc 2025 domine par mitigeur (60%), avec tempo mecanique en appoint. Le choix reflete usage collectif regulier, contraintes de maintenance et arbitrages budgetaires ; robustesse, hygiene et cout global restent prioritaires.Auberges de jeunesse : Auberges de jeunesse : parc 2025 domine par mitigeur (60%), avec tempo mecanique en appoint. Le choix reflete usage clients/residents, saisonnalite marquee et arbitrage experience vs cout de maintenance ; experience usager, image d hebergement et tenue en usage intensif.Pensions de famille : Les douches communes, quand elles existent, sont d’abord à mitigeur.</t>
    </r>
  </si>
  <si>
    <r>
      <rPr>
        <b/>
        <sz val="9"/>
        <rFont val="Calibri"/>
      </rPr>
      <t>Hôtels ; Villages de vacances / Clubs vacances / Centres de vacances familiaux ; Résidences de tourisme ; Auberges de jeunesse</t>
    </r>
    <r>
      <rPr>
        <sz val="9"/>
        <rFont val="Calibri"/>
      </rPr>
      <t xml:space="preserve"> : 2025-2030 : progression de tempo mecanique (+3,0%), surtout lors des renov. lourdes/neuf ; recul de mitigeur (-5,0%) mais maintien d un socle robuste pour les remplacements partiels.Pensions de famille : La montée de l’électronique reste modérée ; les douches collectives gardent un socle manuel/temporisé important.</t>
    </r>
  </si>
  <si>
    <r>
      <rPr>
        <b/>
        <sz val="9"/>
        <rFont val="Calibri"/>
      </rPr>
      <t>Hôtels</t>
    </r>
    <r>
      <rPr>
        <sz val="9"/>
        <rFont val="Calibri"/>
      </rPr>
      <t xml:space="preserve"> : Hôtels (hors autres hébérgements touristiques) : parc 2025 domine par directe mecanique (45%), avec directe electronique collective en appoint. Le choix reflete usage clients/residents, saisonnalite marquee et arbitrage experience vs cout de maintenance ; experience usager, image d hebergement et tenue en usage intensif.Villages de vacances / Clubs vacances / Centres de vacances familiaux : Villages de vacances / Clubs vacances / Centres de vacances familiaux : parc 2025 domine par directe mecanique (45%), avec directe electronique collective en appoint. Le choix reflete usage collectif regulier, contraintes de maintenance et arbitrages budgetaires ; robustesse, hygiene et cout global restent prioritaires.Résidences de tourisme : Résidences de tourisme : parc 2025 domine par directe mecanique (45%), avec directe electronique collective en appoint. Le choix reflete usage collectif regulier, contraintes de maintenance et arbitrages budgetaires ; robustesse, hygiene et cout global restent prioritaires.Auberges de jeunesse : Auberges de jeunesse : parc 2025 domine par directe mecanique (45%), avec directe electronique collective en appoint. Le choix reflete usage clients/residents, saisonnalite marquee et arbitrage experience vs cout de maintenance ; experience usager, image d hebergement et tenue en usage intensif.Pensions de famille : Les rares urinoirs relèvent surtout de solutions classiques.</t>
    </r>
  </si>
  <si>
    <r>
      <rPr>
        <b/>
        <sz val="9"/>
        <rFont val="Calibri"/>
      </rPr>
      <t>Hôtels ; Villages de vacances / Clubs vacances / Centres de vacances familiaux ; Résidences de tourisme ; Auberges de jeunesse</t>
    </r>
    <r>
      <rPr>
        <sz val="9"/>
        <rFont val="Calibri"/>
      </rPr>
      <t xml:space="preserve"> : 2025-2030 : progression de directe electronique indiv. (+3,0%), surtout lors des renov. lourdes/neuf ; recul de a reservoir (-2,0%) mais maintien d un socle robuste pour les remplacements partiels.Pensions de famille : Les systèmes collectifs anciens régressent lentement ; l’automatique monte mais n’écrase pas le parc mécanique.</t>
    </r>
  </si>
  <si>
    <r>
      <rPr>
        <b/>
        <sz val="9"/>
        <rFont val="Calibri"/>
      </rPr>
      <t>Hôtels</t>
    </r>
    <r>
      <rPr>
        <sz val="9"/>
        <rFont val="Calibri"/>
      </rPr>
      <t xml:space="preserve"> : Hôtels (hors autres hébérgements touristiques) : parc 2025 domine par reservoir (60%), avec chasse directe mecanique en appoint. Le choix reflete usage clients/residents, saisonnalite marquee et arbitrage experience vs cout de maintenance ; experience usager, image d hebergement et tenue en usage intensif.Villages de vacances / Clubs vacances / Centres de vacances familiaux : Villages de vacances / Clubs vacances / Centres de vacances familiaux : parc 2025 domine par reservoir (60%), avec chasse directe mecanique en appoint. Le choix reflete usage collectif regulier, contraintes de maintenance et arbitrages budgetaires ; robustesse, hygiene et cout global restent prioritaires.Résidences de tourisme : Résidences de tourisme : parc 2025 domine par reservoir (60%), avec chasse directe mecanique en appoint. Le choix reflete usage collectif regulier, contraintes de maintenance et arbitrages budgetaires ; robustesse, hygiene et cout global restent prioritaires.Auberges de jeunesse : Auberges de jeunesse : parc 2025 domine par reservoir (60%), avec chasse directe mecanique en appoint. Le choix reflete usage clients/residents, saisonnalite marquee et arbitrage experience vs cout de maintenance ; experience usager, image d hebergement et tenue en usage intensif.Pensions de famille : Le réservoir demeure nettement majoritaire dans ce parc.</t>
    </r>
  </si>
  <si>
    <r>
      <rPr>
        <b/>
        <sz val="9"/>
        <rFont val="Calibri"/>
      </rPr>
      <t>Hôtels ; Villages de vacances / Clubs vacances / Centres de vacances familiaux ; Résidences de tourisme ; Auberges de jeunesse</t>
    </r>
    <r>
      <rPr>
        <sz val="9"/>
        <rFont val="Calibri"/>
      </rPr>
      <t xml:space="preserve"> : 2025-2030 : progression de chasse directe mecanique (+3,0%), surtout lors des renov. lourdes/neuf ; recul de reservoir (-5,0%) mais maintien d un socle robuste pour les remplacements partiels.Pensions de famille : Évolution lente : le réservoir reste majoritaire, le direct progresse surtout lors de rénovations complètes.</t>
    </r>
  </si>
  <si>
    <r>
      <rPr>
        <b/>
        <sz val="9"/>
        <rFont val="Calibri"/>
      </rPr>
      <t>Hôtels ; Auberges de jeunesse</t>
    </r>
    <r>
      <rPr>
        <sz val="9"/>
        <rFont val="Calibri"/>
      </rPr>
      <t xml:space="preserve"> : 82,1% retenu : besoins transformes en travaux selon usage clients/residents, saisonnalite marquee et arbitrage experience vs cout de maintenance. Le phasage budgetaire, les fermetures partielles et la maintenance courante limitent la conversion totale.Villages de vacances / Clubs vacances / Centres de vacances familiaux ; Résidences de tourisme : 77,2% retenu : besoins transformes en travaux selon usage collectif regulier, contraintes de maintenance et arbitrages budgetaires. Le phasage budgetaire, les fermetures partielles et la maintenance courante limitent la conversion totale.Pensions de famille : 81,8% retenu : part des besoins réellement transformée en travaux sur 2026-2030 après prise en compte des budgets, du phasage et des arbitrages locaux.</t>
    </r>
  </si>
  <si>
    <r>
      <rPr>
        <b/>
        <sz val="9"/>
        <rFont val="Calibri"/>
      </rPr>
      <t>Hôtels ; Auberges de jeunesse</t>
    </r>
    <r>
      <rPr>
        <sz val="9"/>
        <rFont val="Calibri"/>
      </rPr>
      <t xml:space="preserve"> : Potentiel renovation : tire par experience usager, image d hebergement et tenue en usage intensif. Les remplacements sont plutot par lots, avec arbitrage entre urgence sanitaire, budget et capacite a intervenir en site occupe.Villages de vacances / Clubs vacances / Centres de vacances familiaux ; Résidences de tourisme : Potentiel renovation : tire par robustesse, hygiene et cout global restent prioritaires. Les remplacements sont plutot par lots, avec arbitrage entre urgence sanitaire, budget et capacite a intervenir en site occupe.Pensions de famille : Potentiel rénovation élevé : adaptation de locaux, confort d’usage et remise à niveau de bâtiments souvent transformés à partir d’existant. Les volumes se concentrent surtout sur lavabos et douches. En rénovation, le marché reste favorable aux gammes robustes et simples d’entretien, compatibles avec des chantiers par tranches et des budgets contraints.</t>
    </r>
  </si>
  <si>
    <r>
      <rPr>
        <b/>
        <sz val="9"/>
        <rFont val="Calibri"/>
      </rPr>
      <t>Hôtels</t>
    </r>
    <r>
      <rPr>
        <sz val="9"/>
        <rFont val="Calibri"/>
      </rPr>
      <t xml:space="preserve"> : Potentiel neuf : plus visible pour hôtels (hors autres hébérgements touristiques), surtout via extensions, reconstructions ou projets locaux. Le neuf reste contraint par foncier, budgets et delais de mise en service.Villages de vacances / Clubs vacances / Centres de vacances familiaux : Potentiel neuf : limite pour villages de vacances / clubs vacances / centres de vacances familiaux, surtout via extensions, reconstructions ou projets locaux. Le neuf reste contraint par foncier, budgets et delais de mise en service.Résidences de tourisme : Potentiel neuf : limite pour résidences de tourisme, surtout via extensions, reconstructions ou projets locaux. Le neuf reste contraint par foncier, budgets et delais de mise en service.Auberges de jeunesse : Potentiel neuf : plus visible pour auberges de jeunesse, surtout via extensions, reconstructions ou projets locaux. Le neuf reste contraint par foncier, budgets et delais de mise en service.Pensions de famille : Potentiel neuf moyen : limité ; l’activité passe souvent par transformation ou acquisition-amélioration plus que par construction pure. Le neuf est réel mais secondaire.</t>
    </r>
  </si>
  <si>
    <r>
      <rPr>
        <b/>
        <sz val="9"/>
        <rFont val="Calibri"/>
      </rPr>
      <t>Hôtels ; Villages de vacances / Clubs vacances / Centres de vacances familiaux ; Résidences de tourisme ; Auberges de jeunesse</t>
    </r>
    <r>
      <rPr>
        <sz val="9"/>
        <rFont val="Calibri"/>
      </rPr>
      <t xml:space="preserve"> : Projets phares renovation : reprise de blocs sanitaires, accessibilite, ventilation, economie d eau, remplacement des pieces usees et adaptation aux pics de frequentation propres au sous-segment.Pensions de famille : Projets phares réno : sanitaires privatifs ou partagés, accessibilité, amélioration énergétique et requalification d’actifs existants.</t>
    </r>
  </si>
  <si>
    <r>
      <rPr>
        <b/>
        <sz val="9"/>
        <rFont val="Calibri"/>
      </rPr>
      <t>Hôtels ; Villages de vacances / Clubs vacances / Centres de vacances familiaux ; Résidences de tourisme ; Auberges de jeunesse</t>
    </r>
    <r>
      <rPr>
        <sz val="9"/>
        <rFont val="Calibri"/>
      </rPr>
      <t xml:space="preserve"> : Projets phares neuf : creations ou reconstructions selectives, integration de sanitaires plus sobres, robustes et faciles a maintenir des la conception.Pensions de famille : Projets phares neuf : opérations sociales ou intermédiaires avec création de petites unités d’hébergement.</t>
    </r>
  </si>
  <si>
    <r>
      <rPr>
        <b/>
        <sz val="9"/>
        <rFont val="Calibri"/>
      </rPr>
      <t>Hôtels ; Auberges de jeunesse</t>
    </r>
    <r>
      <rPr>
        <sz val="9"/>
        <rFont val="Calibri"/>
      </rPr>
      <t xml:space="preserve"> : Dynamique renovation 2026-2030 : forte, car l usure et l hygiene rendent les interventions recurrentes. Menaces : arbitrages d investissement, travaux en exploitation et cout de maintenance.Villages de vacances / Clubs vacances / Centres de vacances familiaux ; Résidences de tourisme : Dynamique renovation 2026-2030 : moderee, car l usure et l hygiene rendent les interventions recurrentes. Menaces : arbitrages d investissement, travaux en exploitation et cout de maintenance.Pensions de famille : Dynamique réno 2026-2030 : supérieure au neuf, car la transformation d’existant domine économiquement.</t>
    </r>
  </si>
  <si>
    <r>
      <rPr>
        <b/>
        <sz val="9"/>
        <rFont val="Calibri"/>
      </rPr>
      <t>Hôtels ; Villages de vacances / Clubs vacances / Centres de vacances familiaux ; Résidences de tourisme ; Auberges de jeunesse</t>
    </r>
    <r>
      <rPr>
        <sz val="9"/>
        <rFont val="Calibri"/>
      </rPr>
      <t xml:space="preserve"> : Dynamique neuf 2026-2030 : faible a moderee, dependante des projets immobiliers, de la demographie locale et des budgets de maitrise d ouvrage.Pensions de famille : Dynamique neuf 2026-2030 : faible à modérée, très dépendante des opérateurs et du foncier.</t>
    </r>
  </si>
  <si>
    <r>
      <rPr>
        <b/>
        <sz val="9"/>
        <rFont val="Calibri"/>
      </rPr>
      <t>Usines</t>
    </r>
    <r>
      <rPr>
        <sz val="9"/>
        <rFont val="Calibri"/>
      </rPr>
      <t xml:space="preserve"> ; </t>
    </r>
    <r>
      <rPr>
        <b/>
        <sz val="9"/>
        <rFont val="Calibri"/>
      </rPr>
      <t>Ateliers industriels / de maintenance</t>
    </r>
    <r>
      <rPr>
        <sz val="9"/>
        <rFont val="Calibri"/>
      </rPr>
      <t xml:space="preserve"> : </t>
    </r>
    <r>
      <rPr>
        <sz val="9"/>
        <rFont val="Calibri"/>
      </rPr>
      <t>https://experience.france2030.gouv.fr/fr/visit/decarbonation-de-leconomie/la-decarbonation-de-l-industrie/full/
https://www.tresor.economie.gouv.fr/Articles/2025/05/19/choose-france-2025-une-edition-record-au-service-de-la-souverainete-economique-et-de-l-innovation
https://www.statistiques.developpement-durable.gouv.fr/construction-de-locaux-resultats-fin-janvier-2026-france-entiere
https://www.insee.fr/fr/statistiques/8671745
https://www.insee.fr/fr/statistiques/8906564Garages / Ateliers de réparation automobile recevant du public :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t>
    </r>
  </si>
  <si>
    <r>
      <rPr>
        <b/>
        <sz val="9"/>
        <rFont val="Calibri"/>
      </rPr>
      <t>Hôtels ; Villages de vacances / Clubs vacances / Centres de vacances familiaux ; Résidences de tourisme ; Auberges de jeunesse</t>
    </r>
    <r>
      <rPr>
        <sz val="9"/>
        <rFont val="Calibri"/>
      </rPr>
      <t xml:space="preserve"> : BonnePensions de famille : Moyenne+</t>
    </r>
  </si>
  <si>
    <r>
      <rPr>
        <b/>
        <sz val="9"/>
        <rFont val="Calibri"/>
      </rPr>
      <t>Hôtels</t>
    </r>
    <r>
      <rPr>
        <sz val="9"/>
        <rFont val="Calibri"/>
      </rPr>
      <t xml:space="preserve"> : Parc existant centre sur le niveau upscale, avec ventes 2026-2030 legerement plus qualitatives. Hôtels (hors autres hébérgements touristiques) : usage clients/residents, saisonnalite marquee et arbitrage experience vs cout de maintenance; le mix reste guide par experience usager, image d hebergement et tenue en usage intensif.Villages de vacances / Clubs vacances / Centres de vacances familiaux : Parc existant centre sur le niveau standard, avec ventes 2026-2030 legerement plus qualitatives. Villages de vacances / Clubs vacances / Centres de vacances familiaux : usage collectif regulier, contraintes de maintenance et arbitrages budgetaires; le mix reste guide par robustesse, hygiene et cout global restent prioritaires.Résidences de tourisme : Parc existant centre sur le niveau standard, avec ventes 2026-2030 legerement plus qualitatives. Résidences de tourisme : usage collectif regulier, contraintes de maintenance et arbitrages budgetaires; le mix reste guide par robustesse, hygiene et cout global restent prioritaires.Auberges de jeunesse : Parc existant centre sur le niveau upscale, avec ventes 2026-2030 legerement plus qualitatives. Auberges de jeunesse : usage clients/residents, saisonnalite marquee et arbitrage experience vs cout de maintenance; le mix reste guide par experience usager, image d hebergement et tenue en usage intensif.Pensions de famille : Parc existant surtout intermédiaire. Les ventes restent proches du parc, centré sur intermédiaire, du fait de budgets et de rénovations menées surtout par lots. La rénovation restant majoritaire, le mix de ventes reste proche du parc et monte surtout d’un cran sur les opérations lourdes. Segments d’hébergement social ou très contraints : confort correct mais budgets serrés, avec peu de luxe et des arbitrages très fonctionnels.</t>
    </r>
  </si>
  <si>
    <r>
      <rPr>
        <b/>
        <sz val="9"/>
        <rFont val="Calibri"/>
      </rPr>
      <t>Hôtels ; Villages de vacances / Clubs vacances / Centres de vacances familiaux ; Résidences de tourisme ; Auberges de jeunesse</t>
    </r>
    <r>
      <rPr>
        <sz val="9"/>
        <rFont val="Calibri"/>
      </rPr>
      <t xml:space="preserve"> : ±4 ptsPensions de famille : ±5 pts</t>
    </r>
  </si>
  <si>
    <r>
      <rPr>
        <b/>
        <sz val="9"/>
        <rFont val="Calibri"/>
      </rPr>
      <t>Hôtels ; Villages de vacances / Clubs vacances / Centres de vacances familiaux ; Résidences de tourisme ; Auberges de jeunesse</t>
    </r>
    <r>
      <rPr>
        <sz val="9"/>
        <rFont val="Calibri"/>
      </rPr>
      <t xml:space="preserve"> : BonnePensions de famille : Moyenne +</t>
    </r>
  </si>
  <si>
    <r>
      <rPr>
        <b/>
        <sz val="9"/>
        <rFont val="Calibri"/>
      </rPr>
      <t>Hôtels ; Auberges de jeunesse</t>
    </r>
    <r>
      <rPr>
        <sz val="9"/>
        <rFont val="Calibri"/>
      </rPr>
      <t xml:space="preserve"> : Parc existant : experience usager, image d hebergement et tenue en usage intensif; usage clients/residents, saisonnalite marquee et arbitrage experience vs cout de maintenance. La montee en confort reste proportionnee au budget et au rythme de renovation.Villages de vacances / Clubs vacances / Centres de vacances familiaux ; Résidences de tourisme : Parc existant : robustesse, hygiene et cout global restent prioritaires; usage collectif regulier, contraintes de maintenance et arbitrages budgetaires. La montee en confort reste proportionnee au budget et au rythme de renovation.Pensions de famille : Segments d’hébergement social ou très contraints : confort correct mais budgets serrés, avec peu de luxe et des arbitrages très fonctionnels.</t>
    </r>
  </si>
  <si>
    <r>
      <rPr>
        <b/>
        <sz val="9"/>
        <rFont val="Calibri"/>
      </rPr>
      <t>Hôtels ; Auberges de jeunesse</t>
    </r>
    <r>
      <rPr>
        <sz val="9"/>
        <rFont val="Calibri"/>
      </rPr>
      <t xml:space="preserve"> : forte frequentation =&gt; standard robuste ; image client =&gt; premiumisation cibleeVillages de vacances / Clubs vacances / Centres de vacances familiaux ; Résidences de tourisme : renovation dominante =&gt; progression graduellePensions de famille : rénovation dominante ⇒ progression graduelle</t>
    </r>
  </si>
  <si>
    <r>
      <rPr>
        <b/>
        <sz val="9"/>
        <rFont val="Calibri"/>
      </rPr>
      <t>Hôtels</t>
    </r>
    <r>
      <rPr>
        <sz val="9"/>
        <rFont val="Calibri"/>
      </rPr>
      <t xml:space="preserve"> : Hôtels (hors autres hébérgements touristiques) : ventes 2026-2030 en leger glissement vers moyen/premium lorsque le neuf ou les renov. lourdes interviennent. Le centre de gravite reste toutefois module par experience usager, image d hebergement et tenue en usage intensif et par la part dominante de travaux sur parc existant.Villages de vacances / Clubs vacances / Centres de vacances familiaux : Villages de vacances / Clubs vacances / Centres de vacances familiaux : ventes 2026-2030 en leger glissement vers moyen/premium lorsque le neuf ou les renov. lourdes interviennent. Le centre de gravite reste toutefois module par robustesse, hygiene et cout global restent prioritaires et par la part dominante de travaux sur parc existant.Résidences de tourisme : Résidences de tourisme : ventes 2026-2030 en leger glissement vers moyen/premium lorsque le neuf ou les renov. lourdes interviennent. Le centre de gravite reste toutefois module par robustesse, hygiene et cout global restent prioritaires et par la part dominante de travaux sur parc existant.Auberges de jeunesse : Auberges de jeunesse : ventes 2026-2030 en leger glissement vers moyen/premium lorsque le neuf ou les renov. lourdes interviennent. Le centre de gravite reste toutefois module par experience usager, image d hebergement et tenue en usage intensif et par la part dominante de travaux sur parc existant.Pensions de famille : Pensions de famille : hébergement social ou très économique, arbitrages centrés sur le coût global. Ventes 2026-2030 : glissement vers davantage de moyen / premium, surtout sur douche (+10,3 pts sur premium+luxe), lavabo (+9,3 pts sur premium+luxe), WC (+9,2 pts sur premium+luxe). La rénovation reste majoritaire (77% des ventes, contre 23% en neuf) ; le neuf tire le mix vers le haut sans renverser le centre de gravité. L’écart de niveau de confort entre neuf et rénovation reste perceptible.</t>
    </r>
  </si>
  <si>
    <t>1 - Hôtels-restaurants d’altitude
2 - Refuges de montagne</t>
  </si>
  <si>
    <r>
      <rPr>
        <b/>
        <sz val="9"/>
        <rFont val="Calibri"/>
      </rPr>
      <t>Hôtels-restaurants d’altitude</t>
    </r>
    <r>
      <rPr>
        <sz val="9"/>
        <rFont val="Calibri"/>
      </rPr>
      <t xml:space="preserve"> : OARefuges de montagne : REF</t>
    </r>
  </si>
  <si>
    <r>
      <rPr>
        <b/>
        <sz val="9"/>
        <rFont val="Calibri"/>
      </rPr>
      <t>Hôtels-restaurants d’altitude</t>
    </r>
    <r>
      <rPr>
        <sz val="9"/>
        <rFont val="Calibri"/>
      </rPr>
      <t xml:space="preserve"> : Établissements d’altitude.Refuges de montagne : Refuges recevant du public en zone de montagne.</t>
    </r>
  </si>
  <si>
    <r>
      <rPr>
        <b/>
        <sz val="9"/>
        <rFont val="Calibri"/>
      </rPr>
      <t>Hôtels-restaurants d’altitude</t>
    </r>
    <r>
      <rPr>
        <sz val="9"/>
        <rFont val="Calibri"/>
      </rPr>
      <t xml:space="preserve"> : Restaurant d’altitude, hôtel d’altitudeRefuges de montagne : Refuge alpin</t>
    </r>
  </si>
  <si>
    <r>
      <rPr>
        <b/>
        <sz val="9"/>
        <rFont val="Calibri"/>
      </rPr>
      <t>Hôtels-restaurants d’altitude</t>
    </r>
    <r>
      <rPr>
        <sz val="9"/>
        <rFont val="Calibri"/>
      </rPr>
      <t xml:space="preserve"> : proxy stations de montagne. Dynamique projetée 2027-2030: stable. Fiabilité: moyenne.Refuges de montagne : proxy parc de refuges français. Dynamique projetée 2027-2030: stable. Fiabilité: moyenne.</t>
    </r>
  </si>
  <si>
    <r>
      <rPr>
        <b/>
        <sz val="9"/>
        <rFont val="Calibri"/>
      </rPr>
      <t>Hôtels-restaurants d’altitude</t>
    </r>
    <r>
      <rPr>
        <sz val="9"/>
        <rFont val="Calibri"/>
      </rPr>
      <t xml:space="preserve"> : Altitude : bloc restauration/skieurs + vestiaires/douches collectives ; chambres non comptées.Refuges de montagne : Refuge : blocs communs dortoir/restauration, sans cellules ou sanitaires individuels.</t>
    </r>
  </si>
  <si>
    <r>
      <rPr>
        <b/>
        <sz val="9"/>
        <rFont val="Calibri"/>
      </rPr>
      <t>Hôtels-restaurants d’altitude</t>
    </r>
    <r>
      <rPr>
        <sz val="9"/>
        <rFont val="Calibri"/>
      </rPr>
      <t xml:space="preserve"> : Capacité type ≈ 98 usagers principaux + 18 staff + 4 accompagnants/ravitaillement. Le programme sanitaire est construit par blocs fonctionnels plausibles (public, personnel, exploitation/hébergement selon le cas) et non par simple ratio national moyen. Calibrage selon capacité simultanée, répartition de flux et organisation réelle du site.Refuges de montagne : Capacité type ≈ 40 usagers principaux + 4 staff + 1 accompagnants/gardiens. Le programme sanitaire est construit par blocs fonctionnels plausibles (public, personnel, exploitation/hébergement selon le cas) et non par simple ratio national moyen. Calibrage selon capacité simultanée, répartition de flux et organisation réelle du site.</t>
    </r>
  </si>
  <si>
    <r>
      <rPr>
        <b/>
        <sz val="9"/>
        <rFont val="Calibri"/>
      </rPr>
      <t>Hôtels-restaurants d’altitude</t>
    </r>
    <r>
      <rPr>
        <sz val="9"/>
        <rFont val="Calibri"/>
      </rPr>
      <t xml:space="preserve"> : Profil moyen, capacité moyenne ≈ 120 personnes. Moyenne pondérée terrain : parc majoritairement petits/moyens sites, grands sites intégrés sans surpondération ; usage 2025 forte à très forte.Refuges de montagne : Profil petit, capacité moyenne ≈ 45 personnes. Moyenne pondérée terrain : parc majoritairement petits/moyens sites, grands sites intégrés sans surpondération ; usage 2025 forte à très forte.</t>
    </r>
  </si>
  <si>
    <r>
      <rPr>
        <b/>
        <sz val="9"/>
        <rFont val="Calibri"/>
      </rPr>
      <t>Hôtels-restaurants d’altitude</t>
    </r>
    <r>
      <rPr>
        <sz val="9"/>
        <rFont val="Calibri"/>
      </rPr>
      <t xml:space="preserve"> : Sur les hôtels-restaurants d’altitude, le parc commun reste surtout en mitigeurs, avec un niveau intermédiaire de temporisé et d’électronique.Refuges de montagne : Dans les refuges, le parc reste très simple et robuste : mitigeurs manuels dominants, avec une part de temporisé limitée et quelques dispositifs atypiques.</t>
    </r>
  </si>
  <si>
    <r>
      <rPr>
        <b/>
        <sz val="9"/>
        <rFont val="Calibri"/>
      </rPr>
      <t>Hôtels-restaurants d’altitude</t>
    </r>
    <r>
      <rPr>
        <sz val="9"/>
        <rFont val="Calibri"/>
      </rPr>
      <t xml:space="preserve"> : Dans l’hôtellerie, l’évolution concerne surtout les sanitaires communs : le mitigeur reste significatif, l’électronique progresse dans les parties publiques rénovées et premium.Refuges de montagne : Sur ce parc collectif/touristique, l’électronique progresse surtout sur les rénovations complètes ; le parc reste majoritairement mitigeur/temporisé sur les sanitaires communs.</t>
    </r>
  </si>
  <si>
    <r>
      <rPr>
        <b/>
        <sz val="9"/>
        <rFont val="Calibri"/>
      </rPr>
      <t>Hôtels-restaurants d’altitude</t>
    </r>
    <r>
      <rPr>
        <sz val="9"/>
        <rFont val="Calibri"/>
      </rPr>
      <t xml:space="preserve"> : Les douches restent majoritairement à mitigeur ; le temporisé mécanique apparaît sur les vestiaires ou espaces collectifs.Refuges de montagne : Les douches communes restent très simples, surtout manuelles ou temporisées mécaniques.</t>
    </r>
  </si>
  <si>
    <r>
      <rPr>
        <b/>
        <sz val="9"/>
        <rFont val="Calibri"/>
      </rPr>
      <t>Hôtels-restaurants d’altitude</t>
    </r>
    <r>
      <rPr>
        <sz val="9"/>
        <rFont val="Calibri"/>
      </rPr>
      <t xml:space="preserve"> : Dans les douches communes d’hébergement, le mitigeur reste fort ; l’électronique gagne un peu sur les rénovations des parties communes.Refuges de montagne : La montée de l’électronique reste modérée ; les douches collectives gardent un socle manuel/temporisé important.</t>
    </r>
  </si>
  <si>
    <r>
      <rPr>
        <b/>
        <sz val="9"/>
        <rFont val="Calibri"/>
      </rPr>
      <t>Hôtels-restaurants d’altitude</t>
    </r>
    <r>
      <rPr>
        <sz val="9"/>
        <rFont val="Calibri"/>
      </rPr>
      <t xml:space="preserve"> : Les urinoirs restent partagés entre solutions classiques et un peu d’automatique.Refuges de montagne : Les rares urinoirs sont souvent en configuration collective simple sur le parc existant.</t>
    </r>
  </si>
  <si>
    <r>
      <rPr>
        <b/>
        <sz val="9"/>
        <rFont val="Calibri"/>
      </rPr>
      <t>Hôtels-restaurants d’altitude</t>
    </r>
    <r>
      <rPr>
        <sz val="9"/>
        <rFont val="Calibri"/>
      </rPr>
      <t xml:space="preserve"> : Dans les parties communes, la hausse de l’automatique est visible sur les rénovations, mais le parc reste mixte.Refuges de montagne : Les systèmes collectifs anciens régressent lentement ; l’automatique monte mais n’écrase pas le parc mécanique.</t>
    </r>
  </si>
  <si>
    <r>
      <rPr>
        <b/>
        <sz val="9"/>
        <rFont val="Calibri"/>
      </rPr>
      <t>Hôtels-restaurants d’altitude</t>
    </r>
    <r>
      <rPr>
        <sz val="9"/>
        <rFont val="Calibri"/>
      </rPr>
      <t xml:space="preserve"> : Le réservoir reste majoritaire sur le parc existant, malgré une présence croissante de chasses directes sur les rénovations.Refuges de montagne : Le réservoir reste de loin la technologie dominante.</t>
    </r>
  </si>
  <si>
    <r>
      <rPr>
        <b/>
        <sz val="9"/>
        <rFont val="Calibri"/>
      </rPr>
      <t>Hôtels-restaurants d’altitude</t>
    </r>
    <r>
      <rPr>
        <sz val="9"/>
        <rFont val="Calibri"/>
      </rPr>
      <t xml:space="preserve"> : Le réservoir demeure important dans ce parc, avec une progression graduelle du direct/électronique sur les sanitaires communs rénovés.Refuges de montagne : Évolution lente : le réservoir reste majoritaire, le direct progresse surtout lors de rénovations complètes.</t>
    </r>
  </si>
  <si>
    <r>
      <rPr>
        <b/>
        <sz val="9"/>
        <rFont val="Calibri"/>
      </rPr>
      <t>Hôtels-restaurants d’altitude</t>
    </r>
    <r>
      <rPr>
        <sz val="9"/>
        <rFont val="Calibri"/>
      </rPr>
      <t xml:space="preserve"> : 81,8% retenu : part des besoins réellement transformée en travaux sur 2026-2030 après prise en compte des budgets, du phasage et des arbitrages locaux.Refuges de montagne : 79,6% retenu : part des besoins réellement transformée en travaux sur 2026-2030 après prise en compte des budgets, du phasage et des arbitrages locaux.</t>
    </r>
  </si>
  <si>
    <r>
      <rPr>
        <b/>
        <sz val="9"/>
        <rFont val="Calibri"/>
      </rPr>
      <t>Hôtels-restaurants d’altitude</t>
    </r>
    <r>
      <rPr>
        <sz val="9"/>
        <rFont val="Calibri"/>
      </rPr>
      <t xml:space="preserve"> : Potentiel rénovation moyen à soutenu : remise à niveau d’équipements soumis à des conditions climatiques exigeantes, avec recherche de sobriété eau/énergie. Les volumes se concentrent surtout sur wc et lavabos. En rénovation, les maîtres d’ouvrage privilégient des références robustes, vite posées et faciles à maintenir dans des ambiances humides.Refuges de montagne : Potentiel rénovation moyen à soutenu : remise à niveau d’équipements soumis à des conditions climatiques exigeantes, avec recherche de sobriété eau/énergie. La douche pèse au-dessus de la moyenne, avec des contraintes d’humidité, de corrosion et d’entretien qui accélèrent le remplacement. En rénovation, les maîtres d’ouvrage privilégient des références robustes, vite posées et faciles à maintenir dans des ambiances humides.</t>
    </r>
  </si>
  <si>
    <r>
      <rPr>
        <b/>
        <sz val="9"/>
        <rFont val="Calibri"/>
      </rPr>
      <t>Hôtels</t>
    </r>
    <r>
      <rPr>
        <sz val="9"/>
        <rFont val="Calibri"/>
      </rPr>
      <t xml:space="preserve"> ; </t>
    </r>
    <r>
      <rPr>
        <b/>
        <sz val="9"/>
        <rFont val="Calibri"/>
      </rPr>
      <t>Villages de vacances / Clubs vacances / Centres de vacances familiaux</t>
    </r>
    <r>
      <rPr>
        <sz val="9"/>
        <rFont val="Calibri"/>
      </rPr>
      <t xml:space="preserve"> : </t>
    </r>
    <r>
      <rPr>
        <sz val="9"/>
        <rFont val="Calibri"/>
      </rPr>
      <t>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
https://www.statistiques.developpement-durable.gouv.fr/construction-de-locaux-resultats-fin-janvier-2026-france-entiere
https://www.insee.fr/fr/statistiques/8671745
https://www.insee.fr/fr/statistiques/8906564Résidences de tourisme ; Auberges de jeunesse ; Pensions de famille :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t>
    </r>
  </si>
  <si>
    <r>
      <rPr>
        <b/>
        <sz val="9"/>
        <rFont val="Calibri"/>
      </rPr>
      <t>Hôtels-restaurants d’altitude</t>
    </r>
    <r>
      <rPr>
        <sz val="9"/>
        <rFont val="Calibri"/>
      </rPr>
      <t xml:space="preserve"> : Parc existant surtout premium. Les ventes restent proches du parc, centré sur premium / luxe, tiré par l’image de marque et l’expérience usager. La rénovation restant majoritaire, le mix de ventes reste proche du parc et monte surtout d’un cran sur les opérations lourdes. L’image de marque et la recherche d’expérience client tirent fortement le mix vers premium/luxe, surtout dans le neuf ou les rénovations de repositionnement.Refuges de montagne : Refuges de montagne : contraintes d’accès, gel, maintenance et saisonnalité tirent fortement le mix vers le basique robuste ; le moyen progresse surtout dans les sites rénovés et premiumisés, mais le luxe reste hors cible. Ventes 2026-2030 : léger glissement vers le moyen, plus en neuf qu’en rénovation, sans transformation rapide du parc compte tenu des contraintes techniques et logistiques.</t>
    </r>
  </si>
  <si>
    <r>
      <rPr>
        <b/>
        <sz val="9"/>
        <rFont val="Calibri"/>
      </rPr>
      <t>Hôtels-restaurants d’altitude</t>
    </r>
    <r>
      <rPr>
        <sz val="9"/>
        <rFont val="Calibri"/>
      </rPr>
      <t xml:space="preserve"> : Moyenne +Refuges de montagne : Moyenne</t>
    </r>
  </si>
  <si>
    <r>
      <rPr>
        <b/>
        <sz val="9"/>
        <rFont val="Calibri"/>
      </rPr>
      <t>Hôtels-restaurants d’altitude</t>
    </r>
    <r>
      <rPr>
        <sz val="9"/>
        <rFont val="Calibri"/>
      </rPr>
      <t xml:space="preserve"> : L’image de marque et la recherche d’expérience client tirent fortement le mix vers premium/luxe, surtout dans le neuf ou les rénovations de repositionnement.Refuges de montagne : Parc très fonctionnel, souvent temporaire, isolé ou saisonnier : priorité à la robustesse, à la logistique et au coût total, d’où un mix basique/moyen très dominant.</t>
    </r>
  </si>
  <si>
    <r>
      <rPr>
        <b/>
        <sz val="9"/>
        <rFont val="Calibri"/>
      </rPr>
      <t>Hôtels-restaurants d’altitude</t>
    </r>
    <r>
      <rPr>
        <sz val="9"/>
        <rFont val="Calibri"/>
      </rPr>
      <t xml:space="preserve"> : image + privé ⇒ premium/luxe ↑ ; rénovation dominante ⇒ progression graduelleRefuges de montagne : temporaire / accès difficile / saisonnalité ⇒ basique ↑ ; modularité et maintenance simple ⇒ premium ↓ ; neuf marginal ⇒ ventes proches du parc</t>
    </r>
  </si>
  <si>
    <r>
      <rPr>
        <b/>
        <sz val="9"/>
        <rFont val="Calibri"/>
      </rPr>
      <t>Hôtels-restaurants d’altitude</t>
    </r>
    <r>
      <rPr>
        <sz val="9"/>
        <rFont val="Calibri"/>
      </rPr>
      <t xml:space="preserve"> : Hôtels-restaurants d’altitude : altitude et image touristique soutiennent un niveau plus premium malgré la contrainte technique. Ventes 2026-2030 : glissement vers davantage de moyen / premium, surtout sur urinoir (+12,8 pts sur premium+luxe), WC (+8,6 pts sur premium+luxe), lavabo (+8,5 pts sur premium+luxe). La rénovation reste très majoritaire (90% des ventes, contre 10% en neuf) ; le neuf est plus qualitatif mais ne suffit pas à transformer fortement le mix. L’écart de niveau de confort entre neuf et rénovation est net.Refuges de montagne : Refuges de montagne : contraintes d’accès, gel, maintenance et saisonnalité tirent fortement le mix vers le basique robuste ; le moyen progresse surtout dans les sites rénovés et premiumisés, mais le luxe reste hors cible. Ventes 2026-2030 : léger glissement vers le moyen, plus en neuf qu’en rénovation, sans transformation rapide du parc compte tenu des contraintes techniques et logistiques.</t>
    </r>
  </si>
  <si>
    <t>1 - Campings
2 - Aires d’accueil des gens du voyage</t>
  </si>
  <si>
    <r>
      <rPr>
        <b/>
        <sz val="9"/>
        <rFont val="Calibri"/>
      </rPr>
      <t>Campings</t>
    </r>
    <r>
      <rPr>
        <sz val="9"/>
        <rFont val="Calibri"/>
      </rPr>
      <t xml:space="preserve"> : PAAires d’accueil des gens du voyage : Variable</t>
    </r>
  </si>
  <si>
    <r>
      <rPr>
        <b/>
        <sz val="9"/>
        <rFont val="Calibri"/>
      </rPr>
      <t>Campings</t>
    </r>
    <r>
      <rPr>
        <sz val="9"/>
        <rFont val="Calibri"/>
      </rPr>
      <t xml:space="preserve"> : ERP spécialAires d’accueil des gens du voyage : Cas particulier</t>
    </r>
  </si>
  <si>
    <r>
      <rPr>
        <b/>
        <sz val="9"/>
        <rFont val="Calibri"/>
      </rPr>
      <t>Campings</t>
    </r>
    <r>
      <rPr>
        <sz val="9"/>
        <rFont val="Calibri"/>
      </rPr>
      <t xml:space="preserve"> : ERPAires d’accueil des gens du voyage : mixte</t>
    </r>
  </si>
  <si>
    <r>
      <rPr>
        <b/>
        <sz val="9"/>
        <rFont val="Calibri"/>
      </rPr>
      <t>Campings</t>
    </r>
    <r>
      <rPr>
        <sz val="9"/>
        <rFont val="Calibri"/>
      </rPr>
      <t xml:space="preserve"> : ouiAires d’accueil des gens du voyage : variable</t>
    </r>
  </si>
  <si>
    <r>
      <rPr>
        <b/>
        <sz val="9"/>
        <rFont val="Calibri"/>
      </rPr>
      <t>Campings</t>
    </r>
    <r>
      <rPr>
        <sz val="9"/>
        <rFont val="Calibri"/>
      </rPr>
      <t xml:space="preserve"> : Établissements de plein air recevant du public.Aires d’accueil des gens du voyage : Sites aménagés avec emplacements, blocs sanitaires et accueil ; public ciblé et régime spécifique, mais composante sanitaire structurelle. Equipements obligatoires pour les communes (loi Besson)</t>
    </r>
  </si>
  <si>
    <r>
      <rPr>
        <b/>
        <sz val="9"/>
        <rFont val="Calibri"/>
      </rPr>
      <t>Campings</t>
    </r>
    <r>
      <rPr>
        <sz val="9"/>
        <rFont val="Calibri"/>
      </rPr>
      <t xml:space="preserve"> : Camping, village vacancesAires d’accueil des gens du voyage : Aire d’accueil des gens du voyage (Logique : stationnement encadré + équipements sanitaires)</t>
    </r>
  </si>
  <si>
    <r>
      <rPr>
        <b/>
        <sz val="9"/>
        <rFont val="Calibri"/>
      </rPr>
      <t>Campings</t>
    </r>
    <r>
      <rPr>
        <sz val="9"/>
        <rFont val="Calibri"/>
      </rPr>
      <t xml:space="preserve"> : série publique directeAires d’accueil des gens du voyage : série publique directe / estimation encadrée</t>
    </r>
  </si>
  <si>
    <r>
      <rPr>
        <b/>
        <sz val="9"/>
        <rFont val="Calibri"/>
      </rPr>
      <t>Campings</t>
    </r>
    <r>
      <rPr>
        <sz val="9"/>
        <rFont val="Calibri"/>
      </rPr>
      <t xml:space="preserve"> : ElevéAires d’accueil des gens du voyage : Moyenne</t>
    </r>
  </si>
  <si>
    <r>
      <rPr>
        <b/>
        <sz val="9"/>
        <rFont val="Calibri"/>
      </rPr>
      <t>Campings</t>
    </r>
    <r>
      <rPr>
        <sz val="9"/>
        <rFont val="Calibri"/>
      </rPr>
      <t xml:space="preserve"> : Ligne robuste. Série ancrée sur l'Insee (2024 = 6 608 campings). Projection 2025-2030 en érosion très modérée, cohérente avec la baisse tendancielle de long terme et sans rupture artificielle.Aires d’accueil des gens du voyage : Estimation 2025 proche de 1 350 sites, puis légère érosion 2026-2030. Surface 2026 = proxy fondé sur des aires permanentes de 15-20 emplacements avec blocs sanitaires.</t>
    </r>
  </si>
  <si>
    <r>
      <rPr>
        <b/>
        <sz val="9"/>
        <rFont val="Calibri"/>
      </rPr>
      <t>Campings</t>
    </r>
    <r>
      <rPr>
        <sz val="9"/>
        <rFont val="Calibri"/>
      </rPr>
      <t xml:space="preserve"> : https://www.insee.fr/fr/statistiques/2015437Aires d’accueil des gens du voyage : https://www.data.gouv.fr/datasets/localisation-des-aires-daceuil-des-gens-du-voyage/ | https://www.ecologie.gouv.fr/politiques-publiques/accueil-habitat-gens-du-voyage | https://www.paris.fr/pages/une-aire-d-accueil-a-paris-pour-les-gens-du-voyage-4395 | https://www.var.gouv.fr/index.php/Actions-de-l-Etat/Solidarites/Gens-du-voyage/Les-aires-d-accueil-et-aires-de-grand-passage-dans-le-Var/Aires-d-accueil/Aire-d-accueil-des-gens-du-Voyage-La-Garde</t>
    </r>
  </si>
  <si>
    <r>
      <rPr>
        <b/>
        <sz val="9"/>
        <rFont val="Calibri"/>
      </rPr>
      <t>Campings</t>
    </r>
    <r>
      <rPr>
        <sz val="9"/>
        <rFont val="Calibri"/>
      </rPr>
      <t xml:space="preserve"> : Camping : blocs sanitaires collectifs permanents ; hébergements individuels exclus.Aires d’accueil des gens du voyage : Aire d'accueil gens du voyage : blocs sanitaires collectifs par emplacements/îlots.</t>
    </r>
  </si>
  <si>
    <r>
      <rPr>
        <b/>
        <sz val="9"/>
        <rFont val="Calibri"/>
      </rPr>
      <t>Campings</t>
    </r>
    <r>
      <rPr>
        <sz val="9"/>
        <rFont val="Calibri"/>
      </rPr>
      <t xml:space="preserve"> : Capacité type ≈ 270 usagers principaux + 24 staff + 6 visiteurs/maintenance. Le programme sanitaire est construit par blocs fonctionnels plausibles (public, personnel, exploitation/hébergement selon le cas) et non par simple ratio national moyen. Calibrage selon capacité simultanée, répartition de flux et organisation réelle du site.Aires d’accueil des gens du voyage : Capacité type ≈ 70 usagers principaux + 8 staff + 2 autre public. Occupation résidentielle temporaire, familles et gestionnaire. Dimensionnement unitaire retenu : WC/douches/lavabos mutualisés par îlots, avec robustesse et entretien renforcé. Hypothèse d'usage : capacité simultanée moyenne 2026, répartition par flux réels, arrondie par blocs fonctionnels et exclusion des sanitaires strictement privatifs sauf cas explicitement collectifs.</t>
    </r>
  </si>
  <si>
    <r>
      <rPr>
        <b/>
        <sz val="9"/>
        <rFont val="Calibri"/>
      </rPr>
      <t>Campings</t>
    </r>
    <r>
      <rPr>
        <sz val="9"/>
        <rFont val="Calibri"/>
      </rPr>
      <t xml:space="preserve"> : Profil grand, capacité moyenne ≈ 300 personnes. Moyenne pondérée terrain : parc majoritairement petits/moyens sites, grands sites intégrés sans surpondération ; usage 2025 forte à très forte.Aires d’accueil des gens du voyage : Profil moyen, capacité moyenne ≈ 80 personnes. Moyenne pondérée terrain : parc majoritairement petits/moyens sites, grands sites intégrés sans surpondération ; usage 2025 forte à très forte.</t>
    </r>
  </si>
  <si>
    <r>
      <rPr>
        <b/>
        <sz val="9"/>
        <rFont val="Calibri"/>
      </rPr>
      <t>Campings</t>
    </r>
    <r>
      <rPr>
        <sz val="9"/>
        <rFont val="Calibri"/>
      </rPr>
      <t xml:space="preserve"> : Code du travail pour staff + hypothèse programmatique d'hébergement collectif / tourisme ; source de comptage propre à la ligne en col. AP.Aires d’accueil des gens du voyage : Atout France hébergements/campings : https://www.classement.atout-france.fr/ ; Code du tourisme campings : https://www.legifrance.gouv.fr/codes/section_lc/LEGITEXT000006074073/LEGISCTA000017631906/ ; ERP/accessibilité : https://www.legifrance.gouv.fr/loda/article_lc/LEGIARTI000034485966/ ; Code du travail : https://www.legifrance.gouv.fr/codes/id/LEGISCTA000018531984</t>
    </r>
  </si>
  <si>
    <r>
      <rPr>
        <b/>
        <sz val="9"/>
        <rFont val="Calibri"/>
      </rPr>
      <t>Campings</t>
    </r>
    <r>
      <rPr>
        <sz val="9"/>
        <rFont val="Calibri"/>
      </rPr>
      <t xml:space="preserve"> : Blocs collectifs très sollicités en saison, humidité, sable/boue et remise en eau annuelle; maintenance concentrée hors saison. Durées prudentes, surtout douches et électronique. Entretien régulier et qualité de finition plus élevée que dans les ERP de transit. Durées de vie sont donc au-dessus de la moyenne. Electronique reste plus courte si elle existe, surtout hors contrats de maintenance dédiés. Remplacement se fait souvent par lot.Aires d’accueil des gens du voyage : Usage résidentiel temporaire, contraintes sociales, maintenance publique parfois réactive et risques de chocs. Proche hébergement social, WC mécaniques privilégiés. Repères durées: lavabos 12/13/9 ans (mit./méca/élec.), douches 11/10/8, urinoirs 10/12/8/10, WC 13/13/9.</t>
    </r>
  </si>
  <si>
    <r>
      <rPr>
        <b/>
        <sz val="9"/>
        <rFont val="Calibri"/>
      </rPr>
      <t>Campings</t>
    </r>
    <r>
      <rPr>
        <sz val="9"/>
        <rFont val="Calibri"/>
      </rPr>
      <t xml:space="preserve"> : Dans les blocs de camping, le temporisé mécanique domine le parc existant, avec une part d’équipements spécifiques de bloc sanitaire classés en 'autres'.Aires d’accueil des gens du voyage : Aires d’accueil des gens du voyage : parc 2025 domine par tempo mecanique (42%), avec mitigeur manuel en appoint. Le choix reflete usage clients/residents, saisonnalite marquee et arbitrage experience vs cout de maintenance ; experience usager, image d hebergement et tenue en usage intensif.</t>
    </r>
  </si>
  <si>
    <r>
      <rPr>
        <b/>
        <sz val="9"/>
        <rFont val="Calibri"/>
      </rPr>
      <t>Campings</t>
    </r>
    <r>
      <rPr>
        <sz val="9"/>
        <rFont val="Calibri"/>
      </rPr>
      <t xml:space="preserve"> : Sur ce parc collectif/touristique, l’électronique progresse surtout sur les rénovations complètes ; le parc reste majoritairement mitigeur/temporisé sur les sanitaires communs.Aires d’accueil des gens du voyage : 2025-2030 : progression de tempo electronique (+4,0%), surtout lors des renov. lourdes/neuf ; recul de mitigeur manuel (-4,0%) mais maintien d un socle robuste pour les remplacements partiels.</t>
    </r>
  </si>
  <si>
    <r>
      <rPr>
        <b/>
        <sz val="9"/>
        <rFont val="Calibri"/>
      </rPr>
      <t>Campings</t>
    </r>
    <r>
      <rPr>
        <sz val="9"/>
        <rFont val="Calibri"/>
      </rPr>
      <t xml:space="preserve"> : Les douches de camping restent très majoritairement temporisées mécaniques sur le parc installé.Aires d’accueil des gens du voyage : Aires d’accueil des gens du voyage : parc 2025 domine par mitigeur (65%), avec tempo mecanique en appoint. Le choix reflete usage clients/residents, saisonnalite marquee et arbitrage experience vs cout de maintenance ; experience usager, image d hebergement et tenue en usage intensif.</t>
    </r>
  </si>
  <si>
    <r>
      <rPr>
        <b/>
        <sz val="9"/>
        <rFont val="Calibri"/>
      </rPr>
      <t>Campings</t>
    </r>
    <r>
      <rPr>
        <sz val="9"/>
        <rFont val="Calibri"/>
      </rPr>
      <t xml:space="preserve"> : La montée de l’électronique reste modérée ; les douches collectives gardent un socle manuel/temporisé important.Aires d’accueil des gens du voyage : 2025-2030 : progression de tempo mecanique (+3,0%), surtout lors des renov. lourdes/neuf ; recul de mitigeur (-5,0%) mais maintien d un socle robuste pour les remplacements partiels.</t>
    </r>
  </si>
  <si>
    <r>
      <rPr>
        <b/>
        <sz val="9"/>
        <rFont val="Calibri"/>
      </rPr>
      <t>Campings</t>
    </r>
    <r>
      <rPr>
        <sz val="9"/>
        <rFont val="Calibri"/>
      </rPr>
      <t xml:space="preserve"> : Les urinoirs collectifs (rampe/batterie) restent très présents dans ce parc saisonnier ancien.Aires d’accueil des gens du voyage : Sans objet : pas de urinoirs collectif dimensionne dans ce sous-segment.</t>
    </r>
  </si>
  <si>
    <r>
      <rPr>
        <b/>
        <sz val="9"/>
        <rFont val="Calibri"/>
      </rPr>
      <t>Campings</t>
    </r>
    <r>
      <rPr>
        <sz val="9"/>
        <rFont val="Calibri"/>
      </rPr>
      <t xml:space="preserve"> : Les systèmes collectifs anciens régressent lentement ; l’automatique monte mais n’écrase pas le parc mécanique.Aires d’accueil des gens du voyage : Sans objet : pas de trajectoire 2025-2030 a modeliser pour les urinoirs.</t>
    </r>
  </si>
  <si>
    <r>
      <rPr>
        <b/>
        <sz val="9"/>
        <rFont val="Calibri"/>
      </rPr>
      <t>Campings</t>
    </r>
    <r>
      <rPr>
        <sz val="9"/>
        <rFont val="Calibri"/>
      </rPr>
      <t xml:space="preserve"> : Le réservoir reste dominant dans les blocs existants, même si les chasses directes progressent dans les campings rénovés.Aires d’accueil des gens du voyage : Aires d’accueil des gens du voyage : parc 2025 domine par reservoir (55%), avec chasse directe mecanique en appoint. Le choix reflete usage clients/residents, saisonnalite marquee et arbitrage experience vs cout de maintenance ; experience usager, image d hebergement et tenue en usage intensif.</t>
    </r>
  </si>
  <si>
    <r>
      <rPr>
        <b/>
        <sz val="9"/>
        <rFont val="Calibri"/>
      </rPr>
      <t>Campings</t>
    </r>
    <r>
      <rPr>
        <sz val="9"/>
        <rFont val="Calibri"/>
      </rPr>
      <t xml:space="preserve"> : Évolution lente : le réservoir reste majoritaire, le direct progresse surtout lors de rénovations complètes.Aires d’accueil des gens du voyage : 2025-2030 : progression de chasse directe mecanique (+5,0%), surtout lors des renov. lourdes/neuf ; recul de reservoir (-10,0%) mais maintien d un socle robuste pour les remplacements partiels.</t>
    </r>
  </si>
  <si>
    <r>
      <rPr>
        <b/>
        <sz val="9"/>
        <rFont val="Calibri"/>
      </rPr>
      <t>Campings</t>
    </r>
    <r>
      <rPr>
        <sz val="9"/>
        <rFont val="Calibri"/>
      </rPr>
      <t xml:space="preserve"> : 79,6% retenu : part des besoins réellement transformée en travaux sur 2026-2030 après prise en compte des budgets, du phasage et des arbitrages locaux.Aires d’accueil des gens du voyage : 82,1% retenu : besoins transformes en travaux selon usage clients/residents, saisonnalite marquee et arbitrage experience vs cout de maintenance. Le phasage budgetaire, les fermetures partielles et la maintenance courante limitent la conversion totale.</t>
    </r>
  </si>
  <si>
    <r>
      <rPr>
        <b/>
        <sz val="9"/>
        <rFont val="Calibri"/>
      </rPr>
      <t>Campings</t>
    </r>
    <r>
      <rPr>
        <sz val="9"/>
        <rFont val="Calibri"/>
      </rPr>
      <t xml:space="preserve"> : Potentiel rénovation très élevé : très fort sur les blocs sanitaires collectifs, soumis à l’usure saisonnière, à l’humidité et à la montée en gamme de l’expérience client. La douche pèse au-dessus de la moyenne, avec des contraintes d’humidité, de corrosion et d’entretien qui accélèrent le remplacement. En rénovation, les maîtres d’ouvrage privilégient des références robustes, vite posées et faciles à maintenir dans des ambiances humides.Aires d’accueil des gens du voyage : Potentiel renovation : tire par experience usager, image d hebergement et tenue en usage intensif. Les remplacements sont plutot par lots, avec arbitrage entre urgence sanitaire, budget et capacite a intervenir en site occupe.</t>
    </r>
  </si>
  <si>
    <r>
      <rPr>
        <b/>
        <sz val="9"/>
        <rFont val="Calibri"/>
      </rPr>
      <t>Campings</t>
    </r>
    <r>
      <rPr>
        <sz val="9"/>
        <rFont val="Calibri"/>
      </rPr>
      <t xml:space="preserve"> : Potentiel neuf faible : extensions et créations existent mais le marché est surtout porté par la montée en qualité du parc existant. Le neuf est quasi nul dans le modèle et renvoie surtout à des reconstructions ou remplacements de sites.Aires d’accueil des gens du voyage : Potentiel neuf : plus visible pour aires d’accueil des gens du voyage, surtout via extensions, reconstructions ou projets locaux. Le neuf reste contraint par foncier, budgets et delais de mise en service.</t>
    </r>
  </si>
  <si>
    <r>
      <rPr>
        <b/>
        <sz val="9"/>
        <rFont val="Calibri"/>
      </rPr>
      <t>Campings</t>
    </r>
    <r>
      <rPr>
        <sz val="9"/>
        <rFont val="Calibri"/>
      </rPr>
      <t xml:space="preserve"> : Projets phares réno : blocs sanitaires collectifs, douches, lavabos, sanitaires PMR et modernisation de l’offre client.Aires d’accueil des gens du voyage : Projets phares renovation : reprise de blocs sanitaires, accessibilite, ventilation, economie d eau, remplacement des pieces usees et adaptation aux pics de frequentation propres au sous-segment.</t>
    </r>
  </si>
  <si>
    <r>
      <rPr>
        <b/>
        <sz val="9"/>
        <rFont val="Calibri"/>
      </rPr>
      <t>Campings</t>
    </r>
    <r>
      <rPr>
        <sz val="9"/>
        <rFont val="Calibri"/>
      </rPr>
      <t xml:space="preserve"> : Projets phares neuf : extensions de campings, nouveaux quartiers premium, réorganisation de sites avec nouveaux blocs.Aires d’accueil des gens du voyage : Projets phares neuf : creations ou reconstructions selectives, integration de sanitaires plus sobres, robustes et faciles a maintenir des la conception.</t>
    </r>
  </si>
  <si>
    <r>
      <rPr>
        <b/>
        <sz val="9"/>
        <rFont val="Calibri"/>
      </rPr>
      <t>Campings</t>
    </r>
    <r>
      <rPr>
        <sz val="9"/>
        <rFont val="Calibri"/>
      </rPr>
      <t xml:space="preserve"> : Dynamique réno 2026-2030 : très soutenue ; le sanitaire collectif est un levier direct de notation et de satisfaction client. Les exploitants arbitrent vite quand la qualité sanitaire pénalise la note client.Aires d’accueil des gens du voyage : Dynamique renovation 2026-2030 : forte, car l usure et l hygiene rendent les interventions recurrentes. Menaces : arbitrages d investissement, travaux en exploitation et cout de maintenance.</t>
    </r>
  </si>
  <si>
    <r>
      <rPr>
        <b/>
        <sz val="9"/>
        <rFont val="Calibri"/>
      </rPr>
      <t>Campings</t>
    </r>
    <r>
      <rPr>
        <sz val="9"/>
        <rFont val="Calibri"/>
      </rPr>
      <t xml:space="preserve"> : Dynamique neuf 2026-2030 : modérée, positive sur les sites attractifs mais plus sélective que la rénovation.Aires d’accueil des gens du voyage : Dynamique neuf 2026-2030 : faible a moderee, dependante des projets immobiliers, de la demographie locale et des budgets de maitrise d ouvrage.</t>
    </r>
  </si>
  <si>
    <t>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
https://www.statistiques.developpement-durable.gouv.fr/construction-de-locaux-resultats-fin-janvier-2026-france-entiere
https://www.insee.fr/fr/statistiques/8671745
https://www.insee.fr/fr/statistiques/8906564</t>
  </si>
  <si>
    <r>
      <rPr>
        <b/>
        <sz val="9"/>
        <rFont val="Calibri"/>
      </rPr>
      <t>Campings</t>
    </r>
    <r>
      <rPr>
        <sz val="9"/>
        <rFont val="Calibri"/>
      </rPr>
      <t xml:space="preserve"> : Campings : parc très large mais bien structuré par l’hôtellerie de plein air, avec différenciation claire entre campings économiques et sites 4-5 étoiles ; basique/moyen dominent dans le parc, avec premium plus présent en neuf et réhabilitation lourde. Ventes 2026-2030 : progression du premium+luxe sur lavabo (+4,4 pts), douche (+4,4 pts), urinoir (+2,9 pts) et WC (+4,7 pts), portée par la montée en gamme du tourisme de plein air. Le neuf est nettement plus qualitatif que la rénovation.Aires d’accueil des gens du voyage : Parc existant centre sur le niveau upscale, avec ventes 2026-2030 legerement plus qualitatives. Aires d’accueil des gens du voyage : usage clients/residents, saisonnalite marquee et arbitrage experience vs cout de maintenance; le mix reste guide par experience usager, image d hebergement et tenue en usage intensif.</t>
    </r>
  </si>
  <si>
    <r>
      <rPr>
        <b/>
        <sz val="9"/>
        <rFont val="Calibri"/>
      </rPr>
      <t>Campings</t>
    </r>
    <r>
      <rPr>
        <sz val="9"/>
        <rFont val="Calibri"/>
      </rPr>
      <t xml:space="preserve"> : ±5 ptsAires d’accueil des gens du voyage : ±4 pts</t>
    </r>
  </si>
  <si>
    <r>
      <rPr>
        <b/>
        <sz val="9"/>
        <rFont val="Calibri"/>
      </rPr>
      <t>Campings</t>
    </r>
    <r>
      <rPr>
        <sz val="9"/>
        <rFont val="Calibri"/>
      </rPr>
      <t xml:space="preserve"> : MoyenneAires d’accueil des gens du voyage : Bonne</t>
    </r>
  </si>
  <si>
    <r>
      <rPr>
        <b/>
        <sz val="9"/>
        <rFont val="Calibri"/>
      </rPr>
      <t>Campings</t>
    </r>
    <r>
      <rPr>
        <sz val="9"/>
        <rFont val="Calibri"/>
      </rPr>
      <t xml:space="preserve"> : Hôtellerie de plein air hiérarchisée, avec montée en gamme réelle mais parc encore très majoritairement basique/moyen hors 4-5 étoiles.Aires d’accueil des gens du voyage : Parc existant : experience usager, image d hebergement et tenue en usage intensif; usage clients/residents, saisonnalite marquee et arbitrage experience vs cout de maintenance. La montee en confort reste proportionnee au budget et au rythme de renovation.</t>
    </r>
  </si>
  <si>
    <r>
      <rPr>
        <b/>
        <sz val="9"/>
        <rFont val="Calibri"/>
      </rPr>
      <t>Campings</t>
    </r>
    <r>
      <rPr>
        <sz val="9"/>
        <rFont val="Calibri"/>
      </rPr>
      <t xml:space="preserve"> : image + accueil public ⇒ moyen/premium ↑ ; rénovation majoritaire ⇒ amélioration graduelle ; coût global et maintenance contiennent le luxeAires d’accueil des gens du voyage : forte frequentation =&gt; standard robuste ; image client =&gt; premiumisation ciblee</t>
    </r>
  </si>
  <si>
    <r>
      <rPr>
        <b/>
        <sz val="9"/>
        <rFont val="Calibri"/>
      </rPr>
      <t>Campings</t>
    </r>
    <r>
      <rPr>
        <sz val="9"/>
        <rFont val="Calibri"/>
      </rPr>
      <t xml:space="preserve"> : Campings : parc très large mais bien structuré par l’hôtellerie de plein air, avec différenciation claire entre campings économiques et sites 4-5 étoiles ; basique/moyen dominent dans le parc, avec premium plus présent en neuf et réhabilitation lourde. Ventes 2026-2030 : progression du premium+luxe sur lavabo (+4,4 pts), douche (+4,4 pts), urinoir (+2,9 pts) et WC (+4,7 pts), portée par la montée en gamme du tourisme de plein air. Le neuf est nettement plus qualitatif que la rénovation.Aires d’accueil des gens du voyage : Aires d’accueil des gens du voyage : ventes 2026-2030 en leger glissement vers moyen/premium lorsque le neuf ou les renov. lourdes interviennent. Le centre de gravite reste toutefois module par experience usager, image d hebergement et tenue en usage intensif et par la part dominante de travaux sur parc existant.</t>
    </r>
  </si>
  <si>
    <t>1 - Centres d’hébergement d’urgence / accueils de nuit
2 - Accueils de jour / haltes de jour
3 - CHRS / Centres d’hébergement et de réinsertion sociale
4 - CADA / HUDA / CAES / Centres d’accueil pour demandeurs d’asile
5 - Foyers de jeunes travailleurs / Résidences sociales / Foyers de travailleurs migrants</t>
  </si>
  <si>
    <r>
      <rPr>
        <b/>
        <sz val="9"/>
        <rFont val="Calibri"/>
      </rPr>
      <t>Centres d’hébergement d’urgence / accueils de nuit ; CADA / HUDA / CAES / Centres d’accueil pour demandeurs d’asile</t>
    </r>
    <r>
      <rPr>
        <sz val="9"/>
        <rFont val="Calibri"/>
      </rPr>
      <t xml:space="preserve"> : O / variableAccueils de jour / haltes de jour : W ou variableCHRS / Centres d’hébergement et de réinsertion sociale : O ou J / variableFoyers de jeunes travailleurs / Résidences sociales / Foyers de travailleurs migrants : O ou mixte / variable</t>
    </r>
  </si>
  <si>
    <r>
      <rPr>
        <b/>
        <sz val="9"/>
        <rFont val="Calibri"/>
      </rPr>
      <t>Centres d’hébergement d’urgence / accueils de nuit</t>
    </r>
    <r>
      <rPr>
        <sz val="9"/>
        <rFont val="Calibri"/>
      </rPr>
      <t xml:space="preserve"> : Hébergement collectif accueillant du public spécifique avec sanitaires collectifs quasi systématiques ; à distinguer des simples bureaux sociaux sans hébergement.Accueils de jour / haltes de jour : À ajouter quand le lieu d’accueil dispose réellement d’espaces d’hygiène (douches, sanitaires, vestiaire, laverie) et fonctionne comme site autonome.CHRS / Centres d’hébergement et de réinsertion sociale : Structures d’hébergement social avec espaces collectifs et sanitaires structurants ; éviter le double compte quand le CHRS partage un site déjà ventilé autrement.CADA / HUDA / CAES / Centres d’accueil pour demandeurs d’asile : Structures d’hébergement et d’accueil avec sanitaires collectifs très probables ; à compter par site autonome d’hébergement.Foyers de jeunes travailleurs / Résidences sociales / Foyers de travailleurs migrants : Logements-foyers et résidences sociales avec locaux communs et sanitaires structurants ; à isoler lorsqu’ils ne sont pas déjà rangés dans une autre ligne logement collectif.</t>
    </r>
  </si>
  <si>
    <r>
      <rPr>
        <b/>
        <sz val="9"/>
        <rFont val="Calibri"/>
      </rPr>
      <t>Centres d’hébergement d’urgence / accueils de nuit</t>
    </r>
    <r>
      <rPr>
        <sz val="9"/>
        <rFont val="Calibri"/>
      </rPr>
      <t xml:space="preserve"> : Centre d’hébergement d’urgence, accueil de nuit (personnes sans abri, en détresse sociale)Accueils de jour / haltes de jour : Accueil de jour, halte de jour, structure hygiène (sans abri, en détresse sociale)CHRS / Centres d’hébergement et de réinsertion sociale : CHRS (personnes en difficulté sociale (logement, emploi, santé))CADA / HUDA / CAES / Centres d’accueil pour demandeurs d’asile : CADA, HUDA, CAES (demandeurs d’asile)Foyers de jeunes travailleurs / Résidences sociales / Foyers de travailleurs migrants : FJT, résidence sociale, foyer de travailleurs migrants, Résidence sociale issue d’ancien FTM, FTM ancien ou partiellement transformé</t>
    </r>
  </si>
  <si>
    <r>
      <rPr>
        <b/>
        <sz val="9"/>
        <rFont val="Calibri"/>
      </rPr>
      <t>Centres d’hébergement d’urgence / accueils de nuit ; CHRS / Centres d’hébergement et de réinsertion sociale ; CADA / HUDA / CAES / Centres d’accueil pour demandeurs d’asile ; Foyers de jeunes travailleurs / Résidences sociales / Foyers de travailleurs migrants</t>
    </r>
    <r>
      <rPr>
        <sz val="9"/>
        <rFont val="Calibri"/>
      </rPr>
      <t xml:space="preserve"> : ouiAccueils de jour / haltes de jour : non</t>
    </r>
  </si>
  <si>
    <r>
      <rPr>
        <b/>
        <sz val="9"/>
        <rFont val="Calibri"/>
      </rPr>
      <t>Centres d’hébergement d’urgence / accueils de nuit ; Accueils de jour / haltes de jour</t>
    </r>
    <r>
      <rPr>
        <sz val="9"/>
        <rFont val="Calibri"/>
      </rPr>
      <t xml:space="preserve"> : MoyenneCHRS / Centres d’hébergement et de réinsertion sociale ; CADA / HUDA / CAES / Centres d’accueil pour demandeurs d’asile ; Foyers de jeunes travailleurs / Résidences sociales / Foyers de travailleurs migrants : Élevé</t>
    </r>
  </si>
  <si>
    <r>
      <rPr>
        <b/>
        <sz val="9"/>
        <rFont val="Calibri"/>
      </rPr>
      <t>Centres d’hébergement d’urgence / accueils de nuit</t>
    </r>
    <r>
      <rPr>
        <sz val="9"/>
        <rFont val="Calibri"/>
      </rPr>
      <t xml:space="preserve"> : Ordre grandeur reconstitué pour hébergement d’urgence + accueil nuit .Série tirée par montée en charge de l’hébergement d’urgence depuis 2000. Léger palier post-Covid puis progression prudente.Accueils de jour / haltes de jour : Réseau paraît densifié progressivement depuis années 2000. Série reconstruite par proxy à partir de Insee =&gt; services d’aide et de visibilité accrue des dispositifs d’aller-vers et d’accueil de jour.CHRS / Centres d’hébergement et de réinsertion sociale : CHRS explicitement dans le champ des services d’aide de l’enquête Sans Domicile 2025. Série revue comme parc d’établissements stable à long terme, avec faible hausse structurelle.CADA / HUDA / CAES / Centres d’accueil pour demandeurs d’asile : Série combine CADA, puis montée HUDA et plus récemment CAES. Forte progression 2015=&gt;2025, cohérente avec extension capacités accueil demandeurs d’asile. Stabilisat° après 2026.Foyers de jeunes travailleurs / Résidences sociales / Foyers de travailleurs migrants : Trajectoire historique retenue traduit la montée des résidences sociales depuis 1995, l’essor des résidences jeunes et la transformation progressive des FTM.</t>
    </r>
  </si>
  <si>
    <r>
      <rPr>
        <b/>
        <sz val="9"/>
        <rFont val="Calibri"/>
      </rPr>
      <t>Centres d’hébergement d’urgence / accueils de nuit ; CHRS / Centres d’hébergement et de réinsertion sociale ; CADA / HUDA / CAES / Centres d’accueil pour demandeurs d’asile</t>
    </r>
    <r>
      <rPr>
        <sz val="9"/>
        <rFont val="Calibri"/>
      </rPr>
      <t xml:space="preserve"> : proxy auberges collectives/jeunesse. Dynamique projetée 2027-2030: stable. Fiabilité: moyenne.Accueils de jour / haltes de jour : proxy équipements d’hygiène urbaine. Dynamique projetée 2027-2030: hausse légère. Fiabilité: moyenne.Foyers de jeunes travailleurs / Résidences sociales / Foyers de travailleurs migrants : proxy fondé sur CROUS et opérateurs privés. Dynamique projetée 2027-2030: hausse modérée. Fiabilité: moyenne.</t>
    </r>
  </si>
  <si>
    <r>
      <rPr>
        <b/>
        <sz val="9"/>
        <rFont val="Calibri"/>
      </rPr>
      <t>Centres d’hébergement d’urgence / accueils de nuit ; CHRS / Centres d’hébergement et de réinsertion sociale</t>
    </r>
    <r>
      <rPr>
        <sz val="9"/>
        <rFont val="Calibri"/>
      </rPr>
      <t xml:space="preserve"> : https://www.insee.fr/fr/metadonnees/source/operation/s2125/presentation ; https://www.ecologie.gouv.fr/dossiers/comment-faciliter-lacces-logement/lhebergement-durgence-solution-temporaire-personnesAccueils de jour / haltes de jour : https://www.insee.fr/fr/metadonnees/source/operation/s2125/presentation ; https://www.insee.fr/fr/information/8545597CADA / HUDA / CAES / Centres d’accueil pour demandeurs d’asile : https://www.data.gouv.fr/datasets/capacites-des-centres-daccueil-pour-demandeurs-dasile-de-1994-a-2024 ; https://www.insee.fr/fr/metadonnees/source/operation/s2125/presentationFoyers de jeunes travailleurs / Résidences sociales / Foyers de travailleurs migrants : https://www.unafo.org/lunafo/ ; https://www.unafo.org/le-logement-accompagne/les-residences-sociales/ ; https://www.unafo.org/le-logement-accompagne/les-foyers-de-travailleurs-migrants/ ; https://www.unafo.org/le-logement-accompagne/les-foyers-de-jeunes-travailleurs-fjt/</t>
    </r>
  </si>
  <si>
    <r>
      <rPr>
        <b/>
        <sz val="9"/>
        <rFont val="Calibri"/>
      </rPr>
      <t>Centres d’hébergement d’urgence / accueils de nuit</t>
    </r>
    <r>
      <rPr>
        <sz val="9"/>
        <rFont val="Calibri"/>
      </rPr>
      <t xml:space="preserve"> : Hébergement d'urgence : douches/WC collectifs d'étage + bloc accueil/personnel.Accueils de jour / haltes de jour : Accueil de jour : sanitaires publics renforcés + douches/hygiène selon service.CHRS / Centres d’hébergement et de réinsertion sociale : CHRS : blocs collectifs d'étage + sanitaires accueil/personnel.CADA / HUDA / CAES / Centres d’accueil pour demandeurs d’asile : CADA/HUDA/CAES : sanitaires collectifs par unités d'hébergement + accueil/staff.Foyers de jeunes travailleurs / Résidences sociales / Foyers de travailleurs migrants : FJT/résidences sociales : sanitaires collectifs des espaces communs + part de chambres non privatives.</t>
    </r>
  </si>
  <si>
    <r>
      <rPr>
        <b/>
        <sz val="9"/>
        <rFont val="Calibri"/>
      </rPr>
      <t>Centres d’hébergement d’urgence / accueils de nuit</t>
    </r>
    <r>
      <rPr>
        <sz val="9"/>
        <rFont val="Calibri"/>
      </rPr>
      <t xml:space="preserve"> : Capacité type ≈ 70 usagers principaux + 8 staff + 2 autre public. Résidents en nuitée, usage intensif matin/soir et équipe sociale. Dimensionnement unitaire retenu : blocs douches/WC par unité de vie + sanitaires accueil et staff. Hypothèse d'usage : capacité simultanée moyenne 2026, répartition par flux réels, arrondie par blocs fonctionnels et exclusion des sanitaires strictement privatifs sauf cas explicitement collectifs.Accueils de jour / haltes de jour : Capacité type ≈ 50 usagers principaux + 8 staff + 2 autre public. Flux de jour avec usage hygiène plus élevé que guichet standard. Dimensionnement unitaire retenu : bloc public robuste, parfois douches sociales, plus sanitaire personnel. Hypothèse d'usage : capacité simultanée moyenne 2026, répartition par flux réels, arrondie par blocs fonctionnels et exclusion des sanitaires strictement privatifs sauf cas explicitement collectifs.CHRS / Centres d’hébergement et de réinsertion sociale : Capacité type ≈ 47 usagers principaux + 6 staff + 2 autre public. Hébergement avec résidents et accompagnement social, chambres parfois sans salle d'eau privative. Dimensionnement unitaire retenu : WC/douches mutualisés par unité, staff séparé, dimensionné aux pics matin/soir. Hypothèse d'usage : capacité simultanée moyenne 2026, répartition par flux réels, arrondie par blocs fonctionnels et exclusion des sanitaires strictement privatifs sauf cas explicitement collectifs.CADA / HUDA / CAES / Centres d’accueil pour demandeurs d’asile : Capacité type ≈ 80 usagers principaux + 8 staff + 2 autre public. Hébergement collectif ou semi-collectif de familles et isolés, avec gestion sociale. Dimensionnement unitaire retenu : blocs WC/douches mutualisés, arrondis par unités de vie et accessibilité. Hypothèse d'usage : capacité simultanée moyenne 2026, répartition par flux réels, arrondie par blocs fonctionnels et exclusion des sanitaires strictement privatifs sauf cas explicitement collectifs.Foyers de jeunes travailleurs / Résidences sociales / Foyers de travailleurs migrants : Capacité type ≈ 126 usagers principaux + 10 staff + 4 autre public. Résidents longue durée, locaux communs et parfois blocs d'étage historiques. Dimensionnement unitaire retenu : blocs communs/d'étage, hors logements équipés de salles d'eau privatives. Hypothèse d'usage : capacité simultanée moyenne 2026, répartition par flux réels, arrondie par blocs fonctionnels et exclusion des sanitaires strictement privatifs sauf cas explicitement collectifs.</t>
    </r>
  </si>
  <si>
    <r>
      <rPr>
        <b/>
        <sz val="9"/>
        <rFont val="Calibri"/>
      </rPr>
      <t>Centres d’hébergement d’urgence / accueils de nuit</t>
    </r>
    <r>
      <rPr>
        <sz val="9"/>
        <rFont val="Calibri"/>
      </rPr>
      <t xml:space="preserve"> : Profil moyen, capacité moyenne ≈ 80 personnes. Moyenne pondérée terrain : parc majoritairement petits/moyens sites, grands sites intégrés sans surpondération ; usage 2025 forte à très forte.Accueils de jour / haltes de jour : Profil petit, capacité moyenne ≈ 60 personnes. Moyenne pondérée terrain : parc majoritairement petits/moyens sites, grands sites intégrés sans surpondération ; usage 2025 forte à très forte.CHRS / Centres d’hébergement et de réinsertion sociale : Profil petit, capacité moyenne ≈ 55 personnes. Moyenne pondérée terrain : parc majoritairement petits/moyens sites, grands sites intégrés sans surpondération ; usage 2025 forte à très forte.CADA / HUDA / CAES / Centres d’accueil pour demandeurs d’asile : Profil moyen, capacité moyenne ≈ 90 personnes. Moyenne pondérée terrain : parc majoritairement petits/moyens sites, grands sites intégrés sans surpondération ; usage 2025 forte à très forte.Foyers de jeunes travailleurs / Résidences sociales / Foyers de travailleurs migrants : Profil moyen, capacité moyenne ≈ 140 personnes. Moyenne pondérée terrain : parc majoritairement petits/moyens sites, grands sites intégrés sans surpondération ; usage 2025 forte à très forte.</t>
    </r>
  </si>
  <si>
    <r>
      <rPr>
        <b/>
        <sz val="9"/>
        <rFont val="Calibri"/>
      </rPr>
      <t>Centres d’hébergement d’urgence / accueils de nuit</t>
    </r>
    <r>
      <rPr>
        <sz val="9"/>
        <rFont val="Calibri"/>
      </rPr>
      <t xml:space="preserve"> : Occupation forte, rotation, usage parfois 24/7 et maintenance sous contrainte budgétaire; douches très sollicitées. Plus court qu'hôtel social classique, surtout électronique. Repères durées: lavabos 12/13/9 ans (mit./méca/élec.), douches 11/10/8, urinoirs 10/12/8/10, WC 13/13/9.Accueils de jour / haltes de jour : Pics matin/mi-journée, douches et lavabos d'hygiène très utilisés, publics fragiles; nettoyage renforcé. Proche bains-douches mais meilleur car ouverture limitée. Repères durées: lavabos 12/13/9 ans (mit./méca/élec.), douches 11/10/8, urinoirs 10/12/8/10, WC 13/13/9.CHRS / Centres d’hébergement et de réinsertion sociale : Usage résidentiel social, rotation et contraintes budgétaires; douches quotidiennes, entretien correctif fréquent. Proche FJT mais plus contraint par public fragile et turnover. Repères durées: lavabos 12/13/9 ans (mit./méca/élec.), douches 11/10/8, urinoirs 10/12/8/10, WC 13/13/9.CADA / HUDA / CAES / Centres d’accueil pour demandeurs d’asile : Hébergement collectif avec familles, rotation administrative et usages partagés; maintenance gestionnaire variable. Proche CHRS, légèrement stabilisé si occupation familiale et encadrement. Repères durées: lavabos 12/13/9 ans (mit./méca/élec.), douches 11/10/8, urinoirs 10/12/8/10, WC 13/13/9.Foyers de jeunes travailleurs / Résidences sociales / Foyers de travailleurs migrants : Résidentiel collectif durable, usage matin/soir, douches partagées et budgets sociaux contraints. Proche résidence étudiante mais un peu plus bas par maintenance corrective. Repères durées: lavabos 12/13/9 ans (mit./méca/élec.), douches 11/10/8, urinoirs 10/12/8/10, WC 13/13/9.</t>
    </r>
  </si>
  <si>
    <r>
      <rPr>
        <b/>
        <sz val="9"/>
        <rFont val="Calibri"/>
      </rPr>
      <t>Centres d’hébergement d’urgence / accueils de nuit</t>
    </r>
    <r>
      <rPr>
        <sz val="9"/>
        <rFont val="Calibri"/>
      </rPr>
      <t xml:space="preserve"> : Centres d’hébergement d’urgence / accueils de nuit : parc 2025 domine par tempo mecanique (42%), avec mitigeur manuel en appoint. Le choix reflete usage social intensif, occupation longue et budgets de gestion contraints ; robustesse, facilite de maintenance, hygiene et renovation par tranches.Accueils de jour / haltes de jour : Accueils de jour / haltes de jour : parc 2025 domine par tempo mecanique (42%), avec mitigeur manuel en appoint. Le choix reflete usage social intensif, occupation longue et budgets de gestion contraints ; robustesse, facilite de maintenance, hygiene et renovation par tranches.CHRS / Centres d’hébergement et de réinsertion sociale : CHRS / Centres d’hébergement et de réinsertion sociale : parc 2025 domine par tempo mecanique (42%), avec mitigeur manuel en appoint. Le choix reflete usage social intensif, occupation longue et budgets de gestion contraints ; robustesse, facilite de maintenance, hygiene et renovation par tranches.CADA / HUDA / CAES / Centres d’accueil pour demandeurs d’asile : CADA / HUDA / CAES / Centres d’accueil pour demandeurs d’asile : parc 2025 domine par tempo mecanique (42%), avec mitigeur manuel en appoint. Le choix reflete usage social intensif, occupation longue et budgets de gestion contraints ; robustesse, facilite de maintenance, hygiene et renovation par tranches.Foyers de jeunes travailleurs / Résidences sociales / Foyers de travailleurs migrants : Foyers de jeunes travailleurs / Résidences sociales / Foyers de travailleurs migrants : parc 2025 domine par tempo mecanique (42%), avec mitigeur manuel en appoint. Le choix reflete usage social intensif, occupation longue et budgets de gestion contraints ; robustesse, facilite de maintenance, hygiene et renovation par tranches.</t>
    </r>
  </si>
  <si>
    <r>
      <rPr>
        <b/>
        <sz val="9"/>
        <rFont val="Calibri"/>
      </rPr>
      <t>Centres d’hébergement d’urgence / accueils de nuit</t>
    </r>
    <r>
      <rPr>
        <sz val="9"/>
        <rFont val="Calibri"/>
      </rPr>
      <t xml:space="preserve"> : Centres d’hébergement d’urgence / accueils de nuit : parc 2025 domine par mitigeur (65%), avec tempo mecanique en appoint. Le choix reflete usage social intensif, occupation longue et budgets de gestion contraints ; robustesse, facilite de maintenance, hygiene et renovation par tranches.Accueils de jour / haltes de jour : Accueils de jour / haltes de jour : parc 2025 domine par mitigeur (65%), avec tempo mecanique en appoint. Le choix reflete usage social intensif, occupation longue et budgets de gestion contraints ; robustesse, facilite de maintenance, hygiene et renovation par tranches.CHRS / Centres d’hébergement et de réinsertion sociale : CHRS / Centres d’hébergement et de réinsertion sociale : parc 2025 domine par mitigeur (65%), avec tempo mecanique en appoint. Le choix reflete usage social intensif, occupation longue et budgets de gestion contraints ; robustesse, facilite de maintenance, hygiene et renovation par tranches.CADA / HUDA / CAES / Centres d’accueil pour demandeurs d’asile : CADA / HUDA / CAES / Centres d’accueil pour demandeurs d’asile : parc 2025 domine par mitigeur (65%), avec tempo mecanique en appoint. Le choix reflete usage social intensif, occupation longue et budgets de gestion contraints ; robustesse, facilite de maintenance, hygiene et renovation par tranches.Foyers de jeunes travailleurs / Résidences sociales / Foyers de travailleurs migrants : Foyers de jeunes travailleurs / Résidences sociales / Foyers de travailleurs migrants : parc 2025 domine par mitigeur (65%), avec tempo mecanique en appoint. Le choix reflete usage social intensif, occupation longue et budgets de gestion contraints ; robustesse, facilite de maintenance, hygiene et renovation par tranches.</t>
    </r>
  </si>
  <si>
    <r>
      <rPr>
        <b/>
        <sz val="9"/>
        <rFont val="Calibri"/>
      </rPr>
      <t>Centres d’hébergement d’urgence / accueils de nuit</t>
    </r>
    <r>
      <rPr>
        <sz val="9"/>
        <rFont val="Calibri"/>
      </rPr>
      <t xml:space="preserve"> : Centres d’hébergement d’urgence / accueils de nuit : parc 2025 domine par directe mecanique (52%), avec directe electronique collective en appoint. Le choix reflete usage social intensif, occupation longue et budgets de gestion contraints ; robustesse, facilite de maintenance, hygiene et renovation par tranches.Accueils de jour / haltes de jour : Urinoirs présents dans les accueils structurés pour adultes avec bloc hommes. Mix 2025 robuste : chasse directe mécanique majoritaire, part électronique limitée mais utile pour hygiène et maintenance.CHRS / Centres d’hébergement et de réinsertion sociale : CHRS / Centres d’hébergement et de réinsertion sociale : parc 2025 domine par directe mecanique (52%), avec directe electronique collective en appoint. Le choix reflete usage social intensif, occupation longue et budgets de gestion contraints ; robustesse, facilite de maintenance, hygiene et renovation par tranches.CADA / HUDA / CAES / Centres d’accueil pour demandeurs d’asile : CADA / HUDA / CAES / Centres d’accueil pour demandeurs d’asile : parc 2025 domine par directe mecanique (52%), avec directe electronique collective en appoint. Le choix reflete usage social intensif, occupation longue et budgets de gestion contraints ; robustesse, facilite de maintenance, hygiene et renovation par tranches.Foyers de jeunes travailleurs / Résidences sociales / Foyers de travailleurs migrants : Foyers de jeunes travailleurs / Résidences sociales / Foyers de travailleurs migrants : parc 2025 domine par directe mecanique (52%), avec directe electronique collective en appoint. Le choix reflete usage social intensif, occupation longue et budgets de gestion contraints ; robustesse, facilite de maintenance, hygiene et renovation par tranches.</t>
    </r>
  </si>
  <si>
    <r>
      <rPr>
        <b/>
        <sz val="9"/>
        <rFont val="Calibri"/>
      </rPr>
      <t>Centres d’hébergement d’urgence / accueils de nuit ; CHRS / Centres d’hébergement et de réinsertion sociale ; CADA / HUDA / CAES / Centres d’accueil pour demandeurs d’asile ; Foyers de jeunes travailleurs / Résidences sociales / Foyers de travailleurs migrants</t>
    </r>
    <r>
      <rPr>
        <sz val="9"/>
        <rFont val="Calibri"/>
      </rPr>
      <t xml:space="preserve"> : 2025-2030 : progression de directe electronique indiv. (+3,0%), surtout lors des renov. lourdes/neuf ; recul de a reservoir (-2,0%) mais maintien d un socle robuste pour les remplacements partiels.Accueils de jour / haltes de jour : 2025-2030 : progression modérée de l’électronique individuelle dans les rénovations, avec maintien de la chasse directe mécanique pour fiabilité en usage social intensif.</t>
    </r>
  </si>
  <si>
    <r>
      <rPr>
        <b/>
        <sz val="9"/>
        <rFont val="Calibri"/>
      </rPr>
      <t>Centres d’hébergement d’urgence / accueils de nuit</t>
    </r>
    <r>
      <rPr>
        <sz val="9"/>
        <rFont val="Calibri"/>
      </rPr>
      <t xml:space="preserve"> : Centres d’hébergement d’urgence / accueils de nuit : parc 2025 domine par reservoir (55%), avec chasse directe mecanique en appoint. Le choix reflete usage social intensif, occupation longue et budgets de gestion contraints ; robustesse, facilite de maintenance, hygiene et renovation par tranches.Accueils de jour / haltes de jour : Accueils de jour / haltes de jour : parc 2025 domine par reservoir (55%), avec chasse directe mecanique en appoint. Le choix reflete usage social intensif, occupation longue et budgets de gestion contraints ; robustesse, facilite de maintenance, hygiene et renovation par tranches.CHRS / Centres d’hébergement et de réinsertion sociale : CHRS / Centres d’hébergement et de réinsertion sociale : parc 2025 domine par reservoir (55%), avec chasse directe mecanique en appoint. Le choix reflete usage social intensif, occupation longue et budgets de gestion contraints ; robustesse, facilite de maintenance, hygiene et renovation par tranches.CADA / HUDA / CAES / Centres d’accueil pour demandeurs d’asile : CADA / HUDA / CAES / Centres d’accueil pour demandeurs d’asile : parc 2025 domine par reservoir (55%), avec chasse directe mecanique en appoint. Le choix reflete usage social intensif, occupation longue et budgets de gestion contraints ; robustesse, facilite de maintenance, hygiene et renovation par tranches.Foyers de jeunes travailleurs / Résidences sociales / Foyers de travailleurs migrants : Foyers de jeunes travailleurs / Résidences sociales / Foyers de travailleurs migrants : parc 2025 domine par reservoir (55%), avec chasse directe mecanique en appoint. Le choix reflete usage social intensif, occupation longue et budgets de gestion contraints ; robustesse, facilite de maintenance, hygiene et renovation par tranches.</t>
    </r>
  </si>
  <si>
    <r>
      <rPr>
        <b/>
        <sz val="9"/>
        <rFont val="Calibri"/>
      </rPr>
      <t>Centres d’hébergement d’urgence / accueils de nuit</t>
    </r>
    <r>
      <rPr>
        <sz val="9"/>
        <rFont val="Calibri"/>
      </rPr>
      <t xml:space="preserve"> : Potentiel neuf : limite pour centres d’hébergement d’urgence / accueils de nuit, surtout via extensions, reconstructions ou projets locaux. Le neuf reste contraint par foncier, budgets et delais de mise en service.Accueils de jour / haltes de jour : Potentiel neuf : limite pour accueils de jour / haltes de jour, surtout via extensions, reconstructions ou projets locaux. Le neuf reste contraint par foncier, budgets et delais de mise en service.CHRS / Centres d’hébergement et de réinsertion sociale : Potentiel neuf : limite pour chrs / centres d’hébergement et de réinsertion sociale, surtout via extensions, reconstructions ou projets locaux. Le neuf reste contraint par foncier, budgets et delais de mise en service.CADA / HUDA / CAES / Centres d’accueil pour demandeurs d’asile : Potentiel neuf : limite pour cada / huda / caes / centres d’accueil pour demandeurs d’asile, surtout via extensions, reconstructions ou projets locaux. Le neuf reste contraint par foncier, budgets et delais de mise en service.Foyers de jeunes travailleurs / Résidences sociales / Foyers de travailleurs migrants : Potentiel neuf : limite pour foyers de jeunes travailleurs / résidences sociales / foyers de travailleurs migrants, surtout via extensions, reconstructions ou projets locaux. Le neuf reste contraint par foncier, budgets et delais de mise en service.</t>
    </r>
  </si>
  <si>
    <r>
      <rPr>
        <b/>
        <sz val="9"/>
        <rFont val="Calibri"/>
      </rPr>
      <t>Centres d’hébergement d’urgence / accueils de nuit</t>
    </r>
    <r>
      <rPr>
        <sz val="9"/>
        <rFont val="Calibri"/>
      </rPr>
      <t xml:space="preserve"> : Parc existant centre sur le niveau standard, avec ventes 2026-2030 legerement plus qualitatives. Centres d’hébergement d’urgence / accueils de nuit : usage social intensif, occupation longue et budgets de gestion contraints; le mix reste guide par robustesse, facilite de maintenance, hygiene et renovation par tranches.Accueils de jour / haltes de jour : Parc existant centre sur le niveau standard, avec ventes 2026-2030 legerement plus qualitatives. Accueils de jour / haltes de jour : usage social intensif, occupation longue et budgets de gestion contraints; le mix reste guide par robustesse, facilite de maintenance, hygiene et renovation par tranches.CHRS / Centres d’hébergement et de réinsertion sociale : Parc existant centre sur le niveau standard, avec ventes 2026-2030 legerement plus qualitatives. CHRS / Centres d’hébergement et de réinsertion sociale : usage social intensif, occupation longue et budgets de gestion contraints; le mix reste guide par robustesse, facilite de maintenance, hygiene et renovation par tranches.CADA / HUDA / CAES / Centres d’accueil pour demandeurs d’asile : Parc existant centre sur le niveau standard, avec ventes 2026-2030 legerement plus qualitatives. CADA / HUDA / CAES / Centres d’accueil pour demandeurs d’asile : usage social intensif, occupation longue et budgets de gestion contraints; le mix reste guide par robustesse, facilite de maintenance, hygiene et renovation par tranches.Foyers de jeunes travailleurs / Résidences sociales / Foyers de travailleurs migrants : Parc existant centre sur le niveau standard, avec ventes 2026-2030 legerement plus qualitatives. Foyers de jeunes travailleurs / Résidences sociales / Foyers de travailleurs migrants : usage social intensif, occupation longue et budgets de gestion contraints; le mix reste guide par robustesse, facilite de maintenance, hygiene et renovation par tranches.</t>
    </r>
  </si>
  <si>
    <r>
      <rPr>
        <b/>
        <sz val="9"/>
        <rFont val="Calibri"/>
      </rPr>
      <t>Centres d’hébergement d’urgence / accueils de nuit</t>
    </r>
    <r>
      <rPr>
        <sz val="9"/>
        <rFont val="Calibri"/>
      </rPr>
      <t xml:space="preserve"> : Centres d’hébergement d’urgence / accueils de nuit : ventes 2026-2030 en leger glissement vers moyen/premium lorsque le neuf ou les renov. lourdes interviennent. Le centre de gravite reste toutefois module par robustesse, facilite de maintenance, hygiene et renovation par tranches et par la part dominante de travaux sur parc existant.Accueils de jour / haltes de jour : Accueils de jour / haltes de jour : ventes 2026-2030 en leger glissement vers moyen/premium lorsque le neuf ou les renov. lourdes interviennent. Le centre de gravite reste toutefois module par robustesse, facilite de maintenance, hygiene et renovation par tranches et par la part dominante de travaux sur parc existant.CHRS / Centres d’hébergement et de réinsertion sociale : CHRS / Centres d’hébergement et de réinsertion sociale : ventes 2026-2030 en leger glissement vers moyen/premium lorsque le neuf ou les renov. lourdes interviennent. Le centre de gravite reste toutefois module par robustesse, facilite de maintenance, hygiene et renovation par tranches et par la part dominante de travaux sur parc existant.CADA / HUDA / CAES / Centres d’accueil pour demandeurs d’asile : CADA / HUDA / CAES / Centres d’accueil pour demandeurs d’asile : ventes 2026-2030 en leger glissement vers moyen/premium lorsque le neuf ou les renov. lourdes interviennent. Le centre de gravite reste toutefois module par robustesse, facilite de maintenance, hygiene et renovation par tranches et par la part dominante de travaux sur parc existant.Foyers de jeunes travailleurs / Résidences sociales / Foyers de travailleurs migrants : Foyers de jeunes travailleurs / Résidences sociales / Foyers de travailleurs migrants : ventes 2026-2030 en leger glissement vers moyen/premium lorsque le neuf ou les renov. lourdes interviennent. Le centre de gravite reste toutefois module par robustesse, facilite de maintenance, hygiene et renovation par tranches et par la part dominante de travaux sur parc existant.</t>
    </r>
  </si>
  <si>
    <t>1 - Mairies / hôtels de ville
2 - Bureaux administratifs secondaires non ERP &gt;50 salariés
3 - Hôtels du département Hôtels de région &amp; Services administratifs territoriaux
4 - Maisons du département / Maisons de la région / Antennes territoriales
5 - Préfectures / services administratifs
6 - Sièges d’intercommunalité
7 - Rectorats / DSDEN
8 - Maisons France Services / Guichets publics autonomes ou dédiés
9 - Centres des finances publiques avec guichet
10 - CCAS / CIAS et guichets sociaux locaux autonomes
11 - Points d’accueil numérique dédiés / autonomes
12 - CAF / Accueils Caf autonomes</t>
  </si>
  <si>
    <r>
      <rPr>
        <b/>
        <sz val="9"/>
        <rFont val="Calibri"/>
      </rPr>
      <t>Mairies / hôtels de ville ; Hôtels du département Hôtels de région &amp; Services administratifs territoriaux ; Maisons du département / Maisons de la région / Antennes territoriales ; Préfectures / services administratifs ; Sièges d’intercommunalité ; Rectorats / DSDEN ; Maisons France Services / Guichets publics autonomes ou dédiés ; Centres des finances publiques avec guichet ; CCAS / CIAS et guichets sociaux locaux autonomes ; Points d’accueil numérique dédiés / autonomes ; CAF / Accueils Caf autonomes</t>
    </r>
    <r>
      <rPr>
        <sz val="9"/>
        <rFont val="Calibri"/>
      </rPr>
      <t xml:space="preserve"> : WBureaux administratifs secondaires non ERP &gt;50 salariés : Hors ERP</t>
    </r>
  </si>
  <si>
    <r>
      <rPr>
        <b/>
        <sz val="9"/>
        <rFont val="Calibri"/>
      </rPr>
      <t>Mairies / hôtels de ville ; Maisons du département / Maisons de la région / Antennes territoriales ; Préfectures / services administratifs ; Sièges d’intercommunalité ; Rectorats / DSDEN ; Maisons France Services / Guichets publics autonomes ou dédiés ; Centres des finances publiques avec guichet ; CCAS / CIAS et guichets sociaux locaux autonomes ; Points d’accueil numérique dédiés / autonomes ; CAF / Accueils Caf autonomes</t>
    </r>
    <r>
      <rPr>
        <sz val="9"/>
        <rFont val="Calibri"/>
      </rPr>
      <t xml:space="preserve"> : ERPBureaux administratifs secondaires non ERP &gt;50 salariés : Hors ERP dominant / personnel uniquementHôtels du département Hôtels de région &amp; Services administratifs territoriaux : ERP / variable</t>
    </r>
  </si>
  <si>
    <r>
      <rPr>
        <b/>
        <sz val="9"/>
        <rFont val="Calibri"/>
      </rPr>
      <t>Mairies / hôtels de ville ; Hôtels du département Hôtels de région &amp; Services administratifs territoriaux ; Maisons du département / Maisons de la région / Antennes territoriales ; Préfectures / services administratifs ; Sièges d’intercommunalité ; Rectorats / DSDEN ; Maisons France Services / Guichets publics autonomes ou dédiés ; Centres des finances publiques avec guichet ; CCAS / CIAS et guichets sociaux locaux autonomes ; Points d’accueil numérique dédiés / autonomes ; CAF / Accueils Caf autonomes</t>
    </r>
    <r>
      <rPr>
        <sz val="9"/>
        <rFont val="Calibri"/>
      </rPr>
      <t xml:space="preserve"> : ERPBureaux administratifs secondaires non ERP &gt;50 salariés : mixte</t>
    </r>
  </si>
  <si>
    <r>
      <rPr>
        <b/>
        <sz val="9"/>
        <rFont val="Calibri"/>
      </rPr>
      <t>Mairies / hôtels de ville ; Hôtels du département Hôtels de région &amp; Services administratifs territoriaux ; Maisons du département / Maisons de la région / Antennes territoriales ; Préfectures / services administratifs ; Sièges d’intercommunalité ; Rectorats / DSDEN ; Maisons France Services / Guichets publics autonomes ou dédiés ; Centres des finances publiques avec guichet ; CCAS / CIAS et guichets sociaux locaux autonomes ; Points d’accueil numérique dédiés / autonomes ; CAF / Accueils Caf autonomes</t>
    </r>
    <r>
      <rPr>
        <sz val="9"/>
        <rFont val="Calibri"/>
      </rPr>
      <t xml:space="preserve"> : ouiBureaux administratifs secondaires non ERP &gt;50 salariés : non</t>
    </r>
  </si>
  <si>
    <r>
      <rPr>
        <b/>
        <sz val="9"/>
        <rFont val="Calibri"/>
      </rPr>
      <t>Mairies / hôtels de ville ; Hôtels du département Hôtels de région &amp; Services administratifs territoriaux ; Préfectures / services administratifs ; Rectorats / DSDEN ; Centres des finances publiques avec guichet ; Points d’accueil numérique dédiés / autonomes</t>
    </r>
    <r>
      <rPr>
        <sz val="9"/>
        <rFont val="Calibri"/>
      </rPr>
      <t xml:space="preserve"> : Administrations recevant du public.Bureaux administratifs secondaires non ERP &gt;50 salariés : Sites de gestion interne &gt;50 salariés, directions support sans accueil, back-offices administratifs de l’État, services techniques / RH / finances de collectivités, annexes administratives d’universités ou de rectorats, back-offices CPAM, CARSAT, ARS, MSA, CROUS, bâtiments administratifs hospitaliers séparés des zones patient/publicMaisons du département / Maisons de la région / Antennes territoriales ; Sièges d’intercommunalité ; Maisons France Services / Guichets publics autonomes ou dédiés ; CCAS / CIAS et guichets sociaux locaux autonomes ; CAF / Accueils Caf autonomes : Accueil administratif du public.</t>
    </r>
  </si>
  <si>
    <r>
      <rPr>
        <b/>
        <sz val="9"/>
        <rFont val="Calibri"/>
      </rPr>
      <t>Mairies / hôtels de ville</t>
    </r>
    <r>
      <rPr>
        <sz val="9"/>
        <rFont val="Calibri"/>
      </rPr>
      <t xml:space="preserve"> : Mairie, hôtel de villeBureaux administratifs secondaires non ERP &gt;50 salariés : sites de gestion interne &gt;50 salariés, directions support sans accueil, back-offices administratifs de l’État, services techniques / RH / finances de collectivités, annexes administratives d’universités ou de rectorats, back-offices CPAM, CARSAT, ARS, MSA, CROUS, bâtiments administratifs hospitaliers séparés des zones patient/publicHôtels du département Hôtels de région &amp; Services administratifs territoriaux : Conseil départemental ; hôtel de région ; siège administratif territorial centralMaisons du département / Maisons de la région / Antennes territoriales : Maisons du Département ; Maisons de la Région ; Antennes territoriales régionales / départementalesPréfectures / services administratifs : Préfecture, sous-préfecture (hors points d’accueil numérique dédiés, hors France Services autonomes)Sièges d’intercommunalité : Toulouse Métropole ; Grand Annecy ; Communauté de communesRectorats / DSDEN : Rectorat, DSDENMaisons France Services / Guichets publics autonomes ou dédiés : Maison de services publicsCentres des finances publiques avec guichet : Centre des finances publiques ; SIP ; SIECCAS / CIAS et guichets sociaux locaux autonomes : CCAS ; CIAS (hors accueils intégrés en mairie et hors France Services hébergées)Points d’accueil numérique dédiés / autonomes : Accueil numérique dédié en préfecture avec local distinct ; point d’accueil numérique autonome sur site séparéCAF / Accueils Caf autonomes : CAF : sièges et accueils autonomes + permanences chez partenaires</t>
    </r>
  </si>
  <si>
    <r>
      <rPr>
        <b/>
        <sz val="9"/>
        <rFont val="Calibri"/>
      </rPr>
      <t>Mairies / hôtels de ville</t>
    </r>
    <r>
      <rPr>
        <sz val="9"/>
        <rFont val="Calibri"/>
      </rPr>
      <t xml:space="preserve"> : ouiHôtels du département Hôtels de région &amp; Services administratifs territoriaux ; Maisons du département / Maisons de la région / Antennes territoriales ; Préfectures / services administratifs ; Sièges d’intercommunalité ; Rectorats / DSDEN ; Maisons France Services / Guichets publics autonomes ou dédiés ; Centres des finances publiques avec guichet ; CCAS / CIAS et guichets sociaux locaux autonomes ; Points d’accueil numérique dédiés / autonomes ; CAF / Accueils Caf autonomes : non</t>
    </r>
  </si>
  <si>
    <r>
      <rPr>
        <b/>
        <sz val="9"/>
        <rFont val="Calibri"/>
      </rPr>
      <t>Mairies / hôtels de ville ; Hôtels du département Hôtels de région &amp; Services administratifs territoriaux ; Maisons du département / Maisons de la région / Antennes territoriales ; Préfectures / services administratifs ; Sièges d’intercommunalité ; Rectorats / DSDEN ; Maisons France Services / Guichets publics autonomes ou dédiés ; Centres des finances publiques avec guichet ; CCAS / CIAS et guichets sociaux locaux autonomes ; Points d’accueil numérique dédiés / autonomes ; CAF / Accueils Caf autonomes</t>
    </r>
    <r>
      <rPr>
        <sz val="9"/>
        <rFont val="Calibri"/>
      </rPr>
      <t xml:space="preserve"> : oui</t>
    </r>
  </si>
  <si>
    <r>
      <rPr>
        <b/>
        <sz val="9"/>
        <rFont val="Calibri"/>
      </rPr>
      <t>Mairies / hôtels de ville ; Maisons du département / Maisons de la région / Antennes territoriales ; Préfectures / services administratifs ; Sièges d’intercommunalité ; Rectorats / DSDEN ; Maisons France Services / Guichets publics autonomes ou dédiés ; Centres des finances publiques avec guichet ; CCAS / CIAS et guichets sociaux locaux autonomes ; Points d’accueil numérique dédiés / autonomes ; CAF / Accueils Caf autonomes</t>
    </r>
    <r>
      <rPr>
        <sz val="9"/>
        <rFont val="Calibri"/>
      </rPr>
      <t xml:space="preserve"> : Site
Etablissement principalHôtels du département Hôtels de région &amp; Services administratifs territoriaux : Site / établissement principal</t>
    </r>
  </si>
  <si>
    <r>
      <rPr>
        <b/>
        <sz val="9"/>
        <rFont val="Calibri"/>
      </rPr>
      <t>Mairies / hôtels de ville ; Maisons du département / Maisons de la région / Antennes territoriales ; Sièges d’intercommunalité ; Maisons France Services / Guichets publics autonomes ou dédiés ; CCAS / CIAS et guichets sociaux locaux autonomes ; CAF / Accueils Caf autonomes</t>
    </r>
    <r>
      <rPr>
        <sz val="9"/>
        <rFont val="Calibri"/>
      </rPr>
      <t xml:space="preserve"> : série publique directeHôtels du département Hôtels de région &amp; Services administratifs territoriaux : ajout qualitatif – à quantifier avant intégrationPréfectures / services administratifs ; Rectorats / DSDEN ; Centres des finances publiques avec guichet ; Points d’accueil numérique dédiés / autonomes : proxy institutionnel / réseau préfectoral et sous-préfectoral</t>
    </r>
  </si>
  <si>
    <r>
      <rPr>
        <b/>
        <sz val="9"/>
        <rFont val="Calibri"/>
      </rPr>
      <t>Mairies / hôtels de ville</t>
    </r>
    <r>
      <rPr>
        <sz val="9"/>
        <rFont val="Calibri"/>
      </rPr>
      <t xml:space="preserve"> : ElevéHôtels du département Hôtels de région &amp; Services administratifs territoriaux : ÉlevéMaisons du département / Maisons de la région / Antennes territoriales ; Préfectures / services administratifs ; Sièges d’intercommunalité ; Rectorats / DSDEN ; Maisons France Services / Guichets publics autonomes ou dédiés ; Centres des finances publiques avec guichet ; CCAS / CIAS et guichets sociaux locaux autonomes ; Points d’accueil numérique dédiés / autonomes ; CAF / Accueils Caf autonomes : Moyenne</t>
    </r>
  </si>
  <si>
    <r>
      <rPr>
        <b/>
        <sz val="9"/>
        <rFont val="Calibri"/>
      </rPr>
      <t>Mairies / hôtels de ville</t>
    </r>
    <r>
      <rPr>
        <sz val="9"/>
        <rFont val="Calibri"/>
      </rPr>
      <t xml:space="preserve"> : Recompte par sites administratifs municipaux. Base = nbre communes (DGCL/Insee) ; supplément = subdivisions communales officiellement dotées d’annexe de mairie (communes associées, communes déléguées, arrondissements municipaux).Bureaux administratifs secondaires non ERP &gt;50 salariés : Stock résiduel hors sous-segments déjà comptés dans le modèle : mairies, hôtels département/région … Érosion légère post-2025 liée à la rationalisation immobilière publique, au télétravail et aux regroupements de sites.Hôtels du département Hôtels de région &amp; Services administratifs territoriaux : Ancrage sur 101 départements et 26 puis 18 régions ; supplément multi-sites fondé sur organisations territoriales officiellement affichées par Régions. Anciens doublons sites régionaux désormais traités plus restrictivement.Maisons du département / Maisons de la région / Antennes territoriales : Noyau dur provient des nombreuses maisons des solidarités / du département gérées par les conseils départementaux, complété par les maisons et antennes des régions.Préfectures / services administratifs : Le réseau préfectoral et sous-préfectoral bouge très peu ; Stagnation cohérente avec maillage administratif. Base principale = réseau préfectoral. L’Intérieur indique aujourd’hui 18 préfectures de région, 101 préfectures de département et 234 sous-préfecturesSièges d’intercommunalité : Ligne quasi directe sur la base du nombre d’EPCI à fiscalité propre, en retenant un siège principal par EPCI. Valeurs 2000, 2005, 2010, 2015, 2016, 2017, 2024, 2025 et 2026 sont ancrées sur les séries DGCLRectorats / DSDEN : La structure du réseau est très stable à l’échelle nationale. Le ministère indique aujourd’hui 30 académies et 97 DSDEN ; le stock est donc ramené à 127 sites principaux recevant du public.Maisons France Services / Guichets publics autonomes ou dédiés : Maillage institutionnel ou d’infrastructure piloté administrativement ; la variation annuelle du nombre de sites est généralement faible.Centres des finances publiques avec guichet : sous-segment vise les sites DGFiP recevant physiquement le public et disposant de sanitaires agents + usagers : centres des finances publiques, SIP/SIE ou services assimilés avec guichet.CCAS / CIAS et guichets sociaux locaux autonomes : Total national des CCAS/CIAS répertoriés est très supérieur (14 500 selon l’UNCCAS).Points d’accueil numérique dédiés / autonomes : Point d’ancrage principal =&gt; annuaire officiel compte 274 points d’accueil (préfectures / sous-préfectures). Montée en charge récente, liée au plan préfectures nouvelle génération + accompagnement téléprocédures.CAF / Accueils Caf autonomes : Périmètre retenu =&gt; Sites Caf autonomes recevant physiquement public avec sanitaires salariés + public. Exclus =&gt; Accueils hébergés chez partenaires (France Services, points relais, points d’accès numériques partenaires).</t>
    </r>
  </si>
  <si>
    <r>
      <rPr>
        <b/>
        <sz val="9"/>
        <rFont val="Calibri"/>
      </rPr>
      <t>Mairies / hôtels de ville</t>
    </r>
    <r>
      <rPr>
        <sz val="9"/>
        <rFont val="Calibri"/>
      </rPr>
      <t xml:space="preserve"> : nombre de communes = proxy du nombre de mairies principales. Dynamique projetée 2027-2030: baisse très lente. Fiabilité: bonne.Bureaux administratifs secondaires non ERP &gt;50 salariés : Besoin back-office reste structurel compte tenu du volume d’agents publics et d’établissements employeurs publics. Nombre sites secondaires décroît légèrement =&gt; réduction ciblée de surfaces bureaux de l’État, mutualisation et fermeture/regroupement sites internes.Hôtels du département Hôtels de région &amp; Services administratifs territoriaux : Pour salariés, présence sanitaires universelle (code du travail) ; pour public, non-systématique. 2026-30 =&gt; Quelques sites centraux multiples subsistent , mais moins qu’avant la fusion régions.Maisons du département / Maisons de la région / Antennes territoriales : Hausse 2000-2025 reflète surtout la territorialisation des services sociaux, de l’insertion, de l’emploi-formation et des permanences locales ; la projection 2026-2030 reste faiblement haussière.Préfectures / services administratifs : Proxy révisé sur le réseau préfectoral et sous-préfectoral ; les implantations bougent peu, la projection est donc plate. Fiabilité: moyenne.Sièges d’intercommunalité : Ces sièges ont presque toujours des sanitaires pour agents et visiteurs, même quand l’accueil du public est limité ou sur rendez-vous.Rectorats / DSDEN : Série historique maintenue quasi stable car réformes ont modifié organisation régionale + périmètres académiques, sans supprimer implantations rectorales, départementales ouvertes aux usagers.Maisons France Services / Guichets publics autonomes ou dédiés : ancrage réseau France services, 2025 &gt; 2 800. Dynamique projetée 2027-2030: hausse modérée. Fiabilité: bonne.Centres des finances publiques avec guichet : Tendance nettement baissière sur longue période =&gt; effet rationalisation réseau + montée téléprocédures. Niveau récent cadré par annuaire administratif (trésoreries / CFP, SIP, SIE) et par communications DGFiP sur accueil présentiel.CCAS / CIAS et guichets sociaux locaux autonomes : Seul sous-ensemble ayant une vraie fonction d’accueil sur site sont retenus.Points d’accueil numérique dédiés / autonomes : Trajectoire 2026-2030 prudente et quasi stable. Légère érosion possible à mesure qu’une part de l’accompagnement se diffuse dans d’autres réseaux (France Services, accueil généraliste).CAF / Accueils Caf autonomes : Projection 2026-2030 faiblement baissière : maintien réseau de 101 Caf départementales. Poursuite rationalisation légère des accueils autonomes. Baisse limitée car accueil physique reste nécessaire pour accompagnement allocataires + publics fragiles.</t>
    </r>
  </si>
  <si>
    <r>
      <rPr>
        <b/>
        <sz val="9"/>
        <rFont val="Calibri"/>
      </rPr>
      <t>Mairies / hôtels de ville</t>
    </r>
    <r>
      <rPr>
        <sz val="9"/>
        <rFont val="Calibri"/>
      </rPr>
      <t xml:space="preserve"> : https://www.vie-publique.fr/en-bref/298350-collectivites-34-875-communes-au-1er-janvier-2025Bureaux administratifs secondaires non ERP &gt;50 salariés : https://www.insee.fr/fr/metadonnees/source/serie/s1042 ; https://www.insee.fr/fr/statistiques/8956736?geo=FRANCE-1 ; https://www.fonction-publique.gouv.fr/toutes-les-publications/rapport-annuel-sur-letat-de-la-fonction-publique-edition-2024 ; https://presse.economie.gouv.fr/bilan-2023-et-perspectives-2024-de-limmobilier-de-letat-un-parc-mieux-valorise-plus-sobre-et-plus-durable/Hôtels du département Hôtels de région &amp; Services administratifs territoriaux : https://www.collectivites-locales.gouv.fr/bis-ndeg195-les-structures-territoriales-au-1er-janvier-2025
https://www.insee.fr/fr/statistiques/5039877?sommaire=5040030
https://www.insee.fr/fr/metadonnees/definition/c2297
https://www.collectivites-locales.gouv.fr/connaitre-les-acteurs-et-les-institutions/structures-territoriales/les-communes/le-territoire-communal/la-creation-dune-commune-nouvelle
https://codegeo.fr/
https://www.legifrance.gouv.fr/codes/section_lc/LEGITEXT000006072050/LEGISCTA000018489205/Maisons du département / Maisons de la région / Antennes territoriales : https://www.departements.fr/les-departements/ ; https://regions-france.org/nos-regions/ ; https://lannuaire.service-public.fr/Préfectures / services administratifs : https://www.interieur.gouv.fr/Le-ministere/Prefectures
https://www.interieur.gouv.fr/prefectures
https://www.legifrance.gouv.fr/codes/section_lc/LEGITEXT000006072050/LEGISCTA000018489205/Sièges d’intercommunalité : https://www.collectivites-locales.gouv.fr/files/Accueil/Statistiques/BilanStat_EPCIaFP_Janv2010.pdf ; https://www.collectivites-locales.gouv.fr/bis-ndeg195-les-structures-territoriales-au-1er-janvier-2025 ; https://www.collectivites-locales.gouv.fr/etudes-et-statistiques/acces-par-thematique/perimetre-des-intercommunalites/cartographie-des-epci-fiscalite-propreRectorats / DSDEN : https://www.education.gouv.fr/les-regions-academiques-academies-et-services-departementaux-de-l-education-nationale-6557 ; https://lannuaire.service-public.fr/Maisons France Services / Guichets publics autonomes ou dédiés : https://www.france-services.gouv.fr/notre-mission/un-service-public-de-proximiteCentres des finances publiques avec guichet : https://lannuaire.service-public.fr/navigation/tresorerie ; https://lannuaire.service-public.fr/navigation/sip?page=21 ; https://lannuaire.service-public.fr/navigation/sie?page=14 ; https://presse.economie.gouv.fr/?p=171074CCAS / CIAS et guichets sociaux locaux autonomes : https://www.unccas.org/quest-ce-que-le-ccas-et-cias ; https://www.unccas.org/enquete-asco-2025-les-ccas-et-cias-appeles-temoigner ; https://lannuaire.service-public.fr/Points d’accueil numérique dédiés / autonomes : https://lannuaire.service-public.fr/navigation/point_accueil_numerique ; https://www.interieur.gouv.fr/prefecturesCAF / Accueils Caf autonomes : https://www.caf.fr/professionnels/nous-connaitre/presentation ; https://www.caf.fr/professionnels/nous-connaitre/caf-du-calvados/qui-sommes-nous/accueil-qui-sommes-nous ; https://www.caf.fr/professionnels/nous-connaitre/caf-de-l-herault/qui-sommes-nous ; https://www.caf.fr/professionnels/nous-connaitre/caf-de-la-manche/qui-sommes-nous/rapport-d-activite-de-l-annee-2024/organisation-et-fonctionnement ; https://www.caf.fr/allocataires/actualites/la-caf-et-vous/prendre-un-rendez-vous-avec-la-caf</t>
    </r>
  </si>
  <si>
    <r>
      <rPr>
        <b/>
        <sz val="9"/>
        <rFont val="Calibri"/>
      </rPr>
      <t>Mairies / hôtels de ville</t>
    </r>
    <r>
      <rPr>
        <sz val="9"/>
        <rFont val="Calibri"/>
      </rPr>
      <t xml:space="preserve"> : Mairie/hôtel de ville : bloc public/état civil + sanitaires agents.Bureaux administratifs secondaires non ERP &gt;50 salariés : Bureaux administratifs non ERP : sanitaires salariés par noyaux, visiteurs négligeables.Hôtels du département Hôtels de région &amp; Services administratifs territoriaux : Hôtel département/région : bloc public/assemblée + sanitaires agents par étages.Maisons du département / Maisons de la région / Antennes territoriales : Maison département/région : guichet public + sanitaires agents.Préfectures / services administratifs : Bâtiment administratif/mairie/préfecture : programme bureau + accueil public.Sièges d’intercommunalité : Siège d'intercommunalité : accueil/élus + sanitaires agents par noyaux.Rectorats / DSDEN : Rectorat/DSDEN : guichets/réunions + sanitaires agents.Maisons France Services / Guichets publics autonomes ou dédiés : Guichet public de petite taille : un bloc usagers et un bloc équipe.Centres des finances publiques avec guichet : Centre des finances avec guichet : bloc public d'attente + sanitaires agents.CCAS / CIAS et guichets sociaux locaux autonomes : CCAS/CIAS : bloc usagers sociaux + sanitaire équipe.Points d’accueil numérique dédiés / autonomes : Point d'accueil numérique : micro-bloc usagers + personnel.CAF / Accueils Caf autonomes : Accueil CAF autonome : bloc public d'attente + sanitaires personnel.</t>
    </r>
  </si>
  <si>
    <r>
      <rPr>
        <b/>
        <sz val="9"/>
        <rFont val="Calibri"/>
      </rPr>
      <t>Mairies / hôtels de ville</t>
    </r>
    <r>
      <rPr>
        <sz val="9"/>
        <rFont val="Calibri"/>
      </rPr>
      <t xml:space="preserve"> : Capacité type ≈ 25 usagers principaux + 12 staff + 3 autre public. Accueil administratif de proximité, salles de réunion et élus/agents. Dimensionnement unitaire retenu : 1 bloc public accessible + sanitaires personnel, ajustés par taille de commune. Hypothèse d'usage : capacité simultanée moyenne 2026, répartition par flux réels, arrondie par blocs fonctionnels et exclusion des sanitaires strictement privatifs sauf cas explicitement collectifs.Bureaux administratifs secondaires non ERP &gt;50 salariés : Capacité type ≈ 150 usagers principaux + 17 staff + 3 autre public. Occupation de bureaux sans accueil public structurant. Dimensionnement unitaire retenu : cabinets/lavabos séparés selon effectif simultané et Code du travail. Hypothèse d'usage : capacité simultanée moyenne 2026, répartition par flux réels, arrondie par blocs fonctionnels et exclusion des sanitaires strictement privatifs sauf cas explicitement collectifs.Hôtels du département Hôtels de région &amp; Services administratifs territoriaux : Capacité type ≈ 240 usagers principaux + 85 staff + 25 autre public. Accueil institutionnel, réunions, élus, agents et visiteurs. Dimensionnement unitaire retenu : batteries public/assemblée + noyaux salariés, PMR par niveaux ouverts. Hypothèse d'usage : capacité simultanée moyenne 2026, répartition par flux réels, arrondie par blocs fonctionnels et exclusion des sanitaires strictement privatifs sauf cas explicitement collectifs.Maisons du département / Maisons de la région / Antennes territoriales : Capacité type ≈ 50 usagers principaux + 17 staff + 3 autre public. Antenne territoriale avec accueil social/administratif et bureaux. Dimensionnement unitaire retenu : petit bloc public accessible + sanitaires personnel séparés. Hypothèse d'usage : capacité simultanée moyenne 2026, répartition par flux réels, arrondie par blocs fonctionnels et exclusion des sanitaires strictement privatifs sauf cas explicitement collectifs.Préfectures / services administratifs : Capacité type ≈ 213 usagers principaux + 25 staff + 12 prestataires/visiteurs. Le programme sanitaire est construit par blocs fonctionnels plausibles (public, personnel, exploitation/hébergement selon le cas) et non par simple ratio national moyen. Calibrage selon capacité simultanée, répartition de flux et organisation réelle du site.Sièges d’intercommunalité : Capacité type ≈ 45 usagers principaux + 40 staff + 5 autre public. Réunions institutionnelles et bureaux, public plus ponctuel que préfecture. Dimensionnement unitaire retenu : bloc public/assemblée compact + sanitaires salariés. Hypothèse d'usage : capacité simultanée moyenne 2026, répartition par flux réels, arrondie par blocs fonctionnels et exclusion des sanitaires strictement privatifs sauf cas explicitement collectifs.Rectorats / DSDEN : Capacité type ≈ 100 usagers principaux + 50 staff + 10 autre public. Agents administratifs, visiteurs professionnels et réunions. Dimensionnement unitaire retenu : batterie publique limitée + noyaux salariés par étages. Hypothèse d'usage : capacité simultanée moyenne 2026, répartition par flux réels, arrondie par blocs fonctionnels et exclusion des sanitaires strictement privatifs sauf cas explicitement collectifs.Maisons France Services / Guichets publics autonomes ou dédiés : Capacité type ≈ 22 usagers principaux + 2 staff + 1 partenaires/prestataires. Le programme sanitaire est construit par blocs fonctionnels plausibles (public, personnel, exploitation/hébergement selon le cas) et non par simple ratio national moyen. Calibrage selon capacité simultanée, répartition de flux et organisation réelle du site.Centres des finances publiques avec guichet : Capacité type ≈ 85 usagers principaux + 30 staff + 5 autre public. Flux de contribuables par créneaux, forte attente ponctuelle. Dimensionnement unitaire retenu : bloc public accessible + sanitaires salariés selon effectif. Hypothèse d'usage : capacité simultanée moyenne 2026, répartition par flux réels, arrondie par blocs fonctionnels et exclusion des sanitaires strictement privatifs sauf cas explicitement collectifs.CCAS / CIAS et guichets sociaux locaux autonomes : Capacité type ≈ 34 usagers principaux + 9 staff + 2 autre public. Accueil social avec rendez-vous, accompagnants et petite équipe. Dimensionnement unitaire retenu : 1 bloc public accessible + 1 bloc personnel, sans douche sauf service social spécifique. Hypothèse d'usage : capacité simultanée moyenne 2026, répartition par flux réels, arrondie par blocs fonctionnels et exclusion des sanitaires strictement privatifs sauf cas explicitement collectifs.Points d’accueil numérique dédiés / autonomes : Capacité type ≈ 12 usagers principaux + 2 staff + 1 autre public. Petite antenne avec flux court et accompagnement individuel. Dimensionnement unitaire retenu : sanitaire public/PMR mutualisé lorsque prévu + sanitaire personnel éventuel. Hypothèse d'usage : capacité simultanée moyenne 2026, répartition par flux réels, arrondie par blocs fonctionnels et exclusion des sanitaires strictement privatifs sauf cas explicitement collectifs.CAF / Accueils Caf autonomes : Capacité type ≈ 70 usagers principaux + 17 staff + 3 autre public. Flux de bénéficiaires et accompagnants, rendez-vous et attente. Dimensionnement unitaire retenu : bloc public accessible + sanitaires salariés par noyau. Hypothèse d'usage : capacité simultanée moyenne 2026, répartition par flux réels, arrondie par blocs fonctionnels et exclusion des sanitaires strictement privatifs sauf cas explicitement collectifs.</t>
    </r>
  </si>
  <si>
    <r>
      <rPr>
        <b/>
        <sz val="9"/>
        <rFont val="Calibri"/>
      </rPr>
      <t>Mairies / hôtels de ville</t>
    </r>
    <r>
      <rPr>
        <sz val="9"/>
        <rFont val="Calibri"/>
      </rPr>
      <t xml:space="preserve"> : Profil petit, capacité moyenne ≈ 40 personnes. Moyenne pondérée terrain : parc majoritairement petits/moyens sites, grands sites intégrés sans surpondération ; usage 2025 forte à très forte.Bureaux administratifs secondaires non ERP &gt;50 salariés : Profil moyen, capacité moyenne ≈ 170 personnes. Moyenne pondérée terrain : parc majoritairement petits/moyens sites, grands sites intégrés sans surpondération ; usage 2025 modérée, majoritairement courte.Hôtels du département Hôtels de région &amp; Services administratifs territoriaux : Profil grand, capacité moyenne ≈ 350 personnes. Moyenne pondérée terrain : parc majoritairement petits/moyens sites, grands sites intégrés sans surpondération ; usage 2025 forte à très forte.Maisons du département / Maisons de la région / Antennes territoriales : Profil petit, capacité moyenne ≈ 70 personnes. Moyenne pondérée terrain : parc majoritairement petits/moyens sites, grands sites intégrés sans surpondération ; usage 2025 modérée à forte par pics.Préfectures / services administratifs : Profil grand, capacité moyenne ≈ 250 personnes. Moyenne pondérée terrain : parc majoritairement petits/moyens sites, grands sites intégrés sans surpondération ; usage 2025 modérée, majoritairement courte.Sièges d’intercommunalité ; CAF / Accueils Caf autonomes : Profil moyen, capacité moyenne ≈ 90 personnes. Moyenne pondérée terrain : parc majoritairement petits/moyens sites, grands sites intégrés sans surpondération ; usage 2025 modérée, majoritairement courte.Rectorats / DSDEN : Profil moyen, capacité moyenne ≈ 160 personnes. Moyenne pondérée terrain : parc majoritairement petits/moyens sites, grands sites intégrés sans surpondération ; usage 2025 modérée, majoritairement courte.Maisons France Services / Guichets publics autonomes ou dédiés : Profil très petit, capacité moyenne ≈ 25 personnes. Moyenne pondérée terrain : parc majoritairement petits/moyens sites, grands sites intégrés sans surpondération ; usage 2025 modérée, majoritairement courte.Centres des finances publiques avec guichet : Profil moyen, capacité moyenne ≈ 120 personnes. Moyenne pondérée terrain : parc majoritairement petits/moyens sites, grands sites intégrés sans surpondération ; usage 2025 modérée, majoritairement courte.CCAS / CIAS et guichets sociaux locaux autonomes : Profil petit, capacité moyenne ≈ 45 personnes. Moyenne pondérée terrain : parc majoritairement petits/moyens sites, grands sites intégrés sans surpondération ; usage 2025 modérée, majoritairement courte.Points d’accueil numérique dédiés / autonomes : Profil très petit, capacité moyenne ≈ 15 personnes. Moyenne pondérée terrain : parc majoritairement petits/moyens sites, grands sites intégrés sans surpondération ; usage 2025 modérée à forte par pics.</t>
    </r>
  </si>
  <si>
    <r>
      <rPr>
        <b/>
        <sz val="9"/>
        <rFont val="Calibri"/>
      </rPr>
      <t>Mairies / hôtels de ville ; Bureaux administratifs secondaires non ERP &gt;50 salariés ; Hôtels du département Hôtels de région &amp; Services administratifs territoriaux ; Maisons du département / Maisons de la région / Antennes territoriales ; Sièges d’intercommunalité ; Rectorats / DSDEN ; Centres des finances publiques avec guichet ; CCAS / CIAS et guichets sociaux locaux autonomes ; Points d’accueil numérique dédiés / autonomes ; CAF / Accueils Caf autonomes</t>
    </r>
    <r>
      <rPr>
        <sz val="9"/>
        <rFont val="Calibri"/>
      </rPr>
      <t xml:space="preserve"> : ERP/accessibilité sanitaires publics : https://www.legifrance.gouv.fr/loda/article_lc/LEGIARTI000034485966/ ; Code du travail sanitaires salariés : https://www.legifrance.gouv.fr/codes/id/LEGISCTA000018531984 ; INRS : https://www.inrs.fr/publications/juridique/focus-juridiques/focus-sanitaires-toilettes.htmlPréfectures / services administratifs ; Maisons France Services / Guichets publics autonomes ou dédiés : Code du travail (sanitaires et vestiaires staff) + programmation ERP/usages d'exploitation ; source de comptage propre à la ligne en col. AP.</t>
    </r>
  </si>
  <si>
    <r>
      <rPr>
        <b/>
        <sz val="9"/>
        <rFont val="Calibri"/>
      </rPr>
      <t>Mairies / hôtels de ville</t>
    </r>
    <r>
      <rPr>
        <sz val="9"/>
        <rFont val="Calibri"/>
      </rPr>
      <t xml:space="preserve"> : Accueil public régulier mais flux modéré, cérémonies ponctuelles et faible humidité; maintenance patrimoniale municipale. Long, proche préfecture mais trafic moindre. Usage public régulier globalement respectueux, avec maintenance patrimoniale classique. Temporisés mécaniques gardent un léger avantage de durée réelle. Electronique reste plus courte si la maintenance n'est pas contractualisée. Remplacements se font plutôt par bâtiment ou par noyau sanitaire lors de travaux programmés. Usage tertiaire moyen, faible vandalisme, rénovations par lots tirées par l’accessibilité et la trajectoire Éco Énergie Tertiaire.Bureaux administratifs secondaires non ERP &gt;50 salariés : Usage principalement salariés, peu de public et faible vandalisme; nettoyage régulier. Proche tertiaire privé, légèrement contraint par cycles budgétaires publics. Repères durées: lavabos 13/13/10 ans (mit./méca/élec.), douches 12/11/9, urinoirs 11/13/9/11, WC 14/14/10.Hôtels du département Hôtels de région &amp; Services administratifs territoriaux : Guichets territoriaux, flux sociaux/modérés, maintenance publique externalisée; faible humidité. Proche France Services, plus long si site récent et fréquentation faible. Repères durées: lavabos 13/14/10 ans (mit./méca/élec.), douches 12/11/9, urinoirs 11/13/9/11, WC 14/14/10.Maisons du département / Maisons de la région / Antennes territoriales : Bâtiments administratifs à forte fréquentation institutionnelle, pics réunions mais public encadré. Durées longues, renouvelées par marchés publics et rénovations patrimoniales. Repères durées: lavabos 13/14/10 ans (mit./méca/élec.), douches 12/11/9, urinoirs 11/13/9/11, WC 14/14/10.Préfectures / services administratifs : Usage public régulier mais globalement respectueux, avec maintenance patrimoniale classique. Les temporisés mécaniques gardent un léger avantage de durée réelle. L'électronique reste plus courte si la maintenance n'est pas contractualisée. Les remplacements se font plutôt par bâtiment ou par noyau sanitaire lors de travaux programmés. Bureaux / administration / justice : Usage tertiaire moyen, faible vandalisme, rénovations par lots tirées par l’immobilier tertiaire, l’accessibilité et la trajectoire Éco Énergie Tertiaire.Sièges d’intercommunalité : Usage administratif et réunions, trafic public limité, faible vandalisme; maintenance programmée. Proche mairie, plutôt favorable sur mécaniques et WC. Repères durées: lavabos 13/14/10 ans (mit./méca/élec.), douches 12/11/9, urinoirs 11/13/9/11, WC 14/14/10.Rectorats / DSDEN : Guichet de proximité, flux régulier et publics variés; petits blocs, maintenance communale. Légèrement sous mairie car accueil plus continu. Usage administratif, visiteurs sur rendez-vous et pics ponctuels de rentrée; faible humidité. Proche hôtels de région, électronique raccourci par obsolescence. Repères durées: lavabos 13/14/10 ans (mit./méca/élec.), douches 12/11/9, urinoirs 11/13/9/11, WC 14/14/10.Maisons France Services / Guichets publics autonomes ou dédiés : Faible nombre de cycles annuels et faible humidité hors périodes d'affluence. cela allonge la durée réelle malgré des budgets souvent contraints. Les écarts entre technologies sont volontairement resserrés, la faible fréquence d'usage jouant davantage que la sophistication produit. Renouvellement surtout à la panne, avec peu de batch hors gros travaux. Culte / associatif faible intensité : Fréquentation faible à modérée, faible vandalisme, remplacement souvent différé pour raisons budgétaires. équipements conservés plus longtemps.Centres des finances publiques avec guichet : Public dense à certaines échéances, attente et pics fiscaux, mais environnement tertiaire contrôlé. Proche préfecture; mécaniques robustes, électroniques plus sensibles. Repères durées: lavabos 13/14/10 ans (mit./méca/élec.), douches 12/11/9, urinoirs 11/13/9/11, WC 14/14/10.CCAS / CIAS et guichets sociaux locaux autonomes : Accueil social parfois intensif, publics fragiles, petits blocs très sollicités et budgets contraints. Sous mairie classique, proche France Services social. Repères durées: lavabos 13/14/10 ans (mit./méca/élec.), douches 12/11/9, urinoirs 11/13/9/11, WC 14/14/10.Points d’accueil numérique dédiés / autonomes : Petits sites de médiation, flux modéré, faible humidité et surveillance; équipements peu nombreux. Proche guichet public, renouvellement souvent opportuniste. Repères durées: lavabos 13/14/10 ans (mit./méca/élec.), douches 12/11/9, urinoirs 11/13/9/11, WC 14/14/10.CAF / Accueils Caf autonomes : Flux public élevé, pics périodiques de prestations, attente prolongée et nettoyage régulier; maintenance tertiaire. Sous bureaux administratifs, proche finances publiques. Repères durées: lavabos 13/14/10 ans (mit./méca/élec.), douches 12/11/9, urinoirs 11/13/9/11, WC 14/14/10.</t>
    </r>
  </si>
  <si>
    <r>
      <rPr>
        <b/>
        <sz val="9"/>
        <rFont val="Calibri"/>
      </rPr>
      <t>Mairies / hôtels de ville</t>
    </r>
    <r>
      <rPr>
        <sz val="9"/>
        <rFont val="Calibri"/>
      </rPr>
      <t xml:space="preserve"> : Dans les mairies, préfectures et grands bâtiments administratifs, le parc existant reste équilibré entre mitigeur et solutions plus ERP ; l’électronique est déjà bien présente sur les rénovations. Le choix reflete accueil public de jour, flux moderes et renov. liees aux rogrammes patrimoniaux ; accessibilite, image institutionnelle et maintenance sobre.Bureaux administratifs secondaires non ERP &gt;50 salariés : Bureaux administratifs secondaires non ERP &gt;50 salariés : parc 2025 domine par tempo mecanique (55%), avec mitigeur manuel en appoint. Le choix reflete accueil public de jour, flux moderes et renov. liees aux programmes patrimoniaux ; accessibilite, image institutionnelle et maintenance sobre.Hôtels du département Hôtels de région &amp; Services administratifs territoriaux : Hôtels du département Hôtels de région &amp; Services administratifs territoriaux : parc 2025 domine par tempo mecanique (50%), avec mitigeur manuel en appoint. Le choix reflete accueil public de jour, flux moderes et renov. liees aux programmes patrimoniaux ; accessibilite, image institutionnelle et maintenance sobre.Maisons du département / Maisons de la région / Antennes territoriales : Maisons du département / Maisons de la région / Antennes territoriales : parc 2025 domine par tempo mecanique (50%), avec mitigeur manuel en appoint. Le choix reflete usage collectif regulier, contraintes de maintenance et arbitrages budgetaires ; robustesse, hygiene et cout global restent prioritaires.Préfectures / services administratifs : Dans les mairies, préfectures et grands bâtiments administratifs, le parc existant reste équilibré entre mitigeur et solutions plus ERP ; l’électronique est déjà bien présente sur les rénovations. Ajustement ciblé 2025 : légère baisse du mitigeur et/ou légère hausse de l’électronique pour mieux refléter la modernisation déjà visible sur les rénovations de sanitaires communs.Sièges d’intercommunalité : Sièges d’intercommunalité (hors France Services autonomes) : parc 2025 domine par tempo mecanique (50%), avec mitigeur manuel en appoint. Le choix reflete accueil public de jour, flux moderes et renov. liees aux programmes patrimoniaux ; accessibilite, image institutionnelle et maintenance sobre.Rectorats / DSDEN : Rectorats / DSDEN : parc 2025 domine par tempo mecanique (50%), avec mitigeur manuel en appoint. Le choix reflete accueil public de jour, flux moderes et renov. liees aux programmes patrimoniaux ; accessibilite, image institutionnelle et maintenance sobre.Maisons France Services / Guichets publics autonomes ou dédiés : Les Maisons France Services relèvent d’un parc petit tertiaire/public : le mitigeur reste majoritaire, l’électronique étant plus occasionnelle. Ajustement ciblé 2025 : légère baisse du mitigeur et/ou légère hausse de l’électronique pour mieux refléter la modernisation déjà visible sur les rénovations de sanitaires communs.Centres des finances publiques avec guichet : Centres des finances publiques avec guichet : parc 2025 domine par tempo mecanique (50%), avec mitigeur manuel en appoint. Le choix reflete accueil public de jour, flux moderes et renov. liees aux programmes patrimoniaux ; accessibilite, image institutionnelle et maintenance sobre.CCAS / CIAS et guichets sociaux locaux autonomes : CCAS / CIAS et guichets sociaux locaux autonomes : parc 2025 domine par tempo mecanique (50%), avec mitigeur manuel en appoint. Le choix reflete accueil public de jour, flux moderes et renov. liees aux programmes patrimoniaux ; accessibilite, image institutionnelle et maintenance sobre.Points d’accueil numérique dédiés / autonomes : Points d’accueil numérique dédiés / autonomes : parc 2025 domine par tempo mecanique (50%), avec mitigeur manuel en appoint. Le choix reflete usage collectif regulier, contraintes de maintenance et arbitrages budgetaires ; robustesse, hygiene et cout global restent prioritaires.CAF / Accueils Caf autonomes : CAF / Accueils Caf autonomes : parc 2025 domine par tempo mecanique (50%), avec mitigeur manuel en appoint. Le choix reflete accueil public de jour, flux moderes et renov. liees aux programmes patrimoniaux ; accessibilite, image institutionnelle et maintenance sobre.</t>
    </r>
  </si>
  <si>
    <r>
      <rPr>
        <b/>
        <sz val="9"/>
        <rFont val="Calibri"/>
      </rPr>
      <t>Mairies / hôtels de ville ; Hôtels du département Hôtels de région &amp; Services administratifs territoriaux ; Maisons du département / Maisons de la région / Antennes territoriales ; Sièges d’intercommunalité ; Rectorats / DSDEN ; Centres des finances publiques avec guichet ; CCAS / CIAS et guichets sociaux locaux autonomes ; Points d’accueil numérique dédiés / autonomes ; CAF / Accueils Caf autonomes</t>
    </r>
    <r>
      <rPr>
        <sz val="9"/>
        <rFont val="Calibri"/>
      </rPr>
      <t xml:space="preserve"> : 2025-2030 : progression de tempo electronique (+5,0%), surtout lors des renov. lourdes/neuf ; recul de mitigeur manuel (-5,0%) mais maintien d un socle robuste pour les remplacements partiels.Bureaux administratifs secondaires non ERP &gt;50 salariés : 2025-2030 : progression de tempo electronique (+3,0%), surtout lors des renov. lourdes/neuf ; recul de mitigeur manuel (-2,0%) mais maintien d un socle robuste pour les remplacements partiels.Préfectures / services administratifs ; Maisons France Services / Guichets publics autonomes ou dédiés : Les administrations publiques rénovent progressivement leurs sanitaires 2025-2030 : recul du mitigeur, progression de l’électronique, mais sans disparition rapide du parc existant.</t>
    </r>
  </si>
  <si>
    <r>
      <rPr>
        <b/>
        <sz val="9"/>
        <rFont val="Calibri"/>
      </rPr>
      <t>Mairies / hôtels de ville</t>
    </r>
    <r>
      <rPr>
        <sz val="9"/>
        <rFont val="Calibri"/>
      </rPr>
      <t xml:space="preserve"> : Mairies / hôtels de ville : parc 2025 domine par directe mecanique (50%), avec directe electronique collective en appoint. Le choix reflete accueil public de jour, flux moderes et renov. liees aux programmes patrimoniaux ; accessibilite, image institutionnelle et maintenance sobre.Bureaux administratifs secondaires non ERP &gt;50 salariés : Bureaux administratifs secondaires non ERP &gt;50 salariés : parc 2025 domine par directe mecanique (45%), avec directe electronique indiv. en appoint. Le choix reflete accueil public de jour, flux moderes et renov. liees aux programmes patrimoniaux ; accessibilite, image institutionnelle et maintenance sobre.Hôtels du département Hôtels de région &amp; Services administratifs territoriaux : Hôtels du département Hôtels de région &amp; Services administratifs territoriaux : parc 2025 domine par directe mecanique (50%), avec directe electronique collective en appoint. Le choix reflete accueil public de jour, flux moderes et renov. liees aux programmes patrimoniaux ; accessibilite, image institutionnelle et maintenance sobre.Maisons du département / Maisons de la région / Antennes territoriales : Maisons du département / Maisons de la région / Antennes territoriales : parc 2025 domine par directe mecanique (50%), avec directe electronique collective en appoint. Le choix reflete usage collectif regulier, contraintes de maintenance et arbitrages budgetaires ; robustesse, hygiene et cout global restent prioritaires.Préfectures / services administratifs : Les urinoirs automatiques progressent dans les bâtiments administratifs récents, mais le parc mécanique/direct reste important.Sièges d’intercommunalité : Sièges d’intercommunalité (hors France Services autonomes) : parc 2025 domine par directe mecanique (50%), avec directe electronique collective en appoint. Le choix reflete accueil public de jour, flux moderes et renov. liees aux programmes patrimoniaux ; accessibilite, image institutionnelle et maintenance sobre.Rectorats / DSDEN : Rectorats / DSDEN : parc 2025 domine par directe mecanique (50%), avec directe electronique collective en appoint. Le choix reflete accueil public de jour, flux moderes et renov. liees aux programmes patrimoniaux ; accessibilite, image institutionnelle et maintenance sobre.Maisons France Services / Guichets publics autonomes ou dédiés : Les rares urinoirs restent majoritairement sur des technologies classiques.Centres des finances publiques avec guichet : Centres des finances publiques avec guichet : parc 2025 domine par directe mecanique (50%), avec directe electronique collective en appoint. Le choix reflete accueil public de jour, flux moderes et renov. liees aux programmes patrimoniaux ; accessibilite, image institutionnelle et maintenance sobre.CCAS / CIAS et guichets sociaux locaux autonomes : CCAS / CIAS et guichets sociaux locaux autonomes : parc 2025 domine par directe mecanique (50%), avec directe electronique collective en appoint. Le choix reflete accueil public de jour, flux moderes et renov. liees aux programmes patrimoniaux ; accessibilite, image institutionnelle et maintenance sobre.Points d’accueil numérique dédiés / autonomes : Sans objet : pas de urinoirs collectif dimensionne dans ce sous-segment.CAF / Accueils Caf autonomes : CAF / Accueils Caf autonomes : parc 2025 domine par directe mecanique (50%), avec directe electronique collective en appoint. Le choix reflete accueil public de jour, flux moderes et renov. liees aux programmes patrimoniaux ; accessibilite, image institutionnelle et maintenance sobre.</t>
    </r>
  </si>
  <si>
    <r>
      <rPr>
        <b/>
        <sz val="9"/>
        <rFont val="Calibri"/>
      </rPr>
      <t>Mairies / hôtels de ville ; Bureaux administratifs secondaires non ERP &gt;50 salariés ; Hôtels du département Hôtels de région &amp; Services administratifs territoriaux ; Maisons du département / Maisons de la région / Antennes territoriales ; Sièges d’intercommunalité ; Rectorats / DSDEN ; Centres des finances publiques avec guichet ; CCAS / CIAS et guichets sociaux locaux autonomes ; CAF / Accueils Caf autonomes</t>
    </r>
    <r>
      <rPr>
        <sz val="9"/>
        <rFont val="Calibri"/>
      </rPr>
      <t xml:space="preserve"> : 2025-2030 : progression de directe electronique indiv. (+3,0%), surtout lors des renov. lourdes/neuf ; recul de a reservoir (-2,0%) mais maintien d un socle robuste pour les remplacements partiels.Préfectures / services administratifs ; Maisons France Services / Guichets publics autonomes ou dédiés : Progression modérée de l’automatique dans les rénovations des bâtiments publics ; recul des réservoirs les plus anciens.Points d’accueil numérique dédiés / autonomes : Sans objet : pas de trajectoire 2025-2030 a modeliser pour les urinoirs.</t>
    </r>
  </si>
  <si>
    <r>
      <rPr>
        <b/>
        <sz val="9"/>
        <rFont val="Calibri"/>
      </rPr>
      <t>Mairies / hôtels de ville</t>
    </r>
    <r>
      <rPr>
        <sz val="9"/>
        <rFont val="Calibri"/>
      </rPr>
      <t xml:space="preserve"> : Mairies / hôtels de ville : parc 2025 domine par reservoir (55%), avec chasse directe mecanique en appoint. Le choix reflete accueil public de jour, flux moderes et renov. liees aux programmes patrimoniaux ; accessibilite, image institutionnelle et maintenance sobre.Bureaux administratifs secondaires non ERP &gt;50 salariés : Bureaux administratifs secondaires non ERP &gt;50 salariés : parc 2025 domine par chasse directe mecanique (50%), avec reservoir en appoint. Le choix reflete accueil public de jour, flux moderes et renov. liees aux programmes patrimoniaux ; accessibilite, image institutionnelle et maintenance sobre.Hôtels du département Hôtels de région &amp; Services administratifs territoriaux : Hôtels du département Hôtels de région &amp; Services administratifs territoriaux : parc 2025 domine par reservoir (55%), avec chasse directe mecanique en appoint. Le choix reflete accueil public de jour, flux moderes et renov. liees aux programmes patrimoniaux ; accessibilite, image institutionnelle et maintenance sobre.Maisons du département / Maisons de la région / Antennes territoriales : Maisons du département / Maisons de la région / Antennes territoriales : parc 2025 domine par reservoir (55%), avec chasse directe mecanique en appoint. Le choix reflete usage collectif regulier, contraintes de maintenance et arbitrages budgetaires ; robustesse, hygiene et cout global restent prioritaires.Préfectures / services administratifs : Le réservoir demeure un peu majoritaire, avec une montée progressive des chasses directes et électroniques.Sièges d’intercommunalité : Sièges d’intercommunalité (hors France Services autonomes) : parc 2025 domine par reservoir (55%), avec chasse directe mecanique en appoint. Le choix reflete accueil public de jour, flux moderes et renov. liees aux programmes patrimoniaux ; accessibilite, image institutionnelle et maintenance sobre.Rectorats / DSDEN : Rectorats / DSDEN : parc 2025 domine par reservoir (55%), avec chasse directe mecanique en appoint. Le choix reflete accueil public de jour, flux moderes et renov. liees aux programmes patrimoniaux ; accessibilite, image institutionnelle et maintenance sobre.Maisons France Services / Guichets publics autonomes ou dédiés : Le réservoir domine encore ce petit parc tertiaire/public.Centres des finances publiques avec guichet : Centres des finances publiques avec guichet : parc 2025 domine par reservoir (55%), avec chasse directe mecanique en appoint. Le choix reflete accueil public de jour, flux moderes et renov. liees aux programmes patrimoniaux ; accessibilite, image institutionnelle et maintenance sobre.CCAS / CIAS et guichets sociaux locaux autonomes : CCAS / CIAS et guichets sociaux locaux autonomes : parc 2025 domine par reservoir (55%), avec chasse directe mecanique en appoint. Le choix reflete accueil public de jour, flux moderes et renov. liees aux programmes patrimoniaux ; accessibilite, image institutionnelle et maintenance sobre.Points d’accueil numérique dédiés / autonomes : Points d’accueil numérique dédiés / autonomes : parc 2025 domine par reservoir (55%), avec chasse directe mecanique en appoint. Le choix reflete usage collectif regulier, contraintes de maintenance et arbitrages budgetaires ; robustesse, hygiene et cout global restent prioritaires.CAF / Accueils Caf autonomes : CAF / Accueils Caf autonomes : parc 2025 domine par reservoir (55%), avec chasse directe mecanique en appoint. Le choix reflete accueil public de jour, flux moderes et renov. liees aux programmes patrimoniaux ; accessibilite, image institutionnelle et maintenance sobre.</t>
    </r>
  </si>
  <si>
    <r>
      <rPr>
        <b/>
        <sz val="9"/>
        <rFont val="Calibri"/>
      </rPr>
      <t>Mairies / hôtels de ville ; Hôtels du département Hôtels de région &amp; Services administratifs territoriaux ; Maisons du département / Maisons de la région / Antennes territoriales ; Sièges d’intercommunalité ; Rectorats / DSDEN ; Centres des finances publiques avec guichet ; CCAS / CIAS et guichets sociaux locaux autonomes ; Points d’accueil numérique dédiés / autonomes ; CAF / Accueils Caf autonomes</t>
    </r>
    <r>
      <rPr>
        <sz val="9"/>
        <rFont val="Calibri"/>
      </rPr>
      <t xml:space="preserve"> : 2025-2030 : progression de chasse directe electronique (+5,0%), surtout lors des renov. lourdes/neuf ; recul de reservoir (-8,0%) mais maintien d un socle robuste pour les remplacements partiels.Bureaux administratifs secondaires non ERP &gt;50 salariés : 2025-2030 : progression de chasse directe electronique (+10,0%), surtout lors des renov. lourdes/neuf ; recul de reservoir (-10,0%) mais maintien d un socle robuste pour les remplacements partiels.Préfectures / services administratifs ; Maisons France Services / Guichets publics autonomes ou dédiés : Dans les bâtiments publics, le réservoir recule au profit du direct, puis de l’électronique sur les rénovations plus qualitatives.</t>
    </r>
  </si>
  <si>
    <r>
      <rPr>
        <b/>
        <sz val="9"/>
        <rFont val="Calibri"/>
      </rPr>
      <t>Mairies / hôtels de ville ; Hôtels du département Hôtels de région &amp; Services administratifs territoriaux</t>
    </r>
    <r>
      <rPr>
        <sz val="9"/>
        <rFont val="Calibri"/>
      </rPr>
      <t xml:space="preserve"> : 77,4% retenu : besoins transformes en travaux selon accueil public de jour, flux moderes et renov. liees aux programmes patrimoniaux. Le phasage budgetaire, les fermetures partielles et la maintenance courante limitent la conversion totale.Bureaux administratifs secondaires non ERP &gt;50 salariés : 77,6% retenu : besoins transformes en travaux selon accueil public de jour, flux moderes et renov. liees aux programmes patrimoniaux. Le phasage budgetaire, les fermetures partielles et la maintenance courante limitent la conversion totale.Maisons du département / Maisons de la région / Antennes territoriales ; Points d’accueil numérique dédiés / autonomes : 77,2% retenu : besoins transformes en travaux selon usage collectif regulier, contraintes de maintenance et arbitrages budgetaires. Le phasage budgetaire, les fermetures partielles et la maintenance courante limitent la conversion totale.Préfectures / services administratifs ; Maisons France Services / Guichets publics autonomes ou dédiés : 86,2% retenu : part des besoins réellement transformée en travaux sur 2026-2030 après prise en compte des budgets, du phasage et des arbitrages locaux.Sièges d’intercommunalité ; Rectorats / DSDEN ; Centres des finances publiques avec guichet ; CCAS / CIAS et guichets sociaux locaux autonomes ; CAF / Accueils Caf autonomes : 76,8% retenu : besoins transformes en travaux selon accueil public de jour, flux moderes et renov. liees aux programmes patrimoniaux. Le phasage budgetaire, les fermetures partielles et la maintenance courante limitent la conversion totale.</t>
    </r>
  </si>
  <si>
    <r>
      <rPr>
        <b/>
        <sz val="9"/>
        <rFont val="Calibri"/>
      </rPr>
      <t>Mairies / hôtels de ville ; Bureaux administratifs secondaires non ERP &gt;50 salariés ; Hôtels du département Hôtels de région &amp; Services administratifs territoriaux ; Sièges d’intercommunalité ; Rectorats / DSDEN ; Centres des finances publiques avec guichet ; CCAS / CIAS et guichets sociaux locaux autonomes ; CAF / Accueils Caf autonomes</t>
    </r>
    <r>
      <rPr>
        <sz val="9"/>
        <rFont val="Calibri"/>
      </rPr>
      <t xml:space="preserve"> : Potentiel renovation : tire par accessibilite, image institutionnelle et maintenance sobre. Les remplacements sont plutot par lots, avec arbitrage entre urgence sanitaire, budget et capacite a intervenir en site occupe.Maisons du département / Maisons de la région / Antennes territoriales ; Points d’accueil numérique dédiés / autonomes : Potentiel renovation : tire par robustesse, hygiene et cout global restent prioritaires. Les remplacements sont plutot par lots, avec arbitrage entre urgence sanitaire, budget et capacite a intervenir en site occupe.Préfectures / services administratifs : Potentiel rénovation moyen à soutenu : bâtiments publics souvent anciens, avec reprise des sanitaires lors de mises aux normes, d’améliorations énergétiques et d’accueil du public. Les lavabos et les WC portent l’essentiel des volumes, avec un poids secondaire des équipements spécialisés. En rénovation, le marché reste favorable aux gammes robustes et simples d’entretien, compatibles avec des chantiers par tranches et des budgets contraints.Maisons France Services / Guichets publics autonomes ou dédiés : Potentiel rénovation moyen à soutenu : adaptation de locaux existants pour améliorer l’accueil et la confidentialité, souvent par petits travaux rapides.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t>
    </r>
  </si>
  <si>
    <r>
      <rPr>
        <b/>
        <sz val="9"/>
        <rFont val="Calibri"/>
      </rPr>
      <t>Mairies / hôtels de ville</t>
    </r>
    <r>
      <rPr>
        <sz val="9"/>
        <rFont val="Calibri"/>
      </rPr>
      <t xml:space="preserve"> : Potentiel neuf : limite pour mairies / hôtels de ville, surtout via extensions, reconstructions ou projets locaux. Le neuf reste contraint par foncier, budgets et delais de mise en service.Bureaux administratifs secondaires non ERP &gt;50 salariés : Potentiel neuf : limite pour bureaux administratifs secondaires non erp &gt;50 salariés, surtout via extensions, reconstructions ou projets locaux. Le neuf reste contraint par foncier, budgets et delais de mise en service.Hôtels du département Hôtels de région &amp; Services administratifs territoriaux : Potentiel neuf : limite pour hôtels du département hôtels de région &amp; services administratifs territoriaux, surtout via extensions, reconstructions ou projets locaux. Le neuf reste contraint par foncier, budgets et delais de mise en service.Maisons du département / Maisons de la région / Antennes territoriales : Potentiel neuf : limite pour maisons du département / maisons de la région / antennes territoriales, surtout via extensions, reconstructions ou projets locaux. Le neuf reste contraint par foncier, budgets et delais de mise en service.Préfectures / services administratifs : Potentiel neuf faible : surtout via regroupements administratifs, reconstructions ou extensions ponctuelles. Le neuf est quasi nul dans le modèle et renvoie surtout à des reconstructions ou remplacements de sites.Sièges d’intercommunalité : Potentiel neuf : limite pour sièges d’intercommunalité (hors france services autonomes), surtout via extensions, reconstructions ou projets locaux. Le neuf reste contraint par foncier, budgets et delais de mise en service.Rectorats / DSDEN : Potentiel neuf : limite pour rectorats / dsden, surtout via extensions, reconstructions ou projets locaux. Le neuf reste contraint par foncier, budgets et delais de mise en service.Maisons France Services / Guichets publics autonomes ou dédiés : Potentiel neuf moyen : le maillage France services s’est fortement densifié et le marché bascule davantage vers l’optimisation de l’existant ; le neuf est significatif mais encore nettement inférieur à la rénovation.Centres des finances publiques avec guichet : Potentiel neuf : limite pour centres des finances publiques avec guichet, surtout via extensions, reconstructions ou projets locaux. Le neuf reste contraint par foncier, budgets et delais de mise en service.CCAS / CIAS et guichets sociaux locaux autonomes : Potentiel neuf : limite pour ccas / cias et guichets sociaux locaux autonomes, surtout via extensions, reconstructions ou projets locaux. Le neuf reste contraint par foncier, budgets et delais de mise en service.Points d’accueil numérique dédiés / autonomes : Potentiel neuf : limite pour points d’accueil numérique dédiés / autonomes, surtout via extensions, reconstructions ou projets locaux. Le neuf reste contraint par foncier, budgets et delais de mise en service.CAF / Accueils Caf autonomes : Potentiel neuf : limite pour caf / accueils caf autonomes, surtout via extensions, reconstructions ou projets locaux. Le neuf reste contraint par foncier, budgets et delais de mise en service.</t>
    </r>
  </si>
  <si>
    <r>
      <rPr>
        <b/>
        <sz val="9"/>
        <rFont val="Calibri"/>
      </rPr>
      <t>Mairies / hôtels de ville ; Bureaux administratifs secondaires non ERP &gt;50 salariés ; Hôtels du département Hôtels de région &amp; Services administratifs territoriaux ; Maisons du département / Maisons de la région / Antennes territoriales ; Sièges d’intercommunalité ; Rectorats / DSDEN ; Centres des finances publiques avec guichet ; CCAS / CIAS et guichets sociaux locaux autonomes ; Points d’accueil numérique dédiés / autonomes ; CAF / Accueils Caf autonomes</t>
    </r>
    <r>
      <rPr>
        <sz val="9"/>
        <rFont val="Calibri"/>
      </rPr>
      <t xml:space="preserve"> : Projets phares renovation : reprise de blocs sanitaires, accessibilite, ventilation, economie d eau, remplacement des pieces usees et adaptation aux pics de frequentation propres au sous-segment.Préfectures / services administratifs : Projets phares réno : sanitaires public/personnel, halls d’accueil, accessibilité, rénovation énergétique et confort d’été.Maisons France Services / Guichets publics autonomes ou dédiés : Projets phares réno : requalification de guichets, sanitaires public/personnel, accessibilité et amélioration de l’accueil physique.</t>
    </r>
  </si>
  <si>
    <r>
      <rPr>
        <b/>
        <sz val="9"/>
        <rFont val="Calibri"/>
      </rPr>
      <t>Mairies / hôtels de ville ; Bureaux administratifs secondaires non ERP &gt;50 salariés ; Hôtels du département Hôtels de région &amp; Services administratifs territoriaux ; Maisons du département / Maisons de la région / Antennes territoriales ; Sièges d’intercommunalité ; Rectorats / DSDEN ; Centres des finances publiques avec guichet ; CCAS / CIAS et guichets sociaux locaux autonomes ; Points d’accueil numérique dédiés / autonomes ; CAF / Accueils Caf autonomes</t>
    </r>
    <r>
      <rPr>
        <sz val="9"/>
        <rFont val="Calibri"/>
      </rPr>
      <t xml:space="preserve"> : Projets phares neuf : creations ou reconstructions selectives, integration de sanitaires plus sobres, robustes et faciles a maintenir des la conception.Préfectures / services administratifs : Projets phares neuf : hôtels de ville reconstruits, cités administratives, extensions ou relocalisations de services.Maisons France Services / Guichets publics autonomes ou dédiés : Projets phares neuf : nouveaux guichets ou maisons France services, antennes en territoires carencés, relocalisations intégrées à d’autres services publics.</t>
    </r>
  </si>
  <si>
    <r>
      <rPr>
        <b/>
        <sz val="9"/>
        <rFont val="Calibri"/>
      </rPr>
      <t>Mairies / hôtels de ville ; Bureaux administratifs secondaires non ERP &gt;50 salariés ; Hôtels du département Hôtels de région &amp; Services administratifs territoriaux ; Maisons du département / Maisons de la région / Antennes territoriales ; Sièges d’intercommunalité ; Rectorats / DSDEN ; Centres des finances publiques avec guichet ; CCAS / CIAS et guichets sociaux locaux autonomes ; Points d’accueil numérique dédiés / autonomes ; CAF / Accueils Caf autonomes</t>
    </r>
    <r>
      <rPr>
        <sz val="9"/>
        <rFont val="Calibri"/>
      </rPr>
      <t xml:space="preserve"> : Dynamique renovation 2026-2030 : moderee, car l usure et l hygiene rendent les interventions recurrentes. Menaces : arbitrages d investissement, travaux en exploitation et cout de maintenance.Préfectures / services administratifs : Dynamique réno 2026-2030 : soutenue par la sobriété énergétique et la modernisation de l’accueil, mais conditionnée par les finances publiques.Maisons France Services / Guichets publics autonomes ou dédiés : Dynamique réno 2026-2030 : plus lisible que le neuf, car beaucoup d’implantations se font dans l’existant avec petits budgets.</t>
    </r>
  </si>
  <si>
    <r>
      <rPr>
        <b/>
        <sz val="9"/>
        <rFont val="Calibri"/>
      </rPr>
      <t>Mairies / hôtels de ville ; Bureaux administratifs secondaires non ERP &gt;50 salariés ; Hôtels du département Hôtels de région &amp; Services administratifs territoriaux ; Maisons du département / Maisons de la région / Antennes territoriales ; Sièges d’intercommunalité ; Rectorats / DSDEN ; Centres des finances publiques avec guichet ; CCAS / CIAS et guichets sociaux locaux autonomes ; Points d’accueil numérique dédiés / autonomes ; CAF / Accueils Caf autonomes</t>
    </r>
    <r>
      <rPr>
        <sz val="9"/>
        <rFont val="Calibri"/>
      </rPr>
      <t xml:space="preserve"> : Dynamique neuf 2026-2030 : faible a moderee, dependante des projets immobiliers, de la demographie locale et des budgets de maitrise d ouvrage.Préfectures / services administratifs : Dynamique neuf 2026-2030 : modérée à faible ; peu de programmes massifs hors opérations ciblées de réorganisation administrative.Maisons France Services / Guichets publics autonomes ou dédiés : Dynamique neuf 2026-2030 : encore réelle mais moins expansive qu’au lancement du programme ; elle dépend surtout des derniers vides territoriaux et des mutualisations.</t>
    </r>
  </si>
  <si>
    <r>
      <rPr>
        <b/>
        <sz val="9"/>
        <rFont val="Calibri"/>
      </rPr>
      <t>Centres d’hébergement d’urgence / accueils de nuit</t>
    </r>
    <r>
      <rPr>
        <sz val="9"/>
        <rFont val="Calibri"/>
      </rPr>
      <t xml:space="preserve"> ; </t>
    </r>
    <r>
      <rPr>
        <b/>
        <sz val="9"/>
        <rFont val="Calibri"/>
      </rPr>
      <t>CHRS / Centres d’hébergement et de réinsertion sociale</t>
    </r>
    <r>
      <rPr>
        <sz val="9"/>
        <rFont val="Calibri"/>
      </rPr>
      <t xml:space="preserve"> ; </t>
    </r>
    <r>
      <rPr>
        <b/>
        <sz val="9"/>
        <rFont val="Calibri"/>
      </rPr>
      <t>CADA / HUDA / CAES / Centres d’accueil pour demandeurs d’asile</t>
    </r>
    <r>
      <rPr>
        <sz val="9"/>
        <rFont val="Calibri"/>
      </rPr>
      <t xml:space="preserve"> : </t>
    </r>
    <r>
      <rPr>
        <sz val="9"/>
        <rFont val="Calibri"/>
      </rPr>
      <t>https://www.cnsa.fr/budget-et-financement/financement-des-esms/investissement-immobilier
https://www.cnsa.fr/actualites/instruction-budgetaire-les-priorites-de-financement-des-esms-pour-lexercice-2025
https://www.cnsa.fr/actualites/le-plan-national-50-000-solutions-des-avancees-tangibles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https://www.insee.fr/fr/statistiques/8906564Accueils de jour / haltes de jour : 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https://www.insee.fr/fr/statistiques/8906564Foyers de jeunes travailleurs / Résidences sociales / Foyers de travailleurs migrants : https://www.banquedesterritoires.fr/plan-renovation-energetique-batiments-publics
https://www.ecologie.gouv.fr/eco-energie-tertiaire-eet
https://www.statistiques.developpement-durable.gouv.fr/construction-de-locaux-resultats-fin-janvier-2026-france-entiere
https://www.insee.fr/fr/statistiques/8671745
https://www.insee.fr/fr/statistiques/8906564</t>
    </r>
  </si>
  <si>
    <r>
      <rPr>
        <b/>
        <sz val="9"/>
        <rFont val="Calibri"/>
      </rPr>
      <t>Mairies / hôtels de ville</t>
    </r>
    <r>
      <rPr>
        <sz val="9"/>
        <rFont val="Calibri"/>
      </rPr>
      <t xml:space="preserve"> : Parc existant centre sur le niveau mid, avec ventes 2026-2030 legerement plus qualitatives. Mairies / hôtels de ville : accueil public de jour, flux moderes et renov. liees aux programmes patrimoniaux; le mix reste guide par accessibilite, image institutionnelle et maintenance sobre.Bureaux administratifs secondaires non ERP &gt;50 salariés : Parc existant centre sur le niveau mid, avec ventes 2026-2030 legerement plus qualitatives. Bureaux administratifs secondaires non ERP &gt;50 salariés : accueil public de jour, flux moderes et renov. liees aux programmes patrimoniaux; le mix reste guide par accessibilite, image institutionnelle et maintenance sobre.Hôtels du département Hôtels de région &amp; Services administratifs territoriaux : Parc existant centre sur le niveau mid, avec ventes 2026-2030 legerement plus qualitatives. Hôtels du département Hôtels de région &amp; Services administratifs territoriaux : accueil public de jour, flux moderes et renov. liees aux programmes patrimoniaux; le mix reste guide par accessibilite, image institutionnelle et maintenance sobre.Maisons du département / Maisons de la région / Antennes territoriales : Parc existant centre sur le niveau standard, avec ventes 2026-2030 legerement plus qualitatives. Maisons du département / Maisons de la région / Antennes territoriales : usage collectif regulier, contraintes de maintenance et arbitrages budgetaires; le mix reste guide par robustesse, hygiene et cout global restent prioritaires.Préfectures / services administratifs : Parc existant surtout standard. Les ventes restent proches du parc, centré sur intermédiaire, du fait de budgets et de rénovations menées surtout par lots. La rénovation restant majoritaire, le mix de ventes reste proche du parc et monte surtout d’un cran sur les opérations lourdes. Administrations : parc plutôt standard, avec améliorations liées aux réhabilitations globales, à l’accessibilité et à l’accueil du public plus qu’à une recherche de luxe.Sièges d’intercommunalité : Parc existant centre sur le niveau mid, avec ventes 2026-2030 legerement plus qualitatives. Sièges d’intercommunalité (hors France Services autonomes) : accueil public de jour, flux moderes et renov. liees aux programmes patrimoniaux; le mix reste guide par accessibilite, image institutionnelle et maintenance sobre.Rectorats / DSDEN : Parc existant centre sur le niveau mid, avec ventes 2026-2030 legerement plus qualitatives. Rectorats / DSDEN : accueil public de jour, flux moderes et renov. liees aux programmes patrimoniaux; le mix reste guide par accessibilite, image institutionnelle et maintenance sobre.Maisons France Services / Guichets publics autonomes ou dédiés : Parc existant surtout intermédiaire / standard. Les ventes se décalent légèrement vers intermédiaire, du fait de budgets et de rénovations menées surtout par lots. Le neuf tire clairement le mix plus haut que la rénovation. Réseau récent et très standardisé : le neuf et les mises aux normes tirent plus nettement le confort vers le standard/intermédiaire.Centres des finances publiques avec guichet : Parc existant centre sur le niveau mid, avec ventes 2026-2030 legerement plus qualitatives. Centres des finances publiques avec guichet : accueil public de jour, flux moderes et renov. liees aux programmes patrimoniaux; le mix reste guide par accessibilite, image institutionnelle et maintenance sobre.CCAS / CIAS et guichets sociaux locaux autonomes : Parc existant centre sur le niveau mid, avec ventes 2026-2030 legerement plus qualitatives. CCAS / CIAS et guichets sociaux locaux autonomes : accueil public de jour, flux moderes et renov. liees aux programmes patrimoniaux; le mix reste guide par accessibilite, image institutionnelle et maintenance sobre.Points d’accueil numérique dédiés / autonomes : Parc existant centre sur le niveau standard, avec ventes 2026-2030 legerement plus qualitatives. Points d’accueil numérique dédiés / autonomes : usage collectif regulier, contraintes de maintenance et arbitrages budgetaires; le mix reste guide par robustesse, hygiene et cout global restent prioritaires.CAF / Accueils Caf autonomes : Parc existant centre sur le niveau mid, avec ventes 2026-2030 legerement plus qualitatives. CAF / Accueils Caf autonomes : accueil public de jour, flux moderes et renov. liees aux programmes patrimoniaux; le mix reste guide par accessibilite, image institutionnelle et maintenance sobre.</t>
    </r>
  </si>
  <si>
    <r>
      <rPr>
        <b/>
        <sz val="9"/>
        <rFont val="Calibri"/>
      </rPr>
      <t>Mairies / hôtels de ville ; Bureaux administratifs secondaires non ERP &gt;50 salariés ; Hôtels du département Hôtels de région &amp; Services administratifs territoriaux ; Maisons du département / Maisons de la région / Antennes territoriales ; Préfectures / services administratifs ; Sièges d’intercommunalité ; Rectorats / DSDEN ; Centres des finances publiques avec guichet ; CCAS / CIAS et guichets sociaux locaux autonomes ; Points d’accueil numérique dédiés / autonomes ; CAF / Accueils Caf autonomes</t>
    </r>
    <r>
      <rPr>
        <sz val="9"/>
        <rFont val="Calibri"/>
      </rPr>
      <t xml:space="preserve"> : ±4 ptsMaisons France Services / Guichets publics autonomes ou dédiés : ±5 pts</t>
    </r>
  </si>
  <si>
    <r>
      <rPr>
        <b/>
        <sz val="9"/>
        <rFont val="Calibri"/>
      </rPr>
      <t>Mairies / hôtels de ville ; Bureaux administratifs secondaires non ERP &gt;50 salariés ; Hôtels du département Hôtels de région &amp; Services administratifs territoriaux ; Sièges d’intercommunalité ; Rectorats / DSDEN ; Centres des finances publiques avec guichet ; CCAS / CIAS et guichets sociaux locaux autonomes ; CAF / Accueils Caf autonomes</t>
    </r>
    <r>
      <rPr>
        <sz val="9"/>
        <rFont val="Calibri"/>
      </rPr>
      <t xml:space="preserve"> : Parc existant : accessibilite, image institutionnelle et maintenance sobre; accueil public de jour, flux moderes et renov. liees aux programmes patrimoniaux. La montee en confort reste proportionnee au budget et au rythme de renovation.Maisons du département / Maisons de la région / Antennes territoriales ; Points d’accueil numérique dédiés / autonomes : Parc existant : robustesse, hygiene et cout global restent prioritaires; usage collectif regulier, contraintes de maintenance et arbitrages budgetaires. La montee en confort reste proportionnee au budget et au rythme de renovation.Préfectures / services administratifs : Administrations : parc plutôt standard, avec améliorations liées aux réhabilitations globales, à l’accessibilité et à l’accueil du public plus qu’à une recherche de luxe.Maisons France Services / Guichets publics autonomes ou dédiés : Réseau récent et très standardisé : le neuf et les mises aux normes tirent plus nettement le confort vers le standard/intermédiaire.</t>
    </r>
  </si>
  <si>
    <r>
      <rPr>
        <b/>
        <sz val="9"/>
        <rFont val="Calibri"/>
      </rPr>
      <t>Mairies / hôtels de ville ; Bureaux administratifs secondaires non ERP &gt;50 salariés ; Hôtels du département Hôtels de région &amp; Services administratifs territoriaux</t>
    </r>
    <r>
      <rPr>
        <sz val="9"/>
        <rFont val="Calibri"/>
      </rPr>
      <t xml:space="preserve"> : image client =&gt; premiumisation cibleeMaisons du département / Maisons de la région / Antennes territoriales ; Sièges d’intercommunalité ; Rectorats / DSDEN ; Centres des finances publiques avec guichet ; CCAS / CIAS et guichets sociaux locaux autonomes ; Points d’accueil numérique dédiés / autonomes ; CAF / Accueils Caf autonomes : renovation dominante =&gt; progression graduellePréfectures / services administratifs : image d’accueil ⇒ intermédiaire/premium ↑ ; rénovation dominante ⇒ progression graduelleMaisons France Services / Guichets publics autonomes ou dédiés : image d’accueil ⇒ intermédiaire/premium ↑ ; poids du neuf significatif ⇒ premiumisation des ventes &gt; parc</t>
    </r>
  </si>
  <si>
    <r>
      <rPr>
        <b/>
        <sz val="9"/>
        <rFont val="Calibri"/>
      </rPr>
      <t>Mairies / hôtels de ville</t>
    </r>
    <r>
      <rPr>
        <sz val="9"/>
        <rFont val="Calibri"/>
      </rPr>
      <t xml:space="preserve"> : Mairies / hôtels de ville : ventes 2026-2030 en leger glissement vers moyen/premium lorsque le neuf ou les renov. lourdes interviennent. Le centre de gravite reste toutefois module par accessibilite, image institutionnelle et maintenance sobre et par la part dominante de travaux sur parc existant.Bureaux administratifs secondaires non ERP &gt;50 salariés : Bureaux administratifs secondaires non ERP &gt;50 salariés : ventes 2026-2030 en leger glissement vers moyen/premium lorsque le neuf ou les renov. lourdes interviennent. Le centre de gravite reste toutefois module par accessibilite, image institutionnelle et maintenance sobre et par la part dominante de travaux sur parc existant.Hôtels du département Hôtels de région &amp; Services administratifs territoriaux : Hôtels du département Hôtels de région &amp; Services administratifs territoriaux : ventes 2026-2030 en leger glissement vers moyen/premium lorsque le neuf ou les renov. lourdes interviennent. Le centre de gravite reste toutefois module par accessibilite, image institutionnelle et maintenance sobre et par la part dominante de travaux sur parc existant.Maisons du département / Maisons de la région / Antennes territoriales : Maisons du département / Maisons de la région / Antennes territoriales : ventes 2026-2030 en leger glissement vers moyen/premium lorsque le neuf ou les renov. lourdes interviennent. Le centre de gravite reste toutefois module par robustesse, hygiene et cout global restent prioritaires et par la part dominante de travaux sur parc existant.Préfectures / services administratifs : Préfectures / services administratifs : préfectures et centres administratifs plus institutionnels, avec qualité visible dans les espaces d’accueil. Ventes 2026-2030 : glissement vers davantage de moyen / premium, surtout sur lavabo (+8,5 pts sur premium+luxe), WC (+6,8 pts sur premium+luxe), urinoir (+4,4 pts sur premium+luxe). La rénovation reste majoritaire (81% des ventes, contre 19% en neuf) ; le neuf tire le mix vers le haut sans renverser le centre de gravité. L’écart de niveau de confort entre neuf et rénovation est net.Sièges d’intercommunalité : Sièges d’intercommunalité (hors France Services autonomes) : ventes 2026-2030 en leger glissement vers moyen/premium lorsque le neuf ou les renov. lourdes interviennent. Le centre de gravite reste toutefois module par accessibilite, image institutionnelle et maintenance sobre et par la part dominante de travaux sur parc existant.Rectorats / DSDEN : Rectorats / DSDEN : ventes 2026-2030 en leger glissement vers moyen/premium lorsque le neuf ou les renov. lourdes interviennent. Le centre de gravite reste toutefois module par accessibilite, image institutionnelle et maintenance sobre et par la part dominante de travaux sur parc existant.Maisons France Services / Guichets publics autonomes ou dédiés : Ventes 2026-2030 : glissement vers davantage de moyen / premium, surtout sur lavabo (+28,4 pts sur premium+luxe), WC (+24,6 pts sur premium+luxe), urinoir (+18,1 pts sur premium+luxe). Le neuf représente 66% des ventes contre 34% en rénovation et tire nettement le mix vers le haut. L’écart de niveau de confort entre neuf et rénovation est net.Centres des finances publiques avec guichet : Centres des finances publiques avec guichet : ventes 2026-2030 en leger glissement vers moyen/premium lorsque le neuf ou les renov. lourdes interviennent. Le centre de gravite reste toutefois module par accessibilite, image institutionnelle et maintenance sobre et par la part dominante de travaux sur parc existant.CCAS / CIAS et guichets sociaux locaux autonomes : CCAS / CIAS et guichets sociaux locaux autonomes : ventes 2026-2030 en leger glissement vers moyen/premium lorsque le neuf ou les renov. lourdes interviennent. Le centre de gravite reste toutefois module par accessibilite, image institutionnelle et maintenance sobre et par la part dominante de travaux sur parc existant.Points d’accueil numérique dédiés / autonomes : Points d’accueil numérique dédiés / autonomes : ventes 2026-2030 en leger glissement vers moyen/premium lorsque le neuf ou les renov. lourdes interviennent. Le centre de gravite reste toutefois module par robustesse, hygiene et cout global restent prioritaires et par la part dominante de travaux sur parc existant.CAF / Accueils Caf autonomes : CAF / Accueils Caf autonomes : ventes 2026-2030 en leger glissement vers moyen/premium lorsque le neuf ou les renov. lourdes interviennent. Le centre de gravite reste toutefois module par accessibilite, image institutionnelle et maintenance sobre et par la part dominante de travaux sur parc existant.</t>
    </r>
  </si>
  <si>
    <t>1 - Églises, cathédrales, basiliques et chapelles ouvertes au public
2 - Monastères, abbayes et couvents ouverts au public
3 - Temples protestants, évangéliques et salles de culte assimilées
4 - Mosquées et salles de prière musulmanes
5 - Synagogues et oratoires juifs ouverts au public
6 - Temples bouddhistes, hindous et autres lieux de culte non abrahamiques ouverts au public
7 - Salles du Royaume, centres cultuels pluriconfessionnels et lieux de culte polyvalents</t>
  </si>
  <si>
    <r>
      <rPr>
        <b/>
        <sz val="9"/>
        <rFont val="Calibri"/>
      </rPr>
      <t>Églises, cathédrales, basiliques et chapelles ouvertes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t>
    </r>
    <r>
      <rPr>
        <sz val="9"/>
        <rFont val="Calibri"/>
      </rPr>
      <t xml:space="preserve"> : VMonastères, abbayes et couvents ouverts au public : Variable</t>
    </r>
  </si>
  <si>
    <r>
      <rPr>
        <b/>
        <sz val="9"/>
        <rFont val="Calibri"/>
      </rPr>
      <t>Églises, cathédrales, basiliques et chapelles ouvertes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t>
    </r>
    <r>
      <rPr>
        <sz val="9"/>
        <rFont val="Calibri"/>
      </rPr>
      <t xml:space="preserve"> : ERPMonastères, abbayes et couvents ouverts au public : Ensemble multi-classements</t>
    </r>
  </si>
  <si>
    <r>
      <rPr>
        <b/>
        <sz val="9"/>
        <rFont val="Calibri"/>
      </rPr>
      <t>Églises, cathédrales, basiliques et chapelles ouvertes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t>
    </r>
    <r>
      <rPr>
        <sz val="9"/>
        <rFont val="Calibri"/>
      </rPr>
      <t xml:space="preserve"> : ERPMonastères, abbayes et couvents ouverts au public : mixte</t>
    </r>
  </si>
  <si>
    <r>
      <rPr>
        <b/>
        <sz val="9"/>
        <rFont val="Calibri"/>
      </rPr>
      <t>Églises, cathédrales, basiliques et chapelles ouvertes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t>
    </r>
    <r>
      <rPr>
        <sz val="9"/>
        <rFont val="Calibri"/>
      </rPr>
      <t xml:space="preserve"> : ouiMonastères, abbayes et couvents ouverts au public : variable</t>
    </r>
  </si>
  <si>
    <r>
      <rPr>
        <b/>
        <sz val="9"/>
        <rFont val="Calibri"/>
      </rPr>
      <t>Églises, cathédrales, basiliques et chapelles ouvertes au public</t>
    </r>
    <r>
      <rPr>
        <sz val="9"/>
        <rFont val="Calibri"/>
      </rPr>
      <t xml:space="preserve"> : Édifices cultuels chrétiens recevant des fidèles ou des visiteurs. Les annexes paroissiales se classent séparément selon leur usage.Monastères, abbayes et couvents ouverts au public : Les parties ouvertes au public à vocation cultuelle relèvent du type V ; les espaces d’hébergement, de retraite, de visite ou de restauration se classent selon leur usage réel.Temples protestants, évangéliques et salles de culte assimilées : Lieux de culte protestants ou évangéliques recevant du public. Les salles polyvalentes ou d’enseignement biblique annexes se classent selon leur usage dominant.Mosquées et salles de prière musulmanes : Lieux de culte musulmans recevant du public. Les espaces d’ablutions, salles polyvalentes ou locaux d’enseignement associés s’analysent selon l’exploitation réelle du site.Synagogues et oratoires juifs ouverts au public : Lieux de culte juifs recevant des fidèles ou visiteurs. Les salles communautaires annexes peuvent relever de L ou W selon l’usage.Temples bouddhistes, hindous et autres lieux de culte non abrahamiques ouverts au public : Lieux de culte recevant du public pour cérémonies, offices ou pratiques religieuses. Les bâtiments d’hébergement ou de retraite se classent séparément si présents.Salles du Royaume, centres cultuels pluriconfessionnels et lieux de culte polyvalents : Lieux de rassemblement religieux recevant du public, parfois polyvalents. Les espaces de réunion, restauration ou bureau associés peuvent relever d’autres types complémentaires.</t>
    </r>
  </si>
  <si>
    <r>
      <rPr>
        <b/>
        <sz val="9"/>
        <rFont val="Calibri"/>
      </rPr>
      <t>Églises, cathédrales, basiliques et chapelles ouvertes au public</t>
    </r>
    <r>
      <rPr>
        <sz val="9"/>
        <rFont val="Calibri"/>
      </rPr>
      <t xml:space="preserve"> : Grands sites paroissiaux, sanctuaires, sites touristiques, ensembles avec salles annexesMonastères, abbayes et couvents ouverts au public : Abbaye ouverte aux visiteurs, monastère avec hôtellerie, couvent avec chapelle publiqueTemples protestants, évangéliques et salles de culte assimilées : Temple protestant, église évangélique, salle de culte réaménagée avec sanitairesMosquées et salles de prière musulmanes : Mosquée de quartier, grande mosquée, salle de prière ouverte avec sanitaires/ablutionsSynagogues et oratoires juifs ouverts au public : Synagogue, oratoire, centre cultuel juif avec accueil public et sanitairesTemples bouddhistes, hindous et autres lieux de culte non abrahamiques ouverts au public : Pagode, temple bouddhiste, temple hindou, centre cultuel non abrahamique ouvert avec sanitairesSalles du Royaume, centres cultuels pluriconfessionnels et lieux de culte polyvalents : Salle du Royaume, centre cultuel partagé, bâtiment polyvalent cultuel avec sanitaires</t>
    </r>
  </si>
  <si>
    <r>
      <rPr>
        <b/>
        <sz val="9"/>
        <rFont val="Calibri"/>
      </rPr>
      <t>Églises, cathédrales, basiliques et chapelles ouvertes au public</t>
    </r>
    <r>
      <rPr>
        <sz val="9"/>
        <rFont val="Calibri"/>
      </rPr>
      <t xml:space="preserve"> : variableMonastères, abbayes et couvents ouverts au public : ouiTemples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non</t>
    </r>
  </si>
  <si>
    <r>
      <rPr>
        <b/>
        <sz val="9"/>
        <rFont val="Calibri"/>
      </rPr>
      <t>Églises, cathédrales, basiliques et chapelles ouvertes au public</t>
    </r>
    <r>
      <rPr>
        <sz val="9"/>
        <rFont val="Calibri"/>
      </rPr>
      <t xml:space="preserve"> : Environ 4000 cumulent critères : recevant public et possédant sanitaires sur 42 258 églises + chapelles paroissiales =&gt; majoritée rural, fragilisé, petits édifices, moins fréquentés et  souvent fermés.Monastères, abbayes et couvents ouverts au public : Recul est cohérent avec la baisse des effectifs religieux et la raréfaction des sites monastiques pleinement ouverts, malgré la bonne tenue de quelques grands pôles patrimoniaux et spirituels.Temples protestants, évangéliques et salles de culte assimilées : Périmètre conservé reste large car de nombreuses salles protestantes/évangéliques sont des bâtiments d'assemblée dotés de blocs sanitaires.Mosquées et salles de prière musulmanes : Hausse longue, puis stabilisation progressive. Contrairement au catholicisme, le filtre 'public + sanitaires' retranche peu d'unités =&gt; lieux culte musulmans ont sanitaires et espaces d'ablution.Synagogues et oratoires juifs ouverts au public : Périmètre 'public + sanitaires' couvre l'essentiel des synagogues + centres cultuels. Migrations internes, sécurité + recomposit° géographique déplacent la fréquentation plus qu'elles ne changent fortement le nombre total de sites.Temples bouddhistes, hindous et autres lieux de culte non abrahamiques ouverts au public : Hausse structurelle, assez régulière. Le segment part de bas, avec dynamique portée par ancrage de diasporas, formalisation associative + quelques grands projets. Le filtre 'public + sanitaires' laisse subsister une croissance réelle du nombre de sites équipés.Salles du Royaume, centres cultuels pluriconfessionnels et lieux de culte polyvalents : Bâtiments physiques, souvent partagés par plusieurs assemblées. JW indique 1 445 assemblées de fidèles en France, en moyenne près de 1,9 assemblée par salle.</t>
    </r>
  </si>
  <si>
    <r>
      <rPr>
        <b/>
        <sz val="9"/>
        <rFont val="Calibri"/>
      </rPr>
      <t>Églises, cathédrales, basiliques et chapelles ouvertes au public</t>
    </r>
    <r>
      <rPr>
        <sz val="9"/>
        <rFont val="Calibri"/>
      </rPr>
      <t xml:space="preserve"> : Pourquoi cette pente baissière ? Sites effectivement ouverts, actifs et équipés tend plutôt à se concentrer sur les pôles paroissiaux, sanctuaires et édifices les plus fréquentésMonastères, abbayes et couvents ouverts au public : La série agrège couvents, abbayes et monastères ouverts au public avec sanitaires, et prolonge une érosion prudente à horizon 2030.Temples protestants, évangéliques et salles de culte assimilées : Le CNEF indique plus de 2 300 Églises protestantes évangéliques en France métropolitaine et 35 implantations supplémentaires par an.Mosquées et salles de prière musulmanes : 2 600 lieux de culte musulman en France en 2022. Série 2025-30 est surtout une stabilisation-haussière =&gt; ouvertures ciblées, remplacements qualitatifs, peu de sauts de volume.Synagogues et oratoires juifs ouverts au public : Consistoire de Paris gère  une 100aine de communautés et fait état de 80 lieux de culte en IDF.  Cela plaide pour quelques centaines de synagogues et oratoires actifs en Frabce. Projection 2026-30 presque plate.Temples bouddhistes, hindous et autres lieux de culte non abrahamiques ouverts au public : Trajectoire modélisée, mais cohérente avec visibilité croissante de lieux bouddhistes et hindous en France + projets récents de grande taille (BAPS Hindu Mandir à Paris - 2026).Salles du Royaume, centres cultuels pluriconfessionnels et lieux de culte polyvalents : En ajoutant quelques centres pluriconfessionnels/polyvalents, une série autour de 860 en 2025 est plus crédible.</t>
    </r>
  </si>
  <si>
    <r>
      <rPr>
        <b/>
        <sz val="9"/>
        <rFont val="Calibri"/>
      </rPr>
      <t>Églises, cathédrales, basiliques et chapelles ouvertes au public</t>
    </r>
    <r>
      <rPr>
        <sz val="9"/>
        <rFont val="Calibri"/>
      </rPr>
      <t xml:space="preserve"> : https://eglise.catholique.fr/espace-presse/communiques-de-presse/426515-etat-des-lieux-sur-les-eglises-en-france/ ; https://eglise.catholique.fr/etats-generaux-du-patrimoine-religieux-2023-2024/ ; https://www.culture.gouv.fr/Thematiques/monuments-sites/monuments-historiques-sites-patrimoniaux/les-monuments-historiques/les-cathedrales ; https://www.culture.gouv.fr/presse/communiques-de-presse/collecte-nationale-pour-le-patrimoine-religieux-mme-rachida-dati-ministre-de-la-culture-devoile-la-liste-des-100-premiers-edifices-qui-beneficiMonastères, abbayes et couvents ouverts au public : https://www.service-des-moniales.cef.fr/ ; https://www.culture.gouv.fr/actualites/patrimoine-la-frequentation-consolidee-en-2024 ; https://eglise.catholique.fr/etats-generaux-du-patrimoine-religieux-2023-2024/Temples protestants, évangéliques et salles de culte assimilées : https://www.lecnef.org/page/510470-questions-frequentes ; https://www.lecnef.org/ ; https://www.vie-publique.fr/eclairage/20205-le-regime-de-separation-principe-des-relations-etat-et-les-cultesMosquées et salles de prière musulmanes : https://www.vie-publique.fr/discours/286080-gerald-darmanin-04082022-ordre-public ; https://www.vie-publique.fr/ressources/mots-cles/mosquee ; https://www.interieur.gouv.fr/actualites/dossiers-de-presse/deuxieme-session-du-forum-de-lislam-de-france-dialogue-qui-samplifieSynagogues et oratoires juifs ouverts au public : https://www.consistoire.org/communautes/ ; https://www.consistoire.org/event/la-frequentation-des-synagogues-en-pleine-mutation/ ; https://www.consistoire.org/210-ans-de-construction-du-patrimoine-juif-de-france-et-de-solidarite/ ; https://www.crif.org/ressources/rapports/rapport-annuel-du-spcj-les-chiffres-de-lantisemitisme-en-france-en-2024/Temples bouddhistes, hindous et autres lieux de culte non abrahamiques ouverts au public : https://www.hinduismtoday.com/hpi/2024/12/06/baps-hindu-mandir-in-paris-to-open-in-2026/ ; https://www.vie-publique.fr/eclairage/20205-le-regime-de-separation-principe-des-relations-etat-et-les-cultesSalles du Royaume, centres cultuels pluriconfessionnels et lieux de culte polyvalents : https://www.jw.org/fr/actualites/region/france/ ; https://www.jw.org/fr/infos-pour-representants-de-l-etat/pays/france/ ; https://www.jw.org/fr/bibliotheque/revues/wp20100501/salle-du-royaume/ ; https://www.jw.org/fr/bibliotheque/rubriques/comment-vos-dons-sont-utilises/La-maintenance-de-nos-salles-du-Royaume/</t>
    </r>
  </si>
  <si>
    <r>
      <rPr>
        <b/>
        <sz val="9"/>
        <rFont val="Calibri"/>
      </rPr>
      <t>Églises, cathédrales, basiliques et chapelles ouvertes au public</t>
    </r>
    <r>
      <rPr>
        <sz val="9"/>
        <rFont val="Calibri"/>
      </rPr>
      <t xml:space="preserve"> : Lieu de culte chrétien : bloc fidèles/visiteurs + petit sanitaire équipe, pas de douches.Monastères, abbayes et couvents ouverts au public : Abbaye/couvent ouvert : bloc visiteurs + communauté/staff, hébergement privatif exclu.Temples protestants, évangéliques et salles de culte assimilées : Temple/salle de culte : bloc fidèles + sanitaire équipe, sans douches.Mosquées et salles de prière musulmanes : Mosquée/salle de prière : sanitaires fidèles + points d'ablution distingués des WC.Synagogues et oratoires juifs ouverts au public : Synagogue/oratoire : bloc fidèles + sanitaire équipe, sans douches.Temples bouddhistes, hindous et autres lieux de culte non abrahamiques ouverts au public : Temple bouddhiste/hindou/autre : bloc fidèles/visiteurs + staff, sans douches.Salles du Royaume, centres cultuels pluriconfessionnels et lieux de culte polyvalents : Salle du Royaume/centre cultuel polyvalent : bloc fidèles + sanitaire équipe.</t>
    </r>
  </si>
  <si>
    <r>
      <rPr>
        <b/>
        <sz val="9"/>
        <rFont val="Calibri"/>
      </rPr>
      <t>Églises, cathédrales, basiliques et chapelles ouvertes au public</t>
    </r>
    <r>
      <rPr>
        <sz val="9"/>
        <rFont val="Calibri"/>
      </rPr>
      <t xml:space="preserve"> : Capacité type ≈ 110 usagers principaux + 5 staff + 5 autre public. Offices et visites, forte pointe ponctuelle mais durée limitée. Dimensionnement unitaire retenu : bloc public accessible si sanitaires prévus, dimensionné à la nef/salle ouverte. Hypothèse d'usage : capacité simultanée moyenne 2026, répartition par flux réels, arrondie par blocs fonctionnels et exclusion des sanitaires strictement privatifs sauf cas explicitement collectifs.Monastères, abbayes et couvents ouverts au public : Capacité type ≈ 60 usagers principaux + 15 staff + 5 autre public. Visites, offices et boutique/accueil, avec communauté résidente non entièrement publique. Dimensionnement unitaire retenu : bloc visiteurs accessible + sanitaires staff/communauté des espaces communs. Hypothèse d'usage : capacité simultanée moyenne 2026, répartition par flux réels, arrondie par blocs fonctionnels et exclusion des sanitaires strictement privatifs sauf cas explicitement collectifs.Temples protestants, évangéliques et salles de culte assimilées : Capacité type ≈ 92 usagers principaux + 5 staff + 3 autre public. Offices hebdomadaires et réunions, occupation assise prolongée. Dimensionnement unitaire retenu : bloc public accessible et sanitaires séparés si jauge/sexes le justifient. Hypothèse d'usage : capacité simultanée moyenne 2026, répartition par flux réels, arrondie par blocs fonctionnels et exclusion des sanitaires strictement privatifs sauf cas explicitement collectifs.Mosquées et salles de prière musulmanes : Capacité type ≈ 165 usagers principaux + 10 staff + 5 autre public. Forte pointe hebdomadaire, rotations avant prière et usage d'ablutions. Dimensionnement unitaire retenu : blocs WC H/F/PMR + zones d'ablution, staff/administration en complément. Hypothèse d'usage : capacité simultanée moyenne 2026, répartition par flux réels, arrondie par blocs fonctionnels et exclusion des sanitaires strictement privatifs sauf cas explicitement collectifs.Synagogues et oratoires juifs ouverts au public : Capacité type ≈ 72 usagers principaux + 5 staff + 3 autre public. Offices et événements communautaires, jauge modérée avec contrôle d'accès. Dimensionnement unitaire retenu : bloc public accessible + sanitaire personnel, dimensionné à la salle principale. Hypothèse d'usage : capacité simultanée moyenne 2026, répartition par flux réels, arrondie par blocs fonctionnels et exclusion des sanitaires strictement privatifs sauf cas explicitement collectifs.Temples bouddhistes, hindous et autres lieux de culte non abrahamiques ouverts au public : Capacité type ≈ 70 usagers principaux + 7 staff + 3 autre public. Pratiques cultuelles, visites et événements ponctuels. Dimensionnement unitaire retenu : bloc public accessible + sanitaire équipe, avec points d'eau adaptés aux usages locaux. Hypothèse d'usage : capacité simultanée moyenne 2026, répartition par flux réels, arrondie par blocs fonctionnels et exclusion des sanitaires strictement privatifs sauf cas explicitement collectifs.Salles du Royaume, centres cultuels pluriconfessionnels et lieux de culte polyvalents : Capacité type ≈ 82 usagers principaux + 5 staff + 3 autre public. Réunions régulières, occupation assise et rotation faible. Dimensionnement unitaire retenu : bloc public accessible, sanitaires séparés selon jauge et configuration. Hypothèse d'usage : capacité simultanée moyenne 2026, répartition par flux réels, arrondie par blocs fonctionnels et exclusion des sanitaires strictement privatifs sauf cas explicitement collectifs.</t>
    </r>
  </si>
  <si>
    <r>
      <rPr>
        <b/>
        <sz val="9"/>
        <rFont val="Calibri"/>
      </rPr>
      <t>Églises, cathédrales, basiliques et chapelles ouvertes au public</t>
    </r>
    <r>
      <rPr>
        <sz val="9"/>
        <rFont val="Calibri"/>
      </rPr>
      <t xml:space="preserve"> : Profil moyen, capacité moyenne ≈ 120 personnes. Moyenne pondérée terrain : parc majoritairement petits/moyens sites, grands sites intégrés sans surpondération ; usage 2025 modérée à forte par pics.Monastères, abbayes et couvents ouverts au public ; Synagogues et oratoires juifs ouverts au public ; Temples bouddhistes, hindous et autres lieux de culte non abrahamiques ouverts au public : Profil moyen, capacité moyenne ≈ 80 personnes. Moyenne pondérée terrain : parc majoritairement petits/moyens sites, grands sites intégrés sans surpondération ; usage 2025 modérée à forte par pics.Temples protestants, évangéliques et salles de culte assimilées : Profil moyen, capacité moyenne ≈ 100 personnes. Moyenne pondérée terrain : parc majoritairement petits/moyens sites, grands sites intégrés sans surpondération ; usage 2025 modérée à forte par pics.Mosquées et salles de prière musulmanes : Profil moyen, capacité moyenne ≈ 180 personnes. Moyenne pondérée terrain : parc majoritairement petits/moyens sites, grands sites intégrés sans surpondération ; usage 2025 modérée à forte par pics.Salles du Royaume, centres cultuels pluriconfessionnels et lieux de culte polyvalents : Profil moyen, capacité moyenne ≈ 90 personnes. Moyenne pondérée terrain : parc majoritairement petits/moyens sites, grands sites intégrés sans surpondération ; usage 2025 modérée à forte par pics.</t>
    </r>
  </si>
  <si>
    <r>
      <rPr>
        <b/>
        <sz val="9"/>
        <rFont val="Calibri"/>
      </rPr>
      <t>Églises, cathédrales, basiliques et chapelles ouvertes au public</t>
    </r>
    <r>
      <rPr>
        <sz val="9"/>
        <rFont val="Calibri"/>
      </rPr>
      <t xml:space="preserve"> : Usage touristique/cérémoniel irrégulier, faibles moyens de maintenance et locaux parfois anciens/froids. Long si usage faible, électronique prudent; rénovations rares et patrimoniales. Repères durées: lavabos 13/14/10 ans (mit./méca/élec.), douches 12/11/9, urinoirs 11/13/9/11, WC 14/14/10.Monastères, abbayes et couvents ouverts au public : Usage touristique saisonnier dans bâtiments anciens, humidité/pierre et accès maintenance délicat; pics lors visites. Plus court qu'église urbaine pour douches/locaux annexes. Repères durées: lavabos 10/11/8 ans (mit./méca/élec.), douches 8/8/7, urinoirs 8/10/7/9, WC 10/11/8.Temples protestants, évangéliques et salles de culte assimilées : Fréquentation hebdomadaire, groupes ponctuels, faible humidité et public respectueux. Durées longues, proches locaux associatifs calmes, renouvellement lié aux budgets de communauté. Repères durées: lavabos 13/14/10 ans (mit./méca/élec.), douches 12/11/9, urinoirs 11/13/9/11, WC 14/14/10.Mosquées et salles de prière musulmanes : Ablutions fréquentes, pics avant prières, forte humidité autour des lavabos et sols mouillés; maintenance communautaire variable. Abaissé vs autres cultes, surtout lavabos/électronique. Repères durées: lavabos 10/11/8 ans (mit./méca/élec.), douches 8/8/7, urinoirs 8/10/7/9, WC 10/11/8.Synagogues et oratoires juifs ouverts au public : Usage hebdomadaire et fêtes, public encadré, faible humidité hors offices; contraintes de sûreté mais peu de vandalisme. Proche temple, renouvellement budgétaire prudent. Repères durées: lavabos 13/14/10 ans (mit./méca/élec.), douches 12/11/9, urinoirs 11/13/9/11, WC 14/14/10.Temples bouddhistes, hindous et autres lieux de culte non abrahamiques ouverts au public : Fréquentation événementielle, parfois repas/rituels et pics de fêtes; humidité modérée. Entre temple classique et salle polyvalente selon intensité associative. Repères durées: lavabos 12/13/9 ans (mit./méca/élec.), douches 11/10/8, urinoirs 10/12/8/10, WC 13/13/9.Salles du Royaume, centres cultuels pluriconfessionnels et lieux de culte polyvalents : Forte modularité, réunions régulières et usages partagés; maintenance bénévole ou associative. Sous lieu de culte classique, proche salle polyvalente. Repères durées: lavabos 10/11/8 ans (mit./méca/élec.), douches 8/8/7, urinoirs 8/10/7/9, WC 10/11/8.</t>
    </r>
  </si>
  <si>
    <r>
      <rPr>
        <b/>
        <sz val="9"/>
        <rFont val="Calibri"/>
      </rPr>
      <t>Églises, cathédrales, basiliques et chapelles ouvertes au public</t>
    </r>
    <r>
      <rPr>
        <sz val="9"/>
        <rFont val="Calibri"/>
      </rPr>
      <t xml:space="preserve"> : Églises, cathédrales, basiliques et chapelles ouvertes au public : parc 2025 domine par tempo mecanique (50%), avec mitigeur manuel en appoint. Le choix reflete usage ponctuel avec pics offices/ceremonies et budgets patrimoniaux limites ; equipements simples, faible renouvellement et contraintes patrimoniales.Monastères, abbayes et couvents ouverts au public : Monastères, abbayes et couvents ouverts au public : parc 2025 domine par tempo mecanique (76%), avec mitigeur manuel en appoint. Le choix reflete usage ponctuel avec pics offices/ceremonies et budgets patrimoniaux limites ; equipements simples, faible renouvellement et contraintes patrimoniales.Temples protestants, évangéliques et salles de culte assimilées : Temples protestants, évangéliques et salles de culte assimilées : parc 2025 domine par tempo mecanique (50%), avec mitigeur manuel en appoint. Le choix reflete usage ponctuel avec pics offices/ceremonies et budgets patrimoniaux limites ; equipements simples, faible renouvellement et contraintes patrimoniales.Mosquées et salles de prière musulmanes : Mosquées et salles de prière musulmanes : parc 2025 domine par tempo mecanique (76%), avec mitigeur manuel en appoint. Le choix reflete usage ponctuel avec pics offices/ceremonies et budgets patrimoniaux limites ; equipements simples, faible renouvellement et contraintes patrimoniales.Synagogues et oratoires juifs ouverts au public : Synagogues et oratoires juifs ouverts au public : parc 2025 domine par tempo mecanique (50%), avec mitigeur manuel en appoint. Le choix reflete usage ponctuel avec pics offices/ceremonies et budgets patrimoniaux limites ; equipements simples, faible renouvellement et contraintes patrimoniales.Temples bouddhistes, hindous et autres lieux de culte non abrahamiques ouverts au public : Temples bouddhistes, hindous et autres lieux de culte non abrahamiques ouverts au public : parc 2025 domine par mitigeur manuel (55%), avec tempo mecanique en appoint. Le choix reflete usage ponctuel avec pics offices/ceremonies et budgets patrimoniaux limites ; equipements simples, faible renouvellement et contraintes patrimoniales.Salles du Royaume, centres cultuels pluriconfessionnels et lieux de culte polyvalents : Salles du Royaume, centres cultuels pluriconfessionnels et lieux de culte polyvalents : parc 2025 domine par tempo mecanique (76%), avec mitigeur manuel en appoint. Le choix reflete usage ponctuel avec pics offices/ceremonies et budgets patrimoniaux limites ; equipements simples, faible renouvellement et contraintes patrimoniales.</t>
    </r>
  </si>
  <si>
    <r>
      <rPr>
        <b/>
        <sz val="9"/>
        <rFont val="Calibri"/>
      </rPr>
      <t>Églises, cathédrales, basiliques et chapelles ouvertes au public ; Temples protestants, évangéliques et salles de culte assimilées ; Synagogues et oratoires juifs ouverts au public</t>
    </r>
    <r>
      <rPr>
        <sz val="9"/>
        <rFont val="Calibri"/>
      </rPr>
      <t xml:space="preserve"> : 2025-2030 : progression de tempo electronique (+5,0%), surtout lors des renov. lourdes/neuf ; recul de mitigeur manuel (-5,0%) mais maintien d un socle robuste pour les remplacements partiels.Monastères, abbayes et couvents ouverts au public ; Mosquées et salles de prière musulmanes ; Salles du Royaume, centres cultuels pluriconfessionnels et lieux de culte polyvalents : 2025-2030 : progression de tempo electronique (+2,0%), surtout lors des renov. lourdes/neuf ; recul de mitigeur manuel (-2,0%) mais maintien d un socle robuste pour les remplacements partiels.Temples bouddhistes, hindous et autres lieux de culte non abrahamiques ouverts au public : 2025-2030 : progression de tempo electronique (+3,0%), surtout lors des renov. lourdes/neuf ; recul de mitigeur manuel (-5,0%) mais maintien d un socle robuste pour les remplacements partiels.</t>
    </r>
  </si>
  <si>
    <r>
      <rPr>
        <b/>
        <sz val="9"/>
        <rFont val="Calibri"/>
      </rPr>
      <t>Églises, cathédrales, basiliques et chapelles ouvertes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t>
    </r>
    <r>
      <rPr>
        <sz val="9"/>
        <rFont val="Calibri"/>
      </rPr>
      <t xml:space="preserve"> : Sans objet.Monastères, abbayes et couvents ouverts au public : Monastères, abbayes et couvents ouverts au public : parc 2025 domine par tempo mecanique (80%), avec mitigeur en appoint. Le choix reflete usage ponctuel avec pics offices/ceremonies et budgets patrimoniaux limites ; equipements simples, faible renouvellement et contraintes patrimoniales.</t>
    </r>
  </si>
  <si>
    <r>
      <rPr>
        <b/>
        <sz val="9"/>
        <rFont val="Calibri"/>
      </rPr>
      <t>Églises, cathédrales, basiliques et chapelles ouvertes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t>
    </r>
    <r>
      <rPr>
        <sz val="9"/>
        <rFont val="Calibri"/>
      </rPr>
      <t xml:space="preserve"> : Sans objet.Monastères, abbayes et couvents ouverts au public : 2025-2030 : progression de tempo mecanique (+2,0%), surtout lors des renov. lourdes/neuf ; recul de mitigeur (-3,0%) mais maintien d un socle robuste pour les remplacements partiels.</t>
    </r>
  </si>
  <si>
    <r>
      <rPr>
        <b/>
        <sz val="9"/>
        <rFont val="Calibri"/>
      </rPr>
      <t>Églises, cathédrales, basiliques et chapelles ouvertes au public</t>
    </r>
    <r>
      <rPr>
        <sz val="9"/>
        <rFont val="Calibri"/>
      </rPr>
      <t xml:space="preserve"> : Églises, cathédrales, basiliques et chapelles ouvertes au public : parc 2025 domine par directe mecanique (50%), avec directe electronique collective en appoint. Le choix reflete usage ponctuel avec pics offices/ceremonies et budgets patrimoniaux limites ; equipements simples, faible renouvellement et contraintes patrimoniales.Monastères, abbayes et couvents ouverts au public : Urinoirs présents surtout dans les sites patrimoniaux ouverts au public avec blocs visiteurs. Mix 2025 prudent, dominé par chasse directe mécanique avec quelques équipements anciens à réservoir.Temples protestants, évangéliques et salles de culte assimilées : Temples protestants, évangéliques et salles de culte assimilées : parc 2025 domine par directe mecanique (50%), avec directe electronique collective en appoint. Le choix reflete usage ponctuel avec pics offices/ceremonies et budgets patrimoniaux limites ; equipements simples, faible renouvellement et contraintes patrimoniales.Mosquées et salles de prière musulmanes : Mosquées et salles de prière musulmanes : parc 2025 domine par directe mecanique (55%), avec directe electronique collective en appoint. Le choix reflete usage ponctuel avec pics offices/ceremonies et budgets patrimoniaux limites ; equipements simples, faible renouvellement et contraintes patrimoniales.Synagogues et oratoires juifs ouverts au public : Synagogues et oratoires juifs ouverts au public : parc 2025 domine par directe mecanique (50%), avec directe electronique collective en appoint. Le choix reflete usage ponctuel avec pics offices/ceremonies et budgets patrimoniaux limites ; equipements simples, faible renouvellement et contraintes patrimoniales.Temples bouddhistes, hindous et autres lieux de culte non abrahamiques ouverts au public : Temples bouddhistes, hindous et autres lieux de culte non abrahamiques ouverts au public : parc 2025 domine par directe mecanique (45%), avec directe electronique collective en appoint. Le choix reflete usage ponctuel avec pics offices/ceremonies et budgets patrimoniaux limites ; equipements simples, faible renouvellement et contraintes patrimoniales.Salles du Royaume, centres cultuels pluriconfessionnels et lieux de culte polyvalents : Salles du Royaume, centres cultuels pluriconfessionnels et lieux de culte polyvalents : parc 2025 domine par directe mecanique (55%), avec directe electronique collective en appoint. Le choix reflete usage ponctuel avec pics offices/ceremonies et budgets patrimoniaux limites ; equipements simples, faible renouvellement et contraintes patrimoniales.</t>
    </r>
  </si>
  <si>
    <r>
      <rPr>
        <b/>
        <sz val="9"/>
        <rFont val="Calibri"/>
      </rPr>
      <t>Églises, cathédrales, basiliques et chapelles ouvertes au public ; Temples protestants, évangéliques et salles de culte assimilées ; Synagogues et oratoires juifs ouverts au public ; Temples bouddhistes, hindous et autres lieux de culte non abrahamiques ouverts au public</t>
    </r>
    <r>
      <rPr>
        <sz val="9"/>
        <rFont val="Calibri"/>
      </rPr>
      <t xml:space="preserve"> : 2025-2030 : progression de directe electronique indiv. (+3,0%), surtout lors des renov. lourdes/neuf ; recul de a reservoir (-2,0%) mais maintien d un socle robuste pour les remplacements partiels.Monastères, abbayes et couvents ouverts au public : 2025-2030 : évolution lente ; mécanique majoritaire, électronique progresse marginalement sur sites touristiques rénovés ou espaces d’accueil modernisés.Mosquées et salles de prière musulmanes ; Salles du Royaume, centres cultuels pluriconfessionnels et lieux de culte polyvalents : 2025-2030 : progression de directe electronique indiv. (+2,0%), surtout lors des renov. lourdes/neuf ; recul de directe electronique collective (-1,0%) mais maintien d un socle robuste pour les remplacements partiels.</t>
    </r>
  </si>
  <si>
    <r>
      <rPr>
        <b/>
        <sz val="9"/>
        <rFont val="Calibri"/>
      </rPr>
      <t>Églises, cathédrales, basiliques et chapelles ouvertes au public</t>
    </r>
    <r>
      <rPr>
        <sz val="9"/>
        <rFont val="Calibri"/>
      </rPr>
      <t xml:space="preserve"> : Églises, cathédrales, basiliques et chapelles ouvertes au public : parc 2025 domine par reservoir (55%), avec chasse directe mecanique en appoint. Le choix reflete usage ponctuel avec pics offices/ceremonies et budgets patrimoniaux limites ; equipements simples, faible renouvellement et contraintes patrimoniales.Monastères, abbayes et couvents ouverts au public : Monastères, abbayes et couvents ouverts au public : parc 2025 domine par chasse directe mecanique (55%), avec reservoir en appoint. Le choix reflete usage ponctuel avec pics offices/ceremonies et budgets patrimoniaux limites ; equipements simples, faible renouvellement et contraintes patrimoniales.Temples protestants, évangéliques et salles de culte assimilées : Temples protestants, évangéliques et salles de culte assimilées : parc 2025 domine par reservoir (55%), avec chasse directe mecanique en appoint. Le choix reflete usage ponctuel avec pics offices/ceremonies et budgets patrimoniaux limites ; equipements simples, faible renouvellement et contraintes patrimoniales.Mosquées et salles de prière musulmanes : Mosquées et salles de prière musulmanes : parc 2025 domine par chasse directe mecanique (55%), avec reservoir en appoint. Le choix reflete usage ponctuel avec pics offices/ceremonies et budgets patrimoniaux limites ; equipements simples, faible renouvellement et contraintes patrimoniales.Synagogues et oratoires juifs ouverts au public : Synagogues et oratoires juifs ouverts au public : parc 2025 domine par reservoir (55%), avec chasse directe mecanique en appoint. Le choix reflete usage ponctuel avec pics offices/ceremonies et budgets patrimoniaux limites ; equipements simples, faible renouvellement et contraintes patrimoniales.Temples bouddhistes, hindous et autres lieux de culte non abrahamiques ouverts au public : Temples bouddhistes, hindous et autres lieux de culte non abrahamiques ouverts au public : parc 2025 domine par reservoir (60%), avec chasse directe mecanique en appoint. Le choix reflete usage ponctuel avec pics offices/ceremonies et budgets patrimoniaux limites ; equipements simples, faible renouvellement et contraintes patrimoniales.Salles du Royaume, centres cultuels pluriconfessionnels et lieux de culte polyvalents : Salles du Royaume, centres cultuels pluriconfessionnels et lieux de culte polyvalents : parc 2025 domine par chasse directe mecanique (55%), avec reservoir en appoint. Le choix reflete usage ponctuel avec pics offices/ceremonies et budgets patrimoniaux limites ; equipements simples, faible renouvellement et contraintes patrimoniales.</t>
    </r>
  </si>
  <si>
    <r>
      <rPr>
        <b/>
        <sz val="9"/>
        <rFont val="Calibri"/>
      </rPr>
      <t>Églises, cathédrales, basiliques et chapelles ouvertes au public ; Temples protestants, évangéliques et salles de culte assimilées ; Synagogues et oratoires juifs ouverts au public</t>
    </r>
    <r>
      <rPr>
        <sz val="9"/>
        <rFont val="Calibri"/>
      </rPr>
      <t xml:space="preserve"> : 2025-2030 : progression de chasse directe electronique (+5,0%), surtout lors des renov. lourdes/neuf ; recul de reservoir (-8,0%) mais maintien d un socle robuste pour les remplacements partiels.Monastères, abbayes et couvents ouverts au public ; Mosquées et salles de prière musulmanes ; Salles du Royaume, centres cultuels pluriconfessionnels et lieux de culte polyvalents : 2025-2030 : progression de chasse directe electronique (+7,0%), surtout lors des renov. lourdes/neuf ; recul de reservoir (-10,0%) mais maintien d un socle robuste pour les remplacements partiels.Temples bouddhistes, hindous et autres lieux de culte non abrahamiques ouverts au public : 2025-2030 : progression de chasse directe mecanique (+3,0%), surtout lors des renov. lourdes/neuf ; recul de reservoir (-5,0%) mais maintien d un socle robuste pour les remplacements partiels.</t>
    </r>
  </si>
  <si>
    <r>
      <rPr>
        <b/>
        <sz val="9"/>
        <rFont val="Calibri"/>
      </rPr>
      <t>Églises, cathédrales, basiliques et chapelles ouvertes au public</t>
    </r>
    <r>
      <rPr>
        <sz val="9"/>
        <rFont val="Calibri"/>
      </rPr>
      <t xml:space="preserve"> : Potentiel neuf : limite pour églises, cathédrales, basiliques et chapelles ouvertes au public, surtout via extensions, reconstructions ou projets locaux. Le neuf reste contraint par foncier, budgets et delais de mise en service.Monastères, abbayes et couvents ouverts au public : Potentiel neuf : limite pour monastères, abbayes et couvents ouverts au public, surtout via extensions, reconstructions ou projets locaux. Le neuf reste contraint par foncier, budgets et delais de mise en service.Temples protestants, évangéliques et salles de culte assimilées : Potentiel neuf : limite pour temples protestants, évangéliques et salles de culte assimilées, surtout via extensions, reconstructions ou projets locaux. Le neuf reste contraint par foncier, budgets et delais de mise en service.Mosquées et salles de prière musulmanes : Potentiel neuf : limite pour mosquées et salles de prière musulmanes, surtout via extensions, reconstructions ou projets locaux. Le neuf reste contraint par foncier, budgets et delais de mise en service.Synagogues et oratoires juifs ouverts au public : Potentiel neuf : limite pour synagogues et oratoires juifs ouverts au public, surtout via extensions, reconstructions ou projets locaux. Le neuf reste contraint par foncier, budgets et delais de mise en service.Temples bouddhistes, hindous et autres lieux de culte non abrahamiques ouverts au public : Potentiel neuf : limite pour temples bouddhistes, hindous et autres lieux de culte non abrahamiques ouverts au public, surtout via extensions, reconstructions ou projets locaux. Le neuf reste contraint par foncier, budgets et delais de mise en service.Salles du Royaume, centres cultuels pluriconfessionnels et lieux de culte polyvalents : Potentiel neuf : limite pour salles du royaume, centres cultuels pluriconfessionnels et lieux de culte polyvalents, surtout via extensions, reconstructions ou projets locaux. Le neuf reste contraint par foncier, budgets et delais de mise en service.</t>
    </r>
  </si>
  <si>
    <r>
      <rPr>
        <b/>
        <sz val="9"/>
        <rFont val="Calibri"/>
      </rPr>
      <t>Églises, cathédrales, basiliques et chapelles ouvertes au public</t>
    </r>
    <r>
      <rPr>
        <sz val="9"/>
        <rFont val="Calibri"/>
      </rPr>
      <t xml:space="preserve"> : Parc existant centre sur le niveau standard, avec ventes 2026-2030 legerement plus qualitatives. Églises, cathédrales, basiliques et chapelles ouvertes au public : usage ponctuel avec pics offices/ceremonies et budgets patrimoniaux limites; le mix reste guide par equipements simples, faible renouvellement et contraintes patrimoniales.Monastères, abbayes et couvents ouverts au public : Parc existant centre sur le niveau standard, avec ventes 2026-2030 legerement plus qualitatives. Monastères, abbayes et couvents ouverts au public : usage ponctuel avec pics offices/ceremonies et budgets patrimoniaux limites; le mix reste guide par equipements simples, faible renouvellement et contraintes patrimoniales.Temples protestants, évangéliques et salles de culte assimilées : Parc existant centre sur le niveau standard, avec ventes 2026-2030 legerement plus qualitatives. Temples protestants, évangéliques et salles de culte assimilées : usage ponctuel avec pics offices/ceremonies et budgets patrimoniaux limites; le mix reste guide par equipements simples, faible renouvellement et contraintes patrimoniales.Mosquées et salles de prière musulmanes : Parc existant centre sur le niveau standard, avec ventes 2026-2030 legerement plus qualitatives. Mosquées et salles de prière musulmanes : usage ponctuel avec pics offices/ceremonies et budgets patrimoniaux limites; le mix reste guide par equipements simples, faible renouvellement et contraintes patrimoniales.Synagogues et oratoires juifs ouverts au public : Parc existant centre sur le niveau standard, avec ventes 2026-2030 legerement plus qualitatives. Synagogues et oratoires juifs ouverts au public : usage ponctuel avec pics offices/ceremonies et budgets patrimoniaux limites; le mix reste guide par equipements simples, faible renouvellement et contraintes patrimoniales.Temples bouddhistes, hindous et autres lieux de culte non abrahamiques ouverts au public : Parc existant centre sur le niveau standard, avec ventes 2026-2030 legerement plus qualitatives. Temples bouddhistes, hindous et autres lieux de culte non abrahamiques ouverts au public : usage ponctuel avec pics offices/ceremonies et budgets patrimoniaux limites; le mix reste guide par equipements simples, faible renouvellement et contraintes patrimoniales.Salles du Royaume, centres cultuels pluriconfessionnels et lieux de culte polyvalents : Parc existant centre sur le niveau standard, avec ventes 2026-2030 legerement plus qualitatives. Salles du Royaume, centres cultuels pluriconfessionnels et lieux de culte polyvalents : usage ponctuel avec pics offices/ceremonies et budgets patrimoniaux limites; le mix reste guide par equipements simples, faible renouvellement et contraintes patrimoniales.</t>
    </r>
  </si>
  <si>
    <r>
      <rPr>
        <b/>
        <sz val="9"/>
        <rFont val="Calibri"/>
      </rPr>
      <t>Églises, cathédrales, basiliques et chapelles ouvertes au public</t>
    </r>
    <r>
      <rPr>
        <sz val="9"/>
        <rFont val="Calibri"/>
      </rPr>
      <t xml:space="preserve"> : Églises, cathédrales, basiliques et chapelles ouvertes au public : ventes 2026-2030 en leger glissement vers moyen/premium lorsque le neuf ou les renov. lourdes interviennent. Le centre de gravite reste toutefois module par equipements simples, faible renouvellement et contraintes patrimoniales et par la part dominante de travaux sur parc existant.Monastères, abbayes et couvents ouverts au public : Monastères, abbayes et couvents ouverts au public : ventes 2026-2030 en leger glissement vers moyen/premium lorsque le neuf ou les renov. lourdes interviennent. Le centre de gravite reste toutefois module par equipements simples, faible renouvellement et contraintes patrimoniales et par la part dominante de travaux sur parc existant.Temples protestants, évangéliques et salles de culte assimilées : Temples protestants, évangéliques et salles de culte assimilées : ventes 2026-2030 en leger glissement vers moyen/premium lorsque le neuf ou les renov. lourdes interviennent. Le centre de gravite reste toutefois module par equipements simples, faible renouvellement et contraintes patrimoniales et par la part dominante de travaux sur parc existant.Mosquées et salles de prière musulmanes : Mosquées et salles de prière musulmanes : ventes 2026-2030 en leger glissement vers moyen/premium lorsque le neuf ou les renov. lourdes interviennent. Le centre de gravite reste toutefois module par equipements simples, faible renouvellement et contraintes patrimoniales et par la part dominante de travaux sur parc existant.Synagogues et oratoires juifs ouverts au public : Synagogues et oratoires juifs ouverts au public : ventes 2026-2030 en leger glissement vers moyen/premium lorsque le neuf ou les renov. lourdes interviennent. Le centre de gravite reste toutefois module par equipements simples, faible renouvellement et contraintes patrimoniales et par la part dominante de travaux sur parc existant.Temples bouddhistes, hindous et autres lieux de culte non abrahamiques ouverts au public : Temples bouddhistes, hindous et autres lieux de culte non abrahamiques ouverts au public : ventes 2026-2030 en leger glissement vers moyen/premium lorsque le neuf ou les renov. lourdes interviennent. Le centre de gravite reste toutefois module par equipements simples, faible renouvellement et contraintes patrimoniales et par la part dominante de travaux sur parc existant.Salles du Royaume, centres cultuels pluriconfessionnels et lieux de culte polyvalents : Salles du Royaume, centres cultuels pluriconfessionnels et lieux de culte polyvalents : ventes 2026-2030 en leger glissement vers moyen/premium lorsque le neuf ou les renov. lourdes interviennent. Le centre de gravite reste toutefois module par equipements simples, faible renouvellement et contraintes patrimoniales et par la part dominante de travaux sur parc existant.</t>
    </r>
  </si>
  <si>
    <t>1 - Locaux associatifs recevant du public</t>
  </si>
  <si>
    <t>Maison des associations, MJC, Foyers ruraux, Centres sociaux, EVS</t>
  </si>
  <si>
    <t>La dynamique 2000-2024 reflète surtout la montée des EVS et du maillage de l’animation de la vie sociale ; 2026-2030 prolonge ensuite une hausse lente puis un quasi-palier.</t>
  </si>
  <si>
    <t>1 - Aires de service - Autoroutes
2 - Aires de repos - Autoroutes
3 - Parcs de stationnement couverts
4 - Aéroports / aérogares
5 - Gares ferroviaires et stations
6 - Ports de plaisance / capitaineries
7 - Terminaux maritimes / fluviaux</t>
  </si>
  <si>
    <r>
      <rPr>
        <b/>
        <sz val="9"/>
        <rFont val="Calibri"/>
      </rPr>
      <t>Aires de service - Autoroutes ; Aires de repos - Autoroutes ; Aéroports / aérogares ; Ports de plaisance / capitaineries ; Terminaux maritimes / fluviaux</t>
    </r>
    <r>
      <rPr>
        <sz val="9"/>
        <rFont val="Calibri"/>
      </rPr>
      <t xml:space="preserve"> : VariableParcs de stationnement couverts : PSGares ferroviaires et stations : PA ou variable</t>
    </r>
  </si>
  <si>
    <r>
      <rPr>
        <b/>
        <sz val="9"/>
        <rFont val="Calibri"/>
      </rPr>
      <t>Aires de service - Autoroutes ; Aires de repos - Autoroutes ; Ports de plaisance / capitaineries</t>
    </r>
    <r>
      <rPr>
        <sz val="9"/>
        <rFont val="Calibri"/>
      </rPr>
      <t xml:space="preserve"> : Ensemble mixteParcs de stationnement couverts ; Gares ferroviaires et stations : ERP spécialAéroports / aérogares ; Terminaux maritimes / fluviaux : Ensemble multi-classements</t>
    </r>
  </si>
  <si>
    <r>
      <rPr>
        <b/>
        <sz val="9"/>
        <rFont val="Calibri"/>
      </rPr>
      <t>Aires de service - Autoroutes ; Aires de repos - Autoroutes ; Aéroports / aérogares ; Ports de plaisance / capitaineries ; Terminaux maritimes / fluviaux</t>
    </r>
    <r>
      <rPr>
        <sz val="9"/>
        <rFont val="Calibri"/>
      </rPr>
      <t xml:space="preserve"> : mixteParcs de stationnement couverts ; Gares ferroviaires et stations : ERP</t>
    </r>
  </si>
  <si>
    <r>
      <rPr>
        <b/>
        <sz val="9"/>
        <rFont val="Calibri"/>
      </rPr>
      <t>Aires de service - Autoroutes ; Aires de repos - Autoroutes ; Ports de plaisance / capitaineries ; Terminaux maritimes / fluviaux</t>
    </r>
    <r>
      <rPr>
        <sz val="9"/>
        <rFont val="Calibri"/>
      </rPr>
      <t xml:space="preserve"> : variableParcs de stationnement couverts ; Aéroports / aérogares ; Gares ferroviaires et stations : oui</t>
    </r>
  </si>
  <si>
    <r>
      <rPr>
        <b/>
        <sz val="9"/>
        <rFont val="Calibri"/>
      </rPr>
      <t>Aires de service - Autoroutes</t>
    </r>
    <r>
      <rPr>
        <sz val="9"/>
        <rFont val="Calibri"/>
      </rPr>
      <t xml:space="preserve"> : Le bâtiment de boutique/restauration se classe selon son activité dominante.Aires de repos - Autoroutes : Les bâtiments ouverts au public se classent selon leur usage.Parcs de stationnement couverts : Parkings couverts recevant du public et disposant de sanitaires collectifs identifiables ; exclusion des parkings couverts sans toilettes publiques/personnel dédiées.Aéroports / aérogares : Les terminaux recevant du public relèvent d’un classement par bâtiments et usages.Gares ferroviaires et stations : Gares et espaces d’accueil associés.Ports de plaisance / capitaineries : Sites recevant plaisanciers et visiteurs avec sanitaires, douches et accueil ; hors simple quai sans bâtiment recevant du public.Terminaux maritimes / fluviaux : Classement selon bâtiment et activité dominante.</t>
    </r>
  </si>
  <si>
    <r>
      <rPr>
        <b/>
        <sz val="9"/>
        <rFont val="Calibri"/>
      </rPr>
      <t>Aires de service - Autoroutes</t>
    </r>
    <r>
      <rPr>
        <sz val="9"/>
        <rFont val="Calibri"/>
      </rPr>
      <t xml:space="preserve"> : Station-service autoroutière ou urbaineAires de repos - Autoroutes : Aire de repos, aire de servicesParcs de stationnement couverts : Parking silo couvertAéroports / aérogares : Terminal passagers, aérogareGares ferroviaires et stations : Gare SNCF, gare routière, grande stationPorts de plaisance / capitaineries : Port de plaisance, capitainerie, halte fluviale équipéeTerminaux maritimes / fluviaux : Terminal ferry, gare fluviale</t>
    </r>
  </si>
  <si>
    <r>
      <rPr>
        <b/>
        <sz val="9"/>
        <rFont val="Calibri"/>
      </rPr>
      <t>Aires de service - Autoroutes</t>
    </r>
    <r>
      <rPr>
        <sz val="9"/>
        <rFont val="Calibri"/>
      </rPr>
      <t xml:space="preserve"> : série publique directeAires de repos - Autoroutes : sous-espace / proxy non additifParcs de stationnement couverts ; Aéroports / aérogares ; Gares ferroviaires et stations ; Ports de plaisance / capitaineries ; Terminaux maritimes / fluviaux : proxy public / estimation encadrée</t>
    </r>
  </si>
  <si>
    <r>
      <rPr>
        <b/>
        <sz val="9"/>
        <rFont val="Calibri"/>
      </rPr>
      <t>Aires de service - Autoroutes ; Aires de repos - Autoroutes ; Parcs de stationnement couverts ; Aéroports / aérogares</t>
    </r>
    <r>
      <rPr>
        <sz val="9"/>
        <rFont val="Calibri"/>
      </rPr>
      <t xml:space="preserve"> : ElevéGares ferroviaires et stations ; Ports de plaisance / capitaineries ; Terminaux maritimes / fluviaux : Moyenne</t>
    </r>
  </si>
  <si>
    <r>
      <rPr>
        <b/>
        <sz val="9"/>
        <rFont val="Calibri"/>
      </rPr>
      <t>Aires de service - Autoroutes</t>
    </r>
    <r>
      <rPr>
        <sz val="9"/>
        <rFont val="Calibri"/>
      </rPr>
      <t xml:space="preserve"> : Pas de stagnation structurelle : la série évolue à la baisse sur la période 2000-2026 ; la projection prolonge cette tendance avec prudence.Aires de repos - Autoroutes : Série varie peu car suit un stock principal administré et non un marché autonome. Pour 1 établissement doté de sanitaires recevant du public, la logique pertinente est celle du site autoroutier multi-services.Parcs de stationnement couverts : Série évolue à la hausse sur la période 2000-2026. Minorité équipée de sanitaires collectifs (ordre de grandeur retenu ~18 % en 2025-2026). Réglementat° ERP de type PS ne les impose pas universellement ; l’accessibilité ne vise les sanitaires que lorsqu’ils existent.Aéroports / aérogares ; Terminaux maritimes / fluviaux : Faute de série nationale homogène publiée annuellement pour cette sous-catégorie, le proxy est lissé ; la faible variation reflète une prudence méthodologique.Gares ferroviaires et stations : Ancrage sur 1 075 gares 'LOM' (les plus équipées) sur 3000 gares au total (2026) . Le parc national de gares voyageurs varie peu. Stabilité reflète stock d’infra. lourdes dont les évolutionssont limitées.Ports de plaisance / capitaineries : Ports de plaisance / capitaineries dont les sanitaires publics ou partagés avec les visiteurs. Simples capitaineries techniques ou sites réservés aux plaisanciers abonnés, sans accueil public structuré, exclus.</t>
    </r>
  </si>
  <si>
    <r>
      <rPr>
        <b/>
        <sz val="9"/>
        <rFont val="Calibri"/>
      </rPr>
      <t>Aires de service - Autoroutes</t>
    </r>
    <r>
      <rPr>
        <sz val="9"/>
        <rFont val="Calibri"/>
      </rPr>
      <t xml:space="preserve"> : BPE 2024 stations-service. Dynamique projetée 2027-2030: baisse lente. Fiabilité: bonne. Risque de doublon: oui si addition avec la catégorie parente ou avec des sous-espaces d’un même site.Aires de repos - Autoroutes : proxy aires de repos et de services sur réseaux concédés. Dynamique projetée 2027-2030: stable. Fiabilité: bonne. Risque de doublon: oui si addition avec la catégorie parente ou avec des sous-espaces d’un même site.Parcs de stationnement couverts : proxy parkings couverts publics/commerciaux. Dynamique projetée 2027-2030: hausse légère. Fiabilité: moyenne.Aéroports / aérogares : proxy aérodromes ouverts au trafic commercial et terminaux. Dynamique projetée 2027-2030: stable. Fiabilité: moyenne.Gares ferroviaires et stations : Montée progressive parc gares équipées, accélération 2018-2024 =&gt;programmes de confort + accessibilité, léger creux 2020, puis reprise lente. Hausse modérée =&gt; petites haltes restent sans sanitaires.Ports de plaisance / capitaineries : Ancrage fort  : Observatoire Ports de plaisance. Rapport 2018 recense 785 ports hexagonaux dont 47 ultramarins sur périmètre maritime spécifique. Project° 2026-30 prudente.Terminaux maritimes / fluviaux : proxy ports passagers et gares fluviales. Dynamique projetée 2027-2030: stable. Fiabilité: moyenne.</t>
    </r>
  </si>
  <si>
    <r>
      <rPr>
        <b/>
        <sz val="9"/>
        <rFont val="Calibri"/>
      </rPr>
      <t>Aires de service - Autoroutes</t>
    </r>
    <r>
      <rPr>
        <sz val="9"/>
        <rFont val="Calibri"/>
      </rPr>
      <t xml:space="preserve"> : https://www.insee.fr/fr/statistiques/8610258?geo=FE-1Aires de repos - Autoroutes : https://www.autoroutes.fr/fr/aires-de-services/Parcs de stationnement couverts : https://www.insee.fr/fr/metadonnees/source/serie/s1161
https://www.legifrance.gouv.fr/codes/section_lc/JORFTEXT000000290033/LEGISCTA000020370857/2025-03-27/
https://www.ecologie.gouv.fr/politiques-publiques/laccessibilite-etablissements-recevant-du-public-erp
https://www.cerema.fr/fr/actualites/panorama-du-stationnement-public-parc-enseignements-enquete
https://www.insee.fr/fr/statistiques/7768216
https://www.effia.com/parking/parking-gare-de-vitre-effiaAéroports / aérogares : https://www.ecologie.gouv.fr/aviation-commercialeGares ferroviaires et stations : https://www.garesetconnexions.sncf/fr/nos-metiers | https://www.garesetconnexions.sncf/fr/faq/services/toilettes-sont-elles-presentes-ma-gare-000001219 | https://www.garesetconnexions.sncf/fr/journaliste/toilettes-gares-dile-france | https://www.sncf-reseau.com/accessibilite/rapport-accessibilite-2018/index.html | https://ressources.data.sncf.com/explore/dataset/stationnement-securise-velo-en-gare-au-30-06-24/
https://www.groupe-sncf.com/fr/groupe/portrait-entreprise/groupe-societes/sncf-gares-et-connexions/frequentation-garePorts de plaisance / capitaineries : https://www.eaufrance.fr/chiffres-cles/nombre-de-ports-de-plaisance-en-2015 ; https://www.eaufrance.fr/chiffres-cles/nombre-de-ports-de-plaisance-en-2018 ; https://www.mer.gouv.fr/sites/default/files/2021-03/Observatoire-des-ports-de-plaisance_rapport-enquete-2018.pdf ; https://www.mer.gouv.fr/lobservatoire-des-ports-de-plaisance ; https://www.mer.gouv.fr/sites/default/files/2026-01/opp-rapport-preliminaire-de-l-enquete-2025.pdfTerminaux maritimes / fluviaux : https://www.ecologie.gouv.fr/transports-maritime</t>
    </r>
  </si>
  <si>
    <r>
      <rPr>
        <b/>
        <sz val="9"/>
        <rFont val="Calibri"/>
      </rPr>
      <t>Aires de service - Autoroutes</t>
    </r>
    <r>
      <rPr>
        <sz val="9"/>
        <rFont val="Calibri"/>
      </rPr>
      <t xml:space="preserve"> : Aire de service : bloc voyageurs + personnel/restauration.Aires de repos - Autoroutes : Aire de repos : batteries publiques seulement.Parcs de stationnement couverts : Parking couvert : petit bloc public/usagers + local exploitation.Aéroports / aérogares : Aérogare : blocs publics par zone + personnel ; hors salons privatifs.Gares ferroviaires et stations : Gare/station : batteries voyageurs + sanitaires personnel/exploitation.Ports de plaisance / capitaineries : Port de plaisance/capitainerie : sanitaires plaisanciers + douches/vestiaires et staff.Terminaux maritimes / fluviaux : Terminal maritime/fluvial : blocs publics + personnel d'exploitation.</t>
    </r>
  </si>
  <si>
    <r>
      <rPr>
        <b/>
        <sz val="9"/>
        <rFont val="Calibri"/>
      </rPr>
      <t>Aires de service - Autoroutes</t>
    </r>
    <r>
      <rPr>
        <sz val="9"/>
        <rFont val="Calibri"/>
      </rPr>
      <t xml:space="preserve"> : Capacité type ≈ 66 usagers principaux + 8 staff + 6 chauffeurs accompagnants/prestataires. Le programme sanitaire est construit par blocs fonctionnels plausibles (public, personnel, exploitation/hébergement selon le cas) et non par simple ratio national moyen. Calibrage selon capacité simultanée, répartition de flux et organisation réelle du site.Aires de repos - Autoroutes : Capacité type ≈ 492 usagers principaux + 60 staff + 48 chauffeurs accompagnants/prestataires. Le programme sanitaire est construit par blocs fonctionnels plausibles (public, personnel, exploitation/hébergement selon le cas) et non par simple ratio national moyen. Calibrage selon capacité simultanée, répartition de flux et organisation réelle du site.Parcs de stationnement couverts : Capacité type ≈ 45 usagers principaux + 4 staff + 1 autre public. Usage court, flux diffus et personnel réduit. Dimensionnement unitaire retenu : sanitaire public accessible près accueil/caisse + sanitaire personnel. Hypothèse d'usage : capacité simultanée moyenne 2026, répartition par flux réels, arrondie par blocs fonctionnels et exclusion des sanitaires strictement privatifs sauf cas explicitement collectifs.Aéroports / aérogares : Capacité type ≈ 2870 usagers principaux + 350 staff + 280 agents/visiteurs techniques. Le programme sanitaire est construit par blocs fonctionnels plausibles (public, personnel, exploitation/hébergement selon le cas) et non par simple ratio national moyen. Calibrage selon capacité simultanée, répartition de flux et organisation réelle du site.Gares ferroviaires et stations : Capacité type ≈ 700 usagers principaux + 70 staff + 30 autre public. Flux voyageurs concentré aux quais, correspondances et halls ; rotation rapide. Dimensionnement unitaire retenu : blocs publics par hall/quais + staff, PMR selon zones accessibles. Hypothèse d'usage : capacité simultanée moyenne 2026, répartition par flux réels, arrondie par blocs fonctionnels et exclusion des sanitaires strictement privatifs sauf cas explicitement collectifs.Ports de plaisance / capitaineries : Capacité type ≈ 64 usagers principaux + 12 staff + 4 autre public. Plaisanciers, visiteurs et capitainerie, usage douche concentré matin/soir. Dimensionnement unitaire retenu : blocs WC/douches par bassin ou capitainerie, staff séparé. Hypothèse d'usage : capacité simultanée moyenne 2026, répartition par flux réels, arrondie par blocs fonctionnels et exclusion des sanitaires strictement privatifs sauf cas explicitement collectifs.Terminaux maritimes / fluviaux : Capacité type ≈ 984 usagers principaux + 120 staff + 96 visiteurs techniques/prestataires. Le programme sanitaire est construit par blocs fonctionnels plausibles (public, personnel, exploitation/hébergement selon le cas) et non par simple ratio national moyen. Calibrage selon capacité simultanée, répartition de flux et organisation réelle du site.</t>
    </r>
  </si>
  <si>
    <r>
      <rPr>
        <b/>
        <sz val="9"/>
        <rFont val="Calibri"/>
      </rPr>
      <t>Aires de service - Autoroutes ; Ports de plaisance / capitaineries</t>
    </r>
    <r>
      <rPr>
        <sz val="9"/>
        <rFont val="Calibri"/>
      </rPr>
      <t xml:space="preserve"> : Profil moyen, capacité moyenne ≈ 80 personnes. Moyenne pondérée terrain : parc majoritairement petits/moyens sites, grands sites intégrés sans surpondération ; usage 2025 forte à très forte.Aires de repos - Autoroutes : Profil grand, capacité moyenne ≈ 600 personnes. Moyenne pondérée terrain : parc majoritairement petits/moyens sites, grands sites intégrés sans surpondération ; usage 2025 forte à très forte.Parcs de stationnement couverts : Profil petit, capacité moyenne ≈ 50 personnes. Moyenne pondérée terrain : parc majoritairement petits/moyens sites, grands sites intégrés sans surpondération ; usage 2025 forte à très forte.Aéroports / aérogares : Profil très grand, capacité moyenne ≈ 3500 personnes. Moyenne pondérée terrain : parc majoritairement petits/moyens sites, grands sites intégrés sans surpondération ; usage 2025 forte à très forte.Gares ferroviaires et stations : Profil grand, capacité moyenne ≈ 800 personnes. Moyenne pondérée terrain : parc majoritairement petits/moyens sites, grands sites intégrés sans surpondération ; usage 2025 forte à très forte.Terminaux maritimes / fluviaux : Profil très grand, capacité moyenne ≈ 1200 personnes. Moyenne pondérée terrain : parc majoritairement petits/moyens sites, grands sites intégrés sans surpondération ; usage 2025 forte à très forte.</t>
    </r>
  </si>
  <si>
    <r>
      <rPr>
        <b/>
        <sz val="9"/>
        <rFont val="Calibri"/>
      </rPr>
      <t>Aires de service - Autoroutes ; Aires de repos - Autoroutes ; Aéroports / aérogares ; Terminaux maritimes / fluviaux</t>
    </r>
    <r>
      <rPr>
        <sz val="9"/>
        <rFont val="Calibri"/>
      </rPr>
      <t xml:space="preserve"> : Code du travail (sanitaires et vestiaires staff) + programmation ERP/usages d'exploitation ; source de comptage propre à la ligne en col. AP.Parcs de stationnement couverts : ERP/accessibilité sanitaires publics : https://www.legifrance.gouv.fr/loda/article_lc/LEGIARTI000034485966/ ; Code du travail sanitaires salariés : https://www.legifrance.gouv.fr/codes/id/LEGISCTA000018531984 ; INRS : https://www.inrs.fr/publications/juridique/focus-juridiques/focus-sanitaires-toilettes.htmlGares ferroviaires et stations ; Ports de plaisance / capitaineries : ERP/accessibilité : https://www.legifrance.gouv.fr/loda/article_lc/LEGIARTI000034485966/ ; SNCF accessibilité à bord : https://www.sncf-voyageurs.com/fr/voyagez-avec-nous/preparez-votre-voyage/accessibilite/equipements-daccessibilite-a-bord/ ; Navires à passagers : https://www.legifrance.gouv.fr/codes/section_lc/JORFTEXT000000841523/LEGISCTA000027071095/ ; Code du travail : https://www.legifrance.gouv.fr/codes/id/LEGISCTA000018531984</t>
    </r>
  </si>
  <si>
    <r>
      <rPr>
        <b/>
        <sz val="9"/>
        <rFont val="Calibri"/>
      </rPr>
      <t>Aires de service - Autoroutes</t>
    </r>
    <r>
      <rPr>
        <sz val="9"/>
        <rFont val="Calibri"/>
      </rPr>
      <t xml:space="preserve"> : Très forte fréquentation, usage anonyme, nettoyage intensif et vandalisme tangible. Les temporisés mécaniques et chasses directes mécaniques gardent l'avantage réel. L'électronique est limitée surtout par capteurs, piles/secteur et interventions plus lourdes. Les remplacements sont souvent planifiés par campagne de remise à niveau des sanitaires. Commerce / transport / parkings / sanitaires publics très intensifs : Très forte fréquentation, disponibilité immédiate requise, vandalisme et coûts d’exploitation élevés. La temporisation mécanique et la chasse directe sont favorisées.Aires de repos - Autoroutes ; Aéroports / aérogares : Fréquentation élevée et quasi continue, avec exigence de disponibilité permanente. Les durées restent légèrement supérieures aux aires d'autoroute mais inférieures aux bureaux. Le mécanique simple garde un avantage structurel. Les remplacements sont souvent pilotés par zone terminale ou batterie sanitaire. Commerce / transport / parkings / sanitaires publics très intensifs : Très forte fréquentation, disponibilité immédiate requise, vandalisme et coûts d’exploitation élevés. La temporisation mécanique et la chasse directe sont favorisées.Parcs de stationnement couverts : Usage anonyme, faible surveillance, humidité/odeurs et vandalisme; maintenance souvent sous-traitée. Proche toilettes publiques abritées, inférieur aux gares surveillées. Repères durées: lavabos 10/11/8 ans (mit./méca/élec.), douches 8/8/7, urinoirs 8/10/7/9, WC 10/11/8.Gares ferroviaires et stations : Flux très élevé, pics pendulaires et usage anonyme; maintenance présente mais vandalisme et nettoyage intensif. Proche aéroports, souvent plus bas par environnement ouvert. Fréquentation élevée et quasi continue, avec exigence de disponibilité permanente. Les durées restent légèrement supérieures aux aires d'autoroute mais inférieures aux bureaux. Le mécanique simple garde un avantage structurel. Très forte fréquentation, disponibilité immédiate requise, vandalisme et coûts d’exploitation élevés. La temporisation mécanique et la chasse directe sont favorisées.Ports de plaisance / capitaineries : Saisonnalité, humidité saline, douches plaisanciers et remises en service; maintenance capitainerie. Proche bases nautiques, corrosion forte mais public plus soigneux. Repères durées: lavabos 10/11/8 ans (mit./méca/élec.), douches 8/8/7, urinoirs 8/10/7/9, WC 10/11/8.Terminaux maritimes / fluviaux : Usage diffus, entretien régulier et qualité de finition plus élevée que dans les ERP de transit. Les durées de vie sont donc au-dessus de la moyenne. L'électronique reste plus courte si elle existe, surtout hors contrats de maintenance dédiés. Le remplacement se fait souvent par chambre ou par lot lors des rénovations d'étage. Moins de cycles annuels mais conditions climatiques/corrosives, hivernage et remises en service. maintenance concentrée et hétérogène.</t>
    </r>
  </si>
  <si>
    <r>
      <rPr>
        <b/>
        <sz val="9"/>
        <rFont val="Calibri"/>
      </rPr>
      <t>Aires de service - Autoroutes</t>
    </r>
    <r>
      <rPr>
        <sz val="9"/>
        <rFont val="Calibri"/>
      </rPr>
      <t xml:space="preserve"> : Dans les aires de service, l’électronique est déjà élevée sur les lavabos publics, mais le temporisé mécanique reste très présent dans le stock.Aires de repos - Autoroutes : Les aires de repos ont un parc public déjà assez modernisé, mais encore partagé entre temporisé mécanique, électronique et mitigeurs simples.Parcs de stationnement couverts : Parcs de stationnement couverts (dotés de sanitaires) : parc 2025 domine par tempo mecanique (76%), avec mitigeur manuel en appoint. Le choix reflete flux voyageurs eleves, pics de transit et maintenance sous contrainte d ouverture ; debit, anti-vandalisme, hygiene percue et disponibilite continue.Aéroports / aérogares : Les aéroports sont l’un des segments les plus avancés en électronique sur le parc existant, sans faire totalement disparaître le temporisé mécanique sur les zones secondaires.Gares ferroviaires et stations : Gares ferroviaires et stations (dotés de sanitaires) : parc 2025 domine par tempo mecanique (76%), avec mitigeur manuel en appoint. Le choix reflete flux voyageurs eleves, pics de transit et maintenance sous contrainte d ouverture ; debit, anti-vandalisme, hygiene percue et disponibilite continue.Ports de plaisance / capitaineries : Ports de plaisance / capitaineries : parc 2025 domine par tempo mecanique (76%), avec mitigeur manuel en appoint. Le choix reflete flux voyageurs eleves, pics de transit et maintenance sous contrainte d ouverture ; debit, anti-vandalisme, hygiene percue et disponibilite continue.Terminaux maritimes / fluviaux : Les terminaux maritimes/fluviaux ont un parc un peu moins standardisé que les aéroports/gares, avec une part plus forte d’équipements spécifiques ou anciens.</t>
    </r>
  </si>
  <si>
    <r>
      <rPr>
        <b/>
        <sz val="9"/>
        <rFont val="Calibri"/>
      </rPr>
      <t>Aires de service - Autoroutes ; Aires de repos - Autoroutes ; Aéroports / aérogares ; Terminaux maritimes / fluviaux</t>
    </r>
    <r>
      <rPr>
        <sz val="9"/>
        <rFont val="Calibri"/>
      </rPr>
      <t xml:space="preserve"> : Transport et stationnement voient une montée plus rapide de l’électronique 2025-2030 pour l’hygiène, l’image et l’exploitation ; le temporisé reste présent mais recule un peu dans les sites modernisés.Parcs de stationnement couverts ; Gares ferroviaires et stations ; Ports de plaisance / capitaineries : 2025-2030 : progression de tempo electronique (+2,0%), surtout lors des renov. lourdes/neuf ; recul de mitigeur manuel (-2,0%) mais maintien d un socle robuste pour les remplacements partiels.</t>
    </r>
  </si>
  <si>
    <r>
      <rPr>
        <b/>
        <sz val="9"/>
        <rFont val="Calibri"/>
      </rPr>
      <t>Aires de service - Autoroutes</t>
    </r>
    <r>
      <rPr>
        <sz val="9"/>
        <rFont val="Calibri"/>
      </rPr>
      <t xml:space="preserve"> : Les rares douches du parc existant restent majoritairement à mitigeur/thermostatique, la temporisation venant ensuite.Aires de repos - Autoroutes ; Parcs de stationnement couverts : Sans objet.Aéroports / aérogares : Les douches éventuelles restent mixtes entre mitigeur/temporisé et électronique dans les zones premium ou équipages.Gares ferroviaires et stations : Gares ferroviaires et stations (dotés de sanitaires) : parc 2025 domine par tempo mecanique (80%), avec mitigeur en appoint. Le choix reflete flux voyageurs eleves, pics de transit et maintenance sous contrainte d ouverture ; debit, anti-vandalisme, hygiene percue et disponibilite continue.Ports de plaisance / capitaineries : Ports de plaisance / capitaineries : parc 2025 domine par tempo mecanique (80%), avec mitigeur en appoint. Le choix reflete flux voyageurs eleves, pics de transit et maintenance sous contrainte d ouverture ; debit, anti-vandalisme, hygiene percue et disponibilite continue.Terminaux maritimes / fluviaux : Les rares douches restent mixtes entre mitigeur, temporisé et électronique.</t>
    </r>
  </si>
  <si>
    <r>
      <rPr>
        <b/>
        <sz val="9"/>
        <rFont val="Calibri"/>
      </rPr>
      <t>Aires de service - Autoroutes ; Aéroports / aérogares ; Terminaux maritimes / fluviaux</t>
    </r>
    <r>
      <rPr>
        <sz val="9"/>
        <rFont val="Calibri"/>
      </rPr>
      <t xml:space="preserve"> : Quand des douches existent, elles suivent une trajectoire de rénovation lente ; le mix reste surtout mécanique.Aires de repos - Autoroutes ; Parcs de stationnement couverts : Sans objet.Gares ferroviaires et stations ; Ports de plaisance / capitaineries : 2025-2030 : progression de tempo mecanique (+2,0%), surtout lors des renov. lourdes/neuf ; recul de mitigeur (-3,0%) mais maintien d un socle robuste pour les remplacements partiels.</t>
    </r>
  </si>
  <si>
    <r>
      <rPr>
        <b/>
        <sz val="9"/>
        <rFont val="Calibri"/>
      </rPr>
      <t>Aires de service - Autoroutes</t>
    </r>
    <r>
      <rPr>
        <sz val="9"/>
        <rFont val="Calibri"/>
      </rPr>
      <t xml:space="preserve"> : Les urinoirs automatiques sont très présents sur ce segment, sans avoir totalement remplacé le parc mécanique/direct.Aires de repos - Autoroutes : L’automatique est fréquent, mais le parc existant conserve encore beaucoup de chasses directes et quelques collectifs.Parcs de stationnement couverts : Parcs de stationnement couverts (dotés de sanitaires) : parc 2025 domine par directe mecanique (55%), avec directe electronique collective en appoint. Le choix reflete flux voyageurs eleves, pics de transit et maintenance sous contrainte d ouverture ; debit, anti-vandalisme, hygiene percue et disponibilite continue.Aéroports / aérogares : L’automatique domine très nettement le parc d’urinoirs d’aéroport.Gares ferroviaires et stations : Gares ferroviaires et stations (dotés de sanitaires) : parc 2025 domine par directe mecanique (55%), avec directe electronique collective en appoint. Le choix reflete flux voyageurs eleves, pics de transit et maintenance sous contrainte d ouverture ; debit, anti-vandalisme, hygiene percue et disponibilite continue.Ports de plaisance / capitaineries : Ports de plaisance / capitaineries : parc 2025 domine par directe mecanique (55%), avec directe electronique collective en appoint. Le choix reflete flux voyageurs eleves, pics de transit et maintenance sous contrainte d ouverture ; debit, anti-vandalisme, hygiene percue et disponibilite continue.Terminaux maritimes / fluviaux : Le parc d’urinoirs est partagé entre automatique et direct mécanique.</t>
    </r>
  </si>
  <si>
    <r>
      <rPr>
        <b/>
        <sz val="9"/>
        <rFont val="Calibri"/>
      </rPr>
      <t>Aires de service - Autoroutes ; Aires de repos - Autoroutes ; Aéroports / aérogares ; Terminaux maritimes / fluviaux</t>
    </r>
    <r>
      <rPr>
        <sz val="9"/>
        <rFont val="Calibri"/>
      </rPr>
      <t xml:space="preserve"> : Dans transport/stationnement, l’automatique progresse rapidement sur les sites rénovés ou premium, avec recul net des réservoirs.Parcs de stationnement couverts ; Gares ferroviaires et stations ; Ports de plaisance / capitaineries : 2025-2030 : progression de directe electronique indiv. (+2,0%), surtout lors des renov. lourdes/neuf ; recul de directe electronique collective (-1,0%) mais maintien d un socle robuste pour les remplacements partiels.</t>
    </r>
  </si>
  <si>
    <r>
      <rPr>
        <b/>
        <sz val="9"/>
        <rFont val="Calibri"/>
      </rPr>
      <t>Aires de service - Autoroutes</t>
    </r>
    <r>
      <rPr>
        <sz val="9"/>
        <rFont val="Calibri"/>
      </rPr>
      <t xml:space="preserve"> : La chasse directe domine les sanitaires publics d’aires de service, avec une part d’électronique déjà notable.Aires de repos - Autoroutes : La chasse directe domine légèrement, avec une part d’électronique plus élevée que dans la moyenne des ERP.Parcs de stationnement couverts : Parcs de stationnement couverts (dotés de sanitaires) : parc 2025 domine par chasse directe mecanique (55%), avec reservoir en appoint. Le choix reflete flux voyageurs eleves, pics de transit et maintenance sous contrainte d ouverture ; debit, anti-vandalisme, hygiene percue et disponibilite continue.Aéroports / aérogares : La chasse directe domine, avec une part d’électronique élevée sur les sanitaires publics récents.Gares ferroviaires et stations : Gares ferroviaires et stations (dotés de sanitaires) : parc 2025 domine par chasse directe mecanique (55%), avec reservoir en appoint. Le choix reflete flux voyageurs eleves, pics de transit et maintenance sous contrainte d ouverture ; debit, anti-vandalisme, hygiene percue et disponibilite continue.Ports de plaisance / capitaineries : Ports de plaisance / capitaineries : parc 2025 domine par chasse directe mecanique (55%), avec reservoir en appoint. Le choix reflete flux voyageurs eleves, pics de transit et maintenance sous contrainte d ouverture ; debit, anti-vandalisme, hygiene percue et disponibilite continue.Terminaux maritimes / fluviaux : La chasse directe domine, mais le réservoir reste plus présent que dans l’aérien.</t>
    </r>
  </si>
  <si>
    <r>
      <rPr>
        <b/>
        <sz val="9"/>
        <rFont val="Calibri"/>
      </rPr>
      <t>Aires de service - Autoroutes ; Aires de repos - Autoroutes ; Aéroports / aérogares ; Terminaux maritimes / fluviaux</t>
    </r>
    <r>
      <rPr>
        <sz val="9"/>
        <rFont val="Calibri"/>
      </rPr>
      <t xml:space="preserve"> : Transport et stationnement accélèrent la montée du direct puis de l’électronique sur les sites modernisés ; le réservoir recule franchement.Parcs de stationnement couverts ; Gares ferroviaires et stations ; Ports de plaisance / capitaineries : 2025-2030 : progression de chasse directe electronique (+7,0%), surtout lors des renov. lourdes/neuf ; recul de reservoir (-10,0%) mais maintien d un socle robuste pour les remplacements partiels.</t>
    </r>
  </si>
  <si>
    <r>
      <rPr>
        <b/>
        <sz val="9"/>
        <rFont val="Calibri"/>
      </rPr>
      <t>Aires de service - Autoroutes ; Aires de repos - Autoroutes</t>
    </r>
    <r>
      <rPr>
        <sz val="9"/>
        <rFont val="Calibri"/>
      </rPr>
      <t xml:space="preserve"> : 89,5% retenu : intensité d’usage et vétusté soutiennent la réno, mais les budgets locaux et la saisonnalité retardent une partie des programmes.Parcs de stationnement couverts ; Gares ferroviaires et stations ; Ports de plaisance / capitaineries : 82,4% retenu : besoins transformes en travaux selon flux voyageurs eleves, pics de transit et maintenance sous contrainte d ouverture. Le phasage budgetaire, les fermetures partielles et la maintenance courante limitent la conversion totale.Aéroports / aérogares : 88,4% retenu : intensité d’usage et vétusté soutiennent la réno, mais les budgets locaux et la saisonnalité retardent une partie des programmes.Terminaux maritimes / fluviaux : 84,0% retenu : intensité d’usage et vétusté soutiennent la réno, mais les budgets locaux et la saisonnalité retardent une partie des programmes.</t>
    </r>
  </si>
  <si>
    <r>
      <rPr>
        <b/>
        <sz val="9"/>
        <rFont val="Calibri"/>
      </rPr>
      <t>Aires de service - Autoroutes ; Aires de repos - Autoroutes</t>
    </r>
    <r>
      <rPr>
        <sz val="9"/>
        <rFont val="Calibri"/>
      </rPr>
      <t xml:space="preserve"> : Potentiel rénovation élevé : sanitaires très intensifs, disponibilité impérative et requalification commerciale/exploitation soutiennent le remplacement. Les volumes restent d’abord tirés par les WC et les lavabos, plus que par les postes spécialisés. En rénovation, l’achat reste orienté vers des produits robustes, anti-vandalisme et simples à maintenir en site occupé.Parcs de stationnement couverts ; Gares ferroviaires et stations ; Ports de plaisance / capitaineries : Potentiel renovation : tire par debit, anti-vandalisme, hygiene percue et disponibilite continue. Les remplacements sont plutot par lots, avec arbitrage entre urgence sanitaire, budget et capacite a intervenir en site occupe.Aéroports / aérogares : Potentiel rénovation élevé : flux voyageurs, exigence de qualité d’accueil et travaux de modernisation soutiennent un flux régulier. Les lavabos et les WC portent l’essentiel des volumes, avec un poids secondaire des équipements spécialisés. En rénovation, le marché reste favorable aux gammes robustes et simples d’entretien, compatibles avec des chantiers par tranches et des budgets contraints.Terminaux maritimes / fluviaux : Potentiel rénovation élevé : flux voyageurs, exigence de qualité d’accueil et travaux de modernisation soutiennent un flux régulier. Les volumes restent d’abord tirés par les WC et les lavabos, plus que par les postes spécialisés. En rénovation, le marché reste favorable aux gammes robustes et simples d’entretien, compatibles avec des chantiers par tranches et des budgets contraints.</t>
    </r>
  </si>
  <si>
    <r>
      <rPr>
        <b/>
        <sz val="9"/>
        <rFont val="Calibri"/>
      </rPr>
      <t>Aires de service - Autoroutes ; Aires de repos - Autoroutes</t>
    </r>
    <r>
      <rPr>
        <sz val="9"/>
        <rFont val="Calibri"/>
      </rPr>
      <t xml:space="preserve"> : Potentiel neuf faible à moyen : davantage lié à des reconfigurations ou extensions d’aires qu’à une vraie croissance de sites. Le neuf est très minoritaire et opportuniste.Parcs de stationnement couverts : Potentiel neuf : plus visible pour parcs de stationnement couverts (dotés de sanitaires), surtout via extensions, reconstructions ou projets locaux. Le neuf reste contraint par foncier, budgets et delais de mise en service.Aéroports / aérogares : Potentiel neuf faible : lumpy et concentré sur quelques grands nœuds, extensions et reconfigurations. Le neuf est quasi nul dans le modèle et renvoie surtout à des reconstructions ou remplacements de sites.Gares ferroviaires et stations : Potentiel neuf : plus visible pour gares ferroviaires et stations (dotés de sanitaires), surtout via extensions, reconstructions ou projets locaux. Le neuf reste contraint par foncier, budgets et delais de mise en service.Ports de plaisance / capitaineries : Potentiel neuf : plus visible pour ports de plaisance / capitaineries, surtout via extensions, reconstructions ou projets locaux. Le neuf reste contraint par foncier, budgets et delais de mise en service.Terminaux maritimes / fluviaux : Potentiel neuf moyen : lumpy et concentré sur quelques grands nœuds, extensions et reconfigurations. Le neuf est significatif mais encore nettement inférieur à la rénovation.</t>
    </r>
  </si>
  <si>
    <r>
      <rPr>
        <b/>
        <sz val="9"/>
        <rFont val="Calibri"/>
      </rPr>
      <t>Aires de service - Autoroutes ; Aires de repos - Autoroutes</t>
    </r>
    <r>
      <rPr>
        <sz val="9"/>
        <rFont val="Calibri"/>
      </rPr>
      <t xml:space="preserve"> : Projets phares réno : blocs sanitaires voyageurs, PMR, modernisation d’image et optimisation d’exploitation.Parcs de stationnement couverts ; Gares ferroviaires et stations ; Ports de plaisance / capitaineries : Projets phares renovation : reprise de blocs sanitaires, accessibilite, ventilation, economie d eau, remplacement des pieces usees et adaptation aux pics de frequentation propres au sous-segment.Aéroports / aérogares ; Terminaux maritimes / fluviaux : Projets phares réno : sanitaires voyageurs, blocs PMR, halls, zones d’attente, espaces public/personnel.</t>
    </r>
  </si>
  <si>
    <r>
      <rPr>
        <b/>
        <sz val="9"/>
        <rFont val="Calibri"/>
      </rPr>
      <t>Aires de service - Autoroutes ; Aires de repos - Autoroutes</t>
    </r>
    <r>
      <rPr>
        <sz val="9"/>
        <rFont val="Calibri"/>
      </rPr>
      <t xml:space="preserve"> : Projets phares neuf : nouvelles aires ou extensions, reconstruction de bâtiments services, ajouts de blocs sur sites reconfigurés.Parcs de stationnement couverts ; Gares ferroviaires et stations ; Ports de plaisance / capitaineries : Projets phares neuf : creations ou reconstructions selectives, integration de sanitaires plus sobres, robustes et faciles a maintenir des la conception.Aéroports / aérogares ; Terminaux maritimes / fluviaux : Projets phares neuf : extensions d’aérogares, gares restructurées, terminaux neufs ou réaménagés avec nouvelles surfaces.</t>
    </r>
  </si>
  <si>
    <r>
      <rPr>
        <b/>
        <sz val="9"/>
        <rFont val="Calibri"/>
      </rPr>
      <t>Aires de service - Autoroutes ; Aires de repos - Autoroutes</t>
    </r>
    <r>
      <rPr>
        <sz val="9"/>
        <rFont val="Calibri"/>
      </rPr>
      <t xml:space="preserve"> : Dynamique réno 2026-2030 : élevée et défensive, car la fréquentation rend le remplacement difficilement reportable. Les concessionnaires privilégient en général des solutions robustes, standardisées et faciles à maintenir.Parcs de stationnement couverts ; Gares ferroviaires et stations ; Ports de plaisance / capitaineries : Dynamique renovation 2026-2030 : forte, car l usure et l hygiene rendent les interventions recurrentes. Menaces : arbitrages d investissement, travaux en exploitation et cout de maintenance.Aéroports / aérogares ; Terminaux maritimes / fluviaux : Dynamique réno 2026-2030 : soutenue, car la qualité perçue des sanitaires est directement visible dans l’expérience passager.</t>
    </r>
  </si>
  <si>
    <r>
      <rPr>
        <b/>
        <sz val="9"/>
        <rFont val="Calibri"/>
      </rPr>
      <t>Aires de service - Autoroutes ; Aires de repos - Autoroutes</t>
    </r>
    <r>
      <rPr>
        <sz val="9"/>
        <rFont val="Calibri"/>
      </rPr>
      <t xml:space="preserve"> : Dynamique neuf 2026-2030 : modérée et concentrée sur les programmes concessionnaires les plus structurants.Parcs de stationnement couverts ; Gares ferroviaires et stations ; Ports de plaisance / capitaineries : Dynamique neuf 2026-2030 : faible a moderee, dependante des projets immobiliers, de la demographie locale et des budgets de maitrise d ouvrage.Aéroports / aérogares : Dynamique neuf 2026-2030 : modérée ; quelques grands projets font le marché, mais le flux reste irrégulier. Les opérations sont concentrées sur peu d’actifs mais peuvent générer de gros volumes à l’unité.Terminaux maritimes / fluviaux : Dynamique neuf 2026-2030 : modérée ; quelques grands projets font le marché, mais le flux reste irrégulier.</t>
    </r>
  </si>
  <si>
    <r>
      <rPr>
        <b/>
        <sz val="9"/>
        <rFont val="Calibri"/>
      </rPr>
      <t>Aires de service - Autoroutes ; Aires de repos - Autoroutes ; Parcs de stationnement couverts ; Gares ferroviaires et stations ; Ports de plaisance / capitaineries ; Terminaux maritimes / fluviaux</t>
    </r>
    <r>
      <rPr>
        <sz val="9"/>
        <rFont val="Calibri"/>
      </rPr>
      <t xml:space="preserve"> : BonneAéroports / aérogares : Élevée</t>
    </r>
  </si>
  <si>
    <r>
      <rPr>
        <b/>
        <sz val="9"/>
        <rFont val="Calibri"/>
      </rPr>
      <t>Aires de service - Autoroutes ; Aires de repos - Autoroutes</t>
    </r>
    <r>
      <rPr>
        <sz val="9"/>
        <rFont val="Calibri"/>
      </rPr>
      <t xml:space="preserve"> : Parc existant surtout standard. Les ventes se décalent légèrement vers intermédiaire, tiré par l’image de marque et l’expérience usager. La rénovation restant majoritaire, le mix de ventes reste proche du parc et monte surtout d’un cran sur les opérations lourdes. Aires d’autoroute : forte intensité, exploitation industrialisée et enjeux d’image des opérateurs ; standard renforcé, peu de luxe.Parcs de stationnement couverts : Parc existant centre sur le niveau transport, avec ventes 2026-2030 legerement plus qualitatives. Parcs de stationnement couverts (dotés de sanitaires) : flux voyageurs eleves, pics de transit et maintenance sous contrainte d ouverture; le mix reste guide par debit, anti-vandalisme, hygiene percue et disponibilite continue.Aéroports / aérogares : Parc existant surtout intermédiaire. Les ventes se décalent légèrement vers premium, sous l’effet combiné de l’hygiène, de l’image et des rénovations lourdes. La rénovation restant majoritaire, le mix de ventes reste proche du parc et monte surtout d’un cran sur les opérations lourdes. Aéroports et grands terminaux : expérience passager, image, hygiène et investissements ciblés poussent plus franchement vers l’intermédiaire/premium.Gares ferroviaires et stations : Parc existant centre sur le niveau transport, avec ventes 2026-2030 legerement plus qualitatives. Gares ferroviaires et stations (dotés de sanitaires) : flux voyageurs eleves, pics de transit et maintenance sous contrainte d ouverture; le mix reste guide par debit, anti-vandalisme, hygiene percue et disponibilite continue.Ports de plaisance / capitaineries : Parc existant centre sur le niveau transport, avec ventes 2026-2030 legerement plus qualitatives. Ports de plaisance / capitaineries : flux voyageurs eleves, pics de transit et maintenance sous contrainte d ouverture; le mix reste guide par debit, anti-vandalisme, hygiene percue et disponibilite continue.Terminaux maritimes / fluviaux : Parc existant surtout intermédiaire. Les ventes se décalent légèrement vers intermédiaire / premium, sous l’effet combiné de l’hygiène, de l’image et des rénovations lourdes. La rénovation restant majoritaire, le mix de ventes reste proche du parc et monte surtout d’un cran sur les opérations lourdes. Aéroports et grands terminaux : expérience passager, image, hygiène et investissements ciblés poussent plus franchement vers l’intermédiaire/premium.</t>
    </r>
  </si>
  <si>
    <r>
      <rPr>
        <b/>
        <sz val="9"/>
        <rFont val="Calibri"/>
      </rPr>
      <t>Aires de service - Autoroutes ; Aires de repos - Autoroutes</t>
    </r>
    <r>
      <rPr>
        <sz val="9"/>
        <rFont val="Calibri"/>
      </rPr>
      <t xml:space="preserve"> : Aires d’autoroute : forte intensité, exploitation industrialisée et enjeux d’image des opérateurs ; standard renforcé, peu de luxe.Parcs de stationnement couverts ; Gares ferroviaires et stations ; Ports de plaisance / capitaineries : Parc existant : debit, anti-vandalisme, hygiene percue et disponibilite continue; flux voyageurs eleves, pics de transit et maintenance sous contrainte d ouverture. La montee en confort reste proportionnee au budget et au rythme de renovation.Aéroports / aérogares ; Terminaux maritimes / fluviaux : Aéroports et grands terminaux : expérience passager, image, hygiène et investissements ciblés poussent plus franchement vers l’intermédiaire/premium.</t>
    </r>
  </si>
  <si>
    <r>
      <rPr>
        <b/>
        <sz val="9"/>
        <rFont val="Calibri"/>
      </rPr>
      <t>Aires de service - Autoroutes ; Aires de repos - Autoroutes</t>
    </r>
    <r>
      <rPr>
        <sz val="9"/>
        <rFont val="Calibri"/>
      </rPr>
      <t xml:space="preserve"> : forte fréquentation ⇒ standard ↑, premium/luxe ↓ ; image + privé ⇒ premium/luxe ↑ ; rénovation dominante ⇒ progression graduelleParcs de stationnement couverts ; Gares ferroviaires et stations ; Ports de plaisance / capitaineries : forte frequentation =&gt; standard robuste ; vandalisme =&gt; anti-vandalismeAéroports / aérogares : forte fréquentation ⇒ standard ↑, premium/luxe ↓ ; image + privé ⇒ premium/luxe ↑ ; contrainte sanitaire ⇒ standard/intermédiaire technique ↑ ; rénovation dominante ⇒ progression graduelleTerminaux maritimes / fluviaux : forte fréquentation ⇒ standard ↑, premium/luxe ↓ ; image + privé ⇒ premium/luxe ↑ ; contrainte sanitaire ⇒ standard/intermédiaire technique ↑ ; poids du neuf significatif ⇒ premiumisation des ventes &gt; parc</t>
    </r>
  </si>
  <si>
    <r>
      <rPr>
        <b/>
        <sz val="9"/>
        <rFont val="Calibri"/>
      </rPr>
      <t>Aires de service - Autoroutes</t>
    </r>
    <r>
      <rPr>
        <sz val="9"/>
        <rFont val="Calibri"/>
      </rPr>
      <t xml:space="preserve"> : Ventes 2026-2030 : glissement vers davantage de moyen / premium, surtout sur lavabo (+5,8 pts sur premium+luxe), douche (+3,9 pts sur premium+luxe). La rénovation reste très majoritaire (86% des ventes, contre 14% en neuf) ; le neuf est plus qualitatif mais ne suffit pas à transformer fortement le mix. L’écart de niveau de confort entre neuf et rénovation reste perceptible.Aires de repos - Autoroutes : Ventes 2026-2030 : glissement vers davantage de moyen / premium, surtout sur lavabo (+4,4 pts sur premium+luxe). La rénovation reste très majoritaire (87% des ventes, contre 13% en neuf) ; le neuf est plus qualitatif mais ne suffit pas à transformer fortement le mix. L’écart de niveau de confort entre neuf et rénovation reste perceptible.Parcs de stationnement couverts : Parcs de stationnement couverts (dotés de sanitaires) : ventes 2026-2030 en leger glissement vers moyen/premium lorsque le neuf ou les renov. lourdes interviennent. Le centre de gravite reste toutefois module par debit, anti-vandalisme, hygiene percue et disponibilite continue et par la part dominante de travaux sur parc existant.Aéroports / aérogares : Ventes 2026-2030 : glissement vers davantage de moyen / premium, surtout sur urinoir (+19,0 pts sur premium+luxe), WC (+18,9 pts sur premium+luxe), douche (+18,5 pts sur premium+luxe). La rénovation reste majoritaire (81% des ventes, contre 19% en neuf) ; le neuf tire le mix vers le haut sans renverser le centre de gravité. L’écart de niveau de confort entre neuf et rénovation est net.Gares ferroviaires et stations : Gares ferroviaires et stations (dotés de sanitaires) : ventes 2026-2030 en leger glissement vers moyen/premium lorsque le neuf ou les renov. lourdes interviennent. Le centre de gravite reste toutefois module par debit, anti-vandalisme, hygiene percue et disponibilite continue et par la part dominante de travaux sur parc existant.Ports de plaisance / capitaineries : Ports de plaisance / capitaineries : ventes 2026-2030 en leger glissement vers moyen/premium lorsque le neuf ou les renov. lourdes interviennent. Le centre de gravite reste toutefois module par debit, anti-vandalisme, hygiene percue et disponibilite continue et par la part dominante de travaux sur parc existant.Terminaux maritimes / fluviaux : Terminaux maritimes / fluviaux : terminaux maritimes/fluviaux davantage différenciés selon tourisme et croisière. Ventes 2026-2030 : glissement vers davantage de moyen / premium, surtout sur WC (+21,5 pts sur premium+luxe), urinoir (+21,5 pts sur premium+luxe), douche (+21,4 pts sur premium+luxe). La rénovation reste majoritaire (75% des ventes, contre 25% en neuf) ; le neuf tire le mix vers le haut sans renverser le centre de gravité. L’écart de niveau de confort entre neuf et rénovation est net.</t>
    </r>
  </si>
  <si>
    <t>1 - Aéronefs commerciaux
2 - Rames ferroviaires voyageurs
3 - Ferries et navires à passagers
4 - Autocars</t>
  </si>
  <si>
    <r>
      <rPr>
        <b/>
        <sz val="9"/>
        <rFont val="Calibri"/>
      </rPr>
      <t>Aéronefs commerciaux</t>
    </r>
    <r>
      <rPr>
        <sz val="9"/>
        <rFont val="Calibri"/>
      </rPr>
      <t xml:space="preserve"> : Minimum documenté à partir des flottes explicitement quantifiées dans les sources consultées (Air France 50 A220 + 40 A350, Transavia France 90, French bee 6). Le total réel France est supérieur. Non comparable à un décompte de sites.Rames ferroviaires voyageurs : Quantification minimale documentée à partir des programmes SNCF cités (environ 1 000 rames TER modernisées + 104 rames TGV O2D). Le parc réel France est supérieur. Non comparable à un décompte de sites.Ferries et navires à passagers : Périmètre partiel documenté : navires à passagers de plus de 100 UMS sous pavillon français ; les unités côtières plus petites peuvent s'y ajouter. Non comparable à un décompte de sites.Autocars : Quantification de la flotte France d'autocars en circulation. Tous ne sont pas nécessairement équipés de WC ; à suivre séparément si tu veux ensuite restreindre au sous-ensemble longue distance/tourisme.</t>
    </r>
  </si>
  <si>
    <r>
      <rPr>
        <b/>
        <sz val="9"/>
        <rFont val="Calibri"/>
      </rPr>
      <t>Aéronefs commerciaux</t>
    </r>
    <r>
      <rPr>
        <sz val="9"/>
        <rFont val="Calibri"/>
      </rPr>
      <t xml:space="preserve"> : Avion de ligne, avion charter passagers. (Aéronef commercial passagers exploité par transporteurs français ou basés France, avec sanitaires à bord).Rames ferroviaires voyageurs : TGV, Intercités, train de nuit, rame TER équipéeFerries et navires à passagers : Ferry, navire à passagers, bateau d’excursionAutocars : Autocar de tourisme longue distance</t>
    </r>
  </si>
  <si>
    <r>
      <rPr>
        <b/>
        <sz val="9"/>
        <rFont val="Calibri"/>
      </rPr>
      <t>Aéronefs commerciaux ; Rames ferroviaires voyageurs ; Autocars</t>
    </r>
    <r>
      <rPr>
        <sz val="9"/>
        <rFont val="Calibri"/>
      </rPr>
      <t xml:space="preserve"> : nonFerries et navires à passagers : variable</t>
    </r>
  </si>
  <si>
    <r>
      <rPr>
        <b/>
        <sz val="9"/>
        <rFont val="Calibri"/>
      </rPr>
      <t>Aéronefs commerciaux ; Rames ferroviaires voyageurs ; Ferries et navires à passagers</t>
    </r>
    <r>
      <rPr>
        <sz val="9"/>
        <rFont val="Calibri"/>
      </rPr>
      <t xml:space="preserve"> : ouiAutocars : variable</t>
    </r>
  </si>
  <si>
    <r>
      <rPr>
        <b/>
        <sz val="9"/>
        <rFont val="Calibri"/>
      </rPr>
      <t>Aéronefs commerciaux</t>
    </r>
    <r>
      <rPr>
        <sz val="9"/>
        <rFont val="Calibri"/>
      </rPr>
      <t xml:space="preserve"> : AéronefRames ferroviaires voyageurs : Rame / voitureFerries et navires à passagers : NavireAutocars : Véhicule</t>
    </r>
  </si>
  <si>
    <r>
      <rPr>
        <b/>
        <sz val="9"/>
        <rFont val="Calibri"/>
      </rPr>
      <t>Aéronefs commerciaux ; Rames ferroviaires voyageurs</t>
    </r>
    <r>
      <rPr>
        <sz val="9"/>
        <rFont val="Calibri"/>
      </rPr>
      <t xml:space="preserve"> : minimum documenté / non additifFerries et navires à passagers : série publique partielle / non additifAutocars : série publique directe / non additif</t>
    </r>
  </si>
  <si>
    <r>
      <rPr>
        <b/>
        <sz val="9"/>
        <rFont val="Calibri"/>
      </rPr>
      <t>Aéronefs commerciaux</t>
    </r>
    <r>
      <rPr>
        <sz val="9"/>
        <rFont val="Calibri"/>
      </rPr>
      <t xml:space="preserve"> : Rebond post-Covid puis croissance prudente portée par renouvellement de flotte et trafic, mais limitée par coûts, sobriété carbone et disponibilités constructeurs.Rames ferroviaires voyageurs : Unité = rame voyageurs nationale/régionale longue ou moyenne distance, avec sanitaires à bord selon matériel : mélange TGV, Intercités, TER et matériels franciliens équipés.Ferries et navires à passagers : Unité = navire à passagers/ferry sous pavillon français &gt;100 UMS (navires côtiers très petits exclus. Surface = espaces intérieurs voyageurs/services/sanitaires d'un mix ferries et navires passagers, très variable.Autocars : Les toilettes sont concentrées sur les autocars tourisme / grand tourisme / premium (standard, scolaires et une large part de l'interurbain n'en ont pas).</t>
    </r>
  </si>
  <si>
    <r>
      <rPr>
        <b/>
        <sz val="9"/>
        <rFont val="Calibri"/>
      </rPr>
      <t>Aéronefs commerciaux</t>
    </r>
    <r>
      <rPr>
        <sz val="9"/>
        <rFont val="Calibri"/>
      </rPr>
      <t xml:space="preserve"> : Projection 2026-2030 prudente : +1,7 à +1,9 %/an, davantage par renouvellement/capacité que par forte hausse du nombre d'appareils.Rames ferroviaires voyageurs : Hausse lente, liée aux commandes de matériels neufs et au développement de l'offre ferroviaire, mais freinée par durée de vie élevée des rames et contraintes industrielles.Ferries et navires à passagers : Quasi-stabilité à légère hausse, avec renouvellement et quelques entrées, mais pas d'expansion massive du parc.Autocars : Progression lente du sous-parc équipé, portée par la montée en gamme, le tourisme et le renouvellement, sans changement d'échelle car le parc total d'autocars reste quasi stable.</t>
    </r>
  </si>
  <si>
    <r>
      <rPr>
        <b/>
        <sz val="9"/>
        <rFont val="Calibri"/>
      </rPr>
      <t>Aéronefs commerciaux</t>
    </r>
    <r>
      <rPr>
        <sz val="9"/>
        <rFont val="Calibri"/>
      </rPr>
      <t xml:space="preserve"> : Air France flotte 2025 : https://corporate.airfrance.com/a-propos-air-france/chiffres-cles ; flotte Air France 2023 : https://fr.scribd.com/document/859479901/SOCIETE-AIR-FRANCE-Comptes-consolides-2023Rames ferroviaires voyageurs : Commande TGV M SNCF 2026 : https://www.groupe-sncf.com/fr/groupe/portrait-entreprise/groupe-societes/sncf-voyageurs/commande-15-tgv-m-alstom ; transports ferrés voyageurs Insee : https://www.insee.fr/fr/statistiques/2016150Ferries et navires à passagers : SDES chiffres clés transports 2025 : https://www.statistiques.developpement-durable.gouv.fr/edition-numerique/chiffres-cles-transports/fr/34-materiel-de-transport ; flotte française juillet 2025 : https://www.mer.gouv.fr/sites/default/files/2026-01/flotte-de-commerce-juillet-2025.pdfAutocars : https://www.statistiques.developpement-durable.gouv.fr/66-600-autocars-et-28-000-autobus-en-circulation-au-1er-janvier-2025
https://www.flixbus.fr/services/services-a-bord
https://newsroom.blablacar.fr/news/pour-les-10-ans-de-la-liberalisation-du-bus-blablacar-bus-dresse-le-bilan-de-ses-lignes-au-niveau-national ; https://caretbusnews.fr/les-infos/autocar/autocar-expo-2024-blablacar-mise-sur-le-hvo-et-le-b100/ ; https://www.blablacar.fr/bus/routes/paris-2/concarneau-2
https://www.sticentre.fr/notre-parc-de-vehicules
https://viabus.fr/notre-flotte-de-vehicules/
https://busgroupe.fr/flotte/autocars-grand-tourisme/</t>
    </r>
  </si>
  <si>
    <r>
      <rPr>
        <b/>
        <sz val="9"/>
        <rFont val="Calibri"/>
      </rPr>
      <t>Aéronefs commerciaux</t>
    </r>
    <r>
      <rPr>
        <sz val="9"/>
        <rFont val="Calibri"/>
      </rPr>
      <t xml:space="preserve"> : Aéronef commercial : lavatories embarqués passagers + équipage, sans douches.Rames ferroviaires voyageurs : Rame ferroviaire voyageurs : toilettes embarquées, dont équipement accessible selon matériel.Ferries et navires à passagers : Ferry/navire à passagers : WC passagers + douches/lavabos si traversée et cabines non privatives.Autocars : Autocar équipé : WC embarqué unique, usage ponctuel ; pas de douche.</t>
    </r>
  </si>
  <si>
    <r>
      <rPr>
        <b/>
        <sz val="9"/>
        <rFont val="Calibri"/>
      </rPr>
      <t>Aéronefs commerciaux</t>
    </r>
    <r>
      <rPr>
        <sz val="9"/>
        <rFont val="Calibri"/>
      </rPr>
      <t xml:space="preserve"> : Capacité type ≈ 170 usagers principaux + 8 staff + 2 autre public. Capacité moyenne d'un appareil commercial court/moyen courrier avec équipage. Dimensionnement unitaire retenu : ratio d'exploitation de plusieurs lavatories par cabine, dimensionné par places assises et durée de vol. Hypothèse d'usage : capacité simultanée moyenne 2026, répartition par flux réels, arrondie par blocs fonctionnels et exclusion des sanitaires strictement privatifs sauf cas explicitement collectifs.Rames ferroviaires voyageurs : Capacité type ≈ 470 usagers principaux + 25 staff + 5 autre public. Capacité d'une rame voyageurs moyenne, forte rotation et temps de trajet variable. Dimensionnement unitaire retenu : plusieurs WC embarqués répartis par rame/voiture, avec au moins un module accessible sur matériels adaptés. Hypothèse d'usage : capacité simultanée moyenne 2026, répartition par flux réels, arrondie par blocs fonctionnels et exclusion des sanitaires strictement privatifs sauf cas explicitement collectifs.Ferries et navires à passagers : Capacité type ≈ 800 usagers principaux + 80 staff + 20 autre public. Traversées avec passagers, équipage et services hôteliers/garage. Dimensionnement unitaire retenu : WC par tranche de passagers selon durée, lavabos/douches suffisants pour passagers sans sanitaires privatifs. Hypothèse d'usage : capacité simultanée moyenne 2026, répartition par flux réels, arrondie par blocs fonctionnels et exclusion des sanitaires strictement privatifs sauf cas explicitement collectifs.Autocars : Capacité type ≈ 49 usagers principaux + 1 staff + 0 autre public. Autocar longue distance ou tourisme avec une cabine sanitaire et conducteur. Dimensionnement unitaire retenu : 1 WC embarqué pour l'ensemble des passagers, complété par pauses/aires de service. Hypothèse d'usage : capacité simultanée moyenne 2026, répartition par flux réels, arrondie par blocs fonctionnels et exclusion des sanitaires strictement privatifs sauf cas explicitement collectifs.</t>
    </r>
  </si>
  <si>
    <r>
      <rPr>
        <b/>
        <sz val="9"/>
        <rFont val="Calibri"/>
      </rPr>
      <t>Aéronefs commerciaux</t>
    </r>
    <r>
      <rPr>
        <sz val="9"/>
        <rFont val="Calibri"/>
      </rPr>
      <t xml:space="preserve"> : Profil moyen, capacité moyenne ≈ 180 personnes. Moyenne pondérée terrain : parc majoritairement petits/moyens sites, grands sites intégrés sans surpondération ; usage 2025 forte à très forte.Rames ferroviaires voyageurs : Profil grand, capacité moyenne ≈ 500 personnes. Moyenne pondérée terrain : parc majoritairement petits/moyens sites, grands sites intégrés sans surpondération ; usage 2025 forte à très forte.Ferries et navires à passagers : Profil grand, capacité moyenne ≈ 900 personnes. Moyenne pondérée terrain : parc majoritairement petits/moyens sites, grands sites intégrés sans surpondération ; usage 2025 forte à très forte.Autocars : Profil petit, capacité moyenne ≈ 50 personnes. Moyenne pondérée terrain : parc majoritairement petits/moyens sites, grands sites intégrés sans surpondération ; usage 2025 forte à très forte.</t>
    </r>
  </si>
  <si>
    <r>
      <rPr>
        <b/>
        <sz val="9"/>
        <rFont val="Calibri"/>
      </rPr>
      <t>Aéronefs commerciaux</t>
    </r>
    <r>
      <rPr>
        <sz val="9"/>
        <rFont val="Calibri"/>
      </rPr>
      <t xml:space="preserve"> : EASA lavatories : https://www.easa.europa.eu/en/faq/115319 ; DOT accessible lavatories single-aisle aircraft : https://www.transportation.gov/airconsumer/final-rule-accessible-lavatories-single-aisle-aircraft-PDF ; hypothèse d'exploitation selon configurations cabine courantes.Rames ferroviaires voyageurs ; Ferries et navires à passagers ; Autocars : ERP/accessibilité : https://www.legifrance.gouv.fr/loda/article_lc/LEGIARTI000034485966/ ; SNCF accessibilité à bord : https://www.sncf-voyageurs.com/fr/voyagez-avec-nous/preparez-votre-voyage/accessibilite/equipements-daccessibilite-a-bord/ ; Navires à passagers : https://www.legifrance.gouv.fr/codes/section_lc/JORFTEXT000000841523/LEGISCTA000027071095/ ; Code du travail : https://www.legifrance.gouv.fr/codes/id/LEGISCTA000018531984</t>
    </r>
  </si>
  <si>
    <r>
      <rPr>
        <b/>
        <sz val="9"/>
        <rFont val="Calibri"/>
      </rPr>
      <t>Aéronefs commerciaux</t>
    </r>
    <r>
      <rPr>
        <sz val="9"/>
        <rFont val="Calibri"/>
      </rPr>
      <t xml:space="preserve"> : Milieu embarqué, vibrations, contraintes poids/maintenance et cycles courts d'exploitation; sanitaires compacts très sollicités. Prudence, renouvellement lors visites lourdes ou rétrofits. Repères durées: lavabos 10/11/8 ans (mit./méca/élec.), douches 8/8/7, urinoirs 8/10/7/9, WC 10/11/8.Rames ferroviaires voyageurs : Usage mobile, vibrations, vandalisme possible et maintenance en dépôt; eau limitée et cycles de nettoyage rapides. Proche gares, mais contraintes embarquées réduisent électronique/douches. Repères durées: lavabos 10/11/8 ans (mit./méca/élec.), douches 8/8/7, urinoirs 8/10/7/9, WC 10/11/8.Ferries et navires à passagers : Humidité saline, vibrations, pics d'embarquement et maintenance en arrêt technique. Proche ports/plaisance mais usage passagers plus intensif et corrosion supérieure. Repères durées: lavabos 10/11/8 ans (mit./méca/élec.), douches 8/8/7, urinoirs 8/10/7/9, WC 10/11/8.Autocars : Sanitaire embarqué compact, vibrations, nettoyage limité et usage ponctuel mais agressif; accès maintenance restreint. Prudence, surtout électronique et réservoirs. Repères durées: lavabos 10/11/8 ans (mit./méca/élec.), douches 8/8/7, urinoirs 8/10/7/9, WC 10/11/8.</t>
    </r>
  </si>
  <si>
    <r>
      <rPr>
        <b/>
        <sz val="9"/>
        <rFont val="Calibri"/>
      </rPr>
      <t>Aéronefs commerciaux</t>
    </r>
    <r>
      <rPr>
        <sz val="9"/>
        <rFont val="Calibri"/>
      </rPr>
      <t xml:space="preserve"> : Aéronefs commerciaux : parc 2025 domine par tempo mecanique (76%), avec mitigeur manuel en appoint. Le choix reflete espace embarque contraint, cycles de flotte et maintenance immobilisante ; compacite, fiabilite embarquee et cout d immobilisation.Rames ferroviaires voyageurs : Rames ferroviaires voyageurs : parc 2025 domine par tempo mecanique (76%), avec mitigeur manuel en appoint. Le choix reflete espace embarque contraint, cycles de flotte et maintenance immobilisante ; compacite, fiabilite embarquee et cout d immobilisation.Ferries et navires à passagers : Ferries et navires à passagers : parc 2025 domine par tempo mecanique (76%), avec mitigeur manuel en appoint. Le choix reflete espace embarque contraint, cycles de flotte et maintenance immobilisante ; compacite, fiabilite embarquee et cout d immobilisation.Autocars : Autocars (dotés de sanitaires collectifs) : parc 2025 domine par tempo mecanique (76%), avec mitigeur manuel en appoint. Le choix reflete espace embarque contraint, cycles de flotte et maintenance immobilisante ; compacite, fiabilite embarquee et cout d immobilisation.</t>
    </r>
  </si>
  <si>
    <r>
      <rPr>
        <b/>
        <sz val="9"/>
        <rFont val="Calibri"/>
      </rPr>
      <t>Aéronefs commerciaux ; Rames ferroviaires voyageurs ; Autocars</t>
    </r>
    <r>
      <rPr>
        <sz val="9"/>
        <rFont val="Calibri"/>
      </rPr>
      <t xml:space="preserve"> : Sans objet.Ferries et navires à passagers : Ferries et navires à passagers : parc 2025 domine par tempo mecanique (80%), avec mitigeur en appoint. Le choix reflete espace embarque contraint, cycles de flotte et maintenance immobilisante ; compacite, fiabilite embarquee et cout d immobilisation.</t>
    </r>
  </si>
  <si>
    <r>
      <rPr>
        <b/>
        <sz val="9"/>
        <rFont val="Calibri"/>
      </rPr>
      <t>Aéronefs commerciaux ; Rames ferroviaires voyageurs ; Autocars</t>
    </r>
    <r>
      <rPr>
        <sz val="9"/>
        <rFont val="Calibri"/>
      </rPr>
      <t xml:space="preserve"> : Sans objet.Ferries et navires à passagers : 2025-2030 : progression de tempo mecanique (+2,0%), surtout lors des renov. lourdes/neuf ; recul de mitigeur (-3,0%) mais maintien d un socle robuste pour les remplacements partiels.</t>
    </r>
  </si>
  <si>
    <r>
      <rPr>
        <b/>
        <sz val="9"/>
        <rFont val="Calibri"/>
      </rPr>
      <t>Aéronefs commerciaux ; Rames ferroviaires voyageurs ; Autocars</t>
    </r>
    <r>
      <rPr>
        <sz val="9"/>
        <rFont val="Calibri"/>
      </rPr>
      <t xml:space="preserve"> : Sans objet : pas de urinoirs collectif dimensionne dans ce sous-segment.Ferries et navires à passagers : Ferries et navires à passagers : parc 2025 domine par directe mecanique (55%), avec directe electronique collective en appoint. Le choix reflete espace embarque contraint, cycles de flotte et maintenance immobilisante ; compacite, fiabilite embarquee et cout d immobilisation.</t>
    </r>
  </si>
  <si>
    <r>
      <rPr>
        <b/>
        <sz val="9"/>
        <rFont val="Calibri"/>
      </rPr>
      <t>Aéronefs commerciaux ; Rames ferroviaires voyageurs ; Autocars</t>
    </r>
    <r>
      <rPr>
        <sz val="9"/>
        <rFont val="Calibri"/>
      </rPr>
      <t xml:space="preserve"> : Sans objet : pas de trajectoire 2025-2030 a modeliser pour les urinoirs.Ferries et navires à passagers : 2025-2030 : progression de directe electronique indiv. (+2,0%), surtout lors des renov. lourdes/neuf ; recul de directe electronique collective (-1,0%) mais maintien d un socle robuste pour les remplacements partiels.</t>
    </r>
  </si>
  <si>
    <r>
      <rPr>
        <b/>
        <sz val="9"/>
        <rFont val="Calibri"/>
      </rPr>
      <t>Aéronefs commerciaux</t>
    </r>
    <r>
      <rPr>
        <sz val="9"/>
        <rFont val="Calibri"/>
      </rPr>
      <t xml:space="preserve"> : Aéronefs commerciaux : parc 2025 domine par chasse directe mecanique (55%), avec reservoir en appoint. Le choix reflete espace embarque contraint, cycles de flotte et maintenance immobilisante ; compacite, fiabilite embarquee et cout d immobilisation.Rames ferroviaires voyageurs : Rames ferroviaires voyageurs : parc 2025 domine par chasse directe mecanique (55%), avec reservoir en appoint. Le choix reflete espace embarque contraint, cycles de flotte et maintenance immobilisante ; compacite, fiabilite embarquee et cout d immobilisation.Ferries et navires à passagers : Ferries et navires à passagers : parc 2025 domine par chasse directe mecanique (55%), avec reservoir en appoint. Le choix reflete espace embarque contraint, cycles de flotte et maintenance immobilisante ; compacite, fiabilite embarquee et cout d immobilisation.Autocars : Autocars (dotés de sanitaires collectifs) : parc 2025 domine par chasse directe mecanique (55%), avec reservoir en appoint. Le choix reflete espace embarque contraint, cycles de flotte et maintenance immobilisante ; compacite, fiabilite embarquee et cout d immobilisation.</t>
    </r>
  </si>
  <si>
    <r>
      <rPr>
        <b/>
        <sz val="9"/>
        <rFont val="Calibri"/>
      </rPr>
      <t>Aéronefs commerciaux</t>
    </r>
    <r>
      <rPr>
        <sz val="9"/>
        <rFont val="Calibri"/>
      </rPr>
      <t xml:space="preserve"> : Potentiel neuf : plus visible pour aéronefs commerciaux, surtout via extensions, reconstructions ou projets locaux. Le neuf reste contraint par foncier, budgets et delais de mise en service.Rames ferroviaires voyageurs : Potentiel neuf : plus visible pour rames ferroviaires voyageurs, surtout via extensions, reconstructions ou projets locaux. Le neuf reste contraint par foncier, budgets et delais de mise en service.Ferries et navires à passagers : Potentiel neuf : plus visible pour ferries et navires à passagers, surtout via extensions, reconstructions ou projets locaux. Le neuf reste contraint par foncier, budgets et delais de mise en service.Autocars : Potentiel neuf : plus visible pour autocars (dotés de sanitaires collectifs), surtout via extensions, reconstructions ou projets locaux. Le neuf reste contraint par foncier, budgets et delais de mise en service.</t>
    </r>
  </si>
  <si>
    <r>
      <rPr>
        <b/>
        <sz val="9"/>
        <rFont val="Calibri"/>
      </rPr>
      <t>Aéronefs commerciaux</t>
    </r>
    <r>
      <rPr>
        <sz val="9"/>
        <rFont val="Calibri"/>
      </rPr>
      <t xml:space="preserve"> : Parc existant centre sur le niveau mobile, avec ventes 2026-2030 legerement plus qualitatives. Aéronefs commerciaux : espace embarque contraint, cycles de flotte et maintenance immobilisante; le mix reste guide par compacite, fiabilite embarquee et cout d immobilisation.Rames ferroviaires voyageurs : Parc existant centre sur le niveau mobile, avec ventes 2026-2030 legerement plus qualitatives. Rames ferroviaires voyageurs : espace embarque contraint, cycles de flotte et maintenance immobilisante; le mix reste guide par compacite, fiabilite embarquee et cout d immobilisation.Ferries et navires à passagers : Parc existant centre sur le niveau mobile, avec ventes 2026-2030 legerement plus qualitatives. Ferries et navires à passagers : espace embarque contraint, cycles de flotte et maintenance immobilisante; le mix reste guide par compacite, fiabilite embarquee et cout d immobilisation.Autocars : Parc existant centre sur le niveau mobile, avec ventes 2026-2030 legerement plus qualitatives. Autocars (dotés de sanitaires collectifs) : espace embarque contraint, cycles de flotte et maintenance immobilisante; le mix reste guide par compacite, fiabilite embarquee et cout d immobilisation.</t>
    </r>
  </si>
  <si>
    <r>
      <rPr>
        <b/>
        <sz val="9"/>
        <rFont val="Calibri"/>
      </rPr>
      <t>Aéronefs commerciaux</t>
    </r>
    <r>
      <rPr>
        <sz val="9"/>
        <rFont val="Calibri"/>
      </rPr>
      <t xml:space="preserve"> : Aéronefs commerciaux : ventes 2026-2030 en leger glissement vers moyen/premium lorsque le neuf ou les renov. lourdes interviennent. Le centre de gravite reste toutefois module par compacite, fiabilite embarquee et cout d immobilisation et par la part dominante de travaux sur parc existant.Rames ferroviaires voyageurs : Rames ferroviaires voyageurs : ventes 2026-2030 en leger glissement vers moyen/premium lorsque le neuf ou les renov. lourdes interviennent. Le centre de gravite reste toutefois module par compacite, fiabilite embarquee et cout d immobilisation et par la part dominante de travaux sur parc existant.Ferries et navires à passagers : Ferries et navires à passagers : ventes 2026-2030 en leger glissement vers moyen/premium lorsque le neuf ou les renov. lourdes interviennent. Le centre de gravite reste toutefois module par compacite, fiabilite embarquee et cout d immobilisation et par la part dominante de travaux sur parc existant.Autocars : Autocars (dotés de sanitaires collectifs) : ventes 2026-2030 en leger glissement vers moyen/premium lorsque le neuf ou les renov. lourdes interviennent. Le centre de gravite reste toutefois module par compacite, fiabilite embarquee et cout d immobilisation et par la part dominante de travaux sur parc existant.</t>
    </r>
  </si>
  <si>
    <t>Commissariats / postes de police</t>
  </si>
  <si>
    <t>1 - Locaux de sûreté, garde à vue et zones opérationnelles
2 - Postes de proximité et antennes avec accueil public</t>
  </si>
  <si>
    <r>
      <rPr>
        <b/>
        <sz val="9"/>
        <rFont val="Calibri"/>
      </rPr>
      <t>Locaux de sûreté, garde à vue et zones opérationnelles</t>
    </r>
    <r>
      <rPr>
        <sz val="9"/>
        <rFont val="Calibri"/>
      </rPr>
      <t xml:space="preserve"> : VariablePostes de proximité et antennes avec accueil public : W</t>
    </r>
  </si>
  <si>
    <r>
      <rPr>
        <b/>
        <sz val="9"/>
        <rFont val="Calibri"/>
      </rPr>
      <t>Locaux de sûreté, garde à vue et zones opérationnelles</t>
    </r>
    <r>
      <rPr>
        <sz val="9"/>
        <rFont val="Calibri"/>
      </rPr>
      <t xml:space="preserve"> : Hors ERP autonome / accès contrôléPostes de proximité et antennes avec accueil public : ERP</t>
    </r>
  </si>
  <si>
    <r>
      <rPr>
        <b/>
        <sz val="9"/>
        <rFont val="Calibri"/>
      </rPr>
      <t>Locaux de sûreté, garde à vue et zones opérationnelles</t>
    </r>
    <r>
      <rPr>
        <sz val="9"/>
        <rFont val="Calibri"/>
      </rPr>
      <t xml:space="preserve"> : mixtePostes de proximité et antennes avec accueil public : ERP</t>
    </r>
  </si>
  <si>
    <r>
      <rPr>
        <b/>
        <sz val="9"/>
        <rFont val="Calibri"/>
      </rPr>
      <t>Locaux de sûreté, garde à vue et zones opérationnelles</t>
    </r>
    <r>
      <rPr>
        <sz val="9"/>
        <rFont val="Calibri"/>
      </rPr>
      <t xml:space="preserve"> : nonPostes de proximité et antennes avec accueil public : oui</t>
    </r>
  </si>
  <si>
    <r>
      <rPr>
        <b/>
        <sz val="9"/>
        <rFont val="Calibri"/>
      </rPr>
      <t>Locaux de sûreté, garde à vue et zones opérationnelles</t>
    </r>
    <r>
      <rPr>
        <sz val="9"/>
        <rFont val="Calibri"/>
      </rPr>
      <t xml:space="preserve"> : Les zones de sûreté, d’enquête ou de garde à vue ne constituent pas un type ERP autonome lorsqu’elles ne sont pas ouvertes au public.Postes de proximité et antennes avec accueil public : Les antennes ou postes assurant un accueil administratif du public relèvent du type W.</t>
    </r>
  </si>
  <si>
    <r>
      <rPr>
        <b/>
        <sz val="9"/>
        <rFont val="Calibri"/>
      </rPr>
      <t>Locaux de sûreté, garde à vue et zones opérationnelles</t>
    </r>
    <r>
      <rPr>
        <sz val="9"/>
        <rFont val="Calibri"/>
      </rPr>
      <t xml:space="preserve"> : Locaux de garde à vue, salles opérationnelles, armurerie, zone techniquePostes de proximité et antennes avec accueil public : Poste de police de quartier, antenne de police municipale</t>
    </r>
  </si>
  <si>
    <r>
      <rPr>
        <b/>
        <sz val="9"/>
        <rFont val="Calibri"/>
      </rPr>
      <t>Locaux de sûreté, garde à vue et zones opérationnelles</t>
    </r>
    <r>
      <rPr>
        <sz val="9"/>
        <rFont val="Calibri"/>
      </rPr>
      <t xml:space="preserve"> : sous-espace / proxy institutionnelPostes de proximité et antennes avec accueil public : proxy institutionnel / antennes de proximité</t>
    </r>
  </si>
  <si>
    <r>
      <rPr>
        <b/>
        <sz val="9"/>
        <rFont val="Calibri"/>
      </rPr>
      <t>Locaux de sûreté, garde à vue et zones opérationnelles</t>
    </r>
    <r>
      <rPr>
        <sz val="9"/>
        <rFont val="Calibri"/>
      </rPr>
      <t xml:space="preserve"> : sous-espace d’un commissariat/poste</t>
    </r>
  </si>
  <si>
    <r>
      <rPr>
        <b/>
        <sz val="9"/>
        <rFont val="Calibri"/>
      </rPr>
      <t>Locaux de sûreté, garde à vue et zones opérationnelles</t>
    </r>
    <r>
      <rPr>
        <sz val="9"/>
        <rFont val="Calibri"/>
      </rPr>
      <t xml:space="preserve"> : Sous-espace rattaché à un site parent ; la série varie peu car elle suit un stock principal administré et non un marché autonome.Postes de proximité et antennes avec accueil public : Pas de stagnation structurelle : la série évolue à la baisse sur la période 2000-2026 ; la projection prolonge cette tendance avec prudence.</t>
    </r>
  </si>
  <si>
    <r>
      <rPr>
        <b/>
        <sz val="9"/>
        <rFont val="Calibri"/>
      </rPr>
      <t>Locaux de sûreté, garde à vue et zones opérationnelles</t>
    </r>
    <r>
      <rPr>
        <sz val="9"/>
        <rFont val="Calibri"/>
      </rPr>
      <t xml:space="preserve"> : Sous-espace rattaché aux commissariats ; projection alignée sur le parc de sites police ouverts au public. Fiabilité: moyenne.Postes de proximité et antennes avec accueil public : Proxy prudent sur les antennes de proximité ; projection légèrement baissière par rationalisation du maillage. Fiabilité: moyenne.</t>
    </r>
  </si>
  <si>
    <r>
      <rPr>
        <b/>
        <sz val="9"/>
        <rFont val="Calibri"/>
      </rPr>
      <t>Locaux de sûreté, garde à vue et zones opérationnelles</t>
    </r>
    <r>
      <rPr>
        <sz val="9"/>
        <rFont val="Calibri"/>
      </rPr>
      <t xml:space="preserve"> : Commissariat complet : sanitaires staff/opérationnels + garde à vue/visiteurs, hors cellules individuelles.Postes de proximité et antennes avec accueil public : Antenne de proximité : un bloc accueil et un bloc personnel.</t>
    </r>
  </si>
  <si>
    <r>
      <rPr>
        <b/>
        <sz val="9"/>
        <rFont val="Calibri"/>
      </rPr>
      <t>Locaux de sûreté, garde à vue et zones opérationnelles</t>
    </r>
    <r>
      <rPr>
        <sz val="9"/>
        <rFont val="Calibri"/>
      </rPr>
      <t xml:space="preserve"> : Capacité type ≈ 8 présents principaux + 28 staff + 4 familles/intervenants. Programme mixte police : accueil public, locaux opérationnels et personnels ; pas de simple ratio public, mais noyaux par zone fonctionnelle. Calibrage selon capacité simultanée, répartition de flux et organisation réelle du site.Postes de proximité et antennes avec accueil public : Capacité type ≈ 14 présents principaux + 22 staff + 4 visiteurs/intervenants. Programme mixte police : accueil public, locaux opérationnels et personnels ; pas de simple ratio public, mais noyaux par zone fonctionnelle. Calibrage selon capacité simultanée, répartition de flux et organisation réelle du site.</t>
    </r>
  </si>
  <si>
    <r>
      <rPr>
        <b/>
        <sz val="9"/>
        <rFont val="Calibri"/>
      </rPr>
      <t>Locaux de sûreté, garde à vue et zones opérationnelles</t>
    </r>
    <r>
      <rPr>
        <sz val="9"/>
        <rFont val="Calibri"/>
      </rPr>
      <t xml:space="preserve"> : Dans les zones de sûreté/police, le parc combine équipements robustes de collectivité et matériels sécurisés/antivandalisme, d’où une part d’'autres' plus élevée.Postes de proximité et antennes avec accueil public : Dans les postes de proximité, le parc est plus proche d’un petit tertiaire/public : le mitigeur reste majoritaire, avec un peu d’électronique sur les rénovations.</t>
    </r>
  </si>
  <si>
    <r>
      <rPr>
        <b/>
        <sz val="9"/>
        <rFont val="Calibri"/>
      </rPr>
      <t>Locaux de sûreté, garde à vue et zones opérationnelles</t>
    </r>
    <r>
      <rPr>
        <sz val="9"/>
        <rFont val="Calibri"/>
      </rPr>
      <t xml:space="preserve"> : Les douches restent principalement temporisées mécaniques sur ce parc robuste.Postes de proximité et antennes avec accueil public : Sans objet.</t>
    </r>
  </si>
  <si>
    <r>
      <rPr>
        <b/>
        <sz val="9"/>
        <rFont val="Calibri"/>
      </rPr>
      <t>Locaux de sûreté, garde à vue et zones opérationnelles</t>
    </r>
    <r>
      <rPr>
        <sz val="9"/>
        <rFont val="Calibri"/>
      </rPr>
      <t xml:space="preserve"> : Évolution lente et prudente : un peu plus d’électronique dans certaines rénovations, sans remise en cause du socle mécanique.Postes de proximité et antennes avec accueil public : Sans objet.</t>
    </r>
  </si>
  <si>
    <r>
      <rPr>
        <b/>
        <sz val="9"/>
        <rFont val="Calibri"/>
      </rPr>
      <t>Locaux de sûreté, garde à vue et zones opérationnelles</t>
    </r>
    <r>
      <rPr>
        <sz val="9"/>
        <rFont val="Calibri"/>
      </rPr>
      <t xml:space="preserve"> : Le parc d’urinoirs reste très classique, avec un poids important des solutions collectives/renforcées.Postes de proximité et antennes avec accueil public : Les urinoirs relèvent surtout de solutions classiques.</t>
    </r>
  </si>
  <si>
    <r>
      <rPr>
        <b/>
        <sz val="9"/>
        <rFont val="Calibri"/>
      </rPr>
      <t>Locaux de sûreté, garde à vue et zones opérationnelles</t>
    </r>
    <r>
      <rPr>
        <sz val="9"/>
        <rFont val="Calibri"/>
      </rPr>
      <t xml:space="preserve"> : La chasse directe est majoritaire dans les zones les plus sollicitées, mais le réservoir reste encore présent.Postes de proximité et antennes avec accueil public : Le réservoir reste dominant sur ce parc relativement petit.</t>
    </r>
  </si>
  <si>
    <r>
      <rPr>
        <b/>
        <sz val="9"/>
        <rFont val="Calibri"/>
      </rPr>
      <t>Locaux de sûreté, garde à vue et zones opérationnelles</t>
    </r>
    <r>
      <rPr>
        <sz val="9"/>
        <rFont val="Calibri"/>
      </rPr>
      <t xml:space="preserve"> : Potentiel rénovation moyen à soutenu : amélioration des conditions de travail et d’accueil, avec priorité aux actifs existants. Les volumes restent d’abord tirés par les WC et les lavabos, plus que par les postes spécialisés. En rénovation, l’achat reste orienté vers des produits robustes, anti-vandalisme et simples à maintenir en site occupé.Postes de proximité et antennes avec accueil public : Potentiel rénovation moyen : amélioration des conditions de travail et d’accueil, avec priorité aux actifs existants.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t>
    </r>
  </si>
  <si>
    <r>
      <rPr>
        <b/>
        <sz val="9"/>
        <rFont val="Calibri"/>
      </rPr>
      <t>Locaux de sûreté, garde à vue et zones opérationnelles</t>
    </r>
    <r>
      <rPr>
        <sz val="9"/>
        <rFont val="Calibri"/>
      </rPr>
      <t xml:space="preserve"> : Locaux de sûreté, garde à vue et zones opérationnelles : zones de sûreté et garde à vue dominées par la robustesse et l’anti-vandalisme. Ventes 2026-2030 : glissement vers davantage de moyen / premium. La rénovation reste très majoritaire (85% des ventes, contre 15% en neuf) ; le neuf est plus qualitatif mais ne suffit pas à transformer fortement le mix. L’écart de niveau de confort entre neuf et rénovation reste perceptible.Postes de proximité et antennes avec accueil public : Postes de proximité et antennes avec accueil public : petits postes avec accueil public, niveau modeste et fonctionnel. Ventes 2026-2030 : glissement vers davantage de moyen / premium, surtout sur lavabo (+0,7 pts sur premium+luxe). La rénovation reste très majoritaire (88% des ventes, contre 12% en neuf) ; le neuf est plus qualitatif mais ne suffit pas à transformer fortement le mix. L’écart de niveau de confort entre neuf et rénovation reste perceptible.</t>
    </r>
  </si>
  <si>
    <t>1 - Unités d'hébergement des militaires &amp; réservistes
2 - Centres de recrutement et bureaux d’information
3 - Restaurants ou équipements sportifs ouverts au public sur emprise militaire
4 - Salles de conférence, auditoriums et espaces événementiels ouverts au public</t>
  </si>
  <si>
    <r>
      <rPr>
        <b/>
        <sz val="9"/>
        <rFont val="Calibri"/>
      </rPr>
      <t>Unités d'hébergement des militaires &amp; réservistes ; Restaurants ou équipements sportifs ouverts au public sur emprise militaire</t>
    </r>
    <r>
      <rPr>
        <sz val="9"/>
        <rFont val="Calibri"/>
      </rPr>
      <t xml:space="preserve"> : VariableCentres de recrutement et bureaux d’information : WSalles de conférence, auditoriums et espaces événementiels ouverts au public : L</t>
    </r>
  </si>
  <si>
    <r>
      <rPr>
        <b/>
        <sz val="9"/>
        <rFont val="Calibri"/>
      </rPr>
      <t>Unités d'hébergement des militaires &amp; réservistes</t>
    </r>
    <r>
      <rPr>
        <sz val="9"/>
        <rFont val="Calibri"/>
      </rPr>
      <t xml:space="preserve"> : Souvent hors ERP autonome / accès contrôléCentres de recrutement et bureaux d’information ; Salles de conférence, auditoriums et espaces événementiels ouverts au public : ERPRestaurants ou équipements sportifs ouverts au public sur emprise militaire : ERP partiel / variable</t>
    </r>
  </si>
  <si>
    <r>
      <rPr>
        <b/>
        <sz val="9"/>
        <rFont val="Calibri"/>
      </rPr>
      <t>Unités d'hébergement des militaires &amp; réservistes ; Restaurants ou équipements sportifs ouverts au public sur emprise militaire</t>
    </r>
    <r>
      <rPr>
        <sz val="9"/>
        <rFont val="Calibri"/>
      </rPr>
      <t xml:space="preserve"> : mixteCentres de recrutement et bureaux d’information ; Salles de conférence, auditoriums et espaces événementiels ouverts au public : ERP</t>
    </r>
  </si>
  <si>
    <r>
      <rPr>
        <b/>
        <sz val="9"/>
        <rFont val="Calibri"/>
      </rPr>
      <t>Unités d'hébergement des militaires &amp; réservistes</t>
    </r>
    <r>
      <rPr>
        <sz val="9"/>
        <rFont val="Calibri"/>
      </rPr>
      <t xml:space="preserve"> : nonCentres de recrutement et bureaux d’information ; Restaurants ou équipements sportifs ouverts au public sur emprise militaire ; Salles de conférence, auditoriums et espaces événementiels ouverts au public : oui</t>
    </r>
  </si>
  <si>
    <r>
      <rPr>
        <b/>
        <sz val="9"/>
        <rFont val="Calibri"/>
      </rPr>
      <t>Unités d'hébergement des militaires &amp; réservistes</t>
    </r>
    <r>
      <rPr>
        <sz val="9"/>
        <rFont val="Calibri"/>
      </rPr>
      <t xml:space="preserve"> : Les unités d’hébergement collectif des militaires et réservistes sont le plus souvent intégrées à une emprise militaire ; elles peuvent comporter des dortoirs, chambres collectives et sanitaires communs, sans constituer à elles seules un type ERP autonome homogène.Centres de recrutement et bureaux d’information : Locaux administratifs recevant du public : information, orientation, recrutement, démarches.Restaurants ou équipements sportifs ouverts au public sur emprise militaire : Lorsqu’une activité commerciale, de restauration ou sportive est ouverte au public, le classement suit l’usage dominant du local : M, N, X ou L selon le cas.Salles de conférence, auditoriums et espaces événementiels ouverts au public : Les salles accueillant conférences, cérémonies, présentations ou réunions publiques relèvent en pratique du type L.</t>
    </r>
  </si>
  <si>
    <r>
      <rPr>
        <b/>
        <sz val="9"/>
        <rFont val="Calibri"/>
      </rPr>
      <t>Unités d'hébergement des militaires &amp; réservistes</t>
    </r>
    <r>
      <rPr>
        <sz val="9"/>
        <rFont val="Calibri"/>
      </rPr>
      <t xml:space="preserve"> : Bâtiment d’hébergement en caserne, hébergement collectif de réservistes, bâtiment cadres célibatairesCentres de recrutement et bureaux d’information : CIRFA, bureau d’information et de recrutementRestaurants ou équipements sportifs ouverts au public sur emprise militaire : Boutique de musée militaire, restaurant de cercle ouvert, équipement sportif accessible au publicSalles de conférence, auditoriums et espaces événementiels ouverts au public : Auditorium, salle de conférence, amphithéâtre ouvert au public</t>
    </r>
  </si>
  <si>
    <r>
      <rPr>
        <b/>
        <sz val="9"/>
        <rFont val="Calibri"/>
      </rPr>
      <t>Unités d'hébergement des militaires &amp; réservistes</t>
    </r>
    <r>
      <rPr>
        <sz val="9"/>
        <rFont val="Calibri"/>
      </rPr>
      <t xml:space="preserve"> : ouiCentres de recrutement et bureaux d’information ; Restaurants ou équipements sportifs ouverts au public sur emprise militaire ; Salles de conférence, auditoriums et espaces événementiels ouverts au public : non</t>
    </r>
  </si>
  <si>
    <r>
      <rPr>
        <b/>
        <sz val="9"/>
        <rFont val="Calibri"/>
      </rPr>
      <t>Unités d'hébergement des militaires &amp; réservistes</t>
    </r>
    <r>
      <rPr>
        <sz val="9"/>
        <rFont val="Calibri"/>
      </rPr>
      <t xml:space="preserve"> : Bâtiment
Unité Hébergement collectifCentres de recrutement et bureaux d’information ; Restaurants ou équipements sportifs ouverts au public sur emprise militaire ; Salles de conférence, auditoriums et espaces événementiels ouverts au public : Site
Etablissement principal</t>
    </r>
  </si>
  <si>
    <r>
      <rPr>
        <b/>
        <sz val="9"/>
        <rFont val="Calibri"/>
      </rPr>
      <t>Unités d'hébergement des militaires &amp; réservistes</t>
    </r>
    <r>
      <rPr>
        <sz val="9"/>
        <rFont val="Calibri"/>
      </rPr>
      <t xml:space="preserve"> : proxy public / estimation encadréeCentres de recrutement et bureaux d’information ; Restaurants ou équipements sportifs ouverts au public sur emprise militaire ; Salles de conférence, auditoriums et espaces événementiels ouverts au public : sous-espace / proxy non additif</t>
    </r>
  </si>
  <si>
    <r>
      <rPr>
        <b/>
        <sz val="9"/>
        <rFont val="Calibri"/>
      </rPr>
      <t>Unités d'hébergement des militaires &amp; réservistes</t>
    </r>
    <r>
      <rPr>
        <sz val="9"/>
        <rFont val="Calibri"/>
      </rPr>
      <t xml:space="preserve"> : La série est peu mobile car elle reflète un stock administré d’unités d’hébergement collectif ; l’ancrage disponible (316 établissements militaires hébergeant collectivement en 2016) suggère une évolution graduelle plutôt qu’un marché libre très volatil.Centres de recrutement et bureaux d’information ; Restaurants ou équipements sportifs ouverts au public sur emprise militaire ; Salles de conférence, auditoriums et espaces événementiels ouverts au public : Sous-espace rattaché à un site parent ; la série varie peu car elle suit un stock principal administré et non un marché autonome.</t>
    </r>
  </si>
  <si>
    <r>
      <rPr>
        <b/>
        <sz val="9"/>
        <rFont val="Calibri"/>
      </rPr>
      <t>Unités d'hébergement des militaires &amp; réservistes</t>
    </r>
    <r>
      <rPr>
        <sz val="9"/>
        <rFont val="Calibri"/>
      </rPr>
      <t xml:space="preserve"> : Proxy d’unités d’hébergement collectif militaires, ancré sur 316 établissements militaires hébergeant collectivement en 2016 ; prolongement modéré à la hausse à partir des besoins d’hébergement et des efforts récents sur la condition militaire. Fiabilité: moyenne à bonne-moyenne ; non additif avec d’autres usages du même site.Centres de recrutement et bureaux d’information : réseau CIRFA et bureaux d’information. Dynamique projetée 2027-2030: stable. Fiabilité: bonne. Risque de doublon: oui si addition avec la catégorie parente ou avec des sous-espaces d’un même site.Restaurants ou équipements sportifs ouverts au public sur emprise militaire : proxy équipements militaires partiellement ouverts. Dynamique projetée 2027-2030: stable. Fiabilité: moyenne. Risque de doublon: oui si addition avec la catégorie parente ou avec des sous-espaces d’un même site.Salles de conférence, auditoriums et espaces événementiels ouverts au public : proxy parc événementiel militaire ouvert. Dynamique projetée 2027-2030: stable. Fiabilité: moyenne. Risque de doublon: oui si addition avec la catégorie parente ou avec des sous-espaces d’un même site.</t>
    </r>
  </si>
  <si>
    <r>
      <rPr>
        <b/>
        <sz val="9"/>
        <rFont val="Calibri"/>
      </rPr>
      <t>Unités d'hébergement des militaires &amp; réservistes</t>
    </r>
    <r>
      <rPr>
        <sz val="9"/>
        <rFont val="Calibri"/>
      </rPr>
      <t xml:space="preserve"> : https://www.defense.gouv.fr/sites/default/files/ssm/EcoDef%20140.pdf ; https://www.ccomptes.fr/fr/publications/les-conditions-dhebergement-dans-les-bases-de-defense-exercices-2011-2021Centres de recrutement et bureaux d’information : https://www.defense.gouv.fr/sga/nous-rejoindre/cirfaRestaurants ou équipements sportifs ouverts au public sur emprise militaire ; Salles de conférence, auditoriums et espaces événementiels ouverts au public : https://www.defense.gouv.fr/</t>
    </r>
  </si>
  <si>
    <r>
      <rPr>
        <b/>
        <sz val="9"/>
        <rFont val="Calibri"/>
      </rPr>
      <t>Unités d'hébergement des militaires &amp; réservistes</t>
    </r>
    <r>
      <rPr>
        <sz val="9"/>
        <rFont val="Calibri"/>
      </rPr>
      <t xml:space="preserve"> : Hébergement militaire collectif : blocs d'étage/vestiaires, hors chambres individualisées.Centres de recrutement et bureaux d’information : Centre de recrutement : sanitaire public + personnel.Restaurants ou équipements sportifs ouverts au public sur emprise militaire : Restaurant classique : bloc clients + personnel, hors sanitaires de chambres.Salles de conférence, auditoriums et espaces événementiels ouverts au public : Équipement événementiel : programme public en batterie à l'entrée et en pourtour, staff séparé.</t>
    </r>
  </si>
  <si>
    <r>
      <rPr>
        <b/>
        <sz val="9"/>
        <rFont val="Calibri"/>
      </rPr>
      <t>Unités d'hébergement des militaires &amp; réservistes</t>
    </r>
    <r>
      <rPr>
        <sz val="9"/>
        <rFont val="Calibri"/>
      </rPr>
      <t xml:space="preserve"> : Capacité type ≈ 128 usagers principaux + 14 staff + 3 visiteurs/intervenants. Le programme sanitaire est construit par blocs fonctionnels plausibles (public, personnel, exploitation/hébergement selon le cas) et non par simple ratio national moyen. Calibrage selon capacité simultanée, répartition de flux et organisation réelle du site.Centres de recrutement et bureaux d’information : Capacité type ≈ 19 usagers principaux + 12 staff + 4 visiteurs/intervenants. Le programme sanitaire est construit par blocs fonctionnels plausibles (public, personnel, exploitation/hébergement selon le cas) et non par simple ratio national moyen. Calibrage selon capacité simultanée, répartition de flux et organisation réelle du site.Restaurants ou équipements sportifs ouverts au public sur emprise militaire : Capacité type ≈ 64 sportifs/usagers + 14 staff + 2 intervenants/visiteurs. Le programme inclut sanitaires publics et vestiaires sportifs séparés dès lors qu'ils accueillent au moins 5 personnes ; pour les piscines, les douches collectives sont structurelles. Calibrage selon capacité simultanée, répartition de flux et organisation réelle du site.Salles de conférence, auditoriums et espaces événementiels ouverts au public : Capacité type ≈ 159 usagers principaux + 14 staff + 7 techniciens/prestataires. Le programme sanitaire est construit par blocs fonctionnels plausibles (public, personnel, exploitation/hébergement selon le cas) et non par simple ratio national moyen. Calibrage selon capacité simultanée, répartition de flux et organisation réelle du site.</t>
    </r>
  </si>
  <si>
    <r>
      <rPr>
        <b/>
        <sz val="9"/>
        <rFont val="Calibri"/>
      </rPr>
      <t>Unités d'hébergement des militaires &amp; réservistes</t>
    </r>
    <r>
      <rPr>
        <sz val="9"/>
        <rFont val="Calibri"/>
      </rPr>
      <t xml:space="preserve"> : Profil moyen, capacité moyenne ≈ 145 personnes. Moyenne pondérée terrain : parc majoritairement petits/moyens sites, grands sites intégrés sans surpondération ; usage 2025 forte à très forte.Centres de recrutement et bureaux d’information : Profil petit, capacité moyenne ≈ 35 personnes. Moyenne pondérée terrain : parc majoritairement petits/moyens sites, grands sites intégrés sans surpondération ; usage 2025 modérée.Restaurants ou équipements sportifs ouverts au public sur emprise militaire : Profil moyen, capacité moyenne ≈ 80 personnes. Moyenne pondérée terrain : parc majoritairement petits/moyens sites, grands sites intégrés sans surpondération ; usage 2025 forte à très forte.Salles de conférence, auditoriums et espaces événementiels ouverts au public : Profil moyen, capacité moyenne ≈ 180 personnes. Moyenne pondérée terrain : parc majoritairement petits/moyens sites, grands sites intégrés sans surpondération ; usage 2025 modérée à forte par pics.</t>
    </r>
  </si>
  <si>
    <r>
      <rPr>
        <b/>
        <sz val="9"/>
        <rFont val="Calibri"/>
      </rPr>
      <t>Unités d'hébergement des militaires &amp; réservistes ; Centres de recrutement et bureaux d’information ; Salles de conférence, auditoriums et espaces événementiels ouverts au public</t>
    </r>
    <r>
      <rPr>
        <sz val="9"/>
        <rFont val="Calibri"/>
      </rPr>
      <t xml:space="preserve"> : Code du travail (sanitaires et vestiaires staff) + programmation ERP/usages d'exploitation ; source de comptage propre à la ligne en col. AP.Restaurants ou équipements sportifs ouverts au public sur emprise militaire : Ministère des Sports, réglementation des équipements sportifs : https://www.sports.gouv.fr/reglementation-federale-des-equipements-sportifs-845 ; + Code du travail pour vestiaires collectifs et sanitaires staff.</t>
    </r>
  </si>
  <si>
    <r>
      <rPr>
        <b/>
        <sz val="9"/>
        <rFont val="Calibri"/>
      </rPr>
      <t>Unités d'hébergement des militaires &amp; réservistes</t>
    </r>
    <r>
      <rPr>
        <sz val="9"/>
        <rFont val="Calibri"/>
      </rPr>
      <t xml:space="preserve"> : Maintenance technique présente mais usage hétérogène selon que l'on parle d'hébergement, de sport ou d'accueil public. Les durées sont intermédiaires : au-dessus du transport, en dessous du bureau. Les remplacements se font souvent par casernement, bâtiment ou opération de rénovation planifiée. Sécurité / police / militaire : Usage mixte agents/public, recherche de robustesse, interventions maintenues en exploitation, parc hétérogène avec une partie rénovée par opérations ciblées.Centres de recrutement et bureaux d’information : Accueil public jeune/adulte sur rendez-vous, peu d'humidité, maintenance militaire structurée. Proche guichet public, meilleur que zones opérationnelles. Repères durées: lavabos 11/12/9 ans (mit./méca/élec.), douches 12/11/9, urinoirs 10/12/8/10, WC 10/12/9.Restaurants ou équipements sportifs ouverts au public sur emprise militaire : Usage collectif encadré mais pics repas/sport, vestiaires humides et maintenance interne. Inférieur aux bureaux militaires, proche équipements sportifs. Repères durées: lavabos 11/12/9 ans (mit./méca/élec.), douches 8/8/7, urinoirs 10/12/8/10, WC 10/12/9.Salles de conférence, auditoriums et espaces événementiels ouverts au public : Usage intensif, dégradations volontaires possibles et accès maintenance plus complexe. ces facteurs raccourcissent concrètement la durée réelle. Les technos mécaniques simples sont favorisées, l'électronique restant plus courte malgré ses atouts d'hygiène. Le renouvellement intervient surtout à la panne, puis par lots dans les programmes de réhabilitation. Univers carcéral : Usage intensif, sûreté et anti-vandalisme, maintenance par l’arrière privilégiée, parc ancien mais renouvelé partiellement par le plan prison 15 000 places.</t>
    </r>
  </si>
  <si>
    <r>
      <rPr>
        <b/>
        <sz val="9"/>
        <rFont val="Calibri"/>
      </rPr>
      <t>Unités d'hébergement des militaires &amp; réservistes</t>
    </r>
    <r>
      <rPr>
        <sz val="9"/>
        <rFont val="Calibri"/>
      </rPr>
      <t xml:space="preserve"> : Sur les unités d’hébergement collectif militaire, le parc commun combine robuste/collectivité et quelques équipements spécifiques, d’où une part d’'autres' supérieure à la moyenne.Centres de recrutement et bureaux d’information ; Restaurants ou équipements sportifs ouverts au public sur emprise militaire : Sur les espaces militaires ouverts au public, le parc se rapproche d’un ERP robuste : temporisé et mitigeur dominent, avec un peu d’électronique.Salles de conférence, auditoriums et espaces événementiels ouverts au public : Les espaces événementiels militaires ouverts au public ont un parc plus modernisé que l’hébergement collectif, avec une part élevée d’électronique.</t>
    </r>
  </si>
  <si>
    <r>
      <rPr>
        <b/>
        <sz val="9"/>
        <rFont val="Calibri"/>
      </rPr>
      <t>Unités d'hébergement des militaires &amp; réservistes</t>
    </r>
    <r>
      <rPr>
        <sz val="9"/>
        <rFont val="Calibri"/>
      </rPr>
      <t xml:space="preserve"> : Les douches communes restent très majoritairement temporisées mécaniques.Centres de recrutement et bureaux d’information ; Restaurants ou équipements sportifs ouverts au public sur emprise militaire : Sans objet.Salles de conférence, auditoriums et espaces événementiels ouverts au public : Les rares douches restent surtout temporisées mécaniques.</t>
    </r>
  </si>
  <si>
    <r>
      <rPr>
        <b/>
        <sz val="9"/>
        <rFont val="Calibri"/>
      </rPr>
      <t>Unités d'hébergement des militaires &amp; réservistes ; Salles de conférence, auditoriums et espaces événementiels ouverts au public</t>
    </r>
    <r>
      <rPr>
        <sz val="9"/>
        <rFont val="Calibri"/>
      </rPr>
      <t xml:space="preserve"> : Évolution lente et prudente : un peu plus d’électronique dans certaines rénovations, sans remise en cause du socle mécanique.Centres de recrutement et bureaux d’information ; Restaurants ou équipements sportifs ouverts au public sur emprise militaire : Sans objet.</t>
    </r>
  </si>
  <si>
    <r>
      <rPr>
        <b/>
        <sz val="9"/>
        <rFont val="Calibri"/>
      </rPr>
      <t>Unités d'hébergement des militaires &amp; réservistes</t>
    </r>
    <r>
      <rPr>
        <sz val="9"/>
        <rFont val="Calibri"/>
      </rPr>
      <t xml:space="preserve"> : Les urinoirs collectifs anciens gardent un poids important dans ce parc.Centres de recrutement et bureaux d’information ; Restaurants ou équipements sportifs ouverts au public sur emprise militaire : Le parc d’urinoirs reste mixte entre mécanique/direct et quelques collectifs anciens.Salles de conférence, auditoriums et espaces événementiels ouverts au public : L’automatique est déjà bien présente, sans être exclusive.</t>
    </r>
  </si>
  <si>
    <r>
      <rPr>
        <b/>
        <sz val="9"/>
        <rFont val="Calibri"/>
      </rPr>
      <t>Unités d'hébergement des militaires &amp; réservistes</t>
    </r>
    <r>
      <rPr>
        <sz val="9"/>
        <rFont val="Calibri"/>
      </rPr>
      <t xml:space="preserve"> : La chasse directe est déjà très présente dans les blocs collectifs, mais le réservoir reste encore significatif.Centres de recrutement et bureaux d’information ; Restaurants ou équipements sportifs ouverts au public sur emprise militaire : La chasse directe domine légèrement, mais le réservoir reste important.Salles de conférence, auditoriums et espaces événementiels ouverts au public : La chasse directe domine, avec une part d’électronique non négligeable.</t>
    </r>
  </si>
  <si>
    <r>
      <rPr>
        <b/>
        <sz val="9"/>
        <rFont val="Calibri"/>
      </rPr>
      <t>Unités d'hébergement des militaires &amp; réservistes</t>
    </r>
    <r>
      <rPr>
        <sz val="9"/>
        <rFont val="Calibri"/>
      </rPr>
      <t xml:space="preserve"> : 85,1% retenu : la fréquentation soutient le besoin, mais la matérialisation dépend fortement des programmes de concession/exploitation.Centres de recrutement et bureaux d’information : 82,9% retenu : matérialisation élevée grâce aux opérations campus et restructurations, avec toutefois des phasages longs et des arbitrages budgétaires.Restaurants ou équipements sportifs ouverts au public sur emprise militaire : 87,3% retenu : part des besoins réellement transformée en travaux sur 2026-2030 après prise en compte des budgets, du phasage et des arbitrages locaux.Salles de conférence, auditoriums et espaces événementiels ouverts au public : 85,1% retenu : part des besoins réellement transformée en travaux sur 2026-2030 après prise en compte des budgets, du phasage et des arbitrages locaux.</t>
    </r>
  </si>
  <si>
    <r>
      <rPr>
        <b/>
        <sz val="9"/>
        <rFont val="Calibri"/>
      </rPr>
      <t>Unités d'hébergement des militaires &amp; réservistes</t>
    </r>
    <r>
      <rPr>
        <sz val="9"/>
        <rFont val="Calibri"/>
      </rPr>
      <t xml:space="preserve"> : Potentiel rénovation moyen à soutenu : dominant sur ce périmètre, avec modernisation des installations existantes plus que création de nouveaux sites recevant du public. La douche pèse au-dessus de la moyenne, avec des contraintes d’humidité, de corrosion et d’entretien qui accélèrent le remplacement. En rénovation, le marché reste favorable aux gammes robustes et simples d’entretien, compatibles avec des chantiers par tranches et des budgets contraints.Centres de recrutement et bureaux d’information : Potentiel rénovation moyen : dominant sur ce périmètre, avec modernisation des installations existantes plus que création de nouveaux sites recevant du public.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contraints.Restaurants ou équipements sportifs ouverts au public sur emprise militaire ; Salles de conférence, auditoriums et espaces événementiels ouverts au public : Potentiel rénovation moyen à soutenu : dominant sur ce périmètre, avec modernisation des installations existantes plus que création de nouveaux sites recevant du public. Les lavabos et les WC portent l’essentiel des volumes, avec un poids secondaire des équipements spécialisés. En rénovation, le marché reste favorable aux gammes robustes et simples d’entretien, compatibles avec des chantiers par tranches et des budgets contraints.</t>
    </r>
  </si>
  <si>
    <r>
      <rPr>
        <b/>
        <sz val="9"/>
        <rFont val="Calibri"/>
      </rPr>
      <t>Unités d'hébergement des militaires &amp; réservistes</t>
    </r>
    <r>
      <rPr>
        <sz val="9"/>
        <rFont val="Calibri"/>
      </rPr>
      <t xml:space="preserve"> : Potentiel neuf moyen : la LPM soutient l’effort global de défense, mais le sous-périmètre ouvert au public reste secondaire et sélectif. Le neuf est significatif mais encore nettement inférieur à la rénovation.Centres de recrutement et bureaux d’information : Potentiel neuf faible : la LPM soutient l’effort global de défense, mais le sous-périmètre ouvert au public reste secondaire et sélectif. Le neuf est réel mais secondaire.Restaurants ou équipements sportifs ouverts au public sur emprise militaire ; Salles de conférence, auditoriums et espaces événementiels ouverts au public : Potentiel neuf faible : la LPM soutient l’effort global de défense, mais le sous-périmètre ouvert au public reste secondaire et sélectif. Le neuf est quasi nul dans le modèle et renvoie surtout à des reconstructions ou remplacements de sites.</t>
    </r>
  </si>
  <si>
    <t>https://www.legifrance.gouv.fr/dossierlegislatif/JORFDOLE000046266613/
https://www.legifrance.gouv.fr/jorf/id/JORFTEXT000047046768
https://www.statistiques.developpement-durable.gouv.fr/construction-de-locaux-resultats-fin-janvier-2026-france-entiere
https://www.insee.fr/fr/statistiques/8671745
https://www.insee.fr/fr/statistiques/8906564</t>
  </si>
  <si>
    <r>
      <rPr>
        <b/>
        <sz val="9"/>
        <rFont val="Calibri"/>
      </rPr>
      <t>Unités d'hébergement des militaires &amp; réservistes</t>
    </r>
    <r>
      <rPr>
        <sz val="9"/>
        <rFont val="Calibri"/>
      </rPr>
      <t xml:space="preserve"> : Parc existant surtout standard. Les ventes restent proches du parc, centré sur standard, du fait de budgets et de rénovations menées surtout par lots. Le neuf est un peu plus qualitatif que la rénovation, sans renverser le centre de gravité du mix. Parcs militaires d’hébergement : fonctionnels et standardisés, avec montée en qualité essentiellement lors d’opérations immobilières de plus grande ampleur.Centres de recrutement et bureaux d’information ; Salles de conférence, auditoriums et espaces événementiels ouverts au public : Parc existant surtout standard. Les ventes restent proches du parc, centré sur standard / intermédiaire, du fait de budgets et de rénovations menées surtout par lots. La rénovation restant majoritaire, le mix de ventes reste proche du parc et monte surtout d’un cran sur les opérations lourdes. Espaces militaires recevant du public : niveau de confort supérieur au parc purement interne, sans logique de luxe.Restaurants ou équipements sportifs ouverts au public sur emprise militaire : Parc existant surtout standard. Les ventes restent proches du parc, centré sur standard / intermédiaire, du fait de budgets et de rénovations menées surtout par lots. La rénovation restant majoritaire, le mix de ventes reste proche du parc et monte surtout d’un cran sur les opérations lourdes. Espaces militaires recevant du public : niveau de confort supérieur au parc purement interne, sans logique de luxe. Espaces militaires recevant du public : niveau de confort supérieur au parc purement interne, sans logique de luxe.</t>
    </r>
  </si>
  <si>
    <r>
      <rPr>
        <b/>
        <sz val="9"/>
        <rFont val="Calibri"/>
      </rPr>
      <t>Unités d'hébergement des militaires &amp; réservistes</t>
    </r>
    <r>
      <rPr>
        <sz val="9"/>
        <rFont val="Calibri"/>
      </rPr>
      <t xml:space="preserve"> : ±4 ptsCentres de recrutement et bureaux d’information ; Restaurants ou équipements sportifs ouverts au public sur emprise militaire ; Salles de conférence, auditoriums et espaces événementiels ouverts au public : ±5 pts</t>
    </r>
  </si>
  <si>
    <r>
      <rPr>
        <b/>
        <sz val="9"/>
        <rFont val="Calibri"/>
      </rPr>
      <t>Unités d'hébergement des militaires &amp; réservistes</t>
    </r>
    <r>
      <rPr>
        <sz val="9"/>
        <rFont val="Calibri"/>
      </rPr>
      <t xml:space="preserve"> : BonneCentres de recrutement et bureaux d’information ; Restaurants ou équipements sportifs ouverts au public sur emprise militaire ; Salles de conférence, auditoriums et espaces événementiels ouverts au public : Moyenne +</t>
    </r>
  </si>
  <si>
    <r>
      <rPr>
        <b/>
        <sz val="9"/>
        <rFont val="Calibri"/>
      </rPr>
      <t>Unités d'hébergement des militaires &amp; réservistes</t>
    </r>
    <r>
      <rPr>
        <sz val="9"/>
        <rFont val="Calibri"/>
      </rPr>
      <t xml:space="preserve"> : Parcs militaires d’hébergement : fonctionnels et standardisés, avec montée en qualité essentiellement lors d’opérations immobilières de plus grande ampleur.Centres de recrutement et bureaux d’information ; Restaurants ou équipements sportifs ouverts au public sur emprise militaire ; Salles de conférence, auditoriums et espaces événementiels ouverts au public : Espaces militaires recevant du public : niveau de confort supérieur au parc purement interne, sans logique de luxe.</t>
    </r>
  </si>
  <si>
    <r>
      <rPr>
        <b/>
        <sz val="9"/>
        <rFont val="Calibri"/>
      </rPr>
      <t>Unités d'hébergement des militaires &amp; réservistes</t>
    </r>
    <r>
      <rPr>
        <sz val="9"/>
        <rFont val="Calibri"/>
      </rPr>
      <t xml:space="preserve"> : poids du neuf significatif ⇒ premiumisation des ventes &gt; parcCentres de recrutement et bureaux d’information ; Restaurants ou équipements sportifs ouverts au public sur emprise militaire ; Salles de conférence, auditoriums et espaces événementiels ouverts au public : image d’accueil ⇒ intermédiaire/premium ↑ ; rénovation dominante ⇒ progression graduelle</t>
    </r>
  </si>
  <si>
    <r>
      <rPr>
        <b/>
        <sz val="9"/>
        <rFont val="Calibri"/>
      </rPr>
      <t>Unités d'hébergement des militaires &amp; réservistes</t>
    </r>
    <r>
      <rPr>
        <sz val="9"/>
        <rFont val="Calibri"/>
      </rPr>
      <t xml:space="preserve"> : Unités d'hébergement des militaires &amp; réservistes : hébergements militaires sobres, renouvelés par lots. Ventes 2026-2030 : glissement vers davantage de moyen / premium, surtout sur lavabo (+2,5 pts sur premium+luxe), douche (+2,5 pts sur premium+luxe), WC (+2,3 pts sur premium+luxe). La rénovation reste majoritaire (71% des ventes, contre 29% en neuf) ; le neuf tire le mix vers le haut sans renverser le centre de gravité. L’écart de niveau de confort entre neuf et rénovation reste perceptible.Centres de recrutement et bureaux d’information : Centres de recrutement et bureaux d’information : centres de recrutement plus orientés accueil et image que les hébergements. Ventes 2026-2030 : glissement vers davantage de moyen / premium, surtout sur lavabo (+12,6 pts sur premium+luxe), WC (+10,7 pts sur premium+luxe), urinoir (+7,5 pts sur premium+luxe). La rénovation reste majoritaire (77% des ventes, contre 23% en neuf) ; le neuf tire le mix vers le haut sans renverser le centre de gravité. L’écart de niveau de confort entre neuf et rénovation est net.Restaurants ou équipements sportifs ouverts au public sur emprise militaire : Restaurants ou équipements sportifs ouverts au public sur emprise militaire : espaces recevant du public sur emprise militaire plus proches d’un ERP classique. Ventes 2026-2030 : glissement vers davantage de moyen / premium, surtout sur lavabo (+9,1 pts sur premium+luxe), WC (+7,4 pts sur premium+luxe), urinoir (+4,8 pts sur premium+luxe). La rénovation reste majoritaire (84% des ventes, contre 16% en neuf) ; le neuf tire le mix vers le haut sans renverser le centre de gravité. L’écart de niveau de confort entre neuf et rénovation est net.Salles de conférence, auditoriums et espaces événementiels ouverts au public : Salles de conférence, auditoriums et espaces événementiels ouverts au public : auditoriums/espaces événementiels militaires plus visibles et plus qualitatifs. Ventes 2026-2030 : glissement vers davantage de moyen / premium, surtout sur lavabo (+11,2 pts sur premium+luxe), douche (+10,3 pts sur premium+luxe), WC (+7,8 pts sur premium+luxe). La rénovation reste majoritaire (83% des ventes, contre 17% en neuf) ; le neuf tire le mix vers le haut sans renverser le centre de gravité. L’écart de niveau de confort entre neuf et rénovation est net.</t>
    </r>
  </si>
  <si>
    <t>1 - Maisons d’arrêt
2 - Centres de détention
3 - Maisons centrales
4 - Centres pénitentiaires
5 - Centres de semi-liberté
6 - Centres éducatifs fermés</t>
  </si>
  <si>
    <r>
      <rPr>
        <b/>
        <sz val="9"/>
        <rFont val="Calibri"/>
      </rPr>
      <t>Maisons d’arrêt ; Centres de détention ; Maisons centrales ; Centres pénitentiaires ; Centres éducatifs fermés</t>
    </r>
    <r>
      <rPr>
        <sz val="9"/>
        <rFont val="Calibri"/>
      </rPr>
      <t xml:space="preserve"> : Cas particulier / accès contrôléCentres de semi-liberté : ERP partiel / variable</t>
    </r>
  </si>
  <si>
    <r>
      <rPr>
        <b/>
        <sz val="9"/>
        <rFont val="Calibri"/>
      </rPr>
      <t>Maisons d’arrêt</t>
    </r>
    <r>
      <rPr>
        <sz val="9"/>
        <rFont val="Calibri"/>
      </rPr>
      <t xml:space="preserve"> : Établissements pénitentiaires accueillant principalement des prévenus et des condamnés à courte peine. Le site n’est pas un ERP autonome homogène ; seuls les espaces recevant effectivement visiteurs, intervenants ou patients relèvent d’un classement par usage.Centres de détention : Établissements pour condamnés à des peines plus longues, orientés vers la réinsertion. Le site n’est pas un ERP autonome homogène ; les espaces visiteurs, administratifs ou de santé se classent selon leur usage.Maisons centrales : Établissements à haut niveau de sécurité pour longues peines. Les zones de détention relèvent d’un régime sécurisé ; seuls les espaces visiteurs, administratifs ou de soins peuvent relever d’un classement par usage.Centres pénitentiaires : Établissements composites regroupant plusieurs quartiers ou régimes (maison d’arrêt, centre de détention, etc.). Pour un décompte par site, cette ligne est additive ; elle recoupe toutefois certaines logiques par quartier.Centres de semi-liberté : Structures dédiées à l’exécution de peines avec régime de semi-liberté. Les espaces administratifs, de contrôle et d’accueil suivent une logique de classement par usage dominant.Centres éducatifs fermés : Structures éducatives sécurisées pour mineurs relevant de la PJJ. Le classement dépend de l’exploitation réelle : composantes éducatives, hébergement, soins et espaces d’accueil peuvent relever de logiques proches de R, J, U ou W selon les locaux concernés.</t>
    </r>
  </si>
  <si>
    <r>
      <rPr>
        <b/>
        <sz val="9"/>
        <rFont val="Calibri"/>
      </rPr>
      <t>Maisons d’arrêt</t>
    </r>
    <r>
      <rPr>
        <sz val="9"/>
        <rFont val="Calibri"/>
      </rPr>
      <t xml:space="preserve"> : Maison d’arrêtCentres de détention : Centre de détentionMaisons centrales : Maison centraleCentres pénitentiaires : Centre pénitentiaireCentres de semi-liberté : Centre de semi-libertéCentres éducatifs fermés : CEF</t>
    </r>
  </si>
  <si>
    <r>
      <rPr>
        <b/>
        <sz val="9"/>
        <rFont val="Calibri"/>
      </rPr>
      <t>Maisons d’arrêt</t>
    </r>
    <r>
      <rPr>
        <sz val="9"/>
        <rFont val="Calibri"/>
      </rPr>
      <t xml:space="preserve"> : Le parc de maisons d’arrêt varie peu sur la période ; les évolutions concernent surtout des restructurations et reconstructions plus que des ouvertures nettes.Centres de détention : Le nombre de centres de détention évolue faiblement ; les transformations se font surtout par changement de statut d’établissement ou restructuration.Maisons centrales : Le parc des maisons centrales est structurellement très limité et très stable ; la stagnation reflète la rareté de ce type d’établissement.Centres pénitentiaires : Hausse lente liée à la modernisation du parc pénitentiaire et au regroupement de quartiers sur des sites composites.Centres de semi-liberté : Parc restreint, évoluant lentement ; une partie des évolutions se fait par requalification ou articulation avec les centres pour peines aménagées.Centres éducatifs fermés : Le parc a augmenté de manière graduelle puis plus rapide avec les programmes récents de création ; la série n’est pas stagnante.</t>
    </r>
  </si>
  <si>
    <r>
      <rPr>
        <b/>
        <sz val="9"/>
        <rFont val="Calibri"/>
      </rPr>
      <t>Maisons d’arrêt ; Centres de détention</t>
    </r>
    <r>
      <rPr>
        <sz val="9"/>
        <rFont val="Calibri"/>
      </rPr>
      <t xml:space="preserve"> : Ancrage sur les statistiques de l’administration pénitentiaire ; projection 2027-2030 prudente et stable.Maisons centrales : Estimation encadrée sur un nombre très limité d’établissements ; projection 2027-2030 stable.Centres pénitentiaires : Série proxy lissée à partir de la structure du parc pénitentiaire ; projection 2027-2030 en légère hausse.Centres de semi-liberté : Proxy sur structures d’exécution aménagée ; projection 2027-2030 stable à légèrement haussière.Centres éducatifs fermés : Ancrage sur les CEF publiés par la Justice ; projection 2027-2030 haussière mais prudente.</t>
    </r>
  </si>
  <si>
    <r>
      <rPr>
        <b/>
        <sz val="9"/>
        <rFont val="Calibri"/>
      </rPr>
      <t>Maisons d’arrêt ; Centres de détention ; Maisons centrales ; Centres pénitentiaires ; Centres de semi-liberté</t>
    </r>
    <r>
      <rPr>
        <sz val="9"/>
        <rFont val="Calibri"/>
      </rPr>
      <t xml:space="preserve"> : https://www.justice.gouv.fr/sites/default/files/2025-02/statistique_etablissements_personnes_ecrouees_01022025.pdfCentres éducatifs fermés : https://www.justice.gouv.fr/documentation/ressources/mission-thematique-devaluation-centres-educatifs-fermes-cef</t>
    </r>
  </si>
  <si>
    <r>
      <rPr>
        <b/>
        <sz val="9"/>
        <rFont val="Calibri"/>
      </rPr>
      <t>Maisons d’arrêt</t>
    </r>
    <r>
      <rPr>
        <sz val="9"/>
        <rFont val="Calibri"/>
      </rPr>
      <t xml:space="preserve"> : Maison d'arrêt : cellules/chambres avec coin sanitaire individuel quand il existe + douches de promenade/sport/ateliers et locaux staff.Centres de détention : Centre de détention : part importante de cellules/chambres équipées + douches par aile et locaux communs/staff.Maisons centrales : Maison centrale : cellules équipées et quelques douches collectives/sectorisées, complétées par locaux communs.Centres pénitentiaires : Centre pénitentiaire : cellules équipées + douches sectorisées + parloirs/ateliers/sport/staff.Centres de semi-liberté : Centre de semi-liberté : chambres/cellules équipées lorsqu'elles existent + blocs communs et douches.Centres éducatifs fermés : Centre éducatif fermé : petit internat sécurisé ; chambres et petits blocs communs, dimensionnés sans compter les cabines isolées.</t>
    </r>
  </si>
  <si>
    <r>
      <rPr>
        <b/>
        <sz val="9"/>
        <rFont val="Calibri"/>
      </rPr>
      <t>Maisons d’arrêt</t>
    </r>
    <r>
      <rPr>
        <sz val="9"/>
        <rFont val="Calibri"/>
      </rPr>
      <t xml:space="preserve"> : Capacité type ≈ 188 détenus/résidents + 50 staff + 12 visiteurs/intervenants. Le programme inclut cellules/chambres équipées quand elles existent, complétées par douches de secteur, parloirs, ateliers, sport et staff ; il ne s'agit pas d'un calcul au seul flux public. Calibrage selon capacité simultanée, répartition de flux et organisation réelle du site.Centres de détention : Capacité type ≈ 262 détenus/résidents + 70 staff + 18 visiteurs/intervenants. Le programme inclut cellules/chambres équipées quand elles existent, complétées par douches de secteur, parloirs, ateliers, sport et staff ; il ne s'agit pas d'un calcul au seul flux public. Calibrage selon capacité simultanée, répartition de flux et organisation réelle du site.Maisons centrales : Capacité type ≈ 150 détenus/résidents + 40 staff + 10 visiteurs/intervenants. Le programme inclut cellules/chambres équipées quand elles existent, complétées par douches de secteur, parloirs, ateliers, sport et staff ; il ne s'agit pas d'un calcul au seul flux public. Calibrage selon capacité simultanée, répartition de flux et organisation réelle du site.Centres pénitentiaires : Capacité type ≈ 488 détenus/résidents + 130 staff + 32 avocats/visiteurs. Le programme inclut cellules/chambres équipées quand elles existent, complétées par douches de secteur, parloirs, ateliers, sport et staff ; il ne s'agit pas d'un calcul au seul flux public. Calibrage selon capacité simultanée, répartition de flux et organisation réelle du site.Centres de semi-liberté : Capacité type ≈ 43 détenus/résidents + 14 staff + 3 visiteurs/assesseurs. Le programme inclut cellules/chambres équipées quand elles existent, complétées par douches de secteur, parloirs, ateliers, sport et staff ; il ne s'agit pas d'un calcul au seul flux public. Calibrage selon capacité simultanée, répartition de flux et organisation réelle du site.Centres éducatifs fermés : Capacité type ≈ 8 détenus/résidents + 3 staff + 1 visiteurs/avocats. Le programme inclut cellules/chambres équipées quand elles existent, complétées par douches de secteur, parloirs, ateliers, sport et staff ; il ne s'agit pas d'un calcul au seul flux public. Calibrage selon capacité simultanée, répartition de flux et organisation réelle du site.</t>
    </r>
  </si>
  <si>
    <r>
      <rPr>
        <b/>
        <sz val="9"/>
        <rFont val="Calibri"/>
      </rPr>
      <t>Maisons d’arrêt</t>
    </r>
    <r>
      <rPr>
        <sz val="9"/>
        <rFont val="Calibri"/>
      </rPr>
      <t xml:space="preserve"> : Profil grand, capacité moyenne ≈ 250 personnes. Moyenne pondérée terrain : parc majoritairement petits/moyens sites, grands sites intégrés sans surpondération ; usage 2025 modérée.Centres de détention : Profil grand, capacité moyenne ≈ 350 personnes. Moyenne pondérée terrain : parc majoritairement petits/moyens sites, grands sites intégrés sans surpondération ; usage 2025 modérée.Maisons centrales : Profil moyen, capacité moyenne ≈ 200 personnes. Moyenne pondérée terrain : parc majoritairement petits/moyens sites, grands sites intégrés sans surpondération ; usage 2025 modérée.Centres pénitentiaires : Profil grand, capacité moyenne ≈ 650 personnes. Moyenne pondérée terrain : parc majoritairement petits/moyens sites, grands sites intégrés sans surpondération ; usage 2025 modérée.Centres de semi-liberté : Profil petit, capacité moyenne ≈ 60 personnes. Moyenne pondérée terrain : parc majoritairement petits/moyens sites, grands sites intégrés sans surpondération ; usage 2025 modérée.Centres éducatifs fermés : Profil très petit, capacité moyenne ≈ 12 personnes. Moyenne pondérée terrain : parc majoritairement petits/moyens sites, grands sites intégrés sans surpondération ; usage 2025 modérée.</t>
    </r>
  </si>
  <si>
    <r>
      <rPr>
        <b/>
        <sz val="9"/>
        <rFont val="Calibri"/>
      </rPr>
      <t>Maisons d’arrêt</t>
    </r>
    <r>
      <rPr>
        <sz val="9"/>
        <rFont val="Calibri"/>
      </rPr>
      <t xml:space="preserve"> : Usage intensif, dégradations volontaires possibles et accès maintenance plus complexe. ces facteurs raccourcissent concrètement la durée réelle. Les technos mécaniques simples sont favorisées, l'électronique restant plus courte malgré ses atouts d'hygiène. Le renouvellement intervient surtout à la panne, puis par lots dans les programmes de réhabilitation. Univers carcéral : Usage intensif, sûreté et anti-vandalisme, maintenance par l’arrière privilégiée, parc ancien mais renouvelé partiellement par le plan prison 15 000 places.Centres de détention : Usage carcéral quotidien, dégradations possibles mais population plus stable que maison d'arrêt; maintenance encadrée. Proche maison d'arrêt, légèrement plus prévisible. Univers carcéral : Usage intensif, sûreté et anti-vandalisme, maintenance par l’arrière privilégiée, parc ancien mais renouvelé partiellement par le plan prison 15 000 places.Maisons centrales : Haut niveau de sécurité, détenus longue peine et équipements anti-vandalisme; usage quotidien mais maintenance complexe. Similaire détention, renouvellement lent par sécurité. Univers carcéral : Usage intensif, sûreté et anti-vandalisme, maintenance par l’arrière privilégiée, parc ancien mais renouvelé partiellement par le plan prison 15 000 places.Centres pénitentiaires : Mix maison d'arrêt/détention, intensité forte et diversité de zones; dégradations et accès maintenance contraints. Durées prudentes, proches maison d'arrêt. Univers carcéral : Usage intensif, sûreté et anti-vandalisme, maintenance par l’arrière privilégiée, parc ancien mais renouvelé partiellement par le plan prison 15 000 places.Centres de semi-liberté : Usage résidentiel encadré mais ouvertures quotidiennes, pics matin/soir et maintenance moins lourde que détention. Similaire carcéral mais un peu moins exposé. Univers carcéral : Usage intensif, sûreté et anti-vandalisme, maintenance par l’arrière privilégiée, parc ancien mais renouvelé partiellement par le plan prison 15 000 places.Centres éducatifs fermés : Public jeune, encadrement éducatif, risque de chocs/vandalisme et usage intensif des douches. Prudence proche scolaire dur et carcéral léger. Usage intensif, dégradations volontaires possibles et accès maintenance plus complexe. ces facteurs raccourcissent concrètement la durée réelle. Les technos mécaniques simples sont favorisées, l'électronique restant plus courte malgré ses atouts d'hygiène. Le renouvellement intervient surtout à la panne, puis par lots dans les programmes de réhabilitation.</t>
    </r>
  </si>
  <si>
    <r>
      <rPr>
        <b/>
        <sz val="9"/>
        <rFont val="Calibri"/>
      </rPr>
      <t>Maisons d’arrêt ; Maisons centrales</t>
    </r>
    <r>
      <rPr>
        <sz val="9"/>
        <rFont val="Calibri"/>
      </rPr>
      <t xml:space="preserve"> : Dans les maisons d’arrêt / maisons centrales, le parc comprend beaucoup d’équipements sécurisés/antivandalisme ou intégrés en cellule, d’où une part élevée d’'autres'.Centres de détention ; Centres pénitentiaires : Dans les centres de détention / pénitentiaires récents, la part d’équipements sécurisés reste élevée, mais le temporisé recule au profit d’ensembles plus modernes ou intégrés.Centres de semi-liberté ; Centres éducatifs fermés : Dans les structures pénitentiaires plus ouvertes (semi-liberté, CEF, peines aménagées), le parc reste sécurisé mais moins spécifique que dans le dur pénitentiaire.</t>
    </r>
  </si>
  <si>
    <r>
      <rPr>
        <b/>
        <sz val="9"/>
        <rFont val="Calibri"/>
      </rPr>
      <t>Maisons d’arrêt ; Maisons centrales</t>
    </r>
    <r>
      <rPr>
        <sz val="9"/>
        <rFont val="Calibri"/>
      </rPr>
      <t xml:space="preserve"> : Les douches restent très majoritairement temporisées mécaniques dans le parc pénitentiaire.Centres de détention ; Centres pénitentiaires : Les douches restent dominées par le temporisé mécanique, avec une part un peu plus élevée d’équipements récents.Centres de semi-liberté ; Centres éducatifs fermés : Les douches restent surtout temporisées mécaniques, avec davantage de mitigeurs que dans le parc fermé.</t>
    </r>
  </si>
  <si>
    <r>
      <rPr>
        <b/>
        <sz val="9"/>
        <rFont val="Calibri"/>
      </rPr>
      <t>Maisons d’arrêt ; Maisons centrales</t>
    </r>
    <r>
      <rPr>
        <sz val="9"/>
        <rFont val="Calibri"/>
      </rPr>
      <t xml:space="preserve"> : Quand des urinoirs existent, ils sont souvent collectifs sur le parc ancien.Centres de détention ; Centres pénitentiaires : Les configurations collectives restent dominantes pour les rares urinoirs présents.Centres de semi-liberté ; Centres éducatifs fermés : Le collectif reste important, mais un peu moins que dans les établissements fermés anciens.</t>
    </r>
  </si>
  <si>
    <r>
      <rPr>
        <b/>
        <sz val="9"/>
        <rFont val="Calibri"/>
      </rPr>
      <t>Maisons d’arrêt ; Maisons centrales</t>
    </r>
    <r>
      <rPr>
        <sz val="9"/>
        <rFont val="Calibri"/>
      </rPr>
      <t xml:space="preserve"> : Le parc WC est partagé entre réservoirs robustes et chasses directes ; cette dernière progresse mais n’est pas encore majoritaire sur l’ancien stock.Centres de détention ; Centres pénitentiaires : La chasse directe devient majoritaire sur le parc le plus moderne, sans faire disparaître les réservoirs robustes.Centres de semi-liberté ; Centres éducatifs fermés : Le réservoir reste légèrement majoritaire sur le parc existant, la chasse directe venant ensuite.</t>
    </r>
  </si>
  <si>
    <r>
      <rPr>
        <b/>
        <sz val="9"/>
        <rFont val="Calibri"/>
      </rPr>
      <t>Maisons d’arrêt ; Centres de détention ; Maisons centrales ; Centres de semi-liberté ; Centres éducatifs fermés</t>
    </r>
    <r>
      <rPr>
        <sz val="9"/>
        <rFont val="Calibri"/>
      </rPr>
      <t xml:space="preserve"> : 90,0% retenu : forte matérialisation car l’usage est intensif et la maintenance contrainte, avec toutefois un phasage strict site par site.Centres pénitentiaires : 90,0% retenu : la fréquentation soutient le besoin, mais la matérialisation dépend fortement des programmes de concession/exploitation.</t>
    </r>
  </si>
  <si>
    <r>
      <rPr>
        <b/>
        <sz val="9"/>
        <rFont val="Calibri"/>
      </rPr>
      <t>Maisons d’arrêt ; Centres de détention ; Centres pénitentiaires</t>
    </r>
    <r>
      <rPr>
        <sz val="9"/>
        <rFont val="Calibri"/>
      </rPr>
      <t xml:space="preserve"> : Potentiel rénovation élevé : fort sur un parc ancien et durci, avec besoins anti-vandalisme, sûreté et dignité d’usage. Les volumes restent d’abord tirés par les WC et les lavabos, plus que par les postes spécialisés. En rénovation, l’achat reste orienté vers des produits robustes, anti-vandalisme et simples à maintenir en site occupé.Maisons centrales : Potentiel rénovation moyen à soutenu : fort sur un parc ancien et durci, avec besoins anti-vandalisme, sûreté et dignité d’usage. Les volumes restent d’abord tirés par les WC et les lavabos, plus que par les postes spécialisés. En rénovation, l’achat reste orienté vers des produits robustes, anti-vandalisme et simples à maintenir en site occupé.Centres de semi-liberté : Potentiel rénovation moyen à soutenu : fort sur un parc ancien et durci, avec besoins anti-vandalisme, sûreté et dignité d’usage. Les lavabos et les WC portent l’essentiel des volumes, avec un poids secondaire des équipements spécialisés. En rénovation, l’achat reste orienté vers des produits robustes, anti-vandalisme et simples à maintenir en site occupé.Centres éducatifs fermés : Potentiel rénovation moyen à soutenu : fort sur un parc ancien et durci, avec besoins anti-vandalisme, sûreté et dignité d’usage. Les volumes se concentrent surtout sur lavabos et douches. En rénovation, l’achat reste orienté vers des produits robustes, anti-vandalisme et simples à maintenir en site occupé.</t>
    </r>
  </si>
  <si>
    <r>
      <rPr>
        <b/>
        <sz val="9"/>
        <rFont val="Calibri"/>
      </rPr>
      <t>Maisons d’arrêt</t>
    </r>
    <r>
      <rPr>
        <sz val="9"/>
        <rFont val="Calibri"/>
      </rPr>
      <t xml:space="preserve"> : Potentiel neuf faible : alimenté par le programme prison 15 000 places et les opérations judiciaires 2023-2027, avec une meilleure dynamique sur les établissements spécialisés ou récents. Le neuf est quasi nul dans le modèle et renvoie surtout à des reconstructions ou remplacements de sites. La croissance nette peut néanmoins être partiellement compensée par fermetures ou remplacements d’établissements vétustes.Centres de détention ; Maisons centrales ; Centres de semi-liberté : Potentiel neuf faible : alimenté par le programme prison 15 000 places et les opérations judiciaires 2023-2027, avec une meilleure dynamique sur les établissements spécialisés ou récents. Le neuf est quasi nul dans le modèle et renvoie surtout à des reconstructions ou remplacements de sites.Centres pénitentiaires : Potentiel neuf moyen à soutenu : alimenté par le programme prison 15 000 places et les opérations judiciaires 2023-2027, avec une meilleure dynamique sur les établissements spécialisés ou récents. Le neuf est significatif mais encore nettement inférieur à la rénovation.Centres éducatifs fermés : Potentiel neuf moyen à soutenu : alimenté par le programme prison 15 000 places et les opérations judiciaires 2023-2027, avec une meilleure dynamique sur les établissements spécialisés ou récents. Le neuf est très soutenu et pèse réellement dans l’activité.</t>
    </r>
  </si>
  <si>
    <r>
      <rPr>
        <b/>
        <sz val="9"/>
        <rFont val="Calibri"/>
      </rPr>
      <t>Maisons d’arrêt ; Centres de détention ; Maisons centrales ; Centres de semi-liberté ; Centres éducatifs fermés</t>
    </r>
    <r>
      <rPr>
        <sz val="9"/>
        <rFont val="Calibri"/>
      </rPr>
      <t xml:space="preserve"> : Dynamique neuf 2026-2030 : plus forte que dans la plupart des segments publics grâce à la programmation carcérale, tout en restant concentrée sur un nombre limité d’opérations lourdes.Centres pénitentiaires : Dynamique neuf 2026-2030 : plus forte que dans la plupart des segments publics grâce à la programmation carcérale, tout en restant concentrée sur un nombre limité d’opérations lourdes. C’est l’un des sous-segments judiciaires où le neuf reste le plus tangible.</t>
    </r>
  </si>
  <si>
    <t>https://www.defense.gouv.fr/ministere/politique-defense/loi-programmation-militaire-2024-2030
https://www.defense.gouv.fr/loi-programmation-militaire-2024-2030-grandes-orientations
https://www.statistiques.developpement-durable.gouv.fr/construction-de-locaux-resultats-fin-janvier-2026-france-entiere
https://www.insee.fr/fr/statistiques/8671745
https://www.insee.fr/fr/statistiques/8906564</t>
  </si>
  <si>
    <r>
      <rPr>
        <b/>
        <sz val="9"/>
        <rFont val="Calibri"/>
      </rPr>
      <t>Maisons d’arrêt ; Centres de détention ; Maisons centrales</t>
    </r>
    <r>
      <rPr>
        <sz val="9"/>
        <rFont val="Calibri"/>
      </rPr>
      <t xml:space="preserve"> : Parc existant surtout entrée de gamme. Les ventes restent proches du parc, centré sur entrée de gamme / standard, sous l’effet des contraintes de sûreté, d’anti-vandalisme et de maintenance. La rénovation restant majoritaire, le mix de ventes reste proche du parc et monte surtout d’un cran sur les opérations lourdes. Univers carcéral : l’anti-vandalisme, la sûreté et la maintenance dominent très largement le cahier des charges ; le coût unitaire peut être élevé sans traduire un niveau de confort élevé.Centres pénitentiaires : Parc existant surtout standard. Les ventes restent proches du parc, centré sur standard, sous l’effet des contraintes de sûreté, d’anti-vandalisme et de maintenance. Le neuf est un peu plus qualitatif que la rénovation, sans renverser le centre de gravité du mix. Les établissements plus récents ou orientés réinsertion/éducatif montent légèrement en standard, mais le fonctionnel et la robustesse restent déterminants.Centres de semi-liberté : Parc existant surtout standard. Les ventes restent proches du parc, centré sur standard, sous l’effet des contraintes de sûreté, d’anti-vandalisme et de maintenance. La rénovation restant majoritaire, le mix de ventes reste proche du parc et monte surtout d’un cran sur les opérations lourdes. Les établissements plus récents ou orientés réinsertion/éducatif montent légèrement en standard, mais le fonctionnel et la robustesse restent déterminants.Centres éducatifs fermés : Parc existant surtout standard. Les ventes restent proches du parc, centré sur standard, sous l’effet des contraintes de sûreté, d’anti-vandalisme et de maintenance. Le neuf tire clairement le mix plus haut que la rénovation. Les établissements plus récents ou orientés réinsertion/éducatif montent légèrement en standard, mais le fonctionnel et la robustesse restent déterminants.</t>
    </r>
  </si>
  <si>
    <r>
      <rPr>
        <b/>
        <sz val="9"/>
        <rFont val="Calibri"/>
      </rPr>
      <t>Maisons d’arrêt ; Centres de détention ; Maisons centrales ; Centres pénitentiaires</t>
    </r>
    <r>
      <rPr>
        <sz val="9"/>
        <rFont val="Calibri"/>
      </rPr>
      <t xml:space="preserve"> : ±3 ptsCentres de semi-liberté ; Centres éducatifs fermés : ±4 pts</t>
    </r>
  </si>
  <si>
    <r>
      <rPr>
        <b/>
        <sz val="9"/>
        <rFont val="Calibri"/>
      </rPr>
      <t>Maisons d’arrêt ; Centres de détention ; Maisons centrales</t>
    </r>
    <r>
      <rPr>
        <sz val="9"/>
        <rFont val="Calibri"/>
      </rPr>
      <t xml:space="preserve"> : ±3 ptsCentres pénitentiaires ; Centres de semi-liberté : ±4 ptsCentres éducatifs fermés : ±5 pts</t>
    </r>
  </si>
  <si>
    <r>
      <rPr>
        <b/>
        <sz val="9"/>
        <rFont val="Calibri"/>
      </rPr>
      <t>Maisons d’arrêt ; Centres de détention ; Maisons centrales ; Centres pénitentiaires</t>
    </r>
    <r>
      <rPr>
        <sz val="9"/>
        <rFont val="Calibri"/>
      </rPr>
      <t xml:space="preserve"> : Très bonneCentres de semi-liberté ; Centres éducatifs fermés : Bonne</t>
    </r>
  </si>
  <si>
    <r>
      <rPr>
        <b/>
        <sz val="9"/>
        <rFont val="Calibri"/>
      </rPr>
      <t>Maisons d’arrêt ; Centres de détention ; Maisons centrales ; Centres pénitentiaires</t>
    </r>
    <r>
      <rPr>
        <sz val="9"/>
        <rFont val="Calibri"/>
      </rPr>
      <t xml:space="preserve"> : Univers carcéral : l’anti-vandalisme, la sûreté et la maintenance dominent très largement le cahier des charges ; le coût unitaire peut être élevé sans traduire un niveau de confort élevé.Centres de semi-liberté ; Centres éducatifs fermés : Les établissements plus récents ou orientés réinsertion/éducatif montent légèrement en standard, mais le fonctionnel et la robustesse restent déterminants.</t>
    </r>
  </si>
  <si>
    <r>
      <rPr>
        <b/>
        <sz val="9"/>
        <rFont val="Calibri"/>
      </rPr>
      <t>Maisons d’arrêt ; Centres de détention ; Maisons centrales</t>
    </r>
    <r>
      <rPr>
        <sz val="9"/>
        <rFont val="Calibri"/>
      </rPr>
      <t xml:space="preserve"> : forte fréquentation ⇒ standard ↑, premium/luxe ↓ ; rénovation dominante ⇒ progression graduelleCentres pénitentiaires : forte fréquentation ⇒ standard ↑, premium/luxe ↓ ; poids du neuf significatif ⇒ premiumisation des ventes &gt; parcCentres de semi-liberté : rénovation dominante ⇒ progression graduelleCentres éducatifs fermés : poids du neuf significatif ⇒ premiumisation des ventes &gt; parc</t>
    </r>
  </si>
  <si>
    <r>
      <rPr>
        <b/>
        <sz val="9"/>
        <rFont val="Calibri"/>
      </rPr>
      <t>Maisons d’arrêt</t>
    </r>
    <r>
      <rPr>
        <sz val="9"/>
        <rFont val="Calibri"/>
      </rPr>
      <t xml:space="preserve"> : Maisons d’arrêt : maisons d’arrêt à pression d’usage maximale et budget fonctionnel. Ventes 2026-2030 : glissement vers davantage de moyen / premium. La rénovation reste majoritaire (81% des ventes, contre 19% en neuf) ; le neuf tire le mix vers le haut sans renverser le centre de gravité. L’écart de niveau de confort entre neuf et rénovation reste perceptible.Centres de détention : Centres de détention : centres de détention un peu moins sous tension que les maisons d’arrêt, mais toujours très utilitaires. Ventes 2026-2030 : glissement vers davantage de moyen / premium. La rénovation reste majoritaire (81% des ventes, contre 19% en neuf) ; le neuf tire le mix vers le haut sans renverser le centre de gravité. L’écart de niveau de confort entre neuf et rénovation reste perceptible.Maisons centrales : Maisons centrales : maisons centrales très sécurisées et anti-vandalisme. Ventes 2026-2030 : glissement vers davantage de moyen / premium. La rénovation reste majoritaire (80% des ventes, contre 20% en neuf) ; le neuf tire le mix vers le haut sans renverser le centre de gravité. L’écart de niveau de confort entre neuf et rénovation reste perceptible.Centres pénitentiaires : Centres pénitentiaires : centres pénitentiaires mixtes mais encore pilotés par robustesse. Ventes 2026-2030 : glissement vers davantage de moyen / premium. Le neuf pèse suffisamment (37% des ventes) pour relever le niveau de confort moyen au-dessus de la rénovation (63%). L’écart de niveau de confort entre neuf et rénovation reste perceptible.Centres de semi-liberté : Centres de semi-liberté : semi-liberté avec logique plus proche du résidentiel encadré. Ventes 2026-2030 : glissement vers davantage de moyen / premium, surtout sur lavabo (+2,8 pts sur premium+luxe), douche (+2,6 pts sur premium+luxe), WC (+2,6 pts sur premium+luxe). La rénovation reste majoritaire (84% des ventes, contre 16% en neuf) ; le neuf tire le mix vers le haut sans renverser le centre de gravité. L’écart de niveau de confort entre neuf et rénovation est net.Centres éducatifs fermés : Centres éducatifs fermés : centres éducatifs fermés un peu moins durs que le carcéral adulte. Ventes 2026-2030 : glissement vers davantage de moyen / premium, surtout sur lavabo (+8,4 pts sur premium+luxe), WC (+7,7 pts sur premium+luxe), douche (+6,3 pts sur premium+luxe). Le neuf pèse suffisamment (49% des ventes) pour relever le niveau de confort moyen au-dessus de la rénovation (51%). L’écart de niveau de confort entre neuf et rénovation est net.</t>
    </r>
  </si>
  <si>
    <t>1 - Palais de justice et bâtiments judiciaires multi-usages
2 - Maisons de justice et du droit
3 - Tribunaux de commerce autonomes
4 - Conseils de prud’hommes autonomes</t>
  </si>
  <si>
    <r>
      <rPr>
        <b/>
        <sz val="9"/>
        <rFont val="Calibri"/>
      </rPr>
      <t>Palais de justice et bâtiments judiciaires multi-usages</t>
    </r>
    <r>
      <rPr>
        <sz val="9"/>
        <rFont val="Calibri"/>
      </rPr>
      <t xml:space="preserve"> : VariableMaisons de justice et du droit : WTribunaux de commerce autonomes ; Conseils de prud’hommes autonomes : W ou L</t>
    </r>
  </si>
  <si>
    <r>
      <rPr>
        <b/>
        <sz val="9"/>
        <rFont val="Calibri"/>
      </rPr>
      <t>Palais de justice et bâtiments judiciaires multi-usages</t>
    </r>
    <r>
      <rPr>
        <sz val="9"/>
        <rFont val="Calibri"/>
      </rPr>
      <t xml:space="preserve"> : Ensemble multi-classementsMaisons de justice et du droit ; Tribunaux de commerce autonomes ; Conseils de prud’hommes autonomes : ERP</t>
    </r>
  </si>
  <si>
    <r>
      <rPr>
        <b/>
        <sz val="9"/>
        <rFont val="Calibri"/>
      </rPr>
      <t>Palais de justice et bâtiments judiciaires multi-usages</t>
    </r>
    <r>
      <rPr>
        <sz val="9"/>
        <rFont val="Calibri"/>
      </rPr>
      <t xml:space="preserve"> : Un même bâtiment judiciaire peut regrouper des espaces de type W, des salles d’audience de type L et d’autres locaux annexes ; le classement se raisonne par usage et exploitation. Cette ligne sert de référence si l’unité de compte retenue est le site physique.Maisons de justice et du droit : Structures de proximité recevant le public pour l’accès au droit, l’information, la médiation et certaines permanences judiciaires. Classement principalement de type W.Tribunaux de commerce autonomes : Juridictions commerciales recevant du public dans des bâtiments autonomes. Le classement relève principalement de W, avec des composantes L si des salles d’audience dominent l’exploitation.Conseils de prud’hommes autonomes : Juridictions prud’homales recevant du public dans des bâtiments autonomes. Le classement relève principalement de W, avec composantes L lorsque les salles d’audience ou de conciliation dominent l’exploitation.</t>
    </r>
  </si>
  <si>
    <r>
      <rPr>
        <b/>
        <sz val="9"/>
        <rFont val="Calibri"/>
      </rPr>
      <t>Palais de justice et bâtiments judiciaires multi-usages</t>
    </r>
    <r>
      <rPr>
        <sz val="9"/>
        <rFont val="Calibri"/>
      </rPr>
      <t xml:space="preserve"> : Palais de justiceMaisons de justice et du droit : MJDTribunaux de commerce autonomes : Tribunal de commerceConseils de prud’hommes autonomes : Conseil de prud’hommes</t>
    </r>
  </si>
  <si>
    <r>
      <rPr>
        <b/>
        <sz val="9"/>
        <rFont val="Calibri"/>
      </rPr>
      <t>Palais de justice et bâtiments judiciaires multi-usages</t>
    </r>
    <r>
      <rPr>
        <sz val="9"/>
        <rFont val="Calibri"/>
      </rPr>
      <t xml:space="preserve"> : Site
Bâtiment principalMaisons de justice et du droit ; Tribunaux de commerce autonomes ; Conseils de prud’hommes autonomes : Site
Etablissement principal</t>
    </r>
  </si>
  <si>
    <r>
      <rPr>
        <b/>
        <sz val="9"/>
        <rFont val="Calibri"/>
      </rPr>
      <t>Palais de justice et bâtiments judiciaires multi-usages ; Tribunaux de commerce autonomes ; Conseils de prud’hommes autonomes</t>
    </r>
    <r>
      <rPr>
        <sz val="9"/>
        <rFont val="Calibri"/>
      </rPr>
      <t xml:space="preserve"> : proxy public / estimation encadréeMaisons de justice et du droit : série publique directe / proxy public</t>
    </r>
  </si>
  <si>
    <r>
      <rPr>
        <b/>
        <sz val="9"/>
        <rFont val="Calibri"/>
      </rPr>
      <t>Palais de justice et bâtiments judiciaires multi-usages</t>
    </r>
    <r>
      <rPr>
        <sz val="9"/>
        <rFont val="Calibri"/>
      </rPr>
      <t xml:space="preserve"> : Le parc de bâtiments judiciaires évolue lentement ; la variation tient surtout aux regroupements ou relocalisations plutôt qu’aux créations nettes.Maisons de justice et du droit : Le réseau s’est densifié puis s’est stabilisé ; la croissance récente est beaucoup plus lente qu’au début de période.Tribunaux de commerce autonomes : Le nombre d’établissements évolue peu ; la stagnation reflète la stabilité relative de la carte des juridictions commerciales autonomes.Conseils de prud’hommes autonomes : Le nombre de conseils de prud’hommes autonomes varie peu ; la stagnation reflète une carte prud’homale assez stable.</t>
    </r>
  </si>
  <si>
    <r>
      <rPr>
        <b/>
        <sz val="9"/>
        <rFont val="Calibri"/>
      </rPr>
      <t>Palais de justice et bâtiments judiciaires multi-usages</t>
    </r>
    <r>
      <rPr>
        <sz val="9"/>
        <rFont val="Calibri"/>
      </rPr>
      <t xml:space="preserve"> : Ancrage sur le réseau des juridictions judiciaires ; projection 2027-2030 stable.Maisons de justice et du droit ; Tribunaux de commerce autonomes ; Conseils de prud’hommes autonomes : Ancrage sur les chiffres-clés de la Justice ; projection 2027-2030 stable.</t>
    </r>
  </si>
  <si>
    <r>
      <rPr>
        <b/>
        <sz val="9"/>
        <rFont val="Calibri"/>
      </rPr>
      <t>Palais de justice et bâtiments judiciaires multi-usages</t>
    </r>
    <r>
      <rPr>
        <sz val="9"/>
        <rFont val="Calibri"/>
      </rPr>
      <t xml:space="preserve"> : Palais de justice : blocs publics, magistrats/agents et locaux d'audience.Maisons de justice et du droit ; Tribunaux de commerce autonomes ; Conseils de prud’hommes autonomes : Bâtiment judiciaire : bloc public + personnel.</t>
    </r>
  </si>
  <si>
    <r>
      <rPr>
        <b/>
        <sz val="9"/>
        <rFont val="Calibri"/>
      </rPr>
      <t>Palais de justice et bâtiments judiciaires multi-usages</t>
    </r>
    <r>
      <rPr>
        <sz val="9"/>
        <rFont val="Calibri"/>
      </rPr>
      <t xml:space="preserve"> : Capacité type ≈ 390 usagers principaux + 150 staff + 60 visiteurs/avocats. Le programme sanitaire est construit par blocs fonctionnels plausibles (public, personnel, exploitation/hébergement selon le cas) et non par simple ratio national moyen. Calibrage selon capacité simultanée, répartition de flux et organisation réelle du site.Maisons de justice et du droit : Capacité type ≈ 52 usagers principaux + 20 staff + 8 visiteurs/avocats. Le programme sanitaire est construit par blocs fonctionnels plausibles (public, personnel, exploitation/hébergement selon le cas) et non par simple ratio national moyen. Calibrage selon capacité simultanée, répartition de flux et organisation réelle du site.Tribunaux de commerce autonomes : Capacité type ≈ 143 usagers principaux + 55 staff + 22 visiteurs/avocats. Le programme sanitaire est construit par blocs fonctionnels plausibles (public, personnel, exploitation/hébergement selon le cas) et non par simple ratio national moyen. Calibrage selon capacité simultanée, répartition de flux et organisation réelle du site.Conseils de prud’hommes autonomes : Capacité type ≈ 117 usagers principaux + 45 staff + 18 visiteurs/avocats. Le programme sanitaire est construit par blocs fonctionnels plausibles (public, personnel, exploitation/hébergement selon le cas) et non par simple ratio national moyen. Calibrage selon capacité simultanée, répartition de flux et organisation réelle du site.</t>
    </r>
  </si>
  <si>
    <r>
      <rPr>
        <b/>
        <sz val="9"/>
        <rFont val="Calibri"/>
      </rPr>
      <t>Palais de justice et bâtiments judiciaires multi-usages</t>
    </r>
    <r>
      <rPr>
        <sz val="9"/>
        <rFont val="Calibri"/>
      </rPr>
      <t xml:space="preserve"> : Profil grand, capacité moyenne ≈ 600 personnes. Moyenne pondérée terrain : parc majoritairement petits/moyens sites, grands sites intégrés sans surpondération ; usage 2025 modérée.Maisons de justice et du droit : Profil moyen, capacité moyenne ≈ 80 personnes. Moyenne pondérée terrain : parc majoritairement petits/moyens sites, grands sites intégrés sans surpondération ; usage 2025 modérée.Tribunaux de commerce autonomes : Profil moyen, capacité moyenne ≈ 220 personnes. Moyenne pondérée terrain : parc majoritairement petits/moyens sites, grands sites intégrés sans surpondération ; usage 2025 modérée à forte par pics.Conseils de prud’hommes autonomes : Profil moyen, capacité moyenne ≈ 180 personnes. Moyenne pondérée terrain : parc majoritairement petits/moyens sites, grands sites intégrés sans surpondération ; usage 2025 modérée.</t>
    </r>
  </si>
  <si>
    <r>
      <rPr>
        <b/>
        <sz val="9"/>
        <rFont val="Calibri"/>
      </rPr>
      <t>Palais de justice et bâtiments judiciaires multi-usages</t>
    </r>
    <r>
      <rPr>
        <sz val="9"/>
        <rFont val="Calibri"/>
      </rPr>
      <t xml:space="preserve"> : Flux publics variables, budgets souvent contraints et maintenance plutôt réactive. Les écarts de durée ont été resserrés : le mécanique garde un petit avantage, l'électronique reste en retrait mais sans décote excessive. Le renouvellement intervient au fil des pannes puis lors des opérations de remise à niveau des sanitaires. Bureaux / administration / justice : Usage tertiaire moyen, faible vandalisme, rénovations par lots tirées par l’immobilier tertiaire, l’accessibilité et la trajectoire Éco Énergie Tertiaire.Maisons de justice et du droit : Accueil de proximité, rendez-vous, flux modéré et faible humidité; maintenance communale/judiciaire. Plus long que palais de justice, sans grands pics d'audience. Repères durées: lavabos 13/13/10 ans (mit./méca/élec.), douches 11/10/8, urinoirs 11/13/9/11, WC 12/13/10.Tribunaux de commerce autonomes : Public professionnel, flux par audiences et rendez-vous, faible vandalisme; rénovation par cycles immobiliers. Proche maisons de justice, électronique plus court par obsolescence. Repères durées: lavabos 13/13/10 ans (mit./méca/élec.), douches 11/10/8, urinoirs 11/13/9/11, WC 12/13/10.Conseils de prud’hommes autonomes : Pics liés aux audiences, tensions possibles mais blocs limités et usage intérieur; maintenance publique. Légèrement sous tribunal commerce, au-dessus palais multi-usages. Repères durées: lavabos 13/13/10 ans (mit./méca/élec.), douches 11/10/8, urinoirs 11/13/9/11, WC 12/13/10.</t>
    </r>
  </si>
  <si>
    <r>
      <rPr>
        <b/>
        <sz val="9"/>
        <rFont val="Calibri"/>
      </rPr>
      <t>Palais de justice et bâtiments judiciaires multi-usages</t>
    </r>
    <r>
      <rPr>
        <sz val="9"/>
        <rFont val="Calibri"/>
      </rPr>
      <t xml:space="preserve"> : Dans les palais de justice multi-usages, l’électronique est déjà bien présente sur les grands sites, sans éliminer le mitigeur et le temporisé du parc existant.Maisons de justice et du droit ; Tribunaux de commerce autonomes ; Conseils de prud’hommes autonomes : Dans les bâtiments judiciaires autonomes de petite taille, le parc reste plus proche d’un petit tertiaire/public : mitigeur majoritaire, électronique secondaire.</t>
    </r>
  </si>
  <si>
    <r>
      <rPr>
        <b/>
        <sz val="9"/>
        <rFont val="Calibri"/>
      </rPr>
      <t>Palais de justice et bâtiments judiciaires multi-usages</t>
    </r>
    <r>
      <rPr>
        <sz val="9"/>
        <rFont val="Calibri"/>
      </rPr>
      <t xml:space="preserve"> : Les urinoirs automatiques progressent mais coexistent encore avec le parc classique.Maisons de justice et du droit ; Tribunaux de commerce autonomes ; Conseils de prud’hommes autonomes : Les rares urinoirs relèvent surtout d’un parc classique.</t>
    </r>
  </si>
  <si>
    <r>
      <rPr>
        <b/>
        <sz val="9"/>
        <rFont val="Calibri"/>
      </rPr>
      <t>Palais de justice et bâtiments judiciaires multi-usages</t>
    </r>
    <r>
      <rPr>
        <sz val="9"/>
        <rFont val="Calibri"/>
      </rPr>
      <t xml:space="preserve"> : Le parc WC est plus modernisé que dans les petits tribunaux : réservoir, chasse directe et électronique coexistent à des niveaux élevés.Maisons de justice et du droit ; Tribunaux de commerce autonomes ; Conseils de prud’hommes autonomes : Le réservoir reste majoritaire, la chasse directe et l’électronique étant plus ponctuelles.</t>
    </r>
  </si>
  <si>
    <r>
      <rPr>
        <b/>
        <sz val="9"/>
        <rFont val="Calibri"/>
      </rPr>
      <t>Palais de justice et bâtiments judiciaires multi-usages</t>
    </r>
    <r>
      <rPr>
        <sz val="9"/>
        <rFont val="Calibri"/>
      </rPr>
      <t xml:space="preserve"> : 84,0% retenu : la fréquentation soutient le besoin, mais la matérialisation dépend fortement des programmes de concession/exploitation.Maisons de justice et du droit ; Tribunaux de commerce autonomes ; Conseils de prud’hommes autonomes : 81,8% retenu : part des besoins réellement transformée en travaux sur 2026-2030 après prise en compte des budgets, du phasage et des arbitrages locaux.</t>
    </r>
  </si>
  <si>
    <r>
      <rPr>
        <b/>
        <sz val="9"/>
        <rFont val="Calibri"/>
      </rPr>
      <t>Palais de justice et bâtiments judiciaires multi-usages ; Tribunaux de commerce autonomes ; Conseils de prud’hommes autonomes</t>
    </r>
    <r>
      <rPr>
        <sz val="9"/>
        <rFont val="Calibri"/>
      </rPr>
      <t xml:space="preserve"> : Potentiel neuf faible : quelques opérations immobilières judiciaires neuves ou extensions sont prévues, mais le flux reste sélectif. Le neuf est quasi nul dans le modèle et renvoie surtout à des reconstructions ou remplacements de sites.Maisons de justice et du droit : Potentiel neuf faible à moyen : quelques opérations immobilières judiciaires neuves ou extensions sont prévues, mais le flux reste sélectif. Le neuf est réel mais secondaire. Les formats de petite taille rendent les tickets unitaires modestes malgré une dynamique institutionnelle réelle.</t>
    </r>
  </si>
  <si>
    <t>https://www.justice.gouv.fr/presentation-loi-dorientation-programmation-ministere-justice-2023-2027
https://www.justice.gouv.fr/ministere-justice/budget-justice
https://www.justice.gouv.fr/documentation/ressources/rapport-2024-loi-dorientation-programmation-du-ministere-justice-2023-2027
https://www.justice.gouv.fr/plan-15-000-places-prison
https://www.justice.gouv.fr/actualites/actualite/immobilier-penitentiaire-15000-places-plus-prisons
https://www.statistiques.developpement-durable.gouv.fr/construction-de-locaux-resultats-fin-janvier-2026-france-entiere
https://www.insee.fr/fr/statistiques/8671745
https://www.insee.fr/fr/statistiques/8906564</t>
  </si>
  <si>
    <r>
      <rPr>
        <b/>
        <sz val="9"/>
        <rFont val="Calibri"/>
      </rPr>
      <t>Palais de justice et bâtiments judiciaires multi-usages</t>
    </r>
    <r>
      <rPr>
        <sz val="9"/>
        <rFont val="Calibri"/>
      </rPr>
      <t xml:space="preserve"> : Palais de justice et bâtiments judiciaires multi-usages : palais de justice multi-usages où l’image institutionnelle pèse dans les halls. Ventes 2026-2030 : glissement vers davantage de moyen / premium, surtout sur lavabo (+12,1 pts sur premium+luxe), WC (+9,4 pts sur premium+luxe), urinoir (+6,9 pts sur premium+luxe). La rénovation reste très majoritaire (85% des ventes, contre 15% en neuf) ; le neuf est plus qualitatif mais ne suffit pas à transformer fortement le mix. L’écart de niveau de confort entre neuf et rénovation est net.Maisons de justice et du droit : Maisons de justice et du droit : maisons de justice au budget plus serré et dimension de proximité. Ventes 2026-2030 : glissement vers davantage de moyen / premium, surtout sur lavabo (+10,9 pts sur premium+luxe), WC (+9,2 pts sur premium+luxe), urinoir (+8,3 pts sur premium+luxe). La rénovation reste majoritaire (79% des ventes, contre 21% en neuf) ; le neuf tire le mix vers le haut sans renverser le centre de gravité. L’écart de niveau de confort entre neuf et rénovation est net.Tribunaux de commerce autonomes : Tribunaux de commerce autonomes : tribunaux de commerce autonomes, souvent plus compacts et plus soignés. Ventes 2026-2030 : glissement vers davantage de moyen / premium, surtout sur lavabo (+11,3 pts sur premium+luxe), WC (+8,5 pts sur premium+luxe), urinoir (+7,9 pts sur premium+luxe). La rénovation reste très majoritaire (87% des ventes, contre 13% en neuf) ; le neuf est plus qualitatif mais ne suffit pas à transformer fortement le mix. L’écart de niveau de confort entre neuf et rénovation est net.Conseils de prud’hommes autonomes : Conseils de prud’hommes autonomes : prud’hommes plus sobres et rationnels. Ventes 2026-2030 : glissement vers davantage de moyen / premium, surtout sur lavabo (+9,7 pts sur premium+luxe), WC (+8,2 pts sur premium+luxe), urinoir (+7,7 pts sur premium+luxe). La rénovation reste très majoritaire (87% des ventes, contre 13% en neuf) ; le neuf est plus qualitatif mais ne suffit pas à transformer fortement le mix. L’écart de niveau de confort entre neuf et rénovation est net.</t>
    </r>
  </si>
  <si>
    <t>1 - Toilettes publiques
2 - Bains-douches municipaux / douches publiques fixes</t>
  </si>
  <si>
    <r>
      <rPr>
        <b/>
        <sz val="9"/>
        <rFont val="Calibri"/>
      </rPr>
      <t>Toilettes publiques</t>
    </r>
    <r>
      <rPr>
        <sz val="9"/>
        <rFont val="Calibri"/>
      </rPr>
      <t xml:space="preserve"> : Souvent équipement isolé / non type autonomeBains-douches municipaux / douches publiques fixes : Équipement public recevant du public</t>
    </r>
  </si>
  <si>
    <r>
      <rPr>
        <b/>
        <sz val="9"/>
        <rFont val="Calibri"/>
      </rPr>
      <t>Toilettes publiques</t>
    </r>
    <r>
      <rPr>
        <sz val="9"/>
        <rFont val="Calibri"/>
      </rPr>
      <t xml:space="preserve"> : Pas de type ERP autonome.Bains-douches municipaux / douches publiques fixes : Équipements dédiés à l’hygiène du public ; à distinguer des toilettes publiques simples déjà comptées séparément.</t>
    </r>
  </si>
  <si>
    <r>
      <rPr>
        <b/>
        <sz val="9"/>
        <rFont val="Calibri"/>
      </rPr>
      <t>Toilettes publiques</t>
    </r>
    <r>
      <rPr>
        <sz val="9"/>
        <rFont val="Calibri"/>
      </rPr>
      <t xml:space="preserve"> : Sanisette, bloc sanitaires publicBains-douches municipaux / douches publiques fixes : Bain-douche municipal, douche publique fixe</t>
    </r>
  </si>
  <si>
    <r>
      <rPr>
        <b/>
        <sz val="9"/>
        <rFont val="Calibri"/>
      </rPr>
      <t>Toilettes publiques</t>
    </r>
    <r>
      <rPr>
        <sz val="9"/>
        <rFont val="Calibri"/>
      </rPr>
      <t xml:space="preserve"> : Trajectoire s'appuie sur ordre de grandeur de 14 000 toilettes publiques et sur ratio d'1installation pour 4 500 habitants (2020). Hausse lente liée à l'hygiène urbaine, tourisme + accessibilité, sans rupture massiveBains-douches municipaux / douches publiques fixes : Paris = 16 bains-douches municipaux ouverts en 2025, Lyon (2). Mouvement de fond reste toutefois baissier à long terme avec fermeture ou transformation d'une partie du parc historique.</t>
    </r>
  </si>
  <si>
    <r>
      <rPr>
        <b/>
        <sz val="9"/>
        <rFont val="Calibri"/>
      </rPr>
      <t>Toilettes publiques</t>
    </r>
    <r>
      <rPr>
        <sz val="9"/>
        <rFont val="Calibri"/>
      </rPr>
      <t xml:space="preserve"> : https://www.leprogres.fr/societe/2026/01/10/un-droit-tres-important-face-au-manque-de-toilettes-publiques-quelles-solutions ; https://www.insee.fr/fr/metadonnees/source/serie/s1161 ; https://www.toilettespubliques.com/article/nombre-toilettes-par-ville-franceBains-douches municipaux / douches publiques fixes : https://www.ined.fr/fr/publications/editions/document-travail/bains-douches-de-paris-enquete-sur-lieux-et-usages/ ; https://www.paris.fr/pages/les-bains-douches-municipaux-138 ; https://portail.documentation.developpement-durable.gouv.fr/pub/ALNOUV00202594-acces-eau-assainissement-pour-les-plus-demunis-exe.html ; https://www.rue89lyon.fr/2024/05/11/les-bains-douches-de-la-croix-rousse-un-lieu-aussi-historique-quutile/</t>
    </r>
  </si>
  <si>
    <r>
      <rPr>
        <b/>
        <sz val="9"/>
        <rFont val="Calibri"/>
      </rPr>
      <t>Toilettes publiques</t>
    </r>
    <r>
      <rPr>
        <sz val="9"/>
        <rFont val="Calibri"/>
      </rPr>
      <t xml:space="preserve"> : Toilettes publiques autonomes : bloc urbain multi-usagers, entretien/exploitation non permanent.Bains-douches municipaux / douches publiques fixes : Bains-douches : service d’hygiène publique avec cabines de douche individuelles, petit bloc WC/lavabos et accueil/maintenance limitée.</t>
    </r>
  </si>
  <si>
    <r>
      <rPr>
        <b/>
        <sz val="9"/>
        <rFont val="Calibri"/>
      </rPr>
      <t>Toilettes publiques</t>
    </r>
    <r>
      <rPr>
        <sz val="9"/>
        <rFont val="Calibri"/>
      </rPr>
      <t xml:space="preserve"> : Capacité type ≈ 6 usagers principaux + 0 staff + 0 autre public. Jauge déjà renseignée ; usage très court mais rotations élevées. Dimensionnement unitaire retenu : cabines WC/lavabos accessibles, robuste et ventilé, sans staff permanent. Hypothèse d'usage : capacité simultanée moyenne 2026, répartition par flux réels, arrondie par blocs fonctionnels et exclusion des sanitaires strictement privatifs sauf cas explicitement collectifs.Bains-douches municipaux / douches publiques fixes : Capacité type ≈ 30 personnes présentes : 26 usagers, 3 agents, 1 accompagnant/intervenant. Dimensionnement retenu : 8 cabines de douche publiques, 4 lavabos, 1,5 urioir et 3 WC par site moyen. Hypothèse volontairement prudente : petit équipement municipal, flux par créneaux, attente limitée, hors très grands bains-douches parisiens.</t>
    </r>
  </si>
  <si>
    <r>
      <rPr>
        <b/>
        <sz val="9"/>
        <rFont val="Calibri"/>
      </rPr>
      <t>Toilettes publiques</t>
    </r>
    <r>
      <rPr>
        <sz val="9"/>
        <rFont val="Calibri"/>
      </rPr>
      <t xml:space="preserve"> : Profil très petit, capacité moyenne ≈ 6 personnes. Moyenne pondérée terrain : parc majoritairement petits/moyens sites, grands sites intégrés sans surpondération ; usage 2025 modérée.Bains-douches municipaux / douches publiques fixes : Profil petit, capacité moyenne ≈ 30 personnes. Moyenne pondérée terrain : parc majoritairement petits/moyens sites, grands sites intégrés sans surpondération ; usage 2025 forte à très forte.</t>
    </r>
  </si>
  <si>
    <r>
      <rPr>
        <b/>
        <sz val="9"/>
        <rFont val="Calibri"/>
      </rPr>
      <t>Toilettes publiques</t>
    </r>
    <r>
      <rPr>
        <sz val="9"/>
        <rFont val="Calibri"/>
      </rPr>
      <t xml:space="preserve"> : ERP/accessibilité sanitaires publics : https://www.legifrance.gouv.fr/loda/article_lc/LEGIARTI000034485966/ ; Code du travail sanitaires salariés : https://www.legifrance.gouv.fr/codes/id/LEGISCTA000018531984 ; INRS : https://www.inrs.fr/publications/juridique/focus-juridiques/focus-sanitaires-toilettes.htmlBains-douches municipaux / douches publiques fixes : Ville de Paris - cabines individuelles : https://www.paris.fr/pages/les-bains-douches-municipaux-138 ; Ville de Saint-Denis - 12 cabines individuelles : https://www.saintdenis.fr/bains-douches ; ERP/accessibilité sanitaires : https://www.legifrance.gouv.fr/loda/article_lc/LEGIARTI000034485966/</t>
    </r>
  </si>
  <si>
    <r>
      <rPr>
        <b/>
        <sz val="9"/>
        <rFont val="Calibri"/>
      </rPr>
      <t>Toilettes publiques</t>
    </r>
    <r>
      <rPr>
        <sz val="9"/>
        <rFont val="Calibri"/>
      </rPr>
      <t xml:space="preserve"> : Usage anonyme continu, vandalisme, intempéries, nettoyage agressif et maintenance d'urgence. Durées les plus basses, surtout électronique/capteurs et douches si présentes. Repères durées: lavabos 9/10/7 ans (mit./méca/élec.), douches 8/8/6, urinoirs 8/9/6/8, WC 9/10/7.Bains-douches municipaux / douches publiques fixes : Usage centré sur la douche, eau chaude et humidité quasi permanentes, nettoyage soutenu et public parfois fragile. Les douches et l’électronique vieillissent vite; les temporisés mécaniques et chasses directes tiennent mieux sous maintenance municipale contrainte.</t>
    </r>
  </si>
  <si>
    <r>
      <rPr>
        <b/>
        <sz val="9"/>
        <rFont val="Calibri"/>
      </rPr>
      <t>Toilettes publiques</t>
    </r>
    <r>
      <rPr>
        <sz val="9"/>
        <rFont val="Calibri"/>
      </rPr>
      <t xml:space="preserve"> : ans les toilettes publiques, le parc existant est dominé par les solutions robustes de collectivité : temporisé mécanique en tête, électronique très présente, mitigeur simple marginal. Le choix reflete usage non surveille, vandalisme eleve et nettoyage tres frequent ; anti-vandalisme, automatismes, hygienisation et maintenance rapide.Bains-douches municipaux / douches publiques fixes : Bains-douches : lavabos secondaires face aux cabines, mais sollicités à chaque passage. Temporisé mécanique dominant pour sobriété, robustesse et maintenance simple; électronique limité aux rénovations.</t>
    </r>
  </si>
  <si>
    <r>
      <rPr>
        <b/>
        <sz val="9"/>
        <rFont val="Calibri"/>
      </rPr>
      <t>Toilettes publiques</t>
    </r>
    <r>
      <rPr>
        <sz val="9"/>
        <rFont val="Calibri"/>
      </rPr>
      <t xml:space="preserve"> : 2025-2030 : progression de tempo electronique (+1,0%), surtout lors des renov. lourdes/neuf ; recul de tempo mecanique (-1,0%) mais maintien d un socle robuste pour les remplacements partiels.Bains-douches municipaux / douches publiques fixes : 2025-2030 : légère hausse de l’électronique pour hygiène et économie d’eau, mais le temporisé mécanique reste dominant car plus simple à dépanner en environnement humide.</t>
    </r>
  </si>
  <si>
    <r>
      <rPr>
        <b/>
        <sz val="9"/>
        <rFont val="Calibri"/>
      </rPr>
      <t>Toilettes publiques</t>
    </r>
    <r>
      <rPr>
        <sz val="9"/>
        <rFont val="Calibri"/>
      </rPr>
      <t xml:space="preserve"> : Sans objet.Bains-douches municipaux / douches publiques fixes : Douches : cœur d’usage du site. Le temporisé mécanique domine nettement car il limite l’eau chaude consommée et résiste mieux qu’un mitigeur libre-service.</t>
    </r>
  </si>
  <si>
    <r>
      <rPr>
        <b/>
        <sz val="9"/>
        <rFont val="Calibri"/>
      </rPr>
      <t>Toilettes publiques</t>
    </r>
    <r>
      <rPr>
        <sz val="9"/>
        <rFont val="Calibri"/>
      </rPr>
      <t xml:space="preserve"> : Sans objet.Bains-douches municipaux / douches publiques fixes : 2025-2030 : l’électronique progresse surtout en rénovation lourde, mais le temporisé mécanique reste le standard compte tenu des usages intensifs et budgets municipaux.</t>
    </r>
  </si>
  <si>
    <r>
      <rPr>
        <b/>
        <sz val="9"/>
        <rFont val="Calibri"/>
      </rPr>
      <t>Toilettes publiques</t>
    </r>
    <r>
      <rPr>
        <sz val="9"/>
        <rFont val="Calibri"/>
      </rPr>
      <t xml:space="preserve"> : Urinoirs présents dans une partie du parc urbain : vespasiennes, blocs multi-usagers ou équipements dédiés. Mix 2025 dominé par chasse directe mécanique robuste, adaptée au vandalisme et à l’usage intensif.Bains-douches municipaux / douches publiques fixes : Sans objet.</t>
    </r>
  </si>
  <si>
    <r>
      <rPr>
        <b/>
        <sz val="9"/>
        <rFont val="Calibri"/>
      </rPr>
      <t>Toilettes publiques</t>
    </r>
    <r>
      <rPr>
        <sz val="9"/>
        <rFont val="Calibri"/>
      </rPr>
      <t xml:space="preserve"> : 2025-2030 : électronique en légère hausse, mais le contexte voie publique conserve une forte préférence pour la chasse directe mécanique robuste et facile à maintenir.Bains-douches municipaux / douches publiques fixes : Urinoirs peu fréquents dans l’unitaire moyen - en majorité en direct mécanique. Service organisé autour de cabines de douche, WC accessibles et lavabos, non d’un grand bloc hommes/femmes.</t>
    </r>
  </si>
  <si>
    <r>
      <rPr>
        <b/>
        <sz val="9"/>
        <rFont val="Calibri"/>
      </rPr>
      <t>Toilettes publiques</t>
    </r>
    <r>
      <rPr>
        <sz val="9"/>
        <rFont val="Calibri"/>
      </rPr>
      <t xml:space="preserve"> : Toilettes publiques (sur la voie publique) : parc 2025 domine par chasse directe mecanique (65%), avec chasse directe electronique en appoint. Le choix reflete usage non surveille, vandalisme eleve et nettoyage tres frequent ; anti-vandalisme, automatismes, hygienisation et maintenance rapide.Bains-douches municipaux / douches publiques fixes : WC en bloc d’appoint : chasse directe mécanique majoritaire pour robustesse, réservoir encore présent dans l’ancien, électronique limité aux sites rénovés.</t>
    </r>
  </si>
  <si>
    <r>
      <rPr>
        <b/>
        <sz val="9"/>
        <rFont val="Calibri"/>
      </rPr>
      <t>Toilettes publiques</t>
    </r>
    <r>
      <rPr>
        <sz val="9"/>
        <rFont val="Calibri"/>
      </rPr>
      <t xml:space="preserve"> : 2025-2030 : progression de chasse directe electronique (+5,0%), surtout lors des renov. lourdes/neuf ; recul de reservoir (-5,0%) mais maintien d un socle robuste pour les remplacements partiels.Bains-douches municipaux / douches publiques fixes : 2025-2030 : recul léger du réservoir et progression de l’électronique, mais maintien du direct mécanique grâce à sa robustesse et sa maintenance rapide.</t>
    </r>
  </si>
  <si>
    <r>
      <rPr>
        <b/>
        <sz val="9"/>
        <rFont val="Calibri"/>
      </rPr>
      <t>Toilettes publiques</t>
    </r>
    <r>
      <rPr>
        <sz val="9"/>
        <rFont val="Calibri"/>
      </rPr>
      <t xml:space="preserve"> : Moyenne à BonneBains-douches municipaux / douches publiques fixes : Moyenne</t>
    </r>
  </si>
  <si>
    <r>
      <rPr>
        <b/>
        <sz val="9"/>
        <rFont val="Calibri"/>
      </rPr>
      <t>Toilettes publiques</t>
    </r>
    <r>
      <rPr>
        <sz val="9"/>
        <rFont val="Calibri"/>
      </rPr>
      <t xml:space="preserve"> : 80,8% retenu : besoins transformes en travaux selon usage non surveille, vandalisme eleve et nettoyage tres frequent. Le phasage budgetaire, les fermetures partielles et la maintenance courante limitent la conversion totale.Bains-douches municipaux / douches publiques fixes : 90,0% retenu : part des besoins réellement transformée en travaux sur 2026-2030 après prise en compte des budgets, du phasage et des arbitrages locaux.</t>
    </r>
  </si>
  <si>
    <r>
      <rPr>
        <b/>
        <sz val="9"/>
        <rFont val="Calibri"/>
      </rPr>
      <t>Toilettes publiques</t>
    </r>
    <r>
      <rPr>
        <sz val="9"/>
        <rFont val="Calibri"/>
      </rPr>
      <t xml:space="preserve"> : Potentiel renovation : tire par anti-vandalisme, automatismes, hygienisation et maintenance rapide. Les remplacements sont plutot par lots, avec arbitrage entre urgence sanitaire, budget et capacite a intervenir en site occupe.Bains-douches municipaux / douches publiques fixes : Potentiel rénovation élevé : usage intensif, exploitation contractuelle, image urbaine et vandalisme rendent le renouvellement très régulier. Les volumes restent d’abord tirés par les WC et les lavabos, plus que par les postes spécialisés. En rénovation, l’achat reste orienté vers des produits robustes, anti-vandalisme et simples à maintenir en site occupé.</t>
    </r>
  </si>
  <si>
    <r>
      <rPr>
        <b/>
        <sz val="9"/>
        <rFont val="Calibri"/>
      </rPr>
      <t>Toilettes publiques</t>
    </r>
    <r>
      <rPr>
        <sz val="9"/>
        <rFont val="Calibri"/>
      </rPr>
      <t xml:space="preserve"> : Potentiel neuf : plus visible pour toilettes publiques (sur la voie publique), surtout via extensions, reconstructions ou projets locaux. Le neuf reste contraint par foncier, budgets et delais de mise en service.Bains-douches municipaux / douches publiques fixes : Potentiel neuf moyen : surtout via requalification d’espaces publics, centres-villes et sites touristiques ; le neuf reste réel mais secondaire.</t>
    </r>
  </si>
  <si>
    <r>
      <rPr>
        <b/>
        <sz val="9"/>
        <rFont val="Calibri"/>
      </rPr>
      <t>Toilettes publiques</t>
    </r>
    <r>
      <rPr>
        <sz val="9"/>
        <rFont val="Calibri"/>
      </rPr>
      <t xml:space="preserve"> : Projets phares renovation : reprise de blocs sanitaires, accessibilite, ventilation, economie d eau, remplacement des pieces usees et adaptation aux pics de frequentation propres au sous-segment.Bains-douches municipaux / douches publiques fixes : Projets phares réno : remplacement de cabines, auto-lavants, équipements anti-vandalisme et modernisation d’exploitation.</t>
    </r>
  </si>
  <si>
    <r>
      <rPr>
        <b/>
        <sz val="9"/>
        <rFont val="Calibri"/>
      </rPr>
      <t>Toilettes publiques</t>
    </r>
    <r>
      <rPr>
        <sz val="9"/>
        <rFont val="Calibri"/>
      </rPr>
      <t xml:space="preserve"> : Projets phares neuf : creations ou reconstructions selectives, integration de sanitaires plus sobres, robustes et faciles a maintenir des la conception.Bains-douches municipaux / douches publiques fixes : Projets phares neuf : nouvelles cabines automatiques, déploiement dans parcs, hubs, fronts d’eau et zones touristiques.</t>
    </r>
  </si>
  <si>
    <r>
      <rPr>
        <b/>
        <sz val="9"/>
        <rFont val="Calibri"/>
      </rPr>
      <t>Toilettes publiques</t>
    </r>
    <r>
      <rPr>
        <sz val="9"/>
        <rFont val="Calibri"/>
      </rPr>
      <t xml:space="preserve"> : Dynamique renovation 2026-2030 : forte, car l usure et l hygiene rendent les interventions recurrentes. Menaces : arbitrages d investissement, travaux en exploitation et cout de maintenance.Bains-douches municipaux / douches publiques fixes : Dynamique réno 2026-2030 : forte et assez prévisible, car la maintenance ne suffit pas toujours à compenser l’usure et le vandalisme.</t>
    </r>
  </si>
  <si>
    <r>
      <rPr>
        <b/>
        <sz val="9"/>
        <rFont val="Calibri"/>
      </rPr>
      <t>Toilettes publiques</t>
    </r>
    <r>
      <rPr>
        <sz val="9"/>
        <rFont val="Calibri"/>
      </rPr>
      <t xml:space="preserve"> : Dynamique neuf 2026-2030 : faible a moderee, dependante des projets immobiliers, de la demographie locale et des budgets de maitrise d ouvrage.Bains-douches municipaux / douches publiques fixes : Dynamique neuf 2026-2030 : modérée ; elle dépend surtout de la volonté municipale, de l’attractivité touristique et des projets d’espace public.</t>
    </r>
  </si>
  <si>
    <t>https://www.justice.gouv.fr/presentation-loi-dorientation-programmation-ministere-justice-2023-2027
https://www.justice.gouv.fr/ministere-justice/budget-justice
https://www.justice.gouv.fr/documentation/ressources/rapport-2024-loi-dorientation-programmation-du-ministere-justice-2023-2027
https://www.statistiques.developpement-durable.gouv.fr/construction-de-locaux-resultats-fin-janvier-2026-france-entiere
https://www.insee.fr/fr/statistiques/8671745
https://www.insee.fr/fr/statistiques/8906564</t>
  </si>
  <si>
    <r>
      <rPr>
        <b/>
        <sz val="9"/>
        <rFont val="Calibri"/>
      </rPr>
      <t>Toilettes publiques</t>
    </r>
    <r>
      <rPr>
        <sz val="9"/>
        <rFont val="Calibri"/>
      </rPr>
      <t xml:space="preserve"> : BonneBains-douches municipaux / douches publiques fixes : Élevée</t>
    </r>
  </si>
  <si>
    <r>
      <rPr>
        <b/>
        <sz val="9"/>
        <rFont val="Calibri"/>
      </rPr>
      <t>Toilettes publiques</t>
    </r>
    <r>
      <rPr>
        <sz val="9"/>
        <rFont val="Calibri"/>
      </rPr>
      <t xml:space="preserve"> : Parc existant centre sur le niveau public_low, avec ventes 2026-2030 legerement plus qualitatives. Toilettes publiques (sur la voie publique) : usage non surveille, vandalisme eleve et nettoyage tres frequent; le mix reste guide par anti-vandalisme, automatismes, hygienisation et maintenance rapide.Bains-douches municipaux / douches publiques fixes : Parc existant surtout standard. Les ventes restent proches du parc, centré sur standard, porté par l’hygiène, la facilité d’entretien et la technicité. La rénovation restant majoritaire, le mix de ventes reste proche du parc et monte surtout d’un cran sur les opérations lourdes. Toilettes publiques : très forte contrainte d’exploitation, d’hygiène et de vandalisme ; montée de l’automatisation mais confort perçu restant majoritairement entrée/standard.</t>
    </r>
  </si>
  <si>
    <r>
      <rPr>
        <b/>
        <sz val="9"/>
        <rFont val="Calibri"/>
      </rPr>
      <t>Toilettes publiques</t>
    </r>
    <r>
      <rPr>
        <sz val="9"/>
        <rFont val="Calibri"/>
      </rPr>
      <t xml:space="preserve"> : Parc existant : anti-vandalisme, automatismes, hygienisation et maintenance rapide; usage non surveille, vandalisme eleve et nettoyage tres frequent. La montee en confort reste proportionnee au budget et au rythme de renovation.Bains-douches municipaux / douches publiques fixes : Toilettes publiques : très forte contrainte d’exploitation, d’hygiène et de vandalisme ; montée de l’automatisation mais confort perçu restant majoritairement entrée/standard.</t>
    </r>
  </si>
  <si>
    <r>
      <rPr>
        <b/>
        <sz val="9"/>
        <rFont val="Calibri"/>
      </rPr>
      <t>Toilettes publiques</t>
    </r>
    <r>
      <rPr>
        <sz val="9"/>
        <rFont val="Calibri"/>
      </rPr>
      <t xml:space="preserve"> : forte frequentation =&gt; standard robuste ; vandalisme =&gt; anti-vandalismeBains-douches municipaux / douches publiques fixes : forte fréquentation ⇒ standard ↑, premium/luxe ↓ ; contrainte sanitaire ⇒ standard/intermédiaire technique ↑ ; rénovation dominante ⇒ progression graduelle</t>
    </r>
  </si>
  <si>
    <r>
      <rPr>
        <b/>
        <sz val="9"/>
        <rFont val="Calibri"/>
      </rPr>
      <t>Toilettes publiques</t>
    </r>
    <r>
      <rPr>
        <sz val="9"/>
        <rFont val="Calibri"/>
      </rPr>
      <t xml:space="preserve"> : Toilettes publiques (sur la voie publique) : ventes 2026-2030 en leger glissement vers moyen/premium lorsque le neuf ou les renov. lourdes interviennent. Le centre de gravite reste toutefois module par anti-vandalisme, automatismes, hygienisation et maintenance rapide et par la part dominante de travaux sur parc existant.Bains-douches municipaux / douches publiques fixes : Bains-douches municipaux / douches publiques fixes : toilettes publiques exposées au vandalisme, à la maintenance rapide et à la pression d’exploitation. Ventes 2026-2030 : glissement vers davantage de moyen / premium. La rénovation reste majoritaire (80% des ventes, contre 20% en neuf) ; le neuf tire le mix vers le haut sans renverser le centre de gravité. L’écart de niveau de confort entre neuf et rénovation reste perceptible.</t>
    </r>
  </si>
  <si>
    <t>1 - Cimetières
2 - Chambres funéraires / funérariums
3 - Crématoriums</t>
  </si>
  <si>
    <r>
      <rPr>
        <b/>
        <sz val="9"/>
        <rFont val="Calibri"/>
      </rPr>
      <t>Cimetières</t>
    </r>
    <r>
      <rPr>
        <sz val="9"/>
        <rFont val="Calibri"/>
      </rPr>
      <t xml:space="preserve"> : PA / cas particulierChambres funéraires / funérariums ; Crématoriums : Variable</t>
    </r>
  </si>
  <si>
    <r>
      <rPr>
        <b/>
        <sz val="9"/>
        <rFont val="Calibri"/>
      </rPr>
      <t>Cimetières</t>
    </r>
    <r>
      <rPr>
        <sz val="9"/>
        <rFont val="Calibri"/>
      </rPr>
      <t xml:space="preserve"> : Équipement public ouvert / variableChambres funéraires / funérariums ; Crématoriums : ERP / variable selon exploitation</t>
    </r>
  </si>
  <si>
    <r>
      <rPr>
        <b/>
        <sz val="9"/>
        <rFont val="Calibri"/>
      </rPr>
      <t>Cimetières ; Chambres funéraires / funérariums</t>
    </r>
    <r>
      <rPr>
        <sz val="9"/>
        <rFont val="Calibri"/>
      </rPr>
      <t xml:space="preserve"> : mixteCrématoriums : ERP</t>
    </r>
  </si>
  <si>
    <r>
      <rPr>
        <b/>
        <sz val="9"/>
        <rFont val="Calibri"/>
      </rPr>
      <t>Cimetières</t>
    </r>
    <r>
      <rPr>
        <sz val="9"/>
        <rFont val="Calibri"/>
      </rPr>
      <t xml:space="preserve"> : Ne pas compter les cimetières sans sanitaires, ni doubler avec crématoriums, chambres funéraires, mémoriaux/monuments ou jardins publics.Chambres funéraires / funérariums : Les familles ont accès à ces équipements ; présence de sanitaires probable pour le public et le personnel. À distinguer des chambres mortuaires internes aux hôpitaux.Crématoriums : Équipements recevant familles et public ; sanitaires très probables. Ne pas compter séparément les salles intégrées à une chambre funéraire déjà comptée comme site unique.</t>
    </r>
  </si>
  <si>
    <r>
      <rPr>
        <b/>
        <sz val="9"/>
        <rFont val="Calibri"/>
      </rPr>
      <t>Cimetières</t>
    </r>
    <r>
      <rPr>
        <sz val="9"/>
        <rFont val="Calibri"/>
      </rPr>
      <t xml:space="preserve"> : Cimetière communal avec toilettes publiques ou local sanitaire accessibleChambres funéraires / funérariums : Funérarium, chambre funéraireCrématoriums : Crématorium</t>
    </r>
  </si>
  <si>
    <r>
      <rPr>
        <b/>
        <sz val="9"/>
        <rFont val="Calibri"/>
      </rPr>
      <t>Cimetières</t>
    </r>
    <r>
      <rPr>
        <sz val="9"/>
        <rFont val="Calibri"/>
      </rPr>
      <t xml:space="preserve"> : Point de départ : obligation d'au moins 1 cimetière par commune/EPCI compétent, mais aucune obligation générale de toilettes. Project° : hausse lente avec mises à niveau de grands cimetières urbains/touristiques.Chambres funéraires / funérariums : Croissance longue du parc, portée par banalisation du recours au funérarium. Après la forte montée 2016-2020, la trajectoire récente redevient plus modérée ; la projection 2026-2030 prolonge cette hausse lente.Crématoriums : Progression continue du parc depuis 2000 =&gt; hausse crémation. Rythme + mais se tasse. Mises en service se poursuivent, sans hausse brutale. Davantage de compléments territoriaux que de maillage massif.</t>
    </r>
  </si>
  <si>
    <r>
      <rPr>
        <b/>
        <sz val="9"/>
        <rFont val="Calibri"/>
      </rPr>
      <t>Cimetières</t>
    </r>
    <r>
      <rPr>
        <sz val="9"/>
        <rFont val="Calibri"/>
      </rPr>
      <t xml:space="preserve"> : Point départ : 40 000+ cimetières - Obligation d'au moins 1 cimetière par commune. Hypothèse sanitaire à 18-20 % du parc, + forte en zones urbaines/touristiques.Chambres funéraires / funérariums : Ancrage fort sur les jalons officiels CNOF 2016, 2018, 2020, 2022 et 2024. Années 2000-2015 calculées à partir des points parlementaires 2002 et 2006, lissées jusqu'au point CNOF 2016.Crématoriums : Jalons officiels CNOF : 178(2016), 188(2018), 198(2020), 216(2022), 227(2024). Antérieuriorié reconstituée : repère 100 (2001). Project° 2026-30 suppose hausse de 3- 4 unités/an.</t>
    </r>
  </si>
  <si>
    <r>
      <rPr>
        <b/>
        <sz val="9"/>
        <rFont val="Calibri"/>
      </rPr>
      <t>Cimetières</t>
    </r>
    <r>
      <rPr>
        <sz val="9"/>
        <rFont val="Calibri"/>
      </rPr>
      <t xml:space="preserve"> : https://www.legifrance.gouv.fr/codes/section_lc/LEGITEXT000006070633/LEGISCTA000006180985/2024-11-21 ; https://www.techniques-ingenieur.fr/base-documentaire/environnement-securite-th5/genie-ecologique-en-milieu-urbain-42703210/conception-et-gestion-ecologique-des-cimetieres-ge1021/glossaire-ge1021niv10006.html
https://www.orias.fr/ ; https://www.orias.fr/static/communications/rapports/Rapport_annuel_2024.pdf ; https://www.franceassureurs.fr/actualites/les-donnees-cles-de-lassurance-francaise-en-2024/Chambres funéraires / funérariums : https://www2.assemblee-nationale.fr/documents/notice/13/rapports/r0664/%28index%29/rapports/%28archives%29/index-rapports ; https://www.collectivites-locales.gouv.fr/files/files/1.%20Connaitre%20les%20acteurs%20et%20les%20institutions/4.%20Organismes%20consultatifs/CNOF/CNOF%20-%20rapport_du_cnof_2017-2018_relu_idp.pdf ; https://www.collectivites-locales.gouv.fr/files/competences/RAPPORT%20DU%20CNOF%202021-2022.pdf ; https://www.collectivites-locales.gouv.fr/files/files/3.%20Animer%20les%20territoires/3.%20Les%20services%20%C3%A0%20la%20population/RapportCNOF23-24maquett%C3%A9comvuCIL3-2.pdf ; https://www.jd-architecture.fr/projet/funerarium-martigne/ ; https://deces-info.fr/arts-funeraires/chambre-funerairefunerarium/chambre-mortuaire-funeraireCrématoriums : https://www.legifrance.gouv.fr/codes/section_lc/LEGITEXT000006070633/LEGISCTA000006199203/2021-03-01
https://www.legifrance.gouv.fr/codes/section_lc/LEGITEXT000006070633/LEGISCTA000006197723/</t>
    </r>
  </si>
  <si>
    <r>
      <rPr>
        <b/>
        <sz val="9"/>
        <rFont val="Calibri"/>
      </rPr>
      <t>Cimetières</t>
    </r>
    <r>
      <rPr>
        <sz val="9"/>
        <rFont val="Calibri"/>
      </rPr>
      <t xml:space="preserve"> : Cimetière doté : petit bloc visiteurs + local agents, sans douche.Chambres funéraires / funérariums : Funérarium/chambre funéraire : bloc familles/visiteurs + personnel.Crématoriums : Crématorium : batteries public/cérémonie + sanitaires personnel technique.</t>
    </r>
  </si>
  <si>
    <r>
      <rPr>
        <b/>
        <sz val="9"/>
        <rFont val="Calibri"/>
      </rPr>
      <t>Cimetières</t>
    </r>
    <r>
      <rPr>
        <sz val="9"/>
        <rFont val="Calibri"/>
      </rPr>
      <t xml:space="preserve"> : Capacité type ≈ 36 usagers principaux + 3 staff + 1 autre public. Visiteurs de passage, cérémonies ponctuelles et agents d'entretien. Dimensionnement unitaire retenu : 1 bloc public accessible + point d'eau, sanitaire agents si local d'exploitation. Hypothèse d'usage : capacité simultanée moyenne 2026, répartition par flux réels, arrondie par blocs fonctionnels et exclusion des sanitaires strictement privatifs sauf cas explicitement collectifs.Chambres funéraires / funérariums : Capacité type ≈ 30 usagers principaux + 8 staff + 2 autre public. Salon de recueillement avec petits groupes, temps de présence prolongé. Dimensionnement unitaire retenu : bloc public accessible près accueil/salons + sanitaires personnel. Hypothèse d'usage : capacité simultanée moyenne 2026, répartition par flux réels, arrondie par blocs fonctionnels et exclusion des sanitaires strictement privatifs sauf cas explicitement collectifs.Crématoriums : Capacité type ≈ 100 usagers principaux + 15 staff + 5 autre public. Cérémonies avec familles, salle d'hommage et flux par créneaux. Dimensionnement unitaire retenu : bloc public dimensionné à la salle de cérémonie + sanitaire personnel séparé. Hypothèse d'usage : capacité simultanée moyenne 2026, répartition par flux réels, arrondie par blocs fonctionnels et exclusion des sanitaires strictement privatifs sauf cas explicitement collectifs.</t>
    </r>
  </si>
  <si>
    <r>
      <rPr>
        <b/>
        <sz val="9"/>
        <rFont val="Calibri"/>
      </rPr>
      <t>Cimetières ; Chambres funéraires / funérariums</t>
    </r>
    <r>
      <rPr>
        <sz val="9"/>
        <rFont val="Calibri"/>
      </rPr>
      <t xml:space="preserve"> : Profil petit, capacité moyenne ≈ 40 personnes. Moyenne pondérée terrain : parc majoritairement petits/moyens sites, grands sites intégrés sans surpondération ; usage 2025 modérée.Crématoriums : Profil moyen, capacité moyenne ≈ 120 personnes. Moyenne pondérée terrain : parc majoritairement petits/moyens sites, grands sites intégrés sans surpondération ; usage 2025 modérée.</t>
    </r>
  </si>
  <si>
    <r>
      <rPr>
        <b/>
        <sz val="9"/>
        <rFont val="Calibri"/>
      </rPr>
      <t>Cimetières</t>
    </r>
    <r>
      <rPr>
        <sz val="9"/>
        <rFont val="Calibri"/>
      </rPr>
      <t xml:space="preserve"> : Usage faible mais extérieur, gel, poussière et maintenance municipale espacée; pics Toussaint/cérémonies. Long en mécanique, électronique raccourci par environnement et vandalisme. Repères durées: lavabos 13/14/10 ans (mit./méca/élec.), douches 12/11/9, urinoirs 11/13/9/11, WC 14/14/10.Chambres funéraires / funérariums : Flux mesuré, public calme, hygiène suivie et faible vandalisme; entretien professionnel. Durées longues proches tertiaire, renouvellement surtout esthétique. Repères durées: lavabos 13/14/10 ans (mit./méca/élec.), douches 12/11/9, urinoirs 11/13/9/11, WC 14/14/10.Crématoriums : Fréquentation régulière mais respectueuse, pics cérémonies et faible humidité; maintenance planifiée. Proche chambres funéraires, légèrement plus soutenu par volume d'événements. Repères durées: lavabos 13/14/10 ans (mit./méca/élec.), douches 12/11/9, urinoirs 11/13/9/11, WC 14/14/10.</t>
    </r>
  </si>
  <si>
    <r>
      <rPr>
        <b/>
        <sz val="9"/>
        <rFont val="Calibri"/>
      </rPr>
      <t>Cimetières</t>
    </r>
    <r>
      <rPr>
        <sz val="9"/>
        <rFont val="Calibri"/>
      </rPr>
      <t xml:space="preserve"> : Cimetières (dotés de sanitaires collectifs) : parc 2025 domine par tempo mecanique (50%), avec mitigeur manuel en appoint. Le choix reflete usage ponctuel mais sensible, recherche de proprete et discretion ; qualite d accueil sobre, faible intensite et maintenance discrete.Chambres funéraires / funérariums : Chambres funéraires / funérariums : parc 2025 domine par tempo mecanique (50%), avec mitigeur manuel en appoint. Le choix reflete usage ponctuel mais sensible, recherche de proprete et discretion ; qualite d accueil sobre, faible intensite et maintenance discrete.Crématoriums : Crématoriums : parc 2025 domine par tempo mecanique (50%), avec mitigeur manuel en appoint. Le choix reflete usage ponctuel mais sensible, recherche de proprete et discretion ; qualite d accueil sobre, faible intensite et maintenance discrete.</t>
    </r>
  </si>
  <si>
    <r>
      <rPr>
        <b/>
        <sz val="9"/>
        <rFont val="Calibri"/>
      </rPr>
      <t>Cimetières</t>
    </r>
    <r>
      <rPr>
        <sz val="9"/>
        <rFont val="Calibri"/>
      </rPr>
      <t xml:space="preserve"> : Urinoirs rares, réservés aux grands cimetières ou blocs visiteurs structurés. Mix 2025 prudent, proche des petits ERP publics avec chasse directe mécanique majoritaire.Chambres funéraires / funérariums : Urinoirs minoritaires, présents surtout dans les grands funérariums avec blocs visiteurs séparés. Mix 2025 prudent, proche des petits ERP publics : chasse directe mécanique majoritaire.Crématoriums : Crématoriums : parc 2025 domine par directe mecanique (50%), avec directe electronique collective en appoint. Le choix reflete usage ponctuel mais sensible, recherche de proprete et discretion ; qualite d accueil sobre, faible intensite et maintenance discrete.</t>
    </r>
  </si>
  <si>
    <r>
      <rPr>
        <b/>
        <sz val="9"/>
        <rFont val="Calibri"/>
      </rPr>
      <t>Cimetières</t>
    </r>
    <r>
      <rPr>
        <sz val="9"/>
        <rFont val="Calibri"/>
      </rPr>
      <t xml:space="preserve"> : 2025-2030 : légère hausse de l’électronique lors de rénovations de blocs visiteurs, mais volumes faibles et parc majoritairement mécanique.Chambres funéraires / funérariums : 2025-2030 : hausse modérée de l’électronique dans les sites récents, l’objectif étant surtout confort/hygiène dans des volumes faibles.Crématoriums : 2025-2030 : progression de directe electronique indiv. (+3,0%), surtout lors des renov. lourdes/neuf ; recul de a reservoir (-2,0%) mais maintien d un socle robuste pour les remplacements partiels.</t>
    </r>
  </si>
  <si>
    <r>
      <rPr>
        <b/>
        <sz val="9"/>
        <rFont val="Calibri"/>
      </rPr>
      <t>Cimetières</t>
    </r>
    <r>
      <rPr>
        <sz val="9"/>
        <rFont val="Calibri"/>
      </rPr>
      <t xml:space="preserve"> : Cimetières (dotés de sanitaires collectifs) : parc 2025 domine par reservoir (60%), avec chasse directe mecanique en appoint. Le choix reflete usage ponctuel mais sensible, recherche de proprete et discretion ; qualite d accueil sobre, faible intensite et maintenance discrete.Chambres funéraires / funérariums : Chambres funéraires / funérariums : parc 2025 domine par reservoir (60%), avec chasse directe mecanique en appoint. Le choix reflete usage ponctuel mais sensible, recherche de proprete et discretion ; qualite d accueil sobre, faible intensite et maintenance discrete.Crématoriums : Crématoriums : parc 2025 domine par reservoir (60%), avec chasse directe mecanique en appoint. Le choix reflete usage ponctuel mais sensible, recherche de proprete et discretion ; qualite d accueil sobre, faible intensite et maintenance discrete.</t>
    </r>
  </si>
  <si>
    <r>
      <rPr>
        <b/>
        <sz val="9"/>
        <rFont val="Calibri"/>
      </rPr>
      <t>Cimetières</t>
    </r>
    <r>
      <rPr>
        <sz val="9"/>
        <rFont val="Calibri"/>
      </rPr>
      <t xml:space="preserve"> : Potentiel neuf : limite pour cimetières (dotés de sanitaires collectifs), surtout via extensions, reconstructions ou projets locaux. Le neuf reste contraint par foncier, budgets et delais de mise en service.Chambres funéraires / funérariums : Potentiel neuf : limite pour chambres funéraires / funérariums, surtout via extensions, reconstructions ou projets locaux. Le neuf reste contraint par foncier, budgets et delais de mise en service.Crématoriums : Potentiel neuf : limite pour crématoriums, surtout via extensions, reconstructions ou projets locaux. Le neuf reste contraint par foncier, budgets et delais de mise en service.</t>
    </r>
  </si>
  <si>
    <t>https://www.ecologie.gouv.fr/eco-energie-tertiaire-eet
https://www.collectivites-locales.gouv.fr/les-collectivites-locales-en-chiffres-2025
https://www.collectivites-locales.gouv.fr/actualites/situation-mensuelle-comptable-des-collectivites-locales-au-31-decembre-2025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
https://www.statistiques.developpement-durable.gouv.fr/construction-de-locaux-resultats-fin-janvier-2026-france-entiere
https://www.insee.fr/fr/statistiques/8671745
https://www.insee.fr/fr/statistiques/8906564</t>
  </si>
  <si>
    <r>
      <rPr>
        <b/>
        <sz val="9"/>
        <rFont val="Calibri"/>
      </rPr>
      <t>Cimetières</t>
    </r>
    <r>
      <rPr>
        <sz val="9"/>
        <rFont val="Calibri"/>
      </rPr>
      <t xml:space="preserve"> : Parc existant centre sur le niveau mid, avec ventes 2026-2030 legerement plus qualitatives. Cimetières (dotés de sanitaires collectifs) : usage ponctuel mais sensible, recherche de proprete et discretion; le mix reste guide par qualite d accueil sobre, faible intensite et maintenance discrete.Chambres funéraires / funérariums : Parc existant centre sur le niveau mid, avec ventes 2026-2030 legerement plus qualitatives. Chambres funéraires / funérariums : usage ponctuel mais sensible, recherche de proprete et discretion; le mix reste guide par qualite d accueil sobre, faible intensite et maintenance discrete.Crématoriums : Parc existant centre sur le niveau mid, avec ventes 2026-2030 legerement plus qualitatives. Crématoriums : usage ponctuel mais sensible, recherche de proprete et discretion; le mix reste guide par qualite d accueil sobre, faible intensite et maintenance discrete.</t>
    </r>
  </si>
  <si>
    <r>
      <rPr>
        <b/>
        <sz val="9"/>
        <rFont val="Calibri"/>
      </rPr>
      <t>Cimetières</t>
    </r>
    <r>
      <rPr>
        <sz val="9"/>
        <rFont val="Calibri"/>
      </rPr>
      <t xml:space="preserve"> : Cimetières (dotés de sanitaires collectifs) : ventes 2026-2030 en leger glissement vers moyen/premium lorsque le neuf ou les renov. lourdes interviennent. Le centre de gravite reste toutefois module par qualite d accueil sobre, faible intensite et maintenance discrete et par la part dominante de travaux sur parc existant.Chambres funéraires / funérariums : Chambres funéraires / funérariums : ventes 2026-2030 en leger glissement vers moyen/premium lorsque le neuf ou les renov. lourdes interviennent. Le centre de gravite reste toutefois module par qualite d accueil sobre, faible intensite et maintenance discrete et par la part dominante de travaux sur parc existant.Crématoriums : Crématoriums : ventes 2026-2030 en leger glissement vers moyen/premium lorsque le neuf ou les renov. lourdes interviennent. Le centre de gravite reste toutefois module par qualite d accueil sobre, faible intensite et maintenance discrete et par la part dominante de travaux sur parc existant.</t>
    </r>
  </si>
  <si>
    <t>1 - Petite enfance
2 - Enseignement scolaire
3 - Enseignement supérieur
4 - Formation</t>
  </si>
  <si>
    <t>1 - Crèches
2 - Haltes-garderies, jardins d’enfants
3 - Protection Maternelle et Infantile
4 - Écoles maternelles
5 - Écoles primaires
6 - Collèges
7 - Lycées
8 - Internats scolaires
9 - Universités
10 - Grandes écoles
11 - Résidences étudiantes et dortoirs
12 - Centres de formation / CFA
13 - Agences emploi / Insertion / Orientation professionnelle</t>
  </si>
  <si>
    <r>
      <rPr>
        <b/>
        <sz val="9"/>
        <rFont val="Calibri"/>
      </rPr>
      <t>Crèches ; Haltes-garderies, jardins d’enfants ; Écoles maternelles ; Écoles primaires ; Collèges ; Lycées ; Internats scolaires ; Universités ; Grandes écoles ; Centres de formation / CFA</t>
    </r>
    <r>
      <rPr>
        <sz val="9"/>
        <rFont val="Calibri"/>
      </rPr>
      <t xml:space="preserve"> : RProtection Maternelle et Infantile : U ou WRésidences étudiantes et dortoirs : VariableAgences emploi / Insertion / Orientation professionnelle : W</t>
    </r>
  </si>
  <si>
    <r>
      <rPr>
        <b/>
        <sz val="9"/>
        <rFont val="Calibri"/>
      </rPr>
      <t>Crèches ; Écoles maternelles ; Écoles primaires ; Collèges ; Lycées ; Universités ; Grandes écoles ; Centres de formation / CFA ; Agences emploi / Insertion / Orientation professionnelle</t>
    </r>
    <r>
      <rPr>
        <sz val="9"/>
        <rFont val="Calibri"/>
      </rPr>
      <t xml:space="preserve"> : ERPHaltes-garderies, jardins d’enfants ; Protection Maternelle et Infantile : ERP / variableInternats scolaires : ERP spécialiséRésidences étudiantes et dortoirs : Cas particulier</t>
    </r>
  </si>
  <si>
    <r>
      <rPr>
        <b/>
        <sz val="9"/>
        <rFont val="Calibri"/>
      </rPr>
      <t>Crèches ; Haltes-garderies, jardins d’enfants ; Protection Maternelle et Infantile ; Écoles maternelles ; Écoles primaires ; Collèges ; Lycées ; Internats scolaires ; Universités ; Grandes écoles</t>
    </r>
    <r>
      <rPr>
        <sz val="9"/>
        <rFont val="Calibri"/>
      </rPr>
      <t xml:space="preserve"> : ERPRésidences étudiantes et dortoirs : mixteCentres de formation / CFA ; Agences emploi / Insertion / Orientation professionnelle : ERP / variable</t>
    </r>
  </si>
  <si>
    <r>
      <rPr>
        <b/>
        <sz val="9"/>
        <rFont val="Calibri"/>
      </rPr>
      <t>Crèches ; Haltes-garderies, jardins d’enfants ; Protection Maternelle et Infantile ; Écoles maternelles ; Écoles primaires ; Collèges ; Lycées ; Internats scolaires ; Universités ; Grandes écoles ; Centres de formation / CFA ; Agences emploi / Insertion / Orientation professionnelle</t>
    </r>
    <r>
      <rPr>
        <sz val="9"/>
        <rFont val="Calibri"/>
      </rPr>
      <t xml:space="preserve"> : ouiRésidences étudiantes et dortoirs : variable</t>
    </r>
  </si>
  <si>
    <r>
      <rPr>
        <b/>
        <sz val="9"/>
        <rFont val="Calibri"/>
      </rPr>
      <t>Crèches</t>
    </r>
    <r>
      <rPr>
        <sz val="9"/>
        <rFont val="Calibri"/>
      </rPr>
      <t xml:space="preserve"> : Établissements d’éveil / petite enfance recevant du public.Haltes-garderies, jardins d’enfants : Établissements accueil Peite enfanceProtection Maternelle et Infantile : Établissements soin petite enfance et conseils au parents (1000 premiers jours).Écoles maternelles ; Écoles primaires : Établissements d’enseignement.Collèges ; Lycées : Établissements d’enseignement secondaire.Internats scolaires : Souvent rattachés à un établissement d’enseignement avec locaux à sommeil.Universités : Enseignement supérieur / amphithéâtres / salles de cours.Grandes écoles : Établissements d’enseignement supérieur.Résidences étudiantes et dortoirs : Selon exploitation réelle, sommeil et espaces collectifs ouverts au public.Centres de formation / CFA : Formation professionnelle et apprentissage.Agences emploi / Insertion / Orientation professionnelle : Insertion, orientation professionnelle et apprentissage.</t>
    </r>
  </si>
  <si>
    <r>
      <rPr>
        <b/>
        <sz val="9"/>
        <rFont val="Calibri"/>
      </rPr>
      <t>Crèches</t>
    </r>
    <r>
      <rPr>
        <sz val="9"/>
        <rFont val="Calibri"/>
      </rPr>
      <t xml:space="preserve"> : Crèche municipale, micro-crècheHaltes-garderies, jardins d’enfants : Halte-garderie autonome, jardin d’enfants autonome, structure mono-accueil ponctuel ou pré-scolaire non comptée en crècheProtection Maternelle et Infantile : Centre PMI autonome, consultation PMI indépendante, centre de santé PMI non hébergé en maison des solidaritésÉcoles maternelles : École maternelle publiqueÉcoles primaires : École élémentaire privée ou publiqueCollèges : Collège public, collège privéLycées : Lycée général, professionnel, techniqueInternats scolaires : Internat de lycéeUniversités : Campus universitaireGrandes écoles : École d’ingénieurs, école de commerceRésidences étudiantes et dortoirs : Résidence CROUS, foyer étudiantCentres de formation / CFA : CFA, centre de formation continueAgences emploi / Insertion / Orientation professionnelle : France Travail, Missions Locales, Cap emploi, APEC. (sites principaux autonomes uniquement)</t>
    </r>
  </si>
  <si>
    <r>
      <rPr>
        <b/>
        <sz val="9"/>
        <rFont val="Calibri"/>
      </rPr>
      <t>Crèches ; Haltes-garderies, jardins d’enfants ; Protection Maternelle et Infantile ; Écoles maternelles ; Écoles primaires ; Collèges ; Lycées ; Universités ; Grandes écoles ; Centres de formation / CFA ; Agences emploi / Insertion / Orientation professionnelle</t>
    </r>
    <r>
      <rPr>
        <sz val="9"/>
        <rFont val="Calibri"/>
      </rPr>
      <t xml:space="preserve"> : nonInternats scolaires ; Résidences étudiantes et dortoirs : oui</t>
    </r>
  </si>
  <si>
    <r>
      <rPr>
        <b/>
        <sz val="9"/>
        <rFont val="Calibri"/>
      </rPr>
      <t>Crèches ; Universités ; Grandes écoles ; Résidences étudiantes et dortoirs ; Agences emploi / Insertion / Orientation professionnelle</t>
    </r>
    <r>
      <rPr>
        <sz val="9"/>
        <rFont val="Calibri"/>
      </rPr>
      <t xml:space="preserve"> : proxy public / estimation encadréeHaltes-garderies, jardins d’enfants ; Protection Maternelle et Infantile ; Écoles maternelles ; Écoles primaires : série publique directe 2024 / BPE, puis ventilation encadréeCollèges : série publique directe / BPE 2024Lycées : série publique directe / BPE 2024 (LEGT + LP)Internats scolaires : proxy public partiel / annuaire des internatsCentres de formation / CFA : série publique directe 2024 + rétroprojection encadrée</t>
    </r>
  </si>
  <si>
    <r>
      <rPr>
        <b/>
        <sz val="9"/>
        <rFont val="Calibri"/>
      </rPr>
      <t>Crèches ; Écoles maternelles ; Écoles primaires ; Collèges ; Lycées ; Universités ; Centres de formation / CFA ; Agences emploi / Insertion / Orientation professionnelle</t>
    </r>
    <r>
      <rPr>
        <sz val="9"/>
        <rFont val="Calibri"/>
      </rPr>
      <t xml:space="preserve"> : ElevéHaltes-garderies, jardins d’enfants ; Protection Maternelle et Infantile ; Internats scolaires ; Grandes écoles ; Résidences étudiantes et dortoirs : Moyenne</t>
    </r>
  </si>
  <si>
    <r>
      <rPr>
        <b/>
        <sz val="9"/>
        <rFont val="Calibri"/>
      </rPr>
      <t>Crèches</t>
    </r>
    <r>
      <rPr>
        <sz val="9"/>
        <rFont val="Calibri"/>
      </rPr>
      <t xml:space="preserve"> : Ancrage sur l’Onape/Cnaf : l’offre crèches progresse en 2024 grâce aux micro-crèches financées par Paje (+9,9 %) et les Caf financent 11 500 crèches PSU (2024) ; la projection prolonge cette dynamique sans surestimer le marché.Haltes-garderies, jardins d’enfants : Décroissance structurelle : transformation des anciennes haltes-garderies vers le multi-accueil/crèches et extinction progressive des jardins d’enfants.Protection Maternelle et Infantile : Réseau PMI stable, mais forte intégration dans maisons départementales des solidarités et centres médico-sociaux. Filtre “sites autonomes” réduit fortement le nombre comptable.Écoles maternelles ; Universités : Stock institutionnel d’enseignement très administré ; les ouvertures/fermetures nettes restent limitées, d’où une variation faible.Écoles primaires : Stock institutionnel stable, avec érosion lente (démographie scolaire + regroupements écoles). Recul effectifs en 2024 (effet démographique). Baisse 2024-2030, mais moins vite que les effectifs d’élèves (carte scolaire)Collèges : Le parc de collèges est très stable à l’échelle nationale ; la faible variation reflète un stock institutionnel mature, avec peu de changements nets d’une année sur l’autre.Lycées : Le parc de lycées est un stock institutionnel très administré ; à l’échelle nationale, les ouvertures et fermetures nettes sont peu nombreuses, ce qui explique la quasi-stagnation.Internats scolaires : Le stock d’internats évolue peu à court terme ; les créations/fermetures sont rares et l’annuaire public disponible ne couvre pas de façon exhaustive tous les cas, d’où une série quasi stable.Grandes écoles ; Résidences étudiantes et dortoirs : Pas de stagnation structurelle : la série évolue à la hausse sur la période 2000-2026 ; la projection prolonge cette tendance avec prudence.Centres de formation / CFA : La série n’est pas stagnante : le nombre de CFA augmente nettement depuis le milieu des années 2010, sous l’effet du développement de l’apprentissage.Agences emploi / Insertion / Orientation professionnelle : Réseau plus élevé avant la fusion ANPE/Assedic, puis globalement stable depuis la consolidation du service public de l'emploi ; on ne retient pas les lieux de permanence secondaires.</t>
    </r>
  </si>
  <si>
    <r>
      <rPr>
        <b/>
        <sz val="9"/>
        <rFont val="Calibri"/>
      </rPr>
      <t>Crèches</t>
    </r>
    <r>
      <rPr>
        <sz val="9"/>
        <rFont val="Calibri"/>
      </rPr>
      <t xml:space="preserve"> : ancrage DREES 2023 sur les EAJE, puis prolongement 2024-2026. Dynamique projetée 2027-2030: hausse modérée. Fiabilité: moyenne.Haltes-garderies, jardins d’enfants : Projection prudente : maintien d’un noyau résiduel de sites autonomes, mais poursuite du reflux jusqu’en 2030. Inclusion uniquement si non déjà absorbés dans crèches/EAJE.Protection Maternelle et Infantile : Projection stable légèrement en baisse : sites PMI subsistent, mais organisation département tend à mutualiser locaux avec centres médico-sociaux/maisons solidarités.Écoles maternelles : Ancrage BPE 2024, puis prolongement très prudent de la baisse du stock scolaire. La projection 2027-2030 reste peu dynamique. Fiabilité: moyenne.Écoles primaires : Ancrage BPE 2024, puis prolongement prudent d’un parc du premier degré très peu mobile. Projection quasi stable à légère baisse. Fiabilité: moyenne.Collèges : Série recalée sur la BPE 2024 ; le parc national de collèges évolue lentement, avec très peu d’ouvertures/fermetures nettes chaque année. Projection 2027-2030: quasi stable. Fiabilité: bonne.Lycées : Série recalée sur la BPE 2024 (LEGT + lycées professionnels/agricoles) ; le stock varie peu à l’échelle nationale. Projection 2027-2030: légère baisse. Fiabilité: bonne.Internats scolaires : Proxy révisé à partir d’un annuaire public partiel des internats ; la projection reste quasi stable faute de série exhaustive homogène. Fiabilité: moyenne.Universités : proxy par nombre d’universités et établissements assimilés. Dynamique projetée 2027-2030: quasi stable. Fiabilité: moyenne.Grandes écoles : proxy sur établissements publics/privés du supérieur. Dynamique projetée 2027-2030: hausse légère. Fiabilité: moyenne.Résidences étudiantes et dortoirs : proxy fondé sur CROUS et opérateurs privés. Dynamique projetée 2027-2030: hausse modérée. Fiabilité: moyenne.Centres de formation / CFA : Ancrage direct en 2024 à 3 700 CFA, puis poursuite prudente d’une croissance encore soutenue. Projection 2027-2030: hausse modérée. Fiabilité: moyenne.Agences emploi / Insertion / Orientation professionnelle : Ancre récente : environ 900 agences France Travail + 425 Missions Locales + 98 Cap emploi + 76 centres APEC. Filtre sanitaire neutre pour sites principaux avec salariés et accueil.</t>
    </r>
  </si>
  <si>
    <r>
      <rPr>
        <b/>
        <sz val="9"/>
        <rFont val="Calibri"/>
      </rPr>
      <t>Crèches</t>
    </r>
    <r>
      <rPr>
        <sz val="9"/>
        <rFont val="Calibri"/>
      </rPr>
      <t xml:space="preserve"> : https://drees.solidarites-sante.gouv.fr/communique-de-presse-jeux-de-donnees/jeux-de-donnees/250528_DATA_donnees-departementales-sur-l-offre-daccueil-du-jeune-enfant-2023Haltes-garderies, jardins d’enfants : https://www.drees.solidarites-sante.gouv.fr/communique-de-presse-jeux-de-donnees/jeux-de-donnees/250528_DATA_donnees-departementales-sur-l-offre-daccueil-du-jeune-enfant-2023
https://www.senat.fr/rap/l23-418/l23-418_mono.html
https://www.legifrance.gouv.fr/jorf/article_jo/JORFARTI000044025660Protection Maternelle et Infantile : https://www.geo-public.fr/stats.php?t=pmi
https://www.aias.fr/protection-maternelle-et-infantile/
https://code.travail.gouv.fr/code-du-travail/r4228-1Écoles maternelles ; Collèges ; Lycées : https://www.insee.fr/fr/statistiques/8610258?geo=FE-1Écoles primaires : https://www.insee.fr/fr/statistiques/2012708 ; https://www.education.gouv.fr/depp/les-effectifs-dans-le-premier-degre-6262-millions-d-eleves-scolarises-la-rentree-2024-452571Internats scolaires : https://www.data.gouv.fr/fr/datasets/annuaire-des-internats/Universités ; Résidences étudiantes et dortoirs : https://www.enseignementsup-recherche.gouv.fr/fr/effectifs-universitaires-en-2024-2025-99301Grandes écoles : https://data.enseignementsup-recherche.gouv.fr/explore/assets/fr-esr-statistiques-sur-les-effectifs-d-etudiants-inscrits-par-etablissement-hcp/Centres de formation / CFA : https://www.education.gouv.fr/depp/reperes-et-references-statistiques-2025-450954Agences emploi / Insertion / Orientation professionnelle : https://rapportannuel2024.francetravail.org/ ; https://www.unml.info/le-reseau/les-chiffres-cles/ ; https://handicap.agriculture.gouv.fr/reseau-des-cap-emploi-acteurs-specialises-dans-l-accompagnement-des-a49.html ; https://centre.apec.fr/fr</t>
    </r>
  </si>
  <si>
    <r>
      <rPr>
        <b/>
        <sz val="9"/>
        <rFont val="Calibri"/>
      </rPr>
      <t>Crèches</t>
    </r>
    <r>
      <rPr>
        <sz val="9"/>
        <rFont val="Calibri"/>
      </rPr>
      <t xml:space="preserve"> : Bloc enfants + bloc adultes ; comptage limité aux sanitaires collectifs, sans cabine individuelle.Haltes-garderies, jardins d’enfants : Petit bloc enfants + sanitaire adulte/personnel ; pas de douches collectives hors change.Protection Maternelle et Infantile : Bloc patients/accompagnants + personnel pour consultations PMI ; avec douche ponctuelle soins/enfants/personnel.Écoles maternelles : Noyaux sanitaires enfants par classe + bloc adultes ; très peu de douches.Écoles primaires : Application d'un schéma scolaire élémentaire : blocs filles/garçons + sanitaires adultes. Très peu de douches.Collèges ; Lycées : Blocs élèves filles/garçons + sanitaires adultes + vestiaires sportifs séparés (si capacité ≥5 pers.). Très peu de douches en proportion.Internats scolaires ; Résidences étudiantes et dortoirs : Blocs collectifs d'hébergement/étage ; exclusion des chambres avec sanitaires privatifs.Universités ; Grandes écoles : Programme de campus : sanitaires publics répartis par bâtiments d'enseignement, hors résidences.Centres de formation / CFA : Blocs apprenants filles/garçons + sanitaires adultes + vestiaires sportifs/ateliers séparés dès lors qu'ils sont collectifs (≥5 pers.).Agences emploi / Insertion / Orientation professionnelle : Guichet emploi/insertion : bloc public en attente + sanitaires personnel séparés.</t>
    </r>
  </si>
  <si>
    <r>
      <rPr>
        <b/>
        <sz val="8"/>
        <rFont val="Calibri"/>
      </rPr>
      <t>Crèches</t>
    </r>
    <r>
      <rPr>
        <sz val="8"/>
        <rFont val="Calibri"/>
      </rPr>
      <t xml:space="preserve"> : Capacité type ≈ 31 usagers principaux + 8 staff + 1 parents/accompagnants. Le programme sanitaire est construit par blocs fonctionnels plausibles (public, personnel, exploitation/hébergement selon le cas) et non par simple ratio national moyen. Calibrage selon capacité simultanée, répartition de flux et organisation réelle du site.Haltes-garderies, jardins d’enfants : Capacité type ≈ 24 usagers principaux + 5 staff + 1 autre public. Accueil de courte durée en petite enfance, avec rotation et accompagnants ponctuels. Dimensionnement unitaire retenu : bloc enfants proche salles + 1 sanitaire adulte/PMR et point d'eau, surdimensionné pour surveillance et hygiène. Hypothèse d'usage : capacité simultanée moyenne 2026, répartition par flux réels, arrondie par blocs fonctionnels et exclusion des sanitaires strictement privatifs sauf cas explicitement collectifs.Protection Maternelle et Infantile : Capacité type ≈ 18 usagers principaux + 5 staff + 2 autre public. Site de consultation à flux intermittent, patients enfants/parents et petite équipe médico-sociale. Dimensionnement unitaire retenu : 1 bloc public accessible + 1 bloc personnel, avec lavabo et accessibilité PMR au niveau recevant le public. Hypothèse d'usage : capacité simultanée moyenne 2026, répartition par flux réels. Douche de soins, change/hygiène enfant ou personnel, sans en faire un standard public.Écoles maternelles : Capacité type ≈ 129 enfants + 15 adultes + 6 parents/accompagnants/intervenants. Programme par noyaux sanitaires au plus près des classes, sans urinoirs ni douches. Répartition par bâtiments/petites sections justifie un léger surdimensionnement par rapport au seul ratio théorique. Calibrage selon capacité simultanée, répartition de flux et organisation réelle du site.Écoles primaires : Capacité type ≈ 225 élèves + 20 adultes + 5 accompagnants/intervenants. Base ONS : 1 WC/20 filles, 1 WC/40 garçons + 1 urinoir/20 garçons et 1 point d'eau/20 élèves ; ajout d'un petit bloc adultes et arrondi par bâtiment. Calibrage selon capacité simultanée, répartition de flux et organisation réelle du site.Collèges : Capacité type ≈ 432 apprenants + 38 adultes + 10 intervenants/visiteurs. Base scolaire dérivée du référentiel ONS pour les élèves, complétée par sanitaires adultes ; ajout de vestiaires sportifs séparés lorsqu'ils desservent au moins 5 personnes. Calibrage selon capacité simultanée, répartition de flux et organisation réelle du site.Lycées : Capacité type ≈ 549 apprenants + 49 adultes + 12 intervenants/visiteurs. Base scolaire dérivée du référentiel ONS pour les élèves, complétée par sanitaires adultes ; ajout de vestiaires sportifs séparés lorsqu'ils desservent au moins 5 personnes. Calibrage selon capacité simultanée, répartition de flux et organisation réelle du site.Internats scolaires : Capacité type ≈ 162 résidents/usagers + 14 staff + 4 accompagnants/intervenants. Hypothèse d'hébergement collectif : sanitaires d'étage et douches communes, hors chambres purement privatives. Calibrage selon capacité simultanée, répartition de flux et organisation réelle du site.Universités : Capacité type ≈ 10320 usagers + 1200 staff + 480 visiteurs/intervenants/prestataires présents. Dimensionnement par batteries sanitaires de bâtiments d'enseignement, bibliothèques, restauration et administration, sans résidences ; quelques douches conservées pour sport/maintenance. Calibrage selon capacité simultanée, répartition de flux et organisation réelle du site.Grandes écoles : Capacité type ≈ 1290 usagers + 150 staff + 60 visiteurs/intervenants/prestataires présents. Dimensionnement par batteries sanitaires de bâtiments d'enseignement, bibliothèques, restauration et administration, sans résidences ; quelques douches conservées pour sport/maintenance. Calibrage selon capacité simultanée, répartition de flux et organisation réelle du site.Résidences étudiantes et dortoirs : Capacité type ≈ 162 résidents/usagers + 14 staff + 4 visiteurs/intervenants. Hypothèse d'hébergement collectif : sanitaires d'étage et douches communes, hors chambres purement privatives. Calibrage selon capacité simultanée, répartition de flux et organisation réelle du site.Centres de formation / CFA : Capacité type ≈ 405 apprenants + 36 adultes + 9 intervenants/visiteurs. Base scolaire dérivée du référentiel ONS pour les élèves, complétée par sanitaires adultes ; ajout de vestiaires sportifs séparés lorsqu'ils desservent au moins 5 personnes. Calibrage selon capacité simultanée, répartition de flux et organisation réelle du site.Agences emploi / Insertion / Orientation professionnelle : Capacité type ≈ 70 usagers principaux + 25 staff + 5 autre public. Flux de demandeurs d'emploi, accompagnants et agents en bureaux/espaces d'entretien. Dimensionnement unitaire retenu : batterie publique compacte + bloc salariés selon Code du travail, sans douche. Hypothèse d'usage : capacité simultanée moyenne 2026, répartition par flux réels, arrondie par blocs fonctionnels et exclusion des sanitaires strictement privatifs sauf cas explicitement collectifs.</t>
    </r>
  </si>
  <si>
    <r>
      <rPr>
        <b/>
        <sz val="9"/>
        <rFont val="Calibri"/>
      </rPr>
      <t>Crèches</t>
    </r>
    <r>
      <rPr>
        <sz val="9"/>
        <rFont val="Calibri"/>
      </rPr>
      <t xml:space="preserve"> : Profil petit, capacité moyenne ≈ 40 personnes. Moyenne pondérée terrain : parc majoritairement petits/moyens sites, grands sites intégrés sans surpondération ; usage 2025 modérée.Haltes-garderies, jardins d’enfants : Profil petit, capacité moyenne ≈ 30 personnes. Moyenne pondérée terrain : parc majoritairement petits/moyens sites, grands sites intégrés sans surpondération ; usage 2025 modérée.Protection Maternelle et Infantile : Profil très petit, capacité moyenne ≈ 25 personnes. Moyenne pondérée terrain : parc majoritairement petits/moyens sites, grands sites intégrés sans surpondération ; usage 2025 modérée.Écoles maternelles : Profil moyen, capacité moyenne ≈ 150 personnes. Moyenne pondérée terrain : parc majoritairement petits/moyens sites, grands sites intégrés sans surpondération ; usage 2025 modérée.Écoles primaires : Profil grand, capacité moyenne ≈ 250 personnes. Moyenne pondérée terrain : parc majoritairement petits/moyens sites, grands sites intégrés sans surpondération ; usage 2025 modérée.Collèges : Profil grand, capacité moyenne ≈ 480 personnes. Moyenne pondérée terrain : parc majoritairement petits/moyens sites, grands sites intégrés sans surpondération ; usage 2025 modérée.Lycées : Profil grand, capacité moyenne ≈ 610 personnes. Moyenne pondérée terrain : parc majoritairement petits/moyens sites, grands sites intégrés sans surpondération ; usage 2025 modérée.Internats scolaires ; Résidences étudiantes et dortoirs : Profil moyen, capacité moyenne ≈ 180 personnes. Moyenne pondérée terrain : parc majoritairement petits/moyens sites, grands sites intégrés sans surpondération ; usage 2025 modérée.Universités : Profil très grand, capacité moyenne ≈ 12000 personnes. Moyenne pondérée terrain : parc majoritairement petits/moyens sites, grands sites intégrés sans surpondération ; usage 2025 modérée.Grandes écoles : Profil très grand, capacité moyenne ≈ 1500 personnes. Moyenne pondérée terrain : parc majoritairement petits/moyens sites, grands sites intégrés sans surpondération ; usage 2025 modérée.Centres de formation / CFA : Profil grand, capacité moyenne ≈ 450 personnes. Moyenne pondérée terrain : parc majoritairement petits/moyens sites, grands sites intégrés sans surpondération ; usage 2025 modérée.Agences emploi / Insertion / Orientation professionnelle : Profil moyen, capacité moyenne ≈ 100 personnes. Moyenne pondérée terrain : parc majoritairement petits/moyens sites, grands sites intégrés sans surpondération ; usage 2025 modérée.</t>
    </r>
  </si>
  <si>
    <r>
      <rPr>
        <b/>
        <sz val="9"/>
        <rFont val="Calibri"/>
      </rPr>
      <t>Crèches</t>
    </r>
    <r>
      <rPr>
        <sz val="9"/>
        <rFont val="Calibri"/>
      </rPr>
      <t xml:space="preserve"> : Code du travail (sanitaires et vestiaires staff) + programmation ERP/usages d'exploitation ; source de comptage propre à la ligne en col. AP.Haltes-garderies, jardins d’enfants : ERP/accessibilité sanitaires publics : https://www.legifrance.gouv.fr/loda/article_lc/LEGIARTI000034485966/ ; Code du travail sanitaires salariés : https://www.legifrance.gouv.fr/codes/id/LEGISCTA000018531984 ; Bâti scolaire / sanitaires : https://batiscolaire.education.gouv.fr/fiche-espace-sanitaires-eleves-elementaire-et-secondaire-240412Protection Maternelle et Infantile ; Agences emploi / Insertion / Orientation professionnelle : ERP/accessibilité sanitaires publics : https://www.legifrance.gouv.fr/loda/article_lc/LEGIARTI000034485966/ ; Code du travail sanitaires salariés : https://www.legifrance.gouv.fr/codes/id/LEGISCTA000018531984 ; INRS : https://www.inrs.fr/publications/juridique/focus-juridiques/focus-sanitaires-toilettes.htmlÉcoles maternelles ; Écoles primaires ; Collèges ; Lycées ; Internats scolaires ; Universités ; Grandes écoles ; Résidences étudiantes et dortoirs ; Centres de formation / CFA : Éducation nationale / ONS, 'Les sanitaires dans les écoles élémentaires' : https://www.education.gouv.fr/sites/default/files/imported_files/document/ONS-Les-sanitaires-dans-les-ecoles-elementaires_391494.pdf ; + Code du travail pour les sanitaires adultes/staff.</t>
    </r>
  </si>
  <si>
    <r>
      <rPr>
        <b/>
        <sz val="8"/>
        <rFont val="Calibri"/>
      </rPr>
      <t>Crèches ; Écoles maternelles</t>
    </r>
    <r>
      <rPr>
        <sz val="8"/>
        <rFont val="Calibri"/>
      </rPr>
      <t xml:space="preserve"> : Usage très régulier avec nettoyage fréquent et petites dégradations usuelles. Les temporisés mécaniques gardent un avantage tangible sur les mitigeurs en environnement partagé. L'électronique est abaissée car les cellules, alimentations et réglages vieillissent plus vite que les organes purement mécaniques. Rénovation souvent par blocs lors des vacances scolaires. Enseignement intensif sous contrainte budgétaire : Pics interclasses, usage quotidien élevé, vandalisme modéré et budgets publics souvent lissés. Le temporisé et la chasse directe tiennent mieux que le manuel/réservoir en usage intensif.Haltes-garderies, jardins d’enfants ; Protection Maternelle et Infantile : Petite enfance : Durées plutôt correctes car usage encadré, mais remplacement souvent par blocs lors de travaux municipaux ou scolaires. Mix retenu : Usage encadré et hauteur/ergonomie enfant : mitigeurs et temporisations mécaniques dominent, électronique marginale ; urinoirs généralement nuls.Écoles primaires ; Collèges : Les pics d'interclasse, le vandalisme opportuniste et les sollicitations fortes raccourcissent surtout mitigeurs et électroniques. Les temporisés mécaniques restent privilégiés car plus robustes et mieux adaptés à l'usage collectif intensif. Les remplacements se font au fil des pannes puis par campagnes lors des réhabilitations de blocs sanitaires. Enseignement intensif sous contrainte budgétaire : Pics interclasses, usage quotidien élevé, vandalisme modéré et budgets publics souvent lissés. Le temporisé et la chasse directe tiennent mieux que le manuel/réservoir en usage intensif.Lycées : Fréquentation élevée mais utilisateurs plus âgés, pics aux pauses et EPS; vandalisme moins diffus qu'au collège mais blocs plus grands. Durées proches collège, avec renouvellement par campagnes de réfection. Usage élevé mais un peu mieux réparti dans la journée. budgets hétérogènes selon établissements. Temporisés mécaniques restent au-dessus des mitigeurs en usage partagé, tandis que l'électronique est gardée plus courte à cause des capteurs, piles/secteur et cartes. Renouvellement mixte : correctif au fil de l'eau puis rénovation par bâtiment.Fréquentation soutenue mais moins agressive, rénovations périodiques et obligations de mise à niveau tertiaire.Internats scolaires : Présence jour/nuit, humidité régulière et entretien variable selon l'exploitant. Les durées restent intermédiaires : plus longues qu'en collège pur, mais plus courtes qu'en hôtellerie classique. Les technos électroniques restent pénalisées par maintenance et alimentation. Les remplacements se font souvent par lots lors de rénovation des étages ou blocs d'hébergement. Résidentiel éducatif / jeunesse : Usage résidentiel ou semi-résidentiel, douches plus sollicitées, pics saisonniers mais moindre vandalisme que le scolaire de jour.Universités : Usage élevé mais un peu mieux réparti dans la journée. budgets hétérogènes selon les campus. Les temporisés mécaniques restent au-dessus des mitigeurs en usage partagé, tandis que l'électronique est gardée plus courte à cause des capteurs, piles/secteur et cartes. Renouvellement mixte : correctif au fil de l'eau puis rénovation par bâtiment. Campus tertiaire / enseignement supérieur : Usage adulte, fréquentation soutenue mais moins agressive, rénovations périodiques de campus et obligations de mise à niveau tertiaire.Grandes écoles : Usage adulte, campus mieux maintenu et rénovations patrimoniales plus régulières; pics présents mais moins agressifs qu'université ouverte. Durées proches universités, sécurisées par entretien et budgets ciblés. Renouvellement mixte : correctif au fil de l'eau puis rénovation par bâtiment. Campus tertiaire / enseignement supérieur : Usage adulte, fréquentation soutenue mais moins agressive, rénovations périodiques de campus et obligations de mise à niveau tertiaire.Repères durées: lavabos 13/14/10 ans (mit./méca/élec.), douches 13/12/9, urinoirs 11/14/10/12, WC 12/14/11.Résidences étudiantes et dortoirs : Usage partagé régulier, vandalisme limité et maintenance patrimoniale classique. Les temporisés mécaniques restent légèrement au-dessus des mitigeurs car l'oubli de fermeture et l'usure des cartouches jouent moins. L'électronique est plus courte surtout pour des raisons de capteurs, piles/secteur et réglages. Rénovation mixte, plutôt opportuniste puis par lots lors des travaux. Loisirs jeunesse / usage saisonnier : Fréquentation par pics, usage parfois extérieur/saisonnier, surveillance variable et maintenance souvent concentrée hors saison.Centres de formation / CFA : Usage 24/7, protocoles d'hygiène, nettoyage fréquent et maintenance technique plus structurée. L'électronique est relevée par rapport aux ERP standards grâce au sans-contact et aux rinçages automatiques, mais reste sous le temporisé mécanique à cause des capteurs, alimentations et électrovannes. Les remplacements sont souvent planifiés par aile ou unité, avec correctif entre deux opérations. Santé hospitalière aiguë : Forte exigence d’hygiène, prévention légionelles, nettoyage fréquent et remplacements préventifs liés aux travaux Ségur ou à la conformité sanitaire.Agences emploi / Insertion / Orientation professionnelle : Tertiaire, administrations et services publics : Durées plutôt stables grâce à maintenance organisée et usage régulier mais maîtrisé. Mix retenu : Usage régulier et maintenance organisée : mix équilibré entre mitigeur, temporisation et électronique croissante en rénovation. Flux de guichet régulier, pics matinaux mais faible humidité et vandalisme modéré; sanitaires de taille limitée, maintenance tertiaire. Plus court que bureaux privés si accueil social dense. Repères durées: lavabos 13/14/10 ans (mit./méca/élec.), douches 12/11/9, urinoirs 11/13/9/11, WC 14/14/10.</t>
    </r>
  </si>
  <si>
    <r>
      <rPr>
        <b/>
        <sz val="9"/>
        <rFont val="Calibri"/>
      </rPr>
      <t>Crèches</t>
    </r>
    <r>
      <rPr>
        <sz val="9"/>
        <rFont val="Calibri"/>
      </rPr>
      <t xml:space="preserve"> : Parc commun plutôt petit et assisté : le mitigeur manuel reste majoritaire sur les lave-mains enfants/adultes, avec une part de temporisé sur zones personnel/usage intensif ; l’électronique reste marginale. Ajustement ciblé 2025 : légère baisse du mitigeur et/ou légère hausse de l’électronique pour mieux refléter la modernisation déjà visible sur les rénovations de sanitaires communs.Haltes-garderies, jardins d’enfants : Haltes-garderies, jardins d’enfants (hors crèches) : parc 2025 domine par mitigeur manuel (50%), avec tempo mecanique en appoint. Le choix reflete usage quotidien par cohortes, pics de recreations/cours et renovation par lots ; robustesse scolaire, entretien simple et contraintes de vacances scolaires.Protection Maternelle et Infantile : Protection Maternelle et Infantile (PMI) - sites autonomes : parc 2025 domine par mitigeur manuel (50%), avec tempo mecanique en appoint. Le choix reflete usage quotidien par cohortes, pics de recreations/cours et renovation par lots ; robustesse scolaire, entretien simple et contraintes de vacances scolaires.Écoles maternelles : Sur le parc existant, les lave-mains de maternelle gardent une base importante de mitigeurs simples, mais les rénovations de blocs élèves font fortement appel au temporisé mécanique, robuste et économe.Écoles primaires : Dans les écoles primaires, le parc commun est dominé par le temporisé mécanique, recherché pour l’anti-vandalisme et les économies d’eau ; le manuel subsiste surtout dans petits blocs ou zones adultes.Collèges ; Lycées ; Centres de formation / CFA : Sur collèges, lycées et CFA, le temporisé mécanique domine nettement le parc commun, car il combine robustesse, anti-blocage et maîtrise des débits ; l’électronique monte mais reste minoritaire en stock.Internats scolaires ; Résidences étudiantes et dortoirs : Dans les internats et résidences étudiantes en bloc commun, le parc existant reste partagé entre mitigeurs manuels et temporisés ; l’électronique progresse surtout dans les rénovations récentes.Universités ; Grandes écoles : Le parc universitaire/grandes écoles est plus mixte : temporisé mécanique et électronique coexistent largement dans les sanitaires communs, l’électronique étant plus présente que dans le scolaire grâce aux rénovations tertiaires/campus.Agences emploi / Insertion / Orientation professionnelle : Agences emploi / Insertion / Orientation professionnelle : parc 2025 domine par tempo mecanique (50%), avec mitigeur manuel en appoint. Le choix reflete accueil tertiaire de jour, flux files d attente ponctuels et maintenance immobiliere standard ; image de service public, accessibilite et cout de maintenance.</t>
    </r>
  </si>
  <si>
    <r>
      <rPr>
        <b/>
        <sz val="9"/>
        <rFont val="Calibri"/>
      </rPr>
      <t>Crèches</t>
    </r>
    <r>
      <rPr>
        <sz val="9"/>
        <rFont val="Calibri"/>
      </rPr>
      <t xml:space="preserve"> : Évolution modérée d’ici 2030 : le mitigeur recule un peu au profit du temporisé/électronique, mais le parc reste très manuel sur les points enfants et le renouvellement est lent.Haltes-garderies, jardins d’enfants ; Protection Maternelle et Infantile : 2025-2030 : progression de tempo electronique (+2,0%), surtout lors des renov. lourdes/neuf ; recul de mitigeur manuel (-2,0%) mais maintien d un socle robuste pour les remplacements partiels.Écoles maternelles ; Écoles primaires ; Collèges ; Lycées ; Centres de formation / CFA : D’ici 2030, recul modéré du mitigeur et léger recul du temporisé mécanique au profit de l’électronique dans les rénovations de blocs ; le temporisé mécanique reste néanmoins dominant pour robustesse, anti-vandalisme et maîtrise des débits.Internats scolaires ; Résidences étudiantes et dortoirs : Projection prudente : progression de l’électronique surtout dans les rénovations de parties communes, mais le mitigeur et le temporisé restent centraux sur les blocs de type hébergement collectif.Universités ; Grandes écoles : Les campus basculent plus vite que le scolaire vers l’électronique sur les rénovations 2025-2030, tout en gardant un socle temporisé mécanique dans les zones les plus intensives.Agences emploi / Insertion / Orientation professionnelle : 2025-2030 : progression de tempo electronique (+5,0%), surtout lors des renov. lourdes/neuf ; recul de mitigeur manuel (-5,0%) mais maintien d un socle robuste pour les remplacements partiels.</t>
    </r>
  </si>
  <si>
    <r>
      <rPr>
        <b/>
        <sz val="9"/>
        <rFont val="Calibri"/>
      </rPr>
      <t>Crèches ; Écoles maternelles ; Écoles primaires ; Collèges ; Lycées ; Centres de formation / CFA ; Agences emploi / Insertion / Orientation professionnelle</t>
    </r>
    <r>
      <rPr>
        <sz val="9"/>
        <rFont val="Calibri"/>
      </rPr>
      <t xml:space="preserve"> : Sans objet.Haltes-garderies, jardins d’enfants : Haltes-garderies, jardins d’enfants (hors crèches) : parc 2025 domine par mitigeur (90%), avec tempo mecanique en appoint. Le choix reflete usage quotidien par cohortes, pics de recreations/cours et renovation par lots ; robustesse scolaire, entretien simple et contraintes de vacances scolaires.Protection Maternelle et Infantile : PMI : douches rares, surtout à mitigeur/thermostatique pour sécurité, confort et usage ponctuel de soins/personnel.Internats scolaires ; Résidences étudiantes et dortoirs : Le parc de douches communes reste majoritairement mécanique/temporisé, mais une forte part de mitigeurs persiste dans les ensembles résidentiels ou réhabilités plus confort.Universités ; Grandes écoles : Quand il existe des douches communes, le temporisé mécanique domine encore, mais l’électronique apparaît dans les rénovations plus récentes.</t>
    </r>
  </si>
  <si>
    <r>
      <rPr>
        <b/>
        <sz val="9"/>
        <rFont val="Calibri"/>
      </rPr>
      <t>Crèches ; Écoles maternelles ; Écoles primaires ; Collèges ; Lycées ; Centres de formation / CFA ; Agences emploi / Insertion / Orientation professionnelle</t>
    </r>
    <r>
      <rPr>
        <sz val="9"/>
        <rFont val="Calibri"/>
      </rPr>
      <t xml:space="preserve"> : Sans objet.Haltes-garderies, jardins d’enfants : 2025-2030 : progression de tempo electronique (+1,0%), surtout lors des renov. lourdes/neuf ; recul de mitigeur (-2,0%) mais maintien d un socle robuste pour les remplacements partiels.Protection Maternelle et Infantile : Évolution 2025-2030 très limitée : maintien majoritaire du mitigeur, légère progression des solutions temporisées/électroniques lors de rénovations ciblées.Internats scolaires ; Résidences étudiantes et dortoirs : Progression limitée de l’électronique : les douches communes restent surtout manuelles/temporisées selon le niveau de confort recherché.Universités ; Grandes écoles : Les douches communes de campus gagnent un peu d’électronique, mais le temporisé mécanique reste dominant pour le coût et la tenue en usage collectif.</t>
    </r>
  </si>
  <si>
    <r>
      <rPr>
        <b/>
        <sz val="9"/>
        <rFont val="Calibri"/>
      </rPr>
      <t>Crèches ; Haltes-garderies, jardins d’enfants ; Protection Maternelle et Infantile</t>
    </r>
    <r>
      <rPr>
        <sz val="9"/>
        <rFont val="Calibri"/>
      </rPr>
      <t xml:space="preserve"> : Sans objet.Écoles maternelles : Urinoirs retenus uniquement pour une partie du parc, surtout blocs garçons traditionnels. Mix 2025 aligné sur écoles primaires : réservoir minoritaire, chasse directe mécanique dominante, électronique encore limitée.Écoles primaires : Les urinoirs existants restent surtout en chasse directe mécanique ou en configuration collective ancienne (rampe/batterie) ; l’automatique reste minoritaire hors rénovations récentes.Collèges ; Lycées ; Centres de formation / CFA : Le parc d’urinoirs est encore surtout mécanique/direct, avec un reliquat de rampes collectives dans les ensembles anciens et une part d’automatique concentrée sur les rénovations.Internats scolaires ; Résidences étudiantes et dortoirs : On retrouve un mix d’urinoirs mécaniques et de collectifs anciens, l’automatique restant secondaire dans le parc existant.Universités ; Grandes écoles : Les urinoirs basculent progressivement vers l’automatique dans les bâtiments récents, mais le parc installé reste encore largement partagé avec la chasse directe mécanique.Agences emploi / Insertion / Orientation professionnelle : Agences emploi / Insertion / Orientation professionnelle : parc 2025 domine par directe mecanique (50%), avec directe electronique collective en appoint. Le choix reflete accueil tertiaire de jour, flux files d attente ponctuels et maintenance immobiliere standard ; image de service public, accessibilite et cout de maintenance.</t>
    </r>
  </si>
  <si>
    <r>
      <rPr>
        <b/>
        <sz val="9"/>
        <rFont val="Calibri"/>
      </rPr>
      <t>Crèches ; Haltes-garderies, jardins d’enfants ; Protection Maternelle et Infantile</t>
    </r>
    <r>
      <rPr>
        <sz val="9"/>
        <rFont val="Calibri"/>
      </rPr>
      <t xml:space="preserve"> : Sans objet.Écoles maternelles ; Écoles primaires ; Collèges ; Lycées ; Centres de formation / CFA : Baisse graduelle des réservoirs et des rampes/collectifs les plus anciens, au profit de chasses directes ; l’automatique progresse mais le mécanique reste fort pour le coût et la robustesse.Internats scolaires ; Résidences étudiantes et dortoirs : Les urinoirs collectifs anciens reculent lentement ; la montée de l’automatique reste réelle mais modérée.Universités ; Grandes écoles : Les campus basculent plus vite vers l’automatique sur les rénovations, avec recul des réservoirs et des systèmes collectifs anciens.Agences emploi / Insertion / Orientation professionnelle : 2025-2030 : progression de directe electronique indiv. (+3,0%), surtout lors des renov. lourdes/neuf ; recul de a reservoir (-2,0%) mais maintien d un socle robuste pour les remplacements partiels.</t>
    </r>
  </si>
  <si>
    <r>
      <rPr>
        <b/>
        <sz val="9"/>
        <rFont val="Calibri"/>
      </rPr>
      <t>Crèches</t>
    </r>
    <r>
      <rPr>
        <sz val="9"/>
        <rFont val="Calibri"/>
      </rPr>
      <t xml:space="preserve"> : Les WC restent très majoritairement à réservoir sur ce parc, plus simple et plus proche d’un usage d’habitat collectif ; la chasse directe reste minoritaire.Haltes-garderies, jardins d’enfants : Haltes-garderies, jardins d’enfants (hors crèches) : parc 2025 domine par reservoir (85%), avec chasse directe mecanique en appoint. Le choix reflete usage quotidien par cohortes, pics de recreations/cours et renovation par lots ; robustesse scolaire, entretien simple et contraintes de vacances scolaires.Protection Maternelle et Infantile : Protection Maternelle et Infantile (PMI) - sites autonomes : parc 2025 domine par reservoir (85%), avec chasse directe mecanique en appoint. Le choix reflete usage quotidien par cohortes, pics de recreations/cours et renovation par lots ; robustesse scolaire, entretien simple et contraintes de vacances scolaires.Écoles maternelles : La majorité du stock reste en réservoir ; la chasse directe progresse en rénovation de blocs scolaires mais demeure minoritaire à l’échelle du parc.Écoles primaires : Le parc WC reste mixte, avec une majorité de réservoirs hérités et une part significative de chasses directes dans les blocs rénovés.Collèges ; Lycées ; Centres de formation / CFA : Le parc WC est presque à l’équilibre entre réservoir et chasse directe, cette dernière étant mieux adaptée aux usages intensifs des ERP scolaires ; l’électronique reste de niche.Internats scolaires ; Résidences étudiantes et dortoirs : Les WC à réservoir restent majoritaires sur ce parc de type hébergement collectif ; la chasse directe progresse mais reste minoritaire à l’échelle du stock.Universités ; Grandes écoles : La chasse directe domine déjà le parc commun, avec une part non négligeable d’électronique dans les campus récents ou premium ; le réservoir reste présent dans les bâtiments plus anciens.Agences emploi / Insertion / Orientation professionnelle : Agences emploi / Insertion / Orientation professionnelle : parc 2025 domine par reservoir (55%), avec chasse directe mecanique en appoint. Le choix reflete accueil tertiaire de jour, flux files d attente ponctuels et maintenance immobiliere standard ; image de service public, accessibilite et cout de maintenance.</t>
    </r>
  </si>
  <si>
    <r>
      <rPr>
        <b/>
        <sz val="9"/>
        <rFont val="Calibri"/>
      </rPr>
      <t>Crèches</t>
    </r>
    <r>
      <rPr>
        <sz val="9"/>
        <rFont val="Calibri"/>
      </rPr>
      <t xml:space="preserve"> : Les WC restent très majoritairement à réservoir ; la chasse directe gagne un peu de terrain mais sans renverser le parc d’ici 2030.Haltes-garderies, jardins d’enfants ; Protection Maternelle et Infantile : 2025-2030 : progression de chasse directe mecanique (+3,0%), surtout lors des renov. lourdes/neuf ; recul de reservoir (-5,0%) mais maintien d un socle robuste pour les remplacements partiels.Écoles maternelles ; Écoles primaires ; Collèges ; Lycées ; Centres de formation / CFA : Le réservoir recule progressivement dans les blocs rénovés au profit de la chasse directe, avec une percée encore mesurée de l’électronique.Internats scolaires ; Résidences étudiantes et dortoirs : Le parc reste plutôt résidentiel/collectif : le réservoir demeure dominant, avec une progression graduelle de la chasse directe.Universités ; Grandes écoles : La chasse directe et l’électronique progressent sur les rénovations lourdes de campus ; le réservoir continue de reculer.Agences emploi / Insertion / Orientation professionnelle : 2025-2030 : progression de chasse directe electronique (+5,0%), surtout lors des renov. lourdes/neuf ; recul de reservoir (-8,0%) mais maintien d un socle robuste pour les remplacements partiels.</t>
    </r>
  </si>
  <si>
    <r>
      <rPr>
        <b/>
        <sz val="9"/>
        <rFont val="Calibri"/>
      </rPr>
      <t>Crèches</t>
    </r>
    <r>
      <rPr>
        <sz val="9"/>
        <rFont val="Calibri"/>
      </rPr>
      <t xml:space="preserve"> : MoyenneHaltes-garderies, jardins d’enfants ; Protection Maternelle et Infantile ; Écoles maternelles ; Écoles primaires ; Collèges ; Lycées ; Internats scolaires ; Universités ; Grandes écoles ; Résidences étudiantes et dortoirs ; Centres de formation / CFA ; Agences emploi / Insertion / Orientation professionnelle : Moyenne à Bonne</t>
    </r>
  </si>
  <si>
    <r>
      <rPr>
        <b/>
        <sz val="9"/>
        <rFont val="Calibri"/>
      </rPr>
      <t>Crèches</t>
    </r>
    <r>
      <rPr>
        <sz val="9"/>
        <rFont val="Calibri"/>
      </rPr>
      <t xml:space="preserve"> : 87,3% retenu : part des besoins réellement transformée en travaux sur 2026-2030 après prise en compte des budgets, du phasage et des arbitrages locaux.Haltes-garderies, jardins d’enfants ; Protection Maternelle et Infantile : 79,3% retenu : besoins transformes en travaux selon usage quotidien par cohortes, pics de recreations/cours et renovation par lots. Le phasage budgetaire, les fermetures partielles et la maintenance courante limitent la conversion totale.Écoles maternelles ; Écoles primaires : 87,3% retenu : travaux souvent menés par lots pendant les vacances, tirés par rénovation thermique/salubrité, mais freinés par les arbitrages communaux et les calendriers d’exploitation.Collèges ; Lycées : 88,4% retenu : travaux souvent menés par lots pendant les vacances, tirés par rénovation thermique/salubrité, mais freinés par les arbitrages communaux et les calendriers d’exploitation.Internats scolaires : 85,1% retenu : la fréquentation soutient le besoin, mais la matérialisation dépend fortement des programmes de concession/exploitation.Universités : 86,2% retenu : matérialisation élevée grâce aux opérations campus et restructurations, avec toutefois des phasages longs et des arbitrages budgétaires.Grandes écoles : 85,1% retenu : travaux souvent menés par lots pendant les vacances, tirés par rénovation thermique/salubrité, mais freinés par les arbitrages communaux et les calendriers d’exploitation.Résidences étudiantes et dortoirs : 85,1% retenu : part des besoins réellement transformée en travaux sur 2026-2030 après prise en compte des budgets, du phasage et des arbitrages locaux.Centres de formation / CFA : 87,3% retenu : matérialisation élevée grâce aux opérations campus et restructurations, avec toutefois des phasages longs et des arbitrages budgétaires.Agences emploi / Insertion / Orientation professionnelle : 76,5% retenu : besoins transformes en travaux selon accueil tertiaire de jour, flux files d attente ponctuels et maintenance immobiliere standard. Le phasage budgetaire, les fermetures partielles et la maintenance courante limitent la conversion totale.</t>
    </r>
  </si>
  <si>
    <r>
      <rPr>
        <b/>
        <sz val="9"/>
        <rFont val="Calibri"/>
      </rPr>
      <t>Crèches</t>
    </r>
    <r>
      <rPr>
        <sz val="9"/>
        <rFont val="Calibri"/>
      </rPr>
      <t xml:space="preserve"> : Potentiel rénovation élevé : remise à niveau des blocs enfants/personnel, exigences d’hygiène et d’usage intensif, souvent intégrées à des travaux communaux ou délégations de service public. Les volumes restent d’abord tirés par les WC et les lavabos, plus que par les postes spécialisés. En rénovation, le marché reste favorable aux gammes robustes et simples d’entretien, compatibles avec des chantiers par tranches et des budgets contraints.Haltes-garderies, jardins d’enfants ; Protection Maternelle et Infantile : Potentiel renovation : tire par robustesse scolaire, entretien simple et contraintes de vacances scolaires. Les remplacements sont plutot par lots, avec arbitrage entre urgence sanitaire, budget et capacite a intervenir en site occupe.Écoles maternelles : Potentiel rénovation très élevé : très porté par EduRénov, l’adaptation aux vagues de chaleur, l’accessibilité et la remise à niveau de blocs souvent anciens. Les volumes restent d’abord tirés par les WC et les lavabos, plus que par les postes spécialisés. En rénovation, le marché reste favorable aux gammes robustes et simples d’entretien, compatibles avec des chantiers par tranches et des budgets contraints.Écoles primaires : Potentiel rénovation très élevé : très porté par EduRénov, l’adaptation aux vagues de chaleur, l’accessibilité et la remise à niveau de blocs souvent anciens.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contraints.Collèges ; Lycées : Potentiel rénovation très élevé : bâtiments souvent énergivores, vestiaires EPS et sanitaires fortement sollicités, avec chantiers programmés pendant les vacances.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contraints.Internats scolaires : Potentiel rénovation élevé : salles d’eau et blocs sanitaires très usés par l’hébergement, avec exigences de confort, sécurité et attractivité. La douche pèse au-dessus de la moyenne, avec des contraintes d’humidité, de corrosion et d’entretien qui accélèrent le remplacement. En rénovation, le marché reste favorable aux gammes robustes et simples d’entretien, compatibles avec des chantiers par tranches et des budgets contraints.Universités ; Grandes écoles : Potentiel rénovation élevé : modernisation de campus, bâtiments d’enseignement, bibliothèques et vie étudiante, souvent dans des patrimoines vieillissants. Les lavabos et les WC portent l’essentiel des volumes, avec un poids secondaire des équipements spécialisés. En rénovation, le marché reste favorable aux gammes robustes et simples d’entretien, compatibles avec des chantiers par tranches et des budgets contraints.Résidences étudiantes et dortoirs : Potentiel rénovation élevé : salles d’eau et blocs sanitaires très usés par l’hébergement, avec exigences de confort, sécurité et attractivité. La douche pèse au-dessus de la moyenne, avec des contraintes d’humidité, de corrosion et d’entretien qui accélèrent le remplacement. En rénovation, le marché reste orienté vers des gammes fiables, disponibles et rapides à poser afin de limiter l’arrêt d’exploitation.Centres de formation / CFA : Potentiel rénovation élevé : ateliers, sanitaires élèves/personnel et éventuels vestiaires sont repris lors des modernisations pédagogiques et énergétiques.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contraints.Agences emploi / Insertion / Orientation professionnelle : Potentiel renovation : tire par image de service public, accessibilite et cout de maintenance. Les remplacements sont plutot par lots, avec arbitrage entre urgence sanitaire, budget et capacite a intervenir en site occupe.</t>
    </r>
  </si>
  <si>
    <r>
      <rPr>
        <b/>
        <sz val="9"/>
        <rFont val="Calibri"/>
      </rPr>
      <t>Crèches</t>
    </r>
    <r>
      <rPr>
        <sz val="9"/>
        <rFont val="Calibri"/>
      </rPr>
      <t xml:space="preserve"> : Potentiel neuf moyen à soutenu : créations et extensions encore réelles via le service public de la petite enfance, les micro-crèches et les territoires en tension, mais freinées par les coûts d’exploitation et la pénurie de personnels. Le neuf est significatif mais encore nettement inférieur à la rénovation.Haltes-garderies, jardins d’enfants : Potentiel neuf : limite pour haltes-garderies, jardins d’enfants (hors crèches), surtout via extensions, reconstructions ou projets locaux. Le neuf reste contraint par foncier, budgets et delais de mise en service.Protection Maternelle et Infantile : Potentiel neuf : limite pour protection maternelle et infantile (pmi) - sites autonomes, surtout via extensions, reconstructions ou projets locaux. Le neuf reste contraint par foncier, budgets et delais de mise en service.Écoles maternelles ; Écoles primaires : Potentiel neuf faible : surtout concentré sur les regroupements scolaires, reconstructions et zones de croissance résidentielle. La baisse ou la stagnation démographique bride toutefois la diffusion du neuf au niveau national. Le neuf est quasi nul dans le modèle et renvoie surtout à des reconstructions ou remplacements de sites.Collèges : Potentiel neuf faible : reconstructions lourdes, extensions et créations ciblées selon la carte scolaire et les besoins territoriaux des départements. Le neuf est quasi nul dans le modèle et renvoie surtout à des reconstructions ou remplacements de sites.Lycées : Potentiel neuf faible : reconstructions lourdes, extensions et créations ciblées selon la carte scolaire et les besoins territoriaux des régions. Le neuf est quasi nul dans le modèle et renvoie surtout à des reconstructions ou remplacements de sites.Internats scolaires : Potentiel neuf faible à moyen : porté par quelques internats/reconstructions et surtout par la tension de logement étudiant pour les résidences. Le neuf est très minoritaire et opportuniste.Universités : Potentiel neuf faible : opérations sélectives de campus, laboratoires, bâtiments pédagogiques et résidences étudiantes. Les campus universitaires souffrent souvent d’un patrimoine plus diffus, ancien et complexe à rénover. Le neuf est quasi nul dans le modèle et renvoie surtout à des reconstructions ou remplacements de sites.Grandes écoles : Potentiel neuf moyen : opérations sélectives de campus, laboratoires, bâtiments pédagogiques et résidences étudiantes. Les grandes écoles bénéficient parfois de décisions plus rapides lorsque la gouvernance et le financement sont concentrés. Le neuf est réel mais secondaire.Résidences étudiantes et dortoirs : Potentiel neuf moyen à soutenu : porté par quelques internats/reconstructions et surtout par la tension de logement étudiant pour les résidences. Le neuf est significatif mais encore nettement inférieur à la rénovation.Centres de formation / CFA : Potentiel neuf moyen à soutenu : l’apprentissage et les besoins de montée en compétences soutiennent encore quelques créations/extensions, mais de façon inégale selon filières et territoires. Le neuf est significatif mais encore nettement inférieur à la rénovation.Agences emploi / Insertion / Orientation professionnelle : Potentiel neuf : limite pour agences emploi / insertion / orientation professionnelle, surtout via extensions, reconstructions ou projets locaux. Le neuf reste contraint par foncier, budgets et delais de mise en service.</t>
    </r>
  </si>
  <si>
    <r>
      <rPr>
        <b/>
        <sz val="9"/>
        <rFont val="Calibri"/>
      </rPr>
      <t>Crèches</t>
    </r>
    <r>
      <rPr>
        <sz val="9"/>
        <rFont val="Calibri"/>
      </rPr>
      <t xml:space="preserve"> : Projets phares réno : réfection de blocs enfants/adultes, espaces de change et douches ponctuelles, adaptation climatique, accessibilité et reprises sanitaires lors de rénovations thermiques.Haltes-garderies, jardins d’enfants ; Protection Maternelle et Infantile ; Agences emploi / Insertion / Orientation professionnelle : Projets phares renovation : reprise de blocs sanitaires, accessibilite, ventilation, economie d eau, remplacement des pieces usees et adaptation aux pics de frequentation propres au sous-segment.Écoles maternelles ; Écoles primaires : Projets phares réno : réhabilitation des sanitaires élèves/personnel, amélioration de ventilation, accessibilité, reprise des vestiaires éventuels et rénovation énergétique des écoles.Collèges ; Lycées : Projets phares réno : blocs sanitaires élèves/personnel, vestiaires EPS, accessibilité, confort d’été et rénovation énergétique globale des établissements.Internats scolaires ; Résidences étudiantes et dortoirs : Projets phares réno : chambres, sanitaires d’étage, douches, blocs PMR et modernisation énergétique des bâtiments d’hébergement.Universités ; Grandes écoles : Projets phares réno : réhabilitations de campus, sanitaires de bâtiments tertiaires et d’enseignement, accessibilité et amélioration énergétique.Centres de formation / CFA : Projets phares réno : blocs sanitaires communs, vestiaires d’ateliers, accessibilité, remise à niveau thermique et fonctionnelle.</t>
    </r>
  </si>
  <si>
    <r>
      <rPr>
        <b/>
        <sz val="9"/>
        <rFont val="Calibri"/>
      </rPr>
      <t>Crèches</t>
    </r>
    <r>
      <rPr>
        <sz val="9"/>
        <rFont val="Calibri"/>
      </rPr>
      <t xml:space="preserve"> : Projets phares neuf : micro-crèches, crèches municipales/associatives, créations en quartiers neufs ou opérations mixtes, extensions de capacité lorsque le besoin local est documenté.Haltes-garderies, jardins d’enfants ; Protection Maternelle et Infantile ; Agences emploi / Insertion / Orientation professionnelle : Projets phares neuf : creations ou reconstructions selectives, integration de sanitaires plus sobres, robustes et faciles a maintenir des la conception.Écoles maternelles ; Écoles primaires : Projets phares neuf : groupes scolaires, extensions ponctuelles, reconstructions après fermeture/remplacement de sites, opérations ANRU et projets de quartier.Collèges ; Lycées : Projets phares neuf : collèges/lycées reconstruits, internats, extensions de capacité, opérations liées à la croissance locale ou à la reconfiguration de la carte scolaire.Internats scolaires ; Résidences étudiantes et dortoirs : Projets phares neuf : internats reconstruits, résidences étudiantes nouvelles, extensions de capacité ou opérations mixtes avec campus.Universités ; Grandes écoles : Projets phares neuf : bâtiments d’enseignement/recherche, extensions de campus, résidences étudiantes et reconfigurations avec surface complémentaire.Centres de formation / CFA : Projets phares neuf : nouveaux CFA, extensions d’ateliers, campus métiers, restructurations avec surfaces nouvelles.</t>
    </r>
  </si>
  <si>
    <r>
      <rPr>
        <b/>
        <sz val="9"/>
        <rFont val="Calibri"/>
      </rPr>
      <t>Crèches</t>
    </r>
    <r>
      <rPr>
        <sz val="9"/>
        <rFont val="Calibri"/>
      </rPr>
      <t xml:space="preserve"> : Dynamique réno 2026-2030 : soutenue et régulière, car les communes et gestionnaires arbitrent plus facilement des travaux ciblés que des créations nettes. Menaces : budget communal, tension sur l’exploitation et travaux en site occupé.Haltes-garderies, jardins d’enfants ; Protection Maternelle et Infantile : Dynamique renovation 2026-2030 : forte, car l usure et l hygiene rendent les interventions recurrentes. Menaces : arbitrages d investissement, travaux en exploitation et cout de maintenance.Écoles maternelles ; Écoles primaires : Dynamique réno 2026-2030 : structurellement forte, car le parc public est vaste et les enjeux de confort d’été/énergie rendent les blocs humides difficilement évitables dans les programmes de travaux. Menaces : séquençage budgétaire communal et capacité d’ingénierie.Collèges ; Lycées : Dynamique réno 2026-2030 : élevée, soutenue par les obligations énergétiques, le confort d’usage et la rotation importante des équipements. Menaces : arbitrages des collectivités et décalages de calendrier.Internats scolaires ; Résidences étudiantes et dortoirs : Dynamique réno 2026-2030 : élevée, car l’hébergement rend visibles l’obsolescence et le confort insuffisant. Menaces : exploitation continue, phasage et arbitrages publics.Universités ; Grandes écoles : Dynamique réno 2026-2030 : élevée, portée par l’ancienneté du parc et les objectifs énergétiques ; la reprise des sanitaires suit souvent des opérations plus larges de campus. Menaces : arbitrages budgétaires, procédures longues et travaux en site occupé.Centres de formation / CFA : Dynamique réno 2026-2030 : robuste car les sites existants doivent rester attractifs et conformes. Menaces : arbitrages des opérateurs, visibilité sur les effectifs et travaux en exploitation.Agences emploi / Insertion / Orientation professionnelle : Dynamique renovation 2026-2030 : moderee, car l usure et l hygiene rendent les interventions recurrentes. Menaces : arbitrages d investissement, travaux en exploitation et cout de maintenance.</t>
    </r>
  </si>
  <si>
    <r>
      <rPr>
        <b/>
        <sz val="9"/>
        <rFont val="Calibri"/>
      </rPr>
      <t>Crèches</t>
    </r>
    <r>
      <rPr>
        <sz val="9"/>
        <rFont val="Calibri"/>
      </rPr>
      <t xml:space="preserve"> : Dynamique neuf 2026-2030 : réelle mais sélective ; la volonté politique existe avec le service public de la petite enfance, mais l’écart entre besoin théorique, financement et mise en service effective peut rester marqué.Haltes-garderies, jardins d’enfants ; Protection Maternelle et Infantile ; Agences emploi / Insertion / Orientation professionnelle : Dynamique neuf 2026-2030 : faible a moderee, dependante des projets immobiliers, de la demographie locale et des budgets de maitrise d ouvrage.Écoles maternelles ; Écoles primaires : Dynamique neuf 2026-2030 : faible à modérée et très localisée ; les projets existent, mais le ralentissement démographique dans une partie du territoire et la priorité donnée à la rénovation limitent les volumes.Collèges ; Lycées : Dynamique neuf 2026-2030 : modérée et très sélective ; les projets lourds existent mais restent peu nombreux, avec un fort écart entre intentions politiques et mises en chantier effectives.Internats scolaires ; Résidences étudiantes et dortoirs : Dynamique neuf 2026-2030 : plus réelle que dans le scolaire classique, mais concentrée sur quelques pôles d’attractivité et opérateurs. Menaces : coût de sortie, montage immobilier et sélectivité des financements.Universités ; Grandes écoles : Dynamique neuf 2026-2030 : modérée ; quelques grands projets peuvent faire le marché sur une année, mais le flux reste irrégulier et dépend de la programmation immobilière publique et parapublique.Centres de formation / CFA : Dynamique neuf 2026-2030 : réelle mais sélective ; la dynamique de l’apprentissage soutient certains projets, sans créer une vague homogène sur tout le territoire.</t>
    </r>
  </si>
  <si>
    <t>Crèches ; Haltes-garderies, jardins d’enfants : https://solidarites.gouv.fr/le-service-public-de-la-petite-enfance-garantir-un-accueil-de-qualite-tous-les-enfants-et-leurs-familles
https://solidarites.gouv.fr/outils-et-ressources-destination-des-autorites-organisatrices-de-laccueil-du-jeune-enfant
https://solidarites.gouv.fr/stephanie-rist-annonce-une-revalorisation-du-financement-des-creches-par-les-caf-de-2-en-2025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https://www.insee.fr/fr/statistiques/8906564Protection Maternelle et Infantile : https://sante.gouv.fr/actualites/presse/communiques-de-presse/article/acces-aux-soins-dans-les-territoires-agnes-firmin-le-bodo-a-annonce-le-plan-d
https://www.projetdeloi.sante.gouv.fr/grands-dossiers/un-meilleur-acces-aux-soins-pour-tous-sur-le-territoire/article/pacte-de-lutte-contre-les-deserts-medicaux-151-zones-prioritaires-identifiees
https://sante.gouv.fr/actualites-presse/presse/communiques-de-presse/article/campagne-tarifaire-et-budgetaire-2026-des-etablissements-de-sante-3-6-milliards
https://sante.gouv.fr/systeme-de-sante/segur-de-la-sante/investissement-en-sante-une-nouvelle-politique-au-service-de-la-qualite-des-11226/csis
https://sante.gouv.fr/soins-et-maladies/qualite-securite-et-pertinence-des-soins/securite-des-prises-en-charge/securite-des-soins-et-des-patients/article/ameliorer-la-securite-des-patients-et-des-residents-la-1ere-feuille-de-route
https://www.statistiques.developpement-durable.gouv.fr/construction-de-locaux-resultats-fin-janvier-2026-france-entiere
https://www.insee.fr/fr/statistiques/8671745
https://www.insee.fr/fr/statistiques/8906564Écoles maternelles ; Écoles primaires ; Universités ; Grandes écoles : https://www.banquedesterritoires.fr/plan-renovation-energetique-batiments-publics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https://www.insee.fr/fr/statistiques/8906564Collèges ; Lycées : https://www.banquedesterritoires.fr/plan-renovation-energetique-batiments-publics
https://www.ecologie.gouv.fr/eco-energie-tertiaire-eet
https://www.agencedusport.fr/plan-5000-equipements-generation-2024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https://www.insee.fr/fr/statistiques/8906564Internats scolaires ; Résidences étudiantes et dortoirs : https://www.banquedesterritoires.fr/plan-renovation-energetique-batiments-publics
https://www.ecologie.gouv.fr/eco-energie-tertiaire-eet
https://www.statistiques.developpement-durable.gouv.fr/construction-de-locaux-resultats-fin-janvier-2026-france-entiere
https://www.insee.fr/fr/statistiques/8671745
https://www.insee.fr/fr/statistiques/8906564Centres de formation / CFA : https://www.banquedesterritoires.fr/plan-renovation-energetique-batiments-publics
https://www.ecologie.gouv.fr/eco-energie-tertiaire-eet
https://experience.france2030.gouv.fr/fr/visit/decarbonation-de-leconomie/la-decarbonation-de-l-industrie/full/
https://www.tresor.economie.gouv.fr/Articles/2025/05/19/choose-france-2025-une-edition-record-au-service-de-la-souverainete-economique-et-de-l-innovation
https://www.statistiques.developpement-durable.gouv.fr/construction-de-locaux-resultats-fin-janvier-2026-france-entiere
https://www.insee.fr/fr/statistiques/8671745
https://www.insee.fr/fr/statistiques/8906564Agences emploi / Insertion / Orientation professionnelle : 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t>
  </si>
  <si>
    <r>
      <rPr>
        <b/>
        <sz val="9"/>
        <rFont val="Calibri"/>
      </rPr>
      <t>Crèches ; Haltes-garderies, jardins d’enfants ; Protection Maternelle et Infantile ; Universités ; Grandes écoles ; Centres de formation / CFA ; Agences emploi / Insertion / Orientation professionnelle</t>
    </r>
    <r>
      <rPr>
        <sz val="9"/>
        <rFont val="Calibri"/>
      </rPr>
      <t xml:space="preserve"> : BonneÉcoles maternelles ; Écoles primaires ; Collèges ; Lycées : ÉlevéeInternats scolaires ; Résidences étudiantes et dortoirs : Moyenne+</t>
    </r>
  </si>
  <si>
    <r>
      <rPr>
        <b/>
        <sz val="9"/>
        <rFont val="Calibri"/>
      </rPr>
      <t>Crèches</t>
    </r>
    <r>
      <rPr>
        <sz val="9"/>
        <rFont val="Calibri"/>
      </rPr>
      <t xml:space="preserve"> : Parc existant surtout intermédiaire. Les ventes se décalent légèrement vers intermédiaire, porté par l’hygiène, la facilité d’entretien et la technicité. Le neuf est un peu plus qualitatif que la rénovation, sans renverser le centre de gravité du mix. Mix piloté par l’hygiène, la sécurité enfant et des budgets publics/associatifs encore contraints ; montée modérée en confort sur les programmes neufs ou restructurations globales.Haltes-garderies, jardins d’enfants : Parc existant centre sur le niveau standard, avec ventes 2026-2030 legerement plus qualitatives. Haltes-garderies, jardins d’enfants (hors crèches) : usage quotidien par cohortes, pics de recreations/cours et renovation par lots; le mix reste guide par robustesse scolaire, entretien simple et contraintes de vacances scolaires.Protection Maternelle et Infantile : Parc existant centre sur le niveau standard, avec ventes 2026-2030 legerement plus qualitatives. Protection Maternelle et Infantile (PMI) - sites autonomes : usage quotidien par cohortes, pics de recreations/cours et renovation par lots; le mix reste guide par robustesse scolaire, entretien simple et contraintes de vacances scolaires.Écoles maternelles ; Écoles primaires : Parc existant surtout standard. Les ventes restent proches du parc, centré sur standard, du fait de budgets et de rénovations menées surtout par lots. La rénovation restant majoritaire, le mix de ventes reste proche du parc et monte surtout d’un cran sur les opérations lourdes. Parc public très diffus, piloté par robustesse, maintenance et rénovation par lots (énergie/accessibilité/vestiaires), ce qui maintient un mix surtout entrée-standard avec légère montée en standard/intermédiaire en neuf.Collèges ; Lycées : Parc existant surtout standard. Les ventes restent proches du parc, centré sur standard, du fait de budgets et de rénovations menées surtout par lots. La rénovation restant majoritaire, le mix de ventes reste proche du parc et monte surtout d’un cran sur les opérations lourdes.Internats scolaires : Parc existant surtout intermédiaire. Les ventes se décalent légèrement vers intermédiaire, du fait de budgets et de rénovations menées surtout par lots. La rénovation restant majoritaire, le mix de ventes reste proche du parc et monte surtout d’un cran sur les opérations lourdes. Présence d’hébergement et d’espaces semi-résidentiels : niveau de confort supérieur au scolaire pur, mais budgets encore serrés et rénovations souvent réalisées par vagues.Universités : Parc existant surtout standard. Les ventes se décalent légèrement vers standard, du fait de budgets et de rénovations menées surtout par lots. Le neuf est un peu plus qualitatif que la rénovation, sans renverser le centre de gravité du mix. Campus massifiés : priorité au fonctionnel et à la durabilité, mais les opérations neuves et learning centers tirent progressivement une partie du parc vers l’intermédiaire/premium.Grandes écoles : Parc existant surtout intermédiaire. Les ventes se décalent légèrement au supérieur, sous l’effet combiné de l’hygiène, de l’image et des rénovations lourdes. Le neuf est un peu plus qualitatif que la rénovation, sans renverser le centre de gravité du mix. Écoles sélectives et établissements d’image : budgets unitaires plus élevés, recherche de qualité perçue et de différenciation, surtout sur les projets neufs.Résidences étudiantes et dortoirs : Parc existant surtout intermédiaire. Les ventes se décalent légèrement vers intermédiaire, du fait de budgets et de rénovations menées surtout par lots. Le neuf est un peu plus qualitatif que la rénovation, sans renverser le centre de gravité du mix. Présence d’hébergement et d’espaces semi-résidentiels : niveau de confort supérieur au scolaire pur, mais budgets encore serrés et rénovations souvent réalisées par vagues.Centres de formation / CFA : Parc existant surtout standard. Les ventes se décalent légèrement vers standard / intermédiaire, du fait de budgets et de rénovations menées surtout par lots. Le neuf tire clairement le mix plus haut que la rénovation. Centres de formation : arbitrage entre robustesse et attractivité, avec un parc existant standard/intermédiaire et un neuf plus qualitatif pour rester compétitif.Agences emploi / Insertion / Orientation professionnelle : Parc existant centre sur le niveau mid, avec ventes 2026-2030 legerement plus qualitatives. Agences emploi / Insertion / Orientation professionnelle : accueil tertiaire de jour, flux files d attente ponctuels et maintenance immobiliere standard; le mix reste guide par image de service public, accessibilite et cout de maintenance.</t>
    </r>
  </si>
  <si>
    <r>
      <rPr>
        <b/>
        <sz val="9"/>
        <rFont val="Calibri"/>
      </rPr>
      <t>Crèches ; Internats scolaires ; Universités ; Grandes écoles ; Résidences étudiantes et dortoirs ; Centres de formation / CFA</t>
    </r>
    <r>
      <rPr>
        <sz val="9"/>
        <rFont val="Calibri"/>
      </rPr>
      <t xml:space="preserve"> : ±5 ptsHaltes-garderies, jardins d’enfants ; Protection Maternelle et Infantile ; Écoles maternelles ; Agences emploi / Insertion / Orientation professionnelle : ±4 ptsÉcoles primaires ; Collèges ; Lycées : ±3 pts</t>
    </r>
  </si>
  <si>
    <r>
      <rPr>
        <b/>
        <sz val="9"/>
        <rFont val="Calibri"/>
      </rPr>
      <t>Crèches ; Universités ; Grandes écoles ; Résidences étudiantes et dortoirs ; Centres de formation / CFA</t>
    </r>
    <r>
      <rPr>
        <sz val="9"/>
        <rFont val="Calibri"/>
      </rPr>
      <t xml:space="preserve"> : ±6 ptsHaltes-garderies, jardins d’enfants ; Protection Maternelle et Infantile ; Écoles maternelles ; Agences emploi / Insertion / Orientation professionnelle : ±4 ptsÉcoles primaires ; Collèges ; Lycées : ±3 ptsInternats scolaires : ±5 pts</t>
    </r>
  </si>
  <si>
    <r>
      <rPr>
        <b/>
        <sz val="9"/>
        <rFont val="Calibri"/>
      </rPr>
      <t>Crèches ; Internats scolaires ; Universités ; Grandes écoles ; Résidences étudiantes et dortoirs ; Centres de formation / CFA</t>
    </r>
    <r>
      <rPr>
        <sz val="9"/>
        <rFont val="Calibri"/>
      </rPr>
      <t xml:space="preserve"> : Moyenne +Haltes-garderies, jardins d’enfants ; Protection Maternelle et Infantile ; Écoles maternelles ; Agences emploi / Insertion / Orientation professionnelle : BonneÉcoles primaires ; Collèges ; Lycées : Très bonne</t>
    </r>
  </si>
  <si>
    <r>
      <rPr>
        <b/>
        <sz val="9"/>
        <rFont val="Calibri"/>
      </rPr>
      <t>Crèches</t>
    </r>
    <r>
      <rPr>
        <sz val="9"/>
        <rFont val="Calibri"/>
      </rPr>
      <t xml:space="preserve"> : Mix piloté par l’hygiène, la sécurité enfant et des budgets publics/associatifs encore contraints ; montée modérée en confort sur les programmes neufs ou restructurations globales.Haltes-garderies, jardins d’enfants ; Protection Maternelle et Infantile : Parc existant : robustesse scolaire, entretien simple et contraintes de vacances scolaires; usage quotidien par cohortes, pics de recreations/cours et renovation par lots. La montee en confort reste proportionnee au budget et au rythme de renovation.Écoles maternelles ; Écoles primaires ; Collèges ; Lycées : Parc public très diffus, piloté par robustesse, maintenance et rénovation par lots (énergie/accessibilité/vestiaires), ce qui maintient un mix surtout entrée-standard avec légère montée en standard/intermédiaire en neuf.Internats scolaires ; Résidences étudiantes et dortoirs : Présence d’hébergement et d’espaces semi-résidentiels : niveau de confort supérieur au scolaire pur, mais budgets encore serrés et rénovations souvent réalisées par vagues.Universités : Campus massifiés : priorité au fonctionnel et à la durabilité, mais les opérations neuves et learning centers tirent progressivement une partie du parc vers l’intermédiaire/premium.Grandes écoles : Écoles sélectives et établissements d’image : budgets unitaires plus élevés, recherche de qualité perçue et de différenciation, surtout sur les projets neufs.Centres de formation / CFA : Centres de formation : arbitrage entre robustesse et attractivité, avec un parc existant standard/intermédiaire et un neuf plus qualitatif pour rester compétitif.Agences emploi / Insertion / Orientation professionnelle : Parc existant : image de service public, accessibilite et cout de maintenance; accueil tertiaire de jour, flux files d attente ponctuels et maintenance immobiliere standard. La montee en confort reste proportionnee au budget et au rythme de renovation.</t>
    </r>
  </si>
  <si>
    <r>
      <rPr>
        <b/>
        <sz val="9"/>
        <rFont val="Calibri"/>
      </rPr>
      <t>Crèches</t>
    </r>
    <r>
      <rPr>
        <sz val="9"/>
        <rFont val="Calibri"/>
      </rPr>
      <t xml:space="preserve"> : contrainte sanitaire ⇒ standard/intermédiaire technique ↑ ; poids du neuf significatif ⇒ premiumisation des ventes &gt; parcHaltes-garderies, jardins d’enfants ; Protection Maternelle et Infantile ; Agences emploi / Insertion / Orientation professionnelle : renovation dominante =&gt; progression graduelleÉcoles maternelles : rénovation dominante ⇒ progression graduelleÉcoles primaires ; Collèges ; Lycées ; Internats scolaires ; Résidences étudiantes et dortoirs : poids du neuf significatif ⇒ premiumisation des ventes &gt; parcUniversités ; Centres de formation / CFA : image d’accueil ⇒ intermédiaire/premium ↑ ; poids du neuf significatif ⇒ premiumisation des ventes &gt; parcGrandes écoles : image + privé ⇒ premium/luxe ↑ ; contrainte sanitaire ⇒ standard/intermédiaire technique ↑ ; poids du neuf significatif ⇒ premiumisation des ventes &gt; parc</t>
    </r>
  </si>
  <si>
    <r>
      <rPr>
        <b/>
        <sz val="9"/>
        <rFont val="Calibri"/>
      </rPr>
      <t>Crèches</t>
    </r>
    <r>
      <rPr>
        <sz val="9"/>
        <rFont val="Calibri"/>
      </rPr>
      <t xml:space="preserve"> : Crèches : petites unités, nettoyage fréquent et sécurité enfant priment sur l’effet décoratif. Ventes 2026-2030 : glissement vers davantage de moyen / premium, surtout sur lavabo (+15,9 pts sur premium+luxe), douche (+14,6 pts sur premium+luxe), WC (+14,1 pts sur premium+luxe). Le neuf pèse suffisamment (38% des ventes) pour relever le niveau de confort moyen au-dessus de la rénovation (62%). L’écart de niveau de confort entre neuf et rénovation est net.Haltes-garderies, jardins d’enfants : Haltes-garderies, jardins d’enfants (hors crèches) : ventes 2026-2030 en leger glissement vers moyen/premium lorsque le neuf ou les renov. lourdes interviennent. Le centre de gravite reste toutefois module par robustesse scolaire, entretien simple et contraintes de vacances scolaires et par la part dominante de travaux sur parc existant.Protection Maternelle et Infantile : Protection Maternelle et Infantile (PMI) - sites autonomes : ventes 2026-2030 en leger glissement vers moyen/premium lorsque le neuf ou les renov. lourdes interviennent. Le centre de gravite reste toutefois module par robustesse scolaire, entretien simple et contraintes de vacances scolaires et par la part dominante de travaux sur parc existant.Écoles maternelles : Écoles maternelles : parc communal très diffus et rénovations souvent couplées aux travaux d’école. Ventes 2026-2030 : glissement vers davantage de moyen / premium, surtout sur lavabo (+4,4 pts sur premium+luxe), douche (+4,4 pts sur premium+luxe), WC (+4,0 pts sur premium+luxe). La rénovation reste majoritaire (79% des ventes, contre 21% en neuf) ; le neuf tire le mix vers le haut sans renverser le centre de gravité. L’écart de niveau de confort entre neuf et rénovation est net.Écoles primaires : Écoles primaires : arbitrages municipaux orientés robustesse, maintenance et coût global. Ventes 2026-2030 : glissement vers davantage de moyen / premium, surtout sur lavabo (+5,0 pts sur premium+luxe), douche (+5,0 pts sur premium+luxe), WC (+4,6 pts sur premium+luxe). La rénovation reste majoritaire (74% des ventes, contre 26% en neuf) ; le neuf tire le mix vers le haut sans renverser le centre de gravité. L’écart de niveau de confort entre neuf et rénovation est net.Collèges : Ventes 2026-2030 : glissement vers davantage de moyen / premium, surtout sur lavabo (+4,5 pts sur premium+luxe), douche (+4,5 pts sur premium+luxe), WC (+4,1 pts sur premium+luxe). La rénovation reste majoritaire (73% des ventes, contre 27% en neuf) ; le neuf tire le mix vers le haut sans renverser le centre de gravité. L’écart de niveau de confort entre neuf et rénovation est net.Lycées : Ventes 2026-2030 : glissement vers davantage de moyen / premium, surtout sur lavabo (+4,9 pts sur premium+luxe), douche (+4,9 pts sur premium+luxe), WC (+4,5 pts sur premium+luxe). La rénovation reste majoritaire (73% des ventes, contre 27% en neuf) ; le neuf tire le mix vers le haut sans renverser le centre de gravité. L’écart de niveau de confort entre neuf et rénovation est net.Internats scolaires : Internats scolaires : présence de chambres et blocs douche collectifs rapproche le parc d’une logique semi-résidentielle. Ventes 2026-2030 : glissement vers davantage de moyen / premium, surtout sur douche (+17,7 pts sur premium+luxe), WC (+16,3 pts sur premium+luxe), lavabo (+15,1 pts sur premium+luxe). La rénovation reste majoritaire (73% des ventes, contre 27% en neuf) ; le neuf tire le mix vers le haut sans renverser le centre de gravité. L’écart de niveau de confort entre neuf et rénovation est net.Universités : Universités : campus massifiés avec arbitrage entre robustesse et opérations vitrines. Ventes 2026-2030 : glissement vers davantage de moyen / premium, surtout sur lavabo (+15,8 pts sur premium+luxe), douche (+15,7 pts sur premium+luxe), WC (+13,2 pts sur premium+luxe). La rénovation reste majoritaire (65% des ventes, contre 35% en neuf) ; le neuf tire le mix vers le haut sans renverser le centre de gravité. L’écart de niveau de confort entre neuf et rénovation est net.Grandes écoles : Grandes écoles : image d’établissement, attractivité et budgets unitaires supérieurs soutiennent le milieu/haut de gamme. Ventes 2026-2030 : glissement vers davantage de moyen / premium, surtout sur lavabo (+24,2 pts sur premium+luxe), douche (+23,9 pts sur premium+luxe), WC (+23,2 pts sur premium+luxe). La rénovation reste majoritaire (66% des ventes, contre 34% en neuf) ; le neuf tire le mix vers le haut sans renverser le centre de gravité. L’écart de niveau de confort entre neuf et rénovation est net.Résidences étudiantes et dortoirs : Résidences étudiantes et dortoirs : logique résidentielle étudiante, renouvelée par phases de réhabilitation. Ventes 2026-2030 : glissement vers davantage de moyen / premium, surtout sur douche (+24,0 pts sur premium+luxe), WC (+23,1 pts sur premium+luxe), lavabo (+22,0 pts sur premium+luxe). Le neuf pèse suffisamment (42% des ventes) pour relever le niveau de confort moyen au-dessus de la rénovation (58%). L’écart de niveau de confort entre neuf et rénovation est net.Centres de formation / CFA : Centres de formation / CFA : compétition d’attractivité des CFA mais arbitrage encore fortement fonctionnel. Ventes 2026-2030 : glissement vers davantage de moyen / premium, surtout sur lavabo (+20,1 pts sur premium+luxe), douche (+18,2 pts sur premium+luxe), WC (+17,5 pts sur premium+luxe). Le neuf pèse suffisamment (45% des ventes) pour relever le niveau de confort moyen au-dessus de la rénovation (55%). L’écart de niveau de confort entre neuf et rénovation est net.Agences emploi / Insertion / Orientation professionnelle : Agences emploi / Insertion / Orientation professionnelle : ventes 2026-2030 en leger glissement vers moyen/premium lorsque le neuf ou les renov. lourdes interviennent. Le centre de gravite reste toutefois module par image de service public, accessibilite et cout de maintenance et par la part dominante de travaux sur parc existant.</t>
    </r>
  </si>
  <si>
    <t>1 - Sport couvert / Thermalisme / Bien-être
2 - Sport de plein air
3 - Loisirs de plein air
4 - Loisirs</t>
  </si>
  <si>
    <t>1 - Gymnases / salles multisports
2 - Salles de fitness / dojos
3 - Patinoires couvertes
4 - Piscines couvertes
5 - Centres de thalassothérapie / balnéothérapie / grands spas ouverts au public
6 - Établissements thermaux
7 - Terrains de sport
8 - Stades avec tribunes
9 - Grands stades avec tribunes
10 - Hippodromes, Centres équestres &amp; Manèges couverts
11 - Piscines extérieures
12 - Bases nautiques / centres nautiques avec vestiaires-douches
13 - Bases de loisirs avec plages, douches et sanitaires
14 - Blocs sanitaires de plage / front de mer
15 - Centres de loisirs sans hébergement
16 - Parcs d’attractions / Parcs à thèmes fixes
17 - Parcs zoologiques / Parcs animaliers
18 - Parcs aquatiques
19 - Aquariums
20 - Casinos
21 - Salles de jeux / Bowlings / Billards
22 - Discothèques / Salles de danse</t>
  </si>
  <si>
    <r>
      <rPr>
        <b/>
        <sz val="9"/>
        <rFont val="Calibri"/>
      </rPr>
      <t>Gymnases / salles multisports ; Salles de fitness / dojos ; Patinoires couvertes ; Piscines couvertes</t>
    </r>
    <r>
      <rPr>
        <sz val="9"/>
        <rFont val="Calibri"/>
      </rPr>
      <t xml:space="preserve"> : XCentres de thalassothérapie / balnéothérapie / grands spas ouverts au public ; Établissements thermaux ; Blocs sanitaires de plage / front de mer : VariableTerrains de sport ; Stades avec tribunes ; Grands stades avec tribunes ; Hippodromes, Centres équestres &amp; Manèges couverts ; Piscines extérieures ; Parcs d’attractions / Parcs à thèmes fixes : PABases nautiques / centres nautiques avec vestiaires-douches : X ou PABases de loisirs avec plages, douches et sanitaires : PA ou variableCentres de loisirs sans hébergement : RParcs zoologiques / Parcs animaliers : PA / variableParcs aquatiques : PA / X / ERP variableAquariums : Y ou PA / variableCasinos : P / N / LSalles de jeux / Bowlings / Billards ; Discothèques / Salles de danse : P</t>
    </r>
  </si>
  <si>
    <r>
      <rPr>
        <b/>
        <sz val="9"/>
        <rFont val="Calibri"/>
      </rPr>
      <t>Gymnases / salles multisports ; Salles de fitness / dojos ; Patinoires couvertes ; Piscines couvertes ; Centres de loisirs sans hébergement ; Salles de jeux / Bowlings / Billards ; Discothèques / Salles de danse</t>
    </r>
    <r>
      <rPr>
        <sz val="9"/>
        <rFont val="Calibri"/>
      </rPr>
      <t xml:space="preserve"> : ERPCentres de thalassothérapie / balnéothérapie / grands spas ouverts au public ; Établissements thermaux ; Bases nautiques / centres nautiques avec vestiaires-douches ; Bases de loisirs avec plages, douches et sanitaires ; Aquariums : ERP / variableTerrains de sport ; Stades avec tribunes ; Grands stades avec tribunes ; Hippodromes, Centres équestres &amp; Manèges couverts ; Piscines extérieures : ERP spécialBlocs sanitaires de plage / front de mer : Équipement public recevant du publicParcs d’attractions / Parcs à thèmes fixes ; Parcs zoologiques / Parcs animaliers ; Parcs aquatiques : ERP spécial / variableCasinos : Ensemble multi-activités</t>
    </r>
  </si>
  <si>
    <r>
      <rPr>
        <b/>
        <sz val="9"/>
        <rFont val="Calibri"/>
      </rPr>
      <t>Gymnases / salles multisports ; Salles de fitness / dojos ; Patinoires couvertes ; Piscines couvertes ; Centres de thalassothérapie / balnéothérapie / grands spas ouverts au public ; Établissements thermaux ; Terrains de sport ; Stades avec tribunes ; Grands stades avec tribunes ; Hippodromes, Centres équestres &amp; Manèges couverts ; Piscines extérieures ; Bases nautiques / centres nautiques avec vestiaires-douches ; Centres de loisirs sans hébergement ; Parcs d’attractions / Parcs à thèmes fixes ; Parcs zoologiques / Parcs animaliers ; Parcs aquatiques ; Aquariums ; Casinos ; Salles de jeux / Bowlings / Billards ; Discothèques / Salles de danse</t>
    </r>
    <r>
      <rPr>
        <sz val="9"/>
        <rFont val="Calibri"/>
      </rPr>
      <t xml:space="preserve"> : ERPBases de loisirs avec plages, douches et sanitaires ; Blocs sanitaires de plage / front de mer : mixte</t>
    </r>
  </si>
  <si>
    <r>
      <rPr>
        <b/>
        <sz val="9"/>
        <rFont val="Calibri"/>
      </rPr>
      <t>Gymnases / salles multisports</t>
    </r>
    <r>
      <rPr>
        <sz val="9"/>
        <rFont val="Calibri"/>
      </rPr>
      <t xml:space="preserve"> : Établissements sportifs couverts.Salles de fitness / dojos : Sport couvert.Patinoires couvertes : Équipement sportif couvert avec surfaces de glace recevant du public.Piscines couvertes : Sport couvert avec équipements spécifiques.Centres de thalassothérapie / balnéothérapie / grands spas ouverts au public : Équipements structurés de soins d’eau ou de bien-être recevant du public, avec vestiaires, douches et sanitaires collectifs ; hors simple cabine de soin isolée.Établissements thermaux : Sites recevant des curistes ou visiteurs avec vestiaires, douches, espaces d’eau et sanitaires ; à compter au site principal.Terrains de sport : Équipements sportifs de plein air. Complexe multi-terrains sans tribune (Site mutualisé, club-house, plusieurs vestiaires), Standard club municipal (Cas le plus fréquent à retenir), Petit terrain communal, peu ou pas de sanitaire public (Minimal vestiaires seuls).Stades avec tribunes : Équipements sportifs de plein air. Stade municipal/intercommunal, club amateur structuré ou semi-pro, tribune permanente, bloc vestiaires-douches, sanitaires publics, usage compétition locale/régionale/nationale ponctuelleGrands stades avec tribunes : Équipements sportifs de plein air de grande taille. Club pro ou semi-pro haut niveau, usage événementiel, concerts possibles, compétitions avec public moyen/nombreux, capacité et équipements ERP spectateurs plus lourdsHippodromes, Centres équestres &amp; Manèges couverts : Équipements sportifs et de loisirs de plein air.Piscines extérieures : Équipement nautique de plein air recevant du public.Bases nautiques / centres nautiques avec vestiaires-douches : Équipements nautiques ouverts au public avec vestiaires, douches et sanitaires ; hors piscines déjà comptées séparément et hors simple mise à l’eau sans bâtiment recevant du public.Bases de loisirs avec plages, douches et sanitaires : Sites de loisirs autonomes avec accueil public et blocs sanitaires ; hors campings et piscines déjà comptés séparément.Blocs sanitaires de plage / front de mer : Installations fixes de WC et douches sur plages aménagées ou fronts de mer ; hors sanitaires déjà inclus dans un camping, un port ou une base de loisirs comptée par ailleurs.Centres de loisirs sans hébergement : Accueil de mineurs en journée.Parcs d’attractions / Parcs à thèmes fixes : Parcs de loisirs fixes recevant du public avec bâtiments d’accueil, restauration et sanitaires.Parcs zoologiques / Parcs animaliers : Établissements fixes et permanents présentant des animaux au public ; sanitaires publics très probables sur site.Parcs aquatiques : Parcs de loisirs aquatiques fixes recevant du public, majoritairement saisonniers ; peuvent combiner toboggans, bassins, espaces enfants et restauration. Hors piscines municipales, bases de loisirs simples, campings et centres aquatiques publics.Aquariums : À compter lorsqu’il s’agit d’un site autonome ; éviter le double compte si l’aquarium est déjà inclus dans un musée, un zoo ou un grand équipement multi-activités.Casinos : Établissements recevant du public où le jeu, l’animation et la restauration sont réunis sous une direction unique ; sanitaires publics très probables.Salles de jeux / Bowlings / Billards : Jeux et loisirs intérieurs.Discothèques / Salles de danse : Danse et activités assimilées.</t>
    </r>
  </si>
  <si>
    <r>
      <rPr>
        <b/>
        <sz val="9"/>
        <rFont val="Calibri"/>
      </rPr>
      <t>Gymnases / salles multisports</t>
    </r>
    <r>
      <rPr>
        <sz val="9"/>
        <rFont val="Calibri"/>
      </rPr>
      <t xml:space="preserve"> : Gymnase, hall sportif. Hors établissements scolaires stricts, mais incluant gymnases municipaux utilisés par écolesSalles de fitness / dojos : Salle de sport, dojoPatinoires couvertes : Patinoire municipale couvertePiscines couvertes : Piscine municipale couverte,Centres de thalassothérapie / balnéothérapie / grands spas ouverts au public : Centre de thalasso, balnéothérapie, spa thermal (Logique : bien-être / loisir)Établissements thermaux : Thermes, établissement thermal (Logique : médicale + encadrée par l’État)Terrains de sport : Terrain de rugby, football, athlétisme (sans tribunes), hand, basket ou autre …Stades avec tribunes : Stades municipaux à tribune permanente ; stades clubs amateurs structurés ; stades avec bloc vestiaires-douches joueurs/arbitres ; stades à usage événementiel régulierGrands stades avec tribunes : Club pro - semi-pro haut niveau, usage événementiel, concerts possibles, compétitions avec public, capacité ERP spectateurs lourdeHippodromes, Centres équestres &amp; Manèges couverts : Hippodrome, centre équestre, poney-club, manège couvertPiscines extérieures : Piscine de plein airBases nautiques / centres nautiques avec vestiaires-douches : Base nautique, centre nautique, club nautique avec accueil publicBases de loisirs avec plages, douches et sanitaires : Base de loisirs, plan d’eau aménagé, centre de loisirs de plein airBlocs sanitaires de plage / front de mer : Bloc sanitaire de plage, douche de plage, sanitaire de front de merCentres de loisirs sans hébergement : ALSH, centre aéréParcs d’attractions / Parcs à thèmes fixes : Parc d’attractions, parc à thèmeParcs zoologiques / Parcs animaliers : Zoo, parc animalier, réserve animalière visitableParcs aquatiques : Petit parc familial / régional + Parc standard saisonnier + Grand parc national. Aqualand, O'Gliss Park, Wave Island, AquascopeAquariums : Aquarium public, aquarium océanographiqueCasinos : CasinoSalles de jeux / Bowlings / Billards : Bowling, salle de jeuxDiscothèques / Salles de danse : Discothèque, dancing</t>
    </r>
  </si>
  <si>
    <r>
      <rPr>
        <b/>
        <sz val="9"/>
        <rFont val="Calibri"/>
      </rPr>
      <t>Gymnases / salles multisports ; Salles de fitness / dojos ; Patinoires couvertes ; Piscines couvertes ; Centres de thalassothérapie / balnéothérapie / grands spas ouverts au public ; Établissements thermaux ; Terrains de sport ; Stades avec tribunes ; Grands stades avec tribunes ; Hippodromes, Centres équestres &amp; Manèges couverts ; Piscines extérieures ; Bases nautiques / centres nautiques avec vestiaires-douches ; Bases de loisirs avec plages, douches et sanitaires ; Blocs sanitaires de plage / front de mer ; Centres de loisirs sans hébergement ; Salles de jeux / Bowlings / Billards ; Discothèques / Salles de danse</t>
    </r>
    <r>
      <rPr>
        <sz val="9"/>
        <rFont val="Calibri"/>
      </rPr>
      <t xml:space="preserve"> : Site
Etablissement principalParcs d’attractions / Parcs à thèmes fixes ; Parcs zoologiques / Parcs animaliers ; Aquariums ; Casinos : Site / établissement principalParcs aquatiques : Site / parc d'exploitation</t>
    </r>
  </si>
  <si>
    <r>
      <rPr>
        <b/>
        <sz val="9"/>
        <rFont val="Calibri"/>
      </rPr>
      <t>Gymnases / salles multisports ; Salles de fitness / dojos ; Patinoires couvertes ; Piscines couvertes ; Terrains de sport ; Stades avec tribunes ; Grands stades avec tribunes ; Hippodromes, Centres équestres &amp; Manèges couverts ; Piscines extérieures ; Bases nautiques / centres nautiques avec vestiaires-douches ; Bases de loisirs avec plages, douches et sanitaires ; Blocs sanitaires de plage / front de mer ; Centres de loisirs sans hébergement ; Salles de jeux / Bowlings / Billards ; Discothèques / Salles de danse</t>
    </r>
    <r>
      <rPr>
        <sz val="9"/>
        <rFont val="Calibri"/>
      </rPr>
      <t xml:space="preserve"> : proxy public / estimation encadréeCentres de thalassothérapie / balnéothérapie / grands spas ouverts au public : proxy de marché / estimation encadréeÉtablissements thermaux : série sectorielle / proxy publicParcs d’attractions / Parcs à thèmes fixes ; Parcs zoologiques / Parcs animaliers ; Aquariums ; Casinos : ajout qualitatif – à quantifier avant intégrationParcs aquatiques : ordre de grandeur reconstitué à partir de recensements sectoriels récents et ancrages d'ouverture</t>
    </r>
  </si>
  <si>
    <r>
      <rPr>
        <b/>
        <sz val="9"/>
        <rFont val="Calibri"/>
      </rPr>
      <t>Gymnases / salles multisports ; Piscines couvertes ; Grands stades avec tribunes ; Hippodromes, Centres équestres &amp; Manèges couverts ; Piscines extérieures</t>
    </r>
    <r>
      <rPr>
        <sz val="9"/>
        <rFont val="Calibri"/>
      </rPr>
      <t xml:space="preserve"> : ElevéSalles de fitness / dojos ; Patinoires couvertes ; Centres de thalassothérapie / balnéothérapie / grands spas ouverts au public ; Établissements thermaux ; Terrains de sport ; Stades avec tribunes ; Bases nautiques / centres nautiques avec vestiaires-douches ; Bases de loisirs avec plages, douches et sanitaires ; Blocs sanitaires de plage / front de mer ; Centres de loisirs sans hébergement ; Aquariums ; Salles de jeux / Bowlings / Billards ; Discothèques / Salles de danse : MoyenneParcs d’attractions / Parcs à thèmes fixes ; Parcs zoologiques / Parcs animaliers ; Casinos : ÉlevéParcs aquatiques : Bonne</t>
    </r>
  </si>
  <si>
    <r>
      <rPr>
        <b/>
        <sz val="9"/>
        <rFont val="Calibri"/>
      </rPr>
      <t>Gymnases / salles multisports ; Patinoires couvertes ; Piscines couvertes ; Centres de thalassothérapie / balnéothérapie / grands spas ouverts au public ; Établissements thermaux ; Stades avec tribunes ; Grands stades avec tribunes ; Piscines extérieures ; Bases nautiques / centres nautiques avec vestiaires-douches ; Casinos</t>
    </r>
    <r>
      <rPr>
        <sz val="9"/>
        <rFont val="Calibri"/>
      </rPr>
      <t xml:space="preserve"> : Faute de série nationale homogène publiée annuellement pour cette sous-catégorie, le proxy est lissé ; la faible variation reflète une prudence méthodologique.Salles de fitness / dojos : Pas de stagnation structurelle : la série évolue à la hausse sur la période 2000-2026 ; la projection prolonge cette tendance avec prudence.Terrains de sport : Hausse lente mais régulière, renforcée après 2021 par les plans publics d’équipements sportifs ; l’effet porte surtout sur des créations/rénovations de proximité, pas sur un bond massif des grands terrains.Hippodromes, Centres équestres &amp; Manèges couverts : 2025 =&gt; 233 hippodromes + environ 6 000 centres équestres / poney-clubs / manèges ouverts au public. Environ 55-60% dotés de sanitaires.Bases de loisirs avec plages, douches et sanitaires : Tendance faiblement baissière : rationalisat° petits plans d’eau, coûts surveillance/maintenance, exigences qualité eau + encadrement. Projection 2026-30 reste stable à légère baisse.Blocs sanitaires de plage / front de mer : Tendance haussière modérée. Léger creux 2020 (fermetures, exploitat° réduite) puis reprise graduelle. Ordre grandeur cohérent avec masse de sites baignade contrôlés + fronts de mer équipés.Centres de loisirs sans hébergement : Faute de série nationale homogène annuelle strictement équivalente à cette sous-catégorie, le proxy est volontairement lissé ; le parc reste globalement stable à l’échelle nationale.Parcs d’attractions / Parcs à thèmes fixes : Périmètre volontairement strict : parcs fixes autonomes d’attractions / à thème, hors aquatiques, zoologiques et simples bases de loisirs. Série recalée sur un noyau d’environ 33-35 grands sites recensés récemment, avec légère reprise par nouveaux projets / requalifications d’ici 2030.Parcs zoologiques / Parcs animaliers : Série recalée sur un périmètre national plus large que les seuls adhérents AFdPZ : environ une centaine de parcs zoologiques majeurs, élargie aux sites autonomes ouverts au public non membres mais comparables. Progression lente, sans rupture majeure.Parcs aquatiques : Estimation fondée sur un recensement sectoriel de 29 parcs aquatiques en France en 2025 et sur l'ouverture récente de l'Aquascope en 2024 ; trajectoire historique prudente avec croissance lente et parc globalement stable.Aquariums : Parc d’équipements public/associatif mature ; renouvellement lent et faible variation nette d’une année sur l’autre.Salles de jeux / Bowlings / Billards : Proxy reconstitué à partir du socle des clubs/salles de billard (≈575-589) auquel s’ajoutent bowlings et salles de jeux autonomes ; baisse sur 2000-2015 puis reprise modérée portée par le loisir indoor multi-activités. Exclut les bars avec simple billard/borne.Discothèques / Salles de danse : Série recalée sur le déclin structurel du parc : ≈2 000 discothèques autour de 2014, puis ≈1 300-1 400 en 2025. Légère érosion projetée après 2025, sans hypothèse de fermeture massive supplémentaire.</t>
    </r>
  </si>
  <si>
    <r>
      <rPr>
        <b/>
        <sz val="9"/>
        <rFont val="Calibri"/>
      </rPr>
      <t>Gymnases / salles multisports</t>
    </r>
    <r>
      <rPr>
        <sz val="9"/>
        <rFont val="Calibri"/>
      </rPr>
      <t xml:space="preserve"> : proxy équipements sportifs couverts. Dynamique projetée 2027-2030: stable. Fiabilité: moyenne.Salles de fitness / dojos : proxy salles de sport et arts martiaux. Dynamique projetée 2027-2030: hausse légère. Fiabilité: moyenne.Patinoires couvertes : proxy équipements de glace couverts. Dynamique projetée 2027-2030: stable. Fiabilité: moyenne.Piscines couvertes ; Centres de thalassothérapie / balnéothérapie / grands spas ouverts au public ; Établissements thermaux ; Bases nautiques / centres nautiques avec vestiaires-douches : proxy équipements aquatiques couverts. Dynamique projetée 2027-2030: stable. Fiabilité: moyenne.Terrains de sport : Dynamique projetée 2027-2030: stable. Plans « 5000 terrains/équipements » ajoutent un support à la croissance 2022-2026. 70 % du volume brut disposeraient de sanitaires accessibles au public, sur la base de Data ES et du constat Insee.Stades avec tribunes : proxy équipements extérieurs. Dynamique projetée 2027-2030: stable. Fiabilité: moyenne.Grands stades avec tribunes : proxy terrains sportifs de plein air. Dynamique projetée 2027-2030: stable. Fiabilité: moyenne.Hippodromes, Centres équestres &amp; Manèges couverts : Projection 2026-2030 légèrement baissière : socle hippodromes reste limité, tandis que centres équestres sanitaires-équipés restent nombreux mais soumis à une concentration progressive.Piscines extérieures : proxy piscines de plein air. Dynamique projetée 2027-2030: stable. Fiabilité: moyenne.Bases de loisirs avec plages, douches et sanitaires : Ancrage par borne officielle sites baignade eau douce : 1286 (2024). Seule 1 fraction sont de vraies bases loisirs + plage, douches + sanitaires. Série retenue vise 1 sous-ensemble équipé, homogène et prudent.Blocs sanitaires de plage / front de mer : Ancrage par stat officielle sites de baignade mer : 2050 (2020), 2074 (2022), 2079 (2024). 1 bloc sanitaire ne correspond pas à chaque plage. Certains équipements servent plusieurs plages. Série retenue représente donc 1 sous-ensemble d’équipements bâtis cohérent.Centres de loisirs sans hébergement : proxy sectoriel sur accueils collectifs de mineurs. Dynamique projetée 2027-2030: stable. Fiabilité: moyenne.Parcs d’attractions / Parcs à thèmes fixes : proxy piscines de plein air. Dynamique projetée 2027-2030: stable.Parcs zoologiques / Parcs animaliers : proxy Parcs d’attractions. Dynamique projetée 2027-2030: stable.Parcs aquatiques : Estimation fondée sur recensement sectoriel de 29 parcs aquatiques France (2025) et ouverture de l'Aquascope en 2024 ; trajectoire historique prudente avec croissance lente. Parc stable.Aquariums : proxy musées de France et assimilés. Dynamique projetée 2027-2030: stable. Fiabilité: bonne.Casinos ; Salles de jeux / Bowlings / Billards : proxy loisirs intérieurs. Dynamique projetée 2027-2030: stable. Fiabilité: moyenne.Discothèques / Salles de danse : proxy loisirs nocturnes. Dynamique projetée 2027-2030: baisse lente. Fiabilité: moyenne.</t>
    </r>
  </si>
  <si>
    <r>
      <rPr>
        <b/>
        <sz val="9"/>
        <rFont val="Calibri"/>
      </rPr>
      <t>Gymnases / salles multisports ; Salles de fitness / dojos ; Patinoires couvertes ; Piscines couvertes ; Stades avec tribunes ; Grands stades avec tribunes ; Piscines extérieures ; Salles de jeux / Bowlings / Billards ; Discothèques / Salles de danse</t>
    </r>
    <r>
      <rPr>
        <sz val="9"/>
        <rFont val="Calibri"/>
      </rPr>
      <t xml:space="preserve"> : https://www.insee.fr/fr/metadonnees/source/serie/s1161Terrains de sport : https://www.sports.gouv.fr/recensement-des-equipements-sportifs-data-es-671 ; https://www.sports.gouv.fr/plan-5000-terrains-de-sport-d-ici-2024-678 ; https://www.agencedusport.fr/plan-5000-equipements-generation-2024Hippodromes, Centres équestres &amp; Manèges couverts : https://www.ffe.com/actualites/assemblees-generales-ordinaires-2024-de-la-ffe-et-du-cnte ; https://www.ffe.com/tourisme/le-comite-national-de-tourisme-equestre-cnte
https://www.insee.fr/fr/metadonnees/source/serie/s1161Bases de loisirs avec plages, douches et sanitaires : https://sante.gouv.fr/actualites/presse/communiques-de-presse/article/qualite-des-eaux-de-baignade-en-france-90-5-des-sites-de-baignade-juges-d ; https://www.documentation.oieau.fr/3098 ; https://www.insee.fr/fr/metadonnees/source/fichier/BPE21_Liste_hierarchisee_equipements.pdfBlocs sanitaires de plage / front de mer : https://www.eaufrance.fr/chiffres-cles/nombre-de-ports-de-plaisance-en-2015 ; https://www.eaufrance.fr/chiffres-cles/nombre-de-ports-de-plaisance-en-2018 ; https://www.mer.gouv.fr/sites/default/files/2021-03/Observatoire-des-ports-de-plaisance_rapport-enquete-2018.pdf ; https://www.mer.gouv.fr/lobservatoire-des-ports-de-plaisance ; https://www.mer.gouv.fr/sites/default/files/2026-01/opp-rapport-preliminaire-de-l-enquete-2025.pdfCentres de loisirs sans hébergement : https://www.education.gouv.fr/depp/reperes-et-references-statistiques-2025-450954Parcs d’attractions / Parcs à thèmes fixes : https://www.legifrance.gouv.fr/codes/section_lc/JORFTEXT000000290033/LEGISCTA000024845052/
https://www.formulaires.service-public.fr/gf/getNotice.do?cerfaFormulaire=13703&amp;cerfaNotice=51434Parcs zoologiques / Parcs animaliers : https://www.legifrance.gouv.fr/loda/id/JORFTEXT000000610915/
https://www.legifrance.gouv.fr/codes/section_lc/JORFTEXT000000290033/LEGISCTA000024845052/Parcs aquatiques : https://www.parcs-aquatiques.com/parcs-aquatiques-france/ ; https://www.tendancehotellerie.fr/articles-breves/communique-de-presse/22889-article/le-futuroscope-a-inaugure-son-nouveau-parc-aquatique-indoor-l-aquascope ; https://madeinfr.fr/etudes-de-marche/loisir-voyage-sport/le-marche-des-parcs-aquatiques-en-france/Aquariums : https://www.legifrance.gouv.fr/jorf/id/JORFTEXT000051832274
https://www.legifrance.gouv.fr/codes/section_lc/JORFTEXT000000290033/LEGISCTA000024845052/Casinos : https://www.legifrance.gouv.fr/loda/id/JORFTEXT000000278899
https://www.legifrance.gouv.fr/codes/section_lc/JORFTEXT000000290033/LEGISCTA000020334969/</t>
    </r>
  </si>
  <si>
    <r>
      <rPr>
        <b/>
        <sz val="9"/>
        <rFont val="Calibri"/>
      </rPr>
      <t>Gymnases / salles multisports</t>
    </r>
    <r>
      <rPr>
        <sz val="9"/>
        <rFont val="Calibri"/>
      </rPr>
      <t xml:space="preserve"> : Gymnase : sanitaires publics + vestiaires sportifs séparés H/F, arbitres et encadrement (comptés lorsqu'ils desservent ≥5 pers.).Salles de fitness / dojos : Salle de fitness/dojo : vestiaires H/F et équipe, comptés dès lors qu'ils accueillent au moins 5 personnes simultanément.Patinoires couvertes : Patinoire : blocs public + vestiaires sportifs séparés (joueurs, arbitres, staff), dès lors qu'ils desservent au moins 5 personnes.Piscines couvertes : Piscine couverte : vestiaires humides séparés et douches collectives obligatoires.Centres de thalassothérapie / balnéothérapie / grands spas ouverts au public : Spa/thalasso : vestiaires humides, douches collectives, sanitaires clients et personnel.Établissements thermaux : Thermalisme : vestiaires, douches de soins et sanitaires publics/staff, hors cabines privatives de soins.Terrains de sport : Terrain sportif local : sanitaires publics/club-house + vestiaires-douches si collectifs.Stades avec tribunes : Stade d'athlétisme : petit bloc public + vestiaires sportifs séparés si la jauge du vestiaire atteint ≥5 personnes.Grands stades avec tribunes : Grand stade : batteries public + vestiaires équipes/arbitres/contrôle, vestiaires collectifs séparés.Hippodromes, Centres équestres &amp; Manèges couverts : Hippodrome/centre équestre : bloc public + sanitaires cavaliers/staff, douches surtout pour activité équestre.Piscines extérieures : Piscine de plein air : vestiaires humides séparés et douches collectives ; cabines individuelles non comptées.Bases nautiques / centres nautiques avec vestiaires-douches : Base nautique : vestiaires humides, douches collectives et sanitaires publics.Bases de loisirs avec plages, douches et sanitaires : Base de loisirs/plage : batteries publiques saisonnières + douches extérieures/vestiaires selon site.Blocs sanitaires de plage / front de mer : Bloc plage/front de mer : sanitaires publics et douches de rinçage, très faible staff.Centres de loisirs sans hébergement : Accueil loisirs sans hébergement : sanitaires enfants + équipe, douches ponctuelles si sport, sorties ou locaux mutualisés.Parcs d’attractions / Parcs à thèmes fixes : Parc d'attractions : batteries sanitaires visiteurs par zones + locaux staff/maintenance.Parcs zoologiques / Parcs animaliers : Parc zoologique : sanitaires visiteurs répartis sur parcours + blocs staff/soigneurs.Parcs aquatiques : Parc aquatique : vestiaires humides, douches collectives, sanitaires publics et personnel.Aquariums : Aquarium : batteries visiteurs à l'entrée/parcours + blocs personnel technique ; douche ponctuelle côté maintenance humide/animalier.Casinos : Casino : sanitaires clientèle en batterie + sanitaires personnel/contrôle.Salles de jeux / Bowlings / Billards : Bowling/jeux : bloc clients + sanitaire personnel, sans douches.Discothèques / Salles de danse : Discothèque/salle de danse : batteries sanitaires clients + blocs personnel/sécurité.</t>
    </r>
  </si>
  <si>
    <r>
      <rPr>
        <b/>
        <sz val="9"/>
        <rFont val="Calibri"/>
      </rPr>
      <t>Gymnases / salles multisports</t>
    </r>
    <r>
      <rPr>
        <sz val="9"/>
        <rFont val="Calibri"/>
      </rPr>
      <t xml:space="preserve"> : Capacité type ≈ 210 sportifs/usagers + 25 staff + 15 arbitres/visiteurs. Le programme inclut sanitaires publics et vestiaires sportifs séparés dès lors qu'ils accueillent au moins 5 personnes ; pour les piscines, les douches collectives sont structurelles. Calibrage selon capacité simultanée, répartition de flux et organisation réelle du site.Salles de fitness / dojos : Capacité type ≈ 101 sportifs/usagers + 12 staff + 7 intervenants/visiteurs. Le programme inclut sanitaires publics et vestiaires sportifs séparés dès lors qu'ils accueillent au moins 5 personnes ; pour les piscines, les douches collectives sont structurelles. Calibrage selon capacité simultanée, répartition de flux et organisation réelle du site.Patinoires couvertes : Capacité type ≈ 672 sportifs/usagers + 80 staff + 48 intervenants/maintenance.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site.Piscines couvertes : Capacité type ≈ 420 sportifs/usagers + 50 staff + 30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site.Centres de thalassothérapie / balnéothérapie / grands spas ouverts au public : Capacité type ≈ 135 usagers principaux + 30 staff + 15 autre public. Parcours humide avec vestiaires et soins, fréquentation lissée par créneaux. Dimensionnement unitaire retenu : douches/vestiaires dimensionnés par cohortes simultanées, avec blocs WC publics et staff. Hypothèse d'usage : capacité simultanée moyenne 2026, répartition par flux réels, arrondie par blocs fonctionnels et exclusion des sanitaires strictement privatifs sauf cas explicitement collectifs.Établissements thermaux : Capacité type ≈ 180 usagers principaux + 50 staff + 20 autre public. Curistes présents par vagues de soins, accompagnants et personnel soignant/technique. Dimensionnement unitaire retenu : blocs humides par secteur de cure + blocs d'attente, proratisés au public simultané. Hypothèse d'usage : capacité simultanée moyenne 2026, répartition par flux réels, arrondie par blocs fonctionnels et exclusion des sanitaires strictement privatifs sauf cas explicitement collectifs.Terrains de sport : 2 vestiaires joueurs : 5 à 7 douches chacun, 1 lavabo, parfois 1 WC ; 1 vestiaire arbitre : 1 douche, 1 lavabo, 1 WC ; un petit bloc public / club-house : quelques WC, lavabos, parfois 1 à 2 urinoirs .
Rarement de gros blocs sanitaires spectateurs, puisqu’il n’y a pas de tribune. Donc les douches peuvent dépasser les lavabos, ce qui est normal pour ce sous-segment.Stades avec tribunes : Capacité type ≈ 59 sportifs/usagers + 7 staff + 4 arbitres/maintenance + Public. Le programme inclut sanitaires publics et vestiaires sportifs séparés dès lors qu'ils accueillent au moins 5 personnes ; pour les piscines, les douches collectives sont structurelles. Calibrage selon capacité simultanée, répartition de flux et organisation réelle du site.Grands stades avec tribunes : Capacité type ≈ 504 sportifs/usagers + 60 staff + 36 arbitres/maintenance + Public (ultra-majoritaire). Le programme inclut sanitaires publics et vestiaires sportifs séparés dès lors qu'ils accueillent au moins 5 personnes ; pour les piscines, les douches collectives sont structurelles. Calibrage selon capacité simultanée, répartition de flux et organisation réelle du site.Hippodromes, Centres équestres &amp; Manèges couverts : Capacité type ≈ 130 usagers principaux + 35 staff + 15 autre public. Mix spectateurs, cavaliers et encadrement ; pics événementiels non retenus comme moyenne. Dimensionnement unitaire retenu : blocs séparés public/exploitant + vestiaires/douches cavaliers en cas de pratique collective. Hypothèse d'usage : capacité simultanée moyenne 2026, répartition par flux réels, arrondie par blocs fonctionnels et exclusion des sanitaires strictement privatifs sauf cas explicitement collectifs.Piscines extérieures : Capacité type ≈ 504 sportifs/usagers + 60 staff + 36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site.Bases nautiques / centres nautiques avec vestiaires-douches : Capacité type ≈ 95 usagers principaux + 18 staff + 7 autre public. Cohortes de pratiquants nautiques, encadrement et visiteurs/accompagnants. Dimensionnement unitaire retenu : douches/vestiaires par groupes de cours ou sorties, plus WC public et staff. Hypothèse d'usage : capacité simultanée moyenne 2026, répartition par flux réels, arrondie par blocs fonctionnels et exclusion des sanitaires strictement privatifs sauf cas explicitement collectifs.Bases de loisirs avec plages, douches et sanitaires : Capacité type ≈ 520 usagers principaux + 50 staff + 30 autre public. Flux familial saisonnier, forte simultanéité en journée mais sites souvent extensifs. Dimensionnement unitaire retenu : plusieurs blocs sanitaires répartis, dimensionnés par zones de baignade/restauration/accueil. Hypothèse d'usage : capacité simultanée moyenne 2026, répartition par flux réels, arrondie par blocs fonctionnels et exclusion des sanitaires strictement privatifs sauf cas explicitement collectifs.Blocs sanitaires de plage / front de mer : Capacité type ≈ 145 usagers principaux + 3 staff + 2 autre public. Équipement autonome de forte rotation, usage public principalement diurne et saisonnier. Dimensionnement unitaire retenu : bloc robuste multi-cabines + point d'eau/douches extérieures, avec accessibilité PMR. Hypothèse d'usage : capacité simultanée moyenne 2026, répartition par flux réels, arrondie par blocs fonctionnels et exclusion des sanitaires strictement privatifs sauf cas explicitement collectifs.Centres de loisirs sans hébergement : Capacité type ≈ 106 usagers principaux + 12 staff + 2 parents/accompagnants/intervenants. Le programme sanitaire est construit par blocs fonctionnels plausibles (public, personnel, exploitation/hébergement selon le cas) et non par simple ratio national moyen. Calibrage selon capacité simultanée, répartition de flux et organisation réelle du site. Part des sites utilise des locaux sportifs, écoles/gymnases ou équipements mutualisés avec douche.Parcs d’attractions / Parcs à thèmes fixes : Capacité type ≈ 4300 usagers principaux + 500 staff + 200 autre public. Parc à flux étalé mais avec files, restauration et sorties de spectacles créant des pointes locales. Dimensionnement unitaire retenu : batteries multi-cabines réparties par zone, renforts près restauration/spectacles, blocs personnel séparés. Hypothèse d'usage : capacité simultanée moyenne 2026, répartition par flux réels, arrondie par blocs fonctionnels et exclusion des sanitaires strictement privatifs sauf cas explicitement collectifs.Parcs zoologiques / Parcs animaliers : Capacité type ≈ 1260 usagers principaux + 180 staff + 60 autre public. Parcours long avec familles, groupes scolaires et équipes d'exploitation. Dimensionnement unitaire retenu : blocs publics à l'entrée et aux pôles de restauration, staff séparé, peu de douches sauf exploitation. Hypothèse d'usage : capacité simultanée moyenne 2026, répartition par flux réels, arrondie par blocs fonctionnels et exclusion des sanitaires strictement privatifs sauf cas explicitement collectifs.Parcs aquatiques : Capacité type ≈ 2100 usagers principaux + 250 staff + 150 autre public. Équipement aquatique à forte densité, familles et groupes, rotations par demi-journée. Dimensionnement unitaire retenu : douches/vestiaires en batteries + WC publics, calibrés comme équipement humide collectif. Hypothèse d'usage : capacité simultanée moyenne 2026, répartition par flux réels, arrondie par blocs fonctionnels et exclusion des sanitaires strictement privatifs sauf cas explicitement collectifs.Aquariums : Capacité type ≈ 656 usagers principaux + 96 staff + 48 autre public. Parcours muséal avec pics groupes scolaires/touristiques, sans douches. Dimensionnement unitaire retenu : blocs publics répartis par flux et au moins un accessible par niveau concerné. Hypothèse d'usage : capacité simultanée moyenne 2026. DQuelques douches pour sites avec personnel technique, locaux humides, maintenance, soins animaliers ou interventions salissantes.Casinos : Capacité type ≈ 390 usagers principaux + 80 staff + 30 autre public. Présence prolongée, restauration/bar et événements ponctuels ; flux adultes. Dimensionnement unitaire retenu : blocs clients H/F/PMR dimensionnés au temps de séjour, personnel séparé, pas de douche. Hypothèse d'usage : capacité simultanée moyenne 2026, répartition par flux réels, arrondie par blocs fonctionnels et exclusion des sanitaires strictement privatifs sauf cas explicitement collectifs.Salles de jeux / Bowlings / Billards : Capacité type ≈ 180 usagers principaux + 30 staff + 10 autre public. Clientèle en rotation mais présence prolongée sur pistes/salles de jeux. Dimensionnement unitaire retenu : bloc public compact avec PMR + bloc staff, dimensionné par la jauge simultanée moyenne. Hypothèse d'usage : capacité simultanée moyenne 2026, répartition par flux réels, arrondie par blocs fonctionnels et exclusion des sanitaires strictement privatifs sauf cas explicitement collectifs.Discothèques / Salles de danse : Capacité type ≈ 510 usagers principaux + 60 staff + 30 autre public. Occupation dense, consommation de boissons et pics aux entractes/sorties. Dimensionnement unitaire retenu : batteries clients renforcées, ventilation/entretien intensifs, personnel séparé. Hypothèse d'usage : capacité simultanée moyenne 2026, répartition par flux réels, arrondie par blocs fonctionnels et exclusion des sanitaires strictement privatifs sauf cas explicitement collectifs.</t>
    </r>
  </si>
  <si>
    <r>
      <rPr>
        <b/>
        <sz val="9"/>
        <rFont val="Calibri"/>
      </rPr>
      <t>Gymnases / salles multisports ; Établissements thermaux</t>
    </r>
    <r>
      <rPr>
        <sz val="9"/>
        <rFont val="Calibri"/>
      </rPr>
      <t xml:space="preserve"> : Profil grand, capacité moyenne ≈ 250 personnes. Moyenne pondérée terrain : parc majoritairement petits/moyens sites, grands sites intégrés sans surpondération ; usage 2025 forte à très forte.Salles de fitness / dojos ; Bases nautiques / centres nautiques avec vestiaires-douches ; Centres de loisirs sans hébergement : Profil moyen, capacité moyenne ≈ 120 personnes. Moyenne pondérée terrain : parc majoritairement petits/moyens sites, grands sites intégrés sans surpondération ; usage 2025 forte à très forte.Patinoires couvertes ; Aquariums : Profil grand, capacité moyenne ≈ 800 personnes. Moyenne pondérée terrain : parc majoritairement petits/moyens sites, grands sites intégrés sans surpondération ; usage 2025 forte à très forte.Piscines couvertes ; Casinos : Profil grand, capacité moyenne ≈ 500 personnes. Moyenne pondérée terrain : parc majoritairement petits/moyens sites, grands sites intégrés sans surpondération ; usage 2025 forte à très forte.Centres de thalassothérapie / balnéothérapie / grands spas ouverts au public ; Hippodromes, Centres équestres &amp; Manèges couverts : Profil moyen, capacité moyenne ≈ 180 personnes. Moyenne pondérée terrain : parc majoritairement petits/moyens sites, grands sites intégrés sans surpondération ; usage 2025 forte à très forte.Terrains de sport : Profil petit, capacité moyenne ≈ 50 personnes. Moyenne pondérée terrain : parc majoritairement petits/moyens sites, grands sites intégrés sans surpondération ; usage 2025 forte à très forte.Stades avec tribunes : Profil à capacité moyenne ≈ 900 personnes. Moyenne pondérée terrain : parc majoritairement petits/moyens sites, grands sites intégrés sans surpondération ; usage 2025 forte à très forte.Grands stades avec tribunes : Profil grand, capacité moyenne ≈ 11500 personnes. Moyenne pondérée terrain : parc majoritairement petits/moyens sites, grands sites intégrés sans surpondération ; usage 2025 forte à très forte.Piscines extérieures ; Bases de loisirs avec plages, douches et sanitaires ; Discothèques / Salles de danse : Profil grand, capacité moyenne ≈ 600 personnes. Moyenne pondérée terrain : parc majoritairement petits/moyens sites, grands sites intégrés sans surpondération ; usage 2025 forte à très forte.Blocs sanitaires de plage / front de mer : Profil moyen, capacité moyenne ≈ 150 personnes. Moyenne pondérée terrain : parc majoritairement petits/moyens sites, grands sites intégrés sans surpondération ; usage 2025 forte à très forte.Parcs d’attractions / Parcs à thèmes fixes : Profil très grand, capacité moyenne ≈ 5000 personnes. Moyenne pondérée terrain : parc majoritairement petits/moyens sites, grands sites intégrés sans surpondération ; usage 2025 forte à très forte.Parcs zoologiques / Parcs animaliers : Profil très grand, capacité moyenne ≈ 1500 personnes. Moyenne pondérée terrain : parc majoritairement petits/moyens sites, grands sites intégrés sans surpondération ; usage 2025 forte à très forte.Parcs aquatiques : Profil très grand, capacité moyenne ≈ 2500 personnes. Moyenne pondérée terrain : parc majoritairement petits/moyens sites, grands sites intégrés sans surpondération ; usage 2025 forte à très forte.Salles de jeux / Bowlings / Billards : Profil moyen, capacité moyenne ≈ 220 personnes. Moyenne pondérée terrain : parc majoritairement petits/moyens sites, grands sites intégrés sans surpondération ; usage 2025 forte à très forte.</t>
    </r>
  </si>
  <si>
    <r>
      <rPr>
        <b/>
        <sz val="9"/>
        <rFont val="Calibri"/>
      </rPr>
      <t>Gymnases / salles multisports ; Salles de fitness / dojos ; Patinoires couvertes ; Piscines couvertes ; Stades avec tribunes ; Grands stades avec tribunes ; Piscines extérieures</t>
    </r>
    <r>
      <rPr>
        <sz val="9"/>
        <rFont val="Calibri"/>
      </rPr>
      <t xml:space="preserve"> : Ministère des Sports, réglementation des équipements sportifs : https://www.sports.gouv.fr/reglementation-federale-des-equipements-sportifs-845 ; + Code du travail pour vestiaires collectifs et sanitaires staff.Centres de thalassothérapie / balnéothérapie / grands spas ouverts au public ; Établissements thermaux ; Terrains de sport ; Hippodromes, Centres équestres &amp; Manèges couverts ; Bases nautiques / centres nautiques avec vestiaires-douches ; Bases de loisirs avec plages, douches et sanitaires ; Parcs aquatiques : Locaux de sports - équipements sanitaires : https://www.legifrance.gouv.fr/codes/section_lc/LEGITEXT000006070308/LEGISCTA000006148993/ ; Textes équipements sportifs : https://www.sports.gouv.fr/principaux-textes-de-reference-pour-les-equipements-sportifs-842 ; Code du travail : https://www.legifrance.gouv.fr/codes/id/LEGISCTA000018531984Blocs sanitaires de plage / front de mer ; Parcs d’attractions / Parcs à thèmes fixes ; Parcs zoologiques / Parcs animaliers ; Aquariums ; Casinos ; Salles de jeux / Bowlings / Billards ; Discothèques / Salles de danse : ERP/accessibilité sanitaires publics : https://www.legifrance.gouv.fr/loda/article_lc/LEGIARTI000034485966/ ; Code du travail sanitaires salariés : https://www.legifrance.gouv.fr/codes/id/LEGISCTA000018531984 ; INRS : https://www.inrs.fr/publications/juridique/focus-juridiques/focus-sanitaires-toilettes.htmlCentres de loisirs sans hébergement : Éducation nationale / ONS, 'Les sanitaires dans les écoles élémentaires' : https://www.education.gouv.fr/sites/default/files/imported_files/document/ONS-Les-sanitaires-dans-les-ecoles-elementaires_391494.pdf ; + Code du travail pour les sanitaires adultes/staff.</t>
    </r>
  </si>
  <si>
    <r>
      <rPr>
        <b/>
        <sz val="9"/>
        <rFont val="Calibri"/>
      </rPr>
      <t>Gymnases / salles multisports</t>
    </r>
    <r>
      <rPr>
        <sz val="9"/>
        <rFont val="Calibri"/>
      </rPr>
      <t xml:space="preserve"> : L'humidité permanente, la condensation et les chlorures/chloramines raccourcissent réellement la durée de vie, surtout sur électroniques, finitions et organes de douche. Les temporisés mécaniques restent les plus stables. Les remplacements sont fréquemment regroupés pendant les arrêts techniques et fermetures de bassin. Sport / piscines / stades : Forts pics de fréquentation, milieu humide ou chloré, nettoyage intensif et vandalisme non négligeable. Les douches et WC sont les plus exposés.Salles de fitness / dojos ; Piscines couvertes : Pics d'usage concentrés, vestiaires collectifs et nettoyage énergique. Les douches et chasses restent plus sollicitées que dans les bureaux. Le temporisé mécanique garde un avantage concret sur les zones communes. Rénovation souvent par lot lors de reprise des vestiaires ou mise en conformité du site. Sport / piscines / stades : Forts pics de fréquentation, milieu humide ou chloré, nettoyage intensif et vandalisme non négligeable. Les douches et WC sont les plus exposés.Patinoires couvertes : Ambiance froide, condensation, sols mouillés et pics de vestiaires par créneaux; maintenance technique présente mais corrosion/gel local pénalisent. Proche gymnase, avec contrainte humidité/froid plus forte. Usage très saisonnier mais pics forts, salissures, chocs et maintenance souvent contrainte. Les durées réelles sont proches des ERP à forte fréquentation, avec un petit avantage aux technologies mécaniques simples. Remplacements sont généralement batchés avec les vestiaires et sanitaires.Centres de thalassothérapie / balnéothérapie / grands spas ouverts au public : Humidité permanente, eau chaude très sollicitée, produits de nettoyage et atmosphère corrosive; usage client premium mais renouvellement esthétique fréquent. Plus court que piscine couverte, surtout douches/électronique. Repères durées: lavabos 10/11/8 ans (mit./méca/élec.), douches 8/8/7, urinoirs 8/10/7/9, WC 10/11/8.Établissements thermaux : Usage sanitaire programmé mais quotidien, eau minéralisée, humidité et nettoyage renforcé; vandalisme faible mais contraintes d'eau et arrêts techniques saisonniers. Proche thalasso, avec maintenance d'exploitation. Repères durées: lavabos 10/11/8 ans (mit./méca/élec.), douches 8/8/7, urinoirs 8/10/7/9, WC 10/11/8.Terrains de sport : Usage très saisonnier mais pics forts, salissures, chocs et maintenance souvent contrainte. Les durées réelles sont proches des ERP à forte fréquentation, avec un petit avantage aux technologies mécaniques simples. Les remplacements sont généralement batchés avec les vestiaires et sanitaires de stade. Sport / piscines / stades : Forts pics de fréquentation, milieu humide ou chloré, nettoyage intensif et vandalisme non négligeable. Les douches et WC sont les plus exposés.Stades avec tribunes : Usage très intermittent, pics compétitions/entraînements, salissures et maintenance hors saison. Moins intensif qu'un grand stade, mais plus extérieur qu'un gymnase; douches et électroniques restent prudents. Les durées réelles sont proches des ERP à forte fréquentation, avec un petit avantage aux technologies mécaniques simples. Les remplacements sont généralement batchés avec les vestiaires et sanitaires de stade. Nettoyage intensif et vandalisme non négligeable. Les douches et WC sont les plus exposés.Grands stades avec tribunes : Très forts pics concentrés, usage anonyme, nettoyage de masse et risque de dégradation lors d'événements. Durée tirée vers le bas malgré maintenance structurée; chasses mécaniques les plus robustes. Usage ponctuels mais pics forts, salissures, chocs et maintenance souvent contrainte. Les durées réelles sont celles des ERP à forte fréquentation, avec un petit avantage aux technologies mécaniques simples. Remplacements sont généralement batchés avec les vestiaires et sanitaires de stade.Nettoyage intensif et vandalisme non négligeable. Les douches et WC sont les plus exposés.Hippodromes, Centres équestres &amp; Manèges couverts : Poussière, boue, saisonnalité et public événementiel; douches/vestiaires de personnels ou cavaliers subissent humidité et salissures. Plus exposé qu'un stade classique, rénovations souvent après saison.Piscines extérieures : Usage saisonnier avec UV, variations thermiques, chlore et remises en eau; pics estivaux mais longue fermeture. Plus agressif pour joints/capteurs qu'une piscine couverte malgré moindre usage annuel. Très forte fréquentation, mais plus ponctuelle, usage anonyme, nettoyage intensif et vandalisme tangible. Temporisés mécaniques et chasses directes mécaniques gardent l'avantage réel. Electronique limité surtout par capteurs, piles/secteur et interventions plus lourdes. Remplacements souvent planifiés par campagne de remise à niveau des sanitaires, hors saison. Disponibilité immédiate requise, vandalisme et coûts d’exploitation élevés. Temporisation mécanique et la chasse directe sont favorisées.Bases nautiques / centres nautiques avec vestiaires-douches : Eau, sable, sel éventuel et pics d'été sur vestiaires; maintenance souvent saisonnière et locaux parfois peu chauffés. Proche plage, mais meilleure tenue si base encadrée et fermée hors saison. Repères durées: lavabos 10/11/8 ans (mit./méca/élec.), douches 8/8/7, urinoirs 8/10/7/9, WC 10/11/8.Bases de loisirs avec plages, douches et sanitaires : Forte saisonnalité, sable/boue, passages pieds nus et pics météo; vandalisme et nettoyage sous contrainte. Plus exposé qu'un centre de loisirs encadré, douches et électroniques nettement pénalisés. Repères durées: lavabos 10/11/8 ans (mit./méca/élec.), douches 8/8/7, urinoirs 8/10/7/9, WC 10/11/8.Blocs sanitaires de plage / front de mer : Environnement salin, sable, UV, usage anonyme et pics massifs d'été; vandalisme et corrosion accélèrent le renouvellement. Parmi les plus prudents, proche toilettes publiques avec contrainte littorale. Repères durées: lavabos 10/11/8 ans (mit./méca/élec.), douches 8/8/7, urinoirs 8/10/7/9, WC 10/11/8.Centres de loisirs sans hébergement : Usage enfants encadré, pics vacances/mercredis, douches moins fréquentes sauf activités sportives; dégradations modérées. Entre scolaire et loisirs, électronique plus court par piles/capteurs et budgets municipaux. Repères durées: lavabos 13/13/9 ans (mit./méca/élec.), douches 8/8/7, urinoirs 10/12/8/10, WC 11/12/9.Parcs d’attractions / Parcs à thèmes fixes : Flux très élevés mais saisonniers, pics files d'attente et nettoyage intensif; usage anonyme, enfants et familles. Plus proche centre commercial très fréquenté que musée; sanitaires très sollicités. Repères durées: lavabos 10/11/8 ans (mit./méca/élec.), douches 8/8/7, urinoirs 8/10/7/9, WC 10/11/8.Parcs zoologiques / Parcs animaliers : Usage familial saisonnier, blocs parfois extérieurs, poussière/boue et forte dispersion du parc; vandalisme modéré mais maintenance éloignée. Proche parc d'attractions, avec contrainte environnementale supérieure. Repères durées: lavabos 10/11/8 ans (mit./méca/élec.), douches 8/8/7, urinoirs 8/10/7/9, WC 10/11/8.Parcs aquatiques : Humidité, chlore, douches quasi systématiques et pics estivaux très forts; nettoyage et corrosion réduisent surtout capteurs/électrovannes. Plus sévère qu'une piscine extérieure par intensité de passage. Repères durées: lavabos 10/11/8 ans (mit./méca/élec.), douches 8/8/7, urinoirs 8/10/7/9, WC 10/11/8.Aquariums : Usage touristique intérieur, pics week-end/vacances, humidité ambiante mais blocs mieux contrôlés que parcs aquatiques. Durées proches musée très fréquenté, réserve sur électronique en zones humides. Repères durées: lavabos 10/11/8 ans (mit./méca/élec.), douches 8/8/7, urinoirs 8/10/7/9, WC 10/11/8.Casinos : Usage adulte, nocturne et prolongé, pics événementiels mais maintenance régulière et image premium. Vandalisme limité mais nettoyage fréquent; meilleur que discothèque, proche bars haut de gamme. Repères durées: lavabos 10/11/8 ans (mit./méca/élec.), douches 8/8/7, urinoirs 8/10/7/9, WC 10/11/8.Salles de jeux / Bowlings / Billards : Usage loisirs soir/week-end, public familial ou groupes, pics courts et nettoyage soutenu ; chocs possibles mais humidité limitée. Proche bars, un peu meilleur que discothèque. Usage dense, arbitrages économiques serrés. Les temporisés mécaniques conservent un léger avantage en robustesse sur les mitigeurs dans les sanitaires partagés. L'électronique reste plus courte en raison de la maintenance plus opportuniste. Renouvellement surtout à la panne, puis par lot lors des refurbishments. Nettoyage agressif, image commerciale importante et vandalisme plus élevé en soirée/nuit.Discothèques / Salles de danse : Usage nocturne intense, alcoolisation, pics concentrés, chocs et vandalisme plus élevés; nettoyage après fermeture souvent agressif. Durées raccourcies, surtout mitigeurs, réservoirs et électronique exposée.. Très forte fréquentation ponctuelle, peu d'appropriation des lieux et vandalisme non nul. Durées abaissées sans créer de grands écarts artificiels : mécanique simple &gt; mitigeur &gt; électronique. Chasses directes mécaniques gardent le meilleur comportement réel. Remplacements souvent batchés par sanitaires. Disponibilité immédiate requise, vandalisme et coûts d’exploitation élevés. Temporisation mécanique et la chasse directe sont favorisées.</t>
    </r>
  </si>
  <si>
    <r>
      <rPr>
        <b/>
        <sz val="9"/>
        <rFont val="Calibri"/>
      </rPr>
      <t>Gymnases / salles multisports</t>
    </r>
    <r>
      <rPr>
        <sz val="9"/>
        <rFont val="Calibri"/>
      </rPr>
      <t xml:space="preserve"> : Dans les gymnases, le temporisé mécanique domine très clairement le parc, car il résiste bien à l’usage intensif et au vandalisme.Salles de fitness / dojos : Les salles de fitness/dojos ont un parc plus récent et plus tertiaire que les gymnases : le mitigeur et l’électronique y pèsent davantage.Patinoires couvertes : Les patinoires restent proches du modèle sportif collectif : temporisé mécanique dominant, avec une part d’électronique un peu plus élevée dans les sites récents.Piscines couvertes ; Piscines extérieures : Dans les piscines, le parc combine temporisé mécanique et électronique, ce dernier étant plus présent que dans les gymnases en raison des rénovations et de l’hygiène.Centres de thalassothérapie / balnéothérapie / grands spas ouverts au public : Centres de thalassothérapie / balnéothérapie / grands spas ouverts au public : parc 2025 domine par tempo mecanique (76%), avec mitigeur manuel en appoint. Le choix reflete ambiance tres humide, pics saisonniers ou horaires et maintenance sous contrainte sanitaire ; milieu humide, corrosion, securite usager et forte frequence de nettoyage.Établissements thermaux : Établissements thermaux : parc 2025 domine par tempo mecanique (76%), avec mitigeur manuel en appoint. Le choix reflete ambiance tres humide, pics saisonniers ou horaires et maintenance sous contrainte sanitaire ; milieu humide, corrosion, securite usager et forte frequence de nettoyage.Terrains de sport : Terrains de sport (Hors scolaire) : parc 2025 domine par tempo mecanique (76%), avec mitigeur manuel en appoint. Le choix reflete vestiaires et sanitaires soumis aux pics match/entrainement et a une exposition exterieure ; anti-vandalisme, lavage frequent et tenue aux usages sportifs.Stades avec tribunes : Dans les stades et terrains sportifs ordinaires, le temporisé mécanique reste la norme du parc commun, avec une faible part d’électronique.Grands stades avec tribunes : Dans les grands stades, le parc commun reste d’abord pensé pour l’intensité : temporisé mécanique dominant, avec une part d’électronique plus élevée sur les rénovations premium.Hippodromes, Centres équestres &amp; Manèges couverts : Le parc des hippodromes mélange équipements publics anciens et rénovations ponctuelles : temporisé mécanique dominant, avec une part d’équipements atypiques ou robustes plus élevée.  Parc 2025 domine par tempo mecanique (76%), avec mitigeur manuel en appoint. Le choix reflete vestiaires et sanitaires soumis aux pics match/entrainement et a une exposition exterieure ; anti-vandalisme, lavage frequent et tenue aux usages sportifs.Bases nautiques / centres nautiques avec vestiaires-douches : Bases nautiques / centres nautiques avec vestiaires-douches : parc 2025 domine par tempo mecanique (76%), avec mitigeur manuel en appoint. Le choix reflete ambiance tres humide, pics saisonniers ou horaires et maintenance sous contrainte sanitaire ; milieu humide, corrosion, securite usager et forte frequence de nettoyage.Bases de loisirs avec plages, douches et sanitaires : Bases de loisirs avec plages, douches et sanitaires : parc 2025 domine par tempo mecanique (76%), avec mitigeur manuel en appoint. Le choix reflete ambiance tres humide, pics saisonniers ou horaires et maintenance sous contrainte sanitaire ; milieu humide, corrosion, securite usager et forte frequence de nettoyage.Blocs sanitaires de plage / front de mer : Blocs sanitaires de plage / front de mer : parc 2025 domine par tempo mecanique (76%), avec mitigeur manuel en appoint. Le choix reflete ambiance tres humide, pics saisonniers ou horaires et maintenance sous contrainte sanitaire ; milieu humide, corrosion, securite usager et forte frequence de nettoyage.Centres de loisirs sans hébergement : Dans les centres de loisirs sans hébergement, le parc commun reprend largement les logiques scolaires : temporisé mécanique dominant, manuel en complément, électronique marginale.Parcs d’attractions / Parcs à thèmes fixes : Parcs d’attractions / Parcs à thèmes fixes : parc 2025 domine par tempo mecanique (76%), avec mitigeur manuel en appoint. Le choix reflete usage collectif regulier, contraintes de maintenance et arbitrages budgetaires ; robustesse, hygiene et cout global restent prioritaires.Parcs zoologiques / Parcs animaliers : Parcs zoologiques / Parcs animaliers : parc 2025 domine par tempo mecanique (76%), avec mitigeur manuel en appoint. Le choix reflete flux visiteurs avec pics week-end/vacances et exigence d experience client ; image client, rapidite de nettoyage et resistance aux pics de frequentation.Parcs aquatiques : Parcs aquatiques : parc 2025 domine par tempo mecanique (76%), avec mitigeur manuel en appoint. Le choix reflete ambiance tres humide, pics saisonniers ou horaires et maintenance sous contrainte sanitaire ; milieu humide, corrosion, securite usager et forte frequence de nettoyage.Aquariums : Aquariums : parc 2025 domine par tempo mecanique (76%), avec mitigeur manuel en appoint. Le choix reflete flux visiteurs avec pics week-end/vacances et exigence d experience client ; image client, rapidite de nettoyage et resistance aux pics de frequentation.Casinos : Casinos : parc 2025 domine par tempo mecanique (76%), avec mitigeur manuel en appoint. Le choix reflete flux visiteurs avec pics week-end/vacances et exigence d experience client ; image client, rapidite de nettoyage et resistance aux pics de frequentation.Salles de jeux / Bowlings / Billards : Salles de jeux / Bowlings / Billards : parc 2025 domine par tempo mecanique (76%), avec mitigeur manuel en appoint ; l’électronique progressant dans les complexes récents.. Le choix reflete flux visiteurs avec pics week-end/vacances et exigence d experience client ; image client, rapidite de nettoyage et resistance aux pics de frequentation.Discothèques / Salles de danse : Discothèques / Salles de danse : parc 2025 domine par tempo mecanique (76%), avec mitigeur manuel en appoint ; l’électronique progresse dans les rénovations d’image et d’hygiène. Le choix reflete flux visiteurs avec pics week-end/vacances et exigence d experience client ; image client, rapidite de nettoyage et resistance aux pics de frequentation.</t>
    </r>
  </si>
  <si>
    <r>
      <rPr>
        <b/>
        <sz val="9"/>
        <rFont val="Calibri"/>
      </rPr>
      <t>Gymnases / salles multisports ; Salles de fitness / dojos ; Patinoires couvertes ; Piscines couvertes ; Stades avec tribunes ; Grands stades avec tribunes ; Piscines extérieures</t>
    </r>
    <r>
      <rPr>
        <sz val="9"/>
        <rFont val="Calibri"/>
      </rPr>
      <t xml:space="preserve"> : Dans le sport, l’électronique progresse sur les rénovations, mais le temporisé mécanique reste la colonne vertébrale du parc grâce à sa robustesse et à la maîtrise d’eau.Centres de thalassothérapie / balnéothérapie / grands spas ouverts au public ; Établissements thermaux ; Terrains de sport ; Hippodromes, Centres équestres &amp; Manèges couverts ; Bases nautiques / centres nautiques avec vestiaires-douches ; Bases de loisirs avec plages, douches et sanitaires ; Blocs sanitaires de plage / front de mer ; Parcs d’attractions / Parcs à thèmes fixes ; Parcs zoologiques / Parcs animaliers ; Parcs aquatiques ; Aquariums ; Casinos ; Salles de jeux / Bowlings / Billards ; Discothèques / Salles de danse : 2025-2030 : progression de tempo electronique (+2,0%), surtout lors des renov. lourdes/neuf ; recul de mitigeur manuel (-2,0%) mais maintien d un socle robuste pour les remplacements partiels.Centres de loisirs sans hébergement : D’ici 2030, recul modéré du mitigeur et léger recul du temporisé mécanique au profit de l’électronique dans les rénovations de blocs ; le temporisé mécanique reste néanmoins dominant pour robustesse, anti-vandalisme et maîtrise des débits.</t>
    </r>
  </si>
  <si>
    <r>
      <rPr>
        <b/>
        <sz val="9"/>
        <rFont val="Calibri"/>
      </rPr>
      <t>Gymnases / salles multisports</t>
    </r>
    <r>
      <rPr>
        <sz val="9"/>
        <rFont val="Calibri"/>
      </rPr>
      <t xml:space="preserve"> : Les douches collectives sont très majoritairement temporisées mécaniques sur le parc existant sportif.Salles de fitness / dojos : Les douches restent surtout temporisées mécaniques, mais une part non négligeable de mitigeurs et d’électronique existe déjà dans les clubs récents.Patinoires couvertes : Les douches sont très majoritairement temporisées mécaniques, l’électronique restant secondaire.Piscines couvertes ; Piscines extérieures : Les douches collectives restent dominées par le temporisé mécanique, l’électronique progressant dans les piscines récentes.Centres de thalassothérapie / balnéothérapie / grands spas ouverts au public : Centres de thalassothérapie / balnéothérapie / grands spas ouverts au public : parc 2025 domine par tempo mecanique (80%), avec mitigeur en appoint. Le choix reflete ambiance tres humide, pics saisonniers ou horaires et maintenance sous contrainte sanitaire ; milieu humide, corrosion, securite usager et forte frequence de nettoyage.Établissements thermaux : Établissements thermaux : parc 2025 domine par tempo mecanique (80%), avec mitigeur en appoint. Le choix reflete ambiance tres humide, pics saisonniers ou horaires et maintenance sous contrainte sanitaire ; milieu humide, corrosion, securite usager et forte frequence de nettoyage.Terrains de sport : Terrains de sport (Hors scolaire) : parc 2025 domine par tempo mecanique (80%), avec mitigeur en appoint. Le choix reflete vestiaires et sanitaires soumis aux pics match/entrainement et a une exposition exterieure ; anti-vandalisme, lavage frequent et tenue aux usages sportifs.Stades avec tribunes ; Grands stades avec tribunes : Les douches de vestiaires restent très majoritairement temporisées mécaniques.Hippodromes, Centres équestres &amp; Manèges couverts : Hippodromes, Centres équestres &amp; Manèges couverts : parc 2025 domine par tempo mecanique (80%), avec mitigeur en appoint. Le choix reflete vestiaires et sanitaires soumis aux pics match/entrainement et a une exposition exterieure ; anti-vandalisme, lavage frequent et tenue aux usages sportifs.Bases nautiques / centres nautiques avec vestiaires-douches : Bases nautiques / centres nautiques avec vestiaires-douches : parc 2025 domine par tempo mecanique (80%), avec mitigeur en appoint. Le choix reflete ambiance tres humide, pics saisonniers ou horaires et maintenance sous contrainte sanitaire ; milieu humide, corrosion, securite usager et forte frequence de nettoyage.Bases de loisirs avec plages, douches et sanitaires : Bases de loisirs avec plages, douches et sanitaires : parc 2025 domine par tempo mecanique (80%), avec mitigeur en appoint. Le choix reflete ambiance tres humide, pics saisonniers ou horaires et maintenance sous contrainte sanitaire ; milieu humide, corrosion, securite usager et forte frequence de nettoyage.Blocs sanitaires de plage / front de mer : Blocs sanitaires de plage / front de mer : parc 2025 domine par tempo mecanique (80%), avec mitigeur en appoint. Le choix reflete ambiance tres humide, pics saisonniers ou horaires et maintenance sous contrainte sanitaire ; milieu humide, corrosion, securite usager et forte frequence de nettoyage.Centres de loisirs sans hébergement : ALSH : lorsqu’elles existent, douches surtout collectives ou semi-collectives robustes, dominées par le temporisé mécanique.Parcs d’attractions / Parcs à thèmes fixes : Parcs d’attractions / Parcs à thèmes fixes : parc 2025 domine par tempo mecanique (80%), avec mitigeur en appoint. Le choix reflete usage collectif regulier, contraintes de maintenance et arbitrages budgetaires ; robustesse, hygiene et cout global restent prioritaires.Parcs zoologiques / Parcs animaliers : Parcs zoologiques / Parcs animaliers : parc 2025 domine par tempo mecanique (80%), avec mitigeur en appoint. Le choix reflete flux visiteurs avec pics week-end/vacances et exigence d experience client ; image client, rapidite de nettoyage et resistance aux pics de frequentation.Parcs aquatiques : Parcs aquatiques : parc 2025 domine par tempo mecanique (80%), avec mitigeur en appoint. Le choix reflete ambiance tres humide, pics saisonniers ou horaires et maintenance sous contrainte sanitaire ; milieu humide, corrosion, securite usager et forte frequence de nettoyage.Aquariums : Aquariums : douches surtout personnel/technique ; mitigeur majoritaire, temporisé mécanique en appoint sur vestiaires.Casinos ; Salles de jeux / Bowlings / Billards ; Discothèques / Salles de danse : Sans objet.</t>
    </r>
  </si>
  <si>
    <r>
      <rPr>
        <b/>
        <sz val="9"/>
        <rFont val="Calibri"/>
      </rPr>
      <t>Gymnases / salles multisports ; Salles de fitness / dojos ; Patinoires couvertes ; Piscines couvertes ; Stades avec tribunes ; Grands stades avec tribunes ; Piscines extérieures</t>
    </r>
    <r>
      <rPr>
        <sz val="9"/>
        <rFont val="Calibri"/>
      </rPr>
      <t xml:space="preserve"> : Dans les vestiaires sportifs, l’électronique progresse mais le temporisé mécanique reste majoritaire à horizon 2030 grâce au coût total et à la robustesse.Centres de thalassothérapie / balnéothérapie / grands spas ouverts au public ; Établissements thermaux ; Terrains de sport ; Hippodromes, Centres équestres &amp; Manèges couverts ; Bases nautiques / centres nautiques avec vestiaires-douches ; Bases de loisirs avec plages, douches et sanitaires ; Blocs sanitaires de plage / front de mer ; Parcs d’attractions / Parcs à thèmes fixes ; Parcs zoologiques / Parcs animaliers ; Parcs aquatiques : 2025-2030 : progression de tempo mecanique (+2,0%), surtout lors des renov. lourdes/neuf ; recul de mitigeur (-3,0%) mais maintien d un socle robuste pour les remplacements partiels.Centres de loisirs sans hébergement : Progression modérée de l’électronique à horizon 2030 dans les rénovations, mais le temporisé mécanique reste dominant.Aquariums : Progression limitée du temporisé et de l’électronique lors de rénovations de locaux techniques, mitigeur restant majoritaire.Casinos ; Salles de jeux / Bowlings / Billards ; Discothèques / Salles de danse : Sans objet.</t>
    </r>
  </si>
  <si>
    <r>
      <rPr>
        <b/>
        <sz val="9"/>
        <rFont val="Calibri"/>
      </rPr>
      <t>Gymnases / salles multisports</t>
    </r>
    <r>
      <rPr>
        <sz val="9"/>
        <rFont val="Calibri"/>
      </rPr>
      <t xml:space="preserve"> : Les urinoirs collectifs anciens restent nombreux dans les équipements sportifs ; la chasse directe mécanique reste le deuxième bloc important.Salles de fitness / dojos : Le parc d’urinoirs reste mixte, avec davantage d’automatique que dans le sport public traditionnel.Patinoires couvertes : Les collectifs anciens et la chasse directe restent dominants sur les urinoirs.Piscines couvertes ; Piscines extérieures : Le parc d’urinoirs reste tiré par les collectifs et les chasses directes, avec une part automatique déjà non négligeable.Centres de thalassothérapie / balnéothérapie / grands spas ouverts au public : Centres de thalassothérapie / balnéothérapie / grands spas ouverts au public : parc 2025 domine par directe mecanique (55%), avec directe electronique collective en appoint. Le choix reflete ambiance tres humide, pics saisonniers ou horaires et maintenance sous contrainte sanitaire ; milieu humide, corrosion, securite usager et forte frequence de nettoyage.Établissements thermaux : Établissements thermaux : parc 2025 domine par directe mecanique (55%), avec directe electronique collective en appoint. Le choix reflete ambiance tres humide, pics saisonniers ou horaires et maintenance sous contrainte sanitaire ; milieu humide, corrosion, securite usager et forte frequence de nettoyage.Terrains de sport : Terrains de sport (Hors scolaire) : parc 2025 domine par directe mecanique (55%), avec directe electronique collective en appoint. Le choix reflete vestiaires et sanitaires soumis aux pics match/entrainement et a une exposition exterieure ; anti-vandalisme, lavage frequent et tenue aux usages sportifs.Stades avec tribunes : Les collectifs anciens restent très présents sur les urinoirs de ce parc sportif de proximité.Grands stades avec tribunes : Les urinoirs collectifs (rampe/batterie) conservent un poids majeur dans le parc existant des grands stades ; l’automatique progresse sans devenir majoritaire.Hippodromes, Centres équestres &amp; Manèges couverts : Hippodromes, Centres équestres &amp; Manèges couverts : parc 2025 domine par directe mecanique (55%), avec directe electronique collective en appoint. Le choix reflete vestiaires et sanitaires soumis aux pics match/entrainement et a une exposition exterieure ; anti-vandalisme, lavage frequent et tenue aux usages sportifs.Bases nautiques / centres nautiques avec vestiaires-douches : Bases nautiques / centres nautiques avec vestiaires-douches : parc 2025 domine par directe mecanique (55%), avec directe electronique collective en appoint. Le choix reflete ambiance tres humide, pics saisonniers ou horaires et maintenance sous contrainte sanitaire ; milieu humide, corrosion, securite usager et forte frequence de nettoyage.Bases de loisirs avec plages, douches et sanitaires : Bases de loisirs avec plages, douches et sanitaires : parc 2025 domine par directe mecanique (55%), avec directe electronique collective en appoint. Le choix reflete ambiance tres humide, pics saisonniers ou horaires et maintenance sous contrainte sanitaire ; milieu humide, corrosion, securite usager et forte frequence de nettoyage.Blocs sanitaires de plage / front de mer : Blocs sanitaires de plage / front de mer : parc 2025 domine par directe mecanique (55%), avec directe electronique collective en appoint. Le choix reflete ambiance tres humide, pics saisonniers ou horaires et maintenance sous contrainte sanitaire ; milieu humide, corrosion, securite usager et forte frequence de nettoyage.Centres de loisirs sans hébergement : Quand des urinoirs existent, ils restent surtout mécaniques ou collectifs anciens.Parcs d’attractions / Parcs à thèmes fixes : Parcs d’attractions / Parcs à thèmes fixes : parc 2025 domine par directe mecanique (55%), avec directe electronique collective en appoint. Le choix reflete usage collectif regulier, contraintes de maintenance et arbitrages budgetaires ; robustesse, hygiene et cout global restent prioritaires.Parcs zoologiques / Parcs animaliers : Parcs zoologiques / Parcs animaliers : parc 2025 domine par directe mecanique (55%), avec directe electronique collective en appoint. Le choix reflete flux visiteurs avec pics week-end/vacances et exigence d experience client ; image client, rapidite de nettoyage et resistance aux pics de frequentation.Parcs aquatiques : Parcs aquatiques : parc 2025 domine par directe mecanique (55%), avec directe electronique collective en appoint. Le choix reflete ambiance tres humide, pics saisonniers ou horaires et maintenance sous contrainte sanitaire ; milieu humide, corrosion, securite usager et forte frequence de nettoyage.Aquariums : Aquariums : parc 2025 domine par directe mecanique (55%), avec directe electronique collective en appoint. Le choix reflete flux visiteurs avec pics week-end/vacances et exigence d experience client ; image client, rapidite de nettoyage et resistance aux pics de frequentation.Casinos : Casinos : parc 2025 domine par directe mecanique (55%), avec directe electronique collective en appoint. Le choix reflete flux visiteurs avec pics week-end/vacances et exigence d experience client ; image client, rapidite de nettoyage et resistance aux pics de frequentation.Salles de jeux / Bowlings / Billards : Salles de jeux / Bowlings / Billards : parc 2025 domine par directe mecanique (55%), avec directe electronique collective en appoint. Le choix reflete flux visiteurs avec pics week-end/vacances et exigence d experience client ; image client, rapidite de nettoyage et resistance aux pics de frequentation.Discothèques / Salles de danse : Discothèques / Salles de danse : parc 2025 domine par directe mecanique (55%), avec directe electronique collective en appoint. Le choix reflete flux visiteurs avec pics week-end/vacances et exigence d experience client ; image client, rapidite de nettoyage et resistance aux pics de frequentation.</t>
    </r>
  </si>
  <si>
    <r>
      <rPr>
        <b/>
        <sz val="9"/>
        <rFont val="Calibri"/>
      </rPr>
      <t>Gymnases / salles multisports ; Salles de fitness / dojos ; Patinoires couvertes ; Piscines couvertes ; Stades avec tribunes ; Grands stades avec tribunes ; Piscines extérieures</t>
    </r>
    <r>
      <rPr>
        <sz val="9"/>
        <rFont val="Calibri"/>
      </rPr>
      <t xml:space="preserve"> : Les rampes/collectifs et réservoirs reculent sur les rénovations ; l’automatique progresse, mais le direct mécanique reste très présent.Centres de thalassothérapie / balnéothérapie / grands spas ouverts au public ; Établissements thermaux ; Terrains de sport ; Hippodromes, Centres équestres &amp; Manèges couverts ; Bases nautiques / centres nautiques avec vestiaires-douches ; Bases de loisirs avec plages, douches et sanitaires ; Blocs sanitaires de plage / front de mer ; Parcs d’attractions / Parcs à thèmes fixes ; Parcs zoologiques / Parcs animaliers ; Parcs aquatiques ; Aquariums ; Casinos ; Salles de jeux / Bowlings / Billards ; Discothèques / Salles de danse : 2025-2030 : progression de directe electronique indiv. (+2,0%), surtout lors des renov. lourdes/neuf ; recul de directe electronique collective (-1,0%) mais maintien d un socle robuste pour les remplacements partiels.Centres de loisirs sans hébergement : Baisse graduelle des réservoirs et des rampes/collectifs les plus anciens, au profit de chasses directes ; l’automatique progresse mais le mécanique reste fort pour le coût et la robustesse.</t>
    </r>
  </si>
  <si>
    <r>
      <rPr>
        <b/>
        <sz val="9"/>
        <rFont val="Calibri"/>
      </rPr>
      <t>Gymnases / salles multisports</t>
    </r>
    <r>
      <rPr>
        <sz val="9"/>
        <rFont val="Calibri"/>
      </rPr>
      <t xml:space="preserve"> : La chasse directe est déjà majoritaire dans les sanitaires sportifs à forte intensité, mais le réservoir reste significatif sur le parc ancien.Salles de fitness / dojos : Le réservoir et la chasse directe coexistent encore largement, l’électronique restant minoritaire.Patinoires couvertes : La chasse directe domine les blocs publics/vestiaires, mais le réservoir reste encore présent.Piscines couvertes ; Piscines extérieures : La chasse directe domine les blocs de piscine ; l’électronique apparaît davantage que dans le sport sec.Centres de thalassothérapie / balnéothérapie / grands spas ouverts au public : Centres de thalassothérapie / balnéothérapie / grands spas ouverts au public : parc 2025 domine par chasse directe mecanique (55%), avec reservoir en appoint. Le choix reflete ambiance tres humide, pics saisonniers ou horaires et maintenance sous contrainte sanitaire ; milieu humide, corrosion, securite usager et forte frequence de nettoyage.Établissements thermaux : Établissements thermaux : parc 2025 domine par chasse directe mecanique (55%), avec reservoir en appoint. Le choix reflete ambiance tres humide, pics saisonniers ou horaires et maintenance sous contrainte sanitaire ; milieu humide, corrosion, securite usager et forte frequence de nettoyage.Terrains de sport : Terrains de sport (Hors scolaire) : parc 2025 domine par chasse directe mecanique (55%), avec reservoir en appoint. Le choix reflete vestiaires et sanitaires soumis aux pics match/entrainement et a une exposition exterieure ; anti-vandalisme, lavage frequent et tenue aux usages sportifs.Stades avec tribunes : La chasse directe est déjà majoritaire, mais le réservoir conserve un poids important sur le parc existant.Grands stades avec tribunes : La chasse directe domine très nettement les sanitaires publics de stade, mieux adaptée à de très forts pics de fréquentation.Hippodromes, Centres équestres &amp; Manèges couverts : Hippodromes, Centres équestres &amp; Manèges couverts : parc 2025 domine par chasse directe mecanique (55%), avec reservoir en appoint. Le choix reflete vestiaires et sanitaires soumis aux pics match/entrainement et a une exposition exterieure ; anti-vandalisme, lavage frequent et tenue aux usages sportifs.Bases nautiques / centres nautiques avec vestiaires-douches : Bases nautiques / centres nautiques avec vestiaires-douches : parc 2025 domine par chasse directe mecanique (55%), avec reservoir en appoint. Le choix reflete ambiance tres humide, pics saisonniers ou horaires et maintenance sous contrainte sanitaire ; milieu humide, corrosion, securite usager et forte frequence de nettoyage.Bases de loisirs avec plages, douches et sanitaires : Bases de loisirs avec plages, douches et sanitaires : parc 2025 domine par chasse directe mecanique (55%), avec reservoir en appoint. Le choix reflete ambiance tres humide, pics saisonniers ou horaires et maintenance sous contrainte sanitaire ; milieu humide, corrosion, securite usager et forte frequence de nettoyage.Blocs sanitaires de plage / front de mer : Blocs sanitaires de plage / front de mer : parc 2025 domine par chasse directe mecanique (55%), avec reservoir en appoint. Le choix reflete ambiance tres humide, pics saisonniers ou horaires et maintenance sous contrainte sanitaire ; milieu humide, corrosion, securite usager et forte frequence de nettoyage.Centres de loisirs sans hébergement : Les WC à réservoir restent majoritaires dans le parc existant, avec une part notable de chasses directes sur les rénovations.Parcs d’attractions / Parcs à thèmes fixes : Parcs d’attractions / Parcs à thèmes fixes : parc 2025 domine par chasse directe mecanique (55%), avec reservoir en appoint. Le choix reflete usage collectif regulier, contraintes de maintenance et arbitrages budgetaires ; robustesse, hygiene et cout global restent prioritaires.Parcs zoologiques / Parcs animaliers : Parcs zoologiques / Parcs animaliers : parc 2025 domine par chasse directe mecanique (55%), avec reservoir en appoint. Le choix reflete flux visiteurs avec pics week-end/vacances et exigence d experience client ; image client, rapidite de nettoyage et resistance aux pics de frequentation.Parcs aquatiques : Parcs aquatiques : parc 2025 domine par chasse directe mecanique (55%), avec reservoir en appoint. Le choix reflete ambiance tres humide, pics saisonniers ou horaires et maintenance sous contrainte sanitaire ; milieu humide, corrosion, securite usager et forte frequence de nettoyage.Aquariums : Aquariums : parc 2025 domine par chasse directe mecanique (55%), avec reservoir en appoint. Le choix reflete flux visiteurs avec pics week-end/vacances et exigence d experience client ; image client, rapidite de nettoyage et resistance aux pics de frequentation.Casinos : Casinos : parc 2025 domine par chasse directe mecanique (55%), avec reservoir en appoint. Le choix reflete flux visiteurs avec pics week-end/vacances et exigence d experience client ; image client, rapidite de nettoyage et resistance aux pics de frequentation.Salles de jeux / Bowlings / Billards : Salles de jeux / Bowlings / Billards : parc 2025 domine par chasse directe mecanique (55%), avec reservoir en appoint. Le choix reflete flux visiteurs avec pics week-end/vacances et exigence d experience client ; image client, rapidite de nettoyage et resistance aux pics de frequentation.Discothèques / Salles de danse : Discothèques / Salles de danse : parc 2025 domine par chasse directe mecanique (55%), avec reservoir en appoint. Le choix reflete flux visiteurs avec pics week-end/vacances et exigence d experience client ; image client, rapidite de nettoyage et resistance aux pics de frequentation.</t>
    </r>
  </si>
  <si>
    <r>
      <rPr>
        <b/>
        <sz val="9"/>
        <rFont val="Calibri"/>
      </rPr>
      <t>Gymnases / salles multisports ; Salles de fitness / dojos ; Patinoires couvertes ; Piscines couvertes ; Stades avec tribunes ; Grands stades avec tribunes ; Piscines extérieures</t>
    </r>
    <r>
      <rPr>
        <sz val="9"/>
        <rFont val="Calibri"/>
      </rPr>
      <t xml:space="preserve"> : Les ERP sportifs rénovés basculent progressivement du réservoir vers le direct ; l’électronique progresse mais reste derrière le direct mécanique.Centres de thalassothérapie / balnéothérapie / grands spas ouverts au public ; Établissements thermaux ; Terrains de sport ; Hippodromes, Centres équestres &amp; Manèges couverts ; Bases nautiques / centres nautiques avec vestiaires-douches ; Bases de loisirs avec plages, douches et sanitaires ; Blocs sanitaires de plage / front de mer ; Parcs d’attractions / Parcs à thèmes fixes ; Parcs zoologiques / Parcs animaliers ; Parcs aquatiques ; Aquariums ; Casinos ; Salles de jeux / Bowlings / Billards ; Discothèques / Salles de danse : 2025-2030 : progression de chasse directe electronique (+7,0%), surtout lors des renov. lourdes/neuf ; recul de reservoir (-10,0%) mais maintien d un socle robuste pour les remplacements partiels.Centres de loisirs sans hébergement : Le réservoir recule progressivement dans les blocs rénovés au profit de la chasse directe, avec une percée encore mesurée de l’électronique.</t>
    </r>
  </si>
  <si>
    <r>
      <rPr>
        <b/>
        <sz val="9"/>
        <rFont val="Calibri"/>
      </rPr>
      <t>Gymnases / salles multisports</t>
    </r>
    <r>
      <rPr>
        <sz val="9"/>
        <rFont val="Calibri"/>
      </rPr>
      <t xml:space="preserve"> : 88,4% retenu : intensité d’usage et vétusté soutiennent la réno, mais les budgets locaux et la saisonnalité retardent une partie des programmes.Salles de fitness / dojos ; Patinoires couvertes : 87,3% retenu : intensité d’usage et vétusté soutiennent la réno, mais les budgets locaux et la saisonnalité retardent une partie des programmes.Piscines couvertes : 89,5% retenu : intensité d’usage et vétusté soutiennent la réno, mais les budgets locaux et la saisonnalité retardent une partie des programmes.Centres de thalassothérapie / balnéothérapie / grands spas ouverts au public ; Établissements thermaux ; Bases nautiques / centres nautiques avec vestiaires-douches ; Bases de loisirs avec plages, douches et sanitaires ; Blocs sanitaires de plage / front de mer ; Parcs aquatiques : 82,1% retenu : besoins transformes en travaux selon ambiance tres humide, pics saisonniers ou horaires et maintenance sous contrainte sanitaire. Le phasage budgetaire, les fermetures partielles et la maintenance courante limitent la conversion totale.Terrains de sport ; Hippodromes, Centres équestres &amp; Manèges couverts : 80,1% retenu : besoins transformes en travaux selon vestiaires et sanitaires soumis aux pics match/entrainement et a une exposition exterieure. Le phasage budgetaire, les fermetures partielles et la maintenance courante limitent la conversion totale.Stades avec tribunes : 82,9% retenu : intensité d’usage et vétusté soutiennent la réno, mais les budgets locaux et la saisonnalité retardent une partie des programmes.Grands stades avec tribunes : 86,2% retenu : intensité d’usage et vétusté soutiennent la réno, mais les budgets locaux et la saisonnalité retardent une partie des programmes.Piscines extérieures : 79,6% retenu : intensité d’usage et vétusté soutiennent la réno, mais les budgets locaux et la saisonnalité retardent une partie des programmes.Centres de loisirs sans hébergement : 84,0% retenu : part des besoins réellement transformée en travaux sur 2026-2030 après prise en compte des budgets, du phasage et des arbitrages locaux.Parcs d’attractions / Parcs à thèmes fixes : 77,2% retenu : besoins transformes en travaux selon usage collectif regulier, contraintes de maintenance et arbitrages budgetaires. Le phasage budgetaire, les fermetures partielles et la maintenance courante limitent la conversion totale.Parcs zoologiques / Parcs animaliers ; Aquariums ; Casinos ; Salles de jeux / Bowlings / Billards ; Discothèques / Salles de danse : 80,6% retenu : besoins transformes en travaux selon flux visiteurs avec pics week-end/vacances et exigence d experience client. Le phasage budgetaire, les fermetures partielles et la maintenance courante limitent la conversion totale.</t>
    </r>
  </si>
  <si>
    <r>
      <rPr>
        <b/>
        <sz val="9"/>
        <rFont val="Calibri"/>
      </rPr>
      <t>Gymnases / salles multisports</t>
    </r>
    <r>
      <rPr>
        <sz val="9"/>
        <rFont val="Calibri"/>
      </rPr>
      <t xml:space="preserve"> : Potentiel rénovation très élevé : vestiaires, douches et sanitaires sont fortement exposés à l’humidité, aux pics d’usage et parfois au vandalisme. La douche pèse au-dessus de la moyenne, avec des contraintes d’humidité, de corrosion et d’entretien qui accélèrent le remplacement. En rénovation, les maîtres d’ouvrage privilégient des références robustes, vite posées et faciles à maintenir dans des ambiances humides.Salles de fitness / dojos : Potentiel rénovation très élevé : usure commerciale, image d’enseigne et douches/vestiaires soutiennent des refits réguliers. La douche pèse au-dessus de la moyenne, avec des contraintes d’humidité, de corrosion et d’entretien qui accélèrent le remplacement. En rénovation, le marché reste orienté vers des gammes fiables, disponibles et rapides à poser afin de limiter l’arrêt d’exploitation.Patinoires couvertes : Potentiel rénovation élevé : équipements spécifiques, sanitaires associés et actifs souvent vieillissants. La douche pèse au-dessus de la moyenne, avec des contraintes d’humidité, de corrosion et d’entretien qui accélèrent le remplacement. En rénovation, les maîtres d’ouvrage privilégient des références robustes, vite posées et faciles à maintenir dans des ambiances humides.Piscines couvertes : Potentiel rénovation très élevé : parmi les plus élevés du modèle, car l’humidité, la corrosion, l’énergie et l’image usagers imposent des campagnes lourdes. La douche pèse au-dessus de la moyenne, avec des contraintes d’humidité, de corrosion et d’entretien qui accélèrent le remplacement. En rénovation, les maîtres d’ouvrage privilégient des références robustes, vite posées et faciles à maintenir dans des ambiances humides.Centres de thalassothérapie / balnéothérapie / grands spas ouverts au public ; Établissements thermaux ; Bases nautiques / centres nautiques avec vestiaires-douches ; Bases de loisirs avec plages, douches et sanitaires ; Blocs sanitaires de plage / front de mer ; Parcs aquatiques : Potentiel renovation : tire par milieu humide, corrosion, securite usager et forte frequence de nettoyage. Les remplacements sont plutot par lots, avec arbitrage entre urgence sanitaire, budget et capacite a intervenir en site occupe.Terrains de sport ; Hippodromes, Centres équestres &amp; Manèges couverts : Potentiel renovation : tire par anti-vandalisme, lavage frequent et tenue aux usages sportifs. Les remplacements sont plutot par lots, avec arbitrage entre urgence sanitaire, budget et capacite a intervenir en site occupe.Stades avec tribunes : Potentiel rénovation élevé : vestiaires, douches et sanitaires sont fortement exposés à l’humidité, aux pics d’usage et parfois au vandalisme. La douche pèse au-dessus de la moyenne, avec des contraintes d’humidité, de corrosion et d’entretien qui accélèrent le remplacement. En rénovation, l’achat reste orienté vers des produits robustes, anti-vandalisme et simples à maintenir en site occupé.Grands stades avec tribunes : Potentiel rénovation très élevé : vestiaires, douches et sanitaires sont fortement exposés à l’humidité, aux pics d’usage et parfois au vandalisme. Les volumes se concentrent surtout sur lavabos et wc. En rénovation, l’achat reste orienté vers des produits robustes, anti-vandalisme et simples à maintenir en site occupé.Piscines extérieures : Potentiel rénovation élevé : parmi les plus élevés du modèle, car l’humidité, la corrosion, l’énergie et l’image usagers imposent des campagnes lourdes. La douche pèse au-dessus de la moyenne, avec des contraintes d’humidité, de corrosion et d’entretien qui accélèrent le remplacement. En rénovation, les maîtres d’ouvrage privilégient des références robustes, vite posées et faciles à maintenir dans des ambiances humides.Centres de loisirs sans hébergement : Potentiel rénovation élevé : bâtiments souvent hétérogènes, avec remise à niveau des blocs sanitaires lors de modernisations de confort, sécurité ou adaptation climatique. Les volumes restent d’abord tirés par les WC et les lavabos, plus que par les postes spécialisés. En rénovation, le marché reste favorable aux gammes robustes et simples d’entretien, compatibles avec des chantiers par tranches et des budgets contraints.Parcs d’attractions / Parcs à thèmes fixes : Potentiel renovation : tire par robustesse, hygiene et cout global restent prioritaires. Les remplacements sont plutot par lots, avec arbitrage entre urgence sanitaire, budget et capacite a intervenir en site occupe.Parcs zoologiques / Parcs animaliers ; Aquariums ; Casinos ; Salles de jeux / Bowlings / Billards ; Discothèques / Salles de danse : Potentiel renovation : tire par image client, rapidite de nettoyage et resistance aux pics de frequentation. Les remplacements sont plutot par lots, avec arbitrage entre urgence sanitaire, budget et capacite a intervenir en site occupe.</t>
    </r>
  </si>
  <si>
    <r>
      <rPr>
        <b/>
        <sz val="9"/>
        <rFont val="Calibri"/>
      </rPr>
      <t>Gymnases / salles multisports</t>
    </r>
    <r>
      <rPr>
        <sz val="9"/>
        <rFont val="Calibri"/>
      </rPr>
      <t xml:space="preserve"> : Potentiel neuf faible : soutenu par quelques programmes publics et privés, avec un levier visible du plan 5000 équipements jusqu’en 2026 mais pas une vague uniforme ensuite. Le neuf est quasi nul dans le modèle et renvoie surtout à des reconstructions ou remplacements de sites.Salles de fitness / dojos : Potentiel neuf moyen à soutenu : diffusion privée réelle, surtout en salles de fitness, mais sensible à la consommation et au taux d’occupation. Le neuf est réel mais secondaire.Patinoires couvertes : Potentiel neuf faible : très sélectif, avec peu d’ouvertures pures. Le neuf est quasi nul dans le modèle et renvoie surtout à des reconstructions ou remplacements de sites.Piscines couvertes : Potentiel neuf moyen à soutenu : soutenu sur quelques projets structurants, mais très capitalistique et sélectif. Le neuf est réel mais secondaire.Centres de thalassothérapie / balnéothérapie / grands spas ouverts au public : Potentiel neuf : plus visible pour centres de thalassothérapie / balnéothérapie / grands spas ouverts au public, surtout via extensions, reconstructions ou projets locaux. Le neuf reste contraint par foncier, budgets et delais de mise en service.Établissements thermaux : Potentiel neuf : plus visible pour établissements thermaux, surtout via extensions, reconstructions ou projets locaux. Le neuf reste contraint par foncier, budgets et delais de mise en service.Terrains de sport : Potentiel neuf : limite pour terrains de sport (hors scolaire), surtout via extensions, reconstructions ou projets locaux. Le neuf reste contraint par foncier, budgets et delais de mise en service.Stades avec tribunes : Potentiel neuf moyen : soutenu par quelques programmes publics et privés, avec un levier visible du plan 5000 équipements jusqu’en 2026 mais pas une vague uniforme ensuite. Le neuf est réel mais secondaire.Grands stades avec tribunes : Potentiel neuf moyen à soutenu : soutenu par quelques programmes publics et privés, avec un levier visible du plan 5000 équipements jusqu’en 2026 mais pas une vague uniforme ensuite. Le neuf est réel mais secondaire. Les projets neufs sont rares ; l’activité vient plus souvent de requalifications lourdes.Hippodromes, Centres équestres &amp; Manèges couverts : Potentiel neuf : limite pour hippodromes, centres équestres &amp; manèges couverts, surtout via extensions, reconstructions ou projets locaux. Le neuf reste contraint par foncier, budgets et delais de mise en service.Piscines extérieures : Potentiel neuf faible : soutenu sur quelques projets structurants, mais très capitalistique et sélectif. Le neuf est quasi nul dans le modèle et renvoie surtout à des reconstructions ou remplacements de sites.Bases nautiques / centres nautiques avec vestiaires-douches : Potentiel neuf : plus visible pour bases nautiques / centres nautiques avec vestiaires-douches, surtout via extensions, reconstructions ou projets locaux. Le neuf reste contraint par foncier, budgets et delais de mise en service.Bases de loisirs avec plages, douches et sanitaires : Potentiel neuf : plus visible pour bases de loisirs avec plages, douches et sanitaires, surtout via extensions, reconstructions ou projets locaux. Le neuf reste contraint par foncier, budgets et delais de mise en service.Blocs sanitaires de plage / front de mer : Potentiel neuf : plus visible pour blocs sanitaires de plage / front de mer, surtout via extensions, reconstructions ou projets locaux. Le neuf reste contraint par foncier, budgets et delais de mise en service.Centres de loisirs sans hébergement : Potentiel neuf faible : limité et opportuniste, surtout via restructurations, extensions ponctuelles ou nouveaux sites de loisirs/accueil. Le neuf est quasi nul dans le modèle et renvoie surtout à des reconstructions ou remplacements de sites.Parcs d’attractions / Parcs à thèmes fixes : Potentiel neuf : limite pour parcs d’attractions / parcs à thèmes fixes, surtout via extensions, reconstructions ou projets locaux. Le neuf reste contraint par foncier, budgets et delais de mise en service.Parcs zoologiques / Parcs animaliers : Potentiel neuf : plus visible pour parcs zoologiques / parcs animaliers, surtout via extensions, reconstructions ou projets locaux. Le neuf reste contraint par foncier, budgets et delais de mise en service.Parcs aquatiques : Potentiel neuf : plus visible pour parcs aquatiques, surtout via extensions, reconstructions ou projets locaux. Le neuf reste contraint par foncier, budgets et delais de mise en service.Aquariums : Potentiel neuf : plus visible pour aquariums, surtout via extensions, reconstructions ou projets locaux. Le neuf reste contraint par foncier, budgets et delais de mise en service.Casinos : Potentiel neuf : plus visible pour casinos, surtout via extensions, reconstructions ou projets locaux. Le neuf reste contraint par foncier, budgets et delais de mise en service.Salles de jeux / Bowlings / Billards : Potentiel neuf : plus visible pour salles de jeux / bowlings / billards, surtout via extensions, reconstructions ou projets locaux. Le neuf reste contraint par foncier, budgets et delais de mise en service.Discothèques / Salles de danse : Potentiel neuf : plus visible pour discothèques / salles de danse, surtout via extensions, reconstructions ou projets locaux. Le neuf reste contraint par foncier, budgets et delais de mise en service.</t>
    </r>
  </si>
  <si>
    <r>
      <rPr>
        <b/>
        <sz val="9"/>
        <rFont val="Calibri"/>
      </rPr>
      <t>Gymnases / salles multisports ; Stades avec tribunes ; Grands stades avec tribunes</t>
    </r>
    <r>
      <rPr>
        <sz val="9"/>
        <rFont val="Calibri"/>
      </rPr>
      <t xml:space="preserve"> : Projets phares réno : vestiaires, douches, sanitaires spectateurs, accessibilité et modernisation d’équipements sportifs.Salles de fitness / dojos : Projets phares réno : douches, vestiaires, sanitaires public/adhérents et repositionnement d’espaces.Patinoires couvertes : Projets phares réno : vestiaires, sanitaires publics, modernisation fonctionnelle et énergétique.Piscines couvertes ; Piscines extérieures : Projets phares réno : vestiaires, douches, sanitaires publics, réhabilitation énergétique et reprise des ambiances humides.Centres de thalassothérapie / balnéothérapie / grands spas ouverts au public ; Établissements thermaux ; Terrains de sport ; Hippodromes, Centres équestres &amp; Manèges couverts ; Bases nautiques / centres nautiques avec vestiaires-douches ; Bases de loisirs avec plages, douches et sanitaires ; Blocs sanitaires de plage / front de mer ; Parcs d’attractions / Parcs à thèmes fixes ; Parcs zoologiques / Parcs animaliers ; Parcs aquatiques ; Aquariums ; Casinos ; Salles de jeux / Bowlings / Billards ; Discothèques / Salles de danse : Projets phares renovation : reprise de blocs sanitaires, accessibilite, ventilation, economie d eau, remplacement des pieces usees et adaptation aux pics de frequentation propres au sous-segment.Centres de loisirs sans hébergement : Projets phares réno : blocs sanitaires enfants/adultes, douches, hébergements collectifs, accessibilité et confort d’été.</t>
    </r>
  </si>
  <si>
    <r>
      <rPr>
        <b/>
        <sz val="9"/>
        <rFont val="Calibri"/>
      </rPr>
      <t>Gymnases / salles multisports ; Stades avec tribunes ; Grands stades avec tribunes</t>
    </r>
    <r>
      <rPr>
        <sz val="9"/>
        <rFont val="Calibri"/>
      </rPr>
      <t xml:space="preserve"> : Projets phares neuf : gymnases, stades reconfigurés, équipements de proximité, tribunes et vestiaires associés.Salles de fitness / dojos : Projets phares neuf : nouvelles salles, studios, dojos privés ou associatifs, extensions de clubs.Patinoires couvertes : Projets phares neuf : rares équipements nouveaux ou reconfigurations lourdes.Piscines couvertes ; Piscines extérieures : Projets phares neuf : piscines structurantes, centres aquatiques, bassins extérieurs reconstruits ou complétés.Centres de thalassothérapie / balnéothérapie / grands spas ouverts au public ; Établissements thermaux ; Terrains de sport ; Hippodromes, Centres équestres &amp; Manèges couverts ; Bases nautiques / centres nautiques avec vestiaires-douches ; Bases de loisirs avec plages, douches et sanitaires ; Blocs sanitaires de plage / front de mer ; Parcs d’attractions / Parcs à thèmes fixes ; Parcs zoologiques / Parcs animaliers ; Parcs aquatiques ; Aquariums ; Casinos ; Salles de jeux / Bowlings / Billards ; Discothèques / Salles de danse : Projets phares neuf : creations ou reconstructions selectives, integration de sanitaires plus sobres, robustes et faciles a maintenir des la conception.Centres de loisirs sans hébergement : Projets phares neuf : bases de loisirs, centres de vacances restructurés avec extension, nouveaux bâtiments d’accueil sur sites attractifs.</t>
    </r>
  </si>
  <si>
    <r>
      <rPr>
        <b/>
        <sz val="9"/>
        <rFont val="Calibri"/>
      </rPr>
      <t>Gymnases / salles multisports ; Stades avec tribunes ; Grands stades avec tribunes</t>
    </r>
    <r>
      <rPr>
        <sz val="9"/>
        <rFont val="Calibri"/>
      </rPr>
      <t xml:space="preserve"> : Dynamique réno 2026-2030 : élevée, car le sanitaire sportif s’use vite et reste visible pour les usagers.Salles de fitness / dojos : Dynamique réno 2026-2030 : plus régulière que le neuf grâce aux cycles commerciaux des clubs.Patinoires couvertes : Dynamique réno 2026-2030 : supérieure au neuf, davantage tirée par la remise à niveau que par l’expansion.Piscines couvertes : Dynamique réno 2026-2030 : très forte, car les piscines concentrent à la fois besoin de rénovation énergétique et renouvellement sanitaire.Centres de thalassothérapie / balnéothérapie / grands spas ouverts au public ; Établissements thermaux ; Terrains de sport ; Hippodromes, Centres équestres &amp; Manèges couverts ; Bases nautiques / centres nautiques avec vestiaires-douches ; Bases de loisirs avec plages, douches et sanitaires ; Blocs sanitaires de plage / front de mer ; Parcs zoologiques / Parcs animaliers ; Parcs aquatiques ; Aquariums ; Casinos ; Salles de jeux / Bowlings / Billards ; Discothèques / Salles de danse : Dynamique renovation 2026-2030 : forte, car l usure et l hygiene rendent les interventions recurrentes. Menaces : arbitrages d investissement, travaux en exploitation et cout de maintenance.Piscines extérieures : Dynamique réno 2026-2030 : très forte, car les piscines concentrent à la fois besoin de rénovation énergétique et renouvellement sanitaire. Les exploitants arbitrent vite quand la qualité sanitaire pénalise la note client.Centres de loisirs sans hébergement : Dynamique réno 2026-2030 : soutenue par la sécurité et le confort d’usage, mais avec de petits tickets et des arbitrages locaux fréquents.Parcs d’attractions / Parcs à thèmes fixes : Dynamique renovation 2026-2030 : moderee, car l usure et l hygiene rendent les interventions recurrentes. Menaces : arbitrages d investissement, travaux en exploitation et cout de maintenance.</t>
    </r>
  </si>
  <si>
    <r>
      <rPr>
        <b/>
        <sz val="9"/>
        <rFont val="Calibri"/>
      </rPr>
      <t>Gymnases / salles multisports ; Stades avec tribunes ; Grands stades avec tribunes</t>
    </r>
    <r>
      <rPr>
        <sz val="9"/>
        <rFont val="Calibri"/>
      </rPr>
      <t xml:space="preserve"> : Dynamique neuf 2026-2030 : modérée ; meilleure sur les projets structurants et les territoires carencés que sur les petits équipements diffus.Salles de fitness / dojos : Dynamique neuf 2026-2030 : réelle mais plus cyclique ; dépend de l’emplacement et de la solvabilité des exploitants.Patinoires couvertes : Dynamique neuf 2026-2030 : faible, sauf projet emblématique ponctuel.Piscines couvertes : Dynamique neuf 2026-2030 : réelle sur quelques sites, mais fortement filtrée par le coût global, le foncier et l’exploitation future.Centres de thalassothérapie / balnéothérapie / grands spas ouverts au public ; Établissements thermaux ; Terrains de sport ; Hippodromes, Centres équestres &amp; Manèges couverts ; Bases nautiques / centres nautiques avec vestiaires-douches ; Bases de loisirs avec plages, douches et sanitaires ; Blocs sanitaires de plage / front de mer ; Parcs d’attractions / Parcs à thèmes fixes ; Parcs zoologiques / Parcs animaliers ; Parcs aquatiques ; Aquariums ; Casinos ; Salles de jeux / Bowlings / Billards ; Discothèques / Salles de danse : Dynamique neuf 2026-2030 : faible a moderee, dependante des projets immobiliers, de la demographie locale et des budgets de maitrise d ouvrage.Piscines extérieures : Dynamique neuf 2026-2030 : réelle sur quelques sites, mais fortement filtrée par le coût global, le foncier et l’exploitation future. Le tourisme reste bien orienté, mais les décisions de construction sont plus sélectives qu’en phase de rattrapage post-Covid.Centres de loisirs sans hébergement : Dynamique neuf 2026-2030 : faible à modérée ; les annonces existent, mais beaucoup restent dépendantes de subventions, de foncier disponible et de la fréquentation future.</t>
    </r>
  </si>
  <si>
    <r>
      <rPr>
        <b/>
        <sz val="9"/>
        <rFont val="Calibri"/>
      </rPr>
      <t>Gymnases / salles multisports</t>
    </r>
    <r>
      <rPr>
        <sz val="9"/>
        <rFont val="Calibri"/>
      </rPr>
      <t xml:space="preserve"> ; </t>
    </r>
    <r>
      <rPr>
        <b/>
        <sz val="9"/>
        <rFont val="Calibri"/>
      </rPr>
      <t>Patinoires couvertes</t>
    </r>
    <r>
      <rPr>
        <sz val="9"/>
        <rFont val="Calibri"/>
      </rPr>
      <t xml:space="preserve"> ; </t>
    </r>
    <r>
      <rPr>
        <b/>
        <sz val="9"/>
        <rFont val="Calibri"/>
      </rPr>
      <t>Piscines couvertes</t>
    </r>
    <r>
      <rPr>
        <sz val="9"/>
        <rFont val="Calibri"/>
      </rPr>
      <t xml:space="preserve"> ; </t>
    </r>
    <r>
      <rPr>
        <b/>
        <sz val="9"/>
        <rFont val="Calibri"/>
      </rPr>
      <t>Centres de thalassothérapie / balnéothérapie / grands spas ouverts au public</t>
    </r>
    <r>
      <rPr>
        <sz val="9"/>
        <rFont val="Calibri"/>
      </rPr>
      <t xml:space="preserve"> ; </t>
    </r>
    <r>
      <rPr>
        <b/>
        <sz val="9"/>
        <rFont val="Calibri"/>
      </rPr>
      <t>Établissements thermaux</t>
    </r>
    <r>
      <rPr>
        <sz val="9"/>
        <rFont val="Calibri"/>
      </rPr>
      <t xml:space="preserve"> ; </t>
    </r>
    <r>
      <rPr>
        <b/>
        <sz val="9"/>
        <rFont val="Calibri"/>
      </rPr>
      <t>Terrains de sport</t>
    </r>
    <r>
      <rPr>
        <sz val="9"/>
        <rFont val="Calibri"/>
      </rPr>
      <t xml:space="preserve"> ; </t>
    </r>
    <r>
      <rPr>
        <b/>
        <sz val="9"/>
        <rFont val="Calibri"/>
      </rPr>
      <t>Stades avec tribunes</t>
    </r>
    <r>
      <rPr>
        <sz val="9"/>
        <rFont val="Calibri"/>
      </rPr>
      <t xml:space="preserve"> ; </t>
    </r>
    <r>
      <rPr>
        <b/>
        <sz val="9"/>
        <rFont val="Calibri"/>
      </rPr>
      <t>Grands stades avec tribunes</t>
    </r>
    <r>
      <rPr>
        <sz val="9"/>
        <rFont val="Calibri"/>
      </rPr>
      <t xml:space="preserve"> ; </t>
    </r>
    <r>
      <rPr>
        <b/>
        <sz val="9"/>
        <rFont val="Calibri"/>
      </rPr>
      <t>Hippodromes, Centres équestres &amp; Manèges couverts</t>
    </r>
    <r>
      <rPr>
        <sz val="9"/>
        <rFont val="Calibri"/>
      </rPr>
      <t xml:space="preserve"> ; </t>
    </r>
    <r>
      <rPr>
        <b/>
        <sz val="9"/>
        <rFont val="Calibri"/>
      </rPr>
      <t>Piscines extérieures</t>
    </r>
    <r>
      <rPr>
        <sz val="9"/>
        <rFont val="Calibri"/>
      </rPr>
      <t xml:space="preserve"> ; </t>
    </r>
    <r>
      <rPr>
        <b/>
        <sz val="9"/>
        <rFont val="Calibri"/>
      </rPr>
      <t>Bases nautiques / centres nautiques avec vestiaires-douches</t>
    </r>
    <r>
      <rPr>
        <sz val="9"/>
        <rFont val="Calibri"/>
      </rPr>
      <t xml:space="preserve"> ; </t>
    </r>
    <r>
      <rPr>
        <b/>
        <sz val="9"/>
        <rFont val="Calibri"/>
      </rPr>
      <t>Bases de loisirs avec plages, douches et sanitaires</t>
    </r>
    <r>
      <rPr>
        <sz val="9"/>
        <rFont val="Calibri"/>
      </rPr>
      <t xml:space="preserve"> ; </t>
    </r>
    <r>
      <rPr>
        <b/>
        <sz val="9"/>
        <rFont val="Calibri"/>
      </rPr>
      <t>Blocs sanitaires de plage / front de mer</t>
    </r>
    <r>
      <rPr>
        <sz val="9"/>
        <rFont val="Calibri"/>
      </rPr>
      <t xml:space="preserve"> ; </t>
    </r>
    <r>
      <rPr>
        <b/>
        <sz val="9"/>
        <rFont val="Calibri"/>
      </rPr>
      <t>Parcs aquatiques</t>
    </r>
    <r>
      <rPr>
        <sz val="9"/>
        <rFont val="Calibri"/>
      </rPr>
      <t xml:space="preserve"> : </t>
    </r>
    <r>
      <rPr>
        <sz val="9"/>
        <rFont val="Calibri"/>
      </rPr>
      <t>https://www.agencedusport.fr/plan-5000-equipements-generation-2024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https://www.insee.fr/fr/statistiques/8906564Salles de fitness / dojos : https://www.agencedusport.fr/plan-5000-equipements-generation-2024
https://www.ecologie.gouv.fr/eco-energie-tertiaire-eet
https://www.statistiques.developpement-durable.gouv.fr/construction-de-locaux-resultats-fin-janvier-2026-france-entiere
https://www.insee.fr/fr/statistiques/8671745
https://www.insee.fr/fr/statistiques/8906564Centres de loisirs sans hébergement : https://www.banquedesterritoires.fr/plan-renovation-energetique-batiments-publics
https://www.ecologie.gouv.fr/eco-energie-tertiaire-eet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https://www.insee.fr/fr/statistiques/8906564Parcs d’attractions / Parcs à thèmes fixes ; Parcs zoologiques / Parcs animaliers ; Aquariums ; Casinos :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https://www.insee.fr/fr/statistiques/8906564Salles de jeux / Bowlings / Billards ; Discothèques / Salles de danse : https://www.statistiques.developpement-durable.gouv.fr/construction-de-locaux-resultats-fin-janvier-2026-france-entiere
https://www.insee.fr/fr/statistiques/8671745
https://www.insee.fr/fr/statistiques/8906564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t>
    </r>
  </si>
  <si>
    <r>
      <rPr>
        <b/>
        <sz val="9"/>
        <rFont val="Calibri"/>
      </rPr>
      <t>Gymnases / salles multisports ; Patinoires couvertes ; Piscines couvertes ; Centres de thalassothérapie / balnéothérapie / grands spas ouverts au public ; Établissements thermaux ; Terrains de sport ; Stades avec tribunes ; Hippodromes, Centres équestres &amp; Manèges couverts ; Piscines extérieures ; Bases nautiques / centres nautiques avec vestiaires-douches ; Bases de loisirs avec plages, douches et sanitaires ; Blocs sanitaires de plage / front de mer ; Parcs d’attractions / Parcs à thèmes fixes ; Parcs zoologiques / Parcs animaliers ; Parcs aquatiques ; Aquariums ; Casinos ; Salles de jeux / Bowlings / Billards ; Discothèques / Salles de danse</t>
    </r>
    <r>
      <rPr>
        <sz val="9"/>
        <rFont val="Calibri"/>
      </rPr>
      <t xml:space="preserve"> : BonneSalles de fitness / dojos ; Grands stades avec tribunes ; Centres de loisirs sans hébergement : Moyenne+</t>
    </r>
  </si>
  <si>
    <r>
      <rPr>
        <b/>
        <sz val="9"/>
        <rFont val="Calibri"/>
      </rPr>
      <t>Gymnases / salles multisports ; Patinoires couvertes ; Piscines couvertes ; Stades avec tribunes ; Piscines extérieures</t>
    </r>
    <r>
      <rPr>
        <sz val="9"/>
        <rFont val="Calibri"/>
      </rPr>
      <t xml:space="preserve"> : Parc existant surtout standard. Les ventes restent proches du parc, centré sur standard, car le trafic et la robustesse maintiennent un cahier des charges très fonctionnel. La rénovation restant majoritaire, le mix de ventes reste proche du parc et monte surtout d’un cran sur les opérations lourdes. Équipements sportifs publics : intensité d’usage, humidité, vandalisme et maintenance poussent vers des gammes très robustes ; la montée en confort reste contenue.Salles de fitness / dojos : Parc existant surtout standard / intermédiaire. Les ventes se décalent légèrement vers intermédiaire, tiré par l’image de marque et l’expérience usager. La rénovation restant majoritaire, le mix de ventes reste proche du parc et monte surtout d’un cran sur les opérations lourdes. Salle de fitness / dojos privés : importance de l’expérience client et de l’image, avec niveau de confort supérieur au sport public.Centres de thalassothérapie / balnéothérapie / grands spas ouverts au public : Parc existant centre sur le niveau wet, avec ventes 2026-2030 legerement plus qualitatives. Centres de thalassothérapie / balnéothérapie / grands spas ouverts au public : ambiance tres humide, pics saisonniers ou horaires et maintenance sous contrainte sanitaire; le mix reste guide par milieu humide, corrosion, securite usager et forte frequence de nettoyage.Établissements thermaux : Parc existant centre sur le niveau wet, avec ventes 2026-2030 legerement plus qualitatives. Établissements thermaux : ambiance tres humide, pics saisonniers ou horaires et maintenance sous contrainte sanitaire; le mix reste guide par milieu humide, corrosion, securite usager et forte frequence de nettoyage.Terrains de sport : Parc existant centre sur le niveau anti, avec ventes 2026-2030 legerement plus qualitatives. Terrains de sport (Hors scolaire) : vestiaires et sanitaires soumis aux pics match/entrainement et a une exposition exterieure; le mix reste guide par anti-vandalisme, lavage frequent et tenue aux usages sportifs.Grands stades avec tribunes : Parc existant surtout standard. Les ventes se décalent légèrement vers standard / intermédiaire, car le trafic et la robustesse maintiennent un cahier des charges très fonctionnel. La rénovation restant majoritaire, le mix de ventes reste proche du parc et monte surtout d’un cran sur les opérations lourdes. Grands stades et hippodromes : forte pression trafic mais aussi enjeux d’image/VIP ; le parc grand public reste surtout standard, avec poches plus premium.Hippodromes, Centres équestres &amp; Manèges couverts : Parc existant centre sur le niveau anti, avec ventes 2026-2030 legerement plus qualitatives. Hippodromes, Centres équestres &amp; Manèges couverts : vestiaires et sanitaires soumis aux pics match/entrainement et a une exposition exterieure; le mix reste guide par anti-vandalisme, lavage frequent et tenue aux usages sportifs.Bases nautiques / centres nautiques avec vestiaires-douches : Parc existant centre sur le niveau wet, avec ventes 2026-2030 legerement plus qualitatives. Bases nautiques / centres nautiques avec vestiaires-douches : ambiance tres humide, pics saisonniers ou horaires et maintenance sous contrainte sanitaire; le mix reste guide par milieu humide, corrosion, securite usager et forte frequence de nettoyage.Bases de loisirs avec plages, douches et sanitaires : Parc existant centre sur le niveau wet, avec ventes 2026-2030 legerement plus qualitatives. Bases de loisirs avec plages, douches et sanitaires : ambiance tres humide, pics saisonniers ou horaires et maintenance sous contrainte sanitaire; le mix reste guide par milieu humide, corrosion, securite usager et forte frequence de nettoyage.Blocs sanitaires de plage / front de mer : Parc existant centre sur le niveau wet, avec ventes 2026-2030 legerement plus qualitatives. Blocs sanitaires de plage / front de mer : ambiance tres humide, pics saisonniers ou horaires et maintenance sous contrainte sanitaire; le mix reste guide par milieu humide, corrosion, securite usager et forte frequence de nettoyage.Centres de loisirs sans hébergement : Parc existant surtout standard. Les ventes restent proches du parc, centré sur standard, du fait de budgets et de rénovations menées surtout par lots. La rénovation restant majoritaire, le mix de ventes reste proche du parc et monte surtout d’un cran sur les opérations lourdes. Sites collectifs à budget serré, souvent saisonniers ou associatifs : le fonctionnel domine, la montée en gamme reste limitée et surtout visible dans le neuf.Parcs d’attractions / Parcs à thèmes fixes : Parc existant centre sur le niveau standard, avec ventes 2026-2030 legerement plus qualitatives. Parcs d’attractions / Parcs à thèmes fixes : usage collectif regulier, contraintes de maintenance et arbitrages budgetaires; le mix reste guide par robustesse, hygiene et cout global restent prioritaires.Parcs zoologiques / Parcs animaliers : Parc existant centre sur le niveau upscale, avec ventes 2026-2030 legerement plus qualitatives. Parcs zoologiques / Parcs animaliers : flux visiteurs avec pics week-end/vacances et exigence d experience client; le mix reste guide par image client, rapidite de nettoyage et resistance aux pics de frequentation.Parcs aquatiques : Parc existant centre sur le niveau wet, avec ventes 2026-2030 legerement plus qualitatives. Parcs aquatiques : ambiance tres humide, pics saisonniers ou horaires et maintenance sous contrainte sanitaire; le mix reste guide par milieu humide, corrosion, securite usager et forte frequence de nettoyage.Aquariums : Parc existant centre sur le niveau upscale, avec ventes 2026-2030 legerement plus qualitatives. Aquariums : flux visiteurs avec pics week-end/vacances et exigence d experience client; le mix reste guide par image client, rapidite de nettoyage et resistance aux pics de frequentation.Casinos : Parc existant centre sur le niveau upscale, avec ventes 2026-2030 legerement plus qualitatives. Casinos : flux visiteurs avec pics week-end/vacances et exigence d experience client; le mix reste guide par image client, rapidite de nettoyage et resistance aux pics de frequentation.Salles de jeux / Bowlings / Billards : Parc existant centre sur le niveau upscale, avec ventes 2026-2030 legerement plus qualitatives. Salles de jeux / Bowlings / Billards : flux visiteurs avec pics week-end/vacances et exigence d experience client; le mix reste guide par image client, rapidite de nettoyage et resistance aux pics de frequentation.Discothèques / Salles de danse : Parc existant centre sur le niveau upscale, avec ventes 2026-2030 legerement plus qualitatives. Discothèques / Salles de danse : flux visiteurs avec pics week-end/vacances et exigence d experience client; le mix reste guide par image client, rapidite de nettoyage et resistance aux pics de frequentation.</t>
    </r>
  </si>
  <si>
    <r>
      <rPr>
        <b/>
        <sz val="9"/>
        <rFont val="Calibri"/>
      </rPr>
      <t>Gymnases / salles multisports</t>
    </r>
    <r>
      <rPr>
        <sz val="9"/>
        <rFont val="Calibri"/>
      </rPr>
      <t xml:space="preserve"> : ±3 ptsSalles de fitness / dojos ; Grands stades avec tribunes ; Centres de loisirs sans hébergement : ±5 ptsPatinoires couvertes ; Piscines couvertes ; Centres de thalassothérapie / balnéothérapie / grands spas ouverts au public ; Établissements thermaux ; Terrains de sport ; Stades avec tribunes ; Hippodromes, Centres équestres &amp; Manèges couverts ; Piscines extérieures ; Bases nautiques / centres nautiques avec vestiaires-douches ; Bases de loisirs avec plages, douches et sanitaires ; Blocs sanitaires de plage / front de mer ; Parcs d’attractions / Parcs à thèmes fixes ; Parcs zoologiques / Parcs animaliers ; Parcs aquatiques ; Aquariums ; Casinos ; Salles de jeux / Bowlings / Billards ; Discothèques / Salles de danse : ±4 pts</t>
    </r>
  </si>
  <si>
    <r>
      <rPr>
        <b/>
        <sz val="9"/>
        <rFont val="Calibri"/>
      </rPr>
      <t>Gymnases / salles multisports</t>
    </r>
    <r>
      <rPr>
        <sz val="9"/>
        <rFont val="Calibri"/>
      </rPr>
      <t xml:space="preserve"> : ±3 ptsSalles de fitness / dojos ; Grands stades avec tribunes ; Centres de loisirs sans hébergement ; Parcs zoologiques / Parcs animaliers ; Aquariums ; Casinos ; Salles de jeux / Bowlings / Billards ; Discothèques / Salles de danse : ±5 ptsPatinoires couvertes ; Piscines couvertes ; Centres de thalassothérapie / balnéothérapie / grands spas ouverts au public ; Établissements thermaux ; Terrains de sport ; Stades avec tribunes ; Hippodromes, Centres équestres &amp; Manèges couverts ; Piscines extérieures ; Bases nautiques / centres nautiques avec vestiaires-douches ; Bases de loisirs avec plages, douches et sanitaires ; Blocs sanitaires de plage / front de mer ; Parcs d’attractions / Parcs à thèmes fixes ; Parcs aquatiques : ±4 pts</t>
    </r>
  </si>
  <si>
    <r>
      <rPr>
        <b/>
        <sz val="9"/>
        <rFont val="Calibri"/>
      </rPr>
      <t>Gymnases / salles multisports</t>
    </r>
    <r>
      <rPr>
        <sz val="9"/>
        <rFont val="Calibri"/>
      </rPr>
      <t xml:space="preserve"> : Très bonneSalles de fitness / dojos ; Grands stades avec tribunes ; Centres de loisirs sans hébergement : Moyenne +Patinoires couvertes ; Piscines couvertes ; Centres de thalassothérapie / balnéothérapie / grands spas ouverts au public ; Établissements thermaux ; Terrains de sport ; Stades avec tribunes ; Hippodromes, Centres équestres &amp; Manèges couverts ; Piscines extérieures ; Bases nautiques / centres nautiques avec vestiaires-douches ; Bases de loisirs avec plages, douches et sanitaires ; Blocs sanitaires de plage / front de mer ; Parcs d’attractions / Parcs à thèmes fixes ; Parcs zoologiques / Parcs animaliers ; Parcs aquatiques ; Aquariums ; Casinos ; Salles de jeux / Bowlings / Billards ; Discothèques / Salles de danse : Bonne</t>
    </r>
  </si>
  <si>
    <r>
      <rPr>
        <b/>
        <sz val="9"/>
        <rFont val="Calibri"/>
      </rPr>
      <t>Gymnases / salles multisports ; Patinoires couvertes ; Piscines couvertes ; Stades avec tribunes ; Piscines extérieures</t>
    </r>
    <r>
      <rPr>
        <sz val="9"/>
        <rFont val="Calibri"/>
      </rPr>
      <t xml:space="preserve"> : Équipements sportifs publics : intensité d’usage, humidité, vandalisme et maintenance poussent vers des gammes très robustes ; la montée en confort reste contenue.Salles de fitness / dojos : Salle de fitness / dojos privés : importance de l’expérience client et de l’image, avec niveau de confort supérieur au sport public.Centres de thalassothérapie / balnéothérapie / grands spas ouverts au public ; Établissements thermaux ; Bases nautiques / centres nautiques avec vestiaires-douches ; Bases de loisirs avec plages, douches et sanitaires ; Blocs sanitaires de plage / front de mer ; Parcs aquatiques : Parc existant : milieu humide, corrosion, securite usager et forte frequence de nettoyage; ambiance tres humide, pics saisonniers ou horaires et maintenance sous contrainte sanitaire. La montee en confort reste proportionnee au budget et au rythme de renovation.Terrains de sport ; Hippodromes, Centres équestres &amp; Manèges couverts : Parc existant : anti-vandalisme, lavage frequent et tenue aux usages sportifs; vestiaires et sanitaires soumis aux pics match/entrainement et a une exposition exterieure. La montee en confort reste proportionnee au budget et au rythme de renovation.Grands stades avec tribunes : Grands stades et hippodromes : forte pression trafic mais aussi enjeux d’image/VIP ; le parc grand public reste surtout standard, avec poches plus premium.Centres de loisirs sans hébergement : Sites collectifs à budget serré, souvent saisonniers ou associatifs : le fonctionnel domine, la montée en gamme reste limitée et surtout visible dans le neuf.Parcs d’attractions / Parcs à thèmes fixes : Parc existant : robustesse, hygiene et cout global restent prioritaires; usage collectif regulier, contraintes de maintenance et arbitrages budgetaires. La montee en confort reste proportionnee au budget et au rythme de renovation.Parcs zoologiques / Parcs animaliers ; Aquariums ; Casinos ; Salles de jeux / Bowlings / Billards ; Discothèques / Salles de danse : Parc existant : image client, rapidite de nettoyage et resistance aux pics de frequentation; flux visiteurs avec pics week-end/vacances et exigence d experience client. La montee en confort reste proportionnee au budget et au rythme de renovation.</t>
    </r>
  </si>
  <si>
    <r>
      <rPr>
        <b/>
        <sz val="9"/>
        <rFont val="Calibri"/>
      </rPr>
      <t>Gymnases / salles multisports ; Patinoires couvertes ; Piscines couvertes ; Stades avec tribunes ; Piscines extérieures</t>
    </r>
    <r>
      <rPr>
        <sz val="9"/>
        <rFont val="Calibri"/>
      </rPr>
      <t xml:space="preserve"> : forte fréquentation ⇒ standard ↑, premium/luxe ↓ ; rénovation dominante ⇒ progression graduelleSalles de fitness / dojos : image + privé ⇒ premium/luxe ↑ ; rénovation dominante ⇒ progression graduelleCentres de thalassothérapie / balnéothérapie / grands spas ouverts au public ; Établissements thermaux ; Bases nautiques / centres nautiques avec vestiaires-douches ; Bases de loisirs avec plages, douches et sanitaires ; Blocs sanitaires de plage / front de mer ; Parcs aquatiques : forte frequentation =&gt; standard robuste ; milieu humide =&gt; produits techniquesTerrains de sport ; Hippodromes, Centres équestres &amp; Manèges couverts : forte frequentation =&gt; standard robusteGrands stades avec tribunes : forte fréquentation ⇒ standard ↑, premium/luxe ↓ ; image d’accueil ⇒ intermédiaire/premium ↑ ; poids du neuf significatif ⇒ premiumisation des ventes &gt; parcCentres de loisirs sans hébergement : rénovation dominante ⇒ progression graduelleParcs d’attractions / Parcs à thèmes fixes : renovation dominante =&gt; progression graduelleParcs zoologiques / Parcs animaliers ; Aquariums ; Casinos ; Salles de jeux / Bowlings / Billards ; Discothèques / Salles de danse : forte frequentation =&gt; standard robuste ; image client =&gt; premiumisation ciblee</t>
    </r>
  </si>
  <si>
    <r>
      <rPr>
        <b/>
        <sz val="9"/>
        <rFont val="Calibri"/>
      </rPr>
      <t>Gymnases / salles multisports</t>
    </r>
    <r>
      <rPr>
        <sz val="9"/>
        <rFont val="Calibri"/>
      </rPr>
      <t xml:space="preserve"> : Gymnases / salles multisports : vestiaires intensifs, robustesse et anti-vandalisme dominent. Ventes 2026-2030 : glissement vers davantage de moyen / premium. La rénovation reste très majoritaire (85% des ventes, contre 15% en neuf) ; le neuf est plus qualitatif mais ne suffit pas à transformer fortement le mix. L’écart de niveau de confort entre neuf et rénovation est net.Salles de fitness / dojos : Salles de fitness / dojos : fitness/dojos plus sensibles à l’expérience usager et à l’image. Ventes 2026-2030 : glissement vers davantage de moyen / premium, surtout sur lavabo (+18,5 pts sur premium+luxe), douche (+15,5 pts sur premium+luxe), WC (+14,9 pts sur premium+luxe). La rénovation reste majoritaire (77% des ventes, contre 23% en neuf) ; le neuf tire le mix vers le haut sans renverser le centre de gravité. L’écart de niveau de confort entre neuf et rénovation est net.Patinoires couvertes : Patinoires couvertes : patinoires énergivores où le sanitaire n’est pas le premier poste de standing. Ventes 2026-2030 : glissement vers davantage de moyen / premium. La rénovation reste très majoritaire (85% des ventes, contre 15% en neuf) ; le neuf est plus qualitatif mais ne suffit pas à transformer fortement le mix. L’écart de niveau de confort entre neuf et rénovation est net.Piscines couvertes : Piscines couvertes : besoin d’hygiène, d’accessibilité et de traitement de l’humidité dans les piscines. Ventes 2026-2030 : glissement vers davantage de moyen / premium. La rénovation reste majoritaire (82% des ventes, contre 18% en neuf) ; le neuf tire le mix vers le haut sans renverser le centre de gravité. L’écart de niveau de confort entre neuf et rénovation est net.Centres de thalassothérapie / balnéothérapie / grands spas ouverts au public : Centres de thalassothérapie / balnéothérapie / grands spas ouverts au public : ventes 2026-2030 en leger glissement vers moyen/premium lorsque le neuf ou les renov. lourdes interviennent. Le centre de gravite reste toutefois module par milieu humide, corrosion, securite usager et forte frequence de nettoyage et par la part dominante de travaux sur parc existant.Établissements thermaux : Établissements thermaux : ventes 2026-2030 en leger glissement vers moyen/premium lorsque le neuf ou les renov. lourdes interviennent. Le centre de gravite reste toutefois module par milieu humide, corrosion, securite usager et forte frequence de nettoyage et par la part dominante de travaux sur parc existant.Terrains de sport : Terrains de sport (Hors scolaire) : ventes 2026-2030 en leger glissement vers moyen/premium lorsque le neuf ou les renov. lourdes interviennent. Le centre de gravite reste toutefois module par anti-vandalisme, lavage frequent et tenue aux usages sportifs et par la part dominante de travaux sur parc existant.Stades avec tribunes : Ventes 2026-2030 : glissement vers davantage de moyen / premium. La rénovation reste majoritaire (77% des ventes, contre 23% en neuf) ; le neuf tire le mix vers le haut sans renverser le centre de gravité. L’écart de niveau de confort entre neuf et rénovation est net.Grands stades avec tribunes : Ventes 2026-2030 : glissement vers davantage de moyen / premium, surtout sur lavabo (+8,4 pts sur premium+luxe), WC (+3,9 pts sur premium+luxe), douche (+3,4 pts sur premium+luxe). La rénovation reste majoritaire (74% des ventes, contre 26% en neuf) ; le neuf tire le mix vers le haut sans renverser le centre de gravité. L’écart de niveau de confort entre neuf et rénovation est net.Hippodromes, Centres équestres &amp; Manèges couverts : Hippodromes, Centres équestres &amp; Manèges couverts : ventes 2026-2030 en leger glissement vers moyen/premium lorsque le neuf ou les renov. lourdes interviennent. Le centre de gravite reste toutefois module par anti-vandalisme, lavage frequent et tenue aux usages sportifs et par la part dominante de travaux sur parc existant.Piscines extérieures : Ventes 2026-2030 : glissement vers davantage de moyen / premium. La rénovation reste très majoritaire (89% des ventes, contre 11% en neuf) ; le neuf est plus qualitatif mais ne suffit pas à transformer fortement le mix. L’écart de niveau de confort entre neuf et rénovation est net.Bases nautiques / centres nautiques avec vestiaires-douches : Bases nautiques / centres nautiques avec vestiaires-douches : ventes 2026-2030 en leger glissement vers moyen/premium lorsque le neuf ou les renov. lourdes interviennent. Le centre de gravite reste toutefois module par milieu humide, corrosion, securite usager et forte frequence de nettoyage et par la part dominante de travaux sur parc existant.Bases de loisirs avec plages, douches et sanitaires : Bases de loisirs avec plages, douches et sanitaires : ventes 2026-2030 en leger glissement vers moyen/premium lorsque le neuf ou les renov. lourdes interviennent. Le centre de gravite reste toutefois module par milieu humide, corrosion, securite usager et forte frequence de nettoyage et par la part dominante de travaux sur parc existant.Blocs sanitaires de plage / front de mer : Blocs sanitaires de plage / front de mer : ventes 2026-2030 en leger glissement vers moyen/premium lorsque le neuf ou les renov. lourdes interviennent. Le centre de gravite reste toutefois module par milieu humide, corrosion, securite usager et forte frequence de nettoyage et par la part dominante de travaux sur parc existant.Centres de loisirs sans hébergement : Centres de loisirs sans hébergement : bâtiments simples et saisonnalité limitent la montée en gamme. Ventes 2026-2030 : glissement vers davantage de moyen / premium, surtout sur lavabo (+1,3 pts sur premium+luxe), WC (+0,9 pts sur premium+luxe). La rénovation reste majoritaire (76% des ventes, contre 24% en neuf) ; le neuf tire le mix vers le haut sans renverser le centre de gravité. L’écart de niveau de confort entre neuf et rénovation reste perceptible.Parcs d’attractions / Parcs à thèmes fixes : Parcs d’attractions / Parcs à thèmes fixes : ventes 2026-2030 en leger glissement vers moyen/premium lorsque le neuf ou les renov. lourdes interviennent. Le centre de gravite reste toutefois module par robustesse, hygiene et cout global restent prioritaires et par la part dominante de travaux sur parc existant.Parcs zoologiques / Parcs animaliers : Parcs zoologiques / Parcs animaliers : ventes 2026-2030 en leger glissement vers moyen/premium lorsque le neuf ou les renov. lourdes interviennent. Le centre de gravite reste toutefois module par image client, rapidite de nettoyage et resistance aux pics de frequentation et par la part dominante de travaux sur parc existant.Parcs aquatiques : Parcs aquatiques : ventes 2026-2030 en leger glissement vers moyen/premium lorsque le neuf ou les renov. lourdes interviennent. Le centre de gravite reste toutefois module par milieu humide, corrosion, securite usager et forte frequence de nettoyage et par la part dominante de travaux sur parc existant.Aquariums : Aquariums : ventes 2026-2030 en leger glissement vers moyen/premium lorsque le neuf ou les renov. lourdes interviennent. Le centre de gravite reste toutefois module par image client, rapidite de nettoyage et resistance aux pics de frequentation et par la part dominante de travaux sur parc existant.Casinos : Casinos : ventes 2026-2030 en leger glissement vers moyen/premium lorsque le neuf ou les renov. lourdes interviennent. Le centre de gravite reste toutefois module par image client, rapidite de nettoyage et resistance aux pics de frequentation et par la part dominante de travaux sur parc existant.Salles de jeux / Bowlings / Billards : Salles de jeux / Bowlings / Billards : ventes 2026-2030 en leger glissement vers moyen/premium lorsque le neuf ou les renov. lourdes interviennent. Le centre de gravite reste toutefois module par image client, rapidite de nettoyage et resistance aux pics de frequentation et par la part dominante de travaux sur parc existant.Discothèques / Salles de danse : Discothèques / Salles de danse : ventes 2026-2030 en leger glissement vers moyen/premium lorsque le neuf ou les renov. lourdes interviennent. Le centre de gravite reste toutefois module par image client, rapidite de nettoyage et resistance aux pics de frequentation et par la part dominante de travaux sur parc existant.</t>
    </r>
  </si>
  <si>
    <t>1 - Santé hospitalière
2 - Médico-social
3 - Santé ambulatoire</t>
  </si>
  <si>
    <t>1 - Hôpitaux universitaires / CHU
2 - Hôpitaux publics
3 - Hôpitaux privés
4 - Cliniques
5 - Hôpitaux d’instruction des armées et centres médicaux recevant du public
6 - Unités hospitalières sécurisées en milieu carcéral
7 - Établissements Médico-éducatifs
8 - Centres de santé / Centres médicaux
9 - Maisons de santé
10 - Cabinets Dentaires
11 - Foyers pour personnes handicapées
12 - MDPH Maisons de l’autonomie Guichets handicap
13 - EHPAD
14 - USLD
15 - Résidences autonomie Foyers-logements
16 - Résidences services seniors</t>
  </si>
  <si>
    <r>
      <rPr>
        <b/>
        <sz val="9"/>
        <rFont val="Calibri"/>
      </rPr>
      <t>Hôpitaux universitaires / CHU ; Hôpitaux publics ; Hôpitaux privés ; Cliniques ; Hôpitaux d’instruction des armées et centres médicaux recevant du public ; Unités hospitalières sécurisées en milieu carcéral ; Centres de santé / Centres médicaux ; USLD</t>
    </r>
    <r>
      <rPr>
        <sz val="9"/>
        <rFont val="Calibri"/>
      </rPr>
      <t xml:space="preserve"> : UÉtablissements Médico-éducatifs : J ou RMaisons de santé : U ou WCabinets Dentaires : U ou W / variableFoyers pour personnes handicapées ; EHPAD : JMDPH Maisons de l’autonomie Guichets handicap : WRésidences autonomie Foyers-logements ; Résidences services seniors : Variable</t>
    </r>
  </si>
  <si>
    <r>
      <rPr>
        <b/>
        <sz val="9"/>
        <rFont val="Calibri"/>
      </rPr>
      <t>Hôpitaux universitaires / CHU ; Hôpitaux publics ; Hôpitaux privés ; Cliniques ; Hôpitaux d’instruction des armées et centres médicaux recevant du public ; Établissements Médico-éducatifs ; Centres de santé / Centres médicaux ; Maisons de santé ; Foyers pour personnes handicapées ; MDPH Maisons de l’autonomie Guichets handicap ; EHPAD ; USLD</t>
    </r>
    <r>
      <rPr>
        <sz val="9"/>
        <rFont val="Calibri"/>
      </rPr>
      <t xml:space="preserve"> : ERPUnités hospitalières sécurisées en milieu carcéral : ERP partiel / variableCabinets Dentaires : ERP / variableRésidences autonomie Foyers-logements ; Résidences services seniors : Cas particulier</t>
    </r>
  </si>
  <si>
    <r>
      <rPr>
        <b/>
        <sz val="9"/>
        <rFont val="Calibri"/>
      </rPr>
      <t>Hôpitaux universitaires / CHU ; Hôpitaux publics ; Hôpitaux privés ; Cliniques ; Hôpitaux d’instruction des armées et centres médicaux recevant du public ; Unités hospitalières sécurisées en milieu carcéral ; Établissements Médico-éducatifs ; Centres de santé / Centres médicaux ; Maisons de santé ; Cabinets Dentaires ; Foyers pour personnes handicapées ; MDPH Maisons de l’autonomie Guichets handicap ; EHPAD ; USLD</t>
    </r>
    <r>
      <rPr>
        <sz val="9"/>
        <rFont val="Calibri"/>
      </rPr>
      <t xml:space="preserve"> : ERPRésidences autonomie Foyers-logements ; Résidences services seniors : mixte</t>
    </r>
  </si>
  <si>
    <r>
      <rPr>
        <b/>
        <sz val="9"/>
        <rFont val="Calibri"/>
      </rPr>
      <t>Hôpitaux universitaires / CHU ; Hôpitaux publics ; Hôpitaux privés ; Cliniques ; Hôpitaux d’instruction des armées et centres médicaux recevant du public ; Centres de santé / Centres médicaux ; Cabinets Dentaires ; Foyers pour personnes handicapées ; MDPH Maisons de l’autonomie Guichets handicap ; EHPAD ; USLD</t>
    </r>
    <r>
      <rPr>
        <sz val="9"/>
        <rFont val="Calibri"/>
      </rPr>
      <t xml:space="preserve"> : ouiUnités hospitalières sécurisées en milieu carcéral ; Établissements Médico-éducatifs ; Maisons de santé ; Résidences autonomie Foyers-logements ; Résidences services seniors : variable</t>
    </r>
  </si>
  <si>
    <r>
      <rPr>
        <b/>
        <sz val="9"/>
        <rFont val="Calibri"/>
      </rPr>
      <t>Hôpitaux universitaires / CHU</t>
    </r>
    <r>
      <rPr>
        <sz val="9"/>
        <rFont val="Calibri"/>
      </rPr>
      <t xml:space="preserve"> : Établissements sanitaires et universitaires.Hôpitaux publics ; Hôpitaux privés ; Cliniques : Établissements sanitaires.Hôpitaux d’instruction des armées et centres médicaux recevant du public : Les établissements sanitaires relevant des armées se classent comme établissements sanitaires lorsqu’ils accueillent patients, visiteurs ou consultants.Unités hospitalières sécurisées en milieu carcéral : Unités hospitalières sécurisées rattachées au champ sanitaire lorsqu’elles fonctionnent comme espaces de soins recevant des patients, accompagnants ou intervenants. Les zones strictement sécurisées restent à analyser séparément.Établissements Médico-éducatifs : Classement selon public et activité principale.
IME, ITEP, IEM, EEAP/polyhandicap, instituts sensoriels, établissements expérimentaux avec places, accueils temporaires spécialisésCentres de santé / Centres médicaux : Accueil de patients hors hospitalisation lourde.Maisons de santé : Classement selon exploitation et accueil du public.Cabinets Dentaires : Forte omission probable si l’objectif est d’inventorier les sites de soins recevant du public avec lavabos et sanitaires. Compter par site autonome, pas par praticien.Foyers pour personnes handicapées : Structures d’accueil de personnes handicapées. Foyers de vie / occupationnels, foyers d’hébergement, établissements d’accueil non médicalisés, FAM/EAM et MASMDPH Maisons de l’autonomie Guichets handicap : MDPH / maisons de l’autonomie / guichets handicap
(sites principaux autonomes uniquement)EHPAD : Établissements d’hébergement pour personnes âgées dépendantes ; hébergement permanent avec accompagnement et soins.USLD : Unités de soins de longue durée accueillant des personnes très dépendantes avec besoins médicaux lourds ; relève du sanitaire.Résidences autonomie Foyers-logements : Destinés à des personnes âgées plutôt autonomes ; logements privatifs avec services collectifs. Le classement dépend de l’exploitation réelle et des espaces communs ouverts au public.Résidences services seniors : Résidences pour seniors autonomes avec services à la carte ; le classement dépend de l’exploitation, des parties communes et de l’accueil du public.</t>
    </r>
  </si>
  <si>
    <r>
      <rPr>
        <b/>
        <sz val="9"/>
        <rFont val="Calibri"/>
      </rPr>
      <t>Hôpitaux universitaires / CHU</t>
    </r>
    <r>
      <rPr>
        <sz val="9"/>
        <rFont val="Calibri"/>
      </rPr>
      <t xml:space="preserve"> : CHUHôpitaux publics : Centre hospitalier publicHôpitaux privés : Hôpital privéCliniques : Clinique chirurgicale, clinique SSRHôpitaux d’instruction des armées et centres médicaux recevant du public : Hôpital d’instruction des armées (HIA) , centre médical militaire (CMA)Unités hospitalières sécurisées en milieu carcéral : UHSA / UHSIÉtablissements Médico-éducatifs : IME (enfants, adolescents situation handicap), IEM (enfants, jeunes, handicap moteur), ITEP, EEAPCentres de santé / Centres médicaux : Centre de santé familiale, maison médicaleMaisons de santé : Maison de santé pluridisciplinaireCabinets Dentaires : Cabinet dentaire, centre dentaireFoyers pour personnes handicapées : FAM, MAS, foyer de vieMDPH Maisons de l’autonomie Guichets handicap : MDPH, MDA-MDPH, maison départementale de l'autonomieEHPAD : EHPAD public, EHPAD privé associatif, EHPAD privé commercialUSLD : USLD hospitalière, unité de long séjourRésidences autonomie Foyers-logements : Résidence autonomie, foyer-logement seniorsRésidences services seniors : Résidence services seniors, résidence seniors</t>
    </r>
  </si>
  <si>
    <r>
      <rPr>
        <b/>
        <sz val="9"/>
        <rFont val="Calibri"/>
      </rPr>
      <t>Hôpitaux universitaires / CHU ; Hôpitaux publics ; Hôpitaux privés ; Hôpitaux d’instruction des armées et centres médicaux recevant du public ; Centres de santé / Centres médicaux ; Cabinets Dentaires</t>
    </r>
    <r>
      <rPr>
        <sz val="9"/>
        <rFont val="Calibri"/>
      </rPr>
      <t xml:space="preserve"> : nonCliniques ; Unités hospitalières sécurisées en milieu carcéral ; Établissements Médico-éducatifs ; Foyers pour personnes handicapées ; EHPAD ; USLD ; Résidences autonomie Foyers-logements ; Résidences services seniors : ouiMaisons de santé : variable</t>
    </r>
  </si>
  <si>
    <r>
      <rPr>
        <b/>
        <sz val="9"/>
        <rFont val="Calibri"/>
      </rPr>
      <t>Hôpitaux universitaires / CHU ; Hôpitaux publics ; Hôpitaux privés ; Cliniques ; Hôpitaux d’instruction des armées et centres médicaux recevant du public ; Unités hospitalières sécurisées en milieu carcéral ; Établissements Médico-éducatifs ; Centres de santé / Centres médicaux ; Maisons de santé ; Cabinets Dentaires ; Foyers pour personnes handicapées ; EHPAD ; USLD ; Résidences autonomie Foyers-logements ; Résidences services seniors</t>
    </r>
    <r>
      <rPr>
        <sz val="9"/>
        <rFont val="Calibri"/>
      </rPr>
      <t xml:space="preserve"> : oui</t>
    </r>
  </si>
  <si>
    <r>
      <rPr>
        <b/>
        <sz val="9"/>
        <rFont val="Calibri"/>
      </rPr>
      <t>Hôpitaux universitaires / CHU ; Hôpitaux publics ; Hôpitaux privés ; Cliniques ; Hôpitaux d’instruction des armées et centres médicaux recevant du public ; Établissements Médico-éducatifs ; Centres de santé / Centres médicaux ; Maisons de santé ; Foyers pour personnes handicapées ; EHPAD ; USLD ; Résidences autonomie Foyers-logements ; Résidences services seniors</t>
    </r>
    <r>
      <rPr>
        <sz val="9"/>
        <rFont val="Calibri"/>
      </rPr>
      <t xml:space="preserve"> : Site
Etablissement principalUnités hospitalières sécurisées en milieu carcéral : Site
Etablissement secondaireCabinets Dentaires : Site / établissement principal</t>
    </r>
  </si>
  <si>
    <r>
      <rPr>
        <b/>
        <sz val="9"/>
        <rFont val="Calibri"/>
      </rPr>
      <t>Hôpitaux universitaires / CHU ; Hôpitaux d’instruction des armées et centres médicaux recevant du public</t>
    </r>
    <r>
      <rPr>
        <sz val="9"/>
        <rFont val="Calibri"/>
      </rPr>
      <t xml:space="preserve"> : sous-espace / proxy non additifHôpitaux publics ; Hôpitaux privés ; Cliniques ; Maisons de santé : série publique directeUnités hospitalières sécurisées en milieu carcéral ; Établissements Médico-éducatifs ; Centres de santé / Centres médicaux ; Foyers pour personnes handicapées ; EHPAD ; USLD ; Résidences autonomie Foyers-logements : proxy public / estimation encadréeCabinets Dentaires : ajout qualitatif – à quantifier avant intégrationRésidences services seniors : proxy de marché / estimation encadrée</t>
    </r>
  </si>
  <si>
    <r>
      <rPr>
        <b/>
        <sz val="9"/>
        <rFont val="Calibri"/>
      </rPr>
      <t>Hôpitaux universitaires / CHU ; Hôpitaux publics ; Maisons de santé ; Foyers pour personnes handicapées ; EHPAD ; USLD</t>
    </r>
    <r>
      <rPr>
        <sz val="9"/>
        <rFont val="Calibri"/>
      </rPr>
      <t xml:space="preserve"> : ElevéHôpitaux privés ; Cliniques ; Hôpitaux d’instruction des armées et centres médicaux recevant du public ; Unités hospitalières sécurisées en milieu carcéral ; Établissements Médico-éducatifs ; Centres de santé / Centres médicaux ; Cabinets Dentaires ; Résidences autonomie Foyers-logements ; Résidences services seniors : Moyenne</t>
    </r>
  </si>
  <si>
    <r>
      <rPr>
        <b/>
        <sz val="9"/>
        <rFont val="Calibri"/>
      </rPr>
      <t>Hôpitaux universitaires / CHU ; Hôpitaux d’instruction des armées et centres médicaux recevant du public</t>
    </r>
    <r>
      <rPr>
        <sz val="9"/>
        <rFont val="Calibri"/>
      </rPr>
      <t xml:space="preserve"> : Sous-espace rattaché à un site parent ; la série varie peu car elle suit un stock principal administré et non un marché autonome.Hôpitaux publics ; Cliniques ; Résidences autonomie Foyers-logements : Pas de stagnation structurelle : la série évolue à la baisse sur la période 2000-2026 ; la projection prolonge cette tendance avec prudence.Hôpitaux privés ; EHPAD : Parc d’établissements très encadré et capitalistique ; à l’échelle nationale, le nombre d’implantations varie lentement.Unités hospitalières sécurisées en milieu carcéral : Le nombre d’unités hospitalières sécurisées évolue peu ; la stagnation reflète un parc spécialisé à planification longue.Établissements Médico-éducatifs ; USLD : Faute de série nationale homogène publiée annuellement pour cette sous-catégorie, le proxy est lissé ; la faible variation reflète une prudence méthodologique.Centres de santé / Centres médicaux ; Cabinets Dentaires ; Foyers pour personnes handicapées ; Résidences services seniors : Pas de stagnation structurelle : la série évolue à la hausse sur la période 2000-2026 ; la projection prolonge cette tendance avec prudence.Maisons de santé : Très forte hausse structurelle, portée par la politique publique de déploiement des MSP ; après 2025, la croissance reste soutenue mais moins explosive à mesure que le maillage se densifie.MDPH Maisons de l’autonomie Guichets handicap : Réseau créé à partir de 2005/2006 et ensuite quasi stable ; sanitaires structurels pour salariés et accueil de personnes handicapées.</t>
    </r>
  </si>
  <si>
    <r>
      <rPr>
        <b/>
        <sz val="9"/>
        <rFont val="Calibri"/>
      </rPr>
      <t>Hôpitaux universitaires / CHU</t>
    </r>
    <r>
      <rPr>
        <sz val="9"/>
        <rFont val="Calibri"/>
      </rPr>
      <t xml:space="preserve"> : proxy sur le réseau CHU/CHR. Dynamique projetée 2027-2030: stable. Fiabilité: bonne.Hôpitaux publics : DREES 2024 public hors CHU estimé par retrait des CHU. Dynamique projetée 2027-2030: baisse légère. Fiabilité: bonne.Hôpitaux privés : DREES 2024 établissements privés à but non lucratif. Dynamique projetée 2027-2030: stable. Fiabilité: bonne. Risque de doublon: oui si addition avec la catégorie parente ou avec des sous-espaces d’un même site.Cliniques : DREES 2024 cliniques privées. Dynamique projetée 2027-2030: baisse légère. Fiabilité: bonne.Hôpitaux d’instruction des armées et centres médicaux recevant du public : proxy HIA et centres médicaux des armées. Dynamique projetée 2027-2030: stable. Fiabilité: bonne.Unités hospitalières sécurisées en milieu carcéral : Proxy UHSA/UHSI ; projection 2027-2030 stable.Établissements Médico-éducatifs : proxy IME/IEM et assimilés. Dynamique projetée 2027-2030: stable. Fiabilité: moyenne.Centres de santé / Centres médicaux ; Cabinets Dentaires : proxy sur centres de santé et cabinets regroupés. Dynamique projetée 2027-2030: hausse modérée. Fiabilité: moyenne.Maisons de santé : Le plan « 4000 MSP » lancé en 2023 et l’objectif gouvernemental de 5 000 MSP à horizon 2027-2030 justifient une trajectoire haussière marquée. La fin de série est une projection politique structurée.Foyers pour personnes handicapées : proxy médico-social handicap. Dynamique projetée 2027-2030: hausse légère. Fiabilité: moyenne.MDPH Maisons de l’autonomie Guichets handicap : Ancre actuelle : une MDPH par département ; l'annuaire Service-Public recense 103 résultats, incluant MDPH et MDA/MDMPH.EHPAD : proxy au sein des 10 400 structures pour personnes âgées en 2023. Dynamique projetée 2027-2030: légère baisse. Fiabilité: bonne.USLD : proxy ESLD/USLD. Dynamique projetée 2027-2030: légère baisse. Fiabilité: moyenne.Résidences autonomie Foyers-logements : proxy DREES. Dynamique projetée 2027-2030: baisse légère. Fiabilité: moyenne.Résidences services seniors : Proxy de marché révisé ; la croissance reste soutenue mais moins rapide qu’en phase d’émergence. Projection 2027-2030: hausse modérée. Fiabilité: moyenne.</t>
    </r>
  </si>
  <si>
    <r>
      <rPr>
        <b/>
        <sz val="9"/>
        <rFont val="Calibri"/>
      </rPr>
      <t>Hôpitaux universitaires / CHU ; Hôpitaux publics ; Hôpitaux privés ; Cliniques</t>
    </r>
    <r>
      <rPr>
        <sz val="9"/>
        <rFont val="Calibri"/>
      </rPr>
      <t xml:space="preserve"> : https://drees.solidarites-sante.gouv.fr/publications-communique-de-presse/etudes-et-resultats/251113_ER_etablissements-de-santeHôpitaux d’instruction des armées et centres médicaux recevant du public : https://www.defense.gouv.fr/santeUnités hospitalières sécurisées en milieu carcéral : https://www.justice.gouv.fr/sites/default/files/2025-02/statistique_etablissements_personnes_ecrouees_01022025.pdfÉtablissements Médico-éducatifs ; Centres de santé / Centres médicaux ; Foyers pour personnes handicapées : https://drees.solidarites-sante.gouv.fr/Maisons de santé : https://www.assurance-maladie.ameli.fr/actualite/accompagner-les-evolutions-du-systeme-de-sante ; https://www.ameli.fr/medecin/exercice-liberal/vie-cabinet/structures-sante-pluriprofessionnelles ; https://www.ameli.fr/exercice-coordonne/exercice-professionnel/organisations-d-exercice-coordonne/constitution-d-une-maison-de-sante-pluriprofessionnelle-mspCabinets Dentaires : https://www.sante.fr/recherche/trouver/dentistes%20
https://www.sante.fr/recherche/trouver/Centre%20M%C3%A9dical%20Et%20DentaireMDPH Maisons de l’autonomie Guichets handicap : https://www.monparcourshandicap.gouv.fr/glossaire/mdph ; https://lannuaire.service-public.gouv.fr/navigation/maison_handicapeesEHPAD ; Résidences autonomie Foyers-logements ; Résidences services seniors : https://drees.solidarites-sante.gouv.fr/sites/default/files/2025-09/PAPH%20-%20Fiche%2009%20-%20Les%20%C3%A9tablissements%20d%E2%80%99h%C3%A9bergement%20pour%20personnes%20%C3%A2g%C3%A9es_0.pdfUSLD : https://drees.solidarites-sante.gouv.fr/jeux-de-donnees/jeux-de-donnees/les-residents-en-etablissements-dhebergement-pour-personnes-agees</t>
    </r>
  </si>
  <si>
    <r>
      <rPr>
        <b/>
        <sz val="9"/>
        <rFont val="Calibri"/>
      </rPr>
      <t>Hôpitaux universitaires / CHU</t>
    </r>
    <r>
      <rPr>
        <sz val="9"/>
        <rFont val="Calibri"/>
      </rPr>
      <t xml:space="preserve"> : Blocs communs (accueil, consultations, urgences, visiteurs, staff) + chambres d'hospitalisation et chambres/boxes équipés lorsqu'il existe de l'individuel.Hôpitaux publics : Hôpital général : blocs communs + part majoritaire de chambres/lits hospitaliers équipés en lavabo/WC et salle d'eau lorsque l'hébergement est individualisé.Hôpitaux privés : Hôpital privé : blocs communs + chambres/secteurs d'hospitalisation complète équipés quand l'hébergement est individualisé.Cliniques : Clinique : blocs communs + chambres de chirurgie/médecine équipées lorsqu'elles sont individuelles ou à faible occupation.Hôpitaux d’instruction des armées et centres médicaux recevant du public : Hôpital d'instruction des armées : blocs communs + chambres/secteurs d'hospitalisation équipés lorsqu'il existe de l'individuel.Unités hospitalières sécurisées en milieu carcéral : Unité hospitalière sécurisée : chambres sanitaires + blocs staff/visiteurs/consultations ; approche mixte hospitalière et sécuritaire.Établissements Médico-éducatifs : Médico-éducatif : blocs éducatifs/soins + petites unités d'hébergement ou chambres lorsqu'elles existent, hors cabinets purement privatifs dispersés.Centres de santé / Centres médicaux ; Maisons de santé : Site ambulatoire / consultations ; petits blocs d'attente et de personnel.Cabinets Dentaires : Cabinet dentaire : petit bloc patients/accompagnants + sanitaire personnel.Foyers pour personnes handicapées : Foyer handicap : blocs résidentiels collectifs + chambres/salles d'eau individuelles quand le modèle d'hébergement le prévoit.MDPH Maisons de l’autonomie Guichets handicap : Guichet autonomie/handicap : sanitaires accessibles public + personnel.EHPAD : Exception demandée : inclusion d'une large part des sanitaires privatifs/résidents + blocs communs d'étage et staff.USLD : Exception demandée : inclusion des chambres/lits médicalisés avec sanitaires, plus locaux communs.Résidences autonomie Foyers-logements ; Résidences services seniors : Résidences seniors/autonomie : seuls les locaux communs sont retenus, pas les appartements.</t>
    </r>
  </si>
  <si>
    <r>
      <rPr>
        <b/>
        <sz val="9"/>
        <rFont val="Calibri"/>
      </rPr>
      <t>Hôpitaux universitaires / CHU</t>
    </r>
    <r>
      <rPr>
        <sz val="9"/>
        <rFont val="Calibri"/>
      </rPr>
      <t xml:space="preserve"> : Capacité type ≈ 660 patients/résidents principaux + 300 staff + 240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site.Hôpitaux publics : Capacité type ≈ 203 patients/résidents principaux + 84 staff + 63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site.Hôpitaux privés : Capacité type ≈ 123 patients/résidents principaux + 57 staff + 40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site.Cliniques : Capacité type ≈ 101 patients/résidents principaux + 47 staff + 32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site.Hôpitaux d’instruction des armées et centres médicaux recevant du public : Capacité type ≈ 105 patients/résidents principaux + 43 staff + 32 intervenants/visiteurs.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site.Unités hospitalières sécurisées en milieu carcéral : Capacité type ≈ 29 patients/résidents principaux + 9 staff + 2 visiteurs/assesseurs.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site.Établissements Médico-éducatifs : Capacité type ≈ 50 patients/résidents principaux + 18 staff + 2 parents/accompagnants.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site.Centres de santé / Centres médicaux : Capacité type ≈ 18 usagers principaux + 5 staff + 2 accompagnants/visiteurs. Le programme sanitaire est construit par blocs fonctionnels plausibles (public, personnel, exploitation/hébergement selon le cas) et non par simple ratio national moyen. Douches rares, mais certains sites disposent d’une douche de soins, PMR, personnel ou activité médicale spécifique.Maisons de santé : Capacité type ≈ 14 usagers principaux + 4 staff + 2 visiteurs/intervenants. Le programme sanitaire est construit par blocs fonctionnels plausibles (public, personnel, exploitation/hébergement selon le cas) et non par simple ratio national moyen. Calibrage selon capacité simultanée, répartition de flux et organisation réelle du site.Cabinets Dentaires : Capacité type ≈ 12 usagers principaux + 6 staff + 2 autre public. Flux sur rendez-vous avec temps d'attente limité ; plusieurs fauteuils possibles. Dimensionnement unitaire retenu : 1 sanitaire public/PMR lorsque public accueilli + 1 sanitaire personnel si nécessaire. Hypothèse d'usage : capacité simultanée moyenne 2026, répartition par flux réels, arrondie par blocs fonctionnels et exclusion des sanitaires strictement privatifs sauf cas explicitement collectifs.Foyers pour personnes handicapées : Capacité type ≈ 43 patients/résidents principaux + 15 staff + 2 visiteurs/intervenants.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site.MDPH Maisons de l’autonomie Guichets handicap : Capacité type ≈ 55 usagers principaux + 20 staff + 5 autre public. Public potentiellement PMR, accompagnants et équipes sociales en bureaux. Dimensionnement unitaire retenu : bloc accessible renforcé au niveau public + bloc salariés séparé. Hypothèse d'usage : capacité simultanée moyenne 2026, répartition par flux réels, arrondie par blocs fonctionnels et exclusion des sanitaires strictement privatifs sauf cas explicitement collectifs.EHPAD : Capacité type ≈ 69 résidents/lits + 13 staff + 3 visiteurs/intervenants. Conformément à l'exception déjà retenue, les chambres sont comptées lorsqu'elles sont équipées ; les locaux communs et sanitaires de personnel s'y ajoutent. Calibrage selon capacité simultanée, répartition de flux et organisation réelle du site.USLD : Capacité type ≈ 48 résidents/lits + 10 staff + 2 visiteurs/intervenants. Conformément à l'exception déjà retenue, les chambres sont comptées lorsqu'elles sont équipées ; les locaux communs et sanitaires de personnel s'y ajoutent. Calibrage selon capacité simultanée, répartition de flux et organisation réelle du site.Résidences autonomie Foyers-logements : Capacité type ≈ 58 usagers principaux + 8 staff + 4 visiteurs/intervenants. Le programme sanitaire est construit par blocs fonctionnels plausibles (public, personnel, exploitation/hébergement selon le cas) et non par simple ratio national moyen. Calibrage selon capacité simultanée, répartition de flux et organisation réelle du site.Résidences services seniors : Capacité type ≈ 74 usagers principaux + 11 staff + 5 visiteurs/intervenants. Le programme sanitaire est construit par blocs fonctionnels plausibles (public, personnel, exploitation/hébergement selon le cas) et non par simple ratio national moyen. Calibrage selon capacité simultanée, répartition de flux et organisation réelle du site.</t>
    </r>
  </si>
  <si>
    <r>
      <rPr>
        <b/>
        <sz val="9"/>
        <rFont val="Calibri"/>
      </rPr>
      <t>Hôpitaux universitaires / CHU</t>
    </r>
    <r>
      <rPr>
        <sz val="9"/>
        <rFont val="Calibri"/>
      </rPr>
      <t xml:space="preserve"> : Profil très grand, capacité moyenne ≈ 1200 personnes. Moyenne pondérée terrain : parc majoritairement petits/moyens sites, grands sites intégrés sans surpondération ; usage 2025 forte à très forte.Hôpitaux publics : Profil grand, capacité moyenne ≈ 350 personnes. Moyenne pondérée terrain : parc majoritairement petits/moyens sites, grands sites intégrés sans surpondération ; usage 2025 forte à très forte.Hôpitaux privés : Profil moyen, capacité moyenne ≈ 220 personnes. Moyenne pondérée terrain : parc majoritairement petits/moyens sites, grands sites intégrés sans surpondération ; usage 2025 forte à très forte.Cliniques ; Hôpitaux d’instruction des armées et centres médicaux recevant du public : Profil moyen, capacité moyenne ≈ 180 personnes. Moyenne pondérée terrain : parc majoritairement petits/moyens sites, grands sites intégrés sans surpondération ; usage 2025 forte à très forte.Unités hospitalières sécurisées en milieu carcéral : Profil petit, capacité moyenne ≈ 40 personnes. Moyenne pondérée terrain : parc majoritairement petits/moyens sites, grands sites intégrés sans surpondération ; usage 2025 forte à très forte.Établissements Médico-éducatifs ; Résidences autonomie Foyers-logements : Profil petit, capacité moyenne ≈ 70 personnes. Moyenne pondérée terrain : parc majoritairement petits/moyens sites, grands sites intégrés sans surpondération ; usage 2025 forte à très forte.Centres de santé / Centres médicaux : Profil très petit, capacité moyenne ≈ 25 personnes. Moyenne pondérée terrain : parc majoritairement petits/moyens sites, grands sites intégrés sans surpondération ; usage 2025 forte à très forte.Maisons de santé ; Cabinets Dentaires : Profil très petit, capacité moyenne ≈ 20 personnes. Moyenne pondérée terrain : parc majoritairement petits/moyens sites, grands sites intégrés sans surpondération ; usage 2025 forte à très forte.Foyers pour personnes handicapées ; USLD : Profil petit, capacité moyenne ≈ 60 personnes. Moyenne pondérée terrain : parc majoritairement petits/moyens sites, grands sites intégrés sans surpondération ; usage 2025 forte à très forte.MDPH Maisons de l’autonomie Guichets handicap : Profil moyen, capacité moyenne ≈ 80 personnes. Moyenne pondérée terrain : parc majoritairement petits/moyens sites, grands sites intégrés sans surpondération ; usage 2025 forte à très forte.EHPAD : Profil moyen, capacité moyenne ≈ 85 personnes. Moyenne pondérée terrain : parc majoritairement petits/moyens sites, grands sites intégrés sans surpondération ; usage 2025 forte à très forte.Résidences services seniors : Profil moyen, capacité moyenne ≈ 90 personnes. Moyenne pondérée terrain : parc majoritairement petits/moyens sites, grands sites intégrés sans surpondération ; usage 2025 forte à très forte.</t>
    </r>
  </si>
  <si>
    <r>
      <rPr>
        <b/>
        <sz val="9"/>
        <rFont val="Calibri"/>
      </rPr>
      <t>Hôpitaux universitaires / CHU ; Hôpitaux publics ; Hôpitaux privés ; Cliniques ; Hôpitaux d’instruction des armées et centres médicaux recevant du public ; Unités hospitalières sécurisées en milieu carcéral ; Établissements Médico-éducatifs ; Centres de santé / Centres médicaux ; Maisons de santé ; Foyers pour personnes handicapées ; Résidences autonomie Foyers-logements ; Résidences services seniors</t>
    </r>
    <r>
      <rPr>
        <sz val="9"/>
        <rFont val="Calibri"/>
      </rPr>
      <t xml:space="preserve"> : Programmation hospitalière / médico-sociale (ANAP/CNSA) + pratique courante d'hospitalisation complète : https://anap.fr/ ; https://www.cnsa.fr/actualites/immobilier-et-ehpad-un-autodiagnostic-et-un-nouvel-outil-de-dimensionnement-surfaciqueCabinets Dentaires ; MDPH Maisons de l’autonomie Guichets handicap : ERP/accessibilité sanitaires publics : https://www.legifrance.gouv.fr/loda/article_lc/LEGIARTI000034485966/ ; Code du travail sanitaires salariés : https://www.legifrance.gouv.fr/codes/id/LEGISCTA000018531984 ; INRS : https://www.inrs.fr/publications/juridique/focus-juridiques/focus-sanitaires-toilettes.htmlEHPAD ; USLD : CNSA / ANAP sur immobilier et profil des chambres en EHPAD : https://www.cnsa.fr/actualites/immobilier-et-ehpad-un-autodiagnostic-et-un-nouvel-outil-de-dimensionnement-surfacique ; https://www.cnsa.fr/presse/ehpad-le-site-pour-les-personnes-ageesgouvfr-affiche-de-nouveaux-indicateurs-sur-les</t>
    </r>
  </si>
  <si>
    <r>
      <rPr>
        <b/>
        <sz val="9"/>
        <rFont val="Calibri"/>
      </rPr>
      <t>Hôpitaux universitaires / CHU</t>
    </r>
    <r>
      <rPr>
        <sz val="9"/>
        <rFont val="Calibri"/>
      </rPr>
      <t xml:space="preserve"> : Usage 24/7, protocoles d'hygiène, nettoyage fréquent et maintenance technique plus structurée. L'électronique est relevée par rapport aux ERP standards grâce au sans-contact et aux rinçages automatiques, mais reste sous le temporisé mécanique à cause des capteurs, alimentations et électrovannes. Les remplacements sont souvent planifiés par aile ou unité, avec correctif entre deux opérations. Santé hospitalière aiguë : Forte exigence d’hygiène, prévention légionelles, nettoyage fréquent et remplacements préventifs liés aux travaux Ségur ou à la conformité sanitaire.Hôpitaux publics : Simiaire CHU. Usage 24/7, exigences d'hygiène et nettoyage fréquent; maintenance technique existe mais budgets publics arbitrés. Proche CHU, avec renouvellements par ailes et électronique prudent. Repères durées: lavabos 12/11/8 ans (mit./méca/élec.), douches 11/10/8, urinoirs 10/12/8/10, WC 12/12/9. Ségur ou à la conformité sanitaire.Hôpitaux privés : Simiaire CHU. Flux médical soutenu mais gestion plus centralisée et travaux programmés plus fréquents; hygiène élevée, vandalisme faible. Comparable hôpital public, meilleure tenue possible des mécaniques. Repères durées: lavabos 12/11/8 ans (mit./méca/élec.), douches 11/10/8, urinoirs 10/12/8/10, WC 12/12/9.Cliniques : Simiaire CHU. Parcours patients/visiteurs plus maîtrisé, pics moins violents que CHU, mais nettoyage et prévention sanitaire forts. Légèrement sécurisée par maintenance ciblée, électronique abaissé par capteurs/rinçages. Repères durées: lavabos 12/11/8 ans (mit./méca/élec.), douches 11/10/8, urinoirs 10/12/8/10, WC 12/12/9.Hôpitaux d’instruction des armées et centres médicaux recevant du public : Usage santé avec contraintes militaires, maintenance interne structurée et zones parfois sécurisées; hygiène élevée. Proche hôpital public, avec risque moindre de vandalisme mais standard robuste. Flux publics variables, budgets souvent contraints et maintenance plutôt réactive. Les écarts de durée ont été resserrés : le mécanique garde un petit avantage, l'électronique reste en retrait mais sans décote excessive. Le renouvellement intervient au fil des pannes puis lors des opérations de remise à niveau des sanitaires. Usage mixte agents/public, recherche de robustesse, interventions maintenues en exploitation, parc hétérogène avec une partie rénovée par opérations ciblées.Unités hospitalières sécurisées en milieu carcéral : Milieu hospitalier en zone sécurisée: hygiène forte, usage 24/7 et risque de dégradation volontaire. Proche psychiatrie/carcéral, avec chasses mécaniques privilégiées pour robustesse. Repères durées: lavabos 12/11/8 ans (mit./méca/élec.), douches 11/10/8, urinoirs 10/12/8/10, WC 12/12/9.Établissements Médico-éducatifs : Public accompagné, usage quotidien et gestes parfois moins précautionneux; douches/changes augmentent l'humidité. Entre foyer handicap et école spécialisée, mécanique robuste et électronique plus court. Repères durées: lavabos 12/12/9 ans (mit./méca/élec.), douches 12/11/8, urinoirs 11/12/8/10, WC 12/12/9.Centres de santé / Centres médicaux : Flux sur rendez-vous, sanitaires visiteurs/personnel peu humides et vandalisme faible; nettoyage régulier sans usage 24/7. Plus long qu'hôpital, mais électronique limité par maintenance légère. Repères durées: lavabos 12/12/9 ans (mit./méca/élec.), douches 11/10/8, urinoirs 11/12/8/10, WC 12/12/9.Maisons de santé : Petits sites pluridisciplinaires, fréquentation régulière mais maîtrisée; peu de douches, peu de vandalisme, maintenance externalisée. Proche centre médical, renouvellement lors de réaménagements. Repères durées: lavabos 12/12/9 ans (mit./méca/élec.), douches 11/10/8, urinoirs 11/12/8/10, WC 12/12/9.Cabinets Dentaires : Usage limité patients/personnel, hygiène suivie mais sanitaires peu intensifs; faible humidité hors salles techniques. Durées élevées sur mécaniques, électroniques plus courts par capteurs/alimentations. Repères durées: lavabos 12/13/9 ans (mit./méca/élec.), douches 11/10/8, urinoirs 10/12/8/10, WC 13/13/9.Foyers pour personnes handicapées ; EHPAD : Usage soutenu mais moins brutal qu'en transport ou scolaire, avec forte exigence d'accessibilité et d'aide au soin. Les durées de vie sont donc un peu plus hautes. L'électronique progresse quand la maintenance est organisée, sans dépasser le mécanique simple. Les remplacements sont fréquemment groupés par étage, chambre ou unité de vie. Médico-social résidentiel / seniors / handicap : Forte part d’usage résidentiel ou en chambre, moindre vandalisme, mais entretien régulier pour limiter stagnation/tartre. Remplacement souvent en lots de chambres ou d’unités.MDPH Maisons de l’autonomie Guichets handicap : Guichet administratif sensible, flux sur rendez-vous et forte exigence d'accessibilité; faible humidité et vandalisme limité. Proche France Services, plus contraint par usage PMR fréquent. Repères durées: lavabos 12/13/9 ans (mit./méca/élec.), douches 11/10/8, urinoirs 10/12/8/10, WC 13/13/9.USLD : Usage résidentiel médicalisé, aides répétées, nettoyage fréquent et humidité de douches; maintenance sanitaire suivie. Proche EHPAD mais usure plus continue, surtout douches et commandes électroniques. Repères durées: lavabos 14/13/10 ans (mit./méca/élec.), douches 13/12/9, urinoirs 13/13/9/11, WC 15/13/10.Résidences autonomie Foyers-logements : Usage résidentiel moins médicalisé, fréquentation calme et équipements mieux respectés; entretien patrimonial. Meilleur qu'USLD ou EHPAD, mais douches et électroniques restent sous surveillance. Repères durées: lavabos 14/13/10 ans (mit./méca/élec.), douches 13/12/9, urinoirs 13/13/9/11, WC 15/13/10.Résidences services seniors : Usage résidentiel privé, budgets d'image et rénovation plus réguliers; vandalisme très faible. Proche résidence autonomie, parfois renouvelé avant panne pour confort/standing. Repères durées: lavabos 14/13/10 ans (mit./méca/élec.), douches 13/12/9, urinoirs 13/13/9/11, WC 15/13/10.</t>
    </r>
  </si>
  <si>
    <r>
      <rPr>
        <b/>
        <sz val="9"/>
        <rFont val="Calibri"/>
      </rPr>
      <t>Hôpitaux universitaires / CHU</t>
    </r>
    <r>
      <rPr>
        <sz val="9"/>
        <rFont val="Calibri"/>
      </rPr>
      <t xml:space="preserve"> : Le parc CHU intègre une forte part de points d’eau de chambre et de sanitaires de soins : les mitigeurs mécaniques/médicaux dominent, l’électronique étant surtout utilisée en sanitaires publics et zones sensibles.Hôpitaux publics : Dans le parc hospitalier public hors CHU, le mitigeur mécanique/médical reste majoritaire car beaucoup de points d’eau sont en chambre ou en sanitaires patients ; l’électronique se concentre dans les espaces publics rénovés.Hôpitaux privés ; Cliniques : Le parc des hôpitaux privés et cliniques reste très orienté mitigeurs de chambre/sanitaires patients ; l’électronique apparaît davantage dans les espaces publics et halls que dans l’ensemble du parc.Hôpitaux d’instruction des armées et centres médicaux recevant du public : Les hôpitaux d’instruction des armées suivent une logique proche du parc hospitalier public : mitigeurs médicaux majoritaires, électronique concentrée dans les espaces communs.Unités hospitalières sécurisées en milieu carcéral : Les unités hospitalières sécurisées mélangent logique hospitalière et sécuritaire : mitigeurs majoritaires, mais forte part d’équipements spécifiques/antivandalisme.Établissements Médico-éducatifs : Le parc des établissements médico-éducatifs reste équilibré entre mitigeurs et temporisés mécaniques, avec quelques équipements spécifiques enfants/PMR classés en 'autres'.Centres de santé / Centres médicaux ; Maisons de santé : Dans les centres de santé et maisons de santé, l’électronique est plus présente que dans le parc global grâce aux rénovations récentes et aux exigences d’hygiène, mais le mitigeur reste encore majoritaire.Cabinets Dentaires : Cabinets Dentaires : parc 2025 domine par tempo mecanique (42%), avec mitigeur manuel en appoint. Le choix reflete exigence hygiene forte, accessibilite et flux patients/accompagnants de jour ; hygiene, accessibilite, continuite de service et maintenance encadree.Foyers pour personnes handicapées : Dans les foyers pour personnes handicapées, les mitigeurs restent majoritaires pour l’accompagnement, avec une part d’équipements spécifiques/PMR supérieure au parc moyen.MDPH Maisons de l’autonomie Guichets handicap : MDPH Maisons de l’autonomie Guichets handicap : parc 2025 domine par tempo mecanique (42%), avec mitigeur manuel en appoint. Le choix reflete exigence hygiene forte, accessibilite et flux patients/accompagnants de jour ; hygiene, accessibilite, continuite de service et maintenance encadree.EHPAD : Le parc EHPAD est tiré par les chambres et salles d’eau privatives : les mitigeurs mécaniques/médicaux dominent nettement, l’électronique restant concentrée sur les espaces publics ou quelques rénovations ciblées.USLD : Comme en EHPAD, le parc USLD reste très orienté mitigeurs de chambre/sanitaires patients, avec une part plus technique mais encore peu d’électronique en stock.Résidences autonomie Foyers-logements ; Résidences services seniors : En parties communes de résidences seniors/autonomie, le parc est partagé entre mitigeurs et solutions plus 'collectivité', avec une part modeste d’électronique sur les rénovations récentes.</t>
    </r>
  </si>
  <si>
    <r>
      <rPr>
        <b/>
        <sz val="9"/>
        <rFont val="Calibri"/>
      </rPr>
      <t>Hôpitaux universitaires / CHU ; Hôpitaux publics ; Hôpitaux privés ; Cliniques ; Centres de santé / Centres médicaux ; Maisons de santé</t>
    </r>
    <r>
      <rPr>
        <sz val="9"/>
        <rFont val="Calibri"/>
      </rPr>
      <t xml:space="preserve"> : En santé, la projection reste prudente : le mitigeur/médical demeure majoritaire, l’électronique progresse surtout sur les lave-mains communs rénovés et zones publiques, sans évincer rapidement le parc mécanique spécifique.Hôpitaux d’instruction des armées et centres médicaux recevant du public : Dans les sites de sûreté/forces armées, l’évolution reste graduelle : un peu plus d’électronique dans les zones publiques et tertiaires, mais forte inertie du parc robuste.Unités hospitalières sécurisées en milieu carcéral : En univers carcéral, la progression reste très prudente : la robustesse, les contraintes de sûreté et les produits spécifiques limitent la bascule rapide vers l’électronique.Établissements Médico-éducatifs ; Foyers pour personnes handicapées ; EHPAD ; USLD ; Résidences autonomie Foyers-logements ; Résidences services seniors : Dans les établissements médico-sociaux résidentiels, l’électronique gagne un peu sur les rénovations des espaces communs, mais le mix reste dominé par des solutions manuelles/médicales proches d’un usage résidentiel ou de soin.Cabinets Dentaires ; MDPH Maisons de l’autonomie Guichets handicap : 2025-2030 : progression de tempo electronique (+4,0%), surtout lors des renov. lourdes/neuf ; recul de mitigeur manuel (-4,0%) mais maintien d un socle robuste pour les remplacements partiels.</t>
    </r>
  </si>
  <si>
    <r>
      <rPr>
        <b/>
        <sz val="9"/>
        <rFont val="Calibri"/>
      </rPr>
      <t>Hôpitaux universitaires / CHU</t>
    </r>
    <r>
      <rPr>
        <sz val="9"/>
        <rFont val="Calibri"/>
      </rPr>
      <t xml:space="preserve"> : Les douches restent majoritairement à mitigeur/thermostatique pour la sécurité anti-brûlure et le confort patient ; le temporisé mécanique subsiste dans quelques zones communes.Hôpitaux publics : Les douches restent largement à mitigeur pour des raisons de sécurité, de réglage de température et d’assistance aux usagers.Hôpitaux privés ; Cliniques : Les douches sont d’abord à mitigeur/thermostatique, conformément à une logique de confort et de sécurité des patients.Hôpitaux d’instruction des armées et centres médicaux recevant du public : Les douches restent majoritairement à mitigeur/thermostatique.Unités hospitalières sécurisées en milieu carcéral : Les douches restent surtout temporisées mécaniques ou à mitigeur sécurisé.Établissements Médico-éducatifs : Les douches communes sont surtout temporisées mécaniques, tout en gardant des mitigeurs dans les espaces d’accompagnement.Centres de santé / Centres médicaux : Centres de santé : douches rares et plutôt assimilables à des douches de soins/confort, majoritairement à mitigeur/thermostatique.Maisons de santé ; Cabinets Dentaires ; MDPH Maisons de l’autonomie Guichets handicap : Sans objet.Foyers pour personnes handicapées : Les douches communes restent surtout à mitigeur/thermostatique, la temporisation étant présente mais moins dominante que dans le sport.EHPAD : Les douches sont très majoritairement à mitigeur/thermostatique pour la sécurité anti-brûlure et l’accompagnement des résidents.USLD : Les douches restent d’abord à mitigeur/thermostatique pour des raisons de sécurité et de soins.Résidences autonomie Foyers-logements ; Résidences services seniors : Les douches communes restent majoritairement à mitigeur, avec une présence secondaire de temporisé mécanique.</t>
    </r>
  </si>
  <si>
    <r>
      <rPr>
        <b/>
        <sz val="9"/>
        <rFont val="Calibri"/>
      </rPr>
      <t>Hôpitaux universitaires / CHU ; Hôpitaux publics ; Hôpitaux privés ; Cliniques</t>
    </r>
    <r>
      <rPr>
        <sz val="9"/>
        <rFont val="Calibri"/>
      </rPr>
      <t xml:space="preserve"> : En santé, les douches restent d’abord manuelles/mécaniques ; l’électronique progresse peu et surtout sur certains espaces rénovés.Hôpitaux d’instruction des armées et centres médicaux recevant du public : Évolution lente et prudente : un peu plus d’électronique dans certaines rénovations, sans remise en cause du socle mécanique.Unités hospitalières sécurisées en milieu carcéral : Progression très limitée pour des raisons de robustesse, sûreté et maintenance.Établissements Médico-éducatifs ; Foyers pour personnes handicapées ; EHPAD ; USLD ; Résidences autonomie Foyers-logements ; Résidences services seniors : La projection reste lente : le mitigeur et les solutions mécaniques dominent encore largement les douches de ce parc.Centres de santé / Centres médicaux : Évolution lente : maintien du mitigeur, légère progression du temporisé/électronique dans certains sites rénovés.Maisons de santé ; Cabinets Dentaires ; MDPH Maisons de l’autonomie Guichets handicap : Sans objet.</t>
    </r>
  </si>
  <si>
    <r>
      <rPr>
        <b/>
        <sz val="9"/>
        <rFont val="Calibri"/>
      </rPr>
      <t>Hôpitaux universitaires / CHU</t>
    </r>
    <r>
      <rPr>
        <sz val="9"/>
        <rFont val="Calibri"/>
      </rPr>
      <t xml:space="preserve"> : Les urinoirs sont partagés entre réservoir/concealed tank, chasse directe mécanique et automatique, cette dernière étant plus présente que dans d’autres secteurs pour l’hygiène.Hôpitaux publics : Les urinoirs sont encore largement en solutions classiques (réservoir ou directe mécanique), l’automatique progressant surtout dans les rénovations de halls et consultations.Hôpitaux privés ; Cliniques : Les urinoirs rénovés sont plus souvent automatiques dans le privé, mais le parc existant conserve beaucoup de solutions classiques.Hôpitaux d’instruction des armées et centres médicaux recevant du public : Le parc d’urinoirs reste surtout classique, avec un peu d’automatique sur les zones rénovées.Unités hospitalières sécurisées en milieu carcéral : Le collectif et les solutions robustes restent plus présents que dans la santé classique.Établissements Médico-éducatifs : La part de collectifs anciens reste notable dans ce parc, surtout dans les établissements les plus anciens.Centres de santé / Centres médicaux ; Maisons de santé : Les urinoirs des sanitaires publics récents vont plus souvent vers l’automatique, mais le parc installé garde une base importante de mécanique/direct.Cabinets Dentaires : Sans objet : pas de urinoirs collectif dimensionne dans ce sous-segment.Foyers pour personnes handicapées : Le parc d’urinoirs reste principalement classique, avec un reliquat de collectifs sur certains sites anciens.MDPH Maisons de l’autonomie Guichets handicap : MDPH Maisons de l’autonomie Guichets handicap : parc 2025 domine par directe mecanique (52%), avec directe electronique collective en appoint. Le choix reflete exigence hygiene forte, accessibilite et flux patients/accompagnants de jour ; hygiene, accessibilite, continuite de service et maintenance encadree.EHPAD : Les rares urinoirs relèvent surtout d’équipements classiques ; la part collective ou automatique reste faible à l’échelle du parc.USLD : Les rares urinoirs relèvent surtout de solutions classiques.Résidences autonomie Foyers-logements ; Résidences services seniors : Les rares urinoirs relèvent surtout d’un parc classique.</t>
    </r>
  </si>
  <si>
    <r>
      <rPr>
        <b/>
        <sz val="9"/>
        <rFont val="Calibri"/>
      </rPr>
      <t>Hôpitaux universitaires / CHU ; Hôpitaux publics ; Hôpitaux privés ; Cliniques ; Centres de santé / Centres médicaux ; Maisons de santé</t>
    </r>
    <r>
      <rPr>
        <sz val="9"/>
        <rFont val="Calibri"/>
      </rPr>
      <t xml:space="preserve"> : Dans les zones où des urinoirs existent, l’automatique progresse modestement sur les rénovations, sans disparition rapide des systèmes historiques.Hôpitaux d’instruction des armées et centres médicaux recevant du public : Évolution maîtrisée : la robustesse garde du poids, le mécanique reste fort et l’automatique progresse surtout dans les zones publiques.Unités hospitalières sécurisées en milieu carcéral : Bascule très partielle : contraintes de sûreté et robustesse maintiennent le mécanique/collectif spécifique à un niveau élevé.Établissements Médico-éducatifs ; Foyers pour personnes handicapées ; EHPAD ; USLD ; Résidences autonomie Foyers-logements ; Résidences services seniors : Évolution limitée : le parc reste peu standardisé et la bascule vers l’automatique est lente.Cabinets Dentaires : Sans objet : pas de trajectoire 2025-2030 a modeliser pour les urinoirs.MDPH Maisons de l’autonomie Guichets handicap : 2025-2030 : progression de directe electronique indiv. (+3,0%), surtout lors des renov. lourdes/neuf ; recul de a reservoir (-2,0%) mais maintien d un socle robuste pour les remplacements partiels.</t>
    </r>
  </si>
  <si>
    <r>
      <rPr>
        <b/>
        <sz val="9"/>
        <rFont val="Calibri"/>
      </rPr>
      <t>Hôpitaux universitaires / CHU</t>
    </r>
    <r>
      <rPr>
        <sz val="9"/>
        <rFont val="Calibri"/>
      </rPr>
      <t xml:space="preserve"> : Le stock reste majoritairement à réservoir du fait des chambres et sanitaires patients ; la chasse directe équipe surtout les zones communes et une partie des rénovations.Hôpitaux publics : Le WC à réservoir demeure dominant dans le parc existant, car il suit la logique des chambres et sanitaires patients ; la chasse directe reste plus présente dans les zones communes.Hôpitaux privés ; Cliniques : Le réservoir reste majoritaire à cause des chambres ; la part électronique demeure minoritaire mais plus élevée que dans le public sur les espaces d’accueil récents.Hôpitaux d’instruction des armées et centres médicaux recevant du public : Le réservoir demeure majoritaire à cause des chambres et sanitaires patients.Unités hospitalières sécurisées en milieu carcéral : Le réservoir reste dominant mais la chasse directe est bien représentée dans les zones les plus sollicitées.Établissements Médico-éducatifs : Le réservoir reste dominant, la chasse directe étant surtout liée aux rénovations de blocs.Centres de santé / Centres médicaux ; Maisons de santé : Le réservoir demeure dominant sur les petits établissements, avec une montée de la chasse directe et de l’électronique dans les sanitaires récents.Cabinets Dentaires : Cabinets Dentaires : parc 2025 domine par reservoir (55%), avec chasse directe mecanique en appoint. Le choix reflete exigence hygiene forte, accessibilite et flux patients/accompagnants de jour ; hygiene, accessibilite, continuite de service et maintenance encadree.Foyers pour personnes handicapées : Le parc WC reste dominé par le réservoir, la chasse directe équipant surtout les blocs communs rénovés.MDPH Maisons de l’autonomie Guichets handicap : MDPH Maisons de l’autonomie Guichets handicap : parc 2025 domine par reservoir (55%), avec chasse directe mecanique en appoint. Le choix reflete exigence hygiene forte, accessibilite et flux patients/accompagnants de jour ; hygiene, accessibilite, continuite de service et maintenance encadree.EHPAD : Le WC à réservoir domine très largement à cause des chambres et unités ; la chasse directe reste marginale.USLD : Le réservoir reste majoritaire car le parc est fortement structuré par les chambres et unités de soins.Résidences autonomie Foyers-logements ; Résidences services seniors : Le réservoir domine encore, la chasse directe restant concentrée sur quelques espaces communs modernisés.</t>
    </r>
  </si>
  <si>
    <r>
      <rPr>
        <b/>
        <sz val="9"/>
        <rFont val="Calibri"/>
      </rPr>
      <t>Hôpitaux universitaires / CHU ; Hôpitaux publics ; Hôpitaux privés ; Cliniques ; Centres de santé / Centres médicaux ; Maisons de santé</t>
    </r>
    <r>
      <rPr>
        <sz val="9"/>
        <rFont val="Calibri"/>
      </rPr>
      <t xml:space="preserve"> : En santé, le réservoir recule lentement ; la bascule vers le direct et l’électronique reste plus graduelle que dans les ERP intensifs car le parc est plus spécifique.Hôpitaux d’instruction des armées et centres médicaux recevant du public : Évolution graduelle vers davantage de direct pour la robustesse ; l’électronique reste plus secondaire.Unités hospitalières sécurisées en milieu carcéral : Dans l’univers carcéral, la robustesse et la sûreté favorisent d’abord le direct spécifique ; la progression de l’électronique reste limitée.Établissements Médico-éducatifs ; Foyers pour personnes handicapées ; EHPAD ; USLD ; Résidences autonomie Foyers-logements ; Résidences services seniors : Dans les établissements résidentiels de soin, le réservoir reste majoritaire ; les chasses directes/électroniques progressent surtout dans les espaces communs rénovés.Cabinets Dentaires ; MDPH Maisons de l’autonomie Guichets handicap : 2025-2030 : progression de chasse directe mecanique (+5,0%), surtout lors des renov. lourdes/neuf ; recul de reservoir (-10,0%) mais maintien d un socle robuste pour les remplacements partiels.</t>
    </r>
  </si>
  <si>
    <r>
      <rPr>
        <b/>
        <sz val="9"/>
        <rFont val="Calibri"/>
      </rPr>
      <t>Hôpitaux universitaires / CHU ; Hôpitaux publics</t>
    </r>
    <r>
      <rPr>
        <sz val="9"/>
        <rFont val="Calibri"/>
      </rPr>
      <t xml:space="preserve"> : 90,0% retenu : matérialisation élevée grâce aux opérations campus et restructurations, avec toutefois des phasages longs et des arbitrages budgétaires.Hôpitaux privés ; Cliniques : 89,5% retenu : besoin fortement matérialisé par l’usage continu, les enjeux hygiène et les opérations lourdes, mais étalé par les phasages de service.Hôpitaux d’instruction des armées et centres médicaux recevant du public : 85,1% retenu : besoin fortement matérialisé par l’usage continu, les enjeux hygiène et les opérations lourdes, mais étalé par les phasages de service.Unités hospitalières sécurisées en milieu carcéral : 90,0% retenu : forte matérialisation car l’usage est intensif et la maintenance contrainte, avec toutefois un phasage strict site par site.Établissements Médico-éducatifs ; Foyers pour personnes handicapées : 86,2% retenu : réno assez tangible grâce aux besoins d’usage quotidien et aux mises à niveau, avec décalages liés aux financeurs et à l’exploitation.Centres de santé / Centres médicaux : 86,2% retenu : part des besoins réellement transformée en travaux sur 2026-2030 après prise en compte des budgets, du phasage et des arbitrages locaux.Maisons de santé : 85,1% retenu : part des besoins réellement transformée en travaux sur 2026-2030 après prise en compte des budgets, du phasage et des arbitrages locaux.Cabinets Dentaires ; MDPH Maisons de l’autonomie Guichets handicap : 80,8% retenu : besoins transformes en travaux selon exigence hygiene forte, accessibilite et flux patients/accompagnants de jour. Le phasage budgetaire, les fermetures partielles et la maintenance courante limitent la conversion totale.EHPAD : 89,5% retenu : réno assez tangible grâce aux besoins d’usage quotidien et aux mises à niveau, avec décalages liés aux financeurs et à l’exploitation.USLD : 90,0% retenu : réno assez tangible grâce aux besoins d’usage quotidien et aux mises à niveau, avec décalages liés aux financeurs et à l’exploitation.Résidences autonomie Foyers-logements : 81,8% retenu : réno assez tangible grâce aux besoins d’usage quotidien et aux mises à niveau, avec décalages liés aux financeurs et à l’exploitation.Résidences services seniors : 87,3% retenu : réno assez tangible grâce aux besoins d’usage quotidien et aux mises à niveau, avec décalages liés aux financeurs et à l’exploitation.</t>
    </r>
  </si>
  <si>
    <r>
      <rPr>
        <b/>
        <sz val="9"/>
        <rFont val="Calibri"/>
      </rPr>
      <t>Hôpitaux universitaires / CHU ; Hôpitaux privés ; Cliniques</t>
    </r>
    <r>
      <rPr>
        <sz val="9"/>
        <rFont val="Calibri"/>
      </rPr>
      <t xml:space="preserve"> : Potentiel rénovation élevé : hygiène, sécurité des soins, continuité de service et vieillissement des bâtiments maintiennent un flux élevé de remplacements et de restructurations. Les lavabos et les WC portent l’essentiel des volumes, avec un poids secondaire des équipements spécialisés. En rénovation, les maîtres d’ouvrage privilégient des références robustes, vite posées et faciles à maintenir dans des ambiances humides.Hôpitaux publics : Potentiel rénovation très élevé : Les lavabos et les WC portent l’essentiel des volumes, avec un poids secondaire des équipements spécialisés. Le moteur principal reste le remplacement du parc existant en site occupé, souvent couplé à des travaux d’énergie, d’accessibilité ou de conformité. En rénovation, le marché reste favorable aux gammes robustes et simples d’entretien, compatibles avec des chantiers par tranches et des budgets contraints.Hôpitaux d’instruction des armées et centres médicaux recevant du public : Potentiel rénovation moyen à soutenu : dominant sur ce périmètre, avec modernisation des installations existantes plus que création de nouveaux sites recevant du public. Les lavabos et les WC portent l’essentiel des volumes, avec un poids secondaire des équipements spécialisés. En rénovation, les maîtres d’ouvrage privilégient des références robustes, vite posées et faciles à maintenir dans des ambiances humides.Unités hospitalières sécurisées en milieu carcéral : Potentiel rénovation moyen à soutenu : fort sur un parc ancien et durci, avec besoins anti-vandalisme, sûreté et dignité d’usage. Les volumes se concentrent surtout sur lavabos et wc. En rénovation, l’achat reste orienté vers des produits robustes, anti-vandalisme et simples à maintenir en site occupé.Établissements Médico-éducatifs ; Foyers pour personnes handicapées : Potentiel rénovation élevé : adaptation d’usage, accessibilité, confort et hygiène soutiennent fortement le remplacement sur un parc souvent hétérogène. Les volumes se concentrent surtout sur lavabos et wc. En rénovation, le marché reste favorable aux gammes robustes et simples d’entretien, compatibles avec des chantiers par tranches et des budgets contraints.Centres de santé / Centres médicaux : Potentiel rénovation élevé : remises à niveau fonctionnelles et réglementaires, reconfiguration des accueils et sanitaires publics/personnel dans des locaux existants. Les volumes restent d’abord tirés par les WC et les lavabos, plus que par les postes spécialisés. En rénovation, le marché reste favorable aux gammes robustes et simples d’entretien, compatibles avec des chantiers par tranches et des budgets contraints.Maisons de santé : Potentiel rénovation élevé : refits et extensions légères de structures récentes, avec volumes de remplacement encore inférieurs au parc plus ancien. Les volumes restent d’abord tirés par les WC et les lavabos, plus que par les postes spécialisés. En rénovation, le marché reste favorable aux gammes robustes et simples d’entretien, compatibles avec des chantiers par tranches et des budgets contraints.Cabinets Dentaires ; MDPH Maisons de l’autonomie Guichets handicap : Potentiel renovation : tire par hygiene, accessibilite, continuite de service et maintenance encadree. Les remplacements sont plutot par lots, avec arbitrage entre urgence sanitaire, budget et capacite a intervenir en site occupe.EHPAD : Potentiel rénovation très élevé : chambres, salles d’eau, douches PMR et sanitaires communs restent un besoin structurel du vieillissement du parc. Les lavabos et les WC portent l’essentiel des volumes, avec un poids secondaire des équipements spécialisés. En rénovation, les maîtres d’ouvrage privilégient des références robustes, vite posées et faciles à maintenir dans des ambiances humides.USLD ; Résidences autonomie Foyers-logements ; Résidences services seniors : Potentiel rénovation élevé : chambres, salles d’eau, douches PMR et sanitaires communs restent un besoin structurel du vieillissement du parc. Les volumes se concentrent surtout sur lavabos et wc. En rénovation, les maîtres d’ouvrage privilégient des références robustes, vite posées et faciles à maintenir dans des ambiances humides.</t>
    </r>
  </si>
  <si>
    <r>
      <rPr>
        <b/>
        <sz val="9"/>
        <rFont val="Calibri"/>
      </rPr>
      <t>Hôpitaux universitaires / CHU</t>
    </r>
    <r>
      <rPr>
        <sz val="9"/>
        <rFont val="Calibri"/>
      </rPr>
      <t xml:space="preserve"> : Potentiel neuf faible : extensions d’urgences, plateaux techniques, ambulatoire et recompositions hospitalières existent, mais le neuf reste quasi nul dans le modèle et renvoie surtout à des reconstructions ou remplacements de sites. Les opérations sont soutenues par la pression d’activité, la conformité et les plans d’investissement, mais restent contraintes par la trajectoire financière hospitalière.Hôpitaux publics : Potentiel neuf faible : le neuf est quasi nul dans le modèle et renvoie surtout à des reconstructions ou remplacements de sites sur 2026-2030. Il dépend de la dynamique réelle du non-résidentiel, de la solvabilité du maître d’ouvrage et du passage du permis au chantier. Le passage de l’intention au chantier reste sélectif, dépendant des budgets, de l’ingénierie disponible et du calendrier politique.Hôpitaux privés ; Cliniques : Potentiel neuf faible : extensions d’urgences, plateaux techniques, ambulatoire et recompositions hospitalières existent, mais le neuf reste quasi nul dans le modèle et renvoie surtout à des reconstructions ou remplacements de sites. Les groupes privés arbitrent plus vite, mais fortement en fonction du retour d’exploitation et du mix d’activité.Hôpitaux d’instruction des armées et centres médicaux recevant du public : Potentiel neuf faible : la LPM soutient l’effort global de défense, mais le sous-périmètre ouvert au public reste secondaire et sélectif. Le neuf est quasi nul dans le modèle et renvoie surtout à des reconstructions ou remplacements de sites.Unités hospitalières sécurisées en milieu carcéral : Potentiel neuf moyen : alimenté par le programme prison 15 000 places et les opérations judiciaires 2023-2027, avec une meilleure dynamique sur les établissements spécialisés ou récents. Le neuf est significatif mais encore nettement inférieur à la rénovation.Établissements Médico-éducatifs : Potentiel neuf faible : création et transformation de l’offre existent encore dans le handicap, mais par vagues régionales et montages ciblés. Le neuf est quasi nul dans le modèle et renvoie surtout à des reconstructions ou remplacements de sites.Centres de santé / Centres médicaux : Potentiel neuf moyen à soutenu : développement ciblé de centres de santé dans certains territoires, mais les ouvertures restent très dépendantes du modèle économique local. Le neuf est significatif mais encore nettement inférieur à la rénovation.Maisons de santé : Potentiel neuf très élevé : c’est l’un des sous-segments les plus porteurs du modèle grâce à la politique d’accès aux soins et au développement des MSP. Le neuf est très soutenu et pèse réellement dans l’activité.Cabinets Dentaires : Potentiel neuf : limite pour cabinets dentaires, surtout via extensions, reconstructions ou projets locaux. Le neuf reste contraint par foncier, budgets et delais de mise en service.Foyers pour personnes handicapées : Potentiel neuf moyen à soutenu : création et transformation de l’offre existent encore dans le handicap, mais par vagues régionales et montages ciblés. Le neuf est significatif mais encore nettement inférieur à la rénovation.MDPH Maisons de l’autonomie Guichets handicap : Potentiel neuf : limite pour mdph maisons de l’autonomie guichets handicap, surtout via extensions, reconstructions ou projets locaux. Le neuf reste contraint par foncier, budgets et delais de mise en service.EHPAD ; USLD ; Résidences autonomie Foyers-logements : Potentiel neuf faible : surtout via reconstruction, transformation ou création très ciblée de capacités ; le neuf reste quasi nul dans le modèle et renvoie surtout à des reconstructions ou remplacements de sites.Résidences services seniors : Potentiel neuf élevé : encore porté par quelques opérateurs privés et programmes mixtes seniors, donc plus vivant que dans le médico-social public. Le neuf est très soutenu et pèse réellement dans l’activité.</t>
    </r>
  </si>
  <si>
    <r>
      <rPr>
        <b/>
        <sz val="9"/>
        <rFont val="Calibri"/>
      </rPr>
      <t>Hôpitaux universitaires / CHU ; Hôpitaux privés ; Cliniques</t>
    </r>
    <r>
      <rPr>
        <sz val="9"/>
        <rFont val="Calibri"/>
      </rPr>
      <t xml:space="preserve"> : Projets phares réno : chambres et sanitaires patients, consultations, urgences, zones publiques/personnel, restructurations par lots en site occupé.Hôpitaux publics : Projets phares réno : remise à niveau des blocs sanitaires, accessibilité/PMR, reprise partielle lors de rénovations énergétiques ou fonctionnelles, et remplacements ciblés des postes les plus usés.Hôpitaux d’instruction des armées et centres médicaux recevant du public : Projets phares réno : hébergement, sanitaires public/personnel, espaces de soutien, équipements de restauration/sport ou de recrutement, remise à niveau d’accueil.Unités hospitalières sécurisées en milieu carcéral : Projets phares réno : cellules, sanitaires collectifs, espaces visiteurs/personnel, sécurisation et remise à niveau technique en site occupé.Établissements Médico-éducatifs ; Foyers pour personnes handicapées : Projets phares réno : salles d’eau adaptées, douches PMR, sanitaires collectifs et personnels, réaménagements de chambres et espaces éducatifs.Centres de santé / Centres médicaux : Projets phares réno : accueils, sanitaires publics/personnel, reconfiguration de cabinets et circuits patients.Maisons de santé : Projets phares réno : adaptation de locaux, accessibilité, reprises de sanitaires publics/personnel lors d’extensions ou regroupements.Cabinets Dentaires ; MDPH Maisons de l’autonomie Guichets handicap : Projets phares renovation : reprise de blocs sanitaires, accessibilite, ventilation, economie d eau, remplacement des pieces usees et adaptation aux pics de frequentation propres au sous-segment.EHPAD ; USLD ; Résidences autonomie Foyers-logements ; Résidences services seniors : Projets phares réno : salles d’eau des chambres, douches adaptées, sanitaires communs, accessibilité, confort d’été et rénovation énergétique.</t>
    </r>
  </si>
  <si>
    <r>
      <rPr>
        <b/>
        <sz val="9"/>
        <rFont val="Calibri"/>
      </rPr>
      <t>Hôpitaux universitaires / CHU ; Hôpitaux privés ; Cliniques</t>
    </r>
    <r>
      <rPr>
        <sz val="9"/>
        <rFont val="Calibri"/>
      </rPr>
      <t xml:space="preserve"> : Projets phares neuf : nouveaux bâtiments hospitaliers, extensions de plateaux techniques ou d’urgences, pôles ambulatoires, restructurations avec surfaces additionnelles.Hôpitaux publics : Projets phares neuf : créations ou extensions sélectives, reconstructions partielles et opérations neuves concentrées sur les territoires ou opérateurs les plus dynamiques.Hôpitaux d’instruction des armées et centres médicaux recevant du public : Projets phares neuf : opérations intégrées à des programmes souverains plus larges, centres de soutien ou d’accueil restructurés avec surfaces nouvelles.Unités hospitalières sécurisées en milieu carcéral : Projets phares neuf : nouveaux centres pénitentiaires, SAS, centres éducatifs fermés, unités hospitalières sécurisées et extensions.Établissements Médico-éducatifs ; Foyers pour personnes handicapées : Projets phares neuf : créations/extensions d’IME et foyers, unités spécialisées, habitats adossés à une transformation de l’offre.Centres de santé / Centres médicaux : Projets phares neuf : centres de santé pluridisciplinaires, antennes de proximité, extensions dans les territoires sous-dotés.Maisons de santé : Projets phares neuf : MSP, cabinets solidaires, pôles de proximité et structures pluridisciplinaires en zones sous-dotées.Cabinets Dentaires ; MDPH Maisons de l’autonomie Guichets handicap : Projets phares neuf : creations ou reconstructions selectives, integration de sanitaires plus sobres, robustes et faciles a maintenir des la conception.EHPAD ; USLD ; Résidences autonomie Foyers-logements : Projets phares neuf : EHPAD/USLD reconstruits, extensions ciblées, habitats intermédiaires et transformations d’offre.Résidences services seniors : Projets phares neuf : résidences services seniors neuves, opérations en cœur de ville, programmes mixtes avec services et espaces communs.</t>
    </r>
  </si>
  <si>
    <r>
      <rPr>
        <b/>
        <sz val="9"/>
        <rFont val="Calibri"/>
      </rPr>
      <t>Hôpitaux universitaires / CHU ; Hôpitaux privés ; Cliniques</t>
    </r>
    <r>
      <rPr>
        <sz val="9"/>
        <rFont val="Calibri"/>
      </rPr>
      <t xml:space="preserve"> : Dynamique réno 2026-2030 : élevée et prioritaire, car la qualité d’accueil, l’hygiène et la sécurité des soins rendent le remplacement difficilement reportable. Menaces : tension financière des établissements, phasage en site occupé et priorités techniques concurrentes.Hôpitaux publics : Dynamique réno 2026-2030 : très élevé, plus résiliente que le neuf car tirée par l’usure et les obligations techniques. La normalisation relative des coûts travaux aide la décision, mais les arbitrages budgétaires et les travaux en site occupé peuvent étaler les commandes.Hôpitaux d’instruction des armées et centres médicaux recevant du public : Dynamique réno 2026-2030 : plus lisible que le neuf, car elle s’inscrit dans la modernisation des emprises et des services existants.Unités hospitalières sécurisées en milieu carcéral : Dynamique réno 2026-2030 : élevée et défensive, car l’existant reste volumineux et techniquement contraint.Établissements Médico-éducatifs ; Foyers pour personnes handicapées : Dynamique réno 2026-2030 : élevée, portée par l’accessibilité, la dignité d’usage et les plans d’investissement médico-sociaux. Menaces : délais administratifs, arbitrages départementaux/ARS et pénurie d’exploitants.Centres de santé / Centres médicaux : Dynamique réno 2026-2030 : soutenue, car l’adaptation de locaux existants est souvent la voie la plus rapide pour renforcer l’offre. Menaces : équilibre économique et recrutement médical.Maisons de santé : Dynamique réno 2026-2030 : moyenne à soutenue, car le parc est plus récent et l’entretien prime souvent sur la rénovation lourde.Cabinets Dentaires ; MDPH Maisons de l’autonomie Guichets handicap : Dynamique renovation 2026-2030 : forte, car l usure et l hygiene rendent les interventions recurrentes. Menaces : arbitrages d investissement, travaux en exploitation et cout de maintenance.EHPAD ; USLD ; Résidences autonomie Foyers-logements : Dynamique réno 2026-2030 : très soutenue, car la dignité d’usage, l’accessibilité et la pression réglementaire rendent les reports plus difficiles que dans d’autres ERP. Menaces : tensions financières des opérateurs, exploitation continue et pénurie de main-d’œuvre.Résidences services seniors : Dynamique réno 2026-2030 : très soutenue, car la dignité d’usage, l’accessibilité et la pression réglementaire rendent les reports plus difficiles que dans d’autres ERP. Menaces : tensions financières des opérateurs, exploitation continue et pénurie de main-d’œuvre. Le marché de la robinetterie y bénéficie aussi d’une logique de montée en gamme et de confort résidentiel.</t>
    </r>
  </si>
  <si>
    <r>
      <rPr>
        <b/>
        <sz val="9"/>
        <rFont val="Calibri"/>
      </rPr>
      <t>Hôpitaux universitaires / CHU ; Hôpitaux privés ; Cliniques</t>
    </r>
    <r>
      <rPr>
        <sz val="9"/>
        <rFont val="Calibri"/>
      </rPr>
      <t xml:space="preserve"> : Dynamique neuf 2026-2030 : sélective mais parfois dimensionnante sur quelques grands projets ; l’activité progresse, mais les décisions lourdes restent conditionnées par l’autorisation, le financement et la capacité d’exploitation.Hôpitaux publics : Dynamique neuf 2026-2030 : faible. Le contexte de construction non résidentielle reste contrasté, avec un écart persistant entre intentions et réalisations ; les projets les mieux financés ou les plus stratégiques sortent en priorité.Hôpitaux d’instruction des armées et centres médicaux recevant du public : Dynamique neuf 2026-2030 : faible à modérée ; l’investissement défense est élevé, mais il ne se traduit pas mécaniquement par des surfaces recevant du public dans ce sous-périmètre.Unités hospitalières sécurisées en milieu carcéral : Dynamique neuf 2026-2030 : plus forte que dans la plupart des segments publics grâce à la programmation carcérale, tout en restant concentrée sur un nombre limité d’opérations lourdes.Établissements Médico-éducatifs ; Foyers pour personnes handicapées : Dynamique neuf 2026-2030 : plus réelle que dans le grand âge classique grâce aux politiques de transformation de l’offre, mais toujours sélective et territorialisée.Centres de santé / Centres médicaux : Dynamique neuf 2026-2030 : modérée ; des projets émergent dans les territoires en tension d’accès aux soins, mais l’exécution reste inégale.Maisons de santé : Dynamique neuf 2026-2030 : forte, portée par politiques d’accès aux soins et territoires en désertification médicale. Menaces : recrutement des professionnels, délais de montage et financement d’exploitation. Rare segment santé où le neuf dépasse réellement le simple remplacement.Cabinets Dentaires ; MDPH Maisons de l’autonomie Guichets handicap : Dynamique neuf 2026-2030 : faible a moderee, dependante des projets immobiliers, de la demographie locale et des budgets de maitrise d ouvrage.EHPAD ; USLD ; Résidences autonomie Foyers-logements : Dynamique neuf 2026-2030 : modérée à faible selon les sous-segments publics ; la priorité reste la modernisation du parc plus que l’expansion diffuse.Résidences services seniors : Dynamique neuf 2026-2030 : réelle mais très sélective ; elle dépend du pouvoir d’achat, du taux de commercialisation et de l’appétit des investisseurs.</t>
    </r>
  </si>
  <si>
    <r>
      <rPr>
        <b/>
        <sz val="9"/>
        <rFont val="Calibri"/>
      </rPr>
      <t>Hôpitaux universitaires / CHU</t>
    </r>
    <r>
      <rPr>
        <sz val="9"/>
        <rFont val="Calibri"/>
      </rPr>
      <t xml:space="preserve"> ; </t>
    </r>
    <r>
      <rPr>
        <b/>
        <sz val="9"/>
        <rFont val="Calibri"/>
      </rPr>
      <t>Hôpitaux privés</t>
    </r>
    <r>
      <rPr>
        <sz val="9"/>
        <rFont val="Calibri"/>
      </rPr>
      <t xml:space="preserve"> ; </t>
    </r>
    <r>
      <rPr>
        <b/>
        <sz val="9"/>
        <rFont val="Calibri"/>
      </rPr>
      <t>Cliniques</t>
    </r>
    <r>
      <rPr>
        <sz val="9"/>
        <rFont val="Calibri"/>
      </rPr>
      <t xml:space="preserve"> ; </t>
    </r>
    <r>
      <rPr>
        <b/>
        <sz val="9"/>
        <rFont val="Calibri"/>
      </rPr>
      <t>Centres de psychiatrie</t>
    </r>
    <r>
      <rPr>
        <sz val="9"/>
        <rFont val="Calibri"/>
      </rPr>
      <t xml:space="preserve"> ; </t>
    </r>
    <r>
      <rPr>
        <b/>
        <sz val="9"/>
        <rFont val="Calibri"/>
      </rPr>
      <t>Centres de rééducation</t>
    </r>
    <r>
      <rPr>
        <sz val="9"/>
        <rFont val="Calibri"/>
      </rPr>
      <t xml:space="preserve"> ; </t>
    </r>
    <r>
      <rPr>
        <b/>
        <sz val="9"/>
        <rFont val="Calibri"/>
      </rPr>
      <t>Maternités</t>
    </r>
    <r>
      <rPr>
        <sz val="9"/>
        <rFont val="Calibri"/>
      </rPr>
      <t xml:space="preserve"> : </t>
    </r>
    <r>
      <rPr>
        <sz val="9"/>
        <rFont val="Calibri"/>
      </rPr>
      <t>https://sante.gouv.fr/actualites-presse/presse/communiques-de-presse/article/campagne-tarifaire-et-budgetaire-2026-des-etablissements-de-sante-3-6-milliards
https://sante.gouv.fr/systeme-de-sante/segur-de-la-sante/investissement-en-sante-une-nouvelle-politique-au-service-de-la-qualite-des-11226/csis
https://sante.gouv.fr/soins-et-maladies/qualite-securite-et-pertinence-des-soins/securite-des-prises-en-charge/securite-des-soins-et-des-patients/article/ameliorer-la-securite-des-patients-et-des-residents-la-1ere-feuille-de-route
https://www.statistiques.developpement-durable.gouv.fr/construction-de-locaux-resultats-fin-janvier-2026-france-entiere
https://www.insee.fr/fr/statistiques/8671745
https://www.insee.fr/fr/statistiques/8906564Hôpitaux publics : https://www.statistiques.developpement-durable.gouv.fr/construction-de-locaux-resultats-fin-janvier-2026-france-entiere
https://www.insee.fr/fr/statistiques/8671745
https://www.insee.fr/fr/statistiques/8906564Hôpitaux d’instruction des armées et centres médicaux recevant du public : https://www.defense.gouv.fr/ministere/politique-defense/loi-programmation-militaire-2024-2030
https://www.defense.gouv.fr/loi-programmation-militaire-2024-2030-grandes-orientations
https://www.statistiques.developpement-durable.gouv.fr/construction-de-locaux-resultats-fin-janvier-2026-france-entiere
https://www.insee.fr/fr/statistiques/8671745
https://www.insee.fr/fr/statistiques/8906564Unités hospitalières sécurisées en milieu carcéral : https://www.justice.gouv.fr/presentation-loi-dorientation-programmation-ministere-justice-2023-2027
https://www.justice.gouv.fr/ministere-justice/budget-justice
https://www.justice.gouv.fr/documentation/ressources/rapport-2024-loi-dorientation-programmation-du-ministere-justice-2023-2027
https://www.justice.gouv.fr/plan-15-000-places-prison
https://www.justice.gouv.fr/actualites/actualite/immobilier-penitentiaire-15000-places-plus-prisons
https://www.statistiques.developpement-durable.gouv.fr/construction-de-locaux-resultats-fin-janvier-2026-france-entiere
https://www.insee.fr/fr/statistiques/8671745
https://www.insee.fr/fr/statistiques/8906564Établissements Médico-éducatifs ; Foyers pour personnes handicapées : https://www.cnsa.fr/budget-et-financement/financement-des-esms/investissement-immobilier
https://www.cnsa.fr/actualites/instruction-budgetaire-les-priorites-de-financement-des-esms-pour-lexercice-2025
https://www.cnsa.fr/actualites/le-plan-national-50-000-solutions-des-avancees-tangibles
https://sante.gouv.fr/actualites-presse/presse/communiques-de-presse/article/campagne-tarifaire-et-budgetaire-2026-des-etablissements-de-sante-3-6-milliards
https://sante.gouv.fr/systeme-de-sante/segur-de-la-sante/investissement-en-sante-une-nouvelle-politique-au-service-de-la-qualite-des-11226/csis
https://sante.gouv.fr/soins-et-maladies/qualite-securite-et-pertinence-des-soins/securite-des-prises-en-charge/securite-des-soins-et-des-patients/article/ameliorer-la-securite-des-patients-et-des-residents-la-1ere-feuille-de-route
https://www.statistiques.developpement-durable.gouv.fr/construction-de-locaux-resultats-fin-janvier-2026-france-entiere
https://www.insee.fr/fr/statistiques/8671745
https://www.insee.fr/fr/statistiques/8906564Centres de santé / Centres médicaux ; Maisons de santé ; Cabinets Dentaires : https://sante.gouv.fr/actualites/presse/communiques-de-presse/article/acces-aux-soins-dans-les-territoires-agnes-firmin-le-bodo-a-annonce-le-plan-d
https://www.projetdeloi.sante.gouv.fr/grands-dossiers/un-meilleur-acces-aux-soins-pour-tous-sur-le-territoire/article/pacte-de-lutte-contre-les-deserts-medicaux-151-zones-prioritaires-identifiees
https://sante.gouv.fr/actualites-presse/presse/communiques-de-presse/article/campagne-tarifaire-et-budgetaire-2026-des-etablissements-de-sante-3-6-milliards
https://sante.gouv.fr/systeme-de-sante/segur-de-la-sante/investissement-en-sante-une-nouvelle-politique-au-service-de-la-qualite-des-11226/csis
https://sante.gouv.fr/soins-et-maladies/qualite-securite-et-pertinence-des-soins/securite-des-prises-en-charge/securite-des-soins-et-des-patients/article/ameliorer-la-securite-des-patients-et-des-residents-la-1ere-feuille-de-route
https://www.statistiques.developpement-durable.gouv.fr/construction-de-locaux-resultats-fin-janvier-2026-france-entiere
https://www.insee.fr/fr/statistiques/8671745
https://www.insee.fr/fr/statistiques/8906564MDPH Maisons de l’autonomie Guichets handicap : 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https://www.insee.fr/fr/statistiques/8906564EHPAD ; USLD ; Résidences autonomie Foyers-logements : https://www.cnsa.fr/budget-et-financement/financement-des-esms/investissement-immobilier
https://www.cnsa.fr/actualites/instruction-budgetaire-les-priorites-de-financement-des-esms-pour-lexercice-2025
https://www.cnsa.fr/actualites/le-plan-national-50-000-solutions-des-avancees-tangibles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https://www.insee.fr/fr/statistiques/8906564Résidences services seniors : https://www.cnsa.fr/budget-et-financement/financement-des-esms/investissement-immobilier
https://www.cnsa.fr/actualites/instruction-budgetaire-les-priorites-de-financement-des-esms-pour-lexercice-2025
https://www.cnsa.fr/actualites/le-plan-national-50-000-solutions-des-avancees-tangibles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
https://www.statistiques.developpement-durable.gouv.fr/construction-de-locaux-resultats-fin-janvier-2026-france-entiere
https://www.insee.fr/fr/statistiques/8671745
https://www.insee.fr/fr/statistiques/8906564</t>
    </r>
  </si>
  <si>
    <r>
      <rPr>
        <b/>
        <sz val="9"/>
        <rFont val="Calibri"/>
      </rPr>
      <t>Hôpitaux universitaires / CHU ; Hôpitaux publics ; Hôpitaux d’instruction des armées et centres médicaux recevant du public ; EHPAD</t>
    </r>
    <r>
      <rPr>
        <sz val="9"/>
        <rFont val="Calibri"/>
      </rPr>
      <t xml:space="preserve"> : ÉlevéeHôpitaux privés ; Cliniques ; Unités hospitalières sécurisées en milieu carcéral ; Établissements Médico-éducatifs ; Centres de santé / Centres médicaux ; Maisons de santé ; Cabinets Dentaires ; Foyers pour personnes handicapées ; MDPH Maisons de l’autonomie Guichets handicap ; USLD ; Résidences services seniors : BonneRésidences autonomie Foyers-logements : Moyenne+</t>
    </r>
  </si>
  <si>
    <r>
      <rPr>
        <b/>
        <sz val="9"/>
        <rFont val="Calibri"/>
      </rPr>
      <t>Hôpitaux universitaires / CHU ; Hôpitaux publics ; Hôpitaux d’instruction des armées et centres médicaux recevant du public</t>
    </r>
    <r>
      <rPr>
        <sz val="9"/>
        <rFont val="Calibri"/>
      </rPr>
      <t xml:space="preserve"> : Parc existant surtout intermédiaire. Les ventes se décalent légèrement vers intermédiaire, porté par l’hygiène, la facilité d’entretien et la technicité. La rénovation restant majoritaire, le mix de ventes reste proche du parc et monte surtout d’un cran sur les opérations lourdes. La technicité, l’hygiène et les programmes hospitaliers tirent le parc vers le standard/intermédiaire ; le confort monte surtout lors de restructurations lourdes plus larges que le sanitaire.Hôpitaux privés ; Cliniques : Parc existant surtout intermédiaire. Les ventes se décalent légèrement vers intermédiaire / premium, sous l’effet combiné de l’hygiène, de l’image et des rénovations lourdes. La rénovation restant majoritaire, le mix de ventes reste proche du parc et monte surtout d’un cran sur les opérations lourdes. Santé privée : combinaison de technicité, image de marque et confort patient ; les opérations neuves et de repositionnement poussent davantage vers l’intermédiaire/premium.Unités hospitalières sécurisées en milieu carcéral : Parc existant surtout standard. Les ventes restent proches du parc, centré sur standard, sous l’effet des contraintes de sûreté, d’anti-vandalisme et de maintenance. Le neuf est un peu plus qualitatif que la rénovation, sans renverser le centre de gravité du mix. Les contraintes de sûreté, d’anti-vandalisme et de maintenance pèsent fortement ; la technicité prime sur la recherche de standing.Établissements Médico-éducatifs : Parc existant surtout intermédiaire. Les ventes restent proches du parc, centré sur intermédiaire, du fait de budgets et de rénovations menées surtout par lots. La rénovation restant majoritaire, le mix de ventes reste proche du parc et monte surtout d’un cran sur les opérations lourdes. Le médico-social combine logique résidentielle, maintenance en exploitation et enveloppes publiques ciblées ; la montée en gamme existe mais reste graduelle.Centres de santé / Centres médicaux : Parc existant surtout intermédiaire. Les ventes se décalent légèrement vers intermédiaire, porté par l’hygiène, la facilité d’entretien et la technicité. Le neuf est un peu plus qualitatif que la rénovation, sans renverser le centre de gravité du mix. Structures ambulatoires : parc encore hétérogène mais dynamique de créations et regroupements qui élèvent le standard sur les ventes 2026-2030.Maisons de santé : Parc existant surtout intermédiaire. Les ventes 2026-2030 montent nettement vers intermédiaire, sous l’effet combiné de l’hygiène, de l’image et des rénovations lourdes. Le neuf tire clairement le mix plus haut que la rénovation. Sous-segment très tiré par le neuf récent, avec un positionnement plus qualitatif que l’ambulatoire historique et des budgets de réalisation mieux fléchés.Cabinets Dentaires : Parc existant centre sur le niveau health, avec ventes 2026-2030 legerement plus qualitatives. Cabinets Dentaires : exigence hygiene forte, accessibilite et flux patients/accompagnants de jour; le mix reste guide par hygiene, accessibilite, continuite de service et maintenance encadree.Foyers pour personnes handicapées : Parc existant surtout intermédiaire. Les ventes se décalent légèrement vers intermédiaire, du fait de budgets et de rénovations menées surtout par lots. Le neuf est un peu plus qualitatif que la rénovation, sans renverser le centre de gravité du mix. Le médico-social combine logique résidentielle, maintenance en exploitation et enveloppes publiques ciblées ; la montée en gamme existe mais reste graduelle.MDPH Maisons de l’autonomie Guichets handicap : Parc existant centre sur le niveau health, avec ventes 2026-2030 legerement plus qualitatives. MDPH Maisons de l’autonomie Guichets handicap : exigence hygiene forte, accessibilite et flux patients/accompagnants de jour; le mix reste guide par hygiene, accessibilite, continuite de service et maintenance encadree.EHPAD : Parc existant surtout intermédiaire. Les ventes se décalent légèrement vers premium / intermédiaire, porté par l’hygiène, la facilité d’entretien et la technicité. La rénovation restant majoritaire, le mix de ventes reste proche du parc et monte surtout d’un cran sur les opérations lourdes. EHPAD : présence de chambres et salles d’eau individuelles, importance du confort résidentiel mais sous forte contrainte de budget et de maintenance ; les plans d’investissement améliorent surtout le standard/intermédiaire.USLD : Parc existant surtout intermédiaire. Les ventes se décalent légèrement vers intermédiaire, du fait de budgets et de rénovations menées surtout par lots. La rénovation restant majoritaire, le mix de ventes reste proche du parc et monte surtout d’un cran sur les opérations lourdes. Le médico-social combine logique résidentielle, maintenance en exploitation et enveloppes publiques ciblées ; la montée en gamme existe mais reste graduelle.Résidences autonomie Foyers-logements : Parc existant surtout intermédiaire. Les ventes restent proches du parc, centré sur intermédiaire, du fait de budgets et de rénovations menées surtout par lots. La rénovation restant majoritaire, le mix de ventes reste proche du parc et monte surtout d’un cran sur les opérations lourdes. Parc plutôt résidentiel mais public, avec budgets d’investissement plus serrés que le privé ; les rénovations priorisent souvent l’accessibilité et la maintenance.Résidences services seniors : Parc existant surtout intermédiaire / premium. Les ventes se décalent légèrement vers premium, tiré par l’image de marque et l’expérience usager. Le neuf tire clairement le mix plus haut que la rénovation. Résidences seniors privées : mix nettement plus qualitatif, tiré par le standing résidentiel, l’image commerciale et des opérations neuves plus nombreuses.</t>
    </r>
  </si>
  <si>
    <r>
      <rPr>
        <b/>
        <sz val="9"/>
        <rFont val="Calibri"/>
      </rPr>
      <t>Hôpitaux universitaires / CHU ; Hôpitaux publics ; EHPAD</t>
    </r>
    <r>
      <rPr>
        <sz val="9"/>
        <rFont val="Calibri"/>
      </rPr>
      <t xml:space="preserve"> : ±3 ptsHôpitaux privés ; Cliniques ; Unités hospitalières sécurisées en milieu carcéral ; Établissements Médico-éducatifs ; Cabinets Dentaires ; Foyers pour personnes handicapées ; MDPH Maisons de l’autonomie Guichets handicap ; USLD : ±4 ptsHôpitaux d’instruction des armées et centres médicaux recevant du public ; Centres de santé / Centres médicaux ; Maisons de santé ; Résidences autonomie Foyers-logements ; Résidences services seniors : ±5 pts</t>
    </r>
  </si>
  <si>
    <r>
      <rPr>
        <b/>
        <sz val="9"/>
        <rFont val="Calibri"/>
      </rPr>
      <t>Hôpitaux universitaires / CHU ; Hôpitaux publics ; EHPAD</t>
    </r>
    <r>
      <rPr>
        <sz val="9"/>
        <rFont val="Calibri"/>
      </rPr>
      <t xml:space="preserve"> : ±3 ptsHôpitaux privés ; Cliniques ; Établissements Médico-éducatifs ; Cabinets Dentaires ; MDPH Maisons de l’autonomie Guichets handicap ; USLD : ±4 ptsHôpitaux d’instruction des armées et centres médicaux recevant du public ; Unités hospitalières sécurisées en milieu carcéral ; Foyers pour personnes handicapées ; Résidences autonomie Foyers-logements : ±5 ptsCentres de santé / Centres médicaux ; Maisons de santé ; Résidences services seniors : ±6 pts</t>
    </r>
  </si>
  <si>
    <r>
      <rPr>
        <b/>
        <sz val="9"/>
        <rFont val="Calibri"/>
      </rPr>
      <t>Hôpitaux universitaires / CHU ; Hôpitaux publics ; EHPAD</t>
    </r>
    <r>
      <rPr>
        <sz val="9"/>
        <rFont val="Calibri"/>
      </rPr>
      <t xml:space="preserve"> : Très bonneHôpitaux privés ; Cliniques ; Unités hospitalières sécurisées en milieu carcéral ; Établissements Médico-éducatifs ; Foyers pour personnes handicapées ; USLD : BonneHôpitaux d’instruction des armées et centres médicaux recevant du public ; Centres de santé / Centres médicaux ; Maisons de santé ; Résidences autonomie Foyers-logements ; Résidences services seniors : Moyenne +Cabinets Dentaires ; MDPH Maisons de l’autonomie Guichets handicap : Élevée</t>
    </r>
  </si>
  <si>
    <r>
      <rPr>
        <b/>
        <sz val="9"/>
        <rFont val="Calibri"/>
      </rPr>
      <t>Hôpitaux universitaires / CHU ; Hôpitaux publics</t>
    </r>
    <r>
      <rPr>
        <sz val="9"/>
        <rFont val="Calibri"/>
      </rPr>
      <t xml:space="preserve"> : La technicité, l’hygiène et les programmes hospitaliers tirent le parc vers le standard/intermédiaire ; le confort monte surtout lors de restructurations lourdes plus larges que le sanitaire.Hôpitaux privés ; Cliniques : Santé privée : combinaison de technicité, image de marque et confort patient ; les opérations neuves et de repositionnement poussent davantage vers l’intermédiaire/premium.Hôpitaux d’instruction des armées et centres médicaux recevant du public : Espaces militaires recevant du public : niveau de confort supérieur au parc purement interne, sans logique de luxe.Unités hospitalières sécurisées en milieu carcéral : Les établissements plus récents ou orientés réinsertion/éducatif montent légèrement en standard, mais le fonctionnel et la robustesse restent déterminants.Établissements Médico-éducatifs ; Foyers pour personnes handicapées : Le médico-social combine logique résidentielle, maintenance en exploitation et enveloppes publiques ciblées ; la montée en gamme existe mais reste graduelle.Centres de santé / Centres médicaux : Structures ambulatoires : parc encore hétérogène mais dynamique de créations et regroupements qui élèvent le standard sur les ventes 2026-2030.Maisons de santé : Sous-segment très tiré par le neuf récent, avec un positionnement plus qualitatif que l’ambulatoire historique et des budgets de réalisation mieux fléchés.Cabinets Dentaires ; MDPH Maisons de l’autonomie Guichets handicap : Parc existant : hygiene, accessibilite, continuite de service et maintenance encadree; exigence hygiene forte, accessibilite et flux patients/accompagnants de jour. La montee en confort reste proportionnee au budget et au rythme de renovation.EHPAD : EHPAD : présence de chambres et salles d’eau individuelles, importance du confort résidentiel mais sous forte contrainte de budget et de maintenance ; les plans d’investissement améliorent surtout le standard/intermédiaire.USLD : USLD : présence de chambres et salles d’eau individuelles, importance du confort résidentiel mais sous forte contrainte de budget et de maintenance ; les plans d’investissement améliorent surtout le standard/intermédiaire.Résidences autonomie Foyers-logements : Parc plutôt résidentiel mais public, avec budgets d’investissement plus serrés que le privé ; les rénovations priorisent souvent l’accessibilité et la maintenance.Résidences services seniors : Résidences seniors privées : mix nettement plus qualitatif, tiré par le standing résidentiel, l’image commerciale et des opérations neuves plus nombreuses.</t>
    </r>
  </si>
  <si>
    <r>
      <rPr>
        <b/>
        <sz val="9"/>
        <rFont val="Calibri"/>
      </rPr>
      <t>Hôpitaux universitaires / CHU ; Hôpitaux publics ; Établissements Médico-éducatifs ; EHPAD ; USLD</t>
    </r>
    <r>
      <rPr>
        <sz val="9"/>
        <rFont val="Calibri"/>
      </rPr>
      <t xml:space="preserve"> : contrainte sanitaire ⇒ standard/intermédiaire technique ↑ ; rénovation dominante ⇒ progression graduelleHôpitaux privés ; Cliniques : image + privé ⇒ premium/luxe ↑ ; contrainte sanitaire ⇒ standard/intermédiaire technique ↑ ; rénovation dominante ⇒ progression graduelleHôpitaux d’instruction des armées et centres médicaux recevant du public : image d’accueil ⇒ intermédiaire/premium ↑ ; rénovation dominante ⇒ progression graduelleUnités hospitalières sécurisées en milieu carcéral : poids du neuf significatif ⇒ premiumisation des ventes &gt; parcCentres de santé / Centres médicaux ; Foyers pour personnes handicapées : contrainte sanitaire ⇒ standard/intermédiaire technique ↑ ; poids du neuf significatif ⇒ premiumisation des ventes &gt; parcMaisons de santé : image + privé ⇒ premium/luxe ↑ ; contrainte sanitaire ⇒ standard/intermédiaire technique ↑ ; poids du neuf significatif ⇒ premiumisation des ventes &gt; parcCabinets Dentaires ; MDPH Maisons de l’autonomie Guichets handicap : renovation dominante =&gt; progression graduelleRésidences autonomie Foyers-logements : rénovation dominante ⇒ progression graduelleRésidences services seniors : image + privé ⇒ premium/luxe ↑ ; poids du neuf significatif ⇒ premiumisation des ventes &gt; parc</t>
    </r>
  </si>
  <si>
    <r>
      <rPr>
        <b/>
        <sz val="9"/>
        <rFont val="Calibri"/>
      </rPr>
      <t>Hôpitaux universitaires / CHU</t>
    </r>
    <r>
      <rPr>
        <sz val="9"/>
        <rFont val="Calibri"/>
      </rPr>
      <t xml:space="preserve"> : Hôpitaux universitaires / CHU : technicité hospitalière, hygiène et restructurations lourdes pilotent les arbitrages. Ventes 2026-2030 : glissement vers davantage de moyen / premium, surtout sur lavabo (+14,1 pts sur premium+luxe), douche (+12,9 pts sur premium+luxe), WC (+12,5 pts sur premium+luxe). La rénovation reste majoritaire (77% des ventes, contre 23% en neuf) ; le neuf tire le mix vers le haut sans renverser le centre de gravité. L’écart de niveau de confort entre neuf et rénovation est net.Hôpitaux publics : Ventes 2026-2030 : glissement vers davantage de moyen / premium, surtout sur lavabo (+12,0 pts sur premium+luxe), douche (+10,8 pts sur premium+luxe), WC (+10,4 pts sur premium+luxe). La rénovation reste majoritaire (82% des ventes, contre 18% en neuf) ; le neuf tire le mix vers le haut sans renverser le centre de gravité. L’écart de niveau de confort entre neuf et rénovation est net.Hôpitaux privés : Hôpitaux privés : positionnement privé avec exigence patient plus visible sur les halls et chambres. Ventes 2026-2030 : glissement vers davantage de moyen / premium, surtout sur lavabo (+18,1 pts sur premium+luxe), WC (+18,1 pts sur premium+luxe), douche (+17,9 pts sur premium+luxe). La rénovation reste majoritaire (83% des ventes, contre 17% en neuf) ; le neuf tire le mix vers le haut sans renverser le centre de gravité. L’écart de niveau de confort entre neuf et rénovation est net.Cliniques : Cliniques : cliniques plus sensibles à l’expérience patient et au repositionnement commercial. Ventes 2026-2030 : glissement vers davantage de moyen / premium, surtout sur WC (+18,2 pts sur premium+luxe), douche (+17,3 pts sur premium+luxe), lavabo (+17,0 pts sur premium+luxe). La rénovation reste majoritaire (83% des ventes, contre 17% en neuf) ; le neuf tire le mix vers le haut sans renverser le centre de gravité. L’écart de niveau de confort entre neuf et rénovation est net.Hôpitaux d’instruction des armées et centres médicaux recevant du public : Hôpitaux d’instruction des armées et centres médicaux recevant du public : hôpitaux militaires : contrainte sanitaire forte et technicité au-dessus de la moyenne. Ventes 2026-2030 : glissement vers davantage de moyen / premium, surtout sur lavabo (+13,0 pts sur premium+luxe), douche (+9,8 pts sur premium+luxe), WC (+9,2 pts sur premium+luxe). La rénovation reste majoritaire (80% des ventes, contre 20% en neuf) ; le neuf tire le mix vers le haut sans renverser le centre de gravité. L’écart de niveau de confort entre neuf et rénovation est net.Unités hospitalières sécurisées en milieu carcéral : Unités hospitalières sécurisées : unités hospitalières sécurisées mêlant sanitaire technique et environnement sécurisé. Ventes 2026-2030 : glissement vers davantage de moyen / premium, surtout sur lavabo (+5,4 pts sur premium+luxe), douche (+5,4 pts sur premium+luxe), WC (+4,9 pts sur premium+luxe). La rénovation reste majoritaire (69% des ventes, contre 31% en neuf) ; le neuf tire le mix vers le haut sans renverser le centre de gravité. L’écart de niveau de confort entre neuf et rénovation est net.Établissements Médico-éducatifs : Établissements médico-éducatifs : ESMS publics/associatifs où l’accessibilité et la facilité d’usage priment. Ventes 2026-2030 : glissement vers davantage de moyen / premium, surtout sur douche (+10,2 pts sur premium+luxe), lavabo (+9,4 pts sur premium+luxe), WC (+9,3 pts sur premium+luxe). La rénovation reste majoritaire (82% des ventes, contre 18% en neuf) ; le neuf tire le mix vers le haut sans renverser le centre de gravité. L’écart de niveau de confort entre neuf et rénovation est net.Centres de santé / Centres médicaux : Centres de santé / centres médicaux : parc de soins de proximité assez standardisé, avec peu de luxe mais une attente de propreté visible. Ventes 2026-2030 : glissement vers davantage de moyen / premium, surtout sur lavabo (+17,3 pts sur premium+luxe), WC (+15,8 pts sur premium+luxe), urinoir (+12,4 pts sur premium+luxe). La rénovation reste majoritaire (65% des ventes, contre 35% en neuf) ; le neuf tire le mix vers le haut sans renverser le centre de gravité. L’écart de niveau de confort entre neuf et rénovation est net.Maisons de santé : Maisons de santé : maisons de santé récentes et souvent conçues en neuf, donc niveau moyen supérieur. Ventes 2026-2030 : glissement vers davantage de moyen / premium, surtout sur urinoir (+34,2 pts sur premium+luxe), WC (+33,9 pts sur premium+luxe), lavabo (+32,4 pts sur premium+luxe). Le neuf représente 75% des ventes contre 25% en rénovation et tire nettement le mix vers le haut. L’écart de niveau de confort entre neuf et rénovation est net.Cabinets Dentaires : Cabinets Dentaires : ventes 2026-2030 en leger glissement vers moyen/premium lorsque le neuf ou les renov. lourdes interviennent. Le centre de gravite reste toutefois module par hygiene, accessibilite, continuite de service et maintenance encadree et par la part dominante de travaux sur parc existant.Foyers pour personnes handicapées : Foyers pour personnes handicapées : foyers collectifs à budget contraint et arbitrages au service de la robustesse. Ventes 2026-2030 : glissement vers davantage de moyen / premium, surtout sur douche (+14,4 pts sur premium+luxe), lavabo (+13,4 pts sur premium+luxe), WC (+13,2 pts sur premium+luxe). La rénovation reste majoritaire (68% des ventes, contre 32% en neuf) ; le neuf tire le mix vers le haut sans renverser le centre de gravité. L’écart de niveau de confort entre neuf et rénovation est net.MDPH Maisons de l’autonomie Guichets handicap : MDPH Maisons de l’autonomie Guichets handicap : ventes 2026-2030 en leger glissement vers moyen/premium lorsque le neuf ou les renov. lourdes interviennent. Le centre de gravite reste toutefois module par hygiene, accessibilite, continuite de service et maintenance encadree et par la part dominante de travaux sur parc existant.EHPAD : EHPAD : dimension résidentielle et confort d’usage importants malgré une forte contrainte budgétaire. Ventes 2026-2030 : glissement vers davantage de moyen / premium, surtout sur douche (+12,8 pts sur premium+luxe), WC (+12,6 pts sur premium+luxe), lavabo (+11,4 pts sur premium+luxe). La rénovation reste majoritaire (83% des ventes, contre 17% en neuf) ; le neuf tire le mix vers le haut sans renverser le centre de gravité. L’écart de niveau de confort entre neuf et rénovation est net.USLD : USLD : dimension résidentielle mais avec médicalisation plus forte, ce qui favorise surtout le milieu de gamme technique. Ventes 2026-2030 : glissement vers davantage de moyen / premium, surtout sur douche (+12,3 pts sur premium+luxe), WC (+11,5 pts sur premium+luxe), lavabo (+10,3 pts sur premium+luxe). La rénovation reste majoritaire (84% des ventes, contre 16% en neuf) ; le neuf tire le mix vers le haut sans renverser le centre de gravité. L’écart de niveau de confort entre neuf et rénovation est net.Résidences autonomie Foyers-logements : Ventes 2026-2030 : glissement vers davantage de moyen / premium, surtout sur douche (+12,2 pts sur premium+luxe), WC (+11,1 pts sur premium+luxe), lavabo (+10,2 pts sur premium+luxe). La rénovation reste majoritaire (82% des ventes, contre 18% en neuf) ; le neuf tire le mix vers le haut sans renverser le centre de gravité. L’écart de niveau de confort entre neuf et rénovation est net.Résidences services seniors : Ventes 2026-2030 : glissement vers davantage de moyen / premium, surtout sur urinoir (+29,0 pts sur premium+luxe), WC (+18,0 pts sur premium+luxe), lavabo (+17,8 pts sur premium+luxe). Le neuf représente 71% des ventes contre 29% en rénovation et tire nettement le mix vers le haut. L’écart de niveau de confort entre neuf et rénovation est net.</t>
    </r>
  </si>
  <si>
    <t>1 - Culture / spectacle
2 - Expositions / salons
3 - Événementiel temporaire
4 - Accueil touristique</t>
  </si>
  <si>
    <t>1 - Cinémas
2 - Théâtres
3 - Musées
4 - Salles de spectacle / Auditoriums
5 - Salles de conférence / Réunion
6 - Salles polyvalentes / Salles des fêtes
7 - Bibliothèques / Médiathèques
8 - Centres de Documentation et Consultation d’archives autonomes
9 - Foires / Salons
10 - Halls d’exposition
11 - Chapiteaux / Tentes / Structures
12 - Structures gonflables
13 - Offices de tourisme</t>
  </si>
  <si>
    <r>
      <rPr>
        <b/>
        <sz val="9"/>
        <rFont val="Calibri"/>
      </rPr>
      <t>Cinémas ; Théâtres ; Salles de spectacle / Auditoriums ; Salles de conférence / Réunion ; Salles polyvalentes / Salles des fêtes</t>
    </r>
    <r>
      <rPr>
        <sz val="9"/>
        <rFont val="Calibri"/>
      </rPr>
      <t xml:space="preserve"> : LMusées : YBibliothèques / Médiathèques ; Centres de Documentation et Consultation d’archives autonomes : SFoires / Salons ; Halls d’exposition : TChapiteaux / Tentes / Structures : CTSStructures gonflables : SGOffices de tourisme : W / L</t>
    </r>
  </si>
  <si>
    <r>
      <rPr>
        <b/>
        <sz val="9"/>
        <rFont val="Calibri"/>
      </rPr>
      <t>Cinémas ; Théâtres ; Musées ; Salles de spectacle / Auditoriums ; Salles de conférence / Réunion ; Salles polyvalentes / Salles des fêtes ; Bibliothèques / Médiathèques ; Centres de Documentation et Consultation d’archives autonomes ; Foires / Salons ; Halls d’exposition ; Offices de tourisme</t>
    </r>
    <r>
      <rPr>
        <sz val="9"/>
        <rFont val="Calibri"/>
      </rPr>
      <t xml:space="preserve"> : ERPChapiteaux / Tentes / Structures ; Structures gonflables : ERP spécial</t>
    </r>
  </si>
  <si>
    <r>
      <rPr>
        <b/>
        <sz val="9"/>
        <rFont val="Calibri"/>
      </rPr>
      <t>Cinémas ; Théâtres ; Musées ; Salles de spectacle / Auditoriums ; Salles de conférence / Réunion ; Salles polyvalentes / Salles des fêtes ; Bibliothèques / Médiathèques ; Centres de Documentation et Consultation d’archives autonomes ; Foires / Salons ; Halls d’exposition ; Chapiteaux / Tentes / Structures ; Structures gonflables</t>
    </r>
    <r>
      <rPr>
        <sz val="9"/>
        <rFont val="Calibri"/>
      </rPr>
      <t xml:space="preserve"> : ERPOffices de tourisme : ERP / variable</t>
    </r>
  </si>
  <si>
    <r>
      <rPr>
        <b/>
        <sz val="9"/>
        <rFont val="Calibri"/>
      </rPr>
      <t>Cinémas</t>
    </r>
    <r>
      <rPr>
        <sz val="9"/>
        <rFont val="Calibri"/>
      </rPr>
      <t xml:space="preserve"> : Salles de projection recevant du public.Théâtres : Salles de spectacles et auditions.Musées : Exposition permanente de collections.Salles de spectacle / Auditoriums : Salles de spectacles, conférences ou auditions.Salles de conférence / Réunion : Accueil d’assemblées et réunions publiques.Salles polyvalentes / Salles des fêtes : Réunions, manifestations, polyvalence.Bibliothèques / Médiathèques : Consultation et prêt de documents.Centres de Documentation et Consultation d’archives autonomes : Consultation de documents.Foires / Salons : Manifestations commerciales ou thématiques.Halls d’exposition : Expositions temporaires ou permanentes.Chapiteaux / Tentes / Structures : Structures temporaires recevant du public.Structures gonflables : Installations gonflables ouvertes au public.Offices de tourisme : Accueil touristique</t>
    </r>
  </si>
  <si>
    <r>
      <rPr>
        <b/>
        <sz val="9"/>
        <rFont val="Calibri"/>
      </rPr>
      <t>Cinémas</t>
    </r>
    <r>
      <rPr>
        <sz val="9"/>
        <rFont val="Calibri"/>
      </rPr>
      <t xml:space="preserve"> : MultiplexeThéâtres : Théâtre municipalMusées : Musée municipal, musée privéSalles de spectacle / Auditoriums : Auditorium, salle de concertSalles de conférence / Réunion : Centre de conférencesSalles polyvalentes / Salles des fêtes : Salle communale, salle polyvalenteBibliothèques / Médiathèques : Bibliothèque municipaleCentres de Documentation et Consultation d’archives autonomes : Archives départementales, régionales autonomes, municipales/intercommunales autonomes, centre de documentation public autonomeFoires / Salons : Salon professionnel, foireHalls d’exposition : Hall d’expositionChapiteaux / Tentes / Structures : Chapiteau de cirque, tente événementielleStructures gonflables : Parc - château - parc aquatique - centre indoor gonflable autonome avec base d’accueilOffices de tourisme : Office de tourisme intercommunal, bureau principal de destination</t>
    </r>
  </si>
  <si>
    <r>
      <rPr>
        <b/>
        <sz val="9"/>
        <rFont val="Calibri"/>
      </rPr>
      <t>Cinémas ; Théâtres ; Musées ; Salles de spectacle / Auditoriums ; Salles de conférence / Réunion ; Salles polyvalentes / Salles des fêtes ; Bibliothèques / Médiathèques ; Centres de Documentation et Consultation d’archives autonomes ; Foires / Salons ; Halls d’exposition ; Chapiteaux / Tentes / Structures ; Structures gonflables</t>
    </r>
    <r>
      <rPr>
        <sz val="9"/>
        <rFont val="Calibri"/>
      </rPr>
      <t xml:space="preserve"> : non</t>
    </r>
  </si>
  <si>
    <r>
      <rPr>
        <b/>
        <sz val="9"/>
        <rFont val="Calibri"/>
      </rPr>
      <t>Cinémas ; Théâtres ; Musées ; Salles de spectacle / Auditoriums ; Salles de conférence / Réunion ; Salles polyvalentes / Salles des fêtes ; Bibliothèques / Médiathèques ; Centres de Documentation et Consultation d’archives autonomes ; Foires / Salons ; Halls d’exposition ; Chapiteaux / Tentes / Structures ; Structures gonflables</t>
    </r>
    <r>
      <rPr>
        <sz val="9"/>
        <rFont val="Calibri"/>
      </rPr>
      <t xml:space="preserve"> : oui</t>
    </r>
  </si>
  <si>
    <r>
      <rPr>
        <b/>
        <sz val="9"/>
        <rFont val="Calibri"/>
      </rPr>
      <t>Cinémas ; Théâtres ; Musées ; Salles de spectacle / Auditoriums ; Salles de conférence / Réunion ; Salles polyvalentes / Salles des fêtes ; Bibliothèques / Médiathèques ; Centres de Documentation et Consultation d’archives autonomes ; Foires / Salons ; Halls d’exposition ; Chapiteaux / Tentes / Structures ; Structures gonflables</t>
    </r>
    <r>
      <rPr>
        <sz val="9"/>
        <rFont val="Calibri"/>
      </rPr>
      <t xml:space="preserve"> : Site
Etablissement principal</t>
    </r>
  </si>
  <si>
    <r>
      <rPr>
        <b/>
        <sz val="9"/>
        <rFont val="Calibri"/>
      </rPr>
      <t>Cinémas ; Bibliothèques / Médiathèques ; Centres de Documentation et Consultation d’archives autonomes</t>
    </r>
    <r>
      <rPr>
        <sz val="9"/>
        <rFont val="Calibri"/>
      </rPr>
      <t xml:space="preserve"> : série publique directeThéâtres ; Musées ; Salles de spectacle / Auditoriums ; Salles de conférence / Réunion ; Salles polyvalentes / Salles des fêtes ; Foires / Salons ; Halls d’exposition ; Chapiteaux / Tentes / Structures ; Structures gonflables : proxy public / estimation encadrée</t>
    </r>
  </si>
  <si>
    <r>
      <rPr>
        <b/>
        <sz val="9"/>
        <rFont val="Calibri"/>
      </rPr>
      <t>Cinémas ; Théâtres ; Musées ; Bibliothèques / Médiathèques</t>
    </r>
    <r>
      <rPr>
        <sz val="9"/>
        <rFont val="Calibri"/>
      </rPr>
      <t xml:space="preserve"> : ElevéSalles de spectacle / Auditoriums ; Salles de conférence / Réunion ; Salles polyvalentes / Salles des fêtes ; Centres de Documentation et Consultation d’archives autonomes ; Foires / Salons ; Halls d’exposition ; Chapiteaux / Tentes / Structures ; Structures gonflables : Moyenne</t>
    </r>
  </si>
  <si>
    <r>
      <rPr>
        <b/>
        <sz val="9"/>
        <rFont val="Calibri"/>
      </rPr>
      <t>Cinémas ; Musées</t>
    </r>
    <r>
      <rPr>
        <sz val="9"/>
        <rFont val="Calibri"/>
      </rPr>
      <t xml:space="preserve"> : Parc d’équipements public/associatif mature ; renouvellement lent et faible variation nette d’une année sur l’autre.Théâtres ; Foires / Salons ; Halls d’exposition : Faute de série nationale homogène publiée annuellement pour cette sous-catégorie, le proxy est lissé ; la faible variation reflète une prudence méthodologique.Salles de spectacle / Auditoriums ; Salles de conférence / Réunion : Pas de stagnation structurelle : la série évolue à la hausse sur la période 2000-2026 ; la projection prolonge cette tendance avec prudence.Salles polyvalentes / Salles des fêtes : Parc très diffus et plutôt stable, avec légère hausse/renouvellement. Le filtre sanitaire est peu réducteur : une salle louée au public dispose normalement de WC/lavabos.Bibliothèques / Médiathèques : Le stock de bibliothèques/médiathèques est mature et très majoritairement public. Tassement lent du réseau, avec rationalisation locale mais maintien d’un maillage très dense ; pas de rupture 2026-2030.Centres de Documentation et Consultation d’archives autonomes : Croissance lente puis quasi-stabilité : parc physique public d’archives/documentation assez mature, avec quelques créations ou regroupements de sites autonomes.Chapiteaux / Tentes / Structures : Structures exploités comme sites autonomes recevant du public avec sanitaires intégrés. Sont exclus les montages événementiels reposant sur les sanitaires du site hôte déjà compté ailleurs.Structures gonflables : Chiffrage vise uniquement les sites autonomes ou clairement dotés de leurs propres sanitaires recevant du public (campings, parcs de loisirs, fêtes locales, bases nautiques).Offices de tourisme : Baisse forte liée aux regroupements intercommunaux, à la numérisation de l'information touristique et à la fermeture de certains accueils physiques.</t>
    </r>
  </si>
  <si>
    <r>
      <rPr>
        <b/>
        <sz val="9"/>
        <rFont val="Calibri"/>
      </rPr>
      <t>Cinémas</t>
    </r>
    <r>
      <rPr>
        <sz val="9"/>
        <rFont val="Calibri"/>
      </rPr>
      <t xml:space="preserve"> : parc de cinémas actifs 2024. Dynamique projetée 2027-2030: stable. Fiabilité: bonne.Théâtres : proxy équipements culturels. Dynamique projetée 2027-2030: stable. Fiabilité: moyenne.Musées : proxy musées de France et assimilés. Dynamique projetée 2027-2030: stable. Fiabilité: bonne.Salles de spectacle / Auditoriums : proxy équipements culturels de spectacle. Dynamique projetée 2027-2030: hausse légère. Fiabilité: moyenne.Salles de conférence / Réunion : proxy centres de congrès et salles publiques. Dynamique projetée 2027-2030: hausse légère. Fiabilité: moyenne.Salles polyvalentes / Salles des fêtes : Dédoublonnage réalisé vis-à-vis des gymnases, salles de spectacle, locaux associatifs, salles intégrées à mairie, MJC/local associatif, gymnase, salle de spectacle ou équipement culturel déjà compté.Bibliothèques / Médiathèques : BPE 2024 bibliothèques et points d’accès. Ancré sur BPE Insee (15 846 bibliothèques). Reste de la série vise continuité cohérente avec travaux du ministère Culture sur lieux de lecture publique.Centres de Documentation et Consultation d’archives autonomes : Projection prudente : seuls sites autonomes avec salle consultation-accueil public sont retenus ; sanitaires publics-personnel fréquents dans ces bâtiments recevant public.Foires / Salons : proxy grands sites accueillant salons et foires. Dynamique projetée 2027-2030: stable. Fiabilité: moyenne.Halls d’exposition : proxy centres d’exposition. Dynamique projetée 2027-2030: stable. Fiabilité: moyenne.Chapiteaux / Tentes / Structures : Projection 2026-2030 en hausse très modérée. Fiabilité: moyenne.Structures gonflables : 2026-30 faible hausse =&gt; secteur continue à se développer. Part de sites réellement autonomes avec sanitaires bien plus restreinte que le volume total d’implantations temporaires ou hébergées.Offices de tourisme : ADN Tourisme représente 1 200 structures institutionnelles de tourisme tous niveaux confondus ; la ligne retient un sous-ensemble d'offices/sites principaux autonomes.</t>
    </r>
  </si>
  <si>
    <r>
      <rPr>
        <b/>
        <sz val="9"/>
        <rFont val="Calibri"/>
      </rPr>
      <t>Cinémas</t>
    </r>
    <r>
      <rPr>
        <sz val="9"/>
        <rFont val="Calibri"/>
      </rPr>
      <t xml:space="preserve"> : https://www.boxofficepro.fr/geographie-du-cinema-2024-un-parc-de-salles-stable/Théâtres ; Salles de spectacle / Auditoriums ; Salles de conférence / Réunion ; Foires / Salons ; Halls d’exposition : https://www.insee.fr/fr/metadonnees/source/serie/s1161Musées : https://www.culture.gouv.fr/Aides-demarches/Protections-labels-et-appellations/Appellation-Musee-de-FranceSalles polyvalentes / Salles des fêtes : https://www.data.gouv.fr/datasets/recensement-des-equipements-sportifs-espaces-et-sites-de-pratiques ; https://www.insee.fr/fr/statistiques/3196299?sommaire=3197322 ; https://code.travail.gouv.fr/code-du-travail/r4228-1
https://www.insee.fr/fr/metadonnees/source/serie/s1161Bibliothèques / Médiathèques : https://www.insee.fr/fr/statistiques/8610258?geo=FE-1 ; https://www.culture.gouv.fr/thematiques/livre-et-lecture/pour-les-professionnels-des-bibliotheques/donnees-sur-les-bibliotheques/cartographie-des-bibliothequesCentres de Documentation et Consultation d’archives autonomes : https://www.data.gouv.fr/fr/datasets/activite-des-services-darchives-en-france/
https://francearchives.gouv.fr/fr/article/37979
https://www.legifrance.gouv.fr/codes/section_lc/JORFTEXT000000290033/LEGISCTA000020334994/Chapiteaux / Tentes / Structures : https://www.legifrance.gouv.fr/codes/section_lc/JORFTEXT000000290033/LEGISCTA000020303822/Structures gonflables : https://www.economie.gouv.fr/dgccrf/laction-de-la-dgccrf/les-enquetes-et-les-controles/structures-gonflables-des-controles-renforces-pour-garantir-la-securite-du-public ; https://www.economie.gouv.fr/node/3234953Offices de tourisme : https://www.adn-tourisme.fr/qui-sommes-nous/missions/ ; https://www.entreprises.gouv.fr/espace-entreprises/s-informer-sur-la-reglementation/les-offices-de-tourisme</t>
    </r>
  </si>
  <si>
    <r>
      <rPr>
        <b/>
        <sz val="9"/>
        <rFont val="Calibri"/>
      </rPr>
      <t>Cinémas ; Théâtres</t>
    </r>
    <r>
      <rPr>
        <sz val="9"/>
        <rFont val="Calibri"/>
      </rPr>
      <t xml:space="preserve"> : Bloc public de salle/circulation + sanitaire staff ; pas de douches.Musées ; Bibliothèques / Médiathèques : Musée/bibliothèque : sanitaires visiteurs aux pôles d'accueil + staff.Salles de spectacle / Auditoriums ; Salles de conférence / Réunion ; Structures gonflables : Équipement événementiel : programme public en batterie à l'entrée et en pourtour, staff séparé.Salles polyvalentes / Salles des fêtes : Salle polyvalente/salle des fêtes : batteries public événementiel + sanitaire staff/office.Centres de Documentation et Consultation d’archives autonomes : Archives/centre de consultation : bloc lecteurs + sanitaire personnel.Foires / Salons ; Halls d’exposition : Foires/halls : batteries de sanitaires permanents, hors renforts mobiles d'événement.Chapiteaux / Tentes / Structures : Chapiteau/structure temporaire : sanitaires publics permanents ou mobiles raccordés + staff. Douche très ponctuelle artistes/staff selon événement.Offices de tourisme : Office de tourisme : petit bloc visiteurs + sanitaire personnel. Urinoir rare, présent surtout dans quelques sites principaux très fréquentés.</t>
    </r>
  </si>
  <si>
    <r>
      <rPr>
        <b/>
        <sz val="9"/>
        <rFont val="Calibri"/>
      </rPr>
      <t>Cinémas</t>
    </r>
    <r>
      <rPr>
        <sz val="9"/>
        <rFont val="Calibri"/>
      </rPr>
      <t xml:space="preserve"> : Capacité type ≈ 440 usagers principaux + 40 staff + 20 techniciens/exploitants externes. Le programme sanitaire est construit par blocs fonctionnels plausibles (public, personnel, exploitation/hébergement selon le cas) et non par simple ratio national moyen. Calibrage selon capacité simultanée, répartition de flux et organisation réelle du site.Théâtres : Capacité type ≈ 616 usagers principaux + 56 staff + 28 artistes/intervenants. Le programme sanitaire est construit par blocs fonctionnels plausibles (public, personnel, exploitation/hébergement selon le cas) et non par simple ratio national moyen. Calibrage selon capacité simultanée, répartition de flux et organisation réelle du site. Les douches ne sont pas un équipement public standard, mais sont plausibles dans les loges, espaces artistes, techniques ou grands théâtres municipaux.Musées : Capacité type ≈ 246 usagers principaux + 36 staff + 18 intervenants/prestataires. Le programme sanitaire est construit par blocs fonctionnels plausibles (public, personnel, exploitation/hébergement selon le cas) et non par simple ratio national moyen. Calibrage selon capacité simultanée, répartition de flux et organisation réelle du site.Salles de spectacle / Auditoriums : Capacité type ≈ 572 usagers principaux + 52 staff + 26 artistes/intervenants. Le programme sanitaire est construit par blocs fonctionnels plausibles (public, personnel, exploitation/hébergement selon le cas) et non par simple ratio national moyen. Calibrage selon capacité simultanée, répartition de flux et organisation réelle du site.Salles de conférence / Réunion : Capacité type ≈ 220 usagers principaux + 20 staff + 10 intervenants/prestataires. Le programme sanitaire est construit par blocs fonctionnels plausibles (public, personnel, exploitation/hébergement selon le cas) et non par simple ratio national moyen. Calibrage selon capacité simultanée, répartition de flux et organisation réelle du site.Salles polyvalentes / Salles des fêtes : Capacité type ≈ 315 usagers principaux + 28 staff + 7 autre public. Repas, réunions et fêtes avec occupation dense et pics de courte durée. Dimensionnement unitaire retenu : batteries WC public H/F/PMR près hall/office, dimensionnées à la jauge assise/debout. Hypothèse d'usage : capacité simultanée moyenne 2026, répartition par flux réels, arrondie par blocs fonctionnels et exclusion des sanitaires strictement privatifs sauf cas explicitement collectifs.Bibliothèques / Médiathèques : Capacité type ≈ 123 usagers principaux + 18 staff + 9 intervenants/visiteurs. Le programme sanitaire est construit par blocs fonctionnels plausibles (public, personnel, exploitation/hébergement selon le cas) et non par simple ratio national moyen. Calibrage selon capacité simultanée, répartition de flux et organisation réelle du site.Centres de Documentation et Consultation d’archives autonomes : Capacité type ≈ 56 usagers principaux + 20 staff + 4 autre public. Consultation sur place à faible rotation, chercheurs/lecteurs et équipe de conservation. Dimensionnement unitaire retenu : petit bloc public accessible + bloc personnel, sans douche. Hypothèse d'usage : capacité simultanée moyenne 2026, répartition par flux réels, arrondie par blocs fonctionnels et exclusion des sanitaires strictement privatifs sauf cas explicitement collectifs.Foires / Salons : Capacité type ≈ 2125 usagers principaux + 250 staff + 125 exposants/prestataires. Le programme sanitaire est construit par blocs fonctionnels plausibles (public, personnel, exploitation/hébergement selon le cas) et non par simple ratio national moyen. Calibrage selon capacité simultanée, répartition de flux et organisation réelle du site.Halls d’exposition : Capacité type ≈ 1530 usagers principaux + 180 staff + 90 exposants/prestataires. Le programme sanitaire est construit par blocs fonctionnels plausibles (public, personnel, exploitation/hébergement selon le cas) et non par simple ratio national moyen. Calibrage selon capacité simultanée, répartition de flux et organisation réelle du site.Chapiteaux / Tentes / Structures : Capacité type ≈ 440 usagers principaux + 40 staff + 20 autre public. Jauge temporaire déjà renseignée ; usage événementiel avec pics d'entracte et sortie. Dimensionnement unitaire retenu : batteries mobiles ou blocs raccordés dimensionnés à la jauge et au temps de présence. Les douches restent exceptionnelles et souvent mobiles, liées à certains événements, artistes, équipes techniques ou configurations temporaires longues.Structures gonflables : Capacité type ≈ 71 usagers principaux + 6 staff + 3 accompagnants/encadrants. Le programme sanitaire est construit par blocs fonctionnels plausibles (public, personnel, exploitation/hébergement selon le cas) et non par simple ratio national moyen. Calibrage selon capacité simultanée, répartition de flux et organisation réelle du site.Offices de tourisme : Capacité type ≈ 25 visiteurs + 6 staff + 4 autres usagers. Flux de visiteurs court, pics saisonniers absorbés par rotation rapide. Dimensionnement unitaire retenu : 1 sanitaire public/PMR lorsque prévu + 1 sanitaire personnel si local autonome. Hypothèse d'usage : capacité simultanée moyenne 2026, répartition par flux réels, arrondie par blocs fonctionnels et exclusion des sanitaires strictement privatifs sauf cas explicitement collectifs.</t>
    </r>
  </si>
  <si>
    <r>
      <rPr>
        <b/>
        <sz val="9"/>
        <rFont val="Calibri"/>
      </rPr>
      <t>Cinémas ; Chapiteaux / Tentes / Structures</t>
    </r>
    <r>
      <rPr>
        <sz val="9"/>
        <rFont val="Calibri"/>
      </rPr>
      <t xml:space="preserve"> : Profil grand, capacité moyenne ≈ 500 personnes. Moyenne pondérée terrain : parc majoritairement petits/moyens sites, grands sites intégrés sans surpondération ; usage 2025 modérée à forte par pics.Théâtres : Profil grand, capacité moyenne ≈ 700 personnes. Moyenne pondérée terrain : parc majoritairement petits/moyens sites, grands sites intégrés sans surpondération ; usage 2025 modérée à forte par pics.Musées : Profil grand, capacité moyenne ≈ 300 personnes. Moyenne pondérée terrain : parc majoritairement petits/moyens sites, grands sites intégrés sans surpondération ; usage 2025 modérée à forte par pics.Salles de spectacle / Auditoriums : Profil grand, capacité moyenne ≈ 650 personnes. Moyenne pondérée terrain : parc majoritairement petits/moyens sites, grands sites intégrés sans surpondération ; usage 2025 modérée à forte par pics.Salles de conférence / Réunion : Profil grand, capacité moyenne ≈ 250 personnes. Moyenne pondérée terrain : parc majoritairement petits/moyens sites, grands sites intégrés sans surpondération ; usage 2025 modérée à forte par pics.Salles polyvalentes / Salles des fêtes : Profil grand, capacité moyenne ≈ 350 personnes. Moyenne pondérée terrain : parc majoritairement petits/moyens sites, grands sites intégrés sans surpondération ; usage 2025 modérée à forte par pics.Bibliothèques / Médiathèques : Profil moyen, capacité moyenne ≈ 150 personnes. Moyenne pondérée terrain : parc majoritairement petits/moyens sites, grands sites intégrés sans surpondération ; usage 2025 modérée à forte par pics.Centres de Documentation et Consultation d’archives autonomes : Profil moyen, capacité moyenne ≈ 80 personnes. Moyenne pondérée terrain : parc majoritairement petits/moyens sites, grands sites intégrés sans surpondération ; usage 2025 modérée à forte par pics.Foires / Salons : Profil très grand, capacité moyenne ≈ 2500 personnes. Moyenne pondérée terrain : parc majoritairement petits/moyens sites, grands sites intégrés sans surpondération ; usage 2025 modérée à forte par pics.Halls d’exposition : Profil très grand, capacité moyenne ≈ 1800 personnes. Moyenne pondérée terrain : parc majoritairement petits/moyens sites, grands sites intégrés sans surpondération ; usage 2025 modérée à forte par pics.Structures gonflables : Profil moyen, capacité moyenne ≈ 80 personnes. Moyenne pondérée terrain : parc majoritairement petits/moyens sites, grands sites intégrés sans surpondération ; usage 2025 modérée.Offices de tourisme : Profil petit, capacité moyenne ≈ 35 personnes. Moyenne pondérée terrain : parc majoritairement petits/moyens sites, grands sites intégrés sans surpondération ; usage 2025 modérée.</t>
    </r>
  </si>
  <si>
    <r>
      <rPr>
        <b/>
        <sz val="9"/>
        <rFont val="Calibri"/>
      </rPr>
      <t>Cinémas ; Théâtres ; Musées ; Salles de spectacle / Auditoriums ; Salles de conférence / Réunion ; Bibliothèques / Médiathèques ; Foires / Salons ; Halls d’exposition ; Structures gonflables</t>
    </r>
    <r>
      <rPr>
        <sz val="9"/>
        <rFont val="Calibri"/>
      </rPr>
      <t xml:space="preserve"> : Code du travail (sanitaires et vestiaires staff) + programmation ERP/usages d'exploitation ; source de comptage propre à la ligne en col. AP.Salles polyvalentes / Salles des fêtes ; Centres de Documentation et Consultation d’archives autonomes ; Chapiteaux / Tentes / Structures ; Offices de tourisme : ERP/accessibilité sanitaires publics : https://www.legifrance.gouv.fr/loda/article_lc/LEGIARTI000034485966/ ; Code du travail sanitaires salariés : https://www.legifrance.gouv.fr/codes/id/LEGISCTA000018531984 ; INRS : https://www.inrs.fr/publications/juridique/focus-juridiques/focus-sanitaires-toilettes.html</t>
    </r>
  </si>
  <si>
    <r>
      <rPr>
        <b/>
        <sz val="9"/>
        <rFont val="Calibri"/>
      </rPr>
      <t>Cinémas</t>
    </r>
    <r>
      <rPr>
        <sz val="9"/>
        <rFont val="Calibri"/>
      </rPr>
      <t xml:space="preserve"> : Flux publics variables, budgets souvent contraints et maintenance plutôt réactive. Les écarts de durée ont été resserrés : le mécanique garde un petit avantage, l'électronique reste en retrait mais sans décote excessive. Le renouvellement intervient au fil des pannes puis lors des opérations de remise à niveau des sanitaires. Pics très concentrés avant/après séances, usage anonyme mais humidité faible; nettoyage par rotations. Plus court qu'un musée calme, meilleur qu'un stade grâce au public. Rénovation par campagnes plutôt que remplacement à la panne.Théâtres : Pics entracte/fin de spectacle, public généralement respectueux, faible humidité et maintenance patrimoniale. Proche cinéma, un peu moins agressif si jauge plus faible. Budgets souvent contraints et maintenance plutôt réactive. Les écarts de durée ont été resserrés : le mécanique garde un petit avantage, l'électronique reste en retrait mais sans décote excessive. Le renouvellement intervient au fil des pannes puis lors des opérations de remise à niveau des sanitaires. Budgets municipaux/intercommunaux et rénovation par campagnes plutôt que remplacement à la panne.Musées : Flux touristique étalé, pics vacances mais usage calme et surveillance; faible humidité. Durées longues pour mécaniques, électronique limité par obsolescence, meilleur qu'un parc d'attractions. Flux publics variables, budgets souvent contraints et maintenance plutôt réactive. Les écarts de durée ont été resserrés : le mécanique garde un petit avantage, l'électronique reste en retrait mais sans décote excessive. Le renouvellement intervient au fil des pannes puis lors des opérations de remise à niveau des sanitaires. Usage public modéré à fort mais irrégulier, pics événementiels, budgets municipaux/intercommunaux et rénovation par campagnes plutôt que remplacement à la panne.Salles de spectacle / Auditoriums : Grands pics simultanés aux entractes, mais public assis et environnement intérieur. Douches rares; durées théoriques élevées, WC mécaniques robustes malgré forts à-coups. Budgets souvent contraints et maintenance plutôt réactive. Ecarts de durée ont été resserrés : le mécanique garde un petit avantage, l'électronique reste en retrait mais sans décote excessive. Renouvellement intervient au fil des pannes puis lors des opérations de remise à niveau sanitaires. Budgets municipaux/intercommunaux et rénovation par campagnes plutôt que remplacement à la panne.Salles de conférence / Réunion : Usage intermittent par événements, faible humidité et public professionnel; pics aux pauses café. Supérieur aux salles des fêtes, car moindre alcoolisation et vandalisme. Budgets souvent contraints et maintenance plutôt réactive. Ecarts de durée ont été resserrés : le mécanique garde un petit avantage, l'électronique reste en retrait mais sans décote excessive. Le renouvellement intervient au fil des pannes puis lors des opérations de remise à niveau des sanitaires. Budgets municipaux/intercommunaux et rénovation par campagnes plutôt que remplacement à la panne.Salles polyvalentes / Salles des fêtes : Usages très variables, soirées, repas et événements associatifs; pics forts, nettoyage parfois tardif et budgets municipaux limités. Durées abaissées vs salle de réunion, surtout électronique/réservoirs. Usage public modéré à fort mais irrégulier, pics événementiels, budgets municipaux/intercommunaux limités. Remplacement à la panne.Bibliothèques / Médiathèques : Flux calme et réparti, faible humidité, surveillance et vandalisme faible. Favorable, proche musée, mais renouvellement public par cycles longs et budgets étalés. Fréquentation irrégulière mais pics élevés, Le renouvellement se fait souvent par campagnes avant ou après rénovation des halls/blocs. Usage public modéré à fort mais irrégulier, pics événementiels, budgets municipaux/intercommunaux et rénovation par campagnes plutôt que remplacement à la panne.Centres de Documentation et Consultation d’archives autonomes : Public restreint, fréquentation faible, exigence patrimoniale et humidité maîtrisée; sanitaires peu sollicités. Proche bibliothèque, électronique plus court par obsolescence que par usage. Repères durées: lavabos 12/13/9 ans (mit./méca/élec.), douches 11/11/8, urinoirs 10/12/8/10, WC 13/13/9.Foires / Salons : Fréquentation irrégulière mais pics très élevés, chocs d'usage et remises en service rapides. Les durées réelles descendent surtout sur mitigeurs et électroniques. Les temporisés mécaniques et les chasses directes mécaniques résistent mieux à ces pics. Le renouvellement se fait souvent par campagnes avant ou après rénovation des halls/blocs. Culture / conférence / exposition : Usage public modéré à fort mais irrégulier, pics événementiels, budgets municipaux/intercommunaux et rénovation par campagnes plutôt que remplacement à la panne.Halls d’exposition : Montages/démontages, stockage, transport et remise en service raccourcissent la durée réelle au-delà du seul usage hydraulique. Les technologies mécaniques simples restent les plus stables. L'électronique souffre davantage des raccordements, de l'humidité et des chocs de manutention. Remplacements souvent par lots pour homogénéiser les parcs. Sites saisonniers / montagne / camping / flottants : Moins de cycles annuels mais conditions climatiques/corrosives, hivernage et remises en service. maintenance concentrée et hétérogène.Chapiteaux / Tentes / Structures : Installations temporaires, montages/démontages/stockage transport et remise en service raccourcissent la durée réelle au-delà du seul usage hydraulique. Raccordements variables et pics événementiels; renouvellement lié aux campagnes et au stockage plus qu'à l'usage quotidien. Les technologies mécaniques simples restent les plus stables. L'électronique souffre davantage des raccordements, de l'humidité et des chocs de manutention. Moins de cycles annuels mais conditions climatiques/corrosives, hivernage et remises en service. maintenance concentrée et hétérogène.Structures gonflables : Usage saisonnier et mobile, sanitaires souvent temporaires/annexes, forte manutention et contrôle limité. Inférieur aux chapiteaux, surtout douches et chasses électro en environnement changeant.. Usage dense, nettoyage agressif, graisse/humidité et arbitrages économiques serrés. Les temporisés mécaniques conservent un léger avantage en robustesse sur les mitigeurs dans les sanitaires partagés. L'électronique reste plus courte en raison de la maintenance plus opportuniste. Renouvellement surtout à la panne, puis par lot lors des refurbishments. Longues amplitudes, nettoyage agressif.Offices de tourisme : Accueil public modéré, pics saisonniers mais usage calme et faible humidité; maintenance communale/intercommunale. Proche guichet public, plus favorable que loisirs extérieurs. Repères durées: lavabos 12/13/9 ans (mit./méca/élec.), douches 11/11/8, urinoirs 10/12/8/10, WC 13/13/9.</t>
    </r>
  </si>
  <si>
    <r>
      <rPr>
        <b/>
        <sz val="9"/>
        <rFont val="Calibri"/>
      </rPr>
      <t>Cinémas ; Théâtres ; Salles de spectacle / Auditoriums</t>
    </r>
    <r>
      <rPr>
        <sz val="9"/>
        <rFont val="Calibri"/>
      </rPr>
      <t xml:space="preserve"> : Dans les ERP culturels à fréquentation variable, le parc existant reste d’abord temporisé mécanique, avec une progression de l’électronique dans les rénovations plus récentes.Musées ; Salles de conférence / Réunion : Musées, bibliothèques et centres de conférence ont souvent un parc un peu plus premium : le mitigeur et l’électronique y pèsent davantage que dans les autres ERP culturels. Ajustement ciblé 2025 : légère baisse du mitigeur et/ou légère hausse de l’électronique pour mieux refléter la modernisation déjà visible sur les rénovations de sanitaires communs.Salles polyvalentes / Salles des fêtes : ERP culturels à fréquentation variable : parc 2025 domine par tempo mecanique (62%), avec mitigeur manuel en appoint. Electronique dans les rénovations plus récentes. Le choix reflete frequentation discontinue avec pics evenementiels et maintenance par gestionnaire public/prive ; accueil du public, accessibilite et remise a niveau lors de renov. globales.Bibliothèques / Médiathèques : Musées, bibliothèques et centres de conférence ont souvent un parc un peu plus premium : le mitigeur et l’électronique y pèsent davantage que dans les autres ERP culturels.Centres de Documentation et Consultation d’archives autonomes : Centres de Documentation et Consultation d’archives autonomes : parc 2025 domine par tempo mecanique (62%), avec mitigeur manuel en appoint. Le choix reflete frequentation discontinue avec pics evenementiels et maintenance par gestionnaire public/prive ; accueil du public, accessibilite et remise a niveau lors de renov. globales.Foires / Salons ; Halls d’exposition : Sur foires, salons et halls, le parc commun est tiré par des usages intensifs : temporisé mécanique encore dominant, mais électronique déjà élevée dans les ensembles récents.Chapiteaux / Tentes / Structures : Chapiteaux / Tentes / Structures : parc 2025 domine par tempo mecanique (62%), avec mitigeur manuel en appoint. Le choix reflete frequentation discontinue avec pics evenementiels et maintenance par gestionnaire public/prive ; accueil du public, accessibilite et remise a niveau lors de renov. globales.Structures gonflables : Les installations temporaires ou mobiles font davantage appel à des équipements atypiques ou intégrés ('autres'), d’où une part plus élevée hors trio classique mitigeur/temporisé/électronique.Offices de tourisme : Offices de tourisme (Sites principaux autonomes uniquement) : parc 2025 domine par tempo mecanique (62%), avec mitigeur manuel en appoint. Le choix reflete usage collectif regulier, contraintes de maintenance et arbitrages budgetaires ; robustesse, hygiene et cout global restent prioritaires.</t>
    </r>
  </si>
  <si>
    <r>
      <rPr>
        <b/>
        <sz val="9"/>
        <rFont val="Calibri"/>
      </rPr>
      <t>Cinémas ; Théâtres ; Musées ; Salles de spectacle / Auditoriums ; Salles de conférence / Réunion ; Bibliothèques / Médiathèques ; Foires / Salons ; Halls d’exposition ; Structures gonflables</t>
    </r>
    <r>
      <rPr>
        <sz val="9"/>
        <rFont val="Calibri"/>
      </rPr>
      <t xml:space="preserve"> : Progression mesurée de l’électronique 2025-2030 sur les ERP culturels et événementiels rénovés ; le temporisé mécanique reste important sur les flux intensifs, et le mitigeur persiste dans les sites plus patrimoniaux ou petits.Salles polyvalentes / Salles des fêtes ; Centres de Documentation et Consultation d’archives autonomes ; Chapiteaux / Tentes / Structures ; Offices de tourisme : 2025-2030 : progression de tempo electronique (+3,0%), surtout lors des renov. lourdes/neuf ; recul de mitigeur manuel (-3,0%) mais maintien d un socle robuste pour les remplacements partiels.</t>
    </r>
  </si>
  <si>
    <r>
      <rPr>
        <b/>
        <sz val="9"/>
        <rFont val="Calibri"/>
      </rPr>
      <t>Cinémas ; Musées ; Bibliothèques / Médiathèques ; Centres de Documentation et Consultation d’archives autonomes ; Offices de tourisme</t>
    </r>
    <r>
      <rPr>
        <sz val="9"/>
        <rFont val="Calibri"/>
      </rPr>
      <t xml:space="preserve"> : Sans objet.Théâtres : Théâtres : douches rares mais présentes dans les loges/espaces techniques ; mix équilibré entre mitigeur et temporisé mécanique.Salles de spectacle / Auditoriums : Les rares douches (artistes, personnel, PMR) restent majoritairement manuelles ou temporisées mécaniques ; l’électronique demeure marginale.Salles de conférence / Réunion : Quand des douches existent, elles relèvent surtout d’usages personnel/technique et restent majoritairement manuelles ou temporisées.Salles polyvalentes / Salles des fêtes : Salles polyvalentes / Salles des fêtes : parc 2025 domine par tempo mecanique (50%), avec mitigeur en appoint. Le choix reflete frequentation discontinue avec pics evenementiels et maintenance par gestionnaire public/prive ; accueil du public, accessibilite et remise a niveau lors de renov. globales.Foires / Salons ; Halls d’exposition : Les douches éventuelles restent plutôt temporisées mécaniques, l’électronique apparaissant sur les rénovations haut de gamme.Chapiteaux / Tentes / Structures : Chapiteaux/CTS : douches rares, souvent mobiles ou simples ; mitigeurs dominants, temporisation plus limitée.Structures gonflables : Les douches éventuelles restent surtout manuelles ou temporisées simples, l’électronique étant rare sur du provisoire.</t>
    </r>
  </si>
  <si>
    <r>
      <rPr>
        <b/>
        <sz val="9"/>
        <rFont val="Calibri"/>
      </rPr>
      <t>Cinémas ; Musées ; Bibliothèques / Médiathèques ; Centres de Documentation et Consultation d’archives autonomes ; Offices de tourisme</t>
    </r>
    <r>
      <rPr>
        <sz val="9"/>
        <rFont val="Calibri"/>
      </rPr>
      <t xml:space="preserve"> : Sans objet.Théâtres : Évolution prudente : légère montée de l’électronique dans les rénovations, sans remettre en cause le socle mitigeur/temporisé.Salles de spectacle / Auditoriums ; Salles de conférence / Réunion ; Foires / Salons ; Halls d’exposition ; Structures gonflables : Quand des douches existent, l’électronique progresse un peu dans les rénovations récentes, sans détrôner rapidement le temporisé/mécanique.Salles polyvalentes / Salles des fêtes : 2025-2030 : progression de tempo electronique (+3,0%), surtout lors des renov. lourdes/neuf ; recul de mitigeur (-5,0%) mais maintien d un socle robuste pour les remplacements partiels.Chapiteaux / Tentes / Structures : Évolution faible : un peu plus de temporisé/électronique en prestation événementielle récente, mais présence globale marginale.</t>
    </r>
  </si>
  <si>
    <r>
      <rPr>
        <b/>
        <sz val="9"/>
        <rFont val="Calibri"/>
      </rPr>
      <t>Cinémas ; Théâtres ; Salles de spectacle / Auditoriums</t>
    </r>
    <r>
      <rPr>
        <sz val="9"/>
        <rFont val="Calibri"/>
      </rPr>
      <t xml:space="preserve"> : Les urinoirs relèvent surtout de la chasse directe mécanique, avec une part encore notable de collectifs anciens dans certains sites.Musées ; Salles de conférence / Réunion ; Bibliothèques / Médiathèques : L’automatique est plus fréquent que dans le culturel 'classique', mais le parc en stock reste encore mixte.Salles polyvalentes / Salles des fêtes : Salles polyvalentes / Salles des fêtes : parc 2025 domine par directe mecanique (55%), avec directe electronique collective en appoint. Le choix reflete frequentation discontinue avec pics evenementiels et maintenance par gestionnaire public/prive ; accueil du public, accessibilite et remise a niveau lors de renov. globales.Centres de Documentation et Consultation d’archives autonomes : Centres de Documentation et Consultation d’archives autonomes : parc 2025 domine par directe mecanique (55%), avec directe electronique collective en appoint. Le choix reflete frequentation discontinue avec pics evenementiels et maintenance par gestionnaire public/prive ; accueil du public, accessibilite et remise a niveau lors de renov. globales.Foires / Salons ; Halls d’exposition : Les grands sites événementiels sont l’un des segments où l’automatique est la plus avancée, sans effacer totalement la base mécanique/directe.Chapiteaux / Tentes / Structures : Chapiteaux / Tentes / Structures : parc 2025 domine par directe mecanique (55%), avec directe electronique collective en appoint. Le choix reflete frequentation discontinue avec pics evenementiels et maintenance par gestionnaire public/prive ; accueil du public, accessibilite et remise a niveau lors de renov. globales.Structures gonflables : Quand des urinoirs existent, ils sont souvent collectifs (rampe/batterie) sur les installations événementielles provisoires.Offices de tourisme : Urinoirs très rares : quand présents, ils relèvent souvent de petits blocs collectifs rénovés ou de sites historiques à forte fréquentation.</t>
    </r>
  </si>
  <si>
    <r>
      <rPr>
        <b/>
        <sz val="9"/>
        <rFont val="Calibri"/>
      </rPr>
      <t>Cinémas ; Théâtres ; Musées ; Salles de spectacle / Auditoriums ; Salles de conférence / Réunion ; Bibliothèques / Médiathèques ; Foires / Salons ; Halls d’exposition ; Structures gonflables</t>
    </r>
    <r>
      <rPr>
        <sz val="9"/>
        <rFont val="Calibri"/>
      </rPr>
      <t xml:space="preserve"> : Réservoirs et systèmes collectifs anciens reculent ; l’automatique gagne du terrain dans les rénovations de sites recevant du public.Salles polyvalentes / Salles des fêtes ; Centres de Documentation et Consultation d’archives autonomes ; Chapiteaux / Tentes / Structures : 2025-2030 : progression de directe electronique indiv. (+3,0%), surtout lors des renov. lourdes/neuf ; recul de a reservoir (-2,0%) mais maintien d un socle robuste pour les remplacements partiels.Offices de tourisme : L’électronique progresse légèrement dans les sites rénovés, le mécanique reste majoritaire.</t>
    </r>
  </si>
  <si>
    <r>
      <rPr>
        <b/>
        <sz val="9"/>
        <rFont val="Calibri"/>
      </rPr>
      <t>Cinémas ; Théâtres ; Salles de spectacle / Auditoriums</t>
    </r>
    <r>
      <rPr>
        <sz val="9"/>
        <rFont val="Calibri"/>
      </rPr>
      <t xml:space="preserve"> : Le parc WC est partagé entre réservoir et chasse directe ; cette dernière progresse dans les rénovations pour mieux tenir l’usage public.Musées ; Salles de conférence / Réunion ; Bibliothèques / Médiathèques : Le réservoir reste majoritaire dans les petits sites ; la chasse directe et l’électronique progressent dans les établissements récents.Salles polyvalentes / Salles des fêtes : Salles polyvalentes / Salles des fêtes : parc 2025 domine par reservoir (45%), avec chasse directe mecanique en appoint. Le choix reflete frequentation discontinue avec pics evenementiels et maintenance par gestionnaire public/prive ; accueil du public, accessibilite et remise a niveau lors de renov. globales.Centres de Documentation et Consultation d’archives autonomes : Centres de Documentation et Consultation d’archives autonomes : parc 2025 domine par reservoir (45%), avec chasse directe mecanique en appoint. Le choix reflete frequentation discontinue avec pics evenementiels et maintenance par gestionnaire public/prive ; accueil du public, accessibilite et remise a niveau lors de renov. globales.Foires / Salons ; Halls d’exposition : La chasse directe domine nettement ce parc ERP à forte fréquentation ; l’électronique progresse mais reste minoritaire dans le stock.Chapiteaux / Tentes / Structures : Chapiteaux / Tentes / Structures : parc 2025 domine par reservoir (45%), avec chasse directe mecanique en appoint. Le choix reflete frequentation discontinue avec pics evenementiels et maintenance par gestionnaire public/prive ; accueil du public, accessibilite et remise a niveau lors de renov. globales.Structures gonflables : Le parc provisoire reste très majoritairement assimilable à du WC à réservoir ou autonome ; la chasse directe demeure secondaire.Offices de tourisme : Offices de tourisme (Sites principaux autonomes uniquement) : parc 2025 domine par reservoir (45%), avec chasse directe mecanique en appoint. Le choix reflete usage collectif regulier, contraintes de maintenance et arbitrages budgetaires ; robustesse, hygiene et cout global restent prioritaires.</t>
    </r>
  </si>
  <si>
    <r>
      <rPr>
        <b/>
        <sz val="9"/>
        <rFont val="Calibri"/>
      </rPr>
      <t>Cinémas ; Théâtres ; Musées ; Salles de spectacle / Auditoriums ; Salles de conférence / Réunion ; Bibliothèques / Médiathèques ; Foires / Salons ; Halls d’exposition ; Structures gonflables</t>
    </r>
    <r>
      <rPr>
        <sz val="9"/>
        <rFont val="Calibri"/>
      </rPr>
      <t xml:space="preserve"> : Le réservoir poursuit son reflux au profit du direct et, plus marginalement, de l’électronique sur les rénovations de sanitaires publics.Salles polyvalentes / Salles des fêtes ; Centres de Documentation et Consultation d’archives autonomes ; Chapiteaux / Tentes / Structures ; Offices de tourisme : 2025-2030 : progression de chasse directe electronique (+5,0%), surtout lors des renov. lourdes/neuf ; recul de reservoir (-10,0%) mais maintien d un socle robuste pour les remplacements partiels.</t>
    </r>
  </si>
  <si>
    <r>
      <rPr>
        <b/>
        <sz val="9"/>
        <rFont val="Calibri"/>
      </rPr>
      <t>Cinémas ; Théâtres ; Musées ; Salles de spectacle / Auditoriums ; Salles de conférence / Réunion ; Bibliothèques / Médiathèques</t>
    </r>
    <r>
      <rPr>
        <sz val="9"/>
        <rFont val="Calibri"/>
      </rPr>
      <t xml:space="preserve"> : 82,9% retenu : part des besoins réellement transformée en travaux sur 2026-2030 après prise en compte des budgets, du phasage et des arbitrages locaux.Salles polyvalentes / Salles des fêtes ; Centres de Documentation et Consultation d’archives autonomes ; Chapiteaux / Tentes / Structures : 77,3% retenu : besoins transformes en travaux selon frequentation discontinue avec pics evenementiels et maintenance par gestionnaire public/prive. Le phasage budgetaire, les fermetures partielles et la maintenance courante limitent la conversion totale.Foires / Salons ; Halls d’exposition : 80,7% retenu : part des besoins réellement transformée en travaux sur 2026-2030 après prise en compte des budgets, du phasage et des arbitrages locaux.Structures gonflables : 78,6% retenu : part des besoins réellement transformée en travaux sur 2026-2030 après prise en compte des budgets, du phasage et des arbitrages locaux.Offices de tourisme : 77,2% retenu : besoins transformes en travaux selon usage collectif regulier, contraintes de maintenance et arbitrages budgetaires. Le phasage budgetaire, les fermetures partielles et la maintenance courante limitent la conversion totale.</t>
    </r>
  </si>
  <si>
    <r>
      <rPr>
        <b/>
        <sz val="9"/>
        <rFont val="Calibri"/>
      </rPr>
      <t>Cinémas</t>
    </r>
    <r>
      <rPr>
        <sz val="9"/>
        <rFont val="Calibri"/>
      </rPr>
      <t xml:space="preserve"> : Potentiel rénovation moyen à soutenu : refits réguliers des espaces publics, image d’accueil et usure d’exploitation, plus que vagues de construction neuve. Les volumes restent d’abord tirés par les WC et les lavabos, plus que par les postes spécialisés. En rénovation, le marché reste orienté vers des gammes fiables, disponibles et rapides à poser afin de limiter l’arrêt d’exploitation.Théâtres ; Musées ; Foires / Salons ; Halls d’exposition : Potentiel rénovation moyen à soutenu : fort sur des actifs souvent anciens, avec enjeu d’accessibilité, confort visiteurs, adaptation climatique et parfois protection patrimoniale. Les volumes restent d’abord tirés par les WC et les lavabos, plus que par les postes spécialisés. En rénovation, le marché reste favorable aux gammes robustes et simples d’entretien, compatibles avec des chantiers par tranches et des budgets contraints.Salles de spectacle / Auditoriums : Potentiel rénovation moyen à soutenu : fort sur des actifs souvent anciens, avec enjeu d’accessibilité, confort visiteurs, adaptation climatique et parfois protection patrimoniale. Les lavabos et les WC portent l’essentiel des volumes, avec un poids secondaire des équipements spécialisés. En rénovation, le marché reste favorable aux gammes robustes et simples d’entretien, compatibles avec des chantiers par tranches et des budgets contraints.Salles de conférence / Réunion : Potentiel rénovation élevé : fort sur des actifs souvent anciens, avec enjeu d’accessibilité, confort visiteurs, adaptation climatique et parfois protection patrimoniale. Les lavabos et les WC portent l’essentiel des volumes, avec un poids secondaire des équipements spécialisés. En rénovation, le marché reste favorable aux gammes robustes et simples d’entretien, compatibles avec des chantiers par tranches et des budgets contraints.Salles polyvalentes / Salles des fêtes ; Centres de Documentation et Consultation d’archives autonomes ; Chapiteaux / Tentes / Structures : Potentiel renovation : tire par accueil du public, accessibilite et remise a niveau lors de renov. globales. Les remplacements sont plutot par lots, avec arbitrage entre urgence sanitaire, budget et capacite a intervenir en site occupe.Bibliothèques / Médiathèques : Potentiel rénovation élevé : fort sur des actifs souvent anciens, avec enjeu d’accessibilité, confort visiteurs, adaptation climatique et parfois protection patrimoniale. Les volumes restent d’abord tirés par les WC et les lavabos, plus que par les postes spécialisés. En rénovation, le marché reste favorable aux gammes robustes et simples d’entretien, compatibles avec des chantiers par tranches et des budgets contraints.Structures gonflables : Potentiel rénovation élevé : maintenance et renouvellement liés à l’intensité d’usage, à la sécurité et à l’image de l’événementiel. Les lavabos et les WC portent l’essentiel des volumes, avec un poids secondaire des équipements spécialisés. En rénovation, le marché reste orienté vers des gammes fiables, disponibles et rapides à poser afin de limiter l’arrêt d’exploitation.Offices de tourisme : Potentiel renovation : tire par robustesse, hygiene et cout global restent prioritaires. Les remplacements sont plutot par lots, avec arbitrage entre urgence sanitaire, budget et capacite a intervenir en site occupe.</t>
    </r>
  </si>
  <si>
    <r>
      <rPr>
        <b/>
        <sz val="9"/>
        <rFont val="Calibri"/>
      </rPr>
      <t>Cinémas</t>
    </r>
    <r>
      <rPr>
        <sz val="9"/>
        <rFont val="Calibri"/>
      </rPr>
      <t xml:space="preserve"> : Potentiel neuf faible à moyen : quelques ouvertures/reconfigurations de multiplexes ou loisirs mixtes existent, mais le marché reste très sélectif. Le neuf est très minoritaire et opportuniste.Théâtres : Potentiel neuf moyen : les opérations neuves existent mais restent rares et concentrées sur quelques priorités locales ou grands équipements. Le neuf est réel mais secondaire.Musées ; Bibliothèques / Médiathèques : Potentiel neuf faible : les opérations neuves existent mais restent rares et concentrées sur quelques priorités locales ou grands équipements. Le neuf est quasi nul dans le modèle et renvoie surtout à des reconstructions ou remplacements de sites.Salles de spectacle / Auditoriums ; Salles de conférence / Réunion : Potentiel neuf moyen : les opérations neuves existent mais restent rares et concentrées sur quelques priorités locales ou grands équipements. Le neuf est significatif mais encore nettement inférieur à la rénovation.Salles polyvalentes / Salles des fêtes : Potentiel neuf : limite pour salles polyvalentes / salles des fêtes, surtout via extensions, reconstructions ou projets locaux. Le neuf reste contraint par foncier, budgets et delais de mise en service.Centres de Documentation et Consultation d’archives autonomes : Potentiel neuf : limite pour centres de documentation et consultation d’archives autonomes, surtout via extensions, reconstructions ou projets locaux. Le neuf reste contraint par foncier, budgets et delais de mise en service.Foires / Salons ; Halls d’exposition : Potentiel neuf faible à moyen : les opérations neuves existent mais restent rares et concentrées sur quelques priorités locales ou grands équipements. Le neuf est réel mais secondaire.Chapiteaux / Tentes / Structures : Potentiel neuf : limite pour chapiteaux / tentes / structures, surtout via extensions, reconstructions ou projets locaux. Le neuf reste contraint par foncier, budgets et delais de mise en service.Structures gonflables : Potentiel neuf moyen : plus réel que dans le culturel public, mais très lié au calendrier des événements, à l’investissement privé et à la fréquentation. Le neuf est réel mais secondaire.Offices de tourisme : Potentiel neuf : limite pour offices de tourisme (sites principaux autonomes uniquement), surtout via extensions, reconstructions ou projets locaux. Le neuf reste contraint par foncier, budgets et delais de mise en service.</t>
    </r>
  </si>
  <si>
    <r>
      <rPr>
        <b/>
        <sz val="9"/>
        <rFont val="Calibri"/>
      </rPr>
      <t>Cinémas</t>
    </r>
    <r>
      <rPr>
        <sz val="9"/>
        <rFont val="Calibri"/>
      </rPr>
      <t xml:space="preserve"> : Projets phares réno : halls, sanitaires spectateurs, espaces premium, remises à niveau accessibilité et confort.Théâtres ; Musées ; Salles de spectacle / Auditoriums ; Salles de conférence / Réunion ; Bibliothèques / Médiathèques ; Foires / Salons ; Halls d’exposition : Projets phares réno : halls et sanitaires publics, réhabilitation patrimoniale, accessibilité, rénovation énergétique, modernisation des espaces d’accueil.Salles polyvalentes / Salles des fêtes ; Centres de Documentation et Consultation d’archives autonomes ; Chapiteaux / Tentes / Structures ; Offices de tourisme : Projets phares renovation : reprise de blocs sanitaires, accessibilite, ventilation, economie d eau, remplacement des pieces usees et adaptation aux pics de frequentation propres au sous-segment.Structures gonflables : Projets phares réno : remise à niveau des blocs sanitaires associés, renouvellement d’équipements mobiles et accessoires d’accueil.</t>
    </r>
  </si>
  <si>
    <r>
      <rPr>
        <b/>
        <sz val="9"/>
        <rFont val="Calibri"/>
      </rPr>
      <t>Cinémas</t>
    </r>
    <r>
      <rPr>
        <sz val="9"/>
        <rFont val="Calibri"/>
      </rPr>
      <t xml:space="preserve"> : Projets phares neuf : complexes de loisirs/commerces avec cinéma, reprises de friches commerciales, opérations de destination.Théâtres ; Musées ; Salles de spectacle / Auditoriums ; Salles de conférence / Réunion ; Bibliothèques / Médiathèques ; Foires / Salons ; Halls d’exposition : Projets phares neuf : médiathèques, auditoriums, équipements culturels de quartier, extensions ou requalifications d’équipements publics.Salles polyvalentes / Salles des fêtes ; Centres de Documentation et Consultation d’archives autonomes ; Chapiteaux / Tentes / Structures ; Offices de tourisme : Projets phares neuf : creations ou reconstructions selectives, integration de sanitaires plus sobres, robustes et faciles a maintenir des la conception.Structures gonflables : Projets phares neuf : nouvelles structures temporaires, équipements événementiels, bases d’accueil sur festivals ou salons.</t>
    </r>
  </si>
  <si>
    <r>
      <rPr>
        <b/>
        <sz val="9"/>
        <rFont val="Calibri"/>
      </rPr>
      <t>Cinémas</t>
    </r>
    <r>
      <rPr>
        <sz val="9"/>
        <rFont val="Calibri"/>
      </rPr>
      <t xml:space="preserve"> : Dynamique réno 2026-2030 : supérieure au neuf, car les exploitants privilégient le refresh pour soutenir la fréquentation.Théâtres ; Salles de spectacle / Auditoriums ; Salles de conférence / Réunion ; Bibliothèques / Médiathèques ; Foires / Salons ; Halls d’exposition : Dynamique réno 2026-2030 : élevée, car elle s’inscrit dans les politiques de sobriété énergétique et de confort du public.Musées : Dynamique réno 2026-2030 : élevée, car elle s’inscrit dans les politiques de sobriété énergétique et de confort du public. La protection patrimoniale peut toutefois allonger les études et décaler les remplacements.Salles polyvalentes / Salles des fêtes ; Centres de Documentation et Consultation d’archives autonomes ; Chapiteaux / Tentes / Structures ; Offices de tourisme : Dynamique renovation 2026-2030 : moderee, car l usure et l hygiene rendent les interventions recurrentes. Menaces : arbitrages d investissement, travaux en exploitation et cout de maintenance.Structures gonflables : Dynamique réno 2026-2030 : régulière mais morcelée ; la demande suit les saisons et l’état du matériel.</t>
    </r>
  </si>
  <si>
    <r>
      <rPr>
        <b/>
        <sz val="9"/>
        <rFont val="Calibri"/>
      </rPr>
      <t>Cinémas</t>
    </r>
    <r>
      <rPr>
        <sz val="9"/>
        <rFont val="Calibri"/>
      </rPr>
      <t xml:space="preserve"> : Dynamique neuf 2026-2030 : faible à modérée ; peu de grands projets, avec un vrai écart entre intention immobilière et exécution.Théâtres ; Musées ; Salles de spectacle / Auditoriums ; Salles de conférence / Réunion ; Bibliothèques / Médiathèques ; Foires / Salons ; Halls d’exposition : Dynamique neuf 2026-2030 : ponctuelle et très dépendante de la volonté politique locale ; les projets vitrines sortent, mais la masse reste en rénovation.Salles polyvalentes / Salles des fêtes ; Centres de Documentation et Consultation d’archives autonomes ; Chapiteaux / Tentes / Structures ; Offices de tourisme : Dynamique neuf 2026-2030 : faible a moderee, dependante des projets immobiliers, de la demographie locale et des budgets de maitrise d ouvrage.Structures gonflables : Dynamique neuf 2026-2030 : opportuniste, plus sensible au cycle événementiel et au contexte économique qu’aux politiques publiques.</t>
    </r>
  </si>
  <si>
    <r>
      <rPr>
        <b/>
        <sz val="9"/>
        <rFont val="Calibri"/>
      </rPr>
      <t>Cinémas</t>
    </r>
    <r>
      <rPr>
        <sz val="9"/>
        <rFont val="Calibri"/>
      </rPr>
      <t xml:space="preserve"> : </t>
    </r>
    <r>
      <rPr>
        <sz val="9"/>
        <rFont val="Calibri"/>
      </rPr>
      <t>https://www.statistiques.developpement-durable.gouv.fr/construction-de-locaux-resultats-fin-janvier-2026-france-entiere
https://www.insee.fr/fr/statistiques/8671745
https://www.insee.fr/fr/statistiques/8906564Théâtres ; Musées ; Salles de spectacle / Auditoriums ; Salles de conférence / Réunion ; Salles polyvalentes / Salles des fêtes ; Bibliothèques / Médiathèques ; Centres de Documentation et Consultation d’archives autonomes ; Foires / Salons ; Halls d’exposition ; Offices de tourisme :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https://www.insee.fr/fr/statistiques/8906564Chapiteaux / Tentes / Structures ; Structures gonflables : https://www.statistiques.developpement-durable.gouv.fr/construction-de-locaux-resultats-fin-janvier-2026-france-entiere
https://www.insee.fr/fr/statistiques/8671745
https://www.insee.fr/fr/statistiques/8906564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t>
    </r>
  </si>
  <si>
    <r>
      <rPr>
        <b/>
        <sz val="9"/>
        <rFont val="Calibri"/>
      </rPr>
      <t>Cinémas ; Théâtres ; Musées ; Bibliothèques / Médiathèques ; Structures gonflables</t>
    </r>
    <r>
      <rPr>
        <sz val="9"/>
        <rFont val="Calibri"/>
      </rPr>
      <t xml:space="preserve"> : Moyenne+Salles de spectacle / Auditoriums ; Salles de conférence / Réunion ; Salles polyvalentes / Salles des fêtes ; Centres de Documentation et Consultation d’archives autonomes ; Foires / Salons ; Halls d’exposition ; Chapiteaux / Tentes / Structures ; Offices de tourisme : Bonne</t>
    </r>
  </si>
  <si>
    <r>
      <rPr>
        <b/>
        <sz val="9"/>
        <rFont val="Calibri"/>
      </rPr>
      <t>Cinémas</t>
    </r>
    <r>
      <rPr>
        <sz val="9"/>
        <rFont val="Calibri"/>
      </rPr>
      <t xml:space="preserve"> : Parc existant surtout intermédiaire. Les ventes se décalent légèrement vers intermédiaire, du fait de budgets et de rénovations menées surtout par lots. La rénovation restant majoritaire, le mix de ventes reste proche du parc et monte surtout d’un cran sur les opérations lourdes. Équipements culturels ou événementiels d’image : meilleur niveau de finition et d’expérience usager, surtout sur les rénovations lourdes et extensions.Théâtres ; Musées ; Bibliothèques / Médiathèques : Parc existant surtout standard. Les ventes restent proches du parc, centré sur intermédiaire / standard, du fait de budgets et de rénovations menées surtout par lots. La rénovation restant majoritaire, le mix de ventes reste proche du parc et monte surtout d’un cran sur les opérations lourdes. Culture/patrimoine : arbitrage permanent entre image d’accueil, contraintes patrimoniales et budgets publics, d’où un mix centre de gravité standard/intermédiaire.Salles de spectacle / Auditoriums : Salles de spectacle / auditoriums : parc plutôt public ou délégataire, avec logique d’accueil et d’image mais budgets encadrés ; le centre de gravité reste moyen/premium, plus élevé sur les sanitaires visibles du public que sur les zones back-of-house. Ventes 2026-2030 : progression surtout du premium+luxe sur lavabo (+19,3 pts), douche (+18,1 pts) et WC (+17,8 pts), portée par rénovations d’accueil, accessibilité, requalification thermique et renouvellement d’équipements dans les salles culturelles. La rénovation reste dominante (72% des ventes) ; le neuf reste minoritaire mais plus haut de gamme, ce qui crée un écart net entre neuf et rénovation.Salles de conférence / Réunion : Salles de conférence / réunion : sous-segment hétérogène mais mieux borné par les codes du tertiaire événementiel ; parc centré sur basique/moyen avec montée vers premium dans les sites récents, congrès et corporate. Ventes 2026-2030 : progression surtout du premium+luxe sur lavabo (+13,6 pts), douche (+12,4 pts) et WC (+12,0 pts), sous l’effet des rénovations de halls, espaces meeting et standards d’image. La rénovation reste dominante (72% des ventes) ; le neuf est plus qualitatif que la rénovation.Salles polyvalentes / Salles des fêtes : Parc existant centre sur le niveau mid, avec ventes 2026-2030 legerement plus qualitatives. Salles polyvalentes / Salles des fêtes : frequentation discontinue avec pics evenementiels et maintenance par gestionnaire public/prive; le mix reste guide par accueil du public, accessibilite et remise a niveau lors de renov. globales.Centres de Documentation et Consultation d’archives autonomes : Parc existant centre sur le niveau mid, avec ventes 2026-2030 legerement plus qualitatives. Centres de Documentation et Consultation d’archives autonomes : frequentation discontinue avec pics evenementiels et maintenance par gestionnaire public/prive; le mix reste guide par accueil du public, accessibilite et remise a niveau lors de renov. globales.Foires / Salons : Foires / salons : parc vaste mais assez lisible car dominé par des halls et équipements gérés de façon professionnelle, avec priorité à la robustesse, au flux et à l’image d’accueil. Ventes 2026-2030 : montée du moyen/premium plutôt dans les zones visiteurs et VIP, plus limitée dans les zones techniques ; l’écart neuf/rénovation existe mais reste contenu car le fonctionnel et la maintenance pèsent fortement.Halls d’exposition : Halls d’exposition : mix confort piloté par la gestion de flux, la maintenance et l’image d’accueil sur les zones publiques ; le parc reste centré sur moyen/premium, sans bascule massive vers le luxe. Ventes 2026-2030 : progression graduelle du premium dans les rénovations visibles et les extensions, avec un neuf plus qualitatif que la rénovation mais une forte inertie du parc.Chapiteaux / Tentes / Structures : Parc existant centre sur le niveau mid, avec ventes 2026-2030 legerement plus qualitatives. Chapiteaux / Tentes / Structures : frequentation discontinue avec pics evenementiels et maintenance par gestionnaire public/prive; le mix reste guide par accueil du public, accessibilite et remise a niveau lors de renov. globales.Structures gonflables : Structures gonflables : parc très standardisé, saisonnier et contraint par les budgets d’exploitation, avec priorité à la sécurité, à la simplicité de maintenance et à la mobilité ; le basique reste très dominant. Ventes 2026-2030 : légère montée du moyen dans les gammes neuves, mais la logique de remplacement rapide et le faible poids du neuf maintiennent un mix proche du parc.Offices de tourisme : Parc existant centre sur le niveau standard, avec ventes 2026-2030 legerement plus qualitatives. Offices de tourisme (Sites principaux autonomes uniquement) : usage collectif regulier, contraintes de maintenance et arbitrages budgetaires; le mix reste guide par robustesse, hygiene et cout global restent prioritaires.</t>
    </r>
  </si>
  <si>
    <r>
      <rPr>
        <b/>
        <sz val="9"/>
        <rFont val="Calibri"/>
      </rPr>
      <t>Cinémas</t>
    </r>
    <r>
      <rPr>
        <sz val="9"/>
        <rFont val="Calibri"/>
      </rPr>
      <t xml:space="preserve"> : ±6 ptsThéâtres ; Musées ; Salles de spectacle / Auditoriums ; Salles de conférence / Réunion ; Bibliothèques / Médiathèques ; Foires / Salons ; Halls d’exposition ; Structures gonflables : ±5 ptsSalles polyvalentes / Salles des fêtes ; Centres de Documentation et Consultation d’archives autonomes ; Chapiteaux / Tentes / Structures ; Offices de tourisme : ±4 pts</t>
    </r>
  </si>
  <si>
    <r>
      <rPr>
        <b/>
        <sz val="9"/>
        <rFont val="Calibri"/>
      </rPr>
      <t>Cinémas ; Structures gonflables</t>
    </r>
    <r>
      <rPr>
        <sz val="9"/>
        <rFont val="Calibri"/>
      </rPr>
      <t xml:space="preserve"> : ±6 ptsThéâtres ; Musées ; Salles de spectacle / Auditoriums ; Salles de conférence / Réunion ; Bibliothèques / Médiathèques ; Foires / Salons ; Halls d’exposition : ±5 ptsSalles polyvalentes / Salles des fêtes ; Centres de Documentation et Consultation d’archives autonomes ; Chapiteaux / Tentes / Structures ; Offices de tourisme : ±4 pts</t>
    </r>
  </si>
  <si>
    <r>
      <rPr>
        <b/>
        <sz val="9"/>
        <rFont val="Calibri"/>
      </rPr>
      <t>Cinémas ; Salles de spectacle / Auditoriums ; Foires / Salons ; Halls d’exposition ; Structures gonflables</t>
    </r>
    <r>
      <rPr>
        <sz val="9"/>
        <rFont val="Calibri"/>
      </rPr>
      <t xml:space="preserve"> : MoyenneThéâtres ; Musées ; Salles de conférence / Réunion ; Bibliothèques / Médiathèques : Moyenne +Salles polyvalentes / Salles des fêtes ; Centres de Documentation et Consultation d’archives autonomes ; Chapiteaux / Tentes / Structures ; Offices de tourisme : Bonne</t>
    </r>
  </si>
  <si>
    <r>
      <rPr>
        <b/>
        <sz val="9"/>
        <rFont val="Calibri"/>
      </rPr>
      <t>Cinémas</t>
    </r>
    <r>
      <rPr>
        <sz val="9"/>
        <rFont val="Calibri"/>
      </rPr>
      <t xml:space="preserve"> : Équipements culturels ou événementiels d’image : meilleur niveau de finition et d’expérience usager, surtout sur les rénovations lourdes et extensions.Théâtres ; Musées ; Bibliothèques / Médiathèques : Culture/patrimoine : arbitrage permanent entre image d’accueil, contraintes patrimoniales et budgets publics, d’où un mix centre de gravité standard/intermédiaire.Salles de spectacle / Auditoriums ; Salles de conférence / Réunion ; Foires / Salons ; Halls d’exposition : Sous-segments publics/événementiels à image, mais sous contrainte de maintenance et de flux ; le parc se situe surtout en moyen/premium.Salles polyvalentes / Salles des fêtes ; Centres de Documentation et Consultation d’archives autonomes ; Chapiteaux / Tentes / Structures : Parc existant : accueil du public, accessibilite et remise a niveau lors de renov. globales; frequentation discontinue avec pics evenementiels et maintenance par gestionnaire public/prive. La montee en confort reste proportionnee au budget et au rythme de renovation.Structures gonflables : Parc très fonctionnel, souvent temporaire, isolé ou saisonnier : priorité à la robustesse, à la logistique et au coût total, d’où un mix basique/moyen très dominant.Offices de tourisme : Parc existant : robustesse, hygiene et cout global restent prioritaires; usage collectif regulier, contraintes de maintenance et arbitrages budgetaires. La montee en confort reste proportionnee au budget et au rythme de renovation.</t>
    </r>
  </si>
  <si>
    <r>
      <rPr>
        <b/>
        <sz val="9"/>
        <rFont val="Calibri"/>
      </rPr>
      <t>Cinémas ; Théâtres ; Musées ; Bibliothèques / Médiathèques</t>
    </r>
    <r>
      <rPr>
        <sz val="9"/>
        <rFont val="Calibri"/>
      </rPr>
      <t xml:space="preserve"> : image d’accueil ⇒ intermédiaire/premium ↑ ; rénovation dominante ⇒ progression graduelleSalles de spectacle / Auditoriums ; Salles de conférence / Réunion ; Foires / Salons ; Halls d’exposition : image + accueil public ⇒ moyen/premium ↑ ; rénovation majoritaire ⇒ amélioration graduelle ; coût global et maintenance contiennent le luxeSalles polyvalentes / Salles des fêtes ; Centres de Documentation et Consultation d’archives autonomes ; Chapiteaux / Tentes / Structures ; Offices de tourisme : renovation dominante =&gt; progression graduelleStructures gonflables : temporaire / accès difficile / saisonnalité ⇒ basique ↑ ; modularité et maintenance simple ⇒ premium ↓ ; neuf marginal ⇒ ventes proches du parc</t>
    </r>
  </si>
  <si>
    <r>
      <rPr>
        <b/>
        <sz val="9"/>
        <rFont val="Calibri"/>
      </rPr>
      <t>Cinémas</t>
    </r>
    <r>
      <rPr>
        <sz val="9"/>
        <rFont val="Calibri"/>
      </rPr>
      <t xml:space="preserve"> : Cinémas : cinémas intégrés à des réseaux ou à des sites commerciaux, avec attentes d’image homogènes. Ventes 2026-2030 : glissement vers davantage de moyen / premium, surtout sur lavabo (+16,1 pts sur premium+luxe), WC (+15,2 pts sur premium+luxe), urinoir (+13,5 pts sur premium+luxe). La rénovation reste majoritaire (83% des ventes, contre 17% en neuf) ; le neuf tire le mix vers le haut sans renverser le centre de gravité. L’écart de niveau de confort entre neuf et rénovation est net.Théâtres : Théâtres : théâtres souvent patrimoniaux, où le sanitaire est rénové par tranches. Ventes 2026-2030 : glissement vers davantage de moyen / premium, surtout sur lavabo (+12,5 pts sur premium+luxe), WC (+11,1 pts sur premium+luxe), urinoir (+8,5 pts sur premium+luxe). La rénovation reste majoritaire (78% des ventes, contre 22% en neuf) ; le neuf tire le mix vers le haut sans renverser le centre de gravité. L’écart de niveau de confort entre neuf et rénovation est net.Musées : Musées : musées sous contraintes patrimoniales et budgets publics, avec qualité visible surtout dans les grands projets. Ventes 2026-2030 : glissement vers davantage de moyen / premium, surtout sur lavabo (+10,3 pts sur premium+luxe), WC (+9,0 pts sur premium+luxe), urinoir (+6,8 pts sur premium+luxe). La rénovation reste majoritaire (84% des ventes, contre 16% en neuf) ; le neuf tire le mix vers le haut sans renverser le centre de gravité. L’écart de niveau de confort entre neuf et rénovation est net.Salles de spectacle / Auditoriums : Salles de spectacle / auditoriums : parc plutôt public ou délégataire, avec logique d’accueil et d’image mais budgets encadrés ; le centre de gravité reste moyen/premium, plus élevé sur les sanitaires visibles du public que sur les zones back-of-house. Ventes 2026-2030 : progression surtout du premium+luxe sur lavabo (+19,3 pts), douche (+18,1 pts) et WC (+17,8 pts), portée par rénovations d’accueil, accessibilité, requalification thermique et renouvellement d’équipements dans les salles culturelles. La rénovation reste dominante (72% des ventes) ; le neuf reste minoritaire mais plus haut de gamme, ce qui crée un écart net entre neuf et rénovation.Salles de conférence / Réunion : Salles de conférence / réunion : sous-segment hétérogène mais mieux borné par les codes du tertiaire événementiel ; parc centré sur basique/moyen avec montée vers premium dans les sites récents, congrès et corporate. Ventes 2026-2030 : progression surtout du premium+luxe sur lavabo (+13,6 pts), douche (+12,4 pts) et WC (+12,0 pts), sous l’effet des rénovations de halls, espaces meeting et standards d’image. La rénovation reste dominante (72% des ventes) ; le neuf est plus qualitatif que la rénovation.Salles polyvalentes / Salles des fêtes : Salles polyvalentes / Salles des fêtes : ventes 2026-2030 en leger glissement vers moyen/premium lorsque le neuf ou les renov. lourdes interviennent. Le centre de gravite reste toutefois module par accueil du public, accessibilite et remise a niveau lors de renov. globales et par la part dominante de travaux sur parc existant.Bibliothèques / Médiathèques : Bibliothèques / médiathèques : bibliothèques/médiathèques rénovées par programmes publics, souvent sur un standard qualitatif maîtrisé. Ventes 2026-2030 : glissement vers davantage de moyen / premium, surtout sur lavabo (+9,0 pts sur premium+luxe), WC (+7,7 pts sur premium+luxe), urinoir (+5,6 pts sur premium+luxe). La rénovation reste très majoritaire (85% des ventes, contre 15% en neuf) ; le neuf est plus qualitatif mais ne suffit pas à transformer fortement le mix. L’écart de niveau de confort entre neuf et rénovation est net.Centres de Documentation et Consultation d’archives autonomes : Centres de Documentation et Consultation d’archives autonomes : ventes 2026-2030 en leger glissement vers moyen/premium lorsque le neuf ou les renov. lourdes interviennent. Le centre de gravite reste toutefois module par accueil du public, accessibilite et remise a niveau lors de renov. globales et par la part dominante de travaux sur parc existant.Foires / Salons : Foires / salons : parc vaste mais assez lisible car dominé par des halls et équipements gérés de façon professionnelle, avec priorité à la robustesse, au flux et à l’image d’accueil. Ventes 2026-2030 : montée du moyen/premium plutôt dans les zones visiteurs et VIP, plus limitée dans les zones techniques ; l’écart neuf/rénovation existe mais reste contenu car le fonctionnel et la maintenance pèsent fortement.Halls d’exposition : Halls d’exposition : mix confort piloté par la gestion de flux, la maintenance et l’image d’accueil sur les zones publiques ; le parc reste centré sur moyen/premium, sans bascule massive vers le luxe. Ventes 2026-2030 : progression graduelle du premium dans les rénovations visibles et les extensions, avec un neuf plus qualitatif que la rénovation mais une forte inertie du parc.Chapiteaux / Tentes / Structures : Chapiteaux / Tentes / Structures : ventes 2026-2030 en leger glissement vers moyen/premium lorsque le neuf ou les renov. lourdes interviennent. Le centre de gravite reste toutefois module par accueil du public, accessibilite et remise a niveau lors de renov. globales et par la part dominante de travaux sur parc existant.Structures gonflables : Structures gonflables : parc très standardisé, saisonnier et contraint par les budgets d’exploitation, avec priorité à la sécurité, à la simplicité de maintenance et à la mobilité ; le basique reste très dominant. Ventes 2026-2030 : légère montée du moyen dans les gammes neuves, mais la logique de remplacement rapide et le faible poids du neuf maintiennent un mix proche du parc.Offices de tourisme : Offices de tourisme (Sites principaux autonomes uniquement) : ventes 2026-2030 en leger glissement vers moyen/premium lorsque le neuf ou les renov. lourdes interviennent. Le centre de gravite reste toutefois module par robustesse, hygiene et cout global restent prioritaires et par la part dominante de travaux sur parc existant.</t>
    </r>
  </si>
  <si>
    <t>1 - Restauration / boissons
2 - Commerce</t>
  </si>
  <si>
    <t>1 - Restaurants
2 - Cafés / bars / brasseries
3 - Fast-food / Cafétérias / Food courts
4 - Établissements flottants
5 - Centres commerciaux / Malls
6 - Hyper-Supermarchés
7 - Marchés couverts</t>
  </si>
  <si>
    <r>
      <rPr>
        <b/>
        <sz val="9"/>
        <rFont val="Calibri"/>
      </rPr>
      <t>Restaurants ; Cafés / bars / brasseries ; Fast-food / Cafétérias / Food courts</t>
    </r>
    <r>
      <rPr>
        <sz val="9"/>
        <rFont val="Calibri"/>
      </rPr>
      <t xml:space="preserve"> : NÉtablissements flottants : EFCentres commerciaux / Malls ; Hyper-Supermarchés ; Marchés couverts : M</t>
    </r>
  </si>
  <si>
    <r>
      <rPr>
        <b/>
        <sz val="9"/>
        <rFont val="Calibri"/>
      </rPr>
      <t>Restaurants ; Cafés / bars / brasseries ; Fast-food / Cafétérias / Food courts ; Centres commerciaux / Malls ; Hyper-Supermarchés ; Marchés couverts</t>
    </r>
    <r>
      <rPr>
        <sz val="9"/>
        <rFont val="Calibri"/>
      </rPr>
      <t xml:space="preserve"> : ERPÉtablissements flottants : ERP spécial</t>
    </r>
  </si>
  <si>
    <r>
      <rPr>
        <b/>
        <sz val="9"/>
        <rFont val="Calibri"/>
      </rPr>
      <t>Restaurants</t>
    </r>
    <r>
      <rPr>
        <sz val="9"/>
        <rFont val="Calibri"/>
      </rPr>
      <t xml:space="preserve"> : Restauration assise ou rapide.Cafés / bars / brasseries : Débits de boissons et restauration.Fast-food / Cafétérias / Food courts : Restauration rapide.
Petit fast-food / restauration rapide indépendante, Chaîne fast-food standard, Cafétéria / self / restauration collective ouverte au public, Food court mutualiséÉtablissements flottants : Établissements flottants recevant du public.Centres commerciaux / Malls : Centres commerciaux et grands magasins.Hyper-Supermarchés : Grande distribution alimentaireMarchés couverts : Vente au détail sous halle / couvert.</t>
    </r>
  </si>
  <si>
    <r>
      <rPr>
        <b/>
        <sz val="9"/>
        <rFont val="Calibri"/>
      </rPr>
      <t>Restaurants</t>
    </r>
    <r>
      <rPr>
        <sz val="9"/>
        <rFont val="Calibri"/>
      </rPr>
      <t xml:space="preserve"> : Restaurant traditionnelCafés / bars / brasseries : Bar, café, brasserieFast-food / Cafétérias / Food courts : Petit fast-food / restauration rapide indépendante, Chaîne fast-food standard, Cafétéria / self / restauration collective ouverte au public, Food court mutualiséÉtablissements flottants : Bateau-restaurant, salle flottanteCentres commerciaux / Malls : Centre commercial, mall, galerie marchande gérée comme entité, retail park couvert avec sanitaires communsHyper-Supermarchés : Hypermarché autonome, supermarché autonome, SDMP/discount autonome avec WC clients propres. Hors magasin intégré à centre/mallMarchés couverts : Marché couvert</t>
    </r>
  </si>
  <si>
    <r>
      <rPr>
        <b/>
        <sz val="9"/>
        <rFont val="Calibri"/>
      </rPr>
      <t>Restaurants</t>
    </r>
    <r>
      <rPr>
        <sz val="9"/>
        <rFont val="Calibri"/>
      </rPr>
      <t xml:space="preserve"> : Creux Covid 2020-2021 puis léger reflux, sous l’effet de la pression sur les coûts et du transfert progressif de la croissance vers les formats rapides et les réseaux.Cafés / bars / brasseries : Tendance baissière de fond, avec un décrochage historique long du nombre de débits de boissons, perturbé par le Covid puis par une stabilisation temporaire post-réouverture.Fast-food / Cafétérias / Food courts : Malgré le creux Covid, sous-segment profite de dynamique + favorable que restaurat° traditionnelle, avec diffusion des enseignes, drive, livraison et formats compacts.Établissements flottants ; Marchés couverts : Faute de série nationale homogène publiée annuellement pour cette sous-catégorie, le proxy est lissé ; la faible variation reflète une prudence méthodologique.Centres commerciaux / Malls : Le stock national évolue peu ; la série est volontairement prudente et cohérente avec un parc mature.Hyper-Supermarchés : L’Insee recense 14 871 grandes surfaces en 2024 , mais toilettes clients pas systématiques. Série construite comme sous-ensemble de supermarchés de grand format, avec légère progression de la part équipée.</t>
    </r>
  </si>
  <si>
    <r>
      <rPr>
        <b/>
        <sz val="9"/>
        <rFont val="Calibri"/>
      </rPr>
      <t>Restaurants</t>
    </r>
    <r>
      <rPr>
        <sz val="9"/>
        <rFont val="Calibri"/>
      </rPr>
      <t xml:space="preserve"> : proxy SIRUS restauration traditionnelle et rapide. Dynamique projetée 2027-2030: hausse légère. Fiabilité: moyenne.Cafés / bars / brasseries : proxy SIRUS débits de boissons. Le segment 5630Z reste structurellement orienté à la baisse sur longue période. La projection 2026-2030 prolonge une érosion lente plutôt qu’un effondrement rapide.Fast-food / Cafétérias / Food courts : proxy SIRUS restauration rapide. Hausse structurelle forte, malgré le creux Covid. Dynamique projetée 2027-2030: hausse modérée. Fiabilité: moyenne.Établissements flottants : proxy bateaux-restaurants et salles flottantes. Dynamique projetée 2027-2030: stable. Fiabilité: moyenne.Centres commerciaux / Malls : Ancrage sur le parc CNCC/FACT de l'ordre de 835 centres commerciaux, puis filtre sanitaire clients très élevé. Fiabilité: bonne.Hyper-Supermarchés : Parc mature, pression drive/e-commerce, volumes en recul et rationalisation des grands formats. Projection 2026-2030 : -1,6 %/an environ. Montée modérée des services clients dans les grands supermarchés. Sanitaires du personnel exclusMarchés couverts : proxy équipements commerciaux communaux. Dynamique projetée 2027-2030: stable. Fiabilité: moyenne.</t>
    </r>
  </si>
  <si>
    <r>
      <rPr>
        <b/>
        <sz val="9"/>
        <rFont val="Calibri"/>
      </rPr>
      <t>Restaurants</t>
    </r>
    <r>
      <rPr>
        <sz val="9"/>
        <rFont val="Calibri"/>
      </rPr>
      <t xml:space="preserve"> : https://www.insee.fr/fr/metadonnees/source/fichier/BPE_evol_1924_liste_a_plat_TYPEQU.htmlCafés / bars / brasseries : https://www.insee.fr/fr/statistiques/2011101?geo=FRANCE-1 ; https://www.insee.fr/fr/statistiques/8602650Fast-food / Cafétérias / Food courts : https://www.insee.fr/fr/metadonnees/source/fichier/BPE_evol_1924_liste_a_plat_TYPEQU.html
https://www.insee.fr/fr/statistiques/2011101?geo=FRANCE-1 ; https://www.insee.fr/fr/statistiques/8602650Établissements flottants : https://www.legifrance.gouv.fr/codes/section_lc/JORFTEXT000000290033/LEGISCTA000020303822/Centres commerciaux / Malls : https://www.lesacteursducommerce.com/wp-content/uploads/2022/08/29012021_CP_Le-CNCC-prend-acte-regrette-lannonce-pour-le-moins-surprenante-du-PM.pdf ; https://www.fcd.fr/le-secteur/ ; https://www.insee.fr/fr/statistiques/8610258?geo=FE-1
https://www.insee.fr/fr/metadonnees/source/serie/s1161Hyper-Supermarchés : https://www.fcd.fr/le-secteur/
https://www.insee.fr/fr/statistiques/4473482 ; https://www.insee.fr/fr/statistiques/2015133 ; https://www.lemonde.fr/economie/article/2025/01/15/la-consommation-n-a-pas-redemarre-dans-les-supermarches-en-2024-en-2024-tous-les-moteurs-sont-casses_6498977_3234.html
https://code.travail.gouv.fr/code-du-travail/r4228-1
https://code.travail.gouv.fr/code-du-travail/r4228-10Marchés couverts : https://www.insee.fr/fr/metadonnees/source/serie/s1161</t>
    </r>
  </si>
  <si>
    <r>
      <rPr>
        <b/>
        <sz val="9"/>
        <rFont val="Calibri"/>
      </rPr>
      <t>Restaurants</t>
    </r>
    <r>
      <rPr>
        <sz val="9"/>
        <rFont val="Calibri"/>
      </rPr>
      <t xml:space="preserve"> : Restaurant : bloc clients + sanitaire personnel/cuisine, sans douche.Cafés / bars / brasseries : Débit de boisson : bloc client + sanitaire personnel.Fast-food / Cafétérias / Food courts : Restauration rapide : bloc clients à fort turnover + staff.Établissements flottants : Bateau-restaurant / salle flottante : sanitaires communs passagers + équipage.Centres commerciaux / Malls : Centre commercial : batteries clients par mail/étage + sanitaires personnel/commerçants.Hyper-Supermarchés : Hypermarché/supermarché : bloc clients + sanitaires personnel/réserve. Douches selon postes salissants, horaires postés et maintenance.Marchés couverts : Marché couvert : bloc public central + commerçants.</t>
    </r>
  </si>
  <si>
    <r>
      <rPr>
        <b/>
        <sz val="9"/>
        <rFont val="Calibri"/>
      </rPr>
      <t>Restaurants</t>
    </r>
    <r>
      <rPr>
        <sz val="9"/>
        <rFont val="Calibri"/>
      </rPr>
      <t xml:space="preserve"> : Capacité type ≈ 80 usagers principaux + 15 staff + 5 autre public. Repas assis avec rotation par service ; clients et équipe présents simultanément. Dimensionnement unitaire retenu : WC clients PMR + sanitaires personnel selon Code du travail, adaptés à la jauge de salle. Hypothèse d'usage : capacité simultanée moyenne 2026, répartition par flux réels, arrondie par blocs fonctionnels et exclusion des sanitaires strictement privatifs sauf cas explicitement collectifs.Cafés / bars / brasseries : Capacité type ≈ 73 usagers principaux + 14 staff + 3 livreurs/prestataires. Le programme sanitaire est construit par blocs fonctionnels plausibles (public, personnel, exploitation/hébergement selon le cas) et non par simple ratio national moyen. Calibrage selon capacité simultanée, répartition de flux et organisation réelle du site.Fast-food / Cafétérias / Food courts : Capacité type ≈ 101 usagers principaux + 17 staff + 2 livreurs/prestataires. Le programme sanitaire est construit par blocs fonctionnels plausibles (public, personnel, exploitation/hébergement selon le cas) et non par simple ratio national moyen. Calibrage selon capacité simultanée, répartition de flux et organisation réelle du site.Établissements flottants : Capacité type ≈ 98 usagers principaux + 12 staff + 10 visiteurs techniques/prestataires. Le programme sanitaire est construit par blocs fonctionnels plausibles (public, personnel, exploitation/hébergement selon le cas) et non par simple ratio national moyen. Calibrage selon capacité simultanée, répartition de flux et organisation réelle du site.Centres commerciaux / Malls : Capacité type ≈ 2870 usagers principaux + 450 staff + 180 autre public. Flux élevé mais réparti par zones, restauration et événements créant des pointes. Dimensionnement unitaire retenu : batteries multi-cabines aux pôles de flux et blocs staff/locataires, PMR par niveau. Hypothèse d'usage : capacité simultanée moyenne 2026, répartition par flux réels, arrondie par blocs fonctionnels et exclusion des sanitaires strictement privatifs sauf cas explicitement collectifs.Hyper-Supermarchés : Capacité type ≈ 330 usagers principaux + 55 staff + 15 autre public. Clients en rotation rapide, personnel de vente/réserve et prestataires. Dimensionnement unitaire retenu : petite batterie clients près accueil + sanitaires salariés séparés ; peu de douches (manutention, froid, maintenance, poussières ou horaires postés). Hypothèse d'usage : capacité simultanée moyenne 2026, répartition par flux réels, arrondie par blocs fonctionnels.Marchés couverts : Capacité type ≈ 312 usagers principaux + 60 staff + 28 prestataires/livreurs. Le programme sanitaire est construit par blocs fonctionnels plausibles (public, personnel, exploitation/hébergement selon le cas) et non par simple ratio national moyen. Calibrage selon capacité simultanée, répartition de flux et organisation réelle du site.</t>
    </r>
  </si>
  <si>
    <r>
      <rPr>
        <b/>
        <sz val="9"/>
        <rFont val="Calibri"/>
      </rPr>
      <t>Restaurants</t>
    </r>
    <r>
      <rPr>
        <sz val="9"/>
        <rFont val="Calibri"/>
      </rPr>
      <t xml:space="preserve"> : Profil moyen, capacité moyenne ≈ 100 personnes. Moyenne pondérée terrain : parc majoritairement petits/moyens sites, grands sites intégrés sans surpondération ; usage 2025 modérée à forte par pics.Cafés / bars / brasseries : Profil moyen, capacité moyenne ≈ 90 personnes. Moyenne pondérée terrain : parc majoritairement petits/moyens sites, grands sites intégrés sans surpondération ; usage 2025 modérée à forte par pics.Fast-food / Cafétérias / Food courts : Profil moyen, capacité moyenne ≈ 120 personnes. Moyenne pondérée terrain : parc majoritairement petits/moyens sites, grands sites intégrés sans surpondération ; usage 2025 modérée à forte par pics.Établissements flottants : Profil moyen, capacité moyenne ≈ 120 personnes. Moyenne pondérée terrain : parc majoritairement petits/moyens sites, grands sites intégrés sans surpondération ; usage 2025 modérée.Centres commerciaux / Malls : Profil très grand, capacité moyenne ≈ 3500 personnes. Moyenne pondérée terrain : parc majoritairement petits/moyens sites, grands sites intégrés sans surpondération ; usage 2025 modérée à forte par pics.Hyper-Supermarchés ; Marchés couverts : Profil grand, capacité moyenne ≈ 400 personnes. Moyenne pondérée terrain : parc majoritairement petits/moyens sites, grands sites intégrés sans surpondération ; usage 2025 modérée à forte par pics.</t>
    </r>
  </si>
  <si>
    <r>
      <rPr>
        <b/>
        <sz val="9"/>
        <rFont val="Calibri"/>
      </rPr>
      <t>Restaurants ; Centres commerciaux / Malls ; Hyper-Supermarchés</t>
    </r>
    <r>
      <rPr>
        <sz val="9"/>
        <rFont val="Calibri"/>
      </rPr>
      <t xml:space="preserve"> : ERP/accessibilité sanitaires publics : https://www.legifrance.gouv.fr/loda/article_lc/LEGIARTI000034485966/ ; Code du travail sanitaires salariés : https://www.legifrance.gouv.fr/codes/id/LEGISCTA000018531984 ; INRS : https://www.inrs.fr/publications/juridique/focus-juridiques/focus-sanitaires-toilettes.htmlCafés / bars / brasseries ; Fast-food / Cafétérias / Food courts ; Établissements flottants ; Marchés couverts : Code du travail (sanitaires et vestiaires staff) + programmation ERP/usages d'exploitation ; source de comptage propre à la ligne en col. AP.</t>
    </r>
  </si>
  <si>
    <r>
      <rPr>
        <b/>
        <sz val="9"/>
        <rFont val="Calibri"/>
      </rPr>
      <t>Restaurants</t>
    </r>
    <r>
      <rPr>
        <sz val="9"/>
        <rFont val="Calibri"/>
      </rPr>
      <t xml:space="preserve"> : Usage clients/personnel continu aux repas, graisse, produits de nettoyage et contraintes de fermeture courte. Plus court que tertiaire, mécaniques mieux adaptées aux pics. Budgets souvent contraints et maintenance plutôt réactive. Ecarts de durée resserrés : le mécanique garde un petit avantage, l'électronique reste en retrait mais sans décote excessive. Renouvellement intervient au fil des pannes, sinon opérations de remise à niveau sanitaires. Image commerciale importante et vandalisme plus élevé en soirée/nuit.Cafés / bars / brasseries : Usage dense, nettoyage agressif, graisse/humidité et arbitrages économiques serrés. Les temporisés mécaniques conservent un léger avantage en robustesse sur les mitigeurs dans les sanitaires partagés. L'électronique reste plus courte en raison de l'environnement humide et de la maintenance plus opportuniste. Renouvellement surtout à la panne, puis par lot lors des refurbishments. Restauration / bars / nightlife / loisirs indoor : Longues amplitudes, forte humidité, nettoyage agressif, image commerciale importante et vandalisme plus élevé en soirée/nuit.Fast-food / Cafétérias / Food courts : Très forte rotation, familles/jeunes, nettoyage répété et petits chocs; arbitrage économique favorise remplacement correctif. Proche bars, avec intensité journalière plus forte sur WC/lavabos. Nettoyage agressif et arbitrages économiques serrés. Renouvellement surtout à la panne. Restauration / bars / nightlife / loisirs indoor : Longues amplitudes, image commerciale importante et vandalisme plus élevé en soirée/nuit.Établissements flottants : Humidité, vibrations, accès maintenance contraint et corrosion; saisonnalité touristique possible. Plus court qu'un restaurant terrestre, notamment électronique. Usage de transit, humidité variable et maintenance plutôt réactive. Valeurs sont proches des ERP de passage : mécaniques simples devant, électronique en retrait modéré. Rénovation souvent couplée aux remises en état de sûreté, ventilation ou éclairage du parc.Très forte fréquentation, disponibilité immédiate requise, vandalisme et coûts d’exploitation élevés. La temporisation mécanique et la chasse directe sont favorisées.Centres commerciaux / Malls : Trafic client élevé, usage anonyme, nettoyage multi-passage et pics week-end; maintenance professionnelle mais sollicitations fortes. Entre aéroport et hypermarché, électronique prudent. Pics fréquentation, peu d'appropriation des lieux et vandalisme non nul. Disponibilité immédiate requise, vandalisme et coûts d’exploitation élevés. La temporisation mécanique et la chasse directe sont favorisées.Hyper-Supermarchés : Flux clients important mais blocs plus petits que malls, pics courses et usage familles; maintenance sous contrainte d'exploitation. Proche centres commerciaux mais légèrement moins continu. Repères durées: lavabos 11/12/8 ans (mit./méca/élec.), douches 10/9/7, urinoirs 9/11/7/9, WC 12/12/8.Marchés couverts : Ouverture par plages, salissures alimentaires, humidité de nettoyage et maintenance parfois municipale. Plus court que commerce classique, surtout réservoirs, lavabos et électroniques. Usage quotidien mais mieux maîtrisé, faible vandalisme et maintenance planifiée. Cela allonge toutes les durées et réduit les écarts. Le temporisé mécanique n'est plus vraiment derrière le mitigeur et l'électronique est soutenue lorsque l'alimentation et la maintenance sont stabilisées. Faible vandalisme, rénovations par lots.</t>
    </r>
  </si>
  <si>
    <r>
      <rPr>
        <b/>
        <sz val="9"/>
        <rFont val="Calibri"/>
      </rPr>
      <t>Restaurants</t>
    </r>
    <r>
      <rPr>
        <sz val="9"/>
        <rFont val="Calibri"/>
      </rPr>
      <t xml:space="preserve"> : Restaurants (Hors établissements altitude, flottant, armée) : parc 2025 domine par tempo mecanique, avec mitigeur manuel en appoint. Le choix reflete rotation clients/personnel, pics repas et pression sur image de marque ; experience client, debit de nettoyage, economie d eau et cout d exploitation.Cafés / bars / brasseries : Dans les cafés, bars, brasseries et restaurants, le mitigeur reste majoritaire dans le parc existant, avec une montée du temporisé ou de l’électronique surtout dans les rénovations et chaînes. Ajustement ciblé 2025 : légère baisse du mitigeur et/ou légère hausse de l’électronique pour mieux refléter la modernisation déjà visible sur les rénovations de sanitaires communs.Fast-food / Cafétérias / Food courts : Dans les fast-foods et food courts, le parc commun se modernise plus vite : temporisé et électronique sont plus présents que dans la restauration traditionnelle. Ajustement ciblé 2025 : légère baisse du mitigeur et/ou légère hausse de l’électronique pour mieux refléter la modernisation déjà visible sur les rénovations de sanitaires communs.Établissements flottants : Les établissements flottants conservent une base importante de mitigeurs, avec davantage d’équipements spécifiques ou compacts classés en 'autres'.Centres commerciaux / Malls : Centres commerciaux / Malls (dotés de sanitaires collectifs clients) : parc 2025 domine par tempo mecanique (55%), avec mitigeur manuel en appoint. Le choix reflete rotation clients/personnel, pics repas ou achats et pression sur image de marque ; experience client, debit de nettoyage, economie d eau et cout d exploitation.Hyper-Supermarchés : Hyper-Supermarchés (dotés de sanitaires collectifs clients) : parc 2025 domine par tempo mecanique (55%), avec mitigeur manuel en appoint. Le choix reflete rotation clients/personnel, pics repas ou achats et pression sur image de marque ; experience client, debit de nettoyage, economie d eau et cout d exploitation.Marchés couverts : Le parc des marchés couverts reste assez hétérogène : mitigeurs et temporisés mécaniques coexistent largement, avec une électronique encore minoritaire.</t>
    </r>
  </si>
  <si>
    <r>
      <rPr>
        <b/>
        <sz val="9"/>
        <rFont val="Calibri"/>
      </rPr>
      <t>Restaurants</t>
    </r>
    <r>
      <rPr>
        <sz val="9"/>
        <rFont val="Calibri"/>
      </rPr>
      <t xml:space="preserve"> : 2025-2030 : progression du tempo electronique dans les renovations de salles et sanitaires clients ; le mecanique reste majoritaire pour robustesse et cout de maintenance.Cafés / bars / brasseries : En restauration, le mitigeur reste important mais recule dans les sanitaires clients rénovés au profit de l’électronique ; la trajectoire est plus rapide dans les chaînes que dans l’indépendant.Fast-food / Cafétérias / Food courts ; Marchés couverts : Les sites commerciaux/loisirs intensifs montent plus franchement en électronique d’ici 2030, avec maintien d’un socle temporisé mécanique pour la robustesse et la simplicité.Établissements flottants : Transport et stationnement voient une montée plus rapide de l’électronique 2025-2030 pour l’hygiène, l’image et l’exploitation ; le temporisé reste présent mais recule un peu dans les sites modernisés.Centres commerciaux / Malls ; Hyper-Supermarchés : 2025-2030 : progression de tempo electronique (+4,0%), surtout lors des renov. lourdes/neuf ; recul de mitigeur manuel (-4,0%) mais maintien d un socle robuste pour les remplacements partiels.</t>
    </r>
  </si>
  <si>
    <r>
      <rPr>
        <b/>
        <sz val="9"/>
        <rFont val="Calibri"/>
      </rPr>
      <t>Restaurants ; Cafés / bars / brasseries ; Fast-food / Cafétérias / Food courts ; Établissements flottants ; Marchés couverts</t>
    </r>
    <r>
      <rPr>
        <sz val="9"/>
        <rFont val="Calibri"/>
      </rPr>
      <t xml:space="preserve"> : Sans objet.Centres commerciaux / Malls : Centres commerciaux / Malls (dotés de sanitaires collectifs clients) : parc 2025 domine par mitigeur (45%), avec tempo mecanique en appoint. Le choix reflete rotation clients/personnel, pics repas ou achats et pression sur image de marque ; experience client, debit de nettoyage, economie d eau et cout d exploitation.Hyper-Supermarchés : Hyper/supermarchés : douches salariés minoritaires, mix proche tertiaire/logistique avec mitigeur dominant et temporisé mécanique en appoint.</t>
    </r>
  </si>
  <si>
    <r>
      <rPr>
        <b/>
        <sz val="9"/>
        <rFont val="Calibri"/>
      </rPr>
      <t>Restaurants ; Cafés / bars / brasseries ; Fast-food / Cafétérias / Food courts ; Marchés couverts</t>
    </r>
    <r>
      <rPr>
        <sz val="9"/>
        <rFont val="Calibri"/>
      </rPr>
      <t xml:space="preserve"> : Sans objet.Établissements flottants : Quand des douches existent, elles suivent une trajectoire de rénovation lente ; le mix reste surtout mécanique.Centres commerciaux / Malls : 2025-2030 : progression de tempo electronique (+3,0%), surtout lors des renov. lourdes/neuf ; recul de mitigeur (-5,0%) mais maintien d un socle robuste pour les remplacements partiels.Hyper-Supermarchés : Évolution 2025-2030 : léger recul du mitigeur au profit du temporisé et de l’électronique dans les rénovations de locaux sociaux.</t>
    </r>
  </si>
  <si>
    <r>
      <rPr>
        <b/>
        <sz val="9"/>
        <rFont val="Calibri"/>
      </rPr>
      <t>Restaurants</t>
    </r>
    <r>
      <rPr>
        <sz val="9"/>
        <rFont val="Calibri"/>
      </rPr>
      <t xml:space="preserve"> : Restaurants (Hors établissements altitude, flottant, armée) : urinoirs surtout en chasse directe mecanique, adaptes aux pics de service et au nettoyage rapide ; l electronique reste ciblee sur etablissements premium ou renov. lourdes.Cafés / bars / brasseries : Le parc d’urinoirs reste surtout classique, avec un partage entre réservoir/concealed tank, mécanique directe et un peu d’automatique.Fast-food / Cafétérias / Food courts : L’automatique est nettement plus fréquent que dans les bars/restaurants, sans être encore totalement majoritaire sur le stock.Établissements flottants : Le parc d’urinoirs reste très hétérogène entre classique, automatique et quelques collectifs.Centres commerciaux / Malls : Centres commerciaux / Malls (dotés de sanitaires collectifs clients) : parc 2025 domine par directe mecanique (55%), avec directe electronique collective en appoint. Le choix reflete rotation clients/personnel, pics repas ou achats et pression sur image de marque ; experience client, debit de nettoyage, economie d eau et cout d exploitation.Hyper-Supermarchés : Hyper-Supermarchés (dotés de sanitaires collectifs clients) : parc 2025 domine par directe mecanique (55%), avec directe electronique collective en appoint. Le choix reflete rotation clients/personnel, pics repas ou achats et pression sur image de marque ; experience client, debit de nettoyage, economie d eau et cout d exploitation.Marchés couverts : Le parc d’urinoirs reste mixte entre solutions classiques et quelques collectifs anciens.</t>
    </r>
  </si>
  <si>
    <r>
      <rPr>
        <b/>
        <sz val="9"/>
        <rFont val="Calibri"/>
      </rPr>
      <t>Restaurants</t>
    </r>
    <r>
      <rPr>
        <sz val="9"/>
        <rFont val="Calibri"/>
      </rPr>
      <t xml:space="preserve"> : 2025-2030 : recul des solutions les plus anciennes au profit de chasses directes, avec electronique en hausse dans les sanitaires clients visibles mais sans devenir majoritaire.Cafés / bars / brasseries : Quand ils existent, les urinoirs glissent lentement du réservoir/mécanique vers plus d’automatique, surtout dans les établissements rénovés.Fast-food / Cafétérias / Food courts ; Marchés couverts : Les sites commerciaux et de loisirs font davantage progresser l’automatique d’ici 2030, tout en gardant une part mécanique.Établissements flottants : Dans transport/stationnement, l’automatique progresse rapidement sur les sites rénovés ou premium, avec recul net des réservoirs.Centres commerciaux / Malls ; Hyper-Supermarchés : 2025-2030 : progression de directe electronique indiv. (+3,0%), surtout lors des renov. lourdes/neuf ; recul de a reservoir (-2,0%) mais maintien d un socle robuste pour les remplacements partiels.</t>
    </r>
  </si>
  <si>
    <r>
      <rPr>
        <b/>
        <sz val="9"/>
        <rFont val="Calibri"/>
      </rPr>
      <t>Restaurants</t>
    </r>
    <r>
      <rPr>
        <sz val="9"/>
        <rFont val="Calibri"/>
      </rPr>
      <t xml:space="preserve"> : Restaurants (Hors établissements altitude, flottant, armée) : WC majoritairement a reservoir, avec chasse directe dans les blocs clients recents. Le niveau technique depend du standing et de la frequence de nettoyage.Cafés / bars / brasseries : Les WC à réservoir restent dominants dans ce parc de petite et moyenne taille ; la chasse directe progresse mais reste minoritaire.Fast-food / Cafétérias / Food courts : Le parc WC est plus orienté chasse directe que la restauration traditionnelle, mais conserve encore beaucoup de réservoirs.Établissements flottants : Le réservoir reste majoritaire sur le parc existant, la chasse directe restant secondaire.Centres commerciaux / Malls : Centres commerciaux / Malls (dotés de sanitaires collectifs clients) : parc 2025 domine par reservoir (50%), avec chasse directe mecanique en appoint. Le choix reflete rotation clients/personnel, pics repas ou achats et pression sur image de marque ; experience client, debit de nettoyage, economie d eau et cout d exploitation.Hyper-Supermarchés : Hyper-Supermarchés (dotés de sanitaires collectifs clients) : parc 2025 domine par reservoir (50%), avec chasse directe mecanique en appoint. Le choix reflete rotation clients/personnel, pics repas ou achats et pression sur image de marque ; experience client, debit de nettoyage, economie d eau et cout d exploitation.Marchés couverts : Les réservoirs restent majoritaires sur ce parc souvent ancien, la chasse directe progressant par modernisation des blocs.</t>
    </r>
  </si>
  <si>
    <r>
      <rPr>
        <b/>
        <sz val="9"/>
        <rFont val="Calibri"/>
      </rPr>
      <t>Restaurants</t>
    </r>
    <r>
      <rPr>
        <sz val="9"/>
        <rFont val="Calibri"/>
      </rPr>
      <t xml:space="preserve"> : 2025-2030 : hausse graduelle de la chasse directe, surtout en renovation de sanitaires clients ; le reservoir reste important dans les petits etablissements et les remplacements partiels.Cafés / bars / brasseries : Le direct et l’électronique gagnent du terrain dans les sanitaires clients rénovés, mais le réservoir reste significatif dans l’indépendant et les petits sites.Fast-food / Cafétérias / Food courts ; Marchés couverts : Les sites commerciaux/loisirs intensifs font monter plus vite la chasse directe et l’électronique ; le réservoir recule nettement mais ne disparaît pas.Établissements flottants : Transport et stationnement accélèrent la montée du direct puis de l’électronique sur les sites modernisés ; le réservoir recule franchement.Centres commerciaux / Malls ; Hyper-Supermarchés : 2025-2030 : progression de chasse directe mecanique (+5,0%), surtout lors des renov. lourdes/neuf ; recul de reservoir (-10,0%) mais maintien d un socle robuste pour les remplacements partiels.</t>
    </r>
  </si>
  <si>
    <r>
      <rPr>
        <b/>
        <sz val="9"/>
        <rFont val="Calibri"/>
      </rPr>
      <t>Restaurants</t>
    </r>
    <r>
      <rPr>
        <sz val="9"/>
        <rFont val="Calibri"/>
      </rPr>
      <t xml:space="preserve"> : 81,2% retenu : besoins transformes en travaux selon rotation clients/personnel, pics repas et pression sur image de marque. Les fermetures courtes, arbitrages de tresorerie et travaux par lots limitent la conversion totale.Cafés / bars / brasseries ; Fast-food / Cafétérias / Food courts : 87,3% retenu : part des besoins réellement transformée en travaux sur 2026-2030 après prise en compte des budgets, du phasage et des arbitrages locaux.Établissements flottants : 84,0% retenu : intensité d’usage et vétusté soutiennent la réno, mais les budgets locaux et la saisonnalité retardent une partie des programmes.Centres commerciaux / Malls ; Hyper-Supermarchés : 81,2% retenu : besoins transformes en travaux selon rotation clients/personnel, pics repas ou achats et pression sur image de marque. Le phasage budgetaire, les fermetures partielles et la maintenance courante limitent la conversion totale.Marchés couverts : 85,1% retenu : part des besoins réellement transformée en travaux sur 2026-2030 après prise en compte des budgets, du phasage et des arbitrages locaux.</t>
    </r>
  </si>
  <si>
    <r>
      <rPr>
        <b/>
        <sz val="9"/>
        <rFont val="Calibri"/>
      </rPr>
      <t>Restaurants</t>
    </r>
    <r>
      <rPr>
        <sz val="9"/>
        <rFont val="Calibri"/>
      </rPr>
      <t xml:space="preserve"> : Potentiel renovation : tire par experience client, debit de nettoyage, economie d eau et cout d exploitation. Les travaux portent surtout sur blocs clients et personnel, souvent lors de reprises de salle, cuisine ou accessibilite.Cafés / bars / brasseries : Potentiel rénovation très élevé : usure d’exploitation, hygiène, changement de concept et transmission/reprise d’établissements alimentent le remplacement. Les lavabos et les WC portent l’essentiel des volumes, avec un poids secondaire des équipements spécialisés. En rénovation, le marché reste orienté vers des gammes fiables, disponibles et rapides à poser afin de limiter l’arrêt d’exploitation.Fast-food / Cafétérias / Food courts : Potentiel rénovation très élevé : refits fréquents, hygiène, forte rotation clientèle et image d’enseigne soutiennent les remplacements. Les volumes restent d’abord tirés par les WC et les lavabos, plus que par les postes spécialisés. En rénovation, le marché reste orienté vers des gammes fiables, disponibles et rapides à poser afin de limiter l’arrêt d’exploitation.Établissements flottants : Potentiel rénovation moyen à soutenu : contraintes d’exploitation, humidité et cycles techniques imposent des remplacements réguliers. Les volumes restent d’abord tirés par les WC et les lavabos, plus que par les postes spécialisés. En rénovation, les maîtres d’ouvrage privilégient des références robustes, vite posées et faciles à maintenir dans des ambiances humides.Centres commerciaux / Malls ; Hyper-Supermarchés : Potentiel renovation : tire par experience client, debit de nettoyage, economie d eau et cout d exploitation. Les remplacements sont plutot par lots, avec arbitrage entre urgence sanitaire, budget et capacite a intervenir en site occupe.Marchés couverts : Potentiel rénovation élevé : modernisation des parties communes, sanitaires visiteurs, repositionnement d’actifs et amélioration ESG. Les volumes restent d’abord tirés par les WC et les lavabos, plus que par les postes spécialisés. En rénovation, le marché reste orienté vers des gammes fiables, disponibles et rapides à poser afin de limiter l’arrêt d’exploitation.</t>
    </r>
  </si>
  <si>
    <r>
      <rPr>
        <b/>
        <sz val="9"/>
        <rFont val="Calibri"/>
      </rPr>
      <t>Restaurants</t>
    </r>
    <r>
      <rPr>
        <sz val="9"/>
        <rFont val="Calibri"/>
      </rPr>
      <t xml:space="preserve"> : Potentiel neuf : modere, lie aux creations/remplacements d etablissements et aux food courts ; il reste sensible a la conjoncture restauration et aux couts immobiliers.Cafés / bars / brasseries : Potentiel neuf faible : diffusion plus fragmentée que le fast-food, avec ouvertures et reprises surtout dans les zones de flux. Le neuf est quasi nul dans le modèle et renvoie surtout à des reconstructions ou remplacements de sites.Fast-food / Cafétérias / Food courts : Potentiel neuf élevé : l’un des sous-segments privés les plus dynamiques via franchises, retail parks, gares, aéroports et food courts. Le neuf est significatif mais encore nettement inférieur à la rénovation.Établissements flottants : Potentiel neuf moyen : dépendant d’opérateurs privés et de projets spécifiques ; le neuf est significatif mais encore nettement inférieur à la rénovation.Centres commerciaux / Malls : Potentiel neuf : plus visible pour centres commerciaux / malls (dotés de sanitaires collectifs clients), surtout via extensions, reconstructions ou projets locaux. Le neuf reste contraint par foncier, budgets et delais de mise en service.Hyper-Supermarchés : Potentiel neuf : plus visible pour hyper-supermarchés (dotés de sanitaires collectifs clients), surtout via extensions, reconstructions ou projets locaux. Le neuf reste contraint par foncier, budgets et delais de mise en service.Marchés couverts : Potentiel neuf moyen : peu de grands centres neufs, davantage d’extensions/requalifications et de retail parks. Le neuf est significatif mais encore nettement inférieur à la rénovation.</t>
    </r>
  </si>
  <si>
    <r>
      <rPr>
        <b/>
        <sz val="9"/>
        <rFont val="Calibri"/>
      </rPr>
      <t>Restaurants</t>
    </r>
    <r>
      <rPr>
        <sz val="9"/>
        <rFont val="Calibri"/>
      </rPr>
      <t xml:space="preserve"> : Projets phares renovation : sanitaires clients, accessibilite, economie d eau, robinetterie temporisee, remise a niveau des WC et zones personnel.Cafés / bars / brasseries : Projets phares réno : refits de sanitaires clients/personnel, réagencements, montées en gamme ou mise aux normes.Fast-food / Cafétérias / Food courts : Projets phares réno : sanitaires clients/personnel, remises à niveau lors de changement de concept, modernisation rapide en site exploité.Établissements flottants : Projets phares réno : sanitaires passagers/personnel, douches et remises à niveau d’unités flottantes recevant du public.Centres commerciaux / Malls ; Hyper-Supermarchés : Projets phares renovation : reprise de blocs sanitaires, accessibilite, ventilation, economie d eau, remplacement des pieces usees et adaptation aux pics de frequentation propres au sous-segment.Marchés couverts : Projets phares réno : sanitaires visiteurs, parties communes, food court, repositionnement de centres et marchés couverts.</t>
    </r>
  </si>
  <si>
    <r>
      <rPr>
        <b/>
        <sz val="9"/>
        <rFont val="Calibri"/>
      </rPr>
      <t>Restaurants</t>
    </r>
    <r>
      <rPr>
        <sz val="9"/>
        <rFont val="Calibri"/>
      </rPr>
      <t xml:space="preserve"> : Projets phares neuf : restaurants de chaine, food courts, extensions commerciales et concepts avec sanitaires clients plus visibles et faciles a maintenir.Cafés / bars / brasseries : Projets phares neuf : nouveaux restaurants, bars, concepts hybrides, implantations dans programmes tertiaires/commerciaux ou touristiques.Fast-food / Cafétérias / Food courts : Projets phares neuf : ouvertures de restaurants rapides, food courts, corners en zones commerciales et hubs de transport.Établissements flottants : Projets phares neuf : bateaux/hubs flottants, péniches événementielles ou de restauration, renouvellement de flotte.Centres commerciaux / Malls ; Hyper-Supermarchés : Projets phares neuf : creations ou reconstructions selectives, integration de sanitaires plus sobres, robustes et faciles a maintenir des la conception.Marchés couverts : Projets phares neuf : retail parks, extensions ciblées, marchés couverts reconstruits, programmes mixtes commerce/loisirs.</t>
    </r>
  </si>
  <si>
    <r>
      <rPr>
        <b/>
        <sz val="9"/>
        <rFont val="Calibri"/>
      </rPr>
      <t>Restaurants</t>
    </r>
    <r>
      <rPr>
        <sz val="9"/>
        <rFont val="Calibri"/>
      </rPr>
      <t xml:space="preserve"> : Dynamique renovation 2026-2030 : soutenue par la rotation du parc et l image client. Menaces : marges d exploitation, fermetures temporaires et arbitrages de tresorerie.Cafés / bars / brasseries : Dynamique réno 2026-2030 : plus solide que le neuf, car le refresh commercial est souvent préféré à une création ex nihilo.Fast-food / Cafétérias / Food courts : Dynamique réno 2026-2030 : très régulière car les cycles d’enseigne sont courts et les travaux légers rapidement arbitrables.Établissements flottants : Dynamique réno 2026-2030 : régulière, tirée par l’entretien technique et l’exploitation.Centres commerciaux / Malls ; Hyper-Supermarchés : Dynamique renovation 2026-2030 : forte, car l usure et l hygiene rendent les interventions recurrentes. Menaces : arbitrages d investissement, travaux en exploitation et cout de maintenance.Marchés couverts : Dynamique réno 2026-2030 : élevée, car la valeur des actifs se joue surtout dans la remise à niveau et la fréquentation.</t>
    </r>
  </si>
  <si>
    <r>
      <rPr>
        <b/>
        <sz val="9"/>
        <rFont val="Calibri"/>
      </rPr>
      <t>Restaurants</t>
    </r>
    <r>
      <rPr>
        <sz val="9"/>
        <rFont val="Calibri"/>
      </rPr>
      <t xml:space="preserve"> : Dynamique neuf 2026-2030 : selective, plus forte dans les zones commerciales et franchises que dans la restauration independante mature.Cafés / bars / brasseries : Dynamique neuf 2026-2030 : moyenne et très dépendante de la confiance des exploitants, des emplacements et de la fréquentation.Fast-food / Cafétérias / Food courts : Dynamique neuf 2026-2030 : soutenue mais sensible à la consommation, aux loyers commerciaux et au coût du financement.Établissements flottants : Dynamique neuf 2026-2030 : opportuniste, plus sensible au tourisme et à l’investissement privé qu’aux programmes publics.Centres commerciaux / Malls ; Hyper-Supermarchés : Dynamique neuf 2026-2030 : faible a moderee, dependante des projets immobiliers, de la demographie locale et des budgets de maitrise d ouvrage.Marchés couverts : Dynamique neuf 2026-2030 : modérée ; la création pure est limitée, le marché privilégiant la requalification. Les programmes sortent plus facilement quand ils sont intégrés à une requalification urbaine plus large.</t>
    </r>
  </si>
  <si>
    <r>
      <rPr>
        <b/>
        <sz val="9"/>
        <rFont val="Calibri"/>
      </rPr>
      <t>Restaurants</t>
    </r>
    <r>
      <rPr>
        <sz val="9"/>
        <rFont val="Calibri"/>
      </rPr>
      <t xml:space="preserve"> ; </t>
    </r>
    <r>
      <rPr>
        <b/>
        <sz val="9"/>
        <rFont val="Calibri"/>
      </rPr>
      <t>Cafés / bars / brasseries</t>
    </r>
    <r>
      <rPr>
        <sz val="9"/>
        <rFont val="Calibri"/>
      </rPr>
      <t xml:space="preserve"> : </t>
    </r>
    <r>
      <rPr>
        <sz val="9"/>
        <rFont val="Calibri"/>
      </rPr>
      <t>https://www.statistiques.developpement-durable.gouv.fr/construction-de-locaux-resultats-fin-janvier-2026-france-entiere
https://www.insee.fr/fr/statistiques/8671745
https://www.insee.fr/fr/statistiques/8906564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https://www.atout-france.fr/fr/actualites/bilan-touristique-de-lannee-2025-avec-102-millions-de-visiteurs-la-france-pays-le-plusFast-food / Cafétérias / Food courts ; Centres commerciaux / Malls ; Hyper-Supermarchés ; Marchés couverts : https://www.statistiques.developpement-durable.gouv.fr/construction-de-locaux-resultats-fin-janvier-2026-france-entiere
https://www.insee.fr/fr/statistiques/8671745
https://www.insee.fr/fr/statistiques/8906564Établissements flottants :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
https://www.statistiques.developpement-durable.gouv.fr/construction-de-locaux-resultats-fin-janvier-2026-france-entiere
https://www.insee.fr/fr/statistiques/8671745
https://www.insee.fr/fr/statistiques/8906564</t>
    </r>
  </si>
  <si>
    <r>
      <rPr>
        <b/>
        <sz val="9"/>
        <rFont val="Calibri"/>
      </rPr>
      <t>Restaurants ; Cafés / bars / brasseries ; Centres commerciaux / Malls ; Hyper-Supermarchés</t>
    </r>
    <r>
      <rPr>
        <sz val="9"/>
        <rFont val="Calibri"/>
      </rPr>
      <t xml:space="preserve"> : BonneFast-food / Cafétérias / Food courts ; Établissements flottants ; Marchés couverts : Moyenne+</t>
    </r>
  </si>
  <si>
    <r>
      <rPr>
        <b/>
        <sz val="9"/>
        <rFont val="Calibri"/>
      </rPr>
      <t>Restaurants</t>
    </r>
    <r>
      <rPr>
        <sz val="9"/>
        <rFont val="Calibri"/>
      </rPr>
      <t xml:space="preserve"> : Parc existant plutot moyen/upscale selon standing. Restaurants (Hors établissements altitude, flottant, armée) : rotation clients/personnel, pics repas et pression sur image de marque; les ventes se decalent vers moyen/premium quand les sanitaires clients sont visibles, tout en restant pilotees par experience client, debit de nettoyage, economie d eau et cout d exploitation.Cafés / bars / brasseries : Cafés / bars / brasseries : parc très diffus mais bien ancré dans le CHR de proximité, avec arbitrage constant entre image, coût et robustesse. Le niveau moyen domine, le premium restant ciblé sur les établissements d’image et les centres-villes touristiques. Ventes 2026-2030 : progression du premium+luxe sur lavabo (+8,0 pts), urinoir (+6,4 pts) et WC (+8,0 pts), tirée par rebranding, mises aux normes et rénovations décoratives. Le neuf est plus qualitatif que la rénovation, mais la rénovation reste majoritaire.Fast-food / Cafétérias / Food courts : Parc existant surtout standard. Les ventes restent proches du parc, centré sur standard, tiré par l’image de marque et l’expérience usager. Le neuf est un peu plus qualitatif que la rénovation, sans renverser le centre de gravité du mix. Fast-food et cafétérias : priorité à la robustesse, à la rapidité de maintenance et à l’uniformisation réseau ; amélioration surtout vers le standard.Établissements flottants : Établissements flottants : contraintes maritimes/fluviales, entretien et image touristique se combinent ; le parc penche vers moyen avec un premium ciblé sur les unités d’image. Ventes 2026-2030 : progression du premium+luxe surtout sur lavabo (+13,5 pts) et WC (+11,0 pts), tirée par rénovation d’accueil et montée en qualité sur les unités touristiques ; le neuf est plus haut de gamme que la rénovation, mais de faible volume.Centres commerciaux / Malls : Parc existant centre sur le niveau upscale, avec ventes 2026-2030 legerement plus qualitatives. Centres commerciaux / Malls (dotés de sanitaires collectifs clients) : rotation clients/personnel, pics repas ou achats et pression sur image de marque; le mix reste guide par experience client, debit de nettoyage, economie d eau et cout d exploitation.Hyper-Supermarchés : Parc existant centre sur le niveau upscale, avec ventes 2026-2030 legerement plus qualitatives. Hyper-Supermarchés (dotés de sanitaires collectifs clients) : rotation clients/personnel, pics repas ou achats et pression sur image de marque; le mix reste guide par experience client, debit de nettoyage, economie d eau et cout d exploitation.Marchés couverts : Marchés couverts : parc majoritairement public, souvent ancien, avec priorité au robuste, au simple et au nettoyable ; basique et moyen dominent clairement. Ventes 2026-2030 : progression surtout du moyen et un peu du premium sur les zones rénovées, liée aux programmes de requalification commerciale et touristique, mais sans rupture du centre de gravité.</t>
    </r>
  </si>
  <si>
    <r>
      <rPr>
        <b/>
        <sz val="9"/>
        <rFont val="Calibri"/>
      </rPr>
      <t>Restaurants ; Cafés / bars / brasseries ; Fast-food / Cafétérias / Food courts ; Centres commerciaux / Malls ; Hyper-Supermarchés</t>
    </r>
    <r>
      <rPr>
        <sz val="9"/>
        <rFont val="Calibri"/>
      </rPr>
      <t xml:space="preserve"> : ±4 ptsÉtablissements flottants ; Marchés couverts : ±5 pts</t>
    </r>
  </si>
  <si>
    <r>
      <rPr>
        <b/>
        <sz val="9"/>
        <rFont val="Calibri"/>
      </rPr>
      <t>Restaurants</t>
    </r>
    <r>
      <rPr>
        <sz val="9"/>
        <rFont val="Calibri"/>
      </rPr>
      <t xml:space="preserve"> : ±4 ptsCafés / bars / brasseries ; Fast-food / Cafétérias / Food courts ; Centres commerciaux / Malls ; Hyper-Supermarchés ; Marchés couverts : ±5 ptsÉtablissements flottants : ±6 pts</t>
    </r>
  </si>
  <si>
    <r>
      <rPr>
        <b/>
        <sz val="9"/>
        <rFont val="Calibri"/>
      </rPr>
      <t>Restaurants ; Fast-food / Cafétérias / Food courts ; Centres commerciaux / Malls ; Hyper-Supermarchés</t>
    </r>
    <r>
      <rPr>
        <sz val="9"/>
        <rFont val="Calibri"/>
      </rPr>
      <t xml:space="preserve"> : BonneCafés / bars / brasseries : Moyenne +Établissements flottants ; Marchés couverts : Moyenne</t>
    </r>
  </si>
  <si>
    <r>
      <rPr>
        <b/>
        <sz val="9"/>
        <rFont val="Calibri"/>
      </rPr>
      <t>Restaurants</t>
    </r>
    <r>
      <rPr>
        <sz val="9"/>
        <rFont val="Calibri"/>
      </rPr>
      <t xml:space="preserve"> : Parc existant : experience client, debit de nettoyage, economie d eau et cout d exploitation; rotation clients/personnel, pics repas et pression sur image de marque. La montee en confort reste proportionnee au standing et a la frequence de renovation.Cafés / bars / brasseries : CHR diffus : image commerciale importante côté clients, mais arbitrages serrés sur le coût et la maintenance ; le niveau moyen domine.Fast-food / Cafétérias / Food courts : Fast-food et cafétérias : priorité à la robustesse, à la rapidité de maintenance et à l’uniformisation réseau ; amélioration surtout vers le standard.Établissements flottants : Unités flottantes soumises aux contraintes d’entretien et à l’image client : mix centré sur moyen, avec premium ciblé.Centres commerciaux / Malls ; Hyper-Supermarchés : Parc existant : experience client, debit de nettoyage, economie d eau et cout d exploitation; rotation clients/personnel, pics repas ou achats et pression sur image de marque. La montee en confort reste proportionnee au budget et au rythme de renovation.Marchés couverts : Marchés couverts : équipements utilitaires, budgets locaux et rénovations surtout portées par remise à niveau technique plutôt que par recherche de standing.</t>
    </r>
  </si>
  <si>
    <r>
      <rPr>
        <b/>
        <sz val="9"/>
        <rFont val="Calibri"/>
      </rPr>
      <t>Restaurants</t>
    </r>
    <r>
      <rPr>
        <sz val="9"/>
        <rFont val="Calibri"/>
      </rPr>
      <t xml:space="preserve"> : image client =&gt; premiumisation ciblee ; forte frequentation =&gt; standard robuste ; renovation dominante =&gt; progression graduelleCafés / bars / brasseries ; Établissements flottants : image + accueil public ⇒ moyen/premium ↑ ; rénovation majoritaire ⇒ amélioration graduelle ; coût global et maintenance contiennent le luxeFast-food / Cafétérias / Food courts : forte fréquentation ⇒ standard ↑, premium/luxe ↓ ; image + privé ⇒ premium/luxe ↑ ; poids du neuf significatif ⇒ premiumisation des ventes &gt; parcCentres commerciaux / Malls ; Hyper-Supermarchés : forte frequentation =&gt; standard robuste ; image client =&gt; premiumisation cibleeMarchés couverts : poids du neuf significatif ⇒ premiumisation des ventes &gt; parc</t>
    </r>
  </si>
  <si>
    <r>
      <rPr>
        <b/>
        <sz val="9"/>
        <rFont val="Calibri"/>
      </rPr>
      <t>Restaurants</t>
    </r>
    <r>
      <rPr>
        <sz val="9"/>
        <rFont val="Calibri"/>
      </rPr>
      <t xml:space="preserve"> : Restaurants (Hors établissements altitude, flottant, armée) : ventes 2026-2030 en glissement vers moyen/premium dans les sanitaires clients visibles, mais le centre de gravite reste module par le cout d exploitation et les travaux sur parc existant.Cafés / bars / brasseries : Cafés / bars / brasseries : parc très diffus mais bien ancré dans le CHR de proximité, avec arbitrage constant entre image, coût et robustesse. Le niveau moyen domine, le premium restant ciblé sur les établissements d’image et les centres-villes touristiques. Ventes 2026-2030 : progression du premium+luxe sur lavabo (+8,0 pts), urinoir (+6,4 pts) et WC (+8,0 pts), tirée par rebranding, mises aux normes et rénovations décoratives. Le neuf est plus qualitatif que la rénovation, mais la rénovation reste majoritaire.Fast-food / Cafétérias / Food courts : Fast-food / cafétérias / food courts : réseaux standardisés où l’efficacité de maintenance prime. Ventes 2026-2030 : glissement vers davantage de moyen / premium, surtout sur lavabo (+6,5 pts sur premium+luxe), WC (+3,5 pts sur premium+luxe). La rénovation reste majoritaire (71% des ventes, contre 29% en neuf) ; le neuf tire le mix vers le haut sans renverser le centre de gravité. L’écart de niveau de confort entre neuf et rénovation est net.Établissements flottants : Établissements flottants : contraintes maritimes/fluviales, entretien et image touristique se combinent ; le parc penche vers moyen avec un premium ciblé sur les unités d’image. Ventes 2026-2030 : progression du premium+luxe surtout sur lavabo (+13,5 pts) et WC (+11,0 pts), tirée par rénovation d’accueil et montée en qualité sur les unités touristiques ; le neuf est plus haut de gamme que la rénovation, mais de faible volume.Centres commerciaux / Malls : Centres commerciaux / Malls (dotés de sanitaires collectifs clients) : ventes 2026-2030 en leger glissement vers moyen/premium lorsque le neuf ou les renov. lourdes interviennent. Le centre de gravite reste toutefois module par experience client, debit de nettoyage, economie d eau et cout d exploitation et par la part dominante de travaux sur parc existant.Hyper-Supermarchés : Hyper-Supermarchés (dotés de sanitaires collectifs clients) : ventes 2026-2030 en leger glissement vers moyen/premium lorsque le neuf ou les renov. lourdes interviennent. Le centre de gravite reste toutefois module par experience client, debit de nettoyage, economie d eau et cout d exploitation et par la part dominante de travaux sur parc existant.Marchés couverts : Marchés couverts : parc majoritairement public, souvent ancien, avec priorité au robuste, au simple et au nettoyable ; basique et moyen dominent clairement. Ventes 2026-2030 : progression surtout du moyen et un peu du premium sur les zones rénovées, liée aux programmes de requalification commerciale et touristique, mais sans rupture du centre de gravité.</t>
    </r>
  </si>
  <si>
    <t>1 - Bureaux
2 - Logistique / Stockage
3 - Usines &amp; Ateliers</t>
  </si>
  <si>
    <t>1 - Bureaux Tertiaire Privé
2 - Centres de stockage / Entrepôts / Plateformes logistiques
3 - Usines
4 - Ateliers industriels / de maintenance
5 - Garages / Ateliers de réparation automobile recevant du public</t>
  </si>
  <si>
    <r>
      <rPr>
        <b/>
        <sz val="9"/>
        <rFont val="Calibri"/>
      </rPr>
      <t>Bureaux Tertiaire Privé ; Centres de stockage / Entrepôts / Plateformes logistiques</t>
    </r>
    <r>
      <rPr>
        <sz val="9"/>
        <rFont val="Calibri"/>
      </rPr>
      <t xml:space="preserve"> : W ou hors ERPUsines ; Ateliers industriels / de maintenance : Hors ERPGarages / Ateliers de réparation automobile recevant du public : Variable</t>
    </r>
  </si>
  <si>
    <r>
      <rPr>
        <b/>
        <sz val="9"/>
        <rFont val="Calibri"/>
      </rPr>
      <t>Bureaux Tertiaire Privé ; Centres de stockage / Entrepôts / Plateformes logistiques ; Usines ; Ateliers industriels / de maintenance</t>
    </r>
    <r>
      <rPr>
        <sz val="9"/>
        <rFont val="Calibri"/>
      </rPr>
      <t xml:space="preserve"> : Hors ERP dominant / ERP ponctuel selon accueilGarages / Ateliers de réparation automobile recevant du public : Mixte / variable selon accueil</t>
    </r>
  </si>
  <si>
    <r>
      <rPr>
        <b/>
        <sz val="9"/>
        <rFont val="Calibri"/>
      </rPr>
      <t>Bureaux Tertiaire Privé ; Centres de stockage / Entrepôts / Plateformes logistiques ; Garages / Ateliers de réparation automobile recevant du public</t>
    </r>
    <r>
      <rPr>
        <sz val="9"/>
        <rFont val="Calibri"/>
      </rPr>
      <t xml:space="preserve"> : mixteUsines ; Ateliers industriels / de maintenance : hors ERP</t>
    </r>
  </si>
  <si>
    <r>
      <rPr>
        <b/>
        <sz val="9"/>
        <rFont val="Calibri"/>
      </rPr>
      <t>Bureaux Tertiaire Privé ; Centres de stockage / Entrepôts / Plateformes logistiques ; Usines ; Ateliers industriels / de maintenance</t>
    </r>
    <r>
      <rPr>
        <sz val="9"/>
        <rFont val="Calibri"/>
      </rPr>
      <t xml:space="preserve"> : nonGarages / Ateliers de réparation automobile recevant du public : oui</t>
    </r>
  </si>
  <si>
    <r>
      <rPr>
        <b/>
        <sz val="9"/>
        <rFont val="Calibri"/>
      </rPr>
      <t>Bureaux Tertiaire Privé</t>
    </r>
    <r>
      <rPr>
        <sz val="9"/>
        <rFont val="Calibri"/>
      </rPr>
      <t xml:space="preserve"> : On compte uniquement les bureaux autonomes recevant des salariés sur site, avec sanitaires dédiés ou mutualisés sur place. Ne compter que les bureaux tertiaires privés classiques et ceux intégrés à des sites logistiques (hors usines), de plus de 50 personnes.Centres de stockage / Entrepôts / Plateformes logistiques : Sous-ensemble distingué de l'ancienne ligne 'Bureaux (&gt;50 personnes, tertiaire privé + logistique hors usines)'. Ventilation proxy pour isoler la logistique.Usines : Tout type d’usine de plus de 50 personnes, avec sanitaires dédiés ou mutualisés sur place. Hors bureaux autonomes et hors entrepôts / logistique sans fabrication.Ateliers industriels / de maintenance : Sous-ensemble distingué de l'ancienne ligne 'Usines (&gt;50 personnes)'. Ventilation proxy pour isoler les ateliers et centres de maintenance.Garages / Ateliers de réparation automobile recevant du public : Ajout dédié pour les garages et centres auto recevant une clientèle, avec atelier, vestiaires/sanitaires du personnel et souvent sanitaires clients. Proxy sectoriel fondé sur le secteur Insee 452.</t>
    </r>
  </si>
  <si>
    <r>
      <rPr>
        <b/>
        <sz val="9"/>
        <rFont val="Calibri"/>
      </rPr>
      <t>Bureaux Tertiaire Privé</t>
    </r>
    <r>
      <rPr>
        <sz val="9"/>
        <rFont val="Calibri"/>
      </rPr>
      <t xml:space="preserve"> : Immeuble tertiaire privé, siège social, centre de services, bureau de site logistiqueCentres de stockage / Entrepôts / Plateformes logistiques : Entrepôt, plateforme logistique, centre de distributionUsines : Usine agroalimentaire, site métallurgique, usine chimique, usine automobileAteliers industriels / de maintenance : Atelier de maintenance, atelier technique, atelier industrielGarages / Ateliers de réparation automobile recevant du public : Garage automobile, centre auto, atelier de réparation</t>
    </r>
  </si>
  <si>
    <r>
      <rPr>
        <b/>
        <sz val="9"/>
        <rFont val="Calibri"/>
      </rPr>
      <t>Bureaux Tertiaire Privé ; Centres de stockage / Entrepôts / Plateformes logistiques ; Usines ; Ateliers industriels / de maintenance</t>
    </r>
    <r>
      <rPr>
        <sz val="9"/>
        <rFont val="Calibri"/>
      </rPr>
      <t xml:space="preserve"> : Site
Etablissement principalGarages / Ateliers de réparation automobile recevant du public : Site / établissement principal (proxy sectoriel)</t>
    </r>
  </si>
  <si>
    <r>
      <rPr>
        <b/>
        <sz val="9"/>
        <rFont val="Calibri"/>
      </rPr>
      <t>Bureaux Tertiaire Privé</t>
    </r>
    <r>
      <rPr>
        <sz val="9"/>
        <rFont val="Calibri"/>
      </rPr>
      <t xml:space="preserve"> : proxy emploi / établissements 50+Centres de stockage / Entrepôts / Plateformes logistiques ; Ateliers industriels / de maintenance : proxy de ventilation d'une ligne existante (somme conservée)Usines : proxy emploi / établissements industriels 50+Garages / Ateliers de réparation automobile recevant du public : série sectorielle Insee 2021 / proxy établissements</t>
    </r>
  </si>
  <si>
    <r>
      <rPr>
        <b/>
        <sz val="9"/>
        <rFont val="Calibri"/>
      </rPr>
      <t>Centres de stockage / Entrepôts / Plateformes logistiques</t>
    </r>
    <r>
      <rPr>
        <sz val="9"/>
        <rFont val="Calibri"/>
      </rPr>
      <t xml:space="preserve"> : Ancienne ligne : Bureaux (&gt;50 personnes, tertiaire privé + logistique hors usines)Ateliers industriels / de maintenance : Ancienne ligne : Usines (&gt;50 personnes)</t>
    </r>
  </si>
  <si>
    <r>
      <rPr>
        <b/>
        <sz val="9"/>
        <rFont val="Calibri"/>
      </rPr>
      <t>Bureaux Tertiaire Privé</t>
    </r>
    <r>
      <rPr>
        <sz val="9"/>
        <rFont val="Calibri"/>
      </rPr>
      <t xml:space="preserve"> : Petit rebond 2021-2024 lié à la reprise de l’emploi et à la logistique/tertiaire encore dynamiques ; puis plateau et érosion légère à partir de 2026 avec la rationalisat° immobilière, sans crash du parc.Centres de stockage / Entrepôts / Plateformes logistiques : Estimation calée sur parc national d'entrepôts / plateformes logistiques de grande taille, ramenée aux sites de + 50 personnes. Hausse portée par grands EPL, e-commerce et concentration des flux.Usines : Série revue à partir du socle d'étab. industriels + 50 salariés, retranchant ateliers / maintenance (isoler les usines). Baisse jusqu'à 2020, puis stabilisation et légère reprise avec la réindustrialisation récente.Ateliers industriels / de maintenance : Tendance baissière historique, stabilisation récente (besoins de maintenance et à quelques relocalisations industrielles). Incertitude  plus forte que pour les usines ou la logistique.Garages / Ateliers de réparation automobile recevant du public : Point d'ancrage : l'observatoire ANFA indiquait 1 700 entreprises de réparation d'automobiles ayant +10 salariés en 2009. Série 2021-25 remonte, en cohérence avec la hausse de l'emploi du secteur.</t>
    </r>
  </si>
  <si>
    <r>
      <rPr>
        <b/>
        <sz val="9"/>
        <rFont val="Calibri"/>
      </rPr>
      <t>Bureaux Tertiaire Privé</t>
    </r>
    <r>
      <rPr>
        <sz val="9"/>
        <rFont val="Calibri"/>
      </rPr>
      <t xml:space="preserve"> : Insee Flores 2024 établissements de 50 salariés ou plus ; proxy marché bureaux tertiaires privés.Centres de stockage / Entrepôts / Plateformes logistiques : SDES entrepôts et plateformes logistiques 2023-2024 ; Insee Flores 2024 ; proxy exploitants logistiques.Usines : Insee Flores 2024 ; Insee Focus 2024 sur les établissements manufacturiers ; Baromètre industriel de l'État 2024.Ateliers industriels / de maintenance : Insee Flores 2024 ; Insee Focus 2024 sur l'industrie manufacturière ; proxy maintenance industrielle.Garages / Ateliers de réparation automobile recevant du public : Insee Ésane secteur 452 entretien-réparation automobile ; presse sectorielle sur les défaillances 2024.</t>
    </r>
  </si>
  <si>
    <r>
      <rPr>
        <b/>
        <sz val="9"/>
        <rFont val="Calibri"/>
      </rPr>
      <t>Bureaux Tertiaire Privé</t>
    </r>
    <r>
      <rPr>
        <sz val="9"/>
        <rFont val="Calibri"/>
      </rPr>
      <t xml:space="preserve"> : https://www.insee.fr/fr/statistiques/8266010
https://www.insee.fr/fr/statistiques/2012766
https://www.insee.fr/fr/statistiques/2496914Usines : https://www.insee.fr/fr/statistiques/8266010
https://www.insee.fr/fr/statistiques/2012766
https://www.insee.fr/fr/statistiques/8673351Garages / Ateliers de réparation automobile recevant du public : https://observatoire-old.anfa-auto.fr/L-essentiel-des-services-de-l-automobile/Les-secteurs/Commerce-et-maintenance-de-vehicules-legers ; https://www.insee.fr/fr/statistiques/7929133</t>
    </r>
  </si>
  <si>
    <r>
      <rPr>
        <b/>
        <sz val="9"/>
        <rFont val="Calibri"/>
      </rPr>
      <t>Bureaux Tertiaire Privé</t>
    </r>
    <r>
      <rPr>
        <sz val="9"/>
        <rFont val="Calibri"/>
      </rPr>
      <t xml:space="preserve"> : Bureaux privés &gt;50 salariés : sanitaires salariés par noyaux d'étage, hors public.Centres de stockage / Entrepôts / Plateformes logistiques : Référence code travail - Bureaux &gt;50 pers. : cabinets/urinoirs par sexe + lavabos. Vestiaires et sanitaires salariés, douches selon postes salissants, horaires postés et maintenance.Usines : Usine &gt;50 salariés : sanitaires/vestiaires salariés + douches si travaux salissants.Ateliers industriels / de maintenance : Usine &gt;50 pers. : base code du travail + douches collectives d'atelier/vestiaires ; pas de sanitaires individuels.Garages / Ateliers de réparation automobile recevant du public : Référence code du travail pour bureaux &gt;50 pers. : cabinets/urinoirs par sexe + lavabos, hors sanitaires privatifs. Activité salissante et intervention mécanique : présence de douches salariés, sans systématisation.</t>
    </r>
  </si>
  <si>
    <r>
      <rPr>
        <b/>
        <sz val="9"/>
        <rFont val="Calibri"/>
      </rPr>
      <t>Bureaux Tertiaire Privé</t>
    </r>
    <r>
      <rPr>
        <sz val="9"/>
        <rFont val="Calibri"/>
      </rPr>
      <t xml:space="preserve"> : Capacité type ≈ 225 usagers principaux + 25 staff + 0 autre public. Occupation tertiaire stable sur journée, visiteurs faibles/non structurants. Dimensionnement unitaire retenu : cabinets et lavabos séparés selon effectif maximal simultané, pas de douche sauf usages spécifiques. Hypothèse d'usage : capacité simultanée moyenne 2026, répartition par flux réels, arrondie par blocs fonctionnels et exclusion des sanitaires strictement privatifs sauf cas explicitement collectifs.Centres de stockage / Entrepôts / Plateformes logistiques : Capacité type ≈ 145 salariés/usagers principaux + 17 staff support + 8 visiteurs/prestataires. Application prioritaire du Code du travail : 1 lavabo/10 travailleurs, 1 WC + 1 urinoir/20 hommes, 2 WC/20 femmes, avec douches dès que les postes sont salissants ; arrondis par noyaux sanitaires/vestiaires. Calibrage selon capacité simultanée, répartition de flux et organisation réelle du site.Usines : Capacité type ≈ 225 usagers principaux + 20 staff + 5 autre public. Équipes de production et maintenance, visiteurs/prestataires minoritaires. Dimensionnement unitaire retenu : blocs par vestiaires/ateliers, douches collectives quand l'activité le justifie. Hypothèse d'usage : capacité simultanée moyenne 2026, répartition par flux réels, arrondie par blocs fonctionnels et exclusion des sanitaires strictement privatifs sauf cas explicitement collectifs.Ateliers industriels / de maintenance : Capacité type ≈ 119 salariés/usagers principaux + 14 staff support + 7 prestataires/intérimaires. Application prioritaire du Code du travail : 1 lavabo/10 travailleurs, 1 WC + 1 urinoir/20 hommes, 2 WC/20 femmes, avec douches dès que les postes sont salissants ; arrondis par noyaux sanitaires/vestiaires. Calibrage selon capacité simultanée, répartition de flux et organisation réelle du site.Garages / Ateliers de réparation automobile recevant du public : Capacité type ≈ 24 salariés/usagers principaux + 5 staff support + 1 visiteurs/prestataires. Application prioritaire du Code du travail : 1 lavabo/10 travailleurs, 1 WC + 1 urinoir/20 hommes, 2 WC/20 femmes, avec douches dès que les postes sont salissants (1,2) ; arrondis par noyaux sanitaires/vestiaires. Calibrage selon capacité simultanée, répartition de flux et organisation réelle du site.</t>
    </r>
  </si>
  <si>
    <r>
      <rPr>
        <b/>
        <sz val="9"/>
        <rFont val="Calibri"/>
      </rPr>
      <t>Bureaux Tertiaire Privé ; Usines</t>
    </r>
    <r>
      <rPr>
        <sz val="9"/>
        <rFont val="Calibri"/>
      </rPr>
      <t xml:space="preserve"> : Profil grand, capacité moyenne ≈ 250 personnes. Moyenne pondérée terrain : parc majoritairement petits/moyens sites, grands sites intégrés sans surpondération ; usage 2025 modérée, majoritairement courte.Centres de stockage / Entrepôts / Plateformes logistiques : Profil moyen, capacité moyenne ≈ 170 personnes. Moyenne pondérée terrain : parc majoritairement petits/moyens sites, grands sites intégrés sans surpondération ; usage 2025 modérée, majoritairement courte.Ateliers industriels / de maintenance : Profil moyen, capacité moyenne ≈ 140 personnes. Moyenne pondérée terrain : parc majoritairement petits/moyens sites, grands sites intégrés sans surpondération ; usage 2025 modérée, majoritairement courte.Garages / Ateliers de réparation automobile recevant du public : Profil moyen, capacité moyenne ≈ 30 personnes. Moyenne pondérée terrain : parc majoritairement petits/moyens sites, grands sites intégrés sans surpondération ; usage 2025 modérée, majoritairement courte.</t>
    </r>
  </si>
  <si>
    <r>
      <rPr>
        <b/>
        <sz val="9"/>
        <rFont val="Calibri"/>
      </rPr>
      <t>Bureaux Tertiaire Privé ; Usines</t>
    </r>
    <r>
      <rPr>
        <sz val="9"/>
        <rFont val="Calibri"/>
      </rPr>
      <t xml:space="preserve"> : ERP/accessibilité sanitaires publics : https://www.legifrance.gouv.fr/loda/article_lc/LEGIARTI000034485966/ ; Code du travail sanitaires salariés : https://www.legifrance.gouv.fr/codes/id/LEGISCTA000018531984 ; INRS : https://www.inrs.fr/publications/juridique/focus-juridiques/focus-sanitaires-toilettes.htmlCentres de stockage / Entrepôts / Plateformes logistiques ; Ateliers industriels / de maintenance ; Garages / Ateliers de réparation automobile recevant du public : Code du travail, art. R4228-1 à R4228-10 (installations sanitaires, vestiaires, lavabos, douches, WC) : https://www.legifrance.gouv.fr/codes/section_lc/LEGITEXT000006072050/LEGISCTA000018489205/ ; https://code.travail.gouv.fr/code-du-travail/r4228-10</t>
    </r>
  </si>
  <si>
    <r>
      <rPr>
        <b/>
        <sz val="9"/>
        <rFont val="Calibri"/>
      </rPr>
      <t>Bureaux Tertiaire Privé</t>
    </r>
    <r>
      <rPr>
        <sz val="9"/>
        <rFont val="Calibri"/>
      </rPr>
      <t xml:space="preserve"> : Usage salarié prévisible, faible vandalisme, entretien régulier et rénovation par bail/aménagement; peu d'humidité. Durées longues, supérieures aux ERP publics ouverts. Qualité d’eau parfois défavorable, maintenance surtout corrective avec arbitrage budgétaire selon entreprise.Centres de stockage / Entrepôts / Plateformes logistiques : Usage soutenu, parfois salissant, avec vestiaires et douches davantage sollicités. Les durées réelles restent correctes grâce à une maintenance technique présente, mais l'intensité et l'environnement raccourcissent les douches et les organes exposés. Les renouvellements se font souvent par vestiaires ou batteries sanitaires pendant des arrêts programmés. Industrie / logistique / vestiaires salariés : Usage posté, vestiaires et sanitaires salariés sollicités, qualité d’eau parfois défavorable, maintenance surtout corrective avec arbitrage budgétaire industriel.Usines : Usage soutenu, salissures industrielles, avec vestiaires, douches davantage sollicités. Durées réelles restent correctes grâce à une maintenance technique présente, mais intensité et environnement raccourcissent les douches. Maintenance technique disponible mais contraintes de production. Renouvellements souvent par vestiaires ou batteries sanitaires pendant arrêts programmés. Industrie / vestiaires salariés : Usage posté, vestiaires et sanitaires salariés sollicités, qualité d’eau parfois défavorable, maintenance surtout corrective avec arbitrage budgétaire industriel. Proche logistique, avantage aux mécaniques robustes.Ateliers industriels / de maintenance : Usage diffus, entretien régulier et qualité de finition plus élevée que dans les ERP de transit. Les durées de vie sont donc au-dessus de la moyenne. L'électronique reste plus courte si elle existe, surtout hors contrats de maintenance dédiés. Le remplacement se fait souvent par chambre ou par lot lors des rénovations d'étage. Hôtellerie / hébergement marchand : Usage plus résidentiel, faible vandalisme mais attente client élevée. renouvellement souvent par programme de rénovation chambre / salle de bains plus que par panne seule.Garages / Ateliers de réparation automobile recevant du public : Public plus atelier, graisses, solvants, salissures et usage du personnel; blocs souvent petits mais fortement salis. Usage soutenu, parfois salissant, avec vestiaires + douches davantage sollicités. Durées réelles  correctes grâce à une maintenance technique présente, mais l'intensité et l'environnement raccourcissent les douches et les organes exposés. Renouvellements souvent par vestiaires ou batteries sanitaires pendant des arrêts programmés. Usage posté, vestiaires et sanitaires salariés sollicités, qualité d’eau parfois défavorable, maintenance surtout corrective avec arbitrage budgétaire industriel.</t>
    </r>
  </si>
  <si>
    <r>
      <rPr>
        <b/>
        <sz val="9"/>
        <rFont val="Calibri"/>
      </rPr>
      <t>Bureaux Tertiaire Privé ; Garages / Ateliers de réparation automobile recevant du public</t>
    </r>
    <r>
      <rPr>
        <sz val="9"/>
        <rFont val="Calibri"/>
      </rPr>
      <t xml:space="preserve"> : Dans les bureaux, le mitigeur reste encore très présent dans le parc existant, mais l’électronique a gagné du terrain dans les rénovations tertiaires ; le temporisé mécanique est plus minoritaire que dans l’enseignement ou le sport. Ajustement ciblé 2025 : légère baisse du mitigeur et/ou légère hausse de l’électronique pour mieux refléter la modernisation déjà visible sur les rénovations de sanitaires communs.Centres de stockage / Entrepôts / Plateformes logistiques : Parc 2025 domine par tempo mecanique (60%+). Mitigeur manuel en appoint et éléctronique à même ordre de grandeur. Le choix reflete usage salarie, maintenance planifiee et contraintes Code du travail ; sanitaires salaries, cout global, robustesse et sobriete eau.Usines : Usines (&gt;50 salariés) (Hors Ateliers industriels) : parc 2025 domine par tempo mecanique (50%), avec mitigeur manuel en appoint. Le choix reflete usage salarie de jour, maintenance planifiee et contraintes Code du travail ; sanitaires salaries, cout global, robustesse et sobriete eau.Ateliers industriels / de maintenance : Dans l’industrie, le parc commun privilégie la robustesse : temporisé mécanique dominant, avec une part d’équipements spécifiques/industriels classés en 'autres'.</t>
    </r>
  </si>
  <si>
    <r>
      <rPr>
        <b/>
        <sz val="9"/>
        <rFont val="Calibri"/>
      </rPr>
      <t>Bureaux Tertiaire Privé ; Usines</t>
    </r>
    <r>
      <rPr>
        <sz val="9"/>
        <rFont val="Calibri"/>
      </rPr>
      <t xml:space="preserve"> : 2025-2030 : progression de tempo electronique (+5,0%), surtout lors des renov. lourdes/neuf ; recul de mitigeur manuel (-5,0%) mais maintien d un socle robuste pour les remplacements partiels.Centres de stockage / Entrepôts / Plateformes logistiques ; Garages / Ateliers de réparation automobile recevant du public : Dans les bureaux, la projection 2030 privilégie la montée de l’électronique sur les rénovations tertiaires ; le temporisé mécanique reste secondaire et le mitigeur recule surtout dans les immeubles neufs ou rénovés.Ateliers industriels / de maintenance : En industrie, la bascule reste limitée : le mitigeur baisse un peu, l’électronique progresse surtout dans les sanitaires d’accueil/tertiaires, mais le socle mécanique demeure robuste sur site.</t>
    </r>
  </si>
  <si>
    <r>
      <rPr>
        <b/>
        <sz val="9"/>
        <rFont val="Calibri"/>
      </rPr>
      <t>Bureaux Tertiaire Privé</t>
    </r>
    <r>
      <rPr>
        <sz val="9"/>
        <rFont val="Calibri"/>
      </rPr>
      <t xml:space="preserve"> : Bureaux Tertiaire Privé (&gt;50 salariés) (hors usines et logistique ) : parc 2025 domine par mitigeur (50%), avec tempo mecanique en appoint. Le choix reflete usage salarie de jour, maintenance planifiee et contraintes Code du travail ; sanitaires salaries, cout global, robustesse et sobriete eau.Centres de stockage / Entrepôts / Plateformes logistiques : Entrepôts/logistique : douches de vestiaires salariés, mix tertiaire-logistique avec mitigeur dominant et temporisé mécanique significatif.Usines : Usines (&gt;50 salariés) (Hors Ateliers industriels) : parc 2025 domine par mitigeur (50%), avec tempo mecanique en appoint. Le choix reflete usage salarie de jour, maintenance planifiee et contraintes Code du travail ; sanitaires salaries, cout global, robustesse et sobriete eau.Ateliers industriels / de maintenance : Les douches de vestiaires sont très majoritairement temporisées mécaniques sur le parc existant.Garages / Ateliers de réparation automobile recevant du public : Garages/ateliers auto : douches de vestiaires robustes, majoritairement temporisées mécaniques compte tenu de l’usage salissant et de la maintenance.</t>
    </r>
  </si>
  <si>
    <r>
      <rPr>
        <b/>
        <sz val="9"/>
        <rFont val="Calibri"/>
      </rPr>
      <t>Bureaux Tertiaire Privé ; Usines</t>
    </r>
    <r>
      <rPr>
        <sz val="9"/>
        <rFont val="Calibri"/>
      </rPr>
      <t xml:space="preserve"> : 2025-2030 : progression de tempo electronique (+3,0%), surtout lors des renov. lourdes/neuf ; recul de mitigeur (-6,0%) mais maintien d un socle robuste pour les remplacements partiels.Centres de stockage / Entrepôts / Plateformes logistiques : Évolution modérée vers temporisé/électronique lors de rénovations, sous contrainte robustesse, maintenance et économie d’eau.Ateliers industriels / de maintenance : Les douches d’usine progressent modérément vers l’électronique, mais le parc reste surtout robuste et mécanique.Garages / Ateliers de réparation automobile recevant du public : Évolution 2025-2030 : le temporisé mécanique progresse légèrement, électronique encore minoritaire, mitigeur en recul prudent.</t>
    </r>
  </si>
  <si>
    <r>
      <rPr>
        <b/>
        <sz val="9"/>
        <rFont val="Calibri"/>
      </rPr>
      <t>Bureaux Tertiaire Privé</t>
    </r>
    <r>
      <rPr>
        <sz val="9"/>
        <rFont val="Calibri"/>
      </rPr>
      <t xml:space="preserve"> : Bureaux Tertiaire Privé (&gt;50 salariés) (hors usines et logistique ) : parc 2025 domine par directe mecanique (50%), avec directe electronique collective en appoint. Le choix reflete usage salarie de jour, maintenance planifiee et contraintes Code du travail ; sanitaires salaries, cout global, robustesse et sobriete eau.Centres de stockage / Entrepôts / Plateformes logistiques ; Garages / Ateliers de réparation automobile recevant du public : Les urinoirs automatiques sont désormais courants dans l’immobilier tertiaire récent, sans avoir complètement remplacé le parc mécanique/direct existant.Usines : Usines (&gt;50 salariés) (Hors Ateliers industriels) : parc 2025 domine par directe mecanique (50%), avec directe electronique collective en appoint. Le choix reflete usage salarie de jour, maintenance planifiee et contraintes Code du travail ; sanitaires salaries, cout global, robustesse et sobriete eau.Ateliers industriels / de maintenance : Les urinoirs restent surtout mécaniques ou collectifs anciens ; l’automatique est minoritaire.</t>
    </r>
  </si>
  <si>
    <r>
      <rPr>
        <b/>
        <sz val="9"/>
        <rFont val="Calibri"/>
      </rPr>
      <t>Bureaux Tertiaire Privé ; Usines</t>
    </r>
    <r>
      <rPr>
        <sz val="9"/>
        <rFont val="Calibri"/>
      </rPr>
      <t xml:space="preserve"> : 2025-2030 : progression de directe electronique indiv. (+3,0%), surtout lors des renov. lourdes/neuf ; recul de a reservoir (-2,0%) mais maintien d un socle robuste pour les remplacements partiels.Centres de stockage / Entrepôts / Plateformes logistiques ; Garages / Ateliers de réparation automobile recevant du public : Projection prudente : recul des systèmes les plus anciens et progression graduelle de l’automatique.Ateliers industriels / de maintenance : Le direct mécanique reste fort ; la baisse des réservoirs profite d’abord au mécanique robuste, l’automatique progressant plus lentement.</t>
    </r>
  </si>
  <si>
    <r>
      <rPr>
        <b/>
        <sz val="9"/>
        <rFont val="Calibri"/>
      </rPr>
      <t>Bureaux Tertiaire Privé</t>
    </r>
    <r>
      <rPr>
        <sz val="9"/>
        <rFont val="Calibri"/>
      </rPr>
      <t xml:space="preserve"> : Bureaux Tertiaire Privé (&gt;50 salariés) (hors usines et logistique ) : parc 2025 domine par reservoir (55%), avec chasse directe mecanique en appoint. Le choix reflete usage salarie de jour, maintenance planifiee et contraintes Code du travail ; sanitaires salaries, cout global, robustesse et sobriete eau.Centres de stockage / Entrepôts / Plateformes logistiques ; Garages / Ateliers de réparation automobile recevant du public : Le réservoir reste légèrement majoritaire dans le stock, mais la chasse directe et l’électronique sont déjà bien représentées dans les immeubles récents.Usines : Usines (&gt;50 salariés) (Hors Ateliers industriels) : parc 2025 domine par reservoir (55%), avec chasse directe mecanique en appoint. Le choix reflete usage salarie de jour, maintenance planifiee et contraintes Code du travail ; sanitaires salaries, cout global, robustesse et sobriete eau.Ateliers industriels / de maintenance : La chasse directe est déjà très présente dans les blocs industriels à fort passage, même si le réservoir reste important dans le parc ancien.</t>
    </r>
  </si>
  <si>
    <r>
      <rPr>
        <b/>
        <sz val="9"/>
        <rFont val="Calibri"/>
      </rPr>
      <t>Bureaux Tertiaire Privé ; Usines</t>
    </r>
    <r>
      <rPr>
        <sz val="9"/>
        <rFont val="Calibri"/>
      </rPr>
      <t xml:space="preserve"> : 2025-2030 : progression de chasse directe electronique (+5,0%), surtout lors des renov. lourdes/neuf ; recul de reservoir (-8,0%) mais maintien d un socle robuste pour les remplacements partiels.Centres de stockage / Entrepôts / Plateformes logistiques ; Garages / Ateliers de réparation automobile recevant du public : Dans les bureaux, la progression va surtout du réservoir vers l’électronique dans les opérations tertiaires lourdes ; le direct simple reste intermédiaire.Ateliers industriels / de maintenance : Le direct progresse pour robustesse, mais le parc existant conserve une forte inertie et le réservoir reste encore important.</t>
    </r>
  </si>
  <si>
    <r>
      <rPr>
        <b/>
        <sz val="9"/>
        <rFont val="Calibri"/>
      </rPr>
      <t>Bureaux Tertiaire Privé ; Usines</t>
    </r>
    <r>
      <rPr>
        <sz val="9"/>
        <rFont val="Calibri"/>
      </rPr>
      <t xml:space="preserve"> : 80,4% retenu : besoins transformes en travaux selon usage salarie de jour, maintenance planifiee et contraintes Code du travail. Le phasage budgetaire, les fermetures partielles et la maintenance courante limitent la conversion totale.Centres de stockage / Entrepôts / Plateformes logistiques ; Garages / Ateliers de réparation automobile recevant du public : 82,9% retenu : EET, ESG et repositionnement d’actifs rendent la réno concrète, mais la vacance et les arbitrages immobiliers étalent les travaux.Ateliers industriels / de maintenance : 86,2% retenu : les sanitaires et vestiaires sont souvent repris lors de travaux sécurité/process, mais le phasage industriel limite une matérialisation totale.</t>
    </r>
  </si>
  <si>
    <r>
      <rPr>
        <b/>
        <sz val="9"/>
        <rFont val="Calibri"/>
      </rPr>
      <t>Bureaux Tertiaire Privé ; Usines</t>
    </r>
    <r>
      <rPr>
        <sz val="9"/>
        <rFont val="Calibri"/>
      </rPr>
      <t xml:space="preserve"> : Potentiel renovation : tire par sanitaires salaries, cout global, robustesse et sobriete eau. Les remplacements sont plutot par lots, avec arbitrage entre urgence sanitaire, budget et capacite a intervenir en site occupe.Centres de stockage / Entrepôts / Plateformes logistiques ; Garages / Ateliers de réparation automobile recevant du public : Potentiel rénovation élevé : très soutenu par le décret tertiaire, le repositionnement ESG et le besoin d’améliorer l’expérience salariés. Les lavabos et les WC portent l’essentiel des volumes, avec un poids secondaire des équipements spécialisés. En rénovation, le marché reste orienté vers des gammes fiables, disponibles et rapides à poser afin de limiter l’arrêt d’exploitation.Ateliers industriels / de maintenance : Potentiel rénovation élevé : vestiaires, douches, sanitaires et bâtiments sociaux doivent suivre les exigences de sécurité, d’hygiène et de recrutement. Les volumes se concentrent surtout sur lavabos et wc. En rénovation, les maîtres d’ouvrage privilégient des références robustes, vite posées et faciles à maintenir dans des ambiances humides.</t>
    </r>
  </si>
  <si>
    <r>
      <rPr>
        <b/>
        <sz val="9"/>
        <rFont val="Calibri"/>
      </rPr>
      <t>Bureaux Tertiaire Privé</t>
    </r>
    <r>
      <rPr>
        <sz val="9"/>
        <rFont val="Calibri"/>
      </rPr>
      <t xml:space="preserve"> : Potentiel neuf : limite pour bureaux tertiaire privé (&gt;50 salariés) (hors usines et logistique ), surtout via extensions, reconstructions ou projets locaux. Le neuf reste contraint par foncier, budgets et delais de mise en service.Centres de stockage / Entrepôts / Plateformes logistiques ; Garages / Ateliers de réparation automobile recevant du public : Potentiel neuf moyen à soutenu : le neuf existe surtout sur des immeubles prime, campus et programmes mixtes, mais le marché reste très sélectif. Le neuf est réel mais secondaire.Usines : Potentiel neuf : limite pour usines (&gt;50 salariés) (hors ateliers industriels), surtout via extensions, reconstructions ou projets locaux. Le neuf reste contraint par foncier, budgets et delais de mise en service.Ateliers industriels / de maintenance : Potentiel neuf faible : soutenu par la réindustrialisation, la décarbonation et certains investissements France 2030/Choose France, mais très concentré par filière et par site. Le neuf est quasi nul dans le modèle et renvoie surtout à des reconstructions ou remplacements de sites.</t>
    </r>
  </si>
  <si>
    <r>
      <rPr>
        <b/>
        <sz val="9"/>
        <rFont val="Calibri"/>
      </rPr>
      <t>Bureaux Tertiaire Privé ; Usines</t>
    </r>
    <r>
      <rPr>
        <sz val="9"/>
        <rFont val="Calibri"/>
      </rPr>
      <t xml:space="preserve"> : Projets phares renovation : reprise de blocs sanitaires, accessibilite, ventilation, economie d eau, remplacement des pieces usees et adaptation aux pics de frequentation propres au sous-segment.Centres de stockage / Entrepôts / Plateformes logistiques ; Garages / Ateliers de réparation automobile recevant du public : Projets phares réno : sanitaires salariés/visiteurs, douches vélo, parties communes, repositionnement d’immeubles anciens ou secondaires.Ateliers industriels / de maintenance : Projets phares réno : vestiaires, douches, sanitaires salariés, bases vie, bâtiments sociaux et modernisation d’ateliers existants.</t>
    </r>
  </si>
  <si>
    <r>
      <rPr>
        <b/>
        <sz val="9"/>
        <rFont val="Calibri"/>
      </rPr>
      <t>Bureaux Tertiaire Privé ; Usines</t>
    </r>
    <r>
      <rPr>
        <sz val="9"/>
        <rFont val="Calibri"/>
      </rPr>
      <t xml:space="preserve"> : Projets phares neuf : creations ou reconstructions selectives, integration de sanitaires plus sobres, robustes et faciles a maintenir des la conception.Centres de stockage / Entrepôts / Plateformes logistiques ; Garages / Ateliers de réparation automobile recevant du public : Projets phares neuf : immeubles prime, campus tertiaires, bureaux intégrés à des opérations mixtes ou logistiques.Ateliers industriels / de maintenance : Projets phares neuf : nouvelles usines, extensions de capacité, ateliers, bâtiments salariés et bases vie liées à la décarbonation ou à la relocalisation.</t>
    </r>
  </si>
  <si>
    <r>
      <rPr>
        <b/>
        <sz val="9"/>
        <rFont val="Calibri"/>
      </rPr>
      <t>Bureaux Tertiaire Privé ; Usines</t>
    </r>
    <r>
      <rPr>
        <sz val="9"/>
        <rFont val="Calibri"/>
      </rPr>
      <t xml:space="preserve"> : Dynamique renovation 2026-2030 : moderee, car l usure et l hygiene rendent les interventions recurrentes. Menaces : arbitrages d investissement, travaux en exploitation et cout de maintenance.Centres de stockage / Entrepôts / Plateformes logistiques ; Garages / Ateliers de réparation automobile recevant du public : Dynamique réno 2026-2030 : élevée et plus lisible que le neuf ; le remplacement sanitaire accompagne souvent la montée en qualité des immeubles.Ateliers industriels / de maintenance : Dynamique réno 2026-2030 : soutenue, car elle accompagne la modernisation des sites existants et l’amélioration des conditions de travail.</t>
    </r>
  </si>
  <si>
    <r>
      <rPr>
        <b/>
        <sz val="9"/>
        <rFont val="Calibri"/>
      </rPr>
      <t>Bureaux Tertiaire Privé ; Usines</t>
    </r>
    <r>
      <rPr>
        <sz val="9"/>
        <rFont val="Calibri"/>
      </rPr>
      <t xml:space="preserve"> : Dynamique neuf 2026-2030 : faible a moderee, dependante des projets immobiliers, de la demographie locale et des budgets de maitrise d ouvrage.Centres de stockage / Entrepôts / Plateformes logistiques ; Garages / Ateliers de réparation automobile recevant du public : Dynamique neuf 2026-2030 : modérée, avec polarisation sur les meilleurs actifs et un écart important entre autorisations et chantiers. Le marché est polarisé entre prime et seconde main, ce qui renforce encore le poids de la rénovation.Ateliers industriels / de maintenance : Dynamique neuf 2026-2030 : réelle mais très polarisée ; les grands projets tirent le marché, tandis que beaucoup d’intentions ne passent pas toutes en chantiers dans les mêmes délais.</t>
    </r>
  </si>
  <si>
    <r>
      <rPr>
        <b/>
        <sz val="9"/>
        <rFont val="Calibri"/>
      </rPr>
      <t>Bureaux Tertiaire Privé</t>
    </r>
    <r>
      <rPr>
        <sz val="9"/>
        <rFont val="Calibri"/>
      </rPr>
      <t xml:space="preserve"> : </t>
    </r>
    <r>
      <rPr>
        <sz val="9"/>
        <rFont val="Calibri"/>
      </rPr>
      <t>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https://www.insee.fr/fr/statistiques/8906564Centres de stockage / Entrepôts / Plateformes logistiques ; Garages / Ateliers de réparation automobile recevant du public :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https://www.insee.fr/fr/statistiques/8906564Usines ; Ateliers industriels / de maintenance : https://experience.france2030.gouv.fr/fr/visit/decarbonation-de-leconomie/la-decarbonation-de-l-industrie/full/
https://www.tresor.economie.gouv.fr/Articles/2025/05/19/choose-france-2025-une-edition-record-au-service-de-la-souverainete-economique-et-de-l-innovation
https://www.statistiques.developpement-durable.gouv.fr/construction-de-locaux-resultats-fin-janvier-2026-france-entiere
https://www.insee.fr/fr/statistiques/8671745
https://www.insee.fr/fr/statistiques/8906564</t>
    </r>
  </si>
  <si>
    <r>
      <rPr>
        <b/>
        <sz val="9"/>
        <rFont val="Calibri"/>
      </rPr>
      <t>Bureaux Tertiaire Privé</t>
    </r>
    <r>
      <rPr>
        <sz val="9"/>
        <rFont val="Calibri"/>
      </rPr>
      <t xml:space="preserve"> : Parc existant centre sur le niveau mid, avec ventes 2026-2030 legerement plus qualitatives. Bureaux Tertiaire Privé (&gt;50 salariés) (hors usines et logistique ) : usage salarie de jour, maintenance planifiee et contraintes Code du travail; le mix reste guide par sanitaires salaries, cout global, robustesse et sobriete eau.Centres de stockage / Entrepôts / Plateformes logistiques ; Garages / Ateliers de réparation automobile recevant du public : Parc existant surtout intermédiaire. Les ventes se décalent légèrement vers intermédiaire, sous l’effet combiné de l’hygiène, de l’image et des rénovations lourdes. Le neuf est un peu plus qualitatif que la rénovation, sans renverser le centre de gravité du mix. Bureaux tertiaires : le parc existant reste largement standard/intermédiaire, mais le tertiaire rénové et les sièges cherchent plus de qualité perçue, d’image et d’hygiène.Usines : Parc existant centre sur le niveau mid, avec ventes 2026-2030 legerement plus qualitatives. Usines (&gt;50 salariés) (Hors Ateliers industriels) : usage salarie de jour, maintenance planifiee et contraintes Code du travail; le mix reste guide par sanitaires salaries, cout global, robustesse et sobriete eau.Ateliers industriels / de maintenance : Parc existant surtout standard. Les ventes restent proches du parc, centré sur standard, car le trafic et la robustesse maintiennent un cahier des charges très fonctionnel. La rénovation restant majoritaire, le mix de ventes reste proche du parc et monte surtout d’un cran sur les opérations lourdes. Sites industriels : le sanitaire suit d’abord la logique d’exploitation, d’entretien et de robustesse ; l’image pèse peu hors bâtiments administratifs.</t>
    </r>
  </si>
  <si>
    <r>
      <rPr>
        <b/>
        <sz val="9"/>
        <rFont val="Calibri"/>
      </rPr>
      <t>Bureaux Tertiaire Privé ; Usines ; Ateliers industriels / de maintenance</t>
    </r>
    <r>
      <rPr>
        <sz val="9"/>
        <rFont val="Calibri"/>
      </rPr>
      <t xml:space="preserve"> : ±4 ptsCentres de stockage / Entrepôts / Plateformes logistiques ; Garages / Ateliers de réparation automobile recevant du public : ±5 pts</t>
    </r>
  </si>
  <si>
    <r>
      <rPr>
        <b/>
        <sz val="9"/>
        <rFont val="Calibri"/>
      </rPr>
      <t>Bureaux Tertiaire Privé ; Usines</t>
    </r>
    <r>
      <rPr>
        <sz val="9"/>
        <rFont val="Calibri"/>
      </rPr>
      <t xml:space="preserve"> : Parc existant : sanitaires salaries, cout global, robustesse et sobriete eau; usage salarie de jour, maintenance planifiee et contraintes Code du travail. La montee en confort reste proportionnee au budget et au rythme de renovation.Centres de stockage / Entrepôts / Plateformes logistiques ; Garages / Ateliers de réparation automobile recevant du public : Bureaux tertiaires : le parc existant reste largement standard/intermédiaire, mais le tertiaire rénové et les sièges cherchent plus de qualité perçue, d’image et d’hygiène.Ateliers industriels / de maintenance : Sites industriels : le sanitaire suit d’abord la logique d’exploitation, d’entretien et de robustesse ; l’image pèse peu hors bâtiments administratifs.</t>
    </r>
  </si>
  <si>
    <r>
      <rPr>
        <b/>
        <sz val="9"/>
        <rFont val="Calibri"/>
      </rPr>
      <t>Bureaux Tertiaire Privé ; Usines</t>
    </r>
    <r>
      <rPr>
        <sz val="9"/>
        <rFont val="Calibri"/>
      </rPr>
      <t xml:space="preserve"> : image client =&gt; premiumisation cibleeCentres de stockage / Entrepôts / Plateformes logistiques ; Garages / Ateliers de réparation automobile recevant du public : image + privé ⇒ premium/luxe ↑ ; contrainte sanitaire ⇒ standard/intermédiaire technique ↑ ; poids du neuf significatif ⇒ premiumisation des ventes &gt; parcAteliers industriels / de maintenance : forte fréquentation ⇒ standard ↑, premium/luxe ↓ ; rénovation dominante ⇒ progression graduelle</t>
    </r>
  </si>
  <si>
    <r>
      <rPr>
        <b/>
        <sz val="9"/>
        <rFont val="Calibri"/>
      </rPr>
      <t>Bureaux Tertiaire Privé</t>
    </r>
    <r>
      <rPr>
        <sz val="9"/>
        <rFont val="Calibri"/>
      </rPr>
      <t xml:space="preserve"> : Bureaux Tertiaire Privé (&gt;50 salariés) (hors usines et logistique ) : ventes 2026-2030 en leger glissement vers moyen/premium lorsque le neuf ou les renov. lourdes interviennent. Le centre de gravite reste toutefois module par sanitaires salaries, cout global, robustesse et sobriete eau et par la part dominante de travaux sur parc existant.Centres de stockage / Entrepôts / Plateformes logistiques : Centres de stockage / entrepôts / plateformes logistiques (&gt;50 personnes) : tertiaire privé majoritairement standard, avec premium concentré sur sièges, campus et immeubles récents. Ventes 2026-2030 : glissement vers davantage de moyen / premium, surtout sur lavabo (+14,6 pts sur premium+luxe), WC (+12,4 pts sur premium+luxe), urinoir (+9,7 pts sur premium+luxe). La rénovation reste majoritaire (70% des ventes, contre 30% en neuf) ; le neuf tire le mix vers le haut sans renverser le centre de gravité. L’écart de niveau de confort entre neuf et rénovation est net.Usines : Usines (&gt;50 salariés) (Hors Ateliers industriels) : ventes 2026-2030 en leger glissement vers moyen/premium lorsque le neuf ou les renov. lourdes interviennent. Le centre de gravite reste toutefois module par sanitaires salaries, cout global, robustesse et sobriete eau et par la part dominante de travaux sur parc existant.Ateliers industriels / de maintenance : Usines (&gt;50 personnes) : sanitaires d’usine exposés aux usages intensifs et à une logique strictement fonctionnelle. Ventes 2026-2030 : glissement vers davantage de moyen / premium. La rénovation reste majoritaire (81% des ventes, contre 19% en neuf) ; le neuf tire le mix vers le haut sans renverser le centre de gravité. L’écart de niveau de confort entre neuf et rénovation reste perceptible.Garages / Ateliers de réparation automobile recevant du public : Garages / ateliers de réparation automobile recevant du public : tertiaire privé majoritairement standard, avec premium concentré sur sièges, campus et immeubles récents. Ventes 2026-2030 : glissement vers davantage de moyen / premium, surtout sur lavabo (+14,6 pts sur premium+luxe), WC (+12,4 pts sur premium+luxe), urinoir (+9,7 pts sur premium+luxe). La rénovation reste majoritaire (70% des ventes, contre 30% en neuf) ; le neuf tire le mix vers le haut sans renverser le centre de gravité. L’écart de niveau de confort entre neuf et rénovation est net.</t>
    </r>
  </si>
  <si>
    <t>1 - Hébergement Touristique
2 - Hébergement Montagne
3 - Tourisme de plein air</t>
  </si>
  <si>
    <t>1 - Hôtels
2 - Villages de vacances / Clubs vacances / Centres de vacances familiaux
3 - Résidences de tourisme
4 - Auberges de jeunesse
5 - Pensions de famille
6 - Hôtels-restaurants d’altitude
7 - Refuges de montagne
8 - Campings
9 - Aires d’accueil des gens du voyage</t>
  </si>
  <si>
    <r>
      <rPr>
        <b/>
        <sz val="9"/>
        <rFont val="Calibri"/>
      </rPr>
      <t>Hôtels ; Résidences de tourisme ; Pensions de famille</t>
    </r>
    <r>
      <rPr>
        <sz val="9"/>
        <rFont val="Calibri"/>
      </rPr>
      <t xml:space="preserve"> : OVillages de vacances / Clubs vacances / Centres de vacances familiaux : O / variableAuberges de jeunesse : O ou RHôtels-restaurants d’altitude : OARefuges de montagne : REFCampings : PAAires d’accueil des gens du voyage : Variable</t>
    </r>
  </si>
  <si>
    <r>
      <rPr>
        <b/>
        <sz val="9"/>
        <rFont val="Calibri"/>
      </rPr>
      <t>Hôtels ; Résidences de tourisme ; Auberges de jeunesse ; Pensions de famille</t>
    </r>
    <r>
      <rPr>
        <sz val="9"/>
        <rFont val="Calibri"/>
      </rPr>
      <t xml:space="preserve"> : ERPVillages de vacances / Clubs vacances / Centres de vacances familiaux : ERP / variableHôtels-restaurants d’altitude ; Refuges de montagne ; Campings : ERP spécialAires d’accueil des gens du voyage : Cas particulier</t>
    </r>
  </si>
  <si>
    <r>
      <rPr>
        <b/>
        <sz val="9"/>
        <rFont val="Calibri"/>
      </rPr>
      <t>Hôtels ; Villages de vacances / Clubs vacances / Centres de vacances familiaux ; Résidences de tourisme ; Auberges de jeunesse ; Pensions de famille ; Hôtels-restaurants d’altitude ; Refuges de montagne ; Campings</t>
    </r>
    <r>
      <rPr>
        <sz val="9"/>
        <rFont val="Calibri"/>
      </rPr>
      <t xml:space="preserve"> : ERPAires d’accueil des gens du voyage : mixte</t>
    </r>
  </si>
  <si>
    <r>
      <rPr>
        <b/>
        <sz val="9"/>
        <rFont val="Calibri"/>
      </rPr>
      <t>Hôtels ; Villages de vacances / Clubs vacances / Centres de vacances familiaux ; Résidences de tourisme ; Pensions de famille ; Hôtels-restaurants d’altitude ; Refuges de montagne ; Campings</t>
    </r>
    <r>
      <rPr>
        <sz val="9"/>
        <rFont val="Calibri"/>
      </rPr>
      <t xml:space="preserve"> : ouiAuberges de jeunesse ; Aires d’accueil des gens du voyage : variable</t>
    </r>
  </si>
  <si>
    <r>
      <rPr>
        <b/>
        <sz val="9"/>
        <rFont val="Calibri"/>
      </rPr>
      <t>Hôtels</t>
    </r>
    <r>
      <rPr>
        <sz val="9"/>
        <rFont val="Calibri"/>
      </rPr>
      <t xml:space="preserve"> : Hébergement hôtelier. Comptage =&gt; lobby / accueil ; sanitaires clients communs ; restaurant / petit-déjeuner / bar d’hôtel ; salles de réunion / séminaire internes ; sanitaires salariés ; éventuellement vestiaires salariés ; mais aucune salle de bain de chambre.Villages de vacances / Clubs vacances / Centres de vacances familiaux : accueil / lobby ; restaurant ou salle de restauration collective ; bar ; salle polyvalente / animation / spectacle ; clubs enfants ; sanitaires publics extérieurs ou communs ; sanitaires salariés ; parfois vestiaires salariés ; parfois petits blocs liés à piscine, plage, sport ou animation.Résidences de tourisme : Hébergement touristique avec accueil.Auberges de jeunesse : Classement selon exploitation et activité.Pensions de famille : Hébergement de type pension.Hôtels-restaurants d’altitude : Établissements d’altitude.Refuges de montagne : Refuges recevant du public en zone de montagne.Campings : Établissements de plein air recevant du public.Aires d’accueil des gens du voyage : Sites aménagés avec emplacements, blocs sanitaires et accueil ; public ciblé et régime spécifique, mais composante sanitaire structurelle. Equipements obligatoires pour les communes (loi Besson)</t>
    </r>
  </si>
  <si>
    <r>
      <rPr>
        <b/>
        <sz val="9"/>
        <rFont val="Calibri"/>
      </rPr>
      <t>Hôtels</t>
    </r>
    <r>
      <rPr>
        <sz val="9"/>
        <rFont val="Calibri"/>
      </rPr>
      <t xml:space="preserve"> : Hôtel, motelVillages de vacances / Clubs vacances / Centres de vacances familiaux : Village vacances, club vacances, maison familiale vacances, petit centre familial (Logique : séjour “tout-en-un”)Résidences de tourisme : Résidence hôtelière (Logique : hébergement autonome)Auberges de jeunesse : Auberge de jeunessePensions de famille : Pension de familleHôtels-restaurants d’altitude : Restaurant d’altitude, hôtel d’altitudeRefuges de montagne : Refuge alpinCampings : Camping, village vacancesAires d’accueil des gens du voyage : Aire d’accueil des gens du voyage (Logique : stationnement encadré + équipements sanitaires)</t>
    </r>
  </si>
  <si>
    <r>
      <rPr>
        <b/>
        <sz val="9"/>
        <rFont val="Calibri"/>
      </rPr>
      <t>Hôtels ; Résidences de tourisme ; Auberges de jeunesse ; Pensions de famille ; Hôtels-restaurants d’altitude ; Refuges de montagne ; Campings ; Aires d’accueil des gens du voyage</t>
    </r>
    <r>
      <rPr>
        <sz val="9"/>
        <rFont val="Calibri"/>
      </rPr>
      <t xml:space="preserve"> : Site
Etablissement principalVillages de vacances / Clubs vacances / Centres de vacances familiaux : Site / établissement principal</t>
    </r>
  </si>
  <si>
    <r>
      <rPr>
        <b/>
        <sz val="9"/>
        <rFont val="Calibri"/>
      </rPr>
      <t>Hôtels ; Résidences de tourisme ; Campings</t>
    </r>
    <r>
      <rPr>
        <sz val="9"/>
        <rFont val="Calibri"/>
      </rPr>
      <t xml:space="preserve"> : série publique directeVillages de vacances / Clubs vacances / Centres de vacances familiaux : ajout qualitatif – à quantifier avant intégrationAuberges de jeunesse ; Pensions de famille ; Hôtels-restaurants d’altitude ; Refuges de montagne : proxy public / estimation encadréeAires d’accueil des gens du voyage : série publique directe / estimation encadrée</t>
    </r>
  </si>
  <si>
    <r>
      <rPr>
        <b/>
        <sz val="9"/>
        <rFont val="Calibri"/>
      </rPr>
      <t>Hôtels ; Résidences de tourisme ; Auberges de jeunesse ; Pensions de famille ; Hôtels-restaurants d’altitude ; Refuges de montagne ; Aires d’accueil des gens du voyage</t>
    </r>
    <r>
      <rPr>
        <sz val="9"/>
        <rFont val="Calibri"/>
      </rPr>
      <t xml:space="preserve"> : MoyenneVillages de vacances / Clubs vacances / Centres de vacances familiaux : ÉlevéCampings : Elevé</t>
    </r>
  </si>
  <si>
    <r>
      <rPr>
        <b/>
        <sz val="9"/>
        <rFont val="Calibri"/>
      </rPr>
      <t>Hôtels</t>
    </r>
    <r>
      <rPr>
        <sz val="9"/>
        <rFont val="Calibri"/>
      </rPr>
      <t xml:space="preserve"> : Ancres officielles Insee : 2015=18 496 (parc annuel), 2017=17 840 (parc annuel), 2024=15 155 (moyenne mensuelle annuelle France). 2000-2014 et 2025-2030 = reconstitution / projection prudente.Villages de vacances / Clubs vacances / Centres de vacances familiaux ; Résidences de tourisme ; Pensions de famille : Pas de stagnation structurelle : la série évolue à la hausse sur la période 2000-2026 ; la projection prolonge cette tendance avec prudence.Auberges de jeunesse ; Hôtels-restaurants d’altitude ; Refuges de montagne : Faute de série nationale homogène publiée annuellement pour cette sous-catégorie, le proxy est lissé ; la faible variation reflète une prudence méthodologique.Campings : Ligne robuste. Série ancrée sur l'Insee (2024 = 6 608 campings). Projection 2025-2030 en érosion très modérée, cohérente avec la baisse tendancielle de long terme et sans rupture artificielle.Aires d’accueil des gens du voyage : Estimation 2025 proche de 1 350 sites, puis légère érosion 2026-2030. Surface 2026 = proxy fondé sur des aires permanentes de 15-20 emplacements avec blocs sanitaires.</t>
    </r>
  </si>
  <si>
    <r>
      <rPr>
        <b/>
        <sz val="9"/>
        <rFont val="Calibri"/>
      </rPr>
      <t>Hôtels</t>
    </r>
    <r>
      <rPr>
        <sz val="9"/>
        <rFont val="Calibri"/>
      </rPr>
      <t xml:space="preserve"> : Insee parc hôtelier 2024. Baisse structurelle longue du nombre d’hôtels, surtout chez les petits indépendants, puis légère stabilisation/reprise après 2024.Villages de vacances / Clubs vacances / Centres de vacances familiaux ; Résidences de tourisme : Insee autres hébergements collectifs touristiques 2024. Dynamique projetée 2027-2030: hausse légère. Fiabilité: bonne.Auberges de jeunesse : proxy auberges collectives/jeunesse. Dynamique projetée 2027-2030: stable. Fiabilité: moyenne.Pensions de famille : proxy pensions/structures assimilées. Dynamique projetée 2027-2030: hausse légère. Fiabilité: moyenne.Hôtels-restaurants d’altitude : proxy stations de montagne. Dynamique projetée 2027-2030: stable. Fiabilité: moyenne.Refuges de montagne : proxy parc de refuges français. Dynamique projetée 2027-2030: stable. Fiabilité: moyenne.Campings ; Aires d’accueil des gens du voyage : Insee parc des campings 2024. Dynamique projetée 2027-2030: baisse légère. Fiabilité: bonne.</t>
    </r>
  </si>
  <si>
    <r>
      <rPr>
        <b/>
        <sz val="9"/>
        <rFont val="Calibri"/>
      </rPr>
      <t>Hôtels</t>
    </r>
    <r>
      <rPr>
        <sz val="9"/>
        <rFont val="Calibri"/>
      </rPr>
      <t xml:space="preserve"> : https://www.insee.fr/fr/statistiques/2015412 ; https://www.insee.fr/fr/statistiques/2015395Villages de vacances / Clubs vacances / Centres de vacances familiaux : https://www.legifrance.gouv.fr/codes/section_lc/LEGITEXT000006074073/LEGISCTA000006158431/
https://www.legifrance.gouv.fr/codes/article_lc/LEGIARTI000006813419/2006-10-07Résidences de tourisme : https://www.insee.fr/fr/statistiques/2015462Auberges de jeunesse : https://www.atout-france.fr/fr/classement/les-categories-dhebergementPensions de famille : https://www.insee.fr/fr/metadonnees/source/serie/s1161Hôtels-restaurants d’altitude ; Refuges de montagne : https://www.legifrance.gouv.fr/codes/section_lc/JORFTEXT000000290033/LEGISCTA000020303822/Campings : https://www.insee.fr/fr/statistiques/2015437Aires d’accueil des gens du voyage : https://www.data.gouv.fr/datasets/localisation-des-aires-daceuil-des-gens-du-voyage/ | https://www.ecologie.gouv.fr/politiques-publiques/accueil-habitat-gens-du-voyage | https://www.paris.fr/pages/une-aire-d-accueil-a-paris-pour-les-gens-du-voyage-4395 | https://www.var.gouv.fr/index.php/Actions-de-l-Etat/Solidarites/Gens-du-voyage/Les-aires-d-accueil-et-aires-de-grand-passage-dans-le-Var/Aires-d-accueil/Aire-d-accueil-des-gens-du-Voyage-La-Garde</t>
    </r>
  </si>
  <si>
    <r>
      <rPr>
        <b/>
        <sz val="9"/>
        <rFont val="Calibri"/>
      </rPr>
      <t>Hôtels</t>
    </r>
    <r>
      <rPr>
        <sz val="9"/>
        <rFont val="Calibri"/>
      </rPr>
      <t xml:space="preserve"> : Hôtel : sanitaires communs lobby/restaurant/salles + staff ; chambres privatives exclues.Villages de vacances / Clubs vacances / Centres de vacances familiaux : Village/club vacances : blocs communs restauration/animation/piscine + staff, hébergements privatifs exclus.Résidences de tourisme : Résidence de tourisme : sanitaires communs d'accueil/loisirs + staff ; logements privatifs exclus.Auberges de jeunesse : Auberge : blocs collectifs d'étage, pas de chambres privatives.Pensions de famille : Pension de famille : blocs communs seulement.Hôtels-restaurants d’altitude : Altitude : bloc restauration/skieurs + vestiaires/douches collectives ; chambres non comptées.Refuges de montagne : Refuge : blocs communs dortoir/restauration, sans cellules ou sanitaires individuels.Campings : Camping : blocs sanitaires collectifs permanents ; hébergements individuels exclus.Aires d’accueil des gens du voyage : Aire d'accueil gens du voyage : blocs sanitaires collectifs par emplacements/îlots.</t>
    </r>
  </si>
  <si>
    <r>
      <rPr>
        <b/>
        <sz val="9"/>
        <rFont val="Calibri"/>
      </rPr>
      <t>Hôtels</t>
    </r>
    <r>
      <rPr>
        <sz val="9"/>
        <rFont val="Calibri"/>
      </rPr>
      <t xml:space="preserve"> : Capacité type ≈ 65 usagers principaux + 20 staff + 5 autre public. Clients hébergés mais sanitaires privatifs majoritaires ; seuls espaces communs et staff sont comptés. Dimensionnement unitaire retenu : blocs communs par rez-de-chaussée/salles et sanitaires salariés, sans compter salles d'eau des chambres. Hypothèse d'usage : capacité simultanée moyenne 2026, répartition par flux réels, arrondie par blocs fonctionnels et exclusion des sanitaires strictement privatifs sauf cas explicitement collectifs.Villages de vacances / Clubs vacances / Centres de vacances familiaux : Capacité type ≈ 180 usagers principaux + 35 staff + 10 autre public. Équipement multi-activités avec familles, restauration et animation. Dimensionnement unitaire retenu : plusieurs blocs collectifs sur pôles publics et vestiaires/douches zones sport/piscine. Hypothèse d'usage : capacité simultanée moyenne 2026, répartition par flux réels, arrondie par blocs fonctionnels et exclusion des sanitaires strictement privatifs sauf cas explicitement collectifs.Résidences de tourisme : Capacité type ≈ 96 usagers principaux + 18 staff + 6 autre public. Jauge déjà renseignée ; usage collectif limité aux espaces communs, hors sanitaires des logements. Dimensionnement unitaire retenu : petits blocs accueil/salle/piscine et sanitaires salariés. Hypothèse d'usage : capacité simultanée moyenne 2026, répartition par flux réels, arrondie par blocs fonctionnels et exclusion des sanitaires strictement privatifs sauf cas explicitement collectifs.Auberges de jeunesse : Capacité type ≈ 77 usagers principaux + 11 staff + 2 visiteurs/intervenants. Le programme sanitaire est construit par blocs fonctionnels plausibles (public, personnel, exploitation/hébergement selon le cas) et non par simple ratio national moyen. Calibrage selon capacité simultanée, répartition de flux et organisation réelle du site.Pensions de famille : Capacité type ≈ 21 usagers principaux + 3 staff + 1 visiteurs/intervenants. Le programme sanitaire est construit par blocs fonctionnels plausibles (public, personnel, exploitation/hébergement selon le cas) et non par simple ratio national moyen. Calibrage selon capacité simultanée, répartition de flux et organisation réelle du site.Hôtels-restaurants d’altitude : Capacité type ≈ 98 usagers principaux + 18 staff + 4 accompagnants/ravitaillement. Le programme sanitaire est construit par blocs fonctionnels plausibles (public, personnel, exploitation/hébergement selon le cas) et non par simple ratio national moyen. Calibrage selon capacité simultanée, répartition de flux et organisation réelle du site.Refuges de montagne : Capacité type ≈ 40 usagers principaux + 4 staff + 1 accompagnants/gardiens. Le programme sanitaire est construit par blocs fonctionnels plausibles (public, personnel, exploitation/hébergement selon le cas) et non par simple ratio national moyen. Calibrage selon capacité simultanée, répartition de flux et organisation réelle du site.Campings : Capacité type ≈ 270 usagers principaux + 24 staff + 6 visiteurs/maintenance. Le programme sanitaire est construit par blocs fonctionnels plausibles (public, personnel, exploitation/hébergement selon le cas) et non par simple ratio national moyen. Calibrage selon capacité simultanée, répartition de flux et organisation réelle du site.Aires d’accueil des gens du voyage : Capacité type ≈ 70 usagers principaux + 8 staff + 2 autre public. Occupation résidentielle temporaire, familles et gestionnaire. Dimensionnement unitaire retenu : WC/douches/lavabos mutualisés par îlots, avec robustesse et entretien renforcé. Hypothèse d'usage : capacité simultanée moyenne 2026, répartition par flux réels, arrondie par blocs fonctionnels et exclusion des sanitaires strictement privatifs sauf cas explicitement collectifs.</t>
    </r>
  </si>
  <si>
    <r>
      <rPr>
        <b/>
        <sz val="9"/>
        <rFont val="Calibri"/>
      </rPr>
      <t>Hôtels ; Auberges de jeunesse</t>
    </r>
    <r>
      <rPr>
        <sz val="9"/>
        <rFont val="Calibri"/>
      </rPr>
      <t xml:space="preserve"> : Profil moyen, capacité moyenne ≈ 90 personnes. Moyenne pondérée terrain : parc majoritairement petits/moyens sites, grands sites intégrés sans surpondération ; usage 2025 forte à très forte.Villages de vacances / Clubs vacances / Centres de vacances familiaux : Profil grand, capacité moyenne ≈ 225 personnes. Moyenne pondérée terrain : parc majoritairement petits/moyens sites, grands sites intégrés sans surpondération ; usage 2025 forte à très forte.Résidences de tourisme ; Hôtels-restaurants d’altitude : Profil moyen, capacité moyenne ≈ 120 personnes. Moyenne pondérée terrain : parc majoritairement petits/moyens sites, grands sites intégrés sans surpondération ; usage 2025 forte à très forte.Pensions de famille : Profil très petit, capacité moyenne ≈ 25 personnes. Moyenne pondérée terrain : parc majoritairement petits/moyens sites, grands sites intégrés sans surpondération ; usage 2025 forte à très forte.Refuges de montagne : Profil petit, capacité moyenne ≈ 45 personnes. Moyenne pondérée terrain : parc majoritairement petits/moyens sites, grands sites intégrés sans surpondération ; usage 2025 forte à très forte.Campings : Profil grand, capacité moyenne ≈ 300 personnes. Moyenne pondérée terrain : parc majoritairement petits/moyens sites, grands sites intégrés sans surpondération ; usage 2025 forte à très forte.Aires d’accueil des gens du voyage : Profil moyen, capacité moyenne ≈ 80 personnes. Moyenne pondérée terrain : parc majoritairement petits/moyens sites, grands sites intégrés sans surpondération ; usage 2025 forte à très forte.</t>
    </r>
  </si>
  <si>
    <r>
      <rPr>
        <b/>
        <sz val="9"/>
        <rFont val="Calibri"/>
      </rPr>
      <t>Hôtels ; Villages de vacances / Clubs vacances / Centres de vacances familiaux ; Résidences de tourisme ; Aires d’accueil des gens du voyage</t>
    </r>
    <r>
      <rPr>
        <sz val="9"/>
        <rFont val="Calibri"/>
      </rPr>
      <t xml:space="preserve"> : Atout France hébergements/campings : https://www.classement.atout-france.fr/ ; Code du tourisme campings : https://www.legifrance.gouv.fr/codes/section_lc/LEGITEXT000006074073/LEGISCTA000017631906/ ; ERP/accessibilité : https://www.legifrance.gouv.fr/loda/article_lc/LEGIARTI000034485966/ ; Code du travail : https://www.legifrance.gouv.fr/codes/id/LEGISCTA000018531984Auberges de jeunesse ; Pensions de famille ; Hôtels-restaurants d’altitude ; Refuges de montagne ; Campings : Code du travail pour staff + hypothèse programmatique d'hébergement collectif / tourisme ; source de comptage propre à la ligne en col. AP.</t>
    </r>
  </si>
  <si>
    <r>
      <rPr>
        <b/>
        <sz val="9"/>
        <rFont val="Calibri"/>
      </rPr>
      <t>Hôtels</t>
    </r>
    <r>
      <rPr>
        <sz val="9"/>
        <rFont val="Calibri"/>
      </rPr>
      <t xml:space="preserve"> : Usage client régulier, exigence d'image et rénovations périodiques; vandalisme limité mais maintenance sanitaire récurrente. Durées moyennes, parfois renouvelées avant panne pour standing. L'électronique progresse pour des questions image, surtout quand la maintenance est organisée. Les remplacements sont fréquemment groupés par étage, chambre ou unité de vie. Hébergement marchand : Usage plus résidentiel, faible vandalisme mais attente client élevée. Renouvellement souvent par programme de rénovation chambre / salle de bains plus que par panne seule.Villages de vacances / Clubs vacances / Centres de vacances familiaux : Saisonnalité, pics de vacances, familles et douches collectives; remise en service annuelle et budget par campagnes. Un peu plus court que hôtel classique, surtout douches. Usage partagé régulier, vandalisme limité et maintenance patrimoniale classique. Temporisés mécaniques restent légèrement au-dessus des mitigeurs car l'oubli de fermeture et l'usure des cartouches jouent moins. Electronique plus courte surtout pour des raisons de capteurs, piles/secteur et réglages. Rénovation mixte, plutôt opportuniste puis par lots lors des travaux. Contraintes budgétaires et budgets souvent lissés. Temporisé et la chasse directe tiennent mieux que le manuel/réservoir en usage intensif.Résidences de tourisme : Usage saisonnier par séjours, moins de passage quotidien que hôtel mais remises en état groupées. Proche hôtel, renouvellement par appartements/blocs lors de rénovations. Usage dense, nettoyage agressif, graisse/humidité et arbitrages économiques serrés. Temporisés mécaniques conservent un léger avantage en robustesse sur mitigeurs dans sanitaires partagés. Electronique reste plus courte si environnement humide et maintenance plus opportuniste. Renouvellement surtout à la panne, puis par lot. Moins de cycles annuels, hivernage et remises en service. maintenance concentrée et hétérogène.Auberges de jeunesse : Public jeune, rotation élevée, dortoirs et douches collectives; pics matin/soir et risque de dégradation. Plus court que résidence tourisme, proche internats. Repères durées: lavabos 12/13/9 ans (mit./méca/élec.), douches 11/10/8, urinoirs 10/12/8/10, WC 13/13/9.Pensions de famille : Usage diffus, entretien régulier et qualité de finition plus élevée que dans les ERP de transit. Les durées de vie sont donc au-dessus de la moyenne. L'électronique reste plus courte si elle existe, surtout hors contrats de maintenance dédiés. Le remplacement se fait souvent par chambre ou par lot lors des rénovations d'étage. Hôtellerie / hébergement marchand : Usage plus résidentiel, faible vandalisme mais attente client élevée. renouvellement souvent par programme de rénovation chambre / salle de bains plus que par panne seule.Hôtels-restaurants d’altitude ; Refuges de montagne : Altitude, saisonnalité, hivernage/remise en eau ou contraintes de plein air rendent l'exploitation plus dure qu'en hôtellerie classique. Les durées restent correctes mais sont abaissées par le gel, l'humidité et les remises en service. Les remplacements sont souvent groupés à l'intersaison ou lors d'opérations de remise à niveau. Sites saisonniers / montagne / camping / flottants : Moins de cycles annuels mais conditions climatiques/corrosives, hivernage et remises en service. maintenance concentrée et hétérogène.Campings : Blocs collectifs très sollicités en saison, humidité, sable/boue et remise en eau annuelle; maintenance concentrée hors saison. Durées prudentes, surtout douches et électronique. Entretien régulier et qualité de finition plus élevée que dans les ERP de transit. Durées de vie sont donc au-dessus de la moyenne. Electronique reste plus courte si elle existe, surtout hors contrats de maintenance dédiés. Remplacement se fait souvent par lot.Aires d’accueil des gens du voyage : Usage résidentiel temporaire, contraintes sociales, maintenance publique parfois réactive et risques de chocs. Proche hébergement social, WC mécaniques privilégiés. Repères durées: lavabos 12/13/9 ans (mit./méca/élec.), douches 11/10/8, urinoirs 10/12/8/10, WC 13/13/9.</t>
    </r>
  </si>
  <si>
    <r>
      <rPr>
        <b/>
        <sz val="9"/>
        <rFont val="Calibri"/>
      </rPr>
      <t>Hôtels</t>
    </r>
    <r>
      <rPr>
        <sz val="9"/>
        <rFont val="Calibri"/>
      </rPr>
      <t xml:space="preserve"> : Une fois les salles d’eau privatives exclues, parc 2025 dominé par mitigeur manuel (55%), avec tempo mecanique en appoint. Le choix reflete usage clients/residents, saisonnalite marquee et arbitrage experience vs cout de maintenance ; experience usager, image d hebergement et tenue en usage intensif.Villages de vacances / Clubs vacances / Centres de vacances familiaux : Villages de vacances / Clubs vacances / Centres de vacances familiaux : parc 2025 domine par mitigeur manuel (55%), avec tempo mecanique en appoint. Le choix reflete usage collectif regulier, contraintes de maintenance et arbitrages budgetaires ; robustesse, hygiene et cout global restent prioritaires.Résidences de tourisme : Une fois les salles d’eau privatives exclues, parc 2025 domine par mitigeur manuel (55%), avec tempo mecanique en appoint. Le choix reflete usage collectif regulier, contraintes de maintenance et arbitrages budgetaires ; robustesse, hygiene et cout global restent prioritaires. Part croissante d’électronique dans les zones lobby/public.Auberges de jeunesse : Auberges de jeunesse : parc commun plus 'collectif' que l’hôtellerie classique - dominé par mitigeur manuel (55%), avec tempo mecanique en appoint. Le choix reflete usage clients/residents, saisonnalite marquee et arbitrage experience vs cout de maintenance ; experience usager, image d hebergement et tenue en usage intensif.Pensions de famille : Dans les pensions de famille, le parc commun reste plus proche d’un usage résidentiel que d’un grand ERP : le mitigeur domine nettement.Hôtels-restaurants d’altitude : Sur les hôtels-restaurants d’altitude, le parc commun reste surtout en mitigeurs, avec un niveau intermédiaire de temporisé et d’électronique.Refuges de montagne : Dans les refuges, le parc reste très simple et robuste : mitigeurs manuels dominants, avec une part de temporisé limitée et quelques dispositifs atypiques.Campings : Dans les blocs de camping, le temporisé mécanique domine le parc existant, avec une part d’équipements spécifiques de bloc sanitaire classés en 'autres'.Aires d’accueil des gens du voyage : Aires d’accueil des gens du voyage : parc 2025 domine par tempo mecanique (42%), avec mitigeur manuel en appoint. Le choix reflete usage clients/residents, saisonnalite marquee et arbitrage experience vs cout de maintenance ; experience usager, image d hebergement et tenue en usage intensif.</t>
    </r>
  </si>
  <si>
    <r>
      <rPr>
        <b/>
        <sz val="9"/>
        <rFont val="Calibri"/>
      </rPr>
      <t>Hôtels ; Villages de vacances / Clubs vacances / Centres de vacances familiaux ; Résidences de tourisme ; Auberges de jeunesse</t>
    </r>
    <r>
      <rPr>
        <sz val="9"/>
        <rFont val="Calibri"/>
      </rPr>
      <t xml:space="preserve"> : 2025-2030 : progression de tempo electronique (+3,0%), surtout lors des renov. lourdes/neuf ; recul de mitigeur manuel (-5,0%) mais maintien d un socle robuste pour les remplacements partiels.Pensions de famille ; Refuges de montagne ; Campings : Sur ce parc collectif/touristique, l’électronique progresse surtout sur les rénovations complètes ; le parc reste majoritairement mitigeur/temporisé sur les sanitaires communs.Hôtels-restaurants d’altitude : Dans l’hôtellerie, l’évolution concerne surtout les sanitaires communs : le mitigeur reste significatif, l’électronique progresse dans les parties publiques rénovées et premium.Aires d’accueil des gens du voyage : 2025-2030 : progression de tempo electronique (+4,0%), surtout lors des renov. lourdes/neuf ; recul de mitigeur manuel (-4,0%) mais maintien d un socle robuste pour les remplacements partiels.</t>
    </r>
  </si>
  <si>
    <r>
      <rPr>
        <b/>
        <sz val="9"/>
        <rFont val="Calibri"/>
      </rPr>
      <t>Hôtels</t>
    </r>
    <r>
      <rPr>
        <sz val="9"/>
        <rFont val="Calibri"/>
      </rPr>
      <t xml:space="preserve"> : Hôtels (hors autres hébérgements touristiques) : parc 2025 domine par mitigeur (60%), avec tempo mecanique en appoint. Le choix reflete usage clients/residents, saisonnalite marquee et arbitrage experience vs cout de maintenance ; experience usager, image d hebergement et tenue en usage intensif.Villages de vacances / Clubs vacances / Centres de vacances familiaux : Villages de vacances / Clubs vacances / Centres de vacances familiaux : parc 2025 domine par mitigeur (60%), avec tempo mecanique en appoint. Le choix reflete usage collectif regulier, contraintes de maintenance et arbitrages budgetaires ; robustesse, hygiene et cout global restent prioritaires.Résidences de tourisme : Résidences de tourisme : parc 2025 domine par mitigeur (60%), avec tempo mecanique en appoint. Le choix reflete usage collectif regulier, contraintes de maintenance et arbitrages budgetaires ; robustesse, hygiene et cout global restent prioritaires.Auberges de jeunesse : Auberges de jeunesse : parc 2025 domine par mitigeur (60%), avec tempo mecanique en appoint. Le choix reflete usage clients/residents, saisonnalite marquee et arbitrage experience vs cout de maintenance ; experience usager, image d hebergement et tenue en usage intensif.Pensions de famille : Les douches communes, quand elles existent, sont d’abord à mitigeur.Hôtels-restaurants d’altitude : Les douches restent majoritairement à mitigeur ; le temporisé mécanique apparaît sur les vestiaires ou espaces collectifs.Refuges de montagne : Les douches communes restent très simples, surtout manuelles ou temporisées mécaniques.Campings : Les douches de camping restent très majoritairement temporisées mécaniques sur le parc installé.Aires d’accueil des gens du voyage : Aires d’accueil des gens du voyage : parc 2025 domine par mitigeur (65%), avec tempo mecanique en appoint. Le choix reflete usage clients/residents, saisonnalite marquee et arbitrage experience vs cout de maintenance ; experience usager, image d hebergement et tenue en usage intensif.</t>
    </r>
  </si>
  <si>
    <r>
      <rPr>
        <b/>
        <sz val="9"/>
        <rFont val="Calibri"/>
      </rPr>
      <t>Hôtels ; Villages de vacances / Clubs vacances / Centres de vacances familiaux ; Résidences de tourisme ; Auberges de jeunesse ; Aires d’accueil des gens du voyage</t>
    </r>
    <r>
      <rPr>
        <sz val="9"/>
        <rFont val="Calibri"/>
      </rPr>
      <t xml:space="preserve"> : 2025-2030 : progression de tempo mecanique (+3,0%), surtout lors des renov. lourdes/neuf ; recul de mitigeur (-5,0%) mais maintien d un socle robuste pour les remplacements partiels.Pensions de famille ; Refuges de montagne ; Campings : La montée de l’électronique reste modérée ; les douches collectives gardent un socle manuel/temporisé important.Hôtels-restaurants d’altitude : Dans les douches communes d’hébergement, le mitigeur reste fort ; l’électronique gagne un peu sur les rénovations des parties communes.</t>
    </r>
  </si>
  <si>
    <r>
      <rPr>
        <b/>
        <sz val="9"/>
        <rFont val="Calibri"/>
      </rPr>
      <t>Hôtels</t>
    </r>
    <r>
      <rPr>
        <sz val="9"/>
        <rFont val="Calibri"/>
      </rPr>
      <t xml:space="preserve"> : Hôtels (hors autres hébérgements touristiques) : parc 2025 domine par directe mecanique (45%), avec directe electronique collective en appoint. Le choix reflete usage clients/residents, saisonnalite marquee et arbitrage experience vs cout de maintenance ; experience usager, image d hebergement et tenue en usage intensif.Villages de vacances / Clubs vacances / Centres de vacances familiaux : Villages de vacances / Clubs vacances / Centres de vacances familiaux : parc 2025 domine par directe mecanique (45%), avec directe electronique collective en appoint. Le choix reflete usage collectif regulier, contraintes de maintenance et arbitrages budgetaires ; robustesse, hygiene et cout global restent prioritaires.Résidences de tourisme : Résidences de tourisme : parc 2025 domine par directe mecanique (45%), avec directe electronique collective en appoint. Le choix reflete usage collectif regulier, contraintes de maintenance et arbitrages budgetaires ; robustesse, hygiene et cout global restent prioritaires.Auberges de jeunesse : Auberges de jeunesse : parc 2025 domine par directe mecanique (45%), avec directe electronique collective en appoint. Le choix reflete usage clients/residents, saisonnalite marquee et arbitrage experience vs cout de maintenance ; experience usager, image d hebergement et tenue en usage intensif.Pensions de famille : Les rares urinoirs relèvent surtout de solutions classiques.Hôtels-restaurants d’altitude : Les urinoirs restent partagés entre solutions classiques et un peu d’automatique.Refuges de montagne : Les rares urinoirs sont souvent en configuration collective simple sur le parc existant.Campings : Les urinoirs collectifs (rampe/batterie) restent très présents dans ce parc saisonnier ancien.Aires d’accueil des gens du voyage : Sans objet : pas de urinoirs collectif dimensionne dans ce sous-segment.</t>
    </r>
  </si>
  <si>
    <r>
      <rPr>
        <b/>
        <sz val="9"/>
        <rFont val="Calibri"/>
      </rPr>
      <t>Hôtels ; Villages de vacances / Clubs vacances / Centres de vacances familiaux ; Résidences de tourisme ; Auberges de jeunesse</t>
    </r>
    <r>
      <rPr>
        <sz val="9"/>
        <rFont val="Calibri"/>
      </rPr>
      <t xml:space="preserve"> : 2025-2030 : progression de directe electronique indiv. (+3,0%), surtout lors des renov. lourdes/neuf ; recul de a reservoir (-2,0%) mais maintien d un socle robuste pour les remplacements partiels.Pensions de famille ; Refuges de montagne ; Campings : Les systèmes collectifs anciens régressent lentement ; l’automatique monte mais n’écrase pas le parc mécanique.Hôtels-restaurants d’altitude : Dans les parties communes, la hausse de l’automatique est visible sur les rénovations, mais le parc reste mixte.Aires d’accueil des gens du voyage : Sans objet : pas de trajectoire 2025-2030 a modeliser pour les urinoirs.</t>
    </r>
  </si>
  <si>
    <r>
      <rPr>
        <b/>
        <sz val="9"/>
        <rFont val="Calibri"/>
      </rPr>
      <t>Hôtels</t>
    </r>
    <r>
      <rPr>
        <sz val="9"/>
        <rFont val="Calibri"/>
      </rPr>
      <t xml:space="preserve"> : Hôtels (hors autres hébérgements touristiques) : parc 2025 domine par reservoir (60%), avec chasse directe mecanique en appoint. Le choix reflete usage clients/residents, saisonnalite marquee et arbitrage experience vs cout de maintenance ; experience usager, image d hebergement et tenue en usage intensif.Villages de vacances / Clubs vacances / Centres de vacances familiaux : Villages de vacances / Clubs vacances / Centres de vacances familiaux : parc 2025 domine par reservoir (60%), avec chasse directe mecanique en appoint. Le choix reflete usage collectif regulier, contraintes de maintenance et arbitrages budgetaires ; robustesse, hygiene et cout global restent prioritaires.Résidences de tourisme : Résidences de tourisme : parc 2025 domine par reservoir (60%), avec chasse directe mecanique en appoint. Le choix reflete usage collectif regulier, contraintes de maintenance et arbitrages budgetaires ; robustesse, hygiene et cout global restent prioritaires.Auberges de jeunesse : Auberges de jeunesse : parc 2025 domine par reservoir (60%), avec chasse directe mecanique en appoint. Le choix reflete usage clients/residents, saisonnalite marquee et arbitrage experience vs cout de maintenance ; experience usager, image d hebergement et tenue en usage intensif.Pensions de famille : Le réservoir demeure nettement majoritaire dans ce parc.Hôtels-restaurants d’altitude : Le réservoir reste majoritaire sur le parc existant, malgré une présence croissante de chasses directes sur les rénovations.Refuges de montagne : Le réservoir reste de loin la technologie dominante.Campings : Le réservoir reste dominant dans les blocs existants, même si les chasses directes progressent dans les campings rénovés.Aires d’accueil des gens du voyage : Aires d’accueil des gens du voyage : parc 2025 domine par reservoir (55%), avec chasse directe mecanique en appoint. Le choix reflete usage clients/residents, saisonnalite marquee et arbitrage experience vs cout de maintenance ; experience usager, image d hebergement et tenue en usage intensif.</t>
    </r>
  </si>
  <si>
    <r>
      <rPr>
        <b/>
        <sz val="9"/>
        <rFont val="Calibri"/>
      </rPr>
      <t>Hôtels ; Villages de vacances / Clubs vacances / Centres de vacances familiaux ; Résidences de tourisme ; Auberges de jeunesse</t>
    </r>
    <r>
      <rPr>
        <sz val="9"/>
        <rFont val="Calibri"/>
      </rPr>
      <t xml:space="preserve"> : 2025-2030 : progression de chasse directe mecanique (+3,0%), surtout lors des renov. lourdes/neuf ; recul de reservoir (-5,0%) mais maintien d un socle robuste pour les remplacements partiels.Pensions de famille ; Refuges de montagne ; Campings : Évolution lente : le réservoir reste majoritaire, le direct progresse surtout lors de rénovations complètes.Hôtels-restaurants d’altitude : Le réservoir demeure important dans ce parc, avec une progression graduelle du direct/électronique sur les sanitaires communs rénovés.Aires d’accueil des gens du voyage : 2025-2030 : progression de chasse directe mecanique (+5,0%), surtout lors des renov. lourdes/neuf ; recul de reservoir (-10,0%) mais maintien d un socle robuste pour les remplacements partiels.</t>
    </r>
  </si>
  <si>
    <r>
      <rPr>
        <b/>
        <sz val="9"/>
        <rFont val="Calibri"/>
      </rPr>
      <t>Hôtels ; Auberges de jeunesse ; Aires d’accueil des gens du voyage</t>
    </r>
    <r>
      <rPr>
        <sz val="9"/>
        <rFont val="Calibri"/>
      </rPr>
      <t xml:space="preserve"> : 82,1% retenu : besoins transformes en travaux selon usage clients/residents, saisonnalite marquee et arbitrage experience vs cout de maintenance. Le phasage budgetaire, les fermetures partielles et la maintenance courante limitent la conversion totale.Villages de vacances / Clubs vacances / Centres de vacances familiaux ; Résidences de tourisme : 77,2% retenu : besoins transformes en travaux selon usage collectif regulier, contraintes de maintenance et arbitrages budgetaires. Le phasage budgetaire, les fermetures partielles et la maintenance courante limitent la conversion totale.Pensions de famille ; Hôtels-restaurants d’altitude : 81,8% retenu : part des besoins réellement transformée en travaux sur 2026-2030 après prise en compte des budgets, du phasage et des arbitrages locaux.Refuges de montagne ; Campings : 79,6% retenu : part des besoins réellement transformée en travaux sur 2026-2030 après prise en compte des budgets, du phasage et des arbitrages locaux.</t>
    </r>
  </si>
  <si>
    <r>
      <rPr>
        <b/>
        <sz val="9"/>
        <rFont val="Calibri"/>
      </rPr>
      <t>Hôtels ; Auberges de jeunesse ; Aires d’accueil des gens du voyage</t>
    </r>
    <r>
      <rPr>
        <sz val="9"/>
        <rFont val="Calibri"/>
      </rPr>
      <t xml:space="preserve"> : Potentiel renovation : tire par experience usager, image d hebergement et tenue en usage intensif. Les remplacements sont plutot par lots, avec arbitrage entre urgence sanitaire, budget et capacite a intervenir en site occupe.Villages de vacances / Clubs vacances / Centres de vacances familiaux ; Résidences de tourisme : Potentiel renovation : tire par robustesse, hygiene et cout global restent prioritaires. Les remplacements sont plutot par lots, avec arbitrage entre urgence sanitaire, budget et capacite a intervenir en site occupe.Pensions de famille : Potentiel rénovation élevé : adaptation de locaux, confort d’usage et remise à niveau de bâtiments souvent transformés à partir d’existant. Les volumes se concentrent surtout sur lavabos et douches. En rénovation, le marché reste favorable aux gammes robustes et simples d’entretien, compatibles avec des chantiers par tranches et des budgets contraints.Hôtels-restaurants d’altitude : Potentiel rénovation moyen à soutenu : remise à niveau d’équipements soumis à des conditions climatiques exigeantes, avec recherche de sobriété eau/énergie. Les volumes se concentrent surtout sur wc et lavabos. En rénovation, les maîtres d’ouvrage privilégient des références robustes, vite posées et faciles à maintenir dans des ambiances humides.Refuges de montagne : Potentiel rénovation moyen à soutenu : remise à niveau d’équipements soumis à des conditions climatiques exigeantes, avec recherche de sobriété eau/énergie. La douche pèse au-dessus de la moyenne, avec des contraintes d’humidité, de corrosion et d’entretien qui accélèrent le remplacement. En rénovation, les maîtres d’ouvrage privilégient des références robustes, vite posées et faciles à maintenir dans des ambiances humides.Campings : Potentiel rénovation très élevé : très fort sur les blocs sanitaires collectifs, soumis à l’usure saisonnière, à l’humidité et à la montée en gamme de l’expérience client. La douche pèse au-dessus de la moyenne, avec des contraintes d’humidité, de corrosion et d’entretien qui accélèrent le remplacement. En rénovation, les maîtres d’ouvrage privilégient des références robustes, vite posées et faciles à maintenir dans des ambiances humides.</t>
    </r>
  </si>
  <si>
    <r>
      <rPr>
        <b/>
        <sz val="9"/>
        <rFont val="Calibri"/>
      </rPr>
      <t>Hôtels</t>
    </r>
    <r>
      <rPr>
        <sz val="9"/>
        <rFont val="Calibri"/>
      </rPr>
      <t xml:space="preserve"> : Potentiel neuf : plus visible pour hôtels (hors autres hébérgements touristiques), surtout via extensions, reconstructions ou projets locaux. Le neuf reste contraint par foncier, budgets et delais de mise en service.Villages de vacances / Clubs vacances / Centres de vacances familiaux : Potentiel neuf : limite pour villages de vacances / clubs vacances / centres de vacances familiaux, surtout via extensions, reconstructions ou projets locaux. Le neuf reste contraint par foncier, budgets et delais de mise en service.Résidences de tourisme : Potentiel neuf : limite pour résidences de tourisme, surtout via extensions, reconstructions ou projets locaux. Le neuf reste contraint par foncier, budgets et delais de mise en service.Auberges de jeunesse : Potentiel neuf : plus visible pour auberges de jeunesse, surtout via extensions, reconstructions ou projets locaux. Le neuf reste contraint par foncier, budgets et delais de mise en service.Pensions de famille : Potentiel neuf moyen : limité ; l’activité passe souvent par transformation ou acquisition-amélioration plus que par construction pure. Le neuf est réel mais secondaire.Hôtels-restaurants d’altitude ; Refuges de montagne : Potentiel neuf faible : très sélectif, souvent limité à des reconstructions ou extensions ponctuelles. Le neuf est quasi nul dans le modèle et renvoie surtout à des reconstructions ou remplacements de sites.Campings : Potentiel neuf faible : extensions et créations existent mais le marché est surtout porté par la montée en qualité du parc existant. Le neuf est quasi nul dans le modèle et renvoie surtout à des reconstructions ou remplacements de sites.Aires d’accueil des gens du voyage : Potentiel neuf : plus visible pour aires d’accueil des gens du voyage, surtout via extensions, reconstructions ou projets locaux. Le neuf reste contraint par foncier, budgets et delais de mise en service.</t>
    </r>
  </si>
  <si>
    <r>
      <rPr>
        <b/>
        <sz val="9"/>
        <rFont val="Calibri"/>
      </rPr>
      <t>Hôtels ; Villages de vacances / Clubs vacances / Centres de vacances familiaux ; Résidences de tourisme ; Auberges de jeunesse ; Aires d’accueil des gens du voyage</t>
    </r>
    <r>
      <rPr>
        <sz val="9"/>
        <rFont val="Calibri"/>
      </rPr>
      <t xml:space="preserve"> : Projets phares renovation : reprise de blocs sanitaires, accessibilite, ventilation, economie d eau, remplacement des pieces usees et adaptation aux pics de frequentation propres au sous-segment.Pensions de famille : Projets phares réno : sanitaires privatifs ou partagés, accessibilité, amélioration énergétique et requalification d’actifs existants.Hôtels-restaurants d’altitude ; Refuges de montagne : Projets phares réno : salles d’eau, douches, sanitaires collectifs, amélioration énergétique et adaptation climatique.Campings : Projets phares réno : blocs sanitaires collectifs, douches, lavabos, sanitaires PMR et modernisation de l’offre client.</t>
    </r>
  </si>
  <si>
    <r>
      <rPr>
        <b/>
        <sz val="9"/>
        <rFont val="Calibri"/>
      </rPr>
      <t>Hôtels ; Villages de vacances / Clubs vacances / Centres de vacances familiaux ; Résidences de tourisme ; Auberges de jeunesse ; Aires d’accueil des gens du voyage</t>
    </r>
    <r>
      <rPr>
        <sz val="9"/>
        <rFont val="Calibri"/>
      </rPr>
      <t xml:space="preserve"> : Projets phares neuf : creations ou reconstructions selectives, integration de sanitaires plus sobres, robustes et faciles a maintenir des la conception.Pensions de famille : Projets phares neuf : opérations sociales ou intermédiaires avec création de petites unités d’hébergement.Hôtels-restaurants d’altitude ; Refuges de montagne : Projets phares neuf : refuges reconstruits, extensions limitées, hébergements d’altitude restructurés.Campings : Projets phares neuf : extensions de campings, nouveaux quartiers premium, réorganisation de sites avec nouveaux blocs.</t>
    </r>
  </si>
  <si>
    <r>
      <rPr>
        <b/>
        <sz val="9"/>
        <rFont val="Calibri"/>
      </rPr>
      <t>Hôtels ; Auberges de jeunesse ; Aires d’accueil des gens du voyage</t>
    </r>
    <r>
      <rPr>
        <sz val="9"/>
        <rFont val="Calibri"/>
      </rPr>
      <t xml:space="preserve"> : Dynamique renovation 2026-2030 : forte, car l usure et l hygiene rendent les interventions recurrentes. Menaces : arbitrages d investissement, travaux en exploitation et cout de maintenance.Villages de vacances / Clubs vacances / Centres de vacances familiaux ; Résidences de tourisme : Dynamique renovation 2026-2030 : moderee, car l usure et l hygiene rendent les interventions recurrentes. Menaces : arbitrages d investissement, travaux en exploitation et cout de maintenance.Pensions de famille : Dynamique réno 2026-2030 : supérieure au neuf, car la transformation d’existant domine économiquement.Hôtels-restaurants d’altitude ; Refuges de montagne : Dynamique réno 2026-2030 : plus prévisible que le neuf, car l’entretien lourd est indispensable dans ces environnements.Campings : Dynamique réno 2026-2030 : très soutenue ; le sanitaire collectif est un levier direct de notation et de satisfaction client. Les exploitants arbitrent vite quand la qualité sanitaire pénalise la note client.</t>
    </r>
  </si>
  <si>
    <r>
      <rPr>
        <b/>
        <sz val="9"/>
        <rFont val="Calibri"/>
      </rPr>
      <t>Hôtels ; Villages de vacances / Clubs vacances / Centres de vacances familiaux ; Résidences de tourisme ; Auberges de jeunesse ; Aires d’accueil des gens du voyage</t>
    </r>
    <r>
      <rPr>
        <sz val="9"/>
        <rFont val="Calibri"/>
      </rPr>
      <t xml:space="preserve"> : Dynamique neuf 2026-2030 : faible a moderee, dependante des projets immobiliers, de la demographie locale et des budgets de maitrise d ouvrage.Pensions de famille : Dynamique neuf 2026-2030 : faible à modérée, très dépendante des opérateurs et du foncier.Hôtels-restaurants d’altitude ; Refuges de montagne : Dynamique neuf 2026-2030 : faible à modérée ; peu de projets mais parfois techniquement ambitieux.Campings : Dynamique neuf 2026-2030 : modérée, positive sur les sites attractifs mais plus sélective que la rénovation.</t>
    </r>
  </si>
  <si>
    <r>
      <rPr>
        <b/>
        <sz val="9"/>
        <rFont val="Calibri"/>
      </rPr>
      <t>Hôtels</t>
    </r>
    <r>
      <rPr>
        <sz val="9"/>
        <rFont val="Calibri"/>
      </rPr>
      <t xml:space="preserve"> ; </t>
    </r>
    <r>
      <rPr>
        <b/>
        <sz val="9"/>
        <rFont val="Calibri"/>
      </rPr>
      <t>Villages de vacances / Clubs vacances / Centres de vacances familiaux</t>
    </r>
    <r>
      <rPr>
        <sz val="9"/>
        <rFont val="Calibri"/>
      </rPr>
      <t xml:space="preserve"> ; </t>
    </r>
    <r>
      <rPr>
        <b/>
        <sz val="9"/>
        <rFont val="Calibri"/>
      </rPr>
      <t>Hôtels-restaurants d’altitude</t>
    </r>
    <r>
      <rPr>
        <sz val="9"/>
        <rFont val="Calibri"/>
      </rPr>
      <t xml:space="preserve"> ; </t>
    </r>
    <r>
      <rPr>
        <b/>
        <sz val="9"/>
        <rFont val="Calibri"/>
      </rPr>
      <t>Refuges de montagne</t>
    </r>
    <r>
      <rPr>
        <sz val="9"/>
        <rFont val="Calibri"/>
      </rPr>
      <t xml:space="preserve"> ; </t>
    </r>
    <r>
      <rPr>
        <b/>
        <sz val="9"/>
        <rFont val="Calibri"/>
      </rPr>
      <t>Campings</t>
    </r>
    <r>
      <rPr>
        <sz val="9"/>
        <rFont val="Calibri"/>
      </rPr>
      <t xml:space="preserve"> ; </t>
    </r>
    <r>
      <rPr>
        <b/>
        <sz val="9"/>
        <rFont val="Calibri"/>
      </rPr>
      <t>Aires d’accueil des gens du voyage</t>
    </r>
    <r>
      <rPr>
        <sz val="9"/>
        <rFont val="Calibri"/>
      </rPr>
      <t xml:space="preserve"> : </t>
    </r>
    <r>
      <rPr>
        <sz val="9"/>
        <rFont val="Calibri"/>
      </rPr>
      <t>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
https://www.statistiques.developpement-durable.gouv.fr/construction-de-locaux-resultats-fin-janvier-2026-france-entiere
https://www.insee.fr/fr/statistiques/8671745
https://www.insee.fr/fr/statistiques/8906564Résidences de tourisme ; Auberges de jeunesse ; Pensions de famille :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t>
    </r>
  </si>
  <si>
    <r>
      <rPr>
        <b/>
        <sz val="9"/>
        <rFont val="Calibri"/>
      </rPr>
      <t>Hôtels ; Villages de vacances / Clubs vacances / Centres de vacances familiaux ; Résidences de tourisme ; Auberges de jeunesse ; Campings ; Aires d’accueil des gens du voyage</t>
    </r>
    <r>
      <rPr>
        <sz val="9"/>
        <rFont val="Calibri"/>
      </rPr>
      <t xml:space="preserve"> : BonnePensions de famille ; Hôtels-restaurants d’altitude ; Refuges de montagne : Moyenne+</t>
    </r>
  </si>
  <si>
    <r>
      <rPr>
        <b/>
        <sz val="9"/>
        <rFont val="Calibri"/>
      </rPr>
      <t>Hôtels</t>
    </r>
    <r>
      <rPr>
        <sz val="9"/>
        <rFont val="Calibri"/>
      </rPr>
      <t xml:space="preserve"> : Parc existant centre sur le niveau upscale, avec ventes 2026-2030 legerement plus qualitatives. Hôtels (hors autres hébérgements touristiques) : usage clients/residents, saisonnalite marquee et arbitrage experience vs cout de maintenance; le mix reste guide par experience usager, image d hebergement et tenue en usage intensif.Villages de vacances / Clubs vacances / Centres de vacances familiaux : Parc existant centre sur le niveau standard, avec ventes 2026-2030 legerement plus qualitatives. Villages de vacances / Clubs vacances / Centres de vacances familiaux : usage collectif regulier, contraintes de maintenance et arbitrages budgetaires; le mix reste guide par robustesse, hygiene et cout global restent prioritaires.Résidences de tourisme : Parc existant centre sur le niveau standard, avec ventes 2026-2030 legerement plus qualitatives. Résidences de tourisme : usage collectif regulier, contraintes de maintenance et arbitrages budgetaires; le mix reste guide par robustesse, hygiene et cout global restent prioritaires.Auberges de jeunesse : Parc existant centre sur le niveau upscale, avec ventes 2026-2030 legerement plus qualitatives. Auberges de jeunesse : usage clients/residents, saisonnalite marquee et arbitrage experience vs cout de maintenance; le mix reste guide par experience usager, image d hebergement et tenue en usage intensif.Pensions de famille : Parc existant surtout intermédiaire. Les ventes restent proches du parc, centré sur intermédiaire, du fait de budgets et de rénovations menées surtout par lots. La rénovation restant majoritaire, le mix de ventes reste proche du parc et monte surtout d’un cran sur les opérations lourdes. Segments d’hébergement social ou très contraints : confort correct mais budgets serrés, avec peu de luxe et des arbitrages très fonctionnels.Hôtels-restaurants d’altitude : Parc existant surtout premium. Les ventes restent proches du parc, centré sur premium / luxe, tiré par l’image de marque et l’expérience usager. La rénovation restant majoritaire, le mix de ventes reste proche du parc et monte surtout d’un cran sur les opérations lourdes. L’image de marque et la recherche d’expérience client tirent fortement le mix vers premium/luxe, surtout dans le neuf ou les rénovations de repositionnement.Refuges de montagne : Refuges de montagne : contraintes d’accès, gel, maintenance et saisonnalité tirent fortement le mix vers le basique robuste ; le moyen progresse surtout dans les sites rénovés et premiumisés, mais le luxe reste hors cible. Ventes 2026-2030 : léger glissement vers le moyen, plus en neuf qu’en rénovation, sans transformation rapide du parc compte tenu des contraintes techniques et logistiques.Campings : Campings : parc très large mais bien structuré par l’hôtellerie de plein air, avec différenciation claire entre campings économiques et sites 4-5 étoiles ; basique/moyen dominent dans le parc, avec premium plus présent en neuf et réhabilitation lourde. Ventes 2026-2030 : progression du premium+luxe sur lavabo (+4,4 pts), douche (+4,4 pts), urinoir (+2,9 pts) et WC (+4,7 pts), portée par la montée en gamme du tourisme de plein air. Le neuf est nettement plus qualitatif que la rénovation.Aires d’accueil des gens du voyage : Parc existant centre sur le niveau upscale, avec ventes 2026-2030 legerement plus qualitatives. Aires d’accueil des gens du voyage : usage clients/residents, saisonnalite marquee et arbitrage experience vs cout de maintenance; le mix reste guide par experience usager, image d hebergement et tenue en usage intensif.</t>
    </r>
  </si>
  <si>
    <r>
      <rPr>
        <b/>
        <sz val="9"/>
        <rFont val="Calibri"/>
      </rPr>
      <t>Hôtels ; Villages de vacances / Clubs vacances / Centres de vacances familiaux ; Résidences de tourisme ; Auberges de jeunesse ; Aires d’accueil des gens du voyage</t>
    </r>
    <r>
      <rPr>
        <sz val="9"/>
        <rFont val="Calibri"/>
      </rPr>
      <t xml:space="preserve"> : ±4 ptsPensions de famille ; Hôtels-restaurants d’altitude ; Refuges de montagne ; Campings : ±5 pts</t>
    </r>
  </si>
  <si>
    <r>
      <rPr>
        <b/>
        <sz val="9"/>
        <rFont val="Calibri"/>
      </rPr>
      <t>Hôtels ; Villages de vacances / Clubs vacances / Centres de vacances familiaux ; Résidences de tourisme ; Auberges de jeunesse ; Aires d’accueil des gens du voyage</t>
    </r>
    <r>
      <rPr>
        <sz val="9"/>
        <rFont val="Calibri"/>
      </rPr>
      <t xml:space="preserve"> : BonnePensions de famille ; Hôtels-restaurants d’altitude : Moyenne +Refuges de montagne ; Campings : Moyenne</t>
    </r>
  </si>
  <si>
    <r>
      <rPr>
        <b/>
        <sz val="9"/>
        <rFont val="Calibri"/>
      </rPr>
      <t>Hôtels ; Auberges de jeunesse ; Aires d’accueil des gens du voyage</t>
    </r>
    <r>
      <rPr>
        <sz val="9"/>
        <rFont val="Calibri"/>
      </rPr>
      <t xml:space="preserve"> : Parc existant : experience usager, image d hebergement et tenue en usage intensif; usage clients/residents, saisonnalite marquee et arbitrage experience vs cout de maintenance. La montee en confort reste proportionnee au budget et au rythme de renovation.Villages de vacances / Clubs vacances / Centres de vacances familiaux ; Résidences de tourisme : Parc existant : robustesse, hygiene et cout global restent prioritaires; usage collectif regulier, contraintes de maintenance et arbitrages budgetaires. La montee en confort reste proportionnee au budget et au rythme de renovation.Pensions de famille : Segments d’hébergement social ou très contraints : confort correct mais budgets serrés, avec peu de luxe et des arbitrages très fonctionnels.Hôtels-restaurants d’altitude : L’image de marque et la recherche d’expérience client tirent fortement le mix vers premium/luxe, surtout dans le neuf ou les rénovations de repositionnement.Refuges de montagne : Parc très fonctionnel, souvent temporaire, isolé ou saisonnier : priorité à la robustesse, à la logistique et au coût total, d’où un mix basique/moyen très dominant.Campings : Hôtellerie de plein air hiérarchisée, avec montée en gamme réelle mais parc encore très majoritairement basique/moyen hors 4-5 étoiles.</t>
    </r>
  </si>
  <si>
    <r>
      <rPr>
        <b/>
        <sz val="9"/>
        <rFont val="Calibri"/>
      </rPr>
      <t>Hôtels ; Auberges de jeunesse ; Aires d’accueil des gens du voyage</t>
    </r>
    <r>
      <rPr>
        <sz val="9"/>
        <rFont val="Calibri"/>
      </rPr>
      <t xml:space="preserve"> : forte frequentation =&gt; standard robuste ; image client =&gt; premiumisation cibleeVillages de vacances / Clubs vacances / Centres de vacances familiaux ; Résidences de tourisme : renovation dominante =&gt; progression graduellePensions de famille : rénovation dominante ⇒ progression graduelleHôtels-restaurants d’altitude : image + privé ⇒ premium/luxe ↑ ; rénovation dominante ⇒ progression graduelleRefuges de montagne : temporaire / accès difficile / saisonnalité ⇒ basique ↑ ; modularité et maintenance simple ⇒ premium ↓ ; neuf marginal ⇒ ventes proches du parcCampings : image + accueil public ⇒ moyen/premium ↑ ; rénovation majoritaire ⇒ amélioration graduelle ; coût global et maintenance contiennent le luxe</t>
    </r>
  </si>
  <si>
    <r>
      <rPr>
        <b/>
        <sz val="9"/>
        <rFont val="Calibri"/>
      </rPr>
      <t>Hôtels</t>
    </r>
    <r>
      <rPr>
        <sz val="9"/>
        <rFont val="Calibri"/>
      </rPr>
      <t xml:space="preserve"> : Hôtels (hors autres hébérgements touristiques) : ventes 2026-2030 en leger glissement vers moyen/premium lorsque le neuf ou les renov. lourdes interviennent. Le centre de gravite reste toutefois module par experience usager, image d hebergement et tenue en usage intensif et par la part dominante de travaux sur parc existant.Villages de vacances / Clubs vacances / Centres de vacances familiaux : Villages de vacances / Clubs vacances / Centres de vacances familiaux : ventes 2026-2030 en leger glissement vers moyen/premium lorsque le neuf ou les renov. lourdes interviennent. Le centre de gravite reste toutefois module par robustesse, hygiene et cout global restent prioritaires et par la part dominante de travaux sur parc existant.Résidences de tourisme : Résidences de tourisme : ventes 2026-2030 en leger glissement vers moyen/premium lorsque le neuf ou les renov. lourdes interviennent. Le centre de gravite reste toutefois module par robustesse, hygiene et cout global restent prioritaires et par la part dominante de travaux sur parc existant.Auberges de jeunesse : Auberges de jeunesse : ventes 2026-2030 en leger glissement vers moyen/premium lorsque le neuf ou les renov. lourdes interviennent. Le centre de gravite reste toutefois module par experience usager, image d hebergement et tenue en usage intensif et par la part dominante de travaux sur parc existant.Pensions de famille : Pensions de famille : hébergement social ou très économique, arbitrages centrés sur le coût global. Ventes 2026-2030 : glissement vers davantage de moyen / premium, surtout sur douche (+10,3 pts sur premium+luxe), lavabo (+9,3 pts sur premium+luxe), WC (+9,2 pts sur premium+luxe). La rénovation reste majoritaire (77% des ventes, contre 23% en neuf) ; le neuf tire le mix vers le haut sans renverser le centre de gravité. L’écart de niveau de confort entre neuf et rénovation reste perceptible.Hôtels-restaurants d’altitude : Hôtels-restaurants d’altitude : altitude et image touristique soutiennent un niveau plus premium malgré la contrainte technique. Ventes 2026-2030 : glissement vers davantage de moyen / premium, surtout sur urinoir (+12,8 pts sur premium+luxe), WC (+8,6 pts sur premium+luxe), lavabo (+8,5 pts sur premium+luxe). La rénovation reste très majoritaire (90% des ventes, contre 10% en neuf) ; le neuf est plus qualitatif mais ne suffit pas à transformer fortement le mix. L’écart de niveau de confort entre neuf et rénovation est net.Refuges de montagne : Refuges de montagne : contraintes d’accès, gel, maintenance et saisonnalité tirent fortement le mix vers le basique robuste ; le moyen progresse surtout dans les sites rénovés et premiumisés, mais le luxe reste hors cible. Ventes 2026-2030 : léger glissement vers le moyen, plus en neuf qu’en rénovation, sans transformation rapide du parc compte tenu des contraintes techniques et logistiques.Campings : Campings : parc très large mais bien structuré par l’hôtellerie de plein air, avec différenciation claire entre campings économiques et sites 4-5 étoiles ; basique/moyen dominent dans le parc, avec premium plus présent en neuf et réhabilitation lourde. Ventes 2026-2030 : progression du premium+luxe sur lavabo (+4,4 pts), douche (+4,4 pts), urinoir (+2,9 pts) et WC (+4,7 pts), portée par la montée en gamme du tourisme de plein air. Le neuf est nettement plus qualitatif que la rénovation.Aires d’accueil des gens du voyage : Aires d’accueil des gens du voyage : ventes 2026-2030 en leger glissement vers moyen/premium lorsque le neuf ou les renov. lourdes interviennent. Le centre de gravite reste toutefois module par experience usager, image d hebergement et tenue en usage intensif et par la part dominante de travaux sur parc existant.</t>
    </r>
  </si>
  <si>
    <t>1 - Hébergement Social &amp; Accueil spécialisé</t>
  </si>
  <si>
    <t>1 - Administrations / services publics
2 - Culte
3 - Vie associative</t>
  </si>
  <si>
    <t>1 - Mairies / hôtels de ville
2 - Bureaux administratifs secondaires non ERP &gt;50 salariés
3 - Hôtels du département Hôtels de région &amp; Services administratifs territoriaux
4 - Maisons du département / Maisons de la région / Antennes territoriales
5 - Préfectures / services administratifs
6 - Sièges d’intercommunalité
7 - Rectorats / DSDEN
8 - Maisons France Services / Guichets publics autonomes ou dédiés
9 - Centres des finances publiques avec guichet
10 - CCAS / CIAS et guichets sociaux locaux autonomes
11 - Points d’accueil numérique dédiés / autonomes
12 - CAF / Accueils Caf autonomes
13 - Églises, cathédrales, basiliques et chapelles ouvertes au public
14 - Monastères, abbayes et couvents ouverts au public
15 - Temples protestants, évangéliques et salles de culte assimilées
16 - Mosquées et salles de prière musulmanes
17 - Synagogues et oratoires juifs ouverts au public
18 - Temples bouddhistes, hindous et autres lieux de culte non abrahamiques ouverts au public
19 - Salles du Royaume, centres cultuels pluriconfessionnels et lieux de culte polyvalents
20 - Locaux associatifs recevant du public</t>
  </si>
  <si>
    <r>
      <rPr>
        <b/>
        <sz val="9"/>
        <rFont val="Calibri"/>
      </rPr>
      <t>Mairies / hôtels de ville ; Hôtels du département Hôtels de région &amp; Services administratifs territoriaux ; Maisons du département / Maisons de la région / Antennes territoriales ; Préfectures / services administratifs ; Sièges d’intercommunalité ; Rectorats / DSDEN ; Maisons France Services / Guichets publics autonomes ou dédiés ; Centres des finances publiques avec guichet ; CCAS / CIAS et guichets sociaux locaux autonomes ; Points d’accueil numérique dédiés / autonomes ; CAF / Accueils Caf autonomes</t>
    </r>
    <r>
      <rPr>
        <sz val="9"/>
        <rFont val="Calibri"/>
      </rPr>
      <t xml:space="preserve"> : WBureaux administratifs secondaires non ERP &gt;50 salariés : Hors ERPÉglises, cathédrales, basiliques et chapelles ouvertes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VMonastères, abbayes et couvents ouverts au public : VariableLocaux associatifs recevant du public : L ou W</t>
    </r>
  </si>
  <si>
    <r>
      <rPr>
        <b/>
        <sz val="9"/>
        <rFont val="Calibri"/>
      </rPr>
      <t>Mairies / hôtels de ville ; Maisons du département / Maisons de la région / Antennes territoriales ; Préfectures / services administratifs ; Sièges d’intercommunalité ; Rectorats / DSDEN ; Maisons France Services / Guichets publics autonomes ou dédiés ; Centres des finances publiques avec guichet ; CCAS / CIAS et guichets sociaux locaux autonomes ; Points d’accueil numérique dédiés / autonomes ; CAF / Accueils Caf autonomes ; Églises, cathédrales, basiliques et chapelles ouvertes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Locaux associatifs recevant du public</t>
    </r>
    <r>
      <rPr>
        <sz val="9"/>
        <rFont val="Calibri"/>
      </rPr>
      <t xml:space="preserve"> : ERPBureaux administratifs secondaires non ERP &gt;50 salariés : Hors ERP dominant / personnel uniquementHôtels du département Hôtels de région &amp; Services administratifs territoriaux : ERP / variableMonastères, abbayes et couvents ouverts au public : Ensemble multi-classements</t>
    </r>
  </si>
  <si>
    <r>
      <rPr>
        <b/>
        <sz val="9"/>
        <rFont val="Calibri"/>
      </rPr>
      <t>Mairies / hôtels de ville ; Hôtels du département Hôtels de région &amp; Services administratifs territoriaux ; Maisons du département / Maisons de la région / Antennes territoriales ; Préfectures / services administratifs ; Sièges d’intercommunalité ; Rectorats / DSDEN ; Maisons France Services / Guichets publics autonomes ou dédiés ; Centres des finances publiques avec guichet ; CCAS / CIAS et guichets sociaux locaux autonomes ; Points d’accueil numérique dédiés / autonomes ; CAF / Accueils Caf autonomes ; Églises, cathédrales, basiliques et chapelles ouvertes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t>
    </r>
    <r>
      <rPr>
        <sz val="9"/>
        <rFont val="Calibri"/>
      </rPr>
      <t xml:space="preserve"> : ERPBureaux administratifs secondaires non ERP &gt;50 salariés ; Monastères, abbayes et couvents ouverts au public : mixteLocaux associatifs recevant du public : ERP / variable</t>
    </r>
  </si>
  <si>
    <r>
      <rPr>
        <b/>
        <sz val="9"/>
        <rFont val="Calibri"/>
      </rPr>
      <t>Mairies / hôtels de ville ; Hôtels du département Hôtels de région &amp; Services administratifs territoriaux ; Maisons du département / Maisons de la région / Antennes territoriales ; Préfectures / services administratifs ; Sièges d’intercommunalité ; Rectorats / DSDEN ; Maisons France Services / Guichets publics autonomes ou dédiés ; Centres des finances publiques avec guichet ; CCAS / CIAS et guichets sociaux locaux autonomes ; Points d’accueil numérique dédiés / autonomes ; CAF / Accueils Caf autonomes ; Églises, cathédrales, basiliques et chapelles ouvertes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Locaux associatifs recevant du public</t>
    </r>
    <r>
      <rPr>
        <sz val="9"/>
        <rFont val="Calibri"/>
      </rPr>
      <t xml:space="preserve"> : ouiBureaux administratifs secondaires non ERP &gt;50 salariés : nonMonastères, abbayes et couvents ouverts au public : variable</t>
    </r>
  </si>
  <si>
    <r>
      <rPr>
        <b/>
        <sz val="9"/>
        <rFont val="Calibri"/>
      </rPr>
      <t>Mairies / hôtels de ville ; Hôtels du département Hôtels de région &amp; Services administratifs territoriaux ; Préfectures / services administratifs ; Rectorats / DSDEN ; Centres des finances publiques avec guichet ; Points d’accueil numérique dédiés / autonomes</t>
    </r>
    <r>
      <rPr>
        <sz val="9"/>
        <rFont val="Calibri"/>
      </rPr>
      <t xml:space="preserve"> : Administrations recevant du public.Bureaux administratifs secondaires non ERP &gt;50 salariés : Sites de gestion interne &gt;50 salariés, directions support sans accueil, back-offices administratifs de l’État, services techniques / RH / finances de collectivités, annexes administratives d’universités ou de rectorats, back-offices CPAM, CARSAT, ARS, MSA, CROUS, bâtiments administratifs hospitaliers séparés des zones patient/publicMaisons du département / Maisons de la région / Antennes territoriales ; Sièges d’intercommunalité ; Maisons France Services / Guichets publics autonomes ou dédiés ; CCAS / CIAS et guichets sociaux locaux autonomes ; CAF / Accueils Caf autonomes : Accueil administratif du public.Églises, cathédrales, basiliques et chapelles ouvertes au public : Édifices cultuels chrétiens recevant des fidèles ou des visiteurs. Les annexes paroissiales se classent séparément selon leur usage.Monastères, abbayes et couvents ouverts au public : Les parties ouvertes au public à vocation cultuelle relèvent du type V ; les espaces d’hébergement, de retraite, de visite ou de restauration se classent selon leur usage réel.Temples protestants, évangéliques et salles de culte assimilées : Lieux de culte protestants ou évangéliques recevant du public. Les salles polyvalentes ou d’enseignement biblique annexes se classent selon leur usage dominant.Mosquées et salles de prière musulmanes : Lieux de culte musulmans recevant du public. Les espaces d’ablutions, salles polyvalentes ou locaux d’enseignement associés s’analysent selon l’exploitation réelle du site.Synagogues et oratoires juifs ouverts au public : Lieux de culte juifs recevant des fidèles ou visiteurs. Les salles communautaires annexes peuvent relever de L ou W selon l’usage.Temples bouddhistes, hindous et autres lieux de culte non abrahamiques ouverts au public : Lieux de culte recevant du public pour cérémonies, offices ou pratiques religieuses. Les bâtiments d’hébergement ou de retraite se classent séparément si présents.Salles du Royaume, centres cultuels pluriconfessionnels et lieux de culte polyvalents : Lieux de rassemblement religieux recevant du public, parfois polyvalents. Les espaces de réunion, restauration ou bureau associés peuvent relever d’autres types complémentaires.Locaux associatifs recevant du public : Selon activité dominante : réunion, bureau, activités.</t>
    </r>
  </si>
  <si>
    <r>
      <rPr>
        <b/>
        <sz val="9"/>
        <rFont val="Calibri"/>
      </rPr>
      <t>Mairies / hôtels de ville</t>
    </r>
    <r>
      <rPr>
        <sz val="9"/>
        <rFont val="Calibri"/>
      </rPr>
      <t xml:space="preserve"> : Mairie, hôtel de villeBureaux administratifs secondaires non ERP &gt;50 salariés : sites de gestion interne &gt;50 salariés, directions support sans accueil, back-offices administratifs de l’État, services techniques / RH / finances de collectivités, annexes administratives d’universités ou de rectorats, back-offices CPAM, CARSAT, ARS, MSA, CROUS, bâtiments administratifs hospitaliers séparés des zones patient/publicHôtels du département Hôtels de région &amp; Services administratifs territoriaux : Conseil départemental ; hôtel de région ; siège administratif territorial centralMaisons du département / Maisons de la région / Antennes territoriales : Maisons du Département ; Maisons de la Région ; Antennes territoriales régionales / départementalesPréfectures / services administratifs : Préfecture, sous-préfecture (hors points d’accueil numérique dédiés, hors France Services autonomes)Sièges d’intercommunalité : Toulouse Métropole ; Grand Annecy ; Communauté de communesRectorats / DSDEN : Rectorat, DSDENMaisons France Services / Guichets publics autonomes ou dédiés : Maison de services publicsCentres des finances publiques avec guichet : Centre des finances publiques ; SIP ; SIECCAS / CIAS et guichets sociaux locaux autonomes : CCAS ; CIAS (hors accueils intégrés en mairie et hors France Services hébergées)Points d’accueil numérique dédiés / autonomes : Accueil numérique dédié en préfecture avec local distinct ; point d’accueil numérique autonome sur site séparéCAF / Accueils Caf autonomes : CAF : sièges et accueils autonomes + permanences chez partenairesÉglises, cathédrales, basiliques et chapelles ouvertes au public : Grands sites paroissiaux, sanctuaires, sites touristiques, ensembles avec salles annexesMonastères, abbayes et couvents ouverts au public : Abbaye ouverte aux visiteurs, monastère avec hôtellerie, couvent avec chapelle publiqueTemples protestants, évangéliques et salles de culte assimilées : Temple protestant, église évangélique, salle de culte réaménagée avec sanitairesMosquées et salles de prière musulmanes : Mosquée de quartier, grande mosquée, salle de prière ouverte avec sanitaires/ablutionsSynagogues et oratoires juifs ouverts au public : Synagogue, oratoire, centre cultuel juif avec accueil public et sanitairesTemples bouddhistes, hindous et autres lieux de culte non abrahamiques ouverts au public : Pagode, temple bouddhiste, temple hindou, centre cultuel non abrahamique ouvert avec sanitairesSalles du Royaume, centres cultuels pluriconfessionnels et lieux de culte polyvalents : Salle du Royaume, centre cultuel partagé, bâtiment polyvalent cultuel avec sanitairesLocaux associatifs recevant du public : Maison des associations, MJC, Foyers ruraux, Centres sociaux, EVS</t>
    </r>
  </si>
  <si>
    <r>
      <rPr>
        <b/>
        <sz val="9"/>
        <rFont val="Calibri"/>
      </rPr>
      <t>Mairies / hôtels de ville ; Monastères, abbayes et couvents ouverts au public</t>
    </r>
    <r>
      <rPr>
        <sz val="9"/>
        <rFont val="Calibri"/>
      </rPr>
      <t xml:space="preserve"> : ouiHôtels du département Hôtels de région &amp; Services administratifs territoriaux ; Maisons du département / Maisons de la région / Antennes territoriales ; Préfectures / services administratifs ; Sièges d’intercommunalité ; Rectorats / DSDEN ; Maisons France Services / Guichets publics autonomes ou dédiés ; Centres des finances publiques avec guichet ; CCAS / CIAS et guichets sociaux locaux autonomes ; Points d’accueil numérique dédiés / autonomes ; CAF / Accueils Caf autonomes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nonÉglises, cathédrales, basiliques et chapelles ouvertes au public ; Locaux associatifs recevant du public : variable</t>
    </r>
  </si>
  <si>
    <r>
      <rPr>
        <b/>
        <sz val="9"/>
        <rFont val="Calibri"/>
      </rPr>
      <t>Mairies / hôtels de ville ; Hôtels du département Hôtels de région &amp; Services administratifs territoriaux ; Maisons du département / Maisons de la région / Antennes territoriales ; Préfectures / services administratifs ; Sièges d’intercommunalité ; Rectorats / DSDEN ; Maisons France Services / Guichets publics autonomes ou dédiés ; Centres des finances publiques avec guichet ; CCAS / CIAS et guichets sociaux locaux autonomes ; Points d’accueil numérique dédiés / autonomes ; CAF / Accueils Caf autonomes ; 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Locaux associatifs recevant du public</t>
    </r>
    <r>
      <rPr>
        <sz val="9"/>
        <rFont val="Calibri"/>
      </rPr>
      <t xml:space="preserve"> : oui</t>
    </r>
  </si>
  <si>
    <r>
      <rPr>
        <b/>
        <sz val="9"/>
        <rFont val="Calibri"/>
      </rPr>
      <t>Mairies / hôtels de ville ; Maisons du département / Maisons de la région / Antennes territoriales ; Préfectures / services administratifs ; Sièges d’intercommunalité ; Rectorats / DSDEN ; Maisons France Services / Guichets publics autonomes ou dédiés ; Centres des finances publiques avec guichet ; CCAS / CIAS et guichets sociaux locaux autonomes ; Points d’accueil numérique dédiés / autonomes ; CAF / Accueils Caf autonomes ; 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Locaux associatifs recevant du public</t>
    </r>
    <r>
      <rPr>
        <sz val="9"/>
        <rFont val="Calibri"/>
      </rPr>
      <t xml:space="preserve"> : Site
Etablissement principalHôtels du département Hôtels de région &amp; Services administratifs territoriaux : Site / établissement principal</t>
    </r>
  </si>
  <si>
    <r>
      <rPr>
        <b/>
        <sz val="9"/>
        <rFont val="Calibri"/>
      </rPr>
      <t>Mairies / hôtels de ville ; Maisons du département / Maisons de la région / Antennes territoriales ; Sièges d’intercommunalité ; Maisons France Services / Guichets publics autonomes ou dédiés ; CCAS / CIAS et guichets sociaux locaux autonomes ; CAF / Accueils Caf autonomes</t>
    </r>
    <r>
      <rPr>
        <sz val="9"/>
        <rFont val="Calibri"/>
      </rPr>
      <t xml:space="preserve"> : série publique directeHôtels du département Hôtels de région &amp; Services administratifs territoriaux : ajout qualitatif – à quantifier avant intégrationPréfectures / services administratifs ; Rectorats / DSDEN ; Centres des finances publiques avec guichet ; Points d’accueil numérique dédiés / autonomes : proxy institutionnel / réseau préfectoral et sous-préfectoralÉglises,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Locaux associatifs recevant du public : proxy public / estimation encadrée</t>
    </r>
  </si>
  <si>
    <r>
      <rPr>
        <b/>
        <sz val="9"/>
        <rFont val="Calibri"/>
      </rPr>
      <t>Mairies / hôtels de ville</t>
    </r>
    <r>
      <rPr>
        <sz val="9"/>
        <rFont val="Calibri"/>
      </rPr>
      <t xml:space="preserve"> : ElevéHôtels du département Hôtels de région &amp; Services administratifs territoriaux : ÉlevéMaisons du département / Maisons de la région / Antennes territoriales ; Préfectures / services administratifs ; Sièges d’intercommunalité ; Rectorats / DSDEN ; Maisons France Services / Guichets publics autonomes ou dédiés ; Centres des finances publiques avec guichet ; CCAS / CIAS et guichets sociaux locaux autonomes ; Points d’accueil numérique dédiés / autonomes ; CAF / Accueils Caf autonomes ; 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Locaux associatifs recevant du public : Moyenne</t>
    </r>
  </si>
  <si>
    <r>
      <rPr>
        <b/>
        <sz val="9"/>
        <rFont val="Calibri"/>
      </rPr>
      <t>Mairies / hôtels de ville</t>
    </r>
    <r>
      <rPr>
        <sz val="9"/>
        <rFont val="Calibri"/>
      </rPr>
      <t xml:space="preserve"> : Recompte par sites administratifs municipaux. Base = nbre communes (DGCL/Insee) ; supplément = subdivisions communales officiellement dotées d’annexe de mairie (communes associées, communes déléguées, arrondissements municipaux).Bureaux administratifs secondaires non ERP &gt;50 salariés : Stock résiduel hors sous-segments déjà comptés dans le modèle : mairies, hôtels département/région … Érosion légère post-2025 liée à la rationalisation immobilière publique, au télétravail et aux regroupements de sites.Hôtels du département Hôtels de région &amp; Services administratifs territoriaux : Ancrage sur 101 départements et 26 puis 18 régions ; supplément multi-sites fondé sur organisations territoriales officiellement affichées par Régions. Anciens doublons sites régionaux désormais traités plus restrictivement.Maisons du département / Maisons de la région / Antennes territoriales : Noyau dur provient des nombreuses maisons des solidarités / du département gérées par les conseils départementaux, complété par les maisons et antennes des régions.Préfectures / services administratifs : Le réseau préfectoral et sous-préfectoral bouge très peu ; Stagnation cohérente avec maillage administratif. Base principale = réseau préfectoral. L’Intérieur indique aujourd’hui 18 préfectures de région, 101 préfectures de département et 234 sous-préfecturesSièges d’intercommunalité : Ligne quasi directe sur la base du nombre d’EPCI à fiscalité propre, en retenant un siège principal par EPCI. Valeurs 2000, 2005, 2010, 2015, 2016, 2017, 2024, 2025 et 2026 sont ancrées sur les séries DGCLRectorats / DSDEN : La structure du réseau est très stable à l’échelle nationale. Le ministère indique aujourd’hui 30 académies et 97 DSDEN ; le stock est donc ramené à 127 sites principaux recevant du public.Maisons France Services / Guichets publics autonomes ou dédiés : Maillage institutionnel ou d’infrastructure piloté administrativement ; la variation annuelle du nombre de sites est généralement faible.Centres des finances publiques avec guichet : sous-segment vise les sites DGFiP recevant physiquement le public et disposant de sanitaires agents + usagers : centres des finances publiques, SIP/SIE ou services assimilés avec guichet.CCAS / CIAS et guichets sociaux locaux autonomes : Total national des CCAS/CIAS répertoriés est très supérieur (14 500 selon l’UNCCAS).Points d’accueil numérique dédiés / autonomes : Point d’ancrage principal =&gt; annuaire officiel compte 274 points d’accueil (préfectures / sous-préfectures). Montée en charge récente, liée au plan préfectures nouvelle génération + accompagnement téléprocédures.CAF / Accueils Caf autonomes : Périmètre retenu =&gt; Sites Caf autonomes recevant physiquement public avec sanitaires salariés + public. Exclus =&gt; Accueils hébergés chez partenaires (France Services, points relais, points d’accès numériques partenaires).Églises, cathédrales, basiliques et chapelles ouvertes au public : Environ 4000 cumulent critères : recevant public et possédant sanitaires sur 42 258 églises + chapelles paroissiales =&gt; majoritée rural, fragilisé, petits édifices, moins fréquentés et  souvent fermés.Monastères, abbayes et couvents ouverts au public : Recul est cohérent avec la baisse des effectifs religieux et la raréfaction des sites monastiques pleinement ouverts, malgré la bonne tenue de quelques grands pôles patrimoniaux et spirituels.Temples protestants, évangéliques et salles de culte assimilées : Périmètre conservé reste large car de nombreuses salles protestantes/évangéliques sont des bâtiments d'assemblée dotés de blocs sanitaires.Mosquées et salles de prière musulmanes : Hausse longue, puis stabilisation progressive. Contrairement au catholicisme, le filtre 'public + sanitaires' retranche peu d'unités =&gt; lieux culte musulmans ont sanitaires et espaces d'ablution.Synagogues et oratoires juifs ouverts au public : Périmètre 'public + sanitaires' couvre l'essentiel des synagogues + centres cultuels. Migrations internes, sécurité + recomposit° géographique déplacent la fréquentation plus qu'elles ne changent fortement le nombre total de sites.Temples bouddhistes, hindous et autres lieux de culte non abrahamiques ouverts au public : Hausse structurelle, assez régulière. Le segment part de bas, avec dynamique portée par ancrage de diasporas, formalisation associative + quelques grands projets. Le filtre 'public + sanitaires' laisse subsister une croissance réelle du nombre de sites équipés.Salles du Royaume, centres cultuels pluriconfessionnels et lieux de culte polyvalents : Bâtiments physiques, souvent partagés par plusieurs assemblées. JW indique 1 445 assemblées de fidèles en France, en moyenne près de 1,9 assemblée par salle.Locaux associatifs recevant du public : Centres sociaux + EVS (près de 3 800 structures), complété par les MJC (1 000 associations locales), une partie seulement des Foyers ruraux (réseau de l’ordre de 1 600 associations locales) et un petit noyau de Maisons des associations autonomes</t>
    </r>
  </si>
  <si>
    <r>
      <rPr>
        <b/>
        <sz val="9"/>
        <rFont val="Calibri"/>
      </rPr>
      <t>Mairies / hôtels de ville</t>
    </r>
    <r>
      <rPr>
        <sz val="9"/>
        <rFont val="Calibri"/>
      </rPr>
      <t xml:space="preserve"> : nombre de communes = proxy du nombre de mairies principales. Dynamique projetée 2027-2030: baisse très lente. Fiabilité: bonne.Bureaux administratifs secondaires non ERP &gt;50 salariés : Besoin back-office reste structurel compte tenu du volume d’agents publics et d’établissements employeurs publics. Nombre sites secondaires décroît légèrement =&gt; réduction ciblée de surfaces bureaux de l’État, mutualisation et fermeture/regroupement sites internes.Hôtels du département Hôtels de région &amp; Services administratifs territoriaux : Pour salariés, présence sanitaires universelle (code du travail) ; pour public, non-systématique. 2026-30 =&gt; Quelques sites centraux multiples subsistent , mais moins qu’avant la fusion régions.Maisons du département / Maisons de la région / Antennes territoriales : Hausse 2000-2025 reflète surtout la territorialisation des services sociaux, de l’insertion, de l’emploi-formation et des permanences locales ; la projection 2026-2030 reste faiblement haussière.Préfectures / services administratifs : Proxy révisé sur le réseau préfectoral et sous-préfectoral ; les implantations bougent peu, la projection est donc plate. Fiabilité: moyenne.Sièges d’intercommunalité : Ces sièges ont presque toujours des sanitaires pour agents et visiteurs, même quand l’accueil du public est limité ou sur rendez-vous.Rectorats / DSDEN : Série historique maintenue quasi stable car réformes ont modifié organisation régionale + périmètres académiques, sans supprimer implantations rectorales, départementales ouvertes aux usagers.Maisons France Services / Guichets publics autonomes ou dédiés : ancrage réseau France services, 2025 &gt; 2 800. Dynamique projetée 2027-2030: hausse modérée. Fiabilité: bonne.Centres des finances publiques avec guichet : Tendance nettement baissière sur longue période =&gt; effet rationalisation réseau + montée téléprocédures. Niveau récent cadré par annuaire administratif (trésoreries / CFP, SIP, SIE) et par communications DGFiP sur accueil présentiel.CCAS / CIAS et guichets sociaux locaux autonomes : Seul sous-ensemble ayant une vraie fonction d’accueil sur site sont retenus.Points d’accueil numérique dédiés / autonomes : Trajectoire 2026-2030 prudente et quasi stable. Légère érosion possible à mesure qu’une part de l’accompagnement se diffuse dans d’autres réseaux (France Services, accueil généraliste).CAF / Accueils Caf autonomes : Projection 2026-2030 faiblement baissière : maintien réseau de 101 Caf départementales. Poursuite rationalisation légère des accueils autonomes. Baisse limitée car accueil physique reste nécessaire pour accompagnement allocataires + publics fragiles.Églises, cathédrales, basiliques et chapelles ouvertes au public : Pourquoi cette pente baissière ? Sites effectivement ouverts, actifs et équipés tend plutôt à se concentrer sur les pôles paroissiaux, sanctuaires et édifices les plus fréquentésMonastères, abbayes et couvents ouverts au public : La série agrège couvents, abbayes et monastères ouverts au public avec sanitaires, et prolonge une érosion prudente à horizon 2030.Temples protestants, évangéliques et salles de culte assimilées : Le CNEF indique plus de 2 300 Églises protestantes évangéliques en France métropolitaine et 35 implantations supplémentaires par an.Mosquées et salles de prière musulmanes : 2 600 lieux de culte musulman en France en 2022. Série 2025-30 est surtout une stabilisation-haussière =&gt; ouvertures ciblées, remplacements qualitatifs, peu de sauts de volume.Synagogues et oratoires juifs ouverts au public : Consistoire de Paris gère  une 100aine de communautés et fait état de 80 lieux de culte en IDF.  Cela plaide pour quelques centaines de synagogues et oratoires actifs en Frabce. Projection 2026-30 presque plate.Temples bouddhistes, hindous et autres lieux de culte non abrahamiques ouverts au public : Trajectoire modélisée, mais cohérente avec visibilité croissante de lieux bouddhistes et hindous en France + projets récents de grande taille (BAPS Hindu Mandir à Paris - 2026).Salles du Royaume, centres cultuels pluriconfessionnels et lieux de culte polyvalents : En ajoutant quelques centres pluriconfessionnels/polyvalents, une série autour de 860 en 2025 est plus crédible.Locaux associatifs recevant du public : La dynamique 2000-2024 reflète surtout la montée des EVS et du maillage de l’animation de la vie sociale ; 2026-2030 prolonge ensuite une hausse lente puis un quasi-palier.</t>
    </r>
  </si>
  <si>
    <r>
      <rPr>
        <b/>
        <sz val="9"/>
        <rFont val="Calibri"/>
      </rPr>
      <t>Mairies / hôtels de ville</t>
    </r>
    <r>
      <rPr>
        <sz val="9"/>
        <rFont val="Calibri"/>
      </rPr>
      <t xml:space="preserve"> : https://www.vie-publique.fr/en-bref/298350-collectivites-34-875-communes-au-1er-janvier-2025Bureaux administratifs secondaires non ERP &gt;50 salariés : https://www.insee.fr/fr/metadonnees/source/serie/s1042 ; https://www.insee.fr/fr/statistiques/8956736?geo=FRANCE-1 ; https://www.fonction-publique.gouv.fr/toutes-les-publications/rapport-annuel-sur-letat-de-la-fonction-publique-edition-2024 ; https://presse.economie.gouv.fr/bilan-2023-et-perspectives-2024-de-limmobilier-de-letat-un-parc-mieux-valorise-plus-sobre-et-plus-durable/Hôtels du département Hôtels de région &amp; Services administratifs territoriaux : https://www.collectivites-locales.gouv.fr/bis-ndeg195-les-structures-territoriales-au-1er-janvier-2025
https://www.insee.fr/fr/statistiques/5039877?sommaire=5040030
https://www.insee.fr/fr/metadonnees/definition/c2297
https://www.collectivites-locales.gouv.fr/connaitre-les-acteurs-et-les-institutions/structures-territoriales/les-communes/le-territoire-communal/la-creation-dune-commune-nouvelle
https://codegeo.fr/
https://www.legifrance.gouv.fr/codes/section_lc/LEGITEXT000006072050/LEGISCTA000018489205/Maisons du département / Maisons de la région / Antennes territoriales : https://www.departements.fr/les-departements/ ; https://regions-france.org/nos-regions/ ; https://lannuaire.service-public.fr/Préfectures / services administratifs : https://www.interieur.gouv.fr/Le-ministere/Prefectures
https://www.interieur.gouv.fr/prefectures
https://www.legifrance.gouv.fr/codes/section_lc/LEGITEXT000006072050/LEGISCTA000018489205/Sièges d’intercommunalité : https://www.collectivites-locales.gouv.fr/files/Accueil/Statistiques/BilanStat_EPCIaFP_Janv2010.pdf ; https://www.collectivites-locales.gouv.fr/bis-ndeg195-les-structures-territoriales-au-1er-janvier-2025 ; https://www.collectivites-locales.gouv.fr/etudes-et-statistiques/acces-par-thematique/perimetre-des-intercommunalites/cartographie-des-epci-fiscalite-propreRectorats / DSDEN : https://www.education.gouv.fr/les-regions-academiques-academies-et-services-departementaux-de-l-education-nationale-6557 ; https://lannuaire.service-public.fr/Maisons France Services / Guichets publics autonomes ou dédiés : https://www.france-services.gouv.fr/notre-mission/un-service-public-de-proximiteCentres des finances publiques avec guichet : https://lannuaire.service-public.fr/navigation/tresorerie ; https://lannuaire.service-public.fr/navigation/sip?page=21 ; https://lannuaire.service-public.fr/navigation/sie?page=14 ; https://presse.economie.gouv.fr/?p=171074CCAS / CIAS et guichets sociaux locaux autonomes : https://www.unccas.org/quest-ce-que-le-ccas-et-cias ; https://www.unccas.org/enquete-asco-2025-les-ccas-et-cias-appeles-temoigner ; https://lannuaire.service-public.fr/Points d’accueil numérique dédiés / autonomes : https://lannuaire.service-public.fr/navigation/point_accueil_numerique ; https://www.interieur.gouv.fr/prefecturesCAF / Accueils Caf autonomes : https://www.caf.fr/professionnels/nous-connaitre/presentation ; https://www.caf.fr/professionnels/nous-connaitre/caf-du-calvados/qui-sommes-nous/accueil-qui-sommes-nous ; https://www.caf.fr/professionnels/nous-connaitre/caf-de-l-herault/qui-sommes-nous ; https://www.caf.fr/professionnels/nous-connaitre/caf-de-la-manche/qui-sommes-nous/rapport-d-activite-de-l-annee-2024/organisation-et-fonctionnement ; https://www.caf.fr/allocataires/actualites/la-caf-et-vous/prendre-un-rendez-vous-avec-la-cafÉglises, cathédrales, basiliques et chapelles ouvertes au public : https://eglise.catholique.fr/espace-presse/communiques-de-presse/426515-etat-des-lieux-sur-les-eglises-en-france/ ; https://eglise.catholique.fr/etats-generaux-du-patrimoine-religieux-2023-2024/ ; https://www.culture.gouv.fr/Thematiques/monuments-sites/monuments-historiques-sites-patrimoniaux/les-monuments-historiques/les-cathedrales ; https://www.culture.gouv.fr/presse/communiques-de-presse/collecte-nationale-pour-le-patrimoine-religieux-mme-rachida-dati-ministre-de-la-culture-devoile-la-liste-des-100-premiers-edifices-qui-beneficiMonastères, abbayes et couvents ouverts au public : https://www.service-des-moniales.cef.fr/ ; https://www.culture.gouv.fr/actualites/patrimoine-la-frequentation-consolidee-en-2024 ; https://eglise.catholique.fr/etats-generaux-du-patrimoine-religieux-2023-2024/Temples protestants, évangéliques et salles de culte assimilées : https://www.lecnef.org/page/510470-questions-frequentes ; https://www.lecnef.org/ ; https://www.vie-publique.fr/eclairage/20205-le-regime-de-separation-principe-des-relations-etat-et-les-cultesMosquées et salles de prière musulmanes : https://www.vie-publique.fr/discours/286080-gerald-darmanin-04082022-ordre-public ; https://www.vie-publique.fr/ressources/mots-cles/mosquee ; https://www.interieur.gouv.fr/actualites/dossiers-de-presse/deuxieme-session-du-forum-de-lislam-de-france-dialogue-qui-samplifieSynagogues et oratoires juifs ouverts au public : https://www.consistoire.org/communautes/ ; https://www.consistoire.org/event/la-frequentation-des-synagogues-en-pleine-mutation/ ; https://www.consistoire.org/210-ans-de-construction-du-patrimoine-juif-de-france-et-de-solidarite/ ; https://www.crif.org/ressources/rapports/rapport-annuel-du-spcj-les-chiffres-de-lantisemitisme-en-france-en-2024/Temples bouddhistes, hindous et autres lieux de culte non abrahamiques ouverts au public : https://www.hinduismtoday.com/hpi/2024/12/06/baps-hindu-mandir-in-paris-to-open-in-2026/ ; https://www.vie-publique.fr/eclairage/20205-le-regime-de-separation-principe-des-relations-etat-et-les-cultesSalles du Royaume, centres cultuels pluriconfessionnels et lieux de culte polyvalents : https://www.jw.org/fr/actualites/region/france/ ; https://www.jw.org/fr/infos-pour-representants-de-l-etat/pays/france/ ; https://www.jw.org/fr/bibliotheque/revues/wp20100501/salle-du-royaume/ ; https://www.jw.org/fr/bibliotheque/rubriques/comment-vos-dons-sont-utilises/La-maintenance-de-nos-salles-du-Royaume/Locaux associatifs recevant du public : https://www.insee.fr/fr/metadonnees/source/serie/s1161
https://www.caf.fr/professionnels/actualites/quel-impact-des-centres-sociaux-et-espaces-de-vie-sociale-pour-les-habitants-une-evaluation-inedite
https://www.caf.fr/professionnels/offres-et-services/caf-du-calvados/partenaires-locaux/centres-sociaux-et-espaces-de-vie-sociale
https://www.caf.fr/professionnels/offres-et-services/dispositifs-partenaires/espace-de-vie-sociale
https://mjc-de-france.fr/
https://www.cnajep.asso.fr/membre/cmjcf/
https://www.foyersruraux.org/
https://www.foyersruraux.org/qui-sommes-nous/
https://www.rnma.fr/reseau/
https://www.rnma.fr/maisons/
https://www.associations.gouv.fr/guid-asso-en-chiffres-2024.html
https://www.associations.gouv.fr/la-france-associative-en-mouvement-2024.html</t>
    </r>
  </si>
  <si>
    <r>
      <rPr>
        <b/>
        <sz val="9"/>
        <rFont val="Calibri"/>
      </rPr>
      <t>Mairies / hôtels de ville</t>
    </r>
    <r>
      <rPr>
        <sz val="9"/>
        <rFont val="Calibri"/>
      </rPr>
      <t xml:space="preserve"> : Mairie/hôtel de ville : bloc public/état civil + sanitaires agents.Bureaux administratifs secondaires non ERP &gt;50 salariés : Bureaux administratifs non ERP : sanitaires salariés par noyaux, visiteurs négligeables.Hôtels du département Hôtels de région &amp; Services administratifs territoriaux : Hôtel département/région : bloc public/assemblée + sanitaires agents par étages.Maisons du département / Maisons de la région / Antennes territoriales : Maison département/région : guichet public + sanitaires agents.Préfectures / services administratifs : Bâtiment administratif/mairie/préfecture : programme bureau + accueil public.Sièges d’intercommunalité : Siège d'intercommunalité : accueil/élus + sanitaires agents par noyaux.Rectorats / DSDEN : Rectorat/DSDEN : guichets/réunions + sanitaires agents.Maisons France Services / Guichets publics autonomes ou dédiés : Guichet public de petite taille : un bloc usagers et un bloc équipe.Centres des finances publiques avec guichet : Centre des finances avec guichet : bloc public d'attente + sanitaires agents.CCAS / CIAS et guichets sociaux locaux autonomes : CCAS/CIAS : bloc usagers sociaux + sanitaire équipe.Points d’accueil numérique dédiés / autonomes : Point d'accueil numérique : micro-bloc usagers + personnel.CAF / Accueils Caf autonomes : Accueil CAF autonome : bloc public d'attente + sanitaires personnel.Églises, cathédrales, basiliques et chapelles ouvertes au public : Lieu de culte chrétien : bloc fidèles/visiteurs + petit sanitaire équipe, pas de douches.Monastères, abbayes et couvents ouverts au public : Abbaye/couvent ouvert : bloc visiteurs + communauté/staff, hébergement privatif exclu.Temples protestants, évangéliques et salles de culte assimilées : Temple/salle de culte : bloc fidèles + sanitaire équipe, sans douches.Mosquées et salles de prière musulmanes : Mosquée/salle de prière : sanitaires fidèles + points d'ablution distingués des WC.Synagogues et oratoires juifs ouverts au public : Synagogue/oratoire : bloc fidèles + sanitaire équipe, sans douches.Temples bouddhistes, hindous et autres lieux de culte non abrahamiques ouverts au public : Temple bouddhiste/hindou/autre : bloc fidèles/visiteurs + staff, sans douches.Salles du Royaume, centres cultuels pluriconfessionnels et lieux de culte polyvalents : Salle du Royaume/centre cultuel polyvalent : bloc fidèles + sanitaire équipe.Locaux associatifs recevant du public : Local associatif : bloc usagers + sanitaire équipe/bénévoles.</t>
    </r>
  </si>
  <si>
    <r>
      <rPr>
        <b/>
        <sz val="9"/>
        <rFont val="Calibri"/>
      </rPr>
      <t>Mairies / hôtels de ville</t>
    </r>
    <r>
      <rPr>
        <sz val="9"/>
        <rFont val="Calibri"/>
      </rPr>
      <t xml:space="preserve"> : Capacité type ≈ 25 usagers principaux + 12 staff + 3 autre public. Accueil administratif de proximité, salles de réunion et élus/agents. Dimensionnement unitaire retenu : 1 bloc public accessible + sanitaires personnel, ajustés par taille de commune. Hypothèse d'usage : capacité simultanée moyenne 2026, répartition par flux réels, arrondie par blocs fonctionnels et exclusion des sanitaires strictement privatifs sauf cas explicitement collectifs.Bureaux administratifs secondaires non ERP &gt;50 salariés : Capacité type ≈ 150 usagers principaux + 17 staff + 3 autre public. Occupation de bureaux sans accueil public structurant. Dimensionnement unitaire retenu : cabinets/lavabos séparés selon effectif simultané et Code du travail. Hypothèse d'usage : capacité simultanée moyenne 2026, répartition par flux réels, arrondie par blocs fonctionnels et exclusion des sanitaires strictement privatifs sauf cas explicitement collectifs.Hôtels du département Hôtels de région &amp; Services administratifs territoriaux : Capacité type ≈ 240 usagers principaux + 85 staff + 25 autre public. Accueil institutionnel, réunions, élus, agents et visiteurs. Dimensionnement unitaire retenu : batteries public/assemblée + noyaux salariés, PMR par niveaux ouverts. Hypothèse d'usage : capacité simultanée moyenne 2026, répartition par flux réels, arrondie par blocs fonctionnels et exclusion des sanitaires strictement privatifs sauf cas explicitement collectifs.Maisons du département / Maisons de la région / Antennes territoriales : Capacité type ≈ 50 usagers principaux + 17 staff + 3 autre public. Antenne territoriale avec accueil social/administratif et bureaux. Dimensionnement unitaire retenu : petit bloc public accessible + sanitaires personnel séparés. Hypothèse d'usage : capacité simultanée moyenne 2026, répartition par flux réels, arrondie par blocs fonctionnels et exclusion des sanitaires strictement privatifs sauf cas explicitement collectifs.Préfectures / services administratifs : Capacité type ≈ 213 usagers principaux + 25 staff + 12 prestataires/visiteurs. Le programme sanitaire est construit par blocs fonctionnels plausibles (public, personnel, exploitation/hébergement selon le cas) et non par simple ratio national moyen. Calibrage selon capacité simultanée, répartition de flux et organisation réelle du site.Sièges d’intercommunalité : Capacité type ≈ 45 usagers principaux + 40 staff + 5 autre public. Réunions institutionnelles et bureaux, public plus ponctuel que préfecture. Dimensionnement unitaire retenu : bloc public/assemblée compact + sanitaires salariés. Hypothèse d'usage : capacité simultanée moyenne 2026, répartition par flux réels, arrondie par blocs fonctionnels et exclusion des sanitaires strictement privatifs sauf cas explicitement collectifs.Rectorats / DSDEN : Capacité type ≈ 100 usagers principaux + 50 staff + 10 autre public. Agents administratifs, visiteurs professionnels et réunions. Dimensionnement unitaire retenu : batterie publique limitée + noyaux salariés par étages. Hypothèse d'usage : capacité simultanée moyenne 2026, répartition par flux réels, arrondie par blocs fonctionnels et exclusion des sanitaires strictement privatifs sauf cas explicitement collectifs.Maisons France Services / Guichets publics autonomes ou dédiés : Capacité type ≈ 22 usagers principaux + 2 staff + 1 partenaires/prestataires. Le programme sanitaire est construit par blocs fonctionnels plausibles (public, personnel, exploitation/hébergement selon le cas) et non par simple ratio national moyen. Calibrage selon capacité simultanée, répartition de flux et organisation réelle du site.Centres des finances publiques avec guichet : Capacité type ≈ 85 usagers principaux + 30 staff + 5 autre public. Flux de contribuables par créneaux, forte attente ponctuelle. Dimensionnement unitaire retenu : bloc public accessible + sanitaires salariés selon effectif. Hypothèse d'usage : capacité simultanée moyenne 2026, répartition par flux réels, arrondie par blocs fonctionnels et exclusion des sanitaires strictement privatifs sauf cas explicitement collectifs.CCAS / CIAS et guichets sociaux locaux autonomes : Capacité type ≈ 34 usagers principaux + 9 staff + 2 autre public. Accueil social avec rendez-vous, accompagnants et petite équipe. Dimensionnement unitaire retenu : 1 bloc public accessible + 1 bloc personnel, sans douche sauf service social spécifique. Hypothèse d'usage : capacité simultanée moyenne 2026, répartition par flux réels, arrondie par blocs fonctionnels et exclusion des sanitaires strictement privatifs sauf cas explicitement collectifs.Points d’accueil numérique dédiés / autonomes : Capacité type ≈ 12 usagers principaux + 2 staff + 1 autre public. Petite antenne avec flux court et accompagnement individuel. Dimensionnement unitaire retenu : sanitaire public/PMR mutualisé lorsque prévu + sanitaire personnel éventuel. Hypothèse d'usage : capacité simultanée moyenne 2026, répartition par flux réels, arrondie par blocs fonctionnels et exclusion des sanitaires strictement privatifs sauf cas explicitement collectifs.CAF / Accueils Caf autonomes : Capacité type ≈ 70 usagers principaux + 17 staff + 3 autre public. Flux de bénéficiaires et accompagnants, rendez-vous et attente. Dimensionnement unitaire retenu : bloc public accessible + sanitaires salariés par noyau. Hypothèse d'usage : capacité simultanée moyenne 2026, répartition par flux réels, arrondie par blocs fonctionnels et exclusion des sanitaires strictement privatifs sauf cas explicitement collectifs.Églises, cathédrales, basiliques et chapelles ouvertes au public : Capacité type ≈ 110 usagers principaux + 5 staff + 5 autre public. Offices et visites, forte pointe ponctuelle mais durée limitée. Dimensionnement unitaire retenu : bloc public accessible si sanitaires prévus, dimensionné à la nef/salle ouverte. Hypothèse d'usage : capacité simultanée moyenne 2026, répartition par flux réels, arrondie par blocs fonctionnels et exclusion des sanitaires strictement privatifs sauf cas explicitement collectifs.Monastères, abbayes et couvents ouverts au public : Capacité type ≈ 60 usagers principaux + 15 staff + 5 autre public. Visites, offices et boutique/accueil, avec communauté résidente non entièrement publique. Dimensionnement unitaire retenu : bloc visiteurs accessible + sanitaires staff/communauté des espaces communs. Hypothèse d'usage : capacité simultanée moyenne 2026, répartition par flux réels, arrondie par blocs fonctionnels et exclusion des sanitaires strictement privatifs sauf cas explicitement collectifs.Temples protestants, évangéliques et salles de culte assimilées : Capacité type ≈ 92 usagers principaux + 5 staff + 3 autre public. Offices hebdomadaires et réunions, occupation assise prolongée. Dimensionnement unitaire retenu : bloc public accessible et sanitaires séparés si jauge/sexes le justifient. Hypothèse d'usage : capacité simultanée moyenne 2026, répartition par flux réels, arrondie par blocs fonctionnels et exclusion des sanitaires strictement privatifs sauf cas explicitement collectifs.Mosquées et salles de prière musulmanes : Capacité type ≈ 165 usagers principaux + 10 staff + 5 autre public. Forte pointe hebdomadaire, rotations avant prière et usage d'ablutions. Dimensionnement unitaire retenu : blocs WC H/F/PMR + zones d'ablution, staff/administration en complément. Hypothèse d'usage : capacité simultanée moyenne 2026, répartition par flux réels, arrondie par blocs fonctionnels et exclusion des sanitaires strictement privatifs sauf cas explicitement collectifs.Synagogues et oratoires juifs ouverts au public : Capacité type ≈ 72 usagers principaux + 5 staff + 3 autre public. Offices et événements communautaires, jauge modérée avec contrôle d'accès. Dimensionnement unitaire retenu : bloc public accessible + sanitaire personnel, dimensionné à la salle principale. Hypothèse d'usage : capacité simultanée moyenne 2026, répartition par flux réels, arrondie par blocs fonctionnels et exclusion des sanitaires strictement privatifs sauf cas explicitement collectifs.Temples bouddhistes, hindous et autres lieux de culte non abrahamiques ouverts au public : Capacité type ≈ 70 usagers principaux + 7 staff + 3 autre public. Pratiques cultuelles, visites et événements ponctuels. Dimensionnement unitaire retenu : bloc public accessible + sanitaire équipe, avec points d'eau adaptés aux usages locaux. Hypothèse d'usage : capacité simultanée moyenne 2026, répartition par flux réels, arrondie par blocs fonctionnels et exclusion des sanitaires strictement privatifs sauf cas explicitement collectifs.Salles du Royaume, centres cultuels pluriconfessionnels et lieux de culte polyvalents : Capacité type ≈ 82 usagers principaux + 5 staff + 3 autre public. Réunions régulières, occupation assise et rotation faible. Dimensionnement unitaire retenu : bloc public accessible, sanitaires séparés selon jauge et configuration. Hypothèse d'usage : capacité simultanée moyenne 2026, répartition par flux réels, arrondie par blocs fonctionnels et exclusion des sanitaires strictement privatifs sauf cas explicitement collectifs.Locaux associatifs recevant du public : Capacité type ≈ 44 usagers principaux + 5 staff + 1 autre public. Réunions, ateliers ou permanences avec occupation modérée. Dimensionnement unitaire retenu : 1 à 2 WC publics/PMR + point d'eau, sans douche sauf activité spécifique. Hypothèse d'usage : capacité simultanée moyenne 2026, répartition par flux réels, arrondie par blocs fonctionnels et exclusion des sanitaires strictement privatifs sauf cas explicitement collectifs.</t>
    </r>
  </si>
  <si>
    <r>
      <rPr>
        <b/>
        <sz val="9"/>
        <rFont val="Calibri"/>
      </rPr>
      <t>Mairies / hôtels de ville</t>
    </r>
    <r>
      <rPr>
        <sz val="9"/>
        <rFont val="Calibri"/>
      </rPr>
      <t xml:space="preserve"> : Profil petit, capacité moyenne ≈ 40 personnes. Moyenne pondérée terrain : parc majoritairement petits/moyens sites, grands sites intégrés sans surpondération ; usage 2025 forte à très forte.Bureaux administratifs secondaires non ERP &gt;50 salariés : Profil moyen, capacité moyenne ≈ 170 personnes. Moyenne pondérée terrain : parc majoritairement petits/moyens sites, grands sites intégrés sans surpondération ; usage 2025 modérée, majoritairement courte.Hôtels du département Hôtels de région &amp; Services administratifs territoriaux : Profil grand, capacité moyenne ≈ 350 personnes. Moyenne pondérée terrain : parc majoritairement petits/moyens sites, grands sites intégrés sans surpondération ; usage 2025 forte à très forte.Maisons du département / Maisons de la région / Antennes territoriales : Profil petit, capacité moyenne ≈ 70 personnes. Moyenne pondérée terrain : parc majoritairement petits/moyens sites, grands sites intégrés sans surpondération ; usage 2025 modérée à forte par pics.Préfectures / services administratifs : Profil grand, capacité moyenne ≈ 250 personnes. Moyenne pondérée terrain : parc majoritairement petits/moyens sites, grands sites intégrés sans surpondération ; usage 2025 modérée, majoritairement courte.Sièges d’intercommunalité ; CAF / Accueils Caf autonomes : Profil moyen, capacité moyenne ≈ 90 personnes. Moyenne pondérée terrain : parc majoritairement petits/moyens sites, grands sites intégrés sans surpondération ; usage 2025 modérée, majoritairement courte.Rectorats / DSDEN : Profil moyen, capacité moyenne ≈ 160 personnes. Moyenne pondérée terrain : parc majoritairement petits/moyens sites, grands sites intégrés sans surpondération ; usage 2025 modérée, majoritairement courte.Maisons France Services / Guichets publics autonomes ou dédiés : Profil très petit, capacité moyenne ≈ 25 personnes. Moyenne pondérée terrain : parc majoritairement petits/moyens sites, grands sites intégrés sans surpondération ; usage 2025 modérée, majoritairement courte.Centres des finances publiques avec guichet : Profil moyen, capacité moyenne ≈ 120 personnes. Moyenne pondérée terrain : parc majoritairement petits/moyens sites, grands sites intégrés sans surpondération ; usage 2025 modérée, majoritairement courte.CCAS / CIAS et guichets sociaux locaux autonomes : Profil petit, capacité moyenne ≈ 45 personnes. Moyenne pondérée terrain : parc majoritairement petits/moyens sites, grands sites intégrés sans surpondération ; usage 2025 modérée, majoritairement courte.Points d’accueil numérique dédiés / autonomes : Profil très petit, capacité moyenne ≈ 15 personnes. Moyenne pondérée terrain : parc majoritairement petits/moyens sites, grands sites intégrés sans surpondération ; usage 2025 modérée à forte par pics.Églises, cathédrales, basiliques et chapelles ouvertes au public : Profil moyen, capacité moyenne ≈ 120 personnes. Moyenne pondérée terrain : parc majoritairement petits/moyens sites, grands sites intégrés sans surpondération ; usage 2025 modérée à forte par pics.Monastères, abbayes et couvents ouverts au public ; Synagogues et oratoires juifs ouverts au public ; Temples bouddhistes, hindous et autres lieux de culte non abrahamiques ouverts au public : Profil moyen, capacité moyenne ≈ 80 personnes. Moyenne pondérée terrain : parc majoritairement petits/moyens sites, grands sites intégrés sans surpondération ; usage 2025 modérée à forte par pics.Temples protestants, évangéliques et salles de culte assimilées : Profil moyen, capacité moyenne ≈ 100 personnes. Moyenne pondérée terrain : parc majoritairement petits/moyens sites, grands sites intégrés sans surpondération ; usage 2025 modérée à forte par pics.Mosquées et salles de prière musulmanes : Profil moyen, capacité moyenne ≈ 180 personnes. Moyenne pondérée terrain : parc majoritairement petits/moyens sites, grands sites intégrés sans surpondération ; usage 2025 modérée à forte par pics.Salles du Royaume, centres cultuels pluriconfessionnels et lieux de culte polyvalents : Profil moyen, capacité moyenne ≈ 90 personnes. Moyenne pondérée terrain : parc majoritairement petits/moyens sites, grands sites intégrés sans surpondération ; usage 2025 modérée à forte par pics.Locaux associatifs recevant du public : Profil petit, capacité moyenne ≈ 50 personnes. Moyenne pondérée terrain : parc majoritairement petits/moyens sites, grands sites intégrés sans surpondération ; usage 2025 modérée à forte par pics.</t>
    </r>
  </si>
  <si>
    <r>
      <rPr>
        <b/>
        <sz val="9"/>
        <rFont val="Calibri"/>
      </rPr>
      <t>Mairies / hôtels de ville ; Bureaux administratifs secondaires non ERP &gt;50 salariés ; Hôtels du département Hôtels de région &amp; Services administratifs territoriaux ; Maisons du département / Maisons de la région / Antennes territoriales ; Sièges d’intercommunalité ; Rectorats / DSDEN ; Centres des finances publiques avec guichet ; CCAS / CIAS et guichets sociaux locaux autonomes ; Points d’accueil numérique dédiés / autonomes ; CAF / Accueils Caf autonomes ; 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Locaux associatifs recevant du public</t>
    </r>
    <r>
      <rPr>
        <sz val="9"/>
        <rFont val="Calibri"/>
      </rPr>
      <t xml:space="preserve"> : ERP/accessibilité sanitaires publics : https://www.legifrance.gouv.fr/loda/article_lc/LEGIARTI000034485966/ ; Code du travail sanitaires salariés : https://www.legifrance.gouv.fr/codes/id/LEGISCTA000018531984 ; INRS : https://www.inrs.fr/publications/juridique/focus-juridiques/focus-sanitaires-toilettes.htmlPréfectures / services administratifs ; Maisons France Services / Guichets publics autonomes ou dédiés : Code du travail (sanitaires et vestiaires staff) + programmation ERP/usages d'exploitation ; source de comptage propre à la ligne en col. AP.</t>
    </r>
  </si>
  <si>
    <r>
      <rPr>
        <b/>
        <sz val="9"/>
        <rFont val="Calibri"/>
      </rPr>
      <t>Mairies / hôtels de ville</t>
    </r>
    <r>
      <rPr>
        <sz val="9"/>
        <rFont val="Calibri"/>
      </rPr>
      <t xml:space="preserve"> : Accueil public régulier mais flux modéré, cérémonies ponctuelles et faible humidité; maintenance patrimoniale municipale. Long, proche préfecture mais trafic moindre. Usage public régulier globalement respectueux, avec maintenance patrimoniale classique. Temporisés mécaniques gardent un léger avantage de durée réelle. Electronique reste plus courte si la maintenance n'est pas contractualisée. Remplacements se font plutôt par bâtiment ou par noyau sanitaire lors de travaux programmés. Usage tertiaire moyen, faible vandalisme, rénovations par lots tirées par l’accessibilité et la trajectoire Éco Énergie Tertiaire.Bureaux administratifs secondaires non ERP &gt;50 salariés : Usage principalement salariés, peu de public et faible vandalisme; nettoyage régulier. Proche tertiaire privé, légèrement contraint par cycles budgétaires publics. Repères durées: lavabos 13/13/10 ans (mit./méca/élec.), douches 12/11/9, urinoirs 11/13/9/11, WC 14/14/10.Hôtels du département Hôtels de région &amp; Services administratifs territoriaux : Guichets territoriaux, flux sociaux/modérés, maintenance publique externalisée; faible humidité. Proche France Services, plus long si site récent et fréquentation faible. Repères durées: lavabos 13/14/10 ans (mit./méca/élec.), douches 12/11/9, urinoirs 11/13/9/11, WC 14/14/10.Maisons du département / Maisons de la région / Antennes territoriales : Bâtiments administratifs à forte fréquentation institutionnelle, pics réunions mais public encadré. Durées longues, renouvelées par marchés publics et rénovations patrimoniales. Repères durées: lavabos 13/14/10 ans (mit./méca/élec.), douches 12/11/9, urinoirs 11/13/9/11, WC 14/14/10.Préfectures / services administratifs : Usage public régulier mais globalement respectueux, avec maintenance patrimoniale classique. Les temporisés mécaniques gardent un léger avantage de durée réelle. L'électronique reste plus courte si la maintenance n'est pas contractualisée. Les remplacements se font plutôt par bâtiment ou par noyau sanitaire lors de travaux programmés. Bureaux / administration / justice : Usage tertiaire moyen, faible vandalisme, rénovations par lots tirées par l’immobilier tertiaire, l’accessibilité et la trajectoire Éco Énergie Tertiaire.Sièges d’intercommunalité : Usage administratif et réunions, trafic public limité, faible vandalisme; maintenance programmée. Proche mairie, plutôt favorable sur mécaniques et WC. Repères durées: lavabos 13/14/10 ans (mit./méca/élec.), douches 12/11/9, urinoirs 11/13/9/11, WC 14/14/10.Rectorats / DSDEN : Guichet de proximité, flux régulier et publics variés; petits blocs, maintenance communale. Légèrement sous mairie car accueil plus continu. Usage administratif, visiteurs sur rendez-vous et pics ponctuels de rentrée; faible humidité. Proche hôtels de région, électronique raccourci par obsolescence. Repères durées: lavabos 13/14/10 ans (mit./méca/élec.), douches 12/11/9, urinoirs 11/13/9/11, WC 14/14/10.Maisons France Services / Guichets publics autonomes ou dédiés : Faible nombre de cycles annuels et faible humidité hors périodes d'affluence. cela allonge la durée réelle malgré des budgets souvent contraints. Les écarts entre technologies sont volontairement resserrés, la faible fréquence d'usage jouant davantage que la sophistication produit. Renouvellement surtout à la panne, avec peu de batch hors gros travaux. Culte / associatif faible intensité : Fréquentation faible à modérée, faible vandalisme, remplacement souvent différé pour raisons budgétaires. équipements conservés plus longtemps.Centres des finances publiques avec guichet : Public dense à certaines échéances, attente et pics fiscaux, mais environnement tertiaire contrôlé. Proche préfecture; mécaniques robustes, électroniques plus sensibles. Repères durées: lavabos 13/14/10 ans (mit./méca/élec.), douches 12/11/9, urinoirs 11/13/9/11, WC 14/14/10.CCAS / CIAS et guichets sociaux locaux autonomes : Accueil social parfois intensif, publics fragiles, petits blocs très sollicités et budgets contraints. Sous mairie classique, proche France Services social. Repères durées: lavabos 13/14/10 ans (mit./méca/élec.), douches 12/11/9, urinoirs 11/13/9/11, WC 14/14/10.Points d’accueil numérique dédiés / autonomes : Petits sites de médiation, flux modéré, faible humidité et surveillance; équipements peu nombreux. Proche guichet public, renouvellement souvent opportuniste. Repères durées: lavabos 13/14/10 ans (mit./méca/élec.), douches 12/11/9, urinoirs 11/13/9/11, WC 14/14/10.CAF / Accueils Caf autonomes : Flux public élevé, pics périodiques de prestations, attente prolongée et nettoyage régulier; maintenance tertiaire. Sous bureaux administratifs, proche finances publiques. Repères durées: lavabos 13/14/10 ans (mit./méca/élec.), douches 12/11/9, urinoirs 11/13/9/11, WC 14/14/10.Églises, cathédrales, basiliques et chapelles ouvertes au public : Usage touristique/cérémoniel irrégulier, faibles moyens de maintenance et locaux parfois anciens/froids. Long si usage faible, électronique prudent; rénovations rares et patrimoniales. Repères durées: lavabos 13/14/10 ans (mit./méca/élec.), douches 12/11/9, urinoirs 11/13/9/11, WC 14/14/10.Monastères, abbayes et couvents ouverts au public : Usage touristique saisonnier dans bâtiments anciens, humidité/pierre et accès maintenance délicat; pics lors visites. Plus court qu'église urbaine pour douches/locaux annexes. Repères durées: lavabos 10/11/8 ans (mit./méca/élec.), douches 8/8/7, urinoirs 8/10/7/9, WC 10/11/8.Temples protestants, évangéliques et salles de culte assimilées : Fréquentation hebdomadaire, groupes ponctuels, faible humidité et public respectueux. Durées longues, proches locaux associatifs calmes, renouvellement lié aux budgets de communauté. Repères durées: lavabos 13/14/10 ans (mit./méca/élec.), douches 12/11/9, urinoirs 11/13/9/11, WC 14/14/10.Mosquées et salles de prière musulmanes : Ablutions fréquentes, pics avant prières, forte humidité autour des lavabos et sols mouillés; maintenance communautaire variable. Abaissé vs autres cultes, surtout lavabos/électronique. Repères durées: lavabos 10/11/8 ans (mit./méca/élec.), douches 8/8/7, urinoirs 8/10/7/9, WC 10/11/8.Synagogues et oratoires juifs ouverts au public : Usage hebdomadaire et fêtes, public encadré, faible humidité hors offices; contraintes de sûreté mais peu de vandalisme. Proche temple, renouvellement budgétaire prudent. Repères durées: lavabos 13/14/10 ans (mit./méca/élec.), douches 12/11/9, urinoirs 11/13/9/11, WC 14/14/10.Temples bouddhistes, hindous et autres lieux de culte non abrahamiques ouverts au public : Fréquentation événementielle, parfois repas/rituels et pics de fêtes; humidité modérée. Entre temple classique et salle polyvalente selon intensité associative. Repères durées: lavabos 12/13/9 ans (mit./méca/élec.), douches 11/10/8, urinoirs 10/12/8/10, WC 13/13/9.Salles du Royaume, centres cultuels pluriconfessionnels et lieux de culte polyvalents : Forte modularité, réunions régulières et usages partagés; maintenance bénévole ou associative. Sous lieu de culte classique, proche salle polyvalente. Repères durées: lavabos 10/11/8 ans (mit./méca/élec.), douches 8/8/7, urinoirs 8/10/7/9, WC 10/11/8.Locaux associatifs recevant du public : Usage très hétérogène, soirées/réunions, entretien variable et petits budgets; pics ponctuels. Entre salle polyvalente et bureau, renouvellement souvent correctif. Repères durées: lavabos 13/14/10 ans (mit./méca/élec.), douches 12/11/9, urinoirs 11/13/9/11, WC 14/14/10.</t>
    </r>
  </si>
  <si>
    <r>
      <rPr>
        <b/>
        <sz val="9"/>
        <rFont val="Calibri"/>
      </rPr>
      <t>Mairies / hôtels de ville</t>
    </r>
    <r>
      <rPr>
        <sz val="9"/>
        <rFont val="Calibri"/>
      </rPr>
      <t xml:space="preserve"> : Dans les mairies, préfectures et grands bâtiments administratifs, le parc existant reste équilibré entre mitigeur et solutions plus ERP ; l’électronique est déjà bien présente sur les rénovations. Le choix reflete accueil public de jour, flux moderes et renov. liees aux rogrammes patrimoniaux ; accessibilite, image institutionnelle et maintenance sobre.Bureaux administratifs secondaires non ERP &gt;50 salariés : Bureaux administratifs secondaires non ERP &gt;50 salariés : parc 2025 domine par tempo mecanique (55%), avec mitigeur manuel en appoint. Le choix reflete accueil public de jour, flux moderes et renov. liees aux programmes patrimoniaux ; accessibilite, image institutionnelle et maintenance sobre.Hôtels du département Hôtels de région &amp; Services administratifs territoriaux : Hôtels du département Hôtels de région &amp; Services administratifs territoriaux : parc 2025 domine par tempo mecanique (50%), avec mitigeur manuel en appoint. Le choix reflete accueil public de jour, flux moderes et renov. liees aux programmes patrimoniaux ; accessibilite, image institutionnelle et maintenance sobre.Maisons du département / Maisons de la région / Antennes territoriales : Maisons du département / Maisons de la région / Antennes territoriales : parc 2025 domine par tempo mecanique (50%), avec mitigeur manuel en appoint. Le choix reflete usage collectif regulier, contraintes de maintenance et arbitrages budgetaires ; robustesse, hygiene et cout global restent prioritaires.Préfectures / services administratifs : Dans les mairies, préfectures et grands bâtiments administratifs, le parc existant reste équilibré entre mitigeur et solutions plus ERP ; l’électronique est déjà bien présente sur les rénovations. Ajustement ciblé 2025 : légère baisse du mitigeur et/ou légère hausse de l’électronique pour mieux refléter la modernisation déjà visible sur les rénovations de sanitaires communs.Sièges d’intercommunalité : Sièges d’intercommunalité (hors France Services autonomes) : parc 2025 domine par tempo mecanique (50%), avec mitigeur manuel en appoint. Le choix reflete accueil public de jour, flux moderes et renov. liees aux programmes patrimoniaux ; accessibilite, image institutionnelle et maintenance sobre.Rectorats / DSDEN : Rectorats / DSDEN : parc 2025 domine par tempo mecanique (50%), avec mitigeur manuel en appoint. Le choix reflete accueil public de jour, flux moderes et renov. liees aux programmes patrimoniaux ; accessibilite, image institutionnelle et maintenance sobre.Maisons France Services / Guichets publics autonomes ou dédiés : Les Maisons France Services relèvent d’un parc petit tertiaire/public : le mitigeur reste majoritaire, l’électronique étant plus occasionnelle. Ajustement ciblé 2025 : légère baisse du mitigeur et/ou légère hausse de l’électronique pour mieux refléter la modernisation déjà visible sur les rénovations de sanitaires communs.Centres des finances publiques avec guichet : Centres des finances publiques avec guichet : parc 2025 domine par tempo mecanique (50%), avec mitigeur manuel en appoint. Le choix reflete accueil public de jour, flux moderes et renov. liees aux programmes patrimoniaux ; accessibilite, image institutionnelle et maintenance sobre.CCAS / CIAS et guichets sociaux locaux autonomes : CCAS / CIAS et guichets sociaux locaux autonomes : parc 2025 domine par tempo mecanique (50%), avec mitigeur manuel en appoint. Le choix reflete accueil public de jour, flux moderes et renov. liees aux programmes patrimoniaux ; accessibilite, image institutionnelle et maintenance sobre.Points d’accueil numérique dédiés / autonomes : Points d’accueil numérique dédiés / autonomes : parc 2025 domine par tempo mecanique (50%), avec mitigeur manuel en appoint. Le choix reflete usage collectif regulier, contraintes de maintenance et arbitrages budgetaires ; robustesse, hygiene et cout global restent prioritaires.CAF / Accueils Caf autonomes : CAF / Accueils Caf autonomes : parc 2025 domine par tempo mecanique (50%), avec mitigeur manuel en appoint. Le choix reflete accueil public de jour, flux moderes et renov. liees aux programmes patrimoniaux ; accessibilite, image institutionnelle et maintenance sobre.Églises, cathédrales, basiliques et chapelles ouvertes au public : Églises, cathédrales, basiliques et chapelles ouvertes au public : parc 2025 domine par tempo mecanique (50%), avec mitigeur manuel en appoint. Le choix reflete usage ponctuel avec pics offices/ceremonies et budgets patrimoniaux limites ; equipements simples, faible renouvellement et contraintes patrimoniales.Monastères, abbayes et couvents ouverts au public : Monastères, abbayes et couvents ouverts au public : parc 2025 domine par tempo mecanique (76%), avec mitigeur manuel en appoint. Le choix reflete usage ponctuel avec pics offices/ceremonies et budgets patrimoniaux limites ; equipements simples, faible renouvellement et contraintes patrimoniales.Temples protestants, évangéliques et salles de culte assimilées : Temples protestants, évangéliques et salles de culte assimilées : parc 2025 domine par tempo mecanique (50%), avec mitigeur manuel en appoint. Le choix reflete usage ponctuel avec pics offices/ceremonies et budgets patrimoniaux limites ; equipements simples, faible renouvellement et contraintes patrimoniales.Mosquées et salles de prière musulmanes : Mosquées et salles de prière musulmanes : parc 2025 domine par tempo mecanique (76%), avec mitigeur manuel en appoint. Le choix reflete usage ponctuel avec pics offices/ceremonies et budgets patrimoniaux limites ; equipements simples, faible renouvellement et contraintes patrimoniales.Synagogues et oratoires juifs ouverts au public : Synagogues et oratoires juifs ouverts au public : parc 2025 domine par tempo mecanique (50%), avec mitigeur manuel en appoint. Le choix reflete usage ponctuel avec pics offices/ceremonies et budgets patrimoniaux limites ; equipements simples, faible renouvellement et contraintes patrimoniales.Temples bouddhistes, hindous et autres lieux de culte non abrahamiques ouverts au public : Temples bouddhistes, hindous et autres lieux de culte non abrahamiques ouverts au public : parc 2025 domine par mitigeur manuel (55%), avec tempo mecanique en appoint. Le choix reflete usage ponctuel avec pics offices/ceremonies et budgets patrimoniaux limites ; equipements simples, faible renouvellement et contraintes patrimoniales.Salles du Royaume, centres cultuels pluriconfessionnels et lieux de culte polyvalents : Salles du Royaume, centres cultuels pluriconfessionnels et lieux de culte polyvalents : parc 2025 domine par tempo mecanique (76%), avec mitigeur manuel en appoint. Le choix reflete usage ponctuel avec pics offices/ceremonies et budgets patrimoniaux limites ; equipements simples, faible renouvellement et contraintes patrimoniales.Locaux associatifs recevant du public : Locaux associatifs recevant du public (dotés de sanitaires) : parc 2025 domine par tempo mecanique (50%), avec mitigeur manuel en appoint. Le choix reflete usage local discontinu, pics lors d activites et forte contrainte budgetaire ; simplicite, mutualisation et maintenance communale.</t>
    </r>
  </si>
  <si>
    <r>
      <rPr>
        <b/>
        <sz val="9"/>
        <rFont val="Calibri"/>
      </rPr>
      <t>Mairies / hôtels de ville ; Hôtels du département Hôtels de région &amp; Services administratifs territoriaux ; Maisons du département / Maisons de la région / Antennes territoriales ; Sièges d’intercommunalité ; Rectorats / DSDEN ; Centres des finances publiques avec guichet ; CCAS / CIAS et guichets sociaux locaux autonomes ; Points d’accueil numérique dédiés / autonomes ; CAF / Accueils Caf autonomes ; Églises, cathédrales, basiliques et chapelles ouvertes au public ; Temples protestants, évangéliques et salles de culte assimilées ; Synagogues et oratoires juifs ouverts au public ; Locaux associatifs recevant du public</t>
    </r>
    <r>
      <rPr>
        <sz val="9"/>
        <rFont val="Calibri"/>
      </rPr>
      <t xml:space="preserve"> : 2025-2030 : progression de tempo electronique (+5,0%), surtout lors des renov. lourdes/neuf ; recul de mitigeur manuel (-5,0%) mais maintien d un socle robuste pour les remplacements partiels.Bureaux administratifs secondaires non ERP &gt;50 salariés : 2025-2030 : progression de tempo electronique (+3,0%), surtout lors des renov. lourdes/neuf ; recul de mitigeur manuel (-2,0%) mais maintien d un socle robuste pour les remplacements partiels.Préfectures / services administratifs ; Maisons France Services / Guichets publics autonomes ou dédiés : Les administrations publiques rénovent progressivement leurs sanitaires 2025-2030 : recul du mitigeur, progression de l’électronique, mais sans disparition rapide du parc existant.Monastères, abbayes et couvents ouverts au public ; Mosquées et salles de prière musulmanes ; Salles du Royaume, centres cultuels pluriconfessionnels et lieux de culte polyvalents : 2025-2030 : progression de tempo electronique (+2,0%), surtout lors des renov. lourdes/neuf ; recul de mitigeur manuel (-2,0%) mais maintien d un socle robuste pour les remplacements partiels.Temples bouddhistes, hindous et autres lieux de culte non abrahamiques ouverts au public : 2025-2030 : progression de tempo electronique (+3,0%), surtout lors des renov. lourdes/neuf ; recul de mitigeur manuel (-5,0%) mais maintien d un socle robuste pour les remplacements partiels.</t>
    </r>
  </si>
  <si>
    <r>
      <rPr>
        <b/>
        <sz val="9"/>
        <rFont val="Calibri"/>
      </rPr>
      <t>Mairies / hôtels de ville ; Bureaux administratifs secondaires non ERP &gt;50 salariés ; Hôtels du département Hôtels de région &amp; Services administratifs territoriaux ; Maisons du département / Maisons de la région / Antennes territoriales ; Préfectures / services administratifs ; Sièges d’intercommunalité ; Rectorats / DSDEN ; Maisons France Services / Guichets publics autonomes ou dédiés ; Centres des finances publiques avec guichet ; CCAS / CIAS et guichets sociaux locaux autonomes ; Points d’accueil numérique dédiés / autonomes ; CAF / Accueils Caf autonomes ; Églises, cathédrales, basiliques et chapelles ouvertes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Locaux associatifs recevant du public</t>
    </r>
    <r>
      <rPr>
        <sz val="9"/>
        <rFont val="Calibri"/>
      </rPr>
      <t xml:space="preserve"> : Sans objet.Monastères, abbayes et couvents ouverts au public : Monastères, abbayes et couvents ouverts au public : parc 2025 domine par tempo mecanique (80%), avec mitigeur en appoint. Le choix reflete usage ponctuel avec pics offices/ceremonies et budgets patrimoniaux limites ; equipements simples, faible renouvellement et contraintes patrimoniales.</t>
    </r>
  </si>
  <si>
    <r>
      <rPr>
        <b/>
        <sz val="9"/>
        <rFont val="Calibri"/>
      </rPr>
      <t>Mairies / hôtels de ville ; Bureaux administratifs secondaires non ERP &gt;50 salariés ; Hôtels du département Hôtels de région &amp; Services administratifs territoriaux ; Maisons du département / Maisons de la région / Antennes territoriales ; Préfectures / services administratifs ; Sièges d’intercommunalité ; Rectorats / DSDEN ; Maisons France Services / Guichets publics autonomes ou dédiés ; Centres des finances publiques avec guichet ; CCAS / CIAS et guichets sociaux locaux autonomes ; Points d’accueil numérique dédiés / autonomes ; CAF / Accueils Caf autonomes ; Églises, cathédrales, basiliques et chapelles ouvertes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Locaux associatifs recevant du public</t>
    </r>
    <r>
      <rPr>
        <sz val="9"/>
        <rFont val="Calibri"/>
      </rPr>
      <t xml:space="preserve"> : Sans objet.Monastères, abbayes et couvents ouverts au public : 2025-2030 : progression de tempo mecanique (+2,0%), surtout lors des renov. lourdes/neuf ; recul de mitigeur (-3,0%) mais maintien d un socle robuste pour les remplacements partiels.</t>
    </r>
  </si>
  <si>
    <r>
      <rPr>
        <b/>
        <sz val="9"/>
        <rFont val="Calibri"/>
      </rPr>
      <t>Mairies / hôtels de ville</t>
    </r>
    <r>
      <rPr>
        <sz val="9"/>
        <rFont val="Calibri"/>
      </rPr>
      <t xml:space="preserve"> : Mairies / hôtels de ville : parc 2025 domine par directe mecanique (50%), avec directe electronique collective en appoint. Le choix reflete accueil public de jour, flux moderes et renov. liees aux programmes patrimoniaux ; accessibilite, image institutionnelle et maintenance sobre.Bureaux administratifs secondaires non ERP &gt;50 salariés : Bureaux administratifs secondaires non ERP &gt;50 salariés : parc 2025 domine par directe mecanique (45%), avec directe electronique indiv. en appoint. Le choix reflete accueil public de jour, flux moderes et renov. liees aux programmes patrimoniaux ; accessibilite, image institutionnelle et maintenance sobre.Hôtels du département Hôtels de région &amp; Services administratifs territoriaux : Hôtels du département Hôtels de région &amp; Services administratifs territoriaux : parc 2025 domine par directe mecanique (50%), avec directe electronique collective en appoint. Le choix reflete accueil public de jour, flux moderes et renov. liees aux programmes patrimoniaux ; accessibilite, image institutionnelle et maintenance sobre.Maisons du département / Maisons de la région / Antennes territoriales : Maisons du département / Maisons de la région / Antennes territoriales : parc 2025 domine par directe mecanique (50%), avec directe electronique collective en appoint. Le choix reflete usage collectif regulier, contraintes de maintenance et arbitrages budgetaires ; robustesse, hygiene et cout global restent prioritaires.Préfectures / services administratifs : Les urinoirs automatiques progressent dans les bâtiments administratifs récents, mais le parc mécanique/direct reste important.Sièges d’intercommunalité : Sièges d’intercommunalité (hors France Services autonomes) : parc 2025 domine par directe mecanique (50%), avec directe electronique collective en appoint. Le choix reflete accueil public de jour, flux moderes et renov. liees aux programmes patrimoniaux ; accessibilite, image institutionnelle et maintenance sobre.Rectorats / DSDEN : Rectorats / DSDEN : parc 2025 domine par directe mecanique (50%), avec directe electronique collective en appoint. Le choix reflete accueil public de jour, flux moderes et renov. liees aux programmes patrimoniaux ; accessibilite, image institutionnelle et maintenance sobre.Maisons France Services / Guichets publics autonomes ou dédiés : Les rares urinoirs restent majoritairement sur des technologies classiques.Centres des finances publiques avec guichet : Centres des finances publiques avec guichet : parc 2025 domine par directe mecanique (50%), avec directe electronique collective en appoint. Le choix reflete accueil public de jour, flux moderes et renov. liees aux programmes patrimoniaux ; accessibilite, image institutionnelle et maintenance sobre.CCAS / CIAS et guichets sociaux locaux autonomes : CCAS / CIAS et guichets sociaux locaux autonomes : parc 2025 domine par directe mecanique (50%), avec directe electronique collective en appoint. Le choix reflete accueil public de jour, flux moderes et renov. liees aux programmes patrimoniaux ; accessibilite, image institutionnelle et maintenance sobre.Points d’accueil numérique dédiés / autonomes : Sans objet : pas de urinoirs collectif dimensionne dans ce sous-segment.CAF / Accueils Caf autonomes : CAF / Accueils Caf autonomes : parc 2025 domine par directe mecanique (50%), avec directe electronique collective en appoint. Le choix reflete accueil public de jour, flux moderes et renov. liees aux programmes patrimoniaux ; accessibilite, image institutionnelle et maintenance sobre.Églises, cathédrales, basiliques et chapelles ouvertes au public : Églises, cathédrales, basiliques et chapelles ouvertes au public : parc 2025 domine par directe mecanique (50%), avec directe electronique collective en appoint. Le choix reflete usage ponctuel avec pics offices/ceremonies et budgets patrimoniaux limites ; equipements simples, faible renouvellement et contraintes patrimoniales.Monastères, abbayes et couvents ouverts au public : Urinoirs présents surtout dans les sites patrimoniaux ouverts au public avec blocs visiteurs. Mix 2025 prudent, dominé par chasse directe mécanique avec quelques équipements anciens à réservoir.Temples protestants, évangéliques et salles de culte assimilées : Temples protestants, évangéliques et salles de culte assimilées : parc 2025 domine par directe mecanique (50%), avec directe electronique collective en appoint. Le choix reflete usage ponctuel avec pics offices/ceremonies et budgets patrimoniaux limites ; equipements simples, faible renouvellement et contraintes patrimoniales.Mosquées et salles de prière musulmanes : Mosquées et salles de prière musulmanes : parc 2025 domine par directe mecanique (55%), avec directe electronique collective en appoint. Le choix reflete usage ponctuel avec pics offices/ceremonies et budgets patrimoniaux limites ; equipements simples, faible renouvellement et contraintes patrimoniales.Synagogues et oratoires juifs ouverts au public : Synagogues et oratoires juifs ouverts au public : parc 2025 domine par directe mecanique (50%), avec directe electronique collective en appoint. Le choix reflete usage ponctuel avec pics offices/ceremonies et budgets patrimoniaux limites ; equipements simples, faible renouvellement et contraintes patrimoniales.Temples bouddhistes, hindous et autres lieux de culte non abrahamiques ouverts au public : Temples bouddhistes, hindous et autres lieux de culte non abrahamiques ouverts au public : parc 2025 domine par directe mecanique (45%), avec directe electronique collective en appoint. Le choix reflete usage ponctuel avec pics offices/ceremonies et budgets patrimoniaux limites ; equipements simples, faible renouvellement et contraintes patrimoniales.Salles du Royaume, centres cultuels pluriconfessionnels et lieux de culte polyvalents : Salles du Royaume, centres cultuels pluriconfessionnels et lieux de culte polyvalents : parc 2025 domine par directe mecanique (55%), avec directe electronique collective en appoint. Le choix reflete usage ponctuel avec pics offices/ceremonies et budgets patrimoniaux limites ; equipements simples, faible renouvellement et contraintes patrimoniales.Locaux associatifs recevant du public : Locaux associatifs recevant du public (dotés de sanitaires) : parc 2025 domine par directe mecanique (50%), avec directe electronique collective en appoint. Le choix reflete usage local discontinu, pics lors d activites et forte contrainte budgetaire ; simplicite, mutualisation et maintenance communale.</t>
    </r>
  </si>
  <si>
    <r>
      <rPr>
        <b/>
        <sz val="9"/>
        <rFont val="Calibri"/>
      </rPr>
      <t>Mairies / hôtels de ville ; Bureaux administratifs secondaires non ERP &gt;50 salariés ; Hôtels du département Hôtels de région &amp; Services administratifs territoriaux ; Maisons du département / Maisons de la région / Antennes territoriales ; Sièges d’intercommunalité ; Rectorats / DSDEN ; Centres des finances publiques avec guichet ; CCAS / CIAS et guichets sociaux locaux autonomes ; CAF / Accueils Caf autonomes ; Églises, cathédrales, basiliques et chapelles ouvertes au public ; Temples protestants, évangéliques et salles de culte assimilées ; Synagogues et oratoires juifs ouverts au public ; Temples bouddhistes, hindous et autres lieux de culte non abrahamiques ouverts au public ; Locaux associatifs recevant du public</t>
    </r>
    <r>
      <rPr>
        <sz val="9"/>
        <rFont val="Calibri"/>
      </rPr>
      <t xml:space="preserve"> : 2025-2030 : progression de directe electronique indiv. (+3,0%), surtout lors des renov. lourdes/neuf ; recul de a reservoir (-2,0%) mais maintien d un socle robuste pour les remplacements partiels.Préfectures / services administratifs ; Maisons France Services / Guichets publics autonomes ou dédiés : Progression modérée de l’automatique dans les rénovations des bâtiments publics ; recul des réservoirs les plus anciens.Points d’accueil numérique dédiés / autonomes : Sans objet : pas de trajectoire 2025-2030 a modeliser pour les urinoirs.Monastères, abbayes et couvents ouverts au public : 2025-2030 : évolution lente ; mécanique majoritaire, électronique progresse marginalement sur sites touristiques rénovés ou espaces d’accueil modernisés.Mosquées et salles de prière musulmanes ; Salles du Royaume, centres cultuels pluriconfessionnels et lieux de culte polyvalents : 2025-2030 : progression de directe electronique indiv. (+2,0%), surtout lors des renov. lourdes/neuf ; recul de directe electronique collective (-1,0%) mais maintien d un socle robuste pour les remplacements partiels.</t>
    </r>
  </si>
  <si>
    <r>
      <rPr>
        <b/>
        <sz val="9"/>
        <rFont val="Calibri"/>
      </rPr>
      <t>Mairies / hôtels de ville</t>
    </r>
    <r>
      <rPr>
        <sz val="9"/>
        <rFont val="Calibri"/>
      </rPr>
      <t xml:space="preserve"> : Mairies / hôtels de ville : parc 2025 domine par reservoir (55%), avec chasse directe mecanique en appoint. Le choix reflete accueil public de jour, flux moderes et renov. liees aux programmes patrimoniaux ; accessibilite, image institutionnelle et maintenance sobre.Bureaux administratifs secondaires non ERP &gt;50 salariés : Bureaux administratifs secondaires non ERP &gt;50 salariés : parc 2025 domine par chasse directe mecanique (50%), avec reservoir en appoint. Le choix reflete accueil public de jour, flux moderes et renov. liees aux programmes patrimoniaux ; accessibilite, image institutionnelle et maintenance sobre.Hôtels du département Hôtels de région &amp; Services administratifs territoriaux : Hôtels du département Hôtels de région &amp; Services administratifs territoriaux : parc 2025 domine par reservoir (55%), avec chasse directe mecanique en appoint. Le choix reflete accueil public de jour, flux moderes et renov. liees aux programmes patrimoniaux ; accessibilite, image institutionnelle et maintenance sobre.Maisons du département / Maisons de la région / Antennes territoriales : Maisons du département / Maisons de la région / Antennes territoriales : parc 2025 domine par reservoir (55%), avec chasse directe mecanique en appoint. Le choix reflete usage collectif regulier, contraintes de maintenance et arbitrages budgetaires ; robustesse, hygiene et cout global restent prioritaires.Préfectures / services administratifs : Le réservoir demeure un peu majoritaire, avec une montée progressive des chasses directes et électroniques.Sièges d’intercommunalité : Sièges d’intercommunalité (hors France Services autonomes) : parc 2025 domine par reservoir (55%), avec chasse directe mecanique en appoint. Le choix reflete accueil public de jour, flux moderes et renov. liees aux programmes patrimoniaux ; accessibilite, image institutionnelle et maintenance sobre.Rectorats / DSDEN : Rectorats / DSDEN : parc 2025 domine par reservoir (55%), avec chasse directe mecanique en appoint. Le choix reflete accueil public de jour, flux moderes et renov. liees aux programmes patrimoniaux ; accessibilite, image institutionnelle et maintenance sobre.Maisons France Services / Guichets publics autonomes ou dédiés : Le réservoir domine encore ce petit parc tertiaire/public.Centres des finances publiques avec guichet : Centres des finances publiques avec guichet : parc 2025 domine par reservoir (55%), avec chasse directe mecanique en appoint. Le choix reflete accueil public de jour, flux moderes et renov. liees aux programmes patrimoniaux ; accessibilite, image institutionnelle et maintenance sobre.CCAS / CIAS et guichets sociaux locaux autonomes : CCAS / CIAS et guichets sociaux locaux autonomes : parc 2025 domine par reservoir (55%), avec chasse directe mecanique en appoint. Le choix reflete accueil public de jour, flux moderes et renov. liees aux programmes patrimoniaux ; accessibilite, image institutionnelle et maintenance sobre.Points d’accueil numérique dédiés / autonomes : Points d’accueil numérique dédiés / autonomes : parc 2025 domine par reservoir (55%), avec chasse directe mecanique en appoint. Le choix reflete usage collectif regulier, contraintes de maintenance et arbitrages budgetaires ; robustesse, hygiene et cout global restent prioritaires.CAF / Accueils Caf autonomes : CAF / Accueils Caf autonomes : parc 2025 domine par reservoir (55%), avec chasse directe mecanique en appoint. Le choix reflete accueil public de jour, flux moderes et renov. liees aux programmes patrimoniaux ; accessibilite, image institutionnelle et maintenance sobre.Églises, cathédrales, basiliques et chapelles ouvertes au public : Églises, cathédrales, basiliques et chapelles ouvertes au public : parc 2025 domine par reservoir (55%), avec chasse directe mecanique en appoint. Le choix reflete usage ponctuel avec pics offices/ceremonies et budgets patrimoniaux limites ; equipements simples, faible renouvellement et contraintes patrimoniales.Monastères, abbayes et couvents ouverts au public : Monastères, abbayes et couvents ouverts au public : parc 2025 domine par chasse directe mecanique (55%), avec reservoir en appoint. Le choix reflete usage ponctuel avec pics offices/ceremonies et budgets patrimoniaux limites ; equipements simples, faible renouvellement et contraintes patrimoniales.Temples protestants, évangéliques et salles de culte assimilées : Temples protestants, évangéliques et salles de culte assimilées : parc 2025 domine par reservoir (55%), avec chasse directe mecanique en appoint. Le choix reflete usage ponctuel avec pics offices/ceremonies et budgets patrimoniaux limites ; equipements simples, faible renouvellement et contraintes patrimoniales.Mosquées et salles de prière musulmanes : Mosquées et salles de prière musulmanes : parc 2025 domine par chasse directe mecanique (55%), avec reservoir en appoint. Le choix reflete usage ponctuel avec pics offices/ceremonies et budgets patrimoniaux limites ; equipements simples, faible renouvellement et contraintes patrimoniales.Synagogues et oratoires juifs ouverts au public : Synagogues et oratoires juifs ouverts au public : parc 2025 domine par reservoir (55%), avec chasse directe mecanique en appoint. Le choix reflete usage ponctuel avec pics offices/ceremonies et budgets patrimoniaux limites ; equipements simples, faible renouvellement et contraintes patrimoniales.Temples bouddhistes, hindous et autres lieux de culte non abrahamiques ouverts au public : Temples bouddhistes, hindous et autres lieux de culte non abrahamiques ouverts au public : parc 2025 domine par reservoir (60%), avec chasse directe mecanique en appoint. Le choix reflete usage ponctuel avec pics offices/ceremonies et budgets patrimoniaux limites ; equipements simples, faible renouvellement et contraintes patrimoniales.Salles du Royaume, centres cultuels pluriconfessionnels et lieux de culte polyvalents : Salles du Royaume, centres cultuels pluriconfessionnels et lieux de culte polyvalents : parc 2025 domine par chasse directe mecanique (55%), avec reservoir en appoint. Le choix reflete usage ponctuel avec pics offices/ceremonies et budgets patrimoniaux limites ; equipements simples, faible renouvellement et contraintes patrimoniales.Locaux associatifs recevant du public : Locaux associatifs recevant du public (dotés de sanitaires) : parc 2025 domine par reservoir (55%), avec chasse directe mecanique en appoint. Le choix reflete usage local discontinu, pics lors d activites et forte contrainte budgetaire ; simplicite, mutualisation et maintenance communale.</t>
    </r>
  </si>
  <si>
    <r>
      <rPr>
        <b/>
        <sz val="9"/>
        <rFont val="Calibri"/>
      </rPr>
      <t>Mairies / hôtels de ville ; Hôtels du département Hôtels de région &amp; Services administratifs territoriaux ; Maisons du département / Maisons de la région / Antennes territoriales ; Sièges d’intercommunalité ; Rectorats / DSDEN ; Centres des finances publiques avec guichet ; CCAS / CIAS et guichets sociaux locaux autonomes ; Points d’accueil numérique dédiés / autonomes ; CAF / Accueils Caf autonomes ; Églises, cathédrales, basiliques et chapelles ouvertes au public ; Temples protestants, évangéliques et salles de culte assimilées ; Synagogues et oratoires juifs ouverts au public ; Locaux associatifs recevant du public</t>
    </r>
    <r>
      <rPr>
        <sz val="9"/>
        <rFont val="Calibri"/>
      </rPr>
      <t xml:space="preserve"> : 2025-2030 : progression de chasse directe electronique (+5,0%), surtout lors des renov. lourdes/neuf ; recul de reservoir (-8,0%) mais maintien d un socle robuste pour les remplacements partiels.Bureaux administratifs secondaires non ERP &gt;50 salariés : 2025-2030 : progression de chasse directe electronique (+10,0%), surtout lors des renov. lourdes/neuf ; recul de reservoir (-10,0%) mais maintien d un socle robuste pour les remplacements partiels.Préfectures / services administratifs ; Maisons France Services / Guichets publics autonomes ou dédiés : Dans les bâtiments publics, le réservoir recule au profit du direct, puis de l’électronique sur les rénovations plus qualitatives.Monastères, abbayes et couvents ouverts au public ; Mosquées et salles de prière musulmanes ; Salles du Royaume, centres cultuels pluriconfessionnels et lieux de culte polyvalents : 2025-2030 : progression de chasse directe electronique (+7,0%), surtout lors des renov. lourdes/neuf ; recul de reservoir (-10,0%) mais maintien d un socle robuste pour les remplacements partiels.Temples bouddhistes, hindous et autres lieux de culte non abrahamiques ouverts au public : 2025-2030 : progression de chasse directe mecanique (+3,0%), surtout lors des renov. lourdes/neuf ; recul de reservoir (-5,0%) mais maintien d un socle robuste pour les remplacements partiels.</t>
    </r>
  </si>
  <si>
    <r>
      <rPr>
        <b/>
        <sz val="9"/>
        <rFont val="Calibri"/>
      </rPr>
      <t>Mairies / hôtels de ville ; Hôtels du département Hôtels de région &amp; Services administratifs territoriaux</t>
    </r>
    <r>
      <rPr>
        <sz val="9"/>
        <rFont val="Calibri"/>
      </rPr>
      <t xml:space="preserve"> : 77,4% retenu : besoins transformes en travaux selon accueil public de jour, flux moderes et renov. liees aux programmes patrimoniaux. Le phasage budgetaire, les fermetures partielles et la maintenance courante limitent la conversion totale.Bureaux administratifs secondaires non ERP &gt;50 salariés : 77,6% retenu : besoins transformes en travaux selon accueil public de jour, flux moderes et renov. liees aux programmes patrimoniaux. Le phasage budgetaire, les fermetures partielles et la maintenance courante limitent la conversion totale.Maisons du département / Maisons de la région / Antennes territoriales ; Points d’accueil numérique dédiés / autonomes : 77,2% retenu : besoins transformes en travaux selon usage collectif regulier, contraintes de maintenance et arbitrages budgetaires. Le phasage budgetaire, les fermetures partielles et la maintenance courante limitent la conversion totale.Préfectures / services administratifs ; Maisons France Services / Guichets publics autonomes ou dédiés : 86,2% retenu : part des besoins réellement transformée en travaux sur 2026-2030 après prise en compte des budgets, du phasage et des arbitrages locaux.Sièges d’intercommunalité ; Rectorats / DSDEN ; Centres des finances publiques avec guichet ; CCAS / CIAS et guichets sociaux locaux autonomes ; CAF / Accueils Caf autonomes : 76,8% retenu : besoins transformes en travaux selon accueil public de jour, flux moderes et renov. liees aux programmes patrimoniaux. Le phasage budgetaire, les fermetures partielles et la maintenance courante limitent la conversion totale.Églises,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74,0% retenu : besoins transformes en travaux selon usage ponctuel avec pics offices/ceremonies et budgets patrimoniaux limites. Le phasage budgetaire, les fermetures partielles et la maintenance courante limitent la conversion totale.Locaux associatifs recevant du public : 75,5% retenu : besoins transformes en travaux selon usage local discontinu, pics lors d activites et forte contrainte budgetaire. Le phasage budgetaire, les fermetures partielles et la maintenance courante limitent la conversion totale.</t>
    </r>
  </si>
  <si>
    <r>
      <rPr>
        <b/>
        <sz val="9"/>
        <rFont val="Calibri"/>
      </rPr>
      <t>Mairies / hôtels de ville ; Bureaux administratifs secondaires non ERP &gt;50 salariés ; Hôtels du département Hôtels de région &amp; Services administratifs territoriaux ; Sièges d’intercommunalité ; Rectorats / DSDEN ; Centres des finances publiques avec guichet ; CCAS / CIAS et guichets sociaux locaux autonomes ; CAF / Accueils Caf autonomes</t>
    </r>
    <r>
      <rPr>
        <sz val="9"/>
        <rFont val="Calibri"/>
      </rPr>
      <t xml:space="preserve"> : Potentiel renovation : tire par accessibilite, image institutionnelle et maintenance sobre. Les remplacements sont plutot par lots, avec arbitrage entre urgence sanitaire, budget et capacite a intervenir en site occupe.Maisons du département / Maisons de la région / Antennes territoriales ; Points d’accueil numérique dédiés / autonomes : Potentiel renovation : tire par robustesse, hygiene et cout global restent prioritaires. Les remplacements sont plutot par lots, avec arbitrage entre urgence sanitaire, budget et capacite a intervenir en site occupe.Préfectures / services administratifs : Potentiel rénovation moyen à soutenu : bâtiments publics souvent anciens, avec reprise des sanitaires lors de mises aux normes, d’améliorations énergétiques et d’accueil du public. Les lavabos et les WC portent l’essentiel des volumes, avec un poids secondaire des équipements spécialisés. En rénovation, le marché reste favorable aux gammes robustes et simples d’entretien, compatibles avec des chantiers par tranches et des budgets contraints.Maisons France Services / Guichets publics autonomes ou dédiés : Potentiel rénovation moyen à soutenu : adaptation de locaux existants pour améliorer l’accueil et la confidentialité, souvent par petits travaux rapides.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Potentiel renovation : tire par equipements simples, faible renouvellement et contraintes patrimoniales. Les remplacements sont plutot par lots, avec arbitrage entre urgence sanitaire, budget et capacite a intervenir en site occupe.Locaux associatifs recevant du public : Potentiel renovation : tire par simplicite, mutualisation et maintenance communale. Les remplacements sont plutot par lots, avec arbitrage entre urgence sanitaire, budget et capacite a intervenir en site occupe.</t>
    </r>
  </si>
  <si>
    <r>
      <rPr>
        <b/>
        <sz val="9"/>
        <rFont val="Calibri"/>
      </rPr>
      <t>Mairies / hôtels de ville</t>
    </r>
    <r>
      <rPr>
        <sz val="9"/>
        <rFont val="Calibri"/>
      </rPr>
      <t xml:space="preserve"> : Potentiel neuf : limite pour mairies / hôtels de ville, surtout via extensions, reconstructions ou projets locaux. Le neuf reste contraint par foncier, budgets et delais de mise en service.Bureaux administratifs secondaires non ERP &gt;50 salariés : Potentiel neuf : limite pour bureaux administratifs secondaires non erp &gt;50 salariés, surtout via extensions, reconstructions ou projets locaux. Le neuf reste contraint par foncier, budgets et delais de mise en service.Hôtels du département Hôtels de région &amp; Services administratifs territoriaux : Potentiel neuf : limite pour hôtels du département hôtels de région &amp; services administratifs territoriaux, surtout via extensions, reconstructions ou projets locaux. Le neuf reste contraint par foncier, budgets et delais de mise en service.Maisons du département / Maisons de la région / Antennes territoriales : Potentiel neuf : limite pour maisons du département / maisons de la région / antennes territoriales, surtout via extensions, reconstructions ou projets locaux. Le neuf reste contraint par foncier, budgets et delais de mise en service.Préfectures / services administratifs : Potentiel neuf faible : surtout via regroupements administratifs, reconstructions ou extensions ponctuelles. Le neuf est quasi nul dans le modèle et renvoie surtout à des reconstructions ou remplacements de sites.Sièges d’intercommunalité : Potentiel neuf : limite pour sièges d’intercommunalité (hors france services autonomes), surtout via extensions, reconstructions ou projets locaux. Le neuf reste contraint par foncier, budgets et delais de mise en service.Rectorats / DSDEN : Potentiel neuf : limite pour rectorats / dsden, surtout via extensions, reconstructions ou projets locaux. Le neuf reste contraint par foncier, budgets et delais de mise en service.Maisons France Services / Guichets publics autonomes ou dédiés : Potentiel neuf moyen : le maillage France services s’est fortement densifié et le marché bascule davantage vers l’optimisation de l’existant ; le neuf est significatif mais encore nettement inférieur à la rénovation.Centres des finances publiques avec guichet : Potentiel neuf : limite pour centres des finances publiques avec guichet, surtout via extensions, reconstructions ou projets locaux. Le neuf reste contraint par foncier, budgets et delais de mise en service.CCAS / CIAS et guichets sociaux locaux autonomes : Potentiel neuf : limite pour ccas / cias et guichets sociaux locaux autonomes, surtout via extensions, reconstructions ou projets locaux. Le neuf reste contraint par foncier, budgets et delais de mise en service.Points d’accueil numérique dédiés / autonomes : Potentiel neuf : limite pour points d’accueil numérique dédiés / autonomes, surtout via extensions, reconstructions ou projets locaux. Le neuf reste contraint par foncier, budgets et delais de mise en service.CAF / Accueils Caf autonomes : Potentiel neuf : limite pour caf / accueils caf autonomes, surtout via extensions, reconstructions ou projets locaux. Le neuf reste contraint par foncier, budgets et delais de mise en service.Églises, cathédrales, basiliques et chapelles ouvertes au public : Potentiel neuf : limite pour églises, cathédrales, basiliques et chapelles ouvertes au public, surtout via extensions, reconstructions ou projets locaux. Le neuf reste contraint par foncier, budgets et delais de mise en service.Monastères, abbayes et couvents ouverts au public : Potentiel neuf : limite pour monastères, abbayes et couvents ouverts au public, surtout via extensions, reconstructions ou projets locaux. Le neuf reste contraint par foncier, budgets et delais de mise en service.Temples protestants, évangéliques et salles de culte assimilées : Potentiel neuf : limite pour temples protestants, évangéliques et salles de culte assimilées, surtout via extensions, reconstructions ou projets locaux. Le neuf reste contraint par foncier, budgets et delais de mise en service.Mosquées et salles de prière musulmanes : Potentiel neuf : limite pour mosquées et salles de prière musulmanes, surtout via extensions, reconstructions ou projets locaux. Le neuf reste contraint par foncier, budgets et delais de mise en service.Synagogues et oratoires juifs ouverts au public : Potentiel neuf : limite pour synagogues et oratoires juifs ouverts au public, surtout via extensions, reconstructions ou projets locaux. Le neuf reste contraint par foncier, budgets et delais de mise en service.Temples bouddhistes, hindous et autres lieux de culte non abrahamiques ouverts au public : Potentiel neuf : limite pour temples bouddhistes, hindous et autres lieux de culte non abrahamiques ouverts au public, surtout via extensions, reconstructions ou projets locaux. Le neuf reste contraint par foncier, budgets et delais de mise en service.Salles du Royaume, centres cultuels pluriconfessionnels et lieux de culte polyvalents : Potentiel neuf : limite pour salles du royaume, centres cultuels pluriconfessionnels et lieux de culte polyvalents, surtout via extensions, reconstructions ou projets locaux. Le neuf reste contraint par foncier, budgets et delais de mise en service.Locaux associatifs recevant du public : Potentiel neuf : limite pour locaux associatifs recevant du public (dotés de sanitaires), surtout via extensions, reconstructions ou projets locaux. Le neuf reste contraint par foncier, budgets et delais de mise en service.</t>
    </r>
  </si>
  <si>
    <r>
      <rPr>
        <b/>
        <sz val="9"/>
        <rFont val="Calibri"/>
      </rPr>
      <t>Mairies / hôtels de ville ; Bureaux administratifs secondaires non ERP &gt;50 salariés ; Hôtels du département Hôtels de région &amp; Services administratifs territoriaux ; Maisons du département / Maisons de la région / Antennes territoriales ; Sièges d’intercommunalité ; Rectorats / DSDEN ; Centres des finances publiques avec guichet ; CCAS / CIAS et guichets sociaux locaux autonomes ; Points d’accueil numérique dédiés / autonomes ; CAF / Accueils Caf autonomes ; 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Locaux associatifs recevant du public</t>
    </r>
    <r>
      <rPr>
        <sz val="9"/>
        <rFont val="Calibri"/>
      </rPr>
      <t xml:space="preserve"> : Projets phares renovation : reprise de blocs sanitaires, accessibilite, ventilation, economie d eau, remplacement des pieces usees et adaptation aux pics de frequentation propres au sous-segment.Préfectures / services administratifs : Projets phares réno : sanitaires public/personnel, halls d’accueil, accessibilité, rénovation énergétique et confort d’été.Maisons France Services / Guichets publics autonomes ou dédiés : Projets phares réno : requalification de guichets, sanitaires public/personnel, accessibilité et amélioration de l’accueil physique.</t>
    </r>
  </si>
  <si>
    <r>
      <rPr>
        <b/>
        <sz val="9"/>
        <rFont val="Calibri"/>
      </rPr>
      <t>Mairies / hôtels de ville ; Bureaux administratifs secondaires non ERP &gt;50 salariés ; Hôtels du département Hôtels de région &amp; Services administratifs territoriaux ; Maisons du département / Maisons de la région / Antennes territoriales ; Sièges d’intercommunalité ; Rectorats / DSDEN ; Centres des finances publiques avec guichet ; CCAS / CIAS et guichets sociaux locaux autonomes ; Points d’accueil numérique dédiés / autonomes ; CAF / Accueils Caf autonomes ; 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Locaux associatifs recevant du public</t>
    </r>
    <r>
      <rPr>
        <sz val="9"/>
        <rFont val="Calibri"/>
      </rPr>
      <t xml:space="preserve"> : Projets phares neuf : creations ou reconstructions selectives, integration de sanitaires plus sobres, robustes et faciles a maintenir des la conception.Préfectures / services administratifs : Projets phares neuf : hôtels de ville reconstruits, cités administratives, extensions ou relocalisations de services.Maisons France Services / Guichets publics autonomes ou dédiés : Projets phares neuf : nouveaux guichets ou maisons France services, antennes en territoires carencés, relocalisations intégrées à d’autres services publics.</t>
    </r>
  </si>
  <si>
    <r>
      <rPr>
        <b/>
        <sz val="9"/>
        <rFont val="Calibri"/>
      </rPr>
      <t>Mairies / hôtels de ville ; Bureaux administratifs secondaires non ERP &gt;50 salariés ; Hôtels du département Hôtels de région &amp; Services administratifs territoriaux ; Maisons du département / Maisons de la région / Antennes territoriales ; Sièges d’intercommunalité ; Rectorats / DSDEN ; Centres des finances publiques avec guichet ; CCAS / CIAS et guichets sociaux locaux autonomes ; Points d’accueil numérique dédiés / autonomes ; CAF / Accueils Caf autonomes ; 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Locaux associatifs recevant du public</t>
    </r>
    <r>
      <rPr>
        <sz val="9"/>
        <rFont val="Calibri"/>
      </rPr>
      <t xml:space="preserve"> : Dynamique renovation 2026-2030 : moderee, car l usure et l hygiene rendent les interventions recurrentes. Menaces : arbitrages d investissement, travaux en exploitation et cout de maintenance.Préfectures / services administratifs : Dynamique réno 2026-2030 : soutenue par la sobriété énergétique et la modernisation de l’accueil, mais conditionnée par les finances publiques.Maisons France Services / Guichets publics autonomes ou dédiés : Dynamique réno 2026-2030 : plus lisible que le neuf, car beaucoup d’implantations se font dans l’existant avec petits budgets.</t>
    </r>
  </si>
  <si>
    <r>
      <rPr>
        <b/>
        <sz val="9"/>
        <rFont val="Calibri"/>
      </rPr>
      <t>Mairies / hôtels de ville ; Bureaux administratifs secondaires non ERP &gt;50 salariés ; Hôtels du département Hôtels de région &amp; Services administratifs territoriaux ; Maisons du département / Maisons de la région / Antennes territoriales ; Sièges d’intercommunalité ; Rectorats / DSDEN ; Centres des finances publiques avec guichet ; CCAS / CIAS et guichets sociaux locaux autonomes ; Points d’accueil numérique dédiés / autonomes ; CAF / Accueils Caf autonomes ; 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Locaux associatifs recevant du public</t>
    </r>
    <r>
      <rPr>
        <sz val="9"/>
        <rFont val="Calibri"/>
      </rPr>
      <t xml:space="preserve"> : Dynamique neuf 2026-2030 : faible a moderee, dependante des projets immobiliers, de la demographie locale et des budgets de maitrise d ouvrage.Préfectures / services administratifs : Dynamique neuf 2026-2030 : modérée à faible ; peu de programmes massifs hors opérations ciblées de réorganisation administrative.Maisons France Services / Guichets publics autonomes ou dédiés : Dynamique neuf 2026-2030 : encore réelle mais moins expansive qu’au lancement du programme ; elle dépend surtout des derniers vides territoriaux et des mutualisations.</t>
    </r>
  </si>
  <si>
    <r>
      <rPr>
        <b/>
        <sz val="9"/>
        <rFont val="Calibri"/>
      </rPr>
      <t>Mairies / hôtels de ville</t>
    </r>
    <r>
      <rPr>
        <sz val="9"/>
        <rFont val="Calibri"/>
      </rPr>
      <t xml:space="preserve"> ; </t>
    </r>
    <r>
      <rPr>
        <b/>
        <sz val="9"/>
        <rFont val="Calibri"/>
      </rPr>
      <t>Bureaux administratifs secondaires non ERP &gt;50 salariés</t>
    </r>
    <r>
      <rPr>
        <sz val="9"/>
        <rFont val="Calibri"/>
      </rPr>
      <t xml:space="preserve"> ; </t>
    </r>
    <r>
      <rPr>
        <b/>
        <sz val="9"/>
        <rFont val="Calibri"/>
      </rPr>
      <t>Hôtels du département Hôtels de région &amp; Services administratifs territoriaux</t>
    </r>
    <r>
      <rPr>
        <sz val="9"/>
        <rFont val="Calibri"/>
      </rPr>
      <t xml:space="preserve"> ; </t>
    </r>
    <r>
      <rPr>
        <b/>
        <sz val="9"/>
        <rFont val="Calibri"/>
      </rPr>
      <t>Maisons du département / Maisons de la région / Antennes territoriales</t>
    </r>
    <r>
      <rPr>
        <sz val="9"/>
        <rFont val="Calibri"/>
      </rPr>
      <t xml:space="preserve"> ; </t>
    </r>
    <r>
      <rPr>
        <b/>
        <sz val="9"/>
        <rFont val="Calibri"/>
      </rPr>
      <t>Préfectures / services administratifs</t>
    </r>
    <r>
      <rPr>
        <sz val="9"/>
        <rFont val="Calibri"/>
      </rPr>
      <t xml:space="preserve"> ; </t>
    </r>
    <r>
      <rPr>
        <b/>
        <sz val="9"/>
        <rFont val="Calibri"/>
      </rPr>
      <t>Sièges d’intercommunalité</t>
    </r>
    <r>
      <rPr>
        <sz val="9"/>
        <rFont val="Calibri"/>
      </rPr>
      <t xml:space="preserve"> ; </t>
    </r>
    <r>
      <rPr>
        <b/>
        <sz val="9"/>
        <rFont val="Calibri"/>
      </rPr>
      <t>Rectorats / DSDEN</t>
    </r>
    <r>
      <rPr>
        <sz val="9"/>
        <rFont val="Calibri"/>
      </rPr>
      <t xml:space="preserve"> ; </t>
    </r>
    <r>
      <rPr>
        <b/>
        <sz val="9"/>
        <rFont val="Calibri"/>
      </rPr>
      <t>Maisons France Services / Guichets publics autonomes ou dédiés</t>
    </r>
    <r>
      <rPr>
        <sz val="9"/>
        <rFont val="Calibri"/>
      </rPr>
      <t xml:space="preserve"> ; </t>
    </r>
    <r>
      <rPr>
        <b/>
        <sz val="9"/>
        <rFont val="Calibri"/>
      </rPr>
      <t>Centres des finances publiques avec guichet</t>
    </r>
    <r>
      <rPr>
        <sz val="9"/>
        <rFont val="Calibri"/>
      </rPr>
      <t xml:space="preserve"> ; </t>
    </r>
    <r>
      <rPr>
        <b/>
        <sz val="9"/>
        <rFont val="Calibri"/>
      </rPr>
      <t>CCAS / CIAS et guichets sociaux locaux autonomes</t>
    </r>
    <r>
      <rPr>
        <sz val="9"/>
        <rFont val="Calibri"/>
      </rPr>
      <t xml:space="preserve"> ; </t>
    </r>
    <r>
      <rPr>
        <b/>
        <sz val="9"/>
        <rFont val="Calibri"/>
      </rPr>
      <t>Points d’accueil numérique dédiés / autonomes</t>
    </r>
    <r>
      <rPr>
        <sz val="9"/>
        <rFont val="Calibri"/>
      </rPr>
      <t xml:space="preserve"> ; </t>
    </r>
    <r>
      <rPr>
        <b/>
        <sz val="9"/>
        <rFont val="Calibri"/>
      </rPr>
      <t>CAF / Accueils Caf autonomes</t>
    </r>
    <r>
      <rPr>
        <sz val="9"/>
        <rFont val="Calibri"/>
      </rPr>
      <t xml:space="preserve"> : </t>
    </r>
    <r>
      <rPr>
        <sz val="9"/>
        <rFont val="Calibri"/>
      </rPr>
      <t>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Locaux associatifs recevant du public :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t>
    </r>
  </si>
  <si>
    <r>
      <rPr>
        <b/>
        <sz val="9"/>
        <rFont val="Calibri"/>
      </rPr>
      <t>Mairies / hôtels de ville ; Bureaux administratifs secondaires non ERP &gt;50 salariés ; Hôtels du département Hôtels de région &amp; Services administratifs territoriaux ; Maisons du département / Maisons de la région / Antennes territoriales ; Préfectures / services administratifs ; Sièges d’intercommunalité ; Rectorats / DSDEN ; Maisons France Services / Guichets publics autonomes ou dédiés ; Centres des finances publiques avec guichet ; CCAS / CIAS et guichets sociaux locaux autonomes ; Points d’accueil numérique dédiés / autonomes ; CAF / Accueils Caf autonomes ; Locaux associatifs recevant du public</t>
    </r>
    <r>
      <rPr>
        <sz val="9"/>
        <rFont val="Calibri"/>
      </rPr>
      <t xml:space="preserve"> : BonneÉglises,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Moyenne +</t>
    </r>
  </si>
  <si>
    <r>
      <rPr>
        <b/>
        <sz val="9"/>
        <rFont val="Calibri"/>
      </rPr>
      <t>Mairies / hôtels de ville</t>
    </r>
    <r>
      <rPr>
        <sz val="9"/>
        <rFont val="Calibri"/>
      </rPr>
      <t xml:space="preserve"> : Parc existant centre sur le niveau mid, avec ventes 2026-2030 legerement plus qualitatives. Mairies / hôtels de ville : accueil public de jour, flux moderes et renov. liees aux programmes patrimoniaux; le mix reste guide par accessibilite, image institutionnelle et maintenance sobre.Bureaux administratifs secondaires non ERP &gt;50 salariés : Parc existant centre sur le niveau mid, avec ventes 2026-2030 legerement plus qualitatives. Bureaux administratifs secondaires non ERP &gt;50 salariés : accueil public de jour, flux moderes et renov. liees aux programmes patrimoniaux; le mix reste guide par accessibilite, image institutionnelle et maintenance sobre.Hôtels du département Hôtels de région &amp; Services administratifs territoriaux : Parc existant centre sur le niveau mid, avec ventes 2026-2030 legerement plus qualitatives. Hôtels du département Hôtels de région &amp; Services administratifs territoriaux : accueil public de jour, flux moderes et renov. liees aux programmes patrimoniaux; le mix reste guide par accessibilite, image institutionnelle et maintenance sobre.Maisons du département / Maisons de la région / Antennes territoriales : Parc existant centre sur le niveau standard, avec ventes 2026-2030 legerement plus qualitatives. Maisons du département / Maisons de la région / Antennes territoriales : usage collectif regulier, contraintes de maintenance et arbitrages budgetaires; le mix reste guide par robustesse, hygiene et cout global restent prioritaires.Préfectures / services administratifs : Parc existant surtout standard. Les ventes restent proches du parc, centré sur intermédiaire, du fait de budgets et de rénovations menées surtout par lots. La rénovation restant majoritaire, le mix de ventes reste proche du parc et monte surtout d’un cran sur les opérations lourdes. Administrations : parc plutôt standard, avec améliorations liées aux réhabilitations globales, à l’accessibilité et à l’accueil du public plus qu’à une recherche de luxe.Sièges d’intercommunalité : Parc existant centre sur le niveau mid, avec ventes 2026-2030 legerement plus qualitatives. Sièges d’intercommunalité (hors France Services autonomes) : accueil public de jour, flux moderes et renov. liees aux programmes patrimoniaux; le mix reste guide par accessibilite, image institutionnelle et maintenance sobre.Rectorats / DSDEN : Parc existant centre sur le niveau mid, avec ventes 2026-2030 legerement plus qualitatives. Rectorats / DSDEN : accueil public de jour, flux moderes et renov. liees aux programmes patrimoniaux; le mix reste guide par accessibilite, image institutionnelle et maintenance sobre.Maisons France Services / Guichets publics autonomes ou dédiés : Parc existant surtout intermédiaire / standard. Les ventes se décalent légèrement vers intermédiaire, du fait de budgets et de rénovations menées surtout par lots. Le neuf tire clairement le mix plus haut que la rénovation. Réseau récent et très standardisé : le neuf et les mises aux normes tirent plus nettement le confort vers le standard/intermédiaire.Centres des finances publiques avec guichet : Parc existant centre sur le niveau mid, avec ventes 2026-2030 legerement plus qualitatives. Centres des finances publiques avec guichet : accueil public de jour, flux moderes et renov. liees aux programmes patrimoniaux; le mix reste guide par accessibilite, image institutionnelle et maintenance sobre.CCAS / CIAS et guichets sociaux locaux autonomes : Parc existant centre sur le niveau mid, avec ventes 2026-2030 legerement plus qualitatives. CCAS / CIAS et guichets sociaux locaux autonomes : accueil public de jour, flux moderes et renov. liees aux programmes patrimoniaux; le mix reste guide par accessibilite, image institutionnelle et maintenance sobre.Points d’accueil numérique dédiés / autonomes : Parc existant centre sur le niveau standard, avec ventes 2026-2030 legerement plus qualitatives. Points d’accueil numérique dédiés / autonomes : usage collectif regulier, contraintes de maintenance et arbitrages budgetaires; le mix reste guide par robustesse, hygiene et cout global restent prioritaires.CAF / Accueils Caf autonomes : Parc existant centre sur le niveau mid, avec ventes 2026-2030 legerement plus qualitatives. CAF / Accueils Caf autonomes : accueil public de jour, flux moderes et renov. liees aux programmes patrimoniaux; le mix reste guide par accessibilite, image institutionnelle et maintenance sobre.Églises, cathédrales, basiliques et chapelles ouvertes au public : Parc existant centre sur le niveau standard, avec ventes 2026-2030 legerement plus qualitatives. Églises, cathédrales, basiliques et chapelles ouvertes au public : usage ponctuel avec pics offices/ceremonies et budgets patrimoniaux limites; le mix reste guide par equipements simples, faible renouvellement et contraintes patrimoniales.Monastères, abbayes et couvents ouverts au public : Parc existant centre sur le niveau standard, avec ventes 2026-2030 legerement plus qualitatives. Monastères, abbayes et couvents ouverts au public : usage ponctuel avec pics offices/ceremonies et budgets patrimoniaux limites; le mix reste guide par equipements simples, faible renouvellement et contraintes patrimoniales.Temples protestants, évangéliques et salles de culte assimilées : Parc existant centre sur le niveau standard, avec ventes 2026-2030 legerement plus qualitatives. Temples protestants, évangéliques et salles de culte assimilées : usage ponctuel avec pics offices/ceremonies et budgets patrimoniaux limites; le mix reste guide par equipements simples, faible renouvellement et contraintes patrimoniales.Mosquées et salles de prière musulmanes : Parc existant centre sur le niveau standard, avec ventes 2026-2030 legerement plus qualitatives. Mosquées et salles de prière musulmanes : usage ponctuel avec pics offices/ceremonies et budgets patrimoniaux limites; le mix reste guide par equipements simples, faible renouvellement et contraintes patrimoniales.Synagogues et oratoires juifs ouverts au public : Parc existant centre sur le niveau standard, avec ventes 2026-2030 legerement plus qualitatives. Synagogues et oratoires juifs ouverts au public : usage ponctuel avec pics offices/ceremonies et budgets patrimoniaux limites; le mix reste guide par equipements simples, faible renouvellement et contraintes patrimoniales.Temples bouddhistes, hindous et autres lieux de culte non abrahamiques ouverts au public : Parc existant centre sur le niveau standard, avec ventes 2026-2030 legerement plus qualitatives. Temples bouddhistes, hindous et autres lieux de culte non abrahamiques ouverts au public : usage ponctuel avec pics offices/ceremonies et budgets patrimoniaux limites; le mix reste guide par equipements simples, faible renouvellement et contraintes patrimoniales.Salles du Royaume, centres cultuels pluriconfessionnels et lieux de culte polyvalents : Parc existant centre sur le niveau standard, avec ventes 2026-2030 legerement plus qualitatives. Salles du Royaume, centres cultuels pluriconfessionnels et lieux de culte polyvalents : usage ponctuel avec pics offices/ceremonies et budgets patrimoniaux limites; le mix reste guide par equipements simples, faible renouvellement et contraintes patrimoniales.Locaux associatifs recevant du public : Parc existant centre sur le niveau standard, avec ventes 2026-2030 legerement plus qualitatives. Locaux associatifs recevant du public (dotés de sanitaires) : usage local discontinu, pics lors d activites et forte contrainte budgetaire; le mix reste guide par simplicite, mutualisation et maintenance communale.</t>
    </r>
  </si>
  <si>
    <r>
      <rPr>
        <b/>
        <sz val="9"/>
        <rFont val="Calibri"/>
      </rPr>
      <t>Mairies / hôtels de ville ; Bureaux administratifs secondaires non ERP &gt;50 salariés ; Hôtels du département Hôtels de région &amp; Services administratifs territoriaux ; Maisons du département / Maisons de la région / Antennes territoriales ; Préfectures / services administratifs ; Sièges d’intercommunalité ; Rectorats / DSDEN ; Maisons France Services / Guichets publics autonomes ou dédiés ; Centres des finances publiques avec guichet ; CCAS / CIAS et guichets sociaux locaux autonomes ; Points d’accueil numérique dédiés / autonomes ; CAF / Accueils Caf autonomes ; Locaux associatifs recevant du public</t>
    </r>
    <r>
      <rPr>
        <sz val="9"/>
        <rFont val="Calibri"/>
      </rPr>
      <t xml:space="preserve"> : ±4 ptsÉglises,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±5 pts</t>
    </r>
  </si>
  <si>
    <r>
      <rPr>
        <b/>
        <sz val="9"/>
        <rFont val="Calibri"/>
      </rPr>
      <t>Mairies / hôtels de ville ; Bureaux administratifs secondaires non ERP &gt;50 salariés ; Hôtels du département Hôtels de région &amp; Services administratifs territoriaux ; Maisons du département / Maisons de la région / Antennes territoriales ; Préfectures / services administratifs ; Sièges d’intercommunalité ; Rectorats / DSDEN ; Centres des finances publiques avec guichet ; CCAS / CIAS et guichets sociaux locaux autonomes ; Points d’accueil numérique dédiés / autonomes ; CAF / Accueils Caf autonomes ; Locaux associatifs recevant du public</t>
    </r>
    <r>
      <rPr>
        <sz val="9"/>
        <rFont val="Calibri"/>
      </rPr>
      <t xml:space="preserve"> : ±4 ptsMaisons France Services / Guichets publics autonomes ou dédiés ; 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±5 pts</t>
    </r>
  </si>
  <si>
    <r>
      <rPr>
        <b/>
        <sz val="9"/>
        <rFont val="Calibri"/>
      </rPr>
      <t>Mairies / hôtels de ville ; Bureaux administratifs secondaires non ERP &gt;50 salariés ; Hôtels du département Hôtels de région &amp; Services administratifs territoriaux ; Sièges d’intercommunalité ; Rectorats / DSDEN ; Centres des finances publiques avec guichet ; CCAS / CIAS et guichets sociaux locaux autonomes ; CAF / Accueils Caf autonomes</t>
    </r>
    <r>
      <rPr>
        <sz val="9"/>
        <rFont val="Calibri"/>
      </rPr>
      <t xml:space="preserve"> : Parc existant : accessibilite, image institutionnelle et maintenance sobre; accueil public de jour, flux moderes et renov. liees aux programmes patrimoniaux. La montee en confort reste proportionnee au budget et au rythme de renovation.Maisons du département / Maisons de la région / Antennes territoriales ; Points d’accueil numérique dédiés / autonomes : Parc existant : robustesse, hygiene et cout global restent prioritaires; usage collectif regulier, contraintes de maintenance et arbitrages budgetaires. La montee en confort reste proportionnee au budget et au rythme de renovation.Préfectures / services administratifs : Administrations : parc plutôt standard, avec améliorations liées aux réhabilitations globales, à l’accessibilité et à l’accueil du public plus qu’à une recherche de luxe.Maisons France Services / Guichets publics autonomes ou dédiés : Réseau récent et très standardisé : le neuf et les mises aux normes tirent plus nettement le confort vers le standard/intermédiaire.Églises,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Parc existant : equipements simples, faible renouvellement et contraintes patrimoniales; usage ponctuel avec pics offices/ceremonies et budgets patrimoniaux limites. La montee en confort reste proportionnee au budget et au rythme de renovation.Locaux associatifs recevant du public : Parc existant : simplicite, mutualisation et maintenance communale; usage local discontinu, pics lors d activites et forte contrainte budgetaire. La montee en confort reste proportionnee au budget et au rythme de renovation.</t>
    </r>
  </si>
  <si>
    <r>
      <rPr>
        <b/>
        <sz val="9"/>
        <rFont val="Calibri"/>
      </rPr>
      <t>Mairies / hôtels de ville ; Bureaux administratifs secondaires non ERP &gt;50 salariés ; Hôtels du département Hôtels de région &amp; Services administratifs territoriaux</t>
    </r>
    <r>
      <rPr>
        <sz val="9"/>
        <rFont val="Calibri"/>
      </rPr>
      <t xml:space="preserve"> : image client =&gt; premiumisation cibleeMaisons du département / Maisons de la région / Antennes territoriales ; Sièges d’intercommunalité ; Rectorats / DSDEN ; Centres des finances publiques avec guichet ; CCAS / CIAS et guichets sociaux locaux autonomes ; Points d’accueil numérique dédiés / autonomes ; CAF / Accueils Caf autonomes ; 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Locaux associatifs recevant du public : renovation dominante =&gt; progression graduellePréfectures / services administratifs : image d’accueil ⇒ intermédiaire/premium ↑ ; rénovation dominante ⇒ progression graduelleMaisons France Services / Guichets publics autonomes ou dédiés : image d’accueil ⇒ intermédiaire/premium ↑ ; poids du neuf significatif ⇒ premiumisation des ventes &gt; parc</t>
    </r>
  </si>
  <si>
    <r>
      <rPr>
        <b/>
        <sz val="9"/>
        <rFont val="Calibri"/>
      </rPr>
      <t>Mairies / hôtels de ville</t>
    </r>
    <r>
      <rPr>
        <sz val="9"/>
        <rFont val="Calibri"/>
      </rPr>
      <t xml:space="preserve"> : Mairies / hôtels de ville : ventes 2026-2030 en leger glissement vers moyen/premium lorsque le neuf ou les renov. lourdes interviennent. Le centre de gravite reste toutefois module par accessibilite, image institutionnelle et maintenance sobre et par la part dominante de travaux sur parc existant.Bureaux administratifs secondaires non ERP &gt;50 salariés : Bureaux administratifs secondaires non ERP &gt;50 salariés : ventes 2026-2030 en leger glissement vers moyen/premium lorsque le neuf ou les renov. lourdes interviennent. Le centre de gravite reste toutefois module par accessibilite, image institutionnelle et maintenance sobre et par la part dominante de travaux sur parc existant.Hôtels du département Hôtels de région &amp; Services administratifs territoriaux : Hôtels du département Hôtels de région &amp; Services administratifs territoriaux : ventes 2026-2030 en leger glissement vers moyen/premium lorsque le neuf ou les renov. lourdes interviennent. Le centre de gravite reste toutefois module par accessibilite, image institutionnelle et maintenance sobre et par la part dominante de travaux sur parc existant.Maisons du département / Maisons de la région / Antennes territoriales : Maisons du département / Maisons de la région / Antennes territoriales : ventes 2026-2030 en leger glissement vers moyen/premium lorsque le neuf ou les renov. lourdes interviennent. Le centre de gravite reste toutefois module par robustesse, hygiene et cout global restent prioritaires et par la part dominante de travaux sur parc existant.Préfectures / services administratifs : Préfectures / services administratifs : préfectures et centres administratifs plus institutionnels, avec qualité visible dans les espaces d’accueil. Ventes 2026-2030 : glissement vers davantage de moyen / premium, surtout sur lavabo (+8,5 pts sur premium+luxe), WC (+6,8 pts sur premium+luxe), urinoir (+4,4 pts sur premium+luxe). La rénovation reste majoritaire (81% des ventes, contre 19% en neuf) ; le neuf tire le mix vers le haut sans renverser le centre de gravité. L’écart de niveau de confort entre neuf et rénovation est net.Sièges d’intercommunalité : Sièges d’intercommunalité (hors France Services autonomes) : ventes 2026-2030 en leger glissement vers moyen/premium lorsque le neuf ou les renov. lourdes interviennent. Le centre de gravite reste toutefois module par accessibilite, image institutionnelle et maintenance sobre et par la part dominante de travaux sur parc existant.Rectorats / DSDEN : Rectorats / DSDEN : ventes 2026-2030 en leger glissement vers moyen/premium lorsque le neuf ou les renov. lourdes interviennent. Le centre de gravite reste toutefois module par accessibilite, image institutionnelle et maintenance sobre et par la part dominante de travaux sur parc existant.Maisons France Services / Guichets publics autonomes ou dédiés : Ventes 2026-2030 : glissement vers davantage de moyen / premium, surtout sur lavabo (+28,4 pts sur premium+luxe), WC (+24,6 pts sur premium+luxe), urinoir (+18,1 pts sur premium+luxe). Le neuf représente 66% des ventes contre 34% en rénovation et tire nettement le mix vers le haut. L’écart de niveau de confort entre neuf et rénovation est net.Centres des finances publiques avec guichet : Centres des finances publiques avec guichet : ventes 2026-2030 en leger glissement vers moyen/premium lorsque le neuf ou les renov. lourdes interviennent. Le centre de gravite reste toutefois module par accessibilite, image institutionnelle et maintenance sobre et par la part dominante de travaux sur parc existant.CCAS / CIAS et guichets sociaux locaux autonomes : CCAS / CIAS et guichets sociaux locaux autonomes : ventes 2026-2030 en leger glissement vers moyen/premium lorsque le neuf ou les renov. lourdes interviennent. Le centre de gravite reste toutefois module par accessibilite, image institutionnelle et maintenance sobre et par la part dominante de travaux sur parc existant.Points d’accueil numérique dédiés / autonomes : Points d’accueil numérique dédiés / autonomes : ventes 2026-2030 en leger glissement vers moyen/premium lorsque le neuf ou les renov. lourdes interviennent. Le centre de gravite reste toutefois module par robustesse, hygiene et cout global restent prioritaires et par la part dominante de travaux sur parc existant.CAF / Accueils Caf autonomes : CAF / Accueils Caf autonomes : ventes 2026-2030 en leger glissement vers moyen/premium lorsque le neuf ou les renov. lourdes interviennent. Le centre de gravite reste toutefois module par accessibilite, image institutionnelle et maintenance sobre et par la part dominante de travaux sur parc existant.Églises, cathédrales, basiliques et chapelles ouvertes au public : Églises, cathédrales, basiliques et chapelles ouvertes au public : ventes 2026-2030 en leger glissement vers moyen/premium lorsque le neuf ou les renov. lourdes interviennent. Le centre de gravite reste toutefois module par equipements simples, faible renouvellement et contraintes patrimoniales et par la part dominante de travaux sur parc existant.Monastères, abbayes et couvents ouverts au public : Monastères, abbayes et couvents ouverts au public : ventes 2026-2030 en leger glissement vers moyen/premium lorsque le neuf ou les renov. lourdes interviennent. Le centre de gravite reste toutefois module par equipements simples, faible renouvellement et contraintes patrimoniales et par la part dominante de travaux sur parc existant.Temples protestants, évangéliques et salles de culte assimilées : Temples protestants, évangéliques et salles de culte assimilées : ventes 2026-2030 en leger glissement vers moyen/premium lorsque le neuf ou les renov. lourdes interviennent. Le centre de gravite reste toutefois module par equipements simples, faible renouvellement et contraintes patrimoniales et par la part dominante de travaux sur parc existant.Mosquées et salles de prière musulmanes : Mosquées et salles de prière musulmanes : ventes 2026-2030 en leger glissement vers moyen/premium lorsque le neuf ou les renov. lourdes interviennent. Le centre de gravite reste toutefois module par equipements simples, faible renouvellement et contraintes patrimoniales et par la part dominante de travaux sur parc existant.Synagogues et oratoires juifs ouverts au public : Synagogues et oratoires juifs ouverts au public : ventes 2026-2030 en leger glissement vers moyen/premium lorsque le neuf ou les renov. lourdes interviennent. Le centre de gravite reste toutefois module par equipements simples, faible renouvellement et contraintes patrimoniales et par la part dominante de travaux sur parc existant.Temples bouddhistes, hindous et autres lieux de culte non abrahamiques ouverts au public : Temples bouddhistes, hindous et autres lieux de culte non abrahamiques ouverts au public : ventes 2026-2030 en leger glissement vers moyen/premium lorsque le neuf ou les renov. lourdes interviennent. Le centre de gravite reste toutefois module par equipements simples, faible renouvellement et contraintes patrimoniales et par la part dominante de travaux sur parc existant.Salles du Royaume, centres cultuels pluriconfessionnels et lieux de culte polyvalents : Salles du Royaume, centres cultuels pluriconfessionnels et lieux de culte polyvalents : ventes 2026-2030 en leger glissement vers moyen/premium lorsque le neuf ou les renov. lourdes interviennent. Le centre de gravite reste toutefois module par equipements simples, faible renouvellement et contraintes patrimoniales et par la part dominante de travaux sur parc existant.Locaux associatifs recevant du public : Locaux associatifs recevant du public (dotés de sanitaires) : ventes 2026-2030 en leger glissement vers moyen/premium lorsque le neuf ou les renov. lourdes interviennent. Le centre de gravite reste toutefois module par simplicite, mutualisation et maintenance communale et par la part dominante de travaux sur parc existant.</t>
    </r>
  </si>
  <si>
    <t>1 - Transport / Mobilité
2 - Matériel roulant / Transport mobile</t>
  </si>
  <si>
    <t>1 - Aires de service - Autoroutes
2 - Aires de repos - Autoroutes
3 - Parcs de stationnement couverts
4 - Aéroports / aérogares
5 - Gares ferroviaires et stations
6 - Ports de plaisance / capitaineries
7 - Terminaux maritimes / fluviaux
8 - Aéronefs commerciaux
9 - Rames ferroviaires voyageurs
10 - Ferries et navires à passagers
11 - Autocars</t>
  </si>
  <si>
    <r>
      <rPr>
        <b/>
        <sz val="9"/>
        <rFont val="Calibri"/>
      </rPr>
      <t>Aires de service - Autoroutes ; Aires de repos - Autoroutes ; Aéroports / aérogares ; Ports de plaisance / capitaineries ; Terminaux maritimes / fluviaux</t>
    </r>
    <r>
      <rPr>
        <sz val="9"/>
        <rFont val="Calibri"/>
      </rPr>
      <t xml:space="preserve"> : VariableParcs de stationnement couverts : PSGares ferroviaires et stations : PA ou variableAéronefs commerciaux ; Rames ferroviaires voyageurs ; Ferries et navires à passagers ; Autocars : Hors ERP</t>
    </r>
  </si>
  <si>
    <r>
      <rPr>
        <b/>
        <sz val="9"/>
        <rFont val="Calibri"/>
      </rPr>
      <t>Aires de service - Autoroutes ; Aires de repos - Autoroutes ; Ports de plaisance / capitaineries</t>
    </r>
    <r>
      <rPr>
        <sz val="9"/>
        <rFont val="Calibri"/>
      </rPr>
      <t xml:space="preserve"> : Ensemble mixteParcs de stationnement couverts ; Gares ferroviaires et stations : ERP spécialAéroports / aérogares ; Terminaux maritimes / fluviaux : Ensemble multi-classementsAéronefs commerciaux ; Rames ferroviaires voyageurs ; Ferries et navires à passagers ; Autocars : Hors champ établissement mobile</t>
    </r>
  </si>
  <si>
    <r>
      <rPr>
        <b/>
        <sz val="9"/>
        <rFont val="Calibri"/>
      </rPr>
      <t>Aires de service - Autoroutes ; Aires de repos - Autoroutes ; Aéroports / aérogares ; Ports de plaisance / capitaineries ; Terminaux maritimes / fluviaux</t>
    </r>
    <r>
      <rPr>
        <sz val="9"/>
        <rFont val="Calibri"/>
      </rPr>
      <t xml:space="preserve"> : mixteParcs de stationnement couverts ; Gares ferroviaires et stations : ERPAéronefs commerciaux ; Rames ferroviaires voyageurs ; Ferries et navires à passagers ; Autocars : hors ERP</t>
    </r>
  </si>
  <si>
    <r>
      <rPr>
        <b/>
        <sz val="9"/>
        <rFont val="Calibri"/>
      </rPr>
      <t>Aires de service - Autoroutes ; Aires de repos - Autoroutes ; Ports de plaisance / capitaineries ; Terminaux maritimes / fluviaux</t>
    </r>
    <r>
      <rPr>
        <sz val="9"/>
        <rFont val="Calibri"/>
      </rPr>
      <t xml:space="preserve"> : variableParcs de stationnement couverts ; Aéroports / aérogares ; Gares ferroviaires et stations ; Aéronefs commerciaux ; Rames ferroviaires voyageurs ; Ferries et navires à passagers ; Autocars : oui</t>
    </r>
  </si>
  <si>
    <r>
      <rPr>
        <b/>
        <sz val="9"/>
        <rFont val="Calibri"/>
      </rPr>
      <t>Aires de service - Autoroutes</t>
    </r>
    <r>
      <rPr>
        <sz val="9"/>
        <rFont val="Calibri"/>
      </rPr>
      <t xml:space="preserve"> : Le bâtiment de boutique/restauration se classe selon son activité dominante.Aires de repos - Autoroutes : Les bâtiments ouverts au public se classent selon leur usage.Parcs de stationnement couverts : Parkings couverts recevant du public et disposant de sanitaires collectifs identifiables ; exclusion des parkings couverts sans toilettes publiques/personnel dédiées.Aéroports / aérogares : Les terminaux recevant du public relèvent d’un classement par bâtiments et usages.Gares ferroviaires et stations : Gares et espaces d’accueil associés.Ports de plaisance / capitaineries : Sites recevant plaisanciers et visiteurs avec sanitaires, douches et accueil ; hors simple quai sans bâtiment recevant du public.Terminaux maritimes / fluviaux : Classement selon bâtiment et activité dominante.Aéronefs commerciaux : Minimum documenté à partir des flottes explicitement quantifiées dans les sources consultées (Air France 50 A220 + 40 A350, Transavia France 90, French bee 6). Le total réel France est supérieur. Non comparable à un décompte de sites.Rames ferroviaires voyageurs : Quantification minimale documentée à partir des programmes SNCF cités (environ 1 000 rames TER modernisées + 104 rames TGV O2D). Le parc réel France est supérieur. Non comparable à un décompte de sites.Ferries et navires à passagers : Périmètre partiel documenté : navires à passagers de plus de 100 UMS sous pavillon français ; les unités côtières plus petites peuvent s'y ajouter. Non comparable à un décompte de sites.Autocars : Quantification de la flotte France d'autocars en circulation. Tous ne sont pas nécessairement équipés de WC ; à suivre séparément si tu veux ensuite restreindre au sous-ensemble longue distance/tourisme.</t>
    </r>
  </si>
  <si>
    <r>
      <rPr>
        <b/>
        <sz val="9"/>
        <rFont val="Calibri"/>
      </rPr>
      <t>Aires de service - Autoroutes</t>
    </r>
    <r>
      <rPr>
        <sz val="9"/>
        <rFont val="Calibri"/>
      </rPr>
      <t xml:space="preserve"> : Station-service autoroutière ou urbaineAires de repos - Autoroutes : Aire de repos, aire de servicesParcs de stationnement couverts : Parking silo couvertAéroports / aérogares : Terminal passagers, aérogareGares ferroviaires et stations : Gare SNCF, gare routière, grande stationPorts de plaisance / capitaineries : Port de plaisance, capitainerie, halte fluviale équipéeTerminaux maritimes / fluviaux : Terminal ferry, gare fluvialeAéronefs commerciaux : Avion de ligne, avion charter passagers. (Aéronef commercial passagers exploité par transporteurs français ou basés France, avec sanitaires à bord).Rames ferroviaires voyageurs : TGV, Intercités, train de nuit, rame TER équipéeFerries et navires à passagers : Ferry, navire à passagers, bateau d’excursionAutocars : Autocar de tourisme longue distance</t>
    </r>
  </si>
  <si>
    <r>
      <rPr>
        <b/>
        <sz val="9"/>
        <rFont val="Calibri"/>
      </rPr>
      <t>Aires de service - Autoroutes ; Aires de repos - Autoroutes ; Parcs de stationnement couverts ; Aéroports / aérogares ; Gares ferroviaires et stations ; Ports de plaisance / capitaineries ; Terminaux maritimes / fluviaux ; Aéronefs commerciaux ; Rames ferroviaires voyageurs ; Autocars</t>
    </r>
    <r>
      <rPr>
        <sz val="9"/>
        <rFont val="Calibri"/>
      </rPr>
      <t xml:space="preserve"> : nonFerries et navires à passagers : variable</t>
    </r>
  </si>
  <si>
    <r>
      <rPr>
        <b/>
        <sz val="9"/>
        <rFont val="Calibri"/>
      </rPr>
      <t>Aires de service - Autoroutes ; Aires de repos - Autoroutes ; Parcs de stationnement couverts ; Aéroports / aérogares ; Gares ferroviaires et stations ; Ports de plaisance / capitaineries ; Terminaux maritimes / fluviaux ; Aéronefs commerciaux ; Rames ferroviaires voyageurs ; Ferries et navires à passagers</t>
    </r>
    <r>
      <rPr>
        <sz val="9"/>
        <rFont val="Calibri"/>
      </rPr>
      <t xml:space="preserve"> : ouiAutocars : variable</t>
    </r>
  </si>
  <si>
    <r>
      <rPr>
        <b/>
        <sz val="9"/>
        <rFont val="Calibri"/>
      </rPr>
      <t>Aires de service - Autoroutes ; Aires de repos - Autoroutes ; Parcs de stationnement couverts ; Aéroports / aérogares ; Gares ferroviaires et stations ; Ports de plaisance / capitaineries ; Terminaux maritimes / fluviaux</t>
    </r>
    <r>
      <rPr>
        <sz val="9"/>
        <rFont val="Calibri"/>
      </rPr>
      <t xml:space="preserve"> : Site
Etablissement principalAéronefs commerciaux : AéronefRames ferroviaires voyageurs : Rame / voitureFerries et navires à passagers : NavireAutocars : Véhicule</t>
    </r>
  </si>
  <si>
    <r>
      <rPr>
        <b/>
        <sz val="9"/>
        <rFont val="Calibri"/>
      </rPr>
      <t>Aires de service - Autoroutes</t>
    </r>
    <r>
      <rPr>
        <sz val="9"/>
        <rFont val="Calibri"/>
      </rPr>
      <t xml:space="preserve"> : série publique directeAires de repos - Autoroutes : sous-espace / proxy non additifParcs de stationnement couverts ; Aéroports / aérogares ; Gares ferroviaires et stations ; Ports de plaisance / capitaineries ; Terminaux maritimes / fluviaux : proxy public / estimation encadréeAéronefs commerciaux ; Rames ferroviaires voyageurs : minimum documenté / non additifFerries et navires à passagers : série publique partielle / non additifAutocars : série publique directe / non additif</t>
    </r>
  </si>
  <si>
    <r>
      <rPr>
        <b/>
        <sz val="9"/>
        <rFont val="Calibri"/>
      </rPr>
      <t>Aires de service - Autoroutes ; Aires de repos - Autoroutes ; Parcs de stationnement couverts ; Aéroports / aérogares</t>
    </r>
    <r>
      <rPr>
        <sz val="9"/>
        <rFont val="Calibri"/>
      </rPr>
      <t xml:space="preserve"> : ElevéGares ferroviaires et stations ; Ports de plaisance / capitaineries ; Terminaux maritimes / fluviaux ; Aéronefs commerciaux ; Rames ferroviaires voyageurs ; Ferries et navires à passagers ; Autocars : Moyenne</t>
    </r>
  </si>
  <si>
    <r>
      <rPr>
        <b/>
        <sz val="9"/>
        <rFont val="Calibri"/>
      </rPr>
      <t>Aires de service - Autoroutes</t>
    </r>
    <r>
      <rPr>
        <sz val="9"/>
        <rFont val="Calibri"/>
      </rPr>
      <t xml:space="preserve"> : Pas de stagnation structurelle : la série évolue à la baisse sur la période 2000-2026 ; la projection prolonge cette tendance avec prudence.Aires de repos - Autoroutes : Série varie peu car suit un stock principal administré et non un marché autonome. Pour 1 établissement doté de sanitaires recevant du public, la logique pertinente est celle du site autoroutier multi-services.Parcs de stationnement couverts : Série évolue à la hausse sur la période 2000-2026. Minorité équipée de sanitaires collectifs (ordre de grandeur retenu ~18 % en 2025-2026). Réglementat° ERP de type PS ne les impose pas universellement ; l’accessibilité ne vise les sanitaires que lorsqu’ils existent.Aéroports / aérogares ; Terminaux maritimes / fluviaux : Faute de série nationale homogène publiée annuellement pour cette sous-catégorie, le proxy est lissé ; la faible variation reflète une prudence méthodologique.Gares ferroviaires et stations : Ancrage sur 1 075 gares 'LOM' (les plus équipées) sur 3000 gares au total (2026) . Le parc national de gares voyageurs varie peu. Stabilité reflète stock d’infra. lourdes dont les évolutionssont limitées.Ports de plaisance / capitaineries : Ports de plaisance / capitaineries dont les sanitaires publics ou partagés avec les visiteurs. Simples capitaineries techniques ou sites réservés aux plaisanciers abonnés, sans accueil public structuré, exclus.Aéronefs commerciaux : Rebond post-Covid puis croissance prudente portée par renouvellement de flotte et trafic, mais limitée par coûts, sobriété carbone et disponibilités constructeurs.Rames ferroviaires voyageurs : Unité = rame voyageurs nationale/régionale longue ou moyenne distance, avec sanitaires à bord selon matériel : mélange TGV, Intercités, TER et matériels franciliens équipés.Ferries et navires à passagers : Unité = navire à passagers/ferry sous pavillon français &gt;100 UMS (navires côtiers très petits exclus. Surface = espaces intérieurs voyageurs/services/sanitaires d'un mix ferries et navires passagers, très variable.Autocars : Les toilettes sont concentrées sur les autocars tourisme / grand tourisme / premium (standard, scolaires et une large part de l'interurbain n'en ont pas).</t>
    </r>
  </si>
  <si>
    <r>
      <rPr>
        <b/>
        <sz val="9"/>
        <rFont val="Calibri"/>
      </rPr>
      <t>Aires de service - Autoroutes</t>
    </r>
    <r>
      <rPr>
        <sz val="9"/>
        <rFont val="Calibri"/>
      </rPr>
      <t xml:space="preserve"> : BPE 2024 stations-service. Dynamique projetée 2027-2030: baisse lente. Fiabilité: bonne. Risque de doublon: oui si addition avec la catégorie parente ou avec des sous-espaces d’un même site.Aires de repos - Autoroutes : proxy aires de repos et de services sur réseaux concédés. Dynamique projetée 2027-2030: stable. Fiabilité: bonne. Risque de doublon: oui si addition avec la catégorie parente ou avec des sous-espaces d’un même site.Parcs de stationnement couverts : proxy parkings couverts publics/commerciaux. Dynamique projetée 2027-2030: hausse légère. Fiabilité: moyenne.Aéroports / aérogares : proxy aérodromes ouverts au trafic commercial et terminaux. Dynamique projetée 2027-2030: stable. Fiabilité: moyenne.Gares ferroviaires et stations : Montée progressive parc gares équipées, accélération 2018-2024 =&gt;programmes de confort + accessibilité, léger creux 2020, puis reprise lente. Hausse modérée =&gt; petites haltes restent sans sanitaires.Ports de plaisance / capitaineries : Ancrage fort  : Observatoire Ports de plaisance. Rapport 2018 recense 785 ports hexagonaux dont 47 ultramarins sur périmètre maritime spécifique. Project° 2026-30 prudente.Terminaux maritimes / fluviaux : proxy ports passagers et gares fluviales. Dynamique projetée 2027-2030: stable. Fiabilité: moyenne.Aéronefs commerciaux : Projection 2026-2030 prudente : +1,7 à +1,9 %/an, davantage par renouvellement/capacité que par forte hausse du nombre d'appareils.Rames ferroviaires voyageurs : Hausse lente, liée aux commandes de matériels neufs et au développement de l'offre ferroviaire, mais freinée par durée de vie élevée des rames et contraintes industrielles.Ferries et navires à passagers : Quasi-stabilité à légère hausse, avec renouvellement et quelques entrées, mais pas d'expansion massive du parc.Autocars : Progression lente du sous-parc équipé, portée par la montée en gamme, le tourisme et le renouvellement, sans changement d'échelle car le parc total d'autocars reste quasi stable.</t>
    </r>
  </si>
  <si>
    <r>
      <rPr>
        <b/>
        <sz val="9"/>
        <rFont val="Calibri"/>
      </rPr>
      <t>Aires de service - Autoroutes</t>
    </r>
    <r>
      <rPr>
        <sz val="9"/>
        <rFont val="Calibri"/>
      </rPr>
      <t xml:space="preserve"> : https://www.insee.fr/fr/statistiques/8610258?geo=FE-1Aires de repos - Autoroutes : https://www.autoroutes.fr/fr/aires-de-services/Parcs de stationnement couverts : https://www.insee.fr/fr/metadonnees/source/serie/s1161
https://www.legifrance.gouv.fr/codes/section_lc/JORFTEXT000000290033/LEGISCTA000020370857/2025-03-27/
https://www.ecologie.gouv.fr/politiques-publiques/laccessibilite-etablissements-recevant-du-public-erp
https://www.cerema.fr/fr/actualites/panorama-du-stationnement-public-parc-enseignements-enquete
https://www.insee.fr/fr/statistiques/7768216
https://www.effia.com/parking/parking-gare-de-vitre-effiaAéroports / aérogares : https://www.ecologie.gouv.fr/aviation-commercialeGares ferroviaires et stations : https://www.garesetconnexions.sncf/fr/nos-metiers | https://www.garesetconnexions.sncf/fr/faq/services/toilettes-sont-elles-presentes-ma-gare-000001219 | https://www.garesetconnexions.sncf/fr/journaliste/toilettes-gares-dile-france | https://www.sncf-reseau.com/accessibilite/rapport-accessibilite-2018/index.html | https://ressources.data.sncf.com/explore/dataset/stationnement-securise-velo-en-gare-au-30-06-24/
https://www.groupe-sncf.com/fr/groupe/portrait-entreprise/groupe-societes/sncf-gares-et-connexions/frequentation-garePorts de plaisance / capitaineries : https://www.eaufrance.fr/chiffres-cles/nombre-de-ports-de-plaisance-en-2015 ; https://www.eaufrance.fr/chiffres-cles/nombre-de-ports-de-plaisance-en-2018 ; https://www.mer.gouv.fr/sites/default/files/2021-03/Observatoire-des-ports-de-plaisance_rapport-enquete-2018.pdf ; https://www.mer.gouv.fr/lobservatoire-des-ports-de-plaisance ; https://www.mer.gouv.fr/sites/default/files/2026-01/opp-rapport-preliminaire-de-l-enquete-2025.pdfTerminaux maritimes / fluviaux : https://www.ecologie.gouv.fr/transports-maritimeAéronefs commerciaux : Air France flotte 2025 : https://corporate.airfrance.com/a-propos-air-france/chiffres-cles ; flotte Air France 2023 : https://fr.scribd.com/document/859479901/SOCIETE-AIR-FRANCE-Comptes-consolides-2023Rames ferroviaires voyageurs : Commande TGV M SNCF 2026 : https://www.groupe-sncf.com/fr/groupe/portrait-entreprise/groupe-societes/sncf-voyageurs/commande-15-tgv-m-alstom ; transports ferrés voyageurs Insee : https://www.insee.fr/fr/statistiques/2016150Ferries et navires à passagers : SDES chiffres clés transports 2025 : https://www.statistiques.developpement-durable.gouv.fr/edition-numerique/chiffres-cles-transports/fr/34-materiel-de-transport ; flotte française juillet 2025 : https://www.mer.gouv.fr/sites/default/files/2026-01/flotte-de-commerce-juillet-2025.pdfAutocars : https://www.statistiques.developpement-durable.gouv.fr/66-600-autocars-et-28-000-autobus-en-circulation-au-1er-janvier-2025
https://www.flixbus.fr/services/services-a-bord
https://newsroom.blablacar.fr/news/pour-les-10-ans-de-la-liberalisation-du-bus-blablacar-bus-dresse-le-bilan-de-ses-lignes-au-niveau-national ; https://caretbusnews.fr/les-infos/autocar/autocar-expo-2024-blablacar-mise-sur-le-hvo-et-le-b100/ ; https://www.blablacar.fr/bus/routes/paris-2/concarneau-2
https://www.sticentre.fr/notre-parc-de-vehicules
https://viabus.fr/notre-flotte-de-vehicules/
https://busgroupe.fr/flotte/autocars-grand-tourisme/</t>
    </r>
  </si>
  <si>
    <r>
      <rPr>
        <b/>
        <sz val="9"/>
        <rFont val="Calibri"/>
      </rPr>
      <t>Aires de service - Autoroutes</t>
    </r>
    <r>
      <rPr>
        <sz val="9"/>
        <rFont val="Calibri"/>
      </rPr>
      <t xml:space="preserve"> : Aire de service : bloc voyageurs + personnel/restauration.Aires de repos - Autoroutes : Aire de repos : batteries publiques seulement.Parcs de stationnement couverts : Parking couvert : petit bloc public/usagers + local exploitation.Aéroports / aérogares : Aérogare : blocs publics par zone + personnel ; hors salons privatifs.Gares ferroviaires et stations : Gare/station : batteries voyageurs + sanitaires personnel/exploitation.Ports de plaisance / capitaineries : Port de plaisance/capitainerie : sanitaires plaisanciers + douches/vestiaires et staff.Terminaux maritimes / fluviaux : Terminal maritime/fluvial : blocs publics + personnel d'exploitation.Aéronefs commerciaux : Aéronef commercial : lavatories embarqués passagers + équipage, sans douches.Rames ferroviaires voyageurs : Rame ferroviaire voyageurs : toilettes embarquées, dont équipement accessible selon matériel.Ferries et navires à passagers : Ferry/navire à passagers : WC passagers + douches/lavabos si traversée et cabines non privatives.Autocars : Autocar équipé : WC embarqué unique, usage ponctuel ; pas de douche.</t>
    </r>
  </si>
  <si>
    <r>
      <rPr>
        <b/>
        <sz val="9"/>
        <rFont val="Calibri"/>
      </rPr>
      <t>Aires de service - Autoroutes</t>
    </r>
    <r>
      <rPr>
        <sz val="9"/>
        <rFont val="Calibri"/>
      </rPr>
      <t xml:space="preserve"> : Capacité type ≈ 66 usagers principaux + 8 staff + 6 chauffeurs accompagnants/prestataires. Le programme sanitaire est construit par blocs fonctionnels plausibles (public, personnel, exploitation/hébergement selon le cas) et non par simple ratio national moyen. Calibrage selon capacité simultanée, répartition de flux et organisation réelle du site.Aires de repos - Autoroutes : Capacité type ≈ 492 usagers principaux + 60 staff + 48 chauffeurs accompagnants/prestataires. Le programme sanitaire est construit par blocs fonctionnels plausibles (public, personnel, exploitation/hébergement selon le cas) et non par simple ratio national moyen. Calibrage selon capacité simultanée, répartition de flux et organisation réelle du site.Parcs de stationnement couverts : Capacité type ≈ 45 usagers principaux + 4 staff + 1 autre public. Usage court, flux diffus et personnel réduit. Dimensionnement unitaire retenu : sanitaire public accessible près accueil/caisse + sanitaire personnel. Hypothèse d'usage : capacité simultanée moyenne 2026, répartition par flux réels, arrondie par blocs fonctionnels et exclusion des sanitaires strictement privatifs sauf cas explicitement collectifs.Aéroports / aérogares : Capacité type ≈ 2870 usagers principaux + 350 staff + 280 agents/visiteurs techniques. Le programme sanitaire est construit par blocs fonctionnels plausibles (public, personnel, exploitation/hébergement selon le cas) et non par simple ratio national moyen. Calibrage selon capacité simultanée, répartition de flux et organisation réelle du site.Gares ferroviaires et stations : Capacité type ≈ 700 usagers principaux + 70 staff + 30 autre public. Flux voyageurs concentré aux quais, correspondances et halls ; rotation rapide. Dimensionnement unitaire retenu : blocs publics par hall/quais + staff, PMR selon zones accessibles. Hypothèse d'usage : capacité simultanée moyenne 2026, répartition par flux réels, arrondie par blocs fonctionnels et exclusion des sanitaires strictement privatifs sauf cas explicitement collectifs.Ports de plaisance / capitaineries : Capacité type ≈ 64 usagers principaux + 12 staff + 4 autre public. Plaisanciers, visiteurs et capitainerie, usage douche concentré matin/soir. Dimensionnement unitaire retenu : blocs WC/douches par bassin ou capitainerie, staff séparé. Hypothèse d'usage : capacité simultanée moyenne 2026, répartition par flux réels, arrondie par blocs fonctionnels et exclusion des sanitaires strictement privatifs sauf cas explicitement collectifs.Terminaux maritimes / fluviaux : Capacité type ≈ 984 usagers principaux + 120 staff + 96 visiteurs techniques/prestataires. Le programme sanitaire est construit par blocs fonctionnels plausibles (public, personnel, exploitation/hébergement selon le cas) et non par simple ratio national moyen. Calibrage selon capacité simultanée, répartition de flux et organisation réelle du site.Aéronefs commerciaux : Capacité type ≈ 170 usagers principaux + 8 staff + 2 autre public. Capacité moyenne d'un appareil commercial court/moyen courrier avec équipage. Dimensionnement unitaire retenu : ratio d'exploitation de plusieurs lavatories par cabine, dimensionné par places assises et durée de vol. Hypothèse d'usage : capacité simultanée moyenne 2026, répartition par flux réels, arrondie par blocs fonctionnels et exclusion des sanitaires strictement privatifs sauf cas explicitement collectifs.Rames ferroviaires voyageurs : Capacité type ≈ 470 usagers principaux + 25 staff + 5 autre public. Capacité d'une rame voyageurs moyenne, forte rotation et temps de trajet variable. Dimensionnement unitaire retenu : plusieurs WC embarqués répartis par rame/voiture, avec au moins un module accessible sur matériels adaptés. Hypothèse d'usage : capacité simultanée moyenne 2026, répartition par flux réels, arrondie par blocs fonctionnels et exclusion des sanitaires strictement privatifs sauf cas explicitement collectifs.Ferries et navires à passagers : Capacité type ≈ 800 usagers principaux + 80 staff + 20 autre public. Traversées avec passagers, équipage et services hôteliers/garage. Dimensionnement unitaire retenu : WC par tranche de passagers selon durée, lavabos/douches suffisants pour passagers sans sanitaires privatifs. Hypothèse d'usage : capacité simultanée moyenne 2026, répartition par flux réels, arrondie par blocs fonctionnels et exclusion des sanitaires strictement privatifs sauf cas explicitement collectifs.Autocars : Capacité type ≈ 49 usagers principaux + 1 staff + 0 autre public. Autocar longue distance ou tourisme avec une cabine sanitaire et conducteur. Dimensionnement unitaire retenu : 1 WC embarqué pour l'ensemble des passagers, complété par pauses/aires de service. Hypothèse d'usage : capacité simultanée moyenne 2026, répartition par flux réels, arrondie par blocs fonctionnels et exclusion des sanitaires strictement privatifs sauf cas explicitement collectifs.</t>
    </r>
  </si>
  <si>
    <r>
      <rPr>
        <b/>
        <sz val="9"/>
        <rFont val="Calibri"/>
      </rPr>
      <t>Aires de service - Autoroutes ; Ports de plaisance / capitaineries</t>
    </r>
    <r>
      <rPr>
        <sz val="9"/>
        <rFont val="Calibri"/>
      </rPr>
      <t xml:space="preserve"> : Profil moyen, capacité moyenne ≈ 80 personnes. Moyenne pondérée terrain : parc majoritairement petits/moyens sites, grands sites intégrés sans surpondération ; usage 2025 forte à très forte.Aires de repos - Autoroutes : Profil grand, capacité moyenne ≈ 600 personnes. Moyenne pondérée terrain : parc majoritairement petits/moyens sites, grands sites intégrés sans surpondération ; usage 2025 forte à très forte.Parcs de stationnement couverts ; Autocars : Profil petit, capacité moyenne ≈ 50 personnes. Moyenne pondérée terrain : parc majoritairement petits/moyens sites, grands sites intégrés sans surpondération ; usage 2025 forte à très forte.Aéroports / aérogares : Profil très grand, capacité moyenne ≈ 3500 personnes. Moyenne pondérée terrain : parc majoritairement petits/moyens sites, grands sites intégrés sans surpondération ; usage 2025 forte à très forte.Gares ferroviaires et stations : Profil grand, capacité moyenne ≈ 800 personnes. Moyenne pondérée terrain : parc majoritairement petits/moyens sites, grands sites intégrés sans surpondération ; usage 2025 forte à très forte.Terminaux maritimes / fluviaux : Profil très grand, capacité moyenne ≈ 1200 personnes. Moyenne pondérée terrain : parc majoritairement petits/moyens sites, grands sites intégrés sans surpondération ; usage 2025 forte à très forte.Aéronefs commerciaux : Profil moyen, capacité moyenne ≈ 180 personnes. Moyenne pondérée terrain : parc majoritairement petits/moyens sites, grands sites intégrés sans surpondération ; usage 2025 forte à très forte.Rames ferroviaires voyageurs : Profil grand, capacité moyenne ≈ 500 personnes. Moyenne pondérée terrain : parc majoritairement petits/moyens sites, grands sites intégrés sans surpondération ; usage 2025 forte à très forte.Ferries et navires à passagers : Profil grand, capacité moyenne ≈ 900 personnes. Moyenne pondérée terrain : parc majoritairement petits/moyens sites, grands sites intégrés sans surpondération ; usage 2025 forte à très forte.</t>
    </r>
  </si>
  <si>
    <r>
      <rPr>
        <b/>
        <sz val="9"/>
        <rFont val="Calibri"/>
      </rPr>
      <t>Aires de service - Autoroutes ; Aires de repos - Autoroutes ; Aéroports / aérogares ; Terminaux maritimes / fluviaux</t>
    </r>
    <r>
      <rPr>
        <sz val="9"/>
        <rFont val="Calibri"/>
      </rPr>
      <t xml:space="preserve"> : Code du travail (sanitaires et vestiaires staff) + programmation ERP/usages d'exploitation ; source de comptage propre à la ligne en col. AP.Parcs de stationnement couverts : ERP/accessibilité sanitaires publics : https://www.legifrance.gouv.fr/loda/article_lc/LEGIARTI000034485966/ ; Code du travail sanitaires salariés : https://www.legifrance.gouv.fr/codes/id/LEGISCTA000018531984 ; INRS : https://www.inrs.fr/publications/juridique/focus-juridiques/focus-sanitaires-toilettes.htmlGares ferroviaires et stations ; Ports de plaisance / capitaineries ; Rames ferroviaires voyageurs ; Ferries et navires à passagers ; Autocars : ERP/accessibilité : https://www.legifrance.gouv.fr/loda/article_lc/LEGIARTI000034485966/ ; SNCF accessibilité à bord : https://www.sncf-voyageurs.com/fr/voyagez-avec-nous/preparez-votre-voyage/accessibilite/equipements-daccessibilite-a-bord/ ; Navires à passagers : https://www.legifrance.gouv.fr/codes/section_lc/JORFTEXT000000841523/LEGISCTA000027071095/ ; Code du travail : https://www.legifrance.gouv.fr/codes/id/LEGISCTA000018531984Aéronefs commerciaux : EASA lavatories : https://www.easa.europa.eu/en/faq/115319 ; DOT accessible lavatories single-aisle aircraft : https://www.transportation.gov/airconsumer/final-rule-accessible-lavatories-single-aisle-aircraft-PDF ; hypothèse d'exploitation selon configurations cabine courantes.</t>
    </r>
  </si>
  <si>
    <r>
      <rPr>
        <b/>
        <sz val="9"/>
        <rFont val="Calibri"/>
      </rPr>
      <t>Aires de service - Autoroutes</t>
    </r>
    <r>
      <rPr>
        <sz val="9"/>
        <rFont val="Calibri"/>
      </rPr>
      <t xml:space="preserve"> : Très forte fréquentation, usage anonyme, nettoyage intensif et vandalisme tangible. Les temporisés mécaniques et chasses directes mécaniques gardent l'avantage réel. L'électronique est limitée surtout par capteurs, piles/secteur et interventions plus lourdes. Les remplacements sont souvent planifiés par campagne de remise à niveau des sanitaires. Commerce / transport / parkings / sanitaires publics très intensifs : Très forte fréquentation, disponibilité immédiate requise, vandalisme et coûts d’exploitation élevés. La temporisation mécanique et la chasse directe sont favorisées.Aires de repos - Autoroutes ; Aéroports / aérogares : Fréquentation élevée et quasi continue, avec exigence de disponibilité permanente. Les durées restent légèrement supérieures aux aires d'autoroute mais inférieures aux bureaux. Le mécanique simple garde un avantage structurel. Les remplacements sont souvent pilotés par zone terminale ou batterie sanitaire. Commerce / transport / parkings / sanitaires publics très intensifs : Très forte fréquentation, disponibilité immédiate requise, vandalisme et coûts d’exploitation élevés. La temporisation mécanique et la chasse directe sont favorisées.Parcs de stationnement couverts : Usage anonyme, faible surveillance, humidité/odeurs et vandalisme; maintenance souvent sous-traitée. Proche toilettes publiques abritées, inférieur aux gares surveillées. Repères durées: lavabos 10/11/8 ans (mit./méca/élec.), douches 8/8/7, urinoirs 8/10/7/9, WC 10/11/8.Gares ferroviaires et stations : Flux très élevé, pics pendulaires et usage anonyme; maintenance présente mais vandalisme et nettoyage intensif. Proche aéroports, souvent plus bas par environnement ouvert. Fréquentation élevée et quasi continue, avec exigence de disponibilité permanente. Les durées restent légèrement supérieures aux aires d'autoroute mais inférieures aux bureaux. Le mécanique simple garde un avantage structurel. Très forte fréquentation, disponibilité immédiate requise, vandalisme et coûts d’exploitation élevés. La temporisation mécanique et la chasse directe sont favorisées.Ports de plaisance / capitaineries : Saisonnalité, humidité saline, douches plaisanciers et remises en service; maintenance capitainerie. Proche bases nautiques, corrosion forte mais public plus soigneux. Repères durées: lavabos 10/11/8 ans (mit./méca/élec.), douches 8/8/7, urinoirs 8/10/7/9, WC 10/11/8.Terminaux maritimes / fluviaux : Usage diffus, entretien régulier et qualité de finition plus élevée que dans les ERP de transit. Les durées de vie sont donc au-dessus de la moyenne. L'électronique reste plus courte si elle existe, surtout hors contrats de maintenance dédiés. Le remplacement se fait souvent par chambre ou par lot lors des rénovations d'étage. Moins de cycles annuels mais conditions climatiques/corrosives, hivernage et remises en service. maintenance concentrée et hétérogène.Aéronefs commerciaux : Milieu embarqué, vibrations, contraintes poids/maintenance et cycles courts d'exploitation; sanitaires compacts très sollicités. Prudence, renouvellement lors visites lourdes ou rétrofits. Repères durées: lavabos 10/11/8 ans (mit./méca/élec.), douches 8/8/7, urinoirs 8/10/7/9, WC 10/11/8.Rames ferroviaires voyageurs : Usage mobile, vibrations, vandalisme possible et maintenance en dépôt; eau limitée et cycles de nettoyage rapides. Proche gares, mais contraintes embarquées réduisent électronique/douches. Repères durées: lavabos 10/11/8 ans (mit./méca/élec.), douches 8/8/7, urinoirs 8/10/7/9, WC 10/11/8.Ferries et navires à passagers : Humidité saline, vibrations, pics d'embarquement et maintenance en arrêt technique. Proche ports/plaisance mais usage passagers plus intensif et corrosion supérieure. Repères durées: lavabos 10/11/8 ans (mit./méca/élec.), douches 8/8/7, urinoirs 8/10/7/9, WC 10/11/8.Autocars : Sanitaire embarqué compact, vibrations, nettoyage limité et usage ponctuel mais agressif; accès maintenance restreint. Prudence, surtout électronique et réservoirs. Repères durées: lavabos 10/11/8 ans (mit./méca/élec.), douches 8/8/7, urinoirs 8/10/7/9, WC 10/11/8.</t>
    </r>
  </si>
  <si>
    <r>
      <rPr>
        <b/>
        <sz val="9"/>
        <rFont val="Calibri"/>
      </rPr>
      <t>Aires de service - Autoroutes</t>
    </r>
    <r>
      <rPr>
        <sz val="9"/>
        <rFont val="Calibri"/>
      </rPr>
      <t xml:space="preserve"> : Dans les aires de service, l’électronique est déjà élevée sur les lavabos publics, mais le temporisé mécanique reste très présent dans le stock.Aires de repos - Autoroutes : Les aires de repos ont un parc public déjà assez modernisé, mais encore partagé entre temporisé mécanique, électronique et mitigeurs simples.Parcs de stationnement couverts : Parcs de stationnement couverts (dotés de sanitaires) : parc 2025 domine par tempo mecanique (76%), avec mitigeur manuel en appoint. Le choix reflete flux voyageurs eleves, pics de transit et maintenance sous contrainte d ouverture ; debit, anti-vandalisme, hygiene percue et disponibilite continue.Aéroports / aérogares : Les aéroports sont l’un des segments les plus avancés en électronique sur le parc existant, sans faire totalement disparaître le temporisé mécanique sur les zones secondaires.Gares ferroviaires et stations : Gares ferroviaires et stations (dotés de sanitaires) : parc 2025 domine par tempo mecanique (76%), avec mitigeur manuel en appoint. Le choix reflete flux voyageurs eleves, pics de transit et maintenance sous contrainte d ouverture ; debit, anti-vandalisme, hygiene percue et disponibilite continue.Ports de plaisance / capitaineries : Ports de plaisance / capitaineries : parc 2025 domine par tempo mecanique (76%), avec mitigeur manuel en appoint. Le choix reflete flux voyageurs eleves, pics de transit et maintenance sous contrainte d ouverture ; debit, anti-vandalisme, hygiene percue et disponibilite continue.Terminaux maritimes / fluviaux : Les terminaux maritimes/fluviaux ont un parc un peu moins standardisé que les aéroports/gares, avec une part plus forte d’équipements spécifiques ou anciens.Aéronefs commerciaux : Aéronefs commerciaux : parc 2025 domine par tempo mecanique (76%), avec mitigeur manuel en appoint. Le choix reflete espace embarque contraint, cycles de flotte et maintenance immobilisante ; compacite, fiabilite embarquee et cout d immobilisation.Rames ferroviaires voyageurs : Rames ferroviaires voyageurs : parc 2025 domine par tempo mecanique (76%), avec mitigeur manuel en appoint. Le choix reflete espace embarque contraint, cycles de flotte et maintenance immobilisante ; compacite, fiabilite embarquee et cout d immobilisation.Ferries et navires à passagers : Ferries et navires à passagers : parc 2025 domine par tempo mecanique (76%), avec mitigeur manuel en appoint. Le choix reflete espace embarque contraint, cycles de flotte et maintenance immobilisante ; compacite, fiabilite embarquee et cout d immobilisation.Autocars : Autocars (dotés de sanitaires collectifs) : parc 2025 domine par tempo mecanique (76%), avec mitigeur manuel en appoint. Le choix reflete espace embarque contraint, cycles de flotte et maintenance immobilisante ; compacite, fiabilite embarquee et cout d immobilisation.</t>
    </r>
  </si>
  <si>
    <r>
      <rPr>
        <b/>
        <sz val="9"/>
        <rFont val="Calibri"/>
      </rPr>
      <t>Aires de service - Autoroutes ; Aires de repos - Autoroutes ; Aéroports / aérogares ; Terminaux maritimes / fluviaux</t>
    </r>
    <r>
      <rPr>
        <sz val="9"/>
        <rFont val="Calibri"/>
      </rPr>
      <t xml:space="preserve"> : Transport et stationnement voient une montée plus rapide de l’électronique 2025-2030 pour l’hygiène, l’image et l’exploitation ; le temporisé reste présent mais recule un peu dans les sites modernisés.Parcs de stationnement couverts ; Gares ferroviaires et stations ; Ports de plaisance / capitaineries ; Aéronefs commerciaux ; Rames ferroviaires voyageurs ; Ferries et navires à passagers ; Autocars : 2025-2030 : progression de tempo electronique (+2,0%), surtout lors des renov. lourdes/neuf ; recul de mitigeur manuel (-2,0%) mais maintien d un socle robuste pour les remplacements partiels.</t>
    </r>
  </si>
  <si>
    <r>
      <rPr>
        <b/>
        <sz val="9"/>
        <rFont val="Calibri"/>
      </rPr>
      <t>Aires de service - Autoroutes</t>
    </r>
    <r>
      <rPr>
        <sz val="9"/>
        <rFont val="Calibri"/>
      </rPr>
      <t xml:space="preserve"> : Les rares douches du parc existant restent majoritairement à mitigeur/thermostatique, la temporisation venant ensuite.Aires de repos - Autoroutes ; Parcs de stationnement couverts ; Aéronefs commerciaux ; Rames ferroviaires voyageurs ; Autocars : Sans objet.Aéroports / aérogares : Les douches éventuelles restent mixtes entre mitigeur/temporisé et électronique dans les zones premium ou équipages.Gares ferroviaires et stations : Gares ferroviaires et stations (dotés de sanitaires) : parc 2025 domine par tempo mecanique (80%), avec mitigeur en appoint. Le choix reflete flux voyageurs eleves, pics de transit et maintenance sous contrainte d ouverture ; debit, anti-vandalisme, hygiene percue et disponibilite continue.Ports de plaisance / capitaineries : Ports de plaisance / capitaineries : parc 2025 domine par tempo mecanique (80%), avec mitigeur en appoint. Le choix reflete flux voyageurs eleves, pics de transit et maintenance sous contrainte d ouverture ; debit, anti-vandalisme, hygiene percue et disponibilite continue.Terminaux maritimes / fluviaux : Les rares douches restent mixtes entre mitigeur, temporisé et électronique.Ferries et navires à passagers : Ferries et navires à passagers : parc 2025 domine par tempo mecanique (80%), avec mitigeur en appoint. Le choix reflete espace embarque contraint, cycles de flotte et maintenance immobilisante ; compacite, fiabilite embarquee et cout d immobilisation.</t>
    </r>
  </si>
  <si>
    <r>
      <rPr>
        <b/>
        <sz val="9"/>
        <rFont val="Calibri"/>
      </rPr>
      <t>Aires de service - Autoroutes ; Aéroports / aérogares ; Terminaux maritimes / fluviaux</t>
    </r>
    <r>
      <rPr>
        <sz val="9"/>
        <rFont val="Calibri"/>
      </rPr>
      <t xml:space="preserve"> : Quand des douches existent, elles suivent une trajectoire de rénovation lente ; le mix reste surtout mécanique.Aires de repos - Autoroutes ; Parcs de stationnement couverts ; Aéronefs commerciaux ; Rames ferroviaires voyageurs ; Autocars : Sans objet.Gares ferroviaires et stations ; Ports de plaisance / capitaineries ; Ferries et navires à passagers : 2025-2030 : progression de tempo mecanique (+2,0%), surtout lors des renov. lourdes/neuf ; recul de mitigeur (-3,0%) mais maintien d un socle robuste pour les remplacements partiels.</t>
    </r>
  </si>
  <si>
    <r>
      <rPr>
        <b/>
        <sz val="9"/>
        <rFont val="Calibri"/>
      </rPr>
      <t>Aires de service - Autoroutes</t>
    </r>
    <r>
      <rPr>
        <sz val="9"/>
        <rFont val="Calibri"/>
      </rPr>
      <t xml:space="preserve"> : Les urinoirs automatiques sont très présents sur ce segment, sans avoir totalement remplacé le parc mécanique/direct.Aires de repos - Autoroutes : L’automatique est fréquent, mais le parc existant conserve encore beaucoup de chasses directes et quelques collectifs.Parcs de stationnement couverts : Parcs de stationnement couverts (dotés de sanitaires) : parc 2025 domine par directe mecanique (55%), avec directe electronique collective en appoint. Le choix reflete flux voyageurs eleves, pics de transit et maintenance sous contrainte d ouverture ; debit, anti-vandalisme, hygiene percue et disponibilite continue.Aéroports / aérogares : L’automatique domine très nettement le parc d’urinoirs d’aéroport.Gares ferroviaires et stations : Gares ferroviaires et stations (dotés de sanitaires) : parc 2025 domine par directe mecanique (55%), avec directe electronique collective en appoint. Le choix reflete flux voyageurs eleves, pics de transit et maintenance sous contrainte d ouverture ; debit, anti-vandalisme, hygiene percue et disponibilite continue.Ports de plaisance / capitaineries : Ports de plaisance / capitaineries : parc 2025 domine par directe mecanique (55%), avec directe electronique collective en appoint. Le choix reflete flux voyageurs eleves, pics de transit et maintenance sous contrainte d ouverture ; debit, anti-vandalisme, hygiene percue et disponibilite continue.Terminaux maritimes / fluviaux : Le parc d’urinoirs est partagé entre automatique et direct mécanique.Aéronefs commerciaux ; Rames ferroviaires voyageurs ; Autocars : Sans objet : pas de urinoirs collectif dimensionne dans ce sous-segment.Ferries et navires à passagers : Ferries et navires à passagers : parc 2025 domine par directe mecanique (55%), avec directe electronique collective en appoint. Le choix reflete espace embarque contraint, cycles de flotte et maintenance immobilisante ; compacite, fiabilite embarquee et cout d immobilisation.</t>
    </r>
  </si>
  <si>
    <r>
      <rPr>
        <b/>
        <sz val="9"/>
        <rFont val="Calibri"/>
      </rPr>
      <t>Aires de service - Autoroutes ; Aires de repos - Autoroutes ; Aéroports / aérogares ; Terminaux maritimes / fluviaux</t>
    </r>
    <r>
      <rPr>
        <sz val="9"/>
        <rFont val="Calibri"/>
      </rPr>
      <t xml:space="preserve"> : Dans transport/stationnement, l’automatique progresse rapidement sur les sites rénovés ou premium, avec recul net des réservoirs.Parcs de stationnement couverts ; Gares ferroviaires et stations ; Ports de plaisance / capitaineries ; Ferries et navires à passagers : 2025-2030 : progression de directe electronique indiv. (+2,0%), surtout lors des renov. lourdes/neuf ; recul de directe electronique collective (-1,0%) mais maintien d un socle robuste pour les remplacements partiels.Aéronefs commerciaux ; Rames ferroviaires voyageurs ; Autocars : Sans objet : pas de trajectoire 2025-2030 a modeliser pour les urinoirs.</t>
    </r>
  </si>
  <si>
    <r>
      <rPr>
        <b/>
        <sz val="9"/>
        <rFont val="Calibri"/>
      </rPr>
      <t>Aires de service - Autoroutes</t>
    </r>
    <r>
      <rPr>
        <sz val="9"/>
        <rFont val="Calibri"/>
      </rPr>
      <t xml:space="preserve"> : La chasse directe domine les sanitaires publics d’aires de service, avec une part d’électronique déjà notable.Aires de repos - Autoroutes : La chasse directe domine légèrement, avec une part d’électronique plus élevée que dans la moyenne des ERP.Parcs de stationnement couverts : Parcs de stationnement couverts (dotés de sanitaires) : parc 2025 domine par chasse directe mecanique (55%), avec reservoir en appoint. Le choix reflete flux voyageurs eleves, pics de transit et maintenance sous contrainte d ouverture ; debit, anti-vandalisme, hygiene percue et disponibilite continue.Aéroports / aérogares : La chasse directe domine, avec une part d’électronique élevée sur les sanitaires publics récents.Gares ferroviaires et stations : Gares ferroviaires et stations (dotés de sanitaires) : parc 2025 domine par chasse directe mecanique (55%), avec reservoir en appoint. Le choix reflete flux voyageurs eleves, pics de transit et maintenance sous contrainte d ouverture ; debit, anti-vandalisme, hygiene percue et disponibilite continue.Ports de plaisance / capitaineries : Ports de plaisance / capitaineries : parc 2025 domine par chasse directe mecanique (55%), avec reservoir en appoint. Le choix reflete flux voyageurs eleves, pics de transit et maintenance sous contrainte d ouverture ; debit, anti-vandalisme, hygiene percue et disponibilite continue.Terminaux maritimes / fluviaux : La chasse directe domine, mais le réservoir reste plus présent que dans l’aérien.Aéronefs commerciaux : Aéronefs commerciaux : parc 2025 domine par chasse directe mecanique (55%), avec reservoir en appoint. Le choix reflete espace embarque contraint, cycles de flotte et maintenance immobilisante ; compacite, fiabilite embarquee et cout d immobilisation.Rames ferroviaires voyageurs : Rames ferroviaires voyageurs : parc 2025 domine par chasse directe mecanique (55%), avec reservoir en appoint. Le choix reflete espace embarque contraint, cycles de flotte et maintenance immobilisante ; compacite, fiabilite embarquee et cout d immobilisation.Ferries et navires à passagers : Ferries et navires à passagers : parc 2025 domine par chasse directe mecanique (55%), avec reservoir en appoint. Le choix reflete espace embarque contraint, cycles de flotte et maintenance immobilisante ; compacite, fiabilite embarquee et cout d immobilisation.Autocars : Autocars (dotés de sanitaires collectifs) : parc 2025 domine par chasse directe mecanique (55%), avec reservoir en appoint. Le choix reflete espace embarque contraint, cycles de flotte et maintenance immobilisante ; compacite, fiabilite embarquee et cout d immobilisation.</t>
    </r>
  </si>
  <si>
    <r>
      <rPr>
        <b/>
        <sz val="9"/>
        <rFont val="Calibri"/>
      </rPr>
      <t>Aires de service - Autoroutes ; Aires de repos - Autoroutes ; Aéroports / aérogares ; Terminaux maritimes / fluviaux</t>
    </r>
    <r>
      <rPr>
        <sz val="9"/>
        <rFont val="Calibri"/>
      </rPr>
      <t xml:space="preserve"> : Transport et stationnement accélèrent la montée du direct puis de l’électronique sur les sites modernisés ; le réservoir recule franchement.Parcs de stationnement couverts ; Gares ferroviaires et stations ; Ports de plaisance / capitaineries ; Aéronefs commerciaux ; Rames ferroviaires voyageurs ; Ferries et navires à passagers ; Autocars : 2025-2030 : progression de chasse directe electronique (+7,0%), surtout lors des renov. lourdes/neuf ; recul de reservoir (-10,0%) mais maintien d un socle robuste pour les remplacements partiels.</t>
    </r>
  </si>
  <si>
    <r>
      <rPr>
        <b/>
        <sz val="9"/>
        <rFont val="Calibri"/>
      </rPr>
      <t>Aires de service - Autoroutes ; Aires de repos - Autoroutes</t>
    </r>
    <r>
      <rPr>
        <sz val="9"/>
        <rFont val="Calibri"/>
      </rPr>
      <t xml:space="preserve"> : 89,5% retenu : intensité d’usage et vétusté soutiennent la réno, mais les budgets locaux et la saisonnalité retardent une partie des programmes.Parcs de stationnement couverts ; Gares ferroviaires et stations ; Ports de plaisance / capitaineries : 82,4% retenu : besoins transformes en travaux selon flux voyageurs eleves, pics de transit et maintenance sous contrainte d ouverture. Le phasage budgetaire, les fermetures partielles et la maintenance courante limitent la conversion totale.Aéroports / aérogares : 88,4% retenu : intensité d’usage et vétusté soutiennent la réno, mais les budgets locaux et la saisonnalité retardent une partie des programmes.Terminaux maritimes / fluviaux : 84,0% retenu : intensité d’usage et vétusté soutiennent la réno, mais les budgets locaux et la saisonnalité retardent une partie des programmes.Aéronefs commerciaux ; Rames ferroviaires voyageurs ; Ferries et navires à passagers ; Autocars : 80,9% retenu : besoins transformes en travaux selon espace embarque contraint, cycles de flotte et maintenance immobilisante. Le phasage budgetaire, les fermetures partielles et la maintenance courante limitent la conversion totale.</t>
    </r>
  </si>
  <si>
    <r>
      <rPr>
        <b/>
        <sz val="9"/>
        <rFont val="Calibri"/>
      </rPr>
      <t>Aires de service - Autoroutes ; Aires de repos - Autoroutes</t>
    </r>
    <r>
      <rPr>
        <sz val="9"/>
        <rFont val="Calibri"/>
      </rPr>
      <t xml:space="preserve"> : Potentiel rénovation élevé : sanitaires très intensifs, disponibilité impérative et requalification commerciale/exploitation soutiennent le remplacement. Les volumes restent d’abord tirés par les WC et les lavabos, plus que par les postes spécialisés. En rénovation, l’achat reste orienté vers des produits robustes, anti-vandalisme et simples à maintenir en site occupé.Parcs de stationnement couverts ; Gares ferroviaires et stations ; Ports de plaisance / capitaineries : Potentiel renovation : tire par debit, anti-vandalisme, hygiene percue et disponibilite continue. Les remplacements sont plutot par lots, avec arbitrage entre urgence sanitaire, budget et capacite a intervenir en site occupe.Aéroports / aérogares : Potentiel rénovation élevé : flux voyageurs, exigence de qualité d’accueil et travaux de modernisation soutiennent un flux régulier. Les lavabos et les WC portent l’essentiel des volumes, avec un poids secondaire des équipements spécialisés. En rénovation, le marché reste favorable aux gammes robustes et simples d’entretien, compatibles avec des chantiers par tranches et des budgets contraints.Terminaux maritimes / fluviaux : Potentiel rénovation élevé : flux voyageurs, exigence de qualité d’accueil et travaux de modernisation soutiennent un flux régulier. Les volumes restent d’abord tirés par les WC et les lavabos, plus que par les postes spécialisés. En rénovation, le marché reste favorable aux gammes robustes et simples d’entretien, compatibles avec des chantiers par tranches et des budgets contraints.Aéronefs commerciaux ; Rames ferroviaires voyageurs ; Ferries et navires à passagers ; Autocars : Potentiel renovation : tire par compacite, fiabilite embarquee et cout d immobilisation. Les remplacements sont plutot par lots, avec arbitrage entre urgence sanitaire, budget et capacite a intervenir en site occupe.</t>
    </r>
  </si>
  <si>
    <r>
      <rPr>
        <b/>
        <sz val="9"/>
        <rFont val="Calibri"/>
      </rPr>
      <t>Aires de service - Autoroutes ; Aires de repos - Autoroutes</t>
    </r>
    <r>
      <rPr>
        <sz val="9"/>
        <rFont val="Calibri"/>
      </rPr>
      <t xml:space="preserve"> : Potentiel neuf faible à moyen : davantage lié à des reconfigurations ou extensions d’aires qu’à une vraie croissance de sites. Le neuf est très minoritaire et opportuniste.Parcs de stationnement couverts : Potentiel neuf : plus visible pour parcs de stationnement couverts (dotés de sanitaires), surtout via extensions, reconstructions ou projets locaux. Le neuf reste contraint par foncier, budgets et delais de mise en service.Aéroports / aérogares : Potentiel neuf faible : lumpy et concentré sur quelques grands nœuds, extensions et reconfigurations. Le neuf est quasi nul dans le modèle et renvoie surtout à des reconstructions ou remplacements de sites.Gares ferroviaires et stations : Potentiel neuf : plus visible pour gares ferroviaires et stations (dotés de sanitaires), surtout via extensions, reconstructions ou projets locaux. Le neuf reste contraint par foncier, budgets et delais de mise en service.Ports de plaisance / capitaineries : Potentiel neuf : plus visible pour ports de plaisance / capitaineries, surtout via extensions, reconstructions ou projets locaux. Le neuf reste contraint par foncier, budgets et delais de mise en service.Terminaux maritimes / fluviaux : Potentiel neuf moyen : lumpy et concentré sur quelques grands nœuds, extensions et reconfigurations. Le neuf est significatif mais encore nettement inférieur à la rénovation.Aéronefs commerciaux : Potentiel neuf : plus visible pour aéronefs commerciaux, surtout via extensions, reconstructions ou projets locaux. Le neuf reste contraint par foncier, budgets et delais de mise en service.Rames ferroviaires voyageurs : Potentiel neuf : plus visible pour rames ferroviaires voyageurs, surtout via extensions, reconstructions ou projets locaux. Le neuf reste contraint par foncier, budgets et delais de mise en service.Ferries et navires à passagers : Potentiel neuf : plus visible pour ferries et navires à passagers, surtout via extensions, reconstructions ou projets locaux. Le neuf reste contraint par foncier, budgets et delais de mise en service.Autocars : Potentiel neuf : plus visible pour autocars (dotés de sanitaires collectifs), surtout via extensions, reconstructions ou projets locaux. Le neuf reste contraint par foncier, budgets et delais de mise en service.</t>
    </r>
  </si>
  <si>
    <r>
      <rPr>
        <b/>
        <sz val="9"/>
        <rFont val="Calibri"/>
      </rPr>
      <t>Aires de service - Autoroutes ; Aires de repos - Autoroutes</t>
    </r>
    <r>
      <rPr>
        <sz val="9"/>
        <rFont val="Calibri"/>
      </rPr>
      <t xml:space="preserve"> : Projets phares réno : blocs sanitaires voyageurs, PMR, modernisation d’image et optimisation d’exploitation.Parcs de stationnement couverts ; Gares ferroviaires et stations ; Ports de plaisance / capitaineries ; Aéronefs commerciaux ; Rames ferroviaires voyageurs ; Ferries et navires à passagers ; Autocars : Projets phares renovation : reprise de blocs sanitaires, accessibilite, ventilation, economie d eau, remplacement des pieces usees et adaptation aux pics de frequentation propres au sous-segment.Aéroports / aérogares ; Terminaux maritimes / fluviaux : Projets phares réno : sanitaires voyageurs, blocs PMR, halls, zones d’attente, espaces public/personnel.</t>
    </r>
  </si>
  <si>
    <r>
      <rPr>
        <b/>
        <sz val="9"/>
        <rFont val="Calibri"/>
      </rPr>
      <t>Aires de service - Autoroutes ; Aires de repos - Autoroutes</t>
    </r>
    <r>
      <rPr>
        <sz val="9"/>
        <rFont val="Calibri"/>
      </rPr>
      <t xml:space="preserve"> : Projets phares neuf : nouvelles aires ou extensions, reconstruction de bâtiments services, ajouts de blocs sur sites reconfigurés.Parcs de stationnement couverts ; Gares ferroviaires et stations ; Ports de plaisance / capitaineries ; Aéronefs commerciaux ; Rames ferroviaires voyageurs ; Ferries et navires à passagers ; Autocars : Projets phares neuf : creations ou reconstructions selectives, integration de sanitaires plus sobres, robustes et faciles a maintenir des la conception.Aéroports / aérogares ; Terminaux maritimes / fluviaux : Projets phares neuf : extensions d’aérogares, gares restructurées, terminaux neufs ou réaménagés avec nouvelles surfaces.</t>
    </r>
  </si>
  <si>
    <r>
      <rPr>
        <b/>
        <sz val="9"/>
        <rFont val="Calibri"/>
      </rPr>
      <t>Aires de service - Autoroutes ; Aires de repos - Autoroutes</t>
    </r>
    <r>
      <rPr>
        <sz val="9"/>
        <rFont val="Calibri"/>
      </rPr>
      <t xml:space="preserve"> : Dynamique réno 2026-2030 : élevée et défensive, car la fréquentation rend le remplacement difficilement reportable. Les concessionnaires privilégient en général des solutions robustes, standardisées et faciles à maintenir.Parcs de stationnement couverts ; Gares ferroviaires et stations ; Ports de plaisance / capitaineries ; Aéronefs commerciaux ; Rames ferroviaires voyageurs ; Ferries et navires à passagers ; Autocars : Dynamique renovation 2026-2030 : forte, car l usure et l hygiene rendent les interventions recurrentes. Menaces : arbitrages d investissement, travaux en exploitation et cout de maintenance.Aéroports / aérogares ; Terminaux maritimes / fluviaux : Dynamique réno 2026-2030 : soutenue, car la qualité perçue des sanitaires est directement visible dans l’expérience passager.</t>
    </r>
  </si>
  <si>
    <r>
      <rPr>
        <b/>
        <sz val="9"/>
        <rFont val="Calibri"/>
      </rPr>
      <t>Aires de service - Autoroutes ; Aires de repos - Autoroutes</t>
    </r>
    <r>
      <rPr>
        <sz val="9"/>
        <rFont val="Calibri"/>
      </rPr>
      <t xml:space="preserve"> : Dynamique neuf 2026-2030 : modérée et concentrée sur les programmes concessionnaires les plus structurants.Parcs de stationnement couverts ; Gares ferroviaires et stations ; Ports de plaisance / capitaineries ; Aéronefs commerciaux ; Rames ferroviaires voyageurs ; Ferries et navires à passagers ; Autocars : Dynamique neuf 2026-2030 : faible a moderee, dependante des projets immobiliers, de la demographie locale et des budgets de maitrise d ouvrage.Aéroports / aérogares : Dynamique neuf 2026-2030 : modérée ; quelques grands projets font le marché, mais le flux reste irrégulier. Les opérations sont concentrées sur peu d’actifs mais peuvent générer de gros volumes à l’unité.Terminaux maritimes / fluviaux : Dynamique neuf 2026-2030 : modérée ; quelques grands projets font le marché, mais le flux reste irrégulier.</t>
    </r>
  </si>
  <si>
    <r>
      <rPr>
        <b/>
        <sz val="9"/>
        <rFont val="Calibri"/>
      </rPr>
      <t>Aires de service - Autoroutes ; Aires de repos - Autoroutes ; Parcs de stationnement couverts ; Gares ferroviaires et stations ; Ports de plaisance / capitaineries ; Terminaux maritimes / fluviaux ; Aéronefs commerciaux ; Rames ferroviaires voyageurs ; Ferries et navires à passagers ; Autocars</t>
    </r>
    <r>
      <rPr>
        <sz val="9"/>
        <rFont val="Calibri"/>
      </rPr>
      <t xml:space="preserve"> : BonneAéroports / aérogares : Élevée</t>
    </r>
  </si>
  <si>
    <r>
      <rPr>
        <b/>
        <sz val="9"/>
        <rFont val="Calibri"/>
      </rPr>
      <t>Aires de service - Autoroutes ; Aires de repos - Autoroutes</t>
    </r>
    <r>
      <rPr>
        <sz val="9"/>
        <rFont val="Calibri"/>
      </rPr>
      <t xml:space="preserve"> : Parc existant surtout standard. Les ventes se décalent légèrement vers intermédiaire, tiré par l’image de marque et l’expérience usager. La rénovation restant majoritaire, le mix de ventes reste proche du parc et monte surtout d’un cran sur les opérations lourdes. Aires d’autoroute : forte intensité, exploitation industrialisée et enjeux d’image des opérateurs ; standard renforcé, peu de luxe.Parcs de stationnement couverts : Parc existant centre sur le niveau transport, avec ventes 2026-2030 legerement plus qualitatives. Parcs de stationnement couverts (dotés de sanitaires) : flux voyageurs eleves, pics de transit et maintenance sous contrainte d ouverture; le mix reste guide par debit, anti-vandalisme, hygiene percue et disponibilite continue.Aéroports / aérogares : Parc existant surtout intermédiaire. Les ventes se décalent légèrement vers premium, sous l’effet combiné de l’hygiène, de l’image et des rénovations lourdes. La rénovation restant majoritaire, le mix de ventes reste proche du parc et monte surtout d’un cran sur les opérations lourdes. Aéroports et grands terminaux : expérience passager, image, hygiène et investissements ciblés poussent plus franchement vers l’intermédiaire/premium.Gares ferroviaires et stations : Parc existant centre sur le niveau transport, avec ventes 2026-2030 legerement plus qualitatives. Gares ferroviaires et stations (dotés de sanitaires) : flux voyageurs eleves, pics de transit et maintenance sous contrainte d ouverture; le mix reste guide par debit, anti-vandalisme, hygiene percue et disponibilite continue.Ports de plaisance / capitaineries : Parc existant centre sur le niveau transport, avec ventes 2026-2030 legerement plus qualitatives. Ports de plaisance / capitaineries : flux voyageurs eleves, pics de transit et maintenance sous contrainte d ouverture; le mix reste guide par debit, anti-vandalisme, hygiene percue et disponibilite continue.Terminaux maritimes / fluviaux : Parc existant surtout intermédiaire. Les ventes se décalent légèrement vers intermédiaire / premium, sous l’effet combiné de l’hygiène, de l’image et des rénovations lourdes. La rénovation restant majoritaire, le mix de ventes reste proche du parc et monte surtout d’un cran sur les opérations lourdes. Aéroports et grands terminaux : expérience passager, image, hygiène et investissements ciblés poussent plus franchement vers l’intermédiaire/premium.Aéronefs commerciaux : Parc existant centre sur le niveau mobile, avec ventes 2026-2030 legerement plus qualitatives. Aéronefs commerciaux : espace embarque contraint, cycles de flotte et maintenance immobilisante; le mix reste guide par compacite, fiabilite embarquee et cout d immobilisation.Rames ferroviaires voyageurs : Parc existant centre sur le niveau mobile, avec ventes 2026-2030 legerement plus qualitatives. Rames ferroviaires voyageurs : espace embarque contraint, cycles de flotte et maintenance immobilisante; le mix reste guide par compacite, fiabilite embarquee et cout d immobilisation.Ferries et navires à passagers : Parc existant centre sur le niveau mobile, avec ventes 2026-2030 legerement plus qualitatives. Ferries et navires à passagers : espace embarque contraint, cycles de flotte et maintenance immobilisante; le mix reste guide par compacite, fiabilite embarquee et cout d immobilisation.Autocars : Parc existant centre sur le niveau mobile, avec ventes 2026-2030 legerement plus qualitatives. Autocars (dotés de sanitaires collectifs) : espace embarque contraint, cycles de flotte et maintenance immobilisante; le mix reste guide par compacite, fiabilite embarquee et cout d immobilisation.</t>
    </r>
  </si>
  <si>
    <r>
      <rPr>
        <b/>
        <sz val="9"/>
        <rFont val="Calibri"/>
      </rPr>
      <t>Aires de service - Autoroutes ; Aires de repos - Autoroutes ; Parcs de stationnement couverts ; Aéroports / aérogares ; Gares ferroviaires et stations ; Ports de plaisance / capitaineries ; Terminaux maritimes / fluviaux</t>
    </r>
    <r>
      <rPr>
        <sz val="9"/>
        <rFont val="Calibri"/>
      </rPr>
      <t xml:space="preserve"> : ±4 ptsAéronefs commerciaux ; Rames ferroviaires voyageurs ; Ferries et navires à passagers ; Autocars : ±5 pts</t>
    </r>
  </si>
  <si>
    <r>
      <rPr>
        <b/>
        <sz val="9"/>
        <rFont val="Calibri"/>
      </rPr>
      <t>Aires de service - Autoroutes ; Aires de repos - Autoroutes</t>
    </r>
    <r>
      <rPr>
        <sz val="9"/>
        <rFont val="Calibri"/>
      </rPr>
      <t xml:space="preserve"> : Aires d’autoroute : forte intensité, exploitation industrialisée et enjeux d’image des opérateurs ; standard renforcé, peu de luxe.Parcs de stationnement couverts ; Gares ferroviaires et stations ; Ports de plaisance / capitaineries : Parc existant : debit, anti-vandalisme, hygiene percue et disponibilite continue; flux voyageurs eleves, pics de transit et maintenance sous contrainte d ouverture. La montee en confort reste proportionnee au budget et au rythme de renovation.Aéroports / aérogares ; Terminaux maritimes / fluviaux : Aéroports et grands terminaux : expérience passager, image, hygiène et investissements ciblés poussent plus franchement vers l’intermédiaire/premium.Aéronefs commerciaux ; Rames ferroviaires voyageurs ; Ferries et navires à passagers ; Autocars : Parc existant : compacite, fiabilite embarquee et cout d immobilisation; espace embarque contraint, cycles de flotte et maintenance immobilisante. La montee en confort reste proportionnee au budget et au rythme de renovation.</t>
    </r>
  </si>
  <si>
    <r>
      <rPr>
        <b/>
        <sz val="9"/>
        <rFont val="Calibri"/>
      </rPr>
      <t>Aires de service - Autoroutes ; Aires de repos - Autoroutes</t>
    </r>
    <r>
      <rPr>
        <sz val="9"/>
        <rFont val="Calibri"/>
      </rPr>
      <t xml:space="preserve"> : forte fréquentation ⇒ standard ↑, premium/luxe ↓ ; image + privé ⇒ premium/luxe ↑ ; rénovation dominante ⇒ progression graduelleParcs de stationnement couverts ; Gares ferroviaires et stations ; Ports de plaisance / capitaineries : forte frequentation =&gt; standard robuste ; vandalisme =&gt; anti-vandalismeAéroports / aérogares : forte fréquentation ⇒ standard ↑, premium/luxe ↓ ; image + privé ⇒ premium/luxe ↑ ; contrainte sanitaire ⇒ standard/intermédiaire technique ↑ ; rénovation dominante ⇒ progression graduelleTerminaux maritimes / fluviaux : forte fréquentation ⇒ standard ↑, premium/luxe ↓ ; image + privé ⇒ premium/luxe ↑ ; contrainte sanitaire ⇒ standard/intermédiaire technique ↑ ; poids du neuf significatif ⇒ premiumisation des ventes &gt; parcAéronefs commerciaux ; Rames ferroviaires voyageurs ; Ferries et navires à passagers ; Autocars : forte frequentation =&gt; standard robuste</t>
    </r>
  </si>
  <si>
    <r>
      <rPr>
        <b/>
        <sz val="9"/>
        <rFont val="Calibri"/>
      </rPr>
      <t>Aires de service - Autoroutes</t>
    </r>
    <r>
      <rPr>
        <sz val="9"/>
        <rFont val="Calibri"/>
      </rPr>
      <t xml:space="preserve"> : Ventes 2026-2030 : glissement vers davantage de moyen / premium, surtout sur lavabo (+5,8 pts sur premium+luxe), douche (+3,9 pts sur premium+luxe). La rénovation reste très majoritaire (86% des ventes, contre 14% en neuf) ; le neuf est plus qualitatif mais ne suffit pas à transformer fortement le mix. L’écart de niveau de confort entre neuf et rénovation reste perceptible.Aires de repos - Autoroutes : Ventes 2026-2030 : glissement vers davantage de moyen / premium, surtout sur lavabo (+4,4 pts sur premium+luxe). La rénovation reste très majoritaire (87% des ventes, contre 13% en neuf) ; le neuf est plus qualitatif mais ne suffit pas à transformer fortement le mix. L’écart de niveau de confort entre neuf et rénovation reste perceptible.Parcs de stationnement couverts : Parcs de stationnement couverts (dotés de sanitaires) : ventes 2026-2030 en leger glissement vers moyen/premium lorsque le neuf ou les renov. lourdes interviennent. Le centre de gravite reste toutefois module par debit, anti-vandalisme, hygiene percue et disponibilite continue et par la part dominante de travaux sur parc existant.Aéroports / aérogares : Ventes 2026-2030 : glissement vers davantage de moyen / premium, surtout sur urinoir (+19,0 pts sur premium+luxe), WC (+18,9 pts sur premium+luxe), douche (+18,5 pts sur premium+luxe). La rénovation reste majoritaire (81% des ventes, contre 19% en neuf) ; le neuf tire le mix vers le haut sans renverser le centre de gravité. L’écart de niveau de confort entre neuf et rénovation est net.Gares ferroviaires et stations : Gares ferroviaires et stations (dotés de sanitaires) : ventes 2026-2030 en leger glissement vers moyen/premium lorsque le neuf ou les renov. lourdes interviennent. Le centre de gravite reste toutefois module par debit, anti-vandalisme, hygiene percue et disponibilite continue et par la part dominante de travaux sur parc existant.Ports de plaisance / capitaineries : Ports de plaisance / capitaineries : ventes 2026-2030 en leger glissement vers moyen/premium lorsque le neuf ou les renov. lourdes interviennent. Le centre de gravite reste toutefois module par debit, anti-vandalisme, hygiene percue et disponibilite continue et par la part dominante de travaux sur parc existant.Terminaux maritimes / fluviaux : Terminaux maritimes / fluviaux : terminaux maritimes/fluviaux davantage différenciés selon tourisme et croisière. Ventes 2026-2030 : glissement vers davantage de moyen / premium, surtout sur WC (+21,5 pts sur premium+luxe), urinoir (+21,5 pts sur premium+luxe), douche (+21,4 pts sur premium+luxe). La rénovation reste majoritaire (75% des ventes, contre 25% en neuf) ; le neuf tire le mix vers le haut sans renverser le centre de gravité. L’écart de niveau de confort entre neuf et rénovation est net.Aéronefs commerciaux : Aéronefs commerciaux : ventes 2026-2030 en leger glissement vers moyen/premium lorsque le neuf ou les renov. lourdes interviennent. Le centre de gravite reste toutefois module par compacite, fiabilite embarquee et cout d immobilisation et par la part dominante de travaux sur parc existant.Rames ferroviaires voyageurs : Rames ferroviaires voyageurs : ventes 2026-2030 en leger glissement vers moyen/premium lorsque le neuf ou les renov. lourdes interviennent. Le centre de gravite reste toutefois module par compacite, fiabilite embarquee et cout d immobilisation et par la part dominante de travaux sur parc existant.Ferries et navires à passagers : Ferries et navires à passagers : ventes 2026-2030 en leger glissement vers moyen/premium lorsque le neuf ou les renov. lourdes interviennent. Le centre de gravite reste toutefois module par compacite, fiabilite embarquee et cout d immobilisation et par la part dominante de travaux sur parc existant.Autocars : Autocars (dotés de sanitaires collectifs) : ventes 2026-2030 en leger glissement vers moyen/premium lorsque le neuf ou les renov. lourdes interviennent. Le centre de gravite reste toutefois module par compacite, fiabilite embarquee et cout d immobilisation et par la part dominante de travaux sur parc existant.</t>
    </r>
  </si>
  <si>
    <t>1 - Commissariats / postes de police
2 - Forces armées
3 - Univers carcéral
4 - Tribunaux</t>
  </si>
  <si>
    <t>1 - Locaux de sûreté, garde à vue et zones opérationnelles
2 - Postes de proximité et antennes avec accueil public
3 - Unités d'hébergement des militaires &amp; réservistes
4 - Centres de recrutement et bureaux d’information
5 - Restaurants ou équipements sportifs ouverts au public sur emprise militaire
6 - Salles de conférence, auditoriums et espaces événementiels ouverts au public
7 - Maisons d’arrêt
8 - Centres de détention
9 - Maisons centrales
10 - Centres pénitentiaires
11 - Centres de semi-liberté
12 - Centres éducatifs fermés
13 - Palais de justice et bâtiments judiciaires multi-usages
14 - Maisons de justice et du droit
15 - Tribunaux de commerce autonomes
16 - Conseils de prud’hommes autonomes</t>
  </si>
  <si>
    <r>
      <rPr>
        <b/>
        <sz val="9"/>
        <rFont val="Calibri"/>
      </rPr>
      <t>Locaux de sûreté, garde à vue et zones opérationnelles ; Unités d'hébergement des militaires &amp; réservistes ; Restaurants ou équipements sportifs ouverts au public sur emprise militaire ; Maisons d’arrêt ; Centres de détention ; Maisons centrales ; Centres pénitentiaires ; Centres de semi-liberté ; Centres éducatifs fermés ; Palais de justice et bâtiments judiciaires multi-usages</t>
    </r>
    <r>
      <rPr>
        <sz val="9"/>
        <rFont val="Calibri"/>
      </rPr>
      <t xml:space="preserve"> : VariablePostes de proximité et antennes avec accueil public ; Centres de recrutement et bureaux d’information ; Maisons de justice et du droit : WSalles de conférence, auditoriums et espaces événementiels ouverts au public : LTribunaux de commerce autonomes ; Conseils de prud’hommes autonomes : W ou L</t>
    </r>
  </si>
  <si>
    <r>
      <rPr>
        <b/>
        <sz val="9"/>
        <rFont val="Calibri"/>
      </rPr>
      <t>Locaux de sûreté, garde à vue et zones opérationnelles</t>
    </r>
    <r>
      <rPr>
        <sz val="9"/>
        <rFont val="Calibri"/>
      </rPr>
      <t xml:space="preserve"> : Hors ERP autonome / accès contrôléPostes de proximité et antennes avec accueil public ; Centres de recrutement et bureaux d’information ; Salles de conférence, auditoriums et espaces événementiels ouverts au public ; Maisons de justice et du droit ; Tribunaux de commerce autonomes ; Conseils de prud’hommes autonomes : ERPUnités d'hébergement des militaires &amp; réservistes : Souvent hors ERP autonome / accès contrôléRestaurants ou équipements sportifs ouverts au public sur emprise militaire ; Centres de semi-liberté : ERP partiel / variableMaisons d’arrêt ; Centres de détention ; Maisons centrales ; Centres pénitentiaires ; Centres éducatifs fermés : Cas particulier / accès contrôléPalais de justice et bâtiments judiciaires multi-usages : Ensemble multi-classements</t>
    </r>
  </si>
  <si>
    <r>
      <rPr>
        <b/>
        <sz val="9"/>
        <rFont val="Calibri"/>
      </rPr>
      <t>Locaux de sûreté, garde à vue et zones opérationnelles ; Unités d'hébergement des militaires &amp; réservistes ; Restaurants ou équipements sportifs ouverts au public sur emprise militaire ; Maisons d’arrêt ; Centres de détention ; Maisons centrales ; Centres pénitentiaires ; Centres de semi-liberté ; Centres éducatifs fermés</t>
    </r>
    <r>
      <rPr>
        <sz val="9"/>
        <rFont val="Calibri"/>
      </rPr>
      <t xml:space="preserve"> : mixtePostes de proximité et antennes avec accueil public ; Centres de recrutement et bureaux d’information ; Salles de conférence, auditoriums et espaces événementiels ouverts au public ; Palais de justice et bâtiments judiciaires multi-usages ; Maisons de justice et du droit ; Tribunaux de commerce autonomes ; Conseils de prud’hommes autonomes : ERP</t>
    </r>
  </si>
  <si>
    <r>
      <rPr>
        <b/>
        <sz val="9"/>
        <rFont val="Calibri"/>
      </rPr>
      <t>Locaux de sûreté, garde à vue et zones opérationnelles ; Unités d'hébergement des militaires &amp; réservistes</t>
    </r>
    <r>
      <rPr>
        <sz val="9"/>
        <rFont val="Calibri"/>
      </rPr>
      <t xml:space="preserve"> : nonPostes de proximité et antennes avec accueil public ; Centres de recrutement et bureaux d’information ; Restaurants ou équipements sportifs ouverts au public sur emprise militaire ; Salles de conférence, auditoriums et espaces événementiels ouverts au public ; Palais de justice et bâtiments judiciaires multi-usages ; Maisons de justice et du droit ; Tribunaux de commerce autonomes ; Conseils de prud’hommes autonomes : ouiMaisons d’arrêt ; Centres de détention ; Maisons centrales ; Centres pénitentiaires ; Centres de semi-liberté ; Centres éducatifs fermés : variable</t>
    </r>
  </si>
  <si>
    <r>
      <rPr>
        <b/>
        <sz val="9"/>
        <rFont val="Calibri"/>
      </rPr>
      <t>Locaux de sûreté, garde à vue et zones opérationnelles</t>
    </r>
    <r>
      <rPr>
        <sz val="9"/>
        <rFont val="Calibri"/>
      </rPr>
      <t xml:space="preserve"> : Les zones de sûreté, d’enquête ou de garde à vue ne constituent pas un type ERP autonome lorsqu’elles ne sont pas ouvertes au public.Postes de proximité et antennes avec accueil public : Les antennes ou postes assurant un accueil administratif du public relèvent du type W.Unités d'hébergement des militaires &amp; réservistes : Les unités d’hébergement collectif des militaires et réservistes sont le plus souvent intégrées à une emprise militaire ; elles peuvent comporter des dortoirs, chambres collectives et sanitaires communs, sans constituer à elles seules un type ERP autonome homogène.Centres de recrutement et bureaux d’information : Locaux administratifs recevant du public : information, orientation, recrutement, démarches.Restaurants ou équipements sportifs ouverts au public sur emprise militaire : Lorsqu’une activité commerciale, de restauration ou sportive est ouverte au public, le classement suit l’usage dominant du local : M, N, X ou L selon le cas.Salles de conférence, auditoriums et espaces événementiels ouverts au public : Les salles accueillant conférences, cérémonies, présentations ou réunions publiques relèvent en pratique du type L.Maisons d’arrêt : Établissements pénitentiaires accueillant principalement des prévenus et des condamnés à courte peine. Le site n’est pas un ERP autonome homogène ; seuls les espaces recevant effectivement visiteurs, intervenants ou patients relèvent d’un classement par usage.Centres de détention : Établissements pour condamnés à des peines plus longues, orientés vers la réinsertion. Le site n’est pas un ERP autonome homogène ; les espaces visiteurs, administratifs ou de santé se classent selon leur usage.Maisons centrales : Établissements à haut niveau de sécurité pour longues peines. Les zones de détention relèvent d’un régime sécurisé ; seuls les espaces visiteurs, administratifs ou de soins peuvent relever d’un classement par usage.Centres pénitentiaires : Établissements composites regroupant plusieurs quartiers ou régimes (maison d’arrêt, centre de détention, etc.). Pour un décompte par site, cette ligne est additive ; elle recoupe toutefois certaines logiques par quartier.Centres de semi-liberté : Structures dédiées à l’exécution de peines avec régime de semi-liberté. Les espaces administratifs, de contrôle et d’accueil suivent une logique de classement par usage dominant.Centres éducatifs fermés : Structures éducatives sécurisées pour mineurs relevant de la PJJ. Le classement dépend de l’exploitation réelle : composantes éducatives, hébergement, soins et espaces d’accueil peuvent relever de logiques proches de R, J, U ou W selon les locaux concernés.Palais de justice et bâtiments judiciaires multi-usages : Un même bâtiment judiciaire peut regrouper des espaces de type W, des salles d’audience de type L et d’autres locaux annexes ; le classement se raisonne par usage et exploitation. Cette ligne sert de référence si l’unité de compte retenue est le site physique.Maisons de justice et du droit : Structures de proximité recevant le public pour l’accès au droit, l’information, la médiation et certaines permanences judiciaires. Classement principalement de type W.Tribunaux de commerce autonomes : Juridictions commerciales recevant du public dans des bâtiments autonomes. Le classement relève principalement de W, avec des composantes L si des salles d’audience dominent l’exploitation.Conseils de prud’hommes autonomes : Juridictions prud’homales recevant du public dans des bâtiments autonomes. Le classement relève principalement de W, avec composantes L lorsque les salles d’audience ou de conciliation dominent l’exploitation.</t>
    </r>
  </si>
  <si>
    <r>
      <rPr>
        <b/>
        <sz val="9"/>
        <rFont val="Calibri"/>
      </rPr>
      <t>Locaux de sûreté, garde à vue et zones opérationnelles</t>
    </r>
    <r>
      <rPr>
        <sz val="9"/>
        <rFont val="Calibri"/>
      </rPr>
      <t xml:space="preserve"> : Locaux de garde à vue, salles opérationnelles, armurerie, zone techniquePostes de proximité et antennes avec accueil public : Poste de police de quartier, antenne de police municipaleUnités d'hébergement des militaires &amp; réservistes : Bâtiment d’hébergement en caserne, hébergement collectif de réservistes, bâtiment cadres célibatairesCentres de recrutement et bureaux d’information : CIRFA, bureau d’information et de recrutementRestaurants ou équipements sportifs ouverts au public sur emprise militaire : Boutique de musée militaire, restaurant de cercle ouvert, équipement sportif accessible au publicSalles de conférence, auditoriums et espaces événementiels ouverts au public : Auditorium, salle de conférence, amphithéâtre ouvert au publicMaisons d’arrêt : Maison d’arrêtCentres de détention : Centre de détentionMaisons centrales : Maison centraleCentres pénitentiaires : Centre pénitentiaireCentres de semi-liberté : Centre de semi-libertéCentres éducatifs fermés : CEFPalais de justice et bâtiments judiciaires multi-usages : Palais de justiceMaisons de justice et du droit : MJDTribunaux de commerce autonomes : Tribunal de commerceConseils de prud’hommes autonomes : Conseil de prud’hommes</t>
    </r>
  </si>
  <si>
    <r>
      <rPr>
        <b/>
        <sz val="9"/>
        <rFont val="Calibri"/>
      </rPr>
      <t>Locaux de sûreté, garde à vue et zones opérationnelles ; Postes de proximité et antennes avec accueil public ; Centres de recrutement et bureaux d’information ; Restaurants ou équipements sportifs ouverts au public sur emprise militaire ; Salles de conférence, auditoriums et espaces événementiels ouverts au public ; Palais de justice et bâtiments judiciaires multi-usages ; Maisons de justice et du droit ; Tribunaux de commerce autonomes ; Conseils de prud’hommes autonomes</t>
    </r>
    <r>
      <rPr>
        <sz val="9"/>
        <rFont val="Calibri"/>
      </rPr>
      <t xml:space="preserve"> : nonUnités d'hébergement des militaires &amp; réservistes ; Maisons d’arrêt ; Centres de détention ; Maisons centrales ; Centres pénitentiaires ; Centres de semi-liberté ; Centres éducatifs fermés : oui</t>
    </r>
  </si>
  <si>
    <r>
      <rPr>
        <b/>
        <sz val="9"/>
        <rFont val="Calibri"/>
      </rPr>
      <t>Locaux de sûreté, garde à vue et zones opérationnelles ; Postes de proximité et antennes avec accueil public ; Centres de recrutement et bureaux d’information ; Restaurants ou équipements sportifs ouverts au public sur emprise militaire ; Salles de conférence, auditoriums et espaces événementiels ouverts au public ; Maisons d’arrêt ; Centres de détention ; Maisons centrales ; Centres pénitentiaires ; Centres de semi-liberté ; Centres éducatifs fermés ; Maisons de justice et du droit ; Tribunaux de commerce autonomes ; Conseils de prud’hommes autonomes</t>
    </r>
    <r>
      <rPr>
        <sz val="9"/>
        <rFont val="Calibri"/>
      </rPr>
      <t xml:space="preserve"> : Site
Etablissement principalUnités d'hébergement des militaires &amp; réservistes : Bâtiment
Unité Hébergement collectifPalais de justice et bâtiments judiciaires multi-usages : Site
Bâtiment principal</t>
    </r>
  </si>
  <si>
    <r>
      <rPr>
        <b/>
        <sz val="9"/>
        <rFont val="Calibri"/>
      </rPr>
      <t>Locaux de sûreté, garde à vue et zones opérationnelles</t>
    </r>
    <r>
      <rPr>
        <sz val="9"/>
        <rFont val="Calibri"/>
      </rPr>
      <t xml:space="preserve"> : sous-espace / proxy institutionnelPostes de proximité et antennes avec accueil public : proxy institutionnel / antennes de proximitéUnités d'hébergement des militaires &amp; réservistes ; Maisons d’arrêt ; Centres de détention ; Maisons centrales ; Centres pénitentiaires ; Centres de semi-liberté ; Centres éducatifs fermés ; Palais de justice et bâtiments judiciaires multi-usages ; Tribunaux de commerce autonomes ; Conseils de prud’hommes autonomes : proxy public / estimation encadréeCentres de recrutement et bureaux d’information ; Restaurants ou équipements sportifs ouverts au public sur emprise militaire ; Salles de conférence, auditoriums et espaces événementiels ouverts au public : sous-espace / proxy non additifMaisons de justice et du droit : série publique directe / proxy public</t>
    </r>
  </si>
  <si>
    <r>
      <rPr>
        <b/>
        <sz val="9"/>
        <rFont val="Calibri"/>
      </rPr>
      <t>Locaux de sûreté, garde à vue et zones opérationnelles ; Centres de recrutement et bureaux d’information ; Restaurants ou équipements sportifs ouverts au public sur emprise militaire ; Salles de conférence, auditoriums et espaces événementiels ouverts au public</t>
    </r>
    <r>
      <rPr>
        <sz val="9"/>
        <rFont val="Calibri"/>
      </rPr>
      <t xml:space="preserve"> : Sous-espace rattaché à un site parent ; la série varie peu car elle suit un stock principal administré et non un marché autonome.Postes de proximité et antennes avec accueil public : Pas de stagnation structurelle : la série évolue à la baisse sur la période 2000-2026 ; la projection prolonge cette tendance avec prudence.Unités d'hébergement des militaires &amp; réservistes : La série est peu mobile car elle reflète un stock administré d’unités d’hébergement collectif ; l’ancrage disponible (316 établissements militaires hébergeant collectivement en 2016) suggère une évolution graduelle plutôt qu’un marché libre très volatil.Maisons d’arrêt : Le parc de maisons d’arrêt varie peu sur la période ; les évolutions concernent surtout des restructurations et reconstructions plus que des ouvertures nettes.Centres de détention : Le nombre de centres de détention évolue faiblement ; les transformations se font surtout par changement de statut d’établissement ou restructuration.Maisons centrales : Le parc des maisons centrales est structurellement très limité et très stable ; la stagnation reflète la rareté de ce type d’établissement.Centres pénitentiaires : Hausse lente liée à la modernisation du parc pénitentiaire et au regroupement de quartiers sur des sites composites.Centres de semi-liberté : Parc restreint, évoluant lentement ; une partie des évolutions se fait par requalification ou articulation avec les centres pour peines aménagées.Centres éducatifs fermés : Le parc a augmenté de manière graduelle puis plus rapide avec les programmes récents de création ; la série n’est pas stagnante.Palais de justice et bâtiments judiciaires multi-usages : Le parc de bâtiments judiciaires évolue lentement ; la variation tient surtout aux regroupements ou relocalisations plutôt qu’aux créations nettes.Maisons de justice et du droit : Le réseau s’est densifié puis s’est stabilisé ; la croissance récente est beaucoup plus lente qu’au début de période.Tribunaux de commerce autonomes : Le nombre d’établissements évolue peu ; la stagnation reflète la stabilité relative de la carte des juridictions commerciales autonomes.Conseils de prud’hommes autonomes : Le nombre de conseils de prud’hommes autonomes varie peu ; la stagnation reflète une carte prud’homale assez stable.</t>
    </r>
  </si>
  <si>
    <r>
      <rPr>
        <b/>
        <sz val="9"/>
        <rFont val="Calibri"/>
      </rPr>
      <t>Locaux de sûreté, garde à vue et zones opérationnelles</t>
    </r>
    <r>
      <rPr>
        <sz val="9"/>
        <rFont val="Calibri"/>
      </rPr>
      <t xml:space="preserve"> : Sous-espace rattaché aux commissariats ; projection alignée sur le parc de sites police ouverts au public. Fiabilité: moyenne.Postes de proximité et antennes avec accueil public : Proxy prudent sur les antennes de proximité ; projection légèrement baissière par rationalisation du maillage. Fiabilité: moyenne.Unités d'hébergement des militaires &amp; réservistes : Proxy d’unités d’hébergement collectif militaires, ancré sur 316 établissements militaires hébergeant collectivement en 2016 ; prolongement modéré à la hausse à partir des besoins d’hébergement et des efforts récents sur la condition militaire. Fiabilité: moyenne à bonne-moyenne ; non additif avec d’autres usages du même site.Centres de recrutement et bureaux d’information : réseau CIRFA et bureaux d’information. Dynamique projetée 2027-2030: stable. Fiabilité: bonne. Risque de doublon: oui si addition avec la catégorie parente ou avec des sous-espaces d’un même site.Restaurants ou équipements sportifs ouverts au public sur emprise militaire : proxy équipements militaires partiellement ouverts. Dynamique projetée 2027-2030: stable. Fiabilité: moyenne. Risque de doublon: oui si addition avec la catégorie parente ou avec des sous-espaces d’un même site.Salles de conférence, auditoriums et espaces événementiels ouverts au public : proxy parc événementiel militaire ouvert. Dynamique projetée 2027-2030: stable. Fiabilité: moyenne. Risque de doublon: oui si addition avec la catégorie parente ou avec des sous-espaces d’un même site.Maisons d’arrêt ; Centres de détention : Ancrage sur les statistiques de l’administration pénitentiaire ; projection 2027-2030 prudente et stable.Maisons centrales : Estimation encadrée sur un nombre très limité d’établissements ; projection 2027-2030 stable.Centres pénitentiaires : Série proxy lissée à partir de la structure du parc pénitentiaire ; projection 2027-2030 en légère hausse.Centres de semi-liberté : Proxy sur structures d’exécution aménagée ; projection 2027-2030 stable à légèrement haussière.Centres éducatifs fermés : Ancrage sur les CEF publiés par la Justice ; projection 2027-2030 haussière mais prudente.Palais de justice et bâtiments judiciaires multi-usages : Ancrage sur le réseau des juridictions judiciaires ; projection 2027-2030 stable.Maisons de justice et du droit ; Tribunaux de commerce autonomes ; Conseils de prud’hommes autonomes : Ancrage sur les chiffres-clés de la Justice ; projection 2027-2030 stable.</t>
    </r>
  </si>
  <si>
    <r>
      <rPr>
        <b/>
        <sz val="9"/>
        <rFont val="Calibri"/>
      </rPr>
      <t>Locaux de sûreté, garde à vue et zones opérationnelles ; Postes de proximité et antennes avec accueil public</t>
    </r>
    <r>
      <rPr>
        <sz val="9"/>
        <rFont val="Calibri"/>
      </rPr>
      <t xml:space="preserve"> : https://www.interieur.gouv.fr/actualites/communiques-de-presse/95-de-population-vit-a-moins-de-14-minutes-dun-lieu-daccueil-deUnités d'hébergement des militaires &amp; réservistes : https://www.defense.gouv.fr/sites/default/files/ssm/EcoDef%20140.pdf ; https://www.ccomptes.fr/fr/publications/les-conditions-dhebergement-dans-les-bases-de-defense-exercices-2011-2021Centres de recrutement et bureaux d’information : https://www.defense.gouv.fr/sga/nous-rejoindre/cirfaRestaurants ou équipements sportifs ouverts au public sur emprise militaire ; Salles de conférence, auditoriums et espaces événementiels ouverts au public : https://www.defense.gouv.fr/Maisons d’arrêt ; Centres de détention ; Maisons centrales ; Centres pénitentiaires ; Centres de semi-liberté : https://www.justice.gouv.fr/sites/default/files/2025-02/statistique_etablissements_personnes_ecrouees_01022025.pdfCentres éducatifs fermés : https://www.justice.gouv.fr/documentation/ressources/mission-thematique-devaluation-centres-educatifs-fermes-cefPalais de justice et bâtiments judiciaires multi-usages ; Maisons de justice et du droit ; Tribunaux de commerce autonomes ; Conseils de prud’hommes autonomes : https://www.justice.gouv.fr/sites/default/files/2025-10/Chiffres_Cl%C3%A9s_2025.pdf</t>
    </r>
  </si>
  <si>
    <r>
      <rPr>
        <b/>
        <sz val="9"/>
        <rFont val="Calibri"/>
      </rPr>
      <t>Locaux de sûreté, garde à vue et zones opérationnelles</t>
    </r>
    <r>
      <rPr>
        <sz val="9"/>
        <rFont val="Calibri"/>
      </rPr>
      <t xml:space="preserve"> : Commissariat complet : sanitaires staff/opérationnels + garde à vue/visiteurs, hors cellules individuelles.Postes de proximité et antennes avec accueil public : Antenne de proximité : un bloc accueil et un bloc personnel.Unités d'hébergement des militaires &amp; réservistes : Hébergement militaire collectif : blocs d'étage/vestiaires, hors chambres individualisées.Centres de recrutement et bureaux d’information : Centre de recrutement : sanitaire public + personnel.Restaurants ou équipements sportifs ouverts au public sur emprise militaire : Restaurant classique : bloc clients + personnel, hors sanitaires de chambres.Salles de conférence, auditoriums et espaces événementiels ouverts au public : Équipement événementiel : programme public en batterie à l'entrée et en pourtour, staff séparé.Maisons d’arrêt : Maison d'arrêt : cellules/chambres avec coin sanitaire individuel quand il existe + douches de promenade/sport/ateliers et locaux staff.Centres de détention : Centre de détention : part importante de cellules/chambres équipées + douches par aile et locaux communs/staff.Maisons centrales : Maison centrale : cellules équipées et quelques douches collectives/sectorisées, complétées par locaux communs.Centres pénitentiaires : Centre pénitentiaire : cellules équipées + douches sectorisées + parloirs/ateliers/sport/staff.Centres de semi-liberté : Centre de semi-liberté : chambres/cellules équipées lorsqu'elles existent + blocs communs et douches.Centres éducatifs fermés : Centre éducatif fermé : petit internat sécurisé ; chambres et petits blocs communs, dimensionnés sans compter les cabines isolées.Palais de justice et bâtiments judiciaires multi-usages : Palais de justice : blocs publics, magistrats/agents et locaux d'audience.Maisons de justice et du droit ; Tribunaux de commerce autonomes ; Conseils de prud’hommes autonomes : Bâtiment judiciaire : bloc public + personnel.</t>
    </r>
  </si>
  <si>
    <r>
      <rPr>
        <b/>
        <sz val="9"/>
        <rFont val="Calibri"/>
      </rPr>
      <t>Locaux de sûreté, garde à vue et zones opérationnelles</t>
    </r>
    <r>
      <rPr>
        <sz val="9"/>
        <rFont val="Calibri"/>
      </rPr>
      <t xml:space="preserve"> : Capacité type ≈ 8 présents principaux + 28 staff + 4 familles/intervenants. Programme mixte police : accueil public, locaux opérationnels et personnels ; pas de simple ratio public, mais noyaux par zone fonctionnelle. Calibrage selon capacité simultanée, répartition de flux et organisation réelle du site.Postes de proximité et antennes avec accueil public : Capacité type ≈ 14 présents principaux + 22 staff + 4 visiteurs/intervenants. Programme mixte police : accueil public, locaux opérationnels et personnels ; pas de simple ratio public, mais noyaux par zone fonctionnelle. Calibrage selon capacité simultanée, répartition de flux et organisation réelle du site.Unités d'hébergement des militaires &amp; réservistes : Capacité type ≈ 128 usagers principaux + 14 staff + 3 visiteurs/intervenants. Le programme sanitaire est construit par blocs fonctionnels plausibles (public, personnel, exploitation/hébergement selon le cas) et non par simple ratio national moyen. Calibrage selon capacité simultanée, répartition de flux et organisation réelle du site.Centres de recrutement et bureaux d’information : Capacité type ≈ 19 usagers principaux + 12 staff + 4 visiteurs/intervenants. Le programme sanitaire est construit par blocs fonctionnels plausibles (public, personnel, exploitation/hébergement selon le cas) et non par simple ratio national moyen. Calibrage selon capacité simultanée, répartition de flux et organisation réelle du site.Restaurants ou équipements sportifs ouverts au public sur emprise militaire : Capacité type ≈ 64 sportifs/usagers + 14 staff + 2 intervenants/visiteurs. Le programme inclut sanitaires publics et vestiaires sportifs séparés dès lors qu'ils accueillent au moins 5 personnes ; pour les piscines, les douches collectives sont structurelles. Calibrage selon capacité simultanée, répartition de flux et organisation réelle du site.Salles de conférence, auditoriums et espaces événementiels ouverts au public : Capacité type ≈ 159 usagers principaux + 14 staff + 7 techniciens/prestataires. Le programme sanitaire est construit par blocs fonctionnels plausibles (public, personnel, exploitation/hébergement selon le cas) et non par simple ratio national moyen. Calibrage selon capacité simultanée, répartition de flux et organisation réelle du site.Maisons d’arrêt : Capacité type ≈ 188 détenus/résidents + 50 staff + 12 visiteurs/intervenants. Le programme inclut cellules/chambres équipées quand elles existent, complétées par douches de secteur, parloirs, ateliers, sport et staff ; il ne s'agit pas d'un calcul au seul flux public. Calibrage selon capacité simultanée, répartition de flux et organisation réelle du site.Centres de détention : Capacité type ≈ 262 détenus/résidents + 70 staff + 18 visiteurs/intervenants. Le programme inclut cellules/chambres équipées quand elles existent, complétées par douches de secteur, parloirs, ateliers, sport et staff ; il ne s'agit pas d'un calcul au seul flux public. Calibrage selon capacité simultanée, répartition de flux et organisation réelle du site.Maisons centrales : Capacité type ≈ 150 détenus/résidents + 40 staff + 10 visiteurs/intervenants. Le programme inclut cellules/chambres équipées quand elles existent, complétées par douches de secteur, parloirs, ateliers, sport et staff ; il ne s'agit pas d'un calcul au seul flux public. Calibrage selon capacité simultanée, répartition de flux et organisation réelle du site.Centres pénitentiaires : Capacité type ≈ 488 détenus/résidents + 130 staff + 32 avocats/visiteurs. Le programme inclut cellules/chambres équipées quand elles existent, complétées par douches de secteur, parloirs, ateliers, sport et staff ; il ne s'agit pas d'un calcul au seul flux public. Calibrage selon capacité simultanée, répartition de flux et organisation réelle du site.Centres de semi-liberté : Capacité type ≈ 43 détenus/résidents + 14 staff + 3 visiteurs/assesseurs. Le programme inclut cellules/chambres équipées quand elles existent, complétées par douches de secteur, parloirs, ateliers, sport et staff ; il ne s'agit pas d'un calcul au seul flux public. Calibrage selon capacité simultanée, répartition de flux et organisation réelle du site.Centres éducatifs fermés : Capacité type ≈ 8 détenus/résidents + 3 staff + 1 visiteurs/avocats. Le programme inclut cellules/chambres équipées quand elles existent, complétées par douches de secteur, parloirs, ateliers, sport et staff ; il ne s'agit pas d'un calcul au seul flux public. Calibrage selon capacité simultanée, répartition de flux et organisation réelle du site.Palais de justice et bâtiments judiciaires multi-usages : Capacité type ≈ 390 usagers principaux + 150 staff + 60 visiteurs/avocats. Le programme sanitaire est construit par blocs fonctionnels plausibles (public, personnel, exploitation/hébergement selon le cas) et non par simple ratio national moyen. Calibrage selon capacité simultanée, répartition de flux et organisation réelle du site.Maisons de justice et du droit : Capacité type ≈ 52 usagers principaux + 20 staff + 8 visiteurs/avocats. Le programme sanitaire est construit par blocs fonctionnels plausibles (public, personnel, exploitation/hébergement selon le cas) et non par simple ratio national moyen. Calibrage selon capacité simultanée, répartition de flux et organisation réelle du site.Tribunaux de commerce autonomes : Capacité type ≈ 143 usagers principaux + 55 staff + 22 visiteurs/avocats. Le programme sanitaire est construit par blocs fonctionnels plausibles (public, personnel, exploitation/hébergement selon le cas) et non par simple ratio national moyen. Calibrage selon capacité simultanée, répartition de flux et organisation réelle du site.Conseils de prud’hommes autonomes : Capacité type ≈ 117 usagers principaux + 45 staff + 18 visiteurs/avocats. Le programme sanitaire est construit par blocs fonctionnels plausibles (public, personnel, exploitation/hébergement selon le cas) et non par simple ratio national moyen. Calibrage selon capacité simultanée, répartition de flux et organisation réelle du site.</t>
    </r>
  </si>
  <si>
    <r>
      <rPr>
        <b/>
        <sz val="9"/>
        <rFont val="Calibri"/>
      </rPr>
      <t>Locaux de sûreté, garde à vue et zones opérationnelles ; Postes de proximité et antennes avec accueil public</t>
    </r>
    <r>
      <rPr>
        <sz val="9"/>
        <rFont val="Calibri"/>
      </rPr>
      <t xml:space="preserve"> : Profil petit, capacité moyenne ≈ 40 personnes. Moyenne pondérée terrain : parc majoritairement petits/moyens sites, grands sites intégrés sans surpondération ; usage 2025 modérée.Unités d'hébergement des militaires &amp; réservistes : Profil moyen, capacité moyenne ≈ 145 personnes. Moyenne pondérée terrain : parc majoritairement petits/moyens sites, grands sites intégrés sans surpondération ; usage 2025 forte à très forte.Centres de recrutement et bureaux d’information : Profil petit, capacité moyenne ≈ 35 personnes. Moyenne pondérée terrain : parc majoritairement petits/moyens sites, grands sites intégrés sans surpondération ; usage 2025 modérée.Restaurants ou équipements sportifs ouverts au public sur emprise militaire : Profil moyen, capacité moyenne ≈ 80 personnes. Moyenne pondérée terrain : parc majoritairement petits/moyens sites, grands sites intégrés sans surpondération ; usage 2025 forte à très forte.Salles de conférence, auditoriums et espaces événementiels ouverts au public : Profil moyen, capacité moyenne ≈ 180 personnes. Moyenne pondérée terrain : parc majoritairement petits/moyens sites, grands sites intégrés sans surpondération ; usage 2025 modérée à forte par pics.Maisons d’arrêt : Profil grand, capacité moyenne ≈ 250 personnes. Moyenne pondérée terrain : parc majoritairement petits/moyens sites, grands sites intégrés sans surpondération ; usage 2025 modérée.Centres de détention : Profil grand, capacité moyenne ≈ 350 personnes. Moyenne pondérée terrain : parc majoritairement petits/moyens sites, grands sites intégrés sans surpondération ; usage 2025 modérée.Maisons centrales : Profil moyen, capacité moyenne ≈ 200 personnes. Moyenne pondérée terrain : parc majoritairement petits/moyens sites, grands sites intégrés sans surpondération ; usage 2025 modérée.Centres pénitentiaires : Profil grand, capacité moyenne ≈ 650 personnes. Moyenne pondérée terrain : parc majoritairement petits/moyens sites, grands sites intégrés sans surpondération ; usage 2025 modérée.Centres de semi-liberté : Profil petit, capacité moyenne ≈ 60 personnes. Moyenne pondérée terrain : parc majoritairement petits/moyens sites, grands sites intégrés sans surpondération ; usage 2025 modérée.Centres éducatifs fermés : Profil très petit, capacité moyenne ≈ 12 personnes. Moyenne pondérée terrain : parc majoritairement petits/moyens sites, grands sites intégrés sans surpondération ; usage 2025 modérée.Palais de justice et bâtiments judiciaires multi-usages : Profil grand, capacité moyenne ≈ 600 personnes. Moyenne pondérée terrain : parc majoritairement petits/moyens sites, grands sites intégrés sans surpondération ; usage 2025 modérée.Maisons de justice et du droit : Profil moyen, capacité moyenne ≈ 80 personnes. Moyenne pondérée terrain : parc majoritairement petits/moyens sites, grands sites intégrés sans surpondération ; usage 2025 modérée.Tribunaux de commerce autonomes : Profil moyen, capacité moyenne ≈ 220 personnes. Moyenne pondérée terrain : parc majoritairement petits/moyens sites, grands sites intégrés sans surpondération ; usage 2025 modérée à forte par pics.Conseils de prud’hommes autonomes : Profil moyen, capacité moyenne ≈ 180 personnes. Moyenne pondérée terrain : parc majoritairement petits/moyens sites, grands sites intégrés sans surpondération ; usage 2025 modérée.</t>
    </r>
  </si>
  <si>
    <r>
      <rPr>
        <b/>
        <sz val="9"/>
        <rFont val="Calibri"/>
      </rPr>
      <t>Locaux de sûreté, garde à vue et zones opérationnelles ; Postes de proximité et antennes avec accueil public ; Maisons d’arrêt ; Centres de détention ; Maisons centrales ; Centres pénitentiaires ; Centres de semi-liberté ; Centres éducatifs fermés ; Palais de justice et bâtiments judiciaires multi-usages ; Maisons de justice et du droit ; Tribunaux de commerce autonomes ; Conseils de prud’hommes autonomes</t>
    </r>
    <r>
      <rPr>
        <sz val="9"/>
        <rFont val="Calibri"/>
      </rPr>
      <t xml:space="preserve"> : Ministère de la Justice, plan encellulement individuel : https://www.justice.gouv.fr/actualites/espace-presse/plan-encellulement-individuel-0 ; CGLPL, avis relatif à l'encellulement individuel : https://www.cglpl.fr/publications/avis-relatif-a-lencellulement-individuel-dans-les-etablissements-penitentiaires ; + Code du travail pour personnels.Unités d'hébergement des militaires &amp; réservistes ; Centres de recrutement et bureaux d’information ; Salles de conférence, auditoriums et espaces événementiels ouverts au public : Code du travail (sanitaires et vestiaires staff) + programmation ERP/usages d'exploitation ; source de comptage propre à la ligne en col. AP.Restaurants ou équipements sportifs ouverts au public sur emprise militaire : Ministère des Sports, réglementation des équipements sportifs : https://www.sports.gouv.fr/reglementation-federale-des-equipements-sportifs-845 ; + Code du travail pour vestiaires collectifs et sanitaires staff.</t>
    </r>
  </si>
  <si>
    <r>
      <rPr>
        <b/>
        <sz val="9"/>
        <rFont val="Calibri"/>
      </rPr>
      <t>Locaux de sûreté, garde à vue et zones opérationnelles ; Postes de proximité et antennes avec accueil public</t>
    </r>
    <r>
      <rPr>
        <sz val="9"/>
        <rFont val="Calibri"/>
      </rPr>
      <t xml:space="preserve"> : Usage professionnel soutenu, zones dures, risque de chocs et d'actes de dégradation supérieur à la moyenne. Les temporisés mécaniques et chasses directes mécaniques restent privilégiés car plus robustes et plus faciles à maintenir. L'électronique est gardée plus courte en milieu contraint. Les remplacements se font à la panne puis par lots lors des reprises de zones sécurisées ou d'accueil. Sécurité / police / militaire : Usage mixte agents/public, recherche de robustesse, interventions maintenues en exploitation, parc hétérogène avec une partie rénovée par opérations ciblées.Unités d'hébergement des militaires &amp; réservistes : Maintenance technique présente mais usage hétérogène selon que l'on parle d'hébergement, de sport ou d'accueil public. Les durées sont intermédiaires : au-dessus du transport, en dessous du bureau. Les remplacements se font souvent par casernement, bâtiment ou opération de rénovation planifiée. Sécurité / police / militaire : Usage mixte agents/public, recherche de robustesse, interventions maintenues en exploitation, parc hétérogène avec une partie rénovée par opérations ciblées.Centres de recrutement et bureaux d’information : Accueil public jeune/adulte sur rendez-vous, peu d'humidité, maintenance militaire structurée. Proche guichet public, meilleur que zones opérationnelles. Repères durées: lavabos 11/12/9 ans (mit./méca/élec.), douches 12/11/9, urinoirs 10/12/8/10, WC 10/12/9.Restaurants ou équipements sportifs ouverts au public sur emprise militaire : Usage collectif encadré mais pics repas/sport, vestiaires humides et maintenance interne. Inférieur aux bureaux militaires, proche équipements sportifs. Repères durées: lavabos 11/12/9 ans (mit./méca/élec.), douches 8/8/7, urinoirs 10/12/8/10, WC 10/12/9.Salles de conférence, auditoriums et espaces événementiels ouverts au public ; Maisons d’arrêt : Usage intensif, dégradations volontaires possibles et accès maintenance plus complexe. ces facteurs raccourcissent concrètement la durée réelle. Les technos mécaniques simples sont favorisées, l'électronique restant plus courte malgré ses atouts d'hygiène. Le renouvellement intervient surtout à la panne, puis par lots dans les programmes de réhabilitation. Univers carcéral : Usage intensif, sûreté et anti-vandalisme, maintenance par l’arrière privilégiée, parc ancien mais renouvelé partiellement par le plan prison 15 000 places.Centres de détention : Usage carcéral quotidien, dégradations possibles mais population plus stable que maison d'arrêt; maintenance encadrée. Proche maison d'arrêt, légèrement plus prévisible. Univers carcéral : Usage intensif, sûreté et anti-vandalisme, maintenance par l’arrière privilégiée, parc ancien mais renouvelé partiellement par le plan prison 15 000 places.Maisons centrales : Haut niveau de sécurité, détenus longue peine et équipements anti-vandalisme; usage quotidien mais maintenance complexe. Similaire détention, renouvellement lent par sécurité. Univers carcéral : Usage intensif, sûreté et anti-vandalisme, maintenance par l’arrière privilégiée, parc ancien mais renouvelé partiellement par le plan prison 15 000 places.Centres pénitentiaires : Mix maison d'arrêt/détention, intensité forte et diversité de zones; dégradations et accès maintenance contraints. Durées prudentes, proches maison d'arrêt. Univers carcéral : Usage intensif, sûreté et anti-vandalisme, maintenance par l’arrière privilégiée, parc ancien mais renouvelé partiellement par le plan prison 15 000 places.Centres de semi-liberté : Usage résidentiel encadré mais ouvertures quotidiennes, pics matin/soir et maintenance moins lourde que détention. Similaire carcéral mais un peu moins exposé. Univers carcéral : Usage intensif, sûreté et anti-vandalisme, maintenance par l’arrière privilégiée, parc ancien mais renouvelé partiellement par le plan prison 15 000 places.Centres éducatifs fermés : Public jeune, encadrement éducatif, risque de chocs/vandalisme et usage intensif des douches. Prudence proche scolaire dur et carcéral léger. Usage intensif, dégradations volontaires possibles et accès maintenance plus complexe. ces facteurs raccourcissent concrètement la durée réelle. Les technos mécaniques simples sont favorisées, l'électronique restant plus courte malgré ses atouts d'hygiène. Le renouvellement intervient surtout à la panne, puis par lots dans les programmes de réhabilitation.Palais de justice et bâtiments judiciaires multi-usages : Flux publics variables, budgets souvent contraints et maintenance plutôt réactive. Les écarts de durée ont été resserrés : le mécanique garde un petit avantage, l'électronique reste en retrait mais sans décote excessive. Le renouvellement intervient au fil des pannes puis lors des opérations de remise à niveau des sanitaires. Bureaux / administration / justice : Usage tertiaire moyen, faible vandalisme, rénovations par lots tirées par l’immobilier tertiaire, l’accessibilité et la trajectoire Éco Énergie Tertiaire.Maisons de justice et du droit : Accueil de proximité, rendez-vous, flux modéré et faible humidité; maintenance communale/judiciaire. Plus long que palais de justice, sans grands pics d'audience. Repères durées: lavabos 13/13/10 ans (mit./méca/élec.), douches 11/10/8, urinoirs 11/13/9/11, WC 12/13/10.Tribunaux de commerce autonomes : Public professionnel, flux par audiences et rendez-vous, faible vandalisme; rénovation par cycles immobiliers. Proche maisons de justice, électronique plus court par obsolescence. Repères durées: lavabos 13/13/10 ans (mit./méca/élec.), douches 11/10/8, urinoirs 11/13/9/11, WC 12/13/10.Conseils de prud’hommes autonomes : Pics liés aux audiences, tensions possibles mais blocs limités et usage intérieur; maintenance publique. Légèrement sous tribunal commerce, au-dessus palais multi-usages. Repères durées: lavabos 13/13/10 ans (mit./méca/élec.), douches 11/10/8, urinoirs 11/13/9/11, WC 12/13/10.</t>
    </r>
  </si>
  <si>
    <r>
      <rPr>
        <b/>
        <sz val="9"/>
        <rFont val="Calibri"/>
      </rPr>
      <t>Locaux de sûreté, garde à vue et zones opérationnelles</t>
    </r>
    <r>
      <rPr>
        <sz val="9"/>
        <rFont val="Calibri"/>
      </rPr>
      <t xml:space="preserve"> : Dans les zones de sûreté/police, le parc combine équipements robustes de collectivité et matériels sécurisés/antivandalisme, d’où une part d’'autres' plus élevée.Postes de proximité et antennes avec accueil public : Dans les postes de proximité, le parc est plus proche d’un petit tertiaire/public : le mitigeur reste majoritaire, avec un peu d’électronique sur les rénovations.Unités d'hébergement des militaires &amp; réservistes : Sur les unités d’hébergement collectif militaire, le parc commun combine robuste/collectivité et quelques équipements spécifiques, d’où une part d’'autres' supérieure à la moyenne.Centres de recrutement et bureaux d’information ; Restaurants ou équipements sportifs ouverts au public sur emprise militaire : Sur les espaces militaires ouverts au public, le parc se rapproche d’un ERP robuste : temporisé et mitigeur dominent, avec un peu d’électronique.Salles de conférence, auditoriums et espaces événementiels ouverts au public : Les espaces événementiels militaires ouverts au public ont un parc plus modernisé que l’hébergement collectif, avec une part élevée d’électronique.Maisons d’arrêt ; Maisons centrales : Dans les maisons d’arrêt / maisons centrales, le parc comprend beaucoup d’équipements sécurisés/antivandalisme ou intégrés en cellule, d’où une part élevée d’'autres'.Centres de détention ; Centres pénitentiaires : Dans les centres de détention / pénitentiaires récents, la part d’équipements sécurisés reste élevée, mais le temporisé recule au profit d’ensembles plus modernes ou intégrés.Centres de semi-liberté ; Centres éducatifs fermés : Dans les structures pénitentiaires plus ouvertes (semi-liberté, CEF, peines aménagées), le parc reste sécurisé mais moins spécifique que dans le dur pénitentiaire.Palais de justice et bâtiments judiciaires multi-usages : Dans les palais de justice multi-usages, l’électronique est déjà bien présente sur les grands sites, sans éliminer le mitigeur et le temporisé du parc existant.Maisons de justice et du droit ; Tribunaux de commerce autonomes ; Conseils de prud’hommes autonomes : Dans les bâtiments judiciaires autonomes de petite taille, le parc reste plus proche d’un petit tertiaire/public : mitigeur majoritaire, électronique secondaire.</t>
    </r>
  </si>
  <si>
    <r>
      <rPr>
        <b/>
        <sz val="9"/>
        <rFont val="Calibri"/>
      </rPr>
      <t>Locaux de sûreté, garde à vue et zones opérationnelles ; Postes de proximité et antennes avec accueil public ; Unités d'hébergement des militaires &amp; réservistes ; Centres de recrutement et bureaux d’information ; Restaurants ou équipements sportifs ouverts au public sur emprise militaire ; Salles de conférence, auditoriums et espaces événementiels ouverts au public</t>
    </r>
    <r>
      <rPr>
        <sz val="9"/>
        <rFont val="Calibri"/>
      </rPr>
      <t xml:space="preserve"> : Dans les sites de sûreté/forces armées, l’évolution reste graduelle : un peu plus d’électronique dans les zones publiques et tertiaires, mais forte inertie du parc robuste.Maisons d’arrêt ; Centres de détention ; Maisons centrales ; Centres pénitentiaires ; Centres de semi-liberté ; Centres éducatifs fermés : En univers carcéral, la progression reste très prudente : la robustesse, les contraintes de sûreté et les produits spécifiques limitent la bascule rapide vers l’électronique.Palais de justice et bâtiments judiciaires multi-usages ; Maisons de justice et du droit ; Tribunaux de commerce autonomes ; Conseils de prud’hommes autonomes : Les juridictions et bâtiments judiciaires glissent progressivement vers plus d’électronique sur les rénovations, tout en conservant une part importante de solutions mécaniques robustes.</t>
    </r>
  </si>
  <si>
    <r>
      <rPr>
        <b/>
        <sz val="9"/>
        <rFont val="Calibri"/>
      </rPr>
      <t>Locaux de sûreté, garde à vue et zones opérationnelles</t>
    </r>
    <r>
      <rPr>
        <sz val="9"/>
        <rFont val="Calibri"/>
      </rPr>
      <t xml:space="preserve"> : Les douches restent principalement temporisées mécaniques sur ce parc robuste.Postes de proximité et antennes avec accueil public ; Centres de recrutement et bureaux d’information ; Restaurants ou équipements sportifs ouverts au public sur emprise militaire ; Palais de justice et bâtiments judiciaires multi-usages ; Maisons de justice et du droit ; Tribunaux de commerce autonomes ; Conseils de prud’hommes autonomes : Sans objet.Unités d'hébergement des militaires &amp; réservistes : Les douches communes restent très majoritairement temporisées mécaniques.Salles de conférence, auditoriums et espaces événementiels ouverts au public : Les rares douches restent surtout temporisées mécaniques.Maisons d’arrêt ; Maisons centrales : Les douches restent très majoritairement temporisées mécaniques dans le parc pénitentiaire.Centres de détention ; Centres pénitentiaires : Les douches restent dominées par le temporisé mécanique, avec une part un peu plus élevée d’équipements récents.Centres de semi-liberté ; Centres éducatifs fermés : Les douches restent surtout temporisées mécaniques, avec davantage de mitigeurs que dans le parc fermé.</t>
    </r>
  </si>
  <si>
    <r>
      <rPr>
        <b/>
        <sz val="9"/>
        <rFont val="Calibri"/>
      </rPr>
      <t>Locaux de sûreté, garde à vue et zones opérationnelles ; Unités d'hébergement des militaires &amp; réservistes ; Salles de conférence, auditoriums et espaces événementiels ouverts au public</t>
    </r>
    <r>
      <rPr>
        <sz val="9"/>
        <rFont val="Calibri"/>
      </rPr>
      <t xml:space="preserve"> : Évolution lente et prudente : un peu plus d’électronique dans certaines rénovations, sans remise en cause du socle mécanique.Postes de proximité et antennes avec accueil public ; Centres de recrutement et bureaux d’information ; Restaurants ou équipements sportifs ouverts au public sur emprise militaire ; Palais de justice et bâtiments judiciaires multi-usages ; Maisons de justice et du droit ; Tribunaux de commerce autonomes ; Conseils de prud’hommes autonomes : Sans objet.Maisons d’arrêt ; Centres de détention ; Maisons centrales ; Centres pénitentiaires ; Centres de semi-liberté ; Centres éducatifs fermés : Progression très limitée pour des raisons de robustesse, sûreté et maintenance.</t>
    </r>
  </si>
  <si>
    <r>
      <rPr>
        <b/>
        <sz val="9"/>
        <rFont val="Calibri"/>
      </rPr>
      <t>Locaux de sûreté, garde à vue et zones opérationnelles</t>
    </r>
    <r>
      <rPr>
        <sz val="9"/>
        <rFont val="Calibri"/>
      </rPr>
      <t xml:space="preserve"> : Le parc d’urinoirs reste très classique, avec un poids important des solutions collectives/renforcées.Postes de proximité et antennes avec accueil public : Les urinoirs relèvent surtout de solutions classiques.Unités d'hébergement des militaires &amp; réservistes : Les urinoirs collectifs anciens gardent un poids important dans ce parc.Centres de recrutement et bureaux d’information ; Restaurants ou équipements sportifs ouverts au public sur emprise militaire : Le parc d’urinoirs reste mixte entre mécanique/direct et quelques collectifs anciens.Salles de conférence, auditoriums et espaces événementiels ouverts au public : L’automatique est déjà bien présente, sans être exclusive.Maisons d’arrêt ; Maisons centrales : Quand des urinoirs existent, ils sont souvent collectifs sur le parc ancien.Centres de détention ; Centres pénitentiaires : Les configurations collectives restent dominantes pour les rares urinoirs présents.Centres de semi-liberté ; Centres éducatifs fermés : Le collectif reste important, mais un peu moins que dans les établissements fermés anciens.Palais de justice et bâtiments judiciaires multi-usages : Les urinoirs automatiques progressent mais coexistent encore avec le parc classique.Maisons de justice et du droit ; Tribunaux de commerce autonomes ; Conseils de prud’hommes autonomes : Les rares urinoirs relèvent surtout d’un parc classique.</t>
    </r>
  </si>
  <si>
    <r>
      <rPr>
        <b/>
        <sz val="9"/>
        <rFont val="Calibri"/>
      </rPr>
      <t>Locaux de sûreté, garde à vue et zones opérationnelles ; Postes de proximité et antennes avec accueil public ; Unités d'hébergement des militaires &amp; réservistes ; Centres de recrutement et bureaux d’information ; Restaurants ou équipements sportifs ouverts au public sur emprise militaire ; Salles de conférence, auditoriums et espaces événementiels ouverts au public</t>
    </r>
    <r>
      <rPr>
        <sz val="9"/>
        <rFont val="Calibri"/>
      </rPr>
      <t xml:space="preserve"> : Évolution maîtrisée : la robustesse garde du poids, le mécanique reste fort et l’automatique progresse surtout dans les zones publiques.Maisons d’arrêt ; Centres de détention ; Maisons centrales ; Centres pénitentiaires ; Centres de semi-liberté ; Centres éducatifs fermés : Bascule très partielle : contraintes de sûreté et robustesse maintiennent le mécanique/collectif spécifique à un niveau élevé.Palais de justice et bâtiments judiciaires multi-usages ; Maisons de justice et du droit ; Tribunaux de commerce autonomes ; Conseils de prud’hommes autonomes : Les rénovations 2025-2030 font progresser l’automatique, sans disparition du direct mécanique.</t>
    </r>
  </si>
  <si>
    <r>
      <rPr>
        <b/>
        <sz val="9"/>
        <rFont val="Calibri"/>
      </rPr>
      <t>Locaux de sûreté, garde à vue et zones opérationnelles</t>
    </r>
    <r>
      <rPr>
        <sz val="9"/>
        <rFont val="Calibri"/>
      </rPr>
      <t xml:space="preserve"> : La chasse directe est majoritaire dans les zones les plus sollicitées, mais le réservoir reste encore présent.Postes de proximité et antennes avec accueil public : Le réservoir reste dominant sur ce parc relativement petit.Unités d'hébergement des militaires &amp; réservistes : La chasse directe est déjà très présente dans les blocs collectifs, mais le réservoir reste encore significatif.Centres de recrutement et bureaux d’information ; Restaurants ou équipements sportifs ouverts au public sur emprise militaire : La chasse directe domine légèrement, mais le réservoir reste important.Salles de conférence, auditoriums et espaces événementiels ouverts au public : La chasse directe domine, avec une part d’électronique non négligeable.Maisons d’arrêt ; Maisons centrales : Le parc WC est partagé entre réservoirs robustes et chasses directes ; cette dernière progresse mais n’est pas encore majoritaire sur l’ancien stock.Centres de détention ; Centres pénitentiaires : La chasse directe devient majoritaire sur le parc le plus moderne, sans faire disparaître les réservoirs robustes.Centres de semi-liberté ; Centres éducatifs fermés : Le réservoir reste légèrement majoritaire sur le parc existant, la chasse directe venant ensuite.Palais de justice et bâtiments judiciaires multi-usages : Le parc WC est plus modernisé que dans les petits tribunaux : réservoir, chasse directe et électronique coexistent à des niveaux élevés.Maisons de justice et du droit ; Tribunaux de commerce autonomes ; Conseils de prud’hommes autonomes : Le réservoir reste majoritaire, la chasse directe et l’électronique étant plus ponctuelles.</t>
    </r>
  </si>
  <si>
    <r>
      <rPr>
        <b/>
        <sz val="9"/>
        <rFont val="Calibri"/>
      </rPr>
      <t>Locaux de sûreté, garde à vue et zones opérationnelles ; Postes de proximité et antennes avec accueil public ; Unités d'hébergement des militaires &amp; réservistes ; Centres de recrutement et bureaux d’information ; Restaurants ou équipements sportifs ouverts au public sur emprise militaire ; Salles de conférence, auditoriums et espaces événementiels ouverts au public</t>
    </r>
    <r>
      <rPr>
        <sz val="9"/>
        <rFont val="Calibri"/>
      </rPr>
      <t xml:space="preserve"> : Évolution graduelle vers davantage de direct pour la robustesse ; l’électronique reste plus secondaire.Maisons d’arrêt ; Centres de détention ; Maisons centrales ; Centres pénitentiaires ; Centres de semi-liberté ; Centres éducatifs fermés : Dans l’univers carcéral, la robustesse et la sûreté favorisent d’abord le direct spécifique ; la progression de l’électronique reste limitée.Palais de justice et bâtiments judiciaires multi-usages ; Maisons de justice et du droit ; Tribunaux de commerce autonomes ; Conseils de prud’hommes autonomes : Les juridictions et bâtiments judiciaires rénovés voient croître le direct et l’électronique, avec recul du réservoir.</t>
    </r>
  </si>
  <si>
    <r>
      <rPr>
        <b/>
        <sz val="9"/>
        <rFont val="Calibri"/>
      </rPr>
      <t>Locaux de sûreté, garde à vue et zones opérationnelles ; Postes de proximité et antennes avec accueil public ; Unités d'hébergement des militaires &amp; réservistes ; Centres de recrutement et bureaux d’information ; Restaurants ou équipements sportifs ouverts au public sur emprise militaire ; Salles de conférence, auditoriums et espaces événementiels ouverts au public ; Maisons d’arrêt ; Centres de détention ; Maisons centrales ; Centres pénitentiaires ; Centres de semi-liberté ; Centres éducatifs fermés</t>
    </r>
    <r>
      <rPr>
        <sz val="9"/>
        <rFont val="Calibri"/>
      </rPr>
      <t xml:space="preserve"> : Moyenne à BonnePalais de justice et bâtiments judiciaires multi-usages ; Maisons de justice et du droit ; Tribunaux de commerce autonomes ; Conseils de prud’hommes autonomes : Moyenne</t>
    </r>
  </si>
  <si>
    <r>
      <rPr>
        <b/>
        <sz val="9"/>
        <rFont val="Calibri"/>
      </rPr>
      <t>Locaux de sûreté, garde à vue et zones opérationnelles ; Postes de proximité et antennes avec accueil public</t>
    </r>
    <r>
      <rPr>
        <sz val="9"/>
        <rFont val="Calibri"/>
      </rPr>
      <t xml:space="preserve"> : 84,0% retenu : part des besoins réellement transformée en travaux sur 2026-2030 après prise en compte des budgets, du phasage et des arbitrages locaux.Unités d'hébergement des militaires &amp; réservistes : 85,1% retenu : la fréquentation soutient le besoin, mais la matérialisation dépend fortement des programmes de concession/exploitation.Centres de recrutement et bureaux d’information : 82,9% retenu : matérialisation élevée grâce aux opérations campus et restructurations, avec toutefois des phasages longs et des arbitrages budgétaires.Restaurants ou équipements sportifs ouverts au public sur emprise militaire : 87,3% retenu : part des besoins réellement transformée en travaux sur 2026-2030 après prise en compte des budgets, du phasage et des arbitrages locaux.Salles de conférence, auditoriums et espaces événementiels ouverts au public : 85,1% retenu : part des besoins réellement transformée en travaux sur 2026-2030 après prise en compte des budgets, du phasage et des arbitrages locaux.Maisons d’arrêt ; Centres de détention ; Maisons centrales ; Centres de semi-liberté ; Centres éducatifs fermés : 90,0% retenu : forte matérialisation car l’usage est intensif et la maintenance contrainte, avec toutefois un phasage strict site par site.Centres pénitentiaires : 90,0% retenu : la fréquentation soutient le besoin, mais la matérialisation dépend fortement des programmes de concession/exploitation.Palais de justice et bâtiments judiciaires multi-usages : 84,0% retenu : la fréquentation soutient le besoin, mais la matérialisation dépend fortement des programmes de concession/exploitation.Maisons de justice et du droit ; Tribunaux de commerce autonomes ; Conseils de prud’hommes autonomes : 81,8% retenu : part des besoins réellement transformée en travaux sur 2026-2030 après prise en compte des budgets, du phasage et des arbitrages locaux.</t>
    </r>
  </si>
  <si>
    <r>
      <rPr>
        <b/>
        <sz val="9"/>
        <rFont val="Calibri"/>
      </rPr>
      <t>Locaux de sûreté, garde à vue et zones opérationnelles</t>
    </r>
    <r>
      <rPr>
        <sz val="9"/>
        <rFont val="Calibri"/>
      </rPr>
      <t xml:space="preserve"> : Potentiel rénovation moyen à soutenu : amélioration des conditions de travail et d’accueil, avec priorité aux actifs existants. Les volumes restent d’abord tirés par les WC et les lavabos, plus que par les postes spécialisés. En rénovation, l’achat reste orienté vers des produits robustes, anti-vandalisme et simples à maintenir en site occupé.Postes de proximité et antennes avec accueil public : Potentiel rénovation moyen : amélioration des conditions de travail et d’accueil, avec priorité aux actifs existants.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contraints.Unités d'hébergement des militaires &amp; réservistes : Potentiel rénovation moyen à soutenu : dominant sur ce périmètre, avec modernisation des installations existantes plus que création de nouveaux sites recevant du public. La douche pèse au-dessus de la moyenne, avec des contraintes d’humidité, de corrosion et d’entretien qui accélèrent le remplacement. En rénovation, le marché reste favorable aux gammes robustes et simples d’entretien, compatibles avec des chantiers par tranches et des budgets contraints.Centres de recrutement et bureaux d’information : Potentiel rénovation moyen : dominant sur ce périmètre, avec modernisation des installations existantes plus que création de nouveaux sites recevant du public.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contraints.Restaurants ou équipements sportifs ouverts au public sur emprise militaire ; Salles de conférence, auditoriums et espaces événementiels ouverts au public : Potentiel rénovation moyen à soutenu : dominant sur ce périmètre, avec modernisation des installations existantes plus que création de nouveaux sites recevant du public. Les lavabos et les WC portent l’essentiel des volumes, avec un poids secondaire des équipements spécialisés. En rénovation, le marché reste favorable aux gammes robustes et simples d’entretien, compatibles avec des chantiers par tranches et des budgets contraints.Maisons d’arrêt ; Centres de détention ; Centres pénitentiaires : Potentiel rénovation élevé : fort sur un parc ancien et durci, avec besoins anti-vandalisme, sûreté et dignité d’usage. Les volumes restent d’abord tirés par les WC et les lavabos, plus que par les postes spécialisés. En rénovation, l’achat reste orienté vers des produits robustes, anti-vandalisme et simples à maintenir en site occupé.Maisons centrales : Potentiel rénovation moyen à soutenu : fort sur un parc ancien et durci, avec besoins anti-vandalisme, sûreté et dignité d’usage. Les volumes restent d’abord tirés par les WC et les lavabos, plus que par les postes spécialisés. En rénovation, l’achat reste orienté vers des produits robustes, anti-vandalisme et simples à maintenir en site occupé.Centres de semi-liberté : Potentiel rénovation moyen à soutenu : fort sur un parc ancien et durci, avec besoins anti-vandalisme, sûreté et dignité d’usage. Les lavabos et les WC portent l’essentiel des volumes, avec un poids secondaire des équipements spécialisés. En rénovation, l’achat reste orienté vers des produits robustes, anti-vandalisme et simples à maintenir en site occupé.Centres éducatifs fermés : Potentiel rénovation moyen à soutenu : fort sur un parc ancien et durci, avec besoins anti-vandalisme, sûreté et dignité d’usage. Les volumes se concentrent surtout sur lavabos et douches. En rénovation, l’achat reste orienté vers des produits robustes, anti-vandalisme et simples à maintenir en site occupé.Palais de justice et bâtiments judiciaires multi-usages ; Maisons de justice et du droit ; Tribunaux de commerce autonomes ; Conseils de prud’hommes autonomes : Potentiel rénovation moyen à soutenu : accueil du public, accessibilité, sécurité et montée en effectifs tirent la modernisation des juridictions existantes. Les volumes restent d’abord tirés par les WC et les lavabos, plus que par les postes spécialisés. En rénovation, le marché reste favorable aux gammes robustes et simples d’entretien, compatibles avec des chantiers par tranches et des budgets contraints.</t>
    </r>
  </si>
  <si>
    <r>
      <rPr>
        <b/>
        <sz val="9"/>
        <rFont val="Calibri"/>
      </rPr>
      <t>Locaux de sûreté, garde à vue et zones opérationnelles ; Postes de proximité et antennes avec accueil public</t>
    </r>
    <r>
      <rPr>
        <sz val="9"/>
        <rFont val="Calibri"/>
      </rPr>
      <t xml:space="preserve"> : Potentiel neuf faible : porté par la LOPMI, mais surtout sur des opérations ciblées de proximité, d’accueil et de modernisation immobilière. Le neuf est quasi nul dans le modèle et renvoie surtout à des reconstructions ou remplacements de sites.Unités d'hébergement des militaires &amp; réservistes : Potentiel neuf moyen : la LPM soutient l’effort global de défense, mais le sous-périmètre ouvert au public reste secondaire et sélectif. Le neuf est significatif mais encore nettement inférieur à la rénovation.Centres de recrutement et bureaux d’information : Potentiel neuf faible : la LPM soutient l’effort global de défense, mais le sous-périmètre ouvert au public reste secondaire et sélectif. Le neuf est réel mais secondaire.Restaurants ou équipements sportifs ouverts au public sur emprise militaire ; Salles de conférence, auditoriums et espaces événementiels ouverts au public : Potentiel neuf faible : la LPM soutient l’effort global de défense, mais le sous-périmètre ouvert au public reste secondaire et sélectif. Le neuf est quasi nul dans le modèle et renvoie surtout à des reconstructions ou remplacements de sites.Maisons d’arrêt : Potentiel neuf faible : alimenté par le programme prison 15 000 places et les opérations judiciaires 2023-2027, avec une meilleure dynamique sur les établissements spécialisés ou récents. Le neuf est quasi nul dans le modèle et renvoie surtout à des reconstructions ou remplacements de sites. La croissance nette peut néanmoins être partiellement compensée par fermetures ou remplacements d’établissements vétustes.Centres de détention ; Maisons centrales ; Centres de semi-liberté : Potentiel neuf faible : alimenté par le programme prison 15 000 places et les opérations judiciaires 2023-2027, avec une meilleure dynamique sur les établissements spécialisés ou récents. Le neuf est quasi nul dans le modèle et renvoie surtout à des reconstructions ou remplacements de sites.Centres pénitentiaires : Potentiel neuf moyen à soutenu : alimenté par le programme prison 15 000 places et les opérations judiciaires 2023-2027, avec une meilleure dynamique sur les établissements spécialisés ou récents. Le neuf est significatif mais encore nettement inférieur à la rénovation.Centres éducatifs fermés : Potentiel neuf moyen à soutenu : alimenté par le programme prison 15 000 places et les opérations judiciaires 2023-2027, avec une meilleure dynamique sur les établissements spécialisés ou récents. Le neuf est très soutenu et pèse réellement dans l’activité.Palais de justice et bâtiments judiciaires multi-usages ; Tribunaux de commerce autonomes ; Conseils de prud’hommes autonomes : Potentiel neuf faible : quelques opérations immobilières judiciaires neuves ou extensions sont prévues, mais le flux reste sélectif. Le neuf est quasi nul dans le modèle et renvoie surtout à des reconstructions ou remplacements de sites.Maisons de justice et du droit : Potentiel neuf faible à moyen : quelques opérations immobilières judiciaires neuves ou extensions sont prévues, mais le flux reste sélectif. Le neuf est réel mais secondaire. Les formats de petite taille rendent les tickets unitaires modestes malgré une dynamique institutionnelle réelle.</t>
    </r>
  </si>
  <si>
    <r>
      <rPr>
        <b/>
        <sz val="9"/>
        <rFont val="Calibri"/>
      </rPr>
      <t>Locaux de sûreté, garde à vue et zones opérationnelles ; Postes de proximité et antennes avec accueil public</t>
    </r>
    <r>
      <rPr>
        <sz val="9"/>
        <rFont val="Calibri"/>
      </rPr>
      <t xml:space="preserve"> : Projets phares réno : sanitaires agents/public, remise à niveau de locaux d’accueil, zones de sûreté et espaces support.Unités d'hébergement des militaires &amp; réservistes ; Centres de recrutement et bureaux d’information ; Restaurants ou équipements sportifs ouverts au public sur emprise militaire ; Salles de conférence, auditoriums et espaces événementiels ouverts au public : Projets phares réno : hébergement, sanitaires public/personnel, espaces de soutien, équipements de restauration/sport ou de recrutement, remise à niveau d’accueil.Maisons d’arrêt ; Centres de détention ; Maisons centrales ; Centres pénitentiaires ; Centres de semi-liberté ; Centres éducatifs fermés : Projets phares réno : cellules, sanitaires collectifs, espaces visiteurs/personnel, sécurisation et remise à niveau technique en site occupé.Palais de justice et bâtiments judiciaires multi-usages ; Maisons de justice et du droit ; Tribunaux de commerce autonomes ; Conseils de prud’hommes autonomes : Projets phares réno : sanitaires public/personnel, halls d’accueil, accessibilité, sécurité et modernisation des bâtiments judiciaires.</t>
    </r>
  </si>
  <si>
    <r>
      <rPr>
        <b/>
        <sz val="9"/>
        <rFont val="Calibri"/>
      </rPr>
      <t>Locaux de sûreté, garde à vue et zones opérationnelles ; Postes de proximité et antennes avec accueil public</t>
    </r>
    <r>
      <rPr>
        <sz val="9"/>
        <rFont val="Calibri"/>
      </rPr>
      <t xml:space="preserve"> : Projets phares neuf : nouveaux postes ou brigades de proximité, accueils modernisés, bâtiments adaptés aux nouvelles organisations.Unités d'hébergement des militaires &amp; réservistes ; Centres de recrutement et bureaux d’information ; Restaurants ou équipements sportifs ouverts au public sur emprise militaire ; Salles de conférence, auditoriums et espaces événementiels ouverts au public : Projets phares neuf : opérations intégrées à des programmes souverains plus larges, centres de soutien ou d’accueil restructurés avec surfaces nouvelles.Maisons d’arrêt ; Centres de détention ; Maisons centrales ; Centres pénitentiaires ; Centres de semi-liberté ; Centres éducatifs fermés : Projets phares neuf : nouveaux centres pénitentiaires, SAS, centres éducatifs fermés, unités hospitalières sécurisées et extensions.Palais de justice et bâtiments judiciaires multi-usages ; Maisons de justice et du droit ; Tribunaux de commerce autonomes ; Conseils de prud’hommes autonomes : Projets phares neuf : tribunaux reconstruits, maisons de justice et du droit, extensions ou nouveaux bâtiments judiciaires.</t>
    </r>
  </si>
  <si>
    <r>
      <rPr>
        <b/>
        <sz val="9"/>
        <rFont val="Calibri"/>
      </rPr>
      <t>Locaux de sûreté, garde à vue et zones opérationnelles ; Postes de proximité et antennes avec accueil public</t>
    </r>
    <r>
      <rPr>
        <sz val="9"/>
        <rFont val="Calibri"/>
      </rPr>
      <t xml:space="preserve"> : Dynamique réno 2026-2030 : régulière et prioritaire, car l’existant concentre l’essentiel du besoin.Unités d'hébergement des militaires &amp; réservistes ; Centres de recrutement et bureaux d’information ; Restaurants ou équipements sportifs ouverts au public sur emprise militaire ; Salles de conférence, auditoriums et espaces événementiels ouverts au public : Dynamique réno 2026-2030 : plus lisible que le neuf, car elle s’inscrit dans la modernisation des emprises et des services existants.Maisons d’arrêt ; Centres de détention ; Maisons centrales ; Centres pénitentiaires ; Centres de semi-liberté ; Centres éducatifs fermés : Dynamique réno 2026-2030 : élevée et défensive, car l’existant reste volumineux et techniquement contraint.Palais de justice et bâtiments judiciaires multi-usages ; Maisons de justice et du droit ; Tribunaux de commerce autonomes ; Conseils de prud’hommes autonomes : Dynamique réno 2026-2030 : soutenue par la programmation immobilière de la justice et l’amélioration de l’accueil des justiciables.</t>
    </r>
  </si>
  <si>
    <r>
      <rPr>
        <b/>
        <sz val="9"/>
        <rFont val="Calibri"/>
      </rPr>
      <t>Locaux de sûreté, garde à vue et zones opérationnelles ; Postes de proximité et antennes avec accueil public</t>
    </r>
    <r>
      <rPr>
        <sz val="9"/>
        <rFont val="Calibri"/>
      </rPr>
      <t xml:space="preserve"> : Dynamique neuf 2026-2030 : modérée ; des moyens existent, mais l’exécution dépend des arbitrages immobiliers et territoriaux.Unités d'hébergement des militaires &amp; réservistes ; Centres de recrutement et bureaux d’information ; Restaurants ou équipements sportifs ouverts au public sur emprise militaire ; Salles de conférence, auditoriums et espaces événementiels ouverts au public : Dynamique neuf 2026-2030 : faible à modérée ; l’investissement défense est élevé, mais il ne se traduit pas mécaniquement par des surfaces recevant du public dans ce sous-périmètre.Maisons d’arrêt ; Centres de détention ; Maisons centrales ; Centres de semi-liberté ; Centres éducatifs fermés : Dynamique neuf 2026-2030 : plus forte que dans la plupart des segments publics grâce à la programmation carcérale, tout en restant concentrée sur un nombre limité d’opérations lourdes.Centres pénitentiaires : Dynamique neuf 2026-2030 : plus forte que dans la plupart des segments publics grâce à la programmation carcérale, tout en restant concentrée sur un nombre limité d’opérations lourdes. C’est l’un des sous-segments judiciaires où le neuf reste le plus tangible.Palais de justice et bâtiments judiciaires multi-usages ; Maisons de justice et du droit ; Tribunaux de commerce autonomes ; Conseils de prud’hommes autonomes : Dynamique neuf 2026-2030 : modérée ; la programmation existe, mais peu d’opérations concentrent l’essentiel des volumes.</t>
    </r>
  </si>
  <si>
    <r>
      <rPr>
        <b/>
        <sz val="9"/>
        <rFont val="Calibri"/>
      </rPr>
      <t>Locaux de sûreté, garde à vue et zones opérationnelles</t>
    </r>
    <r>
      <rPr>
        <sz val="9"/>
        <rFont val="Calibri"/>
      </rPr>
      <t xml:space="preserve"> ; </t>
    </r>
    <r>
      <rPr>
        <b/>
        <sz val="9"/>
        <rFont val="Calibri"/>
      </rPr>
      <t>Postes de proximité et antennes avec accueil public</t>
    </r>
    <r>
      <rPr>
        <sz val="9"/>
        <rFont val="Calibri"/>
      </rPr>
      <t xml:space="preserve"> ; </t>
    </r>
    <r>
      <rPr>
        <b/>
        <sz val="9"/>
        <rFont val="Calibri"/>
      </rPr>
      <t>Salles de réunion, de prévention ou de conférence ouvertes au public</t>
    </r>
    <r>
      <rPr>
        <sz val="9"/>
        <rFont val="Calibri"/>
      </rPr>
      <t xml:space="preserve"> : </t>
    </r>
    <r>
      <rPr>
        <sz val="9"/>
        <rFont val="Calibri"/>
      </rPr>
      <t>https://www.legifrance.gouv.fr/dossierlegislatif/JORFDOLE000046266613/
https://www.legifrance.gouv.fr/jorf/id/JORFTEXT000047046768
https://www.statistiques.developpement-durable.gouv.fr/construction-de-locaux-resultats-fin-janvier-2026-france-entiere
https://www.insee.fr/fr/statistiques/8671745
https://www.insee.fr/fr/statistiques/8906564Unités d'hébergement des militaires &amp; réservistes ; Centres de recrutement et bureaux d’information ; Restaurants ou équipements sportifs ouverts au public sur emprise militaire ; Salles de conférence, auditoriums et espaces événementiels ouverts au public : https://www.defense.gouv.fr/ministere/politique-defense/loi-programmation-militaire-2024-2030
https://www.defense.gouv.fr/loi-programmation-militaire-2024-2030-grandes-orientations
https://www.statistiques.developpement-durable.gouv.fr/construction-de-locaux-resultats-fin-janvier-2026-france-entiere
https://www.insee.fr/fr/statistiques/8671745
https://www.insee.fr/fr/statistiques/8906564Maisons d’arrêt ; Centres de détention ; Maisons centrales ; Centres pénitentiaires ; Centres de semi-liberté ; Centres éducatifs fermés ; Centres pour peines aménagées : https://www.justice.gouv.fr/presentation-loi-dorientation-programmation-ministere-justice-2023-2027
https://www.justice.gouv.fr/ministere-justice/budget-justice
https://www.justice.gouv.fr/documentation/ressources/rapport-2024-loi-dorientation-programmation-du-ministere-justice-2023-2027
https://www.justice.gouv.fr/plan-15-000-places-prison
https://www.justice.gouv.fr/actualites/actualite/immobilier-penitentiaire-15000-places-plus-prisons
https://www.statistiques.developpement-durable.gouv.fr/construction-de-locaux-resultats-fin-janvier-2026-france-entiere
https://www.insee.fr/fr/statistiques/8671745
https://www.insee.fr/fr/statistiques/8906564Palais de justice et bâtiments judiciaires multi-usages ; Maisons de justice et du droit ; Tribunaux de commerce autonomes ; Conseils de prud’hommes autonomes : https://www.justice.gouv.fr/presentation-loi-dorientation-programmation-ministere-justice-2023-2027
https://www.justice.gouv.fr/ministere-justice/budget-justice
https://www.justice.gouv.fr/documentation/ressources/rapport-2024-loi-dorientation-programmation-du-ministere-justice-2023-2027
https://www.statistiques.developpement-durable.gouv.fr/construction-de-locaux-resultats-fin-janvier-2026-france-entiere
https://www.insee.fr/fr/statistiques/8671745
https://www.insee.fr/fr/statistiques/8906564</t>
    </r>
  </si>
  <si>
    <r>
      <rPr>
        <b/>
        <sz val="9"/>
        <rFont val="Calibri"/>
      </rPr>
      <t>Locaux de sûreté, garde à vue et zones opérationnelles ; Postes de proximité et antennes avec accueil public ; Unités d'hébergement des militaires &amp; réservistes ; Centres de recrutement et bureaux d’information ; Restaurants ou équipements sportifs ouverts au public sur emprise militaire ; Salles de conférence, auditoriums et espaces événementiels ouverts au public ; Palais de justice et bâtiments judiciaires multi-usages ; Maisons de justice et du droit ; Tribunaux de commerce autonomes ; Conseils de prud’hommes autonomes</t>
    </r>
    <r>
      <rPr>
        <sz val="9"/>
        <rFont val="Calibri"/>
      </rPr>
      <t xml:space="preserve"> : BonneMaisons d’arrêt ; Centres de détention ; Maisons centrales ; Centres pénitentiaires ; Centres de semi-liberté ; Centres éducatifs fermés : Élevée</t>
    </r>
  </si>
  <si>
    <r>
      <rPr>
        <b/>
        <sz val="9"/>
        <rFont val="Calibri"/>
      </rPr>
      <t>Locaux de sûreté, garde à vue et zones opérationnelles ; Postes de proximité et antennes avec accueil public</t>
    </r>
    <r>
      <rPr>
        <sz val="9"/>
        <rFont val="Calibri"/>
      </rPr>
      <t xml:space="preserve"> : Parc existant surtout standard. Les ventes restent proches du parc, centré sur standard, sous l’effet des contraintes de sûreté, d’anti-vandalisme et de maintenance. La rénovation restant majoritaire, le mix de ventes reste proche du parc et monte surtout d’un cran sur les opérations lourdes. Police : priorité à la robustesse, à la sûreté et à la continuité de service ; le confort progresse peu hors espaces d’accueil.Unités d'hébergement des militaires &amp; réservistes : Parc existant surtout standard. Les ventes restent proches du parc, centré sur standard, du fait de budgets et de rénovations menées surtout par lots. Le neuf est un peu plus qualitatif que la rénovation, sans renverser le centre de gravité du mix. Parcs militaires d’hébergement : fonctionnels et standardisés, avec montée en qualité essentiellement lors d’opérations immobilières de plus grande ampleur.Centres de recrutement et bureaux d’information ; Salles de conférence, auditoriums et espaces événementiels ouverts au public : Parc existant surtout standard. Les ventes restent proches du parc, centré sur standard / intermédiaire, du fait de budgets et de rénovations menées surtout par lots. La rénovation restant majoritaire, le mix de ventes reste proche du parc et monte surtout d’un cran sur les opérations lourdes. Espaces militaires recevant du public : niveau de confort supérieur au parc purement interne, sans logique de luxe.Restaurants ou équipements sportifs ouverts au public sur emprise militaire : Parc existant surtout standard. Les ventes restent proches du parc, centré sur standard / intermédiaire, du fait de budgets et de rénovations menées surtout par lots. La rénovation restant majoritaire, le mix de ventes reste proche du parc et monte surtout d’un cran sur les opérations lourdes. Espaces militaires recevant du public : niveau de confort supérieur au parc purement interne, sans logique de luxe. Espaces militaires recevant du public : niveau de confort supérieur au parc purement interne, sans logique de luxe.Maisons d’arrêt ; Centres de détention ; Maisons centrales : Parc existant surtout entrée de gamme. Les ventes restent proches du parc, centré sur entrée de gamme / standard, sous l’effet des contraintes de sûreté, d’anti-vandalisme et de maintenance. La rénovation restant majoritaire, le mix de ventes reste proche du parc et monte surtout d’un cran sur les opérations lourdes. Univers carcéral : l’anti-vandalisme, la sûreté et la maintenance dominent très largement le cahier des charges ; le coût unitaire peut être élevé sans traduire un niveau de confort élevé.Centres pénitentiaires : Parc existant surtout standard. Les ventes restent proches du parc, centré sur standard, sous l’effet des contraintes de sûreté, d’anti-vandalisme et de maintenance. Le neuf est un peu plus qualitatif que la rénovation, sans renverser le centre de gravité du mix. Les établissements plus récents ou orientés réinsertion/éducatif montent légèrement en standard, mais le fonctionnel et la robustesse restent déterminants.Centres de semi-liberté : Parc existant surtout standard. Les ventes restent proches du parc, centré sur standard, sous l’effet des contraintes de sûreté, d’anti-vandalisme et de maintenance. La rénovation restant majoritaire, le mix de ventes reste proche du parc et monte surtout d’un cran sur les opérations lourdes. Les établissements plus récents ou orientés réinsertion/éducatif montent légèrement en standard, mais le fonctionnel et la robustesse restent déterminants.Centres éducatifs fermés : Parc existant surtout standard. Les ventes restent proches du parc, centré sur standard, sous l’effet des contraintes de sûreté, d’anti-vandalisme et de maintenance. Le neuf tire clairement le mix plus haut que la rénovation. Les établissements plus récents ou orientés réinsertion/éducatif montent légèrement en standard, mais le fonctionnel et la robustesse restent déterminants.Palais de justice et bâtiments judiciaires multi-usages ; Maisons de justice et du droit ; Tribunaux de commerce autonomes ; Conseils de prud’hommes autonomes : Parc existant surtout standard. Les ventes restent proches du parc, centré sur standard / intermédiaire, du fait de budgets et de rénovations menées surtout par lots. La rénovation restant majoritaire, le mix de ventes reste proche du parc et monte surtout d’un cran sur les opérations lourdes. Bâtiments judiciaires : accueil public et représentation institutionnelle tirent un peu le confort, mais les budgets restent majoritairement standard.</t>
    </r>
  </si>
  <si>
    <r>
      <rPr>
        <b/>
        <sz val="9"/>
        <rFont val="Calibri"/>
      </rPr>
      <t>Locaux de sûreté, garde à vue et zones opérationnelles ; Postes de proximité et antennes avec accueil public ; Unités d'hébergement des militaires &amp; réservistes ; Centres de semi-liberté ; Centres éducatifs fermés ; Palais de justice et bâtiments judiciaires multi-usages ; Maisons de justice et du droit ; Tribunaux de commerce autonomes ; Conseils de prud’hommes autonomes</t>
    </r>
    <r>
      <rPr>
        <sz val="9"/>
        <rFont val="Calibri"/>
      </rPr>
      <t xml:space="preserve"> : ±4 ptsCentres de recrutement et bureaux d’information ; Restaurants ou équipements sportifs ouverts au public sur emprise militaire ; Salles de conférence, auditoriums et espaces événementiels ouverts au public : ±5 ptsMaisons d’arrêt ; Centres de détention ; Maisons centrales ; Centres pénitentiaires : ±3 pts</t>
    </r>
  </si>
  <si>
    <r>
      <rPr>
        <b/>
        <sz val="9"/>
        <rFont val="Calibri"/>
      </rPr>
      <t>Locaux de sûreté, garde à vue et zones opérationnelles ; Postes de proximité et antennes avec accueil public ; Centres pénitentiaires ; Centres de semi-liberté ; Palais de justice et bâtiments judiciaires multi-usages ; Maisons de justice et du droit ; Tribunaux de commerce autonomes ; Conseils de prud’hommes autonomes</t>
    </r>
    <r>
      <rPr>
        <sz val="9"/>
        <rFont val="Calibri"/>
      </rPr>
      <t xml:space="preserve"> : ±4 ptsUnités d'hébergement des militaires &amp; réservistes ; Centres de recrutement et bureaux d’information ; Restaurants ou équipements sportifs ouverts au public sur emprise militaire ; Salles de conférence, auditoriums et espaces événementiels ouverts au public ; Centres éducatifs fermés : ±5 ptsMaisons d’arrêt ; Centres de détention ; Maisons centrales : ±3 pts</t>
    </r>
  </si>
  <si>
    <r>
      <rPr>
        <b/>
        <sz val="9"/>
        <rFont val="Calibri"/>
      </rPr>
      <t>Locaux de sûreté, garde à vue et zones opérationnelles ; Postes de proximité et antennes avec accueil public ; Unités d'hébergement des militaires &amp; réservistes ; Centres de semi-liberté ; Centres éducatifs fermés ; Palais de justice et bâtiments judiciaires multi-usages ; Maisons de justice et du droit ; Tribunaux de commerce autonomes ; Conseils de prud’hommes autonomes</t>
    </r>
    <r>
      <rPr>
        <sz val="9"/>
        <rFont val="Calibri"/>
      </rPr>
      <t xml:space="preserve"> : BonneCentres de recrutement et bureaux d’information ; Restaurants ou équipements sportifs ouverts au public sur emprise militaire ; Salles de conférence, auditoriums et espaces événementiels ouverts au public : Moyenne +Maisons d’arrêt ; Centres de détention ; Maisons centrales ; Centres pénitentiaires : Très bonne</t>
    </r>
  </si>
  <si>
    <r>
      <rPr>
        <b/>
        <sz val="9"/>
        <rFont val="Calibri"/>
      </rPr>
      <t>Locaux de sûreté, garde à vue et zones opérationnelles ; Postes de proximité et antennes avec accueil public</t>
    </r>
    <r>
      <rPr>
        <sz val="9"/>
        <rFont val="Calibri"/>
      </rPr>
      <t xml:space="preserve"> : Police : priorité à la robustesse, à la sûreté et à la continuité de service ; le confort progresse peu hors espaces d’accueil.Unités d'hébergement des militaires &amp; réservistes : Parcs militaires d’hébergement : fonctionnels et standardisés, avec montée en qualité essentiellement lors d’opérations immobilières de plus grande ampleur.Centres de recrutement et bureaux d’information ; Restaurants ou équipements sportifs ouverts au public sur emprise militaire ; Salles de conférence, auditoriums et espaces événementiels ouverts au public : Espaces militaires recevant du public : niveau de confort supérieur au parc purement interne, sans logique de luxe.Maisons d’arrêt ; Centres de détention ; Maisons centrales ; Centres pénitentiaires : Univers carcéral : l’anti-vandalisme, la sûreté et la maintenance dominent très largement le cahier des charges ; le coût unitaire peut être élevé sans traduire un niveau de confort élevé.Centres de semi-liberté ; Centres éducatifs fermés : Les établissements plus récents ou orientés réinsertion/éducatif montent légèrement en standard, mais le fonctionnel et la robustesse restent déterminants.Palais de justice et bâtiments judiciaires multi-usages ; Maisons de justice et du droit ; Tribunaux de commerce autonomes ; Conseils de prud’hommes autonomes : Bâtiments judiciaires : accueil public et représentation institutionnelle tirent un peu le confort, mais les budgets restent majoritairement standard.</t>
    </r>
  </si>
  <si>
    <r>
      <rPr>
        <b/>
        <sz val="9"/>
        <rFont val="Calibri"/>
      </rPr>
      <t>Locaux de sûreté, garde à vue et zones opérationnelles ; Postes de proximité et antennes avec accueil public ; Maisons d’arrêt ; Centres de détention ; Maisons centrales</t>
    </r>
    <r>
      <rPr>
        <sz val="9"/>
        <rFont val="Calibri"/>
      </rPr>
      <t xml:space="preserve"> : forte fréquentation ⇒ standard ↑, premium/luxe ↓ ; rénovation dominante ⇒ progression graduelleUnités d'hébergement des militaires &amp; réservistes ; Centres éducatifs fermés : poids du neuf significatif ⇒ premiumisation des ventes &gt; parcCentres de recrutement et bureaux d’information ; Restaurants ou équipements sportifs ouverts au public sur emprise militaire ; Salles de conférence, auditoriums et espaces événementiels ouverts au public ; Palais de justice et bâtiments judiciaires multi-usages ; Maisons de justice et du droit ; Tribunaux de commerce autonomes ; Conseils de prud’hommes autonomes : image d’accueil ⇒ intermédiaire/premium ↑ ; rénovation dominante ⇒ progression graduelleCentres pénitentiaires : forte fréquentation ⇒ standard ↑, premium/luxe ↓ ; poids du neuf significatif ⇒ premiumisation des ventes &gt; parcCentres de semi-liberté : rénovation dominante ⇒ progression graduelle</t>
    </r>
  </si>
  <si>
    <r>
      <rPr>
        <b/>
        <sz val="9"/>
        <rFont val="Calibri"/>
      </rPr>
      <t>Locaux de sûreté, garde à vue et zones opérationnelles</t>
    </r>
    <r>
      <rPr>
        <sz val="9"/>
        <rFont val="Calibri"/>
      </rPr>
      <t xml:space="preserve"> : Locaux de sûreté, garde à vue et zones opérationnelles : zones de sûreté et garde à vue dominées par la robustesse et l’anti-vandalisme. Ventes 2026-2030 : glissement vers davantage de moyen / premium. La rénovation reste très majoritaire (85% des ventes, contre 15% en neuf) ; le neuf est plus qualitatif mais ne suffit pas à transformer fortement le mix. L’écart de niveau de confort entre neuf et rénovation reste perceptible.Postes de proximité et antennes avec accueil public : Postes de proximité et antennes avec accueil public : petits postes avec accueil public, niveau modeste et fonctionnel. Ventes 2026-2030 : glissement vers davantage de moyen / premium, surtout sur lavabo (+0,7 pts sur premium+luxe). La rénovation reste très majoritaire (88% des ventes, contre 12% en neuf) ; le neuf est plus qualitatif mais ne suffit pas à transformer fortement le mix. L’écart de niveau de confort entre neuf et rénovation reste perceptible.Unités d'hébergement des militaires &amp; réservistes : Unités d'hébergement des militaires &amp; réservistes : hébergements militaires sobres, renouvelés par lots. Ventes 2026-2030 : glissement vers davantage de moyen / premium, surtout sur lavabo (+2,5 pts sur premium+luxe), douche (+2,5 pts sur premium+luxe), WC (+2,3 pts sur premium+luxe). La rénovation reste majoritaire (71% des ventes, contre 29% en neuf) ; le neuf tire le mix vers le haut sans renverser le centre de gravité. L’écart de niveau de confort entre neuf et rénovation reste perceptible.Centres de recrutement et bureaux d’information : Centres de recrutement et bureaux d’information : centres de recrutement plus orientés accueil et image que les hébergements. Ventes 2026-2030 : glissement vers davantage de moyen / premium, surtout sur lavabo (+12,6 pts sur premium+luxe), WC (+10,7 pts sur premium+luxe), urinoir (+7,5 pts sur premium+luxe). La rénovation reste majoritaire (77% des ventes, contre 23% en neuf) ; le neuf tire le mix vers le haut sans renverser le centre de gravité. L’écart de niveau de confort entre neuf et rénovation est net.Restaurants ou équipements sportifs ouverts au public sur emprise militaire : Restaurants ou équipements sportifs ouverts au public sur emprise militaire : espaces recevant du public sur emprise militaire plus proches d’un ERP classique. Ventes 2026-2030 : glissement vers davantage de moyen / premium, surtout sur lavabo (+9,1 pts sur premium+luxe), WC (+7,4 pts sur premium+luxe), urinoir (+4,8 pts sur premium+luxe). La rénovation reste majoritaire (84% des ventes, contre 16% en neuf) ; le neuf tire le mix vers le haut sans renverser le centre de gravité. L’écart de niveau de confort entre neuf et rénovation est net.Salles de conférence, auditoriums et espaces événementiels ouverts au public : Salles de conférence, auditoriums et espaces événementiels ouverts au public : auditoriums/espaces événementiels militaires plus visibles et plus qualitatifs. Ventes 2026-2030 : glissement vers davantage de moyen / premium, surtout sur lavabo (+11,2 pts sur premium+luxe), douche (+10,3 pts sur premium+luxe), WC (+7,8 pts sur premium+luxe). La rénovation reste majoritaire (83% des ventes, contre 17% en neuf) ; le neuf tire le mix vers le haut sans renverser le centre de gravité. L’écart de niveau de confort entre neuf et rénovation est net.Maisons d’arrêt : Maisons d’arrêt : maisons d’arrêt à pression d’usage maximale et budget fonctionnel. Ventes 2026-2030 : glissement vers davantage de moyen / premium. La rénovation reste majoritaire (81% des ventes, contre 19% en neuf) ; le neuf tire le mix vers le haut sans renverser le centre de gravité. L’écart de niveau de confort entre neuf et rénovation reste perceptible.Centres de détention : Centres de détention : centres de détention un peu moins sous tension que les maisons d’arrêt, mais toujours très utilitaires. Ventes 2026-2030 : glissement vers davantage de moyen / premium. La rénovation reste majoritaire (81% des ventes, contre 19% en neuf) ; le neuf tire le mix vers le haut sans renverser le centre de gravité. L’écart de niveau de confort entre neuf et rénovation reste perceptible.Maisons centrales : Maisons centrales : maisons centrales très sécurisées et anti-vandalisme. Ventes 2026-2030 : glissement vers davantage de moyen / premium. La rénovation reste majoritaire (80% des ventes, contre 20% en neuf) ; le neuf tire le mix vers le haut sans renverser le centre de gravité. L’écart de niveau de confort entre neuf et rénovation reste perceptible.Centres pénitentiaires : Centres pénitentiaires : centres pénitentiaires mixtes mais encore pilotés par robustesse. Ventes 2026-2030 : glissement vers davantage de moyen / premium. Le neuf pèse suffisamment (37% des ventes) pour relever le niveau de confort moyen au-dessus de la rénovation (63%). L’écart de niveau de confort entre neuf et rénovation reste perceptible.Centres de semi-liberté : Centres de semi-liberté : semi-liberté avec logique plus proche du résidentiel encadré. Ventes 2026-2030 : glissement vers davantage de moyen / premium, surtout sur lavabo (+2,8 pts sur premium+luxe), douche (+2,6 pts sur premium+luxe), WC (+2,6 pts sur premium+luxe). La rénovation reste majoritaire (84% des ventes, contre 16% en neuf) ; le neuf tire le mix vers le haut sans renverser le centre de gravité. L’écart de niveau de confort entre neuf et rénovation est net.Centres éducatifs fermés : Centres éducatifs fermés : centres éducatifs fermés un peu moins durs que le carcéral adulte. Ventes 2026-2030 : glissement vers davantage de moyen / premium, surtout sur lavabo (+8,4 pts sur premium+luxe), WC (+7,7 pts sur premium+luxe), douche (+6,3 pts sur premium+luxe). Le neuf pèse suffisamment (49% des ventes) pour relever le niveau de confort moyen au-dessus de la rénovation (51%). L’écart de niveau de confort entre neuf et rénovation est net.Palais de justice et bâtiments judiciaires multi-usages : Palais de justice et bâtiments judiciaires multi-usages : palais de justice multi-usages où l’image institutionnelle pèse dans les halls. Ventes 2026-2030 : glissement vers davantage de moyen / premium, surtout sur lavabo (+12,1 pts sur premium+luxe), WC (+9,4 pts sur premium+luxe), urinoir (+6,9 pts sur premium+luxe). La rénovation reste très majoritaire (85% des ventes, contre 15% en neuf) ; le neuf est plus qualitatif mais ne suffit pas à transformer fortement le mix. L’écart de niveau de confort entre neuf et rénovation est net.Maisons de justice et du droit : Maisons de justice et du droit : maisons de justice au budget plus serré et dimension de proximité. Ventes 2026-2030 : glissement vers davantage de moyen / premium, surtout sur lavabo (+10,9 pts sur premium+luxe), WC (+9,2 pts sur premium+luxe), urinoir (+8,3 pts sur premium+luxe). La rénovation reste majoritaire (79% des ventes, contre 21% en neuf) ; le neuf tire le mix vers le haut sans renverser le centre de gravité. L’écart de niveau de confort entre neuf et rénovation est net.Tribunaux de commerce autonomes : Tribunaux de commerce autonomes : tribunaux de commerce autonomes, souvent plus compacts et plus soignés. Ventes 2026-2030 : glissement vers davantage de moyen / premium, surtout sur lavabo (+11,3 pts sur premium+luxe), WC (+8,5 pts sur premium+luxe), urinoir (+7,9 pts sur premium+luxe). La rénovation reste très majoritaire (87% des ventes, contre 13% en neuf) ; le neuf est plus qualitatif mais ne suffit pas à transformer fortement le mix. L’écart de niveau de confort entre neuf et rénovation est net.Conseils de prud’hommes autonomes : Conseils de prud’hommes autonomes : prud’hommes plus sobres et rationnels. Ventes 2026-2030 : glissement vers davantage de moyen / premium, surtout sur lavabo (+9,7 pts sur premium+luxe), WC (+8,2 pts sur premium+luxe), urinoir (+7,7 pts sur premium+luxe). La rénovation reste très majoritaire (87% des ventes, contre 13% en neuf) ; le neuf est plus qualitatif mais ne suffit pas à transformer fortement le mix. L’écart de niveau de confort entre neuf et rénovation est net.</t>
    </r>
  </si>
  <si>
    <t>1 - Sanitaires publics</t>
  </si>
  <si>
    <t>1 - Funéraire</t>
  </si>
  <si>
    <t>NOMBRE ETABLISSEMENTS 2025-2030 &amp; VOLUMES PAR TYPE DE PRODUIT / Parc 2025 - Parc 2030</t>
  </si>
  <si>
    <t>Nbre Établissements</t>
  </si>
  <si>
    <t xml:space="preserve">             Variation</t>
  </si>
  <si>
    <t>Parc 2030</t>
  </si>
  <si>
    <t>Inclure dans
Total France (1/0)</t>
  </si>
  <si>
    <t>Rang 2030</t>
  </si>
  <si>
    <t>Rang 2025</t>
  </si>
  <si>
    <t>Catégorie Chapeau</t>
  </si>
  <si>
    <t>Segment Principal</t>
  </si>
  <si>
    <t>Annuelle (%)</t>
  </si>
  <si>
    <t>Pièces Total
2030</t>
  </si>
  <si>
    <t>Pièces Total
par Etab</t>
  </si>
  <si>
    <t>Pièces Lavabo</t>
  </si>
  <si>
    <t>Pièces Lavabo
par Etab</t>
  </si>
  <si>
    <t>Pièces Douche</t>
  </si>
  <si>
    <t>Pièces Douche
par Etab</t>
  </si>
  <si>
    <t>Pièces Urinoirs</t>
  </si>
  <si>
    <t>Pièces Urinoirs
par Etab</t>
  </si>
  <si>
    <t>Pièces
WC</t>
  </si>
  <si>
    <t>Pièces WC
par Etab</t>
  </si>
  <si>
    <t>Total France (1/0)</t>
  </si>
  <si>
    <t>Tous segments</t>
  </si>
  <si>
    <t>Total pondéré</t>
  </si>
  <si>
    <t xml:space="preserve">               </t>
  </si>
  <si>
    <t xml:space="preserve">      Nombre Pièces - Robinetterie collectivité</t>
  </si>
  <si>
    <t>Nombre Etablissements</t>
  </si>
  <si>
    <t xml:space="preserve"> par Etablissement</t>
  </si>
  <si>
    <t>Justification Evolution-Variation
2026-2030</t>
  </si>
  <si>
    <t>Justification de la projection
2026-2030</t>
  </si>
  <si>
    <t>Classement Global sur 
31 Segments</t>
  </si>
  <si>
    <t>Classement sur 32 
Segments</t>
  </si>
  <si>
    <t>Progression Annuelle en % =&gt;</t>
  </si>
  <si>
    <t>Enfance, Enseignement &amp; Jeunesse</t>
  </si>
  <si>
    <t>Crèches : Établissements d’éveil / petite enfance recevant du public.</t>
  </si>
  <si>
    <t>Crèches : Crèche municipale, micro-crèche</t>
  </si>
  <si>
    <t>Consolidation pondérée des sous-segments</t>
  </si>
  <si>
    <t>Crèches : Pas de stagnation structurelle : la série évolue à la hausse sur la période 2000-2026 ; la projection prolonge cette tendance avec prudence.</t>
  </si>
  <si>
    <t>ancrage DREES 2023 sur les EAJE, puis prolongement 2024-2026. Dynamique projetée 2027-2030: hausse modérée. Fiabilité: bonne.</t>
  </si>
  <si>
    <t>Crèches : Bloc enfants + bloc adultes ; comptage limité aux sanitaires collectifs, sans cabine individuelle.</t>
  </si>
  <si>
    <t>Crèches : Capacité type ≈ 31 usagers principaux + 8 staff + 1 parents/accompagnants. Le programme sanitaire est construit par blocs fonctionnels plausibles (public, personnel, exploitation/hébergement selon le cas) et non par simple ratio national moyen. Calibrage selon capacité simultanée, répartition de flux et organisation réelle du site.</t>
  </si>
  <si>
    <t>Crèches : Usage très régulier avec nettoyage fréquent et petites dégradations usuelles. Les temporisés mécaniques gardent un avantage tangible sur les mitigeurs en environnement partagé. L'électronique est abaissée car les cellules, alimentations et réglages vieillissent plus vite que les organes purement mécaniques. Rénovation souvent par blocs lors des vacances scolaires. Enseignement intensif sous contrainte budgétaire : Pics interclasses, usage quotidien élevé, vandalisme modéré et budgets publics souvent lissés. Le temporisé et la chasse directe tiennent mieux que le manuel/réservoir en usage intensif.</t>
  </si>
  <si>
    <t>Crèches : Parc commun plutôt petit et assisté : le mitigeur manuel reste majoritaire sur les lave-mains enfants/adultes, avec une part de temporisé sur zones personnel/usage intensif ; l’électronique reste marginale. Ajustement ciblé 2025 : légère baisse du mitigeur et/ou légère hausse de l’électronique pour mieux refléter la modernisation déjà visible sur les rénovations de sanitaires communs.</t>
  </si>
  <si>
    <t>Crèches : Évolution modérée d’ici 2030 : le mitigeur recule un peu au profit du temporisé/électronique, mais le parc reste très manuel sur les points enfants et le renouvellement est lent.</t>
  </si>
  <si>
    <t>Crèches : Sans objet.</t>
  </si>
  <si>
    <t>Crèches : Les WC restent très majoritairement à réservoir sur ce parc, plus simple et plus proche d’un usage d’habitat collectif ; la chasse directe reste minoritaire.</t>
  </si>
  <si>
    <t>Crèches : Les WC restent très majoritairement à réservoir ; la chasse directe gagne un peu de terrain mais sans renverser le parc d’ici 2030.</t>
  </si>
  <si>
    <t>Crèches : Potentiel rénovation élevé : remise à niveau des blocs enfants/personnel, exigences d’hygiène et d’usage intensif, souvent intégrées à des travaux communaux ou délégations de service public. Les volumes restent d’abord tirés par les WC et les lavabos, plus que par les postes spécialisés. En rénovation, le marché reste favorable aux gammes robustes et simples d’entretien, compatibles avec des chantiers par tranches et des budgets contraints.</t>
  </si>
  <si>
    <t>Crèches : Potentiel neuf moyen à soutenu : créations et extensions encore réelles via le service public de la petite enfance, les micro-crèches et les territoires en tension, mais freinées par les coûts d’exploitation et la pénurie de personnels. Le neuf est significatif mais encore nettement inférieur à la rénovation.</t>
  </si>
  <si>
    <t>Crèches : Projets phares réno : réfection de blocs enfants/adultes, espaces de change et douches ponctuelles, adaptation climatique, accessibilité et reprises sanitaires lors de rénovations thermiques.</t>
  </si>
  <si>
    <t>Crèches : Projets phares neuf : micro-crèches, crèches municipales/associatives, créations en quartiers neufs ou opérations mixtes, extensions de capacité lorsque le besoin local est documenté.</t>
  </si>
  <si>
    <t>Crèches : Dynamique réno 2026-2030 : soutenue et régulière, car les communes et gestionnaires arbitrent plus facilement des travaux ciblés que des créations nettes. Menaces : budget communal, tension sur l’exploitation et travaux en site occupé.</t>
  </si>
  <si>
    <t>Crèches : Dynamique neuf 2026-2030 : réelle mais sélective ; la volonté politique existe avec le service public de la petite enfance, mais l’écart entre besoin théorique, financement et mise en service effective peut rester marqué.</t>
  </si>
  <si>
    <t>Voir Analyse ERP par Sous-segment</t>
  </si>
  <si>
    <t>Voir détail par Sous-Segment</t>
  </si>
  <si>
    <t>Écoles maternelles
Écoles primaires 
Collèges (vestiaires EPS inclus)
Lycées (vestiaires EPS inclus)
Internats scolaires</t>
  </si>
  <si>
    <t>ERP / ERP spécialisé</t>
  </si>
  <si>
    <t>Écoles maternelles : Établissements d’enseignement.
Écoles primaires : Établissements d’enseignement.
Collèges
(vestiaires EPS inclus) : Établissements d’enseignement secondaire.
Lycées
(vestiaires EPS inclus) : Établissements d’enseignement secondaire.
Internats scolaires : Souvent rattachés à un établissement d’enseignement avec locaux à sommeil.</t>
  </si>
  <si>
    <t>Écoles maternelles : École maternelle publique
Écoles primaires : École élémentaire privée ou publique
Collèges
(vestiaires EPS inclus) : Collège public, collège privé
Lycées
(vestiaires EPS inclus) : Lycée général, professionnel, technique
Internats scolaires : Internat de lycée</t>
  </si>
  <si>
    <t>Écoles maternelles / Écoles primaires : Stock institutionnel d’enseignement très administré ; les ouvertures/fermetures nettes restent limitées, d’où une variation faible.
Collèges (vestiaires EPS inclus) : Le parc de collèges est très stable à l’échelle nationale ; la faible variation reflète un stock institutionnel mature, avec peu de changements nets d’une année sur l’autre.
Lycées (vestiaires EPS inclus) : Le parc de lycées est un stock institutionnel très administré ; à l’échelle nationale, les ouvertures et fermetures nettes sont peu nombreuses, ce qui explique la quasi-stagnation.
Internats scolaires : Le stock d’internats évolue peu à court terme ; les créations/fermetures sont rares et l’annuaire public disponible ne couvre pas de façon exhaustive tous les cas, d’où une série quasi stable.</t>
  </si>
  <si>
    <t>Ancrage BPE 2024, puis prolongement très prudent de la baisse du stock scolaire.; La projection 2027-2030 reste peu dynamique.; Fiabilité: bonne.; Ancrage BPE 2024, puis prolongement prudent d’un parc du premier degré très peu mobile.; Projection quasi stable à légère baisse.; Série recalée sur la BPE 2024</t>
  </si>
  <si>
    <t>https://www.insee.fr/fr/statistiques/8610258?geo=FE-1
https://www.data.gouv.fr/fr/datasets/annuaire-des-internats/</t>
  </si>
  <si>
    <t>Écoles maternelles : Noyaux sanitaires enfants par classe + bloc adultes ; très peu de douches.
Écoles primaires : Application d'un schéma scolaire élémentaire : blocs filles/garçons + sanitaires adultes. Très peu de douches.
Collèges
(vestiaires EPS inclus) : Blocs élèves filles/garçons + sanitaires adultes + vestiaires sportifs séparés (si capacité ≥5 pers.). Très peu de douches en proportion.
Lycées
(vestiaires EPS inclus) : Blocs élèves filles/garçons + sanitaires adultes + vestiaires sportifs séparés (si capacité ≥5 pers.). Très peu de douches en proportion.
Internats scolaires : Blocs collectifs d'hébergement/étage ; exclusion des chambres avec sanitaires privatifs.</t>
  </si>
  <si>
    <t>Écoles maternelles : Capacité type ≈ 129 enfants + 15 adultes + 6 parents/accompagnants/intervenants. Programme par noyaux sanitaires au plus près des classes, sans urinoirs ni douches. Répartition par bâtiments/petites sections justifie un léger surdimensionnement par rapport au seul ratio théorique. Calibrage selon capacité simultanée, répartition de flux et organisation réelle du site.
Écoles primaires : Capacité type ≈ 225 élèves + 20 adultes + 5 accompagnants/intervenants. Base ONS : 1 WC/20 filles, 1 WC/40 garçons + 1 urinoir/20 garçons et 1 point d'eau/20 élèves ; ajout d'un petit bloc adultes et arrondi par bâtiment. Calibrage selon capacité simultanée, répartition de flux et organisation réelle du site.
Collèges
(vestiaires EPS inclus) : Capacité type ≈ 432 apprenants + 38 adultes + 10 intervenants/visiteurs. Base scolaire dérivée du référentiel ONS pour les élèves, complétée par sanitaires adultes ; ajout de vestiaires sportifs séparés lorsqu'ils desservent au moins 5 personnes. Calibrage selon capacité simultanée, répartition de flux et organisation réelle du site.
Lycées
(vestiaires EPS inclus) : Capacité type ≈ 549 apprenants + 49 adultes + 12 intervenants/visiteurs. Base scolaire dérivée du référentiel ONS pour les élèves, complétée par sanitaires adultes ; ajout de vestiaires sportifs séparés lorsqu'ils desservent au moins 5 personnes. Calibrage selon capacité simultanée, répartition de flux et organisation réelle du site.
Internats scolaires : Capacité type ≈ 162 résidents/usagers + 14 staff + 4 accompagnants/intervenants. Hypothèse d'hébergement collectif : sanitaires d'étage et douches communes, hors chambres purement privatives. Calibrage selon capacité simultanée, répartition de flux et organisation réelle du site.</t>
  </si>
  <si>
    <t>https://www.education.gouv.fr/sites/default/files/imported_files/document/ONS-Les-sanitaires-dans-les-ecoles-elementaires_391494.pdf</t>
  </si>
  <si>
    <t>Écoles maternelles : Usage très régulier avec nettoyage fréquent et petites dégradations usuelles. Les temporisés mécaniques gardent un avantage tangible sur les mitigeurs en environnement partagé. L'électronique est abaissée car les cellules, alimentations et réglages vieillissent plus vite que les organes purement mécaniques. Rénovation souvent par blocs lors des vacances scolaires. Enseignement intensif sous contrainte budgétaire : Pics interclasses, usage quotidien élevé, vandalisme modéré et budgets publics souvent lissés. Le temporisé et la chasse directe tiennent mieux que le manuel/réservoir en usage intensif.
Écoles primaires / Collèges (vestiaires EPS inclus) : Les pics d'interclasse, le vandalisme opportuniste et les sollicitations fortes raccourcissent surtout mitigeurs et électroniques. Les temporisés mécaniques restent privilégiés car plus robustes et mieux adaptés à l'usage collectif intensif. Les remplacements se font au fil des pannes puis par campagnes lors des réhabilitations de blocs sanitaires. Enseignement intensif sous contrainte budgétaire : Pics interclasses, usage quotidien élevé, vandalisme modéré et budgets publics souvent lissés. Le temporisé et la chasse directe tiennent mieux que le manuel/réservoir en usage intensif.
Lycées (vestiaires EPS inclus) : Usage élevé mais un peu mieux réparti dans la journée. budgets hétérogènes selon les campus. Les temporisés mécaniques restent au-dessus des mitigeurs en usage partagé, tandis que l'électronique est gardée plus courte à cause des capteurs, piles/secteur et cartes. Renouvellement mixte : correctif au fil de l'eau puis rénovation par bâtiment. Campus tertiaire / enseignement supérieur : Usage adulte, fréquentation soutenue mais moins agressive, rénovations périodiques de campus et obligations de mise à niveau tertiaire.
Internats scolaires : Présence jour/nuit, humidité régulière et entretien variable selon l'exploitant. Les durées restent intermédiaires : plus longues qu'en collège pur, mais plus courtes qu'en hôtellerie classique. Les technos électroniques restent pénalisées par maintenance et alimentation. Les remplacements se font souvent par lots lors de rénovation des étages ou blocs d'hébergement. Résidentiel éducatif / jeunesse : Usage résidentiel ou semi-résidentiel, douches plus sollicitées, pics saisonniers mais moindre vandalisme que le scolaire de jour.</t>
  </si>
  <si>
    <t>Écoles maternelles : Sur le parc existant, les lave-mains de maternelle gardent une base importante de mitigeurs simples, mais les rénovations de blocs élèves font fortement appel au temporisé mécanique, robuste et économe.
Écoles primaires : Dans les écoles primaires, le parc commun est dominé par le temporisé mécanique, recherché pour l’anti-vandalisme et les économies d’eau ; le manuel subsiste surtout dans petits blocs ou zones adultes.
Collèges (vestiaires EPS inclus) / Lycées (vestiaires EPS inclus) : Sur collèges, lycées et CFA, le temporisé mécanique domine nettement le parc commun, car il combine robustesse, anti-blocage et maîtrise des débits ; l’électronique monte mais reste minoritaire en stock.
Internats scolaires : Dans les internats et résidences étudiantes en bloc commun, le parc existant reste partagé entre mitigeurs manuels et temporisés ; l’électronique progresse surtout dans les rénovations récentes.</t>
  </si>
  <si>
    <t>Écoles maternelles / Écoles primaires / Collèges (vestiaires EPS inclus) / Lycées
(vestiaires EPS inclus) : D’ici 2030, recul modéré du mitigeur et léger recul du temporisé mécanique au profit de l’électronique dans les rénovations de blocs ; le temporisé mécanique reste néanmoins dominant pour robustesse, anti-vandalisme et maîtrise des débits.
Internats scolaires : Projection prudente : progression de l’électronique surtout dans les rénovations de parties communes, mais le mitigeur et le temporisé restent centraux sur les blocs de type hébergement collectif.</t>
  </si>
  <si>
    <t>Écoles maternelles / Écoles primaires / Collèges
(vestiaires EPS inclus) / Lycées
(vestiaires EPS inclus) : Sans objet.
Internats scolaires : Le parc de douches communes reste majoritairement mécanique/temporisé, mais une forte part de mitigeurs persiste dans les ensembles résidentiels ou réhabilités plus confort.</t>
  </si>
  <si>
    <t>Écoles maternelles / Écoles primaires / Collèges (vestiaires EPS inclus) / Lycées (vestiaires EPS inclus) : Sans objet.
Internats scolaires : Progression limitée de l’électronique : les douches communes restent surtout manuelles/temporisées selon le niveau de confort recherché.</t>
  </si>
  <si>
    <t>Écoles maternelles : Sans objet.
Écoles primaires : Les urinoirs existants restent surtout en chasse directe mécanique ou en configuration collective ancienne (rampe/batterie) ; l’automatique reste minoritaire hors rénovations récentes.
Collèges (vestiaires EPS inclus) / Lycées (vestiaires EPS inclus) : Le parc d’urinoirs est encore surtout mécanique/direct, avec un reliquat de rampes collectives dans les ensembles anciens et une part d’automatique concentrée sur les rénovations.
Internats scolaires : On retrouve un mix d’urinoirs mécaniques et de collectifs anciens, l’automatique restant secondaire dans le parc existant.</t>
  </si>
  <si>
    <t>Écoles maternelles / Écoles primaires / Collèges (vestiaires EPS inclus) / Lycées (vestiaires EPS inclus) : Baisse graduelle des réservoirs et des rampes/collectifs les plus anciens, au profit de chasses directes ; l’automatique progresse mais le mécanique reste fort pour le coût et la robustesse.
Internats scolaires : Les urinoirs collectifs anciens reculent lentement ; la montée de l’automatique reste réelle mais modérée.</t>
  </si>
  <si>
    <t>Écoles maternelles : La majorité du stock reste en réservoir ; la chasse directe progresse en rénovation de blocs scolaires mais demeure minoritaire à l’échelle du parc.
Écoles primaires : Le parc WC reste mixte, avec une majorité de réservoirs hérités et une part significative de chasses directes dans les blocs rénovés.
Collèges (vestiaires EPS inclus) / Lycées (vestiaires EPS inclus) : Le parc WC est presque à l’équilibre entre réservoir et chasse directe, cette dernière étant mieux adaptée aux usages intensifs des ERP scolaires ; l’électronique reste de niche.
Internats scolaires : Les WC à réservoir restent majoritaires sur ce parc de type hébergement collectif ; la chasse directe progresse mais reste minoritaire à l’échelle du stock.</t>
  </si>
  <si>
    <t>Écoles maternelles / Écoles primaires / Collèges
(vestiaires EPS inclus) / Lycées
(vestiaires EPS inclus) : Le réservoir recule progressivement dans les blocs rénovés au profit de la chasse directe, avec une percée encore mesurée de l’électronique.
Internats scolaires : Le parc reste plutôt résidentiel/collectif : le réservoir demeure dominant, avec une progression graduelle de la chasse directe.</t>
  </si>
  <si>
    <t>Voir détail par sous-segment</t>
  </si>
  <si>
    <t>Écoles maternelles : Potentiel rénovation très élevé : très porté par EduRénov, l’adaptation aux vagues de chaleur, l’accessibilité et la remise à niveau de blocs souvent anciens. Les volumes restent d’abord tirés par les WC et les lavabos, plus que par les postes spécialisés. En rénovation, le marché reste favorable aux gammes robustes et simples d’entretien, compatibles avec des chantiers par tranches et des budgets contraints.
Écoles primaires : Potentiel rénovation très élevé : très porté par EduRénov, l’adaptation aux vagues de chaleur, l’accessibilité et la remise à niveau de blocs souvent anciens.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
Collèges (vestiaires EPS inclus) / Lycées (vestiaires EPS inclus) : Potentiel rénovation très élevé : bâtiments souvent énergivores, vestiaires EPS et sanitaires fortement sollicités, avec chantiers programmés pendant les vacances.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
Internats scolaires : Potentiel rénovation élevé : salles d’eau et blocs sanitaires très usés par l’hébergement, avec exigences de confort, sécurité et attractivité. La douche pèse au-dessus de la moyenne, avec des contraintes d’humidité, de corrosion et d’entretien qui accélèrent le remplacement. En rénovation, le marché reste favorable aux gammes robustes et simples d’entretien, compatibles avec des chantiers par tranches et des budgets contraints.</t>
  </si>
  <si>
    <t>Écoles maternelles / Écoles primaires : Potentiel neuf faible : surtout concentré sur les regroupements scolaires, reconstructions et zones de croissance résidentielle. La baisse ou la stagnation démographique bride toutefois la diffusion du neuf au niveau national. Le neuf est quasi nul dans le modèle et renvoie surtout à des reconstructions ou remplacements de sites.
Collèges (vestiaires EPS inclus) : Potentiel neuf faible : reconstructions lourdes, extensions et créations ciblées selon la carte scolaire et les besoins territoriaux des départements. Le neuf est quasi nul dans le modèle et renvoie surtout à des reconstructions ou remplacements de sites.
Lycées (vestiaires EPS inclus) : Potentiel neuf faible : reconstructions lourdes, extensions et créations ciblées selon la carte scolaire et les besoins territoriaux des régions. Le neuf est quasi nul dans le modèle et renvoie surtout à des reconstructions ou remplacements de sites.
Internats scolaires : Potentiel neuf faible à moyen : porté par quelques internats/reconstructions et surtout par la tension de logement étudiant pour les résidences. Le neuf est très minoritaire et opportuniste.</t>
  </si>
  <si>
    <t>Écoles maternelles / Écoles primaires : Projets phares réno : réhabilitation des sanitaires élèves/personnel, amélioration de ventilation, accessibilité, reprise des vestiaires éventuels et rénovation énergétique des écoles.
Collèges (vestiaires EPS inclus) / Lycées (vestiaires EPS inclus) : Projets phares réno : blocs sanitaires élèves/personnel, vestiaires EPS, accessibilité, confort d’été et rénovation énergétique globale des établissements.
Internats scolaires : Projets phares réno : chambres, sanitaires d’étage, douches, blocs PMR et modernisation énergétique des bâtiments d’hébergement.</t>
  </si>
  <si>
    <t>Écoles maternelles / Écoles primaires : Projets phares neuf : groupes scolaires, extensions ponctuelles, reconstructions après fermeture/remplacement de sites, opérations ANRU et projets de quartier.
Collèges (vestiaires EPS inclus) / Lycées (vestiaires EPS inclus) : Projets phares neuf : collèges/lycées reconstruits, internats, extensions de capacité, opérations liées à la croissance locale ou à la reconfiguration de la carte scolaire.
Internats scolaires : Projets phares neuf : internats reconstruits, résidences étudiantes nouvelles, extensions de capacité ou opérations mixtes avec campus.</t>
  </si>
  <si>
    <t>Écoles maternelles / Écoles primaires : Dynamique réno 2026-2030 : structurellement forte, car le parc public est vaste et les enjeux de confort d’été/énergie rendent les blocs humides difficilement évitables dans les programmes de travaux. Menaces : séquençage budgétaire communal et capacité d’ingénierie.
Collèges (vestiaires EPS inclus) / Lycées (vestiaires EPS inclus) : Dynamique réno 2026-2030 : élevée, soutenue par les obligations énergétiques, le confort d’usage et la rotation importante des équipements. Menaces : arbitrages des collectivités et décalages de calendrier.
Internats scolaires : Dynamique réno 2026-2030 : élevée, car l’hébergement rend visibles l’obsolescence et le confort insuffisant. Menaces : exploitation continue, phasage et arbitrages publics.</t>
  </si>
  <si>
    <t>Écoles maternelles / Écoles primaires : Dynamique neuf 2026-2030 : faible à modérée et très localisée ; les projets existent, mais le ralentissement démographique dans une partie du territoire et la priorité donnée à la rénovation limitent les volumes.
Collèges
(vestiaires EPS inclus) / Lycées
(vestiaires EPS inclus) : Dynamique neuf 2026-2030 : modérée et très sélective ; les projets lourds existent mais restent peu nombreux, avec un fort écart entre intentions politiques et mises en chantier effectives.
Internats scolaires : Dynamique neuf 2026-2030 : plus réelle que dans le scolaire classique, mais concentrée sur quelques pôles d’attractivité et opérateurs. Menaces : coût de sortie, montage immobilier et sélectivité des financements.</t>
  </si>
  <si>
    <t>Universités
Grandes écoles
Résidences étudiantes et dortoirs</t>
  </si>
  <si>
    <t>R / Variable</t>
  </si>
  <si>
    <t>ERP / Cas particulier</t>
  </si>
  <si>
    <t>ERP / mixte</t>
  </si>
  <si>
    <t>Universités : Enseignement supérieur / amphithéâtres / salles de cours.
Grandes écoles : Établissements d’enseignement supérieur.
Résidences étudiantes et dortoirs : Selon exploitation réelle, sommeil et espaces collectifs ouverts au public.</t>
  </si>
  <si>
    <t>Universités : Campus universitaire
Grandes écoles : École d’ingénieurs, école de commerce
Résidences étudiantes et dortoirs : Résidence CROUS, foyer étudiant</t>
  </si>
  <si>
    <t>Universités : Stock institutionnel d’enseignement très administré ; les ouvertures/fermetures nettes restent limitées, d’où une variation faible.
Grandes écoles / Résidences étudiantes et dortoirs : Pas de stagnation structurelle : la série évolue à la hausse sur la période 2000-2026 ; la projection prolonge cette tendance avec prudence.</t>
  </si>
  <si>
    <t>proxy par nombre d’universités et établissements assimilés.; Dynamique projetée 2027-2030: quasi stable.; Fiabilité: bonne.; proxy sur établissements publics/privés du supérieur.; Dynamique projetée 2027-2030: hausse légère.; Fiabilité: moyenne</t>
  </si>
  <si>
    <t>https://www.enseignementsup-recherche.gouv.fr/fr/effectifs-universitaires-en-2024-2025-99301
https://data.enseignementsup-recherche.gouv.fr/explore/assets/fr-esr-statistiques-sur-les-effectifs-d-etudiants-inscrits-par-etablissement-hcp/</t>
  </si>
  <si>
    <t>Universités : Programme de campus : sanitaires publics répartis par bâtiments d'enseignement, hors résidences.
Grandes écoles : Programme de campus : sanitaires publics répartis par bâtiments d'enseignement, hors résidences.
Résidences étudiantes et dortoirs : Blocs collectifs d'hébergement/étage ; exclusion des chambres avec sanitaires privatifs.</t>
  </si>
  <si>
    <t>Universités : Capacité type ≈ 10320 usagers + 1200 staff + 480 visiteurs/intervenants/prestataires présents. Dimensionnement par batteries sanitaires de bâtiments d'enseignement, bibliothèques, restauration et administration, sans résidences ; quelques douches conservées pour sport/maintenance. Calibrage selon capacité simultanée, répartition de flux et organisation réelle du site.
Grandes écoles : Capacité type ≈ 1290 usagers + 150 staff + 60 visiteurs/intervenants/prestataires présents. Dimensionnement par batteries sanitaires de bâtiments d'enseignement, bibliothèques, restauration et administration, sans résidences ; quelques douches conservées pour sport/maintenance. Calibrage selon capacité simultanée, répartition de flux et organisation réelle du site.
Résidences étudiantes et dortoirs : Capacité type ≈ 162 résidents/usagers + 14 staff + 4 visiteurs/intervenants. Hypothèse d'hébergement collectif : sanitaires d'étage et douches communes, hors chambres purement privatives. Calibrage selon capacité simultanée, répartition de flux et organisation réelle du site.</t>
  </si>
  <si>
    <t>Universités : Usage élevé mais un peu mieux réparti dans la journée. budgets hétérogènes selon les campus. Les temporisés mécaniques restent au-dessus des mitigeurs en usage partagé, tandis que l'électronique est gardée plus courte à cause des capteurs, piles/secteur et cartes. Renouvellement mixte : correctif au fil de l'eau puis rénovation par bâtiment. Campus tertiaire / enseignement supérieur : Usage adulte, fréquentation soutenue mais moins agressive, rénovations périodiques de campus et obligations de mise à niveau tertiaire.
Grandes écoles : Présence jour/nuit, humidité régulière et entretien variable selon l'exploitant. Les durées restent intermédiaires : plus longues qu'en collège pur, mais plus courtes qu'en hôtellerie classique. Les technos électroniques restent pénalisées par maintenance et alimentation. Les remplacements se font souvent par lots lors de rénovation des étages ou blocs d'hébergement. Résidentiel éducatif / jeunesse : Usage résidentiel ou semi-résidentiel, douches plus sollicitées, pics saisonniers mais moindre vandalisme que le scolaire de jour.
Résidences étudiantes et dortoirs : Usage partagé régulier, vandalisme limité et maintenance patrimoniale classique. Les temporisés mécaniques restent légèrement au-dessus des mitigeurs car l'oubli de fermeture et l'usure des cartouches jouent moins. L'électronique est plus courte surtout pour des raisons de capteurs, piles/secteur et réglages. Rénovation mixte, plutôt opportuniste puis par lots lors des travaux. Loisirs jeunesse / usage saisonnier : Fréquentation par pics, usage parfois extérieur/saisonnier, surveillance variable et maintenance souvent concentrée hors saison.</t>
  </si>
  <si>
    <t>Universités / Grandes écoles : Le parc universitaire/grandes écoles est plus mixte : temporisé mécanique et électronique coexistent largement dans les sanitaires communs, l’électronique étant plus présente que dans le scolaire grâce aux rénovations tertiaires/campus.
Résidences étudiantes et dortoirs : Dans les internats et résidences étudiantes en bloc commun, le parc existant reste partagé entre mitigeurs manuels et temporisés ; l’électronique progresse surtout dans les rénovations récentes.</t>
  </si>
  <si>
    <t>Universités / Grandes écoles : Les campus basculent plus vite que le scolaire vers l’électronique sur les rénovations 2025-2030, tout en gardant un socle temporisé mécanique dans les zones les plus intensives.
Résidences étudiantes et dortoirs : Projection prudente : progression de l’électronique surtout dans les rénovations de parties communes, mais le mitigeur et le temporisé restent centraux sur les blocs de type hébergement collectif.</t>
  </si>
  <si>
    <t>Universités / Grandes écoles : Quand il existe des douches communes, le temporisé mécanique domine encore, mais l’électronique apparaît dans les rénovations plus récentes.
Résidences étudiantes et dortoirs : Le parc de douches communes reste majoritairement mécanique/temporisé, mais une forte part de mitigeurs persiste dans les ensembles résidentiels ou réhabilités plus confort.</t>
  </si>
  <si>
    <t>Universités / Grandes écoles : Les douches communes de campus gagnent un peu d’électronique, mais le temporisé mécanique reste dominant pour le coût et la tenue en usage collectif.
Résidences étudiantes et dortoirs : Progression limitée de l’électronique : les douches communes restent surtout manuelles/temporisées selon le niveau de confort recherché.</t>
  </si>
  <si>
    <t>Universités / Grandes écoles : Les urinoirs basculent progressivement vers l’automatique dans les bâtiments récents, mais le parc installé reste encore largement partagé avec la chasse directe mécanique.
Résidences étudiantes et dortoirs : On retrouve un mix d’urinoirs mécaniques et de collectifs anciens, l’automatique restant secondaire dans le parc existant.</t>
  </si>
  <si>
    <t>Universités / Grandes écoles : Les campus basculent plus vite vers l’automatique sur les rénovations, avec recul des réservoirs et des systèmes collectifs anciens.
Résidences étudiantes et dortoirs : Les urinoirs collectifs anciens reculent lentement ; la montée de l’automatique reste réelle mais modérée.</t>
  </si>
  <si>
    <t>Universités / Grandes écoles : La chasse directe domine déjà le parc commun, avec une part non négligeable d’électronique dans les campus récents ou premium ; le réservoir reste présent dans les bâtiments plus anciens.
Résidences étudiantes et dortoirs : Les WC à réservoir restent majoritaires sur ce parc de type hébergement collectif ; la chasse directe progresse mais reste minoritaire à l’échelle du stock.</t>
  </si>
  <si>
    <t>Universités / Grandes écoles : La chasse directe et l’électronique progressent sur les rénovations lourdes de campus ; le réservoir continue de reculer.
Résidences étudiantes et dortoirs : Le parc reste plutôt résidentiel/collectif : le réservoir demeure dominant, avec une progression graduelle de la chasse directe.</t>
  </si>
  <si>
    <t>Universités / Grandes écoles : Potentiel rénovation élevé : modernisation de campus, bâtiments d’enseignement, bibliothèques et vie étudiante, souvent dans des patrimoines vieillissants. Les lavabos et les WC portent l’essentiel des volumes, avec un poids secondaire des équipements spécialisés. En rénovation, le marché reste favorable aux gammes robustes et simples d’entretien, compatibles avec des chantiers par tranches et des budgets contraints.
Résidences étudiantes et dortoirs : Potentiel rénovation élevé : salles d’eau et blocs sanitaires très usés par l’hébergement, avec exigences de confort, sécurité et attractivité. La douche pèse au-dessus de la moyenne, avec des contraintes d’humidité, de corrosion et d’entretien qui accélèrent le remplacement. En rénovation, le marché reste orienté vers des gammes fiables, disponibles et rapides à poser afin de limiter l’arrêt d’exploitation.</t>
  </si>
  <si>
    <t>Universités : Potentiel neuf faible : opérations sélectives de campus, laboratoires, bâtiments pédagogiques et résidences étudiantes. Les campus universitaires souffrent souvent d’un patrimoine plus diffus, ancien et complexe à rénover. Le neuf est quasi nul dans le modèle et renvoie surtout à des reconstructions ou remplacements de sites.
Grandes écoles : Potentiel neuf moyen : opérations sélectives de campus, laboratoires, bâtiments pédagogiques et résidences étudiantes. Les grandes écoles bénéficient parfois de décisions plus rapides lorsque la gouvernance et le financement sont concentrés. Le neuf est réel mais secondaire.
Résidences étudiantes et dortoirs : Potentiel neuf moyen à soutenu : porté par quelques internats/reconstructions et surtout par la tension de logement étudiant pour les résidences. Le neuf est significatif mais encore nettement inférieur à la rénovation.</t>
  </si>
  <si>
    <t>Universités / Grandes écoles : Projets phares réno : réhabilitations de campus, sanitaires de bâtiments tertiaires et d’enseignement, accessibilité et amélioration énergétique.
Résidences étudiantes et dortoirs : Projets phares réno : chambres, sanitaires d’étage, douches, blocs PMR et modernisation énergétique des bâtiments d’hébergement.</t>
  </si>
  <si>
    <t>Universités / Grandes écoles : Projets phares neuf : bâtiments d’enseignement/recherche, extensions de campus, résidences étudiantes et reconfigurations avec surface complémentaire.
Résidences étudiantes et dortoirs : Projets phares neuf : internats reconstruits, résidences étudiantes nouvelles, extensions de capacité ou opérations mixtes avec campus.</t>
  </si>
  <si>
    <t>Universités / Grandes écoles : Dynamique réno 2026-2030 : élevée, portée par l’ancienneté du parc et les objectifs énergétiques ; la reprise des sanitaires suit souvent des opérations plus larges de campus. Menaces : arbitrages budgétaires, procédures longues et travaux en site occupé.
Résidences étudiantes et dortoirs : Dynamique réno 2026-2030 : élevée, car l’hébergement rend visibles l’obsolescence et le confort insuffisant. Menaces : exploitation continue, phasage et arbitrages publics.</t>
  </si>
  <si>
    <t>Universités / Grandes écoles : Dynamique neuf 2026-2030 : modérée ; quelques grands projets peuvent faire le marché sur une année, mais le flux reste irrégulier et dépend de la programmation immobilière publique et parapublique.
Résidences étudiantes et dortoirs : Dynamique neuf 2026-2030 : plus réelle que dans le scolaire classique, mais concentrée sur quelques pôles d’attractivité et opérateurs. Menaces : coût de sortie, montage immobilier et sélectivité des financements.</t>
  </si>
  <si>
    <t>Centres de loisirs sans hébergement
Centres de vacances / colonies</t>
  </si>
  <si>
    <t>Centres de loisirs sans hébergement : Accueil de mineurs en journée.
Centres de vacances / colonies : Accueil collectif avec hébergement ou activités.</t>
  </si>
  <si>
    <t>Centres de loisirs sans hébergement : ALSH, centre aéré
Centres de vacances / colonies : Colonie de vacances, centre de séjour</t>
  </si>
  <si>
    <t>Centres de loisirs sans hébergement : Faute de série nationale homogène annuelle strictement équivalente à cette sous-catégorie, le proxy est volontairement lissé ; le parc reste globalement stable à l’échelle nationale.
Centres de vacances / colonies : Pas de stagnation structurelle : la série évolue à la baisse sur la période 2000-2026 ; la projection prolonge cette tendance avec prudence.</t>
  </si>
  <si>
    <t>proxy sectoriel sur accueils collectifs de mineurs.; Dynamique projetée 2027-2030: stable.; Fiabilité: moyenne; proxy sectoriel sur centres de séjour.; Dynamique projetée 2027-2030: baisse lente.</t>
  </si>
  <si>
    <t>Centres de loisirs sans hébergement : Accueil enfance sans hébergement : blocs collectifs enfants + équipe.
Centres de vacances / colonies : Blocs collectifs d'hébergement/étage ; exclusion des chambres avec sanitaires privatifs.</t>
  </si>
  <si>
    <t>Centres de loisirs sans hébergement : Capacité type ≈ 106 usagers principaux + 12 staff + 2 parents/accompagnants/intervenants. Le programme sanitaire est construit par blocs fonctionnels plausibles (public, personnel, exploitation/hébergement selon le cas) et non par simple ratio national moyen. Calibrage selon capacité simultanée, répartition de flux et organisation réelle du site.
Centres de vacances / colonies : Capacité type ≈ 162 résidents/usagers + 14 staff + 4 accompagnants/animateurs externes. Hypothèse d'hébergement collectif : sanitaires d'étage et douches communes, hors chambres purement privatives. Calibrage selon capacité simultanée, répartition de flux et organisation réelle du site.</t>
  </si>
  <si>
    <t>Centres de loisirs sans hébergement : Présence jour/nuit, humidité régulière et entretien variable selon l'exploitant. Les durées restent intermédiaires : plus longues qu'en collège pur, mais plus courtes qu'en hôtellerie classique. Les technos électroniques restent pénalisées par maintenance et alimentation. Les remplacements se font souvent par lots lors de rénovation des étages ou blocs d'hébergement. Résidentiel éducatif / jeunesse : Usage résidentiel ou semi-résidentiel, douches plus sollicitées, pics saisonniers mais moindre vandalisme que le scolaire de jour.
Centres de vacances / colonies : Usage partagé régulier, vandalisme limité et maintenance patrimoniale classique. Les temporisés mécaniques restent légèrement au-dessus des mitigeurs car l'oubli de fermeture et l'usure des cartouches jouent moins. L'électronique est plus courte surtout pour des raisons de capteurs, piles/secteur et réglages. Rénovation mixte, plutôt opportuniste puis par lots lors des travaux. Enseignement intensif sous contrainte budgétaire : Pics interclasses, usage quotidien élevé, vandalisme modéré et budgets publics souvent lissés. Le temporisé et la chasse directe tiennent mieux que le manuel/réservoir en usage intensif.</t>
  </si>
  <si>
    <t>Centres de loisirs sans hébergement : Dans les centres de loisirs sans hébergement, le parc commun reprend largement les logiques scolaires : temporisé mécanique dominant, manuel en complément, électronique marginale.
Centres de vacances / colonies : Le parc de colonies mêle encore beaucoup d’équipements anciens ou rustiques : le temporisé mécanique domine, avec une part d’'autres' technologies liées à des blocs spécifiques ou anciens.</t>
  </si>
  <si>
    <t>Centres de loisirs sans hébergement : D’ici 2030, recul modéré du mitigeur et léger recul du temporisé mécanique au profit de l’électronique dans les rénovations de blocs ; le temporisé mécanique reste néanmoins dominant pour robustesse, anti-vandalisme et maîtrise des débits.
Centres de vacances / colonies : Projection prudente : progression de l’électronique surtout dans les rénovations de parties communes, mais le mitigeur et le temporisé restent centraux sur les blocs de type hébergement collectif.</t>
  </si>
  <si>
    <t>Centres de loisirs sans hébergement : Sans objet.
Centres de vacances / colonies : Les douches collectives restent très majoritairement temporisées mécaniques sur ce parc, pour limiter les consommations et résister à un usage intensif saisonnier.</t>
  </si>
  <si>
    <t>Centres de loisirs sans hébergement : Sans objet.
Centres de vacances / colonies : Progression limitée de l’électronique : les douches communes restent surtout manuelles/temporisées selon le niveau de confort recherché.</t>
  </si>
  <si>
    <t>Centres de loisirs sans hébergement : Quand des urinoirs existent, ils restent surtout mécaniques ou collectifs anciens.
Centres de vacances / colonies : La rampe/batterie collective reste très présente sur le parc existant des colonies et centres de vacances.</t>
  </si>
  <si>
    <t>Centres de loisirs sans hébergement : Baisse graduelle des réservoirs et des rampes/collectifs les plus anciens, au profit de chasses directes ; l’automatique progresse mais le mécanique reste fort pour le coût et la robustesse.
Centres de vacances / colonies : Les urinoirs collectifs anciens reculent lentement ; la montée de l’automatique reste réelle mais modérée.</t>
  </si>
  <si>
    <t>Centres de loisirs sans hébergement : Les WC à réservoir restent majoritaires dans le parc existant, avec une part notable de chasses directes sur les rénovations.
Centres de vacances / colonies : Le parc WC reste d’abord à réservoir, mais la chasse directe a progressé dans les réhabilitations de blocs sanitaires.</t>
  </si>
  <si>
    <t>Centres de loisirs sans hébergement : Le réservoir recule progressivement dans les blocs rénovés au profit de la chasse directe, avec une percée encore mesurée de l’électronique.
Centres de vacances / colonies : Le parc reste plutôt résidentiel/collectif : le réservoir demeure dominant, avec une progression graduelle de la chasse directe.</t>
  </si>
  <si>
    <t>Centres de loisirs sans hébergement : Potentiel rénovation élevé : bâtiments souvent hétérogènes, avec remise à niveau des blocs sanitaires lors de modernisations de confort, sécurité ou adaptation climatique. Les volumes restent d’abord tirés par les WC et les lavabos, plus que par les postes spécialisés. En rénovation, le marché reste favorable aux gammes robustes et simples d’entretien, compatibles avec des chantiers par tranches et des budgets contraints.
Centres de vacances / colonies : Potentiel rénovation élevé : bâtiments souvent hétérogènes, avec remise à niveau des blocs sanitaires lors de modernisations de confort, sécurité ou adaptation climatique. La douche pèse au-dessus de la moyenne, avec des contraintes d’humidité, de corrosion et d’entretien qui accélèrent le remplacement. En rénovation, le marché reste orienté vers des gammes fiables, disponibles et rapides à poser afin de limiter l’arrêt d’exploitation.</t>
  </si>
  <si>
    <t>Centres de loisirs sans hébergement / Centres de vacances / colonies : Potentiel neuf faible : limité et opportuniste, surtout via restructurations, extensions ponctuelles ou nouveaux sites de loisirs/accueil. Le neuf est quasi nul dans le modèle et renvoie surtout à des reconstructions ou remplacements de sites.</t>
  </si>
  <si>
    <t>Centres de loisirs sans hébergement / Centres de vacances / colonies : Projets phares réno : blocs sanitaires enfants/adultes, douches, hébergements collectifs, accessibilité et confort d’été.</t>
  </si>
  <si>
    <t>Centres de loisirs sans hébergement / Centres de vacances / colonies : Projets phares neuf : bases de loisirs, centres de vacances restructurés avec extension, nouveaux bâtiments d’accueil sur sites attractifs.</t>
  </si>
  <si>
    <t>Centres de loisirs sans hébergement / Centres de vacances / colonies : Dynamique réno 2026-2030 : soutenue par la sécurité et le confort d’usage, mais avec de petits tickets et des arbitrages locaux fréquents.</t>
  </si>
  <si>
    <t>Centres de loisirs sans hébergement / Centres de vacances / colonies : Dynamique neuf 2026-2030 : faible à modérée ; les annonces existent, mais beaucoup restent dépendantes de subventions, de foncier disponible et de la fréquentation future.</t>
  </si>
  <si>
    <t>Centres de formation / CFA : Formation professionnelle et apprentissage.</t>
  </si>
  <si>
    <t>Centres de formation / CFA : CFA, centre de formation continue</t>
  </si>
  <si>
    <t>Centres de formation / CFA : La série n’est pas stagnante : le nombre de CFA augmente nettement depuis le milieu des années 2010, sous l’effet du développement de l’apprentissage.</t>
  </si>
  <si>
    <t>Ancrage direct en 2024 à 3 700 CFA, puis poursuite prudente d’une croissance encore soutenue. Projection 2027-2030: hausse modérée. Fiabilité: bonne.</t>
  </si>
  <si>
    <t>Centres de formation / CFA : Blocs apprenants filles/garçons + sanitaires adultes + vestiaires sportifs/ateliers séparés dès lors qu'ils sont collectifs (≥5 pers.).</t>
  </si>
  <si>
    <t>Centres de formation / CFA : Capacité type ≈ 405 apprenants + 36 adultes + 9 intervenants/visiteurs. Base scolaire dérivée du référentiel ONS pour les élèves, complétée par sanitaires adultes ; ajout de vestiaires sportifs séparés lorsqu'ils desservent au moins 5 personnes. Calibrage selon capacité simultanée, répartition de flux et organisation réelle du site.</t>
  </si>
  <si>
    <t>Centres de formation / CFA : Usage 24/7, protocoles d'hygiène, nettoyage fréquent et maintenance technique plus structurée. L'électronique est relevée par rapport aux ERP standards grâce au sans-contact et aux rinçages automatiques, mais reste sous le temporisé mécanique à cause des capteurs, alimentations et électrovannes. Les remplacements sont souvent planifiés par aile ou unité, avec correctif entre deux opérations. Santé hospitalière aiguë : Forte exigence d’hygiène, prévention légionelles, nettoyage fréquent et remplacements préventifs liés aux travaux Ségur ou à la conformité sanitaire.</t>
  </si>
  <si>
    <t>Centres de formation / CFA : Sur collèges, lycées et CFA, le temporisé mécanique domine nettement le parc commun, car il combine robustesse, anti-blocage et maîtrise des débits ; l’électronique monte mais reste minoritaire en stock.</t>
  </si>
  <si>
    <t>Centres de formation / CFA : D’ici 2030, recul modéré du mitigeur et léger recul du temporisé mécanique au profit de l’électronique dans les rénovations de blocs ; le temporisé mécanique reste néanmoins dominant pour robustesse, anti-vandalisme et maîtrise des débits.</t>
  </si>
  <si>
    <t>Centres de formation / CFA : Sans objet.</t>
  </si>
  <si>
    <t>Centres de formation / CFA : Le parc d’urinoirs est encore surtout mécanique/direct, avec un reliquat de rampes collectives dans les ensembles anciens et une part d’automatique concentrée sur les rénovations.</t>
  </si>
  <si>
    <t>Centres de formation / CFA : Baisse graduelle des réservoirs et des rampes/collectifs les plus anciens, au profit de chasses directes ; l’automatique progresse mais le mécanique reste fort pour le coût et la robustesse.</t>
  </si>
  <si>
    <t>Centres de formation / CFA : Le parc WC est presque à l’équilibre entre réservoir et chasse directe, cette dernière étant mieux adaptée aux usages intensifs des ERP scolaires ; l’électronique reste de niche.</t>
  </si>
  <si>
    <t>Centres de formation / CFA : Le réservoir recule progressivement dans les blocs rénovés au profit de la chasse directe, avec une percée encore mesurée de l’électronique.</t>
  </si>
  <si>
    <t>Centres de formation / CFA : Potentiel rénovation élevé : ateliers, sanitaires élèves/personnel et éventuels vestiaires sont repris lors des modernisations pédagogiques et énergétiques.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t>
  </si>
  <si>
    <t>Centres de formation / CFA : Potentiel neuf moyen à soutenu : l’apprentissage et les besoins de montée en compétences soutiennent encore quelques créations/extensions, mais de façon inégale selon filières et territoires. Le neuf est significatif mais encore nettement inférieur à la rénovation.</t>
  </si>
  <si>
    <t>Centres de formation / CFA : Projets phares réno : blocs sanitaires communs, vestiaires d’ateliers, accessibilité, remise à niveau thermique et fonctionnelle.</t>
  </si>
  <si>
    <t>Centres de formation / CFA : Projets phares neuf : nouveaux CFA, extensions d’ateliers, campus métiers, restructurations avec surfaces nouvelles.</t>
  </si>
  <si>
    <t>Centres de formation / CFA : Dynamique réno 2026-2030 : robuste car les sites existants doivent rester attractifs et conformes. Menaces : arbitrages des opérateurs, visibilité sur les effectifs et travaux en exploitation.</t>
  </si>
  <si>
    <t>Centres de formation / CFA : Dynamique neuf 2026-2030 : réelle mais sélective ; la dynamique de l’apprentissage soutient certains projets, sans créer une vague homogène sur tout le territoire.</t>
  </si>
  <si>
    <t>Hôpitaux universitaires / CHU
Hôpitaux publics 
(Hors CHU, Universitaire, Militaire, Carcéral)
Hôpitaux privés
Cliniques</t>
  </si>
  <si>
    <t>Hôpitaux universitaires / CHU : Établissements sanitaires et universitaires.
Hôpitaux publics 
(Hors CHU, Universitaire, Militaire, Carcéral) : Établissements sanitaires.
Hôpitaux privés : Établissements sanitaires.
Cliniques : Établissements sanitaires.</t>
  </si>
  <si>
    <t>Hôpitaux universitaires / CHU : CHU
Hôpitaux publics 
(Hors CHU, Universitaire, Militaire, Carcéral) : Centre hospitalier public
Hôpitaux privés : Hôpital privé
Cliniques : Clinique chirurgicale, clinique SSR</t>
  </si>
  <si>
    <t>Hôpitaux universitaires / CHU : Sous-espace rattaché à un site parent ; la série varie peu car elle suit un stock principal administré et non un marché autonome.
Hôpitaux publics (Hors CHU, Universitaire, Militaire, Carcéral) / Cliniques : Pas de stagnation structurelle : la série évolue à la baisse sur la période 2000-2026 ; la projection prolonge cette tendance avec prudence.
Hôpitaux privés : Parc d’établissements très encadré et capitalistique ; à l’échelle nationale, le nombre d’implantations varie lentement.</t>
  </si>
  <si>
    <t>proxy sur le réseau CHU/CHR.; Dynamique projetée 2027-2030: stable.; Fiabilité: bonne.; Risque de doublon: oui si addition avec la catégorie parente ou avec des sous-espaces d’un même site.; DREES 2024 public hors CHU estimé par retrait des CHU.; Dynamique projetée 2027-2030: baisse légère.</t>
  </si>
  <si>
    <t>Hôpitaux universitaires / CHU : Blocs communs (accueil, consultations, urgences, visiteurs, staff) + chambres d'hospitalisation et chambres/boxes équipés lorsqu'il existe de l'individuel.
Hôpitaux publics 
(Hors CHU, Universitaire, Militaire, Carcéral) : Hôpital général : blocs communs + part majoritaire de chambres/lits hospitaliers équipés en lavabo/WC et salle d'eau lorsque l'hébergement est individualisé.
Hôpitaux privés : Hôpital privé : blocs communs + chambres/secteurs d'hospitalisation complète équipés quand l'hébergement est individualisé.
Cliniques : Clinique : blocs communs + chambres de chirurgie/médecine équipées lorsqu'elles sont individuelles ou à faible occupation.</t>
  </si>
  <si>
    <t>Hôpitaux universitaires / CHU : Capacité type ≈ 660 patients/résidents principaux + 300 staff + 240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
Hôpitaux publics 
(Hors CHU, Universitaire, Militaire, Carcéral) : Capacité type ≈ 203 patients/résidents principaux + 84 staff + 63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
Hôpitaux privés : Capacité type ≈ 123 patients/résidents principaux + 57 staff + 40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
Cliniques : Capacité type ≈ 101 patients/résidents principaux + 47 staff + 32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t>
  </si>
  <si>
    <t>https://anap.fr/
https://www.cnsa.fr/actualites/immobilier-et-ehpad-un-autodiagnostic-et-un-nouvel-outil-de-dimensionnement-surfacique</t>
  </si>
  <si>
    <t>Hôpitaux universitaires / CHU / Hôpitaux publics (Hors CHU, Universitaire, Militaire, Carcéral) / Hôpitaux privés : Usage 24/7, protocoles d'hygiène, nettoyage fréquent et maintenance technique plus structurée. L'électronique est relevée par rapport aux ERP standards grâce au sans-contact et aux rinçages automatiques, mais reste sous le temporisé mécanique à cause des capteurs, alimentations et électrovannes. Les remplacements sont souvent planifiés par aile ou unité, avec correctif entre deux opérations. Santé hospitalière aiguë : Forte exigence d’hygiène, prévention légionelles, nettoyage fréquent et remplacements préventifs liés aux travaux Ségur ou à la conformité sanitaire.
Cliniques : Usage 24/7, protocoles d'hygiène, nettoyage fréquent et maintenance technique plus structurée. L'électronique est relevée par rapport aux ERP standards grâce au sans-contact et aux rinçages automatiques, mais reste sous le temporisé mécanique à cause des capteurs, alimentations et électrovannes. Les remplacements sont souvent planifiés par aile ou unité, avec correctif entre deux opérations. Santé spécialisée / ambulatoire / médico-éducatif : Contrainte hygiène maintenue mais fréquentation moins continue que l’hospitalier aigu. maintenance régulière, renouvellement par lots lors de travaux ciblés.</t>
  </si>
  <si>
    <t>Hôpitaux universitaires / CHU : Le parc CHU intègre une forte part de points d’eau de chambre et de sanitaires de soins : les mitigeurs mécaniques/médicaux dominent, l’électronique étant surtout utilisée en sanitaires publics et zones sensibles.
Hôpitaux publics (Hors CHU, Universitaire, Militaire, Carcéral) : Dans le parc hospitalier public hors CHU, le mitigeur mécanique/médical reste majoritaire car beaucoup de points d’eau sont en chambre ou en sanitaires patients ; l’électronique se concentre dans les espaces publics rénovés.
Hôpitaux privés / Cliniques : Le parc des hôpitaux privés et cliniques reste très orienté mitigeurs de chambre/sanitaires patients ; l’électronique apparaît davantage dans les espaces publics et halls que dans l’ensemble du parc.</t>
  </si>
  <si>
    <t>Hôpitaux universitaires / CHU / Hôpitaux publics (Hors CHU, Universitaire, Militaire, Carcéral) / Hôpitaux privés / Cliniques : En santé, la projection reste prudente : le mitigeur/médical demeure majoritaire, l’électronique progresse surtout sur les lave-mains communs rénovés et zones publiques, sans évincer rapidement le parc mécanique spécifique.</t>
  </si>
  <si>
    <t>Hôpitaux universitaires / CHU : Les douches restent majoritairement à mitigeur/thermostatique pour la sécurité anti-brûlure et le confort patient ; le temporisé mécanique subsiste dans quelques zones communes.
Hôpitaux publics 
(Hors CHU, Universitaire, Militaire, Carcéral) : Les douches restent largement à mitigeur pour des raisons de sécurité, de réglage de température et d’assistance aux usagers.
Hôpitaux privés / Cliniques : Les douches sont d’abord à mitigeur/thermostatique, conformément à une logique de confort et de sécurité des patients.</t>
  </si>
  <si>
    <t>Hôpitaux universitaires / CHU / Hôpitaux publics 
(Hors CHU, Universitaire, Militaire, Carcéral) / Hôpitaux privés / Cliniques : En santé, les douches restent d’abord manuelles/mécaniques ; l’électronique progresse peu et surtout sur certains espaces rénovés.</t>
  </si>
  <si>
    <t>Hôpitaux universitaires / CHU : Les urinoirs sont partagés entre réservoir/concealed tank, chasse directe mécanique et automatique, cette dernière étant plus présente que dans d’autres secteurs pour l’hygiène.
Hôpitaux publics (Hors CHU, Universitaire, Militaire, Carcéral) : Les urinoirs sont encore largement en solutions classiques (réservoir ou directe mécanique), l’automatique progressant surtout dans les rénovations de halls et consultations.
Hôpitaux privés / Cliniques : Les urinoirs rénovés sont plus souvent automatiques dans le privé, mais le parc existant conserve beaucoup de solutions classiques.</t>
  </si>
  <si>
    <t>Hôpitaux universitaires / CHU / Hôpitaux publics (Hors CHU, Universitaire, Militaire, Carcéral) / Hôpitaux privés / Cliniques : Dans les zones où des urinoirs existent, l’automatique progresse modestement sur les rénovations, sans disparition rapide des systèmes historiques.</t>
  </si>
  <si>
    <t>Hôpitaux universitaires / CHU : Le stock reste majoritairement à réservoir du fait des chambres et sanitaires patients ; la chasse directe équipe surtout les zones communes et une partie des rénovations.
Hôpitaux publics (Hors CHU, Universitaire, Militaire, Carcéral) : Le WC à réservoir demeure dominant dans le parc existant, car il suit la logique des chambres et sanitaires patients ; la chasse directe reste plus présente dans les zones communes.
Hôpitaux privés / Cliniques : Le réservoir reste majoritaire à cause des chambres ; la part électronique demeure minoritaire mais plus élevée que dans le public sur les espaces d’accueil récents.</t>
  </si>
  <si>
    <t>Hôpitaux universitaires / CHU / Hôpitaux publics 
(Hors CHU, Universitaire, Militaire, Carcéral) / Hôpitaux privés / Cliniques : En santé, le réservoir recule lentement ; la bascule vers le direct et l’électronique reste plus graduelle que dans les ERP intensifs car le parc est plus spécifique.</t>
  </si>
  <si>
    <t>Hôpitaux universitaires / CHU / Hôpitaux privés / Cliniques : Potentiel rénovation élevé : hygiène, sécurité des soins, continuité de service et vieillissement des bâtiments maintiennent un flux élevé de remplacements et de restructurations. Les lavabos et les WC portent l’essentiel des volumes, avec un poids secondaire des équipements spécialisés. En rénovation, les maîtres d’ouvrage privilégient des références robustes, vite posées et faciles à maintenir dans des ambiances humides.
Hôpitaux publics (Hors CHU, Universitaire, Militaire, Carcéral) : Potentiel rénovation très élevé : Les lavabos et les WC portent l’essentiel des volumes, avec un poids secondaire des équipements spécialisés. Le moteur principal reste le remplacement du parc existant en site occupé, souvent couplé à des travaux d’énergie, d’accessibilité ou de conformité. En rénovation, le marché reste favorable aux gammes robustes et simples d’entretien, compatibles avec des chantiers par tranches et des budgets contraints.</t>
  </si>
  <si>
    <t>Hôpitaux universitaires / CHU : Potentiel neuf faible : extensions d’urgences, plateaux techniques, ambulatoire et recompositions hospitalières existent, mais le neuf reste quasi nul dans le modèle et renvoie surtout à des reconstructions ou remplacements de sites. Les opérations sont soutenues par la pression d’activité, la conformité et les plans d’investissement, mais restent contraintes par la trajectoire financière hospitalière.
Hôpitaux publics (Hors CHU, Universitaire, Militaire, Carcéral) : Potentiel neuf faible : le neuf est quasi nul dans le modèle et renvoie surtout à des reconstructions ou remplacements de sites sur 2026-2030. Il dépend de la dynamique réelle du non-résidentiel, de la solvabilité du maître d’ouvrage et du passage du permis au chantier. Le passage de l’intention au chantier reste sélectif, dépendant des budgets, de l’ingénierie disponible et du calendrier politique.
Hôpitaux privés / Cliniques : Potentiel neuf faible : extensions d’urgences, plateaux techniques, ambulatoire et recompositions hospitalières existent, mais le neuf reste quasi nul dans le modèle et renvoie surtout à des reconstructions ou remplacements de sites. Les groupes privés arbitrent plus vite, mais fortement en fonction du retour d’exploitation et du mix d’activité.</t>
  </si>
  <si>
    <t>Hôpitaux universitaires / CHU / Hôpitaux privés / Cliniques : Projets phares réno : chambres et sanitaires patients, consultations, urgences, zones publiques/personnel, restructurations par lots en site occupé.
Hôpitaux publics (Hors CHU, Universitaire, Militaire, Carcéral) : Projets phares réno : remise à niveau des blocs sanitaires, accessibilité/PMR, reprise partielle lors de rénovations énergétiques ou fonctionnelles, et remplacements ciblés des postes les plus usés.</t>
  </si>
  <si>
    <t>Hôpitaux universitaires / CHU / Hôpitaux privés / Cliniques : Projets phares neuf : nouveaux bâtiments hospitaliers, extensions de plateaux techniques ou d’urgences, pôles ambulatoires, restructurations avec surfaces additionnelles.
Hôpitaux publics 
(Hors CHU, Universitaire, Militaire, Carcéral) : Projets phares neuf : créations ou extensions sélectives, reconstructions partielles et opérations neuves concentrées sur les territoires ou opérateurs les plus dynamiques.</t>
  </si>
  <si>
    <t>Hôpitaux universitaires / CHU / Hôpitaux privés / Cliniques : Dynamique réno 2026-2030 : élevée et prioritaire, car la qualité d’accueil, l’hygiène et la sécurité des soins rendent le remplacement difficilement reportable. Menaces : tension financière des établissements, phasage en site occupé et priorités techniques concurrentes.
Hôpitaux publics (Hors CHU, Universitaire, Militaire, Carcéral) : Dynamique réno 2026-2030 : très élevé, plus résiliente que le neuf car tirée par l’usure et les obligations techniques. La normalisation relative des coûts travaux aide la décision, mais les arbitrages budgétaires et les travaux en site occupé peuvent étaler les commandes.</t>
  </si>
  <si>
    <t>Hôpitaux universitaires / CHU / Hôpitaux privés / Cliniques : Dynamique neuf 2026-2030 : sélective mais parfois dimensionnante sur quelques grands projets ; l’activité progresse, mais les décisions lourdes restent conditionnées par l’autorisation, le financement et la capacité d’exploitation.
Hôpitaux publics 
(Hors CHU, Universitaire, Militaire, Carcéral) : Dynamique neuf 2026-2030 : faible. Le contexte de construction non résidentielle reste contrasté, avec un écart persistant entre intentions et réalisations ; les projets les mieux financés ou les plus stratégiques sortent en priorité.</t>
  </si>
  <si>
    <t>Établissements médico-éducatifs
Foyers pour personnes handicapées
EHPAD
USLD
Résidences autonomie
Foyers-logements
(Public)
Résidences services seniors
(Privé)</t>
  </si>
  <si>
    <t>J ou R / J / U / Variable</t>
  </si>
  <si>
    <t>Établissements médico-éducatifs : Classement selon public et activité principale.
Foyers pour personnes handicapées : Structures d’accueil de personnes handicapées.
EHPAD : Établissements d’hébergement pour personnes âgées dépendantes ; hébergement permanent avec accompagnement et soins.
USLD : Unités de soins de longue durée accueillant des personnes très dépendantes avec besoins médicaux lourds ; relève du sanitaire.
Résidences autonomie
Foyers-logements
(Public) : Destinés à des personnes âgées plutôt autonomes ; logements privatifs avec services collectifs. Le classement dépend de l’exploitation réelle et des espaces communs ouverts au public.
Résidences services seniors
(Privé) : Résidences pour seniors autonomes avec services à la carte ; le classement dépend de l’exploitation, des parties communes et de l’accueil du public.</t>
  </si>
  <si>
    <t>Établissements médico-éducatifs : IME, IEM
Foyers pour personnes handicapées : FAM, MAS, foyer de vie
EHPAD : EHPAD public, EHPAD privé associatif, EHPAD privé commercial
USLD : USLD hospitalière, unité de long séjour
Résidences autonomie
Foyers-logements
(Public) : Résidence autonomie, foyer-logement seniors
Résidences services seniors
(Privé) : Résidence services seniors, résidence seniors</t>
  </si>
  <si>
    <t>Établissements médico-éducatifs / USLD : Faute de série nationale homogène publiée annuellement pour cette sous-catégorie, le proxy est lissé ; la faible variation reflète une prudence méthodologique.
Foyers pour personnes handicapées / Résidences services seniors (Privé) : Pas de stagnation structurelle : la série évolue à la hausse sur la période 2000-2026 ; la projection prolonge cette tendance avec prudence.
EHPAD : Parc d’établissements très encadré et capitalistique ; à l’échelle nationale, le nombre d’implantations varie lentement.
Résidences autonomie
Foyers-logements (Public) : Pas de stagnation structurelle : la série évolue à la baisse sur la période 2000-2026 ; la projection prolonge cette tendance avec prudence.</t>
  </si>
  <si>
    <t>proxy IME/IEM et assimilés.; Dynamique projetée 2027-2030: stable.; Fiabilité: moyenne; proxy médico-social handicap.; Dynamique projetée 2027-2030: hausse légère.; proxy au sein des 10 400 structures pour personnes âgées en 2023.</t>
  </si>
  <si>
    <t>https://drees.solidarites-sante.gouv.fr/
https://drees.solidarites-sante.gouv.fr/sites/default/files/2025-09/PAPH%20-%20Fiche%2009%20-%20Les%20%C3%A9tablissements%20d%E2%80%99h%C3%A9bergement%20pour%20personnes%20%C3%A2g%C3%A9es_0.pdf
https://drees.solidarites-sante.gouv.fr/jeux-de-donnees/jeux-de-donnees/les-residents-en-etablissements-dhebergement-pour-personnes-agees</t>
  </si>
  <si>
    <t>Établissements médico-éducatifs : Médico-éducatif : blocs éducatifs/soins + petites unités d'hébergement ou chambres lorsqu'elles existent, hors cabinets purement privatifs dispersés.
Foyers pour personnes handicapées : Foyer handicap : blocs résidentiels collectifs + chambres/salles d'eau individuelles quand le modèle d'hébergement le prévoit.
EHPAD : Exception demandée : inclusion d'une large part des sanitaires privatifs/résidents + blocs communs d'étage et staff.
USLD : Exception demandée : inclusion des chambres/lits médicalisés avec sanitaires, plus locaux communs.
Résidences autonomie
Foyers-logements
(Public) : Résidences seniors/autonomie : seuls les locaux communs sont retenus, pas les appartements.
Résidences services seniors
(Privé) : Résidences seniors/autonomie : seuls les locaux communs sont retenus, pas les appartements.</t>
  </si>
  <si>
    <t>Établissements médico-éducatifs : Capacité type ≈ 50 patients/résidents principaux + 18 staff + 2 parents/accompagnants.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
Foyers pour personnes handicapées : Capacité type ≈ 43 patients/résidents principaux + 15 staff + 2 visiteurs/intervenants.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
EHPAD : Capacité type ≈ 69 résidents/lits + 13 staff + 3 visiteurs/intervenants. Conformément à l'exception déjà retenue, les chambres sont comptées lorsqu'elles sont équipées ; les locaux communs et sanitaires de personnel s'y ajoutent. Calibrage selon capacité simultanée, répartition de flux et organisation réelle du site.
USLD : Capacité type ≈ 48 résidents/lits + 10 staff + 2 visiteurs/intervenants. Conformément à l'exception déjà retenue, les chambres sont comptées lorsqu'elles sont équipées ; les locaux communs et sanitaires de personnel s'y ajoutent. Calibrage selon capacité simultanée, répartition de flux et organisation réelle du site.
Résidences autonomie
Foyers-logements
(Public) : Capacité type ≈ 58 usagers principaux + 8 staff + 4 visiteurs/intervenants. Le programme sanitaire est construit par blocs fonctionnels plausibles (public, personnel, exploitation/hébergement selon le cas) et non par simple ratio national moyen. Calibrage selon capacité simultanée, répartition de flux et organisation réelle du site.
Résidences services seniors
(Privé) : Capacité type ≈ 74 usagers principaux + 11 staff + 5 visiteurs/intervenants. Le programme sanitaire est construit par blocs fonctionnels plausibles (public, personnel, exploitation/hébergement selon le cas) et non par simple ratio national moyen. Calibrage selon capacité simultanée, répartition de flux et organisation réelle du site.</t>
  </si>
  <si>
    <t>Programmation hospitalière / médico-sociale (ANAP/CNSA) + pratique courante d'hospitalisation complète : https://anap.fr/ ; https://www.cnsa.fr/actualites/immobilier-et-ehpad-un-autodiagnostic-et-un-nouvel-outil-de-dimensionnement-surfacique
CNSA / ANAP sur immobilier et profil des chambres en EHPAD : https://www.cnsa.fr/actualites/immobilier-et-ehpad-un-autodiagnostic-et-un-nouvel-outil-de-dimensionnement-surfacique ; https://www.cnsa.fr/presse/ehpad-le-site-pour-les-personnes-ageesgouvfr-affiche-de-nouveaux-indicateurs-sur-les</t>
  </si>
  <si>
    <t>https://anap.fr/
https://www.cnsa.fr/actualites/immobilier-et-ehpad-un-autodiagnostic-et-un-nouvel-outil-de-dimensionnement-surfacique
https://www.cnsa.fr/presse/ehpad-le-site-pour-les-personnes-ageesgouvfr-affiche-de-nouveaux-indicateurs-sur-les</t>
  </si>
  <si>
    <t>Établissements médico-éducatifs : Usage 24/7, protocoles d'hygiène, nettoyage fréquent et maintenance technique plus structurée. L'électronique est relevée par rapport aux ERP standards grâce au sans-contact et aux rinçages automatiques, mais reste sous le temporisé mécanique à cause des capteurs, alimentations et électrovannes. Les remplacements sont souvent planifiés par aile ou unité, avec correctif entre deux opérations. Santé spécialisée / ambulatoire / médico-éducatif : Contrainte hygiène maintenue mais fréquentation moins continue que l’hospitalier aigu. maintenance régulière, renouvellement par lots lors de travaux ciblés.
Foyers pour personnes handicapées / EHPAD / USLD / Résidences autonomie / Foyers-logements (Public) : Usage soutenu mais moins brutal qu'en transport ou scolaire, avec forte exigence d'accessibilité et d'aide au soin. Les durées de vie sont donc un peu plus hautes. L'électronique progresse quand la maintenance est organisée, sans dépasser le mécanique simple. Les remplacements sont fréquemment groupés par étage, chambre ou unité de vie. Médico-social résidentiel / seniors / handicap : Forte part d’usage résidentiel ou en chambre, moindre vandalisme, mais entretien régulier pour limiter stagnation/tartre. Remplacement souvent en lots de chambres ou d’unités.
Résidences services seniors (Privé) : Flux publics variables, budgets souvent contraints et maintenance plutôt réactive. Les écarts de durée ont été resserrés : le mécanique garde un petit avantage, l'électronique reste en retrait mais sans décote excessive. Le renouvellement intervient au fil des pannes puis lors des opérations de remise à niveau des sanitaires. Culture / conférence / exposition : Usage public modéré à fort mais irrégulier, pics événementiels, budgets municipaux/intercommunaux et rénovation par campagnes plutôt que remplacement à la panne.</t>
  </si>
  <si>
    <t>Établissements médico-éducatifs : Le parc des établissements médico-éducatifs reste équilibré entre mitigeurs et temporisés mécaniques, avec quelques équipements spécifiques enfants/PMR classés en 'autres'.
Foyers pour personnes handicapées : Dans les foyers pour personnes handicapées, les mitigeurs restent majoritaires pour l’accompagnement, avec une part d’équipements spécifiques/PMR supérieure au parc moyen.
EHPAD : Le parc EHPAD est tiré par les chambres et salles d’eau privatives : les mitigeurs mécaniques/médicaux dominent nettement, l’électronique restant concentrée sur les espaces publics ou quelques rénovations ciblées.
USLD : Comme en EHPAD, le parc USLD reste très orienté mitigeurs de chambre/sanitaires patients, avec une part plus technique mais encore peu d’électronique en stock.
Résidences autonomie Foyers-logements (Public) / Résidences services seniors (Privé) : En parties communes de résidences seniors/autonomie, le parc est partagé entre mitigeurs et solutions plus 'collectivité', avec une part modeste d’électronique sur les rénovations récentes.</t>
  </si>
  <si>
    <t>Établissements médico-éducatifs / Foyers pour personnes handicapées / EHPAD / USLD / Résidences autonomie
Foyers-logements (Public) / Résidences services seniors (Privé) : Dans les établissements médico-sociaux résidentiels, l’électronique gagne un peu sur les rénovations des espaces communs, mais le mix reste dominé par des solutions manuelles/médicales proches d’un usage résidentiel ou de soin.</t>
  </si>
  <si>
    <t>Établissements médico-éducatifs : Les douches communes sont surtout temporisées mécaniques, tout en gardant des mitigeurs dans les espaces d’accompagnement.
Foyers pour personnes handicapées : Les douches communes restent surtout à mitigeur/thermostatique, la temporisation étant présente mais moins dominante que dans le sport.
EHPAD : Les douches sont très majoritairement à mitigeur/thermostatique pour la sécurité anti-brûlure et l’accompagnement des résidents.
USLD : Les douches restent d’abord à mitigeur/thermostatique pour des raisons de sécurité et de soins.
Résidences autonomie
Foyers-logements
(Public) / Résidences services seniors
(Privé) : Les douches communes restent majoritairement à mitigeur, avec une présence secondaire de temporisé mécanique.</t>
  </si>
  <si>
    <t>Établissements médico-éducatifs / Foyers pour personnes handicapées / EHPAD / USLD / Résidences autonomie
Foyers-logements (Public) / Résidences services seniors (Privé) : La projection reste lente : le mitigeur et les solutions mécaniques dominent encore largement les douches de ce parc.</t>
  </si>
  <si>
    <t>Établissements médico-éducatifs : La part de collectifs anciens reste notable dans ce parc, surtout dans les établissements les plus anciens.
Foyers pour personnes handicapées : Le parc d’urinoirs reste principalement classique, avec un reliquat de collectifs sur certains sites anciens.
EHPAD : Les rares urinoirs relèvent surtout d’équipements classiques ; la part collective ou automatique reste faible à l’échelle du parc.
USLD : Les rares urinoirs relèvent surtout de solutions classiques.
Résidences autonomie Foyers-logements (Public) / Résidences services seniors (Privé) : Les rares urinoirs relèvent surtout d’un parc classique.</t>
  </si>
  <si>
    <t>Établissements médico-éducatifs / Foyers pour personnes handicapées / EHPAD / USLD / Résidences autonomie Foyers-logements (Public) / Résidences services seniors (Privé) : Évolution limitée : le parc reste peu standardisé et la bascule vers l’automatique est lente.</t>
  </si>
  <si>
    <t>Établissements médico-éducatifs : Le réservoir reste dominant, la chasse directe étant surtout liée aux rénovations de blocs.
Foyers pour personnes handicapées : Le parc WC reste dominé par le réservoir, la chasse directe équipant surtout les blocs communs rénovés.
EHPAD : Le WC à réservoir domine très largement à cause des chambres et unités ; la chasse directe reste marginale.
USLD : Le réservoir reste majoritaire car le parc est fortement structuré par les chambres et unités de soins.
Résidences autonomie Foyers-logements (Public) / Résidences services seniors (Privé) : Le réservoir domine encore, la chasse directe restant concentrée sur quelques espaces communs modernisés.</t>
  </si>
  <si>
    <t>Établissements médico-éducatifs / Foyers pour personnes handicapées / EHPAD / USLD / Résidences autonomie
Foyers-logements
(Public) / Résidences services seniors
(Privé) : Dans les établissements résidentiels de soin, le réservoir reste majoritaire ; les chasses directes/électroniques progressent surtout dans les espaces communs rénovés.</t>
  </si>
  <si>
    <t>Établissements médico-éducatifs / Foyers pour personnes handicapées : Potentiel rénovation élevé : adaptation d’usage, accessibilité, confort et hygiène soutiennent fortement le remplacement sur un parc souvent hétérogène. Les volumes se concentrent surtout sur lavabos et wc. En rénovation, le marché reste favorable aux gammes robustes et simples d’entretien, compatibles avec des chantiers par tranches et des budgets contraints.
EHPAD : Potentiel rénovation très élevé : chambres, salles d’eau, douches PMR et sanitaires communs restent un besoin structurel du vieillissement du parc. Les lavabos et les WC portent l’essentiel des volumes, avec un poids secondaire des équipements spécialisés. En rénovation, les maîtres d’ouvrage privilégient des références robustes, vite posées et faciles à maintenir dans des ambiances humides.
USLD / Résidences autonomie Foyers-logements (Public) / Résidences services seniors (Privé) : Potentiel rénovation élevé : chambres, salles d’eau, douches PMR et sanitaires communs restent un besoin structurel du vieillissement du parc. Les volumes se concentrent surtout sur lavabos et wc. En rénovation, les maîtres d’ouvrage privilégient des références robustes, vite posées et faciles à maintenir dans des ambiances humides.</t>
  </si>
  <si>
    <t>Établissements médico-éducatifs : Potentiel neuf faible : création et transformation de l’offre existent encore dans le handicap, mais par vagues régionales et montages ciblés. Le neuf est quasi nul dans le modèle et renvoie surtout à des reconstructions ou remplacements de sites.
Foyers pour personnes handicapées : Potentiel neuf moyen à soutenu : création et transformation de l’offre existent encore dans le handicap, mais par vagues régionales et montages ciblés. Le neuf est significatif mais encore nettement inférieur à la rénovation.
EHPAD / USLD / Résidences autonomie Foyers-logements (Public) : Potentiel neuf faible : surtout via reconstruction, transformation ou création très ciblée de capacités ; le neuf reste quasi nul dans le modèle et renvoie surtout à des reconstructions ou remplacements de sites.
Résidences services seniors (Privé) : Potentiel neuf élevé : encore porté par quelques opérateurs privés et programmes mixtes seniors, donc plus vivant que dans le médico-social public. Le neuf est très soutenu et pèse réellement dans l’activité.</t>
  </si>
  <si>
    <t>Établissements médico-éducatifs / Foyers pour personnes handicapées : Projets phares réno : salles d’eau adaptées, douches PMR, sanitaires collectifs et personnels, réaménagements de chambres et espaces éducatifs.
EHPAD / USLD / Résidences autonomie Foyers-logements (Public) / Résidences services seniors (Privé) : Projets phares réno : salles d’eau des chambres, douches adaptées, sanitaires communs, accessibilité, confort d’été et rénovation énergétique.</t>
  </si>
  <si>
    <t>Établissements médico-éducatifs / Foyers pour personnes handicapées : Projets phares neuf : créations/extensions d’IME et foyers, unités spécialisées, habitats adossés à une transformation de l’offre.
EHPAD / USLD / Résidences autonomie
Foyers-logements (Public) : Projets phares neuf : EHPAD/USLD reconstruits, extensions ciblées, habitats intermédiaires et transformations d’offre.
Résidences services seniors (Privé) : Projets phares neuf : résidences services seniors neuves, opérations en cœur de ville, programmes mixtes avec services et espaces communs.</t>
  </si>
  <si>
    <t>Établissements médico-éducatifs / Foyers pour personnes handicapées : Dynamique réno 2026-2030 : élevée, portée par l’accessibilité, la dignité d’usage et les plans d’investissement médico-sociaux. Menaces : délais administratifs, arbitrages départementaux/ARS et pénurie d’exploitants.
EHPAD / USLD / Résidences autonomie / Foyers-logements (Public) : Dynamique réno 2026-2030 : très soutenue, car la dignité d’usage, l’accessibilité et la pression réglementaire rendent les reports plus difficiles que dans d’autres ERP. Menaces : tensions financières des opérateurs, exploitation continue et pénurie de main-d’œuvre.
Résidences services seniors (Privé) : Dynamique réno 2026-2030 : très soutenue, car la dignité d’usage, l’accessibilité et la pression réglementaire rendent les reports plus difficiles que dans d’autres ERP. Menaces : tensions financières des opérateurs, exploitation continue et pénurie de main-d’œuvre. Le marché de la robinetterie y bénéficie aussi d’une logique de montée en gamme et de confort résidentiel.</t>
  </si>
  <si>
    <t>Établissements médico-éducatifs / Foyers pour personnes handicapées : Dynamique neuf 2026-2030 : plus réelle que dans le grand âge classique grâce aux politiques de transformation de l’offre, mais toujours sélective et territorialisée.
EHPAD / USLD / Résidences autonomie
Foyers-logements
(Public) : Dynamique neuf 2026-2030 : modérée à faible selon les sous-segments publics ; la priorité reste la modernisation du parc plus que l’expansion diffuse.
Résidences services seniors
(Privé) : Dynamique neuf 2026-2030 : réelle mais très sélective ; elle dépend du pouvoir d’achat, du taux de commercialisation et de l’appétit des investisseurs.</t>
  </si>
  <si>
    <t>Centres de santé / centres médicaux
Maisons de santé</t>
  </si>
  <si>
    <t>U / U ou W</t>
  </si>
  <si>
    <t>Centres de santé / centres médicaux : Accueil de patients hors hospitalisation lourde.
Maisons de santé : Classement selon exploitation et accueil du public.</t>
  </si>
  <si>
    <t>Centres de santé / centres médicaux : Centre de santé familiale, maison médicale
Maisons de santé : Maison de santé pluridisciplinaire</t>
  </si>
  <si>
    <t>Centres de santé / centres médicaux / Maisons de santé : Pas de stagnation structurelle : la série évolue à la hausse sur la période 2000-2026 ; la projection prolonge cette tendance avec prudence.</t>
  </si>
  <si>
    <t>proxy sur centres de santé et cabinets regroupés.; Dynamique projetée 2027-2030: hausse modérée.; Fiabilité: moyenne; ancrage sur 2 501 MSP fin 2023 et objectif 5 000 en 2027.; Dynamique projetée 2027-2030: hausse forte.; Fiabilité: bonne.</t>
  </si>
  <si>
    <t>https://drees.solidarites-sante.gouv.fr/
https://sante.gouv.fr/systeme-de-sante/structures-de-soins/article/les-maisons-de-sante-300889</t>
  </si>
  <si>
    <t>Centres de santé / centres médicaux : Site ambulatoire / consultations ; petits blocs d'attente et de personnel.
Maisons de santé : Site ambulatoire / consultations ; petits blocs d'attente et de personnel.</t>
  </si>
  <si>
    <t>Centres de santé / centres médicaux : Capacité type ≈ 18 usagers principaux + 5 staff + 2 accompagnants/visiteurs. Le programme sanitaire est construit par blocs fonctionnels plausibles (public, personnel, exploitation/hébergement selon le cas) et non par simple ratio national moyen. Calibrage selon capacité simultanée, répartition de flux et organisation réelle du site.
Maisons de santé : Capacité type ≈ 14 usagers principaux + 4 staff + 2 visiteurs/intervenants. Le programme sanitaire est construit par blocs fonctionnels plausibles (public, personnel, exploitation/hébergement selon le cas) et non par simple ratio national moyen. Calibrage selon capacité simultanée, répartition de flux et organisation réelle du site.</t>
  </si>
  <si>
    <t>Centres de santé / centres médicaux : Usage 24/7, protocoles d'hygiène, nettoyage fréquent et maintenance technique plus structurée. L'électronique est relevée par rapport aux ERP standards grâce au sans-contact et aux rinçages automatiques, mais reste sous le temporisé mécanique à cause des capteurs, alimentations et électrovannes. Les remplacements sont souvent planifiés par aile ou unité, avec correctif entre deux opérations. Santé spécialisée / ambulatoire / médico-éducatif : Contrainte hygiène maintenue mais fréquentation moins continue que l’hospitalier aigu. maintenance régulière, renouvellement par lots lors de travaux ciblés.
Maisons de santé : Usage soutenu mais moins brutal qu'en transport ou scolaire, avec forte exigence d'accessibilité et d'aide au soin. Les durées de vie sont donc un peu plus hautes. L'électronique progresse quand la maintenance est organisée, sans dépasser le mécanique simple. Les remplacements sont fréquemment groupés par étage, chambre ou unité de vie. Médico-social résidentiel / seniors / handicap : Forte part d’usage résidentiel ou en chambre, moindre vandalisme, mais entretien régulier pour limiter stagnation/tartre. Remplacement souvent en lots de chambres ou d’unités.</t>
  </si>
  <si>
    <t>Centres de santé / centres médicaux / Maisons de santé : Dans les centres de santé et maisons de santé, l’électronique est plus présente que dans le parc global grâce aux rénovations récentes et aux exigences d’hygiène, mais le mitigeur reste encore majoritaire.</t>
  </si>
  <si>
    <t>Centres de santé / centres médicaux / Maisons de santé : En santé, la projection reste prudente : le mitigeur/médical demeure majoritaire, l’électronique progresse surtout sur les lave-mains communs rénovés et zones publiques, sans évincer rapidement le parc mécanique spécifique.</t>
  </si>
  <si>
    <t>Centres de santé / centres médicaux / Maisons de santé : Sans objet.</t>
  </si>
  <si>
    <t>Centres de santé / centres médicaux / Maisons de santé : En santé, les douches restent d’abord manuelles/mécaniques ; l’électronique progresse peu et surtout sur certains espaces rénovés.</t>
  </si>
  <si>
    <t>Centres de santé / centres médicaux / Maisons de santé : Les urinoirs des sanitaires publics récents vont plus souvent vers l’automatique, mais le parc installé garde une base importante de mécanique/direct.</t>
  </si>
  <si>
    <t>Centres de santé / centres médicaux / Maisons de santé : Dans les zones où des urinoirs existent, l’automatique progresse modestement sur les rénovations, sans disparition rapide des systèmes historiques.</t>
  </si>
  <si>
    <t>Centres de santé / centres médicaux / Maisons de santé : Le réservoir demeure dominant sur les petits établissements, avec une montée de la chasse directe et de l’électronique dans les sanitaires récents.</t>
  </si>
  <si>
    <t>Centres de santé / centres médicaux / Maisons de santé : En santé, le réservoir recule lentement ; la bascule vers le direct et l’électronique reste plus graduelle que dans les ERP intensifs car le parc est plus spécifique.</t>
  </si>
  <si>
    <t>Centres de santé / centres médicaux : Potentiel rénovation élevé : remises à niveau fonctionnelles et réglementaires, reconfiguration des accueils et sanitaires publics/personnel dans des locaux existants. Les volumes restent d’abord tirés par les WC et les lavabos, plus que par les postes spécialisés. En rénovation, le marché reste favorable aux gammes robustes et simples d’entretien, compatibles avec des chantiers par tranches et des budgets contraints.
Maisons de santé : Potentiel rénovation élevé : refits et extensions légères de structures récentes, avec volumes de remplacement encore inférieurs au parc plus ancien. Les volumes restent d’abord tirés par les WC et les lavabos, plus que par les postes spécialisés. En rénovation, le marché reste favorable aux gammes robustes et simples d’entretien, compatibles avec des chantiers par tranches et des budgets contraints.</t>
  </si>
  <si>
    <t>Centres de santé / centres médicaux : Potentiel neuf moyen à soutenu : développement ciblé de centres de santé dans certains territoires, mais les ouvertures restent très dépendantes du modèle économique local. Le neuf est significatif mais encore nettement inférieur à la rénovation.
Maisons de santé : Potentiel neuf très élevé : c’est l’un des sous-segments les plus porteurs du modèle grâce à la politique d’accès aux soins et au développement des MSP. Le neuf est très soutenu et pèse réellement dans l’activité.</t>
  </si>
  <si>
    <t>Centres de santé / centres médicaux : Projets phares réno : accueils, sanitaires publics/personnel, reconfiguration de cabinets et circuits patients.
Maisons de santé : Projets phares réno : adaptation de locaux, accessibilité, reprises de sanitaires publics/personnel lors d’extensions ou regroupements.</t>
  </si>
  <si>
    <t>Centres de santé / centres médicaux : Projets phares neuf : centres de santé pluridisciplinaires, antennes de proximité, extensions dans les territoires sous-dotés.
Maisons de santé : Projets phares neuf : MSP, cabinets solidaires, pôles de proximité et structures pluridisciplinaires en zones sous-dotées.</t>
  </si>
  <si>
    <t>Centres de santé / centres médicaux : Dynamique réno 2026-2030 : soutenue, car l’adaptation de locaux existants est souvent la voie la plus rapide pour renforcer l’offre. Menaces : équilibre économique et recrutement médical.
Maisons de santé : Dynamique réno 2026-2030 : moyenne à soutenue, car le parc est plus récent et l’entretien prime souvent sur la rénovation lourde.</t>
  </si>
  <si>
    <t>Centres de santé / centres médicaux : Dynamique neuf 2026-2030 : modérée ; des projets émergent dans les territoires en tension d’accès aux soins, mais l’exécution reste inégale.
Maisons de santé : Dynamique neuf 2026-2030 : forte, portée par politiques d’accès aux soins et territoires en désertification médicale. Menaces : recrutement des professionnels, délais de montage et financement d’exploitation. Rare segment santé où le neuf dépasse réellement le simple remplacement.</t>
  </si>
  <si>
    <t>Cinémas
Théâtres
Musées
Salles de spectacle / auditoriums
Salles de conférence / réunion
Salles polyvalentes / salles des fêtes
Bibliothèques / médiathèques</t>
  </si>
  <si>
    <t>L / Y / S</t>
  </si>
  <si>
    <t>Cinémas : Salles de projection recevant du public.
Théâtres : Salles de spectacles et auditions.
Musées : Exposition permanente de collections.
Salles de spectacle / auditoriums : Salles de spectacles, conférences ou auditions.
Salles de conférence / réunion : Accueil d’assemblées et réunions publiques.
Salles polyvalentes / salles des fêtes : Réunions, manifestations, polyvalence.
Bibliothèques / médiathèques : Consultation et prêt de documents.</t>
  </si>
  <si>
    <t>Cinémas : Multiplexe
Théâtres : Théâtre municipal
Musées : Musée municipal, musée privé
Salles de spectacle / auditoriums : Auditorium, salle de concert
Salles de conférence / réunion : Centre de conférences
Salles polyvalentes / salles des fêtes : Salle communale, salle polyvalente
Bibliothèques / médiathèques : Bibliothèque municipale</t>
  </si>
  <si>
    <t>Cinémas / Musées : Parc d’équipements public/associatif mature ; renouvellement lent et faible variation nette d’une année sur l’autre.
Théâtres / Salles polyvalentes / salles des fêtes : Faute de série nationale homogène publiée annuellement pour cette sous-catégorie, le proxy est lissé ; la faible variation reflète une prudence méthodologique.
Salles de spectacle / auditoriums / Salles de conférence / réunion : Pas de stagnation structurelle : la série évolue à la hausse sur la période 2000-2026 ; la projection prolonge cette tendance avec prudence.
Bibliothèques / médiathèques : Le stock de bibliothèques/médiathèques est mature et très majoritairement public ; il évolue lentement à l’échelle nationale.</t>
  </si>
  <si>
    <t>parc de cinémas actifs 2024.; Dynamique projetée 2027-2030: stable.; Fiabilité: bonne.; proxy équipements culturels.; Fiabilité: moyenne; proxy musées de France et assimilés.</t>
  </si>
  <si>
    <t>https://www.boxofficepro.fr/geographie-du-cinema-2024-un-parc-de-salles-stable/
https://www.insee.fr/fr/metadonnees/source/serie/s1161
https://www.culture.gouv.fr/Aides-demarches/Protections-labels-et-appellations/Appellation-Musee-de-France
https://www.insee.fr/fr/statistiques/8610258?geo=FE-1</t>
  </si>
  <si>
    <t>Cinémas : Bloc public de salle/circulation + sanitaire staff ; pas de douches.
Théâtres : Bloc public de salle/circulation + sanitaire staff ; pas de douches.
Musées : Musée/bibliothèque : sanitaires visiteurs aux pôles d'accueil + staff.
Salles de spectacle / auditoriums : Équipement événementiel : programme public en batterie à l'entrée et en pourtour, staff séparé.
Salles de conférence / réunion : Équipement événementiel : programme public en batterie à l'entrée et en pourtour, staff séparé.
Salles polyvalentes / salles des fêtes : Équipement événementiel : programme public en batterie à l'entrée et en pourtour, staff séparé.
Bibliothèques / médiathèques : Musée/bibliothèque : sanitaires visiteurs aux pôles d'accueil + staff.</t>
  </si>
  <si>
    <t>Cinémas : Capacité type ≈ 440 usagers principaux + 40 staff + 20 techniciens/exploitants externes. Le programme sanitaire est construit par blocs fonctionnels plausibles (public, personnel, exploitation/hébergement selon le cas) et non par simple ratio national moyen. Calibrage selon capacité simultanée, répartition de flux et organisation réelle du site.
Théâtres : Capacité type ≈ 616 usagers principaux + 56 staff + 28 artistes/intervenants. Le programme sanitaire est construit par blocs fonctionnels plausibles (public, personnel, exploitation/hébergement selon le cas) et non par simple ratio national moyen. Calibrage selon capacité simultanée, répartition de flux et organisation réelle du site.
Musées : Capacité type ≈ 246 usagers principaux + 36 staff + 18 intervenants/prestataires. Le programme sanitaire est construit par blocs fonctionnels plausibles (public, personnel, exploitation/hébergement selon le cas) et non par simple ratio national moyen. Calibrage selon capacité simultanée, répartition de flux et organisation réelle du site.
Salles de spectacle / auditoriums : Capacité type ≈ 572 usagers principaux + 52 staff + 26 artistes/intervenants. Le programme sanitaire est construit par blocs fonctionnels plausibles (public, personnel, exploitation/hébergement selon le cas) et non par simple ratio national moyen. Calibrage selon capacité simultanée, répartition de flux et organisation réelle du site.
Salles de conférence / réunion : Capacité type ≈ 220 usagers principaux + 20 staff + 10 intervenants/prestataires. Le programme sanitaire est construit par blocs fonctionnels plausibles (public, personnel, exploitation/hébergement selon le cas) et non par simple ratio national moyen. Calibrage selon capacité simultanée, répartition de flux et organisation réelle du site.
Salles polyvalentes / salles des fêtes : Capacité type ≈ 176 usagers principaux + 16 staff + 8 intervenants/prestataires. Le programme sanitaire est construit par blocs fonctionnels plausibles (public, personnel, exploitation/hébergement selon le cas) et non par simple ratio national moyen. Calibrage selon capacité simultanée, répartition de flux et organisation réelle du site.
Bibliothèques / médiathèques : Capacité type ≈ 123 usagers principaux + 18 staff + 9 intervenants/visiteurs. Le programme sanitaire est construit par blocs fonctionnels plausibles (public, personnel, exploitation/hébergement selon le cas) et non par simple ratio national moyen. Calibrage selon capacité simultanée, répartition de flux et organisation réelle du site.</t>
  </si>
  <si>
    <t>Cinémas / Théâtres / Musées / Salles de spectacle / auditoriums / Salles de conférence / réunion / Salles polyvalentes / salles des fêtes : Flux publics variables, budgets souvent contraints et maintenance plutôt réactive. Les écarts de durée ont été resserrés : le mécanique garde un petit avantage, l'électronique reste en retrait mais sans décote excessive. Le renouvellement intervient au fil des pannes puis lors des opérations de remise à niveau des sanitaires. Culture / conférence / exposition : Usage public modéré à fort mais irrégulier, pics événementiels, budgets municipaux/intercommunaux et rénovation par campagnes plutôt que remplacement à la panne.
Bibliothèques / médiathèques : Fréquentation irrégulière mais pics très élevés, chocs d'usage et remises en service rapides. Les durées réelles descendent surtout sur mitigeurs et électroniques. Les temporisés mécaniques et les chasses directes mécaniques résistent mieux à ces pics. Le renouvellement se fait souvent par campagnes avant ou après rénovation des halls/blocs. Culture / conférence / exposition : Usage public modéré à fort mais irrégulier, pics événementiels, budgets municipaux/intercommunaux et rénovation par campagnes plutôt que remplacement à la panne.</t>
  </si>
  <si>
    <t>Cinémas / Théâtres / Salles de spectacle / auditoriums / Salles polyvalentes / salles des fêtes : Dans les ERP culturels à fréquentation variable, le parc existant reste d’abord temporisé mécanique, avec une progression de l’électronique dans les rénovations plus récentes.
Musées / Salles de conférence / réunion : Musées, bibliothèques et centres de conférence ont souvent un parc un peu plus premium : le mitigeur et l’électronique y pèsent davantage que dans les autres ERP culturels. Ajustement ciblé 2025 : légère baisse du mitigeur et/ou légère hausse de l’électronique pour mieux refléter la modernisation déjà visible sur les rénovations de sanitaires communs.
Bibliothèques / médiathèques : Musées, bibliothèques et centres de conférence ont souvent un parc un peu plus premium : le mitigeur et l’électronique y pèsent davantage que dans les autres ERP culturels.</t>
  </si>
  <si>
    <t>Cinémas / Théâtres / Musées / Salles de spectacle / auditoriums / Salles de conférence / réunion / Salles polyvalentes / salles des fêtes / Bibliothèques / médiathèques : Progression mesurée de l’électronique 2025-2030 sur les ERP culturels et événementiels rénovés ; le temporisé mécanique reste important sur les flux intensifs, et le mitigeur persiste dans les sites plus patrimoniaux ou petits.</t>
  </si>
  <si>
    <t>Cinémas / Théâtres / Musées / Bibliothèques / médiathèques : Sans objet.
Salles de spectacle / auditoriums / Salles polyvalentes / salles des fêtes : Les rares douches (artistes, personnel, PMR) restent majoritairement manuelles ou temporisées mécaniques ; l’électronique demeure marginale.
Salles de conférence / réunion : Quand des douches existent, elles relèvent surtout d’usages personnel/technique et restent majoritairement manuelles ou temporisées.</t>
  </si>
  <si>
    <t>Cinémas / Théâtres / Musées / Salles de spectacle / auditoriums / Salles de conférence / réunion / Salles polyvalentes / salles des fêtes / Bibliothèques / médiathèques : Quand des douches existent, l’électronique progresse un peu dans les rénovations récentes, sans détrôner rapidement le temporisé/mécanique.</t>
  </si>
  <si>
    <t>Cinémas / Théâtres / Salles de spectacle / auditoriums / Salles polyvalentes / salles des fêtes : Les urinoirs relèvent surtout de la chasse directe mécanique, avec une part encore notable de collectifs anciens dans certains sites.
Musées / Salles de conférence / réunion / Bibliothèques / médiathèques : L’automatique est plus fréquent que dans le culturel 'classique', mais le parc en stock reste encore mixte.</t>
  </si>
  <si>
    <t>Cinémas / Théâtres / Musées / Salles de spectacle / auditoriums / Salles de conférence / réunion / Salles polyvalentes / salles des fêtes / Bibliothèques / médiathèques : Réservoirs et systèmes collectifs anciens reculent ; l’automatique gagne du terrain dans les rénovations de sites recevant du public.</t>
  </si>
  <si>
    <t>Cinémas / Théâtres / Salles de spectacle / auditoriums / Salles polyvalentes / salles des fêtes : Le parc WC est partagé entre réservoir et chasse directe ; cette dernière progresse dans les rénovations pour mieux tenir l’usage public.
Musées / Salles de conférence / réunion / Bibliothèques / médiathèques : Le réservoir reste majoritaire dans les petits sites ; la chasse directe et l’électronique progressent dans les établissements récents.</t>
  </si>
  <si>
    <t>Cinémas / Théâtres / Musées / Salles de spectacle / auditoriums / Salles de conférence / réunion / Salles polyvalentes / salles des fêtes / Bibliothèques / médiathèques : Le réservoir poursuit son reflux au profit du direct et, plus marginalement, de l’électronique sur les rénovations de sanitaires publics.</t>
  </si>
  <si>
    <t>Cinémas : Potentiel rénovation moyen à soutenu : refits réguliers des espaces publics, image d’accueil et usure d’exploitation, plus que vagues de construction neuve. Les volumes restent d’abord tirés par les WC et les lavabos, plus que par les postes spécialisés. En rénovation, le marché reste orienté vers des gammes fiables, disponibles et rapides à poser afin de limiter l’arrêt d’exploitation.
Théâtres / Musées : Potentiel rénovation moyen à soutenu : fort sur des actifs souvent anciens, avec enjeu d’accessibilité, confort visiteurs, adaptation climatique et parfois protection patrimoniale. Les volumes restent d’abord tirés par les WC et les lavabos, plus que par les postes spécialisés. En rénovation, le marché reste favorable aux gammes robustes et simples d’entretien, compatibles avec des chantiers par tranches et des budgets contraints.
Salles de spectacle / auditoriums : Potentiel rénovation moyen à soutenu : fort sur des actifs souvent anciens, avec enjeu d’accessibilité, confort visiteurs, adaptation climatique et parfois protection patrimoniale. Les lavabos et les WC portent l’essentiel des volumes, avec un poids secondaire des équipements spécialisés. En rénovation, le marché reste favorable aux gammes robustes et simples d’entretien, compatibles avec des chantiers par tranches et des budgets contraints.
Salles de conférence / réunion / Salles polyvalentes / salles des fêtes : Potentiel rénovation élevé : fort sur des actifs souvent anciens, avec enjeu d’accessibilité, confort visiteurs, adaptation climatique et parfois protection patrimoniale. Les lavabos et les WC portent l’essentiel des volumes, avec un poids secondaire des équipements spécialisés. En rénovation, le marché reste favorable aux gammes robustes et simples d’entretien, compatibles avec des chantiers par tranches et des budgets contraints.
Bibliothèques / médiathèques : Potentiel rénovation élevé : fort sur des actifs souvent anciens, avec enjeu d’accessibilité, confort visiteurs, adaptation climatique et parfois protection patrimoniale. Les volumes restent d’abord tirés par les WC et les lavabos, plus que par les postes spécialisés. En rénovation, le marché reste favorable aux gammes robustes et simples d’entretien, compatibles avec des chantiers par tranches et des budgets contraints.</t>
  </si>
  <si>
    <t>Cinémas : Potentiel neuf faible à moyen : quelques ouvertures/reconfigurations de multiplexes ou loisirs mixtes existent, mais le marché reste très sélectif. Le neuf est très minoritaire et opportuniste.
Théâtres : Potentiel neuf moyen : les opérations neuves existent mais restent rares et concentrées sur quelques priorités locales ou grands équipements. Le neuf est réel mais secondaire.
Musées / Salles polyvalentes / salles des fêtes / Bibliothèques / médiathèques : Potentiel neuf faible : les opérations neuves existent mais restent rares et concentrées sur quelques priorités locales ou grands équipements. Le neuf est quasi nul dans le modèle et renvoie surtout à des reconstructions ou remplacements de sites.
Salles de spectacle / auditoriums / Salles de conférence / réunion : Potentiel neuf moyen : les opérations neuves existent mais restent rares et concentrées sur quelques priorités locales ou grands équipements. Le neuf est significatif mais encore nettement inférieur à la rénovation.</t>
  </si>
  <si>
    <t>Cinémas : Projets phares réno : halls, sanitaires spectateurs, espaces premium, remises à niveau accessibilité et confort.
Théâtres / Musées / Salles de spectacle / auditoriums / Salles de conférence / réunion / Salles polyvalentes / salles des fêtes / Bibliothèques / médiathèques : Projets phares réno : halls et sanitaires publics, réhabilitation patrimoniale, accessibilité, rénovation énergétique, modernisation des espaces d’accueil.</t>
  </si>
  <si>
    <t>Cinémas : Projets phares neuf : complexes de loisirs/commerces avec cinéma, reprises de friches commerciales, opérations de destination.
Théâtres / Musées / Salles de spectacle / auditoriums / Salles de conférence / réunion / Salles polyvalentes / salles des fêtes / Bibliothèques / médiathèques : Projets phares neuf : médiathèques, auditoriums, équipements culturels de quartier, extensions ou requalifications d’équipements publics.</t>
  </si>
  <si>
    <t>Cinémas : Dynamique réno 2026-2030 : supérieure au neuf, car les exploitants privilégient le refresh pour soutenir la fréquentation.
Théâtres / Salles de spectacle / auditoriums / Salles de conférence / réunion / Salles polyvalentes / salles des fêtes / Bibliothèques / médiathèques : Dynamique réno 2026-2030 : élevée, car elle s’inscrit dans les politiques de sobriété énergétique et de confort du public.
Musées : Dynamique réno 2026-2030 : élevée, car elle s’inscrit dans les politiques de sobriété énergétique et de confort du public. La protection patrimoniale peut toutefois allonger les études et décaler les remplacements.</t>
  </si>
  <si>
    <t>Cinémas : Dynamique neuf 2026-2030 : faible à modérée ; peu de grands projets, avec un vrai écart entre intention immobilière et exécution.
Théâtres / Musées / Salles de spectacle / auditoriums / Salles de conférence / réunion / Salles polyvalentes / salles des fêtes / Bibliothèques / médiathèques : Dynamique neuf 2026-2030 : ponctuelle et très dépendante de la volonté politique locale ; les projets vitrines sortent, mais la masse reste en rénovation.</t>
  </si>
  <si>
    <t>Foires / salons
Halls d’exposition</t>
  </si>
  <si>
    <t>Foires / salons : Manifestations commerciales ou thématiques.
Halls d’exposition : Expositions temporaires ou permanentes.</t>
  </si>
  <si>
    <t>Foires / salons : Salon professionnel, foire
Halls d’exposition : Hall d’exposition</t>
  </si>
  <si>
    <t>Foires / salons / Halls d’exposition : Faute de série nationale homogène publiée annuellement pour cette sous-catégorie, le proxy est lissé ; la faible variation reflète une prudence méthodologique.</t>
  </si>
  <si>
    <t>proxy grands sites accueillant salons et foires.; Dynamique projetée 2027-2030: stable.; Fiabilité: moyenne; proxy centres d’exposition.</t>
  </si>
  <si>
    <t>Foires / salons : Foires/halls : batteries de sanitaires permanents, hors renforts mobiles d'événement.
Halls d’exposition : Foires/halls : batteries de sanitaires permanents, hors renforts mobiles d'événement.</t>
  </si>
  <si>
    <t>Foires / salons : Capacité type ≈ 2125 usagers principaux + 250 staff + 125 exposants/prestataires. Le programme sanitaire est construit par blocs fonctionnels plausibles (public, personnel, exploitation/hébergement selon le cas) et non par simple ratio national moyen. Calibrage selon capacité simultanée, répartition de flux et organisation réelle du site.
Halls d’exposition : Capacité type ≈ 1530 usagers principaux + 180 staff + 90 exposants/prestataires. Le programme sanitaire est construit par blocs fonctionnels plausibles (public, personnel, exploitation/hébergement selon le cas) et non par simple ratio national moyen. Calibrage selon capacité simultanée, répartition de flux et organisation réelle du site.</t>
  </si>
  <si>
    <t>Foires / salons : Fréquentation irrégulière mais pics très élevés, chocs d'usage et remises en service rapides. Les durées réelles descendent surtout sur mitigeurs et électroniques. Les temporisés mécaniques et les chasses directes mécaniques résistent mieux à ces pics. Le renouvellement se fait souvent par campagnes avant ou après rénovation des halls/blocs. Culture / conférence / exposition : Usage public modéré à fort mais irrégulier, pics événementiels, budgets municipaux/intercommunaux et rénovation par campagnes plutôt que remplacement à la panne.
Halls d’exposition : Montages/démontages, stockage, transport et remise en service raccourcissent la durée réelle au-delà du seul usage hydraulique. Les technologies mécaniques simples restent les plus stables. L'électronique souffre davantage des raccordements, de l'humidité et des chocs de manutention. Remplacements souvent par lots pour homogénéiser les parcs. Sites saisonniers / montagne / camping / flottants : Moins de cycles annuels mais conditions climatiques/corrosives, hivernage et remises en service. maintenance concentrée et hétérogène.</t>
  </si>
  <si>
    <t>Foires / salons / Halls d’exposition : Sur foires, salons et halls, le parc commun est tiré par des usages intensifs : temporisé mécanique encore dominant, mais électronique déjà élevée dans les ensembles récents.</t>
  </si>
  <si>
    <t>Foires / salons / Halls d’exposition : Progression mesurée de l’électronique 2025-2030 sur les ERP culturels et événementiels rénovés ; le temporisé mécanique reste important sur les flux intensifs, et le mitigeur persiste dans les sites plus patrimoniaux ou petits.</t>
  </si>
  <si>
    <t>Foires / salons / Halls d’exposition : Les douches éventuelles restent plutôt temporisées mécaniques, l’électronique apparaissant sur les rénovations haut de gamme.</t>
  </si>
  <si>
    <t>Foires / salons / Halls d’exposition : Quand des douches existent, l’électronique progresse un peu dans les rénovations récentes, sans détrôner rapidement le temporisé/mécanique.</t>
  </si>
  <si>
    <t>Foires / salons / Halls d’exposition : Les grands sites événementiels sont l’un des segments où l’automatique est la plus avancée, sans effacer totalement la base mécanique/directe.</t>
  </si>
  <si>
    <t>Foires / salons / Halls d’exposition : Réservoirs et systèmes collectifs anciens reculent ; l’automatique gagne du terrain dans les rénovations de sites recevant du public.</t>
  </si>
  <si>
    <t>Foires / salons / Halls d’exposition : La chasse directe domine nettement ce parc ERP à forte fréquentation ; l’électronique progresse mais reste minoritaire dans le stock.</t>
  </si>
  <si>
    <t>Foires / salons / Halls d’exposition : Le réservoir poursuit son reflux au profit du direct et, plus marginalement, de l’électronique sur les rénovations de sanitaires publics.</t>
  </si>
  <si>
    <t>Foires / salons / Halls d’exposition : Potentiel rénovation moyen à soutenu : fort sur des actifs souvent anciens, avec enjeu d’accessibilité, confort visiteurs, adaptation climatique et parfois protection patrimoniale. Les volumes restent d’abord tirés par les WC et les lavabos, plus que par les postes spécialisés. En rénovation, le marché reste favorable aux gammes robustes et simples d’entretien, compatibles avec des chantiers par tranches et des budgets contraints.</t>
  </si>
  <si>
    <t>Foires / salons / Halls d’exposition : Potentiel neuf faible à moyen : les opérations neuves existent mais restent rares et concentrées sur quelques priorités locales ou grands équipements. Le neuf est réel mais secondaire.</t>
  </si>
  <si>
    <t>Foires / salons / Halls d’exposition : Projets phares réno : halls et sanitaires publics, réhabilitation patrimoniale, accessibilité, rénovation énergétique, modernisation des espaces d’accueil.</t>
  </si>
  <si>
    <t>Foires / salons / Halls d’exposition : Projets phares neuf : médiathèques, auditoriums, équipements culturels de quartier, extensions ou requalifications d’équipements publics.</t>
  </si>
  <si>
    <t>Foires / salons / Halls d’exposition : Dynamique réno 2026-2030 : élevée, car elle s’inscrit dans les politiques de sobriété énergétique et de confort du public.</t>
  </si>
  <si>
    <t>Foires / salons / Halls d’exposition : Dynamique neuf 2026-2030 : ponctuelle et très dépendante de la volonté politique locale ; les projets vitrines sortent, mais la masse reste en rénovation.</t>
  </si>
  <si>
    <t>Chapiteaux / tentes / structures
Structures gonflables</t>
  </si>
  <si>
    <t>CTS / SG</t>
  </si>
  <si>
    <t>Chapiteaux / tentes / structures : Structures temporaires recevant du public.
Structures gonflables : Installations gonflables ouvertes au public.</t>
  </si>
  <si>
    <t>Chapiteaux / tentes / structures : Chapiteau de cirque, tente événementielle
Structures gonflables : Parc gonflable, château gonflable</t>
  </si>
  <si>
    <t>Chapiteaux / tentes / structures : Faute de série nationale homogène publiée annuellement pour cette sous-catégorie, le proxy est lissé ; la faible variation reflète une prudence méthodologique.
Structures gonflables : Pas de stagnation structurelle : la série évolue à la hausse sur la période 2000-2026 ; la projection prolonge cette tendance avec prudence.</t>
  </si>
  <si>
    <t>estimation du parc temporaire déclaré.; Dynamique projetée 2027-2030: stable.; Fiabilité: moyenne; estimation sectorielle.; Dynamique projetée 2027-2030: hausse légère.</t>
  </si>
  <si>
    <t>Chapiteaux / tentes / structures : Équipement événementiel : programme public en batterie à l'entrée et en pourtour, staff séparé.
Structures gonflables : Équipement événementiel : programme public en batterie à l'entrée et en pourtour, staff séparé.</t>
  </si>
  <si>
    <t>Chapiteaux / tentes / structures : Capacité type ≈ 440 usagers principaux + 40 staff + 20 techniciens/prestataires. Le programme sanitaire est construit par blocs fonctionnels plausibles (public, personnel, exploitation/hébergement selon le cas) et non par simple ratio national moyen. Calibrage selon capacité simultanée, répartition de flux et organisation réelle du site.
Structures gonflables : Capacité type ≈ 71 usagers principaux + 6 staff + 3 accompagnants/encadrants. Le programme sanitaire est construit par blocs fonctionnels plausibles (public, personnel, exploitation/hébergement selon le cas) et non par simple ratio national moyen. Calibrage selon capacité simultanée, répartition de flux et organisation réelle du site.</t>
  </si>
  <si>
    <t>Chapiteaux / tentes / structures : Montages/démontages, stockage, transport et remise en service raccourcissent la durée réelle au-delà du seul usage hydraulique. Les technologies mécaniques simples restent les plus stables. L'électronique souffre davantage des raccordements, de l'humidité et des chocs de manutention. Remplacements souvent par lots pour homogénéiser les parcs. Sites saisonniers / montagne / camping / flottants : Moins de cycles annuels mais conditions climatiques/corrosives, hivernage et remises en service. maintenance concentrée et hétérogène.
Structures gonflables : Usage dense, nettoyage agressif, graisse/humidité et arbitrages économiques serrés. Les temporisés mécaniques conservent un léger avantage en robustesse sur les mitigeurs dans les sanitaires partagés. L'électronique reste plus courte en raison de l'environnement humide et de la maintenance plus opportuniste. Renouvellement surtout à la panne, puis par lot lors des refurbishments. Restauration / bars / nightlife / loisirs indoor : Longues amplitudes, forte humidité, nettoyage agressif, image commerciale importante et vandalisme plus élevé en soirée/nuit.</t>
  </si>
  <si>
    <t>Chapiteaux / tentes / structures / Structures gonflables : Les installations temporaires ou mobiles font davantage appel à des équipements atypiques ou intégrés ('autres'), d’où une part plus élevée hors trio classique mitigeur/temporisé/électronique.</t>
  </si>
  <si>
    <t>Chapiteaux / tentes / structures / Structures gonflables : Progression mesurée de l’électronique 2025-2030 sur les ERP culturels et événementiels rénovés ; le temporisé mécanique reste important sur les flux intensifs, et le mitigeur persiste dans les sites plus patrimoniaux ou petits.</t>
  </si>
  <si>
    <t>Chapiteaux / tentes / structures / Structures gonflables : Les douches éventuelles restent surtout manuelles ou temporisées simples, l’électronique étant rare sur du provisoire.</t>
  </si>
  <si>
    <t>Chapiteaux / tentes / structures / Structures gonflables : Quand des douches existent, l’électronique progresse un peu dans les rénovations récentes, sans détrôner rapidement le temporisé/mécanique.</t>
  </si>
  <si>
    <t>Chapiteaux / tentes / structures / Structures gonflables : Quand des urinoirs existent, ils sont souvent collectifs (rampe/batterie) sur les installations événementielles provisoires.</t>
  </si>
  <si>
    <t>Chapiteaux / tentes / structures / Structures gonflables : Réservoirs et systèmes collectifs anciens reculent ; l’automatique gagne du terrain dans les rénovations de sites recevant du public.</t>
  </si>
  <si>
    <t>Chapiteaux / tentes / structures / Structures gonflables : Le parc provisoire reste très majoritairement assimilable à du WC à réservoir ou autonome ; la chasse directe demeure secondaire.</t>
  </si>
  <si>
    <t>Chapiteaux / tentes / structures / Structures gonflables : Le réservoir poursuit son reflux au profit du direct et, plus marginalement, de l’électronique sur les rénovations de sanitaires publics.</t>
  </si>
  <si>
    <t>Chapiteaux / tentes / structures : Potentiel rénovation moyen à soutenu : maintenance et renouvellement liés à l’intensité d’usage, à la sécurité et à l’image de l’événementiel. Les lavabos et les WC portent l’essentiel des volumes, avec un poids secondaire des équipements spécialisés. En rénovation, le marché reste orienté vers des gammes fiables, disponibles et rapides à poser afin de limiter l’arrêt d’exploitation.
Structures gonflables : Potentiel rénovation élevé : maintenance et renouvellement liés à l’intensité d’usage, à la sécurité et à l’image de l’événementiel. Les lavabos et les WC portent l’essentiel des volumes, avec un poids secondaire des équipements spécialisés. En rénovation, le marché reste orienté vers des gammes fiables, disponibles et rapides à poser afin de limiter l’arrêt d’exploitation.</t>
  </si>
  <si>
    <t>Chapiteaux / tentes / structures : Potentiel neuf moyen : plus réel que dans le culturel public, mais très lié au calendrier des événements, à l’investissement privé et à la fréquentation. Le neuf est significatif mais encore nettement inférieur à la rénovation.
Structures gonflables : Potentiel neuf moyen : plus réel que dans le culturel public, mais très lié au calendrier des événements, à l’investissement privé et à la fréquentation. Le neuf est réel mais secondaire.</t>
  </si>
  <si>
    <t>Chapiteaux / tentes / structures / Structures gonflables : Projets phares réno : remise à niveau des blocs sanitaires associés, renouvellement d’équipements mobiles et accessoires d’accueil.</t>
  </si>
  <si>
    <t>Chapiteaux / tentes / structures / Structures gonflables : Projets phares neuf : nouvelles structures temporaires, équipements événementiels, bases d’accueil sur festivals ou salons.</t>
  </si>
  <si>
    <t>Chapiteaux / tentes / structures / Structures gonflables : Dynamique réno 2026-2030 : régulière mais morcelée ; la demande suit les saisons et l’état du matériel.</t>
  </si>
  <si>
    <t>Chapiteaux / tentes / structures / Structures gonflables : Dynamique neuf 2026-2030 : opportuniste, plus sensible au cycle événementiel et au contexte économique qu’aux politiques publiques.</t>
  </si>
  <si>
    <t>±7 pts</t>
  </si>
  <si>
    <t>±8 pts</t>
  </si>
  <si>
    <t>Cafés / bars / brasseries
Fast-food / cafétérias / food courts
Restaurants
(Hors établissements altitude, flottant, armée)</t>
  </si>
  <si>
    <t>Cafés / bars / brasseries : Débits de boissons et restauration.
Fast-food / cafétérias / food courts : Restauration rapide.
Restaurants
(Hors établissements altitude, flottant, armée) : Restauration assise ou rapide.</t>
  </si>
  <si>
    <t>Cafés / bars / brasseries : Bar, café, brasserie
Fast-food / cafétérias / food courts : Fast-food, cafétéria
Restaurants
(Hors établissements altitude, flottant, armée) : Restaurant traditionnel</t>
  </si>
  <si>
    <t>Cafés / bars / brasseries : Pas de stagnation structurelle : la série évolue à la baisse sur la période 2000-2026 ; la projection prolonge cette tendance avec prudence.
Fast-food / cafétérias / food courts / Restaurants
(Hors établissements altitude, flottant, armée) : Pas de stagnation structurelle : la série évolue à la hausse sur la période 2000-2026 ; la projection prolonge cette tendance avec prudence.</t>
  </si>
  <si>
    <t>proxy SIRUS débits de boissons.; Dynamique projetée 2027-2030: baisse lente.; Fiabilité: moyenne; proxy SIRUS restauration rapide.; Dynamique projetée 2027-2030: hausse modérée.; proxy SIRUS restauration traditionnelle et rapide.</t>
  </si>
  <si>
    <t>Cafés / bars / brasseries : Débit de boisson : bloc client + sanitaire personnel.
Fast-food / cafétérias / food courts : Restauration rapide : bloc clients à fort turnover + staff.
Restaurants
(Hors établissements altitude, flottant, armée) : Altitude : bloc restauration/skieurs + vestiaires/douches collectives ; chambres non comptées.</t>
  </si>
  <si>
    <t>Cafés / bars / brasseries : Capacité type ≈ 73 usagers principaux + 14 staff + 3 livreurs/prestataires. Le programme sanitaire est construit par blocs fonctionnels plausibles (public, personnel, exploitation/hébergement selon le cas) et non par simple ratio national moyen. Calibrage selon capacité simultanée, répartition de flux et organisation réelle du site.
Fast-food / cafétérias / food courts : Capacité type ≈ 101 usagers principaux + 17 staff + 2 livreurs/prestataires. Le programme sanitaire est construit par blocs fonctionnels plausibles (public, personnel, exploitation/hébergement selon le cas) et non par simple ratio national moyen. Calibrage selon capacité simultanée, répartition de flux et organisation réelle du site.
Restaurants
(Hors établissements altitude, flottant, armée) : Capacité type ≈ 82 usagers principaux + 15 staff + 3 livreurs/prestataires. Le programme sanitaire est construit par blocs fonctionnels plausibles (public, personnel, exploitation/hébergement selon le cas) et non par simple ratio national moyen. Calibrage selon capacité simultanée, répartition de flux et organisation réelle du site.</t>
  </si>
  <si>
    <t>Cafés / bars / brasseries / Fast-food / cafétérias / food courts : Usage dense, nettoyage agressif, graisse/humidité et arbitrages économiques serrés. Les temporisés mécaniques conservent un léger avantage en robustesse sur les mitigeurs dans les sanitaires partagés. L'électronique reste plus courte en raison de l'environnement humide et de la maintenance plus opportuniste. Renouvellement surtout à la panne, puis par lot lors des refurbishments. Restauration / bars / nightlife / loisirs indoor : Longues amplitudes, forte humidité, nettoyage agressif, image commerciale importante et vandalisme plus élevé en soirée/nuit.
Restaurants
(Hors établissements altitude, flottant, armée) : Flux publics variables, budgets souvent contraints et maintenance plutôt réactive. Les écarts de durée ont été resserrés : le mécanique garde un petit avantage, l'électronique reste en retrait mais sans décote excessive. Le renouvellement intervient au fil des pannes puis lors des opérations de remise à niveau des sanitaires. Restauration / bars / nightlife / loisirs indoor : Longues amplitudes, forte humidité, nettoyage agressif, image commerciale importante et vandalisme plus élevé en soirée/nuit.</t>
  </si>
  <si>
    <t>Cafés / bars / brasseries / Restaurants (Hors établissements altitude, flottant, armée) : Dans les cafés, bars, brasseries et restaurants, le mitigeur reste majoritaire dans le parc existant, avec une montée du temporisé ou de l’électronique surtout dans les rénovations et chaînes. Ajustement ciblé 2025 : légère baisse du mitigeur et/ou légère hausse de l’électronique pour mieux refléter la modernisation déjà visible sur les rénovations de sanitaires communs.
Fast-food / cafétérias / food courts : Dans les fast-foods et food courts, le parc commun se modernise plus vite : temporisé et électronique sont plus présents que dans la restauration traditionnelle. Ajustement ciblé 2025 : légère baisse du mitigeur et/ou légère hausse de l’électronique pour mieux refléter la modernisation déjà visible sur les rénovations de sanitaires communs.</t>
  </si>
  <si>
    <t>Cafés / bars / brasseries / Restaurants (Hors établissements altitude, flottant, armée) : En restauration, le mitigeur reste important mais recule dans les sanitaires clients rénovés au profit de l’électronique ; la trajectoire est plus rapide dans les chaînes que dans l’indépendant.
Fast-food / cafétérias / food courts : Les sites commerciaux/loisirs intensifs montent plus franchement en électronique d’ici 2030, avec maintien d’un socle temporisé mécanique pour la robustesse et la simplicité.</t>
  </si>
  <si>
    <t>Cafés / bars / brasseries / Fast-food / cafétérias / food courts : Sans objet.
Restaurants
(Hors établissements altitude, flottant, armée) : Les douches, quand elles existent, relèvent surtout d’usages personnel et restent majoritairement manuelles.</t>
  </si>
  <si>
    <t>Cafés / bars / brasseries / Fast-food / cafétérias / food courts : Sans objet.
Restaurants (Hors établissements altitude, flottant, armée) : Projection prudente : progression mesurée de l’électronique, socle mécanique encore dominant.</t>
  </si>
  <si>
    <t>Cafés / bars / brasseries / Restaurants (Hors établissements altitude, flottant, armée) : Le parc d’urinoirs reste surtout classique, avec un partage entre réservoir/concealed tank, mécanique directe et un peu d’automatique.
Fast-food / cafétérias / food courts : L’automatique est nettement plus fréquent que dans les bars/restaurants, sans être encore totalement majoritaire sur le stock.</t>
  </si>
  <si>
    <t>Cafés / bars / brasseries / Restaurants (Hors établissements altitude, flottant, armée) : Quand ils existent, les urinoirs glissent lentement du réservoir/mécanique vers plus d’automatique, surtout dans les établissements rénovés.
Fast-food / cafétérias / food courts : Les sites commerciaux et de loisirs font davantage progresser l’automatique d’ici 2030, tout en gardant une part mécanique.</t>
  </si>
  <si>
    <t>Cafés / bars / brasseries / Restaurants (Hors établissements altitude, flottant, armée) : Les WC à réservoir restent dominants dans ce parc de petite et moyenne taille ; la chasse directe progresse mais reste minoritaire.
Fast-food / cafétérias / food courts : Le parc WC est plus orienté chasse directe que la restauration traditionnelle, mais conserve encore beaucoup de réservoirs.</t>
  </si>
  <si>
    <t>Cafés / bars / brasseries / Restaurants
(Hors établissements altitude, flottant, armée) : Le direct et l’électronique gagnent du terrain dans les sanitaires clients rénovés, mais le réservoir reste significatif dans l’indépendant et les petits sites.
Fast-food / cafétérias / food courts : Les sites commerciaux/loisirs intensifs font monter plus vite la chasse directe et l’électronique ; le réservoir recule nettement mais ne disparaît pas.</t>
  </si>
  <si>
    <t>Cafés / bars / brasseries : Potentiel rénovation très élevé : usure d’exploitation, hygiène, changement de concept et transmission/reprise d’établissements alimentent le remplacement. Les lavabos et les WC portent l’essentiel des volumes, avec un poids secondaire des équipements spécialisés. En rénovation, le marché reste orienté vers des gammes fiables, disponibles et rapides à poser afin de limiter l’arrêt d’exploitation.
Fast-food / cafétérias / food courts : Potentiel rénovation très élevé : refits fréquents, hygiène, forte rotation clientèle et image d’enseigne soutiennent les remplacements. Les volumes restent d’abord tirés par les WC et les lavabos, plus que par les postes spécialisés. En rénovation, le marché reste orienté vers des gammes fiables, disponibles et rapides à poser afin de limiter l’arrêt d’exploitation.
Restaurants (Hors établissements altitude, flottant, armée) : Potentiel rénovation très élevé : usure d’exploitation, hygiène, changement de concept et transmission/reprise d’établissements alimentent le remplacement. Les volumes se concentrent surtout sur lavabos et wc. En rénovation, le marché reste orienté vers des gammes fiables, disponibles et rapides à poser afin de limiter l’arrêt d’exploitation.</t>
  </si>
  <si>
    <t>Cafés / bars / brasseries : Potentiel neuf faible : diffusion plus fragmentée que le fast-food, avec ouvertures et reprises surtout dans les zones de flux. Le neuf est quasi nul dans le modèle et renvoie surtout à des reconstructions ou remplacements de sites.
Fast-food / cafétérias / food courts : Potentiel neuf élevé : l’un des sous-segments privés les plus dynamiques via franchises, retail parks, gares, aéroports et food courts. Le neuf est significatif mais encore nettement inférieur à la rénovation.
Restaurants (Hors établissements altitude, flottant, armée) : Potentiel neuf élevé : diffusion plus fragmentée que le fast-food, avec ouvertures et reprises surtout dans les zones de flux. Le neuf est réel mais secondaire.</t>
  </si>
  <si>
    <t>Cafés / bars / brasseries / Restaurants (Hors établissements altitude, flottant, armée) : Projets phares réno : refits de sanitaires clients/personnel, réagencements, montées en gamme ou mise aux normes.
Fast-food / cafétérias / food courts : Projets phares réno : sanitaires clients/personnel, remises à niveau lors de changement de concept, modernisation rapide en site exploité.</t>
  </si>
  <si>
    <t>Cafés / bars / brasseries / Restaurants (Hors établissements altitude, flottant, armée) : Projets phares neuf : nouveaux restaurants, bars, concepts hybrides, implantations dans programmes tertiaires/commerciaux ou touristiques.
Fast-food / cafétérias / food courts : Projets phares neuf : ouvertures de restaurants rapides, food courts, corners en zones commerciales et hubs de transport.</t>
  </si>
  <si>
    <t>Cafés / bars / brasseries / Restaurants (Hors établissements altitude, flottant, armée) : Dynamique réno 2026-2030 : plus solide que le neuf, car le refresh commercial est souvent préféré à une création ex nihilo.
Fast-food / cafétérias / food courts : Dynamique réno 2026-2030 : très régulière car les cycles d’enseigne sont courts et les travaux légers rapidement arbitrables.</t>
  </si>
  <si>
    <t>Cafés / bars / brasseries / Restaurants
(Hors établissements altitude, flottant, armée) : Dynamique neuf 2026-2030 : moyenne et très dépendante de la confiance des exploitants, des emplacements et de la fréquentation.
Fast-food / cafétérias / food courts : Dynamique neuf 2026-2030 : soutenue mais sensible à la consommation, aux loyers commerciaux et au coût du financement.</t>
  </si>
  <si>
    <t>Salles de jeux / bowlings / billards
Discothèques / salles de danse
Casinos</t>
  </si>
  <si>
    <t>P / P / N / L</t>
  </si>
  <si>
    <t>ERP / Ensemble multi-activités</t>
  </si>
  <si>
    <t>Salles de jeux / bowlings / billards : Jeux et loisirs intérieurs.
Discothèques / salles de danse : Danse et activités assimilées.
Casinos : Établissements recevant du public où le jeu, l’animation et la restauration sont réunis sous une direction unique ; sanitaires publics très probables.</t>
  </si>
  <si>
    <t>Salles de jeux / bowlings / billards : Bowling, salle de jeux
Discothèques / salles de danse : Discothèque, dancing
Casinos : Casino</t>
  </si>
  <si>
    <t>Site
Etablissement principal / Site / établissement principal</t>
  </si>
  <si>
    <t>Salles de jeux / bowlings / billards : Faute de série nationale homogène publiée annuellement pour cette sous-catégorie, le proxy est lissé ; la faible variation reflète une prudence méthodologique.
Discothèques / salles de danse : Pas de stagnation structurelle : la série évolue à la baisse sur la période 2000-2026 ; la projection prolonge cette tendance avec prudence.</t>
  </si>
  <si>
    <t>proxy loisirs intérieurs.; Dynamique projetée 2027-2030: stable.; Fiabilité: moyenne; proxy loisirs nocturnes.; Dynamique projetée 2027-2030: baisse lente.</t>
  </si>
  <si>
    <t>https://www.insee.fr/fr/metadonnees/source/serie/s1161
https://www.legifrance.gouv.fr/loda/id/JORFTEXT000000278899
https://www.legifrance.gouv.fr/codes/section_lc/JORFTEXT000000290033/LEGISCTA000020334969/</t>
  </si>
  <si>
    <t>Salles de jeux / bowlings / billards : Loisir indoor : sanitaires public + équipe d'exploitation.
Discothèques / salles de danse : Discothèque : surdimensionnement relatif sur les WC publics ; pas de douches.
Casinos : Loisir indoor : sanitaires public + équipe d'exploitation.</t>
  </si>
  <si>
    <t>Salles de jeux / bowlings / billards : Capacité type ≈ 215 usagers principaux + 25 staff + 10 accompagnants/prestataires. Le programme sanitaire est construit par blocs fonctionnels plausibles (public, personnel, exploitation/hébergement selon le cas) et non par simple ratio national moyen. Calibrage selon capacité simultanée, répartition de flux et organisation réelle du site.
Discothèques / salles de danse : Capacité type ≈ 315 usagers principaux + 28 staff + 7 artistes/techniciens. Le programme sanitaire est construit par blocs fonctionnels plausibles (public, personnel, exploitation/hébergement selon le cas) et non par simple ratio national moyen. Calibrage selon capacité simultanée, répartition de flux et organisation réelle du site.
Casinos : Capacité type ≈ 215 usagers principaux + 25 staff + 10 accompagnants/prestataires. Le programme sanitaire est construit par blocs fonctionnels plausibles (public, personnel, exploitation/hébergement selon le cas) et non par simple ratio national moyen. Calibrage selon capacité simultanée, répartition de flux et organisation réelle du site.</t>
  </si>
  <si>
    <t>Salles de jeux / bowlings / billards : Usage dense, nettoyage agressif, graisse/humidité et arbitrages économiques serrés. Les temporisés mécaniques conservent un léger avantage en robustesse sur les mitigeurs dans les sanitaires partagés. L'électronique reste plus courte en raison de l'environnement humide et de la maintenance plus opportuniste. Renouvellement surtout à la panne, puis par lot lors des refurbishments. Restauration / bars / nightlife / loisirs indoor : Longues amplitudes, forte humidité, nettoyage agressif, image commerciale importante et vandalisme plus élevé en soirée/nuit.
Discothèques / salles de danse : Très forte fréquentation, peu d'appropriation des lieux et vandalisme non nul. Les durées sont abaissées sans créer de grands écarts artificiels : mécanique simple &gt; mitigeur &gt; électronique. Les chasses directes mécaniques gardent le meilleur comportement réel. Les remplacements sont souvent batchés par sanitaires ou zones commerciales. Commerce / transport / parkings / sanitaires publics très intensifs : Très forte fréquentation, disponibilité immédiate requise, vandalisme et coûts d’exploitation élevés. La temporisation mécanique et la chasse directe sont favorisées.</t>
  </si>
  <si>
    <t>Salles de jeux / bowlings / billards : Dans les bowlings/billards/jeux, le temporisé mécanique domine encore le parc existant, l’électronique progressant dans les complexes récents.
Discothèques / salles de danse : Le parc de discothèques/salles de danse reste dominé par le temporisé mécanique, mais l’électronique progresse dans les rénovations d’image et d’hygiène.</t>
  </si>
  <si>
    <t>Salles de jeux / bowlings / billards / Discothèques / salles de danse : Les sites commerciaux/loisirs intensifs montent plus franchement en électronique d’ici 2030, avec maintien d’un socle temporisé mécanique pour la robustesse et la simplicité.</t>
  </si>
  <si>
    <t>Salles de jeux / bowlings / billards / Discothèques / salles de danse : Sans objet.</t>
  </si>
  <si>
    <t>Salles de jeux / bowlings / billards : Les urinoirs mécaniques et collectifs anciens gardent un poids important ; l’automatique progresse dans les complexes modernisés.
Discothèques / salles de danse : Les collectifs et la chasse directe mécanique restent très présents sur ce parc ancien ; l’automatique gagne du terrain dans les sites rénovés.</t>
  </si>
  <si>
    <t>Salles de jeux / bowlings / billards / Discothèques / salles de danse : Les sites commerciaux et de loisirs font davantage progresser l’automatique d’ici 2030, tout en gardant une part mécanique.</t>
  </si>
  <si>
    <t>Salles de jeux / bowlings / billards : La chasse directe est déjà majoritaire dans les complexes de loisirs les plus fréquentés, mais le stock garde une part importante de réservoir.
Discothèques / salles de danse : La chasse directe domine le parc des sanitaires très sollicités, mais le réservoir reste encore significatif.</t>
  </si>
  <si>
    <t>Salles de jeux / bowlings / billards / Discothèques / salles de danse : Les sites commerciaux/loisirs intensifs font monter plus vite la chasse directe et l’électronique ; le réservoir recule nettement mais ne disparaît pas.</t>
  </si>
  <si>
    <t>Salles de jeux / bowlings / billards / Discothèques / salles de danse : Potentiel rénovation élevé : fréquentation, image et sécurité d’exploitation dictent les remplacements plus que la croissance du parc. Les lavabos et les WC portent l’essentiel des volumes, avec un poids secondaire des équipements spécialisés. En rénovation, le marché reste orienté vers des gammes fiables, disponibles et rapides à poser afin de limiter l’arrêt d’exploitation.</t>
  </si>
  <si>
    <t>Salles de jeux / bowlings / billards : Potentiel neuf moyen : présent mais concentré sur les loisirs indoor les plus dynamiques. Le neuf est réel mais secondaire.
Discothèques / salles de danse : Potentiel neuf faible : plus fragile encore dans le nocturne, très dépendant de l’emplacement et de la conjoncture. Le neuf est quasi nul dans le modèle et renvoie surtout à des reconstructions ou remplacements de sites.</t>
  </si>
  <si>
    <t>Salles de jeux / bowlings / billards / Discothèques / salles de danse : Projets phares réno : sanitaires clients, zones d’accueil, refonte d’image et mise à niveau lors de repositionnement d’offre.</t>
  </si>
  <si>
    <t>Salles de jeux / bowlings / billards / Discothèques / salles de danse : Projets phares neuf : centres de loisirs indoor, bowlings nouvelle génération, concepts de divertissement, reprises de sites avec travaux.</t>
  </si>
  <si>
    <t>Salles de jeux / bowlings / billards / Discothèques / salles de danse : Dynamique réno 2026-2030 : moyenne à soutenue, car l’image et l’expérience client comptent fortement.</t>
  </si>
  <si>
    <t>Salles de jeux / bowlings / billards : Dynamique neuf 2026-2030 : hétérogène ; meilleure sur les loisirs indoor familiaux, plus fragile dans le nocturne.
Discothèques / salles de danse : Dynamique neuf 2026-2030 : hétérogène ; meilleure sur les loisirs indoor familiaux, plus fragile dans le nocturne. La situation économique générale et les coûts d’exploitation pèsent particulièrement sur ce sous-segment.</t>
  </si>
  <si>
    <t>Loisirs marchands : équilibre entre expérience client, résistance au trafic et budgets d’exploitation, avec amélioration graduelle surtout sur les sites récents.</t>
  </si>
  <si>
    <t>Centres commerciaux / malls
Marchés couverts</t>
  </si>
  <si>
    <t>Centres commerciaux / malls : Centres commerciaux et grands magasins.
Marchés couverts : Vente au détail sous halle / couvert.</t>
  </si>
  <si>
    <t>Centres commerciaux / malls : Centre commercial, retail park couvert
Marchés couverts : Marché couvert</t>
  </si>
  <si>
    <t>Centres commerciaux / malls : Le stock national évolue peu ; la série est volontairement prudente et cohérente avec un parc mature.
Marchés couverts : Faute de série nationale homogène publiée annuellement pour cette sous-catégorie, le proxy est lissé ; la faible variation reflète une prudence méthodologique.</t>
  </si>
  <si>
    <t>proxy grands ensembles commerciaux.; Dynamique projetée 2027-2030: stable.; Fiabilité: bonne.; proxy équipements commerciaux communaux.; Fiabilité: moyenne</t>
  </si>
  <si>
    <t>Centres commerciaux / malls : Centre commercial : plusieurs noyaux publics répartis + sanitaires personnel enseignes/gestion.
Marchés couverts : Marché couvert : bloc public central + commerçants.</t>
  </si>
  <si>
    <t>Centres commerciaux / malls : Capacité type ≈ 3280 usagers principaux + 400 staff + 320 prestataires/livreurs. Le programme sanitaire est construit par blocs fonctionnels plausibles (public, personnel, exploitation/hébergement selon le cas) et non par simple ratio national moyen. Calibrage selon capacité simultanée, répartition de flux et organisation réelle du site.
Marchés couverts : Capacité type ≈ 312 usagers principaux + 60 staff + 28 prestataires/livreurs. Le programme sanitaire est construit par blocs fonctionnels plausibles (public, personnel, exploitation/hébergement selon le cas) et non par simple ratio national moyen. Calibrage selon capacité simultanée, répartition de flux et organisation réelle du site.</t>
  </si>
  <si>
    <t>Centres commerciaux / malls : Très forte fréquentation, peu d'appropriation des lieux et vandalisme non nul. Les durées sont abaissées sans créer de grands écarts artificiels : mécanique simple &gt; mitigeur &gt; électronique. Les chasses directes mécaniques gardent le meilleur comportement réel. Les remplacements sont souvent batchés par sanitaires ou zones commerciales. Commerce / transport / parkings / sanitaires publics très intensifs : Très forte fréquentation, disponibilité immédiate requise, vandalisme et coûts d’exploitation élevés. La temporisation mécanique et la chasse directe sont favorisées.
Marchés couverts : Usage quotidien mais mieux maîtrisé, faible vandalisme et maintenance planifiée sur la période 2025-2030. Cela allonge toutes les durées et réduit les écarts. Le temporisé mécanique n'est plus vraiment derrière le mitigeur, et l'électronique est soutenue lorsque l'alimentation et la maintenance sont stabilisées. Les rénovations sont souvent pilotées par plateaux ou immeubles. Bureaux / administration / justice : Usage tertiaire moyen, faible vandalisme, rénovations par lots tirées par l’immobilier tertiaire, l’accessibilité et la trajectoire Éco Énergie Tertiaire.</t>
  </si>
  <si>
    <t>Centres commerciaux / malls : Dans les malls, l’électronique est nettement plus présente que dans la moyenne du parc, sans dépasser totalement le temporisé mécanique sur l’existant.
Marchés couverts : Le parc des marchés couverts reste assez hétérogène : mitigeurs et temporisés mécaniques coexistent largement, avec une électronique encore minoritaire.</t>
  </si>
  <si>
    <t>Centres commerciaux / malls / Marchés couverts : Les sites commerciaux/loisirs intensifs montent plus franchement en électronique d’ici 2030, avec maintien d’un socle temporisé mécanique pour la robustesse et la simplicité.</t>
  </si>
  <si>
    <t>Centres commerciaux / malls : Les rares douches relèvent surtout de zones personnel/technique ; le temporisé reste dominant.
Marchés couverts : Sans objet.</t>
  </si>
  <si>
    <t>Centres commerciaux / malls : Projection prudente : progression mesurée de l’électronique, socle mécanique encore dominant.
Marchés couverts : Sans objet.</t>
  </si>
  <si>
    <t>Centres commerciaux / malls : L’automatique est très répandu dans les grands centres commerciaux, mais le parc conserve encore une base de chasses directes mécaniques.
Marchés couverts : Le parc d’urinoirs reste mixte entre solutions classiques et quelques collectifs anciens.</t>
  </si>
  <si>
    <t>Centres commerciaux / malls / Marchés couverts : Les sites commerciaux et de loisirs font davantage progresser l’automatique d’ici 2030, tout en gardant une part mécanique.</t>
  </si>
  <si>
    <t>Centres commerciaux / malls : La chasse directe domine déjà le parc, avec une part d’électronique plus élevée que dans la moyenne des ERP.
Marchés couverts : Les réservoirs restent majoritaires sur ce parc souvent ancien, la chasse directe progressant par modernisation des blocs.</t>
  </si>
  <si>
    <t>Centres commerciaux / malls / Marchés couverts : Les sites commerciaux/loisirs intensifs font monter plus vite la chasse directe et l’électronique ; le réservoir recule nettement mais ne disparaît pas.</t>
  </si>
  <si>
    <t>Centres commerciaux / malls / Marchés couverts : Potentiel rénovation élevé : modernisation des parties communes, sanitaires visiteurs, repositionnement d’actifs et amélioration ESG. Les volumes restent d’abord tirés par les WC et les lavabos, plus que par les postes spécialisés. En rénovation, le marché reste orienté vers des gammes fiables, disponibles et rapides à poser afin de limiter l’arrêt d’exploitation.</t>
  </si>
  <si>
    <t>Centres commerciaux / malls : Potentiel neuf moyen : peu de grands centres neufs, davantage d’extensions/requalifications et de retail parks. Le neuf est réel mais secondaire.
Marchés couverts : Potentiel neuf moyen : peu de grands centres neufs, davantage d’extensions/requalifications et de retail parks. Le neuf est significatif mais encore nettement inférieur à la rénovation.</t>
  </si>
  <si>
    <t>Centres commerciaux / malls / Marchés couverts : Projets phares réno : sanitaires visiteurs, parties communes, food court, repositionnement de centres et marchés couverts.</t>
  </si>
  <si>
    <t>Centres commerciaux / malls / Marchés couverts : Projets phares neuf : retail parks, extensions ciblées, marchés couverts reconstruits, programmes mixtes commerce/loisirs.</t>
  </si>
  <si>
    <t>Centres commerciaux / malls / Marchés couverts : Dynamique réno 2026-2030 : élevée, car la valeur des actifs se joue surtout dans la remise à niveau et la fréquentation.</t>
  </si>
  <si>
    <t>Centres commerciaux / malls : Dynamique neuf 2026-2030 : modérée ; la création pure est limitée, le marché privilégiant la requalification.
Marchés couverts : Dynamique neuf 2026-2030 : modérée ; la création pure est limitée, le marché privilégiant la requalification. Les programmes sortent plus facilement quand ils sont intégrés à une requalification urbaine plus large.</t>
  </si>
  <si>
    <t>Les malls et grands centres commerciaux investissent davantage dans la qualité perçue des espaces communs tout en gardant des exigences élevées de tenue au trafic.</t>
  </si>
  <si>
    <t>Bureaux (&gt;50 personnes, tertiaire privé + logistique hors usines) : On compte uniquement les bureaux autonomes recevant des salariés sur site, avec sanitaires dédiés ou mutualisés sur place. Ne compter que les bureaux tertiaires privés classiques et ceux intégrés à des sites logistiques (hors usines), de plus de 50 personnes.</t>
  </si>
  <si>
    <t>Bureaux (&gt;50 personnes, tertiaire privé + logistique hors usines) : Immeuble tertiaire privé, siège social, centre de services, bureau de site logistique</t>
  </si>
  <si>
    <t>Bureaux (&gt;50 personnes, tertiaire privé + logistique hors usines) : Faute de série nationale homogène publiée pour ce sous-segment exact, la série est construite par proxy et lissée ; la faible variation reflète une croissance modérée du parc tertiaire privé de grande taille.</t>
  </si>
  <si>
    <t>proxy établissements employeurs 50+ du tertiaire privé et des bureaux intégrés à la logistique (hors usines). Dynamique projetée 2027-2030 : hausse lente. Fiabilité : moyenne.</t>
  </si>
  <si>
    <t>Bureaux (&gt;50 personnes, tertiaire privé + logistique hors usines) : Référence code du travail pour bureaux &gt;50 pers. : cabinets/urinoirs par sexe + lavabos, hors sanitaires privatifs.</t>
  </si>
  <si>
    <t>Bureaux (&gt;50 personnes, tertiaire privé + logistique hors usines) : Capacité type ≈ 145 salariés/usagers principaux + 17 staff support + 8 visiteurs/prestataires. Application prioritaire du Code du travail : 1 lavabo/10 travailleurs, 1 WC + 1 urinoir/20 hommes, 2 WC/20 femmes, avec douches dès que les postes sont salissants ; arrondis par noyaux sanitaires/vestiaires. Calibrage selon capacité simultanée, répartition de flux et organisation réelle du site.</t>
  </si>
  <si>
    <t>https://www.legifrance.gouv.fr/codes/section_lc/LEGITEXT000006072050/LEGISCTA000018489205/
https://code.travail.gouv.fr/code-du-travail/r4228-10</t>
  </si>
  <si>
    <t>Bureaux (&gt;50 personnes, tertiaire privé + logistique hors usines) : Usage soutenu, parfois salissant, avec vestiaires et douches davantage sollicités. Les durées réelles restent correctes grâce à une maintenance technique présente, mais l'intensité et l'environnement raccourcissent les douches et les organes exposés. Les renouvellements se font souvent par vestiaires ou batteries sanitaires pendant des arrêts programmés. Industrie / logistique / vestiaires salariés : Usage posté, vestiaires et sanitaires salariés sollicités, qualité d’eau parfois défavorable, maintenance surtout corrective avec arbitrage budgétaire industriel.</t>
  </si>
  <si>
    <t>Bureaux (&gt;50 personnes, tertiaire privé + logistique hors usines) : Dans les bureaux, le mitigeur reste encore très présent dans le parc existant, mais l’électronique a gagné du terrain dans les rénovations tertiaires ; le temporisé mécanique est plus minoritaire que dans l’enseignement ou le sport. Ajustement ciblé 2025 : légère baisse du mitigeur et/ou légère hausse de l’électronique pour mieux refléter la modernisation déjà visible sur les rénovations de sanitaires communs.</t>
  </si>
  <si>
    <t>Bureaux (&gt;50 personnes, tertiaire privé + logistique hors usines) : Dans les bureaux, la projection 2030 privilégie la montée de l’électronique sur les rénovations tertiaires ; le temporisé mécanique reste secondaire et le mitigeur recule surtout dans les immeubles neufs ou rénovés.</t>
  </si>
  <si>
    <t>Bureaux (&gt;50 personnes, tertiaire privé + logistique hors usines) : Sans objet.</t>
  </si>
  <si>
    <t>Bureaux (&gt;50 personnes, tertiaire privé + logistique hors usines) : Les urinoirs automatiques sont désormais courants dans l’immobilier tertiaire récent, sans avoir complètement remplacé le parc mécanique/direct existant.</t>
  </si>
  <si>
    <t>Bureaux (&gt;50 personnes, tertiaire privé + logistique hors usines) : Projection prudente : recul des systèmes les plus anciens et progression graduelle de l’automatique.</t>
  </si>
  <si>
    <t>Bureaux (&gt;50 personnes, tertiaire privé + logistique hors usines) : Le réservoir reste légèrement majoritaire dans le stock, mais la chasse directe et l’électronique sont déjà bien représentées dans les immeubles récents.</t>
  </si>
  <si>
    <t>Bureaux (&gt;50 personnes, tertiaire privé + logistique hors usines) : Dans les bureaux, la progression va surtout du réservoir vers l’électronique dans les opérations tertiaires lourdes ; le direct simple reste intermédiaire.</t>
  </si>
  <si>
    <t>Bureaux (&gt;50 personnes, tertiaire privé + logistique hors usines) : Potentiel rénovation élevé : très soutenu par le décret tertiaire, le repositionnement ESG et le besoin d’améliorer l’expérience salariés. Les lavabos et les WC portent l’essentiel des volumes, avec un poids secondaire des équipements spécialisés. En rénovation, le marché reste orienté vers des gammes fiables, disponibles et rapides à poser afin de limiter l’arrêt d’exploitation.</t>
  </si>
  <si>
    <t>Bureaux (&gt;50 personnes, tertiaire privé + logistique hors usines) : Potentiel neuf moyen à soutenu : le neuf existe surtout sur des immeubles prime, campus et programmes mixtes, mais le marché reste très sélectif. Le neuf est réel mais secondaire.</t>
  </si>
  <si>
    <t>Bureaux (&gt;50 personnes, tertiaire privé + logistique hors usines) : Projets phares réno : sanitaires salariés/visiteurs, douches vélo, parties communes, repositionnement d’immeubles anciens ou secondaires.</t>
  </si>
  <si>
    <t>Bureaux (&gt;50 personnes, tertiaire privé + logistique hors usines) : Projets phares neuf : immeubles prime, campus tertiaires, bureaux intégrés à des opérations mixtes ou logistiques.</t>
  </si>
  <si>
    <t>Bureaux (&gt;50 personnes, tertiaire privé + logistique hors usines) : Dynamique réno 2026-2030 : élevée et plus lisible que le neuf ; le remplacement sanitaire accompagne souvent la montée en qualité des immeubles.</t>
  </si>
  <si>
    <t>Bureaux (&gt;50 personnes, tertiaire privé + logistique hors usines) : Dynamique neuf 2026-2030 : modérée, avec polarisation sur les meilleurs actifs et un écart important entre autorisations et chantiers. Le marché est polarisé entre prime et seconde main, ce qui renforce encore le poids de la rénovation.</t>
  </si>
  <si>
    <t>Usines 
(&gt;50 personnes - Hors Ateliers industriels)
Garages / ateliers de réparation automobile recevant du public
Ateliers industriels / de maintenance (&gt;50 personnes)</t>
  </si>
  <si>
    <t>Hors ERP / Variable</t>
  </si>
  <si>
    <t>Hors ERP dominant / ERP ponctuel selon accueil / Mixte / variable selon accueil</t>
  </si>
  <si>
    <t>hors ERP / mixte</t>
  </si>
  <si>
    <t>Usines 
(&gt;50 personnes - Hors Ateliers industriels) : Tout type d’usine de plus de 50 personnes, avec sanitaires dédiés ou mutualisés sur place. Hors bureaux autonomes et hors entrepôts / logistique sans fabrication.
Garages / ateliers de réparation automobile recevant du public : Ajout dédié pour les garages et centres auto recevant une clientèle, avec atelier, vestiaires/sanitaires du personnel et souvent sanitaires clients. Proxy sectoriel fondé sur le secteur Insee 452.
Ateliers industriels / de maintenance (&gt;50 personnes) : Sous-ensemble distingué de l'ancienne ligne 'Usines (&gt;50 personnes)'. Ventilation proxy pour isoler les ateliers et centres de maintenance.</t>
  </si>
  <si>
    <t>Usines 
(&gt;50 personnes - Hors Ateliers industriels) : Usine agroalimentaire, site métallurgique, usine chimique, usine automobile
Garages / ateliers de réparation automobile recevant du public : Garage automobile, centre auto, atelier de réparation
Ateliers industriels / de maintenance (&gt;50 personnes) : Atelier de maintenance, atelier technique, atelier industriel</t>
  </si>
  <si>
    <t>Site
Etablissement principal / Site / établissement principal (proxy sectoriel)</t>
  </si>
  <si>
    <t>Usines (&gt;50 personnes) : Faute de série nationale homogène publiée pour ce sous-segment exact, la série est construite par proxy et lissée ; la tendance longue reste légèrement baissière malgré une stabilisation récente.</t>
  </si>
  <si>
    <t>proxy établissements industriels 50+ avec sanitaires sur site. Dynamique projetée 2027-2030 : légère baisse. Fiabilité : moyenne.</t>
  </si>
  <si>
    <t>Usines 
(&gt;50 personnes - Hors Ateliers industriels) : Usine &gt;50 pers. : base code du travail + douches collectives d'atelier/vestiaires ; pas de sanitaires individuels.
Garages / ateliers de réparation automobile recevant du public : Référence code du travail pour bureaux &gt;50 pers. : cabinets/urinoirs par sexe + lavabos, hors sanitaires privatifs.
Ateliers industriels / de maintenance (&gt;50 personnes) : Usine &gt;50 pers. : base code du travail + douches collectives d'atelier/vestiaires ; pas de sanitaires individuels.</t>
  </si>
  <si>
    <t>Usines 
(&gt;50 personnes - Hors Ateliers industriels) : Capacité type ≈ 119 salariés/usagers principaux + 14 staff support + 7 prestataires/intérimaires. Application prioritaire du Code du travail : 1 lavabo/10 travailleurs, 1 WC + 1 urinoir/20 hommes, 2 WC/20 femmes, avec douches dès que les postes sont salissants ; arrondis par noyaux sanitaires/vestiaires. Calibrage selon capacité simultanée, répartition de flux et organisation réelle du site.
Garages / ateliers de réparation automobile recevant du public : Capacité type ≈ 145 salariés/usagers principaux + 17 staff support + 8 visiteurs/prestataires. Application prioritaire du Code du travail : 1 lavabo/10 travailleurs, 1 WC + 1 urinoir/20 hommes, 2 WC/20 femmes, avec douches dès que les postes sont salissants ; arrondis par noyaux sanitaires/vestiaires. Calibrage selon capacité simultanée, répartition de flux et organisation réelle du site.
Ateliers industriels / de maintenance (&gt;50 personnes) : Capacité type ≈ 119 salariés/usagers principaux + 14 staff support + 7 prestataires/intérimaires. Application prioritaire du Code du travail : 1 lavabo/10 travailleurs, 1 WC + 1 urinoir/20 hommes, 2 WC/20 femmes, avec douches dès que les postes sont salissants ; arrondis par noyaux sanitaires/vestiaires. Calibrage selon capacité simultanée, répartition de flux et organisation réelle du site.</t>
  </si>
  <si>
    <t>Usines (&gt;50 personnes) : Usage diffus, entretien régulier et qualité de finition plus élevée que dans les ERP de transit. Les durées de vie sont donc au-dessus de la moyenne. L'électronique reste plus courte si elle existe, surtout hors contrats de maintenance dédiés. Le remplacement se fait souvent par chambre ou par lot lors des rénovations d'étage. Hôtellerie / hébergement marchand : Usage plus résidentiel, faible vandalisme mais attente client élevée. renouvellement souvent par programme de rénovation chambre / salle de bains plus que par panne seule.</t>
  </si>
  <si>
    <t>Usines (&gt;50 personnes) : Dans l’industrie, le parc commun privilégie la robustesse : temporisé mécanique dominant, avec une part d’équipements spécifiques/industriels classés en 'autres'.</t>
  </si>
  <si>
    <t>Usines (&gt;50 personnes) : En industrie, la bascule reste limitée : le mitigeur baisse un peu, l’électronique progresse surtout dans les sanitaires d’accueil/tertiaires, mais le socle mécanique demeure robuste sur site.</t>
  </si>
  <si>
    <t>Usines (&gt;50 personnes) : Les douches de vestiaires sont très majoritairement temporisées mécaniques sur le parc existant.</t>
  </si>
  <si>
    <t>Usines (&gt;50 personnes) : Les douches d’usine progressent modérément vers l’électronique, mais le parc reste surtout robuste et mécanique.</t>
  </si>
  <si>
    <t>Usines (&gt;50 personnes) : Les urinoirs restent surtout mécaniques ou collectifs anciens ; l’automatique est minoritaire.</t>
  </si>
  <si>
    <t>Usines (&gt;50 personnes) : Le direct mécanique reste fort ; la baisse des réservoirs profite d’abord au mécanique robuste, l’automatique progressant plus lentement.</t>
  </si>
  <si>
    <t>Usines (&gt;50 personnes) : La chasse directe est déjà très présente dans les blocs industriels à fort passage, même si le réservoir reste important dans le parc ancien.</t>
  </si>
  <si>
    <t>Usines (&gt;50 personnes) : Le direct progresse pour robustesse, mais le parc existant conserve une forte inertie et le réservoir reste encore important.</t>
  </si>
  <si>
    <t>Usines (&gt;50 personnes) : Potentiel rénovation élevé : vestiaires, douches, sanitaires et bâtiments sociaux doivent suivre les exigences de sécurité, d’hygiène et de recrutement. Les volumes se concentrent surtout sur lavabos et wc. En rénovation, les maîtres d’ouvrage privilégient des références robustes, vite posées et faciles à maintenir dans des ambiances humides.</t>
  </si>
  <si>
    <t>Usines (&gt;50 personnes) : Potentiel neuf faible : soutenu par la réindustrialisation, la décarbonation et certains investissements France 2030/Choose France, mais très concentré par filière et par site. Le neuf est quasi nul dans le modèle et renvoie surtout à des reconstructions ou remplacements de sites.</t>
  </si>
  <si>
    <t>Usines (&gt;50 personnes) : Projets phares réno : vestiaires, douches, sanitaires salariés, bases vie, bâtiments sociaux et modernisation d’ateliers existants.</t>
  </si>
  <si>
    <t>Usines (&gt;50 personnes) : Projets phares neuf : nouvelles usines, extensions de capacité, ateliers, bâtiments salariés et bases vie liées à la décarbonation ou à la relocalisation.</t>
  </si>
  <si>
    <t>Usines (&gt;50 personnes) : Dynamique réno 2026-2030 : soutenue, car elle accompagne la modernisation des sites existants et l’amélioration des conditions de travail.</t>
  </si>
  <si>
    <t>Usines (&gt;50 personnes) : Dynamique neuf 2026-2030 : réelle mais très polarisée ; les grands projets tirent le marché, tandis que beaucoup d’intentions ne passent pas toutes en chantiers dans les mêmes délais.</t>
  </si>
  <si>
    <t>Hébergement &amp; Tourisme</t>
  </si>
  <si>
    <t>Hôtels
Pensions de famille
Résidences de tourisme
Auberges de jeunesse
Villages de vacances / clubs vacances / centres de vacances familiaux</t>
  </si>
  <si>
    <t>O / O ou R / O / variable</t>
  </si>
  <si>
    <t>ERP / ERP / variable</t>
  </si>
  <si>
    <t>Hôtels : Hébergement hôtelier.
Pensions de famille : Hébergement de type pension.
Résidences de tourisme : Hébergement touristique avec accueil.
Auberges de jeunesse : Classement selon exploitation et activité.
Villages de vacances / clubs vacances / centres de vacances familiaux : Peuvent avoir été absorbés à tort dans campings ou résidences de tourisme ; à ajouter quand le site est exploité comme village de vacances autonome.</t>
  </si>
  <si>
    <t>Hôtels : Hôtel, motel
Pensions de famille : Pension de famille
Résidences de tourisme : Résidence hôtelière
Auberges de jeunesse : Auberge de jeunesse
Villages de vacances / clubs vacances / centres de vacances familiaux : Village vacances, club vacances, maison familiale de vacances</t>
  </si>
  <si>
    <t>Hôtels / Pensions de famille / Résidences de tourisme : Pas de stagnation structurelle : la série évolue à la hausse sur la période 2000-2026 ; la projection prolonge cette tendance avec prudence.
Auberges de jeunesse : Faute de série nationale homogène publiée annuellement pour cette sous-catégorie, le proxy est lissé ; la faible variation reflète une prudence méthodologique.</t>
  </si>
  <si>
    <t>Insee parc hôtelier 2024.; Dynamique projetée 2027-2030: hausse légère.; Fiabilité: bonne.; proxy pensions/structures assimilées.; Fiabilité: moyenne; Insee autres hébergements collectifs touristiques 2024.</t>
  </si>
  <si>
    <t>https://www.insee.fr/fr/statistiques/2015412
https://www.insee.fr/fr/metadonnees/source/serie/s1161
https://www.insee.fr/fr/statistiques/2015462
https://www.atout-france.fr/fr/classement/les-categories-dhebergement
https://www.legifrance.gouv.fr/codes/section_lc/LEGITEXT000006074073/LEGISCTA000006158431/
https://www.legifrance.gouv.fr/codes/article_lc/LEGIARTI000006813419/2006-10-07</t>
  </si>
  <si>
    <t>Hôtels : Hôtel : seuls lobby, restaurant, réunion et staff sont comptés ; chambres exclues.
Pensions de famille : Pension de famille : blocs communs seulement.
Résidences de tourisme : Résidence de tourisme : seuls espaces communs et staff ; appartements exclus.
Auberges de jeunesse : Auberge : blocs collectifs d'étage, pas de chambres privatives.
Villages de vacances / clubs vacances / centres de vacances familiaux : Résidence de tourisme : seuls espaces communs et staff ; appartements exclus.</t>
  </si>
  <si>
    <t>Hôtels : Capacité type ≈ 86 usagers principaux + 20 staff + 4 visiteurs/intervenants. Le programme sanitaire est construit par blocs fonctionnels plausibles (public, personnel, exploitation/hébergement selon le cas) et non par simple ratio national moyen. Calibrage selon capacité simultanée, répartition de flux et organisation réelle du site.
Pensions de famille : Capacité type ≈ 21 usagers principaux + 3 staff + 1 visiteurs/intervenants. Le programme sanitaire est construit par blocs fonctionnels plausibles (public, personnel, exploitation/hébergement selon le cas) et non par simple ratio national moyen. Calibrage selon capacité simultanée, répartition de flux et organisation réelle du site.
Résidences de tourisme : Capacité type ≈ 96 usagers principaux + 18 staff + 6 visiteurs/intervenants. Le programme sanitaire est construit par blocs fonctionnels plausibles (public, personnel, exploitation/hébergement selon le cas) et non par simple ratio national moyen. Calibrage selon capacité simultanée, répartition de flux et organisation réelle du site.
Auberges de jeunesse : Capacité type ≈ 77 usagers principaux + 11 staff + 2 visiteurs/intervenants. Le programme sanitaire est construit par blocs fonctionnels plausibles (public, personnel, exploitation/hébergement selon le cas) et non par simple ratio national moyen. Calibrage selon capacité simultanée, répartition de flux et organisation réelle du site.
Villages de vacances / clubs vacances / centres de vacances familiaux : Capacité type ≈ 96 usagers principaux + 18 staff + 6 visiteurs/intervenants. Le programme sanitaire est construit par blocs fonctionnels plausibles (public, personnel, exploitation/hébergement selon le cas) et non par simple ratio national moyen. Calibrage selon capacité simultanée, répartition de flux et organisation réelle du site.</t>
  </si>
  <si>
    <t>Hôtels : Usage soutenu mais moins brutal qu'en transport ou scolaire, avec forte exigence d'accessibilité et d'aide au soin. Les durées de vie sont donc un peu plus hautes. L'électronique progresse quand la maintenance est organisée, sans dépasser le mécanique simple. Les remplacements sont fréquemment groupés par étage, chambre ou unité de vie. Hôtellerie / hébergement marchand : Usage plus résidentiel, faible vandalisme mais attente client élevée. renouvellement souvent par programme de rénovation chambre / salle de bains plus que par panne seule.
Pensions de famille : Usage diffus, entretien régulier et qualité de finition plus élevée que dans les ERP de transit. Les durées de vie sont donc au-dessus de la moyenne. L'électronique reste plus courte si elle existe, surtout hors contrats de maintenance dédiés. Le remplacement se fait souvent par chambre ou par lot lors des rénovations d'étage. Hôtellerie / hébergement marchand : Usage plus résidentiel, faible vandalisme mais attente client élevée. renouvellement souvent par programme de rénovation chambre / salle de bains plus que par panne seule.
Résidences de tourisme : Usage dense, nettoyage agressif, graisse/humidité et arbitrages économiques serrés. Les temporisés mécaniques conservent un léger avantage en robustesse sur les mitigeurs dans les sanitaires partagés. L'électronique reste plus courte en raison de l'environnement humide et de la maintenance plus opportuniste. Renouvellement surtout à la panne, puis par lot lors des refurbishments. Sites saisonniers / montagne / camping / flottants : Moins de cycles annuels mais conditions climatiques/corrosives, hivernage et remises en service. maintenance concentrée et hétérogène.
Auberges de jeunesse : Altitude, saisonnalité, hivernage/remise en eau ou contraintes de plein air rendent l'exploitation plus dure qu'en hôtellerie classique. Les durées restent correctes mais sont abaissées par le gel, l'humidité et les remises en service. Les remplacements sont souvent groupés à l'intersaison ou lors d'opérations de remise à niveau. Sites saisonniers / montagne / camping / flottants : Moins de cycles annuels mais conditions climatiques/corrosives, hivernage et remises en service. maintenance concentrée et hétérogène.</t>
  </si>
  <si>
    <t>Hôtels / Résidences de tourisme : Sur les hôtels et résidences de tourisme, une fois les salles d’eau privatives exclues, le parc commun reste majoritairement en mitigeurs, avec une part croissante d’électronique dans les zones lobby/public.
Pensions de famille : Dans les pensions de famille, le parc commun reste plus proche d’un usage résidentiel que d’un grand ERP : le mitigeur domine nettement.
Auberges de jeunesse : Les auberges de jeunesse ont un parc commun plus 'collectif' que l’hôtellerie classique : temporisé et électronique y progressent, sans détrôner totalement le mitigeur.</t>
  </si>
  <si>
    <t>Hôtels / Résidences de tourisme : Dans l’hôtellerie, l’évolution concerne surtout les sanitaires communs : le mitigeur reste significatif, l’électronique progresse dans les parties publiques rénovées et premium.
Pensions de famille / Auberges de jeunesse : Sur ce parc collectif/touristique, l’électronique progresse surtout sur les rénovations complètes ; le parc reste majoritairement mitigeur/temporisé sur les sanitaires communs.</t>
  </si>
  <si>
    <t>Hôtels / Résidences de tourisme : Les douches communes ou personnel restent surtout à mitigeur ; le temporisé est secondaire.
Pensions de famille : Les douches communes, quand elles existent, sont d’abord à mitigeur.
Auberges de jeunesse : Les douches communes restent surtout temporisées mécaniques, avec encore beaucoup de mitigeurs sur le parc en place.</t>
  </si>
  <si>
    <t>Hôtels / Résidences de tourisme : Dans les douches communes d’hébergement, le mitigeur reste fort ; l’électronique gagne un peu sur les rénovations des parties communes.
Pensions de famille / Auberges de jeunesse : La montée de l’électronique reste modérée ; les douches collectives gardent un socle manuel/temporisé important.</t>
  </si>
  <si>
    <t>Hôtels / Résidences de tourisme : Les urinoirs des zones publiques récentes vont plus souvent vers l’automatique, mais le parc global reste mixte.
Pensions de famille : Les rares urinoirs relèvent surtout de solutions classiques.
Auberges de jeunesse : Le collectif ancien garde un poids notable dans les sanitaires d’auberges.</t>
  </si>
  <si>
    <t>Hôtels / Résidences de tourisme : Dans les parties communes, la hausse de l’automatique est visible sur les rénovations, mais le parc reste mixte.
Pensions de famille / Auberges de jeunesse : Les systèmes collectifs anciens régressent lentement ; l’automatique monte mais n’écrase pas le parc mécanique.</t>
  </si>
  <si>
    <t>Hôtels / Résidences de tourisme : Le réservoir reste majoritaire dans les sanitaires communs de l’hôtellerie, la chasse directe et l’électronique progressant surtout dans les établissements récents ou premium.
Pensions de famille : Le réservoir demeure nettement majoritaire dans ce parc.
Auberges de jeunesse : Le réservoir reste majoritaire, mais la chasse directe gagne du terrain dans les rénovations de blocs.</t>
  </si>
  <si>
    <t>Hôtels / Résidences de tourisme : Le réservoir demeure important dans ce parc, avec une progression graduelle du direct/électronique sur les sanitaires communs rénovés.
Pensions de famille / Auberges de jeunesse : Évolution lente : le réservoir reste majoritaire, le direct progresse surtout lors de rénovations complètes.</t>
  </si>
  <si>
    <t>Hôtels : Potentiel rénovation élevé : les salles d’eau et sanitaires constituent un levier direct de montée en gamme et de notation. Les volumes restent d’abord tirés par les WC et les lavabos, plus que par les postes spécialisés. En rénovation, le marché reste orienté vers des gammes fiables, disponibles et rapides à poser afin de limiter l’arrêt d’exploitation.
Pensions de famille : Potentiel rénovation élevé : adaptation de locaux, confort d’usage et remise à niveau de bâtiments souvent transformés à partir d’existant. Les volumes se concentrent surtout sur lavabos et douches. En rénovation, marché favorable aux gammes robustes, simples d’entretien, compatibles avec chantiers par tranches et budgets contraints.
Résidences de tourisme : Potentiel rénovation élevé : les salles d’eau et sanitaires constituent un levier direct de montée en gamme et de notation. Les volumes se concentrent surtout sur wc et lavabos. En rénovation, le marché reste orienté vers des gammes fiables, disponibles et rapides à poser afin de limiter l’arrêt d’exploitation.
Auberges de jeunesse : Potentiel rénovation moyen à soutenu : les salles d’eau et sanitaires constituent un levier direct de montée en gamme et de notation. La douche pèse au-dessus de la moyenne, avec des contraintes d’humidité, de corrosion et d’entretien qui accélèrent le remplacement. En rénovation, le marché reste orienté vers des gammes fiables, disponibles et rapides à poser afin de limiter l’arrêt d’exploitation.</t>
  </si>
  <si>
    <t>Hôtels : Potentiel neuf moyen à soutenu : porté par l’attractivité touristique et quelques projets d’hébergement, mais dans un cycle devenu plus sélectif et durable. Le neuf est réel mais secondaire.
Pensions de famille : Potentiel neuf moyen : limité ; l’activité passe souvent par transformation ou acquisition-amélioration plus que par construction pure. Le neuf est réel mais secondaire.
Résidences de tourisme : Potentiel neuf moyen : porté par l’attractivité touristique et quelques projets d’hébergement, mais dans un cycle devenu plus sélectif et durable. Le neuf est réel mais secondaire.
Auberges de jeunesse : Potentiel neuf faible : porté par l’attractivité touristique et quelques projets d’hébergement, mais dans un cycle devenu plus sélectif et durable. Le neuf est quasi nul dans le modèle et renvoie surtout à des reconstructions ou remplacements de sites.</t>
  </si>
  <si>
    <t>Hôtels / Résidences de tourisme / Auberges de jeunesse : Projets phares réno : chambres/salles d’eau, sanitaires communs, espaces publics et modernisation énergétique.
Pensions de famille : Projets phares réno : sanitaires privatifs ou partagés, accessibilité, amélioration énergétique et requalification d’actifs existants.</t>
  </si>
  <si>
    <t>Hôtels / Résidences de tourisme / Auberges de jeunesse : Projets phares neuf : hôtels et résidences neufs, extensions, requalifications lourdes avec ajout de capacités.
Pensions de famille : Projets phares neuf : opérations sociales ou intermédiaires avec création de petites unités d’hébergement.</t>
  </si>
  <si>
    <t>Hôtels / Résidences de tourisme / Auberges de jeunesse : Dynamique réno 2026-2030 : forte, soutenue par la montée en gamme et la concurrence entre sites.
Pensions de famille : Dynamique réno 2026-2030 : supérieure au neuf, car la transformation d’existant domine économiquement.</t>
  </si>
  <si>
    <t>Hôtels : Dynamique neuf 2026-2030 : réelle mais filtrée par le financement, l’emplacement et la rentabilité attendue ; meilleure dans le tourisme structuré que dans l’hébergement social. Le tourisme reste bien orienté, mais les décisions de construction sont plus sélectives qu’en phase de rattrapage post-Covid.
Pensions de famille : Dynamique neuf 2026-2030 : faible à modérée, très dépendante des opérateurs et du foncier.
Résidences de tourisme / Auberges de jeunesse : Dynamique neuf 2026-2030 : réelle mais filtrée par le financement, l’emplacement et la rentabilité attendue ; meilleure dans le tourisme structuré que dans l’hébergement social.</t>
  </si>
  <si>
    <t>L’hébergement porte naturellement un niveau de confort supérieur ; les rénovations de repositionnement et le neuf poussent surtout le premium, davantage encore dans les établissements haut de gamme.</t>
  </si>
  <si>
    <t>Hôtels-restaurants d’altitude
Refuges de montagne</t>
  </si>
  <si>
    <t>OA / REF</t>
  </si>
  <si>
    <t>Hôtels-restaurants d’altitude : Établissements d’altitude.
Refuges de montagne : Refuges recevant du public en zone de montagne.</t>
  </si>
  <si>
    <t>Hôtels-restaurants d’altitude : Restaurant d’altitude, hôtel d’altitude
Refuges de montagne : Refuge alpin</t>
  </si>
  <si>
    <t>Hôtels-restaurants d’altitude / Refuges de montagne : Faute de série nationale homogène publiée annuellement pour cette sous-catégorie, le proxy est lissé ; la faible variation reflète une prudence méthodologique.</t>
  </si>
  <si>
    <t>proxy stations de montagne.; Dynamique projetée 2027-2030: stable.; Fiabilité: moyenne; proxy parc de refuges français.</t>
  </si>
  <si>
    <t>Hôtels-restaurants d’altitude : Altitude : bloc restauration/skieurs + vestiaires/douches collectives ; chambres non comptées.
Refuges de montagne : Refuge : blocs communs dortoir/restauration, sans cellules ou sanitaires individuels.</t>
  </si>
  <si>
    <t>Hôtels-restaurants d’altitude : Capacité type ≈ 98 usagers principaux + 18 staff + 4 accompagnants/ravitaillement. Le programme sanitaire est construit par blocs fonctionnels plausibles (public, personnel, exploitation/hébergement selon le cas) et non par simple ratio national moyen. Calibrage selon capacité simultanée, répartition de flux et organisation réelle du site.
Refuges de montagne : Capacité type ≈ 40 usagers principaux + 4 staff + 1 accompagnants/gardiens. Le programme sanitaire est construit par blocs fonctionnels plausibles (public, personnel, exploitation/hébergement selon le cas) et non par simple ratio national moyen. Calibrage selon capacité simultanée, répartition de flux et organisation réelle du site.</t>
  </si>
  <si>
    <t>Hôtels-restaurants d’altitude : Altitude, saisonnalité, hivernage/remise en eau ou contraintes de plein air rendent l'exploitation plus dure qu'en hôtellerie classique. Les durées restent correctes mais sont abaissées par le gel, l'humidité et les remises en service. Les remplacements sont souvent groupés à l'intersaison ou lors d'opérations de remise à niveau. Sites saisonniers / montagne / camping / flottants : Moins de cycles annuels mais conditions climatiques/corrosives, hivernage et remises en service. maintenance concentrée et hétérogène.
Refuges de montagne : Usage diffus, entretien régulier et qualité de finition plus élevée que dans les ERP de transit. Les durées de vie sont donc au-dessus de la moyenne. L'électronique reste plus courte si elle existe, surtout hors contrats de maintenance dédiés. Le remplacement se fait souvent par chambre ou par lot lors des rénovations d'étage. Hôtellerie / hébergement marchand : Usage plus résidentiel, faible vandalisme mais attente client élevée. renouvellement souvent par programme de rénovation chambre / salle de bains plus que par panne seule.</t>
  </si>
  <si>
    <t>Hôtels-restaurants d’altitude : Sur les hôtels-restaurants d’altitude, le parc commun reste surtout en mitigeurs, avec un niveau intermédiaire de temporisé et d’électronique.
Refuges de montagne : Dans les refuges, le parc reste très simple et robuste : mitigeurs manuels dominants, avec une part de temporisé limitée et quelques dispositifs atypiques.</t>
  </si>
  <si>
    <t>Hôtels-restaurants d’altitude : Dans l’hôtellerie, l’évolution concerne surtout les sanitaires communs : le mitigeur reste significatif, l’électronique progresse dans les parties publiques rénovées et premium.
Refuges de montagne : Sur ce parc collectif/touristique, l’électronique progresse surtout sur les rénovations complètes ; le parc reste majoritairement mitigeur/temporisé sur les sanitaires communs.</t>
  </si>
  <si>
    <t>Hôtels-restaurants d’altitude : Les douches restent majoritairement à mitigeur ; le temporisé mécanique apparaît sur les vestiaires ou espaces collectifs.
Refuges de montagne : Les douches communes restent très simples, surtout manuelles ou temporisées mécaniques.</t>
  </si>
  <si>
    <t>Hôtels-restaurants d’altitude : Dans les douches communes d’hébergement, le mitigeur reste fort ; l’électronique gagne un peu sur les rénovations des parties communes.
Refuges de montagne : La montée de l’électronique reste modérée ; les douches collectives gardent un socle manuel/temporisé important.</t>
  </si>
  <si>
    <t>Hôtels-restaurants d’altitude : Les urinoirs restent partagés entre solutions classiques et un peu d’automatique.
Refuges de montagne : Les rares urinoirs sont souvent en configuration collective simple sur le parc existant.</t>
  </si>
  <si>
    <t>Hôtels-restaurants d’altitude : Dans les parties communes, la hausse de l’automatique est visible sur les rénovations, mais le parc reste mixte.
Refuges de montagne : Les systèmes collectifs anciens régressent lentement ; l’automatique monte mais n’écrase pas le parc mécanique.</t>
  </si>
  <si>
    <t>Hôtels-restaurants d’altitude : Le réservoir reste majoritaire sur le parc existant, malgré une présence croissante de chasses directes sur les rénovations.
Refuges de montagne : Le réservoir reste de loin la technologie dominante.</t>
  </si>
  <si>
    <t>Hôtels-restaurants d’altitude : Le réservoir demeure important dans ce parc, avec une progression graduelle du direct/électronique sur les sanitaires communs rénovés.
Refuges de montagne : Évolution lente : le réservoir reste majoritaire, le direct progresse surtout lors de rénovations complètes.</t>
  </si>
  <si>
    <t>Hôtels-restaurants d’altitude : Potentiel rénovation moyen à soutenu : remise à niveau d’équipements soumis à des conditions climatiques exigeantes, avec recherche de sobriété eau/énergie. Les volumes se concentrent surtout sur wc et lavabos. En rénovation, les maîtres d’ouvrage privilégient des références robustes, vite posées et faciles à maintenir dans des ambiances humides.
Refuges de montagne : Potentiel rénovation moyen à soutenu : remise à niveau d’équipements soumis à des conditions climatiques exigeantes, avec recherche de sobriété eau/énergie. La douche pèse au-dessus de la moyenne, avec des contraintes d’humidité, de corrosion et d’entretien qui accélèrent le remplacement. En rénovation, les maîtres d’ouvrage privilégient des références robustes, vite posées et faciles à maintenir dans des ambiances humides.</t>
  </si>
  <si>
    <t>Hôtels-restaurants d’altitude / Refuges de montagne : Potentiel neuf faible : très sélectif, souvent limité à des reconstructions ou extensions ponctuelles. Le neuf est quasi nul dans le modèle et renvoie surtout à des reconstructions ou remplacements de sites.</t>
  </si>
  <si>
    <t>Hôtels-restaurants d’altitude / Refuges de montagne : Projets phares réno : salles d’eau, douches, sanitaires collectifs, amélioration énergétique et adaptation climatique.</t>
  </si>
  <si>
    <t>Hôtels-restaurants d’altitude / Refuges de montagne : Projets phares neuf : refuges reconstruits, extensions limitées, hébergements d’altitude restructurés.</t>
  </si>
  <si>
    <t>Hôtels-restaurants d’altitude / Refuges de montagne : Dynamique réno 2026-2030 : plus prévisible que le neuf, car l’entretien lourd est indispensable dans ces environnements.</t>
  </si>
  <si>
    <t>Hôtels-restaurants d’altitude / Refuges de montagne : Dynamique neuf 2026-2030 : faible à modérée ; peu de projets mais parfois techniquement ambitieux.</t>
  </si>
  <si>
    <t>Campings
Aires d’accueil des gens du voyage</t>
  </si>
  <si>
    <t>PA / Variable</t>
  </si>
  <si>
    <t>ERP spécial / Cas particulier</t>
  </si>
  <si>
    <t>Campings : Établissements de plein air recevant du public.
Aires d’accueil des gens du voyage : Sites aménagés avec emplacements, blocs sanitaires et accueil ; public ciblé et régime spécifique, mais composante sanitaire structurelle.</t>
  </si>
  <si>
    <t>Campings : Camping, village vacances
Aires d’accueil des gens du voyage : Aire d’accueil des gens du voyage</t>
  </si>
  <si>
    <t>Campings : Pas de stagnation structurelle : la série évolue à la baisse sur la période 2000-2026 ; la projection prolonge cette tendance avec prudence.</t>
  </si>
  <si>
    <t>Campings : Camping : blocs sanitaires collectifs permanents ; hébergements individuels exclus.
Aires d’accueil des gens du voyage : Camping : blocs sanitaires collectifs permanents ; hébergements individuels exclus.</t>
  </si>
  <si>
    <t>Campings : Capacité type ≈ 270 usagers principaux + 24 staff + 6 visiteurs/maintenance. Le programme sanitaire est construit par blocs fonctionnels plausibles (public, personnel, exploitation/hébergement selon le cas) et non par simple ratio national moyen. Calibrage selon capacité simultanée, répartition de flux et organisation réelle du site.
Aires d’accueil des gens du voyage : Capacité type ≈ 270 usagers principaux + 24 staff + 6 visiteurs/maintenance. Le programme sanitaire est construit par blocs fonctionnels plausibles (public, personnel, exploitation/hébergement selon le cas) et non par simple ratio national moyen. Calibrage selon capacité simultanée, répartition de flux et organisation réelle du site.</t>
  </si>
  <si>
    <t>Campings : Usage diffus, entretien régulier et qualité de finition plus élevée que dans les ERP de transit. Les durées de vie sont donc au-dessus de la moyenne. L'électronique reste plus courte si elle existe, surtout hors contrats de maintenance dédiés. Le remplacement se fait souvent par chambre ou par lot lors des rénovations d'étage. Bureaux / administration / justice : Usage tertiaire moyen, faible vandalisme, rénovations par lots tirées par l’immobilier tertiaire, l’accessibilité et la trajectoire Éco Énergie Tertiaire.</t>
  </si>
  <si>
    <t>Campings : Dans les blocs de camping, le temporisé mécanique domine le parc existant, avec une part d’équipements spécifiques de bloc sanitaire classés en 'autres'.</t>
  </si>
  <si>
    <t>Campings : Sur ce parc collectif/touristique, l’électronique progresse surtout sur les rénovations complètes ; le parc reste majoritairement mitigeur/temporisé sur les sanitaires communs.</t>
  </si>
  <si>
    <t>Campings : Les douches de camping restent très majoritairement temporisées mécaniques sur le parc installé.</t>
  </si>
  <si>
    <t>Campings : La montée de l’électronique reste modérée ; les douches collectives gardent un socle manuel/temporisé important.</t>
  </si>
  <si>
    <t>Campings : Les urinoirs collectifs (rampe/batterie) restent très présents dans ce parc saisonnier ancien.</t>
  </si>
  <si>
    <t>Campings : Les systèmes collectifs anciens régressent lentement ; l’automatique monte mais n’écrase pas le parc mécanique.</t>
  </si>
  <si>
    <t>Campings : Le réservoir reste dominant dans les blocs existants, même si les chasses directes progressent dans les campings rénovés.</t>
  </si>
  <si>
    <t>Campings : Évolution lente : le réservoir reste majoritaire, le direct progresse surtout lors de rénovations complètes.</t>
  </si>
  <si>
    <t>Campings : Potentiel rénovation très élevé : très fort sur les blocs sanitaires collectifs, soumis à l’usure saisonnière, à l’humidité et à la montée en gamme de l’expérience client. La douche pèse au-dessus de la moyenne, avec des contraintes d’humidité, de corrosion et d’entretien qui accélèrent le remplacement. En rénovation, les maîtres d’ouvrage privilégient des références robustes, vite posées et faciles à maintenir dans des ambiances humides.</t>
  </si>
  <si>
    <t>Campings : Potentiel neuf faible : extensions et créations existent mais le marché est surtout porté par la montée en qualité du parc existant. Le neuf est quasi nul dans le modèle et renvoie surtout à des reconstructions ou remplacements de sites.</t>
  </si>
  <si>
    <t>Campings : Projets phares réno : blocs sanitaires collectifs, douches, lavabos, sanitaires PMR et modernisation de l’offre client.</t>
  </si>
  <si>
    <t>Campings : Projets phares neuf : extensions de campings, nouveaux quartiers premium, réorganisation de sites avec nouveaux blocs.</t>
  </si>
  <si>
    <t>Campings : Dynamique réno 2026-2030 : très soutenue ; le sanitaire collectif est un levier direct de notation et de satisfaction client. Les exploitants arbitrent vite quand la qualité sanitaire pénalise la note client.</t>
  </si>
  <si>
    <t>Campings : Dynamique neuf 2026-2030 : modérée, positive sur les sites attractifs mais plus sélective que la rénovation.</t>
  </si>
  <si>
    <t>Mairies / hôtels de ville
Préfectures / services administratifs
Maisons France Services
Guichets publics</t>
  </si>
  <si>
    <t>Mairies / hôtels de ville : Administrations recevant du public.
Préfectures / services administratifs : Administrations recevant du public.
Maisons France Services
Guichets publics : Accueil administratif du public.</t>
  </si>
  <si>
    <t>Mairies / hôtels de ville : Mairie, hôtel de ville
Préfectures / services administratifs : Préfecture, sous-préfecture
Maisons France Services
Guichets publics : Maison de services publics</t>
  </si>
  <si>
    <t>Mairies / hôtels de ville : Le nombre suit très largement le nombre de communes ; hors fusions ponctuelles, la série est mécaniquement quasi stable.
Préfectures / services administratifs : Le réseau préfectoral et sous-préfectoral bouge très peu ; la stagnation est cohérente avec un maillage administratif piloté nationalement.
Maisons France Services
Guichets publics : Maillage institutionnel ou d’infrastructure piloté administrativement ; la variation annuelle du nombre de sites est généralement faible.</t>
  </si>
  <si>
    <t>nombre de communes = proxy du nombre de mairies principales.; Dynamique projetée 2027-2030: baisse très lente.; Fiabilité: bonne.; Proxy révisé sur le réseau préfectoral et sous-préfectoral; les implantations bougent peu, la projection est donc plate. Fiabilité: moyenne; ancrage réseau France services, 2025 &gt; 2 800.</t>
  </si>
  <si>
    <t>https://www.vie-publique.fr/en-bref/298350-collectivites-34-875-communes-au-1er-janvier-2025
https://www.interieur.gouv.fr/Le-ministere/Prefectures
https://www.france-services.gouv.fr/notre-mission/un-service-public-de-proximite</t>
  </si>
  <si>
    <t>Mairies / hôtels de ville : Bâtiment administratif/mairie/préfecture : programme bureau + accueil public.
Préfectures / services administratifs : Bâtiment administratif/mairie/préfecture : programme bureau + accueil public.
Maisons France Services
Guichets publics : Guichet public de petite taille : un bloc usagers et un bloc équipe.</t>
  </si>
  <si>
    <t>Mairies / hôtels de ville : Capacité type ≈ 127 usagers principaux + 15 staff + 8 prestataires/usagers accompagnants. Le programme sanitaire est construit par blocs fonctionnels plausibles (public, personnel, exploitation/hébergement selon le cas) et non par simple ratio national moyen. Calibrage selon capacité simultanée, répartition de flux et organisation réelle du site.
Préfectures / services administratifs : Capacité type ≈ 213 usagers principaux + 25 staff + 12 prestataires/visiteurs. Le programme sanitaire est construit par blocs fonctionnels plausibles (public, personnel, exploitation/hébergement selon le cas) et non par simple ratio national moyen. Calibrage selon capacité simultanée, répartition de flux et organisation réelle du site.
Maisons France Services
Guichets publics : Capacité type ≈ 22 usagers principaux + 2 staff + 1 partenaires/prestataires. Le programme sanitaire est construit par blocs fonctionnels plausibles (public, personnel, exploitation/hébergement selon le cas) et non par simple ratio national moyen. Calibrage selon capacité simultanée, répartition de flux et organisation réelle du site.</t>
  </si>
  <si>
    <t>Mairies / hôtels de ville / Préfectures / services administratifs : Usage public régulier mais globalement respectueux, avec maintenance patrimoniale classique. Les temporisés mécaniques gardent un léger avantage de durée réelle. L'électronique reste plus courte si la maintenance n'est pas contractualisée. Les remplacements se font plutôt par bâtiment ou par noyau sanitaire lors de travaux programmés. Bureaux / administration / justice : Usage tertiaire moyen, faible vandalisme, rénovations par lots tirées par l’immobilier tertiaire, l’accessibilité et la trajectoire Éco Énergie Tertiaire.
Maisons France Services
Guichets publics : Faible nombre de cycles annuels et faible humidité hors périodes d'affluence. cela allonge la durée réelle malgré des budgets souvent contraints. Les écarts entre technologies sont volontairement resserrés, la faible fréquence d'usage jouant davantage que la sophistication produit. Renouvellement surtout à la panne, avec peu de batch hors gros travaux. Culte / associatif faible intensité : Fréquentation faible à modérée, faible vandalisme, remplacement souvent différé pour raisons budgétaires. équipements conservés plus longtemps.</t>
  </si>
  <si>
    <t>Mairies / hôtels de ville / Préfectures / services administratifs : Dans les mairies, préfectures et grands bâtiments administratifs, le parc existant reste équilibré entre mitigeur et solutions plus ERP ; l’électronique est déjà bien présente sur les rénovations. Ajustement ciblé 2025 : légère baisse du mitigeur et/ou légère hausse de l’électronique pour mieux refléter la modernisation déjà visible sur les rénovations de sanitaires communs.
Maisons France Services
Guichets publics : Les Maisons France Services relèvent d’un parc petit tertiaire/public : le mitigeur reste majoritaire, l’électronique étant plus occasionnelle. Ajustement ciblé 2025 : légère baisse du mitigeur et/ou légère hausse de l’électronique pour mieux refléter la modernisation déjà visible sur les rénovations de sanitaires communs.</t>
  </si>
  <si>
    <t>Mairies / hôtels de ville / Préfectures / services administratifs / Maisons France Services
Guichets publics : Les administrations publiques rénovent progressivement leurs sanitaires 2025-2030 : recul du mitigeur, progression de l’électronique, mais sans disparition rapide du parc existant.</t>
  </si>
  <si>
    <t>Mairies / hôtels de ville / Préfectures / services administratifs / Maisons France Services
Guichets publics : Sans objet.</t>
  </si>
  <si>
    <t>Mairies / hôtels de ville / Préfectures / services administratifs / Maisons France Services Guichets publics : Sans objet.</t>
  </si>
  <si>
    <t>Mairies / hôtels de ville / Préfectures / services administratifs : Les urinoirs automatiques progressent dans les bâtiments administratifs récents, mais le parc mécanique/direct reste important.
Maisons France Services Guichets publics : Les rares urinoirs restent majoritairement sur des technologies classiques.</t>
  </si>
  <si>
    <t>Mairies / hôtels de ville / Préfectures / services administratifs / Maisons France Services
Guichets publics : Progression modérée de l’automatique dans les rénovations des bâtiments publics ; recul des réservoirs les plus anciens.</t>
  </si>
  <si>
    <t>Mairies / hôtels de ville / Préfectures / services administratifs : Le réservoir demeure un peu majoritaire, avec une montée progressive des chasses directes et électroniques.
Maisons France Services Guichets publics : Le réservoir domine encore ce petit parc tertiaire/public.</t>
  </si>
  <si>
    <t>Mairies / hôtels de ville / Préfectures / services administratifs / Maisons France Services
Guichets publics : Dans les bâtiments publics, le réservoir recule au profit du direct, puis de l’électronique sur les rénovations plus qualitatives.</t>
  </si>
  <si>
    <t>Mairies / hôtels de ville : Potentiel rénovation élevé : bâtiments publics souvent anciens, avec reprise des sanitaires lors de mises aux normes, d’améliorations énergétiques et d’accueil du public. Les volumes restent d’abord tirés par les WC et les lavabos, plus que par les postes spécialisés. En rénovation, le marché reste favorable aux gammes robustes et simples d’entretien, compatibles avec des chantiers par tranches et des budgets contraints.
Préfectures / services administratifs : Potentiel rénovation moyen à soutenu : bâtiments publics souvent anciens, avec reprise des sanitaires lors de mises aux normes, d’améliorations énergétiques et d’accueil du public. Les lavabos et les WC portent l’essentiel des volumes, avec un poids secondaire des équipements spécialisés. En rénovation, le marché reste favorable aux gammes robustes et simples d’entretien, compatibles avec des chantiers par tranches et des budgets contraints.
Maisons France Services Guichets publics : Potentiel rénovation moyen à soutenu : adaptation de locaux existants pour améliorer l’accueil et la confidentialité, souvent par petits travaux rapides.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t>
  </si>
  <si>
    <t>Mairies / hôtels de ville / Préfectures / services administratifs : Potentiel neuf faible : surtout via regroupements administratifs, reconstructions ou extensions ponctuelles. Le neuf est quasi nul dans le modèle et renvoie surtout à des reconstructions ou remplacements de sites.
Maisons France Services Guichets publics : Potentiel neuf moyen : le maillage France services s’est fortement densifié et le marché bascule davantage vers l’optimisation de l’existant ; le neuf est significatif mais encore nettement inférieur à la rénovation.</t>
  </si>
  <si>
    <t>Mairies / hôtels de ville / Préfectures / services administratifs : Projets phares réno : sanitaires public/personnel, halls d’accueil, accessibilité, rénovation énergétique et confort d’été.
Maisons France Services Guichets publics : Projets phares réno : requalification de guichets, sanitaires public/personnel, accessibilité et amélioration de l’accueil physique.</t>
  </si>
  <si>
    <t>Mairies / hôtels de ville / Préfectures / services administratifs : Projets phares neuf : hôtels de ville reconstruits, cités administratives, extensions ou relocalisations de services.
Maisons France Services Guichets publics : Projets phares neuf : nouveaux guichets ou maisons France services, antennes en territoires carencés, relocalisations intégrées à d’autres services publics.</t>
  </si>
  <si>
    <t>Mairies / hôtels de ville / Préfectures / services administratifs : Dynamique réno 2026-2030 : soutenue par la sobriété énergétique et la modernisation de l’accueil, mais conditionnée par les finances publiques.
Maisons France Services Guichets publics : Dynamique réno 2026-2030 : plus lisible que le neuf, car beaucoup d’implantations se font dans l’existant avec petits budgets.</t>
  </si>
  <si>
    <t>Mairies / hôtels de ville : Dynamique neuf 2026-2030 : modérée à faible ; peu de programmes massifs hors opérations ciblées de réorganisation administrative. Le tourisme reste bien orienté, mais les décisions de construction sont plus sélectives qu’en phase de rattrapage post-Covid.
Préfectures / services administratifs : Dynamique neuf 2026-2030 : modérée à faible ; peu de programmes massifs hors opérations ciblées de réorganisation administrative.
Maisons France Services
Guichets publics : Dynamique neuf 2026-2030 : encore réelle mais moins expansive qu’au lancement du programme ; elle dépend surtout des derniers vides territoriaux et des mutualisations.</t>
  </si>
  <si>
    <t>Églises, cathédrales, basiliques et chapelles ouvertes au public
Monastères, abbayes et couvents ouverts au public
Temples protestants, évangéliques et salles de culte assimilées
Mosquées et salles de prière musulmanes
Synagogues et oratoires juifs ouverts au public
Temples bouddhistes, hindous et autres lieux de culte non abrahamiques ouverts au public
Salles du Royaume, centres cultuels pluriconfessionnels et lieux de culte polyvalents</t>
  </si>
  <si>
    <t>V / Variable</t>
  </si>
  <si>
    <t>ERP / Ensemble multi-classements</t>
  </si>
  <si>
    <t>Églises, cathédrales, basiliques et chapelles ouvertes au public : Édifices cultuels chrétiens recevant des fidèles ou des visiteurs. Les annexes paroissiales se classent séparément selon leur usage.
Monastères, abbayes et couvents ouverts au public : Les parties ouvertes au public à vocation cultuelle relèvent du type V ; les espaces d’hébergement, de retraite, de visite ou de restauration se classent selon leur usage réel.
Temples protestants, évangéliques et salles de culte assimilées : Lieux de culte protestants ou évangéliques recevant du public. Les salles polyvalentes ou d’enseignement biblique annexes se classent selon leur usage dominant.
Mosquées et salles de prière musulmanes : Lieux de culte musulmans recevant du public. Les espaces d’ablutions, salles polyvalentes ou locaux d’enseignement associés s’analysent selon l’exploitation réelle du site.
Synagogues et oratoires juifs ouverts au public : Lieux de culte juifs recevant des fidèles ou visiteurs. Les salles communautaires annexes peuvent relever de L ou W selon l’usage.
Temples bouddhistes, hindous et autres lieux de culte non abrahamiques ouverts au public : Lieux de culte recevant du public pour cérémonies, offices ou pratiques religieuses. Les bâtiments d’hébergement ou de retraite se classent séparément si présents.
Salles du Royaume, centres cultuels pluriconfessionnels et lieux de culte polyvalents : Lieux de rassemblement religieux recevant du public, parfois polyvalents. Les espaces de réunion, restauration ou bureau associés peuvent relever d’autres types complémentaires.</t>
  </si>
  <si>
    <t>Églises, cathédrales, basiliques et chapelles ouvertes au public : Église paroissiale, cathédrale, chapelle ouverte au public
Monastères, abbayes et couvents ouverts au public : Abbaye ouverte aux visiteurs, monastère avec hôtellerie, couvent avec chapelle publique
Temples protestants, évangéliques et salles de culte assimilées : Temple protestant, église évangélique, salle de culte
Mosquées et salles de prière musulmanes : Mosquée de quartier, grande mosquée, salle de prière
Synagogues et oratoires juifs ouverts au public : Synagogue, oratoire, centre cultuel juif
Temples bouddhistes, hindous et autres lieux de culte non abrahamiques ouverts au public : Temple bouddhiste, temple hindou, centre spirituel ouvert au public
Salles du Royaume, centres cultuels pluriconfessionnels et lieux de culte polyvalents : Salle du Royaume, centre cultuel pluriconfessionnel, salle de rassemblement religieux</t>
  </si>
  <si>
    <t>Églises, cathédrales, basiliques et chapelles ouvertes au public / Monastères, abbayes et couvents ouverts au public : Pas de stagnation structurelle : la série évolue à la baisse sur la période 2000-2026 ; la projection prolonge cette tendance avec prudence.
Temples protestants, évangéliques et salles de culte assimilées / Mosquées et salles de prière musulmanes / Temples bouddhistes, hindous et autres lieux de culte non abrahamiques ouverts au public : Pas de stagnation structurelle : la série évolue à la hausse sur la période 2000-2026 ; la projection prolonge cette tendance avec prudence.
Synagogues et oratoires juifs ouverts au public / Salles du Royaume, centres cultuels pluriconfessionnels et lieux de culte polyvalents : Faute de série nationale homogène publiée annuellement pour cette sous-catégorie, le proxy est lissé ; la faible variation reflète une prudence méthodologique.</t>
  </si>
  <si>
    <t>proxy parc cultuel catholique ouvert au public.; Dynamique projetée 2027-2030: baisse légère.; Fiabilité: moyenne; proxy communautés et sites monastiques ouverts.; Dynamique projetée 2027-2030: baisse lente.; proxy lieux de culte protestants/évangéliques.</t>
  </si>
  <si>
    <t>https://www.culture.gouv.fr/
https://www.interieur.gouv.fr/</t>
  </si>
  <si>
    <t>Églises, cathédrales, basiliques et chapelles ouvertes au public : Lieu de culte : petit bloc visiteurs/fidèles et équipe.
Monastères, abbayes et couvents ouverts au public : Lieu de culte : petit bloc visiteurs/fidèles et équipe.
Temples protestants, évangéliques et salles de culte assimilées : Lieu de culte : petit bloc visiteurs/fidèles et équipe.
Mosquées et salles de prière musulmanes : Mosquée/salle de prière : sanitaires + points d'ablution mutualisés.
Synagogues et oratoires juifs ouverts au public : Lieu de culte : petit bloc visiteurs/fidèles et équipe.
Temples bouddhistes, hindous et autres lieux de culte non abrahamiques ouverts au public : Lieu de culte : petit bloc visiteurs/fidèles et équipe.
Salles du Royaume, centres cultuels pluriconfessionnels et lieux de culte polyvalents : Lieu de culte : petit bloc visiteurs/fidèles et équipe.</t>
  </si>
  <si>
    <t>Églises, cathédrales, basiliques et chapelles ouvertes au public : Capacité type ≈ 226 usagers principaux + 12 staff + 12 officiants/bénévoles. Le programme sanitaire est construit par blocs fonctionnels plausibles (public, personnel, exploitation/hébergement selon le cas) et non par simple ratio national moyen. Calibrage selon capacité simultanée, répartition de flux et organisation réelle du site.
Monastères, abbayes et couvents ouverts au public : Capacité type ≈ 180 usagers principaux + 10 staff + 10 retraitants/bénévoles. Le programme sanitaire est construit par blocs fonctionnels plausibles (public, personnel, exploitation/hébergement selon le cas) et non par simple ratio national moyen. Calibrage selon capacité simultanée, répartition de flux et organisation réelle du site.
Temples protestants, évangéliques et salles de culte assimilées : Capacité type ≈ 162 usagers principaux + 9 staff + 9 officiants/bénévoles. Le programme sanitaire est construit par blocs fonctionnels plausibles (public, personnel, exploitation/hébergement selon le cas) et non par simple ratio national moyen. Calibrage selon capacité simultanée, répartition de flux et organisation réelle du site.
Mosquées et salles de prière musulmanes : Capacité type ≈ 270 usagers principaux + 15 staff + 15 officiants/bénévoles. Le programme sanitaire est construit par blocs fonctionnels plausibles (public, personnel, exploitation/hébergement selon le cas) et non par simple ratio national moyen. Calibrage selon capacité simultanée, répartition de flux et organisation réelle du site.
Synagogues et oratoires juifs ouverts au public : Capacité type ≈ 108 usagers principaux + 6 staff + 6 officiants/bénévoles. Le programme sanitaire est construit par blocs fonctionnels plausibles (public, personnel, exploitation/hébergement selon le cas) et non par simple ratio national moyen. Calibrage selon capacité simultanée, répartition de flux et organisation réelle du site.
Temples bouddhistes, hindous et autres lieux de culte non abrahamiques ouverts au public : Capacité type ≈ 126 usagers principaux + 7 staff + 7 officiants/bénévoles. Le programme sanitaire est construit par blocs fonctionnels plausibles (public, personnel, exploitation/hébergement selon le cas) et non par simple ratio national moyen. Calibrage selon capacité simultanée, répartition de flux et organisation réelle du site.
Salles du Royaume, centres cultuels pluriconfessionnels et lieux de culte polyvalents : Capacité type ≈ 134 usagers principaux + 8 staff + 8 bénévoles/intervenants. Le programme sanitaire est construit par blocs fonctionnels plausibles (public, personnel, exploitation/hébergement selon le cas) et non par simple ratio national moyen. Calibrage selon capacité simultanée, répartition de flux et organisation réelle du site.</t>
  </si>
  <si>
    <t>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Faible nombre de cycles annuels et faible humidité hors périodes d'affluence. cela allonge la durée réelle malgré des budgets souvent contraints. Les écarts entre technologies sont volontairement resserrés, la faible fréquence d'usage jouant davantage que la sophistication produit. Renouvellement surtout à la panne, avec peu de batch hors gros travaux. Culte / associatif faible intensité : Fréquentation faible à modérée, faible vandalisme, remplacement souvent différé pour raisons budgétaires. équipements conservés plus longtemps.</t>
  </si>
  <si>
    <t>Églises, cathédrales, basiliques et chapelles ouvertes au public : Les lieux de culte disposent le plus souvent d’un parc simple et peu standardisé : le mitigeur reste largement dominant, le temporisé venant en appoint. Ajustement ciblé 2025 : légère baisse du mitigeur et/ou légère hausse de l’électronique pour mieux refléter la modernisation déjà visible sur les rénovations de sanitaires communs.
Monastères, abbayes et couvents ouverts au public / Temples protestants, évangéliques et salles de culte assimilées / Synagogues et oratoires juifs ouverts au public / Temples bouddhistes, hindous et autres lieux de culte non abrahamiques ouverts au public / Salles du Royaume, centres cultuels pluriconfessionnels et lieux de culte polyvalents : Les lieux de culte disposent le plus souvent d’un parc simple et peu standardisé : le mitigeur reste largement dominant, le temporisé venant en appoint.
Mosquées et salles de prière musulmanes : Dans les mosquées et salles de prière, la présence d’ablutions communes tire le parc vers des équipements simples et robustes, avec un poids élevé du manuel et du temporisé mécanique.</t>
  </si>
  <si>
    <t>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Évolution lente : budgets plus contraints et volumes plus faibles ; l’électronique progresse peu, le mitigeur restant longtemps majoritaire.</t>
  </si>
  <si>
    <t>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Sans objet.</t>
  </si>
  <si>
    <t>Églises, cathédrales, basiliques et chapelles ouvertes au public / Monastères, abbayes et couvents ouverts au public / Temples protestants, évangéliques et salles de culte assimilées / Synagogues et oratoires juifs ouverts au public / Temples bouddhistes, hindous et autres lieux de culte non abrahamiques ouverts au public / Salles du Royaume, centres cultuels pluriconfessionnels et lieux de culte polyvalents : Les rares urinoirs relèvent souvent d’ensembles anciens ou simples, avec une part notable de collectifs.
Mosquées et salles de prière musulmanes : Les urinoirs, quand ils existent, relèvent davantage de configurations simples ou collectives que d’automatique.</t>
  </si>
  <si>
    <t>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Évolution lente, par petites rénovations : réservoirs en baisse, mais peu de bascule massive vers l’automatique.</t>
  </si>
  <si>
    <t>Églises, cathédrales, basiliques et chapelles ouvertes au public / Monastères, abbayes et couvents ouverts au public / Temples protestants, évangéliques et salles de culte assimilées / Synagogues et oratoires juifs ouverts au public / Temples bouddhistes, hindous et autres lieux de culte non abrahamiques ouverts au public / Salles du Royaume, centres cultuels pluriconfessionnels et lieux de culte polyvalents : Le parc WC reste très majoritairement à réservoir.
Mosquées et salles de prière musulmanes : Le réservoir reste majoritaire dans le parc existant.</t>
  </si>
  <si>
    <t>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Évolution très progressive et à bas bruit : le réservoir reste largement dominant à horizon 2030.</t>
  </si>
  <si>
    <t>Églises, cathédrales, basiliques et chapelles ouvertes au public : Potentiel rénovation élevé : prédominant, avec travaux de confort, accessibilité et sanitaires d’accueil sur des budgets souvent contraints. Les volumes restent d’abord tirés par les WC et les lavabos, plus que par les postes spécialisés. En rénovation, le marché reste favorable aux gammes robustes et simples d’entretien, compatibles avec des chantiers par tranches et des budgets contraints.
Monastères, abbayes et couvents ouverts au public / Temples protestants, évangéliques et salles de culte assimilées / Mosquées et salles de prière musulmanes / Salles du Royaume, centres cultuels pluriconfessionnels et lieux de culte polyvalents : Potentiel rénovation moyen à soutenu : prédominant, avec travaux de confort, accessibilité et sanitaires d’accueil sur des budgets souvent contraints. Les lavabos et les WC portent l’essentiel des volumes, avec un poids secondaire des équipements spécialisés. En rénovation, le marché reste favorable aux gammes robustes et simples d’entretien, compatibles avec des chantiers par tranches et des budgets contraints.
Synagogues et oratoires juifs ouverts au public / Temples bouddhistes, hindous et autres lieux de culte non abrahamiques ouverts au public : Potentiel rénovation moyen : prédominant, avec travaux de confort, accessibilité et sanitaires d’accueil sur des budgets souvent contraints. Les lavabos et les WC portent l’essentiel des volumes, avec un poids secondaire des équipements spécialisés. En rénovation, le marché reste favorable aux gammes robustes et simples d’entretien, compatibles avec des chantiers par tranches et des budgets contraints.</t>
  </si>
  <si>
    <t>Églises, cathédrales, basiliques et chapelles ouvertes au public / Monastères, abbayes et couvents ouverts au public / Synagogues et oratoires juifs ouverts au public : Potentiel neuf faible : très limitée dans les patrimoines historiques, mais globalement sélective et localisée. Le neuf est quasi nul dans le modèle et renvoie surtout à des reconstructions ou remplacements de sites.
Temples protestants, évangéliques et salles de culte assimilées / Mosquées et salles de prière musulmanes : Potentiel neuf moyen : élevée dans certains réseaux évangéliques ou cultes en croissance, mais globalement sélective et localisée. Le neuf est significatif mais encore nettement inférieur à la rénovation.
Temples bouddhistes, hindous et autres lieux de culte non abrahamiques ouverts au public : Potentiel neuf faible à moyen : très limitée dans les patrimoines historiques, mais globalement sélective et localisée. Le neuf est significatif mais encore nettement inférieur à la rénovation.
Salles du Royaume, centres cultuels pluriconfessionnels et lieux de culte polyvalents : Potentiel neuf faible : élevée dans certains réseaux évangéliques ou cultes en croissance, mais globalement sélective et localisée. Le neuf est quasi nul dans le modèle et renvoie surtout à des reconstructions ou remplacements de sites.</t>
  </si>
  <si>
    <t>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Projets phares réno : sanitaires d’accueil, salles paroissiales ou polyvalentes, accessibilité et remise à niveau de bâtiments annexes.</t>
  </si>
  <si>
    <t>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Projets phares neuf : nouveaux lieux de culte ou extensions multifonctionnelles, salles annexes, centres communautaires.</t>
  </si>
  <si>
    <t>Églises, cathédrales, basiliques et chapelles ouvertes au public / Monastères, abbayes et couvents ouverts au public / Temples protestants, évangéliques et salles de culte assimilées / Mosquées et salles de prière musulmanes / Synagogues et oratoires juifs ouverts au public / Temples bouddhistes, hindous et autres lieux de culte non abrahamiques ouverts au public / Salles du Royaume, centres cultuels pluriconfessionnels et lieux de culte polyvalents : Dynamique réno 2026-2030 : diffuse mais régulière, avec petits tickets et forte sensibilité au financement des communautés.</t>
  </si>
  <si>
    <t>Églises, cathédrales, basiliques et chapelles ouvertes au public / Monastères, abbayes et couvents ouverts au public / Synagogues et oratoires juifs ouverts au public / Temples bouddhistes, hindous et autres lieux de culte non abrahamiques ouverts au public / Salles du Royaume, centres cultuels pluriconfessionnels et lieux de culte polyvalents : Dynamique neuf 2026-2030 : très hétérogène selon les confessions ; quelques réseaux investissent encore, mais le marché global reste limité.
Temples protestants, évangéliques et salles de culte assimilées / Mosquées et salles de prière musulmanes : Dynamique neuf 2026-2030 : très hétérogène selon les confessions ; quelques réseaux investissent encore, mais le marché global reste limité. La dynamique est surtout locale, portée par des besoins communautaires et des montages fonciers spécifiques.</t>
  </si>
  <si>
    <t>Parc de petite taille et très diffus, généralement géré sous contrainte budgétaire avec sanitaires simples ; le centre de gravité reste basique/moyen.</t>
  </si>
  <si>
    <t>Locaux associatifs recevant du public : Selon activité dominante : réunion, bureau, activités.</t>
  </si>
  <si>
    <t>Locaux associatifs recevant du public : Maison des associations</t>
  </si>
  <si>
    <t>Locaux associatifs recevant du public : Faute de série nationale homogène publiée annuellement pour cette sous-catégorie, le proxy est lissé ; la faible variation reflète une prudence méthodologique.</t>
  </si>
  <si>
    <t>proxy parc associatif communal. Dynamique projetée 2027-2030: stable. Fiabilité: moyenne</t>
  </si>
  <si>
    <t>Locaux associatifs recevant du public : Local associatif polyvalent : bloc simple mixte + accès PMR.</t>
  </si>
  <si>
    <t>Locaux associatifs recevant du public : Capacité type ≈ 40 usagers principaux + 5 staff + 5 bénévoles/intervenants. Le programme sanitaire est construit par blocs fonctionnels plausibles (public, personnel, exploitation/hébergement selon le cas) et non par simple ratio national moyen. Calibrage selon capacité simultanée, répartition de flux et organisation réelle du site.</t>
  </si>
  <si>
    <t>Locaux associatifs recevant du public : Pics d'usage concentrés, vestiaires collectifs et nettoyage énergique. Les douches et chasses restent plus sollicitées que dans les bureaux. Le temporisé mécanique garde un avantage concret sur les zones communes. Rénovation souvent par lot lors de reprise des vestiaires ou mise en conformité du site. Sport / piscines / stades : Forts pics de fréquentation, milieu humide ou chloré, nettoyage intensif et vandalisme non négligeable. Les douches et WC sont les plus exposés.</t>
  </si>
  <si>
    <t>Locaux associatifs recevant du public : Les locaux associatifs ont un parc hétérogène mais plutôt simple : mitigeur majoritaire, temporisé en appoint, électronique secondaire.</t>
  </si>
  <si>
    <t>Locaux associatifs recevant du public : Projection prudente et lente : un peu plus d’électronique sur les rénovations, mais maintien d’un parc majoritairement simple et économique.</t>
  </si>
  <si>
    <t>Locaux associatifs recevant du public : Sans objet.</t>
  </si>
  <si>
    <t>Locaux associatifs recevant du public : Les rares urinoirs restent surtout sur des technologies classiques.</t>
  </si>
  <si>
    <t>Locaux associatifs recevant du public : Projection prudente avec une légère montée de l’automatique et recul des réservoirs/anciens collectifs.</t>
  </si>
  <si>
    <t>Locaux associatifs recevant du public : Le réservoir demeure majoritaire dans ce parc généralement modeste.</t>
  </si>
  <si>
    <t>Locaux associatifs recevant du public : Lente baisse du réservoir ; la chasse directe gagne un peu de terrain sur les remplacements.</t>
  </si>
  <si>
    <t>Locaux associatifs recevant du public : Potentiel rénovation moyen à soutenu : principalement en remise à niveau légère des sanitaires dans des locaux polyvalents ou partagés. Les volumes restent d’abord tirés par les WC et les lavabos, plus que par les postes spécialisés. En rénovation, le marché reste favorable aux gammes robustes et simples d’entretien, compatibles avec des chantiers par tranches et des budgets contraints.</t>
  </si>
  <si>
    <t>Locaux associatifs recevant du public : Potentiel neuf faible : faible, souvent absorbé par des maisons de quartier ou équipements mutualisés. Le neuf est quasi nul dans le modèle et renvoie surtout à des reconstructions ou remplacements de sites.</t>
  </si>
  <si>
    <t>Locaux associatifs recevant du public : Projets phares réno : maisons d’associations, salles polyvalentes, locaux mutualisés et mise en accessibilité.</t>
  </si>
  <si>
    <t>Locaux associatifs recevant du public : Projets phares neuf : maisons de quartier, pôles associatifs ou extensions intégrées à des équipements publics.</t>
  </si>
  <si>
    <t>Locaux associatifs recevant du public : Dynamique réno 2026-2030 : moyenne, tributaire des arbitrages locaux et de la vie associative.</t>
  </si>
  <si>
    <t>Locaux associatifs recevant du public : Dynamique neuf 2026-2030 : faible à modérée ; la mutualisation prime souvent sur la création d’équipements autonomes.</t>
  </si>
  <si>
    <t>Parc associatif très éclaté, souvent municipal ou subventionné, avec arbitrage fonctionnel et budgets limités ; basique/moyen dominent.</t>
  </si>
  <si>
    <t>Sport couvert / Thermalisme / bien-être</t>
  </si>
  <si>
    <t>Gymnases / salles multisports
Piscines couvertes
Salles de fitness / dojos
Patinoires couvertes
Établissements thermaux
Centres de thalassothérapie / balnéothérapie / grands spas ouverts au public</t>
  </si>
  <si>
    <t>X / Variable</t>
  </si>
  <si>
    <t>Gymnases / salles multisports : Établissements sportifs couverts.
Piscines couvertes : Sport couvert avec équipements spécifiques.
Salles de fitness / dojos : Sport couvert.
Patinoires couvertes : Équipement sportif couvert avec surfaces de glace recevant du public.
Établissements thermaux : Sites recevant des curistes ou visiteurs avec vestiaires, douches, espaces d’eau et sanitaires ; à compter au site principal.
Centres de thalassothérapie / balnéothérapie / grands spas ouverts au public : Équipements structurés de soins d’eau ou de bien-être recevant du public, avec vestiaires, douches et sanitaires collectifs ; hors simple cabine de soin isolée.</t>
  </si>
  <si>
    <t>Gymnases / salles multisports : Gymnase, hall sportif
Piscines couvertes : Piscine municipale couverte, patinoire
Salles de fitness / dojos : Salle de sport, dojo
Patinoires couvertes : Patinoire municipale couverte
Établissements thermaux : Thermes, établissement thermal
Centres de thalassothérapie / balnéothérapie / grands spas ouverts au public : Centre de thalasso, balnéothérapie, spa thermal ouvert au public</t>
  </si>
  <si>
    <t>Gymnases / salles multisports / Piscines couvertes / Patinoires couvertes : Faute de série nationale homogène publiée annuellement pour cette sous-catégorie, le proxy est lissé ; la faible variation reflète une prudence méthodologique.
Salles de fitness / dojos : Pas de stagnation structurelle : la série évolue à la hausse sur la période 2000-2026 ; la projection prolonge cette tendance avec prudence.</t>
  </si>
  <si>
    <t>proxy équipements sportifs couverts.; Dynamique projetée 2027-2030: stable.; Fiabilité: moyenne; proxy équipements aquatiques couverts.; proxy salles de sport et arts martiaux.; Dynamique projetée 2027-2030: hausse légère.</t>
  </si>
  <si>
    <t>Gymnases / salles multisports : Gymnase : sanitaires publics + vestiaires sportifs séparés H/F, arbitres et encadrement (comptés lorsqu'ils desservent ≥5 pers.).
Piscines couvertes : Piscine couverte : vestiaires humides séparés et douches collectives obligatoires ; cabines individuelles non comptées.
Salles de fitness / dojos : Salle de fitness/dojo : vestiaires H/F et équipe, comptés dès lors qu'ils accueillent au moins 5 personnes simultanément.
Patinoires couvertes : Patinoire : blocs public + vestiaires sportifs séparés (joueurs, arbitres, staff), dès lors qu'ils desservent au moins 5 personnes.
Établissements thermaux : Piscine couverte : vestiaires humides séparés et douches collectives obligatoires ; cabines individuelles non comptées.
Centres de thalassothérapie / balnéothérapie / grands spas ouverts au public : Piscine couverte : vestiaires humides séparés et douches collectives obligatoires ; cabines individuelles non comptées.</t>
  </si>
  <si>
    <t>Gymnases / salles multisports : Capacité type ≈ 210 sportifs/usagers + 25 staff + 15 arbitres/visiteurs. Le programme inclut sanitaires publics et vestiaires sportifs séparés dès lors qu'ils accueillent au moins 5 personnes ; pour les piscines, les douches collectives sont structurelles. Calibrage selon capacité simultanée, répartition de flux et organisation réelle du site.
Piscines couvertes : Capacité type ≈ 420 sportifs/usagers + 50 staff + 30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Salles de fitness / dojos : Capacité type ≈ 101 sportifs/usagers + 12 staff + 7 intervenants/visiteurs. Le programme inclut sanitaires publics et vestiaires sportifs séparés dès lors qu'ils accueillent au moins 5 personnes ; pour les piscines, les douches collectives sont structurelles. Calibrage selon capacité simultanée, répartition de flux et organisation réelle du site.
Patinoires couvertes : Capacité type ≈ 672 sportifs/usagers + 80 staff + 48 intervenants/maintenance.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Établissements thermaux : Capacité type ≈ 420 sportifs/usagers + 50 staff + 30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Centres de thalassothérapie / balnéothérapie / grands spas ouverts au public : Capacité type ≈ 420 sportifs/usagers + 50 staff + 30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t>
  </si>
  <si>
    <t>https://www.sports.gouv.fr/reglementation-federale-des-equipements-sportifs-845</t>
  </si>
  <si>
    <t>Gymnases / salles multisports : L'humidité permanente, la condensation et les chlorures/chloramines raccourcissent réellement la durée de vie, surtout sur électroniques, finitions et organes de douche. Les temporisés mécaniques restent les plus stables. Les remplacements sont fréquemment regroupés pendant les arrêts techniques et fermetures de bassin. Sport / piscines / stades : Forts pics de fréquentation, milieu humide ou chloré, nettoyage intensif et vandalisme non négligeable. Les douches et WC sont les plus exposés.
Piscines couvertes / Salles de fitness / dojos : Pics d'usage concentrés, vestiaires collectifs et nettoyage énergique. Les douches et chasses restent plus sollicitées que dans les bureaux. Le temporisé mécanique garde un avantage concret sur les zones communes. Rénovation souvent par lot lors de reprise des vestiaires ou mise en conformité du site. Sport / piscines / stades : Forts pics de fréquentation, milieu humide ou chloré, nettoyage intensif et vandalisme non négligeable. Les douches et WC sont les plus exposés.
Patinoires couvertes : Usage très saisonnier mais pics forts, salissures, chocs et maintenance souvent contrainte. Les durées réelles sont proches des ERP à forte fréquentation, avec un petit avantage aux technologies mécaniques simples. Les remplacements sont généralement batchés avec les vestiaires et sanitaires de stade. Sport / piscines / stades : Forts pics de fréquentation, milieu humide ou chloré, nettoyage intensif et vandalisme non négligeable. Les douches et WC sont les plus exposés.</t>
  </si>
  <si>
    <t>Gymnases / salles multisports : Dans les gymnases, le temporisé mécanique domine très clairement le parc, car il résiste bien à l’usage intensif et au vandalisme.
Piscines couvertes : Dans les piscines, le parc combine temporisé mécanique et électronique, ce dernier étant plus présent que dans les gymnases en raison des rénovations et de l’hygiène.
Salles de fitness / dojos : Les salles de fitness/dojos ont un parc plus récent et plus tertiaire que les gymnases : le mitigeur et l’électronique y pèsent davantage.
Patinoires couvertes : Les patinoires restent proches du modèle sportif collectif : temporisé mécanique dominant, avec une part d’électronique un peu plus élevée dans les sites récents.</t>
  </si>
  <si>
    <t>Gymnases / salles multisports / Piscines couvertes / Salles de fitness / dojos / Patinoires couvertes : Dans le sport, l’électronique progresse sur les rénovations, mais le temporisé mécanique reste la colonne vertébrale du parc grâce à sa robustesse et à la maîtrise d’eau.</t>
  </si>
  <si>
    <t>Gymnases / salles multisports : Les douches collectives sont très majoritairement temporisées mécaniques sur le parc existant sportif.
Piscines couvertes : Les douches collectives restent dominées par le temporisé mécanique, l’électronique progressant dans les piscines récentes.
Salles de fitness / dojos : Les douches restent surtout temporisées mécaniques, mais une part non négligeable de mitigeurs et d’électronique existe déjà dans les clubs récents.
Patinoires couvertes : Les douches sont très majoritairement temporisées mécaniques, l’électronique restant secondaire.</t>
  </si>
  <si>
    <t>Gymnases / salles multisports / Piscines couvertes / Salles de fitness / dojos / Patinoires couvertes : Dans les vestiaires sportifs, l’électronique progresse mais le temporisé mécanique reste majoritaire à horizon 2030 grâce au coût total et à la robustesse.</t>
  </si>
  <si>
    <t>Gymnases / salles multisports : Les urinoirs collectifs anciens restent nombreux dans les équipements sportifs ; la chasse directe mécanique reste le deuxième bloc important.
Piscines couvertes : Le parc d’urinoirs reste tiré par les collectifs et les chasses directes, avec une part automatique déjà non négligeable.
Salles de fitness / dojos : Le parc d’urinoirs reste mixte, avec davantage d’automatique que dans le sport public traditionnel.
Patinoires couvertes : Les collectifs anciens et la chasse directe restent dominants sur les urinoirs.</t>
  </si>
  <si>
    <t>Gymnases / salles multisports / Piscines couvertes / Salles de fitness / dojos / Patinoires couvertes : Les rampes/collectifs et réservoirs reculent sur les rénovations ; l’automatique progresse, mais le direct mécanique reste très présent.</t>
  </si>
  <si>
    <t>Gymnases / salles multisports : La chasse directe est déjà majoritaire dans les sanitaires sportifs à forte intensité, mais le réservoir reste significatif sur le parc ancien.
Piscines couvertes : La chasse directe domine les blocs de piscine ; l’électronique apparaît davantage que dans le sport sec.
Salles de fitness / dojos : Le réservoir et la chasse directe coexistent encore largement, l’électronique restant minoritaire.
Patinoires couvertes : La chasse directe domine les blocs publics/vestiaires, mais le réservoir reste encore présent.</t>
  </si>
  <si>
    <t>Gymnases / salles multisports / Piscines couvertes / Salles de fitness / dojos / Patinoires couvertes : Les ERP sportifs rénovés basculent progressivement du réservoir vers le direct ; l’électronique progresse mais reste derrière le direct mécanique.</t>
  </si>
  <si>
    <t>Gymnases / salles multisports : Potentiel rénovation très élevé : vestiaires, douches et sanitaires sont fortement exposés à l’humidité, aux pics d’usage et parfois au vandalisme. La douche pèse au-dessus de la moyenne, avec des contraintes d’humidité, de corrosion et d’entretien qui accélèrent le remplacement. En rénovation, les maîtres d’ouvrage privilégient des références robustes, vite posées et faciles à maintenir dans des ambiances humides.
Piscines couvertes : Potentiel rénovation très élevé : parmi les plus élevés du modèle, car l’humidité, la corrosion, l’énergie et l’image usagers imposent des campagnes lourdes. La douche pèse au-dessus de la moyenne, avec des contraintes d’humidité, de corrosion et d’entretien qui accélèrent le remplacement. En rénovation, les maîtres d’ouvrage privilégient des références robustes, vite posées et faciles à maintenir dans des ambiances humides.
Salles de fitness / dojos : Potentiel rénovation très élevé : usure commerciale, image d’enseigne et douches/vestiaires soutiennent des refits réguliers. La douche pèse au-dessus de la moyenne, avec des contraintes d’humidité, de corrosion et d’entretien qui accélèrent le remplacement. En rénovation, le marché reste orienté vers des gammes fiables, disponibles et rapides à poser afin de limiter l’arrêt d’exploitation.
Patinoires couvertes : Potentiel rénovation élevé : équipements spécifiques, sanitaires associés et actifs souvent vieillissants. La douche pèse au-dessus de la moyenne, avec des contraintes d’humidité, de corrosion et d’entretien qui accélèrent le remplacement. En rénovation, les maîtres d’ouvrage privilégient des références robustes, vite posées et faciles à maintenir dans des ambiances humides.</t>
  </si>
  <si>
    <t>Gymnases / salles multisports : Potentiel neuf faible : soutenu par quelques programmes publics et privés, avec un levier visible du plan 5000 équipements jusqu’en 2026 mais pas une vague uniforme ensuite. Le neuf est quasi nul dans le modèle et renvoie surtout à des reconstructions ou remplacements de sites.
Piscines couvertes : Potentiel neuf moyen à soutenu : soutenu sur quelques projets structurants, mais très capitalistique et sélectif. Le neuf est réel mais secondaire.
Salles de fitness / dojos : Potentiel neuf moyen à soutenu : diffusion privée réelle, surtout en salles de fitness, mais sensible à la consommation et au taux d’occupation. Le neuf est réel mais secondaire.
Patinoires couvertes : Potentiel neuf faible : très sélectif, avec peu d’ouvertures pures. Le neuf est quasi nul dans le modèle et renvoie surtout à des reconstructions ou remplacements de sites.</t>
  </si>
  <si>
    <t>Gymnases / salles multisports : Projets phares réno : vestiaires, douches, sanitaires spectateurs, accessibilité et modernisation d’équipements sportifs.
Piscines couvertes : Projets phares réno : vestiaires, douches, sanitaires publics, réhabilitation énergétique et reprise des ambiances humides.
Salles de fitness / dojos : Projets phares réno : douches, vestiaires, sanitaires public/adhérents et repositionnement d’espaces.
Patinoires couvertes : Projets phares réno : vestiaires, sanitaires publics, modernisation fonctionnelle et énergétique.</t>
  </si>
  <si>
    <t>Gymnases / salles multisports : Projets phares neuf : gymnases, stades reconfigurés, équipements de proximité, tribunes et vestiaires associés.
Piscines couvertes : Projets phares neuf : piscines structurantes, centres aquatiques, bassins extérieurs reconstruits ou complétés.
Salles de fitness / dojos : Projets phares neuf : nouvelles salles, studios, dojos privés ou associatifs, extensions de clubs.
Patinoires couvertes : Projets phares neuf : rares équipements nouveaux ou reconfigurations lourdes.</t>
  </si>
  <si>
    <t>Gymnases / salles multisports : Dynamique réno 2026-2030 : élevée, car le sanitaire sportif s’use vite et reste visible pour les usagers.
Piscines couvertes : Dynamique réno 2026-2030 : très forte, car les piscines concentrent à la fois besoin de rénovation énergétique et renouvellement sanitaire.
Salles de fitness / dojos : Dynamique réno 2026-2030 : plus régulière que le neuf grâce aux cycles commerciaux des clubs.
Patinoires couvertes : Dynamique réno 2026-2030 : supérieure au neuf, davantage tirée par la remise à niveau que par l’expansion.</t>
  </si>
  <si>
    <t>Gymnases / salles multisports : Dynamique neuf 2026-2030 : modérée ; meilleure sur les projets structurants et les territoires carencés que sur les petits équipements diffus.
Piscines couvertes : Dynamique neuf 2026-2030 : réelle sur quelques sites, mais fortement filtrée par le coût global, le foncier et l’exploitation future.
Salles de fitness / dojos : Dynamique neuf 2026-2030 : réelle mais plus cyclique ; dépend de l’emplacement et de la solvabilité des exploitants.
Patinoires couvertes : Dynamique neuf 2026-2030 : faible, sauf projet emblématique ponctuel.</t>
  </si>
  <si>
    <t>Grands stades avec tribunes
(Type football/rugby) 
Stades 
(Type athlétisme - Hors scolaire)
Terrains de sport
(Hors scolaire)
Hippodromes
Piscines extérieures 
(Hors campings, hôtels, résidences et établissement avec bassin intérieur)
Bases nautiques / centres nautiques avec vestiaires-douches
Bases de loisirs avec plages, douches et sanitaires</t>
  </si>
  <si>
    <t>PA / X ou PA / PA ou variable</t>
  </si>
  <si>
    <t>ERP spécial / ERP / variable</t>
  </si>
  <si>
    <t>Grands stades avec tribunes
(Type football/rugby)  : Équipements sportifs de plein air de grande taille.
Stades 
(Type athlétisme - Hors scolaire) : Équipements sportifs de plein air.
Terrains de sport
(Hors scolaire) : Équipements sportifs de plein air.
Hippodromes : Équipements sportifs et de loisirs de plein air.
Piscines extérieures 
(Hors campings, hôtels, résidences et établissement avec bassin intérieur) : Équipement nautique de plein air recevant du public.
Bases nautiques / centres nautiques avec vestiaires-douches : Équipements nautiques ouverts au public avec vestiaires, douches et sanitaires ; hors piscines déjà comptées séparément et hors simple mise à l’eau sans bâtiment recevant du public.
Bases de loisirs avec plages, douches et sanitaires : Sites de loisirs autonomes avec accueil public et blocs sanitaires ; hors campings et piscines déjà comptés séparément.</t>
  </si>
  <si>
    <t>Grands stades avec tribunes
(Type football/rugby)  : Stade football / rugby
Stades 
(Type athlétisme - Hors scolaire) : Stade, terrain de rugby, piscine de plein air
Terrains de sport
(Hors scolaire) : Terrain de rugby, terrain de football ou autre …
Hippodromes : Hippodrome
Piscines extérieures 
(Hors campings, hôtels, résidences et établissement avec bassin intérieur) : Piscine de plein air
Bases nautiques / centres nautiques avec vestiaires-douches : Base nautique, centre nautique, club nautique avec accueil public
Bases de loisirs avec plages, douches et sanitaires : Base de loisirs, plan d’eau aménagé, centre de loisirs de plein air</t>
  </si>
  <si>
    <t>Grands stades avec tribunes (Type football/rugby)  / 
Stades (Type athlétisme - Hors scolaire) / 
Terrains de sport (Hors scolaire) / 
Piscines extérieures (Hors campings, hôtels, résidences et établissement avec bassin intérieur) : Faute de série nationale homogène publiée annuellement pour cette sous-catégorie, le proxy est lissé ; la faible variation reflète une prudence méthodologique.
Hippodromes : Pas de stagnation structurelle : la série évolue à la baisse sur la période 2000-2026 ; la projection prolonge cette tendance avec prudence.</t>
  </si>
  <si>
    <t>proxy terrains sportifs de plein air.; Dynamique projetée 2027-2030: stable.; Fiabilité: bonne.; proxy équipements extérieurs.; Fiabilité: moyenne; proxy hippodromes recensés.</t>
  </si>
  <si>
    <t>Grands stades avec tribunes
(Type football/rugby)  : Grand stade : batteries public + vestiaires équipes/arbitres/contrôle, vestiaires collectifs séparés comptés dès qu'ils dépassent 5 personnes.
Stades 
(Type athlétisme - Hors scolaire) : Stade d'athlétisme : petit bloc public + vestiaires sportifs séparés si la jauge du vestiaire atteint ≥5 personnes.
Terrains de sport
(Hors scolaire) : Terrain de sport : petit bloc public + vestiaires sportifs séparés si la jauge du vestiaire atteint ≥5 personnes.
Hippodromes : Hippodrome : batteries public + locaux jockeys/personnel.
Piscines extérieures 
(Hors campings, hôtels, résidences et établissement avec bassin intérieur) : Piscine de plein air : vestiaires humides séparés et douches collectives ; cabines individuelles non comptées.
Bases nautiques / centres nautiques avec vestiaires-douches : Piscine couverte : vestiaires humides séparés et douches collectives obligatoires ; cabines individuelles non comptées.
Bases de loisirs avec plages, douches et sanitaires : Piscine de plein air : vestiaires humides séparés et douches collectives ; cabines individuelles non comptées.</t>
  </si>
  <si>
    <t>Grands stades avec tribunes
(Type football/rugby)  : Capacité type ≈ 504 sportifs/usagers + 60 staff + 36 arbitres/maintenance.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Stades 
(Type athlétisme - Hors scolaire) : Capacité type ≈ 59 sportifs/usagers + 7 staff + 4 arbitres/maintenance.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Terrains de sport
(Hors scolaire) : Capacité type ≈ 15 sportifs/usagers + 2 staff + 1 arbitres/maintenance.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Hippodromes : Capacité type ≈ 2520 sportifs/usagers + 300 staff + 180 professionnels/maintenance.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Piscines extérieures 
(Hors campings, hôtels, résidences et établissement avec bassin intérieur) : Capacité type ≈ 504 sportifs/usagers + 60 staff + 36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Bases nautiques / centres nautiques avec vestiaires-douches : Capacité type ≈ 420 sportifs/usagers + 50 staff + 30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Bases de loisirs avec plages, douches et sanitaires : Capacité type ≈ 504 sportifs/usagers + 60 staff + 36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t>
  </si>
  <si>
    <t>Grands stades avec tribunes (Type football/rugby)  / Stades (Type athlétisme - Hors scolaire) / Terrains de sport (Hors scolaire) : Usage très saisonnier mais pics forts, salissures, chocs et maintenance souvent contrainte. Les durées réelles sont proches des ERP à forte fréquentation, avec un petit avantage aux technologies mécaniques simples. Les remplacements sont généralement batchés avec les vestiaires et sanitaires de stade. Sport / piscines / stades : Forts pics de fréquentation, milieu humide ou chloré, nettoyage intensif et vandalisme non négligeable. Les douches et WC sont les plus exposés.
Hippodromes : Usage diffus, entretien régulier et qualité de finition plus élevée que dans les ERP de transit. Les durées de vie sont donc au-dessus de la moyenne. L'électronique reste plus courte si elle existe, surtout hors contrats de maintenance dédiés. Le remplacement se fait souvent par chambre ou par lot lors des rénovations d'étage. Sport / piscines / stades : Forts pics de fréquentation, milieu humide ou chloré, nettoyage intensif et vandalisme non négligeable. Les douches et WC sont les plus exposés.
Piscines extérieures (Hors campings, hôtels, résidences et établissement avec bassin intérieur) : Très forte fréquentation, usage anonyme, nettoyage intensif et vandalisme tangible. Les temporisés mécaniques et chasses directes mécaniques gardent l'avantage réel. L'électronique est limitée surtout par capteurs, piles/secteur et interventions plus lourdes. Les remplacements sont souvent planifiés par campagne de remise à niveau des sanitaires. Commerce / transport / parkings / sanitaires publics très intensifs : Très forte fréquentation, disponibilité immédiate requise, vandalisme et coûts d’exploitation élevés. La temporisation mécanique et la chasse directe sont favorisées.</t>
  </si>
  <si>
    <t>Grands stades avec tribunes (Type football/rugby)  : Dans les grands stades, le parc commun reste d’abord pensé pour l’intensité : temporisé mécanique dominant, avec une part d’électronique plus élevée sur les rénovations premium.
Stades (Type athlétisme - Hors scolaire) / Terrains de sport
(Hors scolaire) : Dans les stades et terrains sportifs ordinaires, le temporisé mécanique reste la norme du parc commun, avec une faible part d’électronique.
Hippodromes : Le parc des hippodromes mélange équipements publics anciens et rénovations ponctuelles : temporisé mécanique dominant, avec une part d’équipements atypiques ou robustes plus élevée.
Piscines extérieures (Hors campings, hôtels, résidences et établissement avec bassin intérieur) : Dans les piscines, le parc combine temporisé mécanique et électronique, ce dernier étant plus présent que dans les gymnases en raison des rénovations et de l’hygiène.</t>
  </si>
  <si>
    <t>Grands stades avec tribunes (Type football/rugby)  / Stades (Type athlétisme - Hors scolaire) / Terrains de sport (Hors scolaire) / Hippodromes / Piscines extérieures (Hors campings, hôtels, résidences et établissement avec bassin intérieur) : Dans le sport, l’électronique progresse sur les rénovations, mais le temporisé mécanique reste la colonne vertébrale du parc grâce à sa robustesse et à la maîtrise d’eau.</t>
  </si>
  <si>
    <t>Grands stades avec tribunes (Type football/rugby)  / Stades (Type athlétisme - Hors scolaire) / Terrains de sport (Hors scolaire) : Les douches de vestiaires restent très majoritairement temporisées mécaniques.
Hippodromes : Les douches restent surtout temporisées mécaniques.
Piscines extérieures (Hors campings, hôtels, résidences et établissement avec bassin intérieur) : Les douches collectives restent dominées par le temporisé mécanique, l’électronique progressant dans les piscines récentes.</t>
  </si>
  <si>
    <t>Grands stades avec tribunes (Type football/rugby)  / Stades (Type athlétisme - Hors scolaire) / Terrains de sport (Hors scolaire) / Hippodromes / Piscines extérieures (Hors campings, hôtels, résidences et établissement avec bassin intérieur) : Dans les vestiaires sportifs, l’électronique progresse mais le temporisé mécanique reste majoritaire à horizon 2030 grâce au coût total et à la robustesse.</t>
  </si>
  <si>
    <t>Grands stades avec tribunes (Type football/rugby)  : Les urinoirs collectifs (rampe/batterie) conservent un poids majeur dans le parc existant des grands stades ; l’automatique progresse sans devenir majoritaire.
Stades (Type athlétisme - Hors scolaire) / Terrains de sport (Hors scolaire) : Les collectifs anciens restent très présents sur les urinoirs de ce parc sportif de proximité.
Hippodromes : Les collectifs anciens gardent une place importante sur ce parc.
Piscines extérieures (Hors campings, hôtels, résidences et établissement avec bassin intérieur) : Le parc d’urinoirs reste tiré par les collectifs et les chasses directes, avec une part automatique déjà non négligeable.</t>
  </si>
  <si>
    <t>Grands stades avec tribunes (Type football/rugby)  / Stades (Type athlétisme - Hors scolaire) / Terrains de sport (Hors scolaire) / Hippodromes / Piscines extérieures (Hors campings, hôtels, résidences et établissement avec bassin intérieur) : Les rampes/collectifs et réservoirs reculent sur les rénovations ; l’automatique progresse, mais le direct mécanique reste très présent.</t>
  </si>
  <si>
    <t>Grands stades avec tribunes (Type football/rugby)  : La chasse directe domine très nettement les sanitaires publics de stade, mieux adaptée à de très forts pics de fréquentation.
Stades (Type athlétisme - Hors scolaire) / Terrains de sport (Hors scolaire) : La chasse directe est déjà majoritaire, mais le réservoir conserve un poids important sur le parc existant.
Hippodromes : La chasse directe domine les blocs publics les plus sollicités, mais le réservoir reste très présent.
Piscines extérieures (Hors campings, hôtels, résidences et établissement avec bassin intérieur) : La chasse directe domine les blocs de piscine ; l’électronique apparaît davantage que dans le sport sec.</t>
  </si>
  <si>
    <t>Grands stades avec tribunes
(Type football/rugby)  / Stades 
(Type athlétisme - Hors scolaire) / Terrains de sport
(Hors scolaire) / Hippodromes / Piscines extérieures 
(Hors campings, hôtels, résidences et établissement avec bassin intérieur) : Les ERP sportifs rénovés basculent progressivement du réservoir vers le direct ; l’électronique progresse mais reste derrière le direct mécanique.</t>
  </si>
  <si>
    <t>Grands stades avec tribunes (Type football/rugby)  : Potentiel rénovation très élevé : vestiaires, douches et sanitaires sont fortement exposés à l’humidité, aux pics d’usage et parfois au vandalisme. Les volumes se concentrent surtout sur lavabos et wc. En rénovation, l’achat reste orienté vers des produits robustes, anti-vandalisme et simples à maintenir en site occupé.
Stades (Type athlétisme - Hors scolaire) : Potentiel rénovation élevé : vestiaires, douches et sanitaires sont fortement exposés à l’humidité, aux pics d’usage et parfois au vandalisme. La douche pèse au-dessus de la moyenne, avec des contraintes d’humidité, de corrosion et d’entretien qui accélèrent le remplacement. En rénovation, l’achat reste orienté vers des produits robustes, anti-vandalisme et simples à maintenir en site occupé.
Terrains de sport (Hors scolaire) : Potentiel rénovation très élevé : vestiaires, douches et sanitaires sont fortement exposés à l’humidité, aux pics d’usage et parfois au vandalisme. Les volumes se concentrent surtout sur lavabos et douches. En rénovation, l’achat reste orienté vers des produits robustes, anti-vandalisme et simples à maintenir en site occupé.
Hippodromes : Potentiel rénovation élevé : vestiaires, douches et sanitaires sont fortement exposés à l’humidité, aux pics d’usage et parfois au vandalisme. Les lavabos et les WC portent l’essentiel des volumes, avec un poids secondaire des équipements spécialisés. En rénovation, l’achat reste orienté vers des produits robustes, anti-vandalisme et simples à maintenir en site occupé.
Piscines extérieures (Hors campings, hôtels, résidences et établissement avec bassin intérieur) : Potentiel rénovation élevé : parmi les plus élevés du modèle, car l’humidité, la corrosion, l’énergie et l’image usagers imposent des campagnes lourdes. La douche pèse au-dessus de la moyenne, avec des contraintes d’humidité, de corrosion et d’entretien qui accélèrent le remplacement. En rénovation, les maîtres d’ouvrage privilégient des références robustes, vite posées et faciles à maintenir dans des ambiances humides.</t>
  </si>
  <si>
    <t>Grands stades avec tribunes (Type football/rugby)  : Potentiel neuf moyen à soutenu : soutenu par quelques programmes publics et privés, avec un levier visible du plan 5000 équipements jusqu’en 2026 mais pas une vague uniforme ensuite. Le neuf est réel mais secondaire. Les projets neufs sont rares ; l’activité vient plus souvent de requalifications lourdes.
Stades (Type athlétisme - Hors scolaire) : Potentiel neuf moyen : soutenu par quelques programmes publics et privés, avec un levier visible du plan 5000 équipements jusqu’en 2026 mais pas une vague uniforme ensuite. Le neuf est réel mais secondaire.
Terrains de sport (Hors scolaire) : Potentiel neuf moyen à soutenu : soutenu par quelques programmes publics et privés, avec un levier visible du plan 5000 équipements jusqu’en 2026 mais pas une vague uniforme ensuite. Le neuf est réel mais secondaire.
Hippodromes : Potentiel neuf faible : soutenu par quelques programmes publics et privés, avec un levier visible du plan 5000 équipements jusqu’en 2026 mais pas une vague uniforme ensuite. Le neuf est quasi nul dans le modèle et renvoie surtout à des reconstructions ou remplacements de sites.
Piscines extérieures (Hors campings, hôtels, résidences et établissement avec bassin intérieur) : Potentiel neuf faible : soutenu sur quelques projets structurants, mais très capitalistique et sélectif. Le neuf est quasi nul dans le modèle et renvoie surtout à des reconstructions ou remplacements de sites.</t>
  </si>
  <si>
    <t>Grands stades avec tribunes
(Type football/rugby)  / Stades (Type athlétisme - Hors scolaire) / Terrains de sport (Hors scolaire) / Hippodromes : Projets phares réno : vestiaires, douches, sanitaires spectateurs, accessibilité et modernisation d’équipements sportifs.
Piscines extérieures (Hors campings, hôtels, résidences et établissement avec bassin intérieur) : Projets phares réno : vestiaires, douches, sanitaires publics, réhabilitation énergétique et reprise des ambiances humides.</t>
  </si>
  <si>
    <t>Grands stades avec tribunes
(Type football/rugby)  / Stades (Type athlétisme - Hors scolaire) / Terrains de sport (Hors scolaire) / Hippodromes : Projets phares neuf : gymnases, stades reconfigurés, équipements de proximité, tribunes et vestiaires associés.
Piscines extérieures (Hors campings, hôtels, résidences et établissement avec bassin intérieur) : Projets phares neuf : piscines structurantes, centres aquatiques, bassins extérieurs reconstruits ou complétés.</t>
  </si>
  <si>
    <t>Grands stades avec tribunes (Type football/rugby)  / Stades (Type athlétisme - Hors scolaire) / Terrains de sport (Hors scolaire) / Hippodromes : Dynamique réno 2026-2030 : élevée, car le sanitaire sportif s’use vite et reste visible pour les usagers.
Piscines extérieures (Hors campings, hôtels, résidences et établissement avec bassin intérieur) : Dynamique réno 2026-2030 : très forte, car les piscines concentrent à la fois besoin de rénovation énergétique et renouvellement sanitaire. Les exploitants arbitrent vite quand la qualité sanitaire pénalise la note client.</t>
  </si>
  <si>
    <t>Grands stades avec tribunes
(Type football/rugby)  / Stades 
(Type athlétisme - Hors scolaire) / Terrains de sport
(Hors scolaire) / Hippodromes : Dynamique neuf 2026-2030 : modérée ; meilleure sur les projets structurants et les territoires carencés que sur les petits équipements diffus.
Piscines extérieures 
(Hors campings, hôtels, résidences et établissement avec bassin intérieur) : Dynamique neuf 2026-2030 : réelle sur quelques sites, mais fortement filtrée par le coût global, le foncier et l’exploitation future. Le tourisme reste bien orienté, mais les décisions de construction sont plus sélectives qu’en phase de rattrapage post-Covid.</t>
  </si>
  <si>
    <t>Aires de service - Autoroutes
(Hors Aires de repos)
Aires de repos - Autoroutes
(Hors Aires de service)
Aéroports / aérogares
(&gt;1 000 passagers/an)
Gares ferroviaires et stations
Terminaux maritimes / fluviaux
Établissements flottants
Ports de plaisance / capitaineries
Stations / espaces métro équipés de toilettes publiques (minimum observé RATP)</t>
  </si>
  <si>
    <t>Variable / GA / EF</t>
  </si>
  <si>
    <t>Ensemble mixte / Ensemble multi-classements / ERP spécial / Périmètre partiel / non additif</t>
  </si>
  <si>
    <t>mixte / ERP</t>
  </si>
  <si>
    <t>Aires de service - Autoroutes
(Hors Aires de repos) : Le bâtiment de boutique/restauration se classe selon son activité dominante.
Aires de repos - Autoroutes
(Hors Aires de service) : Les bâtiments ouverts au public se classent selon leur usage.
Aéroports / aérogares
(&gt;1 000 passagers/an) : Les terminaux recevant du public relèvent d’un classement par bâtiments et usages.
Gares ferroviaires et stations : Gares et espaces d’accueil associés.
Terminaux maritimes / fluviaux : Classement selon bâtiment et activité dominante.
Établissements flottants : Établissements flottants recevant du public.
Ports de plaisance / capitaineries : Sites recevant plaisanciers et visiteurs avec sanitaires, douches et accueil ; hors simple quai sans bâtiment recevant du public.
Stations / espaces métro équipés de toilettes publiques (minimum observé RATP) : Il existe au moins 45 toilettes publiques dans les espaces RATP. Ce n'est pas un comptage national des stations de métro et les sanitaires du personnel ne sont pas quantifiés ici.</t>
  </si>
  <si>
    <t>Aires de service - Autoroutes
(Hors Aires de repos) : Station-service autoroutière ou urbaine
Aires de repos - Autoroutes
(Hors Aires de service) : Aire de repos, aire de services
Aéroports / aérogares
(&gt;1 000 passagers/an) : Terminal passagers, aérogare
Gares ferroviaires et stations : Gare SNCF, gare routière, grande station
Terminaux maritimes / fluviaux : Terminal ferry, gare fluviale
Établissements flottants : Bateau-restaurant, salle flottante
Ports de plaisance / capitaineries : Port de plaisance, capitainerie, halte fluviale équipée
Stations / espaces métro équipés de toilettes publiques (minimum observé RATP) : Station/ espace RATP équipé</t>
  </si>
  <si>
    <t>Site
Etablissement principal / Site / point équipé</t>
  </si>
  <si>
    <t>Aires de service - Autoroutes (Hors Aires de repos) : Pas de stagnation structurelle : la série évolue à la baisse sur la période 2000-2026 ; la projection prolonge cette tendance avec prudence.
Aires de repos - Autoroutes (Hors Aires de service) : Sous-espace rattaché à un site parent ; la série varie peu car elle suit un stock principal administré et non un marché autonome.
Aéroports / aérogares (&gt;1 000 passagers/an) / Terminaux maritimes / fluviaux / Établissements flottants : Faute de série nationale homogène publiée annuellement pour cette sous-catégorie, le proxy est lissé ; la faible variation reflète une prudence méthodologique.
Gares ferroviaires et stations : Le parc national de gares voyageurs varie peu ; la stabilité reflète un stock d’infrastructures lourdes dont les évolutions nettes sont limitées.</t>
  </si>
  <si>
    <t>BPE 2024 stations-service.; Dynamique projetée 2027-2030: baisse lente.; Fiabilité: bonne.; Risque de doublon: oui si addition avec la catégorie parente ou avec des sous-espaces d’un même site.; proxy aires de repos et de services sur réseaux concédés.; Dynamique projetée 2027-2030: stable.</t>
  </si>
  <si>
    <t>https://www.insee.fr/fr/statistiques/8610258?geo=FE-1
https://www.autoroutes.fr/fr/aires-de-services/
https://www.ecologie.gouv.fr/aviation-commerciale
https://www.groupe-sncf.com/fr/groupe/portrait-entreprise/groupe-societes/sncf-gares-et-connexions/frequentation-gare
https://www.ecologie.gouv.fr/transports-maritime
https://www.legifrance.gouv.fr/codes/section_lc/JORFTEXT000000290033/LEGISCTA000020303822/</t>
  </si>
  <si>
    <t>Aires de service - Autoroutes
(Hors Aires de repos) : Aire de service : bloc voyageurs + personnel/restauration.
Aires de repos - Autoroutes
(Hors Aires de service) : Aire de repos : batteries publiques seulement.
Aéroports / aérogares
(&gt;1 000 passagers/an) : Aérogare : blocs publics par zone + personnel ; hors salons privatifs.
Gares ferroviaires et stations : Gare/station : sanitaires publics et agents.
Terminaux maritimes / fluviaux : Terminal maritime/fluvial : blocs publics + personnel d'exploitation.
Établissements flottants : Bateau-restaurant / salle flottante : sanitaires communs passagers + équipage.
Ports de plaisance / capitaineries : Piscine de plein air : vestiaires humides séparés et douches collectives ; cabines individuelles non comptées.
Stations / espaces métro équipés de toilettes publiques (minimum observé RATP) : Sanitaire public autonome type bloc urbain ; dimension minimale &gt;5 usagers cumulés.</t>
  </si>
  <si>
    <t>Aires de service - Autoroutes
(Hors Aires de repos) : Capacité type ≈ 66 usagers principaux + 8 staff + 6 chauffeurs accompagnants/prestataires. Le programme sanitaire est construit par blocs fonctionnels plausibles (public, personnel, exploitation/hébergement selon le cas) et non par simple ratio national moyen. Calibrage selon capacité simultanée, répartition de flux et organisation réelle du site.
Aires de repos - Autoroutes
(Hors Aires de service) : Capacité type ≈ 492 usagers principaux + 60 staff + 48 chauffeurs accompagnants/prestataires. Le programme sanitaire est construit par blocs fonctionnels plausibles (public, personnel, exploitation/hébergement selon le cas) et non par simple ratio national moyen. Calibrage selon capacité simultanée, répartition de flux et organisation réelle du site.
Aéroports / aérogares
(&gt;1 000 passagers/an) : Capacité type ≈ 2870 usagers principaux + 350 staff + 280 agents/visiteurs techniques. Le programme sanitaire est construit par blocs fonctionnels plausibles (public, personnel, exploitation/hébergement selon le cas) et non par simple ratio national moyen. Calibrage selon capacité simultanée, répartition de flux et organisation réelle du site.
Gares ferroviaires et stations : Capacité type ≈ 820 usagers principaux + 100 staff + 80 accompagnants/intervenants. Le programme sanitaire est construit par blocs fonctionnels plausibles (public, personnel, exploitation/hébergement selon le cas) et non par simple ratio national moyen. Calibrage selon capacité simultanée, répartition de flux et organisation réelle du site.
Terminaux maritimes / fluviaux : Capacité type ≈ 984 usagers principaux + 120 staff + 96 visiteurs techniques/prestataires. Le programme sanitaire est construit par blocs fonctionnels plausibles (public, personnel, exploitation/hébergement selon le cas) et non par simple ratio national moyen. Calibrage selon capacité simultanée, répartition de flux et organisation réelle du site.
Établissements flottants : Capacité type ≈ 98 usagers principaux + 12 staff + 10 visiteurs techniques/prestataires. Le programme sanitaire est construit par blocs fonctionnels plausibles (public, personnel, exploitation/hébergement selon le cas) et non par simple ratio national moyen. Calibrage selon capacité simultanée, répartition de flux et organisation réelle du site.
Ports de plaisance / capitaineries : Capacité type ≈ 504 sportifs/usagers + 60 staff + 36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Stations / espaces métro équipés de toilettes publiques (minimum observé RATP) : Capacité type ≈ 6 usagers principaux + 0 staff + 0 familles/intervenants. Le programme sanitaire est construit par blocs fonctionnels plausibles (public, personnel, exploitation/hébergement selon le cas) et non par simple ratio national moyen. Calibrage selon capacité simultanée, répartition de flux et organisation réelle du site.</t>
  </si>
  <si>
    <t>Code du travail (sanitaires et vestiaires staff) + programmation ERP/usages d'exploitation ; source de comptage propre à la ligne en col. AP.
Ministère des Sports, réglementation des équipements sportifs : https://www.sports.gouv.fr/reglementation-federale-des-equipements-sportifs-845 ; + Code du travail pour vestiaires collectifs et sanitaires staff.</t>
  </si>
  <si>
    <t>Aires de service - Autoroutes (Hors Aires de repos) : Très forte fréquentation, usage anonyme, nettoyage intensif et vandalisme tangible. Les temporisés mécaniques et chasses directes mécaniques gardent l'avantage réel. L'électronique est limitée surtout par capteurs, piles/secteur et interventions plus lourdes. Les remplacements sont souvent planifiés par campagne de remise à niveau des sanitaires. Commerce / transport / parkings / sanitaires publics très intensifs : Très forte fréquentation, disponibilité immédiate requise, vandalisme et coûts d’exploitation élevés. La temporisation mécanique et la chasse directe sont favorisées.
Aires de repos - Autoroutes (Hors Aires de service) / Aéroports / aérogares (&gt;1 000 passagers/an) / Gares ferroviaires et stations : Fréquentation élevée et quasi continue, avec exigence de disponibilité permanente. Les durées restent légèrement supérieures aux aires d'autoroute mais inférieures aux bureaux. Le mécanique simple garde un avantage structurel. Les remplacements sont souvent pilotés par zone terminale ou batterie sanitaire. Commerce / transport / parkings / sanitaires publics très intensifs : Très forte fréquentation, disponibilité immédiate requise, vandalisme et coûts d’exploitation élevés. La temporisation mécanique et la chasse directe sont favorisées.
Terminaux maritimes / fluviaux : Usage diffus, entretien régulier et qualité de finition plus élevée que dans les ERP de transit. Les durées de vie sont donc au-dessus de la moyenne. L'électronique reste plus courte si elle existe, surtout hors contrats de maintenance dédiés. Le remplacement se fait souvent par chambre ou par lot lors des rénovations d'étage. Sites saisonniers / montagne / camping / flottants : Moins de cycles annuels mais conditions climatiques/corrosives, hivernage et remises en service. maintenance concentrée et hétérogène.
Établissements flottants : Usage de transit, humidité variable et maintenance plutôt réactive. Les valeurs sont proches des ERP de passage : mécaniques simples devant, électronique en retrait modéré. Rénovation souvent couplée aux remises en état de sûreté, ventilation ou éclairage du parc. Commerce / transport / parkings / sanitaires publics très intensifs : Très forte fréquentation, disponibilité immédiate requise, vandalisme et coûts d’exploitation élevés. La temporisation mécanique et la chasse directe sont favorisées.</t>
  </si>
  <si>
    <t>Aires de service - Autoroutes (Hors Aires de repos) : Dans les aires de service, l’électronique est déjà élevée sur les lavabos publics, mais le temporisé mécanique reste très présent dans le stock.
Aires de repos - Autoroutes (Hors Aires de service) : Les aires de repos ont un parc public déjà assez modernisé, mais encore partagé entre temporisé mécanique, électronique et mitigeurs simples.
Aéroports / aérogares (&gt;1 000 passagers/an) : Les aéroports sont l’un des segments les plus avancés en électronique sur le parc existant, sans faire totalement disparaître le temporisé mécanique sur les zones secondaires.
Gares ferroviaires et stations : Les gares ont déjà largement modernisé leurs sanitaires, mais le parc existant reste plus mixte que les aéroports : électronique forte, temporisé encore bien présent.
Terminaux maritimes / fluviaux : Les terminaux maritimes/fluviaux ont un parc un peu moins standardisé que les aéroports/gares, avec une part plus forte d’équipements spécifiques ou anciens.
Établissements flottants : Les établissements flottants conservent une base importante de mitigeurs, avec davantage d’équipements spécifiques ou compacts classés en 'autres'.</t>
  </si>
  <si>
    <t>Aires de service - Autoroutes (Hors Aires de repos) / Aires de repos - Autoroutes (Hors Aires de service) / Aéroports / aérogares (&gt;1 000 passagers/an) / Gares ferroviaires et stations / Terminaux maritimes / fluviaux / Établissements flottants : Transport et stationnement voient une montée plus rapide de l’électronique 2025-2030 pour l’hygiène, l’image et l’exploitation ; le temporisé reste présent mais recule un peu dans les sites modernisés.</t>
  </si>
  <si>
    <t>Aires de service - Autoroutes (Hors Aires de repos) : Les rares douches du parc existant restent majoritairement à mitigeur/thermostatique, la temporisation venant ensuite.
Aires de repos - Autoroutes (Hors Aires de service) / Établissements flottants : Sans objet.
Aéroports / aérogares (&gt;1 000 passagers/an) : Les douches éventuelles restent mixtes entre mitigeur/temporisé et électronique dans les zones premium ou équipages.
Gares ferroviaires et stations : Les rares douches restent mixtes entre manuelles/temporisées et quelques équipements électroniques.
Terminaux maritimes / fluviaux : Les rares douches restent mixtes entre mitigeur, temporisé et électronique.</t>
  </si>
  <si>
    <t>Aires de service - Autoroutes (Hors Aires de repos) / Aires de repos - Autoroutes (Hors Aires de service) / Aéroports / aérogares (&gt;1 000 passagers/an) / Gares ferroviaires et stations / Terminaux maritimes / fluviaux / Établissements flottants : Quand des douches existent, elles suivent une trajectoire de rénovation lente ; le mix reste surtout mécanique.</t>
  </si>
  <si>
    <t>Aires de service - Autoroutes (Hors Aires de repos) : Les urinoirs automatiques sont très présents sur ce segment, sans avoir totalement remplacé le parc mécanique/direct.
Aires de repos - Autoroutes (Hors Aires de service) : L’automatique est fréquent, mais le parc existant conserve encore beaucoup de chasses directes et quelques collectifs.
Aéroports / aérogares (&gt;1 000 passagers/an) : L’automatique domine très nettement le parc d’urinoirs d’aéroport.
Gares ferroviaires et stations : L’automatique est déjà majoritaire sur beaucoup de grandes gares, sans avoir effacé le parc mécanique/direct.
Terminaux maritimes / fluviaux : Le parc d’urinoirs est partagé entre automatique et direct mécanique.
Établissements flottants : Le parc d’urinoirs reste très hétérogène entre classique, automatique et quelques collectifs.</t>
  </si>
  <si>
    <t>Aires de service - Autoroutes (Hors Aires de repos) / Aires de repos - Autoroutes (Hors Aires de service) / Aéroports / aérogares (&gt;1 000 passagers/an) / Gares ferroviaires et stations / Terminaux maritimes / fluviaux / Établissements flottants : Dans transport/stationnement, l’automatique progresse rapidement sur les sites rénovés ou premium, avec recul net des réservoirs.</t>
  </si>
  <si>
    <t>Aires de service - Autoroutes (Hors Aires de repos) : La chasse directe domine les sanitaires publics d’aires de service, avec une part d’électronique déjà notable.
Aires de repos - Autoroutes (Hors Aires de service) : La chasse directe domine légèrement, avec une part d’électronique plus élevée que dans la moyenne des ERP.
Aéroports / aérogares (&gt;1 000 passagers/an) : La chasse directe domine, avec une part d’électronique élevée sur les sanitaires publics récents.
Gares ferroviaires et stations : La chasse directe domine, avec une électronique déjà importante dans les ensembles rénovés.
Terminaux maritimes / fluviaux : La chasse directe domine, mais le réservoir reste plus présent que dans l’aérien.
Établissements flottants : Le réservoir reste majoritaire sur le parc existant, la chasse directe restant secondaire.</t>
  </si>
  <si>
    <t>Aires de service - Autoroutes
(Hors Aires de repos) / Aires de repos - Autoroutes
(Hors Aires de service) / Aéroports / aérogares
(&gt;1 000 passagers/an) / Gares ferroviaires et stations / Terminaux maritimes / fluviaux / Établissements flottants : Transport et stationnement accélèrent la montée du direct puis de l’électronique sur les sites modernisés ; le réservoir recule franchement.</t>
  </si>
  <si>
    <t>Aires de service - Autoroutes (Hors Aires de repos) / Aires de repos - Autoroutes (Hors Aires de service) : Potentiel rénovation élevé : sanitaires très intensifs, disponibilité impérative et requalification commerciale/exploitation soutiennent le remplacement. Les volumes restent d’abord tirés par les WC et les lavabos, plus que par les postes spécialisés. En rénovation, l’achat reste orienté vers des produits robustes, anti-vandalisme et simples à maintenir en site occupé.
Aéroports / aérogares (&gt;1 000 passagers/an) : Potentiel rénovation élevé : flux voyageurs, exigence de qualité d’accueil et travaux de modernisation soutiennent un flux régulier. Les lavabos et les WC portent l’essentiel des volumes, avec un poids secondaire des équipements spécialisés. En rénovation, le marché reste favorable aux gammes robustes et simples d’entretien, compatibles avec des chantiers par tranches et des budgets contraints.
Gares ferroviaires et stations : Potentiel rénovation très élevé : flux voyageurs, exigence de qualité d’accueil et travaux de modernisation soutiennent un flux régulier. Les lavabos et les WC portent l’essentiel des volumes, avec un poids secondaire des équipements spécialisés. En rénovation, le marché reste favorable aux gammes robustes et simples d’entretien, compatibles avec des chantiers par tranches et des budgets contraints.
Terminaux maritimes / fluviaux : Potentiel rénovation élevé : flux voyageurs, exigence de qualité d’accueil et travaux de modernisation soutiennent un flux régulier. Les volumes restent d’abord tirés par les WC et les lavabos, plus que par les postes spécialisés. En rénovation, le marché reste favorable aux gammes robustes et simples d’entretien, compatibles avec des chantiers par tranches et des budgets contraints.
Établissements flottants : Potentiel rénovation moyen à soutenu : contraintes d’exploitation, humidité et cycles techniques imposent des remplacements réguliers. Les volumes restent d’abord tirés par les WC et les lavabos, plus que par les postes spécialisés. En rénovation, les maîtres d’ouvrage privilégient des références robustes, vite posées et faciles à maintenir dans des ambiances humides.</t>
  </si>
  <si>
    <t>Aires de service - Autoroutes (Hors Aires de repos) / Aires de repos - Autoroutes (Hors Aires de service) : Potentiel neuf faible à moyen : davantage lié à des reconfigurations ou extensions d’aires qu’à une vraie croissance de sites. Le neuf est très minoritaire et opportuniste.
Aéroports / aérogares (&gt;1 000 passagers/an) / Gares ferroviaires et stations : Potentiel neuf faible : lumpy et concentré sur quelques grands nœuds, extensions et reconfigurations. Le neuf est quasi nul dans le modèle et renvoie surtout à des reconstructions ou remplacements de sites.
Terminaux maritimes / fluviaux : Potentiel neuf moyen : lumpy et concentré sur quelques grands nœuds, extensions et reconfigurations. Le neuf est significatif mais encore nettement inférieur à la rénovation.
Établissements flottants : Potentiel neuf moyen : dépendant d’opérateurs privés et de projets spécifiques ; le neuf est significatif mais encore nettement inférieur à la rénovation.</t>
  </si>
  <si>
    <t>Aires de service - Autoroutes
(Hors Aires de repos) / Aires de repos - Autoroutes
(Hors Aires de service) : Projets phares réno : blocs sanitaires voyageurs, PMR, modernisation d’image et optimisation d’exploitation.
Aéroports / aérogares (&gt;1 000 passagers/an) / Gares ferroviaires et stations / Terminaux maritimes / fluviaux : Projets phares réno : sanitaires voyageurs, blocs PMR, halls, zones d’attente, espaces public/personnel.
Établissements flottants : Projets phares réno : sanitaires passagers/personnel, douches et remises à niveau d’unités flottantes.</t>
  </si>
  <si>
    <t>Aires de service - Autoroutes (Hors Aires de repos) / Aires de repos - Autoroutes (Hors Aires de service) : Projets phares neuf : nouvelles aires ou extensions, reconstruction de bâtiments services, ajouts de blocs sur sites reconfigurés.
Aéroports / aérogares (&gt;1 000 passagers/an) / Gares ferroviaires et stations / Terminaux maritimes / fluviaux : Projets phares neuf : extensions d’aérogares, gares restructurées, terminaux neufs ou réaménagés avec nouvelles surfaces.
Établissements flottants : Projets phares neuf : bateaux/hubs flottants, péniches événementielles ou de restauration, renouvellement de flotte.</t>
  </si>
  <si>
    <t>Aires de service - Autoroutes (Hors Aires de repos) / Aires de repos - Autoroutes (Hors Aires de service) : Dynamique réno 2026-2030 : élevée et défensive, car la fréquentation rend le remplacement difficilement reportable. Les concessionnaires privilégient en général des solutions robustes, standardisées et faciles à maintenir.
Aéroports / aérogares (&gt;1 000 passagers/an) / Gares ferroviaires et stations / Terminaux maritimes / fluviaux : Dynamique réno 2026-2030 : soutenue, car la qualité perçue des sanitaires est directement visible dans l’expérience passager.
Établissements flottants : Dynamique réno 2026-2030 : régulière, tirée par l’entretien technique et l’exploitation.</t>
  </si>
  <si>
    <t>Aires de service - Autoroutes
(Hors Aires de repos) / Aires de repos - Autoroutes
(Hors Aires de service) : Dynamique neuf 2026-2030 : modérée et concentrée sur les programmes concessionnaires les plus structurants.
Aéroports / aérogares
(&gt;1 000 passagers/an) : Dynamique neuf 2026-2030 : modérée ; quelques grands projets font le marché, mais le flux reste irrégulier. Les opérations sont concentrées sur peu d’actifs mais peuvent générer de gros volumes à l’unité.
Gares ferroviaires et stations / Terminaux maritimes / fluviaux : Dynamique neuf 2026-2030 : modérée ; quelques grands projets font le marché, mais le flux reste irrégulier.
Établissements flottants : Dynamique neuf 2026-2030 : opportuniste, plus sensible au tourisme et à l’investissement privé qu’aux programmes publics.</t>
  </si>
  <si>
    <t>Stationnement</t>
  </si>
  <si>
    <t>Parcs de stationnement couverts</t>
  </si>
  <si>
    <t>Parcs de stationnement couverts : Parkings couverts recevant du public.</t>
  </si>
  <si>
    <t>Parcs de stationnement couverts : Parking silo couvert</t>
  </si>
  <si>
    <t>Parcs de stationnement couverts : Pas de stagnation structurelle : la série évolue à la hausse sur la période 2000-2026 ; la projection prolonge cette tendance avec prudence.</t>
  </si>
  <si>
    <t>proxy parkings couverts publics/commerciaux. Dynamique projetée 2027-2030: hausse légère. Fiabilité: moyenne</t>
  </si>
  <si>
    <t>Parcs de stationnement couverts : Parking couvert : petit bloc usagers/surveillance.</t>
  </si>
  <si>
    <t>Parcs de stationnement couverts : Capacité type ≈ 180 usagers principaux + 22 staff + 18 visiteurs techniques/prestataires. Le programme sanitaire est construit par blocs fonctionnels plausibles (public, personnel, exploitation/hébergement selon le cas) et non par simple ratio national moyen. Calibrage selon capacité simultanée, répartition de flux et organisation réelle du site.</t>
  </si>
  <si>
    <t>Parcs de stationnement couverts : Usage professionnel soutenu, zones dures, risque de chocs et d'actes de dégradation supérieur à la moyenne. Les temporisés mécaniques et chasses directes mécaniques restent privilégiés car plus robustes et plus faciles à maintenir. L'électronique est gardée plus courte en milieu contraint. Les remplacements se font à la panne puis par lots lors des reprises de zones sécurisées ou d'accueil. Sécurité / police / militaire : Usage mixte agents/public, recherche de robustesse, interventions maintenues en exploitation, parc hétérogène avec une partie rénovée par opérations ciblées.</t>
  </si>
  <si>
    <t>Parcs de stationnement couverts : Dans les parkings couverts, le parc commun reste d’abord temporisé ou électronique, le mitigeur simple étant minoritaire.</t>
  </si>
  <si>
    <t>Parcs de stationnement couverts : Transport et stationnement voient une montée plus rapide de l’électronique 2025-2030 pour l’hygiène, l’image et l’exploitation ; le temporisé reste présent mais recule un peu dans les sites modernisés.</t>
  </si>
  <si>
    <t>Parcs de stationnement couverts : Sans objet.</t>
  </si>
  <si>
    <t>Parcs de stationnement couverts : Quand des douches existent, elles suivent une trajectoire de rénovation lente ; le mix reste surtout mécanique.</t>
  </si>
  <si>
    <t>Parcs de stationnement couverts : L’automatique est déjà importante, mais le parc mécanique/direct reste encore conséquent.</t>
  </si>
  <si>
    <t>Parcs de stationnement couverts : Dans transport/stationnement, l’automatique progresse rapidement sur les sites rénovés ou premium, avec recul net des réservoirs.</t>
  </si>
  <si>
    <t>Parcs de stationnement couverts : La chasse directe domine ce parc public robuste, avec une part électronique déjà visible.</t>
  </si>
  <si>
    <t>Parcs de stationnement couverts : Transport et stationnement accélèrent la montée du direct puis de l’électronique sur les sites modernisés ; le réservoir recule franchement.</t>
  </si>
  <si>
    <t>Parcs de stationnement couverts : Potentiel rénovation élevé : sanitaires en faible densité mais visibles, souvent repris avec modernisation d’accueil, sûreté et exploitation. Les lavabos et les WC portent l’essentiel des volumes, avec un poids secondaire des équipements spécialisés. En rénovation, l’achat reste orienté vers des produits robustes, anti-vandalisme et simples à maintenir en site occupé.</t>
  </si>
  <si>
    <t>Parcs de stationnement couverts : Potentiel neuf moyen : lié à quelques parkings neufs ou mixtes, mais le marché reste surtout un marché d’existant. Le neuf est réel mais secondaire.</t>
  </si>
  <si>
    <t>Parcs de stationnement couverts : Projets phares réno : sanitaires usagers/personnel, accessibilité, requalification de parkings et services associés.</t>
  </si>
  <si>
    <t>Parcs de stationnement couverts : Projets phares neuf : parkings neufs en pôles d’échanges, programmes mixtes ou grands équipements.</t>
  </si>
  <si>
    <t>Parcs de stationnement couverts : Dynamique réno 2026-2030 : moyenne à soutenue, davantage par requalification que par volume d’équipements.</t>
  </si>
  <si>
    <t>Parcs de stationnement couverts : Dynamique neuf 2026-2030 : modérée et sélective, avec dépendance forte aux grands projets urbains.</t>
  </si>
  <si>
    <t>Parkings couverts : sanitaire utilitaire à très forte contrainte d’entretien et de vandalisme, peu propice au premium.</t>
  </si>
  <si>
    <t>Locaux de sûreté, garde à vue et zones opérationnelles
Postes de proximité et antennes avec accueil public
Salles de réunion, de prévention ou de conférence ouvertes au public</t>
  </si>
  <si>
    <t>Variable / W</t>
  </si>
  <si>
    <t>Hors ERP autonome / accès contrôlé / ERP / ERP / variable</t>
  </si>
  <si>
    <t>Locaux de sûreté, garde à vue et zones opérationnelles : Les zones de sûreté, d’enquête ou de garde à vue ne constituent pas un type ERP autonome lorsqu’elles ne sont pas ouvertes au public.
Postes de proximité et antennes avec accueil public : Les antennes ou postes assurant un accueil administratif du public relèvent du type W.
Salles de réunion, de prévention ou de conférence ouvertes au public : Si ces locaux accueillent réunions publiques, conférences ou actions de prévention, ils peuvent relever de L ; sinon ils restent rattachés à W selon l’usage dominant.</t>
  </si>
  <si>
    <t>Locaux de sûreté, garde à vue et zones opérationnelles : Locaux de garde à vue, salles opérationnelles, armurerie, zone technique
Postes de proximité et antennes avec accueil public : Poste de police de quartier, antenne de police municipale
Salles de réunion, de prévention ou de conférence ouvertes au public : Salle de réunion publique, salle de prévention, salle de conférence</t>
  </si>
  <si>
    <t>Locaux de sûreté, garde à vue et zones opérationnelles / Salles de réunion, de prévention ou de conférence ouvertes au public : Sous-espace rattaché à un site parent ; la série varie peu car elle suit un stock principal administré et non un marché autonome.
Postes de proximité et antennes avec accueil public : Pas de stagnation structurelle : la série évolue à la baisse sur la période 2000-2026 ; la projection prolonge cette tendance avec prudence.</t>
  </si>
  <si>
    <t>Sous-espace rattaché aux commissariats; projection alignée sur le parc de sites police ouverts au public. Fiabilité: moyenne; Proxy prudent sur les antennes de proximité; projection légèrement baissière par rationalisation du maillage. Fiabilité: moyenne; Sous-espace non additif; projection maintenue quasi stable par prudence. Fiabilité: moyenne</t>
  </si>
  <si>
    <t>Locaux de sûreté, garde à vue et zones opérationnelles : Commissariat complet : sanitaires staff/opérationnels + garde à vue/visiteurs, hors cellules individuelles.
Postes de proximité et antennes avec accueil public : Antenne de proximité : un bloc accueil et un bloc personnel.
Salles de réunion, de prévention ou de conférence ouvertes au public : Salle ouverte au public : sanitaire public + équipe.</t>
  </si>
  <si>
    <t>Locaux de sûreté, garde à vue et zones opérationnelles : Capacité type ≈ 8 présents principaux + 28 staff + 4 familles/intervenants. Programme mixte police : accueil public, locaux opérationnels et personnels ; pas de simple ratio public, mais noyaux par zone fonctionnelle. Calibrage selon capacité simultanée, répartition de flux et organisation réelle du site.
Postes de proximité et antennes avec accueil public : Capacité type ≈ 14 présents principaux + 22 staff + 4 visiteurs/intervenants. Programme mixte police : accueil public, locaux opérationnels et personnels ; pas de simple ratio public, mais noyaux par zone fonctionnelle. Calibrage selon capacité simultanée, répartition de flux et organisation réelle du site.
Salles de réunion, de prévention ou de conférence ouvertes au public : Capacité type ≈ 27 présents principaux + 18 staff + 5 visiteurs/prestataires. Programme mixte police : accueil public, locaux opérationnels et personnels ; pas de simple ratio public, mais noyaux par zone fonctionnelle. Calibrage selon capacité simultanée, répartition de flux et organisation réelle du site.</t>
  </si>
  <si>
    <t>https://www.justice.gouv.fr/actualites/espace-presse/plan-encellulement-individuel-0
https://www.cglpl.fr/publications/avis-relatif-a-lencellulement-individuel-dans-les-etablissements-penitentiaires</t>
  </si>
  <si>
    <t>Locaux de sûreté, garde à vue et zones opérationnelles / Postes de proximité et antennes avec accueil public : Usage professionnel soutenu, zones dures, risque de chocs et d'actes de dégradation supérieur à la moyenne. Les temporisés mécaniques et chasses directes mécaniques restent privilégiés car plus robustes et plus faciles à maintenir. L'électronique est gardée plus courte en milieu contraint. Les remplacements se font à la panne puis par lots lors des reprises de zones sécurisées ou d'accueil. Sécurité / police / militaire : Usage mixte agents/public, recherche de robustesse, interventions maintenues en exploitation, parc hétérogène avec une partie rénovée par opérations ciblées.
Salles de réunion, de prévention ou de conférence ouvertes au public : Maintenance technique présente mais usage hétérogène selon que l'on parle d'hébergement, de sport ou d'accueil public. Les durées sont intermédiaires : au-dessus du transport, en dessous du bureau. Les remplacements se font souvent par casernement, bâtiment ou opération de rénovation planifiée. Sécurité / police / militaire : Usage mixte agents/public, recherche de robustesse, interventions maintenues en exploitation, parc hétérogène avec une partie rénovée par opérations ciblées.</t>
  </si>
  <si>
    <t>Locaux de sûreté, garde à vue et zones opérationnelles : Dans les zones de sûreté/police, le parc combine équipements robustes de collectivité et matériels sécurisés/antivandalisme, d’où une part d’'autres' plus élevée.
Postes de proximité et antennes avec accueil public : Dans les postes de proximité, le parc est plus proche d’un petit tertiaire/public : le mitigeur reste majoritaire, avec un peu d’électronique sur les rénovations.
Salles de réunion, de prévention ou de conférence ouvertes au public : Dans les salles de réunion/prévention/conférence de la police, le parc suit une logique tertiaire/public modernisée, avec une part élevée d’électronique.</t>
  </si>
  <si>
    <t>Locaux de sûreté, garde à vue et zones opérationnelles / Postes de proximité et antennes avec accueil public / Salles de réunion, de prévention ou de conférence ouvertes au public : Dans les sites de sûreté/forces armées, l’évolution reste graduelle : un peu plus d’électronique dans les zones publiques et tertiaires, mais forte inertie du parc robuste.</t>
  </si>
  <si>
    <t>Locaux de sûreté, garde à vue et zones opérationnelles : Les douches restent principalement temporisées mécaniques sur ce parc robuste.
Postes de proximité et antennes avec accueil public / Salles de réunion, de prévention ou de conférence ouvertes au public : Sans objet.</t>
  </si>
  <si>
    <t>Locaux de sûreté, garde à vue et zones opérationnelles / Postes de proximité et antennes avec accueil public / Salles de réunion, de prévention ou de conférence ouvertes au public : Évolution lente et prudente : un peu plus d’électronique dans certaines rénovations, sans remise en cause du socle mécanique.</t>
  </si>
  <si>
    <t>Locaux de sûreté, garde à vue et zones opérationnelles : Le parc d’urinoirs reste très classique, avec un poids important des solutions collectives/renforcées.
Postes de proximité et antennes avec accueil public : Les urinoirs relèvent surtout de solutions classiques.
Salles de réunion, de prévention ou de conférence ouvertes au public : L’automatique progresse mais coexiste encore avec le parc classique.</t>
  </si>
  <si>
    <t>Locaux de sûreté, garde à vue et zones opérationnelles / Postes de proximité et antennes avec accueil public / Salles de réunion, de prévention ou de conférence ouvertes au public : Évolution maîtrisée : la robustesse garde du poids, le mécanique reste fort et l’automatique progresse surtout dans les zones publiques.</t>
  </si>
  <si>
    <t>Locaux de sûreté, garde à vue et zones opérationnelles : La chasse directe est majoritaire dans les zones les plus sollicitées, mais le réservoir reste encore présent.
Postes de proximité et antennes avec accueil public : Le réservoir reste dominant sur ce parc relativement petit.
Salles de réunion, de prévention ou de conférence ouvertes au public : Le parc WC reste mixte, l’électronique apparaissant plus souvent que dans les postes de proximité.</t>
  </si>
  <si>
    <t>Locaux de sûreté, garde à vue et zones opérationnelles / Postes de proximité et antennes avec accueil public / Salles de réunion, de prévention ou de conférence ouvertes au public : Évolution graduelle vers davantage de direct pour la robustesse ; l’électronique reste plus secondaire.</t>
  </si>
  <si>
    <t>Locaux de sûreté, garde à vue et zones opérationnelles : Potentiel rénovation moyen à soutenu : amélioration des conditions de travail et d’accueil, avec priorité aux actifs existants. Les volumes restent d’abord tirés par les WC et les lavabos, plus que par les postes spécialisés. En rénovation, l’achat reste orienté vers des produits robustes, anti-vandalisme et simples à maintenir en site occupé.
Postes de proximité et antennes avec accueil public : Potentiel rénovation moyen : amélioration des conditions de travail et d’accueil, avec priorité aux actifs existants.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
Salles de réunion, de prévention ou de conférence ouvertes au public : Potentiel rénovation moyen à soutenu : amélioration des conditions de travail et d’accueil, avec priorité aux actifs existants. Les volumes restent d’abord tirés par les WC et les lavabos, plus que par les postes spécialisés. En rénovation, le marché reste favorable aux gammes robustes et simples d’entretien, compatibles avec des chantiers par tranches et des budgets contraints.</t>
  </si>
  <si>
    <t>Locaux de sûreté, garde à vue et zones opérationnelles / Postes de proximité et antennes avec accueil public : Potentiel neuf faible : porté par la LOPMI, mais surtout sur des opérations ciblées de proximité, d’accueil et de modernisation immobilière. Le neuf est quasi nul dans le modèle et renvoie surtout à des reconstructions ou remplacements de sites.
Salles de réunion, de prévention ou de conférence ouvertes au public : Potentiel neuf faible : porté par la LOPMI, mais surtout sur des opérations ciblées de proximité, d’accueil et de modernisation immobilière. Le neuf est réel mais secondaire.</t>
  </si>
  <si>
    <t>Locaux de sûreté, garde à vue et zones opérationnelles / Postes de proximité et antennes avec accueil public / Salles de réunion, de prévention ou de conférence ouvertes au public : Projets phares réno : sanitaires agents/public, remise à niveau de locaux d’accueil, zones de sûreté et espaces support.</t>
  </si>
  <si>
    <t>Locaux de sûreté, garde à vue et zones opérationnelles / Postes de proximité et antennes avec accueil public / Salles de réunion, de prévention ou de conférence ouvertes au public : Projets phares neuf : nouveaux postes ou brigades de proximité, accueils modernisés, bâtiments adaptés aux nouvelles organisations.</t>
  </si>
  <si>
    <t>Locaux de sûreté, garde à vue et zones opérationnelles / Postes de proximité et antennes avec accueil public / Salles de réunion, de prévention ou de conférence ouvertes au public : Dynamique réno 2026-2030 : régulière et prioritaire, car l’existant concentre l’essentiel du besoin.</t>
  </si>
  <si>
    <t>Locaux de sûreté, garde à vue et zones opérationnelles / Postes de proximité et antennes avec accueil public / Salles de réunion, de prévention ou de conférence ouvertes au public : Dynamique neuf 2026-2030 : modérée ; des moyens existent, mais l’exécution dépend des arbitrages immobiliers et territoriaux.</t>
  </si>
  <si>
    <t>Unités d'hébergement des militaires &amp; réservistes
Centres de recrutement et bureaux d’information
Restaurants ou équipements sportifs ouverts au public sur emprise militaire
Hôpitaux d’instruction des armées et centres médicaux recevant du public
Salles de conférence, auditoriums et espaces événementiels ouverts au public</t>
  </si>
  <si>
    <t>Variable / W / U / L</t>
  </si>
  <si>
    <t>Souvent hors ERP autonome / accès contrôlé / ERP / ERP partiel / variable</t>
  </si>
  <si>
    <t>Unités d'hébergement des militaires &amp; réservistes : Les unités d’hébergement collectif des militaires et réservistes sont le plus souvent intégrées à une emprise militaire ; elles peuvent comporter des dortoirs, chambres collectives et sanitaires communs, sans constituer à elles seules un type ERP autonome homogène.
Centres de recrutement et bureaux d’information : Locaux administratifs recevant du public : information, orientation, recrutement, démarches.
Restaurants ou équipements sportifs ouverts au public sur emprise militaire : Lorsqu’une activité commerciale, de restauration ou sportive est ouverte au public, le classement suit l’usage dominant du local : M, N, X ou L selon le cas.
Hôpitaux d’instruction des armées et centres médicaux recevant du public : Les établissements sanitaires relevant des armées se classent comme établissements sanitaires lorsqu’ils accueillent patients, visiteurs ou consultants.
Salles de conférence, auditoriums et espaces événementiels ouverts au public : Les salles accueillant conférences, cérémonies, présentations ou réunions publiques relèvent en pratique du type L.</t>
  </si>
  <si>
    <t>Unités d'hébergement des militaires &amp; réservistes : Bâtiment d’hébergement en caserne, hébergement collectif de réservistes, bâtiment cadres célibataires
Centres de recrutement et bureaux d’information : CIRFA, bureau d’information et de recrutement
Restaurants ou équipements sportifs ouverts au public sur emprise militaire : Boutique de musée militaire, restaurant de cercle ouvert, équipement sportif accessible au public
Hôpitaux d’instruction des armées et centres médicaux recevant du public : Hôpital d’instruction des armées (HIA) , centre médical militaire (CMA)
Salles de conférence, auditoriums et espaces événementiels ouverts au public : Auditorium, salle de conférence, amphithéâtre ouvert au public</t>
  </si>
  <si>
    <t>Bâtiment
Unité Hébergement collectif / Site
Etablissement principal</t>
  </si>
  <si>
    <t>Unités d'hébergement des militaires &amp; réservistes : La série est peu mobile car elle reflète un stock administré d’unités d’hébergement collectif ; l’ancrage disponible (316 établissements militaires hébergeant collectivement en 2016) suggère une évolution graduelle plutôt qu’un marché libre très volatil.
Centres de recrutement et bureaux d’information / Restaurants ou équipements sportifs ouverts au public sur emprise militaire / Hôpitaux d’instruction des armées et centres médicaux recevant du public / Salles de conférence, auditoriums et espaces événementiels ouverts au public : Sous-espace rattaché à un site parent ; la série varie peu car elle suit un stock principal administré et non un marché autonome.</t>
  </si>
  <si>
    <t>Proxy d’unités d’hébergement collectif militaires, ancré sur 316 établissements militaires hébergeant collectivement en 2016; prolongement modéré à la hausse à partir des besoins d’hébergement et des efforts récents sur la condition militaire. Fiabilité: faible à moyenne-faible; non additif avec d’autres usages du même site.; réseau CIRFA et bureaux d’information.; Dynamique projetée 2027-2030: stable.; Fiabilité: bonne.</t>
  </si>
  <si>
    <t>https://www.defense.gouv.fr/sites/default/files/ssm/EcoDef%20140.pdf ; https://www.ccomptes.fr/fr/publications/les-conditions-dhebergement-dans-les-bases-de-defense-exercices-2011-2021
https://www.defense.gouv.fr/sga/nous-rejoindre/cirfa
https://www.defense.gouv.fr/
https://www.defense.gouv.fr/sante</t>
  </si>
  <si>
    <t>Unités d'hébergement des militaires &amp; réservistes : Hébergement militaire collectif : blocs d'étage/vestiaires, hors chambres individualisées.
Centres de recrutement et bureaux d’information : Centre de recrutement : sanitaire public + personnel.
Restaurants ou équipements sportifs ouverts au public sur emprise militaire : Restaurant classique : bloc clients + personnel, hors sanitaires de chambres.
Hôpitaux d’instruction des armées et centres médicaux recevant du public : Hôpital d'instruction des armées : blocs communs + chambres/secteurs d'hospitalisation équipés lorsqu'il existe de l'individuel.
Salles de conférence, auditoriums et espaces événementiels ouverts au public : Équipement événementiel : programme public en batterie à l'entrée et en pourtour, staff séparé.</t>
  </si>
  <si>
    <t>Unités d'hébergement des militaires &amp; réservistes : Capacité type ≈ 128 usagers principaux + 14 staff + 3 visiteurs/intervenants. Le programme sanitaire est construit par blocs fonctionnels plausibles (public, personnel, exploitation/hébergement selon le cas) et non par simple ratio national moyen. Calibrage selon capacité simultanée, répartition de flux et organisation réelle du site.
Centres de recrutement et bureaux d’information : Capacité type ≈ 19 usagers principaux + 12 staff + 4 visiteurs/intervenants. Le programme sanitaire est construit par blocs fonctionnels plausibles (public, personnel, exploitation/hébergement selon le cas) et non par simple ratio national moyen. Calibrage selon capacité simultanée, répartition de flux et organisation réelle du site.
Restaurants ou équipements sportifs ouverts au public sur emprise militaire : Capacité type ≈ 64 sportifs/usagers + 14 staff + 2 intervenants/visiteurs. Le programme inclut sanitaires publics et vestiaires sportifs séparés dès lors qu'ils accueillent au moins 5 personnes ; pour les piscines, les douches collectives sont structurelles. Calibrage selon capacité simultanée, répartition de flux et organisation réelle du site.
Hôpitaux d’instruction des armées et centres médicaux recevant du public : Capacité type ≈ 105 patients/résidents principaux + 43 staff + 32 intervenants/visiteurs.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
Salles de conférence, auditoriums et espaces événementiels ouverts au public : Capacité type ≈ 159 usagers principaux + 14 staff + 7 techniciens/prestataires. Le programme sanitaire est construit par blocs fonctionnels plausibles (public, personnel, exploitation/hébergement selon le cas) et non par simple ratio national moyen. Calibrage selon capacité simultanée, répartition de flux et organisation réelle du site.</t>
  </si>
  <si>
    <t>Code du travail (sanitaires et vestiaires staff) + programmation ERP/usages d'exploitation ; source de comptage propre à la ligne en col. AP.
Ministère des Sports, réglementation des équipements sportifs : https://www.sports.gouv.fr/reglementation-federale-des-equipements-sportifs-845 ; + Code du travail pour vestiaires collectifs et sanitaires staff.
Programmation hospitalière / médico-sociale (ANAP/CNSA) + pratique courante d'hospitalisation complète : https://anap.fr/ ; https://www.cnsa.fr/actualites/immobilier-et-ehpad-un-autodiagnostic-et-un-nouvel-outil-de-dimensionnement-surfacique</t>
  </si>
  <si>
    <t>https://www.sports.gouv.fr/reglementation-federale-des-equipements-sportifs-845
https://anap.fr/
https://www.cnsa.fr/actualites/immobilier-et-ehpad-un-autodiagnostic-et-un-nouvel-outil-de-dimensionnement-surfacique</t>
  </si>
  <si>
    <t>Unités d'hébergement des militaires &amp; réservistes : Maintenance technique présente mais usage hétérogène selon que l'on parle d'hébergement, de sport ou d'accueil public. Les durées sont intermédiaires : au-dessus du transport, en dessous du bureau. Les remplacements se font souvent par casernement, bâtiment ou opération de rénovation planifiée. Sécurité / police / militaire : Usage mixte agents/public, recherche de robustesse, interventions maintenues en exploitation, parc hétérogène avec une partie rénovée par opérations ciblées.
Centres de recrutement et bureaux d’information : Usage dense, nettoyage agressif, graisse/humidité et arbitrages économiques serrés. Les temporisés mécaniques conservent un léger avantage en robustesse sur les mitigeurs dans les sanitaires partagés. L'électronique reste plus courte en raison de l'environnement humide et de la maintenance plus opportuniste. Renouvellement surtout à la panne, puis par lot lors des refurbishments. Sécurité / police / militaire : Usage mixte agents/public, recherche de robustesse, interventions maintenues en exploitation, parc hétérogène avec une partie rénovée par opérations ciblées.
Restaurants ou équipements sportifs ouverts au public sur emprise militaire : Usage 24/7, protocoles d'hygiène, nettoyage fréquent et maintenance technique plus structurée. L'électronique est relevée par rapport aux ERP standards grâce au sans-contact et aux rinçages automatiques, mais reste sous le temporisé mécanique à cause des capteurs, alimentations et électrovannes. Les remplacements sont souvent planifiés par aile ou unité, avec correctif entre deux opérations. Santé hospitalière aiguë : Forte exigence d’hygiène, prévention légionelles, nettoyage fréquent et remplacements préventifs liés aux travaux Ségur ou à la conformité sanitaire.
Hôpitaux d’instruction des armées et centres médicaux recevant du public : Flux publics variables, budgets souvent contraints et maintenance plutôt réactive. Les écarts de durée ont été resserrés : le mécanique garde un petit avantage, l'électronique reste en retrait mais sans décote excessive. Le renouvellement intervient au fil des pannes puis lors des opérations de remise à niveau des sanitaires. Sécurité / police / militaire : Usage mixte agents/public, recherche de robustesse, interventions maintenues en exploitation, parc hétérogène avec une partie rénovée par opérations ciblées.
Salles de conférence, auditoriums et espaces événementiels ouverts au public : Usage intensif, dégradations volontaires possibles et accès maintenance plus complexe. ces facteurs raccourcissent concrètement la durée réelle. Les technos mécaniques simples sont favorisées, l'électronique restant plus courte malgré ses atouts d'hygiène. Le renouvellement intervient surtout à la panne, puis par lots dans les programmes de réhabilitation. Univers carcéral : Usage intensif, sûreté et anti-vandalisme, maintenance par l’arrière privilégiée, parc ancien mais renouvelé partiellement par le plan prison 15 000 places.</t>
  </si>
  <si>
    <t>Unités d'hébergement des militaires &amp; réservistes : Sur les unités d’hébergement collectif militaire, le parc commun combine robuste/collectivité et quelques équipements spécifiques, d’où une part d’'autres' supérieure à la moyenne.
Centres de recrutement et bureaux d’information / Restaurants ou équipements sportifs ouverts au public sur emprise militaire : Sur les espaces militaires ouverts au public, le parc se rapproche d’un ERP robuste : temporisé et mitigeur dominent, avec un peu d’électronique.
Hôpitaux d’instruction des armées et centres médicaux recevant du public : Les hôpitaux d’instruction des armées suivent une logique proche du parc hospitalier public : mitigeurs médicaux majoritaires, électronique concentrée dans les espaces communs.
Salles de conférence, auditoriums et espaces événementiels ouverts au public : Les espaces événementiels militaires ouverts au public ont un parc plus modernisé que l’hébergement collectif, avec une part élevée d’électronique.</t>
  </si>
  <si>
    <t>Unités d'hébergement des militaires &amp; réservistes / Centres de recrutement et bureaux d’information / Restaurants ou équipements sportifs ouverts au public sur emprise militaire / Hôpitaux d’instruction des armées et centres médicaux recevant du public / Salles de conférence, auditoriums et espaces événementiels ouverts au public : Dans les sites de sûreté/forces armées, l’évolution reste graduelle : un peu plus d’électronique dans les zones publiques et tertiaires, mais forte inertie du parc robuste.</t>
  </si>
  <si>
    <t>Unités d'hébergement des militaires &amp; réservistes : Les douches communes restent très majoritairement temporisées mécaniques.
Centres de recrutement et bureaux d’information / Restaurants ou équipements sportifs ouverts au public sur emprise militaire : Sans objet.
Hôpitaux d’instruction des armées et centres médicaux recevant du public : Les douches restent majoritairement à mitigeur/thermostatique.
Salles de conférence, auditoriums et espaces événementiels ouverts au public : Les rares douches restent surtout temporisées mécaniques.</t>
  </si>
  <si>
    <t>Unités d'hébergement des militaires &amp; réservistes / Centres de recrutement et bureaux d’information / Restaurants ou équipements sportifs ouverts au public sur emprise militaire / Hôpitaux d’instruction des armées et centres médicaux recevant du public / Salles de conférence, auditoriums et espaces événementiels ouverts au public : Évolution lente et prudente : un peu plus d’électronique dans certaines rénovations, sans remise en cause du socle mécanique.</t>
  </si>
  <si>
    <t>Unités d'hébergement des militaires &amp; réservistes : Les urinoirs collectifs anciens gardent un poids important dans ce parc.
Centres de recrutement et bureaux d’information / Restaurants ou équipements sportifs ouverts au public sur emprise militaire : Le parc d’urinoirs reste mixte entre mécanique/direct et quelques collectifs anciens.
Hôpitaux d’instruction des armées et centres médicaux recevant du public : Le parc d’urinoirs reste surtout classique, avec un peu d’automatique sur les zones rénovées.
Salles de conférence, auditoriums et espaces événementiels ouverts au public : L’automatique est déjà bien présente, sans être exclusive.</t>
  </si>
  <si>
    <t>Unités d'hébergement des militaires &amp; réservistes / Centres de recrutement et bureaux d’information / Restaurants ou équipements sportifs ouverts au public sur emprise militaire / Hôpitaux d’instruction des armées et centres médicaux recevant du public / Salles de conférence, auditoriums et espaces événementiels ouverts au public : Évolution maîtrisée : la robustesse garde du poids, le mécanique reste fort et l’automatique progresse surtout dans les zones publiques.</t>
  </si>
  <si>
    <t>Unités d'hébergement des militaires &amp; réservistes : La chasse directe est déjà très présente dans les blocs collectifs, mais le réservoir reste encore significatif.
Centres de recrutement et bureaux d’information / Restaurants ou équipements sportifs ouverts au public sur emprise militaire : La chasse directe domine légèrement, mais le réservoir reste important.
Hôpitaux d’instruction des armées et centres médicaux recevant du public : Le réservoir demeure majoritaire à cause des chambres et sanitaires patients.
Salles de conférence, auditoriums et espaces événementiels ouverts au public : La chasse directe domine, avec une part d’électronique non négligeable.</t>
  </si>
  <si>
    <t>Unités d'hébergement des militaires &amp; réservistes / Centres de recrutement et bureaux d’information / Restaurants ou équipements sportifs ouverts au public sur emprise militaire / Hôpitaux d’instruction des armées et centres médicaux recevant du public / Salles de conférence, auditoriums et espaces événementiels ouverts au public : Évolution graduelle vers davantage de direct pour la robustesse ; l’électronique reste plus secondaire.</t>
  </si>
  <si>
    <t>Unités d'hébergement des militaires &amp; réservistes : Potentiel rénovation moyen à soutenu : dominant sur ce périmètre, avec modernisation des installations existantes plus que création de nouveaux sites recevant du public. La douche pèse au-dessus de la moyenne, avec des contraintes d’humidité, de corrosion et d’entretien qui accélèrent le remplacement. En rénovation, le marché reste favorable aux gammes robustes et simples d’entretien, compatibles avec des chantiers par tranches et des budgets contraints.
Centres de recrutement et bureaux d’information : Potentiel rénovation moyen : dominant sur ce périmètre, avec modernisation des installations existantes plus que création de nouveaux sites recevant du public. Les urinoirs gardent un poids significatif dans les sanitaires masculins à forte rotation, en complément du couple WC/lavabos. En rénovation, le marché reste favorable aux gammes robustes et simples d’entretien, compatibles avec des chantiers par tranches et des budgets contraints.
Restaurants ou équipements sportifs ouverts au public sur emprise militaire / Salles de conférence, auditoriums et espaces événementiels ouverts au public : Potentiel rénovation moyen à soutenu : dominant sur ce périmètre, avec modernisation des installations existantes plus que création de nouveaux sites recevant du public. Les lavabos et les WC portent l’essentiel des volumes, avec un poids secondaire des équipements spécialisés. En rénovation, le marché reste favorable aux gammes robustes et simples d’entretien, compatibles avec des chantiers par tranches et des budgets contraints.
Hôpitaux d’instruction des armées et centres médicaux recevant du public : Potentiel rénovation moyen à soutenu : dominant sur ce périmètre, avec modernisation des installations existantes plus que création de nouveaux sites recevant du public. Les lavabos et les WC portent l’essentiel des volumes, avec un poids secondaire des équipements spécialisés. En rénovation, les maîtres d’ouvrage privilégient des références robustes, vite posées et faciles à maintenir dans des ambiances humides.</t>
  </si>
  <si>
    <t>Unités d'hébergement des militaires &amp; réservistes : Potentiel neuf moyen : la LPM soutient l’effort global de défense, mais le sous-périmètre ouvert au public reste secondaire et sélectif. Le neuf est significatif mais encore nettement inférieur à la rénovation.
Centres de recrutement et bureaux d’information : Potentiel neuf faible : la LPM soutient l’effort global de défense, mais le sous-périmètre ouvert au public reste secondaire et sélectif. Le neuf est réel mais secondaire.
Restaurants ou équipements sportifs ouverts au public sur emprise militaire / Hôpitaux d’instruction des armées et centres médicaux recevant du public / Salles de conférence, auditoriums et espaces événementiels ouverts au public : Potentiel neuf faible : la LPM soutient l’effort global de défense, mais le sous-périmètre ouvert au public reste secondaire et sélectif. Le neuf est quasi nul dans le modèle et renvoie surtout à des reconstructions ou remplacements de sites.</t>
  </si>
  <si>
    <t>Unités d'hébergement des militaires &amp; réservistes / Centres de recrutement et bureaux d’information / Restaurants ou équipements sportifs ouverts au public sur emprise militaire / Hôpitaux d’instruction des armées et centres médicaux recevant du public / Salles de conférence, auditoriums et espaces événementiels ouverts au public : Projets phares réno : hébergement, sanitaires public/personnel, espaces de soutien, équipements de restauration/sport ou de recrutement, remise à niveau d’accueil.</t>
  </si>
  <si>
    <t>Unités d'hébergement des militaires &amp; réservistes / Centres de recrutement et bureaux d’information / Restaurants ou équipements sportifs ouverts au public sur emprise militaire / Hôpitaux d’instruction des armées et centres médicaux recevant du public / Salles de conférence, auditoriums et espaces événementiels ouverts au public : Projets phares neuf : opérations intégrées à des programmes souverains plus larges, centres de soutien ou d’accueil restructurés avec surfaces nouvelles.</t>
  </si>
  <si>
    <t>Unités d'hébergement des militaires &amp; réservistes / Centres de recrutement et bureaux d’information / Restaurants ou équipements sportifs ouverts au public sur emprise militaire / Hôpitaux d’instruction des armées et centres médicaux recevant du public / Salles de conférence, auditoriums et espaces événementiels ouverts au public : Dynamique réno 2026-2030 : plus lisible que le neuf, car elle s’inscrit dans la modernisation des emprises et des services existants.</t>
  </si>
  <si>
    <t>Unités d'hébergement des militaires &amp; réservistes / Centres de recrutement et bureaux d’information / Restaurants ou équipements sportifs ouverts au public sur emprise militaire / Hôpitaux d’instruction des armées et centres médicaux recevant du public / Salles de conférence, auditoriums et espaces événementiels ouverts au public : Dynamique neuf 2026-2030 : faible à modérée ; l’investissement défense est élevé, mais il ne se traduit pas mécaniquement par des surfaces recevant du public dans ce sous-périmètre.</t>
  </si>
  <si>
    <t>Maisons d’arrêt
Centres de détention
Maisons centrales
Centres pénitentiaires
Centres de semi-liberté
Centres éducatifs fermés
Centres pour peines aménagées
(absorbés par autres centres carcéraux)
Unités hospitalières sécurisées</t>
  </si>
  <si>
    <t>Variable / U</t>
  </si>
  <si>
    <t>Cas particulier / accès contrôlé / ERP partiel / variable</t>
  </si>
  <si>
    <t>Maisons d’arrêt : Établissements pénitentiaires accueillant principalement des prévenus et des condamnés à courte peine. Le site n’est pas un ERP autonome homogène ; seuls les espaces recevant effectivement visiteurs, intervenants ou patients relèvent d’un classement par usage.
Centres de détention : Établissements pour condamnés à des peines plus longues, orientés vers la réinsertion. Le site n’est pas un ERP autonome homogène ; les espaces visiteurs, administratifs ou de santé se classent selon leur usage.
Maisons centrales : Établissements à haut niveau de sécurité pour longues peines. Les zones de détention relèvent d’un régime sécurisé ; seuls les espaces visiteurs, administratifs ou de soins peuvent relever d’un classement par usage.
Centres pénitentiaires : Établissements composites regroupant plusieurs quartiers ou régimes (maison d’arrêt, centre de détention, etc.). Pour un décompte par site, cette ligne est additive ; elle recoupe toutefois certaines logiques par quartier.
Centres de semi-liberté : Structures dédiées à l’exécution de peines avec régime de semi-liberté. Les espaces administratifs, de contrôle et d’accueil suivent une logique de classement par usage dominant.
Centres éducatifs fermés : Structures éducatives sécurisées pour mineurs relevant de la PJJ. Le classement dépend de l’exploitation réelle : composantes éducatives, hébergement, soins et espaces d’accueil peuvent relever de logiques proches de R, J, U ou W selon les locaux concernés.
Centres pour peines aménagées
(absorbés par autres centres carcéraux) : Établissements dédiés aux peines aménagées, à la préparation de sortie et à l’insertion. Les espaces d’accueil, de rendez-vous et de bureaux sont généralement assimilables à W.
Unités hospitalières sécurisées : Unités hospitalières sécurisées rattachées au champ sanitaire lorsqu’elles fonctionnent comme espaces de soins recevant des patients, accompagnants ou intervenants. Les zones strictement sécurisées restent à analyser séparément.</t>
  </si>
  <si>
    <t>Maisons d’arrêt : Maison d’arrêt
Centres de détention : Centre de détention
Maisons centrales : Maison centrale
Centres pénitentiaires : Centre pénitentiaire
Centres de semi-liberté : Centre de semi-liberté
Centres éducatifs fermés : CEF
Centres pour peines aménagées
(absorbés par autres centres carcéraux) : CPA
Unités hospitalières sécurisées : UHSA / UHSI</t>
  </si>
  <si>
    <t>Site
Etablissement principal / Site
Etablissement secondaire</t>
  </si>
  <si>
    <t>Centres pour peines aménagées =&gt; Sous-catégorie prochainement plus existante</t>
  </si>
  <si>
    <t>Maisons d’arrêt : Le parc de maisons d’arrêt varie peu sur la période ; les évolutions concernent surtout des restructurations et reconstructions plus que des ouvertures nettes.
Centres de détention : Le nombre de centres de détention évolue faiblement ; les transformations se font surtout par changement de statut d’établissement ou restructuration.
Maisons centrales : Le parc des maisons centrales est structurellement très limité et très stable ; la stagnation reflète la rareté de ce type d’établissement.
Centres pénitentiaires : Hausse lente liée à la modernisation du parc pénitentiaire et au regroupement de quartiers sur des sites composites.
Centres de semi-liberté : Parc restreint, évoluant lentement ; une partie des évolutions se fait par requalification ou articulation avec les centres pour peines aménagées.
Centres éducatifs fermés : Le parc a augmenté de manière graduelle puis plus rapide avec les programmes récents de création ; la série n’est pas stagnante.
Centres pour peines aménagées : Parc limité, absorbés par autres centres carcéraux.
Unités hospitalières sécurisées : Le nombre d’unités hospitalières sécurisées évolue peu ; la stagnation reflète un parc spécialisé à planification longue.</t>
  </si>
  <si>
    <t>Ancrage sur les statistiques de l’administration pénitentiaire; projection 2027-2030 prudente et stable.; Estimation encadrée sur un nombre très limité d’établissements; projection 2027-2030 stable.; Série proxy lissée à partir de la structure du parc pénitentiaire; projection 2027-2030 en légère hausse.</t>
  </si>
  <si>
    <t>https://www.justice.gouv.fr/sites/default/files/2025-02/statistique_etablissements_personnes_ecrouees_01022025.pdf
https://www.justice.gouv.fr/documentation/ressources/mission-thematique-devaluation-centres-educatifs-fermes-cef</t>
  </si>
  <si>
    <t>Maisons d’arrêt : Maison d'arrêt : cellules/chambres avec coin sanitaire individuel quand il existe + douches de promenade/sport/ateliers et locaux staff.
Centres de détention : Centre de détention : part importante de cellules/chambres équipées + douches par aile et locaux communs/staff.
Maisons centrales : Maison centrale : cellules équipées et quelques douches collectives/sectorisées, complétées par locaux communs.
Centres pénitentiaires : Centre pénitentiaire : cellules équipées + douches sectorisées + parloirs/ateliers/sport/staff.
Centres de semi-liberté : Centre de semi-liberté : chambres/cellules équipées lorsqu'elles existent + blocs communs et douches.
Centres éducatifs fermés : Centre éducatif fermé : petit internat sécurisé ; chambres et petits blocs communs, dimensionnés sans compter les cabines isolées.
Centres pour peines aménagées
(absorbés par autres centres carcéraux) : Centre pour peines aménagées : chambres/cellules équipées + blocs communs et douches de secteur.
Unités hospitalières sécurisées : Unité hospitalière sécurisée : chambres sanitaires + blocs staff/visiteurs/consultations ; approche mixte hospitalière et sécuritaire.</t>
  </si>
  <si>
    <t>Maisons d’arrêt : Capacité type ≈ 188 détenus/résidents + 50 staff + 12 visiteurs/intervenants. Le programme inclut cellules/chambres équipées quand elles existent, complétées par douches de secteur, parloirs, ateliers, sport et staff ; il ne s'agit pas d'un calcul au seul flux public. Calibrage selon capacité simultanée, répartition de flux et organisation réelle du site.
Centres de détention : Capacité type ≈ 262 détenus/résidents + 70 staff + 18 visiteurs/intervenants. Le programme inclut cellules/chambres équipées quand elles existent, complétées par douches de secteur, parloirs, ateliers, sport et staff ; il ne s'agit pas d'un calcul au seul flux public. Calibrage selon capacité simultanée, répartition de flux et organisation réelle du site.
Maisons centrales : Capacité type ≈ 150 détenus/résidents + 40 staff + 10 visiteurs/intervenants. Le programme inclut cellules/chambres équipées quand elles existent, complétées par douches de secteur, parloirs, ateliers, sport et staff ; il ne s'agit pas d'un calcul au seul flux public. Calibrage selon capacité simultanée, répartition de flux et organisation réelle du site.
Centres pénitentiaires : Capacité type ≈ 488 détenus/résidents + 130 staff + 32 avocats/visiteurs. Le programme inclut cellules/chambres équipées quand elles existent, complétées par douches de secteur, parloirs, ateliers, sport et staff ; il ne s'agit pas d'un calcul au seul flux public. Calibrage selon capacité simultanée, répartition de flux et organisation réelle du site.
Centres de semi-liberté : Capacité type ≈ 43 détenus/résidents + 14 staff + 3 visiteurs/assesseurs. Le programme inclut cellules/chambres équipées quand elles existent, complétées par douches de secteur, parloirs, ateliers, sport et staff ; il ne s'agit pas d'un calcul au seul flux public. Calibrage selon capacité simultanée, répartition de flux et organisation réelle du site.
Centres éducatifs fermés : Capacité type ≈ 8 détenus/résidents + 3 staff + 1 visiteurs/avocats. Le programme inclut cellules/chambres équipées quand elles existent, complétées par douches de secteur, parloirs, ateliers, sport et staff ; il ne s'agit pas d'un calcul au seul flux public. Calibrage selon capacité simultanée, répartition de flux et organisation réelle du site.
Centres pour peines aménagées
(absorbés par autres centres carcéraux) : Capacité type ≈ 39 détenus/résidents + 13 staff + 3 visiteurs/avocats. Le programme inclut cellules/chambres équipées quand elles existent, complétées par douches de secteur, parloirs, ateliers, sport et staff ; il ne s'agit pas d'un calcul au seul flux public. Calibrage selon capacité simultanée, répartition de flux et organisation réelle du site.
Unités hospitalières sécurisées : Capacité type ≈ 29 patients/résidents principaux + 9 staff + 2 visiteurs/assesseurs.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t>
  </si>
  <si>
    <t>Ministère de la Justice, plan encellulement individuel : https://www.justice.gouv.fr/actualites/espace-presse/plan-encellulement-individuel-0 ; CGLPL, avis relatif à l'encellulement individuel : https://www.cglpl.fr/publications/avis-relatif-a-lencellulement-individuel-dans-les-etablissements-penitentiaires ; + Code du travail pour personnels.
Programmation hospitalière / médico-sociale (ANAP/CNSA) + pratique courante d'hospitalisation complète : https://anap.fr/ ; https://www.cnsa.fr/actualites/immobilier-et-ehpad-un-autodiagnostic-et-un-nouvel-outil-de-dimensionnement-surfacique</t>
  </si>
  <si>
    <t>https://www.justice.gouv.fr/actualites/espace-presse/plan-encellulement-individuel-0
https://www.cglpl.fr/publications/avis-relatif-a-lencellulement-individuel-dans-les-etablissements-penitentiaires
https://anap.fr/
https://www.cnsa.fr/actualites/immobilier-et-ehpad-un-autodiagnostic-et-un-nouvel-outil-de-dimensionnement-surfacique</t>
  </si>
  <si>
    <t>Maisons d’arrêt / Centres de détention / Maisons centrales / Centres pénitentiaires / Centres de semi-liberté : Usage intensif, dégradations volontaires possibles et accès maintenance plus complexe. ces facteurs raccourcissent concrètement la durée réelle. Les technos mécaniques simples sont favorisées, l'électronique restant plus courte malgré ses atouts d'hygiène. Le renouvellement intervient surtout à la panne, puis par lots dans les programmes de réhabilitation. Univers carcéral : Usage intensif, sûreté et anti-vandalisme, maintenance par l’arrière privilégiée, parc ancien mais renouvelé partiellement par le plan prison 15 000 places.
Centres éducatifs fermés : Usage intensif, dégradations volontaires possibles et accès maintenance plus complexe. ces facteurs raccourcissent concrètement la durée réelle. Les technos mécaniques simples sont favorisées, l'électronique restant plus courte malgré ses atouts d'hygiène. Le renouvellement intervient surtout à la panne, puis par lots dans les programmes de réhabilitation.
Unités hospitalières sécurisées : Flux publics variables, budgets souvent contraints et maintenance plutôt réactive. Les écarts de durée ont été resserrés : le mécanique garde un petit avantage, l'électronique reste en retrait mais sans décote excessive. Le renouvellement intervient au fil des pannes puis lors des opérations de remise à niveau des sanitaires. Bureaux / administration / justice : Usage tertiaire moyen, faible vandalisme, rénovations par lots tirées par l’immobilier tertiaire, l’accessibilité et la trajectoire Éco Énergie Tertiaire.</t>
  </si>
  <si>
    <t>Maisons d’arrêt / Maisons centrales : Dans les maisons d’arrêt / maisons centrales, le parc comprend beaucoup d’équipements sécurisés/antivandalisme ou intégrés en cellule, d’où une part élevée d’'autres'.
Centres de détention / Centres pénitentiaires : Dans les centres de détention / pénitentiaires récents, la part d’équipements sécurisés reste élevée, mais le temporisé recule au profit d’ensembles plus modernes ou intégrés.
Centres de semi-liberté / Centres éducatifs fermés : Dans les structures pénitentiaires plus ouvertes (semi-liberté, CEF, peines aménagées), le parc reste sécurisé mais moins spécifique que dans le dur pénitentiaire.
Unités hospitalières sécurisées : Les unités hospitalières sécurisées mélangent logique hospitalière et sécuritaire : mitigeurs majoritaires, mais forte part d’équipements spécifiques/antivandalisme.</t>
  </si>
  <si>
    <t>Maisons d’arrêt / Centres de détention / Maisons centrales / Centres pénitentiaires / Centres de semi-liberté / Centres éducatifs fermés / Unités hospitalières sécurisées : En univers carcéral, la progression reste très prudente : la robustesse, les contraintes de sûreté et les produits spécifiques limitent drastiquement toute bascule rapide vers l’électronique.</t>
  </si>
  <si>
    <t>Maisons d’arrêt / Maisons centrales : Les douches restent très majoritairement temporisées mécaniques dans le parc pénitentiaire.
Centres de détention / Centres pénitentiaires : Les douches restent dominées par le temporisé mécanique, avec une part un peu plus élevée d’équipements récents.
Centres de semi-liberté / Centres éducatifs fermés : Les douches restent surtout temporisées mécaniques, avec davantage de mitigeurs que dans le parc fermé.
Unités hospitalières sécurisées : Les douches restent surtout temporisées mécaniques ou à mitigeur sécurisé.</t>
  </si>
  <si>
    <t>Maisons d’arrêt / Centres de détention / Maisons centrales / Centres pénitentiaires / Centres de semi-liberté / Centres éducatifs fermés / Unités hospitalières sécurisées : Progression très limitée pour des raisons de robustesse, sûreté et maintenance.</t>
  </si>
  <si>
    <t>Maisons d’arrêt / Maisons centrales : Quand des urinoirs existent, ils sont souvent collectifs sur le parc ancien.
Centres de détention / Centres pénitentiaires : Les configurations collectives restent dominantes pour les rares urinoirs présents.
Centres de semi-liberté / Centres éducatifs fermés : Le collectif reste important, mais un peu moins que dans les établissements fermés anciens.
Unités hospitalières sécurisées : Le collectif et les solutions robustes restent plus présents que dans la santé classique.</t>
  </si>
  <si>
    <t>Maisons d’arrêt / Centres de détention / Maisons centrales / Centres pénitentiaires / Centres de semi-liberté / Centres éducatifs fermés / Unités hospitalières sécurisées : Bascule très partielle : contraintes de sûreté et robustesse maintiennent le mécanique/collectif spécifique à un niveau élevé.</t>
  </si>
  <si>
    <t>Maisons d’arrêt / Maisons centrales : Le parc WC est partagé entre réservoirs robustes et chasses directes ; cette dernière progresse mais n’est pas encore majoritaire sur l’ancien stock.
Centres de détention / Centres pénitentiaires : La chasse directe devient majoritaire sur le parc le plus moderne, sans faire disparaître les réservoirs robustes.
Centres de semi-liberté / Centres éducatifs fermés : Le réservoir reste légèrement majoritaire sur le parc existant, la chasse directe venant ensuite.
Unités hospitalières sécurisées : Le réservoir reste dominant mais la chasse directe est bien représentée dans les zones les plus sollicitées.</t>
  </si>
  <si>
    <t>Maisons d’arrêt / Centres de détention / Maisons centrales / Centres pénitentiaires / Centres de semi-liberté / Centres éducatifs fermés / Unités hospitalières sécurisées : Dans l’univers carcéral, la robustesse et la sûreté favorisent d’abord le direct spécifique ; la progression de l’électronique reste limitée.</t>
  </si>
  <si>
    <t>Maisons d’arrêt / Centres de détention / Centres pénitentiaires : Potentiel rénovation élevé : fort sur un parc ancien et durci, avec besoins anti-vandalisme, sûreté et dignité d’usage. Les volumes restent d’abord tirés par les WC et les lavabos, plus que par les postes spécialisés. En rénovation, l’achat reste orienté vers des produits robustes, anti-vandalisme et simples à maintenir en site occupé.
Maisons centrales : Potentiel rénovation moyen à soutenu : fort sur un parc ancien et durci, avec besoins anti-vandalisme, sûreté et dignité d’usage. Les volumes restent d’abord tirés par les WC et les lavabos, plus que par les postes spécialisés. En rénovation, l’achat reste orienté vers des produits robustes, anti-vandalisme et simples à maintenir en site occupé.
Centres de semi-liberté : Potentiel rénovation moyen à soutenu : fort sur un parc ancien et durci, avec besoins anti-vandalisme, sûreté et dignité d’usage. Les lavabos et les WC portent l’essentiel des volumes, avec un poids secondaire des équipements spécialisés. En rénovation, l’achat reste orienté vers des produits robustes, anti-vandalisme et simples à maintenir en site occupé.
Centres éducatifs fermés : Potentiel rénovation moyen à soutenu : fort sur un parc ancien et durci, avec besoins anti-vandalisme, sûreté et dignité d’usage. Les volumes se concentrent surtout sur lavabos et douches. En rénovation, l’achat reste orienté vers des produits robustes, anti-vandalisme et simples à maintenir en site occupé.
Unités hospitalières sécurisées : Potentiel rénovation moyen à soutenu : fort sur un parc ancien et durci, avec besoins anti-vandalisme, sûreté et dignité d’usage. Les volumes se concentrent surtout sur lavabos et wc. En rénovation, l’achat reste orienté vers des produits robustes, anti-vandalisme et simples à maintenir en site occupé.</t>
  </si>
  <si>
    <t>TOUS : alimenté par le programme prison 15 000 places et les opérations judiciaires 2023-2027, avec une meilleure dynamique sur les établissements spécialisés ou récents.
Maisons d’arrêt : Potentiel neuf faible :  Le neuf est quasi nul dans le modèle et renvoie surtout à des reconstructions ou remplacements de sites. La croissance nette peut néanmoins être partiellement compensée par fermetures ou remplacements d’établissements vétustes.
Centres de détention / Maisons centrales / Centres de semi-liberté : Potentiel neuf faible : Le neuf est quasi nul dans le modèle et renvoie surtout à des reconstructions ou remplacements de sites.
Centres pénitentiaires : Potentiel neuf moyen à soutenu : Le neuf est significatif mais encore nettement inférieur à la rénovation.
Centres éducatifs fermés : Potentiel neuf moyen à soutenu : Le neuf est très soutenu et pèse réellement dans l’activité.
Unités hospitalières sécurisées : Potentiel neuf moyen : Le neuf est significatif mais encore nettement inférieur à la rénovation.</t>
  </si>
  <si>
    <t>Maisons d’arrêt / Centres de détention / Maisons centrales / Centres pénitentiaires / Centres de semi-liberté / Centres éducatifs fermés / Unités hospitalières sécurisées : Projets phares réno : cellules, sanitaires collectifs, espaces visiteurs/personnel, sécurisation et remise à niveau technique en site occupé.</t>
  </si>
  <si>
    <t>Maisons d’arrêt / Centres de détention / Maisons centrales / Centres pénitentiaires / Centres de semi-liberté / Centres éducatifs fermés / Unités hospitalières sécurisées : Projets phares neuf : nouveaux centres pénitentiaires, SAS, centres éducatifs fermés, unités hospitalières sécurisées et extensions.</t>
  </si>
  <si>
    <t>Maisons d’arrêt / Centres de détention / Maisons centrales / Centres pénitentiaires / Centres de semi-liberté / Centres éducatifs fermés / Unités hospitalières sécurisées : Dynamique réno 2026-2030 : élevée et défensive, car l’existant reste volumineux et techniquement contraint.</t>
  </si>
  <si>
    <t>Maisons d’arrêt / Centres de détention / Maisons centrales / Centres de semi-liberté / Centres éducatifs fermés / Unités hospitalières sécurisées : Dynamique neuf 2026-2030 : plus forte que dans la plupart des segments publics grâce à la programmation carcérale, tout en restant concentrée sur un nombre limité d’opérations lourdes.
Centres pénitentiaires : Dynamique neuf 2026-2030 : plus forte que dans la plupart des segments publics grâce à la programmation carcérale, tout en restant concentrée sur un nombre limité d’opérations lourdes. C’est l’un des sous-segments judiciaires où le neuf reste le plus tangible.</t>
  </si>
  <si>
    <t>Palais de justice et bâtiments judiciaires multi-usages
Maisons de justice et du droit
Tribunaux de commerce autonomes
Conseils de prud’hommes autonomes
Autres bâtiments judiciaires autonomes recevant du public</t>
  </si>
  <si>
    <t>Variable / W / W ou L</t>
  </si>
  <si>
    <t>Ensemble multi-classements / ERP</t>
  </si>
  <si>
    <t>Palais de justice et bâtiments judiciaires multi-usages : Un même bâtiment judiciaire peut regrouper des espaces de type W, des salles d’audience de type L et d’autres locaux annexes ; le classement se raisonne par usage et exploitation. Cette ligne sert de référence si l’unité de compte retenue est le site physique.
Maisons de justice et du droit : Structures de proximité recevant le public pour l’accès au droit, l’information, la médiation et certaines permanences judiciaires. Classement principalement de type W.
Tribunaux de commerce autonomes : Juridictions commerciales recevant du public dans des bâtiments autonomes. Le classement relève principalement de W, avec des composantes L si des salles d’audience dominent l’exploitation.
Conseils de prud’hommes autonomes : Juridictions prud’homales recevant du public dans des bâtiments autonomes. Le classement relève principalement de W, avec composantes L lorsque les salles d’audience ou de conciliation dominent l’exploitation.
Autres bâtiments judiciaires autonomes recevant du public : Bâtiments judiciaires autonomes recevant du public hors palais de justice multi-usages ; ils accueillent des fonctions administratives, de médiation, de conciliation ou d’audience. Classement principalement W ou L selon l’usage dominant.</t>
  </si>
  <si>
    <t>Palais de justice et bâtiments judiciaires multi-usages : Palais de justice
Maisons de justice et du droit : MJD
Tribunaux de commerce autonomes : Tribunal de commerce
Conseils de prud’hommes autonomes : Conseil de prud’hommes
Autres bâtiments judiciaires autonomes recevant du public : Bâtiment judiciaire autonome</t>
  </si>
  <si>
    <t>Site
Bâtiment principal / Site
Etablissement principal</t>
  </si>
  <si>
    <t>Palais de justice et bâtiments judiciaires multi-usages : Le parc de bâtiments judiciaires évolue lentement ; la variation tient surtout aux regroupements ou relocalisations plutôt qu’aux créations nettes.
Maisons de justice et du droit : Le réseau s’est densifié puis s’est stabilisé ; la croissance récente est beaucoup plus lente qu’au début de période.
Tribunaux de commerce autonomes : Le nombre d’établissements évolue peu ; la stagnation reflète la stabilité relative de la carte des juridictions commerciales autonomes.
Conseils de prud’hommes autonomes : Le nombre de conseils de prud’hommes autonomes varie peu ; la stagnation reflète une carte prud’homale assez stable.
Autres bâtiments judiciaires autonomes recevant du public : Sous-ensemble résiduel par nature hétérogène ; sa stabilité tient davantage à la méthode de regroupement qu’à une vraie absence d’évolution du parc.</t>
  </si>
  <si>
    <t>Ancrage sur le réseau des juridictions judiciaires; projection 2027-2030 stable.; Ancrage sur les chiffres-clés de la Justice; Proxy résiduel sur bâtiments judiciaires autonomes</t>
  </si>
  <si>
    <t>Palais de justice et bâtiments judiciaires multi-usages : Palais de justice : blocs publics, magistrats/agents et locaux d'audience.
Maisons de justice et du droit : Bâtiment judiciaire : bloc public + personnel.
Tribunaux de commerce autonomes : Bâtiment judiciaire : bloc public + personnel.
Conseils de prud’hommes autonomes : Bâtiment judiciaire : bloc public + personnel.
Autres bâtiments judiciaires autonomes recevant du public : Bâtiment judiciaire : bloc public + personnel.</t>
  </si>
  <si>
    <t>Palais de justice et bâtiments judiciaires multi-usages : Capacité type ≈ 390 usagers principaux + 150 staff + 60 visiteurs/avocats. Le programme sanitaire est construit par blocs fonctionnels plausibles (public, personnel, exploitation/hébergement selon le cas) et non par simple ratio national moyen. Calibrage selon capacité simultanée, répartition de flux et organisation réelle du site.
Maisons de justice et du droit : Capacité type ≈ 52 usagers principaux + 20 staff + 8 visiteurs/avocats. Le programme sanitaire est construit par blocs fonctionnels plausibles (public, personnel, exploitation/hébergement selon le cas) et non par simple ratio national moyen. Calibrage selon capacité simultanée, répartition de flux et organisation réelle du site.
Tribunaux de commerce autonomes : Capacité type ≈ 143 usagers principaux + 55 staff + 22 visiteurs/avocats. Le programme sanitaire est construit par blocs fonctionnels plausibles (public, personnel, exploitation/hébergement selon le cas) et non par simple ratio national moyen. Calibrage selon capacité simultanée, répartition de flux et organisation réelle du site.
Conseils de prud’hommes autonomes : Capacité type ≈ 117 usagers principaux + 45 staff + 18 visiteurs/avocats. Le programme sanitaire est construit par blocs fonctionnels plausibles (public, personnel, exploitation/hébergement selon le cas) et non par simple ratio national moyen. Calibrage selon capacité simultanée, répartition de flux et organisation réelle du site.
Autres bâtiments judiciaires autonomes recevant du public : Capacité type ≈ 143 usagers principaux + 55 staff + 22 visiteurs/avocats. Le programme sanitaire est construit par blocs fonctionnels plausibles (public, personnel, exploitation/hébergement selon le cas) et non par simple ratio national moyen. Calibrage selon capacité simultanée, répartition de flux et organisation réelle du site.</t>
  </si>
  <si>
    <t>Palais de justice et bâtiments judiciaires multi-usages / Maisons de justice et du droit / Tribunaux de commerce autonomes / Conseils de prud’hommes autonomes : Flux publics variables, budgets souvent contraints et maintenance plutôt réactive. Les écarts de durée ont été resserrés : le mécanique garde un petit avantage, l'électronique reste en retrait mais sans décote excessive. Le renouvellement intervient au fil des pannes puis lors des opérations de remise à niveau des sanitaires. Bureaux / administration / justice : Usage tertiaire moyen, faible vandalisme, rénovations par lots tirées par l’immobilier tertiaire, l’accessibilité et la trajectoire Éco Énergie Tertiaire.
Autres bâtiments judiciaires autonomes recevant du public : C'est le segment le plus exposé : cycles très élevés, actes de vandalisme, humidité persistante, produits de nettoyage agressifs et maintenance souvent sous tension. Les durées sont donc les plus basses du tableau. Les temporisés mécaniques et chasses directes mécaniques conservent toutefois un net avantage réel. Les remplacements se font majoritairement par campagnes de remise en état. Commerce / transport / parkings / sanitaires publics très intensifs : Très forte fréquentation, disponibilité immédiate requise, vandalisme et coûts d’exploitation élevés. La temporisation mécanique et la chasse directe sont favorisées.</t>
  </si>
  <si>
    <t>Palais de justice et bâtiments judiciaires multi-usages : Dans les palais de justice multi-usages, l’électronique est déjà bien présente sur les grands sites, sans éliminer le mitigeur et le temporisé du parc existant.
Maisons de justice et du droit / Tribunaux de commerce autonomes / Conseils de prud’hommes autonomes / Autres bâtiments judiciaires autonomes recevant du public : Dans les bâtiments judiciaires autonomes de petite taille, le parc reste plus proche d’un petit tertiaire/public : mitigeur majoritaire, électronique secondaire.</t>
  </si>
  <si>
    <t>Palais de justice et bâtiments judiciaires multi-usages / Maisons de justice et du droit / Tribunaux de commerce autonomes / Conseils de prud’hommes autonomes / Autres bâtiments judiciaires autonomes recevant du public : Les juridictions et bâtiments judiciaires glissent progressivement vers plus d’électronique sur les rénovations, tout en conservant une part importante de solutions mécaniques robustes.</t>
  </si>
  <si>
    <t>Palais de justice et bâtiments judiciaires multi-usages / Maisons de justice et du droit / Tribunaux de commerce autonomes / Conseils de prud’hommes autonomes / Autres bâtiments judiciaires autonomes recevant du public : Sans objet.</t>
  </si>
  <si>
    <t>Palais de justice et bâtiments judiciaires multi-usages / Maisons de justice et du droit / Tribunaux de commerce autonomes / Conseils de prud’hommes autonomes / Autres bâtiments judiciaires autonomes recevant du public : Quand il existe des douches, progression modérée de l’électronique mais maintien d’un socle mécanique.</t>
  </si>
  <si>
    <t>Palais de justice et bâtiments judiciaires multi-usages : Les urinoirs automatiques progressent mais coexistent encore avec le parc classique.
Maisons de justice et du droit / Tribunaux de commerce autonomes / Conseils de prud’hommes autonomes / Autres bâtiments judiciaires autonomes recevant du public : Les rares urinoirs relèvent surtout d’un parc classique.</t>
  </si>
  <si>
    <t>Palais de justice et bâtiments judiciaires multi-usages / Maisons de justice et du droit / Tribunaux de commerce autonomes / Conseils de prud’hommes autonomes / Autres bâtiments judiciaires autonomes recevant du public : Les rénovations 2025-2030 font progresser l’automatique, sans disparition du direct mécanique.</t>
  </si>
  <si>
    <t>Palais de justice et bâtiments judiciaires multi-usages : Le parc WC est plus modernisé que dans les petits tribunaux : réservoir, chasse directe et électronique coexistent à des niveaux élevés.
Maisons de justice et du droit / Tribunaux de commerce autonomes / Conseils de prud’hommes autonomes / Autres bâtiments judiciaires autonomes recevant du public : Le réservoir reste majoritaire, la chasse directe et l’électronique étant plus ponctuelles.</t>
  </si>
  <si>
    <t>Palais de justice et bâtiments judiciaires multi-usages / Maisons de justice et du droit / Tribunaux de commerce autonomes / Conseils de prud’hommes autonomes / Autres bâtiments judiciaires autonomes recevant du public : Les juridictions et bâtiments judiciaires rénovés voient croître le direct et l’électronique, avec recul du réservoir.</t>
  </si>
  <si>
    <t>Palais de justice et bâtiments judiciaires multi-usages / Maisons de justice et du droit / Tribunaux de commerce autonomes / Conseils de prud’hommes autonomes / Autres bâtiments judiciaires autonomes recevant du public : Potentiel rénovation moyen à soutenu : accueil du public, accessibilité, sécurité et montée en effectifs tirent la modernisation des juridictions existantes. Les volumes restent d’abord tirés par les WC et les lavabos, plus que par les postes spécialisés. En rénovation, le marché reste favorable aux gammes robustes et simples d’entretien, compatibles avec des chantiers par tranches et des budgets contraints.</t>
  </si>
  <si>
    <t>Palais de justice et bâtiments judiciaires multi-usages / Tribunaux de commerce autonomes / Conseils de prud’hommes autonomes / Autres bâtiments judiciaires autonomes recevant du public : Potentiel neuf faible : quelques opérations immobilières judiciaires neuves ou extensions sont prévues, mais le flux reste sélectif. Le neuf est quasi nul dans le modèle et renvoie surtout à des reconstructions ou remplacements de sites.
Maisons de justice et du droit : Potentiel neuf faible à moyen : quelques opérations immobilières judiciaires neuves ou extensions sont prévues, mais le flux reste sélectif. Le neuf est réel mais secondaire. Les formats de petite taille rendent les tickets unitaires modestes malgré une dynamique institutionnelle réelle.</t>
  </si>
  <si>
    <t>Palais de justice et bâtiments judiciaires multi-usages / Maisons de justice et du droit / Tribunaux de commerce autonomes / Conseils de prud’hommes autonomes / Autres bâtiments judiciaires autonomes recevant du public : Projets phares réno : sanitaires public/personnel, halls d’accueil, accessibilité, sécurité et modernisation des bâtiments judiciaires.</t>
  </si>
  <si>
    <t>Palais de justice et bâtiments judiciaires multi-usages / Maisons de justice et du droit / Tribunaux de commerce autonomes / Conseils de prud’hommes autonomes / Autres bâtiments judiciaires autonomes recevant du public : Projets phares neuf : tribunaux reconstruits, maisons de justice et du droit, extensions ou nouveaux bâtiments judiciaires.</t>
  </si>
  <si>
    <t>Palais de justice et bâtiments judiciaires multi-usages / Maisons de justice et du droit / Tribunaux de commerce autonomes / Conseils de prud’hommes autonomes / Autres bâtiments judiciaires autonomes recevant du public : Dynamique réno 2026-2030 : soutenue par la programmation immobilière de la justice et l’amélioration de l’accueil des justiciables.</t>
  </si>
  <si>
    <t>Palais de justice et bâtiments judiciaires multi-usages / Maisons de justice et du droit / Tribunaux de commerce autonomes / Conseils de prud’hommes autonomes / Autres bâtiments judiciaires autonomes recevant du public : Dynamique neuf 2026-2030 : modérée ; la programmation existe, mais peu d’opérations concentrent l’essentiel des volumes.</t>
  </si>
  <si>
    <t>Toilettes publiques (sur la voie publique)
Bains-douches municipaux / douches publiques fixes
Blocs sanitaires de plage / front de mer</t>
  </si>
  <si>
    <t>Souvent équipement isolé / non type autonome / Équipement public recevant du public</t>
  </si>
  <si>
    <t>Toilettes publiques (sur la voie publique) : Pas de type ERP autonome.
Bains-douches municipaux / douches publiques fixes : Équipements dédiés à l’hygiène du public ; à distinguer des toilettes publiques simples déjà comptées séparément.
Blocs sanitaires de plage / front de mer : Installations fixes de WC et douches sur plages aménagées ou fronts de mer ; hors sanitaires déjà inclus dans un camping, un port ou une base de loisirs comptée par ailleurs.</t>
  </si>
  <si>
    <t>Toilettes publiques (sur la voie publique) : Sanisette, bloc sanitaires public
Bains-douches municipaux / douches publiques fixes : Bain-douche municipal, douche publique fixe
Blocs sanitaires de plage / front de mer : Bloc sanitaire de plage, douche de plage, sanitaire de front de mer</t>
  </si>
  <si>
    <t>Toilettes publiques (sur la voie publique) : Pas de stagnation structurelle : la série évolue à la hausse sur la période 2000-2026 ; la projection prolonge cette tendance avec prudence.</t>
  </si>
  <si>
    <t>proxy équipements d’hygiène urbaine. Dynamique projetée 2027-2030: hausse légère. Fiabilité: moyenne</t>
  </si>
  <si>
    <t>Toilettes publiques (sur la voie publique) : Sanitaire public autonome type bloc urbain ; dimension minimale &gt;5 usagers cumulés.
Bains-douches municipaux / douches publiques fixes : Sanitaire public autonome type bloc urbain ; dimension minimale &gt;5 usagers cumulés.
Blocs sanitaires de plage / front de mer : Sanitaire public autonome type bloc urbain ; dimension minimale &gt;5 usagers cumulés.</t>
  </si>
  <si>
    <t>Toilettes publiques (sur la voie publique) : Capacité type ≈ 6 usagers principaux + 0 staff + 0 familles/intervenants. Le programme sanitaire est construit par blocs fonctionnels plausibles (public, personnel, exploitation/hébergement selon le cas) et non par simple ratio national moyen. Calibrage selon capacité simultanée, répartition de flux et organisation réelle du site.
Bains-douches municipaux / douches publiques fixes : Capacité type ≈ 6 usagers principaux + 0 staff + 0 familles/intervenants. Le programme sanitaire est construit par blocs fonctionnels plausibles (public, personnel, exploitation/hébergement selon le cas) et non par simple ratio national moyen. Calibrage selon capacité simultanée, répartition de flux et organisation réelle du site.
Blocs sanitaires de plage / front de mer : Capacité type ≈ 6 usagers principaux + 0 staff + 0 familles/intervenants. Le programme sanitaire est construit par blocs fonctionnels plausibles (public, personnel, exploitation/hébergement selon le cas) et non par simple ratio national moyen. Calibrage selon capacité simultanée, répartition de flux et organisation réelle du site.</t>
  </si>
  <si>
    <t>Toilettes publiques (sur la voie publique) : Dans les toilettes publiques, le parc existant est dominé par les solutions robustes de collectivité : temporisé mécanique en tête, électronique très présente, mitigeur simple marginal.</t>
  </si>
  <si>
    <t>Toilettes publiques (sur la voie publique) : Les toilettes publiques extérieures restent très orientées ERP intensif : l’électronique progresse encore, mais le temporisé mécanique conserve une vraie place pour la robustesse.</t>
  </si>
  <si>
    <t>Toilettes publiques (sur la voie publique) : Sans objet.</t>
  </si>
  <si>
    <t>Toilettes publiques (sur la voie publique) : Les toilettes publiques renforcent encore l’automatique, mais conservent une base mécanique pour la robustesse.</t>
  </si>
  <si>
    <t>Toilettes publiques (sur la voie publique) : La chasse directe domine nettement les toilettes publiques, avec une part d’électronique plus forte que dans la moyenne des ERP.</t>
  </si>
  <si>
    <t>Toilettes publiques (sur la voie publique) : Les toilettes publiques renforcent encore la part du direct et de l’électronique ; le réservoir devient plus marginal.</t>
  </si>
  <si>
    <t>Toilettes publiques (sur la voie publique) : Potentiel rénovation élevé : usage intensif, exploitation contractuelle, image urbaine et vandalisme rendent le renouvellement très régulier. Les volumes restent d’abord tirés par les WC et les lavabos, plus que par les postes spécialisés. En rénovation, l’achat reste orienté vers des produits robustes, anti-vandalisme et simples à maintenir en site occupé.</t>
  </si>
  <si>
    <t>Toilettes publiques (sur la voie publique) : Potentiel neuf moyen : surtout via requalification d’espaces publics, centres-villes et sites touristiques ; le neuf reste réel mais secondaire.</t>
  </si>
  <si>
    <t>Toilettes publiques (sur la voie publique) : Projets phares réno : remplacement de cabines, auto-lavants, équipements anti-vandalisme et modernisation d’exploitation.</t>
  </si>
  <si>
    <t>Toilettes publiques (sur la voie publique) : Projets phares neuf : nouvelles cabines automatiques, déploiement dans parcs, hubs, fronts d’eau et zones touristiques.</t>
  </si>
  <si>
    <t>Toilettes publiques (sur la voie publique) : Dynamique réno 2026-2030 : forte et assez prévisible, car la maintenance ne suffit pas toujours à compenser l’usure et le vandalisme.</t>
  </si>
  <si>
    <t>Toilettes publiques (sur la voie publique) : Dynamique neuf 2026-2030 : modérée ; elle dépend surtout de la volonté municipale, de l’attractivité touristique et des projets d’espace public.</t>
  </si>
  <si>
    <t>Centres de psychiatrie
Centres de rééducation
Maternités</t>
  </si>
  <si>
    <t>Centres de psychiatrie : Établissements sanitaires.
Centres de rééducation : Établissements sanitaires.
Maternités : Établissements sanitaires.</t>
  </si>
  <si>
    <t>Centres de psychiatrie : Hôpital psychiatrique, centre spécialisé
Centres de rééducation : Centre de rééducation fonctionnelle
Maternités : Maternité hospitalière</t>
  </si>
  <si>
    <t>https://drees.solidarites-sante.gouv.fr/publications-communique-de-presse-documents-de-reference/panoramas-de-la-drees/250522_Panorama_etablissements-de-sante2025
https://drees.solidarites-sante.gouv.fr/sites/default/files/2025-05/DREES%20-%20Pano%20-%20ES%202025%20-%20Fiche%2018_La%20naissance%20_les%20maternit%C3%A9s.pdf</t>
  </si>
  <si>
    <t>Centres de psychiatrie : Psychiatrie : blocs de jour + sanitaires d'unités + chambres lorsqu'elles comportent un sanitaire privatif ; douches collectives encore présentes.
Centres de rééducation : Rééducation : blocs communs, vestiaires de plateaux techniques et chambres/salles d'eau de séjour quand elles sont individualisées.
Maternités : Maternité : espaces communs + chambres/post-partum équipées et sanitaires proches des naissances ; pas de simple ratio public seul.</t>
  </si>
  <si>
    <t>Centres de psychiatrie : Capacité type ≈ 78 patients/résidents principaux + 26 staff + 16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
Centres de rééducation : Capacité type ≈ 69 patients/résidents principaux + 25 staff + 16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
Maternités : Capacité type ≈ 40 patients/résidents principaux + 24 staff + 16 accompagnants/visiteurs.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t>
  </si>
  <si>
    <t>Logistique / stockage</t>
  </si>
  <si>
    <t>Centres de stockage / entrepôts / plateformes logistiques (&gt;50 personnes)</t>
  </si>
  <si>
    <t>Centres de stockage / entrepôts / plateformes logistiques (&gt;50 personnes) : Sous-ensemble distingué de l'ancienne ligne 'Bureaux (&gt;50 personnes, tertiaire privé + logistique hors usines)'. Ventilation proxy pour isoler la logistique.</t>
  </si>
  <si>
    <t>Centres de stockage / entrepôts / plateformes logistiques (&gt;50 personnes) : Entrepôt, plateforme logistique, centre de distribution</t>
  </si>
  <si>
    <t>Centres de stockage / entrepôts / plateformes logistiques (&gt;50 personnes) : Référence code du travail pour bureaux &gt;50 pers. : cabinets/urinoirs par sexe + lavabos, hors sanitaires privatifs.</t>
  </si>
  <si>
    <t>Centres de stockage / entrepôts / plateformes logistiques (&gt;50 personnes) : Capacité type ≈ 145 salariés/usagers principaux + 17 staff support + 8 visiteurs/prestataires. Application prioritaire du Code du travail : 1 lavabo/10 travailleurs, 1 WC + 1 urinoir/20 hommes, 2 WC/20 femmes, avec douches dès que les postes sont salissants ; arrondis par noyaux sanitaires/vestiaires. Calibrage selon capacité simultanée, répartition de flux et organisation réelle du site.</t>
  </si>
  <si>
    <t>Hébergement social &amp; accueil spécialisé</t>
  </si>
  <si>
    <t>Centres d’hébergement d’urgence / accueils de nuit
CHRS / centres d’hébergement et de réinsertion sociale
CADA / HUDA / CAES / centres d’accueil pour demandeurs d’asile
Foyers de jeunes travailleurs / résidences sociales / foyers de travailleurs migrants
Accueils de jour / haltes de jour avec douches et sanitaires</t>
  </si>
  <si>
    <t>O / variable / O ou J / variable / O ou mixte / variable / W ou variable</t>
  </si>
  <si>
    <t>Centres d’hébergement d’urgence / accueils de nuit : Hébergement collectif accueillant du public spécifique avec sanitaires collectifs quasi systématiques ; à distinguer des simples bureaux sociaux sans hébergement.
CHRS / centres d’hébergement et de réinsertion sociale : Structures d’hébergement social avec espaces collectifs et sanitaires structurants ; éviter le double compte quand le CHRS partage un site déjà ventilé autrement.
CADA / HUDA / CAES / centres d’accueil pour demandeurs d’asile : Structures d’hébergement et d’accueil avec sanitaires collectifs très probables ; à compter par site autonome d’hébergement.
Foyers de jeunes travailleurs / résidences sociales / foyers de travailleurs migrants : Logements-foyers et résidences sociales avec locaux communs et sanitaires structurants ; à isoler lorsqu’ils ne sont pas déjà rangés dans une autre ligne logement collectif.
Accueils de jour / haltes de jour avec douches et sanitaires : À ajouter quand le lieu d’accueil dispose réellement d’espaces d’hygiène (douches, sanitaires, vestiaire, laverie) et fonctionne comme site autonome.</t>
  </si>
  <si>
    <t>Centres d’hébergement d’urgence / accueils de nuit : Centre d’hébergement d’urgence, accueil de nuit
CHRS / centres d’hébergement et de réinsertion sociale : CHRS
CADA / HUDA / CAES / centres d’accueil pour demandeurs d’asile : CADA, HUDA, CAES
Foyers de jeunes travailleurs / résidences sociales / foyers de travailleurs migrants : FJT, résidence sociale, foyer de travailleurs migrants
Accueils de jour / haltes de jour avec douches et sanitaires : Accueil de jour, halte de jour, structure hygiène</t>
  </si>
  <si>
    <t>https://www.legifrance.gouv.fr/codes/article_lc/LEGIARTI000037670338
https://www.legifrance.gouv.fr/codes/section_lc/JORFTEXT000000290033/LEGISCTA000020334940/
https://www.legifrance.gouv.fr/codes/section_lc/LEGITEXT000006074069/LEGISCTA000006157691/
https://www.legifrance.gouv.fr/codes/section_lc/JORFTEXT000000290033/LEGISCTA000020334940/
https://www.legifrance.gouv.fr/jorf/id/JORFTEXT000038671063
https://www.legifrance.gouv.fr/codes/id/LEGISCTA000031202450/
https://www.legifrance.gouv.fr/jorf/id/JORFTEXT000030960097
https://www.legifrance.gouv.fr/codes/article_lc/LEGIARTI000020466036
https://solidarites.gouv.fr/les-distributions-de-repas
https://www.legifrance.gouv.fr/circulaire/id/34292</t>
  </si>
  <si>
    <t>Centres d’hébergement d’urgence / accueils de nuit : Auberge : blocs collectifs d'étage, pas de chambres privatives.
CHRS / centres d’hébergement et de réinsertion sociale : Auberge : blocs collectifs d'étage, pas de chambres privatives.
CADA / HUDA / CAES / centres d’accueil pour demandeurs d’asile : Auberge : blocs collectifs d'étage, pas de chambres privatives.
Foyers de jeunes travailleurs / résidences sociales / foyers de travailleurs migrants : Blocs collectifs d'hébergement/étage ; exclusion des chambres avec sanitaires privatifs.
Accueils de jour / haltes de jour avec douches et sanitaires : Sanitaire public autonome type bloc urbain ; dimension minimale &gt;5 usagers cumulés.</t>
  </si>
  <si>
    <t>Centres d’hébergement d’urgence / accueils de nuit : Capacité type ≈ 77 usagers principaux + 11 staff + 2 visiteurs/intervenants. Le programme sanitaire est construit par blocs fonctionnels plausibles (public, personnel, exploitation/hébergement selon le cas) et non par simple ratio national moyen. Calibrage selon capacité simultanée, répartition de flux et organisation réelle du site.
CHRS / centres d’hébergement et de réinsertion sociale : Capacité type ≈ 77 usagers principaux + 11 staff + 2 visiteurs/intervenants. Le programme sanitaire est construit par blocs fonctionnels plausibles (public, personnel, exploitation/hébergement selon le cas) et non par simple ratio national moyen. Calibrage selon capacité simultanée, répartition de flux et organisation réelle du site.
CADA / HUDA / CAES / centres d’accueil pour demandeurs d’asile : Capacité type ≈ 77 usagers principaux + 11 staff + 2 visiteurs/intervenants. Le programme sanitaire est construit par blocs fonctionnels plausibles (public, personnel, exploitation/hébergement selon le cas) et non par simple ratio national moyen. Calibrage selon capacité simultanée, répartition de flux et organisation réelle du site.
Foyers de jeunes travailleurs / résidences sociales / foyers de travailleurs migrants : Capacité type ≈ 162 résidents/usagers + 14 staff + 4 visiteurs/intervenants. Hypothèse d'hébergement collectif : sanitaires d'étage et douches communes, hors chambres purement privatives. Calibrage selon capacité simultanée, répartition de flux et organisation réelle du site.
Accueils de jour / haltes de jour avec douches et sanitaires : Capacité type ≈ 6 usagers principaux + 0 staff + 0 familles/intervenants. Le programme sanitaire est construit par blocs fonctionnels plausibles (public, personnel, exploitation/hébergement selon le cas) et non par simple ratio national moyen. Calibrage selon capacité simultanée, répartition de flux et organisation réelle du site.</t>
  </si>
  <si>
    <t>Code du travail pour staff + hypothèse programmatique d'hébergement collectif / tourisme ; source de comptage propre à la ligne en col. AP.
Éducation nationale / ONS, 'Les sanitaires dans les écoles élémentaires' : https://www.education.gouv.fr/sites/default/files/imported_files/document/ONS-Les-sanitaires-dans-les-ecoles-elementaires_391494.pdf ; + Code du travail pour les sanitaires adultes/staff.
Code du travail (sanitaires et vestiaires staff) + programmation ERP/usages d'exploitation ; source de comptage propre à la ligne en col. AP.</t>
  </si>
  <si>
    <t>Santé ambulatoire spécialisée</t>
  </si>
  <si>
    <t>Cabinets dentaires / centres dentaires
Laboratoires de biologie médicale recevant du public
Centres d’imagerie médicale recevant du public
Centres de dialyse ambulatoire / unités d’autodialyse</t>
  </si>
  <si>
    <t>U ou W / variable / U / variable</t>
  </si>
  <si>
    <t>Cabinets dentaires / centres dentaires : Forte omission probable si l’objectif est d’inventorier les sites de soins recevant du public avec lavabos et sanitaires. Compter par site autonome, pas par praticien.
Laboratoires de biologie médicale recevant du public : Sites de prélèvement et d’analyses recevant du public ; à compter par site d’accueil autonome et non lorsqu’ils sont strictement intégrés à un hôpital déjà compté.
Centres d’imagerie médicale recevant du public : Recevant du public avec salles d’attente et sanitaires ; à compter uniquement si le plateau d’imagerie est un site autonome.
Centres de dialyse ambulatoire / unités d’autodialyse : Sites de soins avec accueil patient, sanitaires et locaux techniques ; ne compter que les implantations autonomes hors hôpitaux déjà comptés.</t>
  </si>
  <si>
    <t>Cabinets dentaires / centres dentaires : Cabinet dentaire, centre dentaire
Laboratoires de biologie médicale recevant du public : Laboratoire de biologie médicale
Centres d’imagerie médicale recevant du public : Centre d’imagerie, radiologie, IRM, scanner
Centres de dialyse ambulatoire / unités d’autodialyse : Centre de dialyse, unité d’autodialyse</t>
  </si>
  <si>
    <t>https://www.sante.fr/recherche/trouver/dentistes%20
https://www.sante.fr/recherche/trouver/Centre%20M%C3%A9dical%20Et%20Dentaire
https://www.sante.fr/recherche/trouver/laboratoires
https://www.sante.fr/laboratoire-de-biologie-medicale-lbm/angouleme/laboffice
https://www.sante.fr/categories/imagerie
https://www.sante.fr/etablissement-de-soins-chirurgicaux/angouleme-cedex/cl-clinique-saint-joseph-angouleme/imagerie-medicale-radiologie
https://www.sante.fr/recherche/trouver/Centre%20de%20dialyse
https://sante.gouv.fr/IMG/pdf/depliant_reforme_transport_patients_hospitalises_aide_prescription_centres-dialyse-chimio-radio_ecranbd-2.pdf</t>
  </si>
  <si>
    <t>Cabinets dentaires / centres dentaires : Site ambulatoire / consultations ; petits blocs d'attente et de personnel.
Laboratoires de biologie médicale recevant du public : Site ambulatoire / consultations ; petits blocs d'attente et de personnel.
Centres d’imagerie médicale recevant du public : Site ambulatoire / consultations ; petits blocs d'attente et de personnel.
Centres de dialyse ambulatoire / unités d’autodialyse : Site ambulatoire / consultations ; petits blocs d'attente et de personnel.</t>
  </si>
  <si>
    <t>Cabinets dentaires / centres dentaires : Capacité type ≈ 18 usagers principaux + 5 staff + 2 accompagnants/visiteurs. Le programme sanitaire est construit par blocs fonctionnels plausibles (public, personnel, exploitation/hébergement selon le cas) et non par simple ratio national moyen. Calibrage selon capacité simultanée, répartition de flux et organisation réelle du site.
Laboratoires de biologie médicale recevant du public : Capacité type ≈ 18 usagers principaux + 5 staff + 2 accompagnants/visiteurs. Le programme sanitaire est construit par blocs fonctionnels plausibles (public, personnel, exploitation/hébergement selon le cas) et non par simple ratio national moyen. Calibrage selon capacité simultanée, répartition de flux et organisation réelle du site.
Centres d’imagerie médicale recevant du public : Capacité type ≈ 18 usagers principaux + 5 staff + 2 accompagnants/visiteurs. Le programme sanitaire est construit par blocs fonctionnels plausibles (public, personnel, exploitation/hébergement selon le cas) et non par simple ratio national moyen. Calibrage selon capacité simultanée, répartition de flux et organisation réelle du site.
Centres de dialyse ambulatoire / unités d’autodialyse : Capacité type ≈ 18 usagers principaux + 5 staff + 2 accompagnants/visiteurs. Le programme sanitaire est construit par blocs fonctionnels plausibles (public, personnel, exploitation/hébergement selon le cas) et non par simple ratio national moyen. Calibrage selon capacité simultanée, répartition de flux et organisation réelle du site.</t>
  </si>
  <si>
    <t>Matériel roulant / transport mobile</t>
  </si>
  <si>
    <t>Rames ferroviaires voyageurs
Aéronefs commerciaux
Ferries et navires à passagers 
Autocars
(Trajets longues distance)</t>
  </si>
  <si>
    <t>Rames ferroviaires voyageurs : Quantification minimale documentée à partir des programmes SNCF cités (environ 1 000 rames TER modernisées + 104 rames TGV O2D). Le parc réel France est supérieur. Non comparable à un décompte de sites.
Aéronefs commerciaux : Minimum documenté à partir des flottes explicitement quantifiées dans les sources consultées (Air France 50 A220 + 40 A350, Transavia France 90, French bee 6). Le total réel France est supérieur. Non comparable à un décompte de sites.
Ferries et navires à passagers  : Périmètre partiel documenté : navires à passagers de plus de 100 UMS sous pavillon français ; les unités côtières plus petites peuvent s'y ajouter. Non comparable à un décompte de sites.
Autocars
(Trajets longues distance) : Quantification de la flotte France d'autocars en circulation. Tous ne sont pas nécessairement équipés de WC ; à suivre séparément si tu veux ensuite restreindre au sous-ensemble longue distance/tourisme.</t>
  </si>
  <si>
    <t>Rames ferroviaires voyageurs : TGV, Intercités, train de nuit, rame TER équipée
Aéronefs commerciaux : Avion de ligne, avion charter passagers
Ferries et navires à passagers  : Ferry, navire à passagers, bateau d’excursion
Autocars
(Trajets longues distance) : Autocar de tourisme, car interurbain, car longue distance</t>
  </si>
  <si>
    <t>Rame / voiture / Aéronef / Navire / Véhicule</t>
  </si>
  <si>
    <t>Rames ferroviaires voyageurs : Sanitaire public autonome type bloc urbain ; dimension minimale &gt;5 usagers cumulés.
Aéronefs commerciaux : Sanitaire public autonome type bloc urbain ; dimension minimale &gt;5 usagers cumulés.
Ferries et navires à passagers  : Sanitaire public autonome type bloc urbain ; dimension minimale &gt;5 usagers cumulés.
Autocars
(Trajets longues distance) : Sanitaire public autonome type bloc urbain ; dimension minimale &gt;5 usagers cumulés.</t>
  </si>
  <si>
    <t>Rames ferroviaires voyageurs : Capacité type ≈ 6 usagers principaux + 0 staff + 0 familles/intervenants. Le programme sanitaire est construit par blocs fonctionnels plausibles (public, personnel, exploitation/hébergement selon le cas) et non par simple ratio national moyen. Calibrage selon capacité simultanée, répartition de flux et organisation réelle du site.
Aéronefs commerciaux : Capacité type ≈ 6 usagers principaux + 0 staff + 0 familles/intervenants. Le programme sanitaire est construit par blocs fonctionnels plausibles (public, personnel, exploitation/hébergement selon le cas) et non par simple ratio national moyen. Calibrage selon capacité simultanée, répartition de flux et organisation réelle du site.
Ferries et navires à passagers  : Capacité type ≈ 6 usagers principaux + 0 staff + 0 familles/intervenants. Le programme sanitaire est construit par blocs fonctionnels plausibles (public, personnel, exploitation/hébergement selon le cas) et non par simple ratio national moyen. Calibrage selon capacité simultanée, répartition de flux et organisation réelle du site.
Autocars
(Trajets longues distance) : Capacité type ≈ 6 usagers principaux + 0 staff + 0 familles/intervenants. Le programme sanitaire est construit par blocs fonctionnels plausibles (public, personnel, exploitation/hébergement selon le cas) et non par simple ratio national moyen. Calibrage selon capacité simultanée, répartition de flux et organisation réelle du site.</t>
  </si>
  <si>
    <t>Parcs d’attractions / parcs à thèmes fixes</t>
  </si>
  <si>
    <t>Parcs d’attractions / parcs à thèmes fixes : Parcs de loisirs fixes recevant du public avec bâtiments d’accueil, restauration et sanitaires ; omission probable si la liste vise les grands sites de visite.</t>
  </si>
  <si>
    <t>Parcs d’attractions / parcs à thèmes fixes : Parc d’attractions, parc à thème</t>
  </si>
  <si>
    <t>Parcs d’attractions / parcs à thèmes fixes : Piscine de plein air : vestiaires humides séparés et douches collectives ; cabines individuelles non comptées.</t>
  </si>
  <si>
    <t>Parcs d’attractions / parcs à thèmes fixes : Capacité type ≈ 504 sportifs/usagers + 60 staff + 36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t>
  </si>
  <si>
    <t>Loisirs de plein air / animalier</t>
  </si>
  <si>
    <t>Parcs zoologiques / parcs animaliers ouverts au public
Aquariums ouverts au public</t>
  </si>
  <si>
    <t>PA / variable / Y ou PA / variable</t>
  </si>
  <si>
    <t>ERP spécial / variable / ERP / variable</t>
  </si>
  <si>
    <t>Parcs zoologiques / parcs animaliers ouverts au public : Établissements fixes et permanents présentant des animaux au public ; sanitaires publics très probables sur site.
Aquariums ouverts au public : À compter lorsqu’il s’agit d’un site autonome ; éviter le double compte si l’aquarium est déjà inclus dans un musée, un zoo ou un grand équipement multi-activités.</t>
  </si>
  <si>
    <t>Parcs zoologiques / parcs animaliers ouverts au public : Zoo, parc animalier, réserve animalière visitable
Aquariums ouverts au public : Aquarium public, aquarium océanographique</t>
  </si>
  <si>
    <t>https://www.legifrance.gouv.fr/loda/id/JORFTEXT000000610915/
https://www.legifrance.gouv.fr/codes/section_lc/JORFTEXT000000290033/LEGISCTA000024845052/
https://www.legifrance.gouv.fr/jorf/id/JORFTEXT000051832274
https://www.legifrance.gouv.fr/codes/section_lc/JORFTEXT000000290033/LEGISCTA000024845052/</t>
  </si>
  <si>
    <t>Parcs zoologiques / parcs animaliers ouverts au public : Piscine de plein air : vestiaires humides séparés et douches collectives ; cabines individuelles non comptées.
Aquariums ouverts au public : Musée/bibliothèque : sanitaires visiteurs aux pôles d'accueil + staff.</t>
  </si>
  <si>
    <t>Parcs zoologiques / parcs animaliers ouverts au public : Capacité type ≈ 504 sportifs/usagers + 60 staff + 36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Aquariums ouverts au public : Capacité type ≈ 246 usagers principaux + 36 staff + 18 intervenants/prestataires. Le programme sanitaire est construit par blocs fonctionnels plausibles (public, personnel, exploitation/hébergement selon le cas) et non par simple ratio national moyen. Calibrage selon capacité simultanée, répartition de flux et organisation réelle du site.</t>
  </si>
  <si>
    <t>Ministère des Sports, réglementation des équipements sportifs : https://www.sports.gouv.fr/reglementation-federale-des-equipements-sportifs-845 ; + Code du travail pour vestiaires collectifs et sanitaires staff.
Code du travail (sanitaires et vestiaires staff) + programmation ERP/usages d'exploitation ; source de comptage propre à la ligne en col. AP.</t>
  </si>
  <si>
    <t>Funéraire &amp; recueillement</t>
  </si>
  <si>
    <t>Chambres funéraires / funérariums
Crématoriums</t>
  </si>
  <si>
    <t>Chambres funéraires / funérariums : Les familles ont accès à ces équipements ; présence de sanitaires probable pour le public et le personnel. À distinguer des chambres mortuaires internes aux hôpitaux.
Crématoriums : Équipements recevant familles et public ; sanitaires très probables. Ne pas compter séparément les salles intégrées à une chambre funéraire déjà comptée comme site unique.</t>
  </si>
  <si>
    <t>Chambres funéraires / funérariums : Funérarium, chambre funéraire
Crématoriums : Crématorium</t>
  </si>
  <si>
    <t>https://www.legifrance.gouv.fr/codes/section_lc/LEGITEXT000006070633/LEGISCTA000006197723/
https://www.legifrance.gouv.fr/codes/id/LEGISCTA000006199201/
https://www.legifrance.gouv.fr/codes/section_lc/LEGITEXT000006070633/LEGISCTA000006199203/2021-03-01
https://www.legifrance.gouv.fr/codes/section_lc/LEGITEXT000006070633/LEGISCTA000006197723/</t>
  </si>
  <si>
    <t>Chambres funéraires / funérariums : Local associatif polyvalent : bloc simple mixte + accès PMR.
Crématoriums : Équipement événementiel : programme public en batterie à l'entrée et en pourtour, staff séparé.</t>
  </si>
  <si>
    <t>Chambres funéraires / funérariums : Capacité type ≈ 40 usagers principaux + 5 staff + 5 bénévoles/intervenants. Le programme sanitaire est construit par blocs fonctionnels plausibles (public, personnel, exploitation/hébergement selon le cas) et non par simple ratio national moyen. Calibrage selon capacité simultanée, répartition de flux et organisation réelle du site.
Crématoriums : Capacité type ≈ 176 usagers principaux + 16 staff + 8 intervenants/prestataires. Le programme sanitaire est construit par blocs fonctionnels plausibles (public, personnel, exploitation/hébergement selon le cas) et non par simple ratio national moyen. Calibrage selon capacité simultanée, répartition de flux et organisation réelle du site.</t>
  </si>
  <si>
    <t>Sport couvert / équestre</t>
  </si>
  <si>
    <t>Centres équestres / manèges couverts avec accueil public</t>
  </si>
  <si>
    <t>X ou PA / variable</t>
  </si>
  <si>
    <t>Centres équestres / manèges couverts avec accueil public : Le règlement type X cite notamment les manèges. À ajouter lorsqu’il existe un accueil public structuré avec sanitaires / vestiaires.</t>
  </si>
  <si>
    <t>Centres équestres / manèges couverts avec accueil public : Centre équestre, manège couvert, poney-club avec accueil public</t>
  </si>
  <si>
    <t>https://www.legifrance.gouv.fr/codes/section_lc/JORFTEXT000000290033/LEGISCTA000020336672/2019-07-01</t>
  </si>
  <si>
    <t>Centres équestres / manèges couverts avec accueil public : Hippodrome : batteries public + locaux jockeys/personnel.</t>
  </si>
  <si>
    <t>Centres équestres / manèges couverts avec accueil public : Capacité type ≈ 2520 sportifs/usagers + 300 staff + 180 professionnels/maintenance.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t>
  </si>
  <si>
    <t>Classement Global sur 
103 sous-segments</t>
  </si>
  <si>
    <t>Petite enfance
Enseignement scolaire
Enseignement supérieur
Enfance / jeunesse
Formation</t>
  </si>
  <si>
    <t>Crèches
Écoles maternelles
Écoles primaires
Collèges (vestiaires EPS inclus)
Lycées (vestiaires EPS inclus)
Universités
Grandes écoles
Internats scolaires
Résidences étudiantes et dortoirs
Centres de loisirs sans hébergement
Centres de vacances / colonies
Centres de formation / CFA</t>
  </si>
  <si>
    <t>ERP / ERP spécialisé / Cas particulier</t>
  </si>
  <si>
    <t>Petite enfance : Établissements d’éveil / petite enfance recevant du public.
Enseignement scolaire : Établissements d’enseignement, Établissements d’enseignement secondaire.
Enseignement supérieur : Enseignement supérieur / amphithéâtres / salles de cours, Établissements d’enseignement supérieur.
Enfance / jeunesse : Accueil de mineurs en journée, Accueil collectif avec hébergement ou activités.
Formation : Formation professionnelle et apprentissage.</t>
  </si>
  <si>
    <t>Petite enfance : Crèche municipale, micro-crèche
Enseignement scolaire : École maternelle publique
Enseignement scolaire : École élémentaire privée ou publique
Enseignement scolaire : Collège public, collège privé
Enseignement scolaire : Lycée général, professionnel, technique
Enseignement supérieur : Campus universitaire
Enseignement supérieur : École d’ingénieurs, école de commerce
Enseignement scolaire : Internat de lycée
Enseignement supérieur : Résidence CROUS, foyer étudiant
Enfance / jeunesse : ALSH, centre aéré
Enfance / jeunesse : Colonie de vacances, centre de séjour
Formation : CFA, centre de formation continue</t>
  </si>
  <si>
    <t>Voir détail par Segment Principal</t>
  </si>
  <si>
    <t>https://drees.solidarites-sante.gouv.fr/communique-de-presse-jeux-de-donnees/jeux-de-donnees/250528_DATA_donnees-departementales-sur-l-offre-daccueil-du-jeune-enfant-2023
https://www.insee.fr/fr/statistiques/8610258?geo=FE-1
https://www.enseignementsup-recherche.gouv.fr/fr/effectifs-universitaires-en-2024-2025-99301
https://data.enseignementsup-recherche.gouv.fr/explore/assets/fr-esr-statistiques-sur-les-effectifs-d-etudiants-inscrits-par-etablissement-hcp/
https://www.data.gouv.fr/fr/datasets/annuaire-des-internats/
https://www.education.gouv.fr/depp/reperes-et-references-statistiques-2025-450954</t>
  </si>
  <si>
    <t>Crèches : Bloc enfants + bloc adultes ; comptage limité aux sanitaires collectifs, sans cabine individuelle.
Écoles maternelles : Noyaux sanitaires enfants par classe + bloc adultes ; très peu de douches.
Écoles primaires : Application d'un schéma scolaire élémentaire : blocs filles/garçons + sanitaires adultes. Très peu de douches.
Collèges
(vestiaires EPS inclus) : Blocs élèves filles/garçons + sanitaires adultes + vestiaires sportifs séparés (si capacité ≥5 pers.). Très peu de douches en proportion.
Lycées
(vestiaires EPS inclus) : Blocs élèves filles/garçons + sanitaires adultes + vestiaires sportifs séparés (si capacité ≥5 pers.). Très peu de douches en proportion.
Universités : Programme de campus : sanitaires publics répartis par bâtiments d'enseignement, hors résidences.
Grandes écoles : Programme de campus : sanitaires publics répartis par bâtiments d'enseignement, hors résidences.
Internats scolaires : Blocs collectifs d'hébergement/étage ; exclusion des chambres avec sanitaires privatifs.
Résidences étudiantes et dortoirs : Blocs collectifs d'hébergement/étage ; exclusion des chambres avec sanitaires privatifs.
Centres de loisirs sans hébergement : Accueil enfance sans hébergement : blocs collectifs enfants + équipe.
Centres de vacances / colonies : Blocs collectifs d'hébergement/étage ; exclusion des chambres avec sanitaires privatifs.
Centres de formation / CFA : Blocs apprenants filles/garçons + sanitaires adultes + vestiaires sportifs/ateliers séparés dès lors qu'ils sont collectifs (≥5 pers.).</t>
  </si>
  <si>
    <t>Crèches : Capacité type ≈ 31 usagers principaux + 8 staff + 1 parents/accompagnants. Le programme sanitaire est construit par blocs fonctionnels plausibles (public, personnel, exploitation/hébergement selon le cas) et non par simple ratio national moyen. Calibrage selon capacité simultanée, répartition de flux et organisation réelle du site.
Écoles maternelles : Capacité type ≈ 129 enfants + 15 adultes + 6 parents/accompagnants/intervenants. Programme par noyaux sanitaires au plus près des classes, sans urinoirs ni douches. Répartition par bâtiments/petites sections justifie un léger surdimensionnement par rapport au seul ratio théorique. Calibrage selon capacité simultanée, répartition de flux et organisation réelle du site.
Écoles primaires : Capacité type ≈ 225 élèves + 20 adultes + 5 accompagnants/intervenants. Base ONS : 1 WC/20 filles, 1 WC/40 garçons + 1 urinoir/20 garçons et 1 point d'eau/20 élèves ; ajout d'un petit bloc adultes et arrondi par bâtiment. Calibrage selon capacité simultanée, répartition de flux et organisation réelle du site.
Collèges
(vestiaires EPS inclus) : Capacité type ≈ 432 apprenants + 38 adultes + 10 intervenants/visiteurs. Base scolaire dérivée du référentiel ONS pour les élèves, complétée par sanitaires adultes ; ajout de vestiaires sportifs séparés lorsqu'ils desservent au moins 5 personnes. Calibrage selon capacité simultanée, répartition de flux et organisation réelle du site.
Lycées
(vestiaires EPS inclus) : Capacité type ≈ 549 apprenants + 49 adultes + 12 intervenants/visiteurs. Base scolaire dérivée du référentiel ONS pour les élèves, complétée par sanitaires adultes ; ajout de vestiaires sportifs séparés lorsqu'ils desservent au moins 5 personnes. Calibrage selon capacité simultanée, répartition de flux et organisation réelle du site.
Universités : Capacité type ≈ 10320 usagers + 1200 staff + 480 visiteurs/intervenants/prestataires présents. Dimensionnement par batteries sanitaires de bâtiments d'enseignement, bibliothèques, restauration et administration, sans résidences ; quelques douches conservées pour sport/maintenance. Calibrage selon capacité simultanée, répartition de flux et organisation réelle du site.
Grandes écoles : Capacité type ≈ 1290 usagers + 150 staff + 60 visiteurs/intervenants/prestataires présents. Dimensionnement par batteries sanitaires de bâtiments d'enseignement, bibliothèques, restauration et administration, sans résidences ; quelques douches conservées pour sport/maintenance. Calibrage selon capacité simultanée, répartition de flux et organisation réelle du site.
Internats scolaires : Capacité type ≈ 162 résidents/usagers + 14 staff + 4 accompagnants/intervenants. Hypothèse d'hébergement collectif : sanitaires d'étage et douches communes, hors chambres purement privatives. Calibrage selon capacité simultanée, répartition de flux et organisation réelle du site.
Résidences étudiantes et dortoirs : Capacité type ≈ 162 résidents/usagers + 14 staff + 4 visiteurs/intervenants. Hypothèse d'hébergement collectif : sanitaires d'étage et douches communes, hors chambres purement privatives. Calibrage selon capacité simultanée, répartition de flux et organisation réelle du site.
Centres de loisirs sans hébergement : Capacité type ≈ 106 usagers principaux + 12 staff + 2 parents/accompagnants/intervenants. Le programme sanitaire est construit par blocs fonctionnels plausibles (public, personnel, exploitation/hébergement selon le cas) et non par simple ratio national moyen. Calibrage selon capacité simultanée, répartition de flux et organisation réelle du site.
Centres de vacances / colonies : Capacité type ≈ 162 résidents/usagers + 14 staff + 4 accompagnants/animateurs externes. Hypothèse d'hébergement collectif : sanitaires d'étage et douches communes, hors chambres purement privatives. Calibrage selon capacité simultanée, répartition de flux et organisation réelle du site.
Centres de formation / CFA : Capacité type ≈ 405 apprenants + 36 adultes + 9 intervenants/visiteurs. Base scolaire dérivée du référentiel ONS pour les élèves, complétée par sanitaires adultes ; ajout de vestiaires sportifs séparés lorsqu'ils desservent au moins 5 personnes. Calibrage selon capacité simultanée, répartition de flux et organisation réelle du site.</t>
  </si>
  <si>
    <t>Code du travail (sanitaires et vestiaires staff) + programmation ERP/usages d'exploitation ; source de comptage propre à la ligne en col. AP.
Éducation nationale / ONS, 'Les sanitaires dans les écoles élémentaires' : https://www.education.gouv.fr/sites/default/files/imported_files/document/ONS-Les-sanitaires-dans-les-ecoles-elementaires_391494.pdf ; + Code du travail pour les sanitaires adultes/staff.</t>
  </si>
  <si>
    <t>Santé hospitalière
Santé spécialisée
Médico-social
Santé ambulatoire</t>
  </si>
  <si>
    <t>Hôpitaux universitaires / CHU
Hôpitaux publics (Hors CHU, Universitaire, Militaire, Carcéral)
Hôpitaux privés
Cliniques
Centres de psychiatrie
Centres de rééducation
Maternités
Établissements médico-éducatifs
Centres de santé / centres médicaux
Maisons de santé
Foyers pour personnes handicapées
EHPAD
USLD
Résidences autonomie
Foyers-logements (Public)
Résidences services seniors (Privé)</t>
  </si>
  <si>
    <t>U / J ou R / U ou W / J / Variable</t>
  </si>
  <si>
    <t>Santé hospitalière : Établissements sanitaires et universitaires.
Santé hospitalière : Établissements sanitaires.
Santé spécialisée : Établissements sanitaires.
Médico-social : Classement selon public et activité principale.
Santé ambulatoire : Accueil de patients hors hospitalisation lourde.
Santé ambulatoire : Classement selon exploitation et accueil du public.
Médico-social : Structures d’accueil de personnes handicapées.
Médico-social : Établissements d’hébergement pour personnes âgées dépendantes ; hébergement permanent avec accompagnement et soins.
Médico-social : Unités de soins de longue durée accueillant des personnes très dépendantes avec besoins médicaux lourds ; relève du sanitaire.
Médico-social : Destinés à des personnes âgées plutôt autonomes ; logements privatifs avec services collectifs. Le classement dépend de l’exploitation réelle et des espaces communs ouverts au public.
Médico-social : Résidences pour seniors autonomes avec services à la carte ; le classement dépend de l’exploitation, des parties communes et de l’accueil du public.</t>
  </si>
  <si>
    <t>Santé hospitalière : CHU
Santé hospitalière : Centre hospitalier public
Santé hospitalière : Hôpital privé
Santé hospitalière : Clinique chirurgicale, clinique SSR
Santé spécialisée : Hôpital psychiatrique, centre spécialisé
Santé spécialisée : Centre de rééducation fonctionnelle
Santé spécialisée : Maternité hospitalière
Médico-social : IME, IEM
Santé ambulatoire : Centre de santé familiale, maison médicale
Santé ambulatoire : Maison de santé pluridisciplinaire
Médico-social : FAM, MAS, foyer de vie
Médico-social : EHPAD public, EHPAD privé associatif, EHPAD privé commercial
Médico-social : USLD hospitalière, unité de long séjour
Médico-social : Résidence autonomie, foyer-logement seniors
Médico-social : Résidence services seniors, résidence seniors</t>
  </si>
  <si>
    <t>https://drees.solidarites-sante.gouv.fr/publications-communique-de-presse/etudes-et-resultats/251113_ER_etablissements-de-sante
https://drees.solidarites-sante.gouv.fr/publications-communique-de-presse-documents-de-reference/panoramas-de-la-drees/250522_Panorama_etablissements-de-sante2025
https://drees.solidarites-sante.gouv.fr/sites/default/files/2025-05/DREES%20-%20Pano%20-%20ES%202025%20-%20Fiche%2018_La%20naissance%20_les%20maternit%C3%A9s.pdf
https://drees.solidarites-sante.gouv.fr/
https://sante.gouv.fr/systeme-de-sante/structures-de-soins/article/les-maisons-de-sante-300889
https://drees.solidarites-sante.gouv.fr/sites/default/files/2025-09/PAPH%20-%20Fiche%2009%20-%20Les%20%C3%A9tablissements%20d%E2%80%99h%C3%A9bergement%20pour%20personnes%20%C3%A2g%C3%A9es_0.pdf
https://drees.solidarites-sante.gouv.fr/jeux-de-donnees/jeux-de-donnees/les-residents-en-etablissements-dhebergement-pour-personnes-agees</t>
  </si>
  <si>
    <t>Hôpitaux universitaires / CHU : Blocs communs (accueil, consultations, urgences, visiteurs, staff) + chambres d'hospitalisation et chambres/boxes équipés lorsqu'il existe de l'individuel.
Hôpitaux publics 
(Hors CHU, Universitaire, Militaire, Carcéral) : Hôpital général : blocs communs + part majoritaire de chambres/lits hospitaliers équipés en lavabo/WC et salle d'eau lorsque l'hébergement est individualisé.
Hôpitaux privés : Hôpital privé : blocs communs + chambres/secteurs d'hospitalisation complète équipés quand l'hébergement est individualisé.
Cliniques : Clinique : blocs communs + chambres de chirurgie/médecine équipées lorsqu'elles sont individuelles ou à faible occupation.
Centres de psychiatrie : Psychiatrie : blocs de jour + sanitaires d'unités + chambres lorsqu'elles comportent un sanitaire privatif ; douches collectives encore présentes.
Centres de rééducation : Rééducation : blocs communs, vestiaires de plateaux techniques et chambres/salles d'eau de séjour quand elles sont individualisées.
Maternités : Maternité : espaces communs + chambres/post-partum équipées et sanitaires proches des naissances ; pas de simple ratio public seul.
Établissements médico-éducatifs : Médico-éducatif : blocs éducatifs/soins + petites unités d'hébergement ou chambres lorsqu'elles existent, hors cabinets purement privatifs dispersés.
Centres de santé / centres médicaux : Site ambulatoire / consultations ; petits blocs d'attente et de personnel.
Maisons de santé : Site ambulatoire / consultations ; petits blocs d'attente et de personnel.
Foyers pour personnes handicapées : Foyer handicap : blocs résidentiels collectifs + chambres/salles d'eau individuelles quand le modèle d'hébergement le prévoit.
EHPAD : Exception demandée : inclusion d'une large part des sanitaires privatifs/résidents + blocs communs d'étage et staff.
USLD : Exception demandée : inclusion des chambres/lits médicalisés avec sanitaires, plus locaux communs.
Résidences autonomie
Foyers-logements
(Public) : Résidences seniors/autonomie : seuls les locaux communs sont retenus, pas les appartements.
Résidences services seniors
(Privé) : Résidences seniors/autonomie : seuls les locaux communs sont retenus, pas les appartements.</t>
  </si>
  <si>
    <t>Hôpitaux universitaires / CHU : Capacité type ≈ 660 patients/résidents principaux + 300 staff + 240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
Hôpitaux publics 
(Hors CHU, Universitaire, Militaire, Carcéral) : Capacité type ≈ 203 patients/résidents principaux + 84 staff + 63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
Hôpitaux privés : Capacité type ≈ 123 patients/résidents principaux + 57 staff + 40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
Cliniques : Capacité type ≈ 101 patients/résidents principaux + 47 staff + 32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
Centres de psychiatrie : Capacité type ≈ 78 patients/résidents principaux + 26 staff + 16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
Centres de rééducation : Capacité type ≈ 69 patients/résidents principaux + 25 staff + 16 visiteurs/accompagnants.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
Maternités : Capacité type ≈ 40 patients/résidents principaux + 24 staff + 16 accompagnants/visiteurs.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
Établissements médico-éducatifs : Capacité type ≈ 50 patients/résidents principaux + 18 staff + 2 parents/accompagnants.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
Centres de santé / centres médicaux : Capacité type ≈ 18 usagers principaux + 5 staff + 2 accompagnants/visiteurs. Le programme sanitaire est construit par blocs fonctionnels plausibles (public, personnel, exploitation/hébergement selon le cas) et non par simple ratio national moyen. Calibrage selon capacité simultanée, répartition de flux et organisation réelle du site.
Maisons de santé : Capacité type ≈ 14 usagers principaux + 4 staff + 2 visiteurs/intervenants. Le programme sanitaire est construit par blocs fonctionnels plausibles (public, personnel, exploitation/hébergement selon le cas) et non par simple ratio national moyen. Calibrage selon capacité simultanée, répartition de flux et organisation réelle du site.
Foyers pour personnes handicapées : Capacité type ≈ 43 patients/résidents principaux + 15 staff + 2 visiteurs/intervenants.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
EHPAD : Capacité type ≈ 69 résidents/lits + 13 staff + 3 visiteurs/intervenants. Conformément à l'exception déjà retenue, les chambres sont comptées lorsqu'elles sont équipées ; les locaux communs et sanitaires de personnel s'y ajoutent. Calibrage selon capacité simultanée, répartition de flux et organisation réelle du site.
USLD : Capacité type ≈ 48 résidents/lits + 10 staff + 2 visiteurs/intervenants. Conformément à l'exception déjà retenue, les chambres sont comptées lorsqu'elles sont équipées ; les locaux communs et sanitaires de personnel s'y ajoutent. Calibrage selon capacité simultanée, répartition de flux et organisation réelle du site.
Résidences autonomie
Foyers-logements
(Public) : Capacité type ≈ 58 usagers principaux + 8 staff + 4 visiteurs/intervenants. Le programme sanitaire est construit par blocs fonctionnels plausibles (public, personnel, exploitation/hébergement selon le cas) et non par simple ratio national moyen. Calibrage selon capacité simultanée, répartition de flux et organisation réelle du site.
Résidences services seniors
(Privé) : Capacité type ≈ 74 usagers principaux + 11 staff + 5 visiteurs/intervenants. Le programme sanitaire est construit par blocs fonctionnels plausibles (public, personnel, exploitation/hébergement selon le cas) et non par simple ratio national moyen. Calibrage selon capacité simultanée, répartition de flux et organisation réelle du site.</t>
  </si>
  <si>
    <t>Culture / spectacle
Expositions / salons
Événementiel temporaire
Loisirs de plein air
Loisirs de plein air / animalier</t>
  </si>
  <si>
    <t>Cinémas
Théâtres
Musées
Salles de spectacle / auditoriums
Salles de conférence / réunion
Salles polyvalentes / salles des fêtes
Bibliothèques / médiathèques
Foires / salons
Halls d’exposition
Chapiteaux / tentes / structures
Structures gonflables
Parcs d’attractions / parcs à thèmes fixes
Parcs zoologiques / parcs animaliers ouverts au public
Aquariums ouverts au public</t>
  </si>
  <si>
    <t>L / Y / S / T / CTS / SG / PA / PA / variable / Y ou PA / variable</t>
  </si>
  <si>
    <t>ERP / ERP spécial / ERP spécial / variable / ERP / variable</t>
  </si>
  <si>
    <t>Culture / spectacle : Salles de projection recevant du public.
Culture / spectacle : Salles de spectacles et auditions.
Culture / spectacle : Exposition permanente de collections.
Culture / spectacle : Salles de spectacles, conférences ou auditions.
Culture / spectacle : Accueil d’assemblées et réunions publiques.
Culture / spectacle : Réunions, manifestations, polyvalence.
Culture / spectacle : Consultation et prêt de documents.
Expositions / salons : Manifestations commerciales ou thématiques.
Expositions / salons : Expositions temporaires ou permanentes.
Événementiel temporaire : Structures temporaires recevant du public.
Événementiel temporaire : Installations gonflables ouvertes au public.
Loisirs de plein air : Parcs de loisirs fixes recevant du public avec bâtiments d’accueil, restauration et sanitaires ; omission probable si la liste vise les grands sites de visite.
Loisirs de plein air / animalier : Établissements fixes et permanents présentant des animaux au public ; sanitaires publics très probables sur site.
Loisirs de plein air / animalier : À compter lorsqu’il s’agit d’un site autonome ; éviter le double compte si l’aquarium est déjà inclus dans un musée, un zoo ou un grand équipement multi-activités.</t>
  </si>
  <si>
    <t>Culture / spectacle : Multiplexe
Culture / spectacle : Théâtre municipal
Culture / spectacle : Musée municipal, musée privé
Culture / spectacle : Auditorium, salle de concert
Culture / spectacle : Centre de conférences
Culture / spectacle : Salle communale, salle polyvalente
Culture / spectacle : Bibliothèque municipale
Expositions / salons : Salon professionnel, foire
Expositions / salons : Hall d’exposition
Événementiel temporaire : Chapiteau de cirque, tente événementielle
Événementiel temporaire : Parc gonflable, château gonflable
Loisirs de plein air : Parc d’attractions, parc à thème
Loisirs de plein air / animalier : Zoo, parc animalier, réserve animalière visitable
Loisirs de plein air / animalier : Aquarium public, aquarium océanographique</t>
  </si>
  <si>
    <t>https://www.boxofficepro.fr/geographie-du-cinema-2024-un-parc-de-salles-stable/
https://www.insee.fr/fr/metadonnees/source/serie/s1161
https://www.culture.gouv.fr/Aides-demarches/Protections-labels-et-appellations/Appellation-Musee-de-France
https://www.insee.fr/fr/statistiques/8610258?geo=FE-1
https://www.legifrance.gouv.fr/codes/section_lc/JORFTEXT000000290033/LEGISCTA000020303822/
https://www.legifrance.gouv.fr/codes/section_lc/JORFTEXT000000290033/LEGISCTA000024845052/
https://www.formulaires.service-public.fr/gf/getNotice.do?cerfaFormulaire=13703&amp;cerfaNotice=51434
https://www.legifrance.gouv.fr/loda/id/JORFTEXT000000610915/
https://www.legifrance.gouv.fr/codes/section_lc/JORFTEXT000000290033/LEGISCTA000024845052/
https://www.legifrance.gouv.fr/jorf/id/JORFTEXT000051832274
https://www.legifrance.gouv.fr/codes/section_lc/JORFTEXT000000290033/LEGISCTA000024845052/</t>
  </si>
  <si>
    <t>Cinémas : Bloc public de salle/circulation + sanitaire staff ; pas de douches.
Théâtres : Bloc public de salle/circulation + sanitaire staff ; pas de douches.
Musées : Musée/bibliothèque : sanitaires visiteurs aux pôles d'accueil + staff.
Salles de spectacle / auditoriums : Équipement événementiel : programme public en batterie à l'entrée et en pourtour, staff séparé.
Salles de conférence / réunion : Équipement événementiel : programme public en batterie à l'entrée et en pourtour, staff séparé.
Salles polyvalentes / salles des fêtes : Équipement événementiel : programme public en batterie à l'entrée et en pourtour, staff séparé.
Bibliothèques / médiathèques : Musée/bibliothèque : sanitaires visiteurs aux pôles d'accueil + staff.
Foires / salons : Foires/halls : batteries de sanitaires permanents, hors renforts mobiles d'événement.
Halls d’exposition : Foires/halls : batteries de sanitaires permanents, hors renforts mobiles d'événement.
Chapiteaux / tentes / structures : Équipement événementiel : programme public en batterie à l'entrée et en pourtour, staff séparé.
Structures gonflables : Équipement événementiel : programme public en batterie à l'entrée et en pourtour, staff séparé.
Parcs d’attractions / parcs à thèmes fixes : Piscine de plein air : vestiaires humides séparés et douches collectives ; cabines individuelles non comptées.
Parcs zoologiques / parcs animaliers ouverts au public : Piscine de plein air : vestiaires humides séparés et douches collectives ; cabines individuelles non comptées.
Aquariums ouverts au public : Musée/bibliothèque : sanitaires visiteurs aux pôles d'accueil + staff.</t>
  </si>
  <si>
    <t>Cinémas : Capacité type ≈ 440 usagers principaux + 40 staff + 20 techniciens/exploitants externes. Le programme sanitaire est construit par blocs fonctionnels plausibles (public, personnel, exploitation/hébergement selon le cas) et non par simple ratio national moyen. Calibrage selon capacité simultanée, répartition de flux et organisation réelle du site.
Théâtres : Capacité type ≈ 616 usagers principaux + 56 staff + 28 artistes/intervenants. Le programme sanitaire est construit par blocs fonctionnels plausibles (public, personnel, exploitation/hébergement selon le cas) et non par simple ratio national moyen. Calibrage selon capacité simultanée, répartition de flux et organisation réelle du site.
Musées : Capacité type ≈ 246 usagers principaux + 36 staff + 18 intervenants/prestataires. Le programme sanitaire est construit par blocs fonctionnels plausibles (public, personnel, exploitation/hébergement selon le cas) et non par simple ratio national moyen. Calibrage selon capacité simultanée, répartition de flux et organisation réelle du site.
Salles de spectacle / auditoriums : Capacité type ≈ 572 usagers principaux + 52 staff + 26 artistes/intervenants. Le programme sanitaire est construit par blocs fonctionnels plausibles (public, personnel, exploitation/hébergement selon le cas) et non par simple ratio national moyen. Calibrage selon capacité simultanée, répartition de flux et organisation réelle du site.
Salles de conférence / réunion : Capacité type ≈ 220 usagers principaux + 20 staff + 10 intervenants/prestataires. Le programme sanitaire est construit par blocs fonctionnels plausibles (public, personnel, exploitation/hébergement selon le cas) et non par simple ratio national moyen. Calibrage selon capacité simultanée, répartition de flux et organisation réelle du site.
Salles polyvalentes / salles des fêtes : Capacité type ≈ 176 usagers principaux + 16 staff + 8 intervenants/prestataires. Le programme sanitaire est construit par blocs fonctionnels plausibles (public, personnel, exploitation/hébergement selon le cas) et non par simple ratio national moyen. Calibrage selon capacité simultanée, répartition de flux et organisation réelle du site.
Bibliothèques / médiathèques : Capacité type ≈ 123 usagers principaux + 18 staff + 9 intervenants/visiteurs. Le programme sanitaire est construit par blocs fonctionnels plausibles (public, personnel, exploitation/hébergement selon le cas) et non par simple ratio national moyen. Calibrage selon capacité simultanée, répartition de flux et organisation réelle du site.
Foires / salons : Capacité type ≈ 2125 usagers principaux + 250 staff + 125 exposants/prestataires. Le programme sanitaire est construit par blocs fonctionnels plausibles (public, personnel, exploitation/hébergement selon le cas) et non par simple ratio national moyen. Calibrage selon capacité simultanée, répartition de flux et organisation réelle du site.
Halls d’exposition : Capacité type ≈ 1530 usagers principaux + 180 staff + 90 exposants/prestataires. Le programme sanitaire est construit par blocs fonctionnels plausibles (public, personnel, exploitation/hébergement selon le cas) et non par simple ratio national moyen. Calibrage selon capacité simultanée, répartition de flux et organisation réelle du site.
Chapiteaux / tentes / structures : Capacité type ≈ 440 usagers principaux + 40 staff + 20 techniciens/prestataires. Le programme sanitaire est construit par blocs fonctionnels plausibles (public, personnel, exploitation/hébergement selon le cas) et non par simple ratio national moyen. Calibrage selon capacité simultanée, répartition de flux et organisation réelle du site.
Structures gonflables : Capacité type ≈ 71 usagers principaux + 6 staff + 3 accompagnants/encadrants. Le programme sanitaire est construit par blocs fonctionnels plausibles (public, personnel, exploitation/hébergement selon le cas) et non par simple ratio national moyen. Calibrage selon capacité simultanée, répartition de flux et organisation réelle du site.
Parcs d’attractions / parcs à thèmes fixes : Capacité type ≈ 504 sportifs/usagers + 60 staff + 36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Parcs zoologiques / parcs animaliers ouverts au public : Capacité type ≈ 504 sportifs/usagers + 60 staff + 36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Aquariums ouverts au public : Capacité type ≈ 246 usagers principaux + 36 staff + 18 intervenants/prestataires. Le programme sanitaire est construit par blocs fonctionnels plausibles (public, personnel, exploitation/hébergement selon le cas) et non par simple ratio national moyen. Calibrage selon capacité simultanée, répartition de flux et organisation réelle du site.</t>
  </si>
  <si>
    <t>Restauration / boissons
Loisirs
Commerce</t>
  </si>
  <si>
    <t>Cafés / bars / brasseries
Fast-food / cafétérias / food courts
Restaurants
(Hors établissements altitude, flottant, armée)
Salles de jeux / bowlings / billards
Discothèques / salles de danse
Centres commerciaux / malls
Marchés couverts
Casinos</t>
  </si>
  <si>
    <t>N / P / M / P / N / L</t>
  </si>
  <si>
    <t>Restauration / boissons : Débits de boissons et restauration.
Restauration / boissons : Restauration rapide.
Restauration / boissons : Restauration assise ou rapide.
Loisirs : Jeux et loisirs intérieurs.
Loisirs : Danse et activités assimilées.
Commerce : Centres commerciaux et grands magasins.
Commerce : Vente au détail sous halle / couvert.
Loisirs : Établissements recevant du public où le jeu, l’animation et la restauration sont réunis sous une direction unique ; sanitaires publics très probables.</t>
  </si>
  <si>
    <t>Restauration / boissons : Bar, café, brasserie
Restauration / boissons : Fast-food, cafétéria
Restauration / boissons : Restaurant traditionnel
Loisirs : Bowling, salle de jeux
Loisirs : Discothèque, dancing
Commerce : Centre commercial, retail park couvert
Commerce : Marché couvert
Loisirs : Casino</t>
  </si>
  <si>
    <t>https://www.insee.fr/fr/metadonnees/source/fichier/BPE_evol_1924_liste_a_plat_TYPEQU.html
https://www.insee.fr/fr/metadonnees/source/serie/s1161
https://www.legifrance.gouv.fr/loda/id/JORFTEXT000000278899
https://www.legifrance.gouv.fr/codes/section_lc/JORFTEXT000000290033/LEGISCTA000020334969/</t>
  </si>
  <si>
    <t>Cafés / bars / brasseries : Débit de boisson : bloc client + sanitaire personnel.
Fast-food / cafétérias / food courts : Restauration rapide : bloc clients à fort turnover + staff.
Restaurants
(Hors établissements altitude, flottant, armée) : Altitude : bloc restauration/skieurs + vestiaires/douches collectives ; chambres non comptées.
Salles de jeux / bowlings / billards : Loisir indoor : sanitaires public + équipe d'exploitation.
Discothèques / salles de danse : Discothèque : surdimensionnement relatif sur les WC publics ; pas de douches.
Centres commerciaux / malls : Centre commercial : plusieurs noyaux publics répartis + sanitaires personnel enseignes/gestion.
Marchés couverts : Marché couvert : bloc public central + commerçants.
Casinos : Loisir indoor : sanitaires public + équipe d'exploitation.</t>
  </si>
  <si>
    <t>Cafés / bars / brasseries : Capacité type ≈ 73 usagers principaux + 14 staff + 3 livreurs/prestataires. Le programme sanitaire est construit par blocs fonctionnels plausibles (public, personnel, exploitation/hébergement selon le cas) et non par simple ratio national moyen. Calibrage selon capacité simultanée, répartition de flux et organisation réelle du site.
Fast-food / cafétérias / food courts : Capacité type ≈ 101 usagers principaux + 17 staff + 2 livreurs/prestataires. Le programme sanitaire est construit par blocs fonctionnels plausibles (public, personnel, exploitation/hébergement selon le cas) et non par simple ratio national moyen. Calibrage selon capacité simultanée, répartition de flux et organisation réelle du site.
Restaurants
(Hors établissements altitude, flottant, armée) : Capacité type ≈ 82 usagers principaux + 15 staff + 3 livreurs/prestataires. Le programme sanitaire est construit par blocs fonctionnels plausibles (public, personnel, exploitation/hébergement selon le cas) et non par simple ratio national moyen. Calibrage selon capacité simultanée, répartition de flux et organisation réelle du site.
Salles de jeux / bowlings / billards : Capacité type ≈ 215 usagers principaux + 25 staff + 10 accompagnants/prestataires. Le programme sanitaire est construit par blocs fonctionnels plausibles (public, personnel, exploitation/hébergement selon le cas) et non par simple ratio national moyen. Calibrage selon capacité simultanée, répartition de flux et organisation réelle du site.
Discothèques / salles de danse : Capacité type ≈ 315 usagers principaux + 28 staff + 7 artistes/techniciens. Le programme sanitaire est construit par blocs fonctionnels plausibles (public, personnel, exploitation/hébergement selon le cas) et non par simple ratio national moyen. Calibrage selon capacité simultanée, répartition de flux et organisation réelle du site.
Centres commerciaux / malls : Capacité type ≈ 3280 usagers principaux + 400 staff + 320 prestataires/livreurs. Le programme sanitaire est construit par blocs fonctionnels plausibles (public, personnel, exploitation/hébergement selon le cas) et non par simple ratio national moyen. Calibrage selon capacité simultanée, répartition de flux et organisation réelle du site.
Marchés couverts : Capacité type ≈ 312 usagers principaux + 60 staff + 28 prestataires/livreurs. Le programme sanitaire est construit par blocs fonctionnels plausibles (public, personnel, exploitation/hébergement selon le cas) et non par simple ratio national moyen. Calibrage selon capacité simultanée, répartition de flux et organisation réelle du site.
Casinos : Capacité type ≈ 215 usagers principaux + 25 staff + 10 accompagnants/prestataires. Le programme sanitaire est construit par blocs fonctionnels plausibles (public, personnel, exploitation/hébergement selon le cas) et non par simple ratio national moyen. Calibrage selon capacité simultanée, répartition de flux et organisation réelle du site.</t>
  </si>
  <si>
    <t>Bureaux
Usines &amp; Ateliers
Logistique / stockage</t>
  </si>
  <si>
    <t>Bureaux (&gt;50 personnes, tertiaire privé + logistique hors usines)
Usines 
(&gt;50 personnes - Hors Ateliers industriels)
Garages / ateliers de réparation automobile recevant du public
Ateliers industriels / de maintenance (&gt;50 personnes)
Centres de stockage / entrepôts / plateformes logistiques (&gt;50 personnes)</t>
  </si>
  <si>
    <t>W ou hors ERP / Hors ERP / Variable</t>
  </si>
  <si>
    <t>mixte / hors ERP</t>
  </si>
  <si>
    <t>Bureaux : On compte uniquement les bureaux autonomes recevant des salariés sur site, avec sanitaires dédiés ou mutualisés sur place. Ne compter que les bureaux tertiaires privés classiques et ceux intégrés à des sites logistiques (hors usines), de plus de 50 personnes.
Usines &amp; Ateliers : Tout type d’usine de plus de 50 personnes, avec sanitaires dédiés ou mutualisés sur place. Hors bureaux autonomes et hors entrepôts / logistique sans fabrication.
Usines &amp; Ateliers : Ajout dédié pour les garages et centres auto recevant une clientèle, avec atelier, vestiaires/sanitaires du personnel et souvent sanitaires clients. Proxy sectoriel fondé sur le secteur Insee 452.
Usines &amp; Ateliers : Sous-ensemble distingué de l'ancienne ligne 'Usines (&gt;50 personnes)'. Ventilation proxy pour isoler les ateliers et centres de maintenance.
Logistique / stockage : Sous-ensemble distingué de l'ancienne ligne 'Bureaux (&gt;50 personnes, tertiaire privé + logistique hors usines)'. Ventilation proxy pour isoler la logistique.</t>
  </si>
  <si>
    <t>Bureaux : Immeuble tertiaire privé, siège social, centre de services, bureau de site logistique
Usines &amp; Ateliers : Usine agroalimentaire, site métallurgique, usine chimique, usine automobile
Usines &amp; Ateliers : Garage automobile, centre auto, atelier de réparation
Usines &amp; Ateliers : Atelier de maintenance, atelier technique, atelier industriel
Logistique / stockage : Entrepôt, plateforme logistique, centre de distribution</t>
  </si>
  <si>
    <t>https://www.insee.fr/fr/statistiques/8266010
https://www.insee.fr/fr/statistiques/2012766
https://www.insee.fr/fr/statistiques/2496914
https://www.insee.fr/fr/statistiques/8266010
https://www.insee.fr/fr/statistiques/2012766
https://www.insee.fr/fr/statistiques/8673351</t>
  </si>
  <si>
    <t>Bureaux (&gt;50 personnes, tertiaire privé + logistique hors usines) : Référence code du travail pour bureaux &gt;50 pers. : cabinets/urinoirs par sexe + lavabos, hors sanitaires privatifs.
Usines 
(&gt;50 personnes - Hors Ateliers industriels) : Usine &gt;50 pers. : base code du travail + douches collectives d'atelier/vestiaires ; pas de sanitaires individuels.
Garages / ateliers de réparation automobile recevant du public : Référence code du travail pour bureaux &gt;50 pers. : cabinets/urinoirs par sexe + lavabos, hors sanitaires privatifs.
Ateliers industriels / de maintenance (&gt;50 personnes) : Usine &gt;50 pers. : base code du travail + douches collectives d'atelier/vestiaires ; pas de sanitaires individuels.
Centres de stockage / entrepôts / plateformes logistiques (&gt;50 personnes) : Référence code du travail pour bureaux &gt;50 pers. : cabinets/urinoirs par sexe + lavabos, hors sanitaires privatifs.</t>
  </si>
  <si>
    <t>Bureaux (&gt;50 personnes, tertiaire privé + logistique hors usines) : Capacité type ≈ 145 salariés/usagers principaux + 17 staff support + 8 visiteurs/prestataires. Application prioritaire du Code du travail : 1 lavabo/10 travailleurs, 1 WC + 1 urinoir/20 hommes, 2 WC/20 femmes, avec douches dès que les postes sont salissants ; arrondis par noyaux sanitaires/vestiaires. Calibrage selon capacité simultanée, répartition de flux et organisation réelle du site.
Usines 
(&gt;50 personnes - Hors Ateliers industriels) : Capacité type ≈ 119 salariés/usagers principaux + 14 staff support + 7 prestataires/intérimaires. Application prioritaire du Code du travail : 1 lavabo/10 travailleurs, 1 WC + 1 urinoir/20 hommes, 2 WC/20 femmes, avec douches dès que les postes sont salissants ; arrondis par noyaux sanitaires/vestiaires. Calibrage selon capacité simultanée, répartition de flux et organisation réelle du site.
Garages / ateliers de réparation automobile recevant du public : Capacité type ≈ 145 salariés/usagers principaux + 17 staff support + 8 visiteurs/prestataires. Application prioritaire du Code du travail : 1 lavabo/10 travailleurs, 1 WC + 1 urinoir/20 hommes, 2 WC/20 femmes, avec douches dès que les postes sont salissants ; arrondis par noyaux sanitaires/vestiaires. Calibrage selon capacité simultanée, répartition de flux et organisation réelle du site.
Ateliers industriels / de maintenance (&gt;50 personnes) : Capacité type ≈ 119 salariés/usagers principaux + 14 staff support + 7 prestataires/intérimaires. Application prioritaire du Code du travail : 1 lavabo/10 travailleurs, 1 WC + 1 urinoir/20 hommes, 2 WC/20 femmes, avec douches dès que les postes sont salissants ; arrondis par noyaux sanitaires/vestiaires. Calibrage selon capacité simultanée, répartition de flux et organisation réelle du site.
Centres de stockage / entrepôts / plateformes logistiques (&gt;50 personnes) : Capacité type ≈ 145 salariés/usagers principaux + 17 staff support + 8 visiteurs/prestataires. Application prioritaire du Code du travail : 1 lavabo/10 travailleurs, 1 WC + 1 urinoir/20 hommes, 2 WC/20 femmes, avec douches dès que les postes sont salissants ; arrondis par noyaux sanitaires/vestiaires. Calibrage selon capacité simultanée, répartition de flux et organisation réelle du site.</t>
  </si>
  <si>
    <t>Hébergement Touristique
Hébergement Montagne
Tourisme de plein air
Hébergement social &amp; accueil spécialisé
Santé ambulatoire spécialisée</t>
  </si>
  <si>
    <t>Hôtels
Pensions de famille
Résidences de tourisme
Hôtels-restaurants d’altitude
Refuges de montagne
Auberges de jeunesse
Campings
Aires d’accueil des gens du voyage
Centres d’hébergement d’urgence / accueils de nuit
CHRS / centres d’hébergement et de réinsertion sociale
CADA / HUDA / CAES / centres d’accueil pour demandeurs d’asile
Foyers de jeunes travailleurs / résidences sociales / foyers de travailleurs migrants
Accueils de jour / haltes de jour avec douches et sanitaires
Cabinets dentaires / centres dentaires
Laboratoires de biologie médicale recevant du public
Centres d’imagerie médicale recevant du public
Centres de dialyse ambulatoire / unités d’autodialyse
Villages de vacances / clubs vacances / centres de vacances familiaux</t>
  </si>
  <si>
    <t>O / OA / REF / O ou R / PA / Variable / O / variable / O ou J / variable / O ou mixte / variable / W ou variable / U ou W / variable / U / variable</t>
  </si>
  <si>
    <t>ERP / ERP spécial / Cas particulier / ERP / variable</t>
  </si>
  <si>
    <t>Hébergement Touristique : Hébergement hôtelier.
Hébergement Touristique : Hébergement de type pension.
Hébergement Touristique : Hébergement touristique avec accueil.
Hébergement Montagne : Établissements d’altitude.
Hébergement Montagne : Refuges recevant du public en zone de montagne.
Hébergement Touristique : Classement selon exploitation et activité.
Tourisme de plein air : Établissements de plein air recevant du public.
Tourisme de plein air : Sites aménagés avec emplacements, blocs sanitaires et accueil ; public ciblé et régime spécifique, mais composante sanitaire structurelle.
Hébergement social &amp; accueil spécialisé : Hébergement collectif accueillant du public spécifique avec sanitaires collectifs quasi systématiques ; à distinguer des simples bureaux sociaux sans hébergement.
Hébergement social &amp; accueil spécialisé : Structures d’hébergement social avec espaces collectifs et sanitaires structurants ; éviter le double compte quand le CHRS partage un site déjà ventilé autrement.
Hébergement social &amp; accueil spécialisé : Structures d’hébergement et d’accueil avec sanitaires collectifs très probables ; à compter par site autonome d’hébergement.
Hébergement social &amp; accueil spécialisé : Logements-foyers et résidences sociales avec locaux communs et sanitaires structurants ; à isoler lorsqu’ils ne sont pas déjà rangés dans une autre ligne logement collectif.
Hébergement social &amp; accueil spécialisé : À ajouter quand le lieu d’accueil dispose réellement d’espaces d’hygiène (douches, sanitaires, vestiaire, laverie) et fonctionne comme site autonome.
Santé ambulatoire spécialisée : Forte omission probable si l’objectif est d’inventorier les sites de soins recevant du public avec lavabos et sanitaires. Compter par site autonome, pas par praticien.
Santé ambulatoire spécialisée : Sites de prélèvement et d’analyses recevant du public ; à compter par site d’accueil autonome et non lorsqu’ils sont strictement intégrés à un hôpital déjà compté.
Santé ambulatoire spécialisée : Recevant du public avec salles d’attente et sanitaires ; à compter uniquement si le plateau d’imagerie est un site autonome.
Santé ambulatoire spécialisée : Sites de soins avec accueil patient, sanitaires et locaux techniques ; ne compter que les implantations autonomes hors hôpitaux déjà comptés.
Hébergement Touristique : Peuvent avoir été absorbés à tort dans campings ou résidences de tourisme ; à ajouter quand le site est exploité comme village de vacances autonome.</t>
  </si>
  <si>
    <t>Hébergement Touristique : Hôtel, motel
Hébergement Touristique : Pension de famille
Hébergement Touristique : Résidence hôtelière
Hébergement Montagne : Restaurant d’altitude, hôtel d’altitude
Hébergement Montagne : Refuge alpin
Hébergement Touristique : Auberge de jeunesse
Tourisme de plein air : Camping, village vacances
Tourisme de plein air : Aire d’accueil des gens du voyage
Hébergement social &amp; accueil spécialisé : Centre d’hébergement d’urgence, accueil de nuit
Hébergement social &amp; accueil spécialisé : CHRS
Hébergement social &amp; accueil spécialisé : CADA, HUDA, CAES
Hébergement social &amp; accueil spécialisé : FJT, résidence sociale, foyer de travailleurs migrants
Hébergement social &amp; accueil spécialisé : Accueil de jour, halte de jour, structure hygiène
Santé ambulatoire spécialisée : Cabinet dentaire, centre dentaire
Santé ambulatoire spécialisée : Laboratoire de biologie médicale
Santé ambulatoire spécialisée : Centre d’imagerie, radiologie, IRM, scanner
Santé ambulatoire spécialisée : Centre de dialyse, unité d’autodialyse
Hébergement Touristique : Village vacances, club vacances, maison familiale de vacances</t>
  </si>
  <si>
    <t>https://www.insee.fr/fr/statistiques/2015412
https://www.insee.fr/fr/metadonnees/source/serie/s1161
https://www.insee.fr/fr/statistiques/2015462
https://www.legifrance.gouv.fr/codes/section_lc/JORFTEXT000000290033/LEGISCTA000020303822/
https://www.atout-france.fr/fr/classement/les-categories-dhebergement
https://www.insee.fr/fr/statistiques/2015437
https://www.legifrance.gouv.fr/codes/article_lc/LEGIARTI000037670338
https://www.legifrance.gouv.fr/codes/section_lc/JORFTEXT000000290033/LEGISCTA000020334940/
https://www.legifrance.gouv.fr/codes/section_lc/LEGITEXT000006074069/LEGISCTA000006157691/
https://www.legifrance.gouv.fr/codes/section_lc/JORFTEXT000000290033/LEGISCTA000020334940/
https://www.legifrance.gouv.fr/jorf/id/JORFTEXT000038671063
https://www.legifrance.gouv.fr/codes/id/LEGISCTA000031202450/
https://www.legifrance.gouv.fr/jorf/id/JORFTEXT000030960097
https://www.legifrance.gouv.fr/codes/article_lc/LEGIARTI000020466036
https://solidarites.gouv.fr/les-distributions-de-repas
https://www.legifrance.gouv.fr/circulaire/id/34292
https://www.sante.fr/recherche/trouver/dentistes%20
https://www.sante.fr/recherche/trouver/Centre%20M%C3%A9dical%20Et%20Dentaire
https://www.sante.fr/recherche/trouver/laboratoires
https://www.sante.fr/laboratoire-de-biologie-medicale-lbm/angouleme/laboffice
https://www.sante.fr/categories/imagerie
https://www.sante.fr/etablissement-de-soins-chirurgicaux/angouleme-cedex/cl-clinique-saint-joseph-angouleme/imagerie-medicale-radiologie
https://www.sante.fr/recherche/trouver/Centre%20de%20dialyse
https://sante.gouv.fr/IMG/pdf/depliant_reforme_transport_patients_hospitalises_aide_prescription_centres-dialyse-chimio-radio_ecranbd-2.pdf
https://www.legifrance.gouv.fr/codes/section_lc/LEGITEXT000006074073/LEGISCTA000006158431/
https://www.legifrance.gouv.fr/codes/article_lc/LEGIARTI000006813419/2006-10-07</t>
  </si>
  <si>
    <t>Hôtels : Hôtel : seuls lobby, restaurant, réunion et staff sont comptés ; chambres exclues.
Pensions de famille : Pension de famille : blocs communs seulement.
Résidences de tourisme : Résidence de tourisme : seuls espaces communs et staff ; appartements exclus.
Hôtels-restaurants d’altitude : Altitude : bloc restauration/skieurs + vestiaires/douches collectives ; chambres non comptées.
Refuges de montagne : Refuge : blocs communs dortoir/restauration, sans cellules ou sanitaires individuels.
Auberges de jeunesse : Auberge : blocs collectifs d'étage, pas de chambres privatives.
Campings : Camping : blocs sanitaires collectifs permanents ; hébergements individuels exclus.
Aires d’accueil des gens du voyage : Camping : blocs sanitaires collectifs permanents ; hébergements individuels exclus.
Centres d’hébergement d’urgence / accueils de nuit : Auberge : blocs collectifs d'étage, pas de chambres privatives.
CHRS / centres d’hébergement et de réinsertion sociale : Auberge : blocs collectifs d'étage, pas de chambres privatives.
CADA / HUDA / CAES / centres d’accueil pour demandeurs d’asile : Auberge : blocs collectifs d'étage, pas de chambres privatives.
Foyers de jeunes travailleurs / résidences sociales / foyers de travailleurs migrants : Blocs collectifs d'hébergement/étage ; exclusion des chambres avec sanitaires privatifs.
Accueils de jour / haltes de jour avec douches et sanitaires : Sanitaire public autonome type bloc urbain ; dimension minimale &gt;5 usagers cumulés.
Cabinets dentaires / centres dentaires : Site ambulatoire / consultations ; petits blocs d'attente et de personnel.
Laboratoires de biologie médicale recevant du public : Site ambulatoire / consultations ; petits blocs d'attente et de personnel.
Centres d’imagerie médicale recevant du public : Site ambulatoire / consultations ; petits blocs d'attente et de personnel.
Centres de dialyse ambulatoire / unités d’autodialyse : Site ambulatoire / consultations ; petits blocs d'attente et de personnel.
Villages de vacances / clubs vacances / centres de vacances familiaux : Résidence de tourisme : seuls espaces communs et staff ; appartements exclus.</t>
  </si>
  <si>
    <t>Hôtels : Capacité type ≈ 86 usagers principaux + 20 staff + 4 visiteurs/intervenants. Le programme sanitaire est construit par blocs fonctionnels plausibles (public, personnel, exploitation/hébergement selon le cas) et non par simple ratio national moyen. Calibrage selon capacité simultanée, répartition de flux et organisation réelle du site.
Pensions de famille : Capacité type ≈ 21 usagers principaux + 3 staff + 1 visiteurs/intervenants. Le programme sanitaire est construit par blocs fonctionnels plausibles (public, personnel, exploitation/hébergement selon le cas) et non par simple ratio national moyen. Calibrage selon capacité simultanée, répartition de flux et organisation réelle du site.
Résidences de tourisme : Capacité type ≈ 96 usagers principaux + 18 staff + 6 visiteurs/intervenants. Le programme sanitaire est construit par blocs fonctionnels plausibles (public, personnel, exploitation/hébergement selon le cas) et non par simple ratio national moyen. Calibrage selon capacité simultanée, répartition de flux et organisation réelle du site.
Hôtels-restaurants d’altitude : Capacité type ≈ 98 usagers principaux + 18 staff + 4 accompagnants/ravitaillement. Le programme sanitaire est construit par blocs fonctionnels plausibles (public, personnel, exploitation/hébergement selon le cas) et non par simple ratio national moyen. Calibrage selon capacité simultanée, répartition de flux et organisation réelle du site.
Refuges de montagne : Capacité type ≈ 40 usagers principaux + 4 staff + 1 accompagnants/gardiens. Le programme sanitaire est construit par blocs fonctionnels plausibles (public, personnel, exploitation/hébergement selon le cas) et non par simple ratio national moyen. Calibrage selon capacité simultanée, répartition de flux et organisation réelle du site.
Auberges de jeunesse : Capacité type ≈ 77 usagers principaux + 11 staff + 2 visiteurs/intervenants. Le programme sanitaire est construit par blocs fonctionnels plausibles (public, personnel, exploitation/hébergement selon le cas) et non par simple ratio national moyen. Calibrage selon capacité simultanée, répartition de flux et organisation réelle du site.
Campings : Capacité type ≈ 270 usagers principaux + 24 staff + 6 visiteurs/maintenance. Le programme sanitaire est construit par blocs fonctionnels plausibles (public, personnel, exploitation/hébergement selon le cas) et non par simple ratio national moyen. Calibrage selon capacité simultanée, répartition de flux et organisation réelle du site.
Aires d’accueil des gens du voyage : Capacité type ≈ 270 usagers principaux + 24 staff + 6 visiteurs/maintenance. Le programme sanitaire est construit par blocs fonctionnels plausibles (public, personnel, exploitation/hébergement selon le cas) et non par simple ratio national moyen. Calibrage selon capacité simultanée, répartition de flux et organisation réelle du site.
Centres d’hébergement d’urgence / accueils de nuit : Capacité type ≈ 77 usagers principaux + 11 staff + 2 visiteurs/intervenants. Le programme sanitaire est construit par blocs fonctionnels plausibles (public, personnel, exploitation/hébergement selon le cas) et non par simple ratio national moyen. Calibrage selon capacité simultanée, répartition de flux et organisation réelle du site.
CHRS / centres d’hébergement et de réinsertion sociale : Capacité type ≈ 77 usagers principaux + 11 staff + 2 visiteurs/intervenants. Le programme sanitaire est construit par blocs fonctionnels plausibles (public, personnel, exploitation/hébergement selon le cas) et non par simple ratio national moyen. Calibrage selon capacité simultanée, répartition de flux et organisation réelle du site.
CADA / HUDA / CAES / centres d’accueil pour demandeurs d’asile : Capacité type ≈ 77 usagers principaux + 11 staff + 2 visiteurs/intervenants. Le programme sanitaire est construit par blocs fonctionnels plausibles (public, personnel, exploitation/hébergement selon le cas) et non par simple ratio national moyen. Calibrage selon capacité simultanée, répartition de flux et organisation réelle du site.
Foyers de jeunes travailleurs / résidences sociales / foyers de travailleurs migrants : Capacité type ≈ 162 résidents/usagers + 14 staff + 4 visiteurs/intervenants. Hypothèse d'hébergement collectif : sanitaires d'étage et douches communes, hors chambres purement privatives. Calibrage selon capacité simultanée, répartition de flux et organisation réelle du site.
Accueils de jour / haltes de jour avec douches et sanitaires : Capacité type ≈ 6 usagers principaux + 0 staff + 0 familles/intervenants. Le programme sanitaire est construit par blocs fonctionnels plausibles (public, personnel, exploitation/hébergement selon le cas) et non par simple ratio national moyen. Calibrage selon capacité simultanée, répartition de flux et organisation réelle du site.
Cabinets dentaires / centres dentaires : Capacité type ≈ 18 usagers principaux + 5 staff + 2 accompagnants/visiteurs. Le programme sanitaire est construit par blocs fonctionnels plausibles (public, personnel, exploitation/hébergement selon le cas) et non par simple ratio national moyen. Calibrage selon capacité simultanée, répartition de flux et organisation réelle du site.
Laboratoires de biologie médicale recevant du public : Capacité type ≈ 18 usagers principaux + 5 staff + 2 accompagnants/visiteurs. Le programme sanitaire est construit par blocs fonctionnels plausibles (public, personnel, exploitation/hébergement selon le cas) et non par simple ratio national moyen. Calibrage selon capacité simultanée, répartition de flux et organisation réelle du site.
Centres d’imagerie médicale recevant du public : Capacité type ≈ 18 usagers principaux + 5 staff + 2 accompagnants/visiteurs. Le programme sanitaire est construit par blocs fonctionnels plausibles (public, personnel, exploitation/hébergement selon le cas) et non par simple ratio national moyen. Calibrage selon capacité simultanée, répartition de flux et organisation réelle du site.
Centres de dialyse ambulatoire / unités d’autodialyse : Capacité type ≈ 18 usagers principaux + 5 staff + 2 accompagnants/visiteurs. Le programme sanitaire est construit par blocs fonctionnels plausibles (public, personnel, exploitation/hébergement selon le cas) et non par simple ratio national moyen. Calibrage selon capacité simultanée, répartition de flux et organisation réelle du site.
Villages de vacances / clubs vacances / centres de vacances familiaux : Capacité type ≈ 96 usagers principaux + 18 staff + 6 visiteurs/intervenants. Le programme sanitaire est construit par blocs fonctionnels plausibles (public, personnel, exploitation/hébergement selon le cas) et non par simple ratio national moyen. Calibrage selon capacité simultanée, répartition de flux et organisation réelle du site.</t>
  </si>
  <si>
    <t>Code du travail pour staff + hypothèse programmatique d'hébergement collectif / tourisme ; source de comptage propre à la ligne en col. AP.
Éducation nationale / ONS, 'Les sanitaires dans les écoles élémentaires' : https://www.education.gouv.fr/sites/default/files/imported_files/document/ONS-Les-sanitaires-dans-les-ecoles-elementaires_391494.pdf ; + Code du travail pour les sanitaires adultes/staff.
Code du travail (sanitaires et vestiaires staff) + programmation ERP/usages d'exploitation ; source de comptage propre à la ligne en col. AP.
Programmation hospitalière / médico-sociale (ANAP/CNSA) + pratique courante d'hospitalisation complète : https://anap.fr/ ; https://www.cnsa.fr/actualites/immobilier-et-ehpad-un-autodiagnostic-et-un-nouvel-outil-de-dimensionnement-surfacique</t>
  </si>
  <si>
    <t>Administrations / services publics
Culte
Vie associative</t>
  </si>
  <si>
    <t>Mairies / hôtels de ville
Préfectures / services administratifs
Maisons France Services
Guichets publics
Églises, cathédrales, basiliques et chapelles ouvertes au public
Monastères, abbayes et couvents ouverts au public
Temples protestants, évangéliques et salles de culte assimilées
Mosquées et salles de prière musulmanes
Synagogues et oratoires juifs ouverts au public
Temples bouddhistes, hindous et autres lieux de culte non abrahamiques ouverts au public
Salles du Royaume, centres cultuels pluriconfessionnels et lieux de culte polyvalents
Locaux associatifs recevant du public</t>
  </si>
  <si>
    <t>W / V / Variable / L ou W</t>
  </si>
  <si>
    <t>Administrations / services publics : Administrations recevant du public.
Administrations / services publics : Accueil administratif du public.
Culte : Édifices cultuels chrétiens recevant des fidèles ou des visiteurs. Les annexes paroissiales se classent séparément selon leur usage.
Culte : Les parties ouvertes au public à vocation cultuelle relèvent du type V ; les espaces d’hébergement, de retraite, de visite ou de restauration se classent selon leur usage réel.
Culte : Lieux de culte protestants ou évangéliques recevant du public. Les salles polyvalentes ou d’enseignement biblique annexes se classent selon leur usage dominant.
Culte : Lieux de culte musulmans recevant du public. Les espaces d’ablutions, salles polyvalentes ou locaux d’enseignement associés s’analysent selon l’exploitation réelle du site.
Culte : Lieux de culte juifs recevant des fidèles ou visiteurs. Les salles communautaires annexes peuvent relever de L ou W selon l’usage.
Culte : Lieux de culte recevant du public pour cérémonies, offices ou pratiques religieuses. Les bâtiments d’hébergement ou de retraite se classent séparément si présents.
Culte : Lieux de rassemblement religieux recevant du public, parfois polyvalents. Les espaces de réunion, restauration ou bureau associés peuvent relever d’autres types complémentaires.
Vie associative : Selon activité dominante : réunion, bureau, activités.</t>
  </si>
  <si>
    <t>Administrations / services publics : Mairie, hôtel de ville
Administrations / services publics : Préfecture, sous-préfecture
Administrations / services publics : Maison de services publics
Culte : Église paroissiale, cathédrale, chapelle ouverte au public
Culte : Abbaye ouverte aux visiteurs, monastère avec hôtellerie, couvent avec chapelle publique
Culte : Temple protestant, église évangélique, salle de culte
Culte : Mosquée de quartier, grande mosquée, salle de prière
Culte : Synagogue, oratoire, centre cultuel juif
Culte : Temple bouddhiste, temple hindou, centre spirituel ouvert au public
Culte : Salle du Royaume, centre cultuel pluriconfessionnel, salle de rassemblement religieux
Vie associative : Maison des associations</t>
  </si>
  <si>
    <t>https://www.vie-publique.fr/en-bref/298350-collectivites-34-875-communes-au-1er-janvier-2025
https://www.interieur.gouv.fr/Le-ministere/Prefectures
https://www.france-services.gouv.fr/notre-mission/un-service-public-de-proximite
https://www.culture.gouv.fr/
https://www.interieur.gouv.fr/
https://www.insee.fr/fr/metadonnees/source/serie/s1161</t>
  </si>
  <si>
    <t>Mairies / hôtels de ville : Bâtiment administratif/mairie/préfecture : programme bureau + accueil public.
Préfectures / services administratifs : Bâtiment administratif/mairie/préfecture : programme bureau + accueil public.
Maisons France Services
Guichets publics : Guichet public de petite taille : un bloc usagers et un bloc équipe.
Églises, cathédrales, basiliques et chapelles ouvertes au public : Lieu de culte : petit bloc visiteurs/fidèles et équipe.
Monastères, abbayes et couvents ouverts au public : Lieu de culte : petit bloc visiteurs/fidèles et équipe.
Temples protestants, évangéliques et salles de culte assimilées : Lieu de culte : petit bloc visiteurs/fidèles et équipe.
Mosquées et salles de prière musulmanes : Mosquée/salle de prière : sanitaires + points d'ablution mutualisés.
Synagogues et oratoires juifs ouverts au public : Lieu de culte : petit bloc visiteurs/fidèles et équipe.
Temples bouddhistes, hindous et autres lieux de culte non abrahamiques ouverts au public : Lieu de culte : petit bloc visiteurs/fidèles et équipe.
Salles du Royaume, centres cultuels pluriconfessionnels et lieux de culte polyvalents : Lieu de culte : petit bloc visiteurs/fidèles et équipe.
Locaux associatifs recevant du public : Local associatif polyvalent : bloc simple mixte + accès PMR.</t>
  </si>
  <si>
    <t>Mairies / hôtels de ville : Capacité type ≈ 127 usagers principaux + 15 staff + 8 prestataires/usagers accompagnants. Le programme sanitaire est construit par blocs fonctionnels plausibles (public, personnel, exploitation/hébergement selon le cas) et non par simple ratio national moyen. Calibrage selon capacité simultanée, répartition de flux et organisation réelle du site.
Préfectures / services administratifs : Capacité type ≈ 213 usagers principaux + 25 staff + 12 prestataires/visiteurs. Le programme sanitaire est construit par blocs fonctionnels plausibles (public, personnel, exploitation/hébergement selon le cas) et non par simple ratio national moyen. Calibrage selon capacité simultanée, répartition de flux et organisation réelle du site.
Maisons France Services
Guichets publics : Capacité type ≈ 22 usagers principaux + 2 staff + 1 partenaires/prestataires. Le programme sanitaire est construit par blocs fonctionnels plausibles (public, personnel, exploitation/hébergement selon le cas) et non par simple ratio national moyen. Calibrage selon capacité simultanée, répartition de flux et organisation réelle du site.
Églises, cathédrales, basiliques et chapelles ouvertes au public : Capacité type ≈ 226 usagers principaux + 12 staff + 12 officiants/bénévoles. Le programme sanitaire est construit par blocs fonctionnels plausibles (public, personnel, exploitation/hébergement selon le cas) et non par simple ratio national moyen. Calibrage selon capacité simultanée, répartition de flux et organisation réelle du site.
Monastères, abbayes et couvents ouverts au public : Capacité type ≈ 180 usagers principaux + 10 staff + 10 retraitants/bénévoles. Le programme sanitaire est construit par blocs fonctionnels plausibles (public, personnel, exploitation/hébergement selon le cas) et non par simple ratio national moyen. Calibrage selon capacité simultanée, répartition de flux et organisation réelle du site.
Temples protestants, évangéliques et salles de culte assimilées : Capacité type ≈ 162 usagers principaux + 9 staff + 9 officiants/bénévoles. Le programme sanitaire est construit par blocs fonctionnels plausibles (public, personnel, exploitation/hébergement selon le cas) et non par simple ratio national moyen. Calibrage selon capacité simultanée, répartition de flux et organisation réelle du site.
Mosquées et salles de prière musulmanes : Capacité type ≈ 270 usagers principaux + 15 staff + 15 officiants/bénévoles. Le programme sanitaire est construit par blocs fonctionnels plausibles (public, personnel, exploitation/hébergement selon le cas) et non par simple ratio national moyen. Calibrage selon capacité simultanée, répartition de flux et organisation réelle du site.
Synagogues et oratoires juifs ouverts au public : Capacité type ≈ 108 usagers principaux + 6 staff + 6 officiants/bénévoles. Le programme sanitaire est construit par blocs fonctionnels plausibles (public, personnel, exploitation/hébergement selon le cas) et non par simple ratio national moyen. Calibrage selon capacité simultanée, répartition de flux et organisation réelle du site.
Temples bouddhistes, hindous et autres lieux de culte non abrahamiques ouverts au public : Capacité type ≈ 126 usagers principaux + 7 staff + 7 officiants/bénévoles. Le programme sanitaire est construit par blocs fonctionnels plausibles (public, personnel, exploitation/hébergement selon le cas) et non par simple ratio national moyen. Calibrage selon capacité simultanée, répartition de flux et organisation réelle du site.
Salles du Royaume, centres cultuels pluriconfessionnels et lieux de culte polyvalents : Capacité type ≈ 134 usagers principaux + 8 staff + 8 bénévoles/intervenants. Le programme sanitaire est construit par blocs fonctionnels plausibles (public, personnel, exploitation/hébergement selon le cas) et non par simple ratio national moyen. Calibrage selon capacité simultanée, répartition de flux et organisation réelle du site.
Locaux associatifs recevant du public : Capacité type ≈ 40 usagers principaux + 5 staff + 5 bénévoles/intervenants. Le programme sanitaire est construit par blocs fonctionnels plausibles (public, personnel, exploitation/hébergement selon le cas) et non par simple ratio national moyen. Calibrage selon capacité simultanée, répartition de flux et organisation réelle du site.</t>
  </si>
  <si>
    <t>Sport couvert / Thermalisme / bien-être
Sport de plein air
Sport couvert / équestre</t>
  </si>
  <si>
    <t>Gymnases / salles multisports
Piscines couvertes
Salles de fitness / dojos
Patinoires couvertes
Grands stades avec tribunes
(Type football/rugby) 
Stades 
(Type athlétisme - Hors scolaire)
Terrains de sport
(Hors scolaire)
Hippodromes
Piscines extérieures 
(Hors campings, hôtels, résidences et établissement avec bassin intérieur)
Établissements thermaux
Centres de thalassothérapie / balnéothérapie / grands spas ouverts au public
Bases nautiques / centres nautiques avec vestiaires-douches
Bases de loisirs avec plages, douches et sanitaires
Centres équestres / manèges couverts avec accueil public</t>
  </si>
  <si>
    <t>X / PA / Variable / X ou PA / PA ou variable / X ou PA / variable</t>
  </si>
  <si>
    <t>ERP / ERP spécial / ERP / variable</t>
  </si>
  <si>
    <t>Sport couvert / Thermalisme / bien-être : Établissements sportifs couverts.
Sport couvert / Thermalisme / bien-être : Sport couvert avec équipements spécifiques.
Sport couvert / Thermalisme / bien-être : Sport couvert.
Sport couvert / Thermalisme / bien-être : Équipement sportif couvert avec surfaces de glace recevant du public.
Sport de plein air : Équipements sportifs de plein air de grande taille.
Sport de plein air : Équipements sportifs de plein air.
Sport de plein air : Équipements sportifs et de loisirs de plein air.
Sport de plein air : Équipement nautique de plein air recevant du public.
Sport couvert / Thermalisme / bien-être : Sites recevant des curistes ou visiteurs avec vestiaires, douches, espaces d’eau et sanitaires ; à compter au site principal.
Sport couvert / Thermalisme / bien-être : Équipements structurés de soins d’eau ou de bien-être recevant du public, avec vestiaires, douches et sanitaires collectifs ; hors simple cabine de soin isolée.
Sport de plein air : Équipements nautiques ouverts au public avec vestiaires, douches et sanitaires ; hors piscines déjà comptées séparément et hors simple mise à l’eau sans bâtiment recevant du public.
Sport de plein air : Sites de loisirs autonomes avec accueil public et blocs sanitaires ; hors campings et piscines déjà comptés séparément.
Sport couvert / équestre : Le règlement type X cite notamment les manèges. À ajouter lorsqu’il existe un accueil public structuré avec sanitaires / vestiaires.</t>
  </si>
  <si>
    <t>Sport couvert / Thermalisme / bien-être : Gymnase, hall sportif
Sport couvert / Thermalisme / bien-être : Piscine municipale couverte, patinoire
Sport couvert / Thermalisme / bien-être : Salle de sport, dojo
Sport couvert / Thermalisme / bien-être : Patinoire municipale couverte
Sport de plein air : Stade football / rugby
Sport de plein air : Stade, terrain de rugby, piscine de plein air
Sport de plein air : Terrain de rugby, terrain de football ou autre …
Sport de plein air : Hippodrome
Sport de plein air : Piscine de plein air
Sport couvert / Thermalisme / bien-être : Thermes, établissement thermal
Sport couvert / Thermalisme / bien-être : Centre de thalasso, balnéothérapie, spa thermal ouvert au public
Sport de plein air : Base nautique, centre nautique, club nautique avec accueil public
Sport de plein air : Base de loisirs, plan d’eau aménagé, centre de loisirs de plein air
Sport couvert / équestre : Centre équestre, manège couvert, poney-club avec accueil public</t>
  </si>
  <si>
    <t>https://www.insee.fr/fr/metadonnees/source/serie/s1161
https://www.legifrance.gouv.fr/codes/section_lc/JORFTEXT000000290033/LEGISCTA000020336672/2019-07-01</t>
  </si>
  <si>
    <t>Gymnases / salles multisports : Gymnase : sanitaires publics + vestiaires sportifs séparés H/F, arbitres et encadrement (comptés lorsqu'ils desservent ≥5 pers.).
Piscines couvertes : Piscine couverte : vestiaires humides séparés et douches collectives obligatoires ; cabines individuelles non comptées.
Salles de fitness / dojos : Salle de fitness/dojo : vestiaires H/F et équipe, comptés dès lors qu'ils accueillent au moins 5 personnes simultanément.
Patinoires couvertes : Patinoire : blocs public + vestiaires sportifs séparés (joueurs, arbitres, staff), dès lors qu'ils desservent au moins 5 personnes.
Grands stades avec tribunes
(Type football/rugby)  : Grand stade : batteries public + vestiaires équipes/arbitres/contrôle, vestiaires collectifs séparés comptés dès qu'ils dépassent 5 personnes.
Stades 
(Type athlétisme - Hors scolaire) : Stade d'athlétisme : petit bloc public + vestiaires sportifs séparés si la jauge du vestiaire atteint ≥5 personnes.
Terrains de sport
(Hors scolaire) : Terrain de sport : petit bloc public + vestiaires sportifs séparés si la jauge du vestiaire atteint ≥5 personnes.
Hippodromes : Hippodrome : batteries public + locaux jockeys/personnel.
Piscines extérieures 
(Hors campings, hôtels, résidences et établissement avec bassin intérieur) : Piscine de plein air : vestiaires humides séparés et douches collectives ; cabines individuelles non comptées.
Établissements thermaux : Piscine couverte : vestiaires humides séparés et douches collectives obligatoires ; cabines individuelles non comptées.
Centres de thalassothérapie / balnéothérapie / grands spas ouverts au public : Piscine couverte : vestiaires humides séparés et douches collectives obligatoires ; cabines individuelles non comptées.
Bases nautiques / centres nautiques avec vestiaires-douches : Piscine couverte : vestiaires humides séparés et douches collectives obligatoires ; cabines individuelles non comptées.
Bases de loisirs avec plages, douches et sanitaires : Piscine de plein air : vestiaires humides séparés et douches collectives ; cabines individuelles non comptées.
Centres équestres / manèges couverts avec accueil public : Hippodrome : batteries public + locaux jockeys/personnel.</t>
  </si>
  <si>
    <t>Gymnases / salles multisports : Capacité type ≈ 210 sportifs/usagers + 25 staff + 15 arbitres/visiteurs. Le programme inclut sanitaires publics et vestiaires sportifs séparés dès lors qu'ils accueillent au moins 5 personnes ; pour les piscines, les douches collectives sont structurelles. Calibrage selon capacité simultanée, répartition de flux et organisation réelle du site.
Piscines couvertes : Capacité type ≈ 420 sportifs/usagers + 50 staff + 30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Salles de fitness / dojos : Capacité type ≈ 101 sportifs/usagers + 12 staff + 7 intervenants/visiteurs. Le programme inclut sanitaires publics et vestiaires sportifs séparés dès lors qu'ils accueillent au moins 5 personnes ; pour les piscines, les douches collectives sont structurelles. Calibrage selon capacité simultanée, répartition de flux et organisation réelle du site.
Patinoires couvertes : Capacité type ≈ 672 sportifs/usagers + 80 staff + 48 intervenants/maintenance.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Grands stades avec tribunes
(Type football/rugby)  : Capacité type ≈ 504 sportifs/usagers + 60 staff + 36 arbitres/maintenance.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Stades 
(Type athlétisme - Hors scolaire) : Capacité type ≈ 59 sportifs/usagers + 7 staff + 4 arbitres/maintenance.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Terrains de sport
(Hors scolaire) : Capacité type ≈ 15 sportifs/usagers + 2 staff + 1 arbitres/maintenance.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Hippodromes : Capacité type ≈ 2520 sportifs/usagers + 300 staff + 180 professionnels/maintenance.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Piscines extérieures 
(Hors campings, hôtels, résidences et établissement avec bassin intérieur) : Capacité type ≈ 504 sportifs/usagers + 60 staff + 36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Établissements thermaux : Capacité type ≈ 420 sportifs/usagers + 50 staff + 30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Centres de thalassothérapie / balnéothérapie / grands spas ouverts au public : Capacité type ≈ 420 sportifs/usagers + 50 staff + 30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Bases nautiques / centres nautiques avec vestiaires-douches : Capacité type ≈ 420 sportifs/usagers + 50 staff + 30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Bases de loisirs avec plages, douches et sanitaires : Capacité type ≈ 504 sportifs/usagers + 60 staff + 36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Centres équestres / manèges couverts avec accueil public : Capacité type ≈ 2520 sportifs/usagers + 300 staff + 180 professionnels/maintenance.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t>
  </si>
  <si>
    <t>Transport / mobilité
Stationnement
Matériel roulant / transport mobile</t>
  </si>
  <si>
    <t>Aires de service - Autoroutes
(Hors Aires de repos)
Aires de repos - Autoroutes
(Hors Aires de service)
Aéroports / aérogares
(&gt;1 000 passagers/an)
Gares ferroviaires et stations
Terminaux maritimes / fluviaux
Établissements flottants
Parcs de stationnement couverts
Ports de plaisance / capitaineries
Rames ferroviaires voyageurs
Aéronefs commerciaux
Ferries et navires à passagers 
Autocars
(Trajets longues distance)
Stations / espaces métro équipés de toilettes publiques (minimum observé RATP)</t>
  </si>
  <si>
    <t>Variable / GA / EF / PS / Hors ERP</t>
  </si>
  <si>
    <t>Ensemble mixte / Ensemble multi-classements / ERP spécial / Hors champ établissement mobile / Périmètre partiel / non additif</t>
  </si>
  <si>
    <t>mixte / ERP / hors ERP</t>
  </si>
  <si>
    <t>Transport / mobilité : Le bâtiment de boutique/restauration se classe selon son activité dominante.
Transport / mobilité : Les bâtiments ouverts au public se classent selon leur usage.
Transport / mobilité : Les terminaux recevant du public relèvent d’un classement par bâtiments et usages.
Transport / mobilité : Gares et espaces d’accueil associés.
Transport / mobilité : Classement selon bâtiment et activité dominante.
Transport / mobilité : Établissements flottants recevant du public.
Stationnement : Parkings couverts recevant du public.
Transport / mobilité : Sites recevant plaisanciers et visiteurs avec sanitaires, douches et accueil ; hors simple quai sans bâtiment recevant du public.
Matériel roulant / transport mobile : Quantification minimale documentée à partir des programmes SNCF cités (environ 1 000 rames TER modernisées + 104 rames TGV O2D). Le parc réel France est supérieur. Non comparable à un décompte de sites.
Matériel roulant / transport mobile : Minimum documenté à partir des flottes explicitement quantifiées dans les sources consultées (Air France 50 A220 + 40 A350, Transavia France 90, French bee 6). Le total réel France est supérieur. Non comparable à un décompte de sites.
Matériel roulant / transport mobile : Périmètre partiel documenté : navires à passagers de plus de 100 UMS sous pavillon français ; les unités côtières plus petites peuvent s'y ajouter. Non comparable à un décompte de sites.
Matériel roulant / transport mobile : Quantification de la flotte France d'autocars en circulation. Tous ne sont pas nécessairement équipés de WC ; à suivre séparément si tu veux ensuite restreindre au sous-ensemble longue distance/tourisme.
Transport / mobilité : Il existe au moins 45 toilettes publiques dans les espaces RATP. Ce n'est pas un comptage national des stations de métro et les sanitaires du personnel ne sont pas quantifiés ici.</t>
  </si>
  <si>
    <t>Transport / mobilité : Station-service autoroutière ou urbaine
Transport / mobilité : Aire de repos, aire de services
Transport / mobilité : Terminal passagers, aérogare
Transport / mobilité : Gare SNCF, gare routière, grande station
Transport / mobilité : Terminal ferry, gare fluviale
Transport / mobilité : Bateau-restaurant, salle flottante
Stationnement : Parking silo couvert
Transport / mobilité : Port de plaisance, capitainerie, halte fluviale équipée
Matériel roulant / transport mobile : TGV, Intercités, train de nuit, rame TER équipée
Matériel roulant / transport mobile : Avion de ligne, avion charter passagers
Matériel roulant / transport mobile : Ferry, navire à passagers, bateau d’excursion
Matériel roulant / transport mobile : Autocar de tourisme, car interurbain, car longue distance
Transport / mobilité : Station/ espace RATP équipé</t>
  </si>
  <si>
    <t>Site
Etablissement principal / Rame / voiture / Aéronef / Navire / Véhicule / Site / point équipé</t>
  </si>
  <si>
    <t>https://www.insee.fr/fr/statistiques/8610258?geo=FE-1
https://www.autoroutes.fr/fr/aires-de-services/
https://www.ecologie.gouv.fr/aviation-commerciale
https://www.groupe-sncf.com/fr/groupe/portrait-entreprise/groupe-societes/sncf-gares-et-connexions/frequentation-gare
https://www.ecologie.gouv.fr/transports-maritime
https://www.legifrance.gouv.fr/codes/section_lc/JORFTEXT000000290033/LEGISCTA000020303822/
https://www.insee.fr/fr/metadonnees/source/serie/s1161</t>
  </si>
  <si>
    <t>Aires de service - Autoroutes
(Hors Aires de repos) : Aire de service : bloc voyageurs + personnel/restauration.
Aires de repos - Autoroutes
(Hors Aires de service) : Aire de repos : batteries publiques seulement.
Aéroports / aérogares
(&gt;1 000 passagers/an) : Aérogare : blocs publics par zone + personnel ; hors salons privatifs.
Gares ferroviaires et stations : Gare/station : sanitaires publics et agents.
Terminaux maritimes / fluviaux : Terminal maritime/fluvial : blocs publics + personnel d'exploitation.
Établissements flottants : Bateau-restaurant / salle flottante : sanitaires communs passagers + équipage.
Parcs de stationnement couverts : Parking couvert : petit bloc usagers/surveillance.
Ports de plaisance / capitaineries : Piscine de plein air : vestiaires humides séparés et douches collectives ; cabines individuelles non comptées.
Rames ferroviaires voyageurs : Sanitaire public autonome type bloc urbain ; dimension minimale &gt;5 usagers cumulés.
Aéronefs commerciaux : Sanitaire public autonome type bloc urbain ; dimension minimale &gt;5 usagers cumulés.
Ferries et navires à passagers  : Sanitaire public autonome type bloc urbain ; dimension minimale &gt;5 usagers cumulés.
Autocars
(Trajets longues distance) : Sanitaire public autonome type bloc urbain ; dimension minimale &gt;5 usagers cumulés.
Stations / espaces métro équipés de toilettes publiques (minimum observé RATP) : Sanitaire public autonome type bloc urbain ; dimension minimale &gt;5 usagers cumulés.</t>
  </si>
  <si>
    <t>Aires de service - Autoroutes
(Hors Aires de repos) : Capacité type ≈ 66 usagers principaux + 8 staff + 6 chauffeurs accompagnants/prestataires. Le programme sanitaire est construit par blocs fonctionnels plausibles (public, personnel, exploitation/hébergement selon le cas) et non par simple ratio national moyen. Calibrage selon capacité simultanée, répartition de flux et organisation réelle du site.
Aires de repos - Autoroutes
(Hors Aires de service) : Capacité type ≈ 492 usagers principaux + 60 staff + 48 chauffeurs accompagnants/prestataires. Le programme sanitaire est construit par blocs fonctionnels plausibles (public, personnel, exploitation/hébergement selon le cas) et non par simple ratio national moyen. Calibrage selon capacité simultanée, répartition de flux et organisation réelle du site.
Aéroports / aérogares
(&gt;1 000 passagers/an) : Capacité type ≈ 2870 usagers principaux + 350 staff + 280 agents/visiteurs techniques. Le programme sanitaire est construit par blocs fonctionnels plausibles (public, personnel, exploitation/hébergement selon le cas) et non par simple ratio national moyen. Calibrage selon capacité simultanée, répartition de flux et organisation réelle du site.
Gares ferroviaires et stations : Capacité type ≈ 820 usagers principaux + 100 staff + 80 accompagnants/intervenants. Le programme sanitaire est construit par blocs fonctionnels plausibles (public, personnel, exploitation/hébergement selon le cas) et non par simple ratio national moyen. Calibrage selon capacité simultanée, répartition de flux et organisation réelle du site.
Terminaux maritimes / fluviaux : Capacité type ≈ 984 usagers principaux + 120 staff + 96 visiteurs techniques/prestataires. Le programme sanitaire est construit par blocs fonctionnels plausibles (public, personnel, exploitation/hébergement selon le cas) et non par simple ratio national moyen. Calibrage selon capacité simultanée, répartition de flux et organisation réelle du site.
Établissements flottants : Capacité type ≈ 98 usagers principaux + 12 staff + 10 visiteurs techniques/prestataires. Le programme sanitaire est construit par blocs fonctionnels plausibles (public, personnel, exploitation/hébergement selon le cas) et non par simple ratio national moyen. Calibrage selon capacité simultanée, répartition de flux et organisation réelle du site.
Parcs de stationnement couverts : Capacité type ≈ 180 usagers principaux + 22 staff + 18 visiteurs techniques/prestataires. Le programme sanitaire est construit par blocs fonctionnels plausibles (public, personnel, exploitation/hébergement selon le cas) et non par simple ratio national moyen. Calibrage selon capacité simultanée, répartition de flux et organisation réelle du site.
Ports de plaisance / capitaineries : Capacité type ≈ 504 sportifs/usagers + 60 staff + 36 accompagnants/maintenance. Le programme inclut sanitaires publics et vestiaires sportifs séparés dès lors qu'ils accueillent au moins 5 personnes ; pour les piscines, les douches collectives sont structurelles. Calibrage selon capacité simultanée, répartition de flux et organisation réelle du site.
Rames ferroviaires voyageurs : Capacité type ≈ 6 usagers principaux + 0 staff + 0 familles/intervenants. Le programme sanitaire est construit par blocs fonctionnels plausibles (public, personnel, exploitation/hébergement selon le cas) et non par simple ratio national moyen. Calibrage selon capacité simultanée, répartition de flux et organisation réelle du site.
Aéronefs commerciaux : Capacité type ≈ 6 usagers principaux + 0 staff + 0 familles/intervenants. Le programme sanitaire est construit par blocs fonctionnels plausibles (public, personnel, exploitation/hébergement selon le cas) et non par simple ratio national moyen. Calibrage selon capacité simultanée, répartition de flux et organisation réelle du site.
Ferries et navires à passagers  : Capacité type ≈ 6 usagers principaux + 0 staff + 0 familles/intervenants. Le programme sanitaire est construit par blocs fonctionnels plausibles (public, personnel, exploitation/hébergement selon le cas) et non par simple ratio national moyen. Calibrage selon capacité simultanée, répartition de flux et organisation réelle du site.
Autocars
(Trajets longues distance) : Capacité type ≈ 6 usagers principaux + 0 staff + 0 familles/intervenants. Le programme sanitaire est construit par blocs fonctionnels plausibles (public, personnel, exploitation/hébergement selon le cas) et non par simple ratio national moyen. Calibrage selon capacité simultanée, répartition de flux et organisation réelle du site.
Stations / espaces métro équipés de toilettes publiques (minimum observé RATP) : Capacité type ≈ 6 usagers principaux + 0 staff + 0 familles/intervenants. Le programme sanitaire est construit par blocs fonctionnels plausibles (public, personnel, exploitation/hébergement selon le cas) et non par simple ratio national moyen. Calibrage selon capacité simultanée, répartition de flux et organisation réelle du site.</t>
  </si>
  <si>
    <t>Commissariats / postes de police 
Forces armées
Univers carcéral
Tribunaux</t>
  </si>
  <si>
    <t>Locaux de sûreté, garde à vue et zones opérationnelles
Postes de proximité et antennes avec accueil public
Salles de réunion, de prévention ou de conférence ouvertes au public
Unités d'hébergement des militaires &amp; réservistes
Centres de recrutement et bureaux d’information
Restaurants ou équipements sportifs ouverts au public sur emprise militaire
Hôpitaux d’instruction des armées et centres médicaux recevant du public
Salles de conférence, auditoriums et espaces événementiels ouverts au public
Maisons d’arrêt
Centres de détention
Maisons centrales
Centres pénitentiaires
Centres de semi-liberté
Centres éducatifs fermés
Centres pour peines aménagées
(absorbés par autres centres carcéraux)
Unités hospitalières sécurisées
Palais de justice et bâtiments judiciaires multi-usages
Maisons de justice et du droit
Tribunaux de commerce autonomes
Conseils de prud’hommes autonomes
Autres bâtiments judiciaires autonomes recevant du public</t>
  </si>
  <si>
    <t>Variable / W / U / L / W ou L</t>
  </si>
  <si>
    <t>Hors ERP autonome / accès contrôlé / ERP / ERP / variable / Souvent hors ERP autonome / accès contrôlé / ERP partiel / variable / Cas particulier / accès contrôlé / Ensemble multi-classements</t>
  </si>
  <si>
    <t>Commissariats / postes de police  : Les zones de sûreté, d’enquête ou de garde à vue ne constituent pas un type ERP autonome lorsqu’elles ne sont pas ouvertes au public.
Commissariats / postes de police  : Les antennes ou postes assurant un accueil administratif du public relèvent du type W.
Commissariats / postes de police  : Si ces locaux accueillent réunions publiques, conférences ou actions de prévention, ils peuvent relever de L ; sinon ils restent rattachés à W selon l’usage dominant.
Forces armées : Les unités d’hébergement collectif des militaires et réservistes sont le plus souvent intégrées à une emprise militaire ; elles peuvent comporter des dortoirs, chambres collectives et sanitaires communs, sans constituer à elles seules un type ERP autonome homogène.
Forces armées : Locaux administratifs recevant du public : information, orientation, recrutement, démarches.
Forces armées : Lorsqu’une activité commerciale, de restauration ou sportive est ouverte au public, le classement suit l’usage dominant du local : M, N, X ou L selon le cas.
Forces armées : Les établissements sanitaires relevant des armées se classent comme établissements sanitaires lorsqu’ils accueillent patients, visiteurs ou consultants.
Forces armées : Les salles accueillant conférences, cérémonies, présentations ou réunions publiques relèvent en pratique du type L.
Univers carcéral : Établissements pénitentiaires accueillant principalement des prévenus et des condamnés à courte peine. Le site n’est pas un ERP autonome homogène ; seuls les espaces recevant effectivement visiteurs, intervenants ou patients relèvent d’un classement par usage.
Univers carcéral : Établissements pour condamnés à des peines plus longues, orientés vers la réinsertion. Le site n’est pas un ERP autonome homogène ; les espaces visiteurs, administratifs ou de santé se classent selon leur usage.
Univers carcéral : Établissements à haut niveau de sécurité pour longues peines. Les zones de détention relèvent d’un régime sécurisé ; seuls les espaces visiteurs, administratifs ou de soins peuvent relever d’un classement par usage.
Univers carcéral : Établissements composites regroupant plusieurs quartiers ou régimes (maison d’arrêt, centre de détention, etc.). Pour un décompte par site, cette ligne est additive ; elle recoupe toutefois certaines logiques par quartier.
Univers carcéral : Structures dédiées à l’exécution de peines avec régime de semi-liberté. Les espaces administratifs, de contrôle et d’accueil suivent une logique de classement par usage dominant.
Univers carcéral : Structures éducatives sécurisées pour mineurs relevant de la PJJ. Le classement dépend de l’exploitation réelle : composantes éducatives, hébergement, soins et espaces d’accueil peuvent relever de logiques proches de R, J, U ou W selon les locaux concernés.
Univers carcéral : Établissements dédiés aux peines aménagées, à la préparation de sortie et à l’insertion. Les espaces d’accueil, de rendez-vous et de bureaux sont généralement assimilables à W.
Univers carcéral : Unités hospitalières sécurisées rattachées au champ sanitaire lorsqu’elles fonctionnent comme espaces de soins recevant des patients, accompagnants ou intervenants. Les zones strictement sécurisées restent à analyser séparément.
Tribunaux : Un même bâtiment judiciaire peut regrouper des espaces de type W, des salles d’audience de type L et d’autres locaux annexes ; le classement se raisonne par usage et exploitation. Cette ligne sert de référence si l’unité de compte retenue est le site physique.
Tribunaux : Structures de proximité recevant le public pour l’accès au droit, l’information, la médiation et certaines permanences judiciaires. Classement principalement de type W.
Tribunaux : Juridictions commerciales recevant du public dans des bâtiments autonomes. Le classement relève principalement de W, avec des composantes L si des salles d’audience dominent l’exploitation.
Tribunaux : Juridictions prud’homales recevant du public dans des bâtiments autonomes. Le classement relève principalement de W, avec composantes L lorsque les salles d’audience ou de conciliation dominent l’exploitation.
Tribunaux : Bâtiments judiciaires autonomes recevant du public hors palais de justice multi-usages ; ils accueillent des fonctions administratives, de médiation, de conciliation ou d’audience. Classement principalement W ou L selon l’usage dominant.</t>
  </si>
  <si>
    <t>Commissariats / postes de police  : Locaux de garde à vue, salles opérationnelles, armurerie, zone technique
Commissariats / postes de police  : Poste de police de quartier, antenne de police municipale
Commissariats / postes de police  : Salle de réunion publique, salle de prévention, salle de conférence
Forces armées : Bâtiment d’hébergement en caserne, hébergement collectif de réservistes, bâtiment cadres célibataires
Forces armées : CIRFA, bureau d’information et de recrutement
Forces armées : Boutique de musée militaire, restaurant de cercle ouvert, équipement sportif accessible au public
Forces armées : Hôpital d’instruction des armées (HIA) , centre médical militaire (CMA)
Forces armées : Auditorium, salle de conférence, amphithéâtre ouvert au public
Univers carcéral : Maison d’arrêt
Univers carcéral : Centre de détention
Univers carcéral : Maison centrale
Univers carcéral : Centre pénitentiaire
Univers carcéral : Centre de semi-liberté
Univers carcéral : CEF
Univers carcéral : CPA
Univers carcéral : UHSA / UHSI
Tribunaux : Palais de justice
Tribunaux : MJD
Tribunaux : Tribunal de commerce
Tribunaux : Conseil de prud’hommes
Tribunaux : Bâtiment judiciaire autonome</t>
  </si>
  <si>
    <t>Site
Etablissement principal / Bâtiment
Unité Hébergement collectif / Site
Etablissement secondaire / Site
Bâtiment principal</t>
  </si>
  <si>
    <t>Sous-catégorie Centres pour peines aménagées, prochainement plus existante (absorbés par autres centres carcéraux)</t>
  </si>
  <si>
    <t>https://www.interieur.gouv.fr/actualites/communiques-de-presse/95-de-population-vit-a-moins-de-14-minutes-dun-lieu-daccueil-de
https://www.defense.gouv.fr/sites/default/files/ssm/EcoDef%20140.pdf ; https://www.ccomptes.fr/fr/publications/les-conditions-dhebergement-dans-les-bases-de-defense-exercices-2011-2021
https://www.defense.gouv.fr/sga/nous-rejoindre/cirfa
https://www.defense.gouv.fr/
https://www.defense.gouv.fr/sante
https://www.justice.gouv.fr/sites/default/files/2025-02/statistique_etablissements_personnes_ecrouees_01022025.pdf
https://www.justice.gouv.fr/documentation/ressources/mission-thematique-devaluation-centres-educatifs-fermes-cef
https://www.justice.gouv.fr/sites/default/files/2025-10/Chiffres_Cl%C3%A9s_2025.pdf</t>
  </si>
  <si>
    <t>Locaux de sûreté, garde à vue et zones opérationnelles : Commissariat complet : sanitaires staff/opérationnels + garde à vue/visiteurs, hors cellules individuelles.
Postes de proximité et antennes avec accueil public : Antenne de proximité : un bloc accueil et un bloc personnel.
Salles de réunion, de prévention ou de conférence ouvertes au public : Salle ouverte au public : sanitaire public + équipe.
Unités d'hébergement des militaires &amp; réservistes : Hébergement militaire collectif : blocs d'étage/vestiaires, hors chambres individualisées.
Centres de recrutement et bureaux d’information : Centre de recrutement : sanitaire public + personnel.
Restaurants ou équipements sportifs ouverts au public sur emprise militaire : Restaurant classique : bloc clients + personnel, hors sanitaires de chambres.
Hôpitaux d’instruction des armées et centres médicaux recevant du public : Hôpital d'instruction des armées : blocs communs + chambres/secteurs d'hospitalisation équipés lorsqu'il existe de l'individuel.
Salles de conférence, auditoriums et espaces événementiels ouverts au public : Équipement événementiel : programme public en batterie à l'entrée et en pourtour, staff séparé.
Maisons d’arrêt : Maison d'arrêt : cellules/chambres avec coin sanitaire individuel quand il existe + douches de promenade/sport/ateliers et locaux staff.
Centres de détention : Centre de détention : part importante de cellules/chambres équipées + douches par aile et locaux communs/staff.
Maisons centrales : Maison centrale : cellules équipées et quelques douches collectives/sectorisées, complétées par locaux communs.
Centres pénitentiaires : Centre pénitentiaire : cellules équipées + douches sectorisées + parloirs/ateliers/sport/staff.
Centres de semi-liberté : Centre de semi-liberté : chambres/cellules équipées lorsqu'elles existent + blocs communs et douches.
Centres éducatifs fermés : Centre éducatif fermé : petit internat sécurisé ; chambres et petits blocs communs, dimensionnés sans compter les cabines isolées.
Centres pour peines aménagées
(absorbés par autres centres carcéraux) : Centre pour peines aménagées : chambres/cellules équipées + blocs communs et douches de secteur.
Unités hospitalières sécurisées : Unité hospitalière sécurisée : chambres sanitaires + blocs staff/visiteurs/consultations ; approche mixte hospitalière et sécuritaire.
Palais de justice et bâtiments judiciaires multi-usages : Palais de justice : blocs publics, magistrats/agents et locaux d'audience.
Maisons de justice et du droit : Bâtiment judiciaire : bloc public + personnel.
Tribunaux de commerce autonomes : Bâtiment judiciaire : bloc public + personnel.
Conseils de prud’hommes autonomes : Bâtiment judiciaire : bloc public + personnel.
Autres bâtiments judiciaires autonomes recevant du public : Bâtiment judiciaire : bloc public + personnel.</t>
  </si>
  <si>
    <t>Locaux de sûreté, garde à vue et zones opérationnelles : Capacité type ≈ 8 présents principaux + 28 staff + 4 familles/intervenants. Programme mixte police : accueil public, locaux opérationnels et personnels ; pas de simple ratio public, mais noyaux par zone fonctionnelle. Calibrage selon capacité simultanée, répartition de flux et organisation réelle du site.
Postes de proximité et antennes avec accueil public : Capacité type ≈ 14 présents principaux + 22 staff + 4 visiteurs/intervenants. Programme mixte police : accueil public, locaux opérationnels et personnels ; pas de simple ratio public, mais noyaux par zone fonctionnelle. Calibrage selon capacité simultanée, répartition de flux et organisation réelle du site.
Salles de réunion, de prévention ou de conférence ouvertes au public : Capacité type ≈ 27 présents principaux + 18 staff + 5 visiteurs/prestataires. Programme mixte police : accueil public, locaux opérationnels et personnels ; pas de simple ratio public, mais noyaux par zone fonctionnelle. Calibrage selon capacité simultanée, répartition de flux et organisation réelle du site.
Unités d'hébergement des militaires &amp; réservistes : Capacité type ≈ 128 usagers principaux + 14 staff + 3 visiteurs/intervenants. Le programme sanitaire est construit par blocs fonctionnels plausibles (public, personnel, exploitation/hébergement selon le cas) et non par simple ratio national moyen. Calibrage selon capacité simultanée, répartition de flux et organisation réelle du site.
Centres de recrutement et bureaux d’information : Capacité type ≈ 19 usagers principaux + 12 staff + 4 visiteurs/intervenants. Le programme sanitaire est construit par blocs fonctionnels plausibles (public, personnel, exploitation/hébergement selon le cas) et non par simple ratio national moyen. Calibrage selon capacité simultanée, répartition de flux et organisation réelle du site.
Restaurants ou équipements sportifs ouverts au public sur emprise militaire : Capacité type ≈ 64 sportifs/usagers + 14 staff + 2 intervenants/visiteurs. Le programme inclut sanitaires publics et vestiaires sportifs séparés dès lors qu'ils accueillent au moins 5 personnes ; pour les piscines, les douches collectives sont structurelles. Calibrage selon capacité simultanée, répartition de flux et organisation réelle du site.
Hôpitaux d’instruction des armées et centres médicaux recevant du public : Capacité type ≈ 105 patients/résidents principaux + 43 staff + 32 intervenants/visiteurs.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
Salles de conférence, auditoriums et espaces événementiels ouverts au public : Capacité type ≈ 159 usagers principaux + 14 staff + 7 techniciens/prestataires. Le programme sanitaire est construit par blocs fonctionnels plausibles (public, personnel, exploitation/hébergement selon le cas) et non par simple ratio national moyen. Calibrage selon capacité simultanée, répartition de flux et organisation réelle du site.
Maisons d’arrêt : Capacité type ≈ 188 détenus/résidents + 50 staff + 12 visiteurs/intervenants. Le programme inclut cellules/chambres équipées quand elles existent, complétées par douches de secteur, parloirs, ateliers, sport et staff ; il ne s'agit pas d'un calcul au seul flux public. Calibrage selon capacité simultanée, répartition de flux et organisation réelle du site.
Centres de détention : Capacité type ≈ 262 détenus/résidents + 70 staff + 18 visiteurs/intervenants. Le programme inclut cellules/chambres équipées quand elles existent, complétées par douches de secteur, parloirs, ateliers, sport et staff ; il ne s'agit pas d'un calcul au seul flux public. Calibrage selon capacité simultanée, répartition de flux et organisation réelle du site.
Maisons centrales : Capacité type ≈ 150 détenus/résidents + 40 staff + 10 visiteurs/intervenants. Le programme inclut cellules/chambres équipées quand elles existent, complétées par douches de secteur, parloirs, ateliers, sport et staff ; il ne s'agit pas d'un calcul au seul flux public. Calibrage selon capacité simultanée, répartition de flux et organisation réelle du site.
Centres pénitentiaires : Capacité type ≈ 488 détenus/résidents + 130 staff + 32 avocats/visiteurs. Le programme inclut cellules/chambres équipées quand elles existent, complétées par douches de secteur, parloirs, ateliers, sport et staff ; il ne s'agit pas d'un calcul au seul flux public. Calibrage selon capacité simultanée, répartition de flux et organisation réelle du site.
Centres de semi-liberté : Capacité type ≈ 43 détenus/résidents + 14 staff + 3 visiteurs/assesseurs. Le programme inclut cellules/chambres équipées quand elles existent, complétées par douches de secteur, parloirs, ateliers, sport et staff ; il ne s'agit pas d'un calcul au seul flux public. Calibrage selon capacité simultanée, répartition de flux et organisation réelle du site.
Centres éducatifs fermés : Capacité type ≈ 8 détenus/résidents + 3 staff + 1 visiteurs/avocats. Le programme inclut cellules/chambres équipées quand elles existent, complétées par douches de secteur, parloirs, ateliers, sport et staff ; il ne s'agit pas d'un calcul au seul flux public. Calibrage selon capacité simultanée, répartition de flux et organisation réelle du site.
Centres pour peines aménagées
(absorbés par autres centres carcéraux) : Capacité type ≈ 39 détenus/résidents + 13 staff + 3 visiteurs/avocats. Le programme inclut cellules/chambres équipées quand elles existent, complétées par douches de secteur, parloirs, ateliers, sport et staff ; il ne s'agit pas d'un calcul au seul flux public. Calibrage selon capacité simultanée, répartition de flux et organisation réelle du site.
Unités hospitalières sécurisées : Capacité type ≈ 29 patients/résidents principaux + 9 staff + 2 visiteurs/assesseurs. Le programme combine blocs communs (accueil, visiteurs, staff, ambulatoire) et une part de chambres/boxes équipés lorsqu'il existe de l'individuel ; la volumétrie n'est donc pas une simple moyenne publique. Calibrage selon capacité simultanée, répartition de flux et organisation réelle du site.
Palais de justice et bâtiments judiciaires multi-usages : Capacité type ≈ 390 usagers principaux + 150 staff + 60 visiteurs/avocats. Le programme sanitaire est construit par blocs fonctionnels plausibles (public, personnel, exploitation/hébergement selon le cas) et non par simple ratio national moyen. Calibrage selon capacité simultanée, répartition de flux et organisation réelle du site.
Maisons de justice et du droit : Capacité type ≈ 52 usagers principaux + 20 staff + 8 visiteurs/avocats. Le programme sanitaire est construit par blocs fonctionnels plausibles (public, personnel, exploitation/hébergement selon le cas) et non par simple ratio national moyen. Calibrage selon capacité simultanée, répartition de flux et organisation réelle du site.
Tribunaux de commerce autonomes : Capacité type ≈ 143 usagers principaux + 55 staff + 22 visiteurs/avocats. Le programme sanitaire est construit par blocs fonctionnels plausibles (public, personnel, exploitation/hébergement selon le cas) et non par simple ratio national moyen. Calibrage selon capacité simultanée, répartition de flux et organisation réelle du site.
Conseils de prud’hommes autonomes : Capacité type ≈ 117 usagers principaux + 45 staff + 18 visiteurs/avocats. Le programme sanitaire est construit par blocs fonctionnels plausibles (public, personnel, exploitation/hébergement selon le cas) et non par simple ratio national moyen. Calibrage selon capacité simultanée, répartition de flux et organisation réelle du site.
Autres bâtiments judiciaires autonomes recevant du public : Capacité type ≈ 143 usagers principaux + 55 staff + 22 visiteurs/avocats. Le programme sanitaire est construit par blocs fonctionnels plausibles (public, personnel, exploitation/hébergement selon le cas) et non par simple ratio national moyen. Calibrage selon capacité simultanée, répartition de flux et organisation réelle du site.</t>
  </si>
  <si>
    <t>Ministère de la Justice, plan encellulement individuel : https://www.justice.gouv.fr/actualites/espace-presse/plan-encellulement-individuel-0 ; CGLPL, avis relatif à l'encellulement individuel : https://www.cglpl.fr/publications/avis-relatif-a-lencellulement-individuel-dans-les-etablissements-penitentiaires ; + Code du travail pour personnels.
Code du travail (sanitaires et vestiaires staff) + programmation ERP/usages d'exploitation ; source de comptage propre à la ligne en col. AP.
Ministère des Sports, réglementation des équipements sportifs : https://www.sports.gouv.fr/reglementation-federale-des-equipements-sportifs-845 ; + Code du travail pour vestiaires collectifs et sanitaires staff.
Programmation hospitalière / médico-sociale (ANAP/CNSA) + pratique courante d'hospitalisation complète : https://anap.fr/ ; https://www.cnsa.fr/actualites/immobilier-et-ehpad-un-autodiagnostic-et-un-nouvel-outil-de-dimensionnement-surfacique</t>
  </si>
  <si>
    <t>https://www.justice.gouv.fr/actualites/espace-presse/plan-encellulement-individuel-0
https://www.cglpl.fr/publications/avis-relatif-a-lencellulement-individuel-dans-les-etablissements-penitentiaires
https://www.sports.gouv.fr/reglementation-federale-des-equipements-sportifs-845
https://anap.fr/
https://www.cnsa.fr/actualites/immobilier-et-ehpad-un-autodiagnostic-et-un-nouvel-outil-de-dimensionnement-surfacique</t>
  </si>
  <si>
    <t>Sanitaires publics : Pas de type ERP autonome.
Sanitaires publics : Équipements dédiés à l’hygiène du public ; à distinguer des toilettes publiques simples déjà comptées séparément.
Sanitaires publics : Installations fixes de WC et douches sur plages aménagées ou fronts de mer ; hors sanitaires déjà inclus dans un camping, un port ou une base de loisirs comptée par ailleurs.</t>
  </si>
  <si>
    <t>Sanitaires publics : Sanisette, bloc sanitaires public
Sanitaires publics : Bain-douche municipal, douche publique fixe
Sanitaires publics : Bloc sanitaire de plage, douche de plage, sanitaire de front de mer</t>
  </si>
  <si>
    <t>Funéraire : Les familles ont accès à ces équipements ; présence de sanitaires probable pour le public et le personnel. À distinguer des chambres mortuaires internes aux hôpitaux.
Funéraire : Équipements recevant familles et public ; sanitaires très probables. Ne pas compter séparément les salles intégrées à une chambre funéraire déjà comptée comme site unique.</t>
  </si>
  <si>
    <t>Funéraire : Funérarium, chambre funéraire
Funéraire : Crématorium</t>
  </si>
  <si>
    <t>2020 - Données 2019</t>
  </si>
  <si>
    <t>BRG</t>
  </si>
  <si>
    <t>Données 2020</t>
  </si>
  <si>
    <t>Année référence 2019 (stable - hors COVID)</t>
  </si>
  <si>
    <t>Resid + Non-Résid</t>
  </si>
  <si>
    <t>Volumes</t>
  </si>
  <si>
    <t>Douche</t>
  </si>
  <si>
    <t>Urinoir</t>
  </si>
  <si>
    <t>2022 - Données 2021</t>
  </si>
  <si>
    <t>https://www.salledebains.fr/en-2022-la-salle-de-bains-franchit-la-barre-symbolique-des-2-milliards-deuros/</t>
  </si>
  <si>
    <t>AFISB</t>
  </si>
  <si>
    <t>Données 2020, 2022, 2023</t>
  </si>
  <si>
    <t>Mélang</t>
  </si>
  <si>
    <t>Miti</t>
  </si>
  <si>
    <t>Miti therm.</t>
  </si>
  <si>
    <t>(hors Evier)</t>
  </si>
  <si>
    <t>https://www.sdbpro.fr/salle-de-bains-2023-ventes-fabricants-baissent-de-12/</t>
  </si>
  <si>
    <t>2021 - Données 2020</t>
  </si>
  <si>
    <t>2023 - Données 2022</t>
  </si>
  <si>
    <t>https://www.sdbpro.fr/marche-salle-de-bains-2024-recul-42/?utm_source=chatgpt.com</t>
  </si>
  <si>
    <t>Quelle part de le robinetterie pour ERP (non-résidentiel), par rapport au total (Résidentiel+non-résidentiel) en robinetterie ? ... merci de me livrer un part en % - avec une fourchette mini-maxi plausible ... aussi, dis-moi sur quoi tu t'appuies et quelle source ?</t>
  </si>
  <si>
    <t>Je vais m’appuyer sur des sources sectorielles et des publications fabricants/analystes pour estimer une part France plausible de la robinetterie ERP/non-résidentiel, puis je la convertirai en fourchette argumentée.</t>
  </si>
  <si>
    <t>Oui — mais je n’ai pas trouvé de source AFISB publique donnant directement la part “ERP / non-résidentiel” dans la robinetterie sanitaire France. Donc ce qui suit est une estimation argumentée, pas un chiffre AFISB publié tel quel.</t>
  </si>
  <si>
    <t>Réponse courte</t>
  </si>
  <si>
    <t>Pour la France, je retiendrais comme ordre de grandeur :</t>
  </si>
  <si>
    <t>part de la robinetterie ERP / non-résidentiel dans la robinetterie totale = ~12 % à 15 %,</t>
  </si>
  <si>
    <t xml:space="preserve">avec une fourchette mini–maxi plausible de 8 % à 18 %. </t>
  </si>
  <si>
    <t>En valeur 2024, sur un marché AFISB/Sdbpro de 609 M€ HT fabricants, cela représente environ :</t>
  </si>
  <si>
    <t>bas de fourchette 8 % → 49 M€</t>
  </si>
  <si>
    <t>centre 12 % à 15 % → 73 à 91 M€</t>
  </si>
  <si>
    <t xml:space="preserve">haut plausible 18 % → 110 M€. </t>
  </si>
  <si>
    <t>Sur quoi je m’appuie</t>
  </si>
  <si>
    <t>1) Taille du marché total France</t>
  </si>
  <si>
    <t xml:space="preserve">Sdbpro, reprenant l’étude AFISB 2024, donne pour la robinetterie sanitaire un marché France de 609 M€ HT fabricants en 2024. La même source précise aussi que les catégories les plus lourdes incluent la petite hydrothérapie (15 %), les colonnes de douche (25 %), les mitigeurs thermostatiques apparents (9 %), l’encastré (2 %) et les pommes de tête (1 %), soit un mix très orienté usages résidentiels salle de bains. </t>
  </si>
  <si>
    <t>2) Le segment ERP existe bien, mais il est surtout concentré sur certaines sous-familles</t>
  </si>
  <si>
    <t xml:space="preserve">Sdbpro indique qu’en France le marché de la robinetterie de lavabo automatique / temporisée / électronique se situerait autour de 180–200 k produits électroniques et 320–350 k produits temporisés. L’article explique clairement que ces produits sont tirés par les entreprises, services publics, écoles, mairies, collectivités et plus largement les sanitaires publics. </t>
  </si>
  <si>
    <t>Autrement dit, le cœur du non-résidentiel/ERP en robinetterie est surtout :</t>
  </si>
  <si>
    <t>le lavabo public,</t>
  </si>
  <si>
    <t>la robinetterie temporisée / électronique / sans contact,</t>
  </si>
  <si>
    <t>une partie des douches collectives,</t>
  </si>
  <si>
    <t xml:space="preserve">et quelques solutions spécialisées pour santé, éducation, hôtellerie, sport, etc. </t>
  </si>
  <si>
    <t>3) Le reste du marché robinetterie est très majoritairement résidentiel</t>
  </si>
  <si>
    <t xml:space="preserve">Le mix AFISB 2024 montre qu’une grosse partie de la valeur robinetterie vient de familles très “habitat” : colonnes de douche, petite hydrothérapie, encastré, etc. </t>
  </si>
  <si>
    <t xml:space="preserve">Sdbpro note aussi que le segment contract tient bon, ce qui suggère un segment réel et résilient, mais pas dominant. </t>
  </si>
  <si>
    <t>4) Les benchmarks internationaux donnent un plafond logique</t>
  </si>
  <si>
    <t xml:space="preserve">À l’échelle mondiale, Grand View Research estime que le résidentiel pèse 71,6 % du marché faucet en 2025, donc le commercial environ 28,4 %. IMARC donne 32,4 % pour le commercial, mais en distinguant en plus un segment industriel de 14,3 %. Ces chiffres sont utiles comme bornes hautes de contexte, mais ils couvrent bien plus large que les seuls ERP français. </t>
  </si>
  <si>
    <t>Comment j’arrive à 12 %–15 %</t>
  </si>
  <si>
    <t>Mon raisonnement est le suivant :</t>
  </si>
  <si>
    <t xml:space="preserve">le benchmark international suggère qu’un marché “faucet” total peut avoir ~28 % à 32 % de commercial, mais cela inclut des périmètres plus larges que les seuls ERP et pas seulement la salle de bains française ; </t>
  </si>
  <si>
    <t xml:space="preserve">en France, le mix AFISB 2024 de la robinetterie sanitaire semble plus résidentiel que ce benchmark, car une grande partie de la valeur est portée par la douche et l’hydrothérapie ; </t>
  </si>
  <si>
    <t xml:space="preserve">le segment ERP est néanmoins bien réel et substantiel sur le lavabo public, où les volumes de produits temporisés + électroniques sont élevés ; </t>
  </si>
  <si>
    <t>mais ce segment n’embarque pas toute la robinetterie habitat, loin de là.</t>
  </si>
  <si>
    <t>Donc, en pratique :</t>
  </si>
  <si>
    <t>8 % me paraît un minimum crédible ;</t>
  </si>
  <si>
    <t>12 % à 15 % me paraît le cœur de fourchette le plus défendable ;</t>
  </si>
  <si>
    <t xml:space="preserve">18 % me paraît une borne haute plausible si l’on inclut largement hôtellerie, santé, enseignement, sport, bureaux, lieux publics et semi-publics. </t>
  </si>
  <si>
    <t>Ce que je dirais dans une note</t>
  </si>
  <si>
    <t>Vous pouvez écrire :</t>
  </si>
  <si>
    <t>Nous estimons que la robinetterie ERP / non-résidentiel représente environ 12 % à 15 % du marché total français de la robinetterie sanitaire, avec une fourchette plausible de 8 % à 18 %.</t>
  </si>
  <si>
    <t xml:space="preserve">Cette estimation repose sur le marché total France 2024 AFISB/Sdbpro (609 M€ HT fabricants), sur le poids documenté de la robinetterie temporisée/électronique en sanitaires publics, et sur des benchmarks internationaux situant le “commercial” autour de 28 % à 32 % du marché faucet total, l’ERP français constituant un sous-ensemble plus étroit. </t>
  </si>
  <si>
    <t>Je mettrais une réserve importante sur la définition :</t>
  </si>
  <si>
    <t>non-résidentiel peut inclure hôtellerie, bureaux, commerces, santé, éducation, sport ;</t>
  </si>
  <si>
    <t>ERP est plus étroit que “commercial” au sens études de marché internationales ;</t>
  </si>
  <si>
    <t xml:space="preserve">et AFISB ne publie pas, en accès public, une coupe explicite résidentiel vs non-résidentiel pour la robinetterie. </t>
  </si>
  <si>
    <t>Je peux aussi vous faire un chiffrage en euros prêt à copier dans Excel, avec trois scénarios : bas / central / haut.</t>
  </si>
  <si>
    <t>GLOBAL - MIX TECHNOLOGIQUE - Parc 2025 - Parc 2030</t>
  </si>
  <si>
    <t>Tempo. méca</t>
  </si>
  <si>
    <t>Tempo. électro</t>
  </si>
  <si>
    <t>Techno dominante 2030</t>
  </si>
  <si>
    <t>Volume 2030</t>
  </si>
  <si>
    <t>Méthode de dimensionnement retenue
Volumes unitaires 2025 (lavabos, douches, urinoirs, WC)</t>
  </si>
  <si>
    <t>1. Objectif de la méthode</t>
  </si>
  <si>
    <t>Construire un ratio unitaire par sous-segment plus robuste qu'une moyenne brute. 
Le ratio vise à représenter le parc existant 2025 : il ne dimensionne pas un établissement idéal, mais un établissement « représentatif » en tenant compte du minimum sanitaire, de la taille probable, du mix réel de petits/moyens/grands sites et de l'intensité d'usage des sanitaires.</t>
  </si>
  <si>
    <t>2. Socle minimum réaliste</t>
  </si>
  <si>
    <t>Ce que c'est</t>
  </si>
  <si>
    <t>Comment il est déterminé</t>
  </si>
  <si>
    <t>Comment il est calculé</t>
  </si>
  <si>
    <t>• Niveau d'équipement sanitaire que l'on s'attend à trouver dans un établissement « de base » du sous-segment.
• Il intègre les fonctions indispensables : WC, lavabos, accessibilité, blocs élèves/public, blocs personnel.
• Il n'ajoute pas automatiquement douches ou urinoirs : ces produits ne sont retenus que si l'usage le justifie.</t>
  </si>
  <si>
    <t>• Lecture de la fonction du lieu : enseignement, soins, sport, restauration, attente, passage court, activité salissante.
• Identification des usagers réellement concernés : public, élèves, salariés, personnel technique, visiteurs.
• Prise en compte des équipements souvent présents même hors public : sanitaires personnel, vestiaires, locaux EPS.</t>
  </si>
  <si>
    <t>• On part d'un établissement minimal plausible : nombre de blocs sanitaires × équipements par bloc.
• On ajoute les fonctions spécifiques du sous-segment : vestiaires, sanitaires adultes, zones techniques, accueil simultané.
• Si l'équipement n'est présent que dans une partie du parc, il est converti en moyenne de parc : ex. 0,3 douche = présence minoritaire.</t>
  </si>
  <si>
    <t>3. Capacité admissible / fréquentation</t>
  </si>
  <si>
    <t>Ce que cela mesure</t>
  </si>
  <si>
    <t>Paramètres utilisés</t>
  </si>
  <si>
    <t>Application au ratio</t>
  </si>
  <si>
    <t>• La capacité admissible ajuste le socle selon le nombre probable d'usagers présents simultanément.
• Elle évite de dimensionner un grand établissement comme un petit ERP.
• Elle ne correspond pas seulement au nombre annuel de visiteurs : c'est surtout la présence simultanée qui compte.</t>
  </si>
  <si>
    <t>• Taille du site : petit, moyen, grand, très grand.
• Durée de présence : passage court, demi-journée, journée complète.
• Pics : pauses, interclasses, entractes, fins de service, flux groupés.
• Usagers additionnels : salariés, encadrants, techniciens, prestataires.</t>
  </si>
  <si>
    <t>• Le ratio augmente par paliers, pas linéairement.
• Les très grands sites ne doivent pas piloter seuls la valeur du sous-segment.
• Exemple : un lycée de 1 500 élèves tire le besoin vers le haut, mais il ne doit pas faire supposer que tous les lycées ont cette taille.</t>
  </si>
  <si>
    <t>4. Moyenne pondérée terrain</t>
  </si>
  <si>
    <t>Principe</t>
  </si>
  <si>
    <t>Construction</t>
  </si>
  <si>
    <t>Pourquoi c'est plus fiable</t>
  </si>
  <si>
    <t>• Le sous-segment est vu comme un portefeuille de sites : très petits, petits, moyens, grands, très grands.
• On ne cherche pas une moyenne statistique fine, mais une moyenne opérationnelle plausible.
• Les formats les plus fréquents pèsent davantage que les cas extrêmes.</t>
  </si>
  <si>
    <t>• Définir implicitement des profils de taille.
• Associer à chaque profil un niveau d'équipement plausible.
• Pondérer les profils selon leur présence probable dans le parc.
Formule logique : ratio retenu = somme des ratios par profil × poids du profil.</t>
  </si>
  <si>
    <t>• Évite de surdimensionner un sous-segment à cause de quelques très grands sites.
• Évite aussi de sous-dimensionner les familles où les équipements sont structurellement plus nombreux.
• Donne un ratio explicable : ni minimum réglementaire pur, ni moyenne tirée par les extrêmes.</t>
  </si>
  <si>
    <t>5. Coefficient d'intensité d'usage public</t>
  </si>
  <si>
    <t>Ce que cela corrige</t>
  </si>
  <si>
    <t>Critères concrets</t>
  </si>
  <si>
    <t>Effet attendu</t>
  </si>
  <si>
    <t>• Deux établissements de même taille peuvent utiliser très différemment leurs sanitaires.
• Le coefficient corrige le ratio selon la fréquence et la dureté d'usage.
• Un sanitaire scolaire, sportif ou de restauration tourne plus intensément qu'un sanitaire de passage.</t>
  </si>
  <si>
    <t>• Durée de présence : quelques minutes, plusieurs heures, journée.
• Flux concentrés : récréations, pause déjeuner, interclasses, entractes.
• Nature d'usage : hygiène, sport, activité salissante, soins, restauration.
• Besoins séparés : public / salariés / élèves / vestiaires / personnel technique.</t>
  </si>
  <si>
    <t>• Usage faible : ratio proche du socle.
• Usage régulier : ratio renforcé.
• Usage intensif ou par pics : ratio plus élevé, surtout lavabos/WC.
• Usage spécifique : ajout prudent de douches ou urinoirs lorsque la présence est crédible.</t>
  </si>
  <si>
    <t>6. Exemple parlant - Lycées (vestiaires EPS inclus)</t>
  </si>
  <si>
    <t>Ce que le ratio tient compte</t>
  </si>
  <si>
    <t>• Un lycée combine plusieurs populations : élèves, enseignants, vie scolaire, agents techniques, administration, visiteurs ponctuels.
• Les sanitaires ne sont pas seulement à l'entrée : ils sont répartis par bâtiments, étages, zones élèves, locaux adultes et parfois ateliers.
• Les flux sont concentrés : interclasses, récréations, pause méridienne, sorties de cours et activités EPS.
• Les vestiaires EPS inclus justifient de retenir des douches, mais en moyenne pondérée : tous les lycées n'ont pas les mêmes gymnases, vestiaires, douches fonctionnelles ou usages sportifs.
• Les urinoirs sont retenus lorsque les blocs garçons sont structurés, mais le ratio reste prudent car une partie du parc évolue vers des blocs plus mixtes ou uniquement WC.
• Le ratio évite d'extrapoler à partir des seuls très grands lycées urbains, internats ou campus techniques.</t>
  </si>
  <si>
    <t>Lecture par type de produit - Lycées (vestiaires EPS inclus)</t>
  </si>
  <si>
    <t>Produit</t>
  </si>
  <si>
    <t>Logique retenue</t>
  </si>
  <si>
    <t>Effet sur le ratio</t>
  </si>
  <si>
    <t>Point de prudence</t>
  </si>
  <si>
    <t>Présents dans les blocs élèves, sanitaires adultes et vestiaires EPS ; usage fréquent aux pauses et après activité sportive.</t>
  </si>
  <si>
    <t>Ratio élevé, porté par la répartition des points d'eau et la fréquence d'usage.</t>
  </si>
  <si>
    <t>Ne pas dimensionner comme un campus très grand ; pondération par lycées moyens.</t>
  </si>
  <si>
    <t>Besoin structurel pour élèves et adultes, avec blocs répartis et forte présence simultanée en journée.</t>
  </si>
  <si>
    <t>Ratio élevé, proche du socle renforcé scolaire.</t>
  </si>
  <si>
    <t>Tenir compte des configurations anciennes rénovées par lots.</t>
  </si>
  <si>
    <t>Présents dans une partie des blocs garçons, surtout dans le parc existant traditionnel.</t>
  </si>
  <si>
    <t>Ratio positif mais plus prudent que les WC.</t>
  </si>
  <si>
    <t>Baisse relative possible dans les rénovations inclusives ou blocs mixtes.</t>
  </si>
  <si>
    <t>Liées principalement aux vestiaires EPS, gymnases ou équipements sportifs associés, pas à tous les sanitaires du lycée.</t>
  </si>
  <si>
    <t>Ratio positif, mais inférieur aux lavabos/WC car usage localisé.</t>
  </si>
  <si>
    <t>Toutes les douches existantes ne sont pas également utilisées ou maintenues en service.</t>
  </si>
  <si>
    <t>Conclusion : bien plus solide qu'une moyenne, le ratio retenu - adaptée à la réalité et au terrain - permet de pouvoir dimensionner le parc 2025 existant de la manière la plus consistante et réaliste possible.
Il représente un niveau d'équipement attendu pour l'ensemble du sous-segment, en combinant minimum sanitaire, taille probable, distribution terrain et intensité d'usage. 
Il évite à la fois le minimum réglementaire trop bas et la moyenne brute tirée par quelques établissements très équipés.</t>
  </si>
  <si>
    <t>Note méthodologique - Définition de Neuf / Rénovation et Calcul des Volumes de Ventes 2026-2030</t>
  </si>
  <si>
    <t>1. Objet de l'onglet</t>
  </si>
  <si>
    <t>Cet onglet formalise ce qui a été compté en volumes de ventes 2026-2030 pour le parc sanitaire collectif : ce qui relève de la rénovation, ce qui relève du neuf, les inclusions / exclusions, la logique de calcul, l'exemple détaillé de l'école primaire, ainsi que les pistes pour améliorer la fiabilité du modèle.</t>
  </si>
  <si>
    <t>Le split Neuf-Réno est calculé en séparant un socle de renouvellement du parc 2025 (usure, maintenance, rénovation par lots) et un flux de neuf brut 2026-2030 (croissance nette + reconstructions / créations non visibles dans le seul stock net).</t>
  </si>
  <si>
    <t>2. Définition du volume Rénovation</t>
  </si>
  <si>
    <t>Inclus dans la rénovation</t>
  </si>
  <si>
    <t>• Remplacement à l'identique ou en montée en gamme d'un produit existant sur parc installé.
• Rénovation par panne, obsolescence, corrosion, usure, vandalisme ou non-conformité.
• Rénovation par lots (réfection d'un bloc sanitaire, d'un étage, d'un vestiaire, d'une aile, d'un bâtiment).
• Remplacement dans le cadre d'une remise à niveau hygiène, accessibilité, sobriété eau/énergie, ou d'un programme de maintenance patrimoniale.
• Remplacement à l'occasion d'une restructuration légère ou d'une rénovation lourde conservant la vocation du site.</t>
  </si>
  <si>
    <t>Exclus de la rénovation</t>
  </si>
  <si>
    <t>• Création nette de capacité sur un site neuf ou une extension assimilable à du neuf.
• Produits associés à des mètres carrés / chambres / blocs créés ex nihilo.
• Simple maintenance sans remplacement de produit (réglage, petite réparation, consommables, cartouches seules non assimilées à un remplacement de produit).</t>
  </si>
  <si>
    <t>3. Définition du volume Neuf</t>
  </si>
  <si>
    <t>Inclus dans le neuf</t>
  </si>
  <si>
    <t>• Produits installés dans des bâtiments neufs.
• Produits liés à des extensions créant de nouvelles capacités d'accueil, d'hébergement, de soins, de bureaux, de sport, etc.
• Produits liés à des reconstructions / regroupements de sites lorsqu'il y a un acte d'investissement neuf assimilable à un projet neuf.
• Produits liés à un pipeline de constructions compensé par des fermetures ailleurs (le flux existe même si le stock net varie peu).</t>
  </si>
  <si>
    <t>Exclus du neuf</t>
  </si>
  <si>
    <t>• Remplacement d'un équipement existant sans création nette de capacité.
• Travaux strictement patrimoniaux sur parc existant sans création de surfaces ou de capacités nouvelles.
• Réorganisation interne sans produits supplémentaires.</t>
  </si>
  <si>
    <t>4. Calcul du volume Rénovation 2026-2030</t>
  </si>
  <si>
    <t>Méthode simplifiée utilisée dans le modèle</t>
  </si>
  <si>
    <t>Formule : Volume rénovation 5 ans = Stock 2025 de la technologie × 5 / Durée de vie réelle.
Cette méthode suppose un régime de rotation moyen du parc : si le stock est mature et que la pyramide d'âge est relativement lissée, le flux annuel de remplacement est approximativement égal au stock divisé par la durée de vie réelle.</t>
  </si>
  <si>
    <t>Important - Durée de vie réelle</t>
  </si>
  <si>
    <t>La durée de vie réelle utilisée n'est pas une durée théorique fabricant. C'est une durée de rotation économique et opérationnelle intégrant l'usage, la fréquentation, l'intensité, le vandalisme, l'humidité, la qualité de maintenance, les arbitrages budgétaires, la rénovation par lots et la capacité du sous-segment à déclencher des travaux.</t>
  </si>
  <si>
    <t>Méthode plus rigoureuse à terme</t>
  </si>
  <si>
    <t>Méthode par cohortes : les remplacements 2026-2030 devraient idéalement être calculés à partir des volumes installés dans le passé arrivant en fin de vie sur 2026-2030 (par exemple, avec une durée de vie réelle de 10 ans, les remplacements 2026-2030 dépendent surtout des installations 2016-2020). Le modèle actuel utilise une approximation stationnaire faute de pyramide d'âge détaillée du parc.</t>
  </si>
  <si>
    <t>5. Calcul du volume Neuf 2026-2030</t>
  </si>
  <si>
    <t>Méthode utilisée dans le modèle</t>
  </si>
  <si>
    <t>Formule générale : Volume neuf 2026-2030 = max(Stock 2030 - Stock 2025 ; 0) + (Stock 2025 × Taux de neuf brut 2026-2030).
Le premier terme capte la croissance nette visible du parc ; le second capte le neuf non visible dans le stock net : reconstructions, regroupements, extensions, créations compensées par des fermetures ailleurs, ou créations de blocs / surfaces assimilables à un flux neuf.</t>
  </si>
  <si>
    <t>Pourquoi un taux de neuf brut ?</t>
  </si>
  <si>
    <t>Parce qu'un stock total stable ne veut pas dire absence de marché neuf. Des bâtiments peuvent être remplacés ou reconstruits sans modifier fortement le nombre total d'établissements. Le taux de neuf brut reconstitue ce flux de marché.</t>
  </si>
  <si>
    <t>6. Exemple détaillé - École primaire</t>
  </si>
  <si>
    <t>Hypothèses de programme sanitaire unitaire</t>
  </si>
  <si>
    <t>Base de dimensionnement type retenue pour l'exemple :
• 1 WC pour 20 filles
• 1 WC pour 40 garçons + 1 urinoir pour 20 garçons
• 1 point d'eau pour 20 élèves
• ajout d'un petit bloc adultes / personnel
• possibilité d'ajouter des vestiaires sportifs séparés lorsqu'ils desservent 5 personnes ou plus
Le programme unitaire est ensuite arrondi par bâtiment / aile / niveau pour rester plausible en exploitation réelle.</t>
  </si>
  <si>
    <t>Exemple illustratif - rénovation</t>
  </si>
  <si>
    <t>Exemple purement méthodologique : une école type dispose en 2025 de 12 lavabos, dont 2 mitigeurs, 8 temporisés mécaniques, 1 temporisé électronique et 1 autre.
Si les durées de vie réelles sont respectivement 10, 9, 8 et 7 ans, alors :
• 2 × 5/10 = 1,0
• 8 × 5/9 = 4,4
• 1 × 5/8 = 0,6
• 1 × 5/7 = 0,7
=&gt; Volume rénovation lavabos 2026-2030 = 6,7 unités pour cette école type.
La même logique s'applique aux WC, urinoirs et douches éventuelles.</t>
  </si>
  <si>
    <t>Exemple illustratif - neuf</t>
  </si>
  <si>
    <t>Exemple purement méthodologique : si le stock France de lavabos en écoles primaires est de 100 000 en 2025 et 101 500 en 2030, la croissance nette visible est de 1 500 unités.
Si l'on applique en plus un taux de neuf brut de 3 % sur 5 ans pour capter les reconstructions, regroupements et extensions, alors :
• max(101 500 - 100 000 ; 0) = 1 500
• 100 000 × 3 % = 3 000
=&gt; Volume neuf lavabos 2026-2030 = 4 500 unités.</t>
  </si>
  <si>
    <t>Lecture de l'exemple école primaire</t>
  </si>
  <si>
    <t>Sur l'école primaire, le potentiel rénovation est généralement supérieur au potentiel neuf : parc vaste, sanitaire souvent ancien, usage intensif, travaux par vagues, mais pipeline de créations nettes plus limité que sur d'autres secteurs. Le neuf existe néanmoins via regroupements scolaires, extensions et reconstructions.</t>
  </si>
  <si>
    <t>7. Pistes d'amélioration de la fiabilité</t>
  </si>
  <si>
    <t>Piste 1 - Pyramide d'âge du parc</t>
  </si>
  <si>
    <t>Reconstituer par sous-segment et par technologie une pyramide d'âge du parc 2025 (moins de 5 ans / 5-10 ans / 10-15 ans / 15 ans et plus) afin de passer d'une méthode stationnaire à une méthode par cohorte.</t>
  </si>
  <si>
    <t>Piste 2 - Programmes unitaires réels</t>
  </si>
  <si>
    <t>Remplacer les programmes unitaires plausibles par des observations réelles sur plans, CCTP, DPGF, DOE ou visites de sites pour 20 à 50 établissements par grande famille.</t>
  </si>
  <si>
    <t>Piste 3 - Historique marché et maintenance</t>
  </si>
  <si>
    <t>Croiser le modèle avec des historiques de ventes, marchés publics, SAV, fréquences de remplacement, bases de maintenance et opérations patrimoniales réelles.</t>
  </si>
  <si>
    <t>Piste 4 - Segmentation plus fine</t>
  </si>
  <si>
    <t>Découper davantage les lignes agrégées : écoles urbaines/rurales, CHU/hôpitaux généraux, bureaux prime/diffus, usines par filière, gares TGV/TER, etc.</t>
  </si>
  <si>
    <t>Piste 5 - Validation terrain</t>
  </si>
  <si>
    <t>Faire valider les hypothèses par exploitants, plombiers-mainteneurs, AMO, architectes, BE fluides, collectivités, groupes privés et fabricants pour recalibrer les durées de vie réelles et les taux de neuf brut.</t>
  </si>
  <si>
    <t>8. Conclusion d'usage</t>
  </si>
  <si>
    <t>Le modèle fournit des ordres de grandeur structurés et comparables entre sous-segments. 
Il est utile pour hiérarchiser les potentiels marché, mais doit être lu comme une modélisation macro, pas comme un relevé exhaustif produit par produit de chaque parc réel.</t>
  </si>
  <si>
    <t>Calcul - Méthodologie ventes 2026-2030</t>
  </si>
  <si>
    <t>Rénovation par type de produit = somme(Stock 2025 par technologie × 5 ans / durée de vie réelle de la technologie).</t>
  </si>
  <si>
    <t>Neuf brut par type de produit = max(Stock 2030 - Stock 2025 ; 0) + (Stock 2025 × taux de neuf brut 2026-2030).</t>
  </si>
  <si>
    <t>Le taux de neuf brut capte les créations et reconstructions lourdes non visibles dans le seul stock net 2025→2030 (fermetures/obsolescence pouvant compenser des ouvertures).</t>
  </si>
  <si>
    <t>Le split Neuf/Réno est calculé sur les ventes cumulées 2026-2030 tous produits confondus.</t>
  </si>
  <si>
    <t>Les scores de dynamisme combinent une appréciation sectorielle qualitative (programmes, budgets, contraintes) et une intensité de vente estimée sur le parc 2025.</t>
  </si>
  <si>
    <t>Échelle fiabilité</t>
  </si>
  <si>
    <t>Bonne : programme public/privé bien identifié et profondeur de marché lisible.</t>
  </si>
  <si>
    <t>Moyenne+ : logique sectorielle robuste mais pipeline moins homogène.</t>
  </si>
  <si>
    <t>Moyenne : marché diffus, peu de sources consolidées, forte dépendance aux arbitrages locaux.</t>
  </si>
  <si>
    <t>Bibliothèque de sources utiles</t>
  </si>
  <si>
    <t>https://www.renovation-bati-scolaire.fr/ressources/fonds-vert-2025</t>
  </si>
  <si>
    <t>https://www.banquedesterritoires.fr/plan-renovation-energetique-batiments-publics</t>
  </si>
  <si>
    <t>https://www.info.gouv.fr/actualite/segur-de-la-sante-de-nouveaux-investissements-pour-l-hopital</t>
  </si>
  <si>
    <t>https://www.cnsa.fr/budget-et-financement/financement-des-esms/investissement-immobilier</t>
  </si>
  <si>
    <t>https://www.ecologie.gouv.fr/maisons-sante-pluriprofessionnelles</t>
  </si>
  <si>
    <t>https://www.ameli.fr/exercice-coordonne/exercice-professionnel/organisations-d-exercice-coordonne/constitution-d-une-maison-de-sante-pluriprofessionnelle-msp</t>
  </si>
  <si>
    <t>https://www.agencedusport.fr/plan-5000-equipements-generation-2024</t>
  </si>
  <si>
    <t>https://www.france-services.gouv.fr/actualites/labellisation-nouvelles-maisons-france-services</t>
  </si>
  <si>
    <t>https://anct.gouv.fr/programmes-dispositifs/action-coeur-de-ville</t>
  </si>
  <si>
    <t>https://www.defense.gouv.fr/ministere/politique-defense/loi-programmation-militaire-2024-2030</t>
  </si>
  <si>
    <t>https://www.defense.gouv.fr/actualites/ministre-devoile-plan-famille-2</t>
  </si>
  <si>
    <t>https://www.economie.gouv.fr/cedef/reindustrialisation-informations</t>
  </si>
  <si>
    <t>https://www.entreprises.gouv.fr/espace-presse/france-2030-9-nouveaux-laureats-du-dispositif-premiere-usine</t>
  </si>
  <si>
    <t>https://www.economie.gouv.fr/actualites/barometre-industriel-de-letat-la-reindustrialisation-se-poursuit-en-2025</t>
  </si>
  <si>
    <t>https://www.garesetconnexions.sncf/fr/qui-sommes-nous/notre-modele-economique</t>
  </si>
  <si>
    <t>https://www.groupe-sncf.com/fr/groupe/strategie/gares-et-connexions</t>
  </si>
  <si>
    <t>https://presse.groupeadp.fr/proposition-cre2027-2034/</t>
  </si>
  <si>
    <t>GLOBAL - VOLUMES Ventes &amp; Potentiel 2026 - 2030 / Neuf - Rénovation</t>
  </si>
  <si>
    <t>TOTAL VOL. VENTES 2026-2030</t>
  </si>
  <si>
    <t>Rang Global</t>
  </si>
  <si>
    <t>Rang Réno</t>
  </si>
  <si>
    <t>Rang Neuf</t>
  </si>
  <si>
    <t>Ventes annuelles</t>
  </si>
  <si>
    <t>Cumul Volumes
26-30</t>
  </si>
  <si>
    <t>Ventes Réno
2026-30</t>
  </si>
  <si>
    <t>Ventes Neuf
2026-30</t>
  </si>
  <si>
    <t>Split Réno %</t>
  </si>
  <si>
    <t>Potentiel Réno 
(/100)</t>
  </si>
  <si>
    <t>Potentiel Neuf
(/100)</t>
  </si>
  <si>
    <t>Potentiel Global (/100)</t>
  </si>
  <si>
    <t>Colonne H - Potentiel Réno</t>
  </si>
  <si>
    <t>Colonne I  - Potentiel Neuf</t>
  </si>
  <si>
    <t>C’est un indice d’intensité du potentiel de rénovation du sous-segment.</t>
  </si>
  <si>
    <t>C’est un indice du potentiel de création / construction neuve.</t>
  </si>
  <si>
    <t>Il reflète :</t>
  </si>
  <si>
    <t>le niveau de vieillissement du parc</t>
  </si>
  <si>
    <t>la dynamique de construction du sous-segment</t>
  </si>
  <si>
    <t>la pression réglementaire (sanitaire, énergétique, accessibilité…)</t>
  </si>
  <si>
    <t>les politiques publiques (hôpital, prison, éducation…)</t>
  </si>
  <si>
    <t>la fréquence réelle de remplacement</t>
  </si>
  <si>
    <t>l’attractivité économique / démographique</t>
  </si>
  <si>
    <t>la logique de rénovation (à la panne vs par lots)</t>
  </si>
  <si>
    <t>le renouvellement du parc (extensions, nouveaux sites)</t>
  </si>
  <si>
    <t>la capacité budgétaire à rénover</t>
  </si>
  <si>
    <t>👉 En résumé :</t>
  </si>
  <si>
    <t>Plus le score est élevé → plus le sous-segment génère de rénovation</t>
  </si>
  <si>
    <t>Plus le score est élevé → plus le sous-segment génère de neuf</t>
  </si>
  <si>
    <t>Lecture rapide à retenir</t>
  </si>
  <si>
    <t>Potentiel Réno élevé → marché de remplacement</t>
  </si>
  <si>
    <t>Potentiel Neuf élevé → marché de création</t>
  </si>
  <si>
    <t>Les deux élevés → segment très dynamique</t>
  </si>
  <si>
    <t>Les deux faibles → segment peu porteur</t>
  </si>
  <si>
    <t>Note méthodologique - Calcul du Score Rénovation / Score Neuf / Score global</t>
  </si>
  <si>
    <t>Cet onglet explicite la logique d'attribution des scores de dynamisme marché : Score Rénovation, Score Neuf et Score global. Ces scores ne sont pas de simples formules de stock ; ce sont des scores semi-quantitatifs sur 5 fondés sur les volumes estimés, les déclencheurs de marché et la capacité réelle du besoin à se transformer en ventes.</t>
  </si>
  <si>
    <t>2. Score Rénovation - définition</t>
  </si>
  <si>
    <t>Le Score Rénovation est un score semi-quantitatif sur 5 qui traduit le dynamisme du marché de remplacement / remise à niveau 2026-2030 pour une sous-catégorie donnée.</t>
  </si>
  <si>
    <t>Blocs pris en compte</t>
  </si>
  <si>
    <t>Bloc 1 - Profondeur du parc à rénover : taille du parc 2025 concerné.
Bloc 2 - Intensité de rotation / usure : fréquence d'usage, humidité, vandalisme, maintenance, durée de vie réelle.
Bloc 3 - Probabilité de déclenchement des travaux : programmes publics, contraintes réglementaires, hygiène, accessibilité, arbitrages patrimoniaux.
Bloc 4 - Traductibilité en marché réel : capacité du besoin à se transformer en budgets et achats entre 2026 et 2030.</t>
  </si>
  <si>
    <t>Un score élevé suppose simultanément un parc profond, une usure tangible, des déclencheurs crédibles et une solvabilisation réelle. Un gros besoin théorique non financé ou peu actionnable ne donne pas un score maximal.</t>
  </si>
  <si>
    <t>3. Score Neuf - définition</t>
  </si>
  <si>
    <t>Le Score Neuf est un score semi-quantitatif sur 5 qui traduit le dynamisme du flux de création 2026-2030 : bâtiments neufs, extensions, reconstructions, regroupements, projets privés et publics assimilables à du neuf.</t>
  </si>
  <si>
    <t>Bloc 1 - Croissance nette du parc 2025 -&gt; 2030.
Bloc 2 - Neuf brut non visible dans le stock net : reconstructions, regroupements, extensions compensées par des fermetures ailleurs.
Bloc 3 - Pipeline sectoriel réel : volonté politique, investissement privé, démographie, réindustrialisation, transport, sport, santé, etc.
Bloc 4 - Capacité de concrétisation : budgets, foncier, complexité, délais, arbitrages et calendrier probable 2026-2030.</t>
  </si>
  <si>
    <t>Un score élevé suppose non seulement un potentiel de croissance, mais aussi un pipeline crédible et exécutable. Un besoin structurel sans projets matures reste limité en score.</t>
  </si>
  <si>
    <t>4. Score global - définition</t>
  </si>
  <si>
    <t>Formule</t>
  </si>
  <si>
    <t>Score global = 55 % × Score Rénovation + 45 % × Score Neuf.
Le poids un peu supérieur de la rénovation reflète le fait que, sur la majorité des sous-segments du modèle, le marché 2026-2030 est d'abord tiré par la profondeur du parc existant et les remises à niveau, plus que par une création nette massive de sites.</t>
  </si>
  <si>
    <t>Interprétation</t>
  </si>
  <si>
    <t>Le Score global vise à hiérarchiser les sous-catégories selon leur attractivité marché combinée. Il ne remplace pas les volumes ; il les met en perspective avec la probabilité de concrétisation et les moteurs de marché.</t>
  </si>
  <si>
    <t>5. Échelle de lecture des scores</t>
  </si>
  <si>
    <t>Repères indicatifs</t>
  </si>
  <si>
    <t>0,0 à 1,5 : faible
1,5 à 2,5 : faible à modéré
2,5 à 3,5 : intermédiaire / sélectif
3,5 à 4,25 : soutenu
4,25 à 5,0 : très soutenu / prioritaire</t>
  </si>
  <si>
    <t>Score Rénovation de l'école primaire</t>
  </si>
  <si>
    <t>Dans le modèle, l'école primaire ressort avec un Score Rénovation élevé car elle cumule :
• un parc très profond
• des blocs sanitaires souvent anciens
• un usage quotidien intensif avec pics de fréquentation
• des remplacements par vagues lors de travaux communaux
• de vrais déclencheurs 2026-2030 : salubrité, accessibilité, confort d'usage, rénovation énergétique et requalification patrimoniale</t>
  </si>
  <si>
    <t>Score Neuf de l'école primaire</t>
  </si>
  <si>
    <t>Le Score Neuf de l'école primaire est plus faible car le neuf scolaire existe surtout via regroupements, extensions, zones en croissance et reconstructions ciblées. À l'échelle nationale, le pipeline neuf reste plus limité que le potentiel de rénovation. Surtout que le facteur démographique n'est pas en faveur de création d'établissements neufs au global.</t>
  </si>
  <si>
    <t>Calcul du score global - exemple</t>
  </si>
  <si>
    <t>Exemple issu du modèle :
• Score Rénovation = 4,26
• Score Neuf = 1,97
Alors :
Score global = 55 % × 4,26 + 45 % × 1,97
= 2,343 + 0,8865
= 3,2295
=&gt; Score global arrondi = 3,23</t>
  </si>
  <si>
    <t>L'école primaire a donc un profil de marché principalement orienté rénovation. Son attractivité globale est correcte à bonne, mais sa composante neuf est structurellement plus faible que sa composante rénovation.</t>
  </si>
  <si>
    <t>7. Limites méthodologiques</t>
  </si>
  <si>
    <t>Ce que le score n'est pas</t>
  </si>
  <si>
    <t>Le score n'est ni une probabilité mathématique pure, ni un simple dérivé du volume. Deux sous-segments avec des volumes proches peuvent avoir des scores différents selon la solvabilisation, la maturité des projets, la pression réglementaire ou la facilité d'exécution.</t>
  </si>
  <si>
    <t>Comment améliorer la robustesse du score</t>
  </si>
  <si>
    <t>• Définir des sous-notes explicites et pondérées par bloc
• adosser chaque bloc à des indicateurs observables
• documenter les programmes / budgets / projets par sous-segment
• faire valider les notes par experts terrain
• recalibrer les poids à partir de réalisations réelles 2026-2030</t>
  </si>
  <si>
    <t>Les scores sont conçus comme des outils de lecture stratégique du marché. 
Ils permettent de classer les sous-catégories et d'orienter les priorités commerciales / d'investigation, mais ils doivent toujours être relus avec les volumes, la fiabilité et les justifications associées.</t>
  </si>
  <si>
    <t>PAR TYPE PRODUIT - VOLUMES Ventes 2026 - 2030 / Neuf - Rénovation</t>
  </si>
  <si>
    <t>TOTAL VOLUMES VENTES 2026-2030</t>
  </si>
  <si>
    <t>Ventes Annuelles
(Volumes)</t>
  </si>
  <si>
    <t>Lavabos Total</t>
  </si>
  <si>
    <t>Douches Total</t>
  </si>
  <si>
    <t>Urinoirs Total</t>
  </si>
  <si>
    <t>WC Total</t>
  </si>
  <si>
    <t>Total Réno</t>
  </si>
  <si>
    <t>Lavabos Réno</t>
  </si>
  <si>
    <t>Douches Réno</t>
  </si>
  <si>
    <t>Urinoirs Réno</t>
  </si>
  <si>
    <t>WC Réno</t>
  </si>
  <si>
    <t>Total Neuf</t>
  </si>
  <si>
    <t>Lavabos Neuf</t>
  </si>
  <si>
    <t>Douches Neuf</t>
  </si>
  <si>
    <t>Urinoirs Neuf</t>
  </si>
  <si>
    <t>WC Neuf</t>
  </si>
  <si>
    <t>LAVABO - VOLUMES Ventes 2026 - 2030 / Neuf - Rénovation</t>
  </si>
  <si>
    <t>Mitigeurs Total</t>
  </si>
  <si>
    <t>Tempo. méca Total</t>
  </si>
  <si>
    <t>Tempo. électro Total</t>
  </si>
  <si>
    <t>Autres Total</t>
  </si>
  <si>
    <t>Mitigeurs Réno</t>
  </si>
  <si>
    <t>Tempo. méca Réno</t>
  </si>
  <si>
    <t>Tempo. électro Réno</t>
  </si>
  <si>
    <t>Autres Réno</t>
  </si>
  <si>
    <t>Mitigeurs Neuf</t>
  </si>
  <si>
    <t>Tempo. méca Neuf</t>
  </si>
  <si>
    <t>Tempo. électro Neuf</t>
  </si>
  <si>
    <t>Autres Neuf</t>
  </si>
  <si>
    <t>DOUCHE - VOLUMES Ventes 2026 - 2030 / Neuf - Rénovation</t>
  </si>
  <si>
    <t xml:space="preserve">      TOTAL VOLUMES VENTES 2026-2030</t>
  </si>
  <si>
    <t>URINOIR - VOLUMES Ventes 2026 - 2030 / Neuf - Rénovation</t>
  </si>
  <si>
    <t>à Réservoir Total</t>
  </si>
  <si>
    <t>Directe méca Total</t>
  </si>
  <si>
    <t>Electro indiv. Total</t>
  </si>
  <si>
    <t>Electro collec. Total</t>
  </si>
  <si>
    <t>à Réservoir Réno</t>
  </si>
  <si>
    <t>Directe méca Réno</t>
  </si>
  <si>
    <t>Electro indiv. Réno</t>
  </si>
  <si>
    <t>Electro collec. Réno</t>
  </si>
  <si>
    <t>à Réservoir Neuf</t>
  </si>
  <si>
    <t>Directe méca Neuf</t>
  </si>
  <si>
    <t>Electro indiv. Neuf</t>
  </si>
  <si>
    <t>Electro collec. Neuf</t>
  </si>
  <si>
    <t>WC - VOLUMES Ventes 2026 - 2030 / Neuf - Rénovation</t>
  </si>
  <si>
    <t>Directe électro Total</t>
  </si>
  <si>
    <t>Directe électro Réno</t>
  </si>
  <si>
    <t>Directe électro Neuf</t>
  </si>
  <si>
    <t>GLOBAL - SPLIT VOLUMES - NIVEAU DE CONFORT - Parc 2025 &amp; Ventes 2026 - 2030</t>
  </si>
  <si>
    <t>Split Volumes - Parc 2025</t>
  </si>
  <si>
    <t>Split Volumes - Ventes 2026-30</t>
  </si>
  <si>
    <t>GLOBAL - SPLIT % - NIVEAU DE CONFORT - Parc 2025 &amp; Ventes 2026 - 2030</t>
  </si>
  <si>
    <t>Volumes - Parc 2025</t>
  </si>
  <si>
    <t>Volumes - Ventes 2026-30</t>
  </si>
  <si>
    <t>LAVABO - SPLIT VOLUMES - NIVEAU DE CONFORT - Parc 2025 &amp; Ventes 2026 - 2030</t>
  </si>
  <si>
    <t>LAVABO - SPLIT % - NIVEAU DE CONFORT - Parc 2025 &amp; Ventes 2026 - 2030</t>
  </si>
  <si>
    <t>DOUCHE - SPLIT VOLUMES - NIVEAU DE CONFORT - Parc 2025 &amp; Ventes 2026 - 2030</t>
  </si>
  <si>
    <t>DOUCHE - SPLIT % - NIVEAU DE CONFORT - Parc 2025 &amp; Ventes 2026 - 2030</t>
  </si>
  <si>
    <t>URINOIR - SPLIT VOLUMES - NIVEAU DE CONFORT - Parc 2025 &amp; Ventes 2026 - 2030</t>
  </si>
  <si>
    <t>URINOIR - SPLIT % - NIVEAU DE CONFORT - Parc 2025 &amp; Ventes 2026 - 2030</t>
  </si>
  <si>
    <t>WC - SPLIT VOLUMES - NIVEAU DE CONFORT - Parc 2025 &amp; Ventes 2026 - 2030</t>
  </si>
  <si>
    <t>WC - SPLIT % - NIVEAU DE CONFORT - Parc 2025 &amp; Ventes 2026 - 2030</t>
  </si>
  <si>
    <t>Cafés / bars / brasseries; Fast-food / cafétérias / food courts; Restaurants
(Hors établissements altitude, flottant, armée)</t>
  </si>
  <si>
    <t>Établissements médico-éducatifs; Foyers pour personnes handicapées; EHPAD; USLD; Résidences autonomie
Foyers-logements
(Public); Résidences services seniors
(Privé)</t>
  </si>
  <si>
    <t>Gymnases / salles multisports; Piscines couvertes; Salles de fitness / dojos; Patinoires couvertes</t>
  </si>
  <si>
    <t>Écoles maternelles; Écoles primaires; Collèges
(vestiaires EPS inclus); Lycées
(vestiaires EPS inclus); Internats scolaires</t>
  </si>
  <si>
    <t>Cinémas; Théâtres; Musées; Salles de spectacle / auditoriums; Salles de conférence / réunion; Salles polyvalentes / salles des fêtes; Bibliothèques / médiathèques</t>
  </si>
  <si>
    <t>Grands stades avec tribunes
(Type football/rugby) ; Stades 
(Type athlétisme - Hors scolaire); Terrains de sport
(Hors scolaire); Hippodromes; Piscines extérieures 
(Hors campings, hôtels, résidences et établissement avec bassin intérieur)</t>
  </si>
  <si>
    <t>Mairies / hôtels de ville; Préfectures / services administratifs; Maisons France Services
Guichets publics</t>
  </si>
  <si>
    <t>Hôpitaux universitaires / CHU; Hôpitaux publics 
(Hors CHU, Universitaire, Militaire, Carcéral); Hôpitaux privés; Cliniques</t>
  </si>
  <si>
    <t>Églises, cathédrales, basiliques et chapelles ouvertes au public; Monastères, abbayes et couvents ouverts au public; Temples protestants, évangéliques et salles de culte assimilées; Mosquées et salles de prière musulmanes; Synagogues et oratoires juifs ouverts au public; Temples bouddhistes, hindous et autres lieux de culte non abrahamiques ouverts au public; Salles du Royaume, centres cultuels pluriconfessionnels et lieux de culte polyvalents</t>
  </si>
  <si>
    <t>Usines</t>
  </si>
  <si>
    <t>Usines (&gt;50 personnes)</t>
  </si>
  <si>
    <t>Aires de service - Autoroutes
(Hors Aires de repos); Aires de repos - Autoroutes
(Hors Aires de service); Aéroports / aérogares
(&gt;1 000 passagers/an); Gares ferroviaires et stations; Terminaux maritimes / fluviaux; Établissements flottants</t>
  </si>
  <si>
    <t>Centres commerciaux / malls; Marchés couverts</t>
  </si>
  <si>
    <t>Hôtels; Pensions de famille; Résidences de tourisme; Auberges de jeunesse</t>
  </si>
  <si>
    <t>Centres de loisirs sans hébergement; Centres de vacances / colonies</t>
  </si>
  <si>
    <t>Maisons d’arrêt; Centres de détention; Maisons centrales; Centres pénitentiaires; Centres de semi-liberté; Centres éducatifs fermés; Centres pour peines aménagées
(absorbés par autres centres carcéraux); Unités hospitalières sécurisées</t>
  </si>
  <si>
    <t>Chapiteaux / tentes / structures; Structures gonflables</t>
  </si>
  <si>
    <t>Centres de santé / centres médicaux; Maisons de santé</t>
  </si>
  <si>
    <t>Salles de jeux / bowlings / billards; Discothèques / salles de danse</t>
  </si>
  <si>
    <t>Universités; Grandes écoles; Résidences étudiantes et dortoirs</t>
  </si>
  <si>
    <t>Foires / salons; Halls d’exposition</t>
  </si>
  <si>
    <t>Unités d'hébergement des militaires &amp; réservistes; Centres de recrutement et bureaux d’information; Restaurants ou équipements sportifs ouverts au public sur emprise militaire; Hôpitaux d’instruction des armées et centres médicaux recevant du public; Salles de conférence, auditoriums et espaces événementiels ouverts au public</t>
  </si>
  <si>
    <t>Palais de justice et bâtiments judiciaires multi-usages; Maisons de justice et du droit; Tribunaux de commerce autonomes; Conseils de prud’hommes autonomes; Autres bâtiments judiciaires autonomes recevant du public</t>
  </si>
  <si>
    <t>Hôtels-restaurants d’altitude; Refuges de montagne</t>
  </si>
  <si>
    <t>Locaux de sûreté, garde à vue et zones opérationnelles; Postes de proximité et antennes avec accueil public; Salles de réunion, de prévention ou de conférence ouvertes au public</t>
  </si>
  <si>
    <t>Petite enfance; Enseignement scolaire; Enseignement supérieur; Enfance / jeunesse; Formation</t>
  </si>
  <si>
    <t>Crèches; Écoles maternelles; Écoles primaires; Collèges
(vestiaires EPS inclus); Lycées
(vestiaires EPS inclus); Internats scolaires; Universités; Grandes écoles; Résidences étudiantes et dortoirs; Centres de loisirs sans hébergement; Centres de vacances / colonies; Centres de formation / CFA</t>
  </si>
  <si>
    <t>Restauration / boissons; Loisirs; Commerce</t>
  </si>
  <si>
    <t>Cafés / bars / brasseries; Fast-food / cafétérias / food courts; Restaurants
(Hors établissements altitude, flottant, armée); Salles de jeux / bowlings / billards; Discothèques / salles de danse; Centres commerciaux / malls; Marchés couverts</t>
  </si>
  <si>
    <t>Sport couvert; Sport de plein air</t>
  </si>
  <si>
    <t>Gymnases / salles multisports; Piscines couvertes; Salles de fitness / dojos; Patinoires couvertes; Grands stades avec tribunes
(Type football/rugby) ; Stades 
(Type athlétisme - Hors scolaire); Terrains de sport
(Hors scolaire); Hippodromes; Piscines extérieures 
(Hors campings, hôtels, résidences et établissement avec bassin intérieur)</t>
  </si>
  <si>
    <t>Santé hospitalière; Médico-social; Santé ambulatoire</t>
  </si>
  <si>
    <t>Hôpitaux universitaires / CHU; Hôpitaux publics 
(Hors CHU, Universitaire, Militaire, Carcéral); Hôpitaux privés; Cliniques; Établissements médico-éducatifs; Foyers pour personnes handicapées; EHPAD; USLD; Résidences autonomie
Foyers-logements
(Public); Résidences services seniors
(Privé); Centres de santé / centres médicaux; Maisons de santé</t>
  </si>
  <si>
    <t>Bureaux; Usines</t>
  </si>
  <si>
    <t>Bureaux (&gt;50 personnes, tertiaire privé + logistique hors usines); Usines (&gt;50 personnes)</t>
  </si>
  <si>
    <t>Administrations / services publics; Culte; Vie associative</t>
  </si>
  <si>
    <t>Mairies / hôtels de ville; Préfectures / services administratifs; Maisons France Services
Guichets publics; Églises, cathédrales, basiliques et chapelles ouvertes au public; Monastères, abbayes et couvents ouverts au public; Temples protestants, évangéliques et salles de culte assimilées; Mosquées et salles de prière musulmanes; Synagogues et oratoires juifs ouverts au public; Temples bouddhistes, hindous et autres lieux de culte non abrahamiques ouverts au public; Salles du Royaume, centres cultuels pluriconfessionnels et lieux de culte polyvalents; Locaux associatifs recevant du public</t>
  </si>
  <si>
    <t>Culture / spectacle; Expositions / salons; Événementiel temporaire</t>
  </si>
  <si>
    <t>Cinémas; Théâtres; Musées; Salles de spectacle / auditoriums; Salles de conférence / réunion; Salles polyvalentes / salles des fêtes; Bibliothèques / médiathèques; Foires / salons; Halls d’exposition; Chapiteaux / tentes / structures; Structures gonflables</t>
  </si>
  <si>
    <t>Hébergement; Montagne; Tourisme de plein air</t>
  </si>
  <si>
    <t>Hôtels; Pensions de famille; Résidences de tourisme; Auberges de jeunesse; Hôtels-restaurants d’altitude; Refuges de montagne; Campings</t>
  </si>
  <si>
    <t>Transport / mobilité; Stationnement</t>
  </si>
  <si>
    <t>Aires de service - Autoroutes
(Hors Aires de repos); Aires de repos - Autoroutes
(Hors Aires de service); Aéroports / aérogares
(&gt;1 000 passagers/an); Gares ferroviaires et stations; Terminaux maritimes / fluviaux; Établissements flottants; Parcs de stationnement couverts</t>
  </si>
  <si>
    <t>Commissariats / postes de police ; Forces armées; Univers carcéral; Tribunaux</t>
  </si>
  <si>
    <t>Locaux de sûreté, garde à vue et zones opérationnelles; Postes de proximité et antennes avec accueil public; Salles de réunion, de prévention ou de conférence ouvertes au public; Unités d'hébergement des militaires &amp; réservistes; Centres de recrutement et bureaux d’information; Restaurants ou équipements sportifs ouverts au public sur emprise militaire; Hôpitaux d’instruction des armées et centres médicaux recevant du public; Salles de conférence, auditoriums et espaces événementiels ouverts au public; Maisons d’arrêt; Centres de détention; Maisons centrales; Centres pénitentiaires; Centres de semi-liberté; Centres éducatifs fermés; Centres pour peines aménagées
(absorbés par autres centres carcéraux); Unités hospitalières sécurisées; Palais de justice et bâtiments judiciaires multi-usages; Maisons de justice et du droit; Tribunaux de commerce autonomes; Conseils de prud’hommes autonomes; Autres bâtiments judiciaires autonomes recevant du public</t>
  </si>
  <si>
    <r>
      <rPr>
        <b/>
        <sz val="9"/>
        <rFont val="Calibri"/>
      </rPr>
      <t>Crèches ; Haltes-garderies, jardins d’enfants</t>
    </r>
    <r>
      <rPr>
        <sz val="9"/>
        <rFont val="Calibri"/>
      </rPr>
      <t xml:space="preserve"> : R
Protection Maternelle et Infantile : U ou W</t>
    </r>
  </si>
  <si>
    <r>
      <rPr>
        <b/>
        <sz val="9"/>
        <rFont val="Calibri"/>
      </rPr>
      <t>Universités ; Grandes écoles</t>
    </r>
    <r>
      <rPr>
        <sz val="9"/>
        <rFont val="Calibri"/>
      </rPr>
      <t xml:space="preserve"> : R
Résidences étudiantes et dortoirs : Variable</t>
    </r>
  </si>
  <si>
    <r>
      <rPr>
        <b/>
        <sz val="9"/>
        <rFont val="Calibri"/>
      </rPr>
      <t>Crèches</t>
    </r>
    <r>
      <rPr>
        <sz val="9"/>
        <rFont val="Calibri"/>
      </rPr>
      <t xml:space="preserve"> : Établissements d’éveil / petite enfance recevant du public.
</t>
    </r>
    <r>
      <rPr>
        <b/>
        <sz val="9"/>
        <rFont val="Calibri"/>
        <family val="2"/>
      </rPr>
      <t>Haltes-garderies, jardins d’enfants</t>
    </r>
    <r>
      <rPr>
        <sz val="9"/>
        <rFont val="Calibri"/>
      </rPr>
      <t xml:space="preserve"> : Établissements accueil Peite enfance
</t>
    </r>
    <r>
      <rPr>
        <b/>
        <sz val="9"/>
        <rFont val="Calibri"/>
        <family val="2"/>
      </rPr>
      <t>Protection Maternelle et Infantile</t>
    </r>
    <r>
      <rPr>
        <sz val="9"/>
        <rFont val="Calibri"/>
      </rPr>
      <t xml:space="preserve"> : Établissements soin petite enfance et conseils au parents (1000 premiers jours).</t>
    </r>
  </si>
  <si>
    <t>Bâtiment administratif/préfecture : programme bureau + accueil public.</t>
  </si>
  <si>
    <t>Sanitaires clients tres frequentes, usage court, pics de flux et maintenance souvent externalisee. Dans un parc collectif existant, la robustesse et le controle simple de la duree d'usage expliquent une base mecanique plus forte. Pour 2030, l'electronique progresse avec l'hygiene sans contact et la reduction d'eau, mais la hausse est contenue par le cout, l'acces a l'alimentation et l'inertie du remplacement; le tempo mecanique reste donc quasiment stable. Le choix reflete rotation clients/personnel, pics repas ou achats et pression sur image de marque ; experience client, debit de nettoyage, economie d eau et cout d exploitation.</t>
  </si>
  <si>
    <t>2025-2030 : progression de Tempo electronique, surtout lors des renov. lourdes/neuf ; recul de mitigeur manuel mais maintien d un socle robuste pour les remplacements partiels.</t>
  </si>
  <si>
    <t>Sanitaires clients tres frequentes, usage court, pics de flux et maintenance souvent externalisee. 2025 conserve un poids eleve de tempo mecanique, car les douches collectives sont pilotees par duree d'usage et doivent rester reparables. En 2030, l'electronique augmente mais sans bascule massive: le parc installe continue d'arbitrer entre economies d'eau, prevention des usages prolonges, cout de maintenance et robustesse.</t>
  </si>
  <si>
    <t>2025-2030 : Tempo electronique, surtout lors des renov. lourdes/neuf ; recul de mitigeur mais maintien d un socle robuste pour les remplacements partiels.</t>
  </si>
  <si>
    <t>Sanitaires clients tres frequentes, usage court, pics de flux et maintenance souvent externalisee. Le parc 2025 reste construit autour de la chasse directe mecanique, avec des reservoirs encore presents dans les blocs plus anciens et une electronique deja visible dans les zones a forte frequentation. 2030 : l'electronique individuelle et centralisee gagne du poids, mais pas au point d'ecraser le mecanique, car les renovations sont progressives et les exploitants valorisent la simplicite de maintenance.</t>
  </si>
  <si>
    <t>2025-2030 : progression de directe electronique indiv., surtout lors des renov. lourdes/neuf ; recul de a reservoir mais maintien d un socle robuste pour les remplacements partiels.</t>
  </si>
  <si>
    <t>Sanitaires clients tres frequentes, usage court, pics de flux et maintenance souvent externalisee. Chasses directes existent deja davantage que dans les usages domestiques. Le transfert est partage entre directe mecanique et directe electronique: la premiere reste robuste et connue des mainteneurs, tandis que la seconde progresse dans les renovations visant hygiene, detection d'usage et meilleure maitrise des consommations. Le choix reflete rotation clients/personnel, pics repas ou achats et pression sur image de marque ; experience client, debit de nettoyage, economie d eau et cout d exploitation.</t>
  </si>
  <si>
    <t>2025-2030 : progression de chasse directe mecanique, surtout lors des renov. lourdes/neuf ; recul de reservoir mais maintien d un socle robuste pour les remplacements partiels.</t>
  </si>
  <si>
    <t xml:space="preserve">Le parc des marchés couverts reste assez hétérogène : mitigeurs et temporisés mécaniques coexistent largement, avec une électronique encore minoritaire. Sanitaires publics ou semi-publics, environnement parfois humide, frequentation discontinue et priorite a la robustesse. Dans un parc collectif existant, la robustesse et le controle simple de la duree d'usage expliquent une base mecanique plus forte. </t>
  </si>
  <si>
    <t>Pour 2030, l'electronique progresse avec l'hygiene sans contact et la reduction d'eau, mais la hausse est contenue par le cout, l'acces a l'alimentation et l'inertie du remplacement; le tempo mecanique reste donc quasiment stable. Montée plus franche en électronique d’ici 2030, avec maintien d’un socle temporisé mécanique pour la robustesse et la simplicité.</t>
  </si>
  <si>
    <t>Le parc 2025 reste construit autour de la chasse directe mecanique, avec des reservoirs encore presents dans les blocs plus anciens et une electronique deja visible dans les zones a forte frequentation. 
Le parc d’urinoirs reste mixte entre solutions classiques et quelques collectifs anciens.</t>
  </si>
  <si>
    <t>La trajectoire 2030 a ete temperee: l'electronique individuelle et centralisee gagne du poids, mais pas au point d'ecraser le mecanique, car les renovations sont progressives et les exploitants valorisent la simplicite de maintenance.</t>
  </si>
  <si>
    <t>2025-2030 : progression de chasse directe electronique, surtout lors des renov. lourdes/neuf ; recul de reservoir mais maintien d un socle robuste pour les remplacements partiels.</t>
  </si>
  <si>
    <t>Le transfert est partage entre directe mecanique et directe electronique: la premiere reste robuste et connue des mainteneurs, tandis que la seconde progresse dans les renovations visant hygiene, detection d'usage et meilleure maitrise des consommations.</t>
  </si>
  <si>
    <t>Sanitaires publics ou semi-publics, environnement parfois humide, frequentation discontinue et priorite a la robustesse. Parc sanitaire collectif, ou les chasses directes existent deja davantage que dans les usages domestiques. Le transfert est partage entre directe mecanique et directe electronique. La chasse directe progressant par modernisation des blocs.</t>
  </si>
  <si>
    <t>Dans les bureaux, le mitigeur reste encore très présent dans le parc existant, mais l’électronique a gagné du terrain dans les rénovations tertiaires ; le temporisé mécanique est plus minoritaire que dans l’enseignement ou le sport. Légère baisse du mitigeur et/ou légère hausse de l’électronique pour mieux refléter la modernisation déjà visible sur les rénovations de sanitaires communs.</t>
  </si>
  <si>
    <t>2025-2030 : progression de tempo electronique, surtout lors des renov. lourdes/neuf ; recul de mitigeur manuel mais maintien d un socle robuste pour les remplacements partiels.</t>
  </si>
  <si>
    <t>Les urinoirs automatiques sont désormais courants dans l’immobilier tertiaire récent, sans avoir complètement remplacé le parc mécanique/direct existant. Le parc 2025 reste construit autour de la chasse directe mecanique, avec des reservoirs encore presents dans les blocs plus anciens et une electronique deja visible dans les zones a forte frequentation</t>
  </si>
  <si>
    <t>Bureaux Tertiaire Privé (&gt;50 salariés) (hors usines et logistique ) : parc 2025 domine par reservoir, avec chasse directe mecanique en appoint. Le choix reflete usage salarie de jour, maintenance planifiee et contraintes Code du travail ; sanitaires salaries, cout global, robustesse et sobriete eau.</t>
  </si>
  <si>
    <t>Espaces fonctionnels de vestiaires, pauses et exploitation, ou la simplicite de maintenance pese fortement. Parc 2025 domine par Mitigeur manuel et tempo mecanique. Le choix reflete usage salarie, maintenance planifiee et contraintes Code du travail ; sanitaires salaries, cout global, robustesse et sobriete eau.</t>
  </si>
  <si>
    <t>Pour 2030, l'electronique progresse avec l'hygiene sans contact et la reduction d'eau, mais la hausse est contenue par le cout, l'acces a l'alimentation et l'inertie du remplacement; le tempo mecanique reste donc quasiment stable.</t>
  </si>
  <si>
    <t>Le réservoir reste légèrement majoritaire dans le stock, mais la chasse directe et l’électronique sont déjà bien représentées dans les immeubles récents. Les chasses directes existent deja davantage que dans les usages domestiques.</t>
  </si>
  <si>
    <t>Sites industriels renoves par zones, avec contraintes d'hygiene, securite et disponibilite des equipements. Parc 2025 domine par tempo mecanique , avec mitigeur manuel en appoint. Le choix reflete usage salarie de jour, maintenance planifiee et contraintes Code du travail ; sanitaires salaries, cout global, robustesse et sobriete eau.</t>
  </si>
  <si>
    <t>Usines (&gt;50 salariés) (Hors Ateliers industriels) : parc 2025 domine par mitigeur et tempo mecanique. Le choix reflete usage salarie de jour, maintenance planifiee et contrainte. Douches collectives sont pilotees par duree d'usage et doivent rester reparables</t>
  </si>
  <si>
    <t>En 2030, l'electronique augmente mais sans bascule massive: le parc installe continue d'arbitrer entre economies d'eau, prevention des usages prolonges, cout de maintenance et robustesse.</t>
  </si>
  <si>
    <t>Usines (&gt;50 salariés) (Hors Ateliers industriels) : Le parc 2025 reste construit autour de la chasse directe mecanique, avec des reservoirs encore presents dans les blocs plus anciens et une electronique deja visible dans les zones a forte frequentation.</t>
  </si>
  <si>
    <t>Trajectoire 2030 : l'electronique individuelle et centralisee gagne du poids, mais pas au point d'ecraser le mecanique, car les renovations sont progressives et les exploitants valorisent la simplicite de maintenance.</t>
  </si>
  <si>
    <t xml:space="preserve"> Le transfert est partage entre directe mecanique et directe electronique: la premiere reste robuste et connue des mainteneurs, tandis que la seconde progresse dans les renovations visant hygiene, detection d'usage et meilleure maitrise des consommations.</t>
  </si>
  <si>
    <t>Dans l’industrie, le parc commun privilégie la robustesse : temporisé mécanique dominant, avec une part d’équipements spécifiques/industriels classés en 'autres'. Environnements exposes aux salissures, chocs, manipulations repetees et interventions de maintenance locales.</t>
  </si>
  <si>
    <t>Les douches de vestiaires sont très majoritairement temporisées mécaniques sur le parc existant. Environnements exposes aux salissures, chocs, manipulations repetees et interventions de maintenance locales.</t>
  </si>
  <si>
    <t>Les douches d’usine progressent modérément vers l’électronique, mais le parc reste surtout robuste et mécanique. Le parc installe continue d'arbitrer entre economies d'eau, prevention des usages prolonges, cout de maintenance et robustesse.</t>
  </si>
  <si>
    <t>Les urinoirs restent surtout mécaniques ou collectifs anciens ; l’automatique est minoritaire. Le parc 2025 reste construit autour de la chasse directe mecanique, avec des reservoirs encore presents dans les blocs plus anciens et une electronique deja visible dans les zones a forte frequentation.</t>
  </si>
  <si>
    <t xml:space="preserve">La chasse directe est déjà très présente dans les blocs industriels à fort passage, même si le réservoir reste important dans le parc ancien. Chasses directes existent deja davantage que dans les usages domestiques. </t>
  </si>
  <si>
    <t>Le direct progresse pour robustesse, mais le parc existant conserve une forte inertie et le réservoir reste encore important. Le transfert est partage entre directe mecanique et directe electronique: la premiere reste robuste et connue des mainteneurs, tandis que la seconde progresse dans les renovations visant hygiene, detection d'usage et meilleure maitrise des consommations.</t>
  </si>
  <si>
    <t>Mairies / hôtels de ville : parc 2025 domine par directe mecanique, avec directe electronique collective en appoint. Le choix reflete accueil public de jour, flux moderes et renov. liees aux programmes patrimoniaux ; accessibilite, image institutionnelle et maintenance sobre.</t>
  </si>
  <si>
    <t>Mairies / hôtels de ville : parc 2025 domine par reservoir, avec chasse directe mecanique en appoint. Le choix reflete accueil public de jour, flux moderes et renov. liees aux programmes patrimoniaux ; accessibilite, image institutionnelle et maintenance sobre.</t>
  </si>
  <si>
    <t>Tertiaire administratif interne, moins expose au public, dont le parc evolue principalement au rythme des remises en etat. : parc 2025 domine mitigeur manuel et par tempo mecanique. La robustesse et le controle simple de la duree d'usage expliquent une base mecanique plus forte.</t>
  </si>
  <si>
    <t>Bureaux administratifs secondaires non ERP &gt;50 salariés : parc 2025 domine par directe mecanique, avec directe electronique indiv. en appoint. Le choix reflete accueil salariés de jour, flux moderes et renov. liees aux programmes patrimoniaux ; accessibilite, image institutionnelle et maintenance sobre.</t>
  </si>
  <si>
    <t>Moins expose au public, dont le parc evolue principalement au rythme des remises en etat. Parc 2025 domine par chasse directe mecanique (50%), avec reservoir en appoint. Le choix reflete accueil public de jour, flux moderes et renov. liees aux programmes patrimoniaux ; accessibilite, image institutionnelle et maintenance sobre.</t>
  </si>
  <si>
    <t>Bâtiments administratifs institutionnels, souvent mixtes entre accueil public, zones agents et espaces protocolaire. Parc 2025 domine par tempo mecanique, avec mitigeur manuel en appoint. Le choix reflete accueil public de jour, flux moderes et renov. liees aux programmes patrimoniaux ; accessibilite, image institutionnelle et maintenance sobre.</t>
  </si>
  <si>
    <t>Hôtels du département Hôtels de région &amp; Services administratifs territoriaux : parc 2025 domine par directe mecanique, avec directe electronique collective en appoint. Le choix reflete accueil public de jour, flux moderes et renov. liees aux programmes patrimoniaux ; accessibilite, image institutionnelle et maintenance sobre.</t>
  </si>
  <si>
    <t>Hôtels du département Hôtels de région &amp; Services administratifs territoriaux : parc 2025 domine par reservoir, avec chasse directe mecanique en appoint. Le choix reflete accueil public de jour, flux moderes et renov. liees aux programmes patrimoniaux ; accessibilite, image institutionnelle et maintenance sobre.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</si>
</sst>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_-* #,##0_-;\-* #,##0_-;_-* &quot;-&quot;??_-;_-@_-"/>
    <numFmt numFmtId="167" formatCode="#,##0.0"/>
  </numFmts>
  <fonts count="160">
    <font>
      <sz val="11"/>
      <color theme="1"/>
      <name val="Calibri"/>
      <family val="2"/>
      <scheme val="minor"/>
    </font>
    <font>
      <b/>
      <sz val="11"/>
      <color rgb="FFFFFFFF"/>
      <name val="Calibri"/>
      <family val="2"/>
    </font>
    <font>
      <b/>
      <sz val="11"/>
      <name val="Calibri"/>
      <family val="2"/>
    </font>
    <font>
      <b/>
      <sz val="11"/>
      <color rgb="FF000000"/>
      <name val="Calibri"/>
      <family val="2"/>
    </font>
    <font>
      <b/>
      <sz val="10"/>
      <color rgb="FFFFFFFF"/>
      <name val="Calibri"/>
      <family val="2"/>
    </font>
    <font>
      <b/>
      <sz val="10"/>
      <color rgb="FF000000"/>
      <name val="Calibri"/>
      <family val="2"/>
    </font>
    <font>
      <sz val="10"/>
      <color theme="1"/>
      <name val="Calibri"/>
      <family val="2"/>
      <scheme val="minor"/>
    </font>
    <font>
      <b/>
      <sz val="9"/>
      <color rgb="FFFFFFFF"/>
      <name val="Calibri"/>
      <family val="2"/>
    </font>
    <font>
      <b/>
      <sz val="9"/>
      <color rgb="FF000000"/>
      <name val="Calibri"/>
      <family val="2"/>
    </font>
    <font>
      <sz val="9"/>
      <color theme="1"/>
      <name val="Calibri"/>
      <family val="2"/>
      <scheme val="minor"/>
    </font>
    <font>
      <b/>
      <sz val="10"/>
      <color theme="1"/>
      <name val="Calibri"/>
      <family val="2"/>
      <scheme val="minor"/>
    </font>
    <font>
      <sz val="11"/>
      <color theme="1" tint="0.34998626667073579"/>
      <name val="Calibri"/>
      <family val="2"/>
      <scheme val="minor"/>
    </font>
    <font>
      <b/>
      <sz val="10"/>
      <color theme="1" tint="0.34998626667073579"/>
      <name val="Calibri"/>
      <family val="2"/>
      <scheme val="minor"/>
    </font>
    <font>
      <sz val="11"/>
      <name val="Calibri"/>
      <family val="2"/>
      <scheme val="minor"/>
    </font>
    <font>
      <b/>
      <sz val="10"/>
      <name val="Calibri"/>
      <family val="2"/>
      <scheme val="minor"/>
    </font>
    <font>
      <b/>
      <sz val="10"/>
      <color theme="6"/>
      <name val="Calibri"/>
      <family val="2"/>
      <scheme val="minor"/>
    </font>
    <font>
      <sz val="11"/>
      <color theme="1"/>
      <name val="Calibri"/>
      <family val="2"/>
      <scheme val="minor"/>
    </font>
    <font>
      <b/>
      <sz val="11"/>
      <color theme="1"/>
      <name val="Calibri"/>
      <family val="2"/>
      <scheme val="minor"/>
    </font>
    <font>
      <b/>
      <sz val="13.5"/>
      <color theme="1"/>
      <name val="Calibri"/>
      <family val="2"/>
      <scheme val="minor"/>
    </font>
    <font>
      <b/>
      <sz val="18"/>
      <color theme="1"/>
      <name val="Calibri"/>
      <family val="2"/>
      <scheme val="minor"/>
    </font>
    <font>
      <sz val="11"/>
      <color theme="1" tint="0.499984740745262"/>
      <name val="Calibri"/>
      <family val="2"/>
      <scheme val="minor"/>
    </font>
    <font>
      <b/>
      <sz val="10"/>
      <color theme="1" tint="0.499984740745262"/>
      <name val="Calibri"/>
      <family val="2"/>
      <scheme val="minor"/>
    </font>
    <font>
      <sz val="9"/>
      <color theme="1" tint="0.499984740745262"/>
      <name val="Calibri"/>
      <family val="2"/>
      <scheme val="minor"/>
    </font>
    <font>
      <b/>
      <sz val="11"/>
      <color theme="1" tint="0.499984740745262"/>
      <name val="Calibri"/>
      <family val="2"/>
    </font>
    <font>
      <b/>
      <sz val="10"/>
      <color theme="1"/>
      <name val="Calibri"/>
      <family val="2"/>
    </font>
    <font>
      <b/>
      <sz val="9"/>
      <name val="Calibri"/>
      <family val="2"/>
    </font>
    <font>
      <b/>
      <sz val="11"/>
      <color theme="5" tint="0.59999389629810485"/>
      <name val="Calibri"/>
      <family val="2"/>
    </font>
    <font>
      <b/>
      <sz val="9"/>
      <color theme="1"/>
      <name val="Calibri"/>
      <family val="2"/>
      <scheme val="minor"/>
    </font>
    <font>
      <b/>
      <sz val="11"/>
      <color theme="6" tint="0.59999389629810485"/>
      <name val="Calibri"/>
      <family val="2"/>
    </font>
    <font>
      <b/>
      <sz val="10"/>
      <color theme="6" tint="0.59999389629810485"/>
      <name val="Calibri"/>
      <family val="2"/>
    </font>
    <font>
      <b/>
      <sz val="11"/>
      <color theme="7" tint="0.59999389629810485"/>
      <name val="Calibri"/>
      <family val="2"/>
    </font>
    <font>
      <b/>
      <sz val="11"/>
      <color theme="9" tint="0.59999389629810485"/>
      <name val="Calibri"/>
      <family val="2"/>
    </font>
    <font>
      <b/>
      <sz val="9"/>
      <color theme="6" tint="0.59999389629810485"/>
      <name val="Calibri"/>
      <family val="2"/>
    </font>
    <font>
      <b/>
      <sz val="9"/>
      <color theme="1" tint="0.499984740745262"/>
      <name val="Calibri"/>
      <family val="2"/>
    </font>
    <font>
      <sz val="10"/>
      <color theme="1" tint="0.499984740745262"/>
      <name val="Calibri"/>
      <family val="2"/>
      <scheme val="minor"/>
    </font>
    <font>
      <b/>
      <sz val="11"/>
      <color theme="6" tint="0.39997558519241921"/>
      <name val="Calibri"/>
      <family val="2"/>
    </font>
    <font>
      <b/>
      <sz val="9"/>
      <color theme="6" tint="0.39997558519241921"/>
      <name val="Calibri"/>
      <family val="2"/>
    </font>
    <font>
      <b/>
      <sz val="11"/>
      <color theme="0"/>
      <name val="Calibri"/>
      <family val="2"/>
    </font>
    <font>
      <b/>
      <sz val="10"/>
      <color theme="7" tint="0.59999389629810485"/>
      <name val="Calibri"/>
      <family val="2"/>
    </font>
    <font>
      <b/>
      <sz val="10"/>
      <color theme="9" tint="0.59999389629810485"/>
      <name val="Calibri"/>
      <family val="2"/>
    </font>
    <font>
      <b/>
      <sz val="10"/>
      <color theme="5" tint="0.59999389629810485"/>
      <name val="Calibri"/>
      <family val="2"/>
    </font>
    <font>
      <b/>
      <sz val="9"/>
      <color theme="7" tint="0.59999389629810485"/>
      <name val="Calibri"/>
      <family val="2"/>
    </font>
    <font>
      <b/>
      <sz val="9"/>
      <color theme="9" tint="0.59999389629810485"/>
      <name val="Calibri"/>
      <family val="2"/>
    </font>
    <font>
      <b/>
      <sz val="11"/>
      <color theme="6" tint="0.59987182226020086"/>
      <name val="Calibri"/>
      <family val="2"/>
      <charset val="1"/>
    </font>
    <font>
      <b/>
      <sz val="11"/>
      <color theme="7" tint="0.59987182226020086"/>
      <name val="Calibri"/>
      <family val="2"/>
      <charset val="1"/>
    </font>
    <font>
      <b/>
      <sz val="11"/>
      <color theme="9" tint="0.59987182226020086"/>
      <name val="Calibri"/>
      <family val="2"/>
      <charset val="1"/>
    </font>
    <font>
      <b/>
      <sz val="11"/>
      <color theme="5" tint="0.59987182226020086"/>
      <name val="Calibri"/>
      <family val="2"/>
      <charset val="1"/>
    </font>
    <font>
      <b/>
      <sz val="9"/>
      <color theme="1"/>
      <name val="Calibri"/>
      <family val="2"/>
      <charset val="1"/>
    </font>
    <font>
      <b/>
      <sz val="10"/>
      <color theme="0"/>
      <name val="Calibri"/>
      <family val="2"/>
    </font>
    <font>
      <sz val="11"/>
      <color theme="1"/>
      <name val="Calibri"/>
      <family val="2"/>
      <charset val="1"/>
    </font>
    <font>
      <b/>
      <sz val="14"/>
      <name val="Cambria"/>
      <family val="1"/>
    </font>
    <font>
      <b/>
      <sz val="11"/>
      <color rgb="FFFFFFFF"/>
      <name val="Cambria"/>
      <family val="1"/>
    </font>
    <font>
      <b/>
      <sz val="11"/>
      <name val="Cambria"/>
      <family val="1"/>
    </font>
    <font>
      <sz val="9"/>
      <color theme="1"/>
      <name val="Calibri"/>
      <family val="2"/>
      <charset val="1"/>
    </font>
    <font>
      <sz val="10"/>
      <color theme="1"/>
      <name val="Calibri"/>
      <family val="2"/>
      <charset val="1"/>
    </font>
    <font>
      <b/>
      <sz val="10"/>
      <color rgb="FFFFFFFF"/>
      <name val="Cambria"/>
      <family val="1"/>
    </font>
    <font>
      <b/>
      <sz val="9"/>
      <color rgb="FFFFFFFF"/>
      <name val="Cambria"/>
      <family val="1"/>
    </font>
    <font>
      <b/>
      <sz val="11"/>
      <color theme="1"/>
      <name val="Calibri"/>
      <family val="2"/>
    </font>
    <font>
      <sz val="8"/>
      <color theme="1"/>
      <name val="Calibri"/>
      <family val="2"/>
      <charset val="1"/>
    </font>
    <font>
      <b/>
      <sz val="14"/>
      <color rgb="FFFFFFFF"/>
      <name val="Calibri"/>
      <family val="2"/>
    </font>
    <font>
      <sz val="10"/>
      <name val="Calibri"/>
      <family val="2"/>
    </font>
    <font>
      <b/>
      <sz val="10"/>
      <color theme="1" tint="0.499984740745262"/>
      <name val="Calibri"/>
      <family val="2"/>
    </font>
    <font>
      <b/>
      <sz val="9"/>
      <color theme="1" tint="0.499984740745262"/>
      <name val="Calibri"/>
      <family val="2"/>
      <scheme val="minor"/>
    </font>
    <font>
      <b/>
      <sz val="9"/>
      <color theme="6" tint="0.59987182226020086"/>
      <name val="Calibri"/>
      <family val="2"/>
      <charset val="1"/>
    </font>
    <font>
      <b/>
      <sz val="10"/>
      <color theme="0"/>
      <name val="Calibri"/>
      <family val="2"/>
      <charset val="1"/>
    </font>
    <font>
      <b/>
      <sz val="11"/>
      <color rgb="FFFFFFFF"/>
      <name val="Calibri"/>
      <family val="2"/>
      <charset val="1"/>
    </font>
    <font>
      <b/>
      <sz val="10"/>
      <color rgb="FF000000"/>
      <name val="Calibri"/>
      <family val="2"/>
      <charset val="1"/>
    </font>
    <font>
      <b/>
      <sz val="10"/>
      <color theme="1"/>
      <name val="Calibri"/>
      <family val="2"/>
      <charset val="1"/>
    </font>
    <font>
      <b/>
      <sz val="11"/>
      <color theme="1"/>
      <name val="Calibri"/>
      <family val="2"/>
      <charset val="1"/>
    </font>
    <font>
      <b/>
      <sz val="11"/>
      <color theme="2" tint="-0.249977111117893"/>
      <name val="Calibri"/>
      <family val="2"/>
      <charset val="1"/>
    </font>
    <font>
      <b/>
      <sz val="11"/>
      <color theme="8" tint="0.59999389629810485"/>
      <name val="Calibri"/>
      <family val="2"/>
      <charset val="1"/>
    </font>
    <font>
      <b/>
      <sz val="11"/>
      <color theme="0"/>
      <name val="Calibri"/>
      <family val="2"/>
      <charset val="1"/>
    </font>
    <font>
      <b/>
      <sz val="11"/>
      <color theme="7" tint="0.59999389629810485"/>
      <name val="Calibri"/>
      <family val="2"/>
      <charset val="1"/>
    </font>
    <font>
      <b/>
      <sz val="11"/>
      <color theme="9" tint="0.59999389629810485"/>
      <name val="Calibri"/>
      <family val="2"/>
      <charset val="1"/>
    </font>
    <font>
      <b/>
      <sz val="11"/>
      <color theme="5" tint="0.59999389629810485"/>
      <name val="Calibri"/>
      <family val="2"/>
      <charset val="1"/>
    </font>
    <font>
      <b/>
      <sz val="11"/>
      <color theme="4" tint="0.59999389629810485"/>
      <name val="Calibri"/>
      <family val="2"/>
      <charset val="1"/>
    </font>
    <font>
      <b/>
      <sz val="9"/>
      <color rgb="FF000000"/>
      <name val="Calibri"/>
      <family val="2"/>
      <charset val="1"/>
    </font>
    <font>
      <b/>
      <sz val="11"/>
      <color theme="8" tint="0.59999389629810485"/>
      <name val="Calibri"/>
      <family val="2"/>
    </font>
    <font>
      <b/>
      <sz val="11"/>
      <color theme="2" tint="-0.249977111117893"/>
      <name val="Calibri"/>
      <family val="2"/>
    </font>
    <font>
      <b/>
      <sz val="9"/>
      <color theme="5" tint="0.59999389629810485"/>
      <name val="Calibri"/>
      <family val="2"/>
    </font>
    <font>
      <b/>
      <sz val="9"/>
      <color theme="0"/>
      <name val="Calibri"/>
      <family val="2"/>
    </font>
    <font>
      <b/>
      <i/>
      <sz val="9"/>
      <color theme="1"/>
      <name val="Calibri"/>
      <family val="2"/>
      <scheme val="minor"/>
    </font>
    <font>
      <b/>
      <i/>
      <sz val="9"/>
      <color rgb="FF000000"/>
      <name val="Calibri"/>
      <family val="2"/>
    </font>
    <font>
      <b/>
      <i/>
      <sz val="9"/>
      <color theme="2" tint="-0.499984740745262"/>
      <name val="Calibri"/>
      <family val="2"/>
      <scheme val="minor"/>
    </font>
    <font>
      <b/>
      <i/>
      <sz val="9"/>
      <color theme="8" tint="-0.249977111117893"/>
      <name val="Calibri"/>
      <family val="2"/>
      <scheme val="minor"/>
    </font>
    <font>
      <i/>
      <sz val="10"/>
      <color theme="1"/>
      <name val="Calibri"/>
      <family val="2"/>
    </font>
    <font>
      <b/>
      <sz val="11"/>
      <color theme="0" tint="-0.249977111117893"/>
      <name val="Calibri"/>
      <family val="2"/>
      <charset val="1"/>
    </font>
    <font>
      <b/>
      <i/>
      <sz val="9"/>
      <color theme="1" tint="0.499984740745262"/>
      <name val="Calibri"/>
      <family val="2"/>
    </font>
    <font>
      <b/>
      <i/>
      <sz val="9"/>
      <color theme="2" tint="-0.499984740745262"/>
      <name val="Calibri"/>
      <family val="2"/>
    </font>
    <font>
      <b/>
      <i/>
      <sz val="9"/>
      <color theme="3" tint="0.39997558519241921"/>
      <name val="Calibri"/>
      <family val="2"/>
    </font>
    <font>
      <b/>
      <i/>
      <sz val="9"/>
      <color theme="7" tint="-0.249977111117893"/>
      <name val="Calibri"/>
      <family val="2"/>
    </font>
    <font>
      <b/>
      <i/>
      <sz val="9"/>
      <color theme="5" tint="-0.249977111117893"/>
      <name val="Calibri"/>
      <family val="2"/>
    </font>
    <font>
      <i/>
      <sz val="11"/>
      <color theme="1"/>
      <name val="Calibri"/>
      <family val="2"/>
      <scheme val="minor"/>
    </font>
    <font>
      <i/>
      <sz val="10"/>
      <color theme="1"/>
      <name val="Calibri"/>
      <family val="2"/>
      <scheme val="minor"/>
    </font>
    <font>
      <i/>
      <sz val="11"/>
      <color theme="1" tint="0.499984740745262"/>
      <name val="Calibri"/>
      <family val="2"/>
      <scheme val="minor"/>
    </font>
    <font>
      <b/>
      <i/>
      <sz val="9"/>
      <color theme="1" tint="0.34998626667073579"/>
      <name val="Calibri"/>
      <family val="2"/>
      <scheme val="minor"/>
    </font>
    <font>
      <b/>
      <i/>
      <sz val="9"/>
      <color theme="4" tint="0.39997558519241921"/>
      <name val="Calibri"/>
      <family val="2"/>
      <scheme val="minor"/>
    </font>
    <font>
      <b/>
      <i/>
      <sz val="9"/>
      <color theme="7" tint="-0.249977111117893"/>
      <name val="Calibri"/>
      <family val="2"/>
      <scheme val="minor"/>
    </font>
    <font>
      <b/>
      <i/>
      <sz val="9"/>
      <color theme="5" tint="-0.249977111117893"/>
      <name val="Calibri"/>
      <family val="2"/>
      <scheme val="minor"/>
    </font>
    <font>
      <b/>
      <sz val="9"/>
      <color theme="1" tint="0.34998626667073579"/>
      <name val="Calibri"/>
      <family val="2"/>
      <charset val="1"/>
    </font>
    <font>
      <b/>
      <sz val="9"/>
      <color theme="1" tint="0.34998626667073579"/>
      <name val="Calibri"/>
      <family val="2"/>
    </font>
    <font>
      <b/>
      <sz val="9"/>
      <color theme="1" tint="0.499984740745262"/>
      <name val="Calibri"/>
      <family val="2"/>
      <charset val="1"/>
    </font>
    <font>
      <sz val="10"/>
      <color theme="1" tint="0.499984740745262"/>
      <name val="Calibri"/>
      <family val="2"/>
    </font>
    <font>
      <sz val="10"/>
      <name val="Arial"/>
      <family val="2"/>
    </font>
    <font>
      <b/>
      <sz val="11"/>
      <color theme="1" tint="0.499984740745262"/>
      <name val="Calibri"/>
      <family val="2"/>
      <scheme val="minor"/>
    </font>
    <font>
      <b/>
      <sz val="11"/>
      <color theme="9" tint="0.39997558519241921"/>
      <name val="Calibri"/>
      <family val="2"/>
    </font>
    <font>
      <b/>
      <sz val="11"/>
      <color theme="5" tint="0.39997558519241921"/>
      <name val="Calibri"/>
      <family val="2"/>
    </font>
    <font>
      <b/>
      <sz val="11"/>
      <color theme="0" tint="-0.14999847407452621"/>
      <name val="Calibri"/>
      <family val="2"/>
    </font>
    <font>
      <b/>
      <sz val="11"/>
      <color theme="4" tint="0.59999389629810485"/>
      <name val="Calibri"/>
      <family val="2"/>
    </font>
    <font>
      <b/>
      <sz val="11"/>
      <color rgb="FFFFFFCC"/>
      <name val="Calibri"/>
      <family val="2"/>
    </font>
    <font>
      <b/>
      <sz val="12"/>
      <color rgb="FFFFFFCC"/>
      <name val="Calibri"/>
      <family val="2"/>
    </font>
    <font>
      <b/>
      <sz val="12"/>
      <color theme="9" tint="0.79998168889431442"/>
      <name val="Calibri"/>
      <family val="2"/>
    </font>
    <font>
      <b/>
      <sz val="14"/>
      <color theme="1"/>
      <name val="Calibri"/>
      <family val="2"/>
      <scheme val="minor"/>
    </font>
    <font>
      <sz val="10"/>
      <color theme="5" tint="0.39997558519241921"/>
      <name val="Calibri"/>
      <family val="2"/>
    </font>
    <font>
      <b/>
      <sz val="9"/>
      <name val="Calibri"/>
      <family val="2"/>
      <scheme val="minor"/>
    </font>
    <font>
      <sz val="9"/>
      <name val="Calibri"/>
      <family val="2"/>
      <scheme val="minor"/>
    </font>
    <font>
      <sz val="10"/>
      <name val="Calibri"/>
      <family val="2"/>
      <scheme val="minor"/>
    </font>
    <font>
      <b/>
      <sz val="10"/>
      <name val="Calibri"/>
      <family val="2"/>
    </font>
    <font>
      <i/>
      <sz val="11"/>
      <name val="Calibri"/>
      <family val="2"/>
      <scheme val="minor"/>
    </font>
    <font>
      <b/>
      <sz val="9"/>
      <name val="Calibri"/>
      <family val="2"/>
      <charset val="1"/>
    </font>
    <font>
      <u/>
      <sz val="11"/>
      <color theme="10"/>
      <name val="Calibri"/>
      <family val="2"/>
      <scheme val="minor"/>
    </font>
    <font>
      <u/>
      <sz val="10"/>
      <color theme="10"/>
      <name val="Calibri"/>
      <family val="2"/>
      <scheme val="minor"/>
    </font>
    <font>
      <sz val="11"/>
      <color theme="3"/>
      <name val="Calibri"/>
      <family val="2"/>
      <scheme val="minor"/>
    </font>
    <font>
      <sz val="11"/>
      <color theme="5"/>
      <name val="Calibri"/>
      <family val="2"/>
      <scheme val="minor"/>
    </font>
    <font>
      <i/>
      <sz val="9"/>
      <color theme="1"/>
      <name val="Calibri"/>
      <family val="2"/>
      <scheme val="minor"/>
    </font>
    <font>
      <sz val="10"/>
      <color theme="1"/>
      <name val="Arial Unicode MS"/>
    </font>
    <font>
      <sz val="8"/>
      <color theme="1"/>
      <name val="Calibri"/>
      <family val="2"/>
      <scheme val="minor"/>
    </font>
    <font>
      <sz val="11"/>
      <name val="Carlito"/>
    </font>
    <font>
      <b/>
      <sz val="10"/>
      <color theme="9" tint="0.59999389629810485"/>
      <name val="Calibri"/>
      <family val="2"/>
      <charset val="1"/>
    </font>
    <font>
      <b/>
      <sz val="8"/>
      <color theme="9" tint="0.59999389629810485"/>
      <name val="Calibri"/>
      <family val="2"/>
      <charset val="1"/>
    </font>
    <font>
      <b/>
      <sz val="11"/>
      <color rgb="FFFFFF00"/>
      <name val="Calibri"/>
      <family val="2"/>
    </font>
    <font>
      <b/>
      <sz val="9"/>
      <color rgb="FFFFFF00"/>
      <name val="Calibri"/>
      <family val="2"/>
    </font>
    <font>
      <b/>
      <sz val="11"/>
      <color rgb="FFFFFF99"/>
      <name val="Calibri"/>
      <family val="2"/>
    </font>
    <font>
      <sz val="11"/>
      <color theme="1" tint="0.499984740745262"/>
      <name val="Calibri"/>
      <family val="2"/>
    </font>
    <font>
      <b/>
      <sz val="9"/>
      <color rgb="FFFFFF99"/>
      <name val="Calibri"/>
      <family val="2"/>
    </font>
    <font>
      <b/>
      <sz val="18"/>
      <color rgb="FFFFFFFF"/>
      <name val="Carlito"/>
    </font>
    <font>
      <b/>
      <sz val="11"/>
      <color rgb="FF000000"/>
      <name val="Carlito"/>
    </font>
    <font>
      <sz val="10"/>
      <color rgb="FF000000"/>
      <name val="Carlito"/>
    </font>
    <font>
      <b/>
      <sz val="10"/>
      <color rgb="FF000000"/>
      <name val="Carlito"/>
    </font>
    <font>
      <b/>
      <sz val="16"/>
      <color rgb="FFFFFFFF"/>
      <name val="Carlito"/>
    </font>
    <font>
      <b/>
      <sz val="10"/>
      <color rgb="FFFFFFFF"/>
      <name val="Carlito"/>
    </font>
    <font>
      <b/>
      <sz val="11"/>
      <color rgb="FF00B050"/>
      <name val="Calibri"/>
      <family val="2"/>
      <scheme val="minor"/>
    </font>
    <font>
      <sz val="11"/>
      <color rgb="FF00B050"/>
      <name val="Calibri"/>
      <family val="2"/>
      <scheme val="minor"/>
    </font>
    <font>
      <b/>
      <sz val="11"/>
      <color rgb="FF7030A0"/>
      <name val="Calibri"/>
      <family val="2"/>
      <scheme val="minor"/>
    </font>
    <font>
      <sz val="11"/>
      <color rgb="FF7030A0"/>
      <name val="Calibri"/>
      <family val="2"/>
      <scheme val="minor"/>
    </font>
    <font>
      <i/>
      <sz val="11"/>
      <color rgb="FF7030A0"/>
      <name val="Calibri"/>
      <family val="2"/>
      <scheme val="minor"/>
    </font>
    <font>
      <b/>
      <sz val="11"/>
      <color theme="9"/>
      <name val="Calibri"/>
      <family val="2"/>
      <scheme val="minor"/>
    </font>
    <font>
      <sz val="11"/>
      <color theme="9"/>
      <name val="Calibri"/>
      <family val="2"/>
      <scheme val="minor"/>
    </font>
    <font>
      <i/>
      <sz val="11"/>
      <color theme="9"/>
      <name val="Calibri"/>
      <family val="2"/>
      <scheme val="minor"/>
    </font>
    <font>
      <b/>
      <sz val="11"/>
      <color theme="5"/>
      <name val="Calibri"/>
      <family val="2"/>
      <scheme val="minor"/>
    </font>
    <font>
      <i/>
      <sz val="11"/>
      <color theme="5"/>
      <name val="Calibri"/>
      <family val="2"/>
      <scheme val="minor"/>
    </font>
    <font>
      <sz val="11"/>
      <color theme="7"/>
      <name val="Calibri"/>
      <family val="2"/>
      <scheme val="minor"/>
    </font>
    <font>
      <sz val="9"/>
      <name val="Calibri"/>
      <family val="2"/>
    </font>
    <font>
      <sz val="9"/>
      <name val="Calibri"/>
      <family val="2"/>
      <charset val="1"/>
    </font>
    <font>
      <sz val="9"/>
      <color theme="1" tint="0.499984740745262"/>
      <name val="Calibri"/>
      <family val="2"/>
    </font>
    <font>
      <b/>
      <sz val="9"/>
      <name val="Calibri"/>
    </font>
    <font>
      <sz val="9"/>
      <name val="Calibri"/>
    </font>
    <font>
      <sz val="9"/>
      <color theme="1"/>
      <name val="Calibri"/>
      <family val="2"/>
    </font>
    <font>
      <b/>
      <sz val="8"/>
      <name val="Calibri"/>
    </font>
    <font>
      <sz val="8"/>
      <name val="Calibri"/>
    </font>
  </fonts>
  <fills count="47">
    <fill>
      <patternFill patternType="none"/>
    </fill>
    <fill>
      <patternFill patternType="gray125"/>
    </fill>
    <fill>
      <patternFill patternType="solid">
        <fgColor rgb="FF1F4E78"/>
      </patternFill>
    </fill>
    <fill>
      <patternFill patternType="solid">
        <fgColor rgb="FFF7FBFF"/>
      </patternFill>
    </fill>
    <fill>
      <patternFill patternType="solid">
        <fgColor rgb="FF7F6000"/>
      </patternFill>
    </fill>
    <fill>
      <patternFill patternType="solid">
        <fgColor rgb="FFD9EAF7"/>
      </patternFill>
    </fill>
    <fill>
      <patternFill patternType="solid">
        <fgColor rgb="FFFFF2CC"/>
      </patternFill>
    </fill>
    <fill>
      <patternFill patternType="solid">
        <fgColor rgb="FFE2F0D9"/>
      </patternFill>
    </fill>
    <fill>
      <patternFill patternType="solid">
        <fgColor rgb="FFFCE4D6"/>
      </patternFill>
    </fill>
    <fill>
      <patternFill patternType="solid">
        <fgColor theme="5"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0"/>
      </patternFill>
    </fill>
    <fill>
      <patternFill patternType="solid">
        <fgColor theme="0"/>
        <bgColor rgb="FFF7FBFF"/>
      </patternFill>
    </fill>
    <fill>
      <patternFill patternType="solid">
        <fgColor rgb="FF1F4E78"/>
        <bgColor rgb="FF003366"/>
      </patternFill>
    </fill>
    <fill>
      <patternFill patternType="solid">
        <fgColor rgb="FFD9EAF7"/>
        <bgColor rgb="FFD9E2F3"/>
      </patternFill>
    </fill>
    <fill>
      <patternFill patternType="solid">
        <fgColor rgb="FFF7FBFF"/>
        <bgColor rgb="FFFFFFFF"/>
      </patternFill>
    </fill>
    <fill>
      <patternFill patternType="solid">
        <fgColor theme="0"/>
        <bgColor rgb="FFFFFFFF"/>
      </patternFill>
    </fill>
    <fill>
      <patternFill patternType="solid">
        <fgColor rgb="FFF7FBFF"/>
        <bgColor rgb="FFF7FBFF"/>
      </patternFill>
    </fill>
    <fill>
      <patternFill patternType="solid">
        <fgColor rgb="FFF7FBFF"/>
        <bgColor indexed="64"/>
      </patternFill>
    </fill>
    <fill>
      <patternFill patternType="solid">
        <fgColor rgb="FFD9EAF7"/>
        <bgColor indexed="64"/>
      </patternFill>
    </fill>
    <fill>
      <patternFill patternType="solid">
        <fgColor rgb="FFEDEDED"/>
        <bgColor rgb="FFEBF1DE"/>
      </patternFill>
    </fill>
    <fill>
      <patternFill patternType="solid">
        <fgColor rgb="FFE2F0D9"/>
        <bgColor rgb="FFEBF1DE"/>
      </patternFill>
    </fill>
    <fill>
      <patternFill patternType="solid">
        <fgColor rgb="FFD9EAD3"/>
        <bgColor rgb="FFE2F0D9"/>
      </patternFill>
    </fill>
    <fill>
      <patternFill patternType="solid">
        <fgColor rgb="FFFDE9D9"/>
        <bgColor rgb="FFFCE4D6"/>
      </patternFill>
    </fill>
    <fill>
      <patternFill patternType="solid">
        <fgColor rgb="FFEADCF8"/>
        <bgColor rgb="FFD9E2F3"/>
      </patternFill>
    </fill>
    <fill>
      <patternFill patternType="solid">
        <fgColor rgb="FFD0E0E3"/>
        <bgColor rgb="FFD9E2F3"/>
      </patternFill>
    </fill>
    <fill>
      <patternFill patternType="solid">
        <fgColor rgb="FFFFF2CC"/>
        <bgColor rgb="FFFDE9D9"/>
      </patternFill>
    </fill>
    <fill>
      <patternFill patternType="solid">
        <fgColor rgb="FFF4CCCC"/>
        <bgColor rgb="FFFCD5B5"/>
      </patternFill>
    </fill>
    <fill>
      <patternFill patternType="solid">
        <fgColor rgb="FFFFEFFF"/>
        <bgColor rgb="FFF7FBFF"/>
      </patternFill>
    </fill>
    <fill>
      <patternFill patternType="solid">
        <fgColor theme="2"/>
        <bgColor rgb="FFF7FBFF"/>
      </patternFill>
    </fill>
    <fill>
      <patternFill patternType="solid">
        <fgColor theme="0" tint="-4.9989318521683403E-2"/>
        <bgColor rgb="FFF7FBFF"/>
      </patternFill>
    </fill>
    <fill>
      <patternFill patternType="solid">
        <fgColor theme="0" tint="-4.9989318521683403E-2"/>
        <bgColor indexed="64"/>
      </patternFill>
    </fill>
    <fill>
      <patternFill patternType="solid">
        <fgColor rgb="FFFFFFCC"/>
        <bgColor indexed="64"/>
      </patternFill>
    </fill>
    <fill>
      <patternFill patternType="solid">
        <fgColor rgb="FFD9EAD3"/>
      </patternFill>
    </fill>
    <fill>
      <patternFill patternType="solid">
        <fgColor rgb="FFFDE9D9"/>
      </patternFill>
    </fill>
    <fill>
      <patternFill patternType="solid">
        <fgColor rgb="FFFFFFFF"/>
      </patternFill>
    </fill>
    <fill>
      <patternFill patternType="solid">
        <fgColor rgb="FFF4CCCC"/>
      </patternFill>
    </fill>
    <fill>
      <patternFill patternType="solid">
        <fgColor rgb="FFEADCF8"/>
      </patternFill>
    </fill>
    <fill>
      <patternFill patternType="solid">
        <fgColor rgb="FFD0E0E3"/>
      </patternFill>
    </fill>
    <fill>
      <patternFill patternType="solid">
        <fgColor rgb="FFFFEFFF"/>
      </patternFill>
    </fill>
    <fill>
      <patternFill patternType="solid">
        <fgColor rgb="FFFFFF00"/>
        <bgColor indexed="64"/>
      </patternFill>
    </fill>
    <fill>
      <patternFill patternType="solid">
        <fgColor rgb="FF1F4E79"/>
      </patternFill>
    </fill>
    <fill>
      <patternFill patternType="solid">
        <fgColor rgb="FFDDEBF7"/>
      </patternFill>
    </fill>
    <fill>
      <patternFill patternType="solid">
        <fgColor rgb="FFF8FBFD"/>
      </patternFill>
    </fill>
    <fill>
      <patternFill patternType="solid">
        <fgColor rgb="FF5B9BD5"/>
      </patternFill>
    </fill>
    <fill>
      <patternFill patternType="solid">
        <fgColor rgb="FFEAF3F8"/>
      </patternFill>
    </fill>
  </fills>
  <borders count="53">
    <border>
      <left/>
      <right/>
      <top/>
      <bottom/>
      <diagonal/>
    </border>
    <border>
      <left/>
      <right/>
      <top/>
      <bottom style="thin">
        <color rgb="FFD9E2F3"/>
      </bottom>
      <diagonal/>
    </border>
    <border>
      <left style="thin">
        <color rgb="FFD9E2F3"/>
      </left>
      <right/>
      <top/>
      <bottom style="thin">
        <color rgb="FFD9E2F3"/>
      </bottom>
      <diagonal/>
    </border>
    <border>
      <left/>
      <right style="thin">
        <color rgb="FFD9E2F3"/>
      </right>
      <top/>
      <bottom style="thin">
        <color rgb="FFD9E2F3"/>
      </bottom>
      <diagonal/>
    </border>
    <border>
      <left style="thin">
        <color rgb="FFD9E2F3"/>
      </left>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style="thin">
        <color rgb="FFBFBFBF"/>
      </left>
      <right style="thin">
        <color rgb="FFBFBFBF"/>
      </right>
      <top style="thin">
        <color rgb="FFBFBFBF"/>
      </top>
      <bottom style="thin">
        <color rgb="FFBFBFBF"/>
      </bottom>
      <diagonal/>
    </border>
    <border>
      <left style="thin">
        <color rgb="FFD9E2F3"/>
      </left>
      <right style="thin">
        <color rgb="FFD9E2F3"/>
      </right>
      <top style="thin">
        <color rgb="FFD9E2F3"/>
      </top>
      <bottom style="thin">
        <color rgb="FFD9E2F3"/>
      </bottom>
      <diagonal/>
    </border>
    <border>
      <left style="thin">
        <color rgb="FFD9E2F3"/>
      </left>
      <right/>
      <top/>
      <bottom/>
      <diagonal/>
    </border>
    <border>
      <left/>
      <right style="thin">
        <color rgb="FFD9E2F3"/>
      </right>
      <top/>
      <bottom/>
      <diagonal/>
    </border>
    <border>
      <left style="hair">
        <color rgb="FFD9E2F3"/>
      </left>
      <right/>
      <top style="thin">
        <color rgb="FFD9E2F3"/>
      </top>
      <bottom style="thin">
        <color rgb="FFD9E2F3"/>
      </bottom>
      <diagonal/>
    </border>
    <border>
      <left/>
      <right style="hair">
        <color rgb="FFD9E2F3"/>
      </right>
      <top style="thin">
        <color rgb="FFD9E2F3"/>
      </top>
      <bottom style="thin">
        <color rgb="FFD9E2F3"/>
      </bottom>
      <diagonal/>
    </border>
    <border>
      <left style="dotted">
        <color auto="1"/>
      </left>
      <right style="dotted">
        <color auto="1"/>
      </right>
      <top/>
      <bottom/>
      <diagonal/>
    </border>
    <border>
      <left style="thin">
        <color rgb="FFD9E2F3"/>
      </left>
      <right style="hair">
        <color theme="1"/>
      </right>
      <top style="thin">
        <color rgb="FFD9E2F3"/>
      </top>
      <bottom style="thin">
        <color rgb="FFD9E2F3"/>
      </bottom>
      <diagonal/>
    </border>
    <border>
      <left/>
      <right style="hair">
        <color theme="1"/>
      </right>
      <top style="thin">
        <color rgb="FFD9E2F3"/>
      </top>
      <bottom style="thin">
        <color rgb="FFD9E2F3"/>
      </bottom>
      <diagonal/>
    </border>
    <border>
      <left/>
      <right style="hair">
        <color theme="1"/>
      </right>
      <top/>
      <bottom/>
      <diagonal/>
    </border>
    <border>
      <left style="dotted">
        <color auto="1"/>
      </left>
      <right style="dotted">
        <color auto="1"/>
      </right>
      <top/>
      <bottom style="dotted">
        <color auto="1"/>
      </bottom>
      <diagonal/>
    </border>
    <border>
      <left/>
      <right/>
      <top/>
      <bottom style="dotted">
        <color auto="1"/>
      </bottom>
      <diagonal/>
    </border>
    <border>
      <left/>
      <right style="dotted">
        <color auto="1"/>
      </right>
      <top/>
      <bottom style="dotted">
        <color auto="1"/>
      </bottom>
      <diagonal/>
    </border>
    <border>
      <left style="dotted">
        <color auto="1"/>
      </left>
      <right/>
      <top/>
      <bottom style="dotted">
        <color auto="1"/>
      </bottom>
      <diagonal/>
    </border>
    <border>
      <left style="hair">
        <color auto="1"/>
      </left>
      <right/>
      <top/>
      <bottom/>
      <diagonal/>
    </border>
    <border>
      <left/>
      <right style="hair">
        <color auto="1"/>
      </right>
      <top/>
      <bottom/>
      <diagonal/>
    </border>
    <border>
      <left/>
      <right style="hair">
        <color auto="1"/>
      </right>
      <top/>
      <bottom style="dotted">
        <color auto="1"/>
      </bottom>
      <diagonal/>
    </border>
    <border>
      <left style="hair">
        <color auto="1"/>
      </left>
      <right/>
      <top/>
      <bottom style="dotted">
        <color auto="1"/>
      </bottom>
      <diagonal/>
    </border>
    <border>
      <left style="dotted">
        <color auto="1"/>
      </left>
      <right style="dotted">
        <color auto="1"/>
      </right>
      <top style="dotted">
        <color auto="1"/>
      </top>
      <bottom style="dotted">
        <color auto="1"/>
      </bottom>
      <diagonal/>
    </border>
    <border>
      <left/>
      <right/>
      <top style="dotted">
        <color auto="1"/>
      </top>
      <bottom style="dotted">
        <color auto="1"/>
      </bottom>
      <diagonal/>
    </border>
    <border>
      <left/>
      <right/>
      <top/>
      <bottom style="hair">
        <color rgb="FFD9D9D9"/>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style="dotted">
        <color auto="1"/>
      </right>
      <top style="dotted">
        <color auto="1"/>
      </top>
      <bottom style="dotted">
        <color auto="1"/>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style="thin">
        <color auto="1"/>
      </right>
      <top style="thin">
        <color auto="1"/>
      </top>
      <bottom style="dotted">
        <color auto="1"/>
      </bottom>
      <diagonal/>
    </border>
    <border>
      <left style="thin">
        <color auto="1"/>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style="thin">
        <color auto="1"/>
      </left>
      <right style="dotted">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style="thin">
        <color auto="1"/>
      </right>
      <top style="dotted">
        <color auto="1"/>
      </top>
      <bottom style="thin">
        <color auto="1"/>
      </bottom>
      <diagonal/>
    </border>
    <border>
      <left style="dotted">
        <color auto="1"/>
      </left>
      <right/>
      <top style="dotted">
        <color auto="1"/>
      </top>
      <bottom style="dotted">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tted">
        <color auto="1"/>
      </left>
      <right/>
      <top style="thin">
        <color auto="1"/>
      </top>
      <bottom style="dotted">
        <color auto="1"/>
      </bottom>
      <diagonal/>
    </border>
    <border>
      <left style="dotted">
        <color auto="1"/>
      </left>
      <right/>
      <top style="dotted">
        <color auto="1"/>
      </top>
      <bottom style="thin">
        <color auto="1"/>
      </bottom>
      <diagonal/>
    </border>
    <border>
      <left/>
      <right style="dotted">
        <color auto="1"/>
      </right>
      <top style="thin">
        <color auto="1"/>
      </top>
      <bottom style="dotted">
        <color auto="1"/>
      </bottom>
      <diagonal/>
    </border>
    <border>
      <left/>
      <right style="dotted">
        <color auto="1"/>
      </right>
      <top style="dotted">
        <color auto="1"/>
      </top>
      <bottom style="thin">
        <color auto="1"/>
      </bottom>
      <diagonal/>
    </border>
    <border>
      <left/>
      <right/>
      <top style="dotted">
        <color auto="1"/>
      </top>
      <bottom/>
      <diagonal/>
    </border>
    <border>
      <left style="medium">
        <color indexed="64"/>
      </left>
      <right style="medium">
        <color indexed="64"/>
      </right>
      <top style="medium">
        <color indexed="64"/>
      </top>
      <bottom style="medium">
        <color indexed="64"/>
      </bottom>
      <diagonal/>
    </border>
    <border>
      <left style="thin">
        <color auto="1"/>
      </left>
      <right/>
      <top/>
      <bottom style="dotted">
        <color auto="1"/>
      </bottom>
      <diagonal/>
    </border>
    <border>
      <left/>
      <right style="thin">
        <color auto="1"/>
      </right>
      <top/>
      <bottom style="dotted">
        <color auto="1"/>
      </bottom>
      <diagonal/>
    </border>
    <border>
      <left style="thin">
        <color auto="1"/>
      </left>
      <right/>
      <top/>
      <bottom/>
      <diagonal/>
    </border>
    <border>
      <left/>
      <right style="thin">
        <color auto="1"/>
      </right>
      <top/>
      <bottom/>
      <diagonal/>
    </border>
  </borders>
  <cellStyleXfs count="8">
    <xf numFmtId="0" fontId="0" fillId="0" borderId="0"/>
    <xf numFmtId="9" fontId="16" fillId="0" borderId="0"/>
    <xf numFmtId="0" fontId="49" fillId="0" borderId="0"/>
    <xf numFmtId="0" fontId="49" fillId="0" borderId="0"/>
    <xf numFmtId="0" fontId="103" fillId="0" borderId="0"/>
    <xf numFmtId="43" fontId="16" fillId="0" borderId="0"/>
    <xf numFmtId="0" fontId="120" fillId="0" borderId="0"/>
    <xf numFmtId="0" fontId="127" fillId="0" borderId="0"/>
  </cellStyleXfs>
  <cellXfs count="1015">
    <xf numFmtId="0" fontId="0" fillId="0" borderId="0" xfId="0"/>
    <xf numFmtId="0" fontId="1" fillId="2" borderId="1" xfId="0" applyFont="1" applyFill="1" applyBorder="1" applyAlignment="1">
      <alignment horizontal="center" vertical="center" wrapText="1"/>
    </xf>
    <xf numFmtId="0" fontId="0" fillId="3" borderId="0" xfId="0" applyFill="1" applyAlignment="1">
      <alignment vertical="top" wrapText="1"/>
    </xf>
    <xf numFmtId="3" fontId="0" fillId="3" borderId="0" xfId="0" applyNumberFormat="1" applyFill="1" applyAlignment="1">
      <alignment vertical="top" wrapText="1"/>
    </xf>
    <xf numFmtId="0" fontId="0" fillId="0" borderId="0" xfId="0" applyAlignment="1">
      <alignment vertical="top" wrapText="1"/>
    </xf>
    <xf numFmtId="3" fontId="0" fillId="0" borderId="0" xfId="0" applyNumberFormat="1" applyAlignment="1">
      <alignment vertical="top" wrapText="1"/>
    </xf>
    <xf numFmtId="0" fontId="3" fillId="5" borderId="0" xfId="0" applyFont="1" applyFill="1" applyAlignment="1">
      <alignment vertical="center" wrapText="1"/>
    </xf>
    <xf numFmtId="3" fontId="3" fillId="5" borderId="0" xfId="0" applyNumberFormat="1" applyFont="1" applyFill="1" applyAlignment="1">
      <alignment vertical="center" wrapText="1"/>
    </xf>
    <xf numFmtId="3" fontId="3" fillId="5" borderId="0" xfId="0" applyNumberFormat="1" applyFont="1" applyFill="1" applyAlignment="1">
      <alignment horizontal="center" vertical="center"/>
    </xf>
    <xf numFmtId="1" fontId="2" fillId="7" borderId="0" xfId="0" applyNumberFormat="1" applyFont="1" applyFill="1" applyAlignment="1">
      <alignment horizontal="center" vertical="center"/>
    </xf>
    <xf numFmtId="0" fontId="0" fillId="6" borderId="0" xfId="0" applyFill="1" applyAlignment="1">
      <alignment vertical="top" wrapText="1"/>
    </xf>
    <xf numFmtId="1" fontId="2" fillId="8" borderId="0" xfId="0" applyNumberFormat="1" applyFont="1" applyFill="1" applyAlignment="1">
      <alignment horizontal="center" vertical="center"/>
    </xf>
    <xf numFmtId="0" fontId="1" fillId="4" borderId="0" xfId="0" applyFont="1" applyFill="1" applyAlignment="1">
      <alignment vertical="center" wrapText="1"/>
    </xf>
    <xf numFmtId="1" fontId="0" fillId="0" borderId="0" xfId="0" applyNumberFormat="1" applyAlignment="1">
      <alignment vertical="top" wrapText="1"/>
    </xf>
    <xf numFmtId="0" fontId="1" fillId="2" borderId="0" xfId="0" applyFont="1" applyFill="1" applyAlignment="1">
      <alignment vertical="top" wrapText="1"/>
    </xf>
    <xf numFmtId="0" fontId="7" fillId="2" borderId="1" xfId="0" applyFont="1" applyFill="1" applyBorder="1" applyAlignment="1">
      <alignment horizontal="center" vertical="center" wrapText="1"/>
    </xf>
    <xf numFmtId="0" fontId="9" fillId="3" borderId="0" xfId="0" applyFont="1" applyFill="1" applyAlignment="1">
      <alignment vertical="top" wrapText="1"/>
    </xf>
    <xf numFmtId="0" fontId="9" fillId="0" borderId="0" xfId="0" applyFont="1"/>
    <xf numFmtId="0" fontId="0" fillId="3" borderId="0" xfId="0" applyFill="1" applyAlignment="1">
      <alignment horizontal="center" vertical="top" wrapText="1"/>
    </xf>
    <xf numFmtId="0" fontId="0" fillId="3"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6" fillId="3" borderId="0" xfId="0" applyFont="1" applyFill="1" applyAlignment="1">
      <alignment horizontal="center" vertical="center" wrapText="1"/>
    </xf>
    <xf numFmtId="0" fontId="6" fillId="0" borderId="0" xfId="0" applyFont="1" applyAlignment="1">
      <alignment horizontal="center" vertical="center"/>
    </xf>
    <xf numFmtId="0" fontId="10" fillId="3" borderId="0" xfId="0" applyFont="1" applyFill="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vertical="center"/>
    </xf>
    <xf numFmtId="0" fontId="11" fillId="3" borderId="0" xfId="0" applyFont="1" applyFill="1" applyAlignment="1">
      <alignment horizontal="center" vertical="center" wrapText="1"/>
    </xf>
    <xf numFmtId="0" fontId="12" fillId="3" borderId="0" xfId="0" applyFont="1" applyFill="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0" fillId="9" borderId="0" xfId="0" applyFill="1" applyAlignment="1">
      <alignment horizontal="center" vertical="center" wrapText="1"/>
    </xf>
    <xf numFmtId="0" fontId="17" fillId="0" borderId="0" xfId="0" applyFont="1" applyAlignment="1">
      <alignment horizontal="center" vertical="center" wrapText="1"/>
    </xf>
    <xf numFmtId="0" fontId="17" fillId="0" borderId="0" xfId="0" applyFont="1" applyAlignment="1">
      <alignment vertical="center" wrapText="1"/>
    </xf>
    <xf numFmtId="0" fontId="0" fillId="0" borderId="0" xfId="0" applyAlignment="1">
      <alignment horizontal="left" vertical="center" indent="1"/>
    </xf>
    <xf numFmtId="0" fontId="17" fillId="0" borderId="0" xfId="0" applyFont="1" applyAlignment="1">
      <alignment horizontal="left" vertical="center" indent="1"/>
    </xf>
    <xf numFmtId="0" fontId="18" fillId="0" borderId="0" xfId="0" applyFont="1" applyAlignment="1">
      <alignment vertical="center"/>
    </xf>
    <xf numFmtId="46" fontId="17" fillId="0" borderId="0" xfId="0" applyNumberFormat="1" applyFont="1" applyAlignment="1">
      <alignment horizontal="left" vertical="center" indent="1"/>
    </xf>
    <xf numFmtId="3" fontId="0" fillId="0" borderId="0" xfId="0" applyNumberFormat="1" applyAlignment="1">
      <alignment vertical="center" wrapText="1"/>
    </xf>
    <xf numFmtId="0" fontId="19" fillId="0" borderId="0" xfId="0" applyFont="1" applyAlignment="1">
      <alignment vertical="center"/>
    </xf>
    <xf numFmtId="3" fontId="17" fillId="0" borderId="0" xfId="0" applyNumberFormat="1" applyFont="1" applyAlignment="1">
      <alignment vertical="center" wrapText="1"/>
    </xf>
    <xf numFmtId="0" fontId="17" fillId="0" borderId="0" xfId="0" applyFont="1" applyAlignment="1">
      <alignment horizontal="right" vertical="center" wrapText="1"/>
    </xf>
    <xf numFmtId="0" fontId="6" fillId="0" borderId="0" xfId="0" applyFont="1"/>
    <xf numFmtId="0" fontId="9" fillId="0" borderId="0" xfId="0" applyFont="1" applyAlignment="1">
      <alignment horizontal="center" vertical="center"/>
    </xf>
    <xf numFmtId="0" fontId="20" fillId="0" borderId="0" xfId="0" applyFont="1"/>
    <xf numFmtId="0" fontId="4" fillId="2" borderId="1" xfId="0" applyFont="1" applyFill="1" applyBorder="1" applyAlignment="1">
      <alignment horizontal="center" vertical="center" wrapText="1"/>
    </xf>
    <xf numFmtId="0" fontId="0" fillId="0" borderId="0" xfId="0" applyAlignment="1">
      <alignment vertical="center" wrapText="1"/>
    </xf>
    <xf numFmtId="0" fontId="24" fillId="11" borderId="1" xfId="0" applyFont="1" applyFill="1" applyBorder="1" applyAlignment="1">
      <alignment horizontal="center" vertical="center" wrapText="1"/>
    </xf>
    <xf numFmtId="0" fontId="6" fillId="12" borderId="0" xfId="0" applyFont="1" applyFill="1"/>
    <xf numFmtId="0" fontId="28" fillId="2" borderId="1" xfId="0" applyFont="1" applyFill="1" applyBorder="1" applyAlignment="1">
      <alignment horizontal="center"/>
    </xf>
    <xf numFmtId="0" fontId="28" fillId="2" borderId="1" xfId="0" applyFont="1" applyFill="1" applyBorder="1" applyAlignment="1">
      <alignment horizontal="center" vertical="center" textRotation="90" wrapText="1"/>
    </xf>
    <xf numFmtId="0" fontId="30" fillId="2" borderId="1" xfId="0" applyFont="1" applyFill="1" applyBorder="1" applyAlignment="1">
      <alignment horizontal="center"/>
    </xf>
    <xf numFmtId="0" fontId="30" fillId="2" borderId="1" xfId="0" applyFont="1" applyFill="1" applyBorder="1" applyAlignment="1">
      <alignment horizontal="center" vertical="center" textRotation="90" wrapText="1"/>
    </xf>
    <xf numFmtId="0" fontId="28" fillId="2" borderId="1" xfId="0" applyFont="1" applyFill="1" applyBorder="1" applyAlignment="1">
      <alignment horizontal="left"/>
    </xf>
    <xf numFmtId="0" fontId="31" fillId="2" borderId="1" xfId="0" applyFont="1" applyFill="1" applyBorder="1" applyAlignment="1">
      <alignment horizontal="left"/>
    </xf>
    <xf numFmtId="0" fontId="31" fillId="2" borderId="1" xfId="0" applyFont="1" applyFill="1" applyBorder="1" applyAlignment="1">
      <alignment horizontal="center"/>
    </xf>
    <xf numFmtId="0" fontId="31" fillId="2" borderId="1" xfId="0" applyFont="1" applyFill="1" applyBorder="1" applyAlignment="1">
      <alignment horizontal="center" vertical="center" textRotation="90" wrapText="1"/>
    </xf>
    <xf numFmtId="0" fontId="17" fillId="0" borderId="0" xfId="0" applyFont="1"/>
    <xf numFmtId="0" fontId="32" fillId="2" borderId="1" xfId="0" applyFont="1" applyFill="1" applyBorder="1" applyAlignment="1">
      <alignment horizontal="left" vertical="center"/>
    </xf>
    <xf numFmtId="0" fontId="26" fillId="2" borderId="1" xfId="0" applyFont="1" applyFill="1" applyBorder="1" applyAlignment="1">
      <alignment horizontal="center" vertical="center" textRotation="90" wrapText="1"/>
    </xf>
    <xf numFmtId="0" fontId="26" fillId="2" borderId="1" xfId="0" applyFont="1" applyFill="1" applyBorder="1" applyAlignment="1">
      <alignment horizontal="center"/>
    </xf>
    <xf numFmtId="0" fontId="17" fillId="10" borderId="0" xfId="0" applyFont="1" applyFill="1"/>
    <xf numFmtId="0" fontId="4" fillId="2" borderId="1" xfId="0" applyFont="1" applyFill="1" applyBorder="1" applyAlignment="1">
      <alignment horizontal="center" wrapText="1"/>
    </xf>
    <xf numFmtId="0" fontId="35" fillId="2" borderId="1" xfId="0" applyFont="1" applyFill="1" applyBorder="1" applyAlignment="1">
      <alignment horizontal="center" vertical="center"/>
    </xf>
    <xf numFmtId="0" fontId="28" fillId="2" borderId="3" xfId="0" applyFont="1" applyFill="1" applyBorder="1" applyAlignment="1">
      <alignment horizontal="left"/>
    </xf>
    <xf numFmtId="0" fontId="37" fillId="2" borderId="1" xfId="0" applyFont="1" applyFill="1" applyBorder="1" applyAlignment="1">
      <alignment horizontal="left"/>
    </xf>
    <xf numFmtId="0" fontId="37" fillId="2" borderId="1" xfId="0" applyFont="1" applyFill="1" applyBorder="1" applyAlignment="1">
      <alignment horizontal="center"/>
    </xf>
    <xf numFmtId="0" fontId="37" fillId="2" borderId="1" xfId="0" applyFont="1" applyFill="1" applyBorder="1" applyAlignment="1">
      <alignment horizontal="center" wrapText="1"/>
    </xf>
    <xf numFmtId="0" fontId="37" fillId="2" borderId="2" xfId="0" applyFont="1" applyFill="1" applyBorder="1" applyAlignment="1">
      <alignment horizontal="left"/>
    </xf>
    <xf numFmtId="0" fontId="37" fillId="2" borderId="3" xfId="0" applyFont="1" applyFill="1" applyBorder="1" applyAlignment="1">
      <alignment horizontal="left"/>
    </xf>
    <xf numFmtId="0" fontId="37" fillId="2" borderId="1" xfId="0" applyFont="1" applyFill="1" applyBorder="1" applyAlignment="1">
      <alignment horizontal="right"/>
    </xf>
    <xf numFmtId="0" fontId="35" fillId="2" borderId="4" xfId="0" applyFont="1" applyFill="1" applyBorder="1" applyAlignment="1">
      <alignment horizontal="center" vertical="center" textRotation="90" wrapText="1"/>
    </xf>
    <xf numFmtId="0" fontId="30" fillId="2" borderId="5" xfId="0" applyFont="1" applyFill="1" applyBorder="1" applyAlignment="1">
      <alignment horizontal="center" vertical="center" textRotation="90" wrapText="1"/>
    </xf>
    <xf numFmtId="0" fontId="31" fillId="2" borderId="5" xfId="0" applyFont="1" applyFill="1" applyBorder="1" applyAlignment="1">
      <alignment horizontal="center" vertical="center" textRotation="90" wrapText="1"/>
    </xf>
    <xf numFmtId="0" fontId="26" fillId="2" borderId="6" xfId="0" applyFont="1" applyFill="1" applyBorder="1" applyAlignment="1">
      <alignment horizontal="center" vertical="center" textRotation="90" wrapText="1"/>
    </xf>
    <xf numFmtId="0" fontId="35" fillId="2" borderId="4" xfId="0" applyFont="1" applyFill="1" applyBorder="1" applyAlignment="1">
      <alignment horizontal="center" vertical="center" wrapText="1"/>
    </xf>
    <xf numFmtId="0" fontId="30" fillId="2" borderId="5" xfId="0" applyFont="1" applyFill="1" applyBorder="1" applyAlignment="1">
      <alignment horizontal="center" vertical="center" wrapText="1"/>
    </xf>
    <xf numFmtId="0" fontId="31" fillId="2" borderId="5" xfId="0" applyFont="1" applyFill="1" applyBorder="1" applyAlignment="1">
      <alignment horizontal="center" vertical="center" wrapText="1"/>
    </xf>
    <xf numFmtId="0" fontId="26" fillId="2" borderId="6" xfId="0" applyFont="1" applyFill="1" applyBorder="1" applyAlignment="1">
      <alignment horizontal="center" vertical="center" wrapText="1"/>
    </xf>
    <xf numFmtId="0" fontId="28" fillId="2" borderId="4" xfId="0" applyFont="1" applyFill="1" applyBorder="1" applyAlignment="1">
      <alignment horizontal="right" vertical="center"/>
    </xf>
    <xf numFmtId="0" fontId="28" fillId="2" borderId="5" xfId="0" applyFont="1" applyFill="1" applyBorder="1" applyAlignment="1">
      <alignment horizontal="left" vertical="center"/>
    </xf>
    <xf numFmtId="0" fontId="28" fillId="2" borderId="6" xfId="0" applyFont="1" applyFill="1" applyBorder="1" applyAlignment="1">
      <alignment horizontal="right" vertical="center"/>
    </xf>
    <xf numFmtId="0" fontId="28" fillId="2" borderId="2" xfId="0" applyFont="1" applyFill="1" applyBorder="1" applyAlignment="1">
      <alignment horizontal="center"/>
    </xf>
    <xf numFmtId="0" fontId="28" fillId="2" borderId="3" xfId="0" applyFont="1" applyFill="1" applyBorder="1" applyAlignment="1">
      <alignment horizontal="center" wrapText="1"/>
    </xf>
    <xf numFmtId="0" fontId="28" fillId="2" borderId="2" xfId="0" applyFont="1" applyFill="1" applyBorder="1" applyAlignment="1">
      <alignment horizontal="center" vertical="center" textRotation="90" wrapText="1"/>
    </xf>
    <xf numFmtId="0" fontId="28" fillId="2" borderId="3" xfId="0" applyFont="1" applyFill="1" applyBorder="1" applyAlignment="1">
      <alignment horizontal="center" vertical="center" textRotation="90" wrapText="1"/>
    </xf>
    <xf numFmtId="0" fontId="30" fillId="2" borderId="4" xfId="0" applyFont="1" applyFill="1" applyBorder="1" applyAlignment="1">
      <alignment horizontal="right" vertical="center"/>
    </xf>
    <xf numFmtId="0" fontId="30" fillId="2" borderId="5" xfId="0" applyFont="1" applyFill="1" applyBorder="1" applyAlignment="1">
      <alignment horizontal="center" vertical="center"/>
    </xf>
    <xf numFmtId="0" fontId="30" fillId="2" borderId="6" xfId="0" applyFont="1" applyFill="1" applyBorder="1" applyAlignment="1">
      <alignment horizontal="right" vertical="center"/>
    </xf>
    <xf numFmtId="0" fontId="30" fillId="2" borderId="2" xfId="0" applyFont="1" applyFill="1" applyBorder="1" applyAlignment="1">
      <alignment horizontal="right" vertical="center" wrapText="1"/>
    </xf>
    <xf numFmtId="0" fontId="30" fillId="2" borderId="3" xfId="0" applyFont="1" applyFill="1" applyBorder="1" applyAlignment="1">
      <alignment horizontal="center"/>
    </xf>
    <xf numFmtId="0" fontId="30" fillId="2" borderId="2" xfId="0" applyFont="1" applyFill="1" applyBorder="1" applyAlignment="1">
      <alignment horizontal="center" vertical="center" textRotation="90" wrapText="1"/>
    </xf>
    <xf numFmtId="0" fontId="30" fillId="2" borderId="3" xfId="0" applyFont="1" applyFill="1" applyBorder="1" applyAlignment="1">
      <alignment horizontal="center" vertical="center" textRotation="90" wrapText="1"/>
    </xf>
    <xf numFmtId="0" fontId="31" fillId="2" borderId="4" xfId="0" applyFont="1" applyFill="1" applyBorder="1" applyAlignment="1">
      <alignment horizontal="left" vertical="center"/>
    </xf>
    <xf numFmtId="0" fontId="31" fillId="2" borderId="5" xfId="0" applyFont="1" applyFill="1" applyBorder="1" applyAlignment="1">
      <alignment horizontal="left" vertical="center"/>
    </xf>
    <xf numFmtId="0" fontId="31" fillId="2" borderId="6" xfId="0" applyFont="1" applyFill="1" applyBorder="1" applyAlignment="1">
      <alignment horizontal="left" vertical="center"/>
    </xf>
    <xf numFmtId="0" fontId="31" fillId="2" borderId="2" xfId="0" applyFont="1" applyFill="1" applyBorder="1" applyAlignment="1">
      <alignment horizontal="left" vertical="center"/>
    </xf>
    <xf numFmtId="0" fontId="31" fillId="2" borderId="3" xfId="0" applyFont="1" applyFill="1" applyBorder="1" applyAlignment="1">
      <alignment horizontal="center" wrapText="1"/>
    </xf>
    <xf numFmtId="0" fontId="31" fillId="2" borderId="2" xfId="0" applyFont="1" applyFill="1" applyBorder="1" applyAlignment="1">
      <alignment horizontal="center" vertical="center" textRotation="90" wrapText="1"/>
    </xf>
    <xf numFmtId="0" fontId="31" fillId="2" borderId="3" xfId="0" applyFont="1" applyFill="1" applyBorder="1" applyAlignment="1">
      <alignment horizontal="center" vertical="center" textRotation="90" wrapText="1"/>
    </xf>
    <xf numFmtId="0" fontId="26" fillId="2" borderId="4" xfId="0" applyFont="1" applyFill="1" applyBorder="1" applyAlignment="1">
      <alignment horizontal="left" vertical="center"/>
    </xf>
    <xf numFmtId="0" fontId="26" fillId="2" borderId="5" xfId="0" applyFont="1" applyFill="1" applyBorder="1" applyAlignment="1">
      <alignment horizontal="center" vertical="center"/>
    </xf>
    <xf numFmtId="0" fontId="26" fillId="2" borderId="6" xfId="0" applyFont="1" applyFill="1" applyBorder="1" applyAlignment="1">
      <alignment horizontal="left" vertical="center"/>
    </xf>
    <xf numFmtId="0" fontId="26" fillId="2" borderId="2" xfId="0" applyFont="1" applyFill="1" applyBorder="1" applyAlignment="1">
      <alignment horizontal="right" vertical="center" wrapText="1"/>
    </xf>
    <xf numFmtId="0" fontId="26" fillId="2" borderId="3" xfId="0" applyFont="1" applyFill="1" applyBorder="1" applyAlignment="1">
      <alignment horizontal="center"/>
    </xf>
    <xf numFmtId="0" fontId="26" fillId="2" borderId="2" xfId="0" applyFont="1" applyFill="1" applyBorder="1" applyAlignment="1">
      <alignment horizontal="center" vertical="center" textRotation="90" wrapText="1"/>
    </xf>
    <xf numFmtId="0" fontId="26" fillId="2" borderId="3" xfId="0" applyFont="1" applyFill="1" applyBorder="1" applyAlignment="1">
      <alignment horizontal="center" vertical="center" textRotation="90" wrapText="1"/>
    </xf>
    <xf numFmtId="1" fontId="33" fillId="7" borderId="0" xfId="0" applyNumberFormat="1" applyFont="1" applyFill="1" applyAlignment="1">
      <alignment horizontal="center" vertical="center"/>
    </xf>
    <xf numFmtId="0" fontId="7" fillId="10" borderId="1" xfId="0" applyFont="1" applyFill="1" applyBorder="1" applyAlignment="1">
      <alignment horizontal="center" vertical="center" wrapText="1"/>
    </xf>
    <xf numFmtId="3" fontId="8" fillId="10" borderId="0" xfId="0" applyNumberFormat="1" applyFont="1" applyFill="1" applyAlignment="1">
      <alignment vertical="center" wrapText="1"/>
    </xf>
    <xf numFmtId="3" fontId="5" fillId="10" borderId="0" xfId="0" applyNumberFormat="1" applyFont="1" applyFill="1" applyAlignment="1">
      <alignment vertical="center" wrapText="1"/>
    </xf>
    <xf numFmtId="0" fontId="7" fillId="2" borderId="1" xfId="0" applyFont="1" applyFill="1" applyBorder="1" applyAlignment="1">
      <alignment horizontal="left" vertical="center"/>
    </xf>
    <xf numFmtId="0" fontId="0" fillId="10" borderId="0" xfId="0" applyFill="1" applyAlignment="1">
      <alignment horizontal="center"/>
    </xf>
    <xf numFmtId="0" fontId="17" fillId="10" borderId="0" xfId="0" applyFont="1" applyFill="1" applyAlignment="1">
      <alignment horizontal="center"/>
    </xf>
    <xf numFmtId="0" fontId="17" fillId="0" borderId="0" xfId="0" applyFont="1" applyAlignment="1">
      <alignment horizontal="center"/>
    </xf>
    <xf numFmtId="0" fontId="29" fillId="2" borderId="1" xfId="0" applyFont="1" applyFill="1" applyBorder="1" applyAlignment="1">
      <alignment horizontal="center" vertical="center" wrapText="1"/>
    </xf>
    <xf numFmtId="0" fontId="38" fillId="2" borderId="1" xfId="0" applyFont="1" applyFill="1" applyBorder="1" applyAlignment="1">
      <alignment horizontal="center" vertical="center" wrapText="1"/>
    </xf>
    <xf numFmtId="0" fontId="39" fillId="2" borderId="1" xfId="0" applyFont="1" applyFill="1" applyBorder="1" applyAlignment="1">
      <alignment horizontal="center" vertical="center" wrapText="1"/>
    </xf>
    <xf numFmtId="0" fontId="40" fillId="2" borderId="1" xfId="0" applyFont="1" applyFill="1" applyBorder="1" applyAlignment="1">
      <alignment horizontal="center" vertical="center" wrapText="1"/>
    </xf>
    <xf numFmtId="0" fontId="30" fillId="2" borderId="4" xfId="0" applyFont="1" applyFill="1" applyBorder="1" applyAlignment="1">
      <alignment horizontal="left" vertical="center"/>
    </xf>
    <xf numFmtId="0" fontId="10" fillId="0" borderId="0" xfId="0" applyFont="1"/>
    <xf numFmtId="0" fontId="10" fillId="0" borderId="0" xfId="0" applyFont="1" applyAlignment="1">
      <alignment horizontal="center"/>
    </xf>
    <xf numFmtId="0" fontId="6" fillId="0" borderId="0" xfId="0" applyFont="1" applyAlignment="1">
      <alignment horizontal="left" vertical="center" indent="1"/>
    </xf>
    <xf numFmtId="0" fontId="10" fillId="0" borderId="0" xfId="0" applyFont="1" applyAlignment="1">
      <alignment horizontal="left" vertical="center" indent="1"/>
    </xf>
    <xf numFmtId="0" fontId="10" fillId="0" borderId="0" xfId="0" applyFont="1" applyAlignment="1">
      <alignment vertical="center" wrapText="1"/>
    </xf>
    <xf numFmtId="9" fontId="10" fillId="0" borderId="0" xfId="0" applyNumberFormat="1" applyFont="1" applyAlignment="1">
      <alignment vertical="center" wrapText="1"/>
    </xf>
    <xf numFmtId="0" fontId="17" fillId="10" borderId="0" xfId="0" applyFont="1" applyFill="1" applyAlignment="1">
      <alignment horizontal="left"/>
    </xf>
    <xf numFmtId="0" fontId="17" fillId="0" borderId="0" xfId="0" applyFont="1" applyAlignment="1">
      <alignment horizontal="left"/>
    </xf>
    <xf numFmtId="0" fontId="41" fillId="2" borderId="1" xfId="0" applyFont="1" applyFill="1" applyBorder="1" applyAlignment="1">
      <alignment horizontal="left" vertical="center"/>
    </xf>
    <xf numFmtId="0" fontId="42" fillId="2" borderId="1" xfId="0" applyFont="1" applyFill="1" applyBorder="1" applyAlignment="1">
      <alignment horizontal="left" vertical="center"/>
    </xf>
    <xf numFmtId="0" fontId="43" fillId="14" borderId="2" xfId="0" applyFont="1" applyFill="1" applyBorder="1" applyAlignment="1">
      <alignment horizontal="center" vertical="center" textRotation="90" wrapText="1"/>
    </xf>
    <xf numFmtId="0" fontId="43" fillId="14" borderId="1" xfId="0" applyFont="1" applyFill="1" applyBorder="1" applyAlignment="1">
      <alignment horizontal="center" vertical="center" textRotation="90" wrapText="1"/>
    </xf>
    <xf numFmtId="0" fontId="43" fillId="14" borderId="3" xfId="0" applyFont="1" applyFill="1" applyBorder="1" applyAlignment="1">
      <alignment horizontal="center" vertical="center" textRotation="90" wrapText="1"/>
    </xf>
    <xf numFmtId="0" fontId="44" fillId="14" borderId="2" xfId="0" applyFont="1" applyFill="1" applyBorder="1" applyAlignment="1">
      <alignment horizontal="center" vertical="center" textRotation="90" wrapText="1"/>
    </xf>
    <xf numFmtId="0" fontId="44" fillId="14" borderId="1" xfId="0" applyFont="1" applyFill="1" applyBorder="1" applyAlignment="1">
      <alignment horizontal="center" vertical="center" textRotation="90" wrapText="1"/>
    </xf>
    <xf numFmtId="0" fontId="44" fillId="14" borderId="3" xfId="0" applyFont="1" applyFill="1" applyBorder="1" applyAlignment="1">
      <alignment horizontal="center" vertical="center" textRotation="90" wrapText="1"/>
    </xf>
    <xf numFmtId="0" fontId="45" fillId="14" borderId="2" xfId="0" applyFont="1" applyFill="1" applyBorder="1" applyAlignment="1">
      <alignment horizontal="center" vertical="center" textRotation="90" wrapText="1"/>
    </xf>
    <xf numFmtId="0" fontId="45" fillId="14" borderId="1" xfId="0" applyFont="1" applyFill="1" applyBorder="1" applyAlignment="1">
      <alignment horizontal="center" vertical="center" textRotation="90" wrapText="1"/>
    </xf>
    <xf numFmtId="0" fontId="45" fillId="14" borderId="3" xfId="0" applyFont="1" applyFill="1" applyBorder="1" applyAlignment="1">
      <alignment horizontal="center" vertical="center" textRotation="90" wrapText="1"/>
    </xf>
    <xf numFmtId="0" fontId="46" fillId="14" borderId="2" xfId="0" applyFont="1" applyFill="1" applyBorder="1" applyAlignment="1">
      <alignment horizontal="center" vertical="center" textRotation="90" wrapText="1"/>
    </xf>
    <xf numFmtId="0" fontId="46" fillId="14" borderId="3" xfId="0" applyFont="1" applyFill="1" applyBorder="1" applyAlignment="1">
      <alignment horizontal="center" vertical="center" textRotation="90" wrapText="1"/>
    </xf>
    <xf numFmtId="0" fontId="4" fillId="2" borderId="1" xfId="0" applyFont="1" applyFill="1" applyBorder="1" applyAlignment="1">
      <alignment horizontal="left" vertical="center"/>
    </xf>
    <xf numFmtId="0" fontId="48" fillId="2" borderId="1" xfId="0" applyFont="1" applyFill="1" applyBorder="1" applyAlignment="1">
      <alignment horizontal="center" vertical="center" wrapText="1"/>
    </xf>
    <xf numFmtId="0" fontId="32" fillId="2" borderId="1" xfId="0" applyFont="1" applyFill="1" applyBorder="1" applyAlignment="1">
      <alignment horizontal="left" vertical="top" wrapText="1"/>
    </xf>
    <xf numFmtId="0" fontId="49" fillId="0" borderId="0" xfId="2" applyAlignment="1">
      <alignment vertical="top" wrapText="1"/>
    </xf>
    <xf numFmtId="0" fontId="51" fillId="14" borderId="0" xfId="2" applyFont="1" applyFill="1" applyAlignment="1">
      <alignment vertical="top" wrapText="1"/>
    </xf>
    <xf numFmtId="0" fontId="10" fillId="0" borderId="0" xfId="0" applyFont="1" applyAlignment="1">
      <alignment vertical="center"/>
    </xf>
    <xf numFmtId="0" fontId="49" fillId="0" borderId="0" xfId="2" applyAlignment="1">
      <alignment vertical="top"/>
    </xf>
    <xf numFmtId="0" fontId="24" fillId="0" borderId="0" xfId="2" applyFont="1" applyAlignment="1">
      <alignment vertical="top"/>
    </xf>
    <xf numFmtId="0" fontId="53" fillId="0" borderId="0" xfId="2" applyFont="1" applyAlignment="1">
      <alignment vertical="top" wrapText="1"/>
    </xf>
    <xf numFmtId="0" fontId="54" fillId="0" borderId="0" xfId="2" applyFont="1" applyAlignment="1">
      <alignment vertical="top" wrapText="1"/>
    </xf>
    <xf numFmtId="0" fontId="55" fillId="14" borderId="0" xfId="2" applyFont="1" applyFill="1" applyAlignment="1">
      <alignment vertical="top" wrapText="1"/>
    </xf>
    <xf numFmtId="0" fontId="51" fillId="14" borderId="0" xfId="2" applyFont="1" applyFill="1" applyAlignment="1">
      <alignment horizontal="center" vertical="top" wrapText="1"/>
    </xf>
    <xf numFmtId="0" fontId="56" fillId="14" borderId="0" xfId="2" applyFont="1" applyFill="1" applyAlignment="1">
      <alignment vertical="top" wrapText="1"/>
    </xf>
    <xf numFmtId="0" fontId="57" fillId="0" borderId="0" xfId="2" applyFont="1" applyAlignment="1">
      <alignment horizontal="center" vertical="top" wrapText="1"/>
    </xf>
    <xf numFmtId="0" fontId="57" fillId="0" borderId="0" xfId="2" applyFont="1" applyAlignment="1">
      <alignment vertical="top" wrapText="1"/>
    </xf>
    <xf numFmtId="0" fontId="49" fillId="0" borderId="0" xfId="2" applyAlignment="1">
      <alignment horizontal="center" vertical="top" wrapText="1"/>
    </xf>
    <xf numFmtId="0" fontId="52" fillId="0" borderId="0" xfId="2" applyFont="1" applyAlignment="1">
      <alignment horizontal="left" vertical="top"/>
    </xf>
    <xf numFmtId="0" fontId="24" fillId="0" borderId="0" xfId="2" applyFont="1" applyAlignment="1">
      <alignment vertical="top" wrapText="1"/>
    </xf>
    <xf numFmtId="0" fontId="58" fillId="0" borderId="0" xfId="2" applyFont="1" applyAlignment="1">
      <alignment vertical="top" wrapText="1"/>
    </xf>
    <xf numFmtId="0" fontId="6" fillId="0" borderId="0" xfId="0" applyFont="1" applyAlignment="1">
      <alignment vertical="center" wrapText="1"/>
    </xf>
    <xf numFmtId="0" fontId="43" fillId="14" borderId="4" xfId="0" applyFont="1" applyFill="1" applyBorder="1" applyAlignment="1">
      <alignment horizontal="center" vertical="center" wrapText="1"/>
    </xf>
    <xf numFmtId="0" fontId="63" fillId="14" borderId="1" xfId="0" applyFont="1" applyFill="1" applyBorder="1" applyAlignment="1">
      <alignment horizontal="center" vertical="center" wrapText="1"/>
    </xf>
    <xf numFmtId="0" fontId="43" fillId="14" borderId="2" xfId="0" applyFont="1" applyFill="1" applyBorder="1" applyAlignment="1">
      <alignment horizontal="center" vertical="center" wrapText="1"/>
    </xf>
    <xf numFmtId="0" fontId="65" fillId="14" borderId="0" xfId="0" applyFont="1" applyFill="1" applyAlignment="1">
      <alignment horizontal="center" vertical="center" wrapText="1"/>
    </xf>
    <xf numFmtId="0" fontId="54" fillId="13" borderId="0" xfId="0" applyFont="1" applyFill="1"/>
    <xf numFmtId="0" fontId="49" fillId="0" borderId="0" xfId="3"/>
    <xf numFmtId="0" fontId="54" fillId="0" borderId="0" xfId="3" applyFont="1"/>
    <xf numFmtId="0" fontId="69" fillId="14" borderId="2" xfId="0" applyFont="1" applyFill="1" applyBorder="1" applyAlignment="1">
      <alignment horizontal="center" vertical="center" textRotation="90" wrapText="1"/>
    </xf>
    <xf numFmtId="0" fontId="70" fillId="14" borderId="2" xfId="0" applyFont="1" applyFill="1" applyBorder="1" applyAlignment="1">
      <alignment horizontal="center" vertical="center" textRotation="90" wrapText="1"/>
    </xf>
    <xf numFmtId="0" fontId="43" fillId="14" borderId="6" xfId="0" applyFont="1" applyFill="1" applyBorder="1" applyAlignment="1">
      <alignment horizontal="center" vertical="center" wrapText="1"/>
    </xf>
    <xf numFmtId="0" fontId="65" fillId="14" borderId="5" xfId="0" applyFont="1" applyFill="1" applyBorder="1" applyAlignment="1">
      <alignment horizontal="center" vertical="center"/>
    </xf>
    <xf numFmtId="0" fontId="43" fillId="14" borderId="8" xfId="0" applyFont="1" applyFill="1" applyBorder="1" applyAlignment="1">
      <alignment horizontal="center" vertical="center" wrapText="1"/>
    </xf>
    <xf numFmtId="0" fontId="43" fillId="14" borderId="5" xfId="0" applyFont="1" applyFill="1" applyBorder="1" applyAlignment="1">
      <alignment horizontal="center" vertical="center" wrapText="1"/>
    </xf>
    <xf numFmtId="0" fontId="63" fillId="14" borderId="6" xfId="0" applyFont="1" applyFill="1" applyBorder="1" applyAlignment="1">
      <alignment horizontal="center" vertical="center" wrapText="1"/>
    </xf>
    <xf numFmtId="0" fontId="17" fillId="10" borderId="0" xfId="0" applyFont="1" applyFill="1" applyAlignment="1">
      <alignment horizontal="center" vertical="center"/>
    </xf>
    <xf numFmtId="0" fontId="0" fillId="0" borderId="0" xfId="0" applyAlignment="1">
      <alignment vertical="center"/>
    </xf>
    <xf numFmtId="0" fontId="70" fillId="14" borderId="8" xfId="0" applyFont="1" applyFill="1" applyBorder="1" applyAlignment="1">
      <alignment horizontal="center" vertical="center" textRotation="90" wrapText="1"/>
    </xf>
    <xf numFmtId="0" fontId="65" fillId="14" borderId="8" xfId="0" applyFont="1" applyFill="1" applyBorder="1" applyAlignment="1">
      <alignment horizontal="center" vertical="center"/>
    </xf>
    <xf numFmtId="0" fontId="72" fillId="14" borderId="5" xfId="0" applyFont="1" applyFill="1" applyBorder="1" applyAlignment="1">
      <alignment horizontal="center" vertical="center" wrapText="1"/>
    </xf>
    <xf numFmtId="0" fontId="73" fillId="14" borderId="5" xfId="0" applyFont="1" applyFill="1" applyBorder="1" applyAlignment="1">
      <alignment horizontal="center" vertical="center" wrapText="1"/>
    </xf>
    <xf numFmtId="0" fontId="74" fillId="14" borderId="5" xfId="0" applyFont="1" applyFill="1" applyBorder="1" applyAlignment="1">
      <alignment horizontal="center" vertical="center" wrapText="1"/>
    </xf>
    <xf numFmtId="0" fontId="65" fillId="14" borderId="5" xfId="0" applyFont="1" applyFill="1" applyBorder="1" applyAlignment="1">
      <alignment horizontal="left" vertical="center"/>
    </xf>
    <xf numFmtId="0" fontId="75" fillId="14" borderId="2" xfId="0" applyFont="1" applyFill="1" applyBorder="1" applyAlignment="1">
      <alignment horizontal="center" vertical="center" textRotation="90" wrapText="1"/>
    </xf>
    <xf numFmtId="0" fontId="69" fillId="14" borderId="8" xfId="0" applyFont="1" applyFill="1" applyBorder="1" applyAlignment="1">
      <alignment horizontal="center" vertical="center" textRotation="90" wrapText="1"/>
    </xf>
    <xf numFmtId="0" fontId="43" fillId="14" borderId="1" xfId="0" applyFont="1" applyFill="1" applyBorder="1" applyAlignment="1">
      <alignment horizontal="center" vertical="center" wrapText="1"/>
    </xf>
    <xf numFmtId="0" fontId="43" fillId="14" borderId="2" xfId="0" applyFont="1" applyFill="1" applyBorder="1" applyAlignment="1">
      <alignment horizontal="center" vertical="center"/>
    </xf>
    <xf numFmtId="0" fontId="72" fillId="14" borderId="2" xfId="0" applyFont="1" applyFill="1" applyBorder="1" applyAlignment="1">
      <alignment horizontal="center" vertical="center" wrapText="1"/>
    </xf>
    <xf numFmtId="0" fontId="72" fillId="14" borderId="2" xfId="0" applyFont="1" applyFill="1" applyBorder="1" applyAlignment="1">
      <alignment horizontal="center" vertical="center"/>
    </xf>
    <xf numFmtId="0" fontId="73" fillId="14" borderId="2" xfId="0" applyFont="1" applyFill="1" applyBorder="1" applyAlignment="1">
      <alignment horizontal="center" vertical="center" wrapText="1"/>
    </xf>
    <xf numFmtId="0" fontId="73" fillId="14" borderId="2" xfId="0" applyFont="1" applyFill="1" applyBorder="1" applyAlignment="1">
      <alignment horizontal="center" vertical="center"/>
    </xf>
    <xf numFmtId="0" fontId="74" fillId="14" borderId="2" xfId="0" applyFont="1" applyFill="1" applyBorder="1" applyAlignment="1">
      <alignment horizontal="center" vertical="center" wrapText="1"/>
    </xf>
    <xf numFmtId="0" fontId="74" fillId="14" borderId="2" xfId="0" applyFont="1" applyFill="1" applyBorder="1" applyAlignment="1">
      <alignment horizontal="center" vertical="center"/>
    </xf>
    <xf numFmtId="0" fontId="70" fillId="14" borderId="1" xfId="0" applyFont="1" applyFill="1" applyBorder="1" applyAlignment="1">
      <alignment horizontal="center" vertical="center" textRotation="90" wrapText="1"/>
    </xf>
    <xf numFmtId="0" fontId="70" fillId="14" borderId="1" xfId="0" applyFont="1" applyFill="1" applyBorder="1" applyAlignment="1">
      <alignment horizontal="left" vertical="center"/>
    </xf>
    <xf numFmtId="0" fontId="65" fillId="14" borderId="4" xfId="0" applyFont="1" applyFill="1" applyBorder="1" applyAlignment="1">
      <alignment horizontal="left" vertical="center"/>
    </xf>
    <xf numFmtId="0" fontId="63" fillId="14" borderId="5" xfId="0" applyFont="1" applyFill="1" applyBorder="1" applyAlignment="1">
      <alignment horizontal="center" vertical="center" wrapText="1"/>
    </xf>
    <xf numFmtId="0" fontId="69" fillId="14" borderId="4" xfId="0" applyFont="1" applyFill="1" applyBorder="1" applyAlignment="1">
      <alignment horizontal="left" vertical="center"/>
    </xf>
    <xf numFmtId="0" fontId="43" fillId="14" borderId="6" xfId="0" applyFont="1" applyFill="1" applyBorder="1" applyAlignment="1">
      <alignment horizontal="left" vertical="center"/>
    </xf>
    <xf numFmtId="0" fontId="37" fillId="14" borderId="4" xfId="0" applyFont="1" applyFill="1" applyBorder="1" applyAlignment="1">
      <alignment horizontal="left" vertical="center"/>
    </xf>
    <xf numFmtId="0" fontId="71" fillId="14" borderId="2" xfId="0" applyFont="1" applyFill="1" applyBorder="1" applyAlignment="1">
      <alignment horizontal="center" vertical="center" textRotation="90" wrapText="1"/>
    </xf>
    <xf numFmtId="0" fontId="65" fillId="14" borderId="9" xfId="0" applyFont="1" applyFill="1" applyBorder="1" applyAlignment="1">
      <alignment horizontal="center" vertical="center" wrapText="1"/>
    </xf>
    <xf numFmtId="0" fontId="65" fillId="14" borderId="10" xfId="0" applyFont="1" applyFill="1" applyBorder="1" applyAlignment="1">
      <alignment horizontal="center" vertical="center" wrapText="1"/>
    </xf>
    <xf numFmtId="0" fontId="71" fillId="14" borderId="11" xfId="0" applyFont="1" applyFill="1" applyBorder="1" applyAlignment="1">
      <alignment horizontal="center" vertical="center" textRotation="90" wrapText="1"/>
    </xf>
    <xf numFmtId="0" fontId="70" fillId="14" borderId="12" xfId="0" applyFont="1" applyFill="1" applyBorder="1" applyAlignment="1">
      <alignment horizontal="center" vertical="center" textRotation="90" wrapText="1"/>
    </xf>
    <xf numFmtId="0" fontId="69" fillId="14" borderId="8" xfId="0" applyFont="1" applyFill="1" applyBorder="1" applyAlignment="1">
      <alignment horizontal="center" vertical="center" wrapText="1"/>
    </xf>
    <xf numFmtId="0" fontId="43" fillId="14" borderId="14" xfId="0" applyFont="1" applyFill="1" applyBorder="1" applyAlignment="1">
      <alignment horizontal="center" vertical="center" wrapText="1"/>
    </xf>
    <xf numFmtId="0" fontId="43" fillId="14" borderId="15" xfId="0" applyFont="1" applyFill="1" applyBorder="1" applyAlignment="1">
      <alignment horizontal="center" vertical="center" wrapText="1"/>
    </xf>
    <xf numFmtId="0" fontId="70" fillId="14" borderId="14" xfId="0" applyFont="1" applyFill="1" applyBorder="1" applyAlignment="1">
      <alignment horizontal="center" vertical="center" textRotation="90" wrapText="1"/>
    </xf>
    <xf numFmtId="0" fontId="65" fillId="14" borderId="16" xfId="0" applyFont="1" applyFill="1" applyBorder="1" applyAlignment="1">
      <alignment horizontal="center" vertical="center" wrapText="1"/>
    </xf>
    <xf numFmtId="0" fontId="65" fillId="14" borderId="6" xfId="0" applyFont="1" applyFill="1" applyBorder="1" applyAlignment="1">
      <alignment horizontal="left" vertical="center"/>
    </xf>
    <xf numFmtId="0" fontId="71" fillId="14" borderId="8" xfId="0" applyFont="1" applyFill="1" applyBorder="1" applyAlignment="1">
      <alignment horizontal="center" vertical="center" wrapText="1"/>
    </xf>
    <xf numFmtId="0" fontId="71" fillId="14" borderId="3" xfId="0" applyFont="1" applyFill="1" applyBorder="1" applyAlignment="1">
      <alignment horizontal="left" vertical="center" wrapText="1"/>
    </xf>
    <xf numFmtId="0" fontId="37" fillId="14" borderId="3" xfId="0" applyFont="1" applyFill="1" applyBorder="1" applyAlignment="1">
      <alignment horizontal="left" vertical="center"/>
    </xf>
    <xf numFmtId="0" fontId="36" fillId="2" borderId="1" xfId="0" applyFont="1" applyFill="1" applyBorder="1" applyAlignment="1">
      <alignment horizontal="center" vertical="center" wrapText="1"/>
    </xf>
    <xf numFmtId="0" fontId="79" fillId="2" borderId="1" xfId="0" applyFont="1" applyFill="1" applyBorder="1" applyAlignment="1">
      <alignment horizontal="left" vertical="center"/>
    </xf>
    <xf numFmtId="0" fontId="80" fillId="14" borderId="3" xfId="0" applyFont="1" applyFill="1" applyBorder="1" applyAlignment="1">
      <alignment horizontal="left" vertical="center"/>
    </xf>
    <xf numFmtId="0" fontId="9" fillId="13" borderId="0" xfId="0" applyFont="1" applyFill="1" applyAlignment="1">
      <alignment horizontal="center" vertical="center" wrapText="1"/>
    </xf>
    <xf numFmtId="0" fontId="27" fillId="10" borderId="0" xfId="0" applyFont="1" applyFill="1" applyAlignment="1">
      <alignment horizontal="center"/>
    </xf>
    <xf numFmtId="2" fontId="66" fillId="15" borderId="17" xfId="0" applyNumberFormat="1" applyFont="1" applyFill="1" applyBorder="1" applyAlignment="1">
      <alignment horizontal="center" vertical="center" wrapText="1"/>
    </xf>
    <xf numFmtId="3" fontId="66" fillId="15" borderId="17" xfId="0" applyNumberFormat="1" applyFont="1" applyFill="1" applyBorder="1" applyAlignment="1">
      <alignment horizontal="center" vertical="center" wrapText="1"/>
    </xf>
    <xf numFmtId="3" fontId="66" fillId="15" borderId="17" xfId="0" applyNumberFormat="1" applyFont="1" applyFill="1" applyBorder="1" applyAlignment="1">
      <alignment vertical="center" wrapText="1"/>
    </xf>
    <xf numFmtId="3" fontId="5" fillId="5" borderId="17" xfId="0" applyNumberFormat="1" applyFont="1" applyFill="1" applyBorder="1" applyAlignment="1">
      <alignment vertical="center" wrapText="1"/>
    </xf>
    <xf numFmtId="3" fontId="8" fillId="5" borderId="17" xfId="0" applyNumberFormat="1" applyFont="1" applyFill="1" applyBorder="1" applyAlignment="1">
      <alignment vertical="center" wrapText="1"/>
    </xf>
    <xf numFmtId="3" fontId="5" fillId="5" borderId="17" xfId="0" applyNumberFormat="1" applyFont="1" applyFill="1" applyBorder="1" applyAlignment="1">
      <alignment horizontal="center" vertical="center" wrapText="1"/>
    </xf>
    <xf numFmtId="0" fontId="35" fillId="2" borderId="0" xfId="0" applyFont="1" applyFill="1" applyAlignment="1">
      <alignment horizontal="center" vertical="center" wrapText="1"/>
    </xf>
    <xf numFmtId="1" fontId="25" fillId="7" borderId="17" xfId="0" applyNumberFormat="1" applyFont="1" applyFill="1" applyBorder="1" applyAlignment="1">
      <alignment horizontal="center" vertical="center" wrapText="1"/>
    </xf>
    <xf numFmtId="0" fontId="5" fillId="5" borderId="17" xfId="0" applyFont="1" applyFill="1" applyBorder="1" applyAlignment="1">
      <alignment horizontal="center" vertical="center" wrapText="1"/>
    </xf>
    <xf numFmtId="0" fontId="27" fillId="10" borderId="0" xfId="0" applyFont="1" applyFill="1" applyAlignment="1">
      <alignment horizontal="center" vertical="top" wrapText="1"/>
    </xf>
    <xf numFmtId="0" fontId="85" fillId="13" borderId="0" xfId="0" applyFont="1" applyFill="1"/>
    <xf numFmtId="9" fontId="27" fillId="10" borderId="18" xfId="0" applyNumberFormat="1" applyFont="1" applyFill="1" applyBorder="1" applyAlignment="1">
      <alignment horizontal="center" vertical="center"/>
    </xf>
    <xf numFmtId="0" fontId="74" fillId="14" borderId="2" xfId="0" applyFont="1" applyFill="1" applyBorder="1" applyAlignment="1">
      <alignment horizontal="center" vertical="center" textRotation="90" wrapText="1"/>
    </xf>
    <xf numFmtId="0" fontId="72" fillId="14" borderId="2" xfId="0" applyFont="1" applyFill="1" applyBorder="1" applyAlignment="1">
      <alignment horizontal="center" vertical="center" textRotation="90" wrapText="1"/>
    </xf>
    <xf numFmtId="0" fontId="86" fillId="14" borderId="2" xfId="0" applyFont="1" applyFill="1" applyBorder="1" applyAlignment="1">
      <alignment horizontal="center" vertical="center" textRotation="90" wrapText="1"/>
    </xf>
    <xf numFmtId="0" fontId="43" fillId="14" borderId="5" xfId="0" applyFont="1" applyFill="1" applyBorder="1" applyAlignment="1">
      <alignment vertical="center" wrapText="1"/>
    </xf>
    <xf numFmtId="0" fontId="43" fillId="14" borderId="5" xfId="0" applyFont="1" applyFill="1" applyBorder="1" applyAlignment="1">
      <alignment horizontal="center" vertical="center"/>
    </xf>
    <xf numFmtId="0" fontId="73" fillId="14" borderId="5" xfId="0" applyFont="1" applyFill="1" applyBorder="1" applyAlignment="1">
      <alignment horizontal="center" vertical="center"/>
    </xf>
    <xf numFmtId="3" fontId="66" fillId="15" borderId="20" xfId="0" applyNumberFormat="1" applyFont="1" applyFill="1" applyBorder="1" applyAlignment="1">
      <alignment vertical="center" wrapText="1"/>
    </xf>
    <xf numFmtId="3" fontId="66" fillId="15" borderId="18" xfId="0" applyNumberFormat="1" applyFont="1" applyFill="1" applyBorder="1" applyAlignment="1">
      <alignment vertical="center" wrapText="1"/>
    </xf>
    <xf numFmtId="3" fontId="66" fillId="15" borderId="19" xfId="0" applyNumberFormat="1" applyFont="1" applyFill="1" applyBorder="1" applyAlignment="1">
      <alignment vertical="center" wrapText="1"/>
    </xf>
    <xf numFmtId="0" fontId="43" fillId="14" borderId="4" xfId="0" applyFont="1" applyFill="1" applyBorder="1" applyAlignment="1">
      <alignment vertical="center" wrapText="1"/>
    </xf>
    <xf numFmtId="0" fontId="43" fillId="14" borderId="6" xfId="0" applyFont="1" applyFill="1" applyBorder="1" applyAlignment="1">
      <alignment vertical="center" wrapText="1"/>
    </xf>
    <xf numFmtId="0" fontId="30" fillId="2" borderId="5" xfId="0" applyFont="1" applyFill="1" applyBorder="1" applyAlignment="1">
      <alignment horizontal="center"/>
    </xf>
    <xf numFmtId="0" fontId="80" fillId="2" borderId="1" xfId="0" applyFont="1" applyFill="1" applyBorder="1" applyAlignment="1">
      <alignment horizontal="left" vertical="center"/>
    </xf>
    <xf numFmtId="2" fontId="68" fillId="10" borderId="0" xfId="3" applyNumberFormat="1" applyFont="1" applyFill="1" applyAlignment="1">
      <alignment horizontal="center" vertical="center" wrapText="1"/>
    </xf>
    <xf numFmtId="2" fontId="67" fillId="10" borderId="13" xfId="3" applyNumberFormat="1" applyFont="1" applyFill="1" applyBorder="1" applyAlignment="1">
      <alignment horizontal="center" vertical="center" wrapText="1"/>
    </xf>
    <xf numFmtId="2" fontId="47" fillId="10" borderId="13" xfId="3" applyNumberFormat="1" applyFont="1" applyFill="1" applyBorder="1" applyAlignment="1">
      <alignment horizontal="center" vertical="center" wrapText="1"/>
    </xf>
    <xf numFmtId="0" fontId="65" fillId="14" borderId="4" xfId="0" applyFont="1" applyFill="1" applyBorder="1" applyAlignment="1">
      <alignment horizontal="center" vertical="center"/>
    </xf>
    <xf numFmtId="2" fontId="47" fillId="10" borderId="13" xfId="3" applyNumberFormat="1" applyFont="1" applyFill="1" applyBorder="1" applyAlignment="1">
      <alignment horizontal="left" vertical="top" wrapText="1"/>
    </xf>
    <xf numFmtId="0" fontId="93" fillId="10" borderId="0" xfId="0" applyFont="1" applyFill="1"/>
    <xf numFmtId="0" fontId="71" fillId="14" borderId="2" xfId="3" applyFont="1" applyFill="1" applyBorder="1" applyAlignment="1">
      <alignment horizontal="center" vertical="center" wrapText="1"/>
    </xf>
    <xf numFmtId="0" fontId="37" fillId="2" borderId="5" xfId="0" applyFont="1" applyFill="1" applyBorder="1" applyAlignment="1">
      <alignment horizontal="center"/>
    </xf>
    <xf numFmtId="0" fontId="64" fillId="14" borderId="2" xfId="3" applyFont="1" applyFill="1" applyBorder="1" applyAlignment="1">
      <alignment horizontal="center" vertical="center" wrapText="1"/>
    </xf>
    <xf numFmtId="0" fontId="53" fillId="10" borderId="0" xfId="3" applyFont="1" applyFill="1"/>
    <xf numFmtId="0" fontId="37" fillId="2" borderId="4" xfId="0" applyFont="1" applyFill="1" applyBorder="1" applyAlignment="1">
      <alignment horizontal="left"/>
    </xf>
    <xf numFmtId="0" fontId="37" fillId="2" borderId="1" xfId="0" applyFont="1" applyFill="1" applyBorder="1" applyAlignment="1">
      <alignment horizontal="center" vertical="center" wrapText="1"/>
    </xf>
    <xf numFmtId="0" fontId="65" fillId="14" borderId="2" xfId="0" applyFont="1" applyFill="1" applyBorder="1" applyAlignment="1">
      <alignment horizontal="left" vertical="center"/>
    </xf>
    <xf numFmtId="0" fontId="65" fillId="14" borderId="3" xfId="0" applyFont="1" applyFill="1" applyBorder="1" applyAlignment="1">
      <alignment horizontal="left" vertical="center"/>
    </xf>
    <xf numFmtId="9" fontId="47" fillId="13" borderId="20" xfId="0" applyNumberFormat="1" applyFont="1" applyFill="1" applyBorder="1" applyAlignment="1">
      <alignment horizontal="center" vertical="center"/>
    </xf>
    <xf numFmtId="9" fontId="47" fillId="13" borderId="18" xfId="0" applyNumberFormat="1" applyFont="1" applyFill="1" applyBorder="1" applyAlignment="1">
      <alignment horizontal="center" vertical="center"/>
    </xf>
    <xf numFmtId="9" fontId="27" fillId="12" borderId="18" xfId="0" applyNumberFormat="1" applyFont="1" applyFill="1" applyBorder="1" applyAlignment="1">
      <alignment horizontal="center" vertical="center"/>
    </xf>
    <xf numFmtId="0" fontId="3" fillId="5" borderId="20" xfId="0" applyFont="1" applyFill="1" applyBorder="1" applyAlignment="1">
      <alignment horizontal="center" vertical="center" wrapText="1"/>
    </xf>
    <xf numFmtId="0" fontId="5" fillId="5" borderId="18" xfId="0" applyFont="1" applyFill="1" applyBorder="1" applyAlignment="1">
      <alignment horizontal="center" vertical="center" wrapText="1"/>
    </xf>
    <xf numFmtId="0" fontId="5" fillId="5" borderId="19" xfId="0" applyFont="1" applyFill="1" applyBorder="1" applyAlignment="1">
      <alignment horizontal="center" vertical="center" wrapText="1"/>
    </xf>
    <xf numFmtId="0" fontId="0" fillId="0" borderId="25" xfId="0" applyBorder="1" applyAlignment="1">
      <alignment horizontal="center" vertical="center" wrapText="1"/>
    </xf>
    <xf numFmtId="0" fontId="10" fillId="0" borderId="25" xfId="0" applyFont="1" applyBorder="1" applyAlignment="1">
      <alignment horizontal="center" vertical="center" wrapText="1"/>
    </xf>
    <xf numFmtId="0" fontId="9" fillId="0" borderId="25" xfId="0" applyFont="1" applyBorder="1" applyAlignment="1">
      <alignment horizontal="center" vertical="center" wrapText="1"/>
    </xf>
    <xf numFmtId="0" fontId="9" fillId="0" borderId="25" xfId="0" applyFont="1" applyBorder="1" applyAlignment="1">
      <alignment vertical="top" wrapText="1"/>
    </xf>
    <xf numFmtId="0" fontId="9" fillId="0" borderId="25" xfId="0" applyFont="1" applyBorder="1" applyAlignment="1">
      <alignment horizontal="center" vertical="top" wrapText="1"/>
    </xf>
    <xf numFmtId="1" fontId="2" fillId="7" borderId="25" xfId="0" applyNumberFormat="1" applyFont="1" applyFill="1" applyBorder="1" applyAlignment="1">
      <alignment horizontal="center" vertical="center"/>
    </xf>
    <xf numFmtId="3" fontId="6" fillId="0" borderId="25" xfId="0" applyNumberFormat="1" applyFont="1" applyBorder="1" applyAlignment="1">
      <alignment horizontal="center" vertical="top" wrapText="1"/>
    </xf>
    <xf numFmtId="3" fontId="6" fillId="0" borderId="25" xfId="0" applyNumberFormat="1" applyFont="1" applyBorder="1" applyAlignment="1">
      <alignment vertical="top" wrapText="1"/>
    </xf>
    <xf numFmtId="0" fontId="0" fillId="3" borderId="25" xfId="0" applyFill="1" applyBorder="1" applyAlignment="1">
      <alignment horizontal="center" vertical="center" wrapText="1"/>
    </xf>
    <xf numFmtId="0" fontId="10" fillId="3" borderId="25" xfId="0" applyFont="1" applyFill="1" applyBorder="1" applyAlignment="1">
      <alignment horizontal="center" vertical="center" wrapText="1"/>
    </xf>
    <xf numFmtId="0" fontId="9" fillId="3" borderId="25" xfId="0" applyFont="1" applyFill="1" applyBorder="1" applyAlignment="1">
      <alignment horizontal="center" vertical="center" wrapText="1"/>
    </xf>
    <xf numFmtId="0" fontId="9" fillId="3" borderId="25" xfId="0" applyFont="1" applyFill="1" applyBorder="1" applyAlignment="1">
      <alignment vertical="top" wrapText="1"/>
    </xf>
    <xf numFmtId="0" fontId="9" fillId="3" borderId="25" xfId="0" applyFont="1" applyFill="1" applyBorder="1" applyAlignment="1">
      <alignment horizontal="center" vertical="top" wrapText="1"/>
    </xf>
    <xf numFmtId="3" fontId="6" fillId="3" borderId="25" xfId="0" applyNumberFormat="1" applyFont="1" applyFill="1" applyBorder="1" applyAlignment="1">
      <alignment horizontal="center" vertical="top" wrapText="1"/>
    </xf>
    <xf numFmtId="3" fontId="6" fillId="3" borderId="25" xfId="0" applyNumberFormat="1" applyFont="1" applyFill="1" applyBorder="1" applyAlignment="1">
      <alignment vertical="top" wrapText="1"/>
    </xf>
    <xf numFmtId="3" fontId="6" fillId="10" borderId="25" xfId="0" applyNumberFormat="1" applyFont="1" applyFill="1" applyBorder="1" applyAlignment="1">
      <alignment horizontal="center" vertical="top" wrapText="1"/>
    </xf>
    <xf numFmtId="0" fontId="9" fillId="3" borderId="25" xfId="0" applyFont="1" applyFill="1" applyBorder="1" applyAlignment="1">
      <alignment vertical="center" wrapText="1"/>
    </xf>
    <xf numFmtId="3" fontId="6" fillId="3" borderId="25" xfId="0" applyNumberFormat="1" applyFont="1" applyFill="1" applyBorder="1" applyAlignment="1">
      <alignment horizontal="right" vertical="center" wrapText="1"/>
    </xf>
    <xf numFmtId="3" fontId="6" fillId="3" borderId="25" xfId="0" applyNumberFormat="1" applyFont="1" applyFill="1" applyBorder="1" applyAlignment="1">
      <alignment vertical="center" wrapText="1"/>
    </xf>
    <xf numFmtId="9" fontId="47" fillId="13" borderId="25" xfId="0" applyNumberFormat="1" applyFont="1" applyFill="1" applyBorder="1" applyAlignment="1">
      <alignment horizontal="center" vertical="center"/>
    </xf>
    <xf numFmtId="9" fontId="27" fillId="12" borderId="25" xfId="0" applyNumberFormat="1" applyFont="1" applyFill="1" applyBorder="1" applyAlignment="1">
      <alignment horizontal="center" vertical="center"/>
    </xf>
    <xf numFmtId="9" fontId="27" fillId="10" borderId="25" xfId="0" applyNumberFormat="1" applyFont="1" applyFill="1" applyBorder="1" applyAlignment="1">
      <alignment horizontal="center" vertical="center"/>
    </xf>
    <xf numFmtId="0" fontId="27" fillId="3" borderId="25" xfId="0" applyFont="1" applyFill="1" applyBorder="1" applyAlignment="1">
      <alignment horizontal="left" vertical="top" wrapText="1"/>
    </xf>
    <xf numFmtId="3" fontId="10" fillId="10" borderId="25" xfId="0" applyNumberFormat="1" applyFont="1" applyFill="1" applyBorder="1" applyAlignment="1">
      <alignment horizontal="right" vertical="center"/>
    </xf>
    <xf numFmtId="0" fontId="27" fillId="3" borderId="25" xfId="0" applyFont="1" applyFill="1" applyBorder="1" applyAlignment="1">
      <alignment horizontal="center" vertical="top" wrapText="1"/>
    </xf>
    <xf numFmtId="0" fontId="9" fillId="10" borderId="25" xfId="0" applyFont="1" applyFill="1" applyBorder="1" applyAlignment="1">
      <alignment vertical="top" wrapText="1"/>
    </xf>
    <xf numFmtId="3" fontId="10" fillId="10" borderId="25" xfId="0" applyNumberFormat="1" applyFont="1" applyFill="1" applyBorder="1" applyAlignment="1">
      <alignment horizontal="center" vertical="center"/>
    </xf>
    <xf numFmtId="3" fontId="67" fillId="13" borderId="25" xfId="0" applyNumberFormat="1" applyFont="1" applyFill="1" applyBorder="1" applyAlignment="1">
      <alignment horizontal="right" vertical="center"/>
    </xf>
    <xf numFmtId="0" fontId="47" fillId="16" borderId="25" xfId="0" applyFont="1" applyFill="1" applyBorder="1" applyAlignment="1">
      <alignment horizontal="center" vertical="center" wrapText="1"/>
    </xf>
    <xf numFmtId="0" fontId="47" fillId="16" borderId="25" xfId="0" applyFont="1" applyFill="1" applyBorder="1" applyAlignment="1">
      <alignment vertical="top" wrapText="1"/>
    </xf>
    <xf numFmtId="1" fontId="24" fillId="13" borderId="25" xfId="0" applyNumberFormat="1" applyFont="1" applyFill="1" applyBorder="1" applyAlignment="1">
      <alignment horizontal="center" vertical="center"/>
    </xf>
    <xf numFmtId="0" fontId="27" fillId="3" borderId="25" xfId="0" applyFont="1" applyFill="1" applyBorder="1" applyAlignment="1">
      <alignment vertical="top" wrapText="1"/>
    </xf>
    <xf numFmtId="3" fontId="47" fillId="13" borderId="25" xfId="3" applyNumberFormat="1" applyFont="1" applyFill="1" applyBorder="1" applyAlignment="1">
      <alignment horizontal="center" vertical="center"/>
    </xf>
    <xf numFmtId="2" fontId="47" fillId="10" borderId="25" xfId="3" applyNumberFormat="1" applyFont="1" applyFill="1" applyBorder="1" applyAlignment="1">
      <alignment horizontal="center" vertical="center" wrapText="1"/>
    </xf>
    <xf numFmtId="0" fontId="47" fillId="16" borderId="25" xfId="3" applyFont="1" applyFill="1" applyBorder="1" applyAlignment="1">
      <alignment vertical="top" wrapText="1"/>
    </xf>
    <xf numFmtId="2" fontId="47" fillId="10" borderId="25" xfId="3" applyNumberFormat="1" applyFont="1" applyFill="1" applyBorder="1" applyAlignment="1">
      <alignment horizontal="left" vertical="top" wrapText="1"/>
    </xf>
    <xf numFmtId="0" fontId="9" fillId="10" borderId="25" xfId="0" applyFont="1" applyFill="1" applyBorder="1" applyAlignment="1">
      <alignment vertical="center" wrapText="1"/>
    </xf>
    <xf numFmtId="0" fontId="27" fillId="10" borderId="25" xfId="0" applyFont="1" applyFill="1" applyBorder="1" applyAlignment="1">
      <alignment vertical="center" wrapText="1"/>
    </xf>
    <xf numFmtId="3" fontId="6" fillId="10" borderId="25" xfId="0" applyNumberFormat="1" applyFont="1" applyFill="1" applyBorder="1" applyAlignment="1">
      <alignment horizontal="right" vertical="center" wrapText="1"/>
    </xf>
    <xf numFmtId="3" fontId="6" fillId="10" borderId="25" xfId="0" applyNumberFormat="1" applyFont="1" applyFill="1" applyBorder="1" applyAlignment="1">
      <alignment vertical="center" wrapText="1"/>
    </xf>
    <xf numFmtId="9" fontId="47" fillId="18" borderId="25" xfId="0" applyNumberFormat="1" applyFont="1" applyFill="1" applyBorder="1" applyAlignment="1">
      <alignment horizontal="center" vertical="center"/>
    </xf>
    <xf numFmtId="9" fontId="27" fillId="3" borderId="25" xfId="0" applyNumberFormat="1" applyFont="1" applyFill="1" applyBorder="1" applyAlignment="1">
      <alignment horizontal="center" vertical="center"/>
    </xf>
    <xf numFmtId="9" fontId="27" fillId="19" borderId="25" xfId="0" applyNumberFormat="1" applyFont="1" applyFill="1" applyBorder="1" applyAlignment="1">
      <alignment horizontal="center" vertical="center"/>
    </xf>
    <xf numFmtId="3" fontId="10" fillId="18" borderId="25" xfId="0" applyNumberFormat="1" applyFont="1" applyFill="1" applyBorder="1" applyAlignment="1">
      <alignment horizontal="right" vertical="center"/>
    </xf>
    <xf numFmtId="0" fontId="27" fillId="18" borderId="25" xfId="0" applyFont="1" applyFill="1" applyBorder="1" applyAlignment="1">
      <alignment horizontal="center" vertical="top" wrapText="1"/>
    </xf>
    <xf numFmtId="3" fontId="10" fillId="18" borderId="25" xfId="0" applyNumberFormat="1" applyFont="1" applyFill="1" applyBorder="1" applyAlignment="1">
      <alignment horizontal="center" vertical="center"/>
    </xf>
    <xf numFmtId="3" fontId="67" fillId="18" borderId="25" xfId="0" applyNumberFormat="1" applyFont="1" applyFill="1" applyBorder="1" applyAlignment="1">
      <alignment horizontal="right" vertical="center"/>
    </xf>
    <xf numFmtId="1" fontId="24" fillId="18" borderId="25" xfId="0" applyNumberFormat="1" applyFont="1" applyFill="1" applyBorder="1" applyAlignment="1">
      <alignment horizontal="center" vertical="center"/>
    </xf>
    <xf numFmtId="3" fontId="47" fillId="18" borderId="25" xfId="3" applyNumberFormat="1" applyFont="1" applyFill="1" applyBorder="1" applyAlignment="1">
      <alignment horizontal="center" vertical="center"/>
    </xf>
    <xf numFmtId="2" fontId="47" fillId="18" borderId="25" xfId="3" applyNumberFormat="1" applyFont="1" applyFill="1" applyBorder="1" applyAlignment="1">
      <alignment horizontal="center" vertical="center" wrapText="1"/>
    </xf>
    <xf numFmtId="2" fontId="47" fillId="18" borderId="25" xfId="3" applyNumberFormat="1" applyFont="1" applyFill="1" applyBorder="1" applyAlignment="1">
      <alignment horizontal="left" vertical="top" wrapText="1"/>
    </xf>
    <xf numFmtId="0" fontId="27" fillId="10" borderId="25" xfId="0" applyFont="1" applyFill="1" applyBorder="1" applyAlignment="1">
      <alignment horizontal="left" vertical="top" wrapText="1"/>
    </xf>
    <xf numFmtId="0" fontId="27" fillId="12" borderId="25" xfId="0" applyFont="1" applyFill="1" applyBorder="1" applyAlignment="1">
      <alignment horizontal="left" vertical="top" wrapText="1"/>
    </xf>
    <xf numFmtId="0" fontId="27" fillId="12" borderId="25" xfId="0" applyFont="1" applyFill="1" applyBorder="1" applyAlignment="1">
      <alignment horizontal="center" vertical="top" wrapText="1"/>
    </xf>
    <xf numFmtId="0" fontId="47" fillId="17" borderId="25" xfId="0" applyFont="1" applyFill="1" applyBorder="1" applyAlignment="1">
      <alignment horizontal="center" vertical="center" wrapText="1"/>
    </xf>
    <xf numFmtId="0" fontId="47" fillId="17" borderId="25" xfId="0" applyFont="1" applyFill="1" applyBorder="1" applyAlignment="1">
      <alignment vertical="top" wrapText="1"/>
    </xf>
    <xf numFmtId="0" fontId="27" fillId="12" borderId="25" xfId="0" applyFont="1" applyFill="1" applyBorder="1" applyAlignment="1">
      <alignment vertical="top" wrapText="1"/>
    </xf>
    <xf numFmtId="0" fontId="47" fillId="17" borderId="25" xfId="3" applyFont="1" applyFill="1" applyBorder="1" applyAlignment="1">
      <alignment vertical="top" wrapText="1"/>
    </xf>
    <xf numFmtId="3" fontId="5" fillId="10" borderId="0" xfId="1" applyNumberFormat="1" applyFont="1" applyFill="1" applyAlignment="1">
      <alignment vertical="center" wrapText="1"/>
    </xf>
    <xf numFmtId="10" fontId="82" fillId="10" borderId="0" xfId="1" applyNumberFormat="1" applyFont="1" applyFill="1" applyAlignment="1">
      <alignment horizontal="center" vertical="center" wrapText="1"/>
    </xf>
    <xf numFmtId="3" fontId="5" fillId="10" borderId="0" xfId="0" applyNumberFormat="1" applyFont="1" applyFill="1" applyAlignment="1">
      <alignment horizontal="center" vertical="center" wrapText="1"/>
    </xf>
    <xf numFmtId="10" fontId="8" fillId="10" borderId="0" xfId="1" applyNumberFormat="1" applyFont="1" applyFill="1" applyAlignment="1">
      <alignment horizontal="center" vertical="center" wrapText="1"/>
    </xf>
    <xf numFmtId="10" fontId="82" fillId="10" borderId="26" xfId="1" applyNumberFormat="1" applyFont="1" applyFill="1" applyBorder="1" applyAlignment="1">
      <alignment horizontal="center" vertical="center" wrapText="1"/>
    </xf>
    <xf numFmtId="0" fontId="5" fillId="10" borderId="0" xfId="0" applyFont="1" applyFill="1" applyAlignment="1">
      <alignment vertical="center" wrapText="1"/>
    </xf>
    <xf numFmtId="0" fontId="5" fillId="10" borderId="0" xfId="0" applyFont="1" applyFill="1" applyAlignment="1">
      <alignment horizontal="center" vertical="center" wrapText="1"/>
    </xf>
    <xf numFmtId="3" fontId="5" fillId="10" borderId="0" xfId="0" applyNumberFormat="1" applyFont="1" applyFill="1" applyAlignment="1">
      <alignment horizontal="right" vertical="center" wrapText="1"/>
    </xf>
    <xf numFmtId="0" fontId="8" fillId="10" borderId="0" xfId="0" applyFont="1" applyFill="1" applyAlignment="1">
      <alignment horizontal="center" vertical="center" wrapText="1"/>
    </xf>
    <xf numFmtId="0" fontId="8" fillId="10" borderId="0" xfId="0" applyFont="1" applyFill="1" applyAlignment="1">
      <alignment vertical="center" wrapText="1"/>
    </xf>
    <xf numFmtId="0" fontId="9" fillId="20" borderId="25" xfId="0" applyFont="1" applyFill="1" applyBorder="1" applyAlignment="1">
      <alignment horizontal="center" vertical="center" wrapText="1"/>
    </xf>
    <xf numFmtId="0" fontId="9" fillId="20" borderId="25" xfId="0" applyFont="1" applyFill="1" applyBorder="1" applyAlignment="1">
      <alignment vertical="top" wrapText="1"/>
    </xf>
    <xf numFmtId="0" fontId="9" fillId="20" borderId="25" xfId="0" applyFont="1" applyFill="1" applyBorder="1" applyAlignment="1">
      <alignment horizontal="center" vertical="top" wrapText="1"/>
    </xf>
    <xf numFmtId="0" fontId="8" fillId="5" borderId="25" xfId="0" applyFont="1" applyFill="1" applyBorder="1" applyAlignment="1">
      <alignment vertical="center" wrapText="1"/>
    </xf>
    <xf numFmtId="3" fontId="8" fillId="5" borderId="25" xfId="0" applyNumberFormat="1" applyFont="1" applyFill="1" applyBorder="1" applyAlignment="1">
      <alignment vertical="center" wrapText="1"/>
    </xf>
    <xf numFmtId="3" fontId="5" fillId="5" borderId="25" xfId="0" applyNumberFormat="1" applyFont="1" applyFill="1" applyBorder="1" applyAlignment="1">
      <alignment horizontal="center" vertical="center" wrapText="1"/>
    </xf>
    <xf numFmtId="0" fontId="27" fillId="20" borderId="17" xfId="0" applyFont="1" applyFill="1" applyBorder="1" applyAlignment="1">
      <alignment horizontal="left" vertical="top" wrapText="1"/>
    </xf>
    <xf numFmtId="0" fontId="27" fillId="20" borderId="17" xfId="0" applyFont="1" applyFill="1" applyBorder="1" applyAlignment="1">
      <alignment horizontal="center" vertical="center" wrapText="1"/>
    </xf>
    <xf numFmtId="0" fontId="47" fillId="20" borderId="17" xfId="0" applyFont="1" applyFill="1" applyBorder="1" applyAlignment="1">
      <alignment horizontal="center" vertical="center" wrapText="1"/>
    </xf>
    <xf numFmtId="0" fontId="47" fillId="20" borderId="17" xfId="0" applyFont="1" applyFill="1" applyBorder="1" applyAlignment="1">
      <alignment vertical="center" wrapText="1"/>
    </xf>
    <xf numFmtId="0" fontId="27" fillId="20" borderId="17" xfId="0" applyFont="1" applyFill="1" applyBorder="1" applyAlignment="1">
      <alignment vertical="top" wrapText="1"/>
    </xf>
    <xf numFmtId="3" fontId="47" fillId="20" borderId="20" xfId="3" applyNumberFormat="1" applyFont="1" applyFill="1" applyBorder="1" applyAlignment="1">
      <alignment horizontal="center" vertical="center"/>
    </xf>
    <xf numFmtId="2" fontId="67" fillId="20" borderId="17" xfId="3" applyNumberFormat="1" applyFont="1" applyFill="1" applyBorder="1" applyAlignment="1">
      <alignment horizontal="center" vertical="center" wrapText="1"/>
    </xf>
    <xf numFmtId="2" fontId="68" fillId="20" borderId="17" xfId="3" applyNumberFormat="1" applyFont="1" applyFill="1" applyBorder="1" applyAlignment="1">
      <alignment horizontal="center" vertical="center" wrapText="1"/>
    </xf>
    <xf numFmtId="0" fontId="49" fillId="20" borderId="0" xfId="3" applyFill="1"/>
    <xf numFmtId="2" fontId="67" fillId="20" borderId="20" xfId="3" applyNumberFormat="1" applyFont="1" applyFill="1" applyBorder="1" applyAlignment="1">
      <alignment horizontal="center" vertical="center" wrapText="1"/>
    </xf>
    <xf numFmtId="2" fontId="47" fillId="20" borderId="17" xfId="3" applyNumberFormat="1" applyFont="1" applyFill="1" applyBorder="1" applyAlignment="1">
      <alignment horizontal="left" vertical="top" wrapText="1"/>
    </xf>
    <xf numFmtId="2" fontId="47" fillId="20" borderId="17" xfId="3" applyNumberFormat="1" applyFont="1" applyFill="1" applyBorder="1" applyAlignment="1">
      <alignment horizontal="center" vertical="center" wrapText="1"/>
    </xf>
    <xf numFmtId="0" fontId="20" fillId="3" borderId="25" xfId="0" applyFont="1" applyFill="1" applyBorder="1" applyAlignment="1">
      <alignment horizontal="center" vertical="center" wrapText="1"/>
    </xf>
    <xf numFmtId="0" fontId="21" fillId="3" borderId="25" xfId="0" applyFont="1" applyFill="1" applyBorder="1" applyAlignment="1">
      <alignment horizontal="center" vertical="center" wrapText="1"/>
    </xf>
    <xf numFmtId="0" fontId="22" fillId="3" borderId="25" xfId="0" applyFont="1" applyFill="1" applyBorder="1" applyAlignment="1">
      <alignment horizontal="center" vertical="center" wrapText="1"/>
    </xf>
    <xf numFmtId="0" fontId="22" fillId="3" borderId="25" xfId="0" applyFont="1" applyFill="1" applyBorder="1" applyAlignment="1">
      <alignment vertical="top" wrapText="1"/>
    </xf>
    <xf numFmtId="0" fontId="22" fillId="3" borderId="25" xfId="0" applyFont="1" applyFill="1" applyBorder="1" applyAlignment="1">
      <alignment horizontal="center" vertical="top" wrapText="1"/>
    </xf>
    <xf numFmtId="1" fontId="23" fillId="7" borderId="25" xfId="0" applyNumberFormat="1" applyFont="1" applyFill="1" applyBorder="1" applyAlignment="1">
      <alignment horizontal="center" vertical="center"/>
    </xf>
    <xf numFmtId="3" fontId="34" fillId="3" borderId="25" xfId="0" applyNumberFormat="1" applyFont="1" applyFill="1" applyBorder="1" applyAlignment="1">
      <alignment horizontal="center" vertical="top" wrapText="1"/>
    </xf>
    <xf numFmtId="3" fontId="34" fillId="3" borderId="25" xfId="0" applyNumberFormat="1" applyFont="1" applyFill="1" applyBorder="1" applyAlignment="1">
      <alignment vertical="top" wrapText="1"/>
    </xf>
    <xf numFmtId="0" fontId="22" fillId="3" borderId="25" xfId="0" applyFont="1" applyFill="1" applyBorder="1" applyAlignment="1">
      <alignment vertical="center" wrapText="1"/>
    </xf>
    <xf numFmtId="3" fontId="34" fillId="3" borderId="25" xfId="0" applyNumberFormat="1" applyFont="1" applyFill="1" applyBorder="1" applyAlignment="1">
      <alignment vertical="center" wrapText="1"/>
    </xf>
    <xf numFmtId="9" fontId="33" fillId="18" borderId="25" xfId="0" applyNumberFormat="1" applyFont="1" applyFill="1" applyBorder="1" applyAlignment="1">
      <alignment horizontal="center" vertical="center"/>
    </xf>
    <xf numFmtId="9" fontId="62" fillId="3" borderId="25" xfId="0" applyNumberFormat="1" applyFont="1" applyFill="1" applyBorder="1" applyAlignment="1">
      <alignment horizontal="center" vertical="center"/>
    </xf>
    <xf numFmtId="9" fontId="62" fillId="19" borderId="25" xfId="0" applyNumberFormat="1" applyFont="1" applyFill="1" applyBorder="1" applyAlignment="1">
      <alignment horizontal="center" vertical="center"/>
    </xf>
    <xf numFmtId="0" fontId="62" fillId="3" borderId="25" xfId="0" applyFont="1" applyFill="1" applyBorder="1" applyAlignment="1">
      <alignment horizontal="left" vertical="top" wrapText="1"/>
    </xf>
    <xf numFmtId="3" fontId="21" fillId="18" borderId="25" xfId="0" applyNumberFormat="1" applyFont="1" applyFill="1" applyBorder="1" applyAlignment="1">
      <alignment horizontal="right" vertical="center"/>
    </xf>
    <xf numFmtId="0" fontId="62" fillId="3" borderId="25" xfId="0" applyFont="1" applyFill="1" applyBorder="1" applyAlignment="1">
      <alignment horizontal="center" vertical="top" wrapText="1"/>
    </xf>
    <xf numFmtId="0" fontId="62" fillId="18" borderId="25" xfId="0" applyFont="1" applyFill="1" applyBorder="1" applyAlignment="1">
      <alignment horizontal="center" vertical="top" wrapText="1"/>
    </xf>
    <xf numFmtId="0" fontId="22" fillId="10" borderId="25" xfId="0" applyFont="1" applyFill="1" applyBorder="1" applyAlignment="1">
      <alignment vertical="top" wrapText="1"/>
    </xf>
    <xf numFmtId="3" fontId="21" fillId="18" borderId="25" xfId="0" applyNumberFormat="1" applyFont="1" applyFill="1" applyBorder="1" applyAlignment="1">
      <alignment horizontal="center" vertical="center"/>
    </xf>
    <xf numFmtId="3" fontId="61" fillId="18" borderId="25" xfId="0" applyNumberFormat="1" applyFont="1" applyFill="1" applyBorder="1" applyAlignment="1">
      <alignment horizontal="right" vertical="center"/>
    </xf>
    <xf numFmtId="0" fontId="33" fillId="16" borderId="25" xfId="0" applyFont="1" applyFill="1" applyBorder="1" applyAlignment="1">
      <alignment horizontal="center" vertical="center" wrapText="1"/>
    </xf>
    <xf numFmtId="0" fontId="33" fillId="16" borderId="25" xfId="0" applyFont="1" applyFill="1" applyBorder="1" applyAlignment="1">
      <alignment vertical="top" wrapText="1"/>
    </xf>
    <xf numFmtId="1" fontId="61" fillId="18" borderId="25" xfId="0" applyNumberFormat="1" applyFont="1" applyFill="1" applyBorder="1" applyAlignment="1">
      <alignment horizontal="center" vertical="center"/>
    </xf>
    <xf numFmtId="0" fontId="62" fillId="3" borderId="25" xfId="0" applyFont="1" applyFill="1" applyBorder="1" applyAlignment="1">
      <alignment vertical="top" wrapText="1"/>
    </xf>
    <xf numFmtId="3" fontId="33" fillId="18" borderId="25" xfId="3" applyNumberFormat="1" applyFont="1" applyFill="1" applyBorder="1" applyAlignment="1">
      <alignment horizontal="center" vertical="center"/>
    </xf>
    <xf numFmtId="2" fontId="33" fillId="18" borderId="25" xfId="3" applyNumberFormat="1" applyFont="1" applyFill="1" applyBorder="1" applyAlignment="1">
      <alignment horizontal="center" vertical="center" wrapText="1"/>
    </xf>
    <xf numFmtId="0" fontId="33" fillId="16" borderId="25" xfId="3" applyFont="1" applyFill="1" applyBorder="1" applyAlignment="1">
      <alignment vertical="top" wrapText="1"/>
    </xf>
    <xf numFmtId="2" fontId="33" fillId="18" borderId="25" xfId="3" applyNumberFormat="1" applyFont="1" applyFill="1" applyBorder="1" applyAlignment="1">
      <alignment horizontal="left" vertical="top" wrapText="1"/>
    </xf>
    <xf numFmtId="0" fontId="20" fillId="0" borderId="25" xfId="0" applyFont="1" applyBorder="1" applyAlignment="1">
      <alignment horizontal="center" vertical="center" wrapText="1"/>
    </xf>
    <xf numFmtId="0" fontId="21" fillId="0" borderId="25" xfId="0" applyFont="1" applyBorder="1" applyAlignment="1">
      <alignment horizontal="center" vertical="center" wrapText="1"/>
    </xf>
    <xf numFmtId="0" fontId="22" fillId="0" borderId="25" xfId="0" applyFont="1" applyBorder="1" applyAlignment="1">
      <alignment horizontal="center" vertical="center" wrapText="1"/>
    </xf>
    <xf numFmtId="0" fontId="22" fillId="0" borderId="25" xfId="0" applyFont="1" applyBorder="1" applyAlignment="1">
      <alignment vertical="top" wrapText="1"/>
    </xf>
    <xf numFmtId="0" fontId="22" fillId="0" borderId="25" xfId="0" applyFont="1" applyBorder="1" applyAlignment="1">
      <alignment horizontal="center" vertical="top" wrapText="1"/>
    </xf>
    <xf numFmtId="3" fontId="34" fillId="0" borderId="25" xfId="0" applyNumberFormat="1" applyFont="1" applyBorder="1" applyAlignment="1">
      <alignment horizontal="center" vertical="top" wrapText="1"/>
    </xf>
    <xf numFmtId="3" fontId="34" fillId="0" borderId="25" xfId="0" applyNumberFormat="1" applyFont="1" applyBorder="1" applyAlignment="1">
      <alignment vertical="top" wrapText="1"/>
    </xf>
    <xf numFmtId="3" fontId="34" fillId="10" borderId="25" xfId="0" applyNumberFormat="1" applyFont="1" applyFill="1" applyBorder="1" applyAlignment="1">
      <alignment horizontal="center" vertical="top" wrapText="1"/>
    </xf>
    <xf numFmtId="0" fontId="22" fillId="10" borderId="25" xfId="0" applyFont="1" applyFill="1" applyBorder="1" applyAlignment="1">
      <alignment vertical="center" wrapText="1"/>
    </xf>
    <xf numFmtId="3" fontId="34" fillId="10" borderId="25" xfId="0" applyNumberFormat="1" applyFont="1" applyFill="1" applyBorder="1" applyAlignment="1">
      <alignment vertical="center" wrapText="1"/>
    </xf>
    <xf numFmtId="9" fontId="33" fillId="13" borderId="25" xfId="0" applyNumberFormat="1" applyFont="1" applyFill="1" applyBorder="1" applyAlignment="1">
      <alignment horizontal="center" vertical="center"/>
    </xf>
    <xf numFmtId="9" fontId="62" fillId="12" borderId="25" xfId="0" applyNumberFormat="1" applyFont="1" applyFill="1" applyBorder="1" applyAlignment="1">
      <alignment horizontal="center" vertical="center"/>
    </xf>
    <xf numFmtId="9" fontId="62" fillId="10" borderId="25" xfId="0" applyNumberFormat="1" applyFont="1" applyFill="1" applyBorder="1" applyAlignment="1">
      <alignment horizontal="center" vertical="center"/>
    </xf>
    <xf numFmtId="3" fontId="21" fillId="10" borderId="25" xfId="0" applyNumberFormat="1" applyFont="1" applyFill="1" applyBorder="1" applyAlignment="1">
      <alignment horizontal="right" vertical="center"/>
    </xf>
    <xf numFmtId="0" fontId="62" fillId="12" borderId="25" xfId="0" applyFont="1" applyFill="1" applyBorder="1" applyAlignment="1">
      <alignment horizontal="left" vertical="top" wrapText="1"/>
    </xf>
    <xf numFmtId="0" fontId="62" fillId="12" borderId="25" xfId="0" applyFont="1" applyFill="1" applyBorder="1" applyAlignment="1">
      <alignment horizontal="center" vertical="top" wrapText="1"/>
    </xf>
    <xf numFmtId="3" fontId="21" fillId="10" borderId="25" xfId="0" applyNumberFormat="1" applyFont="1" applyFill="1" applyBorder="1" applyAlignment="1">
      <alignment horizontal="center" vertical="center"/>
    </xf>
    <xf numFmtId="3" fontId="61" fillId="13" borderId="25" xfId="0" applyNumberFormat="1" applyFont="1" applyFill="1" applyBorder="1" applyAlignment="1">
      <alignment horizontal="right" vertical="center"/>
    </xf>
    <xf numFmtId="0" fontId="33" fillId="17" borderId="25" xfId="0" applyFont="1" applyFill="1" applyBorder="1" applyAlignment="1">
      <alignment horizontal="center" vertical="center" wrapText="1"/>
    </xf>
    <xf numFmtId="0" fontId="33" fillId="17" borderId="25" xfId="0" applyFont="1" applyFill="1" applyBorder="1" applyAlignment="1">
      <alignment vertical="top" wrapText="1"/>
    </xf>
    <xf numFmtId="1" fontId="61" fillId="13" borderId="25" xfId="0" applyNumberFormat="1" applyFont="1" applyFill="1" applyBorder="1" applyAlignment="1">
      <alignment horizontal="center" vertical="center"/>
    </xf>
    <xf numFmtId="0" fontId="62" fillId="12" borderId="25" xfId="0" applyFont="1" applyFill="1" applyBorder="1" applyAlignment="1">
      <alignment vertical="top" wrapText="1"/>
    </xf>
    <xf numFmtId="3" fontId="33" fillId="13" borderId="25" xfId="3" applyNumberFormat="1" applyFont="1" applyFill="1" applyBorder="1" applyAlignment="1">
      <alignment horizontal="center" vertical="center"/>
    </xf>
    <xf numFmtId="2" fontId="33" fillId="10" borderId="25" xfId="3" applyNumberFormat="1" applyFont="1" applyFill="1" applyBorder="1" applyAlignment="1">
      <alignment horizontal="center" vertical="center" wrapText="1"/>
    </xf>
    <xf numFmtId="0" fontId="33" fillId="17" borderId="25" xfId="3" applyFont="1" applyFill="1" applyBorder="1" applyAlignment="1">
      <alignment vertical="top" wrapText="1"/>
    </xf>
    <xf numFmtId="2" fontId="33" fillId="10" borderId="25" xfId="3" applyNumberFormat="1" applyFont="1" applyFill="1" applyBorder="1" applyAlignment="1">
      <alignment horizontal="left" vertical="top" wrapText="1"/>
    </xf>
    <xf numFmtId="0" fontId="57" fillId="21" borderId="27" xfId="3" applyFont="1" applyFill="1" applyBorder="1" applyAlignment="1">
      <alignment horizontal="center" vertical="top"/>
    </xf>
    <xf numFmtId="0" fontId="21" fillId="0" borderId="0" xfId="0" applyFont="1" applyAlignment="1">
      <alignment horizontal="center" vertical="center"/>
    </xf>
    <xf numFmtId="3" fontId="20" fillId="0" borderId="0" xfId="0" applyNumberFormat="1" applyFont="1" applyAlignment="1">
      <alignment vertical="center"/>
    </xf>
    <xf numFmtId="0" fontId="54" fillId="15" borderId="27" xfId="3" applyFont="1" applyFill="1" applyBorder="1" applyAlignment="1">
      <alignment vertical="top" wrapText="1"/>
    </xf>
    <xf numFmtId="0" fontId="54" fillId="22" borderId="27" xfId="3" applyFont="1" applyFill="1" applyBorder="1" applyAlignment="1">
      <alignment vertical="top" wrapText="1"/>
    </xf>
    <xf numFmtId="0" fontId="54" fillId="23" borderId="27" xfId="3" applyFont="1" applyFill="1" applyBorder="1" applyAlignment="1">
      <alignment vertical="top" wrapText="1"/>
    </xf>
    <xf numFmtId="0" fontId="54" fillId="24" borderId="27" xfId="3" applyFont="1" applyFill="1" applyBorder="1" applyAlignment="1">
      <alignment vertical="top" wrapText="1"/>
    </xf>
    <xf numFmtId="0" fontId="54" fillId="25" borderId="27" xfId="3" applyFont="1" applyFill="1" applyBorder="1" applyAlignment="1">
      <alignment vertical="top" wrapText="1"/>
    </xf>
    <xf numFmtId="0" fontId="54" fillId="26" borderId="27" xfId="3" applyFont="1" applyFill="1" applyBorder="1" applyAlignment="1">
      <alignment vertical="top" wrapText="1"/>
    </xf>
    <xf numFmtId="0" fontId="54" fillId="27" borderId="27" xfId="3" applyFont="1" applyFill="1" applyBorder="1" applyAlignment="1">
      <alignment vertical="top" wrapText="1"/>
    </xf>
    <xf numFmtId="0" fontId="54" fillId="28" borderId="27" xfId="3" applyFont="1" applyFill="1" applyBorder="1" applyAlignment="1">
      <alignment vertical="top" wrapText="1"/>
    </xf>
    <xf numFmtId="0" fontId="54" fillId="30" borderId="27" xfId="3" applyFont="1" applyFill="1" applyBorder="1" applyAlignment="1">
      <alignment vertical="top" wrapText="1"/>
    </xf>
    <xf numFmtId="0" fontId="54" fillId="29" borderId="27" xfId="3" applyFont="1" applyFill="1" applyBorder="1" applyAlignment="1">
      <alignment vertical="top" wrapText="1"/>
    </xf>
    <xf numFmtId="0" fontId="54" fillId="31" borderId="27" xfId="3" applyFont="1" applyFill="1" applyBorder="1" applyAlignment="1">
      <alignment vertical="top" wrapText="1"/>
    </xf>
    <xf numFmtId="0" fontId="78" fillId="2" borderId="0" xfId="0" applyFont="1" applyFill="1" applyAlignment="1">
      <alignment horizontal="left" vertical="center" wrapText="1"/>
    </xf>
    <xf numFmtId="0" fontId="1" fillId="2" borderId="0" xfId="0" applyFont="1" applyFill="1" applyAlignment="1">
      <alignment horizontal="left" vertical="center" wrapText="1"/>
    </xf>
    <xf numFmtId="0" fontId="77" fillId="2" borderId="0" xfId="0" applyFont="1" applyFill="1" applyAlignment="1">
      <alignment horizontal="left" vertical="center" wrapText="1"/>
    </xf>
    <xf numFmtId="0" fontId="24" fillId="15" borderId="27" xfId="3" applyFont="1" applyFill="1" applyBorder="1" applyAlignment="1">
      <alignment horizontal="center" vertical="top"/>
    </xf>
    <xf numFmtId="0" fontId="102" fillId="29" borderId="27" xfId="3" applyFont="1" applyFill="1" applyBorder="1" applyAlignment="1">
      <alignment vertical="top" wrapText="1"/>
    </xf>
    <xf numFmtId="3" fontId="17" fillId="0" borderId="0" xfId="0" applyNumberFormat="1" applyFont="1" applyAlignment="1">
      <alignment vertical="center"/>
    </xf>
    <xf numFmtId="3" fontId="104" fillId="0" borderId="0" xfId="0" applyNumberFormat="1" applyFont="1" applyAlignment="1">
      <alignment vertical="center"/>
    </xf>
    <xf numFmtId="3" fontId="57" fillId="21" borderId="27" xfId="3" applyNumberFormat="1" applyFont="1" applyFill="1" applyBorder="1" applyAlignment="1">
      <alignment horizontal="center" vertical="top"/>
    </xf>
    <xf numFmtId="3" fontId="16" fillId="0" borderId="0" xfId="0" applyNumberFormat="1" applyFont="1" applyAlignment="1">
      <alignment vertical="center"/>
    </xf>
    <xf numFmtId="1" fontId="57" fillId="21" borderId="27" xfId="0" applyNumberFormat="1" applyFont="1" applyFill="1" applyBorder="1" applyAlignment="1">
      <alignment horizontal="center" vertical="top"/>
    </xf>
    <xf numFmtId="3" fontId="57" fillId="21" borderId="27" xfId="3" applyNumberFormat="1" applyFont="1" applyFill="1" applyBorder="1" applyAlignment="1">
      <alignment horizontal="right" vertical="top"/>
    </xf>
    <xf numFmtId="1" fontId="16" fillId="0" borderId="0" xfId="0" applyNumberFormat="1" applyFont="1" applyAlignment="1">
      <alignment horizontal="center" vertical="center"/>
    </xf>
    <xf numFmtId="0" fontId="1" fillId="2" borderId="0" xfId="0" applyFont="1" applyFill="1" applyAlignment="1">
      <alignment horizontal="left" vertical="top" wrapText="1"/>
    </xf>
    <xf numFmtId="0" fontId="78" fillId="2" borderId="0" xfId="0" applyFont="1" applyFill="1" applyAlignment="1">
      <alignment horizontal="left" vertical="top" wrapText="1"/>
    </xf>
    <xf numFmtId="0" fontId="77" fillId="2" borderId="0" xfId="0" applyFont="1" applyFill="1" applyAlignment="1">
      <alignment horizontal="left" vertical="top" wrapText="1"/>
    </xf>
    <xf numFmtId="0" fontId="78" fillId="2" borderId="0" xfId="0" applyFont="1" applyFill="1" applyAlignment="1">
      <alignment horizontal="center" vertical="top" wrapText="1"/>
    </xf>
    <xf numFmtId="0" fontId="77" fillId="2" borderId="0" xfId="0" applyFont="1" applyFill="1" applyAlignment="1">
      <alignment horizontal="center" vertical="top" wrapText="1"/>
    </xf>
    <xf numFmtId="0" fontId="1" fillId="2" borderId="0" xfId="0" applyFont="1" applyFill="1" applyAlignment="1">
      <alignment horizontal="center" vertical="top" wrapText="1"/>
    </xf>
    <xf numFmtId="0" fontId="0" fillId="0" borderId="0" xfId="0" applyAlignment="1">
      <alignment vertical="top"/>
    </xf>
    <xf numFmtId="0" fontId="0" fillId="32" borderId="0" xfId="0" applyFill="1"/>
    <xf numFmtId="0" fontId="78" fillId="2" borderId="0" xfId="0" applyFont="1" applyFill="1" applyAlignment="1">
      <alignment horizontal="center" vertical="top"/>
    </xf>
    <xf numFmtId="0" fontId="37" fillId="2" borderId="0" xfId="0" applyFont="1" applyFill="1" applyAlignment="1">
      <alignment horizontal="center" vertical="top"/>
    </xf>
    <xf numFmtId="0" fontId="77" fillId="2" borderId="0" xfId="0" applyFont="1" applyFill="1" applyAlignment="1">
      <alignment horizontal="center" vertical="top"/>
    </xf>
    <xf numFmtId="0" fontId="20" fillId="32" borderId="0" xfId="0" applyFont="1" applyFill="1"/>
    <xf numFmtId="0" fontId="18" fillId="10" borderId="0" xfId="0" applyFont="1" applyFill="1" applyAlignment="1">
      <alignment vertical="center"/>
    </xf>
    <xf numFmtId="0" fontId="0" fillId="10" borderId="0" xfId="0" applyFill="1" applyAlignment="1">
      <alignment horizontal="left" vertical="center" indent="1"/>
    </xf>
    <xf numFmtId="0" fontId="19" fillId="10" borderId="0" xfId="0" applyFont="1" applyFill="1" applyAlignment="1">
      <alignment vertical="center"/>
    </xf>
    <xf numFmtId="0" fontId="17" fillId="10" borderId="0" xfId="0" applyFont="1" applyFill="1" applyAlignment="1">
      <alignment horizontal="left" vertical="center" indent="1"/>
    </xf>
    <xf numFmtId="3" fontId="0" fillId="0" borderId="0" xfId="0" applyNumberFormat="1" applyAlignment="1">
      <alignment vertical="center"/>
    </xf>
    <xf numFmtId="0" fontId="61" fillId="15" borderId="27" xfId="3" applyFont="1" applyFill="1" applyBorder="1" applyAlignment="1">
      <alignment horizontal="center" vertical="top"/>
    </xf>
    <xf numFmtId="0" fontId="102" fillId="22" borderId="27" xfId="3" applyFont="1" applyFill="1" applyBorder="1" applyAlignment="1">
      <alignment vertical="top" wrapText="1"/>
    </xf>
    <xf numFmtId="1" fontId="20" fillId="0" borderId="0" xfId="0" applyNumberFormat="1" applyFont="1" applyAlignment="1">
      <alignment horizontal="center" vertical="center"/>
    </xf>
    <xf numFmtId="0" fontId="1" fillId="2" borderId="0" xfId="0" applyFont="1" applyFill="1" applyAlignment="1">
      <alignment horizontal="left" vertical="center"/>
    </xf>
    <xf numFmtId="0" fontId="1" fillId="2" borderId="0" xfId="0" applyFont="1" applyFill="1" applyAlignment="1">
      <alignment horizontal="center" vertical="center"/>
    </xf>
    <xf numFmtId="0" fontId="0" fillId="10" borderId="0" xfId="0" applyFill="1" applyAlignment="1">
      <alignment vertical="top"/>
    </xf>
    <xf numFmtId="4" fontId="57" fillId="21" borderId="27" xfId="3" applyNumberFormat="1" applyFont="1" applyFill="1" applyBorder="1" applyAlignment="1">
      <alignment horizontal="center" vertical="top"/>
    </xf>
    <xf numFmtId="10" fontId="57" fillId="21" borderId="27" xfId="3" applyNumberFormat="1" applyFont="1" applyFill="1" applyBorder="1" applyAlignment="1">
      <alignment horizontal="center" vertical="top"/>
    </xf>
    <xf numFmtId="0" fontId="16" fillId="0" borderId="0" xfId="0" applyFont="1"/>
    <xf numFmtId="0" fontId="16" fillId="10" borderId="0" xfId="0" applyFont="1" applyFill="1" applyAlignment="1">
      <alignment horizontal="center"/>
    </xf>
    <xf numFmtId="3" fontId="16" fillId="0" borderId="0" xfId="0" applyNumberFormat="1" applyFont="1" applyAlignment="1">
      <alignment horizontal="center" vertical="center"/>
    </xf>
    <xf numFmtId="3" fontId="20" fillId="0" borderId="0" xfId="0" applyNumberFormat="1" applyFont="1" applyAlignment="1">
      <alignment horizontal="center" vertical="center"/>
    </xf>
    <xf numFmtId="0" fontId="37" fillId="2" borderId="0" xfId="0" applyFont="1" applyFill="1" applyAlignment="1">
      <alignment horizontal="left" vertical="top"/>
    </xf>
    <xf numFmtId="0" fontId="78" fillId="2" borderId="0" xfId="0" applyFont="1" applyFill="1" applyAlignment="1">
      <alignment horizontal="left" vertical="top"/>
    </xf>
    <xf numFmtId="0" fontId="77" fillId="2" borderId="0" xfId="0" applyFont="1" applyFill="1" applyAlignment="1">
      <alignment horizontal="left" vertical="top"/>
    </xf>
    <xf numFmtId="0" fontId="16" fillId="10" borderId="0" xfId="0" applyFont="1" applyFill="1"/>
    <xf numFmtId="0" fontId="28" fillId="2" borderId="0" xfId="0" applyFont="1" applyFill="1" applyAlignment="1">
      <alignment horizontal="center" vertical="center" wrapText="1"/>
    </xf>
    <xf numFmtId="0" fontId="16" fillId="0" borderId="0" xfId="5" applyNumberFormat="1" applyAlignment="1">
      <alignment horizontal="center" vertical="center"/>
    </xf>
    <xf numFmtId="0" fontId="20" fillId="0" borderId="0" xfId="5" applyNumberFormat="1" applyFont="1" applyAlignment="1">
      <alignment horizontal="center" vertical="center"/>
    </xf>
    <xf numFmtId="0" fontId="30" fillId="2" borderId="0" xfId="0" applyFont="1" applyFill="1" applyAlignment="1">
      <alignment horizontal="center" vertical="center" wrapText="1"/>
    </xf>
    <xf numFmtId="0" fontId="105" fillId="2" borderId="0" xfId="0" applyFont="1" applyFill="1" applyAlignment="1">
      <alignment horizontal="center" vertical="center" wrapText="1"/>
    </xf>
    <xf numFmtId="0" fontId="106" fillId="2" borderId="0" xfId="0" applyFont="1" applyFill="1" applyAlignment="1">
      <alignment horizontal="center" vertical="center" wrapText="1"/>
    </xf>
    <xf numFmtId="0" fontId="107" fillId="2" borderId="0" xfId="0" applyFont="1" applyFill="1" applyAlignment="1">
      <alignment horizontal="center" vertical="center" wrapText="1"/>
    </xf>
    <xf numFmtId="0" fontId="78" fillId="2" borderId="0" xfId="0" applyFont="1" applyFill="1" applyAlignment="1">
      <alignment horizontal="center" vertical="center" wrapText="1"/>
    </xf>
    <xf numFmtId="0" fontId="108" fillId="2" borderId="0" xfId="0" applyFont="1" applyFill="1" applyAlignment="1">
      <alignment horizontal="center" vertical="center" wrapText="1"/>
    </xf>
    <xf numFmtId="0" fontId="26" fillId="2" borderId="0" xfId="0" applyFont="1" applyFill="1" applyAlignment="1">
      <alignment horizontal="center" vertical="center" wrapText="1"/>
    </xf>
    <xf numFmtId="0" fontId="109" fillId="2" borderId="0" xfId="0" applyFont="1" applyFill="1" applyAlignment="1">
      <alignment horizontal="center" vertical="center"/>
    </xf>
    <xf numFmtId="0" fontId="110" fillId="2" borderId="0" xfId="0" applyFont="1" applyFill="1" applyAlignment="1">
      <alignment horizontal="center" vertical="center"/>
    </xf>
    <xf numFmtId="0" fontId="111" fillId="2" borderId="0" xfId="0" applyFont="1" applyFill="1" applyAlignment="1">
      <alignment horizontal="center" vertical="center"/>
    </xf>
    <xf numFmtId="0" fontId="0" fillId="33" borderId="0" xfId="0" applyFill="1"/>
    <xf numFmtId="0" fontId="112" fillId="33" borderId="0" xfId="0" applyFont="1" applyFill="1" applyAlignment="1">
      <alignment horizontal="center"/>
    </xf>
    <xf numFmtId="0" fontId="6" fillId="33" borderId="0" xfId="0" applyFont="1" applyFill="1"/>
    <xf numFmtId="0" fontId="113" fillId="22" borderId="27" xfId="3" applyFont="1" applyFill="1" applyBorder="1" applyAlignment="1">
      <alignment vertical="top" wrapText="1"/>
    </xf>
    <xf numFmtId="0" fontId="6" fillId="10" borderId="0" xfId="0" applyFont="1" applyFill="1" applyAlignment="1">
      <alignment vertical="top"/>
    </xf>
    <xf numFmtId="0" fontId="10" fillId="35" borderId="25" xfId="0" applyFont="1" applyFill="1" applyBorder="1" applyAlignment="1">
      <alignment horizontal="center" vertical="center" wrapText="1"/>
    </xf>
    <xf numFmtId="0" fontId="10" fillId="7" borderId="25" xfId="0" applyFont="1" applyFill="1" applyBorder="1" applyAlignment="1">
      <alignment horizontal="center" vertical="center" wrapText="1"/>
    </xf>
    <xf numFmtId="0" fontId="10" fillId="6" borderId="25" xfId="0" applyFont="1" applyFill="1" applyBorder="1" applyAlignment="1">
      <alignment horizontal="center" vertical="center" wrapText="1"/>
    </xf>
    <xf numFmtId="0" fontId="10" fillId="5" borderId="25" xfId="0" applyFont="1" applyFill="1" applyBorder="1" applyAlignment="1">
      <alignment horizontal="center" vertical="center" wrapText="1"/>
    </xf>
    <xf numFmtId="0" fontId="10" fillId="36" borderId="25" xfId="0" applyFont="1" applyFill="1" applyBorder="1" applyAlignment="1">
      <alignment horizontal="center" vertical="center" wrapText="1"/>
    </xf>
    <xf numFmtId="0" fontId="10" fillId="37" borderId="25" xfId="0" applyFont="1" applyFill="1" applyBorder="1" applyAlignment="1">
      <alignment horizontal="center" vertical="center" wrapText="1"/>
    </xf>
    <xf numFmtId="0" fontId="10" fillId="34" borderId="25" xfId="0" applyFont="1" applyFill="1" applyBorder="1" applyAlignment="1">
      <alignment horizontal="center" vertical="center" wrapText="1"/>
    </xf>
    <xf numFmtId="0" fontId="10" fillId="39" borderId="25" xfId="0" applyFont="1" applyFill="1" applyBorder="1" applyAlignment="1">
      <alignment horizontal="center" vertical="center" wrapText="1"/>
    </xf>
    <xf numFmtId="0" fontId="10" fillId="40" borderId="25" xfId="0" applyFont="1" applyFill="1" applyBorder="1" applyAlignment="1">
      <alignment horizontal="center" vertical="center" wrapText="1"/>
    </xf>
    <xf numFmtId="0" fontId="24" fillId="5" borderId="27" xfId="3" applyFont="1" applyFill="1" applyBorder="1" applyAlignment="1">
      <alignment horizontal="center" vertical="top"/>
    </xf>
    <xf numFmtId="0" fontId="54" fillId="5" borderId="27" xfId="3" applyFont="1" applyFill="1" applyBorder="1" applyAlignment="1">
      <alignment vertical="top" wrapText="1"/>
    </xf>
    <xf numFmtId="0" fontId="24" fillId="7" borderId="27" xfId="3" applyFont="1" applyFill="1" applyBorder="1" applyAlignment="1">
      <alignment horizontal="center" vertical="top"/>
    </xf>
    <xf numFmtId="0" fontId="54" fillId="7" borderId="27" xfId="3" applyFont="1" applyFill="1" applyBorder="1" applyAlignment="1">
      <alignment vertical="top" wrapText="1"/>
    </xf>
    <xf numFmtId="0" fontId="24" fillId="34" borderId="27" xfId="3" applyFont="1" applyFill="1" applyBorder="1" applyAlignment="1">
      <alignment horizontal="center" vertical="top"/>
    </xf>
    <xf numFmtId="0" fontId="54" fillId="34" borderId="27" xfId="3" applyFont="1" applyFill="1" applyBorder="1" applyAlignment="1">
      <alignment vertical="top" wrapText="1"/>
    </xf>
    <xf numFmtId="0" fontId="24" fillId="35" borderId="27" xfId="3" applyFont="1" applyFill="1" applyBorder="1" applyAlignment="1">
      <alignment horizontal="center" vertical="top"/>
    </xf>
    <xf numFmtId="0" fontId="54" fillId="35" borderId="27" xfId="3" applyFont="1" applyFill="1" applyBorder="1" applyAlignment="1">
      <alignment vertical="top" wrapText="1"/>
    </xf>
    <xf numFmtId="0" fontId="24" fillId="6" borderId="27" xfId="3" applyFont="1" applyFill="1" applyBorder="1" applyAlignment="1">
      <alignment horizontal="center" vertical="top"/>
    </xf>
    <xf numFmtId="0" fontId="54" fillId="6" borderId="27" xfId="3" applyFont="1" applyFill="1" applyBorder="1" applyAlignment="1">
      <alignment vertical="top" wrapText="1"/>
    </xf>
    <xf numFmtId="0" fontId="24" fillId="36" borderId="27" xfId="3" applyFont="1" applyFill="1" applyBorder="1" applyAlignment="1">
      <alignment horizontal="center" vertical="top"/>
    </xf>
    <xf numFmtId="0" fontId="54" fillId="36" borderId="27" xfId="3" applyFont="1" applyFill="1" applyBorder="1" applyAlignment="1">
      <alignment vertical="top" wrapText="1"/>
    </xf>
    <xf numFmtId="0" fontId="24" fillId="37" borderId="27" xfId="3" applyFont="1" applyFill="1" applyBorder="1" applyAlignment="1">
      <alignment horizontal="center" vertical="top"/>
    </xf>
    <xf numFmtId="0" fontId="54" fillId="37" borderId="27" xfId="3" applyFont="1" applyFill="1" applyBorder="1" applyAlignment="1">
      <alignment vertical="top" wrapText="1"/>
    </xf>
    <xf numFmtId="0" fontId="24" fillId="38" borderId="27" xfId="3" applyFont="1" applyFill="1" applyBorder="1" applyAlignment="1">
      <alignment horizontal="center" vertical="top"/>
    </xf>
    <xf numFmtId="0" fontId="54" fillId="38" borderId="27" xfId="3" applyFont="1" applyFill="1" applyBorder="1" applyAlignment="1">
      <alignment vertical="top" wrapText="1"/>
    </xf>
    <xf numFmtId="0" fontId="24" fillId="39" borderId="27" xfId="3" applyFont="1" applyFill="1" applyBorder="1" applyAlignment="1">
      <alignment horizontal="center" vertical="top"/>
    </xf>
    <xf numFmtId="0" fontId="54" fillId="39" borderId="27" xfId="3" applyFont="1" applyFill="1" applyBorder="1" applyAlignment="1">
      <alignment vertical="top" wrapText="1"/>
    </xf>
    <xf numFmtId="0" fontId="24" fillId="40" borderId="27" xfId="3" applyFont="1" applyFill="1" applyBorder="1" applyAlignment="1">
      <alignment horizontal="center" vertical="top"/>
    </xf>
    <xf numFmtId="0" fontId="54" fillId="40" borderId="27" xfId="3" applyFont="1" applyFill="1" applyBorder="1" applyAlignment="1">
      <alignment vertical="top" wrapText="1"/>
    </xf>
    <xf numFmtId="0" fontId="102" fillId="37" borderId="27" xfId="3" applyFont="1" applyFill="1" applyBorder="1" applyAlignment="1">
      <alignment vertical="top" wrapText="1"/>
    </xf>
    <xf numFmtId="0" fontId="102" fillId="36" borderId="27" xfId="3" applyFont="1" applyFill="1" applyBorder="1" applyAlignment="1">
      <alignment vertical="top" wrapText="1"/>
    </xf>
    <xf numFmtId="0" fontId="102" fillId="38" borderId="27" xfId="3" applyFont="1" applyFill="1" applyBorder="1" applyAlignment="1">
      <alignment vertical="top" wrapText="1"/>
    </xf>
    <xf numFmtId="0" fontId="102" fillId="35" borderId="27" xfId="3" applyFont="1" applyFill="1" applyBorder="1" applyAlignment="1">
      <alignment vertical="top" wrapText="1"/>
    </xf>
    <xf numFmtId="0" fontId="102" fillId="7" borderId="27" xfId="3" applyFont="1" applyFill="1" applyBorder="1" applyAlignment="1">
      <alignment vertical="top" wrapText="1"/>
    </xf>
    <xf numFmtId="0" fontId="113" fillId="37" borderId="27" xfId="3" applyFont="1" applyFill="1" applyBorder="1" applyAlignment="1">
      <alignment vertical="top" wrapText="1"/>
    </xf>
    <xf numFmtId="0" fontId="10" fillId="38" borderId="25" xfId="0" applyFont="1" applyFill="1" applyBorder="1" applyAlignment="1">
      <alignment horizontal="center" vertical="center" wrapText="1"/>
    </xf>
    <xf numFmtId="0" fontId="102" fillId="40" borderId="27" xfId="3" applyFont="1" applyFill="1" applyBorder="1" applyAlignment="1">
      <alignment vertical="top" wrapText="1"/>
    </xf>
    <xf numFmtId="0" fontId="113" fillId="40" borderId="27" xfId="3" applyFont="1" applyFill="1" applyBorder="1" applyAlignment="1">
      <alignment vertical="top" wrapText="1"/>
    </xf>
    <xf numFmtId="0" fontId="57" fillId="35" borderId="27" xfId="3" applyFont="1" applyFill="1" applyBorder="1" applyAlignment="1">
      <alignment horizontal="center" vertical="top"/>
    </xf>
    <xf numFmtId="0" fontId="27" fillId="40" borderId="25" xfId="0" applyFont="1" applyFill="1" applyBorder="1" applyAlignment="1">
      <alignment horizontal="center" vertical="center" wrapText="1"/>
    </xf>
    <xf numFmtId="0" fontId="13" fillId="3" borderId="25" xfId="0" applyFont="1" applyFill="1" applyBorder="1" applyAlignment="1">
      <alignment horizontal="center" vertical="center" wrapText="1"/>
    </xf>
    <xf numFmtId="0" fontId="14" fillId="38" borderId="25" xfId="0" applyFont="1" applyFill="1" applyBorder="1" applyAlignment="1">
      <alignment horizontal="center" vertical="center" wrapText="1"/>
    </xf>
    <xf numFmtId="0" fontId="115" fillId="3" borderId="25" xfId="0" applyFont="1" applyFill="1" applyBorder="1" applyAlignment="1">
      <alignment horizontal="center" vertical="center" wrapText="1"/>
    </xf>
    <xf numFmtId="0" fontId="115" fillId="3" borderId="25" xfId="0" applyFont="1" applyFill="1" applyBorder="1" applyAlignment="1">
      <alignment vertical="top" wrapText="1"/>
    </xf>
    <xf numFmtId="0" fontId="115" fillId="3" borderId="25" xfId="0" applyFont="1" applyFill="1" applyBorder="1" applyAlignment="1">
      <alignment horizontal="center" vertical="top" wrapText="1"/>
    </xf>
    <xf numFmtId="3" fontId="116" fillId="3" borderId="25" xfId="0" applyNumberFormat="1" applyFont="1" applyFill="1" applyBorder="1" applyAlignment="1">
      <alignment horizontal="center" vertical="top" wrapText="1"/>
    </xf>
    <xf numFmtId="3" fontId="116" fillId="3" borderId="25" xfId="0" applyNumberFormat="1" applyFont="1" applyFill="1" applyBorder="1" applyAlignment="1">
      <alignment vertical="top" wrapText="1"/>
    </xf>
    <xf numFmtId="0" fontId="115" fillId="10" borderId="0" xfId="0" applyFont="1" applyFill="1" applyAlignment="1">
      <alignment vertical="top" wrapText="1"/>
    </xf>
    <xf numFmtId="3" fontId="116" fillId="3" borderId="25" xfId="0" applyNumberFormat="1" applyFont="1" applyFill="1" applyBorder="1" applyAlignment="1">
      <alignment horizontal="right" vertical="center" wrapText="1"/>
    </xf>
    <xf numFmtId="3" fontId="116" fillId="3" borderId="25" xfId="0" applyNumberFormat="1" applyFont="1" applyFill="1" applyBorder="1" applyAlignment="1">
      <alignment vertical="center" wrapText="1"/>
    </xf>
    <xf numFmtId="9" fontId="25" fillId="18" borderId="25" xfId="0" applyNumberFormat="1" applyFont="1" applyFill="1" applyBorder="1" applyAlignment="1">
      <alignment horizontal="center" vertical="center"/>
    </xf>
    <xf numFmtId="9" fontId="114" fillId="3" borderId="25" xfId="0" applyNumberFormat="1" applyFont="1" applyFill="1" applyBorder="1" applyAlignment="1">
      <alignment horizontal="center" vertical="center"/>
    </xf>
    <xf numFmtId="0" fontId="114" fillId="3" borderId="25" xfId="0" applyFont="1" applyFill="1" applyBorder="1" applyAlignment="1">
      <alignment horizontal="left" vertical="top" wrapText="1"/>
    </xf>
    <xf numFmtId="3" fontId="14" fillId="18" borderId="25" xfId="0" applyNumberFormat="1" applyFont="1" applyFill="1" applyBorder="1" applyAlignment="1">
      <alignment horizontal="right" vertical="center"/>
    </xf>
    <xf numFmtId="0" fontId="114" fillId="3" borderId="25" xfId="0" applyFont="1" applyFill="1" applyBorder="1" applyAlignment="1">
      <alignment horizontal="center" vertical="top" wrapText="1"/>
    </xf>
    <xf numFmtId="0" fontId="115" fillId="10" borderId="25" xfId="0" applyFont="1" applyFill="1" applyBorder="1" applyAlignment="1">
      <alignment vertical="top" wrapText="1"/>
    </xf>
    <xf numFmtId="3" fontId="14" fillId="18" borderId="25" xfId="0" applyNumberFormat="1" applyFont="1" applyFill="1" applyBorder="1" applyAlignment="1">
      <alignment horizontal="center" vertical="center"/>
    </xf>
    <xf numFmtId="3" fontId="117" fillId="18" borderId="25" xfId="0" applyNumberFormat="1" applyFont="1" applyFill="1" applyBorder="1" applyAlignment="1">
      <alignment horizontal="right" vertical="center"/>
    </xf>
    <xf numFmtId="0" fontId="25" fillId="16" borderId="25" xfId="0" applyFont="1" applyFill="1" applyBorder="1" applyAlignment="1">
      <alignment horizontal="center" vertical="center" wrapText="1"/>
    </xf>
    <xf numFmtId="0" fontId="25" fillId="16" borderId="25" xfId="0" applyFont="1" applyFill="1" applyBorder="1" applyAlignment="1">
      <alignment vertical="top" wrapText="1"/>
    </xf>
    <xf numFmtId="1" fontId="117" fillId="18" borderId="25" xfId="0" applyNumberFormat="1" applyFont="1" applyFill="1" applyBorder="1" applyAlignment="1">
      <alignment horizontal="center" vertical="center"/>
    </xf>
    <xf numFmtId="0" fontId="114" fillId="3" borderId="25" xfId="0" applyFont="1" applyFill="1" applyBorder="1" applyAlignment="1">
      <alignment vertical="top" wrapText="1"/>
    </xf>
    <xf numFmtId="0" fontId="118" fillId="10" borderId="0" xfId="0" applyFont="1" applyFill="1"/>
    <xf numFmtId="3" fontId="25" fillId="18" borderId="25" xfId="3" applyNumberFormat="1" applyFont="1" applyFill="1" applyBorder="1" applyAlignment="1">
      <alignment horizontal="center" vertical="center"/>
    </xf>
    <xf numFmtId="2" fontId="25" fillId="18" borderId="25" xfId="3" applyNumberFormat="1" applyFont="1" applyFill="1" applyBorder="1" applyAlignment="1">
      <alignment horizontal="center" vertical="center" wrapText="1"/>
    </xf>
    <xf numFmtId="0" fontId="25" fillId="16" borderId="25" xfId="3" applyFont="1" applyFill="1" applyBorder="1" applyAlignment="1">
      <alignment vertical="top" wrapText="1"/>
    </xf>
    <xf numFmtId="2" fontId="25" fillId="18" borderId="25" xfId="3" applyNumberFormat="1" applyFont="1" applyFill="1" applyBorder="1" applyAlignment="1">
      <alignment horizontal="left" vertical="top" wrapText="1"/>
    </xf>
    <xf numFmtId="0" fontId="13" fillId="0" borderId="0" xfId="0" applyFont="1"/>
    <xf numFmtId="0" fontId="13" fillId="0" borderId="25" xfId="0" applyFont="1" applyBorder="1" applyAlignment="1">
      <alignment horizontal="center" vertical="center" wrapText="1"/>
    </xf>
    <xf numFmtId="0" fontId="115" fillId="0" borderId="25" xfId="0" applyFont="1" applyBorder="1" applyAlignment="1">
      <alignment horizontal="center" vertical="center" wrapText="1"/>
    </xf>
    <xf numFmtId="0" fontId="115" fillId="0" borderId="25" xfId="0" applyFont="1" applyBorder="1" applyAlignment="1">
      <alignment vertical="top" wrapText="1"/>
    </xf>
    <xf numFmtId="0" fontId="115" fillId="0" borderId="25" xfId="0" applyFont="1" applyBorder="1" applyAlignment="1">
      <alignment horizontal="center" vertical="top" wrapText="1"/>
    </xf>
    <xf numFmtId="3" fontId="116" fillId="0" borderId="25" xfId="0" applyNumberFormat="1" applyFont="1" applyBorder="1" applyAlignment="1">
      <alignment horizontal="center" vertical="top" wrapText="1"/>
    </xf>
    <xf numFmtId="3" fontId="116" fillId="0" borderId="25" xfId="0" applyNumberFormat="1" applyFont="1" applyBorder="1" applyAlignment="1">
      <alignment vertical="top" wrapText="1"/>
    </xf>
    <xf numFmtId="3" fontId="116" fillId="10" borderId="25" xfId="0" applyNumberFormat="1" applyFont="1" applyFill="1" applyBorder="1" applyAlignment="1">
      <alignment horizontal="center" vertical="top" wrapText="1"/>
    </xf>
    <xf numFmtId="3" fontId="116" fillId="10" borderId="25" xfId="0" applyNumberFormat="1" applyFont="1" applyFill="1" applyBorder="1" applyAlignment="1">
      <alignment horizontal="right" vertical="center" wrapText="1"/>
    </xf>
    <xf numFmtId="3" fontId="116" fillId="10" borderId="25" xfId="0" applyNumberFormat="1" applyFont="1" applyFill="1" applyBorder="1" applyAlignment="1">
      <alignment vertical="center" wrapText="1"/>
    </xf>
    <xf numFmtId="3" fontId="14" fillId="10" borderId="25" xfId="0" applyNumberFormat="1" applyFont="1" applyFill="1" applyBorder="1" applyAlignment="1">
      <alignment horizontal="right" vertical="center"/>
    </xf>
    <xf numFmtId="0" fontId="114" fillId="12" borderId="25" xfId="0" applyFont="1" applyFill="1" applyBorder="1" applyAlignment="1">
      <alignment horizontal="left" vertical="top" wrapText="1"/>
    </xf>
    <xf numFmtId="0" fontId="114" fillId="12" borderId="25" xfId="0" applyFont="1" applyFill="1" applyBorder="1" applyAlignment="1">
      <alignment horizontal="center" vertical="top" wrapText="1"/>
    </xf>
    <xf numFmtId="3" fontId="14" fillId="10" borderId="25" xfId="0" applyNumberFormat="1" applyFont="1" applyFill="1" applyBorder="1" applyAlignment="1">
      <alignment horizontal="center" vertical="center"/>
    </xf>
    <xf numFmtId="3" fontId="117" fillId="13" borderId="25" xfId="0" applyNumberFormat="1" applyFont="1" applyFill="1" applyBorder="1" applyAlignment="1">
      <alignment horizontal="right" vertical="center"/>
    </xf>
    <xf numFmtId="0" fontId="25" fillId="17" borderId="25" xfId="0" applyFont="1" applyFill="1" applyBorder="1" applyAlignment="1">
      <alignment horizontal="center" vertical="center" wrapText="1"/>
    </xf>
    <xf numFmtId="0" fontId="25" fillId="17" borderId="25" xfId="0" applyFont="1" applyFill="1" applyBorder="1" applyAlignment="1">
      <alignment vertical="top" wrapText="1"/>
    </xf>
    <xf numFmtId="1" fontId="117" fillId="13" borderId="25" xfId="0" applyNumberFormat="1" applyFont="1" applyFill="1" applyBorder="1" applyAlignment="1">
      <alignment horizontal="center" vertical="center"/>
    </xf>
    <xf numFmtId="0" fontId="114" fillId="12" borderId="25" xfId="0" applyFont="1" applyFill="1" applyBorder="1" applyAlignment="1">
      <alignment vertical="top" wrapText="1"/>
    </xf>
    <xf numFmtId="3" fontId="25" fillId="13" borderId="25" xfId="3" applyNumberFormat="1" applyFont="1" applyFill="1" applyBorder="1" applyAlignment="1">
      <alignment horizontal="center" vertical="center"/>
    </xf>
    <xf numFmtId="2" fontId="25" fillId="10" borderId="25" xfId="3" applyNumberFormat="1" applyFont="1" applyFill="1" applyBorder="1" applyAlignment="1">
      <alignment horizontal="center" vertical="center" wrapText="1"/>
    </xf>
    <xf numFmtId="0" fontId="25" fillId="17" borderId="25" xfId="3" applyFont="1" applyFill="1" applyBorder="1" applyAlignment="1">
      <alignment vertical="top" wrapText="1"/>
    </xf>
    <xf numFmtId="2" fontId="25" fillId="10" borderId="25" xfId="3" applyNumberFormat="1" applyFont="1" applyFill="1" applyBorder="1" applyAlignment="1">
      <alignment horizontal="left" vertical="top" wrapText="1"/>
    </xf>
    <xf numFmtId="0" fontId="27" fillId="10" borderId="25" xfId="0" applyFont="1" applyFill="1" applyBorder="1" applyAlignment="1">
      <alignment vertical="top" wrapText="1"/>
    </xf>
    <xf numFmtId="0" fontId="114" fillId="10" borderId="25" xfId="0" applyFont="1" applyFill="1" applyBorder="1" applyAlignment="1">
      <alignment vertical="top" wrapText="1"/>
    </xf>
    <xf numFmtId="3" fontId="8" fillId="5" borderId="17" xfId="0" applyNumberFormat="1" applyFont="1" applyFill="1" applyBorder="1" applyAlignment="1">
      <alignment vertical="top" wrapText="1"/>
    </xf>
    <xf numFmtId="3" fontId="5" fillId="10" borderId="0" xfId="1" applyNumberFormat="1" applyFont="1" applyFill="1" applyAlignment="1">
      <alignment vertical="top" wrapText="1"/>
    </xf>
    <xf numFmtId="9" fontId="47" fillId="13" borderId="17" xfId="0" applyNumberFormat="1" applyFont="1" applyFill="1" applyBorder="1" applyAlignment="1">
      <alignment horizontal="center" vertical="center"/>
    </xf>
    <xf numFmtId="9" fontId="47" fillId="18" borderId="31" xfId="0" applyNumberFormat="1" applyFont="1" applyFill="1" applyBorder="1" applyAlignment="1">
      <alignment horizontal="center" vertical="center"/>
    </xf>
    <xf numFmtId="9" fontId="47" fillId="18" borderId="32" xfId="0" applyNumberFormat="1" applyFont="1" applyFill="1" applyBorder="1" applyAlignment="1">
      <alignment horizontal="center" vertical="center"/>
    </xf>
    <xf numFmtId="9" fontId="47" fillId="18" borderId="33" xfId="0" applyNumberFormat="1" applyFont="1" applyFill="1" applyBorder="1" applyAlignment="1">
      <alignment horizontal="center" vertical="center"/>
    </xf>
    <xf numFmtId="9" fontId="47" fillId="18" borderId="34" xfId="0" applyNumberFormat="1" applyFont="1" applyFill="1" applyBorder="1" applyAlignment="1">
      <alignment horizontal="center" vertical="center"/>
    </xf>
    <xf numFmtId="9" fontId="47" fillId="18" borderId="35" xfId="0" applyNumberFormat="1" applyFont="1" applyFill="1" applyBorder="1" applyAlignment="1">
      <alignment horizontal="center" vertical="center"/>
    </xf>
    <xf numFmtId="9" fontId="47" fillId="18" borderId="36" xfId="0" applyNumberFormat="1" applyFont="1" applyFill="1" applyBorder="1" applyAlignment="1">
      <alignment horizontal="center" vertical="center"/>
    </xf>
    <xf numFmtId="9" fontId="47" fillId="18" borderId="37" xfId="0" applyNumberFormat="1" applyFont="1" applyFill="1" applyBorder="1" applyAlignment="1">
      <alignment horizontal="center" vertical="center"/>
    </xf>
    <xf numFmtId="9" fontId="47" fillId="18" borderId="38" xfId="0" applyNumberFormat="1" applyFont="1" applyFill="1" applyBorder="1" applyAlignment="1">
      <alignment horizontal="center" vertical="center"/>
    </xf>
    <xf numFmtId="9" fontId="27" fillId="12" borderId="17" xfId="0" applyNumberFormat="1" applyFont="1" applyFill="1" applyBorder="1" applyAlignment="1">
      <alignment horizontal="center" vertical="center"/>
    </xf>
    <xf numFmtId="9" fontId="27" fillId="3" borderId="31" xfId="0" applyNumberFormat="1" applyFont="1" applyFill="1" applyBorder="1" applyAlignment="1">
      <alignment horizontal="center" vertical="center"/>
    </xf>
    <xf numFmtId="9" fontId="27" fillId="3" borderId="32" xfId="0" applyNumberFormat="1" applyFont="1" applyFill="1" applyBorder="1" applyAlignment="1">
      <alignment horizontal="center" vertical="center"/>
    </xf>
    <xf numFmtId="9" fontId="27" fillId="3" borderId="33" xfId="0" applyNumberFormat="1" applyFont="1" applyFill="1" applyBorder="1" applyAlignment="1">
      <alignment horizontal="center" vertical="center"/>
    </xf>
    <xf numFmtId="9" fontId="27" fillId="3" borderId="34" xfId="0" applyNumberFormat="1" applyFont="1" applyFill="1" applyBorder="1" applyAlignment="1">
      <alignment horizontal="center" vertical="center"/>
    </xf>
    <xf numFmtId="9" fontId="27" fillId="3" borderId="35" xfId="0" applyNumberFormat="1" applyFont="1" applyFill="1" applyBorder="1" applyAlignment="1">
      <alignment horizontal="center" vertical="center"/>
    </xf>
    <xf numFmtId="9" fontId="27" fillId="3" borderId="36" xfId="0" applyNumberFormat="1" applyFont="1" applyFill="1" applyBorder="1" applyAlignment="1">
      <alignment horizontal="center" vertical="center"/>
    </xf>
    <xf numFmtId="9" fontId="27" fillId="3" borderId="37" xfId="0" applyNumberFormat="1" applyFont="1" applyFill="1" applyBorder="1" applyAlignment="1">
      <alignment horizontal="center" vertical="center"/>
    </xf>
    <xf numFmtId="9" fontId="27" fillId="3" borderId="38" xfId="0" applyNumberFormat="1" applyFont="1" applyFill="1" applyBorder="1" applyAlignment="1">
      <alignment horizontal="center" vertical="center"/>
    </xf>
    <xf numFmtId="9" fontId="47" fillId="13" borderId="40" xfId="0" applyNumberFormat="1" applyFont="1" applyFill="1" applyBorder="1" applyAlignment="1">
      <alignment horizontal="center" vertical="center"/>
    </xf>
    <xf numFmtId="9" fontId="47" fillId="13" borderId="41" xfId="0" applyNumberFormat="1" applyFont="1" applyFill="1" applyBorder="1" applyAlignment="1">
      <alignment horizontal="center" vertical="center"/>
    </xf>
    <xf numFmtId="9" fontId="27" fillId="12" borderId="41" xfId="0" applyNumberFormat="1" applyFont="1" applyFill="1" applyBorder="1" applyAlignment="1">
      <alignment horizontal="center" vertical="center"/>
    </xf>
    <xf numFmtId="9" fontId="27" fillId="10" borderId="41" xfId="0" applyNumberFormat="1" applyFont="1" applyFill="1" applyBorder="1" applyAlignment="1">
      <alignment horizontal="center" vertical="center"/>
    </xf>
    <xf numFmtId="9" fontId="27" fillId="10" borderId="42" xfId="0" applyNumberFormat="1" applyFont="1" applyFill="1" applyBorder="1" applyAlignment="1">
      <alignment horizontal="center" vertical="center"/>
    </xf>
    <xf numFmtId="9" fontId="27" fillId="12" borderId="40" xfId="0" applyNumberFormat="1" applyFont="1" applyFill="1" applyBorder="1" applyAlignment="1">
      <alignment horizontal="center" vertical="center"/>
    </xf>
    <xf numFmtId="9" fontId="47" fillId="13" borderId="42" xfId="0" applyNumberFormat="1" applyFont="1" applyFill="1" applyBorder="1" applyAlignment="1">
      <alignment horizontal="center" vertical="center"/>
    </xf>
    <xf numFmtId="0" fontId="14" fillId="5" borderId="25" xfId="0" applyFont="1" applyFill="1" applyBorder="1" applyAlignment="1">
      <alignment horizontal="center" vertical="center" wrapText="1"/>
    </xf>
    <xf numFmtId="9" fontId="25" fillId="18" borderId="34" xfId="0" applyNumberFormat="1" applyFont="1" applyFill="1" applyBorder="1" applyAlignment="1">
      <alignment horizontal="center" vertical="center"/>
    </xf>
    <xf numFmtId="9" fontId="25" fillId="18" borderId="35" xfId="0" applyNumberFormat="1" applyFont="1" applyFill="1" applyBorder="1" applyAlignment="1">
      <alignment horizontal="center" vertical="center"/>
    </xf>
    <xf numFmtId="9" fontId="114" fillId="3" borderId="34" xfId="0" applyNumberFormat="1" applyFont="1" applyFill="1" applyBorder="1" applyAlignment="1">
      <alignment horizontal="center" vertical="center"/>
    </xf>
    <xf numFmtId="9" fontId="114" fillId="3" borderId="35" xfId="0" applyNumberFormat="1" applyFont="1" applyFill="1" applyBorder="1" applyAlignment="1">
      <alignment horizontal="center" vertical="center"/>
    </xf>
    <xf numFmtId="0" fontId="14" fillId="36" borderId="25" xfId="0" applyFont="1" applyFill="1" applyBorder="1" applyAlignment="1">
      <alignment horizontal="center" vertical="center" wrapText="1"/>
    </xf>
    <xf numFmtId="0" fontId="14" fillId="37" borderId="25" xfId="0" applyFont="1" applyFill="1" applyBorder="1" applyAlignment="1">
      <alignment horizontal="center" vertical="center" wrapText="1"/>
    </xf>
    <xf numFmtId="0" fontId="27" fillId="20" borderId="19" xfId="0" applyFont="1" applyFill="1" applyBorder="1" applyAlignment="1">
      <alignment horizontal="left" vertical="top" wrapText="1"/>
    </xf>
    <xf numFmtId="0" fontId="27" fillId="3" borderId="30" xfId="0" applyFont="1" applyFill="1" applyBorder="1" applyAlignment="1">
      <alignment horizontal="left" vertical="top" wrapText="1"/>
    </xf>
    <xf numFmtId="0" fontId="27" fillId="10" borderId="30" xfId="0" applyFont="1" applyFill="1" applyBorder="1" applyAlignment="1">
      <alignment horizontal="left" vertical="top" wrapText="1"/>
    </xf>
    <xf numFmtId="0" fontId="114" fillId="10" borderId="30" xfId="0" applyFont="1" applyFill="1" applyBorder="1" applyAlignment="1">
      <alignment horizontal="left" vertical="top" wrapText="1"/>
    </xf>
    <xf numFmtId="0" fontId="114" fillId="3" borderId="30" xfId="0" applyFont="1" applyFill="1" applyBorder="1" applyAlignment="1">
      <alignment horizontal="left" vertical="top" wrapText="1"/>
    </xf>
    <xf numFmtId="0" fontId="27" fillId="20" borderId="17" xfId="0" applyFont="1" applyFill="1" applyBorder="1" applyAlignment="1">
      <alignment horizontal="left" vertical="center" wrapText="1"/>
    </xf>
    <xf numFmtId="0" fontId="27" fillId="18" borderId="25" xfId="0" applyFont="1" applyFill="1" applyBorder="1" applyAlignment="1">
      <alignment horizontal="left" vertical="top" wrapText="1"/>
    </xf>
    <xf numFmtId="0" fontId="114" fillId="18" borderId="25" xfId="0" applyFont="1" applyFill="1" applyBorder="1" applyAlignment="1">
      <alignment horizontal="left" vertical="top" wrapText="1"/>
    </xf>
    <xf numFmtId="0" fontId="27" fillId="37" borderId="25" xfId="0" applyFont="1" applyFill="1" applyBorder="1" applyAlignment="1">
      <alignment horizontal="center" vertical="top" wrapText="1"/>
    </xf>
    <xf numFmtId="2" fontId="47" fillId="18" borderId="25" xfId="3" applyNumberFormat="1" applyFont="1" applyFill="1" applyBorder="1" applyAlignment="1">
      <alignment horizontal="center" vertical="top" wrapText="1"/>
    </xf>
    <xf numFmtId="2" fontId="47" fillId="20" borderId="17" xfId="3" applyNumberFormat="1" applyFont="1" applyFill="1" applyBorder="1" applyAlignment="1">
      <alignment horizontal="center" vertical="top" wrapText="1"/>
    </xf>
    <xf numFmtId="2" fontId="47" fillId="10" borderId="13" xfId="3" applyNumberFormat="1" applyFont="1" applyFill="1" applyBorder="1" applyAlignment="1">
      <alignment horizontal="center" vertical="top" wrapText="1"/>
    </xf>
    <xf numFmtId="2" fontId="47" fillId="10" borderId="25" xfId="3" applyNumberFormat="1" applyFont="1" applyFill="1" applyBorder="1" applyAlignment="1">
      <alignment horizontal="center" vertical="top" wrapText="1"/>
    </xf>
    <xf numFmtId="2" fontId="25" fillId="10" borderId="25" xfId="3" applyNumberFormat="1" applyFont="1" applyFill="1" applyBorder="1" applyAlignment="1">
      <alignment horizontal="center" vertical="top" wrapText="1"/>
    </xf>
    <xf numFmtId="2" fontId="25" fillId="18" borderId="25" xfId="3" applyNumberFormat="1" applyFont="1" applyFill="1" applyBorder="1" applyAlignment="1">
      <alignment horizontal="center" vertical="top" wrapText="1"/>
    </xf>
    <xf numFmtId="0" fontId="0" fillId="10" borderId="25" xfId="0" applyFill="1" applyBorder="1" applyAlignment="1">
      <alignment horizontal="center" vertical="center" wrapText="1"/>
    </xf>
    <xf numFmtId="0" fontId="10" fillId="10" borderId="25" xfId="0" applyFont="1" applyFill="1" applyBorder="1" applyAlignment="1">
      <alignment horizontal="center" vertical="center" wrapText="1"/>
    </xf>
    <xf numFmtId="0" fontId="9" fillId="10" borderId="25" xfId="0" applyFont="1" applyFill="1" applyBorder="1" applyAlignment="1">
      <alignment horizontal="center" vertical="center" wrapText="1"/>
    </xf>
    <xf numFmtId="0" fontId="9" fillId="10" borderId="25" xfId="0" applyFont="1" applyFill="1" applyBorder="1" applyAlignment="1">
      <alignment horizontal="center" vertical="top" wrapText="1"/>
    </xf>
    <xf numFmtId="1" fontId="2" fillId="12" borderId="25" xfId="0" applyNumberFormat="1" applyFont="1" applyFill="1" applyBorder="1" applyAlignment="1">
      <alignment horizontal="center" vertical="center"/>
    </xf>
    <xf numFmtId="3" fontId="6" fillId="10" borderId="25" xfId="0" applyNumberFormat="1" applyFont="1" applyFill="1" applyBorder="1" applyAlignment="1">
      <alignment vertical="top" wrapText="1"/>
    </xf>
    <xf numFmtId="0" fontId="0" fillId="12" borderId="25" xfId="0" applyFill="1" applyBorder="1" applyAlignment="1">
      <alignment horizontal="center" vertical="center" wrapText="1"/>
    </xf>
    <xf numFmtId="0" fontId="10" fillId="12" borderId="25" xfId="0" applyFont="1" applyFill="1" applyBorder="1" applyAlignment="1">
      <alignment horizontal="center" vertical="center" wrapText="1"/>
    </xf>
    <xf numFmtId="0" fontId="9" fillId="12" borderId="25" xfId="0" applyFont="1" applyFill="1" applyBorder="1" applyAlignment="1">
      <alignment horizontal="center" vertical="center" wrapText="1"/>
    </xf>
    <xf numFmtId="0" fontId="9" fillId="12" borderId="25" xfId="0" applyFont="1" applyFill="1" applyBorder="1" applyAlignment="1">
      <alignment vertical="top" wrapText="1"/>
    </xf>
    <xf numFmtId="0" fontId="9" fillId="12" borderId="25" xfId="0" applyFont="1" applyFill="1" applyBorder="1" applyAlignment="1">
      <alignment horizontal="center" vertical="top" wrapText="1"/>
    </xf>
    <xf numFmtId="3" fontId="6" fillId="12" borderId="25" xfId="0" applyNumberFormat="1" applyFont="1" applyFill="1" applyBorder="1" applyAlignment="1">
      <alignment horizontal="center" vertical="top" wrapText="1"/>
    </xf>
    <xf numFmtId="3" fontId="6" fillId="12" borderId="25" xfId="0" applyNumberFormat="1" applyFont="1" applyFill="1" applyBorder="1" applyAlignment="1">
      <alignment vertical="top" wrapText="1"/>
    </xf>
    <xf numFmtId="0" fontId="9" fillId="12" borderId="25" xfId="0" applyFont="1" applyFill="1" applyBorder="1" applyAlignment="1">
      <alignment vertical="center" wrapText="1"/>
    </xf>
    <xf numFmtId="0" fontId="27" fillId="12" borderId="25" xfId="0" applyFont="1" applyFill="1" applyBorder="1" applyAlignment="1">
      <alignment vertical="center" wrapText="1"/>
    </xf>
    <xf numFmtId="3" fontId="6" fillId="12" borderId="25" xfId="0" applyNumberFormat="1" applyFont="1" applyFill="1" applyBorder="1" applyAlignment="1">
      <alignment horizontal="right" vertical="center" wrapText="1"/>
    </xf>
    <xf numFmtId="3" fontId="6" fillId="12" borderId="25" xfId="0" applyNumberFormat="1" applyFont="1" applyFill="1" applyBorder="1" applyAlignment="1">
      <alignment vertical="center" wrapText="1"/>
    </xf>
    <xf numFmtId="3" fontId="10" fillId="13" borderId="25" xfId="0" applyNumberFormat="1" applyFont="1" applyFill="1" applyBorder="1" applyAlignment="1">
      <alignment horizontal="right" vertical="center"/>
    </xf>
    <xf numFmtId="0" fontId="27" fillId="13" borderId="25" xfId="0" applyFont="1" applyFill="1" applyBorder="1" applyAlignment="1">
      <alignment horizontal="center" vertical="top" wrapText="1"/>
    </xf>
    <xf numFmtId="3" fontId="10" fillId="13" borderId="25" xfId="0" applyNumberFormat="1" applyFont="1" applyFill="1" applyBorder="1" applyAlignment="1">
      <alignment horizontal="center" vertical="center"/>
    </xf>
    <xf numFmtId="2" fontId="47" fillId="13" borderId="25" xfId="3" applyNumberFormat="1" applyFont="1" applyFill="1" applyBorder="1" applyAlignment="1">
      <alignment horizontal="center" vertical="center" wrapText="1"/>
    </xf>
    <xf numFmtId="2" fontId="47" fillId="13" borderId="25" xfId="3" applyNumberFormat="1" applyFont="1" applyFill="1" applyBorder="1" applyAlignment="1">
      <alignment horizontal="left" vertical="top" wrapText="1"/>
    </xf>
    <xf numFmtId="0" fontId="27" fillId="0" borderId="25" xfId="0" applyFont="1" applyBorder="1" applyAlignment="1">
      <alignment vertical="top" wrapText="1"/>
    </xf>
    <xf numFmtId="0" fontId="9" fillId="3" borderId="25" xfId="0" applyFont="1" applyFill="1" applyBorder="1" applyAlignment="1">
      <alignment horizontal="left" vertical="top" wrapText="1"/>
    </xf>
    <xf numFmtId="0" fontId="9" fillId="10" borderId="25" xfId="0" applyFont="1" applyFill="1" applyBorder="1" applyAlignment="1">
      <alignment horizontal="left" vertical="top" wrapText="1"/>
    </xf>
    <xf numFmtId="0" fontId="71" fillId="14" borderId="8" xfId="0" applyFont="1" applyFill="1" applyBorder="1" applyAlignment="1">
      <alignment horizontal="center" vertical="center" textRotation="90" wrapText="1"/>
    </xf>
    <xf numFmtId="0" fontId="0" fillId="10" borderId="47" xfId="0" applyFill="1" applyBorder="1" applyAlignment="1">
      <alignment horizontal="center" vertical="center" wrapText="1"/>
    </xf>
    <xf numFmtId="0" fontId="10" fillId="10" borderId="47" xfId="0" applyFont="1" applyFill="1" applyBorder="1" applyAlignment="1">
      <alignment horizontal="center" vertical="center" wrapText="1"/>
    </xf>
    <xf numFmtId="0" fontId="9" fillId="10" borderId="47" xfId="0" applyFont="1" applyFill="1" applyBorder="1" applyAlignment="1">
      <alignment horizontal="center" vertical="center" wrapText="1"/>
    </xf>
    <xf numFmtId="0" fontId="9" fillId="10" borderId="47" xfId="0" applyFont="1" applyFill="1" applyBorder="1" applyAlignment="1">
      <alignment vertical="top" wrapText="1"/>
    </xf>
    <xf numFmtId="0" fontId="9" fillId="10" borderId="47" xfId="0" applyFont="1" applyFill="1" applyBorder="1" applyAlignment="1">
      <alignment horizontal="center" vertical="top" wrapText="1"/>
    </xf>
    <xf numFmtId="1" fontId="2" fillId="12" borderId="47" xfId="0" applyNumberFormat="1" applyFont="1" applyFill="1" applyBorder="1" applyAlignment="1">
      <alignment horizontal="center" vertical="center"/>
    </xf>
    <xf numFmtId="3" fontId="6" fillId="10" borderId="47" xfId="0" applyNumberFormat="1" applyFont="1" applyFill="1" applyBorder="1" applyAlignment="1">
      <alignment horizontal="center" vertical="top" wrapText="1"/>
    </xf>
    <xf numFmtId="3" fontId="6" fillId="10" borderId="47" xfId="0" applyNumberFormat="1" applyFont="1" applyFill="1" applyBorder="1" applyAlignment="1">
      <alignment vertical="top" wrapText="1"/>
    </xf>
    <xf numFmtId="0" fontId="9" fillId="10" borderId="0" xfId="0" applyFont="1" applyFill="1" applyAlignment="1">
      <alignment vertical="top" wrapText="1"/>
    </xf>
    <xf numFmtId="0" fontId="9" fillId="10" borderId="47" xfId="0" applyFont="1" applyFill="1" applyBorder="1" applyAlignment="1">
      <alignment vertical="center" wrapText="1"/>
    </xf>
    <xf numFmtId="0" fontId="27" fillId="10" borderId="47" xfId="0" applyFont="1" applyFill="1" applyBorder="1" applyAlignment="1">
      <alignment vertical="center" wrapText="1"/>
    </xf>
    <xf numFmtId="3" fontId="6" fillId="10" borderId="47" xfId="0" applyNumberFormat="1" applyFont="1" applyFill="1" applyBorder="1" applyAlignment="1">
      <alignment horizontal="right" vertical="center" wrapText="1"/>
    </xf>
    <xf numFmtId="3" fontId="6" fillId="10" borderId="47" xfId="0" applyNumberFormat="1" applyFont="1" applyFill="1" applyBorder="1" applyAlignment="1">
      <alignment vertical="center" wrapText="1"/>
    </xf>
    <xf numFmtId="9" fontId="47" fillId="13" borderId="47" xfId="0" applyNumberFormat="1" applyFont="1" applyFill="1" applyBorder="1" applyAlignment="1">
      <alignment horizontal="center" vertical="center"/>
    </xf>
    <xf numFmtId="9" fontId="27" fillId="12" borderId="47" xfId="0" applyNumberFormat="1" applyFont="1" applyFill="1" applyBorder="1" applyAlignment="1">
      <alignment horizontal="center" vertical="center"/>
    </xf>
    <xf numFmtId="9" fontId="27" fillId="10" borderId="47" xfId="0" applyNumberFormat="1" applyFont="1" applyFill="1" applyBorder="1" applyAlignment="1">
      <alignment horizontal="center" vertical="center"/>
    </xf>
    <xf numFmtId="1" fontId="47" fillId="13" borderId="47" xfId="0" applyNumberFormat="1" applyFont="1" applyFill="1" applyBorder="1" applyAlignment="1">
      <alignment horizontal="center" vertical="center"/>
    </xf>
    <xf numFmtId="0" fontId="27" fillId="10" borderId="47" xfId="0" applyFont="1" applyFill="1" applyBorder="1" applyAlignment="1">
      <alignment horizontal="left" vertical="top" wrapText="1"/>
    </xf>
    <xf numFmtId="3" fontId="10" fillId="10" borderId="47" xfId="0" applyNumberFormat="1" applyFont="1" applyFill="1" applyBorder="1" applyAlignment="1">
      <alignment horizontal="right" vertical="center"/>
    </xf>
    <xf numFmtId="0" fontId="27" fillId="12" borderId="47" xfId="0" applyFont="1" applyFill="1" applyBorder="1" applyAlignment="1">
      <alignment horizontal="left" vertical="top" wrapText="1"/>
    </xf>
    <xf numFmtId="0" fontId="27" fillId="12" borderId="47" xfId="0" applyFont="1" applyFill="1" applyBorder="1" applyAlignment="1">
      <alignment horizontal="center" vertical="top" wrapText="1"/>
    </xf>
    <xf numFmtId="3" fontId="10" fillId="10" borderId="47" xfId="0" applyNumberFormat="1" applyFont="1" applyFill="1" applyBorder="1" applyAlignment="1">
      <alignment horizontal="center" vertical="center"/>
    </xf>
    <xf numFmtId="3" fontId="67" fillId="13" borderId="47" xfId="0" applyNumberFormat="1" applyFont="1" applyFill="1" applyBorder="1" applyAlignment="1">
      <alignment horizontal="right" vertical="center"/>
    </xf>
    <xf numFmtId="0" fontId="47" fillId="17" borderId="47" xfId="0" applyFont="1" applyFill="1" applyBorder="1" applyAlignment="1">
      <alignment horizontal="center" vertical="center" wrapText="1"/>
    </xf>
    <xf numFmtId="0" fontId="47" fillId="17" borderId="47" xfId="0" applyFont="1" applyFill="1" applyBorder="1" applyAlignment="1">
      <alignment vertical="top" wrapText="1"/>
    </xf>
    <xf numFmtId="1" fontId="24" fillId="13" borderId="47" xfId="0" applyNumberFormat="1" applyFont="1" applyFill="1" applyBorder="1" applyAlignment="1">
      <alignment horizontal="center" vertical="center"/>
    </xf>
    <xf numFmtId="0" fontId="27" fillId="12" borderId="47" xfId="0" applyFont="1" applyFill="1" applyBorder="1" applyAlignment="1">
      <alignment vertical="top" wrapText="1"/>
    </xf>
    <xf numFmtId="0" fontId="92" fillId="10" borderId="0" xfId="0" applyFont="1" applyFill="1"/>
    <xf numFmtId="3" fontId="47" fillId="13" borderId="47" xfId="3" applyNumberFormat="1" applyFont="1" applyFill="1" applyBorder="1" applyAlignment="1">
      <alignment horizontal="center" vertical="center"/>
    </xf>
    <xf numFmtId="2" fontId="47" fillId="10" borderId="47" xfId="3" applyNumberFormat="1" applyFont="1" applyFill="1" applyBorder="1" applyAlignment="1">
      <alignment horizontal="center" vertical="center" wrapText="1"/>
    </xf>
    <xf numFmtId="0" fontId="47" fillId="17" borderId="47" xfId="3" applyFont="1" applyFill="1" applyBorder="1" applyAlignment="1">
      <alignment vertical="top" wrapText="1"/>
    </xf>
    <xf numFmtId="2" fontId="47" fillId="10" borderId="47" xfId="3" applyNumberFormat="1" applyFont="1" applyFill="1" applyBorder="1" applyAlignment="1">
      <alignment horizontal="left" vertical="top" wrapText="1"/>
    </xf>
    <xf numFmtId="0" fontId="27" fillId="10" borderId="0" xfId="0" applyFont="1" applyFill="1" applyAlignment="1">
      <alignment horizontal="left" vertical="top" wrapText="1"/>
    </xf>
    <xf numFmtId="2" fontId="47" fillId="10" borderId="0" xfId="3" applyNumberFormat="1" applyFont="1" applyFill="1" applyAlignment="1">
      <alignment horizontal="center" vertical="center" wrapText="1"/>
    </xf>
    <xf numFmtId="0" fontId="22" fillId="10" borderId="0" xfId="0" applyFont="1" applyFill="1" applyAlignment="1">
      <alignment vertical="top" wrapText="1"/>
    </xf>
    <xf numFmtId="0" fontId="94" fillId="10" borderId="0" xfId="0" applyFont="1" applyFill="1"/>
    <xf numFmtId="0" fontId="20" fillId="10" borderId="0" xfId="0" applyFont="1" applyFill="1"/>
    <xf numFmtId="0" fontId="0" fillId="12" borderId="0" xfId="0" applyFill="1"/>
    <xf numFmtId="0" fontId="0" fillId="13" borderId="0" xfId="0" applyFill="1"/>
    <xf numFmtId="0" fontId="49" fillId="13" borderId="0" xfId="3" applyFill="1"/>
    <xf numFmtId="0" fontId="49" fillId="10" borderId="0" xfId="3" applyFill="1"/>
    <xf numFmtId="0" fontId="0" fillId="10" borderId="0" xfId="0" applyFill="1" applyAlignment="1">
      <alignment horizontal="center" vertical="center"/>
    </xf>
    <xf numFmtId="0" fontId="10" fillId="10" borderId="0" xfId="0" applyFont="1" applyFill="1" applyAlignment="1">
      <alignment horizontal="center" vertical="center"/>
    </xf>
    <xf numFmtId="0" fontId="9" fillId="10" borderId="0" xfId="0" applyFont="1" applyFill="1" applyAlignment="1">
      <alignment horizontal="center" vertical="center"/>
    </xf>
    <xf numFmtId="0" fontId="6" fillId="10" borderId="0" xfId="0" applyFont="1" applyFill="1" applyAlignment="1">
      <alignment horizontal="center" vertical="center"/>
    </xf>
    <xf numFmtId="0" fontId="9" fillId="0" borderId="0" xfId="0" applyFont="1" applyAlignment="1">
      <alignment horizontal="center"/>
    </xf>
    <xf numFmtId="0" fontId="121" fillId="0" borderId="0" xfId="6" applyFont="1"/>
    <xf numFmtId="0" fontId="0" fillId="0" borderId="48" xfId="0" applyBorder="1" applyAlignment="1">
      <alignment horizontal="center"/>
    </xf>
    <xf numFmtId="0" fontId="122" fillId="0" borderId="0" xfId="0" applyFont="1"/>
    <xf numFmtId="0" fontId="9" fillId="0" borderId="0" xfId="0" applyFont="1" applyAlignment="1">
      <alignment horizontal="right"/>
    </xf>
    <xf numFmtId="0" fontId="0" fillId="41" borderId="0" xfId="0" applyFill="1"/>
    <xf numFmtId="0" fontId="0" fillId="0" borderId="0" xfId="0" applyAlignment="1">
      <alignment wrapText="1"/>
    </xf>
    <xf numFmtId="0" fontId="125" fillId="0" borderId="0" xfId="0" applyFont="1" applyAlignment="1">
      <alignment horizontal="left" vertical="center" indent="2"/>
    </xf>
    <xf numFmtId="0" fontId="0" fillId="0" borderId="0" xfId="0" applyAlignment="1">
      <alignment horizontal="left" vertical="center" indent="2"/>
    </xf>
    <xf numFmtId="0" fontId="126" fillId="10" borderId="0" xfId="0" applyFont="1" applyFill="1"/>
    <xf numFmtId="0" fontId="17" fillId="0" borderId="0" xfId="0" applyFont="1" applyAlignment="1">
      <alignment horizontal="left" vertical="center" indent="2"/>
    </xf>
    <xf numFmtId="10" fontId="8" fillId="10" borderId="26" xfId="1" applyNumberFormat="1" applyFont="1" applyFill="1" applyBorder="1" applyAlignment="1">
      <alignment horizontal="center" vertical="center" wrapText="1"/>
    </xf>
    <xf numFmtId="9" fontId="47" fillId="18" borderId="30" xfId="0" applyNumberFormat="1" applyFont="1" applyFill="1" applyBorder="1" applyAlignment="1">
      <alignment horizontal="center" vertical="center"/>
    </xf>
    <xf numFmtId="9" fontId="47" fillId="13" borderId="30" xfId="0" applyNumberFormat="1" applyFont="1" applyFill="1" applyBorder="1" applyAlignment="1">
      <alignment horizontal="center" vertical="center"/>
    </xf>
    <xf numFmtId="9" fontId="33" fillId="13" borderId="30" xfId="0" applyNumberFormat="1" applyFont="1" applyFill="1" applyBorder="1" applyAlignment="1">
      <alignment horizontal="center" vertical="center"/>
    </xf>
    <xf numFmtId="9" fontId="33" fillId="18" borderId="30" xfId="0" applyNumberFormat="1" applyFont="1" applyFill="1" applyBorder="1" applyAlignment="1">
      <alignment horizontal="center" vertical="center"/>
    </xf>
    <xf numFmtId="9" fontId="47" fillId="13" borderId="35" xfId="0" applyNumberFormat="1" applyFont="1" applyFill="1" applyBorder="1" applyAlignment="1">
      <alignment horizontal="center" vertical="center"/>
    </xf>
    <xf numFmtId="9" fontId="33" fillId="13" borderId="35" xfId="0" applyNumberFormat="1" applyFont="1" applyFill="1" applyBorder="1" applyAlignment="1">
      <alignment horizontal="center" vertical="center"/>
    </xf>
    <xf numFmtId="9" fontId="33" fillId="18" borderId="35" xfId="0" applyNumberFormat="1" applyFont="1" applyFill="1" applyBorder="1" applyAlignment="1">
      <alignment horizontal="center" vertical="center"/>
    </xf>
    <xf numFmtId="9" fontId="27" fillId="3" borderId="30" xfId="0" applyNumberFormat="1" applyFont="1" applyFill="1" applyBorder="1" applyAlignment="1">
      <alignment horizontal="center" vertical="center"/>
    </xf>
    <xf numFmtId="9" fontId="27" fillId="12" borderId="30" xfId="0" applyNumberFormat="1" applyFont="1" applyFill="1" applyBorder="1" applyAlignment="1">
      <alignment horizontal="center" vertical="center"/>
    </xf>
    <xf numFmtId="9" fontId="62" fillId="12" borderId="30" xfId="0" applyNumberFormat="1" applyFont="1" applyFill="1" applyBorder="1" applyAlignment="1">
      <alignment horizontal="center" vertical="center"/>
    </xf>
    <xf numFmtId="9" fontId="62" fillId="3" borderId="30" xfId="0" applyNumberFormat="1" applyFont="1" applyFill="1" applyBorder="1" applyAlignment="1">
      <alignment horizontal="center" vertical="center"/>
    </xf>
    <xf numFmtId="9" fontId="27" fillId="12" borderId="35" xfId="0" applyNumberFormat="1" applyFont="1" applyFill="1" applyBorder="1" applyAlignment="1">
      <alignment horizontal="center" vertical="center"/>
    </xf>
    <xf numFmtId="9" fontId="27" fillId="10" borderId="35" xfId="0" applyNumberFormat="1" applyFont="1" applyFill="1" applyBorder="1" applyAlignment="1">
      <alignment horizontal="center" vertical="center"/>
    </xf>
    <xf numFmtId="9" fontId="27" fillId="19" borderId="30" xfId="0" applyNumberFormat="1" applyFont="1" applyFill="1" applyBorder="1" applyAlignment="1">
      <alignment horizontal="center" vertical="center"/>
    </xf>
    <xf numFmtId="9" fontId="27" fillId="10" borderId="30" xfId="0" applyNumberFormat="1" applyFont="1" applyFill="1" applyBorder="1" applyAlignment="1">
      <alignment horizontal="center" vertical="center"/>
    </xf>
    <xf numFmtId="9" fontId="62" fillId="10" borderId="30" xfId="0" applyNumberFormat="1" applyFont="1" applyFill="1" applyBorder="1" applyAlignment="1">
      <alignment horizontal="center" vertical="center"/>
    </xf>
    <xf numFmtId="9" fontId="62" fillId="19" borderId="30" xfId="0" applyNumberFormat="1" applyFont="1" applyFill="1" applyBorder="1" applyAlignment="1">
      <alignment horizontal="center" vertical="center"/>
    </xf>
    <xf numFmtId="9" fontId="27" fillId="19" borderId="35" xfId="0" applyNumberFormat="1" applyFont="1" applyFill="1" applyBorder="1" applyAlignment="1">
      <alignment horizontal="center" vertical="center"/>
    </xf>
    <xf numFmtId="9" fontId="62" fillId="10" borderId="35" xfId="0" applyNumberFormat="1" applyFont="1" applyFill="1" applyBorder="1" applyAlignment="1">
      <alignment horizontal="center" vertical="center"/>
    </xf>
    <xf numFmtId="9" fontId="62" fillId="19" borderId="35" xfId="0" applyNumberFormat="1" applyFont="1" applyFill="1" applyBorder="1" applyAlignment="1">
      <alignment horizontal="center" vertical="center"/>
    </xf>
    <xf numFmtId="9" fontId="62" fillId="12" borderId="35" xfId="0" applyNumberFormat="1" applyFont="1" applyFill="1" applyBorder="1" applyAlignment="1">
      <alignment horizontal="center" vertical="center"/>
    </xf>
    <xf numFmtId="9" fontId="62" fillId="3" borderId="35" xfId="0" applyNumberFormat="1" applyFont="1" applyFill="1" applyBorder="1" applyAlignment="1">
      <alignment horizontal="center" vertical="center"/>
    </xf>
    <xf numFmtId="164" fontId="47" fillId="18" borderId="25" xfId="0" applyNumberFormat="1" applyFont="1" applyFill="1" applyBorder="1" applyAlignment="1">
      <alignment horizontal="center" vertical="center"/>
    </xf>
    <xf numFmtId="164" fontId="47" fillId="18" borderId="25" xfId="0" applyNumberFormat="1" applyFont="1" applyFill="1" applyBorder="1" applyAlignment="1">
      <alignment horizontal="center" vertical="center" wrapText="1"/>
    </xf>
    <xf numFmtId="164" fontId="47" fillId="18" borderId="25" xfId="3" applyNumberFormat="1" applyFont="1" applyFill="1" applyBorder="1" applyAlignment="1">
      <alignment horizontal="center" vertical="center" wrapText="1"/>
    </xf>
    <xf numFmtId="164" fontId="47" fillId="13" borderId="25" xfId="0" applyNumberFormat="1" applyFont="1" applyFill="1" applyBorder="1" applyAlignment="1">
      <alignment horizontal="center" vertical="center"/>
    </xf>
    <xf numFmtId="164" fontId="47" fillId="17" borderId="25" xfId="0" applyNumberFormat="1" applyFont="1" applyFill="1" applyBorder="1" applyAlignment="1">
      <alignment horizontal="center" vertical="center" wrapText="1"/>
    </xf>
    <xf numFmtId="164" fontId="47" fillId="13" borderId="25" xfId="3" applyNumberFormat="1" applyFont="1" applyFill="1" applyBorder="1" applyAlignment="1">
      <alignment horizontal="center" vertical="center" wrapText="1"/>
    </xf>
    <xf numFmtId="164" fontId="33" fillId="13" borderId="25" xfId="0" applyNumberFormat="1" applyFont="1" applyFill="1" applyBorder="1" applyAlignment="1">
      <alignment horizontal="center" vertical="center"/>
    </xf>
    <xf numFmtId="164" fontId="33" fillId="17" borderId="25" xfId="0" applyNumberFormat="1" applyFont="1" applyFill="1" applyBorder="1" applyAlignment="1">
      <alignment horizontal="center" vertical="center" wrapText="1"/>
    </xf>
    <xf numFmtId="164" fontId="33" fillId="13" borderId="25" xfId="3" applyNumberFormat="1" applyFont="1" applyFill="1" applyBorder="1" applyAlignment="1">
      <alignment horizontal="center" vertical="center" wrapText="1"/>
    </xf>
    <xf numFmtId="164" fontId="33" fillId="18" borderId="25" xfId="0" applyNumberFormat="1" applyFont="1" applyFill="1" applyBorder="1" applyAlignment="1">
      <alignment horizontal="center" vertical="center"/>
    </xf>
    <xf numFmtId="164" fontId="33" fillId="18" borderId="25" xfId="0" applyNumberFormat="1" applyFont="1" applyFill="1" applyBorder="1" applyAlignment="1">
      <alignment horizontal="center" vertical="center" wrapText="1"/>
    </xf>
    <xf numFmtId="164" fontId="33" fillId="18" borderId="25" xfId="3" applyNumberFormat="1" applyFont="1" applyFill="1" applyBorder="1" applyAlignment="1">
      <alignment horizontal="center" vertical="center" wrapText="1"/>
    </xf>
    <xf numFmtId="164" fontId="25" fillId="13" borderId="25" xfId="0" applyNumberFormat="1" applyFont="1" applyFill="1" applyBorder="1" applyAlignment="1">
      <alignment horizontal="center" vertical="center"/>
    </xf>
    <xf numFmtId="164" fontId="25" fillId="17" borderId="25" xfId="0" applyNumberFormat="1" applyFont="1" applyFill="1" applyBorder="1" applyAlignment="1">
      <alignment horizontal="center" vertical="center" wrapText="1"/>
    </xf>
    <xf numFmtId="164" fontId="25" fillId="13" borderId="25" xfId="3" applyNumberFormat="1" applyFont="1" applyFill="1" applyBorder="1" applyAlignment="1">
      <alignment horizontal="center" vertical="center" wrapText="1"/>
    </xf>
    <xf numFmtId="164" fontId="100" fillId="13" borderId="26" xfId="3" applyNumberFormat="1" applyFont="1" applyFill="1" applyBorder="1" applyAlignment="1">
      <alignment horizontal="right" vertical="center"/>
    </xf>
    <xf numFmtId="164" fontId="66" fillId="15" borderId="17" xfId="0" applyNumberFormat="1" applyFont="1" applyFill="1" applyBorder="1" applyAlignment="1">
      <alignment horizontal="center" vertical="center" wrapText="1"/>
    </xf>
    <xf numFmtId="164" fontId="76" fillId="15" borderId="18" xfId="0" applyNumberFormat="1" applyFont="1" applyFill="1" applyBorder="1" applyAlignment="1">
      <alignment horizontal="center" vertical="center" wrapText="1"/>
    </xf>
    <xf numFmtId="164" fontId="76" fillId="15" borderId="19" xfId="0" applyNumberFormat="1" applyFont="1" applyFill="1" applyBorder="1" applyAlignment="1">
      <alignment horizontal="center" vertical="center" wrapText="1"/>
    </xf>
    <xf numFmtId="164" fontId="47" fillId="13" borderId="20" xfId="3" applyNumberFormat="1" applyFont="1" applyFill="1" applyBorder="1" applyAlignment="1">
      <alignment horizontal="center" vertical="center" wrapText="1"/>
    </xf>
    <xf numFmtId="164" fontId="47" fillId="13" borderId="18" xfId="3" applyNumberFormat="1" applyFont="1" applyFill="1" applyBorder="1" applyAlignment="1">
      <alignment horizontal="center" vertical="center" wrapText="1"/>
    </xf>
    <xf numFmtId="164" fontId="47" fillId="13" borderId="23" xfId="3" applyNumberFormat="1" applyFont="1" applyFill="1" applyBorder="1" applyAlignment="1">
      <alignment horizontal="center" vertical="center" wrapText="1"/>
    </xf>
    <xf numFmtId="164" fontId="67" fillId="13" borderId="18" xfId="3" applyNumberFormat="1" applyFont="1" applyFill="1" applyBorder="1" applyAlignment="1">
      <alignment horizontal="center" vertical="center" wrapText="1"/>
    </xf>
    <xf numFmtId="164" fontId="67" fillId="13" borderId="24" xfId="3" applyNumberFormat="1" applyFont="1" applyFill="1" applyBorder="1" applyAlignment="1">
      <alignment horizontal="center" vertical="center" wrapText="1"/>
    </xf>
    <xf numFmtId="164" fontId="67" fillId="13" borderId="23" xfId="3" applyNumberFormat="1" applyFont="1" applyFill="1" applyBorder="1" applyAlignment="1">
      <alignment horizontal="center" vertical="center" wrapText="1"/>
    </xf>
    <xf numFmtId="164" fontId="67" fillId="13" borderId="19" xfId="3" applyNumberFormat="1" applyFont="1" applyFill="1" applyBorder="1" applyAlignment="1">
      <alignment horizontal="center" vertical="center" wrapText="1"/>
    </xf>
    <xf numFmtId="164" fontId="81" fillId="10" borderId="0" xfId="1" applyNumberFormat="1" applyFont="1" applyFill="1" applyAlignment="1">
      <alignment horizontal="center" vertical="center"/>
    </xf>
    <xf numFmtId="164" fontId="100" fillId="13" borderId="22" xfId="3" applyNumberFormat="1" applyFont="1" applyFill="1" applyBorder="1" applyAlignment="1">
      <alignment horizontal="center" vertical="center"/>
    </xf>
    <xf numFmtId="164" fontId="54" fillId="13" borderId="0" xfId="1" applyNumberFormat="1" applyFont="1" applyFill="1"/>
    <xf numFmtId="164" fontId="100" fillId="13" borderId="22" xfId="3" applyNumberFormat="1" applyFont="1" applyFill="1" applyBorder="1" applyAlignment="1">
      <alignment horizontal="right" vertical="center"/>
    </xf>
    <xf numFmtId="164" fontId="83" fillId="10" borderId="0" xfId="1" applyNumberFormat="1" applyFont="1" applyFill="1" applyAlignment="1">
      <alignment horizontal="center" vertical="center"/>
    </xf>
    <xf numFmtId="164" fontId="84" fillId="10" borderId="0" xfId="1" applyNumberFormat="1" applyFont="1" applyFill="1" applyAlignment="1">
      <alignment horizontal="center" vertical="center"/>
    </xf>
    <xf numFmtId="164" fontId="84" fillId="10" borderId="16" xfId="1" applyNumberFormat="1" applyFont="1" applyFill="1" applyBorder="1" applyAlignment="1">
      <alignment horizontal="center" vertical="center"/>
    </xf>
    <xf numFmtId="164" fontId="54" fillId="13" borderId="0" xfId="1" applyNumberFormat="1" applyFont="1" applyFill="1" applyAlignment="1">
      <alignment vertical="center"/>
    </xf>
    <xf numFmtId="164" fontId="95" fillId="10" borderId="0" xfId="1" applyNumberFormat="1" applyFont="1" applyFill="1" applyAlignment="1">
      <alignment horizontal="center"/>
    </xf>
    <xf numFmtId="164" fontId="83" fillId="10" borderId="0" xfId="1" applyNumberFormat="1" applyFont="1" applyFill="1" applyAlignment="1">
      <alignment horizontal="center"/>
    </xf>
    <xf numFmtId="164" fontId="96" fillId="10" borderId="0" xfId="1" applyNumberFormat="1" applyFont="1" applyFill="1" applyAlignment="1">
      <alignment horizontal="center"/>
    </xf>
    <xf numFmtId="164" fontId="97" fillId="10" borderId="0" xfId="1" applyNumberFormat="1" applyFont="1" applyFill="1" applyAlignment="1">
      <alignment horizontal="center"/>
    </xf>
    <xf numFmtId="164" fontId="98" fillId="10" borderId="0" xfId="1" applyNumberFormat="1" applyFont="1" applyFill="1" applyAlignment="1">
      <alignment horizontal="center"/>
    </xf>
    <xf numFmtId="164" fontId="67" fillId="13" borderId="21" xfId="3" applyNumberFormat="1" applyFont="1" applyFill="1" applyBorder="1" applyAlignment="1">
      <alignment horizontal="center" vertical="center" wrapText="1"/>
    </xf>
    <xf numFmtId="164" fontId="67" fillId="13" borderId="0" xfId="3" applyNumberFormat="1" applyFont="1" applyFill="1" applyAlignment="1">
      <alignment horizontal="center" vertical="center" wrapText="1"/>
    </xf>
    <xf numFmtId="164" fontId="99" fillId="13" borderId="22" xfId="3" applyNumberFormat="1" applyFont="1" applyFill="1" applyBorder="1" applyAlignment="1">
      <alignment horizontal="right" vertical="center"/>
    </xf>
    <xf numFmtId="164" fontId="76" fillId="15" borderId="17" xfId="0" applyNumberFormat="1" applyFont="1" applyFill="1" applyBorder="1" applyAlignment="1">
      <alignment horizontal="center" vertical="center" wrapText="1"/>
    </xf>
    <xf numFmtId="164" fontId="47" fillId="13" borderId="24" xfId="3" applyNumberFormat="1" applyFont="1" applyFill="1" applyBorder="1" applyAlignment="1">
      <alignment horizontal="center" vertical="center" wrapText="1"/>
    </xf>
    <xf numFmtId="164" fontId="101" fillId="13" borderId="24" xfId="3" applyNumberFormat="1" applyFont="1" applyFill="1" applyBorder="1" applyAlignment="1">
      <alignment horizontal="center" vertical="center" wrapText="1"/>
    </xf>
    <xf numFmtId="164" fontId="101" fillId="13" borderId="18" xfId="3" applyNumberFormat="1" applyFont="1" applyFill="1" applyBorder="1" applyAlignment="1">
      <alignment horizontal="center" vertical="center" wrapText="1"/>
    </xf>
    <xf numFmtId="164" fontId="101" fillId="13" borderId="23" xfId="3" applyNumberFormat="1" applyFont="1" applyFill="1" applyBorder="1" applyAlignment="1">
      <alignment horizontal="center" vertical="center" wrapText="1"/>
    </xf>
    <xf numFmtId="164" fontId="47" fillId="13" borderId="19" xfId="3" applyNumberFormat="1" applyFont="1" applyFill="1" applyBorder="1" applyAlignment="1">
      <alignment horizontal="center" vertical="center" wrapText="1"/>
    </xf>
    <xf numFmtId="164" fontId="25" fillId="18" borderId="25" xfId="0" applyNumberFormat="1" applyFont="1" applyFill="1" applyBorder="1" applyAlignment="1">
      <alignment horizontal="center" vertical="center"/>
    </xf>
    <xf numFmtId="164" fontId="25" fillId="18" borderId="25" xfId="0" applyNumberFormat="1" applyFont="1" applyFill="1" applyBorder="1" applyAlignment="1">
      <alignment horizontal="center" vertical="center" wrapText="1"/>
    </xf>
    <xf numFmtId="164" fontId="47" fillId="13" borderId="25" xfId="0" applyNumberFormat="1" applyFont="1" applyFill="1" applyBorder="1" applyAlignment="1">
      <alignment horizontal="center" vertical="center" wrapText="1"/>
    </xf>
    <xf numFmtId="164" fontId="119" fillId="13" borderId="20" xfId="3" applyNumberFormat="1" applyFont="1" applyFill="1" applyBorder="1" applyAlignment="1">
      <alignment horizontal="center" vertical="center" wrapText="1"/>
    </xf>
    <xf numFmtId="164" fontId="119" fillId="13" borderId="18" xfId="3" applyNumberFormat="1" applyFont="1" applyFill="1" applyBorder="1" applyAlignment="1">
      <alignment horizontal="center" vertical="center" wrapText="1"/>
    </xf>
    <xf numFmtId="164" fontId="119" fillId="13" borderId="23" xfId="3" applyNumberFormat="1" applyFont="1" applyFill="1" applyBorder="1" applyAlignment="1">
      <alignment horizontal="center" vertical="center" wrapText="1"/>
    </xf>
    <xf numFmtId="164" fontId="119" fillId="13" borderId="24" xfId="3" applyNumberFormat="1" applyFont="1" applyFill="1" applyBorder="1" applyAlignment="1">
      <alignment horizontal="center" vertical="center" wrapText="1"/>
    </xf>
    <xf numFmtId="164" fontId="119" fillId="13" borderId="19" xfId="3" applyNumberFormat="1" applyFont="1" applyFill="1" applyBorder="1" applyAlignment="1">
      <alignment horizontal="center" vertical="center" wrapText="1"/>
    </xf>
    <xf numFmtId="164" fontId="47" fillId="13" borderId="47" xfId="0" applyNumberFormat="1" applyFont="1" applyFill="1" applyBorder="1" applyAlignment="1">
      <alignment horizontal="center" vertical="center"/>
    </xf>
    <xf numFmtId="164" fontId="47" fillId="17" borderId="47" xfId="0" applyNumberFormat="1" applyFont="1" applyFill="1" applyBorder="1" applyAlignment="1">
      <alignment horizontal="center" vertical="center" wrapText="1"/>
    </xf>
    <xf numFmtId="164" fontId="47" fillId="13" borderId="47" xfId="3" applyNumberFormat="1" applyFont="1" applyFill="1" applyBorder="1" applyAlignment="1">
      <alignment horizontal="center" vertical="center" wrapText="1"/>
    </xf>
    <xf numFmtId="164" fontId="16" fillId="0" borderId="0" xfId="0" applyNumberFormat="1" applyFont="1" applyAlignment="1">
      <alignment horizontal="center" vertical="center"/>
    </xf>
    <xf numFmtId="164" fontId="20" fillId="0" borderId="0" xfId="0" applyNumberFormat="1" applyFont="1" applyAlignment="1">
      <alignment horizontal="center" vertical="center"/>
    </xf>
    <xf numFmtId="164" fontId="124" fillId="0" borderId="0" xfId="1" applyNumberFormat="1" applyFont="1"/>
    <xf numFmtId="164" fontId="57" fillId="21" borderId="27" xfId="3" applyNumberFormat="1" applyFont="1" applyFill="1" applyBorder="1" applyAlignment="1">
      <alignment horizontal="center" vertical="top"/>
    </xf>
    <xf numFmtId="164" fontId="16" fillId="0" borderId="0" xfId="0" applyNumberFormat="1" applyFont="1" applyAlignment="1">
      <alignment vertical="center"/>
    </xf>
    <xf numFmtId="164" fontId="20" fillId="0" borderId="0" xfId="0" applyNumberFormat="1" applyFont="1" applyAlignment="1">
      <alignment vertical="center"/>
    </xf>
    <xf numFmtId="164" fontId="2" fillId="21" borderId="27" xfId="3" applyNumberFormat="1" applyFont="1" applyFill="1" applyBorder="1" applyAlignment="1">
      <alignment horizontal="center" vertical="top"/>
    </xf>
    <xf numFmtId="0" fontId="62" fillId="10" borderId="25" xfId="0" applyFont="1" applyFill="1" applyBorder="1" applyAlignment="1">
      <alignment vertical="top" wrapText="1"/>
    </xf>
    <xf numFmtId="0" fontId="128" fillId="14" borderId="2" xfId="0" applyFont="1" applyFill="1" applyBorder="1" applyAlignment="1">
      <alignment horizontal="center" vertical="center" wrapText="1"/>
    </xf>
    <xf numFmtId="0" fontId="129" fillId="14" borderId="2" xfId="0" applyFont="1" applyFill="1" applyBorder="1" applyAlignment="1">
      <alignment horizontal="center" vertical="center"/>
    </xf>
    <xf numFmtId="0" fontId="29" fillId="2" borderId="3" xfId="0" applyFont="1" applyFill="1" applyBorder="1" applyAlignment="1">
      <alignment horizontal="center" vertical="center" textRotation="90" wrapText="1"/>
    </xf>
    <xf numFmtId="0" fontId="62" fillId="0" borderId="25" xfId="0" applyFont="1" applyBorder="1" applyAlignment="1">
      <alignment vertical="top" wrapText="1"/>
    </xf>
    <xf numFmtId="0" fontId="130" fillId="2" borderId="1" xfId="0" applyFont="1" applyFill="1" applyBorder="1" applyAlignment="1">
      <alignment horizontal="left" vertical="center"/>
    </xf>
    <xf numFmtId="0" fontId="131" fillId="2" borderId="1" xfId="0" applyFont="1" applyFill="1" applyBorder="1" applyAlignment="1">
      <alignment horizontal="center" vertical="center" wrapText="1"/>
    </xf>
    <xf numFmtId="0" fontId="132" fillId="2" borderId="0" xfId="0" applyFont="1" applyFill="1" applyAlignment="1">
      <alignment horizontal="center" vertical="center" wrapText="1"/>
    </xf>
    <xf numFmtId="0" fontId="6" fillId="10" borderId="0" xfId="0" applyFont="1" applyFill="1"/>
    <xf numFmtId="0" fontId="9" fillId="10" borderId="0" xfId="0" applyFont="1" applyFill="1"/>
    <xf numFmtId="1" fontId="47" fillId="18" borderId="51" xfId="0" applyNumberFormat="1" applyFont="1" applyFill="1" applyBorder="1" applyAlignment="1">
      <alignment horizontal="center" vertical="center"/>
    </xf>
    <xf numFmtId="1" fontId="47" fillId="18" borderId="0" xfId="0" applyNumberFormat="1" applyFont="1" applyFill="1" applyAlignment="1">
      <alignment horizontal="center" vertical="center"/>
    </xf>
    <xf numFmtId="1" fontId="47" fillId="18" borderId="52" xfId="0" applyNumberFormat="1" applyFont="1" applyFill="1" applyBorder="1" applyAlignment="1">
      <alignment horizontal="center" vertical="center"/>
    </xf>
    <xf numFmtId="1" fontId="47" fillId="13" borderId="51" xfId="0" applyNumberFormat="1" applyFont="1" applyFill="1" applyBorder="1" applyAlignment="1">
      <alignment horizontal="center" vertical="center"/>
    </xf>
    <xf numFmtId="1" fontId="47" fillId="13" borderId="0" xfId="0" applyNumberFormat="1" applyFont="1" applyFill="1" applyAlignment="1">
      <alignment horizontal="center" vertical="center"/>
    </xf>
    <xf numFmtId="1" fontId="47" fillId="13" borderId="52" xfId="0" applyNumberFormat="1" applyFont="1" applyFill="1" applyBorder="1" applyAlignment="1">
      <alignment horizontal="center" vertical="center"/>
    </xf>
    <xf numFmtId="1" fontId="33" fillId="13" borderId="51" xfId="0" applyNumberFormat="1" applyFont="1" applyFill="1" applyBorder="1" applyAlignment="1">
      <alignment horizontal="center" vertical="center"/>
    </xf>
    <xf numFmtId="1" fontId="33" fillId="13" borderId="0" xfId="0" applyNumberFormat="1" applyFont="1" applyFill="1" applyAlignment="1">
      <alignment horizontal="center" vertical="center"/>
    </xf>
    <xf numFmtId="1" fontId="33" fillId="13" borderId="52" xfId="0" applyNumberFormat="1" applyFont="1" applyFill="1" applyBorder="1" applyAlignment="1">
      <alignment horizontal="center" vertical="center"/>
    </xf>
    <xf numFmtId="1" fontId="33" fillId="18" borderId="51" xfId="0" applyNumberFormat="1" applyFont="1" applyFill="1" applyBorder="1" applyAlignment="1">
      <alignment horizontal="center" vertical="center"/>
    </xf>
    <xf numFmtId="1" fontId="33" fillId="18" borderId="0" xfId="0" applyNumberFormat="1" applyFont="1" applyFill="1" applyAlignment="1">
      <alignment horizontal="center" vertical="center"/>
    </xf>
    <xf numFmtId="1" fontId="33" fillId="18" borderId="52" xfId="0" applyNumberFormat="1" applyFont="1" applyFill="1" applyBorder="1" applyAlignment="1">
      <alignment horizontal="center" vertical="center"/>
    </xf>
    <xf numFmtId="0" fontId="62" fillId="10" borderId="30" xfId="0" applyFont="1" applyFill="1" applyBorder="1" applyAlignment="1">
      <alignment horizontal="left" vertical="top" wrapText="1"/>
    </xf>
    <xf numFmtId="0" fontId="62" fillId="3" borderId="30" xfId="0" applyFont="1" applyFill="1" applyBorder="1" applyAlignment="1">
      <alignment horizontal="left" vertical="top" wrapText="1"/>
    </xf>
    <xf numFmtId="0" fontId="37" fillId="2" borderId="6" xfId="0" applyFont="1" applyFill="1" applyBorder="1" applyAlignment="1">
      <alignment horizontal="center" wrapText="1"/>
    </xf>
    <xf numFmtId="0" fontId="37" fillId="2" borderId="5" xfId="0" applyFont="1" applyFill="1" applyBorder="1" applyAlignment="1">
      <alignment horizontal="center" wrapText="1"/>
    </xf>
    <xf numFmtId="0" fontId="37" fillId="2" borderId="5" xfId="0" applyFont="1" applyFill="1" applyBorder="1" applyAlignment="1">
      <alignment horizontal="left"/>
    </xf>
    <xf numFmtId="0" fontId="37" fillId="2" borderId="6" xfId="0" applyFont="1" applyFill="1" applyBorder="1" applyAlignment="1">
      <alignment horizontal="left"/>
    </xf>
    <xf numFmtId="0" fontId="35" fillId="2" borderId="5" xfId="0" applyFont="1" applyFill="1" applyBorder="1" applyAlignment="1">
      <alignment horizontal="center" vertical="center" wrapText="1"/>
    </xf>
    <xf numFmtId="0" fontId="37" fillId="2" borderId="5" xfId="0" applyFont="1" applyFill="1" applyBorder="1" applyAlignment="1">
      <alignment horizontal="center" vertical="center" wrapText="1"/>
    </xf>
    <xf numFmtId="3" fontId="10" fillId="3" borderId="25" xfId="0" applyNumberFormat="1" applyFont="1" applyFill="1" applyBorder="1" applyAlignment="1">
      <alignment vertical="center" wrapText="1"/>
    </xf>
    <xf numFmtId="3" fontId="10" fillId="10" borderId="25" xfId="0" applyNumberFormat="1" applyFont="1" applyFill="1" applyBorder="1" applyAlignment="1">
      <alignment horizontal="right" vertical="center" wrapText="1"/>
    </xf>
    <xf numFmtId="3" fontId="10" fillId="3" borderId="25" xfId="0" applyNumberFormat="1" applyFont="1" applyFill="1" applyBorder="1" applyAlignment="1">
      <alignment horizontal="right" vertical="center" wrapText="1"/>
    </xf>
    <xf numFmtId="3" fontId="21" fillId="10" borderId="25" xfId="0" applyNumberFormat="1" applyFont="1" applyFill="1" applyBorder="1" applyAlignment="1">
      <alignment horizontal="right" vertical="center" wrapText="1"/>
    </xf>
    <xf numFmtId="3" fontId="21" fillId="3" borderId="25" xfId="0" applyNumberFormat="1" applyFont="1" applyFill="1" applyBorder="1" applyAlignment="1">
      <alignment horizontal="right" vertical="center" wrapText="1"/>
    </xf>
    <xf numFmtId="0" fontId="1" fillId="2" borderId="0" xfId="0" applyFont="1" applyFill="1" applyAlignment="1">
      <alignment horizontal="center" vertical="center" wrapText="1"/>
    </xf>
    <xf numFmtId="0" fontId="132" fillId="2" borderId="1" xfId="0" applyFont="1" applyFill="1" applyBorder="1" applyAlignment="1">
      <alignment horizontal="left"/>
    </xf>
    <xf numFmtId="164" fontId="119" fillId="18" borderId="25" xfId="3" applyNumberFormat="1" applyFont="1" applyFill="1" applyBorder="1" applyAlignment="1">
      <alignment horizontal="center" vertical="center" wrapText="1"/>
    </xf>
    <xf numFmtId="2" fontId="119" fillId="10" borderId="25" xfId="3" applyNumberFormat="1" applyFont="1" applyFill="1" applyBorder="1" applyAlignment="1">
      <alignment horizontal="center" vertical="center" wrapText="1"/>
    </xf>
    <xf numFmtId="2" fontId="119" fillId="10" borderId="25" xfId="3" applyNumberFormat="1" applyFont="1" applyFill="1" applyBorder="1" applyAlignment="1">
      <alignment horizontal="left" vertical="top" wrapText="1"/>
    </xf>
    <xf numFmtId="0" fontId="133" fillId="10" borderId="0" xfId="3" applyFont="1" applyFill="1"/>
    <xf numFmtId="0" fontId="21" fillId="10" borderId="25" xfId="0" applyFont="1" applyFill="1" applyBorder="1" applyAlignment="1">
      <alignment horizontal="center" vertical="center" wrapText="1"/>
    </xf>
    <xf numFmtId="0" fontId="134" fillId="2" borderId="1" xfId="0" applyFont="1" applyFill="1" applyBorder="1" applyAlignment="1">
      <alignment horizontal="center" vertical="center" wrapText="1"/>
    </xf>
    <xf numFmtId="164" fontId="25" fillId="13" borderId="26" xfId="3" applyNumberFormat="1" applyFont="1" applyFill="1" applyBorder="1" applyAlignment="1">
      <alignment horizontal="right" vertical="center"/>
    </xf>
    <xf numFmtId="0" fontId="127" fillId="10" borderId="0" xfId="7" applyFill="1" applyAlignment="1">
      <alignment vertical="top" wrapText="1"/>
    </xf>
    <xf numFmtId="0" fontId="127" fillId="10" borderId="0" xfId="7" applyFill="1"/>
    <xf numFmtId="0" fontId="139" fillId="10" borderId="0" xfId="7" applyFont="1" applyFill="1" applyAlignment="1">
      <alignment horizontal="center" vertical="top" wrapText="1"/>
    </xf>
    <xf numFmtId="0" fontId="140" fillId="45" borderId="0" xfId="7" applyFont="1" applyFill="1" applyAlignment="1">
      <alignment vertical="top"/>
    </xf>
    <xf numFmtId="0" fontId="138" fillId="0" borderId="0" xfId="7" applyFont="1" applyAlignment="1">
      <alignment horizontal="left" vertical="center"/>
    </xf>
    <xf numFmtId="164" fontId="16" fillId="0" borderId="0" xfId="1" applyNumberFormat="1"/>
    <xf numFmtId="164" fontId="142" fillId="0" borderId="0" xfId="1" applyNumberFormat="1" applyFont="1"/>
    <xf numFmtId="164" fontId="144" fillId="0" borderId="0" xfId="1" applyNumberFormat="1" applyFont="1"/>
    <xf numFmtId="164" fontId="145" fillId="0" borderId="0" xfId="1" applyNumberFormat="1" applyFont="1"/>
    <xf numFmtId="164" fontId="147" fillId="0" borderId="0" xfId="1" applyNumberFormat="1" applyFont="1"/>
    <xf numFmtId="164" fontId="148" fillId="0" borderId="0" xfId="1" applyNumberFormat="1" applyFont="1"/>
    <xf numFmtId="164" fontId="123" fillId="0" borderId="0" xfId="1" applyNumberFormat="1" applyFont="1"/>
    <xf numFmtId="164" fontId="150" fillId="0" borderId="0" xfId="1" applyNumberFormat="1" applyFont="1"/>
    <xf numFmtId="164" fontId="123" fillId="0" borderId="0" xfId="1" applyNumberFormat="1" applyFont="1" applyAlignment="1">
      <alignment horizontal="center"/>
    </xf>
    <xf numFmtId="9" fontId="147" fillId="0" borderId="0" xfId="1" applyFont="1" applyAlignment="1">
      <alignment horizontal="center"/>
    </xf>
    <xf numFmtId="9" fontId="151" fillId="0" borderId="0" xfId="1" applyFont="1" applyAlignment="1">
      <alignment horizontal="center"/>
    </xf>
    <xf numFmtId="10" fontId="0" fillId="10" borderId="0" xfId="0" applyNumberFormat="1" applyFill="1"/>
    <xf numFmtId="165" fontId="49" fillId="0" borderId="0" xfId="2" applyNumberFormat="1" applyAlignment="1">
      <alignment horizontal="center" vertical="center" wrapText="1"/>
    </xf>
    <xf numFmtId="165" fontId="57" fillId="0" borderId="0" xfId="2" applyNumberFormat="1" applyFont="1" applyAlignment="1">
      <alignment horizontal="center" vertical="center" wrapText="1"/>
    </xf>
    <xf numFmtId="165" fontId="47" fillId="13" borderId="49" xfId="0" applyNumberFormat="1" applyFont="1" applyFill="1" applyBorder="1" applyAlignment="1">
      <alignment horizontal="center" vertical="center"/>
    </xf>
    <xf numFmtId="165" fontId="47" fillId="13" borderId="18" xfId="0" applyNumberFormat="1" applyFont="1" applyFill="1" applyBorder="1" applyAlignment="1">
      <alignment horizontal="center" vertical="center"/>
    </xf>
    <xf numFmtId="165" fontId="47" fillId="13" borderId="50" xfId="0" applyNumberFormat="1" applyFont="1" applyFill="1" applyBorder="1" applyAlignment="1">
      <alignment horizontal="center" vertical="center"/>
    </xf>
    <xf numFmtId="165" fontId="87" fillId="13" borderId="0" xfId="3" applyNumberFormat="1" applyFont="1" applyFill="1" applyAlignment="1">
      <alignment horizontal="center" vertical="center" wrapText="1"/>
    </xf>
    <xf numFmtId="165" fontId="88" fillId="13" borderId="0" xfId="3" applyNumberFormat="1" applyFont="1" applyFill="1" applyAlignment="1">
      <alignment horizontal="center" vertical="center" wrapText="1"/>
    </xf>
    <xf numFmtId="165" fontId="89" fillId="13" borderId="0" xfId="3" applyNumberFormat="1" applyFont="1" applyFill="1" applyAlignment="1">
      <alignment horizontal="center" vertical="center" wrapText="1"/>
    </xf>
    <xf numFmtId="165" fontId="90" fillId="13" borderId="0" xfId="3" applyNumberFormat="1" applyFont="1" applyFill="1" applyAlignment="1">
      <alignment horizontal="center" vertical="center" wrapText="1"/>
    </xf>
    <xf numFmtId="165" fontId="91" fillId="13" borderId="0" xfId="3" applyNumberFormat="1" applyFont="1" applyFill="1" applyAlignment="1">
      <alignment horizontal="center" vertical="center" wrapText="1"/>
    </xf>
    <xf numFmtId="165" fontId="67" fillId="18" borderId="25" xfId="0" applyNumberFormat="1" applyFont="1" applyFill="1" applyBorder="1" applyAlignment="1">
      <alignment horizontal="center" vertical="center"/>
    </xf>
    <xf numFmtId="165" fontId="47" fillId="18" borderId="25" xfId="3" applyNumberFormat="1" applyFont="1" applyFill="1" applyBorder="1" applyAlignment="1">
      <alignment horizontal="center" vertical="center" wrapText="1"/>
    </xf>
    <xf numFmtId="165" fontId="117" fillId="13" borderId="25" xfId="0" applyNumberFormat="1" applyFont="1" applyFill="1" applyBorder="1" applyAlignment="1">
      <alignment horizontal="center" vertical="center"/>
    </xf>
    <xf numFmtId="165" fontId="25" fillId="10" borderId="25" xfId="3" applyNumberFormat="1" applyFont="1" applyFill="1" applyBorder="1" applyAlignment="1">
      <alignment horizontal="center" vertical="center" wrapText="1"/>
    </xf>
    <xf numFmtId="165" fontId="119" fillId="10" borderId="25" xfId="3" applyNumberFormat="1" applyFont="1" applyFill="1" applyBorder="1" applyAlignment="1">
      <alignment horizontal="center" vertical="center" wrapText="1"/>
    </xf>
    <xf numFmtId="165" fontId="61" fillId="13" borderId="25" xfId="0" applyNumberFormat="1" applyFont="1" applyFill="1" applyBorder="1" applyAlignment="1">
      <alignment horizontal="center" vertical="center"/>
    </xf>
    <xf numFmtId="165" fontId="33" fillId="10" borderId="25" xfId="3" applyNumberFormat="1" applyFont="1" applyFill="1" applyBorder="1" applyAlignment="1">
      <alignment horizontal="center" vertical="center" wrapText="1"/>
    </xf>
    <xf numFmtId="165" fontId="61" fillId="18" borderId="25" xfId="0" applyNumberFormat="1" applyFont="1" applyFill="1" applyBorder="1" applyAlignment="1">
      <alignment horizontal="center" vertical="center"/>
    </xf>
    <xf numFmtId="165" fontId="33" fillId="18" borderId="25" xfId="3" applyNumberFormat="1" applyFont="1" applyFill="1" applyBorder="1" applyAlignment="1">
      <alignment horizontal="center" vertical="center" wrapText="1"/>
    </xf>
    <xf numFmtId="165" fontId="47" fillId="13" borderId="40" xfId="0" applyNumberFormat="1" applyFont="1" applyFill="1" applyBorder="1" applyAlignment="1">
      <alignment horizontal="center" vertical="center"/>
    </xf>
    <xf numFmtId="165" fontId="47" fillId="13" borderId="41" xfId="0" applyNumberFormat="1" applyFont="1" applyFill="1" applyBorder="1" applyAlignment="1">
      <alignment horizontal="center" vertical="center"/>
    </xf>
    <xf numFmtId="165" fontId="47" fillId="13" borderId="42" xfId="0" applyNumberFormat="1" applyFont="1" applyFill="1" applyBorder="1" applyAlignment="1">
      <alignment horizontal="center" vertical="center"/>
    </xf>
    <xf numFmtId="165" fontId="47" fillId="18" borderId="31" xfId="0" applyNumberFormat="1" applyFont="1" applyFill="1" applyBorder="1" applyAlignment="1">
      <alignment horizontal="center" vertical="center"/>
    </xf>
    <xf numFmtId="165" fontId="47" fillId="18" borderId="32" xfId="0" applyNumberFormat="1" applyFont="1" applyFill="1" applyBorder="1" applyAlignment="1">
      <alignment horizontal="center" vertical="center"/>
    </xf>
    <xf numFmtId="165" fontId="47" fillId="18" borderId="43" xfId="0" applyNumberFormat="1" applyFont="1" applyFill="1" applyBorder="1" applyAlignment="1">
      <alignment horizontal="center" vertical="center"/>
    </xf>
    <xf numFmtId="165" fontId="47" fillId="18" borderId="33" xfId="0" applyNumberFormat="1" applyFont="1" applyFill="1" applyBorder="1" applyAlignment="1">
      <alignment horizontal="center" vertical="center"/>
    </xf>
    <xf numFmtId="165" fontId="47" fillId="18" borderId="45" xfId="0" applyNumberFormat="1" applyFont="1" applyFill="1" applyBorder="1" applyAlignment="1">
      <alignment horizontal="center" vertical="center"/>
    </xf>
    <xf numFmtId="165" fontId="47" fillId="13" borderId="34" xfId="0" applyNumberFormat="1" applyFont="1" applyFill="1" applyBorder="1" applyAlignment="1">
      <alignment horizontal="center" vertical="center"/>
    </xf>
    <xf numFmtId="165" fontId="47" fillId="13" borderId="25" xfId="0" applyNumberFormat="1" applyFont="1" applyFill="1" applyBorder="1" applyAlignment="1">
      <alignment horizontal="center" vertical="center"/>
    </xf>
    <xf numFmtId="165" fontId="47" fillId="13" borderId="39" xfId="0" applyNumberFormat="1" applyFont="1" applyFill="1" applyBorder="1" applyAlignment="1">
      <alignment horizontal="center" vertical="center"/>
    </xf>
    <xf numFmtId="165" fontId="47" fillId="13" borderId="35" xfId="0" applyNumberFormat="1" applyFont="1" applyFill="1" applyBorder="1" applyAlignment="1">
      <alignment horizontal="center" vertical="center"/>
    </xf>
    <xf numFmtId="165" fontId="47" fillId="13" borderId="30" xfId="0" applyNumberFormat="1" applyFont="1" applyFill="1" applyBorder="1" applyAlignment="1">
      <alignment horizontal="center" vertical="center"/>
    </xf>
    <xf numFmtId="165" fontId="67" fillId="13" borderId="25" xfId="0" applyNumberFormat="1" applyFont="1" applyFill="1" applyBorder="1" applyAlignment="1">
      <alignment horizontal="center" vertical="center"/>
    </xf>
    <xf numFmtId="165" fontId="47" fillId="10" borderId="25" xfId="3" applyNumberFormat="1" applyFont="1" applyFill="1" applyBorder="1" applyAlignment="1">
      <alignment horizontal="center" vertical="center" wrapText="1"/>
    </xf>
    <xf numFmtId="165" fontId="47" fillId="18" borderId="34" xfId="0" applyNumberFormat="1" applyFont="1" applyFill="1" applyBorder="1" applyAlignment="1">
      <alignment horizontal="center" vertical="center"/>
    </xf>
    <xf numFmtId="165" fontId="47" fillId="18" borderId="25" xfId="0" applyNumberFormat="1" applyFont="1" applyFill="1" applyBorder="1" applyAlignment="1">
      <alignment horizontal="center" vertical="center"/>
    </xf>
    <xf numFmtId="165" fontId="47" fillId="18" borderId="39" xfId="0" applyNumberFormat="1" applyFont="1" applyFill="1" applyBorder="1" applyAlignment="1">
      <alignment horizontal="center" vertical="center"/>
    </xf>
    <xf numFmtId="165" fontId="47" fillId="18" borderId="35" xfId="0" applyNumberFormat="1" applyFont="1" applyFill="1" applyBorder="1" applyAlignment="1">
      <alignment horizontal="center" vertical="center"/>
    </xf>
    <xf numFmtId="165" fontId="47" fillId="18" borderId="30" xfId="0" applyNumberFormat="1" applyFont="1" applyFill="1" applyBorder="1" applyAlignment="1">
      <alignment horizontal="center" vertical="center"/>
    </xf>
    <xf numFmtId="165" fontId="25" fillId="13" borderId="34" xfId="0" applyNumberFormat="1" applyFont="1" applyFill="1" applyBorder="1" applyAlignment="1">
      <alignment horizontal="center" vertical="center"/>
    </xf>
    <xf numFmtId="165" fontId="25" fillId="13" borderId="25" xfId="0" applyNumberFormat="1" applyFont="1" applyFill="1" applyBorder="1" applyAlignment="1">
      <alignment horizontal="center" vertical="center"/>
    </xf>
    <xf numFmtId="165" fontId="25" fillId="13" borderId="39" xfId="0" applyNumberFormat="1" applyFont="1" applyFill="1" applyBorder="1" applyAlignment="1">
      <alignment horizontal="center" vertical="center"/>
    </xf>
    <xf numFmtId="165" fontId="25" fillId="13" borderId="35" xfId="0" applyNumberFormat="1" applyFont="1" applyFill="1" applyBorder="1" applyAlignment="1">
      <alignment horizontal="center" vertical="center"/>
    </xf>
    <xf numFmtId="165" fontId="25" fillId="13" borderId="30" xfId="0" applyNumberFormat="1" applyFont="1" applyFill="1" applyBorder="1" applyAlignment="1">
      <alignment horizontal="center" vertical="center"/>
    </xf>
    <xf numFmtId="165" fontId="25" fillId="18" borderId="34" xfId="0" applyNumberFormat="1" applyFont="1" applyFill="1" applyBorder="1" applyAlignment="1">
      <alignment horizontal="center" vertical="center"/>
    </xf>
    <xf numFmtId="165" fontId="25" fillId="18" borderId="25" xfId="0" applyNumberFormat="1" applyFont="1" applyFill="1" applyBorder="1" applyAlignment="1">
      <alignment horizontal="center" vertical="center"/>
    </xf>
    <xf numFmtId="165" fontId="25" fillId="18" borderId="39" xfId="0" applyNumberFormat="1" applyFont="1" applyFill="1" applyBorder="1" applyAlignment="1">
      <alignment horizontal="center" vertical="center"/>
    </xf>
    <xf numFmtId="165" fontId="25" fillId="18" borderId="35" xfId="0" applyNumberFormat="1" applyFont="1" applyFill="1" applyBorder="1" applyAlignment="1">
      <alignment horizontal="center" vertical="center"/>
    </xf>
    <xf numFmtId="165" fontId="25" fillId="18" borderId="30" xfId="0" applyNumberFormat="1" applyFont="1" applyFill="1" applyBorder="1" applyAlignment="1">
      <alignment horizontal="center" vertical="center"/>
    </xf>
    <xf numFmtId="165" fontId="117" fillId="18" borderId="25" xfId="0" applyNumberFormat="1" applyFont="1" applyFill="1" applyBorder="1" applyAlignment="1">
      <alignment horizontal="center" vertical="center"/>
    </xf>
    <xf numFmtId="165" fontId="25" fillId="18" borderId="25" xfId="3" applyNumberFormat="1" applyFont="1" applyFill="1" applyBorder="1" applyAlignment="1">
      <alignment horizontal="center" vertical="center" wrapText="1"/>
    </xf>
    <xf numFmtId="165" fontId="47" fillId="18" borderId="36" xfId="0" applyNumberFormat="1" applyFont="1" applyFill="1" applyBorder="1" applyAlignment="1">
      <alignment horizontal="center" vertical="center"/>
    </xf>
    <xf numFmtId="165" fontId="47" fillId="18" borderId="37" xfId="0" applyNumberFormat="1" applyFont="1" applyFill="1" applyBorder="1" applyAlignment="1">
      <alignment horizontal="center" vertical="center"/>
    </xf>
    <xf numFmtId="165" fontId="47" fillId="18" borderId="44" xfId="0" applyNumberFormat="1" applyFont="1" applyFill="1" applyBorder="1" applyAlignment="1">
      <alignment horizontal="center" vertical="center"/>
    </xf>
    <xf numFmtId="165" fontId="47" fillId="18" borderId="38" xfId="0" applyNumberFormat="1" applyFont="1" applyFill="1" applyBorder="1" applyAlignment="1">
      <alignment horizontal="center" vertical="center"/>
    </xf>
    <xf numFmtId="165" fontId="47" fillId="18" borderId="46" xfId="0" applyNumberFormat="1" applyFont="1" applyFill="1" applyBorder="1" applyAlignment="1">
      <alignment horizontal="center" vertical="center"/>
    </xf>
    <xf numFmtId="165" fontId="47" fillId="13" borderId="17" xfId="0" applyNumberFormat="1" applyFont="1" applyFill="1" applyBorder="1" applyAlignment="1">
      <alignment horizontal="center" vertical="center"/>
    </xf>
    <xf numFmtId="165" fontId="47" fillId="13" borderId="25" xfId="3" applyNumberFormat="1" applyFont="1" applyFill="1" applyBorder="1" applyAlignment="1">
      <alignment horizontal="center" vertical="center" wrapText="1"/>
    </xf>
    <xf numFmtId="165" fontId="66" fillId="15" borderId="17" xfId="0" applyNumberFormat="1" applyFont="1" applyFill="1" applyBorder="1" applyAlignment="1">
      <alignment horizontal="center" vertical="center" wrapText="1"/>
    </xf>
    <xf numFmtId="165" fontId="67" fillId="13" borderId="47" xfId="0" applyNumberFormat="1" applyFont="1" applyFill="1" applyBorder="1" applyAlignment="1">
      <alignment horizontal="center" vertical="center"/>
    </xf>
    <xf numFmtId="165" fontId="47" fillId="10" borderId="47" xfId="3" applyNumberFormat="1" applyFont="1" applyFill="1" applyBorder="1" applyAlignment="1">
      <alignment horizontal="center" vertical="center" wrapText="1"/>
    </xf>
    <xf numFmtId="165" fontId="16" fillId="0" borderId="0" xfId="0" applyNumberFormat="1" applyFont="1" applyAlignment="1">
      <alignment horizontal="center" vertical="center"/>
    </xf>
    <xf numFmtId="165" fontId="20" fillId="0" borderId="0" xfId="0" applyNumberFormat="1" applyFont="1" applyAlignment="1">
      <alignment horizontal="center" vertical="center"/>
    </xf>
    <xf numFmtId="165" fontId="57" fillId="21" borderId="27" xfId="3" applyNumberFormat="1" applyFont="1" applyFill="1" applyBorder="1" applyAlignment="1">
      <alignment horizontal="center" vertical="top"/>
    </xf>
    <xf numFmtId="0" fontId="9" fillId="3" borderId="30" xfId="0" applyFont="1" applyFill="1" applyBorder="1" applyAlignment="1">
      <alignment horizontal="left" vertical="top" wrapText="1"/>
    </xf>
    <xf numFmtId="2" fontId="53" fillId="18" borderId="25" xfId="3" applyNumberFormat="1" applyFont="1" applyFill="1" applyBorder="1" applyAlignment="1">
      <alignment horizontal="left" vertical="top" wrapText="1"/>
    </xf>
    <xf numFmtId="0" fontId="9" fillId="10" borderId="30" xfId="0" applyFont="1" applyFill="1" applyBorder="1" applyAlignment="1">
      <alignment horizontal="left" vertical="top" wrapText="1"/>
    </xf>
    <xf numFmtId="0" fontId="115" fillId="12" borderId="25" xfId="0" applyFont="1" applyFill="1" applyBorder="1" applyAlignment="1">
      <alignment horizontal="left" vertical="top" wrapText="1"/>
    </xf>
    <xf numFmtId="0" fontId="115" fillId="12" borderId="25" xfId="0" applyFont="1" applyFill="1" applyBorder="1" applyAlignment="1">
      <alignment vertical="top" wrapText="1"/>
    </xf>
    <xf numFmtId="2" fontId="153" fillId="10" borderId="25" xfId="3" applyNumberFormat="1" applyFont="1" applyFill="1" applyBorder="1" applyAlignment="1">
      <alignment horizontal="left" vertical="top" wrapText="1"/>
    </xf>
    <xf numFmtId="0" fontId="22" fillId="10" borderId="30" xfId="0" applyFont="1" applyFill="1" applyBorder="1" applyAlignment="1">
      <alignment horizontal="left" vertical="top" wrapText="1"/>
    </xf>
    <xf numFmtId="0" fontId="22" fillId="12" borderId="25" xfId="0" applyFont="1" applyFill="1" applyBorder="1" applyAlignment="1">
      <alignment horizontal="left" vertical="top" wrapText="1"/>
    </xf>
    <xf numFmtId="0" fontId="22" fillId="12" borderId="25" xfId="0" applyFont="1" applyFill="1" applyBorder="1" applyAlignment="1">
      <alignment vertical="top" wrapText="1"/>
    </xf>
    <xf numFmtId="2" fontId="154" fillId="10" borderId="25" xfId="3" applyNumberFormat="1" applyFont="1" applyFill="1" applyBorder="1" applyAlignment="1">
      <alignment horizontal="left" vertical="top" wrapText="1"/>
    </xf>
    <xf numFmtId="0" fontId="49" fillId="0" borderId="0" xfId="2"/>
    <xf numFmtId="0" fontId="54" fillId="0" borderId="0" xfId="2" applyFont="1"/>
    <xf numFmtId="0" fontId="53" fillId="0" borderId="0" xfId="2" applyFont="1"/>
    <xf numFmtId="0" fontId="127" fillId="0" borderId="0" xfId="7"/>
    <xf numFmtId="0" fontId="0" fillId="10" borderId="0" xfId="0" applyFill="1"/>
    <xf numFmtId="0" fontId="0" fillId="0" borderId="0" xfId="0"/>
    <xf numFmtId="0" fontId="152" fillId="3" borderId="25" xfId="0" applyFont="1" applyFill="1" applyBorder="1" applyAlignment="1">
      <alignment horizontal="left" vertical="top" wrapText="1"/>
    </xf>
    <xf numFmtId="0" fontId="9" fillId="18" borderId="25" xfId="0" applyFont="1" applyFill="1" applyBorder="1" applyAlignment="1">
      <alignment horizontal="left" vertical="top" wrapText="1"/>
    </xf>
    <xf numFmtId="2" fontId="157" fillId="18" borderId="25" xfId="3" applyNumberFormat="1" applyFont="1" applyFill="1" applyBorder="1" applyAlignment="1">
      <alignment horizontal="left" vertical="top" wrapText="1"/>
    </xf>
    <xf numFmtId="3" fontId="6" fillId="3" borderId="25" xfId="0" applyNumberFormat="1" applyFont="1" applyFill="1" applyBorder="1" applyAlignment="1">
      <alignment horizontal="center" vertical="center" wrapText="1"/>
    </xf>
    <xf numFmtId="0" fontId="126" fillId="3" borderId="30" xfId="0" applyFont="1" applyFill="1" applyBorder="1" applyAlignment="1">
      <alignment horizontal="left" vertical="top" wrapText="1"/>
    </xf>
    <xf numFmtId="0" fontId="126" fillId="3" borderId="25" xfId="0" applyFont="1" applyFill="1" applyBorder="1" applyAlignment="1">
      <alignment vertical="top" wrapText="1"/>
    </xf>
    <xf numFmtId="166" fontId="17" fillId="0" borderId="0" xfId="5" applyNumberFormat="1" applyFont="1"/>
    <xf numFmtId="166" fontId="141" fillId="0" borderId="0" xfId="5" applyNumberFormat="1" applyFont="1"/>
    <xf numFmtId="166" fontId="143" fillId="0" borderId="0" xfId="5" applyNumberFormat="1" applyFont="1"/>
    <xf numFmtId="166" fontId="146" fillId="0" borderId="0" xfId="5" applyNumberFormat="1" applyFont="1"/>
    <xf numFmtId="166" fontId="149" fillId="0" borderId="0" xfId="5" applyNumberFormat="1" applyFont="1"/>
    <xf numFmtId="167" fontId="5" fillId="5" borderId="17" xfId="0" applyNumberFormat="1" applyFont="1" applyFill="1" applyBorder="1" applyAlignment="1">
      <alignment vertical="center" wrapText="1"/>
    </xf>
    <xf numFmtId="167" fontId="6" fillId="3" borderId="25" xfId="0" applyNumberFormat="1" applyFont="1" applyFill="1" applyBorder="1" applyAlignment="1">
      <alignment horizontal="right" vertical="center" wrapText="1"/>
    </xf>
    <xf numFmtId="167" fontId="6" fillId="10" borderId="25" xfId="0" applyNumberFormat="1" applyFont="1" applyFill="1" applyBorder="1" applyAlignment="1">
      <alignment horizontal="right" vertical="center" wrapText="1"/>
    </xf>
    <xf numFmtId="167" fontId="34" fillId="10" borderId="25" xfId="0" applyNumberFormat="1" applyFont="1" applyFill="1" applyBorder="1" applyAlignment="1">
      <alignment horizontal="right" vertical="center" wrapText="1"/>
    </xf>
    <xf numFmtId="167" fontId="34" fillId="3" borderId="25" xfId="0" applyNumberFormat="1" applyFont="1" applyFill="1" applyBorder="1" applyAlignment="1">
      <alignment horizontal="right" vertical="center" wrapText="1"/>
    </xf>
    <xf numFmtId="0" fontId="0" fillId="3" borderId="25" xfId="0" applyFill="1" applyBorder="1" applyAlignment="1">
      <alignment horizontal="left" vertical="top" wrapText="1"/>
    </xf>
    <xf numFmtId="0" fontId="10" fillId="3" borderId="25" xfId="0" applyFont="1" applyFill="1" applyBorder="1" applyAlignment="1">
      <alignment horizontal="left" vertical="top" wrapText="1"/>
    </xf>
    <xf numFmtId="0" fontId="156" fillId="3" borderId="25" xfId="0" applyFont="1" applyFill="1" applyBorder="1" applyAlignment="1">
      <alignment horizontal="left" vertical="top" wrapText="1"/>
    </xf>
    <xf numFmtId="0" fontId="53" fillId="16" borderId="25" xfId="0" applyFont="1" applyFill="1" applyBorder="1" applyAlignment="1">
      <alignment horizontal="left" vertical="top" wrapText="1"/>
    </xf>
    <xf numFmtId="0" fontId="157" fillId="16" borderId="25" xfId="0" applyFont="1" applyFill="1" applyBorder="1" applyAlignment="1">
      <alignment horizontal="left" vertical="top" wrapText="1"/>
    </xf>
    <xf numFmtId="0" fontId="157" fillId="16" borderId="25" xfId="3" applyFont="1" applyFill="1" applyBorder="1" applyAlignment="1">
      <alignment horizontal="left" vertical="top" wrapText="1"/>
    </xf>
    <xf numFmtId="0" fontId="0" fillId="0" borderId="25" xfId="0" applyBorder="1" applyAlignment="1">
      <alignment horizontal="left" vertical="top" wrapText="1"/>
    </xf>
    <xf numFmtId="0" fontId="10" fillId="0" borderId="25" xfId="0" applyFont="1" applyBorder="1" applyAlignment="1">
      <alignment horizontal="left" vertical="top" wrapText="1"/>
    </xf>
    <xf numFmtId="0" fontId="10" fillId="10" borderId="25" xfId="0" applyFont="1" applyFill="1" applyBorder="1" applyAlignment="1">
      <alignment horizontal="left" vertical="top" wrapText="1"/>
    </xf>
    <xf numFmtId="0" fontId="9" fillId="0" borderId="25" xfId="0" applyFont="1" applyBorder="1" applyAlignment="1">
      <alignment horizontal="left" vertical="top" wrapText="1"/>
    </xf>
    <xf numFmtId="0" fontId="152" fillId="17" borderId="25" xfId="0" applyFont="1" applyFill="1" applyBorder="1" applyAlignment="1">
      <alignment horizontal="left" vertical="top" wrapText="1"/>
    </xf>
    <xf numFmtId="2" fontId="152" fillId="10" borderId="25" xfId="3" applyNumberFormat="1" applyFont="1" applyFill="1" applyBorder="1" applyAlignment="1">
      <alignment horizontal="left" vertical="top" wrapText="1"/>
    </xf>
    <xf numFmtId="0" fontId="152" fillId="17" borderId="25" xfId="3" applyFont="1" applyFill="1" applyBorder="1" applyAlignment="1">
      <alignment horizontal="left" vertical="top" wrapText="1"/>
    </xf>
    <xf numFmtId="0" fontId="53" fillId="16" borderId="25" xfId="3" applyFont="1" applyFill="1" applyBorder="1" applyAlignment="1">
      <alignment horizontal="left" vertical="top" wrapText="1"/>
    </xf>
    <xf numFmtId="0" fontId="22" fillId="0" borderId="25" xfId="0" applyFont="1" applyBorder="1" applyAlignment="1">
      <alignment horizontal="left" vertical="top" wrapText="1"/>
    </xf>
    <xf numFmtId="0" fontId="22" fillId="10" borderId="25" xfId="0" applyFont="1" applyFill="1" applyBorder="1" applyAlignment="1">
      <alignment horizontal="left" vertical="top" wrapText="1"/>
    </xf>
    <xf numFmtId="0" fontId="154" fillId="17" borderId="25" xfId="0" applyFont="1" applyFill="1" applyBorder="1" applyAlignment="1">
      <alignment horizontal="left" vertical="top" wrapText="1"/>
    </xf>
    <xf numFmtId="0" fontId="154" fillId="17" borderId="25" xfId="3" applyFont="1" applyFill="1" applyBorder="1" applyAlignment="1">
      <alignment horizontal="left" vertical="top" wrapText="1"/>
    </xf>
    <xf numFmtId="0" fontId="126" fillId="3" borderId="25" xfId="0" applyFont="1" applyFill="1" applyBorder="1" applyAlignment="1">
      <alignment horizontal="left" vertical="top" wrapText="1"/>
    </xf>
    <xf numFmtId="166" fontId="16" fillId="0" borderId="0" xfId="5" applyNumberFormat="1" applyAlignment="1">
      <alignment horizontal="center" vertical="center"/>
    </xf>
    <xf numFmtId="166" fontId="20" fillId="0" borderId="0" xfId="5" applyNumberFormat="1" applyFont="1" applyAlignment="1">
      <alignment horizontal="center" vertical="center"/>
    </xf>
    <xf numFmtId="167" fontId="5" fillId="5" borderId="25" xfId="0" applyNumberFormat="1" applyFont="1" applyFill="1" applyBorder="1" applyAlignment="1">
      <alignment horizontal="center" vertical="center" wrapText="1"/>
    </xf>
    <xf numFmtId="167" fontId="6" fillId="3" borderId="25" xfId="0" applyNumberFormat="1" applyFont="1" applyFill="1" applyBorder="1" applyAlignment="1">
      <alignment horizontal="center" vertical="top" wrapText="1"/>
    </xf>
    <xf numFmtId="167" fontId="6" fillId="10" borderId="25" xfId="0" applyNumberFormat="1" applyFont="1" applyFill="1" applyBorder="1" applyAlignment="1">
      <alignment horizontal="center" vertical="top" wrapText="1"/>
    </xf>
    <xf numFmtId="167" fontId="116" fillId="10" borderId="25" xfId="0" applyNumberFormat="1" applyFont="1" applyFill="1" applyBorder="1" applyAlignment="1">
      <alignment horizontal="center" vertical="top" wrapText="1"/>
    </xf>
    <xf numFmtId="167" fontId="116" fillId="10" borderId="25" xfId="0" applyNumberFormat="1" applyFont="1" applyFill="1" applyBorder="1" applyAlignment="1">
      <alignment horizontal="right" vertical="center" wrapText="1"/>
    </xf>
    <xf numFmtId="167" fontId="116" fillId="3" borderId="25" xfId="0" applyNumberFormat="1" applyFont="1" applyFill="1" applyBorder="1" applyAlignment="1">
      <alignment horizontal="center" vertical="top" wrapText="1"/>
    </xf>
    <xf numFmtId="167" fontId="116" fillId="3" borderId="25" xfId="0" applyNumberFormat="1" applyFont="1" applyFill="1" applyBorder="1" applyAlignment="1">
      <alignment horizontal="right" vertical="center" wrapText="1"/>
    </xf>
    <xf numFmtId="167" fontId="6" fillId="12" borderId="25" xfId="0" applyNumberFormat="1" applyFont="1" applyFill="1" applyBorder="1" applyAlignment="1">
      <alignment horizontal="right" vertical="center" wrapText="1"/>
    </xf>
    <xf numFmtId="167" fontId="6" fillId="10" borderId="47" xfId="0" applyNumberFormat="1" applyFont="1" applyFill="1" applyBorder="1" applyAlignment="1">
      <alignment horizontal="right" vertical="center" wrapText="1"/>
    </xf>
    <xf numFmtId="166" fontId="16" fillId="0" borderId="0" xfId="5" applyNumberFormat="1"/>
    <xf numFmtId="166" fontId="9" fillId="0" borderId="0" xfId="5" applyNumberFormat="1" applyFont="1"/>
    <xf numFmtId="166" fontId="123" fillId="0" borderId="0" xfId="5" applyNumberFormat="1" applyFont="1"/>
    <xf numFmtId="166" fontId="57" fillId="21" borderId="27" xfId="5" applyNumberFormat="1" applyFont="1" applyFill="1" applyBorder="1" applyAlignment="1">
      <alignment horizontal="center" vertical="top"/>
    </xf>
    <xf numFmtId="0" fontId="156" fillId="3" borderId="25" xfId="0" applyFont="1" applyFill="1" applyBorder="1" applyAlignment="1">
      <alignment horizontal="center" vertical="top" wrapText="1"/>
    </xf>
    <xf numFmtId="0" fontId="20" fillId="0" borderId="0" xfId="0" applyFont="1" applyAlignment="1">
      <alignment horizontal="center"/>
    </xf>
    <xf numFmtId="0" fontId="13" fillId="0" borderId="25" xfId="0" applyFont="1" applyBorder="1" applyAlignment="1">
      <alignment horizontal="left" vertical="top" wrapText="1"/>
    </xf>
    <xf numFmtId="0" fontId="14" fillId="0" borderId="25" xfId="0" applyFont="1" applyBorder="1" applyAlignment="1">
      <alignment horizontal="left" vertical="top" wrapText="1"/>
    </xf>
    <xf numFmtId="0" fontId="50" fillId="15" borderId="0" xfId="2" applyFont="1" applyFill="1" applyAlignment="1">
      <alignment vertical="top" wrapText="1"/>
    </xf>
    <xf numFmtId="0" fontId="49" fillId="0" borderId="0" xfId="2"/>
    <xf numFmtId="0" fontId="54" fillId="0" borderId="0" xfId="2" applyFont="1"/>
    <xf numFmtId="0" fontId="53" fillId="0" borderId="0" xfId="2" applyFont="1"/>
    <xf numFmtId="0" fontId="137" fillId="0" borderId="0" xfId="7" applyFont="1" applyAlignment="1">
      <alignment horizontal="center" vertical="top" wrapText="1"/>
    </xf>
    <xf numFmtId="0" fontId="127" fillId="0" borderId="0" xfId="7"/>
    <xf numFmtId="0" fontId="137" fillId="44" borderId="0" xfId="7" applyFont="1" applyFill="1" applyAlignment="1">
      <alignment horizontal="left" vertical="top" wrapText="1"/>
    </xf>
    <xf numFmtId="0" fontId="138" fillId="7" borderId="0" xfId="7" applyFont="1" applyFill="1" applyAlignment="1">
      <alignment horizontal="left" vertical="top" wrapText="1"/>
    </xf>
    <xf numFmtId="0" fontId="136" fillId="43" borderId="0" xfId="7" applyFont="1" applyFill="1" applyAlignment="1">
      <alignment horizontal="left" vertical="top" wrapText="1"/>
    </xf>
    <xf numFmtId="0" fontId="138" fillId="8" borderId="0" xfId="7" applyFont="1" applyFill="1" applyAlignment="1">
      <alignment horizontal="left" vertical="top" wrapText="1"/>
    </xf>
    <xf numFmtId="0" fontId="135" fillId="42" borderId="0" xfId="7" applyFont="1" applyFill="1" applyAlignment="1">
      <alignment horizontal="center" vertical="top" wrapText="1"/>
    </xf>
    <xf numFmtId="0" fontId="137" fillId="6" borderId="0" xfId="7" applyFont="1" applyFill="1" applyAlignment="1">
      <alignment horizontal="left" vertical="top" wrapText="1"/>
    </xf>
    <xf numFmtId="0" fontId="137" fillId="0" borderId="0" xfId="7" applyFont="1" applyAlignment="1">
      <alignment horizontal="left" vertical="top" wrapText="1"/>
    </xf>
    <xf numFmtId="0" fontId="138" fillId="46" borderId="0" xfId="7" applyFont="1" applyFill="1" applyAlignment="1">
      <alignment horizontal="left" vertical="top" wrapText="1"/>
    </xf>
    <xf numFmtId="0" fontId="140" fillId="45" borderId="0" xfId="7" applyFont="1" applyFill="1" applyAlignment="1">
      <alignment horizontal="center" vertical="top" wrapText="1"/>
    </xf>
    <xf numFmtId="0" fontId="2" fillId="7" borderId="0" xfId="0" applyFont="1" applyFill="1" applyAlignment="1">
      <alignment vertical="top" wrapText="1"/>
    </xf>
    <xf numFmtId="0" fontId="0" fillId="10" borderId="0" xfId="0" applyFill="1"/>
    <xf numFmtId="0" fontId="60" fillId="0" borderId="0" xfId="0" applyFont="1" applyAlignment="1">
      <alignment vertical="top" wrapText="1"/>
    </xf>
    <xf numFmtId="0" fontId="59" fillId="2" borderId="0" xfId="0" applyFont="1" applyFill="1" applyAlignment="1">
      <alignment horizontal="center" vertical="center" wrapText="1"/>
    </xf>
    <xf numFmtId="0" fontId="0" fillId="0" borderId="0" xfId="0"/>
    <xf numFmtId="0" fontId="2" fillId="5" borderId="0" xfId="0" applyFont="1" applyFill="1" applyAlignment="1">
      <alignment vertical="top" wrapText="1"/>
    </xf>
    <xf numFmtId="0" fontId="60" fillId="10" borderId="0" xfId="0" applyFont="1" applyFill="1" applyAlignment="1">
      <alignment vertical="top" wrapText="1"/>
    </xf>
    <xf numFmtId="0" fontId="60" fillId="6" borderId="0" xfId="0" applyFont="1" applyFill="1" applyAlignment="1">
      <alignment vertical="top" wrapText="1"/>
    </xf>
    <xf numFmtId="0" fontId="59" fillId="2" borderId="7" xfId="0" applyFont="1" applyFill="1" applyBorder="1" applyAlignment="1">
      <alignment horizontal="center" vertical="center" wrapText="1"/>
    </xf>
    <xf numFmtId="0" fontId="0" fillId="0" borderId="28" xfId="0" applyBorder="1"/>
    <xf numFmtId="0" fontId="0" fillId="0" borderId="29" xfId="0" applyBorder="1"/>
  </cellXfs>
  <cellStyles count="8">
    <cellStyle name="Lien hypertexte" xfId="6" builtinId="8"/>
    <cellStyle name="Milliers" xfId="5" builtinId="3"/>
    <cellStyle name="Normal" xfId="0" builtinId="0"/>
    <cellStyle name="Normal 2" xfId="2" xr:uid="{00000000-0005-0000-0000-000002000000}"/>
    <cellStyle name="Normal 3" xfId="3" xr:uid="{00000000-0005-0000-0000-000003000000}"/>
    <cellStyle name="Normal 4" xfId="4" xr:uid="{00000000-0005-0000-0000-000004000000}"/>
    <cellStyle name="Normal 5" xfId="7" xr:uid="{00000000-0005-0000-0000-00000700000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7</xdr:col>
      <xdr:colOff>19050</xdr:colOff>
      <xdr:row>4</xdr:row>
      <xdr:rowOff>104776</xdr:rowOff>
    </xdr:from>
    <xdr:to>
      <xdr:col>16</xdr:col>
      <xdr:colOff>314325</xdr:colOff>
      <xdr:row>14</xdr:row>
      <xdr:rowOff>148338</xdr:rowOff>
    </xdr:to>
    <xdr:pic>
      <xdr:nvPicPr>
        <xdr:cNvPr id="2" name="Imag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4210050" y="866776"/>
          <a:ext cx="7153275" cy="1948562"/>
        </a:xfrm>
        <a:prstGeom prst="rect">
          <a:avLst/>
        </a:prstGeom>
        <a:ln>
          <a:prstDash val="solid"/>
        </a:ln>
      </xdr:spPr>
    </xdr:pic>
    <xdr:clientData/>
  </xdr:twoCellAnchor>
  <xdr:twoCellAnchor editAs="oneCell">
    <xdr:from>
      <xdr:col>6</xdr:col>
      <xdr:colOff>742950</xdr:colOff>
      <xdr:row>15</xdr:row>
      <xdr:rowOff>112401</xdr:rowOff>
    </xdr:from>
    <xdr:to>
      <xdr:col>25</xdr:col>
      <xdr:colOff>391542</xdr:colOff>
      <xdr:row>25</xdr:row>
      <xdr:rowOff>85724</xdr:rowOff>
    </xdr:to>
    <xdr:pic>
      <xdr:nvPicPr>
        <xdr:cNvPr id="3" name="Imag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4314825" y="2988951"/>
          <a:ext cx="14126592" cy="1887848"/>
        </a:xfrm>
        <a:prstGeom prst="rect">
          <a:avLst/>
        </a:prstGeom>
        <a:ln>
          <a:prstDash val="solid"/>
        </a:ln>
      </xdr:spPr>
    </xdr:pic>
    <xdr:clientData/>
  </xdr:twoCellAnchor>
  <xdr:twoCellAnchor editAs="oneCell">
    <xdr:from>
      <xdr:col>7</xdr:col>
      <xdr:colOff>28576</xdr:colOff>
      <xdr:row>26</xdr:row>
      <xdr:rowOff>44936</xdr:rowOff>
    </xdr:from>
    <xdr:to>
      <xdr:col>21</xdr:col>
      <xdr:colOff>733426</xdr:colOff>
      <xdr:row>34</xdr:row>
      <xdr:rowOff>95519</xdr:rowOff>
    </xdr:to>
    <xdr:pic>
      <xdr:nvPicPr>
        <xdr:cNvPr id="4" name="Imag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4219576" y="4997936"/>
          <a:ext cx="11372850" cy="1574583"/>
        </a:xfrm>
        <a:prstGeom prst="rect">
          <a:avLst/>
        </a:prstGeom>
        <a:ln>
          <a:prstDash val="solid"/>
        </a:ln>
      </xdr:spPr>
    </xdr:pic>
    <xdr:clientData/>
  </xdr:twoCellAnchor>
  <xdr:twoCellAnchor editAs="oneCell">
    <xdr:from>
      <xdr:col>6</xdr:col>
      <xdr:colOff>752382</xdr:colOff>
      <xdr:row>36</xdr:row>
      <xdr:rowOff>76200</xdr:rowOff>
    </xdr:from>
    <xdr:to>
      <xdr:col>16</xdr:col>
      <xdr:colOff>594283</xdr:colOff>
      <xdr:row>58</xdr:row>
      <xdr:rowOff>57150</xdr:rowOff>
    </xdr:to>
    <xdr:pic>
      <xdr:nvPicPr>
        <xdr:cNvPr id="5" name="Image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4"/>
        <a:stretch>
          <a:fillRect/>
        </a:stretch>
      </xdr:blipFill>
      <xdr:spPr>
        <a:xfrm>
          <a:off x="4324257" y="6953250"/>
          <a:ext cx="7461901" cy="4191000"/>
        </a:xfrm>
        <a:prstGeom prst="rect">
          <a:avLst/>
        </a:prstGeom>
        <a:ln>
          <a:prstDash val="solid"/>
        </a:ln>
      </xdr:spPr>
    </xdr:pic>
    <xdr:clientData/>
  </xdr:twoCellAnchor>
  <xdr:twoCellAnchor editAs="oneCell">
    <xdr:from>
      <xdr:col>6</xdr:col>
      <xdr:colOff>714375</xdr:colOff>
      <xdr:row>63</xdr:row>
      <xdr:rowOff>123825</xdr:rowOff>
    </xdr:from>
    <xdr:to>
      <xdr:col>16</xdr:col>
      <xdr:colOff>334385</xdr:colOff>
      <xdr:row>75</xdr:row>
      <xdr:rowOff>302</xdr:rowOff>
    </xdr:to>
    <xdr:pic>
      <xdr:nvPicPr>
        <xdr:cNvPr id="6" name="Image 5">
          <a:extLst>
            <a:ext uri="{FF2B5EF4-FFF2-40B4-BE49-F238E27FC236}">
              <a16:creationId xmlns:a16="http://schemas.microsoft.com/office/drawing/2014/main" id="{00000000-0008-0000-0E00-000006000000}"/>
            </a:ext>
          </a:extLst>
        </xdr:cNvPr>
        <xdr:cNvPicPr>
          <a:picLocks noChangeAspect="1"/>
        </xdr:cNvPicPr>
      </xdr:nvPicPr>
      <xdr:blipFill>
        <a:blip xmlns:r="http://schemas.openxmlformats.org/officeDocument/2006/relationships" r:embed="rId5"/>
        <a:stretch>
          <a:fillRect/>
        </a:stretch>
      </xdr:blipFill>
      <xdr:spPr>
        <a:xfrm>
          <a:off x="4286250" y="11553825"/>
          <a:ext cx="7240010" cy="2162477"/>
        </a:xfrm>
        <a:prstGeom prst="rect">
          <a:avLst/>
        </a:prstGeom>
        <a:ln>
          <a:prstDash val="solid"/>
        </a:ln>
      </xdr:spPr>
    </xdr:pic>
    <xdr:clientData/>
  </xdr:twoCellAnchor>
  <xdr:twoCellAnchor editAs="oneCell">
    <xdr:from>
      <xdr:col>7</xdr:col>
      <xdr:colOff>200025</xdr:colOff>
      <xdr:row>75</xdr:row>
      <xdr:rowOff>0</xdr:rowOff>
    </xdr:from>
    <xdr:to>
      <xdr:col>16</xdr:col>
      <xdr:colOff>96193</xdr:colOff>
      <xdr:row>109</xdr:row>
      <xdr:rowOff>39009</xdr:rowOff>
    </xdr:to>
    <xdr:pic>
      <xdr:nvPicPr>
        <xdr:cNvPr id="7" name="Image 6">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6"/>
        <a:stretch>
          <a:fillRect/>
        </a:stretch>
      </xdr:blipFill>
      <xdr:spPr>
        <a:xfrm>
          <a:off x="4533900" y="13716000"/>
          <a:ext cx="6754168" cy="6516009"/>
        </a:xfrm>
        <a:prstGeom prst="rect">
          <a:avLst/>
        </a:prstGeom>
        <a:ln>
          <a:prstDash val="solid"/>
        </a:ln>
      </xdr:spPr>
    </xdr:pic>
    <xdr:clientData/>
  </xdr:twoCellAnchor>
  <xdr:twoCellAnchor editAs="oneCell">
    <xdr:from>
      <xdr:col>16</xdr:col>
      <xdr:colOff>647700</xdr:colOff>
      <xdr:row>37</xdr:row>
      <xdr:rowOff>123825</xdr:rowOff>
    </xdr:from>
    <xdr:to>
      <xdr:col>24</xdr:col>
      <xdr:colOff>685800</xdr:colOff>
      <xdr:row>58</xdr:row>
      <xdr:rowOff>58829</xdr:rowOff>
    </xdr:to>
    <xdr:pic>
      <xdr:nvPicPr>
        <xdr:cNvPr id="8" name="Image 7">
          <a:extLst>
            <a:ext uri="{FF2B5EF4-FFF2-40B4-BE49-F238E27FC236}">
              <a16:creationId xmlns:a16="http://schemas.microsoft.com/office/drawing/2014/main" id="{00000000-0008-0000-0E00-000008000000}"/>
            </a:ext>
          </a:extLst>
        </xdr:cNvPr>
        <xdr:cNvPicPr>
          <a:picLocks noChangeAspect="1"/>
        </xdr:cNvPicPr>
      </xdr:nvPicPr>
      <xdr:blipFill>
        <a:blip xmlns:r="http://schemas.openxmlformats.org/officeDocument/2006/relationships" r:embed="rId7"/>
        <a:stretch>
          <a:fillRect/>
        </a:stretch>
      </xdr:blipFill>
      <xdr:spPr>
        <a:xfrm>
          <a:off x="11839575" y="7191375"/>
          <a:ext cx="6134100" cy="3954554"/>
        </a:xfrm>
        <a:prstGeom prst="rect">
          <a:avLst/>
        </a:prstGeom>
        <a:ln>
          <a:prstDash val="solid"/>
        </a:ln>
      </xdr:spPr>
    </xdr:pic>
    <xdr:clientData/>
  </xdr:twoCellAnchor>
  <xdr:twoCellAnchor editAs="oneCell">
    <xdr:from>
      <xdr:col>16</xdr:col>
      <xdr:colOff>581025</xdr:colOff>
      <xdr:row>64</xdr:row>
      <xdr:rowOff>57150</xdr:rowOff>
    </xdr:from>
    <xdr:to>
      <xdr:col>24</xdr:col>
      <xdr:colOff>553297</xdr:colOff>
      <xdr:row>80</xdr:row>
      <xdr:rowOff>152839</xdr:rowOff>
    </xdr:to>
    <xdr:pic>
      <xdr:nvPicPr>
        <xdr:cNvPr id="9" name="Image 8">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8"/>
        <a:stretch>
          <a:fillRect/>
        </a:stretch>
      </xdr:blipFill>
      <xdr:spPr>
        <a:xfrm>
          <a:off x="11772900" y="11677650"/>
          <a:ext cx="6068272" cy="3143689"/>
        </a:xfrm>
        <a:prstGeom prst="rect">
          <a:avLst/>
        </a:prstGeom>
        <a:ln>
          <a:prstDash val="solid"/>
        </a:ln>
      </xdr:spPr>
    </xdr:pic>
    <xdr:clientData/>
  </xdr:twoCellAnchor>
  <xdr:twoCellAnchor editAs="oneCell">
    <xdr:from>
      <xdr:col>17</xdr:col>
      <xdr:colOff>681877</xdr:colOff>
      <xdr:row>80</xdr:row>
      <xdr:rowOff>158565</xdr:rowOff>
    </xdr:from>
    <xdr:to>
      <xdr:col>23</xdr:col>
      <xdr:colOff>97882</xdr:colOff>
      <xdr:row>90</xdr:row>
      <xdr:rowOff>139612</xdr:rowOff>
    </xdr:to>
    <xdr:pic>
      <xdr:nvPicPr>
        <xdr:cNvPr id="10" name="Image 9">
          <a:extLst>
            <a:ext uri="{FF2B5EF4-FFF2-40B4-BE49-F238E27FC236}">
              <a16:creationId xmlns:a16="http://schemas.microsoft.com/office/drawing/2014/main" id="{00000000-0008-0000-0E00-00000A000000}"/>
            </a:ext>
          </a:extLst>
        </xdr:cNvPr>
        <xdr:cNvPicPr>
          <a:picLocks noChangeAspect="1"/>
        </xdr:cNvPicPr>
      </xdr:nvPicPr>
      <xdr:blipFill>
        <a:blip xmlns:r="http://schemas.openxmlformats.org/officeDocument/2006/relationships" r:embed="rId9"/>
        <a:stretch>
          <a:fillRect/>
        </a:stretch>
      </xdr:blipFill>
      <xdr:spPr>
        <a:xfrm>
          <a:off x="12635752" y="14827065"/>
          <a:ext cx="3988005" cy="1886047"/>
        </a:xfrm>
        <a:prstGeom prst="rect">
          <a:avLst/>
        </a:prstGeom>
        <a:ln>
          <a:prstDash val="solid"/>
        </a:ln>
      </xdr:spPr>
    </xdr:pic>
    <xdr:clientData/>
  </xdr:twoCellAnchor>
  <xdr:twoCellAnchor editAs="oneCell">
    <xdr:from>
      <xdr:col>16</xdr:col>
      <xdr:colOff>533401</xdr:colOff>
      <xdr:row>94</xdr:row>
      <xdr:rowOff>1</xdr:rowOff>
    </xdr:from>
    <xdr:to>
      <xdr:col>23</xdr:col>
      <xdr:colOff>1</xdr:colOff>
      <xdr:row>116</xdr:row>
      <xdr:rowOff>70673</xdr:rowOff>
    </xdr:to>
    <xdr:pic>
      <xdr:nvPicPr>
        <xdr:cNvPr id="11" name="Image 10">
          <a:extLst>
            <a:ext uri="{FF2B5EF4-FFF2-40B4-BE49-F238E27FC236}">
              <a16:creationId xmlns:a16="http://schemas.microsoft.com/office/drawing/2014/main" id="{00000000-0008-0000-0E00-00000B000000}"/>
            </a:ext>
          </a:extLst>
        </xdr:cNvPr>
        <xdr:cNvPicPr>
          <a:picLocks noChangeAspect="1"/>
        </xdr:cNvPicPr>
      </xdr:nvPicPr>
      <xdr:blipFill>
        <a:blip xmlns:r="http://schemas.openxmlformats.org/officeDocument/2006/relationships" r:embed="rId10"/>
        <a:stretch>
          <a:fillRect/>
        </a:stretch>
      </xdr:blipFill>
      <xdr:spPr>
        <a:xfrm>
          <a:off x="11725276" y="17335501"/>
          <a:ext cx="4800600" cy="4261672"/>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6</xdr:row>
      <xdr:rowOff>34195</xdr:rowOff>
    </xdr:from>
    <xdr:to>
      <xdr:col>14</xdr:col>
      <xdr:colOff>201084</xdr:colOff>
      <xdr:row>20</xdr:row>
      <xdr:rowOff>392907</xdr:rowOff>
    </xdr:to>
    <xdr:pic>
      <xdr:nvPicPr>
        <xdr:cNvPr id="2" name="Image 1">
          <a:extLst>
            <a:ext uri="{FF2B5EF4-FFF2-40B4-BE49-F238E27FC236}">
              <a16:creationId xmlns:a16="http://schemas.microsoft.com/office/drawing/2014/main" id="{00000000-0008-0000-1100-000002000000}"/>
            </a:ext>
          </a:extLst>
        </xdr:cNvPr>
        <xdr:cNvPicPr>
          <a:picLocks noChangeAspect="1" noChangeArrowheads="1"/>
        </xdr:cNvPicPr>
      </xdr:nvPicPr>
      <xdr:blipFill rotWithShape="1">
        <a:blip xmlns:r="http://schemas.openxmlformats.org/officeDocument/2006/relationships" r:embed="rId1"/>
        <a:srcRect t="8591" b="1821"/>
        <a:stretch>
          <a:fillRect/>
        </a:stretch>
      </xdr:blipFill>
      <xdr:spPr bwMode="auto">
        <a:xfrm>
          <a:off x="685800" y="1862995"/>
          <a:ext cx="13993284" cy="7826312"/>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DoublonsV2" displayName="TableDoublonsV2" ref="A1:J42">
  <autoFilter ref="A1:J42" xr:uid="{00000000-0009-0000-0100-000001000000}"/>
  <tableColumns count="10">
    <tableColumn id="1" xr3:uid="{00000000-0010-0000-0000-000001000000}" name="Catégorie chapeau"/>
    <tableColumn id="2" xr3:uid="{00000000-0010-0000-0000-000002000000}" name="Catégorie principale"/>
    <tableColumn id="3" xr3:uid="{00000000-0010-0000-0000-000003000000}" name="Sous-catégorie"/>
    <tableColumn id="4" xr3:uid="{00000000-0010-0000-0000-000004000000}" name="Doublon potentiel avec"/>
    <tableColumn id="5" xr3:uid="{00000000-0010-0000-0000-000005000000}" name="Sous-catégorie incluse dans"/>
    <tableColumn id="6" xr3:uid="{00000000-0010-0000-0000-000006000000}" name="Pourquoi risque de doublon ?"/>
    <tableColumn id="7" xr3:uid="{00000000-0010-0000-0000-000007000000}" name="Type de risque"/>
    <tableColumn id="8" xr3:uid="{00000000-0010-0000-0000-000008000000}" name="Recommandation de déduplication"/>
    <tableColumn id="9" xr3:uid="{00000000-0010-0000-0000-000009000000}" name="Inclure dans Total France par défaut (1/0)"/>
    <tableColumn id="10" xr3:uid="{00000000-0010-0000-0000-00000A000000}" name="Source principale"/>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statistiques.developpement-durable.gouv.fr/66-600-autocars-et-28-000-autobus-en-circulation-au-1er-janvier-2025"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3" Type="http://schemas.openxmlformats.org/officeDocument/2006/relationships/hyperlink" Target="https://www.sdbpro.fr/marche-salle-de-bains-2024-recul-42/?utm_source=chatgpt.com" TargetMode="External"/><Relationship Id="rId2" Type="http://schemas.openxmlformats.org/officeDocument/2006/relationships/hyperlink" Target="https://www.sdbpro.fr/salle-de-bains-2023-ventes-fabricants-baissent-de-12/" TargetMode="External"/><Relationship Id="rId1" Type="http://schemas.openxmlformats.org/officeDocument/2006/relationships/hyperlink" Target="https://www.salledebains.fr/en-2022-la-salle-de-bains-franchit-la-barre-symbolique-des-2-milliards-deuros/" TargetMode="External"/><Relationship Id="rId4"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8"/>
  <sheetViews>
    <sheetView zoomScale="85" zoomScaleNormal="85" workbookViewId="0">
      <pane ySplit="3" topLeftCell="A4" activePane="bottomLeft" state="frozen"/>
      <selection activeCell="B9" sqref="B9"/>
      <selection pane="bottomLeft" activeCell="C26" sqref="C26"/>
    </sheetView>
  </sheetViews>
  <sheetFormatPr baseColWidth="10" defaultColWidth="8.7109375" defaultRowHeight="15"/>
  <cols>
    <col min="1" max="1" width="14" style="929" customWidth="1"/>
    <col min="2" max="2" width="62.28515625" style="929" customWidth="1"/>
    <col min="3" max="3" width="76.42578125" style="930" customWidth="1"/>
    <col min="4" max="4" width="10" style="929" customWidth="1"/>
    <col min="5" max="5" width="8.140625" style="929" customWidth="1"/>
    <col min="6" max="17" width="10" style="929" customWidth="1"/>
    <col min="18" max="18" width="142.85546875" style="931" customWidth="1"/>
    <col min="19" max="27" width="8.7109375" style="929" customWidth="1"/>
    <col min="28" max="16384" width="8.7109375" style="929"/>
  </cols>
  <sheetData>
    <row r="1" spans="1:18" ht="18" customHeight="1">
      <c r="A1" s="989" t="s">
        <v>0</v>
      </c>
      <c r="B1" s="990"/>
      <c r="C1" s="991"/>
      <c r="D1" s="990"/>
      <c r="E1" s="990"/>
      <c r="F1" s="990"/>
      <c r="G1" s="990"/>
      <c r="H1" s="990"/>
      <c r="I1" s="990"/>
      <c r="J1" s="990"/>
      <c r="K1" s="990"/>
      <c r="L1" s="990"/>
      <c r="M1" s="990"/>
      <c r="N1" s="990"/>
      <c r="O1" s="990"/>
      <c r="P1" s="990"/>
      <c r="Q1" s="990"/>
      <c r="R1" s="992"/>
    </row>
    <row r="2" spans="1:18">
      <c r="A2" s="148" t="s">
        <v>1</v>
      </c>
      <c r="B2" s="145"/>
      <c r="C2" s="149" t="s">
        <v>2</v>
      </c>
      <c r="D2" s="145"/>
      <c r="E2" s="145"/>
      <c r="F2" s="145"/>
      <c r="G2" s="145"/>
      <c r="H2" s="145"/>
      <c r="I2" s="145"/>
      <c r="J2" s="145"/>
      <c r="K2" s="145"/>
      <c r="L2" s="145"/>
      <c r="M2" s="145"/>
      <c r="N2" s="145"/>
      <c r="O2" s="145"/>
      <c r="P2" s="145"/>
      <c r="Q2" s="145"/>
      <c r="R2" s="150"/>
    </row>
    <row r="3" spans="1:18">
      <c r="A3" s="145"/>
      <c r="B3" s="145"/>
      <c r="C3" s="151"/>
      <c r="D3" s="145"/>
      <c r="E3" s="145"/>
      <c r="F3" s="145"/>
      <c r="G3" s="145"/>
      <c r="H3" s="145"/>
      <c r="I3" s="145"/>
      <c r="J3" s="145"/>
      <c r="K3" s="145"/>
      <c r="L3" s="145"/>
      <c r="M3" s="145"/>
      <c r="N3" s="145"/>
      <c r="O3" s="145"/>
      <c r="P3" s="145"/>
      <c r="Q3" s="145"/>
      <c r="R3" s="150"/>
    </row>
    <row r="4" spans="1:18" ht="28.5" customHeight="1">
      <c r="A4" s="146" t="s">
        <v>3</v>
      </c>
      <c r="B4" s="146" t="s">
        <v>4</v>
      </c>
      <c r="C4" s="152" t="s">
        <v>5</v>
      </c>
      <c r="D4" s="153" t="s">
        <v>6</v>
      </c>
      <c r="E4" s="153" t="s">
        <v>7</v>
      </c>
      <c r="F4" s="153" t="s">
        <v>8</v>
      </c>
      <c r="G4" s="153" t="s">
        <v>9</v>
      </c>
      <c r="H4" s="153" t="s">
        <v>10</v>
      </c>
      <c r="I4" s="153" t="s">
        <v>11</v>
      </c>
      <c r="J4" s="153" t="s">
        <v>12</v>
      </c>
      <c r="K4" s="153" t="s">
        <v>13</v>
      </c>
      <c r="L4" s="153" t="s">
        <v>14</v>
      </c>
      <c r="M4" s="153" t="s">
        <v>15</v>
      </c>
      <c r="N4" s="153" t="s">
        <v>16</v>
      </c>
      <c r="O4" s="153" t="s">
        <v>17</v>
      </c>
      <c r="P4" s="153" t="s">
        <v>18</v>
      </c>
      <c r="Q4" s="153" t="s">
        <v>19</v>
      </c>
      <c r="R4" s="154" t="s">
        <v>20</v>
      </c>
    </row>
    <row r="5" spans="1:18" ht="24.95" customHeight="1">
      <c r="A5" s="155" t="s">
        <v>21</v>
      </c>
      <c r="B5" s="156" t="s">
        <v>22</v>
      </c>
      <c r="C5" s="151" t="s">
        <v>23</v>
      </c>
      <c r="D5" s="855">
        <v>14</v>
      </c>
      <c r="E5" s="855">
        <v>13</v>
      </c>
      <c r="F5" s="855">
        <v>10</v>
      </c>
      <c r="G5" s="855">
        <v>12</v>
      </c>
      <c r="H5" s="855">
        <v>14</v>
      </c>
      <c r="I5" s="855">
        <v>13</v>
      </c>
      <c r="J5" s="855">
        <v>10</v>
      </c>
      <c r="K5" s="855">
        <v>13</v>
      </c>
      <c r="L5" s="855">
        <v>14</v>
      </c>
      <c r="M5" s="855">
        <v>10</v>
      </c>
      <c r="N5" s="855">
        <v>12</v>
      </c>
      <c r="O5" s="855">
        <v>15</v>
      </c>
      <c r="P5" s="855">
        <v>15</v>
      </c>
      <c r="Q5" s="855">
        <v>11</v>
      </c>
      <c r="R5" s="150" t="s">
        <v>24</v>
      </c>
    </row>
    <row r="6" spans="1:18" ht="24.95" customHeight="1">
      <c r="A6" s="155" t="s">
        <v>25</v>
      </c>
      <c r="B6" s="156" t="s">
        <v>26</v>
      </c>
      <c r="C6" s="151" t="s">
        <v>27</v>
      </c>
      <c r="D6" s="855">
        <v>12</v>
      </c>
      <c r="E6" s="855">
        <v>13</v>
      </c>
      <c r="F6" s="855">
        <v>9</v>
      </c>
      <c r="G6" s="855">
        <v>11</v>
      </c>
      <c r="H6" s="855">
        <v>12</v>
      </c>
      <c r="I6" s="855">
        <v>11</v>
      </c>
      <c r="J6" s="855">
        <v>8</v>
      </c>
      <c r="K6" s="855">
        <v>10</v>
      </c>
      <c r="L6" s="855">
        <v>13</v>
      </c>
      <c r="M6" s="855">
        <v>9</v>
      </c>
      <c r="N6" s="855">
        <v>11</v>
      </c>
      <c r="O6" s="855">
        <v>11</v>
      </c>
      <c r="P6" s="855">
        <v>13</v>
      </c>
      <c r="Q6" s="855">
        <v>10</v>
      </c>
      <c r="R6" s="150" t="s">
        <v>28</v>
      </c>
    </row>
    <row r="7" spans="1:18" ht="24.95" customHeight="1">
      <c r="A7" s="155" t="s">
        <v>29</v>
      </c>
      <c r="B7" s="156" t="s">
        <v>30</v>
      </c>
      <c r="C7" s="151" t="s">
        <v>31</v>
      </c>
      <c r="D7" s="855">
        <v>13</v>
      </c>
      <c r="E7" s="855">
        <v>14</v>
      </c>
      <c r="F7" s="855">
        <v>10</v>
      </c>
      <c r="G7" s="855">
        <v>12</v>
      </c>
      <c r="H7" s="855">
        <v>13</v>
      </c>
      <c r="I7" s="855">
        <v>12</v>
      </c>
      <c r="J7" s="855">
        <v>9</v>
      </c>
      <c r="K7" s="855">
        <v>11</v>
      </c>
      <c r="L7" s="855">
        <v>14</v>
      </c>
      <c r="M7" s="855">
        <v>10</v>
      </c>
      <c r="N7" s="855">
        <v>12</v>
      </c>
      <c r="O7" s="855">
        <v>12</v>
      </c>
      <c r="P7" s="855">
        <v>14</v>
      </c>
      <c r="Q7" s="855">
        <v>11</v>
      </c>
      <c r="R7" s="150" t="s">
        <v>32</v>
      </c>
    </row>
    <row r="8" spans="1:18" ht="24.95" customHeight="1">
      <c r="A8" s="155" t="s">
        <v>33</v>
      </c>
      <c r="B8" s="156" t="s">
        <v>34</v>
      </c>
      <c r="C8" s="151" t="s">
        <v>35</v>
      </c>
      <c r="D8" s="855">
        <v>14</v>
      </c>
      <c r="E8" s="855">
        <v>13</v>
      </c>
      <c r="F8" s="855">
        <v>10</v>
      </c>
      <c r="G8" s="855">
        <v>12</v>
      </c>
      <c r="H8" s="855">
        <v>13</v>
      </c>
      <c r="I8" s="855">
        <v>12</v>
      </c>
      <c r="J8" s="855">
        <v>9</v>
      </c>
      <c r="K8" s="855">
        <v>12</v>
      </c>
      <c r="L8" s="855">
        <v>13</v>
      </c>
      <c r="M8" s="855">
        <v>9</v>
      </c>
      <c r="N8" s="855">
        <v>11</v>
      </c>
      <c r="O8" s="855">
        <v>14</v>
      </c>
      <c r="P8" s="855">
        <v>13</v>
      </c>
      <c r="Q8" s="855">
        <v>10</v>
      </c>
      <c r="R8" s="150" t="s">
        <v>36</v>
      </c>
    </row>
    <row r="9" spans="1:18" ht="24.95" customHeight="1">
      <c r="A9" s="155" t="s">
        <v>37</v>
      </c>
      <c r="B9" s="156" t="s">
        <v>38</v>
      </c>
      <c r="C9" s="151" t="s">
        <v>39</v>
      </c>
      <c r="D9" s="855">
        <v>13</v>
      </c>
      <c r="E9" s="855">
        <v>13</v>
      </c>
      <c r="F9" s="855">
        <v>9</v>
      </c>
      <c r="G9" s="856">
        <v>11</v>
      </c>
      <c r="H9" s="855">
        <v>12</v>
      </c>
      <c r="I9" s="855">
        <v>11</v>
      </c>
      <c r="J9" s="855">
        <v>8</v>
      </c>
      <c r="K9" s="855">
        <v>10</v>
      </c>
      <c r="L9" s="855">
        <v>12</v>
      </c>
      <c r="M9" s="855">
        <v>8</v>
      </c>
      <c r="N9" s="855">
        <v>10</v>
      </c>
      <c r="O9" s="855">
        <v>11</v>
      </c>
      <c r="P9" s="855">
        <v>12</v>
      </c>
      <c r="Q9" s="855">
        <v>9</v>
      </c>
      <c r="R9" s="150" t="s">
        <v>36</v>
      </c>
    </row>
    <row r="10" spans="1:18" ht="24.95" customHeight="1">
      <c r="A10" s="155" t="s">
        <v>40</v>
      </c>
      <c r="B10" s="156" t="s">
        <v>41</v>
      </c>
      <c r="C10" s="151" t="s">
        <v>42</v>
      </c>
      <c r="D10" s="855">
        <v>12</v>
      </c>
      <c r="E10" s="855">
        <v>11</v>
      </c>
      <c r="F10" s="855">
        <v>8</v>
      </c>
      <c r="G10" s="855">
        <v>10</v>
      </c>
      <c r="H10" s="855">
        <v>11</v>
      </c>
      <c r="I10" s="855">
        <v>10</v>
      </c>
      <c r="J10" s="855">
        <v>8</v>
      </c>
      <c r="K10" s="855">
        <v>10</v>
      </c>
      <c r="L10" s="855">
        <v>12</v>
      </c>
      <c r="M10" s="855">
        <v>8</v>
      </c>
      <c r="N10" s="855">
        <v>10</v>
      </c>
      <c r="O10" s="855">
        <v>12</v>
      </c>
      <c r="P10" s="855">
        <v>12</v>
      </c>
      <c r="Q10" s="855">
        <v>9</v>
      </c>
      <c r="R10" s="150" t="s">
        <v>43</v>
      </c>
    </row>
    <row r="11" spans="1:18" ht="24.95" customHeight="1">
      <c r="A11" s="155" t="s">
        <v>44</v>
      </c>
      <c r="B11" s="156" t="s">
        <v>45</v>
      </c>
      <c r="C11" s="151" t="s">
        <v>46</v>
      </c>
      <c r="D11" s="855">
        <v>12</v>
      </c>
      <c r="E11" s="855">
        <v>12</v>
      </c>
      <c r="F11" s="855">
        <v>9</v>
      </c>
      <c r="G11" s="855">
        <v>10</v>
      </c>
      <c r="H11" s="855">
        <v>12</v>
      </c>
      <c r="I11" s="855">
        <v>11</v>
      </c>
      <c r="J11" s="855">
        <v>8</v>
      </c>
      <c r="K11" s="855">
        <v>11</v>
      </c>
      <c r="L11" s="855">
        <v>12</v>
      </c>
      <c r="M11" s="855">
        <v>8</v>
      </c>
      <c r="N11" s="855">
        <v>10</v>
      </c>
      <c r="O11" s="855">
        <v>12</v>
      </c>
      <c r="P11" s="855">
        <v>12</v>
      </c>
      <c r="Q11" s="855">
        <v>9</v>
      </c>
      <c r="R11" s="150" t="s">
        <v>47</v>
      </c>
    </row>
    <row r="12" spans="1:18" ht="24.95" customHeight="1">
      <c r="A12" s="155" t="s">
        <v>48</v>
      </c>
      <c r="B12" s="156" t="s">
        <v>49</v>
      </c>
      <c r="C12" s="151" t="s">
        <v>50</v>
      </c>
      <c r="D12" s="855">
        <v>14</v>
      </c>
      <c r="E12" s="855">
        <v>13</v>
      </c>
      <c r="F12" s="855">
        <v>10</v>
      </c>
      <c r="G12" s="855">
        <v>12</v>
      </c>
      <c r="H12" s="855">
        <v>13</v>
      </c>
      <c r="I12" s="855">
        <v>12</v>
      </c>
      <c r="J12" s="855">
        <v>9</v>
      </c>
      <c r="K12" s="855">
        <v>13</v>
      </c>
      <c r="L12" s="855">
        <v>13</v>
      </c>
      <c r="M12" s="855">
        <v>9</v>
      </c>
      <c r="N12" s="855">
        <v>11</v>
      </c>
      <c r="O12" s="855">
        <v>15</v>
      </c>
      <c r="P12" s="855">
        <v>13</v>
      </c>
      <c r="Q12" s="855">
        <v>10</v>
      </c>
      <c r="R12" s="150" t="s">
        <v>51</v>
      </c>
    </row>
    <row r="13" spans="1:18" ht="24.95" customHeight="1">
      <c r="A13" s="155" t="s">
        <v>52</v>
      </c>
      <c r="B13" s="156" t="s">
        <v>53</v>
      </c>
      <c r="C13" s="151" t="s">
        <v>54</v>
      </c>
      <c r="D13" s="855">
        <v>13</v>
      </c>
      <c r="E13" s="855">
        <v>13</v>
      </c>
      <c r="F13" s="855">
        <v>10</v>
      </c>
      <c r="G13" s="855">
        <v>12</v>
      </c>
      <c r="H13" s="855">
        <v>13</v>
      </c>
      <c r="I13" s="855">
        <v>12</v>
      </c>
      <c r="J13" s="855">
        <v>9</v>
      </c>
      <c r="K13" s="855">
        <v>11</v>
      </c>
      <c r="L13" s="855">
        <v>13</v>
      </c>
      <c r="M13" s="855">
        <v>9</v>
      </c>
      <c r="N13" s="855">
        <v>11</v>
      </c>
      <c r="O13" s="855">
        <v>12</v>
      </c>
      <c r="P13" s="855">
        <v>13</v>
      </c>
      <c r="Q13" s="855">
        <v>10</v>
      </c>
      <c r="R13" s="150" t="s">
        <v>55</v>
      </c>
    </row>
    <row r="14" spans="1:18" ht="24.95" customHeight="1">
      <c r="A14" s="155" t="s">
        <v>56</v>
      </c>
      <c r="B14" s="156" t="s">
        <v>57</v>
      </c>
      <c r="C14" s="151" t="s">
        <v>58</v>
      </c>
      <c r="D14" s="855">
        <v>10</v>
      </c>
      <c r="E14" s="855">
        <v>11</v>
      </c>
      <c r="F14" s="855">
        <v>8</v>
      </c>
      <c r="G14" s="855">
        <v>9</v>
      </c>
      <c r="H14" s="855">
        <v>11</v>
      </c>
      <c r="I14" s="855">
        <v>10</v>
      </c>
      <c r="J14" s="855">
        <v>8</v>
      </c>
      <c r="K14" s="855">
        <v>9</v>
      </c>
      <c r="L14" s="855">
        <v>11</v>
      </c>
      <c r="M14" s="855">
        <v>8</v>
      </c>
      <c r="N14" s="855">
        <v>9</v>
      </c>
      <c r="O14" s="855">
        <v>10</v>
      </c>
      <c r="P14" s="855">
        <v>11</v>
      </c>
      <c r="Q14" s="855">
        <v>9</v>
      </c>
      <c r="R14" s="150" t="s">
        <v>59</v>
      </c>
    </row>
    <row r="15" spans="1:18" ht="24.95" customHeight="1">
      <c r="A15" s="155" t="s">
        <v>60</v>
      </c>
      <c r="B15" s="156" t="s">
        <v>61</v>
      </c>
      <c r="C15" s="151" t="s">
        <v>62</v>
      </c>
      <c r="D15" s="855">
        <v>9</v>
      </c>
      <c r="E15" s="855">
        <v>11</v>
      </c>
      <c r="F15" s="855">
        <v>8</v>
      </c>
      <c r="G15" s="855">
        <v>9</v>
      </c>
      <c r="H15" s="855">
        <v>10</v>
      </c>
      <c r="I15" s="855">
        <v>10</v>
      </c>
      <c r="J15" s="855">
        <v>8</v>
      </c>
      <c r="K15" s="855">
        <v>8</v>
      </c>
      <c r="L15" s="855">
        <v>11</v>
      </c>
      <c r="M15" s="855">
        <v>8</v>
      </c>
      <c r="N15" s="855">
        <v>9</v>
      </c>
      <c r="O15" s="855">
        <v>9</v>
      </c>
      <c r="P15" s="855">
        <v>12</v>
      </c>
      <c r="Q15" s="855">
        <v>9</v>
      </c>
      <c r="R15" s="150" t="s">
        <v>63</v>
      </c>
    </row>
    <row r="16" spans="1:18" ht="24.95" customHeight="1">
      <c r="A16" s="155" t="s">
        <v>64</v>
      </c>
      <c r="B16" s="156" t="s">
        <v>65</v>
      </c>
      <c r="C16" s="151" t="s">
        <v>66</v>
      </c>
      <c r="D16" s="855">
        <v>13</v>
      </c>
      <c r="E16" s="855">
        <v>13</v>
      </c>
      <c r="F16" s="855">
        <v>10</v>
      </c>
      <c r="G16" s="855">
        <v>12</v>
      </c>
      <c r="H16" s="855">
        <v>13</v>
      </c>
      <c r="I16" s="855">
        <v>12</v>
      </c>
      <c r="J16" s="855">
        <v>9</v>
      </c>
      <c r="K16" s="855">
        <v>11</v>
      </c>
      <c r="L16" s="855">
        <v>13</v>
      </c>
      <c r="M16" s="855">
        <v>9</v>
      </c>
      <c r="N16" s="855">
        <v>11</v>
      </c>
      <c r="O16" s="855">
        <v>12</v>
      </c>
      <c r="P16" s="855">
        <v>13</v>
      </c>
      <c r="Q16" s="855">
        <v>10</v>
      </c>
      <c r="R16" s="150" t="s">
        <v>67</v>
      </c>
    </row>
    <row r="17" spans="1:18" ht="24.95" customHeight="1">
      <c r="A17" s="155" t="s">
        <v>68</v>
      </c>
      <c r="B17" s="156" t="s">
        <v>69</v>
      </c>
      <c r="C17" s="151" t="s">
        <v>70</v>
      </c>
      <c r="D17" s="855">
        <v>12</v>
      </c>
      <c r="E17" s="855">
        <v>13</v>
      </c>
      <c r="F17" s="855">
        <v>9</v>
      </c>
      <c r="G17" s="855">
        <v>11</v>
      </c>
      <c r="H17" s="855">
        <v>11</v>
      </c>
      <c r="I17" s="855">
        <v>11</v>
      </c>
      <c r="J17" s="855">
        <v>8</v>
      </c>
      <c r="K17" s="855">
        <v>10</v>
      </c>
      <c r="L17" s="855">
        <v>12</v>
      </c>
      <c r="M17" s="855">
        <v>8</v>
      </c>
      <c r="N17" s="855">
        <v>10</v>
      </c>
      <c r="O17" s="855">
        <v>11</v>
      </c>
      <c r="P17" s="855">
        <v>12</v>
      </c>
      <c r="Q17" s="855">
        <v>9</v>
      </c>
      <c r="R17" s="150" t="s">
        <v>71</v>
      </c>
    </row>
    <row r="18" spans="1:18" ht="24.95" customHeight="1">
      <c r="A18" s="155" t="s">
        <v>72</v>
      </c>
      <c r="B18" s="156" t="s">
        <v>73</v>
      </c>
      <c r="C18" s="151" t="s">
        <v>74</v>
      </c>
      <c r="D18" s="855">
        <v>12</v>
      </c>
      <c r="E18" s="855">
        <v>12</v>
      </c>
      <c r="F18" s="855">
        <v>9</v>
      </c>
      <c r="G18" s="855">
        <v>11</v>
      </c>
      <c r="H18" s="855">
        <v>11</v>
      </c>
      <c r="I18" s="855">
        <v>11</v>
      </c>
      <c r="J18" s="855">
        <v>8</v>
      </c>
      <c r="K18" s="855">
        <v>10</v>
      </c>
      <c r="L18" s="855">
        <v>11</v>
      </c>
      <c r="M18" s="855">
        <v>8</v>
      </c>
      <c r="N18" s="855">
        <v>9</v>
      </c>
      <c r="O18" s="855">
        <v>12</v>
      </c>
      <c r="P18" s="855">
        <v>11</v>
      </c>
      <c r="Q18" s="855">
        <v>9</v>
      </c>
      <c r="R18" s="150" t="s">
        <v>75</v>
      </c>
    </row>
    <row r="19" spans="1:18" ht="24.95" customHeight="1">
      <c r="A19" s="155" t="s">
        <v>76</v>
      </c>
      <c r="B19" s="156" t="s">
        <v>77</v>
      </c>
      <c r="C19" s="151" t="s">
        <v>78</v>
      </c>
      <c r="D19" s="855">
        <v>12</v>
      </c>
      <c r="E19" s="855">
        <v>12</v>
      </c>
      <c r="F19" s="855">
        <v>9</v>
      </c>
      <c r="G19" s="855">
        <v>11</v>
      </c>
      <c r="H19" s="855">
        <v>10</v>
      </c>
      <c r="I19" s="855">
        <v>10</v>
      </c>
      <c r="J19" s="855">
        <v>8</v>
      </c>
      <c r="K19" s="855">
        <v>10</v>
      </c>
      <c r="L19" s="855">
        <v>11</v>
      </c>
      <c r="M19" s="855">
        <v>8</v>
      </c>
      <c r="N19" s="855">
        <v>9</v>
      </c>
      <c r="O19" s="855">
        <v>11</v>
      </c>
      <c r="P19" s="855">
        <v>11</v>
      </c>
      <c r="Q19" s="855">
        <v>9</v>
      </c>
      <c r="R19" s="150" t="s">
        <v>36</v>
      </c>
    </row>
    <row r="20" spans="1:18" ht="24.95" customHeight="1">
      <c r="A20" s="155" t="s">
        <v>79</v>
      </c>
      <c r="B20" s="156" t="s">
        <v>80</v>
      </c>
      <c r="C20" s="151" t="s">
        <v>81</v>
      </c>
      <c r="D20" s="855">
        <v>10</v>
      </c>
      <c r="E20" s="855">
        <v>11</v>
      </c>
      <c r="F20" s="855">
        <v>8</v>
      </c>
      <c r="G20" s="855">
        <v>9</v>
      </c>
      <c r="H20" s="855">
        <v>9</v>
      </c>
      <c r="I20" s="855">
        <v>10</v>
      </c>
      <c r="J20" s="855">
        <v>8</v>
      </c>
      <c r="K20" s="855">
        <v>8</v>
      </c>
      <c r="L20" s="855">
        <v>11</v>
      </c>
      <c r="M20" s="855">
        <v>8</v>
      </c>
      <c r="N20" s="855">
        <v>9</v>
      </c>
      <c r="O20" s="855">
        <v>9</v>
      </c>
      <c r="P20" s="855">
        <v>12</v>
      </c>
      <c r="Q20" s="855">
        <v>9</v>
      </c>
      <c r="R20" s="150" t="s">
        <v>82</v>
      </c>
    </row>
    <row r="21" spans="1:18" ht="24.95" customHeight="1">
      <c r="A21" s="155" t="s">
        <v>83</v>
      </c>
      <c r="B21" s="156" t="s">
        <v>84</v>
      </c>
      <c r="C21" s="151" t="s">
        <v>85</v>
      </c>
      <c r="D21" s="855">
        <v>11</v>
      </c>
      <c r="E21" s="855">
        <v>12</v>
      </c>
      <c r="F21" s="855">
        <v>9</v>
      </c>
      <c r="G21" s="855">
        <v>10</v>
      </c>
      <c r="H21" s="855">
        <v>11</v>
      </c>
      <c r="I21" s="855">
        <v>11</v>
      </c>
      <c r="J21" s="855">
        <v>8</v>
      </c>
      <c r="K21" s="855">
        <v>10</v>
      </c>
      <c r="L21" s="855">
        <v>12</v>
      </c>
      <c r="M21" s="855">
        <v>8</v>
      </c>
      <c r="N21" s="855">
        <v>10</v>
      </c>
      <c r="O21" s="855">
        <v>10</v>
      </c>
      <c r="P21" s="855">
        <v>12</v>
      </c>
      <c r="Q21" s="855">
        <v>9</v>
      </c>
      <c r="R21" s="150" t="s">
        <v>86</v>
      </c>
    </row>
    <row r="22" spans="1:18" ht="24.95" customHeight="1">
      <c r="A22" s="155" t="s">
        <v>87</v>
      </c>
      <c r="B22" s="156" t="s">
        <v>88</v>
      </c>
      <c r="C22" s="151" t="s">
        <v>89</v>
      </c>
      <c r="D22" s="855">
        <v>10</v>
      </c>
      <c r="E22" s="855">
        <v>11</v>
      </c>
      <c r="F22" s="855">
        <v>8</v>
      </c>
      <c r="G22" s="855">
        <v>9</v>
      </c>
      <c r="H22" s="855">
        <v>10</v>
      </c>
      <c r="I22" s="855">
        <v>10</v>
      </c>
      <c r="J22" s="855">
        <v>8</v>
      </c>
      <c r="K22" s="855">
        <v>9</v>
      </c>
      <c r="L22" s="855">
        <v>11</v>
      </c>
      <c r="M22" s="855">
        <v>8</v>
      </c>
      <c r="N22" s="855">
        <v>10</v>
      </c>
      <c r="O22" s="855">
        <v>10</v>
      </c>
      <c r="P22" s="855">
        <v>11</v>
      </c>
      <c r="Q22" s="855">
        <v>9</v>
      </c>
      <c r="R22" s="150" t="s">
        <v>90</v>
      </c>
    </row>
    <row r="23" spans="1:18" ht="24.95" customHeight="1">
      <c r="A23" s="155" t="s">
        <v>91</v>
      </c>
      <c r="B23" s="156" t="s">
        <v>92</v>
      </c>
      <c r="C23" s="151" t="s">
        <v>93</v>
      </c>
      <c r="D23" s="855">
        <v>15</v>
      </c>
      <c r="E23" s="855">
        <v>14</v>
      </c>
      <c r="F23" s="855">
        <v>10</v>
      </c>
      <c r="G23" s="855">
        <v>13</v>
      </c>
      <c r="H23" s="855">
        <v>14</v>
      </c>
      <c r="I23" s="855">
        <v>13</v>
      </c>
      <c r="J23" s="855">
        <v>9</v>
      </c>
      <c r="K23" s="855">
        <v>13</v>
      </c>
      <c r="L23" s="855">
        <v>14</v>
      </c>
      <c r="M23" s="855">
        <v>9</v>
      </c>
      <c r="N23" s="855">
        <v>12</v>
      </c>
      <c r="O23" s="855">
        <v>15</v>
      </c>
      <c r="P23" s="855">
        <v>14</v>
      </c>
      <c r="Q23" s="855">
        <v>10</v>
      </c>
      <c r="R23" s="150" t="s">
        <v>32</v>
      </c>
    </row>
    <row r="24" spans="1:18">
      <c r="A24" s="157"/>
      <c r="B24" s="145"/>
      <c r="C24" s="151"/>
      <c r="D24" s="145"/>
      <c r="E24" s="145"/>
      <c r="F24" s="145"/>
      <c r="G24" s="145"/>
      <c r="H24" s="145"/>
      <c r="I24" s="145"/>
      <c r="J24" s="145"/>
      <c r="K24" s="145"/>
      <c r="L24" s="145"/>
      <c r="M24" s="145"/>
      <c r="N24" s="145"/>
      <c r="O24" s="145"/>
      <c r="P24" s="145"/>
      <c r="Q24" s="145"/>
      <c r="R24" s="150"/>
    </row>
    <row r="25" spans="1:18">
      <c r="A25" s="157"/>
      <c r="B25" s="145"/>
      <c r="C25" s="151"/>
      <c r="D25" s="145"/>
      <c r="E25" s="145"/>
      <c r="F25" s="145"/>
      <c r="G25" s="145"/>
      <c r="H25" s="145"/>
      <c r="I25" s="145"/>
      <c r="J25" s="145"/>
      <c r="K25" s="145"/>
      <c r="L25" s="145"/>
      <c r="M25" s="145"/>
      <c r="N25" s="145"/>
      <c r="O25" s="145"/>
      <c r="P25" s="145"/>
      <c r="Q25" s="145"/>
      <c r="R25" s="150"/>
    </row>
    <row r="26" spans="1:18">
      <c r="A26" s="158" t="s">
        <v>94</v>
      </c>
      <c r="B26" s="145"/>
      <c r="C26" s="151"/>
      <c r="D26" s="145"/>
      <c r="E26" s="145"/>
      <c r="F26" s="145"/>
      <c r="G26" s="145"/>
      <c r="H26" s="145"/>
      <c r="I26" s="145"/>
      <c r="J26" s="145"/>
      <c r="K26" s="145"/>
      <c r="L26" s="145"/>
      <c r="M26" s="145"/>
      <c r="N26" s="145"/>
      <c r="O26" s="145"/>
      <c r="P26" s="145"/>
      <c r="Q26" s="145"/>
      <c r="R26" s="150"/>
    </row>
    <row r="27" spans="1:18" ht="24.95" customHeight="1">
      <c r="A27" s="155" t="s">
        <v>95</v>
      </c>
      <c r="B27" s="159" t="s">
        <v>96</v>
      </c>
      <c r="C27" s="160" t="s">
        <v>97</v>
      </c>
      <c r="D27" s="145"/>
      <c r="F27" s="145"/>
      <c r="G27" s="145"/>
      <c r="H27" s="145"/>
      <c r="I27" s="145"/>
      <c r="J27" s="145"/>
      <c r="K27" s="145"/>
      <c r="L27" s="145"/>
      <c r="M27" s="145"/>
      <c r="N27" s="145"/>
      <c r="O27" s="145"/>
      <c r="P27" s="145"/>
      <c r="Q27" s="145"/>
      <c r="R27" s="150"/>
    </row>
    <row r="28" spans="1:18" ht="24.95" customHeight="1">
      <c r="A28" s="155" t="s">
        <v>98</v>
      </c>
      <c r="B28" s="159" t="s">
        <v>99</v>
      </c>
      <c r="C28" s="160" t="s">
        <v>100</v>
      </c>
      <c r="D28" s="145"/>
      <c r="F28" s="145"/>
      <c r="G28" s="145"/>
      <c r="H28" s="145"/>
      <c r="I28" s="145"/>
      <c r="J28" s="145"/>
      <c r="K28" s="145"/>
      <c r="L28" s="145"/>
      <c r="M28" s="145"/>
      <c r="N28" s="145"/>
      <c r="O28" s="145"/>
      <c r="P28" s="145"/>
      <c r="Q28" s="145"/>
      <c r="R28" s="150"/>
    </row>
    <row r="29" spans="1:18" ht="24.95" customHeight="1">
      <c r="A29" s="155" t="s">
        <v>101</v>
      </c>
      <c r="B29" s="159" t="s">
        <v>102</v>
      </c>
      <c r="C29" s="160" t="s">
        <v>103</v>
      </c>
      <c r="D29" s="145"/>
      <c r="F29" s="145"/>
      <c r="G29" s="145"/>
      <c r="H29" s="145"/>
      <c r="I29" s="145"/>
      <c r="J29" s="145"/>
      <c r="K29" s="145"/>
      <c r="L29" s="145"/>
      <c r="M29" s="145"/>
      <c r="N29" s="145"/>
      <c r="O29" s="145"/>
      <c r="P29" s="145"/>
      <c r="Q29" s="145"/>
      <c r="R29" s="150"/>
    </row>
    <row r="30" spans="1:18" ht="24.95" customHeight="1">
      <c r="A30" s="155" t="s">
        <v>104</v>
      </c>
      <c r="B30" s="159" t="s">
        <v>105</v>
      </c>
      <c r="C30" s="160" t="s">
        <v>106</v>
      </c>
      <c r="D30" s="145"/>
      <c r="F30" s="145"/>
      <c r="G30" s="145"/>
      <c r="H30" s="145"/>
      <c r="I30" s="145"/>
      <c r="J30" s="145"/>
      <c r="K30" s="145"/>
      <c r="L30" s="145"/>
      <c r="M30" s="145"/>
      <c r="N30" s="145"/>
      <c r="O30" s="145"/>
      <c r="P30" s="145"/>
      <c r="Q30" s="145"/>
      <c r="R30" s="150"/>
    </row>
    <row r="31" spans="1:18" ht="24.95" customHeight="1">
      <c r="A31" s="155" t="s">
        <v>107</v>
      </c>
      <c r="B31" s="159" t="s">
        <v>108</v>
      </c>
      <c r="C31" s="160" t="s">
        <v>109</v>
      </c>
      <c r="D31" s="145"/>
      <c r="F31" s="145"/>
      <c r="G31" s="145"/>
      <c r="H31" s="145"/>
      <c r="I31" s="145"/>
      <c r="J31" s="145"/>
      <c r="K31" s="145"/>
      <c r="L31" s="145"/>
      <c r="M31" s="145"/>
      <c r="N31" s="145"/>
      <c r="O31" s="145"/>
      <c r="P31" s="145"/>
      <c r="Q31" s="145"/>
      <c r="R31" s="150"/>
    </row>
    <row r="32" spans="1:18" ht="24.95" customHeight="1">
      <c r="A32" s="155" t="s">
        <v>110</v>
      </c>
      <c r="B32" s="159" t="s">
        <v>111</v>
      </c>
      <c r="C32" s="160" t="s">
        <v>112</v>
      </c>
      <c r="D32" s="145"/>
      <c r="F32" s="145"/>
      <c r="G32" s="145"/>
      <c r="H32" s="145"/>
      <c r="I32" s="145"/>
      <c r="J32" s="145"/>
      <c r="K32" s="145"/>
      <c r="L32" s="145"/>
      <c r="M32" s="145"/>
      <c r="N32" s="145"/>
      <c r="O32" s="145"/>
      <c r="P32" s="145"/>
      <c r="Q32" s="145"/>
      <c r="R32" s="150"/>
    </row>
    <row r="33" spans="1:3" ht="24.95" customHeight="1">
      <c r="A33" s="155" t="s">
        <v>113</v>
      </c>
      <c r="B33" s="159" t="s">
        <v>114</v>
      </c>
      <c r="C33" s="160" t="s">
        <v>115</v>
      </c>
    </row>
    <row r="34" spans="1:3" ht="24.95" customHeight="1">
      <c r="A34" s="155" t="s">
        <v>116</v>
      </c>
      <c r="B34" s="159" t="s">
        <v>117</v>
      </c>
      <c r="C34" s="160" t="s">
        <v>118</v>
      </c>
    </row>
    <row r="35" spans="1:3" ht="24.95" customHeight="1">
      <c r="A35" s="155" t="s">
        <v>119</v>
      </c>
      <c r="B35" s="159" t="s">
        <v>120</v>
      </c>
      <c r="C35" s="160" t="s">
        <v>121</v>
      </c>
    </row>
    <row r="36" spans="1:3" ht="24.95" customHeight="1">
      <c r="A36" s="155" t="s">
        <v>122</v>
      </c>
      <c r="B36" s="159" t="s">
        <v>123</v>
      </c>
      <c r="C36" s="160" t="s">
        <v>124</v>
      </c>
    </row>
    <row r="37" spans="1:3" ht="24.95" customHeight="1">
      <c r="A37" s="155" t="s">
        <v>125</v>
      </c>
      <c r="B37" s="159" t="s">
        <v>126</v>
      </c>
      <c r="C37" s="160" t="s">
        <v>127</v>
      </c>
    </row>
    <row r="38" spans="1:3" ht="24.95" customHeight="1">
      <c r="A38" s="155" t="s">
        <v>128</v>
      </c>
      <c r="B38" s="159" t="s">
        <v>129</v>
      </c>
      <c r="C38" s="160" t="s">
        <v>130</v>
      </c>
    </row>
  </sheetData>
  <autoFilter ref="A4:R4" xr:uid="{00000000-0009-0000-0000-000000000000}"/>
  <mergeCells count="1">
    <mergeCell ref="A1:R1"/>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68"/>
  <sheetViews>
    <sheetView topLeftCell="A37" zoomScaleNormal="100" workbookViewId="0">
      <selection activeCell="E28" sqref="E28"/>
    </sheetView>
  </sheetViews>
  <sheetFormatPr baseColWidth="10" defaultRowHeight="15"/>
  <cols>
    <col min="3" max="3" width="11.42578125" style="43" customWidth="1"/>
    <col min="5" max="5" width="17.42578125" style="934" customWidth="1"/>
    <col min="6" max="6" width="15.85546875" style="934" customWidth="1"/>
  </cols>
  <sheetData>
    <row r="2" spans="2:6">
      <c r="B2" s="115" t="s">
        <v>131</v>
      </c>
      <c r="C2" s="121" t="s">
        <v>132</v>
      </c>
    </row>
    <row r="4" spans="2:6">
      <c r="C4" s="43" t="s">
        <v>133</v>
      </c>
    </row>
    <row r="6" spans="2:6">
      <c r="C6" s="43" t="s">
        <v>134</v>
      </c>
    </row>
    <row r="8" spans="2:6">
      <c r="C8" s="43" t="s">
        <v>135</v>
      </c>
    </row>
    <row r="10" spans="2:6">
      <c r="C10" s="43" t="s">
        <v>136</v>
      </c>
    </row>
    <row r="12" spans="2:6" ht="60" customHeight="1">
      <c r="C12" s="25" t="s">
        <v>137</v>
      </c>
      <c r="D12" s="33" t="s">
        <v>138</v>
      </c>
      <c r="E12" s="33" t="s">
        <v>139</v>
      </c>
      <c r="F12" s="33" t="s">
        <v>140</v>
      </c>
    </row>
    <row r="13" spans="2:6">
      <c r="C13" s="161">
        <v>2025</v>
      </c>
      <c r="D13" s="41">
        <v>565000</v>
      </c>
      <c r="E13" s="34" t="s">
        <v>141</v>
      </c>
      <c r="F13" s="34" t="s">
        <v>142</v>
      </c>
    </row>
    <row r="14" spans="2:6">
      <c r="C14" s="161">
        <v>2026</v>
      </c>
      <c r="D14" s="41">
        <v>570000</v>
      </c>
      <c r="E14" s="34" t="s">
        <v>143</v>
      </c>
      <c r="F14" s="34" t="s">
        <v>142</v>
      </c>
    </row>
    <row r="15" spans="2:6">
      <c r="C15" s="161">
        <v>2027</v>
      </c>
      <c r="D15" s="41">
        <v>585000</v>
      </c>
      <c r="E15" s="34" t="s">
        <v>144</v>
      </c>
      <c r="F15" s="34" t="s">
        <v>145</v>
      </c>
    </row>
    <row r="16" spans="2:6">
      <c r="C16" s="161">
        <v>2028</v>
      </c>
      <c r="D16" s="41">
        <v>600000</v>
      </c>
      <c r="E16" s="34" t="s">
        <v>146</v>
      </c>
      <c r="F16" s="34" t="s">
        <v>147</v>
      </c>
    </row>
    <row r="17" spans="3:6">
      <c r="C17" s="161">
        <v>2029</v>
      </c>
      <c r="D17" s="41">
        <v>615000</v>
      </c>
      <c r="E17" s="34" t="s">
        <v>148</v>
      </c>
      <c r="F17" s="34" t="s">
        <v>149</v>
      </c>
    </row>
    <row r="18" spans="3:6">
      <c r="C18" s="161">
        <v>2030</v>
      </c>
      <c r="D18" s="41">
        <v>630000</v>
      </c>
      <c r="E18" s="34" t="s">
        <v>150</v>
      </c>
      <c r="F18" s="34" t="s">
        <v>151</v>
      </c>
    </row>
    <row r="20" spans="3:6">
      <c r="C20" s="43" t="s">
        <v>152</v>
      </c>
    </row>
    <row r="22" spans="3:6">
      <c r="C22" s="147" t="s">
        <v>153</v>
      </c>
    </row>
    <row r="24" spans="3:6">
      <c r="C24" s="43" t="s">
        <v>154</v>
      </c>
    </row>
    <row r="26" spans="3:6">
      <c r="C26" s="43" t="s">
        <v>155</v>
      </c>
    </row>
    <row r="28" spans="3:6">
      <c r="C28" s="147" t="s">
        <v>156</v>
      </c>
    </row>
    <row r="30" spans="3:6">
      <c r="C30" s="43" t="s">
        <v>157</v>
      </c>
    </row>
    <row r="32" spans="3:6">
      <c r="C32" s="43" t="s">
        <v>158</v>
      </c>
    </row>
    <row r="34" spans="3:3">
      <c r="C34" s="147" t="s">
        <v>159</v>
      </c>
    </row>
    <row r="36" spans="3:3">
      <c r="C36" s="43" t="s">
        <v>160</v>
      </c>
    </row>
    <row r="38" spans="3:3">
      <c r="C38" s="43" t="s">
        <v>161</v>
      </c>
    </row>
    <row r="40" spans="3:3">
      <c r="C40" s="147" t="s">
        <v>162</v>
      </c>
    </row>
    <row r="42" spans="3:3">
      <c r="C42" s="43" t="s">
        <v>163</v>
      </c>
    </row>
    <row r="44" spans="3:3">
      <c r="C44" s="43" t="s">
        <v>164</v>
      </c>
    </row>
    <row r="45" spans="3:3">
      <c r="C45" s="123"/>
    </row>
    <row r="46" spans="3:3">
      <c r="C46" s="124" t="s">
        <v>165</v>
      </c>
    </row>
    <row r="47" spans="3:3">
      <c r="C47" s="124" t="s">
        <v>166</v>
      </c>
    </row>
    <row r="48" spans="3:3">
      <c r="C48" s="124" t="s">
        <v>167</v>
      </c>
    </row>
    <row r="49" spans="3:3">
      <c r="C49" s="124" t="s">
        <v>168</v>
      </c>
    </row>
    <row r="51" spans="3:3">
      <c r="C51" s="147" t="s">
        <v>169</v>
      </c>
    </row>
    <row r="53" spans="3:3">
      <c r="C53" s="43" t="s">
        <v>170</v>
      </c>
    </row>
    <row r="55" spans="3:3">
      <c r="C55" s="43" t="s">
        <v>171</v>
      </c>
    </row>
    <row r="57" spans="3:3">
      <c r="C57" s="43" t="s">
        <v>172</v>
      </c>
    </row>
    <row r="58" spans="3:3">
      <c r="C58" s="123"/>
    </row>
    <row r="59" spans="3:3">
      <c r="C59" s="123" t="s">
        <v>173</v>
      </c>
    </row>
    <row r="60" spans="3:3">
      <c r="C60" s="123" t="s">
        <v>174</v>
      </c>
    </row>
    <row r="61" spans="3:3">
      <c r="C61" s="123" t="s">
        <v>175</v>
      </c>
    </row>
    <row r="62" spans="3:3">
      <c r="C62" s="123" t="s">
        <v>176</v>
      </c>
    </row>
    <row r="64" spans="3:3">
      <c r="C64" s="147" t="s">
        <v>177</v>
      </c>
    </row>
    <row r="66" spans="3:3">
      <c r="C66" s="43" t="s">
        <v>178</v>
      </c>
    </row>
    <row r="68" spans="3:3">
      <c r="C68" s="43" t="s">
        <v>179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220"/>
  <sheetViews>
    <sheetView zoomScaleNormal="100" workbookViewId="0">
      <selection activeCell="D33" sqref="D33"/>
    </sheetView>
  </sheetViews>
  <sheetFormatPr baseColWidth="10" defaultRowHeight="12.75"/>
  <cols>
    <col min="1" max="1" width="4.85546875" style="43" customWidth="1"/>
    <col min="2" max="2" width="11.42578125" style="121" customWidth="1"/>
    <col min="3" max="10" width="11.42578125" style="43" customWidth="1"/>
    <col min="11" max="16384" width="11.42578125" style="43"/>
  </cols>
  <sheetData>
    <row r="2" spans="2:3">
      <c r="B2" s="122" t="s">
        <v>131</v>
      </c>
      <c r="C2" s="121" t="s">
        <v>180</v>
      </c>
    </row>
    <row r="4" spans="2:3">
      <c r="C4" s="43" t="s">
        <v>181</v>
      </c>
    </row>
    <row r="6" spans="2:3">
      <c r="C6" s="43" t="s">
        <v>182</v>
      </c>
    </row>
    <row r="8" spans="2:3">
      <c r="C8" s="43" t="s">
        <v>183</v>
      </c>
    </row>
    <row r="10" spans="2:3">
      <c r="C10" s="43" t="s">
        <v>184</v>
      </c>
    </row>
    <row r="12" spans="2:3">
      <c r="C12" s="43" t="s">
        <v>185</v>
      </c>
    </row>
    <row r="13" spans="2:3">
      <c r="C13" s="123"/>
    </row>
    <row r="14" spans="2:3">
      <c r="C14" s="124" t="s">
        <v>186</v>
      </c>
    </row>
    <row r="15" spans="2:3">
      <c r="C15" s="124" t="s">
        <v>187</v>
      </c>
    </row>
    <row r="16" spans="2:3">
      <c r="C16" s="124" t="s">
        <v>188</v>
      </c>
    </row>
    <row r="18" spans="3:6">
      <c r="C18" s="43" t="s">
        <v>189</v>
      </c>
    </row>
    <row r="20" spans="3:6">
      <c r="C20" s="43" t="s">
        <v>190</v>
      </c>
    </row>
    <row r="21" spans="3:6">
      <c r="C21" s="123"/>
    </row>
    <row r="22" spans="3:6">
      <c r="C22" s="124" t="s">
        <v>191</v>
      </c>
    </row>
    <row r="23" spans="3:6">
      <c r="C23" s="124" t="s">
        <v>192</v>
      </c>
    </row>
    <row r="24" spans="3:6">
      <c r="C24" s="124" t="s">
        <v>193</v>
      </c>
    </row>
    <row r="26" spans="3:6">
      <c r="C26" s="43" t="s">
        <v>194</v>
      </c>
    </row>
    <row r="28" spans="3:6">
      <c r="C28" s="43" t="s">
        <v>195</v>
      </c>
    </row>
    <row r="30" spans="3:6" ht="25.5" customHeight="1">
      <c r="C30" s="25" t="s">
        <v>137</v>
      </c>
      <c r="D30" s="25" t="s">
        <v>196</v>
      </c>
      <c r="E30" s="25" t="s">
        <v>197</v>
      </c>
      <c r="F30" s="25" t="s">
        <v>198</v>
      </c>
    </row>
    <row r="31" spans="3:6">
      <c r="C31" s="125">
        <v>2026</v>
      </c>
      <c r="D31" s="126">
        <v>0.2</v>
      </c>
      <c r="E31" s="126">
        <v>0.33</v>
      </c>
      <c r="F31" s="126">
        <v>0.47</v>
      </c>
    </row>
    <row r="32" spans="3:6">
      <c r="C32" s="125">
        <v>2027</v>
      </c>
      <c r="D32" s="126">
        <v>0.19</v>
      </c>
      <c r="E32" s="126">
        <v>0.35</v>
      </c>
      <c r="F32" s="126">
        <v>0.46</v>
      </c>
    </row>
    <row r="33" spans="3:6">
      <c r="C33" s="125">
        <v>2028</v>
      </c>
      <c r="D33" s="126">
        <v>0.18</v>
      </c>
      <c r="E33" s="126">
        <v>0.37</v>
      </c>
      <c r="F33" s="126">
        <v>0.45</v>
      </c>
    </row>
    <row r="34" spans="3:6">
      <c r="C34" s="125">
        <v>2029</v>
      </c>
      <c r="D34" s="126">
        <v>0.17</v>
      </c>
      <c r="E34" s="126">
        <v>0.39</v>
      </c>
      <c r="F34" s="126">
        <v>0.44</v>
      </c>
    </row>
    <row r="35" spans="3:6">
      <c r="C35" s="125">
        <v>2030</v>
      </c>
      <c r="D35" s="126">
        <v>0.16</v>
      </c>
      <c r="E35" s="126">
        <v>0.41</v>
      </c>
      <c r="F35" s="126">
        <v>0.43</v>
      </c>
    </row>
    <row r="37" spans="3:6">
      <c r="C37" s="43" t="s">
        <v>199</v>
      </c>
    </row>
    <row r="39" spans="3:6">
      <c r="C39" s="43" t="s">
        <v>200</v>
      </c>
    </row>
    <row r="41" spans="3:6" ht="25.5" customHeight="1">
      <c r="C41" s="25" t="s">
        <v>137</v>
      </c>
      <c r="D41" s="25" t="s">
        <v>196</v>
      </c>
      <c r="E41" s="25" t="s">
        <v>197</v>
      </c>
      <c r="F41" s="25" t="s">
        <v>198</v>
      </c>
    </row>
    <row r="42" spans="3:6">
      <c r="C42" s="125">
        <v>2026</v>
      </c>
      <c r="D42" s="126">
        <v>0.32</v>
      </c>
      <c r="E42" s="126">
        <v>0.14000000000000001</v>
      </c>
      <c r="F42" s="126">
        <v>0.54</v>
      </c>
    </row>
    <row r="43" spans="3:6">
      <c r="C43" s="125">
        <v>2027</v>
      </c>
      <c r="D43" s="126">
        <v>0.31</v>
      </c>
      <c r="E43" s="126">
        <v>0.15</v>
      </c>
      <c r="F43" s="126">
        <v>0.54</v>
      </c>
    </row>
    <row r="44" spans="3:6">
      <c r="C44" s="125">
        <v>2028</v>
      </c>
      <c r="D44" s="126">
        <v>0.3</v>
      </c>
      <c r="E44" s="126">
        <v>0.17</v>
      </c>
      <c r="F44" s="126">
        <v>0.53</v>
      </c>
    </row>
    <row r="45" spans="3:6">
      <c r="C45" s="125">
        <v>2029</v>
      </c>
      <c r="D45" s="126">
        <v>0.28999999999999998</v>
      </c>
      <c r="E45" s="126">
        <v>0.18</v>
      </c>
      <c r="F45" s="126">
        <v>0.53</v>
      </c>
    </row>
    <row r="46" spans="3:6">
      <c r="C46" s="125">
        <v>2030</v>
      </c>
      <c r="D46" s="126">
        <v>0.28000000000000003</v>
      </c>
      <c r="E46" s="126">
        <v>0.2</v>
      </c>
      <c r="F46" s="126">
        <v>0.52</v>
      </c>
    </row>
    <row r="48" spans="3:6">
      <c r="C48" s="43" t="s">
        <v>201</v>
      </c>
    </row>
    <row r="50" spans="3:3">
      <c r="C50" s="43" t="s">
        <v>202</v>
      </c>
    </row>
    <row r="53" spans="3:3">
      <c r="C53" s="43" t="s">
        <v>203</v>
      </c>
    </row>
    <row r="55" spans="3:3">
      <c r="C55" s="43" t="s">
        <v>204</v>
      </c>
    </row>
    <row r="57" spans="3:3">
      <c r="C57" s="43" t="s">
        <v>205</v>
      </c>
    </row>
    <row r="59" spans="3:3">
      <c r="C59" s="43" t="s">
        <v>206</v>
      </c>
    </row>
    <row r="61" spans="3:3">
      <c r="C61" s="43" t="s">
        <v>207</v>
      </c>
    </row>
    <row r="63" spans="3:3">
      <c r="C63" s="43" t="s">
        <v>208</v>
      </c>
    </row>
    <row r="65" spans="2:3">
      <c r="C65" s="124" t="s">
        <v>209</v>
      </c>
    </row>
    <row r="66" spans="2:3">
      <c r="C66" s="124" t="s">
        <v>210</v>
      </c>
    </row>
    <row r="67" spans="2:3">
      <c r="C67" s="124" t="s">
        <v>211</v>
      </c>
    </row>
    <row r="69" spans="2:3">
      <c r="C69" s="43" t="s">
        <v>212</v>
      </c>
    </row>
    <row r="73" spans="2:3">
      <c r="B73" s="122" t="s">
        <v>213</v>
      </c>
      <c r="C73" s="121" t="s">
        <v>214</v>
      </c>
    </row>
    <row r="76" spans="2:3">
      <c r="C76" s="43" t="s">
        <v>215</v>
      </c>
    </row>
    <row r="78" spans="2:3">
      <c r="C78" s="43" t="s">
        <v>216</v>
      </c>
    </row>
    <row r="80" spans="2:3">
      <c r="C80" s="43" t="s">
        <v>217</v>
      </c>
    </row>
    <row r="82" spans="3:3">
      <c r="C82" s="43" t="s">
        <v>218</v>
      </c>
    </row>
    <row r="84" spans="3:3">
      <c r="C84" s="43" t="s">
        <v>219</v>
      </c>
    </row>
    <row r="85" spans="3:3">
      <c r="C85" s="123"/>
    </row>
    <row r="86" spans="3:3">
      <c r="C86" s="123" t="s">
        <v>220</v>
      </c>
    </row>
    <row r="87" spans="3:3">
      <c r="C87" s="123" t="s">
        <v>221</v>
      </c>
    </row>
    <row r="88" spans="3:3">
      <c r="C88" s="123" t="s">
        <v>222</v>
      </c>
    </row>
    <row r="89" spans="3:3">
      <c r="C89" s="123" t="s">
        <v>223</v>
      </c>
    </row>
    <row r="90" spans="3:3">
      <c r="C90" s="123" t="s">
        <v>224</v>
      </c>
    </row>
    <row r="92" spans="3:3">
      <c r="C92" s="43" t="s">
        <v>225</v>
      </c>
    </row>
    <row r="94" spans="3:3">
      <c r="C94" s="43" t="s">
        <v>226</v>
      </c>
    </row>
    <row r="96" spans="3:3">
      <c r="C96" s="43" t="s">
        <v>227</v>
      </c>
    </row>
    <row r="100" spans="2:3">
      <c r="B100" s="122" t="s">
        <v>228</v>
      </c>
      <c r="C100" s="121" t="s">
        <v>229</v>
      </c>
    </row>
    <row r="102" spans="2:3">
      <c r="C102" s="43" t="s">
        <v>230</v>
      </c>
    </row>
    <row r="103" spans="2:3">
      <c r="C103" s="123"/>
    </row>
    <row r="104" spans="2:3">
      <c r="C104" s="123" t="s">
        <v>231</v>
      </c>
    </row>
    <row r="105" spans="2:3">
      <c r="C105" s="123" t="s">
        <v>232</v>
      </c>
    </row>
    <row r="106" spans="2:3">
      <c r="C106" s="123" t="s">
        <v>233</v>
      </c>
    </row>
    <row r="107" spans="2:3">
      <c r="C107" s="123" t="s">
        <v>234</v>
      </c>
    </row>
    <row r="108" spans="2:3">
      <c r="C108" s="123" t="s">
        <v>235</v>
      </c>
    </row>
    <row r="110" spans="2:3">
      <c r="C110" s="43" t="s">
        <v>236</v>
      </c>
    </row>
    <row r="113" spans="2:3">
      <c r="B113" s="122" t="s">
        <v>237</v>
      </c>
      <c r="C113" s="121" t="s">
        <v>238</v>
      </c>
    </row>
    <row r="115" spans="2:3">
      <c r="C115" s="43" t="s">
        <v>239</v>
      </c>
    </row>
    <row r="116" spans="2:3">
      <c r="C116" s="123"/>
    </row>
    <row r="117" spans="2:3">
      <c r="C117" s="124" t="s">
        <v>240</v>
      </c>
    </row>
    <row r="118" spans="2:3">
      <c r="C118" s="124" t="s">
        <v>241</v>
      </c>
    </row>
    <row r="119" spans="2:3">
      <c r="C119" s="124" t="s">
        <v>242</v>
      </c>
    </row>
    <row r="120" spans="2:3">
      <c r="C120" s="123" t="s">
        <v>243</v>
      </c>
    </row>
    <row r="121" spans="2:3">
      <c r="C121" s="123" t="s">
        <v>244</v>
      </c>
    </row>
    <row r="122" spans="2:3">
      <c r="C122" s="123" t="s">
        <v>245</v>
      </c>
    </row>
    <row r="124" spans="2:3">
      <c r="C124" s="43" t="s">
        <v>246</v>
      </c>
    </row>
    <row r="125" spans="2:3">
      <c r="C125" s="123"/>
    </row>
    <row r="126" spans="2:3">
      <c r="C126" s="123" t="s">
        <v>247</v>
      </c>
    </row>
    <row r="127" spans="2:3">
      <c r="C127" s="123" t="s">
        <v>248</v>
      </c>
    </row>
    <row r="128" spans="2:3">
      <c r="C128" s="123" t="s">
        <v>249</v>
      </c>
    </row>
    <row r="129" spans="2:3">
      <c r="C129" s="123" t="s">
        <v>250</v>
      </c>
    </row>
    <row r="130" spans="2:3">
      <c r="C130" s="123" t="s">
        <v>251</v>
      </c>
    </row>
    <row r="131" spans="2:3">
      <c r="C131" s="123" t="s">
        <v>252</v>
      </c>
    </row>
    <row r="134" spans="2:3">
      <c r="B134" s="122" t="s">
        <v>253</v>
      </c>
      <c r="C134" s="121" t="s">
        <v>254</v>
      </c>
    </row>
    <row r="136" spans="2:3">
      <c r="C136" s="43" t="s">
        <v>255</v>
      </c>
    </row>
    <row r="138" spans="2:3">
      <c r="C138" s="43" t="s">
        <v>256</v>
      </c>
    </row>
    <row r="140" spans="2:3">
      <c r="C140" s="43" t="s">
        <v>257</v>
      </c>
    </row>
    <row r="143" spans="2:3">
      <c r="B143" s="122" t="s">
        <v>258</v>
      </c>
      <c r="C143" s="121" t="s">
        <v>259</v>
      </c>
    </row>
    <row r="145" spans="3:3">
      <c r="C145" s="43" t="s">
        <v>260</v>
      </c>
    </row>
    <row r="147" spans="3:3">
      <c r="C147" s="147" t="s">
        <v>261</v>
      </c>
    </row>
    <row r="148" spans="3:3">
      <c r="C148" s="123"/>
    </row>
    <row r="149" spans="3:3">
      <c r="C149" s="124" t="s">
        <v>262</v>
      </c>
    </row>
    <row r="150" spans="3:3">
      <c r="C150" s="124" t="s">
        <v>263</v>
      </c>
    </row>
    <row r="151" spans="3:3">
      <c r="C151" s="124" t="s">
        <v>264</v>
      </c>
    </row>
    <row r="152" spans="3:3">
      <c r="C152" s="124" t="s">
        <v>265</v>
      </c>
    </row>
    <row r="154" spans="3:3">
      <c r="C154" s="147" t="s">
        <v>266</v>
      </c>
    </row>
    <row r="155" spans="3:3">
      <c r="C155" s="123"/>
    </row>
    <row r="156" spans="3:3">
      <c r="C156" s="124" t="s">
        <v>267</v>
      </c>
    </row>
    <row r="157" spans="3:3">
      <c r="C157" s="124" t="s">
        <v>268</v>
      </c>
    </row>
    <row r="158" spans="3:3">
      <c r="C158" s="124" t="s">
        <v>269</v>
      </c>
    </row>
    <row r="159" spans="3:3">
      <c r="C159" s="124" t="s">
        <v>270</v>
      </c>
    </row>
    <row r="161" spans="3:3">
      <c r="C161" s="43" t="s">
        <v>271</v>
      </c>
    </row>
    <row r="163" spans="3:3">
      <c r="C163" s="43" t="s">
        <v>272</v>
      </c>
    </row>
    <row r="165" spans="3:3">
      <c r="C165" s="43" t="s">
        <v>273</v>
      </c>
    </row>
    <row r="167" spans="3:3">
      <c r="C167" s="43" t="s">
        <v>274</v>
      </c>
    </row>
    <row r="169" spans="3:3">
      <c r="C169" s="43" t="s">
        <v>275</v>
      </c>
    </row>
    <row r="171" spans="3:3">
      <c r="C171" s="147" t="s">
        <v>276</v>
      </c>
    </row>
    <row r="173" spans="3:3">
      <c r="C173" s="43" t="s">
        <v>277</v>
      </c>
    </row>
    <row r="174" spans="3:3">
      <c r="C174" s="123"/>
    </row>
    <row r="175" spans="3:3">
      <c r="C175" s="124" t="s">
        <v>278</v>
      </c>
    </row>
    <row r="176" spans="3:3">
      <c r="C176" s="124" t="s">
        <v>279</v>
      </c>
    </row>
    <row r="178" spans="2:3">
      <c r="C178" s="147" t="s">
        <v>280</v>
      </c>
    </row>
    <row r="180" spans="2:3">
      <c r="C180" s="43" t="s">
        <v>281</v>
      </c>
    </row>
    <row r="183" spans="2:3">
      <c r="B183" s="122" t="s">
        <v>282</v>
      </c>
      <c r="C183" s="121" t="s">
        <v>283</v>
      </c>
    </row>
    <row r="185" spans="2:3">
      <c r="C185" s="43" t="s">
        <v>284</v>
      </c>
    </row>
    <row r="187" spans="2:3">
      <c r="C187" s="147" t="s">
        <v>261</v>
      </c>
    </row>
    <row r="188" spans="2:3">
      <c r="C188" s="123"/>
    </row>
    <row r="189" spans="2:3">
      <c r="C189" s="124" t="s">
        <v>285</v>
      </c>
    </row>
    <row r="190" spans="2:3">
      <c r="C190" s="124" t="s">
        <v>286</v>
      </c>
    </row>
    <row r="191" spans="2:3">
      <c r="C191" s="124" t="s">
        <v>287</v>
      </c>
    </row>
    <row r="193" spans="3:3">
      <c r="C193" s="147" t="s">
        <v>266</v>
      </c>
    </row>
    <row r="194" spans="3:3">
      <c r="C194" s="123"/>
    </row>
    <row r="195" spans="3:3">
      <c r="C195" s="124" t="s">
        <v>288</v>
      </c>
    </row>
    <row r="196" spans="3:3">
      <c r="C196" s="124" t="s">
        <v>289</v>
      </c>
    </row>
    <row r="197" spans="3:3">
      <c r="C197" s="124" t="s">
        <v>290</v>
      </c>
    </row>
    <row r="199" spans="3:3">
      <c r="C199" s="147" t="s">
        <v>291</v>
      </c>
    </row>
    <row r="201" spans="3:3">
      <c r="C201" s="43" t="s">
        <v>292</v>
      </c>
    </row>
    <row r="203" spans="3:3">
      <c r="C203" s="43" t="s">
        <v>293</v>
      </c>
    </row>
    <row r="205" spans="3:3">
      <c r="C205" s="43" t="s">
        <v>294</v>
      </c>
    </row>
    <row r="207" spans="3:3">
      <c r="C207" s="43" t="s">
        <v>295</v>
      </c>
    </row>
    <row r="209" spans="3:3">
      <c r="C209" s="147" t="s">
        <v>276</v>
      </c>
    </row>
    <row r="211" spans="3:3">
      <c r="C211" s="43" t="s">
        <v>277</v>
      </c>
    </row>
    <row r="212" spans="3:3">
      <c r="C212" s="123"/>
    </row>
    <row r="213" spans="3:3">
      <c r="C213" s="124" t="s">
        <v>296</v>
      </c>
    </row>
    <row r="214" spans="3:3">
      <c r="C214" s="124" t="s">
        <v>297</v>
      </c>
    </row>
    <row r="216" spans="3:3">
      <c r="C216" s="147" t="s">
        <v>280</v>
      </c>
    </row>
    <row r="218" spans="3:3">
      <c r="C218" s="43" t="s">
        <v>298</v>
      </c>
    </row>
    <row r="220" spans="3:3">
      <c r="C220" s="43" t="s">
        <v>299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N1173"/>
  <sheetViews>
    <sheetView topLeftCell="B743" workbookViewId="0">
      <selection activeCell="F767" sqref="F767"/>
    </sheetView>
  </sheetViews>
  <sheetFormatPr baseColWidth="10" defaultRowHeight="15"/>
  <cols>
    <col min="2" max="2" width="11.42578125" style="58" customWidth="1"/>
    <col min="3" max="3" width="11.42578125" style="115" customWidth="1"/>
  </cols>
  <sheetData>
    <row r="2" spans="2:5">
      <c r="B2" s="115" t="s">
        <v>300</v>
      </c>
      <c r="C2" s="115">
        <v>1</v>
      </c>
      <c r="D2" s="58" t="s">
        <v>301</v>
      </c>
    </row>
    <row r="4" spans="2:5">
      <c r="E4" t="s">
        <v>302</v>
      </c>
    </row>
    <row r="6" spans="2:5">
      <c r="E6" t="s">
        <v>303</v>
      </c>
    </row>
    <row r="8" spans="2:5">
      <c r="E8" s="58" t="s">
        <v>304</v>
      </c>
    </row>
    <row r="10" spans="2:5">
      <c r="E10" t="s">
        <v>305</v>
      </c>
    </row>
    <row r="12" spans="2:5">
      <c r="E12" t="s">
        <v>306</v>
      </c>
    </row>
    <row r="15" spans="2:5">
      <c r="C15" s="115">
        <v>2</v>
      </c>
      <c r="D15" s="58" t="s">
        <v>307</v>
      </c>
    </row>
    <row r="17" spans="5:5">
      <c r="E17" t="s">
        <v>308</v>
      </c>
    </row>
    <row r="19" spans="5:5">
      <c r="E19" t="s">
        <v>309</v>
      </c>
    </row>
    <row r="21" spans="5:5">
      <c r="E21" t="s">
        <v>310</v>
      </c>
    </row>
    <row r="23" spans="5:5">
      <c r="E23" t="s">
        <v>311</v>
      </c>
    </row>
    <row r="25" spans="5:5">
      <c r="E25" t="s">
        <v>312</v>
      </c>
    </row>
    <row r="26" spans="5:5">
      <c r="E26" s="35"/>
    </row>
    <row r="27" spans="5:5">
      <c r="E27" s="36" t="s">
        <v>313</v>
      </c>
    </row>
    <row r="28" spans="5:5">
      <c r="E28" s="36" t="s">
        <v>314</v>
      </c>
    </row>
    <row r="30" spans="5:5">
      <c r="E30" t="s">
        <v>315</v>
      </c>
    </row>
    <row r="33" spans="3:5">
      <c r="C33" s="115">
        <v>3</v>
      </c>
      <c r="D33" s="58" t="s">
        <v>316</v>
      </c>
    </row>
    <row r="35" spans="3:5">
      <c r="E35" t="s">
        <v>317</v>
      </c>
    </row>
    <row r="37" spans="3:5">
      <c r="E37" t="s">
        <v>318</v>
      </c>
    </row>
    <row r="39" spans="3:5">
      <c r="E39" t="s">
        <v>319</v>
      </c>
    </row>
    <row r="41" spans="3:5">
      <c r="E41" t="s">
        <v>320</v>
      </c>
    </row>
    <row r="43" spans="3:5">
      <c r="E43" t="s">
        <v>321</v>
      </c>
    </row>
    <row r="45" spans="3:5">
      <c r="E45" s="699" t="s">
        <v>322</v>
      </c>
    </row>
    <row r="47" spans="3:5">
      <c r="E47" t="s">
        <v>323</v>
      </c>
    </row>
    <row r="49" spans="3:5">
      <c r="E49" t="s">
        <v>324</v>
      </c>
    </row>
    <row r="51" spans="3:5">
      <c r="E51" t="s">
        <v>325</v>
      </c>
    </row>
    <row r="53" spans="3:5">
      <c r="E53" t="s">
        <v>326</v>
      </c>
    </row>
    <row r="54" spans="3:5">
      <c r="E54" s="58" t="s">
        <v>327</v>
      </c>
    </row>
    <row r="55" spans="3:5">
      <c r="E55" s="58" t="s">
        <v>328</v>
      </c>
    </row>
    <row r="58" spans="3:5">
      <c r="C58" s="115">
        <v>4</v>
      </c>
      <c r="D58" s="58" t="s">
        <v>329</v>
      </c>
    </row>
    <row r="60" spans="3:5">
      <c r="E60" t="s">
        <v>330</v>
      </c>
    </row>
    <row r="62" spans="3:5">
      <c r="E62" t="s">
        <v>331</v>
      </c>
    </row>
    <row r="64" spans="3:5">
      <c r="E64" t="s">
        <v>332</v>
      </c>
    </row>
    <row r="66" spans="5:5">
      <c r="E66" t="s">
        <v>333</v>
      </c>
    </row>
    <row r="67" spans="5:5">
      <c r="E67" s="35"/>
    </row>
    <row r="68" spans="5:5">
      <c r="E68" s="36" t="s">
        <v>334</v>
      </c>
    </row>
    <row r="69" spans="5:5">
      <c r="E69" s="36" t="s">
        <v>335</v>
      </c>
    </row>
    <row r="70" spans="5:5">
      <c r="E70" s="36" t="s">
        <v>336</v>
      </c>
    </row>
    <row r="72" spans="5:5">
      <c r="E72" t="s">
        <v>337</v>
      </c>
    </row>
    <row r="74" spans="5:5">
      <c r="E74" t="s">
        <v>338</v>
      </c>
    </row>
    <row r="75" spans="5:5">
      <c r="E75" s="35"/>
    </row>
    <row r="76" spans="5:5">
      <c r="E76" s="36" t="s">
        <v>339</v>
      </c>
    </row>
    <row r="77" spans="5:5">
      <c r="E77" s="36" t="s">
        <v>340</v>
      </c>
    </row>
    <row r="79" spans="5:5">
      <c r="E79" t="s">
        <v>341</v>
      </c>
    </row>
    <row r="81" spans="3:5">
      <c r="E81" s="36" t="s">
        <v>342</v>
      </c>
    </row>
    <row r="82" spans="3:5">
      <c r="E82" s="36" t="s">
        <v>343</v>
      </c>
    </row>
    <row r="83" spans="3:5">
      <c r="E83" s="36" t="s">
        <v>344</v>
      </c>
    </row>
    <row r="85" spans="3:5">
      <c r="E85" t="s">
        <v>345</v>
      </c>
    </row>
    <row r="87" spans="3:5">
      <c r="E87" t="s">
        <v>346</v>
      </c>
    </row>
    <row r="90" spans="3:5">
      <c r="C90" s="115">
        <v>5</v>
      </c>
      <c r="D90" s="58" t="s">
        <v>347</v>
      </c>
    </row>
    <row r="92" spans="3:5">
      <c r="E92" t="s">
        <v>348</v>
      </c>
    </row>
    <row r="94" spans="3:5">
      <c r="E94" t="s">
        <v>349</v>
      </c>
    </row>
    <row r="96" spans="3:5">
      <c r="E96" t="s">
        <v>350</v>
      </c>
    </row>
    <row r="98" spans="5:5">
      <c r="E98" s="35" t="s">
        <v>351</v>
      </c>
    </row>
    <row r="99" spans="5:5">
      <c r="E99" s="35" t="s">
        <v>352</v>
      </c>
    </row>
    <row r="100" spans="5:5">
      <c r="E100" s="35" t="s">
        <v>353</v>
      </c>
    </row>
    <row r="102" spans="5:5">
      <c r="E102" t="s">
        <v>354</v>
      </c>
    </row>
    <row r="103" spans="5:5">
      <c r="E103" s="35"/>
    </row>
    <row r="104" spans="5:5">
      <c r="E104" s="36" t="s">
        <v>355</v>
      </c>
    </row>
    <row r="105" spans="5:5">
      <c r="E105" s="36" t="s">
        <v>356</v>
      </c>
    </row>
    <row r="106" spans="5:5">
      <c r="E106" s="36" t="s">
        <v>357</v>
      </c>
    </row>
    <row r="107" spans="5:5">
      <c r="E107" s="36" t="s">
        <v>358</v>
      </c>
    </row>
    <row r="108" spans="5:5">
      <c r="E108" s="36" t="s">
        <v>359</v>
      </c>
    </row>
    <row r="109" spans="5:5">
      <c r="E109" s="36" t="s">
        <v>360</v>
      </c>
    </row>
    <row r="110" spans="5:5">
      <c r="E110" s="36" t="s">
        <v>361</v>
      </c>
    </row>
    <row r="111" spans="5:5">
      <c r="E111" s="36" t="s">
        <v>362</v>
      </c>
    </row>
    <row r="113" spans="5:5">
      <c r="E113" t="s">
        <v>363</v>
      </c>
    </row>
    <row r="114" spans="5:5">
      <c r="E114" s="35"/>
    </row>
    <row r="115" spans="5:5">
      <c r="E115" s="36" t="s">
        <v>364</v>
      </c>
    </row>
    <row r="116" spans="5:5">
      <c r="E116" s="36" t="s">
        <v>365</v>
      </c>
    </row>
    <row r="117" spans="5:5">
      <c r="E117" s="36" t="s">
        <v>366</v>
      </c>
    </row>
    <row r="118" spans="5:5">
      <c r="E118" s="36" t="s">
        <v>367</v>
      </c>
    </row>
    <row r="120" spans="5:5">
      <c r="E120" t="s">
        <v>368</v>
      </c>
    </row>
    <row r="121" spans="5:5">
      <c r="E121" s="35"/>
    </row>
    <row r="122" spans="5:5">
      <c r="E122" s="35" t="s">
        <v>369</v>
      </c>
    </row>
    <row r="123" spans="5:5">
      <c r="E123" s="35" t="s">
        <v>370</v>
      </c>
    </row>
    <row r="124" spans="5:5">
      <c r="E124" s="35" t="s">
        <v>371</v>
      </c>
    </row>
    <row r="125" spans="5:5">
      <c r="E125" s="35" t="s">
        <v>372</v>
      </c>
    </row>
    <row r="127" spans="5:5">
      <c r="E127" t="s">
        <v>373</v>
      </c>
    </row>
    <row r="129" spans="3:5">
      <c r="E129" s="35" t="s">
        <v>374</v>
      </c>
    </row>
    <row r="130" spans="3:5">
      <c r="E130" s="35" t="s">
        <v>375</v>
      </c>
    </row>
    <row r="131" spans="3:5">
      <c r="E131" s="35" t="s">
        <v>376</v>
      </c>
    </row>
    <row r="132" spans="3:5">
      <c r="E132" s="35" t="s">
        <v>377</v>
      </c>
    </row>
    <row r="134" spans="3:5">
      <c r="E134" t="s">
        <v>378</v>
      </c>
    </row>
    <row r="135" spans="3:5">
      <c r="E135" s="35"/>
    </row>
    <row r="136" spans="3:5">
      <c r="E136" s="36" t="s">
        <v>379</v>
      </c>
    </row>
    <row r="137" spans="3:5">
      <c r="E137" s="36" t="s">
        <v>380</v>
      </c>
    </row>
    <row r="138" spans="3:5">
      <c r="E138" s="36" t="s">
        <v>381</v>
      </c>
    </row>
    <row r="140" spans="3:5">
      <c r="E140" t="s">
        <v>382</v>
      </c>
    </row>
    <row r="143" spans="3:5">
      <c r="C143" s="115">
        <v>6</v>
      </c>
      <c r="D143" s="58" t="s">
        <v>383</v>
      </c>
    </row>
    <row r="145" spans="5:5">
      <c r="E145" t="s">
        <v>384</v>
      </c>
    </row>
    <row r="146" spans="5:5">
      <c r="E146" s="35"/>
    </row>
    <row r="147" spans="5:5">
      <c r="E147" s="35" t="s">
        <v>385</v>
      </c>
    </row>
    <row r="148" spans="5:5">
      <c r="E148" s="35" t="s">
        <v>386</v>
      </c>
    </row>
    <row r="150" spans="5:5">
      <c r="E150" t="s">
        <v>387</v>
      </c>
    </row>
    <row r="152" spans="5:5">
      <c r="E152" t="s">
        <v>388</v>
      </c>
    </row>
    <row r="154" spans="5:5">
      <c r="E154" t="s">
        <v>389</v>
      </c>
    </row>
    <row r="156" spans="5:5">
      <c r="E156" t="s">
        <v>390</v>
      </c>
    </row>
    <row r="157" spans="5:5">
      <c r="E157" s="35"/>
    </row>
    <row r="158" spans="5:5">
      <c r="E158" s="36" t="s">
        <v>391</v>
      </c>
    </row>
    <row r="159" spans="5:5">
      <c r="E159" s="36" t="s">
        <v>392</v>
      </c>
    </row>
    <row r="160" spans="5:5">
      <c r="E160" s="701" t="s">
        <v>393</v>
      </c>
    </row>
    <row r="161" spans="5:5">
      <c r="E161" s="701" t="s">
        <v>394</v>
      </c>
    </row>
    <row r="162" spans="5:5">
      <c r="E162" s="36" t="s">
        <v>395</v>
      </c>
    </row>
    <row r="163" spans="5:5">
      <c r="E163" s="701" t="s">
        <v>396</v>
      </c>
    </row>
    <row r="164" spans="5:5">
      <c r="E164" s="36" t="s">
        <v>397</v>
      </c>
    </row>
    <row r="165" spans="5:5">
      <c r="E165" s="701" t="s">
        <v>398</v>
      </c>
    </row>
    <row r="166" spans="5:5">
      <c r="E166" s="36" t="s">
        <v>399</v>
      </c>
    </row>
    <row r="168" spans="5:5">
      <c r="E168" t="s">
        <v>400</v>
      </c>
    </row>
    <row r="169" spans="5:5">
      <c r="E169" s="35"/>
    </row>
    <row r="170" spans="5:5">
      <c r="E170" s="36" t="s">
        <v>401</v>
      </c>
    </row>
    <row r="171" spans="5:5">
      <c r="E171" s="36" t="s">
        <v>402</v>
      </c>
    </row>
    <row r="173" spans="5:5">
      <c r="E173" t="s">
        <v>403</v>
      </c>
    </row>
    <row r="174" spans="5:5">
      <c r="E174" t="s">
        <v>404</v>
      </c>
    </row>
    <row r="176" spans="5:5">
      <c r="E176" t="s">
        <v>405</v>
      </c>
    </row>
    <row r="178" spans="5:5">
      <c r="E178" s="36" t="s">
        <v>406</v>
      </c>
    </row>
    <row r="179" spans="5:5">
      <c r="E179" s="36" t="s">
        <v>407</v>
      </c>
    </row>
    <row r="180" spans="5:5">
      <c r="E180" s="701" t="s">
        <v>408</v>
      </c>
    </row>
    <row r="181" spans="5:5">
      <c r="E181" s="701" t="s">
        <v>409</v>
      </c>
    </row>
    <row r="182" spans="5:5">
      <c r="E182" s="36" t="s">
        <v>410</v>
      </c>
    </row>
    <row r="183" spans="5:5">
      <c r="E183" s="36" t="s">
        <v>411</v>
      </c>
    </row>
    <row r="185" spans="5:5">
      <c r="E185" t="s">
        <v>412</v>
      </c>
    </row>
    <row r="186" spans="5:5">
      <c r="E186" s="35"/>
    </row>
    <row r="187" spans="5:5">
      <c r="E187" s="36" t="s">
        <v>413</v>
      </c>
    </row>
    <row r="188" spans="5:5">
      <c r="E188" s="36" t="s">
        <v>414</v>
      </c>
    </row>
    <row r="189" spans="5:5">
      <c r="E189" s="36" t="s">
        <v>415</v>
      </c>
    </row>
    <row r="190" spans="5:5">
      <c r="E190" s="36" t="s">
        <v>416</v>
      </c>
    </row>
    <row r="192" spans="5:5">
      <c r="E192" t="s">
        <v>417</v>
      </c>
    </row>
    <row r="194" spans="3:5">
      <c r="E194" s="35" t="s">
        <v>418</v>
      </c>
    </row>
    <row r="195" spans="3:5">
      <c r="E195" s="35" t="s">
        <v>419</v>
      </c>
    </row>
    <row r="196" spans="3:5">
      <c r="E196" s="35" t="s">
        <v>420</v>
      </c>
    </row>
    <row r="198" spans="3:5">
      <c r="E198" t="s">
        <v>421</v>
      </c>
    </row>
    <row r="201" spans="3:5">
      <c r="C201" s="115">
        <v>7</v>
      </c>
      <c r="D201" s="58" t="s">
        <v>422</v>
      </c>
    </row>
    <row r="203" spans="3:5">
      <c r="E203" t="s">
        <v>423</v>
      </c>
    </row>
    <row r="205" spans="3:5">
      <c r="E205" t="s">
        <v>424</v>
      </c>
    </row>
    <row r="207" spans="3:5">
      <c r="E207" t="s">
        <v>425</v>
      </c>
    </row>
    <row r="209" spans="3:5">
      <c r="E209" t="s">
        <v>426</v>
      </c>
    </row>
    <row r="211" spans="3:5">
      <c r="E211" t="s">
        <v>427</v>
      </c>
    </row>
    <row r="212" spans="3:5">
      <c r="E212" s="58" t="s">
        <v>428</v>
      </c>
    </row>
    <row r="214" spans="3:5">
      <c r="E214" t="s">
        <v>429</v>
      </c>
    </row>
    <row r="216" spans="3:5">
      <c r="E216" t="s">
        <v>430</v>
      </c>
    </row>
    <row r="219" spans="3:5">
      <c r="C219" s="115">
        <v>8</v>
      </c>
      <c r="D219" s="58" t="s">
        <v>431</v>
      </c>
    </row>
    <row r="221" spans="3:5">
      <c r="E221" t="s">
        <v>432</v>
      </c>
    </row>
    <row r="223" spans="3:5">
      <c r="E223" t="s">
        <v>433</v>
      </c>
    </row>
    <row r="225" spans="5:5">
      <c r="E225" s="36" t="s">
        <v>434</v>
      </c>
    </row>
    <row r="226" spans="5:5">
      <c r="E226" s="36" t="s">
        <v>435</v>
      </c>
    </row>
    <row r="227" spans="5:5">
      <c r="E227" s="36" t="s">
        <v>436</v>
      </c>
    </row>
    <row r="229" spans="5:5">
      <c r="E229" t="s">
        <v>437</v>
      </c>
    </row>
    <row r="230" spans="5:5">
      <c r="E230" s="35"/>
    </row>
    <row r="231" spans="5:5">
      <c r="E231" s="35" t="s">
        <v>438</v>
      </c>
    </row>
    <row r="232" spans="5:5">
      <c r="E232" s="35" t="s">
        <v>439</v>
      </c>
    </row>
    <row r="233" spans="5:5">
      <c r="E233" s="35" t="s">
        <v>440</v>
      </c>
    </row>
    <row r="235" spans="5:5" ht="23.25" customHeight="1">
      <c r="E235" s="40" t="s">
        <v>441</v>
      </c>
    </row>
    <row r="237" spans="5:5">
      <c r="E237" t="s">
        <v>442</v>
      </c>
    </row>
    <row r="239" spans="5:5">
      <c r="E239" t="s">
        <v>443</v>
      </c>
    </row>
    <row r="241" spans="5:5">
      <c r="E241" s="58" t="s">
        <v>444</v>
      </c>
    </row>
    <row r="242" spans="5:5">
      <c r="E242" t="s">
        <v>445</v>
      </c>
    </row>
    <row r="243" spans="5:5">
      <c r="E243" t="s">
        <v>446</v>
      </c>
    </row>
    <row r="244" spans="5:5">
      <c r="E244" t="s">
        <v>447</v>
      </c>
    </row>
    <row r="246" spans="5:5">
      <c r="E246" s="58" t="s">
        <v>448</v>
      </c>
    </row>
    <row r="247" spans="5:5">
      <c r="E247" t="s">
        <v>449</v>
      </c>
    </row>
    <row r="248" spans="5:5">
      <c r="E248" t="s">
        <v>450</v>
      </c>
    </row>
    <row r="249" spans="5:5">
      <c r="E249" t="s">
        <v>451</v>
      </c>
    </row>
    <row r="250" spans="5:5">
      <c r="E250" t="s">
        <v>452</v>
      </c>
    </row>
    <row r="251" spans="5:5">
      <c r="E251" t="s">
        <v>453</v>
      </c>
    </row>
    <row r="253" spans="5:5" ht="23.25" customHeight="1">
      <c r="E253" s="40" t="s">
        <v>454</v>
      </c>
    </row>
    <row r="255" spans="5:5">
      <c r="E255" t="s">
        <v>455</v>
      </c>
    </row>
    <row r="257" spans="5:5" ht="18" customHeight="1">
      <c r="E257" s="37" t="s">
        <v>456</v>
      </c>
    </row>
    <row r="259" spans="5:5">
      <c r="E259" s="58" t="s">
        <v>457</v>
      </c>
    </row>
    <row r="260" spans="5:5">
      <c r="E260" s="58" t="s">
        <v>458</v>
      </c>
    </row>
    <row r="261" spans="5:5">
      <c r="E261" s="58" t="s">
        <v>459</v>
      </c>
    </row>
    <row r="262" spans="5:5">
      <c r="E262" s="58" t="s">
        <v>460</v>
      </c>
    </row>
    <row r="263" spans="5:5">
      <c r="E263" s="58" t="s">
        <v>461</v>
      </c>
    </row>
    <row r="264" spans="5:5">
      <c r="E264" s="58" t="s">
        <v>462</v>
      </c>
    </row>
    <row r="265" spans="5:5">
      <c r="E265" s="58" t="s">
        <v>463</v>
      </c>
    </row>
    <row r="266" spans="5:5">
      <c r="E266" s="58" t="s">
        <v>464</v>
      </c>
    </row>
    <row r="267" spans="5:5">
      <c r="E267" s="58" t="s">
        <v>465</v>
      </c>
    </row>
    <row r="268" spans="5:5">
      <c r="E268" s="58" t="s">
        <v>466</v>
      </c>
    </row>
    <row r="269" spans="5:5">
      <c r="E269" s="58" t="s">
        <v>467</v>
      </c>
    </row>
    <row r="270" spans="5:5">
      <c r="E270" s="58" t="s">
        <v>468</v>
      </c>
    </row>
    <row r="271" spans="5:5">
      <c r="E271" s="58" t="s">
        <v>469</v>
      </c>
    </row>
    <row r="273" spans="5:5">
      <c r="E273" t="s">
        <v>470</v>
      </c>
    </row>
    <row r="274" spans="5:5">
      <c r="E274" s="35"/>
    </row>
    <row r="275" spans="5:5">
      <c r="E275" s="35" t="s">
        <v>471</v>
      </c>
    </row>
    <row r="276" spans="5:5">
      <c r="E276" s="35" t="s">
        <v>472</v>
      </c>
    </row>
    <row r="278" spans="5:5">
      <c r="E278" t="s">
        <v>473</v>
      </c>
    </row>
    <row r="279" spans="5:5">
      <c r="E279" s="35"/>
    </row>
    <row r="280" spans="5:5">
      <c r="E280" s="36" t="s">
        <v>474</v>
      </c>
    </row>
    <row r="281" spans="5:5">
      <c r="E281" s="36" t="s">
        <v>475</v>
      </c>
    </row>
    <row r="282" spans="5:5">
      <c r="E282" s="36" t="s">
        <v>476</v>
      </c>
    </row>
    <row r="284" spans="5:5" ht="18" customHeight="1">
      <c r="E284" s="37" t="s">
        <v>477</v>
      </c>
    </row>
    <row r="286" spans="5:5">
      <c r="E286" s="58" t="s">
        <v>478</v>
      </c>
    </row>
    <row r="287" spans="5:5">
      <c r="E287" s="58" t="s">
        <v>479</v>
      </c>
    </row>
    <row r="288" spans="5:5">
      <c r="E288" s="58" t="s">
        <v>480</v>
      </c>
    </row>
    <row r="289" spans="5:5">
      <c r="E289" s="58" t="s">
        <v>481</v>
      </c>
    </row>
    <row r="290" spans="5:5">
      <c r="E290" s="58" t="s">
        <v>482</v>
      </c>
    </row>
    <row r="291" spans="5:5">
      <c r="E291" s="58" t="s">
        <v>483</v>
      </c>
    </row>
    <row r="292" spans="5:5">
      <c r="E292" s="58" t="s">
        <v>484</v>
      </c>
    </row>
    <row r="294" spans="5:5">
      <c r="E294" t="s">
        <v>470</v>
      </c>
    </row>
    <row r="295" spans="5:5">
      <c r="E295" s="35"/>
    </row>
    <row r="296" spans="5:5">
      <c r="E296" s="35" t="s">
        <v>485</v>
      </c>
    </row>
    <row r="298" spans="5:5" ht="18" customHeight="1">
      <c r="E298" s="37" t="s">
        <v>486</v>
      </c>
    </row>
    <row r="300" spans="5:5">
      <c r="E300" s="58" t="s">
        <v>487</v>
      </c>
    </row>
    <row r="301" spans="5:5">
      <c r="E301" s="58" t="s">
        <v>488</v>
      </c>
    </row>
    <row r="302" spans="5:5">
      <c r="E302" s="58" t="s">
        <v>489</v>
      </c>
    </row>
    <row r="303" spans="5:5">
      <c r="E303" s="58" t="s">
        <v>490</v>
      </c>
    </row>
    <row r="304" spans="5:5">
      <c r="E304" s="58" t="s">
        <v>491</v>
      </c>
    </row>
    <row r="306" spans="5:5">
      <c r="E306" t="s">
        <v>470</v>
      </c>
    </row>
    <row r="307" spans="5:5">
      <c r="E307" s="35"/>
    </row>
    <row r="308" spans="5:5">
      <c r="E308" s="35" t="s">
        <v>492</v>
      </c>
    </row>
    <row r="309" spans="5:5">
      <c r="E309" s="35" t="s">
        <v>493</v>
      </c>
    </row>
    <row r="311" spans="5:5" ht="18" customHeight="1">
      <c r="E311" s="37" t="s">
        <v>494</v>
      </c>
    </row>
    <row r="313" spans="5:5">
      <c r="E313" s="58" t="s">
        <v>495</v>
      </c>
    </row>
    <row r="314" spans="5:5">
      <c r="E314" s="58" t="s">
        <v>496</v>
      </c>
    </row>
    <row r="315" spans="5:5">
      <c r="E315" s="58" t="s">
        <v>497</v>
      </c>
    </row>
    <row r="316" spans="5:5">
      <c r="E316" s="58" t="s">
        <v>498</v>
      </c>
    </row>
    <row r="318" spans="5:5">
      <c r="E318" t="s">
        <v>470</v>
      </c>
    </row>
    <row r="319" spans="5:5">
      <c r="E319" s="35"/>
    </row>
    <row r="320" spans="5:5">
      <c r="E320" s="35" t="s">
        <v>499</v>
      </c>
    </row>
    <row r="322" spans="5:5" ht="18" customHeight="1">
      <c r="E322" s="37" t="s">
        <v>500</v>
      </c>
    </row>
    <row r="324" spans="5:5">
      <c r="E324" s="58" t="s">
        <v>501</v>
      </c>
    </row>
    <row r="325" spans="5:5">
      <c r="E325" s="58" t="s">
        <v>502</v>
      </c>
    </row>
    <row r="326" spans="5:5">
      <c r="E326" s="58" t="s">
        <v>503</v>
      </c>
    </row>
    <row r="327" spans="5:5">
      <c r="E327" s="58" t="s">
        <v>504</v>
      </c>
    </row>
    <row r="328" spans="5:5">
      <c r="E328" s="58" t="s">
        <v>505</v>
      </c>
    </row>
    <row r="329" spans="5:5">
      <c r="E329" s="58" t="s">
        <v>490</v>
      </c>
    </row>
    <row r="331" spans="5:5">
      <c r="E331" t="s">
        <v>470</v>
      </c>
    </row>
    <row r="332" spans="5:5">
      <c r="E332" s="35"/>
    </row>
    <row r="333" spans="5:5">
      <c r="E333" s="35" t="s">
        <v>506</v>
      </c>
    </row>
    <row r="334" spans="5:5">
      <c r="E334" s="35" t="s">
        <v>507</v>
      </c>
    </row>
    <row r="336" spans="5:5" ht="18" customHeight="1">
      <c r="E336" s="37" t="s">
        <v>508</v>
      </c>
    </row>
    <row r="338" spans="5:5">
      <c r="E338" s="58" t="s">
        <v>509</v>
      </c>
    </row>
    <row r="339" spans="5:5">
      <c r="E339" s="58" t="s">
        <v>510</v>
      </c>
    </row>
    <row r="341" spans="5:5">
      <c r="E341" t="s">
        <v>511</v>
      </c>
    </row>
    <row r="343" spans="5:5">
      <c r="E343" s="58" t="s">
        <v>512</v>
      </c>
    </row>
    <row r="344" spans="5:5">
      <c r="E344" s="58" t="s">
        <v>513</v>
      </c>
    </row>
    <row r="345" spans="5:5">
      <c r="E345" s="58" t="s">
        <v>514</v>
      </c>
    </row>
    <row r="347" spans="5:5">
      <c r="E347" t="s">
        <v>470</v>
      </c>
    </row>
    <row r="348" spans="5:5">
      <c r="E348" s="35"/>
    </row>
    <row r="349" spans="5:5">
      <c r="E349" s="35" t="s">
        <v>515</v>
      </c>
    </row>
    <row r="351" spans="5:5" ht="23.25" customHeight="1">
      <c r="E351" s="40" t="s">
        <v>516</v>
      </c>
    </row>
    <row r="353" spans="5:5">
      <c r="E353" t="s">
        <v>517</v>
      </c>
    </row>
    <row r="355" spans="5:5" ht="18" customHeight="1">
      <c r="E355" s="37" t="s">
        <v>518</v>
      </c>
    </row>
    <row r="356" spans="5:5">
      <c r="E356" s="35"/>
    </row>
    <row r="357" spans="5:5">
      <c r="E357" s="36" t="s">
        <v>519</v>
      </c>
    </row>
    <row r="358" spans="5:5">
      <c r="E358" s="36" t="s">
        <v>520</v>
      </c>
    </row>
    <row r="359" spans="5:5">
      <c r="E359" s="36" t="s">
        <v>521</v>
      </c>
    </row>
    <row r="360" spans="5:5">
      <c r="E360" s="36" t="s">
        <v>522</v>
      </c>
    </row>
    <row r="361" spans="5:5">
      <c r="E361" s="36" t="s">
        <v>523</v>
      </c>
    </row>
    <row r="362" spans="5:5">
      <c r="E362" s="36" t="s">
        <v>524</v>
      </c>
    </row>
    <row r="364" spans="5:5" ht="18" customHeight="1">
      <c r="E364" s="37" t="s">
        <v>525</v>
      </c>
    </row>
    <row r="365" spans="5:5">
      <c r="E365" s="35"/>
    </row>
    <row r="366" spans="5:5">
      <c r="E366" s="36" t="s">
        <v>526</v>
      </c>
    </row>
    <row r="367" spans="5:5">
      <c r="E367" s="36" t="s">
        <v>527</v>
      </c>
    </row>
    <row r="368" spans="5:5">
      <c r="E368" s="36" t="s">
        <v>528</v>
      </c>
    </row>
    <row r="370" spans="5:5" ht="18" customHeight="1">
      <c r="E370" s="37" t="s">
        <v>529</v>
      </c>
    </row>
    <row r="371" spans="5:5">
      <c r="E371" s="35"/>
    </row>
    <row r="372" spans="5:5">
      <c r="E372" s="36" t="s">
        <v>530</v>
      </c>
    </row>
    <row r="373" spans="5:5">
      <c r="E373" s="36" t="s">
        <v>531</v>
      </c>
    </row>
    <row r="374" spans="5:5">
      <c r="E374" s="36" t="s">
        <v>532</v>
      </c>
    </row>
    <row r="376" spans="5:5" ht="18" customHeight="1">
      <c r="E376" s="37" t="s">
        <v>533</v>
      </c>
    </row>
    <row r="377" spans="5:5">
      <c r="E377" s="35"/>
    </row>
    <row r="378" spans="5:5">
      <c r="E378" s="36" t="s">
        <v>534</v>
      </c>
    </row>
    <row r="379" spans="5:5">
      <c r="E379" s="36" t="s">
        <v>535</v>
      </c>
    </row>
    <row r="380" spans="5:5">
      <c r="E380" s="36" t="s">
        <v>536</v>
      </c>
    </row>
    <row r="382" spans="5:5" ht="23.25" customHeight="1">
      <c r="E382" s="40" t="s">
        <v>537</v>
      </c>
    </row>
    <row r="384" spans="5:5">
      <c r="E384" t="s">
        <v>538</v>
      </c>
    </row>
    <row r="386" spans="5:5">
      <c r="E386" s="36" t="s">
        <v>539</v>
      </c>
    </row>
    <row r="387" spans="5:5">
      <c r="E387" s="35" t="s">
        <v>540</v>
      </c>
    </row>
    <row r="388" spans="5:5">
      <c r="E388" s="35"/>
    </row>
    <row r="389" spans="5:5">
      <c r="E389" s="36" t="s">
        <v>541</v>
      </c>
    </row>
    <row r="390" spans="5:5">
      <c r="E390" s="35" t="s">
        <v>542</v>
      </c>
    </row>
    <row r="391" spans="5:5">
      <c r="E391" s="35"/>
    </row>
    <row r="392" spans="5:5">
      <c r="E392" s="36" t="s">
        <v>543</v>
      </c>
    </row>
    <row r="393" spans="5:5">
      <c r="E393" s="35" t="s">
        <v>544</v>
      </c>
    </row>
    <row r="394" spans="5:5">
      <c r="E394" s="35"/>
    </row>
    <row r="395" spans="5:5">
      <c r="E395" s="36" t="s">
        <v>545</v>
      </c>
    </row>
    <row r="396" spans="5:5">
      <c r="E396" s="35" t="s">
        <v>546</v>
      </c>
    </row>
    <row r="397" spans="5:5">
      <c r="E397" s="35"/>
    </row>
    <row r="398" spans="5:5">
      <c r="E398" s="36" t="s">
        <v>547</v>
      </c>
    </row>
    <row r="399" spans="5:5">
      <c r="E399" s="35" t="s">
        <v>548</v>
      </c>
    </row>
    <row r="401" spans="5:5">
      <c r="E401" s="36" t="s">
        <v>549</v>
      </c>
    </row>
    <row r="402" spans="5:5">
      <c r="E402" s="35" t="s">
        <v>550</v>
      </c>
    </row>
    <row r="404" spans="5:5" ht="23.25" customHeight="1">
      <c r="E404" s="40" t="s">
        <v>551</v>
      </c>
    </row>
    <row r="406" spans="5:5">
      <c r="E406" t="s">
        <v>552</v>
      </c>
    </row>
    <row r="408" spans="5:5" ht="18" customHeight="1">
      <c r="E408" s="37" t="s">
        <v>553</v>
      </c>
    </row>
    <row r="410" spans="5:5">
      <c r="E410" t="s">
        <v>554</v>
      </c>
    </row>
    <row r="411" spans="5:5">
      <c r="E411" s="35"/>
    </row>
    <row r="412" spans="5:5">
      <c r="E412" s="36" t="s">
        <v>444</v>
      </c>
    </row>
    <row r="413" spans="5:5">
      <c r="E413" s="36" t="s">
        <v>555</v>
      </c>
    </row>
    <row r="415" spans="5:5" ht="18" customHeight="1">
      <c r="E415" s="37" t="s">
        <v>556</v>
      </c>
    </row>
    <row r="417" spans="5:5">
      <c r="E417" s="35" t="s">
        <v>557</v>
      </c>
    </row>
    <row r="418" spans="5:5">
      <c r="E418" s="35" t="s">
        <v>558</v>
      </c>
    </row>
    <row r="419" spans="5:5">
      <c r="E419" s="35" t="s">
        <v>559</v>
      </c>
    </row>
    <row r="420" spans="5:5">
      <c r="E420" s="36" t="s">
        <v>560</v>
      </c>
    </row>
    <row r="421" spans="5:5">
      <c r="E421" s="36" t="s">
        <v>561</v>
      </c>
    </row>
    <row r="423" spans="5:5" ht="18" customHeight="1">
      <c r="E423" s="37" t="s">
        <v>562</v>
      </c>
    </row>
    <row r="424" spans="5:5">
      <c r="E424" s="35"/>
    </row>
    <row r="425" spans="5:5">
      <c r="E425" s="36" t="s">
        <v>563</v>
      </c>
    </row>
    <row r="426" spans="5:5">
      <c r="E426" s="36" t="s">
        <v>564</v>
      </c>
    </row>
    <row r="427" spans="5:5">
      <c r="E427" s="36" t="s">
        <v>565</v>
      </c>
    </row>
    <row r="428" spans="5:5">
      <c r="E428" s="36" t="s">
        <v>566</v>
      </c>
    </row>
    <row r="429" spans="5:5">
      <c r="E429" s="36" t="s">
        <v>567</v>
      </c>
    </row>
    <row r="430" spans="5:5">
      <c r="E430" s="36" t="s">
        <v>568</v>
      </c>
    </row>
    <row r="431" spans="5:5">
      <c r="E431" s="36" t="s">
        <v>569</v>
      </c>
    </row>
    <row r="432" spans="5:5">
      <c r="E432" s="35" t="s">
        <v>570</v>
      </c>
    </row>
    <row r="434" spans="3:5">
      <c r="E434" t="s">
        <v>571</v>
      </c>
    </row>
    <row r="435" spans="3:5">
      <c r="E435" s="58" t="s">
        <v>572</v>
      </c>
    </row>
    <row r="437" spans="3:5">
      <c r="E437" t="s">
        <v>573</v>
      </c>
    </row>
    <row r="438" spans="3:5">
      <c r="E438" s="58" t="s">
        <v>574</v>
      </c>
    </row>
    <row r="441" spans="3:5">
      <c r="C441" s="115">
        <v>9</v>
      </c>
      <c r="D441" s="58" t="s">
        <v>575</v>
      </c>
    </row>
    <row r="443" spans="3:5" ht="23.25" customHeight="1">
      <c r="E443" s="40" t="s">
        <v>576</v>
      </c>
    </row>
    <row r="445" spans="3:5" ht="18" customHeight="1">
      <c r="E445" s="37" t="s">
        <v>577</v>
      </c>
    </row>
    <row r="446" spans="3:5">
      <c r="E446" s="35"/>
    </row>
    <row r="447" spans="3:5">
      <c r="E447" s="35" t="s">
        <v>578</v>
      </c>
    </row>
    <row r="448" spans="3:5">
      <c r="E448" s="35" t="s">
        <v>579</v>
      </c>
    </row>
    <row r="449" spans="5:5">
      <c r="E449" s="702" t="s">
        <v>580</v>
      </c>
    </row>
    <row r="450" spans="5:5">
      <c r="E450" s="702" t="s">
        <v>581</v>
      </c>
    </row>
    <row r="451" spans="5:5">
      <c r="E451" s="702" t="s">
        <v>582</v>
      </c>
    </row>
    <row r="453" spans="5:5">
      <c r="E453" t="s">
        <v>583</v>
      </c>
    </row>
    <row r="457" spans="5:5" ht="18" customHeight="1">
      <c r="E457" s="37" t="s">
        <v>584</v>
      </c>
    </row>
    <row r="458" spans="5:5">
      <c r="E458" s="35"/>
    </row>
    <row r="459" spans="5:5">
      <c r="E459" s="35" t="s">
        <v>585</v>
      </c>
    </row>
    <row r="460" spans="5:5">
      <c r="E460" s="702" t="s">
        <v>586</v>
      </c>
    </row>
    <row r="461" spans="5:5">
      <c r="E461" s="702" t="s">
        <v>587</v>
      </c>
    </row>
    <row r="462" spans="5:5">
      <c r="E462" s="35" t="s">
        <v>588</v>
      </c>
    </row>
    <row r="466" spans="5:5" ht="18" customHeight="1">
      <c r="E466" s="37" t="s">
        <v>589</v>
      </c>
    </row>
    <row r="467" spans="5:5">
      <c r="E467" s="35"/>
    </row>
    <row r="468" spans="5:5">
      <c r="E468" s="35" t="s">
        <v>590</v>
      </c>
    </row>
    <row r="469" spans="5:5">
      <c r="E469" s="35" t="s">
        <v>591</v>
      </c>
    </row>
    <row r="471" spans="5:5">
      <c r="E471" t="s">
        <v>592</v>
      </c>
    </row>
    <row r="475" spans="5:5" ht="18" customHeight="1">
      <c r="E475" s="37" t="s">
        <v>593</v>
      </c>
    </row>
    <row r="476" spans="5:5">
      <c r="E476" s="35"/>
    </row>
    <row r="477" spans="5:5">
      <c r="E477" s="35" t="s">
        <v>594</v>
      </c>
    </row>
    <row r="478" spans="5:5">
      <c r="E478" s="35" t="s">
        <v>595</v>
      </c>
    </row>
    <row r="482" spans="5:5" ht="18" customHeight="1">
      <c r="E482" s="37" t="s">
        <v>596</v>
      </c>
    </row>
    <row r="483" spans="5:5">
      <c r="E483" s="35"/>
    </row>
    <row r="484" spans="5:5">
      <c r="E484" s="35" t="s">
        <v>597</v>
      </c>
    </row>
    <row r="485" spans="5:5">
      <c r="E485" s="702" t="s">
        <v>598</v>
      </c>
    </row>
    <row r="486" spans="5:5">
      <c r="E486" s="702" t="s">
        <v>599</v>
      </c>
    </row>
    <row r="490" spans="5:5" ht="23.25" customHeight="1">
      <c r="E490" s="40" t="s">
        <v>600</v>
      </c>
    </row>
    <row r="492" spans="5:5">
      <c r="E492" t="s">
        <v>601</v>
      </c>
    </row>
    <row r="493" spans="5:5">
      <c r="E493" t="s">
        <v>602</v>
      </c>
    </row>
    <row r="495" spans="5:5">
      <c r="E495" t="s">
        <v>603</v>
      </c>
    </row>
    <row r="497" spans="3:5">
      <c r="E497" s="35" t="s">
        <v>604</v>
      </c>
    </row>
    <row r="501" spans="3:5" ht="23.25" customHeight="1">
      <c r="E501" s="40" t="s">
        <v>605</v>
      </c>
    </row>
    <row r="502" spans="3:5">
      <c r="E502" s="35"/>
    </row>
    <row r="503" spans="3:5">
      <c r="E503" s="35" t="s">
        <v>606</v>
      </c>
    </row>
    <row r="504" spans="3:5">
      <c r="E504" s="35" t="s">
        <v>607</v>
      </c>
    </row>
    <row r="505" spans="3:5">
      <c r="E505" s="702" t="s">
        <v>608</v>
      </c>
    </row>
    <row r="506" spans="3:5">
      <c r="E506" s="702" t="s">
        <v>609</v>
      </c>
    </row>
    <row r="507" spans="3:5">
      <c r="E507" s="35" t="s">
        <v>610</v>
      </c>
    </row>
    <row r="510" spans="3:5">
      <c r="C510" s="115">
        <v>10</v>
      </c>
      <c r="D510" t="s">
        <v>611</v>
      </c>
    </row>
    <row r="512" spans="3:5">
      <c r="E512" t="s">
        <v>612</v>
      </c>
    </row>
    <row r="514" spans="5:5">
      <c r="E514" t="s">
        <v>613</v>
      </c>
    </row>
    <row r="515" spans="5:5">
      <c r="E515" t="s">
        <v>614</v>
      </c>
    </row>
    <row r="517" spans="5:5">
      <c r="E517" t="s">
        <v>615</v>
      </c>
    </row>
    <row r="519" spans="5:5">
      <c r="E519" t="s">
        <v>616</v>
      </c>
    </row>
    <row r="520" spans="5:5">
      <c r="E520" s="35"/>
    </row>
    <row r="521" spans="5:5">
      <c r="E521" s="36" t="s">
        <v>617</v>
      </c>
    </row>
    <row r="522" spans="5:5">
      <c r="E522" s="36" t="s">
        <v>618</v>
      </c>
    </row>
    <row r="523" spans="5:5">
      <c r="E523" s="35" t="s">
        <v>619</v>
      </c>
    </row>
    <row r="524" spans="5:5">
      <c r="E524" s="35" t="s">
        <v>620</v>
      </c>
    </row>
    <row r="525" spans="5:5">
      <c r="E525" s="36" t="s">
        <v>621</v>
      </c>
    </row>
    <row r="526" spans="5:5">
      <c r="E526" s="36" t="s">
        <v>622</v>
      </c>
    </row>
    <row r="527" spans="5:5">
      <c r="E527" s="35" t="s">
        <v>619</v>
      </c>
    </row>
    <row r="528" spans="5:5">
      <c r="E528" s="35" t="s">
        <v>623</v>
      </c>
    </row>
    <row r="530" spans="5:5">
      <c r="E530" t="s">
        <v>624</v>
      </c>
    </row>
    <row r="531" spans="5:5">
      <c r="E531" s="58" t="s">
        <v>625</v>
      </c>
    </row>
    <row r="533" spans="5:5">
      <c r="E533" t="s">
        <v>626</v>
      </c>
    </row>
    <row r="534" spans="5:5">
      <c r="E534" s="35"/>
    </row>
    <row r="535" spans="5:5">
      <c r="E535" s="35" t="s">
        <v>627</v>
      </c>
    </row>
    <row r="536" spans="5:5">
      <c r="E536" s="35" t="s">
        <v>628</v>
      </c>
    </row>
    <row r="538" spans="5:5">
      <c r="E538" t="s">
        <v>629</v>
      </c>
    </row>
    <row r="539" spans="5:5">
      <c r="E539" s="35"/>
    </row>
    <row r="540" spans="5:5">
      <c r="E540" s="36" t="s">
        <v>630</v>
      </c>
    </row>
    <row r="541" spans="5:5">
      <c r="E541" s="36" t="s">
        <v>631</v>
      </c>
    </row>
    <row r="543" spans="5:5">
      <c r="E543" t="s">
        <v>632</v>
      </c>
    </row>
    <row r="546" spans="3:5">
      <c r="C546" s="115">
        <v>11</v>
      </c>
      <c r="D546" t="s">
        <v>633</v>
      </c>
    </row>
    <row r="548" spans="3:5">
      <c r="E548" t="s">
        <v>634</v>
      </c>
    </row>
    <row r="549" spans="3:5">
      <c r="E549" s="35"/>
    </row>
    <row r="550" spans="3:5">
      <c r="E550" s="35" t="s">
        <v>635</v>
      </c>
    </row>
    <row r="551" spans="3:5">
      <c r="E551" s="35" t="s">
        <v>636</v>
      </c>
    </row>
    <row r="552" spans="3:5">
      <c r="E552" s="35" t="s">
        <v>637</v>
      </c>
    </row>
    <row r="553" spans="3:5">
      <c r="E553" s="35" t="s">
        <v>638</v>
      </c>
    </row>
    <row r="554" spans="3:5">
      <c r="E554" s="35" t="s">
        <v>639</v>
      </c>
    </row>
    <row r="555" spans="3:5">
      <c r="E555" s="35" t="s">
        <v>640</v>
      </c>
    </row>
    <row r="556" spans="3:5">
      <c r="E556" s="35" t="s">
        <v>641</v>
      </c>
    </row>
    <row r="557" spans="3:5">
      <c r="E557" s="35" t="s">
        <v>642</v>
      </c>
    </row>
    <row r="559" spans="3:5">
      <c r="E559" t="s">
        <v>643</v>
      </c>
    </row>
    <row r="561" spans="3:5">
      <c r="E561" s="35" t="s">
        <v>644</v>
      </c>
    </row>
    <row r="562" spans="3:5">
      <c r="E562" s="35" t="s">
        <v>645</v>
      </c>
    </row>
    <row r="563" spans="3:5">
      <c r="E563" s="35" t="s">
        <v>646</v>
      </c>
    </row>
    <row r="565" spans="3:5">
      <c r="E565" t="s">
        <v>647</v>
      </c>
    </row>
    <row r="566" spans="3:5">
      <c r="E566" s="35"/>
    </row>
    <row r="567" spans="3:5">
      <c r="E567" s="36" t="s">
        <v>648</v>
      </c>
    </row>
    <row r="568" spans="3:5">
      <c r="E568" s="36" t="s">
        <v>649</v>
      </c>
    </row>
    <row r="569" spans="3:5">
      <c r="E569" s="35" t="s">
        <v>650</v>
      </c>
    </row>
    <row r="571" spans="3:5">
      <c r="E571" t="s">
        <v>651</v>
      </c>
    </row>
    <row r="574" spans="3:5">
      <c r="C574" s="115">
        <v>12</v>
      </c>
      <c r="D574" t="s">
        <v>652</v>
      </c>
    </row>
    <row r="576" spans="3:5">
      <c r="E576" t="s">
        <v>653</v>
      </c>
    </row>
    <row r="578" spans="3:5">
      <c r="E578" s="35" t="s">
        <v>654</v>
      </c>
    </row>
    <row r="579" spans="3:5">
      <c r="E579" s="35" t="s">
        <v>655</v>
      </c>
    </row>
    <row r="580" spans="3:5">
      <c r="E580" s="35" t="s">
        <v>656</v>
      </c>
    </row>
    <row r="583" spans="3:5">
      <c r="C583" s="115">
        <v>13</v>
      </c>
      <c r="D583" t="s">
        <v>657</v>
      </c>
    </row>
    <row r="585" spans="3:5">
      <c r="E585" t="s">
        <v>658</v>
      </c>
    </row>
    <row r="587" spans="3:5">
      <c r="E587" t="s">
        <v>659</v>
      </c>
    </row>
    <row r="589" spans="3:5">
      <c r="E589" t="s">
        <v>660</v>
      </c>
    </row>
    <row r="591" spans="3:5">
      <c r="E591" t="s">
        <v>661</v>
      </c>
    </row>
    <row r="594" spans="3:5">
      <c r="C594" s="115">
        <v>14</v>
      </c>
      <c r="D594" s="58" t="s">
        <v>662</v>
      </c>
    </row>
    <row r="595" spans="3:5">
      <c r="D595" s="58" t="s">
        <v>663</v>
      </c>
    </row>
    <row r="596" spans="3:5">
      <c r="D596" s="58" t="s">
        <v>664</v>
      </c>
    </row>
    <row r="598" spans="3:5">
      <c r="E598" t="s">
        <v>665</v>
      </c>
    </row>
    <row r="599" spans="3:5">
      <c r="E599" s="35"/>
    </row>
    <row r="600" spans="3:5">
      <c r="E600" s="36" t="s">
        <v>662</v>
      </c>
    </row>
    <row r="601" spans="3:5">
      <c r="E601" s="36" t="s">
        <v>663</v>
      </c>
    </row>
    <row r="602" spans="3:5">
      <c r="E602" s="36" t="s">
        <v>664</v>
      </c>
    </row>
    <row r="604" spans="3:5">
      <c r="E604" t="s">
        <v>666</v>
      </c>
    </row>
    <row r="606" spans="3:5">
      <c r="E606" t="s">
        <v>667</v>
      </c>
    </row>
    <row r="607" spans="3:5">
      <c r="E607" s="35"/>
    </row>
    <row r="608" spans="3:5">
      <c r="E608" s="35" t="s">
        <v>668</v>
      </c>
    </row>
    <row r="609" spans="3:14">
      <c r="E609" s="35" t="s">
        <v>669</v>
      </c>
    </row>
    <row r="610" spans="3:14">
      <c r="E610" s="35" t="s">
        <v>670</v>
      </c>
    </row>
    <row r="613" spans="3:14">
      <c r="C613" s="115">
        <v>15</v>
      </c>
      <c r="D613" s="58" t="s">
        <v>671</v>
      </c>
      <c r="E613" s="58" t="s">
        <v>672</v>
      </c>
      <c r="F613" s="58" t="s">
        <v>673</v>
      </c>
      <c r="G613" s="58" t="s">
        <v>674</v>
      </c>
      <c r="H613" s="58" t="s">
        <v>675</v>
      </c>
      <c r="I613" s="58" t="s">
        <v>676</v>
      </c>
      <c r="J613" s="58" t="s">
        <v>677</v>
      </c>
      <c r="K613" s="58" t="s">
        <v>678</v>
      </c>
      <c r="L613" s="58" t="s">
        <v>679</v>
      </c>
      <c r="M613" s="58" t="s">
        <v>680</v>
      </c>
      <c r="N613" s="58" t="s">
        <v>681</v>
      </c>
    </row>
    <row r="615" spans="3:14">
      <c r="D615" t="s">
        <v>682</v>
      </c>
    </row>
    <row r="616" spans="3:14">
      <c r="D616" s="35"/>
    </row>
    <row r="617" spans="3:14">
      <c r="D617" s="36" t="s">
        <v>683</v>
      </c>
    </row>
    <row r="618" spans="3:14">
      <c r="D618" s="36" t="s">
        <v>684</v>
      </c>
    </row>
    <row r="619" spans="3:14">
      <c r="D619" s="36" t="s">
        <v>685</v>
      </c>
    </row>
    <row r="620" spans="3:14">
      <c r="D620" s="36" t="s">
        <v>686</v>
      </c>
    </row>
    <row r="621" spans="3:14">
      <c r="D621" s="35" t="s">
        <v>687</v>
      </c>
    </row>
    <row r="623" spans="3:14">
      <c r="D623" t="s">
        <v>688</v>
      </c>
    </row>
    <row r="625" spans="3:4">
      <c r="D625" s="35" t="s">
        <v>689</v>
      </c>
    </row>
    <row r="626" spans="3:4">
      <c r="D626" s="35" t="s">
        <v>690</v>
      </c>
    </row>
    <row r="627" spans="3:4">
      <c r="D627" s="35" t="s">
        <v>691</v>
      </c>
    </row>
    <row r="629" spans="3:4">
      <c r="D629" t="s">
        <v>692</v>
      </c>
    </row>
    <row r="630" spans="3:4">
      <c r="D630" s="35"/>
    </row>
    <row r="631" spans="3:4">
      <c r="D631" s="35" t="s">
        <v>693</v>
      </c>
    </row>
    <row r="632" spans="3:4">
      <c r="D632" s="35" t="s">
        <v>694</v>
      </c>
    </row>
    <row r="635" spans="3:4">
      <c r="C635" s="115">
        <v>16</v>
      </c>
      <c r="D635" s="58" t="s">
        <v>695</v>
      </c>
    </row>
    <row r="637" spans="3:4">
      <c r="D637" t="s">
        <v>696</v>
      </c>
    </row>
    <row r="639" spans="3:4">
      <c r="D639" t="s">
        <v>697</v>
      </c>
    </row>
    <row r="641" spans="4:4">
      <c r="D641" t="s">
        <v>698</v>
      </c>
    </row>
    <row r="643" spans="4:4">
      <c r="D643" t="s">
        <v>699</v>
      </c>
    </row>
    <row r="644" spans="4:4">
      <c r="D644" s="35"/>
    </row>
    <row r="645" spans="4:4">
      <c r="D645" s="36" t="s">
        <v>700</v>
      </c>
    </row>
    <row r="646" spans="4:4">
      <c r="D646" s="36" t="s">
        <v>701</v>
      </c>
    </row>
    <row r="647" spans="4:4">
      <c r="D647" s="36" t="s">
        <v>702</v>
      </c>
    </row>
    <row r="648" spans="4:4">
      <c r="D648" s="36" t="s">
        <v>703</v>
      </c>
    </row>
    <row r="649" spans="4:4">
      <c r="D649" s="36" t="s">
        <v>704</v>
      </c>
    </row>
    <row r="650" spans="4:4">
      <c r="D650" s="36" t="s">
        <v>705</v>
      </c>
    </row>
    <row r="652" spans="4:4">
      <c r="D652" t="s">
        <v>706</v>
      </c>
    </row>
    <row r="654" spans="4:4">
      <c r="D654" t="s">
        <v>707</v>
      </c>
    </row>
    <row r="656" spans="4:4">
      <c r="D656" t="s">
        <v>708</v>
      </c>
    </row>
    <row r="658" spans="4:4">
      <c r="D658" t="s">
        <v>709</v>
      </c>
    </row>
    <row r="659" spans="4:4">
      <c r="D659" s="35"/>
    </row>
    <row r="660" spans="4:4">
      <c r="D660" s="36" t="s">
        <v>710</v>
      </c>
    </row>
    <row r="661" spans="4:4">
      <c r="D661" s="36" t="s">
        <v>711</v>
      </c>
    </row>
    <row r="662" spans="4:4">
      <c r="D662" s="36" t="s">
        <v>712</v>
      </c>
    </row>
    <row r="663" spans="4:4">
      <c r="D663" s="36" t="s">
        <v>713</v>
      </c>
    </row>
    <row r="664" spans="4:4">
      <c r="D664" s="36" t="s">
        <v>714</v>
      </c>
    </row>
    <row r="665" spans="4:4">
      <c r="D665" s="36" t="s">
        <v>715</v>
      </c>
    </row>
    <row r="667" spans="4:4">
      <c r="D667" t="s">
        <v>716</v>
      </c>
    </row>
    <row r="668" spans="4:4">
      <c r="D668" s="35"/>
    </row>
    <row r="669" spans="4:4">
      <c r="D669" s="36" t="s">
        <v>717</v>
      </c>
    </row>
    <row r="670" spans="4:4">
      <c r="D670" s="36" t="s">
        <v>718</v>
      </c>
    </row>
    <row r="673" spans="3:4">
      <c r="C673" s="115">
        <v>17</v>
      </c>
      <c r="D673" s="58" t="s">
        <v>719</v>
      </c>
    </row>
    <row r="675" spans="3:4">
      <c r="D675" t="s">
        <v>720</v>
      </c>
    </row>
    <row r="677" spans="3:4">
      <c r="D677" t="s">
        <v>721</v>
      </c>
    </row>
    <row r="679" spans="3:4">
      <c r="D679" t="s">
        <v>722</v>
      </c>
    </row>
    <row r="681" spans="3:4">
      <c r="D681" t="s">
        <v>723</v>
      </c>
    </row>
    <row r="683" spans="3:4">
      <c r="D683" t="s">
        <v>724</v>
      </c>
    </row>
    <row r="685" spans="3:4">
      <c r="D685" t="s">
        <v>725</v>
      </c>
    </row>
    <row r="687" spans="3:4">
      <c r="D687" t="s">
        <v>726</v>
      </c>
    </row>
    <row r="689" spans="4:4">
      <c r="D689" t="s">
        <v>727</v>
      </c>
    </row>
    <row r="690" spans="4:4">
      <c r="D690" s="35"/>
    </row>
    <row r="691" spans="4:4">
      <c r="D691" s="36" t="s">
        <v>728</v>
      </c>
    </row>
    <row r="692" spans="4:4">
      <c r="D692" s="36" t="s">
        <v>729</v>
      </c>
    </row>
    <row r="694" spans="4:4">
      <c r="D694" t="s">
        <v>730</v>
      </c>
    </row>
    <row r="695" spans="4:4">
      <c r="D695" s="35"/>
    </row>
    <row r="696" spans="4:4">
      <c r="D696" s="36" t="s">
        <v>731</v>
      </c>
    </row>
    <row r="697" spans="4:4">
      <c r="D697" s="36" t="s">
        <v>732</v>
      </c>
    </row>
    <row r="698" spans="4:4">
      <c r="D698" s="36" t="s">
        <v>733</v>
      </c>
    </row>
    <row r="700" spans="4:4">
      <c r="D700" t="s">
        <v>734</v>
      </c>
    </row>
    <row r="702" spans="4:4">
      <c r="D702" t="s">
        <v>735</v>
      </c>
    </row>
    <row r="703" spans="4:4">
      <c r="D703" s="58" t="s">
        <v>736</v>
      </c>
    </row>
    <row r="706" spans="3:5">
      <c r="C706" s="115">
        <v>18</v>
      </c>
      <c r="D706" s="58" t="s">
        <v>737</v>
      </c>
    </row>
    <row r="708" spans="3:5">
      <c r="D708" t="s">
        <v>738</v>
      </c>
    </row>
    <row r="710" spans="3:5" ht="60" customHeight="1">
      <c r="D710" s="33" t="s">
        <v>137</v>
      </c>
      <c r="E710" s="33" t="s">
        <v>739</v>
      </c>
    </row>
    <row r="711" spans="3:5">
      <c r="D711" s="47">
        <v>2000</v>
      </c>
      <c r="E711" s="41">
        <v>82000</v>
      </c>
    </row>
    <row r="712" spans="3:5">
      <c r="D712" s="47">
        <v>2005</v>
      </c>
      <c r="E712" s="41">
        <v>87000</v>
      </c>
    </row>
    <row r="713" spans="3:5">
      <c r="D713" s="47">
        <v>2010</v>
      </c>
      <c r="E713" s="41">
        <v>90000</v>
      </c>
    </row>
    <row r="714" spans="3:5">
      <c r="D714" s="47">
        <v>2015</v>
      </c>
      <c r="E714" s="41">
        <v>93000</v>
      </c>
    </row>
    <row r="715" spans="3:5">
      <c r="D715" s="47">
        <v>2020</v>
      </c>
      <c r="E715" s="41">
        <v>94000</v>
      </c>
    </row>
    <row r="716" spans="3:5">
      <c r="D716" s="47">
        <v>2025</v>
      </c>
      <c r="E716" s="41">
        <v>93500</v>
      </c>
    </row>
    <row r="717" spans="3:5">
      <c r="D717" s="47">
        <v>2030</v>
      </c>
      <c r="E717" s="41">
        <v>92000</v>
      </c>
    </row>
    <row r="719" spans="3:5">
      <c r="D719" t="s">
        <v>740</v>
      </c>
    </row>
    <row r="721" spans="3:4">
      <c r="D721" t="s">
        <v>741</v>
      </c>
    </row>
    <row r="723" spans="3:4">
      <c r="D723" t="s">
        <v>742</v>
      </c>
    </row>
    <row r="724" spans="3:4">
      <c r="D724" s="35"/>
    </row>
    <row r="725" spans="3:4">
      <c r="D725" s="36" t="s">
        <v>743</v>
      </c>
    </row>
    <row r="726" spans="3:4">
      <c r="D726" s="36" t="s">
        <v>744</v>
      </c>
    </row>
    <row r="727" spans="3:4">
      <c r="D727" s="36" t="s">
        <v>745</v>
      </c>
    </row>
    <row r="729" spans="3:4">
      <c r="D729" t="s">
        <v>746</v>
      </c>
    </row>
    <row r="732" spans="3:4">
      <c r="C732" s="115">
        <v>19</v>
      </c>
      <c r="D732" s="58" t="s">
        <v>747</v>
      </c>
    </row>
    <row r="734" spans="3:4">
      <c r="D734" t="s">
        <v>748</v>
      </c>
    </row>
    <row r="736" spans="3:4">
      <c r="D736" t="s">
        <v>749</v>
      </c>
    </row>
    <row r="738" spans="4:5">
      <c r="D738" t="s">
        <v>750</v>
      </c>
    </row>
    <row r="740" spans="4:5">
      <c r="D740" t="s">
        <v>751</v>
      </c>
    </row>
    <row r="742" spans="4:5">
      <c r="D742" t="s">
        <v>752</v>
      </c>
    </row>
    <row r="743" spans="4:5">
      <c r="D743" s="35"/>
    </row>
    <row r="744" spans="4:5">
      <c r="D744" s="36" t="s">
        <v>753</v>
      </c>
    </row>
    <row r="745" spans="4:5">
      <c r="D745" s="36" t="s">
        <v>754</v>
      </c>
    </row>
    <row r="747" spans="4:5" ht="23.25" customHeight="1">
      <c r="D747" s="40" t="s">
        <v>755</v>
      </c>
    </row>
    <row r="749" spans="4:5">
      <c r="D749" t="s">
        <v>756</v>
      </c>
    </row>
    <row r="751" spans="4:5" ht="60" customHeight="1">
      <c r="D751" s="33" t="s">
        <v>137</v>
      </c>
      <c r="E751" s="33" t="s">
        <v>757</v>
      </c>
    </row>
    <row r="752" spans="4:5">
      <c r="D752" s="47">
        <v>2020</v>
      </c>
      <c r="E752" s="41">
        <v>27800</v>
      </c>
    </row>
    <row r="753" spans="4:5">
      <c r="D753" s="47">
        <v>2021</v>
      </c>
      <c r="E753" s="41">
        <v>27900</v>
      </c>
    </row>
    <row r="754" spans="4:5">
      <c r="D754" s="47">
        <v>2022</v>
      </c>
      <c r="E754" s="41">
        <v>28000</v>
      </c>
    </row>
    <row r="755" spans="4:5">
      <c r="D755" s="47">
        <v>2023</v>
      </c>
      <c r="E755" s="41">
        <v>28050</v>
      </c>
    </row>
    <row r="756" spans="4:5">
      <c r="D756" s="47">
        <v>2024</v>
      </c>
      <c r="E756" s="41">
        <v>28100</v>
      </c>
    </row>
    <row r="757" spans="4:5">
      <c r="D757" s="47">
        <v>2025</v>
      </c>
      <c r="E757" s="41">
        <v>28100</v>
      </c>
    </row>
    <row r="758" spans="4:5">
      <c r="D758" s="47">
        <v>2026</v>
      </c>
      <c r="E758" s="41">
        <v>28000</v>
      </c>
    </row>
    <row r="759" spans="4:5">
      <c r="D759" s="47">
        <v>2027</v>
      </c>
      <c r="E759" s="41">
        <v>27900</v>
      </c>
    </row>
    <row r="760" spans="4:5">
      <c r="D760" s="47">
        <v>2028</v>
      </c>
      <c r="E760" s="41">
        <v>27800</v>
      </c>
    </row>
    <row r="761" spans="4:5">
      <c r="D761" s="47">
        <v>2029</v>
      </c>
      <c r="E761" s="41">
        <v>27700</v>
      </c>
    </row>
    <row r="762" spans="4:5">
      <c r="D762" s="47">
        <v>2030</v>
      </c>
      <c r="E762" s="41">
        <v>27600</v>
      </c>
    </row>
    <row r="764" spans="4:5">
      <c r="D764" t="s">
        <v>758</v>
      </c>
    </row>
    <row r="765" spans="4:5">
      <c r="D765" s="35"/>
    </row>
    <row r="766" spans="4:5">
      <c r="D766" s="35" t="s">
        <v>759</v>
      </c>
    </row>
    <row r="767" spans="4:5">
      <c r="D767" s="35" t="s">
        <v>760</v>
      </c>
    </row>
    <row r="768" spans="4:5">
      <c r="D768" s="35" t="s">
        <v>761</v>
      </c>
    </row>
    <row r="769" spans="3:4">
      <c r="D769" s="35" t="s">
        <v>762</v>
      </c>
    </row>
    <row r="772" spans="3:4">
      <c r="C772" s="115">
        <v>20</v>
      </c>
      <c r="D772" s="58" t="s">
        <v>763</v>
      </c>
    </row>
    <row r="774" spans="3:4">
      <c r="D774" t="s">
        <v>764</v>
      </c>
    </row>
    <row r="776" spans="3:4">
      <c r="D776" t="s">
        <v>765</v>
      </c>
    </row>
    <row r="778" spans="3:4">
      <c r="D778" t="s">
        <v>766</v>
      </c>
    </row>
    <row r="780" spans="3:4">
      <c r="D780" t="s">
        <v>767</v>
      </c>
    </row>
    <row r="781" spans="3:4">
      <c r="D781" s="35"/>
    </row>
    <row r="782" spans="3:4">
      <c r="D782" s="35" t="s">
        <v>768</v>
      </c>
    </row>
    <row r="783" spans="3:4">
      <c r="D783" s="35" t="s">
        <v>769</v>
      </c>
    </row>
    <row r="784" spans="3:4">
      <c r="D784" s="35" t="s">
        <v>770</v>
      </c>
    </row>
    <row r="786" spans="4:4">
      <c r="D786" t="s">
        <v>771</v>
      </c>
    </row>
    <row r="787" spans="4:4">
      <c r="D787" s="35"/>
    </row>
    <row r="788" spans="4:4">
      <c r="D788" s="36" t="s">
        <v>772</v>
      </c>
    </row>
    <row r="789" spans="4:4">
      <c r="D789" s="36" t="s">
        <v>773</v>
      </c>
    </row>
    <row r="790" spans="4:4">
      <c r="D790" s="36" t="s">
        <v>774</v>
      </c>
    </row>
    <row r="791" spans="4:4">
      <c r="D791" s="36" t="s">
        <v>775</v>
      </c>
    </row>
    <row r="792" spans="4:4">
      <c r="D792" s="36" t="s">
        <v>776</v>
      </c>
    </row>
    <row r="793" spans="4:4">
      <c r="D793" s="36" t="s">
        <v>777</v>
      </c>
    </row>
    <row r="794" spans="4:4">
      <c r="D794" s="36" t="s">
        <v>778</v>
      </c>
    </row>
    <row r="796" spans="4:4">
      <c r="D796" t="s">
        <v>779</v>
      </c>
    </row>
    <row r="798" spans="4:4">
      <c r="D798" t="s">
        <v>780</v>
      </c>
    </row>
    <row r="801" spans="3:4">
      <c r="C801" s="115">
        <v>21</v>
      </c>
      <c r="D801" s="58" t="s">
        <v>781</v>
      </c>
    </row>
    <row r="803" spans="3:4">
      <c r="D803" t="s">
        <v>782</v>
      </c>
    </row>
    <row r="805" spans="3:4">
      <c r="D805" t="s">
        <v>783</v>
      </c>
    </row>
    <row r="806" spans="3:4">
      <c r="D806" s="35"/>
    </row>
    <row r="807" spans="3:4">
      <c r="D807" s="35" t="s">
        <v>784</v>
      </c>
    </row>
    <row r="808" spans="3:4">
      <c r="D808" s="35" t="s">
        <v>785</v>
      </c>
    </row>
    <row r="809" spans="3:4">
      <c r="D809" s="35" t="s">
        <v>786</v>
      </c>
    </row>
    <row r="810" spans="3:4">
      <c r="D810" s="35" t="s">
        <v>787</v>
      </c>
    </row>
    <row r="812" spans="3:4">
      <c r="D812" t="s">
        <v>788</v>
      </c>
    </row>
    <row r="813" spans="3:4">
      <c r="D813" s="35"/>
    </row>
    <row r="814" spans="3:4">
      <c r="D814" s="36" t="s">
        <v>789</v>
      </c>
    </row>
    <row r="815" spans="3:4">
      <c r="D815" s="36" t="s">
        <v>790</v>
      </c>
    </row>
    <row r="816" spans="3:4">
      <c r="D816" s="36" t="s">
        <v>791</v>
      </c>
    </row>
    <row r="817" spans="3:4">
      <c r="D817" s="36" t="s">
        <v>792</v>
      </c>
    </row>
    <row r="818" spans="3:4">
      <c r="D818" s="36" t="s">
        <v>793</v>
      </c>
    </row>
    <row r="819" spans="3:4">
      <c r="D819" s="36" t="s">
        <v>794</v>
      </c>
    </row>
    <row r="822" spans="3:4">
      <c r="C822" s="115">
        <v>22</v>
      </c>
      <c r="D822" s="58" t="s">
        <v>795</v>
      </c>
    </row>
    <row r="824" spans="3:4">
      <c r="D824" t="s">
        <v>796</v>
      </c>
    </row>
    <row r="825" spans="3:4">
      <c r="D825" s="35"/>
    </row>
    <row r="826" spans="3:4">
      <c r="D826" s="36" t="s">
        <v>797</v>
      </c>
    </row>
    <row r="827" spans="3:4">
      <c r="D827" s="36" t="s">
        <v>798</v>
      </c>
    </row>
    <row r="828" spans="3:4">
      <c r="D828" s="36" t="s">
        <v>799</v>
      </c>
    </row>
    <row r="829" spans="3:4">
      <c r="D829" s="36" t="s">
        <v>800</v>
      </c>
    </row>
    <row r="830" spans="3:4">
      <c r="D830" s="36" t="s">
        <v>801</v>
      </c>
    </row>
    <row r="832" spans="3:4">
      <c r="D832" t="s">
        <v>802</v>
      </c>
    </row>
    <row r="834" spans="3:4">
      <c r="D834" s="35" t="s">
        <v>803</v>
      </c>
    </row>
    <row r="835" spans="3:4">
      <c r="D835" s="35" t="s">
        <v>804</v>
      </c>
    </row>
    <row r="836" spans="3:4">
      <c r="D836" s="35" t="s">
        <v>805</v>
      </c>
    </row>
    <row r="839" spans="3:4">
      <c r="C839" s="115">
        <v>23</v>
      </c>
      <c r="D839" s="58" t="s">
        <v>806</v>
      </c>
    </row>
    <row r="841" spans="3:4">
      <c r="D841" t="s">
        <v>807</v>
      </c>
    </row>
    <row r="842" spans="3:4">
      <c r="D842" s="35"/>
    </row>
    <row r="843" spans="3:4">
      <c r="D843" s="35" t="s">
        <v>808</v>
      </c>
    </row>
    <row r="844" spans="3:4">
      <c r="D844" s="35" t="s">
        <v>809</v>
      </c>
    </row>
    <row r="845" spans="3:4">
      <c r="D845" s="35" t="s">
        <v>810</v>
      </c>
    </row>
    <row r="846" spans="3:4">
      <c r="D846" s="35" t="s">
        <v>811</v>
      </c>
    </row>
    <row r="848" spans="3:4">
      <c r="D848" t="s">
        <v>812</v>
      </c>
    </row>
    <row r="850" spans="3:4">
      <c r="D850" s="35" t="s">
        <v>813</v>
      </c>
    </row>
    <row r="851" spans="3:4">
      <c r="D851" s="35" t="s">
        <v>814</v>
      </c>
    </row>
    <row r="853" spans="3:4">
      <c r="D853" t="s">
        <v>815</v>
      </c>
    </row>
    <row r="856" spans="3:4">
      <c r="C856" s="115">
        <v>24</v>
      </c>
      <c r="D856" s="58" t="s">
        <v>816</v>
      </c>
    </row>
    <row r="858" spans="3:4">
      <c r="D858" t="s">
        <v>817</v>
      </c>
    </row>
    <row r="860" spans="3:4">
      <c r="D860" t="s">
        <v>818</v>
      </c>
    </row>
    <row r="862" spans="3:4">
      <c r="D862" t="s">
        <v>819</v>
      </c>
    </row>
    <row r="865" spans="3:4">
      <c r="C865" s="115">
        <v>25</v>
      </c>
      <c r="D865" s="58" t="s">
        <v>820</v>
      </c>
    </row>
    <row r="867" spans="3:4">
      <c r="D867" t="s">
        <v>821</v>
      </c>
    </row>
    <row r="869" spans="3:4" ht="23.25" customHeight="1">
      <c r="D869" s="40" t="s">
        <v>822</v>
      </c>
    </row>
    <row r="871" spans="3:4">
      <c r="D871" t="s">
        <v>823</v>
      </c>
    </row>
    <row r="872" spans="3:4">
      <c r="D872" s="35"/>
    </row>
    <row r="873" spans="3:4">
      <c r="D873" s="36" t="s">
        <v>824</v>
      </c>
    </row>
    <row r="874" spans="3:4">
      <c r="D874" s="36" t="s">
        <v>825</v>
      </c>
    </row>
    <row r="876" spans="3:4">
      <c r="D876" t="s">
        <v>826</v>
      </c>
    </row>
    <row r="878" spans="3:4" ht="23.25" customHeight="1">
      <c r="D878" s="40" t="s">
        <v>827</v>
      </c>
    </row>
    <row r="880" spans="3:4">
      <c r="D880" t="s">
        <v>828</v>
      </c>
    </row>
    <row r="882" spans="4:4">
      <c r="D882" s="58" t="s">
        <v>829</v>
      </c>
    </row>
    <row r="884" spans="4:4">
      <c r="D884" t="s">
        <v>830</v>
      </c>
    </row>
    <row r="885" spans="4:4">
      <c r="D885" s="35"/>
    </row>
    <row r="886" spans="4:4">
      <c r="D886" s="36" t="s">
        <v>831</v>
      </c>
    </row>
    <row r="887" spans="4:4">
      <c r="D887" s="36" t="s">
        <v>832</v>
      </c>
    </row>
    <row r="889" spans="4:4" ht="23.25" customHeight="1">
      <c r="D889" s="40" t="s">
        <v>833</v>
      </c>
    </row>
    <row r="891" spans="4:4">
      <c r="D891" t="s">
        <v>834</v>
      </c>
    </row>
    <row r="892" spans="4:4">
      <c r="D892" s="35"/>
    </row>
    <row r="893" spans="4:4">
      <c r="D893" s="35" t="s">
        <v>835</v>
      </c>
    </row>
    <row r="894" spans="4:4">
      <c r="D894" s="35" t="s">
        <v>836</v>
      </c>
    </row>
    <row r="896" spans="4:4">
      <c r="D896" t="s">
        <v>837</v>
      </c>
    </row>
    <row r="898" spans="4:4">
      <c r="D898" s="36" t="s">
        <v>838</v>
      </c>
    </row>
    <row r="899" spans="4:4">
      <c r="D899" s="36" t="s">
        <v>839</v>
      </c>
    </row>
    <row r="900" spans="4:4">
      <c r="D900" s="36" t="s">
        <v>840</v>
      </c>
    </row>
    <row r="902" spans="4:4" ht="23.25" customHeight="1">
      <c r="D902" s="40" t="s">
        <v>841</v>
      </c>
    </row>
    <row r="904" spans="4:4">
      <c r="D904" t="s">
        <v>842</v>
      </c>
    </row>
    <row r="906" spans="4:4" ht="18" customHeight="1">
      <c r="D906" s="37" t="s">
        <v>843</v>
      </c>
    </row>
    <row r="907" spans="4:4">
      <c r="D907" s="35"/>
    </row>
    <row r="908" spans="4:4">
      <c r="D908" s="36" t="s">
        <v>844</v>
      </c>
    </row>
    <row r="909" spans="4:4">
      <c r="D909" s="36" t="s">
        <v>845</v>
      </c>
    </row>
    <row r="910" spans="4:4">
      <c r="D910" s="36" t="s">
        <v>846</v>
      </c>
    </row>
    <row r="912" spans="4:4" ht="18" customHeight="1">
      <c r="D912" s="37" t="s">
        <v>847</v>
      </c>
    </row>
    <row r="914" spans="4:4">
      <c r="D914" s="36" t="s">
        <v>848</v>
      </c>
    </row>
    <row r="915" spans="4:4">
      <c r="D915" s="36" t="s">
        <v>849</v>
      </c>
    </row>
    <row r="916" spans="4:4">
      <c r="D916" s="36" t="s">
        <v>850</v>
      </c>
    </row>
    <row r="917" spans="4:4">
      <c r="D917" s="35" t="s">
        <v>851</v>
      </c>
    </row>
    <row r="918" spans="4:4">
      <c r="D918" s="35" t="s">
        <v>852</v>
      </c>
    </row>
    <row r="920" spans="4:4" ht="23.25" customHeight="1">
      <c r="D920" s="40" t="s">
        <v>853</v>
      </c>
    </row>
    <row r="922" spans="4:4">
      <c r="D922" t="s">
        <v>854</v>
      </c>
    </row>
    <row r="924" spans="4:4" ht="18" customHeight="1">
      <c r="D924" s="37" t="s">
        <v>855</v>
      </c>
    </row>
    <row r="926" spans="4:4">
      <c r="D926" t="s">
        <v>856</v>
      </c>
    </row>
    <row r="928" spans="4:4">
      <c r="D928" s="58" t="s">
        <v>857</v>
      </c>
    </row>
    <row r="930" spans="4:4">
      <c r="D930" t="s">
        <v>858</v>
      </c>
    </row>
    <row r="931" spans="4:4">
      <c r="D931" s="35"/>
    </row>
    <row r="932" spans="4:4">
      <c r="D932" s="35" t="s">
        <v>859</v>
      </c>
    </row>
    <row r="933" spans="4:4">
      <c r="D933" s="36" t="s">
        <v>860</v>
      </c>
    </row>
    <row r="934" spans="4:4">
      <c r="D934" s="36" t="s">
        <v>861</v>
      </c>
    </row>
    <row r="936" spans="4:4">
      <c r="D936" t="s">
        <v>862</v>
      </c>
    </row>
    <row r="938" spans="4:4" ht="18" customHeight="1">
      <c r="D938" s="37" t="s">
        <v>863</v>
      </c>
    </row>
    <row r="940" spans="4:4">
      <c r="D940" t="s">
        <v>864</v>
      </c>
    </row>
    <row r="941" spans="4:4">
      <c r="D941" s="35"/>
    </row>
    <row r="942" spans="4:4">
      <c r="D942" s="36" t="s">
        <v>865</v>
      </c>
    </row>
    <row r="943" spans="4:4">
      <c r="D943" s="36" t="s">
        <v>866</v>
      </c>
    </row>
    <row r="945" spans="4:4">
      <c r="D945" t="s">
        <v>867</v>
      </c>
    </row>
    <row r="947" spans="4:4" ht="23.25" customHeight="1">
      <c r="D947" s="40" t="s">
        <v>868</v>
      </c>
    </row>
    <row r="949" spans="4:4">
      <c r="D949" t="s">
        <v>869</v>
      </c>
    </row>
    <row r="951" spans="4:4" ht="18" customHeight="1">
      <c r="D951" s="37" t="s">
        <v>870</v>
      </c>
    </row>
    <row r="952" spans="4:4">
      <c r="D952" s="35"/>
    </row>
    <row r="953" spans="4:4">
      <c r="D953" s="36" t="s">
        <v>871</v>
      </c>
    </row>
    <row r="954" spans="4:4">
      <c r="D954" s="36" t="s">
        <v>872</v>
      </c>
    </row>
    <row r="955" spans="4:4">
      <c r="D955" s="36" t="s">
        <v>873</v>
      </c>
    </row>
    <row r="956" spans="4:4">
      <c r="D956" s="36" t="s">
        <v>874</v>
      </c>
    </row>
    <row r="957" spans="4:4">
      <c r="D957" s="36" t="s">
        <v>875</v>
      </c>
    </row>
    <row r="959" spans="4:4" ht="23.25" customHeight="1">
      <c r="D959" s="40" t="s">
        <v>876</v>
      </c>
    </row>
    <row r="961" spans="3:4">
      <c r="D961" t="s">
        <v>877</v>
      </c>
    </row>
    <row r="962" spans="3:4">
      <c r="D962" t="s">
        <v>878</v>
      </c>
    </row>
    <row r="964" spans="3:4" ht="23.25" customHeight="1">
      <c r="D964" s="40" t="s">
        <v>879</v>
      </c>
    </row>
    <row r="965" spans="3:4">
      <c r="D965" s="35"/>
    </row>
    <row r="966" spans="3:4">
      <c r="D966" s="36" t="s">
        <v>880</v>
      </c>
    </row>
    <row r="967" spans="3:4">
      <c r="D967" s="36" t="s">
        <v>881</v>
      </c>
    </row>
    <row r="968" spans="3:4">
      <c r="D968" s="35" t="s">
        <v>882</v>
      </c>
    </row>
    <row r="969" spans="3:4">
      <c r="D969" s="35" t="s">
        <v>883</v>
      </c>
    </row>
    <row r="970" spans="3:4">
      <c r="D970" s="35" t="s">
        <v>884</v>
      </c>
    </row>
    <row r="973" spans="3:4">
      <c r="C973" s="115">
        <v>26</v>
      </c>
      <c r="D973" s="58" t="s">
        <v>885</v>
      </c>
    </row>
    <row r="975" spans="3:4">
      <c r="D975" t="s">
        <v>886</v>
      </c>
    </row>
    <row r="977" spans="4:4" ht="23.25" customHeight="1">
      <c r="D977" s="40" t="s">
        <v>887</v>
      </c>
    </row>
    <row r="979" spans="4:4" ht="18" customHeight="1">
      <c r="D979" s="37" t="s">
        <v>888</v>
      </c>
    </row>
    <row r="981" spans="4:4">
      <c r="D981" t="s">
        <v>889</v>
      </c>
    </row>
    <row r="983" spans="4:4">
      <c r="D983" t="s">
        <v>890</v>
      </c>
    </row>
    <row r="984" spans="4:4">
      <c r="D984" t="s">
        <v>891</v>
      </c>
    </row>
    <row r="985" spans="4:4">
      <c r="D985" s="35"/>
    </row>
    <row r="986" spans="4:4">
      <c r="D986" s="36" t="s">
        <v>892</v>
      </c>
    </row>
    <row r="987" spans="4:4">
      <c r="D987" s="36" t="s">
        <v>893</v>
      </c>
    </row>
    <row r="989" spans="4:4" ht="18" customHeight="1">
      <c r="D989" s="37" t="s">
        <v>894</v>
      </c>
    </row>
    <row r="990" spans="4:4">
      <c r="D990" s="35"/>
    </row>
    <row r="991" spans="4:4">
      <c r="D991" s="36" t="s">
        <v>895</v>
      </c>
    </row>
    <row r="992" spans="4:4">
      <c r="D992" s="35" t="s">
        <v>896</v>
      </c>
    </row>
    <row r="996" spans="4:4" ht="18" customHeight="1">
      <c r="D996" s="37" t="s">
        <v>897</v>
      </c>
    </row>
    <row r="998" spans="4:4">
      <c r="D998" t="s">
        <v>898</v>
      </c>
    </row>
    <row r="1000" spans="4:4">
      <c r="D1000" t="s">
        <v>899</v>
      </c>
    </row>
    <row r="1001" spans="4:4">
      <c r="D1001" s="35"/>
    </row>
    <row r="1002" spans="4:4">
      <c r="D1002" s="35" t="s">
        <v>900</v>
      </c>
    </row>
    <row r="1003" spans="4:4">
      <c r="D1003" s="35" t="s">
        <v>901</v>
      </c>
    </row>
    <row r="1004" spans="4:4">
      <c r="D1004" s="35" t="s">
        <v>902</v>
      </c>
    </row>
    <row r="1005" spans="4:4">
      <c r="D1005" s="35" t="s">
        <v>903</v>
      </c>
    </row>
    <row r="1007" spans="4:4">
      <c r="D1007" t="s">
        <v>904</v>
      </c>
    </row>
    <row r="1009" spans="4:4">
      <c r="D1009" s="36" t="s">
        <v>905</v>
      </c>
    </row>
    <row r="1010" spans="4:4">
      <c r="D1010" s="36" t="s">
        <v>906</v>
      </c>
    </row>
    <row r="1011" spans="4:4">
      <c r="D1011" s="36" t="s">
        <v>907</v>
      </c>
    </row>
    <row r="1012" spans="4:4">
      <c r="D1012" s="36" t="s">
        <v>908</v>
      </c>
    </row>
    <row r="1014" spans="4:4" ht="18" customHeight="1">
      <c r="D1014" s="37" t="s">
        <v>894</v>
      </c>
    </row>
    <row r="1016" spans="4:4">
      <c r="D1016" t="s">
        <v>909</v>
      </c>
    </row>
    <row r="1020" spans="4:4" ht="23.25" customHeight="1">
      <c r="D1020" s="40" t="s">
        <v>910</v>
      </c>
    </row>
    <row r="1022" spans="4:4" ht="18" customHeight="1">
      <c r="D1022" s="37" t="s">
        <v>911</v>
      </c>
    </row>
    <row r="1024" spans="4:4">
      <c r="D1024" t="s">
        <v>912</v>
      </c>
    </row>
    <row r="1025" spans="4:4">
      <c r="D1025" t="s">
        <v>913</v>
      </c>
    </row>
    <row r="1026" spans="4:4">
      <c r="D1026" s="35"/>
    </row>
    <row r="1027" spans="4:4">
      <c r="D1027" s="35" t="s">
        <v>914</v>
      </c>
    </row>
    <row r="1028" spans="4:4">
      <c r="D1028" s="35" t="s">
        <v>915</v>
      </c>
    </row>
    <row r="1029" spans="4:4">
      <c r="D1029" s="35" t="s">
        <v>916</v>
      </c>
    </row>
    <row r="1031" spans="4:4" ht="18" customHeight="1">
      <c r="D1031" s="37" t="s">
        <v>894</v>
      </c>
    </row>
    <row r="1032" spans="4:4">
      <c r="D1032" s="35"/>
    </row>
    <row r="1033" spans="4:4">
      <c r="D1033" s="36" t="s">
        <v>917</v>
      </c>
    </row>
    <row r="1034" spans="4:4">
      <c r="D1034" s="35" t="s">
        <v>918</v>
      </c>
    </row>
    <row r="1038" spans="4:4" ht="18" customHeight="1">
      <c r="D1038" s="37" t="s">
        <v>919</v>
      </c>
    </row>
    <row r="1040" spans="4:4">
      <c r="D1040" t="s">
        <v>920</v>
      </c>
    </row>
    <row r="1042" spans="4:4">
      <c r="D1042" t="s">
        <v>921</v>
      </c>
    </row>
    <row r="1043" spans="4:4">
      <c r="D1043" s="35"/>
    </row>
    <row r="1044" spans="4:4">
      <c r="D1044" s="35" t="s">
        <v>922</v>
      </c>
    </row>
    <row r="1045" spans="4:4">
      <c r="D1045" s="36" t="s">
        <v>923</v>
      </c>
    </row>
    <row r="1047" spans="4:4">
      <c r="D1047" t="s">
        <v>924</v>
      </c>
    </row>
    <row r="1048" spans="4:4">
      <c r="D1048" s="35"/>
    </row>
    <row r="1049" spans="4:4">
      <c r="D1049" s="36" t="s">
        <v>925</v>
      </c>
    </row>
    <row r="1050" spans="4:4">
      <c r="D1050" s="36" t="s">
        <v>926</v>
      </c>
    </row>
    <row r="1051" spans="4:4">
      <c r="D1051" s="36" t="s">
        <v>927</v>
      </c>
    </row>
    <row r="1053" spans="4:4" ht="18" customHeight="1">
      <c r="D1053" s="37" t="s">
        <v>894</v>
      </c>
    </row>
    <row r="1054" spans="4:4">
      <c r="D1054" s="35"/>
    </row>
    <row r="1055" spans="4:4">
      <c r="D1055" s="36" t="s">
        <v>928</v>
      </c>
    </row>
    <row r="1056" spans="4:4">
      <c r="D1056" s="35" t="s">
        <v>929</v>
      </c>
    </row>
    <row r="1060" spans="4:4" ht="23.25" customHeight="1">
      <c r="D1060" s="40" t="s">
        <v>930</v>
      </c>
    </row>
    <row r="1062" spans="4:4" ht="18" customHeight="1">
      <c r="D1062" s="37" t="s">
        <v>931</v>
      </c>
    </row>
    <row r="1064" spans="4:4">
      <c r="D1064" t="s">
        <v>932</v>
      </c>
    </row>
    <row r="1065" spans="4:4">
      <c r="D1065" s="35"/>
    </row>
    <row r="1066" spans="4:4">
      <c r="D1066" s="35" t="s">
        <v>933</v>
      </c>
    </row>
    <row r="1067" spans="4:4">
      <c r="D1067" s="35" t="s">
        <v>934</v>
      </c>
    </row>
    <row r="1069" spans="4:4">
      <c r="D1069" t="s">
        <v>935</v>
      </c>
    </row>
    <row r="1070" spans="4:4">
      <c r="D1070" s="35"/>
    </row>
    <row r="1071" spans="4:4">
      <c r="D1071" s="36" t="s">
        <v>936</v>
      </c>
    </row>
    <row r="1072" spans="4:4">
      <c r="D1072" s="35" t="s">
        <v>937</v>
      </c>
    </row>
    <row r="1076" spans="4:4" ht="18" customHeight="1">
      <c r="D1076" s="37" t="s">
        <v>938</v>
      </c>
    </row>
    <row r="1078" spans="4:4">
      <c r="D1078" t="s">
        <v>939</v>
      </c>
    </row>
    <row r="1080" spans="4:4">
      <c r="D1080" t="s">
        <v>940</v>
      </c>
    </row>
    <row r="1081" spans="4:4">
      <c r="D1081" t="s">
        <v>941</v>
      </c>
    </row>
    <row r="1085" spans="4:4" ht="23.25" customHeight="1">
      <c r="D1085" s="40" t="s">
        <v>942</v>
      </c>
    </row>
    <row r="1087" spans="4:4" ht="18" customHeight="1">
      <c r="D1087" s="37" t="s">
        <v>943</v>
      </c>
    </row>
    <row r="1089" spans="4:4">
      <c r="D1089" t="s">
        <v>944</v>
      </c>
    </row>
    <row r="1090" spans="4:4">
      <c r="D1090" t="s">
        <v>945</v>
      </c>
    </row>
    <row r="1094" spans="4:4" ht="23.25" customHeight="1">
      <c r="D1094" s="40" t="s">
        <v>946</v>
      </c>
    </row>
    <row r="1096" spans="4:4" ht="18" customHeight="1">
      <c r="D1096" s="37" t="s">
        <v>947</v>
      </c>
    </row>
    <row r="1098" spans="4:4">
      <c r="D1098" t="s">
        <v>948</v>
      </c>
    </row>
    <row r="1099" spans="4:4">
      <c r="D1099" s="35"/>
    </row>
    <row r="1100" spans="4:4">
      <c r="D1100" s="36" t="s">
        <v>949</v>
      </c>
    </row>
    <row r="1101" spans="4:4">
      <c r="D1101" s="36" t="s">
        <v>950</v>
      </c>
    </row>
    <row r="1102" spans="4:4">
      <c r="D1102" s="35" t="s">
        <v>951</v>
      </c>
    </row>
    <row r="1104" spans="4:4" ht="18" customHeight="1">
      <c r="D1104" s="37" t="s">
        <v>952</v>
      </c>
    </row>
    <row r="1106" spans="4:4">
      <c r="D1106" s="36" t="s">
        <v>953</v>
      </c>
    </row>
    <row r="1107" spans="4:4">
      <c r="D1107" s="36" t="s">
        <v>954</v>
      </c>
    </row>
    <row r="1108" spans="4:4">
      <c r="D1108" s="704" t="s">
        <v>955</v>
      </c>
    </row>
    <row r="1109" spans="4:4">
      <c r="D1109" s="704" t="s">
        <v>956</v>
      </c>
    </row>
    <row r="1110" spans="4:4">
      <c r="D1110" s="704" t="s">
        <v>907</v>
      </c>
    </row>
    <row r="1111" spans="4:4">
      <c r="D1111" s="704" t="s">
        <v>957</v>
      </c>
    </row>
    <row r="1115" spans="4:4" ht="23.25" customHeight="1">
      <c r="D1115" s="40" t="s">
        <v>958</v>
      </c>
    </row>
    <row r="1117" spans="4:4">
      <c r="D1117" t="s">
        <v>959</v>
      </c>
    </row>
    <row r="1119" spans="4:4" ht="18" customHeight="1">
      <c r="D1119" s="37" t="s">
        <v>960</v>
      </c>
    </row>
    <row r="1121" spans="4:4">
      <c r="D1121" t="s">
        <v>935</v>
      </c>
    </row>
    <row r="1122" spans="4:4">
      <c r="D1122" s="35"/>
    </row>
    <row r="1123" spans="4:4">
      <c r="D1123" s="35" t="s">
        <v>961</v>
      </c>
    </row>
    <row r="1124" spans="4:4">
      <c r="D1124" s="35" t="s">
        <v>962</v>
      </c>
    </row>
    <row r="1128" spans="4:4" ht="23.25" customHeight="1">
      <c r="D1128" s="40" t="s">
        <v>963</v>
      </c>
    </row>
    <row r="1130" spans="4:4" ht="18" customHeight="1">
      <c r="D1130" s="37" t="s">
        <v>964</v>
      </c>
    </row>
    <row r="1131" spans="4:4">
      <c r="D1131" s="35"/>
    </row>
    <row r="1132" spans="4:4">
      <c r="D1132" s="36" t="s">
        <v>905</v>
      </c>
    </row>
    <row r="1133" spans="4:4">
      <c r="D1133" s="36" t="s">
        <v>965</v>
      </c>
    </row>
    <row r="1134" spans="4:4">
      <c r="D1134" s="36" t="s">
        <v>907</v>
      </c>
    </row>
    <row r="1135" spans="4:4">
      <c r="D1135" s="36" t="s">
        <v>966</v>
      </c>
    </row>
    <row r="1136" spans="4:4">
      <c r="D1136" s="36" t="s">
        <v>967</v>
      </c>
    </row>
    <row r="1137" spans="3:4">
      <c r="D1137" s="36" t="s">
        <v>968</v>
      </c>
    </row>
    <row r="1138" spans="3:4">
      <c r="D1138" s="36" t="s">
        <v>969</v>
      </c>
    </row>
    <row r="1140" spans="3:4" ht="18" customHeight="1">
      <c r="D1140" s="37" t="s">
        <v>970</v>
      </c>
    </row>
    <row r="1141" spans="3:4">
      <c r="D1141" s="35"/>
    </row>
    <row r="1142" spans="3:4">
      <c r="D1142" s="36" t="s">
        <v>971</v>
      </c>
    </row>
    <row r="1143" spans="3:4">
      <c r="D1143" s="36" t="s">
        <v>972</v>
      </c>
    </row>
    <row r="1145" spans="3:4">
      <c r="D1145" t="s">
        <v>973</v>
      </c>
    </row>
    <row r="1146" spans="3:4">
      <c r="D1146" s="35"/>
    </row>
    <row r="1147" spans="3:4">
      <c r="D1147" s="36" t="s">
        <v>974</v>
      </c>
    </row>
    <row r="1148" spans="3:4">
      <c r="D1148" s="35" t="s">
        <v>975</v>
      </c>
    </row>
    <row r="1151" spans="3:4">
      <c r="C1151" s="115">
        <v>27</v>
      </c>
      <c r="D1151" s="58" t="s">
        <v>976</v>
      </c>
    </row>
    <row r="1153" spans="3:4">
      <c r="D1153" t="s">
        <v>977</v>
      </c>
    </row>
    <row r="1154" spans="3:4">
      <c r="D1154" s="35"/>
    </row>
    <row r="1155" spans="3:4">
      <c r="D1155" s="36" t="s">
        <v>978</v>
      </c>
    </row>
    <row r="1156" spans="3:4">
      <c r="D1156" s="36" t="s">
        <v>979</v>
      </c>
    </row>
    <row r="1158" spans="3:4">
      <c r="D1158" t="s">
        <v>980</v>
      </c>
    </row>
    <row r="1159" spans="3:4">
      <c r="D1159" s="35"/>
    </row>
    <row r="1160" spans="3:4">
      <c r="D1160" s="35" t="s">
        <v>981</v>
      </c>
    </row>
    <row r="1162" spans="3:4">
      <c r="D1162" t="s">
        <v>982</v>
      </c>
    </row>
    <row r="1165" spans="3:4">
      <c r="C1165" s="115">
        <v>28</v>
      </c>
      <c r="D1165" s="58" t="s">
        <v>983</v>
      </c>
    </row>
    <row r="1167" spans="3:4">
      <c r="D1167" t="s">
        <v>984</v>
      </c>
    </row>
    <row r="1169" spans="4:4">
      <c r="D1169" t="s">
        <v>985</v>
      </c>
    </row>
    <row r="1170" spans="4:4">
      <c r="D1170" s="58" t="s">
        <v>986</v>
      </c>
    </row>
    <row r="1171" spans="4:4">
      <c r="D1171" s="58" t="s">
        <v>987</v>
      </c>
    </row>
    <row r="1172" spans="4:4">
      <c r="D1172" s="58" t="s">
        <v>988</v>
      </c>
    </row>
    <row r="1173" spans="4:4">
      <c r="D1173" t="s">
        <v>989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N1761"/>
  <sheetViews>
    <sheetView topLeftCell="A1619" zoomScale="85" zoomScaleNormal="85" workbookViewId="0">
      <selection activeCell="F1643" sqref="F1643"/>
    </sheetView>
  </sheetViews>
  <sheetFormatPr baseColWidth="10" defaultRowHeight="15"/>
  <cols>
    <col min="1" max="1" width="4.7109375" style="934" customWidth="1"/>
    <col min="2" max="2" width="5.140625" style="934" customWidth="1"/>
    <col min="3" max="3" width="20.140625" style="934" customWidth="1"/>
    <col min="4" max="4" width="20.42578125" style="934" customWidth="1"/>
    <col min="5" max="5" width="24.28515625" style="934" customWidth="1"/>
    <col min="7" max="7" width="16.7109375" style="934" customWidth="1"/>
    <col min="8" max="8" width="50.140625" style="934" customWidth="1"/>
    <col min="9" max="9" width="33.140625" style="934" customWidth="1"/>
  </cols>
  <sheetData>
    <row r="2" spans="2:8" ht="25.5" customHeight="1">
      <c r="B2" s="32">
        <v>1</v>
      </c>
      <c r="C2" s="24" t="s">
        <v>990</v>
      </c>
      <c r="D2" s="24" t="s">
        <v>991</v>
      </c>
      <c r="E2" s="24" t="s">
        <v>992</v>
      </c>
      <c r="G2" t="s">
        <v>993</v>
      </c>
    </row>
    <row r="4" spans="2:8">
      <c r="G4" s="33" t="s">
        <v>137</v>
      </c>
      <c r="H4" s="33" t="s">
        <v>994</v>
      </c>
    </row>
    <row r="5" spans="2:8">
      <c r="G5" s="34">
        <v>2000</v>
      </c>
      <c r="H5" s="34" t="s">
        <v>995</v>
      </c>
    </row>
    <row r="6" spans="2:8">
      <c r="G6" s="34">
        <v>2010</v>
      </c>
      <c r="H6" s="34" t="s">
        <v>996</v>
      </c>
    </row>
    <row r="7" spans="2:8">
      <c r="G7" s="34">
        <v>2020</v>
      </c>
      <c r="H7" s="34" t="s">
        <v>997</v>
      </c>
    </row>
    <row r="8" spans="2:8">
      <c r="G8" s="34">
        <v>2025</v>
      </c>
      <c r="H8" s="34" t="s">
        <v>997</v>
      </c>
    </row>
    <row r="9" spans="2:8" ht="30" customHeight="1">
      <c r="G9" s="34" t="s">
        <v>998</v>
      </c>
      <c r="H9" s="34" t="s">
        <v>997</v>
      </c>
    </row>
    <row r="11" spans="2:8">
      <c r="G11" t="s">
        <v>999</v>
      </c>
    </row>
    <row r="12" spans="2:8">
      <c r="G12" s="35"/>
    </row>
    <row r="13" spans="2:8">
      <c r="G13" s="36" t="s">
        <v>1000</v>
      </c>
    </row>
    <row r="14" spans="2:8">
      <c r="G14" s="36" t="s">
        <v>1001</v>
      </c>
    </row>
    <row r="15" spans="2:8">
      <c r="G15" s="36" t="s">
        <v>1002</v>
      </c>
    </row>
    <row r="16" spans="2:8">
      <c r="G16" s="36" t="s">
        <v>1003</v>
      </c>
    </row>
    <row r="17" spans="7:7">
      <c r="G17" s="36" t="s">
        <v>1004</v>
      </c>
    </row>
    <row r="19" spans="7:7">
      <c r="G19" s="58" t="s">
        <v>1005</v>
      </c>
    </row>
    <row r="21" spans="7:7">
      <c r="G21" t="s">
        <v>1006</v>
      </c>
    </row>
    <row r="23" spans="7:7">
      <c r="G23" t="s">
        <v>1007</v>
      </c>
    </row>
    <row r="25" spans="7:7">
      <c r="G25" t="s">
        <v>1008</v>
      </c>
    </row>
    <row r="27" spans="7:7">
      <c r="G27" t="s">
        <v>1009</v>
      </c>
    </row>
    <row r="29" spans="7:7">
      <c r="G29" t="s">
        <v>1010</v>
      </c>
    </row>
    <row r="31" spans="7:7">
      <c r="G31" t="s">
        <v>1011</v>
      </c>
    </row>
    <row r="33" spans="2:8">
      <c r="G33" s="58" t="s">
        <v>1012</v>
      </c>
    </row>
    <row r="35" spans="2:8">
      <c r="G35" t="s">
        <v>1013</v>
      </c>
    </row>
    <row r="39" spans="2:8" ht="25.5" customHeight="1">
      <c r="B39" s="20">
        <v>10</v>
      </c>
      <c r="C39" s="25" t="s">
        <v>990</v>
      </c>
      <c r="D39" s="25" t="s">
        <v>1014</v>
      </c>
      <c r="E39" s="25" t="s">
        <v>1015</v>
      </c>
      <c r="G39" t="s">
        <v>1016</v>
      </c>
    </row>
    <row r="41" spans="2:8">
      <c r="G41" t="s">
        <v>1017</v>
      </c>
    </row>
    <row r="43" spans="2:8">
      <c r="G43" t="s">
        <v>1018</v>
      </c>
    </row>
    <row r="45" spans="2:8">
      <c r="G45" t="s">
        <v>1019</v>
      </c>
    </row>
    <row r="47" spans="2:8">
      <c r="G47" s="33" t="s">
        <v>137</v>
      </c>
      <c r="H47" s="33" t="s">
        <v>1020</v>
      </c>
    </row>
    <row r="48" spans="2:8">
      <c r="G48" s="47">
        <v>2000</v>
      </c>
      <c r="H48" s="34">
        <v>82</v>
      </c>
    </row>
    <row r="49" spans="7:8">
      <c r="G49" s="47">
        <v>2005</v>
      </c>
      <c r="H49" s="34">
        <v>81</v>
      </c>
    </row>
    <row r="50" spans="7:8">
      <c r="G50" s="47">
        <v>2010</v>
      </c>
      <c r="H50" s="34">
        <v>79</v>
      </c>
    </row>
    <row r="51" spans="7:8">
      <c r="G51" s="47">
        <v>2015</v>
      </c>
      <c r="H51" s="34" t="s">
        <v>1021</v>
      </c>
    </row>
    <row r="52" spans="7:8">
      <c r="G52" s="47">
        <v>2020</v>
      </c>
      <c r="H52" s="34">
        <v>59</v>
      </c>
    </row>
    <row r="53" spans="7:8">
      <c r="G53" s="47">
        <v>2025</v>
      </c>
      <c r="H53" s="34">
        <v>45</v>
      </c>
    </row>
    <row r="54" spans="7:8" ht="30" customHeight="1">
      <c r="G54" s="47" t="s">
        <v>998</v>
      </c>
      <c r="H54" s="34" t="s">
        <v>1022</v>
      </c>
    </row>
    <row r="56" spans="7:8">
      <c r="G56" t="s">
        <v>1023</v>
      </c>
    </row>
    <row r="57" spans="7:8">
      <c r="G57" s="35"/>
    </row>
    <row r="58" spans="7:8">
      <c r="G58" s="36" t="s">
        <v>1024</v>
      </c>
    </row>
    <row r="59" spans="7:8">
      <c r="G59" s="36" t="s">
        <v>1025</v>
      </c>
    </row>
    <row r="60" spans="7:8">
      <c r="G60" s="36" t="s">
        <v>1026</v>
      </c>
    </row>
    <row r="61" spans="7:8">
      <c r="G61" s="36" t="s">
        <v>1027</v>
      </c>
    </row>
    <row r="62" spans="7:8">
      <c r="G62" s="36" t="s">
        <v>1028</v>
      </c>
    </row>
    <row r="63" spans="7:8">
      <c r="G63" s="36" t="s">
        <v>1029</v>
      </c>
    </row>
    <row r="65" spans="2:8">
      <c r="G65" t="s">
        <v>1030</v>
      </c>
    </row>
    <row r="68" spans="2:8" ht="25.5" customHeight="1">
      <c r="B68" s="20">
        <v>18</v>
      </c>
      <c r="C68" s="25" t="s">
        <v>1031</v>
      </c>
      <c r="D68" s="25" t="s">
        <v>1032</v>
      </c>
      <c r="E68" s="25" t="s">
        <v>1033</v>
      </c>
      <c r="G68" t="s">
        <v>1034</v>
      </c>
    </row>
    <row r="70" spans="2:8">
      <c r="G70" t="s">
        <v>1035</v>
      </c>
    </row>
    <row r="72" spans="2:8">
      <c r="G72" s="33" t="s">
        <v>137</v>
      </c>
      <c r="H72" s="33" t="s">
        <v>1036</v>
      </c>
    </row>
    <row r="73" spans="2:8">
      <c r="G73" s="47">
        <v>2000</v>
      </c>
      <c r="H73" s="34" t="s">
        <v>1037</v>
      </c>
    </row>
    <row r="74" spans="2:8">
      <c r="G74" s="47">
        <v>2005</v>
      </c>
      <c r="H74" s="34" t="s">
        <v>1038</v>
      </c>
    </row>
    <row r="75" spans="2:8">
      <c r="G75" s="47">
        <v>2010</v>
      </c>
      <c r="H75" s="34" t="s">
        <v>1039</v>
      </c>
    </row>
    <row r="76" spans="2:8">
      <c r="G76" s="47">
        <v>2015</v>
      </c>
      <c r="H76" s="34" t="s">
        <v>1040</v>
      </c>
    </row>
    <row r="77" spans="2:8">
      <c r="G77" s="47">
        <v>2020</v>
      </c>
      <c r="H77" s="34" t="s">
        <v>1041</v>
      </c>
    </row>
    <row r="78" spans="2:8">
      <c r="G78" s="47">
        <v>2025</v>
      </c>
      <c r="H78" s="34" t="s">
        <v>1042</v>
      </c>
    </row>
    <row r="79" spans="2:8" ht="30" customHeight="1">
      <c r="G79" s="47" t="s">
        <v>998</v>
      </c>
      <c r="H79" s="34" t="s">
        <v>1043</v>
      </c>
    </row>
    <row r="81" spans="7:7">
      <c r="G81" t="s">
        <v>1044</v>
      </c>
    </row>
    <row r="82" spans="7:7">
      <c r="G82" s="35"/>
    </row>
    <row r="83" spans="7:7">
      <c r="G83" s="36" t="s">
        <v>1045</v>
      </c>
    </row>
    <row r="84" spans="7:7">
      <c r="G84" s="36" t="s">
        <v>1046</v>
      </c>
    </row>
    <row r="85" spans="7:7">
      <c r="G85" s="36" t="s">
        <v>1047</v>
      </c>
    </row>
    <row r="86" spans="7:7">
      <c r="G86" s="36" t="s">
        <v>1048</v>
      </c>
    </row>
    <row r="88" spans="7:7">
      <c r="G88" t="s">
        <v>1049</v>
      </c>
    </row>
    <row r="90" spans="7:7">
      <c r="G90" t="s">
        <v>1050</v>
      </c>
    </row>
    <row r="92" spans="7:7">
      <c r="G92" t="s">
        <v>1051</v>
      </c>
    </row>
    <row r="94" spans="7:7">
      <c r="G94" t="s">
        <v>1052</v>
      </c>
    </row>
    <row r="97" spans="2:7" ht="18" customHeight="1">
      <c r="B97" s="20">
        <v>22</v>
      </c>
      <c r="C97" s="25" t="s">
        <v>1031</v>
      </c>
      <c r="D97" s="25" t="s">
        <v>1053</v>
      </c>
      <c r="E97" s="25" t="s">
        <v>1054</v>
      </c>
      <c r="G97" s="37" t="s">
        <v>1055</v>
      </c>
    </row>
    <row r="99" spans="2:7">
      <c r="G99" t="s">
        <v>1056</v>
      </c>
    </row>
    <row r="100" spans="2:7">
      <c r="G100" s="35"/>
    </row>
    <row r="101" spans="2:7">
      <c r="G101" s="36" t="s">
        <v>1057</v>
      </c>
    </row>
    <row r="102" spans="2:7">
      <c r="G102" s="36" t="s">
        <v>1058</v>
      </c>
    </row>
    <row r="103" spans="2:7">
      <c r="G103" s="36" t="s">
        <v>1059</v>
      </c>
    </row>
    <row r="104" spans="2:7">
      <c r="G104" s="36" t="s">
        <v>1060</v>
      </c>
    </row>
    <row r="105" spans="2:7">
      <c r="G105" s="36" t="s">
        <v>1061</v>
      </c>
    </row>
    <row r="106" spans="2:7">
      <c r="G106" s="36" t="s">
        <v>1062</v>
      </c>
    </row>
    <row r="108" spans="2:7" ht="18" customHeight="1">
      <c r="G108" s="37" t="s">
        <v>1063</v>
      </c>
    </row>
    <row r="110" spans="2:7">
      <c r="G110" t="s">
        <v>1064</v>
      </c>
    </row>
    <row r="112" spans="2:7" ht="18" customHeight="1">
      <c r="G112" s="37" t="s">
        <v>1065</v>
      </c>
    </row>
    <row r="114" spans="2:7">
      <c r="G114" s="35" t="s">
        <v>1066</v>
      </c>
    </row>
    <row r="115" spans="2:7">
      <c r="G115" s="35" t="s">
        <v>1067</v>
      </c>
    </row>
    <row r="116" spans="2:7">
      <c r="G116" s="35" t="s">
        <v>1068</v>
      </c>
    </row>
    <row r="118" spans="2:7" ht="18" customHeight="1">
      <c r="G118" s="37" t="s">
        <v>1069</v>
      </c>
    </row>
    <row r="120" spans="2:7">
      <c r="G120" t="s">
        <v>1070</v>
      </c>
    </row>
    <row r="121" spans="2:7">
      <c r="G121" s="35"/>
    </row>
    <row r="122" spans="2:7">
      <c r="G122" s="35" t="s">
        <v>1071</v>
      </c>
    </row>
    <row r="123" spans="2:7">
      <c r="G123" s="35" t="s">
        <v>1072</v>
      </c>
    </row>
    <row r="128" spans="2:7">
      <c r="B128" s="29">
        <v>24</v>
      </c>
      <c r="C128" s="30" t="s">
        <v>1031</v>
      </c>
      <c r="D128" s="30" t="s">
        <v>1053</v>
      </c>
      <c r="E128" s="30" t="s">
        <v>1073</v>
      </c>
      <c r="G128" t="s">
        <v>1074</v>
      </c>
    </row>
    <row r="130" spans="7:7">
      <c r="G130" s="36" t="s">
        <v>1075</v>
      </c>
    </row>
    <row r="131" spans="7:7">
      <c r="G131" s="36" t="s">
        <v>1076</v>
      </c>
    </row>
    <row r="133" spans="7:7" ht="18" customHeight="1">
      <c r="G133" s="37" t="s">
        <v>1077</v>
      </c>
    </row>
    <row r="135" spans="7:7">
      <c r="G135" t="s">
        <v>1078</v>
      </c>
    </row>
    <row r="136" spans="7:7">
      <c r="G136" s="35"/>
    </row>
    <row r="137" spans="7:7">
      <c r="G137" s="38">
        <v>83.355555555555554</v>
      </c>
    </row>
    <row r="138" spans="7:7">
      <c r="G138" s="38">
        <v>83.563888888888883</v>
      </c>
    </row>
    <row r="139" spans="7:7">
      <c r="G139" s="38">
        <v>83.772222222222226</v>
      </c>
    </row>
    <row r="140" spans="7:7">
      <c r="G140" s="38">
        <v>83.980555555555554</v>
      </c>
    </row>
    <row r="141" spans="7:7">
      <c r="G141" s="38">
        <v>84.188888888888883</v>
      </c>
    </row>
    <row r="142" spans="7:7">
      <c r="G142" s="38">
        <v>84.39791666666666</v>
      </c>
    </row>
    <row r="143" spans="7:7">
      <c r="G143" s="36" t="s">
        <v>1079</v>
      </c>
    </row>
    <row r="145" spans="7:7" ht="18" customHeight="1">
      <c r="G145" s="37" t="s">
        <v>1080</v>
      </c>
    </row>
    <row r="147" spans="7:7">
      <c r="G147" t="s">
        <v>1081</v>
      </c>
    </row>
    <row r="149" spans="7:7">
      <c r="G149" t="s">
        <v>1082</v>
      </c>
    </row>
    <row r="151" spans="7:7" ht="18" customHeight="1">
      <c r="G151" s="37" t="s">
        <v>1083</v>
      </c>
    </row>
    <row r="153" spans="7:7">
      <c r="G153" t="s">
        <v>1084</v>
      </c>
    </row>
    <row r="154" spans="7:7">
      <c r="G154" s="35"/>
    </row>
    <row r="155" spans="7:7">
      <c r="G155" s="35" t="s">
        <v>1085</v>
      </c>
    </row>
    <row r="156" spans="7:7">
      <c r="G156" s="35" t="s">
        <v>1086</v>
      </c>
    </row>
    <row r="157" spans="7:7">
      <c r="G157" s="35" t="s">
        <v>1087</v>
      </c>
    </row>
    <row r="158" spans="7:7">
      <c r="G158" s="35" t="s">
        <v>1088</v>
      </c>
    </row>
    <row r="160" spans="7:7">
      <c r="G160" t="s">
        <v>1089</v>
      </c>
    </row>
    <row r="163" spans="2:9">
      <c r="B163" s="27">
        <v>25</v>
      </c>
      <c r="C163" s="28" t="s">
        <v>1031</v>
      </c>
      <c r="D163" s="28" t="s">
        <v>1090</v>
      </c>
      <c r="E163" s="28" t="s">
        <v>1091</v>
      </c>
      <c r="G163" t="s">
        <v>1092</v>
      </c>
    </row>
    <row r="165" spans="2:9">
      <c r="G165" s="33" t="s">
        <v>137</v>
      </c>
      <c r="H165" s="33" t="s">
        <v>1093</v>
      </c>
      <c r="I165" s="33" t="s">
        <v>1094</v>
      </c>
    </row>
    <row r="166" spans="2:9" ht="90" customHeight="1">
      <c r="G166" s="47">
        <v>2000</v>
      </c>
      <c r="H166" s="34" t="s">
        <v>1095</v>
      </c>
      <c r="I166" s="47" t="s">
        <v>1096</v>
      </c>
    </row>
    <row r="167" spans="2:9" ht="45" customHeight="1">
      <c r="G167" s="47">
        <v>2005</v>
      </c>
      <c r="H167" s="34">
        <v>621</v>
      </c>
      <c r="I167" s="34" t="s">
        <v>1097</v>
      </c>
    </row>
    <row r="168" spans="2:9" ht="30" customHeight="1">
      <c r="G168" s="47">
        <v>2010</v>
      </c>
      <c r="H168" s="34" t="s">
        <v>1098</v>
      </c>
      <c r="I168" s="34" t="s">
        <v>1099</v>
      </c>
    </row>
    <row r="169" spans="2:9" ht="30" customHeight="1">
      <c r="G169" s="47">
        <v>2015</v>
      </c>
      <c r="H169" s="34" t="s">
        <v>1100</v>
      </c>
      <c r="I169" s="34" t="s">
        <v>1101</v>
      </c>
    </row>
    <row r="170" spans="2:9">
      <c r="G170" s="47">
        <v>2020</v>
      </c>
      <c r="H170" s="34">
        <v>555</v>
      </c>
      <c r="I170" s="34" t="s">
        <v>1102</v>
      </c>
    </row>
    <row r="171" spans="2:9" ht="45" customHeight="1">
      <c r="G171" s="47">
        <v>2025</v>
      </c>
      <c r="H171" s="34" t="s">
        <v>1103</v>
      </c>
      <c r="I171" s="34" t="s">
        <v>1104</v>
      </c>
    </row>
    <row r="172" spans="2:9">
      <c r="G172" s="47">
        <v>2030</v>
      </c>
      <c r="H172" s="34" t="s">
        <v>1105</v>
      </c>
      <c r="I172" s="34" t="s">
        <v>1106</v>
      </c>
    </row>
    <row r="174" spans="2:9">
      <c r="G174" t="s">
        <v>1107</v>
      </c>
    </row>
    <row r="175" spans="2:9">
      <c r="G175" s="35"/>
    </row>
    <row r="176" spans="2:9">
      <c r="G176" s="35" t="s">
        <v>1108</v>
      </c>
    </row>
    <row r="177" spans="2:9">
      <c r="G177" s="35" t="s">
        <v>1109</v>
      </c>
    </row>
    <row r="179" spans="2:9">
      <c r="G179" t="s">
        <v>1110</v>
      </c>
    </row>
    <row r="180" spans="2:9">
      <c r="G180" s="35"/>
    </row>
    <row r="181" spans="2:9">
      <c r="G181" s="35" t="s">
        <v>1111</v>
      </c>
    </row>
    <row r="182" spans="2:9">
      <c r="G182" s="35" t="s">
        <v>1112</v>
      </c>
    </row>
    <row r="186" spans="2:9" ht="25.5" customHeight="1">
      <c r="B186" s="20">
        <v>28</v>
      </c>
      <c r="C186" s="25" t="s">
        <v>1113</v>
      </c>
      <c r="D186" s="25" t="s">
        <v>1114</v>
      </c>
      <c r="E186" s="25" t="s">
        <v>1115</v>
      </c>
      <c r="G186" t="s">
        <v>1116</v>
      </c>
    </row>
    <row r="188" spans="2:9">
      <c r="G188" s="33" t="s">
        <v>137</v>
      </c>
      <c r="H188" s="33" t="s">
        <v>1117</v>
      </c>
      <c r="I188" s="33" t="s">
        <v>1094</v>
      </c>
    </row>
    <row r="189" spans="2:9">
      <c r="G189" s="47">
        <v>2000</v>
      </c>
      <c r="H189" s="39">
        <v>2159</v>
      </c>
      <c r="I189" s="47" t="s">
        <v>1118</v>
      </c>
    </row>
    <row r="190" spans="2:9">
      <c r="G190" s="47">
        <v>2005</v>
      </c>
      <c r="H190" s="39">
        <v>2149</v>
      </c>
      <c r="I190" s="47" t="s">
        <v>1118</v>
      </c>
    </row>
    <row r="191" spans="2:9">
      <c r="G191" s="47">
        <v>2010</v>
      </c>
      <c r="H191" s="39">
        <v>2050</v>
      </c>
      <c r="I191" s="47" t="s">
        <v>1118</v>
      </c>
    </row>
    <row r="192" spans="2:9">
      <c r="G192" s="47">
        <v>2015</v>
      </c>
      <c r="H192" s="39">
        <v>2033</v>
      </c>
      <c r="I192" s="47" t="s">
        <v>1118</v>
      </c>
    </row>
    <row r="193" spans="2:9">
      <c r="G193" s="47">
        <v>2020</v>
      </c>
      <c r="H193" s="39">
        <v>2041</v>
      </c>
      <c r="I193" s="47" t="s">
        <v>1118</v>
      </c>
    </row>
    <row r="194" spans="2:9">
      <c r="G194" s="47">
        <v>2025</v>
      </c>
      <c r="H194" s="47" t="s">
        <v>1119</v>
      </c>
      <c r="I194" s="47" t="s">
        <v>1120</v>
      </c>
    </row>
    <row r="195" spans="2:9">
      <c r="G195" s="47">
        <v>2030</v>
      </c>
      <c r="H195" s="47" t="s">
        <v>1121</v>
      </c>
      <c r="I195" s="47" t="s">
        <v>1106</v>
      </c>
    </row>
    <row r="197" spans="2:9">
      <c r="G197" t="s">
        <v>1122</v>
      </c>
    </row>
    <row r="199" spans="2:9">
      <c r="G199" t="s">
        <v>1123</v>
      </c>
    </row>
    <row r="201" spans="2:9">
      <c r="G201" t="s">
        <v>1124</v>
      </c>
    </row>
    <row r="203" spans="2:9">
      <c r="G203" t="s">
        <v>1125</v>
      </c>
    </row>
    <row r="207" spans="2:9" ht="25.5" customHeight="1">
      <c r="B207" s="19">
        <v>31</v>
      </c>
      <c r="C207" s="24" t="s">
        <v>1113</v>
      </c>
      <c r="D207" s="24" t="s">
        <v>1114</v>
      </c>
      <c r="E207" s="24" t="s">
        <v>1126</v>
      </c>
      <c r="G207" t="s">
        <v>1127</v>
      </c>
    </row>
    <row r="209" spans="7:9">
      <c r="G209" s="58" t="s">
        <v>1128</v>
      </c>
    </row>
    <row r="210" spans="7:9">
      <c r="G210" s="35"/>
    </row>
    <row r="211" spans="7:9">
      <c r="G211" s="35" t="s">
        <v>1129</v>
      </c>
    </row>
    <row r="212" spans="7:9">
      <c r="G212" s="35" t="s">
        <v>1130</v>
      </c>
    </row>
    <row r="213" spans="7:9">
      <c r="G213" s="35" t="s">
        <v>1131</v>
      </c>
    </row>
    <row r="215" spans="7:9" ht="23.25" customHeight="1">
      <c r="G215" s="40" t="s">
        <v>1132</v>
      </c>
    </row>
    <row r="217" spans="7:9">
      <c r="G217" s="33" t="s">
        <v>137</v>
      </c>
      <c r="H217" s="33" t="s">
        <v>1132</v>
      </c>
      <c r="I217" s="33" t="s">
        <v>1133</v>
      </c>
    </row>
    <row r="218" spans="7:9">
      <c r="G218" s="47">
        <v>2010</v>
      </c>
      <c r="H218" s="41">
        <v>29500</v>
      </c>
      <c r="I218" s="47" t="s">
        <v>1134</v>
      </c>
    </row>
    <row r="219" spans="7:9">
      <c r="G219" s="47">
        <v>2015</v>
      </c>
      <c r="H219" s="41">
        <v>29400</v>
      </c>
      <c r="I219" s="47" t="s">
        <v>1135</v>
      </c>
    </row>
    <row r="220" spans="7:9">
      <c r="G220" s="47">
        <v>2020</v>
      </c>
      <c r="H220" s="41">
        <v>28100</v>
      </c>
      <c r="I220" s="47" t="s">
        <v>1136</v>
      </c>
    </row>
    <row r="221" spans="7:9">
      <c r="G221" s="47">
        <v>2025</v>
      </c>
      <c r="H221" s="41">
        <v>28000</v>
      </c>
      <c r="I221" s="47" t="s">
        <v>1137</v>
      </c>
    </row>
    <row r="222" spans="7:9">
      <c r="G222" s="47" t="s">
        <v>1138</v>
      </c>
      <c r="H222" s="41">
        <v>27800</v>
      </c>
      <c r="I222" s="47" t="s">
        <v>1139</v>
      </c>
    </row>
    <row r="224" spans="7:9" ht="23.25" customHeight="1">
      <c r="G224" s="40" t="s">
        <v>1140</v>
      </c>
    </row>
    <row r="226" spans="7:7" ht="18" customHeight="1">
      <c r="G226" s="37" t="s">
        <v>1141</v>
      </c>
    </row>
    <row r="228" spans="7:7">
      <c r="G228" t="s">
        <v>1142</v>
      </c>
    </row>
    <row r="230" spans="7:7" ht="18" customHeight="1">
      <c r="G230" s="37" t="s">
        <v>1143</v>
      </c>
    </row>
    <row r="232" spans="7:7">
      <c r="G232" t="s">
        <v>1144</v>
      </c>
    </row>
    <row r="234" spans="7:7" ht="18" customHeight="1">
      <c r="G234" s="37" t="s">
        <v>1145</v>
      </c>
    </row>
    <row r="236" spans="7:7">
      <c r="G236" t="s">
        <v>1146</v>
      </c>
    </row>
    <row r="238" spans="7:7" ht="18" customHeight="1">
      <c r="G238" s="37" t="s">
        <v>1147</v>
      </c>
    </row>
    <row r="240" spans="7:7">
      <c r="G240" t="s">
        <v>1148</v>
      </c>
    </row>
    <row r="242" spans="7:7">
      <c r="G242" s="58" t="s">
        <v>1149</v>
      </c>
    </row>
    <row r="244" spans="7:7">
      <c r="G244" t="s">
        <v>1150</v>
      </c>
    </row>
    <row r="245" spans="7:7">
      <c r="G245" s="35"/>
    </row>
    <row r="246" spans="7:7">
      <c r="G246" s="36" t="s">
        <v>1151</v>
      </c>
    </row>
    <row r="247" spans="7:7">
      <c r="G247" s="36" t="s">
        <v>1152</v>
      </c>
    </row>
    <row r="249" spans="7:7">
      <c r="G249" t="s">
        <v>1153</v>
      </c>
    </row>
    <row r="251" spans="7:7" ht="18" customHeight="1">
      <c r="G251" s="37" t="s">
        <v>1154</v>
      </c>
    </row>
    <row r="253" spans="7:7">
      <c r="G253" t="s">
        <v>1155</v>
      </c>
    </row>
    <row r="255" spans="7:7" ht="18" customHeight="1">
      <c r="G255" s="37" t="s">
        <v>1156</v>
      </c>
    </row>
    <row r="257" spans="7:7">
      <c r="G257" t="s">
        <v>1157</v>
      </c>
    </row>
    <row r="258" spans="7:7">
      <c r="G258" s="35"/>
    </row>
    <row r="259" spans="7:7">
      <c r="G259" s="35" t="s">
        <v>1158</v>
      </c>
    </row>
    <row r="260" spans="7:7">
      <c r="G260" s="35" t="s">
        <v>1159</v>
      </c>
    </row>
    <row r="261" spans="7:7">
      <c r="G261" s="35" t="s">
        <v>1160</v>
      </c>
    </row>
    <row r="263" spans="7:7">
      <c r="G263" t="s">
        <v>1161</v>
      </c>
    </row>
    <row r="265" spans="7:7" ht="23.25" customHeight="1">
      <c r="G265" s="40" t="s">
        <v>1162</v>
      </c>
    </row>
    <row r="267" spans="7:7">
      <c r="G267" t="s">
        <v>1163</v>
      </c>
    </row>
    <row r="268" spans="7:7">
      <c r="G268" s="35"/>
    </row>
    <row r="269" spans="7:7">
      <c r="G269" s="36" t="s">
        <v>1164</v>
      </c>
    </row>
    <row r="270" spans="7:7">
      <c r="G270" s="36" t="s">
        <v>1165</v>
      </c>
    </row>
    <row r="271" spans="7:7">
      <c r="G271" s="36" t="s">
        <v>1166</v>
      </c>
    </row>
    <row r="275" spans="2:10" ht="25.5" customHeight="1">
      <c r="B275" s="20">
        <v>32</v>
      </c>
      <c r="C275" s="25" t="s">
        <v>1113</v>
      </c>
      <c r="D275" s="25" t="s">
        <v>1114</v>
      </c>
      <c r="E275" s="25" t="s">
        <v>1167</v>
      </c>
      <c r="G275" t="s">
        <v>1168</v>
      </c>
    </row>
    <row r="277" spans="2:10">
      <c r="G277" s="58" t="s">
        <v>1169</v>
      </c>
    </row>
    <row r="279" spans="2:10" ht="45" customHeight="1">
      <c r="G279" s="33" t="s">
        <v>137</v>
      </c>
      <c r="H279" s="33" t="s">
        <v>1132</v>
      </c>
      <c r="I279" s="33" t="s">
        <v>1170</v>
      </c>
      <c r="J279" s="33" t="s">
        <v>280</v>
      </c>
    </row>
    <row r="280" spans="2:10">
      <c r="G280" s="47">
        <v>2000</v>
      </c>
      <c r="H280" s="41">
        <v>1000</v>
      </c>
      <c r="I280" s="47" t="s">
        <v>1171</v>
      </c>
      <c r="J280" s="47" t="s">
        <v>1172</v>
      </c>
    </row>
    <row r="281" spans="2:10">
      <c r="G281" s="47">
        <v>2005</v>
      </c>
      <c r="H281" s="41">
        <v>1080</v>
      </c>
      <c r="I281" s="47" t="s">
        <v>1173</v>
      </c>
      <c r="J281" s="47" t="s">
        <v>1172</v>
      </c>
    </row>
    <row r="282" spans="2:10" ht="30" customHeight="1">
      <c r="G282" s="47">
        <v>2010</v>
      </c>
      <c r="H282" s="41">
        <v>1160</v>
      </c>
      <c r="I282" s="47" t="s">
        <v>1174</v>
      </c>
      <c r="J282" s="47" t="s">
        <v>1175</v>
      </c>
    </row>
    <row r="283" spans="2:10">
      <c r="G283" s="47">
        <v>2015</v>
      </c>
      <c r="H283" s="41">
        <v>1240</v>
      </c>
      <c r="I283" s="47" t="s">
        <v>1176</v>
      </c>
      <c r="J283" s="47" t="s">
        <v>1177</v>
      </c>
    </row>
    <row r="284" spans="2:10">
      <c r="G284" s="47">
        <v>2020</v>
      </c>
      <c r="H284" s="41">
        <v>1220</v>
      </c>
      <c r="I284" s="47" t="s">
        <v>1178</v>
      </c>
      <c r="J284" s="47" t="s">
        <v>1177</v>
      </c>
    </row>
    <row r="285" spans="2:10">
      <c r="G285" s="47">
        <v>2025</v>
      </c>
      <c r="H285" s="41">
        <v>1280</v>
      </c>
      <c r="I285" s="47" t="s">
        <v>1179</v>
      </c>
      <c r="J285" s="47" t="s">
        <v>1177</v>
      </c>
    </row>
    <row r="286" spans="2:10" ht="30" customHeight="1">
      <c r="G286" s="47" t="s">
        <v>1138</v>
      </c>
      <c r="H286" s="41">
        <v>1330</v>
      </c>
      <c r="I286" s="47" t="s">
        <v>1180</v>
      </c>
      <c r="J286" s="47" t="s">
        <v>1175</v>
      </c>
    </row>
    <row r="288" spans="2:10" ht="23.25" customHeight="1">
      <c r="G288" s="40" t="s">
        <v>1140</v>
      </c>
    </row>
    <row r="290" spans="7:7">
      <c r="G290" t="s">
        <v>1181</v>
      </c>
    </row>
    <row r="292" spans="7:7">
      <c r="G292" s="58" t="s">
        <v>1182</v>
      </c>
    </row>
    <row r="293" spans="7:7">
      <c r="G293" t="s">
        <v>1183</v>
      </c>
    </row>
    <row r="295" spans="7:7">
      <c r="G295" s="58" t="s">
        <v>1184</v>
      </c>
    </row>
    <row r="296" spans="7:7">
      <c r="G296" t="s">
        <v>1185</v>
      </c>
    </row>
    <row r="298" spans="7:7">
      <c r="G298" t="s">
        <v>1186</v>
      </c>
    </row>
    <row r="300" spans="7:7">
      <c r="G300" s="58" t="s">
        <v>1187</v>
      </c>
    </row>
    <row r="301" spans="7:7">
      <c r="G301" t="s">
        <v>1188</v>
      </c>
    </row>
    <row r="302" spans="7:7">
      <c r="G302" s="35"/>
    </row>
    <row r="303" spans="7:7">
      <c r="G303" s="36" t="s">
        <v>1189</v>
      </c>
    </row>
    <row r="304" spans="7:7">
      <c r="G304" s="36" t="s">
        <v>1190</v>
      </c>
    </row>
    <row r="305" spans="7:7">
      <c r="G305" s="36" t="s">
        <v>1191</v>
      </c>
    </row>
    <row r="306" spans="7:7">
      <c r="G306" s="35" t="s">
        <v>1192</v>
      </c>
    </row>
    <row r="308" spans="7:7" ht="23.25" customHeight="1">
      <c r="G308" s="40" t="s">
        <v>1193</v>
      </c>
    </row>
    <row r="310" spans="7:7">
      <c r="G310" t="s">
        <v>1194</v>
      </c>
    </row>
    <row r="311" spans="7:7">
      <c r="G311" s="35"/>
    </row>
    <row r="312" spans="7:7">
      <c r="G312" s="36" t="s">
        <v>1195</v>
      </c>
    </row>
    <row r="313" spans="7:7">
      <c r="G313" s="36" t="s">
        <v>1196</v>
      </c>
    </row>
    <row r="314" spans="7:7">
      <c r="G314" s="36" t="s">
        <v>1197</v>
      </c>
    </row>
    <row r="315" spans="7:7">
      <c r="G315" s="36" t="s">
        <v>1198</v>
      </c>
    </row>
    <row r="316" spans="7:7">
      <c r="G316" s="35" t="s">
        <v>1199</v>
      </c>
    </row>
    <row r="318" spans="7:7" ht="23.25" customHeight="1">
      <c r="G318" s="40" t="s">
        <v>280</v>
      </c>
    </row>
    <row r="319" spans="7:7">
      <c r="G319" s="35"/>
    </row>
    <row r="320" spans="7:7">
      <c r="G320" s="36" t="s">
        <v>1200</v>
      </c>
    </row>
    <row r="321" spans="7:7">
      <c r="G321" s="35" t="s">
        <v>1201</v>
      </c>
    </row>
    <row r="322" spans="7:7">
      <c r="G322" s="35"/>
    </row>
    <row r="323" spans="7:7">
      <c r="G323" s="36" t="s">
        <v>1202</v>
      </c>
    </row>
    <row r="324" spans="7:7">
      <c r="G324" s="35" t="s">
        <v>1203</v>
      </c>
    </row>
    <row r="325" spans="7:7">
      <c r="G325" s="35"/>
    </row>
    <row r="326" spans="7:7">
      <c r="G326" s="36" t="s">
        <v>1204</v>
      </c>
    </row>
    <row r="327" spans="7:7">
      <c r="G327" s="35" t="s">
        <v>1205</v>
      </c>
    </row>
    <row r="329" spans="7:7" ht="23.25" customHeight="1">
      <c r="G329" s="40" t="s">
        <v>1206</v>
      </c>
    </row>
    <row r="331" spans="7:7">
      <c r="G331" t="s">
        <v>1207</v>
      </c>
    </row>
    <row r="332" spans="7:7">
      <c r="G332" s="35"/>
    </row>
    <row r="333" spans="7:7">
      <c r="G333" s="36" t="s">
        <v>1208</v>
      </c>
    </row>
    <row r="335" spans="7:7">
      <c r="G335" t="s">
        <v>1209</v>
      </c>
    </row>
    <row r="337" spans="2:8">
      <c r="G337" t="s">
        <v>1210</v>
      </c>
    </row>
    <row r="340" spans="2:8" ht="25.5" customHeight="1">
      <c r="B340" s="19">
        <v>33</v>
      </c>
      <c r="C340" s="24" t="s">
        <v>1113</v>
      </c>
      <c r="D340" s="24" t="s">
        <v>1211</v>
      </c>
      <c r="E340" s="24" t="s">
        <v>1212</v>
      </c>
      <c r="G340" t="s">
        <v>1213</v>
      </c>
    </row>
    <row r="342" spans="2:8">
      <c r="G342" t="s">
        <v>1214</v>
      </c>
    </row>
    <row r="344" spans="2:8">
      <c r="G344" t="s">
        <v>1215</v>
      </c>
    </row>
    <row r="346" spans="2:8">
      <c r="G346" t="s">
        <v>1216</v>
      </c>
    </row>
    <row r="348" spans="2:8">
      <c r="G348" t="s">
        <v>1217</v>
      </c>
    </row>
    <row r="350" spans="2:8">
      <c r="G350" s="33" t="s">
        <v>137</v>
      </c>
      <c r="H350" s="33" t="s">
        <v>1218</v>
      </c>
    </row>
    <row r="351" spans="2:8">
      <c r="G351" s="47">
        <v>2000</v>
      </c>
      <c r="H351" s="34" t="s">
        <v>1219</v>
      </c>
    </row>
    <row r="352" spans="2:8">
      <c r="G352" s="47">
        <v>2005</v>
      </c>
      <c r="H352" s="34" t="s">
        <v>1220</v>
      </c>
    </row>
    <row r="353" spans="7:8">
      <c r="G353" s="47">
        <v>2010</v>
      </c>
      <c r="H353" s="34" t="s">
        <v>1221</v>
      </c>
    </row>
    <row r="354" spans="7:8">
      <c r="G354" s="47">
        <v>2015</v>
      </c>
      <c r="H354" s="34" t="s">
        <v>1219</v>
      </c>
    </row>
    <row r="355" spans="7:8">
      <c r="G355" s="47">
        <v>2020</v>
      </c>
      <c r="H355" s="34" t="s">
        <v>1222</v>
      </c>
    </row>
    <row r="356" spans="7:8">
      <c r="G356" s="47">
        <v>2025</v>
      </c>
      <c r="H356" s="34" t="s">
        <v>1223</v>
      </c>
    </row>
    <row r="357" spans="7:8" ht="30" customHeight="1">
      <c r="G357" s="47" t="s">
        <v>998</v>
      </c>
      <c r="H357" s="34" t="s">
        <v>1224</v>
      </c>
    </row>
    <row r="359" spans="7:8">
      <c r="G359" t="s">
        <v>1225</v>
      </c>
    </row>
    <row r="361" spans="7:8">
      <c r="G361" t="s">
        <v>1226</v>
      </c>
    </row>
    <row r="363" spans="7:8">
      <c r="G363" t="s">
        <v>1227</v>
      </c>
    </row>
    <row r="365" spans="7:8">
      <c r="G365" t="s">
        <v>1228</v>
      </c>
    </row>
    <row r="367" spans="7:8">
      <c r="G367" t="s">
        <v>1229</v>
      </c>
    </row>
    <row r="369" spans="2:7">
      <c r="G369" t="s">
        <v>1230</v>
      </c>
    </row>
    <row r="371" spans="2:7">
      <c r="G371" t="s">
        <v>1231</v>
      </c>
    </row>
    <row r="372" spans="2:7">
      <c r="G372" s="35"/>
    </row>
    <row r="373" spans="2:7">
      <c r="G373" s="36" t="s">
        <v>1232</v>
      </c>
    </row>
    <row r="374" spans="2:7">
      <c r="G374" s="36" t="s">
        <v>1233</v>
      </c>
    </row>
    <row r="375" spans="2:7">
      <c r="G375" s="36" t="s">
        <v>1234</v>
      </c>
    </row>
    <row r="376" spans="2:7">
      <c r="G376" s="36" t="s">
        <v>1235</v>
      </c>
    </row>
    <row r="377" spans="2:7">
      <c r="G377" s="36" t="s">
        <v>1236</v>
      </c>
    </row>
    <row r="378" spans="2:7">
      <c r="G378" s="36" t="s">
        <v>1237</v>
      </c>
    </row>
    <row r="379" spans="2:7">
      <c r="G379" s="36" t="s">
        <v>1238</v>
      </c>
    </row>
    <row r="381" spans="2:7">
      <c r="G381" t="s">
        <v>1239</v>
      </c>
    </row>
    <row r="384" spans="2:7" ht="25.5" customHeight="1">
      <c r="B384" s="20">
        <v>34</v>
      </c>
      <c r="C384" s="25" t="s">
        <v>1113</v>
      </c>
      <c r="D384" s="25" t="s">
        <v>1240</v>
      </c>
      <c r="E384" s="25" t="s">
        <v>1241</v>
      </c>
      <c r="G384" t="s">
        <v>1242</v>
      </c>
    </row>
    <row r="388" spans="7:9">
      <c r="G388" t="s">
        <v>1243</v>
      </c>
    </row>
    <row r="389" spans="7:9">
      <c r="G389" s="35"/>
    </row>
    <row r="390" spans="7:9">
      <c r="G390" s="35" t="s">
        <v>1244</v>
      </c>
    </row>
    <row r="391" spans="7:9">
      <c r="G391" s="35" t="s">
        <v>1245</v>
      </c>
    </row>
    <row r="393" spans="7:9">
      <c r="G393" t="s">
        <v>1246</v>
      </c>
    </row>
    <row r="395" spans="7:9" ht="18" customHeight="1">
      <c r="G395" s="37" t="s">
        <v>1247</v>
      </c>
    </row>
    <row r="397" spans="7:9">
      <c r="G397" s="33" t="s">
        <v>137</v>
      </c>
      <c r="H397" s="33" t="s">
        <v>1248</v>
      </c>
      <c r="I397" s="33" t="s">
        <v>1249</v>
      </c>
    </row>
    <row r="398" spans="7:9">
      <c r="G398" s="47">
        <v>2000</v>
      </c>
      <c r="H398" s="34" t="s">
        <v>1250</v>
      </c>
      <c r="I398" s="47" t="s">
        <v>1120</v>
      </c>
    </row>
    <row r="399" spans="7:9">
      <c r="G399" s="47">
        <v>2005</v>
      </c>
      <c r="H399" s="34" t="s">
        <v>1251</v>
      </c>
      <c r="I399" s="47" t="s">
        <v>1120</v>
      </c>
    </row>
    <row r="400" spans="7:9">
      <c r="G400" s="47">
        <v>2010</v>
      </c>
      <c r="H400" s="34" t="s">
        <v>1252</v>
      </c>
      <c r="I400" s="47" t="s">
        <v>1120</v>
      </c>
    </row>
    <row r="401" spans="7:9">
      <c r="G401" s="47">
        <v>2015</v>
      </c>
      <c r="H401" s="34" t="s">
        <v>1253</v>
      </c>
      <c r="I401" s="47" t="s">
        <v>1120</v>
      </c>
    </row>
    <row r="402" spans="7:9">
      <c r="G402" s="47">
        <v>2020</v>
      </c>
      <c r="H402" s="34" t="s">
        <v>1252</v>
      </c>
      <c r="I402" s="47" t="s">
        <v>1120</v>
      </c>
    </row>
    <row r="403" spans="7:9">
      <c r="G403" s="47">
        <v>2025</v>
      </c>
      <c r="H403" s="34" t="s">
        <v>1254</v>
      </c>
      <c r="I403" s="47" t="s">
        <v>1255</v>
      </c>
    </row>
    <row r="404" spans="7:9">
      <c r="G404" s="47">
        <v>2030</v>
      </c>
      <c r="H404" s="34" t="s">
        <v>1256</v>
      </c>
      <c r="I404" s="47" t="s">
        <v>1257</v>
      </c>
    </row>
    <row r="406" spans="7:9" ht="18" customHeight="1">
      <c r="G406" s="37" t="s">
        <v>1258</v>
      </c>
    </row>
    <row r="408" spans="7:9">
      <c r="G408" t="s">
        <v>1259</v>
      </c>
    </row>
    <row r="409" spans="7:9">
      <c r="G409" s="35"/>
    </row>
    <row r="410" spans="7:9">
      <c r="G410" s="35" t="s">
        <v>1260</v>
      </c>
    </row>
    <row r="411" spans="7:9">
      <c r="G411" s="35" t="s">
        <v>1261</v>
      </c>
    </row>
    <row r="412" spans="7:9">
      <c r="G412" s="35" t="s">
        <v>1262</v>
      </c>
    </row>
    <row r="414" spans="7:9">
      <c r="G414" t="s">
        <v>1263</v>
      </c>
    </row>
    <row r="416" spans="7:9" ht="18" customHeight="1">
      <c r="G416" s="37" t="s">
        <v>1264</v>
      </c>
    </row>
    <row r="418" spans="7:7">
      <c r="G418" t="s">
        <v>1265</v>
      </c>
    </row>
    <row r="419" spans="7:7">
      <c r="G419" s="35"/>
    </row>
    <row r="420" spans="7:7">
      <c r="G420" s="35" t="s">
        <v>1266</v>
      </c>
    </row>
    <row r="421" spans="7:7">
      <c r="G421" s="35" t="s">
        <v>1267</v>
      </c>
    </row>
    <row r="422" spans="7:7">
      <c r="G422" s="35" t="s">
        <v>1268</v>
      </c>
    </row>
    <row r="424" spans="7:7" ht="18" customHeight="1">
      <c r="G424" s="37" t="s">
        <v>1269</v>
      </c>
    </row>
    <row r="426" spans="7:7">
      <c r="G426" t="s">
        <v>1270</v>
      </c>
    </row>
    <row r="427" spans="7:7">
      <c r="G427" s="35"/>
    </row>
    <row r="428" spans="7:7">
      <c r="G428" s="36" t="s">
        <v>1271</v>
      </c>
    </row>
    <row r="429" spans="7:7">
      <c r="G429" s="35" t="s">
        <v>1272</v>
      </c>
    </row>
    <row r="430" spans="7:7">
      <c r="G430" s="35" t="s">
        <v>1273</v>
      </c>
    </row>
    <row r="432" spans="7:7" ht="18" customHeight="1">
      <c r="G432" s="37" t="s">
        <v>1274</v>
      </c>
    </row>
    <row r="434" spans="7:7">
      <c r="G434" s="36" t="s">
        <v>1275</v>
      </c>
    </row>
    <row r="435" spans="7:7">
      <c r="G435" s="36" t="s">
        <v>1276</v>
      </c>
    </row>
    <row r="436" spans="7:7">
      <c r="G436" s="36" t="s">
        <v>1277</v>
      </c>
    </row>
    <row r="438" spans="7:7">
      <c r="G438" t="s">
        <v>1278</v>
      </c>
    </row>
    <row r="440" spans="7:7" ht="18" customHeight="1">
      <c r="G440" s="37" t="s">
        <v>1279</v>
      </c>
    </row>
    <row r="442" spans="7:7">
      <c r="G442" t="s">
        <v>1280</v>
      </c>
    </row>
    <row r="443" spans="7:7">
      <c r="G443" s="35"/>
    </row>
    <row r="444" spans="7:7">
      <c r="G444" s="36" t="s">
        <v>1281</v>
      </c>
    </row>
    <row r="445" spans="7:7">
      <c r="G445" s="36" t="s">
        <v>1282</v>
      </c>
    </row>
    <row r="446" spans="7:7">
      <c r="G446" s="36" t="s">
        <v>1283</v>
      </c>
    </row>
    <row r="447" spans="7:7">
      <c r="G447" s="36" t="s">
        <v>1284</v>
      </c>
    </row>
    <row r="448" spans="7:7">
      <c r="G448" s="36" t="s">
        <v>1285</v>
      </c>
    </row>
    <row r="450" spans="2:7">
      <c r="G450" t="s">
        <v>1286</v>
      </c>
    </row>
    <row r="453" spans="2:7" ht="25.5" customHeight="1">
      <c r="B453" s="19">
        <v>35</v>
      </c>
      <c r="C453" s="24" t="s">
        <v>1113</v>
      </c>
      <c r="D453" s="24" t="s">
        <v>1240</v>
      </c>
      <c r="E453" s="24" t="s">
        <v>1287</v>
      </c>
      <c r="G453" t="s">
        <v>1288</v>
      </c>
    </row>
    <row r="455" spans="2:7">
      <c r="G455" t="s">
        <v>1289</v>
      </c>
    </row>
    <row r="459" spans="2:7">
      <c r="G459" t="s">
        <v>1290</v>
      </c>
    </row>
    <row r="460" spans="2:7">
      <c r="G460" s="35"/>
    </row>
    <row r="461" spans="2:7">
      <c r="G461" s="36" t="s">
        <v>1291</v>
      </c>
    </row>
    <row r="462" spans="2:7">
      <c r="G462" s="36" t="s">
        <v>1292</v>
      </c>
    </row>
    <row r="464" spans="2:7" ht="18" customHeight="1">
      <c r="G464" s="37" t="s">
        <v>1293</v>
      </c>
    </row>
    <row r="466" spans="7:9">
      <c r="G466" t="s">
        <v>1294</v>
      </c>
    </row>
    <row r="468" spans="7:9">
      <c r="G468" t="s">
        <v>1295</v>
      </c>
    </row>
    <row r="469" spans="7:9">
      <c r="G469" s="35"/>
    </row>
    <row r="470" spans="7:9">
      <c r="G470" s="36" t="s">
        <v>1296</v>
      </c>
    </row>
    <row r="471" spans="7:9">
      <c r="G471" s="36" t="s">
        <v>1297</v>
      </c>
    </row>
    <row r="472" spans="7:9">
      <c r="G472" s="36" t="s">
        <v>1298</v>
      </c>
    </row>
    <row r="474" spans="7:9">
      <c r="G474" t="s">
        <v>1299</v>
      </c>
    </row>
    <row r="476" spans="7:9" ht="23.25" customHeight="1">
      <c r="G476" s="40" t="s">
        <v>1300</v>
      </c>
    </row>
    <row r="478" spans="7:9">
      <c r="G478" t="s">
        <v>1301</v>
      </c>
    </row>
    <row r="480" spans="7:9">
      <c r="G480" s="33" t="s">
        <v>137</v>
      </c>
      <c r="H480" s="33" t="s">
        <v>1302</v>
      </c>
      <c r="I480" s="33" t="s">
        <v>1094</v>
      </c>
    </row>
    <row r="481" spans="7:9">
      <c r="G481" s="47">
        <v>2000</v>
      </c>
      <c r="H481" s="34">
        <v>55</v>
      </c>
      <c r="I481" s="47" t="s">
        <v>1104</v>
      </c>
    </row>
    <row r="482" spans="7:9">
      <c r="G482" s="47">
        <v>2005</v>
      </c>
      <c r="H482" s="34">
        <v>57</v>
      </c>
      <c r="I482" s="47" t="s">
        <v>1104</v>
      </c>
    </row>
    <row r="483" spans="7:9">
      <c r="G483" s="47">
        <v>2010</v>
      </c>
      <c r="H483" s="34">
        <v>59</v>
      </c>
      <c r="I483" s="47" t="s">
        <v>1104</v>
      </c>
    </row>
    <row r="484" spans="7:9">
      <c r="G484" s="47">
        <v>2015</v>
      </c>
      <c r="H484" s="34">
        <v>60</v>
      </c>
      <c r="I484" s="47" t="s">
        <v>1104</v>
      </c>
    </row>
    <row r="485" spans="7:9">
      <c r="G485" s="47">
        <v>2020</v>
      </c>
      <c r="H485" s="34">
        <v>61</v>
      </c>
      <c r="I485" s="47" t="s">
        <v>1104</v>
      </c>
    </row>
    <row r="486" spans="7:9">
      <c r="G486" s="47">
        <v>2025</v>
      </c>
      <c r="H486" s="42" t="s">
        <v>1303</v>
      </c>
      <c r="I486" s="47" t="s">
        <v>1304</v>
      </c>
    </row>
    <row r="487" spans="7:9">
      <c r="G487" s="47">
        <v>2030</v>
      </c>
      <c r="H487" s="42" t="s">
        <v>1305</v>
      </c>
      <c r="I487" s="47" t="s">
        <v>1306</v>
      </c>
    </row>
    <row r="489" spans="7:9" ht="18" customHeight="1">
      <c r="G489" s="37" t="s">
        <v>1307</v>
      </c>
    </row>
    <row r="490" spans="7:9">
      <c r="G490" s="35"/>
    </row>
    <row r="491" spans="7:9">
      <c r="G491" s="36" t="s">
        <v>1308</v>
      </c>
    </row>
    <row r="492" spans="7:9">
      <c r="G492" s="35" t="s">
        <v>1309</v>
      </c>
    </row>
    <row r="493" spans="7:9">
      <c r="G493" s="35" t="s">
        <v>1310</v>
      </c>
    </row>
    <row r="495" spans="7:9" ht="18" customHeight="1">
      <c r="G495" s="37" t="s">
        <v>876</v>
      </c>
    </row>
    <row r="497" spans="2:7">
      <c r="G497" t="s">
        <v>1311</v>
      </c>
    </row>
    <row r="499" spans="2:7">
      <c r="G499" s="58" t="s">
        <v>1312</v>
      </c>
    </row>
    <row r="501" spans="2:7">
      <c r="G501" t="s">
        <v>1313</v>
      </c>
    </row>
    <row r="502" spans="2:7">
      <c r="G502" t="s">
        <v>1314</v>
      </c>
    </row>
    <row r="505" spans="2:7" ht="25.5" customHeight="1">
      <c r="B505" s="20">
        <v>36</v>
      </c>
      <c r="C505" s="25" t="s">
        <v>1113</v>
      </c>
      <c r="D505" s="25" t="s">
        <v>1315</v>
      </c>
      <c r="E505" s="25" t="s">
        <v>1316</v>
      </c>
      <c r="G505" t="s">
        <v>1317</v>
      </c>
    </row>
    <row r="507" spans="2:7">
      <c r="G507" t="s">
        <v>1318</v>
      </c>
    </row>
    <row r="511" spans="2:7">
      <c r="G511" t="s">
        <v>1319</v>
      </c>
    </row>
    <row r="513" spans="7:9">
      <c r="G513" t="s">
        <v>1320</v>
      </c>
    </row>
    <row r="515" spans="7:9">
      <c r="G515" s="33" t="s">
        <v>137</v>
      </c>
      <c r="H515" s="33" t="s">
        <v>1093</v>
      </c>
      <c r="I515" s="33" t="s">
        <v>1094</v>
      </c>
    </row>
    <row r="516" spans="7:9" ht="30" customHeight="1">
      <c r="G516" s="47">
        <v>2000</v>
      </c>
      <c r="H516" s="34" t="s">
        <v>1321</v>
      </c>
      <c r="I516" s="47" t="s">
        <v>1322</v>
      </c>
    </row>
    <row r="517" spans="7:9" ht="75" customHeight="1">
      <c r="G517" s="47">
        <v>2005</v>
      </c>
      <c r="H517" s="34" t="s">
        <v>1323</v>
      </c>
      <c r="I517" s="47" t="s">
        <v>1324</v>
      </c>
    </row>
    <row r="518" spans="7:9" ht="45" customHeight="1">
      <c r="G518" s="47">
        <v>2010</v>
      </c>
      <c r="H518" s="34" t="s">
        <v>1323</v>
      </c>
      <c r="I518" s="47" t="s">
        <v>1325</v>
      </c>
    </row>
    <row r="519" spans="7:9" ht="45" customHeight="1">
      <c r="G519" s="47">
        <v>2015</v>
      </c>
      <c r="H519" s="34" t="s">
        <v>1326</v>
      </c>
      <c r="I519" s="47" t="s">
        <v>1327</v>
      </c>
    </row>
    <row r="520" spans="7:9" ht="45" customHeight="1">
      <c r="G520" s="47">
        <v>2020</v>
      </c>
      <c r="H520" s="34" t="s">
        <v>1328</v>
      </c>
      <c r="I520" s="47" t="s">
        <v>1329</v>
      </c>
    </row>
    <row r="521" spans="7:9" ht="30" customHeight="1">
      <c r="G521" s="47">
        <v>2025</v>
      </c>
      <c r="H521" s="41">
        <v>1218</v>
      </c>
      <c r="I521" s="34" t="s">
        <v>1330</v>
      </c>
    </row>
    <row r="522" spans="7:9" ht="45" customHeight="1">
      <c r="G522" s="47">
        <v>2030</v>
      </c>
      <c r="H522" s="34" t="s">
        <v>1331</v>
      </c>
      <c r="I522" s="47" t="s">
        <v>1332</v>
      </c>
    </row>
    <row r="524" spans="7:9">
      <c r="G524" t="s">
        <v>1333</v>
      </c>
    </row>
    <row r="525" spans="7:9">
      <c r="G525" s="35"/>
    </row>
    <row r="526" spans="7:9">
      <c r="G526" s="36" t="s">
        <v>1334</v>
      </c>
    </row>
    <row r="527" spans="7:9">
      <c r="G527" s="35" t="s">
        <v>1335</v>
      </c>
    </row>
    <row r="528" spans="7:9">
      <c r="G528" s="35" t="s">
        <v>1336</v>
      </c>
    </row>
    <row r="530" spans="2:9" ht="25.5" customHeight="1">
      <c r="B530" s="19">
        <v>37</v>
      </c>
      <c r="C530" s="24" t="s">
        <v>1113</v>
      </c>
      <c r="D530" s="24" t="s">
        <v>1337</v>
      </c>
      <c r="E530" s="24" t="s">
        <v>1338</v>
      </c>
      <c r="G530" t="s">
        <v>1339</v>
      </c>
    </row>
    <row r="532" spans="2:9">
      <c r="G532" t="s">
        <v>1340</v>
      </c>
    </row>
    <row r="534" spans="2:9">
      <c r="G534" t="s">
        <v>1341</v>
      </c>
    </row>
    <row r="536" spans="2:9">
      <c r="G536" t="s">
        <v>1342</v>
      </c>
    </row>
    <row r="538" spans="2:9" ht="18" customHeight="1">
      <c r="G538" s="37" t="s">
        <v>1343</v>
      </c>
    </row>
    <row r="540" spans="2:9">
      <c r="G540" s="58" t="s">
        <v>1344</v>
      </c>
    </row>
    <row r="541" spans="2:9">
      <c r="G541" t="s">
        <v>1345</v>
      </c>
    </row>
    <row r="543" spans="2:9">
      <c r="G543" s="33" t="s">
        <v>137</v>
      </c>
      <c r="H543" s="33" t="s">
        <v>1132</v>
      </c>
      <c r="I543" s="33" t="s">
        <v>1133</v>
      </c>
    </row>
    <row r="544" spans="2:9">
      <c r="G544" s="47">
        <v>2000</v>
      </c>
      <c r="H544" s="34">
        <v>180</v>
      </c>
      <c r="I544" s="47" t="s">
        <v>1346</v>
      </c>
    </row>
    <row r="545" spans="7:9">
      <c r="G545" s="47">
        <v>2005</v>
      </c>
      <c r="H545" s="34">
        <v>210</v>
      </c>
      <c r="I545" s="47" t="s">
        <v>1347</v>
      </c>
    </row>
    <row r="546" spans="7:9">
      <c r="G546" s="47">
        <v>2010</v>
      </c>
      <c r="H546" s="34">
        <v>245</v>
      </c>
      <c r="I546" s="47" t="s">
        <v>1348</v>
      </c>
    </row>
    <row r="547" spans="7:9">
      <c r="G547" s="47">
        <v>2015</v>
      </c>
      <c r="H547" s="34">
        <v>285</v>
      </c>
      <c r="I547" s="47" t="s">
        <v>1349</v>
      </c>
    </row>
    <row r="548" spans="7:9">
      <c r="G548" s="47">
        <v>2020</v>
      </c>
      <c r="H548" s="34">
        <v>235</v>
      </c>
      <c r="I548" s="47" t="s">
        <v>1350</v>
      </c>
    </row>
    <row r="549" spans="7:9">
      <c r="G549" s="47">
        <v>2025</v>
      </c>
      <c r="H549" s="34">
        <v>310</v>
      </c>
      <c r="I549" s="47" t="s">
        <v>1351</v>
      </c>
    </row>
    <row r="550" spans="7:9">
      <c r="G550" s="47">
        <v>2030</v>
      </c>
      <c r="H550" s="34">
        <v>340</v>
      </c>
      <c r="I550" s="47" t="s">
        <v>1352</v>
      </c>
    </row>
    <row r="552" spans="7:9" ht="18" customHeight="1">
      <c r="G552" s="37" t="s">
        <v>1353</v>
      </c>
    </row>
    <row r="554" spans="7:9">
      <c r="G554" t="s">
        <v>1354</v>
      </c>
    </row>
    <row r="555" spans="7:9">
      <c r="G555" s="35"/>
    </row>
    <row r="556" spans="7:9">
      <c r="G556" s="36" t="s">
        <v>1355</v>
      </c>
    </row>
    <row r="557" spans="7:9">
      <c r="G557" s="35" t="s">
        <v>1356</v>
      </c>
    </row>
    <row r="558" spans="7:9">
      <c r="G558" s="35" t="s">
        <v>1357</v>
      </c>
    </row>
    <row r="560" spans="7:9" ht="18" customHeight="1">
      <c r="G560" s="37" t="s">
        <v>1065</v>
      </c>
    </row>
    <row r="562" spans="7:7">
      <c r="G562" s="36" t="s">
        <v>1358</v>
      </c>
    </row>
    <row r="563" spans="7:7">
      <c r="G563" s="36" t="s">
        <v>1359</v>
      </c>
    </row>
    <row r="564" spans="7:7">
      <c r="G564" s="36" t="s">
        <v>1360</v>
      </c>
    </row>
    <row r="565" spans="7:7">
      <c r="G565" s="36" t="s">
        <v>1361</v>
      </c>
    </row>
    <row r="567" spans="7:7" ht="18" customHeight="1">
      <c r="G567" s="37" t="s">
        <v>1362</v>
      </c>
    </row>
    <row r="569" spans="7:7">
      <c r="G569" t="s">
        <v>1363</v>
      </c>
    </row>
    <row r="571" spans="7:7">
      <c r="G571" s="58" t="s">
        <v>1364</v>
      </c>
    </row>
    <row r="572" spans="7:7">
      <c r="G572" s="58" t="s">
        <v>1365</v>
      </c>
    </row>
    <row r="573" spans="7:7">
      <c r="G573" s="58" t="s">
        <v>1366</v>
      </c>
    </row>
    <row r="574" spans="7:7">
      <c r="G574" s="58" t="s">
        <v>1367</v>
      </c>
    </row>
    <row r="575" spans="7:7">
      <c r="G575" s="58" t="s">
        <v>1368</v>
      </c>
    </row>
    <row r="576" spans="7:7">
      <c r="G576" s="58" t="s">
        <v>1369</v>
      </c>
    </row>
    <row r="577" spans="2:7">
      <c r="G577" s="58" t="s">
        <v>1370</v>
      </c>
    </row>
    <row r="581" spans="2:7" ht="25.5" customHeight="1">
      <c r="B581" s="19">
        <v>39</v>
      </c>
      <c r="C581" s="24" t="s">
        <v>1371</v>
      </c>
      <c r="D581" s="24" t="s">
        <v>1372</v>
      </c>
      <c r="E581" s="24" t="s">
        <v>1373</v>
      </c>
      <c r="G581" t="s">
        <v>1374</v>
      </c>
    </row>
    <row r="583" spans="2:7">
      <c r="G583" t="s">
        <v>1375</v>
      </c>
    </row>
    <row r="585" spans="2:7">
      <c r="G585" t="s">
        <v>1376</v>
      </c>
    </row>
    <row r="587" spans="2:7">
      <c r="G587" t="s">
        <v>1377</v>
      </c>
    </row>
    <row r="589" spans="2:7">
      <c r="G589" t="s">
        <v>1378</v>
      </c>
    </row>
    <row r="591" spans="2:7" ht="23.25" customHeight="1">
      <c r="G591" s="40" t="s">
        <v>1379</v>
      </c>
    </row>
    <row r="593" spans="7:9">
      <c r="G593" s="33" t="s">
        <v>137</v>
      </c>
      <c r="H593" s="33" t="s">
        <v>1132</v>
      </c>
      <c r="I593" s="33" t="s">
        <v>1133</v>
      </c>
    </row>
    <row r="594" spans="7:9">
      <c r="G594" s="47">
        <v>2000</v>
      </c>
      <c r="H594" s="34">
        <v>690</v>
      </c>
      <c r="I594" s="47" t="s">
        <v>1380</v>
      </c>
    </row>
    <row r="595" spans="7:9">
      <c r="G595" s="47">
        <v>2005</v>
      </c>
      <c r="H595" s="34">
        <v>740</v>
      </c>
      <c r="I595" s="47" t="s">
        <v>1381</v>
      </c>
    </row>
    <row r="596" spans="7:9">
      <c r="G596" s="47">
        <v>2010</v>
      </c>
      <c r="H596" s="34">
        <v>790</v>
      </c>
      <c r="I596" s="47" t="s">
        <v>1382</v>
      </c>
    </row>
    <row r="597" spans="7:9">
      <c r="G597" s="47">
        <v>2015</v>
      </c>
      <c r="H597" s="34">
        <v>820</v>
      </c>
      <c r="I597" s="47" t="s">
        <v>1383</v>
      </c>
    </row>
    <row r="598" spans="7:9">
      <c r="G598" s="47">
        <v>2020</v>
      </c>
      <c r="H598" s="34">
        <v>845</v>
      </c>
      <c r="I598" s="47" t="s">
        <v>1384</v>
      </c>
    </row>
    <row r="599" spans="7:9">
      <c r="G599" s="47">
        <v>2025</v>
      </c>
      <c r="H599" s="34">
        <v>900</v>
      </c>
      <c r="I599" s="47" t="s">
        <v>1385</v>
      </c>
    </row>
    <row r="600" spans="7:9">
      <c r="G600" s="47" t="s">
        <v>1138</v>
      </c>
      <c r="H600" s="34">
        <v>915</v>
      </c>
      <c r="I600" s="47" t="s">
        <v>1386</v>
      </c>
    </row>
    <row r="602" spans="7:9" ht="23.25" customHeight="1">
      <c r="G602" s="40" t="s">
        <v>1387</v>
      </c>
    </row>
    <row r="604" spans="7:9">
      <c r="G604" t="s">
        <v>1388</v>
      </c>
    </row>
    <row r="606" spans="7:9">
      <c r="G606" t="s">
        <v>1389</v>
      </c>
    </row>
    <row r="608" spans="7:9">
      <c r="G608" t="s">
        <v>1390</v>
      </c>
    </row>
    <row r="610" spans="7:7">
      <c r="G610" t="s">
        <v>1391</v>
      </c>
    </row>
    <row r="612" spans="7:7" ht="23.25" customHeight="1">
      <c r="G612" s="40" t="s">
        <v>1392</v>
      </c>
    </row>
    <row r="614" spans="7:7">
      <c r="G614" t="s">
        <v>1393</v>
      </c>
    </row>
    <row r="615" spans="7:7">
      <c r="G615" s="35"/>
    </row>
    <row r="616" spans="7:7">
      <c r="G616" s="36" t="s">
        <v>1394</v>
      </c>
    </row>
    <row r="617" spans="7:7">
      <c r="G617" s="36" t="s">
        <v>1395</v>
      </c>
    </row>
    <row r="619" spans="7:7">
      <c r="G619" t="s">
        <v>1396</v>
      </c>
    </row>
    <row r="620" spans="7:7">
      <c r="G620" s="35"/>
    </row>
    <row r="621" spans="7:7">
      <c r="G621" s="36" t="s">
        <v>1397</v>
      </c>
    </row>
    <row r="622" spans="7:7">
      <c r="G622" s="36" t="s">
        <v>1398</v>
      </c>
    </row>
    <row r="623" spans="7:7">
      <c r="G623" s="36" t="s">
        <v>1399</v>
      </c>
    </row>
    <row r="625" spans="2:10" ht="23.25" customHeight="1">
      <c r="G625" s="40" t="s">
        <v>1400</v>
      </c>
    </row>
    <row r="627" spans="2:10">
      <c r="G627" t="s">
        <v>1401</v>
      </c>
    </row>
    <row r="629" spans="2:10">
      <c r="G629" t="s">
        <v>1402</v>
      </c>
    </row>
    <row r="633" spans="2:10" ht="25.5" customHeight="1">
      <c r="B633" s="20">
        <v>40</v>
      </c>
      <c r="C633" s="25" t="s">
        <v>1371</v>
      </c>
      <c r="D633" s="25" t="s">
        <v>1372</v>
      </c>
      <c r="E633" s="25" t="s">
        <v>1403</v>
      </c>
      <c r="G633" t="s">
        <v>1404</v>
      </c>
    </row>
    <row r="635" spans="2:10">
      <c r="G635" s="58" t="s">
        <v>1405</v>
      </c>
    </row>
    <row r="636" spans="2:10">
      <c r="G636" t="s">
        <v>1406</v>
      </c>
    </row>
    <row r="638" spans="2:10" ht="23.25" customHeight="1">
      <c r="G638" s="40" t="s">
        <v>1132</v>
      </c>
    </row>
    <row r="640" spans="2:10">
      <c r="G640" s="33" t="s">
        <v>137</v>
      </c>
      <c r="H640" s="33" t="s">
        <v>1132</v>
      </c>
      <c r="I640" s="33" t="s">
        <v>1170</v>
      </c>
      <c r="J640" s="33" t="s">
        <v>1407</v>
      </c>
    </row>
    <row r="641" spans="7:10">
      <c r="G641" s="47">
        <v>2000</v>
      </c>
      <c r="H641" s="34">
        <v>470</v>
      </c>
      <c r="I641" s="47" t="s">
        <v>1408</v>
      </c>
      <c r="J641" s="47" t="s">
        <v>1172</v>
      </c>
    </row>
    <row r="642" spans="7:10">
      <c r="G642" s="47">
        <v>2005</v>
      </c>
      <c r="H642" s="34">
        <v>450</v>
      </c>
      <c r="I642" s="47" t="s">
        <v>1409</v>
      </c>
      <c r="J642" s="47" t="s">
        <v>1172</v>
      </c>
    </row>
    <row r="643" spans="7:10">
      <c r="G643" s="47">
        <v>2010</v>
      </c>
      <c r="H643" s="34">
        <v>430</v>
      </c>
      <c r="I643" s="47" t="s">
        <v>1410</v>
      </c>
      <c r="J643" s="47" t="s">
        <v>1172</v>
      </c>
    </row>
    <row r="644" spans="7:10" ht="30" customHeight="1">
      <c r="G644" s="47">
        <v>2015</v>
      </c>
      <c r="H644" s="34">
        <v>440</v>
      </c>
      <c r="I644" s="47" t="s">
        <v>1411</v>
      </c>
      <c r="J644" s="47" t="s">
        <v>1175</v>
      </c>
    </row>
    <row r="645" spans="7:10">
      <c r="G645" s="47">
        <v>2020</v>
      </c>
      <c r="H645" s="34">
        <v>490</v>
      </c>
      <c r="I645" s="47" t="s">
        <v>1412</v>
      </c>
      <c r="J645" s="47" t="s">
        <v>1177</v>
      </c>
    </row>
    <row r="646" spans="7:10">
      <c r="G646" s="47">
        <v>2025</v>
      </c>
      <c r="H646" s="34">
        <v>520</v>
      </c>
      <c r="I646" s="47" t="s">
        <v>1413</v>
      </c>
      <c r="J646" s="47" t="s">
        <v>1177</v>
      </c>
    </row>
    <row r="647" spans="7:10" ht="30" customHeight="1">
      <c r="G647" s="47" t="s">
        <v>1138</v>
      </c>
      <c r="H647" s="34">
        <v>560</v>
      </c>
      <c r="I647" s="47" t="s">
        <v>1414</v>
      </c>
      <c r="J647" s="47" t="s">
        <v>1175</v>
      </c>
    </row>
    <row r="649" spans="7:10" ht="23.25" customHeight="1">
      <c r="G649" s="40" t="s">
        <v>1387</v>
      </c>
    </row>
    <row r="651" spans="7:10">
      <c r="G651" t="s">
        <v>1415</v>
      </c>
    </row>
    <row r="653" spans="7:10">
      <c r="G653" s="58" t="s">
        <v>1416</v>
      </c>
    </row>
    <row r="654" spans="7:10">
      <c r="G654" t="s">
        <v>1417</v>
      </c>
    </row>
    <row r="656" spans="7:10">
      <c r="G656" s="58" t="s">
        <v>1418</v>
      </c>
    </row>
    <row r="657" spans="7:7">
      <c r="G657" t="s">
        <v>1419</v>
      </c>
    </row>
    <row r="659" spans="7:7">
      <c r="G659" s="58" t="s">
        <v>1420</v>
      </c>
    </row>
    <row r="660" spans="7:7">
      <c r="G660" t="s">
        <v>1421</v>
      </c>
    </row>
    <row r="662" spans="7:7" ht="23.25" customHeight="1">
      <c r="G662" s="40" t="s">
        <v>1422</v>
      </c>
    </row>
    <row r="664" spans="7:7">
      <c r="G664" t="s">
        <v>1423</v>
      </c>
    </row>
    <row r="665" spans="7:7">
      <c r="G665" s="35"/>
    </row>
    <row r="666" spans="7:7">
      <c r="G666" s="36" t="s">
        <v>1424</v>
      </c>
    </row>
    <row r="667" spans="7:7">
      <c r="G667" s="36" t="s">
        <v>1425</v>
      </c>
    </row>
    <row r="668" spans="7:7">
      <c r="G668" s="36" t="s">
        <v>1426</v>
      </c>
    </row>
    <row r="670" spans="7:7" ht="23.25" customHeight="1">
      <c r="G670" s="40" t="s">
        <v>1427</v>
      </c>
    </row>
    <row r="672" spans="7:7">
      <c r="G672" t="s">
        <v>1428</v>
      </c>
    </row>
    <row r="674" spans="2:7">
      <c r="G674" s="36" t="s">
        <v>1429</v>
      </c>
    </row>
    <row r="676" spans="2:7">
      <c r="G676" t="s">
        <v>1430</v>
      </c>
    </row>
    <row r="677" spans="2:7">
      <c r="G677" s="35"/>
    </row>
    <row r="678" spans="2:7">
      <c r="G678" s="35" t="s">
        <v>1431</v>
      </c>
    </row>
    <row r="679" spans="2:7">
      <c r="G679" s="35" t="s">
        <v>1432</v>
      </c>
    </row>
    <row r="680" spans="2:7">
      <c r="G680" s="35" t="s">
        <v>1433</v>
      </c>
    </row>
    <row r="682" spans="2:7">
      <c r="G682" t="s">
        <v>1434</v>
      </c>
    </row>
    <row r="685" spans="2:7" ht="25.5" customHeight="1">
      <c r="B685" s="19">
        <v>41</v>
      </c>
      <c r="C685" s="24" t="s">
        <v>1371</v>
      </c>
      <c r="D685" s="24" t="s">
        <v>1435</v>
      </c>
      <c r="E685" s="24" t="s">
        <v>1436</v>
      </c>
      <c r="G685" t="s">
        <v>1437</v>
      </c>
    </row>
    <row r="687" spans="2:7">
      <c r="G687" t="s">
        <v>1438</v>
      </c>
    </row>
    <row r="689" spans="7:8">
      <c r="G689" t="s">
        <v>1439</v>
      </c>
    </row>
    <row r="691" spans="7:8">
      <c r="G691" t="s">
        <v>1440</v>
      </c>
    </row>
    <row r="693" spans="7:8">
      <c r="G693" t="s">
        <v>1441</v>
      </c>
    </row>
    <row r="695" spans="7:8">
      <c r="G695" s="33" t="s">
        <v>137</v>
      </c>
      <c r="H695" s="33" t="s">
        <v>1442</v>
      </c>
    </row>
    <row r="696" spans="7:8">
      <c r="G696" s="34">
        <v>2000</v>
      </c>
      <c r="H696" s="34" t="s">
        <v>1443</v>
      </c>
    </row>
    <row r="697" spans="7:8">
      <c r="G697" s="34">
        <v>2005</v>
      </c>
      <c r="H697" s="34" t="s">
        <v>1444</v>
      </c>
    </row>
    <row r="698" spans="7:8">
      <c r="G698" s="34">
        <v>2010</v>
      </c>
      <c r="H698" s="34" t="s">
        <v>1445</v>
      </c>
    </row>
    <row r="699" spans="7:8">
      <c r="G699" s="34">
        <v>2015</v>
      </c>
      <c r="H699" s="34" t="s">
        <v>1446</v>
      </c>
    </row>
    <row r="700" spans="7:8">
      <c r="G700" s="34">
        <v>2020</v>
      </c>
      <c r="H700" s="34" t="s">
        <v>1445</v>
      </c>
    </row>
    <row r="701" spans="7:8">
      <c r="G701" s="34">
        <v>2025</v>
      </c>
      <c r="H701" s="34" t="s">
        <v>1444</v>
      </c>
    </row>
    <row r="702" spans="7:8" ht="30" customHeight="1">
      <c r="G702" s="34" t="s">
        <v>998</v>
      </c>
      <c r="H702" s="34" t="s">
        <v>1443</v>
      </c>
    </row>
    <row r="704" spans="7:8">
      <c r="G704" t="s">
        <v>1447</v>
      </c>
    </row>
    <row r="706" spans="2:7">
      <c r="G706" t="s">
        <v>1448</v>
      </c>
    </row>
    <row r="708" spans="2:7">
      <c r="G708" t="s">
        <v>1449</v>
      </c>
    </row>
    <row r="709" spans="2:7">
      <c r="G709" s="35"/>
    </row>
    <row r="710" spans="2:7">
      <c r="G710" s="36" t="s">
        <v>1450</v>
      </c>
    </row>
    <row r="711" spans="2:7">
      <c r="G711" s="36" t="s">
        <v>1451</v>
      </c>
    </row>
    <row r="712" spans="2:7">
      <c r="G712" s="36" t="s">
        <v>1452</v>
      </c>
    </row>
    <row r="714" spans="2:7">
      <c r="G714" t="s">
        <v>1453</v>
      </c>
    </row>
    <row r="718" spans="2:7" ht="25.5" customHeight="1">
      <c r="B718" s="20">
        <v>46</v>
      </c>
      <c r="C718" s="25" t="s">
        <v>1454</v>
      </c>
      <c r="D718" s="25" t="s">
        <v>1455</v>
      </c>
      <c r="E718" s="25" t="s">
        <v>1456</v>
      </c>
      <c r="G718" t="s">
        <v>1457</v>
      </c>
    </row>
    <row r="719" spans="2:7">
      <c r="G719" s="35"/>
    </row>
    <row r="720" spans="2:7">
      <c r="G720" s="35" t="s">
        <v>1458</v>
      </c>
    </row>
    <row r="721" spans="7:9">
      <c r="G721" s="35" t="s">
        <v>1459</v>
      </c>
    </row>
    <row r="723" spans="7:9">
      <c r="G723" t="s">
        <v>1460</v>
      </c>
    </row>
    <row r="724" spans="7:9">
      <c r="G724" s="35"/>
    </row>
    <row r="725" spans="7:9">
      <c r="G725" s="36" t="s">
        <v>1461</v>
      </c>
    </row>
    <row r="726" spans="7:9">
      <c r="G726" s="36" t="s">
        <v>1462</v>
      </c>
    </row>
    <row r="728" spans="7:9" ht="18" customHeight="1">
      <c r="G728" s="37" t="s">
        <v>1463</v>
      </c>
    </row>
    <row r="730" spans="7:9">
      <c r="G730" t="s">
        <v>1464</v>
      </c>
    </row>
    <row r="731" spans="7:9">
      <c r="G731" t="s">
        <v>1465</v>
      </c>
    </row>
    <row r="733" spans="7:9">
      <c r="G733" t="s">
        <v>1466</v>
      </c>
    </row>
    <row r="735" spans="7:9">
      <c r="G735" s="33" t="s">
        <v>137</v>
      </c>
      <c r="H735" s="33" t="s">
        <v>1093</v>
      </c>
      <c r="I735" s="33" t="s">
        <v>1467</v>
      </c>
    </row>
    <row r="736" spans="7:9">
      <c r="G736" s="47">
        <v>2000</v>
      </c>
      <c r="H736" s="34" t="s">
        <v>1468</v>
      </c>
      <c r="I736" s="47" t="s">
        <v>1120</v>
      </c>
    </row>
    <row r="737" spans="7:9">
      <c r="G737" s="47">
        <v>2005</v>
      </c>
      <c r="H737" s="34" t="s">
        <v>1469</v>
      </c>
      <c r="I737" s="47" t="s">
        <v>1120</v>
      </c>
    </row>
    <row r="738" spans="7:9">
      <c r="G738" s="47">
        <v>2010</v>
      </c>
      <c r="H738" s="34" t="s">
        <v>1470</v>
      </c>
      <c r="I738" s="47" t="s">
        <v>1120</v>
      </c>
    </row>
    <row r="739" spans="7:9">
      <c r="G739" s="47">
        <v>2015</v>
      </c>
      <c r="H739" s="34" t="s">
        <v>1471</v>
      </c>
      <c r="I739" s="47" t="s">
        <v>1120</v>
      </c>
    </row>
    <row r="740" spans="7:9">
      <c r="G740" s="47">
        <v>2020</v>
      </c>
      <c r="H740" s="34" t="s">
        <v>1469</v>
      </c>
      <c r="I740" s="47" t="s">
        <v>1120</v>
      </c>
    </row>
    <row r="741" spans="7:9">
      <c r="G741" s="47">
        <v>2025</v>
      </c>
      <c r="H741" s="34" t="s">
        <v>1468</v>
      </c>
      <c r="I741" s="47" t="s">
        <v>1120</v>
      </c>
    </row>
    <row r="742" spans="7:9">
      <c r="G742" s="47">
        <v>2030</v>
      </c>
      <c r="H742" s="34" t="s">
        <v>1472</v>
      </c>
      <c r="I742" s="47" t="s">
        <v>1473</v>
      </c>
    </row>
    <row r="744" spans="7:9" ht="18" customHeight="1">
      <c r="G744" s="37" t="s">
        <v>1474</v>
      </c>
    </row>
    <row r="746" spans="7:9">
      <c r="G746" t="s">
        <v>1475</v>
      </c>
    </row>
    <row r="747" spans="7:9">
      <c r="G747" s="35"/>
    </row>
    <row r="748" spans="7:9">
      <c r="G748" s="35" t="s">
        <v>1476</v>
      </c>
    </row>
    <row r="749" spans="7:9">
      <c r="G749" s="35" t="s">
        <v>1477</v>
      </c>
    </row>
    <row r="750" spans="7:9">
      <c r="G750" s="35" t="s">
        <v>1478</v>
      </c>
    </row>
    <row r="751" spans="7:9">
      <c r="G751" s="35" t="s">
        <v>1479</v>
      </c>
    </row>
    <row r="753" spans="7:7" ht="18" customHeight="1">
      <c r="G753" s="37" t="s">
        <v>1274</v>
      </c>
    </row>
    <row r="754" spans="7:7">
      <c r="G754" s="35"/>
    </row>
    <row r="755" spans="7:7">
      <c r="G755" s="36" t="s">
        <v>1480</v>
      </c>
    </row>
    <row r="756" spans="7:7">
      <c r="G756" s="36" t="s">
        <v>1481</v>
      </c>
    </row>
    <row r="757" spans="7:7">
      <c r="G757" s="36" t="s">
        <v>1277</v>
      </c>
    </row>
    <row r="759" spans="7:7" ht="18" customHeight="1">
      <c r="G759" s="37" t="s">
        <v>1279</v>
      </c>
    </row>
    <row r="761" spans="7:7">
      <c r="G761" t="s">
        <v>1482</v>
      </c>
    </row>
    <row r="762" spans="7:7">
      <c r="G762" s="35"/>
    </row>
    <row r="763" spans="7:7">
      <c r="G763" s="36" t="s">
        <v>1483</v>
      </c>
    </row>
    <row r="764" spans="7:7">
      <c r="G764" s="36" t="s">
        <v>1484</v>
      </c>
    </row>
    <row r="765" spans="7:7">
      <c r="G765" s="36" t="s">
        <v>1485</v>
      </c>
    </row>
    <row r="766" spans="7:7">
      <c r="G766" s="36" t="s">
        <v>1486</v>
      </c>
    </row>
    <row r="769" spans="2:7" ht="25.5" customHeight="1">
      <c r="B769" s="20">
        <v>50</v>
      </c>
      <c r="C769" s="25" t="s">
        <v>1454</v>
      </c>
      <c r="D769" s="25" t="s">
        <v>1487</v>
      </c>
      <c r="E769" s="25" t="s">
        <v>1488</v>
      </c>
      <c r="G769" t="s">
        <v>1489</v>
      </c>
    </row>
    <row r="771" spans="2:7">
      <c r="G771" t="s">
        <v>1490</v>
      </c>
    </row>
    <row r="773" spans="2:7">
      <c r="G773" t="s">
        <v>1376</v>
      </c>
    </row>
    <row r="775" spans="2:7">
      <c r="G775" t="s">
        <v>1491</v>
      </c>
    </row>
    <row r="777" spans="2:7" ht="18" customHeight="1">
      <c r="G777" s="37" t="s">
        <v>1492</v>
      </c>
    </row>
    <row r="779" spans="2:7">
      <c r="G779" t="s">
        <v>1493</v>
      </c>
    </row>
    <row r="780" spans="2:7">
      <c r="G780" s="58" t="s">
        <v>1494</v>
      </c>
    </row>
    <row r="782" spans="2:7" ht="18" customHeight="1">
      <c r="G782" s="37" t="s">
        <v>1495</v>
      </c>
    </row>
    <row r="784" spans="2:7">
      <c r="G784" t="s">
        <v>1496</v>
      </c>
    </row>
    <row r="786" spans="7:9">
      <c r="G786" s="35" t="s">
        <v>1497</v>
      </c>
    </row>
    <row r="787" spans="7:9">
      <c r="G787" s="35" t="s">
        <v>1498</v>
      </c>
    </row>
    <row r="788" spans="7:9">
      <c r="G788" s="35" t="s">
        <v>1499</v>
      </c>
    </row>
    <row r="790" spans="7:9" ht="18" customHeight="1">
      <c r="G790" s="37" t="s">
        <v>1132</v>
      </c>
    </row>
    <row r="792" spans="7:9">
      <c r="G792" t="s">
        <v>1500</v>
      </c>
    </row>
    <row r="794" spans="7:9">
      <c r="G794" s="33" t="s">
        <v>137</v>
      </c>
      <c r="H794" s="33" t="s">
        <v>1501</v>
      </c>
      <c r="I794" s="33" t="s">
        <v>1094</v>
      </c>
    </row>
    <row r="795" spans="7:9">
      <c r="G795" s="47">
        <v>2000</v>
      </c>
      <c r="H795" s="34">
        <v>170</v>
      </c>
      <c r="I795" s="47" t="s">
        <v>1104</v>
      </c>
    </row>
    <row r="796" spans="7:9">
      <c r="G796" s="47">
        <v>2005</v>
      </c>
      <c r="H796" s="34">
        <v>185</v>
      </c>
      <c r="I796" s="47" t="s">
        <v>1104</v>
      </c>
    </row>
    <row r="797" spans="7:9">
      <c r="G797" s="47">
        <v>2010</v>
      </c>
      <c r="H797" s="34">
        <v>200</v>
      </c>
      <c r="I797" s="47" t="s">
        <v>1104</v>
      </c>
    </row>
    <row r="798" spans="7:9">
      <c r="G798" s="47">
        <v>2015</v>
      </c>
      <c r="H798" s="34">
        <v>215</v>
      </c>
      <c r="I798" s="47" t="s">
        <v>1104</v>
      </c>
    </row>
    <row r="799" spans="7:9">
      <c r="G799" s="47">
        <v>2020</v>
      </c>
      <c r="H799" s="34">
        <v>220</v>
      </c>
      <c r="I799" s="47" t="s">
        <v>1104</v>
      </c>
    </row>
    <row r="800" spans="7:9">
      <c r="G800" s="47">
        <v>2025</v>
      </c>
      <c r="H800" s="34">
        <v>225</v>
      </c>
      <c r="I800" s="47" t="s">
        <v>1304</v>
      </c>
    </row>
    <row r="801" spans="7:9">
      <c r="G801" s="47">
        <v>2030</v>
      </c>
      <c r="H801" s="34" t="s">
        <v>1502</v>
      </c>
      <c r="I801" s="47" t="s">
        <v>1306</v>
      </c>
    </row>
    <row r="803" spans="7:9" ht="18" customHeight="1">
      <c r="G803" s="37" t="s">
        <v>1503</v>
      </c>
    </row>
    <row r="805" spans="7:9">
      <c r="G805" t="s">
        <v>1504</v>
      </c>
    </row>
    <row r="807" spans="7:9">
      <c r="G807" t="s">
        <v>1505</v>
      </c>
    </row>
    <row r="809" spans="7:9">
      <c r="G809" t="s">
        <v>1506</v>
      </c>
    </row>
    <row r="811" spans="7:9" ht="18" customHeight="1">
      <c r="G811" s="37" t="s">
        <v>1507</v>
      </c>
    </row>
    <row r="813" spans="7:9">
      <c r="G813" t="s">
        <v>1508</v>
      </c>
    </row>
    <row r="814" spans="7:9">
      <c r="G814" s="58" t="s">
        <v>1509</v>
      </c>
    </row>
    <row r="815" spans="7:9">
      <c r="G815" t="s">
        <v>1510</v>
      </c>
    </row>
    <row r="818" spans="2:9" ht="25.5" customHeight="1">
      <c r="B818" s="19">
        <v>51</v>
      </c>
      <c r="C818" s="24" t="s">
        <v>1454</v>
      </c>
      <c r="D818" s="24" t="s">
        <v>1487</v>
      </c>
      <c r="E818" s="24" t="s">
        <v>1511</v>
      </c>
      <c r="G818" t="s">
        <v>1512</v>
      </c>
    </row>
    <row r="820" spans="2:9">
      <c r="G820" t="s">
        <v>1513</v>
      </c>
    </row>
    <row r="824" spans="2:9">
      <c r="G824" t="s">
        <v>1514</v>
      </c>
    </row>
    <row r="826" spans="2:9">
      <c r="G826" t="s">
        <v>1515</v>
      </c>
    </row>
    <row r="828" spans="2:9">
      <c r="G828" t="s">
        <v>1516</v>
      </c>
    </row>
    <row r="830" spans="2:9">
      <c r="G830" s="33" t="s">
        <v>137</v>
      </c>
      <c r="H830" s="33" t="s">
        <v>1093</v>
      </c>
      <c r="I830" s="33" t="s">
        <v>1094</v>
      </c>
    </row>
    <row r="831" spans="2:9" ht="30" customHeight="1">
      <c r="G831" s="47">
        <v>2000</v>
      </c>
      <c r="H831" s="34">
        <v>261</v>
      </c>
      <c r="I831" s="34" t="s">
        <v>1517</v>
      </c>
    </row>
    <row r="832" spans="2:9">
      <c r="G832" s="47">
        <v>2005</v>
      </c>
      <c r="H832" s="34" t="s">
        <v>1518</v>
      </c>
      <c r="I832" s="47" t="s">
        <v>1120</v>
      </c>
    </row>
    <row r="833" spans="2:9">
      <c r="G833" s="47">
        <v>2010</v>
      </c>
      <c r="H833" s="34" t="s">
        <v>1519</v>
      </c>
      <c r="I833" s="47" t="s">
        <v>1120</v>
      </c>
    </row>
    <row r="834" spans="2:9">
      <c r="G834" s="47">
        <v>2015</v>
      </c>
      <c r="H834" s="34" t="s">
        <v>1520</v>
      </c>
      <c r="I834" s="47" t="s">
        <v>1120</v>
      </c>
    </row>
    <row r="835" spans="2:9">
      <c r="G835" s="47">
        <v>2020</v>
      </c>
      <c r="H835" s="34" t="s">
        <v>1521</v>
      </c>
      <c r="I835" s="47" t="s">
        <v>1120</v>
      </c>
    </row>
    <row r="836" spans="2:9" ht="30" customHeight="1">
      <c r="G836" s="47">
        <v>2025</v>
      </c>
      <c r="H836" s="34" t="s">
        <v>1522</v>
      </c>
      <c r="I836" s="47" t="s">
        <v>1523</v>
      </c>
    </row>
    <row r="837" spans="2:9">
      <c r="G837" s="47">
        <v>2030</v>
      </c>
      <c r="H837" s="34" t="s">
        <v>1524</v>
      </c>
      <c r="I837" s="47" t="s">
        <v>1106</v>
      </c>
    </row>
    <row r="839" spans="2:9">
      <c r="G839" t="s">
        <v>1525</v>
      </c>
    </row>
    <row r="842" spans="2:9" ht="25.5" customHeight="1">
      <c r="B842" s="20">
        <v>54</v>
      </c>
      <c r="C842" s="25" t="s">
        <v>1526</v>
      </c>
      <c r="D842" s="25" t="s">
        <v>1527</v>
      </c>
      <c r="E842" s="25" t="s">
        <v>1528</v>
      </c>
      <c r="G842" t="s">
        <v>1529</v>
      </c>
    </row>
    <row r="844" spans="2:9">
      <c r="G844" t="s">
        <v>1530</v>
      </c>
    </row>
    <row r="846" spans="2:9">
      <c r="G846" t="s">
        <v>1531</v>
      </c>
    </row>
    <row r="848" spans="2:9">
      <c r="G848" t="s">
        <v>1532</v>
      </c>
    </row>
    <row r="850" spans="7:9">
      <c r="G850" s="35" t="s">
        <v>1533</v>
      </c>
    </row>
    <row r="851" spans="7:9">
      <c r="G851" s="35" t="s">
        <v>1534</v>
      </c>
    </row>
    <row r="852" spans="7:9">
      <c r="G852" s="35" t="s">
        <v>1535</v>
      </c>
    </row>
    <row r="854" spans="7:9" ht="23.25" customHeight="1">
      <c r="G854" s="40" t="s">
        <v>1536</v>
      </c>
    </row>
    <row r="856" spans="7:9">
      <c r="G856" s="33" t="s">
        <v>137</v>
      </c>
      <c r="H856" s="33" t="s">
        <v>1132</v>
      </c>
      <c r="I856" s="33" t="s">
        <v>1133</v>
      </c>
    </row>
    <row r="857" spans="7:9">
      <c r="G857" s="47">
        <v>2000</v>
      </c>
      <c r="H857" s="41">
        <v>290000</v>
      </c>
      <c r="I857" s="47" t="s">
        <v>1537</v>
      </c>
    </row>
    <row r="858" spans="7:9">
      <c r="G858" s="47">
        <v>2005</v>
      </c>
      <c r="H858" s="41">
        <v>320000</v>
      </c>
      <c r="I858" s="47" t="s">
        <v>1538</v>
      </c>
    </row>
    <row r="859" spans="7:9">
      <c r="G859" s="47">
        <v>2010</v>
      </c>
      <c r="H859" s="41">
        <v>340000</v>
      </c>
      <c r="I859" s="47" t="s">
        <v>1539</v>
      </c>
    </row>
    <row r="860" spans="7:9">
      <c r="G860" s="47">
        <v>2015</v>
      </c>
      <c r="H860" s="41">
        <v>350000</v>
      </c>
      <c r="I860" s="47" t="s">
        <v>1540</v>
      </c>
    </row>
    <row r="861" spans="7:9">
      <c r="G861" s="47">
        <v>2020</v>
      </c>
      <c r="H861" s="41">
        <v>365000</v>
      </c>
      <c r="I861" s="47" t="s">
        <v>1541</v>
      </c>
    </row>
    <row r="862" spans="7:9">
      <c r="G862" s="47">
        <v>2025</v>
      </c>
      <c r="H862" s="41">
        <v>375000</v>
      </c>
      <c r="I862" s="47" t="s">
        <v>1542</v>
      </c>
    </row>
    <row r="863" spans="7:9">
      <c r="G863" s="47" t="s">
        <v>1138</v>
      </c>
      <c r="H863" s="41">
        <v>385000</v>
      </c>
      <c r="I863" s="47" t="s">
        <v>1543</v>
      </c>
    </row>
    <row r="865" spans="7:9">
      <c r="G865" t="s">
        <v>1544</v>
      </c>
    </row>
    <row r="867" spans="7:9">
      <c r="G867" t="s">
        <v>1545</v>
      </c>
    </row>
    <row r="869" spans="7:9">
      <c r="G869" t="s">
        <v>1546</v>
      </c>
    </row>
    <row r="871" spans="7:9">
      <c r="G871" t="s">
        <v>1547</v>
      </c>
    </row>
    <row r="872" spans="7:9">
      <c r="G872" t="s">
        <v>1548</v>
      </c>
    </row>
    <row r="874" spans="7:9">
      <c r="G874" t="s">
        <v>1549</v>
      </c>
    </row>
    <row r="876" spans="7:9" ht="30" customHeight="1">
      <c r="G876" s="33" t="s">
        <v>137</v>
      </c>
      <c r="H876" s="33" t="s">
        <v>1550</v>
      </c>
      <c r="I876" s="33" t="s">
        <v>1551</v>
      </c>
    </row>
    <row r="877" spans="7:9">
      <c r="G877" s="47">
        <v>2000</v>
      </c>
      <c r="H877" s="34">
        <v>80</v>
      </c>
      <c r="I877" s="47" t="s">
        <v>1104</v>
      </c>
    </row>
    <row r="878" spans="7:9">
      <c r="G878" s="47">
        <v>2005</v>
      </c>
      <c r="H878" s="34">
        <v>160</v>
      </c>
      <c r="I878" s="47" t="s">
        <v>1104</v>
      </c>
    </row>
    <row r="879" spans="7:9">
      <c r="G879" s="47">
        <v>2010</v>
      </c>
      <c r="H879" s="34">
        <v>260</v>
      </c>
      <c r="I879" s="47" t="s">
        <v>1104</v>
      </c>
    </row>
    <row r="880" spans="7:9">
      <c r="G880" s="47">
        <v>2015</v>
      </c>
      <c r="H880" s="34">
        <v>363</v>
      </c>
      <c r="I880" s="47" t="s">
        <v>1552</v>
      </c>
    </row>
    <row r="881" spans="7:9" ht="30" customHeight="1">
      <c r="G881" s="47">
        <v>2020</v>
      </c>
      <c r="H881" s="41">
        <v>1340</v>
      </c>
      <c r="I881" s="47" t="s">
        <v>1553</v>
      </c>
    </row>
    <row r="882" spans="7:9" ht="30" customHeight="1">
      <c r="G882" s="47">
        <v>2025</v>
      </c>
      <c r="H882" s="41">
        <v>2865</v>
      </c>
      <c r="I882" s="47" t="s">
        <v>1554</v>
      </c>
    </row>
    <row r="883" spans="7:9">
      <c r="G883" s="47">
        <v>2030</v>
      </c>
      <c r="H883" s="41">
        <v>3150</v>
      </c>
      <c r="I883" s="47" t="s">
        <v>1555</v>
      </c>
    </row>
    <row r="885" spans="7:9" ht="18" customHeight="1">
      <c r="G885" s="37" t="s">
        <v>1556</v>
      </c>
    </row>
    <row r="887" spans="7:9">
      <c r="G887" s="58" t="s">
        <v>1557</v>
      </c>
    </row>
    <row r="889" spans="7:9">
      <c r="G889" s="58" t="s">
        <v>1558</v>
      </c>
    </row>
    <row r="891" spans="7:9">
      <c r="G891" s="58" t="s">
        <v>1559</v>
      </c>
    </row>
    <row r="893" spans="7:9">
      <c r="G893" s="58" t="s">
        <v>1560</v>
      </c>
    </row>
    <row r="895" spans="7:9">
      <c r="G895" s="58" t="s">
        <v>1561</v>
      </c>
    </row>
    <row r="897" spans="7:7">
      <c r="G897" s="58" t="s">
        <v>1562</v>
      </c>
    </row>
    <row r="899" spans="7:7">
      <c r="G899" s="58" t="s">
        <v>1563</v>
      </c>
    </row>
    <row r="901" spans="7:7" ht="18" customHeight="1">
      <c r="G901" s="37" t="s">
        <v>1564</v>
      </c>
    </row>
    <row r="903" spans="7:7">
      <c r="G903" t="s">
        <v>1565</v>
      </c>
    </row>
    <row r="904" spans="7:7">
      <c r="G904" s="35"/>
    </row>
    <row r="905" spans="7:7">
      <c r="G905" s="36" t="s">
        <v>1566</v>
      </c>
    </row>
    <row r="906" spans="7:7">
      <c r="G906" s="36" t="s">
        <v>1567</v>
      </c>
    </row>
    <row r="907" spans="7:7">
      <c r="G907" s="36" t="s">
        <v>1568</v>
      </c>
    </row>
    <row r="908" spans="7:7">
      <c r="G908" s="36" t="s">
        <v>1569</v>
      </c>
    </row>
    <row r="909" spans="7:7">
      <c r="G909" s="36" t="s">
        <v>1570</v>
      </c>
    </row>
    <row r="910" spans="7:7">
      <c r="G910" s="36" t="s">
        <v>1571</v>
      </c>
    </row>
    <row r="911" spans="7:7">
      <c r="G911" s="36" t="s">
        <v>1572</v>
      </c>
    </row>
    <row r="913" spans="2:7" ht="18" customHeight="1">
      <c r="G913" s="37" t="s">
        <v>1573</v>
      </c>
    </row>
    <row r="914" spans="2:7">
      <c r="G914" s="35"/>
    </row>
    <row r="915" spans="2:7">
      <c r="G915" s="35" t="s">
        <v>1574</v>
      </c>
    </row>
    <row r="917" spans="2:7">
      <c r="G917" t="s">
        <v>1575</v>
      </c>
    </row>
    <row r="918" spans="2:7">
      <c r="G918" s="47"/>
    </row>
    <row r="920" spans="2:7" ht="25.5" customHeight="1">
      <c r="B920" s="19">
        <v>63</v>
      </c>
      <c r="C920" s="24" t="s">
        <v>1526</v>
      </c>
      <c r="D920" s="24" t="s">
        <v>1576</v>
      </c>
      <c r="E920" s="24" t="s">
        <v>1577</v>
      </c>
      <c r="G920" s="40" t="s">
        <v>1387</v>
      </c>
    </row>
    <row r="922" spans="2:7" ht="18" customHeight="1">
      <c r="G922" s="37" t="s">
        <v>1141</v>
      </c>
    </row>
    <row r="924" spans="2:7">
      <c r="G924" t="s">
        <v>1578</v>
      </c>
    </row>
    <row r="926" spans="2:7" ht="18" customHeight="1">
      <c r="G926" s="37" t="s">
        <v>1579</v>
      </c>
    </row>
    <row r="928" spans="2:7">
      <c r="G928" t="s">
        <v>1580</v>
      </c>
    </row>
    <row r="930" spans="7:7" ht="18" customHeight="1">
      <c r="G930" s="37" t="s">
        <v>1581</v>
      </c>
    </row>
    <row r="932" spans="7:7">
      <c r="G932" t="s">
        <v>1582</v>
      </c>
    </row>
    <row r="934" spans="7:7" ht="18" customHeight="1">
      <c r="G934" s="37" t="s">
        <v>1583</v>
      </c>
    </row>
    <row r="936" spans="7:7">
      <c r="G936" t="s">
        <v>1584</v>
      </c>
    </row>
    <row r="937" spans="7:7">
      <c r="G937" t="s">
        <v>1585</v>
      </c>
    </row>
    <row r="938" spans="7:7">
      <c r="G938" s="35"/>
    </row>
    <row r="939" spans="7:7">
      <c r="G939" s="35" t="s">
        <v>1586</v>
      </c>
    </row>
    <row r="940" spans="7:7">
      <c r="G940" s="35" t="s">
        <v>1587</v>
      </c>
    </row>
    <row r="941" spans="7:7">
      <c r="G941" s="35" t="s">
        <v>1588</v>
      </c>
    </row>
    <row r="943" spans="7:7" ht="18" customHeight="1">
      <c r="G943" s="37" t="s">
        <v>1589</v>
      </c>
    </row>
    <row r="945" spans="7:7">
      <c r="G945" t="s">
        <v>1148</v>
      </c>
    </row>
    <row r="947" spans="7:7">
      <c r="G947" s="58" t="s">
        <v>1590</v>
      </c>
    </row>
    <row r="949" spans="7:7">
      <c r="G949" t="s">
        <v>1591</v>
      </c>
    </row>
    <row r="950" spans="7:7">
      <c r="G950" s="35"/>
    </row>
    <row r="951" spans="7:7">
      <c r="G951" s="35" t="s">
        <v>1592</v>
      </c>
    </row>
    <row r="952" spans="7:7">
      <c r="G952" s="35" t="s">
        <v>1593</v>
      </c>
    </row>
    <row r="953" spans="7:7">
      <c r="G953" s="35" t="s">
        <v>1594</v>
      </c>
    </row>
    <row r="954" spans="7:7">
      <c r="G954" s="35" t="s">
        <v>1595</v>
      </c>
    </row>
    <row r="955" spans="7:7">
      <c r="G955" s="35" t="s">
        <v>1596</v>
      </c>
    </row>
    <row r="956" spans="7:7">
      <c r="G956" s="35" t="s">
        <v>1597</v>
      </c>
    </row>
    <row r="957" spans="7:7">
      <c r="G957" s="35" t="s">
        <v>1598</v>
      </c>
    </row>
    <row r="959" spans="7:7">
      <c r="G959" t="s">
        <v>1599</v>
      </c>
    </row>
    <row r="961" spans="7:7" ht="23.25" customHeight="1">
      <c r="G961" s="40" t="s">
        <v>1392</v>
      </c>
    </row>
    <row r="963" spans="7:7">
      <c r="G963" t="s">
        <v>1600</v>
      </c>
    </row>
    <row r="964" spans="7:7">
      <c r="G964" s="35"/>
    </row>
    <row r="965" spans="7:7">
      <c r="G965" s="36" t="s">
        <v>1601</v>
      </c>
    </row>
    <row r="966" spans="7:7">
      <c r="G966" s="35" t="s">
        <v>1602</v>
      </c>
    </row>
    <row r="967" spans="7:7">
      <c r="G967" s="35" t="s">
        <v>1603</v>
      </c>
    </row>
    <row r="969" spans="7:7" ht="23.25" customHeight="1">
      <c r="G969" s="40" t="s">
        <v>1604</v>
      </c>
    </row>
    <row r="971" spans="7:7">
      <c r="G971" t="s">
        <v>1605</v>
      </c>
    </row>
    <row r="972" spans="7:7">
      <c r="G972" s="35"/>
    </row>
    <row r="973" spans="7:7">
      <c r="G973" s="35" t="s">
        <v>1606</v>
      </c>
    </row>
    <row r="974" spans="7:7">
      <c r="G974" s="35" t="s">
        <v>1607</v>
      </c>
    </row>
    <row r="975" spans="7:7">
      <c r="G975" s="35" t="s">
        <v>1608</v>
      </c>
    </row>
    <row r="976" spans="7:7">
      <c r="G976" s="35" t="s">
        <v>1609</v>
      </c>
    </row>
    <row r="977" spans="7:7">
      <c r="G977" s="35" t="s">
        <v>1610</v>
      </c>
    </row>
    <row r="981" spans="7:7">
      <c r="G981" t="s">
        <v>1611</v>
      </c>
    </row>
    <row r="983" spans="7:7">
      <c r="G983" t="s">
        <v>1612</v>
      </c>
    </row>
    <row r="985" spans="7:7">
      <c r="G985" t="s">
        <v>1613</v>
      </c>
    </row>
    <row r="987" spans="7:7" ht="23.25" customHeight="1">
      <c r="G987" s="40" t="s">
        <v>1614</v>
      </c>
    </row>
    <row r="989" spans="7:7">
      <c r="G989" t="s">
        <v>1615</v>
      </c>
    </row>
    <row r="990" spans="7:7">
      <c r="G990" s="35"/>
    </row>
    <row r="991" spans="7:7">
      <c r="G991" s="35" t="s">
        <v>1616</v>
      </c>
    </row>
    <row r="992" spans="7:7">
      <c r="G992" s="35" t="s">
        <v>1617</v>
      </c>
    </row>
    <row r="993" spans="7:7">
      <c r="G993" s="35" t="s">
        <v>1618</v>
      </c>
    </row>
    <row r="995" spans="7:7">
      <c r="G995" t="s">
        <v>1619</v>
      </c>
    </row>
    <row r="996" spans="7:7">
      <c r="G996" s="35"/>
    </row>
    <row r="997" spans="7:7">
      <c r="G997" s="35" t="s">
        <v>1620</v>
      </c>
    </row>
    <row r="998" spans="7:7">
      <c r="G998" s="35" t="s">
        <v>1621</v>
      </c>
    </row>
    <row r="999" spans="7:7">
      <c r="G999" s="35" t="s">
        <v>1622</v>
      </c>
    </row>
    <row r="1000" spans="7:7">
      <c r="G1000" s="35" t="s">
        <v>1623</v>
      </c>
    </row>
    <row r="1001" spans="7:7">
      <c r="G1001" s="35" t="s">
        <v>1624</v>
      </c>
    </row>
    <row r="1003" spans="7:7" ht="23.25" customHeight="1">
      <c r="G1003" s="40" t="s">
        <v>1625</v>
      </c>
    </row>
    <row r="1005" spans="7:7">
      <c r="G1005" t="s">
        <v>1626</v>
      </c>
    </row>
    <row r="1006" spans="7:7">
      <c r="G1006" t="s">
        <v>1627</v>
      </c>
    </row>
    <row r="1007" spans="7:7">
      <c r="G1007" s="35"/>
    </row>
    <row r="1008" spans="7:7">
      <c r="G1008" s="36" t="s">
        <v>1628</v>
      </c>
    </row>
    <row r="1009" spans="7:9">
      <c r="G1009" s="36" t="s">
        <v>1629</v>
      </c>
    </row>
    <row r="1011" spans="7:9">
      <c r="G1011" t="s">
        <v>1630</v>
      </c>
    </row>
    <row r="1013" spans="7:9" ht="18" customHeight="1">
      <c r="G1013" s="37" t="s">
        <v>1631</v>
      </c>
    </row>
    <row r="1015" spans="7:9">
      <c r="G1015" s="33" t="s">
        <v>137</v>
      </c>
      <c r="H1015" s="33" t="s">
        <v>1132</v>
      </c>
      <c r="I1015" s="33" t="s">
        <v>1133</v>
      </c>
    </row>
    <row r="1016" spans="7:9">
      <c r="G1016" s="47">
        <v>2000</v>
      </c>
      <c r="H1016" s="41">
        <v>205000</v>
      </c>
      <c r="I1016" s="47" t="s">
        <v>1632</v>
      </c>
    </row>
    <row r="1017" spans="7:9">
      <c r="G1017" s="47">
        <v>2005</v>
      </c>
      <c r="H1017" s="41">
        <v>220000</v>
      </c>
      <c r="I1017" s="47" t="s">
        <v>1633</v>
      </c>
    </row>
    <row r="1018" spans="7:9">
      <c r="G1018" s="47">
        <v>2010</v>
      </c>
      <c r="H1018" s="41">
        <v>230000</v>
      </c>
      <c r="I1018" s="47" t="s">
        <v>1634</v>
      </c>
    </row>
    <row r="1019" spans="7:9">
      <c r="G1019" s="47">
        <v>2015</v>
      </c>
      <c r="H1019" s="41">
        <v>235000</v>
      </c>
      <c r="I1019" s="47" t="s">
        <v>1635</v>
      </c>
    </row>
    <row r="1020" spans="7:9">
      <c r="G1020" s="47">
        <v>2020</v>
      </c>
      <c r="H1020" s="41">
        <v>240000</v>
      </c>
      <c r="I1020" s="47" t="s">
        <v>1636</v>
      </c>
    </row>
    <row r="1021" spans="7:9">
      <c r="G1021" s="47">
        <v>2025</v>
      </c>
      <c r="H1021" s="41">
        <v>245000</v>
      </c>
      <c r="I1021" s="47" t="s">
        <v>1637</v>
      </c>
    </row>
    <row r="1022" spans="7:9">
      <c r="G1022" s="47" t="s">
        <v>1138</v>
      </c>
      <c r="H1022" s="41">
        <v>250000</v>
      </c>
      <c r="I1022" s="47" t="s">
        <v>1638</v>
      </c>
    </row>
    <row r="1024" spans="7:9" ht="18" customHeight="1">
      <c r="G1024" s="37" t="s">
        <v>1639</v>
      </c>
    </row>
    <row r="1026" spans="7:7">
      <c r="G1026" t="s">
        <v>1640</v>
      </c>
    </row>
    <row r="1027" spans="7:7">
      <c r="G1027" t="s">
        <v>1641</v>
      </c>
    </row>
    <row r="1029" spans="7:7" ht="23.25" customHeight="1">
      <c r="G1029" s="40" t="s">
        <v>1642</v>
      </c>
    </row>
    <row r="1031" spans="7:7">
      <c r="G1031" t="s">
        <v>1643</v>
      </c>
    </row>
    <row r="1033" spans="7:7" ht="18" customHeight="1">
      <c r="G1033" s="37" t="s">
        <v>1644</v>
      </c>
    </row>
    <row r="1035" spans="7:7">
      <c r="G1035" t="s">
        <v>1645</v>
      </c>
    </row>
    <row r="1037" spans="7:7">
      <c r="G1037" t="s">
        <v>1646</v>
      </c>
    </row>
    <row r="1038" spans="7:7">
      <c r="G1038" s="35"/>
    </row>
    <row r="1039" spans="7:7">
      <c r="G1039" s="36" t="s">
        <v>1647</v>
      </c>
    </row>
    <row r="1040" spans="7:7">
      <c r="G1040" s="36" t="s">
        <v>1648</v>
      </c>
    </row>
    <row r="1041" spans="7:7">
      <c r="G1041" s="35" t="s">
        <v>1649</v>
      </c>
    </row>
    <row r="1043" spans="7:7">
      <c r="G1043" t="s">
        <v>1650</v>
      </c>
    </row>
    <row r="1044" spans="7:7">
      <c r="G1044" s="35"/>
    </row>
    <row r="1045" spans="7:7">
      <c r="G1045" s="35" t="s">
        <v>1651</v>
      </c>
    </row>
    <row r="1046" spans="7:7">
      <c r="G1046" s="35" t="s">
        <v>1652</v>
      </c>
    </row>
    <row r="1048" spans="7:7" ht="18" customHeight="1">
      <c r="G1048" s="37" t="s">
        <v>1653</v>
      </c>
    </row>
    <row r="1050" spans="7:7">
      <c r="G1050" t="s">
        <v>1654</v>
      </c>
    </row>
    <row r="1051" spans="7:7">
      <c r="G1051" s="35"/>
    </row>
    <row r="1052" spans="7:7">
      <c r="G1052" s="36" t="s">
        <v>1655</v>
      </c>
    </row>
    <row r="1053" spans="7:7">
      <c r="G1053" s="36" t="s">
        <v>1656</v>
      </c>
    </row>
    <row r="1055" spans="7:7">
      <c r="G1055" t="s">
        <v>1657</v>
      </c>
    </row>
    <row r="1057" spans="7:7">
      <c r="G1057" s="35" t="s">
        <v>1658</v>
      </c>
    </row>
    <row r="1058" spans="7:7">
      <c r="G1058" s="35" t="s">
        <v>1659</v>
      </c>
    </row>
    <row r="1060" spans="7:7">
      <c r="G1060" t="s">
        <v>1660</v>
      </c>
    </row>
    <row r="1062" spans="7:7" ht="23.25" customHeight="1">
      <c r="G1062" s="40" t="s">
        <v>1661</v>
      </c>
    </row>
    <row r="1064" spans="7:7">
      <c r="G1064" t="s">
        <v>1662</v>
      </c>
    </row>
    <row r="1065" spans="7:7">
      <c r="G1065" s="35"/>
    </row>
    <row r="1066" spans="7:7">
      <c r="G1066" s="36" t="s">
        <v>1663</v>
      </c>
    </row>
    <row r="1067" spans="7:7">
      <c r="G1067" s="36" t="s">
        <v>1664</v>
      </c>
    </row>
    <row r="1068" spans="7:7">
      <c r="G1068" s="35" t="s">
        <v>1665</v>
      </c>
    </row>
    <row r="1070" spans="7:7">
      <c r="G1070" t="s">
        <v>1666</v>
      </c>
    </row>
    <row r="1071" spans="7:7">
      <c r="G1071" s="35"/>
    </row>
    <row r="1072" spans="7:7">
      <c r="G1072" s="35" t="s">
        <v>1667</v>
      </c>
    </row>
    <row r="1073" spans="2:10">
      <c r="G1073" s="35" t="s">
        <v>1668</v>
      </c>
    </row>
    <row r="1075" spans="2:10">
      <c r="G1075" t="s">
        <v>1669</v>
      </c>
    </row>
    <row r="1078" spans="2:10" ht="25.5" customHeight="1">
      <c r="B1078" s="20">
        <v>64</v>
      </c>
      <c r="C1078" s="25" t="s">
        <v>1670</v>
      </c>
      <c r="D1078" s="25" t="s">
        <v>1671</v>
      </c>
      <c r="E1078" s="25" t="s">
        <v>1672</v>
      </c>
      <c r="G1078" t="s">
        <v>1673</v>
      </c>
    </row>
    <row r="1080" spans="2:10" ht="23.25" customHeight="1">
      <c r="G1080" s="40" t="s">
        <v>1132</v>
      </c>
    </row>
    <row r="1082" spans="2:10">
      <c r="G1082" s="33" t="s">
        <v>137</v>
      </c>
      <c r="H1082" s="33" t="s">
        <v>1132</v>
      </c>
      <c r="I1082" s="33" t="s">
        <v>1170</v>
      </c>
      <c r="J1082" s="33" t="s">
        <v>1407</v>
      </c>
    </row>
    <row r="1083" spans="2:10">
      <c r="G1083" s="47">
        <v>2000</v>
      </c>
      <c r="H1083" s="41">
        <v>14800</v>
      </c>
      <c r="I1083" s="47" t="s">
        <v>1674</v>
      </c>
      <c r="J1083" s="47" t="s">
        <v>1172</v>
      </c>
    </row>
    <row r="1084" spans="2:10" ht="30" customHeight="1">
      <c r="G1084" s="47">
        <v>2005</v>
      </c>
      <c r="H1084" s="41">
        <v>15400</v>
      </c>
      <c r="I1084" s="47" t="s">
        <v>1675</v>
      </c>
      <c r="J1084" s="47" t="s">
        <v>1175</v>
      </c>
    </row>
    <row r="1085" spans="2:10">
      <c r="G1085" s="47">
        <v>2010</v>
      </c>
      <c r="H1085" s="41">
        <v>16000</v>
      </c>
      <c r="I1085" s="47" t="s">
        <v>1676</v>
      </c>
      <c r="J1085" s="47" t="s">
        <v>1177</v>
      </c>
    </row>
    <row r="1086" spans="2:10">
      <c r="G1086" s="47">
        <v>2015</v>
      </c>
      <c r="H1086" s="41">
        <v>16400</v>
      </c>
      <c r="I1086" s="47" t="s">
        <v>1677</v>
      </c>
      <c r="J1086" s="47" t="s">
        <v>1177</v>
      </c>
    </row>
    <row r="1087" spans="2:10">
      <c r="G1087" s="47">
        <v>2020</v>
      </c>
      <c r="H1087" s="41">
        <v>16700</v>
      </c>
      <c r="I1087" s="47" t="s">
        <v>1678</v>
      </c>
      <c r="J1087" s="47" t="s">
        <v>1177</v>
      </c>
    </row>
    <row r="1088" spans="2:10">
      <c r="G1088" s="47">
        <v>2025</v>
      </c>
      <c r="H1088" s="41">
        <v>17000</v>
      </c>
      <c r="I1088" s="47" t="s">
        <v>1679</v>
      </c>
      <c r="J1088" s="47" t="s">
        <v>1177</v>
      </c>
    </row>
    <row r="1089" spans="7:10" ht="30" customHeight="1">
      <c r="G1089" s="47" t="s">
        <v>1138</v>
      </c>
      <c r="H1089" s="41">
        <v>17600</v>
      </c>
      <c r="I1089" s="47" t="s">
        <v>1680</v>
      </c>
      <c r="J1089" s="47" t="s">
        <v>1175</v>
      </c>
    </row>
    <row r="1091" spans="7:10" ht="23.25" customHeight="1">
      <c r="G1091" s="40" t="s">
        <v>1140</v>
      </c>
    </row>
    <row r="1093" spans="7:10">
      <c r="G1093" t="s">
        <v>1681</v>
      </c>
    </row>
    <row r="1095" spans="7:10" ht="18" customHeight="1">
      <c r="G1095" s="37" t="s">
        <v>1682</v>
      </c>
    </row>
    <row r="1097" spans="7:10">
      <c r="G1097" t="s">
        <v>1683</v>
      </c>
    </row>
    <row r="1098" spans="7:10">
      <c r="G1098" s="35"/>
    </row>
    <row r="1099" spans="7:10">
      <c r="G1099" s="36" t="s">
        <v>1684</v>
      </c>
    </row>
    <row r="1100" spans="7:10">
      <c r="G1100" s="35" t="s">
        <v>1685</v>
      </c>
    </row>
    <row r="1102" spans="7:10">
      <c r="G1102" t="s">
        <v>1686</v>
      </c>
    </row>
    <row r="1104" spans="7:10" ht="18" customHeight="1">
      <c r="G1104" s="37" t="s">
        <v>1687</v>
      </c>
    </row>
    <row r="1106" spans="7:7">
      <c r="G1106" t="s">
        <v>1688</v>
      </c>
    </row>
    <row r="1108" spans="7:7" ht="18" customHeight="1">
      <c r="G1108" s="37" t="s">
        <v>1689</v>
      </c>
    </row>
    <row r="1110" spans="7:7">
      <c r="G1110" t="s">
        <v>1690</v>
      </c>
    </row>
    <row r="1111" spans="7:7">
      <c r="G1111" s="35"/>
    </row>
    <row r="1112" spans="7:7">
      <c r="G1112" s="35" t="s">
        <v>1691</v>
      </c>
    </row>
    <row r="1113" spans="7:7">
      <c r="G1113" s="35" t="s">
        <v>1692</v>
      </c>
    </row>
    <row r="1114" spans="7:7">
      <c r="G1114" s="35" t="s">
        <v>1693</v>
      </c>
    </row>
    <row r="1115" spans="7:7">
      <c r="G1115" s="35" t="s">
        <v>1694</v>
      </c>
    </row>
    <row r="1117" spans="7:7" ht="23.25" customHeight="1">
      <c r="G1117" s="40" t="s">
        <v>1695</v>
      </c>
    </row>
    <row r="1119" spans="7:7">
      <c r="G1119" t="s">
        <v>1696</v>
      </c>
    </row>
    <row r="1121" spans="7:7">
      <c r="G1121" s="36" t="s">
        <v>1697</v>
      </c>
    </row>
    <row r="1123" spans="7:7">
      <c r="G1123" t="s">
        <v>1698</v>
      </c>
    </row>
    <row r="1124" spans="7:7">
      <c r="G1124" s="35"/>
    </row>
    <row r="1125" spans="7:7">
      <c r="G1125" s="35" t="s">
        <v>1699</v>
      </c>
    </row>
    <row r="1126" spans="7:7">
      <c r="G1126" s="35" t="s">
        <v>1700</v>
      </c>
    </row>
    <row r="1127" spans="7:7">
      <c r="G1127" s="35" t="s">
        <v>1701</v>
      </c>
    </row>
    <row r="1129" spans="7:7" ht="23.25" customHeight="1">
      <c r="G1129" s="40" t="s">
        <v>280</v>
      </c>
    </row>
    <row r="1130" spans="7:7">
      <c r="G1130" s="35"/>
    </row>
    <row r="1131" spans="7:7">
      <c r="G1131" s="36" t="s">
        <v>1702</v>
      </c>
    </row>
    <row r="1132" spans="7:7">
      <c r="G1132" s="36" t="s">
        <v>1703</v>
      </c>
    </row>
    <row r="1133" spans="7:7">
      <c r="G1133" s="36" t="s">
        <v>1704</v>
      </c>
    </row>
    <row r="1135" spans="7:7">
      <c r="G1135" t="s">
        <v>1705</v>
      </c>
    </row>
    <row r="1137" spans="2:8">
      <c r="G1137" s="36" t="s">
        <v>1706</v>
      </c>
    </row>
    <row r="1139" spans="2:8">
      <c r="G1139" t="s">
        <v>1707</v>
      </c>
    </row>
    <row r="1142" spans="2:8">
      <c r="B1142" s="19">
        <v>65</v>
      </c>
      <c r="C1142" s="24" t="s">
        <v>1670</v>
      </c>
      <c r="D1142" s="24" t="s">
        <v>1671</v>
      </c>
      <c r="E1142" s="24" t="s">
        <v>1708</v>
      </c>
      <c r="G1142" t="s">
        <v>1709</v>
      </c>
    </row>
    <row r="1144" spans="2:8">
      <c r="G1144" t="s">
        <v>1710</v>
      </c>
    </row>
    <row r="1146" spans="2:8">
      <c r="G1146" s="33" t="s">
        <v>137</v>
      </c>
      <c r="H1146" s="33" t="s">
        <v>1442</v>
      </c>
    </row>
    <row r="1147" spans="2:8">
      <c r="G1147" s="47">
        <v>2000</v>
      </c>
      <c r="H1147" s="34" t="s">
        <v>1711</v>
      </c>
    </row>
    <row r="1148" spans="2:8">
      <c r="G1148" s="47">
        <v>2005</v>
      </c>
      <c r="H1148" s="34" t="s">
        <v>1711</v>
      </c>
    </row>
    <row r="1149" spans="2:8">
      <c r="G1149" s="47">
        <v>2010</v>
      </c>
      <c r="H1149" s="34" t="s">
        <v>1712</v>
      </c>
    </row>
    <row r="1150" spans="2:8">
      <c r="G1150" s="47">
        <v>2015</v>
      </c>
      <c r="H1150" s="34" t="s">
        <v>1711</v>
      </c>
    </row>
    <row r="1151" spans="2:8">
      <c r="G1151" s="47">
        <v>2020</v>
      </c>
      <c r="H1151" s="34" t="s">
        <v>1713</v>
      </c>
    </row>
    <row r="1152" spans="2:8">
      <c r="G1152" s="47">
        <v>2025</v>
      </c>
      <c r="H1152" s="34" t="s">
        <v>1711</v>
      </c>
    </row>
    <row r="1153" spans="7:8" ht="30" customHeight="1">
      <c r="G1153" s="47" t="s">
        <v>998</v>
      </c>
      <c r="H1153" s="34" t="s">
        <v>1714</v>
      </c>
    </row>
    <row r="1155" spans="7:8">
      <c r="G1155" t="s">
        <v>1715</v>
      </c>
    </row>
    <row r="1157" spans="7:8">
      <c r="G1157" t="s">
        <v>1716</v>
      </c>
    </row>
    <row r="1159" spans="7:8">
      <c r="G1159" t="s">
        <v>1717</v>
      </c>
    </row>
    <row r="1160" spans="7:8">
      <c r="G1160" s="35"/>
    </row>
    <row r="1161" spans="7:8">
      <c r="G1161" s="36" t="s">
        <v>1718</v>
      </c>
    </row>
    <row r="1162" spans="7:8">
      <c r="G1162" s="36" t="s">
        <v>1719</v>
      </c>
    </row>
    <row r="1163" spans="7:8">
      <c r="G1163" s="36" t="s">
        <v>1720</v>
      </c>
    </row>
    <row r="1164" spans="7:8">
      <c r="G1164" s="36" t="s">
        <v>1721</v>
      </c>
    </row>
    <row r="1165" spans="7:8">
      <c r="G1165" s="36" t="s">
        <v>1722</v>
      </c>
    </row>
    <row r="1166" spans="7:8">
      <c r="G1166" s="36" t="s">
        <v>1723</v>
      </c>
    </row>
    <row r="1167" spans="7:8">
      <c r="G1167" s="35" t="s">
        <v>1724</v>
      </c>
    </row>
    <row r="1169" spans="2:8">
      <c r="G1169" t="s">
        <v>1725</v>
      </c>
    </row>
    <row r="1172" spans="2:8">
      <c r="B1172" s="20">
        <v>66</v>
      </c>
      <c r="C1172" s="25" t="s">
        <v>1670</v>
      </c>
      <c r="D1172" s="25" t="s">
        <v>1671</v>
      </c>
      <c r="E1172" s="25" t="s">
        <v>1726</v>
      </c>
      <c r="G1172" t="s">
        <v>1727</v>
      </c>
    </row>
    <row r="1173" spans="2:8">
      <c r="G1173" s="35"/>
    </row>
    <row r="1174" spans="2:8">
      <c r="G1174" s="36" t="s">
        <v>1728</v>
      </c>
    </row>
    <row r="1175" spans="2:8">
      <c r="G1175" s="35" t="s">
        <v>1729</v>
      </c>
    </row>
    <row r="1177" spans="2:8">
      <c r="G1177" t="s">
        <v>1730</v>
      </c>
    </row>
    <row r="1179" spans="2:8">
      <c r="G1179" t="s">
        <v>1731</v>
      </c>
    </row>
    <row r="1181" spans="2:8">
      <c r="G1181" t="s">
        <v>1732</v>
      </c>
    </row>
    <row r="1183" spans="2:8">
      <c r="G1183" s="33" t="s">
        <v>137</v>
      </c>
      <c r="H1183" s="33" t="s">
        <v>1093</v>
      </c>
    </row>
    <row r="1184" spans="2:8">
      <c r="G1184" s="47">
        <v>2000</v>
      </c>
      <c r="H1184" s="34" t="s">
        <v>1733</v>
      </c>
    </row>
    <row r="1185" spans="7:8">
      <c r="G1185" s="47">
        <v>2005</v>
      </c>
      <c r="H1185" s="34" t="s">
        <v>1037</v>
      </c>
    </row>
    <row r="1186" spans="7:8">
      <c r="G1186" s="47">
        <v>2010</v>
      </c>
      <c r="H1186" s="34" t="s">
        <v>1734</v>
      </c>
    </row>
    <row r="1187" spans="7:8">
      <c r="G1187" s="47">
        <v>2015</v>
      </c>
      <c r="H1187" s="34" t="s">
        <v>1735</v>
      </c>
    </row>
    <row r="1188" spans="7:8">
      <c r="G1188" s="47">
        <v>2020</v>
      </c>
      <c r="H1188" s="34" t="s">
        <v>1736</v>
      </c>
    </row>
    <row r="1189" spans="7:8">
      <c r="G1189" s="47">
        <v>2025</v>
      </c>
      <c r="H1189" s="34" t="s">
        <v>1038</v>
      </c>
    </row>
    <row r="1190" spans="7:8">
      <c r="G1190" s="47">
        <v>2030</v>
      </c>
      <c r="H1190" s="34" t="s">
        <v>1737</v>
      </c>
    </row>
    <row r="1192" spans="7:8">
      <c r="G1192" s="58" t="s">
        <v>1738</v>
      </c>
    </row>
    <row r="1193" spans="7:8">
      <c r="G1193" t="s">
        <v>1739</v>
      </c>
    </row>
    <row r="1195" spans="7:8">
      <c r="G1195" t="s">
        <v>1740</v>
      </c>
    </row>
    <row r="1197" spans="7:8" ht="18" customHeight="1">
      <c r="G1197" s="37" t="s">
        <v>1274</v>
      </c>
    </row>
    <row r="1198" spans="7:8">
      <c r="G1198" s="35"/>
    </row>
    <row r="1199" spans="7:8">
      <c r="G1199" s="36" t="s">
        <v>1480</v>
      </c>
    </row>
    <row r="1200" spans="7:8">
      <c r="G1200" s="36" t="s">
        <v>1481</v>
      </c>
    </row>
    <row r="1201" spans="2:7">
      <c r="G1201" s="36" t="s">
        <v>1277</v>
      </c>
    </row>
    <row r="1203" spans="2:7" ht="18" customHeight="1">
      <c r="G1203" s="37" t="s">
        <v>1741</v>
      </c>
    </row>
    <row r="1205" spans="2:7">
      <c r="G1205" t="s">
        <v>1742</v>
      </c>
    </row>
    <row r="1206" spans="2:7">
      <c r="G1206" s="35"/>
    </row>
    <row r="1207" spans="2:7">
      <c r="G1207" s="36" t="s">
        <v>1743</v>
      </c>
    </row>
    <row r="1208" spans="2:7">
      <c r="G1208" s="36" t="s">
        <v>1744</v>
      </c>
    </row>
    <row r="1209" spans="2:7">
      <c r="G1209" s="36" t="s">
        <v>1745</v>
      </c>
    </row>
    <row r="1210" spans="2:7">
      <c r="G1210" s="36" t="s">
        <v>1746</v>
      </c>
    </row>
    <row r="1213" spans="2:7">
      <c r="B1213" s="19">
        <f>B1172+1</f>
        <v>67</v>
      </c>
      <c r="C1213" s="24" t="s">
        <v>1670</v>
      </c>
      <c r="D1213" s="24" t="s">
        <v>1747</v>
      </c>
      <c r="E1213" s="24" t="s">
        <v>1748</v>
      </c>
      <c r="G1213" t="s">
        <v>1749</v>
      </c>
    </row>
    <row r="1215" spans="2:7">
      <c r="G1215" t="s">
        <v>1750</v>
      </c>
    </row>
    <row r="1217" spans="7:9">
      <c r="G1217" t="s">
        <v>1751</v>
      </c>
    </row>
    <row r="1219" spans="7:9">
      <c r="G1219" t="s">
        <v>1752</v>
      </c>
    </row>
    <row r="1221" spans="7:9" ht="18" customHeight="1">
      <c r="G1221" s="37" t="s">
        <v>1753</v>
      </c>
    </row>
    <row r="1223" spans="7:9" ht="30" customHeight="1">
      <c r="G1223" s="33" t="s">
        <v>137</v>
      </c>
      <c r="H1223" s="33" t="s">
        <v>1754</v>
      </c>
      <c r="I1223" s="33" t="s">
        <v>1094</v>
      </c>
    </row>
    <row r="1224" spans="7:9">
      <c r="G1224" s="47">
        <v>2000</v>
      </c>
      <c r="H1224" s="34">
        <v>520</v>
      </c>
      <c r="I1224" s="47" t="s">
        <v>1104</v>
      </c>
    </row>
    <row r="1225" spans="7:9">
      <c r="G1225" s="47">
        <v>2005</v>
      </c>
      <c r="H1225" s="34">
        <v>470</v>
      </c>
      <c r="I1225" s="47" t="s">
        <v>1104</v>
      </c>
    </row>
    <row r="1226" spans="7:9">
      <c r="G1226" s="47">
        <v>2010</v>
      </c>
      <c r="H1226" s="34">
        <v>410</v>
      </c>
      <c r="I1226" s="47" t="s">
        <v>1104</v>
      </c>
    </row>
    <row r="1227" spans="7:9">
      <c r="G1227" s="47">
        <v>2015</v>
      </c>
      <c r="H1227" s="34">
        <v>360</v>
      </c>
      <c r="I1227" s="47" t="s">
        <v>1104</v>
      </c>
    </row>
    <row r="1228" spans="7:9">
      <c r="G1228" s="47">
        <v>2020</v>
      </c>
      <c r="H1228" s="34">
        <v>320</v>
      </c>
      <c r="I1228" s="47" t="s">
        <v>1104</v>
      </c>
    </row>
    <row r="1229" spans="7:9">
      <c r="G1229" s="47">
        <v>2025</v>
      </c>
      <c r="H1229" s="34">
        <v>290</v>
      </c>
      <c r="I1229" s="47" t="s">
        <v>1304</v>
      </c>
    </row>
    <row r="1230" spans="7:9">
      <c r="G1230" s="47">
        <v>2030</v>
      </c>
      <c r="H1230" s="34" t="s">
        <v>1755</v>
      </c>
      <c r="I1230" s="47" t="s">
        <v>1306</v>
      </c>
    </row>
    <row r="1232" spans="7:9" ht="18" customHeight="1">
      <c r="G1232" s="37" t="s">
        <v>1756</v>
      </c>
    </row>
    <row r="1234" spans="2:7">
      <c r="G1234" t="s">
        <v>1757</v>
      </c>
    </row>
    <row r="1236" spans="2:7">
      <c r="G1236" t="s">
        <v>1758</v>
      </c>
    </row>
    <row r="1238" spans="2:7">
      <c r="G1238" t="s">
        <v>1759</v>
      </c>
    </row>
    <row r="1242" spans="2:7">
      <c r="B1242" s="20">
        <v>70</v>
      </c>
      <c r="C1242" s="25" t="s">
        <v>1670</v>
      </c>
      <c r="D1242" s="25" t="s">
        <v>1747</v>
      </c>
      <c r="E1242" s="25" t="s">
        <v>1760</v>
      </c>
      <c r="G1242" t="s">
        <v>1761</v>
      </c>
    </row>
    <row r="1243" spans="2:7">
      <c r="B1243" s="19">
        <v>71</v>
      </c>
      <c r="C1243" s="24" t="s">
        <v>1670</v>
      </c>
      <c r="D1243" s="24" t="s">
        <v>1747</v>
      </c>
      <c r="E1243" s="24" t="s">
        <v>1762</v>
      </c>
    </row>
    <row r="1244" spans="2:7">
      <c r="G1244" t="s">
        <v>1763</v>
      </c>
    </row>
    <row r="1246" spans="2:7">
      <c r="G1246" t="s">
        <v>1764</v>
      </c>
    </row>
    <row r="1247" spans="2:7">
      <c r="G1247" s="35"/>
    </row>
    <row r="1248" spans="2:7">
      <c r="G1248" s="36" t="s">
        <v>1765</v>
      </c>
    </row>
    <row r="1249" spans="7:10">
      <c r="G1249" s="36" t="s">
        <v>1766</v>
      </c>
    </row>
    <row r="1250" spans="7:10">
      <c r="G1250" s="36" t="s">
        <v>1767</v>
      </c>
    </row>
    <row r="1252" spans="7:10" ht="18" customHeight="1">
      <c r="G1252" s="37" t="s">
        <v>1768</v>
      </c>
    </row>
    <row r="1254" spans="7:10" ht="90" customHeight="1">
      <c r="G1254" s="33" t="s">
        <v>137</v>
      </c>
      <c r="H1254" s="33" t="s">
        <v>1769</v>
      </c>
      <c r="I1254" s="33" t="s">
        <v>1770</v>
      </c>
      <c r="J1254" s="33" t="s">
        <v>1771</v>
      </c>
    </row>
    <row r="1255" spans="7:10">
      <c r="G1255" s="47">
        <v>2000</v>
      </c>
      <c r="H1255" s="41">
        <v>5500</v>
      </c>
      <c r="I1255" s="41">
        <v>5800</v>
      </c>
      <c r="J1255" s="41">
        <v>43500</v>
      </c>
    </row>
    <row r="1256" spans="7:10">
      <c r="G1256" s="47">
        <v>2005</v>
      </c>
      <c r="H1256" s="41">
        <v>5900</v>
      </c>
      <c r="I1256" s="41">
        <v>6100</v>
      </c>
      <c r="J1256" s="41">
        <v>45600</v>
      </c>
    </row>
    <row r="1257" spans="7:10">
      <c r="G1257" s="47">
        <v>2010</v>
      </c>
      <c r="H1257" s="41">
        <v>6300</v>
      </c>
      <c r="I1257" s="41">
        <v>6400</v>
      </c>
      <c r="J1257" s="41">
        <v>47700</v>
      </c>
    </row>
    <row r="1258" spans="7:10">
      <c r="G1258" s="47">
        <v>2015</v>
      </c>
      <c r="H1258" s="41">
        <v>6800</v>
      </c>
      <c r="I1258" s="41">
        <v>6700</v>
      </c>
      <c r="J1258" s="41">
        <v>48900</v>
      </c>
    </row>
    <row r="1259" spans="7:10">
      <c r="G1259" s="47">
        <v>2020</v>
      </c>
      <c r="H1259" s="41">
        <v>7100</v>
      </c>
      <c r="I1259" s="41">
        <v>6900</v>
      </c>
      <c r="J1259" s="41">
        <v>49600</v>
      </c>
    </row>
    <row r="1260" spans="7:10">
      <c r="G1260" s="47">
        <v>2025</v>
      </c>
      <c r="H1260" s="41">
        <v>7500</v>
      </c>
      <c r="I1260" s="41">
        <v>7200</v>
      </c>
      <c r="J1260" s="41">
        <v>50500</v>
      </c>
    </row>
    <row r="1261" spans="7:10">
      <c r="G1261" s="47">
        <v>2030</v>
      </c>
      <c r="H1261" s="41">
        <v>7900</v>
      </c>
      <c r="I1261" s="41">
        <v>7500</v>
      </c>
      <c r="J1261" s="41">
        <v>51500</v>
      </c>
    </row>
    <row r="1263" spans="7:10" ht="18" customHeight="1">
      <c r="G1263" s="37" t="s">
        <v>1772</v>
      </c>
    </row>
    <row r="1265" spans="7:7">
      <c r="G1265" t="s">
        <v>1773</v>
      </c>
    </row>
    <row r="1266" spans="7:7">
      <c r="G1266" s="35"/>
    </row>
    <row r="1267" spans="7:7">
      <c r="G1267" s="36" t="s">
        <v>1774</v>
      </c>
    </row>
    <row r="1268" spans="7:7">
      <c r="G1268" s="36" t="s">
        <v>1775</v>
      </c>
    </row>
    <row r="1269" spans="7:7">
      <c r="G1269" s="36" t="s">
        <v>1776</v>
      </c>
    </row>
    <row r="1270" spans="7:7">
      <c r="G1270" s="36" t="s">
        <v>1777</v>
      </c>
    </row>
    <row r="1271" spans="7:7">
      <c r="G1271" s="36" t="s">
        <v>1778</v>
      </c>
    </row>
    <row r="1272" spans="7:7">
      <c r="G1272" s="36" t="s">
        <v>1779</v>
      </c>
    </row>
    <row r="1273" spans="7:7">
      <c r="G1273" s="36" t="s">
        <v>1780</v>
      </c>
    </row>
    <row r="1275" spans="7:7">
      <c r="G1275" t="s">
        <v>1781</v>
      </c>
    </row>
    <row r="1277" spans="7:7" ht="18" customHeight="1">
      <c r="G1277" s="37" t="s">
        <v>1782</v>
      </c>
    </row>
    <row r="1279" spans="7:7">
      <c r="G1279" t="s">
        <v>1783</v>
      </c>
    </row>
    <row r="1281" spans="7:7">
      <c r="G1281" t="s">
        <v>1784</v>
      </c>
    </row>
    <row r="1283" spans="7:7">
      <c r="G1283" t="s">
        <v>1785</v>
      </c>
    </row>
    <row r="1285" spans="7:7">
      <c r="G1285" t="s">
        <v>1786</v>
      </c>
    </row>
    <row r="1287" spans="7:7" ht="18" customHeight="1">
      <c r="G1287" s="37" t="s">
        <v>1274</v>
      </c>
    </row>
    <row r="1288" spans="7:7">
      <c r="G1288" s="35"/>
    </row>
    <row r="1289" spans="7:7">
      <c r="G1289" s="36" t="s">
        <v>1787</v>
      </c>
    </row>
    <row r="1290" spans="7:7">
      <c r="G1290" s="36" t="s">
        <v>1788</v>
      </c>
    </row>
    <row r="1291" spans="7:7">
      <c r="G1291" s="36" t="s">
        <v>1789</v>
      </c>
    </row>
    <row r="1293" spans="7:7" ht="18" customHeight="1">
      <c r="G1293" s="37" t="s">
        <v>1790</v>
      </c>
    </row>
    <row r="1294" spans="7:7">
      <c r="G1294" s="35"/>
    </row>
    <row r="1295" spans="7:7">
      <c r="G1295" s="35" t="s">
        <v>1791</v>
      </c>
    </row>
    <row r="1298" spans="2:10" ht="25.5" customHeight="1">
      <c r="B1298" s="19">
        <f>B1243+1</f>
        <v>72</v>
      </c>
      <c r="C1298" s="24" t="s">
        <v>1792</v>
      </c>
      <c r="D1298" s="24" t="s">
        <v>1793</v>
      </c>
      <c r="E1298" s="24" t="s">
        <v>1794</v>
      </c>
      <c r="G1298" t="s">
        <v>1795</v>
      </c>
    </row>
    <row r="1300" spans="2:10">
      <c r="G1300" t="s">
        <v>1796</v>
      </c>
    </row>
    <row r="1302" spans="2:10">
      <c r="G1302" t="s">
        <v>1797</v>
      </c>
    </row>
    <row r="1304" spans="2:10">
      <c r="G1304" t="s">
        <v>1798</v>
      </c>
    </row>
    <row r="1306" spans="2:10" ht="23.25" customHeight="1">
      <c r="G1306" s="40" t="s">
        <v>1799</v>
      </c>
    </row>
    <row r="1308" spans="2:10">
      <c r="G1308" s="33" t="s">
        <v>137</v>
      </c>
      <c r="H1308" s="33" t="s">
        <v>1800</v>
      </c>
      <c r="I1308" s="33" t="s">
        <v>1801</v>
      </c>
      <c r="J1308" s="33" t="s">
        <v>1802</v>
      </c>
    </row>
    <row r="1309" spans="2:10">
      <c r="G1309" s="47">
        <v>2000</v>
      </c>
      <c r="H1309" s="34">
        <v>320</v>
      </c>
      <c r="I1309" s="34">
        <v>550</v>
      </c>
      <c r="J1309" s="34">
        <v>870</v>
      </c>
    </row>
    <row r="1310" spans="2:10">
      <c r="G1310" s="47">
        <v>2005</v>
      </c>
      <c r="H1310" s="34">
        <v>345</v>
      </c>
      <c r="I1310" s="34">
        <v>590</v>
      </c>
      <c r="J1310" s="34">
        <v>935</v>
      </c>
    </row>
    <row r="1311" spans="2:10">
      <c r="G1311" s="47">
        <v>2010</v>
      </c>
      <c r="H1311" s="34">
        <v>364</v>
      </c>
      <c r="I1311" s="34">
        <v>625</v>
      </c>
      <c r="J1311" s="34">
        <v>989</v>
      </c>
    </row>
    <row r="1312" spans="2:10">
      <c r="G1312" s="47">
        <v>2015</v>
      </c>
      <c r="H1312" s="34">
        <v>365</v>
      </c>
      <c r="I1312" s="34">
        <v>635</v>
      </c>
      <c r="J1312" s="41">
        <v>1000</v>
      </c>
    </row>
    <row r="1313" spans="7:10">
      <c r="G1313" s="47">
        <v>2020</v>
      </c>
      <c r="H1313" s="34">
        <v>364</v>
      </c>
      <c r="I1313" s="34">
        <v>638</v>
      </c>
      <c r="J1313" s="41">
        <v>1002</v>
      </c>
    </row>
    <row r="1314" spans="7:10">
      <c r="G1314" s="47">
        <v>2025</v>
      </c>
      <c r="H1314" s="34">
        <v>366</v>
      </c>
      <c r="I1314" s="34">
        <v>598</v>
      </c>
      <c r="J1314" s="34">
        <v>964</v>
      </c>
    </row>
    <row r="1315" spans="7:10">
      <c r="G1315" s="47" t="s">
        <v>1138</v>
      </c>
      <c r="H1315" s="34">
        <v>368</v>
      </c>
      <c r="I1315" s="34">
        <v>602</v>
      </c>
      <c r="J1315" s="34">
        <v>970</v>
      </c>
    </row>
    <row r="1317" spans="7:10" ht="23.25" customHeight="1">
      <c r="G1317" s="40" t="s">
        <v>1803</v>
      </c>
    </row>
    <row r="1319" spans="7:10">
      <c r="G1319" t="s">
        <v>1804</v>
      </c>
    </row>
    <row r="1320" spans="7:10">
      <c r="G1320" s="35"/>
    </row>
    <row r="1321" spans="7:10">
      <c r="G1321" s="36" t="s">
        <v>1805</v>
      </c>
    </row>
    <row r="1322" spans="7:10">
      <c r="G1322" s="36" t="s">
        <v>1806</v>
      </c>
    </row>
    <row r="1323" spans="7:10">
      <c r="G1323" s="36" t="s">
        <v>1807</v>
      </c>
    </row>
    <row r="1324" spans="7:10">
      <c r="G1324" s="36" t="s">
        <v>1808</v>
      </c>
    </row>
    <row r="1325" spans="7:10">
      <c r="G1325" s="36" t="s">
        <v>1809</v>
      </c>
    </row>
    <row r="1326" spans="7:10">
      <c r="G1326" s="36" t="s">
        <v>1810</v>
      </c>
    </row>
    <row r="1327" spans="7:10">
      <c r="G1327" s="36" t="s">
        <v>1811</v>
      </c>
    </row>
    <row r="1329" spans="7:7" ht="23.25" customHeight="1">
      <c r="G1329" s="40" t="s">
        <v>1812</v>
      </c>
    </row>
    <row r="1331" spans="7:7">
      <c r="G1331" t="s">
        <v>1813</v>
      </c>
    </row>
    <row r="1333" spans="7:7">
      <c r="G1333" t="s">
        <v>1814</v>
      </c>
    </row>
    <row r="1335" spans="7:7" ht="23.25" customHeight="1">
      <c r="G1335" s="40" t="s">
        <v>1815</v>
      </c>
    </row>
    <row r="1337" spans="7:7">
      <c r="G1337" t="s">
        <v>1816</v>
      </c>
    </row>
    <row r="1338" spans="7:7">
      <c r="G1338" s="35"/>
    </row>
    <row r="1339" spans="7:7">
      <c r="G1339" s="36" t="s">
        <v>1817</v>
      </c>
    </row>
    <row r="1340" spans="7:7">
      <c r="G1340" s="36" t="s">
        <v>1818</v>
      </c>
    </row>
    <row r="1341" spans="7:7">
      <c r="G1341" s="36" t="s">
        <v>1819</v>
      </c>
    </row>
    <row r="1342" spans="7:7">
      <c r="G1342" s="36" t="s">
        <v>1820</v>
      </c>
    </row>
    <row r="1343" spans="7:7">
      <c r="G1343" s="36" t="s">
        <v>1821</v>
      </c>
    </row>
    <row r="1344" spans="7:7">
      <c r="G1344" s="36" t="s">
        <v>1822</v>
      </c>
    </row>
    <row r="1345" spans="7:7">
      <c r="G1345" s="36" t="s">
        <v>1823</v>
      </c>
    </row>
    <row r="1347" spans="7:7" ht="23.25" customHeight="1">
      <c r="G1347" s="40" t="s">
        <v>1824</v>
      </c>
    </row>
    <row r="1349" spans="7:7">
      <c r="G1349" t="s">
        <v>1825</v>
      </c>
    </row>
    <row r="1351" spans="7:7" ht="23.25" customHeight="1">
      <c r="G1351" s="40" t="s">
        <v>1269</v>
      </c>
    </row>
    <row r="1353" spans="7:7">
      <c r="G1353" t="s">
        <v>1826</v>
      </c>
    </row>
    <row r="1354" spans="7:7">
      <c r="G1354" s="35"/>
    </row>
    <row r="1355" spans="7:7">
      <c r="G1355" s="36" t="s">
        <v>1827</v>
      </c>
    </row>
    <row r="1356" spans="7:7">
      <c r="G1356" s="36" t="s">
        <v>1828</v>
      </c>
    </row>
    <row r="1358" spans="7:7">
      <c r="G1358" t="s">
        <v>1829</v>
      </c>
    </row>
    <row r="1361" spans="2:7" ht="25.5" customHeight="1">
      <c r="B1361" s="20">
        <f>B1298+1</f>
        <v>73</v>
      </c>
      <c r="C1361" s="25" t="s">
        <v>1792</v>
      </c>
      <c r="D1361" s="25" t="s">
        <v>1793</v>
      </c>
      <c r="E1361" s="25" t="s">
        <v>1830</v>
      </c>
      <c r="G1361" t="s">
        <v>1831</v>
      </c>
    </row>
    <row r="1363" spans="2:7">
      <c r="G1363" t="s">
        <v>1832</v>
      </c>
    </row>
    <row r="1365" spans="2:7">
      <c r="G1365" t="s">
        <v>1833</v>
      </c>
    </row>
    <row r="1367" spans="2:7" ht="23.25" customHeight="1">
      <c r="G1367" s="40" t="s">
        <v>1834</v>
      </c>
    </row>
    <row r="1369" spans="2:7">
      <c r="G1369" t="s">
        <v>1835</v>
      </c>
    </row>
    <row r="1370" spans="2:7">
      <c r="G1370" s="35"/>
    </row>
    <row r="1371" spans="2:7">
      <c r="G1371" s="35" t="s">
        <v>1836</v>
      </c>
    </row>
    <row r="1372" spans="2:7">
      <c r="G1372" s="35" t="s">
        <v>1837</v>
      </c>
    </row>
    <row r="1374" spans="2:7">
      <c r="G1374" t="s">
        <v>1838</v>
      </c>
    </row>
    <row r="1376" spans="2:7" ht="23.25" customHeight="1">
      <c r="G1376" s="40" t="s">
        <v>1132</v>
      </c>
    </row>
    <row r="1378" spans="7:10">
      <c r="G1378" s="33" t="s">
        <v>137</v>
      </c>
      <c r="H1378" s="33" t="s">
        <v>1132</v>
      </c>
      <c r="I1378" s="33" t="s">
        <v>1170</v>
      </c>
      <c r="J1378" s="33" t="s">
        <v>1407</v>
      </c>
    </row>
    <row r="1379" spans="7:10">
      <c r="G1379" s="47">
        <v>2000</v>
      </c>
      <c r="H1379" s="34">
        <v>92</v>
      </c>
      <c r="I1379" s="47" t="s">
        <v>1839</v>
      </c>
      <c r="J1379" s="47" t="s">
        <v>1172</v>
      </c>
    </row>
    <row r="1380" spans="7:10">
      <c r="G1380" s="47">
        <v>2005</v>
      </c>
      <c r="H1380" s="34">
        <v>86</v>
      </c>
      <c r="I1380" s="47" t="s">
        <v>1840</v>
      </c>
      <c r="J1380" s="47" t="s">
        <v>1172</v>
      </c>
    </row>
    <row r="1381" spans="7:10" ht="30" customHeight="1">
      <c r="G1381" s="47">
        <v>2010</v>
      </c>
      <c r="H1381" s="34">
        <v>80</v>
      </c>
      <c r="I1381" s="47" t="s">
        <v>1841</v>
      </c>
      <c r="J1381" s="47" t="s">
        <v>1175</v>
      </c>
    </row>
    <row r="1382" spans="7:10">
      <c r="G1382" s="47">
        <v>2015</v>
      </c>
      <c r="H1382" s="34">
        <v>75</v>
      </c>
      <c r="I1382" s="47" t="s">
        <v>1842</v>
      </c>
      <c r="J1382" s="47" t="s">
        <v>1177</v>
      </c>
    </row>
    <row r="1383" spans="7:10">
      <c r="G1383" s="47">
        <v>2020</v>
      </c>
      <c r="H1383" s="34">
        <v>72</v>
      </c>
      <c r="I1383" s="47" t="s">
        <v>1843</v>
      </c>
      <c r="J1383" s="47" t="s">
        <v>1177</v>
      </c>
    </row>
    <row r="1384" spans="7:10">
      <c r="G1384" s="47">
        <v>2025</v>
      </c>
      <c r="H1384" s="34">
        <v>74</v>
      </c>
      <c r="I1384" s="47" t="s">
        <v>1844</v>
      </c>
      <c r="J1384" s="47" t="s">
        <v>1177</v>
      </c>
    </row>
    <row r="1385" spans="7:10" ht="30" customHeight="1">
      <c r="G1385" s="47" t="s">
        <v>1138</v>
      </c>
      <c r="H1385" s="34">
        <v>70</v>
      </c>
      <c r="I1385" s="47" t="s">
        <v>1845</v>
      </c>
      <c r="J1385" s="47" t="s">
        <v>1175</v>
      </c>
    </row>
    <row r="1387" spans="7:10" ht="23.25" customHeight="1">
      <c r="G1387" s="40" t="s">
        <v>1387</v>
      </c>
    </row>
    <row r="1389" spans="7:10" ht="18" customHeight="1">
      <c r="G1389" s="37" t="s">
        <v>1846</v>
      </c>
    </row>
    <row r="1391" spans="7:10">
      <c r="G1391" t="s">
        <v>1847</v>
      </c>
    </row>
    <row r="1393" spans="7:7" ht="18" customHeight="1">
      <c r="G1393" s="37" t="s">
        <v>1848</v>
      </c>
    </row>
    <row r="1395" spans="7:7">
      <c r="G1395" t="s">
        <v>1849</v>
      </c>
    </row>
    <row r="1397" spans="7:7" ht="18" customHeight="1">
      <c r="G1397" s="37" t="s">
        <v>1850</v>
      </c>
    </row>
    <row r="1399" spans="7:7">
      <c r="G1399" t="s">
        <v>1851</v>
      </c>
    </row>
    <row r="1400" spans="7:7">
      <c r="G1400" s="35"/>
    </row>
    <row r="1401" spans="7:7">
      <c r="G1401" s="36" t="s">
        <v>1852</v>
      </c>
    </row>
    <row r="1402" spans="7:7">
      <c r="G1402" s="36" t="s">
        <v>1853</v>
      </c>
    </row>
    <row r="1403" spans="7:7">
      <c r="G1403" s="36" t="s">
        <v>1854</v>
      </c>
    </row>
    <row r="1405" spans="7:7" ht="23.25" customHeight="1">
      <c r="G1405" s="40" t="s">
        <v>1855</v>
      </c>
    </row>
    <row r="1407" spans="7:7">
      <c r="G1407" t="s">
        <v>1856</v>
      </c>
    </row>
    <row r="1409" spans="7:7">
      <c r="G1409" s="36" t="s">
        <v>1857</v>
      </c>
    </row>
    <row r="1411" spans="7:7">
      <c r="G1411" t="s">
        <v>1698</v>
      </c>
    </row>
    <row r="1412" spans="7:7">
      <c r="G1412" s="35"/>
    </row>
    <row r="1413" spans="7:7">
      <c r="G1413" s="35" t="s">
        <v>1858</v>
      </c>
    </row>
    <row r="1414" spans="7:7">
      <c r="G1414" s="35" t="s">
        <v>1859</v>
      </c>
    </row>
    <row r="1415" spans="7:7">
      <c r="G1415" s="35" t="s">
        <v>1860</v>
      </c>
    </row>
    <row r="1417" spans="7:7" ht="23.25" customHeight="1">
      <c r="G1417" s="40" t="s">
        <v>280</v>
      </c>
    </row>
    <row r="1418" spans="7:7">
      <c r="G1418" s="35"/>
    </row>
    <row r="1419" spans="7:7">
      <c r="G1419" s="36" t="s">
        <v>1200</v>
      </c>
    </row>
    <row r="1420" spans="7:7">
      <c r="G1420" s="35" t="s">
        <v>1861</v>
      </c>
    </row>
    <row r="1421" spans="7:7">
      <c r="G1421" s="35"/>
    </row>
    <row r="1422" spans="7:7">
      <c r="G1422" s="36" t="s">
        <v>1862</v>
      </c>
    </row>
    <row r="1423" spans="7:7">
      <c r="G1423" s="35" t="s">
        <v>1863</v>
      </c>
    </row>
    <row r="1425" spans="2:8">
      <c r="G1425" s="36" t="s">
        <v>1204</v>
      </c>
    </row>
    <row r="1426" spans="2:8">
      <c r="G1426" s="35" t="s">
        <v>1864</v>
      </c>
    </row>
    <row r="1428" spans="2:8" ht="23.25" customHeight="1">
      <c r="G1428" s="40" t="s">
        <v>1865</v>
      </c>
    </row>
    <row r="1429" spans="2:8">
      <c r="G1429" s="35"/>
    </row>
    <row r="1430" spans="2:8">
      <c r="G1430" s="36" t="s">
        <v>1866</v>
      </c>
    </row>
    <row r="1431" spans="2:8">
      <c r="G1431" s="36" t="s">
        <v>1867</v>
      </c>
    </row>
    <row r="1432" spans="2:8">
      <c r="G1432" s="36" t="s">
        <v>1866</v>
      </c>
    </row>
    <row r="1433" spans="2:8">
      <c r="G1433" s="36" t="s">
        <v>1867</v>
      </c>
    </row>
    <row r="1437" spans="2:8" ht="25.5" customHeight="1">
      <c r="B1437" s="19">
        <f>B1361+1</f>
        <v>74</v>
      </c>
      <c r="C1437" s="24" t="s">
        <v>1792</v>
      </c>
      <c r="D1437" s="24" t="s">
        <v>1793</v>
      </c>
      <c r="E1437" s="24" t="s">
        <v>1868</v>
      </c>
      <c r="G1437" t="s">
        <v>1869</v>
      </c>
    </row>
    <row r="1439" spans="2:8">
      <c r="G1439" s="33" t="s">
        <v>137</v>
      </c>
      <c r="H1439" s="33" t="s">
        <v>1870</v>
      </c>
    </row>
    <row r="1440" spans="2:8">
      <c r="G1440" s="47">
        <v>2000</v>
      </c>
      <c r="H1440" s="34" t="s">
        <v>1871</v>
      </c>
    </row>
    <row r="1441" spans="2:8">
      <c r="G1441" s="47">
        <v>2005</v>
      </c>
      <c r="H1441" s="34" t="s">
        <v>1734</v>
      </c>
    </row>
    <row r="1442" spans="2:8">
      <c r="G1442" s="47">
        <v>2010</v>
      </c>
      <c r="H1442" s="34" t="s">
        <v>1872</v>
      </c>
    </row>
    <row r="1443" spans="2:8">
      <c r="G1443" s="47">
        <v>2015</v>
      </c>
      <c r="H1443" s="34" t="s">
        <v>1873</v>
      </c>
    </row>
    <row r="1444" spans="2:8">
      <c r="G1444" s="47">
        <v>2020</v>
      </c>
      <c r="H1444" s="34" t="s">
        <v>1873</v>
      </c>
    </row>
    <row r="1445" spans="2:8">
      <c r="G1445" s="47">
        <v>2025</v>
      </c>
      <c r="H1445" s="34" t="s">
        <v>1873</v>
      </c>
    </row>
    <row r="1446" spans="2:8" ht="30" customHeight="1">
      <c r="G1446" s="47" t="s">
        <v>998</v>
      </c>
      <c r="H1446" s="34" t="s">
        <v>1874</v>
      </c>
    </row>
    <row r="1448" spans="2:8">
      <c r="G1448" t="s">
        <v>1875</v>
      </c>
    </row>
    <row r="1450" spans="2:8">
      <c r="G1450" t="s">
        <v>1876</v>
      </c>
    </row>
    <row r="1452" spans="2:8">
      <c r="G1452" t="s">
        <v>1877</v>
      </c>
    </row>
    <row r="1455" spans="2:8" ht="25.5" customHeight="1">
      <c r="B1455" s="19">
        <f>B1437+1</f>
        <v>75</v>
      </c>
      <c r="C1455" s="24" t="s">
        <v>1792</v>
      </c>
      <c r="D1455" s="24" t="s">
        <v>1793</v>
      </c>
      <c r="E1455" s="24" t="s">
        <v>1878</v>
      </c>
      <c r="G1455" t="s">
        <v>1879</v>
      </c>
    </row>
    <row r="1457" spans="7:9">
      <c r="G1457" t="s">
        <v>1880</v>
      </c>
    </row>
    <row r="1458" spans="7:9">
      <c r="G1458" s="35"/>
    </row>
    <row r="1459" spans="7:9">
      <c r="G1459" s="35" t="s">
        <v>1881</v>
      </c>
    </row>
    <row r="1460" spans="7:9">
      <c r="G1460" s="35" t="s">
        <v>1882</v>
      </c>
    </row>
    <row r="1461" spans="7:9">
      <c r="G1461" s="35" t="s">
        <v>1883</v>
      </c>
    </row>
    <row r="1463" spans="7:9">
      <c r="G1463" t="s">
        <v>1884</v>
      </c>
    </row>
    <row r="1465" spans="7:9">
      <c r="G1465" s="58" t="s">
        <v>1885</v>
      </c>
    </row>
    <row r="1467" spans="7:9" ht="18" customHeight="1">
      <c r="G1467" s="37" t="s">
        <v>1886</v>
      </c>
    </row>
    <row r="1469" spans="7:9">
      <c r="G1469" s="33" t="s">
        <v>137</v>
      </c>
      <c r="H1469" s="33" t="s">
        <v>1248</v>
      </c>
      <c r="I1469" s="33" t="s">
        <v>1249</v>
      </c>
    </row>
    <row r="1470" spans="7:9">
      <c r="G1470" s="47">
        <v>2000</v>
      </c>
      <c r="H1470" s="34" t="s">
        <v>1887</v>
      </c>
      <c r="I1470" s="47" t="s">
        <v>1120</v>
      </c>
    </row>
    <row r="1471" spans="7:9">
      <c r="G1471" s="47">
        <v>2005</v>
      </c>
      <c r="H1471" s="34" t="s">
        <v>1888</v>
      </c>
      <c r="I1471" s="47" t="s">
        <v>1120</v>
      </c>
    </row>
    <row r="1472" spans="7:9">
      <c r="G1472" s="47">
        <v>2010</v>
      </c>
      <c r="H1472" s="34" t="s">
        <v>1889</v>
      </c>
      <c r="I1472" s="47" t="s">
        <v>1120</v>
      </c>
    </row>
    <row r="1473" spans="7:9">
      <c r="G1473" s="47">
        <v>2015</v>
      </c>
      <c r="H1473" s="34" t="s">
        <v>1890</v>
      </c>
      <c r="I1473" s="47" t="s">
        <v>1120</v>
      </c>
    </row>
    <row r="1474" spans="7:9">
      <c r="G1474" s="47">
        <v>2020</v>
      </c>
      <c r="H1474" s="34" t="s">
        <v>1891</v>
      </c>
      <c r="I1474" s="47" t="s">
        <v>1120</v>
      </c>
    </row>
    <row r="1475" spans="7:9">
      <c r="G1475" s="47">
        <v>2025</v>
      </c>
      <c r="H1475" s="34" t="s">
        <v>1892</v>
      </c>
      <c r="I1475" s="47" t="s">
        <v>1120</v>
      </c>
    </row>
    <row r="1476" spans="7:9">
      <c r="G1476" s="47">
        <v>2030</v>
      </c>
      <c r="H1476" s="34" t="s">
        <v>1469</v>
      </c>
      <c r="I1476" s="47" t="s">
        <v>1257</v>
      </c>
    </row>
    <row r="1478" spans="7:9" ht="18" customHeight="1">
      <c r="G1478" s="37" t="s">
        <v>1893</v>
      </c>
    </row>
    <row r="1480" spans="7:9">
      <c r="G1480" t="s">
        <v>1894</v>
      </c>
    </row>
    <row r="1481" spans="7:9">
      <c r="G1481" s="35"/>
    </row>
    <row r="1482" spans="7:9">
      <c r="G1482" s="35" t="s">
        <v>1895</v>
      </c>
    </row>
    <row r="1483" spans="7:9">
      <c r="G1483" s="35" t="s">
        <v>1896</v>
      </c>
    </row>
    <row r="1484" spans="7:9">
      <c r="G1484" s="35" t="s">
        <v>1897</v>
      </c>
    </row>
    <row r="1485" spans="7:9">
      <c r="G1485" s="35" t="s">
        <v>1898</v>
      </c>
    </row>
    <row r="1487" spans="7:9" ht="18" customHeight="1">
      <c r="G1487" s="37" t="s">
        <v>1274</v>
      </c>
    </row>
    <row r="1489" spans="7:7">
      <c r="G1489" s="36" t="s">
        <v>1480</v>
      </c>
    </row>
    <row r="1490" spans="7:7">
      <c r="G1490" s="36" t="s">
        <v>1481</v>
      </c>
    </row>
    <row r="1491" spans="7:7">
      <c r="G1491" s="36" t="s">
        <v>1277</v>
      </c>
    </row>
    <row r="1493" spans="7:7" ht="18" customHeight="1">
      <c r="G1493" s="37" t="s">
        <v>1899</v>
      </c>
    </row>
    <row r="1495" spans="7:7">
      <c r="G1495" t="s">
        <v>1900</v>
      </c>
    </row>
    <row r="1496" spans="7:7">
      <c r="G1496" s="35"/>
    </row>
    <row r="1497" spans="7:7">
      <c r="G1497" s="35" t="s">
        <v>1901</v>
      </c>
    </row>
    <row r="1498" spans="7:7">
      <c r="G1498" s="35" t="s">
        <v>1902</v>
      </c>
    </row>
    <row r="1499" spans="7:7">
      <c r="G1499" s="35" t="s">
        <v>1903</v>
      </c>
    </row>
    <row r="1500" spans="7:7">
      <c r="G1500" s="35" t="s">
        <v>1904</v>
      </c>
    </row>
    <row r="1502" spans="7:7" ht="18" customHeight="1">
      <c r="G1502" s="37" t="s">
        <v>1741</v>
      </c>
    </row>
    <row r="1504" spans="7:7">
      <c r="G1504" t="s">
        <v>1905</v>
      </c>
    </row>
    <row r="1506" spans="2:7">
      <c r="G1506" s="36" t="s">
        <v>1906</v>
      </c>
    </row>
    <row r="1507" spans="2:7">
      <c r="G1507" s="36" t="s">
        <v>1907</v>
      </c>
    </row>
    <row r="1508" spans="2:7">
      <c r="G1508" s="36" t="s">
        <v>1908</v>
      </c>
    </row>
    <row r="1509" spans="2:7">
      <c r="G1509" s="36" t="s">
        <v>1909</v>
      </c>
    </row>
    <row r="1510" spans="2:7">
      <c r="G1510" s="36" t="s">
        <v>1910</v>
      </c>
    </row>
    <row r="1513" spans="2:7" ht="25.5" customHeight="1">
      <c r="B1513" s="20">
        <f>B1455+1</f>
        <v>76</v>
      </c>
      <c r="C1513" s="25" t="s">
        <v>1792</v>
      </c>
      <c r="D1513" s="25" t="s">
        <v>1793</v>
      </c>
      <c r="E1513" s="25" t="s">
        <v>1911</v>
      </c>
      <c r="G1513" t="s">
        <v>1912</v>
      </c>
    </row>
    <row r="1514" spans="2:7">
      <c r="B1514" s="20"/>
      <c r="C1514" s="25"/>
      <c r="D1514" s="25"/>
      <c r="E1514" s="25"/>
    </row>
    <row r="1515" spans="2:7" ht="23.25" customHeight="1">
      <c r="B1515" s="20"/>
      <c r="C1515" s="25"/>
      <c r="D1515" s="25"/>
      <c r="E1515" s="25"/>
      <c r="G1515" s="40" t="s">
        <v>1405</v>
      </c>
    </row>
    <row r="1516" spans="2:7">
      <c r="B1516" s="20"/>
      <c r="C1516" s="25"/>
      <c r="D1516" s="25"/>
      <c r="E1516" s="25"/>
    </row>
    <row r="1517" spans="2:7">
      <c r="B1517" s="20"/>
      <c r="C1517" s="25"/>
      <c r="D1517" s="25"/>
      <c r="E1517" s="25"/>
      <c r="G1517" t="s">
        <v>1913</v>
      </c>
    </row>
    <row r="1518" spans="2:7">
      <c r="B1518" s="20"/>
      <c r="C1518" s="25"/>
      <c r="D1518" s="25"/>
      <c r="E1518" s="25"/>
    </row>
    <row r="1519" spans="2:7" ht="23.25" customHeight="1">
      <c r="B1519" s="20"/>
      <c r="C1519" s="25"/>
      <c r="D1519" s="25"/>
      <c r="E1519" s="25"/>
      <c r="G1519" s="40" t="s">
        <v>1442</v>
      </c>
    </row>
    <row r="1521" spans="7:9">
      <c r="G1521" s="33" t="s">
        <v>137</v>
      </c>
      <c r="H1521" s="33" t="s">
        <v>1132</v>
      </c>
      <c r="I1521" s="33" t="s">
        <v>1133</v>
      </c>
    </row>
    <row r="1522" spans="7:9">
      <c r="G1522" s="47">
        <v>2000</v>
      </c>
      <c r="H1522" s="34">
        <v>140</v>
      </c>
      <c r="I1522" s="47" t="s">
        <v>1914</v>
      </c>
    </row>
    <row r="1523" spans="7:9">
      <c r="G1523" s="47">
        <v>2005</v>
      </c>
      <c r="H1523" s="34">
        <v>165</v>
      </c>
      <c r="I1523" s="47" t="s">
        <v>1915</v>
      </c>
    </row>
    <row r="1524" spans="7:9">
      <c r="G1524" s="47">
        <v>2010</v>
      </c>
      <c r="H1524" s="34">
        <v>195</v>
      </c>
      <c r="I1524" s="47" t="s">
        <v>1916</v>
      </c>
    </row>
    <row r="1525" spans="7:9">
      <c r="G1525" s="47">
        <v>2015</v>
      </c>
      <c r="H1525" s="34">
        <v>225</v>
      </c>
      <c r="I1525" s="47" t="s">
        <v>1917</v>
      </c>
    </row>
    <row r="1526" spans="7:9">
      <c r="G1526" s="47">
        <v>2020</v>
      </c>
      <c r="H1526" s="34">
        <v>240</v>
      </c>
      <c r="I1526" s="47" t="s">
        <v>1918</v>
      </c>
    </row>
    <row r="1527" spans="7:9">
      <c r="G1527" s="47">
        <v>2025</v>
      </c>
      <c r="H1527" s="34">
        <v>270</v>
      </c>
      <c r="I1527" s="47" t="s">
        <v>1919</v>
      </c>
    </row>
    <row r="1528" spans="7:9">
      <c r="G1528" s="47" t="s">
        <v>1138</v>
      </c>
      <c r="H1528" s="34">
        <v>290</v>
      </c>
      <c r="I1528" s="47" t="s">
        <v>1920</v>
      </c>
    </row>
    <row r="1530" spans="7:9" ht="23.25" customHeight="1">
      <c r="G1530" s="40" t="s">
        <v>1921</v>
      </c>
    </row>
    <row r="1532" spans="7:9">
      <c r="G1532" t="s">
        <v>1922</v>
      </c>
    </row>
    <row r="1534" spans="7:9">
      <c r="G1534" t="s">
        <v>1923</v>
      </c>
    </row>
    <row r="1536" spans="7:9">
      <c r="G1536" t="s">
        <v>1924</v>
      </c>
    </row>
    <row r="1538" spans="7:7" ht="23.25" customHeight="1">
      <c r="G1538" s="40" t="s">
        <v>1387</v>
      </c>
    </row>
    <row r="1540" spans="7:7">
      <c r="G1540" t="s">
        <v>1925</v>
      </c>
    </row>
    <row r="1541" spans="7:7">
      <c r="G1541" s="35"/>
    </row>
    <row r="1542" spans="7:7">
      <c r="G1542" s="36" t="s">
        <v>1926</v>
      </c>
    </row>
    <row r="1543" spans="7:7">
      <c r="G1543" s="36" t="s">
        <v>1927</v>
      </c>
    </row>
    <row r="1544" spans="7:7">
      <c r="G1544" s="36" t="s">
        <v>1928</v>
      </c>
    </row>
    <row r="1546" spans="7:7" ht="23.25" customHeight="1">
      <c r="G1546" s="40" t="s">
        <v>1815</v>
      </c>
    </row>
    <row r="1548" spans="7:7">
      <c r="G1548" t="s">
        <v>1929</v>
      </c>
    </row>
    <row r="1549" spans="7:7">
      <c r="G1549" s="35"/>
    </row>
    <row r="1550" spans="7:7">
      <c r="G1550" s="36" t="s">
        <v>1930</v>
      </c>
    </row>
    <row r="1551" spans="7:7">
      <c r="G1551" s="36" t="s">
        <v>1931</v>
      </c>
    </row>
    <row r="1552" spans="7:7">
      <c r="G1552" s="36" t="s">
        <v>1932</v>
      </c>
    </row>
    <row r="1554" spans="7:7" ht="23.25" customHeight="1">
      <c r="G1554" s="40" t="s">
        <v>1933</v>
      </c>
    </row>
    <row r="1556" spans="7:7">
      <c r="G1556" t="s">
        <v>1934</v>
      </c>
    </row>
    <row r="1557" spans="7:7">
      <c r="G1557" s="35"/>
    </row>
    <row r="1558" spans="7:7">
      <c r="G1558" s="35" t="s">
        <v>1935</v>
      </c>
    </row>
    <row r="1559" spans="7:7">
      <c r="G1559" s="35" t="s">
        <v>1936</v>
      </c>
    </row>
    <row r="1560" spans="7:7">
      <c r="G1560" s="35" t="s">
        <v>1937</v>
      </c>
    </row>
    <row r="1561" spans="7:7">
      <c r="G1561" s="35" t="s">
        <v>1938</v>
      </c>
    </row>
    <row r="1563" spans="7:7">
      <c r="G1563" t="s">
        <v>1939</v>
      </c>
    </row>
    <row r="1564" spans="7:7">
      <c r="G1564" s="35"/>
    </row>
    <row r="1565" spans="7:7">
      <c r="G1565" s="35" t="s">
        <v>1940</v>
      </c>
    </row>
    <row r="1566" spans="7:7">
      <c r="G1566" s="35" t="s">
        <v>1941</v>
      </c>
    </row>
    <row r="1567" spans="7:7">
      <c r="G1567" s="35" t="s">
        <v>1942</v>
      </c>
    </row>
    <row r="1568" spans="7:7">
      <c r="G1568" s="35" t="s">
        <v>1943</v>
      </c>
    </row>
    <row r="1570" spans="2:7" ht="23.25" customHeight="1">
      <c r="B1570" s="20"/>
      <c r="C1570" s="25"/>
      <c r="D1570" s="25"/>
      <c r="E1570" s="25"/>
      <c r="G1570" s="40" t="s">
        <v>1269</v>
      </c>
    </row>
    <row r="1571" spans="2:7">
      <c r="B1571" s="20"/>
      <c r="C1571" s="25"/>
      <c r="D1571" s="25"/>
      <c r="E1571" s="25"/>
    </row>
    <row r="1572" spans="2:7">
      <c r="B1572" s="20"/>
      <c r="C1572" s="25"/>
      <c r="D1572" s="25"/>
      <c r="E1572" s="25"/>
      <c r="G1572" t="s">
        <v>1944</v>
      </c>
    </row>
    <row r="1573" spans="2:7">
      <c r="B1573" s="20"/>
      <c r="C1573" s="25"/>
      <c r="D1573" s="25"/>
      <c r="E1573" s="25"/>
      <c r="G1573" s="35"/>
    </row>
    <row r="1574" spans="2:7">
      <c r="B1574" s="20"/>
      <c r="C1574" s="25"/>
      <c r="D1574" s="25"/>
      <c r="E1574" s="25"/>
      <c r="G1574" s="35" t="s">
        <v>1945</v>
      </c>
    </row>
    <row r="1575" spans="2:7">
      <c r="B1575" s="20"/>
      <c r="C1575" s="25"/>
      <c r="D1575" s="25"/>
      <c r="E1575" s="25"/>
      <c r="G1575" s="35" t="s">
        <v>1946</v>
      </c>
    </row>
    <row r="1576" spans="2:7">
      <c r="B1576" s="20"/>
      <c r="C1576" s="25"/>
      <c r="D1576" s="25"/>
      <c r="E1576" s="25"/>
      <c r="G1576" s="35" t="s">
        <v>1947</v>
      </c>
    </row>
    <row r="1577" spans="2:7">
      <c r="B1577" s="20"/>
      <c r="C1577" s="25"/>
      <c r="D1577" s="25"/>
      <c r="E1577" s="25"/>
      <c r="G1577" s="35" t="s">
        <v>1948</v>
      </c>
    </row>
    <row r="1578" spans="2:7">
      <c r="B1578" s="20"/>
      <c r="C1578" s="25"/>
      <c r="D1578" s="25"/>
      <c r="E1578" s="25"/>
    </row>
    <row r="1579" spans="2:7">
      <c r="B1579" s="20"/>
      <c r="C1579" s="25"/>
      <c r="D1579" s="25"/>
      <c r="E1579" s="25"/>
    </row>
    <row r="1580" spans="2:7" ht="51" customHeight="1">
      <c r="B1580" s="19">
        <f>B1513+1</f>
        <v>77</v>
      </c>
      <c r="C1580" s="24" t="s">
        <v>1949</v>
      </c>
      <c r="D1580" s="24" t="s">
        <v>1950</v>
      </c>
      <c r="E1580" s="24" t="s">
        <v>1951</v>
      </c>
      <c r="G1580" t="s">
        <v>1952</v>
      </c>
    </row>
    <row r="1581" spans="2:7" ht="51" customHeight="1">
      <c r="B1581" s="20">
        <f>B1580+1</f>
        <v>78</v>
      </c>
      <c r="C1581" s="25" t="s">
        <v>1949</v>
      </c>
      <c r="D1581" s="25" t="s">
        <v>1950</v>
      </c>
      <c r="E1581" s="25" t="s">
        <v>1953</v>
      </c>
    </row>
    <row r="1582" spans="2:7" ht="63.75" customHeight="1">
      <c r="B1582" s="19">
        <f>B1581+1</f>
        <v>79</v>
      </c>
      <c r="C1582" s="24" t="s">
        <v>1949</v>
      </c>
      <c r="D1582" s="24" t="s">
        <v>1950</v>
      </c>
      <c r="E1582" s="24" t="s">
        <v>1954</v>
      </c>
      <c r="G1582" t="s">
        <v>1955</v>
      </c>
    </row>
    <row r="1584" spans="2:7">
      <c r="G1584" t="s">
        <v>1956</v>
      </c>
    </row>
    <row r="1586" spans="7:9">
      <c r="G1586" s="35" t="s">
        <v>1957</v>
      </c>
    </row>
    <row r="1587" spans="7:9">
      <c r="G1587" s="35" t="s">
        <v>1958</v>
      </c>
    </row>
    <row r="1589" spans="7:9">
      <c r="G1589" t="s">
        <v>1959</v>
      </c>
    </row>
    <row r="1591" spans="7:9" ht="23.25" customHeight="1">
      <c r="G1591" s="40" t="s">
        <v>1960</v>
      </c>
    </row>
    <row r="1593" spans="7:9" ht="18" customHeight="1">
      <c r="G1593" s="37" t="s">
        <v>1961</v>
      </c>
    </row>
    <row r="1595" spans="7:9">
      <c r="G1595" t="s">
        <v>1962</v>
      </c>
    </row>
    <row r="1597" spans="7:9">
      <c r="G1597" s="33" t="s">
        <v>137</v>
      </c>
      <c r="H1597" s="33" t="s">
        <v>1963</v>
      </c>
      <c r="I1597" s="33" t="s">
        <v>1094</v>
      </c>
    </row>
    <row r="1598" spans="7:9">
      <c r="G1598" s="47">
        <v>2000</v>
      </c>
      <c r="H1598" s="34">
        <v>650</v>
      </c>
      <c r="I1598" s="47" t="s">
        <v>1104</v>
      </c>
    </row>
    <row r="1599" spans="7:9">
      <c r="G1599" s="47">
        <v>2005</v>
      </c>
      <c r="H1599" s="34">
        <v>640</v>
      </c>
      <c r="I1599" s="47" t="s">
        <v>1104</v>
      </c>
    </row>
    <row r="1600" spans="7:9">
      <c r="G1600" s="47">
        <v>2010</v>
      </c>
      <c r="H1600" s="34">
        <v>635</v>
      </c>
      <c r="I1600" s="47" t="s">
        <v>1104</v>
      </c>
    </row>
    <row r="1601" spans="7:9">
      <c r="G1601" s="47">
        <v>2015</v>
      </c>
      <c r="H1601" s="34">
        <v>630</v>
      </c>
      <c r="I1601" s="47" t="s">
        <v>1104</v>
      </c>
    </row>
    <row r="1602" spans="7:9">
      <c r="G1602" s="47">
        <v>2020</v>
      </c>
      <c r="H1602" s="34">
        <v>625</v>
      </c>
      <c r="I1602" s="47" t="s">
        <v>1104</v>
      </c>
    </row>
    <row r="1603" spans="7:9">
      <c r="G1603" s="47">
        <v>2025</v>
      </c>
      <c r="H1603" s="34">
        <v>620</v>
      </c>
      <c r="I1603" s="47" t="s">
        <v>1304</v>
      </c>
    </row>
    <row r="1604" spans="7:9">
      <c r="G1604" s="47">
        <v>2030</v>
      </c>
      <c r="H1604" s="34" t="s">
        <v>1964</v>
      </c>
      <c r="I1604" s="47" t="s">
        <v>1306</v>
      </c>
    </row>
    <row r="1606" spans="7:9">
      <c r="G1606" t="s">
        <v>1965</v>
      </c>
    </row>
    <row r="1608" spans="7:9" ht="18" customHeight="1">
      <c r="G1608" s="37" t="s">
        <v>1966</v>
      </c>
    </row>
    <row r="1610" spans="7:9">
      <c r="G1610" t="s">
        <v>1967</v>
      </c>
    </row>
    <row r="1612" spans="7:9">
      <c r="G1612" s="33" t="s">
        <v>137</v>
      </c>
      <c r="H1612" s="33" t="s">
        <v>1963</v>
      </c>
      <c r="I1612" s="33" t="s">
        <v>1094</v>
      </c>
    </row>
    <row r="1613" spans="7:9">
      <c r="G1613" s="47">
        <v>2000</v>
      </c>
      <c r="H1613" s="34">
        <v>180</v>
      </c>
      <c r="I1613" s="47" t="s">
        <v>1104</v>
      </c>
    </row>
    <row r="1614" spans="7:9">
      <c r="G1614" s="47">
        <v>2005</v>
      </c>
      <c r="H1614" s="34">
        <v>140</v>
      </c>
      <c r="I1614" s="47" t="s">
        <v>1104</v>
      </c>
    </row>
    <row r="1615" spans="7:9">
      <c r="G1615" s="47">
        <v>2010</v>
      </c>
      <c r="H1615" s="34">
        <v>100</v>
      </c>
      <c r="I1615" s="47" t="s">
        <v>1104</v>
      </c>
    </row>
    <row r="1616" spans="7:9">
      <c r="G1616" s="47">
        <v>2015</v>
      </c>
      <c r="H1616" s="34">
        <v>75</v>
      </c>
      <c r="I1616" s="47" t="s">
        <v>1104</v>
      </c>
    </row>
    <row r="1617" spans="7:9">
      <c r="G1617" s="47">
        <v>2020</v>
      </c>
      <c r="H1617" s="34">
        <v>60</v>
      </c>
      <c r="I1617" s="47" t="s">
        <v>1104</v>
      </c>
    </row>
    <row r="1618" spans="7:9">
      <c r="G1618" s="47">
        <v>2025</v>
      </c>
      <c r="H1618" s="34">
        <v>55</v>
      </c>
      <c r="I1618" s="47" t="s">
        <v>1304</v>
      </c>
    </row>
    <row r="1619" spans="7:9">
      <c r="G1619" s="47">
        <v>2030</v>
      </c>
      <c r="H1619" s="34" t="s">
        <v>1968</v>
      </c>
      <c r="I1619" s="47" t="s">
        <v>1306</v>
      </c>
    </row>
    <row r="1621" spans="7:9">
      <c r="G1621" t="s">
        <v>1969</v>
      </c>
    </row>
    <row r="1623" spans="7:9" ht="18" customHeight="1">
      <c r="G1623" s="37" t="s">
        <v>1970</v>
      </c>
    </row>
    <row r="1625" spans="7:9">
      <c r="G1625" t="s">
        <v>1971</v>
      </c>
    </row>
    <row r="1627" spans="7:9">
      <c r="G1627" s="33" t="s">
        <v>137</v>
      </c>
      <c r="H1627" s="33" t="s">
        <v>1963</v>
      </c>
      <c r="I1627" s="33" t="s">
        <v>1094</v>
      </c>
    </row>
    <row r="1628" spans="7:9">
      <c r="G1628" s="47">
        <v>2000</v>
      </c>
      <c r="H1628" s="34">
        <v>130</v>
      </c>
      <c r="I1628" s="47" t="s">
        <v>1104</v>
      </c>
    </row>
    <row r="1629" spans="7:9">
      <c r="G1629" s="47">
        <v>2005</v>
      </c>
      <c r="H1629" s="34">
        <v>120</v>
      </c>
      <c r="I1629" s="47" t="s">
        <v>1104</v>
      </c>
    </row>
    <row r="1630" spans="7:9">
      <c r="G1630" s="47">
        <v>2010</v>
      </c>
      <c r="H1630" s="34">
        <v>110</v>
      </c>
      <c r="I1630" s="47" t="s">
        <v>1104</v>
      </c>
    </row>
    <row r="1631" spans="7:9">
      <c r="G1631" s="47">
        <v>2015</v>
      </c>
      <c r="H1631" s="34">
        <v>100</v>
      </c>
      <c r="I1631" s="47" t="s">
        <v>1104</v>
      </c>
    </row>
    <row r="1632" spans="7:9">
      <c r="G1632" s="47">
        <v>2020</v>
      </c>
      <c r="H1632" s="34">
        <v>95</v>
      </c>
      <c r="I1632" s="47" t="s">
        <v>1104</v>
      </c>
    </row>
    <row r="1633" spans="7:14">
      <c r="G1633" s="47">
        <v>2025</v>
      </c>
      <c r="H1633" s="34">
        <v>90</v>
      </c>
      <c r="I1633" s="47" t="s">
        <v>1304</v>
      </c>
    </row>
    <row r="1634" spans="7:14">
      <c r="G1634" s="47">
        <v>2030</v>
      </c>
      <c r="H1634" s="34" t="s">
        <v>1972</v>
      </c>
      <c r="I1634" s="47" t="s">
        <v>1306</v>
      </c>
    </row>
    <row r="1636" spans="7:14">
      <c r="G1636" t="s">
        <v>1973</v>
      </c>
    </row>
    <row r="1638" spans="7:14" ht="23.25" customHeight="1">
      <c r="G1638" s="40" t="s">
        <v>1974</v>
      </c>
    </row>
    <row r="1640" spans="7:14">
      <c r="G1640" s="33" t="s">
        <v>1975</v>
      </c>
      <c r="H1640" s="33">
        <v>2000</v>
      </c>
      <c r="I1640" s="33">
        <v>2005</v>
      </c>
      <c r="J1640" s="33">
        <v>2010</v>
      </c>
      <c r="K1640" s="33">
        <v>2015</v>
      </c>
      <c r="L1640" s="33">
        <v>2020</v>
      </c>
      <c r="M1640" s="33">
        <v>2025</v>
      </c>
      <c r="N1640" s="33">
        <v>2030</v>
      </c>
    </row>
    <row r="1641" spans="7:14" ht="45" customHeight="1">
      <c r="G1641" s="47" t="s">
        <v>1976</v>
      </c>
      <c r="H1641" s="47">
        <v>650</v>
      </c>
      <c r="I1641" s="47">
        <v>640</v>
      </c>
      <c r="J1641" s="47">
        <v>635</v>
      </c>
      <c r="K1641" s="47">
        <v>630</v>
      </c>
      <c r="L1641" s="47">
        <v>625</v>
      </c>
      <c r="M1641" s="47">
        <v>620</v>
      </c>
      <c r="N1641" s="47" t="s">
        <v>1977</v>
      </c>
    </row>
    <row r="1642" spans="7:14" ht="60" customHeight="1">
      <c r="G1642" s="47" t="s">
        <v>1978</v>
      </c>
      <c r="H1642" s="47">
        <v>180</v>
      </c>
      <c r="I1642" s="47">
        <v>140</v>
      </c>
      <c r="J1642" s="47">
        <v>100</v>
      </c>
      <c r="K1642" s="47">
        <v>75</v>
      </c>
      <c r="L1642" s="47">
        <v>60</v>
      </c>
      <c r="M1642" s="47">
        <v>55</v>
      </c>
      <c r="N1642" s="47" t="s">
        <v>1979</v>
      </c>
    </row>
    <row r="1643" spans="7:14" ht="90" customHeight="1">
      <c r="G1643" s="47" t="s">
        <v>1980</v>
      </c>
      <c r="H1643" s="47">
        <v>130</v>
      </c>
      <c r="I1643" s="47">
        <v>120</v>
      </c>
      <c r="J1643" s="47">
        <v>110</v>
      </c>
      <c r="K1643" s="47">
        <v>100</v>
      </c>
      <c r="L1643" s="47">
        <v>95</v>
      </c>
      <c r="M1643" s="47">
        <v>90</v>
      </c>
      <c r="N1643" s="47" t="s">
        <v>1981</v>
      </c>
    </row>
    <row r="1645" spans="7:14" ht="18" customHeight="1">
      <c r="G1645" s="37" t="s">
        <v>1982</v>
      </c>
    </row>
    <row r="1647" spans="7:14">
      <c r="G1647" t="s">
        <v>1983</v>
      </c>
    </row>
    <row r="1649" spans="2:7">
      <c r="G1649" s="58" t="s">
        <v>1984</v>
      </c>
    </row>
    <row r="1651" spans="2:7">
      <c r="B1651" s="20"/>
      <c r="C1651" s="25"/>
      <c r="D1651" s="25"/>
      <c r="E1651" s="25"/>
    </row>
    <row r="1652" spans="2:7" ht="38.25" customHeight="1">
      <c r="B1652" s="19">
        <v>81</v>
      </c>
      <c r="C1652" s="24" t="s">
        <v>1949</v>
      </c>
      <c r="D1652" s="24" t="s">
        <v>1985</v>
      </c>
      <c r="E1652" s="24" t="s">
        <v>1986</v>
      </c>
      <c r="G1652" t="s">
        <v>1987</v>
      </c>
    </row>
    <row r="1653" spans="2:7" ht="51" customHeight="1">
      <c r="B1653" s="20">
        <v>82</v>
      </c>
      <c r="C1653" s="25" t="s">
        <v>1949</v>
      </c>
      <c r="D1653" s="25" t="s">
        <v>1985</v>
      </c>
      <c r="E1653" s="25" t="s">
        <v>1988</v>
      </c>
    </row>
    <row r="1654" spans="2:7" ht="51" customHeight="1">
      <c r="B1654" s="19">
        <v>83</v>
      </c>
      <c r="C1654" s="24" t="s">
        <v>1949</v>
      </c>
      <c r="D1654" s="24" t="s">
        <v>1985</v>
      </c>
      <c r="E1654" s="24" t="s">
        <v>1989</v>
      </c>
      <c r="G1654" t="s">
        <v>1990</v>
      </c>
    </row>
    <row r="1655" spans="2:7" ht="51" customHeight="1">
      <c r="B1655" s="20">
        <v>84</v>
      </c>
      <c r="C1655" s="25" t="s">
        <v>1949</v>
      </c>
      <c r="D1655" s="25" t="s">
        <v>1985</v>
      </c>
      <c r="E1655" s="25" t="s">
        <v>1991</v>
      </c>
      <c r="G1655" s="35"/>
    </row>
    <row r="1656" spans="2:7">
      <c r="B1656" s="20"/>
      <c r="C1656" s="25"/>
      <c r="D1656" s="25"/>
      <c r="E1656" s="25"/>
      <c r="G1656" s="36" t="s">
        <v>1992</v>
      </c>
    </row>
    <row r="1657" spans="2:7">
      <c r="B1657" s="20"/>
      <c r="C1657" s="25"/>
      <c r="D1657" s="25"/>
      <c r="E1657" s="25"/>
      <c r="G1657" s="35" t="s">
        <v>1993</v>
      </c>
    </row>
    <row r="1658" spans="2:7">
      <c r="B1658" s="20"/>
      <c r="C1658" s="25"/>
      <c r="D1658" s="25"/>
      <c r="E1658" s="25"/>
    </row>
    <row r="1659" spans="2:7">
      <c r="B1659" s="20"/>
      <c r="C1659" s="25"/>
      <c r="D1659" s="25"/>
      <c r="E1659" s="25"/>
      <c r="G1659" t="s">
        <v>1994</v>
      </c>
    </row>
    <row r="1660" spans="2:7">
      <c r="B1660" s="20"/>
      <c r="C1660" s="25"/>
      <c r="D1660" s="25"/>
      <c r="E1660" s="25"/>
      <c r="G1660" s="35"/>
    </row>
    <row r="1661" spans="2:7">
      <c r="B1661" s="20"/>
      <c r="C1661" s="25"/>
      <c r="D1661" s="25"/>
      <c r="E1661" s="25"/>
      <c r="G1661" s="35" t="s">
        <v>1995</v>
      </c>
    </row>
    <row r="1662" spans="2:7">
      <c r="B1662" s="20"/>
      <c r="C1662" s="25"/>
      <c r="D1662" s="25"/>
      <c r="E1662" s="25"/>
      <c r="G1662" s="35" t="s">
        <v>1996</v>
      </c>
    </row>
    <row r="1663" spans="2:7">
      <c r="B1663" s="20"/>
      <c r="C1663" s="25"/>
      <c r="D1663" s="25"/>
      <c r="E1663" s="25"/>
    </row>
    <row r="1664" spans="2:7" ht="18" customHeight="1">
      <c r="B1664" s="20"/>
      <c r="C1664" s="25"/>
      <c r="D1664" s="25"/>
      <c r="E1664" s="25"/>
      <c r="G1664" s="37" t="s">
        <v>1997</v>
      </c>
    </row>
    <row r="1666" spans="7:8">
      <c r="G1666" t="s">
        <v>1998</v>
      </c>
    </row>
    <row r="1668" spans="7:8">
      <c r="G1668" s="33" t="s">
        <v>137</v>
      </c>
      <c r="H1668" s="33" t="s">
        <v>1999</v>
      </c>
    </row>
    <row r="1669" spans="7:8">
      <c r="G1669" s="47">
        <v>2000</v>
      </c>
      <c r="H1669" s="34">
        <v>95</v>
      </c>
    </row>
    <row r="1670" spans="7:8">
      <c r="G1670" s="47">
        <v>2005</v>
      </c>
      <c r="H1670" s="34">
        <v>100</v>
      </c>
    </row>
    <row r="1671" spans="7:8">
      <c r="G1671" s="47">
        <v>2010</v>
      </c>
      <c r="H1671" s="34">
        <v>95</v>
      </c>
    </row>
    <row r="1672" spans="7:8">
      <c r="G1672" s="47">
        <v>2015</v>
      </c>
      <c r="H1672" s="34">
        <v>90</v>
      </c>
    </row>
    <row r="1673" spans="7:8">
      <c r="G1673" s="47">
        <v>2020</v>
      </c>
      <c r="H1673" s="34">
        <v>95</v>
      </c>
    </row>
    <row r="1674" spans="7:8">
      <c r="G1674" s="47">
        <v>2025</v>
      </c>
      <c r="H1674" s="34">
        <v>100</v>
      </c>
    </row>
    <row r="1675" spans="7:8">
      <c r="G1675" s="47">
        <v>2030</v>
      </c>
      <c r="H1675" s="34">
        <v>102</v>
      </c>
    </row>
    <row r="1677" spans="7:8" ht="18" customHeight="1">
      <c r="G1677" s="37" t="s">
        <v>2000</v>
      </c>
    </row>
    <row r="1678" spans="7:8">
      <c r="G1678" s="35"/>
    </row>
    <row r="1679" spans="7:8">
      <c r="G1679" s="36" t="s">
        <v>2001</v>
      </c>
    </row>
    <row r="1680" spans="7:8">
      <c r="G1680" s="36" t="s">
        <v>2002</v>
      </c>
    </row>
    <row r="1681" spans="2:14">
      <c r="B1681" s="20"/>
      <c r="C1681" s="25"/>
      <c r="D1681" s="25"/>
      <c r="E1681" s="25"/>
      <c r="G1681" s="36" t="s">
        <v>2003</v>
      </c>
    </row>
    <row r="1682" spans="2:14">
      <c r="B1682" s="20"/>
      <c r="C1682" s="25"/>
      <c r="D1682" s="25"/>
      <c r="E1682" s="25"/>
      <c r="G1682" s="36" t="s">
        <v>2004</v>
      </c>
    </row>
    <row r="1683" spans="2:14">
      <c r="B1683" s="20"/>
      <c r="C1683" s="25"/>
      <c r="D1683" s="25"/>
      <c r="E1683" s="25"/>
    </row>
    <row r="1684" spans="2:14">
      <c r="B1684" s="20"/>
      <c r="C1684" s="25"/>
      <c r="D1684" s="25"/>
      <c r="E1684" s="25"/>
    </row>
    <row r="1685" spans="2:14">
      <c r="B1685" s="19">
        <f>B1655+1</f>
        <v>85</v>
      </c>
      <c r="C1685" s="24" t="s">
        <v>1949</v>
      </c>
      <c r="D1685" s="24" t="s">
        <v>88</v>
      </c>
      <c r="E1685" s="31" t="s">
        <v>2005</v>
      </c>
      <c r="G1685" t="s">
        <v>2006</v>
      </c>
    </row>
    <row r="1686" spans="2:14">
      <c r="B1686" s="19">
        <f t="shared" ref="B1686:B1692" si="0">B1685+1</f>
        <v>86</v>
      </c>
      <c r="C1686" s="24" t="s">
        <v>1949</v>
      </c>
      <c r="D1686" s="24" t="s">
        <v>88</v>
      </c>
      <c r="E1686" s="31" t="s">
        <v>2007</v>
      </c>
      <c r="G1686" t="s">
        <v>2008</v>
      </c>
    </row>
    <row r="1687" spans="2:14">
      <c r="B1687" s="19">
        <f t="shared" si="0"/>
        <v>87</v>
      </c>
      <c r="C1687" s="24" t="s">
        <v>1949</v>
      </c>
      <c r="D1687" s="24" t="s">
        <v>88</v>
      </c>
      <c r="E1687" s="31" t="s">
        <v>2009</v>
      </c>
    </row>
    <row r="1688" spans="2:14" ht="23.25" customHeight="1">
      <c r="B1688" s="19">
        <f t="shared" si="0"/>
        <v>88</v>
      </c>
      <c r="C1688" s="24" t="s">
        <v>1949</v>
      </c>
      <c r="D1688" s="24" t="s">
        <v>88</v>
      </c>
      <c r="E1688" s="31" t="s">
        <v>2010</v>
      </c>
      <c r="G1688" s="40" t="s">
        <v>2011</v>
      </c>
    </row>
    <row r="1689" spans="2:14">
      <c r="B1689" s="19">
        <f t="shared" si="0"/>
        <v>89</v>
      </c>
      <c r="C1689" s="24" t="s">
        <v>1949</v>
      </c>
      <c r="D1689" s="24" t="s">
        <v>88</v>
      </c>
      <c r="E1689" s="31" t="s">
        <v>2012</v>
      </c>
    </row>
    <row r="1690" spans="2:14" ht="25.5" customHeight="1">
      <c r="B1690" s="19">
        <f t="shared" si="0"/>
        <v>90</v>
      </c>
      <c r="C1690" s="24" t="s">
        <v>1949</v>
      </c>
      <c r="D1690" s="24" t="s">
        <v>88</v>
      </c>
      <c r="E1690" s="31" t="s">
        <v>2013</v>
      </c>
      <c r="G1690" s="33" t="s">
        <v>1975</v>
      </c>
      <c r="H1690" s="33">
        <v>2000</v>
      </c>
      <c r="I1690" s="33">
        <v>2005</v>
      </c>
      <c r="J1690" s="33">
        <v>2010</v>
      </c>
      <c r="K1690" s="33">
        <v>2015</v>
      </c>
      <c r="L1690" s="33">
        <v>2020</v>
      </c>
      <c r="M1690" s="33">
        <v>2025</v>
      </c>
      <c r="N1690" s="33">
        <v>2030</v>
      </c>
    </row>
    <row r="1691" spans="2:14">
      <c r="B1691" s="19">
        <f t="shared" si="0"/>
        <v>91</v>
      </c>
      <c r="C1691" s="24" t="s">
        <v>1949</v>
      </c>
      <c r="D1691" s="24" t="s">
        <v>88</v>
      </c>
      <c r="E1691" s="31" t="s">
        <v>2014</v>
      </c>
      <c r="G1691" s="47" t="s">
        <v>2005</v>
      </c>
      <c r="H1691" s="47">
        <v>118</v>
      </c>
      <c r="I1691" s="47">
        <v>115</v>
      </c>
      <c r="J1691" s="47">
        <v>106</v>
      </c>
      <c r="K1691" s="47">
        <v>91</v>
      </c>
      <c r="L1691" s="47">
        <v>81</v>
      </c>
      <c r="M1691" s="47">
        <v>79</v>
      </c>
      <c r="N1691" s="47">
        <v>75</v>
      </c>
    </row>
    <row r="1692" spans="2:14" ht="30" customHeight="1">
      <c r="B1692" s="19">
        <f t="shared" si="0"/>
        <v>92</v>
      </c>
      <c r="C1692" s="24" t="s">
        <v>1949</v>
      </c>
      <c r="D1692" s="24" t="s">
        <v>88</v>
      </c>
      <c r="E1692" s="31" t="s">
        <v>2015</v>
      </c>
      <c r="G1692" s="47" t="s">
        <v>2007</v>
      </c>
      <c r="H1692" s="47">
        <v>23</v>
      </c>
      <c r="I1692" s="47">
        <v>24</v>
      </c>
      <c r="J1692" s="47">
        <v>24</v>
      </c>
      <c r="K1692" s="47">
        <v>25</v>
      </c>
      <c r="L1692" s="47">
        <v>25</v>
      </c>
      <c r="M1692" s="47">
        <v>25</v>
      </c>
      <c r="N1692" s="47">
        <v>24</v>
      </c>
    </row>
    <row r="1693" spans="2:14" ht="30" customHeight="1">
      <c r="G1693" s="47" t="s">
        <v>2009</v>
      </c>
      <c r="H1693" s="47">
        <v>6</v>
      </c>
      <c r="I1693" s="47">
        <v>5</v>
      </c>
      <c r="J1693" s="47">
        <v>6</v>
      </c>
      <c r="K1693" s="47">
        <v>6</v>
      </c>
      <c r="L1693" s="47">
        <v>6</v>
      </c>
      <c r="M1693" s="47">
        <v>6</v>
      </c>
      <c r="N1693" s="47">
        <v>6</v>
      </c>
    </row>
    <row r="1694" spans="2:14" ht="30" customHeight="1">
      <c r="G1694" s="47" t="s">
        <v>2010</v>
      </c>
      <c r="H1694" s="47">
        <v>24</v>
      </c>
      <c r="I1694" s="47">
        <v>31</v>
      </c>
      <c r="J1694" s="47">
        <v>37</v>
      </c>
      <c r="K1694" s="47">
        <v>46</v>
      </c>
      <c r="L1694" s="47">
        <v>59</v>
      </c>
      <c r="M1694" s="47">
        <v>61</v>
      </c>
      <c r="N1694" s="47">
        <v>66</v>
      </c>
    </row>
    <row r="1695" spans="2:14" ht="30" customHeight="1">
      <c r="G1695" s="47" t="s">
        <v>2012</v>
      </c>
      <c r="H1695" s="47">
        <v>14</v>
      </c>
      <c r="I1695" s="47">
        <v>13</v>
      </c>
      <c r="J1695" s="47">
        <v>12</v>
      </c>
      <c r="K1695" s="47">
        <v>11</v>
      </c>
      <c r="L1695" s="47">
        <v>9</v>
      </c>
      <c r="M1695" s="47">
        <v>8</v>
      </c>
      <c r="N1695" s="47">
        <v>6</v>
      </c>
    </row>
    <row r="1696" spans="2:14" ht="45" customHeight="1">
      <c r="G1696" s="47" t="s">
        <v>2013</v>
      </c>
      <c r="H1696" s="47">
        <v>0</v>
      </c>
      <c r="I1696" s="47">
        <v>0</v>
      </c>
      <c r="J1696" s="47" t="s">
        <v>2016</v>
      </c>
      <c r="K1696" s="47" t="s">
        <v>2017</v>
      </c>
      <c r="L1696" s="47" t="s">
        <v>2018</v>
      </c>
      <c r="M1696" s="47">
        <v>0</v>
      </c>
      <c r="N1696" s="47">
        <v>0</v>
      </c>
    </row>
    <row r="1698" spans="7:14">
      <c r="G1698" t="s">
        <v>2019</v>
      </c>
    </row>
    <row r="1699" spans="7:14">
      <c r="G1699" t="s">
        <v>2020</v>
      </c>
    </row>
    <row r="1701" spans="7:14">
      <c r="G1701" t="s">
        <v>2021</v>
      </c>
    </row>
    <row r="1703" spans="7:14" ht="23.25" customHeight="1">
      <c r="G1703" s="40" t="s">
        <v>2022</v>
      </c>
    </row>
    <row r="1705" spans="7:14">
      <c r="G1705" s="33" t="s">
        <v>1975</v>
      </c>
      <c r="H1705" s="33">
        <v>2000</v>
      </c>
      <c r="I1705" s="33">
        <v>2005</v>
      </c>
      <c r="J1705" s="33">
        <v>2010</v>
      </c>
      <c r="K1705" s="33">
        <v>2015</v>
      </c>
      <c r="L1705" s="33">
        <v>2020</v>
      </c>
      <c r="M1705" s="33">
        <v>2025</v>
      </c>
      <c r="N1705" s="33">
        <v>2030</v>
      </c>
    </row>
    <row r="1706" spans="7:14" ht="30" customHeight="1">
      <c r="G1706" s="47" t="s">
        <v>2014</v>
      </c>
      <c r="H1706" s="47">
        <v>0</v>
      </c>
      <c r="I1706" s="47">
        <v>20</v>
      </c>
      <c r="J1706" s="47">
        <v>42</v>
      </c>
      <c r="K1706" s="47">
        <v>50</v>
      </c>
      <c r="L1706" s="47">
        <v>51</v>
      </c>
      <c r="M1706" s="47">
        <v>55</v>
      </c>
      <c r="N1706" s="47">
        <v>73</v>
      </c>
    </row>
    <row r="1707" spans="7:14" ht="45" customHeight="1">
      <c r="G1707" s="47" t="s">
        <v>2023</v>
      </c>
      <c r="H1707" s="47">
        <v>0</v>
      </c>
      <c r="I1707" s="47">
        <v>3</v>
      </c>
      <c r="J1707" s="47">
        <v>9</v>
      </c>
      <c r="K1707" s="47">
        <v>15</v>
      </c>
      <c r="L1707" s="47">
        <v>17</v>
      </c>
      <c r="M1707" s="47">
        <v>17</v>
      </c>
      <c r="N1707" s="47">
        <v>18</v>
      </c>
    </row>
    <row r="1709" spans="7:14">
      <c r="G1709" t="s">
        <v>2024</v>
      </c>
    </row>
    <row r="1711" spans="7:14">
      <c r="G1711" t="s">
        <v>2025</v>
      </c>
    </row>
    <row r="1713" spans="2:14">
      <c r="G1713" t="s">
        <v>2026</v>
      </c>
    </row>
    <row r="1717" spans="2:14" ht="38.25" customHeight="1">
      <c r="B1717" s="19">
        <f>B1692+1</f>
        <v>93</v>
      </c>
      <c r="C1717" s="24" t="s">
        <v>1949</v>
      </c>
      <c r="D1717" s="24" t="s">
        <v>2027</v>
      </c>
      <c r="E1717" s="31" t="s">
        <v>2028</v>
      </c>
      <c r="G1717" s="40" t="s">
        <v>2029</v>
      </c>
    </row>
    <row r="1718" spans="2:14">
      <c r="B1718" s="19">
        <f t="shared" ref="B1718:B1723" si="1">B1717+1</f>
        <v>94</v>
      </c>
      <c r="C1718" s="24" t="s">
        <v>1949</v>
      </c>
      <c r="D1718" s="24" t="s">
        <v>2027</v>
      </c>
      <c r="E1718" s="31" t="s">
        <v>2030</v>
      </c>
    </row>
    <row r="1719" spans="2:14" ht="25.5" customHeight="1">
      <c r="B1719" s="19">
        <f t="shared" si="1"/>
        <v>95</v>
      </c>
      <c r="C1719" s="24" t="s">
        <v>1949</v>
      </c>
      <c r="D1719" s="24" t="s">
        <v>2027</v>
      </c>
      <c r="E1719" s="31" t="s">
        <v>2031</v>
      </c>
      <c r="G1719" s="33" t="s">
        <v>1975</v>
      </c>
      <c r="H1719" s="33">
        <v>2000</v>
      </c>
      <c r="I1719" s="33">
        <v>2005</v>
      </c>
      <c r="J1719" s="33">
        <v>2010</v>
      </c>
      <c r="K1719" s="33">
        <v>2015</v>
      </c>
      <c r="L1719" s="33">
        <v>2020</v>
      </c>
      <c r="M1719" s="33">
        <v>2025</v>
      </c>
      <c r="N1719" s="33">
        <v>2030</v>
      </c>
    </row>
    <row r="1720" spans="2:14" ht="30" customHeight="1">
      <c r="B1720" s="19">
        <f t="shared" si="1"/>
        <v>96</v>
      </c>
      <c r="C1720" s="24" t="s">
        <v>1949</v>
      </c>
      <c r="D1720" s="24" t="s">
        <v>2027</v>
      </c>
      <c r="E1720" s="31" t="s">
        <v>2032</v>
      </c>
      <c r="G1720" s="47" t="s">
        <v>2030</v>
      </c>
      <c r="H1720" s="47">
        <v>63</v>
      </c>
      <c r="I1720" s="47">
        <v>120</v>
      </c>
      <c r="J1720" s="47">
        <v>130</v>
      </c>
      <c r="K1720" s="47">
        <v>137</v>
      </c>
      <c r="L1720" s="47">
        <v>145</v>
      </c>
      <c r="M1720" s="47">
        <v>149</v>
      </c>
      <c r="N1720" s="47">
        <v>155</v>
      </c>
    </row>
    <row r="1721" spans="2:14" ht="38.25" customHeight="1">
      <c r="B1721" s="19">
        <f t="shared" si="1"/>
        <v>97</v>
      </c>
      <c r="C1721" s="24" t="s">
        <v>1949</v>
      </c>
      <c r="D1721" s="24" t="s">
        <v>2027</v>
      </c>
      <c r="E1721" s="31" t="s">
        <v>2033</v>
      </c>
    </row>
    <row r="1722" spans="2:14" ht="25.5" customHeight="1">
      <c r="B1722" s="19">
        <f t="shared" si="1"/>
        <v>98</v>
      </c>
      <c r="C1722" s="24" t="s">
        <v>1949</v>
      </c>
      <c r="D1722" s="24" t="s">
        <v>2027</v>
      </c>
      <c r="E1722" s="31" t="s">
        <v>2032</v>
      </c>
      <c r="G1722" t="s">
        <v>2034</v>
      </c>
    </row>
    <row r="1723" spans="2:14" ht="38.25" customHeight="1">
      <c r="B1723" s="19">
        <f t="shared" si="1"/>
        <v>99</v>
      </c>
      <c r="C1723" s="24" t="s">
        <v>1949</v>
      </c>
      <c r="D1723" s="24" t="s">
        <v>2027</v>
      </c>
      <c r="E1723" s="31" t="s">
        <v>2033</v>
      </c>
    </row>
    <row r="1724" spans="2:14" ht="23.25" customHeight="1">
      <c r="G1724" s="40" t="s">
        <v>2035</v>
      </c>
    </row>
    <row r="1726" spans="2:14">
      <c r="G1726" s="33" t="s">
        <v>1975</v>
      </c>
      <c r="H1726" s="33">
        <v>2000</v>
      </c>
      <c r="I1726" s="33">
        <v>2005</v>
      </c>
      <c r="J1726" s="33">
        <v>2010</v>
      </c>
      <c r="K1726" s="33">
        <v>2015</v>
      </c>
      <c r="L1726" s="33">
        <v>2020</v>
      </c>
      <c r="M1726" s="33">
        <v>2025</v>
      </c>
      <c r="N1726" s="33">
        <v>2030</v>
      </c>
    </row>
    <row r="1727" spans="2:14" ht="45" customHeight="1">
      <c r="G1727" s="47" t="s">
        <v>2031</v>
      </c>
      <c r="H1727" s="47">
        <v>191</v>
      </c>
      <c r="I1727" s="47">
        <v>185</v>
      </c>
      <c r="J1727" s="47">
        <v>135</v>
      </c>
      <c r="K1727" s="47">
        <v>134</v>
      </c>
      <c r="L1727" s="47">
        <v>134</v>
      </c>
      <c r="M1727" s="47">
        <v>134</v>
      </c>
      <c r="N1727" s="47">
        <v>134</v>
      </c>
    </row>
    <row r="1728" spans="2:14" ht="45" customHeight="1">
      <c r="G1728" s="47" t="s">
        <v>2032</v>
      </c>
      <c r="H1728" s="47">
        <v>271</v>
      </c>
      <c r="I1728" s="47">
        <v>271</v>
      </c>
      <c r="J1728" s="47">
        <v>210</v>
      </c>
      <c r="K1728" s="47">
        <v>210</v>
      </c>
      <c r="L1728" s="47">
        <v>210</v>
      </c>
      <c r="M1728" s="47">
        <v>211</v>
      </c>
      <c r="N1728" s="47">
        <v>211</v>
      </c>
    </row>
    <row r="1730" spans="7:14">
      <c r="G1730" t="s">
        <v>2036</v>
      </c>
    </row>
    <row r="1732" spans="7:14" ht="23.25" customHeight="1">
      <c r="G1732" s="40" t="s">
        <v>2037</v>
      </c>
    </row>
    <row r="1734" spans="7:14">
      <c r="G1734" s="33" t="s">
        <v>1975</v>
      </c>
      <c r="H1734" s="33">
        <v>2000</v>
      </c>
      <c r="I1734" s="33">
        <v>2005</v>
      </c>
      <c r="J1734" s="33">
        <v>2010</v>
      </c>
      <c r="K1734" s="33">
        <v>2015</v>
      </c>
      <c r="L1734" s="33">
        <v>2020</v>
      </c>
      <c r="M1734" s="33">
        <v>2025</v>
      </c>
      <c r="N1734" s="33">
        <v>2030</v>
      </c>
    </row>
    <row r="1735" spans="7:14" ht="60" customHeight="1">
      <c r="G1735" s="47" t="s">
        <v>2028</v>
      </c>
      <c r="H1735" s="47">
        <v>181</v>
      </c>
      <c r="I1735" s="47">
        <v>181</v>
      </c>
      <c r="J1735" s="47">
        <v>179</v>
      </c>
      <c r="K1735" s="47">
        <v>170</v>
      </c>
      <c r="L1735" s="47">
        <v>164</v>
      </c>
      <c r="M1735" s="47">
        <v>164</v>
      </c>
      <c r="N1735" s="47">
        <v>160</v>
      </c>
    </row>
    <row r="1736" spans="7:14" ht="90" customHeight="1">
      <c r="G1736" s="47" t="s">
        <v>2033</v>
      </c>
      <c r="H1736" s="47">
        <v>130</v>
      </c>
      <c r="I1736" s="47">
        <v>136</v>
      </c>
      <c r="J1736" s="47">
        <v>226</v>
      </c>
      <c r="K1736" s="47">
        <v>220</v>
      </c>
      <c r="L1736" s="47">
        <v>190</v>
      </c>
      <c r="M1736" s="47">
        <v>180</v>
      </c>
      <c r="N1736" s="47">
        <v>170</v>
      </c>
    </row>
    <row r="1738" spans="7:14">
      <c r="G1738" t="s">
        <v>2038</v>
      </c>
    </row>
    <row r="1740" spans="7:14" ht="23.25" customHeight="1">
      <c r="G1740" s="40" t="s">
        <v>2039</v>
      </c>
    </row>
    <row r="1742" spans="7:14">
      <c r="G1742" s="33" t="s">
        <v>1975</v>
      </c>
      <c r="H1742" s="33">
        <v>2000</v>
      </c>
      <c r="I1742" s="33">
        <v>2005</v>
      </c>
      <c r="J1742" s="33">
        <v>2010</v>
      </c>
      <c r="K1742" s="33">
        <v>2015</v>
      </c>
      <c r="L1742" s="33">
        <v>2020</v>
      </c>
      <c r="M1742" s="33">
        <v>2025</v>
      </c>
      <c r="N1742" s="33">
        <v>2030</v>
      </c>
    </row>
    <row r="1743" spans="7:14">
      <c r="G1743" s="47" t="s">
        <v>2005</v>
      </c>
      <c r="H1743" s="47">
        <v>118</v>
      </c>
      <c r="I1743" s="47">
        <v>115</v>
      </c>
      <c r="J1743" s="47">
        <v>106</v>
      </c>
      <c r="K1743" s="47">
        <v>91</v>
      </c>
      <c r="L1743" s="47">
        <v>81</v>
      </c>
      <c r="M1743" s="47">
        <v>79</v>
      </c>
      <c r="N1743" s="47">
        <v>75</v>
      </c>
    </row>
    <row r="1744" spans="7:14" ht="30" customHeight="1">
      <c r="G1744" s="47" t="s">
        <v>2007</v>
      </c>
      <c r="H1744" s="47">
        <v>23</v>
      </c>
      <c r="I1744" s="47">
        <v>24</v>
      </c>
      <c r="J1744" s="47">
        <v>24</v>
      </c>
      <c r="K1744" s="47">
        <v>25</v>
      </c>
      <c r="L1744" s="47">
        <v>25</v>
      </c>
      <c r="M1744" s="47">
        <v>25</v>
      </c>
      <c r="N1744" s="47">
        <v>24</v>
      </c>
    </row>
    <row r="1745" spans="7:14" ht="30" customHeight="1">
      <c r="G1745" s="47" t="s">
        <v>2009</v>
      </c>
      <c r="H1745" s="47">
        <v>6</v>
      </c>
      <c r="I1745" s="47">
        <v>5</v>
      </c>
      <c r="J1745" s="47">
        <v>6</v>
      </c>
      <c r="K1745" s="47">
        <v>6</v>
      </c>
      <c r="L1745" s="47">
        <v>6</v>
      </c>
      <c r="M1745" s="47">
        <v>6</v>
      </c>
      <c r="N1745" s="47">
        <v>6</v>
      </c>
    </row>
    <row r="1746" spans="7:14" ht="30" customHeight="1">
      <c r="G1746" s="47" t="s">
        <v>2010</v>
      </c>
      <c r="H1746" s="47">
        <v>24</v>
      </c>
      <c r="I1746" s="47">
        <v>31</v>
      </c>
      <c r="J1746" s="47">
        <v>37</v>
      </c>
      <c r="K1746" s="47">
        <v>46</v>
      </c>
      <c r="L1746" s="47">
        <v>59</v>
      </c>
      <c r="M1746" s="47">
        <v>61</v>
      </c>
      <c r="N1746" s="47">
        <v>66</v>
      </c>
    </row>
    <row r="1747" spans="7:14" ht="30" customHeight="1">
      <c r="G1747" s="47" t="s">
        <v>2012</v>
      </c>
      <c r="H1747" s="47">
        <v>14</v>
      </c>
      <c r="I1747" s="47">
        <v>13</v>
      </c>
      <c r="J1747" s="47">
        <v>12</v>
      </c>
      <c r="K1747" s="47">
        <v>11</v>
      </c>
      <c r="L1747" s="47">
        <v>9</v>
      </c>
      <c r="M1747" s="47">
        <v>8</v>
      </c>
      <c r="N1747" s="47">
        <v>6</v>
      </c>
    </row>
    <row r="1748" spans="7:14" ht="45" customHeight="1">
      <c r="G1748" s="47" t="s">
        <v>2013</v>
      </c>
      <c r="H1748" s="47">
        <v>0</v>
      </c>
      <c r="I1748" s="47">
        <v>0</v>
      </c>
      <c r="J1748" s="47">
        <v>0</v>
      </c>
      <c r="K1748" s="47">
        <v>2</v>
      </c>
      <c r="L1748" s="47">
        <v>0</v>
      </c>
      <c r="M1748" s="47">
        <v>0</v>
      </c>
      <c r="N1748" s="47">
        <v>0</v>
      </c>
    </row>
    <row r="1749" spans="7:14" ht="30" customHeight="1">
      <c r="G1749" s="47" t="s">
        <v>2014</v>
      </c>
      <c r="H1749" s="47">
        <v>0</v>
      </c>
      <c r="I1749" s="47">
        <v>20</v>
      </c>
      <c r="J1749" s="47">
        <v>42</v>
      </c>
      <c r="K1749" s="47">
        <v>50</v>
      </c>
      <c r="L1749" s="47">
        <v>51</v>
      </c>
      <c r="M1749" s="47">
        <v>55</v>
      </c>
      <c r="N1749" s="47">
        <v>73</v>
      </c>
    </row>
    <row r="1750" spans="7:14" ht="45" customHeight="1">
      <c r="G1750" s="47" t="s">
        <v>2015</v>
      </c>
      <c r="H1750" s="47">
        <v>0</v>
      </c>
      <c r="I1750" s="47">
        <v>3</v>
      </c>
      <c r="J1750" s="47">
        <v>9</v>
      </c>
      <c r="K1750" s="47">
        <v>15</v>
      </c>
      <c r="L1750" s="47">
        <v>17</v>
      </c>
      <c r="M1750" s="47">
        <v>17</v>
      </c>
      <c r="N1750" s="47">
        <v>18</v>
      </c>
    </row>
    <row r="1751" spans="7:14" ht="60" customHeight="1">
      <c r="G1751" s="47" t="s">
        <v>2028</v>
      </c>
      <c r="H1751" s="47">
        <v>181</v>
      </c>
      <c r="I1751" s="47">
        <v>181</v>
      </c>
      <c r="J1751" s="47">
        <v>179</v>
      </c>
      <c r="K1751" s="47">
        <v>170</v>
      </c>
      <c r="L1751" s="47">
        <v>164</v>
      </c>
      <c r="M1751" s="47">
        <v>164</v>
      </c>
      <c r="N1751" s="47">
        <v>160</v>
      </c>
    </row>
    <row r="1752" spans="7:14" ht="30" customHeight="1">
      <c r="G1752" s="47" t="s">
        <v>2030</v>
      </c>
      <c r="H1752" s="47">
        <v>63</v>
      </c>
      <c r="I1752" s="47">
        <v>120</v>
      </c>
      <c r="J1752" s="47">
        <v>130</v>
      </c>
      <c r="K1752" s="47">
        <v>137</v>
      </c>
      <c r="L1752" s="47">
        <v>145</v>
      </c>
      <c r="M1752" s="47">
        <v>149</v>
      </c>
      <c r="N1752" s="47">
        <v>155</v>
      </c>
    </row>
    <row r="1753" spans="7:14" ht="45" customHeight="1">
      <c r="G1753" s="47" t="s">
        <v>2031</v>
      </c>
      <c r="H1753" s="47">
        <v>191</v>
      </c>
      <c r="I1753" s="47">
        <v>185</v>
      </c>
      <c r="J1753" s="47">
        <v>135</v>
      </c>
      <c r="K1753" s="47">
        <v>134</v>
      </c>
      <c r="L1753" s="47">
        <v>134</v>
      </c>
      <c r="M1753" s="47">
        <v>134</v>
      </c>
      <c r="N1753" s="47">
        <v>134</v>
      </c>
    </row>
    <row r="1754" spans="7:14" ht="45" customHeight="1">
      <c r="G1754" s="47" t="s">
        <v>2032</v>
      </c>
      <c r="H1754" s="47">
        <v>271</v>
      </c>
      <c r="I1754" s="47">
        <v>271</v>
      </c>
      <c r="J1754" s="47">
        <v>210</v>
      </c>
      <c r="K1754" s="47">
        <v>210</v>
      </c>
      <c r="L1754" s="47">
        <v>210</v>
      </c>
      <c r="M1754" s="47">
        <v>211</v>
      </c>
      <c r="N1754" s="47">
        <v>211</v>
      </c>
    </row>
    <row r="1755" spans="7:14" ht="90" customHeight="1">
      <c r="G1755" s="47" t="s">
        <v>2033</v>
      </c>
      <c r="H1755" s="47">
        <v>130</v>
      </c>
      <c r="I1755" s="47">
        <v>136</v>
      </c>
      <c r="J1755" s="47">
        <v>226</v>
      </c>
      <c r="K1755" s="47">
        <v>220</v>
      </c>
      <c r="L1755" s="47">
        <v>190</v>
      </c>
      <c r="M1755" s="47">
        <v>180</v>
      </c>
      <c r="N1755" s="47">
        <v>170</v>
      </c>
    </row>
    <row r="1757" spans="7:14" ht="18" customHeight="1">
      <c r="G1757" s="37" t="s">
        <v>2040</v>
      </c>
    </row>
    <row r="1758" spans="7:14">
      <c r="G1758" s="35"/>
    </row>
    <row r="1759" spans="7:14">
      <c r="G1759" s="36" t="s">
        <v>2041</v>
      </c>
    </row>
    <row r="1760" spans="7:14">
      <c r="G1760" s="36" t="s">
        <v>2042</v>
      </c>
    </row>
    <row r="1761" spans="7:7">
      <c r="G1761" s="36" t="s">
        <v>2043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45"/>
  <sheetViews>
    <sheetView topLeftCell="A20" zoomScale="85" zoomScaleNormal="85" workbookViewId="0">
      <selection activeCell="C39" sqref="C39"/>
    </sheetView>
  </sheetViews>
  <sheetFormatPr baseColWidth="10" defaultColWidth="9.140625" defaultRowHeight="15"/>
  <cols>
    <col min="1" max="1" width="6" style="934" customWidth="1"/>
    <col min="2" max="3" width="22" style="934" customWidth="1"/>
    <col min="4" max="4" width="40" style="934" customWidth="1"/>
    <col min="5" max="5" width="16" style="934" customWidth="1"/>
    <col min="6" max="6" width="18" style="934" customWidth="1"/>
    <col min="7" max="7" width="44" style="934" customWidth="1"/>
    <col min="8" max="8" width="34" style="934" customWidth="1"/>
    <col min="9" max="12" width="16" style="934" customWidth="1"/>
    <col min="13" max="13" width="18" style="934" customWidth="1"/>
    <col min="14" max="15" width="22" style="934" customWidth="1"/>
    <col min="16" max="16" width="18" style="934" customWidth="1"/>
    <col min="17" max="17" width="34" style="934" customWidth="1"/>
    <col min="18" max="18" width="28" style="934" customWidth="1"/>
    <col min="19" max="19" width="44" style="934" customWidth="1"/>
    <col min="20" max="20" width="16" style="934" customWidth="1"/>
    <col min="21" max="21" width="18" style="934" customWidth="1"/>
    <col min="22" max="22" width="12" style="934" customWidth="1"/>
    <col min="23" max="24" width="42" style="934" customWidth="1"/>
    <col min="25" max="37" width="10" style="934" customWidth="1"/>
    <col min="38" max="43" width="13" style="934" customWidth="1"/>
  </cols>
  <sheetData>
    <row r="1" spans="1:43" ht="75" customHeight="1">
      <c r="A1" s="1" t="s">
        <v>2044</v>
      </c>
      <c r="B1" s="1" t="s">
        <v>2045</v>
      </c>
      <c r="C1" s="1" t="s">
        <v>2046</v>
      </c>
      <c r="D1" s="1" t="s">
        <v>2047</v>
      </c>
      <c r="E1" s="1" t="s">
        <v>2048</v>
      </c>
      <c r="F1" s="1" t="s">
        <v>2049</v>
      </c>
      <c r="G1" s="1" t="s">
        <v>2050</v>
      </c>
      <c r="H1" s="1" t="s">
        <v>2051</v>
      </c>
      <c r="I1" s="1" t="s">
        <v>2052</v>
      </c>
      <c r="J1" s="1" t="s">
        <v>2053</v>
      </c>
      <c r="K1" s="1" t="s">
        <v>2054</v>
      </c>
      <c r="L1" s="1" t="s">
        <v>2055</v>
      </c>
      <c r="M1" s="1" t="s">
        <v>2056</v>
      </c>
      <c r="N1" s="1" t="s">
        <v>1249</v>
      </c>
      <c r="O1" s="1" t="s">
        <v>1274</v>
      </c>
      <c r="P1" s="1" t="s">
        <v>2057</v>
      </c>
      <c r="Q1" s="1" t="s">
        <v>2058</v>
      </c>
      <c r="R1" s="1" t="s">
        <v>2059</v>
      </c>
      <c r="S1" s="1" t="s">
        <v>2060</v>
      </c>
      <c r="T1" s="1" t="s">
        <v>2061</v>
      </c>
      <c r="U1" s="1" t="s">
        <v>2062</v>
      </c>
      <c r="V1" s="1" t="s">
        <v>2063</v>
      </c>
      <c r="W1" s="1" t="s">
        <v>2064</v>
      </c>
      <c r="X1" s="1" t="s">
        <v>2065</v>
      </c>
      <c r="Y1" s="1" t="s">
        <v>2066</v>
      </c>
      <c r="Z1" s="1" t="s">
        <v>2067</v>
      </c>
      <c r="AA1" s="1" t="s">
        <v>2068</v>
      </c>
      <c r="AB1" s="1" t="s">
        <v>2069</v>
      </c>
      <c r="AC1" s="1" t="s">
        <v>2070</v>
      </c>
      <c r="AD1" s="1" t="s">
        <v>2071</v>
      </c>
      <c r="AE1" s="1" t="s">
        <v>2072</v>
      </c>
      <c r="AF1" s="1" t="s">
        <v>2073</v>
      </c>
      <c r="AG1" s="1" t="s">
        <v>2074</v>
      </c>
      <c r="AH1" s="1" t="s">
        <v>2075</v>
      </c>
      <c r="AI1" s="1" t="s">
        <v>2076</v>
      </c>
      <c r="AJ1" s="1" t="s">
        <v>2077</v>
      </c>
      <c r="AK1" s="1" t="s">
        <v>2078</v>
      </c>
      <c r="AL1" s="1" t="s">
        <v>2079</v>
      </c>
      <c r="AM1" s="1" t="s">
        <v>2080</v>
      </c>
      <c r="AN1" s="1" t="s">
        <v>2081</v>
      </c>
      <c r="AO1" s="1" t="s">
        <v>2082</v>
      </c>
      <c r="AP1" s="1" t="s">
        <v>2083</v>
      </c>
      <c r="AQ1" s="1" t="s">
        <v>2084</v>
      </c>
    </row>
    <row r="2" spans="1:43" ht="36" customHeight="1">
      <c r="A2" s="6"/>
      <c r="B2" s="6" t="s">
        <v>2085</v>
      </c>
      <c r="C2" s="6" t="s">
        <v>2086</v>
      </c>
      <c r="D2" s="6" t="s">
        <v>2087</v>
      </c>
      <c r="E2" s="6"/>
      <c r="F2" s="6"/>
      <c r="G2" s="6"/>
      <c r="H2" s="6"/>
      <c r="I2" s="6"/>
      <c r="J2" s="6"/>
      <c r="K2" s="6"/>
      <c r="L2" s="6"/>
      <c r="M2" s="6"/>
      <c r="N2" s="6"/>
      <c r="O2" s="6"/>
      <c r="P2" s="6" t="s">
        <v>2088</v>
      </c>
      <c r="Q2" s="6"/>
      <c r="R2" s="6"/>
      <c r="S2" s="6" t="s">
        <v>2089</v>
      </c>
      <c r="T2" s="7">
        <f>IFERROR(SUMPRODUCT($V$3:$V$12,$AM$3:$AM$12,T$3:T$12)/SUMPRODUCT($V$3:$V$12,$AM$3:$AM$12),"")</f>
        <v>93.364325068870528</v>
      </c>
      <c r="U2" s="7">
        <f>IFERROR(SUMPRODUCT($V$3:$V$12,$AM$3:$AM$12,U$3:U$12)/SUMPRODUCT($V$3:$V$12,$AM$3:$AM$12),"")</f>
        <v>14.72433425160698</v>
      </c>
      <c r="V2" s="8" t="s">
        <v>2090</v>
      </c>
      <c r="W2" s="7"/>
      <c r="X2" s="7"/>
      <c r="Y2" s="7">
        <f t="shared" ref="Y2:AQ2" si="0">SUMPRODUCT($V$3:$V$12,Y$3:Y$12)</f>
        <v>23882</v>
      </c>
      <c r="Z2" s="7">
        <f t="shared" si="0"/>
        <v>23051</v>
      </c>
      <c r="AA2" s="7">
        <f t="shared" si="0"/>
        <v>22448</v>
      </c>
      <c r="AB2" s="7">
        <f t="shared" si="0"/>
        <v>22059</v>
      </c>
      <c r="AC2" s="7">
        <f t="shared" si="0"/>
        <v>22006</v>
      </c>
      <c r="AD2" s="7">
        <f t="shared" si="0"/>
        <v>21961</v>
      </c>
      <c r="AE2" s="7">
        <f t="shared" si="0"/>
        <v>21922</v>
      </c>
      <c r="AF2" s="7">
        <f t="shared" si="0"/>
        <v>21893</v>
      </c>
      <c r="AG2" s="7">
        <f t="shared" si="0"/>
        <v>21867</v>
      </c>
      <c r="AH2" s="7">
        <f t="shared" si="0"/>
        <v>21847</v>
      </c>
      <c r="AI2" s="7">
        <f t="shared" si="0"/>
        <v>21828</v>
      </c>
      <c r="AJ2" s="7">
        <f t="shared" si="0"/>
        <v>21813</v>
      </c>
      <c r="AK2" s="7">
        <f t="shared" si="0"/>
        <v>21800</v>
      </c>
      <c r="AL2" s="7">
        <f t="shared" si="0"/>
        <v>21788</v>
      </c>
      <c r="AM2" s="7">
        <f t="shared" si="0"/>
        <v>21780</v>
      </c>
      <c r="AN2" s="7">
        <f t="shared" si="0"/>
        <v>21775</v>
      </c>
      <c r="AO2" s="7">
        <f t="shared" si="0"/>
        <v>21772</v>
      </c>
      <c r="AP2" s="7">
        <f t="shared" si="0"/>
        <v>21771</v>
      </c>
      <c r="AQ2" s="7">
        <f t="shared" si="0"/>
        <v>21774</v>
      </c>
    </row>
    <row r="3" spans="1:43" ht="32.1" customHeight="1">
      <c r="A3" s="2">
        <v>1</v>
      </c>
      <c r="B3" s="2" t="s">
        <v>990</v>
      </c>
      <c r="C3" s="2" t="s">
        <v>2091</v>
      </c>
      <c r="D3" s="2" t="s">
        <v>2092</v>
      </c>
      <c r="E3" s="2" t="s">
        <v>2093</v>
      </c>
      <c r="F3" s="2" t="s">
        <v>300</v>
      </c>
      <c r="G3" s="2" t="s">
        <v>2094</v>
      </c>
      <c r="H3" s="2" t="s">
        <v>2095</v>
      </c>
      <c r="I3" s="2" t="s">
        <v>300</v>
      </c>
      <c r="J3" s="2" t="s">
        <v>2096</v>
      </c>
      <c r="K3" s="2" t="s">
        <v>2097</v>
      </c>
      <c r="L3" s="2" t="s">
        <v>2097</v>
      </c>
      <c r="M3" s="2" t="s">
        <v>2098</v>
      </c>
      <c r="N3" s="2" t="s">
        <v>2099</v>
      </c>
      <c r="O3" s="2" t="s">
        <v>2100</v>
      </c>
      <c r="P3" s="2" t="s">
        <v>2097</v>
      </c>
      <c r="Q3" s="2"/>
      <c r="R3" s="2"/>
      <c r="S3" s="2" t="s">
        <v>2101</v>
      </c>
      <c r="T3" s="3">
        <v>120</v>
      </c>
      <c r="U3" s="3">
        <v>20</v>
      </c>
      <c r="V3" s="9">
        <v>1</v>
      </c>
      <c r="W3" s="2" t="s">
        <v>2102</v>
      </c>
      <c r="X3" s="2" t="s">
        <v>2103</v>
      </c>
      <c r="Y3" s="3">
        <v>14894</v>
      </c>
      <c r="Z3" s="3">
        <v>14164</v>
      </c>
      <c r="AA3" s="3">
        <v>13470</v>
      </c>
      <c r="AB3" s="3">
        <v>12810</v>
      </c>
      <c r="AC3" s="3">
        <v>12682</v>
      </c>
      <c r="AD3" s="3">
        <v>12555</v>
      </c>
      <c r="AE3" s="3">
        <v>12429</v>
      </c>
      <c r="AF3" s="3">
        <v>12305</v>
      </c>
      <c r="AG3" s="3">
        <v>12243</v>
      </c>
      <c r="AH3" s="3">
        <v>12182</v>
      </c>
      <c r="AI3" s="3">
        <v>12121</v>
      </c>
      <c r="AJ3" s="3">
        <v>12060</v>
      </c>
      <c r="AK3" s="3">
        <v>12000</v>
      </c>
      <c r="AL3" s="3">
        <v>11940</v>
      </c>
      <c r="AM3" s="3">
        <v>11880</v>
      </c>
      <c r="AN3" s="3">
        <v>11821</v>
      </c>
      <c r="AO3" s="3">
        <v>11762</v>
      </c>
      <c r="AP3" s="3">
        <v>11703</v>
      </c>
      <c r="AQ3" s="3">
        <v>11644</v>
      </c>
    </row>
    <row r="4" spans="1:43" ht="32.1" customHeight="1">
      <c r="A4" s="4">
        <v>2</v>
      </c>
      <c r="B4" s="4" t="s">
        <v>990</v>
      </c>
      <c r="C4" s="4" t="s">
        <v>2104</v>
      </c>
      <c r="D4" s="4" t="s">
        <v>2105</v>
      </c>
      <c r="E4" s="4" t="s">
        <v>2106</v>
      </c>
      <c r="F4" s="4" t="s">
        <v>300</v>
      </c>
      <c r="G4" s="4" t="s">
        <v>2107</v>
      </c>
      <c r="H4" s="4" t="s">
        <v>2108</v>
      </c>
      <c r="I4" s="4" t="s">
        <v>300</v>
      </c>
      <c r="J4" s="4" t="s">
        <v>2109</v>
      </c>
      <c r="K4" s="4" t="s">
        <v>2097</v>
      </c>
      <c r="L4" s="4" t="s">
        <v>2097</v>
      </c>
      <c r="M4" s="4" t="s">
        <v>2098</v>
      </c>
      <c r="N4" s="4" t="s">
        <v>2099</v>
      </c>
      <c r="O4" s="4" t="s">
        <v>2100</v>
      </c>
      <c r="P4" s="4" t="s">
        <v>2097</v>
      </c>
      <c r="Q4" s="4"/>
      <c r="R4" s="4"/>
      <c r="S4" s="4" t="s">
        <v>2101</v>
      </c>
      <c r="T4" s="5">
        <v>150</v>
      </c>
      <c r="U4" s="5">
        <v>20</v>
      </c>
      <c r="V4" s="9">
        <v>1</v>
      </c>
      <c r="W4" s="4" t="s">
        <v>2110</v>
      </c>
      <c r="X4" s="4" t="s">
        <v>2111</v>
      </c>
      <c r="Y4" s="5">
        <v>3034</v>
      </c>
      <c r="Z4" s="5">
        <v>2474</v>
      </c>
      <c r="AA4" s="5">
        <v>2017</v>
      </c>
      <c r="AB4" s="5">
        <v>1645</v>
      </c>
      <c r="AC4" s="5">
        <v>1579</v>
      </c>
      <c r="AD4" s="5">
        <v>1516</v>
      </c>
      <c r="AE4" s="5">
        <v>1455</v>
      </c>
      <c r="AF4" s="5">
        <v>1397</v>
      </c>
      <c r="AG4" s="5">
        <v>1355</v>
      </c>
      <c r="AH4" s="5">
        <v>1315</v>
      </c>
      <c r="AI4" s="5">
        <v>1275</v>
      </c>
      <c r="AJ4" s="5">
        <v>1237</v>
      </c>
      <c r="AK4" s="5">
        <v>1200</v>
      </c>
      <c r="AL4" s="5">
        <v>1164</v>
      </c>
      <c r="AM4" s="5">
        <v>1129</v>
      </c>
      <c r="AN4" s="5">
        <v>1095</v>
      </c>
      <c r="AO4" s="5">
        <v>1062</v>
      </c>
      <c r="AP4" s="5">
        <v>1030</v>
      </c>
      <c r="AQ4" s="5">
        <v>999</v>
      </c>
    </row>
    <row r="5" spans="1:43" ht="32.1" customHeight="1">
      <c r="A5" s="2">
        <v>3</v>
      </c>
      <c r="B5" s="2" t="s">
        <v>990</v>
      </c>
      <c r="C5" s="2" t="s">
        <v>2104</v>
      </c>
      <c r="D5" s="2" t="s">
        <v>2112</v>
      </c>
      <c r="E5" s="2" t="s">
        <v>2106</v>
      </c>
      <c r="F5" s="2" t="s">
        <v>300</v>
      </c>
      <c r="G5" s="2" t="s">
        <v>2113</v>
      </c>
      <c r="H5" s="2" t="s">
        <v>2114</v>
      </c>
      <c r="I5" s="2" t="s">
        <v>300</v>
      </c>
      <c r="J5" s="2" t="s">
        <v>2109</v>
      </c>
      <c r="K5" s="2" t="s">
        <v>2097</v>
      </c>
      <c r="L5" s="2" t="s">
        <v>2097</v>
      </c>
      <c r="M5" s="2" t="s">
        <v>2098</v>
      </c>
      <c r="N5" s="2" t="s">
        <v>2099</v>
      </c>
      <c r="O5" s="2" t="s">
        <v>2100</v>
      </c>
      <c r="P5" s="2" t="s">
        <v>2097</v>
      </c>
      <c r="Q5" s="2"/>
      <c r="R5" s="2"/>
      <c r="S5" s="2" t="s">
        <v>2101</v>
      </c>
      <c r="T5" s="3">
        <v>200</v>
      </c>
      <c r="U5" s="3">
        <v>30</v>
      </c>
      <c r="V5" s="9">
        <v>1</v>
      </c>
      <c r="W5" s="2" t="s">
        <v>2115</v>
      </c>
      <c r="X5" s="2" t="s">
        <v>2111</v>
      </c>
      <c r="Y5" s="3">
        <v>633</v>
      </c>
      <c r="Z5" s="3">
        <v>516</v>
      </c>
      <c r="AA5" s="3">
        <v>421</v>
      </c>
      <c r="AB5" s="3">
        <v>343</v>
      </c>
      <c r="AC5" s="3">
        <v>329</v>
      </c>
      <c r="AD5" s="3">
        <v>316</v>
      </c>
      <c r="AE5" s="3">
        <v>303</v>
      </c>
      <c r="AF5" s="3">
        <v>291</v>
      </c>
      <c r="AG5" s="3">
        <v>282</v>
      </c>
      <c r="AH5" s="3">
        <v>274</v>
      </c>
      <c r="AI5" s="3">
        <v>266</v>
      </c>
      <c r="AJ5" s="3">
        <v>258</v>
      </c>
      <c r="AK5" s="3">
        <v>250</v>
      </c>
      <c r="AL5" s="3">
        <v>242</v>
      </c>
      <c r="AM5" s="3">
        <v>235</v>
      </c>
      <c r="AN5" s="3">
        <v>228</v>
      </c>
      <c r="AO5" s="3">
        <v>221</v>
      </c>
      <c r="AP5" s="3">
        <v>214</v>
      </c>
      <c r="AQ5" s="3">
        <v>208</v>
      </c>
    </row>
    <row r="6" spans="1:43" ht="32.1" customHeight="1">
      <c r="A6" s="4">
        <v>4</v>
      </c>
      <c r="B6" s="4" t="s">
        <v>1031</v>
      </c>
      <c r="C6" s="4" t="s">
        <v>1032</v>
      </c>
      <c r="D6" s="4" t="s">
        <v>2116</v>
      </c>
      <c r="E6" s="4" t="s">
        <v>2117</v>
      </c>
      <c r="F6" s="4" t="s">
        <v>2118</v>
      </c>
      <c r="G6" s="4" t="s">
        <v>2119</v>
      </c>
      <c r="H6" s="4" t="s">
        <v>2120</v>
      </c>
      <c r="I6" s="4" t="s">
        <v>2121</v>
      </c>
      <c r="J6" s="4" t="s">
        <v>2096</v>
      </c>
      <c r="K6" s="4" t="s">
        <v>2096</v>
      </c>
      <c r="L6" s="4" t="s">
        <v>2097</v>
      </c>
      <c r="M6" s="4" t="s">
        <v>2098</v>
      </c>
      <c r="N6" s="4" t="s">
        <v>2122</v>
      </c>
      <c r="O6" s="4" t="s">
        <v>2100</v>
      </c>
      <c r="P6" s="10" t="s">
        <v>2109</v>
      </c>
      <c r="Q6" s="4" t="s">
        <v>2123</v>
      </c>
      <c r="R6" s="4" t="s">
        <v>2123</v>
      </c>
      <c r="S6" s="4" t="s">
        <v>2124</v>
      </c>
      <c r="T6" s="5">
        <v>1200</v>
      </c>
      <c r="U6" s="5">
        <v>25</v>
      </c>
      <c r="V6" s="11">
        <v>0</v>
      </c>
      <c r="W6" s="4" t="s">
        <v>2125</v>
      </c>
      <c r="X6" s="4" t="s">
        <v>2126</v>
      </c>
      <c r="Y6" s="5">
        <v>650</v>
      </c>
      <c r="Z6" s="5">
        <v>650</v>
      </c>
      <c r="AA6" s="5">
        <v>650</v>
      </c>
      <c r="AB6" s="5">
        <v>650</v>
      </c>
      <c r="AC6" s="5">
        <v>650</v>
      </c>
      <c r="AD6" s="5">
        <v>650</v>
      </c>
      <c r="AE6" s="5">
        <v>650</v>
      </c>
      <c r="AF6" s="5">
        <v>650</v>
      </c>
      <c r="AG6" s="5">
        <v>650</v>
      </c>
      <c r="AH6" s="5">
        <v>650</v>
      </c>
      <c r="AI6" s="5">
        <v>650</v>
      </c>
      <c r="AJ6" s="5">
        <v>650</v>
      </c>
      <c r="AK6" s="5">
        <v>650</v>
      </c>
      <c r="AL6" s="5">
        <v>650</v>
      </c>
      <c r="AM6" s="5">
        <v>650</v>
      </c>
      <c r="AN6" s="5">
        <v>650</v>
      </c>
      <c r="AO6" s="5">
        <v>650</v>
      </c>
      <c r="AP6" s="5">
        <v>650</v>
      </c>
      <c r="AQ6" s="5">
        <v>650</v>
      </c>
    </row>
    <row r="7" spans="1:43" ht="32.1" customHeight="1">
      <c r="A7" s="2">
        <v>5</v>
      </c>
      <c r="B7" s="2" t="s">
        <v>1031</v>
      </c>
      <c r="C7" s="2" t="s">
        <v>1032</v>
      </c>
      <c r="D7" s="2" t="s">
        <v>2127</v>
      </c>
      <c r="E7" s="2" t="s">
        <v>2117</v>
      </c>
      <c r="F7" s="2" t="s">
        <v>2118</v>
      </c>
      <c r="G7" s="2" t="s">
        <v>2128</v>
      </c>
      <c r="H7" s="2" t="s">
        <v>2129</v>
      </c>
      <c r="I7" s="2" t="s">
        <v>2121</v>
      </c>
      <c r="J7" s="2" t="s">
        <v>2096</v>
      </c>
      <c r="K7" s="2" t="s">
        <v>2109</v>
      </c>
      <c r="L7" s="2" t="s">
        <v>2097</v>
      </c>
      <c r="M7" s="2" t="s">
        <v>2098</v>
      </c>
      <c r="N7" s="2" t="s">
        <v>2130</v>
      </c>
      <c r="O7" s="2" t="s">
        <v>2100</v>
      </c>
      <c r="P7" s="10" t="s">
        <v>2109</v>
      </c>
      <c r="Q7" s="2" t="s">
        <v>2131</v>
      </c>
      <c r="R7" s="2"/>
      <c r="S7" s="2" t="s">
        <v>2132</v>
      </c>
      <c r="T7" s="3">
        <v>500</v>
      </c>
      <c r="U7" s="3">
        <v>12</v>
      </c>
      <c r="V7" s="9">
        <v>1</v>
      </c>
      <c r="W7" s="2" t="s">
        <v>2133</v>
      </c>
      <c r="X7" s="2" t="s">
        <v>2134</v>
      </c>
      <c r="Y7" s="3">
        <v>95</v>
      </c>
      <c r="Z7" s="3">
        <v>127</v>
      </c>
      <c r="AA7" s="3">
        <v>170</v>
      </c>
      <c r="AB7" s="3">
        <v>228</v>
      </c>
      <c r="AC7" s="3">
        <v>242</v>
      </c>
      <c r="AD7" s="3">
        <v>257</v>
      </c>
      <c r="AE7" s="3">
        <v>272</v>
      </c>
      <c r="AF7" s="3">
        <v>288</v>
      </c>
      <c r="AG7" s="3">
        <v>299</v>
      </c>
      <c r="AH7" s="3">
        <v>311</v>
      </c>
      <c r="AI7" s="3">
        <v>324</v>
      </c>
      <c r="AJ7" s="3">
        <v>337</v>
      </c>
      <c r="AK7" s="3">
        <v>350</v>
      </c>
      <c r="AL7" s="3">
        <v>362</v>
      </c>
      <c r="AM7" s="3">
        <v>375</v>
      </c>
      <c r="AN7" s="3">
        <v>388</v>
      </c>
      <c r="AO7" s="3">
        <v>402</v>
      </c>
      <c r="AP7" s="3">
        <v>416</v>
      </c>
      <c r="AQ7" s="3">
        <v>431</v>
      </c>
    </row>
    <row r="8" spans="1:43" ht="32.1" customHeight="1">
      <c r="A8" s="4">
        <v>6</v>
      </c>
      <c r="B8" s="4" t="s">
        <v>1031</v>
      </c>
      <c r="C8" s="4" t="s">
        <v>1032</v>
      </c>
      <c r="D8" s="4" t="s">
        <v>2135</v>
      </c>
      <c r="E8" s="4" t="s">
        <v>2117</v>
      </c>
      <c r="F8" s="4" t="s">
        <v>2118</v>
      </c>
      <c r="G8" s="4" t="s">
        <v>2136</v>
      </c>
      <c r="H8" s="4" t="s">
        <v>2137</v>
      </c>
      <c r="I8" s="4" t="s">
        <v>2121</v>
      </c>
      <c r="J8" s="4" t="s">
        <v>2109</v>
      </c>
      <c r="K8" s="4" t="s">
        <v>2096</v>
      </c>
      <c r="L8" s="4" t="s">
        <v>2097</v>
      </c>
      <c r="M8" s="4" t="s">
        <v>2098</v>
      </c>
      <c r="N8" s="4" t="s">
        <v>2138</v>
      </c>
      <c r="O8" s="4" t="s">
        <v>2100</v>
      </c>
      <c r="P8" s="10" t="s">
        <v>2109</v>
      </c>
      <c r="Q8" s="4" t="s">
        <v>2139</v>
      </c>
      <c r="R8" s="4" t="s">
        <v>2139</v>
      </c>
      <c r="S8" s="4" t="s">
        <v>2132</v>
      </c>
      <c r="T8" s="5">
        <v>700</v>
      </c>
      <c r="U8" s="5">
        <v>15</v>
      </c>
      <c r="V8" s="11">
        <v>0</v>
      </c>
      <c r="W8" s="4" t="s">
        <v>2140</v>
      </c>
      <c r="X8" s="4" t="s">
        <v>2126</v>
      </c>
      <c r="Y8" s="5">
        <v>1437</v>
      </c>
      <c r="Z8" s="5">
        <v>1587</v>
      </c>
      <c r="AA8" s="5">
        <v>1752</v>
      </c>
      <c r="AB8" s="5">
        <v>1934</v>
      </c>
      <c r="AC8" s="5">
        <v>1973</v>
      </c>
      <c r="AD8" s="5">
        <v>2012</v>
      </c>
      <c r="AE8" s="5">
        <v>2052</v>
      </c>
      <c r="AF8" s="5">
        <v>2093</v>
      </c>
      <c r="AG8" s="5">
        <v>2114</v>
      </c>
      <c r="AH8" s="5">
        <v>2135</v>
      </c>
      <c r="AI8" s="5">
        <v>2157</v>
      </c>
      <c r="AJ8" s="5">
        <v>2178</v>
      </c>
      <c r="AK8" s="5">
        <v>2200</v>
      </c>
      <c r="AL8" s="5">
        <v>2222</v>
      </c>
      <c r="AM8" s="5">
        <v>2244</v>
      </c>
      <c r="AN8" s="5">
        <v>2266</v>
      </c>
      <c r="AO8" s="5">
        <v>2289</v>
      </c>
      <c r="AP8" s="5">
        <v>2312</v>
      </c>
      <c r="AQ8" s="5">
        <v>2335</v>
      </c>
    </row>
    <row r="9" spans="1:43" ht="32.1" customHeight="1">
      <c r="A9" s="2">
        <v>7</v>
      </c>
      <c r="B9" s="2" t="s">
        <v>1113</v>
      </c>
      <c r="C9" s="2" t="s">
        <v>1211</v>
      </c>
      <c r="D9" s="2" t="s">
        <v>2141</v>
      </c>
      <c r="E9" s="2" t="s">
        <v>2142</v>
      </c>
      <c r="F9" s="2" t="s">
        <v>300</v>
      </c>
      <c r="G9" s="2" t="s">
        <v>2143</v>
      </c>
      <c r="H9" s="2" t="s">
        <v>2144</v>
      </c>
      <c r="I9" s="2" t="s">
        <v>300</v>
      </c>
      <c r="J9" s="2" t="s">
        <v>2109</v>
      </c>
      <c r="K9" s="2" t="s">
        <v>2097</v>
      </c>
      <c r="L9" s="2" t="s">
        <v>2097</v>
      </c>
      <c r="M9" s="2" t="s">
        <v>2098</v>
      </c>
      <c r="N9" s="2" t="s">
        <v>2145</v>
      </c>
      <c r="O9" s="2" t="s">
        <v>2100</v>
      </c>
      <c r="P9" s="10" t="s">
        <v>2109</v>
      </c>
      <c r="Q9" s="2" t="s">
        <v>1212</v>
      </c>
      <c r="R9" s="2" t="s">
        <v>2146</v>
      </c>
      <c r="S9" s="2" t="s">
        <v>2124</v>
      </c>
      <c r="T9" s="3">
        <v>250</v>
      </c>
      <c r="U9" s="3">
        <v>20</v>
      </c>
      <c r="V9" s="11">
        <v>0</v>
      </c>
      <c r="W9" s="2" t="s">
        <v>2147</v>
      </c>
      <c r="X9" s="2" t="s">
        <v>2148</v>
      </c>
      <c r="Y9" s="3">
        <v>1675</v>
      </c>
      <c r="Z9" s="3">
        <v>1634</v>
      </c>
      <c r="AA9" s="3">
        <v>1594</v>
      </c>
      <c r="AB9" s="3">
        <v>1555</v>
      </c>
      <c r="AC9" s="3">
        <v>1547</v>
      </c>
      <c r="AD9" s="3">
        <v>1539</v>
      </c>
      <c r="AE9" s="3">
        <v>1531</v>
      </c>
      <c r="AF9" s="3">
        <v>1523</v>
      </c>
      <c r="AG9" s="3">
        <v>1518</v>
      </c>
      <c r="AH9" s="3">
        <v>1514</v>
      </c>
      <c r="AI9" s="3">
        <v>1509</v>
      </c>
      <c r="AJ9" s="3">
        <v>1505</v>
      </c>
      <c r="AK9" s="3">
        <v>1500</v>
      </c>
      <c r="AL9" s="3">
        <v>1496</v>
      </c>
      <c r="AM9" s="3">
        <v>1492</v>
      </c>
      <c r="AN9" s="3">
        <v>1488</v>
      </c>
      <c r="AO9" s="3">
        <v>1484</v>
      </c>
      <c r="AP9" s="3">
        <v>1480</v>
      </c>
      <c r="AQ9" s="3">
        <v>1476</v>
      </c>
    </row>
    <row r="10" spans="1:43" ht="32.1" customHeight="1">
      <c r="A10" s="4">
        <v>8</v>
      </c>
      <c r="B10" s="4" t="s">
        <v>1371</v>
      </c>
      <c r="C10" s="4" t="s">
        <v>1372</v>
      </c>
      <c r="D10" s="4" t="s">
        <v>2149</v>
      </c>
      <c r="E10" s="4" t="s">
        <v>2150</v>
      </c>
      <c r="F10" s="4" t="s">
        <v>300</v>
      </c>
      <c r="G10" s="4" t="s">
        <v>2151</v>
      </c>
      <c r="H10" s="4" t="s">
        <v>2152</v>
      </c>
      <c r="I10" s="4" t="s">
        <v>300</v>
      </c>
      <c r="J10" s="4" t="s">
        <v>2109</v>
      </c>
      <c r="K10" s="4" t="s">
        <v>2097</v>
      </c>
      <c r="L10" s="4" t="s">
        <v>2097</v>
      </c>
      <c r="M10" s="4" t="s">
        <v>2098</v>
      </c>
      <c r="N10" s="4" t="s">
        <v>2153</v>
      </c>
      <c r="O10" s="4" t="s">
        <v>2100</v>
      </c>
      <c r="P10" s="10" t="s">
        <v>2109</v>
      </c>
      <c r="Q10" s="4" t="s">
        <v>2154</v>
      </c>
      <c r="R10" s="4"/>
      <c r="S10" s="4" t="s">
        <v>2124</v>
      </c>
      <c r="T10" s="5">
        <v>800</v>
      </c>
      <c r="U10" s="5">
        <v>60</v>
      </c>
      <c r="V10" s="11">
        <v>0</v>
      </c>
      <c r="W10" s="4" t="s">
        <v>2155</v>
      </c>
      <c r="X10" s="4" t="s">
        <v>2148</v>
      </c>
      <c r="Y10" s="5">
        <v>9500</v>
      </c>
      <c r="Z10" s="5">
        <v>9500</v>
      </c>
      <c r="AA10" s="5">
        <v>9500</v>
      </c>
      <c r="AB10" s="5">
        <v>9500</v>
      </c>
      <c r="AC10" s="5">
        <v>9500</v>
      </c>
      <c r="AD10" s="5">
        <v>9500</v>
      </c>
      <c r="AE10" s="5">
        <v>9500</v>
      </c>
      <c r="AF10" s="5">
        <v>9500</v>
      </c>
      <c r="AG10" s="5">
        <v>9500</v>
      </c>
      <c r="AH10" s="5">
        <v>9500</v>
      </c>
      <c r="AI10" s="5">
        <v>9500</v>
      </c>
      <c r="AJ10" s="5">
        <v>9500</v>
      </c>
      <c r="AK10" s="5">
        <v>9500</v>
      </c>
      <c r="AL10" s="5">
        <v>9500</v>
      </c>
      <c r="AM10" s="5">
        <v>9500</v>
      </c>
      <c r="AN10" s="5">
        <v>9500</v>
      </c>
      <c r="AO10" s="5">
        <v>9500</v>
      </c>
      <c r="AP10" s="5">
        <v>9500</v>
      </c>
      <c r="AQ10" s="5">
        <v>9500</v>
      </c>
    </row>
    <row r="11" spans="1:43" ht="32.1" customHeight="1">
      <c r="A11" s="2">
        <v>9</v>
      </c>
      <c r="B11" s="2" t="s">
        <v>1526</v>
      </c>
      <c r="C11" s="2" t="s">
        <v>2156</v>
      </c>
      <c r="D11" s="2" t="s">
        <v>2157</v>
      </c>
      <c r="E11" s="2" t="s">
        <v>2158</v>
      </c>
      <c r="F11" s="2" t="s">
        <v>300</v>
      </c>
      <c r="G11" s="2" t="s">
        <v>2157</v>
      </c>
      <c r="H11" s="2" t="s">
        <v>2159</v>
      </c>
      <c r="I11" s="2" t="s">
        <v>300</v>
      </c>
      <c r="J11" s="2" t="s">
        <v>2109</v>
      </c>
      <c r="K11" s="2" t="s">
        <v>2097</v>
      </c>
      <c r="L11" s="2" t="s">
        <v>2097</v>
      </c>
      <c r="M11" s="2" t="s">
        <v>2098</v>
      </c>
      <c r="N11" s="2" t="s">
        <v>2160</v>
      </c>
      <c r="O11" s="2" t="s">
        <v>2100</v>
      </c>
      <c r="P11" s="10" t="s">
        <v>2109</v>
      </c>
      <c r="Q11" s="2" t="s">
        <v>2161</v>
      </c>
      <c r="R11" s="2"/>
      <c r="S11" s="2" t="s">
        <v>2124</v>
      </c>
      <c r="T11" s="3">
        <v>250</v>
      </c>
      <c r="U11" s="3">
        <v>20</v>
      </c>
      <c r="V11" s="11">
        <v>0</v>
      </c>
      <c r="W11" s="2" t="s">
        <v>2162</v>
      </c>
      <c r="X11" s="2" t="s">
        <v>2148</v>
      </c>
      <c r="Y11" s="3">
        <v>120000</v>
      </c>
      <c r="Z11" s="3">
        <v>120000</v>
      </c>
      <c r="AA11" s="3">
        <v>120000</v>
      </c>
      <c r="AB11" s="3">
        <v>120000</v>
      </c>
      <c r="AC11" s="3">
        <v>120000</v>
      </c>
      <c r="AD11" s="3">
        <v>120000</v>
      </c>
      <c r="AE11" s="3">
        <v>120000</v>
      </c>
      <c r="AF11" s="3">
        <v>120000</v>
      </c>
      <c r="AG11" s="3">
        <v>120000</v>
      </c>
      <c r="AH11" s="3">
        <v>120000</v>
      </c>
      <c r="AI11" s="3">
        <v>120000</v>
      </c>
      <c r="AJ11" s="3">
        <v>120000</v>
      </c>
      <c r="AK11" s="3">
        <v>120000</v>
      </c>
      <c r="AL11" s="3">
        <v>120000</v>
      </c>
      <c r="AM11" s="3">
        <v>120000</v>
      </c>
      <c r="AN11" s="3">
        <v>120000</v>
      </c>
      <c r="AO11" s="3">
        <v>120000</v>
      </c>
      <c r="AP11" s="3">
        <v>120000</v>
      </c>
      <c r="AQ11" s="3">
        <v>120000</v>
      </c>
    </row>
    <row r="12" spans="1:43" ht="60" customHeight="1">
      <c r="A12" s="4">
        <v>10</v>
      </c>
      <c r="B12" s="4" t="s">
        <v>2163</v>
      </c>
      <c r="C12" s="4" t="s">
        <v>2163</v>
      </c>
      <c r="D12" s="4" t="s">
        <v>2164</v>
      </c>
      <c r="E12" s="4" t="s">
        <v>2117</v>
      </c>
      <c r="F12" s="4" t="s">
        <v>2165</v>
      </c>
      <c r="G12" s="4" t="s">
        <v>2166</v>
      </c>
      <c r="H12" s="4" t="s">
        <v>2167</v>
      </c>
      <c r="I12" s="4" t="s">
        <v>2121</v>
      </c>
      <c r="J12" s="4" t="s">
        <v>2109</v>
      </c>
      <c r="K12" s="4" t="s">
        <v>2097</v>
      </c>
      <c r="L12" s="4" t="s">
        <v>2097</v>
      </c>
      <c r="M12" s="4" t="s">
        <v>2098</v>
      </c>
      <c r="N12" s="4" t="s">
        <v>2099</v>
      </c>
      <c r="O12" s="4" t="s">
        <v>2100</v>
      </c>
      <c r="P12" s="4" t="s">
        <v>2097</v>
      </c>
      <c r="Q12" s="4"/>
      <c r="R12" s="4"/>
      <c r="S12" s="4" t="s">
        <v>2132</v>
      </c>
      <c r="T12" s="5">
        <v>25</v>
      </c>
      <c r="U12" s="5">
        <v>6</v>
      </c>
      <c r="V12" s="9">
        <v>1</v>
      </c>
      <c r="W12" s="4" t="s">
        <v>2168</v>
      </c>
      <c r="X12" s="4" t="s">
        <v>2148</v>
      </c>
      <c r="Y12" s="5">
        <v>5226</v>
      </c>
      <c r="Z12" s="5">
        <v>5770</v>
      </c>
      <c r="AA12" s="5">
        <v>6370</v>
      </c>
      <c r="AB12" s="5">
        <v>7033</v>
      </c>
      <c r="AC12" s="5">
        <v>7174</v>
      </c>
      <c r="AD12" s="5">
        <v>7317</v>
      </c>
      <c r="AE12" s="5">
        <v>7463</v>
      </c>
      <c r="AF12" s="5">
        <v>7612</v>
      </c>
      <c r="AG12" s="5">
        <v>7688</v>
      </c>
      <c r="AH12" s="5">
        <v>7765</v>
      </c>
      <c r="AI12" s="5">
        <v>7842</v>
      </c>
      <c r="AJ12" s="5">
        <v>7921</v>
      </c>
      <c r="AK12" s="5">
        <v>8000</v>
      </c>
      <c r="AL12" s="5">
        <v>8080</v>
      </c>
      <c r="AM12" s="5">
        <v>8161</v>
      </c>
      <c r="AN12" s="5">
        <v>8243</v>
      </c>
      <c r="AO12" s="5">
        <v>8325</v>
      </c>
      <c r="AP12" s="5">
        <v>8408</v>
      </c>
      <c r="AQ12" s="5">
        <v>8492</v>
      </c>
    </row>
    <row r="13" spans="1:43" ht="32.1" customHeight="1">
      <c r="A13" s="19" t="e">
        <f>#REF!+1</f>
        <v>#REF!</v>
      </c>
      <c r="B13" s="24" t="s">
        <v>2169</v>
      </c>
      <c r="C13" s="24" t="s">
        <v>2170</v>
      </c>
      <c r="D13" s="24" t="s">
        <v>2171</v>
      </c>
      <c r="E13" s="22" t="s">
        <v>2117</v>
      </c>
      <c r="F13" s="22" t="s">
        <v>2172</v>
      </c>
      <c r="G13" s="16" t="s">
        <v>2173</v>
      </c>
      <c r="H13" s="16" t="s">
        <v>2174</v>
      </c>
      <c r="I13" s="18" t="s">
        <v>2121</v>
      </c>
      <c r="J13" s="2" t="s">
        <v>2109</v>
      </c>
      <c r="K13" s="2" t="s">
        <v>2097</v>
      </c>
      <c r="L13" s="2" t="s">
        <v>2096</v>
      </c>
      <c r="M13" s="16" t="s">
        <v>2098</v>
      </c>
      <c r="N13" s="2" t="s">
        <v>2175</v>
      </c>
      <c r="O13" s="19" t="s">
        <v>2100</v>
      </c>
      <c r="P13" s="19" t="s">
        <v>2097</v>
      </c>
      <c r="Q13" s="16" t="s">
        <v>2176</v>
      </c>
      <c r="R13" s="16"/>
      <c r="S13" s="16" t="s">
        <v>2177</v>
      </c>
      <c r="T13" s="3">
        <v>12000</v>
      </c>
      <c r="U13" s="3">
        <v>120</v>
      </c>
      <c r="V13" s="11">
        <v>0</v>
      </c>
      <c r="W13" s="16" t="s">
        <v>2178</v>
      </c>
      <c r="X13" s="16" t="s">
        <v>2179</v>
      </c>
      <c r="Y13" s="3">
        <v>9796</v>
      </c>
      <c r="Z13" s="3">
        <v>10816</v>
      </c>
      <c r="AA13" s="3">
        <v>11942</v>
      </c>
      <c r="AB13" s="3">
        <v>13185</v>
      </c>
      <c r="AC13" s="3">
        <v>13449</v>
      </c>
      <c r="AD13" s="3">
        <v>13718</v>
      </c>
      <c r="AE13" s="3">
        <v>13992</v>
      </c>
      <c r="AF13" s="3">
        <v>14272</v>
      </c>
      <c r="AG13" s="3">
        <v>14415</v>
      </c>
      <c r="AH13" s="3">
        <v>14559</v>
      </c>
      <c r="AI13" s="3">
        <v>14704</v>
      </c>
      <c r="AJ13" s="3">
        <v>14851</v>
      </c>
      <c r="AK13" s="3">
        <v>15000</v>
      </c>
      <c r="AL13" s="3">
        <v>15150</v>
      </c>
      <c r="AM13" s="3">
        <v>15302</v>
      </c>
      <c r="AN13" s="3">
        <v>15455</v>
      </c>
      <c r="AO13" s="3">
        <v>15610</v>
      </c>
      <c r="AP13" s="3">
        <v>15766</v>
      </c>
      <c r="AQ13" s="3">
        <v>15924</v>
      </c>
    </row>
    <row r="18" spans="2:38" ht="51" customHeight="1">
      <c r="B18" s="46" t="s">
        <v>2045</v>
      </c>
      <c r="C18" s="46" t="s">
        <v>2180</v>
      </c>
      <c r="D18" s="46" t="s">
        <v>2181</v>
      </c>
      <c r="E18" s="46" t="s">
        <v>2048</v>
      </c>
      <c r="F18" s="46" t="s">
        <v>2049</v>
      </c>
      <c r="G18" s="46" t="s">
        <v>2050</v>
      </c>
      <c r="H18" s="46" t="s">
        <v>2051</v>
      </c>
      <c r="I18" s="46" t="s">
        <v>2182</v>
      </c>
      <c r="J18" s="46" t="s">
        <v>2183</v>
      </c>
      <c r="K18" s="46" t="s">
        <v>2184</v>
      </c>
      <c r="L18" s="46" t="s">
        <v>2185</v>
      </c>
      <c r="M18" s="46" t="s">
        <v>2056</v>
      </c>
      <c r="N18" s="46" t="s">
        <v>1249</v>
      </c>
      <c r="O18" s="46" t="s">
        <v>1274</v>
      </c>
      <c r="P18" s="46" t="s">
        <v>2186</v>
      </c>
      <c r="AL18" s="226">
        <v>2025</v>
      </c>
    </row>
    <row r="19" spans="2:38">
      <c r="B19" s="829" t="s">
        <v>2090</v>
      </c>
      <c r="C19" s="829" t="s">
        <v>2090</v>
      </c>
      <c r="D19" s="829" t="s">
        <v>2090</v>
      </c>
      <c r="E19" s="829" t="s">
        <v>2090</v>
      </c>
      <c r="F19" s="829" t="s">
        <v>2090</v>
      </c>
      <c r="G19" s="829" t="s">
        <v>2090</v>
      </c>
      <c r="H19" s="829" t="s">
        <v>2090</v>
      </c>
      <c r="I19" s="829" t="s">
        <v>2090</v>
      </c>
      <c r="J19" s="829" t="s">
        <v>2090</v>
      </c>
      <c r="K19" s="829" t="s">
        <v>2090</v>
      </c>
      <c r="L19" s="829" t="s">
        <v>2090</v>
      </c>
      <c r="M19" s="829" t="s">
        <v>2090</v>
      </c>
      <c r="N19" s="829" t="s">
        <v>2090</v>
      </c>
      <c r="O19" s="829" t="s">
        <v>2090</v>
      </c>
      <c r="P19" s="829" t="s">
        <v>2090</v>
      </c>
      <c r="AL19" s="829" t="s">
        <v>2090</v>
      </c>
    </row>
    <row r="20" spans="2:38" ht="60" customHeight="1">
      <c r="B20" s="700" t="s">
        <v>2187</v>
      </c>
      <c r="C20" s="700" t="s">
        <v>2188</v>
      </c>
      <c r="D20" s="700" t="s">
        <v>2189</v>
      </c>
      <c r="E20" s="700" t="s">
        <v>2150</v>
      </c>
      <c r="F20" s="700" t="s">
        <v>300</v>
      </c>
      <c r="G20" s="700" t="s">
        <v>2190</v>
      </c>
      <c r="H20" s="700" t="s">
        <v>2191</v>
      </c>
      <c r="I20" s="700" t="s">
        <v>300</v>
      </c>
      <c r="J20" s="700" t="s">
        <v>2109</v>
      </c>
      <c r="K20" s="700" t="s">
        <v>2097</v>
      </c>
      <c r="L20" s="700" t="s">
        <v>2096</v>
      </c>
      <c r="M20" s="700" t="s">
        <v>2192</v>
      </c>
      <c r="N20" s="700" t="s">
        <v>2193</v>
      </c>
      <c r="O20" s="700" t="s">
        <v>2194</v>
      </c>
      <c r="P20" s="700"/>
      <c r="AL20" s="700">
        <v>35000</v>
      </c>
    </row>
    <row r="21" spans="2:38" ht="45" customHeight="1">
      <c r="B21" s="700" t="s">
        <v>2187</v>
      </c>
      <c r="C21" s="700" t="s">
        <v>2188</v>
      </c>
      <c r="D21" s="700" t="s">
        <v>2195</v>
      </c>
      <c r="E21" s="700" t="s">
        <v>2150</v>
      </c>
      <c r="F21" s="700" t="s">
        <v>300</v>
      </c>
      <c r="G21" s="700" t="s">
        <v>2196</v>
      </c>
      <c r="H21" s="700" t="s">
        <v>2197</v>
      </c>
      <c r="I21" s="700" t="s">
        <v>300</v>
      </c>
      <c r="J21" s="700" t="s">
        <v>2109</v>
      </c>
      <c r="K21" s="700" t="s">
        <v>2097</v>
      </c>
      <c r="L21" s="700" t="s">
        <v>2096</v>
      </c>
      <c r="M21" s="700" t="s">
        <v>2192</v>
      </c>
      <c r="N21" s="700" t="s">
        <v>2193</v>
      </c>
      <c r="O21" s="700" t="s">
        <v>2194</v>
      </c>
      <c r="P21" s="700"/>
      <c r="AL21" s="700">
        <v>12000</v>
      </c>
    </row>
    <row r="22" spans="2:38" ht="45" customHeight="1">
      <c r="B22" s="700" t="s">
        <v>2187</v>
      </c>
      <c r="C22" s="700" t="s">
        <v>2188</v>
      </c>
      <c r="D22" s="700" t="s">
        <v>2198</v>
      </c>
      <c r="E22" s="700" t="s">
        <v>2150</v>
      </c>
      <c r="F22" s="700" t="s">
        <v>300</v>
      </c>
      <c r="G22" s="700" t="s">
        <v>2199</v>
      </c>
      <c r="H22" s="700" t="s">
        <v>2200</v>
      </c>
      <c r="I22" s="700" t="s">
        <v>300</v>
      </c>
      <c r="J22" s="700" t="s">
        <v>2109</v>
      </c>
      <c r="K22" s="700" t="s">
        <v>2097</v>
      </c>
      <c r="L22" s="700" t="s">
        <v>2096</v>
      </c>
      <c r="M22" s="700" t="s">
        <v>2192</v>
      </c>
      <c r="N22" s="700" t="s">
        <v>2193</v>
      </c>
      <c r="O22" s="700" t="s">
        <v>2194</v>
      </c>
      <c r="P22" s="700"/>
      <c r="AL22" s="700">
        <v>20000</v>
      </c>
    </row>
    <row r="23" spans="2:38" ht="45" customHeight="1">
      <c r="B23" s="700" t="s">
        <v>2187</v>
      </c>
      <c r="C23" s="700" t="s">
        <v>2201</v>
      </c>
      <c r="D23" s="700" t="s">
        <v>2202</v>
      </c>
      <c r="E23" s="700" t="s">
        <v>2150</v>
      </c>
      <c r="F23" s="700" t="s">
        <v>300</v>
      </c>
      <c r="G23" s="700" t="s">
        <v>2203</v>
      </c>
      <c r="H23" s="700" t="s">
        <v>2204</v>
      </c>
      <c r="I23" s="700" t="s">
        <v>300</v>
      </c>
      <c r="J23" s="700" t="s">
        <v>2109</v>
      </c>
      <c r="K23" s="700" t="s">
        <v>2097</v>
      </c>
      <c r="L23" s="700" t="s">
        <v>2109</v>
      </c>
      <c r="M23" s="700" t="s">
        <v>2205</v>
      </c>
      <c r="N23" s="700" t="s">
        <v>2193</v>
      </c>
      <c r="O23" s="700" t="s">
        <v>2194</v>
      </c>
      <c r="P23" s="700"/>
      <c r="AL23" s="700">
        <v>8000</v>
      </c>
    </row>
    <row r="24" spans="2:38" ht="45" customHeight="1">
      <c r="B24" s="700" t="s">
        <v>2187</v>
      </c>
      <c r="C24" s="700" t="s">
        <v>2206</v>
      </c>
      <c r="D24" s="700" t="s">
        <v>2207</v>
      </c>
      <c r="E24" s="700" t="s">
        <v>2150</v>
      </c>
      <c r="F24" s="700" t="s">
        <v>300</v>
      </c>
      <c r="G24" s="700" t="s">
        <v>2208</v>
      </c>
      <c r="H24" s="700" t="s">
        <v>2209</v>
      </c>
      <c r="I24" s="700" t="s">
        <v>300</v>
      </c>
      <c r="J24" s="700" t="s">
        <v>2109</v>
      </c>
      <c r="K24" s="700" t="s">
        <v>2097</v>
      </c>
      <c r="L24" s="700" t="s">
        <v>2109</v>
      </c>
      <c r="M24" s="700" t="s">
        <v>2210</v>
      </c>
      <c r="N24" s="700" t="s">
        <v>2211</v>
      </c>
      <c r="O24" s="700" t="s">
        <v>2212</v>
      </c>
      <c r="P24" s="700"/>
      <c r="AL24" s="700">
        <v>20242</v>
      </c>
    </row>
    <row r="25" spans="2:38" ht="45" customHeight="1">
      <c r="B25" s="700" t="s">
        <v>2187</v>
      </c>
      <c r="C25" s="700" t="s">
        <v>2213</v>
      </c>
      <c r="D25" s="700" t="s">
        <v>2214</v>
      </c>
      <c r="E25" s="700" t="s">
        <v>2150</v>
      </c>
      <c r="F25" s="700" t="s">
        <v>300</v>
      </c>
      <c r="G25" s="700" t="s">
        <v>2215</v>
      </c>
      <c r="H25" s="700" t="s">
        <v>2216</v>
      </c>
      <c r="I25" s="700" t="s">
        <v>300</v>
      </c>
      <c r="J25" s="700" t="s">
        <v>2109</v>
      </c>
      <c r="K25" s="700" t="s">
        <v>2097</v>
      </c>
      <c r="L25" s="700" t="s">
        <v>2096</v>
      </c>
      <c r="M25" s="700" t="s">
        <v>2192</v>
      </c>
      <c r="N25" s="700" t="s">
        <v>2193</v>
      </c>
      <c r="O25" s="700" t="s">
        <v>2194</v>
      </c>
      <c r="P25" s="700"/>
      <c r="AL25" s="700">
        <v>85000</v>
      </c>
    </row>
    <row r="26" spans="2:38" ht="45" customHeight="1">
      <c r="B26" s="700" t="s">
        <v>2187</v>
      </c>
      <c r="C26" s="700" t="s">
        <v>2213</v>
      </c>
      <c r="D26" s="700" t="s">
        <v>2217</v>
      </c>
      <c r="E26" s="700" t="s">
        <v>2150</v>
      </c>
      <c r="F26" s="700" t="s">
        <v>300</v>
      </c>
      <c r="G26" s="700" t="s">
        <v>2218</v>
      </c>
      <c r="H26" s="700" t="s">
        <v>2219</v>
      </c>
      <c r="I26" s="700" t="s">
        <v>300</v>
      </c>
      <c r="J26" s="700" t="s">
        <v>2109</v>
      </c>
      <c r="K26" s="700" t="s">
        <v>2097</v>
      </c>
      <c r="L26" s="700" t="s">
        <v>2096</v>
      </c>
      <c r="M26" s="700" t="s">
        <v>2192</v>
      </c>
      <c r="N26" s="700" t="s">
        <v>2193</v>
      </c>
      <c r="O26" s="700" t="s">
        <v>2194</v>
      </c>
      <c r="P26" s="700"/>
      <c r="AL26" s="700">
        <v>40000</v>
      </c>
    </row>
    <row r="27" spans="2:38" ht="45" customHeight="1">
      <c r="B27" s="700" t="s">
        <v>2187</v>
      </c>
      <c r="C27" s="700" t="s">
        <v>2206</v>
      </c>
      <c r="D27" s="700" t="s">
        <v>2220</v>
      </c>
      <c r="E27" s="700" t="s">
        <v>2150</v>
      </c>
      <c r="F27" s="700" t="s">
        <v>300</v>
      </c>
      <c r="G27" s="700" t="s">
        <v>2221</v>
      </c>
      <c r="H27" s="700" t="s">
        <v>2222</v>
      </c>
      <c r="I27" s="700" t="s">
        <v>300</v>
      </c>
      <c r="J27" s="700" t="s">
        <v>2109</v>
      </c>
      <c r="K27" s="700" t="s">
        <v>2097</v>
      </c>
      <c r="L27" s="700" t="s">
        <v>2096</v>
      </c>
      <c r="M27" s="700" t="s">
        <v>2192</v>
      </c>
      <c r="N27" s="700" t="s">
        <v>2193</v>
      </c>
      <c r="O27" s="700" t="s">
        <v>2194</v>
      </c>
      <c r="P27" s="700"/>
      <c r="AL27" s="700">
        <v>15000</v>
      </c>
    </row>
    <row r="28" spans="2:38" ht="45" customHeight="1">
      <c r="B28" s="700" t="s">
        <v>2187</v>
      </c>
      <c r="C28" s="700" t="s">
        <v>2223</v>
      </c>
      <c r="D28" s="700" t="s">
        <v>2224</v>
      </c>
      <c r="E28" s="700" t="s">
        <v>2150</v>
      </c>
      <c r="F28" s="700" t="s">
        <v>300</v>
      </c>
      <c r="G28" s="700" t="s">
        <v>2225</v>
      </c>
      <c r="H28" s="700" t="s">
        <v>2226</v>
      </c>
      <c r="I28" s="700" t="s">
        <v>300</v>
      </c>
      <c r="J28" s="700" t="s">
        <v>2109</v>
      </c>
      <c r="K28" s="700" t="s">
        <v>2097</v>
      </c>
      <c r="L28" s="700" t="s">
        <v>2096</v>
      </c>
      <c r="M28" s="700" t="s">
        <v>2192</v>
      </c>
      <c r="N28" s="700" t="s">
        <v>2193</v>
      </c>
      <c r="O28" s="700" t="s">
        <v>2194</v>
      </c>
      <c r="P28" s="700"/>
      <c r="AL28" s="700">
        <v>35000</v>
      </c>
    </row>
    <row r="29" spans="2:38" ht="45" customHeight="1">
      <c r="B29" s="700" t="s">
        <v>2187</v>
      </c>
      <c r="C29" s="700" t="s">
        <v>2223</v>
      </c>
      <c r="D29" s="700" t="s">
        <v>2227</v>
      </c>
      <c r="E29" s="700" t="s">
        <v>2150</v>
      </c>
      <c r="F29" s="700" t="s">
        <v>300</v>
      </c>
      <c r="G29" s="700" t="s">
        <v>2228</v>
      </c>
      <c r="H29" s="700" t="s">
        <v>2229</v>
      </c>
      <c r="I29" s="700" t="s">
        <v>300</v>
      </c>
      <c r="J29" s="700" t="s">
        <v>2109</v>
      </c>
      <c r="K29" s="700" t="s">
        <v>2097</v>
      </c>
      <c r="L29" s="700" t="s">
        <v>2096</v>
      </c>
      <c r="M29" s="700" t="s">
        <v>2192</v>
      </c>
      <c r="N29" s="700" t="s">
        <v>2193</v>
      </c>
      <c r="O29" s="700" t="s">
        <v>2194</v>
      </c>
      <c r="P29" s="700"/>
      <c r="AL29" s="700">
        <v>8000</v>
      </c>
    </row>
    <row r="30" spans="2:38" ht="45" customHeight="1">
      <c r="B30" s="700" t="s">
        <v>2187</v>
      </c>
      <c r="C30" s="700" t="s">
        <v>2223</v>
      </c>
      <c r="D30" s="700" t="s">
        <v>2230</v>
      </c>
      <c r="E30" s="700" t="s">
        <v>2150</v>
      </c>
      <c r="F30" s="700" t="s">
        <v>300</v>
      </c>
      <c r="G30" s="700" t="s">
        <v>2231</v>
      </c>
      <c r="H30" s="700" t="s">
        <v>2232</v>
      </c>
      <c r="I30" s="700" t="s">
        <v>300</v>
      </c>
      <c r="J30" s="700" t="s">
        <v>2109</v>
      </c>
      <c r="K30" s="700" t="s">
        <v>2097</v>
      </c>
      <c r="L30" s="700" t="s">
        <v>2096</v>
      </c>
      <c r="M30" s="700" t="s">
        <v>2192</v>
      </c>
      <c r="N30" s="700" t="s">
        <v>2193</v>
      </c>
      <c r="O30" s="700" t="s">
        <v>2194</v>
      </c>
      <c r="P30" s="700"/>
      <c r="AL30" s="700">
        <v>23000</v>
      </c>
    </row>
    <row r="31" spans="2:38" ht="45" customHeight="1">
      <c r="B31" s="700" t="s">
        <v>2187</v>
      </c>
      <c r="C31" s="700" t="s">
        <v>2223</v>
      </c>
      <c r="D31" s="700" t="s">
        <v>2233</v>
      </c>
      <c r="E31" s="700" t="s">
        <v>2150</v>
      </c>
      <c r="F31" s="700" t="s">
        <v>300</v>
      </c>
      <c r="G31" s="700" t="s">
        <v>2234</v>
      </c>
      <c r="H31" s="700" t="s">
        <v>2235</v>
      </c>
      <c r="I31" s="700" t="s">
        <v>300</v>
      </c>
      <c r="J31" s="700" t="s">
        <v>2109</v>
      </c>
      <c r="K31" s="700" t="s">
        <v>2097</v>
      </c>
      <c r="L31" s="700" t="s">
        <v>2096</v>
      </c>
      <c r="M31" s="700" t="s">
        <v>2192</v>
      </c>
      <c r="N31" s="700" t="s">
        <v>2193</v>
      </c>
      <c r="O31" s="700" t="s">
        <v>2194</v>
      </c>
      <c r="P31" s="700"/>
      <c r="AL31" s="700">
        <v>10000</v>
      </c>
    </row>
    <row r="32" spans="2:38" ht="45" customHeight="1">
      <c r="B32" s="700" t="s">
        <v>2187</v>
      </c>
      <c r="C32" s="700" t="s">
        <v>2223</v>
      </c>
      <c r="D32" s="700" t="s">
        <v>2236</v>
      </c>
      <c r="E32" s="700" t="s">
        <v>2150</v>
      </c>
      <c r="F32" s="700" t="s">
        <v>300</v>
      </c>
      <c r="G32" s="700" t="s">
        <v>2237</v>
      </c>
      <c r="H32" s="700" t="s">
        <v>2238</v>
      </c>
      <c r="I32" s="700" t="s">
        <v>300</v>
      </c>
      <c r="J32" s="700" t="s">
        <v>2109</v>
      </c>
      <c r="K32" s="700" t="s">
        <v>2097</v>
      </c>
      <c r="L32" s="700" t="s">
        <v>2096</v>
      </c>
      <c r="M32" s="700" t="s">
        <v>2192</v>
      </c>
      <c r="N32" s="700" t="s">
        <v>2239</v>
      </c>
      <c r="O32" s="700" t="s">
        <v>2240</v>
      </c>
      <c r="P32" s="700"/>
      <c r="AL32" s="700">
        <v>40000</v>
      </c>
    </row>
    <row r="33" spans="2:38" ht="45" customHeight="1">
      <c r="B33" s="700" t="s">
        <v>2241</v>
      </c>
      <c r="C33" s="700" t="s">
        <v>2242</v>
      </c>
      <c r="D33" s="700" t="s">
        <v>2243</v>
      </c>
      <c r="E33" s="700" t="s">
        <v>2244</v>
      </c>
      <c r="F33" s="700" t="s">
        <v>300</v>
      </c>
      <c r="G33" s="700" t="s">
        <v>2245</v>
      </c>
      <c r="H33" s="700" t="s">
        <v>2246</v>
      </c>
      <c r="I33" s="700" t="s">
        <v>300</v>
      </c>
      <c r="J33" s="700" t="s">
        <v>2109</v>
      </c>
      <c r="K33" s="700" t="s">
        <v>2097</v>
      </c>
      <c r="L33" s="700" t="s">
        <v>2109</v>
      </c>
      <c r="M33" s="700" t="s">
        <v>2247</v>
      </c>
      <c r="N33" s="700" t="s">
        <v>2248</v>
      </c>
      <c r="O33" s="700" t="s">
        <v>2194</v>
      </c>
      <c r="P33" s="700"/>
      <c r="AL33" s="700">
        <v>70000</v>
      </c>
    </row>
    <row r="34" spans="2:38" ht="45" customHeight="1">
      <c r="B34" s="700" t="s">
        <v>2241</v>
      </c>
      <c r="C34" s="700" t="s">
        <v>2242</v>
      </c>
      <c r="D34" s="700" t="s">
        <v>2249</v>
      </c>
      <c r="E34" s="700" t="s">
        <v>2244</v>
      </c>
      <c r="F34" s="700" t="s">
        <v>300</v>
      </c>
      <c r="G34" s="700" t="s">
        <v>2250</v>
      </c>
      <c r="H34" s="700" t="s">
        <v>2251</v>
      </c>
      <c r="I34" s="700" t="s">
        <v>300</v>
      </c>
      <c r="J34" s="700" t="s">
        <v>2109</v>
      </c>
      <c r="K34" s="700" t="s">
        <v>2097</v>
      </c>
      <c r="L34" s="700" t="s">
        <v>2109</v>
      </c>
      <c r="M34" s="700" t="s">
        <v>2247</v>
      </c>
      <c r="N34" s="700" t="s">
        <v>2248</v>
      </c>
      <c r="O34" s="700" t="s">
        <v>2194</v>
      </c>
      <c r="P34" s="700"/>
      <c r="AL34" s="700">
        <v>30000</v>
      </c>
    </row>
    <row r="35" spans="2:38" ht="45" customHeight="1">
      <c r="B35" s="700" t="s">
        <v>2241</v>
      </c>
      <c r="C35" s="700" t="s">
        <v>2242</v>
      </c>
      <c r="D35" s="700" t="s">
        <v>2252</v>
      </c>
      <c r="E35" s="700" t="s">
        <v>2244</v>
      </c>
      <c r="F35" s="700" t="s">
        <v>300</v>
      </c>
      <c r="G35" s="700" t="s">
        <v>2253</v>
      </c>
      <c r="H35" s="700" t="s">
        <v>2254</v>
      </c>
      <c r="I35" s="700" t="s">
        <v>300</v>
      </c>
      <c r="J35" s="700" t="s">
        <v>2109</v>
      </c>
      <c r="K35" s="700" t="s">
        <v>2097</v>
      </c>
      <c r="L35" s="700" t="s">
        <v>2096</v>
      </c>
      <c r="M35" s="700" t="s">
        <v>2247</v>
      </c>
      <c r="N35" s="700" t="s">
        <v>2248</v>
      </c>
      <c r="O35" s="700" t="s">
        <v>2240</v>
      </c>
      <c r="P35" s="700"/>
      <c r="AL35" s="700">
        <v>65000</v>
      </c>
    </row>
    <row r="36" spans="2:38" ht="45" customHeight="1">
      <c r="B36" s="700" t="s">
        <v>2241</v>
      </c>
      <c r="C36" s="700" t="s">
        <v>2242</v>
      </c>
      <c r="D36" s="700" t="s">
        <v>2255</v>
      </c>
      <c r="E36" s="700" t="s">
        <v>2256</v>
      </c>
      <c r="F36" s="700" t="s">
        <v>300</v>
      </c>
      <c r="G36" s="700" t="s">
        <v>2257</v>
      </c>
      <c r="H36" s="700" t="s">
        <v>2258</v>
      </c>
      <c r="I36" s="700" t="s">
        <v>300</v>
      </c>
      <c r="J36" s="700" t="s">
        <v>2109</v>
      </c>
      <c r="K36" s="700" t="s">
        <v>2097</v>
      </c>
      <c r="L36" s="700" t="s">
        <v>2109</v>
      </c>
      <c r="M36" s="700" t="s">
        <v>2259</v>
      </c>
      <c r="N36" s="700" t="s">
        <v>2193</v>
      </c>
      <c r="O36" s="700" t="s">
        <v>2194</v>
      </c>
      <c r="P36" s="700"/>
      <c r="AL36" s="700">
        <v>4000</v>
      </c>
    </row>
    <row r="37" spans="2:38" ht="45" customHeight="1">
      <c r="B37" s="700" t="s">
        <v>2241</v>
      </c>
      <c r="C37" s="700" t="s">
        <v>2242</v>
      </c>
      <c r="D37" s="700" t="s">
        <v>2260</v>
      </c>
      <c r="E37" s="700" t="s">
        <v>2256</v>
      </c>
      <c r="F37" s="700" t="s">
        <v>300</v>
      </c>
      <c r="G37" s="700" t="s">
        <v>2261</v>
      </c>
      <c r="H37" s="700" t="s">
        <v>2262</v>
      </c>
      <c r="I37" s="700" t="s">
        <v>300</v>
      </c>
      <c r="J37" s="700" t="s">
        <v>2109</v>
      </c>
      <c r="K37" s="700" t="s">
        <v>2097</v>
      </c>
      <c r="L37" s="700" t="s">
        <v>2109</v>
      </c>
      <c r="M37" s="700" t="s">
        <v>2263</v>
      </c>
      <c r="N37" s="700" t="s">
        <v>2193</v>
      </c>
      <c r="O37" s="700" t="s">
        <v>2194</v>
      </c>
      <c r="P37" s="700"/>
      <c r="AL37" s="700">
        <v>2500</v>
      </c>
    </row>
    <row r="38" spans="2:38" ht="45" customHeight="1">
      <c r="B38" s="700" t="s">
        <v>2264</v>
      </c>
      <c r="C38" s="700" t="s">
        <v>2265</v>
      </c>
      <c r="D38" s="700" t="s">
        <v>2266</v>
      </c>
      <c r="E38" s="700" t="s">
        <v>2158</v>
      </c>
      <c r="F38" s="700" t="s">
        <v>300</v>
      </c>
      <c r="G38" s="700" t="s">
        <v>2267</v>
      </c>
      <c r="H38" s="700" t="s">
        <v>2268</v>
      </c>
      <c r="I38" s="700" t="s">
        <v>300</v>
      </c>
      <c r="J38" s="700" t="s">
        <v>2109</v>
      </c>
      <c r="K38" s="700" t="s">
        <v>2097</v>
      </c>
      <c r="L38" s="700" t="s">
        <v>2096</v>
      </c>
      <c r="M38" s="700" t="s">
        <v>2269</v>
      </c>
      <c r="N38" s="700" t="s">
        <v>2270</v>
      </c>
      <c r="O38" s="700" t="s">
        <v>2240</v>
      </c>
      <c r="P38" s="700"/>
      <c r="AL38" s="700">
        <v>15000</v>
      </c>
    </row>
    <row r="39" spans="2:38" ht="30" customHeight="1">
      <c r="B39" s="700" t="s">
        <v>2264</v>
      </c>
      <c r="C39" s="700" t="s">
        <v>2265</v>
      </c>
      <c r="D39" s="700" t="s">
        <v>2271</v>
      </c>
      <c r="E39" s="700" t="s">
        <v>2158</v>
      </c>
      <c r="F39" s="700" t="s">
        <v>300</v>
      </c>
      <c r="G39" s="700" t="s">
        <v>2272</v>
      </c>
      <c r="H39" s="700" t="s">
        <v>2273</v>
      </c>
      <c r="I39" s="700" t="s">
        <v>300</v>
      </c>
      <c r="J39" s="700" t="s">
        <v>2109</v>
      </c>
      <c r="K39" s="700" t="s">
        <v>2097</v>
      </c>
      <c r="L39" s="700" t="s">
        <v>2096</v>
      </c>
      <c r="M39" s="700" t="s">
        <v>2269</v>
      </c>
      <c r="N39" s="700" t="s">
        <v>2270</v>
      </c>
      <c r="O39" s="700" t="s">
        <v>2240</v>
      </c>
      <c r="P39" s="700"/>
      <c r="AL39" s="700">
        <v>20000</v>
      </c>
    </row>
    <row r="40" spans="2:38" ht="45" customHeight="1">
      <c r="B40" s="700" t="s">
        <v>2264</v>
      </c>
      <c r="C40" s="700" t="s">
        <v>2274</v>
      </c>
      <c r="D40" s="700" t="s">
        <v>2275</v>
      </c>
      <c r="E40" s="700" t="s">
        <v>2158</v>
      </c>
      <c r="F40" s="700" t="s">
        <v>300</v>
      </c>
      <c r="G40" s="700" t="s">
        <v>2276</v>
      </c>
      <c r="H40" s="700" t="s">
        <v>2277</v>
      </c>
      <c r="I40" s="700" t="s">
        <v>300</v>
      </c>
      <c r="J40" s="700" t="s">
        <v>2109</v>
      </c>
      <c r="K40" s="700" t="s">
        <v>2097</v>
      </c>
      <c r="L40" s="700" t="s">
        <v>2096</v>
      </c>
      <c r="M40" s="700" t="s">
        <v>2269</v>
      </c>
      <c r="N40" s="700" t="s">
        <v>2270</v>
      </c>
      <c r="O40" s="700" t="s">
        <v>2240</v>
      </c>
      <c r="P40" s="700"/>
      <c r="AL40" s="700">
        <v>32000</v>
      </c>
    </row>
    <row r="41" spans="2:38" ht="30" customHeight="1">
      <c r="B41" s="700" t="s">
        <v>2278</v>
      </c>
      <c r="C41" s="700" t="s">
        <v>2279</v>
      </c>
      <c r="D41" s="700" t="s">
        <v>2280</v>
      </c>
      <c r="E41" s="700" t="s">
        <v>2158</v>
      </c>
      <c r="F41" s="700" t="s">
        <v>300</v>
      </c>
      <c r="G41" s="700" t="s">
        <v>2281</v>
      </c>
      <c r="H41" s="700" t="s">
        <v>2282</v>
      </c>
      <c r="I41" s="700" t="s">
        <v>300</v>
      </c>
      <c r="J41" s="700" t="s">
        <v>2109</v>
      </c>
      <c r="K41" s="700" t="s">
        <v>2097</v>
      </c>
      <c r="L41" s="700" t="s">
        <v>2096</v>
      </c>
      <c r="M41" s="700" t="s">
        <v>2283</v>
      </c>
      <c r="N41" s="700" t="s">
        <v>2284</v>
      </c>
      <c r="O41" s="700" t="s">
        <v>2212</v>
      </c>
      <c r="P41" s="700"/>
      <c r="AL41" s="700">
        <v>20041</v>
      </c>
    </row>
    <row r="42" spans="2:38" ht="45" customHeight="1">
      <c r="B42" s="700" t="s">
        <v>2285</v>
      </c>
      <c r="C42" s="700" t="s">
        <v>2286</v>
      </c>
      <c r="D42" s="700" t="s">
        <v>2287</v>
      </c>
      <c r="E42" s="700" t="s">
        <v>2288</v>
      </c>
      <c r="F42" s="700" t="s">
        <v>2289</v>
      </c>
      <c r="G42" s="700" t="s">
        <v>2290</v>
      </c>
      <c r="H42" s="700" t="s">
        <v>2291</v>
      </c>
      <c r="I42" s="700" t="s">
        <v>2289</v>
      </c>
      <c r="J42" s="700" t="s">
        <v>2109</v>
      </c>
      <c r="K42" s="700" t="s">
        <v>2097</v>
      </c>
      <c r="L42" s="700" t="s">
        <v>2109</v>
      </c>
      <c r="M42" s="700" t="s">
        <v>2292</v>
      </c>
      <c r="N42" s="700" t="s">
        <v>2293</v>
      </c>
      <c r="O42" s="700" t="s">
        <v>2212</v>
      </c>
      <c r="P42" s="700"/>
      <c r="AL42" s="700">
        <v>0</v>
      </c>
    </row>
    <row r="43" spans="2:38" ht="45" customHeight="1">
      <c r="B43" s="700" t="s">
        <v>2285</v>
      </c>
      <c r="C43" s="700" t="s">
        <v>2294</v>
      </c>
      <c r="D43" s="700" t="s">
        <v>2295</v>
      </c>
      <c r="E43" s="700" t="s">
        <v>2288</v>
      </c>
      <c r="F43" s="700" t="s">
        <v>2289</v>
      </c>
      <c r="G43" s="700" t="s">
        <v>2296</v>
      </c>
      <c r="H43" s="700" t="s">
        <v>2297</v>
      </c>
      <c r="I43" s="700" t="s">
        <v>2289</v>
      </c>
      <c r="J43" s="700" t="s">
        <v>2109</v>
      </c>
      <c r="K43" s="700" t="s">
        <v>2097</v>
      </c>
      <c r="L43" s="700" t="s">
        <v>2109</v>
      </c>
      <c r="M43" s="700" t="s">
        <v>2292</v>
      </c>
      <c r="N43" s="700" t="s">
        <v>2293</v>
      </c>
      <c r="O43" s="700" t="s">
        <v>2212</v>
      </c>
      <c r="P43" s="700"/>
      <c r="AL43" s="700">
        <v>0</v>
      </c>
    </row>
    <row r="44" spans="2:38" ht="45" customHeight="1">
      <c r="B44" s="700" t="s">
        <v>2285</v>
      </c>
      <c r="C44" s="700" t="s">
        <v>2298</v>
      </c>
      <c r="D44" s="700" t="s">
        <v>2299</v>
      </c>
      <c r="E44" s="700" t="s">
        <v>2288</v>
      </c>
      <c r="F44" s="700" t="s">
        <v>2289</v>
      </c>
      <c r="G44" s="700" t="s">
        <v>2300</v>
      </c>
      <c r="H44" s="700" t="s">
        <v>2301</v>
      </c>
      <c r="I44" s="700" t="s">
        <v>2289</v>
      </c>
      <c r="J44" s="700" t="s">
        <v>2109</v>
      </c>
      <c r="K44" s="700" t="s">
        <v>2097</v>
      </c>
      <c r="L44" s="700" t="s">
        <v>2096</v>
      </c>
      <c r="M44" s="700" t="s">
        <v>2292</v>
      </c>
      <c r="N44" s="700" t="s">
        <v>2293</v>
      </c>
      <c r="O44" s="700" t="s">
        <v>2212</v>
      </c>
      <c r="P44" s="700"/>
      <c r="AL44" s="700">
        <v>0</v>
      </c>
    </row>
    <row r="45" spans="2:38" ht="75" customHeight="1">
      <c r="B45" s="700" t="s">
        <v>2163</v>
      </c>
      <c r="C45" s="700" t="s">
        <v>2163</v>
      </c>
      <c r="D45" s="700" t="s">
        <v>2302</v>
      </c>
      <c r="E45" s="700" t="s">
        <v>2117</v>
      </c>
      <c r="F45" s="700" t="s">
        <v>2118</v>
      </c>
      <c r="G45" s="700" t="s">
        <v>2303</v>
      </c>
      <c r="H45" s="700" t="s">
        <v>2304</v>
      </c>
      <c r="I45" s="700" t="s">
        <v>2121</v>
      </c>
      <c r="J45" s="700" t="s">
        <v>2109</v>
      </c>
      <c r="K45" s="700" t="s">
        <v>2097</v>
      </c>
      <c r="L45" s="700" t="s">
        <v>2109</v>
      </c>
      <c r="M45" s="700" t="s">
        <v>2305</v>
      </c>
      <c r="N45" s="700" t="s">
        <v>2306</v>
      </c>
      <c r="O45" s="700" t="s">
        <v>2194</v>
      </c>
      <c r="P45" s="700" t="s">
        <v>2164</v>
      </c>
      <c r="AL45" s="70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2"/>
  <sheetViews>
    <sheetView zoomScale="85" zoomScaleNormal="85" workbookViewId="0">
      <selection activeCell="D12" sqref="D12"/>
    </sheetView>
  </sheetViews>
  <sheetFormatPr baseColWidth="10" defaultColWidth="9.140625" defaultRowHeight="15"/>
  <cols>
    <col min="1" max="2" width="24" style="934" customWidth="1"/>
    <col min="3" max="3" width="46" style="934" customWidth="1"/>
    <col min="4" max="4" width="48" style="934" customWidth="1"/>
    <col min="5" max="5" width="40" style="934" customWidth="1"/>
    <col min="6" max="6" width="46" style="934" customWidth="1"/>
    <col min="7" max="7" width="22" style="934" customWidth="1"/>
    <col min="8" max="8" width="56" style="934" customWidth="1"/>
    <col min="9" max="9" width="14" style="934" customWidth="1"/>
    <col min="10" max="10" width="48" style="934" customWidth="1"/>
  </cols>
  <sheetData>
    <row r="1" spans="1:10" ht="36" customHeight="1">
      <c r="A1" s="12" t="s">
        <v>2045</v>
      </c>
      <c r="B1" s="12" t="s">
        <v>2046</v>
      </c>
      <c r="C1" s="12" t="s">
        <v>2047</v>
      </c>
      <c r="D1" s="12" t="s">
        <v>2058</v>
      </c>
      <c r="E1" s="12" t="s">
        <v>2059</v>
      </c>
      <c r="F1" s="12" t="s">
        <v>2307</v>
      </c>
      <c r="G1" s="12" t="s">
        <v>2308</v>
      </c>
      <c r="H1" s="12" t="s">
        <v>2309</v>
      </c>
      <c r="I1" s="12" t="s">
        <v>2310</v>
      </c>
      <c r="J1" s="12" t="s">
        <v>2311</v>
      </c>
    </row>
    <row r="2" spans="1:10" ht="48" customHeight="1">
      <c r="A2" s="4" t="s">
        <v>1371</v>
      </c>
      <c r="B2" s="4" t="s">
        <v>1372</v>
      </c>
      <c r="C2" s="4" t="s">
        <v>2149</v>
      </c>
      <c r="D2" s="4" t="s">
        <v>2154</v>
      </c>
      <c r="E2" s="4"/>
      <c r="F2" s="4" t="s">
        <v>2312</v>
      </c>
      <c r="G2" s="4" t="s">
        <v>2313</v>
      </c>
      <c r="H2" s="4" t="s">
        <v>2314</v>
      </c>
      <c r="I2" s="13">
        <v>0</v>
      </c>
      <c r="J2" s="4" t="s">
        <v>2148</v>
      </c>
    </row>
    <row r="3" spans="1:10" ht="48" customHeight="1">
      <c r="A3" s="4" t="s">
        <v>1526</v>
      </c>
      <c r="B3" s="4" t="s">
        <v>2156</v>
      </c>
      <c r="C3" s="4" t="s">
        <v>2157</v>
      </c>
      <c r="D3" s="4" t="s">
        <v>2161</v>
      </c>
      <c r="E3" s="4"/>
      <c r="F3" s="4" t="s">
        <v>2315</v>
      </c>
      <c r="G3" s="4" t="s">
        <v>2316</v>
      </c>
      <c r="H3" s="4" t="s">
        <v>2314</v>
      </c>
      <c r="I3" s="13">
        <v>0</v>
      </c>
      <c r="J3" s="4" t="s">
        <v>2148</v>
      </c>
    </row>
    <row r="4" spans="1:10" ht="48" customHeight="1">
      <c r="A4" s="4" t="s">
        <v>1113</v>
      </c>
      <c r="B4" s="4" t="s">
        <v>1211</v>
      </c>
      <c r="C4" s="4" t="s">
        <v>2141</v>
      </c>
      <c r="D4" s="4" t="s">
        <v>1212</v>
      </c>
      <c r="E4" s="4" t="s">
        <v>2146</v>
      </c>
      <c r="F4" s="4" t="s">
        <v>2317</v>
      </c>
      <c r="G4" s="4" t="s">
        <v>2318</v>
      </c>
      <c r="H4" s="4" t="s">
        <v>2319</v>
      </c>
      <c r="I4" s="13">
        <v>0</v>
      </c>
      <c r="J4" s="4" t="s">
        <v>2148</v>
      </c>
    </row>
    <row r="5" spans="1:10" ht="48" customHeight="1">
      <c r="A5" s="4" t="s">
        <v>2169</v>
      </c>
      <c r="B5" s="4" t="s">
        <v>2170</v>
      </c>
      <c r="C5" s="4" t="s">
        <v>2171</v>
      </c>
      <c r="D5" s="4" t="s">
        <v>2176</v>
      </c>
      <c r="E5" s="4"/>
      <c r="F5" s="4" t="s">
        <v>2320</v>
      </c>
      <c r="G5" s="4" t="s">
        <v>2321</v>
      </c>
      <c r="H5" s="4" t="s">
        <v>2314</v>
      </c>
      <c r="I5" s="13">
        <v>0</v>
      </c>
      <c r="J5" s="4" t="s">
        <v>2179</v>
      </c>
    </row>
    <row r="6" spans="1:10" ht="48" customHeight="1">
      <c r="A6" s="4" t="s">
        <v>1031</v>
      </c>
      <c r="B6" s="4" t="s">
        <v>1032</v>
      </c>
      <c r="C6" s="4" t="s">
        <v>2116</v>
      </c>
      <c r="D6" s="4" t="s">
        <v>2123</v>
      </c>
      <c r="E6" s="4" t="s">
        <v>2123</v>
      </c>
      <c r="F6" s="4" t="s">
        <v>2317</v>
      </c>
      <c r="G6" s="4" t="s">
        <v>2318</v>
      </c>
      <c r="H6" s="4" t="s">
        <v>2322</v>
      </c>
      <c r="I6" s="13">
        <v>0</v>
      </c>
      <c r="J6" s="4" t="s">
        <v>2126</v>
      </c>
    </row>
    <row r="7" spans="1:10" ht="48" customHeight="1">
      <c r="A7" s="4" t="s">
        <v>1031</v>
      </c>
      <c r="B7" s="4" t="s">
        <v>1032</v>
      </c>
      <c r="C7" s="4" t="s">
        <v>2127</v>
      </c>
      <c r="D7" s="4" t="s">
        <v>2131</v>
      </c>
      <c r="E7" s="4"/>
      <c r="F7" s="4" t="s">
        <v>2312</v>
      </c>
      <c r="G7" s="4" t="s">
        <v>2313</v>
      </c>
      <c r="H7" s="4" t="s">
        <v>2323</v>
      </c>
      <c r="I7" s="13">
        <v>1</v>
      </c>
      <c r="J7" s="4" t="s">
        <v>2134</v>
      </c>
    </row>
    <row r="8" spans="1:10" ht="48" customHeight="1">
      <c r="A8" s="4" t="s">
        <v>1031</v>
      </c>
      <c r="B8" s="4" t="s">
        <v>1032</v>
      </c>
      <c r="C8" s="4" t="s">
        <v>2135</v>
      </c>
      <c r="D8" s="4" t="s">
        <v>2139</v>
      </c>
      <c r="E8" s="4" t="s">
        <v>2139</v>
      </c>
      <c r="F8" s="4" t="s">
        <v>2317</v>
      </c>
      <c r="G8" s="4" t="s">
        <v>2318</v>
      </c>
      <c r="H8" s="4" t="s">
        <v>2324</v>
      </c>
      <c r="I8" s="13">
        <v>0</v>
      </c>
      <c r="J8" s="4" t="s">
        <v>2126</v>
      </c>
    </row>
    <row r="9" spans="1:10" ht="48" customHeight="1">
      <c r="A9" s="4" t="s">
        <v>1031</v>
      </c>
      <c r="B9" s="4" t="s">
        <v>1032</v>
      </c>
      <c r="C9" s="4" t="s">
        <v>2325</v>
      </c>
      <c r="D9" s="4" t="s">
        <v>2326</v>
      </c>
      <c r="E9" s="4"/>
      <c r="F9" s="4" t="s">
        <v>2312</v>
      </c>
      <c r="G9" s="4" t="s">
        <v>2313</v>
      </c>
      <c r="H9" s="4" t="s">
        <v>2327</v>
      </c>
      <c r="I9" s="13">
        <v>1</v>
      </c>
      <c r="J9" s="4" t="s">
        <v>2134</v>
      </c>
    </row>
    <row r="10" spans="1:10" ht="48" customHeight="1">
      <c r="A10" s="4" t="s">
        <v>1031</v>
      </c>
      <c r="B10" s="4" t="s">
        <v>2242</v>
      </c>
      <c r="C10" s="4" t="s">
        <v>674</v>
      </c>
      <c r="D10" s="4" t="s">
        <v>2328</v>
      </c>
      <c r="E10" s="4"/>
      <c r="F10" s="4" t="s">
        <v>2312</v>
      </c>
      <c r="G10" s="4" t="s">
        <v>2313</v>
      </c>
      <c r="H10" s="4" t="s">
        <v>2329</v>
      </c>
      <c r="I10" s="13">
        <v>1</v>
      </c>
      <c r="J10" s="4" t="s">
        <v>2330</v>
      </c>
    </row>
    <row r="11" spans="1:10" ht="48" customHeight="1">
      <c r="A11" s="4" t="s">
        <v>1031</v>
      </c>
      <c r="B11" s="4" t="s">
        <v>1053</v>
      </c>
      <c r="C11" s="4" t="s">
        <v>2331</v>
      </c>
      <c r="D11" s="4" t="s">
        <v>2332</v>
      </c>
      <c r="E11" s="4"/>
      <c r="F11" s="4" t="s">
        <v>2312</v>
      </c>
      <c r="G11" s="4" t="s">
        <v>2313</v>
      </c>
      <c r="H11" s="4" t="s">
        <v>2333</v>
      </c>
      <c r="I11" s="13">
        <v>1</v>
      </c>
      <c r="J11" s="4" t="s">
        <v>2334</v>
      </c>
    </row>
    <row r="12" spans="1:10" ht="60" customHeight="1">
      <c r="A12" s="4" t="s">
        <v>1031</v>
      </c>
      <c r="B12" s="4" t="s">
        <v>1053</v>
      </c>
      <c r="C12" s="4" t="s">
        <v>1054</v>
      </c>
      <c r="D12" s="4" t="s">
        <v>2335</v>
      </c>
      <c r="E12" s="4"/>
      <c r="F12" s="4" t="s">
        <v>2312</v>
      </c>
      <c r="G12" s="4" t="s">
        <v>2313</v>
      </c>
      <c r="H12" s="4" t="s">
        <v>2336</v>
      </c>
      <c r="I12" s="13">
        <v>1</v>
      </c>
      <c r="J12" s="4" t="s">
        <v>2334</v>
      </c>
    </row>
    <row r="13" spans="1:10" ht="60" customHeight="1">
      <c r="A13" s="4" t="s">
        <v>1031</v>
      </c>
      <c r="B13" s="4" t="s">
        <v>1053</v>
      </c>
      <c r="C13" s="4" t="s">
        <v>2337</v>
      </c>
      <c r="D13" s="4" t="s">
        <v>2338</v>
      </c>
      <c r="E13" s="4"/>
      <c r="F13" s="4" t="s">
        <v>2312</v>
      </c>
      <c r="G13" s="4" t="s">
        <v>2313</v>
      </c>
      <c r="H13" s="4" t="s">
        <v>2339</v>
      </c>
      <c r="I13" s="13">
        <v>1</v>
      </c>
      <c r="J13" s="4" t="s">
        <v>2334</v>
      </c>
    </row>
    <row r="14" spans="1:10" ht="48" customHeight="1">
      <c r="A14" s="4" t="s">
        <v>1031</v>
      </c>
      <c r="B14" s="4" t="s">
        <v>1053</v>
      </c>
      <c r="C14" s="4" t="s">
        <v>1073</v>
      </c>
      <c r="D14" s="4" t="s">
        <v>2337</v>
      </c>
      <c r="E14" s="4" t="s">
        <v>2337</v>
      </c>
      <c r="F14" s="4" t="s">
        <v>2317</v>
      </c>
      <c r="G14" s="4" t="s">
        <v>2318</v>
      </c>
      <c r="H14" s="4" t="s">
        <v>2340</v>
      </c>
      <c r="I14" s="13">
        <v>0</v>
      </c>
      <c r="J14" s="4" t="s">
        <v>2334</v>
      </c>
    </row>
    <row r="15" spans="1:10" ht="48" customHeight="1">
      <c r="A15" s="4" t="s">
        <v>1031</v>
      </c>
      <c r="B15" s="4" t="s">
        <v>1090</v>
      </c>
      <c r="C15" s="4" t="s">
        <v>1091</v>
      </c>
      <c r="D15" s="4" t="s">
        <v>2341</v>
      </c>
      <c r="E15" s="4" t="s">
        <v>2341</v>
      </c>
      <c r="F15" s="4" t="s">
        <v>2317</v>
      </c>
      <c r="G15" s="4" t="s">
        <v>2318</v>
      </c>
      <c r="H15" s="4" t="s">
        <v>2342</v>
      </c>
      <c r="I15" s="13">
        <v>0</v>
      </c>
      <c r="J15" s="4" t="s">
        <v>2343</v>
      </c>
    </row>
    <row r="16" spans="1:10" ht="48" customHeight="1">
      <c r="A16" s="4" t="s">
        <v>1031</v>
      </c>
      <c r="B16" s="4" t="s">
        <v>1090</v>
      </c>
      <c r="C16" s="4" t="s">
        <v>2344</v>
      </c>
      <c r="D16" s="4" t="s">
        <v>2341</v>
      </c>
      <c r="E16" s="4" t="s">
        <v>2341</v>
      </c>
      <c r="F16" s="4" t="s">
        <v>2317</v>
      </c>
      <c r="G16" s="4" t="s">
        <v>2318</v>
      </c>
      <c r="H16" s="4" t="s">
        <v>2342</v>
      </c>
      <c r="I16" s="13">
        <v>0</v>
      </c>
      <c r="J16" s="4" t="s">
        <v>2343</v>
      </c>
    </row>
    <row r="17" spans="1:10" ht="48" customHeight="1">
      <c r="A17" s="4" t="s">
        <v>1031</v>
      </c>
      <c r="B17" s="4" t="s">
        <v>1090</v>
      </c>
      <c r="C17" s="4" t="s">
        <v>2345</v>
      </c>
      <c r="D17" s="4" t="s">
        <v>2341</v>
      </c>
      <c r="E17" s="4" t="s">
        <v>2346</v>
      </c>
      <c r="F17" s="4" t="s">
        <v>2317</v>
      </c>
      <c r="G17" s="4" t="s">
        <v>2318</v>
      </c>
      <c r="H17" s="4" t="s">
        <v>2347</v>
      </c>
      <c r="I17" s="13">
        <v>0</v>
      </c>
      <c r="J17" s="4" t="s">
        <v>2348</v>
      </c>
    </row>
    <row r="18" spans="1:10" ht="48" customHeight="1">
      <c r="A18" s="4" t="s">
        <v>1949</v>
      </c>
      <c r="B18" s="4" t="s">
        <v>1949</v>
      </c>
      <c r="C18" s="4" t="s">
        <v>2349</v>
      </c>
      <c r="D18" s="4" t="s">
        <v>1953</v>
      </c>
      <c r="E18" s="4"/>
      <c r="F18" s="4" t="s">
        <v>2312</v>
      </c>
      <c r="G18" s="4" t="s">
        <v>2313</v>
      </c>
      <c r="H18" s="4" t="s">
        <v>2350</v>
      </c>
      <c r="I18" s="13">
        <v>1</v>
      </c>
      <c r="J18" s="4" t="s">
        <v>2351</v>
      </c>
    </row>
    <row r="19" spans="1:10" ht="48" customHeight="1">
      <c r="A19" s="4" t="s">
        <v>1949</v>
      </c>
      <c r="B19" s="4" t="s">
        <v>1949</v>
      </c>
      <c r="C19" s="4" t="s">
        <v>1951</v>
      </c>
      <c r="D19" s="4" t="s">
        <v>2349</v>
      </c>
      <c r="E19" s="4" t="s">
        <v>2349</v>
      </c>
      <c r="F19" s="4" t="s">
        <v>2317</v>
      </c>
      <c r="G19" s="4" t="s">
        <v>2318</v>
      </c>
      <c r="H19" s="4" t="s">
        <v>2352</v>
      </c>
      <c r="I19" s="13">
        <v>0</v>
      </c>
      <c r="J19" s="4" t="s">
        <v>2351</v>
      </c>
    </row>
    <row r="20" spans="1:10" ht="48" customHeight="1">
      <c r="A20" s="4" t="s">
        <v>1949</v>
      </c>
      <c r="B20" s="4" t="s">
        <v>1949</v>
      </c>
      <c r="C20" s="4" t="s">
        <v>1953</v>
      </c>
      <c r="D20" s="4" t="s">
        <v>2349</v>
      </c>
      <c r="E20" s="4"/>
      <c r="F20" s="4" t="s">
        <v>2312</v>
      </c>
      <c r="G20" s="4" t="s">
        <v>2313</v>
      </c>
      <c r="H20" s="4" t="s">
        <v>2314</v>
      </c>
      <c r="I20" s="13">
        <v>0</v>
      </c>
      <c r="J20" s="4" t="s">
        <v>2351</v>
      </c>
    </row>
    <row r="21" spans="1:10" ht="60" customHeight="1">
      <c r="A21" s="4" t="s">
        <v>1949</v>
      </c>
      <c r="B21" s="4" t="s">
        <v>1949</v>
      </c>
      <c r="C21" s="4" t="s">
        <v>1954</v>
      </c>
      <c r="D21" s="4" t="s">
        <v>2353</v>
      </c>
      <c r="E21" s="4" t="s">
        <v>2353</v>
      </c>
      <c r="F21" s="4" t="s">
        <v>2317</v>
      </c>
      <c r="G21" s="4" t="s">
        <v>2318</v>
      </c>
      <c r="H21" s="4" t="s">
        <v>2354</v>
      </c>
      <c r="I21" s="13">
        <v>0</v>
      </c>
      <c r="J21" s="4" t="s">
        <v>2351</v>
      </c>
    </row>
    <row r="22" spans="1:10" ht="60" customHeight="1">
      <c r="A22" s="4" t="s">
        <v>1949</v>
      </c>
      <c r="B22" s="4" t="s">
        <v>1949</v>
      </c>
      <c r="C22" s="4" t="s">
        <v>2355</v>
      </c>
      <c r="D22" s="4" t="s">
        <v>2356</v>
      </c>
      <c r="E22" s="4"/>
      <c r="F22" s="4" t="s">
        <v>2357</v>
      </c>
      <c r="G22" s="4" t="s">
        <v>2358</v>
      </c>
      <c r="H22" s="4" t="s">
        <v>2359</v>
      </c>
      <c r="I22" s="13">
        <v>0</v>
      </c>
      <c r="J22" s="4" t="s">
        <v>2360</v>
      </c>
    </row>
    <row r="23" spans="1:10" ht="60" customHeight="1">
      <c r="A23" s="4" t="s">
        <v>1949</v>
      </c>
      <c r="B23" s="4" t="s">
        <v>1949</v>
      </c>
      <c r="C23" s="4" t="s">
        <v>1986</v>
      </c>
      <c r="D23" s="4" t="s">
        <v>2157</v>
      </c>
      <c r="E23" s="4"/>
      <c r="F23" s="4" t="s">
        <v>2320</v>
      </c>
      <c r="G23" s="4" t="s">
        <v>2321</v>
      </c>
      <c r="H23" s="4" t="s">
        <v>2361</v>
      </c>
      <c r="I23" s="13">
        <v>1</v>
      </c>
      <c r="J23" s="4" t="s">
        <v>2362</v>
      </c>
    </row>
    <row r="24" spans="1:10" ht="48" customHeight="1">
      <c r="A24" s="4" t="s">
        <v>1949</v>
      </c>
      <c r="B24" s="4" t="s">
        <v>1949</v>
      </c>
      <c r="C24" s="4" t="s">
        <v>1988</v>
      </c>
      <c r="D24" s="4" t="s">
        <v>2363</v>
      </c>
      <c r="E24" s="4"/>
      <c r="F24" s="4" t="s">
        <v>2320</v>
      </c>
      <c r="G24" s="4" t="s">
        <v>2321</v>
      </c>
      <c r="H24" s="4" t="s">
        <v>2364</v>
      </c>
      <c r="I24" s="13">
        <v>0</v>
      </c>
      <c r="J24" s="4" t="s">
        <v>2365</v>
      </c>
    </row>
    <row r="25" spans="1:10" ht="60" customHeight="1">
      <c r="A25" s="4" t="s">
        <v>1949</v>
      </c>
      <c r="B25" s="4" t="s">
        <v>1949</v>
      </c>
      <c r="C25" s="4" t="s">
        <v>1989</v>
      </c>
      <c r="D25" s="4" t="s">
        <v>2341</v>
      </c>
      <c r="E25" s="4"/>
      <c r="F25" s="4" t="s">
        <v>2320</v>
      </c>
      <c r="G25" s="4" t="s">
        <v>2321</v>
      </c>
      <c r="H25" s="4" t="s">
        <v>2366</v>
      </c>
      <c r="I25" s="13">
        <v>1</v>
      </c>
      <c r="J25" s="4" t="s">
        <v>2367</v>
      </c>
    </row>
    <row r="26" spans="1:10" ht="48" customHeight="1">
      <c r="A26" s="4" t="s">
        <v>1949</v>
      </c>
      <c r="B26" s="4" t="s">
        <v>1949</v>
      </c>
      <c r="C26" s="4" t="s">
        <v>1991</v>
      </c>
      <c r="D26" s="4" t="s">
        <v>2368</v>
      </c>
      <c r="E26" s="4"/>
      <c r="F26" s="4" t="s">
        <v>2320</v>
      </c>
      <c r="G26" s="4" t="s">
        <v>2321</v>
      </c>
      <c r="H26" s="4" t="s">
        <v>2314</v>
      </c>
      <c r="I26" s="13">
        <v>0</v>
      </c>
      <c r="J26" s="4" t="s">
        <v>2365</v>
      </c>
    </row>
    <row r="27" spans="1:10" ht="60" customHeight="1">
      <c r="A27" s="4" t="s">
        <v>1949</v>
      </c>
      <c r="B27" s="4" t="s">
        <v>88</v>
      </c>
      <c r="C27" s="4" t="s">
        <v>2005</v>
      </c>
      <c r="D27" s="4" t="s">
        <v>2010</v>
      </c>
      <c r="E27" s="4" t="s">
        <v>2369</v>
      </c>
      <c r="F27" s="4" t="s">
        <v>2370</v>
      </c>
      <c r="G27" s="4" t="s">
        <v>2371</v>
      </c>
      <c r="H27" s="4"/>
      <c r="I27" s="13"/>
      <c r="J27" s="4"/>
    </row>
    <row r="28" spans="1:10" ht="60" customHeight="1">
      <c r="A28" s="4" t="s">
        <v>1949</v>
      </c>
      <c r="B28" s="4" t="s">
        <v>88</v>
      </c>
      <c r="C28" s="4" t="s">
        <v>2007</v>
      </c>
      <c r="D28" s="4" t="s">
        <v>2010</v>
      </c>
      <c r="E28" s="4" t="s">
        <v>2372</v>
      </c>
      <c r="F28" s="4" t="s">
        <v>2370</v>
      </c>
      <c r="G28" s="4" t="s">
        <v>2371</v>
      </c>
      <c r="H28" s="4"/>
      <c r="I28" s="13"/>
      <c r="J28" s="4"/>
    </row>
    <row r="29" spans="1:10" ht="60" customHeight="1">
      <c r="A29" s="4" t="s">
        <v>1949</v>
      </c>
      <c r="B29" s="4" t="s">
        <v>88</v>
      </c>
      <c r="C29" s="4" t="s">
        <v>2009</v>
      </c>
      <c r="D29" s="4" t="s">
        <v>2373</v>
      </c>
      <c r="E29" s="4"/>
      <c r="F29" s="4" t="s">
        <v>2374</v>
      </c>
      <c r="G29" s="4" t="s">
        <v>2375</v>
      </c>
      <c r="H29" s="4"/>
      <c r="I29" s="13"/>
      <c r="J29" s="4"/>
    </row>
    <row r="30" spans="1:10" ht="60" customHeight="1">
      <c r="A30" s="4" t="s">
        <v>1949</v>
      </c>
      <c r="B30" s="4" t="s">
        <v>88</v>
      </c>
      <c r="C30" s="4" t="s">
        <v>2010</v>
      </c>
      <c r="D30" s="4" t="s">
        <v>2376</v>
      </c>
      <c r="E30" s="4"/>
      <c r="F30" s="4" t="s">
        <v>2377</v>
      </c>
      <c r="G30" s="4" t="s">
        <v>2378</v>
      </c>
      <c r="H30" s="4"/>
      <c r="I30" s="13"/>
      <c r="J30" s="4"/>
    </row>
    <row r="31" spans="1:10" ht="60" customHeight="1">
      <c r="A31" s="4" t="s">
        <v>1949</v>
      </c>
      <c r="B31" s="4" t="s">
        <v>88</v>
      </c>
      <c r="C31" s="4" t="s">
        <v>2012</v>
      </c>
      <c r="D31" s="4" t="s">
        <v>2013</v>
      </c>
      <c r="E31" s="4"/>
      <c r="F31" s="4" t="s">
        <v>2379</v>
      </c>
      <c r="G31" s="4" t="s">
        <v>2380</v>
      </c>
      <c r="H31" s="4"/>
      <c r="I31" s="13"/>
      <c r="J31" s="4"/>
    </row>
    <row r="32" spans="1:10" ht="60" customHeight="1">
      <c r="A32" s="4" t="s">
        <v>1949</v>
      </c>
      <c r="B32" s="4" t="s">
        <v>88</v>
      </c>
      <c r="C32" s="4" t="s">
        <v>2013</v>
      </c>
      <c r="D32" s="4" t="s">
        <v>2012</v>
      </c>
      <c r="E32" s="4"/>
      <c r="F32" s="4" t="s">
        <v>2379</v>
      </c>
      <c r="G32" s="4" t="s">
        <v>2380</v>
      </c>
      <c r="H32" s="4"/>
      <c r="I32" s="13"/>
      <c r="J32" s="4"/>
    </row>
    <row r="33" spans="1:10" ht="60" customHeight="1">
      <c r="A33" s="4" t="s">
        <v>1949</v>
      </c>
      <c r="B33" s="4" t="s">
        <v>88</v>
      </c>
      <c r="C33" s="4" t="s">
        <v>2014</v>
      </c>
      <c r="D33" s="4" t="s">
        <v>1033</v>
      </c>
      <c r="E33" s="4"/>
      <c r="F33" s="4" t="s">
        <v>2381</v>
      </c>
      <c r="G33" s="4" t="s">
        <v>2382</v>
      </c>
      <c r="H33" s="4"/>
      <c r="I33" s="13"/>
      <c r="J33" s="4"/>
    </row>
    <row r="34" spans="1:10" ht="60" customHeight="1">
      <c r="A34" s="4" t="s">
        <v>1949</v>
      </c>
      <c r="B34" s="4" t="s">
        <v>88</v>
      </c>
      <c r="C34" s="4" t="s">
        <v>2015</v>
      </c>
      <c r="D34" s="4" t="s">
        <v>2341</v>
      </c>
      <c r="E34" s="4" t="s">
        <v>2341</v>
      </c>
      <c r="F34" s="4" t="s">
        <v>2383</v>
      </c>
      <c r="G34" s="4" t="s">
        <v>2318</v>
      </c>
      <c r="H34" s="4"/>
      <c r="I34" s="13"/>
      <c r="J34" s="4"/>
    </row>
    <row r="35" spans="1:10" ht="60" customHeight="1">
      <c r="A35" s="4" t="s">
        <v>1949</v>
      </c>
      <c r="B35" s="4" t="s">
        <v>2027</v>
      </c>
      <c r="C35" s="4" t="s">
        <v>2384</v>
      </c>
      <c r="D35" s="4" t="s">
        <v>2385</v>
      </c>
      <c r="E35" s="4" t="s">
        <v>2386</v>
      </c>
      <c r="F35" s="4" t="s">
        <v>2387</v>
      </c>
      <c r="G35" s="4" t="s">
        <v>2388</v>
      </c>
      <c r="H35" s="4"/>
      <c r="I35" s="13"/>
      <c r="J35" s="4"/>
    </row>
    <row r="36" spans="1:10" ht="60" customHeight="1">
      <c r="A36" s="4" t="s">
        <v>1949</v>
      </c>
      <c r="B36" s="4" t="s">
        <v>2027</v>
      </c>
      <c r="C36" s="4" t="s">
        <v>2028</v>
      </c>
      <c r="D36" s="4" t="s">
        <v>2389</v>
      </c>
      <c r="E36" s="4"/>
      <c r="F36" s="4" t="s">
        <v>2390</v>
      </c>
      <c r="G36" s="4" t="s">
        <v>2391</v>
      </c>
      <c r="H36" s="4"/>
      <c r="I36" s="13"/>
      <c r="J36" s="4"/>
    </row>
    <row r="37" spans="1:10" ht="60" customHeight="1">
      <c r="A37" s="4" t="s">
        <v>1949</v>
      </c>
      <c r="B37" s="4" t="s">
        <v>2027</v>
      </c>
      <c r="C37" s="4" t="s">
        <v>2030</v>
      </c>
      <c r="D37" s="4" t="s">
        <v>2033</v>
      </c>
      <c r="E37" s="4"/>
      <c r="F37" s="4" t="s">
        <v>2392</v>
      </c>
      <c r="G37" s="4" t="s">
        <v>2393</v>
      </c>
      <c r="H37" s="4"/>
      <c r="I37" s="13"/>
      <c r="J37" s="4"/>
    </row>
    <row r="38" spans="1:10" ht="60" customHeight="1">
      <c r="A38" s="4" t="s">
        <v>1949</v>
      </c>
      <c r="B38" s="4" t="s">
        <v>2027</v>
      </c>
      <c r="C38" s="4" t="s">
        <v>2031</v>
      </c>
      <c r="D38" s="4" t="s">
        <v>2028</v>
      </c>
      <c r="E38" s="4"/>
      <c r="F38" s="4" t="s">
        <v>2394</v>
      </c>
      <c r="G38" s="4" t="s">
        <v>2313</v>
      </c>
      <c r="H38" s="4"/>
      <c r="I38" s="13"/>
      <c r="J38" s="4"/>
    </row>
    <row r="39" spans="1:10" ht="60" customHeight="1">
      <c r="A39" s="4" t="s">
        <v>1949</v>
      </c>
      <c r="B39" s="4" t="s">
        <v>2027</v>
      </c>
      <c r="C39" s="4" t="s">
        <v>2032</v>
      </c>
      <c r="D39" s="4" t="s">
        <v>2028</v>
      </c>
      <c r="E39" s="4"/>
      <c r="F39" s="4" t="s">
        <v>2395</v>
      </c>
      <c r="G39" s="4" t="s">
        <v>2313</v>
      </c>
      <c r="H39" s="4"/>
      <c r="I39" s="13"/>
      <c r="J39" s="4"/>
    </row>
    <row r="40" spans="1:10" ht="60" customHeight="1">
      <c r="A40" s="4" t="s">
        <v>1949</v>
      </c>
      <c r="B40" s="4" t="s">
        <v>2027</v>
      </c>
      <c r="C40" s="4" t="s">
        <v>2033</v>
      </c>
      <c r="D40" s="4" t="s">
        <v>2396</v>
      </c>
      <c r="E40" s="4"/>
      <c r="F40" s="4" t="s">
        <v>2397</v>
      </c>
      <c r="G40" s="4" t="s">
        <v>2398</v>
      </c>
      <c r="H40" s="4"/>
      <c r="I40" s="13"/>
      <c r="J40" s="4"/>
    </row>
    <row r="41" spans="1:10" ht="48" customHeight="1">
      <c r="A41" s="4" t="s">
        <v>1792</v>
      </c>
      <c r="B41" s="4" t="s">
        <v>1793</v>
      </c>
      <c r="C41" s="4" t="s">
        <v>1794</v>
      </c>
      <c r="D41" s="4" t="s">
        <v>2399</v>
      </c>
      <c r="E41" s="4"/>
      <c r="F41" s="4" t="s">
        <v>2320</v>
      </c>
      <c r="G41" s="4" t="s">
        <v>2321</v>
      </c>
      <c r="H41" s="4" t="s">
        <v>2314</v>
      </c>
      <c r="I41" s="13">
        <v>0</v>
      </c>
      <c r="J41" s="4" t="s">
        <v>2400</v>
      </c>
    </row>
    <row r="42" spans="1:10" ht="48" customHeight="1">
      <c r="A42" s="4" t="s">
        <v>1792</v>
      </c>
      <c r="B42" s="4" t="s">
        <v>1793</v>
      </c>
      <c r="C42" s="4" t="s">
        <v>2401</v>
      </c>
      <c r="D42" s="4" t="s">
        <v>1794</v>
      </c>
      <c r="E42" s="4"/>
      <c r="F42" s="4" t="s">
        <v>2312</v>
      </c>
      <c r="G42" s="4" t="s">
        <v>2316</v>
      </c>
      <c r="H42" s="4" t="s">
        <v>2402</v>
      </c>
      <c r="I42" s="13">
        <v>1</v>
      </c>
      <c r="J42" s="4" t="s">
        <v>2403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
  <sheetViews>
    <sheetView zoomScale="85" zoomScaleNormal="85" workbookViewId="0">
      <selection activeCell="B6" sqref="B6"/>
    </sheetView>
  </sheetViews>
  <sheetFormatPr baseColWidth="10" defaultColWidth="9.140625" defaultRowHeight="15"/>
  <cols>
    <col min="1" max="1" width="28" style="934" customWidth="1"/>
    <col min="2" max="2" width="120" style="934" customWidth="1"/>
  </cols>
  <sheetData>
    <row r="1" spans="1:2" ht="38.1" customHeight="1">
      <c r="A1" s="14" t="s">
        <v>2404</v>
      </c>
      <c r="B1" s="4" t="s">
        <v>2405</v>
      </c>
    </row>
    <row r="2" spans="1:2" ht="54" customHeight="1">
      <c r="A2" s="14" t="s">
        <v>2406</v>
      </c>
      <c r="B2" s="4" t="s">
        <v>2407</v>
      </c>
    </row>
    <row r="3" spans="1:2" ht="54" customHeight="1">
      <c r="A3" s="14" t="s">
        <v>2408</v>
      </c>
      <c r="B3" s="4" t="s">
        <v>2409</v>
      </c>
    </row>
    <row r="4" spans="1:2" ht="54" customHeight="1">
      <c r="A4" s="14" t="s">
        <v>2410</v>
      </c>
      <c r="B4" s="4" t="s">
        <v>2411</v>
      </c>
    </row>
    <row r="5" spans="1:2" ht="54" customHeight="1">
      <c r="A5" s="14" t="s">
        <v>2412</v>
      </c>
      <c r="B5" s="4" t="s">
        <v>2413</v>
      </c>
    </row>
    <row r="6" spans="1:2" ht="54" customHeight="1">
      <c r="A6" s="14" t="s">
        <v>2414</v>
      </c>
      <c r="B6" s="4" t="s">
        <v>2415</v>
      </c>
    </row>
    <row r="7" spans="1:2" ht="54" customHeight="1">
      <c r="A7" s="14" t="s">
        <v>2416</v>
      </c>
      <c r="B7" s="4" t="s">
        <v>2417</v>
      </c>
    </row>
    <row r="8" spans="1:2" ht="54" customHeight="1">
      <c r="A8" s="14" t="s">
        <v>2418</v>
      </c>
      <c r="B8" s="4" t="s">
        <v>2419</v>
      </c>
    </row>
    <row r="9" spans="1:2" ht="54" customHeight="1">
      <c r="A9" s="14" t="s">
        <v>2420</v>
      </c>
      <c r="B9" s="4" t="s">
        <v>2421</v>
      </c>
    </row>
    <row r="10" spans="1:2" ht="54" customHeight="1">
      <c r="A10" s="14" t="s">
        <v>2422</v>
      </c>
      <c r="B10" s="4" t="s">
        <v>2423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FFFF00"/>
  </sheetPr>
  <dimension ref="A1:NS154"/>
  <sheetViews>
    <sheetView tabSelected="1" zoomScaleNormal="100" workbookViewId="0">
      <pane xSplit="6" ySplit="7" topLeftCell="G46" activePane="bottomRight" state="frozen"/>
      <selection pane="topRight"/>
      <selection pane="bottomLeft" activeCell="A4" sqref="A4"/>
      <selection pane="bottomRight" activeCell="I49" sqref="I49"/>
    </sheetView>
  </sheetViews>
  <sheetFormatPr baseColWidth="10" defaultColWidth="9.140625" defaultRowHeight="15" outlineLevelCol="1"/>
  <cols>
    <col min="1" max="1" width="6" style="21" customWidth="1"/>
    <col min="2" max="2" width="14.28515625" style="26" customWidth="1" outlineLevel="1"/>
    <col min="3" max="3" width="15" style="26" customWidth="1" outlineLevel="1"/>
    <col min="4" max="4" width="29.140625" style="26" customWidth="1"/>
    <col min="5" max="5" width="8.28515625" style="44" customWidth="1" outlineLevel="1"/>
    <col min="6" max="6" width="12.5703125" style="44" customWidth="1" outlineLevel="1"/>
    <col min="7" max="7" width="8.140625" style="23" customWidth="1" outlineLevel="1"/>
    <col min="8" max="8" width="8.85546875" style="21" customWidth="1" outlineLevel="1"/>
    <col min="9" max="9" width="54.28515625" style="17" customWidth="1" outlineLevel="1"/>
    <col min="10" max="10" width="25.42578125" style="17" customWidth="1"/>
    <col min="11" max="11" width="11.85546875" style="17" customWidth="1" outlineLevel="1"/>
    <col min="12" max="12" width="11.140625" style="17" customWidth="1" outlineLevel="1"/>
    <col min="13" max="13" width="12.7109375" style="17" customWidth="1" outlineLevel="1"/>
    <col min="14" max="14" width="15.140625" style="17" customWidth="1" outlineLevel="1"/>
    <col min="15" max="15" width="7.85546875" style="44" customWidth="1" outlineLevel="1"/>
    <col min="16" max="16" width="13.85546875" style="17" customWidth="1" outlineLevel="1"/>
    <col min="17" max="17" width="9.140625" style="934" customWidth="1"/>
    <col min="18" max="18" width="15.140625" style="934" customWidth="1"/>
    <col min="19" max="22" width="7.7109375" style="934" customWidth="1"/>
    <col min="23" max="26" width="7.7109375" style="934" customWidth="1" outlineLevel="1"/>
    <col min="27" max="27" width="7.7109375" style="934" customWidth="1"/>
    <col min="28" max="31" width="7.7109375" style="934" customWidth="1" outlineLevel="1"/>
    <col min="32" max="32" width="7.7109375" style="934" customWidth="1"/>
    <col min="33" max="36" width="7.7109375" style="934" customWidth="1" outlineLevel="1"/>
    <col min="37" max="37" width="7.7109375" style="934" customWidth="1"/>
    <col min="38" max="38" width="42.85546875" style="17" customWidth="1" outlineLevel="1"/>
    <col min="39" max="39" width="39" style="17" customWidth="1" outlineLevel="1"/>
    <col min="40" max="40" width="29.7109375" style="17" customWidth="1" outlineLevel="1"/>
    <col min="41" max="41" width="1.7109375" style="803" customWidth="1"/>
    <col min="42" max="42" width="11.28515625" style="934" customWidth="1"/>
    <col min="43" max="43" width="11.28515625" style="933" customWidth="1" outlineLevel="1"/>
    <col min="44" max="44" width="12" style="934" customWidth="1" outlineLevel="1"/>
    <col min="45" max="45" width="11" style="934" customWidth="1" outlineLevel="1"/>
    <col min="46" max="46" width="1.7109375" style="803" customWidth="1"/>
    <col min="47" max="47" width="34" style="934" customWidth="1" outlineLevel="1"/>
    <col min="48" max="48" width="81.85546875" style="58" customWidth="1" outlineLevel="1"/>
    <col min="49" max="49" width="56.42578125" style="17" customWidth="1" outlineLevel="1"/>
    <col min="50" max="50" width="32.42578125" style="934" customWidth="1" outlineLevel="1"/>
    <col min="51" max="51" width="1.7109375" style="803" customWidth="1"/>
    <col min="52" max="55" width="5.28515625" style="934" customWidth="1" outlineLevel="1"/>
    <col min="56" max="56" width="10" style="934" customWidth="1" outlineLevel="1"/>
    <col min="57" max="60" width="9.28515625" style="934" customWidth="1" outlineLevel="1"/>
    <col min="61" max="61" width="10" style="934" customWidth="1" outlineLevel="1"/>
    <col min="62" max="65" width="9.28515625" style="934" customWidth="1" outlineLevel="1"/>
    <col min="66" max="66" width="1.7109375" style="803" customWidth="1"/>
    <col min="67" max="67" width="4.28515625" style="686" customWidth="1" outlineLevel="1"/>
    <col min="68" max="74" width="4.28515625" style="934" customWidth="1" outlineLevel="1"/>
    <col min="75" max="76" width="4.28515625" style="686" customWidth="1" outlineLevel="1"/>
    <col min="77" max="80" width="4.28515625" style="934" customWidth="1" outlineLevel="1"/>
    <col min="81" max="81" width="4.28515625" style="686" customWidth="1" outlineLevel="1"/>
    <col min="82" max="88" width="4.28515625" style="934" customWidth="1" outlineLevel="1"/>
    <col min="89" max="89" width="4.28515625" style="686" customWidth="1" outlineLevel="1"/>
    <col min="90" max="94" width="4.28515625" style="934" customWidth="1" outlineLevel="1"/>
    <col min="95" max="95" width="1.7109375" style="803" customWidth="1"/>
    <col min="96" max="109" width="4.28515625" style="934" customWidth="1" outlineLevel="1"/>
    <col min="110" max="110" width="113.5703125" style="17" customWidth="1" outlineLevel="1"/>
    <col min="111" max="111" width="1.7109375" style="803" customWidth="1"/>
    <col min="112" max="112" width="9.28515625" style="686" customWidth="1" outlineLevel="1"/>
    <col min="113" max="113" width="9.42578125" style="686" customWidth="1" outlineLevel="1"/>
    <col min="114" max="114" width="8.7109375" style="686" customWidth="1" outlineLevel="1"/>
    <col min="115" max="115" width="13" style="934" customWidth="1" outlineLevel="1"/>
    <col min="116" max="116" width="75.140625" style="128" customWidth="1" outlineLevel="1"/>
    <col min="117" max="117" width="10" style="686" customWidth="1" outlineLevel="1"/>
    <col min="118" max="118" width="9.85546875" style="934" customWidth="1" outlineLevel="1"/>
    <col min="119" max="119" width="8.7109375" style="934" customWidth="1" outlineLevel="1"/>
    <col min="120" max="120" width="13" style="934" customWidth="1" outlineLevel="1"/>
    <col min="121" max="121" width="50" style="115" customWidth="1" outlineLevel="1"/>
    <col min="122" max="122" width="1.7109375" style="803" customWidth="1"/>
    <col min="123" max="123" width="9.28515625" style="686" customWidth="1" outlineLevel="1"/>
    <col min="124" max="124" width="13" style="934" customWidth="1" outlineLevel="1"/>
    <col min="125" max="125" width="8.28515625" style="686" customWidth="1" outlineLevel="1"/>
    <col min="126" max="126" width="38.85546875" style="115" customWidth="1" outlineLevel="1"/>
    <col min="127" max="127" width="9.28515625" style="934" customWidth="1" outlineLevel="1"/>
    <col min="128" max="129" width="13" style="934" customWidth="1" outlineLevel="1"/>
    <col min="130" max="130" width="33" style="115" customWidth="1" outlineLevel="1"/>
    <col min="131" max="131" width="1.7109375" style="803" customWidth="1"/>
    <col min="132" max="132" width="8.140625" style="686" customWidth="1" outlineLevel="1"/>
    <col min="133" max="133" width="13" style="934" customWidth="1" outlineLevel="1"/>
    <col min="134" max="134" width="8.42578125" style="686" customWidth="1" outlineLevel="1"/>
    <col min="135" max="135" width="8.140625" style="686" customWidth="1" outlineLevel="1"/>
    <col min="136" max="136" width="61.85546875" style="115" customWidth="1" outlineLevel="1"/>
    <col min="137" max="137" width="8.7109375" style="934" customWidth="1" outlineLevel="1"/>
    <col min="138" max="140" width="13" style="934" customWidth="1" outlineLevel="1"/>
    <col min="141" max="141" width="43" style="115" customWidth="1" outlineLevel="1"/>
    <col min="142" max="142" width="1.7109375" style="803" customWidth="1"/>
    <col min="143" max="143" width="9.28515625" style="686" customWidth="1" outlineLevel="1"/>
    <col min="144" max="145" width="13" style="934" customWidth="1" outlineLevel="1"/>
    <col min="146" max="146" width="65.28515625" style="115" customWidth="1" outlineLevel="1"/>
    <col min="147" max="147" width="9.28515625" style="934" customWidth="1" outlineLevel="1"/>
    <col min="148" max="149" width="13" style="934" customWidth="1" outlineLevel="1"/>
    <col min="150" max="150" width="39.7109375" style="115" customWidth="1" outlineLevel="1"/>
    <col min="151" max="151" width="1.7109375" style="803" customWidth="1"/>
    <col min="152" max="153" width="6.28515625" style="934" customWidth="1" outlineLevel="1"/>
    <col min="154" max="168" width="8.7109375" style="934" customWidth="1" outlineLevel="1"/>
    <col min="169" max="169" width="1.7109375" style="803" customWidth="1"/>
    <col min="170" max="170" width="8.28515625" style="177" customWidth="1" outlineLevel="1"/>
    <col min="171" max="171" width="6.28515625" style="177" customWidth="1" outlineLevel="1"/>
    <col min="172" max="172" width="6.42578125" style="934" customWidth="1" outlineLevel="1"/>
    <col min="173" max="173" width="32.7109375" style="934" customWidth="1" outlineLevel="1"/>
    <col min="174" max="174" width="1.7109375" style="803" customWidth="1"/>
    <col min="175" max="180" width="5.7109375" style="934" customWidth="1" outlineLevel="1"/>
    <col min="181" max="181" width="1.7109375" style="803" customWidth="1" outlineLevel="1"/>
    <col min="182" max="182" width="85.28515625" style="934" customWidth="1" outlineLevel="1"/>
    <col min="183" max="183" width="68.5703125" style="934" customWidth="1" outlineLevel="1"/>
    <col min="184" max="184" width="50.28515625" style="934" customWidth="1" outlineLevel="1"/>
    <col min="185" max="185" width="52.85546875" style="934" customWidth="1" outlineLevel="1"/>
    <col min="186" max="186" width="63.7109375" style="934" customWidth="1" outlineLevel="1"/>
    <col min="187" max="187" width="65" style="934" customWidth="1" outlineLevel="1"/>
    <col min="188" max="188" width="98.85546875" style="934" customWidth="1" outlineLevel="1"/>
    <col min="189" max="189" width="3" style="803" customWidth="1"/>
    <col min="190" max="190" width="7.28515625" style="934" customWidth="1" outlineLevel="1"/>
    <col min="191" max="192" width="7.7109375" style="934" customWidth="1" outlineLevel="1"/>
    <col min="193" max="193" width="8.5703125" style="934" customWidth="1" outlineLevel="1"/>
    <col min="194" max="194" width="9.140625" style="934" customWidth="1" outlineLevel="1"/>
    <col min="195" max="222" width="7.7109375" style="934" customWidth="1" outlineLevel="1"/>
    <col min="223" max="223" width="8.85546875" style="934" customWidth="1" outlineLevel="1"/>
    <col min="224" max="231" width="7.7109375" style="934" customWidth="1" outlineLevel="1"/>
    <col min="232" max="232" width="1.7109375" style="676" customWidth="1"/>
    <col min="233" max="233" width="9.28515625" style="167" customWidth="1" outlineLevel="1"/>
    <col min="234" max="234" width="8.7109375" style="167" customWidth="1" outlineLevel="1"/>
    <col min="235" max="238" width="8.7109375" style="934" customWidth="1" outlineLevel="1"/>
    <col min="239" max="239" width="9.28515625" style="167" customWidth="1" outlineLevel="1"/>
    <col min="240" max="240" width="8.7109375" style="167" customWidth="1" outlineLevel="1"/>
    <col min="241" max="244" width="8.7109375" style="934" customWidth="1" outlineLevel="1"/>
    <col min="245" max="245" width="5.7109375" style="167" customWidth="1" outlineLevel="1"/>
    <col min="246" max="246" width="9.42578125" style="167" customWidth="1" outlineLevel="1"/>
    <col min="247" max="247" width="119.85546875" style="167" customWidth="1" outlineLevel="1"/>
    <col min="248" max="248" width="1.7109375" style="803" customWidth="1"/>
    <col min="249" max="249" width="5.7109375" style="167" customWidth="1" outlineLevel="1"/>
    <col min="250" max="253" width="5.7109375" style="934" customWidth="1" outlineLevel="1"/>
    <col min="254" max="255" width="5.7109375" style="167" customWidth="1" outlineLevel="1"/>
    <col min="256" max="288" width="5.7109375" style="934" customWidth="1" outlineLevel="1"/>
    <col min="289" max="289" width="1.7109375" style="803" customWidth="1"/>
    <col min="290" max="290" width="5.7109375" style="167" customWidth="1" outlineLevel="1"/>
    <col min="291" max="292" width="5.7109375" style="934" customWidth="1" outlineLevel="1"/>
    <col min="293" max="293" width="8.7109375" style="168" customWidth="1" outlineLevel="1"/>
    <col min="294" max="294" width="49.140625" style="167" customWidth="1" outlineLevel="1"/>
    <col min="295" max="295" width="35.85546875" style="167" customWidth="1" outlineLevel="1"/>
    <col min="296" max="296" width="99.85546875" style="167" customWidth="1" outlineLevel="1"/>
    <col min="297" max="383" width="15.7109375" style="689" customWidth="1"/>
  </cols>
  <sheetData>
    <row r="1" spans="1:327" s="933" customFormat="1">
      <c r="A1" s="690"/>
      <c r="B1" s="691"/>
      <c r="C1" s="691"/>
      <c r="D1" s="691"/>
      <c r="E1" s="692"/>
      <c r="F1" s="692"/>
      <c r="G1" s="693"/>
      <c r="H1" s="690"/>
      <c r="J1" s="15" t="s">
        <v>2424</v>
      </c>
      <c r="K1" s="803"/>
      <c r="L1" s="803"/>
      <c r="M1" s="803"/>
      <c r="N1" s="803"/>
      <c r="O1" s="692"/>
      <c r="P1" s="803"/>
      <c r="Q1" s="15" t="s">
        <v>2425</v>
      </c>
      <c r="AA1" s="836" t="s">
        <v>2426</v>
      </c>
      <c r="AB1" s="703"/>
      <c r="AC1" s="703"/>
      <c r="AD1" s="703"/>
      <c r="AE1" s="703"/>
      <c r="AF1" s="836" t="s">
        <v>2427</v>
      </c>
      <c r="AG1" s="703"/>
      <c r="AH1" s="703"/>
      <c r="AI1" s="703"/>
      <c r="AJ1" s="703"/>
      <c r="AK1" s="836" t="s">
        <v>2428</v>
      </c>
      <c r="AL1" s="803"/>
      <c r="AM1" s="803"/>
      <c r="AO1" s="112" t="s">
        <v>2429</v>
      </c>
      <c r="AP1" s="15"/>
      <c r="AT1" s="112" t="s">
        <v>2430</v>
      </c>
      <c r="AU1" s="15"/>
      <c r="AV1" s="62"/>
      <c r="AY1" s="112" t="s">
        <v>2431</v>
      </c>
      <c r="AZ1" s="15"/>
      <c r="BA1" s="15"/>
      <c r="BB1" s="15"/>
      <c r="BC1" s="15"/>
      <c r="BE1" s="843">
        <f>BE6/$BD$6</f>
        <v>0.4410101922520534</v>
      </c>
      <c r="BF1" s="843">
        <f>BF6/$BD$6</f>
        <v>0.1242974314596295</v>
      </c>
      <c r="BG1" s="843">
        <f>BG6/$BD$6</f>
        <v>7.5185541513913351E-2</v>
      </c>
      <c r="BH1" s="843">
        <f>BH6/$BD$6</f>
        <v>0.35950683477440382</v>
      </c>
      <c r="BN1" s="112" t="s">
        <v>2432</v>
      </c>
      <c r="BO1" s="112"/>
      <c r="BP1" s="112"/>
      <c r="BQ1" s="112"/>
      <c r="BT1" s="854"/>
      <c r="CQ1" s="112" t="s">
        <v>2433</v>
      </c>
      <c r="CR1" s="112"/>
      <c r="CS1" s="112"/>
      <c r="CT1" s="112"/>
      <c r="CU1" s="687"/>
      <c r="CV1" s="687"/>
      <c r="CW1" s="687"/>
      <c r="CX1" s="687"/>
      <c r="CY1" s="687"/>
      <c r="CZ1" s="687"/>
      <c r="DA1" s="687"/>
      <c r="DB1" s="687"/>
      <c r="DC1" s="687"/>
      <c r="DD1" s="687"/>
      <c r="DE1" s="687"/>
      <c r="DF1" s="687"/>
      <c r="DG1" s="112" t="s">
        <v>2434</v>
      </c>
      <c r="DH1" s="112"/>
      <c r="DI1" s="112"/>
      <c r="DL1" s="127"/>
      <c r="DQ1" s="114"/>
      <c r="DR1" s="59" t="s">
        <v>2435</v>
      </c>
      <c r="DS1" s="112"/>
      <c r="DV1" s="114"/>
      <c r="DZ1" s="114"/>
      <c r="EA1" s="129" t="s">
        <v>2436</v>
      </c>
      <c r="EB1" s="59"/>
      <c r="EC1" s="59"/>
      <c r="EF1" s="114"/>
      <c r="EK1" s="114"/>
      <c r="EL1" s="130" t="s">
        <v>2437</v>
      </c>
      <c r="EM1" s="130"/>
      <c r="EN1" s="130"/>
      <c r="EP1" s="114"/>
      <c r="ET1" s="114"/>
      <c r="EU1" s="216" t="s">
        <v>2438</v>
      </c>
      <c r="EV1" s="216"/>
      <c r="EW1" s="216"/>
      <c r="EX1" s="941">
        <f>EX6/5000</f>
        <v>1167.309978982918</v>
      </c>
      <c r="EY1" s="942">
        <f>FA6/5000</f>
        <v>502.72259948796125</v>
      </c>
      <c r="EZ1" s="844">
        <f>EY1/$EX$1</f>
        <v>0.43066761060843972</v>
      </c>
      <c r="FA1" s="943">
        <f>FD6/5000</f>
        <v>172.8596503824308</v>
      </c>
      <c r="FB1" s="845">
        <f>FA1/$EX$1</f>
        <v>0.14808375966514406</v>
      </c>
      <c r="FC1" s="846">
        <f>FA1/$EY$1</f>
        <v>0.34384698551148046</v>
      </c>
      <c r="FD1" s="853" t="s">
        <v>2439</v>
      </c>
      <c r="FE1" s="944">
        <f>FG6/5000</f>
        <v>90.49488344017999</v>
      </c>
      <c r="FF1" s="847">
        <f>FE1/$EX$1</f>
        <v>7.752429523392626E-2</v>
      </c>
      <c r="FG1" s="848">
        <f>FE1/$EY$1</f>
        <v>0.1800095789056467</v>
      </c>
      <c r="FH1" s="852" t="s">
        <v>2440</v>
      </c>
      <c r="FI1" s="945">
        <f>FJ6/5000</f>
        <v>401.23284567234646</v>
      </c>
      <c r="FJ1" s="849">
        <f>FI1/$EX$1</f>
        <v>0.3437243344924904</v>
      </c>
      <c r="FK1" s="850">
        <f>FI1/$EY$1</f>
        <v>0.79811977038831095</v>
      </c>
      <c r="FL1" s="851" t="s">
        <v>2441</v>
      </c>
      <c r="FM1" s="217" t="s">
        <v>2442</v>
      </c>
      <c r="FN1" s="217"/>
      <c r="FO1" s="217"/>
      <c r="FP1" s="218"/>
      <c r="FQ1" s="218"/>
      <c r="FR1" s="217" t="s">
        <v>2443</v>
      </c>
      <c r="FS1" s="217"/>
      <c r="FT1" s="217"/>
      <c r="FU1" s="217"/>
      <c r="FV1" s="218"/>
      <c r="FW1" s="218"/>
      <c r="FX1" s="218"/>
      <c r="FZ1" s="114"/>
      <c r="GA1" s="219"/>
      <c r="GB1" s="219"/>
      <c r="GC1" s="114"/>
      <c r="GD1" s="114"/>
      <c r="GE1" s="114"/>
      <c r="GF1" s="114"/>
      <c r="GG1" s="217" t="s">
        <v>2444</v>
      </c>
      <c r="GH1" s="214"/>
      <c r="GI1" s="214"/>
      <c r="GJ1" s="214"/>
      <c r="GK1" s="687"/>
      <c r="GL1" s="687"/>
      <c r="GM1" s="687"/>
      <c r="GN1" s="687"/>
      <c r="GO1" s="687"/>
      <c r="GP1" s="687"/>
      <c r="GQ1" s="687"/>
      <c r="GR1" s="687"/>
      <c r="GS1" s="687"/>
      <c r="GT1" s="687"/>
      <c r="GU1" s="687"/>
      <c r="GV1" s="687"/>
      <c r="GW1" s="687"/>
      <c r="GX1" s="687"/>
      <c r="GY1" s="687"/>
      <c r="GZ1" s="687"/>
      <c r="HA1" s="687"/>
      <c r="HB1" s="687"/>
      <c r="HC1" s="687"/>
      <c r="HD1" s="687"/>
      <c r="HE1" s="687"/>
      <c r="HF1" s="687"/>
      <c r="HG1" s="687"/>
      <c r="HH1" s="687"/>
      <c r="HI1" s="687"/>
      <c r="HJ1" s="687"/>
      <c r="HK1" s="687"/>
      <c r="HL1" s="687"/>
      <c r="HM1" s="687"/>
      <c r="HN1" s="687"/>
      <c r="HO1" s="687"/>
      <c r="HP1" s="687"/>
      <c r="HQ1" s="687"/>
      <c r="HR1" s="687"/>
      <c r="HS1" s="687"/>
      <c r="HT1" s="687"/>
      <c r="HU1" s="687"/>
      <c r="HV1" s="687"/>
      <c r="HW1" s="687"/>
      <c r="HX1" s="244" t="s">
        <v>2445</v>
      </c>
      <c r="HY1" s="244"/>
      <c r="HZ1" s="688"/>
      <c r="IA1" s="688"/>
      <c r="IB1" s="688"/>
      <c r="IC1" s="688"/>
      <c r="ID1" s="688"/>
      <c r="IE1" s="688"/>
      <c r="IF1" s="688"/>
      <c r="IG1" s="688"/>
      <c r="IH1" s="688"/>
      <c r="II1" s="688"/>
      <c r="IJ1" s="688"/>
      <c r="IK1" s="689"/>
      <c r="IL1" s="688"/>
      <c r="IM1" s="688"/>
      <c r="IN1" s="244" t="s">
        <v>2446</v>
      </c>
      <c r="IO1" s="244"/>
      <c r="IP1" s="244"/>
      <c r="IQ1" s="244"/>
      <c r="IR1" s="244"/>
      <c r="IS1" s="688"/>
      <c r="IT1" s="688"/>
      <c r="IU1" s="688"/>
      <c r="IV1" s="688"/>
      <c r="IW1" s="688"/>
      <c r="IX1" s="688"/>
      <c r="IY1" s="688"/>
      <c r="IZ1" s="688"/>
      <c r="JA1" s="688"/>
      <c r="JB1" s="688"/>
      <c r="JC1" s="688"/>
      <c r="JD1" s="688"/>
      <c r="JE1" s="688"/>
      <c r="JF1" s="688"/>
      <c r="JG1" s="688"/>
      <c r="JH1" s="688"/>
      <c r="JI1" s="688"/>
      <c r="JJ1" s="688"/>
      <c r="JK1" s="688"/>
      <c r="JL1" s="688"/>
      <c r="JM1" s="688"/>
      <c r="JN1" s="688"/>
      <c r="JO1" s="688"/>
      <c r="JP1" s="688"/>
      <c r="JQ1" s="688"/>
      <c r="JR1" s="688"/>
      <c r="JS1" s="688"/>
      <c r="JT1" s="688"/>
      <c r="JU1" s="688"/>
      <c r="JV1" s="688"/>
      <c r="JW1" s="688"/>
      <c r="JX1" s="688"/>
      <c r="JY1" s="688"/>
      <c r="JZ1" s="688"/>
      <c r="KA1" s="688"/>
      <c r="KB1" s="688"/>
      <c r="KC1" s="244" t="s">
        <v>2447</v>
      </c>
      <c r="KD1" s="130"/>
      <c r="KE1" s="130"/>
      <c r="KF1" s="130"/>
      <c r="KG1" s="130"/>
      <c r="KH1" s="689"/>
      <c r="KI1" s="689"/>
      <c r="KJ1" s="689"/>
      <c r="KK1" s="244" t="s">
        <v>2448</v>
      </c>
      <c r="KL1" s="130"/>
      <c r="KM1" s="689"/>
      <c r="KN1" s="689"/>
      <c r="KO1" s="689"/>
    </row>
    <row r="2" spans="1:327">
      <c r="A2" s="690"/>
      <c r="B2" s="691"/>
      <c r="C2" s="691"/>
      <c r="D2" s="691"/>
      <c r="E2" s="692"/>
      <c r="F2" s="692"/>
      <c r="G2" s="693"/>
      <c r="H2" s="690"/>
      <c r="I2" s="803"/>
      <c r="J2" s="15" t="s">
        <v>2449</v>
      </c>
      <c r="K2" s="803"/>
      <c r="L2" s="803"/>
      <c r="M2" s="803"/>
      <c r="N2" s="803"/>
      <c r="O2" s="692"/>
      <c r="P2" s="803"/>
      <c r="Q2" s="15" t="s">
        <v>2406</v>
      </c>
      <c r="R2" s="933"/>
      <c r="S2" s="933"/>
      <c r="T2" s="933"/>
      <c r="U2" s="933"/>
      <c r="V2" s="933"/>
      <c r="W2" s="933"/>
      <c r="X2" s="933"/>
      <c r="Y2" s="933"/>
      <c r="Z2" s="933"/>
      <c r="AA2" s="933"/>
      <c r="AB2" s="933"/>
      <c r="AC2" s="933"/>
      <c r="AD2" s="933"/>
      <c r="AE2" s="933"/>
      <c r="AF2" s="933"/>
      <c r="AG2" s="933"/>
      <c r="AH2" s="933"/>
      <c r="AI2" s="933"/>
      <c r="AJ2" s="933"/>
      <c r="AK2" s="933"/>
      <c r="AL2" s="803"/>
      <c r="AM2" s="803"/>
      <c r="AO2" s="112" t="s">
        <v>2450</v>
      </c>
      <c r="AP2" s="112"/>
      <c r="AR2" s="933"/>
      <c r="AS2" s="933"/>
      <c r="AT2" s="933"/>
      <c r="AU2" s="933"/>
      <c r="AV2" s="62"/>
      <c r="AX2" s="933"/>
      <c r="AY2" s="933"/>
      <c r="AZ2" s="66"/>
      <c r="BA2" s="830" t="s">
        <v>2451</v>
      </c>
      <c r="BB2" s="54"/>
      <c r="BC2" s="54"/>
      <c r="BD2" s="54"/>
      <c r="BE2" s="54"/>
      <c r="BF2" s="66"/>
      <c r="BG2" s="54"/>
      <c r="BH2" s="54"/>
      <c r="BI2" s="54"/>
      <c r="BJ2" s="54"/>
      <c r="BK2" s="54"/>
      <c r="BL2" s="54"/>
      <c r="BM2" s="65"/>
      <c r="BN2" s="933"/>
      <c r="BO2" s="80"/>
      <c r="BP2" s="81" t="s">
        <v>2452</v>
      </c>
      <c r="BQ2" s="81"/>
      <c r="BR2" s="82"/>
      <c r="BS2" s="80"/>
      <c r="BT2" s="81" t="s">
        <v>2453</v>
      </c>
      <c r="BU2" s="81"/>
      <c r="BV2" s="82"/>
      <c r="BW2" s="87"/>
      <c r="BX2" s="88" t="s">
        <v>2452</v>
      </c>
      <c r="BY2" s="89"/>
      <c r="BZ2" s="87"/>
      <c r="CA2" s="88" t="s">
        <v>2453</v>
      </c>
      <c r="CB2" s="89"/>
      <c r="CC2" s="94"/>
      <c r="CD2" s="95" t="s">
        <v>2452</v>
      </c>
      <c r="CE2" s="95"/>
      <c r="CF2" s="96"/>
      <c r="CG2" s="94"/>
      <c r="CH2" s="95" t="s">
        <v>2453</v>
      </c>
      <c r="CI2" s="95"/>
      <c r="CJ2" s="96"/>
      <c r="CK2" s="101"/>
      <c r="CL2" s="102" t="s">
        <v>2452</v>
      </c>
      <c r="CM2" s="103"/>
      <c r="CN2" s="101"/>
      <c r="CO2" s="102" t="s">
        <v>2453</v>
      </c>
      <c r="CP2" s="103"/>
      <c r="CQ2" s="933"/>
      <c r="CR2" s="142" t="s">
        <v>2454</v>
      </c>
      <c r="CS2" s="112"/>
      <c r="CT2" s="112"/>
      <c r="CU2" s="112"/>
      <c r="CV2" s="112"/>
      <c r="CW2" s="112"/>
      <c r="CX2" s="112"/>
      <c r="CY2" s="112"/>
      <c r="CZ2" s="112"/>
      <c r="DA2" s="112"/>
      <c r="DB2" s="112"/>
      <c r="DC2" s="112"/>
      <c r="DD2" s="112"/>
      <c r="DE2" s="112"/>
      <c r="DF2" s="144"/>
      <c r="DG2" s="933"/>
      <c r="DH2" s="80"/>
      <c r="DI2" s="81" t="s">
        <v>2455</v>
      </c>
      <c r="DJ2" s="81"/>
      <c r="DK2" s="82"/>
      <c r="DL2" s="127"/>
      <c r="DM2" s="80"/>
      <c r="DN2" s="81" t="s">
        <v>2456</v>
      </c>
      <c r="DO2" s="81"/>
      <c r="DP2" s="82"/>
      <c r="DQ2" s="114"/>
      <c r="DR2" s="933"/>
      <c r="DS2" s="87"/>
      <c r="DT2" s="88" t="s">
        <v>2457</v>
      </c>
      <c r="DU2" s="89"/>
      <c r="DV2" s="114"/>
      <c r="DW2" s="120"/>
      <c r="DX2" s="88" t="s">
        <v>2453</v>
      </c>
      <c r="DY2" s="89"/>
      <c r="DZ2" s="114"/>
      <c r="EA2" s="933"/>
      <c r="EB2" s="94"/>
      <c r="EC2" s="95" t="s">
        <v>2457</v>
      </c>
      <c r="ED2" s="95"/>
      <c r="EE2" s="96"/>
      <c r="EF2" s="114"/>
      <c r="EG2" s="94"/>
      <c r="EH2" s="95" t="s">
        <v>2458</v>
      </c>
      <c r="EI2" s="95"/>
      <c r="EJ2" s="96"/>
      <c r="EK2" s="114"/>
      <c r="EL2" s="933"/>
      <c r="EM2" s="101"/>
      <c r="EN2" s="102" t="s">
        <v>2457</v>
      </c>
      <c r="EO2" s="103"/>
      <c r="EP2" s="114"/>
      <c r="EQ2" s="101"/>
      <c r="ER2" s="102" t="s">
        <v>2453</v>
      </c>
      <c r="ES2" s="103"/>
      <c r="ET2" s="114"/>
      <c r="EU2" s="933"/>
      <c r="EV2" s="183"/>
      <c r="EW2" s="174"/>
      <c r="EX2" s="183" t="s">
        <v>2459</v>
      </c>
      <c r="EY2" s="174"/>
      <c r="EZ2" s="174"/>
      <c r="FA2" s="173"/>
      <c r="FB2" s="179" t="s">
        <v>2459</v>
      </c>
      <c r="FC2" s="173"/>
      <c r="FD2" s="173"/>
      <c r="FE2" s="179" t="s">
        <v>2459</v>
      </c>
      <c r="FF2" s="173"/>
      <c r="FG2" s="173"/>
      <c r="FH2" s="179" t="s">
        <v>2459</v>
      </c>
      <c r="FI2" s="173"/>
      <c r="FJ2" s="173"/>
      <c r="FK2" s="179" t="s">
        <v>2459</v>
      </c>
      <c r="FL2" s="207"/>
      <c r="FM2" s="933"/>
      <c r="FN2" s="162"/>
      <c r="FO2" s="172"/>
      <c r="FP2" s="183"/>
      <c r="FQ2" s="211" t="s">
        <v>2459</v>
      </c>
      <c r="FR2" s="933"/>
      <c r="FS2" s="196" t="s">
        <v>2460</v>
      </c>
      <c r="FT2" s="197"/>
      <c r="FU2" s="174"/>
      <c r="FV2" s="172"/>
      <c r="FW2" s="174"/>
      <c r="FX2" s="175"/>
      <c r="FY2" s="933"/>
      <c r="FZ2" s="114"/>
      <c r="GA2" s="114"/>
      <c r="GB2" s="114"/>
      <c r="GC2" s="114"/>
      <c r="GD2" s="114"/>
      <c r="GE2" s="114"/>
      <c r="GF2" s="114"/>
      <c r="GG2" s="933"/>
      <c r="GH2" s="173"/>
      <c r="GI2" s="179" t="s">
        <v>2459</v>
      </c>
      <c r="GJ2" s="173"/>
      <c r="GK2" s="173"/>
      <c r="GL2" s="179" t="s">
        <v>2459</v>
      </c>
      <c r="GM2" s="173"/>
      <c r="GN2" s="173"/>
      <c r="GO2" s="179" t="s">
        <v>2459</v>
      </c>
      <c r="GP2" s="173"/>
      <c r="GQ2" s="173"/>
      <c r="GR2" s="179" t="s">
        <v>2459</v>
      </c>
      <c r="GS2" s="173"/>
      <c r="GT2" s="173"/>
      <c r="GU2" s="179" t="s">
        <v>2459</v>
      </c>
      <c r="GV2" s="173"/>
      <c r="GW2" s="173"/>
      <c r="GX2" s="179" t="s">
        <v>2459</v>
      </c>
      <c r="GY2" s="173"/>
      <c r="GZ2" s="173"/>
      <c r="HA2" s="179" t="s">
        <v>2459</v>
      </c>
      <c r="HB2" s="173"/>
      <c r="HC2" s="173"/>
      <c r="HD2" s="179" t="s">
        <v>2459</v>
      </c>
      <c r="HE2" s="173"/>
      <c r="HF2" s="173"/>
      <c r="HG2" s="179" t="s">
        <v>2459</v>
      </c>
      <c r="HH2" s="173"/>
      <c r="HI2" s="173"/>
      <c r="HJ2" s="179" t="s">
        <v>2459</v>
      </c>
      <c r="HK2" s="173"/>
      <c r="HL2" s="173"/>
      <c r="HM2" s="179" t="s">
        <v>2459</v>
      </c>
      <c r="HN2" s="173"/>
      <c r="HO2" s="173"/>
      <c r="HP2" s="179" t="s">
        <v>2459</v>
      </c>
      <c r="HQ2" s="173"/>
      <c r="HR2" s="173"/>
      <c r="HS2" s="179" t="s">
        <v>2459</v>
      </c>
      <c r="HT2" s="173"/>
      <c r="HU2" s="173"/>
      <c r="HV2" s="179" t="s">
        <v>2459</v>
      </c>
      <c r="HW2" s="173"/>
      <c r="HY2" s="688"/>
      <c r="HZ2" s="241"/>
      <c r="IA2" s="235"/>
      <c r="IB2" s="172" t="s">
        <v>2461</v>
      </c>
      <c r="IC2" s="235"/>
      <c r="ID2" s="242"/>
      <c r="IE2" s="688"/>
      <c r="IF2" s="241"/>
      <c r="IG2" s="235"/>
      <c r="IH2" s="172" t="s">
        <v>2459</v>
      </c>
      <c r="II2" s="235"/>
      <c r="IJ2" s="235"/>
      <c r="IK2" s="689"/>
      <c r="IL2" s="688"/>
      <c r="IM2" s="688"/>
      <c r="IN2" s="933"/>
      <c r="IO2" s="241"/>
      <c r="IP2" s="235"/>
      <c r="IQ2" s="179" t="s">
        <v>2461</v>
      </c>
      <c r="IR2" s="235"/>
      <c r="IS2" s="242"/>
      <c r="IT2" s="241"/>
      <c r="IU2" s="235"/>
      <c r="IV2" s="179" t="s">
        <v>2459</v>
      </c>
      <c r="IW2" s="235"/>
      <c r="IX2" s="242"/>
      <c r="IY2" s="241"/>
      <c r="IZ2" s="235"/>
      <c r="JA2" s="179" t="s">
        <v>2461</v>
      </c>
      <c r="JB2" s="235"/>
      <c r="JC2" s="242"/>
      <c r="JD2" s="241"/>
      <c r="JE2" s="235"/>
      <c r="JF2" s="179" t="s">
        <v>2459</v>
      </c>
      <c r="JG2" s="235"/>
      <c r="JH2" s="242"/>
      <c r="JI2" s="241"/>
      <c r="JJ2" s="235"/>
      <c r="JK2" s="179" t="s">
        <v>2461</v>
      </c>
      <c r="JL2" s="235"/>
      <c r="JM2" s="242"/>
      <c r="JN2" s="241"/>
      <c r="JO2" s="235"/>
      <c r="JP2" s="179" t="s">
        <v>2459</v>
      </c>
      <c r="JQ2" s="235"/>
      <c r="JR2" s="242"/>
      <c r="JS2" s="241"/>
      <c r="JT2" s="235"/>
      <c r="JU2" s="179" t="s">
        <v>2461</v>
      </c>
      <c r="JV2" s="235"/>
      <c r="JW2" s="242"/>
      <c r="JX2" s="241"/>
      <c r="JY2" s="235"/>
      <c r="JZ2" s="179" t="s">
        <v>2459</v>
      </c>
      <c r="KA2" s="235"/>
      <c r="KB2" s="242"/>
      <c r="KC2" s="933"/>
      <c r="KD2" s="248"/>
      <c r="KE2" s="248" t="s">
        <v>2462</v>
      </c>
      <c r="KF2" s="172"/>
      <c r="KG2" s="172"/>
      <c r="KH2" s="254"/>
      <c r="KI2" s="254"/>
      <c r="KJ2" s="254"/>
    </row>
    <row r="3" spans="1:327" ht="15" customHeight="1">
      <c r="A3" s="690"/>
      <c r="B3" s="691"/>
      <c r="C3" s="691"/>
      <c r="D3" s="691"/>
      <c r="E3" s="692"/>
      <c r="F3" s="692"/>
      <c r="G3" s="693"/>
      <c r="H3" s="690"/>
      <c r="I3" s="803"/>
      <c r="J3" s="803"/>
      <c r="K3" s="803"/>
      <c r="L3" s="803"/>
      <c r="M3" s="803"/>
      <c r="N3" s="803"/>
      <c r="O3" s="692"/>
      <c r="P3" s="803"/>
      <c r="Q3" s="933"/>
      <c r="R3" s="799" t="s">
        <v>2463</v>
      </c>
      <c r="S3" s="799"/>
      <c r="T3" s="800"/>
      <c r="U3" s="800"/>
      <c r="V3" s="799"/>
      <c r="W3" s="800"/>
      <c r="X3" s="800"/>
      <c r="Y3" s="800"/>
      <c r="Z3" s="800"/>
      <c r="AA3" s="800"/>
      <c r="AB3" s="800"/>
      <c r="AC3" s="800"/>
      <c r="AD3" s="800"/>
      <c r="AE3" s="800"/>
      <c r="AF3" s="800"/>
      <c r="AG3" s="800"/>
      <c r="AH3" s="800"/>
      <c r="AI3" s="800"/>
      <c r="AJ3" s="800"/>
      <c r="AK3" s="800"/>
      <c r="AL3" s="800"/>
      <c r="AM3" s="803"/>
      <c r="AN3" s="803"/>
      <c r="AP3" s="933"/>
      <c r="AR3" s="933"/>
      <c r="AS3" s="933"/>
      <c r="AU3" s="933"/>
      <c r="AV3" s="62"/>
      <c r="AW3" s="803"/>
      <c r="AX3" s="933"/>
      <c r="AZ3" s="255" t="s">
        <v>2464</v>
      </c>
      <c r="BA3" s="820"/>
      <c r="BB3" s="252"/>
      <c r="BC3" s="818"/>
      <c r="BD3" s="819"/>
      <c r="BE3" s="820"/>
      <c r="BF3" s="252" t="s">
        <v>2465</v>
      </c>
      <c r="BG3" s="820"/>
      <c r="BH3" s="821"/>
      <c r="BI3" s="819"/>
      <c r="BJ3" s="66"/>
      <c r="BK3" s="67" t="s">
        <v>2466</v>
      </c>
      <c r="BL3" s="66"/>
      <c r="BM3" s="70"/>
      <c r="BO3" s="83"/>
      <c r="BP3" s="54" t="s">
        <v>2467</v>
      </c>
      <c r="BQ3" s="50"/>
      <c r="BR3" s="84"/>
      <c r="BS3" s="83"/>
      <c r="BT3" s="54" t="s">
        <v>2467</v>
      </c>
      <c r="BU3" s="50"/>
      <c r="BV3" s="84"/>
      <c r="BW3" s="90"/>
      <c r="BX3" s="52" t="s">
        <v>2468</v>
      </c>
      <c r="BY3" s="91"/>
      <c r="BZ3" s="90"/>
      <c r="CA3" s="52" t="s">
        <v>2468</v>
      </c>
      <c r="CB3" s="91"/>
      <c r="CC3" s="97" t="s">
        <v>2469</v>
      </c>
      <c r="CD3" s="55"/>
      <c r="CE3" s="56"/>
      <c r="CF3" s="98"/>
      <c r="CG3" s="97" t="s">
        <v>2469</v>
      </c>
      <c r="CH3" s="55"/>
      <c r="CI3" s="56"/>
      <c r="CJ3" s="98"/>
      <c r="CK3" s="104"/>
      <c r="CL3" s="61" t="s">
        <v>2470</v>
      </c>
      <c r="CM3" s="105"/>
      <c r="CN3" s="104"/>
      <c r="CO3" s="61" t="s">
        <v>2470</v>
      </c>
      <c r="CP3" s="105"/>
      <c r="CR3" s="83"/>
      <c r="CS3" s="54" t="s">
        <v>2471</v>
      </c>
      <c r="CT3" s="50"/>
      <c r="CU3" s="84"/>
      <c r="CV3" s="90"/>
      <c r="CW3" s="52" t="s">
        <v>2472</v>
      </c>
      <c r="CX3" s="91"/>
      <c r="CY3" s="97" t="s">
        <v>2469</v>
      </c>
      <c r="CZ3" s="55"/>
      <c r="DA3" s="56"/>
      <c r="DB3" s="98"/>
      <c r="DC3" s="104"/>
      <c r="DD3" s="61" t="s">
        <v>2470</v>
      </c>
      <c r="DE3" s="105"/>
      <c r="DF3" s="144"/>
      <c r="DH3" s="83"/>
      <c r="DI3" s="54" t="s">
        <v>2473</v>
      </c>
      <c r="DJ3" s="50"/>
      <c r="DK3" s="84"/>
      <c r="DL3" s="127"/>
      <c r="DM3" s="83"/>
      <c r="DN3" s="54" t="s">
        <v>2473</v>
      </c>
      <c r="DO3" s="50"/>
      <c r="DP3" s="84"/>
      <c r="DQ3" s="114"/>
      <c r="DS3" s="90"/>
      <c r="DT3" s="52" t="s">
        <v>2468</v>
      </c>
      <c r="DU3" s="91"/>
      <c r="DV3" s="114"/>
      <c r="DW3" s="90"/>
      <c r="DX3" s="52" t="s">
        <v>2468</v>
      </c>
      <c r="DY3" s="91"/>
      <c r="DZ3" s="114"/>
      <c r="EB3" s="97"/>
      <c r="EC3" s="55" t="s">
        <v>2469</v>
      </c>
      <c r="ED3" s="56"/>
      <c r="EE3" s="98"/>
      <c r="EF3" s="114"/>
      <c r="EG3" s="97"/>
      <c r="EH3" s="55" t="s">
        <v>2469</v>
      </c>
      <c r="EI3" s="56"/>
      <c r="EJ3" s="98"/>
      <c r="EK3" s="114"/>
      <c r="EM3" s="104"/>
      <c r="EN3" s="61" t="s">
        <v>2470</v>
      </c>
      <c r="EO3" s="105"/>
      <c r="EP3" s="114"/>
      <c r="EQ3" s="104"/>
      <c r="ER3" s="61" t="s">
        <v>2470</v>
      </c>
      <c r="ES3" s="105"/>
      <c r="ET3" s="114"/>
      <c r="EV3" s="183"/>
      <c r="EW3" s="172"/>
      <c r="EX3" s="183" t="s">
        <v>2474</v>
      </c>
      <c r="EY3" s="174"/>
      <c r="EZ3" s="174"/>
      <c r="FA3" s="162"/>
      <c r="FB3" s="174" t="s">
        <v>2475</v>
      </c>
      <c r="FC3" s="171"/>
      <c r="FD3" s="162"/>
      <c r="FE3" s="180" t="s">
        <v>2472</v>
      </c>
      <c r="FF3" s="171"/>
      <c r="FG3" s="162"/>
      <c r="FH3" s="181" t="s">
        <v>2476</v>
      </c>
      <c r="FI3" s="171"/>
      <c r="FJ3" s="162"/>
      <c r="FK3" s="182" t="s">
        <v>2477</v>
      </c>
      <c r="FL3" s="208"/>
      <c r="FN3" s="212" t="s">
        <v>2478</v>
      </c>
      <c r="FO3" s="172"/>
      <c r="FP3" s="163"/>
      <c r="FQ3" s="213" t="s">
        <v>2479</v>
      </c>
      <c r="FS3" s="200" t="s">
        <v>2480</v>
      </c>
      <c r="FT3" s="186"/>
      <c r="FU3" s="198" t="s">
        <v>2481</v>
      </c>
      <c r="FV3" s="199"/>
      <c r="FW3" s="195" t="s">
        <v>2482</v>
      </c>
      <c r="FX3" s="186"/>
      <c r="FZ3" s="114"/>
      <c r="GA3" s="114"/>
      <c r="GB3" s="114"/>
      <c r="GC3" s="114"/>
      <c r="GD3" s="114"/>
      <c r="GE3" s="114"/>
      <c r="GF3" s="114"/>
      <c r="GH3" s="164"/>
      <c r="GI3" s="187" t="s">
        <v>2483</v>
      </c>
      <c r="GJ3" s="187"/>
      <c r="GK3" s="164"/>
      <c r="GL3" s="187" t="s">
        <v>2484</v>
      </c>
      <c r="GM3" s="164"/>
      <c r="GN3" s="164"/>
      <c r="GO3" s="187" t="s">
        <v>2485</v>
      </c>
      <c r="GP3" s="164"/>
      <c r="GQ3" s="164"/>
      <c r="GR3" s="187" t="s">
        <v>2486</v>
      </c>
      <c r="GS3" s="164"/>
      <c r="GT3" s="188"/>
      <c r="GU3" s="189" t="s">
        <v>2487</v>
      </c>
      <c r="GV3" s="188"/>
      <c r="GW3" s="188"/>
      <c r="GX3" s="189" t="s">
        <v>2488</v>
      </c>
      <c r="GY3" s="188"/>
      <c r="GZ3" s="188"/>
      <c r="HA3" s="189" t="s">
        <v>2489</v>
      </c>
      <c r="HB3" s="188"/>
      <c r="HC3" s="190"/>
      <c r="HD3" s="191" t="s">
        <v>2490</v>
      </c>
      <c r="HE3" s="190"/>
      <c r="HF3" s="795"/>
      <c r="HG3" s="191" t="s">
        <v>2491</v>
      </c>
      <c r="HH3" s="190"/>
      <c r="HI3" s="190"/>
      <c r="HJ3" s="796" t="s">
        <v>2492</v>
      </c>
      <c r="HK3" s="190"/>
      <c r="HL3" s="190"/>
      <c r="HM3" s="796" t="s">
        <v>2493</v>
      </c>
      <c r="HN3" s="190"/>
      <c r="HO3" s="192"/>
      <c r="HP3" s="193" t="s">
        <v>2494</v>
      </c>
      <c r="HQ3" s="192"/>
      <c r="HR3" s="192"/>
      <c r="HS3" s="193" t="s">
        <v>2495</v>
      </c>
      <c r="HT3" s="192"/>
      <c r="HU3" s="192"/>
      <c r="HV3" s="193" t="s">
        <v>2496</v>
      </c>
      <c r="HW3" s="192"/>
      <c r="HY3" s="688"/>
      <c r="HZ3" s="241"/>
      <c r="IA3" s="235"/>
      <c r="IB3" s="252" t="s">
        <v>2497</v>
      </c>
      <c r="IC3" s="235"/>
      <c r="ID3" s="242"/>
      <c r="IE3" s="688"/>
      <c r="IF3" s="241"/>
      <c r="IG3" s="235"/>
      <c r="IH3" s="252" t="s">
        <v>2497</v>
      </c>
      <c r="II3" s="235"/>
      <c r="IJ3" s="242"/>
      <c r="IK3" s="257" t="s">
        <v>2498</v>
      </c>
      <c r="IL3" s="258"/>
      <c r="IO3" s="241"/>
      <c r="IP3" s="235"/>
      <c r="IQ3" s="236" t="s">
        <v>2475</v>
      </c>
      <c r="IR3" s="235"/>
      <c r="IS3" s="242"/>
      <c r="IT3" s="241"/>
      <c r="IU3" s="235"/>
      <c r="IV3" s="236" t="s">
        <v>2475</v>
      </c>
      <c r="IW3" s="235"/>
      <c r="IX3" s="242"/>
      <c r="IY3" s="241"/>
      <c r="IZ3" s="235"/>
      <c r="JA3" s="243" t="s">
        <v>2468</v>
      </c>
      <c r="JB3" s="235"/>
      <c r="JC3" s="242"/>
      <c r="JD3" s="241"/>
      <c r="JE3" s="235"/>
      <c r="JF3" s="243" t="s">
        <v>2468</v>
      </c>
      <c r="JG3" s="235"/>
      <c r="JH3" s="242"/>
      <c r="JI3" s="241"/>
      <c r="JJ3" s="235"/>
      <c r="JK3" s="237" t="s">
        <v>2476</v>
      </c>
      <c r="JL3" s="235"/>
      <c r="JM3" s="242"/>
      <c r="JN3" s="241"/>
      <c r="JO3" s="235"/>
      <c r="JP3" s="237" t="s">
        <v>2476</v>
      </c>
      <c r="JQ3" s="235"/>
      <c r="JR3" s="242"/>
      <c r="JS3" s="241"/>
      <c r="JT3" s="235"/>
      <c r="JU3" s="182" t="s">
        <v>2477</v>
      </c>
      <c r="JV3" s="235"/>
      <c r="JW3" s="242"/>
      <c r="JX3" s="241"/>
      <c r="JY3" s="235"/>
      <c r="JZ3" s="182" t="s">
        <v>2477</v>
      </c>
      <c r="KA3" s="235"/>
      <c r="KB3" s="242"/>
      <c r="KD3" s="196" t="s">
        <v>2499</v>
      </c>
      <c r="KE3" s="211"/>
      <c r="KF3" s="196" t="s">
        <v>2500</v>
      </c>
      <c r="KG3" s="183"/>
      <c r="KH3" s="682"/>
      <c r="KI3" s="682"/>
      <c r="KJ3" s="682"/>
    </row>
    <row r="4" spans="1:327" ht="108" customHeight="1">
      <c r="A4" s="1" t="s">
        <v>2044</v>
      </c>
      <c r="B4" s="46" t="s">
        <v>2045</v>
      </c>
      <c r="C4" s="46" t="s">
        <v>2180</v>
      </c>
      <c r="D4" s="46" t="s">
        <v>2181</v>
      </c>
      <c r="E4" s="46" t="s">
        <v>2048</v>
      </c>
      <c r="F4" s="46" t="s">
        <v>2049</v>
      </c>
      <c r="G4" s="46" t="s">
        <v>2182</v>
      </c>
      <c r="H4" s="46" t="s">
        <v>2183</v>
      </c>
      <c r="I4" s="46" t="s">
        <v>2050</v>
      </c>
      <c r="J4" s="46" t="s">
        <v>2051</v>
      </c>
      <c r="K4" s="46" t="s">
        <v>2184</v>
      </c>
      <c r="L4" s="46" t="s">
        <v>2185</v>
      </c>
      <c r="M4" s="46" t="s">
        <v>2056</v>
      </c>
      <c r="N4" s="46" t="s">
        <v>1249</v>
      </c>
      <c r="O4" s="46" t="s">
        <v>1274</v>
      </c>
      <c r="P4" s="46" t="s">
        <v>2186</v>
      </c>
      <c r="Q4" s="48" t="s">
        <v>2501</v>
      </c>
      <c r="R4" s="46" t="s">
        <v>2502</v>
      </c>
      <c r="S4" s="801">
        <v>2000</v>
      </c>
      <c r="T4" s="801">
        <v>2005</v>
      </c>
      <c r="U4" s="801">
        <v>2010</v>
      </c>
      <c r="V4" s="801">
        <v>2015</v>
      </c>
      <c r="W4" s="801">
        <v>2016</v>
      </c>
      <c r="X4" s="801">
        <v>2017</v>
      </c>
      <c r="Y4" s="801">
        <v>2018</v>
      </c>
      <c r="Z4" s="801">
        <v>2019</v>
      </c>
      <c r="AA4" s="801">
        <v>2020</v>
      </c>
      <c r="AB4" s="801">
        <v>2021</v>
      </c>
      <c r="AC4" s="801">
        <v>2022</v>
      </c>
      <c r="AD4" s="801">
        <v>2023</v>
      </c>
      <c r="AE4" s="801">
        <v>2024</v>
      </c>
      <c r="AF4" s="801">
        <v>2025</v>
      </c>
      <c r="AG4" s="801">
        <v>2026</v>
      </c>
      <c r="AH4" s="801">
        <v>2027</v>
      </c>
      <c r="AI4" s="801">
        <v>2028</v>
      </c>
      <c r="AJ4" s="801">
        <v>2029</v>
      </c>
      <c r="AK4" s="801">
        <v>2030</v>
      </c>
      <c r="AL4" s="46" t="s">
        <v>2503</v>
      </c>
      <c r="AM4" s="46" t="s">
        <v>2504</v>
      </c>
      <c r="AN4" s="46" t="s">
        <v>2065</v>
      </c>
      <c r="AO4" s="109"/>
      <c r="AP4" s="63" t="s">
        <v>2505</v>
      </c>
      <c r="AQ4" s="63" t="s">
        <v>2506</v>
      </c>
      <c r="AR4" s="63" t="s">
        <v>2507</v>
      </c>
      <c r="AS4" s="63" t="s">
        <v>2508</v>
      </c>
      <c r="AT4" s="109"/>
      <c r="AU4" s="46" t="s">
        <v>2509</v>
      </c>
      <c r="AV4" s="46" t="s">
        <v>2510</v>
      </c>
      <c r="AW4" s="46" t="s">
        <v>2511</v>
      </c>
      <c r="AX4" s="46" t="s">
        <v>2512</v>
      </c>
      <c r="AY4" s="109"/>
      <c r="AZ4" s="72" t="s">
        <v>2475</v>
      </c>
      <c r="BA4" s="73" t="s">
        <v>2472</v>
      </c>
      <c r="BB4" s="74" t="s">
        <v>2476</v>
      </c>
      <c r="BC4" s="75" t="s">
        <v>2477</v>
      </c>
      <c r="BD4" s="823" t="s">
        <v>2513</v>
      </c>
      <c r="BE4" s="822" t="s">
        <v>2475</v>
      </c>
      <c r="BF4" s="77" t="s">
        <v>2472</v>
      </c>
      <c r="BG4" s="78" t="s">
        <v>2476</v>
      </c>
      <c r="BH4" s="79" t="s">
        <v>2477</v>
      </c>
      <c r="BI4" s="823" t="s">
        <v>2513</v>
      </c>
      <c r="BJ4" s="822" t="s">
        <v>2475</v>
      </c>
      <c r="BK4" s="77" t="s">
        <v>2472</v>
      </c>
      <c r="BL4" s="78" t="s">
        <v>2476</v>
      </c>
      <c r="BM4" s="79" t="s">
        <v>2477</v>
      </c>
      <c r="BN4" s="109"/>
      <c r="BO4" s="85" t="s">
        <v>2514</v>
      </c>
      <c r="BP4" s="51" t="s">
        <v>2515</v>
      </c>
      <c r="BQ4" s="51" t="s">
        <v>2516</v>
      </c>
      <c r="BR4" s="797" t="s">
        <v>2517</v>
      </c>
      <c r="BS4" s="85" t="s">
        <v>2514</v>
      </c>
      <c r="BT4" s="51" t="s">
        <v>2515</v>
      </c>
      <c r="BU4" s="51" t="s">
        <v>2516</v>
      </c>
      <c r="BV4" s="86" t="s">
        <v>2517</v>
      </c>
      <c r="BW4" s="92" t="s">
        <v>2514</v>
      </c>
      <c r="BX4" s="53" t="s">
        <v>2515</v>
      </c>
      <c r="BY4" s="93" t="s">
        <v>2516</v>
      </c>
      <c r="BZ4" s="92" t="s">
        <v>2514</v>
      </c>
      <c r="CA4" s="53" t="s">
        <v>2515</v>
      </c>
      <c r="CB4" s="93" t="s">
        <v>2516</v>
      </c>
      <c r="CC4" s="99" t="s">
        <v>2518</v>
      </c>
      <c r="CD4" s="57" t="s">
        <v>2519</v>
      </c>
      <c r="CE4" s="57" t="s">
        <v>2520</v>
      </c>
      <c r="CF4" s="100" t="s">
        <v>2521</v>
      </c>
      <c r="CG4" s="99" t="s">
        <v>2518</v>
      </c>
      <c r="CH4" s="57" t="s">
        <v>2519</v>
      </c>
      <c r="CI4" s="57" t="s">
        <v>2520</v>
      </c>
      <c r="CJ4" s="100" t="s">
        <v>2521</v>
      </c>
      <c r="CK4" s="106" t="s">
        <v>2518</v>
      </c>
      <c r="CL4" s="60" t="s">
        <v>2522</v>
      </c>
      <c r="CM4" s="107" t="s">
        <v>2523</v>
      </c>
      <c r="CN4" s="106" t="s">
        <v>2518</v>
      </c>
      <c r="CO4" s="60" t="s">
        <v>2522</v>
      </c>
      <c r="CP4" s="107" t="s">
        <v>2523</v>
      </c>
      <c r="CQ4" s="109"/>
      <c r="CR4" s="131" t="s">
        <v>2514</v>
      </c>
      <c r="CS4" s="132" t="s">
        <v>2515</v>
      </c>
      <c r="CT4" s="132" t="s">
        <v>2516</v>
      </c>
      <c r="CU4" s="133" t="s">
        <v>2517</v>
      </c>
      <c r="CV4" s="134" t="s">
        <v>2514</v>
      </c>
      <c r="CW4" s="135" t="s">
        <v>2515</v>
      </c>
      <c r="CX4" s="136" t="s">
        <v>2516</v>
      </c>
      <c r="CY4" s="137" t="s">
        <v>2518</v>
      </c>
      <c r="CZ4" s="138" t="s">
        <v>2519</v>
      </c>
      <c r="DA4" s="138" t="s">
        <v>2520</v>
      </c>
      <c r="DB4" s="139" t="s">
        <v>2521</v>
      </c>
      <c r="DC4" s="140" t="s">
        <v>2518</v>
      </c>
      <c r="DD4" s="60" t="s">
        <v>2522</v>
      </c>
      <c r="DE4" s="141" t="s">
        <v>2523</v>
      </c>
      <c r="DF4" s="143" t="s">
        <v>2524</v>
      </c>
      <c r="DG4" s="109"/>
      <c r="DH4" s="85" t="s">
        <v>2514</v>
      </c>
      <c r="DI4" s="51" t="s">
        <v>2515</v>
      </c>
      <c r="DJ4" s="51" t="s">
        <v>2516</v>
      </c>
      <c r="DK4" s="86" t="s">
        <v>2517</v>
      </c>
      <c r="DL4" s="116" t="s">
        <v>2525</v>
      </c>
      <c r="DM4" s="85" t="s">
        <v>2514</v>
      </c>
      <c r="DN4" s="51" t="s">
        <v>2515</v>
      </c>
      <c r="DO4" s="51" t="s">
        <v>2516</v>
      </c>
      <c r="DP4" s="86" t="s">
        <v>2517</v>
      </c>
      <c r="DQ4" s="116" t="s">
        <v>2526</v>
      </c>
      <c r="DR4" s="109"/>
      <c r="DS4" s="92" t="s">
        <v>2514</v>
      </c>
      <c r="DT4" s="53" t="s">
        <v>2515</v>
      </c>
      <c r="DU4" s="93" t="s">
        <v>2516</v>
      </c>
      <c r="DV4" s="117" t="s">
        <v>2527</v>
      </c>
      <c r="DW4" s="92" t="s">
        <v>2514</v>
      </c>
      <c r="DX4" s="53" t="s">
        <v>2515</v>
      </c>
      <c r="DY4" s="93" t="s">
        <v>2516</v>
      </c>
      <c r="DZ4" s="117" t="s">
        <v>2528</v>
      </c>
      <c r="EA4" s="109"/>
      <c r="EB4" s="99" t="s">
        <v>2518</v>
      </c>
      <c r="EC4" s="57" t="s">
        <v>2519</v>
      </c>
      <c r="ED4" s="57" t="s">
        <v>2520</v>
      </c>
      <c r="EE4" s="100" t="s">
        <v>2521</v>
      </c>
      <c r="EF4" s="118" t="s">
        <v>2529</v>
      </c>
      <c r="EG4" s="99" t="s">
        <v>2518</v>
      </c>
      <c r="EH4" s="57" t="s">
        <v>2519</v>
      </c>
      <c r="EI4" s="57" t="s">
        <v>2520</v>
      </c>
      <c r="EJ4" s="100" t="s">
        <v>2521</v>
      </c>
      <c r="EK4" s="118" t="s">
        <v>2530</v>
      </c>
      <c r="EL4" s="109"/>
      <c r="EM4" s="106" t="s">
        <v>2518</v>
      </c>
      <c r="EN4" s="60" t="s">
        <v>2519</v>
      </c>
      <c r="EO4" s="107" t="s">
        <v>2523</v>
      </c>
      <c r="EP4" s="119" t="s">
        <v>2531</v>
      </c>
      <c r="EQ4" s="106" t="s">
        <v>2518</v>
      </c>
      <c r="ER4" s="60" t="s">
        <v>2519</v>
      </c>
      <c r="ES4" s="107" t="s">
        <v>2523</v>
      </c>
      <c r="ET4" s="119" t="s">
        <v>2532</v>
      </c>
      <c r="EU4" s="109"/>
      <c r="EV4" s="169" t="s">
        <v>2533</v>
      </c>
      <c r="EW4" s="178" t="s">
        <v>2534</v>
      </c>
      <c r="EX4" s="201" t="s">
        <v>2535</v>
      </c>
      <c r="EY4" s="169" t="s">
        <v>140</v>
      </c>
      <c r="EZ4" s="178" t="s">
        <v>2536</v>
      </c>
      <c r="FA4" s="201" t="s">
        <v>2535</v>
      </c>
      <c r="FB4" s="169" t="s">
        <v>140</v>
      </c>
      <c r="FC4" s="170" t="s">
        <v>2536</v>
      </c>
      <c r="FD4" s="201" t="s">
        <v>2535</v>
      </c>
      <c r="FE4" s="169" t="s">
        <v>140</v>
      </c>
      <c r="FF4" s="170" t="s">
        <v>2536</v>
      </c>
      <c r="FG4" s="201" t="s">
        <v>2535</v>
      </c>
      <c r="FH4" s="169" t="s">
        <v>140</v>
      </c>
      <c r="FI4" s="170" t="s">
        <v>2536</v>
      </c>
      <c r="FJ4" s="201" t="s">
        <v>2535</v>
      </c>
      <c r="FK4" s="169" t="s">
        <v>140</v>
      </c>
      <c r="FL4" s="209" t="s">
        <v>2536</v>
      </c>
      <c r="FM4" s="109"/>
      <c r="FN4" s="201" t="s">
        <v>2537</v>
      </c>
      <c r="FO4" s="178" t="s">
        <v>2538</v>
      </c>
      <c r="FP4" s="185" t="s">
        <v>2539</v>
      </c>
      <c r="FQ4" s="206" t="s">
        <v>2540</v>
      </c>
      <c r="FR4" s="109"/>
      <c r="FS4" s="201" t="s">
        <v>2541</v>
      </c>
      <c r="FT4" s="204" t="s">
        <v>2542</v>
      </c>
      <c r="FU4" s="185" t="s">
        <v>2543</v>
      </c>
      <c r="FV4" s="185" t="s">
        <v>2544</v>
      </c>
      <c r="FW4" s="205" t="s">
        <v>2545</v>
      </c>
      <c r="FX4" s="194" t="s">
        <v>2544</v>
      </c>
      <c r="FY4" s="109"/>
      <c r="FZ4" s="256" t="s">
        <v>2546</v>
      </c>
      <c r="GA4" s="256" t="s">
        <v>2547</v>
      </c>
      <c r="GB4" s="256" t="s">
        <v>2548</v>
      </c>
      <c r="GC4" s="256" t="s">
        <v>2549</v>
      </c>
      <c r="GD4" s="256" t="s">
        <v>2550</v>
      </c>
      <c r="GE4" s="256" t="s">
        <v>2551</v>
      </c>
      <c r="GF4" s="256" t="s">
        <v>2552</v>
      </c>
      <c r="GG4" s="109"/>
      <c r="GH4" s="131" t="s">
        <v>2535</v>
      </c>
      <c r="GI4" s="169" t="s">
        <v>140</v>
      </c>
      <c r="GJ4" s="178" t="s">
        <v>2536</v>
      </c>
      <c r="GK4" s="131" t="s">
        <v>2535</v>
      </c>
      <c r="GL4" s="169" t="s">
        <v>140</v>
      </c>
      <c r="GM4" s="178" t="s">
        <v>2536</v>
      </c>
      <c r="GN4" s="131" t="s">
        <v>2535</v>
      </c>
      <c r="GO4" s="169" t="s">
        <v>140</v>
      </c>
      <c r="GP4" s="178" t="s">
        <v>2536</v>
      </c>
      <c r="GQ4" s="131" t="s">
        <v>2535</v>
      </c>
      <c r="GR4" s="169" t="s">
        <v>140</v>
      </c>
      <c r="GS4" s="178" t="s">
        <v>2536</v>
      </c>
      <c r="GT4" s="131" t="s">
        <v>2535</v>
      </c>
      <c r="GU4" s="169" t="s">
        <v>140</v>
      </c>
      <c r="GV4" s="178" t="s">
        <v>2536</v>
      </c>
      <c r="GW4" s="131" t="s">
        <v>2535</v>
      </c>
      <c r="GX4" s="169" t="s">
        <v>140</v>
      </c>
      <c r="GY4" s="178" t="s">
        <v>2536</v>
      </c>
      <c r="GZ4" s="131" t="s">
        <v>2535</v>
      </c>
      <c r="HA4" s="169" t="s">
        <v>140</v>
      </c>
      <c r="HB4" s="178" t="s">
        <v>2536</v>
      </c>
      <c r="HC4" s="131" t="s">
        <v>2535</v>
      </c>
      <c r="HD4" s="169" t="s">
        <v>140</v>
      </c>
      <c r="HE4" s="178" t="s">
        <v>2536</v>
      </c>
      <c r="HF4" s="131" t="s">
        <v>2535</v>
      </c>
      <c r="HG4" s="169" t="s">
        <v>140</v>
      </c>
      <c r="HH4" s="178" t="s">
        <v>2536</v>
      </c>
      <c r="HI4" s="131" t="s">
        <v>2535</v>
      </c>
      <c r="HJ4" s="169" t="s">
        <v>140</v>
      </c>
      <c r="HK4" s="178" t="s">
        <v>2536</v>
      </c>
      <c r="HL4" s="131" t="s">
        <v>2535</v>
      </c>
      <c r="HM4" s="169" t="s">
        <v>140</v>
      </c>
      <c r="HN4" s="178" t="s">
        <v>2536</v>
      </c>
      <c r="HO4" s="131" t="s">
        <v>2535</v>
      </c>
      <c r="HP4" s="169" t="s">
        <v>140</v>
      </c>
      <c r="HQ4" s="178" t="s">
        <v>2536</v>
      </c>
      <c r="HR4" s="131" t="s">
        <v>2535</v>
      </c>
      <c r="HS4" s="169" t="s">
        <v>140</v>
      </c>
      <c r="HT4" s="178" t="s">
        <v>2536</v>
      </c>
      <c r="HU4" s="131" t="s">
        <v>2535</v>
      </c>
      <c r="HV4" s="169" t="s">
        <v>140</v>
      </c>
      <c r="HW4" s="178" t="s">
        <v>2536</v>
      </c>
      <c r="HY4" s="253" t="s">
        <v>2553</v>
      </c>
      <c r="HZ4" s="234" t="s">
        <v>2554</v>
      </c>
      <c r="IA4" s="169" t="s">
        <v>2555</v>
      </c>
      <c r="IB4" s="184" t="s">
        <v>2194</v>
      </c>
      <c r="IC4" s="233" t="s">
        <v>2556</v>
      </c>
      <c r="ID4" s="232" t="s">
        <v>2557</v>
      </c>
      <c r="IE4" s="253" t="s">
        <v>2558</v>
      </c>
      <c r="IF4" s="234" t="s">
        <v>2554</v>
      </c>
      <c r="IG4" s="169" t="s">
        <v>2555</v>
      </c>
      <c r="IH4" s="184" t="s">
        <v>2194</v>
      </c>
      <c r="II4" s="233" t="s">
        <v>2556</v>
      </c>
      <c r="IJ4" s="232" t="s">
        <v>2557</v>
      </c>
      <c r="IK4" s="201" t="s">
        <v>2541</v>
      </c>
      <c r="IL4" s="201" t="s">
        <v>2559</v>
      </c>
      <c r="IM4" s="251" t="s">
        <v>2560</v>
      </c>
      <c r="IN4" s="109"/>
      <c r="IO4" s="234" t="s">
        <v>2554</v>
      </c>
      <c r="IP4" s="169" t="s">
        <v>2555</v>
      </c>
      <c r="IQ4" s="184" t="s">
        <v>2194</v>
      </c>
      <c r="IR4" s="233" t="s">
        <v>2556</v>
      </c>
      <c r="IS4" s="232" t="s">
        <v>2557</v>
      </c>
      <c r="IT4" s="234" t="s">
        <v>2554</v>
      </c>
      <c r="IU4" s="169" t="s">
        <v>2555</v>
      </c>
      <c r="IV4" s="184" t="s">
        <v>2194</v>
      </c>
      <c r="IW4" s="233" t="s">
        <v>2556</v>
      </c>
      <c r="IX4" s="232" t="s">
        <v>2557</v>
      </c>
      <c r="IY4" s="234" t="s">
        <v>2554</v>
      </c>
      <c r="IZ4" s="169" t="s">
        <v>2555</v>
      </c>
      <c r="JA4" s="184" t="s">
        <v>2194</v>
      </c>
      <c r="JB4" s="233" t="s">
        <v>2556</v>
      </c>
      <c r="JC4" s="232" t="s">
        <v>2557</v>
      </c>
      <c r="JD4" s="234" t="s">
        <v>2554</v>
      </c>
      <c r="JE4" s="169" t="s">
        <v>2555</v>
      </c>
      <c r="JF4" s="184" t="s">
        <v>2194</v>
      </c>
      <c r="JG4" s="233" t="s">
        <v>2556</v>
      </c>
      <c r="JH4" s="232" t="s">
        <v>2557</v>
      </c>
      <c r="JI4" s="234" t="s">
        <v>2554</v>
      </c>
      <c r="JJ4" s="169" t="s">
        <v>2555</v>
      </c>
      <c r="JK4" s="184" t="s">
        <v>2194</v>
      </c>
      <c r="JL4" s="233" t="s">
        <v>2556</v>
      </c>
      <c r="JM4" s="232" t="s">
        <v>2557</v>
      </c>
      <c r="JN4" s="234" t="s">
        <v>2554</v>
      </c>
      <c r="JO4" s="169" t="s">
        <v>2555</v>
      </c>
      <c r="JP4" s="184" t="s">
        <v>2194</v>
      </c>
      <c r="JQ4" s="233" t="s">
        <v>2556</v>
      </c>
      <c r="JR4" s="232" t="s">
        <v>2557</v>
      </c>
      <c r="JS4" s="234" t="s">
        <v>2554</v>
      </c>
      <c r="JT4" s="169" t="s">
        <v>2555</v>
      </c>
      <c r="JU4" s="184" t="s">
        <v>2194</v>
      </c>
      <c r="JV4" s="233" t="s">
        <v>2556</v>
      </c>
      <c r="JW4" s="232" t="s">
        <v>2557</v>
      </c>
      <c r="JX4" s="234" t="s">
        <v>2554</v>
      </c>
      <c r="JY4" s="169" t="s">
        <v>2555</v>
      </c>
      <c r="JZ4" s="184" t="s">
        <v>2194</v>
      </c>
      <c r="KA4" s="233" t="s">
        <v>2556</v>
      </c>
      <c r="KB4" s="232" t="s">
        <v>2557</v>
      </c>
      <c r="KC4" s="109"/>
      <c r="KD4" s="233" t="s">
        <v>2561</v>
      </c>
      <c r="KE4" s="232" t="s">
        <v>2562</v>
      </c>
      <c r="KF4" s="201" t="s">
        <v>2541</v>
      </c>
      <c r="KG4" s="201" t="s">
        <v>2559</v>
      </c>
      <c r="KH4" s="143" t="s">
        <v>2563</v>
      </c>
      <c r="KI4" s="143" t="s">
        <v>2564</v>
      </c>
      <c r="KJ4" s="143" t="s">
        <v>2565</v>
      </c>
    </row>
    <row r="5" spans="1:327" ht="8.1" customHeight="1">
      <c r="A5" s="829" t="s">
        <v>2090</v>
      </c>
      <c r="B5" s="829" t="s">
        <v>2090</v>
      </c>
      <c r="C5" s="829" t="s">
        <v>2090</v>
      </c>
      <c r="D5" s="829" t="s">
        <v>2090</v>
      </c>
      <c r="E5" s="829" t="s">
        <v>2090</v>
      </c>
      <c r="F5" s="829" t="s">
        <v>2090</v>
      </c>
      <c r="G5" s="829" t="s">
        <v>2090</v>
      </c>
      <c r="H5" s="829" t="s">
        <v>2090</v>
      </c>
      <c r="I5" s="829" t="s">
        <v>2090</v>
      </c>
      <c r="J5" s="829" t="s">
        <v>2090</v>
      </c>
      <c r="K5" s="829" t="s">
        <v>2090</v>
      </c>
      <c r="L5" s="829" t="s">
        <v>2090</v>
      </c>
      <c r="M5" s="829" t="s">
        <v>2090</v>
      </c>
      <c r="N5" s="829" t="s">
        <v>2090</v>
      </c>
      <c r="O5" s="829" t="s">
        <v>2090</v>
      </c>
      <c r="P5" s="829" t="s">
        <v>2090</v>
      </c>
      <c r="Q5" s="829" t="s">
        <v>2090</v>
      </c>
      <c r="R5" s="829" t="s">
        <v>2090</v>
      </c>
      <c r="S5" s="829" t="s">
        <v>2090</v>
      </c>
      <c r="T5" s="829" t="s">
        <v>2090</v>
      </c>
      <c r="U5" s="829" t="s">
        <v>2090</v>
      </c>
      <c r="V5" s="829" t="s">
        <v>2090</v>
      </c>
      <c r="W5" s="829" t="s">
        <v>2090</v>
      </c>
      <c r="X5" s="829" t="s">
        <v>2090</v>
      </c>
      <c r="Y5" s="829" t="s">
        <v>2090</v>
      </c>
      <c r="Z5" s="829" t="s">
        <v>2090</v>
      </c>
      <c r="AA5" s="829" t="s">
        <v>2090</v>
      </c>
      <c r="AB5" s="829" t="s">
        <v>2090</v>
      </c>
      <c r="AC5" s="829" t="s">
        <v>2090</v>
      </c>
      <c r="AD5" s="829" t="s">
        <v>2090</v>
      </c>
      <c r="AE5" s="829" t="s">
        <v>2090</v>
      </c>
      <c r="AF5" s="829" t="s">
        <v>2090</v>
      </c>
      <c r="AG5" s="829" t="s">
        <v>2090</v>
      </c>
      <c r="AH5" s="829" t="s">
        <v>2090</v>
      </c>
      <c r="AI5" s="829" t="s">
        <v>2090</v>
      </c>
      <c r="AJ5" s="829" t="s">
        <v>2090</v>
      </c>
      <c r="AK5" s="829" t="s">
        <v>2090</v>
      </c>
      <c r="AL5" s="829" t="s">
        <v>2090</v>
      </c>
      <c r="AM5" s="829" t="s">
        <v>2090</v>
      </c>
      <c r="AN5" s="829" t="s">
        <v>2090</v>
      </c>
      <c r="AO5" s="829"/>
      <c r="AP5" s="829" t="s">
        <v>2090</v>
      </c>
      <c r="AQ5" s="829" t="s">
        <v>2090</v>
      </c>
      <c r="AR5" s="829" t="s">
        <v>2090</v>
      </c>
      <c r="AS5" s="829" t="s">
        <v>2090</v>
      </c>
      <c r="AT5" s="109"/>
      <c r="AU5" s="829" t="s">
        <v>2090</v>
      </c>
      <c r="AV5" s="829" t="s">
        <v>2090</v>
      </c>
      <c r="AW5" s="829" t="s">
        <v>2090</v>
      </c>
      <c r="AX5" s="829" t="s">
        <v>2090</v>
      </c>
      <c r="AY5" s="109"/>
      <c r="AZ5" s="829" t="s">
        <v>2090</v>
      </c>
      <c r="BA5" s="829" t="s">
        <v>2090</v>
      </c>
      <c r="BB5" s="829" t="s">
        <v>2090</v>
      </c>
      <c r="BC5" s="829" t="s">
        <v>2090</v>
      </c>
      <c r="BD5" s="829"/>
      <c r="BE5" s="829" t="s">
        <v>2090</v>
      </c>
      <c r="BF5" s="829" t="s">
        <v>2090</v>
      </c>
      <c r="BG5" s="829" t="s">
        <v>2090</v>
      </c>
      <c r="BH5" s="829" t="s">
        <v>2090</v>
      </c>
      <c r="BI5" s="829"/>
      <c r="BJ5" s="829" t="s">
        <v>2090</v>
      </c>
      <c r="BK5" s="829" t="s">
        <v>2090</v>
      </c>
      <c r="BL5" s="829" t="s">
        <v>2090</v>
      </c>
      <c r="BM5" s="829" t="s">
        <v>2090</v>
      </c>
      <c r="BN5" s="109"/>
      <c r="BO5" s="829" t="s">
        <v>2090</v>
      </c>
      <c r="BP5" s="829" t="s">
        <v>2090</v>
      </c>
      <c r="BQ5" s="829" t="s">
        <v>2090</v>
      </c>
      <c r="BR5" s="829" t="s">
        <v>2090</v>
      </c>
      <c r="BS5" s="829" t="s">
        <v>2090</v>
      </c>
      <c r="BT5" s="829" t="s">
        <v>2090</v>
      </c>
      <c r="BU5" s="829" t="s">
        <v>2090</v>
      </c>
      <c r="BV5" s="829" t="s">
        <v>2090</v>
      </c>
      <c r="BW5" s="829" t="s">
        <v>2090</v>
      </c>
      <c r="BX5" s="829" t="s">
        <v>2090</v>
      </c>
      <c r="BY5" s="829" t="s">
        <v>2090</v>
      </c>
      <c r="BZ5" s="829" t="s">
        <v>2090</v>
      </c>
      <c r="CA5" s="829" t="s">
        <v>2090</v>
      </c>
      <c r="CB5" s="829" t="s">
        <v>2090</v>
      </c>
      <c r="CC5" s="829" t="s">
        <v>2090</v>
      </c>
      <c r="CD5" s="829" t="s">
        <v>2090</v>
      </c>
      <c r="CE5" s="829" t="s">
        <v>2090</v>
      </c>
      <c r="CF5" s="829" t="s">
        <v>2090</v>
      </c>
      <c r="CG5" s="829" t="s">
        <v>2090</v>
      </c>
      <c r="CH5" s="829" t="s">
        <v>2090</v>
      </c>
      <c r="CI5" s="829" t="s">
        <v>2090</v>
      </c>
      <c r="CJ5" s="829" t="s">
        <v>2090</v>
      </c>
      <c r="CK5" s="829" t="s">
        <v>2090</v>
      </c>
      <c r="CL5" s="829" t="s">
        <v>2090</v>
      </c>
      <c r="CM5" s="829" t="s">
        <v>2090</v>
      </c>
      <c r="CN5" s="829" t="s">
        <v>2090</v>
      </c>
      <c r="CO5" s="829" t="s">
        <v>2090</v>
      </c>
      <c r="CP5" s="829" t="s">
        <v>2090</v>
      </c>
      <c r="CQ5" s="109"/>
      <c r="CR5" s="829" t="s">
        <v>2090</v>
      </c>
      <c r="CS5" s="829" t="s">
        <v>2090</v>
      </c>
      <c r="CT5" s="829" t="s">
        <v>2090</v>
      </c>
      <c r="CU5" s="829" t="s">
        <v>2090</v>
      </c>
      <c r="CV5" s="829" t="s">
        <v>2090</v>
      </c>
      <c r="CW5" s="829" t="s">
        <v>2090</v>
      </c>
      <c r="CX5" s="829" t="s">
        <v>2090</v>
      </c>
      <c r="CY5" s="829" t="s">
        <v>2090</v>
      </c>
      <c r="CZ5" s="829" t="s">
        <v>2090</v>
      </c>
      <c r="DA5" s="829" t="s">
        <v>2090</v>
      </c>
      <c r="DB5" s="829" t="s">
        <v>2090</v>
      </c>
      <c r="DC5" s="829" t="s">
        <v>2090</v>
      </c>
      <c r="DD5" s="829" t="s">
        <v>2090</v>
      </c>
      <c r="DE5" s="829" t="s">
        <v>2090</v>
      </c>
      <c r="DF5" s="829" t="s">
        <v>2090</v>
      </c>
      <c r="DG5" s="109"/>
      <c r="DH5" s="829" t="s">
        <v>2090</v>
      </c>
      <c r="DI5" s="829" t="s">
        <v>2090</v>
      </c>
      <c r="DJ5" s="829" t="s">
        <v>2090</v>
      </c>
      <c r="DK5" s="829" t="s">
        <v>2090</v>
      </c>
      <c r="DL5" s="420" t="s">
        <v>2090</v>
      </c>
      <c r="DM5" s="829" t="s">
        <v>2090</v>
      </c>
      <c r="DN5" s="829" t="s">
        <v>2090</v>
      </c>
      <c r="DO5" s="829" t="s">
        <v>2090</v>
      </c>
      <c r="DP5" s="829" t="s">
        <v>2090</v>
      </c>
      <c r="DQ5" s="829" t="s">
        <v>2090</v>
      </c>
      <c r="DR5" s="109"/>
      <c r="DS5" s="829" t="s">
        <v>2090</v>
      </c>
      <c r="DT5" s="829" t="s">
        <v>2090</v>
      </c>
      <c r="DU5" s="829" t="s">
        <v>2090</v>
      </c>
      <c r="DV5" s="829" t="s">
        <v>2090</v>
      </c>
      <c r="DW5" s="829" t="s">
        <v>2090</v>
      </c>
      <c r="DX5" s="829" t="s">
        <v>2090</v>
      </c>
      <c r="DY5" s="829" t="s">
        <v>2090</v>
      </c>
      <c r="DZ5" s="829" t="s">
        <v>2090</v>
      </c>
      <c r="EA5" s="109"/>
      <c r="EB5" s="829" t="s">
        <v>2090</v>
      </c>
      <c r="EC5" s="829" t="s">
        <v>2090</v>
      </c>
      <c r="ED5" s="829" t="s">
        <v>2090</v>
      </c>
      <c r="EE5" s="829" t="s">
        <v>2090</v>
      </c>
      <c r="EF5" s="829" t="s">
        <v>2090</v>
      </c>
      <c r="EG5" s="829" t="s">
        <v>2090</v>
      </c>
      <c r="EH5" s="829" t="s">
        <v>2090</v>
      </c>
      <c r="EI5" s="829" t="s">
        <v>2090</v>
      </c>
      <c r="EJ5" s="829" t="s">
        <v>2090</v>
      </c>
      <c r="EK5" s="829" t="s">
        <v>2090</v>
      </c>
      <c r="EL5" s="109"/>
      <c r="EM5" s="829" t="s">
        <v>2090</v>
      </c>
      <c r="EN5" s="829" t="s">
        <v>2090</v>
      </c>
      <c r="EO5" s="829" t="s">
        <v>2090</v>
      </c>
      <c r="EP5" s="829" t="s">
        <v>2090</v>
      </c>
      <c r="EQ5" s="829" t="s">
        <v>2090</v>
      </c>
      <c r="ER5" s="829" t="s">
        <v>2090</v>
      </c>
      <c r="ES5" s="829" t="s">
        <v>2090</v>
      </c>
      <c r="ET5" s="829" t="s">
        <v>2090</v>
      </c>
      <c r="EU5" s="109"/>
      <c r="EV5" s="165" t="s">
        <v>2090</v>
      </c>
      <c r="EW5" s="165" t="s">
        <v>2090</v>
      </c>
      <c r="EX5" s="165" t="s">
        <v>2090</v>
      </c>
      <c r="EY5" s="165" t="s">
        <v>2090</v>
      </c>
      <c r="EZ5" s="165" t="s">
        <v>2090</v>
      </c>
      <c r="FA5" s="165" t="s">
        <v>2090</v>
      </c>
      <c r="FB5" s="165" t="s">
        <v>2090</v>
      </c>
      <c r="FC5" s="165" t="s">
        <v>2090</v>
      </c>
      <c r="FD5" s="165" t="s">
        <v>2090</v>
      </c>
      <c r="FE5" s="165" t="s">
        <v>2090</v>
      </c>
      <c r="FF5" s="165" t="s">
        <v>2090</v>
      </c>
      <c r="FG5" s="165" t="s">
        <v>2090</v>
      </c>
      <c r="FH5" s="165" t="s">
        <v>2090</v>
      </c>
      <c r="FI5" s="165" t="s">
        <v>2090</v>
      </c>
      <c r="FJ5" s="165" t="s">
        <v>2090</v>
      </c>
      <c r="FK5" s="165" t="s">
        <v>2090</v>
      </c>
      <c r="FL5" s="210" t="s">
        <v>2090</v>
      </c>
      <c r="FM5" s="109"/>
      <c r="FN5" s="165" t="s">
        <v>2090</v>
      </c>
      <c r="FO5" s="165" t="s">
        <v>2090</v>
      </c>
      <c r="FP5" s="165" t="s">
        <v>2090</v>
      </c>
      <c r="FQ5" s="165" t="s">
        <v>2090</v>
      </c>
      <c r="FR5" s="109"/>
      <c r="FS5" s="165" t="s">
        <v>2090</v>
      </c>
      <c r="FT5" s="165" t="s">
        <v>2090</v>
      </c>
      <c r="FU5" s="202" t="s">
        <v>2090</v>
      </c>
      <c r="FV5" s="203" t="s">
        <v>2090</v>
      </c>
      <c r="FW5" s="165" t="s">
        <v>2090</v>
      </c>
      <c r="FX5" s="165" t="s">
        <v>2090</v>
      </c>
      <c r="FY5" s="109"/>
      <c r="FZ5" s="165" t="s">
        <v>2090</v>
      </c>
      <c r="GA5" s="165" t="s">
        <v>2090</v>
      </c>
      <c r="GB5" s="165" t="s">
        <v>2090</v>
      </c>
      <c r="GC5" s="165" t="s">
        <v>2090</v>
      </c>
      <c r="GD5" s="165" t="s">
        <v>2090</v>
      </c>
      <c r="GE5" s="165" t="s">
        <v>2090</v>
      </c>
      <c r="GF5" s="165" t="s">
        <v>2090</v>
      </c>
      <c r="GG5" s="109"/>
      <c r="GH5" s="165" t="s">
        <v>2090</v>
      </c>
      <c r="GI5" s="165" t="s">
        <v>2090</v>
      </c>
      <c r="GJ5" s="165" t="s">
        <v>2090</v>
      </c>
      <c r="GK5" s="165" t="s">
        <v>2090</v>
      </c>
      <c r="GL5" s="165" t="s">
        <v>2090</v>
      </c>
      <c r="GM5" s="165" t="s">
        <v>2090</v>
      </c>
      <c r="GN5" s="165" t="s">
        <v>2090</v>
      </c>
      <c r="GO5" s="165" t="s">
        <v>2090</v>
      </c>
      <c r="GP5" s="165" t="s">
        <v>2090</v>
      </c>
      <c r="GQ5" s="165" t="s">
        <v>2090</v>
      </c>
      <c r="GR5" s="165" t="s">
        <v>2090</v>
      </c>
      <c r="GS5" s="165" t="s">
        <v>2090</v>
      </c>
      <c r="GT5" s="165" t="s">
        <v>2090</v>
      </c>
      <c r="GU5" s="165" t="s">
        <v>2090</v>
      </c>
      <c r="GV5" s="165" t="s">
        <v>2090</v>
      </c>
      <c r="GW5" s="165" t="s">
        <v>2090</v>
      </c>
      <c r="GX5" s="165" t="s">
        <v>2090</v>
      </c>
      <c r="GY5" s="165" t="s">
        <v>2090</v>
      </c>
      <c r="GZ5" s="165" t="s">
        <v>2090</v>
      </c>
      <c r="HA5" s="165" t="s">
        <v>2090</v>
      </c>
      <c r="HB5" s="165" t="s">
        <v>2090</v>
      </c>
      <c r="HC5" s="165" t="s">
        <v>2090</v>
      </c>
      <c r="HD5" s="165" t="s">
        <v>2090</v>
      </c>
      <c r="HE5" s="165" t="s">
        <v>2090</v>
      </c>
      <c r="HF5" s="165" t="s">
        <v>2090</v>
      </c>
      <c r="HG5" s="165" t="s">
        <v>2090</v>
      </c>
      <c r="HH5" s="165" t="s">
        <v>2090</v>
      </c>
      <c r="HI5" s="165" t="s">
        <v>2090</v>
      </c>
      <c r="HJ5" s="165" t="s">
        <v>2090</v>
      </c>
      <c r="HK5" s="165" t="s">
        <v>2090</v>
      </c>
      <c r="HL5" s="165" t="s">
        <v>2090</v>
      </c>
      <c r="HM5" s="165" t="s">
        <v>2090</v>
      </c>
      <c r="HN5" s="165" t="s">
        <v>2090</v>
      </c>
      <c r="HO5" s="165" t="s">
        <v>2090</v>
      </c>
      <c r="HP5" s="165" t="s">
        <v>2090</v>
      </c>
      <c r="HQ5" s="165" t="s">
        <v>2090</v>
      </c>
      <c r="HR5" s="165" t="s">
        <v>2090</v>
      </c>
      <c r="HS5" s="165" t="s">
        <v>2090</v>
      </c>
      <c r="HT5" s="165" t="s">
        <v>2090</v>
      </c>
      <c r="HU5" s="165" t="s">
        <v>2090</v>
      </c>
      <c r="HV5" s="165" t="s">
        <v>2090</v>
      </c>
      <c r="HW5" s="165" t="s">
        <v>2090</v>
      </c>
      <c r="HY5" s="165" t="s">
        <v>2090</v>
      </c>
      <c r="HZ5" s="165" t="s">
        <v>2090</v>
      </c>
      <c r="IA5" s="165" t="s">
        <v>2090</v>
      </c>
      <c r="IB5" s="165" t="s">
        <v>2090</v>
      </c>
      <c r="IC5" s="165" t="s">
        <v>2090</v>
      </c>
      <c r="ID5" s="165" t="s">
        <v>2090</v>
      </c>
      <c r="IE5" s="165" t="s">
        <v>2090</v>
      </c>
      <c r="IF5" s="165" t="s">
        <v>2090</v>
      </c>
      <c r="IG5" s="165" t="s">
        <v>2090</v>
      </c>
      <c r="IH5" s="165" t="s">
        <v>2090</v>
      </c>
      <c r="II5" s="165" t="s">
        <v>2090</v>
      </c>
      <c r="IJ5" s="165" t="s">
        <v>2090</v>
      </c>
      <c r="IK5" s="165" t="s">
        <v>2090</v>
      </c>
      <c r="IL5" s="165" t="s">
        <v>2090</v>
      </c>
      <c r="IM5" s="165" t="s">
        <v>2090</v>
      </c>
      <c r="IN5" s="109"/>
      <c r="IO5" s="165" t="s">
        <v>2090</v>
      </c>
      <c r="IP5" s="165" t="s">
        <v>2090</v>
      </c>
      <c r="IQ5" s="165" t="s">
        <v>2090</v>
      </c>
      <c r="IR5" s="165" t="s">
        <v>2090</v>
      </c>
      <c r="IS5" s="165" t="s">
        <v>2090</v>
      </c>
      <c r="IT5" s="165" t="s">
        <v>2090</v>
      </c>
      <c r="IU5" s="165" t="s">
        <v>2090</v>
      </c>
      <c r="IV5" s="165" t="s">
        <v>2090</v>
      </c>
      <c r="IW5" s="165" t="s">
        <v>2090</v>
      </c>
      <c r="IX5" s="165" t="s">
        <v>2090</v>
      </c>
      <c r="IY5" s="165" t="s">
        <v>2090</v>
      </c>
      <c r="IZ5" s="165" t="s">
        <v>2090</v>
      </c>
      <c r="JA5" s="165" t="s">
        <v>2090</v>
      </c>
      <c r="JB5" s="165" t="s">
        <v>2090</v>
      </c>
      <c r="JC5" s="165" t="s">
        <v>2090</v>
      </c>
      <c r="JD5" s="165" t="s">
        <v>2090</v>
      </c>
      <c r="JE5" s="165" t="s">
        <v>2090</v>
      </c>
      <c r="JF5" s="165" t="s">
        <v>2090</v>
      </c>
      <c r="JG5" s="165" t="s">
        <v>2090</v>
      </c>
      <c r="JH5" s="165" t="s">
        <v>2090</v>
      </c>
      <c r="JI5" s="165" t="s">
        <v>2090</v>
      </c>
      <c r="JJ5" s="165" t="s">
        <v>2090</v>
      </c>
      <c r="JK5" s="165" t="s">
        <v>2090</v>
      </c>
      <c r="JL5" s="165" t="s">
        <v>2090</v>
      </c>
      <c r="JM5" s="165" t="s">
        <v>2090</v>
      </c>
      <c r="JN5" s="165" t="s">
        <v>2090</v>
      </c>
      <c r="JO5" s="165" t="s">
        <v>2090</v>
      </c>
      <c r="JP5" s="165" t="s">
        <v>2090</v>
      </c>
      <c r="JQ5" s="165" t="s">
        <v>2090</v>
      </c>
      <c r="JR5" s="165" t="s">
        <v>2090</v>
      </c>
      <c r="JS5" s="165" t="s">
        <v>2090</v>
      </c>
      <c r="JT5" s="165" t="s">
        <v>2090</v>
      </c>
      <c r="JU5" s="165" t="s">
        <v>2090</v>
      </c>
      <c r="JV5" s="165" t="s">
        <v>2090</v>
      </c>
      <c r="JW5" s="165" t="s">
        <v>2090</v>
      </c>
      <c r="JX5" s="165" t="s">
        <v>2090</v>
      </c>
      <c r="JY5" s="165" t="s">
        <v>2090</v>
      </c>
      <c r="JZ5" s="165" t="s">
        <v>2090</v>
      </c>
      <c r="KA5" s="165" t="s">
        <v>2090</v>
      </c>
      <c r="KB5" s="165" t="s">
        <v>2090</v>
      </c>
      <c r="KC5" s="109"/>
      <c r="KD5" s="165" t="s">
        <v>2090</v>
      </c>
      <c r="KE5" s="165" t="s">
        <v>2090</v>
      </c>
      <c r="KF5" s="165" t="s">
        <v>2090</v>
      </c>
      <c r="KG5" s="165" t="s">
        <v>2090</v>
      </c>
      <c r="KH5" s="165" t="s">
        <v>2090</v>
      </c>
      <c r="KI5" s="165" t="s">
        <v>2090</v>
      </c>
      <c r="KJ5" s="165" t="s">
        <v>2090</v>
      </c>
    </row>
    <row r="6" spans="1:327" ht="46.5" hidden="1" customHeight="1">
      <c r="A6" s="262"/>
      <c r="B6" s="263" t="s">
        <v>2085</v>
      </c>
      <c r="C6" s="264"/>
      <c r="D6" s="228" t="s">
        <v>2566</v>
      </c>
      <c r="E6" s="333"/>
      <c r="F6" s="333"/>
      <c r="G6" s="333"/>
      <c r="H6" s="333"/>
      <c r="I6" s="334"/>
      <c r="J6" s="334"/>
      <c r="K6" s="335"/>
      <c r="L6" s="335"/>
      <c r="M6" s="335"/>
      <c r="N6" s="335"/>
      <c r="O6" s="333"/>
      <c r="P6" s="334"/>
      <c r="Q6" s="227" t="s">
        <v>2567</v>
      </c>
      <c r="R6" s="225">
        <f>IFERROR(SUMPRODUCT($Q$8:$Q$154,$AG$8:$AG$154,R$8:R$154)/SUMPRODUCT($Q$8:$Q$154,$AG$8:$AG$154),"")</f>
        <v>2459.1609002073583</v>
      </c>
      <c r="S6" s="223">
        <f t="shared" ref="S6:AK6" si="0">SUMPRODUCT($Q$8:$Q$154,S$8:S$154)</f>
        <v>565272</v>
      </c>
      <c r="T6" s="223">
        <f t="shared" si="0"/>
        <v>581449</v>
      </c>
      <c r="U6" s="223">
        <f t="shared" si="0"/>
        <v>597349</v>
      </c>
      <c r="V6" s="223">
        <f t="shared" si="0"/>
        <v>614886</v>
      </c>
      <c r="W6" s="223">
        <f t="shared" si="0"/>
        <v>617900</v>
      </c>
      <c r="X6" s="223">
        <f t="shared" si="0"/>
        <v>620576</v>
      </c>
      <c r="Y6" s="223">
        <f t="shared" si="0"/>
        <v>624783</v>
      </c>
      <c r="Z6" s="223">
        <f t="shared" si="0"/>
        <v>628795</v>
      </c>
      <c r="AA6" s="223">
        <f t="shared" si="0"/>
        <v>620409</v>
      </c>
      <c r="AB6" s="223">
        <f t="shared" si="0"/>
        <v>620075</v>
      </c>
      <c r="AC6" s="223">
        <f t="shared" si="0"/>
        <v>626768</v>
      </c>
      <c r="AD6" s="223">
        <f t="shared" si="0"/>
        <v>631586</v>
      </c>
      <c r="AE6" s="223">
        <f t="shared" si="0"/>
        <v>636661</v>
      </c>
      <c r="AF6" s="223">
        <f t="shared" si="0"/>
        <v>638960</v>
      </c>
      <c r="AG6" s="223">
        <f t="shared" si="0"/>
        <v>640919</v>
      </c>
      <c r="AH6" s="223">
        <f t="shared" si="0"/>
        <v>643045</v>
      </c>
      <c r="AI6" s="223">
        <f t="shared" si="0"/>
        <v>644975</v>
      </c>
      <c r="AJ6" s="223">
        <f t="shared" si="0"/>
        <v>646524</v>
      </c>
      <c r="AK6" s="223">
        <f t="shared" si="0"/>
        <v>647940</v>
      </c>
      <c r="AL6" s="336"/>
      <c r="AM6" s="337"/>
      <c r="AN6" s="337"/>
      <c r="AO6" s="110"/>
      <c r="AP6" s="225">
        <f>IFERROR(SUMPRODUCT($Q$21:$Q$150,$AG$21:$AG$150,AP$21:AP$150)/SUMPRODUCT($Q$21:$Q$150,$AG$21:$AG$150),"")</f>
        <v>153.69949262291891</v>
      </c>
      <c r="AQ6" s="338">
        <f>IFERROR(SUMPRODUCT($Q$8:$Q$150,$AF$8:$AF$150,AQ$8:AQ$150)/SUMPRODUCT($Q$8:$Q$150,$AF$8:$AF$150),"")</f>
        <v>135.28077297849782</v>
      </c>
      <c r="AR6" s="338">
        <f>IFERROR(SUMPRODUCT($Q$8:$Q$150,$AF$8:$AF$150,AR$8:AR$150)/SUMPRODUCT($Q$8:$Q$150,$AF$8:$AF$150),"")</f>
        <v>18.072975795542515</v>
      </c>
      <c r="AS6" s="338">
        <f>IFERROR(SUMPRODUCT($Q$8:$Q$150,$AF$8:$AF$150,AS$8:AS$150)/SUMPRODUCT($Q$8:$Q$150,$AF$8:$AF$150),"")</f>
        <v>5.5036250256318962</v>
      </c>
      <c r="AT6" s="110"/>
      <c r="AU6" s="224" t="s">
        <v>2568</v>
      </c>
      <c r="AV6" s="224" t="s">
        <v>2569</v>
      </c>
      <c r="AW6" s="337" t="s">
        <v>2570</v>
      </c>
      <c r="AX6" s="224" t="s">
        <v>2571</v>
      </c>
      <c r="AY6" s="110"/>
      <c r="AZ6" s="946">
        <f>IFERROR(SUMPRODUCT($Q$8:$Q$150,$AF$8:$AF$150,AZ$8:AZ$150)/SUMPRODUCT($Q$8:$Q$150,$AF$8:$AF$150),"")</f>
        <v>9.9092185808592923</v>
      </c>
      <c r="BA6" s="946">
        <f>IFERROR(SUMPRODUCT($Q$8:$Q$150,$AF$8:$AF$150,BA$8:BA$150)/SUMPRODUCT($Q$8:$Q$150,$AF$8:$AF$150),"")</f>
        <v>2.7928842439743184</v>
      </c>
      <c r="BB6" s="946">
        <f>IFERROR(SUMPRODUCT($Q$8:$Q$150,$AF$8:$AF$150,BB$8:BB$150)/SUMPRODUCT($Q$8:$Q$150,$AF$8:$AF$150),"")</f>
        <v>1.6893713072187366</v>
      </c>
      <c r="BC6" s="946">
        <f>IFERROR(SUMPRODUCT($Q$8:$Q$150,$AF$8:$AF$150,BC$8:BC$150)/SUMPRODUCT($Q$8:$Q$150,$AF$8:$AF$150),"")</f>
        <v>8.077889966444074</v>
      </c>
      <c r="BD6" s="223">
        <f>SUM(BE6:BH6)</f>
        <v>14135454.484999999</v>
      </c>
      <c r="BE6" s="223">
        <f>SUMPRODUCT($Q$8:$Q$150,BE$8:BE$150)</f>
        <v>6233879.5</v>
      </c>
      <c r="BF6" s="223">
        <f>SUMPRODUCT($Q$8:$Q$150,BF$8:BF$150)</f>
        <v>1757000.6849999998</v>
      </c>
      <c r="BG6" s="223">
        <f>SUMPRODUCT($Q$8:$Q$150,BG$8:BG$150)</f>
        <v>1062781.8</v>
      </c>
      <c r="BH6" s="223">
        <f>SUMPRODUCT($Q$8:$Q$150,BH$8:BH$150)</f>
        <v>5081792.5</v>
      </c>
      <c r="BI6" s="223">
        <f>SUM(BJ6:BM6)</f>
        <v>14272045.810000001</v>
      </c>
      <c r="BJ6" s="223">
        <f>SUMPRODUCT($Q$8:$Q$150,BJ$8:BJ$150)</f>
        <v>6286026</v>
      </c>
      <c r="BK6" s="223">
        <f>SUMPRODUCT($Q$8:$Q$150,BK$8:BK$150)</f>
        <v>1785842.06</v>
      </c>
      <c r="BL6" s="223">
        <f>SUMPRODUCT($Q$8:$Q$150,BL$8:BL$150)</f>
        <v>1076541.75</v>
      </c>
      <c r="BM6" s="223">
        <f>SUMPRODUCT($Q$8:$Q$150,BM$8:BM$150)</f>
        <v>5123636</v>
      </c>
      <c r="BN6" s="110"/>
      <c r="BO6" s="259">
        <f>DH6/$BE6</f>
        <v>0.30746742377679909</v>
      </c>
      <c r="BP6" s="260">
        <f>DI6/$BE6</f>
        <v>0.52656645191810336</v>
      </c>
      <c r="BQ6" s="260">
        <f>DJ6/$BE6</f>
        <v>0.10216087429986413</v>
      </c>
      <c r="BR6" s="710">
        <f>DK6/$BE6</f>
        <v>6.380525000523353E-2</v>
      </c>
      <c r="BS6" s="260">
        <f>DM6/$BJ6</f>
        <v>0.27640190320561836</v>
      </c>
      <c r="BT6" s="260">
        <f>DN6/$BJ6</f>
        <v>0.5319423909477945</v>
      </c>
      <c r="BU6" s="260">
        <f>DO6/$BJ6</f>
        <v>0.13403929446044288</v>
      </c>
      <c r="BV6" s="710">
        <f>DP6/$BJ6</f>
        <v>5.7616411386144421E-2</v>
      </c>
      <c r="BW6" s="261">
        <f>DS6/$BF6</f>
        <v>0.41111159839986056</v>
      </c>
      <c r="BX6" s="261">
        <f>DT6/$BF6</f>
        <v>0.52369723065873486</v>
      </c>
      <c r="BY6" s="717">
        <f>DU6/$BF6</f>
        <v>6.51911709414046E-2</v>
      </c>
      <c r="BZ6" s="261">
        <f>DW6/$BK6</f>
        <v>0.36880188609736297</v>
      </c>
      <c r="CA6" s="261">
        <f>DX6/$BK6</f>
        <v>0.54850934286988395</v>
      </c>
      <c r="CB6" s="717">
        <f>DY6/$BK6</f>
        <v>8.2688771032753031E-2</v>
      </c>
      <c r="CC6" s="260">
        <f>EB6/$BG6</f>
        <v>9.7009137717638749E-2</v>
      </c>
      <c r="CD6" s="260">
        <f>EC6/$BG6</f>
        <v>0.55065927832034756</v>
      </c>
      <c r="CE6" s="260">
        <f>ED6/$BG6</f>
        <v>0.1291863804969185</v>
      </c>
      <c r="CF6" s="710">
        <f>EE6/$BG6</f>
        <v>0.22314520346509509</v>
      </c>
      <c r="CG6" s="260">
        <f>EG6/$BL6</f>
        <v>7.8718722706295388E-2</v>
      </c>
      <c r="CH6" s="260">
        <f>EH6/$BL6</f>
        <v>0.54543406235754455</v>
      </c>
      <c r="CI6" s="260">
        <f>EI6/$BL6</f>
        <v>0.15522352012822532</v>
      </c>
      <c r="CJ6" s="710">
        <f>EJ6/$BL6</f>
        <v>0.22062369480793478</v>
      </c>
      <c r="CK6" s="231">
        <f>EM6/$BH6</f>
        <v>0.56753679238182209</v>
      </c>
      <c r="CL6" s="231">
        <f>EN6/$BH6</f>
        <v>0.33111744527152587</v>
      </c>
      <c r="CM6" s="718">
        <f>EO6/$BH6</f>
        <v>0.1013457623466523</v>
      </c>
      <c r="CN6" s="231">
        <f>EQ6/$BM6</f>
        <v>0.488089050432154</v>
      </c>
      <c r="CO6" s="231">
        <f>ER6/$BM6</f>
        <v>0.36684788302681925</v>
      </c>
      <c r="CP6" s="718">
        <f>ES6/$BM6</f>
        <v>0.14506306654102674</v>
      </c>
      <c r="CQ6" s="110"/>
      <c r="CR6" s="857">
        <f>IFERROR(SUMPRODUCT(DH$8:DH$150,CR$8:CR$150)/SUM(DH$8:DH$150),"")</f>
        <v>12.451217802634448</v>
      </c>
      <c r="CS6" s="858">
        <f>IFERROR(SUMPRODUCT(DI$8:DI$150,CS$8:CS$150)/SUM(DI$8:DI$150),"")</f>
        <v>12.370575213587379</v>
      </c>
      <c r="CT6" s="858">
        <f>IFERROR(SUMPRODUCT(DJ$8:DJ$150,CT$8:CT$150)/SUM(DJ$8:DJ$150),"")</f>
        <v>9.0777438994664639</v>
      </c>
      <c r="CU6" s="859">
        <f>IFERROR(SUMPRODUCT(DK$8:DK$150,CU$8:CU$150)/SUM(DK$8:DK$150),"")</f>
        <v>10.919469652799139</v>
      </c>
      <c r="CV6" s="858">
        <f>IFERROR(SUMPRODUCT(DS$8:DS$150,CV$8:CV$150)/SUM(DS$8:DS$150),"")</f>
        <v>11.159253328409998</v>
      </c>
      <c r="CW6" s="858">
        <f>IFERROR(SUMPRODUCT(DT$8:DT$150,CW$8:CW$150)/SUM(DT$8:DT$150),"")</f>
        <v>9.6708083142757371</v>
      </c>
      <c r="CX6" s="858">
        <f>IFERROR(SUMPRODUCT(DU$8:DU$150,CX$8:CX$150)/SUM(DU$8:DU$150),"")</f>
        <v>8.1136961125134786</v>
      </c>
      <c r="CY6" s="857">
        <f>IFERROR(SUMPRODUCT(EB$8:EB$150,CY$8:CY$150)/SUM(EB$8:EB$150),"")</f>
        <v>10.234244289160539</v>
      </c>
      <c r="CZ6" s="858">
        <f>IFERROR(SUMPRODUCT(EC$8:EC$150,CZ$8:CZ$150)/SUM(EC$8:EC$150),"")</f>
        <v>12.081781451288995</v>
      </c>
      <c r="DA6" s="858">
        <f>IFERROR(SUMPRODUCT(ED$8:ED$150,DA$8:DA$150)/SUM(ED$8:ED$150),"")</f>
        <v>8.4232915040089491</v>
      </c>
      <c r="DB6" s="859">
        <f>IFERROR(SUMPRODUCT(EE$8:EE$150,DB$8:DB$150)/SUM(EE$8:EE$150),"")</f>
        <v>10.014847434638076</v>
      </c>
      <c r="DC6" s="857">
        <f>IFERROR(SUMPRODUCT(EM$8:EM$150,DC$8:DC$150)/SUM(EM$8:EM$150),"")</f>
        <v>12.484874092848468</v>
      </c>
      <c r="DD6" s="858">
        <f>IFERROR(SUMPRODUCT(EN$8:EN$150,DD$8:DD$150)/SUM(EN$8:EN$150),"")</f>
        <v>12.506452490416443</v>
      </c>
      <c r="DE6" s="859">
        <f>IFERROR(SUMPRODUCT(EO$8:EO$150,DE$8:DE$150)/SUM(EO$8:EO$150),"")</f>
        <v>9.1471230783416146</v>
      </c>
      <c r="DF6" s="608" t="s">
        <v>2572</v>
      </c>
      <c r="DG6" s="110"/>
      <c r="DH6" s="223">
        <f>SUMPRODUCT($Q$8:$Q$150,DH$8:DH$150)</f>
        <v>1916714.8700000003</v>
      </c>
      <c r="DI6" s="223">
        <f>SUMPRODUCT($Q$8:$Q$150,DI$8:DI$150)</f>
        <v>3282551.81</v>
      </c>
      <c r="DJ6" s="223">
        <f>SUMPRODUCT($Q$8:$Q$150,DJ$8:DJ$150)</f>
        <v>636858.57999999984</v>
      </c>
      <c r="DK6" s="223">
        <f>SUMPRODUCT($Q$8:$Q$150,DK$8:DK$150)</f>
        <v>397754.24000000017</v>
      </c>
      <c r="DL6" s="339" t="s">
        <v>2573</v>
      </c>
      <c r="DM6" s="223">
        <f>SUMPRODUCT($Q$8:$Q$150,DM$8:DM$150)</f>
        <v>1737469.5500000003</v>
      </c>
      <c r="DN6" s="223">
        <f>SUMPRODUCT($Q$8:$Q$150,DN$8:DN$150)</f>
        <v>3343803.7000000007</v>
      </c>
      <c r="DO6" s="223">
        <f>SUMPRODUCT($Q$8:$Q$150,DO$8:DO$150)</f>
        <v>842574.48999999987</v>
      </c>
      <c r="DP6" s="223">
        <f>SUMPRODUCT($Q$8:$Q$150,DP$8:DP$150)</f>
        <v>362178.25999999989</v>
      </c>
      <c r="DQ6" s="340" t="s">
        <v>2574</v>
      </c>
      <c r="DR6" s="110"/>
      <c r="DS6" s="223">
        <f>SUMPRODUCT($Q$8:$Q$150,DS$8:DS$150)</f>
        <v>722323.35999999987</v>
      </c>
      <c r="DT6" s="223">
        <f>SUMPRODUCT($Q$8:$Q$150,DT$8:DT$150)</f>
        <v>920136.39300000004</v>
      </c>
      <c r="DU6" s="223">
        <f>SUMPRODUCT($Q$8:$Q$150,DU$8:DU$150)</f>
        <v>114540.93199999997</v>
      </c>
      <c r="DV6" s="340" t="s">
        <v>2575</v>
      </c>
      <c r="DW6" s="223">
        <f>SUMPRODUCT($Q$8:$Q$150,DW$8:DW$150)</f>
        <v>658621.92000000004</v>
      </c>
      <c r="DX6" s="223">
        <f>SUMPRODUCT($Q$8:$Q$150,DX$8:DX$150)</f>
        <v>979551.05479999981</v>
      </c>
      <c r="DY6" s="223">
        <f>SUMPRODUCT($Q$8:$Q$150,DY$8:DY$150)</f>
        <v>147669.0852</v>
      </c>
      <c r="DZ6" s="340" t="s">
        <v>2576</v>
      </c>
      <c r="EA6" s="110"/>
      <c r="EB6" s="223">
        <f>SUMPRODUCT($Q$8:$Q$150,EB$8:EB$150)</f>
        <v>103099.546</v>
      </c>
      <c r="EC6" s="223">
        <f>SUMPRODUCT($Q$8:$Q$150,EC$8:EC$150)</f>
        <v>585230.65899999999</v>
      </c>
      <c r="ED6" s="223">
        <f>SUMPRODUCT($Q$8:$Q$150,ED$8:ED$150)</f>
        <v>137296.93399999995</v>
      </c>
      <c r="EE6" s="223">
        <f>SUMPRODUCT($Q$8:$Q$150,EE$8:EE$150)</f>
        <v>237154.66099999999</v>
      </c>
      <c r="EF6" s="340" t="s">
        <v>2577</v>
      </c>
      <c r="EG6" s="223">
        <f>SUMPRODUCT($Q$8:$Q$150,EG$8:EG$150)</f>
        <v>84743.991499999975</v>
      </c>
      <c r="EH6" s="223">
        <f>SUMPRODUCT($Q$8:$Q$150,EH$8:EH$150)</f>
        <v>587182.54000000015</v>
      </c>
      <c r="EI6" s="223">
        <f>SUMPRODUCT($Q$8:$Q$150,EI$8:EI$150)</f>
        <v>167104.59999999992</v>
      </c>
      <c r="EJ6" s="223">
        <f>SUMPRODUCT($Q$8:$Q$150,EJ$8:EJ$150)</f>
        <v>237510.61850000004</v>
      </c>
      <c r="EK6" s="340" t="s">
        <v>2578</v>
      </c>
      <c r="EL6" s="110"/>
      <c r="EM6" s="223">
        <f>SUMPRODUCT($Q$8:$Q$150,EM$8:EM$150)</f>
        <v>2884104.2150000008</v>
      </c>
      <c r="EN6" s="223">
        <f>SUMPRODUCT($Q$8:$Q$150,EN$8:EN$150)</f>
        <v>1682670.1500000006</v>
      </c>
      <c r="EO6" s="223">
        <f>SUMPRODUCT($Q$8:$Q$150,EO$8:EO$150)</f>
        <v>515018.13500000007</v>
      </c>
      <c r="EP6" s="340" t="s">
        <v>2579</v>
      </c>
      <c r="EQ6" s="223">
        <f>SUMPRODUCT($Q$8:$Q$150,EQ$8:EQ$150)</f>
        <v>2500790.63</v>
      </c>
      <c r="ER6" s="223">
        <f>SUMPRODUCT($Q$8:$Q$150,ER$8:ER$150)</f>
        <v>1879595.02</v>
      </c>
      <c r="ES6" s="223">
        <f>SUMPRODUCT($Q$8:$Q$150,ES$8:ES$150)</f>
        <v>743250.35000000009</v>
      </c>
      <c r="ET6" s="340" t="s">
        <v>2580</v>
      </c>
      <c r="EU6" s="110"/>
      <c r="EV6" s="744">
        <f>IFERROR(EY6/EX6,0)</f>
        <v>0.79649155300432295</v>
      </c>
      <c r="EW6" s="744">
        <f>IFERROR(EZ6/EX6,0)</f>
        <v>0.20350844699567697</v>
      </c>
      <c r="EX6" s="221">
        <f>EY6+EZ6</f>
        <v>5836549.8949145898</v>
      </c>
      <c r="EY6" s="221">
        <f>SUM(FB6,FE6,FH6,FK6)</f>
        <v>4648762.6899877395</v>
      </c>
      <c r="EZ6" s="221">
        <f>SUM(FC6,FF6,FI6,FL6)</f>
        <v>1187787.2049268498</v>
      </c>
      <c r="FA6" s="222">
        <f t="shared" ref="FA6:FL6" si="1">SUMPRODUCT($Q$8:$Q$150,FA$8:FA$150)</f>
        <v>2513612.9974398063</v>
      </c>
      <c r="FB6" s="222">
        <f t="shared" si="1"/>
        <v>1999994.0847848034</v>
      </c>
      <c r="FC6" s="222">
        <f t="shared" si="1"/>
        <v>513618.91265499982</v>
      </c>
      <c r="FD6" s="222">
        <f t="shared" si="1"/>
        <v>864298.25191215402</v>
      </c>
      <c r="FE6" s="222">
        <f t="shared" si="1"/>
        <v>699040.64594030427</v>
      </c>
      <c r="FF6" s="222">
        <f t="shared" si="1"/>
        <v>165257.60597184999</v>
      </c>
      <c r="FG6" s="222">
        <f t="shared" si="1"/>
        <v>452474.41720089992</v>
      </c>
      <c r="FH6" s="222">
        <f t="shared" si="1"/>
        <v>361251.34048089996</v>
      </c>
      <c r="FI6" s="222">
        <f t="shared" si="1"/>
        <v>91223.076720000026</v>
      </c>
      <c r="FJ6" s="222">
        <f t="shared" si="1"/>
        <v>2006164.2283617323</v>
      </c>
      <c r="FK6" s="222">
        <f t="shared" si="1"/>
        <v>1588476.6187817315</v>
      </c>
      <c r="FL6" s="222">
        <f t="shared" si="1"/>
        <v>417687.60957999981</v>
      </c>
      <c r="FM6" s="110"/>
      <c r="FN6" s="341" t="s">
        <v>2581</v>
      </c>
      <c r="FO6" s="770">
        <f>IFERROR(SUMPRODUCT($Q$8:$Q$150,$AF$8:$AF$150,$FO$8:$FO$150)/SUMPRODUCT($Q$8:$Q$150,$AF$8:$AF$150),"")</f>
        <v>6.0675716333995135E-2</v>
      </c>
      <c r="FP6" s="746">
        <f>IFERROR(SUMPRODUCT($Q$8:$Q$150,$AF$8:$AF$150,$FP$8:$FP$150)/SUMPRODUCT($Q$8:$Q$150,$AF$8:$AF$150),"")</f>
        <v>0.82880686500852829</v>
      </c>
      <c r="FQ6" s="342" t="s">
        <v>2582</v>
      </c>
      <c r="FR6" s="110"/>
      <c r="FS6" s="220">
        <v>3.19</v>
      </c>
      <c r="FT6" s="220" t="s">
        <v>2090</v>
      </c>
      <c r="FU6" s="220">
        <v>3.97</v>
      </c>
      <c r="FV6" s="220" t="s">
        <v>2090</v>
      </c>
      <c r="FW6" s="220">
        <v>2.2400000000000002</v>
      </c>
      <c r="FX6" s="220" t="s">
        <v>2090</v>
      </c>
      <c r="FY6" s="110"/>
      <c r="FZ6" s="343" t="s">
        <v>2583</v>
      </c>
      <c r="GA6" s="343" t="s">
        <v>2584</v>
      </c>
      <c r="GB6" s="343" t="s">
        <v>2585</v>
      </c>
      <c r="GC6" s="343" t="s">
        <v>2586</v>
      </c>
      <c r="GD6" s="343" t="s">
        <v>2587</v>
      </c>
      <c r="GE6" s="343" t="s">
        <v>2588</v>
      </c>
      <c r="GF6" s="343" t="str">
        <f>HYPERLINK("https://www.ecologie.gouv.fr/eco-energie-tertiaire-eet","https://www.ecologie.gouv.fr/eco-energie-tertiaire-eet")&amp;CHAR(10)&amp;HYPERLINK("https://www.info.gouv.fr/actualite/segur-de-la-sante-de-nouveaux-investissements-pour-l-hopital","https://www.info.gouv.fr/actualite/segur-de-la-sante-de-nouveaux-investissements-pour-l-hopital")&amp;CHAR(10)&amp;HYPERLINK("https://www.cnsa.fr/budget-et-financement/financement-des-esms/investissement-immobilier","https://www.cnsa.fr/budget-et-financement/financement-des-esms/investissement-immobilier")&amp;CHAR(10)&amp;HYPERLINK("https://www.agencedusport.fr/plan-5000-equipements-generation-2024","https://www.agencedusport.fr/plan-5000-equipements-generation-2024")&amp;CHAR(10)&amp;HYPERLINK("https://www.france-services.gouv.fr/actualites/labellisation-nouvelles-maisons-france-services","https://www.france-services.gouv.fr/actualites/labellisation-nouvelles-maisons-france-services")&amp;CHAR(10)&amp;HYPERLINK("https://www.justice.gouv.fr/plan-15-000-places-prison","https://www.justice.gouv.fr/plan-15-000-places-prison")&amp;CHAR(10)&amp;HYPERLINK("https://www.defense.gouv.fr/ministere/politique-defense/loi-programmation-militaire-2024-2030","https://www.defense.gouv.fr/ministere/politique-defense/loi-programmation-militaire-2024-2030")&amp;CHAR(10)&amp;HYPERLINK("https://www.economie.gouv.fr/cedef/reindustrialisation-informations","https://www.economie.gouv.fr/cedef/reindustrialisation-informations")&amp;CHAR(10)&amp;HYPERLINK("https://presse.groupeadp.fr/proposition-cre2027-2034/","https://presse.groupeadp.fr/proposition-cre2027-2034/")&amp;CHAR(10)&amp;HYPERLINK("https://www.garesetconnexions.sncf/fr/qui-sommes-nous/notre-modele-economique","https://www.garesetconnexions.sncf/fr/qui-sommes-nous/notre-modele-economique")</f>
        <v>https://www.ecologie.gouv.fr/eco-energie-tertiaire-eet
https://www.info.gouv.fr/actualite/segur-de-la-sante-de-nouveaux-investissements-pour-l-hopital
https://www.cnsa.fr/budget-et-financement/financement-des-esms/investissement-immobilier
https://www.agencedusport.fr/plan-5000-equipements-generation-2024
https://www.france-services.gouv.fr/actualites/labellisation-nouvelles-maisons-france-services
https://www.justice.gouv.fr/plan-15-000-places-prison
https://www.defense.gouv.fr/ministere/politique-defense/loi-programmation-militaire-2024-2030
https://www.economie.gouv.fr/cedef/reindustrialisation-informations
https://presse.groupeadp.fr/proposition-cre2027-2034/
https://www.garesetconnexions.sncf/fr/qui-sommes-nous/notre-modele-economique</v>
      </c>
      <c r="GG6" s="110"/>
      <c r="GH6" s="238">
        <f t="shared" ref="GH6:HW6" si="2">SUMPRODUCT($Q$8:$Q$150,GH$8:GH$150)</f>
        <v>736675.37830756139</v>
      </c>
      <c r="GI6" s="239">
        <f t="shared" si="2"/>
        <v>601284.93776946131</v>
      </c>
      <c r="GJ6" s="240">
        <f t="shared" si="2"/>
        <v>135390.44053810008</v>
      </c>
      <c r="GK6" s="238">
        <f t="shared" si="2"/>
        <v>1258583.3989138186</v>
      </c>
      <c r="GL6" s="239">
        <f t="shared" si="2"/>
        <v>979983.18430351908</v>
      </c>
      <c r="GM6" s="240">
        <f t="shared" si="2"/>
        <v>278600.21461029985</v>
      </c>
      <c r="GN6" s="238">
        <f t="shared" si="2"/>
        <v>343723.06334932707</v>
      </c>
      <c r="GO6" s="239">
        <f t="shared" si="2"/>
        <v>274441.60734337725</v>
      </c>
      <c r="GP6" s="240">
        <f t="shared" si="2"/>
        <v>69281.456005949993</v>
      </c>
      <c r="GQ6" s="238">
        <f t="shared" si="2"/>
        <v>174631.15686909587</v>
      </c>
      <c r="GR6" s="239">
        <f t="shared" si="2"/>
        <v>144284.35536844574</v>
      </c>
      <c r="GS6" s="240">
        <f t="shared" si="2"/>
        <v>30346.801500650006</v>
      </c>
      <c r="GT6" s="238">
        <f t="shared" si="2"/>
        <v>329836.42809343088</v>
      </c>
      <c r="GU6" s="239">
        <f t="shared" si="2"/>
        <v>270338.98409920098</v>
      </c>
      <c r="GV6" s="240">
        <f t="shared" si="2"/>
        <v>59497.443994229994</v>
      </c>
      <c r="GW6" s="238">
        <f t="shared" si="2"/>
        <v>467570.1993545423</v>
      </c>
      <c r="GX6" s="239">
        <f t="shared" si="2"/>
        <v>375885.61720979685</v>
      </c>
      <c r="GY6" s="240">
        <f t="shared" si="2"/>
        <v>91684.582144745553</v>
      </c>
      <c r="GZ6" s="238">
        <f t="shared" si="2"/>
        <v>66891.624464180321</v>
      </c>
      <c r="HA6" s="239">
        <f t="shared" si="2"/>
        <v>52816.044631305806</v>
      </c>
      <c r="HB6" s="240">
        <f t="shared" si="2"/>
        <v>14075.579832874497</v>
      </c>
      <c r="HC6" s="238">
        <f t="shared" si="2"/>
        <v>43855.951099783786</v>
      </c>
      <c r="HD6" s="239">
        <f t="shared" si="2"/>
        <v>36893.866108633752</v>
      </c>
      <c r="HE6" s="240">
        <f t="shared" si="2"/>
        <v>6962.0849911500027</v>
      </c>
      <c r="HF6" s="238">
        <f t="shared" si="2"/>
        <v>227003.45890675817</v>
      </c>
      <c r="HG6" s="239">
        <f t="shared" si="2"/>
        <v>177280.22818180828</v>
      </c>
      <c r="HH6" s="240">
        <f t="shared" si="2"/>
        <v>49723.230724950015</v>
      </c>
      <c r="HI6" s="238">
        <f t="shared" si="2"/>
        <v>75635.799907889392</v>
      </c>
      <c r="HJ6" s="239">
        <f t="shared" si="2"/>
        <v>61045.788573189435</v>
      </c>
      <c r="HK6" s="240">
        <f t="shared" si="2"/>
        <v>14590.011334700004</v>
      </c>
      <c r="HL6" s="238">
        <f t="shared" si="2"/>
        <v>105979.2072864685</v>
      </c>
      <c r="HM6" s="239">
        <f t="shared" si="2"/>
        <v>86031.457617268403</v>
      </c>
      <c r="HN6" s="240">
        <f t="shared" si="2"/>
        <v>19947.749669199991</v>
      </c>
      <c r="HO6" s="238">
        <f t="shared" si="2"/>
        <v>1059170.0962470609</v>
      </c>
      <c r="HP6" s="239">
        <f t="shared" si="2"/>
        <v>862102.47176606103</v>
      </c>
      <c r="HQ6" s="240">
        <f t="shared" si="2"/>
        <v>197067.62448100006</v>
      </c>
      <c r="HR6" s="238">
        <f t="shared" si="2"/>
        <v>659801.71360220888</v>
      </c>
      <c r="HS6" s="239">
        <f t="shared" si="2"/>
        <v>501608.44325060886</v>
      </c>
      <c r="HT6" s="240">
        <f t="shared" si="2"/>
        <v>158193.27035160005</v>
      </c>
      <c r="HU6" s="238">
        <f t="shared" si="2"/>
        <v>287192.41851246147</v>
      </c>
      <c r="HV6" s="239">
        <f t="shared" si="2"/>
        <v>224765.70376506151</v>
      </c>
      <c r="HW6" s="240">
        <f t="shared" si="2"/>
        <v>62426.714747399987</v>
      </c>
      <c r="HY6" s="344">
        <f>SUM(HZ6:ID6)</f>
        <v>14135454.484999999</v>
      </c>
      <c r="HZ6" s="344">
        <f>IFERROR(IO6*BE6,0)+IFERROR(IY6*BF6,0)+IFERROR(JI6*BG6,0)+IFERROR(JS6*BH6,0)</f>
        <v>865403.90359</v>
      </c>
      <c r="IA6" s="344">
        <f>IFERROR(IP6*BE6,0)+IFERROR(IZ6*BF6,0)+IFERROR(JJ6*BG6,0)+IFERROR(JT6*BH6,0)</f>
        <v>5140157.6081814999</v>
      </c>
      <c r="IB6" s="344">
        <f>IFERROR(IQ6*BE6,0)+IFERROR(JA6*BF6,0)+IFERROR(JK6*BG6,0)+IFERROR(JU6*BH6,0)</f>
        <v>5839913.0291600004</v>
      </c>
      <c r="IC6" s="344">
        <f>IFERROR(IR6*BE6,0)+IFERROR(JB6*BF6,0)+IFERROR(JL6*BG6,0)+IFERROR(JV6*BH6,0)</f>
        <v>2040655.4347815001</v>
      </c>
      <c r="ID6" s="344">
        <f>IFERROR(IS6*BE6,0)+IFERROR(JC6*BF6,0)+IFERROR(JM6*BG6,0)+IFERROR(JW6*BH6,0)</f>
        <v>249324.50928699999</v>
      </c>
      <c r="IE6" s="344">
        <f>SUM(IF6:IJ6)</f>
        <v>4648762.6899877386</v>
      </c>
      <c r="IF6" s="344">
        <f>IFERROR(IT6*FB6,0)+IFERROR(JD6*FE6,0)+IFERROR(JN6*FH6,0)+IFERROR(JX6*FK6,0)</f>
        <v>121263.16660173074</v>
      </c>
      <c r="IG6" s="344">
        <f>IFERROR(IU6*FB6,0)+IFERROR(JE6*FE6,0)+IFERROR(JO6*FH6,0)+IFERROR(JY6*FK6,0)</f>
        <v>1193269.1669501376</v>
      </c>
      <c r="IH6" s="344">
        <f>IFERROR(IV6*FB6,0)+IFERROR(JF6*FE6,0)+IFERROR(JP6*FH6,0)+IFERROR(JZ6*FK6,0)</f>
        <v>2112628.7012426388</v>
      </c>
      <c r="II6" s="344">
        <f>IFERROR(IW6*FB6,0)+IFERROR(JG6*FE6,0)+IFERROR(JQ6*FH6,0)+IFERROR(KA6*FK6,0)</f>
        <v>1043623.5379500901</v>
      </c>
      <c r="IJ6" s="344">
        <f>IFERROR(IX6*FB6,0)+IFERROR(JH6*FE6,0)+IFERROR(JR6*FH6,0)+IFERROR(KB6*FK6,0)</f>
        <v>177978.11724314198</v>
      </c>
      <c r="IK6" s="345">
        <v>3.86</v>
      </c>
      <c r="IL6" s="345" t="s">
        <v>2589</v>
      </c>
      <c r="IM6" s="347"/>
      <c r="IN6" s="110"/>
      <c r="IO6" s="747">
        <v>5.0700000000000002E-2</v>
      </c>
      <c r="IP6" s="748">
        <v>0.34889999999999999</v>
      </c>
      <c r="IQ6" s="748">
        <v>0.43190000000000001</v>
      </c>
      <c r="IR6" s="748">
        <v>0.1497</v>
      </c>
      <c r="IS6" s="749">
        <v>1.8800000000000001E-2</v>
      </c>
      <c r="IT6" s="750">
        <v>0.02</v>
      </c>
      <c r="IU6" s="750">
        <v>0.2326</v>
      </c>
      <c r="IV6" s="750">
        <v>0.46829999999999999</v>
      </c>
      <c r="IW6" s="750">
        <v>0.23760000000000001</v>
      </c>
      <c r="IX6" s="750">
        <v>4.1500000000000002E-2</v>
      </c>
      <c r="IY6" s="751">
        <v>7.1999999999999995E-2</v>
      </c>
      <c r="IZ6" s="750">
        <v>0.35189999999999999</v>
      </c>
      <c r="JA6" s="750">
        <v>0.38400000000000001</v>
      </c>
      <c r="JB6" s="750">
        <v>0.16789999999999999</v>
      </c>
      <c r="JC6" s="752">
        <v>2.4199999999999999E-2</v>
      </c>
      <c r="JD6" s="750">
        <v>3.5499999999999997E-2</v>
      </c>
      <c r="JE6" s="750">
        <v>0.2767</v>
      </c>
      <c r="JF6" s="750">
        <v>0.40949999999999998</v>
      </c>
      <c r="JG6" s="750">
        <v>0.23169999999999999</v>
      </c>
      <c r="JH6" s="750">
        <v>4.6600000000000003E-2</v>
      </c>
      <c r="JI6" s="751">
        <v>0.1234</v>
      </c>
      <c r="JJ6" s="750">
        <v>0.47060000000000002</v>
      </c>
      <c r="JK6" s="750">
        <v>0.31990000000000002</v>
      </c>
      <c r="JL6" s="750">
        <v>7.5899999999999995E-2</v>
      </c>
      <c r="JM6" s="752">
        <v>1.0200000000000001E-2</v>
      </c>
      <c r="JN6" s="750">
        <v>5.6000000000000001E-2</v>
      </c>
      <c r="JO6" s="750">
        <v>0.37409999999999999</v>
      </c>
      <c r="JP6" s="750">
        <v>0.41660000000000003</v>
      </c>
      <c r="JQ6" s="750">
        <v>0.13270000000000001</v>
      </c>
      <c r="JR6" s="750">
        <v>2.06E-2</v>
      </c>
      <c r="JS6" s="751">
        <v>5.74E-2</v>
      </c>
      <c r="JT6" s="750">
        <v>0.3634</v>
      </c>
      <c r="JU6" s="750">
        <v>0.41970000000000002</v>
      </c>
      <c r="JV6" s="750">
        <v>0.14399999999999999</v>
      </c>
      <c r="JW6" s="752">
        <v>1.55E-2</v>
      </c>
      <c r="JX6" s="751">
        <v>2.2800000000000001E-2</v>
      </c>
      <c r="JY6" s="750">
        <v>0.2515</v>
      </c>
      <c r="JZ6" s="750">
        <v>0.46539999999999998</v>
      </c>
      <c r="KA6" s="750">
        <v>0.22570000000000001</v>
      </c>
      <c r="KB6" s="753">
        <v>3.4599999999999999E-2</v>
      </c>
      <c r="KC6" s="110"/>
      <c r="KD6" s="345" t="s">
        <v>2590</v>
      </c>
      <c r="KE6" s="348" t="s">
        <v>2591</v>
      </c>
      <c r="KF6" s="345">
        <v>4.1500000000000004</v>
      </c>
      <c r="KG6" s="346" t="s">
        <v>2589</v>
      </c>
      <c r="KH6" s="349" t="s">
        <v>2592</v>
      </c>
      <c r="KI6" s="350" t="s">
        <v>2593</v>
      </c>
      <c r="KJ6" s="349" t="s">
        <v>2594</v>
      </c>
    </row>
    <row r="7" spans="1:327" s="43" customFormat="1" ht="12.75" hidden="1" customHeight="1">
      <c r="A7" s="329"/>
      <c r="B7" s="329"/>
      <c r="C7" s="329"/>
      <c r="D7" s="330"/>
      <c r="E7" s="331"/>
      <c r="F7" s="331"/>
      <c r="G7" s="329"/>
      <c r="H7" s="329"/>
      <c r="I7" s="328"/>
      <c r="J7" s="328"/>
      <c r="K7" s="332"/>
      <c r="L7" s="332"/>
      <c r="M7" s="328"/>
      <c r="N7" s="332"/>
      <c r="O7" s="331"/>
      <c r="P7" s="328"/>
      <c r="Q7" s="108" t="s">
        <v>2595</v>
      </c>
      <c r="R7" s="325"/>
      <c r="S7" s="837" t="s">
        <v>2596</v>
      </c>
      <c r="T7" s="326">
        <f>(T6/S6)^(1/(T4-S4))-1</f>
        <v>5.6591996441257564E-3</v>
      </c>
      <c r="U7" s="326">
        <f>(U6/T6)^(1/(U4-T4))-1</f>
        <v>5.4102364156785043E-3</v>
      </c>
      <c r="V7" s="326">
        <f>(V6/U6)^(1/(V4-U4))-1</f>
        <v>5.8038479548478961E-3</v>
      </c>
      <c r="W7" s="326">
        <f t="shared" ref="W7:AK7" si="3">W6/V6-1</f>
        <v>4.9017216199425118E-3</v>
      </c>
      <c r="X7" s="326">
        <f t="shared" si="3"/>
        <v>4.3307978637319167E-3</v>
      </c>
      <c r="Y7" s="326">
        <f t="shared" si="3"/>
        <v>6.7791857886867479E-3</v>
      </c>
      <c r="Z7" s="326">
        <f t="shared" si="3"/>
        <v>6.4214295203295357E-3</v>
      </c>
      <c r="AA7" s="326">
        <f t="shared" si="3"/>
        <v>-1.3336620043098324E-2</v>
      </c>
      <c r="AB7" s="326">
        <f t="shared" si="3"/>
        <v>-5.3835453708761527E-4</v>
      </c>
      <c r="AC7" s="326">
        <f t="shared" si="3"/>
        <v>1.0793855581985978E-2</v>
      </c>
      <c r="AD7" s="326">
        <f t="shared" si="3"/>
        <v>7.6870548592142818E-3</v>
      </c>
      <c r="AE7" s="326">
        <f t="shared" si="3"/>
        <v>8.0353269388491189E-3</v>
      </c>
      <c r="AF7" s="326">
        <f t="shared" si="3"/>
        <v>3.6110269044280496E-3</v>
      </c>
      <c r="AG7" s="326">
        <f t="shared" si="3"/>
        <v>3.0659196193814076E-3</v>
      </c>
      <c r="AH7" s="326">
        <f t="shared" si="3"/>
        <v>3.3171118347248285E-3</v>
      </c>
      <c r="AI7" s="326">
        <f t="shared" si="3"/>
        <v>3.0013451624690823E-3</v>
      </c>
      <c r="AJ7" s="326">
        <f t="shared" si="3"/>
        <v>2.4016434745532944E-3</v>
      </c>
      <c r="AK7" s="326">
        <f t="shared" si="3"/>
        <v>2.1901739146574783E-3</v>
      </c>
      <c r="AL7" s="323"/>
      <c r="AM7" s="323"/>
      <c r="AN7" s="323"/>
      <c r="AO7" s="111"/>
      <c r="AP7" s="323"/>
      <c r="AQ7" s="323"/>
      <c r="AR7" s="323"/>
      <c r="AS7" s="323"/>
      <c r="AT7" s="111"/>
      <c r="AU7" s="323"/>
      <c r="AV7" s="323"/>
      <c r="AW7" s="323"/>
      <c r="AX7" s="323"/>
      <c r="AY7" s="111"/>
      <c r="AZ7" s="323"/>
      <c r="BA7" s="323"/>
      <c r="BB7" s="323"/>
      <c r="BE7" s="323"/>
      <c r="BF7" s="323"/>
      <c r="BG7" s="323"/>
      <c r="BH7" s="837" t="s">
        <v>2596</v>
      </c>
      <c r="BI7" s="705">
        <f>(BI6/BD6)^(1/(2030-2025))-1</f>
        <v>1.9251791462295831E-3</v>
      </c>
      <c r="BJ7" s="705">
        <f>(BJ6/BE6)^(1/(2030-2025))-1</f>
        <v>1.6674331968427047E-3</v>
      </c>
      <c r="BK7" s="326">
        <f>(BK6/BF6)^(1/(2030-2025))-1</f>
        <v>3.2616771745495043E-3</v>
      </c>
      <c r="BL7" s="326">
        <f>(BL6/BG6)^(1/(2030-2025))-1</f>
        <v>2.5761144919038692E-3</v>
      </c>
      <c r="BM7" s="326">
        <f>(BM6/BH6)^(1/(2030-2025))-1</f>
        <v>1.6414035459468845E-3</v>
      </c>
      <c r="BN7" s="111"/>
      <c r="BO7" s="49"/>
      <c r="BP7" s="49"/>
      <c r="BQ7" s="49"/>
      <c r="BR7" s="49"/>
      <c r="BS7" s="49"/>
      <c r="BT7" s="49"/>
      <c r="BU7" s="49"/>
      <c r="BV7" s="49"/>
      <c r="BW7" s="49"/>
      <c r="BX7" s="49"/>
      <c r="BY7" s="49"/>
      <c r="BZ7" s="49"/>
      <c r="CA7" s="49"/>
      <c r="CB7" s="49"/>
      <c r="CC7" s="49"/>
      <c r="CD7" s="49"/>
      <c r="CE7" s="49"/>
      <c r="CF7" s="49"/>
      <c r="CG7" s="49"/>
      <c r="CH7" s="49"/>
      <c r="CI7" s="49"/>
      <c r="CJ7" s="49"/>
      <c r="CK7" s="49"/>
      <c r="CL7" s="49"/>
      <c r="CM7" s="49"/>
      <c r="CN7" s="49"/>
      <c r="CO7" s="49"/>
      <c r="CP7" s="49"/>
      <c r="CQ7" s="111"/>
      <c r="CR7" s="49"/>
      <c r="CS7" s="49"/>
      <c r="CT7" s="49"/>
      <c r="CU7" s="49"/>
      <c r="CV7" s="49"/>
      <c r="CW7" s="49"/>
      <c r="CX7" s="49"/>
      <c r="CY7" s="49"/>
      <c r="CZ7" s="49"/>
      <c r="DA7" s="49"/>
      <c r="DB7" s="49"/>
      <c r="DC7" s="49"/>
      <c r="DD7" s="49"/>
      <c r="DE7" s="49"/>
      <c r="DF7" s="681"/>
      <c r="DG7" s="111"/>
      <c r="DH7" s="754">
        <f>DH6/SUM(DH6:DK6)</f>
        <v>0.30746742377679903</v>
      </c>
      <c r="DI7" s="754">
        <f>DI6/SUM(DH6:DK6)</f>
        <v>0.52656645191810325</v>
      </c>
      <c r="DJ7" s="754">
        <f>DJ6/SUM(DH6:DK6)</f>
        <v>0.10216087429986412</v>
      </c>
      <c r="DK7" s="754">
        <f>DK6/SUM(DH6:DK6)</f>
        <v>6.3805250005233516E-2</v>
      </c>
      <c r="DL7" s="755" t="s">
        <v>2597</v>
      </c>
      <c r="DM7" s="754">
        <f>DM6/SUM(DM6:DP6)</f>
        <v>0.2764019032056183</v>
      </c>
      <c r="DN7" s="754">
        <f>DN6/SUM(DM6:DP6)</f>
        <v>0.53194239094779439</v>
      </c>
      <c r="DO7" s="754">
        <f>DO6/SUM(DM6:DP6)</f>
        <v>0.13403929446044285</v>
      </c>
      <c r="DP7" s="754">
        <f>DP6/SUM(DM6:DP6)</f>
        <v>5.7616411386144414E-2</v>
      </c>
      <c r="DQ7" s="229"/>
      <c r="DR7" s="111"/>
      <c r="DS7" s="754">
        <f>DS6/SUM(DS6:DU6)</f>
        <v>0.4111115983998605</v>
      </c>
      <c r="DT7" s="754">
        <f>DT6/SUM(DS6:DU6)</f>
        <v>0.52369723065873475</v>
      </c>
      <c r="DU7" s="754">
        <f>DU6/SUM(DS6:DU6)</f>
        <v>6.51911709414046E-2</v>
      </c>
      <c r="DV7" s="755" t="s">
        <v>2597</v>
      </c>
      <c r="DW7" s="754">
        <f>DW6/SUM(DW6:DY6)</f>
        <v>0.36880188609736297</v>
      </c>
      <c r="DX7" s="754">
        <f>DX6/SUM(DW6:DY6)</f>
        <v>0.54850934286988395</v>
      </c>
      <c r="DY7" s="754">
        <f>DY6/SUM(DW6:DY6)</f>
        <v>8.2688771032753031E-2</v>
      </c>
      <c r="DZ7" s="229"/>
      <c r="EA7" s="111"/>
      <c r="EB7" s="754">
        <f>EB6/SUM(EB6:EE6)</f>
        <v>9.7009137717638749E-2</v>
      </c>
      <c r="EC7" s="754">
        <f>EC6/SUM(EB6:EE6)</f>
        <v>0.55065927832034756</v>
      </c>
      <c r="ED7" s="754">
        <f>ED6/SUM(EB6:EE6)</f>
        <v>0.1291863804969185</v>
      </c>
      <c r="EE7" s="754">
        <f>EE6/SUM(EB6:EE6)</f>
        <v>0.22314520346509509</v>
      </c>
      <c r="EF7" s="755" t="s">
        <v>2597</v>
      </c>
      <c r="EG7" s="754">
        <f>EG6/SUM(EG6:EJ6)</f>
        <v>7.8718722706295374E-2</v>
      </c>
      <c r="EH7" s="754">
        <f>EH6/SUM(EG6:EJ6)</f>
        <v>0.54543406235754444</v>
      </c>
      <c r="EI7" s="754">
        <f>EI6/SUM(EG6:EJ6)</f>
        <v>0.1552235201282253</v>
      </c>
      <c r="EJ7" s="754">
        <f>EJ6/SUM(EG6:EJ6)</f>
        <v>0.22062369480793476</v>
      </c>
      <c r="EK7" s="229"/>
      <c r="EL7" s="111"/>
      <c r="EM7" s="754">
        <f>EM6/SUM(EL6:EO6)</f>
        <v>0.56753679238182198</v>
      </c>
      <c r="EN7" s="754">
        <f>EN6/SUM(EL6:EO6)</f>
        <v>0.33111744527152581</v>
      </c>
      <c r="EO7" s="754">
        <f>EO6/SUM(EL6:EO6)</f>
        <v>0.10134576234665228</v>
      </c>
      <c r="EP7" s="755" t="s">
        <v>2597</v>
      </c>
      <c r="EQ7" s="754">
        <f>EQ6/SUM(EQ6:ES6)</f>
        <v>0.488089050432154</v>
      </c>
      <c r="ER7" s="754">
        <f>ER6/SUM(EQ6:ES6)</f>
        <v>0.36684788302681925</v>
      </c>
      <c r="ES7" s="754">
        <f>ES6/SUM(EQ6:ES6)</f>
        <v>0.14506306654102674</v>
      </c>
      <c r="ET7" s="229"/>
      <c r="EU7" s="111"/>
      <c r="EV7" s="756"/>
      <c r="EW7" s="756"/>
      <c r="EX7" s="757" t="s">
        <v>2598</v>
      </c>
      <c r="EY7" s="758">
        <f>EY6/EX6</f>
        <v>0.79649155300432295</v>
      </c>
      <c r="EZ7" s="759">
        <f>EZ6/EX6</f>
        <v>0.20350844699567697</v>
      </c>
      <c r="FA7" s="230"/>
      <c r="FB7" s="758">
        <f>FB6/FA6</f>
        <v>0.79566507923927032</v>
      </c>
      <c r="FC7" s="759">
        <f>FC6/FA6</f>
        <v>0.2043349207607284</v>
      </c>
      <c r="FD7" s="230"/>
      <c r="FE7" s="758">
        <f>FE6/FD6</f>
        <v>0.80879562627109614</v>
      </c>
      <c r="FF7" s="759">
        <f>FF6/FD6</f>
        <v>0.19120437372890409</v>
      </c>
      <c r="FG7" s="230"/>
      <c r="FH7" s="758">
        <f>FH6/FG6</f>
        <v>0.79839064209569077</v>
      </c>
      <c r="FI7" s="759">
        <f>FI6/FG6</f>
        <v>0.20160935790430937</v>
      </c>
      <c r="FJ7" s="230"/>
      <c r="FK7" s="758">
        <f>FK6/FJ6</f>
        <v>0.7917978978614868</v>
      </c>
      <c r="FL7" s="760">
        <f>FL6/FJ6</f>
        <v>0.20820210213851265</v>
      </c>
      <c r="FM7" s="111"/>
      <c r="FN7" s="761"/>
      <c r="FO7" s="761"/>
      <c r="FP7" s="761"/>
      <c r="FQ7" s="761"/>
      <c r="FR7" s="111"/>
      <c r="FS7" s="166"/>
      <c r="FT7" s="166"/>
      <c r="FU7" s="166"/>
      <c r="FV7" s="166"/>
      <c r="FW7" s="166"/>
      <c r="FX7" s="166"/>
      <c r="FY7" s="111"/>
      <c r="FZ7" s="166"/>
      <c r="GA7" s="166"/>
      <c r="GB7" s="166"/>
      <c r="GC7" s="166"/>
      <c r="GD7" s="166"/>
      <c r="GE7" s="166"/>
      <c r="GF7" s="166"/>
      <c r="GG7" s="166"/>
      <c r="GH7" s="757" t="s">
        <v>2598</v>
      </c>
      <c r="GI7" s="758">
        <f>GI6/GH6</f>
        <v>0.81621424507339146</v>
      </c>
      <c r="GJ7" s="759">
        <f>GJ6/GH6</f>
        <v>0.18378575492660851</v>
      </c>
      <c r="GK7" s="166"/>
      <c r="GL7" s="758">
        <f>GL6/GK6</f>
        <v>0.7786398463139298</v>
      </c>
      <c r="GM7" s="759">
        <f>GM6/GK6</f>
        <v>0.22136015368607048</v>
      </c>
      <c r="GN7" s="166"/>
      <c r="GO7" s="758">
        <f>GO6/GN6</f>
        <v>0.79843815154312525</v>
      </c>
      <c r="GP7" s="759">
        <f>GP6/GN6</f>
        <v>0.20156184845687525</v>
      </c>
      <c r="GQ7" s="166"/>
      <c r="GR7" s="758">
        <f>GR6/GQ6</f>
        <v>0.82622344119613089</v>
      </c>
      <c r="GS7" s="759">
        <f>GS6/GQ6</f>
        <v>0.17377655880386841</v>
      </c>
      <c r="GT7" s="166"/>
      <c r="GU7" s="758">
        <f>GU6/GT6</f>
        <v>0.8196153034455721</v>
      </c>
      <c r="GV7" s="759">
        <f>GV6/GT6</f>
        <v>0.18038469655442815</v>
      </c>
      <c r="GW7" s="166"/>
      <c r="GX7" s="758">
        <f>GX6/GW6</f>
        <v>0.80391269103268015</v>
      </c>
      <c r="GY7" s="759">
        <f>GY6/GW6</f>
        <v>0.19608730896732002</v>
      </c>
      <c r="GZ7" s="166"/>
      <c r="HA7" s="758">
        <f>HA6/GZ6</f>
        <v>0.78957634912257479</v>
      </c>
      <c r="HB7" s="759">
        <f>HB6/GZ6</f>
        <v>0.21042365087742493</v>
      </c>
      <c r="HC7" s="166"/>
      <c r="HD7" s="758">
        <f>HD6/HC6</f>
        <v>0.84125107729827897</v>
      </c>
      <c r="HE7" s="759">
        <f>HE6/HC6</f>
        <v>0.15874892270172034</v>
      </c>
      <c r="HF7" s="166"/>
      <c r="HG7" s="758">
        <f>HG6/HF6</f>
        <v>0.7809582683699382</v>
      </c>
      <c r="HH7" s="759">
        <f>HH6/HF6</f>
        <v>0.21904173163006238</v>
      </c>
      <c r="HI7" s="166"/>
      <c r="HJ7" s="758">
        <f>HJ6/HI6</f>
        <v>0.80710177782917703</v>
      </c>
      <c r="HK7" s="759">
        <f>HK6/HI6</f>
        <v>0.19289822217082356</v>
      </c>
      <c r="HL7" s="166"/>
      <c r="HM7" s="758">
        <f>HM6/HL6</f>
        <v>0.81177676093311335</v>
      </c>
      <c r="HN7" s="759">
        <f>HN6/HL6</f>
        <v>0.18822323906688565</v>
      </c>
      <c r="HO7" s="166"/>
      <c r="HP7" s="758">
        <f>HP6/HO6</f>
        <v>0.81394147627537239</v>
      </c>
      <c r="HQ7" s="759">
        <f>HQ6/HO6</f>
        <v>0.18605852372462778</v>
      </c>
      <c r="HR7" s="166"/>
      <c r="HS7" s="758">
        <f>HS6/HR6</f>
        <v>0.7602411950585295</v>
      </c>
      <c r="HT7" s="759">
        <f>HT6/HR6</f>
        <v>0.23975880494147059</v>
      </c>
      <c r="HU7" s="166"/>
      <c r="HV7" s="758">
        <f>HV6/HU6</f>
        <v>0.78263104899932712</v>
      </c>
      <c r="HW7" s="759">
        <f>HW6/HU6</f>
        <v>0.21736895100067291</v>
      </c>
      <c r="HX7" s="250"/>
      <c r="HY7" s="757" t="s">
        <v>2598</v>
      </c>
      <c r="HZ7" s="762">
        <f>HZ6/HY6</f>
        <v>6.1222219951140119E-2</v>
      </c>
      <c r="IA7" s="763">
        <f>IA6/HY6</f>
        <v>0.36363582180085102</v>
      </c>
      <c r="IB7" s="764">
        <f>IB6/HY6</f>
        <v>0.41313938899927777</v>
      </c>
      <c r="IC7" s="765">
        <f>IC6/HY6</f>
        <v>0.14436433133062437</v>
      </c>
      <c r="ID7" s="766">
        <f>ID6/HY6</f>
        <v>1.7638237918106814E-2</v>
      </c>
      <c r="IE7" s="757"/>
      <c r="IF7" s="762">
        <f>IF6/IE6</f>
        <v>2.6085041265475003E-2</v>
      </c>
      <c r="IG7" s="763">
        <f>IG6/IE6</f>
        <v>0.25668532608045108</v>
      </c>
      <c r="IH7" s="764">
        <f>IH6/IE6</f>
        <v>0.45444967664034724</v>
      </c>
      <c r="II7" s="765">
        <f>II6/IE6</f>
        <v>0.22449490489109969</v>
      </c>
      <c r="IJ7" s="766">
        <f>IJ6/IE6</f>
        <v>3.8285051122627083E-2</v>
      </c>
      <c r="IK7" s="247"/>
      <c r="IL7" s="246"/>
      <c r="IM7" s="168"/>
      <c r="IN7" s="111"/>
      <c r="IO7" s="767"/>
      <c r="IP7" s="768"/>
      <c r="IQ7" s="768"/>
      <c r="IR7" s="768"/>
      <c r="IS7" s="769" t="s">
        <v>2599</v>
      </c>
      <c r="IT7" s="860">
        <f>(IT6-IO6)*100</f>
        <v>-3.0700000000000003</v>
      </c>
      <c r="IU7" s="861">
        <f>(IU6-IP6)*100</f>
        <v>-11.629999999999999</v>
      </c>
      <c r="IV7" s="862">
        <f>(IV6-IQ6)*100</f>
        <v>3.6399999999999988</v>
      </c>
      <c r="IW7" s="863">
        <f>(IW6-IR6)*100</f>
        <v>8.7900000000000009</v>
      </c>
      <c r="IX7" s="864">
        <f>(IX6-IS6)*100</f>
        <v>2.27</v>
      </c>
      <c r="IY7" s="767"/>
      <c r="IZ7" s="768"/>
      <c r="JA7" s="768"/>
      <c r="JB7" s="768"/>
      <c r="JC7" s="769" t="s">
        <v>2599</v>
      </c>
      <c r="JD7" s="860">
        <f>(JD6-IY6)*100</f>
        <v>-3.65</v>
      </c>
      <c r="JE7" s="861">
        <f>(JE6-IZ6)*100</f>
        <v>-7.5199999999999987</v>
      </c>
      <c r="JF7" s="862">
        <f>(JF6-JA6)*100</f>
        <v>2.5499999999999967</v>
      </c>
      <c r="JG7" s="863">
        <f>(JG6-JB6)*100</f>
        <v>6.38</v>
      </c>
      <c r="JH7" s="864">
        <f>(JH6-JC6)*100</f>
        <v>2.2400000000000002</v>
      </c>
      <c r="JI7" s="767"/>
      <c r="JJ7" s="768"/>
      <c r="JK7" s="768"/>
      <c r="JL7" s="768"/>
      <c r="JM7" s="769" t="s">
        <v>2599</v>
      </c>
      <c r="JN7" s="860">
        <f>(JN6-JI6)*100</f>
        <v>-6.7399999999999984</v>
      </c>
      <c r="JO7" s="861">
        <f>(JO6-JJ6)*100</f>
        <v>-9.6500000000000021</v>
      </c>
      <c r="JP7" s="862">
        <f>(JP6-JK6)*100</f>
        <v>9.6700000000000017</v>
      </c>
      <c r="JQ7" s="863">
        <f>(JQ6-JL6)*100</f>
        <v>5.6800000000000015</v>
      </c>
      <c r="JR7" s="864">
        <f>(JR6-JM6)*100</f>
        <v>1.04</v>
      </c>
      <c r="JS7" s="767"/>
      <c r="JT7" s="768"/>
      <c r="JU7" s="768"/>
      <c r="JV7" s="768"/>
      <c r="JW7" s="769" t="s">
        <v>2599</v>
      </c>
      <c r="JX7" s="860">
        <f>(JX6-JS6)*100</f>
        <v>-3.46</v>
      </c>
      <c r="JY7" s="861">
        <f>(JY6-JT6)*100</f>
        <v>-11.19</v>
      </c>
      <c r="JZ7" s="862">
        <f>(JZ6-JU6)*100</f>
        <v>4.5699999999999967</v>
      </c>
      <c r="KA7" s="863">
        <f>(KA6-JV6)*100</f>
        <v>8.1700000000000017</v>
      </c>
      <c r="KB7" s="864">
        <f>(KB6-JW6)*100</f>
        <v>1.91</v>
      </c>
      <c r="KC7" s="111"/>
      <c r="KD7" s="245"/>
      <c r="KE7" s="245"/>
      <c r="KF7" s="247"/>
      <c r="KG7" s="246"/>
      <c r="KH7" s="249"/>
      <c r="KI7" s="247"/>
      <c r="KJ7" s="249"/>
      <c r="KK7" s="802"/>
      <c r="KL7" s="802"/>
      <c r="KM7" s="802"/>
      <c r="KN7" s="802"/>
      <c r="KO7" s="802"/>
      <c r="KP7" s="802"/>
      <c r="KQ7" s="802"/>
      <c r="KR7" s="802"/>
      <c r="KS7" s="802"/>
      <c r="KT7" s="802"/>
      <c r="KU7" s="802"/>
      <c r="KV7" s="802"/>
      <c r="KW7" s="802"/>
      <c r="KX7" s="802"/>
      <c r="KY7" s="802"/>
      <c r="KZ7" s="802"/>
      <c r="LA7" s="802"/>
      <c r="LB7" s="802"/>
      <c r="LC7" s="802"/>
      <c r="LD7" s="802"/>
      <c r="LE7" s="802"/>
      <c r="LF7" s="802"/>
      <c r="LG7" s="802"/>
      <c r="LH7" s="802"/>
      <c r="LI7" s="802"/>
      <c r="LJ7" s="802"/>
      <c r="LK7" s="802"/>
      <c r="LL7" s="802"/>
      <c r="LM7" s="802"/>
      <c r="LN7" s="802"/>
      <c r="LO7" s="802"/>
    </row>
    <row r="8" spans="1:327" ht="48" hidden="1" customHeight="1">
      <c r="A8" s="273">
        <v>1</v>
      </c>
      <c r="B8" s="274" t="s">
        <v>2600</v>
      </c>
      <c r="C8" s="274" t="s">
        <v>2104</v>
      </c>
      <c r="D8" s="274" t="s">
        <v>671</v>
      </c>
      <c r="E8" s="275" t="s">
        <v>2106</v>
      </c>
      <c r="F8" s="275" t="s">
        <v>300</v>
      </c>
      <c r="G8" s="275" t="s">
        <v>300</v>
      </c>
      <c r="H8" s="275" t="s">
        <v>2109</v>
      </c>
      <c r="I8" s="276" t="s">
        <v>2601</v>
      </c>
      <c r="J8" s="276" t="s">
        <v>2602</v>
      </c>
      <c r="K8" s="277" t="s">
        <v>2097</v>
      </c>
      <c r="L8" s="277" t="s">
        <v>2109</v>
      </c>
      <c r="M8" s="277" t="s">
        <v>2603</v>
      </c>
      <c r="N8" s="277" t="s">
        <v>2099</v>
      </c>
      <c r="O8" s="275" t="s">
        <v>2212</v>
      </c>
      <c r="P8" s="276"/>
      <c r="Q8" s="270">
        <v>1</v>
      </c>
      <c r="R8" s="278">
        <v>300</v>
      </c>
      <c r="S8" s="279">
        <v>10429</v>
      </c>
      <c r="T8" s="279">
        <v>12090</v>
      </c>
      <c r="U8" s="279">
        <v>14016</v>
      </c>
      <c r="V8" s="279">
        <v>16248</v>
      </c>
      <c r="W8" s="279">
        <v>16735</v>
      </c>
      <c r="X8" s="279">
        <v>17237</v>
      </c>
      <c r="Y8" s="279">
        <v>17754</v>
      </c>
      <c r="Z8" s="279">
        <v>18287</v>
      </c>
      <c r="AA8" s="279">
        <v>18561</v>
      </c>
      <c r="AB8" s="279">
        <v>18839</v>
      </c>
      <c r="AC8" s="279">
        <v>19122</v>
      </c>
      <c r="AD8" s="279">
        <v>19409</v>
      </c>
      <c r="AE8" s="279">
        <v>19700</v>
      </c>
      <c r="AF8" s="279">
        <v>19995</v>
      </c>
      <c r="AG8" s="279">
        <v>20100</v>
      </c>
      <c r="AH8" s="279">
        <v>20180</v>
      </c>
      <c r="AI8" s="279">
        <v>20220</v>
      </c>
      <c r="AJ8" s="279">
        <v>20220</v>
      </c>
      <c r="AK8" s="279">
        <v>20180</v>
      </c>
      <c r="AL8" s="276" t="s">
        <v>2604</v>
      </c>
      <c r="AM8" s="276" t="s">
        <v>2605</v>
      </c>
      <c r="AN8" s="276" t="s">
        <v>2111</v>
      </c>
      <c r="AO8" s="657"/>
      <c r="AP8" s="278">
        <v>40</v>
      </c>
      <c r="AQ8" s="278">
        <v>31</v>
      </c>
      <c r="AR8" s="278">
        <v>8</v>
      </c>
      <c r="AS8" s="278">
        <v>1</v>
      </c>
      <c r="AT8" s="657"/>
      <c r="AU8" s="281" t="s">
        <v>2606</v>
      </c>
      <c r="AV8" s="296" t="s">
        <v>2607</v>
      </c>
      <c r="AW8" s="296" t="s">
        <v>2608</v>
      </c>
      <c r="AX8" s="276" t="s">
        <v>2609</v>
      </c>
      <c r="AY8" s="657"/>
      <c r="AZ8" s="947">
        <v>6</v>
      </c>
      <c r="BA8" s="947">
        <v>0.245</v>
      </c>
      <c r="BB8" s="947">
        <v>0</v>
      </c>
      <c r="BC8" s="947">
        <v>6</v>
      </c>
      <c r="BD8" s="824">
        <f t="shared" ref="BD8:BD39" si="4">SUM(BE8:BH8)</f>
        <v>244838.77499999999</v>
      </c>
      <c r="BE8" s="283">
        <f t="shared" ref="BE8:BE39" si="5">AF8*AZ8</f>
        <v>119970</v>
      </c>
      <c r="BF8" s="283">
        <f t="shared" ref="BF8:BF39" si="6">AF8*BA8</f>
        <v>4898.7749999999996</v>
      </c>
      <c r="BG8" s="283">
        <f t="shared" ref="BG8:BG39" si="7">AF8*BB8</f>
        <v>0</v>
      </c>
      <c r="BH8" s="283">
        <f t="shared" ref="BH8:BH39" si="8">AF8*BC8</f>
        <v>119970</v>
      </c>
      <c r="BI8" s="824">
        <f t="shared" ref="BI8:BI39" si="9">SUM(BJ8:BM8)</f>
        <v>247104.1</v>
      </c>
      <c r="BJ8" s="283">
        <f t="shared" ref="BJ8:BJ39" si="10">AK8*AZ8</f>
        <v>121080</v>
      </c>
      <c r="BK8" s="283">
        <f t="shared" ref="BK8:BK39" si="11">AK8*BA8</f>
        <v>4944.1000000000004</v>
      </c>
      <c r="BL8" s="283">
        <f t="shared" ref="BL8:BL39" si="12">AK8*BB8</f>
        <v>0</v>
      </c>
      <c r="BM8" s="283">
        <f t="shared" ref="BM8:BM39" si="13">AK8*BC8</f>
        <v>121080</v>
      </c>
      <c r="BN8" s="657"/>
      <c r="BO8" s="305">
        <v>0.5</v>
      </c>
      <c r="BP8" s="305">
        <v>0.42</v>
      </c>
      <c r="BQ8" s="305">
        <v>0.04</v>
      </c>
      <c r="BR8" s="581">
        <v>0.04</v>
      </c>
      <c r="BS8" s="706">
        <v>0.48</v>
      </c>
      <c r="BT8" s="305">
        <v>0.42</v>
      </c>
      <c r="BU8" s="305">
        <v>0.06</v>
      </c>
      <c r="BV8" s="581">
        <v>0.04</v>
      </c>
      <c r="BW8" s="713">
        <v>0.9</v>
      </c>
      <c r="BX8" s="306">
        <v>0.08</v>
      </c>
      <c r="BY8" s="590">
        <v>0.02</v>
      </c>
      <c r="BZ8" s="713">
        <v>0.88</v>
      </c>
      <c r="CA8" s="306">
        <v>0.09</v>
      </c>
      <c r="CB8" s="590">
        <v>0.03</v>
      </c>
      <c r="CC8" s="706"/>
      <c r="CD8" s="305"/>
      <c r="CE8" s="305"/>
      <c r="CF8" s="581"/>
      <c r="CG8" s="706"/>
      <c r="CH8" s="305"/>
      <c r="CI8" s="305"/>
      <c r="CJ8" s="581"/>
      <c r="CK8" s="719">
        <v>0.85</v>
      </c>
      <c r="CL8" s="307">
        <v>0.15</v>
      </c>
      <c r="CM8" s="723"/>
      <c r="CN8" s="719">
        <v>0.8</v>
      </c>
      <c r="CO8" s="307">
        <v>0.18</v>
      </c>
      <c r="CP8" s="723">
        <v>0.02</v>
      </c>
      <c r="CQ8" s="657"/>
      <c r="CR8" s="804">
        <v>14</v>
      </c>
      <c r="CS8" s="805">
        <v>13</v>
      </c>
      <c r="CT8" s="805">
        <v>10</v>
      </c>
      <c r="CU8" s="806">
        <v>12</v>
      </c>
      <c r="CV8" s="804">
        <v>13</v>
      </c>
      <c r="CW8" s="805">
        <v>12</v>
      </c>
      <c r="CX8" s="806">
        <v>9</v>
      </c>
      <c r="CY8" s="804"/>
      <c r="CZ8" s="805"/>
      <c r="DA8" s="805"/>
      <c r="DB8" s="806"/>
      <c r="DC8" s="804">
        <v>15</v>
      </c>
      <c r="DD8" s="805">
        <v>15</v>
      </c>
      <c r="DE8" s="806">
        <v>12</v>
      </c>
      <c r="DF8" s="609" t="s">
        <v>2610</v>
      </c>
      <c r="DG8" s="657"/>
      <c r="DH8" s="308">
        <f t="shared" ref="DH8:DH39" si="14">$BE8*BO8</f>
        <v>59985</v>
      </c>
      <c r="DI8" s="308">
        <f t="shared" ref="DI8:DI39" si="15">$BE8*BP8</f>
        <v>50387.4</v>
      </c>
      <c r="DJ8" s="308">
        <f t="shared" ref="DJ8:DJ39" si="16">$BE8*BQ8</f>
        <v>4798.8</v>
      </c>
      <c r="DK8" s="308">
        <f t="shared" ref="DK8:DK39" si="17">$BE8*BR8</f>
        <v>4798.8</v>
      </c>
      <c r="DL8" s="287" t="s">
        <v>2611</v>
      </c>
      <c r="DM8" s="308">
        <f t="shared" ref="DM8:DM39" si="18">$BJ8*BS8</f>
        <v>58118.400000000001</v>
      </c>
      <c r="DN8" s="308">
        <f t="shared" ref="DN8:DN39" si="19">$BJ8*BT8</f>
        <v>50853.599999999999</v>
      </c>
      <c r="DO8" s="308">
        <f t="shared" ref="DO8:DO39" si="20">$BJ8*BU8</f>
        <v>7264.8</v>
      </c>
      <c r="DP8" s="308">
        <f t="shared" ref="DP8:DP39" si="21">$BJ8*BV8</f>
        <v>4843.2</v>
      </c>
      <c r="DQ8" s="289" t="s">
        <v>2612</v>
      </c>
      <c r="DR8" s="657"/>
      <c r="DS8" s="308">
        <f t="shared" ref="DS8:DS39" si="22">$BF8*BW8</f>
        <v>4408.8975</v>
      </c>
      <c r="DT8" s="308">
        <f t="shared" ref="DT8:DT39" si="23">$BF8*BX8</f>
        <v>391.90199999999999</v>
      </c>
      <c r="DU8" s="308">
        <f t="shared" ref="DU8:DU39" si="24">$BF8*BY8</f>
        <v>97.975499999999997</v>
      </c>
      <c r="DV8" s="289" t="s">
        <v>2613</v>
      </c>
      <c r="DW8" s="308">
        <f t="shared" ref="DW8:DW39" si="25">$BK8*BZ8</f>
        <v>4350.808</v>
      </c>
      <c r="DX8" s="308">
        <f t="shared" ref="DX8:DX39" si="26">$BK8*CA8</f>
        <v>444.96899999999999</v>
      </c>
      <c r="DY8" s="308">
        <f t="shared" ref="DY8:DY39" si="27">$BK8*CB8</f>
        <v>148.32300000000001</v>
      </c>
      <c r="DZ8" s="289" t="s">
        <v>2613</v>
      </c>
      <c r="EA8" s="657"/>
      <c r="EB8" s="308">
        <f t="shared" ref="EB8:EB39" si="28">$BG8*CC8</f>
        <v>0</v>
      </c>
      <c r="EC8" s="308">
        <f t="shared" ref="EC8:EC39" si="29">$BG8*CD8</f>
        <v>0</v>
      </c>
      <c r="ED8" s="308">
        <f t="shared" ref="ED8:ED39" si="30">$BG8*CE8</f>
        <v>0</v>
      </c>
      <c r="EE8" s="308">
        <f t="shared" ref="EE8:EE39" si="31">$BG8*CF8</f>
        <v>0</v>
      </c>
      <c r="EF8" s="289" t="s">
        <v>2613</v>
      </c>
      <c r="EG8" s="308">
        <f t="shared" ref="EG8:EG39" si="32">$BL8*CG8</f>
        <v>0</v>
      </c>
      <c r="EH8" s="308">
        <f t="shared" ref="EH8:EH39" si="33">$BL8*CH8</f>
        <v>0</v>
      </c>
      <c r="EI8" s="308">
        <f t="shared" ref="EI8:EI39" si="34">$BL8*CI8</f>
        <v>0</v>
      </c>
      <c r="EJ8" s="308">
        <f t="shared" ref="EJ8:EJ39" si="35">$BL8*CJ8</f>
        <v>0</v>
      </c>
      <c r="EK8" s="309" t="s">
        <v>2613</v>
      </c>
      <c r="EL8" s="657"/>
      <c r="EM8" s="308">
        <f t="shared" ref="EM8:EM39" si="36">$BH8*CK8</f>
        <v>101974.5</v>
      </c>
      <c r="EN8" s="310">
        <f t="shared" ref="EN8:EN39" si="37">$BH8*CL8</f>
        <v>17995.5</v>
      </c>
      <c r="EO8" s="310">
        <f t="shared" ref="EO8:EO39" si="38">$BH8*CM8</f>
        <v>0</v>
      </c>
      <c r="EP8" s="289" t="s">
        <v>2614</v>
      </c>
      <c r="EQ8" s="308">
        <f t="shared" ref="EQ8:EQ39" si="39">$BM8*CN8</f>
        <v>96864</v>
      </c>
      <c r="ER8" s="310">
        <f t="shared" ref="ER8:ER39" si="40">$BM8*CO8</f>
        <v>21794.399999999998</v>
      </c>
      <c r="ES8" s="310">
        <f t="shared" ref="ES8:ES39" si="41">$BM8*CP8</f>
        <v>2421.6</v>
      </c>
      <c r="ET8" s="289" t="s">
        <v>2615</v>
      </c>
      <c r="EU8" s="657"/>
      <c r="EV8" s="728">
        <f t="shared" ref="EV8:EV39" si="42">IFERROR(EY8/EX8,0)</f>
        <v>0.80146255250641063</v>
      </c>
      <c r="EW8" s="728">
        <f t="shared" ref="EW8:EW39" si="43">IFERROR(EZ8/EX8,0)</f>
        <v>0.19853744749358931</v>
      </c>
      <c r="EX8" s="311">
        <f t="shared" ref="EX8:EX39" si="44">EY8+EZ8</f>
        <v>54979.446238233999</v>
      </c>
      <c r="EY8" s="311">
        <f t="shared" ref="EY8:EY39" si="45">SUM(FB8,FE8,FH8,FK8)</f>
        <v>44063.967317483999</v>
      </c>
      <c r="EZ8" s="311">
        <f t="shared" ref="EZ8:EZ39" si="46">SUM(FC8,FF8,FI8,FL8)</f>
        <v>10915.47892075</v>
      </c>
      <c r="FA8" s="311">
        <f t="shared" ref="FA8:FA39" si="47">FB8+FC8</f>
        <v>26939.704159200002</v>
      </c>
      <c r="FB8" s="311">
        <f t="shared" ref="FB8:FB39" si="48">SUM(GI8,GL8,GO8,GR8)</f>
        <v>21591.164059200004</v>
      </c>
      <c r="FC8" s="311">
        <f t="shared" ref="FC8:FC39" si="49">MAX(0,$BJ8-$BE8)+$BE8*$FO8</f>
        <v>5348.5401000000002</v>
      </c>
      <c r="FD8" s="311">
        <f t="shared" ref="FD8:FD39" si="50">FE8+FF8</f>
        <v>1100.0379198340006</v>
      </c>
      <c r="FE8" s="311">
        <f t="shared" ref="FE8:FE39" si="51">SUM(GU8,GX8,HA8)</f>
        <v>881.63919908399998</v>
      </c>
      <c r="FF8" s="311">
        <f t="shared" ref="FF8:FF39" si="52">MAX(0,$BK8-$BF8)+$BF8*$FO8</f>
        <v>218.39872075000071</v>
      </c>
      <c r="FG8" s="311">
        <f t="shared" ref="FG8:FG39" si="53">FH8+FI8</f>
        <v>0</v>
      </c>
      <c r="FH8" s="311">
        <f t="shared" ref="FH8:FH39" si="54">SUM(HD8,HG8,HJ8,HM8)</f>
        <v>0</v>
      </c>
      <c r="FI8" s="311">
        <f t="shared" ref="FI8:FI39" si="55">MAX(0,$BL8-$BG8)+$BG8*$FO8</f>
        <v>0</v>
      </c>
      <c r="FJ8" s="311">
        <f t="shared" ref="FJ8:FJ39" si="56">FK8+FL8</f>
        <v>26939.704159200002</v>
      </c>
      <c r="FK8" s="311">
        <f t="shared" ref="FK8:FK39" si="57">SUM(HP8,HS8,HV8)</f>
        <v>21591.1640592</v>
      </c>
      <c r="FL8" s="311">
        <f t="shared" ref="FL8:FL39" si="58">MAX(0,$BM8-$BH8)+$BH8*$FO8</f>
        <v>5348.5401000000002</v>
      </c>
      <c r="FM8" s="657"/>
      <c r="FN8" s="293" t="s">
        <v>2616</v>
      </c>
      <c r="FO8" s="728">
        <v>3.533E-2</v>
      </c>
      <c r="FP8" s="729">
        <v>0.87280000000000002</v>
      </c>
      <c r="FQ8" s="294" t="s">
        <v>2617</v>
      </c>
      <c r="FR8" s="657"/>
      <c r="FS8" s="865">
        <v>3.41</v>
      </c>
      <c r="FT8" s="312">
        <f>RANK($FS8,$FS$8:$FS$154,0)+COUNTIF($FS$8:$FS8,$FS8)-1</f>
        <v>54</v>
      </c>
      <c r="FU8" s="865">
        <v>3.9</v>
      </c>
      <c r="FV8" s="312">
        <f>RANK($FU8,$FU$8:$FU$154,0)+COUNTIF($FU$8:$FU8,$FU8)-1</f>
        <v>95</v>
      </c>
      <c r="FW8" s="865">
        <v>2.82</v>
      </c>
      <c r="FX8" s="312">
        <f>RANK($FW8,$FW$8:$FW$154,0)+COUNTIF($FW$8:$FW8,$FW8)-1</f>
        <v>12</v>
      </c>
      <c r="FY8" s="657"/>
      <c r="FZ8" s="296" t="s">
        <v>2618</v>
      </c>
      <c r="GA8" s="296" t="s">
        <v>2619</v>
      </c>
      <c r="GB8" s="296" t="s">
        <v>2620</v>
      </c>
      <c r="GC8" s="296" t="s">
        <v>2621</v>
      </c>
      <c r="GD8" s="296" t="s">
        <v>2622</v>
      </c>
      <c r="GE8" s="296" t="s">
        <v>2623</v>
      </c>
      <c r="GF8" s="296" t="str">
        <f>HYPERLINK("https://solidarites.gouv.fr/le-service-public-de-la-petite-enfance-garantir-un-accueil-de-qualite-tous-les-enfants-et-leurs-familles","https://solidarites.gouv.fr/le-service-public-de-la-petite-enfance-garantir-un-accueil-de-qualite-tous-les-enfants-et-leurs-familles")&amp;CHAR(10)&amp;HYPERLINK("https://solidarites.gouv.fr/outils-et-ressources-destination-des-autorites-organisatrices-de-laccueil-du-jeune-enfant","https://solidarites.gouv.fr/outils-et-ressources-destination-des-autorites-organisatrices-de-laccueil-du-jeune-enfant")&amp;CHAR(10)&amp;HYPERLINK("https://solidarites.gouv.fr/stephanie-rist-annonce-une-revalorisation-du-financement-des-creches-par-les-caf-de-2-en-2025","https://solidarites.gouv.fr/stephanie-rist-annonce-une-revalorisation-du-financement-des-creches-par-les-caf-de-2-en-2025")&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https://solidarites.gouv.fr/le-service-public-de-la-petite-enfance-garantir-un-accueil-de-qualite-tous-les-enfants-et-leurs-familles
https://solidarites.gouv.fr/outils-et-ressources-destination-des-autorites-organisatrices-de-laccueil-du-jeune-enfant
https://solidarites.gouv.fr/stephanie-rist-annonce-une-revalorisation-du-financement-des-creches-par-les-caf-de-2-en-2025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8" s="657"/>
      <c r="GH8" s="311">
        <f t="shared" ref="GH8:GH39" si="59">GI8+GJ8</f>
        <v>13362.8812776</v>
      </c>
      <c r="GI8" s="311">
        <f>IFERROR($BE8*$FP8*0.2062*$BO8,0)</f>
        <v>10795.5820296</v>
      </c>
      <c r="GJ8" s="311">
        <f t="shared" ref="GJ8:GJ39" si="60">IFERROR($FC8*$BS8,0)</f>
        <v>2567.2992479999998</v>
      </c>
      <c r="GK8" s="311">
        <f t="shared" ref="GK8:GK39" si="61">GL8+GM8</f>
        <v>11314.675746863999</v>
      </c>
      <c r="GL8" s="311">
        <f>IFERROR($BE8*$FP8*0.2062*$BP8,0)</f>
        <v>9068.2889048639991</v>
      </c>
      <c r="GM8" s="311">
        <f t="shared" ref="GM8:GM39" si="62">IFERROR($FC8*$BT8,0)</f>
        <v>2246.3868419999999</v>
      </c>
      <c r="GN8" s="311">
        <f t="shared" ref="GN8:GN39" si="63">GO8+GP8</f>
        <v>1184.558968368</v>
      </c>
      <c r="GO8" s="311">
        <f>IFERROR($BE8*$FP8*0.2062*$BQ8,0)</f>
        <v>863.64656236799999</v>
      </c>
      <c r="GP8" s="311">
        <f t="shared" ref="GP8:GP39" si="64">IFERROR($FC8*$BU8,0)</f>
        <v>320.91240599999998</v>
      </c>
      <c r="GQ8" s="311">
        <f t="shared" ref="GQ8:GQ39" si="65">GR8+GS8</f>
        <v>1077.588166368</v>
      </c>
      <c r="GR8" s="311">
        <f>IFERROR($BE8*$FP8*0.2062*$BR8,0)</f>
        <v>863.64656236799999</v>
      </c>
      <c r="GS8" s="311">
        <f t="shared" ref="GS8:GS39" si="66">IFERROR($FC8*$BV8,0)</f>
        <v>213.94160400000001</v>
      </c>
      <c r="GT8" s="311">
        <f t="shared" ref="GT8:GT39" si="67">GU8+GV8</f>
        <v>985.66615343560056</v>
      </c>
      <c r="GU8" s="311">
        <f>IFERROR($BF8*$FP8*0.2062*$BW8,0)</f>
        <v>793.47527917560001</v>
      </c>
      <c r="GV8" s="311">
        <f t="shared" ref="GV8:GV39" si="68">IFERROR($FF8*$BZ8,0)</f>
        <v>192.19087426000061</v>
      </c>
      <c r="GW8" s="311">
        <f t="shared" ref="GW8:GW39" si="69">GX8+GY8</f>
        <v>90.187020794220061</v>
      </c>
      <c r="GX8" s="311">
        <f>IFERROR($BF8*$FP8*0.2062*$BX8,0)</f>
        <v>70.531135926719998</v>
      </c>
      <c r="GY8" s="311">
        <f t="shared" ref="GY8:GY39" si="70">IFERROR($FF8*$CA8,0)</f>
        <v>19.655884867500063</v>
      </c>
      <c r="GZ8" s="311">
        <f t="shared" ref="GZ8:GZ39" si="71">HA8+HB8</f>
        <v>24.184745604180019</v>
      </c>
      <c r="HA8" s="311">
        <f>IFERROR($BF8*$FP8*0.2062*$BY8,0)</f>
        <v>17.632783981679999</v>
      </c>
      <c r="HB8" s="311">
        <f t="shared" ref="HB8:HB39" si="72">IFERROR($FF8*$CB8,0)</f>
        <v>6.5519616225000208</v>
      </c>
      <c r="HC8" s="311">
        <f t="shared" ref="HC8:HC39" si="73">HD8+HE8</f>
        <v>0</v>
      </c>
      <c r="HD8" s="311">
        <f>IFERROR($BG8*$FP8*0.2062*$CC8,0)</f>
        <v>0</v>
      </c>
      <c r="HE8" s="311">
        <f t="shared" ref="HE8:HE39" si="74">IFERROR($FI8*$CG8,0)</f>
        <v>0</v>
      </c>
      <c r="HF8" s="311">
        <f t="shared" ref="HF8:HF39" si="75">HG8+HH8</f>
        <v>0</v>
      </c>
      <c r="HG8" s="311">
        <f>IFERROR($BG8*$FP8*0.2062*$CD8,0)</f>
        <v>0</v>
      </c>
      <c r="HH8" s="311">
        <f t="shared" ref="HH8:HH39" si="76">IFERROR($FI8*$CH8,0)</f>
        <v>0</v>
      </c>
      <c r="HI8" s="311">
        <f t="shared" ref="HI8:HI39" si="77">HJ8+HK8</f>
        <v>0</v>
      </c>
      <c r="HJ8" s="311">
        <f>IFERROR($BG8*$FP8*0.2062*$CE8,0)</f>
        <v>0</v>
      </c>
      <c r="HK8" s="311">
        <f t="shared" ref="HK8:HK39" si="78">IFERROR($FI8*$CI8,0)</f>
        <v>0</v>
      </c>
      <c r="HL8" s="311">
        <f t="shared" ref="HL8:HL39" si="79">HM8+HN8</f>
        <v>0</v>
      </c>
      <c r="HM8" s="311">
        <f>IFERROR($BG8*$FP8*0.2062*$CF8,0)</f>
        <v>0</v>
      </c>
      <c r="HN8" s="311">
        <f t="shared" ref="HN8:HN39" si="80">IFERROR($FI8*$CJ8,0)</f>
        <v>0</v>
      </c>
      <c r="HO8" s="311">
        <f t="shared" ref="HO8:HO39" si="81">HP8+HQ8</f>
        <v>22631.321530320001</v>
      </c>
      <c r="HP8" s="311">
        <f>IFERROR($BH8*$FP8*0.2062*$CK8,0)</f>
        <v>18352.489450320001</v>
      </c>
      <c r="HQ8" s="311">
        <f t="shared" ref="HQ8:HQ39" si="82">IFERROR($FL8*$CN8,0)</f>
        <v>4278.8320800000001</v>
      </c>
      <c r="HR8" s="311">
        <f t="shared" ref="HR8:HR39" si="83">HS8+HT8</f>
        <v>4201.4118268800003</v>
      </c>
      <c r="HS8" s="311">
        <f>IFERROR($BH8*$FP8*0.2062*$CL8,0)</f>
        <v>3238.6746088800001</v>
      </c>
      <c r="HT8" s="311">
        <f t="shared" ref="HT8:HT39" si="84">IFERROR($FL8*$CO8,0)</f>
        <v>962.73721799999998</v>
      </c>
      <c r="HU8" s="311">
        <f t="shared" ref="HU8:HU39" si="85">HV8+HW8</f>
        <v>106.97080200000001</v>
      </c>
      <c r="HV8" s="311">
        <f>IFERROR($BH8*$FP8*0.2062*$CM8,0)</f>
        <v>0</v>
      </c>
      <c r="HW8" s="311">
        <f t="shared" ref="HW8:HW39" si="86">IFERROR($FL8*$CP8,0)</f>
        <v>106.97080200000001</v>
      </c>
      <c r="HY8" s="313">
        <f t="shared" ref="HY8:HY39" si="87">SUM(HZ8:ID8)</f>
        <v>244838.77500000002</v>
      </c>
      <c r="HZ8" s="313">
        <f t="shared" ref="HZ8:HZ39" si="88">IFERROR(IO8*BE8,0)+IFERROR(IY8*BF8,0)+IFERROR(JI8*BG8,0)+IFERROR(JS8*BH8,0)</f>
        <v>2912.3617275000001</v>
      </c>
      <c r="IA8" s="313">
        <f t="shared" ref="IA8:IA39" si="89">IFERROR(IP8*BE8,0)+IFERROR(IZ8*BF8,0)+IFERROR(JJ8*BG8,0)+IFERROR(JT8*BH8,0)</f>
        <v>82101.809414999996</v>
      </c>
      <c r="IB8" s="313">
        <f t="shared" ref="IB8:IB39" si="90">IFERROR(IQ8*BE8,0)+IFERROR(JA8*BF8,0)+IFERROR(JK8*BG8,0)+IFERROR(JU8*BH8,0)</f>
        <v>131387.57489250001</v>
      </c>
      <c r="IC8" s="313">
        <f t="shared" ref="IC8:IC39" si="91">IFERROR(IR8*BE8,0)+IFERROR(JB8*BF8,0)+IFERROR(JL8*BG8,0)+IFERROR(JV8*BH8,0)</f>
        <v>28437.028964999998</v>
      </c>
      <c r="ID8" s="313">
        <f t="shared" ref="ID8:ID39" si="92">IFERROR(IS8*BE8,0)+IFERROR(JC8*BF8,0)+IFERROR(JM8*BG8,0)+IFERROR(JW8*BH8,0)</f>
        <v>0</v>
      </c>
      <c r="IE8" s="313">
        <f t="shared" ref="IE8:IE39" si="93">SUM(IF8:IJ8)</f>
        <v>44063.967317483999</v>
      </c>
      <c r="IF8" s="313">
        <f t="shared" ref="IF8:IF39" si="94">IFERROR(IT8*FB8,0)+IFERROR(JD8*FE8,0)+IFERROR(JN8*FH8,0)+IFERROR(JX8*FK8,0)</f>
        <v>0</v>
      </c>
      <c r="IG8" s="313">
        <f t="shared" ref="IG8:IG39" si="95">IFERROR(IU8*FB8,0)+IFERROR(JE8*FE8,0)+IFERROR(JO8*FH8,0)+IFERROR(JY8*FK8,0)</f>
        <v>7453.5990984877435</v>
      </c>
      <c r="IH8" s="313">
        <f t="shared" ref="IH8:IH39" si="96">IFERROR(IV8*FB8,0)+IFERROR(JF8*FE8,0)+IFERROR(JP8*FH8,0)+IFERROR(JZ8*FK8,0)</f>
        <v>24881.866176407988</v>
      </c>
      <c r="II8" s="313">
        <f t="shared" ref="II8:II39" si="97">IFERROR(IW8*FB8,0)+IFERROR(JG8*FE8,0)+IFERROR(JQ8*FH8,0)+IFERROR(KA8*FK8,0)</f>
        <v>11728.502042588272</v>
      </c>
      <c r="IJ8" s="313">
        <f t="shared" ref="IJ8:IJ39" si="98">IFERROR(IX8*FB8,0)+IFERROR(JH8*FE8,0)+IFERROR(JR8*FH8,0)+IFERROR(KB8*FK8,0)</f>
        <v>0</v>
      </c>
      <c r="IK8" s="866">
        <v>4.12</v>
      </c>
      <c r="IL8" s="314" t="s">
        <v>2589</v>
      </c>
      <c r="IM8" s="299" t="s">
        <v>2624</v>
      </c>
      <c r="IN8" s="657"/>
      <c r="IO8" s="730">
        <v>6.1000000000000004E-3</v>
      </c>
      <c r="IP8" s="730">
        <v>0.30969999999999998</v>
      </c>
      <c r="IQ8" s="730">
        <v>0.55230000000000001</v>
      </c>
      <c r="IR8" s="730">
        <v>0.13189999999999999</v>
      </c>
      <c r="IS8" s="730">
        <v>0</v>
      </c>
      <c r="IT8" s="730">
        <v>0</v>
      </c>
      <c r="IU8" s="730">
        <v>0.1507</v>
      </c>
      <c r="IV8" s="730">
        <v>0.55830000000000002</v>
      </c>
      <c r="IW8" s="730">
        <v>0.29099999999999998</v>
      </c>
      <c r="IX8" s="730">
        <v>0</v>
      </c>
      <c r="IY8" s="730">
        <v>1.41E-2</v>
      </c>
      <c r="IZ8" s="730">
        <v>0.34660000000000002</v>
      </c>
      <c r="JA8" s="730">
        <v>0.53069999999999995</v>
      </c>
      <c r="JB8" s="730">
        <v>0.1086</v>
      </c>
      <c r="JC8" s="730">
        <v>0</v>
      </c>
      <c r="JD8" s="730">
        <v>0</v>
      </c>
      <c r="JE8" s="730">
        <v>0.1767</v>
      </c>
      <c r="JF8" s="730">
        <v>0.56840000000000002</v>
      </c>
      <c r="JG8" s="730">
        <v>0.25490000000000002</v>
      </c>
      <c r="JH8" s="831">
        <v>0</v>
      </c>
      <c r="JI8" s="831">
        <v>0</v>
      </c>
      <c r="JJ8" s="831">
        <v>0</v>
      </c>
      <c r="JK8" s="831">
        <v>0</v>
      </c>
      <c r="JL8" s="831">
        <v>0</v>
      </c>
      <c r="JM8" s="831">
        <v>0</v>
      </c>
      <c r="JN8" s="831">
        <v>0</v>
      </c>
      <c r="JO8" s="831">
        <v>0</v>
      </c>
      <c r="JP8" s="831">
        <v>0</v>
      </c>
      <c r="JQ8" s="831">
        <v>0</v>
      </c>
      <c r="JR8" s="831">
        <v>0</v>
      </c>
      <c r="JS8" s="831">
        <v>1.7600000000000001E-2</v>
      </c>
      <c r="JT8" s="730">
        <v>0.36049999999999999</v>
      </c>
      <c r="JU8" s="730">
        <v>0.5212</v>
      </c>
      <c r="JV8" s="730">
        <v>0.1007</v>
      </c>
      <c r="JW8" s="730">
        <v>0</v>
      </c>
      <c r="JX8" s="730">
        <v>0</v>
      </c>
      <c r="JY8" s="730">
        <v>0.18729999999999999</v>
      </c>
      <c r="JZ8" s="730">
        <v>0.57089999999999996</v>
      </c>
      <c r="KA8" s="730">
        <v>0.24179999999999999</v>
      </c>
      <c r="KB8" s="730">
        <v>0</v>
      </c>
      <c r="KC8" s="657"/>
      <c r="KD8" s="314" t="s">
        <v>2591</v>
      </c>
      <c r="KE8" s="314" t="s">
        <v>2625</v>
      </c>
      <c r="KF8" s="866">
        <v>3.95</v>
      </c>
      <c r="KG8" s="314" t="s">
        <v>2626</v>
      </c>
      <c r="KH8" s="315" t="s">
        <v>2627</v>
      </c>
      <c r="KI8" s="314" t="s">
        <v>2628</v>
      </c>
      <c r="KJ8" s="315" t="s">
        <v>2629</v>
      </c>
    </row>
    <row r="9" spans="1:327" ht="48" hidden="1" customHeight="1">
      <c r="A9" s="265">
        <f t="shared" ref="A9:A40" si="99">A8+1</f>
        <v>2</v>
      </c>
      <c r="B9" s="266" t="s">
        <v>2600</v>
      </c>
      <c r="C9" s="266" t="s">
        <v>2104</v>
      </c>
      <c r="D9" s="624" t="s">
        <v>2630</v>
      </c>
      <c r="E9" s="267" t="s">
        <v>2106</v>
      </c>
      <c r="F9" s="267" t="s">
        <v>2631</v>
      </c>
      <c r="G9" s="267" t="s">
        <v>300</v>
      </c>
      <c r="H9" s="267" t="s">
        <v>2109</v>
      </c>
      <c r="I9" s="268" t="s">
        <v>2632</v>
      </c>
      <c r="J9" s="268" t="s">
        <v>2633</v>
      </c>
      <c r="K9" s="269" t="s">
        <v>2097</v>
      </c>
      <c r="L9" s="269" t="s">
        <v>2109</v>
      </c>
      <c r="M9" s="269" t="s">
        <v>2603</v>
      </c>
      <c r="N9" s="269" t="s">
        <v>2634</v>
      </c>
      <c r="O9" s="267" t="s">
        <v>2616</v>
      </c>
      <c r="P9" s="268"/>
      <c r="Q9" s="270">
        <v>1</v>
      </c>
      <c r="R9" s="271">
        <v>360</v>
      </c>
      <c r="S9" s="272">
        <v>2600</v>
      </c>
      <c r="T9" s="272">
        <v>2100</v>
      </c>
      <c r="U9" s="272">
        <v>1650</v>
      </c>
      <c r="V9" s="272">
        <v>1050</v>
      </c>
      <c r="W9" s="272">
        <v>1000</v>
      </c>
      <c r="X9" s="272">
        <v>950</v>
      </c>
      <c r="Y9" s="272">
        <v>890</v>
      </c>
      <c r="Z9" s="272">
        <v>820</v>
      </c>
      <c r="AA9" s="272">
        <v>760</v>
      </c>
      <c r="AB9" s="272">
        <v>710</v>
      </c>
      <c r="AC9" s="272">
        <v>670</v>
      </c>
      <c r="AD9" s="272">
        <v>630</v>
      </c>
      <c r="AE9" s="272">
        <v>600</v>
      </c>
      <c r="AF9" s="272">
        <v>570</v>
      </c>
      <c r="AG9" s="272">
        <v>540</v>
      </c>
      <c r="AH9" s="272">
        <v>510</v>
      </c>
      <c r="AI9" s="272">
        <v>480</v>
      </c>
      <c r="AJ9" s="272">
        <v>450</v>
      </c>
      <c r="AK9" s="272">
        <v>420</v>
      </c>
      <c r="AL9" s="268" t="s">
        <v>2635</v>
      </c>
      <c r="AM9" s="268" t="s">
        <v>2636</v>
      </c>
      <c r="AN9" s="268" t="s">
        <v>2637</v>
      </c>
      <c r="AO9" s="657"/>
      <c r="AP9" s="271">
        <v>30</v>
      </c>
      <c r="AQ9" s="280">
        <v>24</v>
      </c>
      <c r="AR9" s="280">
        <v>5</v>
      </c>
      <c r="AS9" s="280">
        <v>1</v>
      </c>
      <c r="AT9" s="657"/>
      <c r="AU9" s="301" t="s">
        <v>2638</v>
      </c>
      <c r="AV9" s="572" t="s">
        <v>2639</v>
      </c>
      <c r="AW9" s="645" t="s">
        <v>2640</v>
      </c>
      <c r="AX9" s="290" t="s">
        <v>2641</v>
      </c>
      <c r="AY9" s="657"/>
      <c r="AZ9" s="948">
        <v>4</v>
      </c>
      <c r="BA9" s="948">
        <v>0.15</v>
      </c>
      <c r="BB9" s="948">
        <v>0</v>
      </c>
      <c r="BC9" s="948">
        <v>4</v>
      </c>
      <c r="BD9" s="825">
        <f t="shared" si="4"/>
        <v>4645.5</v>
      </c>
      <c r="BE9" s="304">
        <f t="shared" si="5"/>
        <v>2280</v>
      </c>
      <c r="BF9" s="304">
        <f t="shared" si="6"/>
        <v>85.5</v>
      </c>
      <c r="BG9" s="304">
        <f t="shared" si="7"/>
        <v>0</v>
      </c>
      <c r="BH9" s="304">
        <f t="shared" si="8"/>
        <v>2280</v>
      </c>
      <c r="BI9" s="825">
        <f t="shared" si="9"/>
        <v>3423</v>
      </c>
      <c r="BJ9" s="304">
        <f t="shared" si="10"/>
        <v>1680</v>
      </c>
      <c r="BK9" s="304">
        <f t="shared" si="11"/>
        <v>63</v>
      </c>
      <c r="BL9" s="304">
        <f t="shared" si="12"/>
        <v>0</v>
      </c>
      <c r="BM9" s="304">
        <f t="shared" si="13"/>
        <v>1680</v>
      </c>
      <c r="BN9" s="657"/>
      <c r="BO9" s="284">
        <v>0.5</v>
      </c>
      <c r="BP9" s="284">
        <v>0.42</v>
      </c>
      <c r="BQ9" s="284">
        <v>0.04</v>
      </c>
      <c r="BR9" s="710">
        <v>0.04</v>
      </c>
      <c r="BS9" s="707">
        <v>0.48</v>
      </c>
      <c r="BT9" s="284">
        <v>0.42</v>
      </c>
      <c r="BU9" s="284">
        <v>0.06</v>
      </c>
      <c r="BV9" s="710">
        <v>0.04</v>
      </c>
      <c r="BW9" s="714">
        <v>0.9</v>
      </c>
      <c r="BX9" s="285">
        <v>0.08</v>
      </c>
      <c r="BY9" s="717">
        <v>0.02</v>
      </c>
      <c r="BZ9" s="714">
        <v>0.88</v>
      </c>
      <c r="CA9" s="285">
        <v>0.09</v>
      </c>
      <c r="CB9" s="717">
        <v>0.03</v>
      </c>
      <c r="CC9" s="284"/>
      <c r="CD9" s="284"/>
      <c r="CE9" s="284"/>
      <c r="CF9" s="710"/>
      <c r="CG9" s="707"/>
      <c r="CH9" s="284"/>
      <c r="CI9" s="284"/>
      <c r="CJ9" s="710"/>
      <c r="CK9" s="720">
        <v>0.85</v>
      </c>
      <c r="CL9" s="286">
        <v>0.15</v>
      </c>
      <c r="CM9" s="718"/>
      <c r="CN9" s="720">
        <v>0.8</v>
      </c>
      <c r="CO9" s="286">
        <v>0.18</v>
      </c>
      <c r="CP9" s="718">
        <v>0.02</v>
      </c>
      <c r="CQ9" s="657"/>
      <c r="CR9" s="807">
        <v>14</v>
      </c>
      <c r="CS9" s="808">
        <v>13</v>
      </c>
      <c r="CT9" s="808">
        <v>10</v>
      </c>
      <c r="CU9" s="809">
        <v>12</v>
      </c>
      <c r="CV9" s="807">
        <v>13</v>
      </c>
      <c r="CW9" s="808">
        <v>12</v>
      </c>
      <c r="CX9" s="809">
        <v>9</v>
      </c>
      <c r="CY9" s="807"/>
      <c r="CZ9" s="808"/>
      <c r="DA9" s="808"/>
      <c r="DB9" s="809"/>
      <c r="DC9" s="807">
        <v>15</v>
      </c>
      <c r="DD9" s="808">
        <v>15</v>
      </c>
      <c r="DE9" s="809">
        <v>12</v>
      </c>
      <c r="DF9" s="610" t="s">
        <v>2642</v>
      </c>
      <c r="DG9" s="657"/>
      <c r="DH9" s="288">
        <f t="shared" si="14"/>
        <v>1140</v>
      </c>
      <c r="DI9" s="288">
        <f t="shared" si="15"/>
        <v>957.59999999999991</v>
      </c>
      <c r="DJ9" s="288">
        <f t="shared" si="16"/>
        <v>91.2</v>
      </c>
      <c r="DK9" s="288">
        <f t="shared" si="17"/>
        <v>91.2</v>
      </c>
      <c r="DL9" s="560" t="s">
        <v>2643</v>
      </c>
      <c r="DM9" s="288">
        <f t="shared" si="18"/>
        <v>806.4</v>
      </c>
      <c r="DN9" s="288">
        <f t="shared" si="19"/>
        <v>705.6</v>
      </c>
      <c r="DO9" s="288">
        <f t="shared" si="20"/>
        <v>100.8</v>
      </c>
      <c r="DP9" s="288">
        <f t="shared" si="21"/>
        <v>67.2</v>
      </c>
      <c r="DQ9" s="561" t="s">
        <v>2644</v>
      </c>
      <c r="DR9" s="657"/>
      <c r="DS9" s="288">
        <f t="shared" si="22"/>
        <v>76.95</v>
      </c>
      <c r="DT9" s="288">
        <f t="shared" si="23"/>
        <v>6.84</v>
      </c>
      <c r="DU9" s="288">
        <f t="shared" si="24"/>
        <v>1.71</v>
      </c>
      <c r="DV9" s="561" t="s">
        <v>2645</v>
      </c>
      <c r="DW9" s="288">
        <f t="shared" si="25"/>
        <v>55.44</v>
      </c>
      <c r="DX9" s="288">
        <f t="shared" si="26"/>
        <v>5.67</v>
      </c>
      <c r="DY9" s="288">
        <f t="shared" si="27"/>
        <v>1.89</v>
      </c>
      <c r="DZ9" s="561" t="s">
        <v>2646</v>
      </c>
      <c r="EA9" s="657"/>
      <c r="EB9" s="288">
        <f t="shared" si="28"/>
        <v>0</v>
      </c>
      <c r="EC9" s="288">
        <f t="shared" si="29"/>
        <v>0</v>
      </c>
      <c r="ED9" s="288">
        <f t="shared" si="30"/>
        <v>0</v>
      </c>
      <c r="EE9" s="288">
        <f t="shared" si="31"/>
        <v>0</v>
      </c>
      <c r="EF9" s="561" t="s">
        <v>2613</v>
      </c>
      <c r="EG9" s="288">
        <f t="shared" si="32"/>
        <v>0</v>
      </c>
      <c r="EH9" s="288">
        <f t="shared" si="33"/>
        <v>0</v>
      </c>
      <c r="EI9" s="288">
        <f t="shared" si="34"/>
        <v>0</v>
      </c>
      <c r="EJ9" s="288">
        <f t="shared" si="35"/>
        <v>0</v>
      </c>
      <c r="EK9" s="561" t="s">
        <v>2613</v>
      </c>
      <c r="EL9" s="657"/>
      <c r="EM9" s="288">
        <f t="shared" si="36"/>
        <v>1938</v>
      </c>
      <c r="EN9" s="291">
        <f t="shared" si="37"/>
        <v>342</v>
      </c>
      <c r="EO9" s="291">
        <f t="shared" si="38"/>
        <v>0</v>
      </c>
      <c r="EP9" s="561" t="s">
        <v>2647</v>
      </c>
      <c r="EQ9" s="288">
        <f t="shared" si="39"/>
        <v>1344</v>
      </c>
      <c r="ER9" s="291">
        <f t="shared" si="40"/>
        <v>302.39999999999998</v>
      </c>
      <c r="ES9" s="291">
        <f t="shared" si="41"/>
        <v>33.6</v>
      </c>
      <c r="ET9" s="561" t="s">
        <v>2648</v>
      </c>
      <c r="EU9" s="657"/>
      <c r="EV9" s="740">
        <f t="shared" si="42"/>
        <v>0.9262778204765767</v>
      </c>
      <c r="EW9" s="740">
        <f t="shared" si="43"/>
        <v>7.3722179523423262E-2</v>
      </c>
      <c r="EX9" s="563">
        <f t="shared" si="44"/>
        <v>3484.6521312948721</v>
      </c>
      <c r="EY9" s="563">
        <f t="shared" si="45"/>
        <v>3227.7559812948721</v>
      </c>
      <c r="EZ9" s="563">
        <f t="shared" si="46"/>
        <v>256.89615000000003</v>
      </c>
      <c r="FA9" s="563">
        <f t="shared" si="47"/>
        <v>1679.0714155897438</v>
      </c>
      <c r="FB9" s="563">
        <f t="shared" si="48"/>
        <v>1552.9874155897437</v>
      </c>
      <c r="FC9" s="563">
        <f t="shared" si="49"/>
        <v>126.084</v>
      </c>
      <c r="FD9" s="563">
        <f t="shared" si="50"/>
        <v>62.082715705128216</v>
      </c>
      <c r="FE9" s="563">
        <f t="shared" si="51"/>
        <v>57.354565705128216</v>
      </c>
      <c r="FF9" s="563">
        <f t="shared" si="52"/>
        <v>4.7281500000000003</v>
      </c>
      <c r="FG9" s="563">
        <f t="shared" si="53"/>
        <v>0</v>
      </c>
      <c r="FH9" s="563">
        <f t="shared" si="54"/>
        <v>0</v>
      </c>
      <c r="FI9" s="563">
        <f t="shared" si="55"/>
        <v>0</v>
      </c>
      <c r="FJ9" s="563">
        <f t="shared" si="56"/>
        <v>1743.4980000000003</v>
      </c>
      <c r="FK9" s="563">
        <f t="shared" si="57"/>
        <v>1617.4140000000002</v>
      </c>
      <c r="FL9" s="563">
        <f t="shared" si="58"/>
        <v>126.084</v>
      </c>
      <c r="FM9" s="529"/>
      <c r="FN9" s="564" t="s">
        <v>2649</v>
      </c>
      <c r="FO9" s="740">
        <v>5.5300000000000002E-2</v>
      </c>
      <c r="FP9" s="741">
        <v>0.79285000000000005</v>
      </c>
      <c r="FQ9" s="565" t="s">
        <v>2650</v>
      </c>
      <c r="FR9" s="529"/>
      <c r="FS9" s="867">
        <v>3.36</v>
      </c>
      <c r="FT9" s="566">
        <f>RANK($FS9,$FS$8:$FS$154,0)+COUNTIF($FS$8:$FS9,$FS9)-1</f>
        <v>66</v>
      </c>
      <c r="FU9" s="867">
        <v>4.1500000000000004</v>
      </c>
      <c r="FV9" s="566">
        <f>RANK($FU9,$FU$8:$FU$154,0)+COUNTIF($FU$8:$FU9,$FU9)-1</f>
        <v>53</v>
      </c>
      <c r="FW9" s="867">
        <v>1.96</v>
      </c>
      <c r="FX9" s="566">
        <f>RANK($FW9,$FW$8:$FW$154,0)+COUNTIF($FW$8:$FW9,$FW9)-1</f>
        <v>112</v>
      </c>
      <c r="FY9" s="529"/>
      <c r="FZ9" s="567" t="s">
        <v>2651</v>
      </c>
      <c r="GA9" s="567" t="s">
        <v>2652</v>
      </c>
      <c r="GB9" s="567" t="s">
        <v>2653</v>
      </c>
      <c r="GC9" s="567" t="s">
        <v>2654</v>
      </c>
      <c r="GD9" s="567" t="s">
        <v>2655</v>
      </c>
      <c r="GE9" s="567" t="s">
        <v>2656</v>
      </c>
      <c r="GF9" s="567" t="str">
        <f>HYPERLINK("https://solidarites.gouv.fr/le-service-public-de-la-petite-enfance-garantir-un-accueil-de-qualite-tous-les-enfants-et-leurs-familles","https://solidarites.gouv.fr/le-service-public-de-la-petite-enfance-garantir-un-accueil-de-qualite-tous-les-enfants-et-leurs-familles")&amp;CHAR(10)&amp;HYPERLINK("https://solidarites.gouv.fr/outils-et-ressources-destination-des-autorites-organisatrices-de-laccueil-du-jeune-enfant","https://solidarites.gouv.fr/outils-et-ressources-destination-des-autorites-organisatrices-de-laccueil-du-jeune-enfant")&amp;CHAR(10)&amp;HYPERLINK("https://solidarites.gouv.fr/stephanie-rist-annonce-une-revalorisation-du-financement-des-creches-par-les-caf-de-2-en-2025","https://solidarites.gouv.fr/stephanie-rist-annonce-une-revalorisation-du-financement-des-creches-par-les-caf-de-2-en-2025")&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https://solidarites.gouv.fr/le-service-public-de-la-petite-enfance-garantir-un-accueil-de-qualite-tous-les-enfants-et-leurs-familles
https://solidarites.gouv.fr/outils-et-ressources-destination-des-autorites-organisatrices-de-laccueil-du-jeune-enfant
https://solidarites.gouv.fr/stephanie-rist-annonce-une-revalorisation-du-financement-des-creches-par-les-caf-de-2-en-2025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9" s="529"/>
      <c r="GH9" s="563">
        <f t="shared" si="59"/>
        <v>853.37032000000011</v>
      </c>
      <c r="GI9" s="563">
        <f>IFERROR($DH9*$FP9/MAX(0.000000001,$CR9)*(INDEX($S9:$AF9,1,MATCH(MAX(2000,MIN(2025,ROUND(2026-$CR9,0))),$S$4:$AF$4,1))+INDEX($S9:$AF9,1,MATCH(MAX(2000,MIN(2025,ROUND(2027-$CR9,0))),$S$4:$AF$4,1))+INDEX($S9:$AF9,1,MATCH(MAX(2000,MIN(2025,ROUND(2028-$CR9,0))),$S$4:$AF$4,1))+INDEX($S9:$AF9,1,MATCH(MAX(2000,MIN(2025,ROUND(2029-$CR9,0))),$S$4:$AF$4,1))+INDEX($S9:$AF9,1,MATCH(MAX(2000,MIN(2025,ROUND(2030-$CR9,0))),$S$4:$AF$4,1)))/MAX(1,$AF9),0)</f>
        <v>792.85000000000014</v>
      </c>
      <c r="GJ9" s="563">
        <f t="shared" si="60"/>
        <v>60.520319999999998</v>
      </c>
      <c r="GK9" s="563">
        <f t="shared" si="61"/>
        <v>698.45715692307692</v>
      </c>
      <c r="GL9" s="563">
        <f>IFERROR($DI9*$FP9/MAX(0.000000001,$CS9)*(INDEX($S9:$AF9,1,MATCH(MAX(2000,MIN(2025,ROUND(2026-$CS9,0))),$S$4:$AF$4,1))+INDEX($S9:$AF9,1,MATCH(MAX(2000,MIN(2025,ROUND(2027-$CS9,0))),$S$4:$AF$4,1))+INDEX($S9:$AF9,1,MATCH(MAX(2000,MIN(2025,ROUND(2028-$CS9,0))),$S$4:$AF$4,1))+INDEX($S9:$AF9,1,MATCH(MAX(2000,MIN(2025,ROUND(2029-$CS9,0))),$S$4:$AF$4,1))+INDEX($S9:$AF9,1,MATCH(MAX(2000,MIN(2025,ROUND(2030-$CS9,0))),$S$4:$AF$4,1)))/MAX(1,$AF9),0)</f>
        <v>645.50187692307691</v>
      </c>
      <c r="GM9" s="563">
        <f t="shared" si="62"/>
        <v>52.955280000000002</v>
      </c>
      <c r="GN9" s="563">
        <f t="shared" si="63"/>
        <v>63.63539200000001</v>
      </c>
      <c r="GO9" s="563">
        <f>IFERROR($DJ9*$FP9/MAX(0.000000001,$CT9)*(INDEX($S9:$AF9,1,MATCH(MAX(2000,MIN(2025,ROUND(2026-$CT9,0))),$S$4:$AF$4,1))+INDEX($S9:$AF9,1,MATCH(MAX(2000,MIN(2025,ROUND(2027-$CT9,0))),$S$4:$AF$4,1))+INDEX($S9:$AF9,1,MATCH(MAX(2000,MIN(2025,ROUND(2028-$CT9,0))),$S$4:$AF$4,1))+INDEX($S9:$AF9,1,MATCH(MAX(2000,MIN(2025,ROUND(2029-$CT9,0))),$S$4:$AF$4,1))+INDEX($S9:$AF9,1,MATCH(MAX(2000,MIN(2025,ROUND(2030-$CT9,0))),$S$4:$AF$4,1)))/MAX(1,$AF9),0)</f>
        <v>56.070352000000007</v>
      </c>
      <c r="GP9" s="563">
        <f t="shared" si="64"/>
        <v>7.5650399999999998</v>
      </c>
      <c r="GQ9" s="563">
        <f t="shared" si="65"/>
        <v>63.608546666666676</v>
      </c>
      <c r="GR9" s="563">
        <f>IFERROR($DK9*$FP9/MAX(0.000000001,$CU9)*(INDEX($S9:$AF9,1,MATCH(MAX(2000,MIN(2025,ROUND(2026-$CU9,0))),$S$4:$AF$4,1))+INDEX($S9:$AF9,1,MATCH(MAX(2000,MIN(2025,ROUND(2027-$CU9,0))),$S$4:$AF$4,1))+INDEX($S9:$AF9,1,MATCH(MAX(2000,MIN(2025,ROUND(2028-$CU9,0))),$S$4:$AF$4,1))+INDEX($S9:$AF9,1,MATCH(MAX(2000,MIN(2025,ROUND(2029-$CU9,0))),$S$4:$AF$4,1))+INDEX($S9:$AF9,1,MATCH(MAX(2000,MIN(2025,ROUND(2030-$CU9,0))),$S$4:$AF$4,1)))/MAX(1,$AF9),0)</f>
        <v>58.565186666666676</v>
      </c>
      <c r="GS9" s="563">
        <f t="shared" si="66"/>
        <v>5.0433599999999998</v>
      </c>
      <c r="GT9" s="563">
        <f t="shared" si="67"/>
        <v>56.03145853846155</v>
      </c>
      <c r="GU9" s="563">
        <f>IFERROR($DS9*$FP9/MAX(0.000000001,$CV9)*(INDEX($S9:$AF9,1,MATCH(MAX(2000,MIN(2025,ROUND(2026-$CV9,0))),$S$4:$AF$4,1))+INDEX($S9:$AF9,1,MATCH(MAX(2000,MIN(2025,ROUND(2027-$CV9,0))),$S$4:$AF$4,1))+INDEX($S9:$AF9,1,MATCH(MAX(2000,MIN(2025,ROUND(2028-$CV9,0))),$S$4:$AF$4,1))+INDEX($S9:$AF9,1,MATCH(MAX(2000,MIN(2025,ROUND(2029-$CV9,0))),$S$4:$AF$4,1))+INDEX($S9:$AF9,1,MATCH(MAX(2000,MIN(2025,ROUND(2030-$CV9,0))),$S$4:$AF$4,1)))/MAX(1,$AF9),0)</f>
        <v>51.870686538461548</v>
      </c>
      <c r="GV9" s="563">
        <f t="shared" si="68"/>
        <v>4.1607720000000006</v>
      </c>
      <c r="GW9" s="563">
        <f t="shared" si="69"/>
        <v>4.8179225000000008</v>
      </c>
      <c r="GX9" s="563">
        <f>IFERROR($DT9*$FP9/MAX(0.000000001,$CW9)*(INDEX($S9:$AF9,1,MATCH(MAX(2000,MIN(2025,ROUND(2026-$CW9,0))),$S$4:$AF$4,1))+INDEX($S9:$AF9,1,MATCH(MAX(2000,MIN(2025,ROUND(2027-$CW9,0))),$S$4:$AF$4,1))+INDEX($S9:$AF9,1,MATCH(MAX(2000,MIN(2025,ROUND(2028-$CW9,0))),$S$4:$AF$4,1))+INDEX($S9:$AF9,1,MATCH(MAX(2000,MIN(2025,ROUND(2029-$CW9,0))),$S$4:$AF$4,1))+INDEX($S9:$AF9,1,MATCH(MAX(2000,MIN(2025,ROUND(2030-$CW9,0))),$S$4:$AF$4,1)))/MAX(1,$AF9),0)</f>
        <v>4.3923890000000005</v>
      </c>
      <c r="GY9" s="563">
        <f t="shared" si="70"/>
        <v>0.42553350000000001</v>
      </c>
      <c r="GZ9" s="563">
        <f t="shared" si="71"/>
        <v>1.2333346666666665</v>
      </c>
      <c r="HA9" s="563">
        <f>IFERROR($DU9*$FP9/MAX(0.000000001,$CX9)*(INDEX($S9:$AF9,1,MATCH(MAX(2000,MIN(2025,ROUND(2026-$CX9,0))),$S$4:$AF$4,1))+INDEX($S9:$AF9,1,MATCH(MAX(2000,MIN(2025,ROUND(2027-$CX9,0))),$S$4:$AF$4,1))+INDEX($S9:$AF9,1,MATCH(MAX(2000,MIN(2025,ROUND(2028-$CX9,0))),$S$4:$AF$4,1))+INDEX($S9:$AF9,1,MATCH(MAX(2000,MIN(2025,ROUND(2029-$CX9,0))),$S$4:$AF$4,1))+INDEX($S9:$AF9,1,MATCH(MAX(2000,MIN(2025,ROUND(2030-$CX9,0))),$S$4:$AF$4,1)))/MAX(1,$AF9),0)</f>
        <v>1.0914901666666665</v>
      </c>
      <c r="HB9" s="563">
        <f t="shared" si="72"/>
        <v>0.14184450000000001</v>
      </c>
      <c r="HC9" s="563">
        <f t="shared" si="73"/>
        <v>0</v>
      </c>
      <c r="HD9" s="563">
        <f>IFERROR($EB9*$FP9/MAX(0.000000001,$CY9)*(INDEX($S9:$AF9,1,MATCH(MAX(2000,MIN(2025,ROUND(2026-$CY9,0))),$S$4:$AF$4,1))+INDEX($S9:$AF9,1,MATCH(MAX(2000,MIN(2025,ROUND(2027-$CY9,0))),$S$4:$AF$4,1))+INDEX($S9:$AF9,1,MATCH(MAX(2000,MIN(2025,ROUND(2028-$CY9,0))),$S$4:$AF$4,1))+INDEX($S9:$AF9,1,MATCH(MAX(2000,MIN(2025,ROUND(2029-$CY9,0))),$S$4:$AF$4,1))+INDEX($S9:$AF9,1,MATCH(MAX(2000,MIN(2025,ROUND(2030-$CY9,0))),$S$4:$AF$4,1)))/MAX(1,$AF9),0)</f>
        <v>0</v>
      </c>
      <c r="HE9" s="563">
        <f t="shared" si="74"/>
        <v>0</v>
      </c>
      <c r="HF9" s="563">
        <f t="shared" si="75"/>
        <v>0</v>
      </c>
      <c r="HG9" s="563">
        <f>IFERROR($EC9*$FP9/MAX(0.000000001,$CZ9)*(INDEX($S9:$AF9,1,MATCH(MAX(2000,MIN(2025,ROUND(2026-$CZ9,0))),$S$4:$AF$4,1))+INDEX($S9:$AF9,1,MATCH(MAX(2000,MIN(2025,ROUND(2027-$CZ9,0))),$S$4:$AF$4,1))+INDEX($S9:$AF9,1,MATCH(MAX(2000,MIN(2025,ROUND(2028-$CZ9,0))),$S$4:$AF$4,1))+INDEX($S9:$AF9,1,MATCH(MAX(2000,MIN(2025,ROUND(2029-$CZ9,0))),$S$4:$AF$4,1))+INDEX($S9:$AF9,1,MATCH(MAX(2000,MIN(2025,ROUND(2030-$CZ9,0))),$S$4:$AF$4,1)))/MAX(1,$AF9),0)</f>
        <v>0</v>
      </c>
      <c r="HH9" s="563">
        <f t="shared" si="76"/>
        <v>0</v>
      </c>
      <c r="HI9" s="563">
        <f t="shared" si="77"/>
        <v>0</v>
      </c>
      <c r="HJ9" s="563">
        <f>IFERROR($ED9*$FP9/MAX(0.000000001,$DA9)*(INDEX($S9:$AF9,1,MATCH(MAX(2000,MIN(2025,ROUND(2026-$DA9,0))),$S$4:$AF$4,1))+INDEX($S9:$AF9,1,MATCH(MAX(2000,MIN(2025,ROUND(2027-$DA9,0))),$S$4:$AF$4,1))+INDEX($S9:$AF9,1,MATCH(MAX(2000,MIN(2025,ROUND(2028-$DA9,0))),$S$4:$AF$4,1))+INDEX($S9:$AF9,1,MATCH(MAX(2000,MIN(2025,ROUND(2029-$DA9,0))),$S$4:$AF$4,1))+INDEX($S9:$AF9,1,MATCH(MAX(2000,MIN(2025,ROUND(2030-$DA9,0))),$S$4:$AF$4,1)))/MAX(1,$AF9),0)</f>
        <v>0</v>
      </c>
      <c r="HK9" s="563">
        <f t="shared" si="78"/>
        <v>0</v>
      </c>
      <c r="HL9" s="563">
        <f t="shared" si="79"/>
        <v>0</v>
      </c>
      <c r="HM9" s="563">
        <f>IFERROR($EE9*$FP9/MAX(0.000000001,$DB9)*(INDEX($S9:$AF9,1,MATCH(MAX(2000,MIN(2025,ROUND(2026-$DB9,0))),$S$4:$AF$4,1))+INDEX($S9:$AF9,1,MATCH(MAX(2000,MIN(2025,ROUND(2027-$DB9,0))),$S$4:$AF$4,1))+INDEX($S9:$AF9,1,MATCH(MAX(2000,MIN(2025,ROUND(2028-$DB9,0))),$S$4:$AF$4,1))+INDEX($S9:$AF9,1,MATCH(MAX(2000,MIN(2025,ROUND(2029-$DB9,0))),$S$4:$AF$4,1))+INDEX($S9:$AF9,1,MATCH(MAX(2000,MIN(2025,ROUND(2030-$DB9,0))),$S$4:$AF$4,1)))/MAX(1,$AF9),0)</f>
        <v>0</v>
      </c>
      <c r="HN9" s="563">
        <f t="shared" si="80"/>
        <v>0</v>
      </c>
      <c r="HO9" s="563">
        <f t="shared" si="81"/>
        <v>1475.6691000000001</v>
      </c>
      <c r="HP9" s="563">
        <f>IFERROR($EM9*$FP9/MAX(0.000000001,$DC9)*(INDEX($S9:$AF9,1,MATCH(MAX(2000,MIN(2025,ROUND(2026-$DC9,0))),$S$4:$AF$4,1))+INDEX($S9:$AF9,1,MATCH(MAX(2000,MIN(2025,ROUND(2027-$DC9,0))),$S$4:$AF$4,1))+INDEX($S9:$AF9,1,MATCH(MAX(2000,MIN(2025,ROUND(2028-$DC9,0))),$S$4:$AF$4,1))+INDEX($S9:$AF9,1,MATCH(MAX(2000,MIN(2025,ROUND(2029-$DC9,0))),$S$4:$AF$4,1))+INDEX($S9:$AF9,1,MATCH(MAX(2000,MIN(2025,ROUND(2030-$DC9,0))),$S$4:$AF$4,1)))/MAX(1,$AF9),0)</f>
        <v>1374.8019000000002</v>
      </c>
      <c r="HQ9" s="563">
        <f t="shared" si="82"/>
        <v>100.86720000000001</v>
      </c>
      <c r="HR9" s="563">
        <f t="shared" si="83"/>
        <v>265.30721999999997</v>
      </c>
      <c r="HS9" s="563">
        <f>IFERROR($EN9*$FP9/MAX(0.000000001,$DD9)*(INDEX($S9:$AF9,1,MATCH(MAX(2000,MIN(2025,ROUND(2026-$DD9,0))),$S$4:$AF$4,1))+INDEX($S9:$AF9,1,MATCH(MAX(2000,MIN(2025,ROUND(2027-$DD9,0))),$S$4:$AF$4,1))+INDEX($S9:$AF9,1,MATCH(MAX(2000,MIN(2025,ROUND(2028-$DD9,0))),$S$4:$AF$4,1))+INDEX($S9:$AF9,1,MATCH(MAX(2000,MIN(2025,ROUND(2029-$DD9,0))),$S$4:$AF$4,1))+INDEX($S9:$AF9,1,MATCH(MAX(2000,MIN(2025,ROUND(2030-$DD9,0))),$S$4:$AF$4,1)))/MAX(1,$AF9),0)</f>
        <v>242.6121</v>
      </c>
      <c r="HT9" s="563">
        <f t="shared" si="84"/>
        <v>22.695119999999999</v>
      </c>
      <c r="HU9" s="563">
        <f t="shared" si="85"/>
        <v>2.5216799999999999</v>
      </c>
      <c r="HV9" s="563">
        <f>IFERROR($EO9*$FP9/MAX(0.000000001,$DE9)*(INDEX($S9:$AF9,1,MATCH(MAX(2000,MIN(2025,ROUND(2026-$DE9,0))),$S$4:$AF$4,1))+INDEX($S9:$AF9,1,MATCH(MAX(2000,MIN(2025,ROUND(2027-$DE9,0))),$S$4:$AF$4,1))+INDEX($S9:$AF9,1,MATCH(MAX(2000,MIN(2025,ROUND(2028-$DE9,0))),$S$4:$AF$4,1))+INDEX($S9:$AF9,1,MATCH(MAX(2000,MIN(2025,ROUND(2029-$DE9,0))),$S$4:$AF$4,1))+INDEX($S9:$AF9,1,MATCH(MAX(2000,MIN(2025,ROUND(2030-$DE9,0))),$S$4:$AF$4,1)))/MAX(1,$AF9),0)</f>
        <v>0</v>
      </c>
      <c r="HW9" s="563">
        <f t="shared" si="86"/>
        <v>2.5216799999999999</v>
      </c>
      <c r="HX9" s="544"/>
      <c r="HY9" s="568">
        <f t="shared" si="87"/>
        <v>4645.5</v>
      </c>
      <c r="HZ9" s="568">
        <f t="shared" si="88"/>
        <v>479.78610000000003</v>
      </c>
      <c r="IA9" s="568">
        <f t="shared" si="89"/>
        <v>2484.1084500000002</v>
      </c>
      <c r="IB9" s="568">
        <f t="shared" si="90"/>
        <v>1554.7690499999999</v>
      </c>
      <c r="IC9" s="568">
        <f t="shared" si="91"/>
        <v>126.8364</v>
      </c>
      <c r="ID9" s="568">
        <f t="shared" si="92"/>
        <v>0</v>
      </c>
      <c r="IE9" s="568">
        <f t="shared" si="93"/>
        <v>3227.7559812948725</v>
      </c>
      <c r="IF9" s="568">
        <f t="shared" si="94"/>
        <v>274.02496632008342</v>
      </c>
      <c r="IG9" s="568">
        <f t="shared" si="95"/>
        <v>1653.4935898974795</v>
      </c>
      <c r="IH9" s="568">
        <f t="shared" si="96"/>
        <v>1139.5019179178771</v>
      </c>
      <c r="II9" s="568">
        <f t="shared" si="97"/>
        <v>147.51459295300515</v>
      </c>
      <c r="IJ9" s="568">
        <f t="shared" si="98"/>
        <v>13.220914206426922</v>
      </c>
      <c r="IK9" s="868">
        <v>4.16</v>
      </c>
      <c r="IL9" s="569" t="s">
        <v>2589</v>
      </c>
      <c r="IM9" s="570" t="s">
        <v>2657</v>
      </c>
      <c r="IN9" s="529"/>
      <c r="IO9" s="742">
        <v>0.1</v>
      </c>
      <c r="IP9" s="742">
        <v>0.53</v>
      </c>
      <c r="IQ9" s="742">
        <v>0.34</v>
      </c>
      <c r="IR9" s="742">
        <v>0.03</v>
      </c>
      <c r="IS9" s="742">
        <v>0</v>
      </c>
      <c r="IT9" s="742">
        <v>8.1500000000000003E-2</v>
      </c>
      <c r="IU9" s="742">
        <v>0.50739999999999996</v>
      </c>
      <c r="IV9" s="742">
        <v>0.3584</v>
      </c>
      <c r="IW9" s="742">
        <v>4.8399999999999999E-2</v>
      </c>
      <c r="IX9" s="742">
        <v>4.3E-3</v>
      </c>
      <c r="IY9" s="742">
        <v>0.1022</v>
      </c>
      <c r="IZ9" s="742">
        <v>0.54190000000000005</v>
      </c>
      <c r="JA9" s="742">
        <v>0.33110000000000001</v>
      </c>
      <c r="JB9" s="742">
        <v>2.4799999999999999E-2</v>
      </c>
      <c r="JC9" s="742">
        <v>0</v>
      </c>
      <c r="JD9" s="742">
        <v>8.3699999999999997E-2</v>
      </c>
      <c r="JE9" s="742">
        <v>0.51939999999999997</v>
      </c>
      <c r="JF9" s="742">
        <v>0.34960000000000002</v>
      </c>
      <c r="JG9" s="742">
        <v>4.3200000000000002E-2</v>
      </c>
      <c r="JH9" s="742">
        <v>4.1000000000000003E-3</v>
      </c>
      <c r="JI9" s="742">
        <v>0</v>
      </c>
      <c r="JJ9" s="742">
        <v>0</v>
      </c>
      <c r="JK9" s="742">
        <v>0</v>
      </c>
      <c r="JL9" s="742">
        <v>0</v>
      </c>
      <c r="JM9" s="742">
        <v>0</v>
      </c>
      <c r="JN9" s="742">
        <v>0</v>
      </c>
      <c r="JO9" s="742">
        <v>0</v>
      </c>
      <c r="JP9" s="742">
        <v>0</v>
      </c>
      <c r="JQ9" s="742">
        <v>0</v>
      </c>
      <c r="JR9" s="742">
        <v>0</v>
      </c>
      <c r="JS9" s="742">
        <v>0.1066</v>
      </c>
      <c r="JT9" s="742">
        <v>0.53920000000000001</v>
      </c>
      <c r="JU9" s="742">
        <v>0.32950000000000002</v>
      </c>
      <c r="JV9" s="742">
        <v>2.47E-2</v>
      </c>
      <c r="JW9" s="742">
        <v>0</v>
      </c>
      <c r="JX9" s="742">
        <v>8.8200000000000001E-2</v>
      </c>
      <c r="JY9" s="742">
        <v>0.51670000000000005</v>
      </c>
      <c r="JZ9" s="742">
        <v>0.34799999999999998</v>
      </c>
      <c r="KA9" s="742">
        <v>4.3200000000000002E-2</v>
      </c>
      <c r="KB9" s="742">
        <v>3.8999999999999998E-3</v>
      </c>
      <c r="KC9" s="657"/>
      <c r="KD9" s="832" t="s">
        <v>2590</v>
      </c>
      <c r="KE9" s="832" t="s">
        <v>2590</v>
      </c>
      <c r="KF9" s="869">
        <v>4.1900000000000004</v>
      </c>
      <c r="KG9" s="832" t="s">
        <v>2589</v>
      </c>
      <c r="KH9" s="833" t="s">
        <v>2658</v>
      </c>
      <c r="KI9" s="832" t="s">
        <v>2659</v>
      </c>
      <c r="KJ9" s="833" t="s">
        <v>2660</v>
      </c>
    </row>
    <row r="10" spans="1:327" ht="48" hidden="1" customHeight="1">
      <c r="A10" s="273">
        <f t="shared" si="99"/>
        <v>3</v>
      </c>
      <c r="B10" s="274" t="s">
        <v>2600</v>
      </c>
      <c r="C10" s="274" t="s">
        <v>2104</v>
      </c>
      <c r="D10" s="274" t="s">
        <v>2661</v>
      </c>
      <c r="E10" s="275" t="s">
        <v>2244</v>
      </c>
      <c r="F10" s="275" t="s">
        <v>2631</v>
      </c>
      <c r="G10" s="275" t="s">
        <v>300</v>
      </c>
      <c r="H10" s="275" t="s">
        <v>2109</v>
      </c>
      <c r="I10" s="276" t="s">
        <v>2662</v>
      </c>
      <c r="J10" s="276" t="s">
        <v>2663</v>
      </c>
      <c r="K10" s="277" t="s">
        <v>2097</v>
      </c>
      <c r="L10" s="277" t="s">
        <v>2109</v>
      </c>
      <c r="M10" s="277" t="s">
        <v>2603</v>
      </c>
      <c r="N10" s="277" t="s">
        <v>2634</v>
      </c>
      <c r="O10" s="275" t="s">
        <v>2616</v>
      </c>
      <c r="P10" s="276"/>
      <c r="Q10" s="270">
        <v>1</v>
      </c>
      <c r="R10" s="278">
        <v>180</v>
      </c>
      <c r="S10" s="279">
        <v>520</v>
      </c>
      <c r="T10" s="279">
        <v>500</v>
      </c>
      <c r="U10" s="279">
        <v>470</v>
      </c>
      <c r="V10" s="279">
        <v>430</v>
      </c>
      <c r="W10" s="279">
        <v>420</v>
      </c>
      <c r="X10" s="279">
        <v>415</v>
      </c>
      <c r="Y10" s="279">
        <v>400</v>
      </c>
      <c r="Z10" s="279">
        <v>395</v>
      </c>
      <c r="AA10" s="279">
        <v>390</v>
      </c>
      <c r="AB10" s="279">
        <v>382</v>
      </c>
      <c r="AC10" s="279">
        <v>392</v>
      </c>
      <c r="AD10" s="279">
        <v>414</v>
      </c>
      <c r="AE10" s="279">
        <v>415</v>
      </c>
      <c r="AF10" s="279">
        <v>414</v>
      </c>
      <c r="AG10" s="279">
        <v>410</v>
      </c>
      <c r="AH10" s="279">
        <v>406</v>
      </c>
      <c r="AI10" s="279">
        <v>402</v>
      </c>
      <c r="AJ10" s="279">
        <v>398</v>
      </c>
      <c r="AK10" s="279">
        <v>395</v>
      </c>
      <c r="AL10" s="276" t="s">
        <v>2664</v>
      </c>
      <c r="AM10" s="276" t="s">
        <v>2665</v>
      </c>
      <c r="AN10" s="276" t="s">
        <v>2666</v>
      </c>
      <c r="AO10" s="657"/>
      <c r="AP10" s="278">
        <v>25</v>
      </c>
      <c r="AQ10" s="278">
        <v>18</v>
      </c>
      <c r="AR10" s="278">
        <v>5</v>
      </c>
      <c r="AS10" s="278">
        <v>2</v>
      </c>
      <c r="AT10" s="657"/>
      <c r="AU10" s="281" t="s">
        <v>2667</v>
      </c>
      <c r="AV10" s="296" t="s">
        <v>2668</v>
      </c>
      <c r="AW10" s="296" t="s">
        <v>2669</v>
      </c>
      <c r="AX10" s="276" t="s">
        <v>2670</v>
      </c>
      <c r="AY10" s="657"/>
      <c r="AZ10" s="947">
        <v>3</v>
      </c>
      <c r="BA10" s="947">
        <v>0.2</v>
      </c>
      <c r="BB10" s="947">
        <v>0</v>
      </c>
      <c r="BC10" s="947">
        <v>3</v>
      </c>
      <c r="BD10" s="824">
        <f t="shared" si="4"/>
        <v>2566.8000000000002</v>
      </c>
      <c r="BE10" s="283">
        <f t="shared" si="5"/>
        <v>1242</v>
      </c>
      <c r="BF10" s="283">
        <f t="shared" si="6"/>
        <v>82.800000000000011</v>
      </c>
      <c r="BG10" s="283">
        <f t="shared" si="7"/>
        <v>0</v>
      </c>
      <c r="BH10" s="283">
        <f t="shared" si="8"/>
        <v>1242</v>
      </c>
      <c r="BI10" s="824">
        <f t="shared" si="9"/>
        <v>2449</v>
      </c>
      <c r="BJ10" s="283">
        <f t="shared" si="10"/>
        <v>1185</v>
      </c>
      <c r="BK10" s="283">
        <f t="shared" si="11"/>
        <v>79</v>
      </c>
      <c r="BL10" s="283">
        <f t="shared" si="12"/>
        <v>0</v>
      </c>
      <c r="BM10" s="283">
        <f t="shared" si="13"/>
        <v>1185</v>
      </c>
      <c r="BN10" s="657"/>
      <c r="BO10" s="305">
        <v>0.5</v>
      </c>
      <c r="BP10" s="305">
        <v>0.42</v>
      </c>
      <c r="BQ10" s="305">
        <v>0.04</v>
      </c>
      <c r="BR10" s="581">
        <v>0.04</v>
      </c>
      <c r="BS10" s="706">
        <v>0.48</v>
      </c>
      <c r="BT10" s="305">
        <v>0.42</v>
      </c>
      <c r="BU10" s="305">
        <v>0.06</v>
      </c>
      <c r="BV10" s="581">
        <v>0.04</v>
      </c>
      <c r="BW10" s="713">
        <v>0.9</v>
      </c>
      <c r="BX10" s="306">
        <v>0.08</v>
      </c>
      <c r="BY10" s="590">
        <v>0.02</v>
      </c>
      <c r="BZ10" s="713">
        <v>0.88</v>
      </c>
      <c r="CA10" s="306">
        <v>0.09</v>
      </c>
      <c r="CB10" s="590">
        <v>0.03</v>
      </c>
      <c r="CC10" s="706"/>
      <c r="CD10" s="305"/>
      <c r="CE10" s="305"/>
      <c r="CF10" s="581"/>
      <c r="CG10" s="706"/>
      <c r="CH10" s="305"/>
      <c r="CI10" s="305"/>
      <c r="CJ10" s="581"/>
      <c r="CK10" s="719">
        <v>0.85</v>
      </c>
      <c r="CL10" s="307">
        <v>0.15</v>
      </c>
      <c r="CM10" s="723"/>
      <c r="CN10" s="719">
        <v>0.8</v>
      </c>
      <c r="CO10" s="307">
        <v>0.18</v>
      </c>
      <c r="CP10" s="723">
        <v>0.02</v>
      </c>
      <c r="CQ10" s="657"/>
      <c r="CR10" s="804">
        <v>14</v>
      </c>
      <c r="CS10" s="805">
        <v>13</v>
      </c>
      <c r="CT10" s="805">
        <v>10</v>
      </c>
      <c r="CU10" s="806">
        <v>12</v>
      </c>
      <c r="CV10" s="804">
        <v>11</v>
      </c>
      <c r="CW10" s="805">
        <v>10</v>
      </c>
      <c r="CX10" s="806">
        <v>8</v>
      </c>
      <c r="CY10" s="804"/>
      <c r="CZ10" s="805"/>
      <c r="DA10" s="805"/>
      <c r="DB10" s="806"/>
      <c r="DC10" s="804">
        <v>15</v>
      </c>
      <c r="DD10" s="805">
        <v>15</v>
      </c>
      <c r="DE10" s="806">
        <v>12</v>
      </c>
      <c r="DF10" s="609" t="s">
        <v>2642</v>
      </c>
      <c r="DG10" s="657"/>
      <c r="DH10" s="308">
        <f t="shared" si="14"/>
        <v>621</v>
      </c>
      <c r="DI10" s="308">
        <f t="shared" si="15"/>
        <v>521.64</v>
      </c>
      <c r="DJ10" s="308">
        <f t="shared" si="16"/>
        <v>49.68</v>
      </c>
      <c r="DK10" s="308">
        <f t="shared" si="17"/>
        <v>49.68</v>
      </c>
      <c r="DL10" s="287" t="s">
        <v>2671</v>
      </c>
      <c r="DM10" s="308">
        <f t="shared" si="18"/>
        <v>568.79999999999995</v>
      </c>
      <c r="DN10" s="308">
        <f t="shared" si="19"/>
        <v>497.7</v>
      </c>
      <c r="DO10" s="308">
        <f t="shared" si="20"/>
        <v>71.099999999999994</v>
      </c>
      <c r="DP10" s="308">
        <f t="shared" si="21"/>
        <v>47.4</v>
      </c>
      <c r="DQ10" s="289" t="s">
        <v>2644</v>
      </c>
      <c r="DR10" s="657"/>
      <c r="DS10" s="308">
        <f t="shared" si="22"/>
        <v>74.52000000000001</v>
      </c>
      <c r="DT10" s="308">
        <f t="shared" si="23"/>
        <v>6.6240000000000014</v>
      </c>
      <c r="DU10" s="308">
        <f t="shared" si="24"/>
        <v>1.6560000000000004</v>
      </c>
      <c r="DV10" s="289" t="s">
        <v>2672</v>
      </c>
      <c r="DW10" s="308">
        <f t="shared" si="25"/>
        <v>69.52</v>
      </c>
      <c r="DX10" s="308">
        <f t="shared" si="26"/>
        <v>7.1099999999999994</v>
      </c>
      <c r="DY10" s="308">
        <f t="shared" si="27"/>
        <v>2.37</v>
      </c>
      <c r="DZ10" s="289" t="s">
        <v>2673</v>
      </c>
      <c r="EA10" s="657"/>
      <c r="EB10" s="308">
        <f t="shared" si="28"/>
        <v>0</v>
      </c>
      <c r="EC10" s="308">
        <f t="shared" si="29"/>
        <v>0</v>
      </c>
      <c r="ED10" s="308">
        <f t="shared" si="30"/>
        <v>0</v>
      </c>
      <c r="EE10" s="308">
        <f t="shared" si="31"/>
        <v>0</v>
      </c>
      <c r="EF10" s="289" t="s">
        <v>2613</v>
      </c>
      <c r="EG10" s="308">
        <f t="shared" si="32"/>
        <v>0</v>
      </c>
      <c r="EH10" s="308">
        <f t="shared" si="33"/>
        <v>0</v>
      </c>
      <c r="EI10" s="308">
        <f t="shared" si="34"/>
        <v>0</v>
      </c>
      <c r="EJ10" s="308">
        <f t="shared" si="35"/>
        <v>0</v>
      </c>
      <c r="EK10" s="309" t="s">
        <v>2613</v>
      </c>
      <c r="EL10" s="657"/>
      <c r="EM10" s="308">
        <f t="shared" si="36"/>
        <v>1055.7</v>
      </c>
      <c r="EN10" s="310">
        <f t="shared" si="37"/>
        <v>186.29999999999998</v>
      </c>
      <c r="EO10" s="310">
        <f t="shared" si="38"/>
        <v>0</v>
      </c>
      <c r="EP10" s="289" t="s">
        <v>2674</v>
      </c>
      <c r="EQ10" s="308">
        <f t="shared" si="39"/>
        <v>948</v>
      </c>
      <c r="ER10" s="310">
        <f t="shared" si="40"/>
        <v>213.29999999999998</v>
      </c>
      <c r="ES10" s="310">
        <f t="shared" si="41"/>
        <v>23.7</v>
      </c>
      <c r="ET10" s="289" t="s">
        <v>2648</v>
      </c>
      <c r="EU10" s="657"/>
      <c r="EV10" s="728">
        <f t="shared" si="42"/>
        <v>0.84833082949769867</v>
      </c>
      <c r="EW10" s="728">
        <f t="shared" si="43"/>
        <v>0.15166917050230139</v>
      </c>
      <c r="EX10" s="311">
        <f t="shared" si="44"/>
        <v>935.87931898029478</v>
      </c>
      <c r="EY10" s="311">
        <f t="shared" si="45"/>
        <v>793.93527898029481</v>
      </c>
      <c r="EZ10" s="311">
        <f t="shared" si="46"/>
        <v>141.94404000000003</v>
      </c>
      <c r="FA10" s="311">
        <f t="shared" si="47"/>
        <v>466.25583847802204</v>
      </c>
      <c r="FB10" s="311">
        <f t="shared" si="48"/>
        <v>397.57323847802201</v>
      </c>
      <c r="FC10" s="311">
        <f t="shared" si="49"/>
        <v>68.682600000000008</v>
      </c>
      <c r="FD10" s="311">
        <f t="shared" si="50"/>
        <v>34.644180502272739</v>
      </c>
      <c r="FE10" s="311">
        <f t="shared" si="51"/>
        <v>30.065340502272736</v>
      </c>
      <c r="FF10" s="311">
        <f t="shared" si="52"/>
        <v>4.5788400000000005</v>
      </c>
      <c r="FG10" s="311">
        <f t="shared" si="53"/>
        <v>0</v>
      </c>
      <c r="FH10" s="311">
        <f t="shared" si="54"/>
        <v>0</v>
      </c>
      <c r="FI10" s="311">
        <f t="shared" si="55"/>
        <v>0</v>
      </c>
      <c r="FJ10" s="311">
        <f t="shared" si="56"/>
        <v>434.97930000000008</v>
      </c>
      <c r="FK10" s="311">
        <f t="shared" si="57"/>
        <v>366.29670000000004</v>
      </c>
      <c r="FL10" s="311">
        <f t="shared" si="58"/>
        <v>68.682600000000008</v>
      </c>
      <c r="FM10" s="657"/>
      <c r="FN10" s="293" t="s">
        <v>2649</v>
      </c>
      <c r="FO10" s="728">
        <v>5.5300000000000002E-2</v>
      </c>
      <c r="FP10" s="729">
        <v>0.79285000000000005</v>
      </c>
      <c r="FQ10" s="294" t="s">
        <v>2650</v>
      </c>
      <c r="FR10" s="657"/>
      <c r="FS10" s="865">
        <v>3.36</v>
      </c>
      <c r="FT10" s="312">
        <f>RANK($FS10,$FS$8:$FS$154,0)+COUNTIF($FS$8:$FS10,$FS10)-1</f>
        <v>67</v>
      </c>
      <c r="FU10" s="865">
        <v>4.1500000000000004</v>
      </c>
      <c r="FV10" s="312">
        <f>RANK($FU10,$FU$8:$FU$154,0)+COUNTIF($FU$8:$FU10,$FU10)-1</f>
        <v>54</v>
      </c>
      <c r="FW10" s="865">
        <v>1.96</v>
      </c>
      <c r="FX10" s="312">
        <f>RANK($FW10,$FW$8:$FW$154,0)+COUNTIF($FW$8:$FW10,$FW10)-1</f>
        <v>113</v>
      </c>
      <c r="FY10" s="657"/>
      <c r="FZ10" s="296" t="s">
        <v>2651</v>
      </c>
      <c r="GA10" s="296" t="s">
        <v>2675</v>
      </c>
      <c r="GB10" s="296" t="s">
        <v>2653</v>
      </c>
      <c r="GC10" s="296" t="s">
        <v>2654</v>
      </c>
      <c r="GD10" s="296" t="s">
        <v>2655</v>
      </c>
      <c r="GE10" s="296" t="s">
        <v>2656</v>
      </c>
      <c r="GF10" s="296" t="str">
        <f>HYPERLINK("https://sante.gouv.fr/actualites/presse/communiques-de-presse/article/acces-aux-soins-dans-les-territoires-agnes-firmin-le-bodo-a-annonce-le-plan-d","https://sante.gouv.fr/actualites/presse/communiques-de-presse/article/acces-aux-soins-dans-les-territoires-agnes-firmin-le-bodo-a-annonce-le-plan-d")&amp;CHAR(10)&amp;HYPERLINK("https://www.projetdeloi.sante.gouv.fr/grands-dossiers/un-meilleur-acces-aux-soins-pour-tous-sur-le-territoire/article/pacte-de-lutte-contre-les-deserts-medicaux-151-zones-prioritaires-identifiees","https://www.projetdeloi.sante.gouv.fr/grands-dossiers/un-meilleur-acces-aux-soins-pour-tous-sur-le-territoire/article/pacte-de-lutte-contre-les-deserts-medicaux-151-zones-prioritaires-identifiees")&amp;CHAR(10)&amp;HYPERLINK("https://sante.gouv.fr/actualites-presse/presse/communiques-de-presse/article/campagne-tarifaire-et-budgetaire-2026-des-etablissements-de-sante-3-6-milliards","https://sante.gouv.fr/actualites-presse/presse/communiques-de-presse/article/campagne-tarifaire-et-budgetaire-2026-des-etablissements-de-sante-3-6-milliards")&amp;CHAR(10)&amp;HYPERLINK("https://sante.gouv.fr/systeme-de-sante/segur-de-la-sante/investissement-en-sante-une-nouvelle-politique-au-service-de-la-qualite-des-11226/csis","https://sante.gouv.fr/systeme-de-sante/segur-de-la-sante/investissement-en-sante-une-nouvelle-politique-au-service-de-la-qualite-des-11226/csis")&amp;CHAR(10)&amp;HYPERLINK("https://sante.gouv.fr/soins-et-maladies/qualite-securite-et-pertinence-des-soins/securite-des-prises-en-charge/securite-des-soins-et-des-patients/article/ameliorer-la-securite-des-patients-et-des-residents-la-1ere-feuille-de-route","https://sante.gouv.fr/soins-et-maladies/qualite-securite-et-pertinence-des-soins/securite-des-prises-en-charge/securite-des-soins-et-des-patients/article/ameliorer-la-securite-des-patients-et-des-residents-la-1ere-feuille-de-route")&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https://sante.gouv.fr/actualites/presse/communiques-de-presse/article/acces-aux-soins-dans-les-territoires-agnes-firmin-le-bodo-a-annonce-le-plan-d
https://www.projetdeloi.sante.gouv.fr/grands-dossiers/un-meilleur-acces-aux-soins-pour-tous-sur-le-territoire/article/pacte-de-lutte-contre-les-deserts-medicaux-151-zones-prioritaires-identifiees
https://sante.gouv.fr/actualites-presse/presse/communiques-de-presse/article/campagne-tarifaire-et-budgetaire-2026-des-etablissements-de-sante-3-6-milliards
https://sante.gouv.fr/systeme-de-sante/segur-de-la-sante/investissement-en-sante-une-nouvelle-politique-au-service-de-la-qualite-des-11226/csis
https://sante.gouv.fr/soins-et-maladies/qualite-securite-et-pertinence-des-soins/securite-des-prises-en-charge/securite-des-soins-et-des-patients/article/ameliorer-la-securite-des-patients-et-des-residents-la-1ere-feuille-de-route
https://www.statistiques.developpement-durable.gouv.fr/construction-de-locaux-resultats-fin-janvier-2026-france-entiere
https://www.insee.fr/fr/statistiques/8671745
https://www.insee.fr/fr/statistiques/8906564</v>
      </c>
      <c r="GG10" s="657"/>
      <c r="GH10" s="311">
        <f t="shared" si="59"/>
        <v>224.9506122857143</v>
      </c>
      <c r="GI10" s="311">
        <f>IFERROR($DH10*$FP10/MAX(0.000000001,$CR10)*(INDEX($S10:$AF10,1,MATCH(MAX(2000,MIN(2025,ROUND(2026-$CR10,0))),$S$4:$AF$4,1))+INDEX($S10:$AF10,1,MATCH(MAX(2000,MIN(2025,ROUND(2027-$CR10,0))),$S$4:$AF$4,1))+INDEX($S10:$AF10,1,MATCH(MAX(2000,MIN(2025,ROUND(2028-$CR10,0))),$S$4:$AF$4,1))+INDEX($S10:$AF10,1,MATCH(MAX(2000,MIN(2025,ROUND(2029-$CR10,0))),$S$4:$AF$4,1))+INDEX($S10:$AF10,1,MATCH(MAX(2000,MIN(2025,ROUND(2030-$CR10,0))),$S$4:$AF$4,1)))/MAX(1,$AF10),0)</f>
        <v>191.9829642857143</v>
      </c>
      <c r="GJ10" s="311">
        <f t="shared" si="60"/>
        <v>32.967648000000004</v>
      </c>
      <c r="GK10" s="311">
        <f t="shared" si="61"/>
        <v>198.29093469230767</v>
      </c>
      <c r="GL10" s="311">
        <f>IFERROR($DI10*$FP10/MAX(0.000000001,$CS10)*(INDEX($S10:$AF10,1,MATCH(MAX(2000,MIN(2025,ROUND(2026-$CS10,0))),$S$4:$AF$4,1))+INDEX($S10:$AF10,1,MATCH(MAX(2000,MIN(2025,ROUND(2027-$CS10,0))),$S$4:$AF$4,1))+INDEX($S10:$AF10,1,MATCH(MAX(2000,MIN(2025,ROUND(2028-$CS10,0))),$S$4:$AF$4,1))+INDEX($S10:$AF10,1,MATCH(MAX(2000,MIN(2025,ROUND(2029-$CS10,0))),$S$4:$AF$4,1))+INDEX($S10:$AF10,1,MATCH(MAX(2000,MIN(2025,ROUND(2030-$CS10,0))),$S$4:$AF$4,1)))/MAX(1,$AF10),0)</f>
        <v>169.44424269230768</v>
      </c>
      <c r="GM10" s="311">
        <f t="shared" si="62"/>
        <v>28.846692000000001</v>
      </c>
      <c r="GN10" s="311">
        <f t="shared" si="63"/>
        <v>23.339639999999999</v>
      </c>
      <c r="GO10" s="311">
        <f>IFERROR($DJ10*$FP10/MAX(0.000000001,$CT10)*(INDEX($S10:$AF10,1,MATCH(MAX(2000,MIN(2025,ROUND(2026-$CT10,0))),$S$4:$AF$4,1))+INDEX($S10:$AF10,1,MATCH(MAX(2000,MIN(2025,ROUND(2027-$CT10,0))),$S$4:$AF$4,1))+INDEX($S10:$AF10,1,MATCH(MAX(2000,MIN(2025,ROUND(2028-$CT10,0))),$S$4:$AF$4,1))+INDEX($S10:$AF10,1,MATCH(MAX(2000,MIN(2025,ROUND(2029-$CT10,0))),$S$4:$AF$4,1))+INDEX($S10:$AF10,1,MATCH(MAX(2000,MIN(2025,ROUND(2030-$CT10,0))),$S$4:$AF$4,1)))/MAX(1,$AF10),0)</f>
        <v>19.218684</v>
      </c>
      <c r="GP10" s="311">
        <f t="shared" si="64"/>
        <v>4.1209560000000005</v>
      </c>
      <c r="GQ10" s="311">
        <f t="shared" si="65"/>
        <v>19.6746515</v>
      </c>
      <c r="GR10" s="311">
        <f>IFERROR($DK10*$FP10/MAX(0.000000001,$CU10)*(INDEX($S10:$AF10,1,MATCH(MAX(2000,MIN(2025,ROUND(2026-$CU10,0))),$S$4:$AF$4,1))+INDEX($S10:$AF10,1,MATCH(MAX(2000,MIN(2025,ROUND(2027-$CU10,0))),$S$4:$AF$4,1))+INDEX($S10:$AF10,1,MATCH(MAX(2000,MIN(2025,ROUND(2028-$CU10,0))),$S$4:$AF$4,1))+INDEX($S10:$AF10,1,MATCH(MAX(2000,MIN(2025,ROUND(2029-$CU10,0))),$S$4:$AF$4,1))+INDEX($S10:$AF10,1,MATCH(MAX(2000,MIN(2025,ROUND(2030-$CU10,0))),$S$4:$AF$4,1)))/MAX(1,$AF10),0)</f>
        <v>16.9273475</v>
      </c>
      <c r="GS10" s="311">
        <f t="shared" si="66"/>
        <v>2.7473040000000002</v>
      </c>
      <c r="GT10" s="311">
        <f t="shared" si="67"/>
        <v>30.755631927272738</v>
      </c>
      <c r="GU10" s="311">
        <f>IFERROR($DS10*$FP10/MAX(0.000000001,$CV10)*(INDEX($S10:$AF10,1,MATCH(MAX(2000,MIN(2025,ROUND(2026-$CV10,0))),$S$4:$AF$4,1))+INDEX($S10:$AF10,1,MATCH(MAX(2000,MIN(2025,ROUND(2027-$CV10,0))),$S$4:$AF$4,1))+INDEX($S10:$AF10,1,MATCH(MAX(2000,MIN(2025,ROUND(2028-$CV10,0))),$S$4:$AF$4,1))+INDEX($S10:$AF10,1,MATCH(MAX(2000,MIN(2025,ROUND(2029-$CV10,0))),$S$4:$AF$4,1))+INDEX($S10:$AF10,1,MATCH(MAX(2000,MIN(2025,ROUND(2030-$CV10,0))),$S$4:$AF$4,1)))/MAX(1,$AF10),0)</f>
        <v>26.726252727272737</v>
      </c>
      <c r="GV10" s="311">
        <f t="shared" si="68"/>
        <v>4.0293792000000002</v>
      </c>
      <c r="GW10" s="311">
        <f t="shared" si="69"/>
        <v>2.9745868000000009</v>
      </c>
      <c r="GX10" s="311">
        <f>IFERROR($DT10*$FP10/MAX(0.000000001,$CW10)*(INDEX($S10:$AF10,1,MATCH(MAX(2000,MIN(2025,ROUND(2026-$CW10,0))),$S$4:$AF$4,1))+INDEX($S10:$AF10,1,MATCH(MAX(2000,MIN(2025,ROUND(2027-$CW10,0))),$S$4:$AF$4,1))+INDEX($S10:$AF10,1,MATCH(MAX(2000,MIN(2025,ROUND(2028-$CW10,0))),$S$4:$AF$4,1))+INDEX($S10:$AF10,1,MATCH(MAX(2000,MIN(2025,ROUND(2029-$CW10,0))),$S$4:$AF$4,1))+INDEX($S10:$AF10,1,MATCH(MAX(2000,MIN(2025,ROUND(2030-$CW10,0))),$S$4:$AF$4,1)))/MAX(1,$AF10),0)</f>
        <v>2.5624912000000006</v>
      </c>
      <c r="GY10" s="311">
        <f t="shared" si="70"/>
        <v>0.41209560000000001</v>
      </c>
      <c r="GZ10" s="311">
        <f t="shared" si="71"/>
        <v>0.9139617750000002</v>
      </c>
      <c r="HA10" s="311">
        <f>IFERROR($DU10*$FP10/MAX(0.000000001,$CX10)*(INDEX($S10:$AF10,1,MATCH(MAX(2000,MIN(2025,ROUND(2026-$CX10,0))),$S$4:$AF$4,1))+INDEX($S10:$AF10,1,MATCH(MAX(2000,MIN(2025,ROUND(2027-$CX10,0))),$S$4:$AF$4,1))+INDEX($S10:$AF10,1,MATCH(MAX(2000,MIN(2025,ROUND(2028-$CX10,0))),$S$4:$AF$4,1))+INDEX($S10:$AF10,1,MATCH(MAX(2000,MIN(2025,ROUND(2029-$CX10,0))),$S$4:$AF$4,1))+INDEX($S10:$AF10,1,MATCH(MAX(2000,MIN(2025,ROUND(2030-$CX10,0))),$S$4:$AF$4,1)))/MAX(1,$AF10),0)</f>
        <v>0.77659657500000023</v>
      </c>
      <c r="HB10" s="311">
        <f t="shared" si="72"/>
        <v>0.13736520000000002</v>
      </c>
      <c r="HC10" s="311">
        <f t="shared" si="73"/>
        <v>0</v>
      </c>
      <c r="HD10" s="311">
        <f>IFERROR($EB10*$FP10/MAX(0.000000001,$CY10)*(INDEX($S10:$AF10,1,MATCH(MAX(2000,MIN(2025,ROUND(2026-$CY10,0))),$S$4:$AF$4,1))+INDEX($S10:$AF10,1,MATCH(MAX(2000,MIN(2025,ROUND(2027-$CY10,0))),$S$4:$AF$4,1))+INDEX($S10:$AF10,1,MATCH(MAX(2000,MIN(2025,ROUND(2028-$CY10,0))),$S$4:$AF$4,1))+INDEX($S10:$AF10,1,MATCH(MAX(2000,MIN(2025,ROUND(2029-$CY10,0))),$S$4:$AF$4,1))+INDEX($S10:$AF10,1,MATCH(MAX(2000,MIN(2025,ROUND(2030-$CY10,0))),$S$4:$AF$4,1)))/MAX(1,$AF10),0)</f>
        <v>0</v>
      </c>
      <c r="HE10" s="311">
        <f t="shared" si="74"/>
        <v>0</v>
      </c>
      <c r="HF10" s="311">
        <f t="shared" si="75"/>
        <v>0</v>
      </c>
      <c r="HG10" s="311">
        <f>IFERROR($EC10*$FP10/MAX(0.000000001,$CZ10)*(INDEX($S10:$AF10,1,MATCH(MAX(2000,MIN(2025,ROUND(2026-$CZ10,0))),$S$4:$AF$4,1))+INDEX($S10:$AF10,1,MATCH(MAX(2000,MIN(2025,ROUND(2027-$CZ10,0))),$S$4:$AF$4,1))+INDEX($S10:$AF10,1,MATCH(MAX(2000,MIN(2025,ROUND(2028-$CZ10,0))),$S$4:$AF$4,1))+INDEX($S10:$AF10,1,MATCH(MAX(2000,MIN(2025,ROUND(2029-$CZ10,0))),$S$4:$AF$4,1))+INDEX($S10:$AF10,1,MATCH(MAX(2000,MIN(2025,ROUND(2030-$CZ10,0))),$S$4:$AF$4,1)))/MAX(1,$AF10),0)</f>
        <v>0</v>
      </c>
      <c r="HH10" s="311">
        <f t="shared" si="76"/>
        <v>0</v>
      </c>
      <c r="HI10" s="311">
        <f t="shared" si="77"/>
        <v>0</v>
      </c>
      <c r="HJ10" s="311">
        <f>IFERROR($ED10*$FP10/MAX(0.000000001,$DA10)*(INDEX($S10:$AF10,1,MATCH(MAX(2000,MIN(2025,ROUND(2026-$DA10,0))),$S$4:$AF$4,1))+INDEX($S10:$AF10,1,MATCH(MAX(2000,MIN(2025,ROUND(2027-$DA10,0))),$S$4:$AF$4,1))+INDEX($S10:$AF10,1,MATCH(MAX(2000,MIN(2025,ROUND(2028-$DA10,0))),$S$4:$AF$4,1))+INDEX($S10:$AF10,1,MATCH(MAX(2000,MIN(2025,ROUND(2029-$DA10,0))),$S$4:$AF$4,1))+INDEX($S10:$AF10,1,MATCH(MAX(2000,MIN(2025,ROUND(2030-$DA10,0))),$S$4:$AF$4,1)))/MAX(1,$AF10),0)</f>
        <v>0</v>
      </c>
      <c r="HK10" s="311">
        <f t="shared" si="78"/>
        <v>0</v>
      </c>
      <c r="HL10" s="311">
        <f t="shared" si="79"/>
        <v>0</v>
      </c>
      <c r="HM10" s="311">
        <f>IFERROR($EE10*$FP10/MAX(0.000000001,$DB10)*(INDEX($S10:$AF10,1,MATCH(MAX(2000,MIN(2025,ROUND(2026-$DB10,0))),$S$4:$AF$4,1))+INDEX($S10:$AF10,1,MATCH(MAX(2000,MIN(2025,ROUND(2027-$DB10,0))),$S$4:$AF$4,1))+INDEX($S10:$AF10,1,MATCH(MAX(2000,MIN(2025,ROUND(2028-$DB10,0))),$S$4:$AF$4,1))+INDEX($S10:$AF10,1,MATCH(MAX(2000,MIN(2025,ROUND(2029-$DB10,0))),$S$4:$AF$4,1))+INDEX($S10:$AF10,1,MATCH(MAX(2000,MIN(2025,ROUND(2030-$DB10,0))),$S$4:$AF$4,1)))/MAX(1,$AF10),0)</f>
        <v>0</v>
      </c>
      <c r="HN10" s="311">
        <f t="shared" si="80"/>
        <v>0</v>
      </c>
      <c r="HO10" s="311">
        <f t="shared" si="81"/>
        <v>366.29827500000005</v>
      </c>
      <c r="HP10" s="311">
        <f>IFERROR($EM10*$FP10/MAX(0.000000001,$DC10)*(INDEX($S10:$AF10,1,MATCH(MAX(2000,MIN(2025,ROUND(2026-$DC10,0))),$S$4:$AF$4,1))+INDEX($S10:$AF10,1,MATCH(MAX(2000,MIN(2025,ROUND(2027-$DC10,0))),$S$4:$AF$4,1))+INDEX($S10:$AF10,1,MATCH(MAX(2000,MIN(2025,ROUND(2028-$DC10,0))),$S$4:$AF$4,1))+INDEX($S10:$AF10,1,MATCH(MAX(2000,MIN(2025,ROUND(2029-$DC10,0))),$S$4:$AF$4,1))+INDEX($S10:$AF10,1,MATCH(MAX(2000,MIN(2025,ROUND(2030-$DC10,0))),$S$4:$AF$4,1)))/MAX(1,$AF10),0)</f>
        <v>311.35219500000005</v>
      </c>
      <c r="HQ10" s="311">
        <f t="shared" si="82"/>
        <v>54.946080000000009</v>
      </c>
      <c r="HR10" s="311">
        <f t="shared" si="83"/>
        <v>67.307372999999998</v>
      </c>
      <c r="HS10" s="311">
        <f>IFERROR($EN10*$FP10/MAX(0.000000001,$DD10)*(INDEX($S10:$AF10,1,MATCH(MAX(2000,MIN(2025,ROUND(2026-$DD10,0))),$S$4:$AF$4,1))+INDEX($S10:$AF10,1,MATCH(MAX(2000,MIN(2025,ROUND(2027-$DD10,0))),$S$4:$AF$4,1))+INDEX($S10:$AF10,1,MATCH(MAX(2000,MIN(2025,ROUND(2028-$DD10,0))),$S$4:$AF$4,1))+INDEX($S10:$AF10,1,MATCH(MAX(2000,MIN(2025,ROUND(2029-$DD10,0))),$S$4:$AF$4,1))+INDEX($S10:$AF10,1,MATCH(MAX(2000,MIN(2025,ROUND(2030-$DD10,0))),$S$4:$AF$4,1)))/MAX(1,$AF10),0)</f>
        <v>54.944504999999999</v>
      </c>
      <c r="HT10" s="311">
        <f t="shared" si="84"/>
        <v>12.362868000000001</v>
      </c>
      <c r="HU10" s="311">
        <f t="shared" si="85"/>
        <v>1.3736520000000001</v>
      </c>
      <c r="HV10" s="311">
        <f>IFERROR($EO10*$FP10/MAX(0.000000001,$DE10)*(INDEX($S10:$AF10,1,MATCH(MAX(2000,MIN(2025,ROUND(2026-$DE10,0))),$S$4:$AF$4,1))+INDEX($S10:$AF10,1,MATCH(MAX(2000,MIN(2025,ROUND(2027-$DE10,0))),$S$4:$AF$4,1))+INDEX($S10:$AF10,1,MATCH(MAX(2000,MIN(2025,ROUND(2028-$DE10,0))),$S$4:$AF$4,1))+INDEX($S10:$AF10,1,MATCH(MAX(2000,MIN(2025,ROUND(2029-$DE10,0))),$S$4:$AF$4,1))+INDEX($S10:$AF10,1,MATCH(MAX(2000,MIN(2025,ROUND(2030-$DE10,0))),$S$4:$AF$4,1)))/MAX(1,$AF10),0)</f>
        <v>0</v>
      </c>
      <c r="HW10" s="311">
        <f t="shared" si="86"/>
        <v>1.3736520000000001</v>
      </c>
      <c r="HY10" s="313">
        <f t="shared" si="87"/>
        <v>2484</v>
      </c>
      <c r="HZ10" s="313">
        <f t="shared" si="88"/>
        <v>256.59719999999999</v>
      </c>
      <c r="IA10" s="313">
        <f t="shared" si="89"/>
        <v>1327.9464</v>
      </c>
      <c r="IB10" s="313">
        <f t="shared" si="90"/>
        <v>831.51900000000001</v>
      </c>
      <c r="IC10" s="313">
        <f t="shared" si="91"/>
        <v>67.937399999999997</v>
      </c>
      <c r="ID10" s="313">
        <f t="shared" si="92"/>
        <v>0</v>
      </c>
      <c r="IE10" s="313">
        <f t="shared" si="93"/>
        <v>763.86993847802205</v>
      </c>
      <c r="IF10" s="313">
        <f t="shared" si="94"/>
        <v>64.709587875958789</v>
      </c>
      <c r="IG10" s="313">
        <f t="shared" si="95"/>
        <v>390.99416609374839</v>
      </c>
      <c r="IH10" s="313">
        <f t="shared" si="96"/>
        <v>269.96150027052306</v>
      </c>
      <c r="II10" s="313">
        <f t="shared" si="97"/>
        <v>35.06656218233627</v>
      </c>
      <c r="IJ10" s="313">
        <f t="shared" si="98"/>
        <v>3.1381220554554945</v>
      </c>
      <c r="IK10" s="866">
        <v>4.16</v>
      </c>
      <c r="IL10" s="314" t="s">
        <v>2589</v>
      </c>
      <c r="IM10" s="299" t="s">
        <v>2676</v>
      </c>
      <c r="IN10" s="657"/>
      <c r="IO10" s="730">
        <v>0.1</v>
      </c>
      <c r="IP10" s="730">
        <v>0.53</v>
      </c>
      <c r="IQ10" s="730">
        <v>0.34</v>
      </c>
      <c r="IR10" s="730">
        <v>0.03</v>
      </c>
      <c r="IS10" s="730">
        <v>0</v>
      </c>
      <c r="IT10" s="730">
        <v>8.1500000000000003E-2</v>
      </c>
      <c r="IU10" s="730">
        <v>0.50739999999999996</v>
      </c>
      <c r="IV10" s="730">
        <v>0.3584</v>
      </c>
      <c r="IW10" s="730">
        <v>4.8399999999999999E-2</v>
      </c>
      <c r="IX10" s="730">
        <v>4.3E-3</v>
      </c>
      <c r="IY10" s="730">
        <v>0</v>
      </c>
      <c r="IZ10" s="730">
        <v>0</v>
      </c>
      <c r="JA10" s="730">
        <v>0</v>
      </c>
      <c r="JB10" s="730">
        <v>0</v>
      </c>
      <c r="JC10" s="730">
        <v>0</v>
      </c>
      <c r="JD10" s="730">
        <v>0</v>
      </c>
      <c r="JE10" s="730">
        <v>0</v>
      </c>
      <c r="JF10" s="730">
        <v>0</v>
      </c>
      <c r="JG10" s="730">
        <v>0</v>
      </c>
      <c r="JH10" s="831">
        <v>0</v>
      </c>
      <c r="JI10" s="831">
        <v>0.15459999999999999</v>
      </c>
      <c r="JJ10" s="831">
        <v>0.61470000000000002</v>
      </c>
      <c r="JK10" s="831">
        <v>0.21909999999999999</v>
      </c>
      <c r="JL10" s="831">
        <v>1.1599999999999999E-2</v>
      </c>
      <c r="JM10" s="831">
        <v>0</v>
      </c>
      <c r="JN10" s="831">
        <v>0.1361</v>
      </c>
      <c r="JO10" s="831">
        <v>0.59219999999999995</v>
      </c>
      <c r="JP10" s="831">
        <v>0.23749999999999999</v>
      </c>
      <c r="JQ10" s="831">
        <v>3.0099999999999998E-2</v>
      </c>
      <c r="JR10" s="831">
        <v>4.1000000000000003E-3</v>
      </c>
      <c r="JS10" s="831">
        <v>0.1066</v>
      </c>
      <c r="JT10" s="730">
        <v>0.53920000000000001</v>
      </c>
      <c r="JU10" s="730">
        <v>0.32950000000000002</v>
      </c>
      <c r="JV10" s="730">
        <v>2.47E-2</v>
      </c>
      <c r="JW10" s="730">
        <v>0</v>
      </c>
      <c r="JX10" s="730">
        <v>8.8200000000000001E-2</v>
      </c>
      <c r="JY10" s="730">
        <v>0.51670000000000005</v>
      </c>
      <c r="JZ10" s="730">
        <v>0.34799999999999998</v>
      </c>
      <c r="KA10" s="730">
        <v>4.3200000000000002E-2</v>
      </c>
      <c r="KB10" s="730">
        <v>3.8999999999999998E-3</v>
      </c>
      <c r="KC10" s="657"/>
      <c r="KD10" s="314" t="s">
        <v>2590</v>
      </c>
      <c r="KE10" s="314" t="s">
        <v>2590</v>
      </c>
      <c r="KF10" s="866">
        <v>4.1900000000000004</v>
      </c>
      <c r="KG10" s="314" t="s">
        <v>2589</v>
      </c>
      <c r="KH10" s="315" t="s">
        <v>2658</v>
      </c>
      <c r="KI10" s="314" t="s">
        <v>2659</v>
      </c>
      <c r="KJ10" s="315" t="s">
        <v>2677</v>
      </c>
    </row>
    <row r="11" spans="1:327" ht="48" hidden="1" customHeight="1">
      <c r="A11" s="265">
        <f t="shared" si="99"/>
        <v>4</v>
      </c>
      <c r="B11" s="266" t="s">
        <v>2600</v>
      </c>
      <c r="C11" s="266" t="s">
        <v>2678</v>
      </c>
      <c r="D11" s="624" t="s">
        <v>2679</v>
      </c>
      <c r="E11" s="267" t="s">
        <v>2106</v>
      </c>
      <c r="F11" s="267" t="s">
        <v>300</v>
      </c>
      <c r="G11" s="267" t="s">
        <v>300</v>
      </c>
      <c r="H11" s="267" t="s">
        <v>2109</v>
      </c>
      <c r="I11" s="268" t="s">
        <v>2680</v>
      </c>
      <c r="J11" s="268" t="s">
        <v>2681</v>
      </c>
      <c r="K11" s="269" t="s">
        <v>2097</v>
      </c>
      <c r="L11" s="269" t="s">
        <v>2109</v>
      </c>
      <c r="M11" s="269" t="s">
        <v>2603</v>
      </c>
      <c r="N11" s="269" t="s">
        <v>2634</v>
      </c>
      <c r="O11" s="267" t="s">
        <v>2212</v>
      </c>
      <c r="P11" s="268"/>
      <c r="Q11" s="270">
        <v>1</v>
      </c>
      <c r="R11" s="271">
        <v>1400</v>
      </c>
      <c r="S11" s="272">
        <v>20200</v>
      </c>
      <c r="T11" s="272">
        <v>19750</v>
      </c>
      <c r="U11" s="272">
        <v>19250</v>
      </c>
      <c r="V11" s="272">
        <v>18680</v>
      </c>
      <c r="W11" s="272">
        <v>18620</v>
      </c>
      <c r="X11" s="272">
        <v>18570</v>
      </c>
      <c r="Y11" s="272">
        <v>18520</v>
      </c>
      <c r="Z11" s="272">
        <v>18480</v>
      </c>
      <c r="AA11" s="272">
        <v>18440</v>
      </c>
      <c r="AB11" s="272">
        <v>18410</v>
      </c>
      <c r="AC11" s="272">
        <v>18390</v>
      </c>
      <c r="AD11" s="272">
        <v>18380</v>
      </c>
      <c r="AE11" s="272">
        <v>18370</v>
      </c>
      <c r="AF11" s="272">
        <v>18350</v>
      </c>
      <c r="AG11" s="272">
        <v>18320</v>
      </c>
      <c r="AH11" s="272">
        <v>18290</v>
      </c>
      <c r="AI11" s="272">
        <v>18260</v>
      </c>
      <c r="AJ11" s="272">
        <v>18230</v>
      </c>
      <c r="AK11" s="272">
        <v>18200</v>
      </c>
      <c r="AL11" s="268" t="s">
        <v>2682</v>
      </c>
      <c r="AM11" s="268" t="s">
        <v>2683</v>
      </c>
      <c r="AN11" s="268" t="s">
        <v>2403</v>
      </c>
      <c r="AO11" s="657"/>
      <c r="AP11" s="271">
        <v>150</v>
      </c>
      <c r="AQ11" s="280">
        <v>129</v>
      </c>
      <c r="AR11" s="280">
        <v>15</v>
      </c>
      <c r="AS11" s="280">
        <v>6</v>
      </c>
      <c r="AT11" s="657"/>
      <c r="AU11" s="301" t="s">
        <v>2684</v>
      </c>
      <c r="AV11" s="572" t="s">
        <v>2685</v>
      </c>
      <c r="AW11" s="645" t="s">
        <v>2686</v>
      </c>
      <c r="AX11" s="290" t="s">
        <v>2687</v>
      </c>
      <c r="AY11" s="657"/>
      <c r="AZ11" s="948">
        <v>9</v>
      </c>
      <c r="BA11" s="948">
        <v>0.20499999999999999</v>
      </c>
      <c r="BB11" s="948">
        <v>1</v>
      </c>
      <c r="BC11" s="948">
        <v>10</v>
      </c>
      <c r="BD11" s="825">
        <f t="shared" si="4"/>
        <v>370761.75</v>
      </c>
      <c r="BE11" s="304">
        <f t="shared" si="5"/>
        <v>165150</v>
      </c>
      <c r="BF11" s="304">
        <f t="shared" si="6"/>
        <v>3761.75</v>
      </c>
      <c r="BG11" s="304">
        <f t="shared" si="7"/>
        <v>18350</v>
      </c>
      <c r="BH11" s="304">
        <f t="shared" si="8"/>
        <v>183500</v>
      </c>
      <c r="BI11" s="825">
        <f t="shared" si="9"/>
        <v>367731</v>
      </c>
      <c r="BJ11" s="304">
        <f t="shared" si="10"/>
        <v>163800</v>
      </c>
      <c r="BK11" s="304">
        <f t="shared" si="11"/>
        <v>3731</v>
      </c>
      <c r="BL11" s="304">
        <f t="shared" si="12"/>
        <v>18200</v>
      </c>
      <c r="BM11" s="304">
        <f t="shared" si="13"/>
        <v>182000</v>
      </c>
      <c r="BN11" s="657"/>
      <c r="BO11" s="284">
        <v>0.4</v>
      </c>
      <c r="BP11" s="284">
        <v>0.55000000000000004</v>
      </c>
      <c r="BQ11" s="284">
        <v>0.03</v>
      </c>
      <c r="BR11" s="710">
        <v>0.02</v>
      </c>
      <c r="BS11" s="707">
        <v>0.38</v>
      </c>
      <c r="BT11" s="284">
        <v>0.55000000000000004</v>
      </c>
      <c r="BU11" s="284">
        <v>0.05</v>
      </c>
      <c r="BV11" s="710">
        <v>0.02</v>
      </c>
      <c r="BW11" s="714">
        <v>0.85</v>
      </c>
      <c r="BX11" s="285">
        <v>0.12</v>
      </c>
      <c r="BY11" s="717">
        <v>0.03</v>
      </c>
      <c r="BZ11" s="714">
        <v>0.82</v>
      </c>
      <c r="CA11" s="285">
        <v>0.14000000000000001</v>
      </c>
      <c r="CB11" s="717">
        <v>0.04</v>
      </c>
      <c r="CC11" s="284">
        <v>0.12</v>
      </c>
      <c r="CD11" s="284">
        <v>0.62</v>
      </c>
      <c r="CE11" s="284">
        <v>0.03</v>
      </c>
      <c r="CF11" s="710">
        <v>0.23</v>
      </c>
      <c r="CG11" s="707">
        <v>0.1</v>
      </c>
      <c r="CH11" s="284">
        <v>0.62</v>
      </c>
      <c r="CI11" s="284">
        <v>0.05</v>
      </c>
      <c r="CJ11" s="710">
        <v>0.23</v>
      </c>
      <c r="CK11" s="720">
        <v>0.8</v>
      </c>
      <c r="CL11" s="286">
        <v>0.2</v>
      </c>
      <c r="CM11" s="718"/>
      <c r="CN11" s="720">
        <v>0.7</v>
      </c>
      <c r="CO11" s="286">
        <v>0.25</v>
      </c>
      <c r="CP11" s="718">
        <v>0.05</v>
      </c>
      <c r="CQ11" s="657"/>
      <c r="CR11" s="807">
        <v>12</v>
      </c>
      <c r="CS11" s="808">
        <v>13</v>
      </c>
      <c r="CT11" s="808">
        <v>9</v>
      </c>
      <c r="CU11" s="809">
        <v>12</v>
      </c>
      <c r="CV11" s="807">
        <v>12</v>
      </c>
      <c r="CW11" s="808">
        <v>12</v>
      </c>
      <c r="CX11" s="809">
        <v>9</v>
      </c>
      <c r="CY11" s="807">
        <v>10</v>
      </c>
      <c r="CZ11" s="808">
        <v>13</v>
      </c>
      <c r="DA11" s="808">
        <v>9</v>
      </c>
      <c r="DB11" s="809">
        <v>11</v>
      </c>
      <c r="DC11" s="807">
        <v>11</v>
      </c>
      <c r="DD11" s="808">
        <v>13</v>
      </c>
      <c r="DE11" s="809">
        <v>11</v>
      </c>
      <c r="DF11" s="610" t="s">
        <v>2610</v>
      </c>
      <c r="DG11" s="657"/>
      <c r="DH11" s="288">
        <f t="shared" si="14"/>
        <v>66060</v>
      </c>
      <c r="DI11" s="288">
        <f t="shared" si="15"/>
        <v>90832.500000000015</v>
      </c>
      <c r="DJ11" s="288">
        <f t="shared" si="16"/>
        <v>4954.5</v>
      </c>
      <c r="DK11" s="288">
        <f t="shared" si="17"/>
        <v>3303</v>
      </c>
      <c r="DL11" s="560" t="s">
        <v>2688</v>
      </c>
      <c r="DM11" s="288">
        <f t="shared" si="18"/>
        <v>62244</v>
      </c>
      <c r="DN11" s="288">
        <f t="shared" si="19"/>
        <v>90090</v>
      </c>
      <c r="DO11" s="288">
        <f t="shared" si="20"/>
        <v>8190</v>
      </c>
      <c r="DP11" s="288">
        <f t="shared" si="21"/>
        <v>3276</v>
      </c>
      <c r="DQ11" s="561" t="s">
        <v>2689</v>
      </c>
      <c r="DR11" s="657"/>
      <c r="DS11" s="288">
        <f t="shared" si="22"/>
        <v>3197.4874999999997</v>
      </c>
      <c r="DT11" s="288">
        <f t="shared" si="23"/>
        <v>451.40999999999997</v>
      </c>
      <c r="DU11" s="288">
        <f t="shared" si="24"/>
        <v>112.85249999999999</v>
      </c>
      <c r="DV11" s="561" t="s">
        <v>2613</v>
      </c>
      <c r="DW11" s="288">
        <f t="shared" si="25"/>
        <v>3059.4199999999996</v>
      </c>
      <c r="DX11" s="288">
        <f t="shared" si="26"/>
        <v>522.34</v>
      </c>
      <c r="DY11" s="288">
        <f t="shared" si="27"/>
        <v>149.24</v>
      </c>
      <c r="DZ11" s="561" t="s">
        <v>2613</v>
      </c>
      <c r="EA11" s="657"/>
      <c r="EB11" s="288">
        <f t="shared" si="28"/>
        <v>2202</v>
      </c>
      <c r="EC11" s="288">
        <f t="shared" si="29"/>
        <v>11377</v>
      </c>
      <c r="ED11" s="288">
        <f t="shared" si="30"/>
        <v>550.5</v>
      </c>
      <c r="EE11" s="288">
        <f t="shared" si="31"/>
        <v>4220.5</v>
      </c>
      <c r="EF11" s="561" t="s">
        <v>2690</v>
      </c>
      <c r="EG11" s="288">
        <f t="shared" si="32"/>
        <v>1820</v>
      </c>
      <c r="EH11" s="288">
        <f t="shared" si="33"/>
        <v>11284</v>
      </c>
      <c r="EI11" s="288">
        <f t="shared" si="34"/>
        <v>910</v>
      </c>
      <c r="EJ11" s="288">
        <f t="shared" si="35"/>
        <v>4186</v>
      </c>
      <c r="EK11" s="561" t="s">
        <v>2691</v>
      </c>
      <c r="EL11" s="657"/>
      <c r="EM11" s="288">
        <f t="shared" si="36"/>
        <v>146800</v>
      </c>
      <c r="EN11" s="291">
        <f t="shared" si="37"/>
        <v>36700</v>
      </c>
      <c r="EO11" s="291">
        <f t="shared" si="38"/>
        <v>0</v>
      </c>
      <c r="EP11" s="561" t="s">
        <v>2692</v>
      </c>
      <c r="EQ11" s="288">
        <f t="shared" si="39"/>
        <v>127399.99999999999</v>
      </c>
      <c r="ER11" s="291">
        <f t="shared" si="40"/>
        <v>45500</v>
      </c>
      <c r="ES11" s="291">
        <f t="shared" si="41"/>
        <v>9100</v>
      </c>
      <c r="ET11" s="561" t="s">
        <v>2693</v>
      </c>
      <c r="EU11" s="657"/>
      <c r="EV11" s="740">
        <f t="shared" si="42"/>
        <v>0.78826695378156564</v>
      </c>
      <c r="EW11" s="740">
        <f t="shared" si="43"/>
        <v>0.21173304621843433</v>
      </c>
      <c r="EX11" s="563">
        <f t="shared" si="44"/>
        <v>94050.569564640013</v>
      </c>
      <c r="EY11" s="563">
        <f t="shared" si="45"/>
        <v>74136.955972140015</v>
      </c>
      <c r="EZ11" s="563">
        <f t="shared" si="46"/>
        <v>19913.613592499998</v>
      </c>
      <c r="FA11" s="563">
        <f t="shared" si="47"/>
        <v>41893.349472000009</v>
      </c>
      <c r="FB11" s="563">
        <f t="shared" si="48"/>
        <v>33023.142972000009</v>
      </c>
      <c r="FC11" s="563">
        <f t="shared" si="49"/>
        <v>8870.2065000000002</v>
      </c>
      <c r="FD11" s="563">
        <f t="shared" si="50"/>
        <v>954.23740464000014</v>
      </c>
      <c r="FE11" s="563">
        <f t="shared" si="51"/>
        <v>752.19381214000009</v>
      </c>
      <c r="FF11" s="563">
        <f t="shared" si="52"/>
        <v>202.04359250000002</v>
      </c>
      <c r="FG11" s="563">
        <f t="shared" si="53"/>
        <v>4654.8166080000001</v>
      </c>
      <c r="FH11" s="563">
        <f t="shared" si="54"/>
        <v>3669.2381080000005</v>
      </c>
      <c r="FI11" s="563">
        <f t="shared" si="55"/>
        <v>985.57849999999996</v>
      </c>
      <c r="FJ11" s="563">
        <f t="shared" si="56"/>
        <v>46548.16608000001</v>
      </c>
      <c r="FK11" s="563">
        <f t="shared" si="57"/>
        <v>36692.381080000006</v>
      </c>
      <c r="FL11" s="563">
        <f t="shared" si="58"/>
        <v>9855.7849999999999</v>
      </c>
      <c r="FM11" s="529"/>
      <c r="FN11" s="564" t="s">
        <v>2649</v>
      </c>
      <c r="FO11" s="740">
        <v>5.3710000000000001E-2</v>
      </c>
      <c r="FP11" s="741">
        <v>0.87280000000000002</v>
      </c>
      <c r="FQ11" s="565" t="s">
        <v>2694</v>
      </c>
      <c r="FR11" s="529"/>
      <c r="FS11" s="867">
        <v>3.18</v>
      </c>
      <c r="FT11" s="566">
        <f>RANK($FS11,$FS$8:$FS$154,0)+COUNTIF($FS$8:$FS11,$FS11)-1</f>
        <v>90</v>
      </c>
      <c r="FU11" s="867">
        <v>4.2699999999999996</v>
      </c>
      <c r="FV11" s="566">
        <f>RANK($FU11,$FU$8:$FU$154,0)+COUNTIF($FU$8:$FU11,$FU11)-1</f>
        <v>34</v>
      </c>
      <c r="FW11" s="867">
        <v>1.85</v>
      </c>
      <c r="FX11" s="566">
        <f>RANK($FW11,$FW$8:$FW$154,0)+COUNTIF($FW$8:$FW11,$FW11)-1</f>
        <v>116</v>
      </c>
      <c r="FY11" s="529"/>
      <c r="FZ11" s="567" t="s">
        <v>2695</v>
      </c>
      <c r="GA11" s="567" t="s">
        <v>2696</v>
      </c>
      <c r="GB11" s="567" t="s">
        <v>2697</v>
      </c>
      <c r="GC11" s="567" t="s">
        <v>2698</v>
      </c>
      <c r="GD11" s="567" t="s">
        <v>2699</v>
      </c>
      <c r="GE11" s="567" t="s">
        <v>2700</v>
      </c>
      <c r="GF11" s="567" t="str">
        <f>HYPERLINK("https://www.banquedesterritoires.fr/plan-renovation-energetique-batiments-publics","https://www.banquedesterritoires.fr/plan-renovation-energetique-batiments-publics")&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https://www.banquedesterritoires.fr/plan-renovation-energetique-batiments-publics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1" s="529"/>
      <c r="GH11" s="563">
        <f t="shared" si="59"/>
        <v>16579.935658800001</v>
      </c>
      <c r="GI11" s="563">
        <f>IFERROR($BE11*$FP11*0.2291*$BO11,0)</f>
        <v>13209.257188800002</v>
      </c>
      <c r="GJ11" s="563">
        <f t="shared" si="60"/>
        <v>3370.6784700000003</v>
      </c>
      <c r="GK11" s="563">
        <f t="shared" si="61"/>
        <v>23041.342209600003</v>
      </c>
      <c r="GL11" s="563">
        <f>IFERROR($BE11*$FP11*0.2291*$BP11,0)</f>
        <v>18162.728634600004</v>
      </c>
      <c r="GM11" s="563">
        <f t="shared" si="62"/>
        <v>4878.6135750000003</v>
      </c>
      <c r="GN11" s="563">
        <f t="shared" si="63"/>
        <v>1434.2046141600001</v>
      </c>
      <c r="GO11" s="563">
        <f>IFERROR($BE11*$FP11*0.2291*$BQ11,0)</f>
        <v>990.69428916000004</v>
      </c>
      <c r="GP11" s="563">
        <f t="shared" si="64"/>
        <v>443.51032500000002</v>
      </c>
      <c r="GQ11" s="563">
        <f t="shared" si="65"/>
        <v>837.86698944</v>
      </c>
      <c r="GR11" s="563">
        <f>IFERROR($BE11*$FP11*0.2291*$BR11,0)</f>
        <v>660.46285943999999</v>
      </c>
      <c r="GS11" s="563">
        <f t="shared" si="66"/>
        <v>177.40413000000001</v>
      </c>
      <c r="GT11" s="563">
        <f t="shared" si="67"/>
        <v>805.04048616900002</v>
      </c>
      <c r="GU11" s="563">
        <f>IFERROR($BF11*$FP11*0.2291*$BW11,0)</f>
        <v>639.36474031900002</v>
      </c>
      <c r="GV11" s="563">
        <f t="shared" si="68"/>
        <v>165.67574585</v>
      </c>
      <c r="GW11" s="563">
        <f t="shared" si="69"/>
        <v>118.54936040679999</v>
      </c>
      <c r="GX11" s="563">
        <f>IFERROR($BF11*$FP11*0.2291*$BX11,0)</f>
        <v>90.263257456799991</v>
      </c>
      <c r="GY11" s="563">
        <f t="shared" si="70"/>
        <v>28.286102950000004</v>
      </c>
      <c r="GZ11" s="563">
        <f t="shared" si="71"/>
        <v>30.647558064199998</v>
      </c>
      <c r="HA11" s="563">
        <f>IFERROR($BF11*$FP11*0.2291*$BY11,0)</f>
        <v>22.565814364199998</v>
      </c>
      <c r="HB11" s="563">
        <f t="shared" si="72"/>
        <v>8.0817437000000005</v>
      </c>
      <c r="HC11" s="563">
        <f t="shared" si="73"/>
        <v>538.86642296000002</v>
      </c>
      <c r="HD11" s="563">
        <f>IFERROR($BG11*$FP11*0.2291*$CC11,0)</f>
        <v>440.30857295999999</v>
      </c>
      <c r="HE11" s="563">
        <f t="shared" si="74"/>
        <v>98.557850000000002</v>
      </c>
      <c r="HF11" s="563">
        <f t="shared" si="75"/>
        <v>2885.9862969599999</v>
      </c>
      <c r="HG11" s="563">
        <f>IFERROR($BG11*$FP11*0.2291*$CD11,0)</f>
        <v>2274.92762696</v>
      </c>
      <c r="HH11" s="563">
        <f t="shared" si="76"/>
        <v>611.05867000000001</v>
      </c>
      <c r="HI11" s="563">
        <f t="shared" si="77"/>
        <v>159.35606824000001</v>
      </c>
      <c r="HJ11" s="563">
        <f>IFERROR($BG11*$FP11*0.2291*$CE11,0)</f>
        <v>110.07714324</v>
      </c>
      <c r="HK11" s="563">
        <f t="shared" si="78"/>
        <v>49.278925000000001</v>
      </c>
      <c r="HL11" s="563">
        <f t="shared" si="79"/>
        <v>1070.60781984</v>
      </c>
      <c r="HM11" s="563">
        <f>IFERROR($BG11*$FP11*0.2291*$CF11,0)</f>
        <v>843.92476484000008</v>
      </c>
      <c r="HN11" s="563">
        <f t="shared" si="80"/>
        <v>226.683055</v>
      </c>
      <c r="HO11" s="563">
        <f t="shared" si="81"/>
        <v>36252.954364000005</v>
      </c>
      <c r="HP11" s="563">
        <f>IFERROR($BH11*$FP11*0.2291*$CK11,0)</f>
        <v>29353.904864000007</v>
      </c>
      <c r="HQ11" s="563">
        <f t="shared" si="82"/>
        <v>6899.0494999999992</v>
      </c>
      <c r="HR11" s="563">
        <f t="shared" si="83"/>
        <v>9802.4224660000018</v>
      </c>
      <c r="HS11" s="563">
        <f>IFERROR($BH11*$FP11*0.2291*$CL11,0)</f>
        <v>7338.4762160000018</v>
      </c>
      <c r="HT11" s="563">
        <f t="shared" si="84"/>
        <v>2463.94625</v>
      </c>
      <c r="HU11" s="563">
        <f t="shared" si="85"/>
        <v>492.78925000000004</v>
      </c>
      <c r="HV11" s="563">
        <f>IFERROR($BH11*$FP11*0.2291*$CM11,0)</f>
        <v>0</v>
      </c>
      <c r="HW11" s="563">
        <f t="shared" si="86"/>
        <v>492.78925000000004</v>
      </c>
      <c r="HX11" s="544"/>
      <c r="HY11" s="568">
        <f t="shared" si="87"/>
        <v>352411.75</v>
      </c>
      <c r="HZ11" s="568">
        <f t="shared" si="88"/>
        <v>34825.960374999995</v>
      </c>
      <c r="IA11" s="568">
        <f t="shared" si="89"/>
        <v>189811.42744999999</v>
      </c>
      <c r="IB11" s="568">
        <f t="shared" si="90"/>
        <v>119107.106675</v>
      </c>
      <c r="IC11" s="568">
        <f t="shared" si="91"/>
        <v>8596.7731499999991</v>
      </c>
      <c r="ID11" s="568">
        <f t="shared" si="92"/>
        <v>70.482349999999997</v>
      </c>
      <c r="IE11" s="568">
        <f t="shared" si="93"/>
        <v>70467.717864140024</v>
      </c>
      <c r="IF11" s="568">
        <f t="shared" si="94"/>
        <v>2835.2588130517352</v>
      </c>
      <c r="IG11" s="568">
        <f t="shared" si="95"/>
        <v>28949.459424307599</v>
      </c>
      <c r="IH11" s="568">
        <f t="shared" si="96"/>
        <v>34012.98599791895</v>
      </c>
      <c r="II11" s="568">
        <f t="shared" si="97"/>
        <v>4599.8376154271773</v>
      </c>
      <c r="IJ11" s="568">
        <f t="shared" si="98"/>
        <v>70.176013434554022</v>
      </c>
      <c r="IK11" s="868">
        <v>4.4000000000000004</v>
      </c>
      <c r="IL11" s="569" t="s">
        <v>2701</v>
      </c>
      <c r="IM11" s="570" t="s">
        <v>2702</v>
      </c>
      <c r="IN11" s="529"/>
      <c r="IO11" s="742">
        <v>9.4500000000000001E-2</v>
      </c>
      <c r="IP11" s="742">
        <v>0.53339999999999999</v>
      </c>
      <c r="IQ11" s="742">
        <v>0.34610000000000002</v>
      </c>
      <c r="IR11" s="742">
        <v>2.58E-2</v>
      </c>
      <c r="IS11" s="742">
        <v>2.0000000000000001E-4</v>
      </c>
      <c r="IT11" s="742">
        <v>3.8100000000000002E-2</v>
      </c>
      <c r="IU11" s="742">
        <v>0.40279999999999999</v>
      </c>
      <c r="IV11" s="742">
        <v>0.48959999999999998</v>
      </c>
      <c r="IW11" s="742">
        <v>6.8400000000000002E-2</v>
      </c>
      <c r="IX11" s="742">
        <v>1.1000000000000001E-3</v>
      </c>
      <c r="IY11" s="742">
        <v>9.4500000000000001E-2</v>
      </c>
      <c r="IZ11" s="742">
        <v>0.53339999999999999</v>
      </c>
      <c r="JA11" s="742">
        <v>0.34610000000000002</v>
      </c>
      <c r="JB11" s="742">
        <v>2.58E-2</v>
      </c>
      <c r="JC11" s="742">
        <v>2.0000000000000001E-4</v>
      </c>
      <c r="JD11" s="742">
        <v>3.8100000000000002E-2</v>
      </c>
      <c r="JE11" s="742">
        <v>0.40279999999999999</v>
      </c>
      <c r="JF11" s="742">
        <v>0.48959999999999998</v>
      </c>
      <c r="JG11" s="742">
        <v>6.8400000000000002E-2</v>
      </c>
      <c r="JH11" s="742">
        <v>1.1000000000000001E-3</v>
      </c>
      <c r="JI11" s="742">
        <v>0</v>
      </c>
      <c r="JJ11" s="742">
        <v>0</v>
      </c>
      <c r="JK11" s="742">
        <v>0</v>
      </c>
      <c r="JL11" s="742">
        <v>0</v>
      </c>
      <c r="JM11" s="742">
        <v>0</v>
      </c>
      <c r="JN11" s="742">
        <v>0</v>
      </c>
      <c r="JO11" s="742">
        <v>0</v>
      </c>
      <c r="JP11" s="742">
        <v>0</v>
      </c>
      <c r="JQ11" s="742">
        <v>0</v>
      </c>
      <c r="JR11" s="742">
        <v>0</v>
      </c>
      <c r="JS11" s="742">
        <v>0.1028</v>
      </c>
      <c r="JT11" s="742">
        <v>0.54339999999999999</v>
      </c>
      <c r="JU11" s="742">
        <v>0.33050000000000002</v>
      </c>
      <c r="JV11" s="742">
        <v>2.3099999999999999E-2</v>
      </c>
      <c r="JW11" s="742">
        <v>2.0000000000000001E-4</v>
      </c>
      <c r="JX11" s="742">
        <v>4.2200000000000001E-2</v>
      </c>
      <c r="JY11" s="742">
        <v>0.41820000000000002</v>
      </c>
      <c r="JZ11" s="742">
        <v>0.4763</v>
      </c>
      <c r="KA11" s="742">
        <v>6.2399999999999997E-2</v>
      </c>
      <c r="KB11" s="742">
        <v>8.9999999999999998E-4</v>
      </c>
      <c r="KC11" s="657"/>
      <c r="KD11" s="832" t="s">
        <v>2590</v>
      </c>
      <c r="KE11" s="832" t="s">
        <v>2590</v>
      </c>
      <c r="KF11" s="869">
        <v>4.45</v>
      </c>
      <c r="KG11" s="832" t="s">
        <v>2589</v>
      </c>
      <c r="KH11" s="833" t="s">
        <v>2703</v>
      </c>
      <c r="KI11" s="832" t="s">
        <v>2704</v>
      </c>
      <c r="KJ11" s="833" t="s">
        <v>2705</v>
      </c>
    </row>
    <row r="12" spans="1:327" ht="48" hidden="1" customHeight="1">
      <c r="A12" s="273">
        <f t="shared" si="99"/>
        <v>5</v>
      </c>
      <c r="B12" s="274" t="s">
        <v>2600</v>
      </c>
      <c r="C12" s="274" t="s">
        <v>2678</v>
      </c>
      <c r="D12" s="274" t="s">
        <v>672</v>
      </c>
      <c r="E12" s="275" t="s">
        <v>2106</v>
      </c>
      <c r="F12" s="275" t="s">
        <v>300</v>
      </c>
      <c r="G12" s="275" t="s">
        <v>300</v>
      </c>
      <c r="H12" s="275" t="s">
        <v>2109</v>
      </c>
      <c r="I12" s="276" t="s">
        <v>2680</v>
      </c>
      <c r="J12" s="276" t="s">
        <v>2706</v>
      </c>
      <c r="K12" s="277" t="s">
        <v>2097</v>
      </c>
      <c r="L12" s="277" t="s">
        <v>2109</v>
      </c>
      <c r="M12" s="277" t="s">
        <v>2603</v>
      </c>
      <c r="N12" s="277" t="s">
        <v>2634</v>
      </c>
      <c r="O12" s="275" t="s">
        <v>2212</v>
      </c>
      <c r="P12" s="276"/>
      <c r="Q12" s="270">
        <v>1</v>
      </c>
      <c r="R12" s="278">
        <v>2200</v>
      </c>
      <c r="S12" s="279">
        <v>31100</v>
      </c>
      <c r="T12" s="279">
        <v>30950</v>
      </c>
      <c r="U12" s="279">
        <v>30800</v>
      </c>
      <c r="V12" s="279">
        <v>30720</v>
      </c>
      <c r="W12" s="279">
        <v>30710</v>
      </c>
      <c r="X12" s="279">
        <v>30700</v>
      </c>
      <c r="Y12" s="279">
        <v>30690</v>
      </c>
      <c r="Z12" s="279">
        <v>30680</v>
      </c>
      <c r="AA12" s="279">
        <v>30670</v>
      </c>
      <c r="AB12" s="279">
        <v>30660</v>
      </c>
      <c r="AC12" s="279">
        <v>30655</v>
      </c>
      <c r="AD12" s="279">
        <v>30650</v>
      </c>
      <c r="AE12" s="279">
        <v>30646</v>
      </c>
      <c r="AF12" s="279">
        <v>30580</v>
      </c>
      <c r="AG12" s="279">
        <v>30510</v>
      </c>
      <c r="AH12" s="279">
        <v>30440</v>
      </c>
      <c r="AI12" s="279">
        <v>30370</v>
      </c>
      <c r="AJ12" s="279">
        <v>30300</v>
      </c>
      <c r="AK12" s="279">
        <v>30230</v>
      </c>
      <c r="AL12" s="276" t="s">
        <v>2707</v>
      </c>
      <c r="AM12" s="276" t="s">
        <v>2708</v>
      </c>
      <c r="AN12" s="276" t="s">
        <v>2709</v>
      </c>
      <c r="AO12" s="657"/>
      <c r="AP12" s="278">
        <v>250</v>
      </c>
      <c r="AQ12" s="278">
        <v>225</v>
      </c>
      <c r="AR12" s="278">
        <v>20</v>
      </c>
      <c r="AS12" s="278">
        <v>5</v>
      </c>
      <c r="AT12" s="657"/>
      <c r="AU12" s="281" t="s">
        <v>2710</v>
      </c>
      <c r="AV12" s="296" t="s">
        <v>2711</v>
      </c>
      <c r="AW12" s="296" t="s">
        <v>2712</v>
      </c>
      <c r="AX12" s="276" t="s">
        <v>2687</v>
      </c>
      <c r="AY12" s="657"/>
      <c r="AZ12" s="947">
        <v>14</v>
      </c>
      <c r="BA12" s="947">
        <v>0.152</v>
      </c>
      <c r="BB12" s="947">
        <v>2</v>
      </c>
      <c r="BC12" s="947">
        <v>12</v>
      </c>
      <c r="BD12" s="824">
        <f t="shared" si="4"/>
        <v>860888.15999999992</v>
      </c>
      <c r="BE12" s="283">
        <f t="shared" si="5"/>
        <v>428120</v>
      </c>
      <c r="BF12" s="283">
        <f t="shared" si="6"/>
        <v>4648.16</v>
      </c>
      <c r="BG12" s="283">
        <f t="shared" si="7"/>
        <v>61160</v>
      </c>
      <c r="BH12" s="283">
        <f t="shared" si="8"/>
        <v>366960</v>
      </c>
      <c r="BI12" s="824">
        <f t="shared" si="9"/>
        <v>851034.96</v>
      </c>
      <c r="BJ12" s="283">
        <f t="shared" si="10"/>
        <v>423220</v>
      </c>
      <c r="BK12" s="283">
        <f t="shared" si="11"/>
        <v>4594.96</v>
      </c>
      <c r="BL12" s="283">
        <f t="shared" si="12"/>
        <v>60460</v>
      </c>
      <c r="BM12" s="283">
        <f t="shared" si="13"/>
        <v>362760</v>
      </c>
      <c r="BN12" s="657"/>
      <c r="BO12" s="305">
        <v>0.18</v>
      </c>
      <c r="BP12" s="305">
        <v>0.75</v>
      </c>
      <c r="BQ12" s="305">
        <v>0.03</v>
      </c>
      <c r="BR12" s="581">
        <v>0.04</v>
      </c>
      <c r="BS12" s="706">
        <v>0.16</v>
      </c>
      <c r="BT12" s="305">
        <v>0.76</v>
      </c>
      <c r="BU12" s="305">
        <v>0.05</v>
      </c>
      <c r="BV12" s="581">
        <v>0.03</v>
      </c>
      <c r="BW12" s="713">
        <v>0.75</v>
      </c>
      <c r="BX12" s="306">
        <v>0.2</v>
      </c>
      <c r="BY12" s="590">
        <v>0.05</v>
      </c>
      <c r="BZ12" s="713">
        <v>0.7</v>
      </c>
      <c r="CA12" s="306">
        <v>0.23</v>
      </c>
      <c r="CB12" s="590">
        <v>7.0000000000000007E-2</v>
      </c>
      <c r="CC12" s="706">
        <v>0.12</v>
      </c>
      <c r="CD12" s="305">
        <v>0.62</v>
      </c>
      <c r="CE12" s="305">
        <v>0.03</v>
      </c>
      <c r="CF12" s="581">
        <v>0.23</v>
      </c>
      <c r="CG12" s="706">
        <v>0.1</v>
      </c>
      <c r="CH12" s="305">
        <v>0.62</v>
      </c>
      <c r="CI12" s="305">
        <v>0.05</v>
      </c>
      <c r="CJ12" s="581">
        <v>0.23</v>
      </c>
      <c r="CK12" s="719">
        <v>0.65</v>
      </c>
      <c r="CL12" s="307">
        <v>0.35</v>
      </c>
      <c r="CM12" s="723"/>
      <c r="CN12" s="719">
        <v>0.55000000000000004</v>
      </c>
      <c r="CO12" s="307">
        <v>0.4</v>
      </c>
      <c r="CP12" s="723">
        <v>0.05</v>
      </c>
      <c r="CQ12" s="657"/>
      <c r="CR12" s="804">
        <v>12</v>
      </c>
      <c r="CS12" s="805">
        <v>13</v>
      </c>
      <c r="CT12" s="805">
        <v>9</v>
      </c>
      <c r="CU12" s="806">
        <v>11</v>
      </c>
      <c r="CV12" s="804">
        <v>12</v>
      </c>
      <c r="CW12" s="805">
        <v>12</v>
      </c>
      <c r="CX12" s="806">
        <v>9</v>
      </c>
      <c r="CY12" s="804">
        <v>10</v>
      </c>
      <c r="CZ12" s="805">
        <v>13</v>
      </c>
      <c r="DA12" s="805">
        <v>9</v>
      </c>
      <c r="DB12" s="806">
        <v>11</v>
      </c>
      <c r="DC12" s="804">
        <v>11</v>
      </c>
      <c r="DD12" s="805">
        <v>13</v>
      </c>
      <c r="DE12" s="806">
        <v>11</v>
      </c>
      <c r="DF12" s="609" t="s">
        <v>2713</v>
      </c>
      <c r="DG12" s="657"/>
      <c r="DH12" s="308">
        <f t="shared" si="14"/>
        <v>77061.599999999991</v>
      </c>
      <c r="DI12" s="308">
        <f t="shared" si="15"/>
        <v>321090</v>
      </c>
      <c r="DJ12" s="308">
        <f t="shared" si="16"/>
        <v>12843.6</v>
      </c>
      <c r="DK12" s="308">
        <f t="shared" si="17"/>
        <v>17124.8</v>
      </c>
      <c r="DL12" s="287" t="s">
        <v>2714</v>
      </c>
      <c r="DM12" s="308">
        <f t="shared" si="18"/>
        <v>67715.199999999997</v>
      </c>
      <c r="DN12" s="308">
        <f t="shared" si="19"/>
        <v>321647.2</v>
      </c>
      <c r="DO12" s="308">
        <f t="shared" si="20"/>
        <v>21161</v>
      </c>
      <c r="DP12" s="308">
        <f t="shared" si="21"/>
        <v>12696.6</v>
      </c>
      <c r="DQ12" s="289" t="s">
        <v>2689</v>
      </c>
      <c r="DR12" s="657"/>
      <c r="DS12" s="308">
        <f t="shared" si="22"/>
        <v>3486.12</v>
      </c>
      <c r="DT12" s="308">
        <f t="shared" si="23"/>
        <v>929.63200000000006</v>
      </c>
      <c r="DU12" s="308">
        <f t="shared" si="24"/>
        <v>232.40800000000002</v>
      </c>
      <c r="DV12" s="289" t="s">
        <v>2613</v>
      </c>
      <c r="DW12" s="308">
        <f t="shared" si="25"/>
        <v>3216.4719999999998</v>
      </c>
      <c r="DX12" s="308">
        <f t="shared" si="26"/>
        <v>1056.8407999999999</v>
      </c>
      <c r="DY12" s="308">
        <f t="shared" si="27"/>
        <v>321.64720000000005</v>
      </c>
      <c r="DZ12" s="289" t="s">
        <v>2613</v>
      </c>
      <c r="EA12" s="657"/>
      <c r="EB12" s="308">
        <f t="shared" si="28"/>
        <v>7339.2</v>
      </c>
      <c r="EC12" s="308">
        <f t="shared" si="29"/>
        <v>37919.199999999997</v>
      </c>
      <c r="ED12" s="308">
        <f t="shared" si="30"/>
        <v>1834.8</v>
      </c>
      <c r="EE12" s="308">
        <f t="shared" si="31"/>
        <v>14066.800000000001</v>
      </c>
      <c r="EF12" s="289" t="s">
        <v>2715</v>
      </c>
      <c r="EG12" s="308">
        <f t="shared" si="32"/>
        <v>6046</v>
      </c>
      <c r="EH12" s="308">
        <f t="shared" si="33"/>
        <v>37485.199999999997</v>
      </c>
      <c r="EI12" s="308">
        <f t="shared" si="34"/>
        <v>3023</v>
      </c>
      <c r="EJ12" s="308">
        <f t="shared" si="35"/>
        <v>13905.800000000001</v>
      </c>
      <c r="EK12" s="309" t="s">
        <v>2691</v>
      </c>
      <c r="EL12" s="657"/>
      <c r="EM12" s="308">
        <f t="shared" si="36"/>
        <v>238524</v>
      </c>
      <c r="EN12" s="310">
        <f t="shared" si="37"/>
        <v>128435.99999999999</v>
      </c>
      <c r="EO12" s="310">
        <f t="shared" si="38"/>
        <v>0</v>
      </c>
      <c r="EP12" s="289" t="s">
        <v>2716</v>
      </c>
      <c r="EQ12" s="308">
        <f t="shared" si="39"/>
        <v>199518.00000000003</v>
      </c>
      <c r="ER12" s="310">
        <f t="shared" si="40"/>
        <v>145104</v>
      </c>
      <c r="ES12" s="310">
        <f t="shared" si="41"/>
        <v>18138</v>
      </c>
      <c r="ET12" s="289" t="s">
        <v>2693</v>
      </c>
      <c r="EU12" s="657"/>
      <c r="EV12" s="728">
        <f t="shared" si="42"/>
        <v>0.742806723939894</v>
      </c>
      <c r="EW12" s="728">
        <f t="shared" si="43"/>
        <v>0.257193276060106</v>
      </c>
      <c r="EX12" s="311">
        <f t="shared" si="44"/>
        <v>243377.97267674882</v>
      </c>
      <c r="EY12" s="311">
        <f t="shared" si="45"/>
        <v>180782.79456314881</v>
      </c>
      <c r="EZ12" s="311">
        <f t="shared" si="46"/>
        <v>62595.178113599999</v>
      </c>
      <c r="FA12" s="311">
        <f t="shared" si="47"/>
        <v>121031.95572160001</v>
      </c>
      <c r="FB12" s="311">
        <f t="shared" si="48"/>
        <v>89903.350521600005</v>
      </c>
      <c r="FC12" s="311">
        <f t="shared" si="49"/>
        <v>31128.605199999998</v>
      </c>
      <c r="FD12" s="311">
        <f t="shared" si="50"/>
        <v>1314.0612335487999</v>
      </c>
      <c r="FE12" s="311">
        <f t="shared" si="51"/>
        <v>976.09351994880001</v>
      </c>
      <c r="FF12" s="311">
        <f t="shared" si="52"/>
        <v>337.96771359999997</v>
      </c>
      <c r="FG12" s="311">
        <f t="shared" si="53"/>
        <v>17290.279388800001</v>
      </c>
      <c r="FH12" s="311">
        <f t="shared" si="54"/>
        <v>12843.335788800001</v>
      </c>
      <c r="FI12" s="311">
        <f t="shared" si="55"/>
        <v>4446.9435999999996</v>
      </c>
      <c r="FJ12" s="311">
        <f t="shared" si="56"/>
        <v>103741.67633280001</v>
      </c>
      <c r="FK12" s="311">
        <f t="shared" si="57"/>
        <v>77060.014732800002</v>
      </c>
      <c r="FL12" s="311">
        <f t="shared" si="58"/>
        <v>26681.661599999999</v>
      </c>
      <c r="FM12" s="657"/>
      <c r="FN12" s="293" t="s">
        <v>2649</v>
      </c>
      <c r="FO12" s="728">
        <v>7.2709999999999997E-2</v>
      </c>
      <c r="FP12" s="729">
        <v>0.87280000000000002</v>
      </c>
      <c r="FQ12" s="294" t="s">
        <v>2694</v>
      </c>
      <c r="FR12" s="657"/>
      <c r="FS12" s="865">
        <v>3.23</v>
      </c>
      <c r="FT12" s="312">
        <f>RANK($FS12,$FS$8:$FS$154,0)+COUNTIF($FS$8:$FS12,$FS12)-1</f>
        <v>84</v>
      </c>
      <c r="FU12" s="865">
        <v>4.26</v>
      </c>
      <c r="FV12" s="312">
        <f>RANK($FU12,$FU$8:$FU$154,0)+COUNTIF($FU$8:$FU12,$FU12)-1</f>
        <v>35</v>
      </c>
      <c r="FW12" s="865">
        <v>1.97</v>
      </c>
      <c r="FX12" s="312">
        <f>RANK($FW12,$FW$8:$FW$154,0)+COUNTIF($FW$8:$FW12,$FW12)-1</f>
        <v>111</v>
      </c>
      <c r="FY12" s="657"/>
      <c r="FZ12" s="296" t="s">
        <v>2717</v>
      </c>
      <c r="GA12" s="296" t="s">
        <v>2696</v>
      </c>
      <c r="GB12" s="296" t="s">
        <v>2697</v>
      </c>
      <c r="GC12" s="296" t="s">
        <v>2698</v>
      </c>
      <c r="GD12" s="296" t="s">
        <v>2699</v>
      </c>
      <c r="GE12" s="296" t="s">
        <v>2700</v>
      </c>
      <c r="GF12" s="296" t="str">
        <f>HYPERLINK("https://www.banquedesterritoires.fr/plan-renovation-energetique-batiments-publics","https://www.banquedesterritoires.fr/plan-renovation-energetique-batiments-publics")&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https://www.banquedesterritoires.fr/plan-renovation-energetique-batiments-publics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2" s="657"/>
      <c r="GH12" s="311">
        <f t="shared" si="59"/>
        <v>21163.179925887998</v>
      </c>
      <c r="GI12" s="311">
        <f>IFERROR($BE12*$FP12*0.2406*$BO12,0)</f>
        <v>16182.603093887999</v>
      </c>
      <c r="GJ12" s="311">
        <f t="shared" si="60"/>
        <v>4980.5768319999997</v>
      </c>
      <c r="GK12" s="311">
        <f t="shared" si="61"/>
        <v>91085.252843200011</v>
      </c>
      <c r="GL12" s="311">
        <f>IFERROR($BE12*$FP12*0.2406*$BP12,0)</f>
        <v>67427.512891200007</v>
      </c>
      <c r="GM12" s="311">
        <f t="shared" si="62"/>
        <v>23657.739952</v>
      </c>
      <c r="GN12" s="311">
        <f t="shared" si="63"/>
        <v>4253.5307756479997</v>
      </c>
      <c r="GO12" s="311">
        <f>IFERROR($BE12*$FP12*0.2406*$BQ12,0)</f>
        <v>2697.1005156480001</v>
      </c>
      <c r="GP12" s="311">
        <f t="shared" si="64"/>
        <v>1556.4302600000001</v>
      </c>
      <c r="GQ12" s="311">
        <f t="shared" si="65"/>
        <v>4529.9921768640006</v>
      </c>
      <c r="GR12" s="311">
        <f>IFERROR($BE12*$FP12*0.2406*$BR12,0)</f>
        <v>3596.1340208640004</v>
      </c>
      <c r="GS12" s="311">
        <f t="shared" si="66"/>
        <v>933.85815599999989</v>
      </c>
      <c r="GT12" s="311">
        <f t="shared" si="67"/>
        <v>968.64753948160001</v>
      </c>
      <c r="GU12" s="311">
        <f>IFERROR($BF12*$FP12*0.2406*$BW12,0)</f>
        <v>732.07013996160003</v>
      </c>
      <c r="GV12" s="311">
        <f t="shared" si="68"/>
        <v>236.57739951999997</v>
      </c>
      <c r="GW12" s="311">
        <f t="shared" si="69"/>
        <v>272.95127811776001</v>
      </c>
      <c r="GX12" s="311">
        <f>IFERROR($BF12*$FP12*0.2406*$BX12,0)</f>
        <v>195.21870398976</v>
      </c>
      <c r="GY12" s="311">
        <f t="shared" si="70"/>
        <v>77.732574127999996</v>
      </c>
      <c r="GZ12" s="311">
        <f t="shared" si="71"/>
        <v>72.46241594944</v>
      </c>
      <c r="HA12" s="311">
        <f>IFERROR($BF12*$FP12*0.2406*$BY12,0)</f>
        <v>48.80467599744</v>
      </c>
      <c r="HB12" s="311">
        <f t="shared" si="72"/>
        <v>23.657739952</v>
      </c>
      <c r="HC12" s="311">
        <f t="shared" si="73"/>
        <v>1985.8946546560001</v>
      </c>
      <c r="HD12" s="311">
        <f>IFERROR($BG12*$FP12*0.2406*$CC12,0)</f>
        <v>1541.2002946560001</v>
      </c>
      <c r="HE12" s="311">
        <f t="shared" si="74"/>
        <v>444.69435999999996</v>
      </c>
      <c r="HF12" s="311">
        <f t="shared" si="75"/>
        <v>10719.973221056</v>
      </c>
      <c r="HG12" s="311">
        <f>IFERROR($BG12*$FP12*0.2406*$CD12,0)</f>
        <v>7962.8681890560001</v>
      </c>
      <c r="HH12" s="311">
        <f t="shared" si="76"/>
        <v>2757.1050319999999</v>
      </c>
      <c r="HI12" s="311">
        <f t="shared" si="77"/>
        <v>607.647253664</v>
      </c>
      <c r="HJ12" s="311">
        <f>IFERROR($BG12*$FP12*0.2406*$CE12,0)</f>
        <v>385.30007366400002</v>
      </c>
      <c r="HK12" s="311">
        <f t="shared" si="78"/>
        <v>222.34717999999998</v>
      </c>
      <c r="HL12" s="311">
        <f t="shared" si="79"/>
        <v>3976.7642594240001</v>
      </c>
      <c r="HM12" s="311">
        <f>IFERROR($BG12*$FP12*0.2406*$CF12,0)</f>
        <v>2953.9672314240001</v>
      </c>
      <c r="HN12" s="311">
        <f t="shared" si="80"/>
        <v>1022.797028</v>
      </c>
      <c r="HO12" s="311">
        <f t="shared" si="81"/>
        <v>64763.923456320001</v>
      </c>
      <c r="HP12" s="311">
        <f>IFERROR($BH12*$FP12*0.2406*$CK12,0)</f>
        <v>50089.009576320001</v>
      </c>
      <c r="HQ12" s="311">
        <f t="shared" si="82"/>
        <v>14674.91388</v>
      </c>
      <c r="HR12" s="311">
        <f t="shared" si="83"/>
        <v>37643.669796479997</v>
      </c>
      <c r="HS12" s="311">
        <f>IFERROR($BH12*$FP12*0.2406*$CL12,0)</f>
        <v>26971.005156479998</v>
      </c>
      <c r="HT12" s="311">
        <f t="shared" si="84"/>
        <v>10672.664640000001</v>
      </c>
      <c r="HU12" s="311">
        <f t="shared" si="85"/>
        <v>1334.0830800000001</v>
      </c>
      <c r="HV12" s="311">
        <f>IFERROR($BH12*$FP12*0.2406*$CM12,0)</f>
        <v>0</v>
      </c>
      <c r="HW12" s="311">
        <f t="shared" si="86"/>
        <v>1334.0830800000001</v>
      </c>
      <c r="HY12" s="313">
        <f t="shared" si="87"/>
        <v>860888.16</v>
      </c>
      <c r="HZ12" s="313">
        <f t="shared" si="88"/>
        <v>88839.915120000005</v>
      </c>
      <c r="IA12" s="313">
        <f t="shared" si="89"/>
        <v>466059.89654400002</v>
      </c>
      <c r="IB12" s="313">
        <f t="shared" si="90"/>
        <v>285507.332176</v>
      </c>
      <c r="IC12" s="313">
        <f t="shared" si="91"/>
        <v>20314.954527999998</v>
      </c>
      <c r="ID12" s="313">
        <f t="shared" si="92"/>
        <v>166.06163200000003</v>
      </c>
      <c r="IE12" s="313">
        <f t="shared" si="93"/>
        <v>180782.79456314884</v>
      </c>
      <c r="IF12" s="313">
        <f t="shared" si="94"/>
        <v>6976.6849445115186</v>
      </c>
      <c r="IG12" s="313">
        <f t="shared" si="95"/>
        <v>72627.137385295689</v>
      </c>
      <c r="IH12" s="313">
        <f t="shared" si="96"/>
        <v>88437.309427980072</v>
      </c>
      <c r="II12" s="313">
        <f t="shared" si="97"/>
        <v>12533.616177585931</v>
      </c>
      <c r="IJ12" s="313">
        <f t="shared" si="98"/>
        <v>208.04662777561344</v>
      </c>
      <c r="IK12" s="866">
        <v>4.4000000000000004</v>
      </c>
      <c r="IL12" s="314" t="s">
        <v>2701</v>
      </c>
      <c r="IM12" s="299" t="s">
        <v>2702</v>
      </c>
      <c r="IN12" s="657"/>
      <c r="IO12" s="730">
        <v>9.4500000000000001E-2</v>
      </c>
      <c r="IP12" s="730">
        <v>0.53339999999999999</v>
      </c>
      <c r="IQ12" s="730">
        <v>0.34610000000000002</v>
      </c>
      <c r="IR12" s="730">
        <v>2.58E-2</v>
      </c>
      <c r="IS12" s="730">
        <v>2.0000000000000001E-4</v>
      </c>
      <c r="IT12" s="730">
        <v>3.44E-2</v>
      </c>
      <c r="IU12" s="730">
        <v>0.38750000000000001</v>
      </c>
      <c r="IV12" s="730">
        <v>0.502</v>
      </c>
      <c r="IW12" s="730">
        <v>7.4800000000000005E-2</v>
      </c>
      <c r="IX12" s="730">
        <v>1.2999999999999999E-3</v>
      </c>
      <c r="IY12" s="730">
        <v>9.4500000000000001E-2</v>
      </c>
      <c r="IZ12" s="730">
        <v>0.53339999999999999</v>
      </c>
      <c r="JA12" s="730">
        <v>0.34610000000000002</v>
      </c>
      <c r="JB12" s="730">
        <v>2.58E-2</v>
      </c>
      <c r="JC12" s="730">
        <v>2.0000000000000001E-4</v>
      </c>
      <c r="JD12" s="730">
        <v>3.44E-2</v>
      </c>
      <c r="JE12" s="730">
        <v>0.38750000000000001</v>
      </c>
      <c r="JF12" s="730">
        <v>0.502</v>
      </c>
      <c r="JG12" s="730">
        <v>7.4800000000000005E-2</v>
      </c>
      <c r="JH12" s="831">
        <v>1.2999999999999999E-3</v>
      </c>
      <c r="JI12" s="831">
        <v>0.1671</v>
      </c>
      <c r="JJ12" s="831">
        <v>0.58560000000000001</v>
      </c>
      <c r="JK12" s="831">
        <v>0.23619999999999999</v>
      </c>
      <c r="JL12" s="831">
        <v>1.0999999999999999E-2</v>
      </c>
      <c r="JM12" s="831">
        <v>1E-4</v>
      </c>
      <c r="JN12" s="831">
        <v>7.0599999999999996E-2</v>
      </c>
      <c r="JO12" s="831">
        <v>0.49430000000000002</v>
      </c>
      <c r="JP12" s="831">
        <v>0.39789999999999998</v>
      </c>
      <c r="JQ12" s="831">
        <v>3.6799999999999999E-2</v>
      </c>
      <c r="JR12" s="831">
        <v>4.0000000000000002E-4</v>
      </c>
      <c r="JS12" s="831">
        <v>0.1028</v>
      </c>
      <c r="JT12" s="730">
        <v>0.54339999999999999</v>
      </c>
      <c r="JU12" s="730">
        <v>0.33050000000000002</v>
      </c>
      <c r="JV12" s="730">
        <v>2.3099999999999999E-2</v>
      </c>
      <c r="JW12" s="730">
        <v>2.0000000000000001E-4</v>
      </c>
      <c r="JX12" s="730">
        <v>3.8199999999999998E-2</v>
      </c>
      <c r="JY12" s="730">
        <v>0.40310000000000001</v>
      </c>
      <c r="JZ12" s="730">
        <v>0.48930000000000001</v>
      </c>
      <c r="KA12" s="730">
        <v>6.83E-2</v>
      </c>
      <c r="KB12" s="730">
        <v>1.1000000000000001E-3</v>
      </c>
      <c r="KC12" s="657"/>
      <c r="KD12" s="314" t="s">
        <v>2718</v>
      </c>
      <c r="KE12" s="314" t="s">
        <v>2718</v>
      </c>
      <c r="KF12" s="866">
        <v>4.55</v>
      </c>
      <c r="KG12" s="314" t="s">
        <v>2719</v>
      </c>
      <c r="KH12" s="315" t="s">
        <v>2703</v>
      </c>
      <c r="KI12" s="314" t="s">
        <v>2720</v>
      </c>
      <c r="KJ12" s="315" t="s">
        <v>2721</v>
      </c>
    </row>
    <row r="13" spans="1:327" ht="48" hidden="1" customHeight="1">
      <c r="A13" s="265">
        <f t="shared" si="99"/>
        <v>6</v>
      </c>
      <c r="B13" s="266" t="s">
        <v>2600</v>
      </c>
      <c r="C13" s="266" t="s">
        <v>2678</v>
      </c>
      <c r="D13" s="624" t="s">
        <v>2722</v>
      </c>
      <c r="E13" s="267" t="s">
        <v>2106</v>
      </c>
      <c r="F13" s="267" t="s">
        <v>300</v>
      </c>
      <c r="G13" s="267" t="s">
        <v>300</v>
      </c>
      <c r="H13" s="267" t="s">
        <v>2109</v>
      </c>
      <c r="I13" s="268" t="s">
        <v>2723</v>
      </c>
      <c r="J13" s="268" t="s">
        <v>2724</v>
      </c>
      <c r="K13" s="269" t="s">
        <v>2097</v>
      </c>
      <c r="L13" s="269" t="s">
        <v>2109</v>
      </c>
      <c r="M13" s="269" t="s">
        <v>2603</v>
      </c>
      <c r="N13" s="269" t="s">
        <v>2725</v>
      </c>
      <c r="O13" s="267" t="s">
        <v>2212</v>
      </c>
      <c r="P13" s="268"/>
      <c r="Q13" s="270">
        <v>1</v>
      </c>
      <c r="R13" s="271">
        <v>5500</v>
      </c>
      <c r="S13" s="272">
        <v>7700</v>
      </c>
      <c r="T13" s="272">
        <v>7660</v>
      </c>
      <c r="U13" s="272">
        <v>7618</v>
      </c>
      <c r="V13" s="272">
        <v>7560</v>
      </c>
      <c r="W13" s="272">
        <v>7550</v>
      </c>
      <c r="X13" s="272">
        <v>7540</v>
      </c>
      <c r="Y13" s="272">
        <v>7530</v>
      </c>
      <c r="Z13" s="272">
        <v>7525</v>
      </c>
      <c r="AA13" s="272">
        <v>7520</v>
      </c>
      <c r="AB13" s="272">
        <v>7518</v>
      </c>
      <c r="AC13" s="272">
        <v>7515</v>
      </c>
      <c r="AD13" s="272">
        <v>7512</v>
      </c>
      <c r="AE13" s="272">
        <v>7509</v>
      </c>
      <c r="AF13" s="272">
        <v>7509</v>
      </c>
      <c r="AG13" s="272">
        <v>7508</v>
      </c>
      <c r="AH13" s="272">
        <v>7505</v>
      </c>
      <c r="AI13" s="272">
        <v>7502</v>
      </c>
      <c r="AJ13" s="272">
        <v>7498</v>
      </c>
      <c r="AK13" s="272">
        <v>7495</v>
      </c>
      <c r="AL13" s="268" t="s">
        <v>2726</v>
      </c>
      <c r="AM13" s="268" t="s">
        <v>2727</v>
      </c>
      <c r="AN13" s="268" t="s">
        <v>2403</v>
      </c>
      <c r="AO13" s="657"/>
      <c r="AP13" s="271">
        <v>480</v>
      </c>
      <c r="AQ13" s="280">
        <v>432</v>
      </c>
      <c r="AR13" s="280">
        <v>38</v>
      </c>
      <c r="AS13" s="280">
        <v>10</v>
      </c>
      <c r="AT13" s="657"/>
      <c r="AU13" s="301" t="s">
        <v>2728</v>
      </c>
      <c r="AV13" s="572" t="s">
        <v>2729</v>
      </c>
      <c r="AW13" s="645" t="s">
        <v>2730</v>
      </c>
      <c r="AX13" s="290" t="s">
        <v>2687</v>
      </c>
      <c r="AY13" s="657"/>
      <c r="AZ13" s="948">
        <v>26</v>
      </c>
      <c r="BA13" s="948">
        <v>7.5</v>
      </c>
      <c r="BB13" s="948">
        <v>10</v>
      </c>
      <c r="BC13" s="948">
        <v>20</v>
      </c>
      <c r="BD13" s="825">
        <f t="shared" si="4"/>
        <v>476821.5</v>
      </c>
      <c r="BE13" s="304">
        <f t="shared" si="5"/>
        <v>195234</v>
      </c>
      <c r="BF13" s="304">
        <f t="shared" si="6"/>
        <v>56317.5</v>
      </c>
      <c r="BG13" s="304">
        <f t="shared" si="7"/>
        <v>75090</v>
      </c>
      <c r="BH13" s="304">
        <f t="shared" si="8"/>
        <v>150180</v>
      </c>
      <c r="BI13" s="825">
        <f t="shared" si="9"/>
        <v>475932.5</v>
      </c>
      <c r="BJ13" s="304">
        <f t="shared" si="10"/>
        <v>194870</v>
      </c>
      <c r="BK13" s="304">
        <f t="shared" si="11"/>
        <v>56212.5</v>
      </c>
      <c r="BL13" s="304">
        <f t="shared" si="12"/>
        <v>74950</v>
      </c>
      <c r="BM13" s="304">
        <f t="shared" si="13"/>
        <v>149900</v>
      </c>
      <c r="BN13" s="657"/>
      <c r="BO13" s="284">
        <v>0.12</v>
      </c>
      <c r="BP13" s="284">
        <v>0.78</v>
      </c>
      <c r="BQ13" s="284">
        <v>0.06</v>
      </c>
      <c r="BR13" s="710">
        <v>0.04</v>
      </c>
      <c r="BS13" s="707">
        <v>0.1</v>
      </c>
      <c r="BT13" s="284">
        <v>0.79</v>
      </c>
      <c r="BU13" s="284">
        <v>0.08</v>
      </c>
      <c r="BV13" s="710">
        <v>0.03</v>
      </c>
      <c r="BW13" s="714">
        <v>0.25</v>
      </c>
      <c r="BX13" s="285">
        <v>0.65</v>
      </c>
      <c r="BY13" s="717">
        <v>0.1</v>
      </c>
      <c r="BZ13" s="714">
        <v>0.2</v>
      </c>
      <c r="CA13" s="285">
        <v>0.68</v>
      </c>
      <c r="CB13" s="717">
        <v>0.12</v>
      </c>
      <c r="CC13" s="284">
        <v>0.05</v>
      </c>
      <c r="CD13" s="284">
        <v>0.65</v>
      </c>
      <c r="CE13" s="284">
        <v>0.08</v>
      </c>
      <c r="CF13" s="710">
        <v>0.22</v>
      </c>
      <c r="CG13" s="707">
        <v>0.04</v>
      </c>
      <c r="CH13" s="284">
        <v>0.65</v>
      </c>
      <c r="CI13" s="284">
        <v>0.1</v>
      </c>
      <c r="CJ13" s="710">
        <v>0.21</v>
      </c>
      <c r="CK13" s="720">
        <v>0.5</v>
      </c>
      <c r="CL13" s="286">
        <v>0.45</v>
      </c>
      <c r="CM13" s="718">
        <v>0.05</v>
      </c>
      <c r="CN13" s="720">
        <v>0.4</v>
      </c>
      <c r="CO13" s="286">
        <v>0.5</v>
      </c>
      <c r="CP13" s="718">
        <v>0.1</v>
      </c>
      <c r="CQ13" s="657"/>
      <c r="CR13" s="807">
        <v>12</v>
      </c>
      <c r="CS13" s="808">
        <v>13</v>
      </c>
      <c r="CT13" s="808">
        <v>9</v>
      </c>
      <c r="CU13" s="809">
        <v>11</v>
      </c>
      <c r="CV13" s="807">
        <v>10</v>
      </c>
      <c r="CW13" s="808">
        <v>10</v>
      </c>
      <c r="CX13" s="809">
        <v>8</v>
      </c>
      <c r="CY13" s="807">
        <v>10</v>
      </c>
      <c r="CZ13" s="808">
        <v>13</v>
      </c>
      <c r="DA13" s="808">
        <v>9</v>
      </c>
      <c r="DB13" s="809">
        <v>11</v>
      </c>
      <c r="DC13" s="807">
        <v>11</v>
      </c>
      <c r="DD13" s="808">
        <v>13</v>
      </c>
      <c r="DE13" s="809">
        <v>10</v>
      </c>
      <c r="DF13" s="610" t="s">
        <v>2713</v>
      </c>
      <c r="DG13" s="657"/>
      <c r="DH13" s="288">
        <f t="shared" si="14"/>
        <v>23428.079999999998</v>
      </c>
      <c r="DI13" s="288">
        <f t="shared" si="15"/>
        <v>152282.52000000002</v>
      </c>
      <c r="DJ13" s="288">
        <f t="shared" si="16"/>
        <v>11714.039999999999</v>
      </c>
      <c r="DK13" s="288">
        <f t="shared" si="17"/>
        <v>7809.3600000000006</v>
      </c>
      <c r="DL13" s="560" t="s">
        <v>2731</v>
      </c>
      <c r="DM13" s="288">
        <f t="shared" si="18"/>
        <v>19487</v>
      </c>
      <c r="DN13" s="288">
        <f t="shared" si="19"/>
        <v>153947.30000000002</v>
      </c>
      <c r="DO13" s="288">
        <f t="shared" si="20"/>
        <v>15589.6</v>
      </c>
      <c r="DP13" s="288">
        <f t="shared" si="21"/>
        <v>5846.0999999999995</v>
      </c>
      <c r="DQ13" s="561" t="s">
        <v>2689</v>
      </c>
      <c r="DR13" s="657"/>
      <c r="DS13" s="288">
        <f t="shared" si="22"/>
        <v>14079.375</v>
      </c>
      <c r="DT13" s="288">
        <f t="shared" si="23"/>
        <v>36606.375</v>
      </c>
      <c r="DU13" s="288">
        <f t="shared" si="24"/>
        <v>5631.75</v>
      </c>
      <c r="DV13" s="561" t="s">
        <v>2613</v>
      </c>
      <c r="DW13" s="288">
        <f t="shared" si="25"/>
        <v>11242.5</v>
      </c>
      <c r="DX13" s="288">
        <f t="shared" si="26"/>
        <v>38224.5</v>
      </c>
      <c r="DY13" s="288">
        <f t="shared" si="27"/>
        <v>6745.5</v>
      </c>
      <c r="DZ13" s="561" t="s">
        <v>2613</v>
      </c>
      <c r="EA13" s="657"/>
      <c r="EB13" s="288">
        <f t="shared" si="28"/>
        <v>3754.5</v>
      </c>
      <c r="EC13" s="288">
        <f t="shared" si="29"/>
        <v>48808.5</v>
      </c>
      <c r="ED13" s="288">
        <f t="shared" si="30"/>
        <v>6007.2</v>
      </c>
      <c r="EE13" s="288">
        <f t="shared" si="31"/>
        <v>16519.8</v>
      </c>
      <c r="EF13" s="561" t="s">
        <v>2732</v>
      </c>
      <c r="EG13" s="288">
        <f t="shared" si="32"/>
        <v>2998</v>
      </c>
      <c r="EH13" s="288">
        <f t="shared" si="33"/>
        <v>48717.5</v>
      </c>
      <c r="EI13" s="288">
        <f t="shared" si="34"/>
        <v>7495</v>
      </c>
      <c r="EJ13" s="288">
        <f t="shared" si="35"/>
        <v>15739.5</v>
      </c>
      <c r="EK13" s="561" t="s">
        <v>2691</v>
      </c>
      <c r="EL13" s="657"/>
      <c r="EM13" s="288">
        <f t="shared" si="36"/>
        <v>75090</v>
      </c>
      <c r="EN13" s="291">
        <f t="shared" si="37"/>
        <v>67581</v>
      </c>
      <c r="EO13" s="291">
        <f t="shared" si="38"/>
        <v>7509</v>
      </c>
      <c r="EP13" s="561" t="s">
        <v>2733</v>
      </c>
      <c r="EQ13" s="288">
        <f t="shared" si="39"/>
        <v>59960</v>
      </c>
      <c r="ER13" s="291">
        <f t="shared" si="40"/>
        <v>74950</v>
      </c>
      <c r="ES13" s="291">
        <f t="shared" si="41"/>
        <v>14990</v>
      </c>
      <c r="ET13" s="561" t="s">
        <v>2693</v>
      </c>
      <c r="EU13" s="657"/>
      <c r="EV13" s="740">
        <f t="shared" si="42"/>
        <v>0.73315233849544237</v>
      </c>
      <c r="EW13" s="740">
        <f t="shared" si="43"/>
        <v>0.26684766150455769</v>
      </c>
      <c r="EX13" s="563">
        <f t="shared" si="44"/>
        <v>143110.243948485</v>
      </c>
      <c r="EY13" s="563">
        <f t="shared" si="45"/>
        <v>104921.61001348501</v>
      </c>
      <c r="EZ13" s="563">
        <f t="shared" si="46"/>
        <v>38188.633934999998</v>
      </c>
      <c r="FA13" s="563">
        <f t="shared" si="47"/>
        <v>58596.32035686</v>
      </c>
      <c r="FB13" s="563">
        <f t="shared" si="48"/>
        <v>42960.029296860004</v>
      </c>
      <c r="FC13" s="563">
        <f t="shared" si="49"/>
        <v>15636.29106</v>
      </c>
      <c r="FD13" s="563">
        <f t="shared" si="50"/>
        <v>16902.784718325001</v>
      </c>
      <c r="FE13" s="563">
        <f t="shared" si="51"/>
        <v>12392.316143325001</v>
      </c>
      <c r="FF13" s="563">
        <f t="shared" si="52"/>
        <v>4510.4685749999999</v>
      </c>
      <c r="FG13" s="563">
        <f t="shared" si="53"/>
        <v>22537.046291100003</v>
      </c>
      <c r="FH13" s="563">
        <f t="shared" si="54"/>
        <v>16523.088191100003</v>
      </c>
      <c r="FI13" s="563">
        <f t="shared" si="55"/>
        <v>6013.9580999999998</v>
      </c>
      <c r="FJ13" s="563">
        <f t="shared" si="56"/>
        <v>45074.092582199999</v>
      </c>
      <c r="FK13" s="563">
        <f t="shared" si="57"/>
        <v>33046.176382199999</v>
      </c>
      <c r="FL13" s="563">
        <f t="shared" si="58"/>
        <v>12027.9162</v>
      </c>
      <c r="FM13" s="529"/>
      <c r="FN13" s="564" t="s">
        <v>2649</v>
      </c>
      <c r="FO13" s="740">
        <v>8.0089999999999995E-2</v>
      </c>
      <c r="FP13" s="741">
        <v>0.88371</v>
      </c>
      <c r="FQ13" s="565" t="s">
        <v>2734</v>
      </c>
      <c r="FR13" s="529"/>
      <c r="FS13" s="867">
        <v>3.21</v>
      </c>
      <c r="FT13" s="566">
        <f>RANK($FS13,$FS$8:$FS$154,0)+COUNTIF($FS$8:$FS13,$FS13)-1</f>
        <v>87</v>
      </c>
      <c r="FU13" s="867">
        <v>3.98</v>
      </c>
      <c r="FV13" s="566">
        <f>RANK($FU13,$FU$8:$FU$154,0)+COUNTIF($FU$8:$FU13,$FU13)-1</f>
        <v>84</v>
      </c>
      <c r="FW13" s="867">
        <v>2.2599999999999998</v>
      </c>
      <c r="FX13" s="566">
        <f>RANK($FW13,$FW$8:$FW$154,0)+COUNTIF($FW$8:$FW13,$FW13)-1</f>
        <v>64</v>
      </c>
      <c r="FY13" s="529"/>
      <c r="FZ13" s="567" t="s">
        <v>2735</v>
      </c>
      <c r="GA13" s="567" t="s">
        <v>2736</v>
      </c>
      <c r="GB13" s="567" t="s">
        <v>2737</v>
      </c>
      <c r="GC13" s="567" t="s">
        <v>2738</v>
      </c>
      <c r="GD13" s="567" t="s">
        <v>2739</v>
      </c>
      <c r="GE13" s="567" t="s">
        <v>2740</v>
      </c>
      <c r="GF13" s="567" t="str">
        <f>HYPERLINK("https://www.banquedesterritoires.fr/plan-renovation-energetique-batiments-publics","https://www.banquedesterritoires.fr/plan-renovation-energetique-batiments-publics")&amp;CHAR(10)&amp;HYPERLINK("https://www.ecologie.gouv.fr/eco-energie-tertiaire-eet","https://www.ecologie.gouv.fr/eco-energie-tertiaire-eet")&amp;CHAR(10)&amp;HYPERLINK("https://www.agencedusport.fr/plan-5000-equipements-generation-2024","https://www.agencedusport.fr/plan-5000-equipements-generation-2024")&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https://www.banquedesterritoires.fr/plan-renovation-energetique-batiments-publics
https://www.ecologie.gouv.fr/eco-energie-tertiaire-eet
https://www.agencedusport.fr/plan-5000-equipements-generation-2024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3" s="529"/>
      <c r="GH13" s="563">
        <f t="shared" si="59"/>
        <v>6718.8326216231999</v>
      </c>
      <c r="GI13" s="563">
        <f>IFERROR($BE13*$FP13*0.249*$BO13,0)</f>
        <v>5155.2035156231996</v>
      </c>
      <c r="GJ13" s="563">
        <f t="shared" si="60"/>
        <v>1563.6291060000001</v>
      </c>
      <c r="GK13" s="563">
        <f t="shared" si="61"/>
        <v>45861.492788950804</v>
      </c>
      <c r="GL13" s="563">
        <f>IFERROR($BE13*$FP13*0.249*$BP13,0)</f>
        <v>33508.822851550802</v>
      </c>
      <c r="GM13" s="563">
        <f t="shared" si="62"/>
        <v>12352.6699374</v>
      </c>
      <c r="GN13" s="563">
        <f t="shared" si="63"/>
        <v>3828.5050426115995</v>
      </c>
      <c r="GO13" s="563">
        <f>IFERROR($BE13*$FP13*0.249*$BQ13,0)</f>
        <v>2577.6017578115998</v>
      </c>
      <c r="GP13" s="563">
        <f t="shared" si="64"/>
        <v>1250.9032847999999</v>
      </c>
      <c r="GQ13" s="563">
        <f t="shared" si="65"/>
        <v>2187.4899036744</v>
      </c>
      <c r="GR13" s="563">
        <f>IFERROR($BE13*$FP13*0.249*$BR13,0)</f>
        <v>1718.4011718744</v>
      </c>
      <c r="GS13" s="563">
        <f t="shared" si="66"/>
        <v>469.08873179999995</v>
      </c>
      <c r="GT13" s="563">
        <f t="shared" si="67"/>
        <v>4000.1727508312501</v>
      </c>
      <c r="GU13" s="563">
        <f>IFERROR($BF13*$FP13*0.249*$BW13,0)</f>
        <v>3098.0790358312502</v>
      </c>
      <c r="GV13" s="563">
        <f t="shared" si="68"/>
        <v>902.09371499999997</v>
      </c>
      <c r="GW13" s="563">
        <f t="shared" si="69"/>
        <v>11122.124124161252</v>
      </c>
      <c r="GX13" s="563">
        <f>IFERROR($BF13*$FP13*0.249*$BX13,0)</f>
        <v>8055.0054931612503</v>
      </c>
      <c r="GY13" s="563">
        <f t="shared" si="70"/>
        <v>3067.1186310000003</v>
      </c>
      <c r="GZ13" s="563">
        <f t="shared" si="71"/>
        <v>1780.4878433325002</v>
      </c>
      <c r="HA13" s="563">
        <f>IFERROR($BF13*$FP13*0.249*$BY13,0)</f>
        <v>1239.2316143325002</v>
      </c>
      <c r="HB13" s="563">
        <f t="shared" si="72"/>
        <v>541.25622899999996</v>
      </c>
      <c r="HC13" s="563">
        <f t="shared" si="73"/>
        <v>1066.7127335550001</v>
      </c>
      <c r="HD13" s="563">
        <f>IFERROR($BG13*$FP13*0.249*$CC13,0)</f>
        <v>826.15440955500003</v>
      </c>
      <c r="HE13" s="563">
        <f t="shared" si="74"/>
        <v>240.558324</v>
      </c>
      <c r="HF13" s="563">
        <f t="shared" si="75"/>
        <v>14649.080089215</v>
      </c>
      <c r="HG13" s="563">
        <f>IFERROR($BG13*$FP13*0.249*$CD13,0)</f>
        <v>10740.007324215001</v>
      </c>
      <c r="HH13" s="563">
        <f t="shared" si="76"/>
        <v>3909.0727649999999</v>
      </c>
      <c r="HI13" s="563">
        <f t="shared" si="77"/>
        <v>1923.2428652880001</v>
      </c>
      <c r="HJ13" s="563">
        <f>IFERROR($BG13*$FP13*0.249*$CE13,0)</f>
        <v>1321.8470552880001</v>
      </c>
      <c r="HK13" s="563">
        <f t="shared" si="78"/>
        <v>601.39580999999998</v>
      </c>
      <c r="HL13" s="563">
        <f t="shared" si="79"/>
        <v>4898.0106030419993</v>
      </c>
      <c r="HM13" s="563">
        <f>IFERROR($BG13*$FP13*0.249*$CF13,0)</f>
        <v>3635.0794020419999</v>
      </c>
      <c r="HN13" s="563">
        <f t="shared" si="80"/>
        <v>1262.9312009999999</v>
      </c>
      <c r="HO13" s="563">
        <f t="shared" si="81"/>
        <v>21334.2546711</v>
      </c>
      <c r="HP13" s="563">
        <f>IFERROR($BH13*$FP13*0.249*$CK13,0)</f>
        <v>16523.0881911</v>
      </c>
      <c r="HQ13" s="563">
        <f t="shared" si="82"/>
        <v>4811.1664799999999</v>
      </c>
      <c r="HR13" s="563">
        <f t="shared" si="83"/>
        <v>20884.73747199</v>
      </c>
      <c r="HS13" s="563">
        <f>IFERROR($BH13*$FP13*0.249*$CL13,0)</f>
        <v>14870.77937199</v>
      </c>
      <c r="HT13" s="563">
        <f t="shared" si="84"/>
        <v>6013.9580999999998</v>
      </c>
      <c r="HU13" s="563">
        <f t="shared" si="85"/>
        <v>2855.10043911</v>
      </c>
      <c r="HV13" s="563">
        <f>IFERROR($BH13*$FP13*0.249*$CM13,0)</f>
        <v>1652.3088191100001</v>
      </c>
      <c r="HW13" s="563">
        <f t="shared" si="86"/>
        <v>1202.79162</v>
      </c>
      <c r="HX13" s="544"/>
      <c r="HY13" s="568">
        <f t="shared" si="87"/>
        <v>476821.49999999994</v>
      </c>
      <c r="HZ13" s="568">
        <f t="shared" si="88"/>
        <v>59074.053899999999</v>
      </c>
      <c r="IA13" s="568">
        <f t="shared" si="89"/>
        <v>266448.98054999998</v>
      </c>
      <c r="IB13" s="568">
        <f t="shared" si="90"/>
        <v>142313.19614999997</v>
      </c>
      <c r="IC13" s="568">
        <f t="shared" si="91"/>
        <v>8919.9411</v>
      </c>
      <c r="ID13" s="568">
        <f t="shared" si="92"/>
        <v>65.328300000000013</v>
      </c>
      <c r="IE13" s="568">
        <f t="shared" si="93"/>
        <v>104921.61001348501</v>
      </c>
      <c r="IF13" s="568">
        <f t="shared" si="94"/>
        <v>5008.148030722411</v>
      </c>
      <c r="IG13" s="568">
        <f t="shared" si="95"/>
        <v>45224.270687127391</v>
      </c>
      <c r="IH13" s="568">
        <f t="shared" si="96"/>
        <v>48478.575521805498</v>
      </c>
      <c r="II13" s="568">
        <f t="shared" si="97"/>
        <v>6120.5649431882175</v>
      </c>
      <c r="IJ13" s="568">
        <f t="shared" si="98"/>
        <v>90.050830641494997</v>
      </c>
      <c r="IK13" s="868">
        <v>4.4000000000000004</v>
      </c>
      <c r="IL13" s="569" t="s">
        <v>2701</v>
      </c>
      <c r="IM13" s="570" t="s">
        <v>2741</v>
      </c>
      <c r="IN13" s="529"/>
      <c r="IO13" s="742">
        <v>0.1086</v>
      </c>
      <c r="IP13" s="742">
        <v>0.54969999999999997</v>
      </c>
      <c r="IQ13" s="742">
        <v>0.3201</v>
      </c>
      <c r="IR13" s="742">
        <v>2.1399999999999999E-2</v>
      </c>
      <c r="IS13" s="742">
        <v>2.0000000000000001E-4</v>
      </c>
      <c r="IT13" s="742">
        <v>0.04</v>
      </c>
      <c r="IU13" s="742">
        <v>0.41010000000000002</v>
      </c>
      <c r="IV13" s="742">
        <v>0.4834</v>
      </c>
      <c r="IW13" s="742">
        <v>6.5500000000000003E-2</v>
      </c>
      <c r="IX13" s="742">
        <v>1E-3</v>
      </c>
      <c r="IY13" s="742">
        <v>0.1086</v>
      </c>
      <c r="IZ13" s="742">
        <v>0.54969999999999997</v>
      </c>
      <c r="JA13" s="742">
        <v>0.3201</v>
      </c>
      <c r="JB13" s="742">
        <v>2.1399999999999999E-2</v>
      </c>
      <c r="JC13" s="742">
        <v>2.0000000000000001E-4</v>
      </c>
      <c r="JD13" s="742">
        <v>0.04</v>
      </c>
      <c r="JE13" s="742">
        <v>0.41010000000000002</v>
      </c>
      <c r="JF13" s="742">
        <v>0.4834</v>
      </c>
      <c r="JG13" s="742">
        <v>6.5500000000000003E-2</v>
      </c>
      <c r="JH13" s="742">
        <v>1E-3</v>
      </c>
      <c r="JI13" s="742">
        <v>0.1875</v>
      </c>
      <c r="JJ13" s="742">
        <v>0.59009999999999996</v>
      </c>
      <c r="JK13" s="742">
        <v>0.2135</v>
      </c>
      <c r="JL13" s="742">
        <v>8.8999999999999999E-3</v>
      </c>
      <c r="JM13" s="742">
        <v>0</v>
      </c>
      <c r="JN13" s="742">
        <v>8.0500000000000002E-2</v>
      </c>
      <c r="JO13" s="742">
        <v>0.51239999999999997</v>
      </c>
      <c r="JP13" s="742">
        <v>0.37519999999999998</v>
      </c>
      <c r="JQ13" s="742">
        <v>3.1600000000000003E-2</v>
      </c>
      <c r="JR13" s="742">
        <v>2.9999999999999997E-4</v>
      </c>
      <c r="JS13" s="742">
        <v>0.1177</v>
      </c>
      <c r="JT13" s="742">
        <v>0.55840000000000001</v>
      </c>
      <c r="JU13" s="742">
        <v>0.30470000000000003</v>
      </c>
      <c r="JV13" s="742">
        <v>1.9099999999999999E-2</v>
      </c>
      <c r="JW13" s="742">
        <v>1E-4</v>
      </c>
      <c r="JX13" s="742">
        <v>4.4299999999999999E-2</v>
      </c>
      <c r="JY13" s="742">
        <v>0.4254</v>
      </c>
      <c r="JZ13" s="742">
        <v>0.46970000000000001</v>
      </c>
      <c r="KA13" s="742">
        <v>5.9700000000000003E-2</v>
      </c>
      <c r="KB13" s="742">
        <v>8.9999999999999998E-4</v>
      </c>
      <c r="KC13" s="657"/>
      <c r="KD13" s="832" t="s">
        <v>2718</v>
      </c>
      <c r="KE13" s="832" t="s">
        <v>2718</v>
      </c>
      <c r="KF13" s="869">
        <v>4.55</v>
      </c>
      <c r="KG13" s="832" t="s">
        <v>2719</v>
      </c>
      <c r="KH13" s="833" t="s">
        <v>2703</v>
      </c>
      <c r="KI13" s="832" t="s">
        <v>2720</v>
      </c>
      <c r="KJ13" s="833" t="s">
        <v>2742</v>
      </c>
    </row>
    <row r="14" spans="1:327" ht="48" hidden="1" customHeight="1">
      <c r="A14" s="273">
        <f t="shared" si="99"/>
        <v>7</v>
      </c>
      <c r="B14" s="274" t="s">
        <v>2600</v>
      </c>
      <c r="C14" s="274" t="s">
        <v>2678</v>
      </c>
      <c r="D14" s="274" t="s">
        <v>2743</v>
      </c>
      <c r="E14" s="275" t="s">
        <v>2106</v>
      </c>
      <c r="F14" s="275" t="s">
        <v>300</v>
      </c>
      <c r="G14" s="275" t="s">
        <v>300</v>
      </c>
      <c r="H14" s="275" t="s">
        <v>2109</v>
      </c>
      <c r="I14" s="276" t="s">
        <v>2723</v>
      </c>
      <c r="J14" s="276" t="s">
        <v>2744</v>
      </c>
      <c r="K14" s="277" t="s">
        <v>2097</v>
      </c>
      <c r="L14" s="277" t="s">
        <v>2109</v>
      </c>
      <c r="M14" s="277" t="s">
        <v>2603</v>
      </c>
      <c r="N14" s="277" t="s">
        <v>2745</v>
      </c>
      <c r="O14" s="275" t="s">
        <v>2212</v>
      </c>
      <c r="P14" s="276"/>
      <c r="Q14" s="270">
        <v>1</v>
      </c>
      <c r="R14" s="278">
        <v>9000</v>
      </c>
      <c r="S14" s="279">
        <v>6100</v>
      </c>
      <c r="T14" s="279">
        <v>6060</v>
      </c>
      <c r="U14" s="279">
        <v>6005</v>
      </c>
      <c r="V14" s="279">
        <v>5938</v>
      </c>
      <c r="W14" s="279">
        <v>5927</v>
      </c>
      <c r="X14" s="279">
        <v>5918</v>
      </c>
      <c r="Y14" s="279">
        <v>5910</v>
      </c>
      <c r="Z14" s="279">
        <v>5902</v>
      </c>
      <c r="AA14" s="279">
        <v>5896</v>
      </c>
      <c r="AB14" s="279">
        <v>5892</v>
      </c>
      <c r="AC14" s="279">
        <v>5889</v>
      </c>
      <c r="AD14" s="279">
        <v>5887</v>
      </c>
      <c r="AE14" s="279">
        <v>5884</v>
      </c>
      <c r="AF14" s="279">
        <v>5883</v>
      </c>
      <c r="AG14" s="279">
        <v>5881</v>
      </c>
      <c r="AH14" s="279">
        <v>5878</v>
      </c>
      <c r="AI14" s="279">
        <v>5875</v>
      </c>
      <c r="AJ14" s="279">
        <v>5872</v>
      </c>
      <c r="AK14" s="279">
        <v>5868</v>
      </c>
      <c r="AL14" s="276" t="s">
        <v>2746</v>
      </c>
      <c r="AM14" s="276" t="s">
        <v>2747</v>
      </c>
      <c r="AN14" s="276" t="s">
        <v>2403</v>
      </c>
      <c r="AO14" s="657"/>
      <c r="AP14" s="278">
        <v>610</v>
      </c>
      <c r="AQ14" s="278">
        <v>549</v>
      </c>
      <c r="AR14" s="278">
        <v>49</v>
      </c>
      <c r="AS14" s="278">
        <v>12</v>
      </c>
      <c r="AT14" s="657"/>
      <c r="AU14" s="281" t="s">
        <v>2728</v>
      </c>
      <c r="AV14" s="296" t="s">
        <v>2748</v>
      </c>
      <c r="AW14" s="296" t="s">
        <v>2749</v>
      </c>
      <c r="AX14" s="276" t="s">
        <v>2687</v>
      </c>
      <c r="AY14" s="657"/>
      <c r="AZ14" s="947">
        <v>32</v>
      </c>
      <c r="BA14" s="947">
        <v>9.5</v>
      </c>
      <c r="BB14" s="947">
        <v>12</v>
      </c>
      <c r="BC14" s="947">
        <v>24</v>
      </c>
      <c r="BD14" s="824">
        <f t="shared" si="4"/>
        <v>455932.5</v>
      </c>
      <c r="BE14" s="283">
        <f t="shared" si="5"/>
        <v>188256</v>
      </c>
      <c r="BF14" s="283">
        <f t="shared" si="6"/>
        <v>55888.5</v>
      </c>
      <c r="BG14" s="283">
        <f t="shared" si="7"/>
        <v>70596</v>
      </c>
      <c r="BH14" s="283">
        <f t="shared" si="8"/>
        <v>141192</v>
      </c>
      <c r="BI14" s="824">
        <f t="shared" si="9"/>
        <v>454770</v>
      </c>
      <c r="BJ14" s="283">
        <f t="shared" si="10"/>
        <v>187776</v>
      </c>
      <c r="BK14" s="283">
        <f t="shared" si="11"/>
        <v>55746</v>
      </c>
      <c r="BL14" s="283">
        <f t="shared" si="12"/>
        <v>70416</v>
      </c>
      <c r="BM14" s="283">
        <f t="shared" si="13"/>
        <v>140832</v>
      </c>
      <c r="BN14" s="657"/>
      <c r="BO14" s="305">
        <v>0.12</v>
      </c>
      <c r="BP14" s="305">
        <v>0.78</v>
      </c>
      <c r="BQ14" s="305">
        <v>0.06</v>
      </c>
      <c r="BR14" s="581">
        <v>0.04</v>
      </c>
      <c r="BS14" s="706">
        <v>0.1</v>
      </c>
      <c r="BT14" s="305">
        <v>0.79</v>
      </c>
      <c r="BU14" s="305">
        <v>0.08</v>
      </c>
      <c r="BV14" s="581">
        <v>0.03</v>
      </c>
      <c r="BW14" s="713">
        <v>0.25</v>
      </c>
      <c r="BX14" s="306">
        <v>0.65</v>
      </c>
      <c r="BY14" s="590">
        <v>0.1</v>
      </c>
      <c r="BZ14" s="713">
        <v>0.2</v>
      </c>
      <c r="CA14" s="306">
        <v>0.68</v>
      </c>
      <c r="CB14" s="590">
        <v>0.12</v>
      </c>
      <c r="CC14" s="706">
        <v>0.05</v>
      </c>
      <c r="CD14" s="305">
        <v>0.65</v>
      </c>
      <c r="CE14" s="305">
        <v>0.08</v>
      </c>
      <c r="CF14" s="581">
        <v>0.22</v>
      </c>
      <c r="CG14" s="706">
        <v>0.04</v>
      </c>
      <c r="CH14" s="305">
        <v>0.65</v>
      </c>
      <c r="CI14" s="305">
        <v>0.1</v>
      </c>
      <c r="CJ14" s="581">
        <v>0.21</v>
      </c>
      <c r="CK14" s="719">
        <v>0.5</v>
      </c>
      <c r="CL14" s="307">
        <v>0.45</v>
      </c>
      <c r="CM14" s="723">
        <v>0.05</v>
      </c>
      <c r="CN14" s="719">
        <v>0.4</v>
      </c>
      <c r="CO14" s="307">
        <v>0.5</v>
      </c>
      <c r="CP14" s="723">
        <v>0.1</v>
      </c>
      <c r="CQ14" s="657"/>
      <c r="CR14" s="804">
        <v>12</v>
      </c>
      <c r="CS14" s="805">
        <v>13</v>
      </c>
      <c r="CT14" s="805">
        <v>9</v>
      </c>
      <c r="CU14" s="806">
        <v>11</v>
      </c>
      <c r="CV14" s="804">
        <v>10</v>
      </c>
      <c r="CW14" s="805">
        <v>10</v>
      </c>
      <c r="CX14" s="806">
        <v>8</v>
      </c>
      <c r="CY14" s="804">
        <v>10</v>
      </c>
      <c r="CZ14" s="805">
        <v>13</v>
      </c>
      <c r="DA14" s="805">
        <v>9</v>
      </c>
      <c r="DB14" s="806">
        <v>11</v>
      </c>
      <c r="DC14" s="804">
        <v>11</v>
      </c>
      <c r="DD14" s="805">
        <v>13</v>
      </c>
      <c r="DE14" s="806">
        <v>10</v>
      </c>
      <c r="DF14" s="609" t="s">
        <v>2750</v>
      </c>
      <c r="DG14" s="657"/>
      <c r="DH14" s="308">
        <f t="shared" si="14"/>
        <v>22590.719999999998</v>
      </c>
      <c r="DI14" s="308">
        <f t="shared" si="15"/>
        <v>146839.67999999999</v>
      </c>
      <c r="DJ14" s="308">
        <f t="shared" si="16"/>
        <v>11295.359999999999</v>
      </c>
      <c r="DK14" s="308">
        <f t="shared" si="17"/>
        <v>7530.24</v>
      </c>
      <c r="DL14" s="287" t="s">
        <v>2731</v>
      </c>
      <c r="DM14" s="308">
        <f t="shared" si="18"/>
        <v>18777.600000000002</v>
      </c>
      <c r="DN14" s="308">
        <f t="shared" si="19"/>
        <v>148343.04000000001</v>
      </c>
      <c r="DO14" s="308">
        <f t="shared" si="20"/>
        <v>15022.08</v>
      </c>
      <c r="DP14" s="308">
        <f t="shared" si="21"/>
        <v>5633.28</v>
      </c>
      <c r="DQ14" s="289" t="s">
        <v>2689</v>
      </c>
      <c r="DR14" s="657"/>
      <c r="DS14" s="308">
        <f t="shared" si="22"/>
        <v>13972.125</v>
      </c>
      <c r="DT14" s="308">
        <f t="shared" si="23"/>
        <v>36327.525000000001</v>
      </c>
      <c r="DU14" s="308">
        <f t="shared" si="24"/>
        <v>5588.85</v>
      </c>
      <c r="DV14" s="289" t="s">
        <v>2613</v>
      </c>
      <c r="DW14" s="308">
        <f t="shared" si="25"/>
        <v>11149.2</v>
      </c>
      <c r="DX14" s="308">
        <f t="shared" si="26"/>
        <v>37907.280000000006</v>
      </c>
      <c r="DY14" s="308">
        <f t="shared" si="27"/>
        <v>6689.5199999999995</v>
      </c>
      <c r="DZ14" s="289" t="s">
        <v>2613</v>
      </c>
      <c r="EA14" s="657"/>
      <c r="EB14" s="308">
        <f t="shared" si="28"/>
        <v>3529.8</v>
      </c>
      <c r="EC14" s="308">
        <f t="shared" si="29"/>
        <v>45887.4</v>
      </c>
      <c r="ED14" s="308">
        <f t="shared" si="30"/>
        <v>5647.68</v>
      </c>
      <c r="EE14" s="308">
        <f t="shared" si="31"/>
        <v>15531.12</v>
      </c>
      <c r="EF14" s="289" t="s">
        <v>2732</v>
      </c>
      <c r="EG14" s="308">
        <f t="shared" si="32"/>
        <v>2816.64</v>
      </c>
      <c r="EH14" s="308">
        <f t="shared" si="33"/>
        <v>45770.400000000001</v>
      </c>
      <c r="EI14" s="308">
        <f t="shared" si="34"/>
        <v>7041.6</v>
      </c>
      <c r="EJ14" s="308">
        <f t="shared" si="35"/>
        <v>14787.359999999999</v>
      </c>
      <c r="EK14" s="309" t="s">
        <v>2691</v>
      </c>
      <c r="EL14" s="657"/>
      <c r="EM14" s="308">
        <f t="shared" si="36"/>
        <v>70596</v>
      </c>
      <c r="EN14" s="310">
        <f t="shared" si="37"/>
        <v>63536.4</v>
      </c>
      <c r="EO14" s="310">
        <f t="shared" si="38"/>
        <v>7059.6</v>
      </c>
      <c r="EP14" s="289" t="s">
        <v>2733</v>
      </c>
      <c r="EQ14" s="308">
        <f t="shared" si="39"/>
        <v>56332.800000000003</v>
      </c>
      <c r="ER14" s="310">
        <f t="shared" si="40"/>
        <v>70416</v>
      </c>
      <c r="ES14" s="310">
        <f t="shared" si="41"/>
        <v>14083.2</v>
      </c>
      <c r="ET14" s="289" t="s">
        <v>2693</v>
      </c>
      <c r="EU14" s="657"/>
      <c r="EV14" s="728">
        <f t="shared" si="42"/>
        <v>0.73117903512812144</v>
      </c>
      <c r="EW14" s="728">
        <f t="shared" si="43"/>
        <v>0.26882096487187862</v>
      </c>
      <c r="EX14" s="311">
        <f t="shared" si="44"/>
        <v>137210.054534175</v>
      </c>
      <c r="EY14" s="311">
        <f t="shared" si="45"/>
        <v>100325.115284175</v>
      </c>
      <c r="EZ14" s="311">
        <f t="shared" si="46"/>
        <v>36884.939250000003</v>
      </c>
      <c r="FA14" s="311">
        <f t="shared" si="47"/>
        <v>56654.47413024</v>
      </c>
      <c r="FB14" s="311">
        <f t="shared" si="48"/>
        <v>41424.563730239999</v>
      </c>
      <c r="FC14" s="311">
        <f t="shared" si="49"/>
        <v>15229.910400000001</v>
      </c>
      <c r="FD14" s="311">
        <f t="shared" si="50"/>
        <v>16819.297007415</v>
      </c>
      <c r="FE14" s="311">
        <f t="shared" si="51"/>
        <v>12297.917357415001</v>
      </c>
      <c r="FF14" s="311">
        <f t="shared" si="52"/>
        <v>4521.3796499999999</v>
      </c>
      <c r="FG14" s="311">
        <f t="shared" si="53"/>
        <v>21245.427798839999</v>
      </c>
      <c r="FH14" s="311">
        <f t="shared" si="54"/>
        <v>15534.21139884</v>
      </c>
      <c r="FI14" s="311">
        <f t="shared" si="55"/>
        <v>5711.2164000000002</v>
      </c>
      <c r="FJ14" s="311">
        <f t="shared" si="56"/>
        <v>42490.855597679998</v>
      </c>
      <c r="FK14" s="311">
        <f t="shared" si="57"/>
        <v>31068.422797679999</v>
      </c>
      <c r="FL14" s="311">
        <f t="shared" si="58"/>
        <v>11422.4328</v>
      </c>
      <c r="FM14" s="657"/>
      <c r="FN14" s="293" t="s">
        <v>2649</v>
      </c>
      <c r="FO14" s="728">
        <v>8.09E-2</v>
      </c>
      <c r="FP14" s="729">
        <v>0.88371</v>
      </c>
      <c r="FQ14" s="294" t="s">
        <v>2734</v>
      </c>
      <c r="FR14" s="657"/>
      <c r="FS14" s="865">
        <v>3.21</v>
      </c>
      <c r="FT14" s="312">
        <f>RANK($FS14,$FS$8:$FS$154,0)+COUNTIF($FS$8:$FS14,$FS14)-1</f>
        <v>88</v>
      </c>
      <c r="FU14" s="865">
        <v>3.98</v>
      </c>
      <c r="FV14" s="312">
        <f>RANK($FU14,$FU$8:$FU$154,0)+COUNTIF($FU$8:$FU14,$FU14)-1</f>
        <v>85</v>
      </c>
      <c r="FW14" s="865">
        <v>2.2599999999999998</v>
      </c>
      <c r="FX14" s="312">
        <f>RANK($FW14,$FW$8:$FW$154,0)+COUNTIF($FW$8:$FW14,$FW14)-1</f>
        <v>65</v>
      </c>
      <c r="FY14" s="657"/>
      <c r="FZ14" s="296" t="s">
        <v>2735</v>
      </c>
      <c r="GA14" s="296" t="s">
        <v>2751</v>
      </c>
      <c r="GB14" s="296" t="s">
        <v>2737</v>
      </c>
      <c r="GC14" s="296" t="s">
        <v>2738</v>
      </c>
      <c r="GD14" s="296" t="s">
        <v>2739</v>
      </c>
      <c r="GE14" s="296" t="s">
        <v>2740</v>
      </c>
      <c r="GF14" s="296" t="str">
        <f>HYPERLINK("https://www.banquedesterritoires.fr/plan-renovation-energetique-batiments-publics","https://www.banquedesterritoires.fr/plan-renovation-energetique-batiments-publics")&amp;CHAR(10)&amp;HYPERLINK("https://www.ecologie.gouv.fr/eco-energie-tertiaire-eet","https://www.ecologie.gouv.fr/eco-energie-tertiaire-eet")&amp;CHAR(10)&amp;HYPERLINK("https://www.agencedusport.fr/plan-5000-equipements-generation-2024","https://www.agencedusport.fr/plan-5000-equipements-generation-2024")&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https://www.banquedesterritoires.fr/plan-renovation-energetique-batiments-publics
https://www.ecologie.gouv.fr/eco-energie-tertiaire-eet
https://www.agencedusport.fr/plan-5000-equipements-generation-2024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4" s="657"/>
      <c r="GH14" s="311">
        <f t="shared" si="59"/>
        <v>6493.9386876287999</v>
      </c>
      <c r="GI14" s="311">
        <f>IFERROR($BE14*$FP14*0.249*$BO14,0)</f>
        <v>4970.9476476288</v>
      </c>
      <c r="GJ14" s="311">
        <f t="shared" si="60"/>
        <v>1522.9910400000001</v>
      </c>
      <c r="GK14" s="311">
        <f t="shared" si="61"/>
        <v>44342.7889255872</v>
      </c>
      <c r="GL14" s="311">
        <f>IFERROR($BE14*$FP14*0.249*$BP14,0)</f>
        <v>32311.159709587202</v>
      </c>
      <c r="GM14" s="311">
        <f t="shared" si="62"/>
        <v>12031.629216000001</v>
      </c>
      <c r="GN14" s="311">
        <f t="shared" si="63"/>
        <v>3703.8666558144</v>
      </c>
      <c r="GO14" s="311">
        <f>IFERROR($BE14*$FP14*0.249*$BQ14,0)</f>
        <v>2485.4738238144</v>
      </c>
      <c r="GP14" s="311">
        <f t="shared" si="64"/>
        <v>1218.392832</v>
      </c>
      <c r="GQ14" s="311">
        <f t="shared" si="65"/>
        <v>2113.8798612095998</v>
      </c>
      <c r="GR14" s="311">
        <f>IFERROR($BE14*$FP14*0.249*$BR14,0)</f>
        <v>1656.9825492095999</v>
      </c>
      <c r="GS14" s="311">
        <f t="shared" si="66"/>
        <v>456.897312</v>
      </c>
      <c r="GT14" s="311">
        <f t="shared" si="67"/>
        <v>3978.75526935375</v>
      </c>
      <c r="GU14" s="311">
        <f>IFERROR($BF14*$FP14*0.249*$BW14,0)</f>
        <v>3074.4793393537498</v>
      </c>
      <c r="GV14" s="311">
        <f t="shared" si="68"/>
        <v>904.27593000000002</v>
      </c>
      <c r="GW14" s="311">
        <f t="shared" si="69"/>
        <v>11068.18444431975</v>
      </c>
      <c r="GX14" s="311">
        <f>IFERROR($BF14*$FP14*0.249*$BX14,0)</f>
        <v>7993.6462823197498</v>
      </c>
      <c r="GY14" s="311">
        <f t="shared" si="70"/>
        <v>3074.5381620000003</v>
      </c>
      <c r="GZ14" s="311">
        <f t="shared" si="71"/>
        <v>1772.3572937414999</v>
      </c>
      <c r="HA14" s="311">
        <f>IFERROR($BF14*$FP14*0.249*$BY14,0)</f>
        <v>1229.7917357414999</v>
      </c>
      <c r="HB14" s="311">
        <f t="shared" si="72"/>
        <v>542.56555800000001</v>
      </c>
      <c r="HC14" s="311">
        <f t="shared" si="73"/>
        <v>1005.159225942</v>
      </c>
      <c r="HD14" s="311">
        <f>IFERROR($BG14*$FP14*0.249*$CC14,0)</f>
        <v>776.71056994200001</v>
      </c>
      <c r="HE14" s="311">
        <f t="shared" si="74"/>
        <v>228.44865600000003</v>
      </c>
      <c r="HF14" s="311">
        <f t="shared" si="75"/>
        <v>13809.528069246</v>
      </c>
      <c r="HG14" s="311">
        <f>IFERROR($BG14*$FP14*0.249*$CD14,0)</f>
        <v>10097.237409246</v>
      </c>
      <c r="HH14" s="311">
        <f t="shared" si="76"/>
        <v>3712.2906600000001</v>
      </c>
      <c r="HI14" s="311">
        <f t="shared" si="77"/>
        <v>1813.8585519072001</v>
      </c>
      <c r="HJ14" s="311">
        <f>IFERROR($BG14*$FP14*0.249*$CE14,0)</f>
        <v>1242.7369119072</v>
      </c>
      <c r="HK14" s="311">
        <f t="shared" si="78"/>
        <v>571.12164000000007</v>
      </c>
      <c r="HL14" s="311">
        <f t="shared" si="79"/>
        <v>4616.8819517448001</v>
      </c>
      <c r="HM14" s="311">
        <f>IFERROR($BG14*$FP14*0.249*$CF14,0)</f>
        <v>3417.5265077447998</v>
      </c>
      <c r="HN14" s="311">
        <f t="shared" si="80"/>
        <v>1199.355444</v>
      </c>
      <c r="HO14" s="311">
        <f t="shared" si="81"/>
        <v>20103.18451884</v>
      </c>
      <c r="HP14" s="311">
        <f>IFERROR($BH14*$FP14*0.249*$CK14,0)</f>
        <v>15534.21139884</v>
      </c>
      <c r="HQ14" s="311">
        <f t="shared" si="82"/>
        <v>4568.9731200000006</v>
      </c>
      <c r="HR14" s="311">
        <f t="shared" si="83"/>
        <v>19692.006658956001</v>
      </c>
      <c r="HS14" s="311">
        <f>IFERROR($BH14*$FP14*0.249*$CL14,0)</f>
        <v>13980.790258956</v>
      </c>
      <c r="HT14" s="311">
        <f t="shared" si="84"/>
        <v>5711.2164000000002</v>
      </c>
      <c r="HU14" s="311">
        <f t="shared" si="85"/>
        <v>2695.6644198840004</v>
      </c>
      <c r="HV14" s="311">
        <f>IFERROR($BH14*$FP14*0.249*$CM14,0)</f>
        <v>1553.421139884</v>
      </c>
      <c r="HW14" s="311">
        <f t="shared" si="86"/>
        <v>1142.2432800000001</v>
      </c>
      <c r="HY14" s="313">
        <f t="shared" si="87"/>
        <v>455932.5</v>
      </c>
      <c r="HZ14" s="313">
        <f t="shared" si="88"/>
        <v>52109.260800000004</v>
      </c>
      <c r="IA14" s="313">
        <f t="shared" si="89"/>
        <v>250964.95605000001</v>
      </c>
      <c r="IB14" s="313">
        <f t="shared" si="90"/>
        <v>143180.15985</v>
      </c>
      <c r="IC14" s="313">
        <f t="shared" si="91"/>
        <v>9593.9964</v>
      </c>
      <c r="ID14" s="313">
        <f t="shared" si="92"/>
        <v>84.126900000000006</v>
      </c>
      <c r="IE14" s="313">
        <f t="shared" si="93"/>
        <v>100325.11528417499</v>
      </c>
      <c r="IF14" s="313">
        <f t="shared" si="94"/>
        <v>4306.9248362092185</v>
      </c>
      <c r="IG14" s="313">
        <f t="shared" si="95"/>
        <v>41648.515277906605</v>
      </c>
      <c r="IH14" s="313">
        <f t="shared" si="96"/>
        <v>47801.87531651045</v>
      </c>
      <c r="II14" s="313">
        <f t="shared" si="97"/>
        <v>6466.0507688863217</v>
      </c>
      <c r="IJ14" s="313">
        <f t="shared" si="98"/>
        <v>101.749084662402</v>
      </c>
      <c r="IK14" s="866">
        <v>4.4000000000000004</v>
      </c>
      <c r="IL14" s="314" t="s">
        <v>2701</v>
      </c>
      <c r="IM14" s="299" t="s">
        <v>2741</v>
      </c>
      <c r="IN14" s="657"/>
      <c r="IO14" s="730">
        <v>0.1</v>
      </c>
      <c r="IP14" s="730">
        <v>0.54010000000000002</v>
      </c>
      <c r="IQ14" s="730">
        <v>0.3357</v>
      </c>
      <c r="IR14" s="730">
        <v>2.4E-2</v>
      </c>
      <c r="IS14" s="730">
        <v>2.0000000000000001E-4</v>
      </c>
      <c r="IT14" s="730">
        <v>3.5900000000000001E-2</v>
      </c>
      <c r="IU14" s="730">
        <v>0.39400000000000002</v>
      </c>
      <c r="IV14" s="730">
        <v>0.49680000000000002</v>
      </c>
      <c r="IW14" s="730">
        <v>7.2099999999999997E-2</v>
      </c>
      <c r="IX14" s="730">
        <v>1.1999999999999999E-3</v>
      </c>
      <c r="IY14" s="730">
        <v>0.1</v>
      </c>
      <c r="IZ14" s="730">
        <v>0.54010000000000002</v>
      </c>
      <c r="JA14" s="730">
        <v>0.3357</v>
      </c>
      <c r="JB14" s="730">
        <v>2.4E-2</v>
      </c>
      <c r="JC14" s="730">
        <v>2.0000000000000001E-4</v>
      </c>
      <c r="JD14" s="730">
        <v>3.5900000000000001E-2</v>
      </c>
      <c r="JE14" s="730">
        <v>0.39400000000000002</v>
      </c>
      <c r="JF14" s="730">
        <v>0.49680000000000002</v>
      </c>
      <c r="JG14" s="730">
        <v>7.2099999999999997E-2</v>
      </c>
      <c r="JH14" s="831">
        <v>1.1999999999999999E-3</v>
      </c>
      <c r="JI14" s="831">
        <v>0.17510000000000001</v>
      </c>
      <c r="JJ14" s="831">
        <v>0.5877</v>
      </c>
      <c r="JK14" s="831">
        <v>0.22700000000000001</v>
      </c>
      <c r="JL14" s="831">
        <v>1.01E-2</v>
      </c>
      <c r="JM14" s="831">
        <v>1E-4</v>
      </c>
      <c r="JN14" s="831">
        <v>7.3300000000000004E-2</v>
      </c>
      <c r="JO14" s="831">
        <v>0.4995</v>
      </c>
      <c r="JP14" s="831">
        <v>0.39150000000000001</v>
      </c>
      <c r="JQ14" s="831">
        <v>3.5299999999999998E-2</v>
      </c>
      <c r="JR14" s="831">
        <v>4.0000000000000002E-4</v>
      </c>
      <c r="JS14" s="831">
        <v>0.1086</v>
      </c>
      <c r="JT14" s="730">
        <v>0.54969999999999997</v>
      </c>
      <c r="JU14" s="730">
        <v>0.3201</v>
      </c>
      <c r="JV14" s="730">
        <v>2.1399999999999999E-2</v>
      </c>
      <c r="JW14" s="730">
        <v>2.0000000000000001E-4</v>
      </c>
      <c r="JX14" s="730">
        <v>3.9899999999999998E-2</v>
      </c>
      <c r="JY14" s="730">
        <v>0.40949999999999998</v>
      </c>
      <c r="JZ14" s="730">
        <v>0.48380000000000001</v>
      </c>
      <c r="KA14" s="730">
        <v>6.5799999999999997E-2</v>
      </c>
      <c r="KB14" s="730">
        <v>1E-3</v>
      </c>
      <c r="KC14" s="657"/>
      <c r="KD14" s="314" t="s">
        <v>2718</v>
      </c>
      <c r="KE14" s="314" t="s">
        <v>2718</v>
      </c>
      <c r="KF14" s="866">
        <v>4.55</v>
      </c>
      <c r="KG14" s="314" t="s">
        <v>2719</v>
      </c>
      <c r="KH14" s="315" t="s">
        <v>2703</v>
      </c>
      <c r="KI14" s="314" t="s">
        <v>2720</v>
      </c>
      <c r="KJ14" s="315" t="s">
        <v>2752</v>
      </c>
    </row>
    <row r="15" spans="1:327" ht="48" hidden="1" customHeight="1">
      <c r="A15" s="265">
        <f t="shared" si="99"/>
        <v>8</v>
      </c>
      <c r="B15" s="266" t="s">
        <v>2600</v>
      </c>
      <c r="C15" s="266" t="s">
        <v>2678</v>
      </c>
      <c r="D15" s="624" t="s">
        <v>2753</v>
      </c>
      <c r="E15" s="267" t="s">
        <v>2106</v>
      </c>
      <c r="F15" s="267" t="s">
        <v>2754</v>
      </c>
      <c r="G15" s="267" t="s">
        <v>300</v>
      </c>
      <c r="H15" s="267" t="s">
        <v>2109</v>
      </c>
      <c r="I15" s="268" t="s">
        <v>2755</v>
      </c>
      <c r="J15" s="268" t="s">
        <v>2756</v>
      </c>
      <c r="K15" s="269" t="s">
        <v>2109</v>
      </c>
      <c r="L15" s="269" t="s">
        <v>2109</v>
      </c>
      <c r="M15" s="269" t="s">
        <v>2603</v>
      </c>
      <c r="N15" s="269" t="s">
        <v>2757</v>
      </c>
      <c r="O15" s="267" t="s">
        <v>2616</v>
      </c>
      <c r="P15" s="268"/>
      <c r="Q15" s="270">
        <v>1</v>
      </c>
      <c r="R15" s="271">
        <v>3000</v>
      </c>
      <c r="S15" s="272">
        <v>1750</v>
      </c>
      <c r="T15" s="272">
        <v>1710</v>
      </c>
      <c r="U15" s="272">
        <v>1680</v>
      </c>
      <c r="V15" s="272">
        <v>1650</v>
      </c>
      <c r="W15" s="272">
        <v>1646</v>
      </c>
      <c r="X15" s="272">
        <v>1642</v>
      </c>
      <c r="Y15" s="272">
        <v>1639</v>
      </c>
      <c r="Z15" s="272">
        <v>1636</v>
      </c>
      <c r="AA15" s="272">
        <v>1633</v>
      </c>
      <c r="AB15" s="272">
        <v>1629</v>
      </c>
      <c r="AC15" s="272">
        <v>1623</v>
      </c>
      <c r="AD15" s="272">
        <v>1624</v>
      </c>
      <c r="AE15" s="272">
        <v>1625</v>
      </c>
      <c r="AF15" s="272">
        <v>1627</v>
      </c>
      <c r="AG15" s="272">
        <v>1629</v>
      </c>
      <c r="AH15" s="272">
        <v>1630</v>
      </c>
      <c r="AI15" s="272">
        <v>1631</v>
      </c>
      <c r="AJ15" s="272">
        <v>1632</v>
      </c>
      <c r="AK15" s="272">
        <v>1633</v>
      </c>
      <c r="AL15" s="268" t="s">
        <v>2758</v>
      </c>
      <c r="AM15" s="268" t="s">
        <v>2759</v>
      </c>
      <c r="AN15" s="268" t="s">
        <v>2760</v>
      </c>
      <c r="AO15" s="657"/>
      <c r="AP15" s="271">
        <v>180</v>
      </c>
      <c r="AQ15" s="280">
        <v>162</v>
      </c>
      <c r="AR15" s="280">
        <v>14</v>
      </c>
      <c r="AS15" s="280">
        <v>4</v>
      </c>
      <c r="AT15" s="657"/>
      <c r="AU15" s="301" t="s">
        <v>2761</v>
      </c>
      <c r="AV15" s="572" t="s">
        <v>2762</v>
      </c>
      <c r="AW15" s="645" t="s">
        <v>2763</v>
      </c>
      <c r="AX15" s="290" t="s">
        <v>2687</v>
      </c>
      <c r="AY15" s="657"/>
      <c r="AZ15" s="948">
        <v>16</v>
      </c>
      <c r="BA15" s="948">
        <v>16</v>
      </c>
      <c r="BB15" s="948">
        <v>3</v>
      </c>
      <c r="BC15" s="948">
        <v>13</v>
      </c>
      <c r="BD15" s="825">
        <f t="shared" si="4"/>
        <v>78096</v>
      </c>
      <c r="BE15" s="304">
        <f t="shared" si="5"/>
        <v>26032</v>
      </c>
      <c r="BF15" s="304">
        <f t="shared" si="6"/>
        <v>26032</v>
      </c>
      <c r="BG15" s="304">
        <f t="shared" si="7"/>
        <v>4881</v>
      </c>
      <c r="BH15" s="304">
        <f t="shared" si="8"/>
        <v>21151</v>
      </c>
      <c r="BI15" s="825">
        <f t="shared" si="9"/>
        <v>78384</v>
      </c>
      <c r="BJ15" s="304">
        <f t="shared" si="10"/>
        <v>26128</v>
      </c>
      <c r="BK15" s="304">
        <f t="shared" si="11"/>
        <v>26128</v>
      </c>
      <c r="BL15" s="304">
        <f t="shared" si="12"/>
        <v>4899</v>
      </c>
      <c r="BM15" s="304">
        <f t="shared" si="13"/>
        <v>21229</v>
      </c>
      <c r="BN15" s="657"/>
      <c r="BO15" s="284">
        <v>0.42</v>
      </c>
      <c r="BP15" s="284">
        <v>0.4</v>
      </c>
      <c r="BQ15" s="284">
        <v>0.1</v>
      </c>
      <c r="BR15" s="710">
        <v>0.08</v>
      </c>
      <c r="BS15" s="707">
        <v>0.4</v>
      </c>
      <c r="BT15" s="284">
        <v>0.4</v>
      </c>
      <c r="BU15" s="284">
        <v>0.13</v>
      </c>
      <c r="BV15" s="710">
        <v>7.0000000000000007E-2</v>
      </c>
      <c r="BW15" s="714">
        <v>0.55000000000000004</v>
      </c>
      <c r="BX15" s="285">
        <v>0.35</v>
      </c>
      <c r="BY15" s="717">
        <v>0.1</v>
      </c>
      <c r="BZ15" s="714">
        <v>0.5</v>
      </c>
      <c r="CA15" s="285">
        <v>0.37</v>
      </c>
      <c r="CB15" s="717">
        <v>0.13</v>
      </c>
      <c r="CC15" s="284">
        <v>0.12</v>
      </c>
      <c r="CD15" s="284">
        <v>0.45</v>
      </c>
      <c r="CE15" s="284">
        <v>0.12</v>
      </c>
      <c r="CF15" s="710">
        <v>0.31</v>
      </c>
      <c r="CG15" s="707">
        <v>0.1</v>
      </c>
      <c r="CH15" s="284">
        <v>0.45</v>
      </c>
      <c r="CI15" s="284">
        <v>0.15</v>
      </c>
      <c r="CJ15" s="710">
        <v>0.3</v>
      </c>
      <c r="CK15" s="720">
        <v>0.6</v>
      </c>
      <c r="CL15" s="286">
        <v>0.35</v>
      </c>
      <c r="CM15" s="718">
        <v>0.05</v>
      </c>
      <c r="CN15" s="720">
        <v>0.55000000000000004</v>
      </c>
      <c r="CO15" s="286">
        <v>0.38</v>
      </c>
      <c r="CP15" s="718">
        <v>7.0000000000000007E-2</v>
      </c>
      <c r="CQ15" s="657"/>
      <c r="CR15" s="807">
        <v>14</v>
      </c>
      <c r="CS15" s="808">
        <v>13</v>
      </c>
      <c r="CT15" s="808">
        <v>10</v>
      </c>
      <c r="CU15" s="809">
        <v>12</v>
      </c>
      <c r="CV15" s="807">
        <v>13</v>
      </c>
      <c r="CW15" s="808">
        <v>12</v>
      </c>
      <c r="CX15" s="809">
        <v>9</v>
      </c>
      <c r="CY15" s="807">
        <v>12</v>
      </c>
      <c r="CZ15" s="808">
        <v>13</v>
      </c>
      <c r="DA15" s="808">
        <v>9</v>
      </c>
      <c r="DB15" s="809">
        <v>11</v>
      </c>
      <c r="DC15" s="807">
        <v>14</v>
      </c>
      <c r="DD15" s="808">
        <v>13</v>
      </c>
      <c r="DE15" s="809">
        <v>10</v>
      </c>
      <c r="DF15" s="610" t="s">
        <v>2764</v>
      </c>
      <c r="DG15" s="657"/>
      <c r="DH15" s="288">
        <f t="shared" si="14"/>
        <v>10933.439999999999</v>
      </c>
      <c r="DI15" s="288">
        <f t="shared" si="15"/>
        <v>10412.800000000001</v>
      </c>
      <c r="DJ15" s="288">
        <f t="shared" si="16"/>
        <v>2603.2000000000003</v>
      </c>
      <c r="DK15" s="288">
        <f t="shared" si="17"/>
        <v>2082.56</v>
      </c>
      <c r="DL15" s="560" t="s">
        <v>2765</v>
      </c>
      <c r="DM15" s="288">
        <f t="shared" si="18"/>
        <v>10451.200000000001</v>
      </c>
      <c r="DN15" s="288">
        <f t="shared" si="19"/>
        <v>10451.200000000001</v>
      </c>
      <c r="DO15" s="288">
        <f t="shared" si="20"/>
        <v>3396.6400000000003</v>
      </c>
      <c r="DP15" s="288">
        <f t="shared" si="21"/>
        <v>1828.9600000000003</v>
      </c>
      <c r="DQ15" s="561" t="s">
        <v>2766</v>
      </c>
      <c r="DR15" s="657"/>
      <c r="DS15" s="288">
        <f t="shared" si="22"/>
        <v>14317.6</v>
      </c>
      <c r="DT15" s="288">
        <f t="shared" si="23"/>
        <v>9111.1999999999989</v>
      </c>
      <c r="DU15" s="288">
        <f t="shared" si="24"/>
        <v>2603.2000000000003</v>
      </c>
      <c r="DV15" s="561" t="s">
        <v>2767</v>
      </c>
      <c r="DW15" s="288">
        <f t="shared" si="25"/>
        <v>13064</v>
      </c>
      <c r="DX15" s="288">
        <f t="shared" si="26"/>
        <v>9667.36</v>
      </c>
      <c r="DY15" s="288">
        <f t="shared" si="27"/>
        <v>3396.6400000000003</v>
      </c>
      <c r="DZ15" s="561" t="s">
        <v>2768</v>
      </c>
      <c r="EA15" s="657"/>
      <c r="EB15" s="288">
        <f t="shared" si="28"/>
        <v>585.72</v>
      </c>
      <c r="EC15" s="288">
        <f t="shared" si="29"/>
        <v>2196.4500000000003</v>
      </c>
      <c r="ED15" s="288">
        <f t="shared" si="30"/>
        <v>585.72</v>
      </c>
      <c r="EE15" s="288">
        <f t="shared" si="31"/>
        <v>1513.11</v>
      </c>
      <c r="EF15" s="561" t="s">
        <v>2769</v>
      </c>
      <c r="EG15" s="288">
        <f t="shared" si="32"/>
        <v>489.90000000000003</v>
      </c>
      <c r="EH15" s="288">
        <f t="shared" si="33"/>
        <v>2204.5500000000002</v>
      </c>
      <c r="EI15" s="288">
        <f t="shared" si="34"/>
        <v>734.85</v>
      </c>
      <c r="EJ15" s="288">
        <f t="shared" si="35"/>
        <v>1469.7</v>
      </c>
      <c r="EK15" s="561" t="s">
        <v>2770</v>
      </c>
      <c r="EL15" s="657"/>
      <c r="EM15" s="288">
        <f t="shared" si="36"/>
        <v>12690.6</v>
      </c>
      <c r="EN15" s="291">
        <f t="shared" si="37"/>
        <v>7402.8499999999995</v>
      </c>
      <c r="EO15" s="291">
        <f t="shared" si="38"/>
        <v>1057.55</v>
      </c>
      <c r="EP15" s="561" t="s">
        <v>2771</v>
      </c>
      <c r="EQ15" s="288">
        <f t="shared" si="39"/>
        <v>11675.95</v>
      </c>
      <c r="ER15" s="291">
        <f t="shared" si="40"/>
        <v>8067.02</v>
      </c>
      <c r="ES15" s="291">
        <f t="shared" si="41"/>
        <v>1486.0300000000002</v>
      </c>
      <c r="ET15" s="561" t="s">
        <v>2772</v>
      </c>
      <c r="EU15" s="657"/>
      <c r="EV15" s="740">
        <f t="shared" si="42"/>
        <v>0.73071509375007193</v>
      </c>
      <c r="EW15" s="740">
        <f t="shared" si="43"/>
        <v>0.26928490624992818</v>
      </c>
      <c r="EX15" s="563">
        <f t="shared" si="44"/>
        <v>22446.323650943996</v>
      </c>
      <c r="EY15" s="563">
        <f t="shared" si="45"/>
        <v>16401.867490943998</v>
      </c>
      <c r="EZ15" s="563">
        <f t="shared" si="46"/>
        <v>6044.4561599999997</v>
      </c>
      <c r="FA15" s="563">
        <f t="shared" si="47"/>
        <v>7482.1078836480001</v>
      </c>
      <c r="FB15" s="563">
        <f t="shared" si="48"/>
        <v>5467.2891636479999</v>
      </c>
      <c r="FC15" s="563">
        <f t="shared" si="49"/>
        <v>2014.81872</v>
      </c>
      <c r="FD15" s="563">
        <f t="shared" si="50"/>
        <v>7482.1078836479992</v>
      </c>
      <c r="FE15" s="563">
        <f t="shared" si="51"/>
        <v>5467.289163647999</v>
      </c>
      <c r="FF15" s="563">
        <f t="shared" si="52"/>
        <v>2014.81872</v>
      </c>
      <c r="FG15" s="563">
        <f t="shared" si="53"/>
        <v>1402.8952281840002</v>
      </c>
      <c r="FH15" s="563">
        <f t="shared" si="54"/>
        <v>1025.1167181840001</v>
      </c>
      <c r="FI15" s="563">
        <f t="shared" si="55"/>
        <v>377.77850999999998</v>
      </c>
      <c r="FJ15" s="563">
        <f t="shared" si="56"/>
        <v>6079.2126554639999</v>
      </c>
      <c r="FK15" s="563">
        <f t="shared" si="57"/>
        <v>4442.1724454639998</v>
      </c>
      <c r="FL15" s="563">
        <f t="shared" si="58"/>
        <v>1637.0402099999999</v>
      </c>
      <c r="FM15" s="529"/>
      <c r="FN15" s="564" t="s">
        <v>2649</v>
      </c>
      <c r="FO15" s="740">
        <v>7.3709999999999998E-2</v>
      </c>
      <c r="FP15" s="741">
        <v>0.85097999999999996</v>
      </c>
      <c r="FQ15" s="565" t="s">
        <v>2773</v>
      </c>
      <c r="FR15" s="529"/>
      <c r="FS15" s="867">
        <v>3.16</v>
      </c>
      <c r="FT15" s="566">
        <f>RANK($FS15,$FS$8:$FS$154,0)+COUNTIF($FS$8:$FS15,$FS15)-1</f>
        <v>91</v>
      </c>
      <c r="FU15" s="867">
        <v>3.95</v>
      </c>
      <c r="FV15" s="566">
        <f>RANK($FU15,$FU$8:$FU$154,0)+COUNTIF($FU$8:$FU15,$FU15)-1</f>
        <v>89</v>
      </c>
      <c r="FW15" s="867">
        <v>2.19</v>
      </c>
      <c r="FX15" s="566">
        <f>RANK($FW15,$FW$8:$FW$154,0)+COUNTIF($FW$8:$FW15,$FW15)-1</f>
        <v>71</v>
      </c>
      <c r="FY15" s="529"/>
      <c r="FZ15" s="567" t="s">
        <v>2774</v>
      </c>
      <c r="GA15" s="567" t="s">
        <v>2775</v>
      </c>
      <c r="GB15" s="567" t="s">
        <v>2776</v>
      </c>
      <c r="GC15" s="567" t="s">
        <v>2777</v>
      </c>
      <c r="GD15" s="567" t="s">
        <v>2778</v>
      </c>
      <c r="GE15" s="567" t="s">
        <v>2779</v>
      </c>
      <c r="GF15" s="567" t="str">
        <f>HYPERLINK("https://www.banquedesterritoires.fr/plan-renovation-energetique-batiments-publics","https://www.banquedesterritoires.fr/plan-renovation-energetique-batiments-publics")&amp;CHAR(10)&amp;HYPERLINK("https://www.ecologie.gouv.fr/eco-energie-tertiaire-eet","https://www.ecologie.gouv.fr/eco-energie-tertiaire-eet")&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https://www.banquedesterritoires.fr/plan-renovation-energetique-batiments-publics
https://www.ecologie.gouv.fr/eco-energie-tertiaire-eet
https://www.statistiques.developpement-durable.gouv.fr/construction-de-locaux-resultats-fin-janvier-2026-france-entiere
https://www.insee.fr/fr/statistiques/8671745
https://www.insee.fr/fr/statistiques/8906564</v>
      </c>
      <c r="GG15" s="529"/>
      <c r="GH15" s="563">
        <f t="shared" si="59"/>
        <v>3102.1889367321592</v>
      </c>
      <c r="GI15" s="563">
        <f>IFERROR($BE15*$FP15*0.2468*$BO15,0)</f>
        <v>2296.2614487321594</v>
      </c>
      <c r="GJ15" s="563">
        <f t="shared" si="60"/>
        <v>805.92748800000004</v>
      </c>
      <c r="GK15" s="563">
        <f t="shared" si="61"/>
        <v>2992.8431534592</v>
      </c>
      <c r="GL15" s="563">
        <f>IFERROR($BE15*$FP15*0.2468*$BP15,0)</f>
        <v>2186.9156654591998</v>
      </c>
      <c r="GM15" s="563">
        <f t="shared" si="62"/>
        <v>805.92748800000004</v>
      </c>
      <c r="GN15" s="563">
        <f t="shared" si="63"/>
        <v>808.65534996479994</v>
      </c>
      <c r="GO15" s="563">
        <f>IFERROR($BE15*$FP15*0.2468*$BQ15,0)</f>
        <v>546.72891636479994</v>
      </c>
      <c r="GP15" s="563">
        <f t="shared" si="64"/>
        <v>261.9264336</v>
      </c>
      <c r="GQ15" s="563">
        <f t="shared" si="65"/>
        <v>578.42044349183993</v>
      </c>
      <c r="GR15" s="563">
        <f>IFERROR($BE15*$FP15*0.2468*$BR15,0)</f>
        <v>437.38313309183991</v>
      </c>
      <c r="GS15" s="563">
        <f t="shared" si="66"/>
        <v>141.03731040000002</v>
      </c>
      <c r="GT15" s="563">
        <f t="shared" si="67"/>
        <v>4014.4184000063997</v>
      </c>
      <c r="GU15" s="563">
        <f>IFERROR($BF15*$FP15*0.2468*$BW15,0)</f>
        <v>3007.0090400063996</v>
      </c>
      <c r="GV15" s="563">
        <f t="shared" si="68"/>
        <v>1007.40936</v>
      </c>
      <c r="GW15" s="563">
        <f t="shared" si="69"/>
        <v>2659.0341336767997</v>
      </c>
      <c r="GX15" s="563">
        <f>IFERROR($BF15*$FP15*0.2468*$BX15,0)</f>
        <v>1913.5512072767995</v>
      </c>
      <c r="GY15" s="563">
        <f t="shared" si="70"/>
        <v>745.4829264</v>
      </c>
      <c r="GZ15" s="563">
        <f t="shared" si="71"/>
        <v>808.65534996479994</v>
      </c>
      <c r="HA15" s="563">
        <f>IFERROR($BF15*$FP15*0.2468*$BY15,0)</f>
        <v>546.72891636479994</v>
      </c>
      <c r="HB15" s="563">
        <f t="shared" si="72"/>
        <v>261.9264336</v>
      </c>
      <c r="HC15" s="563">
        <f t="shared" si="73"/>
        <v>160.79185718208001</v>
      </c>
      <c r="HD15" s="563">
        <f>IFERROR($BG15*$FP15*0.2468*$CC15,0)</f>
        <v>123.01400618208001</v>
      </c>
      <c r="HE15" s="563">
        <f t="shared" si="74"/>
        <v>37.777850999999998</v>
      </c>
      <c r="HF15" s="563">
        <f t="shared" si="75"/>
        <v>631.30285268279999</v>
      </c>
      <c r="HG15" s="563">
        <f>IFERROR($BG15*$FP15*0.2468*$CD15,0)</f>
        <v>461.30252318280003</v>
      </c>
      <c r="HH15" s="563">
        <f t="shared" si="76"/>
        <v>170.00032949999999</v>
      </c>
      <c r="HI15" s="563">
        <f t="shared" si="77"/>
        <v>179.68078268208001</v>
      </c>
      <c r="HJ15" s="563">
        <f>IFERROR($BG15*$FP15*0.2468*$CE15,0)</f>
        <v>123.01400618208001</v>
      </c>
      <c r="HK15" s="563">
        <f t="shared" si="78"/>
        <v>56.666776499999997</v>
      </c>
      <c r="HL15" s="563">
        <f t="shared" si="79"/>
        <v>431.11973563704004</v>
      </c>
      <c r="HM15" s="563">
        <f>IFERROR($BG15*$FP15*0.2468*$CF15,0)</f>
        <v>317.78618263704004</v>
      </c>
      <c r="HN15" s="563">
        <f t="shared" si="80"/>
        <v>113.33355299999999</v>
      </c>
      <c r="HO15" s="563">
        <f t="shared" si="81"/>
        <v>3565.6755827784</v>
      </c>
      <c r="HP15" s="563">
        <f>IFERROR($BH15*$FP15*0.2468*$CK15,0)</f>
        <v>2665.3034672783997</v>
      </c>
      <c r="HQ15" s="563">
        <f t="shared" si="82"/>
        <v>900.37211550000006</v>
      </c>
      <c r="HR15" s="563">
        <f t="shared" si="83"/>
        <v>2176.8356357123998</v>
      </c>
      <c r="HS15" s="563">
        <f>IFERROR($BH15*$FP15*0.2468*$CL15,0)</f>
        <v>1554.7603559123997</v>
      </c>
      <c r="HT15" s="563">
        <f t="shared" si="84"/>
        <v>622.07527979999998</v>
      </c>
      <c r="HU15" s="563">
        <f t="shared" si="85"/>
        <v>336.70143697320003</v>
      </c>
      <c r="HV15" s="563">
        <f>IFERROR($BH15*$FP15*0.2468*$CM15,0)</f>
        <v>222.10862227320001</v>
      </c>
      <c r="HW15" s="563">
        <f t="shared" si="86"/>
        <v>114.59281470000001</v>
      </c>
      <c r="HX15" s="544"/>
      <c r="HY15" s="568">
        <f t="shared" si="87"/>
        <v>78096</v>
      </c>
      <c r="HZ15" s="568">
        <f t="shared" si="88"/>
        <v>136.1799</v>
      </c>
      <c r="IA15" s="568">
        <f t="shared" si="89"/>
        <v>16145.697200000002</v>
      </c>
      <c r="IB15" s="568">
        <f t="shared" si="90"/>
        <v>42252.213799999998</v>
      </c>
      <c r="IC15" s="568">
        <f t="shared" si="91"/>
        <v>18443.1839</v>
      </c>
      <c r="ID15" s="568">
        <f t="shared" si="92"/>
        <v>1118.7252000000001</v>
      </c>
      <c r="IE15" s="568">
        <f t="shared" si="93"/>
        <v>16401.867490944001</v>
      </c>
      <c r="IF15" s="568">
        <f t="shared" si="94"/>
        <v>0</v>
      </c>
      <c r="IG15" s="568">
        <f t="shared" si="95"/>
        <v>1572.0164873351639</v>
      </c>
      <c r="IH15" s="568">
        <f t="shared" si="96"/>
        <v>8100.0622604026939</v>
      </c>
      <c r="II15" s="568">
        <f t="shared" si="97"/>
        <v>6047.7444200410528</v>
      </c>
      <c r="IJ15" s="568">
        <f t="shared" si="98"/>
        <v>682.04432316508792</v>
      </c>
      <c r="IK15" s="868">
        <v>3.8</v>
      </c>
      <c r="IL15" s="569" t="s">
        <v>2780</v>
      </c>
      <c r="IM15" s="570" t="s">
        <v>2781</v>
      </c>
      <c r="IN15" s="529"/>
      <c r="IO15" s="742">
        <v>0</v>
      </c>
      <c r="IP15" s="742">
        <v>0.23730000000000001</v>
      </c>
      <c r="IQ15" s="742">
        <v>0.5484</v>
      </c>
      <c r="IR15" s="742">
        <v>0.20449999999999999</v>
      </c>
      <c r="IS15" s="742">
        <v>9.7999999999999997E-3</v>
      </c>
      <c r="IT15" s="742">
        <v>0</v>
      </c>
      <c r="IU15" s="742">
        <v>0.11559999999999999</v>
      </c>
      <c r="IV15" s="742">
        <v>0.51919999999999999</v>
      </c>
      <c r="IW15" s="742">
        <v>0.33460000000000001</v>
      </c>
      <c r="IX15" s="742">
        <v>3.0599999999999999E-2</v>
      </c>
      <c r="IY15" s="742">
        <v>0</v>
      </c>
      <c r="IZ15" s="742">
        <v>0.1515</v>
      </c>
      <c r="JA15" s="742">
        <v>0.53800000000000003</v>
      </c>
      <c r="JB15" s="742">
        <v>0.28899999999999998</v>
      </c>
      <c r="JC15" s="742">
        <v>2.1499999999999998E-2</v>
      </c>
      <c r="JD15" s="742">
        <v>0</v>
      </c>
      <c r="JE15" s="742">
        <v>5.7099999999999998E-2</v>
      </c>
      <c r="JF15" s="742">
        <v>0.4556</v>
      </c>
      <c r="JG15" s="742">
        <v>0.42809999999999998</v>
      </c>
      <c r="JH15" s="742">
        <v>5.9200000000000003E-2</v>
      </c>
      <c r="JI15" s="742">
        <v>2.7900000000000001E-2</v>
      </c>
      <c r="JJ15" s="742">
        <v>0.36499999999999999</v>
      </c>
      <c r="JK15" s="742">
        <v>0.48549999999999999</v>
      </c>
      <c r="JL15" s="742">
        <v>0.1187</v>
      </c>
      <c r="JM15" s="742">
        <v>2.8999999999999998E-3</v>
      </c>
      <c r="JN15" s="742">
        <v>0</v>
      </c>
      <c r="JO15" s="742">
        <v>0.22589999999999999</v>
      </c>
      <c r="JP15" s="742">
        <v>0.54900000000000004</v>
      </c>
      <c r="JQ15" s="742">
        <v>0.2142</v>
      </c>
      <c r="JR15" s="742">
        <v>1.09E-2</v>
      </c>
      <c r="JS15" s="742">
        <v>0</v>
      </c>
      <c r="JT15" s="742">
        <v>0.2006</v>
      </c>
      <c r="JU15" s="742">
        <v>0.54849999999999999</v>
      </c>
      <c r="JV15" s="742">
        <v>0.23719999999999999</v>
      </c>
      <c r="JW15" s="742">
        <v>1.37E-2</v>
      </c>
      <c r="JX15" s="742">
        <v>0</v>
      </c>
      <c r="JY15" s="742">
        <v>8.9200000000000002E-2</v>
      </c>
      <c r="JZ15" s="742">
        <v>0.497</v>
      </c>
      <c r="KA15" s="742">
        <v>0.37330000000000002</v>
      </c>
      <c r="KB15" s="742">
        <v>4.0500000000000001E-2</v>
      </c>
      <c r="KC15" s="657"/>
      <c r="KD15" s="832" t="s">
        <v>2591</v>
      </c>
      <c r="KE15" s="832" t="s">
        <v>2591</v>
      </c>
      <c r="KF15" s="869">
        <v>3.95</v>
      </c>
      <c r="KG15" s="832" t="s">
        <v>2626</v>
      </c>
      <c r="KH15" s="833" t="s">
        <v>2782</v>
      </c>
      <c r="KI15" s="832" t="s">
        <v>2720</v>
      </c>
      <c r="KJ15" s="833" t="s">
        <v>2783</v>
      </c>
    </row>
    <row r="16" spans="1:327" ht="48" hidden="1" customHeight="1">
      <c r="A16" s="273">
        <f t="shared" si="99"/>
        <v>9</v>
      </c>
      <c r="B16" s="274" t="s">
        <v>2600</v>
      </c>
      <c r="C16" s="274" t="s">
        <v>1014</v>
      </c>
      <c r="D16" s="274" t="s">
        <v>1015</v>
      </c>
      <c r="E16" s="275" t="s">
        <v>2106</v>
      </c>
      <c r="F16" s="275" t="s">
        <v>300</v>
      </c>
      <c r="G16" s="275" t="s">
        <v>300</v>
      </c>
      <c r="H16" s="275" t="s">
        <v>2109</v>
      </c>
      <c r="I16" s="276" t="s">
        <v>2784</v>
      </c>
      <c r="J16" s="276" t="s">
        <v>2785</v>
      </c>
      <c r="K16" s="277" t="s">
        <v>2097</v>
      </c>
      <c r="L16" s="277" t="s">
        <v>2109</v>
      </c>
      <c r="M16" s="277" t="s">
        <v>2603</v>
      </c>
      <c r="N16" s="277" t="s">
        <v>2099</v>
      </c>
      <c r="O16" s="275" t="s">
        <v>2212</v>
      </c>
      <c r="P16" s="276"/>
      <c r="Q16" s="270">
        <v>1</v>
      </c>
      <c r="R16" s="278">
        <v>65000</v>
      </c>
      <c r="S16" s="279">
        <v>82</v>
      </c>
      <c r="T16" s="279">
        <v>81</v>
      </c>
      <c r="U16" s="279">
        <v>79</v>
      </c>
      <c r="V16" s="279">
        <v>71</v>
      </c>
      <c r="W16" s="279">
        <v>69</v>
      </c>
      <c r="X16" s="279">
        <v>67</v>
      </c>
      <c r="Y16" s="279">
        <v>65</v>
      </c>
      <c r="Z16" s="279">
        <v>62</v>
      </c>
      <c r="AA16" s="279">
        <v>59</v>
      </c>
      <c r="AB16" s="279">
        <v>56</v>
      </c>
      <c r="AC16" s="279">
        <v>53</v>
      </c>
      <c r="AD16" s="279">
        <v>50</v>
      </c>
      <c r="AE16" s="279">
        <v>47</v>
      </c>
      <c r="AF16" s="279">
        <v>45</v>
      </c>
      <c r="AG16" s="279">
        <v>45</v>
      </c>
      <c r="AH16" s="279">
        <v>44</v>
      </c>
      <c r="AI16" s="279">
        <v>43</v>
      </c>
      <c r="AJ16" s="279">
        <v>43</v>
      </c>
      <c r="AK16" s="279">
        <v>42</v>
      </c>
      <c r="AL16" s="276" t="s">
        <v>2682</v>
      </c>
      <c r="AM16" s="276" t="s">
        <v>2786</v>
      </c>
      <c r="AN16" s="276" t="s">
        <v>2787</v>
      </c>
      <c r="AO16" s="657"/>
      <c r="AP16" s="278">
        <v>12000</v>
      </c>
      <c r="AQ16" s="278">
        <v>10320</v>
      </c>
      <c r="AR16" s="278">
        <v>1200</v>
      </c>
      <c r="AS16" s="278">
        <v>480</v>
      </c>
      <c r="AT16" s="657"/>
      <c r="AU16" s="281" t="s">
        <v>2788</v>
      </c>
      <c r="AV16" s="296" t="s">
        <v>2789</v>
      </c>
      <c r="AW16" s="296" t="s">
        <v>2790</v>
      </c>
      <c r="AX16" s="276" t="s">
        <v>2687</v>
      </c>
      <c r="AY16" s="657"/>
      <c r="AZ16" s="947">
        <v>350</v>
      </c>
      <c r="BA16" s="947">
        <v>8</v>
      </c>
      <c r="BB16" s="947">
        <v>95</v>
      </c>
      <c r="BC16" s="947">
        <v>220</v>
      </c>
      <c r="BD16" s="824">
        <f t="shared" si="4"/>
        <v>30285</v>
      </c>
      <c r="BE16" s="283">
        <f t="shared" si="5"/>
        <v>15750</v>
      </c>
      <c r="BF16" s="283">
        <f t="shared" si="6"/>
        <v>360</v>
      </c>
      <c r="BG16" s="283">
        <f t="shared" si="7"/>
        <v>4275</v>
      </c>
      <c r="BH16" s="283">
        <f t="shared" si="8"/>
        <v>9900</v>
      </c>
      <c r="BI16" s="824">
        <f t="shared" si="9"/>
        <v>28266</v>
      </c>
      <c r="BJ16" s="283">
        <f t="shared" si="10"/>
        <v>14700</v>
      </c>
      <c r="BK16" s="283">
        <f t="shared" si="11"/>
        <v>336</v>
      </c>
      <c r="BL16" s="283">
        <f t="shared" si="12"/>
        <v>3990</v>
      </c>
      <c r="BM16" s="283">
        <f t="shared" si="13"/>
        <v>9240</v>
      </c>
      <c r="BN16" s="657"/>
      <c r="BO16" s="305">
        <v>0.2</v>
      </c>
      <c r="BP16" s="305">
        <v>0.55000000000000004</v>
      </c>
      <c r="BQ16" s="305">
        <v>0.2</v>
      </c>
      <c r="BR16" s="581">
        <v>0.05</v>
      </c>
      <c r="BS16" s="706">
        <v>0.18</v>
      </c>
      <c r="BT16" s="305">
        <v>0.55000000000000004</v>
      </c>
      <c r="BU16" s="305">
        <v>0.23</v>
      </c>
      <c r="BV16" s="581">
        <v>0.04</v>
      </c>
      <c r="BW16" s="713">
        <v>0.25</v>
      </c>
      <c r="BX16" s="306">
        <v>0.65</v>
      </c>
      <c r="BY16" s="590">
        <v>0.1</v>
      </c>
      <c r="BZ16" s="713">
        <v>0.2</v>
      </c>
      <c r="CA16" s="306">
        <v>0.67</v>
      </c>
      <c r="CB16" s="590">
        <v>0.13</v>
      </c>
      <c r="CC16" s="706">
        <v>0.08</v>
      </c>
      <c r="CD16" s="305">
        <v>0.45</v>
      </c>
      <c r="CE16" s="305">
        <v>0.25</v>
      </c>
      <c r="CF16" s="581">
        <v>0.22</v>
      </c>
      <c r="CG16" s="706">
        <v>0.06</v>
      </c>
      <c r="CH16" s="305">
        <v>0.45</v>
      </c>
      <c r="CI16" s="305">
        <v>0.28000000000000003</v>
      </c>
      <c r="CJ16" s="581">
        <v>0.21</v>
      </c>
      <c r="CK16" s="719">
        <v>0.35</v>
      </c>
      <c r="CL16" s="307">
        <v>0.5</v>
      </c>
      <c r="CM16" s="723">
        <v>0.15</v>
      </c>
      <c r="CN16" s="719">
        <v>0.25</v>
      </c>
      <c r="CO16" s="307">
        <v>0.5</v>
      </c>
      <c r="CP16" s="723">
        <v>0.25</v>
      </c>
      <c r="CQ16" s="657"/>
      <c r="CR16" s="804">
        <v>13</v>
      </c>
      <c r="CS16" s="805">
        <v>14</v>
      </c>
      <c r="CT16" s="805">
        <v>10</v>
      </c>
      <c r="CU16" s="806">
        <v>12</v>
      </c>
      <c r="CV16" s="804">
        <v>13</v>
      </c>
      <c r="CW16" s="805">
        <v>12</v>
      </c>
      <c r="CX16" s="806">
        <v>9</v>
      </c>
      <c r="CY16" s="804">
        <v>11</v>
      </c>
      <c r="CZ16" s="805">
        <v>14</v>
      </c>
      <c r="DA16" s="805">
        <v>10</v>
      </c>
      <c r="DB16" s="806">
        <v>12</v>
      </c>
      <c r="DC16" s="804">
        <v>12</v>
      </c>
      <c r="DD16" s="805">
        <v>14</v>
      </c>
      <c r="DE16" s="806">
        <v>11</v>
      </c>
      <c r="DF16" s="609" t="s">
        <v>2791</v>
      </c>
      <c r="DG16" s="657"/>
      <c r="DH16" s="308">
        <f t="shared" si="14"/>
        <v>3150</v>
      </c>
      <c r="DI16" s="308">
        <f t="shared" si="15"/>
        <v>8662.5</v>
      </c>
      <c r="DJ16" s="308">
        <f t="shared" si="16"/>
        <v>3150</v>
      </c>
      <c r="DK16" s="308">
        <f t="shared" si="17"/>
        <v>787.5</v>
      </c>
      <c r="DL16" s="287" t="s">
        <v>2792</v>
      </c>
      <c r="DM16" s="308">
        <f t="shared" si="18"/>
        <v>2646</v>
      </c>
      <c r="DN16" s="308">
        <f t="shared" si="19"/>
        <v>8085.0000000000009</v>
      </c>
      <c r="DO16" s="308">
        <f t="shared" si="20"/>
        <v>3381</v>
      </c>
      <c r="DP16" s="308">
        <f t="shared" si="21"/>
        <v>588</v>
      </c>
      <c r="DQ16" s="289" t="s">
        <v>2793</v>
      </c>
      <c r="DR16" s="657"/>
      <c r="DS16" s="308">
        <f t="shared" si="22"/>
        <v>90</v>
      </c>
      <c r="DT16" s="308">
        <f t="shared" si="23"/>
        <v>234</v>
      </c>
      <c r="DU16" s="308">
        <f t="shared" si="24"/>
        <v>36</v>
      </c>
      <c r="DV16" s="289" t="s">
        <v>2794</v>
      </c>
      <c r="DW16" s="308">
        <f t="shared" si="25"/>
        <v>67.2</v>
      </c>
      <c r="DX16" s="308">
        <f t="shared" si="26"/>
        <v>225.12</v>
      </c>
      <c r="DY16" s="308">
        <f t="shared" si="27"/>
        <v>43.68</v>
      </c>
      <c r="DZ16" s="289" t="s">
        <v>2795</v>
      </c>
      <c r="EA16" s="657"/>
      <c r="EB16" s="308">
        <f t="shared" si="28"/>
        <v>342</v>
      </c>
      <c r="EC16" s="308">
        <f t="shared" si="29"/>
        <v>1923.75</v>
      </c>
      <c r="ED16" s="308">
        <f t="shared" si="30"/>
        <v>1068.75</v>
      </c>
      <c r="EE16" s="308">
        <f t="shared" si="31"/>
        <v>940.5</v>
      </c>
      <c r="EF16" s="289" t="s">
        <v>2796</v>
      </c>
      <c r="EG16" s="308">
        <f t="shared" si="32"/>
        <v>239.39999999999998</v>
      </c>
      <c r="EH16" s="308">
        <f t="shared" si="33"/>
        <v>1795.5</v>
      </c>
      <c r="EI16" s="308">
        <f t="shared" si="34"/>
        <v>1117.2</v>
      </c>
      <c r="EJ16" s="308">
        <f t="shared" si="35"/>
        <v>837.9</v>
      </c>
      <c r="EK16" s="309" t="s">
        <v>2797</v>
      </c>
      <c r="EL16" s="657"/>
      <c r="EM16" s="308">
        <f t="shared" si="36"/>
        <v>3465</v>
      </c>
      <c r="EN16" s="310">
        <f t="shared" si="37"/>
        <v>4950</v>
      </c>
      <c r="EO16" s="310">
        <f t="shared" si="38"/>
        <v>1485</v>
      </c>
      <c r="EP16" s="289" t="s">
        <v>2798</v>
      </c>
      <c r="EQ16" s="308">
        <f t="shared" si="39"/>
        <v>2310</v>
      </c>
      <c r="ER16" s="310">
        <f t="shared" si="40"/>
        <v>4620</v>
      </c>
      <c r="ES16" s="310">
        <f t="shared" si="41"/>
        <v>2310</v>
      </c>
      <c r="ET16" s="289" t="s">
        <v>2799</v>
      </c>
      <c r="EU16" s="657"/>
      <c r="EV16" s="728">
        <f t="shared" si="42"/>
        <v>0.65012141262481926</v>
      </c>
      <c r="EW16" s="728">
        <f t="shared" si="43"/>
        <v>0.34987858737518085</v>
      </c>
      <c r="EX16" s="311">
        <f t="shared" si="44"/>
        <v>7451.8297034400002</v>
      </c>
      <c r="EY16" s="311">
        <f t="shared" si="45"/>
        <v>4844.5940534400006</v>
      </c>
      <c r="EZ16" s="311">
        <f t="shared" si="46"/>
        <v>2607.2356500000001</v>
      </c>
      <c r="FA16" s="311">
        <f t="shared" si="47"/>
        <v>3875.3943480000003</v>
      </c>
      <c r="FB16" s="311">
        <f t="shared" si="48"/>
        <v>2519.4768480000002</v>
      </c>
      <c r="FC16" s="311">
        <f t="shared" si="49"/>
        <v>1355.9175</v>
      </c>
      <c r="FD16" s="311">
        <f t="shared" si="50"/>
        <v>88.580442240000011</v>
      </c>
      <c r="FE16" s="311">
        <f t="shared" si="51"/>
        <v>57.588042240000007</v>
      </c>
      <c r="FF16" s="311">
        <f t="shared" si="52"/>
        <v>30.9924</v>
      </c>
      <c r="FG16" s="311">
        <f t="shared" si="53"/>
        <v>1051.8927515999999</v>
      </c>
      <c r="FH16" s="311">
        <f t="shared" si="54"/>
        <v>683.85800159999997</v>
      </c>
      <c r="FI16" s="311">
        <f t="shared" si="55"/>
        <v>368.03474999999997</v>
      </c>
      <c r="FJ16" s="311">
        <f t="shared" si="56"/>
        <v>2435.9621615999999</v>
      </c>
      <c r="FK16" s="311">
        <f t="shared" si="57"/>
        <v>1583.6711616</v>
      </c>
      <c r="FL16" s="311">
        <f t="shared" si="58"/>
        <v>852.29100000000005</v>
      </c>
      <c r="FM16" s="657"/>
      <c r="FN16" s="293" t="s">
        <v>2649</v>
      </c>
      <c r="FO16" s="728">
        <v>8.609E-2</v>
      </c>
      <c r="FP16" s="729">
        <v>0.86189000000000004</v>
      </c>
      <c r="FQ16" s="294" t="s">
        <v>2800</v>
      </c>
      <c r="FR16" s="657"/>
      <c r="FS16" s="865">
        <v>3.25</v>
      </c>
      <c r="FT16" s="312">
        <f>RANK($FS16,$FS$8:$FS$154,0)+COUNTIF($FS$8:$FS16,$FS16)-1</f>
        <v>81</v>
      </c>
      <c r="FU16" s="865">
        <v>3.89</v>
      </c>
      <c r="FV16" s="312">
        <f>RANK($FU16,$FU$8:$FU$154,0)+COUNTIF($FU$8:$FU16,$FU16)-1</f>
        <v>97</v>
      </c>
      <c r="FW16" s="865">
        <v>2.46</v>
      </c>
      <c r="FX16" s="312">
        <f>RANK($FW16,$FW$8:$FW$154,0)+COUNTIF($FW$8:$FW16,$FW16)-1</f>
        <v>47</v>
      </c>
      <c r="FY16" s="657"/>
      <c r="FZ16" s="296" t="s">
        <v>2801</v>
      </c>
      <c r="GA16" s="296" t="s">
        <v>2802</v>
      </c>
      <c r="GB16" s="296" t="s">
        <v>2803</v>
      </c>
      <c r="GC16" s="296" t="s">
        <v>2804</v>
      </c>
      <c r="GD16" s="296" t="s">
        <v>2805</v>
      </c>
      <c r="GE16" s="296" t="s">
        <v>2806</v>
      </c>
      <c r="GF16" s="296" t="str">
        <f>HYPERLINK("https://www.banquedesterritoires.fr/plan-renovation-energetique-batiments-publics","https://www.banquedesterritoires.fr/plan-renovation-energetique-batiments-publics")&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https://www.banquedesterritoires.fr/plan-renovation-energetique-batiments-publics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6" s="657"/>
      <c r="GH16" s="311">
        <f t="shared" si="59"/>
        <v>747.9605196</v>
      </c>
      <c r="GI16" s="311">
        <f>IFERROR($BE16*$FP16*0.1856*$BO16,0)</f>
        <v>503.89536959999998</v>
      </c>
      <c r="GJ16" s="311">
        <f t="shared" si="60"/>
        <v>244.06514999999999</v>
      </c>
      <c r="GK16" s="311">
        <f t="shared" si="61"/>
        <v>2131.4668914000003</v>
      </c>
      <c r="GL16" s="311">
        <f>IFERROR($BE16*$FP16*0.1856*$BP16,0)</f>
        <v>1385.7122664000001</v>
      </c>
      <c r="GM16" s="311">
        <f t="shared" si="62"/>
        <v>745.75462500000003</v>
      </c>
      <c r="GN16" s="311">
        <f t="shared" si="63"/>
        <v>815.75639460000002</v>
      </c>
      <c r="GO16" s="311">
        <f>IFERROR($BE16*$FP16*0.1856*$BQ16,0)</f>
        <v>503.89536959999998</v>
      </c>
      <c r="GP16" s="311">
        <f t="shared" si="64"/>
        <v>311.86102500000004</v>
      </c>
      <c r="GQ16" s="311">
        <f t="shared" si="65"/>
        <v>180.21054240000001</v>
      </c>
      <c r="GR16" s="311">
        <f>IFERROR($BE16*$FP16*0.1856*$BR16,0)</f>
        <v>125.9738424</v>
      </c>
      <c r="GS16" s="311">
        <f t="shared" si="66"/>
        <v>54.236699999999999</v>
      </c>
      <c r="GT16" s="311">
        <f t="shared" si="67"/>
        <v>20.595490560000002</v>
      </c>
      <c r="GU16" s="311">
        <f>IFERROR($BF16*$FP16*0.1856*$BW16,0)</f>
        <v>14.397010560000002</v>
      </c>
      <c r="GV16" s="311">
        <f t="shared" si="68"/>
        <v>6.19848</v>
      </c>
      <c r="GW16" s="311">
        <f t="shared" si="69"/>
        <v>58.197135456000012</v>
      </c>
      <c r="GX16" s="311">
        <f>IFERROR($BF16*$FP16*0.1856*$BX16,0)</f>
        <v>37.432227456000007</v>
      </c>
      <c r="GY16" s="311">
        <f t="shared" si="70"/>
        <v>20.764908000000002</v>
      </c>
      <c r="GZ16" s="311">
        <f t="shared" si="71"/>
        <v>9.7878162240000002</v>
      </c>
      <c r="HA16" s="311">
        <f>IFERROR($BF16*$FP16*0.1856*$BY16,0)</f>
        <v>5.7588042240000012</v>
      </c>
      <c r="HB16" s="311">
        <f t="shared" si="72"/>
        <v>4.0290119999999998</v>
      </c>
      <c r="HC16" s="311">
        <f t="shared" si="73"/>
        <v>76.790725127999991</v>
      </c>
      <c r="HD16" s="311">
        <f>IFERROR($BG16*$FP16*0.1856*$CC16,0)</f>
        <v>54.708640127999999</v>
      </c>
      <c r="HE16" s="311">
        <f t="shared" si="74"/>
        <v>22.082084999999999</v>
      </c>
      <c r="HF16" s="311">
        <f t="shared" si="75"/>
        <v>473.35173821999996</v>
      </c>
      <c r="HG16" s="311">
        <f>IFERROR($BG16*$FP16*0.1856*$CD16,0)</f>
        <v>307.73610071999997</v>
      </c>
      <c r="HH16" s="311">
        <f t="shared" si="76"/>
        <v>165.61563749999999</v>
      </c>
      <c r="HI16" s="311">
        <f t="shared" si="77"/>
        <v>274.01423039999997</v>
      </c>
      <c r="HJ16" s="311">
        <f>IFERROR($BG16*$FP16*0.1856*$CE16,0)</f>
        <v>170.96450039999999</v>
      </c>
      <c r="HK16" s="311">
        <f t="shared" si="78"/>
        <v>103.04973</v>
      </c>
      <c r="HL16" s="311">
        <f t="shared" si="79"/>
        <v>227.73605785199999</v>
      </c>
      <c r="HM16" s="311">
        <f>IFERROR($BG16*$FP16*0.1856*$CF16,0)</f>
        <v>150.44876035199999</v>
      </c>
      <c r="HN16" s="311">
        <f t="shared" si="80"/>
        <v>77.287297499999994</v>
      </c>
      <c r="HO16" s="311">
        <f t="shared" si="81"/>
        <v>767.35765656000001</v>
      </c>
      <c r="HP16" s="311">
        <f>IFERROR($BH16*$FP16*0.1856*$CK16,0)</f>
        <v>554.28490655999997</v>
      </c>
      <c r="HQ16" s="311">
        <f t="shared" si="82"/>
        <v>213.07275000000001</v>
      </c>
      <c r="HR16" s="311">
        <f t="shared" si="83"/>
        <v>1217.9810808</v>
      </c>
      <c r="HS16" s="311">
        <f>IFERROR($BH16*$FP16*0.1856*$CL16,0)</f>
        <v>791.8355808</v>
      </c>
      <c r="HT16" s="311">
        <f t="shared" si="84"/>
        <v>426.14550000000003</v>
      </c>
      <c r="HU16" s="311">
        <f t="shared" si="85"/>
        <v>450.62342423999996</v>
      </c>
      <c r="HV16" s="311">
        <f>IFERROR($BH16*$FP16*0.1856*$CM16,0)</f>
        <v>237.55067423999998</v>
      </c>
      <c r="HW16" s="311">
        <f t="shared" si="86"/>
        <v>213.07275000000001</v>
      </c>
      <c r="HY16" s="313">
        <f t="shared" si="87"/>
        <v>30285</v>
      </c>
      <c r="HZ16" s="313">
        <f t="shared" si="88"/>
        <v>808.60950000000003</v>
      </c>
      <c r="IA16" s="313">
        <f t="shared" si="89"/>
        <v>11565.7155</v>
      </c>
      <c r="IB16" s="313">
        <f t="shared" si="90"/>
        <v>14664.460500000001</v>
      </c>
      <c r="IC16" s="313">
        <f t="shared" si="91"/>
        <v>3188.8125</v>
      </c>
      <c r="ID16" s="313">
        <f t="shared" si="92"/>
        <v>57.402000000000001</v>
      </c>
      <c r="IE16" s="313">
        <f t="shared" si="93"/>
        <v>4844.5940534399997</v>
      </c>
      <c r="IF16" s="313">
        <f t="shared" si="94"/>
        <v>0</v>
      </c>
      <c r="IG16" s="313">
        <f t="shared" si="95"/>
        <v>925.11302665708808</v>
      </c>
      <c r="IH16" s="313">
        <f t="shared" si="96"/>
        <v>2721.1904835540481</v>
      </c>
      <c r="II16" s="313">
        <f t="shared" si="97"/>
        <v>1142.0860537036799</v>
      </c>
      <c r="IJ16" s="313">
        <f t="shared" si="98"/>
        <v>56.204489525184002</v>
      </c>
      <c r="IK16" s="866">
        <v>4.0199999999999996</v>
      </c>
      <c r="IL16" s="314" t="s">
        <v>2589</v>
      </c>
      <c r="IM16" s="299" t="s">
        <v>2807</v>
      </c>
      <c r="IN16" s="657"/>
      <c r="IO16" s="730">
        <v>1.2800000000000001E-2</v>
      </c>
      <c r="IP16" s="730">
        <v>0.34810000000000002</v>
      </c>
      <c r="IQ16" s="730">
        <v>0.51590000000000003</v>
      </c>
      <c r="IR16" s="730">
        <v>0.1207</v>
      </c>
      <c r="IS16" s="730">
        <v>2.5000000000000001E-3</v>
      </c>
      <c r="IT16" s="730">
        <v>0</v>
      </c>
      <c r="IU16" s="730">
        <v>0.1575</v>
      </c>
      <c r="IV16" s="730">
        <v>0.5615</v>
      </c>
      <c r="IW16" s="730">
        <v>0.26629999999999998</v>
      </c>
      <c r="IX16" s="730">
        <v>1.47E-2</v>
      </c>
      <c r="IY16" s="730">
        <v>2.47E-2</v>
      </c>
      <c r="IZ16" s="730">
        <v>0.38429999999999997</v>
      </c>
      <c r="JA16" s="730">
        <v>0.48630000000000001</v>
      </c>
      <c r="JB16" s="730">
        <v>0.10299999999999999</v>
      </c>
      <c r="JC16" s="730">
        <v>1.6999999999999999E-3</v>
      </c>
      <c r="JD16" s="730">
        <v>0</v>
      </c>
      <c r="JE16" s="730">
        <v>0.20069999999999999</v>
      </c>
      <c r="JF16" s="730">
        <v>0.53720000000000001</v>
      </c>
      <c r="JG16" s="730">
        <v>0.2455</v>
      </c>
      <c r="JH16" s="831">
        <v>1.66E-2</v>
      </c>
      <c r="JI16" s="831">
        <v>7.0900000000000005E-2</v>
      </c>
      <c r="JJ16" s="831">
        <v>0.4703</v>
      </c>
      <c r="JK16" s="831">
        <v>0.39050000000000001</v>
      </c>
      <c r="JL16" s="831">
        <v>6.7699999999999996E-2</v>
      </c>
      <c r="JM16" s="831">
        <v>5.9999999999999995E-4</v>
      </c>
      <c r="JN16" s="831">
        <v>0</v>
      </c>
      <c r="JO16" s="831">
        <v>0.28760000000000002</v>
      </c>
      <c r="JP16" s="831">
        <v>0.55220000000000002</v>
      </c>
      <c r="JQ16" s="831">
        <v>0.15579999999999999</v>
      </c>
      <c r="JR16" s="831">
        <v>4.4000000000000003E-3</v>
      </c>
      <c r="JS16" s="831">
        <v>2.98E-2</v>
      </c>
      <c r="JT16" s="730">
        <v>0.39739999999999998</v>
      </c>
      <c r="JU16" s="730">
        <v>0.47420000000000001</v>
      </c>
      <c r="JV16" s="730">
        <v>9.7100000000000006E-2</v>
      </c>
      <c r="JW16" s="730">
        <v>1.5E-3</v>
      </c>
      <c r="JX16" s="730">
        <v>0</v>
      </c>
      <c r="JY16" s="730">
        <v>0.2021</v>
      </c>
      <c r="JZ16" s="730">
        <v>0.56699999999999995</v>
      </c>
      <c r="KA16" s="730">
        <v>0.2213</v>
      </c>
      <c r="KB16" s="730">
        <v>9.5999999999999992E-3</v>
      </c>
      <c r="KC16" s="657"/>
      <c r="KD16" s="314" t="s">
        <v>2591</v>
      </c>
      <c r="KE16" s="314" t="s">
        <v>2625</v>
      </c>
      <c r="KF16" s="866">
        <v>3.98</v>
      </c>
      <c r="KG16" s="314" t="s">
        <v>2626</v>
      </c>
      <c r="KH16" s="315" t="s">
        <v>2808</v>
      </c>
      <c r="KI16" s="314" t="s">
        <v>2809</v>
      </c>
      <c r="KJ16" s="315" t="s">
        <v>2810</v>
      </c>
    </row>
    <row r="17" spans="1:296" ht="48" hidden="1" customHeight="1">
      <c r="A17" s="265">
        <f t="shared" si="99"/>
        <v>10</v>
      </c>
      <c r="B17" s="266" t="s">
        <v>2600</v>
      </c>
      <c r="C17" s="266" t="s">
        <v>1014</v>
      </c>
      <c r="D17" s="624" t="s">
        <v>2811</v>
      </c>
      <c r="E17" s="267" t="s">
        <v>2106</v>
      </c>
      <c r="F17" s="267" t="s">
        <v>300</v>
      </c>
      <c r="G17" s="267" t="s">
        <v>300</v>
      </c>
      <c r="H17" s="267" t="s">
        <v>2109</v>
      </c>
      <c r="I17" s="268" t="s">
        <v>2812</v>
      </c>
      <c r="J17" s="268" t="s">
        <v>2813</v>
      </c>
      <c r="K17" s="269" t="s">
        <v>2097</v>
      </c>
      <c r="L17" s="269" t="s">
        <v>2109</v>
      </c>
      <c r="M17" s="269" t="s">
        <v>2603</v>
      </c>
      <c r="N17" s="269" t="s">
        <v>2099</v>
      </c>
      <c r="O17" s="267" t="s">
        <v>2616</v>
      </c>
      <c r="P17" s="268"/>
      <c r="Q17" s="270">
        <v>1</v>
      </c>
      <c r="R17" s="271">
        <v>12000</v>
      </c>
      <c r="S17" s="272">
        <v>151</v>
      </c>
      <c r="T17" s="272">
        <v>167</v>
      </c>
      <c r="U17" s="272">
        <v>184</v>
      </c>
      <c r="V17" s="272">
        <v>203</v>
      </c>
      <c r="W17" s="272">
        <v>207</v>
      </c>
      <c r="X17" s="272">
        <v>211</v>
      </c>
      <c r="Y17" s="272">
        <v>215</v>
      </c>
      <c r="Z17" s="272">
        <v>219</v>
      </c>
      <c r="AA17" s="272">
        <v>221</v>
      </c>
      <c r="AB17" s="272">
        <v>223</v>
      </c>
      <c r="AC17" s="272">
        <v>225</v>
      </c>
      <c r="AD17" s="272">
        <v>228</v>
      </c>
      <c r="AE17" s="272">
        <v>230</v>
      </c>
      <c r="AF17" s="272">
        <v>232</v>
      </c>
      <c r="AG17" s="272">
        <v>234</v>
      </c>
      <c r="AH17" s="272">
        <v>236</v>
      </c>
      <c r="AI17" s="272">
        <v>238</v>
      </c>
      <c r="AJ17" s="272">
        <v>240</v>
      </c>
      <c r="AK17" s="272">
        <v>242</v>
      </c>
      <c r="AL17" s="268" t="s">
        <v>2132</v>
      </c>
      <c r="AM17" s="268" t="s">
        <v>2814</v>
      </c>
      <c r="AN17" s="268" t="s">
        <v>2815</v>
      </c>
      <c r="AO17" s="657"/>
      <c r="AP17" s="271">
        <v>1500</v>
      </c>
      <c r="AQ17" s="280">
        <v>1290</v>
      </c>
      <c r="AR17" s="280">
        <v>150</v>
      </c>
      <c r="AS17" s="280">
        <v>60</v>
      </c>
      <c r="AT17" s="657"/>
      <c r="AU17" s="301" t="s">
        <v>2788</v>
      </c>
      <c r="AV17" s="572" t="s">
        <v>2816</v>
      </c>
      <c r="AW17" s="645" t="s">
        <v>2817</v>
      </c>
      <c r="AX17" s="290" t="s">
        <v>2687</v>
      </c>
      <c r="AY17" s="657"/>
      <c r="AZ17" s="948">
        <v>60</v>
      </c>
      <c r="BA17" s="948">
        <v>2</v>
      </c>
      <c r="BB17" s="948">
        <v>14</v>
      </c>
      <c r="BC17" s="948">
        <v>35</v>
      </c>
      <c r="BD17" s="825">
        <f t="shared" si="4"/>
        <v>25752</v>
      </c>
      <c r="BE17" s="304">
        <f t="shared" si="5"/>
        <v>13920</v>
      </c>
      <c r="BF17" s="304">
        <f t="shared" si="6"/>
        <v>464</v>
      </c>
      <c r="BG17" s="304">
        <f t="shared" si="7"/>
        <v>3248</v>
      </c>
      <c r="BH17" s="304">
        <f t="shared" si="8"/>
        <v>8120</v>
      </c>
      <c r="BI17" s="825">
        <f t="shared" si="9"/>
        <v>26862</v>
      </c>
      <c r="BJ17" s="304">
        <f t="shared" si="10"/>
        <v>14520</v>
      </c>
      <c r="BK17" s="304">
        <f t="shared" si="11"/>
        <v>484</v>
      </c>
      <c r="BL17" s="304">
        <f t="shared" si="12"/>
        <v>3388</v>
      </c>
      <c r="BM17" s="304">
        <f t="shared" si="13"/>
        <v>8470</v>
      </c>
      <c r="BN17" s="657"/>
      <c r="BO17" s="284">
        <v>0.2</v>
      </c>
      <c r="BP17" s="284">
        <v>0.55000000000000004</v>
      </c>
      <c r="BQ17" s="284">
        <v>0.2</v>
      </c>
      <c r="BR17" s="710">
        <v>0.05</v>
      </c>
      <c r="BS17" s="707">
        <v>0.18</v>
      </c>
      <c r="BT17" s="284">
        <v>0.55000000000000004</v>
      </c>
      <c r="BU17" s="284">
        <v>0.23</v>
      </c>
      <c r="BV17" s="710">
        <v>0.04</v>
      </c>
      <c r="BW17" s="714">
        <v>0.25</v>
      </c>
      <c r="BX17" s="285">
        <v>0.65</v>
      </c>
      <c r="BY17" s="717">
        <v>0.1</v>
      </c>
      <c r="BZ17" s="714">
        <v>0.2</v>
      </c>
      <c r="CA17" s="285">
        <v>0.67</v>
      </c>
      <c r="CB17" s="717">
        <v>0.13</v>
      </c>
      <c r="CC17" s="284">
        <v>0.08</v>
      </c>
      <c r="CD17" s="284">
        <v>0.45</v>
      </c>
      <c r="CE17" s="284">
        <v>0.25</v>
      </c>
      <c r="CF17" s="710">
        <v>0.22</v>
      </c>
      <c r="CG17" s="707">
        <v>0.06</v>
      </c>
      <c r="CH17" s="284">
        <v>0.45</v>
      </c>
      <c r="CI17" s="284">
        <v>0.28000000000000003</v>
      </c>
      <c r="CJ17" s="710">
        <v>0.21</v>
      </c>
      <c r="CK17" s="720">
        <v>0.35</v>
      </c>
      <c r="CL17" s="286">
        <v>0.5</v>
      </c>
      <c r="CM17" s="718">
        <v>0.15</v>
      </c>
      <c r="CN17" s="720">
        <v>0.25</v>
      </c>
      <c r="CO17" s="286">
        <v>0.5</v>
      </c>
      <c r="CP17" s="718">
        <v>0.25</v>
      </c>
      <c r="CQ17" s="657"/>
      <c r="CR17" s="807">
        <v>13</v>
      </c>
      <c r="CS17" s="808">
        <v>14</v>
      </c>
      <c r="CT17" s="808">
        <v>10</v>
      </c>
      <c r="CU17" s="809">
        <v>12</v>
      </c>
      <c r="CV17" s="807">
        <v>13</v>
      </c>
      <c r="CW17" s="808">
        <v>12</v>
      </c>
      <c r="CX17" s="809">
        <v>9</v>
      </c>
      <c r="CY17" s="807">
        <v>11</v>
      </c>
      <c r="CZ17" s="808">
        <v>14</v>
      </c>
      <c r="DA17" s="808">
        <v>10</v>
      </c>
      <c r="DB17" s="809">
        <v>12</v>
      </c>
      <c r="DC17" s="807">
        <v>12</v>
      </c>
      <c r="DD17" s="808">
        <v>14</v>
      </c>
      <c r="DE17" s="809">
        <v>11</v>
      </c>
      <c r="DF17" s="610" t="s">
        <v>2818</v>
      </c>
      <c r="DG17" s="657"/>
      <c r="DH17" s="288">
        <f t="shared" si="14"/>
        <v>2784</v>
      </c>
      <c r="DI17" s="288">
        <f t="shared" si="15"/>
        <v>7656.0000000000009</v>
      </c>
      <c r="DJ17" s="288">
        <f t="shared" si="16"/>
        <v>2784</v>
      </c>
      <c r="DK17" s="288">
        <f t="shared" si="17"/>
        <v>696</v>
      </c>
      <c r="DL17" s="560" t="s">
        <v>2792</v>
      </c>
      <c r="DM17" s="288">
        <f t="shared" si="18"/>
        <v>2613.6</v>
      </c>
      <c r="DN17" s="288">
        <f t="shared" si="19"/>
        <v>7986.0000000000009</v>
      </c>
      <c r="DO17" s="288">
        <f t="shared" si="20"/>
        <v>3339.6000000000004</v>
      </c>
      <c r="DP17" s="288">
        <f t="shared" si="21"/>
        <v>580.80000000000007</v>
      </c>
      <c r="DQ17" s="561" t="s">
        <v>2793</v>
      </c>
      <c r="DR17" s="657"/>
      <c r="DS17" s="288">
        <f t="shared" si="22"/>
        <v>116</v>
      </c>
      <c r="DT17" s="288">
        <f t="shared" si="23"/>
        <v>301.60000000000002</v>
      </c>
      <c r="DU17" s="288">
        <f t="shared" si="24"/>
        <v>46.400000000000006</v>
      </c>
      <c r="DV17" s="561" t="s">
        <v>2794</v>
      </c>
      <c r="DW17" s="288">
        <f t="shared" si="25"/>
        <v>96.800000000000011</v>
      </c>
      <c r="DX17" s="288">
        <f t="shared" si="26"/>
        <v>324.28000000000003</v>
      </c>
      <c r="DY17" s="288">
        <f t="shared" si="27"/>
        <v>62.92</v>
      </c>
      <c r="DZ17" s="561" t="s">
        <v>2795</v>
      </c>
      <c r="EA17" s="657"/>
      <c r="EB17" s="288">
        <f t="shared" si="28"/>
        <v>259.84000000000003</v>
      </c>
      <c r="EC17" s="288">
        <f t="shared" si="29"/>
        <v>1461.6000000000001</v>
      </c>
      <c r="ED17" s="288">
        <f t="shared" si="30"/>
        <v>812</v>
      </c>
      <c r="EE17" s="288">
        <f t="shared" si="31"/>
        <v>714.56000000000006</v>
      </c>
      <c r="EF17" s="561" t="s">
        <v>2796</v>
      </c>
      <c r="EG17" s="288">
        <f t="shared" si="32"/>
        <v>203.28</v>
      </c>
      <c r="EH17" s="288">
        <f t="shared" si="33"/>
        <v>1524.6000000000001</v>
      </c>
      <c r="EI17" s="288">
        <f t="shared" si="34"/>
        <v>948.6400000000001</v>
      </c>
      <c r="EJ17" s="288">
        <f t="shared" si="35"/>
        <v>711.48</v>
      </c>
      <c r="EK17" s="561" t="s">
        <v>2797</v>
      </c>
      <c r="EL17" s="657"/>
      <c r="EM17" s="288">
        <f t="shared" si="36"/>
        <v>2842</v>
      </c>
      <c r="EN17" s="291">
        <f t="shared" si="37"/>
        <v>4060</v>
      </c>
      <c r="EO17" s="291">
        <f t="shared" si="38"/>
        <v>1218</v>
      </c>
      <c r="EP17" s="561" t="s">
        <v>2798</v>
      </c>
      <c r="EQ17" s="288">
        <f t="shared" si="39"/>
        <v>2117.5</v>
      </c>
      <c r="ER17" s="291">
        <f t="shared" si="40"/>
        <v>4235</v>
      </c>
      <c r="ES17" s="291">
        <f t="shared" si="41"/>
        <v>2117.5</v>
      </c>
      <c r="ET17" s="561" t="s">
        <v>2799</v>
      </c>
      <c r="EU17" s="657"/>
      <c r="EV17" s="740">
        <f t="shared" si="42"/>
        <v>0.65690383839198929</v>
      </c>
      <c r="EW17" s="740">
        <f t="shared" si="43"/>
        <v>0.34309616160801082</v>
      </c>
      <c r="EX17" s="563">
        <f t="shared" si="44"/>
        <v>7055.6802170399988</v>
      </c>
      <c r="EY17" s="563">
        <f t="shared" si="45"/>
        <v>4634.9034170399991</v>
      </c>
      <c r="EZ17" s="563">
        <f t="shared" si="46"/>
        <v>2420.7768000000001</v>
      </c>
      <c r="FA17" s="563">
        <f t="shared" si="47"/>
        <v>3813.8811983999994</v>
      </c>
      <c r="FB17" s="563">
        <f t="shared" si="48"/>
        <v>2505.3531983999997</v>
      </c>
      <c r="FC17" s="563">
        <f t="shared" si="49"/>
        <v>1308.528</v>
      </c>
      <c r="FD17" s="563">
        <f t="shared" si="50"/>
        <v>127.12937328</v>
      </c>
      <c r="FE17" s="563">
        <f t="shared" si="51"/>
        <v>83.51177328</v>
      </c>
      <c r="FF17" s="563">
        <f t="shared" si="52"/>
        <v>43.617599999999996</v>
      </c>
      <c r="FG17" s="563">
        <f t="shared" si="53"/>
        <v>889.90561295999998</v>
      </c>
      <c r="FH17" s="563">
        <f t="shared" si="54"/>
        <v>584.58241295999994</v>
      </c>
      <c r="FI17" s="563">
        <f t="shared" si="55"/>
        <v>305.32320000000004</v>
      </c>
      <c r="FJ17" s="563">
        <f t="shared" si="56"/>
        <v>2224.7640323999999</v>
      </c>
      <c r="FK17" s="563">
        <f t="shared" si="57"/>
        <v>1461.4560323999999</v>
      </c>
      <c r="FL17" s="563">
        <f t="shared" si="58"/>
        <v>763.30799999999999</v>
      </c>
      <c r="FM17" s="529"/>
      <c r="FN17" s="564" t="s">
        <v>2649</v>
      </c>
      <c r="FO17" s="740">
        <v>5.0900000000000001E-2</v>
      </c>
      <c r="FP17" s="741">
        <v>0.85097999999999996</v>
      </c>
      <c r="FQ17" s="565" t="s">
        <v>2819</v>
      </c>
      <c r="FR17" s="529"/>
      <c r="FS17" s="867">
        <v>3.28</v>
      </c>
      <c r="FT17" s="566">
        <f>RANK($FS17,$FS$8:$FS$154,0)+COUNTIF($FS$8:$FS17,$FS17)-1</f>
        <v>79</v>
      </c>
      <c r="FU17" s="867">
        <v>3.89</v>
      </c>
      <c r="FV17" s="566">
        <f>RANK($FU17,$FU$8:$FU$154,0)+COUNTIF($FU$8:$FU17,$FU17)-1</f>
        <v>98</v>
      </c>
      <c r="FW17" s="867">
        <v>2.54</v>
      </c>
      <c r="FX17" s="566">
        <f>RANK($FW17,$FW$8:$FW$154,0)+COUNTIF($FW$8:$FW17,$FW17)-1</f>
        <v>30</v>
      </c>
      <c r="FY17" s="529"/>
      <c r="FZ17" s="567" t="s">
        <v>2801</v>
      </c>
      <c r="GA17" s="567" t="s">
        <v>2820</v>
      </c>
      <c r="GB17" s="567" t="s">
        <v>2803</v>
      </c>
      <c r="GC17" s="567" t="s">
        <v>2804</v>
      </c>
      <c r="GD17" s="567" t="s">
        <v>2805</v>
      </c>
      <c r="GE17" s="567" t="s">
        <v>2806</v>
      </c>
      <c r="GF17" s="567" t="str">
        <f>HYPERLINK("https://www.banquedesterritoires.fr/plan-renovation-energetique-batiments-publics","https://www.banquedesterritoires.fr/plan-renovation-energetique-batiments-publics")&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https://www.banquedesterritoires.fr/plan-renovation-energetique-batiments-publics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7" s="529"/>
      <c r="GH17" s="563">
        <f t="shared" si="59"/>
        <v>736.60567967999987</v>
      </c>
      <c r="GI17" s="563">
        <f>IFERROR($BE17*$FP17*0.2115*$BO17,0)</f>
        <v>501.07063967999994</v>
      </c>
      <c r="GJ17" s="563">
        <f t="shared" si="60"/>
        <v>235.53503999999998</v>
      </c>
      <c r="GK17" s="563">
        <f t="shared" si="61"/>
        <v>2097.6346591199999</v>
      </c>
      <c r="GL17" s="563">
        <f>IFERROR($BE17*$FP17*0.2115*$BP17,0)</f>
        <v>1377.94425912</v>
      </c>
      <c r="GM17" s="563">
        <f t="shared" si="62"/>
        <v>719.69040000000007</v>
      </c>
      <c r="GN17" s="563">
        <f t="shared" si="63"/>
        <v>802.03207967999992</v>
      </c>
      <c r="GO17" s="563">
        <f>IFERROR($BE17*$FP17*0.2115*$BQ17,0)</f>
        <v>501.07063967999994</v>
      </c>
      <c r="GP17" s="563">
        <f t="shared" si="64"/>
        <v>300.96144000000004</v>
      </c>
      <c r="GQ17" s="563">
        <f t="shared" si="65"/>
        <v>177.60877991999999</v>
      </c>
      <c r="GR17" s="563">
        <f>IFERROR($BE17*$FP17*0.2115*$BR17,0)</f>
        <v>125.26765991999999</v>
      </c>
      <c r="GS17" s="563">
        <f t="shared" si="66"/>
        <v>52.341120000000004</v>
      </c>
      <c r="GT17" s="563">
        <f t="shared" si="67"/>
        <v>29.601463320000001</v>
      </c>
      <c r="GU17" s="563">
        <f>IFERROR($BF17*$FP17*0.2115*$BW17,0)</f>
        <v>20.87794332</v>
      </c>
      <c r="GV17" s="563">
        <f t="shared" si="68"/>
        <v>8.7235199999999988</v>
      </c>
      <c r="GW17" s="563">
        <f t="shared" si="69"/>
        <v>83.506444631999997</v>
      </c>
      <c r="GX17" s="563">
        <f>IFERROR($BF17*$FP17*0.2115*$BX17,0)</f>
        <v>54.282652632000001</v>
      </c>
      <c r="GY17" s="563">
        <f t="shared" si="70"/>
        <v>29.223792</v>
      </c>
      <c r="GZ17" s="563">
        <f t="shared" si="71"/>
        <v>14.021465328</v>
      </c>
      <c r="HA17" s="563">
        <f>IFERROR($BF17*$FP17*0.2115*$BY17,0)</f>
        <v>8.3511773280000003</v>
      </c>
      <c r="HB17" s="563">
        <f t="shared" si="72"/>
        <v>5.6702879999999993</v>
      </c>
      <c r="HC17" s="563">
        <f t="shared" si="73"/>
        <v>65.085985036799997</v>
      </c>
      <c r="HD17" s="563">
        <f>IFERROR($BG17*$FP17*0.2115*$CC17,0)</f>
        <v>46.766593036799996</v>
      </c>
      <c r="HE17" s="563">
        <f t="shared" si="74"/>
        <v>18.319392000000001</v>
      </c>
      <c r="HF17" s="563">
        <f t="shared" si="75"/>
        <v>400.45752583199999</v>
      </c>
      <c r="HG17" s="563">
        <f>IFERROR($BG17*$FP17*0.2115*$CD17,0)</f>
        <v>263.06208583199998</v>
      </c>
      <c r="HH17" s="563">
        <f t="shared" si="76"/>
        <v>137.39544000000004</v>
      </c>
      <c r="HI17" s="563">
        <f t="shared" si="77"/>
        <v>231.63609924000002</v>
      </c>
      <c r="HJ17" s="563">
        <f>IFERROR($BG17*$FP17*0.2115*$CE17,0)</f>
        <v>146.14560323999999</v>
      </c>
      <c r="HK17" s="563">
        <f t="shared" si="78"/>
        <v>85.490496000000022</v>
      </c>
      <c r="HL17" s="563">
        <f t="shared" si="79"/>
        <v>192.72600285120001</v>
      </c>
      <c r="HM17" s="563">
        <f>IFERROR($BG17*$FP17*0.2115*$CF17,0)</f>
        <v>128.6081308512</v>
      </c>
      <c r="HN17" s="563">
        <f t="shared" si="80"/>
        <v>64.117872000000006</v>
      </c>
      <c r="HO17" s="563">
        <f t="shared" si="81"/>
        <v>702.33661133999999</v>
      </c>
      <c r="HP17" s="563">
        <f>IFERROR($BH17*$FP17*0.2115*$CK17,0)</f>
        <v>511.50961133999994</v>
      </c>
      <c r="HQ17" s="563">
        <f t="shared" si="82"/>
        <v>190.827</v>
      </c>
      <c r="HR17" s="563">
        <f t="shared" si="83"/>
        <v>1112.3820162</v>
      </c>
      <c r="HS17" s="563">
        <f>IFERROR($BH17*$FP17*0.2115*$CL17,0)</f>
        <v>730.72801619999996</v>
      </c>
      <c r="HT17" s="563">
        <f t="shared" si="84"/>
        <v>381.654</v>
      </c>
      <c r="HU17" s="563">
        <f t="shared" si="85"/>
        <v>410.04540485999996</v>
      </c>
      <c r="HV17" s="563">
        <f>IFERROR($BH17*$FP17*0.2115*$CM17,0)</f>
        <v>219.21840485999999</v>
      </c>
      <c r="HW17" s="563">
        <f t="shared" si="86"/>
        <v>190.827</v>
      </c>
      <c r="HX17" s="544"/>
      <c r="HY17" s="568">
        <f t="shared" si="87"/>
        <v>25752</v>
      </c>
      <c r="HZ17" s="568">
        <f t="shared" si="88"/>
        <v>0</v>
      </c>
      <c r="IA17" s="568">
        <f t="shared" si="89"/>
        <v>3504.7775999999999</v>
      </c>
      <c r="IB17" s="568">
        <f t="shared" si="90"/>
        <v>13057.052799999999</v>
      </c>
      <c r="IC17" s="568">
        <f t="shared" si="91"/>
        <v>8178.4639999999999</v>
      </c>
      <c r="ID17" s="568">
        <f t="shared" si="92"/>
        <v>1011.7056000000001</v>
      </c>
      <c r="IE17" s="568">
        <f t="shared" si="93"/>
        <v>4634.9034170399991</v>
      </c>
      <c r="IF17" s="568">
        <f t="shared" si="94"/>
        <v>0</v>
      </c>
      <c r="IG17" s="568">
        <f t="shared" si="95"/>
        <v>149.310699447312</v>
      </c>
      <c r="IH17" s="568">
        <f t="shared" si="96"/>
        <v>1742.3604085932718</v>
      </c>
      <c r="II17" s="568">
        <f t="shared" si="97"/>
        <v>2228.2319055363114</v>
      </c>
      <c r="IJ17" s="568">
        <f t="shared" si="98"/>
        <v>515.00040346310402</v>
      </c>
      <c r="IK17" s="868">
        <v>3.9</v>
      </c>
      <c r="IL17" s="569" t="s">
        <v>2589</v>
      </c>
      <c r="IM17" s="570" t="s">
        <v>2821</v>
      </c>
      <c r="IN17" s="529"/>
      <c r="IO17" s="742">
        <v>0</v>
      </c>
      <c r="IP17" s="742">
        <v>9.8699999999999996E-2</v>
      </c>
      <c r="IQ17" s="742">
        <v>0.4894</v>
      </c>
      <c r="IR17" s="742">
        <v>0.36009999999999998</v>
      </c>
      <c r="IS17" s="742">
        <v>5.1799999999999999E-2</v>
      </c>
      <c r="IT17" s="742">
        <v>0</v>
      </c>
      <c r="IU17" s="742">
        <v>1.4500000000000001E-2</v>
      </c>
      <c r="IV17" s="742">
        <v>0.33200000000000002</v>
      </c>
      <c r="IW17" s="742">
        <v>0.51349999999999996</v>
      </c>
      <c r="IX17" s="742">
        <v>0.14000000000000001</v>
      </c>
      <c r="IY17" s="742">
        <v>0</v>
      </c>
      <c r="IZ17" s="742">
        <v>0.15160000000000001</v>
      </c>
      <c r="JA17" s="742">
        <v>0.52359999999999995</v>
      </c>
      <c r="JB17" s="742">
        <v>0.29409999999999997</v>
      </c>
      <c r="JC17" s="742">
        <v>3.0700000000000002E-2</v>
      </c>
      <c r="JD17" s="742">
        <v>0</v>
      </c>
      <c r="JE17" s="742">
        <v>5.0200000000000002E-2</v>
      </c>
      <c r="JF17" s="742">
        <v>0.38579999999999998</v>
      </c>
      <c r="JG17" s="742">
        <v>0.441</v>
      </c>
      <c r="JH17" s="742">
        <v>0.123</v>
      </c>
      <c r="JI17" s="742">
        <v>0</v>
      </c>
      <c r="JJ17" s="742">
        <v>0.23039999999999999</v>
      </c>
      <c r="JK17" s="742">
        <v>0.53080000000000005</v>
      </c>
      <c r="JL17" s="742">
        <v>0.22370000000000001</v>
      </c>
      <c r="JM17" s="742">
        <v>1.5100000000000001E-2</v>
      </c>
      <c r="JN17" s="742">
        <v>0</v>
      </c>
      <c r="JO17" s="742">
        <v>8.0100000000000005E-2</v>
      </c>
      <c r="JP17" s="742">
        <v>0.46879999999999999</v>
      </c>
      <c r="JQ17" s="742">
        <v>0.38769999999999999</v>
      </c>
      <c r="JR17" s="742">
        <v>6.3399999999999998E-2</v>
      </c>
      <c r="JS17" s="742">
        <v>0</v>
      </c>
      <c r="JT17" s="742">
        <v>0.16159999999999999</v>
      </c>
      <c r="JU17" s="742">
        <v>0.52680000000000005</v>
      </c>
      <c r="JV17" s="742">
        <v>0.28360000000000002</v>
      </c>
      <c r="JW17" s="742">
        <v>2.8000000000000001E-2</v>
      </c>
      <c r="JX17" s="742">
        <v>0</v>
      </c>
      <c r="JY17" s="742">
        <v>4.24E-2</v>
      </c>
      <c r="JZ17" s="742">
        <v>0.41349999999999998</v>
      </c>
      <c r="KA17" s="742">
        <v>0.46410000000000001</v>
      </c>
      <c r="KB17" s="742">
        <v>0.08</v>
      </c>
      <c r="KC17" s="657"/>
      <c r="KD17" s="832" t="s">
        <v>2591</v>
      </c>
      <c r="KE17" s="832" t="s">
        <v>2625</v>
      </c>
      <c r="KF17" s="869">
        <v>3.98</v>
      </c>
      <c r="KG17" s="832" t="s">
        <v>2626</v>
      </c>
      <c r="KH17" s="833" t="s">
        <v>2822</v>
      </c>
      <c r="KI17" s="832" t="s">
        <v>2823</v>
      </c>
      <c r="KJ17" s="833" t="s">
        <v>2824</v>
      </c>
    </row>
    <row r="18" spans="1:296" ht="48" hidden="1" customHeight="1">
      <c r="A18" s="273">
        <f t="shared" si="99"/>
        <v>11</v>
      </c>
      <c r="B18" s="274" t="s">
        <v>2600</v>
      </c>
      <c r="C18" s="274" t="s">
        <v>1014</v>
      </c>
      <c r="D18" s="274" t="s">
        <v>2825</v>
      </c>
      <c r="E18" s="275" t="s">
        <v>2117</v>
      </c>
      <c r="F18" s="275" t="s">
        <v>2118</v>
      </c>
      <c r="G18" s="275" t="s">
        <v>2121</v>
      </c>
      <c r="H18" s="275" t="s">
        <v>2096</v>
      </c>
      <c r="I18" s="276" t="s">
        <v>2826</v>
      </c>
      <c r="J18" s="276" t="s">
        <v>2827</v>
      </c>
      <c r="K18" s="277" t="s">
        <v>2109</v>
      </c>
      <c r="L18" s="277" t="s">
        <v>2109</v>
      </c>
      <c r="M18" s="277" t="s">
        <v>2603</v>
      </c>
      <c r="N18" s="277" t="s">
        <v>2099</v>
      </c>
      <c r="O18" s="275" t="s">
        <v>2616</v>
      </c>
      <c r="P18" s="276"/>
      <c r="Q18" s="270">
        <v>1</v>
      </c>
      <c r="R18" s="278">
        <v>4500</v>
      </c>
      <c r="S18" s="279">
        <v>476</v>
      </c>
      <c r="T18" s="279">
        <v>552</v>
      </c>
      <c r="U18" s="279">
        <v>640</v>
      </c>
      <c r="V18" s="279">
        <v>742</v>
      </c>
      <c r="W18" s="279">
        <v>764</v>
      </c>
      <c r="X18" s="279">
        <v>787</v>
      </c>
      <c r="Y18" s="279">
        <v>811</v>
      </c>
      <c r="Z18" s="279">
        <v>835</v>
      </c>
      <c r="AA18" s="279">
        <v>848</v>
      </c>
      <c r="AB18" s="279">
        <v>861</v>
      </c>
      <c r="AC18" s="279">
        <v>874</v>
      </c>
      <c r="AD18" s="279">
        <v>887</v>
      </c>
      <c r="AE18" s="279">
        <v>900</v>
      </c>
      <c r="AF18" s="279">
        <v>913</v>
      </c>
      <c r="AG18" s="279">
        <v>927</v>
      </c>
      <c r="AH18" s="279">
        <v>941</v>
      </c>
      <c r="AI18" s="279">
        <v>955</v>
      </c>
      <c r="AJ18" s="279">
        <v>969</v>
      </c>
      <c r="AK18" s="279">
        <v>984</v>
      </c>
      <c r="AL18" s="276" t="s">
        <v>2132</v>
      </c>
      <c r="AM18" s="276" t="s">
        <v>2828</v>
      </c>
      <c r="AN18" s="276" t="s">
        <v>2787</v>
      </c>
      <c r="AO18" s="657"/>
      <c r="AP18" s="278">
        <v>180</v>
      </c>
      <c r="AQ18" s="278">
        <v>162</v>
      </c>
      <c r="AR18" s="278">
        <v>14</v>
      </c>
      <c r="AS18" s="278">
        <v>4</v>
      </c>
      <c r="AT18" s="657"/>
      <c r="AU18" s="281" t="s">
        <v>2761</v>
      </c>
      <c r="AV18" s="296" t="s">
        <v>2829</v>
      </c>
      <c r="AW18" s="296" t="s">
        <v>2763</v>
      </c>
      <c r="AX18" s="276" t="s">
        <v>2687</v>
      </c>
      <c r="AY18" s="657"/>
      <c r="AZ18" s="947">
        <v>16</v>
      </c>
      <c r="BA18" s="947">
        <v>17</v>
      </c>
      <c r="BB18" s="947">
        <v>3</v>
      </c>
      <c r="BC18" s="947">
        <v>13</v>
      </c>
      <c r="BD18" s="826">
        <f t="shared" si="4"/>
        <v>44737</v>
      </c>
      <c r="BE18" s="283">
        <f t="shared" si="5"/>
        <v>14608</v>
      </c>
      <c r="BF18" s="283">
        <f t="shared" si="6"/>
        <v>15521</v>
      </c>
      <c r="BG18" s="283">
        <f t="shared" si="7"/>
        <v>2739</v>
      </c>
      <c r="BH18" s="283">
        <f t="shared" si="8"/>
        <v>11869</v>
      </c>
      <c r="BI18" s="826">
        <f t="shared" si="9"/>
        <v>48216</v>
      </c>
      <c r="BJ18" s="283">
        <f t="shared" si="10"/>
        <v>15744</v>
      </c>
      <c r="BK18" s="283">
        <f t="shared" si="11"/>
        <v>16728</v>
      </c>
      <c r="BL18" s="283">
        <f t="shared" si="12"/>
        <v>2952</v>
      </c>
      <c r="BM18" s="283">
        <f t="shared" si="13"/>
        <v>12792</v>
      </c>
      <c r="BN18" s="657"/>
      <c r="BO18" s="305">
        <v>0.42</v>
      </c>
      <c r="BP18" s="305">
        <v>0.4</v>
      </c>
      <c r="BQ18" s="305">
        <v>0.1</v>
      </c>
      <c r="BR18" s="581">
        <v>0.08</v>
      </c>
      <c r="BS18" s="706">
        <v>0.4</v>
      </c>
      <c r="BT18" s="305">
        <v>0.4</v>
      </c>
      <c r="BU18" s="305">
        <v>0.13</v>
      </c>
      <c r="BV18" s="581">
        <v>7.0000000000000007E-2</v>
      </c>
      <c r="BW18" s="713">
        <v>0.55000000000000004</v>
      </c>
      <c r="BX18" s="306">
        <v>0.35</v>
      </c>
      <c r="BY18" s="590">
        <v>0.1</v>
      </c>
      <c r="BZ18" s="713">
        <v>0.5</v>
      </c>
      <c r="CA18" s="306">
        <v>0.37</v>
      </c>
      <c r="CB18" s="590">
        <v>0.13</v>
      </c>
      <c r="CC18" s="706">
        <v>0.12</v>
      </c>
      <c r="CD18" s="305">
        <v>0.45</v>
      </c>
      <c r="CE18" s="305">
        <v>0.12</v>
      </c>
      <c r="CF18" s="581">
        <v>0.31</v>
      </c>
      <c r="CG18" s="706">
        <v>0.1</v>
      </c>
      <c r="CH18" s="305">
        <v>0.45</v>
      </c>
      <c r="CI18" s="305">
        <v>0.15</v>
      </c>
      <c r="CJ18" s="581">
        <v>0.3</v>
      </c>
      <c r="CK18" s="719">
        <v>0.6</v>
      </c>
      <c r="CL18" s="307">
        <v>0.35</v>
      </c>
      <c r="CM18" s="723">
        <v>0.05</v>
      </c>
      <c r="CN18" s="719">
        <v>0.55000000000000004</v>
      </c>
      <c r="CO18" s="307">
        <v>0.38</v>
      </c>
      <c r="CP18" s="723">
        <v>7.0000000000000007E-2</v>
      </c>
      <c r="CQ18" s="657"/>
      <c r="CR18" s="804">
        <v>14</v>
      </c>
      <c r="CS18" s="805">
        <v>13</v>
      </c>
      <c r="CT18" s="805">
        <v>10</v>
      </c>
      <c r="CU18" s="806">
        <v>12</v>
      </c>
      <c r="CV18" s="804">
        <v>13</v>
      </c>
      <c r="CW18" s="805">
        <v>12</v>
      </c>
      <c r="CX18" s="806">
        <v>9</v>
      </c>
      <c r="CY18" s="804">
        <v>12</v>
      </c>
      <c r="CZ18" s="805">
        <v>13</v>
      </c>
      <c r="DA18" s="805">
        <v>9</v>
      </c>
      <c r="DB18" s="806">
        <v>11</v>
      </c>
      <c r="DC18" s="804">
        <v>14</v>
      </c>
      <c r="DD18" s="805">
        <v>13</v>
      </c>
      <c r="DE18" s="806">
        <v>10</v>
      </c>
      <c r="DF18" s="609" t="s">
        <v>2830</v>
      </c>
      <c r="DG18" s="657"/>
      <c r="DH18" s="308">
        <f t="shared" si="14"/>
        <v>6135.36</v>
      </c>
      <c r="DI18" s="308">
        <f t="shared" si="15"/>
        <v>5843.2000000000007</v>
      </c>
      <c r="DJ18" s="308">
        <f t="shared" si="16"/>
        <v>1460.8000000000002</v>
      </c>
      <c r="DK18" s="308">
        <f t="shared" si="17"/>
        <v>1168.6400000000001</v>
      </c>
      <c r="DL18" s="287" t="s">
        <v>2765</v>
      </c>
      <c r="DM18" s="308">
        <f t="shared" si="18"/>
        <v>6297.6</v>
      </c>
      <c r="DN18" s="308">
        <f t="shared" si="19"/>
        <v>6297.6</v>
      </c>
      <c r="DO18" s="308">
        <f t="shared" si="20"/>
        <v>2046.72</v>
      </c>
      <c r="DP18" s="308">
        <f t="shared" si="21"/>
        <v>1102.0800000000002</v>
      </c>
      <c r="DQ18" s="289" t="s">
        <v>2766</v>
      </c>
      <c r="DR18" s="657"/>
      <c r="DS18" s="308">
        <f t="shared" si="22"/>
        <v>8536.5500000000011</v>
      </c>
      <c r="DT18" s="308">
        <f t="shared" si="23"/>
        <v>5432.3499999999995</v>
      </c>
      <c r="DU18" s="308">
        <f t="shared" si="24"/>
        <v>1552.1000000000001</v>
      </c>
      <c r="DV18" s="289" t="s">
        <v>2767</v>
      </c>
      <c r="DW18" s="308">
        <f t="shared" si="25"/>
        <v>8364</v>
      </c>
      <c r="DX18" s="308">
        <f t="shared" si="26"/>
        <v>6189.36</v>
      </c>
      <c r="DY18" s="308">
        <f t="shared" si="27"/>
        <v>2174.64</v>
      </c>
      <c r="DZ18" s="289" t="s">
        <v>2768</v>
      </c>
      <c r="EA18" s="657"/>
      <c r="EB18" s="308">
        <f t="shared" si="28"/>
        <v>328.68</v>
      </c>
      <c r="EC18" s="308">
        <f t="shared" si="29"/>
        <v>1232.55</v>
      </c>
      <c r="ED18" s="308">
        <f t="shared" si="30"/>
        <v>328.68</v>
      </c>
      <c r="EE18" s="308">
        <f t="shared" si="31"/>
        <v>849.09</v>
      </c>
      <c r="EF18" s="289" t="s">
        <v>2769</v>
      </c>
      <c r="EG18" s="308">
        <f t="shared" si="32"/>
        <v>295.2</v>
      </c>
      <c r="EH18" s="308">
        <f t="shared" si="33"/>
        <v>1328.4</v>
      </c>
      <c r="EI18" s="308">
        <f t="shared" si="34"/>
        <v>442.8</v>
      </c>
      <c r="EJ18" s="308">
        <f t="shared" si="35"/>
        <v>885.6</v>
      </c>
      <c r="EK18" s="309" t="s">
        <v>2770</v>
      </c>
      <c r="EL18" s="657"/>
      <c r="EM18" s="308">
        <f t="shared" si="36"/>
        <v>7121.4</v>
      </c>
      <c r="EN18" s="310">
        <f t="shared" si="37"/>
        <v>4154.1499999999996</v>
      </c>
      <c r="EO18" s="310">
        <f t="shared" si="38"/>
        <v>593.45000000000005</v>
      </c>
      <c r="EP18" s="289" t="s">
        <v>2771</v>
      </c>
      <c r="EQ18" s="308">
        <f t="shared" si="39"/>
        <v>7035.6</v>
      </c>
      <c r="ER18" s="310">
        <f t="shared" si="40"/>
        <v>4860.96</v>
      </c>
      <c r="ES18" s="310">
        <f t="shared" si="41"/>
        <v>895.44</v>
      </c>
      <c r="ET18" s="289" t="s">
        <v>2772</v>
      </c>
      <c r="EU18" s="657"/>
      <c r="EV18" s="728">
        <f t="shared" si="42"/>
        <v>0.57930148583403862</v>
      </c>
      <c r="EW18" s="728">
        <f t="shared" si="43"/>
        <v>0.42069851416596138</v>
      </c>
      <c r="EX18" s="311">
        <f t="shared" si="44"/>
        <v>13130.372663548</v>
      </c>
      <c r="EY18" s="311">
        <f t="shared" si="45"/>
        <v>7606.4443935479994</v>
      </c>
      <c r="EZ18" s="311">
        <f t="shared" si="46"/>
        <v>5523.9282700000003</v>
      </c>
      <c r="FA18" s="311">
        <f t="shared" si="47"/>
        <v>4287.4686248319995</v>
      </c>
      <c r="FB18" s="311">
        <f t="shared" si="48"/>
        <v>2483.7369448319996</v>
      </c>
      <c r="FC18" s="311">
        <f t="shared" si="49"/>
        <v>1803.7316799999999</v>
      </c>
      <c r="FD18" s="311">
        <f t="shared" si="50"/>
        <v>4555.4354138840008</v>
      </c>
      <c r="FE18" s="311">
        <f t="shared" si="51"/>
        <v>2638.9705038840002</v>
      </c>
      <c r="FF18" s="311">
        <f t="shared" si="52"/>
        <v>1916.4649100000001</v>
      </c>
      <c r="FG18" s="311">
        <f t="shared" si="53"/>
        <v>803.90036715600013</v>
      </c>
      <c r="FH18" s="311">
        <f t="shared" si="54"/>
        <v>465.70067715600004</v>
      </c>
      <c r="FI18" s="311">
        <f t="shared" si="55"/>
        <v>338.19969000000003</v>
      </c>
      <c r="FJ18" s="311">
        <f t="shared" si="56"/>
        <v>3483.568257676</v>
      </c>
      <c r="FK18" s="311">
        <f t="shared" si="57"/>
        <v>2018.0362676760001</v>
      </c>
      <c r="FL18" s="311">
        <f t="shared" si="58"/>
        <v>1465.53199</v>
      </c>
      <c r="FM18" s="657"/>
      <c r="FN18" s="293" t="s">
        <v>2649</v>
      </c>
      <c r="FO18" s="728">
        <v>4.5710000000000001E-2</v>
      </c>
      <c r="FP18" s="729">
        <v>0.85097999999999996</v>
      </c>
      <c r="FQ18" s="294" t="s">
        <v>2831</v>
      </c>
      <c r="FR18" s="657"/>
      <c r="FS18" s="865">
        <v>3.38</v>
      </c>
      <c r="FT18" s="312">
        <f>RANK($FS18,$FS$8:$FS$154,0)+COUNTIF($FS$8:$FS18,$FS18)-1</f>
        <v>61</v>
      </c>
      <c r="FU18" s="865">
        <v>3.95</v>
      </c>
      <c r="FV18" s="312">
        <f>RANK($FU18,$FU$8:$FU$154,0)+COUNTIF($FU$8:$FU18,$FU18)-1</f>
        <v>90</v>
      </c>
      <c r="FW18" s="865">
        <v>2.68</v>
      </c>
      <c r="FX18" s="312">
        <f>RANK($FW18,$FW$8:$FW$154,0)+COUNTIF($FW$8:$FW18,$FW18)-1</f>
        <v>21</v>
      </c>
      <c r="FY18" s="657"/>
      <c r="FZ18" s="296" t="s">
        <v>2832</v>
      </c>
      <c r="GA18" s="296" t="s">
        <v>2833</v>
      </c>
      <c r="GB18" s="296" t="s">
        <v>2776</v>
      </c>
      <c r="GC18" s="296" t="s">
        <v>2777</v>
      </c>
      <c r="GD18" s="296" t="s">
        <v>2778</v>
      </c>
      <c r="GE18" s="296" t="s">
        <v>2779</v>
      </c>
      <c r="GF18" s="296" t="str">
        <f>HYPERLINK("https://www.banquedesterritoires.fr/plan-renovation-energetique-batiments-publics","https://www.banquedesterritoires.fr/plan-renovation-energetique-batiments-publics")&amp;CHAR(10)&amp;HYPERLINK("https://www.ecologie.gouv.fr/eco-energie-tertiaire-eet","https://www.ecologie.gouv.fr/eco-energie-tertiaire-eet")&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https://www.banquedesterritoires.fr/plan-renovation-energetique-batiments-publics
https://www.ecologie.gouv.fr/eco-energie-tertiaire-eet
https://www.statistiques.developpement-durable.gouv.fr/construction-de-locaux-resultats-fin-janvier-2026-france-entiere
https://www.insee.fr/fr/statistiques/8671745
https://www.insee.fr/fr/statistiques/8906564</v>
      </c>
      <c r="GG18" s="657"/>
      <c r="GH18" s="311">
        <f t="shared" si="59"/>
        <v>1764.6621888294399</v>
      </c>
      <c r="GI18" s="311">
        <f>IFERROR($BE18*$FP18*0.1998*$BO18,0)</f>
        <v>1043.1695168294398</v>
      </c>
      <c r="GJ18" s="311">
        <f t="shared" si="60"/>
        <v>721.49267199999997</v>
      </c>
      <c r="GK18" s="311">
        <f t="shared" si="61"/>
        <v>1714.9874499327998</v>
      </c>
      <c r="GL18" s="311">
        <f>IFERROR($BE18*$FP18*0.1998*$BP18,0)</f>
        <v>993.49477793279993</v>
      </c>
      <c r="GM18" s="311">
        <f t="shared" si="62"/>
        <v>721.49267199999997</v>
      </c>
      <c r="GN18" s="311">
        <f t="shared" si="63"/>
        <v>482.85881288320002</v>
      </c>
      <c r="GO18" s="311">
        <f>IFERROR($BE18*$FP18*0.1998*$BQ18,0)</f>
        <v>248.37369448319998</v>
      </c>
      <c r="GP18" s="311">
        <f t="shared" si="64"/>
        <v>234.4851184</v>
      </c>
      <c r="GQ18" s="311">
        <f t="shared" si="65"/>
        <v>324.96017318655998</v>
      </c>
      <c r="GR18" s="311">
        <f>IFERROR($BE18*$FP18*0.1998*$BR18,0)</f>
        <v>198.69895558655998</v>
      </c>
      <c r="GS18" s="311">
        <f t="shared" si="66"/>
        <v>126.26121760000001</v>
      </c>
      <c r="GT18" s="311">
        <f t="shared" si="67"/>
        <v>2409.6662321362001</v>
      </c>
      <c r="GU18" s="311">
        <f>IFERROR($BF18*$FP18*0.1998*$BW18,0)</f>
        <v>1451.4337771362</v>
      </c>
      <c r="GV18" s="311">
        <f t="shared" si="68"/>
        <v>958.23245500000007</v>
      </c>
      <c r="GW18" s="311">
        <f t="shared" si="69"/>
        <v>1632.7316930593997</v>
      </c>
      <c r="GX18" s="311">
        <f>IFERROR($BF18*$FP18*0.1998*$BX18,0)</f>
        <v>923.6396763593998</v>
      </c>
      <c r="GY18" s="311">
        <f t="shared" si="70"/>
        <v>709.09201670000004</v>
      </c>
      <c r="GZ18" s="311">
        <f t="shared" si="71"/>
        <v>513.0374886884</v>
      </c>
      <c r="HA18" s="311">
        <f>IFERROR($BF18*$FP18*0.1998*$BY18,0)</f>
        <v>263.89705038839998</v>
      </c>
      <c r="HB18" s="311">
        <f t="shared" si="72"/>
        <v>249.14043830000003</v>
      </c>
      <c r="HC18" s="311">
        <f t="shared" si="73"/>
        <v>89.704050258720002</v>
      </c>
      <c r="HD18" s="311">
        <f>IFERROR($BG18*$FP18*0.1998*$CC18,0)</f>
        <v>55.884081258719995</v>
      </c>
      <c r="HE18" s="311">
        <f t="shared" si="74"/>
        <v>33.819969000000007</v>
      </c>
      <c r="HF18" s="311">
        <f t="shared" si="75"/>
        <v>361.75516522020001</v>
      </c>
      <c r="HG18" s="311">
        <f>IFERROR($BG18*$FP18*0.1998*$CD18,0)</f>
        <v>209.5653047202</v>
      </c>
      <c r="HH18" s="311">
        <f t="shared" si="76"/>
        <v>152.18986050000001</v>
      </c>
      <c r="HI18" s="311">
        <f t="shared" si="77"/>
        <v>106.61403475872</v>
      </c>
      <c r="HJ18" s="311">
        <f>IFERROR($BG18*$FP18*0.1998*$CE18,0)</f>
        <v>55.884081258719995</v>
      </c>
      <c r="HK18" s="311">
        <f t="shared" si="78"/>
        <v>50.729953500000001</v>
      </c>
      <c r="HL18" s="311">
        <f t="shared" si="79"/>
        <v>245.82711691835999</v>
      </c>
      <c r="HM18" s="311">
        <f>IFERROR($BG18*$FP18*0.1998*$CF18,0)</f>
        <v>144.36720991836</v>
      </c>
      <c r="HN18" s="311">
        <f t="shared" si="80"/>
        <v>101.459907</v>
      </c>
      <c r="HO18" s="311">
        <f t="shared" si="81"/>
        <v>2016.8643551056002</v>
      </c>
      <c r="HP18" s="311">
        <f>IFERROR($BH18*$FP18*0.1998*$CK18,0)</f>
        <v>1210.8217606056</v>
      </c>
      <c r="HQ18" s="311">
        <f t="shared" si="82"/>
        <v>806.04259450000006</v>
      </c>
      <c r="HR18" s="311">
        <f t="shared" si="83"/>
        <v>1263.2148498865999</v>
      </c>
      <c r="HS18" s="311">
        <f>IFERROR($BH18*$FP18*0.1998*$CL18,0)</f>
        <v>706.31269368660003</v>
      </c>
      <c r="HT18" s="311">
        <f t="shared" si="84"/>
        <v>556.90215620000004</v>
      </c>
      <c r="HU18" s="311">
        <f t="shared" si="85"/>
        <v>203.48905268380003</v>
      </c>
      <c r="HV18" s="311">
        <f>IFERROR($BH18*$FP18*0.1998*$CM18,0)</f>
        <v>100.9018133838</v>
      </c>
      <c r="HW18" s="311">
        <f t="shared" si="86"/>
        <v>102.58723930000001</v>
      </c>
      <c r="HY18" s="313">
        <f t="shared" si="87"/>
        <v>44737</v>
      </c>
      <c r="HZ18" s="313">
        <f t="shared" si="88"/>
        <v>36.428699999999999</v>
      </c>
      <c r="IA18" s="313">
        <f t="shared" si="89"/>
        <v>7514.4465</v>
      </c>
      <c r="IB18" s="313">
        <f t="shared" si="90"/>
        <v>23933.290700000001</v>
      </c>
      <c r="IC18" s="313">
        <f t="shared" si="91"/>
        <v>12338.738499999999</v>
      </c>
      <c r="ID18" s="313">
        <f t="shared" si="92"/>
        <v>914.0956000000001</v>
      </c>
      <c r="IE18" s="313">
        <f t="shared" si="93"/>
        <v>7606.4443935479994</v>
      </c>
      <c r="IF18" s="313">
        <f t="shared" si="94"/>
        <v>0</v>
      </c>
      <c r="IG18" s="313">
        <f t="shared" si="95"/>
        <v>365.04723746668316</v>
      </c>
      <c r="IH18" s="313">
        <f t="shared" si="96"/>
        <v>3266.7350166902879</v>
      </c>
      <c r="II18" s="313">
        <f t="shared" si="97"/>
        <v>3418.9259979848689</v>
      </c>
      <c r="IJ18" s="313">
        <f t="shared" si="98"/>
        <v>555.73614140615996</v>
      </c>
      <c r="IK18" s="866">
        <v>3.8</v>
      </c>
      <c r="IL18" s="314" t="s">
        <v>2780</v>
      </c>
      <c r="IM18" s="299" t="s">
        <v>2834</v>
      </c>
      <c r="IN18" s="657"/>
      <c r="IO18" s="730">
        <v>0</v>
      </c>
      <c r="IP18" s="730">
        <v>0.1966</v>
      </c>
      <c r="IQ18" s="730">
        <v>0.54820000000000002</v>
      </c>
      <c r="IR18" s="730">
        <v>0.24099999999999999</v>
      </c>
      <c r="IS18" s="730">
        <v>1.4200000000000001E-2</v>
      </c>
      <c r="IT18" s="730">
        <v>0</v>
      </c>
      <c r="IU18" s="730">
        <v>6.1899999999999997E-2</v>
      </c>
      <c r="IV18" s="730">
        <v>0.4632</v>
      </c>
      <c r="IW18" s="730">
        <v>0.41920000000000002</v>
      </c>
      <c r="IX18" s="730">
        <v>5.57E-2</v>
      </c>
      <c r="IY18" s="730">
        <v>0</v>
      </c>
      <c r="IZ18" s="730">
        <v>0.11799999999999999</v>
      </c>
      <c r="JA18" s="730">
        <v>0.52080000000000004</v>
      </c>
      <c r="JB18" s="730">
        <v>0.33129999999999998</v>
      </c>
      <c r="JC18" s="730">
        <v>2.9899999999999999E-2</v>
      </c>
      <c r="JD18" s="730">
        <v>0</v>
      </c>
      <c r="JE18" s="730">
        <v>2.0899999999999998E-2</v>
      </c>
      <c r="JF18" s="730">
        <v>0.378</v>
      </c>
      <c r="JG18" s="730">
        <v>0.50139999999999996</v>
      </c>
      <c r="JH18" s="730">
        <v>9.9699999999999997E-2</v>
      </c>
      <c r="JI18" s="730">
        <v>1.3299999999999999E-2</v>
      </c>
      <c r="JJ18" s="730">
        <v>0.32300000000000001</v>
      </c>
      <c r="JK18" s="730">
        <v>0.5161</v>
      </c>
      <c r="JL18" s="730">
        <v>0.1431</v>
      </c>
      <c r="JM18" s="730">
        <v>4.4999999999999997E-3</v>
      </c>
      <c r="JN18" s="730">
        <v>0</v>
      </c>
      <c r="JO18" s="730">
        <v>0.14940000000000001</v>
      </c>
      <c r="JP18" s="730">
        <v>0.53720000000000001</v>
      </c>
      <c r="JQ18" s="730">
        <v>0.29149999999999998</v>
      </c>
      <c r="JR18" s="730">
        <v>2.1899999999999999E-2</v>
      </c>
      <c r="JS18" s="730">
        <v>0</v>
      </c>
      <c r="JT18" s="730">
        <v>0.1623</v>
      </c>
      <c r="JU18" s="730">
        <v>0.54159999999999997</v>
      </c>
      <c r="JV18" s="730">
        <v>0.2767</v>
      </c>
      <c r="JW18" s="730">
        <v>1.9400000000000001E-2</v>
      </c>
      <c r="JX18" s="730">
        <v>0</v>
      </c>
      <c r="JY18" s="730">
        <v>4.2900000000000001E-2</v>
      </c>
      <c r="JZ18" s="730">
        <v>0.4304</v>
      </c>
      <c r="KA18" s="730">
        <v>0.45529999999999998</v>
      </c>
      <c r="KB18" s="730">
        <v>7.1400000000000005E-2</v>
      </c>
      <c r="KC18" s="657"/>
      <c r="KD18" s="314" t="s">
        <v>2591</v>
      </c>
      <c r="KE18" s="314" t="s">
        <v>2625</v>
      </c>
      <c r="KF18" s="866">
        <v>3.88</v>
      </c>
      <c r="KG18" s="314" t="s">
        <v>2626</v>
      </c>
      <c r="KH18" s="315" t="s">
        <v>2782</v>
      </c>
      <c r="KI18" s="314" t="s">
        <v>2720</v>
      </c>
      <c r="KJ18" s="315" t="s">
        <v>2835</v>
      </c>
    </row>
    <row r="19" spans="1:296" ht="48" hidden="1" customHeight="1">
      <c r="A19" s="265">
        <f t="shared" si="99"/>
        <v>12</v>
      </c>
      <c r="B19" s="266" t="s">
        <v>2600</v>
      </c>
      <c r="C19" s="266" t="s">
        <v>2091</v>
      </c>
      <c r="D19" s="624" t="s">
        <v>2836</v>
      </c>
      <c r="E19" s="267" t="s">
        <v>2106</v>
      </c>
      <c r="F19" s="267" t="s">
        <v>300</v>
      </c>
      <c r="G19" s="267" t="s">
        <v>2631</v>
      </c>
      <c r="H19" s="267" t="s">
        <v>2109</v>
      </c>
      <c r="I19" s="268" t="s">
        <v>2837</v>
      </c>
      <c r="J19" s="268" t="s">
        <v>2838</v>
      </c>
      <c r="K19" s="269" t="s">
        <v>2097</v>
      </c>
      <c r="L19" s="269" t="s">
        <v>2109</v>
      </c>
      <c r="M19" s="269" t="s">
        <v>2603</v>
      </c>
      <c r="N19" s="269" t="s">
        <v>2839</v>
      </c>
      <c r="O19" s="267" t="s">
        <v>2212</v>
      </c>
      <c r="P19" s="268"/>
      <c r="Q19" s="270">
        <v>1</v>
      </c>
      <c r="R19" s="271">
        <v>3500</v>
      </c>
      <c r="S19" s="272">
        <v>1800</v>
      </c>
      <c r="T19" s="272">
        <v>2100</v>
      </c>
      <c r="U19" s="272">
        <v>2400</v>
      </c>
      <c r="V19" s="272">
        <v>2800</v>
      </c>
      <c r="W19" s="272">
        <v>2900</v>
      </c>
      <c r="X19" s="272">
        <v>3000</v>
      </c>
      <c r="Y19" s="272">
        <v>3090</v>
      </c>
      <c r="Z19" s="272">
        <v>3190</v>
      </c>
      <c r="AA19" s="272">
        <v>3250</v>
      </c>
      <c r="AB19" s="272">
        <v>3310</v>
      </c>
      <c r="AC19" s="272">
        <v>3380</v>
      </c>
      <c r="AD19" s="272">
        <v>3460</v>
      </c>
      <c r="AE19" s="272">
        <v>3700</v>
      </c>
      <c r="AF19" s="272">
        <v>3780</v>
      </c>
      <c r="AG19" s="272">
        <v>3860</v>
      </c>
      <c r="AH19" s="272">
        <v>3940</v>
      </c>
      <c r="AI19" s="272">
        <v>4020</v>
      </c>
      <c r="AJ19" s="272">
        <v>4100</v>
      </c>
      <c r="AK19" s="272">
        <v>4180</v>
      </c>
      <c r="AL19" s="268" t="s">
        <v>2840</v>
      </c>
      <c r="AM19" s="268" t="s">
        <v>2841</v>
      </c>
      <c r="AN19" s="268" t="s">
        <v>2842</v>
      </c>
      <c r="AO19" s="657"/>
      <c r="AP19" s="271">
        <v>450</v>
      </c>
      <c r="AQ19" s="280">
        <v>405</v>
      </c>
      <c r="AR19" s="280">
        <v>36</v>
      </c>
      <c r="AS19" s="280">
        <v>9</v>
      </c>
      <c r="AT19" s="657"/>
      <c r="AU19" s="301" t="s">
        <v>2843</v>
      </c>
      <c r="AV19" s="572" t="s">
        <v>2844</v>
      </c>
      <c r="AW19" s="645" t="s">
        <v>2845</v>
      </c>
      <c r="AX19" s="290" t="s">
        <v>2687</v>
      </c>
      <c r="AY19" s="657"/>
      <c r="AZ19" s="948">
        <v>24</v>
      </c>
      <c r="BA19" s="948">
        <v>7</v>
      </c>
      <c r="BB19" s="948">
        <v>8</v>
      </c>
      <c r="BC19" s="948">
        <v>18</v>
      </c>
      <c r="BD19" s="825">
        <f t="shared" si="4"/>
        <v>215460</v>
      </c>
      <c r="BE19" s="304">
        <f t="shared" si="5"/>
        <v>90720</v>
      </c>
      <c r="BF19" s="304">
        <f t="shared" si="6"/>
        <v>26460</v>
      </c>
      <c r="BG19" s="304">
        <f t="shared" si="7"/>
        <v>30240</v>
      </c>
      <c r="BH19" s="304">
        <f t="shared" si="8"/>
        <v>68040</v>
      </c>
      <c r="BI19" s="825">
        <f t="shared" si="9"/>
        <v>238260</v>
      </c>
      <c r="BJ19" s="304">
        <f t="shared" si="10"/>
        <v>100320</v>
      </c>
      <c r="BK19" s="304">
        <f t="shared" si="11"/>
        <v>29260</v>
      </c>
      <c r="BL19" s="304">
        <f t="shared" si="12"/>
        <v>33440</v>
      </c>
      <c r="BM19" s="304">
        <f t="shared" si="13"/>
        <v>75240</v>
      </c>
      <c r="BN19" s="657"/>
      <c r="BO19" s="284">
        <v>0.12</v>
      </c>
      <c r="BP19" s="284">
        <v>0.78</v>
      </c>
      <c r="BQ19" s="284">
        <v>0.06</v>
      </c>
      <c r="BR19" s="710">
        <v>0.04</v>
      </c>
      <c r="BS19" s="707">
        <v>0.1</v>
      </c>
      <c r="BT19" s="284">
        <v>0.79</v>
      </c>
      <c r="BU19" s="284">
        <v>0.08</v>
      </c>
      <c r="BV19" s="710">
        <v>0.03</v>
      </c>
      <c r="BW19" s="714">
        <v>0.25</v>
      </c>
      <c r="BX19" s="285">
        <v>0.65</v>
      </c>
      <c r="BY19" s="717">
        <v>0.1</v>
      </c>
      <c r="BZ19" s="714">
        <v>0.2</v>
      </c>
      <c r="CA19" s="285">
        <v>0.68</v>
      </c>
      <c r="CB19" s="717">
        <v>0.12</v>
      </c>
      <c r="CC19" s="284">
        <v>0.05</v>
      </c>
      <c r="CD19" s="284">
        <v>0.6</v>
      </c>
      <c r="CE19" s="284">
        <v>0.09</v>
      </c>
      <c r="CF19" s="710">
        <v>0.26</v>
      </c>
      <c r="CG19" s="707">
        <v>0.04</v>
      </c>
      <c r="CH19" s="284">
        <v>0.6</v>
      </c>
      <c r="CI19" s="284">
        <v>0.11</v>
      </c>
      <c r="CJ19" s="710">
        <v>0.25</v>
      </c>
      <c r="CK19" s="720">
        <v>0.5</v>
      </c>
      <c r="CL19" s="286">
        <v>0.45</v>
      </c>
      <c r="CM19" s="718">
        <v>0.05</v>
      </c>
      <c r="CN19" s="720">
        <v>0.4</v>
      </c>
      <c r="CO19" s="286">
        <v>0.5</v>
      </c>
      <c r="CP19" s="718">
        <v>0.1</v>
      </c>
      <c r="CQ19" s="657"/>
      <c r="CR19" s="807">
        <v>12</v>
      </c>
      <c r="CS19" s="808">
        <v>13</v>
      </c>
      <c r="CT19" s="808">
        <v>9</v>
      </c>
      <c r="CU19" s="809">
        <v>11</v>
      </c>
      <c r="CV19" s="807">
        <v>10</v>
      </c>
      <c r="CW19" s="808">
        <v>10</v>
      </c>
      <c r="CX19" s="809">
        <v>8</v>
      </c>
      <c r="CY19" s="807">
        <v>10</v>
      </c>
      <c r="CZ19" s="808">
        <v>13</v>
      </c>
      <c r="DA19" s="808">
        <v>9</v>
      </c>
      <c r="DB19" s="809">
        <v>11</v>
      </c>
      <c r="DC19" s="807">
        <v>11</v>
      </c>
      <c r="DD19" s="808">
        <v>13</v>
      </c>
      <c r="DE19" s="809">
        <v>10</v>
      </c>
      <c r="DF19" s="610" t="s">
        <v>2846</v>
      </c>
      <c r="DG19" s="657"/>
      <c r="DH19" s="288">
        <f t="shared" si="14"/>
        <v>10886.4</v>
      </c>
      <c r="DI19" s="288">
        <f t="shared" si="15"/>
        <v>70761.600000000006</v>
      </c>
      <c r="DJ19" s="288">
        <f t="shared" si="16"/>
        <v>5443.2</v>
      </c>
      <c r="DK19" s="288">
        <f t="shared" si="17"/>
        <v>3628.8</v>
      </c>
      <c r="DL19" s="560" t="s">
        <v>2731</v>
      </c>
      <c r="DM19" s="288">
        <f t="shared" si="18"/>
        <v>10032</v>
      </c>
      <c r="DN19" s="288">
        <f t="shared" si="19"/>
        <v>79252.800000000003</v>
      </c>
      <c r="DO19" s="288">
        <f t="shared" si="20"/>
        <v>8025.6</v>
      </c>
      <c r="DP19" s="288">
        <f t="shared" si="21"/>
        <v>3009.6</v>
      </c>
      <c r="DQ19" s="561" t="s">
        <v>2689</v>
      </c>
      <c r="DR19" s="657"/>
      <c r="DS19" s="288">
        <f t="shared" si="22"/>
        <v>6615</v>
      </c>
      <c r="DT19" s="288">
        <f t="shared" si="23"/>
        <v>17199</v>
      </c>
      <c r="DU19" s="288">
        <f t="shared" si="24"/>
        <v>2646</v>
      </c>
      <c r="DV19" s="561" t="s">
        <v>2613</v>
      </c>
      <c r="DW19" s="288">
        <f t="shared" si="25"/>
        <v>5852</v>
      </c>
      <c r="DX19" s="288">
        <f t="shared" si="26"/>
        <v>19896.800000000003</v>
      </c>
      <c r="DY19" s="288">
        <f t="shared" si="27"/>
        <v>3511.2</v>
      </c>
      <c r="DZ19" s="561" t="s">
        <v>2613</v>
      </c>
      <c r="EA19" s="657"/>
      <c r="EB19" s="288">
        <f t="shared" si="28"/>
        <v>1512</v>
      </c>
      <c r="EC19" s="288">
        <f t="shared" si="29"/>
        <v>18144</v>
      </c>
      <c r="ED19" s="288">
        <f t="shared" si="30"/>
        <v>2721.6</v>
      </c>
      <c r="EE19" s="288">
        <f t="shared" si="31"/>
        <v>7862.4000000000005</v>
      </c>
      <c r="EF19" s="561" t="s">
        <v>2732</v>
      </c>
      <c r="EG19" s="288">
        <f t="shared" si="32"/>
        <v>1337.6000000000001</v>
      </c>
      <c r="EH19" s="288">
        <f t="shared" si="33"/>
        <v>20064</v>
      </c>
      <c r="EI19" s="288">
        <f t="shared" si="34"/>
        <v>3678.4</v>
      </c>
      <c r="EJ19" s="288">
        <f t="shared" si="35"/>
        <v>8360</v>
      </c>
      <c r="EK19" s="561" t="s">
        <v>2691</v>
      </c>
      <c r="EL19" s="657"/>
      <c r="EM19" s="288">
        <f t="shared" si="36"/>
        <v>34020</v>
      </c>
      <c r="EN19" s="291">
        <f t="shared" si="37"/>
        <v>30618</v>
      </c>
      <c r="EO19" s="291">
        <f t="shared" si="38"/>
        <v>3402</v>
      </c>
      <c r="EP19" s="561" t="s">
        <v>2733</v>
      </c>
      <c r="EQ19" s="288">
        <f t="shared" si="39"/>
        <v>30096</v>
      </c>
      <c r="ER19" s="291">
        <f t="shared" si="40"/>
        <v>37620</v>
      </c>
      <c r="ES19" s="291">
        <f t="shared" si="41"/>
        <v>7524</v>
      </c>
      <c r="ET19" s="561" t="s">
        <v>2693</v>
      </c>
      <c r="EU19" s="657"/>
      <c r="EV19" s="740">
        <f t="shared" si="42"/>
        <v>0.54672737309946184</v>
      </c>
      <c r="EW19" s="740">
        <f t="shared" si="43"/>
        <v>0.4532726269005381</v>
      </c>
      <c r="EX19" s="563">
        <f t="shared" si="44"/>
        <v>82757.278012800001</v>
      </c>
      <c r="EY19" s="563">
        <f t="shared" si="45"/>
        <v>45245.6692128</v>
      </c>
      <c r="EZ19" s="563">
        <f t="shared" si="46"/>
        <v>37511.608800000002</v>
      </c>
      <c r="FA19" s="563">
        <f t="shared" si="47"/>
        <v>34845.169689599999</v>
      </c>
      <c r="FB19" s="563">
        <f t="shared" si="48"/>
        <v>19050.808089599999</v>
      </c>
      <c r="FC19" s="563">
        <f t="shared" si="49"/>
        <v>15794.3616</v>
      </c>
      <c r="FD19" s="563">
        <f t="shared" si="50"/>
        <v>10163.174492800001</v>
      </c>
      <c r="FE19" s="563">
        <f t="shared" si="51"/>
        <v>5556.4856927999999</v>
      </c>
      <c r="FF19" s="563">
        <f t="shared" si="52"/>
        <v>4606.6887999999999</v>
      </c>
      <c r="FG19" s="563">
        <f t="shared" si="53"/>
        <v>11615.0565632</v>
      </c>
      <c r="FH19" s="563">
        <f t="shared" si="54"/>
        <v>6350.269363200001</v>
      </c>
      <c r="FI19" s="563">
        <f t="shared" si="55"/>
        <v>5264.7871999999998</v>
      </c>
      <c r="FJ19" s="563">
        <f t="shared" si="56"/>
        <v>26133.877267199998</v>
      </c>
      <c r="FK19" s="563">
        <f t="shared" si="57"/>
        <v>14288.106067199999</v>
      </c>
      <c r="FL19" s="563">
        <f t="shared" si="58"/>
        <v>11845.771199999999</v>
      </c>
      <c r="FM19" s="529"/>
      <c r="FN19" s="564" t="s">
        <v>2649</v>
      </c>
      <c r="FO19" s="740">
        <v>6.8279999999999993E-2</v>
      </c>
      <c r="FP19" s="741">
        <v>0.87280000000000002</v>
      </c>
      <c r="FQ19" s="565" t="s">
        <v>2847</v>
      </c>
      <c r="FR19" s="529"/>
      <c r="FS19" s="867">
        <v>3.37</v>
      </c>
      <c r="FT19" s="566">
        <f>RANK($FS19,$FS$8:$FS$154,0)+COUNTIF($FS$8:$FS42,$FS19)-1</f>
        <v>62</v>
      </c>
      <c r="FU19" s="867">
        <v>4.01</v>
      </c>
      <c r="FV19" s="566">
        <f>RANK($FU19,$FU$8:$FU$154,0)+COUNTIF($FU$8:$FU42,$FU19)-1</f>
        <v>81</v>
      </c>
      <c r="FW19" s="867">
        <v>2.58</v>
      </c>
      <c r="FX19" s="566">
        <f>RANK($FW19,$FW$8:$FW$154,0)+COUNTIF($FW$8:$FW42,$FW19)-1</f>
        <v>28</v>
      </c>
      <c r="FY19" s="529"/>
      <c r="FZ19" s="567" t="s">
        <v>2848</v>
      </c>
      <c r="GA19" s="567" t="s">
        <v>2849</v>
      </c>
      <c r="GB19" s="567" t="s">
        <v>2850</v>
      </c>
      <c r="GC19" s="567" t="s">
        <v>2851</v>
      </c>
      <c r="GD19" s="567" t="s">
        <v>2852</v>
      </c>
      <c r="GE19" s="567" t="s">
        <v>2853</v>
      </c>
      <c r="GF19" s="567" t="str">
        <f>HYPERLINK("https://www.banquedesterritoires.fr/plan-renovation-energetique-batiments-publics","https://www.banquedesterritoires.fr/plan-renovation-energetique-batiments-publics")&amp;CHAR(10)&amp;HYPERLINK("https://www.ecologie.gouv.fr/eco-energie-tertiaire-eet","https://www.ecologie.gouv.fr/eco-energie-tertiaire-eet")&amp;CHAR(10)&amp;HYPERLINK("https://experience.france2030.gouv.fr/fr/visit/decarbonation-de-leconomie/la-decarbonation-de-l-industrie/full/","https://experience.france2030.gouv.fr/fr/visit/decarbonation-de-leconomie/la-decarbonation-de-l-industrie/full/")&amp;CHAR(10)&amp;HYPERLINK("https://www.tresor.economie.gouv.fr/Articles/2025/05/19/choose-france-2025-une-edition-record-au-service-de-la-souverainete-economique-et-de-l-innovation","https://www.tresor.economie.gouv.fr/Articles/2025/05/19/choose-france-2025-une-edition-record-au-service-de-la-souverainete-economique-et-de-l-innovation")&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https://www.banquedesterritoires.fr/plan-renovation-energetique-batiments-publics
https://www.ecologie.gouv.fr/eco-energie-tertiaire-eet
https://experience.france2030.gouv.fr/fr/visit/decarbonation-de-leconomie/la-decarbonation-de-l-industrie/full/
https://www.tresor.economie.gouv.fr/Articles/2025/05/19/choose-france-2025-une-edition-record-au-service-de-la-souverainete-economique-et-de-l-innovation
https://www.statistiques.developpement-durable.gouv.fr/construction-de-locaux-resultats-fin-janvier-2026-france-entiere
https://www.insee.fr/fr/statistiques/8671745
https://www.insee.fr/fr/statistiques/8906564</v>
      </c>
      <c r="GG19" s="529"/>
      <c r="GH19" s="563">
        <f t="shared" si="59"/>
        <v>3865.533130752</v>
      </c>
      <c r="GI19" s="563">
        <f>IFERROR($BE19*$FP19*0.2406*$BO19,0)</f>
        <v>2286.0969707519998</v>
      </c>
      <c r="GJ19" s="563">
        <f t="shared" si="60"/>
        <v>1579.4361600000002</v>
      </c>
      <c r="GK19" s="563">
        <f t="shared" si="61"/>
        <v>27337.175973887999</v>
      </c>
      <c r="GL19" s="563">
        <f>IFERROR($BE19*$FP19*0.2406*$BP19,0)</f>
        <v>14859.630309888</v>
      </c>
      <c r="GM19" s="563">
        <f t="shared" si="62"/>
        <v>12477.545664000001</v>
      </c>
      <c r="GN19" s="563">
        <f t="shared" si="63"/>
        <v>2406.5974133760001</v>
      </c>
      <c r="GO19" s="563">
        <f>IFERROR($BE19*$FP19*0.2406*$BQ19,0)</f>
        <v>1143.0484853759999</v>
      </c>
      <c r="GP19" s="563">
        <f t="shared" si="64"/>
        <v>1263.5489279999999</v>
      </c>
      <c r="GQ19" s="563">
        <f t="shared" si="65"/>
        <v>1235.8631715839999</v>
      </c>
      <c r="GR19" s="563">
        <f>IFERROR($BE19*$FP19*0.2406*$BR19,0)</f>
        <v>762.03232358399998</v>
      </c>
      <c r="GS19" s="563">
        <f t="shared" si="66"/>
        <v>473.830848</v>
      </c>
      <c r="GT19" s="563">
        <f t="shared" si="67"/>
        <v>2310.4591832000001</v>
      </c>
      <c r="GU19" s="563">
        <f>IFERROR($BF19*$FP19*0.2406*$BW19,0)</f>
        <v>1389.1214232</v>
      </c>
      <c r="GV19" s="563">
        <f t="shared" si="68"/>
        <v>921.33776</v>
      </c>
      <c r="GW19" s="563">
        <f t="shared" si="69"/>
        <v>6744.2640843200006</v>
      </c>
      <c r="GX19" s="563">
        <f>IFERROR($BF19*$FP19*0.2406*$BX19,0)</f>
        <v>3611.71570032</v>
      </c>
      <c r="GY19" s="563">
        <f t="shared" si="70"/>
        <v>3132.5483840000002</v>
      </c>
      <c r="GZ19" s="563">
        <f t="shared" si="71"/>
        <v>1108.45122528</v>
      </c>
      <c r="HA19" s="563">
        <f>IFERROR($BF19*$FP19*0.2406*$BY19,0)</f>
        <v>555.64856928000006</v>
      </c>
      <c r="HB19" s="563">
        <f t="shared" si="72"/>
        <v>552.80265599999996</v>
      </c>
      <c r="HC19" s="563">
        <f t="shared" si="73"/>
        <v>528.10495616000003</v>
      </c>
      <c r="HD19" s="563">
        <f>IFERROR($BG19*$FP19*0.2406*$CC19,0)</f>
        <v>317.51346816000006</v>
      </c>
      <c r="HE19" s="563">
        <f t="shared" si="74"/>
        <v>210.591488</v>
      </c>
      <c r="HF19" s="563">
        <f t="shared" si="75"/>
        <v>6969.0339379200004</v>
      </c>
      <c r="HG19" s="563">
        <f>IFERROR($BG19*$FP19*0.2406*$CD19,0)</f>
        <v>3810.1616179200005</v>
      </c>
      <c r="HH19" s="563">
        <f t="shared" si="76"/>
        <v>3158.8723199999999</v>
      </c>
      <c r="HI19" s="563">
        <f t="shared" si="77"/>
        <v>1150.650834688</v>
      </c>
      <c r="HJ19" s="563">
        <f>IFERROR($BG19*$FP19*0.2406*$CE19,0)</f>
        <v>571.52424268800007</v>
      </c>
      <c r="HK19" s="563">
        <f t="shared" si="78"/>
        <v>579.12659199999996</v>
      </c>
      <c r="HL19" s="563">
        <f t="shared" si="79"/>
        <v>2967.266834432</v>
      </c>
      <c r="HM19" s="563">
        <f>IFERROR($BG19*$FP19*0.2406*$CF19,0)</f>
        <v>1651.0700344320003</v>
      </c>
      <c r="HN19" s="563">
        <f t="shared" si="80"/>
        <v>1316.1967999999999</v>
      </c>
      <c r="HO19" s="563">
        <f t="shared" si="81"/>
        <v>11882.361513600001</v>
      </c>
      <c r="HP19" s="563">
        <f>IFERROR($BH19*$FP19*0.2406*$CK19,0)</f>
        <v>7144.0530336000002</v>
      </c>
      <c r="HQ19" s="563">
        <f t="shared" si="82"/>
        <v>4738.3084799999997</v>
      </c>
      <c r="HR19" s="563">
        <f t="shared" si="83"/>
        <v>12352.533330239999</v>
      </c>
      <c r="HS19" s="563">
        <f>IFERROR($BH19*$FP19*0.2406*$CL19,0)</f>
        <v>6429.6477302399999</v>
      </c>
      <c r="HT19" s="563">
        <f t="shared" si="84"/>
        <v>5922.8855999999996</v>
      </c>
      <c r="HU19" s="563">
        <f t="shared" si="85"/>
        <v>1898.98242336</v>
      </c>
      <c r="HV19" s="563">
        <f>IFERROR($BH19*$FP19*0.2406*$CM19,0)</f>
        <v>714.40530336000006</v>
      </c>
      <c r="HW19" s="563">
        <f t="shared" si="86"/>
        <v>1184.5771199999999</v>
      </c>
      <c r="HX19" s="544"/>
      <c r="HY19" s="568">
        <f t="shared" si="87"/>
        <v>215460.00000000003</v>
      </c>
      <c r="HZ19" s="568">
        <f t="shared" si="88"/>
        <v>6503.49</v>
      </c>
      <c r="IA19" s="568">
        <f t="shared" si="89"/>
        <v>76744.584000000003</v>
      </c>
      <c r="IB19" s="568">
        <f t="shared" si="90"/>
        <v>104099.31</v>
      </c>
      <c r="IC19" s="568">
        <f t="shared" si="91"/>
        <v>27303.696</v>
      </c>
      <c r="ID19" s="568">
        <f t="shared" si="92"/>
        <v>808.92000000000007</v>
      </c>
      <c r="IE19" s="568">
        <f t="shared" si="93"/>
        <v>45245.669212799992</v>
      </c>
      <c r="IF19" s="568">
        <f t="shared" si="94"/>
        <v>0</v>
      </c>
      <c r="IG19" s="568">
        <f t="shared" si="95"/>
        <v>7201.7611064380799</v>
      </c>
      <c r="IH19" s="568">
        <f t="shared" si="96"/>
        <v>23971.393684042559</v>
      </c>
      <c r="II19" s="568">
        <f t="shared" si="97"/>
        <v>13018.290329661118</v>
      </c>
      <c r="IJ19" s="568">
        <f t="shared" si="98"/>
        <v>1054.2240926582401</v>
      </c>
      <c r="IK19" s="868">
        <v>4.0199999999999996</v>
      </c>
      <c r="IL19" s="569" t="s">
        <v>2589</v>
      </c>
      <c r="IM19" s="570" t="s">
        <v>2854</v>
      </c>
      <c r="IN19" s="529"/>
      <c r="IO19" s="742">
        <v>1.5699999999999999E-2</v>
      </c>
      <c r="IP19" s="742">
        <v>0.32219999999999999</v>
      </c>
      <c r="IQ19" s="742">
        <v>0.51080000000000003</v>
      </c>
      <c r="IR19" s="742">
        <v>0.14630000000000001</v>
      </c>
      <c r="IS19" s="742">
        <v>5.0000000000000001E-3</v>
      </c>
      <c r="IT19" s="742">
        <v>0</v>
      </c>
      <c r="IU19" s="742">
        <v>0.1283</v>
      </c>
      <c r="IV19" s="742">
        <v>0.51980000000000004</v>
      </c>
      <c r="IW19" s="742">
        <v>0.32229999999999998</v>
      </c>
      <c r="IX19" s="742">
        <v>2.9600000000000001E-2</v>
      </c>
      <c r="IY19" s="742">
        <v>2.7300000000000001E-2</v>
      </c>
      <c r="IZ19" s="742">
        <v>0.35499999999999998</v>
      </c>
      <c r="JA19" s="742">
        <v>0.48770000000000002</v>
      </c>
      <c r="JB19" s="742">
        <v>0.12640000000000001</v>
      </c>
      <c r="JC19" s="742">
        <v>3.5999999999999999E-3</v>
      </c>
      <c r="JD19" s="742">
        <v>0</v>
      </c>
      <c r="JE19" s="742">
        <v>0.15529999999999999</v>
      </c>
      <c r="JF19" s="742">
        <v>0.53249999999999997</v>
      </c>
      <c r="JG19" s="742">
        <v>0.2893</v>
      </c>
      <c r="JH19" s="742">
        <v>2.29E-2</v>
      </c>
      <c r="JI19" s="742">
        <v>7.1400000000000005E-2</v>
      </c>
      <c r="JJ19" s="742">
        <v>0.43509999999999999</v>
      </c>
      <c r="JK19" s="742">
        <v>0.4078</v>
      </c>
      <c r="JL19" s="742">
        <v>8.43E-2</v>
      </c>
      <c r="JM19" s="742">
        <v>1.4E-3</v>
      </c>
      <c r="JN19" s="742">
        <v>0</v>
      </c>
      <c r="JO19" s="742">
        <v>0.23980000000000001</v>
      </c>
      <c r="JP19" s="742">
        <v>0.54330000000000001</v>
      </c>
      <c r="JQ19" s="742">
        <v>0.20630000000000001</v>
      </c>
      <c r="JR19" s="742">
        <v>1.06E-2</v>
      </c>
      <c r="JS19" s="742">
        <v>3.2300000000000002E-2</v>
      </c>
      <c r="JT19" s="742">
        <v>0.3669</v>
      </c>
      <c r="JU19" s="742">
        <v>0.47799999999999998</v>
      </c>
      <c r="JV19" s="742">
        <v>0.1196</v>
      </c>
      <c r="JW19" s="742">
        <v>3.2000000000000002E-3</v>
      </c>
      <c r="JX19" s="742">
        <v>0</v>
      </c>
      <c r="JY19" s="742">
        <v>0.16600000000000001</v>
      </c>
      <c r="JZ19" s="742">
        <v>0.53610000000000002</v>
      </c>
      <c r="KA19" s="742">
        <v>0.2772</v>
      </c>
      <c r="KB19" s="742">
        <v>2.07E-2</v>
      </c>
      <c r="KC19" s="657"/>
      <c r="KD19" s="832" t="s">
        <v>2591</v>
      </c>
      <c r="KE19" s="832" t="s">
        <v>2625</v>
      </c>
      <c r="KF19" s="869">
        <v>3.85</v>
      </c>
      <c r="KG19" s="832" t="s">
        <v>2626</v>
      </c>
      <c r="KH19" s="833" t="s">
        <v>2855</v>
      </c>
      <c r="KI19" s="832" t="s">
        <v>2809</v>
      </c>
      <c r="KJ19" s="833" t="s">
        <v>2856</v>
      </c>
    </row>
    <row r="20" spans="1:296" ht="48" hidden="1" customHeight="1">
      <c r="A20" s="273">
        <f t="shared" si="99"/>
        <v>13</v>
      </c>
      <c r="B20" s="274" t="s">
        <v>2600</v>
      </c>
      <c r="C20" s="274" t="s">
        <v>2091</v>
      </c>
      <c r="D20" s="274" t="s">
        <v>2857</v>
      </c>
      <c r="E20" s="275" t="s">
        <v>2158</v>
      </c>
      <c r="F20" s="275" t="s">
        <v>300</v>
      </c>
      <c r="G20" s="275" t="s">
        <v>2631</v>
      </c>
      <c r="H20" s="275" t="s">
        <v>2109</v>
      </c>
      <c r="I20" s="276" t="s">
        <v>2858</v>
      </c>
      <c r="J20" s="276" t="s">
        <v>2859</v>
      </c>
      <c r="K20" s="277" t="s">
        <v>2097</v>
      </c>
      <c r="L20" s="277" t="s">
        <v>2109</v>
      </c>
      <c r="M20" s="277" t="s">
        <v>2603</v>
      </c>
      <c r="N20" s="277" t="s">
        <v>2099</v>
      </c>
      <c r="O20" s="275" t="s">
        <v>2212</v>
      </c>
      <c r="P20" s="276"/>
      <c r="Q20" s="270">
        <v>1</v>
      </c>
      <c r="R20" s="278">
        <v>700</v>
      </c>
      <c r="S20" s="279">
        <v>1850</v>
      </c>
      <c r="T20" s="279">
        <v>1900</v>
      </c>
      <c r="U20" s="279">
        <v>1650</v>
      </c>
      <c r="V20" s="279">
        <v>1540</v>
      </c>
      <c r="W20" s="279">
        <v>1535</v>
      </c>
      <c r="X20" s="279">
        <v>1530</v>
      </c>
      <c r="Y20" s="279">
        <v>1525</v>
      </c>
      <c r="Z20" s="279">
        <v>1520</v>
      </c>
      <c r="AA20" s="279">
        <v>1505</v>
      </c>
      <c r="AB20" s="279">
        <v>1495</v>
      </c>
      <c r="AC20" s="279">
        <v>1495</v>
      </c>
      <c r="AD20" s="279">
        <v>1499</v>
      </c>
      <c r="AE20" s="279">
        <v>1499</v>
      </c>
      <c r="AF20" s="279">
        <v>1500</v>
      </c>
      <c r="AG20" s="279">
        <v>1500</v>
      </c>
      <c r="AH20" s="279">
        <v>1500</v>
      </c>
      <c r="AI20" s="279">
        <v>1502</v>
      </c>
      <c r="AJ20" s="279">
        <v>1505</v>
      </c>
      <c r="AK20" s="279">
        <v>1505</v>
      </c>
      <c r="AL20" s="276" t="s">
        <v>2860</v>
      </c>
      <c r="AM20" s="276" t="s">
        <v>2861</v>
      </c>
      <c r="AN20" s="276" t="s">
        <v>2862</v>
      </c>
      <c r="AO20" s="657"/>
      <c r="AP20" s="278">
        <v>100</v>
      </c>
      <c r="AQ20" s="278">
        <v>70</v>
      </c>
      <c r="AR20" s="278">
        <v>25</v>
      </c>
      <c r="AS20" s="278">
        <v>5</v>
      </c>
      <c r="AT20" s="657"/>
      <c r="AU20" s="281" t="s">
        <v>2863</v>
      </c>
      <c r="AV20" s="296" t="s">
        <v>2864</v>
      </c>
      <c r="AW20" s="296" t="s">
        <v>2865</v>
      </c>
      <c r="AX20" s="276" t="s">
        <v>2670</v>
      </c>
      <c r="AY20" s="657"/>
      <c r="AZ20" s="947">
        <v>5</v>
      </c>
      <c r="BA20" s="947">
        <v>0</v>
      </c>
      <c r="BB20" s="947">
        <v>1</v>
      </c>
      <c r="BC20" s="947">
        <v>4</v>
      </c>
      <c r="BD20" s="826">
        <f t="shared" si="4"/>
        <v>15000</v>
      </c>
      <c r="BE20" s="283">
        <f t="shared" si="5"/>
        <v>7500</v>
      </c>
      <c r="BF20" s="283">
        <f t="shared" si="6"/>
        <v>0</v>
      </c>
      <c r="BG20" s="283">
        <f t="shared" si="7"/>
        <v>1500</v>
      </c>
      <c r="BH20" s="283">
        <f t="shared" si="8"/>
        <v>6000</v>
      </c>
      <c r="BI20" s="826">
        <f t="shared" si="9"/>
        <v>15050</v>
      </c>
      <c r="BJ20" s="283">
        <f t="shared" si="10"/>
        <v>7525</v>
      </c>
      <c r="BK20" s="283">
        <f t="shared" si="11"/>
        <v>0</v>
      </c>
      <c r="BL20" s="283">
        <f t="shared" si="12"/>
        <v>1505</v>
      </c>
      <c r="BM20" s="283">
        <f t="shared" si="13"/>
        <v>6020</v>
      </c>
      <c r="BN20" s="657"/>
      <c r="BO20" s="305">
        <v>0.36</v>
      </c>
      <c r="BP20" s="305">
        <v>0.5</v>
      </c>
      <c r="BQ20" s="305">
        <v>0.1</v>
      </c>
      <c r="BR20" s="581">
        <v>0.04</v>
      </c>
      <c r="BS20" s="706">
        <v>0.31</v>
      </c>
      <c r="BT20" s="305">
        <v>0.51</v>
      </c>
      <c r="BU20" s="305">
        <v>0.15</v>
      </c>
      <c r="BV20" s="581">
        <v>0.03</v>
      </c>
      <c r="BW20" s="713"/>
      <c r="BX20" s="306"/>
      <c r="BY20" s="590"/>
      <c r="BZ20" s="713"/>
      <c r="CA20" s="306"/>
      <c r="CB20" s="590"/>
      <c r="CC20" s="706">
        <v>0.12</v>
      </c>
      <c r="CD20" s="305">
        <v>0.5</v>
      </c>
      <c r="CE20" s="305">
        <v>0.15</v>
      </c>
      <c r="CF20" s="581">
        <v>0.23</v>
      </c>
      <c r="CG20" s="706">
        <v>0.1</v>
      </c>
      <c r="CH20" s="305">
        <v>0.5</v>
      </c>
      <c r="CI20" s="305">
        <v>0.18</v>
      </c>
      <c r="CJ20" s="581">
        <v>0.22</v>
      </c>
      <c r="CK20" s="719">
        <v>0.55000000000000004</v>
      </c>
      <c r="CL20" s="307">
        <v>0.3</v>
      </c>
      <c r="CM20" s="723">
        <v>0.15</v>
      </c>
      <c r="CN20" s="719">
        <v>0.47</v>
      </c>
      <c r="CO20" s="307">
        <v>0.33</v>
      </c>
      <c r="CP20" s="723">
        <v>0.2</v>
      </c>
      <c r="CQ20" s="657"/>
      <c r="CR20" s="804">
        <v>13</v>
      </c>
      <c r="CS20" s="805">
        <v>14</v>
      </c>
      <c r="CT20" s="805">
        <v>10</v>
      </c>
      <c r="CU20" s="806">
        <v>12</v>
      </c>
      <c r="CV20" s="804"/>
      <c r="CW20" s="805"/>
      <c r="CX20" s="806"/>
      <c r="CY20" s="804">
        <v>11</v>
      </c>
      <c r="CZ20" s="805">
        <v>13</v>
      </c>
      <c r="DA20" s="805">
        <v>9</v>
      </c>
      <c r="DB20" s="806">
        <v>11</v>
      </c>
      <c r="DC20" s="804">
        <v>14</v>
      </c>
      <c r="DD20" s="805">
        <v>14</v>
      </c>
      <c r="DE20" s="806">
        <v>10</v>
      </c>
      <c r="DF20" s="609" t="s">
        <v>2866</v>
      </c>
      <c r="DG20" s="657"/>
      <c r="DH20" s="308">
        <f t="shared" si="14"/>
        <v>2700</v>
      </c>
      <c r="DI20" s="308">
        <f t="shared" si="15"/>
        <v>3750</v>
      </c>
      <c r="DJ20" s="308">
        <f t="shared" si="16"/>
        <v>750</v>
      </c>
      <c r="DK20" s="308">
        <f t="shared" si="17"/>
        <v>300</v>
      </c>
      <c r="DL20" s="287" t="s">
        <v>2867</v>
      </c>
      <c r="DM20" s="308">
        <f t="shared" si="18"/>
        <v>2332.75</v>
      </c>
      <c r="DN20" s="308">
        <f t="shared" si="19"/>
        <v>3837.75</v>
      </c>
      <c r="DO20" s="308">
        <f t="shared" si="20"/>
        <v>1128.75</v>
      </c>
      <c r="DP20" s="308">
        <f t="shared" si="21"/>
        <v>225.75</v>
      </c>
      <c r="DQ20" s="289" t="s">
        <v>2868</v>
      </c>
      <c r="DR20" s="657"/>
      <c r="DS20" s="308">
        <f t="shared" si="22"/>
        <v>0</v>
      </c>
      <c r="DT20" s="308">
        <f t="shared" si="23"/>
        <v>0</v>
      </c>
      <c r="DU20" s="308">
        <f t="shared" si="24"/>
        <v>0</v>
      </c>
      <c r="DV20" s="289" t="s">
        <v>2613</v>
      </c>
      <c r="DW20" s="308">
        <f t="shared" si="25"/>
        <v>0</v>
      </c>
      <c r="DX20" s="308">
        <f t="shared" si="26"/>
        <v>0</v>
      </c>
      <c r="DY20" s="308">
        <f t="shared" si="27"/>
        <v>0</v>
      </c>
      <c r="DZ20" s="289" t="s">
        <v>2613</v>
      </c>
      <c r="EA20" s="657"/>
      <c r="EB20" s="308">
        <f t="shared" si="28"/>
        <v>180</v>
      </c>
      <c r="EC20" s="308">
        <f t="shared" si="29"/>
        <v>750</v>
      </c>
      <c r="ED20" s="308">
        <f t="shared" si="30"/>
        <v>225</v>
      </c>
      <c r="EE20" s="308">
        <f t="shared" si="31"/>
        <v>345</v>
      </c>
      <c r="EF20" s="289" t="s">
        <v>2869</v>
      </c>
      <c r="EG20" s="308">
        <f t="shared" si="32"/>
        <v>150.5</v>
      </c>
      <c r="EH20" s="308">
        <f t="shared" si="33"/>
        <v>752.5</v>
      </c>
      <c r="EI20" s="308">
        <f t="shared" si="34"/>
        <v>270.89999999999998</v>
      </c>
      <c r="EJ20" s="308">
        <f t="shared" si="35"/>
        <v>331.1</v>
      </c>
      <c r="EK20" s="309" t="s">
        <v>2870</v>
      </c>
      <c r="EL20" s="657"/>
      <c r="EM20" s="308">
        <f t="shared" si="36"/>
        <v>3300.0000000000005</v>
      </c>
      <c r="EN20" s="310">
        <f t="shared" si="37"/>
        <v>1800</v>
      </c>
      <c r="EO20" s="310">
        <f t="shared" si="38"/>
        <v>900</v>
      </c>
      <c r="EP20" s="289" t="s">
        <v>2871</v>
      </c>
      <c r="EQ20" s="308">
        <f t="shared" si="39"/>
        <v>2829.3999999999996</v>
      </c>
      <c r="ER20" s="310">
        <f t="shared" si="40"/>
        <v>1986.6000000000001</v>
      </c>
      <c r="ES20" s="310">
        <f t="shared" si="41"/>
        <v>1204</v>
      </c>
      <c r="ET20" s="289" t="s">
        <v>2872</v>
      </c>
      <c r="EU20" s="657"/>
      <c r="EV20" s="728">
        <f t="shared" si="42"/>
        <v>0.87000388066879719</v>
      </c>
      <c r="EW20" s="728">
        <f t="shared" si="43"/>
        <v>0.12999611933120281</v>
      </c>
      <c r="EX20" s="311">
        <f t="shared" si="44"/>
        <v>5380.9298585123215</v>
      </c>
      <c r="EY20" s="311">
        <f t="shared" si="45"/>
        <v>4681.4298585123215</v>
      </c>
      <c r="EZ20" s="311">
        <f t="shared" si="46"/>
        <v>699.5</v>
      </c>
      <c r="FA20" s="311">
        <f t="shared" si="47"/>
        <v>2674.5724922161171</v>
      </c>
      <c r="FB20" s="311">
        <f t="shared" si="48"/>
        <v>2324.8224922161171</v>
      </c>
      <c r="FC20" s="311">
        <f t="shared" si="49"/>
        <v>349.75</v>
      </c>
      <c r="FD20" s="311">
        <f t="shared" si="50"/>
        <v>0</v>
      </c>
      <c r="FE20" s="311">
        <f t="shared" si="51"/>
        <v>0</v>
      </c>
      <c r="FF20" s="311">
        <f t="shared" si="52"/>
        <v>0</v>
      </c>
      <c r="FG20" s="311">
        <f t="shared" si="53"/>
        <v>585.4970520104896</v>
      </c>
      <c r="FH20" s="311">
        <f t="shared" si="54"/>
        <v>515.54705201048955</v>
      </c>
      <c r="FI20" s="311">
        <f t="shared" si="55"/>
        <v>69.95</v>
      </c>
      <c r="FJ20" s="311">
        <f t="shared" si="56"/>
        <v>2120.8603142857146</v>
      </c>
      <c r="FK20" s="311">
        <f t="shared" si="57"/>
        <v>1841.0603142857144</v>
      </c>
      <c r="FL20" s="311">
        <f t="shared" si="58"/>
        <v>279.8</v>
      </c>
      <c r="FM20" s="657"/>
      <c r="FN20" s="293" t="s">
        <v>2649</v>
      </c>
      <c r="FO20" s="728">
        <v>4.3299999999999998E-2</v>
      </c>
      <c r="FP20" s="729">
        <v>0.76524999999999999</v>
      </c>
      <c r="FQ20" s="294" t="s">
        <v>2873</v>
      </c>
      <c r="FR20" s="657"/>
      <c r="FS20" s="865">
        <v>2.93</v>
      </c>
      <c r="FT20" s="312">
        <f>RANK($FS20,$FS$8:$FS$154,0)+COUNTIF($FS$8:$FS20,$FS20)-1</f>
        <v>128</v>
      </c>
      <c r="FU20" s="865">
        <v>3.55</v>
      </c>
      <c r="FV20" s="312">
        <f>RANK($FU20,$FU$8:$FU$154,0)+COUNTIF($FU$8:$FU20,$FU20)-1</f>
        <v>135</v>
      </c>
      <c r="FW20" s="865">
        <v>1.84</v>
      </c>
      <c r="FX20" s="312">
        <f>RANK($FW20,$FW$8:$FW$154,0)+COUNTIF($FW$8:$FW20,$FW20)-1</f>
        <v>117</v>
      </c>
      <c r="FY20" s="657"/>
      <c r="FZ20" s="296" t="s">
        <v>2874</v>
      </c>
      <c r="GA20" s="296" t="s">
        <v>2875</v>
      </c>
      <c r="GB20" s="296" t="s">
        <v>2653</v>
      </c>
      <c r="GC20" s="296" t="s">
        <v>2654</v>
      </c>
      <c r="GD20" s="296" t="s">
        <v>2876</v>
      </c>
      <c r="GE20" s="296" t="s">
        <v>2656</v>
      </c>
      <c r="GF20" s="296" t="str">
        <f>HYPERLINK("https://anct.gouv.fr/france-services-36","https://anct.gouv.fr/france-services-36")&amp;CHAR(10)&amp;HYPERLINK("https://www.economie.gouv.fr/particuliers/gerer-mon-argent/beneficier-daides-et-de-reductions-dimpots/france-services-les-services-publics-pres-de-chez-vous","https://www.economie.gouv.fr/particuliers/gerer-mon-argent/beneficier-daides-et-de-reductions-dimpots/france-services-les-services-publics-pres-de-chez-vous")&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20" s="657"/>
      <c r="GH20" s="311">
        <f t="shared" si="59"/>
        <v>946.01805769230782</v>
      </c>
      <c r="GI20" s="311">
        <f t="shared" ref="GI20:GI34" si="100">IFERROR($DH20*$FP20/MAX(0.000000001,$CR20)*(INDEX($S20:$AF20,1,MATCH(MAX(2000,MIN(2025,ROUND(2026-$CR20,0))),$S$4:$AF$4,1))+INDEX($S20:$AF20,1,MATCH(MAX(2000,MIN(2025,ROUND(2027-$CR20,0))),$S$4:$AF$4,1))+INDEX($S20:$AF20,1,MATCH(MAX(2000,MIN(2025,ROUND(2028-$CR20,0))),$S$4:$AF$4,1))+INDEX($S20:$AF20,1,MATCH(MAX(2000,MIN(2025,ROUND(2029-$CR20,0))),$S$4:$AF$4,1))+INDEX($S20:$AF20,1,MATCH(MAX(2000,MIN(2025,ROUND(2030-$CR20,0))),$S$4:$AF$4,1)))/MAX(1,$AF20),0)</f>
        <v>837.59555769230781</v>
      </c>
      <c r="GJ20" s="311">
        <f t="shared" si="60"/>
        <v>108.4225</v>
      </c>
      <c r="GK20" s="311">
        <f t="shared" si="61"/>
        <v>1275.0030803571428</v>
      </c>
      <c r="GL20" s="311">
        <f t="shared" ref="GL20:GL34" si="101">IFERROR($DI20*$FP20/MAX(0.000000001,$CS20)*(INDEX($S20:$AF20,1,MATCH(MAX(2000,MIN(2025,ROUND(2026-$CS20,0))),$S$4:$AF$4,1))+INDEX($S20:$AF20,1,MATCH(MAX(2000,MIN(2025,ROUND(2027-$CS20,0))),$S$4:$AF$4,1))+INDEX($S20:$AF20,1,MATCH(MAX(2000,MIN(2025,ROUND(2028-$CS20,0))),$S$4:$AF$4,1))+INDEX($S20:$AF20,1,MATCH(MAX(2000,MIN(2025,ROUND(2029-$CS20,0))),$S$4:$AF$4,1))+INDEX($S20:$AF20,1,MATCH(MAX(2000,MIN(2025,ROUND(2030-$CS20,0))),$S$4:$AF$4,1)))/MAX(1,$AF20),0)</f>
        <v>1096.6305803571429</v>
      </c>
      <c r="GM20" s="311">
        <f t="shared" si="62"/>
        <v>178.3725</v>
      </c>
      <c r="GN20" s="311">
        <f t="shared" si="63"/>
        <v>343.83143749999999</v>
      </c>
      <c r="GO20" s="311">
        <f t="shared" ref="GO20:GO34" si="102">IFERROR($DJ20*$FP20/MAX(0.000000001,$CT20)*(INDEX($S20:$AF20,1,MATCH(MAX(2000,MIN(2025,ROUND(2026-$CT20,0))),$S$4:$AF$4,1))+INDEX($S20:$AF20,1,MATCH(MAX(2000,MIN(2025,ROUND(2027-$CT20,0))),$S$4:$AF$4,1))+INDEX($S20:$AF20,1,MATCH(MAX(2000,MIN(2025,ROUND(2028-$CT20,0))),$S$4:$AF$4,1))+INDEX($S20:$AF20,1,MATCH(MAX(2000,MIN(2025,ROUND(2029-$CT20,0))),$S$4:$AF$4,1))+INDEX($S20:$AF20,1,MATCH(MAX(2000,MIN(2025,ROUND(2030-$CT20,0))),$S$4:$AF$4,1)))/MAX(1,$AF20),0)</f>
        <v>291.36893750000002</v>
      </c>
      <c r="GP20" s="311">
        <f t="shared" si="64"/>
        <v>52.462499999999999</v>
      </c>
      <c r="GQ20" s="311">
        <f t="shared" si="65"/>
        <v>109.71991666666665</v>
      </c>
      <c r="GR20" s="311">
        <f t="shared" ref="GR20:GR34" si="103">IFERROR($DK20*$FP20/MAX(0.000000001,$CU20)*(INDEX($S20:$AF20,1,MATCH(MAX(2000,MIN(2025,ROUND(2026-$CU20,0))),$S$4:$AF$4,1))+INDEX($S20:$AF20,1,MATCH(MAX(2000,MIN(2025,ROUND(2027-$CU20,0))),$S$4:$AF$4,1))+INDEX($S20:$AF20,1,MATCH(MAX(2000,MIN(2025,ROUND(2028-$CU20,0))),$S$4:$AF$4,1))+INDEX($S20:$AF20,1,MATCH(MAX(2000,MIN(2025,ROUND(2029-$CU20,0))),$S$4:$AF$4,1))+INDEX($S20:$AF20,1,MATCH(MAX(2000,MIN(2025,ROUND(2030-$CU20,0))),$S$4:$AF$4,1)))/MAX(1,$AF20),0)</f>
        <v>99.227416666666642</v>
      </c>
      <c r="GS20" s="311">
        <f t="shared" si="66"/>
        <v>10.4925</v>
      </c>
      <c r="GT20" s="311">
        <f t="shared" si="67"/>
        <v>0</v>
      </c>
      <c r="GU20" s="311">
        <f t="shared" ref="GU20:GU34" si="104">IFERROR($DS20*$FP20/MAX(0.000000001,$CV20)*(INDEX($S20:$AF20,1,MATCH(MAX(2000,MIN(2025,ROUND(2026-$CV20,0))),$S$4:$AF$4,1))+INDEX($S20:$AF20,1,MATCH(MAX(2000,MIN(2025,ROUND(2027-$CV20,0))),$S$4:$AF$4,1))+INDEX($S20:$AF20,1,MATCH(MAX(2000,MIN(2025,ROUND(2028-$CV20,0))),$S$4:$AF$4,1))+INDEX($S20:$AF20,1,MATCH(MAX(2000,MIN(2025,ROUND(2029-$CV20,0))),$S$4:$AF$4,1))+INDEX($S20:$AF20,1,MATCH(MAX(2000,MIN(2025,ROUND(2030-$CV20,0))),$S$4:$AF$4,1)))/MAX(1,$AF20),0)</f>
        <v>0</v>
      </c>
      <c r="GV20" s="311">
        <f t="shared" si="68"/>
        <v>0</v>
      </c>
      <c r="GW20" s="311">
        <f t="shared" si="69"/>
        <v>0</v>
      </c>
      <c r="GX20" s="311">
        <f t="shared" ref="GX20:GX34" si="105">IFERROR($DT20*$FP20/MAX(0.000000001,$CW20)*(INDEX($S20:$AF20,1,MATCH(MAX(2000,MIN(2025,ROUND(2026-$CW20,0))),$S$4:$AF$4,1))+INDEX($S20:$AF20,1,MATCH(MAX(2000,MIN(2025,ROUND(2027-$CW20,0))),$S$4:$AF$4,1))+INDEX($S20:$AF20,1,MATCH(MAX(2000,MIN(2025,ROUND(2028-$CW20,0))),$S$4:$AF$4,1))+INDEX($S20:$AF20,1,MATCH(MAX(2000,MIN(2025,ROUND(2029-$CW20,0))),$S$4:$AF$4,1))+INDEX($S20:$AF20,1,MATCH(MAX(2000,MIN(2025,ROUND(2030-$CW20,0))),$S$4:$AF$4,1)))/MAX(1,$AF20),0)</f>
        <v>0</v>
      </c>
      <c r="GY20" s="311">
        <f t="shared" si="70"/>
        <v>0</v>
      </c>
      <c r="GZ20" s="311">
        <f t="shared" si="71"/>
        <v>0</v>
      </c>
      <c r="HA20" s="311">
        <f t="shared" ref="HA20:HA34" si="106">IFERROR($DU20*$FP20/MAX(0.000000001,$CX20)*(INDEX($S20:$AF20,1,MATCH(MAX(2000,MIN(2025,ROUND(2026-$CX20,0))),$S$4:$AF$4,1))+INDEX($S20:$AF20,1,MATCH(MAX(2000,MIN(2025,ROUND(2027-$CX20,0))),$S$4:$AF$4,1))+INDEX($S20:$AF20,1,MATCH(MAX(2000,MIN(2025,ROUND(2028-$CX20,0))),$S$4:$AF$4,1))+INDEX($S20:$AF20,1,MATCH(MAX(2000,MIN(2025,ROUND(2029-$CX20,0))),$S$4:$AF$4,1))+INDEX($S20:$AF20,1,MATCH(MAX(2000,MIN(2025,ROUND(2030-$CX20,0))),$S$4:$AF$4,1)))/MAX(1,$AF20),0)</f>
        <v>0</v>
      </c>
      <c r="HB20" s="311">
        <f t="shared" si="72"/>
        <v>0</v>
      </c>
      <c r="HC20" s="311">
        <f t="shared" si="73"/>
        <v>70.858590909090907</v>
      </c>
      <c r="HD20" s="311">
        <f t="shared" ref="HD20:HD34" si="107">IFERROR($EB20*$FP20/MAX(0.000000001,$CY20)*(INDEX($S20:$AF20,1,MATCH(MAX(2000,MIN(2025,ROUND(2026-$CY20,0))),$S$4:$AF$4,1))+INDEX($S20:$AF20,1,MATCH(MAX(2000,MIN(2025,ROUND(2027-$CY20,0))),$S$4:$AF$4,1))+INDEX($S20:$AF20,1,MATCH(MAX(2000,MIN(2025,ROUND(2028-$CY20,0))),$S$4:$AF$4,1))+INDEX($S20:$AF20,1,MATCH(MAX(2000,MIN(2025,ROUND(2029-$CY20,0))),$S$4:$AF$4,1))+INDEX($S20:$AF20,1,MATCH(MAX(2000,MIN(2025,ROUND(2030-$CY20,0))),$S$4:$AF$4,1)))/MAX(1,$AF20),0)</f>
        <v>63.86359090909091</v>
      </c>
      <c r="HE20" s="311">
        <f t="shared" si="74"/>
        <v>6.995000000000001</v>
      </c>
      <c r="HF20" s="311">
        <f t="shared" si="75"/>
        <v>267.64043269230768</v>
      </c>
      <c r="HG20" s="311">
        <f t="shared" ref="HG20:HG34" si="108">IFERROR($EC20*$FP20/MAX(0.000000001,$CZ20)*(INDEX($S20:$AF20,1,MATCH(MAX(2000,MIN(2025,ROUND(2026-$CZ20,0))),$S$4:$AF$4,1))+INDEX($S20:$AF20,1,MATCH(MAX(2000,MIN(2025,ROUND(2027-$CZ20,0))),$S$4:$AF$4,1))+INDEX($S20:$AF20,1,MATCH(MAX(2000,MIN(2025,ROUND(2028-$CZ20,0))),$S$4:$AF$4,1))+INDEX($S20:$AF20,1,MATCH(MAX(2000,MIN(2025,ROUND(2029-$CZ20,0))),$S$4:$AF$4,1))+INDEX($S20:$AF20,1,MATCH(MAX(2000,MIN(2025,ROUND(2030-$CZ20,0))),$S$4:$AF$4,1)))/MAX(1,$AF20),0)</f>
        <v>232.66543269230766</v>
      </c>
      <c r="HH20" s="311">
        <f t="shared" si="76"/>
        <v>34.975000000000001</v>
      </c>
      <c r="HI20" s="311">
        <f t="shared" si="77"/>
        <v>109.2038125</v>
      </c>
      <c r="HJ20" s="311">
        <f t="shared" ref="HJ20:HJ34" si="109">IFERROR($ED20*$FP20/MAX(0.000000001,$DA20)*(INDEX($S20:$AF20,1,MATCH(MAX(2000,MIN(2025,ROUND(2026-$DA20,0))),$S$4:$AF$4,1))+INDEX($S20:$AF20,1,MATCH(MAX(2000,MIN(2025,ROUND(2027-$DA20,0))),$S$4:$AF$4,1))+INDEX($S20:$AF20,1,MATCH(MAX(2000,MIN(2025,ROUND(2028-$DA20,0))),$S$4:$AF$4,1))+INDEX($S20:$AF20,1,MATCH(MAX(2000,MIN(2025,ROUND(2029-$DA20,0))),$S$4:$AF$4,1))+INDEX($S20:$AF20,1,MATCH(MAX(2000,MIN(2025,ROUND(2030-$DA20,0))),$S$4:$AF$4,1)))/MAX(1,$AF20),0)</f>
        <v>96.612812500000004</v>
      </c>
      <c r="HK20" s="311">
        <f t="shared" si="78"/>
        <v>12.590999999999999</v>
      </c>
      <c r="HL20" s="311">
        <f t="shared" si="79"/>
        <v>137.79421590909092</v>
      </c>
      <c r="HM20" s="311">
        <f t="shared" ref="HM20:HM34" si="110">IFERROR($EE20*$FP20/MAX(0.000000001,$DB20)*(INDEX($S20:$AF20,1,MATCH(MAX(2000,MIN(2025,ROUND(2026-$DB20,0))),$S$4:$AF$4,1))+INDEX($S20:$AF20,1,MATCH(MAX(2000,MIN(2025,ROUND(2027-$DB20,0))),$S$4:$AF$4,1))+INDEX($S20:$AF20,1,MATCH(MAX(2000,MIN(2025,ROUND(2028-$DB20,0))),$S$4:$AF$4,1))+INDEX($S20:$AF20,1,MATCH(MAX(2000,MIN(2025,ROUND(2029-$DB20,0))),$S$4:$AF$4,1))+INDEX($S20:$AF20,1,MATCH(MAX(2000,MIN(2025,ROUND(2030-$DB20,0))),$S$4:$AF$4,1)))/MAX(1,$AF20),0)</f>
        <v>122.40521590909093</v>
      </c>
      <c r="HN20" s="311">
        <f t="shared" si="80"/>
        <v>15.389000000000001</v>
      </c>
      <c r="HO20" s="311">
        <f t="shared" si="81"/>
        <v>1096.5409107142857</v>
      </c>
      <c r="HP20" s="311">
        <f t="shared" ref="HP20:HP34" si="111">IFERROR($EM20*$FP20/MAX(0.000000001,$DC20)*(INDEX($S20:$AF20,1,MATCH(MAX(2000,MIN(2025,ROUND(2026-$DC20,0))),$S$4:$AF$4,1))+INDEX($S20:$AF20,1,MATCH(MAX(2000,MIN(2025,ROUND(2027-$DC20,0))),$S$4:$AF$4,1))+INDEX($S20:$AF20,1,MATCH(MAX(2000,MIN(2025,ROUND(2028-$DC20,0))),$S$4:$AF$4,1))+INDEX($S20:$AF20,1,MATCH(MAX(2000,MIN(2025,ROUND(2029-$DC20,0))),$S$4:$AF$4,1))+INDEX($S20:$AF20,1,MATCH(MAX(2000,MIN(2025,ROUND(2030-$DC20,0))),$S$4:$AF$4,1)))/MAX(1,$AF20),0)</f>
        <v>965.03491071428573</v>
      </c>
      <c r="HQ20" s="311">
        <f t="shared" si="82"/>
        <v>131.506</v>
      </c>
      <c r="HR20" s="311">
        <f t="shared" si="83"/>
        <v>618.7166785714287</v>
      </c>
      <c r="HS20" s="311">
        <f t="shared" ref="HS20:HS34" si="112">IFERROR($EN20*$FP20/MAX(0.000000001,$DD20)*(INDEX($S20:$AF20,1,MATCH(MAX(2000,MIN(2025,ROUND(2026-$DD20,0))),$S$4:$AF$4,1))+INDEX($S20:$AF20,1,MATCH(MAX(2000,MIN(2025,ROUND(2027-$DD20,0))),$S$4:$AF$4,1))+INDEX($S20:$AF20,1,MATCH(MAX(2000,MIN(2025,ROUND(2028-$DD20,0))),$S$4:$AF$4,1))+INDEX($S20:$AF20,1,MATCH(MAX(2000,MIN(2025,ROUND(2029-$DD20,0))),$S$4:$AF$4,1))+INDEX($S20:$AF20,1,MATCH(MAX(2000,MIN(2025,ROUND(2030-$DD20,0))),$S$4:$AF$4,1)))/MAX(1,$AF20),0)</f>
        <v>526.38267857142864</v>
      </c>
      <c r="HT20" s="311">
        <f t="shared" si="84"/>
        <v>92.334000000000003</v>
      </c>
      <c r="HU20" s="311">
        <f t="shared" si="85"/>
        <v>405.60272500000008</v>
      </c>
      <c r="HV20" s="311">
        <f t="shared" ref="HV20:HV34" si="113">IFERROR($EO20*$FP20/MAX(0.000000001,$DE20)*(INDEX($S20:$AF20,1,MATCH(MAX(2000,MIN(2025,ROUND(2026-$DE20,0))),$S$4:$AF$4,1))+INDEX($S20:$AF20,1,MATCH(MAX(2000,MIN(2025,ROUND(2027-$DE20,0))),$S$4:$AF$4,1))+INDEX($S20:$AF20,1,MATCH(MAX(2000,MIN(2025,ROUND(2028-$DE20,0))),$S$4:$AF$4,1))+INDEX($S20:$AF20,1,MATCH(MAX(2000,MIN(2025,ROUND(2029-$DE20,0))),$S$4:$AF$4,1))+INDEX($S20:$AF20,1,MATCH(MAX(2000,MIN(2025,ROUND(2030-$DE20,0))),$S$4:$AF$4,1)))/MAX(1,$AF20),0)</f>
        <v>349.64272500000004</v>
      </c>
      <c r="HW20" s="311">
        <f t="shared" si="86"/>
        <v>55.960000000000008</v>
      </c>
      <c r="HY20" s="313">
        <f t="shared" si="87"/>
        <v>15000</v>
      </c>
      <c r="HZ20" s="313">
        <f t="shared" si="88"/>
        <v>501.6</v>
      </c>
      <c r="IA20" s="313">
        <f t="shared" si="89"/>
        <v>6298.35</v>
      </c>
      <c r="IB20" s="313">
        <f t="shared" si="90"/>
        <v>7275</v>
      </c>
      <c r="IC20" s="313">
        <f t="shared" si="91"/>
        <v>925.05</v>
      </c>
      <c r="ID20" s="313">
        <f t="shared" si="92"/>
        <v>0</v>
      </c>
      <c r="IE20" s="313">
        <f t="shared" si="93"/>
        <v>4681.4298585123224</v>
      </c>
      <c r="IF20" s="313">
        <f t="shared" si="94"/>
        <v>78.018474226054778</v>
      </c>
      <c r="IG20" s="313">
        <f t="shared" si="95"/>
        <v>1874.4678181651661</v>
      </c>
      <c r="IH20" s="313">
        <f t="shared" si="96"/>
        <v>2344.3381719905856</v>
      </c>
      <c r="II20" s="313">
        <f t="shared" si="97"/>
        <v>366.81596066816809</v>
      </c>
      <c r="IJ20" s="313">
        <f t="shared" si="98"/>
        <v>17.789433462346821</v>
      </c>
      <c r="IK20" s="866">
        <v>4.12</v>
      </c>
      <c r="IL20" s="314" t="s">
        <v>2589</v>
      </c>
      <c r="IM20" s="299" t="s">
        <v>2877</v>
      </c>
      <c r="IN20" s="657"/>
      <c r="IO20" s="730">
        <v>0.03</v>
      </c>
      <c r="IP20" s="730">
        <v>0.4</v>
      </c>
      <c r="IQ20" s="730">
        <v>0.5</v>
      </c>
      <c r="IR20" s="730">
        <v>7.0000000000000007E-2</v>
      </c>
      <c r="IS20" s="730">
        <v>0</v>
      </c>
      <c r="IT20" s="730">
        <v>1.2999999999999999E-2</v>
      </c>
      <c r="IU20" s="730">
        <v>0.37919999999999998</v>
      </c>
      <c r="IV20" s="730">
        <v>0.51700000000000002</v>
      </c>
      <c r="IW20" s="730">
        <v>8.6999999999999994E-2</v>
      </c>
      <c r="IX20" s="730">
        <v>3.8E-3</v>
      </c>
      <c r="IY20" s="730">
        <v>0</v>
      </c>
      <c r="IZ20" s="730">
        <v>0</v>
      </c>
      <c r="JA20" s="730">
        <v>0</v>
      </c>
      <c r="JB20" s="730">
        <v>0</v>
      </c>
      <c r="JC20" s="730">
        <v>0</v>
      </c>
      <c r="JD20" s="730">
        <v>0</v>
      </c>
      <c r="JE20" s="730">
        <v>0</v>
      </c>
      <c r="JF20" s="730">
        <v>0</v>
      </c>
      <c r="JG20" s="730">
        <v>0</v>
      </c>
      <c r="JH20" s="730">
        <v>0</v>
      </c>
      <c r="JI20" s="730">
        <v>5.3999999999999999E-2</v>
      </c>
      <c r="JJ20" s="730">
        <v>0.53969999999999996</v>
      </c>
      <c r="JK20" s="730">
        <v>0.37480000000000002</v>
      </c>
      <c r="JL20" s="730">
        <v>3.15E-2</v>
      </c>
      <c r="JM20" s="730">
        <v>0</v>
      </c>
      <c r="JN20" s="730">
        <v>3.6999999999999998E-2</v>
      </c>
      <c r="JO20" s="730">
        <v>0.51890000000000003</v>
      </c>
      <c r="JP20" s="730">
        <v>0.39179999999999998</v>
      </c>
      <c r="JQ20" s="730">
        <v>4.8500000000000001E-2</v>
      </c>
      <c r="JR20" s="730">
        <v>3.8E-3</v>
      </c>
      <c r="JS20" s="730">
        <v>3.2599999999999997E-2</v>
      </c>
      <c r="JT20" s="730">
        <v>0.4148</v>
      </c>
      <c r="JU20" s="730">
        <v>0.49380000000000002</v>
      </c>
      <c r="JV20" s="730">
        <v>5.8799999999999998E-2</v>
      </c>
      <c r="JW20" s="730">
        <v>0</v>
      </c>
      <c r="JX20" s="730">
        <v>1.5599999999999999E-2</v>
      </c>
      <c r="JY20" s="730">
        <v>0.39400000000000002</v>
      </c>
      <c r="JZ20" s="730">
        <v>0.51080000000000003</v>
      </c>
      <c r="KA20" s="730">
        <v>7.5800000000000006E-2</v>
      </c>
      <c r="KB20" s="730">
        <v>3.8E-3</v>
      </c>
      <c r="KC20" s="657"/>
      <c r="KD20" s="314" t="s">
        <v>2590</v>
      </c>
      <c r="KE20" s="314" t="s">
        <v>2590</v>
      </c>
      <c r="KF20" s="866">
        <v>4.1500000000000004</v>
      </c>
      <c r="KG20" s="314" t="s">
        <v>2589</v>
      </c>
      <c r="KH20" s="315" t="s">
        <v>2878</v>
      </c>
      <c r="KI20" s="314" t="s">
        <v>2659</v>
      </c>
      <c r="KJ20" s="315" t="s">
        <v>2879</v>
      </c>
    </row>
    <row r="21" spans="1:296" ht="48" hidden="1" customHeight="1">
      <c r="A21" s="265">
        <f t="shared" si="99"/>
        <v>14</v>
      </c>
      <c r="B21" s="266" t="s">
        <v>2880</v>
      </c>
      <c r="C21" s="266" t="s">
        <v>2881</v>
      </c>
      <c r="D21" s="624" t="s">
        <v>2882</v>
      </c>
      <c r="E21" s="267" t="s">
        <v>2883</v>
      </c>
      <c r="F21" s="267" t="s">
        <v>300</v>
      </c>
      <c r="G21" s="267" t="s">
        <v>300</v>
      </c>
      <c r="H21" s="267" t="s">
        <v>2109</v>
      </c>
      <c r="I21" s="268" t="s">
        <v>2884</v>
      </c>
      <c r="J21" s="268" t="s">
        <v>2885</v>
      </c>
      <c r="K21" s="269" t="s">
        <v>2097</v>
      </c>
      <c r="L21" s="269" t="s">
        <v>2109</v>
      </c>
      <c r="M21" s="269" t="s">
        <v>2603</v>
      </c>
      <c r="N21" s="269" t="s">
        <v>2099</v>
      </c>
      <c r="O21" s="267" t="s">
        <v>2212</v>
      </c>
      <c r="P21" s="268"/>
      <c r="Q21" s="270">
        <v>1</v>
      </c>
      <c r="R21" s="271">
        <v>1800</v>
      </c>
      <c r="S21" s="272">
        <v>12800</v>
      </c>
      <c r="T21" s="272">
        <v>13400</v>
      </c>
      <c r="U21" s="272">
        <v>14000</v>
      </c>
      <c r="V21" s="272">
        <f t="shared" ref="V21:AK21" si="114">U21+100</f>
        <v>14100</v>
      </c>
      <c r="W21" s="272">
        <f t="shared" si="114"/>
        <v>14200</v>
      </c>
      <c r="X21" s="272">
        <f t="shared" si="114"/>
        <v>14300</v>
      </c>
      <c r="Y21" s="272">
        <f t="shared" si="114"/>
        <v>14400</v>
      </c>
      <c r="Z21" s="272">
        <f t="shared" si="114"/>
        <v>14500</v>
      </c>
      <c r="AA21" s="272">
        <f t="shared" si="114"/>
        <v>14600</v>
      </c>
      <c r="AB21" s="272">
        <f t="shared" si="114"/>
        <v>14700</v>
      </c>
      <c r="AC21" s="272">
        <f t="shared" si="114"/>
        <v>14800</v>
      </c>
      <c r="AD21" s="272">
        <f t="shared" si="114"/>
        <v>14900</v>
      </c>
      <c r="AE21" s="272">
        <f t="shared" si="114"/>
        <v>15000</v>
      </c>
      <c r="AF21" s="272">
        <f t="shared" si="114"/>
        <v>15100</v>
      </c>
      <c r="AG21" s="272">
        <f t="shared" si="114"/>
        <v>15200</v>
      </c>
      <c r="AH21" s="272">
        <f t="shared" si="114"/>
        <v>15300</v>
      </c>
      <c r="AI21" s="272">
        <f t="shared" si="114"/>
        <v>15400</v>
      </c>
      <c r="AJ21" s="272">
        <f t="shared" si="114"/>
        <v>15500</v>
      </c>
      <c r="AK21" s="272">
        <f t="shared" si="114"/>
        <v>15600</v>
      </c>
      <c r="AL21" s="268" t="s">
        <v>2124</v>
      </c>
      <c r="AM21" s="268" t="s">
        <v>2886</v>
      </c>
      <c r="AN21" s="268" t="s">
        <v>2148</v>
      </c>
      <c r="AO21" s="657"/>
      <c r="AP21" s="271">
        <v>250</v>
      </c>
      <c r="AQ21" s="280">
        <v>210</v>
      </c>
      <c r="AR21" s="280">
        <v>25</v>
      </c>
      <c r="AS21" s="280">
        <v>15</v>
      </c>
      <c r="AT21" s="657"/>
      <c r="AU21" s="301" t="s">
        <v>2887</v>
      </c>
      <c r="AV21" s="572" t="s">
        <v>2888</v>
      </c>
      <c r="AW21" s="645" t="s">
        <v>2889</v>
      </c>
      <c r="AX21" s="290" t="s">
        <v>2890</v>
      </c>
      <c r="AY21" s="657"/>
      <c r="AZ21" s="948">
        <v>16</v>
      </c>
      <c r="BA21" s="948">
        <v>16</v>
      </c>
      <c r="BB21" s="948">
        <v>3.5</v>
      </c>
      <c r="BC21" s="948">
        <v>10</v>
      </c>
      <c r="BD21" s="825">
        <f t="shared" si="4"/>
        <v>687050</v>
      </c>
      <c r="BE21" s="304">
        <f t="shared" si="5"/>
        <v>241600</v>
      </c>
      <c r="BF21" s="304">
        <f t="shared" si="6"/>
        <v>241600</v>
      </c>
      <c r="BG21" s="304">
        <f t="shared" si="7"/>
        <v>52850</v>
      </c>
      <c r="BH21" s="304">
        <f t="shared" si="8"/>
        <v>151000</v>
      </c>
      <c r="BI21" s="825">
        <f t="shared" si="9"/>
        <v>709800</v>
      </c>
      <c r="BJ21" s="304">
        <f t="shared" si="10"/>
        <v>249600</v>
      </c>
      <c r="BK21" s="304">
        <f t="shared" si="11"/>
        <v>249600</v>
      </c>
      <c r="BL21" s="304">
        <f t="shared" si="12"/>
        <v>54600</v>
      </c>
      <c r="BM21" s="304">
        <f t="shared" si="13"/>
        <v>156000</v>
      </c>
      <c r="BN21" s="657"/>
      <c r="BO21" s="284">
        <v>0.1</v>
      </c>
      <c r="BP21" s="284">
        <v>0.8</v>
      </c>
      <c r="BQ21" s="284">
        <v>0.06</v>
      </c>
      <c r="BR21" s="710">
        <v>0.04</v>
      </c>
      <c r="BS21" s="707">
        <v>0.08</v>
      </c>
      <c r="BT21" s="284">
        <v>0.81</v>
      </c>
      <c r="BU21" s="284">
        <v>0.08</v>
      </c>
      <c r="BV21" s="710">
        <v>0.03</v>
      </c>
      <c r="BW21" s="714">
        <v>0.2</v>
      </c>
      <c r="BX21" s="285">
        <v>0.75</v>
      </c>
      <c r="BY21" s="717">
        <v>0.05</v>
      </c>
      <c r="BZ21" s="714">
        <v>0.15</v>
      </c>
      <c r="CA21" s="285">
        <v>0.78</v>
      </c>
      <c r="CB21" s="717">
        <v>7.0000000000000007E-2</v>
      </c>
      <c r="CC21" s="284">
        <v>0.05</v>
      </c>
      <c r="CD21" s="284">
        <v>0.6</v>
      </c>
      <c r="CE21" s="284">
        <v>0.08</v>
      </c>
      <c r="CF21" s="710">
        <v>0.27</v>
      </c>
      <c r="CG21" s="707">
        <v>0.04</v>
      </c>
      <c r="CH21" s="284">
        <v>0.6</v>
      </c>
      <c r="CI21" s="284">
        <v>0.1</v>
      </c>
      <c r="CJ21" s="710">
        <v>0.26</v>
      </c>
      <c r="CK21" s="720">
        <v>0.3</v>
      </c>
      <c r="CL21" s="286">
        <v>0.6</v>
      </c>
      <c r="CM21" s="718">
        <v>0.1</v>
      </c>
      <c r="CN21" s="720">
        <v>0.2</v>
      </c>
      <c r="CO21" s="286">
        <v>0.63</v>
      </c>
      <c r="CP21" s="718">
        <v>0.17</v>
      </c>
      <c r="CQ21" s="657"/>
      <c r="CR21" s="807">
        <v>10</v>
      </c>
      <c r="CS21" s="808">
        <v>11</v>
      </c>
      <c r="CT21" s="808">
        <v>8</v>
      </c>
      <c r="CU21" s="809">
        <v>9</v>
      </c>
      <c r="CV21" s="807">
        <v>9</v>
      </c>
      <c r="CW21" s="808">
        <v>10</v>
      </c>
      <c r="CX21" s="809">
        <v>8</v>
      </c>
      <c r="CY21" s="807">
        <v>8</v>
      </c>
      <c r="CZ21" s="808">
        <v>11</v>
      </c>
      <c r="DA21" s="808">
        <v>8</v>
      </c>
      <c r="DB21" s="809">
        <v>9</v>
      </c>
      <c r="DC21" s="807">
        <v>9</v>
      </c>
      <c r="DD21" s="808">
        <v>12</v>
      </c>
      <c r="DE21" s="809">
        <v>9</v>
      </c>
      <c r="DF21" s="610" t="s">
        <v>2891</v>
      </c>
      <c r="DG21" s="657"/>
      <c r="DH21" s="288">
        <f t="shared" si="14"/>
        <v>24160</v>
      </c>
      <c r="DI21" s="288">
        <f t="shared" si="15"/>
        <v>193280</v>
      </c>
      <c r="DJ21" s="288">
        <f t="shared" si="16"/>
        <v>14496</v>
      </c>
      <c r="DK21" s="288">
        <f t="shared" si="17"/>
        <v>9664</v>
      </c>
      <c r="DL21" s="560" t="s">
        <v>2892</v>
      </c>
      <c r="DM21" s="288">
        <f t="shared" si="18"/>
        <v>19968</v>
      </c>
      <c r="DN21" s="288">
        <f t="shared" si="19"/>
        <v>202176</v>
      </c>
      <c r="DO21" s="288">
        <f t="shared" si="20"/>
        <v>19968</v>
      </c>
      <c r="DP21" s="288">
        <f t="shared" si="21"/>
        <v>7488</v>
      </c>
      <c r="DQ21" s="561" t="s">
        <v>2893</v>
      </c>
      <c r="DR21" s="657"/>
      <c r="DS21" s="288">
        <f t="shared" si="22"/>
        <v>48320</v>
      </c>
      <c r="DT21" s="288">
        <f t="shared" si="23"/>
        <v>181200</v>
      </c>
      <c r="DU21" s="288">
        <f t="shared" si="24"/>
        <v>12080</v>
      </c>
      <c r="DV21" s="561" t="s">
        <v>2894</v>
      </c>
      <c r="DW21" s="288">
        <f t="shared" si="25"/>
        <v>37440</v>
      </c>
      <c r="DX21" s="288">
        <f t="shared" si="26"/>
        <v>194688</v>
      </c>
      <c r="DY21" s="288">
        <f t="shared" si="27"/>
        <v>17472</v>
      </c>
      <c r="DZ21" s="561" t="s">
        <v>2895</v>
      </c>
      <c r="EA21" s="657"/>
      <c r="EB21" s="288">
        <f t="shared" si="28"/>
        <v>2642.5</v>
      </c>
      <c r="EC21" s="288">
        <f t="shared" si="29"/>
        <v>31710</v>
      </c>
      <c r="ED21" s="288">
        <f t="shared" si="30"/>
        <v>4228</v>
      </c>
      <c r="EE21" s="288">
        <f t="shared" si="31"/>
        <v>14269.500000000002</v>
      </c>
      <c r="EF21" s="561" t="s">
        <v>2896</v>
      </c>
      <c r="EG21" s="288">
        <f t="shared" si="32"/>
        <v>2184</v>
      </c>
      <c r="EH21" s="288">
        <f t="shared" si="33"/>
        <v>32760</v>
      </c>
      <c r="EI21" s="288">
        <f t="shared" si="34"/>
        <v>5460</v>
      </c>
      <c r="EJ21" s="288">
        <f t="shared" si="35"/>
        <v>14196</v>
      </c>
      <c r="EK21" s="561" t="s">
        <v>2897</v>
      </c>
      <c r="EL21" s="657"/>
      <c r="EM21" s="288">
        <f t="shared" si="36"/>
        <v>45300</v>
      </c>
      <c r="EN21" s="291">
        <f t="shared" si="37"/>
        <v>90600</v>
      </c>
      <c r="EO21" s="291">
        <f t="shared" si="38"/>
        <v>15100</v>
      </c>
      <c r="EP21" s="561" t="s">
        <v>2898</v>
      </c>
      <c r="EQ21" s="288">
        <f t="shared" si="39"/>
        <v>31200</v>
      </c>
      <c r="ER21" s="291">
        <f t="shared" si="40"/>
        <v>98280</v>
      </c>
      <c r="ES21" s="291">
        <f t="shared" si="41"/>
        <v>26520.000000000004</v>
      </c>
      <c r="ET21" s="561" t="s">
        <v>2899</v>
      </c>
      <c r="EU21" s="657"/>
      <c r="EV21" s="740">
        <f t="shared" si="42"/>
        <v>0.79458243884732171</v>
      </c>
      <c r="EW21" s="740">
        <f t="shared" si="43"/>
        <v>0.20541756115267837</v>
      </c>
      <c r="EX21" s="563">
        <f t="shared" si="44"/>
        <v>357284.23163125</v>
      </c>
      <c r="EY21" s="563">
        <f t="shared" si="45"/>
        <v>283891.77613125002</v>
      </c>
      <c r="EZ21" s="563">
        <f t="shared" si="46"/>
        <v>73392.455499999996</v>
      </c>
      <c r="FA21" s="563">
        <f t="shared" si="47"/>
        <v>121810.66280000001</v>
      </c>
      <c r="FB21" s="563">
        <f t="shared" si="48"/>
        <v>96002.32680000001</v>
      </c>
      <c r="FC21" s="563">
        <f t="shared" si="49"/>
        <v>25808.335999999999</v>
      </c>
      <c r="FD21" s="563">
        <f t="shared" si="50"/>
        <v>131392.04300000001</v>
      </c>
      <c r="FE21" s="563">
        <f t="shared" si="51"/>
        <v>105583.70700000001</v>
      </c>
      <c r="FF21" s="563">
        <f t="shared" si="52"/>
        <v>25808.335999999999</v>
      </c>
      <c r="FG21" s="563">
        <f t="shared" si="53"/>
        <v>28104.510831250002</v>
      </c>
      <c r="FH21" s="563">
        <f t="shared" si="54"/>
        <v>22458.937331249999</v>
      </c>
      <c r="FI21" s="563">
        <f t="shared" si="55"/>
        <v>5645.5735000000004</v>
      </c>
      <c r="FJ21" s="563">
        <f t="shared" si="56"/>
        <v>75977.015000000014</v>
      </c>
      <c r="FK21" s="563">
        <f t="shared" si="57"/>
        <v>59846.805000000008</v>
      </c>
      <c r="FL21" s="563">
        <f t="shared" si="58"/>
        <v>16130.21</v>
      </c>
      <c r="FM21" s="529"/>
      <c r="FN21" s="564" t="s">
        <v>2649</v>
      </c>
      <c r="FO21" s="740">
        <v>7.3709999999999998E-2</v>
      </c>
      <c r="FP21" s="741">
        <v>0.88371</v>
      </c>
      <c r="FQ21" s="565" t="s">
        <v>2900</v>
      </c>
      <c r="FR21" s="529"/>
      <c r="FS21" s="867">
        <v>3.39</v>
      </c>
      <c r="FT21" s="566">
        <f>RANK($FS21,$FS$8:$FS$154,0)+COUNTIF($FS$8:$FS120,$FS21)-1</f>
        <v>59</v>
      </c>
      <c r="FU21" s="867">
        <v>4.1500000000000004</v>
      </c>
      <c r="FV21" s="566">
        <f>RANK($FU21,$FU$8:$FU$154,0)+COUNTIF($FU$8:$FU120,$FU21)-1</f>
        <v>57</v>
      </c>
      <c r="FW21" s="867">
        <v>2.46</v>
      </c>
      <c r="FX21" s="566">
        <f>RANK($FW21,$FW$8:$FW$154,0)+COUNTIF($FW$8:$FW120,$FW21)-1</f>
        <v>48</v>
      </c>
      <c r="FY21" s="529"/>
      <c r="FZ21" s="567" t="s">
        <v>2901</v>
      </c>
      <c r="GA21" s="567" t="s">
        <v>2902</v>
      </c>
      <c r="GB21" s="567" t="s">
        <v>2903</v>
      </c>
      <c r="GC21" s="567" t="s">
        <v>2904</v>
      </c>
      <c r="GD21" s="567" t="s">
        <v>2905</v>
      </c>
      <c r="GE21" s="567" t="s">
        <v>2906</v>
      </c>
      <c r="GF21" s="567" t="str">
        <f>HYPERLINK("https://www.agencedusport.fr/plan-5000-equipements-generation-2024","https://www.agencedusport.fr/plan-5000-equipements-generation-2024")&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https://www.agencedusport.fr/plan-5000-equipements-generation-2024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21" s="529"/>
      <c r="GH21" s="563">
        <f t="shared" si="59"/>
        <v>12245.006079999999</v>
      </c>
      <c r="GI21" s="563">
        <f t="shared" si="100"/>
        <v>10180.3392</v>
      </c>
      <c r="GJ21" s="563">
        <f t="shared" si="60"/>
        <v>2064.6668799999998</v>
      </c>
      <c r="GK21" s="563">
        <f t="shared" si="61"/>
        <v>94429.42416000001</v>
      </c>
      <c r="GL21" s="563">
        <f t="shared" si="101"/>
        <v>73524.672000000006</v>
      </c>
      <c r="GM21" s="563">
        <f t="shared" si="62"/>
        <v>20904.75216</v>
      </c>
      <c r="GN21" s="563">
        <f t="shared" si="63"/>
        <v>9805.9664799999991</v>
      </c>
      <c r="GO21" s="563">
        <f t="shared" si="102"/>
        <v>7741.2995999999994</v>
      </c>
      <c r="GP21" s="563">
        <f t="shared" si="64"/>
        <v>2064.6668799999998</v>
      </c>
      <c r="GQ21" s="563">
        <f t="shared" si="65"/>
        <v>5330.2660800000003</v>
      </c>
      <c r="GR21" s="563">
        <f t="shared" si="103"/>
        <v>4556.0160000000005</v>
      </c>
      <c r="GS21" s="563">
        <f t="shared" si="66"/>
        <v>774.25007999999991</v>
      </c>
      <c r="GT21" s="563">
        <f t="shared" si="67"/>
        <v>26651.330400000003</v>
      </c>
      <c r="GU21" s="563">
        <f t="shared" si="104"/>
        <v>22780.080000000002</v>
      </c>
      <c r="GV21" s="563">
        <f t="shared" si="68"/>
        <v>3871.2503999999999</v>
      </c>
      <c r="GW21" s="563">
        <f t="shared" si="69"/>
        <v>96483.04608</v>
      </c>
      <c r="GX21" s="563">
        <f t="shared" si="105"/>
        <v>76352.544000000009</v>
      </c>
      <c r="GY21" s="563">
        <f t="shared" si="70"/>
        <v>20130.502079999998</v>
      </c>
      <c r="GZ21" s="563">
        <f t="shared" si="71"/>
        <v>8257.6665199999989</v>
      </c>
      <c r="HA21" s="563">
        <f t="shared" si="106"/>
        <v>6451.0829999999996</v>
      </c>
      <c r="HB21" s="563">
        <f t="shared" si="72"/>
        <v>1806.5835200000001</v>
      </c>
      <c r="HC21" s="563">
        <f t="shared" si="73"/>
        <v>1636.99734625</v>
      </c>
      <c r="HD21" s="563">
        <f t="shared" si="107"/>
        <v>1411.1744062499999</v>
      </c>
      <c r="HE21" s="563">
        <f t="shared" si="74"/>
        <v>225.82294000000002</v>
      </c>
      <c r="HF21" s="563">
        <f t="shared" si="75"/>
        <v>15449.9856</v>
      </c>
      <c r="HG21" s="563">
        <f t="shared" si="108"/>
        <v>12062.6415</v>
      </c>
      <c r="HH21" s="563">
        <f t="shared" si="76"/>
        <v>3387.3441000000003</v>
      </c>
      <c r="HI21" s="563">
        <f t="shared" si="77"/>
        <v>2822.4364</v>
      </c>
      <c r="HJ21" s="563">
        <f t="shared" si="109"/>
        <v>2257.87905</v>
      </c>
      <c r="HK21" s="563">
        <f t="shared" si="78"/>
        <v>564.55735000000004</v>
      </c>
      <c r="HL21" s="563">
        <f t="shared" si="79"/>
        <v>8195.0914850000008</v>
      </c>
      <c r="HM21" s="563">
        <f t="shared" si="110"/>
        <v>6727.2423750000007</v>
      </c>
      <c r="HN21" s="563">
        <f t="shared" si="80"/>
        <v>1467.8491100000001</v>
      </c>
      <c r="HO21" s="563">
        <f t="shared" si="81"/>
        <v>24582.367000000006</v>
      </c>
      <c r="HP21" s="563">
        <f t="shared" si="111"/>
        <v>21356.325000000004</v>
      </c>
      <c r="HQ21" s="563">
        <f t="shared" si="82"/>
        <v>3226.0419999999999</v>
      </c>
      <c r="HR21" s="563">
        <f t="shared" si="83"/>
        <v>41533.737300000001</v>
      </c>
      <c r="HS21" s="563">
        <f t="shared" si="112"/>
        <v>31371.705000000002</v>
      </c>
      <c r="HT21" s="563">
        <f t="shared" si="84"/>
        <v>10162.032299999999</v>
      </c>
      <c r="HU21" s="563">
        <f t="shared" si="85"/>
        <v>9860.9107000000004</v>
      </c>
      <c r="HV21" s="563">
        <f t="shared" si="113"/>
        <v>7118.7749999999996</v>
      </c>
      <c r="HW21" s="563">
        <f t="shared" si="86"/>
        <v>2742.1357000000003</v>
      </c>
      <c r="HX21" s="544"/>
      <c r="HY21" s="568">
        <f t="shared" si="87"/>
        <v>687050.00000000012</v>
      </c>
      <c r="HZ21" s="568">
        <f t="shared" si="88"/>
        <v>126453.44</v>
      </c>
      <c r="IA21" s="568">
        <f t="shared" si="89"/>
        <v>427009.88000000006</v>
      </c>
      <c r="IB21" s="568">
        <f t="shared" si="90"/>
        <v>133586.68000000002</v>
      </c>
      <c r="IC21" s="568">
        <f t="shared" si="91"/>
        <v>0</v>
      </c>
      <c r="ID21" s="568">
        <f t="shared" si="92"/>
        <v>0</v>
      </c>
      <c r="IE21" s="568">
        <f t="shared" si="93"/>
        <v>283891.77613124996</v>
      </c>
      <c r="IF21" s="568">
        <f t="shared" si="94"/>
        <v>26944.315979158127</v>
      </c>
      <c r="IG21" s="568">
        <f t="shared" si="95"/>
        <v>165936.29799963936</v>
      </c>
      <c r="IH21" s="568">
        <f t="shared" si="96"/>
        <v>91011.162152452511</v>
      </c>
      <c r="II21" s="568">
        <f t="shared" si="97"/>
        <v>0</v>
      </c>
      <c r="IJ21" s="568">
        <f t="shared" si="98"/>
        <v>0</v>
      </c>
      <c r="IK21" s="868">
        <v>4.22</v>
      </c>
      <c r="IL21" s="569" t="s">
        <v>2589</v>
      </c>
      <c r="IM21" s="570" t="s">
        <v>2907</v>
      </c>
      <c r="IN21" s="529"/>
      <c r="IO21" s="742">
        <v>0.12429999999999999</v>
      </c>
      <c r="IP21" s="742">
        <v>0.61719999999999997</v>
      </c>
      <c r="IQ21" s="742">
        <v>0.25850000000000001</v>
      </c>
      <c r="IR21" s="742">
        <v>0</v>
      </c>
      <c r="IS21" s="742">
        <v>0</v>
      </c>
      <c r="IT21" s="742">
        <v>5.7000000000000002E-2</v>
      </c>
      <c r="IU21" s="742">
        <v>0.54090000000000005</v>
      </c>
      <c r="IV21" s="742">
        <v>0.40210000000000001</v>
      </c>
      <c r="IW21" s="742">
        <v>0</v>
      </c>
      <c r="IX21" s="742">
        <v>0</v>
      </c>
      <c r="IY21" s="742">
        <v>0.21820000000000001</v>
      </c>
      <c r="IZ21" s="742">
        <v>0.62680000000000002</v>
      </c>
      <c r="JA21" s="742">
        <v>0.155</v>
      </c>
      <c r="JB21" s="742">
        <v>0</v>
      </c>
      <c r="JC21" s="742">
        <v>0</v>
      </c>
      <c r="JD21" s="742">
        <v>0.11409999999999999</v>
      </c>
      <c r="JE21" s="742">
        <v>0.61109999999999998</v>
      </c>
      <c r="JF21" s="742">
        <v>0.27479999999999999</v>
      </c>
      <c r="JG21" s="742">
        <v>0</v>
      </c>
      <c r="JH21" s="742">
        <v>0</v>
      </c>
      <c r="JI21" s="742">
        <v>0.31240000000000001</v>
      </c>
      <c r="JJ21" s="742">
        <v>0.59079999999999999</v>
      </c>
      <c r="JK21" s="742">
        <v>9.6799999999999997E-2</v>
      </c>
      <c r="JL21" s="742">
        <v>0</v>
      </c>
      <c r="JM21" s="742">
        <v>0</v>
      </c>
      <c r="JN21" s="742">
        <v>0.18010000000000001</v>
      </c>
      <c r="JO21" s="742">
        <v>0.63070000000000004</v>
      </c>
      <c r="JP21" s="742">
        <v>0.18920000000000001</v>
      </c>
      <c r="JQ21" s="742">
        <v>0</v>
      </c>
      <c r="JR21" s="742">
        <v>0</v>
      </c>
      <c r="JS21" s="742">
        <v>0.18010000000000001</v>
      </c>
      <c r="JT21" s="742">
        <v>0.63070000000000004</v>
      </c>
      <c r="JU21" s="742">
        <v>0.18920000000000001</v>
      </c>
      <c r="JV21" s="742">
        <v>0</v>
      </c>
      <c r="JW21" s="742">
        <v>0</v>
      </c>
      <c r="JX21" s="742">
        <v>8.9899999999999994E-2</v>
      </c>
      <c r="JY21" s="742">
        <v>0.59019999999999995</v>
      </c>
      <c r="JZ21" s="742">
        <v>0.31990000000000002</v>
      </c>
      <c r="KA21" s="742">
        <v>0</v>
      </c>
      <c r="KB21" s="742">
        <v>0</v>
      </c>
      <c r="KC21" s="657"/>
      <c r="KD21" s="832" t="s">
        <v>2718</v>
      </c>
      <c r="KE21" s="832" t="s">
        <v>2718</v>
      </c>
      <c r="KF21" s="869">
        <v>4.5</v>
      </c>
      <c r="KG21" s="832" t="s">
        <v>2719</v>
      </c>
      <c r="KH21" s="833" t="s">
        <v>2908</v>
      </c>
      <c r="KI21" s="832" t="s">
        <v>2909</v>
      </c>
      <c r="KJ21" s="833" t="s">
        <v>2910</v>
      </c>
    </row>
    <row r="22" spans="1:296" ht="48" hidden="1" customHeight="1">
      <c r="A22" s="273">
        <f t="shared" si="99"/>
        <v>15</v>
      </c>
      <c r="B22" s="274" t="s">
        <v>2880</v>
      </c>
      <c r="C22" s="274" t="s">
        <v>2881</v>
      </c>
      <c r="D22" s="274" t="s">
        <v>2911</v>
      </c>
      <c r="E22" s="275" t="s">
        <v>2883</v>
      </c>
      <c r="F22" s="275" t="s">
        <v>300</v>
      </c>
      <c r="G22" s="275" t="s">
        <v>300</v>
      </c>
      <c r="H22" s="275" t="s">
        <v>2109</v>
      </c>
      <c r="I22" s="276" t="s">
        <v>2912</v>
      </c>
      <c r="J22" s="276" t="s">
        <v>2913</v>
      </c>
      <c r="K22" s="277" t="s">
        <v>2097</v>
      </c>
      <c r="L22" s="277" t="s">
        <v>2109</v>
      </c>
      <c r="M22" s="277" t="s">
        <v>2603</v>
      </c>
      <c r="N22" s="277" t="s">
        <v>2099</v>
      </c>
      <c r="O22" s="275" t="s">
        <v>2616</v>
      </c>
      <c r="P22" s="276"/>
      <c r="Q22" s="270">
        <v>1</v>
      </c>
      <c r="R22" s="278">
        <v>700</v>
      </c>
      <c r="S22" s="279">
        <v>7838</v>
      </c>
      <c r="T22" s="279">
        <v>8654</v>
      </c>
      <c r="U22" s="279">
        <v>9555</v>
      </c>
      <c r="V22" s="279">
        <v>10549</v>
      </c>
      <c r="W22" s="279">
        <v>10760</v>
      </c>
      <c r="X22" s="279">
        <v>10975</v>
      </c>
      <c r="Y22" s="279">
        <v>11194</v>
      </c>
      <c r="Z22" s="279">
        <v>11418</v>
      </c>
      <c r="AA22" s="279">
        <v>11532</v>
      </c>
      <c r="AB22" s="279">
        <v>11647</v>
      </c>
      <c r="AC22" s="279">
        <v>11764</v>
      </c>
      <c r="AD22" s="279">
        <v>11881</v>
      </c>
      <c r="AE22" s="279">
        <v>12000</v>
      </c>
      <c r="AF22" s="279">
        <v>12120</v>
      </c>
      <c r="AG22" s="279">
        <v>12241</v>
      </c>
      <c r="AH22" s="279">
        <v>12363</v>
      </c>
      <c r="AI22" s="279">
        <v>12487</v>
      </c>
      <c r="AJ22" s="279">
        <v>12612</v>
      </c>
      <c r="AK22" s="279">
        <v>12738</v>
      </c>
      <c r="AL22" s="276" t="s">
        <v>2132</v>
      </c>
      <c r="AM22" s="276" t="s">
        <v>2914</v>
      </c>
      <c r="AN22" s="276" t="s">
        <v>2148</v>
      </c>
      <c r="AO22" s="657"/>
      <c r="AP22" s="278">
        <v>120</v>
      </c>
      <c r="AQ22" s="278">
        <v>101</v>
      </c>
      <c r="AR22" s="278">
        <v>12</v>
      </c>
      <c r="AS22" s="278">
        <v>7</v>
      </c>
      <c r="AT22" s="657"/>
      <c r="AU22" s="281" t="s">
        <v>2915</v>
      </c>
      <c r="AV22" s="296" t="s">
        <v>2916</v>
      </c>
      <c r="AW22" s="296" t="s">
        <v>2917</v>
      </c>
      <c r="AX22" s="276" t="s">
        <v>2890</v>
      </c>
      <c r="AY22" s="657"/>
      <c r="AZ22" s="947">
        <v>8</v>
      </c>
      <c r="BA22" s="947">
        <v>7</v>
      </c>
      <c r="BB22" s="947">
        <v>1</v>
      </c>
      <c r="BC22" s="947">
        <v>5</v>
      </c>
      <c r="BD22" s="826">
        <f t="shared" si="4"/>
        <v>254520</v>
      </c>
      <c r="BE22" s="283">
        <f t="shared" si="5"/>
        <v>96960</v>
      </c>
      <c r="BF22" s="283">
        <f t="shared" si="6"/>
        <v>84840</v>
      </c>
      <c r="BG22" s="283">
        <f t="shared" si="7"/>
        <v>12120</v>
      </c>
      <c r="BH22" s="283">
        <f t="shared" si="8"/>
        <v>60600</v>
      </c>
      <c r="BI22" s="826">
        <f t="shared" si="9"/>
        <v>267498</v>
      </c>
      <c r="BJ22" s="283">
        <f t="shared" si="10"/>
        <v>101904</v>
      </c>
      <c r="BK22" s="283">
        <f t="shared" si="11"/>
        <v>89166</v>
      </c>
      <c r="BL22" s="283">
        <f t="shared" si="12"/>
        <v>12738</v>
      </c>
      <c r="BM22" s="283">
        <f t="shared" si="13"/>
        <v>63690</v>
      </c>
      <c r="BN22" s="657"/>
      <c r="BO22" s="305">
        <v>0.12</v>
      </c>
      <c r="BP22" s="305">
        <v>0.74</v>
      </c>
      <c r="BQ22" s="305">
        <v>0.09</v>
      </c>
      <c r="BR22" s="581">
        <v>0.05</v>
      </c>
      <c r="BS22" s="706">
        <v>0.1</v>
      </c>
      <c r="BT22" s="305">
        <v>0.74</v>
      </c>
      <c r="BU22" s="305">
        <v>0.12</v>
      </c>
      <c r="BV22" s="581">
        <v>0.04</v>
      </c>
      <c r="BW22" s="713">
        <v>0.4</v>
      </c>
      <c r="BX22" s="306">
        <v>0.5</v>
      </c>
      <c r="BY22" s="590">
        <v>0.1</v>
      </c>
      <c r="BZ22" s="713">
        <v>0.35</v>
      </c>
      <c r="CA22" s="306">
        <v>0.52</v>
      </c>
      <c r="CB22" s="590">
        <v>0.13</v>
      </c>
      <c r="CC22" s="706">
        <v>0.05</v>
      </c>
      <c r="CD22" s="305">
        <v>0.55000000000000004</v>
      </c>
      <c r="CE22" s="305">
        <v>0.15</v>
      </c>
      <c r="CF22" s="581">
        <v>0.25</v>
      </c>
      <c r="CG22" s="706">
        <v>0.04</v>
      </c>
      <c r="CH22" s="305">
        <v>0.55000000000000004</v>
      </c>
      <c r="CI22" s="305">
        <v>0.18</v>
      </c>
      <c r="CJ22" s="581">
        <v>0.23</v>
      </c>
      <c r="CK22" s="719">
        <v>0.45</v>
      </c>
      <c r="CL22" s="307">
        <v>0.4</v>
      </c>
      <c r="CM22" s="723">
        <v>0.15</v>
      </c>
      <c r="CN22" s="719">
        <v>0.35</v>
      </c>
      <c r="CO22" s="307">
        <v>0.43</v>
      </c>
      <c r="CP22" s="723">
        <v>0.22</v>
      </c>
      <c r="CQ22" s="657"/>
      <c r="CR22" s="804">
        <v>10</v>
      </c>
      <c r="CS22" s="805">
        <v>11</v>
      </c>
      <c r="CT22" s="805">
        <v>8</v>
      </c>
      <c r="CU22" s="806">
        <v>9</v>
      </c>
      <c r="CV22" s="804">
        <v>9</v>
      </c>
      <c r="CW22" s="805">
        <v>10</v>
      </c>
      <c r="CX22" s="806">
        <v>8</v>
      </c>
      <c r="CY22" s="804">
        <v>8</v>
      </c>
      <c r="CZ22" s="805">
        <v>11</v>
      </c>
      <c r="DA22" s="805">
        <v>8</v>
      </c>
      <c r="DB22" s="806">
        <v>9</v>
      </c>
      <c r="DC22" s="804">
        <v>9</v>
      </c>
      <c r="DD22" s="805">
        <v>12</v>
      </c>
      <c r="DE22" s="806">
        <v>9</v>
      </c>
      <c r="DF22" s="609" t="s">
        <v>2918</v>
      </c>
      <c r="DG22" s="657"/>
      <c r="DH22" s="308">
        <f t="shared" si="14"/>
        <v>11635.199999999999</v>
      </c>
      <c r="DI22" s="308">
        <f t="shared" si="15"/>
        <v>71750.399999999994</v>
      </c>
      <c r="DJ22" s="308">
        <f t="shared" si="16"/>
        <v>8726.4</v>
      </c>
      <c r="DK22" s="308">
        <f t="shared" si="17"/>
        <v>4848</v>
      </c>
      <c r="DL22" s="287" t="s">
        <v>2919</v>
      </c>
      <c r="DM22" s="308">
        <f t="shared" si="18"/>
        <v>10190.400000000001</v>
      </c>
      <c r="DN22" s="308">
        <f t="shared" si="19"/>
        <v>75408.959999999992</v>
      </c>
      <c r="DO22" s="308">
        <f t="shared" si="20"/>
        <v>12228.48</v>
      </c>
      <c r="DP22" s="308">
        <f t="shared" si="21"/>
        <v>4076.1600000000003</v>
      </c>
      <c r="DQ22" s="289" t="s">
        <v>2893</v>
      </c>
      <c r="DR22" s="657"/>
      <c r="DS22" s="308">
        <f t="shared" si="22"/>
        <v>33936</v>
      </c>
      <c r="DT22" s="308">
        <f t="shared" si="23"/>
        <v>42420</v>
      </c>
      <c r="DU22" s="308">
        <f t="shared" si="24"/>
        <v>8484</v>
      </c>
      <c r="DV22" s="289" t="s">
        <v>2920</v>
      </c>
      <c r="DW22" s="308">
        <f t="shared" si="25"/>
        <v>31208.1</v>
      </c>
      <c r="DX22" s="308">
        <f t="shared" si="26"/>
        <v>46366.32</v>
      </c>
      <c r="DY22" s="308">
        <f t="shared" si="27"/>
        <v>11591.58</v>
      </c>
      <c r="DZ22" s="289" t="s">
        <v>2895</v>
      </c>
      <c r="EA22" s="657"/>
      <c r="EB22" s="308">
        <f t="shared" si="28"/>
        <v>606</v>
      </c>
      <c r="EC22" s="308">
        <f t="shared" si="29"/>
        <v>6666.0000000000009</v>
      </c>
      <c r="ED22" s="308">
        <f t="shared" si="30"/>
        <v>1818</v>
      </c>
      <c r="EE22" s="308">
        <f t="shared" si="31"/>
        <v>3030</v>
      </c>
      <c r="EF22" s="289" t="s">
        <v>2921</v>
      </c>
      <c r="EG22" s="308">
        <f t="shared" si="32"/>
        <v>509.52000000000004</v>
      </c>
      <c r="EH22" s="308">
        <f t="shared" si="33"/>
        <v>7005.9000000000005</v>
      </c>
      <c r="EI22" s="308">
        <f t="shared" si="34"/>
        <v>2292.8399999999997</v>
      </c>
      <c r="EJ22" s="308">
        <f t="shared" si="35"/>
        <v>2929.7400000000002</v>
      </c>
      <c r="EK22" s="309" t="s">
        <v>2897</v>
      </c>
      <c r="EL22" s="657"/>
      <c r="EM22" s="308">
        <f t="shared" si="36"/>
        <v>27270</v>
      </c>
      <c r="EN22" s="310">
        <f t="shared" si="37"/>
        <v>24240</v>
      </c>
      <c r="EO22" s="310">
        <f t="shared" si="38"/>
        <v>9090</v>
      </c>
      <c r="EP22" s="289" t="s">
        <v>2922</v>
      </c>
      <c r="EQ22" s="308">
        <f t="shared" si="39"/>
        <v>22291.5</v>
      </c>
      <c r="ER22" s="310">
        <f t="shared" si="40"/>
        <v>27386.7</v>
      </c>
      <c r="ES22" s="310">
        <f t="shared" si="41"/>
        <v>14011.8</v>
      </c>
      <c r="ET22" s="289" t="s">
        <v>2899</v>
      </c>
      <c r="EU22" s="657"/>
      <c r="EV22" s="728">
        <f t="shared" si="42"/>
        <v>0.76501491892016715</v>
      </c>
      <c r="EW22" s="728">
        <f t="shared" si="43"/>
        <v>0.23498508107983282</v>
      </c>
      <c r="EX22" s="311">
        <f t="shared" si="44"/>
        <v>135066.74148907879</v>
      </c>
      <c r="EY22" s="311">
        <f t="shared" si="45"/>
        <v>103328.07228907879</v>
      </c>
      <c r="EZ22" s="311">
        <f t="shared" si="46"/>
        <v>31738.6692</v>
      </c>
      <c r="FA22" s="311">
        <f t="shared" si="47"/>
        <v>49282.061119078789</v>
      </c>
      <c r="FB22" s="311">
        <f t="shared" si="48"/>
        <v>37191.139519078788</v>
      </c>
      <c r="FC22" s="311">
        <f t="shared" si="49"/>
        <v>12090.9216</v>
      </c>
      <c r="FD22" s="311">
        <f t="shared" si="50"/>
        <v>47459.062163333336</v>
      </c>
      <c r="FE22" s="311">
        <f t="shared" si="51"/>
        <v>36879.505763333334</v>
      </c>
      <c r="FF22" s="311">
        <f t="shared" si="52"/>
        <v>10579.556399999999</v>
      </c>
      <c r="FG22" s="311">
        <f t="shared" si="53"/>
        <v>6539.1368733333338</v>
      </c>
      <c r="FH22" s="311">
        <f t="shared" si="54"/>
        <v>5027.7716733333336</v>
      </c>
      <c r="FI22" s="311">
        <f t="shared" si="55"/>
        <v>1511.3652</v>
      </c>
      <c r="FJ22" s="311">
        <f t="shared" si="56"/>
        <v>31786.481333333337</v>
      </c>
      <c r="FK22" s="311">
        <f t="shared" si="57"/>
        <v>24229.655333333336</v>
      </c>
      <c r="FL22" s="311">
        <f t="shared" si="58"/>
        <v>7556.826</v>
      </c>
      <c r="FM22" s="657"/>
      <c r="FN22" s="293" t="s">
        <v>2649</v>
      </c>
      <c r="FO22" s="728">
        <v>7.3709999999999998E-2</v>
      </c>
      <c r="FP22" s="729">
        <v>0.87280000000000002</v>
      </c>
      <c r="FQ22" s="294" t="s">
        <v>2923</v>
      </c>
      <c r="FR22" s="657"/>
      <c r="FS22" s="865">
        <v>3.46</v>
      </c>
      <c r="FT22" s="312">
        <f>RANK($FS22,$FS$8:$FS$154,0)+COUNTIF($FS$8:$FS120,$FS22)-1</f>
        <v>48</v>
      </c>
      <c r="FU22" s="865">
        <v>4.2</v>
      </c>
      <c r="FV22" s="312">
        <f>RANK($FU22,$FU$8:$FU$154,0)+COUNTIF($FU$8:$FU120,$FU22)-1</f>
        <v>45</v>
      </c>
      <c r="FW22" s="865">
        <v>2.56</v>
      </c>
      <c r="FX22" s="312">
        <f>RANK($FW22,$FW$8:$FW$154,0)+COUNTIF($FW$8:$FW120,$FW22)-1</f>
        <v>29</v>
      </c>
      <c r="FY22" s="657"/>
      <c r="FZ22" s="296" t="s">
        <v>2924</v>
      </c>
      <c r="GA22" s="296" t="s">
        <v>2925</v>
      </c>
      <c r="GB22" s="296" t="s">
        <v>2926</v>
      </c>
      <c r="GC22" s="296" t="s">
        <v>2927</v>
      </c>
      <c r="GD22" s="296" t="s">
        <v>2928</v>
      </c>
      <c r="GE22" s="296" t="s">
        <v>2929</v>
      </c>
      <c r="GF22" s="296" t="str">
        <f>HYPERLINK("https://www.agencedusport.fr/plan-5000-equipements-generation-2024","https://www.agencedusport.fr/plan-5000-equipements-generation-2024")&amp;CHAR(10)&amp;HYPERLINK("https://www.ecologie.gouv.fr/eco-energie-tertiaire-eet","https://www.ecologie.gouv.fr/eco-energie-tertiaire-eet")&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https://www.agencedusport.fr/plan-5000-equipements-generation-2024
https://www.ecologie.gouv.fr/eco-energie-tertiaire-eet
https://www.statistiques.developpement-durable.gouv.fr/construction-de-locaux-resultats-fin-janvier-2026-france-entiere
https://www.insee.fr/fr/statistiques/8671745
https://www.insee.fr/fr/statistiques/8906564</v>
      </c>
      <c r="GG22" s="657"/>
      <c r="GH22" s="311">
        <f t="shared" si="59"/>
        <v>5891.1265152000005</v>
      </c>
      <c r="GI22" s="311">
        <f t="shared" si="100"/>
        <v>4682.0343552000004</v>
      </c>
      <c r="GJ22" s="311">
        <f t="shared" si="60"/>
        <v>1209.0921599999999</v>
      </c>
      <c r="GK22" s="311">
        <f t="shared" si="61"/>
        <v>34733.310574545452</v>
      </c>
      <c r="GL22" s="311">
        <f t="shared" si="101"/>
        <v>25786.028590545451</v>
      </c>
      <c r="GM22" s="311">
        <f t="shared" si="62"/>
        <v>8947.2819839999993</v>
      </c>
      <c r="GN22" s="311">
        <f t="shared" si="63"/>
        <v>5971.9709520000006</v>
      </c>
      <c r="GO22" s="311">
        <f t="shared" si="102"/>
        <v>4521.0603600000004</v>
      </c>
      <c r="GP22" s="311">
        <f t="shared" si="64"/>
        <v>1450.910592</v>
      </c>
      <c r="GQ22" s="311">
        <f t="shared" si="65"/>
        <v>2685.6530773333334</v>
      </c>
      <c r="GR22" s="311">
        <f t="shared" si="103"/>
        <v>2202.0162133333333</v>
      </c>
      <c r="GS22" s="311">
        <f t="shared" si="66"/>
        <v>483.636864</v>
      </c>
      <c r="GT22" s="311">
        <f t="shared" si="67"/>
        <v>19116.958233333335</v>
      </c>
      <c r="GU22" s="311">
        <f t="shared" si="104"/>
        <v>15414.113493333334</v>
      </c>
      <c r="GV22" s="311">
        <f t="shared" si="68"/>
        <v>3702.8447399999995</v>
      </c>
      <c r="GW22" s="311">
        <f t="shared" si="69"/>
        <v>22571.286248</v>
      </c>
      <c r="GX22" s="311">
        <f t="shared" si="105"/>
        <v>17069.91692</v>
      </c>
      <c r="GY22" s="311">
        <f t="shared" si="70"/>
        <v>5501.3693279999998</v>
      </c>
      <c r="GZ22" s="311">
        <f t="shared" si="71"/>
        <v>5770.8176820000008</v>
      </c>
      <c r="HA22" s="311">
        <f t="shared" si="106"/>
        <v>4395.4753500000006</v>
      </c>
      <c r="HB22" s="311">
        <f t="shared" si="72"/>
        <v>1375.3423319999999</v>
      </c>
      <c r="HC22" s="311">
        <f t="shared" si="73"/>
        <v>374.41713299999998</v>
      </c>
      <c r="HD22" s="311">
        <f t="shared" si="107"/>
        <v>313.96252499999997</v>
      </c>
      <c r="HE22" s="311">
        <f t="shared" si="74"/>
        <v>60.454608</v>
      </c>
      <c r="HF22" s="311">
        <f t="shared" si="75"/>
        <v>3226.9123000000004</v>
      </c>
      <c r="HG22" s="311">
        <f t="shared" si="108"/>
        <v>2395.6614400000003</v>
      </c>
      <c r="HH22" s="311">
        <f t="shared" si="76"/>
        <v>831.25085999999999</v>
      </c>
      <c r="HI22" s="311">
        <f t="shared" si="77"/>
        <v>1213.933311</v>
      </c>
      <c r="HJ22" s="311">
        <f t="shared" si="109"/>
        <v>941.88757499999997</v>
      </c>
      <c r="HK22" s="311">
        <f t="shared" si="78"/>
        <v>272.04573599999998</v>
      </c>
      <c r="HL22" s="311">
        <f t="shared" si="79"/>
        <v>1723.8741293333333</v>
      </c>
      <c r="HM22" s="311">
        <f t="shared" si="110"/>
        <v>1376.2601333333332</v>
      </c>
      <c r="HN22" s="311">
        <f t="shared" si="80"/>
        <v>347.61399599999999</v>
      </c>
      <c r="HO22" s="311">
        <f t="shared" si="81"/>
        <v>15031.230300000001</v>
      </c>
      <c r="HP22" s="311">
        <f t="shared" si="111"/>
        <v>12386.341200000001</v>
      </c>
      <c r="HQ22" s="311">
        <f t="shared" si="82"/>
        <v>2644.8890999999999</v>
      </c>
      <c r="HR22" s="311">
        <f t="shared" si="83"/>
        <v>10963.968913333334</v>
      </c>
      <c r="HS22" s="311">
        <f t="shared" si="112"/>
        <v>7714.5337333333346</v>
      </c>
      <c r="HT22" s="311">
        <f t="shared" si="84"/>
        <v>3249.4351799999999</v>
      </c>
      <c r="HU22" s="311">
        <f t="shared" si="85"/>
        <v>5791.2821199999998</v>
      </c>
      <c r="HV22" s="311">
        <f t="shared" si="113"/>
        <v>4128.7803999999996</v>
      </c>
      <c r="HW22" s="311">
        <f t="shared" si="86"/>
        <v>1662.50172</v>
      </c>
      <c r="HY22" s="313">
        <f t="shared" si="87"/>
        <v>254520</v>
      </c>
      <c r="HZ22" s="313">
        <f t="shared" si="88"/>
        <v>12.120000000000001</v>
      </c>
      <c r="IA22" s="313">
        <f t="shared" si="89"/>
        <v>52888.043999999994</v>
      </c>
      <c r="IB22" s="313">
        <f t="shared" si="90"/>
        <v>135453.12</v>
      </c>
      <c r="IC22" s="313">
        <f t="shared" si="91"/>
        <v>55343.556000000004</v>
      </c>
      <c r="ID22" s="313">
        <f t="shared" si="92"/>
        <v>10823.16</v>
      </c>
      <c r="IE22" s="313">
        <f t="shared" si="93"/>
        <v>103328.07228907879</v>
      </c>
      <c r="IF22" s="313">
        <f t="shared" si="94"/>
        <v>0</v>
      </c>
      <c r="IG22" s="313">
        <f t="shared" si="95"/>
        <v>9047.93953520797</v>
      </c>
      <c r="IH22" s="313">
        <f t="shared" si="96"/>
        <v>50848.180620234314</v>
      </c>
      <c r="II22" s="313">
        <f t="shared" si="97"/>
        <v>36144.527487131207</v>
      </c>
      <c r="IJ22" s="313">
        <f t="shared" si="98"/>
        <v>7287.424646505302</v>
      </c>
      <c r="IK22" s="866">
        <v>3.7</v>
      </c>
      <c r="IL22" s="314" t="s">
        <v>2780</v>
      </c>
      <c r="IM22" s="299" t="s">
        <v>2930</v>
      </c>
      <c r="IN22" s="657"/>
      <c r="IO22" s="730">
        <v>0</v>
      </c>
      <c r="IP22" s="730">
        <v>0.15590000000000001</v>
      </c>
      <c r="IQ22" s="730">
        <v>0.53610000000000002</v>
      </c>
      <c r="IR22" s="730">
        <v>0.25940000000000002</v>
      </c>
      <c r="IS22" s="730">
        <v>4.8599999999999997E-2</v>
      </c>
      <c r="IT22" s="730">
        <v>0</v>
      </c>
      <c r="IU22" s="730">
        <v>5.2499999999999998E-2</v>
      </c>
      <c r="IV22" s="730">
        <v>0.45450000000000002</v>
      </c>
      <c r="IW22" s="730">
        <v>0.40539999999999998</v>
      </c>
      <c r="IX22" s="730">
        <v>8.7599999999999997E-2</v>
      </c>
      <c r="IY22" s="730">
        <v>0</v>
      </c>
      <c r="IZ22" s="730">
        <v>0.22739999999999999</v>
      </c>
      <c r="JA22" s="730">
        <v>0.53439999999999999</v>
      </c>
      <c r="JB22" s="730">
        <v>0.1986</v>
      </c>
      <c r="JC22" s="730">
        <v>3.9600000000000003E-2</v>
      </c>
      <c r="JD22" s="730">
        <v>0</v>
      </c>
      <c r="JE22" s="730">
        <v>9.8299999999999998E-2</v>
      </c>
      <c r="JF22" s="730">
        <v>0.50849999999999995</v>
      </c>
      <c r="JG22" s="730">
        <v>0.32979999999999998</v>
      </c>
      <c r="JH22" s="730">
        <v>6.3399999999999998E-2</v>
      </c>
      <c r="JI22" s="730">
        <v>1E-3</v>
      </c>
      <c r="JJ22" s="730">
        <v>0.32369999999999999</v>
      </c>
      <c r="JK22" s="730">
        <v>0.4914</v>
      </c>
      <c r="JL22" s="730">
        <v>0.14990000000000001</v>
      </c>
      <c r="JM22" s="730">
        <v>3.4000000000000002E-2</v>
      </c>
      <c r="JN22" s="730">
        <v>0</v>
      </c>
      <c r="JO22" s="730">
        <v>0.1731</v>
      </c>
      <c r="JP22" s="730">
        <v>0.53869999999999996</v>
      </c>
      <c r="JQ22" s="730">
        <v>0.2424</v>
      </c>
      <c r="JR22" s="730">
        <v>4.58E-2</v>
      </c>
      <c r="JS22" s="730">
        <v>0</v>
      </c>
      <c r="JT22" s="730">
        <v>0.2402</v>
      </c>
      <c r="JU22" s="730">
        <v>0.53100000000000003</v>
      </c>
      <c r="JV22" s="730">
        <v>0.19020000000000001</v>
      </c>
      <c r="JW22" s="730">
        <v>3.8600000000000002E-2</v>
      </c>
      <c r="JX22" s="730">
        <v>0</v>
      </c>
      <c r="JY22" s="730">
        <v>0.10730000000000001</v>
      </c>
      <c r="JZ22" s="730">
        <v>0.51519999999999999</v>
      </c>
      <c r="KA22" s="730">
        <v>0.31719999999999998</v>
      </c>
      <c r="KB22" s="730">
        <v>6.0299999999999999E-2</v>
      </c>
      <c r="KC22" s="657"/>
      <c r="KD22" s="314" t="s">
        <v>2591</v>
      </c>
      <c r="KE22" s="314" t="s">
        <v>2591</v>
      </c>
      <c r="KF22" s="866">
        <v>3.85</v>
      </c>
      <c r="KG22" s="314" t="s">
        <v>2626</v>
      </c>
      <c r="KH22" s="315" t="s">
        <v>2931</v>
      </c>
      <c r="KI22" s="314" t="s">
        <v>2932</v>
      </c>
      <c r="KJ22" s="315" t="s">
        <v>2933</v>
      </c>
    </row>
    <row r="23" spans="1:296" ht="48" hidden="1" customHeight="1">
      <c r="A23" s="265">
        <f t="shared" si="99"/>
        <v>16</v>
      </c>
      <c r="B23" s="266" t="s">
        <v>2880</v>
      </c>
      <c r="C23" s="266" t="s">
        <v>2881</v>
      </c>
      <c r="D23" s="624" t="s">
        <v>1708</v>
      </c>
      <c r="E23" s="267" t="s">
        <v>2883</v>
      </c>
      <c r="F23" s="267" t="s">
        <v>300</v>
      </c>
      <c r="G23" s="267" t="s">
        <v>300</v>
      </c>
      <c r="H23" s="267" t="s">
        <v>2109</v>
      </c>
      <c r="I23" s="268" t="s">
        <v>2934</v>
      </c>
      <c r="J23" s="268" t="s">
        <v>2935</v>
      </c>
      <c r="K23" s="269" t="s">
        <v>2097</v>
      </c>
      <c r="L23" s="269" t="s">
        <v>2109</v>
      </c>
      <c r="M23" s="269" t="s">
        <v>2603</v>
      </c>
      <c r="N23" s="269" t="s">
        <v>2099</v>
      </c>
      <c r="O23" s="267" t="s">
        <v>2616</v>
      </c>
      <c r="P23" s="268"/>
      <c r="Q23" s="270">
        <v>1</v>
      </c>
      <c r="R23" s="271">
        <v>4500</v>
      </c>
      <c r="S23" s="272">
        <v>150</v>
      </c>
      <c r="T23" s="272">
        <v>150</v>
      </c>
      <c r="U23" s="272">
        <v>152</v>
      </c>
      <c r="V23" s="272">
        <v>150</v>
      </c>
      <c r="W23" s="272">
        <v>150</v>
      </c>
      <c r="X23" s="272">
        <v>150</v>
      </c>
      <c r="Y23" s="272">
        <v>150</v>
      </c>
      <c r="Z23" s="272">
        <v>149</v>
      </c>
      <c r="AA23" s="272">
        <v>149</v>
      </c>
      <c r="AB23" s="272">
        <v>149</v>
      </c>
      <c r="AC23" s="272">
        <v>149</v>
      </c>
      <c r="AD23" s="272">
        <v>149</v>
      </c>
      <c r="AE23" s="272">
        <v>150</v>
      </c>
      <c r="AF23" s="272">
        <v>150</v>
      </c>
      <c r="AG23" s="272">
        <f>AF23-1</f>
        <v>149</v>
      </c>
      <c r="AH23" s="272">
        <f>AG23-1</f>
        <v>148</v>
      </c>
      <c r="AI23" s="272">
        <f>AH23-1</f>
        <v>147</v>
      </c>
      <c r="AJ23" s="272">
        <f>AI23-1</f>
        <v>146</v>
      </c>
      <c r="AK23" s="272">
        <v>145</v>
      </c>
      <c r="AL23" s="268" t="s">
        <v>2124</v>
      </c>
      <c r="AM23" s="268" t="s">
        <v>2936</v>
      </c>
      <c r="AN23" s="268" t="s">
        <v>2148</v>
      </c>
      <c r="AO23" s="657"/>
      <c r="AP23" s="271">
        <v>800</v>
      </c>
      <c r="AQ23" s="280">
        <v>672</v>
      </c>
      <c r="AR23" s="280">
        <v>80</v>
      </c>
      <c r="AS23" s="280">
        <v>48</v>
      </c>
      <c r="AT23" s="657"/>
      <c r="AU23" s="301" t="s">
        <v>2937</v>
      </c>
      <c r="AV23" s="572" t="s">
        <v>2938</v>
      </c>
      <c r="AW23" s="645" t="s">
        <v>2939</v>
      </c>
      <c r="AX23" s="290" t="s">
        <v>2890</v>
      </c>
      <c r="AY23" s="657"/>
      <c r="AZ23" s="948">
        <v>40</v>
      </c>
      <c r="BA23" s="948">
        <v>58</v>
      </c>
      <c r="BB23" s="948">
        <v>7</v>
      </c>
      <c r="BC23" s="948">
        <v>28</v>
      </c>
      <c r="BD23" s="825">
        <f t="shared" si="4"/>
        <v>19950</v>
      </c>
      <c r="BE23" s="304">
        <f t="shared" si="5"/>
        <v>6000</v>
      </c>
      <c r="BF23" s="304">
        <f t="shared" si="6"/>
        <v>8700</v>
      </c>
      <c r="BG23" s="304">
        <f t="shared" si="7"/>
        <v>1050</v>
      </c>
      <c r="BH23" s="304">
        <f t="shared" si="8"/>
        <v>4200</v>
      </c>
      <c r="BI23" s="825">
        <f t="shared" si="9"/>
        <v>19285</v>
      </c>
      <c r="BJ23" s="304">
        <f t="shared" si="10"/>
        <v>5800</v>
      </c>
      <c r="BK23" s="304">
        <f t="shared" si="11"/>
        <v>8410</v>
      </c>
      <c r="BL23" s="304">
        <f t="shared" si="12"/>
        <v>1015</v>
      </c>
      <c r="BM23" s="304">
        <f t="shared" si="13"/>
        <v>4060</v>
      </c>
      <c r="BN23" s="657"/>
      <c r="BO23" s="284">
        <v>0.1</v>
      </c>
      <c r="BP23" s="284">
        <v>0.8</v>
      </c>
      <c r="BQ23" s="284">
        <v>0.06</v>
      </c>
      <c r="BR23" s="710">
        <v>0.04</v>
      </c>
      <c r="BS23" s="707">
        <v>0.08</v>
      </c>
      <c r="BT23" s="284">
        <v>0.81</v>
      </c>
      <c r="BU23" s="284">
        <v>0.08</v>
      </c>
      <c r="BV23" s="710">
        <v>0.03</v>
      </c>
      <c r="BW23" s="714">
        <v>0.25</v>
      </c>
      <c r="BX23" s="285">
        <v>0.7</v>
      </c>
      <c r="BY23" s="717">
        <v>0.05</v>
      </c>
      <c r="BZ23" s="714">
        <v>0.2</v>
      </c>
      <c r="CA23" s="285">
        <v>0.73</v>
      </c>
      <c r="CB23" s="717">
        <v>7.0000000000000007E-2</v>
      </c>
      <c r="CC23" s="284">
        <v>0.05</v>
      </c>
      <c r="CD23" s="284">
        <v>0.6</v>
      </c>
      <c r="CE23" s="284">
        <v>0.08</v>
      </c>
      <c r="CF23" s="710">
        <v>0.27</v>
      </c>
      <c r="CG23" s="707">
        <v>0.04</v>
      </c>
      <c r="CH23" s="284">
        <v>0.6</v>
      </c>
      <c r="CI23" s="284">
        <v>0.1</v>
      </c>
      <c r="CJ23" s="710">
        <v>0.26</v>
      </c>
      <c r="CK23" s="720">
        <v>0.3</v>
      </c>
      <c r="CL23" s="286">
        <v>0.55000000000000004</v>
      </c>
      <c r="CM23" s="718">
        <v>0.15</v>
      </c>
      <c r="CN23" s="720">
        <v>0.2</v>
      </c>
      <c r="CO23" s="286">
        <v>0.57999999999999996</v>
      </c>
      <c r="CP23" s="718">
        <v>0.22</v>
      </c>
      <c r="CQ23" s="657"/>
      <c r="CR23" s="807">
        <v>10</v>
      </c>
      <c r="CS23" s="808">
        <v>11</v>
      </c>
      <c r="CT23" s="808">
        <v>8</v>
      </c>
      <c r="CU23" s="809">
        <v>9</v>
      </c>
      <c r="CV23" s="807">
        <v>9</v>
      </c>
      <c r="CW23" s="808">
        <v>10</v>
      </c>
      <c r="CX23" s="809">
        <v>8</v>
      </c>
      <c r="CY23" s="807">
        <v>8</v>
      </c>
      <c r="CZ23" s="808">
        <v>11</v>
      </c>
      <c r="DA23" s="808">
        <v>8</v>
      </c>
      <c r="DB23" s="809">
        <v>9</v>
      </c>
      <c r="DC23" s="807">
        <v>9</v>
      </c>
      <c r="DD23" s="808">
        <v>12</v>
      </c>
      <c r="DE23" s="809">
        <v>9</v>
      </c>
      <c r="DF23" s="610" t="s">
        <v>2940</v>
      </c>
      <c r="DG23" s="657"/>
      <c r="DH23" s="288">
        <f t="shared" si="14"/>
        <v>600</v>
      </c>
      <c r="DI23" s="288">
        <f t="shared" si="15"/>
        <v>4800</v>
      </c>
      <c r="DJ23" s="288">
        <f t="shared" si="16"/>
        <v>360</v>
      </c>
      <c r="DK23" s="288">
        <f t="shared" si="17"/>
        <v>240</v>
      </c>
      <c r="DL23" s="560" t="s">
        <v>2941</v>
      </c>
      <c r="DM23" s="288">
        <f t="shared" si="18"/>
        <v>464</v>
      </c>
      <c r="DN23" s="288">
        <f t="shared" si="19"/>
        <v>4698</v>
      </c>
      <c r="DO23" s="288">
        <f t="shared" si="20"/>
        <v>464</v>
      </c>
      <c r="DP23" s="288">
        <f t="shared" si="21"/>
        <v>174</v>
      </c>
      <c r="DQ23" s="561" t="s">
        <v>2893</v>
      </c>
      <c r="DR23" s="657"/>
      <c r="DS23" s="288">
        <f t="shared" si="22"/>
        <v>2175</v>
      </c>
      <c r="DT23" s="288">
        <f t="shared" si="23"/>
        <v>6090</v>
      </c>
      <c r="DU23" s="288">
        <f t="shared" si="24"/>
        <v>435</v>
      </c>
      <c r="DV23" s="561" t="s">
        <v>2942</v>
      </c>
      <c r="DW23" s="288">
        <f t="shared" si="25"/>
        <v>1682</v>
      </c>
      <c r="DX23" s="288">
        <f t="shared" si="26"/>
        <v>6139.3</v>
      </c>
      <c r="DY23" s="288">
        <f t="shared" si="27"/>
        <v>588.70000000000005</v>
      </c>
      <c r="DZ23" s="561" t="s">
        <v>2895</v>
      </c>
      <c r="EA23" s="657"/>
      <c r="EB23" s="288">
        <f t="shared" si="28"/>
        <v>52.5</v>
      </c>
      <c r="EC23" s="288">
        <f t="shared" si="29"/>
        <v>630</v>
      </c>
      <c r="ED23" s="288">
        <f t="shared" si="30"/>
        <v>84</v>
      </c>
      <c r="EE23" s="288">
        <f t="shared" si="31"/>
        <v>283.5</v>
      </c>
      <c r="EF23" s="561" t="s">
        <v>2943</v>
      </c>
      <c r="EG23" s="288">
        <f t="shared" si="32"/>
        <v>40.6</v>
      </c>
      <c r="EH23" s="288">
        <f t="shared" si="33"/>
        <v>609</v>
      </c>
      <c r="EI23" s="288">
        <f t="shared" si="34"/>
        <v>101.5</v>
      </c>
      <c r="EJ23" s="288">
        <f t="shared" si="35"/>
        <v>263.90000000000003</v>
      </c>
      <c r="EK23" s="561" t="s">
        <v>2897</v>
      </c>
      <c r="EL23" s="657"/>
      <c r="EM23" s="288">
        <f t="shared" si="36"/>
        <v>1260</v>
      </c>
      <c r="EN23" s="291">
        <f t="shared" si="37"/>
        <v>2310</v>
      </c>
      <c r="EO23" s="291">
        <f t="shared" si="38"/>
        <v>630</v>
      </c>
      <c r="EP23" s="561" t="s">
        <v>2944</v>
      </c>
      <c r="EQ23" s="288">
        <f t="shared" si="39"/>
        <v>812</v>
      </c>
      <c r="ER23" s="291">
        <f t="shared" si="40"/>
        <v>2354.7999999999997</v>
      </c>
      <c r="ES23" s="291">
        <f t="shared" si="41"/>
        <v>893.2</v>
      </c>
      <c r="ET23" s="561" t="s">
        <v>2899</v>
      </c>
      <c r="EU23" s="657"/>
      <c r="EV23" s="740">
        <f t="shared" si="42"/>
        <v>0.85436626986899722</v>
      </c>
      <c r="EW23" s="740">
        <f t="shared" si="43"/>
        <v>0.14563373013100281</v>
      </c>
      <c r="EX23" s="563">
        <f t="shared" si="44"/>
        <v>10097.348318121212</v>
      </c>
      <c r="EY23" s="563">
        <f t="shared" si="45"/>
        <v>8626.833818121213</v>
      </c>
      <c r="EZ23" s="563">
        <f t="shared" si="46"/>
        <v>1470.5144999999998</v>
      </c>
      <c r="FA23" s="563">
        <f t="shared" si="47"/>
        <v>2916.3940945454551</v>
      </c>
      <c r="FB23" s="563">
        <f t="shared" si="48"/>
        <v>2474.1340945454549</v>
      </c>
      <c r="FC23" s="563">
        <f t="shared" si="49"/>
        <v>442.26</v>
      </c>
      <c r="FD23" s="563">
        <f t="shared" si="50"/>
        <v>4578.3076039999996</v>
      </c>
      <c r="FE23" s="563">
        <f t="shared" si="51"/>
        <v>3937.030604</v>
      </c>
      <c r="FF23" s="563">
        <f t="shared" si="52"/>
        <v>641.27699999999993</v>
      </c>
      <c r="FG23" s="563">
        <f t="shared" si="53"/>
        <v>537.98019290909099</v>
      </c>
      <c r="FH23" s="563">
        <f t="shared" si="54"/>
        <v>460.58469290909102</v>
      </c>
      <c r="FI23" s="563">
        <f t="shared" si="55"/>
        <v>77.395499999999998</v>
      </c>
      <c r="FJ23" s="563">
        <f t="shared" si="56"/>
        <v>2064.6664266666667</v>
      </c>
      <c r="FK23" s="563">
        <f t="shared" si="57"/>
        <v>1755.0844266666668</v>
      </c>
      <c r="FL23" s="563">
        <f t="shared" si="58"/>
        <v>309.58199999999999</v>
      </c>
      <c r="FM23" s="529"/>
      <c r="FN23" s="564" t="s">
        <v>2649</v>
      </c>
      <c r="FO23" s="740">
        <v>7.3709999999999998E-2</v>
      </c>
      <c r="FP23" s="741">
        <v>0.87280000000000002</v>
      </c>
      <c r="FQ23" s="565" t="s">
        <v>2923</v>
      </c>
      <c r="FR23" s="529"/>
      <c r="FS23" s="867">
        <v>3.19</v>
      </c>
      <c r="FT23" s="566">
        <f>RANK($FS23,$FS$8:$FS$154,0)+COUNTIF($FS$8:$FS120,$FS23)-1</f>
        <v>89</v>
      </c>
      <c r="FU23" s="867">
        <v>4.16</v>
      </c>
      <c r="FV23" s="566">
        <f>RANK($FU23,$FU$8:$FU$154,0)+COUNTIF($FU$8:$FU120,$FU23)-1</f>
        <v>52</v>
      </c>
      <c r="FW23" s="867">
        <v>2.0099999999999998</v>
      </c>
      <c r="FX23" s="566">
        <f>RANK($FW23,$FW$8:$FW$154,0)+COUNTIF($FW$8:$FW120,$FW23)-1</f>
        <v>93</v>
      </c>
      <c r="FY23" s="529"/>
      <c r="FZ23" s="567" t="s">
        <v>2945</v>
      </c>
      <c r="GA23" s="567" t="s">
        <v>2946</v>
      </c>
      <c r="GB23" s="567" t="s">
        <v>2947</v>
      </c>
      <c r="GC23" s="567" t="s">
        <v>2948</v>
      </c>
      <c r="GD23" s="567" t="s">
        <v>2949</v>
      </c>
      <c r="GE23" s="567" t="s">
        <v>2950</v>
      </c>
      <c r="GF23" s="567" t="str">
        <f t="shared" ref="GF23:GF34" si="115">HYPERLINK("https://www.agencedusport.fr/plan-5000-equipements-generation-2024","https://www.agencedusport.fr/plan-5000-equipements-generation-2024")&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https://www.agencedusport.fr/plan-5000-equipements-generation-2024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23" s="529"/>
      <c r="GH23" s="563">
        <f t="shared" si="59"/>
        <v>296.52256000000011</v>
      </c>
      <c r="GI23" s="563">
        <f t="shared" si="100"/>
        <v>261.14176000000009</v>
      </c>
      <c r="GJ23" s="563">
        <f t="shared" si="60"/>
        <v>35.380800000000001</v>
      </c>
      <c r="GK23" s="563">
        <f t="shared" si="61"/>
        <v>2259.9824545454549</v>
      </c>
      <c r="GL23" s="563">
        <f t="shared" si="101"/>
        <v>1901.751854545455</v>
      </c>
      <c r="GM23" s="563">
        <f t="shared" si="62"/>
        <v>358.23060000000004</v>
      </c>
      <c r="GN23" s="563">
        <f t="shared" si="63"/>
        <v>230.71344000000002</v>
      </c>
      <c r="GO23" s="563">
        <f t="shared" si="102"/>
        <v>195.33264000000003</v>
      </c>
      <c r="GP23" s="563">
        <f t="shared" si="64"/>
        <v>35.380800000000001</v>
      </c>
      <c r="GQ23" s="563">
        <f t="shared" si="65"/>
        <v>129.17563999999999</v>
      </c>
      <c r="GR23" s="563">
        <f t="shared" si="103"/>
        <v>115.90783999999999</v>
      </c>
      <c r="GS23" s="563">
        <f t="shared" si="66"/>
        <v>13.267799999999999</v>
      </c>
      <c r="GT23" s="563">
        <f t="shared" si="67"/>
        <v>1178.6702</v>
      </c>
      <c r="GU23" s="563">
        <f t="shared" si="104"/>
        <v>1050.4148</v>
      </c>
      <c r="GV23" s="563">
        <f t="shared" si="68"/>
        <v>128.25539999999998</v>
      </c>
      <c r="GW23" s="563">
        <f t="shared" si="69"/>
        <v>3118.7210739999996</v>
      </c>
      <c r="GX23" s="563">
        <f t="shared" si="105"/>
        <v>2650.5888639999998</v>
      </c>
      <c r="GY23" s="563">
        <f t="shared" si="70"/>
        <v>468.13220999999993</v>
      </c>
      <c r="GZ23" s="563">
        <f t="shared" si="71"/>
        <v>280.91633000000002</v>
      </c>
      <c r="HA23" s="563">
        <f t="shared" si="106"/>
        <v>236.02694</v>
      </c>
      <c r="HB23" s="563">
        <f t="shared" si="72"/>
        <v>44.889389999999999</v>
      </c>
      <c r="HC23" s="563">
        <f t="shared" si="73"/>
        <v>31.58183</v>
      </c>
      <c r="HD23" s="563">
        <f t="shared" si="107"/>
        <v>28.48601</v>
      </c>
      <c r="HE23" s="563">
        <f t="shared" si="74"/>
        <v>3.0958199999999998</v>
      </c>
      <c r="HF23" s="563">
        <f t="shared" si="75"/>
        <v>296.04223090909096</v>
      </c>
      <c r="HG23" s="563">
        <f t="shared" si="108"/>
        <v>249.60493090909097</v>
      </c>
      <c r="HH23" s="563">
        <f t="shared" si="76"/>
        <v>46.4373</v>
      </c>
      <c r="HI23" s="563">
        <f t="shared" si="77"/>
        <v>53.317166000000007</v>
      </c>
      <c r="HJ23" s="563">
        <f t="shared" si="109"/>
        <v>45.577616000000006</v>
      </c>
      <c r="HK23" s="563">
        <f t="shared" si="78"/>
        <v>7.7395500000000004</v>
      </c>
      <c r="HL23" s="563">
        <f t="shared" si="79"/>
        <v>157.03896600000002</v>
      </c>
      <c r="HM23" s="563">
        <f t="shared" si="110"/>
        <v>136.91613600000002</v>
      </c>
      <c r="HN23" s="563">
        <f t="shared" si="80"/>
        <v>20.12283</v>
      </c>
      <c r="HO23" s="563">
        <f t="shared" si="81"/>
        <v>670.43255999999997</v>
      </c>
      <c r="HP23" s="563">
        <f t="shared" si="111"/>
        <v>608.51616000000001</v>
      </c>
      <c r="HQ23" s="563">
        <f t="shared" si="82"/>
        <v>61.916400000000003</v>
      </c>
      <c r="HR23" s="563">
        <f t="shared" si="83"/>
        <v>1021.8677466666667</v>
      </c>
      <c r="HS23" s="563">
        <f t="shared" si="112"/>
        <v>842.31018666666671</v>
      </c>
      <c r="HT23" s="563">
        <f t="shared" si="84"/>
        <v>179.55756</v>
      </c>
      <c r="HU23" s="563">
        <f t="shared" si="85"/>
        <v>372.36612000000002</v>
      </c>
      <c r="HV23" s="563">
        <f t="shared" si="113"/>
        <v>304.25808000000001</v>
      </c>
      <c r="HW23" s="563">
        <f t="shared" si="86"/>
        <v>68.108040000000003</v>
      </c>
      <c r="HX23" s="544"/>
      <c r="HY23" s="568">
        <f t="shared" si="87"/>
        <v>19950</v>
      </c>
      <c r="HZ23" s="568">
        <f t="shared" si="88"/>
        <v>4323.2550000000001</v>
      </c>
      <c r="IA23" s="568">
        <f t="shared" si="89"/>
        <v>12385.995000000001</v>
      </c>
      <c r="IB23" s="568">
        <f t="shared" si="90"/>
        <v>3240.75</v>
      </c>
      <c r="IC23" s="568">
        <f t="shared" si="91"/>
        <v>0</v>
      </c>
      <c r="ID23" s="568">
        <f t="shared" si="92"/>
        <v>0</v>
      </c>
      <c r="IE23" s="568">
        <f t="shared" si="93"/>
        <v>8626.833818121213</v>
      </c>
      <c r="IF23" s="568">
        <f t="shared" si="94"/>
        <v>997.66381774697595</v>
      </c>
      <c r="IG23" s="568">
        <f t="shared" si="95"/>
        <v>5213.1421942341822</v>
      </c>
      <c r="IH23" s="568">
        <f t="shared" si="96"/>
        <v>2416.027806140055</v>
      </c>
      <c r="II23" s="568">
        <f t="shared" si="97"/>
        <v>0</v>
      </c>
      <c r="IJ23" s="568">
        <f t="shared" si="98"/>
        <v>0</v>
      </c>
      <c r="IK23" s="868">
        <v>4.0999999999999996</v>
      </c>
      <c r="IL23" s="569" t="s">
        <v>2589</v>
      </c>
      <c r="IM23" s="570" t="s">
        <v>2907</v>
      </c>
      <c r="IN23" s="529"/>
      <c r="IO23" s="742">
        <v>0.1545</v>
      </c>
      <c r="IP23" s="742">
        <v>0.628</v>
      </c>
      <c r="IQ23" s="742">
        <v>0.2175</v>
      </c>
      <c r="IR23" s="742">
        <v>0</v>
      </c>
      <c r="IS23" s="742">
        <v>0</v>
      </c>
      <c r="IT23" s="742">
        <v>7.4399999999999994E-2</v>
      </c>
      <c r="IU23" s="742">
        <v>0.57069999999999999</v>
      </c>
      <c r="IV23" s="742">
        <v>0.35489999999999999</v>
      </c>
      <c r="IW23" s="742">
        <v>0</v>
      </c>
      <c r="IX23" s="742">
        <v>0</v>
      </c>
      <c r="IY23" s="742">
        <v>0.26050000000000001</v>
      </c>
      <c r="IZ23" s="742">
        <v>0.61429999999999996</v>
      </c>
      <c r="JA23" s="742">
        <v>0.12520000000000001</v>
      </c>
      <c r="JB23" s="742">
        <v>0</v>
      </c>
      <c r="JC23" s="742">
        <v>0</v>
      </c>
      <c r="JD23" s="742">
        <v>0.14269999999999999</v>
      </c>
      <c r="JE23" s="742">
        <v>0.62480000000000002</v>
      </c>
      <c r="JF23" s="742">
        <v>0.23250000000000001</v>
      </c>
      <c r="JG23" s="742">
        <v>0</v>
      </c>
      <c r="JH23" s="742">
        <v>0</v>
      </c>
      <c r="JI23" s="742">
        <v>0.30049999999999999</v>
      </c>
      <c r="JJ23" s="742">
        <v>0.59689999999999999</v>
      </c>
      <c r="JK23" s="742">
        <v>0.1026</v>
      </c>
      <c r="JL23" s="742">
        <v>0</v>
      </c>
      <c r="JM23" s="742">
        <v>0</v>
      </c>
      <c r="JN23" s="742">
        <v>0.17130000000000001</v>
      </c>
      <c r="JO23" s="742">
        <v>0.63039999999999996</v>
      </c>
      <c r="JP23" s="742">
        <v>0.1983</v>
      </c>
      <c r="JQ23" s="742">
        <v>0</v>
      </c>
      <c r="JR23" s="742">
        <v>0</v>
      </c>
      <c r="JS23" s="742">
        <v>0.19389999999999999</v>
      </c>
      <c r="JT23" s="742">
        <v>0.63019999999999998</v>
      </c>
      <c r="JU23" s="742">
        <v>0.1759</v>
      </c>
      <c r="JV23" s="742">
        <v>0</v>
      </c>
      <c r="JW23" s="742">
        <v>0</v>
      </c>
      <c r="JX23" s="742">
        <v>9.8500000000000004E-2</v>
      </c>
      <c r="JY23" s="742">
        <v>0.5988</v>
      </c>
      <c r="JZ23" s="742">
        <v>0.30270000000000002</v>
      </c>
      <c r="KA23" s="742">
        <v>0</v>
      </c>
      <c r="KB23" s="742">
        <v>0</v>
      </c>
      <c r="KC23" s="657"/>
      <c r="KD23" s="832" t="s">
        <v>2590</v>
      </c>
      <c r="KE23" s="832" t="s">
        <v>2590</v>
      </c>
      <c r="KF23" s="869">
        <v>4.28</v>
      </c>
      <c r="KG23" s="832" t="s">
        <v>2589</v>
      </c>
      <c r="KH23" s="833" t="s">
        <v>2908</v>
      </c>
      <c r="KI23" s="832" t="s">
        <v>2909</v>
      </c>
      <c r="KJ23" s="833" t="s">
        <v>2951</v>
      </c>
    </row>
    <row r="24" spans="1:296" ht="48" hidden="1" customHeight="1">
      <c r="A24" s="273">
        <f t="shared" si="99"/>
        <v>17</v>
      </c>
      <c r="B24" s="274" t="s">
        <v>2880</v>
      </c>
      <c r="C24" s="274" t="s">
        <v>2881</v>
      </c>
      <c r="D24" s="274" t="s">
        <v>1726</v>
      </c>
      <c r="E24" s="275" t="s">
        <v>2883</v>
      </c>
      <c r="F24" s="275" t="s">
        <v>300</v>
      </c>
      <c r="G24" s="275" t="s">
        <v>300</v>
      </c>
      <c r="H24" s="275" t="s">
        <v>2109</v>
      </c>
      <c r="I24" s="276" t="s">
        <v>2952</v>
      </c>
      <c r="J24" s="276" t="s">
        <v>2953</v>
      </c>
      <c r="K24" s="277" t="s">
        <v>2097</v>
      </c>
      <c r="L24" s="277" t="s">
        <v>2109</v>
      </c>
      <c r="M24" s="277" t="s">
        <v>2603</v>
      </c>
      <c r="N24" s="277" t="s">
        <v>2099</v>
      </c>
      <c r="O24" s="275" t="s">
        <v>2212</v>
      </c>
      <c r="P24" s="276"/>
      <c r="Q24" s="270">
        <v>1</v>
      </c>
      <c r="R24" s="278">
        <v>3500</v>
      </c>
      <c r="S24" s="279">
        <v>2350</v>
      </c>
      <c r="T24" s="279">
        <v>2550</v>
      </c>
      <c r="U24" s="279">
        <v>2700</v>
      </c>
      <c r="V24" s="279">
        <v>2820</v>
      </c>
      <c r="W24" s="279">
        <f>V24+6</f>
        <v>2826</v>
      </c>
      <c r="X24" s="279">
        <f>W24+6</f>
        <v>2832</v>
      </c>
      <c r="Y24" s="279">
        <f>X24+6</f>
        <v>2838</v>
      </c>
      <c r="Z24" s="279">
        <f>Y24+6</f>
        <v>2844</v>
      </c>
      <c r="AA24" s="279">
        <v>2850</v>
      </c>
      <c r="AB24" s="279">
        <f>AA24+10</f>
        <v>2860</v>
      </c>
      <c r="AC24" s="279">
        <f>AB24+10</f>
        <v>2870</v>
      </c>
      <c r="AD24" s="279">
        <f>AC24+10</f>
        <v>2880</v>
      </c>
      <c r="AE24" s="279">
        <f>AD24+10</f>
        <v>2890</v>
      </c>
      <c r="AF24" s="279">
        <v>2900</v>
      </c>
      <c r="AG24" s="279">
        <f>AF24+10</f>
        <v>2910</v>
      </c>
      <c r="AH24" s="279">
        <f>AG24+10</f>
        <v>2920</v>
      </c>
      <c r="AI24" s="279">
        <f>AH24+10</f>
        <v>2930</v>
      </c>
      <c r="AJ24" s="279">
        <f>AI24+10</f>
        <v>2940</v>
      </c>
      <c r="AK24" s="279">
        <v>2950</v>
      </c>
      <c r="AL24" s="276" t="s">
        <v>2124</v>
      </c>
      <c r="AM24" s="276" t="s">
        <v>2954</v>
      </c>
      <c r="AN24" s="276" t="s">
        <v>2148</v>
      </c>
      <c r="AO24" s="657"/>
      <c r="AP24" s="278">
        <v>500</v>
      </c>
      <c r="AQ24" s="278">
        <v>420</v>
      </c>
      <c r="AR24" s="278">
        <v>50</v>
      </c>
      <c r="AS24" s="278">
        <v>30</v>
      </c>
      <c r="AT24" s="657"/>
      <c r="AU24" s="281" t="s">
        <v>2955</v>
      </c>
      <c r="AV24" s="296" t="s">
        <v>2956</v>
      </c>
      <c r="AW24" s="296" t="s">
        <v>2957</v>
      </c>
      <c r="AX24" s="276" t="s">
        <v>2890</v>
      </c>
      <c r="AY24" s="657"/>
      <c r="AZ24" s="947">
        <v>16</v>
      </c>
      <c r="BA24" s="947">
        <v>32</v>
      </c>
      <c r="BB24" s="947">
        <v>5</v>
      </c>
      <c r="BC24" s="947">
        <v>17</v>
      </c>
      <c r="BD24" s="826">
        <f t="shared" si="4"/>
        <v>203000</v>
      </c>
      <c r="BE24" s="283">
        <f t="shared" si="5"/>
        <v>46400</v>
      </c>
      <c r="BF24" s="283">
        <f t="shared" si="6"/>
        <v>92800</v>
      </c>
      <c r="BG24" s="283">
        <f t="shared" si="7"/>
        <v>14500</v>
      </c>
      <c r="BH24" s="283">
        <f t="shared" si="8"/>
        <v>49300</v>
      </c>
      <c r="BI24" s="826">
        <f t="shared" si="9"/>
        <v>206500</v>
      </c>
      <c r="BJ24" s="283">
        <f t="shared" si="10"/>
        <v>47200</v>
      </c>
      <c r="BK24" s="283">
        <f t="shared" si="11"/>
        <v>94400</v>
      </c>
      <c r="BL24" s="283">
        <f t="shared" si="12"/>
        <v>14750</v>
      </c>
      <c r="BM24" s="283">
        <f t="shared" si="13"/>
        <v>50150</v>
      </c>
      <c r="BN24" s="657"/>
      <c r="BO24" s="305">
        <v>0.1</v>
      </c>
      <c r="BP24" s="305">
        <v>0.76</v>
      </c>
      <c r="BQ24" s="305">
        <v>0.08</v>
      </c>
      <c r="BR24" s="581">
        <v>0.06</v>
      </c>
      <c r="BS24" s="706">
        <v>0.08</v>
      </c>
      <c r="BT24" s="305">
        <v>0.76</v>
      </c>
      <c r="BU24" s="305">
        <v>0.1</v>
      </c>
      <c r="BV24" s="581">
        <v>0.06</v>
      </c>
      <c r="BW24" s="713">
        <v>0.15</v>
      </c>
      <c r="BX24" s="306">
        <v>0.8</v>
      </c>
      <c r="BY24" s="590">
        <v>0.05</v>
      </c>
      <c r="BZ24" s="713">
        <v>0.12</v>
      </c>
      <c r="CA24" s="306">
        <v>0.82</v>
      </c>
      <c r="CB24" s="590">
        <v>0.06</v>
      </c>
      <c r="CC24" s="706">
        <v>0.05</v>
      </c>
      <c r="CD24" s="305">
        <v>0.55000000000000004</v>
      </c>
      <c r="CE24" s="305">
        <v>0.1</v>
      </c>
      <c r="CF24" s="581">
        <v>0.3</v>
      </c>
      <c r="CG24" s="706">
        <v>0.04</v>
      </c>
      <c r="CH24" s="305">
        <v>0.55000000000000004</v>
      </c>
      <c r="CI24" s="305">
        <v>0.12</v>
      </c>
      <c r="CJ24" s="581">
        <v>0.28999999999999998</v>
      </c>
      <c r="CK24" s="719">
        <v>0.25</v>
      </c>
      <c r="CL24" s="307">
        <v>0.55000000000000004</v>
      </c>
      <c r="CM24" s="723">
        <v>0.2</v>
      </c>
      <c r="CN24" s="719">
        <v>0.15</v>
      </c>
      <c r="CO24" s="307">
        <v>0.57999999999999996</v>
      </c>
      <c r="CP24" s="723">
        <v>0.27</v>
      </c>
      <c r="CQ24" s="657"/>
      <c r="CR24" s="804">
        <v>10</v>
      </c>
      <c r="CS24" s="805">
        <v>11</v>
      </c>
      <c r="CT24" s="805">
        <v>8</v>
      </c>
      <c r="CU24" s="806">
        <v>9</v>
      </c>
      <c r="CV24" s="804">
        <v>9</v>
      </c>
      <c r="CW24" s="805">
        <v>10</v>
      </c>
      <c r="CX24" s="806">
        <v>8</v>
      </c>
      <c r="CY24" s="804">
        <v>8</v>
      </c>
      <c r="CZ24" s="805">
        <v>11</v>
      </c>
      <c r="DA24" s="805">
        <v>8</v>
      </c>
      <c r="DB24" s="806">
        <v>9</v>
      </c>
      <c r="DC24" s="804">
        <v>9</v>
      </c>
      <c r="DD24" s="805">
        <v>12</v>
      </c>
      <c r="DE24" s="806">
        <v>9</v>
      </c>
      <c r="DF24" s="609" t="s">
        <v>2918</v>
      </c>
      <c r="DG24" s="657"/>
      <c r="DH24" s="308">
        <f t="shared" si="14"/>
        <v>4640</v>
      </c>
      <c r="DI24" s="308">
        <f t="shared" si="15"/>
        <v>35264</v>
      </c>
      <c r="DJ24" s="308">
        <f t="shared" si="16"/>
        <v>3712</v>
      </c>
      <c r="DK24" s="308">
        <f t="shared" si="17"/>
        <v>2784</v>
      </c>
      <c r="DL24" s="287" t="s">
        <v>2958</v>
      </c>
      <c r="DM24" s="308">
        <f t="shared" si="18"/>
        <v>3776</v>
      </c>
      <c r="DN24" s="308">
        <f t="shared" si="19"/>
        <v>35872</v>
      </c>
      <c r="DO24" s="308">
        <f t="shared" si="20"/>
        <v>4720</v>
      </c>
      <c r="DP24" s="308">
        <f t="shared" si="21"/>
        <v>2832</v>
      </c>
      <c r="DQ24" s="289" t="s">
        <v>2893</v>
      </c>
      <c r="DR24" s="657"/>
      <c r="DS24" s="308">
        <f t="shared" si="22"/>
        <v>13920</v>
      </c>
      <c r="DT24" s="308">
        <f t="shared" si="23"/>
        <v>74240</v>
      </c>
      <c r="DU24" s="308">
        <f t="shared" si="24"/>
        <v>4640</v>
      </c>
      <c r="DV24" s="289" t="s">
        <v>2959</v>
      </c>
      <c r="DW24" s="308">
        <f t="shared" si="25"/>
        <v>11328</v>
      </c>
      <c r="DX24" s="308">
        <f t="shared" si="26"/>
        <v>77408</v>
      </c>
      <c r="DY24" s="308">
        <f t="shared" si="27"/>
        <v>5664</v>
      </c>
      <c r="DZ24" s="289" t="s">
        <v>2895</v>
      </c>
      <c r="EA24" s="657"/>
      <c r="EB24" s="308">
        <f t="shared" si="28"/>
        <v>725</v>
      </c>
      <c r="EC24" s="308">
        <f t="shared" si="29"/>
        <v>7975.0000000000009</v>
      </c>
      <c r="ED24" s="308">
        <f t="shared" si="30"/>
        <v>1450</v>
      </c>
      <c r="EE24" s="308">
        <f t="shared" si="31"/>
        <v>4350</v>
      </c>
      <c r="EF24" s="289" t="s">
        <v>2960</v>
      </c>
      <c r="EG24" s="308">
        <f t="shared" si="32"/>
        <v>590</v>
      </c>
      <c r="EH24" s="308">
        <f t="shared" si="33"/>
        <v>8112.5000000000009</v>
      </c>
      <c r="EI24" s="308">
        <f t="shared" si="34"/>
        <v>1770</v>
      </c>
      <c r="EJ24" s="308">
        <f t="shared" si="35"/>
        <v>4277.5</v>
      </c>
      <c r="EK24" s="309" t="s">
        <v>2897</v>
      </c>
      <c r="EL24" s="657"/>
      <c r="EM24" s="308">
        <f t="shared" si="36"/>
        <v>12325</v>
      </c>
      <c r="EN24" s="310">
        <f t="shared" si="37"/>
        <v>27115.000000000004</v>
      </c>
      <c r="EO24" s="310">
        <f t="shared" si="38"/>
        <v>9860</v>
      </c>
      <c r="EP24" s="289" t="s">
        <v>2961</v>
      </c>
      <c r="EQ24" s="308">
        <f t="shared" si="39"/>
        <v>7522.5</v>
      </c>
      <c r="ER24" s="310">
        <f t="shared" si="40"/>
        <v>29086.999999999996</v>
      </c>
      <c r="ES24" s="310">
        <f t="shared" si="41"/>
        <v>13540.5</v>
      </c>
      <c r="ET24" s="289" t="s">
        <v>2899</v>
      </c>
      <c r="EU24" s="657"/>
      <c r="EV24" s="728">
        <f t="shared" si="42"/>
        <v>0.84020967447844797</v>
      </c>
      <c r="EW24" s="728">
        <f t="shared" si="43"/>
        <v>0.15979032552155198</v>
      </c>
      <c r="EX24" s="311">
        <f t="shared" si="44"/>
        <v>105141.2840243197</v>
      </c>
      <c r="EY24" s="311">
        <f t="shared" si="45"/>
        <v>88340.724024319701</v>
      </c>
      <c r="EZ24" s="311">
        <f t="shared" si="46"/>
        <v>16800.559999999998</v>
      </c>
      <c r="FA24" s="311">
        <f t="shared" si="47"/>
        <v>23273.764154569701</v>
      </c>
      <c r="FB24" s="311">
        <f t="shared" si="48"/>
        <v>19433.6361545697</v>
      </c>
      <c r="FC24" s="311">
        <f t="shared" si="49"/>
        <v>3840.1279999999997</v>
      </c>
      <c r="FD24" s="311">
        <f t="shared" si="50"/>
        <v>49517.10065866667</v>
      </c>
      <c r="FE24" s="311">
        <f t="shared" si="51"/>
        <v>41836.844658666669</v>
      </c>
      <c r="FF24" s="311">
        <f t="shared" si="52"/>
        <v>7680.2559999999994</v>
      </c>
      <c r="FG24" s="311">
        <f t="shared" si="53"/>
        <v>7684.0034670833329</v>
      </c>
      <c r="FH24" s="311">
        <f t="shared" si="54"/>
        <v>6483.9634670833329</v>
      </c>
      <c r="FI24" s="311">
        <f t="shared" si="55"/>
        <v>1200.04</v>
      </c>
      <c r="FJ24" s="311">
        <f t="shared" si="56"/>
        <v>24666.415743999998</v>
      </c>
      <c r="FK24" s="311">
        <f t="shared" si="57"/>
        <v>20586.279743999999</v>
      </c>
      <c r="FL24" s="311">
        <f t="shared" si="58"/>
        <v>4080.136</v>
      </c>
      <c r="FM24" s="657"/>
      <c r="FN24" s="293" t="s">
        <v>2649</v>
      </c>
      <c r="FO24" s="728">
        <v>6.5519999999999995E-2</v>
      </c>
      <c r="FP24" s="729">
        <v>0.89461999999999997</v>
      </c>
      <c r="FQ24" s="294" t="s">
        <v>2962</v>
      </c>
      <c r="FR24" s="657"/>
      <c r="FS24" s="865">
        <v>3.31</v>
      </c>
      <c r="FT24" s="312">
        <f>RANK($FS24,$FS$8:$FS$154,0)+COUNTIF($FS$8:$FS120,$FS24)-1</f>
        <v>74</v>
      </c>
      <c r="FU24" s="865">
        <v>4.3</v>
      </c>
      <c r="FV24" s="312">
        <f>RANK($FU24,$FU$8:$FU$154,0)+COUNTIF($FU$8:$FU120,$FU24)-1</f>
        <v>31</v>
      </c>
      <c r="FW24" s="865">
        <v>2.09</v>
      </c>
      <c r="FX24" s="312">
        <f>RANK($FW24,$FW$8:$FW$154,0)+COUNTIF($FW$8:$FW120,$FW24)-1</f>
        <v>86</v>
      </c>
      <c r="FY24" s="657"/>
      <c r="FZ24" s="296" t="s">
        <v>2963</v>
      </c>
      <c r="GA24" s="296" t="s">
        <v>2964</v>
      </c>
      <c r="GB24" s="296" t="s">
        <v>2965</v>
      </c>
      <c r="GC24" s="296" t="s">
        <v>2966</v>
      </c>
      <c r="GD24" s="296" t="s">
        <v>2967</v>
      </c>
      <c r="GE24" s="296" t="s">
        <v>2968</v>
      </c>
      <c r="GF24" s="296" t="str">
        <f t="shared" si="115"/>
        <v>https://www.agencedusport.fr/plan-5000-equipements-generation-2024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24" s="657"/>
      <c r="GH24" s="311">
        <f t="shared" si="59"/>
        <v>2338.3554880000002</v>
      </c>
      <c r="GI24" s="311">
        <f t="shared" si="100"/>
        <v>2031.145248</v>
      </c>
      <c r="GJ24" s="311">
        <f t="shared" si="60"/>
        <v>307.21024</v>
      </c>
      <c r="GK24" s="311">
        <f t="shared" si="61"/>
        <v>16922.195595636364</v>
      </c>
      <c r="GL24" s="311">
        <f t="shared" si="101"/>
        <v>14003.698315636364</v>
      </c>
      <c r="GM24" s="311">
        <f t="shared" si="62"/>
        <v>2918.4972799999996</v>
      </c>
      <c r="GN24" s="311">
        <f t="shared" si="63"/>
        <v>2425.4640703999999</v>
      </c>
      <c r="GO24" s="311">
        <f t="shared" si="102"/>
        <v>2041.4512703999999</v>
      </c>
      <c r="GP24" s="311">
        <f t="shared" si="64"/>
        <v>384.01279999999997</v>
      </c>
      <c r="GQ24" s="311">
        <f t="shared" si="65"/>
        <v>1587.7490005333334</v>
      </c>
      <c r="GR24" s="311">
        <f t="shared" si="103"/>
        <v>1357.3413205333334</v>
      </c>
      <c r="GS24" s="311">
        <f t="shared" si="66"/>
        <v>230.40767999999997</v>
      </c>
      <c r="GT24" s="311">
        <f t="shared" si="67"/>
        <v>7708.3373226666672</v>
      </c>
      <c r="GU24" s="311">
        <f t="shared" si="104"/>
        <v>6786.7066026666671</v>
      </c>
      <c r="GV24" s="311">
        <f t="shared" si="68"/>
        <v>921.63071999999988</v>
      </c>
      <c r="GW24" s="311">
        <f t="shared" si="69"/>
        <v>38796.133887999997</v>
      </c>
      <c r="GX24" s="311">
        <f t="shared" si="105"/>
        <v>32498.323968000001</v>
      </c>
      <c r="GY24" s="311">
        <f t="shared" si="70"/>
        <v>6297.8099199999988</v>
      </c>
      <c r="GZ24" s="311">
        <f t="shared" si="71"/>
        <v>3012.6294480000001</v>
      </c>
      <c r="HA24" s="311">
        <f t="shared" si="106"/>
        <v>2551.8140880000001</v>
      </c>
      <c r="HB24" s="311">
        <f t="shared" si="72"/>
        <v>460.81535999999994</v>
      </c>
      <c r="HC24" s="311">
        <f t="shared" si="73"/>
        <v>446.72255124999998</v>
      </c>
      <c r="HD24" s="311">
        <f t="shared" si="107"/>
        <v>398.72095124999998</v>
      </c>
      <c r="HE24" s="311">
        <f t="shared" si="74"/>
        <v>48.001599999999996</v>
      </c>
      <c r="HF24" s="311">
        <f t="shared" si="75"/>
        <v>3826.9767999999999</v>
      </c>
      <c r="HG24" s="311">
        <f t="shared" si="108"/>
        <v>3166.9548</v>
      </c>
      <c r="HH24" s="311">
        <f t="shared" si="76"/>
        <v>660.02200000000005</v>
      </c>
      <c r="HI24" s="311">
        <f t="shared" si="77"/>
        <v>941.4467024999999</v>
      </c>
      <c r="HJ24" s="311">
        <f t="shared" si="109"/>
        <v>797.44190249999997</v>
      </c>
      <c r="HK24" s="311">
        <f t="shared" si="78"/>
        <v>144.00479999999999</v>
      </c>
      <c r="HL24" s="311">
        <f t="shared" si="79"/>
        <v>2468.8574133333327</v>
      </c>
      <c r="HM24" s="311">
        <f t="shared" si="110"/>
        <v>2120.8458133333329</v>
      </c>
      <c r="HN24" s="311">
        <f t="shared" si="80"/>
        <v>348.01159999999999</v>
      </c>
      <c r="HO24" s="311">
        <f t="shared" si="81"/>
        <v>6621.0835377777767</v>
      </c>
      <c r="HP24" s="311">
        <f t="shared" si="111"/>
        <v>6009.0631377777763</v>
      </c>
      <c r="HQ24" s="311">
        <f t="shared" si="82"/>
        <v>612.0204</v>
      </c>
      <c r="HR24" s="311">
        <f t="shared" si="83"/>
        <v>12136.444975999999</v>
      </c>
      <c r="HS24" s="311">
        <f t="shared" si="112"/>
        <v>9769.9660960000001</v>
      </c>
      <c r="HT24" s="311">
        <f t="shared" si="84"/>
        <v>2366.4788799999997</v>
      </c>
      <c r="HU24" s="311">
        <f t="shared" si="85"/>
        <v>5908.8872302222226</v>
      </c>
      <c r="HV24" s="311">
        <f t="shared" si="113"/>
        <v>4807.2505102222231</v>
      </c>
      <c r="HW24" s="311">
        <f t="shared" si="86"/>
        <v>1101.63672</v>
      </c>
      <c r="HY24" s="313">
        <f t="shared" si="87"/>
        <v>203000</v>
      </c>
      <c r="HZ24" s="313">
        <f t="shared" si="88"/>
        <v>30675.620000000006</v>
      </c>
      <c r="IA24" s="313">
        <f t="shared" si="89"/>
        <v>125931.62999999999</v>
      </c>
      <c r="IB24" s="313">
        <f t="shared" si="90"/>
        <v>46392.75</v>
      </c>
      <c r="IC24" s="313">
        <f t="shared" si="91"/>
        <v>0</v>
      </c>
      <c r="ID24" s="313">
        <f t="shared" si="92"/>
        <v>0</v>
      </c>
      <c r="IE24" s="313">
        <f t="shared" si="93"/>
        <v>88340.724024319701</v>
      </c>
      <c r="IF24" s="313">
        <f t="shared" si="94"/>
        <v>6300.8082755506102</v>
      </c>
      <c r="IG24" s="313">
        <f t="shared" si="95"/>
        <v>48906.800073143568</v>
      </c>
      <c r="IH24" s="313">
        <f t="shared" si="96"/>
        <v>33133.115675625522</v>
      </c>
      <c r="II24" s="313">
        <f t="shared" si="97"/>
        <v>0</v>
      </c>
      <c r="IJ24" s="313">
        <f t="shared" si="98"/>
        <v>0</v>
      </c>
      <c r="IK24" s="866">
        <v>4.22</v>
      </c>
      <c r="IL24" s="314" t="s">
        <v>2589</v>
      </c>
      <c r="IM24" s="299" t="s">
        <v>2907</v>
      </c>
      <c r="IN24" s="657"/>
      <c r="IO24" s="730">
        <v>9.8500000000000004E-2</v>
      </c>
      <c r="IP24" s="730">
        <v>0.5988</v>
      </c>
      <c r="IQ24" s="730">
        <v>0.30270000000000002</v>
      </c>
      <c r="IR24" s="730">
        <v>0</v>
      </c>
      <c r="IS24" s="730">
        <v>0</v>
      </c>
      <c r="IT24" s="730">
        <v>0.05</v>
      </c>
      <c r="IU24" s="730">
        <v>0.48970000000000002</v>
      </c>
      <c r="IV24" s="730">
        <v>0.46029999999999999</v>
      </c>
      <c r="IW24" s="730">
        <v>0</v>
      </c>
      <c r="IX24" s="730">
        <v>0</v>
      </c>
      <c r="IY24" s="730">
        <v>0.18010000000000001</v>
      </c>
      <c r="IZ24" s="730">
        <v>0.63070000000000004</v>
      </c>
      <c r="JA24" s="730">
        <v>0.18920000000000001</v>
      </c>
      <c r="JB24" s="730">
        <v>0</v>
      </c>
      <c r="JC24" s="730">
        <v>0</v>
      </c>
      <c r="JD24" s="730">
        <v>8.4199999999999997E-2</v>
      </c>
      <c r="JE24" s="730">
        <v>0.58389999999999997</v>
      </c>
      <c r="JF24" s="730">
        <v>0.33189999999999997</v>
      </c>
      <c r="JG24" s="730">
        <v>0</v>
      </c>
      <c r="JH24" s="730">
        <v>0</v>
      </c>
      <c r="JI24" s="730">
        <v>0.2132</v>
      </c>
      <c r="JJ24" s="730">
        <v>0.62770000000000004</v>
      </c>
      <c r="JK24" s="730">
        <v>0.15909999999999999</v>
      </c>
      <c r="JL24" s="730">
        <v>0</v>
      </c>
      <c r="JM24" s="730">
        <v>0</v>
      </c>
      <c r="JN24" s="730">
        <v>0.1043</v>
      </c>
      <c r="JO24" s="730">
        <v>0.6038</v>
      </c>
      <c r="JP24" s="730">
        <v>0.29189999999999999</v>
      </c>
      <c r="JQ24" s="730">
        <v>0</v>
      </c>
      <c r="JR24" s="730">
        <v>0</v>
      </c>
      <c r="JS24" s="730">
        <v>0.1278</v>
      </c>
      <c r="JT24" s="730">
        <v>0.61899999999999999</v>
      </c>
      <c r="JU24" s="730">
        <v>0.25319999999999998</v>
      </c>
      <c r="JV24" s="730">
        <v>0</v>
      </c>
      <c r="JW24" s="730">
        <v>0</v>
      </c>
      <c r="JX24" s="730">
        <v>5.4899999999999997E-2</v>
      </c>
      <c r="JY24" s="730">
        <v>0.53659999999999997</v>
      </c>
      <c r="JZ24" s="730">
        <v>0.40849999999999997</v>
      </c>
      <c r="KA24" s="730">
        <v>0</v>
      </c>
      <c r="KB24" s="730">
        <v>0</v>
      </c>
      <c r="KC24" s="657"/>
      <c r="KD24" s="314" t="s">
        <v>2590</v>
      </c>
      <c r="KE24" s="314" t="s">
        <v>2590</v>
      </c>
      <c r="KF24" s="866">
        <v>4.4000000000000004</v>
      </c>
      <c r="KG24" s="314" t="s">
        <v>2589</v>
      </c>
      <c r="KH24" s="315" t="s">
        <v>2908</v>
      </c>
      <c r="KI24" s="314" t="s">
        <v>2909</v>
      </c>
      <c r="KJ24" s="315" t="s">
        <v>2969</v>
      </c>
    </row>
    <row r="25" spans="1:296" ht="48" hidden="1" customHeight="1">
      <c r="A25" s="265">
        <f t="shared" si="99"/>
        <v>18</v>
      </c>
      <c r="B25" s="266" t="s">
        <v>2880</v>
      </c>
      <c r="C25" s="266" t="s">
        <v>2881</v>
      </c>
      <c r="D25" s="624" t="s">
        <v>2970</v>
      </c>
      <c r="E25" s="267" t="s">
        <v>2117</v>
      </c>
      <c r="F25" s="267" t="s">
        <v>2631</v>
      </c>
      <c r="G25" s="267" t="s">
        <v>300</v>
      </c>
      <c r="H25" s="267" t="s">
        <v>2109</v>
      </c>
      <c r="I25" s="268" t="s">
        <v>2971</v>
      </c>
      <c r="J25" s="268" t="s">
        <v>2972</v>
      </c>
      <c r="K25" s="269" t="s">
        <v>2097</v>
      </c>
      <c r="L25" s="269" t="s">
        <v>2109</v>
      </c>
      <c r="M25" s="269" t="s">
        <v>2603</v>
      </c>
      <c r="N25" s="269" t="s">
        <v>2973</v>
      </c>
      <c r="O25" s="267" t="s">
        <v>2616</v>
      </c>
      <c r="P25" s="268"/>
      <c r="Q25" s="270">
        <v>1</v>
      </c>
      <c r="R25" s="271">
        <v>2200</v>
      </c>
      <c r="S25" s="272">
        <v>180</v>
      </c>
      <c r="T25" s="272">
        <v>220</v>
      </c>
      <c r="U25" s="272">
        <v>260</v>
      </c>
      <c r="V25" s="272">
        <v>300</v>
      </c>
      <c r="W25" s="272">
        <v>305</v>
      </c>
      <c r="X25" s="272">
        <v>310</v>
      </c>
      <c r="Y25" s="272">
        <v>315</v>
      </c>
      <c r="Z25" s="272">
        <v>320</v>
      </c>
      <c r="AA25" s="272">
        <v>315</v>
      </c>
      <c r="AB25" s="272">
        <v>318</v>
      </c>
      <c r="AC25" s="272">
        <v>320</v>
      </c>
      <c r="AD25" s="272">
        <v>322</v>
      </c>
      <c r="AE25" s="272">
        <v>320</v>
      </c>
      <c r="AF25" s="272">
        <v>320</v>
      </c>
      <c r="AG25" s="272">
        <v>323</v>
      </c>
      <c r="AH25" s="272">
        <v>326</v>
      </c>
      <c r="AI25" s="272">
        <v>329</v>
      </c>
      <c r="AJ25" s="272">
        <v>332</v>
      </c>
      <c r="AK25" s="272">
        <v>335</v>
      </c>
      <c r="AL25" s="268" t="s">
        <v>2124</v>
      </c>
      <c r="AM25" s="268" t="s">
        <v>2954</v>
      </c>
      <c r="AN25" s="268"/>
      <c r="AO25" s="657"/>
      <c r="AP25" s="271">
        <v>180</v>
      </c>
      <c r="AQ25" s="280">
        <v>135</v>
      </c>
      <c r="AR25" s="280">
        <v>30</v>
      </c>
      <c r="AS25" s="280">
        <v>15</v>
      </c>
      <c r="AT25" s="657"/>
      <c r="AU25" s="301" t="s">
        <v>2974</v>
      </c>
      <c r="AV25" s="572" t="s">
        <v>2975</v>
      </c>
      <c r="AW25" s="645" t="s">
        <v>2976</v>
      </c>
      <c r="AX25" s="290" t="s">
        <v>2977</v>
      </c>
      <c r="AY25" s="657"/>
      <c r="AZ25" s="948">
        <v>12</v>
      </c>
      <c r="BA25" s="948">
        <v>26</v>
      </c>
      <c r="BB25" s="948">
        <v>1</v>
      </c>
      <c r="BC25" s="948">
        <v>8</v>
      </c>
      <c r="BD25" s="825">
        <f t="shared" si="4"/>
        <v>15040</v>
      </c>
      <c r="BE25" s="304">
        <f t="shared" si="5"/>
        <v>3840</v>
      </c>
      <c r="BF25" s="304">
        <f t="shared" si="6"/>
        <v>8320</v>
      </c>
      <c r="BG25" s="304">
        <f t="shared" si="7"/>
        <v>320</v>
      </c>
      <c r="BH25" s="304">
        <f t="shared" si="8"/>
        <v>2560</v>
      </c>
      <c r="BI25" s="825">
        <f t="shared" si="9"/>
        <v>15745</v>
      </c>
      <c r="BJ25" s="304">
        <f t="shared" si="10"/>
        <v>4020</v>
      </c>
      <c r="BK25" s="304">
        <f t="shared" si="11"/>
        <v>8710</v>
      </c>
      <c r="BL25" s="304">
        <f t="shared" si="12"/>
        <v>335</v>
      </c>
      <c r="BM25" s="304">
        <f t="shared" si="13"/>
        <v>2680</v>
      </c>
      <c r="BN25" s="657"/>
      <c r="BO25" s="284">
        <v>0.1</v>
      </c>
      <c r="BP25" s="284">
        <v>0.76</v>
      </c>
      <c r="BQ25" s="284">
        <v>0.08</v>
      </c>
      <c r="BR25" s="710">
        <v>0.06</v>
      </c>
      <c r="BS25" s="707">
        <v>0.08</v>
      </c>
      <c r="BT25" s="284">
        <v>0.76</v>
      </c>
      <c r="BU25" s="284">
        <v>0.1</v>
      </c>
      <c r="BV25" s="710">
        <v>0.06</v>
      </c>
      <c r="BW25" s="714">
        <v>0.15</v>
      </c>
      <c r="BX25" s="285">
        <v>0.8</v>
      </c>
      <c r="BY25" s="717">
        <v>0.05</v>
      </c>
      <c r="BZ25" s="714">
        <v>0.12</v>
      </c>
      <c r="CA25" s="285">
        <v>0.82</v>
      </c>
      <c r="CB25" s="717">
        <v>0.06</v>
      </c>
      <c r="CC25" s="284">
        <v>0.05</v>
      </c>
      <c r="CD25" s="284">
        <v>0.55000000000000004</v>
      </c>
      <c r="CE25" s="284">
        <v>0.1</v>
      </c>
      <c r="CF25" s="710">
        <v>0.3</v>
      </c>
      <c r="CG25" s="707">
        <v>0.04</v>
      </c>
      <c r="CH25" s="284">
        <v>0.55000000000000004</v>
      </c>
      <c r="CI25" s="284">
        <v>0.12</v>
      </c>
      <c r="CJ25" s="710">
        <v>0.28999999999999998</v>
      </c>
      <c r="CK25" s="720">
        <v>0.25</v>
      </c>
      <c r="CL25" s="286">
        <v>0.55000000000000004</v>
      </c>
      <c r="CM25" s="718">
        <v>0.2</v>
      </c>
      <c r="CN25" s="720">
        <v>0.15</v>
      </c>
      <c r="CO25" s="286">
        <v>0.57999999999999996</v>
      </c>
      <c r="CP25" s="718">
        <v>0.27</v>
      </c>
      <c r="CQ25" s="657"/>
      <c r="CR25" s="807">
        <v>10</v>
      </c>
      <c r="CS25" s="808">
        <v>11</v>
      </c>
      <c r="CT25" s="808">
        <v>8</v>
      </c>
      <c r="CU25" s="809">
        <v>10</v>
      </c>
      <c r="CV25" s="807">
        <v>8</v>
      </c>
      <c r="CW25" s="808">
        <v>8</v>
      </c>
      <c r="CX25" s="809">
        <v>7</v>
      </c>
      <c r="CY25" s="807">
        <v>8</v>
      </c>
      <c r="CZ25" s="808">
        <v>10</v>
      </c>
      <c r="DA25" s="808">
        <v>7</v>
      </c>
      <c r="DB25" s="809">
        <v>9</v>
      </c>
      <c r="DC25" s="807">
        <v>10</v>
      </c>
      <c r="DD25" s="808">
        <v>11</v>
      </c>
      <c r="DE25" s="809">
        <v>8</v>
      </c>
      <c r="DF25" s="610" t="s">
        <v>2978</v>
      </c>
      <c r="DG25" s="657"/>
      <c r="DH25" s="288">
        <f t="shared" si="14"/>
        <v>384</v>
      </c>
      <c r="DI25" s="288">
        <f t="shared" si="15"/>
        <v>2918.4</v>
      </c>
      <c r="DJ25" s="288">
        <f t="shared" si="16"/>
        <v>307.2</v>
      </c>
      <c r="DK25" s="288">
        <f t="shared" si="17"/>
        <v>230.39999999999998</v>
      </c>
      <c r="DL25" s="560" t="s">
        <v>2979</v>
      </c>
      <c r="DM25" s="288">
        <f t="shared" si="18"/>
        <v>321.60000000000002</v>
      </c>
      <c r="DN25" s="288">
        <f t="shared" si="19"/>
        <v>3055.2</v>
      </c>
      <c r="DO25" s="288">
        <f t="shared" si="20"/>
        <v>402</v>
      </c>
      <c r="DP25" s="288">
        <f t="shared" si="21"/>
        <v>241.2</v>
      </c>
      <c r="DQ25" s="561" t="s">
        <v>2644</v>
      </c>
      <c r="DR25" s="657"/>
      <c r="DS25" s="288">
        <f t="shared" si="22"/>
        <v>1248</v>
      </c>
      <c r="DT25" s="288">
        <f t="shared" si="23"/>
        <v>6656</v>
      </c>
      <c r="DU25" s="288">
        <f t="shared" si="24"/>
        <v>416</v>
      </c>
      <c r="DV25" s="561" t="s">
        <v>2980</v>
      </c>
      <c r="DW25" s="288">
        <f t="shared" si="25"/>
        <v>1045.2</v>
      </c>
      <c r="DX25" s="288">
        <f t="shared" si="26"/>
        <v>7142.2</v>
      </c>
      <c r="DY25" s="288">
        <f t="shared" si="27"/>
        <v>522.6</v>
      </c>
      <c r="DZ25" s="561" t="s">
        <v>2981</v>
      </c>
      <c r="EA25" s="657"/>
      <c r="EB25" s="288">
        <f t="shared" si="28"/>
        <v>16</v>
      </c>
      <c r="EC25" s="288">
        <f t="shared" si="29"/>
        <v>176</v>
      </c>
      <c r="ED25" s="288">
        <f t="shared" si="30"/>
        <v>32</v>
      </c>
      <c r="EE25" s="288">
        <f t="shared" si="31"/>
        <v>96</v>
      </c>
      <c r="EF25" s="561" t="s">
        <v>2982</v>
      </c>
      <c r="EG25" s="288">
        <f t="shared" si="32"/>
        <v>13.4</v>
      </c>
      <c r="EH25" s="288">
        <f t="shared" si="33"/>
        <v>184.25000000000003</v>
      </c>
      <c r="EI25" s="288">
        <f t="shared" si="34"/>
        <v>40.199999999999996</v>
      </c>
      <c r="EJ25" s="288">
        <f t="shared" si="35"/>
        <v>97.149999999999991</v>
      </c>
      <c r="EK25" s="561" t="s">
        <v>2983</v>
      </c>
      <c r="EL25" s="657"/>
      <c r="EM25" s="288">
        <f t="shared" si="36"/>
        <v>640</v>
      </c>
      <c r="EN25" s="291">
        <f t="shared" si="37"/>
        <v>1408</v>
      </c>
      <c r="EO25" s="291">
        <f t="shared" si="38"/>
        <v>512</v>
      </c>
      <c r="EP25" s="561" t="s">
        <v>2984</v>
      </c>
      <c r="EQ25" s="288">
        <f t="shared" si="39"/>
        <v>402</v>
      </c>
      <c r="ER25" s="291">
        <f t="shared" si="40"/>
        <v>1554.3999999999999</v>
      </c>
      <c r="ES25" s="291">
        <f t="shared" si="41"/>
        <v>723.6</v>
      </c>
      <c r="ET25" s="561" t="s">
        <v>2985</v>
      </c>
      <c r="EU25" s="657"/>
      <c r="EV25" s="740">
        <f t="shared" si="42"/>
        <v>0.78930636636820151</v>
      </c>
      <c r="EW25" s="740">
        <f t="shared" si="43"/>
        <v>0.21069363363179849</v>
      </c>
      <c r="EX25" s="563">
        <f t="shared" si="44"/>
        <v>8735.5273544545453</v>
      </c>
      <c r="EY25" s="563">
        <f t="shared" si="45"/>
        <v>6895.0073544545457</v>
      </c>
      <c r="EZ25" s="563">
        <f t="shared" si="46"/>
        <v>1840.52</v>
      </c>
      <c r="FA25" s="563">
        <f t="shared" si="47"/>
        <v>1928.3010894545457</v>
      </c>
      <c r="FB25" s="563">
        <f t="shared" si="48"/>
        <v>1458.3810894545456</v>
      </c>
      <c r="FC25" s="563">
        <f t="shared" si="49"/>
        <v>469.92</v>
      </c>
      <c r="FD25" s="563">
        <f t="shared" si="50"/>
        <v>5287.1937950000001</v>
      </c>
      <c r="FE25" s="563">
        <f t="shared" si="51"/>
        <v>4269.0337950000003</v>
      </c>
      <c r="FF25" s="563">
        <f t="shared" si="52"/>
        <v>1018.16</v>
      </c>
      <c r="FG25" s="563">
        <f t="shared" si="53"/>
        <v>179.88480999999999</v>
      </c>
      <c r="FH25" s="563">
        <f t="shared" si="54"/>
        <v>140.72480999999999</v>
      </c>
      <c r="FI25" s="563">
        <f t="shared" si="55"/>
        <v>39.159999999999997</v>
      </c>
      <c r="FJ25" s="563">
        <f t="shared" si="56"/>
        <v>1340.1476599999999</v>
      </c>
      <c r="FK25" s="563">
        <f t="shared" si="57"/>
        <v>1026.8676599999999</v>
      </c>
      <c r="FL25" s="563">
        <f t="shared" si="58"/>
        <v>313.27999999999997</v>
      </c>
      <c r="FM25" s="529"/>
      <c r="FN25" s="564" t="s">
        <v>2649</v>
      </c>
      <c r="FO25" s="740">
        <v>7.5499999999999998E-2</v>
      </c>
      <c r="FP25" s="741">
        <v>0.82110000000000005</v>
      </c>
      <c r="FQ25" s="565" t="s">
        <v>2986</v>
      </c>
      <c r="FR25" s="529"/>
      <c r="FS25" s="867">
        <v>3.86</v>
      </c>
      <c r="FT25" s="566">
        <f>RANK($FS25,$FS$8:$FS$154,0)+COUNTIF($FS$8:$FS25,$FS25)-1</f>
        <v>4</v>
      </c>
      <c r="FU25" s="867">
        <v>4.7</v>
      </c>
      <c r="FV25" s="566">
        <f>RANK($FU25,$FU$8:$FU$154,0)+COUNTIF($FU$8:$FU25,$FU25)-1</f>
        <v>1</v>
      </c>
      <c r="FW25" s="867">
        <v>2.36</v>
      </c>
      <c r="FX25" s="566">
        <f>RANK($FW25,$FW$8:$FW$154,0)+COUNTIF($FW$8:$FW25,$FW25)-1</f>
        <v>53</v>
      </c>
      <c r="FY25" s="529"/>
      <c r="FZ25" s="567" t="s">
        <v>2987</v>
      </c>
      <c r="GA25" s="567" t="s">
        <v>2988</v>
      </c>
      <c r="GB25" s="567" t="s">
        <v>2653</v>
      </c>
      <c r="GC25" s="567" t="s">
        <v>2654</v>
      </c>
      <c r="GD25" s="567" t="s">
        <v>2655</v>
      </c>
      <c r="GE25" s="567" t="s">
        <v>2656</v>
      </c>
      <c r="GF25" s="567" t="str">
        <f t="shared" si="115"/>
        <v>https://www.agencedusport.fr/plan-5000-equipements-generation-2024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25" s="529"/>
      <c r="GH25" s="563">
        <f t="shared" si="59"/>
        <v>191.79618000000002</v>
      </c>
      <c r="GI25" s="563">
        <f t="shared" si="100"/>
        <v>154.20258000000001</v>
      </c>
      <c r="GJ25" s="563">
        <f t="shared" si="60"/>
        <v>37.593600000000002</v>
      </c>
      <c r="GK25" s="563">
        <f t="shared" si="61"/>
        <v>1412.3273454545456</v>
      </c>
      <c r="GL25" s="563">
        <f t="shared" si="101"/>
        <v>1055.1881454545455</v>
      </c>
      <c r="GM25" s="563">
        <f t="shared" si="62"/>
        <v>357.13920000000002</v>
      </c>
      <c r="GN25" s="563">
        <f t="shared" si="63"/>
        <v>203.46081600000002</v>
      </c>
      <c r="GO25" s="563">
        <f t="shared" si="102"/>
        <v>156.468816</v>
      </c>
      <c r="GP25" s="563">
        <f t="shared" si="64"/>
        <v>46.992000000000004</v>
      </c>
      <c r="GQ25" s="563">
        <f t="shared" si="65"/>
        <v>120.716748</v>
      </c>
      <c r="GR25" s="563">
        <f t="shared" si="103"/>
        <v>92.521547999999996</v>
      </c>
      <c r="GS25" s="563">
        <f t="shared" si="66"/>
        <v>28.1952</v>
      </c>
      <c r="GT25" s="563">
        <f t="shared" si="67"/>
        <v>757.83376500000008</v>
      </c>
      <c r="GU25" s="563">
        <f t="shared" si="104"/>
        <v>635.65456500000005</v>
      </c>
      <c r="GV25" s="563">
        <f t="shared" si="68"/>
        <v>122.17919999999999</v>
      </c>
      <c r="GW25" s="563">
        <f t="shared" si="69"/>
        <v>4225.0488800000003</v>
      </c>
      <c r="GX25" s="563">
        <f t="shared" si="105"/>
        <v>3390.1576800000003</v>
      </c>
      <c r="GY25" s="563">
        <f t="shared" si="70"/>
        <v>834.89119999999991</v>
      </c>
      <c r="GZ25" s="563">
        <f t="shared" si="71"/>
        <v>304.31115000000005</v>
      </c>
      <c r="HA25" s="563">
        <f t="shared" si="106"/>
        <v>243.22155000000004</v>
      </c>
      <c r="HB25" s="563">
        <f t="shared" si="72"/>
        <v>61.089599999999997</v>
      </c>
      <c r="HC25" s="563">
        <f t="shared" si="73"/>
        <v>9.7158175</v>
      </c>
      <c r="HD25" s="563">
        <f t="shared" si="107"/>
        <v>8.1494175000000002</v>
      </c>
      <c r="HE25" s="563">
        <f t="shared" si="74"/>
        <v>1.5663999999999998</v>
      </c>
      <c r="HF25" s="563">
        <f t="shared" si="75"/>
        <v>92.214182499999993</v>
      </c>
      <c r="HG25" s="563">
        <f t="shared" si="108"/>
        <v>70.676182499999996</v>
      </c>
      <c r="HH25" s="563">
        <f t="shared" si="76"/>
        <v>21.538</v>
      </c>
      <c r="HI25" s="563">
        <f t="shared" si="77"/>
        <v>23.408549999999998</v>
      </c>
      <c r="HJ25" s="563">
        <f t="shared" si="109"/>
        <v>18.709350000000001</v>
      </c>
      <c r="HK25" s="563">
        <f t="shared" si="78"/>
        <v>4.6991999999999994</v>
      </c>
      <c r="HL25" s="563">
        <f t="shared" si="79"/>
        <v>54.546260000000011</v>
      </c>
      <c r="HM25" s="563">
        <f t="shared" si="110"/>
        <v>43.18986000000001</v>
      </c>
      <c r="HN25" s="563">
        <f t="shared" si="80"/>
        <v>11.356399999999999</v>
      </c>
      <c r="HO25" s="563">
        <f t="shared" si="81"/>
        <v>303.99630000000002</v>
      </c>
      <c r="HP25" s="563">
        <f t="shared" si="111"/>
        <v>257.0043</v>
      </c>
      <c r="HQ25" s="563">
        <f t="shared" si="82"/>
        <v>46.991999999999997</v>
      </c>
      <c r="HR25" s="563">
        <f t="shared" si="83"/>
        <v>690.78440000000001</v>
      </c>
      <c r="HS25" s="563">
        <f t="shared" si="112"/>
        <v>509.08199999999999</v>
      </c>
      <c r="HT25" s="563">
        <f t="shared" si="84"/>
        <v>181.70239999999998</v>
      </c>
      <c r="HU25" s="563">
        <f t="shared" si="85"/>
        <v>345.36696000000001</v>
      </c>
      <c r="HV25" s="563">
        <f t="shared" si="113"/>
        <v>260.78136000000001</v>
      </c>
      <c r="HW25" s="563">
        <f t="shared" si="86"/>
        <v>84.585599999999999</v>
      </c>
      <c r="HX25" s="544"/>
      <c r="HY25" s="568">
        <f t="shared" si="87"/>
        <v>15040.256000000001</v>
      </c>
      <c r="HZ25" s="568">
        <f t="shared" si="88"/>
        <v>613.63199999999995</v>
      </c>
      <c r="IA25" s="568">
        <f t="shared" si="89"/>
        <v>5937.152</v>
      </c>
      <c r="IB25" s="568">
        <f t="shared" si="90"/>
        <v>6829.5039999999999</v>
      </c>
      <c r="IC25" s="568">
        <f t="shared" si="91"/>
        <v>1659.9680000000001</v>
      </c>
      <c r="ID25" s="568">
        <f t="shared" si="92"/>
        <v>0</v>
      </c>
      <c r="IE25" s="568">
        <f t="shared" si="93"/>
        <v>6895.0073544545457</v>
      </c>
      <c r="IF25" s="568">
        <f t="shared" si="94"/>
        <v>113.74222747671817</v>
      </c>
      <c r="IG25" s="568">
        <f t="shared" si="95"/>
        <v>2501.0649867471275</v>
      </c>
      <c r="IH25" s="568">
        <f t="shared" si="96"/>
        <v>3304.6613961205089</v>
      </c>
      <c r="II25" s="568">
        <f t="shared" si="97"/>
        <v>940.9610205719182</v>
      </c>
      <c r="IJ25" s="568">
        <f t="shared" si="98"/>
        <v>34.577723538272728</v>
      </c>
      <c r="IK25" s="868">
        <v>4.1900000000000004</v>
      </c>
      <c r="IL25" s="569" t="s">
        <v>2589</v>
      </c>
      <c r="IM25" s="570" t="s">
        <v>2989</v>
      </c>
      <c r="IN25" s="529"/>
      <c r="IO25" s="742">
        <v>0.05</v>
      </c>
      <c r="IP25" s="742">
        <v>0.42</v>
      </c>
      <c r="IQ25" s="742">
        <v>0.44</v>
      </c>
      <c r="IR25" s="742">
        <v>0.09</v>
      </c>
      <c r="IS25" s="742">
        <v>0</v>
      </c>
      <c r="IT25" s="742">
        <v>2.7099999999999999E-2</v>
      </c>
      <c r="IU25" s="742">
        <v>0.3921</v>
      </c>
      <c r="IV25" s="742">
        <v>0.46289999999999998</v>
      </c>
      <c r="IW25" s="742">
        <v>0.1129</v>
      </c>
      <c r="IX25" s="742">
        <v>5.0000000000000001E-3</v>
      </c>
      <c r="IY25" s="742">
        <v>3.0599999999999999E-2</v>
      </c>
      <c r="IZ25" s="742">
        <v>0.36449999999999999</v>
      </c>
      <c r="JA25" s="742">
        <v>0.47170000000000001</v>
      </c>
      <c r="JB25" s="742">
        <v>0.13320000000000001</v>
      </c>
      <c r="JC25" s="742">
        <v>0</v>
      </c>
      <c r="JD25" s="742">
        <v>7.7000000000000002E-3</v>
      </c>
      <c r="JE25" s="742">
        <v>0.33660000000000001</v>
      </c>
      <c r="JF25" s="742">
        <v>0.49459999999999998</v>
      </c>
      <c r="JG25" s="742">
        <v>0.15609999999999999</v>
      </c>
      <c r="JH25" s="742">
        <v>5.0000000000000001E-3</v>
      </c>
      <c r="JI25" s="742">
        <v>8.7599999999999997E-2</v>
      </c>
      <c r="JJ25" s="742">
        <v>0.55179999999999996</v>
      </c>
      <c r="JK25" s="742">
        <v>0.32119999999999999</v>
      </c>
      <c r="JL25" s="742">
        <v>3.9399999999999998E-2</v>
      </c>
      <c r="JM25" s="742">
        <v>0</v>
      </c>
      <c r="JN25" s="742">
        <v>6.4699999999999994E-2</v>
      </c>
      <c r="JO25" s="742">
        <v>0.52390000000000003</v>
      </c>
      <c r="JP25" s="742">
        <v>0.34410000000000002</v>
      </c>
      <c r="JQ25" s="742">
        <v>6.2300000000000001E-2</v>
      </c>
      <c r="JR25" s="742">
        <v>5.0000000000000001E-3</v>
      </c>
      <c r="JS25" s="742">
        <v>5.4300000000000001E-2</v>
      </c>
      <c r="JT25" s="742">
        <v>0.43559999999999999</v>
      </c>
      <c r="JU25" s="742">
        <v>0.43459999999999999</v>
      </c>
      <c r="JV25" s="742">
        <v>7.5600000000000001E-2</v>
      </c>
      <c r="JW25" s="742">
        <v>0</v>
      </c>
      <c r="JX25" s="742">
        <v>3.1399999999999997E-2</v>
      </c>
      <c r="JY25" s="742">
        <v>0.40760000000000002</v>
      </c>
      <c r="JZ25" s="742">
        <v>0.45739999999999997</v>
      </c>
      <c r="KA25" s="742">
        <v>9.8500000000000004E-2</v>
      </c>
      <c r="KB25" s="742">
        <v>5.1000000000000004E-3</v>
      </c>
      <c r="KC25" s="657"/>
      <c r="KD25" s="832" t="s">
        <v>2590</v>
      </c>
      <c r="KE25" s="832" t="s">
        <v>2590</v>
      </c>
      <c r="KF25" s="869">
        <v>4.1399999999999997</v>
      </c>
      <c r="KG25" s="832" t="s">
        <v>2589</v>
      </c>
      <c r="KH25" s="833" t="s">
        <v>2990</v>
      </c>
      <c r="KI25" s="832" t="s">
        <v>2991</v>
      </c>
      <c r="KJ25" s="833" t="s">
        <v>2992</v>
      </c>
    </row>
    <row r="26" spans="1:296" ht="48" hidden="1" customHeight="1">
      <c r="A26" s="273">
        <f t="shared" si="99"/>
        <v>19</v>
      </c>
      <c r="B26" s="274" t="s">
        <v>2880</v>
      </c>
      <c r="C26" s="274" t="s">
        <v>2881</v>
      </c>
      <c r="D26" s="274" t="s">
        <v>2993</v>
      </c>
      <c r="E26" s="275" t="s">
        <v>2117</v>
      </c>
      <c r="F26" s="275" t="s">
        <v>2631</v>
      </c>
      <c r="G26" s="275" t="s">
        <v>300</v>
      </c>
      <c r="H26" s="275" t="s">
        <v>2109</v>
      </c>
      <c r="I26" s="276" t="s">
        <v>2994</v>
      </c>
      <c r="J26" s="276" t="s">
        <v>2995</v>
      </c>
      <c r="K26" s="277" t="s">
        <v>2097</v>
      </c>
      <c r="L26" s="277" t="s">
        <v>2109</v>
      </c>
      <c r="M26" s="277" t="s">
        <v>2603</v>
      </c>
      <c r="N26" s="277" t="s">
        <v>2996</v>
      </c>
      <c r="O26" s="275" t="s">
        <v>2616</v>
      </c>
      <c r="P26" s="276"/>
      <c r="Q26" s="270">
        <v>1</v>
      </c>
      <c r="R26" s="278">
        <v>4500</v>
      </c>
      <c r="S26" s="279">
        <v>105</v>
      </c>
      <c r="T26" s="279">
        <v>105</v>
      </c>
      <c r="U26" s="279">
        <v>104</v>
      </c>
      <c r="V26" s="279">
        <v>102</v>
      </c>
      <c r="W26" s="279">
        <v>102</v>
      </c>
      <c r="X26" s="279">
        <v>101</v>
      </c>
      <c r="Y26" s="279">
        <v>101</v>
      </c>
      <c r="Z26" s="279">
        <v>100</v>
      </c>
      <c r="AA26" s="279">
        <v>100</v>
      </c>
      <c r="AB26" s="279">
        <v>100</v>
      </c>
      <c r="AC26" s="279">
        <v>100</v>
      </c>
      <c r="AD26" s="279">
        <v>100</v>
      </c>
      <c r="AE26" s="279">
        <v>100</v>
      </c>
      <c r="AF26" s="279">
        <v>100</v>
      </c>
      <c r="AG26" s="279">
        <v>100</v>
      </c>
      <c r="AH26" s="279">
        <v>100</v>
      </c>
      <c r="AI26" s="279">
        <v>100</v>
      </c>
      <c r="AJ26" s="279">
        <v>100</v>
      </c>
      <c r="AK26" s="279">
        <v>100</v>
      </c>
      <c r="AL26" s="276" t="s">
        <v>2124</v>
      </c>
      <c r="AM26" s="276" t="s">
        <v>2954</v>
      </c>
      <c r="AN26" s="276"/>
      <c r="AO26" s="657"/>
      <c r="AP26" s="278">
        <v>250</v>
      </c>
      <c r="AQ26" s="278">
        <v>180</v>
      </c>
      <c r="AR26" s="278">
        <v>50</v>
      </c>
      <c r="AS26" s="278">
        <v>20</v>
      </c>
      <c r="AT26" s="657"/>
      <c r="AU26" s="281" t="s">
        <v>2997</v>
      </c>
      <c r="AV26" s="296" t="s">
        <v>2998</v>
      </c>
      <c r="AW26" s="296" t="s">
        <v>2889</v>
      </c>
      <c r="AX26" s="276" t="s">
        <v>2977</v>
      </c>
      <c r="AY26" s="657"/>
      <c r="AZ26" s="947">
        <v>18</v>
      </c>
      <c r="BA26" s="947">
        <v>38</v>
      </c>
      <c r="BB26" s="947">
        <v>2</v>
      </c>
      <c r="BC26" s="947">
        <v>12</v>
      </c>
      <c r="BD26" s="826">
        <f t="shared" si="4"/>
        <v>7000</v>
      </c>
      <c r="BE26" s="283">
        <f t="shared" si="5"/>
        <v>1800</v>
      </c>
      <c r="BF26" s="283">
        <f t="shared" si="6"/>
        <v>3800</v>
      </c>
      <c r="BG26" s="283">
        <f t="shared" si="7"/>
        <v>200</v>
      </c>
      <c r="BH26" s="283">
        <f t="shared" si="8"/>
        <v>1200</v>
      </c>
      <c r="BI26" s="826">
        <f t="shared" si="9"/>
        <v>7000</v>
      </c>
      <c r="BJ26" s="283">
        <f t="shared" si="10"/>
        <v>1800</v>
      </c>
      <c r="BK26" s="283">
        <f t="shared" si="11"/>
        <v>3800</v>
      </c>
      <c r="BL26" s="283">
        <f t="shared" si="12"/>
        <v>200</v>
      </c>
      <c r="BM26" s="283">
        <f t="shared" si="13"/>
        <v>1200</v>
      </c>
      <c r="BN26" s="657"/>
      <c r="BO26" s="305">
        <v>0.1</v>
      </c>
      <c r="BP26" s="305">
        <v>0.76</v>
      </c>
      <c r="BQ26" s="305">
        <v>0.08</v>
      </c>
      <c r="BR26" s="581">
        <v>0.06</v>
      </c>
      <c r="BS26" s="706">
        <v>0.08</v>
      </c>
      <c r="BT26" s="305">
        <v>0.76</v>
      </c>
      <c r="BU26" s="305">
        <v>0.1</v>
      </c>
      <c r="BV26" s="581">
        <v>0.06</v>
      </c>
      <c r="BW26" s="713">
        <v>0.15</v>
      </c>
      <c r="BX26" s="306">
        <v>0.8</v>
      </c>
      <c r="BY26" s="590">
        <v>0.05</v>
      </c>
      <c r="BZ26" s="713">
        <v>0.12</v>
      </c>
      <c r="CA26" s="306">
        <v>0.82</v>
      </c>
      <c r="CB26" s="590">
        <v>0.06</v>
      </c>
      <c r="CC26" s="706">
        <v>0.05</v>
      </c>
      <c r="CD26" s="305">
        <v>0.55000000000000004</v>
      </c>
      <c r="CE26" s="305">
        <v>0.1</v>
      </c>
      <c r="CF26" s="581">
        <v>0.3</v>
      </c>
      <c r="CG26" s="706">
        <v>0.04</v>
      </c>
      <c r="CH26" s="305">
        <v>0.55000000000000004</v>
      </c>
      <c r="CI26" s="305">
        <v>0.12</v>
      </c>
      <c r="CJ26" s="581">
        <v>0.28999999999999998</v>
      </c>
      <c r="CK26" s="719">
        <v>0.25</v>
      </c>
      <c r="CL26" s="307">
        <v>0.55000000000000004</v>
      </c>
      <c r="CM26" s="723">
        <v>0.2</v>
      </c>
      <c r="CN26" s="719">
        <v>0.15</v>
      </c>
      <c r="CO26" s="307">
        <v>0.57999999999999996</v>
      </c>
      <c r="CP26" s="723">
        <v>0.27</v>
      </c>
      <c r="CQ26" s="657"/>
      <c r="CR26" s="804">
        <v>10</v>
      </c>
      <c r="CS26" s="805">
        <v>11</v>
      </c>
      <c r="CT26" s="805">
        <v>8</v>
      </c>
      <c r="CU26" s="806">
        <v>10</v>
      </c>
      <c r="CV26" s="804">
        <v>8</v>
      </c>
      <c r="CW26" s="805">
        <v>8</v>
      </c>
      <c r="CX26" s="806">
        <v>7</v>
      </c>
      <c r="CY26" s="804">
        <v>8</v>
      </c>
      <c r="CZ26" s="805">
        <v>10</v>
      </c>
      <c r="DA26" s="805">
        <v>7</v>
      </c>
      <c r="DB26" s="806">
        <v>9</v>
      </c>
      <c r="DC26" s="804">
        <v>10</v>
      </c>
      <c r="DD26" s="805">
        <v>11</v>
      </c>
      <c r="DE26" s="806">
        <v>8</v>
      </c>
      <c r="DF26" s="609" t="s">
        <v>2999</v>
      </c>
      <c r="DG26" s="657"/>
      <c r="DH26" s="308">
        <f t="shared" si="14"/>
        <v>180</v>
      </c>
      <c r="DI26" s="308">
        <f t="shared" si="15"/>
        <v>1368</v>
      </c>
      <c r="DJ26" s="308">
        <f t="shared" si="16"/>
        <v>144</v>
      </c>
      <c r="DK26" s="308">
        <f t="shared" si="17"/>
        <v>108</v>
      </c>
      <c r="DL26" s="287" t="s">
        <v>3000</v>
      </c>
      <c r="DM26" s="308">
        <f t="shared" si="18"/>
        <v>144</v>
      </c>
      <c r="DN26" s="308">
        <f t="shared" si="19"/>
        <v>1368</v>
      </c>
      <c r="DO26" s="308">
        <f t="shared" si="20"/>
        <v>180</v>
      </c>
      <c r="DP26" s="308">
        <f t="shared" si="21"/>
        <v>108</v>
      </c>
      <c r="DQ26" s="289" t="s">
        <v>2644</v>
      </c>
      <c r="DR26" s="657"/>
      <c r="DS26" s="308">
        <f t="shared" si="22"/>
        <v>570</v>
      </c>
      <c r="DT26" s="308">
        <f t="shared" si="23"/>
        <v>3040</v>
      </c>
      <c r="DU26" s="308">
        <f t="shared" si="24"/>
        <v>190</v>
      </c>
      <c r="DV26" s="289" t="s">
        <v>3001</v>
      </c>
      <c r="DW26" s="308">
        <f t="shared" si="25"/>
        <v>456</v>
      </c>
      <c r="DX26" s="308">
        <f t="shared" si="26"/>
        <v>3116</v>
      </c>
      <c r="DY26" s="308">
        <f t="shared" si="27"/>
        <v>228</v>
      </c>
      <c r="DZ26" s="289" t="s">
        <v>2981</v>
      </c>
      <c r="EA26" s="657"/>
      <c r="EB26" s="308">
        <f t="shared" si="28"/>
        <v>10</v>
      </c>
      <c r="EC26" s="308">
        <f t="shared" si="29"/>
        <v>110.00000000000001</v>
      </c>
      <c r="ED26" s="308">
        <f t="shared" si="30"/>
        <v>20</v>
      </c>
      <c r="EE26" s="308">
        <f t="shared" si="31"/>
        <v>60</v>
      </c>
      <c r="EF26" s="289" t="s">
        <v>3002</v>
      </c>
      <c r="EG26" s="308">
        <f t="shared" si="32"/>
        <v>8</v>
      </c>
      <c r="EH26" s="308">
        <f t="shared" si="33"/>
        <v>110.00000000000001</v>
      </c>
      <c r="EI26" s="308">
        <f t="shared" si="34"/>
        <v>24</v>
      </c>
      <c r="EJ26" s="308">
        <f t="shared" si="35"/>
        <v>57.999999999999993</v>
      </c>
      <c r="EK26" s="309" t="s">
        <v>2983</v>
      </c>
      <c r="EL26" s="657"/>
      <c r="EM26" s="308">
        <f t="shared" si="36"/>
        <v>300</v>
      </c>
      <c r="EN26" s="310">
        <f t="shared" si="37"/>
        <v>660</v>
      </c>
      <c r="EO26" s="310">
        <f t="shared" si="38"/>
        <v>240</v>
      </c>
      <c r="EP26" s="289" t="s">
        <v>3003</v>
      </c>
      <c r="EQ26" s="308">
        <f t="shared" si="39"/>
        <v>180</v>
      </c>
      <c r="ER26" s="310">
        <f t="shared" si="40"/>
        <v>696</v>
      </c>
      <c r="ES26" s="310">
        <f t="shared" si="41"/>
        <v>324</v>
      </c>
      <c r="ET26" s="289" t="s">
        <v>2985</v>
      </c>
      <c r="EU26" s="657"/>
      <c r="EV26" s="728">
        <f t="shared" si="42"/>
        <v>0.86066074544215287</v>
      </c>
      <c r="EW26" s="728">
        <f t="shared" si="43"/>
        <v>0.13933925455784713</v>
      </c>
      <c r="EX26" s="311">
        <f t="shared" si="44"/>
        <v>3792.9010146999999</v>
      </c>
      <c r="EY26" s="311">
        <f t="shared" si="45"/>
        <v>3264.4010146999999</v>
      </c>
      <c r="EZ26" s="311">
        <f t="shared" si="46"/>
        <v>528.5</v>
      </c>
      <c r="FA26" s="311">
        <f t="shared" si="47"/>
        <v>845.83291320000012</v>
      </c>
      <c r="FB26" s="311">
        <f t="shared" si="48"/>
        <v>709.93291320000014</v>
      </c>
      <c r="FC26" s="311">
        <f t="shared" si="49"/>
        <v>135.9</v>
      </c>
      <c r="FD26" s="311">
        <f t="shared" si="50"/>
        <v>2254.64708875</v>
      </c>
      <c r="FE26" s="311">
        <f t="shared" si="51"/>
        <v>1967.7470887500001</v>
      </c>
      <c r="FF26" s="311">
        <f t="shared" si="52"/>
        <v>286.89999999999998</v>
      </c>
      <c r="FG26" s="311">
        <f t="shared" si="53"/>
        <v>104.97340274999999</v>
      </c>
      <c r="FH26" s="311">
        <f t="shared" si="54"/>
        <v>89.873402749999997</v>
      </c>
      <c r="FI26" s="311">
        <f t="shared" si="55"/>
        <v>15.1</v>
      </c>
      <c r="FJ26" s="311">
        <f t="shared" si="56"/>
        <v>587.44761000000005</v>
      </c>
      <c r="FK26" s="311">
        <f t="shared" si="57"/>
        <v>496.84761000000003</v>
      </c>
      <c r="FL26" s="311">
        <f t="shared" si="58"/>
        <v>90.6</v>
      </c>
      <c r="FM26" s="657"/>
      <c r="FN26" s="293" t="s">
        <v>2649</v>
      </c>
      <c r="FO26" s="728">
        <v>7.5499999999999998E-2</v>
      </c>
      <c r="FP26" s="729">
        <v>0.82110000000000005</v>
      </c>
      <c r="FQ26" s="294" t="s">
        <v>2986</v>
      </c>
      <c r="FR26" s="657"/>
      <c r="FS26" s="865">
        <v>3.86</v>
      </c>
      <c r="FT26" s="312">
        <f>RANK($FS26,$FS$8:$FS$154,0)+COUNTIF($FS$8:$FS26,$FS26)-1</f>
        <v>5</v>
      </c>
      <c r="FU26" s="865">
        <v>4.7</v>
      </c>
      <c r="FV26" s="312">
        <f>RANK($FU26,$FU$8:$FU$154,0)+COUNTIF($FU$8:$FU26,$FU26)-1</f>
        <v>2</v>
      </c>
      <c r="FW26" s="865">
        <v>2.36</v>
      </c>
      <c r="FX26" s="312">
        <f>RANK($FW26,$FW$8:$FW$154,0)+COUNTIF($FW$8:$FW26,$FW26)-1</f>
        <v>54</v>
      </c>
      <c r="FY26" s="657"/>
      <c r="FZ26" s="296" t="s">
        <v>2987</v>
      </c>
      <c r="GA26" s="296" t="s">
        <v>3004</v>
      </c>
      <c r="GB26" s="296" t="s">
        <v>2653</v>
      </c>
      <c r="GC26" s="296" t="s">
        <v>2654</v>
      </c>
      <c r="GD26" s="296" t="s">
        <v>2655</v>
      </c>
      <c r="GE26" s="296" t="s">
        <v>2656</v>
      </c>
      <c r="GF26" s="296" t="str">
        <f t="shared" si="115"/>
        <v>https://www.agencedusport.fr/plan-5000-equipements-generation-2024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26" s="657"/>
      <c r="GH26" s="311">
        <f t="shared" si="59"/>
        <v>85.362191999999993</v>
      </c>
      <c r="GI26" s="311">
        <f t="shared" si="100"/>
        <v>74.490191999999993</v>
      </c>
      <c r="GJ26" s="311">
        <f t="shared" si="60"/>
        <v>10.872</v>
      </c>
      <c r="GK26" s="311">
        <f t="shared" si="61"/>
        <v>619.98580800000013</v>
      </c>
      <c r="GL26" s="311">
        <f t="shared" si="101"/>
        <v>516.70180800000014</v>
      </c>
      <c r="GM26" s="311">
        <f t="shared" si="62"/>
        <v>103.28400000000001</v>
      </c>
      <c r="GN26" s="311">
        <f t="shared" si="63"/>
        <v>87.636798000000013</v>
      </c>
      <c r="GO26" s="311">
        <f t="shared" si="102"/>
        <v>74.04679800000001</v>
      </c>
      <c r="GP26" s="311">
        <f t="shared" si="64"/>
        <v>13.590000000000002</v>
      </c>
      <c r="GQ26" s="311">
        <f t="shared" si="65"/>
        <v>52.848115200000009</v>
      </c>
      <c r="GR26" s="311">
        <f t="shared" si="103"/>
        <v>44.694115200000006</v>
      </c>
      <c r="GS26" s="311">
        <f t="shared" si="66"/>
        <v>8.1539999999999999</v>
      </c>
      <c r="GT26" s="311">
        <f t="shared" si="67"/>
        <v>327.52990875000006</v>
      </c>
      <c r="GU26" s="311">
        <f t="shared" si="104"/>
        <v>293.10190875000006</v>
      </c>
      <c r="GV26" s="311">
        <f t="shared" si="68"/>
        <v>34.427999999999997</v>
      </c>
      <c r="GW26" s="311">
        <f t="shared" si="69"/>
        <v>1798.4681800000001</v>
      </c>
      <c r="GX26" s="311">
        <f t="shared" si="105"/>
        <v>1563.21018</v>
      </c>
      <c r="GY26" s="311">
        <f t="shared" si="70"/>
        <v>235.25799999999998</v>
      </c>
      <c r="GZ26" s="311">
        <f t="shared" si="71"/>
        <v>128.649</v>
      </c>
      <c r="HA26" s="311">
        <f t="shared" si="106"/>
        <v>111.43500000000002</v>
      </c>
      <c r="HB26" s="311">
        <f t="shared" si="72"/>
        <v>17.213999999999999</v>
      </c>
      <c r="HC26" s="311">
        <f t="shared" si="73"/>
        <v>5.7461387500000001</v>
      </c>
      <c r="HD26" s="311">
        <f t="shared" si="107"/>
        <v>5.14213875</v>
      </c>
      <c r="HE26" s="311">
        <f t="shared" si="74"/>
        <v>0.60399999999999998</v>
      </c>
      <c r="HF26" s="311">
        <f t="shared" si="75"/>
        <v>53.826784000000004</v>
      </c>
      <c r="HG26" s="311">
        <f t="shared" si="108"/>
        <v>45.521784000000004</v>
      </c>
      <c r="HH26" s="311">
        <f t="shared" si="76"/>
        <v>8.3049999999999997</v>
      </c>
      <c r="HI26" s="311">
        <f t="shared" si="77"/>
        <v>13.542</v>
      </c>
      <c r="HJ26" s="311">
        <f t="shared" si="109"/>
        <v>11.73</v>
      </c>
      <c r="HK26" s="311">
        <f t="shared" si="78"/>
        <v>1.8119999999999998</v>
      </c>
      <c r="HL26" s="311">
        <f t="shared" si="79"/>
        <v>31.85848</v>
      </c>
      <c r="HM26" s="311">
        <f t="shared" si="110"/>
        <v>27.479480000000002</v>
      </c>
      <c r="HN26" s="311">
        <f t="shared" si="80"/>
        <v>4.3789999999999996</v>
      </c>
      <c r="HO26" s="311">
        <f t="shared" si="81"/>
        <v>137.74032</v>
      </c>
      <c r="HP26" s="311">
        <f t="shared" si="111"/>
        <v>124.15032000000001</v>
      </c>
      <c r="HQ26" s="311">
        <f t="shared" si="82"/>
        <v>13.589999999999998</v>
      </c>
      <c r="HR26" s="311">
        <f t="shared" si="83"/>
        <v>301.83395999999999</v>
      </c>
      <c r="HS26" s="311">
        <f t="shared" si="112"/>
        <v>249.28596000000002</v>
      </c>
      <c r="HT26" s="311">
        <f t="shared" si="84"/>
        <v>52.547999999999995</v>
      </c>
      <c r="HU26" s="311">
        <f t="shared" si="85"/>
        <v>147.87333000000001</v>
      </c>
      <c r="HV26" s="311">
        <f t="shared" si="113"/>
        <v>123.41133000000002</v>
      </c>
      <c r="HW26" s="311">
        <f t="shared" si="86"/>
        <v>24.462</v>
      </c>
      <c r="HY26" s="313">
        <f t="shared" si="87"/>
        <v>7000.1200000000008</v>
      </c>
      <c r="HZ26" s="313">
        <f t="shared" si="88"/>
        <v>288.96000000000004</v>
      </c>
      <c r="IA26" s="313">
        <f t="shared" si="89"/>
        <v>2774.1800000000003</v>
      </c>
      <c r="IB26" s="313">
        <f t="shared" si="90"/>
        <v>3170.22</v>
      </c>
      <c r="IC26" s="313">
        <f t="shared" si="91"/>
        <v>766.7600000000001</v>
      </c>
      <c r="ID26" s="313">
        <f t="shared" si="92"/>
        <v>0</v>
      </c>
      <c r="IE26" s="313">
        <f t="shared" si="93"/>
        <v>3264.4010147000004</v>
      </c>
      <c r="IF26" s="313">
        <f t="shared" si="94"/>
        <v>55.80665864302</v>
      </c>
      <c r="IG26" s="313">
        <f t="shared" si="95"/>
        <v>1190.3081268756953</v>
      </c>
      <c r="IH26" s="313">
        <f t="shared" si="96"/>
        <v>1560.0591903163051</v>
      </c>
      <c r="II26" s="313">
        <f t="shared" si="97"/>
        <v>441.85534903048</v>
      </c>
      <c r="IJ26" s="313">
        <f t="shared" si="98"/>
        <v>16.371689834500003</v>
      </c>
      <c r="IK26" s="866">
        <v>4.1900000000000004</v>
      </c>
      <c r="IL26" s="314" t="s">
        <v>2589</v>
      </c>
      <c r="IM26" s="299" t="s">
        <v>3005</v>
      </c>
      <c r="IN26" s="657"/>
      <c r="IO26" s="730">
        <v>0.05</v>
      </c>
      <c r="IP26" s="730">
        <v>0.42</v>
      </c>
      <c r="IQ26" s="730">
        <v>0.44</v>
      </c>
      <c r="IR26" s="730">
        <v>0.09</v>
      </c>
      <c r="IS26" s="730">
        <v>0</v>
      </c>
      <c r="IT26" s="730">
        <v>2.7099999999999999E-2</v>
      </c>
      <c r="IU26" s="730">
        <v>0.3921</v>
      </c>
      <c r="IV26" s="730">
        <v>0.46289999999999998</v>
      </c>
      <c r="IW26" s="730">
        <v>0.1129</v>
      </c>
      <c r="IX26" s="730">
        <v>5.0000000000000001E-3</v>
      </c>
      <c r="IY26" s="730">
        <v>3.0599999999999999E-2</v>
      </c>
      <c r="IZ26" s="730">
        <v>0.36449999999999999</v>
      </c>
      <c r="JA26" s="730">
        <v>0.47170000000000001</v>
      </c>
      <c r="JB26" s="730">
        <v>0.13320000000000001</v>
      </c>
      <c r="JC26" s="730">
        <v>0</v>
      </c>
      <c r="JD26" s="730">
        <v>7.7000000000000002E-3</v>
      </c>
      <c r="JE26" s="730">
        <v>0.33660000000000001</v>
      </c>
      <c r="JF26" s="730">
        <v>0.49459999999999998</v>
      </c>
      <c r="JG26" s="730">
        <v>0.15609999999999999</v>
      </c>
      <c r="JH26" s="730">
        <v>5.0000000000000001E-3</v>
      </c>
      <c r="JI26" s="730">
        <v>8.7599999999999997E-2</v>
      </c>
      <c r="JJ26" s="730">
        <v>0.55179999999999996</v>
      </c>
      <c r="JK26" s="730">
        <v>0.32119999999999999</v>
      </c>
      <c r="JL26" s="730">
        <v>3.9399999999999998E-2</v>
      </c>
      <c r="JM26" s="730">
        <v>0</v>
      </c>
      <c r="JN26" s="730">
        <v>6.4699999999999994E-2</v>
      </c>
      <c r="JO26" s="730">
        <v>0.52390000000000003</v>
      </c>
      <c r="JP26" s="730">
        <v>0.34410000000000002</v>
      </c>
      <c r="JQ26" s="730">
        <v>6.2300000000000001E-2</v>
      </c>
      <c r="JR26" s="730">
        <v>5.0000000000000001E-3</v>
      </c>
      <c r="JS26" s="730">
        <v>5.4300000000000001E-2</v>
      </c>
      <c r="JT26" s="730">
        <v>0.43559999999999999</v>
      </c>
      <c r="JU26" s="730">
        <v>0.43459999999999999</v>
      </c>
      <c r="JV26" s="730">
        <v>7.5600000000000001E-2</v>
      </c>
      <c r="JW26" s="730">
        <v>0</v>
      </c>
      <c r="JX26" s="730">
        <v>3.1399999999999997E-2</v>
      </c>
      <c r="JY26" s="730">
        <v>0.40760000000000002</v>
      </c>
      <c r="JZ26" s="730">
        <v>0.45739999999999997</v>
      </c>
      <c r="KA26" s="730">
        <v>9.8500000000000004E-2</v>
      </c>
      <c r="KB26" s="730">
        <v>5.1000000000000004E-3</v>
      </c>
      <c r="KC26" s="657"/>
      <c r="KD26" s="314" t="s">
        <v>2590</v>
      </c>
      <c r="KE26" s="314" t="s">
        <v>2590</v>
      </c>
      <c r="KF26" s="866">
        <v>4.1399999999999997</v>
      </c>
      <c r="KG26" s="314" t="s">
        <v>2589</v>
      </c>
      <c r="KH26" s="315" t="s">
        <v>2990</v>
      </c>
      <c r="KI26" s="314" t="s">
        <v>2991</v>
      </c>
      <c r="KJ26" s="315" t="s">
        <v>3006</v>
      </c>
    </row>
    <row r="27" spans="1:296" ht="48" hidden="1" customHeight="1">
      <c r="A27" s="265">
        <f t="shared" si="99"/>
        <v>20</v>
      </c>
      <c r="B27" s="266" t="s">
        <v>2880</v>
      </c>
      <c r="C27" s="266" t="s">
        <v>1747</v>
      </c>
      <c r="D27" s="624" t="s">
        <v>3007</v>
      </c>
      <c r="E27" s="267" t="s">
        <v>3008</v>
      </c>
      <c r="F27" s="267" t="s">
        <v>3009</v>
      </c>
      <c r="G27" s="267" t="s">
        <v>300</v>
      </c>
      <c r="H27" s="267" t="s">
        <v>2109</v>
      </c>
      <c r="I27" s="268" t="s">
        <v>3010</v>
      </c>
      <c r="J27" s="268" t="s">
        <v>3011</v>
      </c>
      <c r="K27" s="269" t="s">
        <v>2097</v>
      </c>
      <c r="L27" s="269" t="s">
        <v>2109</v>
      </c>
      <c r="M27" s="269" t="s">
        <v>2603</v>
      </c>
      <c r="N27" s="269" t="s">
        <v>2099</v>
      </c>
      <c r="O27" s="267" t="s">
        <v>2616</v>
      </c>
      <c r="P27" s="268"/>
      <c r="Q27" s="270">
        <v>1</v>
      </c>
      <c r="R27" s="271">
        <v>4600</v>
      </c>
      <c r="S27" s="272">
        <v>27500</v>
      </c>
      <c r="T27" s="272">
        <v>29000</v>
      </c>
      <c r="U27" s="272">
        <v>30500</v>
      </c>
      <c r="V27" s="272">
        <v>31700</v>
      </c>
      <c r="W27" s="272">
        <f>V27+100</f>
        <v>31800</v>
      </c>
      <c r="X27" s="272">
        <f>W27+100</f>
        <v>31900</v>
      </c>
      <c r="Y27" s="272">
        <f>X27+100</f>
        <v>32000</v>
      </c>
      <c r="Z27" s="272">
        <f>Y27+100</f>
        <v>32100</v>
      </c>
      <c r="AA27" s="272">
        <v>32200</v>
      </c>
      <c r="AB27" s="272">
        <f>AA27+160</f>
        <v>32360</v>
      </c>
      <c r="AC27" s="272">
        <f>AB27+160</f>
        <v>32520</v>
      </c>
      <c r="AD27" s="272">
        <f>AC27+160</f>
        <v>32680</v>
      </c>
      <c r="AE27" s="272">
        <f>AD27+160</f>
        <v>32840</v>
      </c>
      <c r="AF27" s="272">
        <v>33000</v>
      </c>
      <c r="AG27" s="272">
        <f>AF27+200</f>
        <v>33200</v>
      </c>
      <c r="AH27" s="272">
        <f>AG27+200</f>
        <v>33400</v>
      </c>
      <c r="AI27" s="272">
        <f>AH27+200</f>
        <v>33600</v>
      </c>
      <c r="AJ27" s="272">
        <f>AI27+200</f>
        <v>33800</v>
      </c>
      <c r="AK27" s="272">
        <v>34000</v>
      </c>
      <c r="AL27" s="268" t="s">
        <v>3012</v>
      </c>
      <c r="AM27" s="268" t="s">
        <v>3013</v>
      </c>
      <c r="AN27" s="268" t="s">
        <v>3014</v>
      </c>
      <c r="AO27" s="657"/>
      <c r="AP27" s="271">
        <v>50</v>
      </c>
      <c r="AQ27" s="280">
        <v>40</v>
      </c>
      <c r="AR27" s="280">
        <v>8</v>
      </c>
      <c r="AS27" s="280">
        <v>2</v>
      </c>
      <c r="AT27" s="657"/>
      <c r="AU27" s="301" t="s">
        <v>3015</v>
      </c>
      <c r="AV27" s="572" t="s">
        <v>3016</v>
      </c>
      <c r="AW27" s="645" t="s">
        <v>3017</v>
      </c>
      <c r="AX27" s="290" t="s">
        <v>2977</v>
      </c>
      <c r="AY27" s="657"/>
      <c r="AZ27" s="948">
        <v>6.5</v>
      </c>
      <c r="BA27" s="948">
        <v>6</v>
      </c>
      <c r="BB27" s="948">
        <v>1.8</v>
      </c>
      <c r="BC27" s="948">
        <v>6</v>
      </c>
      <c r="BD27" s="825">
        <f t="shared" si="4"/>
        <v>669900</v>
      </c>
      <c r="BE27" s="304">
        <f t="shared" si="5"/>
        <v>214500</v>
      </c>
      <c r="BF27" s="304">
        <f t="shared" si="6"/>
        <v>198000</v>
      </c>
      <c r="BG27" s="304">
        <f t="shared" si="7"/>
        <v>59400</v>
      </c>
      <c r="BH27" s="304">
        <f t="shared" si="8"/>
        <v>198000</v>
      </c>
      <c r="BI27" s="825">
        <f t="shared" si="9"/>
        <v>690200</v>
      </c>
      <c r="BJ27" s="304">
        <f t="shared" si="10"/>
        <v>221000</v>
      </c>
      <c r="BK27" s="304">
        <f t="shared" si="11"/>
        <v>204000</v>
      </c>
      <c r="BL27" s="304">
        <f t="shared" si="12"/>
        <v>61200</v>
      </c>
      <c r="BM27" s="304">
        <f t="shared" si="13"/>
        <v>204000</v>
      </c>
      <c r="BN27" s="657"/>
      <c r="BO27" s="284">
        <v>0.1</v>
      </c>
      <c r="BP27" s="284">
        <v>0.76</v>
      </c>
      <c r="BQ27" s="284">
        <v>0.08</v>
      </c>
      <c r="BR27" s="710">
        <v>0.06</v>
      </c>
      <c r="BS27" s="707">
        <v>0.08</v>
      </c>
      <c r="BT27" s="284">
        <v>0.76</v>
      </c>
      <c r="BU27" s="284">
        <v>0.1</v>
      </c>
      <c r="BV27" s="710">
        <v>0.06</v>
      </c>
      <c r="BW27" s="714">
        <v>0.15</v>
      </c>
      <c r="BX27" s="285">
        <v>0.8</v>
      </c>
      <c r="BY27" s="717">
        <v>0.05</v>
      </c>
      <c r="BZ27" s="714">
        <v>0.12</v>
      </c>
      <c r="CA27" s="285">
        <v>0.82</v>
      </c>
      <c r="CB27" s="717">
        <v>0.06</v>
      </c>
      <c r="CC27" s="284">
        <v>0.05</v>
      </c>
      <c r="CD27" s="284">
        <v>0.55000000000000004</v>
      </c>
      <c r="CE27" s="284">
        <v>0.1</v>
      </c>
      <c r="CF27" s="710">
        <v>0.3</v>
      </c>
      <c r="CG27" s="707">
        <v>0.04</v>
      </c>
      <c r="CH27" s="284">
        <v>0.55000000000000004</v>
      </c>
      <c r="CI27" s="284">
        <v>0.12</v>
      </c>
      <c r="CJ27" s="710">
        <v>0.28999999999999998</v>
      </c>
      <c r="CK27" s="720">
        <v>0.25</v>
      </c>
      <c r="CL27" s="286">
        <v>0.55000000000000004</v>
      </c>
      <c r="CM27" s="718">
        <v>0.2</v>
      </c>
      <c r="CN27" s="720">
        <v>0.15</v>
      </c>
      <c r="CO27" s="286">
        <v>0.57999999999999996</v>
      </c>
      <c r="CP27" s="718">
        <v>0.27</v>
      </c>
      <c r="CQ27" s="657"/>
      <c r="CR27" s="807">
        <v>10</v>
      </c>
      <c r="CS27" s="808">
        <v>11</v>
      </c>
      <c r="CT27" s="808">
        <v>8</v>
      </c>
      <c r="CU27" s="809">
        <v>10</v>
      </c>
      <c r="CV27" s="807">
        <v>8</v>
      </c>
      <c r="CW27" s="808">
        <v>8</v>
      </c>
      <c r="CX27" s="809">
        <v>7</v>
      </c>
      <c r="CY27" s="807">
        <v>8</v>
      </c>
      <c r="CZ27" s="808">
        <v>10</v>
      </c>
      <c r="DA27" s="808">
        <v>7</v>
      </c>
      <c r="DB27" s="809">
        <v>9</v>
      </c>
      <c r="DC27" s="807">
        <v>10</v>
      </c>
      <c r="DD27" s="808">
        <v>11</v>
      </c>
      <c r="DE27" s="809">
        <v>8</v>
      </c>
      <c r="DF27" s="610" t="s">
        <v>3018</v>
      </c>
      <c r="DG27" s="657"/>
      <c r="DH27" s="288">
        <f t="shared" si="14"/>
        <v>21450</v>
      </c>
      <c r="DI27" s="288">
        <f t="shared" si="15"/>
        <v>163020</v>
      </c>
      <c r="DJ27" s="288">
        <f t="shared" si="16"/>
        <v>17160</v>
      </c>
      <c r="DK27" s="288">
        <f t="shared" si="17"/>
        <v>12870</v>
      </c>
      <c r="DL27" s="560" t="s">
        <v>3019</v>
      </c>
      <c r="DM27" s="288">
        <f t="shared" si="18"/>
        <v>17680</v>
      </c>
      <c r="DN27" s="288">
        <f t="shared" si="19"/>
        <v>167960</v>
      </c>
      <c r="DO27" s="288">
        <f t="shared" si="20"/>
        <v>22100</v>
      </c>
      <c r="DP27" s="288">
        <f t="shared" si="21"/>
        <v>13260</v>
      </c>
      <c r="DQ27" s="561" t="s">
        <v>2644</v>
      </c>
      <c r="DR27" s="657"/>
      <c r="DS27" s="288">
        <f t="shared" si="22"/>
        <v>29700</v>
      </c>
      <c r="DT27" s="288">
        <f t="shared" si="23"/>
        <v>158400</v>
      </c>
      <c r="DU27" s="288">
        <f t="shared" si="24"/>
        <v>9900</v>
      </c>
      <c r="DV27" s="561" t="s">
        <v>3020</v>
      </c>
      <c r="DW27" s="288">
        <f t="shared" si="25"/>
        <v>24480</v>
      </c>
      <c r="DX27" s="288">
        <f t="shared" si="26"/>
        <v>167280</v>
      </c>
      <c r="DY27" s="288">
        <f t="shared" si="27"/>
        <v>12240</v>
      </c>
      <c r="DZ27" s="561" t="s">
        <v>2981</v>
      </c>
      <c r="EA27" s="657"/>
      <c r="EB27" s="288">
        <f t="shared" si="28"/>
        <v>2970</v>
      </c>
      <c r="EC27" s="288">
        <f t="shared" si="29"/>
        <v>32670.000000000004</v>
      </c>
      <c r="ED27" s="288">
        <f t="shared" si="30"/>
        <v>5940</v>
      </c>
      <c r="EE27" s="288">
        <f t="shared" si="31"/>
        <v>17820</v>
      </c>
      <c r="EF27" s="561" t="s">
        <v>3021</v>
      </c>
      <c r="EG27" s="288">
        <f t="shared" si="32"/>
        <v>2448</v>
      </c>
      <c r="EH27" s="288">
        <f t="shared" si="33"/>
        <v>33660</v>
      </c>
      <c r="EI27" s="288">
        <f t="shared" si="34"/>
        <v>7344</v>
      </c>
      <c r="EJ27" s="288">
        <f t="shared" si="35"/>
        <v>17748</v>
      </c>
      <c r="EK27" s="561" t="s">
        <v>2983</v>
      </c>
      <c r="EL27" s="657"/>
      <c r="EM27" s="288">
        <f t="shared" si="36"/>
        <v>49500</v>
      </c>
      <c r="EN27" s="291">
        <f t="shared" si="37"/>
        <v>108900.00000000001</v>
      </c>
      <c r="EO27" s="291">
        <f t="shared" si="38"/>
        <v>39600</v>
      </c>
      <c r="EP27" s="561" t="s">
        <v>3022</v>
      </c>
      <c r="EQ27" s="288">
        <f t="shared" si="39"/>
        <v>30600</v>
      </c>
      <c r="ER27" s="291">
        <f t="shared" si="40"/>
        <v>118319.99999999999</v>
      </c>
      <c r="ES27" s="291">
        <f t="shared" si="41"/>
        <v>55080</v>
      </c>
      <c r="ET27" s="561" t="s">
        <v>2985</v>
      </c>
      <c r="EU27" s="657"/>
      <c r="EV27" s="740">
        <f t="shared" si="42"/>
        <v>0.81149654062901921</v>
      </c>
      <c r="EW27" s="740">
        <f t="shared" si="43"/>
        <v>0.18850345937098076</v>
      </c>
      <c r="EX27" s="563">
        <f t="shared" si="44"/>
        <v>343306.00730589288</v>
      </c>
      <c r="EY27" s="563">
        <f t="shared" si="45"/>
        <v>278591.63730589289</v>
      </c>
      <c r="EZ27" s="563">
        <f t="shared" si="46"/>
        <v>64714.37</v>
      </c>
      <c r="FA27" s="563">
        <f t="shared" si="47"/>
        <v>99773.020684999996</v>
      </c>
      <c r="FB27" s="563">
        <f t="shared" si="48"/>
        <v>79051.670685000005</v>
      </c>
      <c r="FC27" s="563">
        <f t="shared" si="49"/>
        <v>20721.349999999999</v>
      </c>
      <c r="FD27" s="563">
        <f t="shared" si="50"/>
        <v>116616.46339821428</v>
      </c>
      <c r="FE27" s="563">
        <f t="shared" si="51"/>
        <v>97489.06339821429</v>
      </c>
      <c r="FF27" s="563">
        <f t="shared" si="52"/>
        <v>19127.400000000001</v>
      </c>
      <c r="FG27" s="563">
        <f t="shared" si="53"/>
        <v>30914.708372678571</v>
      </c>
      <c r="FH27" s="563">
        <f t="shared" si="54"/>
        <v>25176.48837267857</v>
      </c>
      <c r="FI27" s="563">
        <f t="shared" si="55"/>
        <v>5738.2199999999993</v>
      </c>
      <c r="FJ27" s="563">
        <f t="shared" si="56"/>
        <v>96001.814849999995</v>
      </c>
      <c r="FK27" s="563">
        <f t="shared" si="57"/>
        <v>76874.414850000001</v>
      </c>
      <c r="FL27" s="563">
        <f t="shared" si="58"/>
        <v>19127.400000000001</v>
      </c>
      <c r="FM27" s="529"/>
      <c r="FN27" s="564" t="s">
        <v>2649</v>
      </c>
      <c r="FO27" s="740">
        <v>6.6299999999999998E-2</v>
      </c>
      <c r="FP27" s="741">
        <v>0.80054999999999998</v>
      </c>
      <c r="FQ27" s="565" t="s">
        <v>3023</v>
      </c>
      <c r="FR27" s="529"/>
      <c r="FS27" s="867">
        <v>3.59</v>
      </c>
      <c r="FT27" s="566">
        <f>RANK($FS27,$FS$8:$FS$154,0)+COUNTIF($FS$8:$FS27,$FS27)-1</f>
        <v>32</v>
      </c>
      <c r="FU27" s="867">
        <v>4.49</v>
      </c>
      <c r="FV27" s="566">
        <f>RANK($FU27,$FU$8:$FU$154,0)+COUNTIF($FU$8:$FU27,$FU27)-1</f>
        <v>13</v>
      </c>
      <c r="FW27" s="867">
        <v>2</v>
      </c>
      <c r="FX27" s="566">
        <f>RANK($FW27,$FW$8:$FW$154,0)+COUNTIF($FW$8:$FW27,$FW27)-1</f>
        <v>94</v>
      </c>
      <c r="FY27" s="529"/>
      <c r="FZ27" s="567" t="s">
        <v>3024</v>
      </c>
      <c r="GA27" s="567" t="s">
        <v>3025</v>
      </c>
      <c r="GB27" s="567" t="s">
        <v>2653</v>
      </c>
      <c r="GC27" s="567" t="s">
        <v>2654</v>
      </c>
      <c r="GD27" s="567" t="s">
        <v>2655</v>
      </c>
      <c r="GE27" s="567" t="s">
        <v>2656</v>
      </c>
      <c r="GF27" s="567" t="str">
        <f t="shared" si="115"/>
        <v>https://www.agencedusport.fr/plan-5000-equipements-generation-2024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27" s="529"/>
      <c r="GH27" s="563">
        <f t="shared" si="59"/>
        <v>9983.4279999999999</v>
      </c>
      <c r="GI27" s="563">
        <f t="shared" si="100"/>
        <v>8325.7199999999993</v>
      </c>
      <c r="GJ27" s="563">
        <f t="shared" si="60"/>
        <v>1657.7079999999999</v>
      </c>
      <c r="GK27" s="563">
        <f t="shared" si="61"/>
        <v>73091.622499999998</v>
      </c>
      <c r="GL27" s="563">
        <f t="shared" si="101"/>
        <v>57343.396500000003</v>
      </c>
      <c r="GM27" s="563">
        <f t="shared" si="62"/>
        <v>15748.225999999999</v>
      </c>
      <c r="GN27" s="563">
        <f t="shared" si="63"/>
        <v>10459.257185</v>
      </c>
      <c r="GO27" s="563">
        <f t="shared" si="102"/>
        <v>8387.1221850000002</v>
      </c>
      <c r="GP27" s="563">
        <f t="shared" si="64"/>
        <v>2072.1349999999998</v>
      </c>
      <c r="GQ27" s="563">
        <f t="shared" si="65"/>
        <v>6238.7129999999997</v>
      </c>
      <c r="GR27" s="563">
        <f t="shared" si="103"/>
        <v>4995.4319999999998</v>
      </c>
      <c r="GS27" s="563">
        <f t="shared" si="66"/>
        <v>1243.2809999999999</v>
      </c>
      <c r="GT27" s="563">
        <f t="shared" si="67"/>
        <v>16811.4610125</v>
      </c>
      <c r="GU27" s="563">
        <f t="shared" si="104"/>
        <v>14516.173012499999</v>
      </c>
      <c r="GV27" s="563">
        <f t="shared" si="68"/>
        <v>2295.288</v>
      </c>
      <c r="GW27" s="563">
        <f t="shared" si="69"/>
        <v>93104.057399999991</v>
      </c>
      <c r="GX27" s="563">
        <f t="shared" si="105"/>
        <v>77419.589399999997</v>
      </c>
      <c r="GY27" s="563">
        <f t="shared" si="70"/>
        <v>15684.468000000001</v>
      </c>
      <c r="GZ27" s="563">
        <f t="shared" si="71"/>
        <v>6700.9449857142854</v>
      </c>
      <c r="HA27" s="563">
        <f t="shared" si="106"/>
        <v>5553.3009857142852</v>
      </c>
      <c r="HB27" s="563">
        <f t="shared" si="72"/>
        <v>1147.644</v>
      </c>
      <c r="HC27" s="563">
        <f t="shared" si="73"/>
        <v>1681.1461012499999</v>
      </c>
      <c r="HD27" s="563">
        <f t="shared" si="107"/>
        <v>1451.6173012499999</v>
      </c>
      <c r="HE27" s="563">
        <f t="shared" si="74"/>
        <v>229.52879999999999</v>
      </c>
      <c r="HF27" s="563">
        <f t="shared" si="75"/>
        <v>15836.733</v>
      </c>
      <c r="HG27" s="563">
        <f t="shared" si="108"/>
        <v>12680.712</v>
      </c>
      <c r="HH27" s="563">
        <f t="shared" si="76"/>
        <v>3156.0209999999997</v>
      </c>
      <c r="HI27" s="563">
        <f t="shared" si="77"/>
        <v>4020.5669914285718</v>
      </c>
      <c r="HJ27" s="563">
        <f t="shared" si="109"/>
        <v>3331.9805914285716</v>
      </c>
      <c r="HK27" s="563">
        <f t="shared" si="78"/>
        <v>688.58639999999991</v>
      </c>
      <c r="HL27" s="563">
        <f t="shared" si="79"/>
        <v>9376.2622800000008</v>
      </c>
      <c r="HM27" s="563">
        <f t="shared" si="110"/>
        <v>7712.1784800000005</v>
      </c>
      <c r="HN27" s="563">
        <f t="shared" si="80"/>
        <v>1664.0837999999997</v>
      </c>
      <c r="HO27" s="563">
        <f t="shared" si="81"/>
        <v>22082.31</v>
      </c>
      <c r="HP27" s="563">
        <f t="shared" si="111"/>
        <v>19213.2</v>
      </c>
      <c r="HQ27" s="563">
        <f t="shared" si="82"/>
        <v>2869.11</v>
      </c>
      <c r="HR27" s="563">
        <f t="shared" si="83"/>
        <v>49400.209499999997</v>
      </c>
      <c r="HS27" s="563">
        <f t="shared" si="112"/>
        <v>38306.317499999997</v>
      </c>
      <c r="HT27" s="563">
        <f t="shared" si="84"/>
        <v>11093.892</v>
      </c>
      <c r="HU27" s="563">
        <f t="shared" si="85"/>
        <v>24519.29535</v>
      </c>
      <c r="HV27" s="563">
        <f t="shared" si="113"/>
        <v>19354.897349999999</v>
      </c>
      <c r="HW27" s="563">
        <f t="shared" si="86"/>
        <v>5164.398000000001</v>
      </c>
      <c r="HX27" s="544"/>
      <c r="HY27" s="568">
        <f t="shared" si="87"/>
        <v>669900</v>
      </c>
      <c r="HZ27" s="568">
        <f t="shared" si="88"/>
        <v>113620.98</v>
      </c>
      <c r="IA27" s="568">
        <f t="shared" si="89"/>
        <v>387165.24</v>
      </c>
      <c r="IB27" s="568">
        <f t="shared" si="90"/>
        <v>157921.5</v>
      </c>
      <c r="IC27" s="568">
        <f t="shared" si="91"/>
        <v>11192.28</v>
      </c>
      <c r="ID27" s="568">
        <f t="shared" si="92"/>
        <v>0</v>
      </c>
      <c r="IE27" s="568">
        <f t="shared" si="93"/>
        <v>278591.63730589283</v>
      </c>
      <c r="IF27" s="568">
        <f t="shared" si="94"/>
        <v>42343.732526689608</v>
      </c>
      <c r="IG27" s="568">
        <f t="shared" si="95"/>
        <v>155097.9498545886</v>
      </c>
      <c r="IH27" s="568">
        <f t="shared" si="96"/>
        <v>70490.33866330779</v>
      </c>
      <c r="II27" s="568">
        <f t="shared" si="97"/>
        <v>9545.2497120833032</v>
      </c>
      <c r="IJ27" s="568">
        <f t="shared" si="98"/>
        <v>1114.3665492235716</v>
      </c>
      <c r="IK27" s="868">
        <v>4.1399999999999997</v>
      </c>
      <c r="IL27" s="569" t="s">
        <v>2589</v>
      </c>
      <c r="IM27" s="570" t="s">
        <v>3026</v>
      </c>
      <c r="IN27" s="529"/>
      <c r="IO27" s="742">
        <v>0.16</v>
      </c>
      <c r="IP27" s="742">
        <v>0.56999999999999995</v>
      </c>
      <c r="IQ27" s="742">
        <v>0.25</v>
      </c>
      <c r="IR27" s="742">
        <v>0.02</v>
      </c>
      <c r="IS27" s="742">
        <v>0</v>
      </c>
      <c r="IT27" s="742">
        <v>0.14230000000000001</v>
      </c>
      <c r="IU27" s="742">
        <v>0.54830000000000001</v>
      </c>
      <c r="IV27" s="742">
        <v>0.26769999999999999</v>
      </c>
      <c r="IW27" s="742">
        <v>3.7699999999999997E-2</v>
      </c>
      <c r="IX27" s="742">
        <v>4.0000000000000001E-3</v>
      </c>
      <c r="IY27" s="742">
        <v>0.16259999999999999</v>
      </c>
      <c r="IZ27" s="742">
        <v>0.57909999999999995</v>
      </c>
      <c r="JA27" s="742">
        <v>0.2419</v>
      </c>
      <c r="JB27" s="742">
        <v>1.6400000000000001E-2</v>
      </c>
      <c r="JC27" s="742">
        <v>0</v>
      </c>
      <c r="JD27" s="742">
        <v>0.1449</v>
      </c>
      <c r="JE27" s="742">
        <v>0.55740000000000001</v>
      </c>
      <c r="JF27" s="742">
        <v>0.2596</v>
      </c>
      <c r="JG27" s="742">
        <v>3.4099999999999998E-2</v>
      </c>
      <c r="JH27" s="742">
        <v>4.0000000000000001E-3</v>
      </c>
      <c r="JI27" s="742">
        <v>0.22969999999999999</v>
      </c>
      <c r="JJ27" s="742">
        <v>0.61360000000000003</v>
      </c>
      <c r="JK27" s="742">
        <v>0.14949999999999999</v>
      </c>
      <c r="JL27" s="742">
        <v>7.1999999999999998E-3</v>
      </c>
      <c r="JM27" s="742">
        <v>0</v>
      </c>
      <c r="JN27" s="742">
        <v>0.21199999999999999</v>
      </c>
      <c r="JO27" s="742">
        <v>0.59189999999999998</v>
      </c>
      <c r="JP27" s="742">
        <v>0.16719999999999999</v>
      </c>
      <c r="JQ27" s="742">
        <v>2.4899999999999999E-2</v>
      </c>
      <c r="JR27" s="742">
        <v>4.0000000000000001E-3</v>
      </c>
      <c r="JS27" s="742">
        <v>0.16900000000000001</v>
      </c>
      <c r="JT27" s="742">
        <v>0.57469999999999999</v>
      </c>
      <c r="JU27" s="742">
        <v>0.24</v>
      </c>
      <c r="JV27" s="742">
        <v>1.6299999999999999E-2</v>
      </c>
      <c r="JW27" s="742">
        <v>0</v>
      </c>
      <c r="JX27" s="742">
        <v>0.15129999999999999</v>
      </c>
      <c r="JY27" s="742">
        <v>0.55300000000000005</v>
      </c>
      <c r="JZ27" s="742">
        <v>0.25769999999999998</v>
      </c>
      <c r="KA27" s="742">
        <v>3.4000000000000002E-2</v>
      </c>
      <c r="KB27" s="742">
        <v>4.0000000000000001E-3</v>
      </c>
      <c r="KC27" s="657"/>
      <c r="KD27" s="832" t="s">
        <v>2590</v>
      </c>
      <c r="KE27" s="832" t="s">
        <v>2590</v>
      </c>
      <c r="KF27" s="869">
        <v>4.09</v>
      </c>
      <c r="KG27" s="832" t="s">
        <v>2589</v>
      </c>
      <c r="KH27" s="833" t="s">
        <v>3027</v>
      </c>
      <c r="KI27" s="832" t="s">
        <v>3028</v>
      </c>
      <c r="KJ27" s="833" t="s">
        <v>3029</v>
      </c>
    </row>
    <row r="28" spans="1:296" ht="48" hidden="1" customHeight="1">
      <c r="A28" s="273">
        <f t="shared" si="99"/>
        <v>21</v>
      </c>
      <c r="B28" s="274" t="s">
        <v>2880</v>
      </c>
      <c r="C28" s="274" t="s">
        <v>1747</v>
      </c>
      <c r="D28" s="274" t="s">
        <v>3030</v>
      </c>
      <c r="E28" s="275" t="s">
        <v>3008</v>
      </c>
      <c r="F28" s="275" t="s">
        <v>3009</v>
      </c>
      <c r="G28" s="275" t="s">
        <v>300</v>
      </c>
      <c r="H28" s="275" t="s">
        <v>2109</v>
      </c>
      <c r="I28" s="276" t="s">
        <v>3031</v>
      </c>
      <c r="J28" s="276" t="s">
        <v>3032</v>
      </c>
      <c r="K28" s="277" t="s">
        <v>2097</v>
      </c>
      <c r="L28" s="277" t="s">
        <v>2109</v>
      </c>
      <c r="M28" s="277" t="s">
        <v>2603</v>
      </c>
      <c r="N28" s="277" t="s">
        <v>2099</v>
      </c>
      <c r="O28" s="275" t="s">
        <v>2616</v>
      </c>
      <c r="P28" s="276"/>
      <c r="Q28" s="270">
        <v>1</v>
      </c>
      <c r="R28" s="278">
        <v>22000</v>
      </c>
      <c r="S28" s="279">
        <v>1650</v>
      </c>
      <c r="T28" s="279">
        <v>1790</v>
      </c>
      <c r="U28" s="279">
        <v>1940</v>
      </c>
      <c r="V28" s="279">
        <v>2080</v>
      </c>
      <c r="W28" s="279">
        <f>V28+15</f>
        <v>2095</v>
      </c>
      <c r="X28" s="279">
        <f>W28+15</f>
        <v>2110</v>
      </c>
      <c r="Y28" s="279">
        <f>X28+15</f>
        <v>2125</v>
      </c>
      <c r="Z28" s="279">
        <f>Y28+15</f>
        <v>2140</v>
      </c>
      <c r="AA28" s="279">
        <v>2150</v>
      </c>
      <c r="AB28" s="279">
        <f>AA28+15</f>
        <v>2165</v>
      </c>
      <c r="AC28" s="279">
        <f>AB28+15</f>
        <v>2180</v>
      </c>
      <c r="AD28" s="279">
        <f>AC28+15</f>
        <v>2195</v>
      </c>
      <c r="AE28" s="279">
        <f>AD28+15</f>
        <v>2210</v>
      </c>
      <c r="AF28" s="279">
        <v>2220</v>
      </c>
      <c r="AG28" s="279">
        <f>AF28+11</f>
        <v>2231</v>
      </c>
      <c r="AH28" s="279">
        <f>AG28+11</f>
        <v>2242</v>
      </c>
      <c r="AI28" s="279">
        <f>AH28+11</f>
        <v>2253</v>
      </c>
      <c r="AJ28" s="279">
        <f>AI28+11</f>
        <v>2264</v>
      </c>
      <c r="AK28" s="279">
        <v>2275</v>
      </c>
      <c r="AL28" s="276" t="s">
        <v>2124</v>
      </c>
      <c r="AM28" s="276" t="s">
        <v>3033</v>
      </c>
      <c r="AN28" s="276" t="s">
        <v>2148</v>
      </c>
      <c r="AO28" s="657"/>
      <c r="AP28" s="278">
        <v>900</v>
      </c>
      <c r="AQ28" s="278">
        <v>59</v>
      </c>
      <c r="AR28" s="278">
        <v>7</v>
      </c>
      <c r="AS28" s="278">
        <v>4</v>
      </c>
      <c r="AT28" s="657"/>
      <c r="AU28" s="281" t="s">
        <v>3034</v>
      </c>
      <c r="AV28" s="296" t="s">
        <v>3035</v>
      </c>
      <c r="AW28" s="296" t="s">
        <v>3036</v>
      </c>
      <c r="AX28" s="276" t="s">
        <v>2890</v>
      </c>
      <c r="AY28" s="657"/>
      <c r="AZ28" s="947">
        <v>10</v>
      </c>
      <c r="BA28" s="947">
        <v>12</v>
      </c>
      <c r="BB28" s="947">
        <v>3</v>
      </c>
      <c r="BC28" s="947">
        <v>9</v>
      </c>
      <c r="BD28" s="826">
        <f t="shared" si="4"/>
        <v>75480</v>
      </c>
      <c r="BE28" s="283">
        <f t="shared" si="5"/>
        <v>22200</v>
      </c>
      <c r="BF28" s="283">
        <f t="shared" si="6"/>
        <v>26640</v>
      </c>
      <c r="BG28" s="283">
        <f t="shared" si="7"/>
        <v>6660</v>
      </c>
      <c r="BH28" s="283">
        <f t="shared" si="8"/>
        <v>19980</v>
      </c>
      <c r="BI28" s="826">
        <f t="shared" si="9"/>
        <v>77350</v>
      </c>
      <c r="BJ28" s="283">
        <f t="shared" si="10"/>
        <v>22750</v>
      </c>
      <c r="BK28" s="283">
        <f t="shared" si="11"/>
        <v>27300</v>
      </c>
      <c r="BL28" s="283">
        <f t="shared" si="12"/>
        <v>6825</v>
      </c>
      <c r="BM28" s="283">
        <f t="shared" si="13"/>
        <v>20475</v>
      </c>
      <c r="BN28" s="657"/>
      <c r="BO28" s="305">
        <v>0.08</v>
      </c>
      <c r="BP28" s="305">
        <v>0.82</v>
      </c>
      <c r="BQ28" s="305">
        <v>0.04</v>
      </c>
      <c r="BR28" s="581">
        <v>0.06</v>
      </c>
      <c r="BS28" s="706">
        <v>7.0000000000000007E-2</v>
      </c>
      <c r="BT28" s="305">
        <v>0.82</v>
      </c>
      <c r="BU28" s="305">
        <v>0.05</v>
      </c>
      <c r="BV28" s="581">
        <v>0.06</v>
      </c>
      <c r="BW28" s="713">
        <v>0.2</v>
      </c>
      <c r="BX28" s="306">
        <v>0.75</v>
      </c>
      <c r="BY28" s="590">
        <v>0.05</v>
      </c>
      <c r="BZ28" s="713">
        <v>0.15</v>
      </c>
      <c r="CA28" s="306">
        <v>0.78</v>
      </c>
      <c r="CB28" s="590">
        <v>7.0000000000000007E-2</v>
      </c>
      <c r="CC28" s="706">
        <v>0.03</v>
      </c>
      <c r="CD28" s="305">
        <v>0.55000000000000004</v>
      </c>
      <c r="CE28" s="305">
        <v>0.05</v>
      </c>
      <c r="CF28" s="581">
        <v>0.37</v>
      </c>
      <c r="CG28" s="706">
        <v>0.02</v>
      </c>
      <c r="CH28" s="305">
        <v>0.55000000000000004</v>
      </c>
      <c r="CI28" s="305">
        <v>7.0000000000000007E-2</v>
      </c>
      <c r="CJ28" s="581">
        <v>0.36</v>
      </c>
      <c r="CK28" s="719">
        <v>0.3</v>
      </c>
      <c r="CL28" s="307">
        <v>0.6</v>
      </c>
      <c r="CM28" s="723">
        <v>0.1</v>
      </c>
      <c r="CN28" s="719">
        <v>0.2</v>
      </c>
      <c r="CO28" s="307">
        <v>0.63</v>
      </c>
      <c r="CP28" s="723">
        <v>0.17</v>
      </c>
      <c r="CQ28" s="657"/>
      <c r="CR28" s="804">
        <v>10</v>
      </c>
      <c r="CS28" s="805">
        <v>11</v>
      </c>
      <c r="CT28" s="805">
        <v>8</v>
      </c>
      <c r="CU28" s="806">
        <v>9</v>
      </c>
      <c r="CV28" s="804">
        <v>9</v>
      </c>
      <c r="CW28" s="805">
        <v>10</v>
      </c>
      <c r="CX28" s="806">
        <v>8</v>
      </c>
      <c r="CY28" s="804">
        <v>8</v>
      </c>
      <c r="CZ28" s="805">
        <v>11</v>
      </c>
      <c r="DA28" s="805">
        <v>8</v>
      </c>
      <c r="DB28" s="806">
        <v>9</v>
      </c>
      <c r="DC28" s="804">
        <v>9</v>
      </c>
      <c r="DD28" s="805">
        <v>12</v>
      </c>
      <c r="DE28" s="806">
        <v>9</v>
      </c>
      <c r="DF28" s="609" t="s">
        <v>3037</v>
      </c>
      <c r="DG28" s="657"/>
      <c r="DH28" s="308">
        <f t="shared" si="14"/>
        <v>1776</v>
      </c>
      <c r="DI28" s="308">
        <f t="shared" si="15"/>
        <v>18204</v>
      </c>
      <c r="DJ28" s="308">
        <f t="shared" si="16"/>
        <v>888</v>
      </c>
      <c r="DK28" s="308">
        <f t="shared" si="17"/>
        <v>1332</v>
      </c>
      <c r="DL28" s="287" t="s">
        <v>3038</v>
      </c>
      <c r="DM28" s="308">
        <f t="shared" si="18"/>
        <v>1592.5000000000002</v>
      </c>
      <c r="DN28" s="308">
        <f t="shared" si="19"/>
        <v>18655</v>
      </c>
      <c r="DO28" s="308">
        <f t="shared" si="20"/>
        <v>1137.5</v>
      </c>
      <c r="DP28" s="308">
        <f t="shared" si="21"/>
        <v>1365</v>
      </c>
      <c r="DQ28" s="289" t="s">
        <v>2893</v>
      </c>
      <c r="DR28" s="657"/>
      <c r="DS28" s="308">
        <f t="shared" si="22"/>
        <v>5328</v>
      </c>
      <c r="DT28" s="308">
        <f t="shared" si="23"/>
        <v>19980</v>
      </c>
      <c r="DU28" s="308">
        <f t="shared" si="24"/>
        <v>1332</v>
      </c>
      <c r="DV28" s="289" t="s">
        <v>3039</v>
      </c>
      <c r="DW28" s="308">
        <f t="shared" si="25"/>
        <v>4095</v>
      </c>
      <c r="DX28" s="308">
        <f t="shared" si="26"/>
        <v>21294</v>
      </c>
      <c r="DY28" s="308">
        <f t="shared" si="27"/>
        <v>1911.0000000000002</v>
      </c>
      <c r="DZ28" s="289" t="s">
        <v>2895</v>
      </c>
      <c r="EA28" s="657"/>
      <c r="EB28" s="308">
        <f t="shared" si="28"/>
        <v>199.79999999999998</v>
      </c>
      <c r="EC28" s="308">
        <f t="shared" si="29"/>
        <v>3663.0000000000005</v>
      </c>
      <c r="ED28" s="308">
        <f t="shared" si="30"/>
        <v>333</v>
      </c>
      <c r="EE28" s="308">
        <f t="shared" si="31"/>
        <v>2464.1999999999998</v>
      </c>
      <c r="EF28" s="289" t="s">
        <v>3040</v>
      </c>
      <c r="EG28" s="308">
        <f t="shared" si="32"/>
        <v>136.5</v>
      </c>
      <c r="EH28" s="308">
        <f t="shared" si="33"/>
        <v>3753.7500000000005</v>
      </c>
      <c r="EI28" s="308">
        <f t="shared" si="34"/>
        <v>477.75000000000006</v>
      </c>
      <c r="EJ28" s="308">
        <f t="shared" si="35"/>
        <v>2457</v>
      </c>
      <c r="EK28" s="309" t="s">
        <v>2897</v>
      </c>
      <c r="EL28" s="657"/>
      <c r="EM28" s="308">
        <f t="shared" si="36"/>
        <v>5994</v>
      </c>
      <c r="EN28" s="310">
        <f t="shared" si="37"/>
        <v>11988</v>
      </c>
      <c r="EO28" s="310">
        <f t="shared" si="38"/>
        <v>1998</v>
      </c>
      <c r="EP28" s="289" t="s">
        <v>3041</v>
      </c>
      <c r="EQ28" s="308">
        <f t="shared" si="39"/>
        <v>4095</v>
      </c>
      <c r="ER28" s="310">
        <f t="shared" si="40"/>
        <v>12899.25</v>
      </c>
      <c r="ES28" s="310">
        <f t="shared" si="41"/>
        <v>3480.7500000000005</v>
      </c>
      <c r="ET28" s="289" t="s">
        <v>2899</v>
      </c>
      <c r="EU28" s="657"/>
      <c r="EV28" s="728">
        <f t="shared" si="42"/>
        <v>0.79763759521947497</v>
      </c>
      <c r="EW28" s="728">
        <f t="shared" si="43"/>
        <v>0.20236240478052503</v>
      </c>
      <c r="EX28" s="311">
        <f t="shared" si="44"/>
        <v>36734.248182424242</v>
      </c>
      <c r="EY28" s="311">
        <f t="shared" si="45"/>
        <v>29300.617382424243</v>
      </c>
      <c r="EZ28" s="311">
        <f t="shared" si="46"/>
        <v>7433.6307999999999</v>
      </c>
      <c r="FA28" s="311">
        <f t="shared" si="47"/>
        <v>10448.785618424245</v>
      </c>
      <c r="FB28" s="311">
        <f t="shared" si="48"/>
        <v>8262.4236184242436</v>
      </c>
      <c r="FC28" s="311">
        <f t="shared" si="49"/>
        <v>2186.3620000000001</v>
      </c>
      <c r="FD28" s="311">
        <f t="shared" si="50"/>
        <v>13581.536573333335</v>
      </c>
      <c r="FE28" s="311">
        <f t="shared" si="51"/>
        <v>10957.902173333334</v>
      </c>
      <c r="FF28" s="311">
        <f t="shared" si="52"/>
        <v>2623.6343999999999</v>
      </c>
      <c r="FG28" s="311">
        <f t="shared" si="53"/>
        <v>3328.8993306666671</v>
      </c>
      <c r="FH28" s="311">
        <f t="shared" si="54"/>
        <v>2672.9907306666669</v>
      </c>
      <c r="FI28" s="311">
        <f t="shared" si="55"/>
        <v>655.90859999999998</v>
      </c>
      <c r="FJ28" s="311">
        <f t="shared" si="56"/>
        <v>9375.0266599999995</v>
      </c>
      <c r="FK28" s="311">
        <f t="shared" si="57"/>
        <v>7407.3008600000003</v>
      </c>
      <c r="FL28" s="311">
        <f t="shared" si="58"/>
        <v>1967.7257999999999</v>
      </c>
      <c r="FM28" s="657"/>
      <c r="FN28" s="293" t="s">
        <v>2649</v>
      </c>
      <c r="FO28" s="728">
        <v>7.3709999999999998E-2</v>
      </c>
      <c r="FP28" s="729">
        <v>0.82916000000000001</v>
      </c>
      <c r="FQ28" s="294" t="s">
        <v>3042</v>
      </c>
      <c r="FR28" s="657"/>
      <c r="FS28" s="865">
        <v>3.41</v>
      </c>
      <c r="FT28" s="312">
        <f>RANK($FS28,$FS$8:$FS$154,0)+COUNTIF($FS$8:$FS28,$FS28)-1</f>
        <v>55</v>
      </c>
      <c r="FU28" s="865">
        <v>4.1500000000000004</v>
      </c>
      <c r="FV28" s="312">
        <f>RANK($FU28,$FU$8:$FU$154,0)+COUNTIF($FU$8:$FU28,$FU28)-1</f>
        <v>56</v>
      </c>
      <c r="FW28" s="865">
        <v>2.5</v>
      </c>
      <c r="FX28" s="312">
        <f>RANK($FW28,$FW$8:$FW$154,0)+COUNTIF($FW$8:$FW28,$FW28)-1</f>
        <v>35</v>
      </c>
      <c r="FY28" s="657"/>
      <c r="FZ28" s="296" t="s">
        <v>3043</v>
      </c>
      <c r="GA28" s="296" t="s">
        <v>3044</v>
      </c>
      <c r="GB28" s="296" t="s">
        <v>2903</v>
      </c>
      <c r="GC28" s="296" t="s">
        <v>2904</v>
      </c>
      <c r="GD28" s="296" t="s">
        <v>2905</v>
      </c>
      <c r="GE28" s="296" t="s">
        <v>2906</v>
      </c>
      <c r="GF28" s="296" t="str">
        <f t="shared" si="115"/>
        <v>https://www.agencedusport.fr/plan-5000-equipements-generation-2024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28" s="657"/>
      <c r="GH28" s="311">
        <f t="shared" si="59"/>
        <v>857.49967600000002</v>
      </c>
      <c r="GI28" s="311">
        <f t="shared" si="100"/>
        <v>704.45433600000001</v>
      </c>
      <c r="GJ28" s="311">
        <f t="shared" si="60"/>
        <v>153.04534000000001</v>
      </c>
      <c r="GK28" s="311">
        <f t="shared" si="61"/>
        <v>8313.7833490909088</v>
      </c>
      <c r="GL28" s="311">
        <f t="shared" si="101"/>
        <v>6520.9665090909093</v>
      </c>
      <c r="GM28" s="311">
        <f t="shared" si="62"/>
        <v>1792.81684</v>
      </c>
      <c r="GN28" s="311">
        <f t="shared" si="63"/>
        <v>555.40617999999995</v>
      </c>
      <c r="GO28" s="311">
        <f t="shared" si="102"/>
        <v>446.08807999999999</v>
      </c>
      <c r="GP28" s="311">
        <f t="shared" si="64"/>
        <v>109.31810000000002</v>
      </c>
      <c r="GQ28" s="311">
        <f t="shared" si="65"/>
        <v>722.09641333333332</v>
      </c>
      <c r="GR28" s="311">
        <f t="shared" si="103"/>
        <v>590.91469333333328</v>
      </c>
      <c r="GS28" s="311">
        <f t="shared" si="66"/>
        <v>131.18172000000001</v>
      </c>
      <c r="GT28" s="311">
        <f t="shared" si="67"/>
        <v>2757.2039333333332</v>
      </c>
      <c r="GU28" s="311">
        <f t="shared" si="104"/>
        <v>2363.6587733333331</v>
      </c>
      <c r="GV28" s="311">
        <f t="shared" si="68"/>
        <v>393.54515999999995</v>
      </c>
      <c r="GW28" s="311">
        <f t="shared" si="69"/>
        <v>9971.546112</v>
      </c>
      <c r="GX28" s="311">
        <f t="shared" si="105"/>
        <v>7925.1112800000001</v>
      </c>
      <c r="GY28" s="311">
        <f t="shared" si="70"/>
        <v>2046.4348319999999</v>
      </c>
      <c r="GZ28" s="311">
        <f t="shared" si="71"/>
        <v>852.78652799999998</v>
      </c>
      <c r="HA28" s="311">
        <f t="shared" si="106"/>
        <v>669.13211999999999</v>
      </c>
      <c r="HB28" s="311">
        <f t="shared" si="72"/>
        <v>183.65440800000002</v>
      </c>
      <c r="HC28" s="311">
        <f t="shared" si="73"/>
        <v>113.48799</v>
      </c>
      <c r="HD28" s="311">
        <f t="shared" si="107"/>
        <v>100.369818</v>
      </c>
      <c r="HE28" s="311">
        <f t="shared" si="74"/>
        <v>13.118171999999999</v>
      </c>
      <c r="HF28" s="311">
        <f t="shared" si="75"/>
        <v>1672.8954300000003</v>
      </c>
      <c r="HG28" s="311">
        <f t="shared" si="108"/>
        <v>1312.1457000000003</v>
      </c>
      <c r="HH28" s="311">
        <f t="shared" si="76"/>
        <v>360.74973</v>
      </c>
      <c r="HI28" s="311">
        <f t="shared" si="77"/>
        <v>213.19663199999999</v>
      </c>
      <c r="HJ28" s="311">
        <f t="shared" si="109"/>
        <v>167.28303</v>
      </c>
      <c r="HK28" s="311">
        <f t="shared" si="78"/>
        <v>45.913602000000004</v>
      </c>
      <c r="HL28" s="311">
        <f t="shared" si="79"/>
        <v>1329.3192786666666</v>
      </c>
      <c r="HM28" s="311">
        <f t="shared" si="110"/>
        <v>1093.1921826666667</v>
      </c>
      <c r="HN28" s="311">
        <f t="shared" si="80"/>
        <v>236.12709599999999</v>
      </c>
      <c r="HO28" s="311">
        <f t="shared" si="81"/>
        <v>3052.6612800000003</v>
      </c>
      <c r="HP28" s="311">
        <f t="shared" si="111"/>
        <v>2659.1161200000001</v>
      </c>
      <c r="HQ28" s="311">
        <f t="shared" si="82"/>
        <v>393.54516000000001</v>
      </c>
      <c r="HR28" s="311">
        <f t="shared" si="83"/>
        <v>5101.4799540000004</v>
      </c>
      <c r="HS28" s="311">
        <f t="shared" si="112"/>
        <v>3861.8126999999999</v>
      </c>
      <c r="HT28" s="311">
        <f t="shared" si="84"/>
        <v>1239.667254</v>
      </c>
      <c r="HU28" s="311">
        <f t="shared" si="85"/>
        <v>1220.8854260000001</v>
      </c>
      <c r="HV28" s="311">
        <f t="shared" si="113"/>
        <v>886.37204000000008</v>
      </c>
      <c r="HW28" s="311">
        <f t="shared" si="86"/>
        <v>334.51338600000003</v>
      </c>
      <c r="HY28" s="313">
        <f t="shared" si="87"/>
        <v>75480</v>
      </c>
      <c r="HZ28" s="313">
        <f t="shared" si="88"/>
        <v>13439.436</v>
      </c>
      <c r="IA28" s="313">
        <f t="shared" si="89"/>
        <v>47067.773999999998</v>
      </c>
      <c r="IB28" s="313">
        <f t="shared" si="90"/>
        <v>14972.79</v>
      </c>
      <c r="IC28" s="313">
        <f t="shared" si="91"/>
        <v>0</v>
      </c>
      <c r="ID28" s="313">
        <f t="shared" si="92"/>
        <v>0</v>
      </c>
      <c r="IE28" s="313">
        <f t="shared" si="93"/>
        <v>29300.617382424243</v>
      </c>
      <c r="IF28" s="313">
        <f t="shared" si="94"/>
        <v>2297.0157813109454</v>
      </c>
      <c r="IG28" s="313">
        <f t="shared" si="95"/>
        <v>16583.128087455723</v>
      </c>
      <c r="IH28" s="313">
        <f t="shared" si="96"/>
        <v>10420.473513657576</v>
      </c>
      <c r="II28" s="313">
        <f t="shared" si="97"/>
        <v>0</v>
      </c>
      <c r="IJ28" s="313">
        <f t="shared" si="98"/>
        <v>0</v>
      </c>
      <c r="IK28" s="866">
        <v>4.0999999999999996</v>
      </c>
      <c r="IL28" s="314" t="s">
        <v>2589</v>
      </c>
      <c r="IM28" s="299" t="s">
        <v>2907</v>
      </c>
      <c r="IN28" s="657"/>
      <c r="IO28" s="730">
        <v>0.12429999999999999</v>
      </c>
      <c r="IP28" s="730">
        <v>0.61719999999999997</v>
      </c>
      <c r="IQ28" s="730">
        <v>0.25850000000000001</v>
      </c>
      <c r="IR28" s="730">
        <v>0</v>
      </c>
      <c r="IS28" s="730">
        <v>0</v>
      </c>
      <c r="IT28" s="730">
        <v>5.11E-2</v>
      </c>
      <c r="IU28" s="730">
        <v>0.51649999999999996</v>
      </c>
      <c r="IV28" s="730">
        <v>0.43240000000000001</v>
      </c>
      <c r="IW28" s="730">
        <v>0</v>
      </c>
      <c r="IX28" s="730">
        <v>0</v>
      </c>
      <c r="IY28" s="730">
        <v>0.21820000000000001</v>
      </c>
      <c r="IZ28" s="730">
        <v>0.62680000000000002</v>
      </c>
      <c r="JA28" s="730">
        <v>0.155</v>
      </c>
      <c r="JB28" s="730">
        <v>0</v>
      </c>
      <c r="JC28" s="730">
        <v>0</v>
      </c>
      <c r="JD28" s="730">
        <v>9.7900000000000001E-2</v>
      </c>
      <c r="JE28" s="730">
        <v>0.59840000000000004</v>
      </c>
      <c r="JF28" s="730">
        <v>0.30370000000000003</v>
      </c>
      <c r="JG28" s="730">
        <v>0</v>
      </c>
      <c r="JH28" s="730">
        <v>0</v>
      </c>
      <c r="JI28" s="730">
        <v>0.255</v>
      </c>
      <c r="JJ28" s="730">
        <v>0.61629999999999996</v>
      </c>
      <c r="JK28" s="730">
        <v>0.12870000000000001</v>
      </c>
      <c r="JL28" s="730">
        <v>0</v>
      </c>
      <c r="JM28" s="730">
        <v>0</v>
      </c>
      <c r="JN28" s="730">
        <v>0.1202</v>
      </c>
      <c r="JO28" s="730">
        <v>0.6149</v>
      </c>
      <c r="JP28" s="730">
        <v>0.26490000000000002</v>
      </c>
      <c r="JQ28" s="730">
        <v>0</v>
      </c>
      <c r="JR28" s="730">
        <v>0</v>
      </c>
      <c r="JS28" s="730">
        <v>0.15859999999999999</v>
      </c>
      <c r="JT28" s="730">
        <v>0.62880000000000003</v>
      </c>
      <c r="JU28" s="730">
        <v>0.21260000000000001</v>
      </c>
      <c r="JV28" s="730">
        <v>0</v>
      </c>
      <c r="JW28" s="730">
        <v>0</v>
      </c>
      <c r="JX28" s="730">
        <v>6.4899999999999999E-2</v>
      </c>
      <c r="JY28" s="730">
        <v>0.55549999999999999</v>
      </c>
      <c r="JZ28" s="730">
        <v>0.37959999999999999</v>
      </c>
      <c r="KA28" s="730">
        <v>0</v>
      </c>
      <c r="KB28" s="730">
        <v>0</v>
      </c>
      <c r="KC28" s="657"/>
      <c r="KD28" s="314" t="s">
        <v>2590</v>
      </c>
      <c r="KE28" s="314" t="s">
        <v>2590</v>
      </c>
      <c r="KF28" s="866">
        <v>4.3499999999999996</v>
      </c>
      <c r="KG28" s="314" t="s">
        <v>2589</v>
      </c>
      <c r="KH28" s="315" t="s">
        <v>2908</v>
      </c>
      <c r="KI28" s="314" t="s">
        <v>2909</v>
      </c>
      <c r="KJ28" s="315" t="s">
        <v>3045</v>
      </c>
    </row>
    <row r="29" spans="1:296" ht="48" hidden="1" customHeight="1">
      <c r="A29" s="265">
        <f t="shared" si="99"/>
        <v>22</v>
      </c>
      <c r="B29" s="266" t="s">
        <v>2880</v>
      </c>
      <c r="C29" s="266" t="s">
        <v>1747</v>
      </c>
      <c r="D29" s="624" t="s">
        <v>3046</v>
      </c>
      <c r="E29" s="267" t="s">
        <v>3008</v>
      </c>
      <c r="F29" s="267" t="s">
        <v>3009</v>
      </c>
      <c r="G29" s="267" t="s">
        <v>300</v>
      </c>
      <c r="H29" s="267" t="s">
        <v>2109</v>
      </c>
      <c r="I29" s="268" t="s">
        <v>3047</v>
      </c>
      <c r="J29" s="268" t="s">
        <v>3048</v>
      </c>
      <c r="K29" s="269" t="s">
        <v>2097</v>
      </c>
      <c r="L29" s="269" t="s">
        <v>2109</v>
      </c>
      <c r="M29" s="269" t="s">
        <v>2603</v>
      </c>
      <c r="N29" s="269" t="s">
        <v>2099</v>
      </c>
      <c r="O29" s="267" t="s">
        <v>2212</v>
      </c>
      <c r="P29" s="268"/>
      <c r="Q29" s="270">
        <v>1</v>
      </c>
      <c r="R29" s="271">
        <v>65000</v>
      </c>
      <c r="S29" s="272">
        <v>200</v>
      </c>
      <c r="T29" s="272">
        <v>210</v>
      </c>
      <c r="U29" s="272">
        <v>210</v>
      </c>
      <c r="V29" s="272">
        <v>220</v>
      </c>
      <c r="W29" s="272">
        <f>V29+2</f>
        <v>222</v>
      </c>
      <c r="X29" s="272">
        <f>W29+2</f>
        <v>224</v>
      </c>
      <c r="Y29" s="272">
        <f>X29+2</f>
        <v>226</v>
      </c>
      <c r="Z29" s="272">
        <f>Y29+2</f>
        <v>228</v>
      </c>
      <c r="AA29" s="272">
        <v>230</v>
      </c>
      <c r="AB29" s="272">
        <f>AA29</f>
        <v>230</v>
      </c>
      <c r="AC29" s="272">
        <f>AB29</f>
        <v>230</v>
      </c>
      <c r="AD29" s="272">
        <f>AC29</f>
        <v>230</v>
      </c>
      <c r="AE29" s="272">
        <f>AD29</f>
        <v>230</v>
      </c>
      <c r="AF29" s="272">
        <v>230</v>
      </c>
      <c r="AG29" s="272">
        <f>AF29+1</f>
        <v>231</v>
      </c>
      <c r="AH29" s="272">
        <f>AG29+1</f>
        <v>232</v>
      </c>
      <c r="AI29" s="272">
        <f>AH29+1</f>
        <v>233</v>
      </c>
      <c r="AJ29" s="272">
        <f>AI29+1</f>
        <v>234</v>
      </c>
      <c r="AK29" s="272">
        <f>AJ29+1</f>
        <v>235</v>
      </c>
      <c r="AL29" s="268" t="s">
        <v>2124</v>
      </c>
      <c r="AM29" s="268" t="s">
        <v>3049</v>
      </c>
      <c r="AN29" s="268" t="s">
        <v>2148</v>
      </c>
      <c r="AO29" s="657"/>
      <c r="AP29" s="271">
        <v>11500</v>
      </c>
      <c r="AQ29" s="280">
        <v>504</v>
      </c>
      <c r="AR29" s="280">
        <v>60</v>
      </c>
      <c r="AS29" s="280">
        <v>36</v>
      </c>
      <c r="AT29" s="657"/>
      <c r="AU29" s="301" t="s">
        <v>3050</v>
      </c>
      <c r="AV29" s="572" t="s">
        <v>3051</v>
      </c>
      <c r="AW29" s="645" t="s">
        <v>3052</v>
      </c>
      <c r="AX29" s="290" t="s">
        <v>2890</v>
      </c>
      <c r="AY29" s="657"/>
      <c r="AZ29" s="948">
        <v>115</v>
      </c>
      <c r="BA29" s="948">
        <v>36</v>
      </c>
      <c r="BB29" s="948">
        <v>80</v>
      </c>
      <c r="BC29" s="948">
        <v>120</v>
      </c>
      <c r="BD29" s="825">
        <f t="shared" si="4"/>
        <v>80730</v>
      </c>
      <c r="BE29" s="304">
        <f t="shared" si="5"/>
        <v>26450</v>
      </c>
      <c r="BF29" s="304">
        <f t="shared" si="6"/>
        <v>8280</v>
      </c>
      <c r="BG29" s="304">
        <f t="shared" si="7"/>
        <v>18400</v>
      </c>
      <c r="BH29" s="304">
        <f t="shared" si="8"/>
        <v>27600</v>
      </c>
      <c r="BI29" s="825">
        <f t="shared" si="9"/>
        <v>82485</v>
      </c>
      <c r="BJ29" s="304">
        <f t="shared" si="10"/>
        <v>27025</v>
      </c>
      <c r="BK29" s="304">
        <f t="shared" si="11"/>
        <v>8460</v>
      </c>
      <c r="BL29" s="304">
        <f t="shared" si="12"/>
        <v>18800</v>
      </c>
      <c r="BM29" s="304">
        <f t="shared" si="13"/>
        <v>28200</v>
      </c>
      <c r="BN29" s="657"/>
      <c r="BO29" s="284">
        <v>0.08</v>
      </c>
      <c r="BP29" s="284">
        <v>0.82</v>
      </c>
      <c r="BQ29" s="284">
        <v>0.04</v>
      </c>
      <c r="BR29" s="710">
        <v>0.06</v>
      </c>
      <c r="BS29" s="707">
        <v>7.0000000000000007E-2</v>
      </c>
      <c r="BT29" s="284">
        <v>0.82</v>
      </c>
      <c r="BU29" s="284">
        <v>0.05</v>
      </c>
      <c r="BV29" s="710">
        <v>0.06</v>
      </c>
      <c r="BW29" s="714">
        <v>0.2</v>
      </c>
      <c r="BX29" s="285">
        <v>0.7</v>
      </c>
      <c r="BY29" s="717">
        <v>0.1</v>
      </c>
      <c r="BZ29" s="714">
        <v>0.15</v>
      </c>
      <c r="CA29" s="285">
        <v>0.72</v>
      </c>
      <c r="CB29" s="717">
        <v>0.13</v>
      </c>
      <c r="CC29" s="284">
        <v>0.03</v>
      </c>
      <c r="CD29" s="284">
        <v>0.55000000000000004</v>
      </c>
      <c r="CE29" s="284">
        <v>0.05</v>
      </c>
      <c r="CF29" s="710">
        <v>0.37</v>
      </c>
      <c r="CG29" s="707">
        <v>0.02</v>
      </c>
      <c r="CH29" s="284">
        <v>0.55000000000000004</v>
      </c>
      <c r="CI29" s="284">
        <v>7.0000000000000007E-2</v>
      </c>
      <c r="CJ29" s="710">
        <v>0.36</v>
      </c>
      <c r="CK29" s="720">
        <v>0.15</v>
      </c>
      <c r="CL29" s="286">
        <v>0.75</v>
      </c>
      <c r="CM29" s="718">
        <v>0.1</v>
      </c>
      <c r="CN29" s="720">
        <v>0.05</v>
      </c>
      <c r="CO29" s="286">
        <v>0.78</v>
      </c>
      <c r="CP29" s="718">
        <v>0.17</v>
      </c>
      <c r="CQ29" s="657"/>
      <c r="CR29" s="807">
        <v>10</v>
      </c>
      <c r="CS29" s="808">
        <v>11</v>
      </c>
      <c r="CT29" s="808">
        <v>8</v>
      </c>
      <c r="CU29" s="809">
        <v>9</v>
      </c>
      <c r="CV29" s="807">
        <v>9</v>
      </c>
      <c r="CW29" s="808">
        <v>10</v>
      </c>
      <c r="CX29" s="809">
        <v>8</v>
      </c>
      <c r="CY29" s="807">
        <v>8</v>
      </c>
      <c r="CZ29" s="808">
        <v>11</v>
      </c>
      <c r="DA29" s="808">
        <v>8</v>
      </c>
      <c r="DB29" s="809">
        <v>9</v>
      </c>
      <c r="DC29" s="807">
        <v>9</v>
      </c>
      <c r="DD29" s="808">
        <v>12</v>
      </c>
      <c r="DE29" s="809">
        <v>9</v>
      </c>
      <c r="DF29" s="610" t="s">
        <v>3053</v>
      </c>
      <c r="DG29" s="657"/>
      <c r="DH29" s="288">
        <f t="shared" si="14"/>
        <v>2116</v>
      </c>
      <c r="DI29" s="288">
        <f t="shared" si="15"/>
        <v>21689</v>
      </c>
      <c r="DJ29" s="288">
        <f t="shared" si="16"/>
        <v>1058</v>
      </c>
      <c r="DK29" s="288">
        <f t="shared" si="17"/>
        <v>1587</v>
      </c>
      <c r="DL29" s="560" t="s">
        <v>3054</v>
      </c>
      <c r="DM29" s="288">
        <f t="shared" si="18"/>
        <v>1891.7500000000002</v>
      </c>
      <c r="DN29" s="288">
        <f t="shared" si="19"/>
        <v>22160.5</v>
      </c>
      <c r="DO29" s="288">
        <f t="shared" si="20"/>
        <v>1351.25</v>
      </c>
      <c r="DP29" s="288">
        <f t="shared" si="21"/>
        <v>1621.5</v>
      </c>
      <c r="DQ29" s="561" t="s">
        <v>2893</v>
      </c>
      <c r="DR29" s="657"/>
      <c r="DS29" s="288">
        <f t="shared" si="22"/>
        <v>1656</v>
      </c>
      <c r="DT29" s="288">
        <f t="shared" si="23"/>
        <v>5796</v>
      </c>
      <c r="DU29" s="288">
        <f t="shared" si="24"/>
        <v>828</v>
      </c>
      <c r="DV29" s="561" t="s">
        <v>3039</v>
      </c>
      <c r="DW29" s="288">
        <f t="shared" si="25"/>
        <v>1269</v>
      </c>
      <c r="DX29" s="288">
        <f t="shared" si="26"/>
        <v>6091.2</v>
      </c>
      <c r="DY29" s="288">
        <f t="shared" si="27"/>
        <v>1099.8</v>
      </c>
      <c r="DZ29" s="561" t="s">
        <v>2895</v>
      </c>
      <c r="EA29" s="657"/>
      <c r="EB29" s="288">
        <f t="shared" si="28"/>
        <v>552</v>
      </c>
      <c r="EC29" s="288">
        <f t="shared" si="29"/>
        <v>10120</v>
      </c>
      <c r="ED29" s="288">
        <f t="shared" si="30"/>
        <v>920</v>
      </c>
      <c r="EE29" s="288">
        <f t="shared" si="31"/>
        <v>6808</v>
      </c>
      <c r="EF29" s="561" t="s">
        <v>3055</v>
      </c>
      <c r="EG29" s="288">
        <f t="shared" si="32"/>
        <v>376</v>
      </c>
      <c r="EH29" s="288">
        <f t="shared" si="33"/>
        <v>10340</v>
      </c>
      <c r="EI29" s="288">
        <f t="shared" si="34"/>
        <v>1316.0000000000002</v>
      </c>
      <c r="EJ29" s="288">
        <f t="shared" si="35"/>
        <v>6768</v>
      </c>
      <c r="EK29" s="561" t="s">
        <v>2897</v>
      </c>
      <c r="EL29" s="657"/>
      <c r="EM29" s="288">
        <f t="shared" si="36"/>
        <v>4140</v>
      </c>
      <c r="EN29" s="291">
        <f t="shared" si="37"/>
        <v>20700</v>
      </c>
      <c r="EO29" s="291">
        <f t="shared" si="38"/>
        <v>2760</v>
      </c>
      <c r="EP29" s="561" t="s">
        <v>3056</v>
      </c>
      <c r="EQ29" s="288">
        <f t="shared" si="39"/>
        <v>1410</v>
      </c>
      <c r="ER29" s="291">
        <f t="shared" si="40"/>
        <v>21996</v>
      </c>
      <c r="ES29" s="291">
        <f t="shared" si="41"/>
        <v>4794</v>
      </c>
      <c r="ET29" s="561" t="s">
        <v>2899</v>
      </c>
      <c r="EU29" s="657"/>
      <c r="EV29" s="740">
        <f t="shared" si="42"/>
        <v>0.7949753094857086</v>
      </c>
      <c r="EW29" s="740">
        <f t="shared" si="43"/>
        <v>0.2050246905142914</v>
      </c>
      <c r="EX29" s="563">
        <f t="shared" si="44"/>
        <v>40808.680061959596</v>
      </c>
      <c r="EY29" s="563">
        <f t="shared" si="45"/>
        <v>32441.893061959596</v>
      </c>
      <c r="EZ29" s="563">
        <f t="shared" si="46"/>
        <v>8366.7870000000003</v>
      </c>
      <c r="FA29" s="563">
        <f t="shared" si="47"/>
        <v>13231.595039515152</v>
      </c>
      <c r="FB29" s="563">
        <f t="shared" si="48"/>
        <v>10490.340039515151</v>
      </c>
      <c r="FC29" s="563">
        <f t="shared" si="49"/>
        <v>2741.2550000000001</v>
      </c>
      <c r="FD29" s="563">
        <f t="shared" si="50"/>
        <v>4540.8155919999999</v>
      </c>
      <c r="FE29" s="563">
        <f t="shared" si="51"/>
        <v>3682.6835919999999</v>
      </c>
      <c r="FF29" s="563">
        <f t="shared" si="52"/>
        <v>858.13199999999995</v>
      </c>
      <c r="FG29" s="563">
        <f t="shared" si="53"/>
        <v>9782.8725137777783</v>
      </c>
      <c r="FH29" s="563">
        <f t="shared" si="54"/>
        <v>7875.9125137777783</v>
      </c>
      <c r="FI29" s="563">
        <f t="shared" si="55"/>
        <v>1906.96</v>
      </c>
      <c r="FJ29" s="563">
        <f t="shared" si="56"/>
        <v>13253.396916666667</v>
      </c>
      <c r="FK29" s="563">
        <f t="shared" si="57"/>
        <v>10392.956916666666</v>
      </c>
      <c r="FL29" s="563">
        <f t="shared" si="58"/>
        <v>2860.44</v>
      </c>
      <c r="FM29" s="529"/>
      <c r="FN29" s="564" t="s">
        <v>2649</v>
      </c>
      <c r="FO29" s="740">
        <v>8.1900000000000001E-2</v>
      </c>
      <c r="FP29" s="741">
        <v>0.86189000000000004</v>
      </c>
      <c r="FQ29" s="565" t="s">
        <v>3057</v>
      </c>
      <c r="FR29" s="529"/>
      <c r="FS29" s="867">
        <v>3.39</v>
      </c>
      <c r="FT29" s="566">
        <f>RANK($FS29,$FS$8:$FS$154,0)+COUNTIF($FS$8:$FS120,$FS29)-1</f>
        <v>59</v>
      </c>
      <c r="FU29" s="867">
        <v>4.12</v>
      </c>
      <c r="FV29" s="566">
        <f>RANK($FU29,$FU$8:$FU$154,0)+COUNTIF($FU$8:$FU120,$FU29)-1</f>
        <v>74</v>
      </c>
      <c r="FW29" s="867">
        <v>2.5</v>
      </c>
      <c r="FX29" s="566">
        <f>RANK($FW29,$FW$8:$FW$154,0)+COUNTIF($FW$8:$FW120,$FW29)-1</f>
        <v>36</v>
      </c>
      <c r="FY29" s="529"/>
      <c r="FZ29" s="567" t="s">
        <v>3058</v>
      </c>
      <c r="GA29" s="567" t="s">
        <v>3059</v>
      </c>
      <c r="GB29" s="567" t="s">
        <v>2903</v>
      </c>
      <c r="GC29" s="567" t="s">
        <v>2904</v>
      </c>
      <c r="GD29" s="567" t="s">
        <v>2905</v>
      </c>
      <c r="GE29" s="567" t="s">
        <v>2906</v>
      </c>
      <c r="GF29" s="567" t="str">
        <f t="shared" si="115"/>
        <v>https://www.agencedusport.fr/plan-5000-equipements-generation-2024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29" s="529"/>
      <c r="GH29" s="563">
        <f t="shared" si="59"/>
        <v>1087.908694</v>
      </c>
      <c r="GI29" s="563">
        <f t="shared" si="100"/>
        <v>896.02084400000001</v>
      </c>
      <c r="GJ29" s="563">
        <f t="shared" si="60"/>
        <v>191.88785000000001</v>
      </c>
      <c r="GK29" s="563">
        <f t="shared" si="61"/>
        <v>10523.22675818182</v>
      </c>
      <c r="GL29" s="563">
        <f t="shared" si="101"/>
        <v>8275.3976581818188</v>
      </c>
      <c r="GM29" s="563">
        <f t="shared" si="62"/>
        <v>2247.8290999999999</v>
      </c>
      <c r="GN29" s="563">
        <f t="shared" si="63"/>
        <v>704.01399200000014</v>
      </c>
      <c r="GO29" s="563">
        <f t="shared" si="102"/>
        <v>566.95124200000009</v>
      </c>
      <c r="GP29" s="563">
        <f t="shared" si="64"/>
        <v>137.06275000000002</v>
      </c>
      <c r="GQ29" s="563">
        <f t="shared" si="65"/>
        <v>916.44559533333336</v>
      </c>
      <c r="GR29" s="563">
        <f t="shared" si="103"/>
        <v>751.97029533333341</v>
      </c>
      <c r="GS29" s="563">
        <f t="shared" si="66"/>
        <v>164.4753</v>
      </c>
      <c r="GT29" s="563">
        <f t="shared" si="67"/>
        <v>913.384456</v>
      </c>
      <c r="GU29" s="563">
        <f t="shared" si="104"/>
        <v>784.66465600000004</v>
      </c>
      <c r="GV29" s="563">
        <f t="shared" si="68"/>
        <v>128.71979999999999</v>
      </c>
      <c r="GW29" s="563">
        <f t="shared" si="69"/>
        <v>3072.1730039999998</v>
      </c>
      <c r="GX29" s="563">
        <f t="shared" si="105"/>
        <v>2454.3179639999998</v>
      </c>
      <c r="GY29" s="563">
        <f t="shared" si="70"/>
        <v>617.85503999999992</v>
      </c>
      <c r="GZ29" s="563">
        <f t="shared" si="71"/>
        <v>555.25813200000005</v>
      </c>
      <c r="HA29" s="563">
        <f t="shared" si="106"/>
        <v>443.70097200000004</v>
      </c>
      <c r="HB29" s="563">
        <f t="shared" si="72"/>
        <v>111.55716</v>
      </c>
      <c r="HC29" s="563">
        <f t="shared" si="73"/>
        <v>333.93984800000004</v>
      </c>
      <c r="HD29" s="563">
        <f t="shared" si="107"/>
        <v>295.80064800000002</v>
      </c>
      <c r="HE29" s="563">
        <f t="shared" si="74"/>
        <v>38.139200000000002</v>
      </c>
      <c r="HF29" s="563">
        <f t="shared" si="75"/>
        <v>4910.0952000000007</v>
      </c>
      <c r="HG29" s="563">
        <f t="shared" si="108"/>
        <v>3861.2672000000002</v>
      </c>
      <c r="HH29" s="563">
        <f t="shared" si="76"/>
        <v>1048.8280000000002</v>
      </c>
      <c r="HI29" s="563">
        <f t="shared" si="77"/>
        <v>626.48828000000003</v>
      </c>
      <c r="HJ29" s="563">
        <f t="shared" si="109"/>
        <v>493.00108</v>
      </c>
      <c r="HK29" s="563">
        <f t="shared" si="78"/>
        <v>133.4872</v>
      </c>
      <c r="HL29" s="563">
        <f t="shared" si="79"/>
        <v>3912.3491857777776</v>
      </c>
      <c r="HM29" s="563">
        <f t="shared" si="110"/>
        <v>3225.8435857777777</v>
      </c>
      <c r="HN29" s="563">
        <f t="shared" si="80"/>
        <v>686.50559999999996</v>
      </c>
      <c r="HO29" s="563">
        <f t="shared" si="81"/>
        <v>2104.6836400000002</v>
      </c>
      <c r="HP29" s="563">
        <f t="shared" si="111"/>
        <v>1961.6616400000003</v>
      </c>
      <c r="HQ29" s="563">
        <f t="shared" si="82"/>
        <v>143.02200000000002</v>
      </c>
      <c r="HR29" s="563">
        <f t="shared" si="83"/>
        <v>9354.6640499999994</v>
      </c>
      <c r="HS29" s="563">
        <f t="shared" si="112"/>
        <v>7123.5208499999999</v>
      </c>
      <c r="HT29" s="563">
        <f t="shared" si="84"/>
        <v>2231.1432</v>
      </c>
      <c r="HU29" s="563">
        <f t="shared" si="85"/>
        <v>1794.049226666667</v>
      </c>
      <c r="HV29" s="563">
        <f t="shared" si="113"/>
        <v>1307.7744266666668</v>
      </c>
      <c r="HW29" s="563">
        <f t="shared" si="86"/>
        <v>486.27480000000003</v>
      </c>
      <c r="HX29" s="544"/>
      <c r="HY29" s="568">
        <f t="shared" si="87"/>
        <v>80730</v>
      </c>
      <c r="HZ29" s="568">
        <f t="shared" si="88"/>
        <v>4304.9790000000003</v>
      </c>
      <c r="IA29" s="568">
        <f t="shared" si="89"/>
        <v>40303.521000000001</v>
      </c>
      <c r="IB29" s="568">
        <f t="shared" si="90"/>
        <v>33601.735000000001</v>
      </c>
      <c r="IC29" s="568">
        <f t="shared" si="91"/>
        <v>2519.7649999999999</v>
      </c>
      <c r="ID29" s="568">
        <f t="shared" si="92"/>
        <v>0</v>
      </c>
      <c r="IE29" s="568">
        <f t="shared" si="93"/>
        <v>32441.893061959599</v>
      </c>
      <c r="IF29" s="568">
        <f t="shared" si="94"/>
        <v>535.54885183154556</v>
      </c>
      <c r="IG29" s="568">
        <f t="shared" si="95"/>
        <v>11339.699137639129</v>
      </c>
      <c r="IH29" s="568">
        <f t="shared" si="96"/>
        <v>18151.635993814263</v>
      </c>
      <c r="II29" s="568">
        <f t="shared" si="97"/>
        <v>2415.0090786746605</v>
      </c>
      <c r="IJ29" s="568">
        <f t="shared" si="98"/>
        <v>0</v>
      </c>
      <c r="IK29" s="868">
        <v>3.82</v>
      </c>
      <c r="IL29" s="569" t="s">
        <v>2780</v>
      </c>
      <c r="IM29" s="570" t="s">
        <v>3060</v>
      </c>
      <c r="IN29" s="529"/>
      <c r="IO29" s="742">
        <v>3.39E-2</v>
      </c>
      <c r="IP29" s="742">
        <v>0.4365</v>
      </c>
      <c r="IQ29" s="742">
        <v>0.49590000000000001</v>
      </c>
      <c r="IR29" s="742">
        <v>3.3700000000000001E-2</v>
      </c>
      <c r="IS29" s="742">
        <v>0</v>
      </c>
      <c r="IT29" s="742">
        <v>3.0000000000000001E-3</v>
      </c>
      <c r="IU29" s="742">
        <v>0.26850000000000002</v>
      </c>
      <c r="IV29" s="742">
        <v>0.61119999999999997</v>
      </c>
      <c r="IW29" s="742">
        <v>0.1173</v>
      </c>
      <c r="IX29" s="742">
        <v>0</v>
      </c>
      <c r="IY29" s="742">
        <v>4.8300000000000003E-2</v>
      </c>
      <c r="IZ29" s="742">
        <v>0.51919999999999999</v>
      </c>
      <c r="JA29" s="742">
        <v>0.40250000000000002</v>
      </c>
      <c r="JB29" s="742">
        <v>0.03</v>
      </c>
      <c r="JC29" s="742">
        <v>0</v>
      </c>
      <c r="JD29" s="742">
        <v>1.6400000000000001E-2</v>
      </c>
      <c r="JE29" s="742">
        <v>0.3614</v>
      </c>
      <c r="JF29" s="742">
        <v>0.55859999999999999</v>
      </c>
      <c r="JG29" s="742">
        <v>6.3600000000000004E-2</v>
      </c>
      <c r="JH29" s="742">
        <v>0</v>
      </c>
      <c r="JI29" s="742">
        <v>9.6600000000000005E-2</v>
      </c>
      <c r="JJ29" s="742">
        <v>0.56100000000000005</v>
      </c>
      <c r="JK29" s="742">
        <v>0.31240000000000001</v>
      </c>
      <c r="JL29" s="742">
        <v>0.03</v>
      </c>
      <c r="JM29" s="742">
        <v>0</v>
      </c>
      <c r="JN29" s="742">
        <v>3.7199999999999997E-2</v>
      </c>
      <c r="JO29" s="742">
        <v>0.45040000000000002</v>
      </c>
      <c r="JP29" s="742">
        <v>0.4824</v>
      </c>
      <c r="JQ29" s="742">
        <v>0.03</v>
      </c>
      <c r="JR29" s="742">
        <v>0</v>
      </c>
      <c r="JS29" s="742">
        <v>4.4600000000000001E-2</v>
      </c>
      <c r="JT29" s="742">
        <v>0.51219999999999999</v>
      </c>
      <c r="JU29" s="742">
        <v>0.41320000000000001</v>
      </c>
      <c r="JV29" s="742">
        <v>0.03</v>
      </c>
      <c r="JW29" s="742">
        <v>0</v>
      </c>
      <c r="JX29" s="742">
        <v>1.4500000000000001E-2</v>
      </c>
      <c r="JY29" s="742">
        <v>0.35070000000000001</v>
      </c>
      <c r="JZ29" s="742">
        <v>0.56610000000000005</v>
      </c>
      <c r="KA29" s="742">
        <v>6.8699999999999997E-2</v>
      </c>
      <c r="KB29" s="742">
        <v>0</v>
      </c>
      <c r="KC29" s="657"/>
      <c r="KD29" s="832" t="s">
        <v>2591</v>
      </c>
      <c r="KE29" s="832" t="s">
        <v>2591</v>
      </c>
      <c r="KF29" s="869">
        <v>3.75</v>
      </c>
      <c r="KG29" s="832" t="s">
        <v>2626</v>
      </c>
      <c r="KH29" s="833" t="s">
        <v>3061</v>
      </c>
      <c r="KI29" s="832" t="s">
        <v>3062</v>
      </c>
      <c r="KJ29" s="833" t="s">
        <v>3063</v>
      </c>
    </row>
    <row r="30" spans="1:296" ht="48" hidden="1" customHeight="1">
      <c r="A30" s="273">
        <f t="shared" si="99"/>
        <v>23</v>
      </c>
      <c r="B30" s="274" t="s">
        <v>2880</v>
      </c>
      <c r="C30" s="274" t="s">
        <v>1747</v>
      </c>
      <c r="D30" s="274" t="s">
        <v>3064</v>
      </c>
      <c r="E30" s="275" t="s">
        <v>3008</v>
      </c>
      <c r="F30" s="275" t="s">
        <v>3009</v>
      </c>
      <c r="G30" s="275" t="s">
        <v>300</v>
      </c>
      <c r="H30" s="275" t="s">
        <v>2109</v>
      </c>
      <c r="I30" s="276" t="s">
        <v>3065</v>
      </c>
      <c r="J30" s="276" t="s">
        <v>3066</v>
      </c>
      <c r="K30" s="277" t="s">
        <v>2097</v>
      </c>
      <c r="L30" s="277" t="s">
        <v>2109</v>
      </c>
      <c r="M30" s="277" t="s">
        <v>2603</v>
      </c>
      <c r="N30" s="277" t="s">
        <v>2099</v>
      </c>
      <c r="O30" s="275" t="s">
        <v>2212</v>
      </c>
      <c r="P30" s="276"/>
      <c r="Q30" s="270">
        <v>1</v>
      </c>
      <c r="R30" s="278">
        <v>15000</v>
      </c>
      <c r="S30" s="279">
        <v>4600</v>
      </c>
      <c r="T30" s="279">
        <v>4500</v>
      </c>
      <c r="U30" s="279">
        <v>4400</v>
      </c>
      <c r="V30" s="279">
        <v>4300</v>
      </c>
      <c r="W30" s="279">
        <v>4250</v>
      </c>
      <c r="X30" s="279">
        <v>4200</v>
      </c>
      <c r="Y30" s="279">
        <v>4150</v>
      </c>
      <c r="Z30" s="279">
        <v>4100</v>
      </c>
      <c r="AA30" s="279">
        <v>4050</v>
      </c>
      <c r="AB30" s="279">
        <v>4000</v>
      </c>
      <c r="AC30" s="279">
        <v>3950</v>
      </c>
      <c r="AD30" s="279">
        <v>3900</v>
      </c>
      <c r="AE30" s="279">
        <v>3875</v>
      </c>
      <c r="AF30" s="279">
        <v>3850</v>
      </c>
      <c r="AG30" s="279">
        <v>3825</v>
      </c>
      <c r="AH30" s="279">
        <v>3800</v>
      </c>
      <c r="AI30" s="279">
        <v>3775</v>
      </c>
      <c r="AJ30" s="279">
        <v>3750</v>
      </c>
      <c r="AK30" s="279">
        <v>3725</v>
      </c>
      <c r="AL30" s="276" t="s">
        <v>3067</v>
      </c>
      <c r="AM30" s="276" t="s">
        <v>3068</v>
      </c>
      <c r="AN30" s="276" t="s">
        <v>3069</v>
      </c>
      <c r="AO30" s="657"/>
      <c r="AP30" s="278">
        <v>180</v>
      </c>
      <c r="AQ30" s="278">
        <v>130</v>
      </c>
      <c r="AR30" s="278">
        <v>35</v>
      </c>
      <c r="AS30" s="278">
        <v>15</v>
      </c>
      <c r="AT30" s="657"/>
      <c r="AU30" s="281" t="s">
        <v>3070</v>
      </c>
      <c r="AV30" s="296" t="s">
        <v>3071</v>
      </c>
      <c r="AW30" s="296" t="s">
        <v>2976</v>
      </c>
      <c r="AX30" s="276" t="s">
        <v>2977</v>
      </c>
      <c r="AY30" s="657"/>
      <c r="AZ30" s="947">
        <v>8</v>
      </c>
      <c r="BA30" s="947">
        <v>6</v>
      </c>
      <c r="BB30" s="947">
        <v>2</v>
      </c>
      <c r="BC30" s="947">
        <v>7</v>
      </c>
      <c r="BD30" s="826">
        <f t="shared" si="4"/>
        <v>88550</v>
      </c>
      <c r="BE30" s="283">
        <f t="shared" si="5"/>
        <v>30800</v>
      </c>
      <c r="BF30" s="283">
        <f t="shared" si="6"/>
        <v>23100</v>
      </c>
      <c r="BG30" s="283">
        <f t="shared" si="7"/>
        <v>7700</v>
      </c>
      <c r="BH30" s="283">
        <f t="shared" si="8"/>
        <v>26950</v>
      </c>
      <c r="BI30" s="826">
        <f t="shared" si="9"/>
        <v>85675</v>
      </c>
      <c r="BJ30" s="283">
        <f t="shared" si="10"/>
        <v>29800</v>
      </c>
      <c r="BK30" s="283">
        <f t="shared" si="11"/>
        <v>22350</v>
      </c>
      <c r="BL30" s="283">
        <f t="shared" si="12"/>
        <v>7450</v>
      </c>
      <c r="BM30" s="283">
        <f t="shared" si="13"/>
        <v>26075</v>
      </c>
      <c r="BN30" s="657"/>
      <c r="BO30" s="305">
        <v>0.1</v>
      </c>
      <c r="BP30" s="305">
        <v>0.76</v>
      </c>
      <c r="BQ30" s="305">
        <v>0.08</v>
      </c>
      <c r="BR30" s="581">
        <v>0.06</v>
      </c>
      <c r="BS30" s="706">
        <v>0.08</v>
      </c>
      <c r="BT30" s="305">
        <v>0.76</v>
      </c>
      <c r="BU30" s="305">
        <v>0.1</v>
      </c>
      <c r="BV30" s="581">
        <v>0.06</v>
      </c>
      <c r="BW30" s="713">
        <v>0.15</v>
      </c>
      <c r="BX30" s="306">
        <v>0.8</v>
      </c>
      <c r="BY30" s="590">
        <v>0.05</v>
      </c>
      <c r="BZ30" s="713">
        <v>0.12</v>
      </c>
      <c r="CA30" s="306">
        <v>0.82</v>
      </c>
      <c r="CB30" s="590">
        <v>0.06</v>
      </c>
      <c r="CC30" s="706">
        <v>0.05</v>
      </c>
      <c r="CD30" s="305">
        <v>0.55000000000000004</v>
      </c>
      <c r="CE30" s="305">
        <v>0.1</v>
      </c>
      <c r="CF30" s="581">
        <v>0.3</v>
      </c>
      <c r="CG30" s="706">
        <v>0.04</v>
      </c>
      <c r="CH30" s="305">
        <v>0.55000000000000004</v>
      </c>
      <c r="CI30" s="305">
        <v>0.12</v>
      </c>
      <c r="CJ30" s="581">
        <v>0.28999999999999998</v>
      </c>
      <c r="CK30" s="719">
        <v>0.25</v>
      </c>
      <c r="CL30" s="307">
        <v>0.55000000000000004</v>
      </c>
      <c r="CM30" s="723">
        <v>0.2</v>
      </c>
      <c r="CN30" s="719">
        <v>0.15</v>
      </c>
      <c r="CO30" s="307">
        <v>0.57999999999999996</v>
      </c>
      <c r="CP30" s="723">
        <v>0.27</v>
      </c>
      <c r="CQ30" s="657"/>
      <c r="CR30" s="804">
        <v>10</v>
      </c>
      <c r="CS30" s="805">
        <v>11</v>
      </c>
      <c r="CT30" s="805">
        <v>8</v>
      </c>
      <c r="CU30" s="806">
        <v>10</v>
      </c>
      <c r="CV30" s="804">
        <v>8</v>
      </c>
      <c r="CW30" s="805">
        <v>8</v>
      </c>
      <c r="CX30" s="806">
        <v>7</v>
      </c>
      <c r="CY30" s="804">
        <v>8</v>
      </c>
      <c r="CZ30" s="805">
        <v>10</v>
      </c>
      <c r="DA30" s="805">
        <v>7</v>
      </c>
      <c r="DB30" s="806">
        <v>9</v>
      </c>
      <c r="DC30" s="804">
        <v>10</v>
      </c>
      <c r="DD30" s="805">
        <v>11</v>
      </c>
      <c r="DE30" s="806">
        <v>8</v>
      </c>
      <c r="DF30" s="609" t="s">
        <v>3072</v>
      </c>
      <c r="DG30" s="657"/>
      <c r="DH30" s="308">
        <f t="shared" si="14"/>
        <v>3080</v>
      </c>
      <c r="DI30" s="308">
        <f t="shared" si="15"/>
        <v>23408</v>
      </c>
      <c r="DJ30" s="308">
        <f t="shared" si="16"/>
        <v>2464</v>
      </c>
      <c r="DK30" s="308">
        <f t="shared" si="17"/>
        <v>1848</v>
      </c>
      <c r="DL30" s="287" t="s">
        <v>3073</v>
      </c>
      <c r="DM30" s="308">
        <f t="shared" si="18"/>
        <v>2384</v>
      </c>
      <c r="DN30" s="308">
        <f t="shared" si="19"/>
        <v>22648</v>
      </c>
      <c r="DO30" s="308">
        <f t="shared" si="20"/>
        <v>2980</v>
      </c>
      <c r="DP30" s="308">
        <f t="shared" si="21"/>
        <v>1788</v>
      </c>
      <c r="DQ30" s="289" t="s">
        <v>2644</v>
      </c>
      <c r="DR30" s="657"/>
      <c r="DS30" s="308">
        <f t="shared" si="22"/>
        <v>3465</v>
      </c>
      <c r="DT30" s="308">
        <f t="shared" si="23"/>
        <v>18480</v>
      </c>
      <c r="DU30" s="308">
        <f t="shared" si="24"/>
        <v>1155</v>
      </c>
      <c r="DV30" s="289" t="s">
        <v>3074</v>
      </c>
      <c r="DW30" s="308">
        <f t="shared" si="25"/>
        <v>2682</v>
      </c>
      <c r="DX30" s="308">
        <f t="shared" si="26"/>
        <v>18327</v>
      </c>
      <c r="DY30" s="308">
        <f t="shared" si="27"/>
        <v>1341</v>
      </c>
      <c r="DZ30" s="289" t="s">
        <v>2981</v>
      </c>
      <c r="EA30" s="657"/>
      <c r="EB30" s="308">
        <f t="shared" si="28"/>
        <v>385</v>
      </c>
      <c r="EC30" s="308">
        <f t="shared" si="29"/>
        <v>4235</v>
      </c>
      <c r="ED30" s="308">
        <f t="shared" si="30"/>
        <v>770</v>
      </c>
      <c r="EE30" s="308">
        <f t="shared" si="31"/>
        <v>2310</v>
      </c>
      <c r="EF30" s="289" t="s">
        <v>3075</v>
      </c>
      <c r="EG30" s="308">
        <f t="shared" si="32"/>
        <v>298</v>
      </c>
      <c r="EH30" s="308">
        <f t="shared" si="33"/>
        <v>4097.5</v>
      </c>
      <c r="EI30" s="308">
        <f t="shared" si="34"/>
        <v>894</v>
      </c>
      <c r="EJ30" s="308">
        <f t="shared" si="35"/>
        <v>2160.5</v>
      </c>
      <c r="EK30" s="309" t="s">
        <v>2983</v>
      </c>
      <c r="EL30" s="657"/>
      <c r="EM30" s="308">
        <f t="shared" si="36"/>
        <v>6737.5</v>
      </c>
      <c r="EN30" s="310">
        <f t="shared" si="37"/>
        <v>14822.500000000002</v>
      </c>
      <c r="EO30" s="310">
        <f t="shared" si="38"/>
        <v>5390</v>
      </c>
      <c r="EP30" s="289" t="s">
        <v>3076</v>
      </c>
      <c r="EQ30" s="308">
        <f t="shared" si="39"/>
        <v>3911.25</v>
      </c>
      <c r="ER30" s="310">
        <f t="shared" si="40"/>
        <v>15123.499999999998</v>
      </c>
      <c r="ES30" s="310">
        <f t="shared" si="41"/>
        <v>7040.2500000000009</v>
      </c>
      <c r="ET30" s="289" t="s">
        <v>2985</v>
      </c>
      <c r="EU30" s="657"/>
      <c r="EV30" s="728">
        <f t="shared" si="42"/>
        <v>0.87246195865195997</v>
      </c>
      <c r="EW30" s="728">
        <f t="shared" si="43"/>
        <v>0.12753804134804</v>
      </c>
      <c r="EX30" s="311">
        <f t="shared" si="44"/>
        <v>46032.265651461035</v>
      </c>
      <c r="EY30" s="311">
        <f t="shared" si="45"/>
        <v>40161.400651461037</v>
      </c>
      <c r="EZ30" s="311">
        <f t="shared" si="46"/>
        <v>5870.8649999999998</v>
      </c>
      <c r="FA30" s="311">
        <f t="shared" si="47"/>
        <v>14757.393981818183</v>
      </c>
      <c r="FB30" s="311">
        <f t="shared" si="48"/>
        <v>12715.353981818182</v>
      </c>
      <c r="FC30" s="311">
        <f t="shared" si="49"/>
        <v>2042.04</v>
      </c>
      <c r="FD30" s="311">
        <f t="shared" si="50"/>
        <v>13768.151183035716</v>
      </c>
      <c r="FE30" s="311">
        <f t="shared" si="51"/>
        <v>12236.621183035715</v>
      </c>
      <c r="FF30" s="311">
        <f t="shared" si="52"/>
        <v>1531.53</v>
      </c>
      <c r="FG30" s="311">
        <f t="shared" si="53"/>
        <v>4091.9467366071431</v>
      </c>
      <c r="FH30" s="311">
        <f t="shared" si="54"/>
        <v>3581.4367366071428</v>
      </c>
      <c r="FI30" s="311">
        <f t="shared" si="55"/>
        <v>510.51</v>
      </c>
      <c r="FJ30" s="311">
        <f t="shared" si="56"/>
        <v>13414.77375</v>
      </c>
      <c r="FK30" s="311">
        <f t="shared" si="57"/>
        <v>11627.98875</v>
      </c>
      <c r="FL30" s="311">
        <f t="shared" si="58"/>
        <v>1786.7849999999999</v>
      </c>
      <c r="FM30" s="657"/>
      <c r="FN30" s="293" t="s">
        <v>2649</v>
      </c>
      <c r="FO30" s="728">
        <v>6.6299999999999998E-2</v>
      </c>
      <c r="FP30" s="729">
        <v>0.80054999999999998</v>
      </c>
      <c r="FQ30" s="294" t="s">
        <v>3023</v>
      </c>
      <c r="FR30" s="657"/>
      <c r="FS30" s="865">
        <v>3.59</v>
      </c>
      <c r="FT30" s="312">
        <f>RANK($FS30,$FS$8:$FS$154,0)+COUNTIF($FS$8:$FS30,$FS30)-1</f>
        <v>33</v>
      </c>
      <c r="FU30" s="865">
        <v>4.49</v>
      </c>
      <c r="FV30" s="312">
        <f>RANK($FU30,$FU$8:$FU$154,0)+COUNTIF($FU$8:$FU30,$FU30)-1</f>
        <v>14</v>
      </c>
      <c r="FW30" s="865">
        <v>2</v>
      </c>
      <c r="FX30" s="312">
        <f>RANK($FW30,$FW$8:$FW$154,0)+COUNTIF($FW$8:$FW30,$FW30)-1</f>
        <v>95</v>
      </c>
      <c r="FY30" s="657"/>
      <c r="FZ30" s="296" t="s">
        <v>3024</v>
      </c>
      <c r="GA30" s="296" t="s">
        <v>3077</v>
      </c>
      <c r="GB30" s="296" t="s">
        <v>2653</v>
      </c>
      <c r="GC30" s="296" t="s">
        <v>2654</v>
      </c>
      <c r="GD30" s="296" t="s">
        <v>2655</v>
      </c>
      <c r="GE30" s="296" t="s">
        <v>2656</v>
      </c>
      <c r="GF30" s="296" t="str">
        <f t="shared" si="115"/>
        <v>https://www.agencedusport.fr/plan-5000-equipements-generation-2024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30" s="657"/>
      <c r="GH30" s="311">
        <f t="shared" si="59"/>
        <v>1492.2762</v>
      </c>
      <c r="GI30" s="311">
        <f t="shared" si="100"/>
        <v>1328.913</v>
      </c>
      <c r="GJ30" s="311">
        <f t="shared" si="60"/>
        <v>163.36320000000001</v>
      </c>
      <c r="GK30" s="311">
        <f t="shared" si="61"/>
        <v>10844.152581818182</v>
      </c>
      <c r="GL30" s="311">
        <f t="shared" si="101"/>
        <v>9292.202181818182</v>
      </c>
      <c r="GM30" s="311">
        <f t="shared" si="62"/>
        <v>1551.9503999999999</v>
      </c>
      <c r="GN30" s="311">
        <f t="shared" si="63"/>
        <v>1501.0949999999998</v>
      </c>
      <c r="GO30" s="311">
        <f t="shared" si="102"/>
        <v>1296.8909999999998</v>
      </c>
      <c r="GP30" s="311">
        <f t="shared" si="64"/>
        <v>204.20400000000001</v>
      </c>
      <c r="GQ30" s="311">
        <f t="shared" si="65"/>
        <v>919.87020000000007</v>
      </c>
      <c r="GR30" s="311">
        <f t="shared" si="103"/>
        <v>797.34780000000012</v>
      </c>
      <c r="GS30" s="311">
        <f t="shared" si="66"/>
        <v>122.52239999999999</v>
      </c>
      <c r="GT30" s="311">
        <f t="shared" si="67"/>
        <v>2007.53656875</v>
      </c>
      <c r="GU30" s="311">
        <f t="shared" si="104"/>
        <v>1823.75296875</v>
      </c>
      <c r="GV30" s="311">
        <f t="shared" si="68"/>
        <v>183.78359999999998</v>
      </c>
      <c r="GW30" s="311">
        <f t="shared" si="69"/>
        <v>10982.537100000001</v>
      </c>
      <c r="GX30" s="311">
        <f t="shared" si="105"/>
        <v>9726.6825000000008</v>
      </c>
      <c r="GY30" s="311">
        <f t="shared" si="70"/>
        <v>1255.8545999999999</v>
      </c>
      <c r="GZ30" s="311">
        <f t="shared" si="71"/>
        <v>778.07751428571419</v>
      </c>
      <c r="HA30" s="311">
        <f t="shared" si="106"/>
        <v>686.1857142857142</v>
      </c>
      <c r="HB30" s="311">
        <f t="shared" si="72"/>
        <v>91.891799999999989</v>
      </c>
      <c r="HC30" s="311">
        <f t="shared" si="73"/>
        <v>223.05961875</v>
      </c>
      <c r="HD30" s="311">
        <f t="shared" si="107"/>
        <v>202.63921875</v>
      </c>
      <c r="HE30" s="311">
        <f t="shared" si="74"/>
        <v>20.420400000000001</v>
      </c>
      <c r="HF30" s="311">
        <f t="shared" si="75"/>
        <v>2108.035875</v>
      </c>
      <c r="HG30" s="311">
        <f t="shared" si="108"/>
        <v>1827.255375</v>
      </c>
      <c r="HH30" s="311">
        <f t="shared" si="76"/>
        <v>280.78050000000002</v>
      </c>
      <c r="HI30" s="311">
        <f t="shared" si="77"/>
        <v>518.71834285714283</v>
      </c>
      <c r="HJ30" s="311">
        <f t="shared" si="109"/>
        <v>457.45714285714286</v>
      </c>
      <c r="HK30" s="311">
        <f t="shared" si="78"/>
        <v>61.261199999999995</v>
      </c>
      <c r="HL30" s="311">
        <f t="shared" si="79"/>
        <v>1242.1329000000001</v>
      </c>
      <c r="HM30" s="311">
        <f t="shared" si="110"/>
        <v>1094.085</v>
      </c>
      <c r="HN30" s="311">
        <f t="shared" si="80"/>
        <v>148.0479</v>
      </c>
      <c r="HO30" s="311">
        <f t="shared" si="81"/>
        <v>3175.0149375000001</v>
      </c>
      <c r="HP30" s="311">
        <f t="shared" si="111"/>
        <v>2906.9971875000001</v>
      </c>
      <c r="HQ30" s="311">
        <f t="shared" si="82"/>
        <v>268.01774999999998</v>
      </c>
      <c r="HR30" s="311">
        <f t="shared" si="83"/>
        <v>6920.3778000000011</v>
      </c>
      <c r="HS30" s="311">
        <f t="shared" si="112"/>
        <v>5884.0425000000014</v>
      </c>
      <c r="HT30" s="311">
        <f t="shared" si="84"/>
        <v>1036.3352999999997</v>
      </c>
      <c r="HU30" s="311">
        <f t="shared" si="85"/>
        <v>3319.3810125</v>
      </c>
      <c r="HV30" s="311">
        <f t="shared" si="113"/>
        <v>2836.9490624999999</v>
      </c>
      <c r="HW30" s="311">
        <f t="shared" si="86"/>
        <v>482.43194999999997</v>
      </c>
      <c r="HY30" s="313">
        <f t="shared" si="87"/>
        <v>88550</v>
      </c>
      <c r="HZ30" s="313">
        <f t="shared" si="88"/>
        <v>15007.3</v>
      </c>
      <c r="IA30" s="313">
        <f t="shared" si="89"/>
        <v>51146.095000000001</v>
      </c>
      <c r="IB30" s="313">
        <f t="shared" si="90"/>
        <v>20907.04</v>
      </c>
      <c r="IC30" s="313">
        <f t="shared" si="91"/>
        <v>1489.5650000000001</v>
      </c>
      <c r="ID30" s="313">
        <f t="shared" si="92"/>
        <v>0</v>
      </c>
      <c r="IE30" s="313">
        <f t="shared" si="93"/>
        <v>40161.400651461045</v>
      </c>
      <c r="IF30" s="313">
        <f t="shared" si="94"/>
        <v>6101.0605670703171</v>
      </c>
      <c r="IG30" s="313">
        <f t="shared" si="95"/>
        <v>22342.651418802787</v>
      </c>
      <c r="IH30" s="313">
        <f t="shared" si="96"/>
        <v>10175.876043284512</v>
      </c>
      <c r="II30" s="313">
        <f t="shared" si="97"/>
        <v>1381.1670196975811</v>
      </c>
      <c r="IJ30" s="313">
        <f t="shared" si="98"/>
        <v>160.64560260584415</v>
      </c>
      <c r="IK30" s="866">
        <v>4.1399999999999997</v>
      </c>
      <c r="IL30" s="314" t="s">
        <v>2589</v>
      </c>
      <c r="IM30" s="299" t="s">
        <v>3078</v>
      </c>
      <c r="IN30" s="657"/>
      <c r="IO30" s="730">
        <v>0.16</v>
      </c>
      <c r="IP30" s="730">
        <v>0.56999999999999995</v>
      </c>
      <c r="IQ30" s="730">
        <v>0.25</v>
      </c>
      <c r="IR30" s="730">
        <v>0.02</v>
      </c>
      <c r="IS30" s="730">
        <v>0</v>
      </c>
      <c r="IT30" s="730">
        <v>0.14230000000000001</v>
      </c>
      <c r="IU30" s="730">
        <v>0.54830000000000001</v>
      </c>
      <c r="IV30" s="730">
        <v>0.26769999999999999</v>
      </c>
      <c r="IW30" s="730">
        <v>3.7699999999999997E-2</v>
      </c>
      <c r="IX30" s="730">
        <v>4.0000000000000001E-3</v>
      </c>
      <c r="IY30" s="730">
        <v>0.16259999999999999</v>
      </c>
      <c r="IZ30" s="730">
        <v>0.57909999999999995</v>
      </c>
      <c r="JA30" s="730">
        <v>0.2419</v>
      </c>
      <c r="JB30" s="730">
        <v>1.6400000000000001E-2</v>
      </c>
      <c r="JC30" s="730">
        <v>0</v>
      </c>
      <c r="JD30" s="730">
        <v>0.1449</v>
      </c>
      <c r="JE30" s="730">
        <v>0.55740000000000001</v>
      </c>
      <c r="JF30" s="730">
        <v>0.2596</v>
      </c>
      <c r="JG30" s="730">
        <v>3.4099999999999998E-2</v>
      </c>
      <c r="JH30" s="730">
        <v>4.0000000000000001E-3</v>
      </c>
      <c r="JI30" s="730">
        <v>0.22969999999999999</v>
      </c>
      <c r="JJ30" s="730">
        <v>0.61360000000000003</v>
      </c>
      <c r="JK30" s="730">
        <v>0.14949999999999999</v>
      </c>
      <c r="JL30" s="730">
        <v>7.1999999999999998E-3</v>
      </c>
      <c r="JM30" s="730">
        <v>0</v>
      </c>
      <c r="JN30" s="730">
        <v>0.21199999999999999</v>
      </c>
      <c r="JO30" s="730">
        <v>0.59189999999999998</v>
      </c>
      <c r="JP30" s="730">
        <v>0.16719999999999999</v>
      </c>
      <c r="JQ30" s="730">
        <v>2.4899999999999999E-2</v>
      </c>
      <c r="JR30" s="730">
        <v>4.0000000000000001E-3</v>
      </c>
      <c r="JS30" s="730">
        <v>0.16900000000000001</v>
      </c>
      <c r="JT30" s="730">
        <v>0.57469999999999999</v>
      </c>
      <c r="JU30" s="730">
        <v>0.24</v>
      </c>
      <c r="JV30" s="730">
        <v>1.6299999999999999E-2</v>
      </c>
      <c r="JW30" s="730">
        <v>0</v>
      </c>
      <c r="JX30" s="730">
        <v>0.15129999999999999</v>
      </c>
      <c r="JY30" s="730">
        <v>0.55300000000000005</v>
      </c>
      <c r="JZ30" s="730">
        <v>0.25769999999999998</v>
      </c>
      <c r="KA30" s="730">
        <v>3.4000000000000002E-2</v>
      </c>
      <c r="KB30" s="730">
        <v>4.0000000000000001E-3</v>
      </c>
      <c r="KC30" s="657"/>
      <c r="KD30" s="314" t="s">
        <v>2590</v>
      </c>
      <c r="KE30" s="314" t="s">
        <v>2590</v>
      </c>
      <c r="KF30" s="866">
        <v>4.09</v>
      </c>
      <c r="KG30" s="314" t="s">
        <v>2589</v>
      </c>
      <c r="KH30" s="315" t="s">
        <v>3027</v>
      </c>
      <c r="KI30" s="314" t="s">
        <v>3028</v>
      </c>
      <c r="KJ30" s="315" t="s">
        <v>3079</v>
      </c>
    </row>
    <row r="31" spans="1:296" ht="48" hidden="1" customHeight="1">
      <c r="A31" s="265">
        <f t="shared" si="99"/>
        <v>24</v>
      </c>
      <c r="B31" s="266" t="s">
        <v>2880</v>
      </c>
      <c r="C31" s="266" t="s">
        <v>1747</v>
      </c>
      <c r="D31" s="624" t="s">
        <v>3080</v>
      </c>
      <c r="E31" s="267" t="s">
        <v>3008</v>
      </c>
      <c r="F31" s="267" t="s">
        <v>3009</v>
      </c>
      <c r="G31" s="267" t="s">
        <v>300</v>
      </c>
      <c r="H31" s="267" t="s">
        <v>2109</v>
      </c>
      <c r="I31" s="268" t="s">
        <v>3081</v>
      </c>
      <c r="J31" s="268" t="s">
        <v>3082</v>
      </c>
      <c r="K31" s="269" t="s">
        <v>2097</v>
      </c>
      <c r="L31" s="269" t="s">
        <v>2109</v>
      </c>
      <c r="M31" s="269" t="s">
        <v>2603</v>
      </c>
      <c r="N31" s="269" t="s">
        <v>2099</v>
      </c>
      <c r="O31" s="267" t="s">
        <v>2212</v>
      </c>
      <c r="P31" s="268"/>
      <c r="Q31" s="270">
        <v>1</v>
      </c>
      <c r="R31" s="271">
        <v>5000</v>
      </c>
      <c r="S31" s="272">
        <v>520</v>
      </c>
      <c r="T31" s="272">
        <v>470</v>
      </c>
      <c r="U31" s="272">
        <v>410</v>
      </c>
      <c r="V31" s="272">
        <v>360</v>
      </c>
      <c r="W31" s="272">
        <f>V31-8</f>
        <v>352</v>
      </c>
      <c r="X31" s="272">
        <f>W31-8</f>
        <v>344</v>
      </c>
      <c r="Y31" s="272">
        <f>X31-8</f>
        <v>336</v>
      </c>
      <c r="Z31" s="272">
        <f>Y31-8</f>
        <v>328</v>
      </c>
      <c r="AA31" s="272">
        <v>320</v>
      </c>
      <c r="AB31" s="272">
        <f>AA31-6</f>
        <v>314</v>
      </c>
      <c r="AC31" s="272">
        <f>AB31-6</f>
        <v>308</v>
      </c>
      <c r="AD31" s="272">
        <f>AC31-6</f>
        <v>302</v>
      </c>
      <c r="AE31" s="272">
        <f>AD31-6</f>
        <v>296</v>
      </c>
      <c r="AF31" s="272">
        <v>290</v>
      </c>
      <c r="AG31" s="272">
        <f>AF31-8</f>
        <v>282</v>
      </c>
      <c r="AH31" s="272">
        <f>AG31-8</f>
        <v>274</v>
      </c>
      <c r="AI31" s="272">
        <f>AH31-8</f>
        <v>266</v>
      </c>
      <c r="AJ31" s="272">
        <f>AI31-8</f>
        <v>258</v>
      </c>
      <c r="AK31" s="272">
        <v>250</v>
      </c>
      <c r="AL31" s="268" t="s">
        <v>2124</v>
      </c>
      <c r="AM31" s="268" t="s">
        <v>3083</v>
      </c>
      <c r="AN31" s="268" t="s">
        <v>2148</v>
      </c>
      <c r="AO31" s="657"/>
      <c r="AP31" s="271">
        <v>600</v>
      </c>
      <c r="AQ31" s="280">
        <v>504</v>
      </c>
      <c r="AR31" s="280">
        <v>60</v>
      </c>
      <c r="AS31" s="280">
        <v>36</v>
      </c>
      <c r="AT31" s="657"/>
      <c r="AU31" s="301" t="s">
        <v>3084</v>
      </c>
      <c r="AV31" s="572" t="s">
        <v>3085</v>
      </c>
      <c r="AW31" s="645" t="s">
        <v>3086</v>
      </c>
      <c r="AX31" s="290" t="s">
        <v>2890</v>
      </c>
      <c r="AY31" s="657"/>
      <c r="AZ31" s="948">
        <v>30</v>
      </c>
      <c r="BA31" s="948">
        <v>65</v>
      </c>
      <c r="BB31" s="948">
        <v>5</v>
      </c>
      <c r="BC31" s="948">
        <v>20</v>
      </c>
      <c r="BD31" s="825">
        <f t="shared" si="4"/>
        <v>34800</v>
      </c>
      <c r="BE31" s="304">
        <f t="shared" si="5"/>
        <v>8700</v>
      </c>
      <c r="BF31" s="304">
        <f t="shared" si="6"/>
        <v>18850</v>
      </c>
      <c r="BG31" s="304">
        <f t="shared" si="7"/>
        <v>1450</v>
      </c>
      <c r="BH31" s="304">
        <f t="shared" si="8"/>
        <v>5800</v>
      </c>
      <c r="BI31" s="825">
        <f t="shared" si="9"/>
        <v>30000</v>
      </c>
      <c r="BJ31" s="304">
        <f t="shared" si="10"/>
        <v>7500</v>
      </c>
      <c r="BK31" s="304">
        <f t="shared" si="11"/>
        <v>16250</v>
      </c>
      <c r="BL31" s="304">
        <f t="shared" si="12"/>
        <v>1250</v>
      </c>
      <c r="BM31" s="304">
        <f t="shared" si="13"/>
        <v>5000</v>
      </c>
      <c r="BN31" s="657"/>
      <c r="BO31" s="284">
        <v>0.1</v>
      </c>
      <c r="BP31" s="284">
        <v>0.76</v>
      </c>
      <c r="BQ31" s="284">
        <v>0.08</v>
      </c>
      <c r="BR31" s="710">
        <v>0.06</v>
      </c>
      <c r="BS31" s="707">
        <v>0.08</v>
      </c>
      <c r="BT31" s="284">
        <v>0.76</v>
      </c>
      <c r="BU31" s="284">
        <v>0.1</v>
      </c>
      <c r="BV31" s="710">
        <v>0.06</v>
      </c>
      <c r="BW31" s="714">
        <v>0.15</v>
      </c>
      <c r="BX31" s="285">
        <v>0.8</v>
      </c>
      <c r="BY31" s="717">
        <v>0.05</v>
      </c>
      <c r="BZ31" s="714">
        <v>0.12</v>
      </c>
      <c r="CA31" s="285">
        <v>0.82</v>
      </c>
      <c r="CB31" s="717">
        <v>0.06</v>
      </c>
      <c r="CC31" s="284">
        <v>0.05</v>
      </c>
      <c r="CD31" s="284">
        <v>0.55000000000000004</v>
      </c>
      <c r="CE31" s="284">
        <v>0.1</v>
      </c>
      <c r="CF31" s="710">
        <v>0.3</v>
      </c>
      <c r="CG31" s="707">
        <v>0.04</v>
      </c>
      <c r="CH31" s="284">
        <v>0.55000000000000004</v>
      </c>
      <c r="CI31" s="284">
        <v>0.12</v>
      </c>
      <c r="CJ31" s="710">
        <v>0.28999999999999998</v>
      </c>
      <c r="CK31" s="720">
        <v>0.25</v>
      </c>
      <c r="CL31" s="286">
        <v>0.55000000000000004</v>
      </c>
      <c r="CM31" s="718">
        <v>0.2</v>
      </c>
      <c r="CN31" s="720">
        <v>0.15</v>
      </c>
      <c r="CO31" s="286">
        <v>0.57999999999999996</v>
      </c>
      <c r="CP31" s="718">
        <v>0.27</v>
      </c>
      <c r="CQ31" s="657"/>
      <c r="CR31" s="807">
        <v>10</v>
      </c>
      <c r="CS31" s="808">
        <v>11</v>
      </c>
      <c r="CT31" s="808">
        <v>8</v>
      </c>
      <c r="CU31" s="809">
        <v>9</v>
      </c>
      <c r="CV31" s="807">
        <v>9</v>
      </c>
      <c r="CW31" s="808">
        <v>10</v>
      </c>
      <c r="CX31" s="809">
        <v>8</v>
      </c>
      <c r="CY31" s="807">
        <v>8</v>
      </c>
      <c r="CZ31" s="808">
        <v>11</v>
      </c>
      <c r="DA31" s="808">
        <v>8</v>
      </c>
      <c r="DB31" s="809">
        <v>9</v>
      </c>
      <c r="DC31" s="807">
        <v>9</v>
      </c>
      <c r="DD31" s="808">
        <v>12</v>
      </c>
      <c r="DE31" s="809">
        <v>9</v>
      </c>
      <c r="DF31" s="610" t="s">
        <v>3087</v>
      </c>
      <c r="DG31" s="657"/>
      <c r="DH31" s="288">
        <f t="shared" si="14"/>
        <v>870</v>
      </c>
      <c r="DI31" s="288">
        <f t="shared" si="15"/>
        <v>6612</v>
      </c>
      <c r="DJ31" s="288">
        <f t="shared" si="16"/>
        <v>696</v>
      </c>
      <c r="DK31" s="288">
        <f t="shared" si="17"/>
        <v>522</v>
      </c>
      <c r="DL31" s="560" t="s">
        <v>2958</v>
      </c>
      <c r="DM31" s="288">
        <f t="shared" si="18"/>
        <v>600</v>
      </c>
      <c r="DN31" s="288">
        <f t="shared" si="19"/>
        <v>5700</v>
      </c>
      <c r="DO31" s="288">
        <f t="shared" si="20"/>
        <v>750</v>
      </c>
      <c r="DP31" s="288">
        <f t="shared" si="21"/>
        <v>450</v>
      </c>
      <c r="DQ31" s="561" t="s">
        <v>2893</v>
      </c>
      <c r="DR31" s="657"/>
      <c r="DS31" s="288">
        <f t="shared" si="22"/>
        <v>2827.5</v>
      </c>
      <c r="DT31" s="288">
        <f t="shared" si="23"/>
        <v>15080</v>
      </c>
      <c r="DU31" s="288">
        <f t="shared" si="24"/>
        <v>942.5</v>
      </c>
      <c r="DV31" s="561" t="s">
        <v>2959</v>
      </c>
      <c r="DW31" s="288">
        <f t="shared" si="25"/>
        <v>1950</v>
      </c>
      <c r="DX31" s="288">
        <f t="shared" si="26"/>
        <v>13325</v>
      </c>
      <c r="DY31" s="288">
        <f t="shared" si="27"/>
        <v>975</v>
      </c>
      <c r="DZ31" s="561" t="s">
        <v>2895</v>
      </c>
      <c r="EA31" s="657"/>
      <c r="EB31" s="288">
        <f t="shared" si="28"/>
        <v>72.5</v>
      </c>
      <c r="EC31" s="288">
        <f t="shared" si="29"/>
        <v>797.50000000000011</v>
      </c>
      <c r="ED31" s="288">
        <f t="shared" si="30"/>
        <v>145</v>
      </c>
      <c r="EE31" s="288">
        <f t="shared" si="31"/>
        <v>435</v>
      </c>
      <c r="EF31" s="561" t="s">
        <v>2960</v>
      </c>
      <c r="EG31" s="288">
        <f t="shared" si="32"/>
        <v>50</v>
      </c>
      <c r="EH31" s="288">
        <f t="shared" si="33"/>
        <v>687.5</v>
      </c>
      <c r="EI31" s="288">
        <f t="shared" si="34"/>
        <v>150</v>
      </c>
      <c r="EJ31" s="288">
        <f t="shared" si="35"/>
        <v>362.5</v>
      </c>
      <c r="EK31" s="561" t="s">
        <v>2897</v>
      </c>
      <c r="EL31" s="657"/>
      <c r="EM31" s="288">
        <f t="shared" si="36"/>
        <v>1450</v>
      </c>
      <c r="EN31" s="291">
        <f t="shared" si="37"/>
        <v>3190.0000000000005</v>
      </c>
      <c r="EO31" s="291">
        <f t="shared" si="38"/>
        <v>1160</v>
      </c>
      <c r="EP31" s="561" t="s">
        <v>2961</v>
      </c>
      <c r="EQ31" s="288">
        <f t="shared" si="39"/>
        <v>750</v>
      </c>
      <c r="ER31" s="291">
        <f t="shared" si="40"/>
        <v>2900</v>
      </c>
      <c r="ES31" s="291">
        <f t="shared" si="41"/>
        <v>1350</v>
      </c>
      <c r="ET31" s="561" t="s">
        <v>2899</v>
      </c>
      <c r="EU31" s="657"/>
      <c r="EV31" s="740">
        <f t="shared" si="42"/>
        <v>0.88964442909803421</v>
      </c>
      <c r="EW31" s="740">
        <f t="shared" si="43"/>
        <v>0.11035557090196577</v>
      </c>
      <c r="EX31" s="563">
        <f t="shared" si="44"/>
        <v>18078.688585393938</v>
      </c>
      <c r="EY31" s="563">
        <f t="shared" si="45"/>
        <v>16083.604585393938</v>
      </c>
      <c r="EZ31" s="563">
        <f t="shared" si="46"/>
        <v>1995.0839999999998</v>
      </c>
      <c r="FA31" s="563">
        <f t="shared" si="47"/>
        <v>4384.7846587272725</v>
      </c>
      <c r="FB31" s="563">
        <f t="shared" si="48"/>
        <v>3886.0136587272723</v>
      </c>
      <c r="FC31" s="563">
        <f t="shared" si="49"/>
        <v>498.77100000000002</v>
      </c>
      <c r="FD31" s="563">
        <f t="shared" si="50"/>
        <v>9974.6200097916662</v>
      </c>
      <c r="FE31" s="563">
        <f t="shared" si="51"/>
        <v>8893.9495097916661</v>
      </c>
      <c r="FF31" s="563">
        <f t="shared" si="52"/>
        <v>1080.6704999999999</v>
      </c>
      <c r="FG31" s="563">
        <f t="shared" si="53"/>
        <v>763.46223520833337</v>
      </c>
      <c r="FH31" s="563">
        <f t="shared" si="54"/>
        <v>680.33373520833334</v>
      </c>
      <c r="FI31" s="563">
        <f t="shared" si="55"/>
        <v>83.128500000000003</v>
      </c>
      <c r="FJ31" s="563">
        <f t="shared" si="56"/>
        <v>2955.8216816666672</v>
      </c>
      <c r="FK31" s="563">
        <f t="shared" si="57"/>
        <v>2623.3076816666671</v>
      </c>
      <c r="FL31" s="563">
        <f t="shared" si="58"/>
        <v>332.51400000000001</v>
      </c>
      <c r="FM31" s="529"/>
      <c r="FN31" s="564" t="s">
        <v>2649</v>
      </c>
      <c r="FO31" s="740">
        <v>5.7329999999999999E-2</v>
      </c>
      <c r="FP31" s="741">
        <v>0.79642999999999997</v>
      </c>
      <c r="FQ31" s="565" t="s">
        <v>3088</v>
      </c>
      <c r="FR31" s="529"/>
      <c r="FS31" s="867">
        <v>3.28</v>
      </c>
      <c r="FT31" s="566">
        <f>RANK($FS31,$FS$8:$FS$154,0)+COUNTIF($FS$8:$FS120,$FS31)-1</f>
        <v>80</v>
      </c>
      <c r="FU31" s="867">
        <v>4.3</v>
      </c>
      <c r="FV31" s="566">
        <f>RANK($FU31,$FU$8:$FU$154,0)+COUNTIF($FU$8:$FU120,$FU31)-1</f>
        <v>31</v>
      </c>
      <c r="FW31" s="867">
        <v>2.0299999999999998</v>
      </c>
      <c r="FX31" s="566">
        <f>RANK($FW31,$FW$8:$FW$154,0)+COUNTIF($FW$8:$FW120,$FW31)-1</f>
        <v>92</v>
      </c>
      <c r="FY31" s="529"/>
      <c r="FZ31" s="567" t="s">
        <v>3089</v>
      </c>
      <c r="GA31" s="567" t="s">
        <v>3090</v>
      </c>
      <c r="GB31" s="567" t="s">
        <v>2965</v>
      </c>
      <c r="GC31" s="567" t="s">
        <v>2966</v>
      </c>
      <c r="GD31" s="567" t="s">
        <v>3091</v>
      </c>
      <c r="GE31" s="567" t="s">
        <v>3092</v>
      </c>
      <c r="GF31" s="567" t="str">
        <f t="shared" si="115"/>
        <v>https://www.agencedusport.fr/plan-5000-equipements-generation-2024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31" s="529"/>
      <c r="GH31" s="563">
        <f t="shared" si="59"/>
        <v>441.30240000000003</v>
      </c>
      <c r="GI31" s="563">
        <f t="shared" si="100"/>
        <v>401.40072000000004</v>
      </c>
      <c r="GJ31" s="563">
        <f t="shared" si="60"/>
        <v>39.901679999999999</v>
      </c>
      <c r="GK31" s="563">
        <f t="shared" si="61"/>
        <v>3218.4113127272722</v>
      </c>
      <c r="GL31" s="563">
        <f t="shared" si="101"/>
        <v>2839.3453527272723</v>
      </c>
      <c r="GM31" s="563">
        <f t="shared" si="62"/>
        <v>379.06596000000002</v>
      </c>
      <c r="GN31" s="563">
        <f t="shared" si="63"/>
        <v>433.59707400000002</v>
      </c>
      <c r="GO31" s="563">
        <f t="shared" si="102"/>
        <v>383.71997400000004</v>
      </c>
      <c r="GP31" s="563">
        <f t="shared" si="64"/>
        <v>49.877100000000006</v>
      </c>
      <c r="GQ31" s="563">
        <f t="shared" si="65"/>
        <v>291.47387199999997</v>
      </c>
      <c r="GR31" s="563">
        <f t="shared" si="103"/>
        <v>261.54761199999996</v>
      </c>
      <c r="GS31" s="563">
        <f t="shared" si="66"/>
        <v>29.926259999999999</v>
      </c>
      <c r="GT31" s="563">
        <f t="shared" si="67"/>
        <v>1546.3966916666666</v>
      </c>
      <c r="GU31" s="563">
        <f t="shared" si="104"/>
        <v>1416.7162316666665</v>
      </c>
      <c r="GV31" s="563">
        <f t="shared" si="68"/>
        <v>129.68045999999998</v>
      </c>
      <c r="GW31" s="563">
        <f t="shared" si="69"/>
        <v>7843.7622899999997</v>
      </c>
      <c r="GX31" s="563">
        <f t="shared" si="105"/>
        <v>6957.6124799999998</v>
      </c>
      <c r="GY31" s="563">
        <f t="shared" si="70"/>
        <v>886.14980999999989</v>
      </c>
      <c r="GZ31" s="563">
        <f t="shared" si="71"/>
        <v>584.46102812499998</v>
      </c>
      <c r="HA31" s="563">
        <f t="shared" si="106"/>
        <v>519.62079812499996</v>
      </c>
      <c r="HB31" s="563">
        <f t="shared" si="72"/>
        <v>64.840229999999991</v>
      </c>
      <c r="HC31" s="563">
        <f t="shared" si="73"/>
        <v>43.295970624999995</v>
      </c>
      <c r="HD31" s="563">
        <f t="shared" si="107"/>
        <v>39.970830624999998</v>
      </c>
      <c r="HE31" s="563">
        <f t="shared" si="74"/>
        <v>3.3251400000000002</v>
      </c>
      <c r="HF31" s="563">
        <f t="shared" si="75"/>
        <v>388.18557500000009</v>
      </c>
      <c r="HG31" s="563">
        <f t="shared" si="108"/>
        <v>342.46490000000006</v>
      </c>
      <c r="HH31" s="563">
        <f t="shared" si="76"/>
        <v>45.720675000000007</v>
      </c>
      <c r="HI31" s="563">
        <f t="shared" si="77"/>
        <v>89.917081249999995</v>
      </c>
      <c r="HJ31" s="563">
        <f t="shared" si="109"/>
        <v>79.941661249999996</v>
      </c>
      <c r="HK31" s="563">
        <f t="shared" si="78"/>
        <v>9.9754199999999997</v>
      </c>
      <c r="HL31" s="563">
        <f t="shared" si="79"/>
        <v>242.06360833333332</v>
      </c>
      <c r="HM31" s="563">
        <f t="shared" si="110"/>
        <v>217.95634333333331</v>
      </c>
      <c r="HN31" s="563">
        <f t="shared" si="80"/>
        <v>24.107264999999998</v>
      </c>
      <c r="HO31" s="563">
        <f t="shared" si="81"/>
        <v>776.39824444444446</v>
      </c>
      <c r="HP31" s="563">
        <f t="shared" si="111"/>
        <v>726.52114444444442</v>
      </c>
      <c r="HQ31" s="563">
        <f t="shared" si="82"/>
        <v>49.877099999999999</v>
      </c>
      <c r="HR31" s="563">
        <f t="shared" si="83"/>
        <v>1508.4277416666669</v>
      </c>
      <c r="HS31" s="563">
        <f t="shared" si="112"/>
        <v>1315.569621666667</v>
      </c>
      <c r="HT31" s="563">
        <f t="shared" si="84"/>
        <v>192.85811999999999</v>
      </c>
      <c r="HU31" s="563">
        <f t="shared" si="85"/>
        <v>670.99569555555559</v>
      </c>
      <c r="HV31" s="563">
        <f t="shared" si="113"/>
        <v>581.2169155555556</v>
      </c>
      <c r="HW31" s="563">
        <f t="shared" si="86"/>
        <v>89.778780000000012</v>
      </c>
      <c r="HX31" s="544"/>
      <c r="HY31" s="568">
        <f t="shared" si="87"/>
        <v>34800.000000000007</v>
      </c>
      <c r="HZ31" s="568">
        <f t="shared" si="88"/>
        <v>7297.7049999999999</v>
      </c>
      <c r="IA31" s="568">
        <f t="shared" si="89"/>
        <v>21658.215000000004</v>
      </c>
      <c r="IB31" s="568">
        <f t="shared" si="90"/>
        <v>5844.08</v>
      </c>
      <c r="IC31" s="568">
        <f t="shared" si="91"/>
        <v>0</v>
      </c>
      <c r="ID31" s="568">
        <f t="shared" si="92"/>
        <v>0</v>
      </c>
      <c r="IE31" s="568">
        <f t="shared" si="93"/>
        <v>16083.604585393939</v>
      </c>
      <c r="IF31" s="568">
        <f t="shared" si="94"/>
        <v>1774.7071785365908</v>
      </c>
      <c r="IG31" s="568">
        <f t="shared" si="95"/>
        <v>9672.3235546677533</v>
      </c>
      <c r="IH31" s="568">
        <f t="shared" si="96"/>
        <v>4636.5738521895937</v>
      </c>
      <c r="II31" s="568">
        <f t="shared" si="97"/>
        <v>0</v>
      </c>
      <c r="IJ31" s="568">
        <f t="shared" si="98"/>
        <v>0</v>
      </c>
      <c r="IK31" s="868">
        <v>4.22</v>
      </c>
      <c r="IL31" s="569" t="s">
        <v>2589</v>
      </c>
      <c r="IM31" s="570" t="s">
        <v>2907</v>
      </c>
      <c r="IN31" s="529"/>
      <c r="IO31" s="742">
        <v>0.14269999999999999</v>
      </c>
      <c r="IP31" s="742">
        <v>0.62480000000000002</v>
      </c>
      <c r="IQ31" s="742">
        <v>0.23250000000000001</v>
      </c>
      <c r="IR31" s="742">
        <v>0</v>
      </c>
      <c r="IS31" s="742">
        <v>0</v>
      </c>
      <c r="IT31" s="742">
        <v>6.7500000000000004E-2</v>
      </c>
      <c r="IU31" s="742">
        <v>0.55989999999999995</v>
      </c>
      <c r="IV31" s="742">
        <v>0.37259999999999999</v>
      </c>
      <c r="IW31" s="742">
        <v>0</v>
      </c>
      <c r="IX31" s="742">
        <v>0</v>
      </c>
      <c r="IY31" s="742">
        <v>0.24410000000000001</v>
      </c>
      <c r="IZ31" s="742">
        <v>0.62</v>
      </c>
      <c r="JA31" s="742">
        <v>0.13589999999999999</v>
      </c>
      <c r="JB31" s="742">
        <v>0</v>
      </c>
      <c r="JC31" s="742">
        <v>0</v>
      </c>
      <c r="JD31" s="742">
        <v>0.13139999999999999</v>
      </c>
      <c r="JE31" s="742">
        <v>0.62070000000000003</v>
      </c>
      <c r="JF31" s="742">
        <v>0.24790000000000001</v>
      </c>
      <c r="JG31" s="742">
        <v>0</v>
      </c>
      <c r="JH31" s="742">
        <v>0</v>
      </c>
      <c r="JI31" s="742">
        <v>0.28299999999999997</v>
      </c>
      <c r="JJ31" s="742">
        <v>0.60509999999999997</v>
      </c>
      <c r="JK31" s="742">
        <v>0.1119</v>
      </c>
      <c r="JL31" s="742">
        <v>0</v>
      </c>
      <c r="JM31" s="742">
        <v>0</v>
      </c>
      <c r="JN31" s="742">
        <v>0.15859999999999999</v>
      </c>
      <c r="JO31" s="742">
        <v>0.62880000000000003</v>
      </c>
      <c r="JP31" s="742">
        <v>0.21260000000000001</v>
      </c>
      <c r="JQ31" s="742">
        <v>0</v>
      </c>
      <c r="JR31" s="742">
        <v>0</v>
      </c>
      <c r="JS31" s="742">
        <v>0.18010000000000001</v>
      </c>
      <c r="JT31" s="742">
        <v>0.63070000000000004</v>
      </c>
      <c r="JU31" s="742">
        <v>0.18920000000000001</v>
      </c>
      <c r="JV31" s="742">
        <v>0</v>
      </c>
      <c r="JW31" s="742">
        <v>0</v>
      </c>
      <c r="JX31" s="742">
        <v>8.9899999999999994E-2</v>
      </c>
      <c r="JY31" s="742">
        <v>0.59019999999999995</v>
      </c>
      <c r="JZ31" s="742">
        <v>0.31990000000000002</v>
      </c>
      <c r="KA31" s="742">
        <v>0</v>
      </c>
      <c r="KB31" s="742">
        <v>0</v>
      </c>
      <c r="KC31" s="657"/>
      <c r="KD31" s="832" t="s">
        <v>2590</v>
      </c>
      <c r="KE31" s="832" t="s">
        <v>2590</v>
      </c>
      <c r="KF31" s="869">
        <v>4.28</v>
      </c>
      <c r="KG31" s="832" t="s">
        <v>2589</v>
      </c>
      <c r="KH31" s="833" t="s">
        <v>2908</v>
      </c>
      <c r="KI31" s="832" t="s">
        <v>2909</v>
      </c>
      <c r="KJ31" s="833" t="s">
        <v>3093</v>
      </c>
    </row>
    <row r="32" spans="1:296" ht="48" hidden="1" customHeight="1">
      <c r="A32" s="273">
        <f t="shared" si="99"/>
        <v>25</v>
      </c>
      <c r="B32" s="274" t="s">
        <v>2880</v>
      </c>
      <c r="C32" s="274" t="s">
        <v>1747</v>
      </c>
      <c r="D32" s="274" t="s">
        <v>3094</v>
      </c>
      <c r="E32" s="275" t="s">
        <v>3095</v>
      </c>
      <c r="F32" s="275" t="s">
        <v>2631</v>
      </c>
      <c r="G32" s="275" t="s">
        <v>300</v>
      </c>
      <c r="H32" s="275" t="s">
        <v>2109</v>
      </c>
      <c r="I32" s="276" t="s">
        <v>3096</v>
      </c>
      <c r="J32" s="276" t="s">
        <v>3097</v>
      </c>
      <c r="K32" s="277" t="s">
        <v>2097</v>
      </c>
      <c r="L32" s="277" t="s">
        <v>2109</v>
      </c>
      <c r="M32" s="277" t="s">
        <v>2603</v>
      </c>
      <c r="N32" s="277" t="s">
        <v>2099</v>
      </c>
      <c r="O32" s="275" t="s">
        <v>2616</v>
      </c>
      <c r="P32" s="276"/>
      <c r="Q32" s="270">
        <v>1</v>
      </c>
      <c r="R32" s="278">
        <v>1250</v>
      </c>
      <c r="S32" s="279">
        <v>2700</v>
      </c>
      <c r="T32" s="279">
        <v>2900</v>
      </c>
      <c r="U32" s="279">
        <v>3050</v>
      </c>
      <c r="V32" s="279">
        <v>3150</v>
      </c>
      <c r="W32" s="279">
        <v>3160</v>
      </c>
      <c r="X32" s="279">
        <v>3170</v>
      </c>
      <c r="Y32" s="279">
        <v>3180</v>
      </c>
      <c r="Z32" s="279">
        <v>3190</v>
      </c>
      <c r="AA32" s="279">
        <v>3200</v>
      </c>
      <c r="AB32" s="279">
        <v>3220</v>
      </c>
      <c r="AC32" s="279">
        <v>3240</v>
      </c>
      <c r="AD32" s="279">
        <v>3260</v>
      </c>
      <c r="AE32" s="279">
        <v>3280</v>
      </c>
      <c r="AF32" s="279">
        <v>3300</v>
      </c>
      <c r="AG32" s="279">
        <v>3320</v>
      </c>
      <c r="AH32" s="279">
        <v>3340</v>
      </c>
      <c r="AI32" s="279">
        <v>3360</v>
      </c>
      <c r="AJ32" s="279">
        <v>3380</v>
      </c>
      <c r="AK32" s="279">
        <v>3400</v>
      </c>
      <c r="AL32" s="276" t="s">
        <v>2124</v>
      </c>
      <c r="AM32" s="276" t="s">
        <v>2954</v>
      </c>
      <c r="AN32" s="276"/>
      <c r="AO32" s="657"/>
      <c r="AP32" s="278">
        <v>120</v>
      </c>
      <c r="AQ32" s="278">
        <v>95</v>
      </c>
      <c r="AR32" s="278">
        <v>18</v>
      </c>
      <c r="AS32" s="278">
        <v>7</v>
      </c>
      <c r="AT32" s="657"/>
      <c r="AU32" s="281" t="s">
        <v>3098</v>
      </c>
      <c r="AV32" s="296" t="s">
        <v>3099</v>
      </c>
      <c r="AW32" s="296" t="s">
        <v>2917</v>
      </c>
      <c r="AX32" s="276" t="s">
        <v>2977</v>
      </c>
      <c r="AY32" s="657"/>
      <c r="AZ32" s="947">
        <v>8</v>
      </c>
      <c r="BA32" s="947">
        <v>12</v>
      </c>
      <c r="BB32" s="947">
        <v>1</v>
      </c>
      <c r="BC32" s="947">
        <v>6</v>
      </c>
      <c r="BD32" s="826">
        <f t="shared" si="4"/>
        <v>89100</v>
      </c>
      <c r="BE32" s="283">
        <f t="shared" si="5"/>
        <v>26400</v>
      </c>
      <c r="BF32" s="283">
        <f t="shared" si="6"/>
        <v>39600</v>
      </c>
      <c r="BG32" s="283">
        <f t="shared" si="7"/>
        <v>3300</v>
      </c>
      <c r="BH32" s="283">
        <f t="shared" si="8"/>
        <v>19800</v>
      </c>
      <c r="BI32" s="826">
        <f t="shared" si="9"/>
        <v>91800</v>
      </c>
      <c r="BJ32" s="283">
        <f t="shared" si="10"/>
        <v>27200</v>
      </c>
      <c r="BK32" s="283">
        <f t="shared" si="11"/>
        <v>40800</v>
      </c>
      <c r="BL32" s="283">
        <f t="shared" si="12"/>
        <v>3400</v>
      </c>
      <c r="BM32" s="283">
        <f t="shared" si="13"/>
        <v>20400</v>
      </c>
      <c r="BN32" s="657"/>
      <c r="BO32" s="305">
        <v>0.1</v>
      </c>
      <c r="BP32" s="305">
        <v>0.76</v>
      </c>
      <c r="BQ32" s="305">
        <v>0.08</v>
      </c>
      <c r="BR32" s="581">
        <v>0.06</v>
      </c>
      <c r="BS32" s="706">
        <v>0.08</v>
      </c>
      <c r="BT32" s="305">
        <v>0.76</v>
      </c>
      <c r="BU32" s="305">
        <v>0.1</v>
      </c>
      <c r="BV32" s="581">
        <v>0.06</v>
      </c>
      <c r="BW32" s="713">
        <v>0.15</v>
      </c>
      <c r="BX32" s="306">
        <v>0.8</v>
      </c>
      <c r="BY32" s="590">
        <v>0.05</v>
      </c>
      <c r="BZ32" s="713">
        <v>0.12</v>
      </c>
      <c r="CA32" s="306">
        <v>0.82</v>
      </c>
      <c r="CB32" s="590">
        <v>0.06</v>
      </c>
      <c r="CC32" s="706">
        <v>0.05</v>
      </c>
      <c r="CD32" s="305">
        <v>0.55000000000000004</v>
      </c>
      <c r="CE32" s="305">
        <v>0.1</v>
      </c>
      <c r="CF32" s="581">
        <v>0.3</v>
      </c>
      <c r="CG32" s="706">
        <v>0.04</v>
      </c>
      <c r="CH32" s="305">
        <v>0.55000000000000004</v>
      </c>
      <c r="CI32" s="305">
        <v>0.12</v>
      </c>
      <c r="CJ32" s="581">
        <v>0.28999999999999998</v>
      </c>
      <c r="CK32" s="719">
        <v>0.25</v>
      </c>
      <c r="CL32" s="307">
        <v>0.55000000000000004</v>
      </c>
      <c r="CM32" s="723">
        <v>0.2</v>
      </c>
      <c r="CN32" s="719">
        <v>0.15</v>
      </c>
      <c r="CO32" s="307">
        <v>0.57999999999999996</v>
      </c>
      <c r="CP32" s="723">
        <v>0.27</v>
      </c>
      <c r="CQ32" s="657"/>
      <c r="CR32" s="804">
        <v>10</v>
      </c>
      <c r="CS32" s="805">
        <v>11</v>
      </c>
      <c r="CT32" s="805">
        <v>8</v>
      </c>
      <c r="CU32" s="806">
        <v>10</v>
      </c>
      <c r="CV32" s="804">
        <v>8</v>
      </c>
      <c r="CW32" s="805">
        <v>8</v>
      </c>
      <c r="CX32" s="806">
        <v>7</v>
      </c>
      <c r="CY32" s="804">
        <v>8</v>
      </c>
      <c r="CZ32" s="805">
        <v>10</v>
      </c>
      <c r="DA32" s="805">
        <v>7</v>
      </c>
      <c r="DB32" s="806">
        <v>9</v>
      </c>
      <c r="DC32" s="804">
        <v>10</v>
      </c>
      <c r="DD32" s="805">
        <v>11</v>
      </c>
      <c r="DE32" s="806">
        <v>8</v>
      </c>
      <c r="DF32" s="609" t="s">
        <v>3100</v>
      </c>
      <c r="DG32" s="657"/>
      <c r="DH32" s="308">
        <f t="shared" si="14"/>
        <v>2640</v>
      </c>
      <c r="DI32" s="308">
        <f t="shared" si="15"/>
        <v>20064</v>
      </c>
      <c r="DJ32" s="308">
        <f t="shared" si="16"/>
        <v>2112</v>
      </c>
      <c r="DK32" s="308">
        <f t="shared" si="17"/>
        <v>1584</v>
      </c>
      <c r="DL32" s="287" t="s">
        <v>3101</v>
      </c>
      <c r="DM32" s="308">
        <f t="shared" si="18"/>
        <v>2176</v>
      </c>
      <c r="DN32" s="308">
        <f t="shared" si="19"/>
        <v>20672</v>
      </c>
      <c r="DO32" s="308">
        <f t="shared" si="20"/>
        <v>2720</v>
      </c>
      <c r="DP32" s="308">
        <f t="shared" si="21"/>
        <v>1632</v>
      </c>
      <c r="DQ32" s="289" t="s">
        <v>2644</v>
      </c>
      <c r="DR32" s="657"/>
      <c r="DS32" s="308">
        <f t="shared" si="22"/>
        <v>5940</v>
      </c>
      <c r="DT32" s="308">
        <f t="shared" si="23"/>
        <v>31680</v>
      </c>
      <c r="DU32" s="308">
        <f t="shared" si="24"/>
        <v>1980</v>
      </c>
      <c r="DV32" s="289" t="s">
        <v>3102</v>
      </c>
      <c r="DW32" s="308">
        <f t="shared" si="25"/>
        <v>4896</v>
      </c>
      <c r="DX32" s="308">
        <f t="shared" si="26"/>
        <v>33456</v>
      </c>
      <c r="DY32" s="308">
        <f t="shared" si="27"/>
        <v>2448</v>
      </c>
      <c r="DZ32" s="289" t="s">
        <v>2981</v>
      </c>
      <c r="EA32" s="657"/>
      <c r="EB32" s="308">
        <f t="shared" si="28"/>
        <v>165</v>
      </c>
      <c r="EC32" s="308">
        <f t="shared" si="29"/>
        <v>1815.0000000000002</v>
      </c>
      <c r="ED32" s="308">
        <f t="shared" si="30"/>
        <v>330</v>
      </c>
      <c r="EE32" s="308">
        <f t="shared" si="31"/>
        <v>990</v>
      </c>
      <c r="EF32" s="289" t="s">
        <v>3103</v>
      </c>
      <c r="EG32" s="308">
        <f t="shared" si="32"/>
        <v>136</v>
      </c>
      <c r="EH32" s="308">
        <f t="shared" si="33"/>
        <v>1870.0000000000002</v>
      </c>
      <c r="EI32" s="308">
        <f t="shared" si="34"/>
        <v>408</v>
      </c>
      <c r="EJ32" s="308">
        <f t="shared" si="35"/>
        <v>985.99999999999989</v>
      </c>
      <c r="EK32" s="309" t="s">
        <v>2983</v>
      </c>
      <c r="EL32" s="657"/>
      <c r="EM32" s="308">
        <f t="shared" si="36"/>
        <v>4950</v>
      </c>
      <c r="EN32" s="310">
        <f t="shared" si="37"/>
        <v>10890</v>
      </c>
      <c r="EO32" s="310">
        <f t="shared" si="38"/>
        <v>3960</v>
      </c>
      <c r="EP32" s="289" t="s">
        <v>3104</v>
      </c>
      <c r="EQ32" s="308">
        <f t="shared" si="39"/>
        <v>3060</v>
      </c>
      <c r="ER32" s="310">
        <f t="shared" si="40"/>
        <v>11832</v>
      </c>
      <c r="ES32" s="310">
        <f t="shared" si="41"/>
        <v>5508</v>
      </c>
      <c r="ET32" s="289" t="s">
        <v>2985</v>
      </c>
      <c r="EU32" s="657"/>
      <c r="EV32" s="728">
        <f t="shared" si="42"/>
        <v>0.80561849153276555</v>
      </c>
      <c r="EW32" s="728">
        <f t="shared" si="43"/>
        <v>0.19438150846723443</v>
      </c>
      <c r="EX32" s="311">
        <f t="shared" si="44"/>
        <v>48497.668704886368</v>
      </c>
      <c r="EY32" s="311">
        <f t="shared" si="45"/>
        <v>39070.618704886365</v>
      </c>
      <c r="EZ32" s="311">
        <f t="shared" si="46"/>
        <v>9427.0499999999993</v>
      </c>
      <c r="FA32" s="311">
        <f t="shared" si="47"/>
        <v>12710.714523636365</v>
      </c>
      <c r="FB32" s="311">
        <f t="shared" si="48"/>
        <v>9917.514523636366</v>
      </c>
      <c r="FC32" s="311">
        <f t="shared" si="49"/>
        <v>2793.2</v>
      </c>
      <c r="FD32" s="311">
        <f t="shared" si="50"/>
        <v>24079.803825000003</v>
      </c>
      <c r="FE32" s="311">
        <f t="shared" si="51"/>
        <v>19890.003825000003</v>
      </c>
      <c r="FF32" s="311">
        <f t="shared" si="52"/>
        <v>4189.7999999999993</v>
      </c>
      <c r="FG32" s="311">
        <f t="shared" si="53"/>
        <v>1775.2614062500002</v>
      </c>
      <c r="FH32" s="311">
        <f t="shared" si="54"/>
        <v>1426.1114062500001</v>
      </c>
      <c r="FI32" s="311">
        <f t="shared" si="55"/>
        <v>349.15</v>
      </c>
      <c r="FJ32" s="311">
        <f t="shared" si="56"/>
        <v>9931.8889500000005</v>
      </c>
      <c r="FK32" s="311">
        <f t="shared" si="57"/>
        <v>7836.9889500000008</v>
      </c>
      <c r="FL32" s="311">
        <f t="shared" si="58"/>
        <v>2094.8999999999996</v>
      </c>
      <c r="FM32" s="657"/>
      <c r="FN32" s="293" t="s">
        <v>2649</v>
      </c>
      <c r="FO32" s="728">
        <v>7.5499999999999998E-2</v>
      </c>
      <c r="FP32" s="729">
        <v>0.82110000000000005</v>
      </c>
      <c r="FQ32" s="294" t="s">
        <v>2986</v>
      </c>
      <c r="FR32" s="657"/>
      <c r="FS32" s="865">
        <v>3.86</v>
      </c>
      <c r="FT32" s="312">
        <f>RANK($FS32,$FS$8:$FS$154,0)+COUNTIF($FS$8:$FS32,$FS32)-1</f>
        <v>6</v>
      </c>
      <c r="FU32" s="865">
        <v>4.7</v>
      </c>
      <c r="FV32" s="312">
        <f>RANK($FU32,$FU$8:$FU$154,0)+COUNTIF($FU$8:$FU32,$FU32)-1</f>
        <v>3</v>
      </c>
      <c r="FW32" s="865">
        <v>2.36</v>
      </c>
      <c r="FX32" s="312">
        <f>RANK($FW32,$FW$8:$FW$154,0)+COUNTIF($FW$8:$FW32,$FW32)-1</f>
        <v>55</v>
      </c>
      <c r="FY32" s="657"/>
      <c r="FZ32" s="296" t="s">
        <v>2987</v>
      </c>
      <c r="GA32" s="296" t="s">
        <v>3105</v>
      </c>
      <c r="GB32" s="296" t="s">
        <v>2653</v>
      </c>
      <c r="GC32" s="296" t="s">
        <v>2654</v>
      </c>
      <c r="GD32" s="296" t="s">
        <v>2655</v>
      </c>
      <c r="GE32" s="296" t="s">
        <v>2656</v>
      </c>
      <c r="GF32" s="296" t="str">
        <f t="shared" si="115"/>
        <v>https://www.agencedusport.fr/plan-5000-equipements-generation-2024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32" s="657"/>
      <c r="GH32" s="311">
        <f t="shared" si="59"/>
        <v>1267.8951999999999</v>
      </c>
      <c r="GI32" s="311">
        <f t="shared" si="100"/>
        <v>1044.4392</v>
      </c>
      <c r="GJ32" s="311">
        <f t="shared" si="60"/>
        <v>223.45599999999999</v>
      </c>
      <c r="GK32" s="311">
        <f t="shared" si="61"/>
        <v>9316.2651636363644</v>
      </c>
      <c r="GL32" s="311">
        <f t="shared" si="101"/>
        <v>7193.433163636364</v>
      </c>
      <c r="GM32" s="311">
        <f t="shared" si="62"/>
        <v>2122.8319999999999</v>
      </c>
      <c r="GN32" s="311">
        <f t="shared" si="63"/>
        <v>1332.2986400000002</v>
      </c>
      <c r="GO32" s="311">
        <f t="shared" si="102"/>
        <v>1052.9786400000003</v>
      </c>
      <c r="GP32" s="311">
        <f t="shared" si="64"/>
        <v>279.32</v>
      </c>
      <c r="GQ32" s="311">
        <f t="shared" si="65"/>
        <v>794.25552000000005</v>
      </c>
      <c r="GR32" s="311">
        <f t="shared" si="103"/>
        <v>626.66352000000006</v>
      </c>
      <c r="GS32" s="311">
        <f t="shared" si="66"/>
        <v>167.59199999999998</v>
      </c>
      <c r="GT32" s="311">
        <f t="shared" si="67"/>
        <v>3464.2784250000004</v>
      </c>
      <c r="GU32" s="311">
        <f t="shared" si="104"/>
        <v>2961.5024250000006</v>
      </c>
      <c r="GV32" s="311">
        <f t="shared" si="68"/>
        <v>502.7759999999999</v>
      </c>
      <c r="GW32" s="311">
        <f t="shared" si="69"/>
        <v>19230.315599999998</v>
      </c>
      <c r="GX32" s="311">
        <f t="shared" si="105"/>
        <v>15794.679599999999</v>
      </c>
      <c r="GY32" s="311">
        <f t="shared" si="70"/>
        <v>3435.6359999999991</v>
      </c>
      <c r="GZ32" s="311">
        <f t="shared" si="71"/>
        <v>1385.2097999999999</v>
      </c>
      <c r="HA32" s="311">
        <f t="shared" si="106"/>
        <v>1133.8217999999999</v>
      </c>
      <c r="HB32" s="311">
        <f t="shared" si="72"/>
        <v>251.38799999999995</v>
      </c>
      <c r="HC32" s="311">
        <f t="shared" si="73"/>
        <v>96.229956250000001</v>
      </c>
      <c r="HD32" s="311">
        <f t="shared" si="107"/>
        <v>82.263956250000007</v>
      </c>
      <c r="HE32" s="311">
        <f t="shared" si="74"/>
        <v>13.965999999999999</v>
      </c>
      <c r="HF32" s="311">
        <f t="shared" si="75"/>
        <v>910.08445000000017</v>
      </c>
      <c r="HG32" s="311">
        <f t="shared" si="108"/>
        <v>718.05195000000015</v>
      </c>
      <c r="HH32" s="311">
        <f t="shared" si="76"/>
        <v>192.0325</v>
      </c>
      <c r="HI32" s="311">
        <f t="shared" si="77"/>
        <v>230.86830000000003</v>
      </c>
      <c r="HJ32" s="311">
        <f t="shared" si="109"/>
        <v>188.97030000000004</v>
      </c>
      <c r="HK32" s="311">
        <f t="shared" si="78"/>
        <v>41.897999999999996</v>
      </c>
      <c r="HL32" s="311">
        <f t="shared" si="79"/>
        <v>538.07870000000003</v>
      </c>
      <c r="HM32" s="311">
        <f t="shared" si="110"/>
        <v>436.8252</v>
      </c>
      <c r="HN32" s="311">
        <f t="shared" si="80"/>
        <v>101.25349999999999</v>
      </c>
      <c r="HO32" s="311">
        <f t="shared" si="81"/>
        <v>2272.5585000000001</v>
      </c>
      <c r="HP32" s="311">
        <f t="shared" si="111"/>
        <v>1958.3235</v>
      </c>
      <c r="HQ32" s="311">
        <f t="shared" si="82"/>
        <v>314.23499999999996</v>
      </c>
      <c r="HR32" s="311">
        <f t="shared" si="83"/>
        <v>5119.3724999999995</v>
      </c>
      <c r="HS32" s="311">
        <f t="shared" si="112"/>
        <v>3904.3305</v>
      </c>
      <c r="HT32" s="311">
        <f t="shared" si="84"/>
        <v>1215.0419999999997</v>
      </c>
      <c r="HU32" s="311">
        <f t="shared" si="85"/>
        <v>2539.95795</v>
      </c>
      <c r="HV32" s="311">
        <f t="shared" si="113"/>
        <v>1974.3349499999999</v>
      </c>
      <c r="HW32" s="311">
        <f t="shared" si="86"/>
        <v>565.62299999999993</v>
      </c>
      <c r="HY32" s="313">
        <f t="shared" si="87"/>
        <v>89101.98</v>
      </c>
      <c r="HZ32" s="313">
        <f t="shared" si="88"/>
        <v>3895.9800000000005</v>
      </c>
      <c r="IA32" s="313">
        <f t="shared" si="89"/>
        <v>35968.019999999997</v>
      </c>
      <c r="IB32" s="313">
        <f t="shared" si="90"/>
        <v>39960.36</v>
      </c>
      <c r="IC32" s="313">
        <f t="shared" si="91"/>
        <v>9277.619999999999</v>
      </c>
      <c r="ID32" s="313">
        <f t="shared" si="92"/>
        <v>0</v>
      </c>
      <c r="IE32" s="313">
        <f t="shared" si="93"/>
        <v>39070.618704886372</v>
      </c>
      <c r="IF32" s="313">
        <f t="shared" si="94"/>
        <v>760.26853405742054</v>
      </c>
      <c r="IG32" s="313">
        <f t="shared" si="95"/>
        <v>14525.129193967196</v>
      </c>
      <c r="IH32" s="313">
        <f t="shared" si="96"/>
        <v>18503.7770454569</v>
      </c>
      <c r="II32" s="313">
        <f t="shared" si="97"/>
        <v>5085.3071389854213</v>
      </c>
      <c r="IJ32" s="313">
        <f t="shared" si="98"/>
        <v>196.13679241943186</v>
      </c>
      <c r="IK32" s="866">
        <v>4.1900000000000004</v>
      </c>
      <c r="IL32" s="314" t="s">
        <v>2589</v>
      </c>
      <c r="IM32" s="299" t="s">
        <v>3106</v>
      </c>
      <c r="IN32" s="657"/>
      <c r="IO32" s="730">
        <v>0.05</v>
      </c>
      <c r="IP32" s="730">
        <v>0.42</v>
      </c>
      <c r="IQ32" s="730">
        <v>0.44</v>
      </c>
      <c r="IR32" s="730">
        <v>0.09</v>
      </c>
      <c r="IS32" s="730">
        <v>0</v>
      </c>
      <c r="IT32" s="730">
        <v>2.7099999999999999E-2</v>
      </c>
      <c r="IU32" s="730">
        <v>0.3921</v>
      </c>
      <c r="IV32" s="730">
        <v>0.46289999999999998</v>
      </c>
      <c r="IW32" s="730">
        <v>0.1129</v>
      </c>
      <c r="IX32" s="730">
        <v>5.0000000000000001E-3</v>
      </c>
      <c r="IY32" s="730">
        <v>3.0599999999999999E-2</v>
      </c>
      <c r="IZ32" s="730">
        <v>0.36449999999999999</v>
      </c>
      <c r="JA32" s="730">
        <v>0.47170000000000001</v>
      </c>
      <c r="JB32" s="730">
        <v>0.13320000000000001</v>
      </c>
      <c r="JC32" s="730">
        <v>0</v>
      </c>
      <c r="JD32" s="730">
        <v>7.7000000000000002E-3</v>
      </c>
      <c r="JE32" s="730">
        <v>0.33660000000000001</v>
      </c>
      <c r="JF32" s="730">
        <v>0.49459999999999998</v>
      </c>
      <c r="JG32" s="730">
        <v>0.15609999999999999</v>
      </c>
      <c r="JH32" s="730">
        <v>5.0000000000000001E-3</v>
      </c>
      <c r="JI32" s="730">
        <v>8.7599999999999997E-2</v>
      </c>
      <c r="JJ32" s="730">
        <v>0.55179999999999996</v>
      </c>
      <c r="JK32" s="730">
        <v>0.32119999999999999</v>
      </c>
      <c r="JL32" s="730">
        <v>3.9399999999999998E-2</v>
      </c>
      <c r="JM32" s="730">
        <v>0</v>
      </c>
      <c r="JN32" s="730">
        <v>6.4699999999999994E-2</v>
      </c>
      <c r="JO32" s="730">
        <v>0.52390000000000003</v>
      </c>
      <c r="JP32" s="730">
        <v>0.34410000000000002</v>
      </c>
      <c r="JQ32" s="730">
        <v>6.2300000000000001E-2</v>
      </c>
      <c r="JR32" s="730">
        <v>5.0000000000000001E-3</v>
      </c>
      <c r="JS32" s="730">
        <v>5.4300000000000001E-2</v>
      </c>
      <c r="JT32" s="730">
        <v>0.43559999999999999</v>
      </c>
      <c r="JU32" s="730">
        <v>0.43459999999999999</v>
      </c>
      <c r="JV32" s="730">
        <v>7.5600000000000001E-2</v>
      </c>
      <c r="JW32" s="730">
        <v>0</v>
      </c>
      <c r="JX32" s="730">
        <v>3.1399999999999997E-2</v>
      </c>
      <c r="JY32" s="730">
        <v>0.40760000000000002</v>
      </c>
      <c r="JZ32" s="730">
        <v>0.45739999999999997</v>
      </c>
      <c r="KA32" s="730">
        <v>9.8500000000000004E-2</v>
      </c>
      <c r="KB32" s="730">
        <v>5.1000000000000004E-3</v>
      </c>
      <c r="KC32" s="657"/>
      <c r="KD32" s="314" t="s">
        <v>2590</v>
      </c>
      <c r="KE32" s="314" t="s">
        <v>2590</v>
      </c>
      <c r="KF32" s="866">
        <v>4.1399999999999997</v>
      </c>
      <c r="KG32" s="314" t="s">
        <v>2589</v>
      </c>
      <c r="KH32" s="315" t="s">
        <v>2990</v>
      </c>
      <c r="KI32" s="314" t="s">
        <v>2991</v>
      </c>
      <c r="KJ32" s="315" t="s">
        <v>3107</v>
      </c>
    </row>
    <row r="33" spans="1:296" ht="48" hidden="1" customHeight="1">
      <c r="A33" s="265">
        <f t="shared" si="99"/>
        <v>26</v>
      </c>
      <c r="B33" s="266" t="s">
        <v>2880</v>
      </c>
      <c r="C33" s="266" t="s">
        <v>1747</v>
      </c>
      <c r="D33" s="624" t="s">
        <v>662</v>
      </c>
      <c r="E33" s="267" t="s">
        <v>3108</v>
      </c>
      <c r="F33" s="267" t="s">
        <v>2631</v>
      </c>
      <c r="G33" s="267" t="s">
        <v>2121</v>
      </c>
      <c r="H33" s="267" t="s">
        <v>2109</v>
      </c>
      <c r="I33" s="268" t="s">
        <v>3109</v>
      </c>
      <c r="J33" s="268" t="s">
        <v>3110</v>
      </c>
      <c r="K33" s="269" t="s">
        <v>2097</v>
      </c>
      <c r="L33" s="269" t="s">
        <v>2109</v>
      </c>
      <c r="M33" s="269" t="s">
        <v>2603</v>
      </c>
      <c r="N33" s="269" t="s">
        <v>2099</v>
      </c>
      <c r="O33" s="267" t="s">
        <v>2616</v>
      </c>
      <c r="P33" s="268"/>
      <c r="Q33" s="270">
        <v>1</v>
      </c>
      <c r="R33" s="271">
        <v>550</v>
      </c>
      <c r="S33" s="272">
        <v>430</v>
      </c>
      <c r="T33" s="272">
        <v>445</v>
      </c>
      <c r="U33" s="272">
        <v>435</v>
      </c>
      <c r="V33" s="272">
        <v>410</v>
      </c>
      <c r="W33" s="272">
        <v>405</v>
      </c>
      <c r="X33" s="272">
        <v>401</v>
      </c>
      <c r="Y33" s="272">
        <v>397</v>
      </c>
      <c r="Z33" s="272">
        <v>393</v>
      </c>
      <c r="AA33" s="272">
        <v>386</v>
      </c>
      <c r="AB33" s="272">
        <v>382</v>
      </c>
      <c r="AC33" s="272">
        <v>379</v>
      </c>
      <c r="AD33" s="272">
        <v>376</v>
      </c>
      <c r="AE33" s="272">
        <v>373</v>
      </c>
      <c r="AF33" s="272">
        <v>371</v>
      </c>
      <c r="AG33" s="272">
        <v>370</v>
      </c>
      <c r="AH33" s="272">
        <v>369</v>
      </c>
      <c r="AI33" s="272">
        <v>368</v>
      </c>
      <c r="AJ33" s="272">
        <v>367</v>
      </c>
      <c r="AK33" s="272">
        <v>365</v>
      </c>
      <c r="AL33" s="268" t="s">
        <v>3111</v>
      </c>
      <c r="AM33" s="268" t="s">
        <v>3112</v>
      </c>
      <c r="AN33" s="268" t="s">
        <v>3113</v>
      </c>
      <c r="AO33" s="657"/>
      <c r="AP33" s="271">
        <v>600</v>
      </c>
      <c r="AQ33" s="280">
        <v>520</v>
      </c>
      <c r="AR33" s="280">
        <v>50</v>
      </c>
      <c r="AS33" s="280">
        <v>30</v>
      </c>
      <c r="AT33" s="657"/>
      <c r="AU33" s="301" t="s">
        <v>3114</v>
      </c>
      <c r="AV33" s="572" t="s">
        <v>3115</v>
      </c>
      <c r="AW33" s="645" t="s">
        <v>3086</v>
      </c>
      <c r="AX33" s="290" t="s">
        <v>2977</v>
      </c>
      <c r="AY33" s="657"/>
      <c r="AZ33" s="948">
        <v>24</v>
      </c>
      <c r="BA33" s="948">
        <v>30</v>
      </c>
      <c r="BB33" s="948">
        <v>5</v>
      </c>
      <c r="BC33" s="948">
        <v>20</v>
      </c>
      <c r="BD33" s="825">
        <f t="shared" si="4"/>
        <v>29309</v>
      </c>
      <c r="BE33" s="304">
        <f t="shared" si="5"/>
        <v>8904</v>
      </c>
      <c r="BF33" s="304">
        <f t="shared" si="6"/>
        <v>11130</v>
      </c>
      <c r="BG33" s="304">
        <f t="shared" si="7"/>
        <v>1855</v>
      </c>
      <c r="BH33" s="304">
        <f t="shared" si="8"/>
        <v>7420</v>
      </c>
      <c r="BI33" s="825">
        <f t="shared" si="9"/>
        <v>28835</v>
      </c>
      <c r="BJ33" s="304">
        <f t="shared" si="10"/>
        <v>8760</v>
      </c>
      <c r="BK33" s="304">
        <f t="shared" si="11"/>
        <v>10950</v>
      </c>
      <c r="BL33" s="304">
        <f t="shared" si="12"/>
        <v>1825</v>
      </c>
      <c r="BM33" s="304">
        <f t="shared" si="13"/>
        <v>7300</v>
      </c>
      <c r="BN33" s="657"/>
      <c r="BO33" s="284">
        <v>0.1</v>
      </c>
      <c r="BP33" s="284">
        <v>0.76</v>
      </c>
      <c r="BQ33" s="284">
        <v>0.08</v>
      </c>
      <c r="BR33" s="710">
        <v>0.06</v>
      </c>
      <c r="BS33" s="707">
        <v>0.08</v>
      </c>
      <c r="BT33" s="284">
        <v>0.76</v>
      </c>
      <c r="BU33" s="284">
        <v>0.1</v>
      </c>
      <c r="BV33" s="710">
        <v>0.06</v>
      </c>
      <c r="BW33" s="714">
        <v>0.15</v>
      </c>
      <c r="BX33" s="285">
        <v>0.8</v>
      </c>
      <c r="BY33" s="717">
        <v>0.05</v>
      </c>
      <c r="BZ33" s="714">
        <v>0.12</v>
      </c>
      <c r="CA33" s="285">
        <v>0.82</v>
      </c>
      <c r="CB33" s="717">
        <v>0.06</v>
      </c>
      <c r="CC33" s="284">
        <v>0.05</v>
      </c>
      <c r="CD33" s="284">
        <v>0.55000000000000004</v>
      </c>
      <c r="CE33" s="284">
        <v>0.1</v>
      </c>
      <c r="CF33" s="710">
        <v>0.3</v>
      </c>
      <c r="CG33" s="707">
        <v>0.04</v>
      </c>
      <c r="CH33" s="284">
        <v>0.55000000000000004</v>
      </c>
      <c r="CI33" s="284">
        <v>0.12</v>
      </c>
      <c r="CJ33" s="710">
        <v>0.28999999999999998</v>
      </c>
      <c r="CK33" s="720">
        <v>0.25</v>
      </c>
      <c r="CL33" s="286">
        <v>0.55000000000000004</v>
      </c>
      <c r="CM33" s="718">
        <v>0.2</v>
      </c>
      <c r="CN33" s="720">
        <v>0.15</v>
      </c>
      <c r="CO33" s="286">
        <v>0.57999999999999996</v>
      </c>
      <c r="CP33" s="718">
        <v>0.27</v>
      </c>
      <c r="CQ33" s="657"/>
      <c r="CR33" s="807">
        <v>10</v>
      </c>
      <c r="CS33" s="808">
        <v>11</v>
      </c>
      <c r="CT33" s="808">
        <v>8</v>
      </c>
      <c r="CU33" s="809">
        <v>10</v>
      </c>
      <c r="CV33" s="807">
        <v>8</v>
      </c>
      <c r="CW33" s="808">
        <v>8</v>
      </c>
      <c r="CX33" s="809">
        <v>7</v>
      </c>
      <c r="CY33" s="807">
        <v>8</v>
      </c>
      <c r="CZ33" s="808">
        <v>10</v>
      </c>
      <c r="DA33" s="808">
        <v>7</v>
      </c>
      <c r="DB33" s="809">
        <v>9</v>
      </c>
      <c r="DC33" s="807">
        <v>10</v>
      </c>
      <c r="DD33" s="808">
        <v>11</v>
      </c>
      <c r="DE33" s="809">
        <v>8</v>
      </c>
      <c r="DF33" s="610" t="s">
        <v>3116</v>
      </c>
      <c r="DG33" s="657"/>
      <c r="DH33" s="288">
        <f t="shared" si="14"/>
        <v>890.40000000000009</v>
      </c>
      <c r="DI33" s="288">
        <f t="shared" si="15"/>
        <v>6767.04</v>
      </c>
      <c r="DJ33" s="288">
        <f t="shared" si="16"/>
        <v>712.32</v>
      </c>
      <c r="DK33" s="288">
        <f t="shared" si="17"/>
        <v>534.24</v>
      </c>
      <c r="DL33" s="560" t="s">
        <v>3117</v>
      </c>
      <c r="DM33" s="288">
        <f t="shared" si="18"/>
        <v>700.80000000000007</v>
      </c>
      <c r="DN33" s="288">
        <f t="shared" si="19"/>
        <v>6657.6</v>
      </c>
      <c r="DO33" s="288">
        <f t="shared" si="20"/>
        <v>876</v>
      </c>
      <c r="DP33" s="288">
        <f t="shared" si="21"/>
        <v>525.6</v>
      </c>
      <c r="DQ33" s="561" t="s">
        <v>2644</v>
      </c>
      <c r="DR33" s="657"/>
      <c r="DS33" s="288">
        <f t="shared" si="22"/>
        <v>1669.5</v>
      </c>
      <c r="DT33" s="288">
        <f t="shared" si="23"/>
        <v>8904</v>
      </c>
      <c r="DU33" s="288">
        <f t="shared" si="24"/>
        <v>556.5</v>
      </c>
      <c r="DV33" s="561" t="s">
        <v>3118</v>
      </c>
      <c r="DW33" s="288">
        <f t="shared" si="25"/>
        <v>1314</v>
      </c>
      <c r="DX33" s="288">
        <f t="shared" si="26"/>
        <v>8979</v>
      </c>
      <c r="DY33" s="288">
        <f t="shared" si="27"/>
        <v>657</v>
      </c>
      <c r="DZ33" s="561" t="s">
        <v>2981</v>
      </c>
      <c r="EA33" s="657"/>
      <c r="EB33" s="288">
        <f t="shared" si="28"/>
        <v>92.75</v>
      </c>
      <c r="EC33" s="288">
        <f t="shared" si="29"/>
        <v>1020.2500000000001</v>
      </c>
      <c r="ED33" s="288">
        <f t="shared" si="30"/>
        <v>185.5</v>
      </c>
      <c r="EE33" s="288">
        <f t="shared" si="31"/>
        <v>556.5</v>
      </c>
      <c r="EF33" s="561" t="s">
        <v>3119</v>
      </c>
      <c r="EG33" s="288">
        <f t="shared" si="32"/>
        <v>73</v>
      </c>
      <c r="EH33" s="288">
        <f t="shared" si="33"/>
        <v>1003.7500000000001</v>
      </c>
      <c r="EI33" s="288">
        <f t="shared" si="34"/>
        <v>219</v>
      </c>
      <c r="EJ33" s="288">
        <f t="shared" si="35"/>
        <v>529.25</v>
      </c>
      <c r="EK33" s="561" t="s">
        <v>2983</v>
      </c>
      <c r="EL33" s="657"/>
      <c r="EM33" s="288">
        <f t="shared" si="36"/>
        <v>1855</v>
      </c>
      <c r="EN33" s="291">
        <f t="shared" si="37"/>
        <v>4081.0000000000005</v>
      </c>
      <c r="EO33" s="291">
        <f t="shared" si="38"/>
        <v>1484</v>
      </c>
      <c r="EP33" s="561" t="s">
        <v>3120</v>
      </c>
      <c r="EQ33" s="288">
        <f t="shared" si="39"/>
        <v>1095</v>
      </c>
      <c r="ER33" s="291">
        <f t="shared" si="40"/>
        <v>4234</v>
      </c>
      <c r="ES33" s="291">
        <f t="shared" si="41"/>
        <v>1971.0000000000002</v>
      </c>
      <c r="ET33" s="561" t="s">
        <v>2985</v>
      </c>
      <c r="EU33" s="657"/>
      <c r="EV33" s="740">
        <f t="shared" si="42"/>
        <v>0.86245171998925785</v>
      </c>
      <c r="EW33" s="740">
        <f t="shared" si="43"/>
        <v>0.1375482800107421</v>
      </c>
      <c r="EX33" s="563">
        <f t="shared" si="44"/>
        <v>16087.656638288639</v>
      </c>
      <c r="EY33" s="563">
        <f t="shared" si="45"/>
        <v>13874.82713828864</v>
      </c>
      <c r="EZ33" s="563">
        <f t="shared" si="46"/>
        <v>2212.8294999999998</v>
      </c>
      <c r="FA33" s="563">
        <f t="shared" si="47"/>
        <v>4410.1297051636375</v>
      </c>
      <c r="FB33" s="563">
        <f t="shared" si="48"/>
        <v>3737.8777051636375</v>
      </c>
      <c r="FC33" s="563">
        <f t="shared" si="49"/>
        <v>672.25199999999995</v>
      </c>
      <c r="FD33" s="563">
        <f t="shared" si="50"/>
        <v>6843.4870687500006</v>
      </c>
      <c r="FE33" s="563">
        <f t="shared" si="51"/>
        <v>6003.172068750001</v>
      </c>
      <c r="FF33" s="563">
        <f t="shared" si="52"/>
        <v>840.31499999999994</v>
      </c>
      <c r="FG33" s="563">
        <f t="shared" si="53"/>
        <v>1017.7578143750002</v>
      </c>
      <c r="FH33" s="563">
        <f t="shared" si="54"/>
        <v>877.70531437500017</v>
      </c>
      <c r="FI33" s="563">
        <f t="shared" si="55"/>
        <v>140.05250000000001</v>
      </c>
      <c r="FJ33" s="563">
        <f t="shared" si="56"/>
        <v>3816.2820500000003</v>
      </c>
      <c r="FK33" s="563">
        <f t="shared" si="57"/>
        <v>3256.0720500000002</v>
      </c>
      <c r="FL33" s="563">
        <f t="shared" si="58"/>
        <v>560.21</v>
      </c>
      <c r="FM33" s="529"/>
      <c r="FN33" s="564" t="s">
        <v>2649</v>
      </c>
      <c r="FO33" s="740">
        <v>7.5499999999999998E-2</v>
      </c>
      <c r="FP33" s="741">
        <v>0.82110000000000005</v>
      </c>
      <c r="FQ33" s="565" t="s">
        <v>2986</v>
      </c>
      <c r="FR33" s="529"/>
      <c r="FS33" s="867">
        <v>3.86</v>
      </c>
      <c r="FT33" s="566">
        <f>RANK($FS33,$FS$8:$FS$154,0)+COUNTIF($FS$8:$FS33,$FS33)-1</f>
        <v>7</v>
      </c>
      <c r="FU33" s="867">
        <v>4.7</v>
      </c>
      <c r="FV33" s="566">
        <f>RANK($FU33,$FU$8:$FU$154,0)+COUNTIF($FU$8:$FU33,$FU33)-1</f>
        <v>4</v>
      </c>
      <c r="FW33" s="867">
        <v>2.36</v>
      </c>
      <c r="FX33" s="566">
        <f>RANK($FW33,$FW$8:$FW$154,0)+COUNTIF($FW$8:$FW33,$FW33)-1</f>
        <v>56</v>
      </c>
      <c r="FY33" s="529"/>
      <c r="FZ33" s="567" t="s">
        <v>2987</v>
      </c>
      <c r="GA33" s="567" t="s">
        <v>3121</v>
      </c>
      <c r="GB33" s="567" t="s">
        <v>2653</v>
      </c>
      <c r="GC33" s="567" t="s">
        <v>2654</v>
      </c>
      <c r="GD33" s="567" t="s">
        <v>2655</v>
      </c>
      <c r="GE33" s="567" t="s">
        <v>2656</v>
      </c>
      <c r="GF33" s="567" t="str">
        <f t="shared" si="115"/>
        <v>https://www.agencedusport.fr/plan-5000-equipements-generation-2024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33" s="529"/>
      <c r="GH33" s="563">
        <f t="shared" si="59"/>
        <v>444.36100799999997</v>
      </c>
      <c r="GI33" s="563">
        <f t="shared" si="100"/>
        <v>390.580848</v>
      </c>
      <c r="GJ33" s="563">
        <f t="shared" si="60"/>
        <v>53.780159999999995</v>
      </c>
      <c r="GK33" s="563">
        <f t="shared" si="61"/>
        <v>3242.1469003636371</v>
      </c>
      <c r="GL33" s="563">
        <f t="shared" si="101"/>
        <v>2731.235380363637</v>
      </c>
      <c r="GM33" s="563">
        <f t="shared" si="62"/>
        <v>510.91152</v>
      </c>
      <c r="GN33" s="563">
        <f t="shared" si="63"/>
        <v>448.93816800000002</v>
      </c>
      <c r="GO33" s="563">
        <f t="shared" si="102"/>
        <v>381.71296800000005</v>
      </c>
      <c r="GP33" s="563">
        <f t="shared" si="64"/>
        <v>67.225200000000001</v>
      </c>
      <c r="GQ33" s="563">
        <f t="shared" si="65"/>
        <v>274.68362880000001</v>
      </c>
      <c r="GR33" s="563">
        <f t="shared" si="103"/>
        <v>234.34850880000002</v>
      </c>
      <c r="GS33" s="563">
        <f t="shared" si="66"/>
        <v>40.335119999999996</v>
      </c>
      <c r="GT33" s="563">
        <f t="shared" si="67"/>
        <v>995.47756875000005</v>
      </c>
      <c r="GU33" s="563">
        <f t="shared" si="104"/>
        <v>894.63976875000003</v>
      </c>
      <c r="GV33" s="563">
        <f t="shared" si="68"/>
        <v>100.83779999999999</v>
      </c>
      <c r="GW33" s="563">
        <f t="shared" si="69"/>
        <v>5460.4704000000002</v>
      </c>
      <c r="GX33" s="563">
        <f t="shared" si="105"/>
        <v>4771.4121000000005</v>
      </c>
      <c r="GY33" s="563">
        <f t="shared" si="70"/>
        <v>689.05829999999992</v>
      </c>
      <c r="GZ33" s="563">
        <f t="shared" si="71"/>
        <v>387.53910000000002</v>
      </c>
      <c r="HA33" s="563">
        <f t="shared" si="106"/>
        <v>337.12020000000001</v>
      </c>
      <c r="HB33" s="563">
        <f t="shared" si="72"/>
        <v>50.418899999999994</v>
      </c>
      <c r="HC33" s="563">
        <f t="shared" si="73"/>
        <v>55.304309375000003</v>
      </c>
      <c r="HD33" s="563">
        <f t="shared" si="107"/>
        <v>49.702209375000002</v>
      </c>
      <c r="HE33" s="563">
        <f t="shared" si="74"/>
        <v>5.6021000000000001</v>
      </c>
      <c r="HF33" s="563">
        <f t="shared" si="75"/>
        <v>524.56943000000012</v>
      </c>
      <c r="HG33" s="563">
        <f t="shared" si="108"/>
        <v>447.5405550000001</v>
      </c>
      <c r="HH33" s="563">
        <f t="shared" si="76"/>
        <v>77.028875000000014</v>
      </c>
      <c r="HI33" s="563">
        <f t="shared" si="77"/>
        <v>129.1797</v>
      </c>
      <c r="HJ33" s="563">
        <f t="shared" si="109"/>
        <v>112.3734</v>
      </c>
      <c r="HK33" s="563">
        <f t="shared" si="78"/>
        <v>16.8063</v>
      </c>
      <c r="HL33" s="563">
        <f t="shared" si="79"/>
        <v>308.70437500000003</v>
      </c>
      <c r="HM33" s="563">
        <f t="shared" si="110"/>
        <v>268.08915000000002</v>
      </c>
      <c r="HN33" s="563">
        <f t="shared" si="80"/>
        <v>40.615225000000002</v>
      </c>
      <c r="HO33" s="563">
        <f t="shared" si="81"/>
        <v>897.74160000000006</v>
      </c>
      <c r="HP33" s="563">
        <f t="shared" si="111"/>
        <v>813.71010000000001</v>
      </c>
      <c r="HQ33" s="563">
        <f t="shared" si="82"/>
        <v>84.031500000000008</v>
      </c>
      <c r="HR33" s="563">
        <f t="shared" si="83"/>
        <v>1972.0484000000004</v>
      </c>
      <c r="HS33" s="563">
        <f t="shared" si="112"/>
        <v>1647.1266000000003</v>
      </c>
      <c r="HT33" s="563">
        <f t="shared" si="84"/>
        <v>324.92180000000002</v>
      </c>
      <c r="HU33" s="563">
        <f t="shared" si="85"/>
        <v>946.49205000000006</v>
      </c>
      <c r="HV33" s="563">
        <f t="shared" si="113"/>
        <v>795.23535000000004</v>
      </c>
      <c r="HW33" s="563">
        <f t="shared" si="86"/>
        <v>151.25670000000002</v>
      </c>
      <c r="HX33" s="544"/>
      <c r="HY33" s="568">
        <f t="shared" si="87"/>
        <v>29309.741999999998</v>
      </c>
      <c r="HZ33" s="568">
        <f t="shared" si="88"/>
        <v>1351.182</v>
      </c>
      <c r="IA33" s="568">
        <f t="shared" si="89"/>
        <v>12052.305999999999</v>
      </c>
      <c r="IB33" s="568">
        <f t="shared" si="90"/>
        <v>12988.339</v>
      </c>
      <c r="IC33" s="568">
        <f t="shared" si="91"/>
        <v>2917.915</v>
      </c>
      <c r="ID33" s="568">
        <f t="shared" si="92"/>
        <v>0</v>
      </c>
      <c r="IE33" s="568">
        <f t="shared" si="93"/>
        <v>13874.827138288638</v>
      </c>
      <c r="IF33" s="568">
        <f t="shared" si="94"/>
        <v>306.54910694937212</v>
      </c>
      <c r="IG33" s="568">
        <f t="shared" si="95"/>
        <v>5273.2943483169756</v>
      </c>
      <c r="IH33" s="568">
        <f t="shared" si="96"/>
        <v>6490.7782492704355</v>
      </c>
      <c r="II33" s="568">
        <f t="shared" si="97"/>
        <v>1734.5056908554125</v>
      </c>
      <c r="IJ33" s="568">
        <f t="shared" si="98"/>
        <v>69.699742896443198</v>
      </c>
      <c r="IK33" s="868">
        <v>4.1900000000000004</v>
      </c>
      <c r="IL33" s="569" t="s">
        <v>2589</v>
      </c>
      <c r="IM33" s="570" t="s">
        <v>3122</v>
      </c>
      <c r="IN33" s="529"/>
      <c r="IO33" s="742">
        <v>0.05</v>
      </c>
      <c r="IP33" s="742">
        <v>0.42</v>
      </c>
      <c r="IQ33" s="742">
        <v>0.44</v>
      </c>
      <c r="IR33" s="742">
        <v>0.09</v>
      </c>
      <c r="IS33" s="742">
        <v>0</v>
      </c>
      <c r="IT33" s="742">
        <v>2.7099999999999999E-2</v>
      </c>
      <c r="IU33" s="742">
        <v>0.3921</v>
      </c>
      <c r="IV33" s="742">
        <v>0.46289999999999998</v>
      </c>
      <c r="IW33" s="742">
        <v>0.1129</v>
      </c>
      <c r="IX33" s="742">
        <v>5.0000000000000001E-3</v>
      </c>
      <c r="IY33" s="742">
        <v>3.0599999999999999E-2</v>
      </c>
      <c r="IZ33" s="742">
        <v>0.36449999999999999</v>
      </c>
      <c r="JA33" s="742">
        <v>0.47170000000000001</v>
      </c>
      <c r="JB33" s="742">
        <v>0.13320000000000001</v>
      </c>
      <c r="JC33" s="742">
        <v>0</v>
      </c>
      <c r="JD33" s="742">
        <v>7.7000000000000002E-3</v>
      </c>
      <c r="JE33" s="742">
        <v>0.33660000000000001</v>
      </c>
      <c r="JF33" s="742">
        <v>0.49459999999999998</v>
      </c>
      <c r="JG33" s="742">
        <v>0.15609999999999999</v>
      </c>
      <c r="JH33" s="742">
        <v>5.0000000000000001E-3</v>
      </c>
      <c r="JI33" s="742">
        <v>8.7599999999999997E-2</v>
      </c>
      <c r="JJ33" s="742">
        <v>0.55179999999999996</v>
      </c>
      <c r="JK33" s="742">
        <v>0.32119999999999999</v>
      </c>
      <c r="JL33" s="742">
        <v>3.9399999999999998E-2</v>
      </c>
      <c r="JM33" s="742">
        <v>0</v>
      </c>
      <c r="JN33" s="742">
        <v>6.4699999999999994E-2</v>
      </c>
      <c r="JO33" s="742">
        <v>0.52390000000000003</v>
      </c>
      <c r="JP33" s="742">
        <v>0.34410000000000002</v>
      </c>
      <c r="JQ33" s="742">
        <v>6.2300000000000001E-2</v>
      </c>
      <c r="JR33" s="742">
        <v>5.0000000000000001E-3</v>
      </c>
      <c r="JS33" s="742">
        <v>5.4300000000000001E-2</v>
      </c>
      <c r="JT33" s="742">
        <v>0.43559999999999999</v>
      </c>
      <c r="JU33" s="742">
        <v>0.43459999999999999</v>
      </c>
      <c r="JV33" s="742">
        <v>7.5600000000000001E-2</v>
      </c>
      <c r="JW33" s="742">
        <v>0</v>
      </c>
      <c r="JX33" s="742">
        <v>3.1399999999999997E-2</v>
      </c>
      <c r="JY33" s="742">
        <v>0.40760000000000002</v>
      </c>
      <c r="JZ33" s="742">
        <v>0.45739999999999997</v>
      </c>
      <c r="KA33" s="742">
        <v>9.8500000000000004E-2</v>
      </c>
      <c r="KB33" s="742">
        <v>5.1000000000000004E-3</v>
      </c>
      <c r="KC33" s="657"/>
      <c r="KD33" s="832" t="s">
        <v>2590</v>
      </c>
      <c r="KE33" s="832" t="s">
        <v>2590</v>
      </c>
      <c r="KF33" s="869">
        <v>4.1399999999999997</v>
      </c>
      <c r="KG33" s="832" t="s">
        <v>2589</v>
      </c>
      <c r="KH33" s="833" t="s">
        <v>2990</v>
      </c>
      <c r="KI33" s="832" t="s">
        <v>2991</v>
      </c>
      <c r="KJ33" s="833" t="s">
        <v>3123</v>
      </c>
    </row>
    <row r="34" spans="1:296" ht="48" hidden="1" customHeight="1">
      <c r="A34" s="273">
        <f t="shared" si="99"/>
        <v>27</v>
      </c>
      <c r="B34" s="274" t="s">
        <v>2880</v>
      </c>
      <c r="C34" s="274" t="s">
        <v>3124</v>
      </c>
      <c r="D34" s="274" t="s">
        <v>663</v>
      </c>
      <c r="E34" s="275" t="s">
        <v>2117</v>
      </c>
      <c r="F34" s="275" t="s">
        <v>3125</v>
      </c>
      <c r="G34" s="275" t="s">
        <v>2121</v>
      </c>
      <c r="H34" s="275" t="s">
        <v>2109</v>
      </c>
      <c r="I34" s="276" t="s">
        <v>3126</v>
      </c>
      <c r="J34" s="276" t="s">
        <v>3127</v>
      </c>
      <c r="K34" s="277" t="s">
        <v>2097</v>
      </c>
      <c r="L34" s="277" t="s">
        <v>2109</v>
      </c>
      <c r="M34" s="277" t="s">
        <v>2603</v>
      </c>
      <c r="N34" s="277" t="s">
        <v>2099</v>
      </c>
      <c r="O34" s="275" t="s">
        <v>2616</v>
      </c>
      <c r="P34" s="276"/>
      <c r="Q34" s="270">
        <v>1</v>
      </c>
      <c r="R34" s="278">
        <v>75</v>
      </c>
      <c r="S34" s="279">
        <v>1190</v>
      </c>
      <c r="T34" s="279">
        <v>1210</v>
      </c>
      <c r="U34" s="279">
        <v>1230</v>
      </c>
      <c r="V34" s="279">
        <v>1260</v>
      </c>
      <c r="W34" s="279">
        <v>1265</v>
      </c>
      <c r="X34" s="279">
        <v>1270</v>
      </c>
      <c r="Y34" s="279">
        <v>1275</v>
      </c>
      <c r="Z34" s="279">
        <v>1280</v>
      </c>
      <c r="AA34" s="279">
        <v>1270</v>
      </c>
      <c r="AB34" s="279">
        <v>1280</v>
      </c>
      <c r="AC34" s="279">
        <v>1290</v>
      </c>
      <c r="AD34" s="279">
        <v>1300</v>
      </c>
      <c r="AE34" s="279">
        <v>1310</v>
      </c>
      <c r="AF34" s="279">
        <v>1320</v>
      </c>
      <c r="AG34" s="279">
        <v>1325</v>
      </c>
      <c r="AH34" s="279">
        <v>1330</v>
      </c>
      <c r="AI34" s="279">
        <v>1335</v>
      </c>
      <c r="AJ34" s="279">
        <v>1340</v>
      </c>
      <c r="AK34" s="279">
        <v>1345</v>
      </c>
      <c r="AL34" s="276" t="s">
        <v>3128</v>
      </c>
      <c r="AM34" s="276" t="s">
        <v>3129</v>
      </c>
      <c r="AN34" s="276" t="s">
        <v>3130</v>
      </c>
      <c r="AO34" s="657"/>
      <c r="AP34" s="278">
        <v>150</v>
      </c>
      <c r="AQ34" s="278">
        <v>145</v>
      </c>
      <c r="AR34" s="278">
        <v>3</v>
      </c>
      <c r="AS34" s="278">
        <v>2</v>
      </c>
      <c r="AT34" s="657"/>
      <c r="AU34" s="281" t="s">
        <v>3131</v>
      </c>
      <c r="AV34" s="296" t="s">
        <v>3132</v>
      </c>
      <c r="AW34" s="296" t="s">
        <v>3133</v>
      </c>
      <c r="AX34" s="276" t="s">
        <v>2670</v>
      </c>
      <c r="AY34" s="657"/>
      <c r="AZ34" s="947">
        <v>7</v>
      </c>
      <c r="BA34" s="947">
        <v>8</v>
      </c>
      <c r="BB34" s="947">
        <v>2</v>
      </c>
      <c r="BC34" s="947">
        <v>7</v>
      </c>
      <c r="BD34" s="826">
        <f t="shared" si="4"/>
        <v>31680</v>
      </c>
      <c r="BE34" s="283">
        <f t="shared" si="5"/>
        <v>9240</v>
      </c>
      <c r="BF34" s="283">
        <f t="shared" si="6"/>
        <v>10560</v>
      </c>
      <c r="BG34" s="283">
        <f t="shared" si="7"/>
        <v>2640</v>
      </c>
      <c r="BH34" s="283">
        <f t="shared" si="8"/>
        <v>9240</v>
      </c>
      <c r="BI34" s="826">
        <f t="shared" si="9"/>
        <v>32280</v>
      </c>
      <c r="BJ34" s="283">
        <f t="shared" si="10"/>
        <v>9415</v>
      </c>
      <c r="BK34" s="283">
        <f t="shared" si="11"/>
        <v>10760</v>
      </c>
      <c r="BL34" s="283">
        <f t="shared" si="12"/>
        <v>2690</v>
      </c>
      <c r="BM34" s="283">
        <f t="shared" si="13"/>
        <v>9415</v>
      </c>
      <c r="BN34" s="657"/>
      <c r="BO34" s="305">
        <v>0.1</v>
      </c>
      <c r="BP34" s="305">
        <v>0.76</v>
      </c>
      <c r="BQ34" s="305">
        <v>0.08</v>
      </c>
      <c r="BR34" s="581">
        <v>0.06</v>
      </c>
      <c r="BS34" s="706">
        <v>0.08</v>
      </c>
      <c r="BT34" s="305">
        <v>0.76</v>
      </c>
      <c r="BU34" s="305">
        <v>0.1</v>
      </c>
      <c r="BV34" s="581">
        <v>0.06</v>
      </c>
      <c r="BW34" s="713">
        <v>0.15</v>
      </c>
      <c r="BX34" s="306">
        <v>0.8</v>
      </c>
      <c r="BY34" s="590">
        <v>0.05</v>
      </c>
      <c r="BZ34" s="713">
        <v>0.12</v>
      </c>
      <c r="CA34" s="306">
        <v>0.82</v>
      </c>
      <c r="CB34" s="590">
        <v>0.06</v>
      </c>
      <c r="CC34" s="706">
        <v>0.05</v>
      </c>
      <c r="CD34" s="305">
        <v>0.55000000000000004</v>
      </c>
      <c r="CE34" s="305">
        <v>0.1</v>
      </c>
      <c r="CF34" s="581">
        <v>0.3</v>
      </c>
      <c r="CG34" s="706">
        <v>0.04</v>
      </c>
      <c r="CH34" s="305">
        <v>0.55000000000000004</v>
      </c>
      <c r="CI34" s="305">
        <v>0.12</v>
      </c>
      <c r="CJ34" s="581">
        <v>0.28999999999999998</v>
      </c>
      <c r="CK34" s="719">
        <v>0.25</v>
      </c>
      <c r="CL34" s="307">
        <v>0.55000000000000004</v>
      </c>
      <c r="CM34" s="723">
        <v>0.2</v>
      </c>
      <c r="CN34" s="719">
        <v>0.15</v>
      </c>
      <c r="CO34" s="307">
        <v>0.57999999999999996</v>
      </c>
      <c r="CP34" s="723">
        <v>0.27</v>
      </c>
      <c r="CQ34" s="657"/>
      <c r="CR34" s="804">
        <v>10</v>
      </c>
      <c r="CS34" s="805">
        <v>11</v>
      </c>
      <c r="CT34" s="805">
        <v>8</v>
      </c>
      <c r="CU34" s="806">
        <v>10</v>
      </c>
      <c r="CV34" s="804">
        <v>8</v>
      </c>
      <c r="CW34" s="805">
        <v>8</v>
      </c>
      <c r="CX34" s="806">
        <v>7</v>
      </c>
      <c r="CY34" s="804">
        <v>8</v>
      </c>
      <c r="CZ34" s="805">
        <v>10</v>
      </c>
      <c r="DA34" s="805">
        <v>7</v>
      </c>
      <c r="DB34" s="806">
        <v>9</v>
      </c>
      <c r="DC34" s="804">
        <v>10</v>
      </c>
      <c r="DD34" s="805">
        <v>11</v>
      </c>
      <c r="DE34" s="806">
        <v>8</v>
      </c>
      <c r="DF34" s="609" t="s">
        <v>3134</v>
      </c>
      <c r="DG34" s="657"/>
      <c r="DH34" s="308">
        <f t="shared" si="14"/>
        <v>924</v>
      </c>
      <c r="DI34" s="308">
        <f t="shared" si="15"/>
        <v>7022.4</v>
      </c>
      <c r="DJ34" s="308">
        <f t="shared" si="16"/>
        <v>739.2</v>
      </c>
      <c r="DK34" s="308">
        <f t="shared" si="17"/>
        <v>554.4</v>
      </c>
      <c r="DL34" s="287" t="s">
        <v>3135</v>
      </c>
      <c r="DM34" s="308">
        <f t="shared" si="18"/>
        <v>753.2</v>
      </c>
      <c r="DN34" s="308">
        <f t="shared" si="19"/>
        <v>7155.4</v>
      </c>
      <c r="DO34" s="308">
        <f t="shared" si="20"/>
        <v>941.5</v>
      </c>
      <c r="DP34" s="308">
        <f t="shared" si="21"/>
        <v>564.9</v>
      </c>
      <c r="DQ34" s="289" t="s">
        <v>2644</v>
      </c>
      <c r="DR34" s="657"/>
      <c r="DS34" s="308">
        <f t="shared" si="22"/>
        <v>1584</v>
      </c>
      <c r="DT34" s="308">
        <f t="shared" si="23"/>
        <v>8448</v>
      </c>
      <c r="DU34" s="308">
        <f t="shared" si="24"/>
        <v>528</v>
      </c>
      <c r="DV34" s="289" t="s">
        <v>3136</v>
      </c>
      <c r="DW34" s="308">
        <f t="shared" si="25"/>
        <v>1291.2</v>
      </c>
      <c r="DX34" s="308">
        <f t="shared" si="26"/>
        <v>8823.1999999999989</v>
      </c>
      <c r="DY34" s="308">
        <f t="shared" si="27"/>
        <v>645.6</v>
      </c>
      <c r="DZ34" s="289" t="s">
        <v>2981</v>
      </c>
      <c r="EA34" s="657"/>
      <c r="EB34" s="308">
        <f t="shared" si="28"/>
        <v>132</v>
      </c>
      <c r="EC34" s="308">
        <f t="shared" si="29"/>
        <v>1452.0000000000002</v>
      </c>
      <c r="ED34" s="308">
        <f t="shared" si="30"/>
        <v>264</v>
      </c>
      <c r="EE34" s="308">
        <f t="shared" si="31"/>
        <v>792</v>
      </c>
      <c r="EF34" s="289" t="s">
        <v>3137</v>
      </c>
      <c r="EG34" s="308">
        <f t="shared" si="32"/>
        <v>107.60000000000001</v>
      </c>
      <c r="EH34" s="308">
        <f t="shared" si="33"/>
        <v>1479.5000000000002</v>
      </c>
      <c r="EI34" s="308">
        <f t="shared" si="34"/>
        <v>322.8</v>
      </c>
      <c r="EJ34" s="308">
        <f t="shared" si="35"/>
        <v>780.09999999999991</v>
      </c>
      <c r="EK34" s="309" t="s">
        <v>2983</v>
      </c>
      <c r="EL34" s="657"/>
      <c r="EM34" s="308">
        <f t="shared" si="36"/>
        <v>2310</v>
      </c>
      <c r="EN34" s="310">
        <f t="shared" si="37"/>
        <v>5082</v>
      </c>
      <c r="EO34" s="310">
        <f t="shared" si="38"/>
        <v>1848</v>
      </c>
      <c r="EP34" s="289" t="s">
        <v>3138</v>
      </c>
      <c r="EQ34" s="308">
        <f t="shared" si="39"/>
        <v>1412.25</v>
      </c>
      <c r="ER34" s="310">
        <f t="shared" si="40"/>
        <v>5460.7</v>
      </c>
      <c r="ES34" s="310">
        <f t="shared" si="41"/>
        <v>2542.0500000000002</v>
      </c>
      <c r="ET34" s="289" t="s">
        <v>2985</v>
      </c>
      <c r="EU34" s="657"/>
      <c r="EV34" s="728">
        <f t="shared" si="42"/>
        <v>0.81925616593437578</v>
      </c>
      <c r="EW34" s="728">
        <f t="shared" si="43"/>
        <v>0.18074383406562436</v>
      </c>
      <c r="EX34" s="311">
        <f t="shared" si="44"/>
        <v>16552.929816204545</v>
      </c>
      <c r="EY34" s="311">
        <f t="shared" si="45"/>
        <v>13561.089816204547</v>
      </c>
      <c r="EZ34" s="311">
        <f t="shared" si="46"/>
        <v>2991.84</v>
      </c>
      <c r="FA34" s="311">
        <f t="shared" si="47"/>
        <v>4346.7441124545458</v>
      </c>
      <c r="FB34" s="311">
        <f t="shared" si="48"/>
        <v>3474.1241124545459</v>
      </c>
      <c r="FC34" s="311">
        <f t="shared" si="49"/>
        <v>872.62</v>
      </c>
      <c r="FD34" s="311">
        <f t="shared" si="50"/>
        <v>6286.8941750000004</v>
      </c>
      <c r="FE34" s="311">
        <f t="shared" si="51"/>
        <v>5289.6141750000006</v>
      </c>
      <c r="FF34" s="311">
        <f t="shared" si="52"/>
        <v>997.28</v>
      </c>
      <c r="FG34" s="311">
        <f t="shared" si="53"/>
        <v>1388.9789412500002</v>
      </c>
      <c r="FH34" s="311">
        <f t="shared" si="54"/>
        <v>1139.6589412500002</v>
      </c>
      <c r="FI34" s="311">
        <f t="shared" si="55"/>
        <v>249.32</v>
      </c>
      <c r="FJ34" s="311">
        <f t="shared" si="56"/>
        <v>4530.3125875000005</v>
      </c>
      <c r="FK34" s="311">
        <f t="shared" si="57"/>
        <v>3657.6925875000002</v>
      </c>
      <c r="FL34" s="311">
        <f t="shared" si="58"/>
        <v>872.62</v>
      </c>
      <c r="FM34" s="657"/>
      <c r="FN34" s="293" t="s">
        <v>2649</v>
      </c>
      <c r="FO34" s="728">
        <v>7.5499999999999998E-2</v>
      </c>
      <c r="FP34" s="729">
        <v>0.82110000000000005</v>
      </c>
      <c r="FQ34" s="294" t="s">
        <v>2986</v>
      </c>
      <c r="FR34" s="657"/>
      <c r="FS34" s="865">
        <v>3.86</v>
      </c>
      <c r="FT34" s="312">
        <f>RANK($FS34,$FS$8:$FS$154,0)+COUNTIF($FS$8:$FS34,$FS34)-1</f>
        <v>8</v>
      </c>
      <c r="FU34" s="865">
        <v>4.7</v>
      </c>
      <c r="FV34" s="312">
        <f>RANK($FU34,$FU$8:$FU$154,0)+COUNTIF($FU$8:$FU34,$FU34)-1</f>
        <v>5</v>
      </c>
      <c r="FW34" s="865">
        <v>2.36</v>
      </c>
      <c r="FX34" s="312">
        <f>RANK($FW34,$FW$8:$FW$154,0)+COUNTIF($FW$8:$FW34,$FW34)-1</f>
        <v>57</v>
      </c>
      <c r="FY34" s="657"/>
      <c r="FZ34" s="296" t="s">
        <v>2987</v>
      </c>
      <c r="GA34" s="296" t="s">
        <v>3139</v>
      </c>
      <c r="GB34" s="296" t="s">
        <v>2653</v>
      </c>
      <c r="GC34" s="296" t="s">
        <v>2654</v>
      </c>
      <c r="GD34" s="296" t="s">
        <v>2655</v>
      </c>
      <c r="GE34" s="296" t="s">
        <v>2656</v>
      </c>
      <c r="GF34" s="296" t="str">
        <f t="shared" si="115"/>
        <v>https://www.agencedusport.fr/plan-5000-equipements-generation-2024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34" s="657"/>
      <c r="GH34" s="311">
        <f t="shared" si="59"/>
        <v>435.36332000000004</v>
      </c>
      <c r="GI34" s="311">
        <f t="shared" si="100"/>
        <v>365.55372000000006</v>
      </c>
      <c r="GJ34" s="311">
        <f t="shared" si="60"/>
        <v>69.809600000000003</v>
      </c>
      <c r="GK34" s="311">
        <f t="shared" si="61"/>
        <v>3184.8639454545455</v>
      </c>
      <c r="GL34" s="311">
        <f t="shared" si="101"/>
        <v>2521.6727454545457</v>
      </c>
      <c r="GM34" s="311">
        <f t="shared" si="62"/>
        <v>663.19119999999998</v>
      </c>
      <c r="GN34" s="311">
        <f t="shared" si="63"/>
        <v>454.82741500000003</v>
      </c>
      <c r="GO34" s="311">
        <f t="shared" si="102"/>
        <v>367.56541500000003</v>
      </c>
      <c r="GP34" s="311">
        <f t="shared" si="64"/>
        <v>87.262</v>
      </c>
      <c r="GQ34" s="311">
        <f t="shared" si="65"/>
        <v>271.68943200000001</v>
      </c>
      <c r="GR34" s="311">
        <f t="shared" si="103"/>
        <v>219.332232</v>
      </c>
      <c r="GS34" s="311">
        <f t="shared" si="66"/>
        <v>52.357199999999999</v>
      </c>
      <c r="GT34" s="311">
        <f t="shared" si="67"/>
        <v>907.31377499999996</v>
      </c>
      <c r="GU34" s="311">
        <f t="shared" si="104"/>
        <v>787.640175</v>
      </c>
      <c r="GV34" s="311">
        <f t="shared" si="68"/>
        <v>119.67359999999999</v>
      </c>
      <c r="GW34" s="311">
        <f t="shared" si="69"/>
        <v>5018.5172000000002</v>
      </c>
      <c r="GX34" s="311">
        <f t="shared" si="105"/>
        <v>4200.7476000000006</v>
      </c>
      <c r="GY34" s="311">
        <f t="shared" si="70"/>
        <v>817.76959999999997</v>
      </c>
      <c r="GZ34" s="311">
        <f t="shared" si="71"/>
        <v>361.06319999999999</v>
      </c>
      <c r="HA34" s="311">
        <f t="shared" si="106"/>
        <v>301.22640000000001</v>
      </c>
      <c r="HB34" s="311">
        <f t="shared" si="72"/>
        <v>59.836799999999997</v>
      </c>
      <c r="HC34" s="311">
        <f t="shared" si="73"/>
        <v>75.609481250000016</v>
      </c>
      <c r="HD34" s="311">
        <f t="shared" si="107"/>
        <v>65.636681250000009</v>
      </c>
      <c r="HE34" s="311">
        <f t="shared" si="74"/>
        <v>9.9727999999999994</v>
      </c>
      <c r="HF34" s="311">
        <f t="shared" si="75"/>
        <v>711.56756000000007</v>
      </c>
      <c r="HG34" s="311">
        <f t="shared" si="108"/>
        <v>574.44156000000009</v>
      </c>
      <c r="HH34" s="311">
        <f t="shared" si="76"/>
        <v>137.126</v>
      </c>
      <c r="HI34" s="311">
        <f t="shared" si="77"/>
        <v>180.5316</v>
      </c>
      <c r="HJ34" s="311">
        <f t="shared" si="109"/>
        <v>150.61320000000001</v>
      </c>
      <c r="HK34" s="311">
        <f t="shared" si="78"/>
        <v>29.918399999999998</v>
      </c>
      <c r="HL34" s="311">
        <f t="shared" si="79"/>
        <v>421.27029999999996</v>
      </c>
      <c r="HM34" s="311">
        <f t="shared" si="110"/>
        <v>348.96749999999997</v>
      </c>
      <c r="HN34" s="311">
        <f t="shared" si="80"/>
        <v>72.302799999999991</v>
      </c>
      <c r="HO34" s="311">
        <f t="shared" si="81"/>
        <v>1044.7773</v>
      </c>
      <c r="HP34" s="311">
        <f t="shared" si="111"/>
        <v>913.88430000000005</v>
      </c>
      <c r="HQ34" s="311">
        <f t="shared" si="82"/>
        <v>130.893</v>
      </c>
      <c r="HR34" s="311">
        <f t="shared" si="83"/>
        <v>2331.0143500000004</v>
      </c>
      <c r="HS34" s="311">
        <f t="shared" si="112"/>
        <v>1824.8947500000002</v>
      </c>
      <c r="HT34" s="311">
        <f t="shared" si="84"/>
        <v>506.11959999999999</v>
      </c>
      <c r="HU34" s="311">
        <f t="shared" si="85"/>
        <v>1154.5209375000002</v>
      </c>
      <c r="HV34" s="311">
        <f t="shared" si="113"/>
        <v>918.91353750000007</v>
      </c>
      <c r="HW34" s="311">
        <f t="shared" si="86"/>
        <v>235.60740000000001</v>
      </c>
      <c r="HY34" s="313">
        <f t="shared" si="87"/>
        <v>31680.923999999999</v>
      </c>
      <c r="HZ34" s="313">
        <f t="shared" si="88"/>
        <v>1518.1320000000001</v>
      </c>
      <c r="IA34" s="313">
        <f t="shared" si="89"/>
        <v>13211.616</v>
      </c>
      <c r="IB34" s="313">
        <f t="shared" si="90"/>
        <v>13910.424000000001</v>
      </c>
      <c r="IC34" s="313">
        <f t="shared" si="91"/>
        <v>3040.752</v>
      </c>
      <c r="ID34" s="313">
        <f t="shared" si="92"/>
        <v>0</v>
      </c>
      <c r="IE34" s="313">
        <f t="shared" si="93"/>
        <v>13561.089816204547</v>
      </c>
      <c r="IF34" s="313">
        <f t="shared" si="94"/>
        <v>323.46627334139316</v>
      </c>
      <c r="IG34" s="313">
        <f t="shared" si="95"/>
        <v>5230.6310137843029</v>
      </c>
      <c r="IH34" s="313">
        <f t="shared" si="96"/>
        <v>6289.6004538168345</v>
      </c>
      <c r="II34" s="313">
        <f t="shared" si="97"/>
        <v>1649.2208569222435</v>
      </c>
      <c r="IJ34" s="313">
        <f t="shared" si="98"/>
        <v>68.171218339772736</v>
      </c>
      <c r="IK34" s="866">
        <v>4.1900000000000004</v>
      </c>
      <c r="IL34" s="314" t="s">
        <v>2589</v>
      </c>
      <c r="IM34" s="299" t="s">
        <v>3140</v>
      </c>
      <c r="IN34" s="657"/>
      <c r="IO34" s="730">
        <v>0.05</v>
      </c>
      <c r="IP34" s="730">
        <v>0.42</v>
      </c>
      <c r="IQ34" s="730">
        <v>0.44</v>
      </c>
      <c r="IR34" s="730">
        <v>0.09</v>
      </c>
      <c r="IS34" s="730">
        <v>0</v>
      </c>
      <c r="IT34" s="730">
        <v>2.7099999999999999E-2</v>
      </c>
      <c r="IU34" s="730">
        <v>0.3921</v>
      </c>
      <c r="IV34" s="730">
        <v>0.46289999999999998</v>
      </c>
      <c r="IW34" s="730">
        <v>0.1129</v>
      </c>
      <c r="IX34" s="730">
        <v>5.0000000000000001E-3</v>
      </c>
      <c r="IY34" s="730">
        <v>3.0599999999999999E-2</v>
      </c>
      <c r="IZ34" s="730">
        <v>0.36449999999999999</v>
      </c>
      <c r="JA34" s="730">
        <v>0.47170000000000001</v>
      </c>
      <c r="JB34" s="730">
        <v>0.13320000000000001</v>
      </c>
      <c r="JC34" s="730">
        <v>0</v>
      </c>
      <c r="JD34" s="730">
        <v>7.7000000000000002E-3</v>
      </c>
      <c r="JE34" s="730">
        <v>0.33660000000000001</v>
      </c>
      <c r="JF34" s="730">
        <v>0.49459999999999998</v>
      </c>
      <c r="JG34" s="730">
        <v>0.15609999999999999</v>
      </c>
      <c r="JH34" s="730">
        <v>5.0000000000000001E-3</v>
      </c>
      <c r="JI34" s="730">
        <v>8.7599999999999997E-2</v>
      </c>
      <c r="JJ34" s="730">
        <v>0.55179999999999996</v>
      </c>
      <c r="JK34" s="730">
        <v>0.32119999999999999</v>
      </c>
      <c r="JL34" s="730">
        <v>3.9399999999999998E-2</v>
      </c>
      <c r="JM34" s="730">
        <v>0</v>
      </c>
      <c r="JN34" s="730">
        <v>6.4699999999999994E-2</v>
      </c>
      <c r="JO34" s="730">
        <v>0.52390000000000003</v>
      </c>
      <c r="JP34" s="730">
        <v>0.34410000000000002</v>
      </c>
      <c r="JQ34" s="730">
        <v>6.2300000000000001E-2</v>
      </c>
      <c r="JR34" s="730">
        <v>5.0000000000000001E-3</v>
      </c>
      <c r="JS34" s="730">
        <v>5.4300000000000001E-2</v>
      </c>
      <c r="JT34" s="730">
        <v>0.43559999999999999</v>
      </c>
      <c r="JU34" s="730">
        <v>0.43459999999999999</v>
      </c>
      <c r="JV34" s="730">
        <v>7.5600000000000001E-2</v>
      </c>
      <c r="JW34" s="730">
        <v>0</v>
      </c>
      <c r="JX34" s="730">
        <v>3.1399999999999997E-2</v>
      </c>
      <c r="JY34" s="730">
        <v>0.40760000000000002</v>
      </c>
      <c r="JZ34" s="730">
        <v>0.45739999999999997</v>
      </c>
      <c r="KA34" s="730">
        <v>9.8500000000000004E-2</v>
      </c>
      <c r="KB34" s="730">
        <v>5.1000000000000004E-3</v>
      </c>
      <c r="KC34" s="657"/>
      <c r="KD34" s="314" t="s">
        <v>2590</v>
      </c>
      <c r="KE34" s="314" t="s">
        <v>2590</v>
      </c>
      <c r="KF34" s="866">
        <v>4.1399999999999997</v>
      </c>
      <c r="KG34" s="314" t="s">
        <v>2589</v>
      </c>
      <c r="KH34" s="315" t="s">
        <v>2990</v>
      </c>
      <c r="KI34" s="314" t="s">
        <v>2991</v>
      </c>
      <c r="KJ34" s="315" t="s">
        <v>3141</v>
      </c>
    </row>
    <row r="35" spans="1:296" ht="48" hidden="1" customHeight="1">
      <c r="A35" s="265">
        <f t="shared" si="99"/>
        <v>28</v>
      </c>
      <c r="B35" s="266" t="s">
        <v>2880</v>
      </c>
      <c r="C35" s="266" t="s">
        <v>3124</v>
      </c>
      <c r="D35" s="624" t="s">
        <v>992</v>
      </c>
      <c r="E35" s="267" t="s">
        <v>2106</v>
      </c>
      <c r="F35" s="267" t="s">
        <v>300</v>
      </c>
      <c r="G35" s="267" t="s">
        <v>300</v>
      </c>
      <c r="H35" s="267" t="s">
        <v>2109</v>
      </c>
      <c r="I35" s="268" t="s">
        <v>3142</v>
      </c>
      <c r="J35" s="268" t="s">
        <v>3143</v>
      </c>
      <c r="K35" s="269" t="s">
        <v>2097</v>
      </c>
      <c r="L35" s="269" t="s">
        <v>2109</v>
      </c>
      <c r="M35" s="269" t="s">
        <v>2603</v>
      </c>
      <c r="N35" s="269" t="s">
        <v>2099</v>
      </c>
      <c r="O35" s="267" t="s">
        <v>2616</v>
      </c>
      <c r="P35" s="268"/>
      <c r="Q35" s="270">
        <v>1</v>
      </c>
      <c r="R35" s="271">
        <v>450</v>
      </c>
      <c r="S35" s="272">
        <v>12000</v>
      </c>
      <c r="T35" s="272">
        <v>12000</v>
      </c>
      <c r="U35" s="272">
        <v>12000</v>
      </c>
      <c r="V35" s="272">
        <v>12000</v>
      </c>
      <c r="W35" s="272">
        <v>12000</v>
      </c>
      <c r="X35" s="272">
        <v>12000</v>
      </c>
      <c r="Y35" s="272">
        <v>12000</v>
      </c>
      <c r="Z35" s="272">
        <v>12000</v>
      </c>
      <c r="AA35" s="272">
        <v>12000</v>
      </c>
      <c r="AB35" s="272">
        <v>12000</v>
      </c>
      <c r="AC35" s="272">
        <v>12000</v>
      </c>
      <c r="AD35" s="272">
        <v>12000</v>
      </c>
      <c r="AE35" s="272">
        <v>12000</v>
      </c>
      <c r="AF35" s="272">
        <v>12000</v>
      </c>
      <c r="AG35" s="272">
        <v>12000</v>
      </c>
      <c r="AH35" s="272">
        <v>12000</v>
      </c>
      <c r="AI35" s="272">
        <v>12000</v>
      </c>
      <c r="AJ35" s="272">
        <v>12000</v>
      </c>
      <c r="AK35" s="272">
        <v>12000</v>
      </c>
      <c r="AL35" s="268" t="s">
        <v>3144</v>
      </c>
      <c r="AM35" s="268" t="s">
        <v>3145</v>
      </c>
      <c r="AN35" s="268" t="s">
        <v>2842</v>
      </c>
      <c r="AO35" s="657"/>
      <c r="AP35" s="271">
        <v>120</v>
      </c>
      <c r="AQ35" s="280">
        <v>106</v>
      </c>
      <c r="AR35" s="280">
        <v>12</v>
      </c>
      <c r="AS35" s="280">
        <v>2</v>
      </c>
      <c r="AT35" s="657"/>
      <c r="AU35" s="301" t="s">
        <v>3146</v>
      </c>
      <c r="AV35" s="572" t="s">
        <v>3147</v>
      </c>
      <c r="AW35" s="645" t="s">
        <v>2917</v>
      </c>
      <c r="AX35" s="290" t="s">
        <v>2687</v>
      </c>
      <c r="AY35" s="657"/>
      <c r="AZ35" s="948">
        <v>8</v>
      </c>
      <c r="BA35" s="948">
        <v>0.5</v>
      </c>
      <c r="BB35" s="948">
        <v>1.5</v>
      </c>
      <c r="BC35" s="948">
        <v>7</v>
      </c>
      <c r="BD35" s="825">
        <f t="shared" si="4"/>
        <v>204000</v>
      </c>
      <c r="BE35" s="304">
        <f t="shared" si="5"/>
        <v>96000</v>
      </c>
      <c r="BF35" s="304">
        <f t="shared" si="6"/>
        <v>6000</v>
      </c>
      <c r="BG35" s="304">
        <f t="shared" si="7"/>
        <v>18000</v>
      </c>
      <c r="BH35" s="304">
        <f t="shared" si="8"/>
        <v>84000</v>
      </c>
      <c r="BI35" s="825">
        <f t="shared" si="9"/>
        <v>204000</v>
      </c>
      <c r="BJ35" s="304">
        <f t="shared" si="10"/>
        <v>96000</v>
      </c>
      <c r="BK35" s="304">
        <f t="shared" si="11"/>
        <v>6000</v>
      </c>
      <c r="BL35" s="304">
        <f t="shared" si="12"/>
        <v>18000</v>
      </c>
      <c r="BM35" s="304">
        <f t="shared" si="13"/>
        <v>84000</v>
      </c>
      <c r="BN35" s="657"/>
      <c r="BO35" s="284">
        <v>0.28000000000000003</v>
      </c>
      <c r="BP35" s="284">
        <v>0.62</v>
      </c>
      <c r="BQ35" s="284">
        <v>0.04</v>
      </c>
      <c r="BR35" s="710">
        <v>0.06</v>
      </c>
      <c r="BS35" s="707">
        <v>0.25</v>
      </c>
      <c r="BT35" s="284">
        <v>0.63</v>
      </c>
      <c r="BU35" s="284">
        <v>0.06</v>
      </c>
      <c r="BV35" s="710">
        <v>0.06</v>
      </c>
      <c r="BW35" s="714">
        <v>0.2</v>
      </c>
      <c r="BX35" s="285">
        <v>0.75</v>
      </c>
      <c r="BY35" s="717">
        <v>0.05</v>
      </c>
      <c r="BZ35" s="714">
        <v>0.15</v>
      </c>
      <c r="CA35" s="285">
        <v>0.78</v>
      </c>
      <c r="CB35" s="717">
        <v>7.0000000000000007E-2</v>
      </c>
      <c r="CC35" s="284">
        <v>0.08</v>
      </c>
      <c r="CD35" s="284">
        <v>0.62</v>
      </c>
      <c r="CE35" s="284">
        <v>0.05</v>
      </c>
      <c r="CF35" s="710">
        <v>0.25</v>
      </c>
      <c r="CG35" s="707">
        <v>7.0000000000000007E-2</v>
      </c>
      <c r="CH35" s="284">
        <v>0.63</v>
      </c>
      <c r="CI35" s="284">
        <v>7.0000000000000007E-2</v>
      </c>
      <c r="CJ35" s="710">
        <v>0.23</v>
      </c>
      <c r="CK35" s="720">
        <v>0.7</v>
      </c>
      <c r="CL35" s="286">
        <v>0.3</v>
      </c>
      <c r="CM35" s="718"/>
      <c r="CN35" s="720">
        <v>0.6</v>
      </c>
      <c r="CO35" s="286">
        <v>0.35</v>
      </c>
      <c r="CP35" s="718">
        <v>0.05</v>
      </c>
      <c r="CQ35" s="657"/>
      <c r="CR35" s="807">
        <v>13</v>
      </c>
      <c r="CS35" s="808">
        <v>13</v>
      </c>
      <c r="CT35" s="808">
        <v>9</v>
      </c>
      <c r="CU35" s="809">
        <v>11</v>
      </c>
      <c r="CV35" s="807">
        <v>9</v>
      </c>
      <c r="CW35" s="808">
        <v>10</v>
      </c>
      <c r="CX35" s="809">
        <v>8</v>
      </c>
      <c r="CY35" s="807">
        <v>10</v>
      </c>
      <c r="CZ35" s="808">
        <v>12</v>
      </c>
      <c r="DA35" s="808">
        <v>8</v>
      </c>
      <c r="DB35" s="809">
        <v>10</v>
      </c>
      <c r="DC35" s="807">
        <v>11</v>
      </c>
      <c r="DD35" s="808">
        <v>12</v>
      </c>
      <c r="DE35" s="809">
        <v>9</v>
      </c>
      <c r="DF35" s="610" t="s">
        <v>3148</v>
      </c>
      <c r="DG35" s="657"/>
      <c r="DH35" s="288">
        <f t="shared" si="14"/>
        <v>26880.000000000004</v>
      </c>
      <c r="DI35" s="288">
        <f t="shared" si="15"/>
        <v>59520</v>
      </c>
      <c r="DJ35" s="288">
        <f t="shared" si="16"/>
        <v>3840</v>
      </c>
      <c r="DK35" s="288">
        <f t="shared" si="17"/>
        <v>5760</v>
      </c>
      <c r="DL35" s="560" t="s">
        <v>3149</v>
      </c>
      <c r="DM35" s="288">
        <f t="shared" si="18"/>
        <v>24000</v>
      </c>
      <c r="DN35" s="288">
        <f t="shared" si="19"/>
        <v>60480</v>
      </c>
      <c r="DO35" s="288">
        <f t="shared" si="20"/>
        <v>5760</v>
      </c>
      <c r="DP35" s="288">
        <f t="shared" si="21"/>
        <v>5760</v>
      </c>
      <c r="DQ35" s="561" t="s">
        <v>2689</v>
      </c>
      <c r="DR35" s="657"/>
      <c r="DS35" s="288">
        <f t="shared" si="22"/>
        <v>1200</v>
      </c>
      <c r="DT35" s="288">
        <f t="shared" si="23"/>
        <v>4500</v>
      </c>
      <c r="DU35" s="288">
        <f t="shared" si="24"/>
        <v>300</v>
      </c>
      <c r="DV35" s="561" t="s">
        <v>3150</v>
      </c>
      <c r="DW35" s="288">
        <f t="shared" si="25"/>
        <v>900</v>
      </c>
      <c r="DX35" s="288">
        <f t="shared" si="26"/>
        <v>4680</v>
      </c>
      <c r="DY35" s="288">
        <f t="shared" si="27"/>
        <v>420.00000000000006</v>
      </c>
      <c r="DZ35" s="561" t="s">
        <v>3151</v>
      </c>
      <c r="EA35" s="657"/>
      <c r="EB35" s="288">
        <f t="shared" si="28"/>
        <v>1440</v>
      </c>
      <c r="EC35" s="288">
        <f t="shared" si="29"/>
        <v>11160</v>
      </c>
      <c r="ED35" s="288">
        <f t="shared" si="30"/>
        <v>900</v>
      </c>
      <c r="EE35" s="288">
        <f t="shared" si="31"/>
        <v>4500</v>
      </c>
      <c r="EF35" s="561" t="s">
        <v>3152</v>
      </c>
      <c r="EG35" s="288">
        <f t="shared" si="32"/>
        <v>1260.0000000000002</v>
      </c>
      <c r="EH35" s="288">
        <f t="shared" si="33"/>
        <v>11340</v>
      </c>
      <c r="EI35" s="288">
        <f t="shared" si="34"/>
        <v>1260.0000000000002</v>
      </c>
      <c r="EJ35" s="288">
        <f t="shared" si="35"/>
        <v>4140</v>
      </c>
      <c r="EK35" s="561" t="s">
        <v>2691</v>
      </c>
      <c r="EL35" s="657"/>
      <c r="EM35" s="288">
        <f t="shared" si="36"/>
        <v>58799.999999999993</v>
      </c>
      <c r="EN35" s="291">
        <f t="shared" si="37"/>
        <v>25200</v>
      </c>
      <c r="EO35" s="291">
        <f t="shared" si="38"/>
        <v>0</v>
      </c>
      <c r="EP35" s="561" t="s">
        <v>3153</v>
      </c>
      <c r="EQ35" s="288">
        <f t="shared" si="39"/>
        <v>50400</v>
      </c>
      <c r="ER35" s="291">
        <f t="shared" si="40"/>
        <v>29399.999999999996</v>
      </c>
      <c r="ES35" s="291">
        <f t="shared" si="41"/>
        <v>4200</v>
      </c>
      <c r="ET35" s="561" t="s">
        <v>2693</v>
      </c>
      <c r="EU35" s="657"/>
      <c r="EV35" s="740">
        <f t="shared" si="42"/>
        <v>0.76311532563457252</v>
      </c>
      <c r="EW35" s="740">
        <f t="shared" si="43"/>
        <v>0.23688467436542748</v>
      </c>
      <c r="EX35" s="563">
        <f t="shared" si="44"/>
        <v>53470.576068000002</v>
      </c>
      <c r="EY35" s="563">
        <f t="shared" si="45"/>
        <v>40804.216068000002</v>
      </c>
      <c r="EZ35" s="563">
        <f t="shared" si="46"/>
        <v>12666.36</v>
      </c>
      <c r="FA35" s="563">
        <f t="shared" si="47"/>
        <v>25162.624032</v>
      </c>
      <c r="FB35" s="563">
        <f t="shared" si="48"/>
        <v>19201.984032</v>
      </c>
      <c r="FC35" s="563">
        <f t="shared" si="49"/>
        <v>5960.64</v>
      </c>
      <c r="FD35" s="563">
        <f t="shared" si="50"/>
        <v>1572.664002</v>
      </c>
      <c r="FE35" s="563">
        <f t="shared" si="51"/>
        <v>1200.124002</v>
      </c>
      <c r="FF35" s="563">
        <f t="shared" si="52"/>
        <v>372.54</v>
      </c>
      <c r="FG35" s="563">
        <f t="shared" si="53"/>
        <v>4717.9920059999995</v>
      </c>
      <c r="FH35" s="563">
        <f t="shared" si="54"/>
        <v>3600.3720059999996</v>
      </c>
      <c r="FI35" s="563">
        <f t="shared" si="55"/>
        <v>1117.6199999999999</v>
      </c>
      <c r="FJ35" s="563">
        <f t="shared" si="56"/>
        <v>22017.296028000001</v>
      </c>
      <c r="FK35" s="563">
        <f t="shared" si="57"/>
        <v>16801.736027999999</v>
      </c>
      <c r="FL35" s="563">
        <f t="shared" si="58"/>
        <v>5215.5600000000004</v>
      </c>
      <c r="FM35" s="529"/>
      <c r="FN35" s="564" t="s">
        <v>2649</v>
      </c>
      <c r="FO35" s="740">
        <v>6.2089999999999999E-2</v>
      </c>
      <c r="FP35" s="741">
        <v>0.84006999999999998</v>
      </c>
      <c r="FQ35" s="565" t="s">
        <v>3154</v>
      </c>
      <c r="FR35" s="529"/>
      <c r="FS35" s="867">
        <v>3.04</v>
      </c>
      <c r="FT35" s="566">
        <f>RANK($FS35,$FS$8:$FS$154,0)+COUNTIF($FS$8:$FS35,$FS35)-1</f>
        <v>113</v>
      </c>
      <c r="FU35" s="867">
        <v>3.9</v>
      </c>
      <c r="FV35" s="566">
        <f>RANK($FU35,$FU$8:$FU$154,0)+COUNTIF($FU$8:$FU35,$FU35)-1</f>
        <v>96</v>
      </c>
      <c r="FW35" s="867">
        <v>1.98</v>
      </c>
      <c r="FX35" s="566">
        <f>RANK($FW35,$FW$8:$FW$154,0)+COUNTIF($FW$8:$FW35,$FW35)-1</f>
        <v>109</v>
      </c>
      <c r="FY35" s="529"/>
      <c r="FZ35" s="567" t="s">
        <v>3155</v>
      </c>
      <c r="GA35" s="567" t="s">
        <v>3156</v>
      </c>
      <c r="GB35" s="567" t="s">
        <v>3157</v>
      </c>
      <c r="GC35" s="567" t="s">
        <v>3158</v>
      </c>
      <c r="GD35" s="567" t="s">
        <v>3159</v>
      </c>
      <c r="GE35" s="567" t="s">
        <v>3160</v>
      </c>
      <c r="GF35" s="567" t="str">
        <f>HYPERLINK("https://www.banquedesterritoires.fr/plan-renovation-energetique-batiments-publics","https://www.banquedesterritoires.fr/plan-renovation-energetique-batiments-publics")&amp;CHAR(10)&amp;HYPERLINK("https://www.ecologie.gouv.fr/eco-energie-tertiaire-eet","https://www.ecologie.gouv.fr/eco-energie-tertiaire-eet")&amp;CHAR(10)&amp;HYPERLINK("https://www.atout-france.fr/fr/catalogue/etudes-publications/investissements-touristiques-et-developpement-des-territoires-en-1","https://www.atout-france.fr/fr/catalogue/etudes-publications/investissements-touristiques-et-developpement-des-territoires-en-1")&amp;CHAR(10)&amp;HYPERLINK("https://www.atout-france.fr/fr/actualites/investissements-touristiques-vers-un-nouveau-cycle-plus-selectif-et-durable","https://www.atout-france.fr/fr/actualites/investissements-touristiques-vers-un-nouveau-cycle-plus-selectif-et-durable")&amp;CHAR(10)&amp;HYPERLINK("https://www.atout-france.fr/fr/actualites/bilan-touristique-de-lannee-2025-avec-102-millions-de-visiteurs-la-france-pays-le-plus","https://www.atout-france.fr/fr/actualites/bilan-touristique-de-lannee-2025-avec-102-millions-de-visiteurs-la-france-pays-le-plus")&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https://www.banquedesterritoires.fr/plan-renovation-energetique-batiments-publics
https://www.ecologie.gouv.fr/eco-energie-tertiaire-eet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35" s="529"/>
      <c r="GH35" s="563">
        <f t="shared" si="59"/>
        <v>6866.7155289600005</v>
      </c>
      <c r="GI35" s="563">
        <f>IFERROR($BE35*$FP35*0.2381*$BO35,0)</f>
        <v>5376.5555289600006</v>
      </c>
      <c r="GJ35" s="563">
        <f t="shared" si="60"/>
        <v>1490.16</v>
      </c>
      <c r="GK35" s="563">
        <f t="shared" si="61"/>
        <v>15660.43329984</v>
      </c>
      <c r="GL35" s="563">
        <f>IFERROR($BE35*$FP35*0.2381*$BP35,0)</f>
        <v>11905.230099840001</v>
      </c>
      <c r="GM35" s="563">
        <f t="shared" si="62"/>
        <v>3755.2032000000004</v>
      </c>
      <c r="GN35" s="563">
        <f t="shared" si="63"/>
        <v>1125.7177612800001</v>
      </c>
      <c r="GO35" s="563">
        <f>IFERROR($BE35*$FP35*0.2381*$BQ35,0)</f>
        <v>768.07936128000006</v>
      </c>
      <c r="GP35" s="563">
        <f t="shared" si="64"/>
        <v>357.63839999999999</v>
      </c>
      <c r="GQ35" s="563">
        <f t="shared" si="65"/>
        <v>1509.75744192</v>
      </c>
      <c r="GR35" s="563">
        <f>IFERROR($BE35*$FP35*0.2381*$BR35,0)</f>
        <v>1152.11904192</v>
      </c>
      <c r="GS35" s="563">
        <f t="shared" si="66"/>
        <v>357.63839999999999</v>
      </c>
      <c r="GT35" s="563">
        <f t="shared" si="67"/>
        <v>295.90580039999998</v>
      </c>
      <c r="GU35" s="563">
        <f>IFERROR($BF35*$FP35*0.2381*$BW35,0)</f>
        <v>240.0248004</v>
      </c>
      <c r="GV35" s="563">
        <f t="shared" si="68"/>
        <v>55.881</v>
      </c>
      <c r="GW35" s="563">
        <f t="shared" si="69"/>
        <v>1190.6742015</v>
      </c>
      <c r="GX35" s="563">
        <f>IFERROR($BF35*$FP35*0.2381*$BX35,0)</f>
        <v>900.09300150000001</v>
      </c>
      <c r="GY35" s="563">
        <f t="shared" si="70"/>
        <v>290.58120000000002</v>
      </c>
      <c r="GZ35" s="563">
        <f t="shared" si="71"/>
        <v>86.084000099999997</v>
      </c>
      <c r="HA35" s="563">
        <f>IFERROR($BF35*$FP35*0.2381*$BY35,0)</f>
        <v>60.006200100000001</v>
      </c>
      <c r="HB35" s="563">
        <f t="shared" si="72"/>
        <v>26.077800000000003</v>
      </c>
      <c r="HC35" s="563">
        <f t="shared" si="73"/>
        <v>366.26316048000001</v>
      </c>
      <c r="HD35" s="563">
        <f>IFERROR($BG35*$FP35*0.2381*$CC35,0)</f>
        <v>288.02976047999999</v>
      </c>
      <c r="HE35" s="563">
        <f t="shared" si="74"/>
        <v>78.233400000000003</v>
      </c>
      <c r="HF35" s="563">
        <f t="shared" si="75"/>
        <v>2936.3312437200002</v>
      </c>
      <c r="HG35" s="563">
        <f>IFERROR($BG35*$FP35*0.2381*$CD35,0)</f>
        <v>2232.23064372</v>
      </c>
      <c r="HH35" s="563">
        <f t="shared" si="76"/>
        <v>704.10059999999999</v>
      </c>
      <c r="HI35" s="563">
        <f t="shared" si="77"/>
        <v>258.25200030000002</v>
      </c>
      <c r="HJ35" s="563">
        <f>IFERROR($BG35*$FP35*0.2381*$CE35,0)</f>
        <v>180.0186003</v>
      </c>
      <c r="HK35" s="563">
        <f t="shared" si="78"/>
        <v>78.233400000000003</v>
      </c>
      <c r="HL35" s="563">
        <f t="shared" si="79"/>
        <v>1157.1456014999999</v>
      </c>
      <c r="HM35" s="563">
        <f>IFERROR($BG35*$FP35*0.2381*$CF35,0)</f>
        <v>900.09300150000001</v>
      </c>
      <c r="HN35" s="563">
        <f t="shared" si="80"/>
        <v>257.05259999999998</v>
      </c>
      <c r="HO35" s="563">
        <f t="shared" si="81"/>
        <v>14890.551219600002</v>
      </c>
      <c r="HP35" s="563">
        <f>IFERROR($BH35*$FP35*0.2381*$CK35,0)</f>
        <v>11761.215219600001</v>
      </c>
      <c r="HQ35" s="563">
        <f t="shared" si="82"/>
        <v>3129.3360000000002</v>
      </c>
      <c r="HR35" s="563">
        <f t="shared" si="83"/>
        <v>6865.9668084000004</v>
      </c>
      <c r="HS35" s="563">
        <f>IFERROR($BH35*$FP35*0.2381*$CL35,0)</f>
        <v>5040.5208084000005</v>
      </c>
      <c r="HT35" s="563">
        <f t="shared" si="84"/>
        <v>1825.4459999999999</v>
      </c>
      <c r="HU35" s="563">
        <f t="shared" si="85"/>
        <v>260.77800000000002</v>
      </c>
      <c r="HV35" s="563">
        <f>IFERROR($BH35*$FP35*0.2381*$CM35,0)</f>
        <v>0</v>
      </c>
      <c r="HW35" s="563">
        <f t="shared" si="86"/>
        <v>260.77800000000002</v>
      </c>
      <c r="HX35" s="544"/>
      <c r="HY35" s="568">
        <f t="shared" si="87"/>
        <v>198000</v>
      </c>
      <c r="HZ35" s="568">
        <f t="shared" si="88"/>
        <v>39695.4</v>
      </c>
      <c r="IA35" s="568">
        <f t="shared" si="89"/>
        <v>115312.20000000001</v>
      </c>
      <c r="IB35" s="568">
        <f t="shared" si="90"/>
        <v>42974.399999999994</v>
      </c>
      <c r="IC35" s="568">
        <f t="shared" si="91"/>
        <v>0</v>
      </c>
      <c r="ID35" s="568">
        <f t="shared" si="92"/>
        <v>18</v>
      </c>
      <c r="IE35" s="568">
        <f t="shared" si="93"/>
        <v>39604.092066000005</v>
      </c>
      <c r="IF35" s="568">
        <f t="shared" si="94"/>
        <v>4125.426256875</v>
      </c>
      <c r="IG35" s="568">
        <f t="shared" si="95"/>
        <v>20703.819208102799</v>
      </c>
      <c r="IH35" s="568">
        <f t="shared" si="96"/>
        <v>14360.563795531798</v>
      </c>
      <c r="II35" s="568">
        <f t="shared" si="97"/>
        <v>393.64067265599999</v>
      </c>
      <c r="IJ35" s="568">
        <f t="shared" si="98"/>
        <v>20.642132834400002</v>
      </c>
      <c r="IK35" s="868">
        <v>3.5</v>
      </c>
      <c r="IL35" s="569" t="s">
        <v>2780</v>
      </c>
      <c r="IM35" s="570" t="s">
        <v>3161</v>
      </c>
      <c r="IN35" s="529"/>
      <c r="IO35" s="742">
        <v>0.18679999999999999</v>
      </c>
      <c r="IP35" s="742">
        <v>0.58220000000000005</v>
      </c>
      <c r="IQ35" s="742">
        <v>0.23089999999999999</v>
      </c>
      <c r="IR35" s="742">
        <v>0</v>
      </c>
      <c r="IS35" s="742">
        <v>1E-4</v>
      </c>
      <c r="IT35" s="742">
        <v>9.5799999999999996E-2</v>
      </c>
      <c r="IU35" s="742">
        <v>0.51229999999999998</v>
      </c>
      <c r="IV35" s="742">
        <v>0.3785</v>
      </c>
      <c r="IW35" s="742">
        <v>1.2800000000000001E-2</v>
      </c>
      <c r="IX35" s="742">
        <v>5.9999999999999995E-4</v>
      </c>
      <c r="IY35" s="742">
        <v>0</v>
      </c>
      <c r="IZ35" s="742">
        <v>0</v>
      </c>
      <c r="JA35" s="742">
        <v>0</v>
      </c>
      <c r="JB35" s="742">
        <v>0</v>
      </c>
      <c r="JC35" s="742">
        <v>0</v>
      </c>
      <c r="JD35" s="742">
        <v>0</v>
      </c>
      <c r="JE35" s="742">
        <v>0</v>
      </c>
      <c r="JF35" s="742">
        <v>0</v>
      </c>
      <c r="JG35" s="742">
        <v>0</v>
      </c>
      <c r="JH35" s="742">
        <v>0</v>
      </c>
      <c r="JI35" s="742">
        <v>0.28270000000000001</v>
      </c>
      <c r="JJ35" s="742">
        <v>0.57630000000000003</v>
      </c>
      <c r="JK35" s="742">
        <v>0.14099999999999999</v>
      </c>
      <c r="JL35" s="742">
        <v>0</v>
      </c>
      <c r="JM35" s="742">
        <v>0</v>
      </c>
      <c r="JN35" s="742">
        <v>0.15609999999999999</v>
      </c>
      <c r="JO35" s="742">
        <v>0.57240000000000002</v>
      </c>
      <c r="JP35" s="742">
        <v>0.27129999999999999</v>
      </c>
      <c r="JQ35" s="742">
        <v>0</v>
      </c>
      <c r="JR35" s="742">
        <v>2.0000000000000001E-4</v>
      </c>
      <c r="JS35" s="742">
        <v>0.19850000000000001</v>
      </c>
      <c r="JT35" s="742">
        <v>0.58389999999999997</v>
      </c>
      <c r="JU35" s="742">
        <v>0.2175</v>
      </c>
      <c r="JV35" s="742">
        <v>0</v>
      </c>
      <c r="JW35" s="742">
        <v>1E-4</v>
      </c>
      <c r="JX35" s="742">
        <v>0.1026</v>
      </c>
      <c r="JY35" s="742">
        <v>0.52410000000000001</v>
      </c>
      <c r="JZ35" s="742">
        <v>0.36399999999999999</v>
      </c>
      <c r="KA35" s="742">
        <v>8.8000000000000005E-3</v>
      </c>
      <c r="KB35" s="742">
        <v>5.0000000000000001E-4</v>
      </c>
      <c r="KC35" s="657"/>
      <c r="KD35" s="832" t="s">
        <v>2591</v>
      </c>
      <c r="KE35" s="832" t="s">
        <v>2591</v>
      </c>
      <c r="KF35" s="869">
        <v>3.65</v>
      </c>
      <c r="KG35" s="832" t="s">
        <v>2626</v>
      </c>
      <c r="KH35" s="833" t="s">
        <v>3162</v>
      </c>
      <c r="KI35" s="832" t="s">
        <v>2704</v>
      </c>
      <c r="KJ35" s="833" t="s">
        <v>3163</v>
      </c>
    </row>
    <row r="36" spans="1:296" ht="48" hidden="1" customHeight="1">
      <c r="A36" s="273">
        <f t="shared" si="99"/>
        <v>29</v>
      </c>
      <c r="B36" s="274" t="s">
        <v>2880</v>
      </c>
      <c r="C36" s="274" t="s">
        <v>3124</v>
      </c>
      <c r="D36" s="274" t="s">
        <v>3164</v>
      </c>
      <c r="E36" s="275" t="s">
        <v>3008</v>
      </c>
      <c r="F36" s="275" t="s">
        <v>3165</v>
      </c>
      <c r="G36" s="275" t="s">
        <v>300</v>
      </c>
      <c r="H36" s="275" t="s">
        <v>2109</v>
      </c>
      <c r="I36" s="276" t="s">
        <v>3166</v>
      </c>
      <c r="J36" s="276" t="s">
        <v>3167</v>
      </c>
      <c r="K36" s="277" t="s">
        <v>2097</v>
      </c>
      <c r="L36" s="277" t="s">
        <v>2109</v>
      </c>
      <c r="M36" s="277" t="s">
        <v>3168</v>
      </c>
      <c r="N36" s="277" t="s">
        <v>3169</v>
      </c>
      <c r="O36" s="275" t="s">
        <v>3170</v>
      </c>
      <c r="P36" s="276"/>
      <c r="Q36" s="270">
        <v>1</v>
      </c>
      <c r="R36" s="278">
        <v>120000</v>
      </c>
      <c r="S36" s="279">
        <v>38</v>
      </c>
      <c r="T36" s="279">
        <v>37</v>
      </c>
      <c r="U36" s="279">
        <v>36</v>
      </c>
      <c r="V36" s="279">
        <v>34</v>
      </c>
      <c r="W36" s="279">
        <v>34</v>
      </c>
      <c r="X36" s="279">
        <v>34</v>
      </c>
      <c r="Y36" s="279">
        <v>34</v>
      </c>
      <c r="Z36" s="279">
        <v>34</v>
      </c>
      <c r="AA36" s="279">
        <v>33</v>
      </c>
      <c r="AB36" s="279">
        <v>33</v>
      </c>
      <c r="AC36" s="279">
        <v>33</v>
      </c>
      <c r="AD36" s="279">
        <v>34</v>
      </c>
      <c r="AE36" s="279">
        <v>34</v>
      </c>
      <c r="AF36" s="279">
        <v>34</v>
      </c>
      <c r="AG36" s="279">
        <v>35</v>
      </c>
      <c r="AH36" s="279">
        <v>35</v>
      </c>
      <c r="AI36" s="279">
        <v>35</v>
      </c>
      <c r="AJ36" s="279">
        <v>36</v>
      </c>
      <c r="AK36" s="279">
        <v>36</v>
      </c>
      <c r="AL36" s="276" t="s">
        <v>3171</v>
      </c>
      <c r="AM36" s="276" t="s">
        <v>3172</v>
      </c>
      <c r="AN36" s="276" t="s">
        <v>3173</v>
      </c>
      <c r="AO36" s="657"/>
      <c r="AP36" s="278">
        <v>5000</v>
      </c>
      <c r="AQ36" s="278">
        <v>4300</v>
      </c>
      <c r="AR36" s="278">
        <v>500</v>
      </c>
      <c r="AS36" s="278">
        <v>200</v>
      </c>
      <c r="AT36" s="657"/>
      <c r="AU36" s="281" t="s">
        <v>3174</v>
      </c>
      <c r="AV36" s="296" t="s">
        <v>3175</v>
      </c>
      <c r="AW36" s="296" t="s">
        <v>3176</v>
      </c>
      <c r="AX36" s="276" t="s">
        <v>2670</v>
      </c>
      <c r="AY36" s="657"/>
      <c r="AZ36" s="947">
        <v>120</v>
      </c>
      <c r="BA36" s="947">
        <v>4</v>
      </c>
      <c r="BB36" s="947">
        <v>28</v>
      </c>
      <c r="BC36" s="947">
        <v>115</v>
      </c>
      <c r="BD36" s="826">
        <f t="shared" si="4"/>
        <v>9078</v>
      </c>
      <c r="BE36" s="283">
        <f t="shared" si="5"/>
        <v>4080</v>
      </c>
      <c r="BF36" s="283">
        <f t="shared" si="6"/>
        <v>136</v>
      </c>
      <c r="BG36" s="283">
        <f t="shared" si="7"/>
        <v>952</v>
      </c>
      <c r="BH36" s="283">
        <f t="shared" si="8"/>
        <v>3910</v>
      </c>
      <c r="BI36" s="826">
        <f t="shared" si="9"/>
        <v>9612</v>
      </c>
      <c r="BJ36" s="283">
        <f t="shared" si="10"/>
        <v>4320</v>
      </c>
      <c r="BK36" s="283">
        <f t="shared" si="11"/>
        <v>144</v>
      </c>
      <c r="BL36" s="283">
        <f t="shared" si="12"/>
        <v>1008</v>
      </c>
      <c r="BM36" s="283">
        <f t="shared" si="13"/>
        <v>4140</v>
      </c>
      <c r="BN36" s="657"/>
      <c r="BO36" s="305">
        <v>0.1</v>
      </c>
      <c r="BP36" s="305">
        <v>0.76</v>
      </c>
      <c r="BQ36" s="305">
        <v>0.08</v>
      </c>
      <c r="BR36" s="581">
        <v>0.06</v>
      </c>
      <c r="BS36" s="706">
        <v>0.08</v>
      </c>
      <c r="BT36" s="305">
        <v>0.76</v>
      </c>
      <c r="BU36" s="305">
        <v>0.1</v>
      </c>
      <c r="BV36" s="581">
        <v>0.06</v>
      </c>
      <c r="BW36" s="713">
        <v>0.15</v>
      </c>
      <c r="BX36" s="306">
        <v>0.8</v>
      </c>
      <c r="BY36" s="590">
        <v>0.05</v>
      </c>
      <c r="BZ36" s="713">
        <v>0.12</v>
      </c>
      <c r="CA36" s="306">
        <v>0.82</v>
      </c>
      <c r="CB36" s="590">
        <v>0.06</v>
      </c>
      <c r="CC36" s="706">
        <v>0.05</v>
      </c>
      <c r="CD36" s="305">
        <v>0.55000000000000004</v>
      </c>
      <c r="CE36" s="305">
        <v>0.1</v>
      </c>
      <c r="CF36" s="581">
        <v>0.3</v>
      </c>
      <c r="CG36" s="706">
        <v>0.04</v>
      </c>
      <c r="CH36" s="305">
        <v>0.55000000000000004</v>
      </c>
      <c r="CI36" s="305">
        <v>0.12</v>
      </c>
      <c r="CJ36" s="581">
        <v>0.28999999999999998</v>
      </c>
      <c r="CK36" s="719">
        <v>0.25</v>
      </c>
      <c r="CL36" s="307">
        <v>0.55000000000000004</v>
      </c>
      <c r="CM36" s="723">
        <v>0.2</v>
      </c>
      <c r="CN36" s="719">
        <v>0.15</v>
      </c>
      <c r="CO36" s="307">
        <v>0.57999999999999996</v>
      </c>
      <c r="CP36" s="723">
        <v>0.27</v>
      </c>
      <c r="CQ36" s="657"/>
      <c r="CR36" s="804">
        <v>10</v>
      </c>
      <c r="CS36" s="805">
        <v>11</v>
      </c>
      <c r="CT36" s="805">
        <v>8</v>
      </c>
      <c r="CU36" s="806">
        <v>10</v>
      </c>
      <c r="CV36" s="804">
        <v>8</v>
      </c>
      <c r="CW36" s="805">
        <v>8</v>
      </c>
      <c r="CX36" s="806">
        <v>7</v>
      </c>
      <c r="CY36" s="804">
        <v>8</v>
      </c>
      <c r="CZ36" s="805">
        <v>10</v>
      </c>
      <c r="DA36" s="805">
        <v>7</v>
      </c>
      <c r="DB36" s="806">
        <v>9</v>
      </c>
      <c r="DC36" s="804">
        <v>10</v>
      </c>
      <c r="DD36" s="805">
        <v>11</v>
      </c>
      <c r="DE36" s="806">
        <v>8</v>
      </c>
      <c r="DF36" s="609" t="s">
        <v>3177</v>
      </c>
      <c r="DG36" s="657"/>
      <c r="DH36" s="308">
        <f t="shared" si="14"/>
        <v>408</v>
      </c>
      <c r="DI36" s="308">
        <f t="shared" si="15"/>
        <v>3100.8</v>
      </c>
      <c r="DJ36" s="308">
        <f t="shared" si="16"/>
        <v>326.40000000000003</v>
      </c>
      <c r="DK36" s="308">
        <f t="shared" si="17"/>
        <v>244.79999999999998</v>
      </c>
      <c r="DL36" s="287" t="s">
        <v>3178</v>
      </c>
      <c r="DM36" s="308">
        <f t="shared" si="18"/>
        <v>345.6</v>
      </c>
      <c r="DN36" s="308">
        <f t="shared" si="19"/>
        <v>3283.2</v>
      </c>
      <c r="DO36" s="308">
        <f t="shared" si="20"/>
        <v>432</v>
      </c>
      <c r="DP36" s="308">
        <f t="shared" si="21"/>
        <v>259.2</v>
      </c>
      <c r="DQ36" s="289" t="s">
        <v>2644</v>
      </c>
      <c r="DR36" s="657"/>
      <c r="DS36" s="308">
        <f t="shared" si="22"/>
        <v>20.399999999999999</v>
      </c>
      <c r="DT36" s="308">
        <f t="shared" si="23"/>
        <v>108.80000000000001</v>
      </c>
      <c r="DU36" s="308">
        <f t="shared" si="24"/>
        <v>6.8000000000000007</v>
      </c>
      <c r="DV36" s="289" t="s">
        <v>3179</v>
      </c>
      <c r="DW36" s="308">
        <f t="shared" si="25"/>
        <v>17.28</v>
      </c>
      <c r="DX36" s="308">
        <f t="shared" si="26"/>
        <v>118.08</v>
      </c>
      <c r="DY36" s="308">
        <f t="shared" si="27"/>
        <v>8.64</v>
      </c>
      <c r="DZ36" s="289" t="s">
        <v>2981</v>
      </c>
      <c r="EA36" s="657"/>
      <c r="EB36" s="308">
        <f t="shared" si="28"/>
        <v>47.6</v>
      </c>
      <c r="EC36" s="308">
        <f t="shared" si="29"/>
        <v>523.6</v>
      </c>
      <c r="ED36" s="308">
        <f t="shared" si="30"/>
        <v>95.2</v>
      </c>
      <c r="EE36" s="308">
        <f t="shared" si="31"/>
        <v>285.59999999999997</v>
      </c>
      <c r="EF36" s="289" t="s">
        <v>3180</v>
      </c>
      <c r="EG36" s="308">
        <f t="shared" si="32"/>
        <v>40.32</v>
      </c>
      <c r="EH36" s="308">
        <f t="shared" si="33"/>
        <v>554.40000000000009</v>
      </c>
      <c r="EI36" s="308">
        <f t="shared" si="34"/>
        <v>120.96</v>
      </c>
      <c r="EJ36" s="308">
        <f t="shared" si="35"/>
        <v>292.32</v>
      </c>
      <c r="EK36" s="309" t="s">
        <v>2983</v>
      </c>
      <c r="EL36" s="657"/>
      <c r="EM36" s="308">
        <f t="shared" si="36"/>
        <v>977.5</v>
      </c>
      <c r="EN36" s="310">
        <f t="shared" si="37"/>
        <v>2150.5</v>
      </c>
      <c r="EO36" s="310">
        <f t="shared" si="38"/>
        <v>782</v>
      </c>
      <c r="EP36" s="289" t="s">
        <v>3181</v>
      </c>
      <c r="EQ36" s="308">
        <f t="shared" si="39"/>
        <v>621</v>
      </c>
      <c r="ER36" s="310">
        <f t="shared" si="40"/>
        <v>2401.1999999999998</v>
      </c>
      <c r="ES36" s="310">
        <f t="shared" si="41"/>
        <v>1117.8000000000002</v>
      </c>
      <c r="ET36" s="289" t="s">
        <v>2985</v>
      </c>
      <c r="EU36" s="657"/>
      <c r="EV36" s="728">
        <f t="shared" si="42"/>
        <v>0.7864153006633281</v>
      </c>
      <c r="EW36" s="728">
        <f t="shared" si="43"/>
        <v>0.21358469933667187</v>
      </c>
      <c r="EX36" s="311">
        <f t="shared" si="44"/>
        <v>4391.5645779545457</v>
      </c>
      <c r="EY36" s="311">
        <f t="shared" si="45"/>
        <v>3453.5935779545457</v>
      </c>
      <c r="EZ36" s="311">
        <f t="shared" si="46"/>
        <v>937.971</v>
      </c>
      <c r="FA36" s="311">
        <f t="shared" si="47"/>
        <v>1914.3826854545455</v>
      </c>
      <c r="FB36" s="311">
        <f t="shared" si="48"/>
        <v>1492.8226854545455</v>
      </c>
      <c r="FC36" s="311">
        <f t="shared" si="49"/>
        <v>421.56</v>
      </c>
      <c r="FD36" s="311">
        <f t="shared" si="50"/>
        <v>78.953418749999997</v>
      </c>
      <c r="FE36" s="311">
        <f t="shared" si="51"/>
        <v>64.901418750000005</v>
      </c>
      <c r="FF36" s="311">
        <f t="shared" si="52"/>
        <v>14.052</v>
      </c>
      <c r="FG36" s="311">
        <f t="shared" si="53"/>
        <v>494.33734875000005</v>
      </c>
      <c r="FH36" s="311">
        <f t="shared" si="54"/>
        <v>395.97334875000007</v>
      </c>
      <c r="FI36" s="311">
        <f t="shared" si="55"/>
        <v>98.364000000000004</v>
      </c>
      <c r="FJ36" s="311">
        <f t="shared" si="56"/>
        <v>1903.8911250000001</v>
      </c>
      <c r="FK36" s="311">
        <f t="shared" si="57"/>
        <v>1499.8961250000002</v>
      </c>
      <c r="FL36" s="311">
        <f t="shared" si="58"/>
        <v>403.995</v>
      </c>
      <c r="FM36" s="657"/>
      <c r="FN36" s="293" t="s">
        <v>2649</v>
      </c>
      <c r="FO36" s="728">
        <v>4.4499999999999998E-2</v>
      </c>
      <c r="FP36" s="729">
        <v>0.77175000000000005</v>
      </c>
      <c r="FQ36" s="294" t="s">
        <v>3182</v>
      </c>
      <c r="FR36" s="657"/>
      <c r="FS36" s="865">
        <v>3.06</v>
      </c>
      <c r="FT36" s="312">
        <f>RANK($FS36,$FS$8:$FS$154,0)+COUNTIF($FS$8:$FS36,$FS36)-1</f>
        <v>104</v>
      </c>
      <c r="FU36" s="865">
        <v>3.65</v>
      </c>
      <c r="FV36" s="312">
        <f>RANK($FU36,$FU$8:$FU$154,0)+COUNTIF($FU$8:$FU36,$FU36)-1</f>
        <v>118</v>
      </c>
      <c r="FW36" s="865">
        <v>2</v>
      </c>
      <c r="FX36" s="312">
        <f>RANK($FW36,$FW$8:$FW$154,0)+COUNTIF($FW$8:$FW36,$FW36)-1</f>
        <v>96</v>
      </c>
      <c r="FY36" s="657"/>
      <c r="FZ36" s="296" t="s">
        <v>3183</v>
      </c>
      <c r="GA36" s="296" t="s">
        <v>3184</v>
      </c>
      <c r="GB36" s="296" t="s">
        <v>2653</v>
      </c>
      <c r="GC36" s="296" t="s">
        <v>2654</v>
      </c>
      <c r="GD36" s="296" t="s">
        <v>2876</v>
      </c>
      <c r="GE36" s="296" t="s">
        <v>2656</v>
      </c>
      <c r="GF36" s="296" t="str">
        <f>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36" s="657"/>
      <c r="GH36" s="311">
        <f t="shared" si="59"/>
        <v>190.23570000000001</v>
      </c>
      <c r="GI36" s="311">
        <f t="shared" ref="GI36:GI67" si="116">IFERROR($DH36*$FP36/MAX(0.000000001,$CR36)*(INDEX($S36:$AF36,1,MATCH(MAX(2000,MIN(2025,ROUND(2026-$CR36,0))),$S$4:$AF$4,1))+INDEX($S36:$AF36,1,MATCH(MAX(2000,MIN(2025,ROUND(2027-$CR36,0))),$S$4:$AF$4,1))+INDEX($S36:$AF36,1,MATCH(MAX(2000,MIN(2025,ROUND(2028-$CR36,0))),$S$4:$AF$4,1))+INDEX($S36:$AF36,1,MATCH(MAX(2000,MIN(2025,ROUND(2029-$CR36,0))),$S$4:$AF$4,1))+INDEX($S36:$AF36,1,MATCH(MAX(2000,MIN(2025,ROUND(2030-$CR36,0))),$S$4:$AF$4,1)))/MAX(1,$AF36),0)</f>
        <v>156.51089999999999</v>
      </c>
      <c r="GJ36" s="311">
        <f t="shared" si="60"/>
        <v>33.724800000000002</v>
      </c>
      <c r="GK36" s="311">
        <f t="shared" si="61"/>
        <v>1408.1321454545457</v>
      </c>
      <c r="GL36" s="311">
        <f t="shared" ref="GL36:GL67" si="117">IFERROR($DI36*$FP36/MAX(0.000000001,$CS36)*(INDEX($S36:$AF36,1,MATCH(MAX(2000,MIN(2025,ROUND(2026-$CS36,0))),$S$4:$AF$4,1))+INDEX($S36:$AF36,1,MATCH(MAX(2000,MIN(2025,ROUND(2027-$CS36,0))),$S$4:$AF$4,1))+INDEX($S36:$AF36,1,MATCH(MAX(2000,MIN(2025,ROUND(2028-$CS36,0))),$S$4:$AF$4,1))+INDEX($S36:$AF36,1,MATCH(MAX(2000,MIN(2025,ROUND(2029-$CS36,0))),$S$4:$AF$4,1))+INDEX($S36:$AF36,1,MATCH(MAX(2000,MIN(2025,ROUND(2030-$CS36,0))),$S$4:$AF$4,1)))/MAX(1,$AF36),0)</f>
        <v>1087.7465454545456</v>
      </c>
      <c r="GM36" s="311">
        <f t="shared" si="62"/>
        <v>320.38560000000001</v>
      </c>
      <c r="GN36" s="311">
        <f t="shared" si="63"/>
        <v>196.81470000000004</v>
      </c>
      <c r="GO36" s="311">
        <f t="shared" ref="GO36:GO67" si="118">IFERROR($DJ36*$FP36/MAX(0.000000001,$CT36)*(INDEX($S36:$AF36,1,MATCH(MAX(2000,MIN(2025,ROUND(2026-$CT36,0))),$S$4:$AF$4,1))+INDEX($S36:$AF36,1,MATCH(MAX(2000,MIN(2025,ROUND(2027-$CT36,0))),$S$4:$AF$4,1))+INDEX($S36:$AF36,1,MATCH(MAX(2000,MIN(2025,ROUND(2028-$CT36,0))),$S$4:$AF$4,1))+INDEX($S36:$AF36,1,MATCH(MAX(2000,MIN(2025,ROUND(2029-$CT36,0))),$S$4:$AF$4,1))+INDEX($S36:$AF36,1,MATCH(MAX(2000,MIN(2025,ROUND(2030-$CT36,0))),$S$4:$AF$4,1)))/MAX(1,$AF36),0)</f>
        <v>154.65870000000004</v>
      </c>
      <c r="GP36" s="311">
        <f t="shared" si="64"/>
        <v>42.156000000000006</v>
      </c>
      <c r="GQ36" s="311">
        <f t="shared" si="65"/>
        <v>119.20014</v>
      </c>
      <c r="GR36" s="311">
        <f t="shared" ref="GR36:GR67" si="119">IFERROR($DK36*$FP36/MAX(0.000000001,$CU36)*(INDEX($S36:$AF36,1,MATCH(MAX(2000,MIN(2025,ROUND(2026-$CU36,0))),$S$4:$AF$4,1))+INDEX($S36:$AF36,1,MATCH(MAX(2000,MIN(2025,ROUND(2027-$CU36,0))),$S$4:$AF$4,1))+INDEX($S36:$AF36,1,MATCH(MAX(2000,MIN(2025,ROUND(2028-$CU36,0))),$S$4:$AF$4,1))+INDEX($S36:$AF36,1,MATCH(MAX(2000,MIN(2025,ROUND(2029-$CU36,0))),$S$4:$AF$4,1))+INDEX($S36:$AF36,1,MATCH(MAX(2000,MIN(2025,ROUND(2030-$CU36,0))),$S$4:$AF$4,1)))/MAX(1,$AF36),0)</f>
        <v>93.906540000000007</v>
      </c>
      <c r="GS36" s="311">
        <f t="shared" si="66"/>
        <v>25.293599999999998</v>
      </c>
      <c r="GT36" s="311">
        <f t="shared" si="67"/>
        <v>11.35240875</v>
      </c>
      <c r="GU36" s="311">
        <f t="shared" ref="GU36:GU67" si="120">IFERROR($DS36*$FP36/MAX(0.000000001,$CV36)*(INDEX($S36:$AF36,1,MATCH(MAX(2000,MIN(2025,ROUND(2026-$CV36,0))),$S$4:$AF$4,1))+INDEX($S36:$AF36,1,MATCH(MAX(2000,MIN(2025,ROUND(2027-$CV36,0))),$S$4:$AF$4,1))+INDEX($S36:$AF36,1,MATCH(MAX(2000,MIN(2025,ROUND(2028-$CV36,0))),$S$4:$AF$4,1))+INDEX($S36:$AF36,1,MATCH(MAX(2000,MIN(2025,ROUND(2029-$CV36,0))),$S$4:$AF$4,1))+INDEX($S36:$AF36,1,MATCH(MAX(2000,MIN(2025,ROUND(2030-$CV36,0))),$S$4:$AF$4,1)))/MAX(1,$AF36),0)</f>
        <v>9.6661687500000006</v>
      </c>
      <c r="GV36" s="311">
        <f t="shared" si="68"/>
        <v>1.68624</v>
      </c>
      <c r="GW36" s="311">
        <f t="shared" si="69"/>
        <v>63.075540000000004</v>
      </c>
      <c r="GX36" s="311">
        <f t="shared" ref="GX36:GX67" si="121">IFERROR($DT36*$FP36/MAX(0.000000001,$CW36)*(INDEX($S36:$AF36,1,MATCH(MAX(2000,MIN(2025,ROUND(2026-$CW36,0))),$S$4:$AF$4,1))+INDEX($S36:$AF36,1,MATCH(MAX(2000,MIN(2025,ROUND(2027-$CW36,0))),$S$4:$AF$4,1))+INDEX($S36:$AF36,1,MATCH(MAX(2000,MIN(2025,ROUND(2028-$CW36,0))),$S$4:$AF$4,1))+INDEX($S36:$AF36,1,MATCH(MAX(2000,MIN(2025,ROUND(2029-$CW36,0))),$S$4:$AF$4,1))+INDEX($S36:$AF36,1,MATCH(MAX(2000,MIN(2025,ROUND(2030-$CW36,0))),$S$4:$AF$4,1)))/MAX(1,$AF36),0)</f>
        <v>51.552900000000001</v>
      </c>
      <c r="GY36" s="311">
        <f t="shared" si="70"/>
        <v>11.522639999999999</v>
      </c>
      <c r="GZ36" s="311">
        <f t="shared" si="71"/>
        <v>4.5254700000000003</v>
      </c>
      <c r="HA36" s="311">
        <f t="shared" ref="HA36:HA67" si="122">IFERROR($DU36*$FP36/MAX(0.000000001,$CX36)*(INDEX($S36:$AF36,1,MATCH(MAX(2000,MIN(2025,ROUND(2026-$CX36,0))),$S$4:$AF$4,1))+INDEX($S36:$AF36,1,MATCH(MAX(2000,MIN(2025,ROUND(2027-$CX36,0))),$S$4:$AF$4,1))+INDEX($S36:$AF36,1,MATCH(MAX(2000,MIN(2025,ROUND(2028-$CX36,0))),$S$4:$AF$4,1))+INDEX($S36:$AF36,1,MATCH(MAX(2000,MIN(2025,ROUND(2029-$CX36,0))),$S$4:$AF$4,1))+INDEX($S36:$AF36,1,MATCH(MAX(2000,MIN(2025,ROUND(2030-$CX36,0))),$S$4:$AF$4,1)))/MAX(1,$AF36),0)</f>
        <v>3.68235</v>
      </c>
      <c r="HB36" s="311">
        <f t="shared" si="72"/>
        <v>0.84311999999999998</v>
      </c>
      <c r="HC36" s="311">
        <f t="shared" si="73"/>
        <v>26.488953750000004</v>
      </c>
      <c r="HD36" s="311">
        <f t="shared" ref="HD36:HD67" si="123">IFERROR($EB36*$FP36/MAX(0.000000001,$CY36)*(INDEX($S36:$AF36,1,MATCH(MAX(2000,MIN(2025,ROUND(2026-$CY36,0))),$S$4:$AF$4,1))+INDEX($S36:$AF36,1,MATCH(MAX(2000,MIN(2025,ROUND(2027-$CY36,0))),$S$4:$AF$4,1))+INDEX($S36:$AF36,1,MATCH(MAX(2000,MIN(2025,ROUND(2028-$CY36,0))),$S$4:$AF$4,1))+INDEX($S36:$AF36,1,MATCH(MAX(2000,MIN(2025,ROUND(2029-$CY36,0))),$S$4:$AF$4,1))+INDEX($S36:$AF36,1,MATCH(MAX(2000,MIN(2025,ROUND(2030-$CY36,0))),$S$4:$AF$4,1)))/MAX(1,$AF36),0)</f>
        <v>22.554393750000003</v>
      </c>
      <c r="HE36" s="311">
        <f t="shared" si="74"/>
        <v>3.9345600000000003</v>
      </c>
      <c r="HF36" s="311">
        <f t="shared" si="75"/>
        <v>254.95585500000007</v>
      </c>
      <c r="HG36" s="311">
        <f t="shared" ref="HG36:HG67" si="124">IFERROR($EC36*$FP36/MAX(0.000000001,$CZ36)*(INDEX($S36:$AF36,1,MATCH(MAX(2000,MIN(2025,ROUND(2026-$CZ36,0))),$S$4:$AF$4,1))+INDEX($S36:$AF36,1,MATCH(MAX(2000,MIN(2025,ROUND(2027-$CZ36,0))),$S$4:$AF$4,1))+INDEX($S36:$AF36,1,MATCH(MAX(2000,MIN(2025,ROUND(2028-$CZ36,0))),$S$4:$AF$4,1))+INDEX($S36:$AF36,1,MATCH(MAX(2000,MIN(2025,ROUND(2029-$CZ36,0))),$S$4:$AF$4,1))+INDEX($S36:$AF36,1,MATCH(MAX(2000,MIN(2025,ROUND(2030-$CZ36,0))),$S$4:$AF$4,1)))/MAX(1,$AF36),0)</f>
        <v>200.85565500000007</v>
      </c>
      <c r="HH36" s="311">
        <f t="shared" si="76"/>
        <v>54.100200000000008</v>
      </c>
      <c r="HI36" s="311">
        <f t="shared" si="77"/>
        <v>63.356580000000001</v>
      </c>
      <c r="HJ36" s="311">
        <f t="shared" ref="HJ36:HJ67" si="125">IFERROR($ED36*$FP36/MAX(0.000000001,$DA36)*(INDEX($S36:$AF36,1,MATCH(MAX(2000,MIN(2025,ROUND(2026-$DA36,0))),$S$4:$AF$4,1))+INDEX($S36:$AF36,1,MATCH(MAX(2000,MIN(2025,ROUND(2027-$DA36,0))),$S$4:$AF$4,1))+INDEX($S36:$AF36,1,MATCH(MAX(2000,MIN(2025,ROUND(2028-$DA36,0))),$S$4:$AF$4,1))+INDEX($S36:$AF36,1,MATCH(MAX(2000,MIN(2025,ROUND(2029-$DA36,0))),$S$4:$AF$4,1))+INDEX($S36:$AF36,1,MATCH(MAX(2000,MIN(2025,ROUND(2030-$DA36,0))),$S$4:$AF$4,1)))/MAX(1,$AF36),0)</f>
        <v>51.552900000000001</v>
      </c>
      <c r="HK36" s="311">
        <f t="shared" si="78"/>
        <v>11.80368</v>
      </c>
      <c r="HL36" s="311">
        <f t="shared" si="79"/>
        <v>149.53595999999999</v>
      </c>
      <c r="HM36" s="311">
        <f t="shared" ref="HM36:HM67" si="126">IFERROR($EE36*$FP36/MAX(0.000000001,$DB36)*(INDEX($S36:$AF36,1,MATCH(MAX(2000,MIN(2025,ROUND(2026-$DB36,0))),$S$4:$AF$4,1))+INDEX($S36:$AF36,1,MATCH(MAX(2000,MIN(2025,ROUND(2027-$DB36,0))),$S$4:$AF$4,1))+INDEX($S36:$AF36,1,MATCH(MAX(2000,MIN(2025,ROUND(2028-$DB36,0))),$S$4:$AF$4,1))+INDEX($S36:$AF36,1,MATCH(MAX(2000,MIN(2025,ROUND(2029-$DB36,0))),$S$4:$AF$4,1))+INDEX($S36:$AF36,1,MATCH(MAX(2000,MIN(2025,ROUND(2030-$DB36,0))),$S$4:$AF$4,1)))/MAX(1,$AF36),0)</f>
        <v>121.0104</v>
      </c>
      <c r="HN36" s="311">
        <f t="shared" si="80"/>
        <v>28.525559999999999</v>
      </c>
      <c r="HO36" s="311">
        <f t="shared" si="81"/>
        <v>435.57328125000004</v>
      </c>
      <c r="HP36" s="311">
        <f t="shared" ref="HP36:HP67" si="127">IFERROR($EM36*$FP36/MAX(0.000000001,$DC36)*(INDEX($S36:$AF36,1,MATCH(MAX(2000,MIN(2025,ROUND(2026-$DC36,0))),$S$4:$AF$4,1))+INDEX($S36:$AF36,1,MATCH(MAX(2000,MIN(2025,ROUND(2027-$DC36,0))),$S$4:$AF$4,1))+INDEX($S36:$AF36,1,MATCH(MAX(2000,MIN(2025,ROUND(2028-$DC36,0))),$S$4:$AF$4,1))+INDEX($S36:$AF36,1,MATCH(MAX(2000,MIN(2025,ROUND(2029-$DC36,0))),$S$4:$AF$4,1))+INDEX($S36:$AF36,1,MATCH(MAX(2000,MIN(2025,ROUND(2030-$DC36,0))),$S$4:$AF$4,1)))/MAX(1,$AF36),0)</f>
        <v>374.97403125000005</v>
      </c>
      <c r="HQ36" s="311">
        <f t="shared" si="82"/>
        <v>60.599249999999998</v>
      </c>
      <c r="HR36" s="311">
        <f t="shared" si="83"/>
        <v>988.70272499999999</v>
      </c>
      <c r="HS36" s="311">
        <f t="shared" ref="HS36:HS67" si="128">IFERROR($EN36*$FP36/MAX(0.000000001,$DD36)*(INDEX($S36:$AF36,1,MATCH(MAX(2000,MIN(2025,ROUND(2026-$DD36,0))),$S$4:$AF$4,1))+INDEX($S36:$AF36,1,MATCH(MAX(2000,MIN(2025,ROUND(2027-$DD36,0))),$S$4:$AF$4,1))+INDEX($S36:$AF36,1,MATCH(MAX(2000,MIN(2025,ROUND(2028-$DD36,0))),$S$4:$AF$4,1))+INDEX($S36:$AF36,1,MATCH(MAX(2000,MIN(2025,ROUND(2029-$DD36,0))),$S$4:$AF$4,1))+INDEX($S36:$AF36,1,MATCH(MAX(2000,MIN(2025,ROUND(2030-$DD36,0))),$S$4:$AF$4,1)))/MAX(1,$AF36),0)</f>
        <v>754.385625</v>
      </c>
      <c r="HT36" s="311">
        <f t="shared" si="84"/>
        <v>234.31709999999998</v>
      </c>
      <c r="HU36" s="311">
        <f t="shared" si="85"/>
        <v>479.61511875000008</v>
      </c>
      <c r="HV36" s="311">
        <f t="shared" ref="HV36:HV67" si="129">IFERROR($EO36*$FP36/MAX(0.000000001,$DE36)*(INDEX($S36:$AF36,1,MATCH(MAX(2000,MIN(2025,ROUND(2026-$DE36,0))),$S$4:$AF$4,1))+INDEX($S36:$AF36,1,MATCH(MAX(2000,MIN(2025,ROUND(2027-$DE36,0))),$S$4:$AF$4,1))+INDEX($S36:$AF36,1,MATCH(MAX(2000,MIN(2025,ROUND(2028-$DE36,0))),$S$4:$AF$4,1))+INDEX($S36:$AF36,1,MATCH(MAX(2000,MIN(2025,ROUND(2029-$DE36,0))),$S$4:$AF$4,1))+INDEX($S36:$AF36,1,MATCH(MAX(2000,MIN(2025,ROUND(2030-$DE36,0))),$S$4:$AF$4,1)))/MAX(1,$AF36),0)</f>
        <v>370.53646875000004</v>
      </c>
      <c r="HW36" s="311">
        <f t="shared" si="86"/>
        <v>109.07865000000001</v>
      </c>
      <c r="HY36" s="313">
        <f t="shared" si="87"/>
        <v>9078</v>
      </c>
      <c r="HZ36" s="313">
        <f t="shared" si="88"/>
        <v>985.88439999999991</v>
      </c>
      <c r="IA36" s="313">
        <f t="shared" si="89"/>
        <v>4929.5648000000001</v>
      </c>
      <c r="IB36" s="313">
        <f t="shared" si="90"/>
        <v>2929.1578</v>
      </c>
      <c r="IC36" s="313">
        <f t="shared" si="91"/>
        <v>233.39299999999997</v>
      </c>
      <c r="ID36" s="313">
        <f t="shared" si="92"/>
        <v>0</v>
      </c>
      <c r="IE36" s="313">
        <f t="shared" si="93"/>
        <v>3453.5935779545462</v>
      </c>
      <c r="IF36" s="313">
        <f t="shared" si="94"/>
        <v>313.2801086037955</v>
      </c>
      <c r="IG36" s="313">
        <f t="shared" si="95"/>
        <v>1800.6597724156366</v>
      </c>
      <c r="IH36" s="313">
        <f t="shared" si="96"/>
        <v>1173.7247082900342</v>
      </c>
      <c r="II36" s="313">
        <f t="shared" si="97"/>
        <v>151.77066966337503</v>
      </c>
      <c r="IJ36" s="313">
        <f t="shared" si="98"/>
        <v>14.158318981704547</v>
      </c>
      <c r="IK36" s="866">
        <v>4.12</v>
      </c>
      <c r="IL36" s="314" t="s">
        <v>2589</v>
      </c>
      <c r="IM36" s="299" t="s">
        <v>3185</v>
      </c>
      <c r="IN36" s="657"/>
      <c r="IO36" s="730">
        <v>0.1</v>
      </c>
      <c r="IP36" s="730">
        <v>0.53</v>
      </c>
      <c r="IQ36" s="730">
        <v>0.34</v>
      </c>
      <c r="IR36" s="730">
        <v>0.03</v>
      </c>
      <c r="IS36" s="730">
        <v>0</v>
      </c>
      <c r="IT36" s="730">
        <v>8.1500000000000003E-2</v>
      </c>
      <c r="IU36" s="730">
        <v>0.50739999999999996</v>
      </c>
      <c r="IV36" s="730">
        <v>0.3584</v>
      </c>
      <c r="IW36" s="730">
        <v>4.8399999999999999E-2</v>
      </c>
      <c r="IX36" s="730">
        <v>4.3E-3</v>
      </c>
      <c r="IY36" s="730">
        <v>0.1022</v>
      </c>
      <c r="IZ36" s="730">
        <v>0.54190000000000005</v>
      </c>
      <c r="JA36" s="730">
        <v>0.33110000000000001</v>
      </c>
      <c r="JB36" s="730">
        <v>2.4799999999999999E-2</v>
      </c>
      <c r="JC36" s="730">
        <v>0</v>
      </c>
      <c r="JD36" s="730">
        <v>8.3699999999999997E-2</v>
      </c>
      <c r="JE36" s="730">
        <v>0.51939999999999997</v>
      </c>
      <c r="JF36" s="730">
        <v>0.34960000000000002</v>
      </c>
      <c r="JG36" s="730">
        <v>4.3200000000000002E-2</v>
      </c>
      <c r="JH36" s="730">
        <v>4.1000000000000003E-3</v>
      </c>
      <c r="JI36" s="730">
        <v>0.15459999999999999</v>
      </c>
      <c r="JJ36" s="730">
        <v>0.61470000000000002</v>
      </c>
      <c r="JK36" s="730">
        <v>0.21909999999999999</v>
      </c>
      <c r="JL36" s="730">
        <v>1.1599999999999999E-2</v>
      </c>
      <c r="JM36" s="730">
        <v>0</v>
      </c>
      <c r="JN36" s="730">
        <v>0.1361</v>
      </c>
      <c r="JO36" s="730">
        <v>0.59219999999999995</v>
      </c>
      <c r="JP36" s="730">
        <v>0.23749999999999999</v>
      </c>
      <c r="JQ36" s="730">
        <v>3.0099999999999998E-2</v>
      </c>
      <c r="JR36" s="730">
        <v>4.1000000000000003E-3</v>
      </c>
      <c r="JS36" s="730">
        <v>0.1066</v>
      </c>
      <c r="JT36" s="730">
        <v>0.53920000000000001</v>
      </c>
      <c r="JU36" s="730">
        <v>0.32950000000000002</v>
      </c>
      <c r="JV36" s="730">
        <v>2.47E-2</v>
      </c>
      <c r="JW36" s="730">
        <v>0</v>
      </c>
      <c r="JX36" s="730">
        <v>8.8200000000000001E-2</v>
      </c>
      <c r="JY36" s="730">
        <v>0.51670000000000005</v>
      </c>
      <c r="JZ36" s="730">
        <v>0.34799999999999998</v>
      </c>
      <c r="KA36" s="730">
        <v>4.3200000000000002E-2</v>
      </c>
      <c r="KB36" s="730">
        <v>3.8999999999999998E-3</v>
      </c>
      <c r="KC36" s="657"/>
      <c r="KD36" s="314" t="s">
        <v>2590</v>
      </c>
      <c r="KE36" s="314" t="s">
        <v>2590</v>
      </c>
      <c r="KF36" s="866">
        <v>4.1500000000000004</v>
      </c>
      <c r="KG36" s="314" t="s">
        <v>2589</v>
      </c>
      <c r="KH36" s="315" t="s">
        <v>3186</v>
      </c>
      <c r="KI36" s="314" t="s">
        <v>2659</v>
      </c>
      <c r="KJ36" s="315" t="s">
        <v>3187</v>
      </c>
    </row>
    <row r="37" spans="1:296" ht="48" hidden="1" customHeight="1">
      <c r="A37" s="265">
        <f t="shared" si="99"/>
        <v>30</v>
      </c>
      <c r="B37" s="266" t="s">
        <v>2880</v>
      </c>
      <c r="C37" s="266" t="s">
        <v>3124</v>
      </c>
      <c r="D37" s="624" t="s">
        <v>3188</v>
      </c>
      <c r="E37" s="267" t="s">
        <v>3189</v>
      </c>
      <c r="F37" s="267" t="s">
        <v>3165</v>
      </c>
      <c r="G37" s="267" t="s">
        <v>300</v>
      </c>
      <c r="H37" s="267" t="s">
        <v>2109</v>
      </c>
      <c r="I37" s="268" t="s">
        <v>3190</v>
      </c>
      <c r="J37" s="268" t="s">
        <v>3191</v>
      </c>
      <c r="K37" s="269" t="s">
        <v>2097</v>
      </c>
      <c r="L37" s="269" t="s">
        <v>2109</v>
      </c>
      <c r="M37" s="269" t="s">
        <v>3168</v>
      </c>
      <c r="N37" s="269" t="s">
        <v>3169</v>
      </c>
      <c r="O37" s="267" t="s">
        <v>3170</v>
      </c>
      <c r="P37" s="268"/>
      <c r="Q37" s="270">
        <v>1</v>
      </c>
      <c r="R37" s="271">
        <v>180000</v>
      </c>
      <c r="S37" s="272">
        <v>105</v>
      </c>
      <c r="T37" s="272">
        <v>108</v>
      </c>
      <c r="U37" s="272">
        <v>112</v>
      </c>
      <c r="V37" s="272">
        <v>116</v>
      </c>
      <c r="W37" s="272">
        <v>117</v>
      </c>
      <c r="X37" s="272">
        <v>118</v>
      </c>
      <c r="Y37" s="272">
        <v>118</v>
      </c>
      <c r="Z37" s="272">
        <v>119</v>
      </c>
      <c r="AA37" s="272">
        <v>119</v>
      </c>
      <c r="AB37" s="272">
        <v>119</v>
      </c>
      <c r="AC37" s="272">
        <v>120</v>
      </c>
      <c r="AD37" s="272">
        <v>120</v>
      </c>
      <c r="AE37" s="272">
        <v>121</v>
      </c>
      <c r="AF37" s="272">
        <v>121</v>
      </c>
      <c r="AG37" s="272">
        <v>122</v>
      </c>
      <c r="AH37" s="272">
        <v>122</v>
      </c>
      <c r="AI37" s="272">
        <v>123</v>
      </c>
      <c r="AJ37" s="272">
        <v>123</v>
      </c>
      <c r="AK37" s="272">
        <v>124</v>
      </c>
      <c r="AL37" s="268" t="s">
        <v>3192</v>
      </c>
      <c r="AM37" s="268" t="s">
        <v>3193</v>
      </c>
      <c r="AN37" s="268" t="s">
        <v>3194</v>
      </c>
      <c r="AO37" s="657"/>
      <c r="AP37" s="271">
        <v>1500</v>
      </c>
      <c r="AQ37" s="280">
        <v>1260</v>
      </c>
      <c r="AR37" s="280">
        <v>180</v>
      </c>
      <c r="AS37" s="280">
        <v>60</v>
      </c>
      <c r="AT37" s="657"/>
      <c r="AU37" s="301" t="s">
        <v>3195</v>
      </c>
      <c r="AV37" s="572" t="s">
        <v>3196</v>
      </c>
      <c r="AW37" s="645" t="s">
        <v>3197</v>
      </c>
      <c r="AX37" s="290" t="s">
        <v>2670</v>
      </c>
      <c r="AY37" s="657"/>
      <c r="AZ37" s="948">
        <v>36</v>
      </c>
      <c r="BA37" s="948">
        <v>4</v>
      </c>
      <c r="BB37" s="948">
        <v>8</v>
      </c>
      <c r="BC37" s="948">
        <v>34</v>
      </c>
      <c r="BD37" s="825">
        <f t="shared" si="4"/>
        <v>9922</v>
      </c>
      <c r="BE37" s="304">
        <f t="shared" si="5"/>
        <v>4356</v>
      </c>
      <c r="BF37" s="304">
        <f t="shared" si="6"/>
        <v>484</v>
      </c>
      <c r="BG37" s="304">
        <f t="shared" si="7"/>
        <v>968</v>
      </c>
      <c r="BH37" s="304">
        <f t="shared" si="8"/>
        <v>4114</v>
      </c>
      <c r="BI37" s="825">
        <f t="shared" si="9"/>
        <v>10168</v>
      </c>
      <c r="BJ37" s="304">
        <f t="shared" si="10"/>
        <v>4464</v>
      </c>
      <c r="BK37" s="304">
        <f t="shared" si="11"/>
        <v>496</v>
      </c>
      <c r="BL37" s="304">
        <f t="shared" si="12"/>
        <v>992</v>
      </c>
      <c r="BM37" s="304">
        <f t="shared" si="13"/>
        <v>4216</v>
      </c>
      <c r="BN37" s="657"/>
      <c r="BO37" s="284">
        <v>0.1</v>
      </c>
      <c r="BP37" s="284">
        <v>0.76</v>
      </c>
      <c r="BQ37" s="284">
        <v>0.08</v>
      </c>
      <c r="BR37" s="710">
        <v>0.06</v>
      </c>
      <c r="BS37" s="707">
        <v>0.08</v>
      </c>
      <c r="BT37" s="284">
        <v>0.76</v>
      </c>
      <c r="BU37" s="284">
        <v>0.1</v>
      </c>
      <c r="BV37" s="710">
        <v>0.06</v>
      </c>
      <c r="BW37" s="714">
        <v>0.15</v>
      </c>
      <c r="BX37" s="285">
        <v>0.8</v>
      </c>
      <c r="BY37" s="717">
        <v>0.05</v>
      </c>
      <c r="BZ37" s="714">
        <v>0.12</v>
      </c>
      <c r="CA37" s="285">
        <v>0.82</v>
      </c>
      <c r="CB37" s="717">
        <v>0.06</v>
      </c>
      <c r="CC37" s="284">
        <v>0.05</v>
      </c>
      <c r="CD37" s="284">
        <v>0.55000000000000004</v>
      </c>
      <c r="CE37" s="284">
        <v>0.1</v>
      </c>
      <c r="CF37" s="710">
        <v>0.3</v>
      </c>
      <c r="CG37" s="707">
        <v>0.04</v>
      </c>
      <c r="CH37" s="284">
        <v>0.55000000000000004</v>
      </c>
      <c r="CI37" s="284">
        <v>0.12</v>
      </c>
      <c r="CJ37" s="710">
        <v>0.28999999999999998</v>
      </c>
      <c r="CK37" s="720">
        <v>0.25</v>
      </c>
      <c r="CL37" s="286">
        <v>0.55000000000000004</v>
      </c>
      <c r="CM37" s="718">
        <v>0.2</v>
      </c>
      <c r="CN37" s="720">
        <v>0.15</v>
      </c>
      <c r="CO37" s="286">
        <v>0.57999999999999996</v>
      </c>
      <c r="CP37" s="718">
        <v>0.27</v>
      </c>
      <c r="CQ37" s="657"/>
      <c r="CR37" s="807">
        <v>10</v>
      </c>
      <c r="CS37" s="808">
        <v>11</v>
      </c>
      <c r="CT37" s="808">
        <v>8</v>
      </c>
      <c r="CU37" s="809">
        <v>10</v>
      </c>
      <c r="CV37" s="807">
        <v>8</v>
      </c>
      <c r="CW37" s="808">
        <v>8</v>
      </c>
      <c r="CX37" s="809">
        <v>7</v>
      </c>
      <c r="CY37" s="807">
        <v>8</v>
      </c>
      <c r="CZ37" s="808">
        <v>10</v>
      </c>
      <c r="DA37" s="808">
        <v>7</v>
      </c>
      <c r="DB37" s="809">
        <v>9</v>
      </c>
      <c r="DC37" s="807">
        <v>10</v>
      </c>
      <c r="DD37" s="808">
        <v>11</v>
      </c>
      <c r="DE37" s="809">
        <v>8</v>
      </c>
      <c r="DF37" s="610" t="s">
        <v>3198</v>
      </c>
      <c r="DG37" s="657"/>
      <c r="DH37" s="288">
        <f t="shared" si="14"/>
        <v>435.6</v>
      </c>
      <c r="DI37" s="288">
        <f t="shared" si="15"/>
        <v>3310.56</v>
      </c>
      <c r="DJ37" s="288">
        <f t="shared" si="16"/>
        <v>348.48</v>
      </c>
      <c r="DK37" s="288">
        <f t="shared" si="17"/>
        <v>261.36</v>
      </c>
      <c r="DL37" s="560" t="s">
        <v>3199</v>
      </c>
      <c r="DM37" s="288">
        <f t="shared" si="18"/>
        <v>357.12</v>
      </c>
      <c r="DN37" s="288">
        <f t="shared" si="19"/>
        <v>3392.64</v>
      </c>
      <c r="DO37" s="288">
        <f t="shared" si="20"/>
        <v>446.40000000000003</v>
      </c>
      <c r="DP37" s="288">
        <f t="shared" si="21"/>
        <v>267.83999999999997</v>
      </c>
      <c r="DQ37" s="561" t="s">
        <v>2644</v>
      </c>
      <c r="DR37" s="657"/>
      <c r="DS37" s="288">
        <f t="shared" si="22"/>
        <v>72.599999999999994</v>
      </c>
      <c r="DT37" s="288">
        <f t="shared" si="23"/>
        <v>387.20000000000005</v>
      </c>
      <c r="DU37" s="288">
        <f t="shared" si="24"/>
        <v>24.200000000000003</v>
      </c>
      <c r="DV37" s="561" t="s">
        <v>3200</v>
      </c>
      <c r="DW37" s="288">
        <f t="shared" si="25"/>
        <v>59.519999999999996</v>
      </c>
      <c r="DX37" s="288">
        <f t="shared" si="26"/>
        <v>406.71999999999997</v>
      </c>
      <c r="DY37" s="288">
        <f t="shared" si="27"/>
        <v>29.759999999999998</v>
      </c>
      <c r="DZ37" s="561" t="s">
        <v>2981</v>
      </c>
      <c r="EA37" s="657"/>
      <c r="EB37" s="288">
        <f t="shared" si="28"/>
        <v>48.400000000000006</v>
      </c>
      <c r="EC37" s="288">
        <f t="shared" si="29"/>
        <v>532.40000000000009</v>
      </c>
      <c r="ED37" s="288">
        <f t="shared" si="30"/>
        <v>96.800000000000011</v>
      </c>
      <c r="EE37" s="288">
        <f t="shared" si="31"/>
        <v>290.39999999999998</v>
      </c>
      <c r="EF37" s="561" t="s">
        <v>3201</v>
      </c>
      <c r="EG37" s="288">
        <f t="shared" si="32"/>
        <v>39.68</v>
      </c>
      <c r="EH37" s="288">
        <f t="shared" si="33"/>
        <v>545.6</v>
      </c>
      <c r="EI37" s="288">
        <f t="shared" si="34"/>
        <v>119.03999999999999</v>
      </c>
      <c r="EJ37" s="288">
        <f t="shared" si="35"/>
        <v>287.68</v>
      </c>
      <c r="EK37" s="561" t="s">
        <v>2983</v>
      </c>
      <c r="EL37" s="657"/>
      <c r="EM37" s="288">
        <f t="shared" si="36"/>
        <v>1028.5</v>
      </c>
      <c r="EN37" s="291">
        <f t="shared" si="37"/>
        <v>2262.7000000000003</v>
      </c>
      <c r="EO37" s="291">
        <f t="shared" si="38"/>
        <v>822.80000000000007</v>
      </c>
      <c r="EP37" s="561" t="s">
        <v>3202</v>
      </c>
      <c r="EQ37" s="288">
        <f t="shared" si="39"/>
        <v>632.4</v>
      </c>
      <c r="ER37" s="291">
        <f t="shared" si="40"/>
        <v>2445.2799999999997</v>
      </c>
      <c r="ES37" s="291">
        <f t="shared" si="41"/>
        <v>1138.3200000000002</v>
      </c>
      <c r="ET37" s="561" t="s">
        <v>2985</v>
      </c>
      <c r="EU37" s="657"/>
      <c r="EV37" s="740">
        <f t="shared" si="42"/>
        <v>0.83458568408442668</v>
      </c>
      <c r="EW37" s="740">
        <f t="shared" si="43"/>
        <v>0.16541431591557335</v>
      </c>
      <c r="EX37" s="563">
        <f t="shared" si="44"/>
        <v>4672.2570275867965</v>
      </c>
      <c r="EY37" s="563">
        <f t="shared" si="45"/>
        <v>3899.3988275867969</v>
      </c>
      <c r="EZ37" s="563">
        <f t="shared" si="46"/>
        <v>772.85820000000001</v>
      </c>
      <c r="FA37" s="563">
        <f t="shared" si="47"/>
        <v>1964.2045755272727</v>
      </c>
      <c r="FB37" s="563">
        <f t="shared" si="48"/>
        <v>1624.9009755272727</v>
      </c>
      <c r="FC37" s="563">
        <f t="shared" si="49"/>
        <v>339.30360000000002</v>
      </c>
      <c r="FD37" s="563">
        <f t="shared" si="50"/>
        <v>279.10935017857145</v>
      </c>
      <c r="FE37" s="563">
        <f t="shared" si="51"/>
        <v>241.40895017857144</v>
      </c>
      <c r="FF37" s="563">
        <f t="shared" si="52"/>
        <v>37.700400000000002</v>
      </c>
      <c r="FG37" s="563">
        <f t="shared" si="53"/>
        <v>491.18696688095241</v>
      </c>
      <c r="FH37" s="563">
        <f t="shared" si="54"/>
        <v>415.78616688095241</v>
      </c>
      <c r="FI37" s="563">
        <f t="shared" si="55"/>
        <v>75.400800000000004</v>
      </c>
      <c r="FJ37" s="563">
        <f t="shared" si="56"/>
        <v>1937.7561350000001</v>
      </c>
      <c r="FK37" s="563">
        <f t="shared" si="57"/>
        <v>1617.302735</v>
      </c>
      <c r="FL37" s="563">
        <f t="shared" si="58"/>
        <v>320.45339999999999</v>
      </c>
      <c r="FM37" s="529"/>
      <c r="FN37" s="564" t="s">
        <v>2649</v>
      </c>
      <c r="FO37" s="740">
        <v>5.3100000000000001E-2</v>
      </c>
      <c r="FP37" s="741">
        <v>0.80554999999999999</v>
      </c>
      <c r="FQ37" s="565" t="s">
        <v>3203</v>
      </c>
      <c r="FR37" s="529"/>
      <c r="FS37" s="867">
        <v>3.61</v>
      </c>
      <c r="FT37" s="566">
        <f>RANK($FS37,$FS$8:$FS$154,0)+COUNTIF($FS$8:$FS37,$FS37)-1</f>
        <v>27</v>
      </c>
      <c r="FU37" s="867">
        <v>4.13</v>
      </c>
      <c r="FV37" s="566">
        <f>RANK($FU37,$FU$8:$FU$154,0)+COUNTIF($FU$8:$FU37,$FU37)-1</f>
        <v>60</v>
      </c>
      <c r="FW37" s="867">
        <v>2.69</v>
      </c>
      <c r="FX37" s="566">
        <f>RANK($FW37,$FW$8:$FW$154,0)+COUNTIF($FW$8:$FW37,$FW37)-1</f>
        <v>16</v>
      </c>
      <c r="FY37" s="529"/>
      <c r="FZ37" s="567" t="s">
        <v>3204</v>
      </c>
      <c r="GA37" s="567" t="s">
        <v>3205</v>
      </c>
      <c r="GB37" s="567" t="s">
        <v>2653</v>
      </c>
      <c r="GC37" s="567" t="s">
        <v>2654</v>
      </c>
      <c r="GD37" s="567" t="s">
        <v>2655</v>
      </c>
      <c r="GE37" s="567" t="s">
        <v>2656</v>
      </c>
      <c r="GF37" s="567" t="str">
        <f>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37" s="529"/>
      <c r="GH37" s="563">
        <f t="shared" si="59"/>
        <v>198.53310600000003</v>
      </c>
      <c r="GI37" s="563">
        <f t="shared" si="116"/>
        <v>171.38881800000001</v>
      </c>
      <c r="GJ37" s="563">
        <f t="shared" si="60"/>
        <v>27.144288000000003</v>
      </c>
      <c r="GK37" s="563">
        <f t="shared" si="61"/>
        <v>1436.0007927272727</v>
      </c>
      <c r="GL37" s="563">
        <f t="shared" si="117"/>
        <v>1178.1300567272726</v>
      </c>
      <c r="GM37" s="563">
        <f t="shared" si="62"/>
        <v>257.87073600000002</v>
      </c>
      <c r="GN37" s="563">
        <f t="shared" si="63"/>
        <v>206.47917000000004</v>
      </c>
      <c r="GO37" s="563">
        <f t="shared" si="118"/>
        <v>172.54881000000003</v>
      </c>
      <c r="GP37" s="563">
        <f t="shared" si="64"/>
        <v>33.93036</v>
      </c>
      <c r="GQ37" s="563">
        <f t="shared" si="65"/>
        <v>123.19150680000001</v>
      </c>
      <c r="GR37" s="563">
        <f t="shared" si="119"/>
        <v>102.83329080000001</v>
      </c>
      <c r="GS37" s="563">
        <f t="shared" si="66"/>
        <v>20.358215999999999</v>
      </c>
      <c r="GT37" s="563">
        <f t="shared" si="67"/>
        <v>40.471716749999999</v>
      </c>
      <c r="GU37" s="563">
        <f t="shared" si="120"/>
        <v>35.947668749999998</v>
      </c>
      <c r="GV37" s="563">
        <f t="shared" si="68"/>
        <v>4.5240479999999996</v>
      </c>
      <c r="GW37" s="563">
        <f t="shared" si="69"/>
        <v>222.63522800000004</v>
      </c>
      <c r="GX37" s="563">
        <f t="shared" si="121"/>
        <v>191.72090000000003</v>
      </c>
      <c r="GY37" s="563">
        <f t="shared" si="70"/>
        <v>30.914328000000001</v>
      </c>
      <c r="GZ37" s="563">
        <f t="shared" si="71"/>
        <v>16.002405428571429</v>
      </c>
      <c r="HA37" s="563">
        <f t="shared" si="122"/>
        <v>13.74038142857143</v>
      </c>
      <c r="HB37" s="563">
        <f t="shared" si="72"/>
        <v>2.2620239999999998</v>
      </c>
      <c r="HC37" s="563">
        <f t="shared" si="73"/>
        <v>26.981144500000003</v>
      </c>
      <c r="HD37" s="563">
        <f t="shared" si="123"/>
        <v>23.965112500000004</v>
      </c>
      <c r="HE37" s="563">
        <f t="shared" si="74"/>
        <v>3.016032</v>
      </c>
      <c r="HF37" s="563">
        <f t="shared" si="75"/>
        <v>250.94566200000003</v>
      </c>
      <c r="HG37" s="563">
        <f t="shared" si="124"/>
        <v>209.47522200000003</v>
      </c>
      <c r="HH37" s="563">
        <f t="shared" si="76"/>
        <v>41.470440000000004</v>
      </c>
      <c r="HI37" s="563">
        <f t="shared" si="77"/>
        <v>64.009621714285714</v>
      </c>
      <c r="HJ37" s="563">
        <f t="shared" si="125"/>
        <v>54.96152571428572</v>
      </c>
      <c r="HK37" s="563">
        <f t="shared" si="78"/>
        <v>9.0480959999999993</v>
      </c>
      <c r="HL37" s="563">
        <f t="shared" si="79"/>
        <v>149.25053866666664</v>
      </c>
      <c r="HM37" s="563">
        <f t="shared" si="126"/>
        <v>127.38430666666665</v>
      </c>
      <c r="HN37" s="563">
        <f t="shared" si="80"/>
        <v>21.866232</v>
      </c>
      <c r="HO37" s="563">
        <f t="shared" si="81"/>
        <v>452.73605249999997</v>
      </c>
      <c r="HP37" s="563">
        <f t="shared" si="127"/>
        <v>404.66804249999996</v>
      </c>
      <c r="HQ37" s="563">
        <f t="shared" si="82"/>
        <v>48.068009999999994</v>
      </c>
      <c r="HR37" s="563">
        <f t="shared" si="83"/>
        <v>991.09075199999995</v>
      </c>
      <c r="HS37" s="563">
        <f t="shared" si="128"/>
        <v>805.22777999999994</v>
      </c>
      <c r="HT37" s="563">
        <f t="shared" si="84"/>
        <v>185.86297199999998</v>
      </c>
      <c r="HU37" s="563">
        <f t="shared" si="85"/>
        <v>493.92933050000005</v>
      </c>
      <c r="HV37" s="563">
        <f t="shared" si="129"/>
        <v>407.40691250000003</v>
      </c>
      <c r="HW37" s="563">
        <f t="shared" si="86"/>
        <v>86.522418000000002</v>
      </c>
      <c r="HX37" s="544"/>
      <c r="HY37" s="568">
        <f t="shared" si="87"/>
        <v>9922</v>
      </c>
      <c r="HZ37" s="568">
        <f t="shared" si="88"/>
        <v>112.57839999999999</v>
      </c>
      <c r="IA37" s="568">
        <f t="shared" si="89"/>
        <v>2986.0864000000001</v>
      </c>
      <c r="IB37" s="568">
        <f t="shared" si="90"/>
        <v>4935.3721999999998</v>
      </c>
      <c r="IC37" s="568">
        <f t="shared" si="91"/>
        <v>1726.2102</v>
      </c>
      <c r="ID37" s="568">
        <f t="shared" si="92"/>
        <v>161.75280000000001</v>
      </c>
      <c r="IE37" s="568">
        <f t="shared" si="93"/>
        <v>3899.3988275867969</v>
      </c>
      <c r="IF37" s="568">
        <f t="shared" si="94"/>
        <v>0</v>
      </c>
      <c r="IG37" s="568">
        <f t="shared" si="95"/>
        <v>1026.0214958289548</v>
      </c>
      <c r="IH37" s="568">
        <f t="shared" si="96"/>
        <v>2012.5361379770775</v>
      </c>
      <c r="II37" s="568">
        <f t="shared" si="97"/>
        <v>774.830858710999</v>
      </c>
      <c r="IJ37" s="568">
        <f t="shared" si="98"/>
        <v>86.010335069765546</v>
      </c>
      <c r="IK37" s="868">
        <v>4.1500000000000004</v>
      </c>
      <c r="IL37" s="569" t="s">
        <v>2589</v>
      </c>
      <c r="IM37" s="570" t="s">
        <v>3206</v>
      </c>
      <c r="IN37" s="529"/>
      <c r="IO37" s="742">
        <v>0.01</v>
      </c>
      <c r="IP37" s="742">
        <v>0.28000000000000003</v>
      </c>
      <c r="IQ37" s="742">
        <v>0.5</v>
      </c>
      <c r="IR37" s="742">
        <v>0.19</v>
      </c>
      <c r="IS37" s="742">
        <v>0.02</v>
      </c>
      <c r="IT37" s="742">
        <v>0</v>
      </c>
      <c r="IU37" s="742">
        <v>0.24129999999999999</v>
      </c>
      <c r="IV37" s="742">
        <v>0.51870000000000005</v>
      </c>
      <c r="IW37" s="742">
        <v>0.2142</v>
      </c>
      <c r="IX37" s="742">
        <v>2.58E-2</v>
      </c>
      <c r="IY37" s="742">
        <v>5.5999999999999999E-3</v>
      </c>
      <c r="IZ37" s="742">
        <v>0.22270000000000001</v>
      </c>
      <c r="JA37" s="742">
        <v>0.49130000000000001</v>
      </c>
      <c r="JB37" s="742">
        <v>0.25779999999999997</v>
      </c>
      <c r="JC37" s="742">
        <v>2.2599999999999999E-2</v>
      </c>
      <c r="JD37" s="742">
        <v>0</v>
      </c>
      <c r="JE37" s="742">
        <v>0.1842</v>
      </c>
      <c r="JF37" s="742">
        <v>0.50800000000000001</v>
      </c>
      <c r="JG37" s="742">
        <v>0.27960000000000002</v>
      </c>
      <c r="JH37" s="742">
        <v>2.8199999999999999E-2</v>
      </c>
      <c r="JI37" s="742">
        <v>2.0899999999999998E-2</v>
      </c>
      <c r="JJ37" s="742">
        <v>0.43930000000000002</v>
      </c>
      <c r="JK37" s="742">
        <v>0.43580000000000002</v>
      </c>
      <c r="JL37" s="742">
        <v>9.9400000000000002E-2</v>
      </c>
      <c r="JM37" s="742">
        <v>4.5999999999999999E-3</v>
      </c>
      <c r="JN37" s="742">
        <v>0</v>
      </c>
      <c r="JO37" s="742">
        <v>0.40210000000000001</v>
      </c>
      <c r="JP37" s="742">
        <v>0.46060000000000001</v>
      </c>
      <c r="JQ37" s="742">
        <v>0.12659999999999999</v>
      </c>
      <c r="JR37" s="742">
        <v>1.0699999999999999E-2</v>
      </c>
      <c r="JS37" s="742">
        <v>1.12E-2</v>
      </c>
      <c r="JT37" s="742">
        <v>0.29980000000000001</v>
      </c>
      <c r="JU37" s="742">
        <v>0.50990000000000002</v>
      </c>
      <c r="JV37" s="742">
        <v>0.16470000000000001</v>
      </c>
      <c r="JW37" s="742">
        <v>1.44E-2</v>
      </c>
      <c r="JX37" s="742">
        <v>0</v>
      </c>
      <c r="JY37" s="742">
        <v>0.2611</v>
      </c>
      <c r="JZ37" s="742">
        <v>0.52900000000000003</v>
      </c>
      <c r="KA37" s="742">
        <v>0.18959999999999999</v>
      </c>
      <c r="KB37" s="742">
        <v>2.0299999999999999E-2</v>
      </c>
      <c r="KC37" s="657"/>
      <c r="KD37" s="832" t="s">
        <v>2590</v>
      </c>
      <c r="KE37" s="832" t="s">
        <v>2591</v>
      </c>
      <c r="KF37" s="869">
        <v>4.0999999999999996</v>
      </c>
      <c r="KG37" s="832" t="s">
        <v>2589</v>
      </c>
      <c r="KH37" s="833" t="s">
        <v>3207</v>
      </c>
      <c r="KI37" s="832" t="s">
        <v>3208</v>
      </c>
      <c r="KJ37" s="833" t="s">
        <v>3209</v>
      </c>
    </row>
    <row r="38" spans="1:296" ht="48" hidden="1" customHeight="1">
      <c r="A38" s="273">
        <f t="shared" si="99"/>
        <v>31</v>
      </c>
      <c r="B38" s="274" t="s">
        <v>2880</v>
      </c>
      <c r="C38" s="274" t="s">
        <v>3124</v>
      </c>
      <c r="D38" s="274" t="s">
        <v>3210</v>
      </c>
      <c r="E38" s="275" t="s">
        <v>3211</v>
      </c>
      <c r="F38" s="275" t="s">
        <v>3165</v>
      </c>
      <c r="G38" s="275" t="s">
        <v>300</v>
      </c>
      <c r="H38" s="275" t="s">
        <v>2109</v>
      </c>
      <c r="I38" s="276" t="s">
        <v>3212</v>
      </c>
      <c r="J38" s="276" t="s">
        <v>3213</v>
      </c>
      <c r="K38" s="277" t="s">
        <v>2097</v>
      </c>
      <c r="L38" s="277" t="s">
        <v>2109</v>
      </c>
      <c r="M38" s="277" t="s">
        <v>3214</v>
      </c>
      <c r="N38" s="277" t="s">
        <v>3215</v>
      </c>
      <c r="O38" s="275" t="s">
        <v>2589</v>
      </c>
      <c r="P38" s="276"/>
      <c r="Q38" s="270">
        <v>1</v>
      </c>
      <c r="R38" s="278">
        <v>35000</v>
      </c>
      <c r="S38" s="279">
        <v>16</v>
      </c>
      <c r="T38" s="279">
        <v>18</v>
      </c>
      <c r="U38" s="279">
        <v>20</v>
      </c>
      <c r="V38" s="279">
        <v>22</v>
      </c>
      <c r="W38" s="279">
        <v>23</v>
      </c>
      <c r="X38" s="279">
        <v>23</v>
      </c>
      <c r="Y38" s="279">
        <v>24</v>
      </c>
      <c r="Z38" s="279">
        <v>22</v>
      </c>
      <c r="AA38" s="279">
        <v>23</v>
      </c>
      <c r="AB38" s="279">
        <v>23</v>
      </c>
      <c r="AC38" s="279">
        <v>23</v>
      </c>
      <c r="AD38" s="279">
        <v>23</v>
      </c>
      <c r="AE38" s="279">
        <v>24</v>
      </c>
      <c r="AF38" s="279">
        <v>24</v>
      </c>
      <c r="AG38" s="279">
        <v>24</v>
      </c>
      <c r="AH38" s="279">
        <v>24</v>
      </c>
      <c r="AI38" s="279">
        <v>24</v>
      </c>
      <c r="AJ38" s="279">
        <v>24</v>
      </c>
      <c r="AK38" s="279">
        <v>25</v>
      </c>
      <c r="AL38" s="276" t="s">
        <v>3216</v>
      </c>
      <c r="AM38" s="276" t="s">
        <v>3217</v>
      </c>
      <c r="AN38" s="276" t="s">
        <v>3218</v>
      </c>
      <c r="AO38" s="657"/>
      <c r="AP38" s="278">
        <v>3000</v>
      </c>
      <c r="AQ38" s="278">
        <v>2100</v>
      </c>
      <c r="AR38" s="278">
        <v>250</v>
      </c>
      <c r="AS38" s="278">
        <v>150</v>
      </c>
      <c r="AT38" s="657"/>
      <c r="AU38" s="281" t="s">
        <v>3219</v>
      </c>
      <c r="AV38" s="296" t="s">
        <v>3220</v>
      </c>
      <c r="AW38" s="296" t="s">
        <v>3221</v>
      </c>
      <c r="AX38" s="276" t="s">
        <v>2977</v>
      </c>
      <c r="AY38" s="657"/>
      <c r="AZ38" s="947">
        <v>35</v>
      </c>
      <c r="BA38" s="947">
        <v>55</v>
      </c>
      <c r="BB38" s="947">
        <v>18</v>
      </c>
      <c r="BC38" s="947">
        <v>50</v>
      </c>
      <c r="BD38" s="826">
        <f t="shared" si="4"/>
        <v>3792</v>
      </c>
      <c r="BE38" s="283">
        <f t="shared" si="5"/>
        <v>840</v>
      </c>
      <c r="BF38" s="283">
        <f t="shared" si="6"/>
        <v>1320</v>
      </c>
      <c r="BG38" s="283">
        <f t="shared" si="7"/>
        <v>432</v>
      </c>
      <c r="BH38" s="283">
        <f t="shared" si="8"/>
        <v>1200</v>
      </c>
      <c r="BI38" s="826">
        <f t="shared" si="9"/>
        <v>3950</v>
      </c>
      <c r="BJ38" s="283">
        <f t="shared" si="10"/>
        <v>875</v>
      </c>
      <c r="BK38" s="283">
        <f t="shared" si="11"/>
        <v>1375</v>
      </c>
      <c r="BL38" s="283">
        <f t="shared" si="12"/>
        <v>450</v>
      </c>
      <c r="BM38" s="283">
        <f t="shared" si="13"/>
        <v>1250</v>
      </c>
      <c r="BN38" s="657"/>
      <c r="BO38" s="305">
        <v>0.1</v>
      </c>
      <c r="BP38" s="305">
        <v>0.76</v>
      </c>
      <c r="BQ38" s="305">
        <v>0.08</v>
      </c>
      <c r="BR38" s="581">
        <v>0.06</v>
      </c>
      <c r="BS38" s="706">
        <v>0.08</v>
      </c>
      <c r="BT38" s="305">
        <v>0.76</v>
      </c>
      <c r="BU38" s="305">
        <v>0.1</v>
      </c>
      <c r="BV38" s="581">
        <v>0.06</v>
      </c>
      <c r="BW38" s="713">
        <v>0.15</v>
      </c>
      <c r="BX38" s="306">
        <v>0.8</v>
      </c>
      <c r="BY38" s="590">
        <v>0.05</v>
      </c>
      <c r="BZ38" s="713">
        <v>0.12</v>
      </c>
      <c r="CA38" s="306">
        <v>0.82</v>
      </c>
      <c r="CB38" s="590">
        <v>0.06</v>
      </c>
      <c r="CC38" s="706">
        <v>0.05</v>
      </c>
      <c r="CD38" s="305">
        <v>0.55000000000000004</v>
      </c>
      <c r="CE38" s="305">
        <v>0.1</v>
      </c>
      <c r="CF38" s="581">
        <v>0.3</v>
      </c>
      <c r="CG38" s="706">
        <v>0.04</v>
      </c>
      <c r="CH38" s="305">
        <v>0.55000000000000004</v>
      </c>
      <c r="CI38" s="305">
        <v>0.12</v>
      </c>
      <c r="CJ38" s="581">
        <v>0.28999999999999998</v>
      </c>
      <c r="CK38" s="719">
        <v>0.25</v>
      </c>
      <c r="CL38" s="307">
        <v>0.55000000000000004</v>
      </c>
      <c r="CM38" s="723">
        <v>0.2</v>
      </c>
      <c r="CN38" s="719">
        <v>0.15</v>
      </c>
      <c r="CO38" s="307">
        <v>0.57999999999999996</v>
      </c>
      <c r="CP38" s="723">
        <v>0.27</v>
      </c>
      <c r="CQ38" s="657"/>
      <c r="CR38" s="804">
        <v>10</v>
      </c>
      <c r="CS38" s="805">
        <v>11</v>
      </c>
      <c r="CT38" s="805">
        <v>8</v>
      </c>
      <c r="CU38" s="806">
        <v>10</v>
      </c>
      <c r="CV38" s="804">
        <v>8</v>
      </c>
      <c r="CW38" s="805">
        <v>8</v>
      </c>
      <c r="CX38" s="806">
        <v>7</v>
      </c>
      <c r="CY38" s="804">
        <v>8</v>
      </c>
      <c r="CZ38" s="805">
        <v>10</v>
      </c>
      <c r="DA38" s="805">
        <v>7</v>
      </c>
      <c r="DB38" s="806">
        <v>9</v>
      </c>
      <c r="DC38" s="804">
        <v>10</v>
      </c>
      <c r="DD38" s="805">
        <v>11</v>
      </c>
      <c r="DE38" s="806">
        <v>8</v>
      </c>
      <c r="DF38" s="609" t="s">
        <v>3222</v>
      </c>
      <c r="DG38" s="657"/>
      <c r="DH38" s="308">
        <f t="shared" si="14"/>
        <v>84</v>
      </c>
      <c r="DI38" s="308">
        <f t="shared" si="15"/>
        <v>638.4</v>
      </c>
      <c r="DJ38" s="308">
        <f t="shared" si="16"/>
        <v>67.2</v>
      </c>
      <c r="DK38" s="308">
        <f t="shared" si="17"/>
        <v>50.4</v>
      </c>
      <c r="DL38" s="287" t="s">
        <v>3223</v>
      </c>
      <c r="DM38" s="308">
        <f t="shared" si="18"/>
        <v>70</v>
      </c>
      <c r="DN38" s="308">
        <f t="shared" si="19"/>
        <v>665</v>
      </c>
      <c r="DO38" s="308">
        <f t="shared" si="20"/>
        <v>87.5</v>
      </c>
      <c r="DP38" s="308">
        <f t="shared" si="21"/>
        <v>52.5</v>
      </c>
      <c r="DQ38" s="289" t="s">
        <v>2644</v>
      </c>
      <c r="DR38" s="657"/>
      <c r="DS38" s="308">
        <f t="shared" si="22"/>
        <v>198</v>
      </c>
      <c r="DT38" s="308">
        <f t="shared" si="23"/>
        <v>1056</v>
      </c>
      <c r="DU38" s="308">
        <f t="shared" si="24"/>
        <v>66</v>
      </c>
      <c r="DV38" s="289" t="s">
        <v>3224</v>
      </c>
      <c r="DW38" s="308">
        <f t="shared" si="25"/>
        <v>165</v>
      </c>
      <c r="DX38" s="308">
        <f t="shared" si="26"/>
        <v>1127.5</v>
      </c>
      <c r="DY38" s="308">
        <f t="shared" si="27"/>
        <v>82.5</v>
      </c>
      <c r="DZ38" s="289" t="s">
        <v>2981</v>
      </c>
      <c r="EA38" s="657"/>
      <c r="EB38" s="308">
        <f t="shared" si="28"/>
        <v>21.6</v>
      </c>
      <c r="EC38" s="308">
        <f t="shared" si="29"/>
        <v>237.60000000000002</v>
      </c>
      <c r="ED38" s="308">
        <f t="shared" si="30"/>
        <v>43.2</v>
      </c>
      <c r="EE38" s="308">
        <f t="shared" si="31"/>
        <v>129.6</v>
      </c>
      <c r="EF38" s="289" t="s">
        <v>3225</v>
      </c>
      <c r="EG38" s="308">
        <f t="shared" si="32"/>
        <v>18</v>
      </c>
      <c r="EH38" s="308">
        <f t="shared" si="33"/>
        <v>247.50000000000003</v>
      </c>
      <c r="EI38" s="308">
        <f t="shared" si="34"/>
        <v>54</v>
      </c>
      <c r="EJ38" s="308">
        <f t="shared" si="35"/>
        <v>130.5</v>
      </c>
      <c r="EK38" s="309" t="s">
        <v>2983</v>
      </c>
      <c r="EL38" s="657"/>
      <c r="EM38" s="308">
        <f t="shared" si="36"/>
        <v>300</v>
      </c>
      <c r="EN38" s="310">
        <f t="shared" si="37"/>
        <v>660</v>
      </c>
      <c r="EO38" s="310">
        <f t="shared" si="38"/>
        <v>240</v>
      </c>
      <c r="EP38" s="289" t="s">
        <v>3226</v>
      </c>
      <c r="EQ38" s="308">
        <f t="shared" si="39"/>
        <v>187.5</v>
      </c>
      <c r="ER38" s="310">
        <f t="shared" si="40"/>
        <v>725</v>
      </c>
      <c r="ES38" s="310">
        <f t="shared" si="41"/>
        <v>337.5</v>
      </c>
      <c r="ET38" s="289" t="s">
        <v>2985</v>
      </c>
      <c r="EU38" s="657"/>
      <c r="EV38" s="728">
        <f t="shared" si="42"/>
        <v>0.78484313981001586</v>
      </c>
      <c r="EW38" s="728">
        <f t="shared" si="43"/>
        <v>0.21515686018998406</v>
      </c>
      <c r="EX38" s="311">
        <f t="shared" si="44"/>
        <v>2064.9864457386366</v>
      </c>
      <c r="EY38" s="311">
        <f t="shared" si="45"/>
        <v>1620.6904457386365</v>
      </c>
      <c r="EZ38" s="311">
        <f t="shared" si="46"/>
        <v>444.29599999999994</v>
      </c>
      <c r="FA38" s="311">
        <f t="shared" si="47"/>
        <v>410.70299136363633</v>
      </c>
      <c r="FB38" s="311">
        <f t="shared" si="48"/>
        <v>312.28299136363637</v>
      </c>
      <c r="FC38" s="311">
        <f t="shared" si="49"/>
        <v>98.419999999999987</v>
      </c>
      <c r="FD38" s="311">
        <f t="shared" si="50"/>
        <v>808.156628125</v>
      </c>
      <c r="FE38" s="311">
        <f t="shared" si="51"/>
        <v>653.49662812500003</v>
      </c>
      <c r="FF38" s="311">
        <f t="shared" si="52"/>
        <v>154.66</v>
      </c>
      <c r="FG38" s="311">
        <f t="shared" si="53"/>
        <v>235.44707625000001</v>
      </c>
      <c r="FH38" s="311">
        <f t="shared" si="54"/>
        <v>184.83107625</v>
      </c>
      <c r="FI38" s="311">
        <f t="shared" si="55"/>
        <v>50.616</v>
      </c>
      <c r="FJ38" s="311">
        <f t="shared" si="56"/>
        <v>610.67975000000013</v>
      </c>
      <c r="FK38" s="311">
        <f t="shared" si="57"/>
        <v>470.0797500000001</v>
      </c>
      <c r="FL38" s="311">
        <f t="shared" si="58"/>
        <v>140.6</v>
      </c>
      <c r="FM38" s="657"/>
      <c r="FN38" s="293" t="s">
        <v>2649</v>
      </c>
      <c r="FO38" s="728">
        <v>7.5499999999999998E-2</v>
      </c>
      <c r="FP38" s="729">
        <v>0.82110000000000005</v>
      </c>
      <c r="FQ38" s="294" t="s">
        <v>2986</v>
      </c>
      <c r="FR38" s="657"/>
      <c r="FS38" s="865">
        <v>3.86</v>
      </c>
      <c r="FT38" s="312">
        <f>RANK($FS38,$FS$8:$FS$154,0)+COUNTIF($FS$8:$FS38,$FS38)-1</f>
        <v>9</v>
      </c>
      <c r="FU38" s="865">
        <v>4.7</v>
      </c>
      <c r="FV38" s="312">
        <f>RANK($FU38,$FU$8:$FU$154,0)+COUNTIF($FU$8:$FU38,$FU38)-1</f>
        <v>6</v>
      </c>
      <c r="FW38" s="865">
        <v>2.36</v>
      </c>
      <c r="FX38" s="312">
        <f>RANK($FW38,$FW$8:$FW$154,0)+COUNTIF($FW$8:$FW38,$FW38)-1</f>
        <v>58</v>
      </c>
      <c r="FY38" s="657"/>
      <c r="FZ38" s="296" t="s">
        <v>2987</v>
      </c>
      <c r="GA38" s="296" t="s">
        <v>3227</v>
      </c>
      <c r="GB38" s="296" t="s">
        <v>2653</v>
      </c>
      <c r="GC38" s="296" t="s">
        <v>2654</v>
      </c>
      <c r="GD38" s="296" t="s">
        <v>2655</v>
      </c>
      <c r="GE38" s="296" t="s">
        <v>2656</v>
      </c>
      <c r="GF38" s="296" t="str">
        <f>HYPERLINK("https://www.agencedusport.fr/plan-5000-equipements-generation-2024","https://www.agencedusport.fr/plan-5000-equipements-generation-2024")&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https://www.agencedusport.fr/plan-5000-equipements-generation-2024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38" s="657"/>
      <c r="GH38" s="311">
        <f t="shared" si="59"/>
        <v>40.922874999999998</v>
      </c>
      <c r="GI38" s="311">
        <f t="shared" si="116"/>
        <v>33.049275000000002</v>
      </c>
      <c r="GJ38" s="311">
        <f t="shared" si="60"/>
        <v>7.8735999999999988</v>
      </c>
      <c r="GK38" s="311">
        <f t="shared" si="61"/>
        <v>301.15407636363636</v>
      </c>
      <c r="GL38" s="311">
        <f t="shared" si="117"/>
        <v>226.35487636363635</v>
      </c>
      <c r="GM38" s="311">
        <f t="shared" si="62"/>
        <v>74.799199999999985</v>
      </c>
      <c r="GN38" s="311">
        <f t="shared" si="63"/>
        <v>42.891275</v>
      </c>
      <c r="GO38" s="311">
        <f t="shared" si="118"/>
        <v>33.049275000000002</v>
      </c>
      <c r="GP38" s="311">
        <f t="shared" si="64"/>
        <v>9.8419999999999987</v>
      </c>
      <c r="GQ38" s="311">
        <f t="shared" si="65"/>
        <v>25.734764999999996</v>
      </c>
      <c r="GR38" s="311">
        <f t="shared" si="119"/>
        <v>19.829564999999999</v>
      </c>
      <c r="GS38" s="311">
        <f t="shared" si="66"/>
        <v>5.9051999999999989</v>
      </c>
      <c r="GT38" s="311">
        <f t="shared" si="67"/>
        <v>115.93652812500001</v>
      </c>
      <c r="GU38" s="311">
        <f t="shared" si="120"/>
        <v>97.377328125000005</v>
      </c>
      <c r="GV38" s="311">
        <f t="shared" si="68"/>
        <v>18.559200000000001</v>
      </c>
      <c r="GW38" s="311">
        <f t="shared" si="69"/>
        <v>646.16695000000004</v>
      </c>
      <c r="GX38" s="311">
        <f t="shared" si="121"/>
        <v>519.34575000000007</v>
      </c>
      <c r="GY38" s="311">
        <f t="shared" si="70"/>
        <v>126.82119999999999</v>
      </c>
      <c r="GZ38" s="311">
        <f t="shared" si="71"/>
        <v>46.053150000000002</v>
      </c>
      <c r="HA38" s="311">
        <f t="shared" si="122"/>
        <v>36.77355</v>
      </c>
      <c r="HB38" s="311">
        <f t="shared" si="72"/>
        <v>9.2796000000000003</v>
      </c>
      <c r="HC38" s="311">
        <f t="shared" si="73"/>
        <v>12.64762125</v>
      </c>
      <c r="HD38" s="311">
        <f t="shared" si="123"/>
        <v>10.62298125</v>
      </c>
      <c r="HE38" s="311">
        <f t="shared" si="74"/>
        <v>2.0246400000000002</v>
      </c>
      <c r="HF38" s="311">
        <f t="shared" si="75"/>
        <v>121.32103500000001</v>
      </c>
      <c r="HG38" s="311">
        <f t="shared" si="124"/>
        <v>93.482235000000003</v>
      </c>
      <c r="HH38" s="311">
        <f t="shared" si="76"/>
        <v>27.838800000000003</v>
      </c>
      <c r="HI38" s="311">
        <f t="shared" si="77"/>
        <v>30.143880000000003</v>
      </c>
      <c r="HJ38" s="311">
        <f t="shared" si="125"/>
        <v>24.069960000000005</v>
      </c>
      <c r="HK38" s="311">
        <f t="shared" si="78"/>
        <v>6.0739199999999993</v>
      </c>
      <c r="HL38" s="311">
        <f t="shared" si="79"/>
        <v>71.334540000000004</v>
      </c>
      <c r="HM38" s="311">
        <f t="shared" si="126"/>
        <v>56.655900000000003</v>
      </c>
      <c r="HN38" s="311">
        <f t="shared" si="80"/>
        <v>14.67864</v>
      </c>
      <c r="HO38" s="311">
        <f t="shared" si="81"/>
        <v>139.12312500000002</v>
      </c>
      <c r="HP38" s="311">
        <f t="shared" si="127"/>
        <v>118.03312500000003</v>
      </c>
      <c r="HQ38" s="311">
        <f t="shared" si="82"/>
        <v>21.09</v>
      </c>
      <c r="HR38" s="311">
        <f t="shared" si="83"/>
        <v>315.56150000000002</v>
      </c>
      <c r="HS38" s="311">
        <f t="shared" si="128"/>
        <v>234.01350000000002</v>
      </c>
      <c r="HT38" s="311">
        <f t="shared" si="84"/>
        <v>81.547999999999988</v>
      </c>
      <c r="HU38" s="311">
        <f t="shared" si="85"/>
        <v>155.99512500000003</v>
      </c>
      <c r="HV38" s="311">
        <f t="shared" si="129"/>
        <v>118.03312500000003</v>
      </c>
      <c r="HW38" s="311">
        <f t="shared" si="86"/>
        <v>37.962000000000003</v>
      </c>
      <c r="HY38" s="313">
        <f t="shared" si="87"/>
        <v>3792.1200000000003</v>
      </c>
      <c r="HZ38" s="313">
        <f t="shared" si="88"/>
        <v>185.39519999999999</v>
      </c>
      <c r="IA38" s="313">
        <f t="shared" si="89"/>
        <v>1595.0376000000001</v>
      </c>
      <c r="IB38" s="313">
        <f t="shared" si="90"/>
        <v>1652.5224000000001</v>
      </c>
      <c r="IC38" s="313">
        <f t="shared" si="91"/>
        <v>359.16480000000001</v>
      </c>
      <c r="ID38" s="313">
        <f t="shared" si="92"/>
        <v>0</v>
      </c>
      <c r="IE38" s="313">
        <f t="shared" si="93"/>
        <v>1620.6904457386363</v>
      </c>
      <c r="IF38" s="313">
        <f t="shared" si="94"/>
        <v>40.213867885892043</v>
      </c>
      <c r="IG38" s="313">
        <f t="shared" si="95"/>
        <v>630.85063288793185</v>
      </c>
      <c r="IH38" s="313">
        <f t="shared" si="96"/>
        <v>746.39007996047724</v>
      </c>
      <c r="II38" s="313">
        <f t="shared" si="97"/>
        <v>195.08540480064204</v>
      </c>
      <c r="IJ38" s="313">
        <f t="shared" si="98"/>
        <v>8.1504602036931821</v>
      </c>
      <c r="IK38" s="866">
        <v>4.1900000000000004</v>
      </c>
      <c r="IL38" s="314" t="s">
        <v>2589</v>
      </c>
      <c r="IM38" s="299" t="s">
        <v>3228</v>
      </c>
      <c r="IN38" s="657"/>
      <c r="IO38" s="730">
        <v>0.05</v>
      </c>
      <c r="IP38" s="730">
        <v>0.42</v>
      </c>
      <c r="IQ38" s="730">
        <v>0.44</v>
      </c>
      <c r="IR38" s="730">
        <v>0.09</v>
      </c>
      <c r="IS38" s="730">
        <v>0</v>
      </c>
      <c r="IT38" s="730">
        <v>2.7099999999999999E-2</v>
      </c>
      <c r="IU38" s="730">
        <v>0.3921</v>
      </c>
      <c r="IV38" s="730">
        <v>0.46289999999999998</v>
      </c>
      <c r="IW38" s="730">
        <v>0.1129</v>
      </c>
      <c r="IX38" s="730">
        <v>5.0000000000000001E-3</v>
      </c>
      <c r="IY38" s="730">
        <v>3.0599999999999999E-2</v>
      </c>
      <c r="IZ38" s="730">
        <v>0.36449999999999999</v>
      </c>
      <c r="JA38" s="730">
        <v>0.47170000000000001</v>
      </c>
      <c r="JB38" s="730">
        <v>0.13320000000000001</v>
      </c>
      <c r="JC38" s="730">
        <v>0</v>
      </c>
      <c r="JD38" s="730">
        <v>7.7000000000000002E-3</v>
      </c>
      <c r="JE38" s="730">
        <v>0.33660000000000001</v>
      </c>
      <c r="JF38" s="730">
        <v>0.49459999999999998</v>
      </c>
      <c r="JG38" s="730">
        <v>0.15609999999999999</v>
      </c>
      <c r="JH38" s="730">
        <v>5.0000000000000001E-3</v>
      </c>
      <c r="JI38" s="730">
        <v>8.7599999999999997E-2</v>
      </c>
      <c r="JJ38" s="730">
        <v>0.55179999999999996</v>
      </c>
      <c r="JK38" s="730">
        <v>0.32119999999999999</v>
      </c>
      <c r="JL38" s="730">
        <v>3.9399999999999998E-2</v>
      </c>
      <c r="JM38" s="730">
        <v>0</v>
      </c>
      <c r="JN38" s="730">
        <v>6.4699999999999994E-2</v>
      </c>
      <c r="JO38" s="730">
        <v>0.52390000000000003</v>
      </c>
      <c r="JP38" s="730">
        <v>0.34410000000000002</v>
      </c>
      <c r="JQ38" s="730">
        <v>6.2300000000000001E-2</v>
      </c>
      <c r="JR38" s="730">
        <v>5.0000000000000001E-3</v>
      </c>
      <c r="JS38" s="730">
        <v>5.4300000000000001E-2</v>
      </c>
      <c r="JT38" s="730">
        <v>0.43559999999999999</v>
      </c>
      <c r="JU38" s="730">
        <v>0.43459999999999999</v>
      </c>
      <c r="JV38" s="730">
        <v>7.5600000000000001E-2</v>
      </c>
      <c r="JW38" s="730">
        <v>0</v>
      </c>
      <c r="JX38" s="730">
        <v>3.1399999999999997E-2</v>
      </c>
      <c r="JY38" s="730">
        <v>0.40760000000000002</v>
      </c>
      <c r="JZ38" s="730">
        <v>0.45739999999999997</v>
      </c>
      <c r="KA38" s="730">
        <v>9.8500000000000004E-2</v>
      </c>
      <c r="KB38" s="730">
        <v>5.1000000000000004E-3</v>
      </c>
      <c r="KC38" s="657"/>
      <c r="KD38" s="314" t="s">
        <v>2590</v>
      </c>
      <c r="KE38" s="314" t="s">
        <v>2590</v>
      </c>
      <c r="KF38" s="866">
        <v>4.1399999999999997</v>
      </c>
      <c r="KG38" s="314" t="s">
        <v>2589</v>
      </c>
      <c r="KH38" s="315" t="s">
        <v>2990</v>
      </c>
      <c r="KI38" s="314" t="s">
        <v>2991</v>
      </c>
      <c r="KJ38" s="315" t="s">
        <v>3229</v>
      </c>
    </row>
    <row r="39" spans="1:296" ht="48" hidden="1" customHeight="1">
      <c r="A39" s="265">
        <f t="shared" si="99"/>
        <v>32</v>
      </c>
      <c r="B39" s="266" t="s">
        <v>2880</v>
      </c>
      <c r="C39" s="266" t="s">
        <v>1435</v>
      </c>
      <c r="D39" s="624" t="s">
        <v>3230</v>
      </c>
      <c r="E39" s="267" t="s">
        <v>3231</v>
      </c>
      <c r="F39" s="267" t="s">
        <v>2631</v>
      </c>
      <c r="G39" s="267" t="s">
        <v>300</v>
      </c>
      <c r="H39" s="267" t="s">
        <v>2109</v>
      </c>
      <c r="I39" s="268" t="s">
        <v>3232</v>
      </c>
      <c r="J39" s="268" t="s">
        <v>3233</v>
      </c>
      <c r="K39" s="269" t="s">
        <v>2097</v>
      </c>
      <c r="L39" s="269" t="s">
        <v>2109</v>
      </c>
      <c r="M39" s="269" t="s">
        <v>3168</v>
      </c>
      <c r="N39" s="269" t="s">
        <v>3169</v>
      </c>
      <c r="O39" s="267" t="s">
        <v>2616</v>
      </c>
      <c r="P39" s="268"/>
      <c r="Q39" s="270">
        <v>1</v>
      </c>
      <c r="R39" s="271">
        <v>6500</v>
      </c>
      <c r="S39" s="272">
        <v>41</v>
      </c>
      <c r="T39" s="272">
        <v>39</v>
      </c>
      <c r="U39" s="272">
        <v>37</v>
      </c>
      <c r="V39" s="272">
        <v>36</v>
      </c>
      <c r="W39" s="272">
        <v>36</v>
      </c>
      <c r="X39" s="272">
        <v>36</v>
      </c>
      <c r="Y39" s="272">
        <v>35</v>
      </c>
      <c r="Z39" s="272">
        <v>35</v>
      </c>
      <c r="AA39" s="272">
        <v>35</v>
      </c>
      <c r="AB39" s="272">
        <v>34</v>
      </c>
      <c r="AC39" s="272">
        <v>34</v>
      </c>
      <c r="AD39" s="272">
        <v>34</v>
      </c>
      <c r="AE39" s="272">
        <v>33</v>
      </c>
      <c r="AF39" s="272">
        <v>33</v>
      </c>
      <c r="AG39" s="272">
        <v>33</v>
      </c>
      <c r="AH39" s="272">
        <v>33</v>
      </c>
      <c r="AI39" s="272">
        <v>34</v>
      </c>
      <c r="AJ39" s="272">
        <v>34</v>
      </c>
      <c r="AK39" s="272">
        <v>34</v>
      </c>
      <c r="AL39" s="268" t="s">
        <v>3234</v>
      </c>
      <c r="AM39" s="268" t="s">
        <v>3235</v>
      </c>
      <c r="AN39" s="268" t="s">
        <v>3236</v>
      </c>
      <c r="AO39" s="657"/>
      <c r="AP39" s="271">
        <v>800</v>
      </c>
      <c r="AQ39" s="280">
        <v>656</v>
      </c>
      <c r="AR39" s="280">
        <v>96</v>
      </c>
      <c r="AS39" s="280">
        <v>48</v>
      </c>
      <c r="AT39" s="657"/>
      <c r="AU39" s="301" t="s">
        <v>3237</v>
      </c>
      <c r="AV39" s="572" t="s">
        <v>3238</v>
      </c>
      <c r="AW39" s="645" t="s">
        <v>2939</v>
      </c>
      <c r="AX39" s="290" t="s">
        <v>2670</v>
      </c>
      <c r="AY39" s="657"/>
      <c r="AZ39" s="948">
        <v>18</v>
      </c>
      <c r="BA39" s="948">
        <v>0.5</v>
      </c>
      <c r="BB39" s="948">
        <v>3</v>
      </c>
      <c r="BC39" s="948">
        <v>17</v>
      </c>
      <c r="BD39" s="825">
        <f t="shared" si="4"/>
        <v>1270.5</v>
      </c>
      <c r="BE39" s="304">
        <f t="shared" si="5"/>
        <v>594</v>
      </c>
      <c r="BF39" s="304">
        <f t="shared" si="6"/>
        <v>16.5</v>
      </c>
      <c r="BG39" s="304">
        <f t="shared" si="7"/>
        <v>99</v>
      </c>
      <c r="BH39" s="304">
        <f t="shared" si="8"/>
        <v>561</v>
      </c>
      <c r="BI39" s="825">
        <f t="shared" si="9"/>
        <v>1309</v>
      </c>
      <c r="BJ39" s="304">
        <f t="shared" si="10"/>
        <v>612</v>
      </c>
      <c r="BK39" s="304">
        <f t="shared" si="11"/>
        <v>17</v>
      </c>
      <c r="BL39" s="304">
        <f t="shared" si="12"/>
        <v>102</v>
      </c>
      <c r="BM39" s="304">
        <f t="shared" si="13"/>
        <v>578</v>
      </c>
      <c r="BN39" s="657"/>
      <c r="BO39" s="284">
        <v>0.1</v>
      </c>
      <c r="BP39" s="284">
        <v>0.76</v>
      </c>
      <c r="BQ39" s="284">
        <v>0.08</v>
      </c>
      <c r="BR39" s="710">
        <v>0.06</v>
      </c>
      <c r="BS39" s="707">
        <v>0.08</v>
      </c>
      <c r="BT39" s="284">
        <v>0.76</v>
      </c>
      <c r="BU39" s="284">
        <v>0.1</v>
      </c>
      <c r="BV39" s="710">
        <v>0.06</v>
      </c>
      <c r="BW39" s="714">
        <v>0.6</v>
      </c>
      <c r="BX39" s="285">
        <v>0.35</v>
      </c>
      <c r="BY39" s="717">
        <v>0.05</v>
      </c>
      <c r="BZ39" s="714">
        <v>0.55000000000000004</v>
      </c>
      <c r="CA39" s="285">
        <v>0.38</v>
      </c>
      <c r="CB39" s="717">
        <v>7.0000000000000007E-2</v>
      </c>
      <c r="CC39" s="284">
        <v>0.05</v>
      </c>
      <c r="CD39" s="284">
        <v>0.55000000000000004</v>
      </c>
      <c r="CE39" s="284">
        <v>0.1</v>
      </c>
      <c r="CF39" s="710">
        <v>0.3</v>
      </c>
      <c r="CG39" s="707">
        <v>0.04</v>
      </c>
      <c r="CH39" s="284">
        <v>0.55000000000000004</v>
      </c>
      <c r="CI39" s="284">
        <v>0.12</v>
      </c>
      <c r="CJ39" s="710">
        <v>0.28999999999999998</v>
      </c>
      <c r="CK39" s="720">
        <v>0.25</v>
      </c>
      <c r="CL39" s="286">
        <v>0.55000000000000004</v>
      </c>
      <c r="CM39" s="718">
        <v>0.2</v>
      </c>
      <c r="CN39" s="720">
        <v>0.15</v>
      </c>
      <c r="CO39" s="286">
        <v>0.57999999999999996</v>
      </c>
      <c r="CP39" s="718">
        <v>0.27</v>
      </c>
      <c r="CQ39" s="657"/>
      <c r="CR39" s="807">
        <v>10</v>
      </c>
      <c r="CS39" s="808">
        <v>11</v>
      </c>
      <c r="CT39" s="808">
        <v>8</v>
      </c>
      <c r="CU39" s="809">
        <v>10</v>
      </c>
      <c r="CV39" s="807">
        <v>11</v>
      </c>
      <c r="CW39" s="808">
        <v>10</v>
      </c>
      <c r="CX39" s="809">
        <v>8</v>
      </c>
      <c r="CY39" s="807">
        <v>8</v>
      </c>
      <c r="CZ39" s="808">
        <v>10</v>
      </c>
      <c r="DA39" s="808">
        <v>7</v>
      </c>
      <c r="DB39" s="809">
        <v>9</v>
      </c>
      <c r="DC39" s="807">
        <v>10</v>
      </c>
      <c r="DD39" s="808">
        <v>11</v>
      </c>
      <c r="DE39" s="809">
        <v>8</v>
      </c>
      <c r="DF39" s="610" t="s">
        <v>3239</v>
      </c>
      <c r="DG39" s="657"/>
      <c r="DH39" s="288">
        <f t="shared" si="14"/>
        <v>59.400000000000006</v>
      </c>
      <c r="DI39" s="288">
        <f t="shared" si="15"/>
        <v>451.44</v>
      </c>
      <c r="DJ39" s="288">
        <f t="shared" si="16"/>
        <v>47.52</v>
      </c>
      <c r="DK39" s="288">
        <f t="shared" si="17"/>
        <v>35.64</v>
      </c>
      <c r="DL39" s="560" t="s">
        <v>3240</v>
      </c>
      <c r="DM39" s="288">
        <f t="shared" si="18"/>
        <v>48.96</v>
      </c>
      <c r="DN39" s="288">
        <f t="shared" si="19"/>
        <v>465.12</v>
      </c>
      <c r="DO39" s="288">
        <f t="shared" si="20"/>
        <v>61.2</v>
      </c>
      <c r="DP39" s="288">
        <f t="shared" si="21"/>
        <v>36.72</v>
      </c>
      <c r="DQ39" s="561" t="s">
        <v>2644</v>
      </c>
      <c r="DR39" s="657"/>
      <c r="DS39" s="288">
        <f t="shared" si="22"/>
        <v>9.9</v>
      </c>
      <c r="DT39" s="288">
        <f t="shared" si="23"/>
        <v>5.7749999999999995</v>
      </c>
      <c r="DU39" s="288">
        <f t="shared" si="24"/>
        <v>0.82500000000000007</v>
      </c>
      <c r="DV39" s="561" t="s">
        <v>3241</v>
      </c>
      <c r="DW39" s="288">
        <f t="shared" si="25"/>
        <v>9.3500000000000014</v>
      </c>
      <c r="DX39" s="288">
        <f t="shared" si="26"/>
        <v>6.46</v>
      </c>
      <c r="DY39" s="288">
        <f t="shared" si="27"/>
        <v>1.1900000000000002</v>
      </c>
      <c r="DZ39" s="561" t="s">
        <v>3242</v>
      </c>
      <c r="EA39" s="657"/>
      <c r="EB39" s="288">
        <f t="shared" si="28"/>
        <v>4.95</v>
      </c>
      <c r="EC39" s="288">
        <f t="shared" si="29"/>
        <v>54.45</v>
      </c>
      <c r="ED39" s="288">
        <f t="shared" si="30"/>
        <v>9.9</v>
      </c>
      <c r="EE39" s="288">
        <f t="shared" si="31"/>
        <v>29.7</v>
      </c>
      <c r="EF39" s="561" t="s">
        <v>3243</v>
      </c>
      <c r="EG39" s="288">
        <f t="shared" si="32"/>
        <v>4.08</v>
      </c>
      <c r="EH39" s="288">
        <f t="shared" si="33"/>
        <v>56.1</v>
      </c>
      <c r="EI39" s="288">
        <f t="shared" si="34"/>
        <v>12.24</v>
      </c>
      <c r="EJ39" s="288">
        <f t="shared" si="35"/>
        <v>29.58</v>
      </c>
      <c r="EK39" s="561" t="s">
        <v>2983</v>
      </c>
      <c r="EL39" s="657"/>
      <c r="EM39" s="288">
        <f t="shared" si="36"/>
        <v>140.25</v>
      </c>
      <c r="EN39" s="291">
        <f t="shared" si="37"/>
        <v>308.55</v>
      </c>
      <c r="EO39" s="291">
        <f t="shared" si="38"/>
        <v>112.2</v>
      </c>
      <c r="EP39" s="561" t="s">
        <v>3244</v>
      </c>
      <c r="EQ39" s="288">
        <f t="shared" si="39"/>
        <v>86.7</v>
      </c>
      <c r="ER39" s="291">
        <f t="shared" si="40"/>
        <v>335.23999999999995</v>
      </c>
      <c r="ES39" s="291">
        <f t="shared" si="41"/>
        <v>156.06</v>
      </c>
      <c r="ET39" s="561" t="s">
        <v>2985</v>
      </c>
      <c r="EU39" s="657"/>
      <c r="EV39" s="740">
        <f t="shared" si="42"/>
        <v>0.83575497716371383</v>
      </c>
      <c r="EW39" s="740">
        <f t="shared" si="43"/>
        <v>0.16424502283628628</v>
      </c>
      <c r="EX39" s="563">
        <f t="shared" si="44"/>
        <v>645.15531837832782</v>
      </c>
      <c r="EY39" s="563">
        <f t="shared" si="45"/>
        <v>539.19176837832788</v>
      </c>
      <c r="EZ39" s="563">
        <f t="shared" si="46"/>
        <v>105.96355</v>
      </c>
      <c r="FA39" s="563">
        <f t="shared" si="47"/>
        <v>294.01235034545454</v>
      </c>
      <c r="FB39" s="563">
        <f t="shared" si="48"/>
        <v>244.47095034545455</v>
      </c>
      <c r="FC39" s="563">
        <f t="shared" si="49"/>
        <v>49.541399999999996</v>
      </c>
      <c r="FD39" s="563">
        <f t="shared" si="50"/>
        <v>8.2174206846590891</v>
      </c>
      <c r="FE39" s="563">
        <f t="shared" si="51"/>
        <v>6.8412706846590901</v>
      </c>
      <c r="FF39" s="563">
        <f t="shared" si="52"/>
        <v>1.37615</v>
      </c>
      <c r="FG39" s="563">
        <f t="shared" si="53"/>
        <v>54.431169848214289</v>
      </c>
      <c r="FH39" s="563">
        <f t="shared" si="54"/>
        <v>46.174269848214287</v>
      </c>
      <c r="FI39" s="563">
        <f t="shared" si="55"/>
        <v>8.2568999999999999</v>
      </c>
      <c r="FJ39" s="563">
        <f t="shared" si="56"/>
        <v>288.49437750000004</v>
      </c>
      <c r="FK39" s="563">
        <f t="shared" si="57"/>
        <v>241.70527750000002</v>
      </c>
      <c r="FL39" s="563">
        <f t="shared" si="58"/>
        <v>46.789100000000005</v>
      </c>
      <c r="FM39" s="529"/>
      <c r="FN39" s="564" t="s">
        <v>2649</v>
      </c>
      <c r="FO39" s="740">
        <v>5.3100000000000001E-2</v>
      </c>
      <c r="FP39" s="741">
        <v>0.80554999999999999</v>
      </c>
      <c r="FQ39" s="565" t="s">
        <v>3203</v>
      </c>
      <c r="FR39" s="529"/>
      <c r="FS39" s="867">
        <v>3.61</v>
      </c>
      <c r="FT39" s="566">
        <f>RANK($FS39,$FS$8:$FS$154,0)+COUNTIF($FS$8:$FS39,$FS39)-1</f>
        <v>28</v>
      </c>
      <c r="FU39" s="867">
        <v>4.13</v>
      </c>
      <c r="FV39" s="566">
        <f>RANK($FU39,$FU$8:$FU$154,0)+COUNTIF($FU$8:$FU39,$FU39)-1</f>
        <v>61</v>
      </c>
      <c r="FW39" s="867">
        <v>2.69</v>
      </c>
      <c r="FX39" s="566">
        <f>RANK($FW39,$FW$8:$FW$154,0)+COUNTIF($FW$8:$FW39,$FW39)-1</f>
        <v>17</v>
      </c>
      <c r="FY39" s="529"/>
      <c r="FZ39" s="567" t="s">
        <v>3204</v>
      </c>
      <c r="GA39" s="567" t="s">
        <v>3245</v>
      </c>
      <c r="GB39" s="567" t="s">
        <v>2653</v>
      </c>
      <c r="GC39" s="567" t="s">
        <v>2654</v>
      </c>
      <c r="GD39" s="567" t="s">
        <v>2655</v>
      </c>
      <c r="GE39" s="567" t="s">
        <v>2656</v>
      </c>
      <c r="GF39" s="567" t="str">
        <f>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39" s="529"/>
      <c r="GH39" s="563">
        <f t="shared" si="59"/>
        <v>29.628135</v>
      </c>
      <c r="GI39" s="563">
        <f t="shared" si="116"/>
        <v>25.664823000000002</v>
      </c>
      <c r="GJ39" s="563">
        <f t="shared" si="60"/>
        <v>3.9633119999999997</v>
      </c>
      <c r="GK39" s="563">
        <f t="shared" si="61"/>
        <v>215.97387054545456</v>
      </c>
      <c r="GL39" s="563">
        <f t="shared" si="117"/>
        <v>178.32240654545456</v>
      </c>
      <c r="GM39" s="563">
        <f t="shared" si="62"/>
        <v>37.651463999999997</v>
      </c>
      <c r="GN39" s="563">
        <f t="shared" si="63"/>
        <v>30.038967</v>
      </c>
      <c r="GO39" s="563">
        <f t="shared" si="118"/>
        <v>25.084827000000001</v>
      </c>
      <c r="GP39" s="563">
        <f t="shared" si="64"/>
        <v>4.9541399999999998</v>
      </c>
      <c r="GQ39" s="563">
        <f t="shared" si="65"/>
        <v>18.371377799999998</v>
      </c>
      <c r="GR39" s="563">
        <f t="shared" si="119"/>
        <v>15.3988938</v>
      </c>
      <c r="GS39" s="563">
        <f t="shared" si="66"/>
        <v>2.9724839999999997</v>
      </c>
      <c r="GT39" s="563">
        <f t="shared" si="67"/>
        <v>4.66746159090909</v>
      </c>
      <c r="GU39" s="563">
        <f t="shared" si="120"/>
        <v>3.9105790909090903</v>
      </c>
      <c r="GV39" s="563">
        <f t="shared" si="68"/>
        <v>0.75688250000000001</v>
      </c>
      <c r="GW39" s="563">
        <f t="shared" si="69"/>
        <v>3.0181281249999996</v>
      </c>
      <c r="GX39" s="563">
        <f t="shared" si="121"/>
        <v>2.4951911249999994</v>
      </c>
      <c r="GY39" s="563">
        <f t="shared" si="70"/>
        <v>0.52293699999999999</v>
      </c>
      <c r="GZ39" s="563">
        <f t="shared" si="71"/>
        <v>0.53183096875000002</v>
      </c>
      <c r="HA39" s="563">
        <f t="shared" si="122"/>
        <v>0.43550046874999998</v>
      </c>
      <c r="HB39" s="563">
        <f t="shared" si="72"/>
        <v>9.6330500000000013E-2</v>
      </c>
      <c r="HC39" s="563">
        <f t="shared" si="73"/>
        <v>2.9432788125</v>
      </c>
      <c r="HD39" s="563">
        <f t="shared" si="123"/>
        <v>2.6130028125</v>
      </c>
      <c r="HE39" s="563">
        <f t="shared" si="74"/>
        <v>0.33027600000000001</v>
      </c>
      <c r="HF39" s="563">
        <f t="shared" si="75"/>
        <v>28.067382750000004</v>
      </c>
      <c r="HG39" s="563">
        <f t="shared" si="124"/>
        <v>23.526087750000002</v>
      </c>
      <c r="HH39" s="563">
        <f t="shared" si="76"/>
        <v>4.5412950000000007</v>
      </c>
      <c r="HI39" s="563">
        <f t="shared" si="77"/>
        <v>6.9288822857142858</v>
      </c>
      <c r="HJ39" s="563">
        <f t="shared" si="125"/>
        <v>5.9380542857142862</v>
      </c>
      <c r="HK39" s="563">
        <f t="shared" si="78"/>
        <v>0.99082799999999993</v>
      </c>
      <c r="HL39" s="563">
        <f t="shared" si="79"/>
        <v>16.491626</v>
      </c>
      <c r="HM39" s="563">
        <f t="shared" si="126"/>
        <v>14.097125</v>
      </c>
      <c r="HN39" s="563">
        <f t="shared" si="80"/>
        <v>2.394501</v>
      </c>
      <c r="HO39" s="563">
        <f t="shared" si="81"/>
        <v>67.615863750000003</v>
      </c>
      <c r="HP39" s="563">
        <f t="shared" si="127"/>
        <v>60.59749875</v>
      </c>
      <c r="HQ39" s="563">
        <f t="shared" si="82"/>
        <v>7.0183650000000002</v>
      </c>
      <c r="HR39" s="563">
        <f t="shared" si="83"/>
        <v>149.017393</v>
      </c>
      <c r="HS39" s="563">
        <f t="shared" si="128"/>
        <v>121.879715</v>
      </c>
      <c r="HT39" s="563">
        <f t="shared" si="84"/>
        <v>27.137678000000001</v>
      </c>
      <c r="HU39" s="563">
        <f t="shared" si="85"/>
        <v>71.861120750000012</v>
      </c>
      <c r="HV39" s="563">
        <f t="shared" si="129"/>
        <v>59.228063750000004</v>
      </c>
      <c r="HW39" s="563">
        <f t="shared" si="86"/>
        <v>12.633057000000003</v>
      </c>
      <c r="HX39" s="544"/>
      <c r="HY39" s="568">
        <f t="shared" si="87"/>
        <v>1254.0000000000002</v>
      </c>
      <c r="HZ39" s="568">
        <f t="shared" si="88"/>
        <v>14.292300000000001</v>
      </c>
      <c r="IA39" s="568">
        <f t="shared" si="89"/>
        <v>377.99850000000004</v>
      </c>
      <c r="IB39" s="568">
        <f t="shared" si="90"/>
        <v>626.19810000000007</v>
      </c>
      <c r="IC39" s="568">
        <f t="shared" si="91"/>
        <v>215.09730000000002</v>
      </c>
      <c r="ID39" s="568">
        <f t="shared" si="92"/>
        <v>20.413800000000002</v>
      </c>
      <c r="IE39" s="568">
        <f t="shared" si="93"/>
        <v>532.3504976936689</v>
      </c>
      <c r="IF39" s="568">
        <f t="shared" si="94"/>
        <v>0</v>
      </c>
      <c r="IG39" s="568">
        <f t="shared" si="95"/>
        <v>140.66676217957516</v>
      </c>
      <c r="IH39" s="568">
        <f t="shared" si="96"/>
        <v>275.93704243377482</v>
      </c>
      <c r="II39" s="568">
        <f t="shared" si="97"/>
        <v>104.0386607407803</v>
      </c>
      <c r="IJ39" s="568">
        <f t="shared" si="98"/>
        <v>11.708032339538621</v>
      </c>
      <c r="IK39" s="868">
        <v>4.1500000000000004</v>
      </c>
      <c r="IL39" s="569" t="s">
        <v>2589</v>
      </c>
      <c r="IM39" s="570" t="s">
        <v>3246</v>
      </c>
      <c r="IN39" s="529"/>
      <c r="IO39" s="742">
        <v>0.01</v>
      </c>
      <c r="IP39" s="742">
        <v>0.28000000000000003</v>
      </c>
      <c r="IQ39" s="742">
        <v>0.5</v>
      </c>
      <c r="IR39" s="742">
        <v>0.19</v>
      </c>
      <c r="IS39" s="742">
        <v>0.02</v>
      </c>
      <c r="IT39" s="742">
        <v>0</v>
      </c>
      <c r="IU39" s="742">
        <v>0.24129999999999999</v>
      </c>
      <c r="IV39" s="742">
        <v>0.51870000000000005</v>
      </c>
      <c r="IW39" s="742">
        <v>0.2142</v>
      </c>
      <c r="IX39" s="742">
        <v>2.58E-2</v>
      </c>
      <c r="IY39" s="742">
        <v>0</v>
      </c>
      <c r="IZ39" s="742">
        <v>0</v>
      </c>
      <c r="JA39" s="742">
        <v>0</v>
      </c>
      <c r="JB39" s="742">
        <v>0</v>
      </c>
      <c r="JC39" s="742">
        <v>0</v>
      </c>
      <c r="JD39" s="742">
        <v>0</v>
      </c>
      <c r="JE39" s="742">
        <v>0</v>
      </c>
      <c r="JF39" s="742">
        <v>0</v>
      </c>
      <c r="JG39" s="742">
        <v>0</v>
      </c>
      <c r="JH39" s="742">
        <v>0</v>
      </c>
      <c r="JI39" s="742">
        <v>2.0899999999999998E-2</v>
      </c>
      <c r="JJ39" s="742">
        <v>0.43930000000000002</v>
      </c>
      <c r="JK39" s="742">
        <v>0.43580000000000002</v>
      </c>
      <c r="JL39" s="742">
        <v>9.9400000000000002E-2</v>
      </c>
      <c r="JM39" s="742">
        <v>4.5999999999999999E-3</v>
      </c>
      <c r="JN39" s="742">
        <v>0</v>
      </c>
      <c r="JO39" s="742">
        <v>0.40210000000000001</v>
      </c>
      <c r="JP39" s="742">
        <v>0.46060000000000001</v>
      </c>
      <c r="JQ39" s="742">
        <v>0.12659999999999999</v>
      </c>
      <c r="JR39" s="742">
        <v>1.0699999999999999E-2</v>
      </c>
      <c r="JS39" s="742">
        <v>1.12E-2</v>
      </c>
      <c r="JT39" s="742">
        <v>0.29980000000000001</v>
      </c>
      <c r="JU39" s="742">
        <v>0.50990000000000002</v>
      </c>
      <c r="JV39" s="742">
        <v>0.16470000000000001</v>
      </c>
      <c r="JW39" s="742">
        <v>1.44E-2</v>
      </c>
      <c r="JX39" s="742">
        <v>0</v>
      </c>
      <c r="JY39" s="742">
        <v>0.2611</v>
      </c>
      <c r="JZ39" s="742">
        <v>0.52900000000000003</v>
      </c>
      <c r="KA39" s="742">
        <v>0.18959999999999999</v>
      </c>
      <c r="KB39" s="742">
        <v>2.0299999999999999E-2</v>
      </c>
      <c r="KC39" s="657"/>
      <c r="KD39" s="832" t="s">
        <v>2590</v>
      </c>
      <c r="KE39" s="832" t="s">
        <v>2591</v>
      </c>
      <c r="KF39" s="869">
        <v>4.0999999999999996</v>
      </c>
      <c r="KG39" s="832" t="s">
        <v>2589</v>
      </c>
      <c r="KH39" s="833" t="s">
        <v>3207</v>
      </c>
      <c r="KI39" s="832" t="s">
        <v>3208</v>
      </c>
      <c r="KJ39" s="833" t="s">
        <v>3247</v>
      </c>
    </row>
    <row r="40" spans="1:296" ht="48" hidden="1" customHeight="1">
      <c r="A40" s="273">
        <f t="shared" si="99"/>
        <v>33</v>
      </c>
      <c r="B40" s="274" t="s">
        <v>2880</v>
      </c>
      <c r="C40" s="274" t="s">
        <v>1435</v>
      </c>
      <c r="D40" s="274" t="s">
        <v>3248</v>
      </c>
      <c r="E40" s="275" t="s">
        <v>3249</v>
      </c>
      <c r="F40" s="275" t="s">
        <v>3250</v>
      </c>
      <c r="G40" s="275" t="s">
        <v>300</v>
      </c>
      <c r="H40" s="275" t="s">
        <v>2109</v>
      </c>
      <c r="I40" s="276" t="s">
        <v>3251</v>
      </c>
      <c r="J40" s="276" t="s">
        <v>3252</v>
      </c>
      <c r="K40" s="277" t="s">
        <v>2097</v>
      </c>
      <c r="L40" s="277" t="s">
        <v>2109</v>
      </c>
      <c r="M40" s="277" t="s">
        <v>3168</v>
      </c>
      <c r="N40" s="277" t="s">
        <v>3169</v>
      </c>
      <c r="O40" s="275" t="s">
        <v>3170</v>
      </c>
      <c r="P40" s="276"/>
      <c r="Q40" s="270">
        <v>1</v>
      </c>
      <c r="R40" s="278">
        <v>3200</v>
      </c>
      <c r="S40" s="279">
        <v>181</v>
      </c>
      <c r="T40" s="279">
        <v>188</v>
      </c>
      <c r="U40" s="279">
        <v>197</v>
      </c>
      <c r="V40" s="279">
        <v>201</v>
      </c>
      <c r="W40" s="279">
        <v>200</v>
      </c>
      <c r="X40" s="279">
        <v>200</v>
      </c>
      <c r="Y40" s="279">
        <v>200</v>
      </c>
      <c r="Z40" s="279">
        <v>201</v>
      </c>
      <c r="AA40" s="279">
        <v>202</v>
      </c>
      <c r="AB40" s="279">
        <v>202</v>
      </c>
      <c r="AC40" s="279">
        <v>202</v>
      </c>
      <c r="AD40" s="279">
        <v>202</v>
      </c>
      <c r="AE40" s="279">
        <v>202</v>
      </c>
      <c r="AF40" s="279">
        <v>202</v>
      </c>
      <c r="AG40" s="279">
        <v>202</v>
      </c>
      <c r="AH40" s="279">
        <v>203</v>
      </c>
      <c r="AI40" s="279">
        <v>203</v>
      </c>
      <c r="AJ40" s="279">
        <v>203</v>
      </c>
      <c r="AK40" s="279">
        <v>203</v>
      </c>
      <c r="AL40" s="276" t="s">
        <v>2124</v>
      </c>
      <c r="AM40" s="276" t="s">
        <v>3253</v>
      </c>
      <c r="AN40" s="276" t="s">
        <v>3254</v>
      </c>
      <c r="AO40" s="657"/>
      <c r="AP40" s="278">
        <v>500</v>
      </c>
      <c r="AQ40" s="278">
        <v>390</v>
      </c>
      <c r="AR40" s="278">
        <v>80</v>
      </c>
      <c r="AS40" s="278">
        <v>30</v>
      </c>
      <c r="AT40" s="657"/>
      <c r="AU40" s="281" t="s">
        <v>3255</v>
      </c>
      <c r="AV40" s="296" t="s">
        <v>3256</v>
      </c>
      <c r="AW40" s="296" t="s">
        <v>2957</v>
      </c>
      <c r="AX40" s="276" t="s">
        <v>2670</v>
      </c>
      <c r="AY40" s="657"/>
      <c r="AZ40" s="947">
        <v>14</v>
      </c>
      <c r="BA40" s="947">
        <v>0</v>
      </c>
      <c r="BB40" s="947">
        <v>3</v>
      </c>
      <c r="BC40" s="947">
        <v>13</v>
      </c>
      <c r="BD40" s="826">
        <f t="shared" ref="BD40:BD71" si="130">SUM(BE40:BH40)</f>
        <v>6060</v>
      </c>
      <c r="BE40" s="283">
        <f t="shared" ref="BE40:BE71" si="131">AF40*AZ40</f>
        <v>2828</v>
      </c>
      <c r="BF40" s="283">
        <f t="shared" ref="BF40:BF71" si="132">AF40*BA40</f>
        <v>0</v>
      </c>
      <c r="BG40" s="283">
        <f t="shared" ref="BG40:BG71" si="133">AF40*BB40</f>
        <v>606</v>
      </c>
      <c r="BH40" s="283">
        <f t="shared" ref="BH40:BH71" si="134">AF40*BC40</f>
        <v>2626</v>
      </c>
      <c r="BI40" s="826">
        <f t="shared" ref="BI40:BI71" si="135">SUM(BJ40:BM40)</f>
        <v>6090</v>
      </c>
      <c r="BJ40" s="283">
        <f t="shared" ref="BJ40:BJ71" si="136">AK40*AZ40</f>
        <v>2842</v>
      </c>
      <c r="BK40" s="283">
        <f t="shared" ref="BK40:BK71" si="137">AK40*BA40</f>
        <v>0</v>
      </c>
      <c r="BL40" s="283">
        <f t="shared" ref="BL40:BL71" si="138">AK40*BB40</f>
        <v>609</v>
      </c>
      <c r="BM40" s="283">
        <f t="shared" ref="BM40:BM71" si="139">AK40*BC40</f>
        <v>2639</v>
      </c>
      <c r="BN40" s="657"/>
      <c r="BO40" s="305">
        <v>0.1</v>
      </c>
      <c r="BP40" s="305">
        <v>0.76</v>
      </c>
      <c r="BQ40" s="305">
        <v>0.08</v>
      </c>
      <c r="BR40" s="581">
        <v>0.06</v>
      </c>
      <c r="BS40" s="706">
        <v>0.08</v>
      </c>
      <c r="BT40" s="305">
        <v>0.76</v>
      </c>
      <c r="BU40" s="305">
        <v>0.1</v>
      </c>
      <c r="BV40" s="581">
        <v>0.06</v>
      </c>
      <c r="BW40" s="713"/>
      <c r="BX40" s="306"/>
      <c r="BY40" s="590"/>
      <c r="BZ40" s="713"/>
      <c r="CA40" s="306"/>
      <c r="CB40" s="590"/>
      <c r="CC40" s="706">
        <v>0.05</v>
      </c>
      <c r="CD40" s="305">
        <v>0.55000000000000004</v>
      </c>
      <c r="CE40" s="305">
        <v>0.1</v>
      </c>
      <c r="CF40" s="581">
        <v>0.3</v>
      </c>
      <c r="CG40" s="706">
        <v>0.04</v>
      </c>
      <c r="CH40" s="305">
        <v>0.55000000000000004</v>
      </c>
      <c r="CI40" s="305">
        <v>0.12</v>
      </c>
      <c r="CJ40" s="581">
        <v>0.28999999999999998</v>
      </c>
      <c r="CK40" s="719">
        <v>0.25</v>
      </c>
      <c r="CL40" s="307">
        <v>0.55000000000000004</v>
      </c>
      <c r="CM40" s="723">
        <v>0.2</v>
      </c>
      <c r="CN40" s="719">
        <v>0.15</v>
      </c>
      <c r="CO40" s="307">
        <v>0.57999999999999996</v>
      </c>
      <c r="CP40" s="723">
        <v>0.27</v>
      </c>
      <c r="CQ40" s="657"/>
      <c r="CR40" s="804">
        <v>10</v>
      </c>
      <c r="CS40" s="805">
        <v>11</v>
      </c>
      <c r="CT40" s="805">
        <v>8</v>
      </c>
      <c r="CU40" s="806">
        <v>10</v>
      </c>
      <c r="CV40" s="804"/>
      <c r="CW40" s="805"/>
      <c r="CX40" s="806"/>
      <c r="CY40" s="804">
        <v>8</v>
      </c>
      <c r="CZ40" s="805">
        <v>10</v>
      </c>
      <c r="DA40" s="805">
        <v>7</v>
      </c>
      <c r="DB40" s="806">
        <v>9</v>
      </c>
      <c r="DC40" s="804">
        <v>10</v>
      </c>
      <c r="DD40" s="805">
        <v>11</v>
      </c>
      <c r="DE40" s="806">
        <v>8</v>
      </c>
      <c r="DF40" s="609" t="s">
        <v>3257</v>
      </c>
      <c r="DG40" s="657"/>
      <c r="DH40" s="308">
        <f t="shared" ref="DH40:DH71" si="140">$BE40*BO40</f>
        <v>282.8</v>
      </c>
      <c r="DI40" s="308">
        <f t="shared" ref="DI40:DI71" si="141">$BE40*BP40</f>
        <v>2149.2800000000002</v>
      </c>
      <c r="DJ40" s="308">
        <f t="shared" ref="DJ40:DJ71" si="142">$BE40*BQ40</f>
        <v>226.24</v>
      </c>
      <c r="DK40" s="308">
        <f t="shared" ref="DK40:DK71" si="143">$BE40*BR40</f>
        <v>169.68</v>
      </c>
      <c r="DL40" s="287" t="s">
        <v>3258</v>
      </c>
      <c r="DM40" s="308">
        <f t="shared" ref="DM40:DM71" si="144">$BJ40*BS40</f>
        <v>227.36</v>
      </c>
      <c r="DN40" s="308">
        <f t="shared" ref="DN40:DN71" si="145">$BJ40*BT40</f>
        <v>2159.92</v>
      </c>
      <c r="DO40" s="308">
        <f t="shared" ref="DO40:DO71" si="146">$BJ40*BU40</f>
        <v>284.2</v>
      </c>
      <c r="DP40" s="308">
        <f t="shared" ref="DP40:DP71" si="147">$BJ40*BV40</f>
        <v>170.51999999999998</v>
      </c>
      <c r="DQ40" s="289" t="s">
        <v>2644</v>
      </c>
      <c r="DR40" s="657"/>
      <c r="DS40" s="308">
        <f t="shared" ref="DS40:DS71" si="148">$BF40*BW40</f>
        <v>0</v>
      </c>
      <c r="DT40" s="308">
        <f t="shared" ref="DT40:DT71" si="149">$BF40*BX40</f>
        <v>0</v>
      </c>
      <c r="DU40" s="308">
        <f t="shared" ref="DU40:DU71" si="150">$BF40*BY40</f>
        <v>0</v>
      </c>
      <c r="DV40" s="289" t="s">
        <v>2613</v>
      </c>
      <c r="DW40" s="308">
        <f t="shared" ref="DW40:DW71" si="151">$BK40*BZ40</f>
        <v>0</v>
      </c>
      <c r="DX40" s="308">
        <f t="shared" ref="DX40:DX71" si="152">$BK40*CA40</f>
        <v>0</v>
      </c>
      <c r="DY40" s="308">
        <f t="shared" ref="DY40:DY71" si="153">$BK40*CB40</f>
        <v>0</v>
      </c>
      <c r="DZ40" s="289" t="s">
        <v>2613</v>
      </c>
      <c r="EA40" s="657"/>
      <c r="EB40" s="308">
        <f t="shared" ref="EB40:EB71" si="154">$BG40*CC40</f>
        <v>30.3</v>
      </c>
      <c r="EC40" s="308">
        <f t="shared" ref="EC40:EC71" si="155">$BG40*CD40</f>
        <v>333.3</v>
      </c>
      <c r="ED40" s="308">
        <f t="shared" ref="ED40:ED71" si="156">$BG40*CE40</f>
        <v>60.6</v>
      </c>
      <c r="EE40" s="308">
        <f t="shared" ref="EE40:EE71" si="157">$BG40*CF40</f>
        <v>181.79999999999998</v>
      </c>
      <c r="EF40" s="289" t="s">
        <v>3259</v>
      </c>
      <c r="EG40" s="308">
        <f t="shared" ref="EG40:EG71" si="158">$BL40*CG40</f>
        <v>24.36</v>
      </c>
      <c r="EH40" s="308">
        <f t="shared" ref="EH40:EH71" si="159">$BL40*CH40</f>
        <v>334.95000000000005</v>
      </c>
      <c r="EI40" s="308">
        <f t="shared" ref="EI40:EI71" si="160">$BL40*CI40</f>
        <v>73.08</v>
      </c>
      <c r="EJ40" s="308">
        <f t="shared" ref="EJ40:EJ71" si="161">$BL40*CJ40</f>
        <v>176.60999999999999</v>
      </c>
      <c r="EK40" s="309" t="s">
        <v>2983</v>
      </c>
      <c r="EL40" s="657"/>
      <c r="EM40" s="308">
        <f t="shared" ref="EM40:EM71" si="162">$BH40*CK40</f>
        <v>656.5</v>
      </c>
      <c r="EN40" s="310">
        <f t="shared" ref="EN40:EN71" si="163">$BH40*CL40</f>
        <v>1444.3000000000002</v>
      </c>
      <c r="EO40" s="310">
        <f t="shared" ref="EO40:EO71" si="164">$BH40*CM40</f>
        <v>525.20000000000005</v>
      </c>
      <c r="EP40" s="289" t="s">
        <v>3260</v>
      </c>
      <c r="EQ40" s="308">
        <f t="shared" ref="EQ40:EQ71" si="165">$BM40*CN40</f>
        <v>395.84999999999997</v>
      </c>
      <c r="ER40" s="310">
        <f t="shared" ref="ER40:ER71" si="166">$BM40*CO40</f>
        <v>1530.62</v>
      </c>
      <c r="ES40" s="310">
        <f t="shared" ref="ES40:ES71" si="167">$BM40*CP40</f>
        <v>712.53000000000009</v>
      </c>
      <c r="ET40" s="289" t="s">
        <v>2985</v>
      </c>
      <c r="EU40" s="657"/>
      <c r="EV40" s="728">
        <f t="shared" ref="EV40:EV71" si="168">IFERROR(EY40/EX40,0)</f>
        <v>0.87171762395975538</v>
      </c>
      <c r="EW40" s="728">
        <f t="shared" ref="EW40:EW71" si="169">IFERROR(EZ40/EX40,0)</f>
        <v>0.12828237604024464</v>
      </c>
      <c r="EX40" s="311">
        <f t="shared" ref="EX40:EX71" si="170">EY40+EZ40</f>
        <v>2742.2784864043833</v>
      </c>
      <c r="EY40" s="311">
        <f t="shared" ref="EY40:EY71" si="171">SUM(FB40,FE40,FH40,FK40)</f>
        <v>2390.4924864043833</v>
      </c>
      <c r="EZ40" s="311">
        <f t="shared" ref="EZ40:EZ71" si="172">SUM(FC40,FF40,FI40,FL40)</f>
        <v>351.786</v>
      </c>
      <c r="FA40" s="311">
        <f t="shared" ref="FA40:FA71" si="173">FB40+FC40</f>
        <v>1239.4626871454545</v>
      </c>
      <c r="FB40" s="311">
        <f t="shared" ref="FB40:FB71" si="174">SUM(GI40,GL40,GO40,GR40)</f>
        <v>1075.2958871454546</v>
      </c>
      <c r="FC40" s="311">
        <f t="shared" ref="FC40:FC71" si="175">MAX(0,$BJ40-$BE40)+$BE40*$FO40</f>
        <v>164.16679999999999</v>
      </c>
      <c r="FD40" s="311">
        <f t="shared" ref="FD40:FD71" si="176">FE40+FF40</f>
        <v>0</v>
      </c>
      <c r="FE40" s="311">
        <f t="shared" ref="FE40:FE71" si="177">SUM(GU40,GX40,HA40)</f>
        <v>0</v>
      </c>
      <c r="FF40" s="311">
        <f t="shared" ref="FF40:FF71" si="178">MAX(0,$BK40-$BF40)+$BF40*$FO40</f>
        <v>0</v>
      </c>
      <c r="FG40" s="311">
        <f t="shared" ref="FG40:FG71" si="179">FH40+FI40</f>
        <v>299.49494675892862</v>
      </c>
      <c r="FH40" s="311">
        <f t="shared" ref="FH40:FH71" si="180">SUM(HD40,HG40,HJ40,HM40)</f>
        <v>264.3163467589286</v>
      </c>
      <c r="FI40" s="311">
        <f t="shared" ref="FI40:FI71" si="181">MAX(0,$BL40-$BG40)+$BG40*$FO40</f>
        <v>35.178600000000003</v>
      </c>
      <c r="FJ40" s="311">
        <f t="shared" ref="FJ40:FJ71" si="182">FK40+FL40</f>
        <v>1203.3208525</v>
      </c>
      <c r="FK40" s="311">
        <f t="shared" ref="FK40:FK71" si="183">SUM(HP40,HS40,HV40)</f>
        <v>1050.8802525000001</v>
      </c>
      <c r="FL40" s="311">
        <f t="shared" ref="FL40:FL71" si="184">MAX(0,$BM40-$BH40)+$BH40*$FO40</f>
        <v>152.44060000000002</v>
      </c>
      <c r="FM40" s="657"/>
      <c r="FN40" s="293" t="s">
        <v>2649</v>
      </c>
      <c r="FO40" s="728">
        <v>5.3100000000000001E-2</v>
      </c>
      <c r="FP40" s="729">
        <v>0.80554999999999999</v>
      </c>
      <c r="FQ40" s="294" t="s">
        <v>3203</v>
      </c>
      <c r="FR40" s="657"/>
      <c r="FS40" s="865">
        <v>3.61</v>
      </c>
      <c r="FT40" s="312">
        <f>RANK($FS40,$FS$8:$FS$154,0)+COUNTIF($FS$8:$FS40,$FS40)-1</f>
        <v>29</v>
      </c>
      <c r="FU40" s="865">
        <v>4.13</v>
      </c>
      <c r="FV40" s="312">
        <f>RANK($FU40,$FU$8:$FU$154,0)+COUNTIF($FU$8:$FU40,$FU40)-1</f>
        <v>62</v>
      </c>
      <c r="FW40" s="865">
        <v>2.69</v>
      </c>
      <c r="FX40" s="312">
        <f>RANK($FW40,$FW$8:$FW$154,0)+COUNTIF($FW$8:$FW40,$FW40)-1</f>
        <v>18</v>
      </c>
      <c r="FY40" s="657"/>
      <c r="FZ40" s="296" t="s">
        <v>3204</v>
      </c>
      <c r="GA40" s="296" t="s">
        <v>3261</v>
      </c>
      <c r="GB40" s="296" t="s">
        <v>2653</v>
      </c>
      <c r="GC40" s="296" t="s">
        <v>2654</v>
      </c>
      <c r="GD40" s="296" t="s">
        <v>2655</v>
      </c>
      <c r="GE40" s="296" t="s">
        <v>2656</v>
      </c>
      <c r="GF40" s="296" t="str">
        <f>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40" s="657"/>
      <c r="GH40" s="311">
        <f t="shared" ref="GH40:GH71" si="185">GI40+GJ40</f>
        <v>126.24867500000001</v>
      </c>
      <c r="GI40" s="311">
        <f t="shared" si="116"/>
        <v>113.11533100000001</v>
      </c>
      <c r="GJ40" s="311">
        <f t="shared" ref="GJ40:GJ71" si="186">IFERROR($FC40*$BS40,0)</f>
        <v>13.133343999999999</v>
      </c>
      <c r="GK40" s="311">
        <f t="shared" ref="GK40:GK71" si="187">GL40+GM40</f>
        <v>905.51168654545461</v>
      </c>
      <c r="GL40" s="311">
        <f t="shared" si="117"/>
        <v>780.74491854545465</v>
      </c>
      <c r="GM40" s="311">
        <f t="shared" ref="GM40:GM71" si="188">IFERROR($FC40*$BT40,0)</f>
        <v>124.766768</v>
      </c>
      <c r="GN40" s="311">
        <f t="shared" ref="GN40:GN71" si="189">GO40+GP40</f>
        <v>129.98311900000002</v>
      </c>
      <c r="GO40" s="311">
        <f t="shared" si="118"/>
        <v>113.56643900000002</v>
      </c>
      <c r="GP40" s="311">
        <f t="shared" ref="GP40:GP71" si="190">IFERROR($FC40*$BU40,0)</f>
        <v>16.416679999999999</v>
      </c>
      <c r="GQ40" s="311">
        <f t="shared" ref="GQ40:GQ71" si="191">GR40+GS40</f>
        <v>77.719206599999993</v>
      </c>
      <c r="GR40" s="311">
        <f t="shared" si="119"/>
        <v>67.86919859999999</v>
      </c>
      <c r="GS40" s="311">
        <f t="shared" ref="GS40:GS71" si="192">IFERROR($FC40*$BV40,0)</f>
        <v>9.850007999999999</v>
      </c>
      <c r="GT40" s="311">
        <f t="shared" ref="GT40:GT71" si="193">GU40+GV40</f>
        <v>0</v>
      </c>
      <c r="GU40" s="311">
        <f t="shared" si="120"/>
        <v>0</v>
      </c>
      <c r="GV40" s="311">
        <f t="shared" ref="GV40:GV71" si="194">IFERROR($FF40*$BZ40,0)</f>
        <v>0</v>
      </c>
      <c r="GW40" s="311">
        <f t="shared" ref="GW40:GW71" si="195">GX40+GY40</f>
        <v>0</v>
      </c>
      <c r="GX40" s="311">
        <f t="shared" si="121"/>
        <v>0</v>
      </c>
      <c r="GY40" s="311">
        <f t="shared" ref="GY40:GY71" si="196">IFERROR($FF40*$CA40,0)</f>
        <v>0</v>
      </c>
      <c r="GZ40" s="311">
        <f t="shared" ref="GZ40:GZ71" si="197">HA40+HB40</f>
        <v>0</v>
      </c>
      <c r="HA40" s="311">
        <f t="shared" si="122"/>
        <v>0</v>
      </c>
      <c r="HB40" s="311">
        <f t="shared" ref="HB40:HB71" si="198">IFERROR($FF40*$CB40,0)</f>
        <v>0</v>
      </c>
      <c r="HC40" s="311">
        <f t="shared" ref="HC40:HC71" si="199">HD40+HE40</f>
        <v>16.616934937499998</v>
      </c>
      <c r="HD40" s="311">
        <f t="shared" si="123"/>
        <v>15.209790937499999</v>
      </c>
      <c r="HE40" s="311">
        <f t="shared" ref="HE40:HE71" si="200">IFERROR($FI40*$CG40,0)</f>
        <v>1.4071440000000002</v>
      </c>
      <c r="HF40" s="311">
        <f t="shared" ref="HF40:HF71" si="201">HG40+HH40</f>
        <v>152.66272724999999</v>
      </c>
      <c r="HG40" s="311">
        <f t="shared" si="124"/>
        <v>133.31449724999999</v>
      </c>
      <c r="HH40" s="311">
        <f t="shared" ref="HH40:HH71" si="202">IFERROR($FI40*$CH40,0)</f>
        <v>19.348230000000004</v>
      </c>
      <c r="HI40" s="311">
        <f t="shared" ref="HI40:HI71" si="203">HJ40+HK40</f>
        <v>39.055715571428571</v>
      </c>
      <c r="HJ40" s="311">
        <f t="shared" si="125"/>
        <v>34.834283571428571</v>
      </c>
      <c r="HK40" s="311">
        <f t="shared" ref="HK40:HK71" si="204">IFERROR($FI40*$CI40,0)</f>
        <v>4.2214320000000001</v>
      </c>
      <c r="HL40" s="311">
        <f t="shared" ref="HL40:HL71" si="205">HM40+HN40</f>
        <v>91.159569000000005</v>
      </c>
      <c r="HM40" s="311">
        <f t="shared" si="126"/>
        <v>80.957774999999998</v>
      </c>
      <c r="HN40" s="311">
        <f t="shared" ref="HN40:HN71" si="206">IFERROR($FI40*$CJ40,0)</f>
        <v>10.201794</v>
      </c>
      <c r="HO40" s="311">
        <f t="shared" ref="HO40:HO71" si="207">HP40+HQ40</f>
        <v>285.45525125</v>
      </c>
      <c r="HP40" s="311">
        <f t="shared" si="127"/>
        <v>262.58916125000002</v>
      </c>
      <c r="HQ40" s="311">
        <f t="shared" ref="HQ40:HQ71" si="208">IFERROR($FL40*$CN40,0)</f>
        <v>22.866090000000003</v>
      </c>
      <c r="HR40" s="311">
        <f t="shared" ref="HR40:HR71" si="209">HS40+HT40</f>
        <v>613.07026300000007</v>
      </c>
      <c r="HS40" s="311">
        <f t="shared" si="128"/>
        <v>524.65471500000001</v>
      </c>
      <c r="HT40" s="311">
        <f t="shared" ref="HT40:HT71" si="210">IFERROR($FL40*$CO40,0)</f>
        <v>88.415548000000001</v>
      </c>
      <c r="HU40" s="311">
        <f t="shared" ref="HU40:HU71" si="211">HV40+HW40</f>
        <v>304.79533825000004</v>
      </c>
      <c r="HV40" s="311">
        <f t="shared" si="129"/>
        <v>263.63637625000001</v>
      </c>
      <c r="HW40" s="311">
        <f t="shared" ref="HW40:HW71" si="212">IFERROR($FL40*$CP40,0)</f>
        <v>41.15896200000001</v>
      </c>
      <c r="HY40" s="313">
        <f t="shared" ref="HY40:HY71" si="213">SUM(HZ40:ID40)</f>
        <v>6060.0000000000009</v>
      </c>
      <c r="HZ40" s="313">
        <f t="shared" ref="HZ40:HZ71" si="214">IFERROR(IO40*BE40,0)+IFERROR(IY40*BF40,0)+IFERROR(JI40*BG40,0)+IFERROR(JS40*BH40,0)</f>
        <v>70.3566</v>
      </c>
      <c r="IA40" s="313">
        <f t="shared" ref="IA40:IA71" si="215">IFERROR(IP40*BE40,0)+IFERROR(IZ40*BF40,0)+IFERROR(JJ40*BG40,0)+IFERROR(JT40*BH40,0)</f>
        <v>1845.3306000000002</v>
      </c>
      <c r="IB40" s="313">
        <f t="shared" ref="IB40:IB71" si="216">IFERROR(IQ40*BE40,0)+IFERROR(JA40*BF40,0)+IFERROR(JK40*BG40,0)+IFERROR(JU40*BH40,0)</f>
        <v>3017.0922</v>
      </c>
      <c r="IC40" s="313">
        <f t="shared" ref="IC40:IC71" si="217">IFERROR(IR40*BE40,0)+IFERROR(JB40*BF40,0)+IFERROR(JL40*BG40,0)+IFERROR(JV40*BH40,0)</f>
        <v>1030.0586000000001</v>
      </c>
      <c r="ID40" s="313">
        <f t="shared" ref="ID40:ID71" si="218">IFERROR(IS40*BE40,0)+IFERROR(JC40*BF40,0)+IFERROR(JM40*BG40,0)+IFERROR(JW40*BH40,0)</f>
        <v>97.162000000000006</v>
      </c>
      <c r="IE40" s="313">
        <f t="shared" ref="IE40:IE71" si="219">SUM(IF40:IJ40)</f>
        <v>2390.4924864043833</v>
      </c>
      <c r="IF40" s="313">
        <f t="shared" ref="IF40:IF71" si="220">IFERROR(IT40*FB40,0)+IFERROR(JD40*FE40,0)+IFERROR(JN40*FH40,0)+IFERROR(JX40*FK40,0)</f>
        <v>0</v>
      </c>
      <c r="IG40" s="313">
        <f t="shared" ref="IG40:IG71" si="221">IFERROR(IU40*FB40,0)+IFERROR(JE40*FE40,0)+IFERROR(JO40*FH40,0)+IFERROR(JY40*FK40,0)</f>
        <v>640.13533452771344</v>
      </c>
      <c r="IH40" s="313">
        <f t="shared" ref="IH40:IH71" si="222">IFERROR(IV40*FB40,0)+IFERROR(JF40*FE40,0)+IFERROR(JP40*FH40,0)+IFERROR(JZ40*FK40,0)</f>
        <v>1235.4157395520101</v>
      </c>
      <c r="II40" s="313">
        <f t="shared" ref="II40:II71" si="223">IFERROR(IW40*FB40,0)+IFERROR(JG40*FE40,0)+IFERROR(JQ40*FH40,0)+IFERROR(KA40*FK40,0)</f>
        <v>463.03772440023675</v>
      </c>
      <c r="IJ40" s="313">
        <f t="shared" ref="IJ40:IJ71" si="224">IFERROR(IX40*FB40,0)+IFERROR(JH40*FE40,0)+IFERROR(JR40*FH40,0)+IFERROR(KB40*FK40,0)</f>
        <v>51.903687924423267</v>
      </c>
      <c r="IK40" s="866">
        <v>4.1500000000000004</v>
      </c>
      <c r="IL40" s="314" t="s">
        <v>2589</v>
      </c>
      <c r="IM40" s="299" t="s">
        <v>3262</v>
      </c>
      <c r="IN40" s="657"/>
      <c r="IO40" s="730">
        <v>0.01</v>
      </c>
      <c r="IP40" s="730">
        <v>0.28000000000000003</v>
      </c>
      <c r="IQ40" s="730">
        <v>0.5</v>
      </c>
      <c r="IR40" s="730">
        <v>0.19</v>
      </c>
      <c r="IS40" s="730">
        <v>0.02</v>
      </c>
      <c r="IT40" s="730">
        <v>0</v>
      </c>
      <c r="IU40" s="730">
        <v>0.24129999999999999</v>
      </c>
      <c r="IV40" s="730">
        <v>0.51870000000000005</v>
      </c>
      <c r="IW40" s="730">
        <v>0.2142</v>
      </c>
      <c r="IX40" s="730">
        <v>2.58E-2</v>
      </c>
      <c r="IY40" s="730">
        <v>0</v>
      </c>
      <c r="IZ40" s="730">
        <v>0</v>
      </c>
      <c r="JA40" s="730">
        <v>0</v>
      </c>
      <c r="JB40" s="730">
        <v>0</v>
      </c>
      <c r="JC40" s="730">
        <v>0</v>
      </c>
      <c r="JD40" s="730">
        <v>0</v>
      </c>
      <c r="JE40" s="730">
        <v>0</v>
      </c>
      <c r="JF40" s="730">
        <v>0</v>
      </c>
      <c r="JG40" s="730">
        <v>0</v>
      </c>
      <c r="JH40" s="730">
        <v>0</v>
      </c>
      <c r="JI40" s="730">
        <v>2.0899999999999998E-2</v>
      </c>
      <c r="JJ40" s="730">
        <v>0.43930000000000002</v>
      </c>
      <c r="JK40" s="730">
        <v>0.43580000000000002</v>
      </c>
      <c r="JL40" s="730">
        <v>9.9400000000000002E-2</v>
      </c>
      <c r="JM40" s="730">
        <v>4.5999999999999999E-3</v>
      </c>
      <c r="JN40" s="730">
        <v>0</v>
      </c>
      <c r="JO40" s="730">
        <v>0.40210000000000001</v>
      </c>
      <c r="JP40" s="730">
        <v>0.46060000000000001</v>
      </c>
      <c r="JQ40" s="730">
        <v>0.12659999999999999</v>
      </c>
      <c r="JR40" s="730">
        <v>1.0699999999999999E-2</v>
      </c>
      <c r="JS40" s="730">
        <v>1.12E-2</v>
      </c>
      <c r="JT40" s="730">
        <v>0.29980000000000001</v>
      </c>
      <c r="JU40" s="730">
        <v>0.50990000000000002</v>
      </c>
      <c r="JV40" s="730">
        <v>0.16470000000000001</v>
      </c>
      <c r="JW40" s="730">
        <v>1.44E-2</v>
      </c>
      <c r="JX40" s="730">
        <v>0</v>
      </c>
      <c r="JY40" s="730">
        <v>0.2611</v>
      </c>
      <c r="JZ40" s="730">
        <v>0.52900000000000003</v>
      </c>
      <c r="KA40" s="730">
        <v>0.18959999999999999</v>
      </c>
      <c r="KB40" s="730">
        <v>2.0299999999999999E-2</v>
      </c>
      <c r="KC40" s="657"/>
      <c r="KD40" s="314" t="s">
        <v>2590</v>
      </c>
      <c r="KE40" s="314" t="s">
        <v>2591</v>
      </c>
      <c r="KF40" s="866">
        <v>4.0999999999999996</v>
      </c>
      <c r="KG40" s="314" t="s">
        <v>2589</v>
      </c>
      <c r="KH40" s="315" t="s">
        <v>3207</v>
      </c>
      <c r="KI40" s="314" t="s">
        <v>3208</v>
      </c>
      <c r="KJ40" s="315" t="s">
        <v>3263</v>
      </c>
    </row>
    <row r="41" spans="1:296" ht="48" hidden="1" customHeight="1">
      <c r="A41" s="265">
        <f t="shared" ref="A41:A72" si="225">A40+1</f>
        <v>34</v>
      </c>
      <c r="B41" s="266" t="s">
        <v>2880</v>
      </c>
      <c r="C41" s="266" t="s">
        <v>1435</v>
      </c>
      <c r="D41" s="624" t="s">
        <v>3264</v>
      </c>
      <c r="E41" s="267" t="s">
        <v>3265</v>
      </c>
      <c r="F41" s="267" t="s">
        <v>300</v>
      </c>
      <c r="G41" s="267" t="s">
        <v>300</v>
      </c>
      <c r="H41" s="267" t="s">
        <v>2109</v>
      </c>
      <c r="I41" s="268" t="s">
        <v>3266</v>
      </c>
      <c r="J41" s="268" t="s">
        <v>3267</v>
      </c>
      <c r="K41" s="269" t="s">
        <v>2097</v>
      </c>
      <c r="L41" s="269" t="s">
        <v>2109</v>
      </c>
      <c r="M41" s="269" t="s">
        <v>2603</v>
      </c>
      <c r="N41" s="269" t="s">
        <v>2099</v>
      </c>
      <c r="O41" s="267" t="s">
        <v>2616</v>
      </c>
      <c r="P41" s="268"/>
      <c r="Q41" s="270">
        <v>1</v>
      </c>
      <c r="R41" s="271">
        <v>1800</v>
      </c>
      <c r="S41" s="272">
        <v>1300</v>
      </c>
      <c r="T41" s="272">
        <v>1280</v>
      </c>
      <c r="U41" s="272">
        <v>1240</v>
      </c>
      <c r="V41" s="272">
        <v>1180</v>
      </c>
      <c r="W41" s="272">
        <v>1120</v>
      </c>
      <c r="X41" s="272">
        <v>1110</v>
      </c>
      <c r="Y41" s="272">
        <v>1120</v>
      </c>
      <c r="Z41" s="272">
        <v>1130</v>
      </c>
      <c r="AA41" s="272">
        <v>1140</v>
      </c>
      <c r="AB41" s="272">
        <v>1150</v>
      </c>
      <c r="AC41" s="272">
        <v>1170</v>
      </c>
      <c r="AD41" s="272">
        <v>1190</v>
      </c>
      <c r="AE41" s="272">
        <v>1210</v>
      </c>
      <c r="AF41" s="272">
        <v>1230</v>
      </c>
      <c r="AG41" s="272">
        <v>1240</v>
      </c>
      <c r="AH41" s="272">
        <v>1250</v>
      </c>
      <c r="AI41" s="272">
        <v>1260</v>
      </c>
      <c r="AJ41" s="272">
        <v>1270</v>
      </c>
      <c r="AK41" s="272">
        <v>1280</v>
      </c>
      <c r="AL41" s="268" t="s">
        <v>3268</v>
      </c>
      <c r="AM41" s="268" t="s">
        <v>3253</v>
      </c>
      <c r="AN41" s="268" t="s">
        <v>2148</v>
      </c>
      <c r="AO41" s="657"/>
      <c r="AP41" s="271">
        <v>220</v>
      </c>
      <c r="AQ41" s="280">
        <v>180</v>
      </c>
      <c r="AR41" s="280">
        <v>30</v>
      </c>
      <c r="AS41" s="280">
        <v>10</v>
      </c>
      <c r="AT41" s="657"/>
      <c r="AU41" s="301" t="s">
        <v>3269</v>
      </c>
      <c r="AV41" s="572" t="s">
        <v>3270</v>
      </c>
      <c r="AW41" s="645" t="s">
        <v>3271</v>
      </c>
      <c r="AX41" s="290" t="s">
        <v>2670</v>
      </c>
      <c r="AY41" s="657"/>
      <c r="AZ41" s="948">
        <v>8</v>
      </c>
      <c r="BA41" s="948">
        <v>0</v>
      </c>
      <c r="BB41" s="948">
        <v>2</v>
      </c>
      <c r="BC41" s="948">
        <v>7</v>
      </c>
      <c r="BD41" s="825">
        <f t="shared" si="130"/>
        <v>20910</v>
      </c>
      <c r="BE41" s="304">
        <f t="shared" si="131"/>
        <v>9840</v>
      </c>
      <c r="BF41" s="304">
        <f t="shared" si="132"/>
        <v>0</v>
      </c>
      <c r="BG41" s="304">
        <f t="shared" si="133"/>
        <v>2460</v>
      </c>
      <c r="BH41" s="304">
        <f t="shared" si="134"/>
        <v>8610</v>
      </c>
      <c r="BI41" s="825">
        <f t="shared" si="135"/>
        <v>21760</v>
      </c>
      <c r="BJ41" s="304">
        <f t="shared" si="136"/>
        <v>10240</v>
      </c>
      <c r="BK41" s="304">
        <f t="shared" si="137"/>
        <v>0</v>
      </c>
      <c r="BL41" s="304">
        <f t="shared" si="138"/>
        <v>2560</v>
      </c>
      <c r="BM41" s="304">
        <f t="shared" si="139"/>
        <v>8960</v>
      </c>
      <c r="BN41" s="657"/>
      <c r="BO41" s="284">
        <v>0.1</v>
      </c>
      <c r="BP41" s="284">
        <v>0.76</v>
      </c>
      <c r="BQ41" s="284">
        <v>0.08</v>
      </c>
      <c r="BR41" s="710">
        <v>0.06</v>
      </c>
      <c r="BS41" s="707">
        <v>0.08</v>
      </c>
      <c r="BT41" s="284">
        <v>0.76</v>
      </c>
      <c r="BU41" s="284">
        <v>0.1</v>
      </c>
      <c r="BV41" s="710">
        <v>0.06</v>
      </c>
      <c r="BW41" s="714"/>
      <c r="BX41" s="285"/>
      <c r="BY41" s="717"/>
      <c r="BZ41" s="714"/>
      <c r="CA41" s="285"/>
      <c r="CB41" s="717"/>
      <c r="CC41" s="284">
        <v>0.05</v>
      </c>
      <c r="CD41" s="284">
        <v>0.55000000000000004</v>
      </c>
      <c r="CE41" s="284">
        <v>0.1</v>
      </c>
      <c r="CF41" s="710">
        <v>0.3</v>
      </c>
      <c r="CG41" s="707">
        <v>0.04</v>
      </c>
      <c r="CH41" s="284">
        <v>0.55000000000000004</v>
      </c>
      <c r="CI41" s="284">
        <v>0.12</v>
      </c>
      <c r="CJ41" s="710">
        <v>0.28999999999999998</v>
      </c>
      <c r="CK41" s="720">
        <v>0.25</v>
      </c>
      <c r="CL41" s="286">
        <v>0.55000000000000004</v>
      </c>
      <c r="CM41" s="718">
        <v>0.2</v>
      </c>
      <c r="CN41" s="720">
        <v>0.15</v>
      </c>
      <c r="CO41" s="286">
        <v>0.57999999999999996</v>
      </c>
      <c r="CP41" s="718">
        <v>0.27</v>
      </c>
      <c r="CQ41" s="657"/>
      <c r="CR41" s="807">
        <v>10</v>
      </c>
      <c r="CS41" s="808">
        <v>11</v>
      </c>
      <c r="CT41" s="808">
        <v>8</v>
      </c>
      <c r="CU41" s="809">
        <v>10</v>
      </c>
      <c r="CV41" s="807"/>
      <c r="CW41" s="808"/>
      <c r="CX41" s="809"/>
      <c r="CY41" s="807">
        <v>8</v>
      </c>
      <c r="CZ41" s="808">
        <v>10</v>
      </c>
      <c r="DA41" s="808">
        <v>7</v>
      </c>
      <c r="DB41" s="809">
        <v>9</v>
      </c>
      <c r="DC41" s="807">
        <v>10</v>
      </c>
      <c r="DD41" s="808">
        <v>11</v>
      </c>
      <c r="DE41" s="809">
        <v>8</v>
      </c>
      <c r="DF41" s="610" t="s">
        <v>3272</v>
      </c>
      <c r="DG41" s="657"/>
      <c r="DH41" s="288">
        <f t="shared" si="140"/>
        <v>984</v>
      </c>
      <c r="DI41" s="288">
        <f t="shared" si="141"/>
        <v>7478.4</v>
      </c>
      <c r="DJ41" s="288">
        <f t="shared" si="142"/>
        <v>787.2</v>
      </c>
      <c r="DK41" s="288">
        <f t="shared" si="143"/>
        <v>590.4</v>
      </c>
      <c r="DL41" s="560" t="s">
        <v>3273</v>
      </c>
      <c r="DM41" s="288">
        <f t="shared" si="144"/>
        <v>819.2</v>
      </c>
      <c r="DN41" s="288">
        <f t="shared" si="145"/>
        <v>7782.4</v>
      </c>
      <c r="DO41" s="288">
        <f t="shared" si="146"/>
        <v>1024</v>
      </c>
      <c r="DP41" s="288">
        <f t="shared" si="147"/>
        <v>614.4</v>
      </c>
      <c r="DQ41" s="561" t="s">
        <v>2644</v>
      </c>
      <c r="DR41" s="657"/>
      <c r="DS41" s="288">
        <f t="shared" si="148"/>
        <v>0</v>
      </c>
      <c r="DT41" s="288">
        <f t="shared" si="149"/>
        <v>0</v>
      </c>
      <c r="DU41" s="288">
        <f t="shared" si="150"/>
        <v>0</v>
      </c>
      <c r="DV41" s="561" t="s">
        <v>2613</v>
      </c>
      <c r="DW41" s="288">
        <f t="shared" si="151"/>
        <v>0</v>
      </c>
      <c r="DX41" s="288">
        <f t="shared" si="152"/>
        <v>0</v>
      </c>
      <c r="DY41" s="288">
        <f t="shared" si="153"/>
        <v>0</v>
      </c>
      <c r="DZ41" s="561" t="s">
        <v>2613</v>
      </c>
      <c r="EA41" s="657"/>
      <c r="EB41" s="288">
        <f t="shared" si="154"/>
        <v>123</v>
      </c>
      <c r="EC41" s="288">
        <f t="shared" si="155"/>
        <v>1353</v>
      </c>
      <c r="ED41" s="288">
        <f t="shared" si="156"/>
        <v>246</v>
      </c>
      <c r="EE41" s="288">
        <f t="shared" si="157"/>
        <v>738</v>
      </c>
      <c r="EF41" s="561" t="s">
        <v>3274</v>
      </c>
      <c r="EG41" s="288">
        <f t="shared" si="158"/>
        <v>102.4</v>
      </c>
      <c r="EH41" s="288">
        <f t="shared" si="159"/>
        <v>1408</v>
      </c>
      <c r="EI41" s="288">
        <f t="shared" si="160"/>
        <v>307.2</v>
      </c>
      <c r="EJ41" s="288">
        <f t="shared" si="161"/>
        <v>742.4</v>
      </c>
      <c r="EK41" s="561" t="s">
        <v>2983</v>
      </c>
      <c r="EL41" s="657"/>
      <c r="EM41" s="288">
        <f t="shared" si="162"/>
        <v>2152.5</v>
      </c>
      <c r="EN41" s="291">
        <f t="shared" si="163"/>
        <v>4735.5</v>
      </c>
      <c r="EO41" s="291">
        <f t="shared" si="164"/>
        <v>1722</v>
      </c>
      <c r="EP41" s="561" t="s">
        <v>3275</v>
      </c>
      <c r="EQ41" s="288">
        <f t="shared" si="165"/>
        <v>1344</v>
      </c>
      <c r="ER41" s="291">
        <f t="shared" si="166"/>
        <v>5196.7999999999993</v>
      </c>
      <c r="ES41" s="291">
        <f t="shared" si="167"/>
        <v>2419.2000000000003</v>
      </c>
      <c r="ET41" s="561" t="s">
        <v>2985</v>
      </c>
      <c r="EU41" s="657"/>
      <c r="EV41" s="740">
        <f t="shared" si="168"/>
        <v>0.7960724199011826</v>
      </c>
      <c r="EW41" s="740">
        <f t="shared" si="169"/>
        <v>0.20392758009881745</v>
      </c>
      <c r="EX41" s="563">
        <f t="shared" si="170"/>
        <v>9612.8292163820352</v>
      </c>
      <c r="EY41" s="563">
        <f t="shared" si="171"/>
        <v>7652.5082163820352</v>
      </c>
      <c r="EZ41" s="563">
        <f t="shared" si="172"/>
        <v>1960.3210000000001</v>
      </c>
      <c r="FA41" s="563">
        <f t="shared" si="173"/>
        <v>4390.0716007272731</v>
      </c>
      <c r="FB41" s="563">
        <f t="shared" si="174"/>
        <v>3467.5676007272732</v>
      </c>
      <c r="FC41" s="563">
        <f t="shared" si="175"/>
        <v>922.50400000000002</v>
      </c>
      <c r="FD41" s="563">
        <f t="shared" si="176"/>
        <v>0</v>
      </c>
      <c r="FE41" s="563">
        <f t="shared" si="177"/>
        <v>0</v>
      </c>
      <c r="FF41" s="563">
        <f t="shared" si="178"/>
        <v>0</v>
      </c>
      <c r="FG41" s="563">
        <f t="shared" si="179"/>
        <v>1222.567803154762</v>
      </c>
      <c r="FH41" s="563">
        <f t="shared" si="180"/>
        <v>991.94180315476206</v>
      </c>
      <c r="FI41" s="563">
        <f t="shared" si="181"/>
        <v>230.626</v>
      </c>
      <c r="FJ41" s="563">
        <f t="shared" si="182"/>
        <v>4000.1898124999998</v>
      </c>
      <c r="FK41" s="563">
        <f t="shared" si="183"/>
        <v>3192.9988125</v>
      </c>
      <c r="FL41" s="563">
        <f t="shared" si="184"/>
        <v>807.19100000000003</v>
      </c>
      <c r="FM41" s="529"/>
      <c r="FN41" s="564" t="s">
        <v>2649</v>
      </c>
      <c r="FO41" s="740">
        <v>5.3100000000000001E-2</v>
      </c>
      <c r="FP41" s="741">
        <v>0.80554999999999999</v>
      </c>
      <c r="FQ41" s="565" t="s">
        <v>3203</v>
      </c>
      <c r="FR41" s="529"/>
      <c r="FS41" s="867">
        <v>3.61</v>
      </c>
      <c r="FT41" s="566">
        <f>RANK($FS41,$FS$8:$FS$154,0)+COUNTIF($FS$8:$FS41,$FS41)-1</f>
        <v>30</v>
      </c>
      <c r="FU41" s="867">
        <v>4.13</v>
      </c>
      <c r="FV41" s="566">
        <f>RANK($FU41,$FU$8:$FU$154,0)+COUNTIF($FU$8:$FU41,$FU41)-1</f>
        <v>63</v>
      </c>
      <c r="FW41" s="867">
        <v>2.69</v>
      </c>
      <c r="FX41" s="566">
        <f>RANK($FW41,$FW$8:$FW$154,0)+COUNTIF($FW$8:$FW41,$FW41)-1</f>
        <v>19</v>
      </c>
      <c r="FY41" s="529"/>
      <c r="FZ41" s="567" t="s">
        <v>3204</v>
      </c>
      <c r="GA41" s="567" t="s">
        <v>3276</v>
      </c>
      <c r="GB41" s="567" t="s">
        <v>2653</v>
      </c>
      <c r="GC41" s="567" t="s">
        <v>2654</v>
      </c>
      <c r="GD41" s="567" t="s">
        <v>2655</v>
      </c>
      <c r="GE41" s="567" t="s">
        <v>2656</v>
      </c>
      <c r="GF41" s="567" t="str">
        <f>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amp;CHAR(10)&amp;HYPERLINK("https://www.atout-france.fr/fr/catalogue/etudes-publications/investissements-touristiques-et-developpement-des-territoires-en-1","https://www.atout-france.fr/fr/catalogue/etudes-publications/investissements-touristiques-et-developpement-des-territoires-en-1")&amp;CHAR(10)&amp;HYPERLINK("https://www.atout-france.fr/fr/actualites/investissements-touristiques-vers-un-nouveau-cycle-plus-selectif-et-durable","https://www.atout-france.fr/fr/actualites/investissements-touristiques-vers-un-nouveau-cycle-plus-selectif-et-durable")&amp;CHAR(10)&amp;HYPERLINK("https://www.atout-france.fr/fr/actualites/bilan-touristique-de-lannee-2025-avec-102-millions-de-visiteurs-la-france-pays-le-plus","https://www.atout-france.fr/fr/actualites/bilan-touristique-de-lannee-2025-avec-102-millions-de-visiteurs-la-france-pays-le-plus")</f>
        <v>https://www.statistiques.developpement-durable.gouv.fr/construction-de-locaux-resultats-fin-janvier-2026-france-entiere
https://www.insee.fr/fr/statistiques/8671745
https://www.insee.fr/fr/statistiques/8906564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v>
      </c>
      <c r="GG41" s="529"/>
      <c r="GH41" s="563">
        <f t="shared" si="185"/>
        <v>435.97559999999999</v>
      </c>
      <c r="GI41" s="563">
        <f t="shared" si="116"/>
        <v>362.17527999999999</v>
      </c>
      <c r="GJ41" s="563">
        <f t="shared" si="186"/>
        <v>73.800319999999999</v>
      </c>
      <c r="GK41" s="563">
        <f t="shared" si="187"/>
        <v>3221.2149527272732</v>
      </c>
      <c r="GL41" s="563">
        <f t="shared" si="117"/>
        <v>2520.1119127272732</v>
      </c>
      <c r="GM41" s="563">
        <f t="shared" si="188"/>
        <v>701.10304000000008</v>
      </c>
      <c r="GN41" s="563">
        <f t="shared" si="189"/>
        <v>460.22564</v>
      </c>
      <c r="GO41" s="563">
        <f t="shared" si="118"/>
        <v>367.97523999999999</v>
      </c>
      <c r="GP41" s="563">
        <f t="shared" si="190"/>
        <v>92.250400000000013</v>
      </c>
      <c r="GQ41" s="563">
        <f t="shared" si="191"/>
        <v>272.65540799999997</v>
      </c>
      <c r="GR41" s="563">
        <f t="shared" si="119"/>
        <v>217.30516799999995</v>
      </c>
      <c r="GS41" s="563">
        <f t="shared" si="192"/>
        <v>55.350239999999999</v>
      </c>
      <c r="GT41" s="563">
        <f t="shared" si="193"/>
        <v>0</v>
      </c>
      <c r="GU41" s="563">
        <f t="shared" si="120"/>
        <v>0</v>
      </c>
      <c r="GV41" s="563">
        <f t="shared" si="194"/>
        <v>0</v>
      </c>
      <c r="GW41" s="563">
        <f t="shared" si="195"/>
        <v>0</v>
      </c>
      <c r="GX41" s="563">
        <f t="shared" si="121"/>
        <v>0</v>
      </c>
      <c r="GY41" s="563">
        <f t="shared" si="196"/>
        <v>0</v>
      </c>
      <c r="GZ41" s="563">
        <f t="shared" si="197"/>
        <v>0</v>
      </c>
      <c r="HA41" s="563">
        <f t="shared" si="122"/>
        <v>0</v>
      </c>
      <c r="HB41" s="563">
        <f t="shared" si="198"/>
        <v>0</v>
      </c>
      <c r="HC41" s="563">
        <f t="shared" si="199"/>
        <v>66.721171249999998</v>
      </c>
      <c r="HD41" s="563">
        <f t="shared" si="123"/>
        <v>57.496131249999998</v>
      </c>
      <c r="HE41" s="563">
        <f t="shared" si="200"/>
        <v>9.2250399999999999</v>
      </c>
      <c r="HF41" s="563">
        <f t="shared" si="201"/>
        <v>624.83531000000005</v>
      </c>
      <c r="HG41" s="563">
        <f t="shared" si="124"/>
        <v>497.99101000000002</v>
      </c>
      <c r="HH41" s="563">
        <f t="shared" si="202"/>
        <v>126.84430000000002</v>
      </c>
      <c r="HI41" s="563">
        <f t="shared" si="203"/>
        <v>160.70594857142859</v>
      </c>
      <c r="HJ41" s="563">
        <f t="shared" si="125"/>
        <v>133.0308285714286</v>
      </c>
      <c r="HK41" s="563">
        <f t="shared" si="204"/>
        <v>27.67512</v>
      </c>
      <c r="HL41" s="563">
        <f t="shared" si="205"/>
        <v>370.30537333333336</v>
      </c>
      <c r="HM41" s="563">
        <f t="shared" si="126"/>
        <v>303.42383333333333</v>
      </c>
      <c r="HN41" s="563">
        <f t="shared" si="206"/>
        <v>66.881540000000001</v>
      </c>
      <c r="HO41" s="563">
        <f t="shared" si="207"/>
        <v>913.33707500000003</v>
      </c>
      <c r="HP41" s="563">
        <f t="shared" si="127"/>
        <v>792.25842499999999</v>
      </c>
      <c r="HQ41" s="563">
        <f t="shared" si="208"/>
        <v>121.07865</v>
      </c>
      <c r="HR41" s="563">
        <f t="shared" si="209"/>
        <v>2063.96533</v>
      </c>
      <c r="HS41" s="563">
        <f t="shared" si="128"/>
        <v>1595.7945500000001</v>
      </c>
      <c r="HT41" s="563">
        <f t="shared" si="210"/>
        <v>468.17077999999998</v>
      </c>
      <c r="HU41" s="563">
        <f t="shared" si="211"/>
        <v>1022.8874074999999</v>
      </c>
      <c r="HV41" s="563">
        <f t="shared" si="129"/>
        <v>804.94583749999993</v>
      </c>
      <c r="HW41" s="563">
        <f t="shared" si="212"/>
        <v>217.94157000000001</v>
      </c>
      <c r="HX41" s="544"/>
      <c r="HY41" s="568">
        <f t="shared" si="213"/>
        <v>20910</v>
      </c>
      <c r="HZ41" s="568">
        <f t="shared" si="214"/>
        <v>246.24599999999998</v>
      </c>
      <c r="IA41" s="568">
        <f t="shared" si="215"/>
        <v>6417.1560000000009</v>
      </c>
      <c r="IB41" s="568">
        <f t="shared" si="216"/>
        <v>10382.307000000001</v>
      </c>
      <c r="IC41" s="568">
        <f t="shared" si="217"/>
        <v>3532.1909999999998</v>
      </c>
      <c r="ID41" s="568">
        <f t="shared" si="218"/>
        <v>332.1</v>
      </c>
      <c r="IE41" s="568">
        <f t="shared" si="219"/>
        <v>7652.5082163820362</v>
      </c>
      <c r="IF41" s="568">
        <f t="shared" si="220"/>
        <v>0</v>
      </c>
      <c r="IG41" s="568">
        <f t="shared" si="221"/>
        <v>2069.2758510477706</v>
      </c>
      <c r="IH41" s="568">
        <f t="shared" si="222"/>
        <v>3944.6120808428204</v>
      </c>
      <c r="II41" s="568">
        <f t="shared" si="223"/>
        <v>1473.7253872051747</v>
      </c>
      <c r="IJ41" s="568">
        <f t="shared" si="224"/>
        <v>164.89489728626961</v>
      </c>
      <c r="IK41" s="868">
        <v>4.1500000000000004</v>
      </c>
      <c r="IL41" s="569" t="s">
        <v>2589</v>
      </c>
      <c r="IM41" s="570" t="s">
        <v>3277</v>
      </c>
      <c r="IN41" s="529"/>
      <c r="IO41" s="742">
        <v>0.01</v>
      </c>
      <c r="IP41" s="742">
        <v>0.28000000000000003</v>
      </c>
      <c r="IQ41" s="742">
        <v>0.5</v>
      </c>
      <c r="IR41" s="742">
        <v>0.19</v>
      </c>
      <c r="IS41" s="742">
        <v>0.02</v>
      </c>
      <c r="IT41" s="742">
        <v>0</v>
      </c>
      <c r="IU41" s="742">
        <v>0.24129999999999999</v>
      </c>
      <c r="IV41" s="742">
        <v>0.51870000000000005</v>
      </c>
      <c r="IW41" s="742">
        <v>0.2142</v>
      </c>
      <c r="IX41" s="742">
        <v>2.58E-2</v>
      </c>
      <c r="IY41" s="742">
        <v>0</v>
      </c>
      <c r="IZ41" s="742">
        <v>0</v>
      </c>
      <c r="JA41" s="742">
        <v>0</v>
      </c>
      <c r="JB41" s="742">
        <v>0</v>
      </c>
      <c r="JC41" s="742">
        <v>0</v>
      </c>
      <c r="JD41" s="742">
        <v>0</v>
      </c>
      <c r="JE41" s="742">
        <v>0</v>
      </c>
      <c r="JF41" s="742">
        <v>0</v>
      </c>
      <c r="JG41" s="742">
        <v>0</v>
      </c>
      <c r="JH41" s="742">
        <v>0</v>
      </c>
      <c r="JI41" s="742">
        <v>2.0899999999999998E-2</v>
      </c>
      <c r="JJ41" s="742">
        <v>0.43930000000000002</v>
      </c>
      <c r="JK41" s="742">
        <v>0.43580000000000002</v>
      </c>
      <c r="JL41" s="742">
        <v>9.9400000000000002E-2</v>
      </c>
      <c r="JM41" s="742">
        <v>4.5999999999999999E-3</v>
      </c>
      <c r="JN41" s="742">
        <v>0</v>
      </c>
      <c r="JO41" s="742">
        <v>0.40210000000000001</v>
      </c>
      <c r="JP41" s="742">
        <v>0.46060000000000001</v>
      </c>
      <c r="JQ41" s="742">
        <v>0.12659999999999999</v>
      </c>
      <c r="JR41" s="742">
        <v>1.0699999999999999E-2</v>
      </c>
      <c r="JS41" s="742">
        <v>1.12E-2</v>
      </c>
      <c r="JT41" s="742">
        <v>0.29980000000000001</v>
      </c>
      <c r="JU41" s="742">
        <v>0.50990000000000002</v>
      </c>
      <c r="JV41" s="742">
        <v>0.16470000000000001</v>
      </c>
      <c r="JW41" s="742">
        <v>1.44E-2</v>
      </c>
      <c r="JX41" s="742">
        <v>0</v>
      </c>
      <c r="JY41" s="742">
        <v>0.2611</v>
      </c>
      <c r="JZ41" s="742">
        <v>0.52900000000000003</v>
      </c>
      <c r="KA41" s="742">
        <v>0.18959999999999999</v>
      </c>
      <c r="KB41" s="742">
        <v>2.0299999999999999E-2</v>
      </c>
      <c r="KC41" s="657"/>
      <c r="KD41" s="832" t="s">
        <v>2590</v>
      </c>
      <c r="KE41" s="832" t="s">
        <v>2591</v>
      </c>
      <c r="KF41" s="869">
        <v>4.0999999999999996</v>
      </c>
      <c r="KG41" s="832" t="s">
        <v>2589</v>
      </c>
      <c r="KH41" s="833" t="s">
        <v>3207</v>
      </c>
      <c r="KI41" s="832" t="s">
        <v>3208</v>
      </c>
      <c r="KJ41" s="833" t="s">
        <v>3278</v>
      </c>
    </row>
    <row r="42" spans="1:296" ht="48" hidden="1" customHeight="1">
      <c r="A42" s="273">
        <f t="shared" si="225"/>
        <v>35</v>
      </c>
      <c r="B42" s="274" t="s">
        <v>2880</v>
      </c>
      <c r="C42" s="274" t="s">
        <v>1435</v>
      </c>
      <c r="D42" s="274" t="s">
        <v>3279</v>
      </c>
      <c r="E42" s="275" t="s">
        <v>3265</v>
      </c>
      <c r="F42" s="275" t="s">
        <v>300</v>
      </c>
      <c r="G42" s="275" t="s">
        <v>300</v>
      </c>
      <c r="H42" s="275" t="s">
        <v>2109</v>
      </c>
      <c r="I42" s="276" t="s">
        <v>3280</v>
      </c>
      <c r="J42" s="276" t="s">
        <v>3281</v>
      </c>
      <c r="K42" s="277" t="s">
        <v>2097</v>
      </c>
      <c r="L42" s="277" t="s">
        <v>2109</v>
      </c>
      <c r="M42" s="277" t="s">
        <v>2603</v>
      </c>
      <c r="N42" s="277" t="s">
        <v>2099</v>
      </c>
      <c r="O42" s="275" t="s">
        <v>2616</v>
      </c>
      <c r="P42" s="276"/>
      <c r="Q42" s="270">
        <v>1</v>
      </c>
      <c r="R42" s="278">
        <v>900</v>
      </c>
      <c r="S42" s="279">
        <v>2400</v>
      </c>
      <c r="T42" s="279">
        <v>2200</v>
      </c>
      <c r="U42" s="279">
        <v>2000</v>
      </c>
      <c r="V42" s="279">
        <v>1750</v>
      </c>
      <c r="W42" s="279">
        <v>1700</v>
      </c>
      <c r="X42" s="279">
        <v>1650</v>
      </c>
      <c r="Y42" s="279">
        <v>1600</v>
      </c>
      <c r="Z42" s="279">
        <v>1550</v>
      </c>
      <c r="AA42" s="279">
        <v>1350</v>
      </c>
      <c r="AB42" s="279">
        <v>1325</v>
      </c>
      <c r="AC42" s="279">
        <v>1360</v>
      </c>
      <c r="AD42" s="279">
        <v>1380</v>
      </c>
      <c r="AE42" s="279">
        <v>1390</v>
      </c>
      <c r="AF42" s="279">
        <v>1400</v>
      </c>
      <c r="AG42" s="279">
        <v>1390</v>
      </c>
      <c r="AH42" s="279">
        <v>1380</v>
      </c>
      <c r="AI42" s="279">
        <v>1370</v>
      </c>
      <c r="AJ42" s="279">
        <v>1360</v>
      </c>
      <c r="AK42" s="279">
        <v>1350</v>
      </c>
      <c r="AL42" s="276" t="s">
        <v>3282</v>
      </c>
      <c r="AM42" s="276" t="s">
        <v>3283</v>
      </c>
      <c r="AN42" s="276" t="s">
        <v>2148</v>
      </c>
      <c r="AO42" s="657"/>
      <c r="AP42" s="278">
        <v>600</v>
      </c>
      <c r="AQ42" s="278">
        <v>510</v>
      </c>
      <c r="AR42" s="278">
        <v>60</v>
      </c>
      <c r="AS42" s="278">
        <v>30</v>
      </c>
      <c r="AT42" s="657"/>
      <c r="AU42" s="281" t="s">
        <v>3284</v>
      </c>
      <c r="AV42" s="296" t="s">
        <v>3285</v>
      </c>
      <c r="AW42" s="296" t="s">
        <v>3086</v>
      </c>
      <c r="AX42" s="276" t="s">
        <v>2670</v>
      </c>
      <c r="AY42" s="657"/>
      <c r="AZ42" s="947">
        <v>24</v>
      </c>
      <c r="BA42" s="947">
        <v>0</v>
      </c>
      <c r="BB42" s="947">
        <v>8</v>
      </c>
      <c r="BC42" s="947">
        <v>22</v>
      </c>
      <c r="BD42" s="826">
        <f t="shared" si="130"/>
        <v>75600</v>
      </c>
      <c r="BE42" s="283">
        <f t="shared" si="131"/>
        <v>33600</v>
      </c>
      <c r="BF42" s="283">
        <f t="shared" si="132"/>
        <v>0</v>
      </c>
      <c r="BG42" s="283">
        <f t="shared" si="133"/>
        <v>11200</v>
      </c>
      <c r="BH42" s="283">
        <f t="shared" si="134"/>
        <v>30800</v>
      </c>
      <c r="BI42" s="826">
        <f t="shared" si="135"/>
        <v>72900</v>
      </c>
      <c r="BJ42" s="283">
        <f t="shared" si="136"/>
        <v>32400</v>
      </c>
      <c r="BK42" s="283">
        <f t="shared" si="137"/>
        <v>0</v>
      </c>
      <c r="BL42" s="283">
        <f t="shared" si="138"/>
        <v>10800</v>
      </c>
      <c r="BM42" s="283">
        <f t="shared" si="139"/>
        <v>29700</v>
      </c>
      <c r="BN42" s="657"/>
      <c r="BO42" s="305">
        <v>0.1</v>
      </c>
      <c r="BP42" s="305">
        <v>0.76</v>
      </c>
      <c r="BQ42" s="305">
        <v>0.08</v>
      </c>
      <c r="BR42" s="581">
        <v>0.06</v>
      </c>
      <c r="BS42" s="706">
        <v>0.08</v>
      </c>
      <c r="BT42" s="305">
        <v>0.76</v>
      </c>
      <c r="BU42" s="305">
        <v>0.1</v>
      </c>
      <c r="BV42" s="581">
        <v>0.06</v>
      </c>
      <c r="BW42" s="713"/>
      <c r="BX42" s="306"/>
      <c r="BY42" s="590"/>
      <c r="BZ42" s="713"/>
      <c r="CA42" s="306"/>
      <c r="CB42" s="590"/>
      <c r="CC42" s="706">
        <v>0.05</v>
      </c>
      <c r="CD42" s="305">
        <v>0.55000000000000004</v>
      </c>
      <c r="CE42" s="305">
        <v>0.1</v>
      </c>
      <c r="CF42" s="581">
        <v>0.3</v>
      </c>
      <c r="CG42" s="706">
        <v>0.04</v>
      </c>
      <c r="CH42" s="305">
        <v>0.55000000000000004</v>
      </c>
      <c r="CI42" s="305">
        <v>0.12</v>
      </c>
      <c r="CJ42" s="581">
        <v>0.28999999999999998</v>
      </c>
      <c r="CK42" s="719">
        <v>0.25</v>
      </c>
      <c r="CL42" s="307">
        <v>0.55000000000000004</v>
      </c>
      <c r="CM42" s="723">
        <v>0.2</v>
      </c>
      <c r="CN42" s="719">
        <v>0.15</v>
      </c>
      <c r="CO42" s="307">
        <v>0.57999999999999996</v>
      </c>
      <c r="CP42" s="723">
        <v>0.27</v>
      </c>
      <c r="CQ42" s="657"/>
      <c r="CR42" s="804">
        <v>10</v>
      </c>
      <c r="CS42" s="805">
        <v>11</v>
      </c>
      <c r="CT42" s="805">
        <v>8</v>
      </c>
      <c r="CU42" s="806">
        <v>10</v>
      </c>
      <c r="CV42" s="804"/>
      <c r="CW42" s="805"/>
      <c r="CX42" s="806"/>
      <c r="CY42" s="804">
        <v>8</v>
      </c>
      <c r="CZ42" s="805">
        <v>10</v>
      </c>
      <c r="DA42" s="805">
        <v>7</v>
      </c>
      <c r="DB42" s="806">
        <v>9</v>
      </c>
      <c r="DC42" s="804">
        <v>10</v>
      </c>
      <c r="DD42" s="805">
        <v>11</v>
      </c>
      <c r="DE42" s="806">
        <v>8</v>
      </c>
      <c r="DF42" s="609" t="s">
        <v>3286</v>
      </c>
      <c r="DG42" s="657"/>
      <c r="DH42" s="308">
        <f t="shared" si="140"/>
        <v>3360</v>
      </c>
      <c r="DI42" s="308">
        <f t="shared" si="141"/>
        <v>25536</v>
      </c>
      <c r="DJ42" s="308">
        <f t="shared" si="142"/>
        <v>2688</v>
      </c>
      <c r="DK42" s="308">
        <f t="shared" si="143"/>
        <v>2016</v>
      </c>
      <c r="DL42" s="287" t="s">
        <v>3287</v>
      </c>
      <c r="DM42" s="308">
        <f t="shared" si="144"/>
        <v>2592</v>
      </c>
      <c r="DN42" s="308">
        <f t="shared" si="145"/>
        <v>24624</v>
      </c>
      <c r="DO42" s="308">
        <f t="shared" si="146"/>
        <v>3240</v>
      </c>
      <c r="DP42" s="308">
        <f t="shared" si="147"/>
        <v>1944</v>
      </c>
      <c r="DQ42" s="289" t="s">
        <v>2644</v>
      </c>
      <c r="DR42" s="657"/>
      <c r="DS42" s="308">
        <f t="shared" si="148"/>
        <v>0</v>
      </c>
      <c r="DT42" s="308">
        <f t="shared" si="149"/>
        <v>0</v>
      </c>
      <c r="DU42" s="308">
        <f t="shared" si="150"/>
        <v>0</v>
      </c>
      <c r="DV42" s="289" t="s">
        <v>2613</v>
      </c>
      <c r="DW42" s="308">
        <f t="shared" si="151"/>
        <v>0</v>
      </c>
      <c r="DX42" s="308">
        <f t="shared" si="152"/>
        <v>0</v>
      </c>
      <c r="DY42" s="308">
        <f t="shared" si="153"/>
        <v>0</v>
      </c>
      <c r="DZ42" s="289" t="s">
        <v>2613</v>
      </c>
      <c r="EA42" s="657"/>
      <c r="EB42" s="308">
        <f t="shared" si="154"/>
        <v>560</v>
      </c>
      <c r="EC42" s="308">
        <f t="shared" si="155"/>
        <v>6160.0000000000009</v>
      </c>
      <c r="ED42" s="308">
        <f t="shared" si="156"/>
        <v>1120</v>
      </c>
      <c r="EE42" s="308">
        <f t="shared" si="157"/>
        <v>3360</v>
      </c>
      <c r="EF42" s="289" t="s">
        <v>3288</v>
      </c>
      <c r="EG42" s="308">
        <f t="shared" si="158"/>
        <v>432</v>
      </c>
      <c r="EH42" s="308">
        <f t="shared" si="159"/>
        <v>5940.0000000000009</v>
      </c>
      <c r="EI42" s="308">
        <f t="shared" si="160"/>
        <v>1296</v>
      </c>
      <c r="EJ42" s="308">
        <f t="shared" si="161"/>
        <v>3132</v>
      </c>
      <c r="EK42" s="309" t="s">
        <v>2983</v>
      </c>
      <c r="EL42" s="657"/>
      <c r="EM42" s="308">
        <f t="shared" si="162"/>
        <v>7700</v>
      </c>
      <c r="EN42" s="310">
        <f t="shared" si="163"/>
        <v>16940</v>
      </c>
      <c r="EO42" s="310">
        <f t="shared" si="164"/>
        <v>6160</v>
      </c>
      <c r="EP42" s="289" t="s">
        <v>3289</v>
      </c>
      <c r="EQ42" s="308">
        <f t="shared" si="165"/>
        <v>4455</v>
      </c>
      <c r="ER42" s="310">
        <f t="shared" si="166"/>
        <v>17226</v>
      </c>
      <c r="ES42" s="310">
        <f t="shared" si="167"/>
        <v>8019.0000000000009</v>
      </c>
      <c r="ET42" s="289" t="s">
        <v>2985</v>
      </c>
      <c r="EU42" s="657"/>
      <c r="EV42" s="728">
        <f t="shared" si="168"/>
        <v>0.89475223039738316</v>
      </c>
      <c r="EW42" s="728">
        <f t="shared" si="169"/>
        <v>0.10524776960261677</v>
      </c>
      <c r="EX42" s="311">
        <f t="shared" si="170"/>
        <v>38141.995931666672</v>
      </c>
      <c r="EY42" s="311">
        <f t="shared" si="171"/>
        <v>34127.635931666671</v>
      </c>
      <c r="EZ42" s="311">
        <f t="shared" si="172"/>
        <v>4014.36</v>
      </c>
      <c r="FA42" s="311">
        <f t="shared" si="173"/>
        <v>16621.424340000001</v>
      </c>
      <c r="FB42" s="311">
        <f t="shared" si="174"/>
        <v>14837.26434</v>
      </c>
      <c r="FC42" s="311">
        <f t="shared" si="175"/>
        <v>1784.16</v>
      </c>
      <c r="FD42" s="311">
        <f t="shared" si="176"/>
        <v>0</v>
      </c>
      <c r="FE42" s="311">
        <f t="shared" si="177"/>
        <v>0</v>
      </c>
      <c r="FF42" s="311">
        <f t="shared" si="178"/>
        <v>0</v>
      </c>
      <c r="FG42" s="311">
        <f t="shared" si="179"/>
        <v>5913.4310041666677</v>
      </c>
      <c r="FH42" s="311">
        <f t="shared" si="180"/>
        <v>5318.7110041666674</v>
      </c>
      <c r="FI42" s="311">
        <f t="shared" si="181"/>
        <v>594.72</v>
      </c>
      <c r="FJ42" s="311">
        <f t="shared" si="182"/>
        <v>15607.1405875</v>
      </c>
      <c r="FK42" s="311">
        <f t="shared" si="183"/>
        <v>13971.6605875</v>
      </c>
      <c r="FL42" s="311">
        <f t="shared" si="184"/>
        <v>1635.48</v>
      </c>
      <c r="FM42" s="657"/>
      <c r="FN42" s="293" t="s">
        <v>2649</v>
      </c>
      <c r="FO42" s="728">
        <v>5.3100000000000001E-2</v>
      </c>
      <c r="FP42" s="729">
        <v>0.80554999999999999</v>
      </c>
      <c r="FQ42" s="294" t="s">
        <v>3203</v>
      </c>
      <c r="FR42" s="657"/>
      <c r="FS42" s="865">
        <v>3.61</v>
      </c>
      <c r="FT42" s="312">
        <f>RANK($FS42,$FS$8:$FS$154,0)+COUNTIF($FS$8:$FS42,$FS42)-1</f>
        <v>31</v>
      </c>
      <c r="FU42" s="865">
        <v>4.13</v>
      </c>
      <c r="FV42" s="312">
        <f>RANK($FU42,$FU$8:$FU$154,0)+COUNTIF($FU$8:$FU42,$FU42)-1</f>
        <v>64</v>
      </c>
      <c r="FW42" s="865">
        <v>2.69</v>
      </c>
      <c r="FX42" s="312">
        <f>RANK($FW42,$FW$8:$FW$154,0)+COUNTIF($FW$8:$FW42,$FW42)-1</f>
        <v>20</v>
      </c>
      <c r="FY42" s="657"/>
      <c r="FZ42" s="296" t="s">
        <v>3204</v>
      </c>
      <c r="GA42" s="296" t="s">
        <v>3290</v>
      </c>
      <c r="GB42" s="296" t="s">
        <v>2653</v>
      </c>
      <c r="GC42" s="296" t="s">
        <v>2654</v>
      </c>
      <c r="GD42" s="296" t="s">
        <v>2655</v>
      </c>
      <c r="GE42" s="296" t="s">
        <v>2656</v>
      </c>
      <c r="GF42" s="296" t="str">
        <f>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amp;CHAR(10)&amp;HYPERLINK("https://www.atout-france.fr/fr/catalogue/etudes-publications/investissements-touristiques-et-developpement-des-territoires-en-1","https://www.atout-france.fr/fr/catalogue/etudes-publications/investissements-touristiques-et-developpement-des-territoires-en-1")&amp;CHAR(10)&amp;HYPERLINK("https://www.atout-france.fr/fr/actualites/investissements-touristiques-vers-un-nouveau-cycle-plus-selectif-et-durable","https://www.atout-france.fr/fr/actualites/investissements-touristiques-vers-un-nouveau-cycle-plus-selectif-et-durable")&amp;CHAR(10)&amp;HYPERLINK("https://www.atout-france.fr/fr/actualites/bilan-touristique-de-lannee-2025-avec-102-millions-de-visiteurs-la-france-pays-le-plus","https://www.atout-france.fr/fr/actualites/bilan-touristique-de-lannee-2025-avec-102-millions-de-visiteurs-la-france-pays-le-plus")</f>
        <v>https://www.statistiques.developpement-durable.gouv.fr/construction-de-locaux-resultats-fin-janvier-2026-france-entiere
https://www.insee.fr/fr/statistiques/8671745
https://www.insee.fr/fr/statistiques/8906564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v>
      </c>
      <c r="GG42" s="657"/>
      <c r="GH42" s="311">
        <f t="shared" si="185"/>
        <v>1660.3890000000001</v>
      </c>
      <c r="GI42" s="311">
        <f t="shared" si="116"/>
        <v>1517.6562000000001</v>
      </c>
      <c r="GJ42" s="311">
        <f t="shared" si="186"/>
        <v>142.7328</v>
      </c>
      <c r="GK42" s="311">
        <f t="shared" si="187"/>
        <v>12375.8856</v>
      </c>
      <c r="GL42" s="311">
        <f t="shared" si="117"/>
        <v>11019.923999999999</v>
      </c>
      <c r="GM42" s="311">
        <f t="shared" si="188"/>
        <v>1355.9616000000001</v>
      </c>
      <c r="GN42" s="311">
        <f t="shared" si="189"/>
        <v>1567.5064199999999</v>
      </c>
      <c r="GO42" s="311">
        <f t="shared" si="118"/>
        <v>1389.09042</v>
      </c>
      <c r="GP42" s="311">
        <f t="shared" si="190"/>
        <v>178.41600000000003</v>
      </c>
      <c r="GQ42" s="311">
        <f t="shared" si="191"/>
        <v>1017.6433200000001</v>
      </c>
      <c r="GR42" s="311">
        <f t="shared" si="119"/>
        <v>910.59372000000008</v>
      </c>
      <c r="GS42" s="311">
        <f t="shared" si="192"/>
        <v>107.0496</v>
      </c>
      <c r="GT42" s="311">
        <f t="shared" si="193"/>
        <v>0</v>
      </c>
      <c r="GU42" s="311">
        <f t="shared" si="120"/>
        <v>0</v>
      </c>
      <c r="GV42" s="311">
        <f t="shared" si="194"/>
        <v>0</v>
      </c>
      <c r="GW42" s="311">
        <f t="shared" si="195"/>
        <v>0</v>
      </c>
      <c r="GX42" s="311">
        <f t="shared" si="121"/>
        <v>0</v>
      </c>
      <c r="GY42" s="311">
        <f t="shared" si="196"/>
        <v>0</v>
      </c>
      <c r="GZ42" s="311">
        <f t="shared" si="197"/>
        <v>0</v>
      </c>
      <c r="HA42" s="311">
        <f t="shared" si="122"/>
        <v>0</v>
      </c>
      <c r="HB42" s="311">
        <f t="shared" si="198"/>
        <v>0</v>
      </c>
      <c r="HC42" s="311">
        <f t="shared" si="199"/>
        <v>313.1826375</v>
      </c>
      <c r="HD42" s="311">
        <f t="shared" si="123"/>
        <v>289.39383750000002</v>
      </c>
      <c r="HE42" s="311">
        <f t="shared" si="200"/>
        <v>23.788800000000002</v>
      </c>
      <c r="HF42" s="311">
        <f t="shared" si="201"/>
        <v>3109.4657000000007</v>
      </c>
      <c r="HG42" s="311">
        <f t="shared" si="124"/>
        <v>2782.3697000000006</v>
      </c>
      <c r="HH42" s="311">
        <f t="shared" si="202"/>
        <v>327.09600000000006</v>
      </c>
      <c r="HI42" s="311">
        <f t="shared" si="203"/>
        <v>712.58420000000001</v>
      </c>
      <c r="HJ42" s="311">
        <f t="shared" si="125"/>
        <v>641.21780000000001</v>
      </c>
      <c r="HK42" s="311">
        <f t="shared" si="204"/>
        <v>71.366399999999999</v>
      </c>
      <c r="HL42" s="311">
        <f t="shared" si="205"/>
        <v>1778.1984666666667</v>
      </c>
      <c r="HM42" s="311">
        <f t="shared" si="126"/>
        <v>1605.7296666666668</v>
      </c>
      <c r="HN42" s="311">
        <f t="shared" si="206"/>
        <v>172.46879999999999</v>
      </c>
      <c r="HO42" s="311">
        <f t="shared" si="207"/>
        <v>3723.2841250000006</v>
      </c>
      <c r="HP42" s="311">
        <f t="shared" si="127"/>
        <v>3477.9621250000005</v>
      </c>
      <c r="HQ42" s="311">
        <f t="shared" si="208"/>
        <v>245.322</v>
      </c>
      <c r="HR42" s="311">
        <f t="shared" si="209"/>
        <v>8258.9446499999995</v>
      </c>
      <c r="HS42" s="311">
        <f t="shared" si="128"/>
        <v>7310.36625</v>
      </c>
      <c r="HT42" s="311">
        <f t="shared" si="210"/>
        <v>948.57839999999999</v>
      </c>
      <c r="HU42" s="311">
        <f t="shared" si="211"/>
        <v>3624.9118125</v>
      </c>
      <c r="HV42" s="311">
        <f t="shared" si="129"/>
        <v>3183.3322125</v>
      </c>
      <c r="HW42" s="311">
        <f t="shared" si="212"/>
        <v>441.57960000000003</v>
      </c>
      <c r="HY42" s="313">
        <f t="shared" si="213"/>
        <v>75599.999999999985</v>
      </c>
      <c r="HZ42" s="313">
        <f t="shared" si="214"/>
        <v>915.04</v>
      </c>
      <c r="IA42" s="313">
        <f t="shared" si="215"/>
        <v>23562</v>
      </c>
      <c r="IB42" s="313">
        <f t="shared" si="216"/>
        <v>37385.879999999997</v>
      </c>
      <c r="IC42" s="313">
        <f t="shared" si="217"/>
        <v>12570.04</v>
      </c>
      <c r="ID42" s="313">
        <f t="shared" si="218"/>
        <v>1167.04</v>
      </c>
      <c r="IE42" s="313">
        <f t="shared" si="219"/>
        <v>34127.635931666671</v>
      </c>
      <c r="IF42" s="313">
        <f t="shared" si="220"/>
        <v>0</v>
      </c>
      <c r="IG42" s="313">
        <f t="shared" si="221"/>
        <v>9366.886159413667</v>
      </c>
      <c r="IH42" s="313">
        <f t="shared" si="222"/>
        <v>17536.895752464668</v>
      </c>
      <c r="II42" s="313">
        <f t="shared" si="223"/>
        <v>6500.5176821455007</v>
      </c>
      <c r="IJ42" s="313">
        <f t="shared" si="224"/>
        <v>723.33633764283331</v>
      </c>
      <c r="IK42" s="866">
        <v>4.1500000000000004</v>
      </c>
      <c r="IL42" s="314" t="s">
        <v>2589</v>
      </c>
      <c r="IM42" s="299" t="s">
        <v>3291</v>
      </c>
      <c r="IN42" s="657"/>
      <c r="IO42" s="730">
        <v>0.01</v>
      </c>
      <c r="IP42" s="730">
        <v>0.28000000000000003</v>
      </c>
      <c r="IQ42" s="730">
        <v>0.5</v>
      </c>
      <c r="IR42" s="730">
        <v>0.19</v>
      </c>
      <c r="IS42" s="730">
        <v>0.02</v>
      </c>
      <c r="IT42" s="730">
        <v>0</v>
      </c>
      <c r="IU42" s="730">
        <v>0.24129999999999999</v>
      </c>
      <c r="IV42" s="730">
        <v>0.51870000000000005</v>
      </c>
      <c r="IW42" s="730">
        <v>0.2142</v>
      </c>
      <c r="IX42" s="730">
        <v>2.58E-2</v>
      </c>
      <c r="IY42" s="730">
        <v>0</v>
      </c>
      <c r="IZ42" s="730">
        <v>0</v>
      </c>
      <c r="JA42" s="730">
        <v>0</v>
      </c>
      <c r="JB42" s="730">
        <v>0</v>
      </c>
      <c r="JC42" s="730">
        <v>0</v>
      </c>
      <c r="JD42" s="730">
        <v>0</v>
      </c>
      <c r="JE42" s="730">
        <v>0</v>
      </c>
      <c r="JF42" s="730">
        <v>0</v>
      </c>
      <c r="JG42" s="730">
        <v>0</v>
      </c>
      <c r="JH42" s="730">
        <v>0</v>
      </c>
      <c r="JI42" s="730">
        <v>2.0899999999999998E-2</v>
      </c>
      <c r="JJ42" s="730">
        <v>0.43930000000000002</v>
      </c>
      <c r="JK42" s="730">
        <v>0.43580000000000002</v>
      </c>
      <c r="JL42" s="730">
        <v>9.9400000000000002E-2</v>
      </c>
      <c r="JM42" s="730">
        <v>4.5999999999999999E-3</v>
      </c>
      <c r="JN42" s="730">
        <v>0</v>
      </c>
      <c r="JO42" s="730">
        <v>0.40210000000000001</v>
      </c>
      <c r="JP42" s="730">
        <v>0.46060000000000001</v>
      </c>
      <c r="JQ42" s="730">
        <v>0.12659999999999999</v>
      </c>
      <c r="JR42" s="730">
        <v>1.0699999999999999E-2</v>
      </c>
      <c r="JS42" s="730">
        <v>1.12E-2</v>
      </c>
      <c r="JT42" s="730">
        <v>0.29980000000000001</v>
      </c>
      <c r="JU42" s="730">
        <v>0.50990000000000002</v>
      </c>
      <c r="JV42" s="730">
        <v>0.16470000000000001</v>
      </c>
      <c r="JW42" s="730">
        <v>1.44E-2</v>
      </c>
      <c r="JX42" s="730">
        <v>0</v>
      </c>
      <c r="JY42" s="730">
        <v>0.2611</v>
      </c>
      <c r="JZ42" s="730">
        <v>0.52900000000000003</v>
      </c>
      <c r="KA42" s="730">
        <v>0.18959999999999999</v>
      </c>
      <c r="KB42" s="730">
        <v>2.0299999999999999E-2</v>
      </c>
      <c r="KC42" s="657"/>
      <c r="KD42" s="314" t="s">
        <v>2590</v>
      </c>
      <c r="KE42" s="314" t="s">
        <v>2591</v>
      </c>
      <c r="KF42" s="866">
        <v>4.0999999999999996</v>
      </c>
      <c r="KG42" s="314" t="s">
        <v>2589</v>
      </c>
      <c r="KH42" s="315" t="s">
        <v>3207</v>
      </c>
      <c r="KI42" s="314" t="s">
        <v>3208</v>
      </c>
      <c r="KJ42" s="315" t="s">
        <v>3292</v>
      </c>
    </row>
    <row r="43" spans="1:296" ht="48" customHeight="1">
      <c r="A43" s="265">
        <f t="shared" si="225"/>
        <v>36</v>
      </c>
      <c r="B43" s="266" t="s">
        <v>2241</v>
      </c>
      <c r="C43" s="266" t="s">
        <v>1053</v>
      </c>
      <c r="D43" s="624" t="s">
        <v>1073</v>
      </c>
      <c r="E43" s="267" t="s">
        <v>2256</v>
      </c>
      <c r="F43" s="267" t="s">
        <v>300</v>
      </c>
      <c r="G43" s="267" t="s">
        <v>300</v>
      </c>
      <c r="H43" s="267" t="s">
        <v>2109</v>
      </c>
      <c r="I43" s="268" t="s">
        <v>3293</v>
      </c>
      <c r="J43" s="268" t="s">
        <v>3294</v>
      </c>
      <c r="K43" s="269" t="s">
        <v>2097</v>
      </c>
      <c r="L43" s="269" t="s">
        <v>2109</v>
      </c>
      <c r="M43" s="269" t="s">
        <v>2603</v>
      </c>
      <c r="N43" s="269" t="s">
        <v>2175</v>
      </c>
      <c r="O43" s="267" t="s">
        <v>2212</v>
      </c>
      <c r="P43" s="268"/>
      <c r="Q43" s="270">
        <v>1</v>
      </c>
      <c r="R43" s="271">
        <v>120000</v>
      </c>
      <c r="S43" s="272">
        <v>28</v>
      </c>
      <c r="T43" s="272">
        <v>29</v>
      </c>
      <c r="U43" s="272">
        <v>29</v>
      </c>
      <c r="V43" s="272">
        <v>30</v>
      </c>
      <c r="W43" s="272">
        <v>30</v>
      </c>
      <c r="X43" s="272">
        <v>30</v>
      </c>
      <c r="Y43" s="272">
        <v>31</v>
      </c>
      <c r="Z43" s="272">
        <v>31</v>
      </c>
      <c r="AA43" s="272">
        <v>31</v>
      </c>
      <c r="AB43" s="272">
        <v>32</v>
      </c>
      <c r="AC43" s="272">
        <v>32</v>
      </c>
      <c r="AD43" s="272">
        <v>33</v>
      </c>
      <c r="AE43" s="272">
        <v>33</v>
      </c>
      <c r="AF43" s="272">
        <v>33</v>
      </c>
      <c r="AG43" s="272">
        <v>33</v>
      </c>
      <c r="AH43" s="272">
        <v>33</v>
      </c>
      <c r="AI43" s="272">
        <v>33</v>
      </c>
      <c r="AJ43" s="272">
        <v>33</v>
      </c>
      <c r="AK43" s="272">
        <v>33</v>
      </c>
      <c r="AL43" s="268" t="s">
        <v>2177</v>
      </c>
      <c r="AM43" s="268" t="s">
        <v>3295</v>
      </c>
      <c r="AN43" s="268" t="s">
        <v>2334</v>
      </c>
      <c r="AO43" s="657"/>
      <c r="AP43" s="271">
        <v>1200</v>
      </c>
      <c r="AQ43" s="280">
        <v>660</v>
      </c>
      <c r="AR43" s="280">
        <v>300</v>
      </c>
      <c r="AS43" s="280">
        <v>240</v>
      </c>
      <c r="AT43" s="657"/>
      <c r="AU43" s="301" t="s">
        <v>3296</v>
      </c>
      <c r="AV43" s="572" t="s">
        <v>3297</v>
      </c>
      <c r="AW43" s="645" t="s">
        <v>3298</v>
      </c>
      <c r="AX43" s="290" t="s">
        <v>3299</v>
      </c>
      <c r="AY43" s="657"/>
      <c r="AZ43" s="948">
        <v>340</v>
      </c>
      <c r="BA43" s="948">
        <v>180</v>
      </c>
      <c r="BB43" s="948">
        <v>6</v>
      </c>
      <c r="BC43" s="948">
        <v>320</v>
      </c>
      <c r="BD43" s="825">
        <f t="shared" si="130"/>
        <v>27918</v>
      </c>
      <c r="BE43" s="304">
        <f t="shared" si="131"/>
        <v>11220</v>
      </c>
      <c r="BF43" s="304">
        <f t="shared" si="132"/>
        <v>5940</v>
      </c>
      <c r="BG43" s="304">
        <f t="shared" si="133"/>
        <v>198</v>
      </c>
      <c r="BH43" s="304">
        <f t="shared" si="134"/>
        <v>10560</v>
      </c>
      <c r="BI43" s="825">
        <f t="shared" si="135"/>
        <v>27918</v>
      </c>
      <c r="BJ43" s="304">
        <f t="shared" si="136"/>
        <v>11220</v>
      </c>
      <c r="BK43" s="304">
        <f t="shared" si="137"/>
        <v>5940</v>
      </c>
      <c r="BL43" s="304">
        <f t="shared" si="138"/>
        <v>198</v>
      </c>
      <c r="BM43" s="304">
        <f t="shared" si="139"/>
        <v>10560</v>
      </c>
      <c r="BN43" s="657"/>
      <c r="BO43" s="284">
        <v>0.48</v>
      </c>
      <c r="BP43" s="284">
        <v>0.22</v>
      </c>
      <c r="BQ43" s="284">
        <v>0.2</v>
      </c>
      <c r="BR43" s="710">
        <v>0.1</v>
      </c>
      <c r="BS43" s="707">
        <v>0.45</v>
      </c>
      <c r="BT43" s="284">
        <v>0.22</v>
      </c>
      <c r="BU43" s="284">
        <v>0.23</v>
      </c>
      <c r="BV43" s="710">
        <v>0.1</v>
      </c>
      <c r="BW43" s="714">
        <v>0.75</v>
      </c>
      <c r="BX43" s="285">
        <v>0.2</v>
      </c>
      <c r="BY43" s="717">
        <v>0.05</v>
      </c>
      <c r="BZ43" s="714">
        <v>0.72</v>
      </c>
      <c r="CA43" s="285">
        <v>0.22</v>
      </c>
      <c r="CB43" s="717">
        <v>0.06</v>
      </c>
      <c r="CC43" s="284">
        <v>0.25</v>
      </c>
      <c r="CD43" s="284">
        <v>0.4</v>
      </c>
      <c r="CE43" s="284">
        <v>0.2</v>
      </c>
      <c r="CF43" s="710">
        <v>0.15</v>
      </c>
      <c r="CG43" s="707">
        <v>0.22</v>
      </c>
      <c r="CH43" s="284">
        <v>0.4</v>
      </c>
      <c r="CI43" s="284">
        <v>0.23</v>
      </c>
      <c r="CJ43" s="710">
        <v>0.15</v>
      </c>
      <c r="CK43" s="720">
        <v>0.7</v>
      </c>
      <c r="CL43" s="286">
        <v>0.2</v>
      </c>
      <c r="CM43" s="718">
        <v>0.1</v>
      </c>
      <c r="CN43" s="720">
        <v>0.65</v>
      </c>
      <c r="CO43" s="286">
        <v>0.22</v>
      </c>
      <c r="CP43" s="718">
        <v>0.13</v>
      </c>
      <c r="CQ43" s="657"/>
      <c r="CR43" s="807">
        <v>12</v>
      </c>
      <c r="CS43" s="808">
        <v>11</v>
      </c>
      <c r="CT43" s="808">
        <v>8</v>
      </c>
      <c r="CU43" s="809">
        <v>10</v>
      </c>
      <c r="CV43" s="807">
        <v>11</v>
      </c>
      <c r="CW43" s="808">
        <v>10</v>
      </c>
      <c r="CX43" s="809">
        <v>8</v>
      </c>
      <c r="CY43" s="807">
        <v>10</v>
      </c>
      <c r="CZ43" s="808">
        <v>12</v>
      </c>
      <c r="DA43" s="808">
        <v>8</v>
      </c>
      <c r="DB43" s="809">
        <v>10</v>
      </c>
      <c r="DC43" s="807">
        <v>12</v>
      </c>
      <c r="DD43" s="808">
        <v>12</v>
      </c>
      <c r="DE43" s="809">
        <v>9</v>
      </c>
      <c r="DF43" s="610" t="s">
        <v>2846</v>
      </c>
      <c r="DG43" s="657"/>
      <c r="DH43" s="288">
        <f t="shared" si="140"/>
        <v>5385.5999999999995</v>
      </c>
      <c r="DI43" s="288">
        <f t="shared" si="141"/>
        <v>2468.4</v>
      </c>
      <c r="DJ43" s="288">
        <f t="shared" si="142"/>
        <v>2244</v>
      </c>
      <c r="DK43" s="288">
        <f t="shared" si="143"/>
        <v>1122</v>
      </c>
      <c r="DL43" s="560" t="s">
        <v>3300</v>
      </c>
      <c r="DM43" s="288">
        <f t="shared" si="144"/>
        <v>5049</v>
      </c>
      <c r="DN43" s="288">
        <f t="shared" si="145"/>
        <v>2468.4</v>
      </c>
      <c r="DO43" s="288">
        <f t="shared" si="146"/>
        <v>2580.6</v>
      </c>
      <c r="DP43" s="288">
        <f t="shared" si="147"/>
        <v>1122</v>
      </c>
      <c r="DQ43" s="561" t="s">
        <v>3301</v>
      </c>
      <c r="DR43" s="657"/>
      <c r="DS43" s="288">
        <f t="shared" si="148"/>
        <v>4455</v>
      </c>
      <c r="DT43" s="288">
        <f t="shared" si="149"/>
        <v>1188</v>
      </c>
      <c r="DU43" s="288">
        <f t="shared" si="150"/>
        <v>297</v>
      </c>
      <c r="DV43" s="561" t="s">
        <v>3302</v>
      </c>
      <c r="DW43" s="288">
        <f t="shared" si="151"/>
        <v>4276.8</v>
      </c>
      <c r="DX43" s="288">
        <f t="shared" si="152"/>
        <v>1306.8</v>
      </c>
      <c r="DY43" s="288">
        <f t="shared" si="153"/>
        <v>356.4</v>
      </c>
      <c r="DZ43" s="561" t="s">
        <v>3303</v>
      </c>
      <c r="EA43" s="657"/>
      <c r="EB43" s="288">
        <f t="shared" si="154"/>
        <v>49.5</v>
      </c>
      <c r="EC43" s="288">
        <f t="shared" si="155"/>
        <v>79.2</v>
      </c>
      <c r="ED43" s="288">
        <f t="shared" si="156"/>
        <v>39.6</v>
      </c>
      <c r="EE43" s="288">
        <f t="shared" si="157"/>
        <v>29.7</v>
      </c>
      <c r="EF43" s="561" t="s">
        <v>3304</v>
      </c>
      <c r="EG43" s="288">
        <f t="shared" si="158"/>
        <v>43.56</v>
      </c>
      <c r="EH43" s="288">
        <f t="shared" si="159"/>
        <v>79.2</v>
      </c>
      <c r="EI43" s="288">
        <f t="shared" si="160"/>
        <v>45.54</v>
      </c>
      <c r="EJ43" s="288">
        <f t="shared" si="161"/>
        <v>29.7</v>
      </c>
      <c r="EK43" s="561" t="s">
        <v>3305</v>
      </c>
      <c r="EL43" s="657"/>
      <c r="EM43" s="288">
        <f t="shared" si="162"/>
        <v>7391.9999999999991</v>
      </c>
      <c r="EN43" s="291">
        <f t="shared" si="163"/>
        <v>2112</v>
      </c>
      <c r="EO43" s="291">
        <f t="shared" si="164"/>
        <v>1056</v>
      </c>
      <c r="EP43" s="561" t="s">
        <v>3306</v>
      </c>
      <c r="EQ43" s="288">
        <f t="shared" si="165"/>
        <v>6864</v>
      </c>
      <c r="ER43" s="291">
        <f t="shared" si="166"/>
        <v>2323.1999999999998</v>
      </c>
      <c r="ES43" s="291">
        <f t="shared" si="167"/>
        <v>1372.8</v>
      </c>
      <c r="ET43" s="561" t="s">
        <v>3307</v>
      </c>
      <c r="EU43" s="657"/>
      <c r="EV43" s="740">
        <f t="shared" si="168"/>
        <v>0.77409540172908964</v>
      </c>
      <c r="EW43" s="740">
        <f t="shared" si="169"/>
        <v>0.22590459827091031</v>
      </c>
      <c r="EX43" s="563">
        <f t="shared" si="170"/>
        <v>13675.710470909093</v>
      </c>
      <c r="EY43" s="563">
        <f t="shared" si="171"/>
        <v>10586.304590909092</v>
      </c>
      <c r="EZ43" s="563">
        <f t="shared" si="172"/>
        <v>3089.4058800000003</v>
      </c>
      <c r="FA43" s="563">
        <f t="shared" si="173"/>
        <v>5677.0752000000002</v>
      </c>
      <c r="FB43" s="563">
        <f t="shared" si="174"/>
        <v>4435.47</v>
      </c>
      <c r="FC43" s="563">
        <f t="shared" si="175"/>
        <v>1241.6052</v>
      </c>
      <c r="FD43" s="563">
        <f t="shared" si="176"/>
        <v>2990.9119909090914</v>
      </c>
      <c r="FE43" s="563">
        <f t="shared" si="177"/>
        <v>2333.5915909090913</v>
      </c>
      <c r="FF43" s="563">
        <f t="shared" si="178"/>
        <v>657.32039999999995</v>
      </c>
      <c r="FG43" s="563">
        <f t="shared" si="179"/>
        <v>103.15367999999999</v>
      </c>
      <c r="FH43" s="563">
        <f t="shared" si="180"/>
        <v>81.242999999999995</v>
      </c>
      <c r="FI43" s="563">
        <f t="shared" si="181"/>
        <v>21.910679999999999</v>
      </c>
      <c r="FJ43" s="563">
        <f t="shared" si="182"/>
        <v>4904.5695999999998</v>
      </c>
      <c r="FK43" s="563">
        <f t="shared" si="183"/>
        <v>3736</v>
      </c>
      <c r="FL43" s="563">
        <f t="shared" si="184"/>
        <v>1168.5696</v>
      </c>
      <c r="FM43" s="529"/>
      <c r="FN43" s="564" t="s">
        <v>2649</v>
      </c>
      <c r="FO43" s="740">
        <v>0.11065999999999999</v>
      </c>
      <c r="FP43" s="741">
        <v>0.9</v>
      </c>
      <c r="FQ43" s="565" t="s">
        <v>3308</v>
      </c>
      <c r="FR43" s="529"/>
      <c r="FS43" s="867">
        <v>3.95</v>
      </c>
      <c r="FT43" s="566">
        <f>RANK($FS43,$FS$8:$FS$154,0)+COUNTIF($FS$8:$FS43,$FS43)-1</f>
        <v>3</v>
      </c>
      <c r="FU43" s="867">
        <v>4.58</v>
      </c>
      <c r="FV43" s="566">
        <f>RANK($FU43,$FU$8:$FU$154,0)+COUNTIF($FU$8:$FU43,$FU43)-1</f>
        <v>11</v>
      </c>
      <c r="FW43" s="867">
        <v>3.19</v>
      </c>
      <c r="FX43" s="566">
        <f>RANK($FW43,$FW$8:$FW$154,0)+COUNTIF($FW$8:$FW43,$FW43)-1</f>
        <v>5</v>
      </c>
      <c r="FY43" s="529"/>
      <c r="FZ43" s="567" t="s">
        <v>3309</v>
      </c>
      <c r="GA43" s="567" t="s">
        <v>3310</v>
      </c>
      <c r="GB43" s="567" t="s">
        <v>3311</v>
      </c>
      <c r="GC43" s="567" t="s">
        <v>3312</v>
      </c>
      <c r="GD43" s="567" t="s">
        <v>3313</v>
      </c>
      <c r="GE43" s="567" t="s">
        <v>3314</v>
      </c>
      <c r="GF43" s="567" t="str">
        <f>HYPERLINK("https://sante.gouv.fr/actualites-presse/presse/communiques-de-presse/article/campagne-tarifaire-et-budgetaire-2026-des-etablissements-de-sante-3-6-milliards","https://sante.gouv.fr/actualites-presse/presse/communiques-de-presse/article/campagne-tarifaire-et-budgetaire-2026-des-etablissements-de-sante-3-6-milliards")&amp;CHAR(10)&amp;HYPERLINK("https://sante.gouv.fr/systeme-de-sante/segur-de-la-sante/investissement-en-sante-une-nouvelle-politique-au-service-de-la-qualite-des-11226/csis","https://sante.gouv.fr/systeme-de-sante/segur-de-la-sante/investissement-en-sante-une-nouvelle-politique-au-service-de-la-qualite-des-11226/csis")&amp;CHAR(10)&amp;HYPERLINK("https://sante.gouv.fr/soins-et-maladies/qualite-securite-et-pertinence-des-soins/securite-des-prises-en-charge/securite-des-soins-et-des-patients/article/ameliorer-la-securite-des-patients-et-des-residents-la-1ere-feuille-de-route","https://sante.gouv.fr/soins-et-maladies/qualite-securite-et-pertinence-des-soins/securite-des-prises-en-charge/securite-des-soins-et-des-patients/article/ameliorer-la-securite-des-patients-et-des-residents-la-1ere-feuille-de-route")&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https://sante.gouv.fr/actualites-presse/presse/communiques-de-presse/article/campagne-tarifaire-et-budgetaire-2026-des-etablissements-de-sante-3-6-milliards
https://sante.gouv.fr/systeme-de-sante/segur-de-la-sante/investissement-en-sante-une-nouvelle-politique-au-service-de-la-qualite-des-11226/csis
https://sante.gouv.fr/soins-et-maladies/qualite-securite-et-pertinence-des-soins/securite-des-prises-en-charge/securite-des-soins-et-des-patients/article/ameliorer-la-securite-des-patients-et-des-residents-la-1ere-feuille-de-route
https://www.statistiques.developpement-durable.gouv.fr/construction-de-locaux-resultats-fin-janvier-2026-france-entiere
https://www.insee.fr/fr/statistiques/8671745
https://www.insee.fr/fr/statistiques/8906564</v>
      </c>
      <c r="GG43" s="529"/>
      <c r="GH43" s="563">
        <f t="shared" si="185"/>
        <v>2394.7223400000003</v>
      </c>
      <c r="GI43" s="563">
        <f t="shared" si="116"/>
        <v>1836</v>
      </c>
      <c r="GJ43" s="563">
        <f t="shared" si="186"/>
        <v>558.72234000000003</v>
      </c>
      <c r="GK43" s="563">
        <f t="shared" si="187"/>
        <v>1203.3931440000001</v>
      </c>
      <c r="GL43" s="563">
        <f t="shared" si="117"/>
        <v>930.24</v>
      </c>
      <c r="GM43" s="563">
        <f t="shared" si="188"/>
        <v>273.153144</v>
      </c>
      <c r="GN43" s="563">
        <f t="shared" si="189"/>
        <v>1486.6191959999999</v>
      </c>
      <c r="GO43" s="563">
        <f t="shared" si="118"/>
        <v>1201.05</v>
      </c>
      <c r="GP43" s="563">
        <f t="shared" si="190"/>
        <v>285.56919599999998</v>
      </c>
      <c r="GQ43" s="563">
        <f t="shared" si="191"/>
        <v>592.34051999999997</v>
      </c>
      <c r="GR43" s="563">
        <f t="shared" si="119"/>
        <v>468.18</v>
      </c>
      <c r="GS43" s="563">
        <f t="shared" si="192"/>
        <v>124.16052000000001</v>
      </c>
      <c r="GT43" s="563">
        <f t="shared" si="193"/>
        <v>2152.1797789090911</v>
      </c>
      <c r="GU43" s="563">
        <f t="shared" si="120"/>
        <v>1678.909090909091</v>
      </c>
      <c r="GV43" s="563">
        <f t="shared" si="194"/>
        <v>473.27068799999995</v>
      </c>
      <c r="GW43" s="563">
        <f t="shared" si="195"/>
        <v>640.33048800000006</v>
      </c>
      <c r="GX43" s="563">
        <f t="shared" si="121"/>
        <v>495.72</v>
      </c>
      <c r="GY43" s="563">
        <f t="shared" si="196"/>
        <v>144.610488</v>
      </c>
      <c r="GZ43" s="563">
        <f t="shared" si="197"/>
        <v>198.401724</v>
      </c>
      <c r="HA43" s="563">
        <f t="shared" si="122"/>
        <v>158.96250000000001</v>
      </c>
      <c r="HB43" s="563">
        <f t="shared" si="198"/>
        <v>39.439223999999996</v>
      </c>
      <c r="HC43" s="563">
        <f t="shared" si="199"/>
        <v>25.475349600000001</v>
      </c>
      <c r="HD43" s="563">
        <f t="shared" si="123"/>
        <v>20.655000000000001</v>
      </c>
      <c r="HE43" s="563">
        <f t="shared" si="200"/>
        <v>4.8203496000000001</v>
      </c>
      <c r="HF43" s="563">
        <f t="shared" si="201"/>
        <v>35.764272000000005</v>
      </c>
      <c r="HG43" s="563">
        <f t="shared" si="124"/>
        <v>27.000000000000004</v>
      </c>
      <c r="HH43" s="563">
        <f t="shared" si="202"/>
        <v>8.7642720000000001</v>
      </c>
      <c r="HI43" s="563">
        <f t="shared" si="203"/>
        <v>26.234456399999999</v>
      </c>
      <c r="HJ43" s="563">
        <f t="shared" si="125"/>
        <v>21.195</v>
      </c>
      <c r="HK43" s="563">
        <f t="shared" si="204"/>
        <v>5.0394563999999997</v>
      </c>
      <c r="HL43" s="563">
        <f t="shared" si="205"/>
        <v>15.679602000000001</v>
      </c>
      <c r="HM43" s="563">
        <f t="shared" si="126"/>
        <v>12.393000000000001</v>
      </c>
      <c r="HN43" s="563">
        <f t="shared" si="206"/>
        <v>3.2866019999999998</v>
      </c>
      <c r="HO43" s="563">
        <f t="shared" si="207"/>
        <v>3279.57024</v>
      </c>
      <c r="HP43" s="563">
        <f t="shared" si="127"/>
        <v>2520</v>
      </c>
      <c r="HQ43" s="563">
        <f t="shared" si="208"/>
        <v>759.57024000000001</v>
      </c>
      <c r="HR43" s="563">
        <f t="shared" si="209"/>
        <v>977.08531199999993</v>
      </c>
      <c r="HS43" s="563">
        <f t="shared" si="128"/>
        <v>720</v>
      </c>
      <c r="HT43" s="563">
        <f t="shared" si="210"/>
        <v>257.08531199999999</v>
      </c>
      <c r="HU43" s="563">
        <f t="shared" si="211"/>
        <v>647.91404799999998</v>
      </c>
      <c r="HV43" s="563">
        <f t="shared" si="129"/>
        <v>496</v>
      </c>
      <c r="HW43" s="563">
        <f t="shared" si="212"/>
        <v>151.91404800000001</v>
      </c>
      <c r="HX43" s="544"/>
      <c r="HY43" s="568">
        <f t="shared" si="213"/>
        <v>27917.999999999996</v>
      </c>
      <c r="HZ43" s="568">
        <f t="shared" si="214"/>
        <v>2.1581999999999999</v>
      </c>
      <c r="IA43" s="568">
        <f t="shared" si="215"/>
        <v>7212.8495999999996</v>
      </c>
      <c r="IB43" s="568">
        <f t="shared" si="216"/>
        <v>16677.995399999996</v>
      </c>
      <c r="IC43" s="568">
        <f t="shared" si="217"/>
        <v>4024.9967999999999</v>
      </c>
      <c r="ID43" s="568">
        <f t="shared" si="218"/>
        <v>0</v>
      </c>
      <c r="IE43" s="568">
        <f t="shared" si="219"/>
        <v>10586.304590909091</v>
      </c>
      <c r="IF43" s="568">
        <f t="shared" si="220"/>
        <v>0</v>
      </c>
      <c r="IG43" s="568">
        <f t="shared" si="221"/>
        <v>1426.0350508409092</v>
      </c>
      <c r="IH43" s="568">
        <f t="shared" si="222"/>
        <v>6225.5252670454547</v>
      </c>
      <c r="II43" s="568">
        <f t="shared" si="223"/>
        <v>2934.7442730227276</v>
      </c>
      <c r="IJ43" s="568">
        <f t="shared" si="224"/>
        <v>0</v>
      </c>
      <c r="IK43" s="868">
        <v>4.5999999999999996</v>
      </c>
      <c r="IL43" s="569" t="s">
        <v>2701</v>
      </c>
      <c r="IM43" s="570" t="s">
        <v>3315</v>
      </c>
      <c r="IN43" s="529"/>
      <c r="IO43" s="742">
        <v>0</v>
      </c>
      <c r="IP43" s="742">
        <v>0.22869999999999999</v>
      </c>
      <c r="IQ43" s="742">
        <v>0.60499999999999998</v>
      </c>
      <c r="IR43" s="742">
        <v>0.1663</v>
      </c>
      <c r="IS43" s="742">
        <v>0</v>
      </c>
      <c r="IT43" s="742">
        <v>0</v>
      </c>
      <c r="IU43" s="742">
        <v>0.11609999999999999</v>
      </c>
      <c r="IV43" s="742">
        <v>0.5766</v>
      </c>
      <c r="IW43" s="742">
        <v>0.30730000000000002</v>
      </c>
      <c r="IX43" s="742">
        <v>0</v>
      </c>
      <c r="IY43" s="742">
        <v>0</v>
      </c>
      <c r="IZ43" s="742">
        <v>0.26729999999999998</v>
      </c>
      <c r="JA43" s="742">
        <v>0.59619999999999995</v>
      </c>
      <c r="JB43" s="742">
        <v>0.13650000000000001</v>
      </c>
      <c r="JC43" s="742">
        <v>0</v>
      </c>
      <c r="JD43" s="742">
        <v>0</v>
      </c>
      <c r="JE43" s="742">
        <v>0.14069999999999999</v>
      </c>
      <c r="JF43" s="742">
        <v>0.59340000000000004</v>
      </c>
      <c r="JG43" s="742">
        <v>0.26590000000000003</v>
      </c>
      <c r="JH43" s="742">
        <v>0</v>
      </c>
      <c r="JI43" s="742">
        <v>1.09E-2</v>
      </c>
      <c r="JJ43" s="742">
        <v>0.38319999999999999</v>
      </c>
      <c r="JK43" s="742">
        <v>0.5323</v>
      </c>
      <c r="JL43" s="742">
        <v>7.3599999999999999E-2</v>
      </c>
      <c r="JM43" s="742">
        <v>0</v>
      </c>
      <c r="JN43" s="742">
        <v>0</v>
      </c>
      <c r="JO43" s="742">
        <v>0.22900000000000001</v>
      </c>
      <c r="JP43" s="742">
        <v>0.60499999999999998</v>
      </c>
      <c r="JQ43" s="742">
        <v>0.16600000000000001</v>
      </c>
      <c r="JR43" s="742">
        <v>0</v>
      </c>
      <c r="JS43" s="742">
        <v>0</v>
      </c>
      <c r="JT43" s="742">
        <v>0.28249999999999997</v>
      </c>
      <c r="JU43" s="742">
        <v>0.59119999999999995</v>
      </c>
      <c r="JV43" s="742">
        <v>0.1263</v>
      </c>
      <c r="JW43" s="742">
        <v>0</v>
      </c>
      <c r="JX43" s="742">
        <v>0</v>
      </c>
      <c r="JY43" s="742">
        <v>0.151</v>
      </c>
      <c r="JZ43" s="742">
        <v>0.59799999999999998</v>
      </c>
      <c r="KA43" s="742">
        <v>0.251</v>
      </c>
      <c r="KB43" s="742">
        <v>0</v>
      </c>
      <c r="KC43" s="657"/>
      <c r="KD43" s="832" t="s">
        <v>2718</v>
      </c>
      <c r="KE43" s="832" t="s">
        <v>2718</v>
      </c>
      <c r="KF43" s="869">
        <v>4.63</v>
      </c>
      <c r="KG43" s="832" t="s">
        <v>2719</v>
      </c>
      <c r="KH43" s="833" t="s">
        <v>3316</v>
      </c>
      <c r="KI43" s="832" t="s">
        <v>3317</v>
      </c>
      <c r="KJ43" s="833" t="s">
        <v>3318</v>
      </c>
    </row>
    <row r="44" spans="1:296" ht="48" customHeight="1">
      <c r="A44" s="273">
        <f t="shared" si="225"/>
        <v>37</v>
      </c>
      <c r="B44" s="274" t="s">
        <v>2241</v>
      </c>
      <c r="C44" s="274" t="s">
        <v>1053</v>
      </c>
      <c r="D44" s="274" t="s">
        <v>3319</v>
      </c>
      <c r="E44" s="275" t="s">
        <v>2256</v>
      </c>
      <c r="F44" s="275" t="s">
        <v>300</v>
      </c>
      <c r="G44" s="275" t="s">
        <v>300</v>
      </c>
      <c r="H44" s="275" t="s">
        <v>2109</v>
      </c>
      <c r="I44" s="276" t="s">
        <v>3320</v>
      </c>
      <c r="J44" s="276" t="s">
        <v>3321</v>
      </c>
      <c r="K44" s="277" t="s">
        <v>2097</v>
      </c>
      <c r="L44" s="277" t="s">
        <v>2109</v>
      </c>
      <c r="M44" s="277" t="s">
        <v>2603</v>
      </c>
      <c r="N44" s="277" t="s">
        <v>3322</v>
      </c>
      <c r="O44" s="275" t="s">
        <v>2212</v>
      </c>
      <c r="P44" s="276"/>
      <c r="Q44" s="270">
        <v>1</v>
      </c>
      <c r="R44" s="278">
        <v>30000</v>
      </c>
      <c r="S44" s="279">
        <f>1579-S47</f>
        <v>1570</v>
      </c>
      <c r="T44" s="279">
        <f>1500-T47</f>
        <v>1490</v>
      </c>
      <c r="U44" s="279">
        <f>1425-U47</f>
        <v>1407</v>
      </c>
      <c r="V44" s="279">
        <f>1354-V47</f>
        <v>1334</v>
      </c>
      <c r="W44" s="279">
        <f>1340-W47</f>
        <v>1320</v>
      </c>
      <c r="X44" s="279">
        <f>1326-X47</f>
        <v>1305</v>
      </c>
      <c r="Y44" s="279">
        <f>1312-Y47</f>
        <v>1291</v>
      </c>
      <c r="Z44" s="279">
        <f>1299-Z47</f>
        <v>1277</v>
      </c>
      <c r="AA44" s="279">
        <f>1292-AA47</f>
        <v>1270</v>
      </c>
      <c r="AB44" s="279">
        <f>1286-AB47</f>
        <v>1264</v>
      </c>
      <c r="AC44" s="279">
        <f>1279-AC47</f>
        <v>1256</v>
      </c>
      <c r="AD44" s="279">
        <f>1273-AD47</f>
        <v>1250</v>
      </c>
      <c r="AE44" s="279">
        <f>1266-AE47</f>
        <v>1243</v>
      </c>
      <c r="AF44" s="279">
        <f>1258-AF47</f>
        <v>1234</v>
      </c>
      <c r="AG44" s="279">
        <f>1253-AG47</f>
        <v>1229</v>
      </c>
      <c r="AH44" s="279">
        <f>1248-AH47</f>
        <v>1224</v>
      </c>
      <c r="AI44" s="279">
        <f>1243-AI47</f>
        <v>1219</v>
      </c>
      <c r="AJ44" s="279">
        <f>1238-AJ47</f>
        <v>1214</v>
      </c>
      <c r="AK44" s="279">
        <f>1233-AK47</f>
        <v>1209</v>
      </c>
      <c r="AL44" s="276" t="s">
        <v>2101</v>
      </c>
      <c r="AM44" s="276" t="s">
        <v>3323</v>
      </c>
      <c r="AN44" s="276" t="s">
        <v>2334</v>
      </c>
      <c r="AO44" s="657"/>
      <c r="AP44" s="278">
        <v>350</v>
      </c>
      <c r="AQ44" s="278">
        <v>203</v>
      </c>
      <c r="AR44" s="278">
        <v>84</v>
      </c>
      <c r="AS44" s="278">
        <v>63</v>
      </c>
      <c r="AT44" s="657"/>
      <c r="AU44" s="281" t="s">
        <v>3324</v>
      </c>
      <c r="AV44" s="296" t="s">
        <v>3325</v>
      </c>
      <c r="AW44" s="296" t="s">
        <v>3326</v>
      </c>
      <c r="AX44" s="276" t="s">
        <v>3299</v>
      </c>
      <c r="AY44" s="657"/>
      <c r="AZ44" s="947">
        <v>110</v>
      </c>
      <c r="BA44" s="947">
        <v>55</v>
      </c>
      <c r="BB44" s="947">
        <v>2</v>
      </c>
      <c r="BC44" s="947">
        <v>105</v>
      </c>
      <c r="BD44" s="826">
        <f t="shared" si="130"/>
        <v>335648</v>
      </c>
      <c r="BE44" s="283">
        <f t="shared" si="131"/>
        <v>135740</v>
      </c>
      <c r="BF44" s="283">
        <f t="shared" si="132"/>
        <v>67870</v>
      </c>
      <c r="BG44" s="283">
        <f t="shared" si="133"/>
        <v>2468</v>
      </c>
      <c r="BH44" s="283">
        <f t="shared" si="134"/>
        <v>129570</v>
      </c>
      <c r="BI44" s="826">
        <f t="shared" si="135"/>
        <v>328848</v>
      </c>
      <c r="BJ44" s="283">
        <f t="shared" si="136"/>
        <v>132990</v>
      </c>
      <c r="BK44" s="283">
        <f t="shared" si="137"/>
        <v>66495</v>
      </c>
      <c r="BL44" s="283">
        <f t="shared" si="138"/>
        <v>2418</v>
      </c>
      <c r="BM44" s="283">
        <f t="shared" si="139"/>
        <v>126945</v>
      </c>
      <c r="BN44" s="657"/>
      <c r="BO44" s="305">
        <v>0.45</v>
      </c>
      <c r="BP44" s="305">
        <v>0.28000000000000003</v>
      </c>
      <c r="BQ44" s="305">
        <v>0.17</v>
      </c>
      <c r="BR44" s="581">
        <v>0.1</v>
      </c>
      <c r="BS44" s="706">
        <v>0.42</v>
      </c>
      <c r="BT44" s="305">
        <v>0.28000000000000003</v>
      </c>
      <c r="BU44" s="305">
        <v>0.2</v>
      </c>
      <c r="BV44" s="581">
        <v>0.1</v>
      </c>
      <c r="BW44" s="713">
        <v>0.8</v>
      </c>
      <c r="BX44" s="306">
        <v>0.16</v>
      </c>
      <c r="BY44" s="590">
        <v>0.04</v>
      </c>
      <c r="BZ44" s="713">
        <v>0.77</v>
      </c>
      <c r="CA44" s="306">
        <v>0.18</v>
      </c>
      <c r="CB44" s="590">
        <v>0.05</v>
      </c>
      <c r="CC44" s="706">
        <v>0.25</v>
      </c>
      <c r="CD44" s="305">
        <v>0.4</v>
      </c>
      <c r="CE44" s="305">
        <v>0.2</v>
      </c>
      <c r="CF44" s="581">
        <v>0.15</v>
      </c>
      <c r="CG44" s="706">
        <v>0.22</v>
      </c>
      <c r="CH44" s="305">
        <v>0.4</v>
      </c>
      <c r="CI44" s="305">
        <v>0.23</v>
      </c>
      <c r="CJ44" s="581">
        <v>0.15</v>
      </c>
      <c r="CK44" s="719">
        <v>0.75</v>
      </c>
      <c r="CL44" s="307">
        <v>0.2</v>
      </c>
      <c r="CM44" s="723">
        <v>0.05</v>
      </c>
      <c r="CN44" s="719">
        <v>0.7</v>
      </c>
      <c r="CO44" s="307">
        <v>0.22</v>
      </c>
      <c r="CP44" s="723">
        <v>0.08</v>
      </c>
      <c r="CQ44" s="657"/>
      <c r="CR44" s="804">
        <v>12</v>
      </c>
      <c r="CS44" s="805">
        <v>11</v>
      </c>
      <c r="CT44" s="805">
        <v>8</v>
      </c>
      <c r="CU44" s="806">
        <v>10</v>
      </c>
      <c r="CV44" s="804">
        <v>11</v>
      </c>
      <c r="CW44" s="805">
        <v>10</v>
      </c>
      <c r="CX44" s="806">
        <v>8</v>
      </c>
      <c r="CY44" s="804">
        <v>10</v>
      </c>
      <c r="CZ44" s="805">
        <v>12</v>
      </c>
      <c r="DA44" s="805">
        <v>8</v>
      </c>
      <c r="DB44" s="806">
        <v>10</v>
      </c>
      <c r="DC44" s="804">
        <v>12</v>
      </c>
      <c r="DD44" s="805">
        <v>12</v>
      </c>
      <c r="DE44" s="806">
        <v>9</v>
      </c>
      <c r="DF44" s="609" t="s">
        <v>3327</v>
      </c>
      <c r="DG44" s="657"/>
      <c r="DH44" s="308">
        <f t="shared" si="140"/>
        <v>61083</v>
      </c>
      <c r="DI44" s="308">
        <f t="shared" si="141"/>
        <v>38007.200000000004</v>
      </c>
      <c r="DJ44" s="308">
        <f t="shared" si="142"/>
        <v>23075.800000000003</v>
      </c>
      <c r="DK44" s="308">
        <f t="shared" si="143"/>
        <v>13574</v>
      </c>
      <c r="DL44" s="287" t="s">
        <v>3328</v>
      </c>
      <c r="DM44" s="308">
        <f t="shared" si="144"/>
        <v>55855.799999999996</v>
      </c>
      <c r="DN44" s="308">
        <f t="shared" si="145"/>
        <v>37237.200000000004</v>
      </c>
      <c r="DO44" s="308">
        <f t="shared" si="146"/>
        <v>26598</v>
      </c>
      <c r="DP44" s="308">
        <f t="shared" si="147"/>
        <v>13299</v>
      </c>
      <c r="DQ44" s="289" t="s">
        <v>3301</v>
      </c>
      <c r="DR44" s="657"/>
      <c r="DS44" s="308">
        <f t="shared" si="148"/>
        <v>54296</v>
      </c>
      <c r="DT44" s="308">
        <f t="shared" si="149"/>
        <v>10859.2</v>
      </c>
      <c r="DU44" s="308">
        <f t="shared" si="150"/>
        <v>2714.8</v>
      </c>
      <c r="DV44" s="289" t="s">
        <v>3329</v>
      </c>
      <c r="DW44" s="308">
        <f t="shared" si="151"/>
        <v>51201.15</v>
      </c>
      <c r="DX44" s="308">
        <f t="shared" si="152"/>
        <v>11969.1</v>
      </c>
      <c r="DY44" s="308">
        <f t="shared" si="153"/>
        <v>3324.75</v>
      </c>
      <c r="DZ44" s="289" t="s">
        <v>3303</v>
      </c>
      <c r="EA44" s="657"/>
      <c r="EB44" s="308">
        <f t="shared" si="154"/>
        <v>617</v>
      </c>
      <c r="EC44" s="308">
        <f t="shared" si="155"/>
        <v>987.2</v>
      </c>
      <c r="ED44" s="308">
        <f t="shared" si="156"/>
        <v>493.6</v>
      </c>
      <c r="EE44" s="308">
        <f t="shared" si="157"/>
        <v>370.2</v>
      </c>
      <c r="EF44" s="289" t="s">
        <v>3330</v>
      </c>
      <c r="EG44" s="308">
        <f t="shared" si="158"/>
        <v>531.96</v>
      </c>
      <c r="EH44" s="308">
        <f t="shared" si="159"/>
        <v>967.2</v>
      </c>
      <c r="EI44" s="308">
        <f t="shared" si="160"/>
        <v>556.14</v>
      </c>
      <c r="EJ44" s="308">
        <f t="shared" si="161"/>
        <v>362.7</v>
      </c>
      <c r="EK44" s="309" t="s">
        <v>3305</v>
      </c>
      <c r="EL44" s="657"/>
      <c r="EM44" s="308">
        <f t="shared" si="162"/>
        <v>97177.5</v>
      </c>
      <c r="EN44" s="310">
        <f t="shared" si="163"/>
        <v>25914</v>
      </c>
      <c r="EO44" s="310">
        <f t="shared" si="164"/>
        <v>6478.5</v>
      </c>
      <c r="EP44" s="289" t="s">
        <v>3331</v>
      </c>
      <c r="EQ44" s="308">
        <f t="shared" si="165"/>
        <v>88861.5</v>
      </c>
      <c r="ER44" s="310">
        <f t="shared" si="166"/>
        <v>27927.9</v>
      </c>
      <c r="ES44" s="310">
        <f t="shared" si="167"/>
        <v>10155.6</v>
      </c>
      <c r="ET44" s="289" t="s">
        <v>3307</v>
      </c>
      <c r="EU44" s="657"/>
      <c r="EV44" s="728">
        <f t="shared" si="168"/>
        <v>0.81678342704601226</v>
      </c>
      <c r="EW44" s="728">
        <f t="shared" si="169"/>
        <v>0.18321657295398763</v>
      </c>
      <c r="EX44" s="311">
        <f t="shared" si="170"/>
        <v>178067.87385000003</v>
      </c>
      <c r="EY44" s="311">
        <f t="shared" si="171"/>
        <v>145442.88825000002</v>
      </c>
      <c r="EZ44" s="311">
        <f t="shared" si="172"/>
        <v>32624.9856</v>
      </c>
      <c r="FA44" s="311">
        <f t="shared" si="173"/>
        <v>74130.093000000008</v>
      </c>
      <c r="FB44" s="311">
        <f t="shared" si="174"/>
        <v>60936.165000000008</v>
      </c>
      <c r="FC44" s="311">
        <f t="shared" si="175"/>
        <v>13193.928</v>
      </c>
      <c r="FD44" s="311">
        <f t="shared" si="176"/>
        <v>36786.465000000004</v>
      </c>
      <c r="FE44" s="311">
        <f t="shared" si="177"/>
        <v>30189.501000000004</v>
      </c>
      <c r="FF44" s="311">
        <f t="shared" si="178"/>
        <v>6596.9639999999999</v>
      </c>
      <c r="FG44" s="311">
        <f t="shared" si="179"/>
        <v>1390.7556000000002</v>
      </c>
      <c r="FH44" s="311">
        <f t="shared" si="180"/>
        <v>1150.8660000000002</v>
      </c>
      <c r="FI44" s="311">
        <f t="shared" si="181"/>
        <v>239.88959999999997</v>
      </c>
      <c r="FJ44" s="311">
        <f t="shared" si="182"/>
        <v>65760.56025000001</v>
      </c>
      <c r="FK44" s="311">
        <f t="shared" si="183"/>
        <v>53166.356250000004</v>
      </c>
      <c r="FL44" s="311">
        <f t="shared" si="184"/>
        <v>12594.204</v>
      </c>
      <c r="FM44" s="657"/>
      <c r="FN44" s="293" t="s">
        <v>2649</v>
      </c>
      <c r="FO44" s="728">
        <v>9.7199999999999995E-2</v>
      </c>
      <c r="FP44" s="729">
        <v>0.9</v>
      </c>
      <c r="FQ44" s="294" t="s">
        <v>3308</v>
      </c>
      <c r="FR44" s="657"/>
      <c r="FS44" s="865">
        <v>3.84</v>
      </c>
      <c r="FT44" s="312">
        <f>RANK($FS44,$FS$8:$FS$154,0)+COUNTIF($FS$8:$FS44,$FS44)-1</f>
        <v>11</v>
      </c>
      <c r="FU44" s="865">
        <v>4.5599999999999996</v>
      </c>
      <c r="FV44" s="312">
        <f>RANK($FU44,$FU$8:$FU$154,0)+COUNTIF($FU$8:$FU44,$FU44)-1</f>
        <v>12</v>
      </c>
      <c r="FW44" s="865">
        <v>2.95</v>
      </c>
      <c r="FX44" s="312">
        <f>RANK($FW44,$FW$8:$FW$154,0)+COUNTIF($FW$8:$FW44,$FW44)-1</f>
        <v>9</v>
      </c>
      <c r="FY44" s="657"/>
      <c r="FZ44" s="296" t="s">
        <v>3332</v>
      </c>
      <c r="GA44" s="296" t="s">
        <v>3333</v>
      </c>
      <c r="GB44" s="296" t="s">
        <v>3334</v>
      </c>
      <c r="GC44" s="296" t="s">
        <v>3335</v>
      </c>
      <c r="GD44" s="296" t="s">
        <v>3336</v>
      </c>
      <c r="GE44" s="296" t="s">
        <v>3337</v>
      </c>
      <c r="GF44" s="296" t="str">
        <f>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https://www.statistiques.developpement-durable.gouv.fr/construction-de-locaux-resultats-fin-janvier-2026-france-entiere
https://www.insee.fr/fr/statistiques/8671745
https://www.insee.fr/fr/statistiques/8906564</v>
      </c>
      <c r="GG44" s="657"/>
      <c r="GH44" s="311">
        <f t="shared" si="185"/>
        <v>30255.562260000002</v>
      </c>
      <c r="GI44" s="311">
        <f t="shared" si="116"/>
        <v>24714.112500000003</v>
      </c>
      <c r="GJ44" s="311">
        <f t="shared" si="186"/>
        <v>5541.4497599999995</v>
      </c>
      <c r="GK44" s="311">
        <f t="shared" si="187"/>
        <v>20142.339840000001</v>
      </c>
      <c r="GL44" s="311">
        <f t="shared" si="117"/>
        <v>16448.04</v>
      </c>
      <c r="GM44" s="311">
        <f t="shared" si="188"/>
        <v>3694.2998400000001</v>
      </c>
      <c r="GN44" s="311">
        <f t="shared" si="189"/>
        <v>16014.428100000005</v>
      </c>
      <c r="GO44" s="311">
        <f t="shared" si="118"/>
        <v>13375.642500000004</v>
      </c>
      <c r="GP44" s="311">
        <f t="shared" si="190"/>
        <v>2638.7856000000002</v>
      </c>
      <c r="GQ44" s="311">
        <f t="shared" si="191"/>
        <v>7717.7628000000004</v>
      </c>
      <c r="GR44" s="311">
        <f t="shared" si="119"/>
        <v>6398.37</v>
      </c>
      <c r="GS44" s="311">
        <f t="shared" si="192"/>
        <v>1319.3928000000001</v>
      </c>
      <c r="GT44" s="311">
        <f t="shared" si="193"/>
        <v>28576.862280000005</v>
      </c>
      <c r="GU44" s="311">
        <f t="shared" si="120"/>
        <v>23497.200000000004</v>
      </c>
      <c r="GV44" s="311">
        <f t="shared" si="194"/>
        <v>5079.6622800000005</v>
      </c>
      <c r="GW44" s="311">
        <f t="shared" si="195"/>
        <v>6306.1495200000008</v>
      </c>
      <c r="GX44" s="311">
        <f t="shared" si="121"/>
        <v>5118.6960000000008</v>
      </c>
      <c r="GY44" s="311">
        <f t="shared" si="196"/>
        <v>1187.45352</v>
      </c>
      <c r="GZ44" s="311">
        <f t="shared" si="197"/>
        <v>1903.4531999999999</v>
      </c>
      <c r="HA44" s="311">
        <f t="shared" si="122"/>
        <v>1573.605</v>
      </c>
      <c r="HB44" s="311">
        <f t="shared" si="198"/>
        <v>329.84820000000002</v>
      </c>
      <c r="HC44" s="311">
        <f t="shared" si="199"/>
        <v>343.61071200000004</v>
      </c>
      <c r="HD44" s="311">
        <f t="shared" si="123"/>
        <v>290.83500000000004</v>
      </c>
      <c r="HE44" s="311">
        <f t="shared" si="200"/>
        <v>52.775711999999992</v>
      </c>
      <c r="HF44" s="311">
        <f t="shared" si="201"/>
        <v>495.37584000000004</v>
      </c>
      <c r="HG44" s="311">
        <f t="shared" si="124"/>
        <v>399.42</v>
      </c>
      <c r="HH44" s="311">
        <f t="shared" si="202"/>
        <v>95.955839999999995</v>
      </c>
      <c r="HI44" s="311">
        <f t="shared" si="203"/>
        <v>341.28460799999999</v>
      </c>
      <c r="HJ44" s="311">
        <f t="shared" si="125"/>
        <v>286.11</v>
      </c>
      <c r="HK44" s="311">
        <f t="shared" si="204"/>
        <v>55.174607999999999</v>
      </c>
      <c r="HL44" s="311">
        <f t="shared" si="205"/>
        <v>210.48444000000001</v>
      </c>
      <c r="HM44" s="311">
        <f t="shared" si="126"/>
        <v>174.501</v>
      </c>
      <c r="HN44" s="311">
        <f t="shared" si="206"/>
        <v>35.983439999999995</v>
      </c>
      <c r="HO44" s="311">
        <f t="shared" si="207"/>
        <v>48133.849049999997</v>
      </c>
      <c r="HP44" s="311">
        <f t="shared" si="127"/>
        <v>39317.90625</v>
      </c>
      <c r="HQ44" s="311">
        <f t="shared" si="208"/>
        <v>8815.9427999999989</v>
      </c>
      <c r="HR44" s="311">
        <f t="shared" si="209"/>
        <v>13255.499880000001</v>
      </c>
      <c r="HS44" s="311">
        <f t="shared" si="128"/>
        <v>10484.775000000001</v>
      </c>
      <c r="HT44" s="311">
        <f t="shared" si="210"/>
        <v>2770.7248799999998</v>
      </c>
      <c r="HU44" s="311">
        <f t="shared" si="211"/>
        <v>4371.2113200000003</v>
      </c>
      <c r="HV44" s="311">
        <f t="shared" si="129"/>
        <v>3363.6750000000002</v>
      </c>
      <c r="HW44" s="311">
        <f t="shared" si="212"/>
        <v>1007.53632</v>
      </c>
      <c r="HY44" s="313">
        <f t="shared" si="213"/>
        <v>335648</v>
      </c>
      <c r="HZ44" s="313">
        <f t="shared" si="214"/>
        <v>41.709199999999996</v>
      </c>
      <c r="IA44" s="313">
        <f t="shared" si="215"/>
        <v>95110.920199999993</v>
      </c>
      <c r="IB44" s="313">
        <f t="shared" si="216"/>
        <v>197930.14480000001</v>
      </c>
      <c r="IC44" s="313">
        <f t="shared" si="217"/>
        <v>42565.2258</v>
      </c>
      <c r="ID44" s="313">
        <f t="shared" si="218"/>
        <v>0</v>
      </c>
      <c r="IE44" s="313">
        <f t="shared" si="219"/>
        <v>145442.88824999999</v>
      </c>
      <c r="IF44" s="313">
        <f t="shared" si="220"/>
        <v>0</v>
      </c>
      <c r="IG44" s="313">
        <f t="shared" si="221"/>
        <v>23504.500222875002</v>
      </c>
      <c r="IH44" s="313">
        <f t="shared" si="222"/>
        <v>87252.975814724996</v>
      </c>
      <c r="II44" s="313">
        <f t="shared" si="223"/>
        <v>34685.412212400006</v>
      </c>
      <c r="IJ44" s="313">
        <f t="shared" si="224"/>
        <v>0</v>
      </c>
      <c r="IK44" s="866">
        <v>4.5999999999999996</v>
      </c>
      <c r="IL44" s="314" t="s">
        <v>2701</v>
      </c>
      <c r="IM44" s="299" t="s">
        <v>3315</v>
      </c>
      <c r="IN44" s="657"/>
      <c r="IO44" s="730">
        <v>0</v>
      </c>
      <c r="IP44" s="730">
        <v>0.2525</v>
      </c>
      <c r="IQ44" s="730">
        <v>0.60029999999999994</v>
      </c>
      <c r="IR44" s="730">
        <v>0.1472</v>
      </c>
      <c r="IS44" s="730">
        <v>0</v>
      </c>
      <c r="IT44" s="730">
        <v>0</v>
      </c>
      <c r="IU44" s="730">
        <v>0.1399</v>
      </c>
      <c r="IV44" s="730">
        <v>0.59309999999999996</v>
      </c>
      <c r="IW44" s="730">
        <v>0.26700000000000002</v>
      </c>
      <c r="IX44" s="730">
        <v>0</v>
      </c>
      <c r="IY44" s="730">
        <v>0</v>
      </c>
      <c r="IZ44" s="730">
        <v>0.29270000000000002</v>
      </c>
      <c r="JA44" s="730">
        <v>0.58760000000000001</v>
      </c>
      <c r="JB44" s="730">
        <v>0.1197</v>
      </c>
      <c r="JC44" s="730">
        <v>0</v>
      </c>
      <c r="JD44" s="730">
        <v>0</v>
      </c>
      <c r="JE44" s="730">
        <v>0.16850000000000001</v>
      </c>
      <c r="JF44" s="730">
        <v>0.60360000000000003</v>
      </c>
      <c r="JG44" s="730">
        <v>0.22789999999999999</v>
      </c>
      <c r="JH44" s="730">
        <v>0</v>
      </c>
      <c r="JI44" s="730">
        <v>1.6899999999999998E-2</v>
      </c>
      <c r="JJ44" s="730">
        <v>0.40989999999999999</v>
      </c>
      <c r="JK44" s="730">
        <v>0.5101</v>
      </c>
      <c r="JL44" s="730">
        <v>6.3100000000000003E-2</v>
      </c>
      <c r="JM44" s="730">
        <v>0</v>
      </c>
      <c r="JN44" s="730">
        <v>0</v>
      </c>
      <c r="JO44" s="730">
        <v>0.26650000000000001</v>
      </c>
      <c r="JP44" s="730">
        <v>0.59650000000000003</v>
      </c>
      <c r="JQ44" s="730">
        <v>0.13700000000000001</v>
      </c>
      <c r="JR44" s="730">
        <v>0</v>
      </c>
      <c r="JS44" s="730">
        <v>0</v>
      </c>
      <c r="JT44" s="730">
        <v>0.30840000000000001</v>
      </c>
      <c r="JU44" s="730">
        <v>0.58120000000000005</v>
      </c>
      <c r="JV44" s="730">
        <v>0.1104</v>
      </c>
      <c r="JW44" s="730">
        <v>0</v>
      </c>
      <c r="JX44" s="730">
        <v>0</v>
      </c>
      <c r="JY44" s="730">
        <v>0.18029999999999999</v>
      </c>
      <c r="JZ44" s="730">
        <v>0.60570000000000002</v>
      </c>
      <c r="KA44" s="730">
        <v>0.214</v>
      </c>
      <c r="KB44" s="730">
        <v>0</v>
      </c>
      <c r="KC44" s="657"/>
      <c r="KD44" s="314" t="s">
        <v>2718</v>
      </c>
      <c r="KE44" s="314" t="s">
        <v>2718</v>
      </c>
      <c r="KF44" s="866">
        <v>4.7</v>
      </c>
      <c r="KG44" s="314" t="s">
        <v>2719</v>
      </c>
      <c r="KH44" s="315" t="s">
        <v>3316</v>
      </c>
      <c r="KI44" s="314" t="s">
        <v>3317</v>
      </c>
      <c r="KJ44" s="315" t="s">
        <v>3338</v>
      </c>
    </row>
    <row r="45" spans="1:296" ht="48" customHeight="1">
      <c r="A45" s="265">
        <f t="shared" si="225"/>
        <v>38</v>
      </c>
      <c r="B45" s="266" t="s">
        <v>2241</v>
      </c>
      <c r="C45" s="266" t="s">
        <v>1053</v>
      </c>
      <c r="D45" s="624" t="s">
        <v>1054</v>
      </c>
      <c r="E45" s="267" t="s">
        <v>2256</v>
      </c>
      <c r="F45" s="267" t="s">
        <v>300</v>
      </c>
      <c r="G45" s="267" t="s">
        <v>300</v>
      </c>
      <c r="H45" s="267" t="s">
        <v>2109</v>
      </c>
      <c r="I45" s="268" t="s">
        <v>3320</v>
      </c>
      <c r="J45" s="268" t="s">
        <v>3339</v>
      </c>
      <c r="K45" s="269" t="s">
        <v>2097</v>
      </c>
      <c r="L45" s="269" t="s">
        <v>2109</v>
      </c>
      <c r="M45" s="269" t="s">
        <v>2603</v>
      </c>
      <c r="N45" s="269" t="s">
        <v>3322</v>
      </c>
      <c r="O45" s="267" t="s">
        <v>2616</v>
      </c>
      <c r="P45" s="268"/>
      <c r="Q45" s="270">
        <v>1</v>
      </c>
      <c r="R45" s="271">
        <v>18000</v>
      </c>
      <c r="S45" s="272">
        <v>730</v>
      </c>
      <c r="T45" s="272">
        <v>710</v>
      </c>
      <c r="U45" s="272">
        <v>695</v>
      </c>
      <c r="V45" s="272">
        <v>688</v>
      </c>
      <c r="W45" s="272">
        <v>683</v>
      </c>
      <c r="X45" s="272">
        <v>679</v>
      </c>
      <c r="Y45" s="272">
        <v>674</v>
      </c>
      <c r="Z45" s="272">
        <v>670</v>
      </c>
      <c r="AA45" s="272">
        <v>666</v>
      </c>
      <c r="AB45" s="272">
        <v>663</v>
      </c>
      <c r="AC45" s="272">
        <v>661</v>
      </c>
      <c r="AD45" s="272">
        <v>658</v>
      </c>
      <c r="AE45" s="272">
        <v>655</v>
      </c>
      <c r="AF45" s="272">
        <v>653</v>
      </c>
      <c r="AG45" s="272">
        <v>651</v>
      </c>
      <c r="AH45" s="272">
        <v>650</v>
      </c>
      <c r="AI45" s="272">
        <v>648</v>
      </c>
      <c r="AJ45" s="272">
        <v>647</v>
      </c>
      <c r="AK45" s="272">
        <v>645</v>
      </c>
      <c r="AL45" s="268" t="s">
        <v>3340</v>
      </c>
      <c r="AM45" s="268" t="s">
        <v>3341</v>
      </c>
      <c r="AN45" s="268" t="s">
        <v>2334</v>
      </c>
      <c r="AO45" s="657"/>
      <c r="AP45" s="271">
        <v>220</v>
      </c>
      <c r="AQ45" s="280">
        <v>123</v>
      </c>
      <c r="AR45" s="280">
        <v>57</v>
      </c>
      <c r="AS45" s="280">
        <v>40</v>
      </c>
      <c r="AT45" s="657"/>
      <c r="AU45" s="301" t="s">
        <v>3342</v>
      </c>
      <c r="AV45" s="572" t="s">
        <v>3343</v>
      </c>
      <c r="AW45" s="645" t="s">
        <v>3271</v>
      </c>
      <c r="AX45" s="290" t="s">
        <v>3299</v>
      </c>
      <c r="AY45" s="657"/>
      <c r="AZ45" s="948">
        <v>75</v>
      </c>
      <c r="BA45" s="948">
        <v>40</v>
      </c>
      <c r="BB45" s="948">
        <v>1</v>
      </c>
      <c r="BC45" s="948">
        <v>72</v>
      </c>
      <c r="BD45" s="825">
        <f t="shared" si="130"/>
        <v>122764</v>
      </c>
      <c r="BE45" s="304">
        <f t="shared" si="131"/>
        <v>48975</v>
      </c>
      <c r="BF45" s="304">
        <f t="shared" si="132"/>
        <v>26120</v>
      </c>
      <c r="BG45" s="304">
        <f t="shared" si="133"/>
        <v>653</v>
      </c>
      <c r="BH45" s="304">
        <f t="shared" si="134"/>
        <v>47016</v>
      </c>
      <c r="BI45" s="825">
        <f t="shared" si="135"/>
        <v>121260</v>
      </c>
      <c r="BJ45" s="304">
        <f t="shared" si="136"/>
        <v>48375</v>
      </c>
      <c r="BK45" s="304">
        <f t="shared" si="137"/>
        <v>25800</v>
      </c>
      <c r="BL45" s="304">
        <f t="shared" si="138"/>
        <v>645</v>
      </c>
      <c r="BM45" s="304">
        <f t="shared" si="139"/>
        <v>46440</v>
      </c>
      <c r="BN45" s="657"/>
      <c r="BO45" s="284">
        <v>0.5</v>
      </c>
      <c r="BP45" s="284">
        <v>0.2</v>
      </c>
      <c r="BQ45" s="284">
        <v>0.2</v>
      </c>
      <c r="BR45" s="710">
        <v>0.1</v>
      </c>
      <c r="BS45" s="707">
        <v>0.47</v>
      </c>
      <c r="BT45" s="284">
        <v>0.2</v>
      </c>
      <c r="BU45" s="284">
        <v>0.23</v>
      </c>
      <c r="BV45" s="710">
        <v>0.1</v>
      </c>
      <c r="BW45" s="714">
        <v>0.82</v>
      </c>
      <c r="BX45" s="285">
        <v>0.14000000000000001</v>
      </c>
      <c r="BY45" s="717">
        <v>0.04</v>
      </c>
      <c r="BZ45" s="714">
        <v>0.79</v>
      </c>
      <c r="CA45" s="285">
        <v>0.16</v>
      </c>
      <c r="CB45" s="717">
        <v>0.05</v>
      </c>
      <c r="CC45" s="284">
        <v>0.2</v>
      </c>
      <c r="CD45" s="284">
        <v>0.4</v>
      </c>
      <c r="CE45" s="284">
        <v>0.25</v>
      </c>
      <c r="CF45" s="710">
        <v>0.15</v>
      </c>
      <c r="CG45" s="707">
        <v>0.18</v>
      </c>
      <c r="CH45" s="284">
        <v>0.4</v>
      </c>
      <c r="CI45" s="284">
        <v>0.28000000000000003</v>
      </c>
      <c r="CJ45" s="710">
        <v>0.14000000000000001</v>
      </c>
      <c r="CK45" s="720">
        <v>0.75</v>
      </c>
      <c r="CL45" s="286">
        <v>0.15</v>
      </c>
      <c r="CM45" s="718">
        <v>0.1</v>
      </c>
      <c r="CN45" s="720">
        <v>0.7</v>
      </c>
      <c r="CO45" s="286">
        <v>0.17</v>
      </c>
      <c r="CP45" s="718">
        <v>0.13</v>
      </c>
      <c r="CQ45" s="657"/>
      <c r="CR45" s="807">
        <v>12</v>
      </c>
      <c r="CS45" s="808">
        <v>11</v>
      </c>
      <c r="CT45" s="808">
        <v>8</v>
      </c>
      <c r="CU45" s="809">
        <v>10</v>
      </c>
      <c r="CV45" s="807">
        <v>11</v>
      </c>
      <c r="CW45" s="808">
        <v>10</v>
      </c>
      <c r="CX45" s="809">
        <v>8</v>
      </c>
      <c r="CY45" s="807">
        <v>10</v>
      </c>
      <c r="CZ45" s="808">
        <v>12</v>
      </c>
      <c r="DA45" s="808">
        <v>8</v>
      </c>
      <c r="DB45" s="809">
        <v>10</v>
      </c>
      <c r="DC45" s="807">
        <v>12</v>
      </c>
      <c r="DD45" s="808">
        <v>12</v>
      </c>
      <c r="DE45" s="809">
        <v>9</v>
      </c>
      <c r="DF45" s="610" t="s">
        <v>3344</v>
      </c>
      <c r="DG45" s="657"/>
      <c r="DH45" s="288">
        <f t="shared" si="140"/>
        <v>24487.5</v>
      </c>
      <c r="DI45" s="288">
        <f t="shared" si="141"/>
        <v>9795</v>
      </c>
      <c r="DJ45" s="288">
        <f t="shared" si="142"/>
        <v>9795</v>
      </c>
      <c r="DK45" s="288">
        <f t="shared" si="143"/>
        <v>4897.5</v>
      </c>
      <c r="DL45" s="560" t="s">
        <v>3345</v>
      </c>
      <c r="DM45" s="288">
        <f t="shared" si="144"/>
        <v>22736.25</v>
      </c>
      <c r="DN45" s="288">
        <f t="shared" si="145"/>
        <v>9675</v>
      </c>
      <c r="DO45" s="288">
        <f t="shared" si="146"/>
        <v>11126.25</v>
      </c>
      <c r="DP45" s="288">
        <f t="shared" si="147"/>
        <v>4837.5</v>
      </c>
      <c r="DQ45" s="561" t="s">
        <v>3301</v>
      </c>
      <c r="DR45" s="657"/>
      <c r="DS45" s="288">
        <f t="shared" si="148"/>
        <v>21418.399999999998</v>
      </c>
      <c r="DT45" s="288">
        <f t="shared" si="149"/>
        <v>3656.8</v>
      </c>
      <c r="DU45" s="288">
        <f t="shared" si="150"/>
        <v>1044.8</v>
      </c>
      <c r="DV45" s="561" t="s">
        <v>3346</v>
      </c>
      <c r="DW45" s="288">
        <f t="shared" si="151"/>
        <v>20382</v>
      </c>
      <c r="DX45" s="288">
        <f t="shared" si="152"/>
        <v>4128</v>
      </c>
      <c r="DY45" s="288">
        <f t="shared" si="153"/>
        <v>1290</v>
      </c>
      <c r="DZ45" s="561" t="s">
        <v>3303</v>
      </c>
      <c r="EA45" s="657"/>
      <c r="EB45" s="288">
        <f t="shared" si="154"/>
        <v>130.6</v>
      </c>
      <c r="EC45" s="288">
        <f t="shared" si="155"/>
        <v>261.2</v>
      </c>
      <c r="ED45" s="288">
        <f t="shared" si="156"/>
        <v>163.25</v>
      </c>
      <c r="EE45" s="288">
        <f t="shared" si="157"/>
        <v>97.95</v>
      </c>
      <c r="EF45" s="561" t="s">
        <v>3347</v>
      </c>
      <c r="EG45" s="288">
        <f t="shared" si="158"/>
        <v>116.1</v>
      </c>
      <c r="EH45" s="288">
        <f t="shared" si="159"/>
        <v>258</v>
      </c>
      <c r="EI45" s="288">
        <f t="shared" si="160"/>
        <v>180.60000000000002</v>
      </c>
      <c r="EJ45" s="288">
        <f t="shared" si="161"/>
        <v>90.300000000000011</v>
      </c>
      <c r="EK45" s="561" t="s">
        <v>3305</v>
      </c>
      <c r="EL45" s="657"/>
      <c r="EM45" s="288">
        <f t="shared" si="162"/>
        <v>35262</v>
      </c>
      <c r="EN45" s="291">
        <f t="shared" si="163"/>
        <v>7052.4</v>
      </c>
      <c r="EO45" s="291">
        <f t="shared" si="164"/>
        <v>4701.6000000000004</v>
      </c>
      <c r="EP45" s="561" t="s">
        <v>3348</v>
      </c>
      <c r="EQ45" s="288">
        <f t="shared" si="165"/>
        <v>32507.999999999996</v>
      </c>
      <c r="ER45" s="291">
        <f t="shared" si="166"/>
        <v>7894.8</v>
      </c>
      <c r="ES45" s="291">
        <f t="shared" si="167"/>
        <v>6037.2</v>
      </c>
      <c r="ET45" s="561" t="s">
        <v>3307</v>
      </c>
      <c r="EU45" s="657"/>
      <c r="EV45" s="740">
        <f t="shared" si="168"/>
        <v>0.8313831659309987</v>
      </c>
      <c r="EW45" s="740">
        <f t="shared" si="169"/>
        <v>0.1686168340690013</v>
      </c>
      <c r="EX45" s="563">
        <f t="shared" si="170"/>
        <v>62679.108040156061</v>
      </c>
      <c r="EY45" s="563">
        <f t="shared" si="171"/>
        <v>52110.355280156058</v>
      </c>
      <c r="EZ45" s="563">
        <f t="shared" si="172"/>
        <v>10568.752759999999</v>
      </c>
      <c r="FA45" s="563">
        <f t="shared" si="173"/>
        <v>25770.164585681818</v>
      </c>
      <c r="FB45" s="563">
        <f t="shared" si="174"/>
        <v>21553.906835681817</v>
      </c>
      <c r="FC45" s="563">
        <f t="shared" si="175"/>
        <v>4216.2577499999998</v>
      </c>
      <c r="FD45" s="563">
        <f t="shared" si="176"/>
        <v>13588.346907490908</v>
      </c>
      <c r="FE45" s="563">
        <f t="shared" si="177"/>
        <v>11339.676107490908</v>
      </c>
      <c r="FF45" s="563">
        <f t="shared" si="178"/>
        <v>2248.6707999999999</v>
      </c>
      <c r="FG45" s="563">
        <f t="shared" si="179"/>
        <v>356.96490298333333</v>
      </c>
      <c r="FH45" s="563">
        <f t="shared" si="180"/>
        <v>300.74813298333333</v>
      </c>
      <c r="FI45" s="563">
        <f t="shared" si="181"/>
        <v>56.216769999999997</v>
      </c>
      <c r="FJ45" s="563">
        <f t="shared" si="182"/>
        <v>22963.631643999997</v>
      </c>
      <c r="FK45" s="563">
        <f t="shared" si="183"/>
        <v>18916.024203999998</v>
      </c>
      <c r="FL45" s="563">
        <f t="shared" si="184"/>
        <v>4047.6074399999998</v>
      </c>
      <c r="FM45" s="529"/>
      <c r="FN45" s="564" t="s">
        <v>2649</v>
      </c>
      <c r="FO45" s="740">
        <v>8.609E-2</v>
      </c>
      <c r="FP45" s="741">
        <v>0.89461999999999997</v>
      </c>
      <c r="FQ45" s="565" t="s">
        <v>3349</v>
      </c>
      <c r="FR45" s="529"/>
      <c r="FS45" s="867">
        <v>3.44</v>
      </c>
      <c r="FT45" s="566">
        <f>RANK($FS45,$FS$8:$FS$154,0)+COUNTIF($FS$8:$FS45,$FS45)-1</f>
        <v>51</v>
      </c>
      <c r="FU45" s="867">
        <v>4.18</v>
      </c>
      <c r="FV45" s="566">
        <f>RANK($FU45,$FU$8:$FU$154,0)+COUNTIF($FU$8:$FU45,$FU45)-1</f>
        <v>47</v>
      </c>
      <c r="FW45" s="867">
        <v>2.5299999999999998</v>
      </c>
      <c r="FX45" s="566">
        <f>RANK($FW45,$FW$8:$FW$154,0)+COUNTIF($FW$8:$FW45,$FW45)-1</f>
        <v>32</v>
      </c>
      <c r="FY45" s="529"/>
      <c r="FZ45" s="567" t="s">
        <v>3309</v>
      </c>
      <c r="GA45" s="567" t="s">
        <v>3350</v>
      </c>
      <c r="GB45" s="567" t="s">
        <v>3311</v>
      </c>
      <c r="GC45" s="567" t="s">
        <v>3312</v>
      </c>
      <c r="GD45" s="567" t="s">
        <v>3313</v>
      </c>
      <c r="GE45" s="567" t="s">
        <v>3314</v>
      </c>
      <c r="GF45" s="567" t="str">
        <f>HYPERLINK("https://sante.gouv.fr/actualites-presse/presse/communiques-de-presse/article/campagne-tarifaire-et-budgetaire-2026-des-etablissements-de-sante-3-6-milliards","https://sante.gouv.fr/actualites-presse/presse/communiques-de-presse/article/campagne-tarifaire-et-budgetaire-2026-des-etablissements-de-sante-3-6-milliards")&amp;CHAR(10)&amp;HYPERLINK("https://sante.gouv.fr/systeme-de-sante/segur-de-la-sante/investissement-en-sante-une-nouvelle-politique-au-service-de-la-qualite-des-11226/csis","https://sante.gouv.fr/systeme-de-sante/segur-de-la-sante/investissement-en-sante-une-nouvelle-politique-au-service-de-la-qualite-des-11226/csis")&amp;CHAR(10)&amp;HYPERLINK("https://sante.gouv.fr/soins-et-maladies/qualite-securite-et-pertinence-des-soins/securite-des-prises-en-charge/securite-des-soins-et-des-patients/article/ameliorer-la-securite-des-patients-et-des-residents-la-1ere-feuille-de-route","https://sante.gouv.fr/soins-et-maladies/qualite-securite-et-pertinence-des-soins/securite-des-prises-en-charge/securite-des-soins-et-des-patients/article/ameliorer-la-securite-des-patients-et-des-residents-la-1ere-feuille-de-route")&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https://sante.gouv.fr/actualites-presse/presse/communiques-de-presse/article/campagne-tarifaire-et-budgetaire-2026-des-etablissements-de-sante-3-6-milliards
https://sante.gouv.fr/systeme-de-sante/segur-de-la-sante/investissement-en-sante-une-nouvelle-politique-au-service-de-la-qualite-des-11226/csis
https://sante.gouv.fr/soins-et-maladies/qualite-securite-et-pertinence-des-soins/securite-des-prises-en-charge/securite-des-soins-et-des-patients/article/ameliorer-la-securite-des-patients-et-des-residents-la-1ere-feuille-de-route
https://www.statistiques.developpement-durable.gouv.fr/construction-de-locaux-resultats-fin-janvier-2026-france-entiere
https://www.insee.fr/fr/statistiques/8671745
https://www.insee.fr/fr/statistiques/8906564</v>
      </c>
      <c r="GG45" s="529"/>
      <c r="GH45" s="563">
        <f t="shared" si="185"/>
        <v>11540.096705</v>
      </c>
      <c r="GI45" s="563">
        <f t="shared" si="116"/>
        <v>9558.4555624999994</v>
      </c>
      <c r="GJ45" s="563">
        <f t="shared" si="186"/>
        <v>1981.6411424999999</v>
      </c>
      <c r="GK45" s="563">
        <f t="shared" si="187"/>
        <v>4983.7155681818185</v>
      </c>
      <c r="GL45" s="563">
        <f t="shared" si="117"/>
        <v>4140.4640181818186</v>
      </c>
      <c r="GM45" s="563">
        <f t="shared" si="188"/>
        <v>843.25154999999995</v>
      </c>
      <c r="GN45" s="563">
        <f t="shared" si="189"/>
        <v>6562.2325575000004</v>
      </c>
      <c r="GO45" s="563">
        <f t="shared" si="118"/>
        <v>5592.4932750000007</v>
      </c>
      <c r="GP45" s="563">
        <f t="shared" si="190"/>
        <v>969.73928249999994</v>
      </c>
      <c r="GQ45" s="563">
        <f t="shared" si="191"/>
        <v>2684.1197550000002</v>
      </c>
      <c r="GR45" s="563">
        <f t="shared" si="119"/>
        <v>2262.4939800000002</v>
      </c>
      <c r="GS45" s="563">
        <f t="shared" si="192"/>
        <v>421.62577499999998</v>
      </c>
      <c r="GT45" s="563">
        <f t="shared" si="193"/>
        <v>10830.264585090907</v>
      </c>
      <c r="GU45" s="563">
        <f t="shared" si="120"/>
        <v>9053.8146530909071</v>
      </c>
      <c r="GV45" s="563">
        <f t="shared" si="194"/>
        <v>1776.449932</v>
      </c>
      <c r="GW45" s="563">
        <f t="shared" si="195"/>
        <v>2049.1161664000001</v>
      </c>
      <c r="GX45" s="563">
        <f t="shared" si="121"/>
        <v>1689.3288384</v>
      </c>
      <c r="GY45" s="563">
        <f t="shared" si="196"/>
        <v>359.787328</v>
      </c>
      <c r="GZ45" s="563">
        <f t="shared" si="197"/>
        <v>708.96615599999996</v>
      </c>
      <c r="HA45" s="563">
        <f t="shared" si="122"/>
        <v>596.53261599999996</v>
      </c>
      <c r="HB45" s="563">
        <f t="shared" si="198"/>
        <v>112.43353999999999</v>
      </c>
      <c r="HC45" s="563">
        <f t="shared" si="199"/>
        <v>70.45219139999999</v>
      </c>
      <c r="HD45" s="563">
        <f t="shared" si="123"/>
        <v>60.333172799999993</v>
      </c>
      <c r="HE45" s="563">
        <f t="shared" si="200"/>
        <v>10.119018599999999</v>
      </c>
      <c r="HF45" s="563">
        <f t="shared" si="201"/>
        <v>124.44356733333331</v>
      </c>
      <c r="HG45" s="563">
        <f t="shared" si="124"/>
        <v>101.95685933333331</v>
      </c>
      <c r="HH45" s="563">
        <f t="shared" si="202"/>
        <v>22.486708</v>
      </c>
      <c r="HI45" s="563">
        <f t="shared" si="203"/>
        <v>108.94891685</v>
      </c>
      <c r="HJ45" s="563">
        <f t="shared" si="125"/>
        <v>93.208221250000008</v>
      </c>
      <c r="HK45" s="563">
        <f t="shared" si="204"/>
        <v>15.7406956</v>
      </c>
      <c r="HL45" s="563">
        <f t="shared" si="205"/>
        <v>53.120227399999997</v>
      </c>
      <c r="HM45" s="563">
        <f t="shared" si="126"/>
        <v>45.2498796</v>
      </c>
      <c r="HN45" s="563">
        <f t="shared" si="206"/>
        <v>7.8703478000000002</v>
      </c>
      <c r="HO45" s="563">
        <f t="shared" si="207"/>
        <v>16597.501217999998</v>
      </c>
      <c r="HP45" s="563">
        <f t="shared" si="127"/>
        <v>13764.176009999999</v>
      </c>
      <c r="HQ45" s="563">
        <f t="shared" si="208"/>
        <v>2833.3252079999997</v>
      </c>
      <c r="HR45" s="563">
        <f t="shared" si="209"/>
        <v>3440.9284668</v>
      </c>
      <c r="HS45" s="563">
        <f t="shared" si="128"/>
        <v>2752.8352019999998</v>
      </c>
      <c r="HT45" s="563">
        <f t="shared" si="210"/>
        <v>688.09326480000004</v>
      </c>
      <c r="HU45" s="563">
        <f t="shared" si="211"/>
        <v>2925.2019592000006</v>
      </c>
      <c r="HV45" s="563">
        <f t="shared" si="129"/>
        <v>2399.0129920000004</v>
      </c>
      <c r="HW45" s="563">
        <f t="shared" si="212"/>
        <v>526.18896719999998</v>
      </c>
      <c r="HX45" s="544"/>
      <c r="HY45" s="568">
        <f t="shared" si="213"/>
        <v>122764</v>
      </c>
      <c r="HZ45" s="568">
        <f t="shared" si="214"/>
        <v>0</v>
      </c>
      <c r="IA45" s="568">
        <f t="shared" si="215"/>
        <v>9242.1702000000005</v>
      </c>
      <c r="IB45" s="568">
        <f t="shared" si="216"/>
        <v>66881.631300000008</v>
      </c>
      <c r="IC45" s="568">
        <f t="shared" si="217"/>
        <v>43194.252200000003</v>
      </c>
      <c r="ID45" s="568">
        <f t="shared" si="218"/>
        <v>3445.9463000000001</v>
      </c>
      <c r="IE45" s="568">
        <f t="shared" si="219"/>
        <v>52110.355280156058</v>
      </c>
      <c r="IF45" s="568">
        <f t="shared" si="220"/>
        <v>0</v>
      </c>
      <c r="IG45" s="568">
        <f t="shared" si="221"/>
        <v>256.82240781257241</v>
      </c>
      <c r="IH45" s="568">
        <f t="shared" si="222"/>
        <v>22642.151133120395</v>
      </c>
      <c r="II45" s="568">
        <f t="shared" si="223"/>
        <v>25369.193737952264</v>
      </c>
      <c r="IJ45" s="568">
        <f t="shared" si="224"/>
        <v>3842.1880012708261</v>
      </c>
      <c r="IK45" s="868">
        <v>4.0999999999999996</v>
      </c>
      <c r="IL45" s="569" t="s">
        <v>2589</v>
      </c>
      <c r="IM45" s="570" t="s">
        <v>3351</v>
      </c>
      <c r="IN45" s="529"/>
      <c r="IO45" s="742">
        <v>0</v>
      </c>
      <c r="IP45" s="742">
        <v>7.7799999999999994E-2</v>
      </c>
      <c r="IQ45" s="742">
        <v>0.54769999999999996</v>
      </c>
      <c r="IR45" s="742">
        <v>0.34749999999999998</v>
      </c>
      <c r="IS45" s="742">
        <v>2.7E-2</v>
      </c>
      <c r="IT45" s="742">
        <v>0</v>
      </c>
      <c r="IU45" s="742">
        <v>5.0000000000000001E-3</v>
      </c>
      <c r="IV45" s="742">
        <v>0.43909999999999999</v>
      </c>
      <c r="IW45" s="742">
        <v>0.48449999999999999</v>
      </c>
      <c r="IX45" s="742">
        <v>7.1400000000000005E-2</v>
      </c>
      <c r="IY45" s="742">
        <v>0</v>
      </c>
      <c r="IZ45" s="742">
        <v>5.7599999999999998E-2</v>
      </c>
      <c r="JA45" s="742">
        <v>0.52929999999999999</v>
      </c>
      <c r="JB45" s="742">
        <v>0.379</v>
      </c>
      <c r="JC45" s="742">
        <v>3.4099999999999998E-2</v>
      </c>
      <c r="JD45" s="742">
        <v>0</v>
      </c>
      <c r="JE45" s="742">
        <v>0</v>
      </c>
      <c r="JF45" s="742">
        <v>0.40799999999999997</v>
      </c>
      <c r="JG45" s="742">
        <v>0.50539999999999996</v>
      </c>
      <c r="JH45" s="742">
        <v>8.6599999999999996E-2</v>
      </c>
      <c r="JI45" s="742">
        <v>0</v>
      </c>
      <c r="JJ45" s="742">
        <v>0.18959999999999999</v>
      </c>
      <c r="JK45" s="742">
        <v>0.5726</v>
      </c>
      <c r="JL45" s="742">
        <v>0.22889999999999999</v>
      </c>
      <c r="JM45" s="742">
        <v>8.8999999999999999E-3</v>
      </c>
      <c r="JN45" s="742">
        <v>0</v>
      </c>
      <c r="JO45" s="742">
        <v>7.4200000000000002E-2</v>
      </c>
      <c r="JP45" s="742">
        <v>0.54490000000000005</v>
      </c>
      <c r="JQ45" s="742">
        <v>0.3528</v>
      </c>
      <c r="JR45" s="742">
        <v>2.81E-2</v>
      </c>
      <c r="JS45" s="742">
        <v>0</v>
      </c>
      <c r="JT45" s="742">
        <v>8.09E-2</v>
      </c>
      <c r="JU45" s="742">
        <v>0.55000000000000004</v>
      </c>
      <c r="JV45" s="742">
        <v>0.34300000000000003</v>
      </c>
      <c r="JW45" s="742">
        <v>2.6100000000000002E-2</v>
      </c>
      <c r="JX45" s="742">
        <v>0</v>
      </c>
      <c r="JY45" s="742">
        <v>6.7000000000000002E-3</v>
      </c>
      <c r="JZ45" s="742">
        <v>0.44340000000000002</v>
      </c>
      <c r="KA45" s="742">
        <v>0.48049999999999998</v>
      </c>
      <c r="KB45" s="742">
        <v>6.9400000000000003E-2</v>
      </c>
      <c r="KC45" s="657"/>
      <c r="KD45" s="832" t="s">
        <v>2590</v>
      </c>
      <c r="KE45" s="832" t="s">
        <v>2590</v>
      </c>
      <c r="KF45" s="869">
        <v>4.3499999999999996</v>
      </c>
      <c r="KG45" s="832" t="s">
        <v>2589</v>
      </c>
      <c r="KH45" s="833" t="s">
        <v>3352</v>
      </c>
      <c r="KI45" s="832" t="s">
        <v>3353</v>
      </c>
      <c r="KJ45" s="833" t="s">
        <v>3354</v>
      </c>
    </row>
    <row r="46" spans="1:296" ht="48" customHeight="1">
      <c r="A46" s="273">
        <f t="shared" si="225"/>
        <v>39</v>
      </c>
      <c r="B46" s="274" t="s">
        <v>2241</v>
      </c>
      <c r="C46" s="274" t="s">
        <v>1053</v>
      </c>
      <c r="D46" s="274" t="s">
        <v>2331</v>
      </c>
      <c r="E46" s="275" t="s">
        <v>2256</v>
      </c>
      <c r="F46" s="275" t="s">
        <v>300</v>
      </c>
      <c r="G46" s="275" t="s">
        <v>300</v>
      </c>
      <c r="H46" s="275" t="s">
        <v>2109</v>
      </c>
      <c r="I46" s="276" t="s">
        <v>3320</v>
      </c>
      <c r="J46" s="276" t="s">
        <v>3355</v>
      </c>
      <c r="K46" s="277" t="s">
        <v>2109</v>
      </c>
      <c r="L46" s="277" t="s">
        <v>2109</v>
      </c>
      <c r="M46" s="277" t="s">
        <v>2603</v>
      </c>
      <c r="N46" s="277" t="s">
        <v>3322</v>
      </c>
      <c r="O46" s="275" t="s">
        <v>2616</v>
      </c>
      <c r="P46" s="276"/>
      <c r="Q46" s="270">
        <v>1</v>
      </c>
      <c r="R46" s="278">
        <v>15000</v>
      </c>
      <c r="S46" s="279">
        <v>1216</v>
      </c>
      <c r="T46" s="279">
        <v>1156</v>
      </c>
      <c r="U46" s="279">
        <v>1099</v>
      </c>
      <c r="V46" s="279">
        <v>1045</v>
      </c>
      <c r="W46" s="279">
        <v>1035</v>
      </c>
      <c r="X46" s="279">
        <v>1025</v>
      </c>
      <c r="Y46" s="279">
        <v>1015</v>
      </c>
      <c r="Z46" s="279">
        <v>1005</v>
      </c>
      <c r="AA46" s="279">
        <v>1000</v>
      </c>
      <c r="AB46" s="279">
        <v>995</v>
      </c>
      <c r="AC46" s="279">
        <v>990</v>
      </c>
      <c r="AD46" s="279">
        <v>985</v>
      </c>
      <c r="AE46" s="279">
        <v>980</v>
      </c>
      <c r="AF46" s="279">
        <v>975</v>
      </c>
      <c r="AG46" s="279">
        <v>970</v>
      </c>
      <c r="AH46" s="279">
        <v>965</v>
      </c>
      <c r="AI46" s="279">
        <v>960</v>
      </c>
      <c r="AJ46" s="279">
        <v>955</v>
      </c>
      <c r="AK46" s="279">
        <v>950</v>
      </c>
      <c r="AL46" s="276" t="s">
        <v>2101</v>
      </c>
      <c r="AM46" s="276" t="s">
        <v>3356</v>
      </c>
      <c r="AN46" s="276" t="s">
        <v>2334</v>
      </c>
      <c r="AO46" s="657"/>
      <c r="AP46" s="278">
        <v>180</v>
      </c>
      <c r="AQ46" s="278">
        <v>101</v>
      </c>
      <c r="AR46" s="278">
        <v>47</v>
      </c>
      <c r="AS46" s="278">
        <v>32</v>
      </c>
      <c r="AT46" s="657"/>
      <c r="AU46" s="281" t="s">
        <v>3357</v>
      </c>
      <c r="AV46" s="296" t="s">
        <v>3358</v>
      </c>
      <c r="AW46" s="296" t="s">
        <v>2976</v>
      </c>
      <c r="AX46" s="276" t="s">
        <v>3299</v>
      </c>
      <c r="AY46" s="657"/>
      <c r="AZ46" s="947">
        <v>60</v>
      </c>
      <c r="BA46" s="947">
        <v>36</v>
      </c>
      <c r="BB46" s="947">
        <v>1</v>
      </c>
      <c r="BC46" s="947">
        <v>58</v>
      </c>
      <c r="BD46" s="826">
        <f t="shared" si="130"/>
        <v>151125</v>
      </c>
      <c r="BE46" s="283">
        <f t="shared" si="131"/>
        <v>58500</v>
      </c>
      <c r="BF46" s="283">
        <f t="shared" si="132"/>
        <v>35100</v>
      </c>
      <c r="BG46" s="283">
        <f t="shared" si="133"/>
        <v>975</v>
      </c>
      <c r="BH46" s="283">
        <f t="shared" si="134"/>
        <v>56550</v>
      </c>
      <c r="BI46" s="826">
        <f t="shared" si="135"/>
        <v>147250</v>
      </c>
      <c r="BJ46" s="283">
        <f t="shared" si="136"/>
        <v>57000</v>
      </c>
      <c r="BK46" s="283">
        <f t="shared" si="137"/>
        <v>34200</v>
      </c>
      <c r="BL46" s="283">
        <f t="shared" si="138"/>
        <v>950</v>
      </c>
      <c r="BM46" s="283">
        <f t="shared" si="139"/>
        <v>55100</v>
      </c>
      <c r="BN46" s="657"/>
      <c r="BO46" s="305">
        <v>0.5</v>
      </c>
      <c r="BP46" s="305">
        <v>0.2</v>
      </c>
      <c r="BQ46" s="305">
        <v>0.2</v>
      </c>
      <c r="BR46" s="581">
        <v>0.1</v>
      </c>
      <c r="BS46" s="706">
        <v>0.47</v>
      </c>
      <c r="BT46" s="305">
        <v>0.2</v>
      </c>
      <c r="BU46" s="305">
        <v>0.23</v>
      </c>
      <c r="BV46" s="581">
        <v>0.1</v>
      </c>
      <c r="BW46" s="713">
        <v>0.82</v>
      </c>
      <c r="BX46" s="306">
        <v>0.14000000000000001</v>
      </c>
      <c r="BY46" s="590">
        <v>0.04</v>
      </c>
      <c r="BZ46" s="713">
        <v>0.79</v>
      </c>
      <c r="CA46" s="306">
        <v>0.16</v>
      </c>
      <c r="CB46" s="590">
        <v>0.05</v>
      </c>
      <c r="CC46" s="706">
        <v>0.2</v>
      </c>
      <c r="CD46" s="305">
        <v>0.4</v>
      </c>
      <c r="CE46" s="305">
        <v>0.25</v>
      </c>
      <c r="CF46" s="581">
        <v>0.15</v>
      </c>
      <c r="CG46" s="706">
        <v>0.18</v>
      </c>
      <c r="CH46" s="305">
        <v>0.4</v>
      </c>
      <c r="CI46" s="305">
        <v>0.28000000000000003</v>
      </c>
      <c r="CJ46" s="581">
        <v>0.14000000000000001</v>
      </c>
      <c r="CK46" s="719">
        <v>0.75</v>
      </c>
      <c r="CL46" s="307">
        <v>0.15</v>
      </c>
      <c r="CM46" s="723">
        <v>0.1</v>
      </c>
      <c r="CN46" s="719">
        <v>0.7</v>
      </c>
      <c r="CO46" s="307">
        <v>0.17</v>
      </c>
      <c r="CP46" s="723">
        <v>0.13</v>
      </c>
      <c r="CQ46" s="657"/>
      <c r="CR46" s="804">
        <v>12</v>
      </c>
      <c r="CS46" s="805">
        <v>11</v>
      </c>
      <c r="CT46" s="805">
        <v>8</v>
      </c>
      <c r="CU46" s="806">
        <v>10</v>
      </c>
      <c r="CV46" s="804">
        <v>11</v>
      </c>
      <c r="CW46" s="805">
        <v>10</v>
      </c>
      <c r="CX46" s="806">
        <v>8</v>
      </c>
      <c r="CY46" s="804">
        <v>10</v>
      </c>
      <c r="CZ46" s="805">
        <v>12</v>
      </c>
      <c r="DA46" s="805">
        <v>8</v>
      </c>
      <c r="DB46" s="806">
        <v>10</v>
      </c>
      <c r="DC46" s="804">
        <v>12</v>
      </c>
      <c r="DD46" s="805">
        <v>12</v>
      </c>
      <c r="DE46" s="806">
        <v>9</v>
      </c>
      <c r="DF46" s="609" t="s">
        <v>3359</v>
      </c>
      <c r="DG46" s="657"/>
      <c r="DH46" s="308">
        <f t="shared" si="140"/>
        <v>29250</v>
      </c>
      <c r="DI46" s="308">
        <f t="shared" si="141"/>
        <v>11700</v>
      </c>
      <c r="DJ46" s="308">
        <f t="shared" si="142"/>
        <v>11700</v>
      </c>
      <c r="DK46" s="308">
        <f t="shared" si="143"/>
        <v>5850</v>
      </c>
      <c r="DL46" s="287" t="s">
        <v>3345</v>
      </c>
      <c r="DM46" s="308">
        <f t="shared" si="144"/>
        <v>26790</v>
      </c>
      <c r="DN46" s="308">
        <f t="shared" si="145"/>
        <v>11400</v>
      </c>
      <c r="DO46" s="308">
        <f t="shared" si="146"/>
        <v>13110</v>
      </c>
      <c r="DP46" s="308">
        <f t="shared" si="147"/>
        <v>5700</v>
      </c>
      <c r="DQ46" s="289" t="s">
        <v>3301</v>
      </c>
      <c r="DR46" s="657"/>
      <c r="DS46" s="308">
        <f t="shared" si="148"/>
        <v>28782</v>
      </c>
      <c r="DT46" s="308">
        <f t="shared" si="149"/>
        <v>4914.0000000000009</v>
      </c>
      <c r="DU46" s="308">
        <f t="shared" si="150"/>
        <v>1404</v>
      </c>
      <c r="DV46" s="289" t="s">
        <v>3346</v>
      </c>
      <c r="DW46" s="308">
        <f t="shared" si="151"/>
        <v>27018</v>
      </c>
      <c r="DX46" s="308">
        <f t="shared" si="152"/>
        <v>5472</v>
      </c>
      <c r="DY46" s="308">
        <f t="shared" si="153"/>
        <v>1710</v>
      </c>
      <c r="DZ46" s="289" t="s">
        <v>3303</v>
      </c>
      <c r="EA46" s="657"/>
      <c r="EB46" s="308">
        <f t="shared" si="154"/>
        <v>195</v>
      </c>
      <c r="EC46" s="308">
        <f t="shared" si="155"/>
        <v>390</v>
      </c>
      <c r="ED46" s="308">
        <f t="shared" si="156"/>
        <v>243.75</v>
      </c>
      <c r="EE46" s="308">
        <f t="shared" si="157"/>
        <v>146.25</v>
      </c>
      <c r="EF46" s="289" t="s">
        <v>3347</v>
      </c>
      <c r="EG46" s="308">
        <f t="shared" si="158"/>
        <v>171</v>
      </c>
      <c r="EH46" s="308">
        <f t="shared" si="159"/>
        <v>380</v>
      </c>
      <c r="EI46" s="308">
        <f t="shared" si="160"/>
        <v>266</v>
      </c>
      <c r="EJ46" s="308">
        <f t="shared" si="161"/>
        <v>133</v>
      </c>
      <c r="EK46" s="309" t="s">
        <v>3305</v>
      </c>
      <c r="EL46" s="657"/>
      <c r="EM46" s="308">
        <f t="shared" si="162"/>
        <v>42412.5</v>
      </c>
      <c r="EN46" s="310">
        <f t="shared" si="163"/>
        <v>8482.5</v>
      </c>
      <c r="EO46" s="310">
        <f t="shared" si="164"/>
        <v>5655</v>
      </c>
      <c r="EP46" s="289" t="s">
        <v>3348</v>
      </c>
      <c r="EQ46" s="308">
        <f t="shared" si="165"/>
        <v>38570</v>
      </c>
      <c r="ER46" s="310">
        <f t="shared" si="166"/>
        <v>9367</v>
      </c>
      <c r="ES46" s="310">
        <f t="shared" si="167"/>
        <v>7163</v>
      </c>
      <c r="ET46" s="289" t="s">
        <v>3307</v>
      </c>
      <c r="EU46" s="657"/>
      <c r="EV46" s="728">
        <f t="shared" si="168"/>
        <v>0.83041575418601343</v>
      </c>
      <c r="EW46" s="728">
        <f t="shared" si="169"/>
        <v>0.16958424581398648</v>
      </c>
      <c r="EX46" s="311">
        <f t="shared" si="170"/>
        <v>78501.403158653789</v>
      </c>
      <c r="EY46" s="311">
        <f t="shared" si="171"/>
        <v>65188.801908653782</v>
      </c>
      <c r="EZ46" s="311">
        <f t="shared" si="172"/>
        <v>13312.60125</v>
      </c>
      <c r="FA46" s="311">
        <f t="shared" si="173"/>
        <v>31270.71995090909</v>
      </c>
      <c r="FB46" s="311">
        <f t="shared" si="174"/>
        <v>26117.45495090909</v>
      </c>
      <c r="FC46" s="311">
        <f t="shared" si="175"/>
        <v>5153.2650000000003</v>
      </c>
      <c r="FD46" s="311">
        <f t="shared" si="176"/>
        <v>18492.713800036363</v>
      </c>
      <c r="FE46" s="311">
        <f t="shared" si="177"/>
        <v>15400.754800036364</v>
      </c>
      <c r="FF46" s="311">
        <f t="shared" si="178"/>
        <v>3091.9589999999998</v>
      </c>
      <c r="FG46" s="311">
        <f t="shared" si="179"/>
        <v>540.50940470833336</v>
      </c>
      <c r="FH46" s="311">
        <f t="shared" si="180"/>
        <v>454.62165470833332</v>
      </c>
      <c r="FI46" s="311">
        <f t="shared" si="181"/>
        <v>85.887749999999997</v>
      </c>
      <c r="FJ46" s="311">
        <f t="shared" si="182"/>
        <v>28197.460003</v>
      </c>
      <c r="FK46" s="311">
        <f t="shared" si="183"/>
        <v>23215.970503</v>
      </c>
      <c r="FL46" s="311">
        <f t="shared" si="184"/>
        <v>4981.4894999999997</v>
      </c>
      <c r="FM46" s="657"/>
      <c r="FN46" s="293" t="s">
        <v>2649</v>
      </c>
      <c r="FO46" s="728">
        <v>8.8090000000000002E-2</v>
      </c>
      <c r="FP46" s="729">
        <v>0.89461999999999997</v>
      </c>
      <c r="FQ46" s="294" t="s">
        <v>3349</v>
      </c>
      <c r="FR46" s="657"/>
      <c r="FS46" s="865">
        <v>3.45</v>
      </c>
      <c r="FT46" s="312">
        <f>RANK($FS46,$FS$8:$FS$154,0)+COUNTIF($FS$8:$FS46,$FS46)-1</f>
        <v>49</v>
      </c>
      <c r="FU46" s="865">
        <v>4.1900000000000004</v>
      </c>
      <c r="FV46" s="312">
        <f>RANK($FU46,$FU$8:$FU$154,0)+COUNTIF($FU$8:$FU46,$FU46)-1</f>
        <v>46</v>
      </c>
      <c r="FW46" s="865">
        <v>2.54</v>
      </c>
      <c r="FX46" s="312">
        <f>RANK($FW46,$FW$8:$FW$154,0)+COUNTIF($FW$8:$FW46,$FW46)-1</f>
        <v>31</v>
      </c>
      <c r="FY46" s="657"/>
      <c r="FZ46" s="296" t="s">
        <v>3309</v>
      </c>
      <c r="GA46" s="296" t="s">
        <v>3350</v>
      </c>
      <c r="GB46" s="296" t="s">
        <v>3311</v>
      </c>
      <c r="GC46" s="296" t="s">
        <v>3312</v>
      </c>
      <c r="GD46" s="296" t="s">
        <v>3313</v>
      </c>
      <c r="GE46" s="296" t="s">
        <v>3314</v>
      </c>
      <c r="GF46" s="296" t="str">
        <f>HYPERLINK("https://sante.gouv.fr/actualites-presse/presse/communiques-de-presse/article/campagne-tarifaire-et-budgetaire-2026-des-etablissements-de-sante-3-6-milliards","https://sante.gouv.fr/actualites-presse/presse/communiques-de-presse/article/campagne-tarifaire-et-budgetaire-2026-des-etablissements-de-sante-3-6-milliards")&amp;CHAR(10)&amp;HYPERLINK("https://sante.gouv.fr/systeme-de-sante/segur-de-la-sante/investissement-en-sante-une-nouvelle-politique-au-service-de-la-qualite-des-11226/csis","https://sante.gouv.fr/systeme-de-sante/segur-de-la-sante/investissement-en-sante-une-nouvelle-politique-au-service-de-la-qualite-des-11226/csis")&amp;CHAR(10)&amp;HYPERLINK("https://sante.gouv.fr/soins-et-maladies/qualite-securite-et-pertinence-des-soins/securite-des-prises-en-charge/securite-des-soins-et-des-patients/article/ameliorer-la-securite-des-patients-et-des-residents-la-1ere-feuille-de-route","https://sante.gouv.fr/soins-et-maladies/qualite-securite-et-pertinence-des-soins/securite-des-prises-en-charge/securite-des-soins-et-des-patients/article/ameliorer-la-securite-des-patients-et-des-residents-la-1ere-feuille-de-route")&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https://sante.gouv.fr/actualites-presse/presse/communiques-de-presse/article/campagne-tarifaire-et-budgetaire-2026-des-etablissements-de-sante-3-6-milliards
https://sante.gouv.fr/systeme-de-sante/segur-de-la-sante/investissement-en-sante-une-nouvelle-politique-au-service-de-la-qualite-des-11226/csis
https://sante.gouv.fr/soins-et-maladies/qualite-securite-et-pertinence-des-soins/securite-des-prises-en-charge/securite-des-soins-et-des-patients/article/ameliorer-la-securite-des-patients-et-des-residents-la-1ere-feuille-de-route
https://www.statistiques.developpement-durable.gouv.fr/construction-de-locaux-resultats-fin-janvier-2026-france-entiere
https://www.insee.fr/fr/statistiques/8671745
https://www.insee.fr/fr/statistiques/8906564</v>
      </c>
      <c r="GG46" s="657"/>
      <c r="GH46" s="311">
        <f t="shared" si="185"/>
        <v>14094.589</v>
      </c>
      <c r="GI46" s="311">
        <f t="shared" si="116"/>
        <v>11672.55445</v>
      </c>
      <c r="GJ46" s="311">
        <f t="shared" si="186"/>
        <v>2422.0345499999999</v>
      </c>
      <c r="GK46" s="311">
        <f t="shared" si="187"/>
        <v>6032.3920909090912</v>
      </c>
      <c r="GL46" s="311">
        <f t="shared" si="117"/>
        <v>5001.7390909090909</v>
      </c>
      <c r="GM46" s="311">
        <f t="shared" si="188"/>
        <v>1030.653</v>
      </c>
      <c r="GN46" s="311">
        <f t="shared" si="189"/>
        <v>7901.6106</v>
      </c>
      <c r="GO46" s="311">
        <f t="shared" si="118"/>
        <v>6716.3596500000003</v>
      </c>
      <c r="GP46" s="311">
        <f t="shared" si="190"/>
        <v>1185.2509500000001</v>
      </c>
      <c r="GQ46" s="311">
        <f t="shared" si="191"/>
        <v>3242.12826</v>
      </c>
      <c r="GR46" s="311">
        <f t="shared" si="119"/>
        <v>2726.8017599999998</v>
      </c>
      <c r="GS46" s="311">
        <f t="shared" si="192"/>
        <v>515.32650000000001</v>
      </c>
      <c r="GT46" s="311">
        <f t="shared" si="193"/>
        <v>14746.925773636363</v>
      </c>
      <c r="GU46" s="311">
        <f t="shared" si="120"/>
        <v>12304.278163636363</v>
      </c>
      <c r="GV46" s="311">
        <f t="shared" si="194"/>
        <v>2442.64761</v>
      </c>
      <c r="GW46" s="311">
        <f t="shared" si="195"/>
        <v>2785.2269184000006</v>
      </c>
      <c r="GX46" s="311">
        <f t="shared" si="121"/>
        <v>2290.5134784000006</v>
      </c>
      <c r="GY46" s="311">
        <f t="shared" si="196"/>
        <v>494.71343999999999</v>
      </c>
      <c r="GZ46" s="311">
        <f t="shared" si="197"/>
        <v>960.56110799999988</v>
      </c>
      <c r="HA46" s="311">
        <f t="shared" si="122"/>
        <v>805.96315799999991</v>
      </c>
      <c r="HB46" s="311">
        <f t="shared" si="198"/>
        <v>154.59795</v>
      </c>
      <c r="HC46" s="311">
        <f t="shared" si="199"/>
        <v>106.35318699999999</v>
      </c>
      <c r="HD46" s="311">
        <f t="shared" si="123"/>
        <v>90.893391999999992</v>
      </c>
      <c r="HE46" s="311">
        <f t="shared" si="200"/>
        <v>15.459795</v>
      </c>
      <c r="HF46" s="311">
        <f t="shared" si="201"/>
        <v>189.9891593333333</v>
      </c>
      <c r="HG46" s="311">
        <f t="shared" si="124"/>
        <v>155.63405933333331</v>
      </c>
      <c r="HH46" s="311">
        <f t="shared" si="202"/>
        <v>34.3551</v>
      </c>
      <c r="HI46" s="311">
        <f t="shared" si="203"/>
        <v>163.972729375</v>
      </c>
      <c r="HJ46" s="311">
        <f t="shared" si="125"/>
        <v>139.92415937499999</v>
      </c>
      <c r="HK46" s="311">
        <f t="shared" si="204"/>
        <v>24.048570000000002</v>
      </c>
      <c r="HL46" s="311">
        <f t="shared" si="205"/>
        <v>80.19432900000001</v>
      </c>
      <c r="HM46" s="311">
        <f t="shared" si="126"/>
        <v>68.170044000000004</v>
      </c>
      <c r="HN46" s="311">
        <f t="shared" si="206"/>
        <v>12.024285000000001</v>
      </c>
      <c r="HO46" s="311">
        <f t="shared" si="207"/>
        <v>20412.246602499999</v>
      </c>
      <c r="HP46" s="311">
        <f t="shared" si="127"/>
        <v>16925.2039525</v>
      </c>
      <c r="HQ46" s="311">
        <f t="shared" si="208"/>
        <v>3487.0426499999994</v>
      </c>
      <c r="HR46" s="311">
        <f t="shared" si="209"/>
        <v>4231.8940054999994</v>
      </c>
      <c r="HS46" s="311">
        <f t="shared" si="128"/>
        <v>3385.0407904999993</v>
      </c>
      <c r="HT46" s="311">
        <f t="shared" si="210"/>
        <v>846.85321499999998</v>
      </c>
      <c r="HU46" s="311">
        <f t="shared" si="211"/>
        <v>3553.3193950000004</v>
      </c>
      <c r="HV46" s="311">
        <f t="shared" si="129"/>
        <v>2905.7257600000003</v>
      </c>
      <c r="HW46" s="311">
        <f t="shared" si="212"/>
        <v>647.59363499999995</v>
      </c>
      <c r="HY46" s="313">
        <f t="shared" si="213"/>
        <v>151125</v>
      </c>
      <c r="HZ46" s="313">
        <f t="shared" si="214"/>
        <v>0</v>
      </c>
      <c r="IA46" s="313">
        <f t="shared" si="215"/>
        <v>7649.9475000000002</v>
      </c>
      <c r="IB46" s="313">
        <f t="shared" si="216"/>
        <v>78447.232499999998</v>
      </c>
      <c r="IC46" s="313">
        <f t="shared" si="217"/>
        <v>59282.535000000003</v>
      </c>
      <c r="ID46" s="313">
        <f t="shared" si="218"/>
        <v>5745.2849999999999</v>
      </c>
      <c r="IE46" s="313">
        <f t="shared" si="219"/>
        <v>65188.80190865379</v>
      </c>
      <c r="IF46" s="313">
        <f t="shared" si="220"/>
        <v>0</v>
      </c>
      <c r="IG46" s="313">
        <f t="shared" si="221"/>
        <v>27.095450620616667</v>
      </c>
      <c r="IH46" s="313">
        <f t="shared" si="222"/>
        <v>25635.938957016875</v>
      </c>
      <c r="II46" s="313">
        <f t="shared" si="223"/>
        <v>33336.720300218731</v>
      </c>
      <c r="IJ46" s="313">
        <f t="shared" si="224"/>
        <v>6189.0472007975695</v>
      </c>
      <c r="IK46" s="866">
        <v>4.0999999999999996</v>
      </c>
      <c r="IL46" s="314" t="s">
        <v>2589</v>
      </c>
      <c r="IM46" s="299" t="s">
        <v>3351</v>
      </c>
      <c r="IN46" s="657"/>
      <c r="IO46" s="730">
        <v>0</v>
      </c>
      <c r="IP46" s="730">
        <v>3.7400000000000003E-2</v>
      </c>
      <c r="IQ46" s="730">
        <v>0.50339999999999996</v>
      </c>
      <c r="IR46" s="730">
        <v>0.41510000000000002</v>
      </c>
      <c r="IS46" s="730">
        <v>4.41E-2</v>
      </c>
      <c r="IT46" s="730">
        <v>0</v>
      </c>
      <c r="IU46" s="730">
        <v>0</v>
      </c>
      <c r="IV46" s="730">
        <v>0.371</v>
      </c>
      <c r="IW46" s="730">
        <v>0.52210000000000001</v>
      </c>
      <c r="IX46" s="730">
        <v>0.1069</v>
      </c>
      <c r="IY46" s="730">
        <v>0</v>
      </c>
      <c r="IZ46" s="730">
        <v>4.4600000000000001E-2</v>
      </c>
      <c r="JA46" s="730">
        <v>0.51370000000000005</v>
      </c>
      <c r="JB46" s="730">
        <v>0.40160000000000001</v>
      </c>
      <c r="JC46" s="730">
        <v>4.0099999999999997E-2</v>
      </c>
      <c r="JD46" s="730">
        <v>0</v>
      </c>
      <c r="JE46" s="730">
        <v>0</v>
      </c>
      <c r="JF46" s="730">
        <v>0.38479999999999998</v>
      </c>
      <c r="JG46" s="730">
        <v>0.51619999999999999</v>
      </c>
      <c r="JH46" s="730">
        <v>9.9000000000000005E-2</v>
      </c>
      <c r="JI46" s="730">
        <v>0</v>
      </c>
      <c r="JJ46" s="730">
        <v>0.16850000000000001</v>
      </c>
      <c r="JK46" s="730">
        <v>0.57489999999999997</v>
      </c>
      <c r="JL46" s="730">
        <v>0.24579999999999999</v>
      </c>
      <c r="JM46" s="730">
        <v>1.0800000000000001E-2</v>
      </c>
      <c r="JN46" s="730">
        <v>0</v>
      </c>
      <c r="JO46" s="730">
        <v>5.96E-2</v>
      </c>
      <c r="JP46" s="730">
        <v>0.53139999999999998</v>
      </c>
      <c r="JQ46" s="730">
        <v>0.37569999999999998</v>
      </c>
      <c r="JR46" s="730">
        <v>3.3300000000000003E-2</v>
      </c>
      <c r="JS46" s="730">
        <v>0</v>
      </c>
      <c r="JT46" s="730">
        <v>6.6000000000000003E-2</v>
      </c>
      <c r="JU46" s="730">
        <v>0.53769999999999996</v>
      </c>
      <c r="JV46" s="730">
        <v>0.3654</v>
      </c>
      <c r="JW46" s="730">
        <v>3.09E-2</v>
      </c>
      <c r="JX46" s="730">
        <v>0</v>
      </c>
      <c r="JY46" s="730">
        <v>0</v>
      </c>
      <c r="JZ46" s="730">
        <v>0.42120000000000002</v>
      </c>
      <c r="KA46" s="730">
        <v>0.49880000000000002</v>
      </c>
      <c r="KB46" s="730">
        <v>0.08</v>
      </c>
      <c r="KC46" s="657"/>
      <c r="KD46" s="314" t="s">
        <v>2590</v>
      </c>
      <c r="KE46" s="314" t="s">
        <v>2590</v>
      </c>
      <c r="KF46" s="866">
        <v>4.3499999999999996</v>
      </c>
      <c r="KG46" s="314" t="s">
        <v>2589</v>
      </c>
      <c r="KH46" s="315" t="s">
        <v>3352</v>
      </c>
      <c r="KI46" s="314" t="s">
        <v>3353</v>
      </c>
      <c r="KJ46" s="315" t="s">
        <v>3360</v>
      </c>
    </row>
    <row r="47" spans="1:296" ht="48" customHeight="1">
      <c r="A47" s="265">
        <f t="shared" si="225"/>
        <v>40</v>
      </c>
      <c r="B47" s="266" t="s">
        <v>2241</v>
      </c>
      <c r="C47" s="266" t="s">
        <v>1053</v>
      </c>
      <c r="D47" s="624" t="s">
        <v>3361</v>
      </c>
      <c r="E47" s="267" t="s">
        <v>2256</v>
      </c>
      <c r="F47" s="267" t="s">
        <v>300</v>
      </c>
      <c r="G47" s="267" t="s">
        <v>300</v>
      </c>
      <c r="H47" s="267" t="s">
        <v>2109</v>
      </c>
      <c r="I47" s="268" t="s">
        <v>3362</v>
      </c>
      <c r="J47" s="268" t="s">
        <v>3363</v>
      </c>
      <c r="K47" s="269" t="s">
        <v>2097</v>
      </c>
      <c r="L47" s="269" t="s">
        <v>2109</v>
      </c>
      <c r="M47" s="269" t="s">
        <v>2603</v>
      </c>
      <c r="N47" s="269" t="s">
        <v>2175</v>
      </c>
      <c r="O47" s="267" t="s">
        <v>2616</v>
      </c>
      <c r="P47" s="268"/>
      <c r="Q47" s="270">
        <v>1</v>
      </c>
      <c r="R47" s="271">
        <v>12000</v>
      </c>
      <c r="S47" s="272">
        <v>9</v>
      </c>
      <c r="T47" s="272">
        <v>10</v>
      </c>
      <c r="U47" s="272">
        <v>18</v>
      </c>
      <c r="V47" s="272">
        <v>20</v>
      </c>
      <c r="W47" s="272">
        <v>20</v>
      </c>
      <c r="X47" s="272">
        <v>21</v>
      </c>
      <c r="Y47" s="272">
        <v>21</v>
      </c>
      <c r="Z47" s="272">
        <v>22</v>
      </c>
      <c r="AA47" s="272">
        <v>22</v>
      </c>
      <c r="AB47" s="272">
        <v>22</v>
      </c>
      <c r="AC47" s="272">
        <v>23</v>
      </c>
      <c r="AD47" s="272">
        <v>23</v>
      </c>
      <c r="AE47" s="272">
        <v>23</v>
      </c>
      <c r="AF47" s="272">
        <v>24</v>
      </c>
      <c r="AG47" s="272">
        <v>24</v>
      </c>
      <c r="AH47" s="272">
        <v>24</v>
      </c>
      <c r="AI47" s="272">
        <v>24</v>
      </c>
      <c r="AJ47" s="272">
        <v>24</v>
      </c>
      <c r="AK47" s="272">
        <v>24</v>
      </c>
      <c r="AL47" s="268" t="s">
        <v>2177</v>
      </c>
      <c r="AM47" s="268" t="s">
        <v>3364</v>
      </c>
      <c r="AN47" s="268" t="s">
        <v>2367</v>
      </c>
      <c r="AO47" s="657"/>
      <c r="AP47" s="271">
        <v>180</v>
      </c>
      <c r="AQ47" s="280">
        <v>105</v>
      </c>
      <c r="AR47" s="280">
        <v>43</v>
      </c>
      <c r="AS47" s="280">
        <v>32</v>
      </c>
      <c r="AT47" s="657"/>
      <c r="AU47" s="301" t="s">
        <v>3365</v>
      </c>
      <c r="AV47" s="572" t="s">
        <v>3366</v>
      </c>
      <c r="AW47" s="645" t="s">
        <v>2976</v>
      </c>
      <c r="AX47" s="290" t="s">
        <v>3299</v>
      </c>
      <c r="AY47" s="657"/>
      <c r="AZ47" s="948">
        <v>65</v>
      </c>
      <c r="BA47" s="948">
        <v>38</v>
      </c>
      <c r="BB47" s="948">
        <v>2</v>
      </c>
      <c r="BC47" s="948">
        <v>60</v>
      </c>
      <c r="BD47" s="825">
        <f t="shared" si="130"/>
        <v>3960</v>
      </c>
      <c r="BE47" s="304">
        <f t="shared" si="131"/>
        <v>1560</v>
      </c>
      <c r="BF47" s="304">
        <f t="shared" si="132"/>
        <v>912</v>
      </c>
      <c r="BG47" s="304">
        <f t="shared" si="133"/>
        <v>48</v>
      </c>
      <c r="BH47" s="304">
        <f t="shared" si="134"/>
        <v>1440</v>
      </c>
      <c r="BI47" s="825">
        <f t="shared" si="135"/>
        <v>3960</v>
      </c>
      <c r="BJ47" s="304">
        <f t="shared" si="136"/>
        <v>1560</v>
      </c>
      <c r="BK47" s="304">
        <f t="shared" si="137"/>
        <v>912</v>
      </c>
      <c r="BL47" s="304">
        <f t="shared" si="138"/>
        <v>48</v>
      </c>
      <c r="BM47" s="304">
        <f t="shared" si="139"/>
        <v>1440</v>
      </c>
      <c r="BN47" s="657"/>
      <c r="BO47" s="284">
        <v>0.45</v>
      </c>
      <c r="BP47" s="284">
        <v>0.25</v>
      </c>
      <c r="BQ47" s="284">
        <v>0.2</v>
      </c>
      <c r="BR47" s="710">
        <v>0.1</v>
      </c>
      <c r="BS47" s="707">
        <v>0.42</v>
      </c>
      <c r="BT47" s="284">
        <v>0.25</v>
      </c>
      <c r="BU47" s="284">
        <v>0.23</v>
      </c>
      <c r="BV47" s="710">
        <v>0.1</v>
      </c>
      <c r="BW47" s="714">
        <v>0.8</v>
      </c>
      <c r="BX47" s="285">
        <v>0.16</v>
      </c>
      <c r="BY47" s="717">
        <v>0.04</v>
      </c>
      <c r="BZ47" s="714">
        <v>0.77</v>
      </c>
      <c r="CA47" s="285">
        <v>0.18</v>
      </c>
      <c r="CB47" s="717">
        <v>0.05</v>
      </c>
      <c r="CC47" s="284">
        <v>0.2</v>
      </c>
      <c r="CD47" s="284">
        <v>0.45</v>
      </c>
      <c r="CE47" s="284">
        <v>0.2</v>
      </c>
      <c r="CF47" s="710">
        <v>0.15</v>
      </c>
      <c r="CG47" s="707">
        <v>0.18</v>
      </c>
      <c r="CH47" s="284">
        <v>0.45</v>
      </c>
      <c r="CI47" s="284">
        <v>0.23</v>
      </c>
      <c r="CJ47" s="710">
        <v>0.14000000000000001</v>
      </c>
      <c r="CK47" s="720">
        <v>0.75</v>
      </c>
      <c r="CL47" s="286">
        <v>0.2</v>
      </c>
      <c r="CM47" s="718">
        <v>0.05</v>
      </c>
      <c r="CN47" s="720">
        <v>0.7</v>
      </c>
      <c r="CO47" s="286">
        <v>0.23</v>
      </c>
      <c r="CP47" s="718">
        <v>7.0000000000000007E-2</v>
      </c>
      <c r="CQ47" s="657"/>
      <c r="CR47" s="807">
        <v>12</v>
      </c>
      <c r="CS47" s="808">
        <v>11</v>
      </c>
      <c r="CT47" s="808">
        <v>8</v>
      </c>
      <c r="CU47" s="809">
        <v>10</v>
      </c>
      <c r="CV47" s="807">
        <v>11</v>
      </c>
      <c r="CW47" s="808">
        <v>10</v>
      </c>
      <c r="CX47" s="809">
        <v>8</v>
      </c>
      <c r="CY47" s="807">
        <v>10</v>
      </c>
      <c r="CZ47" s="808">
        <v>12</v>
      </c>
      <c r="DA47" s="808">
        <v>8</v>
      </c>
      <c r="DB47" s="809">
        <v>10</v>
      </c>
      <c r="DC47" s="807">
        <v>12</v>
      </c>
      <c r="DD47" s="808">
        <v>12</v>
      </c>
      <c r="DE47" s="809">
        <v>9</v>
      </c>
      <c r="DF47" s="610" t="s">
        <v>3367</v>
      </c>
      <c r="DG47" s="657"/>
      <c r="DH47" s="288">
        <f t="shared" si="140"/>
        <v>702</v>
      </c>
      <c r="DI47" s="288">
        <f t="shared" si="141"/>
        <v>390</v>
      </c>
      <c r="DJ47" s="288">
        <f t="shared" si="142"/>
        <v>312</v>
      </c>
      <c r="DK47" s="288">
        <f t="shared" si="143"/>
        <v>156</v>
      </c>
      <c r="DL47" s="560" t="s">
        <v>3368</v>
      </c>
      <c r="DM47" s="288">
        <f t="shared" si="144"/>
        <v>655.19999999999993</v>
      </c>
      <c r="DN47" s="288">
        <f t="shared" si="145"/>
        <v>390</v>
      </c>
      <c r="DO47" s="288">
        <f t="shared" si="146"/>
        <v>358.8</v>
      </c>
      <c r="DP47" s="288">
        <f t="shared" si="147"/>
        <v>156</v>
      </c>
      <c r="DQ47" s="561" t="s">
        <v>3369</v>
      </c>
      <c r="DR47" s="657"/>
      <c r="DS47" s="288">
        <f t="shared" si="148"/>
        <v>729.6</v>
      </c>
      <c r="DT47" s="288">
        <f t="shared" si="149"/>
        <v>145.92000000000002</v>
      </c>
      <c r="DU47" s="288">
        <f t="shared" si="150"/>
        <v>36.480000000000004</v>
      </c>
      <c r="DV47" s="561" t="s">
        <v>3370</v>
      </c>
      <c r="DW47" s="288">
        <f t="shared" si="151"/>
        <v>702.24</v>
      </c>
      <c r="DX47" s="288">
        <f t="shared" si="152"/>
        <v>164.16</v>
      </c>
      <c r="DY47" s="288">
        <f t="shared" si="153"/>
        <v>45.6</v>
      </c>
      <c r="DZ47" s="561" t="s">
        <v>3371</v>
      </c>
      <c r="EA47" s="657"/>
      <c r="EB47" s="288">
        <f t="shared" si="154"/>
        <v>9.6000000000000014</v>
      </c>
      <c r="EC47" s="288">
        <f t="shared" si="155"/>
        <v>21.6</v>
      </c>
      <c r="ED47" s="288">
        <f t="shared" si="156"/>
        <v>9.6000000000000014</v>
      </c>
      <c r="EE47" s="288">
        <f t="shared" si="157"/>
        <v>7.1999999999999993</v>
      </c>
      <c r="EF47" s="561" t="s">
        <v>3372</v>
      </c>
      <c r="EG47" s="288">
        <f t="shared" si="158"/>
        <v>8.64</v>
      </c>
      <c r="EH47" s="288">
        <f t="shared" si="159"/>
        <v>21.6</v>
      </c>
      <c r="EI47" s="288">
        <f t="shared" si="160"/>
        <v>11.040000000000001</v>
      </c>
      <c r="EJ47" s="288">
        <f t="shared" si="161"/>
        <v>6.7200000000000006</v>
      </c>
      <c r="EK47" s="561" t="s">
        <v>3373</v>
      </c>
      <c r="EL47" s="657"/>
      <c r="EM47" s="288">
        <f t="shared" si="162"/>
        <v>1080</v>
      </c>
      <c r="EN47" s="291">
        <f t="shared" si="163"/>
        <v>288</v>
      </c>
      <c r="EO47" s="291">
        <f t="shared" si="164"/>
        <v>72</v>
      </c>
      <c r="EP47" s="561" t="s">
        <v>3374</v>
      </c>
      <c r="EQ47" s="288">
        <f t="shared" si="165"/>
        <v>1007.9999999999999</v>
      </c>
      <c r="ER47" s="291">
        <f t="shared" si="166"/>
        <v>331.2</v>
      </c>
      <c r="ES47" s="291">
        <f t="shared" si="167"/>
        <v>100.80000000000001</v>
      </c>
      <c r="ET47" s="561" t="s">
        <v>3375</v>
      </c>
      <c r="EU47" s="657"/>
      <c r="EV47" s="740">
        <f t="shared" si="168"/>
        <v>0.79798586819035489</v>
      </c>
      <c r="EW47" s="740">
        <f t="shared" si="169"/>
        <v>0.20201413180964511</v>
      </c>
      <c r="EX47" s="563">
        <f t="shared" si="170"/>
        <v>1652.1062017309091</v>
      </c>
      <c r="EY47" s="563">
        <f t="shared" si="171"/>
        <v>1318.357401730909</v>
      </c>
      <c r="EZ47" s="563">
        <f t="shared" si="172"/>
        <v>333.74880000000002</v>
      </c>
      <c r="FA47" s="563">
        <f t="shared" si="173"/>
        <v>680.3898447272727</v>
      </c>
      <c r="FB47" s="563">
        <f t="shared" si="174"/>
        <v>548.91304472727268</v>
      </c>
      <c r="FC47" s="563">
        <f t="shared" si="175"/>
        <v>131.4768</v>
      </c>
      <c r="FD47" s="563">
        <f t="shared" si="176"/>
        <v>394.07992540363637</v>
      </c>
      <c r="FE47" s="563">
        <f t="shared" si="177"/>
        <v>317.21656540363637</v>
      </c>
      <c r="FF47" s="563">
        <f t="shared" si="178"/>
        <v>76.86336</v>
      </c>
      <c r="FG47" s="563">
        <f t="shared" si="179"/>
        <v>21.422451599999999</v>
      </c>
      <c r="FH47" s="563">
        <f t="shared" si="180"/>
        <v>17.377011599999999</v>
      </c>
      <c r="FI47" s="563">
        <f t="shared" si="181"/>
        <v>4.0454399999999993</v>
      </c>
      <c r="FJ47" s="563">
        <f t="shared" si="182"/>
        <v>556.21397999999999</v>
      </c>
      <c r="FK47" s="563">
        <f t="shared" si="183"/>
        <v>434.85078000000004</v>
      </c>
      <c r="FL47" s="563">
        <f t="shared" si="184"/>
        <v>121.36319999999999</v>
      </c>
      <c r="FM47" s="529"/>
      <c r="FN47" s="564" t="s">
        <v>2649</v>
      </c>
      <c r="FO47" s="740">
        <v>8.4279999999999994E-2</v>
      </c>
      <c r="FP47" s="741">
        <v>0.85097999999999996</v>
      </c>
      <c r="FQ47" s="565" t="s">
        <v>3376</v>
      </c>
      <c r="FR47" s="529"/>
      <c r="FS47" s="867">
        <v>3.46</v>
      </c>
      <c r="FT47" s="566">
        <f>RANK($FS47,$FS$8:$FS$154,0)+COUNTIF($FS$8:$FS137,$FS47)-1</f>
        <v>48</v>
      </c>
      <c r="FU47" s="867">
        <v>4.12</v>
      </c>
      <c r="FV47" s="566">
        <f>RANK($FU47,$FU$8:$FU$154,0)+COUNTIF($FU$8:$FU137,$FU47)-1</f>
        <v>76</v>
      </c>
      <c r="FW47" s="867">
        <v>2.66</v>
      </c>
      <c r="FX47" s="566">
        <f>RANK($FW47,$FW$8:$FW$154,0)+COUNTIF($FW$8:$FW137,$FW47)-1</f>
        <v>23</v>
      </c>
      <c r="FY47" s="529"/>
      <c r="FZ47" s="567" t="s">
        <v>3377</v>
      </c>
      <c r="GA47" s="567" t="s">
        <v>3378</v>
      </c>
      <c r="GB47" s="567" t="s">
        <v>3379</v>
      </c>
      <c r="GC47" s="567" t="s">
        <v>3380</v>
      </c>
      <c r="GD47" s="567" t="s">
        <v>3381</v>
      </c>
      <c r="GE47" s="567" t="s">
        <v>3382</v>
      </c>
      <c r="GF47" s="567" t="str">
        <f>HYPERLINK("https://www.defense.gouv.fr/ministere/politique-defense/loi-programmation-militaire-2024-2030","https://www.defense.gouv.fr/ministere/politique-defense/loi-programmation-militaire-2024-2030")&amp;CHAR(10)&amp;HYPERLINK("https://www.defense.gouv.fr/loi-programmation-militaire-2024-2030-grandes-orientations","https://www.defense.gouv.fr/loi-programmation-militaire-2024-2030-grandes-orientations")&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https://www.defense.gouv.fr/ministere/politique-defense/loi-programmation-militaire-2024-2030
https://www.defense.gouv.fr/loi-programmation-militaire-2024-2030-grandes-orientations
https://www.statistiques.developpement-durable.gouv.fr/construction-de-locaux-resultats-fin-janvier-2026-france-entiere
https://www.insee.fr/fr/statistiques/8671745
https://www.insee.fr/fr/statistiques/8906564</v>
      </c>
      <c r="GG47" s="529"/>
      <c r="GH47" s="563">
        <f t="shared" si="185"/>
        <v>262.64663100000001</v>
      </c>
      <c r="GI47" s="563">
        <f t="shared" si="116"/>
        <v>207.42637500000001</v>
      </c>
      <c r="GJ47" s="563">
        <f t="shared" si="186"/>
        <v>55.220255999999999</v>
      </c>
      <c r="GK47" s="563">
        <f t="shared" si="187"/>
        <v>163.61067272727274</v>
      </c>
      <c r="GL47" s="563">
        <f t="shared" si="117"/>
        <v>130.74147272727274</v>
      </c>
      <c r="GM47" s="563">
        <f t="shared" si="188"/>
        <v>32.869199999999999</v>
      </c>
      <c r="GN47" s="563">
        <f t="shared" si="189"/>
        <v>182.352339</v>
      </c>
      <c r="GO47" s="563">
        <f t="shared" si="118"/>
        <v>152.112675</v>
      </c>
      <c r="GP47" s="563">
        <f t="shared" si="190"/>
        <v>30.239664000000001</v>
      </c>
      <c r="GQ47" s="563">
        <f t="shared" si="191"/>
        <v>71.780202000000003</v>
      </c>
      <c r="GR47" s="563">
        <f t="shared" si="119"/>
        <v>58.632521999999994</v>
      </c>
      <c r="GS47" s="563">
        <f t="shared" si="192"/>
        <v>13.147680000000001</v>
      </c>
      <c r="GT47" s="563">
        <f t="shared" si="193"/>
        <v>303.77191156363637</v>
      </c>
      <c r="GU47" s="563">
        <f t="shared" si="120"/>
        <v>244.58712436363635</v>
      </c>
      <c r="GV47" s="563">
        <f t="shared" si="194"/>
        <v>59.184787200000002</v>
      </c>
      <c r="GW47" s="563">
        <f t="shared" si="195"/>
        <v>68.679363839999994</v>
      </c>
      <c r="GX47" s="563">
        <f t="shared" si="121"/>
        <v>54.843959039999994</v>
      </c>
      <c r="GY47" s="563">
        <f t="shared" si="196"/>
        <v>13.835404799999999</v>
      </c>
      <c r="GZ47" s="563">
        <f t="shared" si="197"/>
        <v>21.62865</v>
      </c>
      <c r="HA47" s="563">
        <f t="shared" si="122"/>
        <v>17.785481999999998</v>
      </c>
      <c r="HB47" s="563">
        <f t="shared" si="198"/>
        <v>3.8431680000000004</v>
      </c>
      <c r="HC47" s="563">
        <f t="shared" si="199"/>
        <v>4.3363344000000001</v>
      </c>
      <c r="HD47" s="563">
        <f t="shared" si="123"/>
        <v>3.6081552000000001</v>
      </c>
      <c r="HE47" s="563">
        <f t="shared" si="200"/>
        <v>0.7281791999999998</v>
      </c>
      <c r="HF47" s="563">
        <f t="shared" si="201"/>
        <v>8.2027979999999996</v>
      </c>
      <c r="HG47" s="563">
        <f t="shared" si="124"/>
        <v>6.3823499999999997</v>
      </c>
      <c r="HH47" s="563">
        <f t="shared" si="202"/>
        <v>1.8204479999999996</v>
      </c>
      <c r="HI47" s="563">
        <f t="shared" si="203"/>
        <v>5.6108412000000003</v>
      </c>
      <c r="HJ47" s="563">
        <f t="shared" si="125"/>
        <v>4.6803900000000001</v>
      </c>
      <c r="HK47" s="563">
        <f t="shared" si="204"/>
        <v>0.93045119999999992</v>
      </c>
      <c r="HL47" s="563">
        <f t="shared" si="205"/>
        <v>3.2724779999999991</v>
      </c>
      <c r="HM47" s="563">
        <f t="shared" si="126"/>
        <v>2.7061163999999991</v>
      </c>
      <c r="HN47" s="563">
        <f t="shared" si="206"/>
        <v>0.56636159999999991</v>
      </c>
      <c r="HO47" s="563">
        <f t="shared" si="207"/>
        <v>404.07173999999998</v>
      </c>
      <c r="HP47" s="563">
        <f t="shared" si="127"/>
        <v>319.11750000000001</v>
      </c>
      <c r="HQ47" s="563">
        <f t="shared" si="208"/>
        <v>84.954239999999984</v>
      </c>
      <c r="HR47" s="563">
        <f t="shared" si="209"/>
        <v>113.01153600000001</v>
      </c>
      <c r="HS47" s="563">
        <f t="shared" si="128"/>
        <v>85.097999999999999</v>
      </c>
      <c r="HT47" s="563">
        <f t="shared" si="210"/>
        <v>27.913536000000001</v>
      </c>
      <c r="HU47" s="563">
        <f t="shared" si="211"/>
        <v>39.130703999999994</v>
      </c>
      <c r="HV47" s="563">
        <f t="shared" si="129"/>
        <v>30.635279999999998</v>
      </c>
      <c r="HW47" s="563">
        <f t="shared" si="212"/>
        <v>8.4954239999999999</v>
      </c>
      <c r="HX47" s="544"/>
      <c r="HY47" s="568">
        <f t="shared" si="213"/>
        <v>3960</v>
      </c>
      <c r="HZ47" s="568">
        <f t="shared" si="214"/>
        <v>5.0975999999999999</v>
      </c>
      <c r="IA47" s="568">
        <f t="shared" si="215"/>
        <v>1194.1007999999999</v>
      </c>
      <c r="IB47" s="568">
        <f t="shared" si="216"/>
        <v>2216.9472000000001</v>
      </c>
      <c r="IC47" s="568">
        <f t="shared" si="217"/>
        <v>533.99040000000002</v>
      </c>
      <c r="ID47" s="568">
        <f t="shared" si="218"/>
        <v>9.8640000000000008</v>
      </c>
      <c r="IE47" s="568">
        <f t="shared" si="219"/>
        <v>1318.3574017309093</v>
      </c>
      <c r="IF47" s="568">
        <f t="shared" si="220"/>
        <v>4.5180230159999994E-2</v>
      </c>
      <c r="IG47" s="568">
        <f t="shared" si="221"/>
        <v>217.3074595205847</v>
      </c>
      <c r="IH47" s="568">
        <f t="shared" si="222"/>
        <v>774.41271139457024</v>
      </c>
      <c r="II47" s="568">
        <f t="shared" si="223"/>
        <v>314.66023067422037</v>
      </c>
      <c r="IJ47" s="568">
        <f t="shared" si="224"/>
        <v>11.931819911373818</v>
      </c>
      <c r="IK47" s="868">
        <v>4.4800000000000004</v>
      </c>
      <c r="IL47" s="569" t="s">
        <v>2701</v>
      </c>
      <c r="IM47" s="570" t="s">
        <v>3315</v>
      </c>
      <c r="IN47" s="529"/>
      <c r="IO47" s="742">
        <v>0</v>
      </c>
      <c r="IP47" s="742">
        <v>0.23860000000000001</v>
      </c>
      <c r="IQ47" s="742">
        <v>0.58699999999999997</v>
      </c>
      <c r="IR47" s="742">
        <v>0.1704</v>
      </c>
      <c r="IS47" s="742">
        <v>4.0000000000000001E-3</v>
      </c>
      <c r="IT47" s="742">
        <v>0</v>
      </c>
      <c r="IU47" s="742">
        <v>0.11609999999999999</v>
      </c>
      <c r="IV47" s="742">
        <v>0.5796</v>
      </c>
      <c r="IW47" s="742">
        <v>0.29070000000000001</v>
      </c>
      <c r="IX47" s="742">
        <v>1.3599999999999999E-2</v>
      </c>
      <c r="IY47" s="742">
        <v>0</v>
      </c>
      <c r="IZ47" s="742">
        <v>0.33119999999999999</v>
      </c>
      <c r="JA47" s="742">
        <v>0.5504</v>
      </c>
      <c r="JB47" s="742">
        <v>0.1167</v>
      </c>
      <c r="JC47" s="742">
        <v>1.6999999999999999E-3</v>
      </c>
      <c r="JD47" s="742">
        <v>0</v>
      </c>
      <c r="JE47" s="742">
        <v>0.1893</v>
      </c>
      <c r="JF47" s="742">
        <v>0.5948</v>
      </c>
      <c r="JG47" s="742">
        <v>0.20960000000000001</v>
      </c>
      <c r="JH47" s="742">
        <v>6.3E-3</v>
      </c>
      <c r="JI47" s="742">
        <v>4.6199999999999998E-2</v>
      </c>
      <c r="JJ47" s="742">
        <v>0.42280000000000001</v>
      </c>
      <c r="JK47" s="742">
        <v>0.44230000000000003</v>
      </c>
      <c r="JL47" s="742">
        <v>8.7499999999999994E-2</v>
      </c>
      <c r="JM47" s="742">
        <v>1.1999999999999999E-3</v>
      </c>
      <c r="JN47" s="742">
        <v>2.5999999999999999E-3</v>
      </c>
      <c r="JO47" s="742">
        <v>0.2999</v>
      </c>
      <c r="JP47" s="742">
        <v>0.54159999999999997</v>
      </c>
      <c r="JQ47" s="742">
        <v>0.1515</v>
      </c>
      <c r="JR47" s="742">
        <v>4.4000000000000003E-3</v>
      </c>
      <c r="JS47" s="742">
        <v>2E-3</v>
      </c>
      <c r="JT47" s="742">
        <v>0.34689999999999999</v>
      </c>
      <c r="JU47" s="742">
        <v>0.5403</v>
      </c>
      <c r="JV47" s="742">
        <v>0.1094</v>
      </c>
      <c r="JW47" s="742">
        <v>1.4E-3</v>
      </c>
      <c r="JX47" s="742">
        <v>0</v>
      </c>
      <c r="JY47" s="742">
        <v>0.2031</v>
      </c>
      <c r="JZ47" s="742">
        <v>0.59370000000000001</v>
      </c>
      <c r="KA47" s="742">
        <v>0.19769999999999999</v>
      </c>
      <c r="KB47" s="742">
        <v>5.4999999999999997E-3</v>
      </c>
      <c r="KC47" s="657"/>
      <c r="KD47" s="832" t="s">
        <v>2591</v>
      </c>
      <c r="KE47" s="832" t="s">
        <v>2591</v>
      </c>
      <c r="KF47" s="869">
        <v>3.9</v>
      </c>
      <c r="KG47" s="832" t="s">
        <v>2626</v>
      </c>
      <c r="KH47" s="833" t="s">
        <v>3383</v>
      </c>
      <c r="KI47" s="832" t="s">
        <v>3384</v>
      </c>
      <c r="KJ47" s="833" t="s">
        <v>3385</v>
      </c>
    </row>
    <row r="48" spans="1:296" ht="48" customHeight="1">
      <c r="A48" s="273">
        <f t="shared" si="225"/>
        <v>41</v>
      </c>
      <c r="B48" s="274" t="s">
        <v>2241</v>
      </c>
      <c r="C48" s="274" t="s">
        <v>1053</v>
      </c>
      <c r="D48" s="274" t="s">
        <v>3386</v>
      </c>
      <c r="E48" s="275" t="s">
        <v>2256</v>
      </c>
      <c r="F48" s="275" t="s">
        <v>3387</v>
      </c>
      <c r="G48" s="275" t="s">
        <v>300</v>
      </c>
      <c r="H48" s="275" t="s">
        <v>2096</v>
      </c>
      <c r="I48" s="276" t="s">
        <v>3388</v>
      </c>
      <c r="J48" s="276" t="s">
        <v>3389</v>
      </c>
      <c r="K48" s="277" t="s">
        <v>2109</v>
      </c>
      <c r="L48" s="277" t="s">
        <v>2109</v>
      </c>
      <c r="M48" s="277" t="s">
        <v>3390</v>
      </c>
      <c r="N48" s="277" t="s">
        <v>2099</v>
      </c>
      <c r="O48" s="275" t="s">
        <v>2616</v>
      </c>
      <c r="P48" s="276"/>
      <c r="Q48" s="270">
        <v>1</v>
      </c>
      <c r="R48" s="278">
        <v>3500</v>
      </c>
      <c r="S48" s="279">
        <v>0</v>
      </c>
      <c r="T48" s="279">
        <v>3</v>
      </c>
      <c r="U48" s="279">
        <v>9</v>
      </c>
      <c r="V48" s="279">
        <v>15</v>
      </c>
      <c r="W48" s="279">
        <v>15</v>
      </c>
      <c r="X48" s="279">
        <v>15</v>
      </c>
      <c r="Y48" s="279">
        <v>16</v>
      </c>
      <c r="Z48" s="279">
        <v>16</v>
      </c>
      <c r="AA48" s="279">
        <v>17</v>
      </c>
      <c r="AB48" s="279">
        <v>17</v>
      </c>
      <c r="AC48" s="279">
        <v>17</v>
      </c>
      <c r="AD48" s="279">
        <v>17</v>
      </c>
      <c r="AE48" s="279">
        <v>17</v>
      </c>
      <c r="AF48" s="279">
        <v>17</v>
      </c>
      <c r="AG48" s="279">
        <v>17</v>
      </c>
      <c r="AH48" s="279">
        <v>17</v>
      </c>
      <c r="AI48" s="279">
        <v>18</v>
      </c>
      <c r="AJ48" s="279">
        <v>18</v>
      </c>
      <c r="AK48" s="279">
        <v>18</v>
      </c>
      <c r="AL48" s="276" t="s">
        <v>3391</v>
      </c>
      <c r="AM48" s="276" t="s">
        <v>3392</v>
      </c>
      <c r="AN48" s="276" t="s">
        <v>3393</v>
      </c>
      <c r="AO48" s="657"/>
      <c r="AP48" s="278">
        <v>40</v>
      </c>
      <c r="AQ48" s="278">
        <v>29</v>
      </c>
      <c r="AR48" s="278">
        <v>9</v>
      </c>
      <c r="AS48" s="278">
        <v>2</v>
      </c>
      <c r="AT48" s="657"/>
      <c r="AU48" s="281" t="s">
        <v>3394</v>
      </c>
      <c r="AV48" s="296" t="s">
        <v>3395</v>
      </c>
      <c r="AW48" s="296" t="s">
        <v>3396</v>
      </c>
      <c r="AX48" s="276" t="s">
        <v>3299</v>
      </c>
      <c r="AY48" s="657"/>
      <c r="AZ48" s="947">
        <v>20</v>
      </c>
      <c r="BA48" s="947">
        <v>12</v>
      </c>
      <c r="BB48" s="947">
        <v>1</v>
      </c>
      <c r="BC48" s="947">
        <v>18</v>
      </c>
      <c r="BD48" s="826">
        <f t="shared" si="130"/>
        <v>867</v>
      </c>
      <c r="BE48" s="283">
        <f t="shared" si="131"/>
        <v>340</v>
      </c>
      <c r="BF48" s="283">
        <f t="shared" si="132"/>
        <v>204</v>
      </c>
      <c r="BG48" s="283">
        <f t="shared" si="133"/>
        <v>17</v>
      </c>
      <c r="BH48" s="283">
        <f t="shared" si="134"/>
        <v>306</v>
      </c>
      <c r="BI48" s="826">
        <f t="shared" si="135"/>
        <v>918</v>
      </c>
      <c r="BJ48" s="283">
        <f t="shared" si="136"/>
        <v>360</v>
      </c>
      <c r="BK48" s="283">
        <f t="shared" si="137"/>
        <v>216</v>
      </c>
      <c r="BL48" s="283">
        <f t="shared" si="138"/>
        <v>18</v>
      </c>
      <c r="BM48" s="283">
        <f t="shared" si="139"/>
        <v>324</v>
      </c>
      <c r="BN48" s="657"/>
      <c r="BO48" s="305">
        <v>0.02</v>
      </c>
      <c r="BP48" s="305">
        <v>0.7</v>
      </c>
      <c r="BQ48" s="305">
        <v>0.01</v>
      </c>
      <c r="BR48" s="581">
        <v>0.27</v>
      </c>
      <c r="BS48" s="706">
        <v>0.02</v>
      </c>
      <c r="BT48" s="305">
        <v>0.69</v>
      </c>
      <c r="BU48" s="305">
        <v>0.02</v>
      </c>
      <c r="BV48" s="581">
        <v>0.27</v>
      </c>
      <c r="BW48" s="713">
        <v>0.2</v>
      </c>
      <c r="BX48" s="306">
        <v>0.8</v>
      </c>
      <c r="BY48" s="590"/>
      <c r="BZ48" s="713">
        <v>0.18</v>
      </c>
      <c r="CA48" s="306">
        <v>0.82</v>
      </c>
      <c r="CB48" s="590"/>
      <c r="CC48" s="706">
        <v>0.1</v>
      </c>
      <c r="CD48" s="305">
        <v>0.8</v>
      </c>
      <c r="CE48" s="305">
        <v>0.03</v>
      </c>
      <c r="CF48" s="581">
        <v>7.0000000000000007E-2</v>
      </c>
      <c r="CG48" s="706">
        <v>0.1</v>
      </c>
      <c r="CH48" s="305">
        <v>0.79</v>
      </c>
      <c r="CI48" s="305">
        <v>0.04</v>
      </c>
      <c r="CJ48" s="581">
        <v>7.0000000000000007E-2</v>
      </c>
      <c r="CK48" s="719">
        <v>0.65</v>
      </c>
      <c r="CL48" s="307">
        <v>0.3</v>
      </c>
      <c r="CM48" s="723">
        <v>0.05</v>
      </c>
      <c r="CN48" s="719">
        <v>0.6</v>
      </c>
      <c r="CO48" s="307">
        <v>0.34</v>
      </c>
      <c r="CP48" s="723">
        <v>0.06</v>
      </c>
      <c r="CQ48" s="657"/>
      <c r="CR48" s="804">
        <v>12</v>
      </c>
      <c r="CS48" s="805">
        <v>11</v>
      </c>
      <c r="CT48" s="805">
        <v>8</v>
      </c>
      <c r="CU48" s="806">
        <v>10</v>
      </c>
      <c r="CV48" s="804">
        <v>11</v>
      </c>
      <c r="CW48" s="805">
        <v>10</v>
      </c>
      <c r="CX48" s="806">
        <v>8</v>
      </c>
      <c r="CY48" s="804">
        <v>10</v>
      </c>
      <c r="CZ48" s="805">
        <v>12</v>
      </c>
      <c r="DA48" s="805">
        <v>8</v>
      </c>
      <c r="DB48" s="806">
        <v>10</v>
      </c>
      <c r="DC48" s="804">
        <v>12</v>
      </c>
      <c r="DD48" s="805">
        <v>12</v>
      </c>
      <c r="DE48" s="806">
        <v>9</v>
      </c>
      <c r="DF48" s="609" t="s">
        <v>3397</v>
      </c>
      <c r="DG48" s="657"/>
      <c r="DH48" s="308">
        <f t="shared" si="140"/>
        <v>6.8</v>
      </c>
      <c r="DI48" s="308">
        <f t="shared" si="141"/>
        <v>237.99999999999997</v>
      </c>
      <c r="DJ48" s="308">
        <f t="shared" si="142"/>
        <v>3.4</v>
      </c>
      <c r="DK48" s="308">
        <f t="shared" si="143"/>
        <v>91.800000000000011</v>
      </c>
      <c r="DL48" s="287" t="s">
        <v>3398</v>
      </c>
      <c r="DM48" s="308">
        <f t="shared" si="144"/>
        <v>7.2</v>
      </c>
      <c r="DN48" s="308">
        <f t="shared" si="145"/>
        <v>248.39999999999998</v>
      </c>
      <c r="DO48" s="308">
        <f t="shared" si="146"/>
        <v>7.2</v>
      </c>
      <c r="DP48" s="308">
        <f t="shared" si="147"/>
        <v>97.2</v>
      </c>
      <c r="DQ48" s="289" t="s">
        <v>3399</v>
      </c>
      <c r="DR48" s="657"/>
      <c r="DS48" s="308">
        <f t="shared" si="148"/>
        <v>40.800000000000004</v>
      </c>
      <c r="DT48" s="308">
        <f t="shared" si="149"/>
        <v>163.20000000000002</v>
      </c>
      <c r="DU48" s="308">
        <f t="shared" si="150"/>
        <v>0</v>
      </c>
      <c r="DV48" s="289" t="s">
        <v>3400</v>
      </c>
      <c r="DW48" s="308">
        <f t="shared" si="151"/>
        <v>38.879999999999995</v>
      </c>
      <c r="DX48" s="308">
        <f t="shared" si="152"/>
        <v>177.11999999999998</v>
      </c>
      <c r="DY48" s="308">
        <f t="shared" si="153"/>
        <v>0</v>
      </c>
      <c r="DZ48" s="289" t="s">
        <v>3401</v>
      </c>
      <c r="EA48" s="657"/>
      <c r="EB48" s="308">
        <f t="shared" si="154"/>
        <v>1.7000000000000002</v>
      </c>
      <c r="EC48" s="308">
        <f t="shared" si="155"/>
        <v>13.600000000000001</v>
      </c>
      <c r="ED48" s="308">
        <f t="shared" si="156"/>
        <v>0.51</v>
      </c>
      <c r="EE48" s="308">
        <f t="shared" si="157"/>
        <v>1.1900000000000002</v>
      </c>
      <c r="EF48" s="289" t="s">
        <v>3402</v>
      </c>
      <c r="EG48" s="308">
        <f t="shared" si="158"/>
        <v>1.8</v>
      </c>
      <c r="EH48" s="308">
        <f t="shared" si="159"/>
        <v>14.22</v>
      </c>
      <c r="EI48" s="308">
        <f t="shared" si="160"/>
        <v>0.72</v>
      </c>
      <c r="EJ48" s="308">
        <f t="shared" si="161"/>
        <v>1.2600000000000002</v>
      </c>
      <c r="EK48" s="309" t="s">
        <v>3403</v>
      </c>
      <c r="EL48" s="657"/>
      <c r="EM48" s="308">
        <f t="shared" si="162"/>
        <v>198.9</v>
      </c>
      <c r="EN48" s="310">
        <f t="shared" si="163"/>
        <v>91.8</v>
      </c>
      <c r="EO48" s="310">
        <f t="shared" si="164"/>
        <v>15.3</v>
      </c>
      <c r="EP48" s="289" t="s">
        <v>3404</v>
      </c>
      <c r="EQ48" s="308">
        <f t="shared" si="165"/>
        <v>194.4</v>
      </c>
      <c r="ER48" s="310">
        <f t="shared" si="166"/>
        <v>110.16000000000001</v>
      </c>
      <c r="ES48" s="310">
        <f t="shared" si="167"/>
        <v>19.439999999999998</v>
      </c>
      <c r="ET48" s="289" t="s">
        <v>3405</v>
      </c>
      <c r="EU48" s="657"/>
      <c r="EV48" s="728">
        <f t="shared" si="168"/>
        <v>0.69343776525008483</v>
      </c>
      <c r="EW48" s="728">
        <f t="shared" si="169"/>
        <v>0.30656223474991523</v>
      </c>
      <c r="EX48" s="311">
        <f t="shared" si="170"/>
        <v>456.69754500000005</v>
      </c>
      <c r="EY48" s="311">
        <f t="shared" si="171"/>
        <v>316.69132500000006</v>
      </c>
      <c r="EZ48" s="311">
        <f t="shared" si="172"/>
        <v>140.00621999999998</v>
      </c>
      <c r="FA48" s="311">
        <f t="shared" si="173"/>
        <v>185.46590000000003</v>
      </c>
      <c r="FB48" s="311">
        <f t="shared" si="174"/>
        <v>130.56150000000002</v>
      </c>
      <c r="FC48" s="311">
        <f t="shared" si="175"/>
        <v>54.904400000000003</v>
      </c>
      <c r="FD48" s="311">
        <f t="shared" si="176"/>
        <v>116.31864</v>
      </c>
      <c r="FE48" s="311">
        <f t="shared" si="177"/>
        <v>83.376000000000005</v>
      </c>
      <c r="FF48" s="311">
        <f t="shared" si="178"/>
        <v>32.942639999999997</v>
      </c>
      <c r="FG48" s="311">
        <f t="shared" si="179"/>
        <v>8.4340450000000011</v>
      </c>
      <c r="FH48" s="311">
        <f t="shared" si="180"/>
        <v>5.6888250000000014</v>
      </c>
      <c r="FI48" s="311">
        <f t="shared" si="181"/>
        <v>2.7452199999999998</v>
      </c>
      <c r="FJ48" s="311">
        <f t="shared" si="182"/>
        <v>146.47896000000003</v>
      </c>
      <c r="FK48" s="311">
        <f t="shared" si="183"/>
        <v>97.065000000000012</v>
      </c>
      <c r="FL48" s="311">
        <f t="shared" si="184"/>
        <v>49.413960000000003</v>
      </c>
      <c r="FM48" s="657"/>
      <c r="FN48" s="293" t="s">
        <v>2649</v>
      </c>
      <c r="FO48" s="728">
        <v>0.10266</v>
      </c>
      <c r="FP48" s="729">
        <v>0.9</v>
      </c>
      <c r="FQ48" s="294" t="s">
        <v>3406</v>
      </c>
      <c r="FR48" s="657"/>
      <c r="FS48" s="865">
        <v>3.5</v>
      </c>
      <c r="FT48" s="312">
        <f>RANK($FS48,$FS$8:$FS$154,0)+COUNTIF($FS$8:$FS145,$FS48)-1</f>
        <v>45</v>
      </c>
      <c r="FU48" s="865">
        <v>4.25</v>
      </c>
      <c r="FV48" s="312">
        <f>RANK($FU48,$FU$8:$FU$154,0)+COUNTIF($FU$8:$FU145,$FU48)-1</f>
        <v>36</v>
      </c>
      <c r="FW48" s="865">
        <v>2.59</v>
      </c>
      <c r="FX48" s="312">
        <f>RANK($FW48,$FW$8:$FW$154,0)+COUNTIF($FW$8:$FW145,$FW48)-1</f>
        <v>27</v>
      </c>
      <c r="FY48" s="657"/>
      <c r="FZ48" s="296" t="s">
        <v>3407</v>
      </c>
      <c r="GA48" s="296" t="s">
        <v>3408</v>
      </c>
      <c r="GB48" s="296" t="s">
        <v>3409</v>
      </c>
      <c r="GC48" s="296" t="s">
        <v>3410</v>
      </c>
      <c r="GD48" s="296" t="s">
        <v>3411</v>
      </c>
      <c r="GE48" s="296" t="s">
        <v>3412</v>
      </c>
      <c r="GF48" s="296" t="str">
        <f>HYPERLINK("https://www.justice.gouv.fr/presentation-loi-dorientation-programmation-ministere-justice-2023-2027","https://www.justice.gouv.fr/presentation-loi-dorientation-programmation-ministere-justice-2023-2027")&amp;CHAR(10)&amp;HYPERLINK("https://www.justice.gouv.fr/ministere-justice/budget-justice","https://www.justice.gouv.fr/ministere-justice/budget-justice")&amp;CHAR(10)&amp;HYPERLINK("https://www.justice.gouv.fr/documentation/ressources/rapport-2024-loi-dorientation-programmation-du-ministere-justice-2023-2027","https://www.justice.gouv.fr/documentation/ressources/rapport-2024-loi-dorientation-programmation-du-ministere-justice-2023-2027")&amp;CHAR(10)&amp;HYPERLINK("https://www.justice.gouv.fr/plan-15-000-places-prison","https://www.justice.gouv.fr/plan-15-000-places-prison")&amp;CHAR(10)&amp;HYPERLINK("https://www.justice.gouv.fr/actualites/actualite/immobilier-penitentiaire-15000-places-plus-prisons","https://www.justice.gouv.fr/actualites/actualite/immobilier-penitentiaire-15000-places-plus-prisons")&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https://www.justice.gouv.fr/presentation-loi-dorientation-programmation-ministere-justice-2023-2027
https://www.justice.gouv.fr/ministere-justice/budget-justice
https://www.justice.gouv.fr/documentation/ressources/rapport-2024-loi-dorientation-programmation-du-ministere-justice-2023-2027
https://www.justice.gouv.fr/plan-15-000-places-prison
https://www.justice.gouv.fr/actualites/actualite/immobilier-penitentiaire-15000-places-plus-prisons
https://www.statistiques.developpement-durable.gouv.fr/construction-de-locaux-resultats-fin-janvier-2026-france-entiere
https://www.insee.fr/fr/statistiques/8671745
https://www.insee.fr/fr/statistiques/8906564</v>
      </c>
      <c r="GG48" s="657"/>
      <c r="GH48" s="311">
        <f t="shared" si="185"/>
        <v>3.1980880000000003</v>
      </c>
      <c r="GI48" s="311">
        <f t="shared" si="116"/>
        <v>2.1</v>
      </c>
      <c r="GJ48" s="311">
        <f t="shared" si="186"/>
        <v>1.0980880000000002</v>
      </c>
      <c r="GK48" s="311">
        <f t="shared" si="187"/>
        <v>126.084036</v>
      </c>
      <c r="GL48" s="311">
        <f t="shared" si="117"/>
        <v>88.2</v>
      </c>
      <c r="GM48" s="311">
        <f t="shared" si="188"/>
        <v>37.884036000000002</v>
      </c>
      <c r="GN48" s="311">
        <f t="shared" si="189"/>
        <v>2.9655880000000003</v>
      </c>
      <c r="GO48" s="311">
        <f t="shared" si="118"/>
        <v>1.8675000000000002</v>
      </c>
      <c r="GP48" s="311">
        <f t="shared" si="190"/>
        <v>1.0980880000000002</v>
      </c>
      <c r="GQ48" s="311">
        <f t="shared" si="191"/>
        <v>53.218188000000012</v>
      </c>
      <c r="GR48" s="311">
        <f t="shared" si="119"/>
        <v>38.394000000000013</v>
      </c>
      <c r="GS48" s="311">
        <f t="shared" si="192"/>
        <v>14.824188000000001</v>
      </c>
      <c r="GT48" s="311">
        <f t="shared" si="193"/>
        <v>21.049675199999999</v>
      </c>
      <c r="GU48" s="311">
        <f t="shared" si="120"/>
        <v>15.120000000000001</v>
      </c>
      <c r="GV48" s="311">
        <f t="shared" si="194"/>
        <v>5.9296751999999993</v>
      </c>
      <c r="GW48" s="311">
        <f t="shared" si="195"/>
        <v>95.268964799999992</v>
      </c>
      <c r="GX48" s="311">
        <f t="shared" si="121"/>
        <v>68.256</v>
      </c>
      <c r="GY48" s="311">
        <f t="shared" si="196"/>
        <v>27.012964799999995</v>
      </c>
      <c r="GZ48" s="311">
        <f t="shared" si="197"/>
        <v>0</v>
      </c>
      <c r="HA48" s="311">
        <f t="shared" si="122"/>
        <v>0</v>
      </c>
      <c r="HB48" s="311">
        <f t="shared" si="198"/>
        <v>0</v>
      </c>
      <c r="HC48" s="311">
        <f t="shared" si="199"/>
        <v>0.98552200000000001</v>
      </c>
      <c r="HD48" s="311">
        <f t="shared" si="123"/>
        <v>0.71100000000000008</v>
      </c>
      <c r="HE48" s="311">
        <f t="shared" si="200"/>
        <v>0.27452199999999999</v>
      </c>
      <c r="HF48" s="311">
        <f t="shared" si="201"/>
        <v>6.3687238000000015</v>
      </c>
      <c r="HG48" s="311">
        <f t="shared" si="124"/>
        <v>4.2000000000000011</v>
      </c>
      <c r="HH48" s="311">
        <f t="shared" si="202"/>
        <v>2.1687238</v>
      </c>
      <c r="HI48" s="311">
        <f t="shared" si="203"/>
        <v>0.3899338</v>
      </c>
      <c r="HJ48" s="311">
        <f t="shared" si="125"/>
        <v>0.28012500000000001</v>
      </c>
      <c r="HK48" s="311">
        <f t="shared" si="204"/>
        <v>0.1098088</v>
      </c>
      <c r="HL48" s="311">
        <f t="shared" si="205"/>
        <v>0.68986540000000007</v>
      </c>
      <c r="HM48" s="311">
        <f t="shared" si="126"/>
        <v>0.49770000000000003</v>
      </c>
      <c r="HN48" s="311">
        <f t="shared" si="206"/>
        <v>0.19216540000000001</v>
      </c>
      <c r="HO48" s="311">
        <f t="shared" si="207"/>
        <v>91.07337600000001</v>
      </c>
      <c r="HP48" s="311">
        <f t="shared" si="127"/>
        <v>61.425000000000011</v>
      </c>
      <c r="HQ48" s="311">
        <f t="shared" si="208"/>
        <v>29.648375999999999</v>
      </c>
      <c r="HR48" s="311">
        <f t="shared" si="209"/>
        <v>45.150746400000003</v>
      </c>
      <c r="HS48" s="311">
        <f t="shared" si="128"/>
        <v>28.35</v>
      </c>
      <c r="HT48" s="311">
        <f t="shared" si="210"/>
        <v>16.800746400000001</v>
      </c>
      <c r="HU48" s="311">
        <f t="shared" si="211"/>
        <v>10.254837600000002</v>
      </c>
      <c r="HV48" s="311">
        <f t="shared" si="129"/>
        <v>7.2900000000000009</v>
      </c>
      <c r="HW48" s="311">
        <f t="shared" si="212"/>
        <v>2.9648376000000001</v>
      </c>
      <c r="HY48" s="313">
        <f t="shared" si="213"/>
        <v>866.99999999999989</v>
      </c>
      <c r="HZ48" s="313">
        <f t="shared" si="214"/>
        <v>42.404799999999994</v>
      </c>
      <c r="IA48" s="313">
        <f t="shared" si="215"/>
        <v>444.39189999999996</v>
      </c>
      <c r="IB48" s="313">
        <f t="shared" si="216"/>
        <v>358.31580000000002</v>
      </c>
      <c r="IC48" s="313">
        <f t="shared" si="217"/>
        <v>21.794</v>
      </c>
      <c r="ID48" s="313">
        <f t="shared" si="218"/>
        <v>9.3500000000000014E-2</v>
      </c>
      <c r="IE48" s="313">
        <f t="shared" si="219"/>
        <v>316.69132500000006</v>
      </c>
      <c r="IF48" s="313">
        <f t="shared" si="220"/>
        <v>4.6256737500000007</v>
      </c>
      <c r="IG48" s="313">
        <f t="shared" si="221"/>
        <v>104.03103356250001</v>
      </c>
      <c r="IH48" s="313">
        <f t="shared" si="222"/>
        <v>183.42581632500003</v>
      </c>
      <c r="II48" s="313">
        <f t="shared" si="223"/>
        <v>24.357190447500003</v>
      </c>
      <c r="IJ48" s="313">
        <f t="shared" si="224"/>
        <v>0.25161091500000005</v>
      </c>
      <c r="IK48" s="866">
        <v>4</v>
      </c>
      <c r="IL48" s="314" t="s">
        <v>2589</v>
      </c>
      <c r="IM48" s="299" t="s">
        <v>3413</v>
      </c>
      <c r="IN48" s="657"/>
      <c r="IO48" s="730">
        <v>4.5100000000000001E-2</v>
      </c>
      <c r="IP48" s="730">
        <v>0.50649999999999995</v>
      </c>
      <c r="IQ48" s="730">
        <v>0.42220000000000002</v>
      </c>
      <c r="IR48" s="730">
        <v>2.6100000000000002E-2</v>
      </c>
      <c r="IS48" s="730">
        <v>1E-4</v>
      </c>
      <c r="IT48" s="730">
        <v>1.2999999999999999E-2</v>
      </c>
      <c r="IU48" s="730">
        <v>0.32100000000000001</v>
      </c>
      <c r="IV48" s="730">
        <v>0.58589999999999998</v>
      </c>
      <c r="IW48" s="730">
        <v>7.9299999999999995E-2</v>
      </c>
      <c r="IX48" s="730">
        <v>8.0000000000000004E-4</v>
      </c>
      <c r="IY48" s="730">
        <v>4.5100000000000001E-2</v>
      </c>
      <c r="IZ48" s="730">
        <v>0.50649999999999995</v>
      </c>
      <c r="JA48" s="730">
        <v>0.42220000000000002</v>
      </c>
      <c r="JB48" s="730">
        <v>2.6100000000000002E-2</v>
      </c>
      <c r="JC48" s="730">
        <v>1E-4</v>
      </c>
      <c r="JD48" s="730">
        <v>1.2999999999999999E-2</v>
      </c>
      <c r="JE48" s="730">
        <v>0.32100000000000001</v>
      </c>
      <c r="JF48" s="730">
        <v>0.58589999999999998</v>
      </c>
      <c r="JG48" s="730">
        <v>7.9299999999999995E-2</v>
      </c>
      <c r="JH48" s="730">
        <v>8.0000000000000004E-4</v>
      </c>
      <c r="JI48" s="730">
        <v>0.14580000000000001</v>
      </c>
      <c r="JJ48" s="730">
        <v>0.5151</v>
      </c>
      <c r="JK48" s="730">
        <v>0.30759999999999998</v>
      </c>
      <c r="JL48" s="730">
        <v>3.1E-2</v>
      </c>
      <c r="JM48" s="730">
        <v>5.0000000000000001E-4</v>
      </c>
      <c r="JN48" s="730">
        <v>7.0000000000000007E-2</v>
      </c>
      <c r="JO48" s="730">
        <v>0.42249999999999999</v>
      </c>
      <c r="JP48" s="730">
        <v>0.43099999999999999</v>
      </c>
      <c r="JQ48" s="730">
        <v>7.4300000000000005E-2</v>
      </c>
      <c r="JR48" s="730">
        <v>2.2000000000000001E-3</v>
      </c>
      <c r="JS48" s="730">
        <v>5.0299999999999997E-2</v>
      </c>
      <c r="JT48" s="730">
        <v>0.5232</v>
      </c>
      <c r="JU48" s="730">
        <v>0.40329999999999999</v>
      </c>
      <c r="JV48" s="730">
        <v>2.3099999999999999E-2</v>
      </c>
      <c r="JW48" s="730">
        <v>1E-4</v>
      </c>
      <c r="JX48" s="730">
        <v>1.49E-2</v>
      </c>
      <c r="JY48" s="730">
        <v>0.33950000000000002</v>
      </c>
      <c r="JZ48" s="730">
        <v>0.57310000000000005</v>
      </c>
      <c r="KA48" s="730">
        <v>7.1800000000000003E-2</v>
      </c>
      <c r="KB48" s="730">
        <v>6.9999999999999999E-4</v>
      </c>
      <c r="KC48" s="657"/>
      <c r="KD48" s="314" t="s">
        <v>2590</v>
      </c>
      <c r="KE48" s="314" t="s">
        <v>2591</v>
      </c>
      <c r="KF48" s="866">
        <v>4.3</v>
      </c>
      <c r="KG48" s="314" t="s">
        <v>2589</v>
      </c>
      <c r="KH48" s="315" t="s">
        <v>3414</v>
      </c>
      <c r="KI48" s="314" t="s">
        <v>2720</v>
      </c>
      <c r="KJ48" s="315" t="s">
        <v>3415</v>
      </c>
    </row>
    <row r="49" spans="1:296" s="45" customFormat="1" ht="48" customHeight="1">
      <c r="A49" s="379">
        <f t="shared" si="225"/>
        <v>42</v>
      </c>
      <c r="B49" s="380" t="s">
        <v>2241</v>
      </c>
      <c r="C49" s="380" t="s">
        <v>1090</v>
      </c>
      <c r="D49" s="380" t="s">
        <v>1091</v>
      </c>
      <c r="E49" s="381" t="s">
        <v>2256</v>
      </c>
      <c r="F49" s="381" t="s">
        <v>300</v>
      </c>
      <c r="G49" s="381" t="s">
        <v>300</v>
      </c>
      <c r="H49" s="381" t="s">
        <v>2109</v>
      </c>
      <c r="I49" s="382" t="s">
        <v>3320</v>
      </c>
      <c r="J49" s="382" t="s">
        <v>3416</v>
      </c>
      <c r="K49" s="383" t="s">
        <v>2109</v>
      </c>
      <c r="L49" s="383" t="s">
        <v>2109</v>
      </c>
      <c r="M49" s="383" t="s">
        <v>2603</v>
      </c>
      <c r="N49" s="383" t="s">
        <v>2175</v>
      </c>
      <c r="O49" s="381" t="s">
        <v>2616</v>
      </c>
      <c r="P49" s="382" t="s">
        <v>3417</v>
      </c>
      <c r="Q49" s="356">
        <v>0</v>
      </c>
      <c r="R49" s="384">
        <v>8000</v>
      </c>
      <c r="S49" s="385">
        <v>560</v>
      </c>
      <c r="T49" s="385">
        <v>621</v>
      </c>
      <c r="U49" s="385">
        <v>510</v>
      </c>
      <c r="V49" s="385">
        <v>490</v>
      </c>
      <c r="W49" s="385">
        <v>505</v>
      </c>
      <c r="X49" s="385">
        <v>515</v>
      </c>
      <c r="Y49" s="385">
        <v>527</v>
      </c>
      <c r="Z49" s="385">
        <v>541</v>
      </c>
      <c r="AA49" s="385">
        <v>555</v>
      </c>
      <c r="AB49" s="385">
        <v>562</v>
      </c>
      <c r="AC49" s="385">
        <v>569</v>
      </c>
      <c r="AD49" s="385">
        <v>576</v>
      </c>
      <c r="AE49" s="385">
        <v>583</v>
      </c>
      <c r="AF49" s="385">
        <v>590</v>
      </c>
      <c r="AG49" s="385">
        <v>597</v>
      </c>
      <c r="AH49" s="385">
        <v>604</v>
      </c>
      <c r="AI49" s="385">
        <v>611</v>
      </c>
      <c r="AJ49" s="385">
        <v>618</v>
      </c>
      <c r="AK49" s="385">
        <v>625</v>
      </c>
      <c r="AL49" s="382" t="s">
        <v>2177</v>
      </c>
      <c r="AM49" s="382" t="s">
        <v>3418</v>
      </c>
      <c r="AN49" s="382" t="s">
        <v>2343</v>
      </c>
      <c r="AO49" s="683"/>
      <c r="AP49" s="384">
        <v>120</v>
      </c>
      <c r="AQ49" s="386">
        <v>78</v>
      </c>
      <c r="AR49" s="386">
        <v>26</v>
      </c>
      <c r="AS49" s="386">
        <v>16</v>
      </c>
      <c r="AT49" s="683"/>
      <c r="AU49" s="387" t="s">
        <v>3419</v>
      </c>
      <c r="AV49" s="794" t="s">
        <v>3420</v>
      </c>
      <c r="AW49" s="798" t="s">
        <v>2917</v>
      </c>
      <c r="AX49" s="368" t="s">
        <v>3299</v>
      </c>
      <c r="AY49" s="683"/>
      <c r="AZ49" s="949">
        <v>45</v>
      </c>
      <c r="BA49" s="949">
        <v>28</v>
      </c>
      <c r="BB49" s="949">
        <v>1</v>
      </c>
      <c r="BC49" s="949">
        <v>42</v>
      </c>
      <c r="BD49" s="827">
        <f t="shared" si="130"/>
        <v>68440</v>
      </c>
      <c r="BE49" s="388">
        <f t="shared" si="131"/>
        <v>26550</v>
      </c>
      <c r="BF49" s="388">
        <f t="shared" si="132"/>
        <v>16520</v>
      </c>
      <c r="BG49" s="388">
        <f t="shared" si="133"/>
        <v>590</v>
      </c>
      <c r="BH49" s="388">
        <f t="shared" si="134"/>
        <v>24780</v>
      </c>
      <c r="BI49" s="827">
        <f t="shared" si="135"/>
        <v>72500</v>
      </c>
      <c r="BJ49" s="388">
        <f t="shared" si="136"/>
        <v>28125</v>
      </c>
      <c r="BK49" s="388">
        <f t="shared" si="137"/>
        <v>17500</v>
      </c>
      <c r="BL49" s="388">
        <f t="shared" si="138"/>
        <v>625</v>
      </c>
      <c r="BM49" s="388">
        <f t="shared" si="139"/>
        <v>26250</v>
      </c>
      <c r="BN49" s="683"/>
      <c r="BO49" s="389">
        <v>0.45</v>
      </c>
      <c r="BP49" s="389">
        <v>0.3</v>
      </c>
      <c r="BQ49" s="389">
        <v>0.12</v>
      </c>
      <c r="BR49" s="711">
        <v>0.13</v>
      </c>
      <c r="BS49" s="708">
        <v>0.42</v>
      </c>
      <c r="BT49" s="389">
        <v>0.3</v>
      </c>
      <c r="BU49" s="389">
        <v>0.16</v>
      </c>
      <c r="BV49" s="711">
        <v>0.12</v>
      </c>
      <c r="BW49" s="715">
        <v>0.35</v>
      </c>
      <c r="BX49" s="390">
        <v>0.63</v>
      </c>
      <c r="BY49" s="726">
        <v>0.02</v>
      </c>
      <c r="BZ49" s="715">
        <v>0.32</v>
      </c>
      <c r="CA49" s="390">
        <v>0.65</v>
      </c>
      <c r="CB49" s="726">
        <v>0.03</v>
      </c>
      <c r="CC49" s="709">
        <v>0.25</v>
      </c>
      <c r="CD49" s="389">
        <v>0.4</v>
      </c>
      <c r="CE49" s="389">
        <v>0.2</v>
      </c>
      <c r="CF49" s="711">
        <v>0.15</v>
      </c>
      <c r="CG49" s="708">
        <v>0.22</v>
      </c>
      <c r="CH49" s="389">
        <v>0.4</v>
      </c>
      <c r="CI49" s="389">
        <v>0.23</v>
      </c>
      <c r="CJ49" s="711">
        <v>0.15</v>
      </c>
      <c r="CK49" s="721">
        <v>0.6</v>
      </c>
      <c r="CL49" s="391">
        <v>0.35</v>
      </c>
      <c r="CM49" s="724">
        <v>0.05</v>
      </c>
      <c r="CN49" s="721">
        <v>0.55000000000000004</v>
      </c>
      <c r="CO49" s="391">
        <v>0.37</v>
      </c>
      <c r="CP49" s="724">
        <v>0.08</v>
      </c>
      <c r="CQ49" s="683"/>
      <c r="CR49" s="810">
        <v>12</v>
      </c>
      <c r="CS49" s="811">
        <v>12</v>
      </c>
      <c r="CT49" s="811">
        <v>9</v>
      </c>
      <c r="CU49" s="812">
        <v>10</v>
      </c>
      <c r="CV49" s="810">
        <v>12</v>
      </c>
      <c r="CW49" s="811">
        <v>11</v>
      </c>
      <c r="CX49" s="812">
        <v>8</v>
      </c>
      <c r="CY49" s="810">
        <v>11</v>
      </c>
      <c r="CZ49" s="811">
        <v>12</v>
      </c>
      <c r="DA49" s="811">
        <v>8</v>
      </c>
      <c r="DB49" s="812">
        <v>10</v>
      </c>
      <c r="DC49" s="810">
        <v>12</v>
      </c>
      <c r="DD49" s="811">
        <v>12</v>
      </c>
      <c r="DE49" s="812">
        <v>9</v>
      </c>
      <c r="DF49" s="816" t="s">
        <v>3421</v>
      </c>
      <c r="DG49" s="683"/>
      <c r="DH49" s="392">
        <f t="shared" si="140"/>
        <v>11947.5</v>
      </c>
      <c r="DI49" s="392">
        <f t="shared" si="141"/>
        <v>7965</v>
      </c>
      <c r="DJ49" s="392">
        <f t="shared" si="142"/>
        <v>3186</v>
      </c>
      <c r="DK49" s="392">
        <f t="shared" si="143"/>
        <v>3451.5</v>
      </c>
      <c r="DL49" s="393" t="s">
        <v>3422</v>
      </c>
      <c r="DM49" s="392">
        <f t="shared" si="144"/>
        <v>11812.5</v>
      </c>
      <c r="DN49" s="392">
        <f t="shared" si="145"/>
        <v>8437.5</v>
      </c>
      <c r="DO49" s="392">
        <f t="shared" si="146"/>
        <v>4500</v>
      </c>
      <c r="DP49" s="392">
        <f t="shared" si="147"/>
        <v>3375</v>
      </c>
      <c r="DQ49" s="394" t="s">
        <v>3301</v>
      </c>
      <c r="DR49" s="683"/>
      <c r="DS49" s="392">
        <f t="shared" si="148"/>
        <v>5782</v>
      </c>
      <c r="DT49" s="392">
        <f t="shared" si="149"/>
        <v>10407.6</v>
      </c>
      <c r="DU49" s="392">
        <f t="shared" si="150"/>
        <v>330.40000000000003</v>
      </c>
      <c r="DV49" s="394" t="s">
        <v>3423</v>
      </c>
      <c r="DW49" s="392">
        <f t="shared" si="151"/>
        <v>5600</v>
      </c>
      <c r="DX49" s="392">
        <f t="shared" si="152"/>
        <v>11375</v>
      </c>
      <c r="DY49" s="392">
        <f t="shared" si="153"/>
        <v>525</v>
      </c>
      <c r="DZ49" s="394" t="s">
        <v>3303</v>
      </c>
      <c r="EA49" s="683"/>
      <c r="EB49" s="392">
        <f t="shared" si="154"/>
        <v>147.5</v>
      </c>
      <c r="EC49" s="392">
        <f t="shared" si="155"/>
        <v>236</v>
      </c>
      <c r="ED49" s="392">
        <f t="shared" si="156"/>
        <v>118</v>
      </c>
      <c r="EE49" s="392">
        <f t="shared" si="157"/>
        <v>88.5</v>
      </c>
      <c r="EF49" s="394" t="s">
        <v>3424</v>
      </c>
      <c r="EG49" s="392">
        <f t="shared" si="158"/>
        <v>137.5</v>
      </c>
      <c r="EH49" s="392">
        <f t="shared" si="159"/>
        <v>250</v>
      </c>
      <c r="EI49" s="392">
        <f t="shared" si="160"/>
        <v>143.75</v>
      </c>
      <c r="EJ49" s="392">
        <f t="shared" si="161"/>
        <v>93.75</v>
      </c>
      <c r="EK49" s="394" t="s">
        <v>3305</v>
      </c>
      <c r="EL49" s="683"/>
      <c r="EM49" s="392">
        <f t="shared" si="162"/>
        <v>14868</v>
      </c>
      <c r="EN49" s="395">
        <f t="shared" si="163"/>
        <v>8673</v>
      </c>
      <c r="EO49" s="395">
        <f t="shared" si="164"/>
        <v>1239</v>
      </c>
      <c r="EP49" s="394" t="s">
        <v>3425</v>
      </c>
      <c r="EQ49" s="392">
        <f t="shared" si="165"/>
        <v>14437.500000000002</v>
      </c>
      <c r="ER49" s="395">
        <f t="shared" si="166"/>
        <v>9712.5</v>
      </c>
      <c r="ES49" s="395">
        <f t="shared" si="167"/>
        <v>2100</v>
      </c>
      <c r="ET49" s="394" t="s">
        <v>3307</v>
      </c>
      <c r="EU49" s="683"/>
      <c r="EV49" s="734">
        <f t="shared" si="168"/>
        <v>0.69818309174460136</v>
      </c>
      <c r="EW49" s="734">
        <f t="shared" si="169"/>
        <v>0.30181690825539864</v>
      </c>
      <c r="EX49" s="396">
        <f t="shared" si="170"/>
        <v>33427.151773295453</v>
      </c>
      <c r="EY49" s="396">
        <f t="shared" si="171"/>
        <v>23338.272173295452</v>
      </c>
      <c r="EZ49" s="396">
        <f t="shared" si="172"/>
        <v>10088.8796</v>
      </c>
      <c r="FA49" s="396">
        <f t="shared" si="173"/>
        <v>13154.849542349999</v>
      </c>
      <c r="FB49" s="396">
        <f t="shared" si="174"/>
        <v>9241.06004235</v>
      </c>
      <c r="FC49" s="396">
        <f t="shared" si="175"/>
        <v>3913.7894999999999</v>
      </c>
      <c r="FD49" s="396">
        <f t="shared" si="176"/>
        <v>8167.0812064545444</v>
      </c>
      <c r="FE49" s="396">
        <f t="shared" si="177"/>
        <v>5731.8344064545445</v>
      </c>
      <c r="FF49" s="396">
        <f t="shared" si="178"/>
        <v>2435.2467999999999</v>
      </c>
      <c r="FG49" s="396">
        <f t="shared" si="179"/>
        <v>312.40473399090905</v>
      </c>
      <c r="FH49" s="396">
        <f t="shared" si="180"/>
        <v>225.43163399090906</v>
      </c>
      <c r="FI49" s="396">
        <f t="shared" si="181"/>
        <v>86.973100000000002</v>
      </c>
      <c r="FJ49" s="396">
        <f t="shared" si="182"/>
        <v>11792.816290499999</v>
      </c>
      <c r="FK49" s="396">
        <f t="shared" si="183"/>
        <v>8139.9460904999996</v>
      </c>
      <c r="FL49" s="396">
        <f t="shared" si="184"/>
        <v>3652.8701999999998</v>
      </c>
      <c r="FM49" s="683"/>
      <c r="FN49" s="397" t="s">
        <v>2649</v>
      </c>
      <c r="FO49" s="734">
        <v>8.8090000000000002E-2</v>
      </c>
      <c r="FP49" s="735">
        <v>0.89461999999999997</v>
      </c>
      <c r="FQ49" s="398" t="s">
        <v>3349</v>
      </c>
      <c r="FR49" s="683"/>
      <c r="FS49" s="870">
        <v>3.37</v>
      </c>
      <c r="FT49" s="399">
        <f>RANK($FS49,$FS$8:$FS$154,0)+COUNTIF($FS$8:$FS49,$FS49)-1</f>
        <v>63</v>
      </c>
      <c r="FU49" s="870">
        <v>4.13</v>
      </c>
      <c r="FV49" s="399">
        <f>RANK($FU49,$FU$8:$FU$154,0)+COUNTIF($FU$8:$FU49,$FU49)-1</f>
        <v>65</v>
      </c>
      <c r="FW49" s="870">
        <v>2.4300000000000002</v>
      </c>
      <c r="FX49" s="399">
        <f>RANK($FW49,$FW$8:$FW$154,0)+COUNTIF($FW$8:$FW49,$FW49)-1</f>
        <v>49</v>
      </c>
      <c r="FY49" s="683"/>
      <c r="FZ49" s="400" t="s">
        <v>3426</v>
      </c>
      <c r="GA49" s="400" t="s">
        <v>3427</v>
      </c>
      <c r="GB49" s="400" t="s">
        <v>3428</v>
      </c>
      <c r="GC49" s="400" t="s">
        <v>3429</v>
      </c>
      <c r="GD49" s="400" t="s">
        <v>3430</v>
      </c>
      <c r="GE49" s="400" t="s">
        <v>3431</v>
      </c>
      <c r="GF49" s="400" t="str">
        <f>HYPERLINK("https://sante.gouv.fr/actualites-presse/presse/communiques-de-presse/article/campagne-tarifaire-et-budgetaire-2026-des-etablissements-de-sante-3-6-milliards","https://sante.gouv.fr/actualites-presse/presse/communiques-de-presse/article/campagne-tarifaire-et-budgetaire-2026-des-etablissements-de-sante-3-6-milliards")&amp;CHAR(10)&amp;HYPERLINK("https://sante.gouv.fr/systeme-de-sante/segur-de-la-sante/investissement-en-sante-une-nouvelle-politique-au-service-de-la-qualite-des-11226/csis","https://sante.gouv.fr/systeme-de-sante/segur-de-la-sante/investissement-en-sante-une-nouvelle-politique-au-service-de-la-qualite-des-11226/csis")&amp;CHAR(10)&amp;HYPERLINK("https://sante.gouv.fr/soins-et-maladies/qualite-securite-et-pertinence-des-soins/securite-des-prises-en-charge/securite-des-soins-et-des-patients/article/ameliorer-la-securite-des-patients-et-des-residents-la-1ere-feuille-de-route","https://sante.gouv.fr/soins-et-maladies/qualite-securite-et-pertinence-des-soins/securite-des-prises-en-charge/securite-des-soins-et-des-patients/article/ameliorer-la-securite-des-patients-et-des-residents-la-1ere-feuille-de-route")&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https://sante.gouv.fr/actualites-presse/presse/communiques-de-presse/article/campagne-tarifaire-et-budgetaire-2026-des-etablissements-de-sante-3-6-milliards
https://sante.gouv.fr/systeme-de-sante/segur-de-la-sante/investissement-en-sante-une-nouvelle-politique-au-service-de-la-qualite-des-11226/csis
https://sante.gouv.fr/soins-et-maladies/qualite-securite-et-pertinence-des-soins/securite-des-prises-en-charge/securite-des-soins-et-des-patients/article/ameliorer-la-securite-des-patients-et-des-residents-la-1ere-feuille-de-route
https://www.statistiques.developpement-durable.gouv.fr/construction-de-locaux-resultats-fin-janvier-2026-france-entiere
https://www.insee.fr/fr/statistiques/8671745
https://www.insee.fr/fr/statistiques/8906564</v>
      </c>
      <c r="GG49" s="683"/>
      <c r="GH49" s="396">
        <f t="shared" si="185"/>
        <v>5488.9242637500001</v>
      </c>
      <c r="GI49" s="396">
        <f t="shared" si="116"/>
        <v>3845.1326737500003</v>
      </c>
      <c r="GJ49" s="396">
        <f t="shared" si="186"/>
        <v>1643.7915899999998</v>
      </c>
      <c r="GK49" s="396">
        <f t="shared" si="187"/>
        <v>3737.5586324999999</v>
      </c>
      <c r="GL49" s="396">
        <f t="shared" si="117"/>
        <v>2563.4217825000001</v>
      </c>
      <c r="GM49" s="396">
        <f t="shared" si="188"/>
        <v>1174.1368499999999</v>
      </c>
      <c r="GN49" s="396">
        <f t="shared" si="189"/>
        <v>2075.4907200000002</v>
      </c>
      <c r="GO49" s="396">
        <f t="shared" si="118"/>
        <v>1449.2844000000002</v>
      </c>
      <c r="GP49" s="396">
        <f t="shared" si="190"/>
        <v>626.20632000000001</v>
      </c>
      <c r="GQ49" s="396">
        <f t="shared" si="191"/>
        <v>1852.8759261</v>
      </c>
      <c r="GR49" s="396">
        <f t="shared" si="119"/>
        <v>1383.2211861000001</v>
      </c>
      <c r="GS49" s="396">
        <f t="shared" si="192"/>
        <v>469.65473999999995</v>
      </c>
      <c r="GT49" s="396">
        <f t="shared" si="193"/>
        <v>2640.1333070000001</v>
      </c>
      <c r="GU49" s="396">
        <f t="shared" si="120"/>
        <v>1860.854331</v>
      </c>
      <c r="GV49" s="396">
        <f t="shared" si="194"/>
        <v>779.27897599999994</v>
      </c>
      <c r="GW49" s="396">
        <f t="shared" si="195"/>
        <v>5281.4256518545453</v>
      </c>
      <c r="GX49" s="396">
        <f t="shared" si="121"/>
        <v>3698.5152318545452</v>
      </c>
      <c r="GY49" s="396">
        <f t="shared" si="196"/>
        <v>1582.9104199999999</v>
      </c>
      <c r="GZ49" s="396">
        <f t="shared" si="197"/>
        <v>245.52224759999999</v>
      </c>
      <c r="HA49" s="396">
        <f t="shared" si="122"/>
        <v>172.46484359999999</v>
      </c>
      <c r="HB49" s="396">
        <f t="shared" si="198"/>
        <v>73.057403999999991</v>
      </c>
      <c r="HC49" s="396">
        <f t="shared" si="199"/>
        <v>71.55068109090908</v>
      </c>
      <c r="HD49" s="396">
        <f t="shared" si="123"/>
        <v>52.416599090909088</v>
      </c>
      <c r="HE49" s="396">
        <f t="shared" si="200"/>
        <v>19.134081999999999</v>
      </c>
      <c r="HF49" s="396">
        <f t="shared" si="201"/>
        <v>110.74247800000001</v>
      </c>
      <c r="HG49" s="396">
        <f t="shared" si="124"/>
        <v>75.953237999999999</v>
      </c>
      <c r="HH49" s="396">
        <f t="shared" si="202"/>
        <v>34.789239999999999</v>
      </c>
      <c r="HI49" s="396">
        <f t="shared" si="203"/>
        <v>81.598399999999998</v>
      </c>
      <c r="HJ49" s="396">
        <f t="shared" si="125"/>
        <v>61.594586999999997</v>
      </c>
      <c r="HK49" s="396">
        <f t="shared" si="204"/>
        <v>20.003813000000001</v>
      </c>
      <c r="HL49" s="396">
        <f t="shared" si="205"/>
        <v>48.513174900000003</v>
      </c>
      <c r="HM49" s="396">
        <f t="shared" si="126"/>
        <v>35.4672099</v>
      </c>
      <c r="HN49" s="396">
        <f t="shared" si="206"/>
        <v>13.045965000000001</v>
      </c>
      <c r="HO49" s="396">
        <f t="shared" si="207"/>
        <v>6794.1326040000004</v>
      </c>
      <c r="HP49" s="396">
        <f t="shared" si="127"/>
        <v>4785.0539939999999</v>
      </c>
      <c r="HQ49" s="396">
        <f t="shared" si="208"/>
        <v>2009.07861</v>
      </c>
      <c r="HR49" s="396">
        <f t="shared" si="209"/>
        <v>4142.8434705</v>
      </c>
      <c r="HS49" s="396">
        <f t="shared" si="128"/>
        <v>2791.2814964999998</v>
      </c>
      <c r="HT49" s="396">
        <f t="shared" si="210"/>
        <v>1351.561974</v>
      </c>
      <c r="HU49" s="396">
        <f t="shared" si="211"/>
        <v>855.84021600000005</v>
      </c>
      <c r="HV49" s="396">
        <f t="shared" si="129"/>
        <v>563.61059999999998</v>
      </c>
      <c r="HW49" s="396">
        <f t="shared" si="212"/>
        <v>292.22961600000002</v>
      </c>
      <c r="HX49" s="684"/>
      <c r="HY49" s="401">
        <f t="shared" si="213"/>
        <v>68440.000000000015</v>
      </c>
      <c r="HZ49" s="401">
        <f t="shared" si="214"/>
        <v>2485.67</v>
      </c>
      <c r="IA49" s="401">
        <f t="shared" si="215"/>
        <v>35898.137000000002</v>
      </c>
      <c r="IB49" s="401">
        <f t="shared" si="216"/>
        <v>28412.453000000001</v>
      </c>
      <c r="IC49" s="401">
        <f t="shared" si="217"/>
        <v>1643.74</v>
      </c>
      <c r="ID49" s="401">
        <f t="shared" si="218"/>
        <v>0</v>
      </c>
      <c r="IE49" s="401">
        <f t="shared" si="219"/>
        <v>23338.272173295452</v>
      </c>
      <c r="IF49" s="401">
        <f t="shared" si="220"/>
        <v>4.576262170015454</v>
      </c>
      <c r="IG49" s="401">
        <f t="shared" si="221"/>
        <v>8176.0200409758481</v>
      </c>
      <c r="IH49" s="401">
        <f t="shared" si="222"/>
        <v>13474.274141898411</v>
      </c>
      <c r="II49" s="401">
        <f t="shared" si="223"/>
        <v>1683.4017282511791</v>
      </c>
      <c r="IJ49" s="401">
        <f t="shared" si="224"/>
        <v>0</v>
      </c>
      <c r="IK49" s="871">
        <v>4</v>
      </c>
      <c r="IL49" s="402" t="s">
        <v>2589</v>
      </c>
      <c r="IM49" s="403" t="s">
        <v>3432</v>
      </c>
      <c r="IN49" s="683"/>
      <c r="IO49" s="736">
        <v>3.3700000000000001E-2</v>
      </c>
      <c r="IP49" s="736">
        <v>0.51819999999999999</v>
      </c>
      <c r="IQ49" s="736">
        <v>0.4229</v>
      </c>
      <c r="IR49" s="736">
        <v>2.52E-2</v>
      </c>
      <c r="IS49" s="736">
        <v>0</v>
      </c>
      <c r="IT49" s="736">
        <v>0</v>
      </c>
      <c r="IU49" s="736">
        <v>0.3427</v>
      </c>
      <c r="IV49" s="736">
        <v>0.58230000000000004</v>
      </c>
      <c r="IW49" s="736">
        <v>7.4999999999999997E-2</v>
      </c>
      <c r="IX49" s="736">
        <v>0</v>
      </c>
      <c r="IY49" s="736">
        <v>3.3700000000000001E-2</v>
      </c>
      <c r="IZ49" s="736">
        <v>0.51819999999999999</v>
      </c>
      <c r="JA49" s="736">
        <v>0.4229</v>
      </c>
      <c r="JB49" s="736">
        <v>2.52E-2</v>
      </c>
      <c r="JC49" s="736">
        <v>0</v>
      </c>
      <c r="JD49" s="736">
        <v>0</v>
      </c>
      <c r="JE49" s="736">
        <v>0.3427</v>
      </c>
      <c r="JF49" s="736">
        <v>0.58230000000000004</v>
      </c>
      <c r="JG49" s="736">
        <v>7.4999999999999997E-2</v>
      </c>
      <c r="JH49" s="736">
        <v>0</v>
      </c>
      <c r="JI49" s="736">
        <v>8.9700000000000002E-2</v>
      </c>
      <c r="JJ49" s="736">
        <v>0.60870000000000002</v>
      </c>
      <c r="JK49" s="736">
        <v>0.2918</v>
      </c>
      <c r="JL49" s="736">
        <v>9.7999999999999997E-3</v>
      </c>
      <c r="JM49" s="736">
        <v>0</v>
      </c>
      <c r="JN49" s="736">
        <v>2.0299999999999999E-2</v>
      </c>
      <c r="JO49" s="736">
        <v>0.47510000000000002</v>
      </c>
      <c r="JP49" s="736">
        <v>0.4703</v>
      </c>
      <c r="JQ49" s="736">
        <v>3.4299999999999997E-2</v>
      </c>
      <c r="JR49" s="736">
        <v>0</v>
      </c>
      <c r="JS49" s="736">
        <v>3.9600000000000003E-2</v>
      </c>
      <c r="JT49" s="736">
        <v>0.53349999999999997</v>
      </c>
      <c r="JU49" s="736">
        <v>0.40460000000000002</v>
      </c>
      <c r="JV49" s="736">
        <v>2.23E-2</v>
      </c>
      <c r="JW49" s="736">
        <v>0</v>
      </c>
      <c r="JX49" s="736">
        <v>0</v>
      </c>
      <c r="JY49" s="736">
        <v>0.3609</v>
      </c>
      <c r="JZ49" s="736">
        <v>0.57120000000000004</v>
      </c>
      <c r="KA49" s="736">
        <v>6.7900000000000002E-2</v>
      </c>
      <c r="KB49" s="736">
        <v>0</v>
      </c>
      <c r="KC49" s="683"/>
      <c r="KD49" s="402" t="s">
        <v>2590</v>
      </c>
      <c r="KE49" s="402" t="s">
        <v>2591</v>
      </c>
      <c r="KF49" s="871">
        <v>4.08</v>
      </c>
      <c r="KG49" s="402" t="s">
        <v>2589</v>
      </c>
      <c r="KH49" s="404" t="s">
        <v>3433</v>
      </c>
      <c r="KI49" s="402" t="s">
        <v>2628</v>
      </c>
      <c r="KJ49" s="404" t="s">
        <v>3434</v>
      </c>
    </row>
    <row r="50" spans="1:296" s="45" customFormat="1" ht="48" customHeight="1">
      <c r="A50" s="351">
        <f t="shared" si="225"/>
        <v>43</v>
      </c>
      <c r="B50" s="352" t="s">
        <v>2241</v>
      </c>
      <c r="C50" s="352" t="s">
        <v>1090</v>
      </c>
      <c r="D50" s="352" t="s">
        <v>2344</v>
      </c>
      <c r="E50" s="353" t="s">
        <v>2256</v>
      </c>
      <c r="F50" s="353" t="s">
        <v>300</v>
      </c>
      <c r="G50" s="353" t="s">
        <v>300</v>
      </c>
      <c r="H50" s="353" t="s">
        <v>2109</v>
      </c>
      <c r="I50" s="354" t="s">
        <v>3320</v>
      </c>
      <c r="J50" s="354" t="s">
        <v>3435</v>
      </c>
      <c r="K50" s="355" t="s">
        <v>2109</v>
      </c>
      <c r="L50" s="355" t="s">
        <v>2109</v>
      </c>
      <c r="M50" s="355" t="s">
        <v>2603</v>
      </c>
      <c r="N50" s="355" t="s">
        <v>2175</v>
      </c>
      <c r="O50" s="353" t="s">
        <v>2616</v>
      </c>
      <c r="P50" s="354" t="s">
        <v>3417</v>
      </c>
      <c r="Q50" s="356">
        <v>0</v>
      </c>
      <c r="R50" s="357">
        <v>9000</v>
      </c>
      <c r="S50" s="358">
        <v>691</v>
      </c>
      <c r="T50" s="358">
        <v>674</v>
      </c>
      <c r="U50" s="358">
        <v>657</v>
      </c>
      <c r="V50" s="358">
        <v>641</v>
      </c>
      <c r="W50" s="358">
        <v>638</v>
      </c>
      <c r="X50" s="358">
        <v>635</v>
      </c>
      <c r="Y50" s="358">
        <v>632</v>
      </c>
      <c r="Z50" s="358">
        <v>629</v>
      </c>
      <c r="AA50" s="358">
        <v>627</v>
      </c>
      <c r="AB50" s="358">
        <v>626</v>
      </c>
      <c r="AC50" s="358">
        <v>624</v>
      </c>
      <c r="AD50" s="358">
        <v>622</v>
      </c>
      <c r="AE50" s="358">
        <v>620</v>
      </c>
      <c r="AF50" s="358">
        <v>618</v>
      </c>
      <c r="AG50" s="358">
        <v>616</v>
      </c>
      <c r="AH50" s="358">
        <v>614</v>
      </c>
      <c r="AI50" s="358">
        <v>612</v>
      </c>
      <c r="AJ50" s="358">
        <v>610</v>
      </c>
      <c r="AK50" s="358">
        <v>608</v>
      </c>
      <c r="AL50" s="354" t="s">
        <v>2177</v>
      </c>
      <c r="AM50" s="354" t="s">
        <v>3436</v>
      </c>
      <c r="AN50" s="354" t="s">
        <v>2343</v>
      </c>
      <c r="AO50" s="683"/>
      <c r="AP50" s="357">
        <v>110</v>
      </c>
      <c r="AQ50" s="357">
        <v>69</v>
      </c>
      <c r="AR50" s="357">
        <v>25</v>
      </c>
      <c r="AS50" s="357">
        <v>16</v>
      </c>
      <c r="AT50" s="683"/>
      <c r="AU50" s="359" t="s">
        <v>3437</v>
      </c>
      <c r="AV50" s="374" t="s">
        <v>3438</v>
      </c>
      <c r="AW50" s="374" t="s">
        <v>3439</v>
      </c>
      <c r="AX50" s="354" t="s">
        <v>3299</v>
      </c>
      <c r="AY50" s="683"/>
      <c r="AZ50" s="950">
        <v>42</v>
      </c>
      <c r="BA50" s="950">
        <v>30</v>
      </c>
      <c r="BB50" s="950">
        <v>1</v>
      </c>
      <c r="BC50" s="950">
        <v>40</v>
      </c>
      <c r="BD50" s="828">
        <f t="shared" si="130"/>
        <v>69834</v>
      </c>
      <c r="BE50" s="360">
        <f t="shared" si="131"/>
        <v>25956</v>
      </c>
      <c r="BF50" s="360">
        <f t="shared" si="132"/>
        <v>18540</v>
      </c>
      <c r="BG50" s="360">
        <f t="shared" si="133"/>
        <v>618</v>
      </c>
      <c r="BH50" s="360">
        <f t="shared" si="134"/>
        <v>24720</v>
      </c>
      <c r="BI50" s="828">
        <f t="shared" si="135"/>
        <v>68704</v>
      </c>
      <c r="BJ50" s="360">
        <f t="shared" si="136"/>
        <v>25536</v>
      </c>
      <c r="BK50" s="360">
        <f t="shared" si="137"/>
        <v>18240</v>
      </c>
      <c r="BL50" s="360">
        <f t="shared" si="138"/>
        <v>608</v>
      </c>
      <c r="BM50" s="360">
        <f t="shared" si="139"/>
        <v>24320</v>
      </c>
      <c r="BN50" s="683"/>
      <c r="BO50" s="361">
        <v>0.45</v>
      </c>
      <c r="BP50" s="361">
        <v>0.3</v>
      </c>
      <c r="BQ50" s="361">
        <v>0.12</v>
      </c>
      <c r="BR50" s="712">
        <v>0.13</v>
      </c>
      <c r="BS50" s="709">
        <v>0.42</v>
      </c>
      <c r="BT50" s="361">
        <v>0.3</v>
      </c>
      <c r="BU50" s="361">
        <v>0.16</v>
      </c>
      <c r="BV50" s="712">
        <v>0.12</v>
      </c>
      <c r="BW50" s="716">
        <v>0.7</v>
      </c>
      <c r="BX50" s="362">
        <v>0.25</v>
      </c>
      <c r="BY50" s="727">
        <v>0.05</v>
      </c>
      <c r="BZ50" s="716">
        <v>0.66</v>
      </c>
      <c r="CA50" s="362">
        <v>0.28000000000000003</v>
      </c>
      <c r="CB50" s="727">
        <v>0.06</v>
      </c>
      <c r="CC50" s="709">
        <v>0.25</v>
      </c>
      <c r="CD50" s="361">
        <v>0.4</v>
      </c>
      <c r="CE50" s="361">
        <v>0.2</v>
      </c>
      <c r="CF50" s="712">
        <v>0.15</v>
      </c>
      <c r="CG50" s="709">
        <v>0.22</v>
      </c>
      <c r="CH50" s="361">
        <v>0.4</v>
      </c>
      <c r="CI50" s="361">
        <v>0.23</v>
      </c>
      <c r="CJ50" s="712">
        <v>0.15</v>
      </c>
      <c r="CK50" s="722">
        <v>0.7</v>
      </c>
      <c r="CL50" s="363">
        <v>0.25</v>
      </c>
      <c r="CM50" s="725">
        <v>0.05</v>
      </c>
      <c r="CN50" s="722">
        <v>0.65</v>
      </c>
      <c r="CO50" s="363">
        <v>0.27</v>
      </c>
      <c r="CP50" s="725">
        <v>0.08</v>
      </c>
      <c r="CQ50" s="683"/>
      <c r="CR50" s="813">
        <v>12</v>
      </c>
      <c r="CS50" s="814">
        <v>12</v>
      </c>
      <c r="CT50" s="814">
        <v>9</v>
      </c>
      <c r="CU50" s="815">
        <v>10</v>
      </c>
      <c r="CV50" s="813">
        <v>12</v>
      </c>
      <c r="CW50" s="814">
        <v>11</v>
      </c>
      <c r="CX50" s="815">
        <v>8</v>
      </c>
      <c r="CY50" s="813">
        <v>11</v>
      </c>
      <c r="CZ50" s="814">
        <v>12</v>
      </c>
      <c r="DA50" s="814">
        <v>8</v>
      </c>
      <c r="DB50" s="815">
        <v>10</v>
      </c>
      <c r="DC50" s="813">
        <v>12</v>
      </c>
      <c r="DD50" s="814">
        <v>12</v>
      </c>
      <c r="DE50" s="815">
        <v>9</v>
      </c>
      <c r="DF50" s="817" t="s">
        <v>2846</v>
      </c>
      <c r="DG50" s="683"/>
      <c r="DH50" s="365">
        <f t="shared" si="140"/>
        <v>11680.2</v>
      </c>
      <c r="DI50" s="365">
        <f t="shared" si="141"/>
        <v>7786.7999999999993</v>
      </c>
      <c r="DJ50" s="365">
        <f t="shared" si="142"/>
        <v>3114.72</v>
      </c>
      <c r="DK50" s="365">
        <f t="shared" si="143"/>
        <v>3374.28</v>
      </c>
      <c r="DL50" s="364" t="s">
        <v>3440</v>
      </c>
      <c r="DM50" s="365">
        <f t="shared" si="144"/>
        <v>10725.119999999999</v>
      </c>
      <c r="DN50" s="365">
        <f t="shared" si="145"/>
        <v>7660.7999999999993</v>
      </c>
      <c r="DO50" s="365">
        <f t="shared" si="146"/>
        <v>4085.76</v>
      </c>
      <c r="DP50" s="365">
        <f t="shared" si="147"/>
        <v>3064.3199999999997</v>
      </c>
      <c r="DQ50" s="366" t="s">
        <v>3301</v>
      </c>
      <c r="DR50" s="683"/>
      <c r="DS50" s="365">
        <f t="shared" si="148"/>
        <v>12978</v>
      </c>
      <c r="DT50" s="365">
        <f t="shared" si="149"/>
        <v>4635</v>
      </c>
      <c r="DU50" s="365">
        <f t="shared" si="150"/>
        <v>927</v>
      </c>
      <c r="DV50" s="366" t="s">
        <v>3441</v>
      </c>
      <c r="DW50" s="365">
        <f t="shared" si="151"/>
        <v>12038.400000000001</v>
      </c>
      <c r="DX50" s="365">
        <f t="shared" si="152"/>
        <v>5107.2000000000007</v>
      </c>
      <c r="DY50" s="365">
        <f t="shared" si="153"/>
        <v>1094.3999999999999</v>
      </c>
      <c r="DZ50" s="366" t="s">
        <v>3303</v>
      </c>
      <c r="EA50" s="683"/>
      <c r="EB50" s="365">
        <f t="shared" si="154"/>
        <v>154.5</v>
      </c>
      <c r="EC50" s="365">
        <f t="shared" si="155"/>
        <v>247.20000000000002</v>
      </c>
      <c r="ED50" s="365">
        <f t="shared" si="156"/>
        <v>123.60000000000001</v>
      </c>
      <c r="EE50" s="365">
        <f t="shared" si="157"/>
        <v>92.7</v>
      </c>
      <c r="EF50" s="366" t="s">
        <v>3442</v>
      </c>
      <c r="EG50" s="365">
        <f t="shared" si="158"/>
        <v>133.76</v>
      </c>
      <c r="EH50" s="365">
        <f t="shared" si="159"/>
        <v>243.20000000000002</v>
      </c>
      <c r="EI50" s="365">
        <f t="shared" si="160"/>
        <v>139.84</v>
      </c>
      <c r="EJ50" s="365">
        <f t="shared" si="161"/>
        <v>91.2</v>
      </c>
      <c r="EK50" s="367" t="s">
        <v>3305</v>
      </c>
      <c r="EL50" s="683"/>
      <c r="EM50" s="365">
        <f t="shared" si="162"/>
        <v>17304</v>
      </c>
      <c r="EN50" s="369">
        <f t="shared" si="163"/>
        <v>6180</v>
      </c>
      <c r="EO50" s="369">
        <f t="shared" si="164"/>
        <v>1236</v>
      </c>
      <c r="EP50" s="366" t="s">
        <v>3443</v>
      </c>
      <c r="EQ50" s="365">
        <f t="shared" si="165"/>
        <v>15808</v>
      </c>
      <c r="ER50" s="369">
        <f t="shared" si="166"/>
        <v>6566.4000000000005</v>
      </c>
      <c r="ES50" s="369">
        <f t="shared" si="167"/>
        <v>1945.6000000000001</v>
      </c>
      <c r="ET50" s="366" t="s">
        <v>3307</v>
      </c>
      <c r="EU50" s="683"/>
      <c r="EV50" s="737">
        <f t="shared" si="168"/>
        <v>0.82036511312216664</v>
      </c>
      <c r="EW50" s="737">
        <f t="shared" si="169"/>
        <v>0.17963488687783347</v>
      </c>
      <c r="EX50" s="370">
        <f t="shared" si="170"/>
        <v>34245.447345557368</v>
      </c>
      <c r="EY50" s="370">
        <f t="shared" si="171"/>
        <v>28093.77028555737</v>
      </c>
      <c r="EZ50" s="370">
        <f t="shared" si="172"/>
        <v>6151.67706</v>
      </c>
      <c r="FA50" s="370">
        <f t="shared" si="173"/>
        <v>12929.955891019999</v>
      </c>
      <c r="FB50" s="370">
        <f t="shared" si="174"/>
        <v>10643.491851019999</v>
      </c>
      <c r="FC50" s="370">
        <f t="shared" si="175"/>
        <v>2286.4640399999998</v>
      </c>
      <c r="FD50" s="370">
        <f t="shared" si="176"/>
        <v>9110.7783747727262</v>
      </c>
      <c r="FE50" s="370">
        <f t="shared" si="177"/>
        <v>7477.5897747727267</v>
      </c>
      <c r="FF50" s="370">
        <f t="shared" si="178"/>
        <v>1633.1886</v>
      </c>
      <c r="FG50" s="370">
        <f t="shared" si="179"/>
        <v>327.11152754242426</v>
      </c>
      <c r="FH50" s="370">
        <f t="shared" si="180"/>
        <v>272.67190754242426</v>
      </c>
      <c r="FI50" s="370">
        <f t="shared" si="181"/>
        <v>54.439619999999998</v>
      </c>
      <c r="FJ50" s="370">
        <f t="shared" si="182"/>
        <v>11877.601552222222</v>
      </c>
      <c r="FK50" s="370">
        <f t="shared" si="183"/>
        <v>9700.0167522222218</v>
      </c>
      <c r="FL50" s="370">
        <f t="shared" si="184"/>
        <v>2177.5848000000001</v>
      </c>
      <c r="FM50" s="683"/>
      <c r="FN50" s="371" t="s">
        <v>2649</v>
      </c>
      <c r="FO50" s="737">
        <v>8.8090000000000002E-2</v>
      </c>
      <c r="FP50" s="738">
        <v>0.89461999999999997</v>
      </c>
      <c r="FQ50" s="372" t="s">
        <v>3349</v>
      </c>
      <c r="FR50" s="683"/>
      <c r="FS50" s="872">
        <v>3.32</v>
      </c>
      <c r="FT50" s="373">
        <f>RANK($FS50,$FS$8:$FS$154,0)+COUNTIF($FS$8:$FS50,$FS50)-1</f>
        <v>71</v>
      </c>
      <c r="FU50" s="872">
        <v>4.13</v>
      </c>
      <c r="FV50" s="373">
        <f>RANK($FU50,$FU$8:$FU$154,0)+COUNTIF($FU$8:$FU50,$FU50)-1</f>
        <v>66</v>
      </c>
      <c r="FW50" s="872">
        <v>2.3199999999999998</v>
      </c>
      <c r="FX50" s="373">
        <f>RANK($FW50,$FW$8:$FW$154,0)+COUNTIF($FW$8:$FW50,$FW50)-1</f>
        <v>59</v>
      </c>
      <c r="FY50" s="683"/>
      <c r="FZ50" s="374" t="s">
        <v>3444</v>
      </c>
      <c r="GA50" s="374" t="s">
        <v>3445</v>
      </c>
      <c r="GB50" s="374" t="s">
        <v>3446</v>
      </c>
      <c r="GC50" s="374" t="s">
        <v>3447</v>
      </c>
      <c r="GD50" s="374" t="s">
        <v>3448</v>
      </c>
      <c r="GE50" s="374" t="s">
        <v>3449</v>
      </c>
      <c r="GF50" s="374" t="str">
        <f>HYPERLINK("https://sante.gouv.fr/actualites-presse/presse/communiques-de-presse/article/campagne-tarifaire-et-budgetaire-2026-des-etablissements-de-sante-3-6-milliards","https://sante.gouv.fr/actualites-presse/presse/communiques-de-presse/article/campagne-tarifaire-et-budgetaire-2026-des-etablissements-de-sante-3-6-milliards")&amp;CHAR(10)&amp;HYPERLINK("https://sante.gouv.fr/systeme-de-sante/segur-de-la-sante/investissement-en-sante-une-nouvelle-politique-au-service-de-la-qualite-des-11226/csis","https://sante.gouv.fr/systeme-de-sante/segur-de-la-sante/investissement-en-sante-une-nouvelle-politique-au-service-de-la-qualite-des-11226/csis")&amp;CHAR(10)&amp;HYPERLINK("https://sante.gouv.fr/soins-et-maladies/qualite-securite-et-pertinence-des-soins/securite-des-prises-en-charge/securite-des-soins-et-des-patients/article/ameliorer-la-securite-des-patients-et-des-residents-la-1ere-feuille-de-route","https://sante.gouv.fr/soins-et-maladies/qualite-securite-et-pertinence-des-soins/securite-des-prises-en-charge/securite-des-soins-et-des-patients/article/ameliorer-la-securite-des-patients-et-des-residents-la-1ere-feuille-de-route")&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https://sante.gouv.fr/actualites-presse/presse/communiques-de-presse/article/campagne-tarifaire-et-budgetaire-2026-des-etablissements-de-sante-3-6-milliards
https://sante.gouv.fr/systeme-de-sante/segur-de-la-sante/investissement-en-sante-une-nouvelle-politique-au-service-de-la-qualite-des-11226/csis
https://sante.gouv.fr/soins-et-maladies/qualite-securite-et-pertinence-des-soins/securite-des-prises-en-charge/securite-des-soins-et-des-patients/article/ameliorer-la-securite-des-patients-et-des-residents-la-1ere-feuille-de-route
https://www.statistiques.developpement-durable.gouv.fr/construction-de-locaux-resultats-fin-janvier-2026-france-entiere
https://www.insee.fr/fr/statistiques/8671745
https://www.insee.fr/fr/statistiques/8906564</v>
      </c>
      <c r="GG50" s="683"/>
      <c r="GH50" s="370">
        <f t="shared" si="185"/>
        <v>5473.4267762999998</v>
      </c>
      <c r="GI50" s="370">
        <f t="shared" si="116"/>
        <v>4513.1118795000002</v>
      </c>
      <c r="GJ50" s="370">
        <f t="shared" si="186"/>
        <v>960.31489679999993</v>
      </c>
      <c r="GK50" s="370">
        <f t="shared" si="187"/>
        <v>3694.680464999999</v>
      </c>
      <c r="GL50" s="370">
        <f t="shared" si="117"/>
        <v>3008.7412529999992</v>
      </c>
      <c r="GM50" s="370">
        <f t="shared" si="188"/>
        <v>685.93921199999988</v>
      </c>
      <c r="GN50" s="370">
        <f t="shared" si="189"/>
        <v>1943.4429391999997</v>
      </c>
      <c r="GO50" s="370">
        <f t="shared" si="118"/>
        <v>1577.6086927999997</v>
      </c>
      <c r="GP50" s="370">
        <f t="shared" si="190"/>
        <v>365.83424639999998</v>
      </c>
      <c r="GQ50" s="370">
        <f t="shared" si="191"/>
        <v>1818.4057105200002</v>
      </c>
      <c r="GR50" s="370">
        <f t="shared" si="119"/>
        <v>1544.0300257200001</v>
      </c>
      <c r="GS50" s="370">
        <f t="shared" si="192"/>
        <v>274.37568479999999</v>
      </c>
      <c r="GT50" s="370">
        <f t="shared" si="193"/>
        <v>6092.473230999999</v>
      </c>
      <c r="GU50" s="370">
        <f t="shared" si="120"/>
        <v>5014.5687549999993</v>
      </c>
      <c r="GV50" s="370">
        <f t="shared" si="194"/>
        <v>1077.9044759999999</v>
      </c>
      <c r="GW50" s="370">
        <f t="shared" si="195"/>
        <v>2393.941785272727</v>
      </c>
      <c r="GX50" s="370">
        <f t="shared" si="121"/>
        <v>1936.6489772727271</v>
      </c>
      <c r="GY50" s="370">
        <f t="shared" si="196"/>
        <v>457.29280800000004</v>
      </c>
      <c r="GZ50" s="370">
        <f t="shared" si="197"/>
        <v>624.3633585</v>
      </c>
      <c r="HA50" s="370">
        <f t="shared" si="122"/>
        <v>526.37204250000002</v>
      </c>
      <c r="HB50" s="370">
        <f t="shared" si="198"/>
        <v>97.991315999999998</v>
      </c>
      <c r="HC50" s="370">
        <f t="shared" si="199"/>
        <v>76.531682309090897</v>
      </c>
      <c r="HD50" s="370">
        <f t="shared" si="123"/>
        <v>64.554965909090896</v>
      </c>
      <c r="HE50" s="370">
        <f t="shared" si="200"/>
        <v>11.976716399999999</v>
      </c>
      <c r="HF50" s="370">
        <f t="shared" si="201"/>
        <v>117.29144333333335</v>
      </c>
      <c r="HG50" s="370">
        <f t="shared" si="124"/>
        <v>95.515595333333351</v>
      </c>
      <c r="HH50" s="370">
        <f t="shared" si="202"/>
        <v>21.775848</v>
      </c>
      <c r="HI50" s="370">
        <f t="shared" si="203"/>
        <v>82.7040516</v>
      </c>
      <c r="HJ50" s="370">
        <f t="shared" si="125"/>
        <v>70.182939000000005</v>
      </c>
      <c r="HK50" s="370">
        <f t="shared" si="204"/>
        <v>12.5211126</v>
      </c>
      <c r="HL50" s="370">
        <f t="shared" si="205"/>
        <v>50.584350299999997</v>
      </c>
      <c r="HM50" s="370">
        <f t="shared" si="126"/>
        <v>42.418407299999998</v>
      </c>
      <c r="HN50" s="370">
        <f t="shared" si="206"/>
        <v>8.1659429999999986</v>
      </c>
      <c r="HO50" s="370">
        <f t="shared" si="207"/>
        <v>8101.5217933333333</v>
      </c>
      <c r="HP50" s="370">
        <f t="shared" si="127"/>
        <v>6686.0916733333333</v>
      </c>
      <c r="HQ50" s="370">
        <f t="shared" si="208"/>
        <v>1415.4301200000002</v>
      </c>
      <c r="HR50" s="370">
        <f t="shared" si="209"/>
        <v>2975.8377793333329</v>
      </c>
      <c r="HS50" s="370">
        <f t="shared" si="128"/>
        <v>2387.8898833333328</v>
      </c>
      <c r="HT50" s="370">
        <f t="shared" si="210"/>
        <v>587.94789600000001</v>
      </c>
      <c r="HU50" s="370">
        <f t="shared" si="211"/>
        <v>800.24197955555542</v>
      </c>
      <c r="HV50" s="370">
        <f t="shared" si="129"/>
        <v>626.03519555555545</v>
      </c>
      <c r="HW50" s="370">
        <f t="shared" si="212"/>
        <v>174.206784</v>
      </c>
      <c r="HX50" s="684"/>
      <c r="HY50" s="375">
        <f t="shared" si="213"/>
        <v>69834</v>
      </c>
      <c r="HZ50" s="375">
        <f t="shared" si="214"/>
        <v>0</v>
      </c>
      <c r="IA50" s="375">
        <f t="shared" si="215"/>
        <v>7912.9337999999998</v>
      </c>
      <c r="IB50" s="375">
        <f t="shared" si="216"/>
        <v>40531.839</v>
      </c>
      <c r="IC50" s="375">
        <f t="shared" si="217"/>
        <v>21389.227199999998</v>
      </c>
      <c r="ID50" s="375">
        <f t="shared" si="218"/>
        <v>0</v>
      </c>
      <c r="IE50" s="375">
        <f t="shared" si="219"/>
        <v>28093.770285557373</v>
      </c>
      <c r="IF50" s="375">
        <f t="shared" si="220"/>
        <v>0</v>
      </c>
      <c r="IG50" s="375">
        <f t="shared" si="221"/>
        <v>995.96048386500206</v>
      </c>
      <c r="IH50" s="375">
        <f t="shared" si="222"/>
        <v>14638.964154306099</v>
      </c>
      <c r="II50" s="375">
        <f t="shared" si="223"/>
        <v>12252.205669297226</v>
      </c>
      <c r="IJ50" s="375">
        <f t="shared" si="224"/>
        <v>206.63997808904588</v>
      </c>
      <c r="IK50" s="873">
        <v>4.0999999999999996</v>
      </c>
      <c r="IL50" s="376" t="s">
        <v>2589</v>
      </c>
      <c r="IM50" s="377" t="s">
        <v>3450</v>
      </c>
      <c r="IN50" s="683"/>
      <c r="IO50" s="739">
        <v>0</v>
      </c>
      <c r="IP50" s="739">
        <v>0.1173</v>
      </c>
      <c r="IQ50" s="739">
        <v>0.58240000000000003</v>
      </c>
      <c r="IR50" s="739">
        <v>0.30030000000000001</v>
      </c>
      <c r="IS50" s="739">
        <v>0</v>
      </c>
      <c r="IT50" s="739">
        <v>0</v>
      </c>
      <c r="IU50" s="739">
        <v>3.7999999999999999E-2</v>
      </c>
      <c r="IV50" s="739">
        <v>0.52649999999999997</v>
      </c>
      <c r="IW50" s="739">
        <v>0.43009999999999998</v>
      </c>
      <c r="IX50" s="739">
        <v>5.4000000000000003E-3</v>
      </c>
      <c r="IY50" s="739">
        <v>0</v>
      </c>
      <c r="IZ50" s="739">
        <v>9.2999999999999999E-2</v>
      </c>
      <c r="JA50" s="739">
        <v>0.57430000000000003</v>
      </c>
      <c r="JB50" s="739">
        <v>0.3327</v>
      </c>
      <c r="JC50" s="739">
        <v>0</v>
      </c>
      <c r="JD50" s="739">
        <v>0</v>
      </c>
      <c r="JE50" s="739">
        <v>2.1999999999999999E-2</v>
      </c>
      <c r="JF50" s="739">
        <v>0.49919999999999998</v>
      </c>
      <c r="JG50" s="739">
        <v>0.46429999999999999</v>
      </c>
      <c r="JH50" s="739">
        <v>1.4500000000000001E-2</v>
      </c>
      <c r="JI50" s="739">
        <v>0</v>
      </c>
      <c r="JJ50" s="739">
        <v>0.2475</v>
      </c>
      <c r="JK50" s="739">
        <v>0.56769999999999998</v>
      </c>
      <c r="JL50" s="739">
        <v>0.18479999999999999</v>
      </c>
      <c r="JM50" s="739">
        <v>0</v>
      </c>
      <c r="JN50" s="739">
        <v>0</v>
      </c>
      <c r="JO50" s="739">
        <v>0.1288</v>
      </c>
      <c r="JP50" s="739">
        <v>0.58460000000000001</v>
      </c>
      <c r="JQ50" s="739">
        <v>0.28660000000000002</v>
      </c>
      <c r="JR50" s="739">
        <v>0</v>
      </c>
      <c r="JS50" s="739">
        <v>0</v>
      </c>
      <c r="JT50" s="739">
        <v>0.121</v>
      </c>
      <c r="JU50" s="739">
        <v>0.58320000000000005</v>
      </c>
      <c r="JV50" s="739">
        <v>0.29580000000000001</v>
      </c>
      <c r="JW50" s="739">
        <v>0</v>
      </c>
      <c r="JX50" s="739">
        <v>0</v>
      </c>
      <c r="JY50" s="739">
        <v>4.0399999999999998E-2</v>
      </c>
      <c r="JZ50" s="739">
        <v>0.5302</v>
      </c>
      <c r="KA50" s="739">
        <v>0.42520000000000002</v>
      </c>
      <c r="KB50" s="739">
        <v>4.1999999999999997E-3</v>
      </c>
      <c r="KC50" s="683"/>
      <c r="KD50" s="376" t="s">
        <v>2590</v>
      </c>
      <c r="KE50" s="376" t="s">
        <v>2590</v>
      </c>
      <c r="KF50" s="873">
        <v>4.18</v>
      </c>
      <c r="KG50" s="376" t="s">
        <v>2589</v>
      </c>
      <c r="KH50" s="378" t="s">
        <v>3451</v>
      </c>
      <c r="KI50" s="376" t="s">
        <v>3452</v>
      </c>
      <c r="KJ50" s="378" t="s">
        <v>3453</v>
      </c>
    </row>
    <row r="51" spans="1:296" s="45" customFormat="1" ht="48" customHeight="1">
      <c r="A51" s="379">
        <f t="shared" si="225"/>
        <v>44</v>
      </c>
      <c r="B51" s="380" t="s">
        <v>2241</v>
      </c>
      <c r="C51" s="380" t="s">
        <v>1090</v>
      </c>
      <c r="D51" s="380" t="s">
        <v>2345</v>
      </c>
      <c r="E51" s="381" t="s">
        <v>2256</v>
      </c>
      <c r="F51" s="381" t="s">
        <v>300</v>
      </c>
      <c r="G51" s="381" t="s">
        <v>300</v>
      </c>
      <c r="H51" s="381" t="s">
        <v>2109</v>
      </c>
      <c r="I51" s="382" t="s">
        <v>3320</v>
      </c>
      <c r="J51" s="382" t="s">
        <v>3454</v>
      </c>
      <c r="K51" s="383" t="s">
        <v>2109</v>
      </c>
      <c r="L51" s="383" t="s">
        <v>2109</v>
      </c>
      <c r="M51" s="383" t="s">
        <v>2603</v>
      </c>
      <c r="N51" s="383" t="s">
        <v>3322</v>
      </c>
      <c r="O51" s="381" t="s">
        <v>2212</v>
      </c>
      <c r="P51" s="382" t="s">
        <v>3455</v>
      </c>
      <c r="Q51" s="356">
        <v>0</v>
      </c>
      <c r="R51" s="384">
        <v>7000</v>
      </c>
      <c r="S51" s="385">
        <v>712</v>
      </c>
      <c r="T51" s="385">
        <v>644</v>
      </c>
      <c r="U51" s="385">
        <v>582</v>
      </c>
      <c r="V51" s="385">
        <v>526</v>
      </c>
      <c r="W51" s="385">
        <v>515</v>
      </c>
      <c r="X51" s="385">
        <v>505</v>
      </c>
      <c r="Y51" s="385">
        <v>495</v>
      </c>
      <c r="Z51" s="385">
        <v>485</v>
      </c>
      <c r="AA51" s="385">
        <v>478</v>
      </c>
      <c r="AB51" s="385">
        <v>471</v>
      </c>
      <c r="AC51" s="385">
        <v>464</v>
      </c>
      <c r="AD51" s="385">
        <v>457</v>
      </c>
      <c r="AE51" s="385">
        <v>450</v>
      </c>
      <c r="AF51" s="385">
        <v>445</v>
      </c>
      <c r="AG51" s="385">
        <v>440</v>
      </c>
      <c r="AH51" s="385">
        <v>435</v>
      </c>
      <c r="AI51" s="385">
        <v>430</v>
      </c>
      <c r="AJ51" s="385">
        <v>425</v>
      </c>
      <c r="AK51" s="385">
        <v>420</v>
      </c>
      <c r="AL51" s="382" t="s">
        <v>2101</v>
      </c>
      <c r="AM51" s="382" t="s">
        <v>3456</v>
      </c>
      <c r="AN51" s="382" t="s">
        <v>2348</v>
      </c>
      <c r="AO51" s="683"/>
      <c r="AP51" s="384">
        <v>80</v>
      </c>
      <c r="AQ51" s="386">
        <v>40</v>
      </c>
      <c r="AR51" s="386">
        <v>24</v>
      </c>
      <c r="AS51" s="386">
        <v>16</v>
      </c>
      <c r="AT51" s="683"/>
      <c r="AU51" s="387" t="s">
        <v>3457</v>
      </c>
      <c r="AV51" s="794" t="s">
        <v>3458</v>
      </c>
      <c r="AW51" s="798" t="s">
        <v>3459</v>
      </c>
      <c r="AX51" s="368" t="s">
        <v>3299</v>
      </c>
      <c r="AY51" s="683"/>
      <c r="AZ51" s="949">
        <v>30</v>
      </c>
      <c r="BA51" s="949">
        <v>20</v>
      </c>
      <c r="BB51" s="949">
        <v>1</v>
      </c>
      <c r="BC51" s="949">
        <v>28</v>
      </c>
      <c r="BD51" s="827">
        <f t="shared" si="130"/>
        <v>35155</v>
      </c>
      <c r="BE51" s="388">
        <f t="shared" si="131"/>
        <v>13350</v>
      </c>
      <c r="BF51" s="388">
        <f t="shared" si="132"/>
        <v>8900</v>
      </c>
      <c r="BG51" s="388">
        <f t="shared" si="133"/>
        <v>445</v>
      </c>
      <c r="BH51" s="388">
        <f t="shared" si="134"/>
        <v>12460</v>
      </c>
      <c r="BI51" s="827">
        <f t="shared" si="135"/>
        <v>33180</v>
      </c>
      <c r="BJ51" s="388">
        <f t="shared" si="136"/>
        <v>12600</v>
      </c>
      <c r="BK51" s="388">
        <f t="shared" si="137"/>
        <v>8400</v>
      </c>
      <c r="BL51" s="388">
        <f t="shared" si="138"/>
        <v>420</v>
      </c>
      <c r="BM51" s="388">
        <f t="shared" si="139"/>
        <v>11760</v>
      </c>
      <c r="BN51" s="683"/>
      <c r="BO51" s="389">
        <v>0.55000000000000004</v>
      </c>
      <c r="BP51" s="389">
        <v>0.15</v>
      </c>
      <c r="BQ51" s="389">
        <v>0.2</v>
      </c>
      <c r="BR51" s="711">
        <v>0.1</v>
      </c>
      <c r="BS51" s="708">
        <v>0.52</v>
      </c>
      <c r="BT51" s="389">
        <v>0.15</v>
      </c>
      <c r="BU51" s="389">
        <v>0.23</v>
      </c>
      <c r="BV51" s="711">
        <v>0.1</v>
      </c>
      <c r="BW51" s="715">
        <v>0.82</v>
      </c>
      <c r="BX51" s="390">
        <v>0.14000000000000001</v>
      </c>
      <c r="BY51" s="726">
        <v>0.04</v>
      </c>
      <c r="BZ51" s="715">
        <v>0.79</v>
      </c>
      <c r="CA51" s="390">
        <v>0.16</v>
      </c>
      <c r="CB51" s="726">
        <v>0.05</v>
      </c>
      <c r="CC51" s="709">
        <v>0.2</v>
      </c>
      <c r="CD51" s="389">
        <v>0.4</v>
      </c>
      <c r="CE51" s="389">
        <v>0.25</v>
      </c>
      <c r="CF51" s="711">
        <v>0.15</v>
      </c>
      <c r="CG51" s="708">
        <v>0.18</v>
      </c>
      <c r="CH51" s="389">
        <v>0.4</v>
      </c>
      <c r="CI51" s="389">
        <v>0.28000000000000003</v>
      </c>
      <c r="CJ51" s="711">
        <v>0.14000000000000001</v>
      </c>
      <c r="CK51" s="721">
        <v>0.8</v>
      </c>
      <c r="CL51" s="391">
        <v>0.15</v>
      </c>
      <c r="CM51" s="724">
        <v>0.05</v>
      </c>
      <c r="CN51" s="721">
        <v>0.75</v>
      </c>
      <c r="CO51" s="391">
        <v>0.17</v>
      </c>
      <c r="CP51" s="724">
        <v>0.08</v>
      </c>
      <c r="CQ51" s="683"/>
      <c r="CR51" s="810">
        <v>12</v>
      </c>
      <c r="CS51" s="811">
        <v>11</v>
      </c>
      <c r="CT51" s="811">
        <v>8</v>
      </c>
      <c r="CU51" s="812">
        <v>10</v>
      </c>
      <c r="CV51" s="810">
        <v>11</v>
      </c>
      <c r="CW51" s="811">
        <v>10</v>
      </c>
      <c r="CX51" s="812">
        <v>8</v>
      </c>
      <c r="CY51" s="810">
        <v>10</v>
      </c>
      <c r="CZ51" s="811">
        <v>12</v>
      </c>
      <c r="DA51" s="811">
        <v>8</v>
      </c>
      <c r="DB51" s="812">
        <v>10</v>
      </c>
      <c r="DC51" s="810">
        <v>12</v>
      </c>
      <c r="DD51" s="811">
        <v>12</v>
      </c>
      <c r="DE51" s="812">
        <v>9</v>
      </c>
      <c r="DF51" s="816" t="s">
        <v>3460</v>
      </c>
      <c r="DG51" s="683"/>
      <c r="DH51" s="392">
        <f t="shared" si="140"/>
        <v>7342.5000000000009</v>
      </c>
      <c r="DI51" s="392">
        <f t="shared" si="141"/>
        <v>2002.5</v>
      </c>
      <c r="DJ51" s="392">
        <f t="shared" si="142"/>
        <v>2670</v>
      </c>
      <c r="DK51" s="392">
        <f t="shared" si="143"/>
        <v>1335</v>
      </c>
      <c r="DL51" s="393" t="s">
        <v>3461</v>
      </c>
      <c r="DM51" s="392">
        <f t="shared" si="144"/>
        <v>6552</v>
      </c>
      <c r="DN51" s="392">
        <f t="shared" si="145"/>
        <v>1890</v>
      </c>
      <c r="DO51" s="392">
        <f t="shared" si="146"/>
        <v>2898</v>
      </c>
      <c r="DP51" s="392">
        <f t="shared" si="147"/>
        <v>1260</v>
      </c>
      <c r="DQ51" s="394" t="s">
        <v>3301</v>
      </c>
      <c r="DR51" s="683"/>
      <c r="DS51" s="392">
        <f t="shared" si="148"/>
        <v>7298</v>
      </c>
      <c r="DT51" s="392">
        <f t="shared" si="149"/>
        <v>1246.0000000000002</v>
      </c>
      <c r="DU51" s="392">
        <f t="shared" si="150"/>
        <v>356</v>
      </c>
      <c r="DV51" s="394" t="s">
        <v>3462</v>
      </c>
      <c r="DW51" s="392">
        <f t="shared" si="151"/>
        <v>6636</v>
      </c>
      <c r="DX51" s="392">
        <f t="shared" si="152"/>
        <v>1344</v>
      </c>
      <c r="DY51" s="392">
        <f t="shared" si="153"/>
        <v>420</v>
      </c>
      <c r="DZ51" s="394" t="s">
        <v>3303</v>
      </c>
      <c r="EA51" s="683"/>
      <c r="EB51" s="392">
        <f t="shared" si="154"/>
        <v>89</v>
      </c>
      <c r="EC51" s="392">
        <f t="shared" si="155"/>
        <v>178</v>
      </c>
      <c r="ED51" s="392">
        <f t="shared" si="156"/>
        <v>111.25</v>
      </c>
      <c r="EE51" s="392">
        <f t="shared" si="157"/>
        <v>66.75</v>
      </c>
      <c r="EF51" s="394" t="s">
        <v>3463</v>
      </c>
      <c r="EG51" s="392">
        <f t="shared" si="158"/>
        <v>75.599999999999994</v>
      </c>
      <c r="EH51" s="392">
        <f t="shared" si="159"/>
        <v>168</v>
      </c>
      <c r="EI51" s="392">
        <f t="shared" si="160"/>
        <v>117.60000000000001</v>
      </c>
      <c r="EJ51" s="392">
        <f t="shared" si="161"/>
        <v>58.800000000000004</v>
      </c>
      <c r="EK51" s="394" t="s">
        <v>3305</v>
      </c>
      <c r="EL51" s="683"/>
      <c r="EM51" s="392">
        <f t="shared" si="162"/>
        <v>9968</v>
      </c>
      <c r="EN51" s="395">
        <f t="shared" si="163"/>
        <v>1869</v>
      </c>
      <c r="EO51" s="395">
        <f t="shared" si="164"/>
        <v>623</v>
      </c>
      <c r="EP51" s="394" t="s">
        <v>3464</v>
      </c>
      <c r="EQ51" s="392">
        <f t="shared" si="165"/>
        <v>8820</v>
      </c>
      <c r="ER51" s="395">
        <f t="shared" si="166"/>
        <v>1999.2</v>
      </c>
      <c r="ES51" s="395">
        <f t="shared" si="167"/>
        <v>940.80000000000007</v>
      </c>
      <c r="ET51" s="394" t="s">
        <v>3307</v>
      </c>
      <c r="EU51" s="683"/>
      <c r="EV51" s="734">
        <f t="shared" si="168"/>
        <v>0.84158434490503176</v>
      </c>
      <c r="EW51" s="734">
        <f t="shared" si="169"/>
        <v>0.15841565509496816</v>
      </c>
      <c r="EX51" s="396">
        <f t="shared" si="170"/>
        <v>19590.762025</v>
      </c>
      <c r="EY51" s="396">
        <f t="shared" si="171"/>
        <v>16487.278624999999</v>
      </c>
      <c r="EZ51" s="396">
        <f t="shared" si="172"/>
        <v>3103.4834000000001</v>
      </c>
      <c r="FA51" s="396">
        <f t="shared" si="173"/>
        <v>7638.8627727272724</v>
      </c>
      <c r="FB51" s="396">
        <f t="shared" si="174"/>
        <v>6460.3247727272728</v>
      </c>
      <c r="FC51" s="396">
        <f t="shared" si="175"/>
        <v>1178.538</v>
      </c>
      <c r="FD51" s="396">
        <f t="shared" si="176"/>
        <v>5014.9507272727278</v>
      </c>
      <c r="FE51" s="396">
        <f t="shared" si="177"/>
        <v>4229.2587272727278</v>
      </c>
      <c r="FF51" s="396">
        <f t="shared" si="178"/>
        <v>785.69200000000001</v>
      </c>
      <c r="FG51" s="396">
        <f t="shared" si="179"/>
        <v>263.33472499999999</v>
      </c>
      <c r="FH51" s="396">
        <f t="shared" si="180"/>
        <v>224.05012500000001</v>
      </c>
      <c r="FI51" s="396">
        <f t="shared" si="181"/>
        <v>39.284599999999998</v>
      </c>
      <c r="FJ51" s="396">
        <f t="shared" si="182"/>
        <v>6673.6138000000001</v>
      </c>
      <c r="FK51" s="396">
        <f t="shared" si="183"/>
        <v>5573.6450000000004</v>
      </c>
      <c r="FL51" s="396">
        <f t="shared" si="184"/>
        <v>1099.9687999999999</v>
      </c>
      <c r="FM51" s="683"/>
      <c r="FN51" s="397" t="s">
        <v>2649</v>
      </c>
      <c r="FO51" s="734">
        <v>8.8279999999999997E-2</v>
      </c>
      <c r="FP51" s="735">
        <v>0.9</v>
      </c>
      <c r="FQ51" s="398" t="s">
        <v>3465</v>
      </c>
      <c r="FR51" s="683"/>
      <c r="FS51" s="870">
        <v>3.33</v>
      </c>
      <c r="FT51" s="399">
        <f>RANK($FS51,$FS$8:$FS$154,0)+COUNTIF($FS$8:$FS51,$FS51)-1</f>
        <v>70</v>
      </c>
      <c r="FU51" s="870">
        <v>4.18</v>
      </c>
      <c r="FV51" s="399">
        <f>RANK($FU51,$FU$8:$FU$154,0)+COUNTIF($FU$8:$FU51,$FU51)-1</f>
        <v>48</v>
      </c>
      <c r="FW51" s="870">
        <v>2.2999999999999998</v>
      </c>
      <c r="FX51" s="399">
        <f>RANK($FW51,$FW$8:$FW$154,0)+COUNTIF($FW$8:$FW51,$FW51)-1</f>
        <v>61</v>
      </c>
      <c r="FY51" s="683"/>
      <c r="FZ51" s="400" t="s">
        <v>3466</v>
      </c>
      <c r="GA51" s="400" t="s">
        <v>3467</v>
      </c>
      <c r="GB51" s="400" t="s">
        <v>3468</v>
      </c>
      <c r="GC51" s="400" t="s">
        <v>3469</v>
      </c>
      <c r="GD51" s="400" t="s">
        <v>3470</v>
      </c>
      <c r="GE51" s="400" t="s">
        <v>3471</v>
      </c>
      <c r="GF51" s="400" t="str">
        <f>HYPERLINK("https://sante.gouv.fr/actualites-presse/presse/communiques-de-presse/article/campagne-tarifaire-et-budgetaire-2026-des-etablissements-de-sante-3-6-milliards","https://sante.gouv.fr/actualites-presse/presse/communiques-de-presse/article/campagne-tarifaire-et-budgetaire-2026-des-etablissements-de-sante-3-6-milliards")&amp;CHAR(10)&amp;HYPERLINK("https://sante.gouv.fr/systeme-de-sante/segur-de-la-sante/investissement-en-sante-une-nouvelle-politique-au-service-de-la-qualite-des-11226/csis","https://sante.gouv.fr/systeme-de-sante/segur-de-la-sante/investissement-en-sante-une-nouvelle-politique-au-service-de-la-qualite-des-11226/csis")&amp;CHAR(10)&amp;HYPERLINK("https://sante.gouv.fr/soins-et-maladies/qualite-securite-et-pertinence-des-soins/securite-des-prises-en-charge/securite-des-soins-et-des-patients/article/ameliorer-la-securite-des-patients-et-des-residents-la-1ere-feuille-de-route","https://sante.gouv.fr/soins-et-maladies/qualite-securite-et-pertinence-des-soins/securite-des-prises-en-charge/securite-des-soins-et-des-patients/article/ameliorer-la-securite-des-patients-et-des-residents-la-1ere-feuille-de-route")&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https://sante.gouv.fr/actualites-presse/presse/communiques-de-presse/article/campagne-tarifaire-et-budgetaire-2026-des-etablissements-de-sante-3-6-milliards
https://sante.gouv.fr/systeme-de-sante/segur-de-la-sante/investissement-en-sante-une-nouvelle-politique-au-service-de-la-qualite-des-11226/csis
https://sante.gouv.fr/soins-et-maladies/qualite-securite-et-pertinence-des-soins/securite-des-prises-en-charge/securite-des-soins-et-des-patients/article/ameliorer-la-securite-des-patients-et-des-residents-la-1ere-feuille-de-route
https://www.statistiques.developpement-durable.gouv.fr/construction-de-locaux-resultats-fin-janvier-2026-france-entiere
https://www.insee.fr/fr/statistiques/8671745
https://www.insee.fr/fr/statistiques/8906564</v>
      </c>
      <c r="GG51" s="683"/>
      <c r="GH51" s="396">
        <f t="shared" si="185"/>
        <v>3858.8022600000004</v>
      </c>
      <c r="GI51" s="396">
        <f t="shared" si="116"/>
        <v>3245.9625000000005</v>
      </c>
      <c r="GJ51" s="396">
        <f t="shared" si="186"/>
        <v>612.83976000000007</v>
      </c>
      <c r="GK51" s="396">
        <f t="shared" si="187"/>
        <v>1106.8079727272727</v>
      </c>
      <c r="GL51" s="396">
        <f t="shared" si="117"/>
        <v>930.0272727272727</v>
      </c>
      <c r="GM51" s="396">
        <f t="shared" si="188"/>
        <v>176.7807</v>
      </c>
      <c r="GN51" s="396">
        <f t="shared" si="189"/>
        <v>1886.3387400000001</v>
      </c>
      <c r="GO51" s="396">
        <f t="shared" si="118"/>
        <v>1615.2750000000001</v>
      </c>
      <c r="GP51" s="396">
        <f t="shared" si="190"/>
        <v>271.06374</v>
      </c>
      <c r="GQ51" s="396">
        <f t="shared" si="191"/>
        <v>786.91380000000004</v>
      </c>
      <c r="GR51" s="396">
        <f t="shared" si="119"/>
        <v>669.06000000000006</v>
      </c>
      <c r="GS51" s="396">
        <f t="shared" si="192"/>
        <v>117.85380000000001</v>
      </c>
      <c r="GT51" s="396">
        <f t="shared" si="193"/>
        <v>4010.1294072727273</v>
      </c>
      <c r="GU51" s="396">
        <f t="shared" si="120"/>
        <v>3389.4327272727273</v>
      </c>
      <c r="GV51" s="396">
        <f t="shared" si="194"/>
        <v>620.69668000000001</v>
      </c>
      <c r="GW51" s="396">
        <f t="shared" si="195"/>
        <v>750.16672000000028</v>
      </c>
      <c r="GX51" s="396">
        <f t="shared" si="121"/>
        <v>624.45600000000024</v>
      </c>
      <c r="GY51" s="396">
        <f t="shared" si="196"/>
        <v>125.71072000000001</v>
      </c>
      <c r="GZ51" s="396">
        <f t="shared" si="197"/>
        <v>254.65460000000004</v>
      </c>
      <c r="HA51" s="396">
        <f t="shared" si="122"/>
        <v>215.37000000000003</v>
      </c>
      <c r="HB51" s="396">
        <f t="shared" si="198"/>
        <v>39.284600000000005</v>
      </c>
      <c r="HC51" s="396">
        <f t="shared" si="199"/>
        <v>51.675228000000004</v>
      </c>
      <c r="HD51" s="396">
        <f t="shared" si="123"/>
        <v>44.604000000000006</v>
      </c>
      <c r="HE51" s="396">
        <f t="shared" si="200"/>
        <v>7.0712279999999996</v>
      </c>
      <c r="HF51" s="396">
        <f t="shared" si="201"/>
        <v>94.403840000000017</v>
      </c>
      <c r="HG51" s="396">
        <f t="shared" si="124"/>
        <v>78.690000000000012</v>
      </c>
      <c r="HH51" s="396">
        <f t="shared" si="202"/>
        <v>15.713839999999999</v>
      </c>
      <c r="HI51" s="396">
        <f t="shared" si="203"/>
        <v>78.302813</v>
      </c>
      <c r="HJ51" s="396">
        <f t="shared" si="125"/>
        <v>67.303124999999994</v>
      </c>
      <c r="HK51" s="396">
        <f t="shared" si="204"/>
        <v>10.999688000000001</v>
      </c>
      <c r="HL51" s="396">
        <f t="shared" si="205"/>
        <v>38.952844000000006</v>
      </c>
      <c r="HM51" s="396">
        <f t="shared" si="126"/>
        <v>33.453000000000003</v>
      </c>
      <c r="HN51" s="396">
        <f t="shared" si="206"/>
        <v>5.4998440000000004</v>
      </c>
      <c r="HO51" s="396">
        <f t="shared" si="207"/>
        <v>5231.6166000000003</v>
      </c>
      <c r="HP51" s="396">
        <f t="shared" si="127"/>
        <v>4406.6400000000003</v>
      </c>
      <c r="HQ51" s="396">
        <f t="shared" si="208"/>
        <v>824.97659999999996</v>
      </c>
      <c r="HR51" s="396">
        <f t="shared" si="209"/>
        <v>1013.239696</v>
      </c>
      <c r="HS51" s="396">
        <f t="shared" si="128"/>
        <v>826.245</v>
      </c>
      <c r="HT51" s="396">
        <f t="shared" si="210"/>
        <v>186.994696</v>
      </c>
      <c r="HU51" s="396">
        <f t="shared" si="211"/>
        <v>428.75750400000004</v>
      </c>
      <c r="HV51" s="396">
        <f t="shared" si="129"/>
        <v>340.76000000000005</v>
      </c>
      <c r="HW51" s="396">
        <f t="shared" si="212"/>
        <v>87.997503999999992</v>
      </c>
      <c r="HX51" s="684"/>
      <c r="HY51" s="401">
        <f t="shared" si="213"/>
        <v>35155</v>
      </c>
      <c r="HZ51" s="401">
        <f t="shared" si="214"/>
        <v>0</v>
      </c>
      <c r="IA51" s="401">
        <f t="shared" si="215"/>
        <v>2472.509</v>
      </c>
      <c r="IB51" s="401">
        <f t="shared" si="216"/>
        <v>19644.391500000002</v>
      </c>
      <c r="IC51" s="401">
        <f t="shared" si="217"/>
        <v>13038.0995</v>
      </c>
      <c r="ID51" s="401">
        <f t="shared" si="218"/>
        <v>0</v>
      </c>
      <c r="IE51" s="401">
        <f t="shared" si="219"/>
        <v>16487.278625000003</v>
      </c>
      <c r="IF51" s="401">
        <f t="shared" si="220"/>
        <v>0</v>
      </c>
      <c r="IG51" s="401">
        <f t="shared" si="221"/>
        <v>163.77763911136364</v>
      </c>
      <c r="IH51" s="401">
        <f t="shared" si="222"/>
        <v>7740.5251329238636</v>
      </c>
      <c r="II51" s="401">
        <f t="shared" si="223"/>
        <v>8156.8223653375017</v>
      </c>
      <c r="IJ51" s="401">
        <f t="shared" si="224"/>
        <v>426.1534876272728</v>
      </c>
      <c r="IK51" s="871">
        <v>4.22</v>
      </c>
      <c r="IL51" s="402" t="s">
        <v>2589</v>
      </c>
      <c r="IM51" s="403" t="s">
        <v>3472</v>
      </c>
      <c r="IN51" s="683"/>
      <c r="IO51" s="736">
        <v>0</v>
      </c>
      <c r="IP51" s="736">
        <v>5.5500000000000001E-2</v>
      </c>
      <c r="IQ51" s="736">
        <v>0.54859999999999998</v>
      </c>
      <c r="IR51" s="736">
        <v>0.39589999999999997</v>
      </c>
      <c r="IS51" s="736">
        <v>0</v>
      </c>
      <c r="IT51" s="736">
        <v>0</v>
      </c>
      <c r="IU51" s="736">
        <v>5.0000000000000001E-4</v>
      </c>
      <c r="IV51" s="736">
        <v>0.44769999999999999</v>
      </c>
      <c r="IW51" s="736">
        <v>0.51780000000000004</v>
      </c>
      <c r="IX51" s="736">
        <v>3.4000000000000002E-2</v>
      </c>
      <c r="IY51" s="736">
        <v>0</v>
      </c>
      <c r="IZ51" s="736">
        <v>6.3299999999999995E-2</v>
      </c>
      <c r="JA51" s="736">
        <v>0.55559999999999998</v>
      </c>
      <c r="JB51" s="736">
        <v>0.38109999999999999</v>
      </c>
      <c r="JC51" s="736">
        <v>0</v>
      </c>
      <c r="JD51" s="736">
        <v>0</v>
      </c>
      <c r="JE51" s="736">
        <v>5.4999999999999997E-3</v>
      </c>
      <c r="JF51" s="736">
        <v>0.46150000000000002</v>
      </c>
      <c r="JG51" s="736">
        <v>0.50460000000000005</v>
      </c>
      <c r="JH51" s="736">
        <v>2.8400000000000002E-2</v>
      </c>
      <c r="JI51" s="736">
        <v>0</v>
      </c>
      <c r="JJ51" s="736">
        <v>0.20039999999999999</v>
      </c>
      <c r="JK51" s="736">
        <v>0.58109999999999995</v>
      </c>
      <c r="JL51" s="736">
        <v>0.2185</v>
      </c>
      <c r="JM51" s="736">
        <v>0</v>
      </c>
      <c r="JN51" s="736">
        <v>0</v>
      </c>
      <c r="JO51" s="736">
        <v>9.7799999999999998E-2</v>
      </c>
      <c r="JP51" s="736">
        <v>0.57630000000000003</v>
      </c>
      <c r="JQ51" s="736">
        <v>0.32590000000000002</v>
      </c>
      <c r="JR51" s="736">
        <v>0</v>
      </c>
      <c r="JS51" s="736">
        <v>0</v>
      </c>
      <c r="JT51" s="736">
        <v>8.6599999999999996E-2</v>
      </c>
      <c r="JU51" s="736">
        <v>0.57120000000000004</v>
      </c>
      <c r="JV51" s="736">
        <v>0.3422</v>
      </c>
      <c r="JW51" s="736">
        <v>0</v>
      </c>
      <c r="JX51" s="736">
        <v>0</v>
      </c>
      <c r="JY51" s="736">
        <v>2.07E-2</v>
      </c>
      <c r="JZ51" s="736">
        <v>0.4965</v>
      </c>
      <c r="KA51" s="736">
        <v>0.46729999999999999</v>
      </c>
      <c r="KB51" s="736">
        <v>1.55E-2</v>
      </c>
      <c r="KC51" s="683"/>
      <c r="KD51" s="402" t="s">
        <v>2590</v>
      </c>
      <c r="KE51" s="402" t="s">
        <v>2590</v>
      </c>
      <c r="KF51" s="871">
        <v>4.18</v>
      </c>
      <c r="KG51" s="402" t="s">
        <v>2589</v>
      </c>
      <c r="KH51" s="404" t="s">
        <v>3451</v>
      </c>
      <c r="KI51" s="402" t="s">
        <v>3452</v>
      </c>
      <c r="KJ51" s="404" t="s">
        <v>3473</v>
      </c>
    </row>
    <row r="52" spans="1:296" ht="48" customHeight="1">
      <c r="A52" s="273">
        <f t="shared" si="225"/>
        <v>45</v>
      </c>
      <c r="B52" s="274" t="s">
        <v>2241</v>
      </c>
      <c r="C52" s="274" t="s">
        <v>1032</v>
      </c>
      <c r="D52" s="274" t="s">
        <v>3474</v>
      </c>
      <c r="E52" s="275" t="s">
        <v>3475</v>
      </c>
      <c r="F52" s="275" t="s">
        <v>300</v>
      </c>
      <c r="G52" s="275" t="s">
        <v>300</v>
      </c>
      <c r="H52" s="275" t="s">
        <v>2096</v>
      </c>
      <c r="I52" s="276" t="s">
        <v>3476</v>
      </c>
      <c r="J52" s="276" t="s">
        <v>3477</v>
      </c>
      <c r="K52" s="277" t="s">
        <v>2109</v>
      </c>
      <c r="L52" s="277" t="s">
        <v>2109</v>
      </c>
      <c r="M52" s="277" t="s">
        <v>2603</v>
      </c>
      <c r="N52" s="277" t="s">
        <v>2099</v>
      </c>
      <c r="O52" s="275" t="s">
        <v>2616</v>
      </c>
      <c r="P52" s="276"/>
      <c r="Q52" s="270">
        <v>1</v>
      </c>
      <c r="R52" s="278">
        <v>2500</v>
      </c>
      <c r="S52" s="279">
        <v>1950</v>
      </c>
      <c r="T52" s="279">
        <v>2050</v>
      </c>
      <c r="U52" s="279">
        <v>2200</v>
      </c>
      <c r="V52" s="279">
        <v>2300</v>
      </c>
      <c r="W52" s="279">
        <f>V52+12</f>
        <v>2312</v>
      </c>
      <c r="X52" s="279">
        <f>W52+12</f>
        <v>2324</v>
      </c>
      <c r="Y52" s="279">
        <f>X52+12</f>
        <v>2336</v>
      </c>
      <c r="Z52" s="279">
        <f>Y52+12</f>
        <v>2348</v>
      </c>
      <c r="AA52" s="279">
        <v>2360</v>
      </c>
      <c r="AB52" s="279">
        <f>AA52+30</f>
        <v>2390</v>
      </c>
      <c r="AC52" s="279">
        <f>AB52+30</f>
        <v>2420</v>
      </c>
      <c r="AD52" s="279">
        <f>AC52+30</f>
        <v>2450</v>
      </c>
      <c r="AE52" s="279">
        <f>AD52+30</f>
        <v>2480</v>
      </c>
      <c r="AF52" s="279">
        <v>2500</v>
      </c>
      <c r="AG52" s="279">
        <f>AF52+10</f>
        <v>2510</v>
      </c>
      <c r="AH52" s="279">
        <f>AG52+10</f>
        <v>2520</v>
      </c>
      <c r="AI52" s="279">
        <f>AH52+10</f>
        <v>2530</v>
      </c>
      <c r="AJ52" s="279">
        <f>AI52+10</f>
        <v>2540</v>
      </c>
      <c r="AK52" s="279">
        <v>2550</v>
      </c>
      <c r="AL52" s="276" t="s">
        <v>2124</v>
      </c>
      <c r="AM52" s="276" t="s">
        <v>3478</v>
      </c>
      <c r="AN52" s="276" t="s">
        <v>3479</v>
      </c>
      <c r="AO52" s="657"/>
      <c r="AP52" s="278">
        <v>70</v>
      </c>
      <c r="AQ52" s="278">
        <v>50</v>
      </c>
      <c r="AR52" s="278">
        <v>18</v>
      </c>
      <c r="AS52" s="278">
        <v>2</v>
      </c>
      <c r="AT52" s="657"/>
      <c r="AU52" s="281" t="s">
        <v>3480</v>
      </c>
      <c r="AV52" s="296" t="s">
        <v>3481</v>
      </c>
      <c r="AW52" s="296" t="s">
        <v>3482</v>
      </c>
      <c r="AX52" s="276" t="s">
        <v>3299</v>
      </c>
      <c r="AY52" s="657"/>
      <c r="AZ52" s="947">
        <v>18</v>
      </c>
      <c r="BA52" s="947">
        <v>5</v>
      </c>
      <c r="BB52" s="947">
        <v>2</v>
      </c>
      <c r="BC52" s="947">
        <v>13</v>
      </c>
      <c r="BD52" s="826">
        <f t="shared" si="130"/>
        <v>95000</v>
      </c>
      <c r="BE52" s="283">
        <f t="shared" si="131"/>
        <v>45000</v>
      </c>
      <c r="BF52" s="283">
        <f t="shared" si="132"/>
        <v>12500</v>
      </c>
      <c r="BG52" s="283">
        <f t="shared" si="133"/>
        <v>5000</v>
      </c>
      <c r="BH52" s="283">
        <f t="shared" si="134"/>
        <v>32500</v>
      </c>
      <c r="BI52" s="826">
        <f t="shared" si="135"/>
        <v>96900</v>
      </c>
      <c r="BJ52" s="283">
        <f t="shared" si="136"/>
        <v>45900</v>
      </c>
      <c r="BK52" s="283">
        <f t="shared" si="137"/>
        <v>12750</v>
      </c>
      <c r="BL52" s="283">
        <f t="shared" si="138"/>
        <v>5100</v>
      </c>
      <c r="BM52" s="283">
        <f t="shared" si="139"/>
        <v>33150</v>
      </c>
      <c r="BN52" s="657"/>
      <c r="BO52" s="305">
        <v>0.5</v>
      </c>
      <c r="BP52" s="305">
        <v>0.25</v>
      </c>
      <c r="BQ52" s="305">
        <v>0.1</v>
      </c>
      <c r="BR52" s="581">
        <v>0.15</v>
      </c>
      <c r="BS52" s="706">
        <v>0.47</v>
      </c>
      <c r="BT52" s="305">
        <v>0.25</v>
      </c>
      <c r="BU52" s="305">
        <v>0.13</v>
      </c>
      <c r="BV52" s="581">
        <v>0.15</v>
      </c>
      <c r="BW52" s="713">
        <v>0.7</v>
      </c>
      <c r="BX52" s="306">
        <v>0.25</v>
      </c>
      <c r="BY52" s="590">
        <v>0.05</v>
      </c>
      <c r="BZ52" s="713">
        <v>0.66</v>
      </c>
      <c r="CA52" s="306">
        <v>0.28000000000000003</v>
      </c>
      <c r="CB52" s="590">
        <v>0.06</v>
      </c>
      <c r="CC52" s="706">
        <v>0.25</v>
      </c>
      <c r="CD52" s="305">
        <v>0.4</v>
      </c>
      <c r="CE52" s="305">
        <v>0.2</v>
      </c>
      <c r="CF52" s="581">
        <v>0.15</v>
      </c>
      <c r="CG52" s="706">
        <v>0.22</v>
      </c>
      <c r="CH52" s="305">
        <v>0.4</v>
      </c>
      <c r="CI52" s="305">
        <v>0.23</v>
      </c>
      <c r="CJ52" s="581">
        <v>0.15</v>
      </c>
      <c r="CK52" s="719">
        <v>0.7</v>
      </c>
      <c r="CL52" s="307">
        <v>0.3</v>
      </c>
      <c r="CM52" s="723"/>
      <c r="CN52" s="719">
        <v>0.67</v>
      </c>
      <c r="CO52" s="307">
        <v>0.315</v>
      </c>
      <c r="CP52" s="723">
        <v>1.4999999999999999E-2</v>
      </c>
      <c r="CQ52" s="657"/>
      <c r="CR52" s="804">
        <v>12</v>
      </c>
      <c r="CS52" s="805">
        <v>12</v>
      </c>
      <c r="CT52" s="805">
        <v>9</v>
      </c>
      <c r="CU52" s="806">
        <v>10</v>
      </c>
      <c r="CV52" s="804">
        <v>12</v>
      </c>
      <c r="CW52" s="805">
        <v>11</v>
      </c>
      <c r="CX52" s="806">
        <v>8</v>
      </c>
      <c r="CY52" s="804">
        <v>11</v>
      </c>
      <c r="CZ52" s="805">
        <v>12</v>
      </c>
      <c r="DA52" s="805">
        <v>8</v>
      </c>
      <c r="DB52" s="806">
        <v>10</v>
      </c>
      <c r="DC52" s="804">
        <v>12</v>
      </c>
      <c r="DD52" s="805">
        <v>12</v>
      </c>
      <c r="DE52" s="806">
        <v>9</v>
      </c>
      <c r="DF52" s="609" t="s">
        <v>3483</v>
      </c>
      <c r="DG52" s="657"/>
      <c r="DH52" s="308">
        <f t="shared" si="140"/>
        <v>22500</v>
      </c>
      <c r="DI52" s="308">
        <f t="shared" si="141"/>
        <v>11250</v>
      </c>
      <c r="DJ52" s="308">
        <f t="shared" si="142"/>
        <v>4500</v>
      </c>
      <c r="DK52" s="308">
        <f t="shared" si="143"/>
        <v>6750</v>
      </c>
      <c r="DL52" s="287" t="s">
        <v>3484</v>
      </c>
      <c r="DM52" s="308">
        <f t="shared" si="144"/>
        <v>21573</v>
      </c>
      <c r="DN52" s="308">
        <f t="shared" si="145"/>
        <v>11475</v>
      </c>
      <c r="DO52" s="308">
        <f t="shared" si="146"/>
        <v>5967</v>
      </c>
      <c r="DP52" s="308">
        <f t="shared" si="147"/>
        <v>6885</v>
      </c>
      <c r="DQ52" s="289" t="s">
        <v>3485</v>
      </c>
      <c r="DR52" s="657"/>
      <c r="DS52" s="308">
        <f t="shared" si="148"/>
        <v>8750</v>
      </c>
      <c r="DT52" s="308">
        <f t="shared" si="149"/>
        <v>3125</v>
      </c>
      <c r="DU52" s="308">
        <f t="shared" si="150"/>
        <v>625</v>
      </c>
      <c r="DV52" s="289" t="s">
        <v>3486</v>
      </c>
      <c r="DW52" s="308">
        <f t="shared" si="151"/>
        <v>8415</v>
      </c>
      <c r="DX52" s="308">
        <f t="shared" si="152"/>
        <v>3570.0000000000005</v>
      </c>
      <c r="DY52" s="308">
        <f t="shared" si="153"/>
        <v>765</v>
      </c>
      <c r="DZ52" s="289" t="s">
        <v>3487</v>
      </c>
      <c r="EA52" s="657"/>
      <c r="EB52" s="308">
        <f t="shared" si="154"/>
        <v>1250</v>
      </c>
      <c r="EC52" s="308">
        <f t="shared" si="155"/>
        <v>2000</v>
      </c>
      <c r="ED52" s="308">
        <f t="shared" si="156"/>
        <v>1000</v>
      </c>
      <c r="EE52" s="308">
        <f t="shared" si="157"/>
        <v>750</v>
      </c>
      <c r="EF52" s="289" t="s">
        <v>3488</v>
      </c>
      <c r="EG52" s="308">
        <f t="shared" si="158"/>
        <v>1122</v>
      </c>
      <c r="EH52" s="308">
        <f t="shared" si="159"/>
        <v>2040</v>
      </c>
      <c r="EI52" s="308">
        <f t="shared" si="160"/>
        <v>1173</v>
      </c>
      <c r="EJ52" s="308">
        <f t="shared" si="161"/>
        <v>765</v>
      </c>
      <c r="EK52" s="309" t="s">
        <v>3489</v>
      </c>
      <c r="EL52" s="657"/>
      <c r="EM52" s="308">
        <f t="shared" si="162"/>
        <v>22750</v>
      </c>
      <c r="EN52" s="310">
        <f t="shared" si="163"/>
        <v>9750</v>
      </c>
      <c r="EO52" s="310">
        <f t="shared" si="164"/>
        <v>0</v>
      </c>
      <c r="EP52" s="289" t="s">
        <v>3490</v>
      </c>
      <c r="EQ52" s="308">
        <f t="shared" si="165"/>
        <v>22210.5</v>
      </c>
      <c r="ER52" s="310">
        <f t="shared" si="166"/>
        <v>10442.25</v>
      </c>
      <c r="ES52" s="310">
        <f t="shared" si="167"/>
        <v>497.25</v>
      </c>
      <c r="ET52" s="289" t="s">
        <v>3491</v>
      </c>
      <c r="EU52" s="657"/>
      <c r="EV52" s="728">
        <f t="shared" si="168"/>
        <v>0.77237885557062202</v>
      </c>
      <c r="EW52" s="728">
        <f t="shared" si="169"/>
        <v>0.227621144429378</v>
      </c>
      <c r="EX52" s="311">
        <f t="shared" si="170"/>
        <v>42529.001531329544</v>
      </c>
      <c r="EY52" s="311">
        <f t="shared" si="171"/>
        <v>32848.501531329544</v>
      </c>
      <c r="EZ52" s="311">
        <f t="shared" si="172"/>
        <v>9680.5</v>
      </c>
      <c r="FA52" s="311">
        <f t="shared" si="173"/>
        <v>20453.929168000002</v>
      </c>
      <c r="FB52" s="311">
        <f t="shared" si="174"/>
        <v>15868.429168000001</v>
      </c>
      <c r="FC52" s="311">
        <f t="shared" si="175"/>
        <v>4585.5</v>
      </c>
      <c r="FD52" s="311">
        <f t="shared" si="176"/>
        <v>5614.9968850568175</v>
      </c>
      <c r="FE52" s="311">
        <f t="shared" si="177"/>
        <v>4341.2468850568175</v>
      </c>
      <c r="FF52" s="311">
        <f t="shared" si="178"/>
        <v>1273.75</v>
      </c>
      <c r="FG52" s="311">
        <f t="shared" si="179"/>
        <v>2436.7565582727275</v>
      </c>
      <c r="FH52" s="311">
        <f t="shared" si="180"/>
        <v>1927.2565582727275</v>
      </c>
      <c r="FI52" s="311">
        <f t="shared" si="181"/>
        <v>509.5</v>
      </c>
      <c r="FJ52" s="311">
        <f t="shared" si="182"/>
        <v>14023.318920000002</v>
      </c>
      <c r="FK52" s="311">
        <f t="shared" si="183"/>
        <v>10711.568920000002</v>
      </c>
      <c r="FL52" s="311">
        <f t="shared" si="184"/>
        <v>3311.75</v>
      </c>
      <c r="FM52" s="657"/>
      <c r="FN52" s="293" t="s">
        <v>2649</v>
      </c>
      <c r="FO52" s="728">
        <v>8.1900000000000001E-2</v>
      </c>
      <c r="FP52" s="729">
        <v>0.86189000000000004</v>
      </c>
      <c r="FQ52" s="294" t="s">
        <v>3492</v>
      </c>
      <c r="FR52" s="657"/>
      <c r="FS52" s="865">
        <v>3.34</v>
      </c>
      <c r="FT52" s="312">
        <f>RANK($FS52,$FS$8:$FS$154,0)+COUNTIF($FS$8:$FS52,$FS52)-1</f>
        <v>69</v>
      </c>
      <c r="FU52" s="865">
        <v>4.12</v>
      </c>
      <c r="FV52" s="312">
        <f>RANK($FU52,$FU$8:$FU$154,0)+COUNTIF($FU$8:$FU52,$FU52)-1</f>
        <v>74</v>
      </c>
      <c r="FW52" s="865">
        <v>2.39</v>
      </c>
      <c r="FX52" s="312">
        <f>RANK($FW52,$FW$8:$FW$154,0)+COUNTIF($FW$8:$FW52,$FW52)-1</f>
        <v>50</v>
      </c>
      <c r="FY52" s="657"/>
      <c r="FZ52" s="296" t="s">
        <v>3493</v>
      </c>
      <c r="GA52" s="296" t="s">
        <v>3494</v>
      </c>
      <c r="GB52" s="296" t="s">
        <v>3495</v>
      </c>
      <c r="GC52" s="296" t="s">
        <v>3496</v>
      </c>
      <c r="GD52" s="296" t="s">
        <v>3497</v>
      </c>
      <c r="GE52" s="296" t="s">
        <v>3498</v>
      </c>
      <c r="GF52" s="296" t="str">
        <f>HYPERLINK("https://www.cnsa.fr/budget-et-financement/financement-des-esms/investissement-immobilier","https://www.cnsa.fr/budget-et-financement/financement-des-esms/investissement-immobilier")&amp;CHAR(10)&amp;HYPERLINK("https://www.cnsa.fr/actualites/instruction-budgetaire-les-priorites-de-financement-des-esms-pour-lexercice-2025","https://www.cnsa.fr/actualites/instruction-budgetaire-les-priorites-de-financement-des-esms-pour-lexercice-2025")&amp;CHAR(10)&amp;HYPERLINK("https://www.cnsa.fr/actualites/le-plan-national-50-000-solutions-des-avancees-tangibles","https://www.cnsa.fr/actualites/le-plan-national-50-000-solutions-des-avancees-tangibles")&amp;CHAR(10)&amp;HYPERLINK("https://sante.gouv.fr/actualites-presse/presse/communiques-de-presse/article/campagne-tarifaire-et-budgetaire-2026-des-etablissements-de-sante-3-6-milliards","https://sante.gouv.fr/actualites-presse/presse/communiques-de-presse/article/campagne-tarifaire-et-budgetaire-2026-des-etablissements-de-sante-3-6-milliards")&amp;CHAR(10)&amp;HYPERLINK("https://sante.gouv.fr/systeme-de-sante/segur-de-la-sante/investissement-en-sante-une-nouvelle-politique-au-service-de-la-qualite-des-11226/csis","https://sante.gouv.fr/systeme-de-sante/segur-de-la-sante/investissement-en-sante-une-nouvelle-politique-au-service-de-la-qualite-des-11226/csis")&amp;CHAR(10)&amp;HYPERLINK("https://sante.gouv.fr/soins-et-maladies/qualite-securite-et-pertinence-des-soins/securite-des-prises-en-charge/securite-des-soins-et-des-patients/article/ameliorer-la-securite-des-patients-et-des-residents-la-1ere-feuille-de-route","https://sante.gouv.fr/soins-et-maladies/qualite-securite-et-pertinence-des-soins/securite-des-prises-en-charge/securite-des-soins-et-des-patients/article/ameliorer-la-securite-des-patients-et-des-residents-la-1ere-feuille-de-route")&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https://www.cnsa.fr/budget-et-financement/financement-des-esms/investissement-immobilier
https://www.cnsa.fr/actualites/instruction-budgetaire-les-priorites-de-financement-des-esms-pour-lexercice-2025
https://www.cnsa.fr/actualites/le-plan-national-50-000-solutions-des-avancees-tangibles
https://sante.gouv.fr/actualites-presse/presse/communiques-de-presse/article/campagne-tarifaire-et-budgetaire-2026-des-etablissements-de-sante-3-6-milliards
https://sante.gouv.fr/systeme-de-sante/segur-de-la-sante/investissement-en-sante-une-nouvelle-politique-au-service-de-la-qualite-des-11226/csis
https://sante.gouv.fr/soins-et-maladies/qualite-securite-et-pertinence-des-soins/securite-des-prises-en-charge/securite-des-soins-et-des-patients/article/ameliorer-la-securite-des-patients-et-des-residents-la-1ere-feuille-de-route
https://www.statistiques.developpement-durable.gouv.fr/construction-de-locaux-resultats-fin-janvier-2026-france-entiere
https://www.insee.fr/fr/statistiques/8671745
https://www.insee.fr/fr/statistiques/8906564</v>
      </c>
      <c r="GG52" s="657"/>
      <c r="GH52" s="311">
        <f t="shared" si="185"/>
        <v>9570.8865600000008</v>
      </c>
      <c r="GI52" s="311">
        <f t="shared" si="116"/>
        <v>7415.7015600000013</v>
      </c>
      <c r="GJ52" s="311">
        <f t="shared" si="186"/>
        <v>2155.1849999999999</v>
      </c>
      <c r="GK52" s="311">
        <f t="shared" si="187"/>
        <v>4854.2257800000007</v>
      </c>
      <c r="GL52" s="311">
        <f t="shared" si="117"/>
        <v>3707.8507800000007</v>
      </c>
      <c r="GM52" s="311">
        <f t="shared" si="188"/>
        <v>1146.375</v>
      </c>
      <c r="GN52" s="311">
        <f t="shared" si="189"/>
        <v>2622.9355239999995</v>
      </c>
      <c r="GO52" s="311">
        <f t="shared" si="118"/>
        <v>2026.8205239999998</v>
      </c>
      <c r="GP52" s="311">
        <f t="shared" si="190"/>
        <v>596.11500000000001</v>
      </c>
      <c r="GQ52" s="311">
        <f t="shared" si="191"/>
        <v>3405.8813039999995</v>
      </c>
      <c r="GR52" s="311">
        <f t="shared" si="119"/>
        <v>2718.0563039999997</v>
      </c>
      <c r="GS52" s="311">
        <f t="shared" si="192"/>
        <v>687.82499999999993</v>
      </c>
      <c r="GT52" s="311">
        <f t="shared" si="193"/>
        <v>3724.5589399999999</v>
      </c>
      <c r="GU52" s="311">
        <f t="shared" si="120"/>
        <v>2883.8839399999997</v>
      </c>
      <c r="GV52" s="311">
        <f t="shared" si="194"/>
        <v>840.67500000000007</v>
      </c>
      <c r="GW52" s="311">
        <f t="shared" si="195"/>
        <v>1494.7365681818183</v>
      </c>
      <c r="GX52" s="311">
        <f t="shared" si="121"/>
        <v>1138.0865681818182</v>
      </c>
      <c r="GY52" s="311">
        <f t="shared" si="196"/>
        <v>356.65000000000003</v>
      </c>
      <c r="GZ52" s="311">
        <f t="shared" si="197"/>
        <v>395.70137687499999</v>
      </c>
      <c r="HA52" s="311">
        <f t="shared" si="122"/>
        <v>319.27637687499998</v>
      </c>
      <c r="HB52" s="311">
        <f t="shared" si="198"/>
        <v>76.424999999999997</v>
      </c>
      <c r="HC52" s="311">
        <f t="shared" si="199"/>
        <v>567.3246272727273</v>
      </c>
      <c r="HD52" s="311">
        <f t="shared" si="123"/>
        <v>455.23462727272727</v>
      </c>
      <c r="HE52" s="311">
        <f t="shared" si="200"/>
        <v>112.09</v>
      </c>
      <c r="HF52" s="311">
        <f t="shared" si="201"/>
        <v>862.97347200000013</v>
      </c>
      <c r="HG52" s="311">
        <f t="shared" si="124"/>
        <v>659.17347200000006</v>
      </c>
      <c r="HH52" s="311">
        <f t="shared" si="202"/>
        <v>203.8</v>
      </c>
      <c r="HI52" s="311">
        <f t="shared" si="203"/>
        <v>628.0272030000001</v>
      </c>
      <c r="HJ52" s="311">
        <f t="shared" si="125"/>
        <v>510.84220300000004</v>
      </c>
      <c r="HK52" s="311">
        <f t="shared" si="204"/>
        <v>117.185</v>
      </c>
      <c r="HL52" s="311">
        <f t="shared" si="205"/>
        <v>378.43125600000002</v>
      </c>
      <c r="HM52" s="311">
        <f t="shared" si="126"/>
        <v>302.00625600000001</v>
      </c>
      <c r="HN52" s="311">
        <f t="shared" si="206"/>
        <v>76.424999999999997</v>
      </c>
      <c r="HO52" s="311">
        <f t="shared" si="207"/>
        <v>9716.970744000002</v>
      </c>
      <c r="HP52" s="311">
        <f t="shared" si="127"/>
        <v>7498.0982440000016</v>
      </c>
      <c r="HQ52" s="311">
        <f t="shared" si="208"/>
        <v>2218.8724999999999</v>
      </c>
      <c r="HR52" s="311">
        <f t="shared" si="209"/>
        <v>4256.671926</v>
      </c>
      <c r="HS52" s="311">
        <f t="shared" si="128"/>
        <v>3213.4706759999999</v>
      </c>
      <c r="HT52" s="311">
        <f t="shared" si="210"/>
        <v>1043.2012500000001</v>
      </c>
      <c r="HU52" s="311">
        <f t="shared" si="211"/>
        <v>49.676249999999996</v>
      </c>
      <c r="HV52" s="311">
        <f t="shared" si="129"/>
        <v>0</v>
      </c>
      <c r="HW52" s="311">
        <f t="shared" si="212"/>
        <v>49.676249999999996</v>
      </c>
      <c r="HY52" s="313">
        <f t="shared" si="213"/>
        <v>95000</v>
      </c>
      <c r="HZ52" s="313">
        <f t="shared" si="214"/>
        <v>136</v>
      </c>
      <c r="IA52" s="313">
        <f t="shared" si="215"/>
        <v>29164.000000000004</v>
      </c>
      <c r="IB52" s="313">
        <f t="shared" si="216"/>
        <v>51888.5</v>
      </c>
      <c r="IC52" s="313">
        <f t="shared" si="217"/>
        <v>13811.5</v>
      </c>
      <c r="ID52" s="313">
        <f t="shared" si="218"/>
        <v>0</v>
      </c>
      <c r="IE52" s="313">
        <f t="shared" si="219"/>
        <v>32848.501531329552</v>
      </c>
      <c r="IF52" s="313">
        <f t="shared" si="220"/>
        <v>0</v>
      </c>
      <c r="IG52" s="313">
        <f t="shared" si="221"/>
        <v>6246.2758806341062</v>
      </c>
      <c r="IH52" s="313">
        <f t="shared" si="222"/>
        <v>18788.832371323733</v>
      </c>
      <c r="II52" s="313">
        <f t="shared" si="223"/>
        <v>7813.3932793717086</v>
      </c>
      <c r="IJ52" s="313">
        <f t="shared" si="224"/>
        <v>0</v>
      </c>
      <c r="IK52" s="866">
        <v>4</v>
      </c>
      <c r="IL52" s="314" t="s">
        <v>2589</v>
      </c>
      <c r="IM52" s="299" t="s">
        <v>3499</v>
      </c>
      <c r="IN52" s="657"/>
      <c r="IO52" s="730">
        <v>0</v>
      </c>
      <c r="IP52" s="730">
        <v>0.30270000000000002</v>
      </c>
      <c r="IQ52" s="730">
        <v>0.55030000000000001</v>
      </c>
      <c r="IR52" s="730">
        <v>0.14699999999999999</v>
      </c>
      <c r="IS52" s="730">
        <v>0</v>
      </c>
      <c r="IT52" s="730">
        <v>0</v>
      </c>
      <c r="IU52" s="730">
        <v>0.18459999999999999</v>
      </c>
      <c r="IV52" s="730">
        <v>0.57410000000000005</v>
      </c>
      <c r="IW52" s="730">
        <v>0.24129999999999999</v>
      </c>
      <c r="IX52" s="730">
        <v>0</v>
      </c>
      <c r="IY52" s="730">
        <v>0</v>
      </c>
      <c r="IZ52" s="730">
        <v>0.27050000000000002</v>
      </c>
      <c r="JA52" s="730">
        <v>0.56130000000000002</v>
      </c>
      <c r="JB52" s="730">
        <v>0.16819999999999999</v>
      </c>
      <c r="JC52" s="730">
        <v>0</v>
      </c>
      <c r="JD52" s="730">
        <v>0</v>
      </c>
      <c r="JE52" s="730">
        <v>0.15820000000000001</v>
      </c>
      <c r="JF52" s="730">
        <v>0.57110000000000005</v>
      </c>
      <c r="JG52" s="730">
        <v>0.2707</v>
      </c>
      <c r="JH52" s="730">
        <v>0</v>
      </c>
      <c r="JI52" s="730">
        <v>2.7199999999999998E-2</v>
      </c>
      <c r="JJ52" s="730">
        <v>0.43480000000000002</v>
      </c>
      <c r="JK52" s="730">
        <v>0.45650000000000002</v>
      </c>
      <c r="JL52" s="730">
        <v>8.1500000000000003E-2</v>
      </c>
      <c r="JM52" s="730">
        <v>0</v>
      </c>
      <c r="JN52" s="730">
        <v>0</v>
      </c>
      <c r="JO52" s="730">
        <v>0.3165</v>
      </c>
      <c r="JP52" s="730">
        <v>0.54479999999999995</v>
      </c>
      <c r="JQ52" s="730">
        <v>0.13869999999999999</v>
      </c>
      <c r="JR52" s="730">
        <v>0</v>
      </c>
      <c r="JS52" s="730">
        <v>0</v>
      </c>
      <c r="JT52" s="730">
        <v>0.30730000000000002</v>
      </c>
      <c r="JU52" s="730">
        <v>0.54849999999999999</v>
      </c>
      <c r="JV52" s="730">
        <v>0.14419999999999999</v>
      </c>
      <c r="JW52" s="730">
        <v>0</v>
      </c>
      <c r="JX52" s="730">
        <v>0</v>
      </c>
      <c r="JY52" s="730">
        <v>0.18859999999999999</v>
      </c>
      <c r="JZ52" s="730">
        <v>0.57410000000000005</v>
      </c>
      <c r="KA52" s="730">
        <v>0.23730000000000001</v>
      </c>
      <c r="KB52" s="730">
        <v>0</v>
      </c>
      <c r="KC52" s="657"/>
      <c r="KD52" s="314" t="s">
        <v>2590</v>
      </c>
      <c r="KE52" s="314" t="s">
        <v>2590</v>
      </c>
      <c r="KF52" s="866">
        <v>4.1500000000000004</v>
      </c>
      <c r="KG52" s="314" t="s">
        <v>2589</v>
      </c>
      <c r="KH52" s="315" t="s">
        <v>3500</v>
      </c>
      <c r="KI52" s="314" t="s">
        <v>3317</v>
      </c>
      <c r="KJ52" s="315" t="s">
        <v>3501</v>
      </c>
    </row>
    <row r="53" spans="1:296" ht="48" customHeight="1">
      <c r="A53" s="265">
        <f t="shared" si="225"/>
        <v>46</v>
      </c>
      <c r="B53" s="266" t="s">
        <v>2241</v>
      </c>
      <c r="C53" s="266" t="s">
        <v>2242</v>
      </c>
      <c r="D53" s="624" t="s">
        <v>3502</v>
      </c>
      <c r="E53" s="267" t="s">
        <v>2256</v>
      </c>
      <c r="F53" s="267" t="s">
        <v>300</v>
      </c>
      <c r="G53" s="267" t="s">
        <v>300</v>
      </c>
      <c r="H53" s="267" t="s">
        <v>2109</v>
      </c>
      <c r="I53" s="268" t="s">
        <v>3503</v>
      </c>
      <c r="J53" s="268" t="s">
        <v>3504</v>
      </c>
      <c r="K53" s="269" t="s">
        <v>2097</v>
      </c>
      <c r="L53" s="269" t="s">
        <v>2109</v>
      </c>
      <c r="M53" s="269" t="s">
        <v>2603</v>
      </c>
      <c r="N53" s="269" t="s">
        <v>2099</v>
      </c>
      <c r="O53" s="267" t="s">
        <v>2616</v>
      </c>
      <c r="P53" s="268"/>
      <c r="Q53" s="270">
        <v>1</v>
      </c>
      <c r="R53" s="271">
        <v>600</v>
      </c>
      <c r="S53" s="272">
        <v>1483</v>
      </c>
      <c r="T53" s="272">
        <v>1719</v>
      </c>
      <c r="U53" s="272">
        <v>1993</v>
      </c>
      <c r="V53" s="272">
        <v>2310</v>
      </c>
      <c r="W53" s="272">
        <v>2379</v>
      </c>
      <c r="X53" s="272">
        <v>2450</v>
      </c>
      <c r="Y53" s="272">
        <v>2523</v>
      </c>
      <c r="Z53" s="272">
        <v>2599</v>
      </c>
      <c r="AA53" s="272">
        <v>2638</v>
      </c>
      <c r="AB53" s="272">
        <v>2678</v>
      </c>
      <c r="AC53" s="272">
        <v>2718</v>
      </c>
      <c r="AD53" s="272">
        <v>2759</v>
      </c>
      <c r="AE53" s="272">
        <v>2800</v>
      </c>
      <c r="AF53" s="272">
        <v>2842</v>
      </c>
      <c r="AG53" s="272">
        <v>2885</v>
      </c>
      <c r="AH53" s="272">
        <v>2928</v>
      </c>
      <c r="AI53" s="272">
        <v>2972</v>
      </c>
      <c r="AJ53" s="272">
        <v>3017</v>
      </c>
      <c r="AK53" s="272">
        <v>3062</v>
      </c>
      <c r="AL53" s="268" t="s">
        <v>2132</v>
      </c>
      <c r="AM53" s="268" t="s">
        <v>3505</v>
      </c>
      <c r="AN53" s="268" t="s">
        <v>3479</v>
      </c>
      <c r="AO53" s="657"/>
      <c r="AP53" s="271">
        <v>25</v>
      </c>
      <c r="AQ53" s="280">
        <v>18</v>
      </c>
      <c r="AR53" s="280">
        <v>5</v>
      </c>
      <c r="AS53" s="280">
        <v>2</v>
      </c>
      <c r="AT53" s="657"/>
      <c r="AU53" s="301" t="s">
        <v>3506</v>
      </c>
      <c r="AV53" s="572" t="s">
        <v>3507</v>
      </c>
      <c r="AW53" s="645" t="s">
        <v>3508</v>
      </c>
      <c r="AX53" s="290" t="s">
        <v>3299</v>
      </c>
      <c r="AY53" s="657"/>
      <c r="AZ53" s="948">
        <v>3</v>
      </c>
      <c r="BA53" s="948">
        <v>0.25</v>
      </c>
      <c r="BB53" s="948">
        <v>1</v>
      </c>
      <c r="BC53" s="948">
        <v>3</v>
      </c>
      <c r="BD53" s="825">
        <f t="shared" si="130"/>
        <v>20604.5</v>
      </c>
      <c r="BE53" s="304">
        <f t="shared" si="131"/>
        <v>8526</v>
      </c>
      <c r="BF53" s="304">
        <f t="shared" si="132"/>
        <v>710.5</v>
      </c>
      <c r="BG53" s="304">
        <f t="shared" si="133"/>
        <v>2842</v>
      </c>
      <c r="BH53" s="304">
        <f t="shared" si="134"/>
        <v>8526</v>
      </c>
      <c r="BI53" s="825">
        <f t="shared" si="135"/>
        <v>22199.5</v>
      </c>
      <c r="BJ53" s="304">
        <f t="shared" si="136"/>
        <v>9186</v>
      </c>
      <c r="BK53" s="304">
        <f t="shared" si="137"/>
        <v>765.5</v>
      </c>
      <c r="BL53" s="304">
        <f t="shared" si="138"/>
        <v>3062</v>
      </c>
      <c r="BM53" s="304">
        <f t="shared" si="139"/>
        <v>9186</v>
      </c>
      <c r="BN53" s="657"/>
      <c r="BO53" s="284">
        <v>0.45</v>
      </c>
      <c r="BP53" s="284">
        <v>0.25</v>
      </c>
      <c r="BQ53" s="284">
        <v>0.2</v>
      </c>
      <c r="BR53" s="710">
        <v>0.1</v>
      </c>
      <c r="BS53" s="707">
        <v>0.42</v>
      </c>
      <c r="BT53" s="284">
        <v>0.25</v>
      </c>
      <c r="BU53" s="284">
        <v>0.23</v>
      </c>
      <c r="BV53" s="710">
        <v>0.1</v>
      </c>
      <c r="BW53" s="714">
        <v>0.82</v>
      </c>
      <c r="BX53" s="285">
        <v>0.14000000000000001</v>
      </c>
      <c r="BY53" s="717">
        <v>0.04</v>
      </c>
      <c r="BZ53" s="714">
        <v>0.79</v>
      </c>
      <c r="CA53" s="285">
        <v>0.16</v>
      </c>
      <c r="CB53" s="717">
        <v>0.05</v>
      </c>
      <c r="CC53" s="284">
        <v>0.2</v>
      </c>
      <c r="CD53" s="284">
        <v>0.4</v>
      </c>
      <c r="CE53" s="284">
        <v>0.25</v>
      </c>
      <c r="CF53" s="710">
        <v>0.15</v>
      </c>
      <c r="CG53" s="707">
        <v>0.18</v>
      </c>
      <c r="CH53" s="284">
        <v>0.4</v>
      </c>
      <c r="CI53" s="284">
        <v>0.28000000000000003</v>
      </c>
      <c r="CJ53" s="710">
        <v>0.14000000000000001</v>
      </c>
      <c r="CK53" s="720">
        <v>0.6</v>
      </c>
      <c r="CL53" s="286">
        <v>0.2</v>
      </c>
      <c r="CM53" s="718">
        <v>0.2</v>
      </c>
      <c r="CN53" s="720">
        <v>0.55000000000000004</v>
      </c>
      <c r="CO53" s="286">
        <v>0.22</v>
      </c>
      <c r="CP53" s="718">
        <v>0.23</v>
      </c>
      <c r="CQ53" s="657"/>
      <c r="CR53" s="807">
        <v>12</v>
      </c>
      <c r="CS53" s="808">
        <v>12</v>
      </c>
      <c r="CT53" s="808">
        <v>9</v>
      </c>
      <c r="CU53" s="809">
        <v>10</v>
      </c>
      <c r="CV53" s="807">
        <v>11</v>
      </c>
      <c r="CW53" s="808">
        <v>10</v>
      </c>
      <c r="CX53" s="809">
        <v>8</v>
      </c>
      <c r="CY53" s="807">
        <v>11</v>
      </c>
      <c r="CZ53" s="808">
        <v>12</v>
      </c>
      <c r="DA53" s="808">
        <v>8</v>
      </c>
      <c r="DB53" s="809">
        <v>10</v>
      </c>
      <c r="DC53" s="807">
        <v>12</v>
      </c>
      <c r="DD53" s="808">
        <v>12</v>
      </c>
      <c r="DE53" s="809">
        <v>9</v>
      </c>
      <c r="DF53" s="610" t="s">
        <v>3509</v>
      </c>
      <c r="DG53" s="657"/>
      <c r="DH53" s="288">
        <f t="shared" si="140"/>
        <v>3836.7000000000003</v>
      </c>
      <c r="DI53" s="288">
        <f t="shared" si="141"/>
        <v>2131.5</v>
      </c>
      <c r="DJ53" s="288">
        <f t="shared" si="142"/>
        <v>1705.2</v>
      </c>
      <c r="DK53" s="288">
        <f t="shared" si="143"/>
        <v>852.6</v>
      </c>
      <c r="DL53" s="560" t="s">
        <v>3510</v>
      </c>
      <c r="DM53" s="288">
        <f t="shared" si="144"/>
        <v>3858.12</v>
      </c>
      <c r="DN53" s="288">
        <f t="shared" si="145"/>
        <v>2296.5</v>
      </c>
      <c r="DO53" s="288">
        <f t="shared" si="146"/>
        <v>2112.7800000000002</v>
      </c>
      <c r="DP53" s="288">
        <f t="shared" si="147"/>
        <v>918.6</v>
      </c>
      <c r="DQ53" s="561" t="s">
        <v>3301</v>
      </c>
      <c r="DR53" s="657"/>
      <c r="DS53" s="288">
        <f t="shared" si="148"/>
        <v>582.61</v>
      </c>
      <c r="DT53" s="288">
        <f t="shared" si="149"/>
        <v>99.470000000000013</v>
      </c>
      <c r="DU53" s="288">
        <f t="shared" si="150"/>
        <v>28.42</v>
      </c>
      <c r="DV53" s="561" t="s">
        <v>3511</v>
      </c>
      <c r="DW53" s="288">
        <f t="shared" si="151"/>
        <v>604.745</v>
      </c>
      <c r="DX53" s="288">
        <f t="shared" si="152"/>
        <v>122.48</v>
      </c>
      <c r="DY53" s="288">
        <f t="shared" si="153"/>
        <v>38.274999999999999</v>
      </c>
      <c r="DZ53" s="561" t="s">
        <v>3512</v>
      </c>
      <c r="EA53" s="657"/>
      <c r="EB53" s="288">
        <f t="shared" si="154"/>
        <v>568.4</v>
      </c>
      <c r="EC53" s="288">
        <f t="shared" si="155"/>
        <v>1136.8</v>
      </c>
      <c r="ED53" s="288">
        <f t="shared" si="156"/>
        <v>710.5</v>
      </c>
      <c r="EE53" s="288">
        <f t="shared" si="157"/>
        <v>426.3</v>
      </c>
      <c r="EF53" s="561" t="s">
        <v>3513</v>
      </c>
      <c r="EG53" s="288">
        <f t="shared" si="158"/>
        <v>551.16</v>
      </c>
      <c r="EH53" s="288">
        <f t="shared" si="159"/>
        <v>1224.8</v>
      </c>
      <c r="EI53" s="288">
        <f t="shared" si="160"/>
        <v>857.36000000000013</v>
      </c>
      <c r="EJ53" s="288">
        <f t="shared" si="161"/>
        <v>428.68000000000006</v>
      </c>
      <c r="EK53" s="561" t="s">
        <v>3305</v>
      </c>
      <c r="EL53" s="657"/>
      <c r="EM53" s="288">
        <f t="shared" si="162"/>
        <v>5115.5999999999995</v>
      </c>
      <c r="EN53" s="291">
        <f t="shared" si="163"/>
        <v>1705.2</v>
      </c>
      <c r="EO53" s="291">
        <f t="shared" si="164"/>
        <v>1705.2</v>
      </c>
      <c r="EP53" s="561" t="s">
        <v>3514</v>
      </c>
      <c r="EQ53" s="288">
        <f t="shared" si="165"/>
        <v>5052.3</v>
      </c>
      <c r="ER53" s="291">
        <f t="shared" si="166"/>
        <v>2020.92</v>
      </c>
      <c r="ES53" s="291">
        <f t="shared" si="167"/>
        <v>2112.7800000000002</v>
      </c>
      <c r="ET53" s="561" t="s">
        <v>3307</v>
      </c>
      <c r="EU53" s="657"/>
      <c r="EV53" s="740">
        <f t="shared" si="168"/>
        <v>0.65480199746267709</v>
      </c>
      <c r="EW53" s="740">
        <f t="shared" si="169"/>
        <v>0.34519800253732286</v>
      </c>
      <c r="EX53" s="563">
        <f t="shared" si="170"/>
        <v>10486.764794094091</v>
      </c>
      <c r="EY53" s="563">
        <f t="shared" si="171"/>
        <v>6866.7545340940906</v>
      </c>
      <c r="EZ53" s="563">
        <f t="shared" si="172"/>
        <v>3620.01026</v>
      </c>
      <c r="FA53" s="563">
        <f t="shared" si="173"/>
        <v>4321.9135555499997</v>
      </c>
      <c r="FB53" s="563">
        <f t="shared" si="174"/>
        <v>2823.97827555</v>
      </c>
      <c r="FC53" s="563">
        <f t="shared" si="175"/>
        <v>1497.9352799999999</v>
      </c>
      <c r="FD53" s="563">
        <f t="shared" si="176"/>
        <v>373.92014405318184</v>
      </c>
      <c r="FE53" s="563">
        <f t="shared" si="177"/>
        <v>249.09220405318183</v>
      </c>
      <c r="FF53" s="563">
        <f t="shared" si="178"/>
        <v>124.82794</v>
      </c>
      <c r="FG53" s="563">
        <f t="shared" si="179"/>
        <v>1543.3943364909092</v>
      </c>
      <c r="FH53" s="563">
        <f t="shared" si="180"/>
        <v>1044.0825764909091</v>
      </c>
      <c r="FI53" s="563">
        <f t="shared" si="181"/>
        <v>499.31175999999999</v>
      </c>
      <c r="FJ53" s="563">
        <f t="shared" si="182"/>
        <v>4247.5367580000002</v>
      </c>
      <c r="FK53" s="563">
        <f t="shared" si="183"/>
        <v>2749.601478</v>
      </c>
      <c r="FL53" s="563">
        <f t="shared" si="184"/>
        <v>1497.9352799999999</v>
      </c>
      <c r="FM53" s="529"/>
      <c r="FN53" s="564" t="s">
        <v>2649</v>
      </c>
      <c r="FO53" s="740">
        <v>9.8279999999999992E-2</v>
      </c>
      <c r="FP53" s="741">
        <v>0.86189000000000004</v>
      </c>
      <c r="FQ53" s="565" t="s">
        <v>3515</v>
      </c>
      <c r="FR53" s="529"/>
      <c r="FS53" s="867">
        <v>3.42</v>
      </c>
      <c r="FT53" s="566">
        <f>RANK($FS53,$FS$8:$FS$154,0)+COUNTIF($FS$8:$FS53,$FS53)-1</f>
        <v>52</v>
      </c>
      <c r="FU53" s="867">
        <v>3.92</v>
      </c>
      <c r="FV53" s="566">
        <f>RANK($FU53,$FU$8:$FU$154,0)+COUNTIF($FU$8:$FU53,$FU53)-1</f>
        <v>93</v>
      </c>
      <c r="FW53" s="867">
        <v>2.8</v>
      </c>
      <c r="FX53" s="566">
        <f>RANK($FW53,$FW$8:$FW$154,0)+COUNTIF($FW$8:$FW53,$FW53)-1</f>
        <v>13</v>
      </c>
      <c r="FY53" s="529"/>
      <c r="FZ53" s="567" t="s">
        <v>3516</v>
      </c>
      <c r="GA53" s="567" t="s">
        <v>3517</v>
      </c>
      <c r="GB53" s="567" t="s">
        <v>3518</v>
      </c>
      <c r="GC53" s="567" t="s">
        <v>3519</v>
      </c>
      <c r="GD53" s="567" t="s">
        <v>3520</v>
      </c>
      <c r="GE53" s="567" t="s">
        <v>3521</v>
      </c>
      <c r="GF53" s="567" t="str">
        <f>HYPERLINK("https://sante.gouv.fr/actualites/presse/communiques-de-presse/article/acces-aux-soins-dans-les-territoires-agnes-firmin-le-bodo-a-annonce-le-plan-d","https://sante.gouv.fr/actualites/presse/communiques-de-presse/article/acces-aux-soins-dans-les-territoires-agnes-firmin-le-bodo-a-annonce-le-plan-d")&amp;CHAR(10)&amp;HYPERLINK("https://www.projetdeloi.sante.gouv.fr/grands-dossiers/un-meilleur-acces-aux-soins-pour-tous-sur-le-territoire/article/pacte-de-lutte-contre-les-deserts-medicaux-151-zones-prioritaires-identifiees","https://www.projetdeloi.sante.gouv.fr/grands-dossiers/un-meilleur-acces-aux-soins-pour-tous-sur-le-territoire/article/pacte-de-lutte-contre-les-deserts-medicaux-151-zones-prioritaires-identifiees")&amp;CHAR(10)&amp;HYPERLINK("https://sante.gouv.fr/actualites-presse/presse/communiques-de-presse/article/campagne-tarifaire-et-budgetaire-2026-des-etablissements-de-sante-3-6-milliards","https://sante.gouv.fr/actualites-presse/presse/communiques-de-presse/article/campagne-tarifaire-et-budgetaire-2026-des-etablissements-de-sante-3-6-milliards")&amp;CHAR(10)&amp;HYPERLINK("https://sante.gouv.fr/systeme-de-sante/segur-de-la-sante/investissement-en-sante-une-nouvelle-politique-au-service-de-la-qualite-des-11226/csis","https://sante.gouv.fr/systeme-de-sante/segur-de-la-sante/investissement-en-sante-une-nouvelle-politique-au-service-de-la-qualite-des-11226/csis")&amp;CHAR(10)&amp;HYPERLINK("https://sante.gouv.fr/soins-et-maladies/qualite-securite-et-pertinence-des-soins/securite-des-prises-en-charge/securite-des-soins-et-des-patients/article/ameliorer-la-securite-des-patients-et-des-residents-la-1ere-feuille-de-route","https://sante.gouv.fr/soins-et-maladies/qualite-securite-et-pertinence-des-soins/securite-des-prises-en-charge/securite-des-soins-et-des-patients/article/ameliorer-la-securite-des-patients-et-des-residents-la-1ere-feuille-de-route")&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https://sante.gouv.fr/actualites/presse/communiques-de-presse/article/acces-aux-soins-dans-les-territoires-agnes-firmin-le-bodo-a-annonce-le-plan-d
https://www.projetdeloi.sante.gouv.fr/grands-dossiers/un-meilleur-acces-aux-soins-pour-tous-sur-le-territoire/article/pacte-de-lutte-contre-les-deserts-medicaux-151-zones-prioritaires-identifiees
https://sante.gouv.fr/actualites-presse/presse/communiques-de-presse/article/campagne-tarifaire-et-budgetaire-2026-des-etablissements-de-sante-3-6-milliards
https://sante.gouv.fr/systeme-de-sante/segur-de-la-sante/investissement-en-sante-une-nouvelle-politique-au-service-de-la-qualite-des-11226/csis
https://sante.gouv.fr/soins-et-maladies/qualite-securite-et-pertinence-des-soins/securite-des-prises-en-charge/securite-des-soins-et-des-patients/article/ameliorer-la-securite-des-patients-et-des-residents-la-1ere-feuille-de-route
https://www.statistiques.developpement-durable.gouv.fr/construction-de-locaux-resultats-fin-janvier-2026-france-entiere
https://www.insee.fr/fr/statistiques/8671745
https://www.insee.fr/fr/statistiques/8906564</v>
      </c>
      <c r="GG53" s="529"/>
      <c r="GH53" s="563">
        <f t="shared" si="185"/>
        <v>1759.2322119749999</v>
      </c>
      <c r="GI53" s="563">
        <f t="shared" si="116"/>
        <v>1130.099394375</v>
      </c>
      <c r="GJ53" s="563">
        <f t="shared" si="186"/>
        <v>629.13281759999995</v>
      </c>
      <c r="GK53" s="563">
        <f t="shared" si="187"/>
        <v>1002.3168168750001</v>
      </c>
      <c r="GL53" s="563">
        <f t="shared" si="117"/>
        <v>627.83299687500005</v>
      </c>
      <c r="GM53" s="563">
        <f t="shared" si="188"/>
        <v>374.48381999999998</v>
      </c>
      <c r="GN53" s="563">
        <f t="shared" si="189"/>
        <v>1085.0610024</v>
      </c>
      <c r="GO53" s="563">
        <f t="shared" si="118"/>
        <v>740.535888</v>
      </c>
      <c r="GP53" s="563">
        <f t="shared" si="190"/>
        <v>344.52511440000001</v>
      </c>
      <c r="GQ53" s="563">
        <f t="shared" si="191"/>
        <v>475.30352430000005</v>
      </c>
      <c r="GR53" s="563">
        <f t="shared" si="119"/>
        <v>325.50999630000001</v>
      </c>
      <c r="GS53" s="563">
        <f t="shared" si="192"/>
        <v>149.79352800000001</v>
      </c>
      <c r="GT53" s="563">
        <f t="shared" si="193"/>
        <v>295.55632936818182</v>
      </c>
      <c r="GU53" s="563">
        <f t="shared" si="120"/>
        <v>196.94225676818181</v>
      </c>
      <c r="GV53" s="563">
        <f t="shared" si="194"/>
        <v>98.6140726</v>
      </c>
      <c r="GW53" s="563">
        <f t="shared" si="195"/>
        <v>57.948636635000014</v>
      </c>
      <c r="GX53" s="563">
        <f t="shared" si="121"/>
        <v>37.976166235000015</v>
      </c>
      <c r="GY53" s="563">
        <f t="shared" si="196"/>
        <v>19.972470399999999</v>
      </c>
      <c r="GZ53" s="563">
        <f t="shared" si="197"/>
        <v>20.415178050000002</v>
      </c>
      <c r="HA53" s="563">
        <f t="shared" si="122"/>
        <v>14.173781050000002</v>
      </c>
      <c r="HB53" s="563">
        <f t="shared" si="198"/>
        <v>6.2413970000000001</v>
      </c>
      <c r="HC53" s="563">
        <f t="shared" si="199"/>
        <v>282.01490389090907</v>
      </c>
      <c r="HD53" s="563">
        <f t="shared" si="123"/>
        <v>192.13878709090909</v>
      </c>
      <c r="HE53" s="563">
        <f t="shared" si="200"/>
        <v>89.876116799999991</v>
      </c>
      <c r="HF53" s="563">
        <f t="shared" si="201"/>
        <v>534.56896900000004</v>
      </c>
      <c r="HG53" s="563">
        <f t="shared" si="124"/>
        <v>334.84426500000006</v>
      </c>
      <c r="HH53" s="563">
        <f t="shared" si="202"/>
        <v>199.724704</v>
      </c>
      <c r="HI53" s="563">
        <f t="shared" si="203"/>
        <v>494.15181904999997</v>
      </c>
      <c r="HJ53" s="563">
        <f t="shared" si="125"/>
        <v>354.34452625</v>
      </c>
      <c r="HK53" s="563">
        <f t="shared" si="204"/>
        <v>139.8072928</v>
      </c>
      <c r="HL53" s="563">
        <f t="shared" si="205"/>
        <v>232.65864455000002</v>
      </c>
      <c r="HM53" s="563">
        <f t="shared" si="126"/>
        <v>162.75499815000001</v>
      </c>
      <c r="HN53" s="563">
        <f t="shared" si="206"/>
        <v>69.9036464</v>
      </c>
      <c r="HO53" s="563">
        <f t="shared" si="207"/>
        <v>2330.6635965</v>
      </c>
      <c r="HP53" s="563">
        <f t="shared" si="127"/>
        <v>1506.7991924999999</v>
      </c>
      <c r="HQ53" s="563">
        <f t="shared" si="208"/>
        <v>823.86440400000004</v>
      </c>
      <c r="HR53" s="563">
        <f t="shared" si="209"/>
        <v>831.81215910000014</v>
      </c>
      <c r="HS53" s="563">
        <f t="shared" si="128"/>
        <v>502.2663975000001</v>
      </c>
      <c r="HT53" s="563">
        <f t="shared" si="210"/>
        <v>329.54576159999999</v>
      </c>
      <c r="HU53" s="563">
        <f t="shared" si="211"/>
        <v>1085.0610024</v>
      </c>
      <c r="HV53" s="563">
        <f t="shared" si="129"/>
        <v>740.535888</v>
      </c>
      <c r="HW53" s="563">
        <f t="shared" si="212"/>
        <v>344.52511440000001</v>
      </c>
      <c r="HX53" s="544"/>
      <c r="HY53" s="568">
        <f t="shared" si="213"/>
        <v>19894</v>
      </c>
      <c r="HZ53" s="568">
        <f t="shared" si="214"/>
        <v>50.8718</v>
      </c>
      <c r="IA53" s="568">
        <f t="shared" si="215"/>
        <v>5569.7515999999996</v>
      </c>
      <c r="IB53" s="568">
        <f t="shared" si="216"/>
        <v>11349.8112</v>
      </c>
      <c r="IC53" s="568">
        <f t="shared" si="217"/>
        <v>2923.5654</v>
      </c>
      <c r="ID53" s="568">
        <f t="shared" si="218"/>
        <v>0</v>
      </c>
      <c r="IE53" s="568">
        <f t="shared" si="219"/>
        <v>6617.6623300409083</v>
      </c>
      <c r="IF53" s="568">
        <f t="shared" si="220"/>
        <v>0</v>
      </c>
      <c r="IG53" s="568">
        <f t="shared" si="221"/>
        <v>901.6908841709178</v>
      </c>
      <c r="IH53" s="568">
        <f t="shared" si="222"/>
        <v>3698.3173218609409</v>
      </c>
      <c r="II53" s="568">
        <f t="shared" si="223"/>
        <v>2015.9597370437205</v>
      </c>
      <c r="IJ53" s="568">
        <f t="shared" si="224"/>
        <v>1.6943869653299999</v>
      </c>
      <c r="IK53" s="868">
        <v>4</v>
      </c>
      <c r="IL53" s="569" t="s">
        <v>2589</v>
      </c>
      <c r="IM53" s="570" t="s">
        <v>3522</v>
      </c>
      <c r="IN53" s="529"/>
      <c r="IO53" s="742">
        <v>0</v>
      </c>
      <c r="IP53" s="742">
        <v>0.23799999999999999</v>
      </c>
      <c r="IQ53" s="742">
        <v>0.58479999999999999</v>
      </c>
      <c r="IR53" s="742">
        <v>0.1772</v>
      </c>
      <c r="IS53" s="742">
        <v>0</v>
      </c>
      <c r="IT53" s="742">
        <v>0</v>
      </c>
      <c r="IU53" s="742">
        <v>0.1087</v>
      </c>
      <c r="IV53" s="742">
        <v>0.54139999999999999</v>
      </c>
      <c r="IW53" s="742">
        <v>0.3493</v>
      </c>
      <c r="IX53" s="742">
        <v>5.9999999999999995E-4</v>
      </c>
      <c r="IY53" s="742">
        <v>0</v>
      </c>
      <c r="IZ53" s="742">
        <v>0</v>
      </c>
      <c r="JA53" s="742">
        <v>0</v>
      </c>
      <c r="JB53" s="742">
        <v>0</v>
      </c>
      <c r="JC53" s="742">
        <v>0</v>
      </c>
      <c r="JD53" s="742">
        <v>0</v>
      </c>
      <c r="JE53" s="742">
        <v>0</v>
      </c>
      <c r="JF53" s="742">
        <v>0</v>
      </c>
      <c r="JG53" s="742">
        <v>0</v>
      </c>
      <c r="JH53" s="742">
        <v>0</v>
      </c>
      <c r="JI53" s="742">
        <v>1.7899999999999999E-2</v>
      </c>
      <c r="JJ53" s="742">
        <v>0.38090000000000002</v>
      </c>
      <c r="JK53" s="742">
        <v>0.51719999999999999</v>
      </c>
      <c r="JL53" s="742">
        <v>8.4000000000000005E-2</v>
      </c>
      <c r="JM53" s="742">
        <v>0</v>
      </c>
      <c r="JN53" s="742">
        <v>0</v>
      </c>
      <c r="JO53" s="742">
        <v>0.2054</v>
      </c>
      <c r="JP53" s="742">
        <v>0.58620000000000005</v>
      </c>
      <c r="JQ53" s="742">
        <v>0.2084</v>
      </c>
      <c r="JR53" s="742">
        <v>0</v>
      </c>
      <c r="JS53" s="742">
        <v>0</v>
      </c>
      <c r="JT53" s="742">
        <v>0.2883</v>
      </c>
      <c r="JU53" s="742">
        <v>0.57399999999999995</v>
      </c>
      <c r="JV53" s="742">
        <v>0.13769999999999999</v>
      </c>
      <c r="JW53" s="742">
        <v>0</v>
      </c>
      <c r="JX53" s="742">
        <v>0</v>
      </c>
      <c r="JY53" s="742">
        <v>0.13830000000000001</v>
      </c>
      <c r="JZ53" s="742">
        <v>0.56640000000000001</v>
      </c>
      <c r="KA53" s="742">
        <v>0.29530000000000001</v>
      </c>
      <c r="KB53" s="742">
        <v>0</v>
      </c>
      <c r="KC53" s="657"/>
      <c r="KD53" s="832" t="s">
        <v>2591</v>
      </c>
      <c r="KE53" s="832" t="s">
        <v>2625</v>
      </c>
      <c r="KF53" s="869">
        <v>3.88</v>
      </c>
      <c r="KG53" s="832" t="s">
        <v>2626</v>
      </c>
      <c r="KH53" s="833" t="s">
        <v>3523</v>
      </c>
      <c r="KI53" s="832" t="s">
        <v>2628</v>
      </c>
      <c r="KJ53" s="833" t="s">
        <v>3524</v>
      </c>
    </row>
    <row r="54" spans="1:296" ht="48" customHeight="1">
      <c r="A54" s="273">
        <f t="shared" si="225"/>
        <v>47</v>
      </c>
      <c r="B54" s="274" t="s">
        <v>2241</v>
      </c>
      <c r="C54" s="274" t="s">
        <v>2242</v>
      </c>
      <c r="D54" s="274" t="s">
        <v>674</v>
      </c>
      <c r="E54" s="275" t="s">
        <v>2244</v>
      </c>
      <c r="F54" s="275" t="s">
        <v>300</v>
      </c>
      <c r="G54" s="275" t="s">
        <v>300</v>
      </c>
      <c r="H54" s="275" t="s">
        <v>2096</v>
      </c>
      <c r="I54" s="276" t="s">
        <v>3525</v>
      </c>
      <c r="J54" s="276" t="s">
        <v>3526</v>
      </c>
      <c r="K54" s="277" t="s">
        <v>2096</v>
      </c>
      <c r="L54" s="277" t="s">
        <v>2109</v>
      </c>
      <c r="M54" s="277" t="s">
        <v>2603</v>
      </c>
      <c r="N54" s="277" t="s">
        <v>3322</v>
      </c>
      <c r="O54" s="275" t="s">
        <v>2212</v>
      </c>
      <c r="P54" s="276"/>
      <c r="Q54" s="270">
        <v>1</v>
      </c>
      <c r="R54" s="278">
        <v>550</v>
      </c>
      <c r="S54" s="279">
        <v>720</v>
      </c>
      <c r="T54" s="279">
        <v>963</v>
      </c>
      <c r="U54" s="279">
        <v>1289</v>
      </c>
      <c r="V54" s="279">
        <v>1725</v>
      </c>
      <c r="W54" s="279">
        <v>1829</v>
      </c>
      <c r="X54" s="279">
        <v>1939</v>
      </c>
      <c r="Y54" s="279">
        <v>2055</v>
      </c>
      <c r="Z54" s="279">
        <v>2178</v>
      </c>
      <c r="AA54" s="279">
        <v>2265</v>
      </c>
      <c r="AB54" s="279">
        <v>2356</v>
      </c>
      <c r="AC54" s="279">
        <v>2450</v>
      </c>
      <c r="AD54" s="279">
        <v>2501</v>
      </c>
      <c r="AE54" s="279">
        <v>2650</v>
      </c>
      <c r="AF54" s="279">
        <v>3000</v>
      </c>
      <c r="AG54" s="279">
        <v>3500</v>
      </c>
      <c r="AH54" s="279">
        <v>4100</v>
      </c>
      <c r="AI54" s="279">
        <v>4550</v>
      </c>
      <c r="AJ54" s="279">
        <v>4800</v>
      </c>
      <c r="AK54" s="279">
        <v>5000</v>
      </c>
      <c r="AL54" s="276" t="s">
        <v>3527</v>
      </c>
      <c r="AM54" s="276" t="s">
        <v>3528</v>
      </c>
      <c r="AN54" s="276" t="s">
        <v>3529</v>
      </c>
      <c r="AO54" s="657"/>
      <c r="AP54" s="278">
        <v>20</v>
      </c>
      <c r="AQ54" s="278">
        <v>14</v>
      </c>
      <c r="AR54" s="278">
        <v>4</v>
      </c>
      <c r="AS54" s="278">
        <v>2</v>
      </c>
      <c r="AT54" s="657"/>
      <c r="AU54" s="281" t="s">
        <v>3506</v>
      </c>
      <c r="AV54" s="296" t="s">
        <v>3530</v>
      </c>
      <c r="AW54" s="296" t="s">
        <v>3531</v>
      </c>
      <c r="AX54" s="276" t="s">
        <v>3299</v>
      </c>
      <c r="AY54" s="657"/>
      <c r="AZ54" s="947">
        <v>3</v>
      </c>
      <c r="BA54" s="947">
        <v>0</v>
      </c>
      <c r="BB54" s="947">
        <v>0.5</v>
      </c>
      <c r="BC54" s="947">
        <v>3</v>
      </c>
      <c r="BD54" s="826">
        <f t="shared" si="130"/>
        <v>19500</v>
      </c>
      <c r="BE54" s="283">
        <f t="shared" si="131"/>
        <v>9000</v>
      </c>
      <c r="BF54" s="283">
        <f t="shared" si="132"/>
        <v>0</v>
      </c>
      <c r="BG54" s="283">
        <f t="shared" si="133"/>
        <v>1500</v>
      </c>
      <c r="BH54" s="283">
        <f t="shared" si="134"/>
        <v>9000</v>
      </c>
      <c r="BI54" s="826">
        <f t="shared" si="135"/>
        <v>32500</v>
      </c>
      <c r="BJ54" s="283">
        <f t="shared" si="136"/>
        <v>15000</v>
      </c>
      <c r="BK54" s="283">
        <f t="shared" si="137"/>
        <v>0</v>
      </c>
      <c r="BL54" s="283">
        <f t="shared" si="138"/>
        <v>2500</v>
      </c>
      <c r="BM54" s="283">
        <f t="shared" si="139"/>
        <v>15000</v>
      </c>
      <c r="BN54" s="657"/>
      <c r="BO54" s="305">
        <v>0.5</v>
      </c>
      <c r="BP54" s="305">
        <v>0.25</v>
      </c>
      <c r="BQ54" s="305">
        <v>0.18</v>
      </c>
      <c r="BR54" s="581">
        <v>7.0000000000000007E-2</v>
      </c>
      <c r="BS54" s="706">
        <v>0.47</v>
      </c>
      <c r="BT54" s="305">
        <v>0.25</v>
      </c>
      <c r="BU54" s="305">
        <v>0.22</v>
      </c>
      <c r="BV54" s="581">
        <v>0.06</v>
      </c>
      <c r="BW54" s="713"/>
      <c r="BX54" s="306"/>
      <c r="BY54" s="590"/>
      <c r="BZ54" s="713"/>
      <c r="CA54" s="306"/>
      <c r="CB54" s="590"/>
      <c r="CC54" s="706">
        <v>0.2</v>
      </c>
      <c r="CD54" s="305">
        <v>0.4</v>
      </c>
      <c r="CE54" s="305">
        <v>0.25</v>
      </c>
      <c r="CF54" s="581">
        <v>0.15</v>
      </c>
      <c r="CG54" s="706">
        <v>0.18</v>
      </c>
      <c r="CH54" s="305">
        <v>0.4</v>
      </c>
      <c r="CI54" s="305">
        <v>0.28000000000000003</v>
      </c>
      <c r="CJ54" s="581">
        <v>0.14000000000000001</v>
      </c>
      <c r="CK54" s="719">
        <v>0.6</v>
      </c>
      <c r="CL54" s="307">
        <v>0.2</v>
      </c>
      <c r="CM54" s="723">
        <v>0.2</v>
      </c>
      <c r="CN54" s="719">
        <v>0.55000000000000004</v>
      </c>
      <c r="CO54" s="307">
        <v>0.22</v>
      </c>
      <c r="CP54" s="723">
        <v>0.23</v>
      </c>
      <c r="CQ54" s="657"/>
      <c r="CR54" s="804">
        <v>12</v>
      </c>
      <c r="CS54" s="805">
        <v>12</v>
      </c>
      <c r="CT54" s="805">
        <v>9</v>
      </c>
      <c r="CU54" s="806">
        <v>10</v>
      </c>
      <c r="CV54" s="804"/>
      <c r="CW54" s="805"/>
      <c r="CX54" s="806"/>
      <c r="CY54" s="804">
        <v>11</v>
      </c>
      <c r="CZ54" s="805">
        <v>12</v>
      </c>
      <c r="DA54" s="805">
        <v>8</v>
      </c>
      <c r="DB54" s="806">
        <v>10</v>
      </c>
      <c r="DC54" s="804">
        <v>12</v>
      </c>
      <c r="DD54" s="805">
        <v>12</v>
      </c>
      <c r="DE54" s="806">
        <v>9</v>
      </c>
      <c r="DF54" s="609" t="s">
        <v>3532</v>
      </c>
      <c r="DG54" s="657"/>
      <c r="DH54" s="308">
        <f t="shared" si="140"/>
        <v>4500</v>
      </c>
      <c r="DI54" s="308">
        <f t="shared" si="141"/>
        <v>2250</v>
      </c>
      <c r="DJ54" s="308">
        <f t="shared" si="142"/>
        <v>1620</v>
      </c>
      <c r="DK54" s="308">
        <f t="shared" si="143"/>
        <v>630.00000000000011</v>
      </c>
      <c r="DL54" s="287" t="s">
        <v>3510</v>
      </c>
      <c r="DM54" s="308">
        <f t="shared" si="144"/>
        <v>7050</v>
      </c>
      <c r="DN54" s="308">
        <f t="shared" si="145"/>
        <v>3750</v>
      </c>
      <c r="DO54" s="308">
        <f t="shared" si="146"/>
        <v>3300</v>
      </c>
      <c r="DP54" s="308">
        <f t="shared" si="147"/>
        <v>900</v>
      </c>
      <c r="DQ54" s="289" t="s">
        <v>3301</v>
      </c>
      <c r="DR54" s="657"/>
      <c r="DS54" s="308">
        <f t="shared" si="148"/>
        <v>0</v>
      </c>
      <c r="DT54" s="308">
        <f t="shared" si="149"/>
        <v>0</v>
      </c>
      <c r="DU54" s="308">
        <f t="shared" si="150"/>
        <v>0</v>
      </c>
      <c r="DV54" s="289" t="s">
        <v>2613</v>
      </c>
      <c r="DW54" s="308">
        <f t="shared" si="151"/>
        <v>0</v>
      </c>
      <c r="DX54" s="308">
        <f t="shared" si="152"/>
        <v>0</v>
      </c>
      <c r="DY54" s="308">
        <f t="shared" si="153"/>
        <v>0</v>
      </c>
      <c r="DZ54" s="289" t="s">
        <v>2613</v>
      </c>
      <c r="EA54" s="657"/>
      <c r="EB54" s="308">
        <f t="shared" si="154"/>
        <v>300</v>
      </c>
      <c r="EC54" s="308">
        <f t="shared" si="155"/>
        <v>600</v>
      </c>
      <c r="ED54" s="308">
        <f t="shared" si="156"/>
        <v>375</v>
      </c>
      <c r="EE54" s="308">
        <f t="shared" si="157"/>
        <v>225</v>
      </c>
      <c r="EF54" s="289" t="s">
        <v>3513</v>
      </c>
      <c r="EG54" s="308">
        <f t="shared" si="158"/>
        <v>450</v>
      </c>
      <c r="EH54" s="308">
        <f t="shared" si="159"/>
        <v>1000</v>
      </c>
      <c r="EI54" s="308">
        <f t="shared" si="160"/>
        <v>700.00000000000011</v>
      </c>
      <c r="EJ54" s="308">
        <f t="shared" si="161"/>
        <v>350.00000000000006</v>
      </c>
      <c r="EK54" s="309" t="s">
        <v>3305</v>
      </c>
      <c r="EL54" s="657"/>
      <c r="EM54" s="308">
        <f t="shared" si="162"/>
        <v>5400</v>
      </c>
      <c r="EN54" s="310">
        <f t="shared" si="163"/>
        <v>1800</v>
      </c>
      <c r="EO54" s="310">
        <f t="shared" si="164"/>
        <v>1800</v>
      </c>
      <c r="EP54" s="289" t="s">
        <v>3514</v>
      </c>
      <c r="EQ54" s="308">
        <f t="shared" si="165"/>
        <v>8250</v>
      </c>
      <c r="ER54" s="310">
        <f t="shared" si="166"/>
        <v>3300</v>
      </c>
      <c r="ES54" s="310">
        <f t="shared" si="167"/>
        <v>3450</v>
      </c>
      <c r="ET54" s="289" t="s">
        <v>3307</v>
      </c>
      <c r="EU54" s="657"/>
      <c r="EV54" s="728">
        <f t="shared" si="168"/>
        <v>0.24768092360801758</v>
      </c>
      <c r="EW54" s="728">
        <f t="shared" si="169"/>
        <v>0.75231907639198237</v>
      </c>
      <c r="EX54" s="311">
        <f t="shared" si="170"/>
        <v>18884.341027393639</v>
      </c>
      <c r="EY54" s="311">
        <f t="shared" si="171"/>
        <v>4677.2910273936359</v>
      </c>
      <c r="EZ54" s="311">
        <f t="shared" si="172"/>
        <v>14207.050000000001</v>
      </c>
      <c r="FA54" s="311">
        <f t="shared" si="173"/>
        <v>8701.6576764300007</v>
      </c>
      <c r="FB54" s="311">
        <f t="shared" si="174"/>
        <v>2144.5576764299999</v>
      </c>
      <c r="FC54" s="311">
        <f t="shared" si="175"/>
        <v>6557.1</v>
      </c>
      <c r="FD54" s="311">
        <f t="shared" si="176"/>
        <v>0</v>
      </c>
      <c r="FE54" s="311">
        <f t="shared" si="177"/>
        <v>0</v>
      </c>
      <c r="FF54" s="311">
        <f t="shared" si="178"/>
        <v>0</v>
      </c>
      <c r="FG54" s="311">
        <f t="shared" si="179"/>
        <v>1509.2528229636364</v>
      </c>
      <c r="FH54" s="311">
        <f t="shared" si="180"/>
        <v>416.40282296363637</v>
      </c>
      <c r="FI54" s="311">
        <f t="shared" si="181"/>
        <v>1092.8499999999999</v>
      </c>
      <c r="FJ54" s="311">
        <f t="shared" si="182"/>
        <v>8673.4305280000008</v>
      </c>
      <c r="FK54" s="311">
        <f t="shared" si="183"/>
        <v>2116.330528</v>
      </c>
      <c r="FL54" s="311">
        <f t="shared" si="184"/>
        <v>6557.1</v>
      </c>
      <c r="FM54" s="657"/>
      <c r="FN54" s="293" t="s">
        <v>2649</v>
      </c>
      <c r="FO54" s="728">
        <v>6.1899999999999997E-2</v>
      </c>
      <c r="FP54" s="729">
        <v>0.85097999999999996</v>
      </c>
      <c r="FQ54" s="294" t="s">
        <v>2831</v>
      </c>
      <c r="FR54" s="657"/>
      <c r="FS54" s="865">
        <v>4.05</v>
      </c>
      <c r="FT54" s="312">
        <f>RANK($FS54,$FS$8:$FS$154,0)+COUNTIF($FS$8:$FS54,$FS54)-1</f>
        <v>1</v>
      </c>
      <c r="FU54" s="865">
        <v>3.91</v>
      </c>
      <c r="FV54" s="312">
        <f>RANK($FU54,$FU$8:$FU$154,0)+COUNTIF($FU$8:$FU54,$FU54)-1</f>
        <v>94</v>
      </c>
      <c r="FW54" s="865">
        <v>4.22</v>
      </c>
      <c r="FX54" s="312">
        <f>RANK($FW54,$FW$8:$FW$154,0)+COUNTIF($FW$8:$FW54,$FW54)-1</f>
        <v>1</v>
      </c>
      <c r="FY54" s="657"/>
      <c r="FZ54" s="296" t="s">
        <v>3533</v>
      </c>
      <c r="GA54" s="296" t="s">
        <v>3534</v>
      </c>
      <c r="GB54" s="296" t="s">
        <v>3535</v>
      </c>
      <c r="GC54" s="296" t="s">
        <v>3536</v>
      </c>
      <c r="GD54" s="296" t="s">
        <v>3537</v>
      </c>
      <c r="GE54" s="296" t="s">
        <v>3538</v>
      </c>
      <c r="GF54" s="296" t="str">
        <f>HYPERLINK("https://sante.gouv.fr/actualites/presse/communiques-de-presse/article/acces-aux-soins-dans-les-territoires-agnes-firmin-le-bodo-a-annonce-le-plan-d","https://sante.gouv.fr/actualites/presse/communiques-de-presse/article/acces-aux-soins-dans-les-territoires-agnes-firmin-le-bodo-a-annonce-le-plan-d")&amp;CHAR(10)&amp;HYPERLINK("https://www.projetdeloi.sante.gouv.fr/grands-dossiers/un-meilleur-acces-aux-soins-pour-tous-sur-le-territoire/article/pacte-de-lutte-contre-les-deserts-medicaux-151-zones-prioritaires-identifiees","https://www.projetdeloi.sante.gouv.fr/grands-dossiers/un-meilleur-acces-aux-soins-pour-tous-sur-le-territoire/article/pacte-de-lutte-contre-les-deserts-medicaux-151-zones-prioritaires-identifiees")&amp;CHAR(10)&amp;HYPERLINK("https://sante.gouv.fr/actualites-presse/presse/communiques-de-presse/article/campagne-tarifaire-et-budgetaire-2026-des-etablissements-de-sante-3-6-milliards","https://sante.gouv.fr/actualites-presse/presse/communiques-de-presse/article/campagne-tarifaire-et-budgetaire-2026-des-etablissements-de-sante-3-6-milliards")&amp;CHAR(10)&amp;HYPERLINK("https://sante.gouv.fr/systeme-de-sante/segur-de-la-sante/investissement-en-sante-une-nouvelle-politique-au-service-de-la-qualite-des-11226/csis","https://sante.gouv.fr/systeme-de-sante/segur-de-la-sante/investissement-en-sante-une-nouvelle-politique-au-service-de-la-qualite-des-11226/csis")&amp;CHAR(10)&amp;HYPERLINK("https://sante.gouv.fr/soins-et-maladies/qualite-securite-et-pertinence-des-soins/securite-des-prises-en-charge/securite-des-soins-et-des-patients/article/ameliorer-la-securite-des-patients-et-des-residents-la-1ere-feuille-de-route","https://sante.gouv.fr/soins-et-maladies/qualite-securite-et-pertinence-des-soins/securite-des-prises-en-charge/securite-des-soins-et-des-patients/article/ameliorer-la-securite-des-patients-et-des-residents-la-1ere-feuille-de-route")&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https://sante.gouv.fr/actualites/presse/communiques-de-presse/article/acces-aux-soins-dans-les-territoires-agnes-firmin-le-bodo-a-annonce-le-plan-d
https://www.projetdeloi.sante.gouv.fr/grands-dossiers/un-meilleur-acces-aux-soins-pour-tous-sur-le-territoire/article/pacte-de-lutte-contre-les-deserts-medicaux-151-zones-prioritaires-identifiees
https://sante.gouv.fr/actualites-presse/presse/communiques-de-presse/article/campagne-tarifaire-et-budgetaire-2026-des-etablissements-de-sante-3-6-milliards
https://sante.gouv.fr/systeme-de-sante/segur-de-la-sante/investissement-en-sante-une-nouvelle-politique-au-service-de-la-qualite-des-11226/csis
https://sante.gouv.fr/soins-et-maladies/qualite-securite-et-pertinence-des-soins/securite-des-prises-en-charge/securite-des-soins-et-des-patients/article/ameliorer-la-securite-des-patients-et-des-residents-la-1ere-feuille-de-route
https://www.statistiques.developpement-durable.gouv.fr/construction-de-locaux-resultats-fin-janvier-2026-france-entiere
https://www.insee.fr/fr/statistiques/8671745
https://www.insee.fr/fr/statistiques/8906564</v>
      </c>
      <c r="GG54" s="657"/>
      <c r="GH54" s="311">
        <f t="shared" si="185"/>
        <v>4021.8507825000002</v>
      </c>
      <c r="GI54" s="311">
        <f t="shared" si="116"/>
        <v>940.01378250000005</v>
      </c>
      <c r="GJ54" s="311">
        <f t="shared" si="186"/>
        <v>3081.837</v>
      </c>
      <c r="GK54" s="311">
        <f t="shared" si="187"/>
        <v>2109.2818912500002</v>
      </c>
      <c r="GL54" s="311">
        <f t="shared" si="117"/>
        <v>470.00689125000002</v>
      </c>
      <c r="GM54" s="311">
        <f t="shared" si="188"/>
        <v>1639.2750000000001</v>
      </c>
      <c r="GN54" s="311">
        <f t="shared" si="189"/>
        <v>1993.6396284</v>
      </c>
      <c r="GO54" s="311">
        <f t="shared" si="118"/>
        <v>551.07762839999987</v>
      </c>
      <c r="GP54" s="311">
        <f t="shared" si="190"/>
        <v>1442.5620000000001</v>
      </c>
      <c r="GQ54" s="311">
        <f t="shared" si="191"/>
        <v>576.88537427999995</v>
      </c>
      <c r="GR54" s="311">
        <f t="shared" si="119"/>
        <v>183.45937428000002</v>
      </c>
      <c r="GS54" s="311">
        <f t="shared" si="192"/>
        <v>393.42599999999999</v>
      </c>
      <c r="GT54" s="311">
        <f t="shared" si="193"/>
        <v>0</v>
      </c>
      <c r="GU54" s="311">
        <f t="shared" si="120"/>
        <v>0</v>
      </c>
      <c r="GV54" s="311">
        <f t="shared" si="194"/>
        <v>0</v>
      </c>
      <c r="GW54" s="311">
        <f t="shared" si="195"/>
        <v>0</v>
      </c>
      <c r="GX54" s="311">
        <f t="shared" si="121"/>
        <v>0</v>
      </c>
      <c r="GY54" s="311">
        <f t="shared" si="196"/>
        <v>0</v>
      </c>
      <c r="GZ54" s="311">
        <f t="shared" si="197"/>
        <v>0</v>
      </c>
      <c r="HA54" s="311">
        <f t="shared" si="122"/>
        <v>0</v>
      </c>
      <c r="HB54" s="311">
        <f t="shared" si="198"/>
        <v>0</v>
      </c>
      <c r="HC54" s="311">
        <f t="shared" si="199"/>
        <v>271.95510436363634</v>
      </c>
      <c r="HD54" s="311">
        <f t="shared" si="123"/>
        <v>75.242104363636372</v>
      </c>
      <c r="HE54" s="311">
        <f t="shared" si="200"/>
        <v>196.71299999999997</v>
      </c>
      <c r="HF54" s="311">
        <f t="shared" si="201"/>
        <v>562.47517099999993</v>
      </c>
      <c r="HG54" s="311">
        <f t="shared" si="124"/>
        <v>125.33517099999999</v>
      </c>
      <c r="HH54" s="311">
        <f t="shared" si="202"/>
        <v>437.14</v>
      </c>
      <c r="HI54" s="311">
        <f t="shared" si="203"/>
        <v>456.30234250000001</v>
      </c>
      <c r="HJ54" s="311">
        <f t="shared" si="125"/>
        <v>150.30434250000002</v>
      </c>
      <c r="HK54" s="311">
        <f t="shared" si="204"/>
        <v>305.99799999999999</v>
      </c>
      <c r="HL54" s="311">
        <f t="shared" si="205"/>
        <v>218.5202051</v>
      </c>
      <c r="HM54" s="311">
        <f t="shared" si="126"/>
        <v>65.521205100000003</v>
      </c>
      <c r="HN54" s="311">
        <f t="shared" si="206"/>
        <v>152.999</v>
      </c>
      <c r="HO54" s="311">
        <f t="shared" si="207"/>
        <v>4734.4215390000008</v>
      </c>
      <c r="HP54" s="311">
        <f t="shared" si="127"/>
        <v>1128.016539</v>
      </c>
      <c r="HQ54" s="311">
        <f t="shared" si="208"/>
        <v>3606.4050000000007</v>
      </c>
      <c r="HR54" s="311">
        <f t="shared" si="209"/>
        <v>1818.567513</v>
      </c>
      <c r="HS54" s="311">
        <f t="shared" si="128"/>
        <v>376.00551299999995</v>
      </c>
      <c r="HT54" s="311">
        <f t="shared" si="210"/>
        <v>1442.5620000000001</v>
      </c>
      <c r="HU54" s="311">
        <f t="shared" si="211"/>
        <v>2120.441476</v>
      </c>
      <c r="HV54" s="311">
        <f t="shared" si="129"/>
        <v>612.30847600000004</v>
      </c>
      <c r="HW54" s="311">
        <f t="shared" si="212"/>
        <v>1508.133</v>
      </c>
      <c r="HY54" s="313">
        <f t="shared" si="213"/>
        <v>19500</v>
      </c>
      <c r="HZ54" s="313">
        <f t="shared" si="214"/>
        <v>0</v>
      </c>
      <c r="IA54" s="313">
        <f t="shared" si="215"/>
        <v>2279.5500000000002</v>
      </c>
      <c r="IB54" s="313">
        <f t="shared" si="216"/>
        <v>10716.45</v>
      </c>
      <c r="IC54" s="313">
        <f t="shared" si="217"/>
        <v>6002.7</v>
      </c>
      <c r="ID54" s="313">
        <f t="shared" si="218"/>
        <v>501.29999999999995</v>
      </c>
      <c r="IE54" s="313">
        <f t="shared" si="219"/>
        <v>4677.2910273936359</v>
      </c>
      <c r="IF54" s="313">
        <f t="shared" si="220"/>
        <v>0</v>
      </c>
      <c r="IG54" s="313">
        <f t="shared" si="221"/>
        <v>48.008539332626356</v>
      </c>
      <c r="IH54" s="313">
        <f t="shared" si="222"/>
        <v>1519.8451717462817</v>
      </c>
      <c r="II54" s="313">
        <f t="shared" si="223"/>
        <v>2692.3628805946373</v>
      </c>
      <c r="IJ54" s="313">
        <f t="shared" si="224"/>
        <v>417.07443572009095</v>
      </c>
      <c r="IK54" s="866">
        <v>4.12</v>
      </c>
      <c r="IL54" s="314" t="s">
        <v>2589</v>
      </c>
      <c r="IM54" s="299" t="s">
        <v>3539</v>
      </c>
      <c r="IN54" s="657"/>
      <c r="IO54" s="730">
        <v>0</v>
      </c>
      <c r="IP54" s="730">
        <v>9.3200000000000005E-2</v>
      </c>
      <c r="IQ54" s="730">
        <v>0.53490000000000004</v>
      </c>
      <c r="IR54" s="730">
        <v>0.33989999999999998</v>
      </c>
      <c r="IS54" s="730">
        <v>3.2000000000000001E-2</v>
      </c>
      <c r="IT54" s="730">
        <v>0</v>
      </c>
      <c r="IU54" s="730">
        <v>8.9999999999999993E-3</v>
      </c>
      <c r="IV54" s="730">
        <v>0.2949</v>
      </c>
      <c r="IW54" s="730">
        <v>0.59609999999999996</v>
      </c>
      <c r="IX54" s="730">
        <v>0.1</v>
      </c>
      <c r="IY54" s="730">
        <v>0</v>
      </c>
      <c r="IZ54" s="730">
        <v>0</v>
      </c>
      <c r="JA54" s="730">
        <v>0</v>
      </c>
      <c r="JB54" s="730">
        <v>0</v>
      </c>
      <c r="JC54" s="730">
        <v>0</v>
      </c>
      <c r="JD54" s="730">
        <v>0</v>
      </c>
      <c r="JE54" s="730">
        <v>0</v>
      </c>
      <c r="JF54" s="730">
        <v>0</v>
      </c>
      <c r="JG54" s="730">
        <v>0</v>
      </c>
      <c r="JH54" s="730">
        <v>0</v>
      </c>
      <c r="JI54" s="730">
        <v>0</v>
      </c>
      <c r="JJ54" s="730">
        <v>0.19850000000000001</v>
      </c>
      <c r="JK54" s="730">
        <v>0.57489999999999997</v>
      </c>
      <c r="JL54" s="730">
        <v>0.21579999999999999</v>
      </c>
      <c r="JM54" s="730">
        <v>1.0800000000000001E-2</v>
      </c>
      <c r="JN54" s="730">
        <v>0</v>
      </c>
      <c r="JO54" s="730">
        <v>2.3199999999999998E-2</v>
      </c>
      <c r="JP54" s="730">
        <v>0.40770000000000001</v>
      </c>
      <c r="JQ54" s="730">
        <v>0.48909999999999998</v>
      </c>
      <c r="JR54" s="730">
        <v>0.08</v>
      </c>
      <c r="JS54" s="730">
        <v>0</v>
      </c>
      <c r="JT54" s="730">
        <v>0.127</v>
      </c>
      <c r="JU54" s="730">
        <v>0.56000000000000005</v>
      </c>
      <c r="JV54" s="730">
        <v>0.29110000000000003</v>
      </c>
      <c r="JW54" s="730">
        <v>2.1899999999999999E-2</v>
      </c>
      <c r="JX54" s="730">
        <v>0</v>
      </c>
      <c r="JY54" s="730">
        <v>8.9999999999999993E-3</v>
      </c>
      <c r="JZ54" s="730">
        <v>0.33910000000000001</v>
      </c>
      <c r="KA54" s="730">
        <v>0.57189999999999996</v>
      </c>
      <c r="KB54" s="730">
        <v>0.08</v>
      </c>
      <c r="KC54" s="657"/>
      <c r="KD54" s="314" t="s">
        <v>2591</v>
      </c>
      <c r="KE54" s="314" t="s">
        <v>2625</v>
      </c>
      <c r="KF54" s="866">
        <v>3.88</v>
      </c>
      <c r="KG54" s="314" t="s">
        <v>2626</v>
      </c>
      <c r="KH54" s="315" t="s">
        <v>3540</v>
      </c>
      <c r="KI54" s="314" t="s">
        <v>2823</v>
      </c>
      <c r="KJ54" s="315" t="s">
        <v>3541</v>
      </c>
    </row>
    <row r="55" spans="1:296" ht="48" customHeight="1">
      <c r="A55" s="265">
        <f t="shared" si="225"/>
        <v>48</v>
      </c>
      <c r="B55" s="266" t="s">
        <v>2241</v>
      </c>
      <c r="C55" s="266" t="s">
        <v>2242</v>
      </c>
      <c r="D55" s="624" t="s">
        <v>3542</v>
      </c>
      <c r="E55" s="267" t="s">
        <v>3543</v>
      </c>
      <c r="F55" s="267" t="s">
        <v>2631</v>
      </c>
      <c r="G55" s="267" t="s">
        <v>300</v>
      </c>
      <c r="H55" s="267" t="s">
        <v>2109</v>
      </c>
      <c r="I55" s="268" t="s">
        <v>3544</v>
      </c>
      <c r="J55" s="268" t="s">
        <v>3545</v>
      </c>
      <c r="K55" s="269" t="s">
        <v>2097</v>
      </c>
      <c r="L55" s="269" t="s">
        <v>2109</v>
      </c>
      <c r="M55" s="269" t="s">
        <v>3168</v>
      </c>
      <c r="N55" s="269" t="s">
        <v>3169</v>
      </c>
      <c r="O55" s="267" t="s">
        <v>2616</v>
      </c>
      <c r="P55" s="268"/>
      <c r="Q55" s="270">
        <v>1</v>
      </c>
      <c r="R55" s="271">
        <v>450</v>
      </c>
      <c r="S55" s="272">
        <v>400</v>
      </c>
      <c r="T55" s="272">
        <v>500</v>
      </c>
      <c r="U55" s="272">
        <v>570</v>
      </c>
      <c r="V55" s="272">
        <v>650</v>
      </c>
      <c r="W55" s="272">
        <v>700</v>
      </c>
      <c r="X55" s="272">
        <v>750</v>
      </c>
      <c r="Y55" s="272">
        <v>800</v>
      </c>
      <c r="Z55" s="272">
        <v>850</v>
      </c>
      <c r="AA55" s="272">
        <v>900</v>
      </c>
      <c r="AB55" s="272">
        <v>975</v>
      </c>
      <c r="AC55" s="272">
        <v>1050</v>
      </c>
      <c r="AD55" s="272">
        <v>1125</v>
      </c>
      <c r="AE55" s="272">
        <v>1200</v>
      </c>
      <c r="AF55" s="272">
        <v>1284</v>
      </c>
      <c r="AG55" s="272">
        <v>1297</v>
      </c>
      <c r="AH55" s="272">
        <v>1310</v>
      </c>
      <c r="AI55" s="272">
        <v>1323</v>
      </c>
      <c r="AJ55" s="272">
        <v>1336</v>
      </c>
      <c r="AK55" s="272">
        <v>1350</v>
      </c>
      <c r="AL55" s="268" t="s">
        <v>2132</v>
      </c>
      <c r="AM55" s="268" t="s">
        <v>3505</v>
      </c>
      <c r="AN55" s="268" t="s">
        <v>3546</v>
      </c>
      <c r="AO55" s="657"/>
      <c r="AP55" s="271">
        <v>20</v>
      </c>
      <c r="AQ55" s="280">
        <v>12</v>
      </c>
      <c r="AR55" s="280">
        <v>6</v>
      </c>
      <c r="AS55" s="280">
        <v>2</v>
      </c>
      <c r="AT55" s="657"/>
      <c r="AU55" s="301" t="s">
        <v>3547</v>
      </c>
      <c r="AV55" s="572" t="s">
        <v>3548</v>
      </c>
      <c r="AW55" s="645" t="s">
        <v>3531</v>
      </c>
      <c r="AX55" s="290" t="s">
        <v>2670</v>
      </c>
      <c r="AY55" s="657"/>
      <c r="AZ55" s="948">
        <v>2</v>
      </c>
      <c r="BA55" s="948">
        <v>0</v>
      </c>
      <c r="BB55" s="948">
        <v>0</v>
      </c>
      <c r="BC55" s="948">
        <v>2</v>
      </c>
      <c r="BD55" s="825">
        <f t="shared" si="130"/>
        <v>5136</v>
      </c>
      <c r="BE55" s="304">
        <f t="shared" si="131"/>
        <v>2568</v>
      </c>
      <c r="BF55" s="304">
        <f t="shared" si="132"/>
        <v>0</v>
      </c>
      <c r="BG55" s="304">
        <f t="shared" si="133"/>
        <v>0</v>
      </c>
      <c r="BH55" s="304">
        <f t="shared" si="134"/>
        <v>2568</v>
      </c>
      <c r="BI55" s="825">
        <f t="shared" si="135"/>
        <v>5400</v>
      </c>
      <c r="BJ55" s="304">
        <f t="shared" si="136"/>
        <v>2700</v>
      </c>
      <c r="BK55" s="304">
        <f t="shared" si="137"/>
        <v>0</v>
      </c>
      <c r="BL55" s="304">
        <f t="shared" si="138"/>
        <v>0</v>
      </c>
      <c r="BM55" s="304">
        <f t="shared" si="139"/>
        <v>2700</v>
      </c>
      <c r="BN55" s="657"/>
      <c r="BO55" s="284">
        <v>0.38</v>
      </c>
      <c r="BP55" s="284">
        <v>0.42</v>
      </c>
      <c r="BQ55" s="284">
        <v>0.12</v>
      </c>
      <c r="BR55" s="710">
        <v>0.08</v>
      </c>
      <c r="BS55" s="707">
        <v>0.34</v>
      </c>
      <c r="BT55" s="284">
        <v>0.43</v>
      </c>
      <c r="BU55" s="284">
        <v>0.16</v>
      </c>
      <c r="BV55" s="710">
        <v>7.0000000000000007E-2</v>
      </c>
      <c r="BW55" s="714"/>
      <c r="BX55" s="285"/>
      <c r="BY55" s="717"/>
      <c r="BZ55" s="714"/>
      <c r="CA55" s="285"/>
      <c r="CB55" s="717"/>
      <c r="CC55" s="284"/>
      <c r="CD55" s="284"/>
      <c r="CE55" s="284"/>
      <c r="CF55" s="710"/>
      <c r="CG55" s="707"/>
      <c r="CH55" s="284"/>
      <c r="CI55" s="284"/>
      <c r="CJ55" s="710"/>
      <c r="CK55" s="720">
        <v>0.55000000000000004</v>
      </c>
      <c r="CL55" s="286">
        <v>0.35</v>
      </c>
      <c r="CM55" s="718">
        <v>0.1</v>
      </c>
      <c r="CN55" s="720">
        <v>0.45</v>
      </c>
      <c r="CO55" s="286">
        <v>0.4</v>
      </c>
      <c r="CP55" s="718">
        <v>0.15</v>
      </c>
      <c r="CQ55" s="657"/>
      <c r="CR55" s="807">
        <v>12</v>
      </c>
      <c r="CS55" s="808">
        <v>13</v>
      </c>
      <c r="CT55" s="808">
        <v>9</v>
      </c>
      <c r="CU55" s="809">
        <v>11</v>
      </c>
      <c r="CV55" s="807"/>
      <c r="CW55" s="808"/>
      <c r="CX55" s="809"/>
      <c r="CY55" s="807"/>
      <c r="CZ55" s="808"/>
      <c r="DA55" s="808"/>
      <c r="DB55" s="809"/>
      <c r="DC55" s="807">
        <v>13</v>
      </c>
      <c r="DD55" s="808">
        <v>13</v>
      </c>
      <c r="DE55" s="809">
        <v>9</v>
      </c>
      <c r="DF55" s="610" t="s">
        <v>3549</v>
      </c>
      <c r="DG55" s="657"/>
      <c r="DH55" s="288">
        <f t="shared" si="140"/>
        <v>975.84</v>
      </c>
      <c r="DI55" s="288">
        <f t="shared" si="141"/>
        <v>1078.56</v>
      </c>
      <c r="DJ55" s="288">
        <f t="shared" si="142"/>
        <v>308.15999999999997</v>
      </c>
      <c r="DK55" s="288">
        <f t="shared" si="143"/>
        <v>205.44</v>
      </c>
      <c r="DL55" s="560" t="s">
        <v>3550</v>
      </c>
      <c r="DM55" s="288">
        <f t="shared" si="144"/>
        <v>918.00000000000011</v>
      </c>
      <c r="DN55" s="288">
        <f t="shared" si="145"/>
        <v>1161</v>
      </c>
      <c r="DO55" s="288">
        <f t="shared" si="146"/>
        <v>432</v>
      </c>
      <c r="DP55" s="288">
        <f t="shared" si="147"/>
        <v>189.00000000000003</v>
      </c>
      <c r="DQ55" s="561" t="s">
        <v>3551</v>
      </c>
      <c r="DR55" s="657"/>
      <c r="DS55" s="288">
        <f t="shared" si="148"/>
        <v>0</v>
      </c>
      <c r="DT55" s="288">
        <f t="shared" si="149"/>
        <v>0</v>
      </c>
      <c r="DU55" s="288">
        <f t="shared" si="150"/>
        <v>0</v>
      </c>
      <c r="DV55" s="561" t="s">
        <v>2613</v>
      </c>
      <c r="DW55" s="288">
        <f t="shared" si="151"/>
        <v>0</v>
      </c>
      <c r="DX55" s="288">
        <f t="shared" si="152"/>
        <v>0</v>
      </c>
      <c r="DY55" s="288">
        <f t="shared" si="153"/>
        <v>0</v>
      </c>
      <c r="DZ55" s="561" t="s">
        <v>2613</v>
      </c>
      <c r="EA55" s="657"/>
      <c r="EB55" s="288">
        <f t="shared" si="154"/>
        <v>0</v>
      </c>
      <c r="EC55" s="288">
        <f t="shared" si="155"/>
        <v>0</v>
      </c>
      <c r="ED55" s="288">
        <f t="shared" si="156"/>
        <v>0</v>
      </c>
      <c r="EE55" s="288">
        <f t="shared" si="157"/>
        <v>0</v>
      </c>
      <c r="EF55" s="561" t="s">
        <v>3552</v>
      </c>
      <c r="EG55" s="288">
        <f t="shared" si="158"/>
        <v>0</v>
      </c>
      <c r="EH55" s="288">
        <f t="shared" si="159"/>
        <v>0</v>
      </c>
      <c r="EI55" s="288">
        <f t="shared" si="160"/>
        <v>0</v>
      </c>
      <c r="EJ55" s="288">
        <f t="shared" si="161"/>
        <v>0</v>
      </c>
      <c r="EK55" s="561" t="s">
        <v>3553</v>
      </c>
      <c r="EL55" s="657"/>
      <c r="EM55" s="288">
        <f t="shared" si="162"/>
        <v>1412.4</v>
      </c>
      <c r="EN55" s="291">
        <f t="shared" si="163"/>
        <v>898.8</v>
      </c>
      <c r="EO55" s="291">
        <f t="shared" si="164"/>
        <v>256.8</v>
      </c>
      <c r="EP55" s="561" t="s">
        <v>3554</v>
      </c>
      <c r="EQ55" s="288">
        <f t="shared" si="165"/>
        <v>1215</v>
      </c>
      <c r="ER55" s="291">
        <f t="shared" si="166"/>
        <v>1080</v>
      </c>
      <c r="ES55" s="291">
        <f t="shared" si="167"/>
        <v>405</v>
      </c>
      <c r="ET55" s="561" t="s">
        <v>3555</v>
      </c>
      <c r="EU55" s="657"/>
      <c r="EV55" s="740">
        <f t="shared" si="168"/>
        <v>0.64124298133008906</v>
      </c>
      <c r="EW55" s="740">
        <f t="shared" si="169"/>
        <v>0.35875701866991089</v>
      </c>
      <c r="EX55" s="563">
        <f t="shared" si="170"/>
        <v>1437.36281986014</v>
      </c>
      <c r="EY55" s="563">
        <f t="shared" si="171"/>
        <v>921.69881986013991</v>
      </c>
      <c r="EZ55" s="563">
        <f t="shared" si="172"/>
        <v>515.66399999999999</v>
      </c>
      <c r="FA55" s="563">
        <f t="shared" si="173"/>
        <v>740.50703524475523</v>
      </c>
      <c r="FB55" s="563">
        <f t="shared" si="174"/>
        <v>482.67503524475524</v>
      </c>
      <c r="FC55" s="563">
        <f t="shared" si="175"/>
        <v>257.83199999999999</v>
      </c>
      <c r="FD55" s="563">
        <f t="shared" si="176"/>
        <v>0</v>
      </c>
      <c r="FE55" s="563">
        <f t="shared" si="177"/>
        <v>0</v>
      </c>
      <c r="FF55" s="563">
        <f t="shared" si="178"/>
        <v>0</v>
      </c>
      <c r="FG55" s="563">
        <f t="shared" si="179"/>
        <v>0</v>
      </c>
      <c r="FH55" s="563">
        <f t="shared" si="180"/>
        <v>0</v>
      </c>
      <c r="FI55" s="563">
        <f t="shared" si="181"/>
        <v>0</v>
      </c>
      <c r="FJ55" s="563">
        <f t="shared" si="182"/>
        <v>696.85578461538466</v>
      </c>
      <c r="FK55" s="563">
        <f t="shared" si="183"/>
        <v>439.02378461538467</v>
      </c>
      <c r="FL55" s="563">
        <f t="shared" si="184"/>
        <v>257.83199999999999</v>
      </c>
      <c r="FM55" s="529"/>
      <c r="FN55" s="564" t="s">
        <v>2649</v>
      </c>
      <c r="FO55" s="740">
        <v>4.9000000000000002E-2</v>
      </c>
      <c r="FP55" s="741">
        <v>0.80759999999999998</v>
      </c>
      <c r="FQ55" s="565" t="s">
        <v>3556</v>
      </c>
      <c r="FR55" s="529"/>
      <c r="FS55" s="867">
        <v>3.3</v>
      </c>
      <c r="FT55" s="566">
        <f>RANK($FS55,$FS$8:$FS$154,0)+COUNTIF($FS$8:$FS55,$FS55)-1</f>
        <v>75</v>
      </c>
      <c r="FU55" s="867">
        <v>4.04</v>
      </c>
      <c r="FV55" s="566">
        <f>RANK($FU55,$FU$8:$FU$154,0)+COUNTIF($FU$8:$FU55,$FU55)-1</f>
        <v>79</v>
      </c>
      <c r="FW55" s="867">
        <v>2</v>
      </c>
      <c r="FX55" s="566">
        <f>RANK($FW55,$FW$8:$FW$154,0)+COUNTIF($FW$8:$FW55,$FW55)-1</f>
        <v>97</v>
      </c>
      <c r="FY55" s="529"/>
      <c r="FZ55" s="567" t="s">
        <v>3557</v>
      </c>
      <c r="GA55" s="567" t="s">
        <v>3558</v>
      </c>
      <c r="GB55" s="567" t="s">
        <v>2653</v>
      </c>
      <c r="GC55" s="567" t="s">
        <v>2654</v>
      </c>
      <c r="GD55" s="567" t="s">
        <v>2655</v>
      </c>
      <c r="GE55" s="567" t="s">
        <v>2656</v>
      </c>
      <c r="GF55" s="567" t="str">
        <f>HYPERLINK("https://sante.gouv.fr/actualites/presse/communiques-de-presse/article/acces-aux-soins-dans-les-territoires-agnes-firmin-le-bodo-a-annonce-le-plan-d","https://sante.gouv.fr/actualites/presse/communiques-de-presse/article/acces-aux-soins-dans-les-territoires-agnes-firmin-le-bodo-a-annonce-le-plan-d")&amp;CHAR(10)&amp;HYPERLINK("https://www.projetdeloi.sante.gouv.fr/grands-dossiers/un-meilleur-acces-aux-soins-pour-tous-sur-le-territoire/article/pacte-de-lutte-contre-les-deserts-medicaux-151-zones-prioritaires-identifiees","https://www.projetdeloi.sante.gouv.fr/grands-dossiers/un-meilleur-acces-aux-soins-pour-tous-sur-le-territoire/article/pacte-de-lutte-contre-les-deserts-medicaux-151-zones-prioritaires-identifiees")&amp;CHAR(10)&amp;HYPERLINK("https://sante.gouv.fr/actualites-presse/presse/communiques-de-presse/article/campagne-tarifaire-et-budgetaire-2026-des-etablissements-de-sante-3-6-milliards","https://sante.gouv.fr/actualites-presse/presse/communiques-de-presse/article/campagne-tarifaire-et-budgetaire-2026-des-etablissements-de-sante-3-6-milliards")&amp;CHAR(10)&amp;HYPERLINK("https://sante.gouv.fr/systeme-de-sante/segur-de-la-sante/investissement-en-sante-une-nouvelle-politique-au-service-de-la-qualite-des-11226/csis","https://sante.gouv.fr/systeme-de-sante/segur-de-la-sante/investissement-en-sante-une-nouvelle-politique-au-service-de-la-qualite-des-11226/csis")&amp;CHAR(10)&amp;HYPERLINK("https://sante.gouv.fr/soins-et-maladies/qualite-securite-et-pertinence-des-soins/securite-des-prises-en-charge/securite-des-soins-et-des-patients/article/ameliorer-la-securite-des-patients-et-des-residents-la-1ere-feuille-de-route","https://sante.gouv.fr/soins-et-maladies/qualite-securite-et-pertinence-des-soins/securite-des-prises-en-charge/securite-des-soins-et-des-patients/article/ameliorer-la-securite-des-patients-et-des-residents-la-1ere-feuille-de-route")&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https://sante.gouv.fr/actualites/presse/communiques-de-presse/article/acces-aux-soins-dans-les-territoires-agnes-firmin-le-bodo-a-annonce-le-plan-d
https://www.projetdeloi.sante.gouv.fr/grands-dossiers/un-meilleur-acces-aux-soins-pour-tous-sur-le-territoire/article/pacte-de-lutte-contre-les-deserts-medicaux-151-zones-prioritaires-identifiees
https://sante.gouv.fr/actualites-presse/presse/communiques-de-presse/article/campagne-tarifaire-et-budgetaire-2026-des-etablissements-de-sante-3-6-milliards
https://sante.gouv.fr/systeme-de-sante/segur-de-la-sante/investissement-en-sante-une-nouvelle-politique-au-service-de-la-qualite-des-11226/csis
https://sante.gouv.fr/soins-et-maladies/qualite-securite-et-pertinence-des-soins/securite-des-prises-en-charge/securite-des-soins-et-des-patients/article/ameliorer-la-securite-des-patients-et-des-residents-la-1ere-feuille-de-route
https://www.statistiques.developpement-durable.gouv.fr/construction-de-locaux-resultats-fin-janvier-2026-france-entiere
https://www.insee.fr/fr/statistiques/8671745
https://www.insee.fr/fr/statistiques/8906564</v>
      </c>
      <c r="GG55" s="529"/>
      <c r="GH55" s="563">
        <f t="shared" si="185"/>
        <v>265.14643999999998</v>
      </c>
      <c r="GI55" s="563">
        <f t="shared" si="116"/>
        <v>177.48355999999998</v>
      </c>
      <c r="GJ55" s="563">
        <f t="shared" si="186"/>
        <v>87.662880000000001</v>
      </c>
      <c r="GK55" s="563">
        <f t="shared" si="187"/>
        <v>279.94192615384611</v>
      </c>
      <c r="GL55" s="563">
        <f t="shared" si="117"/>
        <v>169.07416615384614</v>
      </c>
      <c r="GM55" s="563">
        <f t="shared" si="188"/>
        <v>110.86775999999999</v>
      </c>
      <c r="GN55" s="563">
        <f t="shared" si="189"/>
        <v>133.31951999999998</v>
      </c>
      <c r="GO55" s="563">
        <f t="shared" si="118"/>
        <v>92.066399999999987</v>
      </c>
      <c r="GP55" s="563">
        <f t="shared" si="190"/>
        <v>41.253120000000003</v>
      </c>
      <c r="GQ55" s="563">
        <f t="shared" si="191"/>
        <v>62.099149090909087</v>
      </c>
      <c r="GR55" s="563">
        <f t="shared" si="119"/>
        <v>44.050909090909087</v>
      </c>
      <c r="GS55" s="563">
        <f t="shared" si="192"/>
        <v>18.04824</v>
      </c>
      <c r="GT55" s="563">
        <f t="shared" si="193"/>
        <v>0</v>
      </c>
      <c r="GU55" s="563">
        <f t="shared" si="120"/>
        <v>0</v>
      </c>
      <c r="GV55" s="563">
        <f t="shared" si="194"/>
        <v>0</v>
      </c>
      <c r="GW55" s="563">
        <f t="shared" si="195"/>
        <v>0</v>
      </c>
      <c r="GX55" s="563">
        <f t="shared" si="121"/>
        <v>0</v>
      </c>
      <c r="GY55" s="563">
        <f t="shared" si="196"/>
        <v>0</v>
      </c>
      <c r="GZ55" s="563">
        <f t="shared" si="197"/>
        <v>0</v>
      </c>
      <c r="HA55" s="563">
        <f t="shared" si="122"/>
        <v>0</v>
      </c>
      <c r="HB55" s="563">
        <f t="shared" si="198"/>
        <v>0</v>
      </c>
      <c r="HC55" s="563">
        <f t="shared" si="199"/>
        <v>0</v>
      </c>
      <c r="HD55" s="563">
        <f t="shared" si="123"/>
        <v>0</v>
      </c>
      <c r="HE55" s="563">
        <f t="shared" si="200"/>
        <v>0</v>
      </c>
      <c r="HF55" s="563">
        <f t="shared" si="201"/>
        <v>0</v>
      </c>
      <c r="HG55" s="563">
        <f t="shared" si="124"/>
        <v>0</v>
      </c>
      <c r="HH55" s="563">
        <f t="shared" si="202"/>
        <v>0</v>
      </c>
      <c r="HI55" s="563">
        <f t="shared" si="203"/>
        <v>0</v>
      </c>
      <c r="HJ55" s="563">
        <f t="shared" si="125"/>
        <v>0</v>
      </c>
      <c r="HK55" s="563">
        <f t="shared" si="204"/>
        <v>0</v>
      </c>
      <c r="HL55" s="563">
        <f t="shared" si="205"/>
        <v>0</v>
      </c>
      <c r="HM55" s="563">
        <f t="shared" si="126"/>
        <v>0</v>
      </c>
      <c r="HN55" s="563">
        <f t="shared" si="206"/>
        <v>0</v>
      </c>
      <c r="HO55" s="563">
        <f t="shared" si="207"/>
        <v>337.43104615384618</v>
      </c>
      <c r="HP55" s="563">
        <f t="shared" si="127"/>
        <v>221.40664615384617</v>
      </c>
      <c r="HQ55" s="563">
        <f t="shared" si="208"/>
        <v>116.0244</v>
      </c>
      <c r="HR55" s="563">
        <f t="shared" si="209"/>
        <v>244.02793846153847</v>
      </c>
      <c r="HS55" s="563">
        <f t="shared" si="128"/>
        <v>140.89513846153847</v>
      </c>
      <c r="HT55" s="563">
        <f t="shared" si="210"/>
        <v>103.1328</v>
      </c>
      <c r="HU55" s="563">
        <f t="shared" si="211"/>
        <v>115.39680000000001</v>
      </c>
      <c r="HV55" s="563">
        <f t="shared" si="129"/>
        <v>76.722000000000008</v>
      </c>
      <c r="HW55" s="563">
        <f t="shared" si="212"/>
        <v>38.674799999999998</v>
      </c>
      <c r="HX55" s="544"/>
      <c r="HY55" s="568">
        <f t="shared" si="213"/>
        <v>5136</v>
      </c>
      <c r="HZ55" s="568">
        <f t="shared" si="214"/>
        <v>54.184800000000003</v>
      </c>
      <c r="IA55" s="568">
        <f t="shared" si="215"/>
        <v>1479.6816000000001</v>
      </c>
      <c r="IB55" s="568">
        <f t="shared" si="216"/>
        <v>2886.9456</v>
      </c>
      <c r="IC55" s="568">
        <f t="shared" si="217"/>
        <v>715.18799999999999</v>
      </c>
      <c r="ID55" s="568">
        <f t="shared" si="218"/>
        <v>0</v>
      </c>
      <c r="IE55" s="568">
        <f t="shared" si="219"/>
        <v>921.69881986013991</v>
      </c>
      <c r="IF55" s="568">
        <f t="shared" si="220"/>
        <v>0</v>
      </c>
      <c r="IG55" s="568">
        <f t="shared" si="221"/>
        <v>239.42419029398602</v>
      </c>
      <c r="IH55" s="568">
        <f t="shared" si="222"/>
        <v>531.67155367932867</v>
      </c>
      <c r="II55" s="568">
        <f t="shared" si="223"/>
        <v>146.41152881899299</v>
      </c>
      <c r="IJ55" s="568">
        <f t="shared" si="224"/>
        <v>4.1915470678321682</v>
      </c>
      <c r="IK55" s="868">
        <v>4.2300000000000004</v>
      </c>
      <c r="IL55" s="569" t="s">
        <v>2589</v>
      </c>
      <c r="IM55" s="570" t="s">
        <v>3559</v>
      </c>
      <c r="IN55" s="529"/>
      <c r="IO55" s="742">
        <v>0.01</v>
      </c>
      <c r="IP55" s="742">
        <v>0.28000000000000003</v>
      </c>
      <c r="IQ55" s="742">
        <v>0.56000000000000005</v>
      </c>
      <c r="IR55" s="742">
        <v>0.15</v>
      </c>
      <c r="IS55" s="742">
        <v>0</v>
      </c>
      <c r="IT55" s="742">
        <v>0</v>
      </c>
      <c r="IU55" s="742">
        <v>0.252</v>
      </c>
      <c r="IV55" s="742">
        <v>0.5746</v>
      </c>
      <c r="IW55" s="742">
        <v>0.16889999999999999</v>
      </c>
      <c r="IX55" s="742">
        <v>4.4999999999999997E-3</v>
      </c>
      <c r="IY55" s="742">
        <v>0</v>
      </c>
      <c r="IZ55" s="742">
        <v>0</v>
      </c>
      <c r="JA55" s="742">
        <v>0</v>
      </c>
      <c r="JB55" s="742">
        <v>0</v>
      </c>
      <c r="JC55" s="742">
        <v>0</v>
      </c>
      <c r="JD55" s="742">
        <v>0</v>
      </c>
      <c r="JE55" s="742">
        <v>0</v>
      </c>
      <c r="JF55" s="742">
        <v>0</v>
      </c>
      <c r="JG55" s="742">
        <v>0</v>
      </c>
      <c r="JH55" s="742">
        <v>0</v>
      </c>
      <c r="JI55" s="742">
        <v>0</v>
      </c>
      <c r="JJ55" s="742">
        <v>0</v>
      </c>
      <c r="JK55" s="742">
        <v>0</v>
      </c>
      <c r="JL55" s="742">
        <v>0</v>
      </c>
      <c r="JM55" s="742">
        <v>0</v>
      </c>
      <c r="JN55" s="742">
        <v>0</v>
      </c>
      <c r="JO55" s="742">
        <v>0</v>
      </c>
      <c r="JP55" s="742">
        <v>0</v>
      </c>
      <c r="JQ55" s="742">
        <v>0</v>
      </c>
      <c r="JR55" s="742">
        <v>0</v>
      </c>
      <c r="JS55" s="742">
        <v>1.11E-2</v>
      </c>
      <c r="JT55" s="742">
        <v>0.29620000000000002</v>
      </c>
      <c r="JU55" s="742">
        <v>0.56420000000000003</v>
      </c>
      <c r="JV55" s="742">
        <v>0.1285</v>
      </c>
      <c r="JW55" s="742">
        <v>0</v>
      </c>
      <c r="JX55" s="742">
        <v>0</v>
      </c>
      <c r="JY55" s="742">
        <v>0.26829999999999998</v>
      </c>
      <c r="JZ55" s="742">
        <v>0.57930000000000004</v>
      </c>
      <c r="KA55" s="742">
        <v>0.14779999999999999</v>
      </c>
      <c r="KB55" s="742">
        <v>4.5999999999999999E-3</v>
      </c>
      <c r="KC55" s="657"/>
      <c r="KD55" s="832" t="s">
        <v>2590</v>
      </c>
      <c r="KE55" s="832" t="s">
        <v>2590</v>
      </c>
      <c r="KF55" s="869">
        <v>4.26</v>
      </c>
      <c r="KG55" s="832" t="s">
        <v>2701</v>
      </c>
      <c r="KH55" s="833" t="s">
        <v>3560</v>
      </c>
      <c r="KI55" s="832" t="s">
        <v>2659</v>
      </c>
      <c r="KJ55" s="833" t="s">
        <v>3561</v>
      </c>
    </row>
    <row r="56" spans="1:296" ht="48" customHeight="1">
      <c r="A56" s="273">
        <f t="shared" si="225"/>
        <v>49</v>
      </c>
      <c r="B56" s="274" t="s">
        <v>2241</v>
      </c>
      <c r="C56" s="274" t="s">
        <v>1032</v>
      </c>
      <c r="D56" s="274" t="s">
        <v>3562</v>
      </c>
      <c r="E56" s="275" t="s">
        <v>3563</v>
      </c>
      <c r="F56" s="275" t="s">
        <v>300</v>
      </c>
      <c r="G56" s="275" t="s">
        <v>300</v>
      </c>
      <c r="H56" s="275" t="s">
        <v>2109</v>
      </c>
      <c r="I56" s="276" t="s">
        <v>3564</v>
      </c>
      <c r="J56" s="276" t="s">
        <v>3565</v>
      </c>
      <c r="K56" s="277" t="s">
        <v>2109</v>
      </c>
      <c r="L56" s="277" t="s">
        <v>2109</v>
      </c>
      <c r="M56" s="277" t="s">
        <v>2603</v>
      </c>
      <c r="N56" s="277" t="s">
        <v>2099</v>
      </c>
      <c r="O56" s="275" t="s">
        <v>2212</v>
      </c>
      <c r="P56" s="276"/>
      <c r="Q56" s="270">
        <v>1</v>
      </c>
      <c r="R56" s="278">
        <v>4000</v>
      </c>
      <c r="S56" s="279">
        <v>2950</v>
      </c>
      <c r="T56" s="279">
        <v>3600</v>
      </c>
      <c r="U56" s="279">
        <v>4300</v>
      </c>
      <c r="V56" s="279">
        <v>4450</v>
      </c>
      <c r="W56" s="279">
        <f>V56+20</f>
        <v>4470</v>
      </c>
      <c r="X56" s="279">
        <f>W56+20</f>
        <v>4490</v>
      </c>
      <c r="Y56" s="279">
        <f>X56+20</f>
        <v>4510</v>
      </c>
      <c r="Z56" s="279">
        <f>Y56+20</f>
        <v>4530</v>
      </c>
      <c r="AA56" s="279">
        <v>4550</v>
      </c>
      <c r="AB56" s="279">
        <f>AA56+10</f>
        <v>4560</v>
      </c>
      <c r="AC56" s="279">
        <f>AB56+10</f>
        <v>4570</v>
      </c>
      <c r="AD56" s="279">
        <f>AC56+10</f>
        <v>4580</v>
      </c>
      <c r="AE56" s="279">
        <f>AD56+10</f>
        <v>4590</v>
      </c>
      <c r="AF56" s="279">
        <v>4600</v>
      </c>
      <c r="AG56" s="279">
        <f>AF56+20</f>
        <v>4620</v>
      </c>
      <c r="AH56" s="279">
        <f>AG56+20</f>
        <v>4640</v>
      </c>
      <c r="AI56" s="279">
        <f>AH56+20</f>
        <v>4660</v>
      </c>
      <c r="AJ56" s="279">
        <f>AI56+20</f>
        <v>4680</v>
      </c>
      <c r="AK56" s="279">
        <v>4700</v>
      </c>
      <c r="AL56" s="276" t="s">
        <v>2132</v>
      </c>
      <c r="AM56" s="276" t="s">
        <v>3566</v>
      </c>
      <c r="AN56" s="276" t="s">
        <v>3479</v>
      </c>
      <c r="AO56" s="657"/>
      <c r="AP56" s="278">
        <v>60</v>
      </c>
      <c r="AQ56" s="278">
        <v>43</v>
      </c>
      <c r="AR56" s="278">
        <v>15</v>
      </c>
      <c r="AS56" s="278">
        <v>2</v>
      </c>
      <c r="AT56" s="657"/>
      <c r="AU56" s="281" t="s">
        <v>3567</v>
      </c>
      <c r="AV56" s="296" t="s">
        <v>3568</v>
      </c>
      <c r="AW56" s="296" t="s">
        <v>3569</v>
      </c>
      <c r="AX56" s="276" t="s">
        <v>3299</v>
      </c>
      <c r="AY56" s="657"/>
      <c r="AZ56" s="947">
        <v>15</v>
      </c>
      <c r="BA56" s="947">
        <v>8</v>
      </c>
      <c r="BB56" s="947">
        <v>1</v>
      </c>
      <c r="BC56" s="947">
        <v>13</v>
      </c>
      <c r="BD56" s="826">
        <f t="shared" si="130"/>
        <v>170200</v>
      </c>
      <c r="BE56" s="283">
        <f t="shared" si="131"/>
        <v>69000</v>
      </c>
      <c r="BF56" s="283">
        <f t="shared" si="132"/>
        <v>36800</v>
      </c>
      <c r="BG56" s="283">
        <f t="shared" si="133"/>
        <v>4600</v>
      </c>
      <c r="BH56" s="283">
        <f t="shared" si="134"/>
        <v>59800</v>
      </c>
      <c r="BI56" s="826">
        <f t="shared" si="135"/>
        <v>173900</v>
      </c>
      <c r="BJ56" s="283">
        <f t="shared" si="136"/>
        <v>70500</v>
      </c>
      <c r="BK56" s="283">
        <f t="shared" si="137"/>
        <v>37600</v>
      </c>
      <c r="BL56" s="283">
        <f t="shared" si="138"/>
        <v>4700</v>
      </c>
      <c r="BM56" s="283">
        <f t="shared" si="139"/>
        <v>61100</v>
      </c>
      <c r="BN56" s="657"/>
      <c r="BO56" s="305">
        <v>0.55000000000000004</v>
      </c>
      <c r="BP56" s="305">
        <v>0.2</v>
      </c>
      <c r="BQ56" s="305">
        <v>0.1</v>
      </c>
      <c r="BR56" s="581">
        <v>0.15</v>
      </c>
      <c r="BS56" s="706">
        <v>0.52</v>
      </c>
      <c r="BT56" s="305">
        <v>0.2</v>
      </c>
      <c r="BU56" s="305">
        <v>0.13</v>
      </c>
      <c r="BV56" s="581">
        <v>0.15</v>
      </c>
      <c r="BW56" s="713">
        <v>0.75</v>
      </c>
      <c r="BX56" s="306">
        <v>0.2</v>
      </c>
      <c r="BY56" s="590">
        <v>0.05</v>
      </c>
      <c r="BZ56" s="713">
        <v>0.71</v>
      </c>
      <c r="CA56" s="306">
        <v>0.23</v>
      </c>
      <c r="CB56" s="590">
        <v>0.06</v>
      </c>
      <c r="CC56" s="706">
        <v>0.25</v>
      </c>
      <c r="CD56" s="305">
        <v>0.4</v>
      </c>
      <c r="CE56" s="305">
        <v>0.2</v>
      </c>
      <c r="CF56" s="581">
        <v>0.15</v>
      </c>
      <c r="CG56" s="706">
        <v>0.22</v>
      </c>
      <c r="CH56" s="305">
        <v>0.4</v>
      </c>
      <c r="CI56" s="305">
        <v>0.23</v>
      </c>
      <c r="CJ56" s="581">
        <v>0.15</v>
      </c>
      <c r="CK56" s="719">
        <v>0.7</v>
      </c>
      <c r="CL56" s="307">
        <v>0.25</v>
      </c>
      <c r="CM56" s="723">
        <v>0.05</v>
      </c>
      <c r="CN56" s="719">
        <v>0.67</v>
      </c>
      <c r="CO56" s="307">
        <v>0.26500000000000001</v>
      </c>
      <c r="CP56" s="723">
        <v>6.5000000000000002E-2</v>
      </c>
      <c r="CQ56" s="657"/>
      <c r="CR56" s="804">
        <v>14</v>
      </c>
      <c r="CS56" s="805">
        <v>13</v>
      </c>
      <c r="CT56" s="805">
        <v>10</v>
      </c>
      <c r="CU56" s="806">
        <v>12</v>
      </c>
      <c r="CV56" s="804">
        <v>13</v>
      </c>
      <c r="CW56" s="805">
        <v>12</v>
      </c>
      <c r="CX56" s="806">
        <v>9</v>
      </c>
      <c r="CY56" s="804">
        <v>13</v>
      </c>
      <c r="CZ56" s="805">
        <v>13</v>
      </c>
      <c r="DA56" s="805">
        <v>9</v>
      </c>
      <c r="DB56" s="806">
        <v>11</v>
      </c>
      <c r="DC56" s="804">
        <v>15</v>
      </c>
      <c r="DD56" s="805">
        <v>13</v>
      </c>
      <c r="DE56" s="806">
        <v>10</v>
      </c>
      <c r="DF56" s="609" t="s">
        <v>3570</v>
      </c>
      <c r="DG56" s="657"/>
      <c r="DH56" s="308">
        <f t="shared" si="140"/>
        <v>37950</v>
      </c>
      <c r="DI56" s="308">
        <f t="shared" si="141"/>
        <v>13800</v>
      </c>
      <c r="DJ56" s="308">
        <f t="shared" si="142"/>
        <v>6900</v>
      </c>
      <c r="DK56" s="308">
        <f t="shared" si="143"/>
        <v>10350</v>
      </c>
      <c r="DL56" s="287" t="s">
        <v>3571</v>
      </c>
      <c r="DM56" s="308">
        <f t="shared" si="144"/>
        <v>36660</v>
      </c>
      <c r="DN56" s="308">
        <f t="shared" si="145"/>
        <v>14100</v>
      </c>
      <c r="DO56" s="308">
        <f t="shared" si="146"/>
        <v>9165</v>
      </c>
      <c r="DP56" s="308">
        <f t="shared" si="147"/>
        <v>10575</v>
      </c>
      <c r="DQ56" s="289" t="s">
        <v>3485</v>
      </c>
      <c r="DR56" s="657"/>
      <c r="DS56" s="308">
        <f t="shared" si="148"/>
        <v>27600</v>
      </c>
      <c r="DT56" s="308">
        <f t="shared" si="149"/>
        <v>7360</v>
      </c>
      <c r="DU56" s="308">
        <f t="shared" si="150"/>
        <v>1840</v>
      </c>
      <c r="DV56" s="289" t="s">
        <v>3572</v>
      </c>
      <c r="DW56" s="308">
        <f t="shared" si="151"/>
        <v>26696</v>
      </c>
      <c r="DX56" s="308">
        <f t="shared" si="152"/>
        <v>8648</v>
      </c>
      <c r="DY56" s="308">
        <f t="shared" si="153"/>
        <v>2256</v>
      </c>
      <c r="DZ56" s="289" t="s">
        <v>3487</v>
      </c>
      <c r="EA56" s="657"/>
      <c r="EB56" s="308">
        <f t="shared" si="154"/>
        <v>1150</v>
      </c>
      <c r="EC56" s="308">
        <f t="shared" si="155"/>
        <v>1840</v>
      </c>
      <c r="ED56" s="308">
        <f t="shared" si="156"/>
        <v>920</v>
      </c>
      <c r="EE56" s="308">
        <f t="shared" si="157"/>
        <v>690</v>
      </c>
      <c r="EF56" s="289" t="s">
        <v>3573</v>
      </c>
      <c r="EG56" s="308">
        <f t="shared" si="158"/>
        <v>1034</v>
      </c>
      <c r="EH56" s="308">
        <f t="shared" si="159"/>
        <v>1880</v>
      </c>
      <c r="EI56" s="308">
        <f t="shared" si="160"/>
        <v>1081</v>
      </c>
      <c r="EJ56" s="308">
        <f t="shared" si="161"/>
        <v>705</v>
      </c>
      <c r="EK56" s="309" t="s">
        <v>3489</v>
      </c>
      <c r="EL56" s="657"/>
      <c r="EM56" s="308">
        <f t="shared" si="162"/>
        <v>41860</v>
      </c>
      <c r="EN56" s="310">
        <f t="shared" si="163"/>
        <v>14950</v>
      </c>
      <c r="EO56" s="310">
        <f t="shared" si="164"/>
        <v>2990</v>
      </c>
      <c r="EP56" s="289" t="s">
        <v>3574</v>
      </c>
      <c r="EQ56" s="308">
        <f t="shared" si="165"/>
        <v>40937</v>
      </c>
      <c r="ER56" s="310">
        <f t="shared" si="166"/>
        <v>16191.5</v>
      </c>
      <c r="ES56" s="310">
        <f t="shared" si="167"/>
        <v>3971.5</v>
      </c>
      <c r="ET56" s="289" t="s">
        <v>3491</v>
      </c>
      <c r="EU56" s="657"/>
      <c r="EV56" s="728">
        <f t="shared" si="168"/>
        <v>0.75069461168260321</v>
      </c>
      <c r="EW56" s="728">
        <f t="shared" si="169"/>
        <v>0.24930538831739676</v>
      </c>
      <c r="EX56" s="311">
        <f t="shared" si="170"/>
        <v>70754.106515912426</v>
      </c>
      <c r="EY56" s="311">
        <f t="shared" si="171"/>
        <v>53114.726515912422</v>
      </c>
      <c r="EZ56" s="311">
        <f t="shared" si="172"/>
        <v>17639.38</v>
      </c>
      <c r="FA56" s="311">
        <f t="shared" si="173"/>
        <v>29117.396655906596</v>
      </c>
      <c r="FB56" s="311">
        <f t="shared" si="174"/>
        <v>21966.296655906597</v>
      </c>
      <c r="FC56" s="311">
        <f t="shared" si="175"/>
        <v>7151.1</v>
      </c>
      <c r="FD56" s="311">
        <f t="shared" si="176"/>
        <v>15990.142059829061</v>
      </c>
      <c r="FE56" s="311">
        <f t="shared" si="177"/>
        <v>12176.222059829061</v>
      </c>
      <c r="FF56" s="311">
        <f t="shared" si="178"/>
        <v>3813.92</v>
      </c>
      <c r="FG56" s="311">
        <f t="shared" si="179"/>
        <v>2122.7322510101012</v>
      </c>
      <c r="FH56" s="311">
        <f t="shared" si="180"/>
        <v>1645.9922510101012</v>
      </c>
      <c r="FI56" s="311">
        <f t="shared" si="181"/>
        <v>476.74</v>
      </c>
      <c r="FJ56" s="311">
        <f t="shared" si="182"/>
        <v>23523.835549166666</v>
      </c>
      <c r="FK56" s="311">
        <f t="shared" si="183"/>
        <v>17326.215549166667</v>
      </c>
      <c r="FL56" s="311">
        <f t="shared" si="184"/>
        <v>6197.62</v>
      </c>
      <c r="FM56" s="657"/>
      <c r="FN56" s="293" t="s">
        <v>2649</v>
      </c>
      <c r="FO56" s="728">
        <v>8.1900000000000001E-2</v>
      </c>
      <c r="FP56" s="729">
        <v>0.86189000000000004</v>
      </c>
      <c r="FQ56" s="294" t="s">
        <v>3492</v>
      </c>
      <c r="FR56" s="657"/>
      <c r="FS56" s="865">
        <v>3.31</v>
      </c>
      <c r="FT56" s="312">
        <f>RANK($FS56,$FS$8:$FS$154,0)+COUNTIF($FS$8:$FS56,$FS56)-1</f>
        <v>74</v>
      </c>
      <c r="FU56" s="865">
        <v>3.98</v>
      </c>
      <c r="FV56" s="312">
        <f>RANK($FU56,$FU$8:$FU$154,0)+COUNTIF($FU$8:$FU56,$FU56)-1</f>
        <v>86</v>
      </c>
      <c r="FW56" s="865">
        <v>2.48</v>
      </c>
      <c r="FX56" s="312">
        <f>RANK($FW56,$FW$8:$FW$154,0)+COUNTIF($FW$8:$FW56,$FW56)-1</f>
        <v>41</v>
      </c>
      <c r="FY56" s="657"/>
      <c r="FZ56" s="296" t="s">
        <v>3493</v>
      </c>
      <c r="GA56" s="296" t="s">
        <v>3575</v>
      </c>
      <c r="GB56" s="296" t="s">
        <v>3495</v>
      </c>
      <c r="GC56" s="296" t="s">
        <v>3496</v>
      </c>
      <c r="GD56" s="296" t="s">
        <v>3497</v>
      </c>
      <c r="GE56" s="296" t="s">
        <v>3498</v>
      </c>
      <c r="GF56" s="296" t="str">
        <f>HYPERLINK("https://www.cnsa.fr/budget-et-financement/financement-des-esms/investissement-immobilier","https://www.cnsa.fr/budget-et-financement/financement-des-esms/investissement-immobilier")&amp;CHAR(10)&amp;HYPERLINK("https://www.cnsa.fr/actualites/instruction-budgetaire-les-priorites-de-financement-des-esms-pour-lexercice-2025","https://www.cnsa.fr/actualites/instruction-budgetaire-les-priorites-de-financement-des-esms-pour-lexercice-2025")&amp;CHAR(10)&amp;HYPERLINK("https://www.cnsa.fr/actualites/le-plan-national-50-000-solutions-des-avancees-tangibles","https://www.cnsa.fr/actualites/le-plan-national-50-000-solutions-des-avancees-tangibles")&amp;CHAR(10)&amp;HYPERLINK("https://sante.gouv.fr/actualites-presse/presse/communiques-de-presse/article/campagne-tarifaire-et-budgetaire-2026-des-etablissements-de-sante-3-6-milliards","https://sante.gouv.fr/actualites-presse/presse/communiques-de-presse/article/campagne-tarifaire-et-budgetaire-2026-des-etablissements-de-sante-3-6-milliards")&amp;CHAR(10)&amp;HYPERLINK("https://sante.gouv.fr/systeme-de-sante/segur-de-la-sante/investissement-en-sante-une-nouvelle-politique-au-service-de-la-qualite-des-11226/csis","https://sante.gouv.fr/systeme-de-sante/segur-de-la-sante/investissement-en-sante-une-nouvelle-politique-au-service-de-la-qualite-des-11226/csis")&amp;CHAR(10)&amp;HYPERLINK("https://sante.gouv.fr/soins-et-maladies/qualite-securite-et-pertinence-des-soins/securite-des-prises-en-charge/securite-des-soins-et-des-patients/article/ameliorer-la-securite-des-patients-et-des-residents-la-1ere-feuille-de-route","https://sante.gouv.fr/soins-et-maladies/qualite-securite-et-pertinence-des-soins/securite-des-prises-en-charge/securite-des-soins-et-des-patients/article/ameliorer-la-securite-des-patients-et-des-residents-la-1ere-feuille-de-route")&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https://www.cnsa.fr/budget-et-financement/financement-des-esms/investissement-immobilier
https://www.cnsa.fr/actualites/instruction-budgetaire-les-priorites-de-financement-des-esms-pour-lexercice-2025
https://www.cnsa.fr/actualites/le-plan-national-50-000-solutions-des-avancees-tangibles
https://sante.gouv.fr/actualites-presse/presse/communiques-de-presse/article/campagne-tarifaire-et-budgetaire-2026-des-etablissements-de-sante-3-6-milliards
https://sante.gouv.fr/systeme-de-sante/segur-de-la-sante/investissement-en-sante-une-nouvelle-politique-au-service-de-la-qualite-des-11226/csis
https://sante.gouv.fr/soins-et-maladies/qualite-securite-et-pertinence-des-soins/securite-des-prises-en-charge/securite-des-soins-et-des-patients/article/ameliorer-la-securite-des-patients-et-des-residents-la-1ere-feuille-de-route
https://www.statistiques.developpement-durable.gouv.fr/construction-de-locaux-resultats-fin-janvier-2026-france-entiere
https://www.insee.fr/fr/statistiques/8671745
https://www.insee.fr/fr/statistiques/8906564</v>
      </c>
      <c r="GG56" s="657"/>
      <c r="GH56" s="311">
        <f t="shared" si="185"/>
        <v>14800.938310714288</v>
      </c>
      <c r="GI56" s="311">
        <f t="shared" si="116"/>
        <v>11082.366310714287</v>
      </c>
      <c r="GJ56" s="311">
        <f t="shared" si="186"/>
        <v>3718.5720000000001</v>
      </c>
      <c r="GK56" s="311">
        <f t="shared" si="187"/>
        <v>5807.958207692308</v>
      </c>
      <c r="GL56" s="311">
        <f t="shared" si="117"/>
        <v>4377.7382076923077</v>
      </c>
      <c r="GM56" s="311">
        <f t="shared" si="188"/>
        <v>1430.2200000000003</v>
      </c>
      <c r="GN56" s="311">
        <f t="shared" si="189"/>
        <v>3844.985925</v>
      </c>
      <c r="GO56" s="311">
        <f t="shared" si="118"/>
        <v>2915.3429249999999</v>
      </c>
      <c r="GP56" s="311">
        <f t="shared" si="190"/>
        <v>929.64300000000003</v>
      </c>
      <c r="GQ56" s="311">
        <f t="shared" si="191"/>
        <v>4663.5142125000002</v>
      </c>
      <c r="GR56" s="311">
        <f t="shared" si="119"/>
        <v>3590.8492125000002</v>
      </c>
      <c r="GS56" s="311">
        <f t="shared" si="192"/>
        <v>1072.665</v>
      </c>
      <c r="GT56" s="311">
        <f t="shared" si="193"/>
        <v>11463.359615384616</v>
      </c>
      <c r="GU56" s="311">
        <f t="shared" si="120"/>
        <v>8755.4764153846154</v>
      </c>
      <c r="GV56" s="311">
        <f t="shared" si="194"/>
        <v>2707.8831999999998</v>
      </c>
      <c r="GW56" s="311">
        <f t="shared" si="195"/>
        <v>3430.6943733333337</v>
      </c>
      <c r="GX56" s="311">
        <f t="shared" si="121"/>
        <v>2553.4927733333334</v>
      </c>
      <c r="GY56" s="311">
        <f t="shared" si="196"/>
        <v>877.2016000000001</v>
      </c>
      <c r="GZ56" s="311">
        <f t="shared" si="197"/>
        <v>1096.0880711111113</v>
      </c>
      <c r="HA56" s="311">
        <f t="shared" si="122"/>
        <v>867.25287111111118</v>
      </c>
      <c r="HB56" s="311">
        <f t="shared" si="198"/>
        <v>228.83519999999999</v>
      </c>
      <c r="HC56" s="311">
        <f t="shared" si="199"/>
        <v>469.69431730769236</v>
      </c>
      <c r="HD56" s="311">
        <f t="shared" si="123"/>
        <v>364.81151730769238</v>
      </c>
      <c r="HE56" s="311">
        <f t="shared" si="200"/>
        <v>104.8828</v>
      </c>
      <c r="HF56" s="311">
        <f t="shared" si="201"/>
        <v>774.39442769230766</v>
      </c>
      <c r="HG56" s="311">
        <f t="shared" si="124"/>
        <v>583.69842769230763</v>
      </c>
      <c r="HH56" s="311">
        <f t="shared" si="202"/>
        <v>190.69600000000003</v>
      </c>
      <c r="HI56" s="311">
        <f t="shared" si="203"/>
        <v>543.27663555555557</v>
      </c>
      <c r="HJ56" s="311">
        <f t="shared" si="125"/>
        <v>433.62643555555559</v>
      </c>
      <c r="HK56" s="311">
        <f t="shared" si="204"/>
        <v>109.65020000000001</v>
      </c>
      <c r="HL56" s="311">
        <f t="shared" si="205"/>
        <v>335.36687045454551</v>
      </c>
      <c r="HM56" s="311">
        <f t="shared" si="126"/>
        <v>263.85587045454548</v>
      </c>
      <c r="HN56" s="311">
        <f t="shared" si="206"/>
        <v>71.510999999999996</v>
      </c>
      <c r="HO56" s="311">
        <f t="shared" si="207"/>
        <v>15472.755956666668</v>
      </c>
      <c r="HP56" s="311">
        <f t="shared" si="127"/>
        <v>11320.350556666666</v>
      </c>
      <c r="HQ56" s="311">
        <f t="shared" si="208"/>
        <v>4152.4054000000006</v>
      </c>
      <c r="HR56" s="311">
        <f t="shared" si="209"/>
        <v>6384.9190250000011</v>
      </c>
      <c r="HS56" s="311">
        <f t="shared" si="128"/>
        <v>4742.5497250000008</v>
      </c>
      <c r="HT56" s="311">
        <f t="shared" si="210"/>
        <v>1642.3693000000001</v>
      </c>
      <c r="HU56" s="311">
        <f t="shared" si="211"/>
        <v>1666.1605674999998</v>
      </c>
      <c r="HV56" s="311">
        <f t="shared" si="129"/>
        <v>1263.3152674999999</v>
      </c>
      <c r="HW56" s="311">
        <f t="shared" si="212"/>
        <v>402.84530000000001</v>
      </c>
      <c r="HY56" s="313">
        <f t="shared" si="213"/>
        <v>170200.00000000003</v>
      </c>
      <c r="HZ56" s="313">
        <f t="shared" si="214"/>
        <v>125.11999999999999</v>
      </c>
      <c r="IA56" s="313">
        <f t="shared" si="215"/>
        <v>51217.320000000007</v>
      </c>
      <c r="IB56" s="313">
        <f t="shared" si="216"/>
        <v>93526.74</v>
      </c>
      <c r="IC56" s="313">
        <f t="shared" si="217"/>
        <v>25330.82</v>
      </c>
      <c r="ID56" s="313">
        <f t="shared" si="218"/>
        <v>0</v>
      </c>
      <c r="IE56" s="313">
        <f t="shared" si="219"/>
        <v>53114.726515912422</v>
      </c>
      <c r="IF56" s="313">
        <f t="shared" si="220"/>
        <v>0</v>
      </c>
      <c r="IG56" s="313">
        <f t="shared" si="221"/>
        <v>7942.2779273881879</v>
      </c>
      <c r="IH56" s="313">
        <f t="shared" si="222"/>
        <v>30138.798048229673</v>
      </c>
      <c r="II56" s="313">
        <f t="shared" si="223"/>
        <v>15033.650540294566</v>
      </c>
      <c r="IJ56" s="313">
        <f t="shared" si="224"/>
        <v>0</v>
      </c>
      <c r="IK56" s="866">
        <v>4.12</v>
      </c>
      <c r="IL56" s="314" t="s">
        <v>2589</v>
      </c>
      <c r="IM56" s="299" t="s">
        <v>3576</v>
      </c>
      <c r="IN56" s="657"/>
      <c r="IO56" s="730">
        <v>0</v>
      </c>
      <c r="IP56" s="730">
        <v>0.30270000000000002</v>
      </c>
      <c r="IQ56" s="730">
        <v>0.55030000000000001</v>
      </c>
      <c r="IR56" s="730">
        <v>0.14699999999999999</v>
      </c>
      <c r="IS56" s="730">
        <v>0</v>
      </c>
      <c r="IT56" s="730">
        <v>0</v>
      </c>
      <c r="IU56" s="730">
        <v>0.14990000000000001</v>
      </c>
      <c r="IV56" s="730">
        <v>0.56930000000000003</v>
      </c>
      <c r="IW56" s="730">
        <v>0.28079999999999999</v>
      </c>
      <c r="IX56" s="730">
        <v>0</v>
      </c>
      <c r="IY56" s="730">
        <v>0</v>
      </c>
      <c r="IZ56" s="730">
        <v>0.27050000000000002</v>
      </c>
      <c r="JA56" s="730">
        <v>0.56130000000000002</v>
      </c>
      <c r="JB56" s="730">
        <v>0.16819999999999999</v>
      </c>
      <c r="JC56" s="730">
        <v>0</v>
      </c>
      <c r="JD56" s="730">
        <v>0</v>
      </c>
      <c r="JE56" s="730">
        <v>0.12659999999999999</v>
      </c>
      <c r="JF56" s="730">
        <v>0.56120000000000003</v>
      </c>
      <c r="JG56" s="730">
        <v>0.31219999999999998</v>
      </c>
      <c r="JH56" s="730">
        <v>0</v>
      </c>
      <c r="JI56" s="730">
        <v>2.7199999999999998E-2</v>
      </c>
      <c r="JJ56" s="730">
        <v>0.43480000000000002</v>
      </c>
      <c r="JK56" s="730">
        <v>0.45650000000000002</v>
      </c>
      <c r="JL56" s="730">
        <v>8.1500000000000003E-2</v>
      </c>
      <c r="JM56" s="730">
        <v>0</v>
      </c>
      <c r="JN56" s="730">
        <v>0</v>
      </c>
      <c r="JO56" s="730">
        <v>0.27350000000000002</v>
      </c>
      <c r="JP56" s="730">
        <v>0.56040000000000001</v>
      </c>
      <c r="JQ56" s="730">
        <v>0.1661</v>
      </c>
      <c r="JR56" s="730">
        <v>0</v>
      </c>
      <c r="JS56" s="730">
        <v>0</v>
      </c>
      <c r="JT56" s="730">
        <v>0.30730000000000002</v>
      </c>
      <c r="JU56" s="730">
        <v>0.54849999999999999</v>
      </c>
      <c r="JV56" s="730">
        <v>0.14419999999999999</v>
      </c>
      <c r="JW56" s="730">
        <v>0</v>
      </c>
      <c r="JX56" s="730">
        <v>0</v>
      </c>
      <c r="JY56" s="730">
        <v>0.15340000000000001</v>
      </c>
      <c r="JZ56" s="730">
        <v>0.57010000000000005</v>
      </c>
      <c r="KA56" s="730">
        <v>0.27650000000000002</v>
      </c>
      <c r="KB56" s="730">
        <v>0</v>
      </c>
      <c r="KC56" s="657"/>
      <c r="KD56" s="314" t="s">
        <v>2590</v>
      </c>
      <c r="KE56" s="314" t="s">
        <v>2591</v>
      </c>
      <c r="KF56" s="866">
        <v>4.1500000000000004</v>
      </c>
      <c r="KG56" s="314" t="s">
        <v>2589</v>
      </c>
      <c r="KH56" s="315" t="s">
        <v>3500</v>
      </c>
      <c r="KI56" s="314" t="s">
        <v>2628</v>
      </c>
      <c r="KJ56" s="315" t="s">
        <v>3577</v>
      </c>
    </row>
    <row r="57" spans="1:296" ht="48" customHeight="1">
      <c r="A57" s="265">
        <f t="shared" si="225"/>
        <v>50</v>
      </c>
      <c r="B57" s="266" t="s">
        <v>2241</v>
      </c>
      <c r="C57" s="266" t="s">
        <v>1032</v>
      </c>
      <c r="D57" s="624" t="s">
        <v>3578</v>
      </c>
      <c r="E57" s="267" t="s">
        <v>2158</v>
      </c>
      <c r="F57" s="267" t="s">
        <v>300</v>
      </c>
      <c r="G57" s="267" t="s">
        <v>300</v>
      </c>
      <c r="H57" s="267" t="s">
        <v>2109</v>
      </c>
      <c r="I57" s="268" t="s">
        <v>3579</v>
      </c>
      <c r="J57" s="268" t="s">
        <v>3580</v>
      </c>
      <c r="K57" s="269"/>
      <c r="L57" s="269"/>
      <c r="M57" s="269"/>
      <c r="N57" s="269"/>
      <c r="O57" s="267"/>
      <c r="P57" s="268"/>
      <c r="Q57" s="270">
        <v>1</v>
      </c>
      <c r="R57" s="271">
        <v>800</v>
      </c>
      <c r="S57" s="272">
        <v>0</v>
      </c>
      <c r="T57" s="272">
        <v>50</v>
      </c>
      <c r="U57" s="272">
        <v>101</v>
      </c>
      <c r="V57" s="272">
        <v>102</v>
      </c>
      <c r="W57" s="272">
        <v>102</v>
      </c>
      <c r="X57" s="272">
        <v>102</v>
      </c>
      <c r="Y57" s="272">
        <v>102</v>
      </c>
      <c r="Z57" s="272">
        <v>102</v>
      </c>
      <c r="AA57" s="272">
        <v>102</v>
      </c>
      <c r="AB57" s="272">
        <v>102</v>
      </c>
      <c r="AC57" s="272">
        <v>103</v>
      </c>
      <c r="AD57" s="272">
        <v>103</v>
      </c>
      <c r="AE57" s="272">
        <v>103</v>
      </c>
      <c r="AF57" s="272">
        <v>103</v>
      </c>
      <c r="AG57" s="272">
        <v>103</v>
      </c>
      <c r="AH57" s="272">
        <v>103</v>
      </c>
      <c r="AI57" s="272">
        <v>103</v>
      </c>
      <c r="AJ57" s="272">
        <v>103</v>
      </c>
      <c r="AK57" s="272">
        <v>103</v>
      </c>
      <c r="AL57" s="268" t="s">
        <v>3581</v>
      </c>
      <c r="AM57" s="268" t="s">
        <v>3582</v>
      </c>
      <c r="AN57" s="268" t="s">
        <v>3583</v>
      </c>
      <c r="AO57" s="657"/>
      <c r="AP57" s="271">
        <v>80</v>
      </c>
      <c r="AQ57" s="280">
        <v>55</v>
      </c>
      <c r="AR57" s="280">
        <v>20</v>
      </c>
      <c r="AS57" s="280">
        <v>5</v>
      </c>
      <c r="AT57" s="657"/>
      <c r="AU57" s="301" t="s">
        <v>3584</v>
      </c>
      <c r="AV57" s="572" t="s">
        <v>3585</v>
      </c>
      <c r="AW57" s="645" t="s">
        <v>3459</v>
      </c>
      <c r="AX57" s="290" t="s">
        <v>2670</v>
      </c>
      <c r="AY57" s="657"/>
      <c r="AZ57" s="948">
        <v>4</v>
      </c>
      <c r="BA57" s="948">
        <v>0</v>
      </c>
      <c r="BB57" s="948">
        <v>0.5</v>
      </c>
      <c r="BC57" s="948">
        <v>4</v>
      </c>
      <c r="BD57" s="825">
        <f t="shared" si="130"/>
        <v>875.5</v>
      </c>
      <c r="BE57" s="304">
        <f t="shared" si="131"/>
        <v>412</v>
      </c>
      <c r="BF57" s="304">
        <f t="shared" si="132"/>
        <v>0</v>
      </c>
      <c r="BG57" s="304">
        <f t="shared" si="133"/>
        <v>51.5</v>
      </c>
      <c r="BH57" s="304">
        <f t="shared" si="134"/>
        <v>412</v>
      </c>
      <c r="BI57" s="825">
        <f t="shared" si="135"/>
        <v>875.5</v>
      </c>
      <c r="BJ57" s="304">
        <f t="shared" si="136"/>
        <v>412</v>
      </c>
      <c r="BK57" s="304">
        <f t="shared" si="137"/>
        <v>0</v>
      </c>
      <c r="BL57" s="304">
        <f t="shared" si="138"/>
        <v>51.5</v>
      </c>
      <c r="BM57" s="304">
        <f t="shared" si="139"/>
        <v>412</v>
      </c>
      <c r="BN57" s="657"/>
      <c r="BO57" s="284">
        <v>0.38</v>
      </c>
      <c r="BP57" s="284">
        <v>0.42</v>
      </c>
      <c r="BQ57" s="284">
        <v>0.12</v>
      </c>
      <c r="BR57" s="710">
        <v>0.08</v>
      </c>
      <c r="BS57" s="707">
        <v>0.34</v>
      </c>
      <c r="BT57" s="284">
        <v>0.43</v>
      </c>
      <c r="BU57" s="284">
        <v>0.16</v>
      </c>
      <c r="BV57" s="710">
        <v>7.0000000000000007E-2</v>
      </c>
      <c r="BW57" s="714"/>
      <c r="BX57" s="285"/>
      <c r="BY57" s="717"/>
      <c r="BZ57" s="714"/>
      <c r="CA57" s="285"/>
      <c r="CB57" s="717"/>
      <c r="CC57" s="284">
        <v>0.12</v>
      </c>
      <c r="CD57" s="284">
        <v>0.52</v>
      </c>
      <c r="CE57" s="284">
        <v>0.12</v>
      </c>
      <c r="CF57" s="710">
        <v>0.24</v>
      </c>
      <c r="CG57" s="707">
        <v>0.1</v>
      </c>
      <c r="CH57" s="284">
        <v>0.52</v>
      </c>
      <c r="CI57" s="284">
        <v>0.15</v>
      </c>
      <c r="CJ57" s="710">
        <v>0.23</v>
      </c>
      <c r="CK57" s="720">
        <v>0.55000000000000004</v>
      </c>
      <c r="CL57" s="286">
        <v>0.35</v>
      </c>
      <c r="CM57" s="718">
        <v>0.1</v>
      </c>
      <c r="CN57" s="720">
        <v>0.45</v>
      </c>
      <c r="CO57" s="286">
        <v>0.4</v>
      </c>
      <c r="CP57" s="718">
        <v>0.15</v>
      </c>
      <c r="CQ57" s="657"/>
      <c r="CR57" s="807">
        <v>12</v>
      </c>
      <c r="CS57" s="808">
        <v>13</v>
      </c>
      <c r="CT57" s="808">
        <v>9</v>
      </c>
      <c r="CU57" s="809">
        <v>11</v>
      </c>
      <c r="CV57" s="807"/>
      <c r="CW57" s="808"/>
      <c r="CX57" s="809"/>
      <c r="CY57" s="807">
        <v>10</v>
      </c>
      <c r="CZ57" s="808">
        <v>12</v>
      </c>
      <c r="DA57" s="808">
        <v>8</v>
      </c>
      <c r="DB57" s="809">
        <v>10</v>
      </c>
      <c r="DC57" s="807">
        <v>13</v>
      </c>
      <c r="DD57" s="808">
        <v>13</v>
      </c>
      <c r="DE57" s="809">
        <v>9</v>
      </c>
      <c r="DF57" s="610" t="s">
        <v>3586</v>
      </c>
      <c r="DG57" s="657"/>
      <c r="DH57" s="288">
        <f t="shared" si="140"/>
        <v>156.56</v>
      </c>
      <c r="DI57" s="288">
        <f t="shared" si="141"/>
        <v>173.04</v>
      </c>
      <c r="DJ57" s="288">
        <f t="shared" si="142"/>
        <v>49.44</v>
      </c>
      <c r="DK57" s="288">
        <f t="shared" si="143"/>
        <v>32.96</v>
      </c>
      <c r="DL57" s="560" t="s">
        <v>3587</v>
      </c>
      <c r="DM57" s="288">
        <f t="shared" si="144"/>
        <v>140.08000000000001</v>
      </c>
      <c r="DN57" s="288">
        <f t="shared" si="145"/>
        <v>177.16</v>
      </c>
      <c r="DO57" s="288">
        <f t="shared" si="146"/>
        <v>65.92</v>
      </c>
      <c r="DP57" s="288">
        <f t="shared" si="147"/>
        <v>28.840000000000003</v>
      </c>
      <c r="DQ57" s="561" t="s">
        <v>3551</v>
      </c>
      <c r="DR57" s="657"/>
      <c r="DS57" s="288">
        <f t="shared" si="148"/>
        <v>0</v>
      </c>
      <c r="DT57" s="288">
        <f t="shared" si="149"/>
        <v>0</v>
      </c>
      <c r="DU57" s="288">
        <f t="shared" si="150"/>
        <v>0</v>
      </c>
      <c r="DV57" s="561" t="s">
        <v>2613</v>
      </c>
      <c r="DW57" s="288">
        <f t="shared" si="151"/>
        <v>0</v>
      </c>
      <c r="DX57" s="288">
        <f t="shared" si="152"/>
        <v>0</v>
      </c>
      <c r="DY57" s="288">
        <f t="shared" si="153"/>
        <v>0</v>
      </c>
      <c r="DZ57" s="561" t="s">
        <v>2613</v>
      </c>
      <c r="EA57" s="657"/>
      <c r="EB57" s="288">
        <f t="shared" si="154"/>
        <v>6.18</v>
      </c>
      <c r="EC57" s="288">
        <f t="shared" si="155"/>
        <v>26.78</v>
      </c>
      <c r="ED57" s="288">
        <f t="shared" si="156"/>
        <v>6.18</v>
      </c>
      <c r="EE57" s="288">
        <f t="shared" si="157"/>
        <v>12.36</v>
      </c>
      <c r="EF57" s="561" t="s">
        <v>3588</v>
      </c>
      <c r="EG57" s="288">
        <f t="shared" si="158"/>
        <v>5.15</v>
      </c>
      <c r="EH57" s="288">
        <f t="shared" si="159"/>
        <v>26.78</v>
      </c>
      <c r="EI57" s="288">
        <f t="shared" si="160"/>
        <v>7.7249999999999996</v>
      </c>
      <c r="EJ57" s="288">
        <f t="shared" si="161"/>
        <v>11.845000000000001</v>
      </c>
      <c r="EK57" s="561" t="s">
        <v>2870</v>
      </c>
      <c r="EL57" s="657"/>
      <c r="EM57" s="288">
        <f t="shared" si="162"/>
        <v>226.60000000000002</v>
      </c>
      <c r="EN57" s="291">
        <f t="shared" si="163"/>
        <v>144.19999999999999</v>
      </c>
      <c r="EO57" s="291">
        <f t="shared" si="164"/>
        <v>41.2</v>
      </c>
      <c r="EP57" s="561" t="s">
        <v>3589</v>
      </c>
      <c r="EQ57" s="288">
        <f t="shared" si="165"/>
        <v>185.4</v>
      </c>
      <c r="ER57" s="291">
        <f t="shared" si="166"/>
        <v>164.8</v>
      </c>
      <c r="ES57" s="291">
        <f t="shared" si="167"/>
        <v>61.8</v>
      </c>
      <c r="ET57" s="561" t="s">
        <v>3555</v>
      </c>
      <c r="EU57" s="657"/>
      <c r="EV57" s="740">
        <f t="shared" si="168"/>
        <v>0.87127577193444516</v>
      </c>
      <c r="EW57" s="740">
        <f t="shared" si="169"/>
        <v>0.12872422806555484</v>
      </c>
      <c r="EX57" s="563">
        <f t="shared" si="170"/>
        <v>333.26671011888112</v>
      </c>
      <c r="EY57" s="563">
        <f t="shared" si="171"/>
        <v>290.36721011888113</v>
      </c>
      <c r="EZ57" s="563">
        <f t="shared" si="172"/>
        <v>42.899500000000003</v>
      </c>
      <c r="FA57" s="563">
        <f t="shared" si="173"/>
        <v>159.22355004195805</v>
      </c>
      <c r="FB57" s="563">
        <f t="shared" si="174"/>
        <v>139.03555004195803</v>
      </c>
      <c r="FC57" s="563">
        <f t="shared" si="175"/>
        <v>20.188000000000002</v>
      </c>
      <c r="FD57" s="563">
        <f t="shared" si="176"/>
        <v>0</v>
      </c>
      <c r="FE57" s="563">
        <f t="shared" si="177"/>
        <v>0</v>
      </c>
      <c r="FF57" s="563">
        <f t="shared" si="178"/>
        <v>0</v>
      </c>
      <c r="FG57" s="563">
        <f t="shared" si="179"/>
        <v>21.938876999999998</v>
      </c>
      <c r="FH57" s="563">
        <f t="shared" si="180"/>
        <v>19.415376999999999</v>
      </c>
      <c r="FI57" s="563">
        <f t="shared" si="181"/>
        <v>2.5235000000000003</v>
      </c>
      <c r="FJ57" s="563">
        <f t="shared" si="182"/>
        <v>152.10428307692308</v>
      </c>
      <c r="FK57" s="563">
        <f t="shared" si="183"/>
        <v>131.91628307692309</v>
      </c>
      <c r="FL57" s="563">
        <f t="shared" si="184"/>
        <v>20.188000000000002</v>
      </c>
      <c r="FM57" s="529"/>
      <c r="FN57" s="564" t="s">
        <v>2649</v>
      </c>
      <c r="FO57" s="740">
        <v>4.9000000000000002E-2</v>
      </c>
      <c r="FP57" s="741">
        <v>0.80759999999999998</v>
      </c>
      <c r="FQ57" s="565" t="s">
        <v>3556</v>
      </c>
      <c r="FR57" s="529"/>
      <c r="FS57" s="867">
        <v>3.3</v>
      </c>
      <c r="FT57" s="566">
        <f>RANK($FS57,$FS$8:$FS$154,0)+COUNTIF($FS$8:$FS57,$FS57)-1</f>
        <v>76</v>
      </c>
      <c r="FU57" s="867">
        <v>4.04</v>
      </c>
      <c r="FV57" s="566">
        <f>RANK($FU57,$FU$8:$FU$154,0)+COUNTIF($FU$8:$FU57,$FU57)-1</f>
        <v>80</v>
      </c>
      <c r="FW57" s="867">
        <v>2</v>
      </c>
      <c r="FX57" s="566">
        <f>RANK($FW57,$FW$8:$FW$154,0)+COUNTIF($FW$8:$FW57,$FW57)-1</f>
        <v>98</v>
      </c>
      <c r="FY57" s="529"/>
      <c r="FZ57" s="567" t="s">
        <v>3557</v>
      </c>
      <c r="GA57" s="567" t="s">
        <v>3590</v>
      </c>
      <c r="GB57" s="567" t="s">
        <v>2653</v>
      </c>
      <c r="GC57" s="567" t="s">
        <v>2654</v>
      </c>
      <c r="GD57" s="567" t="s">
        <v>2655</v>
      </c>
      <c r="GE57" s="567" t="s">
        <v>2656</v>
      </c>
      <c r="GF57" s="567" t="str">
        <f>HYPERLINK("https://anct.gouv.fr/france-services-36","https://anct.gouv.fr/france-services-36")&amp;CHAR(10)&amp;HYPERLINK("https://www.economie.gouv.fr/particuliers/gerer-mon-argent/beneficier-daides-et-de-reductions-dimpots/france-services-les-services-publics-pres-de-chez-vous","https://www.economie.gouv.fr/particuliers/gerer-mon-argent/beneficier-daides-et-de-reductions-dimpots/france-services-les-services-publics-pres-de-chez-vous")&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57" s="529"/>
      <c r="GH57" s="563">
        <f t="shared" si="185"/>
        <v>58.932583999999999</v>
      </c>
      <c r="GI57" s="563">
        <f t="shared" si="116"/>
        <v>52.068663999999998</v>
      </c>
      <c r="GJ57" s="563">
        <f t="shared" si="186"/>
        <v>6.8639200000000011</v>
      </c>
      <c r="GK57" s="563">
        <f t="shared" si="187"/>
        <v>61.699158769230763</v>
      </c>
      <c r="GL57" s="563">
        <f t="shared" si="117"/>
        <v>53.01831876923076</v>
      </c>
      <c r="GM57" s="563">
        <f t="shared" si="188"/>
        <v>8.6808400000000017</v>
      </c>
      <c r="GN57" s="563">
        <f t="shared" si="189"/>
        <v>25.1968</v>
      </c>
      <c r="GO57" s="563">
        <f t="shared" si="118"/>
        <v>21.966719999999999</v>
      </c>
      <c r="GP57" s="563">
        <f t="shared" si="190"/>
        <v>3.2300800000000005</v>
      </c>
      <c r="GQ57" s="563">
        <f t="shared" si="191"/>
        <v>13.395007272727272</v>
      </c>
      <c r="GR57" s="563">
        <f t="shared" si="119"/>
        <v>11.981847272727272</v>
      </c>
      <c r="GS57" s="563">
        <f t="shared" si="192"/>
        <v>1.4131600000000002</v>
      </c>
      <c r="GT57" s="563">
        <f t="shared" si="193"/>
        <v>0</v>
      </c>
      <c r="GU57" s="563">
        <f t="shared" si="120"/>
        <v>0</v>
      </c>
      <c r="GV57" s="563">
        <f t="shared" si="194"/>
        <v>0</v>
      </c>
      <c r="GW57" s="563">
        <f t="shared" si="195"/>
        <v>0</v>
      </c>
      <c r="GX57" s="563">
        <f t="shared" si="121"/>
        <v>0</v>
      </c>
      <c r="GY57" s="563">
        <f t="shared" si="196"/>
        <v>0</v>
      </c>
      <c r="GZ57" s="563">
        <f t="shared" si="197"/>
        <v>0</v>
      </c>
      <c r="HA57" s="563">
        <f t="shared" si="122"/>
        <v>0</v>
      </c>
      <c r="HB57" s="563">
        <f t="shared" si="198"/>
        <v>0</v>
      </c>
      <c r="HC57" s="563">
        <f t="shared" si="199"/>
        <v>2.7236059999999997</v>
      </c>
      <c r="HD57" s="563">
        <f t="shared" si="123"/>
        <v>2.4712559999999999</v>
      </c>
      <c r="HE57" s="563">
        <f t="shared" si="200"/>
        <v>0.25235000000000002</v>
      </c>
      <c r="HF57" s="563">
        <f t="shared" si="201"/>
        <v>10.218702</v>
      </c>
      <c r="HG57" s="563">
        <f t="shared" si="124"/>
        <v>8.9064820000000005</v>
      </c>
      <c r="HH57" s="563">
        <f t="shared" si="202"/>
        <v>1.3122200000000002</v>
      </c>
      <c r="HI57" s="563">
        <f t="shared" si="203"/>
        <v>3.473652</v>
      </c>
      <c r="HJ57" s="563">
        <f t="shared" si="125"/>
        <v>3.0951269999999997</v>
      </c>
      <c r="HK57" s="563">
        <f t="shared" si="204"/>
        <v>0.37852500000000006</v>
      </c>
      <c r="HL57" s="563">
        <f t="shared" si="205"/>
        <v>5.5229169999999996</v>
      </c>
      <c r="HM57" s="563">
        <f t="shared" si="126"/>
        <v>4.9425119999999998</v>
      </c>
      <c r="HN57" s="563">
        <f t="shared" si="206"/>
        <v>0.58040500000000006</v>
      </c>
      <c r="HO57" s="563">
        <f t="shared" si="207"/>
        <v>78.513350769230783</v>
      </c>
      <c r="HP57" s="563">
        <f t="shared" si="127"/>
        <v>69.428750769230774</v>
      </c>
      <c r="HQ57" s="563">
        <f t="shared" si="208"/>
        <v>9.0846000000000018</v>
      </c>
      <c r="HR57" s="563">
        <f t="shared" si="209"/>
        <v>52.257132307692309</v>
      </c>
      <c r="HS57" s="563">
        <f t="shared" si="128"/>
        <v>44.181932307692307</v>
      </c>
      <c r="HT57" s="563">
        <f t="shared" si="210"/>
        <v>8.0752000000000006</v>
      </c>
      <c r="HU57" s="563">
        <f t="shared" si="211"/>
        <v>21.3338</v>
      </c>
      <c r="HV57" s="563">
        <f t="shared" si="129"/>
        <v>18.305599999999998</v>
      </c>
      <c r="HW57" s="563">
        <f t="shared" si="212"/>
        <v>3.0282000000000004</v>
      </c>
      <c r="HX57" s="544"/>
      <c r="HY57" s="568">
        <f t="shared" si="213"/>
        <v>875.5</v>
      </c>
      <c r="HZ57" s="568">
        <f t="shared" si="214"/>
        <v>9.7438000000000002</v>
      </c>
      <c r="IA57" s="568">
        <f t="shared" si="215"/>
        <v>259.42610000000002</v>
      </c>
      <c r="IB57" s="568">
        <f t="shared" si="216"/>
        <v>487.65350000000001</v>
      </c>
      <c r="IC57" s="568">
        <f t="shared" si="217"/>
        <v>118.67660000000001</v>
      </c>
      <c r="ID57" s="568">
        <f t="shared" si="218"/>
        <v>0</v>
      </c>
      <c r="IE57" s="568">
        <f t="shared" si="219"/>
        <v>290.36721011888108</v>
      </c>
      <c r="IF57" s="568">
        <f t="shared" si="220"/>
        <v>0</v>
      </c>
      <c r="IG57" s="568">
        <f t="shared" si="221"/>
        <v>78.24284506491189</v>
      </c>
      <c r="IH57" s="568">
        <f t="shared" si="222"/>
        <v>165.93895683257063</v>
      </c>
      <c r="II57" s="568">
        <f t="shared" si="223"/>
        <v>44.865564147555943</v>
      </c>
      <c r="IJ57" s="568">
        <f t="shared" si="224"/>
        <v>1.3198440738426573</v>
      </c>
      <c r="IK57" s="868">
        <v>4.2300000000000004</v>
      </c>
      <c r="IL57" s="569" t="s">
        <v>2589</v>
      </c>
      <c r="IM57" s="570" t="s">
        <v>3591</v>
      </c>
      <c r="IN57" s="529"/>
      <c r="IO57" s="742">
        <v>0.01</v>
      </c>
      <c r="IP57" s="742">
        <v>0.28000000000000003</v>
      </c>
      <c r="IQ57" s="742">
        <v>0.56000000000000005</v>
      </c>
      <c r="IR57" s="742">
        <v>0.15</v>
      </c>
      <c r="IS57" s="742">
        <v>0</v>
      </c>
      <c r="IT57" s="742">
        <v>0</v>
      </c>
      <c r="IU57" s="742">
        <v>0.252</v>
      </c>
      <c r="IV57" s="742">
        <v>0.5746</v>
      </c>
      <c r="IW57" s="742">
        <v>0.16889999999999999</v>
      </c>
      <c r="IX57" s="742">
        <v>4.4999999999999997E-3</v>
      </c>
      <c r="IY57" s="742">
        <v>0</v>
      </c>
      <c r="IZ57" s="742">
        <v>0</v>
      </c>
      <c r="JA57" s="742">
        <v>0</v>
      </c>
      <c r="JB57" s="742">
        <v>0</v>
      </c>
      <c r="JC57" s="742">
        <v>0</v>
      </c>
      <c r="JD57" s="742">
        <v>0</v>
      </c>
      <c r="JE57" s="742">
        <v>0</v>
      </c>
      <c r="JF57" s="742">
        <v>0</v>
      </c>
      <c r="JG57" s="742">
        <v>0</v>
      </c>
      <c r="JH57" s="742">
        <v>0</v>
      </c>
      <c r="JI57" s="742">
        <v>2.0400000000000001E-2</v>
      </c>
      <c r="JJ57" s="742">
        <v>0.42780000000000001</v>
      </c>
      <c r="JK57" s="742">
        <v>0.47539999999999999</v>
      </c>
      <c r="JL57" s="742">
        <v>7.6399999999999996E-2</v>
      </c>
      <c r="JM57" s="742">
        <v>0</v>
      </c>
      <c r="JN57" s="742">
        <v>0</v>
      </c>
      <c r="JO57" s="742">
        <v>0.40239999999999998</v>
      </c>
      <c r="JP57" s="742">
        <v>0.496</v>
      </c>
      <c r="JQ57" s="742">
        <v>9.7100000000000006E-2</v>
      </c>
      <c r="JR57" s="742">
        <v>4.4999999999999997E-3</v>
      </c>
      <c r="JS57" s="742">
        <v>1.11E-2</v>
      </c>
      <c r="JT57" s="742">
        <v>0.29620000000000002</v>
      </c>
      <c r="JU57" s="742">
        <v>0.56420000000000003</v>
      </c>
      <c r="JV57" s="742">
        <v>0.1285</v>
      </c>
      <c r="JW57" s="742">
        <v>0</v>
      </c>
      <c r="JX57" s="742">
        <v>0</v>
      </c>
      <c r="JY57" s="742">
        <v>0.26829999999999998</v>
      </c>
      <c r="JZ57" s="742">
        <v>0.57930000000000004</v>
      </c>
      <c r="KA57" s="742">
        <v>0.14779999999999999</v>
      </c>
      <c r="KB57" s="742">
        <v>4.5999999999999999E-3</v>
      </c>
      <c r="KC57" s="657"/>
      <c r="KD57" s="832" t="s">
        <v>2590</v>
      </c>
      <c r="KE57" s="832" t="s">
        <v>2590</v>
      </c>
      <c r="KF57" s="869">
        <v>4.26</v>
      </c>
      <c r="KG57" s="832" t="s">
        <v>2701</v>
      </c>
      <c r="KH57" s="833" t="s">
        <v>3560</v>
      </c>
      <c r="KI57" s="832" t="s">
        <v>2659</v>
      </c>
      <c r="KJ57" s="833" t="s">
        <v>3592</v>
      </c>
    </row>
    <row r="58" spans="1:296" ht="48" customHeight="1">
      <c r="A58" s="273">
        <f t="shared" si="225"/>
        <v>51</v>
      </c>
      <c r="B58" s="274" t="s">
        <v>2241</v>
      </c>
      <c r="C58" s="274" t="s">
        <v>1032</v>
      </c>
      <c r="D58" s="274" t="s">
        <v>3593</v>
      </c>
      <c r="E58" s="275" t="s">
        <v>3563</v>
      </c>
      <c r="F58" s="275" t="s">
        <v>300</v>
      </c>
      <c r="G58" s="275" t="s">
        <v>300</v>
      </c>
      <c r="H58" s="275" t="s">
        <v>2109</v>
      </c>
      <c r="I58" s="276" t="s">
        <v>3594</v>
      </c>
      <c r="J58" s="276" t="s">
        <v>3595</v>
      </c>
      <c r="K58" s="277" t="s">
        <v>2109</v>
      </c>
      <c r="L58" s="277" t="s">
        <v>2109</v>
      </c>
      <c r="M58" s="277" t="s">
        <v>2603</v>
      </c>
      <c r="N58" s="277" t="s">
        <v>2099</v>
      </c>
      <c r="O58" s="275" t="s">
        <v>2212</v>
      </c>
      <c r="P58" s="276"/>
      <c r="Q58" s="270">
        <v>1</v>
      </c>
      <c r="R58" s="278">
        <v>6500</v>
      </c>
      <c r="S58" s="279">
        <v>8263</v>
      </c>
      <c r="T58" s="279">
        <v>8058</v>
      </c>
      <c r="U58" s="279">
        <v>7859</v>
      </c>
      <c r="V58" s="279">
        <v>7664</v>
      </c>
      <c r="W58" s="279">
        <v>7626</v>
      </c>
      <c r="X58" s="279">
        <v>7588</v>
      </c>
      <c r="Y58" s="279">
        <v>7550</v>
      </c>
      <c r="Z58" s="279">
        <v>7512</v>
      </c>
      <c r="AA58" s="279">
        <v>7489</v>
      </c>
      <c r="AB58" s="279">
        <v>7467</v>
      </c>
      <c r="AC58" s="279">
        <v>7445</v>
      </c>
      <c r="AD58" s="279">
        <v>7420</v>
      </c>
      <c r="AE58" s="279">
        <v>7400</v>
      </c>
      <c r="AF58" s="279">
        <v>7385</v>
      </c>
      <c r="AG58" s="279">
        <v>7370</v>
      </c>
      <c r="AH58" s="279">
        <v>7355</v>
      </c>
      <c r="AI58" s="279">
        <v>7340</v>
      </c>
      <c r="AJ58" s="279">
        <v>7325</v>
      </c>
      <c r="AK58" s="279">
        <v>7310</v>
      </c>
      <c r="AL58" s="276" t="s">
        <v>3340</v>
      </c>
      <c r="AM58" s="276" t="s">
        <v>3596</v>
      </c>
      <c r="AN58" s="276" t="s">
        <v>2134</v>
      </c>
      <c r="AO58" s="657"/>
      <c r="AP58" s="278">
        <v>85</v>
      </c>
      <c r="AQ58" s="278">
        <v>69</v>
      </c>
      <c r="AR58" s="278">
        <v>13</v>
      </c>
      <c r="AS58" s="278">
        <v>3</v>
      </c>
      <c r="AT58" s="657"/>
      <c r="AU58" s="281" t="s">
        <v>3597</v>
      </c>
      <c r="AV58" s="296" t="s">
        <v>3598</v>
      </c>
      <c r="AW58" s="296" t="s">
        <v>3599</v>
      </c>
      <c r="AX58" s="276" t="s">
        <v>3600</v>
      </c>
      <c r="AY58" s="657"/>
      <c r="AZ58" s="947">
        <v>69</v>
      </c>
      <c r="BA58" s="947">
        <v>26</v>
      </c>
      <c r="BB58" s="947">
        <v>1</v>
      </c>
      <c r="BC58" s="947">
        <v>68</v>
      </c>
      <c r="BD58" s="826">
        <f t="shared" si="130"/>
        <v>1211140</v>
      </c>
      <c r="BE58" s="283">
        <f t="shared" si="131"/>
        <v>509565</v>
      </c>
      <c r="BF58" s="283">
        <f t="shared" si="132"/>
        <v>192010</v>
      </c>
      <c r="BG58" s="283">
        <f t="shared" si="133"/>
        <v>7385</v>
      </c>
      <c r="BH58" s="283">
        <f t="shared" si="134"/>
        <v>502180</v>
      </c>
      <c r="BI58" s="826">
        <f t="shared" si="135"/>
        <v>1198840</v>
      </c>
      <c r="BJ58" s="283">
        <f t="shared" si="136"/>
        <v>504390</v>
      </c>
      <c r="BK58" s="283">
        <f t="shared" si="137"/>
        <v>190060</v>
      </c>
      <c r="BL58" s="283">
        <f t="shared" si="138"/>
        <v>7310</v>
      </c>
      <c r="BM58" s="283">
        <f t="shared" si="139"/>
        <v>497080</v>
      </c>
      <c r="BN58" s="657"/>
      <c r="BO58" s="305">
        <v>0.6</v>
      </c>
      <c r="BP58" s="305">
        <v>0.15</v>
      </c>
      <c r="BQ58" s="305">
        <v>0.1</v>
      </c>
      <c r="BR58" s="581">
        <v>0.15</v>
      </c>
      <c r="BS58" s="706">
        <v>0.57999999999999996</v>
      </c>
      <c r="BT58" s="305">
        <v>0.15</v>
      </c>
      <c r="BU58" s="305">
        <v>0.12</v>
      </c>
      <c r="BV58" s="581">
        <v>0.15</v>
      </c>
      <c r="BW58" s="713">
        <v>0.85</v>
      </c>
      <c r="BX58" s="306">
        <v>0.12</v>
      </c>
      <c r="BY58" s="590">
        <v>0.03</v>
      </c>
      <c r="BZ58" s="713">
        <v>0.82</v>
      </c>
      <c r="CA58" s="306">
        <v>0.14000000000000001</v>
      </c>
      <c r="CB58" s="590">
        <v>0.04</v>
      </c>
      <c r="CC58" s="706">
        <v>0.25</v>
      </c>
      <c r="CD58" s="305">
        <v>0.4</v>
      </c>
      <c r="CE58" s="305">
        <v>0.2</v>
      </c>
      <c r="CF58" s="581">
        <v>0.15</v>
      </c>
      <c r="CG58" s="706">
        <v>0.22</v>
      </c>
      <c r="CH58" s="305">
        <v>0.4</v>
      </c>
      <c r="CI58" s="305">
        <v>0.23</v>
      </c>
      <c r="CJ58" s="581">
        <v>0.15</v>
      </c>
      <c r="CK58" s="719">
        <v>0.85</v>
      </c>
      <c r="CL58" s="307">
        <v>0.1</v>
      </c>
      <c r="CM58" s="723">
        <v>0.05</v>
      </c>
      <c r="CN58" s="719">
        <v>0.82</v>
      </c>
      <c r="CO58" s="307">
        <v>0.115</v>
      </c>
      <c r="CP58" s="723">
        <v>6.5000000000000002E-2</v>
      </c>
      <c r="CQ58" s="657"/>
      <c r="CR58" s="804">
        <v>14</v>
      </c>
      <c r="CS58" s="805">
        <v>13</v>
      </c>
      <c r="CT58" s="805">
        <v>10</v>
      </c>
      <c r="CU58" s="806">
        <v>12</v>
      </c>
      <c r="CV58" s="804">
        <v>13</v>
      </c>
      <c r="CW58" s="805">
        <v>12</v>
      </c>
      <c r="CX58" s="806">
        <v>9</v>
      </c>
      <c r="CY58" s="804">
        <v>13</v>
      </c>
      <c r="CZ58" s="805">
        <v>13</v>
      </c>
      <c r="DA58" s="805">
        <v>9</v>
      </c>
      <c r="DB58" s="806">
        <v>11</v>
      </c>
      <c r="DC58" s="804">
        <v>15</v>
      </c>
      <c r="DD58" s="805">
        <v>13</v>
      </c>
      <c r="DE58" s="806">
        <v>10</v>
      </c>
      <c r="DF58" s="609" t="s">
        <v>3570</v>
      </c>
      <c r="DG58" s="657"/>
      <c r="DH58" s="308">
        <f t="shared" si="140"/>
        <v>305739</v>
      </c>
      <c r="DI58" s="308">
        <f t="shared" si="141"/>
        <v>76434.75</v>
      </c>
      <c r="DJ58" s="308">
        <f t="shared" si="142"/>
        <v>50956.5</v>
      </c>
      <c r="DK58" s="308">
        <f t="shared" si="143"/>
        <v>76434.75</v>
      </c>
      <c r="DL58" s="287" t="s">
        <v>3601</v>
      </c>
      <c r="DM58" s="308">
        <f t="shared" si="144"/>
        <v>292546.19999999995</v>
      </c>
      <c r="DN58" s="308">
        <f t="shared" si="145"/>
        <v>75658.5</v>
      </c>
      <c r="DO58" s="308">
        <f t="shared" si="146"/>
        <v>60526.799999999996</v>
      </c>
      <c r="DP58" s="308">
        <f t="shared" si="147"/>
        <v>75658.5</v>
      </c>
      <c r="DQ58" s="289" t="s">
        <v>3485</v>
      </c>
      <c r="DR58" s="657"/>
      <c r="DS58" s="308">
        <f t="shared" si="148"/>
        <v>163208.5</v>
      </c>
      <c r="DT58" s="308">
        <f t="shared" si="149"/>
        <v>23041.200000000001</v>
      </c>
      <c r="DU58" s="308">
        <f t="shared" si="150"/>
        <v>5760.3</v>
      </c>
      <c r="DV58" s="289" t="s">
        <v>3602</v>
      </c>
      <c r="DW58" s="308">
        <f t="shared" si="151"/>
        <v>155849.19999999998</v>
      </c>
      <c r="DX58" s="308">
        <f t="shared" si="152"/>
        <v>26608.400000000001</v>
      </c>
      <c r="DY58" s="308">
        <f t="shared" si="153"/>
        <v>7602.4000000000005</v>
      </c>
      <c r="DZ58" s="289" t="s">
        <v>3487</v>
      </c>
      <c r="EA58" s="657"/>
      <c r="EB58" s="308">
        <f t="shared" si="154"/>
        <v>1846.25</v>
      </c>
      <c r="EC58" s="308">
        <f t="shared" si="155"/>
        <v>2954</v>
      </c>
      <c r="ED58" s="308">
        <f t="shared" si="156"/>
        <v>1477</v>
      </c>
      <c r="EE58" s="308">
        <f t="shared" si="157"/>
        <v>1107.75</v>
      </c>
      <c r="EF58" s="289" t="s">
        <v>3603</v>
      </c>
      <c r="EG58" s="308">
        <f t="shared" si="158"/>
        <v>1608.2</v>
      </c>
      <c r="EH58" s="308">
        <f t="shared" si="159"/>
        <v>2924</v>
      </c>
      <c r="EI58" s="308">
        <f t="shared" si="160"/>
        <v>1681.3000000000002</v>
      </c>
      <c r="EJ58" s="308">
        <f t="shared" si="161"/>
        <v>1096.5</v>
      </c>
      <c r="EK58" s="309" t="s">
        <v>3489</v>
      </c>
      <c r="EL58" s="657"/>
      <c r="EM58" s="308">
        <f t="shared" si="162"/>
        <v>426853</v>
      </c>
      <c r="EN58" s="310">
        <f t="shared" si="163"/>
        <v>50218</v>
      </c>
      <c r="EO58" s="310">
        <f t="shared" si="164"/>
        <v>25109</v>
      </c>
      <c r="EP58" s="289" t="s">
        <v>3604</v>
      </c>
      <c r="EQ58" s="308">
        <f t="shared" si="165"/>
        <v>407605.6</v>
      </c>
      <c r="ER58" s="310">
        <f t="shared" si="166"/>
        <v>57164.200000000004</v>
      </c>
      <c r="ES58" s="310">
        <f t="shared" si="167"/>
        <v>32310.2</v>
      </c>
      <c r="ET58" s="289" t="s">
        <v>3491</v>
      </c>
      <c r="EU58" s="657"/>
      <c r="EV58" s="728">
        <f t="shared" si="168"/>
        <v>0.83095246350627427</v>
      </c>
      <c r="EW58" s="728">
        <f t="shared" si="169"/>
        <v>0.1690475364937257</v>
      </c>
      <c r="EX58" s="311">
        <f t="shared" si="170"/>
        <v>506601.34525638924</v>
      </c>
      <c r="EY58" s="311">
        <f t="shared" si="171"/>
        <v>420961.63585638924</v>
      </c>
      <c r="EZ58" s="311">
        <f t="shared" si="172"/>
        <v>85639.709399999992</v>
      </c>
      <c r="FA58" s="311">
        <f t="shared" si="173"/>
        <v>219199.42985852476</v>
      </c>
      <c r="FB58" s="311">
        <f t="shared" si="174"/>
        <v>183168.08870852477</v>
      </c>
      <c r="FC58" s="311">
        <f t="shared" si="175"/>
        <v>36031.34115</v>
      </c>
      <c r="FD58" s="311">
        <f t="shared" si="176"/>
        <v>84097.243804133352</v>
      </c>
      <c r="FE58" s="311">
        <f t="shared" si="177"/>
        <v>70520.216704133345</v>
      </c>
      <c r="FF58" s="311">
        <f t="shared" si="178"/>
        <v>13577.027099999999</v>
      </c>
      <c r="FG58" s="311">
        <f t="shared" si="179"/>
        <v>3459.0988761414142</v>
      </c>
      <c r="FH58" s="311">
        <f t="shared" si="180"/>
        <v>2936.9055261414142</v>
      </c>
      <c r="FI58" s="311">
        <f t="shared" si="181"/>
        <v>522.19335000000001</v>
      </c>
      <c r="FJ58" s="311">
        <f t="shared" si="182"/>
        <v>199845.57271758973</v>
      </c>
      <c r="FK58" s="311">
        <f t="shared" si="183"/>
        <v>164336.42491758973</v>
      </c>
      <c r="FL58" s="311">
        <f t="shared" si="184"/>
        <v>35509.147799999999</v>
      </c>
      <c r="FM58" s="657"/>
      <c r="FN58" s="293" t="s">
        <v>2649</v>
      </c>
      <c r="FO58" s="728">
        <v>7.0709999999999995E-2</v>
      </c>
      <c r="FP58" s="729">
        <v>0.89461999999999997</v>
      </c>
      <c r="FQ58" s="294" t="s">
        <v>3605</v>
      </c>
      <c r="FR58" s="657"/>
      <c r="FS58" s="865">
        <v>3.56</v>
      </c>
      <c r="FT58" s="312">
        <f>RANK($FS58,$FS$8:$FS$154,0)+COUNTIF($FS$8:$FS58,$FS58)-1</f>
        <v>39</v>
      </c>
      <c r="FU58" s="865">
        <v>4.28</v>
      </c>
      <c r="FV58" s="312">
        <f>RANK($FU58,$FU$8:$FU$154,0)+COUNTIF($FU$8:$FU58,$FU58)-1</f>
        <v>32</v>
      </c>
      <c r="FW58" s="865">
        <v>2.67</v>
      </c>
      <c r="FX58" s="312">
        <f>RANK($FW58,$FW$8:$FW$154,0)+COUNTIF($FW$8:$FW58,$FW58)-1</f>
        <v>22</v>
      </c>
      <c r="FY58" s="657"/>
      <c r="FZ58" s="296" t="s">
        <v>3606</v>
      </c>
      <c r="GA58" s="296" t="s">
        <v>3607</v>
      </c>
      <c r="GB58" s="296" t="s">
        <v>3608</v>
      </c>
      <c r="GC58" s="296" t="s">
        <v>3609</v>
      </c>
      <c r="GD58" s="296" t="s">
        <v>3610</v>
      </c>
      <c r="GE58" s="296" t="s">
        <v>3611</v>
      </c>
      <c r="GF58" s="296" t="str">
        <f>HYPERLINK("https://www.cnsa.fr/budget-et-financement/financement-des-esms/investissement-immobilier","https://www.cnsa.fr/budget-et-financement/financement-des-esms/investissement-immobilier")&amp;CHAR(10)&amp;HYPERLINK("https://www.cnsa.fr/actualites/instruction-budgetaire-les-priorites-de-financement-des-esms-pour-lexercice-2025","https://www.cnsa.fr/actualites/instruction-budgetaire-les-priorites-de-financement-des-esms-pour-lexercice-2025")&amp;CHAR(10)&amp;HYPERLINK("https://www.cnsa.fr/actualites/le-plan-national-50-000-solutions-des-avancees-tangibles","https://www.cnsa.fr/actualites/le-plan-national-50-000-solutions-des-avancees-tangibles")&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https://www.cnsa.fr/budget-et-financement/financement-des-esms/investissement-immobilier
https://www.cnsa.fr/actualites/instruction-budgetaire-les-priorites-de-financement-des-esms-pour-lexercice-2025
https://www.cnsa.fr/actualites/le-plan-national-50-000-solutions-des-avancees-tangibles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58" s="657"/>
      <c r="GH58" s="311">
        <f t="shared" si="185"/>
        <v>123721.57039242858</v>
      </c>
      <c r="GI58" s="311">
        <f t="shared" si="116"/>
        <v>102823.39252542859</v>
      </c>
      <c r="GJ58" s="311">
        <f t="shared" si="186"/>
        <v>20898.177866999999</v>
      </c>
      <c r="GK58" s="311">
        <f t="shared" si="187"/>
        <v>32894.901090346153</v>
      </c>
      <c r="GL58" s="311">
        <f t="shared" si="117"/>
        <v>27490.199917846156</v>
      </c>
      <c r="GM58" s="311">
        <f t="shared" si="188"/>
        <v>5404.7011725000002</v>
      </c>
      <c r="GN58" s="311">
        <f t="shared" si="189"/>
        <v>27635.634705</v>
      </c>
      <c r="GO58" s="311">
        <f t="shared" si="118"/>
        <v>23311.873767000001</v>
      </c>
      <c r="GP58" s="311">
        <f t="shared" si="190"/>
        <v>4323.7609379999994</v>
      </c>
      <c r="GQ58" s="311">
        <f t="shared" si="191"/>
        <v>34947.323670749996</v>
      </c>
      <c r="GR58" s="311">
        <f t="shared" si="119"/>
        <v>29542.622498249999</v>
      </c>
      <c r="GS58" s="311">
        <f t="shared" si="192"/>
        <v>5404.7011725000002</v>
      </c>
      <c r="GT58" s="311">
        <f t="shared" si="193"/>
        <v>69832.043206000002</v>
      </c>
      <c r="GU58" s="311">
        <f t="shared" si="120"/>
        <v>58698.88098400001</v>
      </c>
      <c r="GV58" s="311">
        <f t="shared" si="194"/>
        <v>11133.162221999999</v>
      </c>
      <c r="GW58" s="311">
        <f t="shared" si="195"/>
        <v>10806.385938400001</v>
      </c>
      <c r="GX58" s="311">
        <f t="shared" si="121"/>
        <v>8905.6021443999998</v>
      </c>
      <c r="GY58" s="311">
        <f t="shared" si="196"/>
        <v>1900.7837940000002</v>
      </c>
      <c r="GZ58" s="311">
        <f t="shared" si="197"/>
        <v>3458.814659733333</v>
      </c>
      <c r="HA58" s="311">
        <f t="shared" si="122"/>
        <v>2915.7335757333331</v>
      </c>
      <c r="HB58" s="311">
        <f t="shared" si="198"/>
        <v>543.08108400000003</v>
      </c>
      <c r="HC58" s="311">
        <f t="shared" si="199"/>
        <v>778.8970277692307</v>
      </c>
      <c r="HD58" s="311">
        <f t="shared" si="123"/>
        <v>664.01449076923075</v>
      </c>
      <c r="HE58" s="311">
        <f t="shared" si="200"/>
        <v>114.882537</v>
      </c>
      <c r="HF58" s="311">
        <f t="shared" si="201"/>
        <v>1271.3005252307692</v>
      </c>
      <c r="HG58" s="311">
        <f t="shared" si="124"/>
        <v>1062.4231852307691</v>
      </c>
      <c r="HH58" s="311">
        <f t="shared" si="202"/>
        <v>208.87734</v>
      </c>
      <c r="HI58" s="311">
        <f t="shared" si="203"/>
        <v>867.72846427777768</v>
      </c>
      <c r="HJ58" s="311">
        <f t="shared" si="125"/>
        <v>747.62399377777763</v>
      </c>
      <c r="HK58" s="311">
        <f t="shared" si="204"/>
        <v>120.10447050000001</v>
      </c>
      <c r="HL58" s="311">
        <f t="shared" si="205"/>
        <v>541.17285886363629</v>
      </c>
      <c r="HM58" s="311">
        <f t="shared" si="126"/>
        <v>462.84385636363635</v>
      </c>
      <c r="HN58" s="311">
        <f t="shared" si="206"/>
        <v>78.329002500000001</v>
      </c>
      <c r="HO58" s="311">
        <f t="shared" si="207"/>
        <v>163905.72170266666</v>
      </c>
      <c r="HP58" s="311">
        <f t="shared" si="127"/>
        <v>134788.22050666666</v>
      </c>
      <c r="HQ58" s="311">
        <f t="shared" si="208"/>
        <v>29117.501195999997</v>
      </c>
      <c r="HR58" s="311">
        <f t="shared" si="209"/>
        <v>22144.746145923073</v>
      </c>
      <c r="HS58" s="311">
        <f t="shared" si="128"/>
        <v>18061.194148923074</v>
      </c>
      <c r="HT58" s="311">
        <f t="shared" si="210"/>
        <v>4083.551997</v>
      </c>
      <c r="HU58" s="311">
        <f t="shared" si="211"/>
        <v>13795.104868999999</v>
      </c>
      <c r="HV58" s="311">
        <f t="shared" si="129"/>
        <v>11487.010261999998</v>
      </c>
      <c r="HW58" s="311">
        <f t="shared" si="212"/>
        <v>2308.094607</v>
      </c>
      <c r="HY58" s="313">
        <f t="shared" si="213"/>
        <v>1211140.0000000002</v>
      </c>
      <c r="HZ58" s="313">
        <f t="shared" si="214"/>
        <v>0</v>
      </c>
      <c r="IA58" s="313">
        <f t="shared" si="215"/>
        <v>123894.4525</v>
      </c>
      <c r="IB58" s="313">
        <f t="shared" si="216"/>
        <v>656550.13199999998</v>
      </c>
      <c r="IC58" s="313">
        <f t="shared" si="217"/>
        <v>426998.48450000002</v>
      </c>
      <c r="ID58" s="313">
        <f t="shared" si="218"/>
        <v>3696.9309999999996</v>
      </c>
      <c r="IE58" s="313">
        <f t="shared" si="219"/>
        <v>420961.63585638924</v>
      </c>
      <c r="IF58" s="313">
        <f t="shared" si="220"/>
        <v>0</v>
      </c>
      <c r="IG58" s="313">
        <f t="shared" si="221"/>
        <v>21479.574506923193</v>
      </c>
      <c r="IH58" s="313">
        <f t="shared" si="222"/>
        <v>198840.47050559882</v>
      </c>
      <c r="II58" s="313">
        <f t="shared" si="223"/>
        <v>188786.07872263697</v>
      </c>
      <c r="IJ58" s="313">
        <f t="shared" si="224"/>
        <v>11855.512121230262</v>
      </c>
      <c r="IK58" s="866">
        <v>4.32</v>
      </c>
      <c r="IL58" s="314" t="s">
        <v>2701</v>
      </c>
      <c r="IM58" s="299" t="s">
        <v>3612</v>
      </c>
      <c r="IN58" s="657"/>
      <c r="IO58" s="730">
        <v>0</v>
      </c>
      <c r="IP58" s="730">
        <v>0.1215</v>
      </c>
      <c r="IQ58" s="730">
        <v>0.55869999999999997</v>
      </c>
      <c r="IR58" s="730">
        <v>0.31979999999999997</v>
      </c>
      <c r="IS58" s="730">
        <v>0</v>
      </c>
      <c r="IT58" s="730">
        <v>0</v>
      </c>
      <c r="IU58" s="730">
        <v>6.4500000000000002E-2</v>
      </c>
      <c r="IV58" s="730">
        <v>0.50129999999999997</v>
      </c>
      <c r="IW58" s="730">
        <v>0.41839999999999999</v>
      </c>
      <c r="IX58" s="730">
        <v>1.5800000000000002E-2</v>
      </c>
      <c r="IY58" s="730">
        <v>0</v>
      </c>
      <c r="IZ58" s="730">
        <v>6.2700000000000006E-2</v>
      </c>
      <c r="JA58" s="730">
        <v>0.4985</v>
      </c>
      <c r="JB58" s="730">
        <v>0.4219</v>
      </c>
      <c r="JC58" s="730">
        <v>1.6899999999999998E-2</v>
      </c>
      <c r="JD58" s="730">
        <v>0</v>
      </c>
      <c r="JE58" s="730">
        <v>2.4299999999999999E-2</v>
      </c>
      <c r="JF58" s="730">
        <v>0.40860000000000002</v>
      </c>
      <c r="JG58" s="730">
        <v>0.51039999999999996</v>
      </c>
      <c r="JH58" s="730">
        <v>5.67E-2</v>
      </c>
      <c r="JI58" s="730">
        <v>0</v>
      </c>
      <c r="JJ58" s="730">
        <v>0.23480000000000001</v>
      </c>
      <c r="JK58" s="730">
        <v>0.56989999999999996</v>
      </c>
      <c r="JL58" s="730">
        <v>0.1953</v>
      </c>
      <c r="JM58" s="730">
        <v>0</v>
      </c>
      <c r="JN58" s="730">
        <v>0</v>
      </c>
      <c r="JO58" s="730">
        <v>0.15029999999999999</v>
      </c>
      <c r="JP58" s="730">
        <v>0.56940000000000002</v>
      </c>
      <c r="JQ58" s="730">
        <v>0.28029999999999999</v>
      </c>
      <c r="JR58" s="730">
        <v>0</v>
      </c>
      <c r="JS58" s="730">
        <v>0</v>
      </c>
      <c r="JT58" s="730">
        <v>9.6000000000000002E-2</v>
      </c>
      <c r="JU58" s="730">
        <v>0.54149999999999998</v>
      </c>
      <c r="JV58" s="730">
        <v>0.36159999999999998</v>
      </c>
      <c r="JW58" s="730">
        <v>8.9999999999999998E-4</v>
      </c>
      <c r="JX58" s="730">
        <v>0</v>
      </c>
      <c r="JY58" s="730">
        <v>4.5699999999999998E-2</v>
      </c>
      <c r="JZ58" s="730">
        <v>0.4657</v>
      </c>
      <c r="KA58" s="730">
        <v>0.45839999999999997</v>
      </c>
      <c r="KB58" s="730">
        <v>3.0200000000000001E-2</v>
      </c>
      <c r="KC58" s="657"/>
      <c r="KD58" s="314" t="s">
        <v>2718</v>
      </c>
      <c r="KE58" s="314" t="s">
        <v>2718</v>
      </c>
      <c r="KF58" s="866">
        <v>4.5999999999999996</v>
      </c>
      <c r="KG58" s="314" t="s">
        <v>2719</v>
      </c>
      <c r="KH58" s="315" t="s">
        <v>3613</v>
      </c>
      <c r="KI58" s="314" t="s">
        <v>3317</v>
      </c>
      <c r="KJ58" s="315" t="s">
        <v>3614</v>
      </c>
    </row>
    <row r="59" spans="1:296" ht="48" customHeight="1">
      <c r="A59" s="265">
        <f t="shared" si="225"/>
        <v>52</v>
      </c>
      <c r="B59" s="266" t="s">
        <v>2241</v>
      </c>
      <c r="C59" s="266" t="s">
        <v>1032</v>
      </c>
      <c r="D59" s="624" t="s">
        <v>3615</v>
      </c>
      <c r="E59" s="267" t="s">
        <v>2256</v>
      </c>
      <c r="F59" s="267" t="s">
        <v>300</v>
      </c>
      <c r="G59" s="267" t="s">
        <v>300</v>
      </c>
      <c r="H59" s="267" t="s">
        <v>2109</v>
      </c>
      <c r="I59" s="268" t="s">
        <v>3616</v>
      </c>
      <c r="J59" s="268" t="s">
        <v>3617</v>
      </c>
      <c r="K59" s="269" t="s">
        <v>2109</v>
      </c>
      <c r="L59" s="269" t="s">
        <v>2109</v>
      </c>
      <c r="M59" s="269" t="s">
        <v>2603</v>
      </c>
      <c r="N59" s="269" t="s">
        <v>2099</v>
      </c>
      <c r="O59" s="267" t="s">
        <v>2212</v>
      </c>
      <c r="P59" s="268"/>
      <c r="Q59" s="270">
        <v>1</v>
      </c>
      <c r="R59" s="271">
        <v>5000</v>
      </c>
      <c r="S59" s="272">
        <v>670</v>
      </c>
      <c r="T59" s="272">
        <v>653</v>
      </c>
      <c r="U59" s="272">
        <v>637</v>
      </c>
      <c r="V59" s="272">
        <v>621</v>
      </c>
      <c r="W59" s="272">
        <v>618</v>
      </c>
      <c r="X59" s="272">
        <v>615</v>
      </c>
      <c r="Y59" s="272">
        <v>612</v>
      </c>
      <c r="Z59" s="272">
        <v>609</v>
      </c>
      <c r="AA59" s="272">
        <v>607</v>
      </c>
      <c r="AB59" s="272">
        <v>605</v>
      </c>
      <c r="AC59" s="272">
        <v>604</v>
      </c>
      <c r="AD59" s="272">
        <v>602</v>
      </c>
      <c r="AE59" s="272">
        <v>600</v>
      </c>
      <c r="AF59" s="272">
        <v>598</v>
      </c>
      <c r="AG59" s="272">
        <v>596</v>
      </c>
      <c r="AH59" s="272">
        <v>594</v>
      </c>
      <c r="AI59" s="272">
        <v>592</v>
      </c>
      <c r="AJ59" s="272">
        <v>590</v>
      </c>
      <c r="AK59" s="272">
        <v>588</v>
      </c>
      <c r="AL59" s="268" t="s">
        <v>2124</v>
      </c>
      <c r="AM59" s="268" t="s">
        <v>3618</v>
      </c>
      <c r="AN59" s="268" t="s">
        <v>2126</v>
      </c>
      <c r="AO59" s="657"/>
      <c r="AP59" s="271">
        <v>60</v>
      </c>
      <c r="AQ59" s="280">
        <v>48</v>
      </c>
      <c r="AR59" s="280">
        <v>10</v>
      </c>
      <c r="AS59" s="280">
        <v>2</v>
      </c>
      <c r="AT59" s="657"/>
      <c r="AU59" s="301" t="s">
        <v>3619</v>
      </c>
      <c r="AV59" s="572" t="s">
        <v>3620</v>
      </c>
      <c r="AW59" s="645" t="s">
        <v>3569</v>
      </c>
      <c r="AX59" s="290" t="s">
        <v>3600</v>
      </c>
      <c r="AY59" s="657"/>
      <c r="AZ59" s="948">
        <v>50</v>
      </c>
      <c r="BA59" s="948">
        <v>29</v>
      </c>
      <c r="BB59" s="948">
        <v>1</v>
      </c>
      <c r="BC59" s="948">
        <v>50</v>
      </c>
      <c r="BD59" s="825">
        <f t="shared" si="130"/>
        <v>77740</v>
      </c>
      <c r="BE59" s="304">
        <f t="shared" si="131"/>
        <v>29900</v>
      </c>
      <c r="BF59" s="304">
        <f t="shared" si="132"/>
        <v>17342</v>
      </c>
      <c r="BG59" s="304">
        <f t="shared" si="133"/>
        <v>598</v>
      </c>
      <c r="BH59" s="304">
        <f t="shared" si="134"/>
        <v>29900</v>
      </c>
      <c r="BI59" s="825">
        <f t="shared" si="135"/>
        <v>76440</v>
      </c>
      <c r="BJ59" s="304">
        <f t="shared" si="136"/>
        <v>29400</v>
      </c>
      <c r="BK59" s="304">
        <f t="shared" si="137"/>
        <v>17052</v>
      </c>
      <c r="BL59" s="304">
        <f t="shared" si="138"/>
        <v>588</v>
      </c>
      <c r="BM59" s="304">
        <f t="shared" si="139"/>
        <v>29400</v>
      </c>
      <c r="BN59" s="657"/>
      <c r="BO59" s="284">
        <v>0.62</v>
      </c>
      <c r="BP59" s="284">
        <v>0.13</v>
      </c>
      <c r="BQ59" s="284">
        <v>0.1</v>
      </c>
      <c r="BR59" s="710">
        <v>0.15</v>
      </c>
      <c r="BS59" s="707">
        <v>0.6</v>
      </c>
      <c r="BT59" s="284">
        <v>0.13</v>
      </c>
      <c r="BU59" s="284">
        <v>0.12</v>
      </c>
      <c r="BV59" s="710">
        <v>0.15</v>
      </c>
      <c r="BW59" s="714">
        <v>0.85</v>
      </c>
      <c r="BX59" s="285">
        <v>0.12</v>
      </c>
      <c r="BY59" s="717">
        <v>0.03</v>
      </c>
      <c r="BZ59" s="714">
        <v>0.82</v>
      </c>
      <c r="CA59" s="285">
        <v>0.14000000000000001</v>
      </c>
      <c r="CB59" s="717">
        <v>0.04</v>
      </c>
      <c r="CC59" s="284">
        <v>0.25</v>
      </c>
      <c r="CD59" s="284">
        <v>0.4</v>
      </c>
      <c r="CE59" s="284">
        <v>0.2</v>
      </c>
      <c r="CF59" s="710">
        <v>0.15</v>
      </c>
      <c r="CG59" s="707">
        <v>0.22</v>
      </c>
      <c r="CH59" s="284">
        <v>0.4</v>
      </c>
      <c r="CI59" s="284">
        <v>0.23</v>
      </c>
      <c r="CJ59" s="710">
        <v>0.15</v>
      </c>
      <c r="CK59" s="720">
        <v>0.8</v>
      </c>
      <c r="CL59" s="286">
        <v>0.15</v>
      </c>
      <c r="CM59" s="718">
        <v>0.05</v>
      </c>
      <c r="CN59" s="720">
        <v>0.77</v>
      </c>
      <c r="CO59" s="286">
        <v>0.16500000000000001</v>
      </c>
      <c r="CP59" s="718">
        <v>6.5000000000000002E-2</v>
      </c>
      <c r="CQ59" s="657"/>
      <c r="CR59" s="807">
        <v>14</v>
      </c>
      <c r="CS59" s="808">
        <v>13</v>
      </c>
      <c r="CT59" s="808">
        <v>10</v>
      </c>
      <c r="CU59" s="809">
        <v>12</v>
      </c>
      <c r="CV59" s="807">
        <v>13</v>
      </c>
      <c r="CW59" s="808">
        <v>12</v>
      </c>
      <c r="CX59" s="809">
        <v>9</v>
      </c>
      <c r="CY59" s="807">
        <v>13</v>
      </c>
      <c r="CZ59" s="808">
        <v>13</v>
      </c>
      <c r="DA59" s="808">
        <v>9</v>
      </c>
      <c r="DB59" s="809">
        <v>11</v>
      </c>
      <c r="DC59" s="807">
        <v>15</v>
      </c>
      <c r="DD59" s="808">
        <v>13</v>
      </c>
      <c r="DE59" s="809">
        <v>10</v>
      </c>
      <c r="DF59" s="610" t="s">
        <v>3621</v>
      </c>
      <c r="DG59" s="657"/>
      <c r="DH59" s="288">
        <f t="shared" si="140"/>
        <v>18538</v>
      </c>
      <c r="DI59" s="288">
        <f t="shared" si="141"/>
        <v>3887</v>
      </c>
      <c r="DJ59" s="288">
        <f t="shared" si="142"/>
        <v>2990</v>
      </c>
      <c r="DK59" s="288">
        <f t="shared" si="143"/>
        <v>4485</v>
      </c>
      <c r="DL59" s="560" t="s">
        <v>3622</v>
      </c>
      <c r="DM59" s="288">
        <f t="shared" si="144"/>
        <v>17640</v>
      </c>
      <c r="DN59" s="288">
        <f t="shared" si="145"/>
        <v>3822</v>
      </c>
      <c r="DO59" s="288">
        <f t="shared" si="146"/>
        <v>3528</v>
      </c>
      <c r="DP59" s="288">
        <f t="shared" si="147"/>
        <v>4410</v>
      </c>
      <c r="DQ59" s="561" t="s">
        <v>3485</v>
      </c>
      <c r="DR59" s="657"/>
      <c r="DS59" s="288">
        <f t="shared" si="148"/>
        <v>14740.699999999999</v>
      </c>
      <c r="DT59" s="288">
        <f t="shared" si="149"/>
        <v>2081.04</v>
      </c>
      <c r="DU59" s="288">
        <f t="shared" si="150"/>
        <v>520.26</v>
      </c>
      <c r="DV59" s="561" t="s">
        <v>3623</v>
      </c>
      <c r="DW59" s="288">
        <f t="shared" si="151"/>
        <v>13982.64</v>
      </c>
      <c r="DX59" s="288">
        <f t="shared" si="152"/>
        <v>2387.2800000000002</v>
      </c>
      <c r="DY59" s="288">
        <f t="shared" si="153"/>
        <v>682.08</v>
      </c>
      <c r="DZ59" s="561" t="s">
        <v>3487</v>
      </c>
      <c r="EA59" s="657"/>
      <c r="EB59" s="288">
        <f t="shared" si="154"/>
        <v>149.5</v>
      </c>
      <c r="EC59" s="288">
        <f t="shared" si="155"/>
        <v>239.20000000000002</v>
      </c>
      <c r="ED59" s="288">
        <f t="shared" si="156"/>
        <v>119.60000000000001</v>
      </c>
      <c r="EE59" s="288">
        <f t="shared" si="157"/>
        <v>89.7</v>
      </c>
      <c r="EF59" s="561" t="s">
        <v>3624</v>
      </c>
      <c r="EG59" s="288">
        <f t="shared" si="158"/>
        <v>129.36000000000001</v>
      </c>
      <c r="EH59" s="288">
        <f t="shared" si="159"/>
        <v>235.20000000000002</v>
      </c>
      <c r="EI59" s="288">
        <f t="shared" si="160"/>
        <v>135.24</v>
      </c>
      <c r="EJ59" s="288">
        <f t="shared" si="161"/>
        <v>88.2</v>
      </c>
      <c r="EK59" s="561" t="s">
        <v>3489</v>
      </c>
      <c r="EL59" s="657"/>
      <c r="EM59" s="288">
        <f t="shared" si="162"/>
        <v>23920</v>
      </c>
      <c r="EN59" s="291">
        <f t="shared" si="163"/>
        <v>4485</v>
      </c>
      <c r="EO59" s="291">
        <f t="shared" si="164"/>
        <v>1495</v>
      </c>
      <c r="EP59" s="561" t="s">
        <v>3625</v>
      </c>
      <c r="EQ59" s="288">
        <f t="shared" si="165"/>
        <v>22638</v>
      </c>
      <c r="ER59" s="291">
        <f t="shared" si="166"/>
        <v>4851</v>
      </c>
      <c r="ES59" s="291">
        <f t="shared" si="167"/>
        <v>1911</v>
      </c>
      <c r="ET59" s="561" t="s">
        <v>3491</v>
      </c>
      <c r="EU59" s="657"/>
      <c r="EV59" s="740">
        <f t="shared" si="168"/>
        <v>0.84314373030664169</v>
      </c>
      <c r="EW59" s="740">
        <f t="shared" si="169"/>
        <v>0.15685626969335828</v>
      </c>
      <c r="EX59" s="563">
        <f t="shared" si="170"/>
        <v>32472.561090209791</v>
      </c>
      <c r="EY59" s="563">
        <f t="shared" si="171"/>
        <v>27379.036290209791</v>
      </c>
      <c r="EZ59" s="563">
        <f t="shared" si="172"/>
        <v>5093.5247999999992</v>
      </c>
      <c r="FA59" s="563">
        <f t="shared" si="173"/>
        <v>12767.035500000002</v>
      </c>
      <c r="FB59" s="563">
        <f t="shared" si="174"/>
        <v>10807.987500000001</v>
      </c>
      <c r="FC59" s="563">
        <f t="shared" si="175"/>
        <v>1959.0479999999998</v>
      </c>
      <c r="FD59" s="563">
        <f t="shared" si="176"/>
        <v>7549.3591476923075</v>
      </c>
      <c r="FE59" s="563">
        <f t="shared" si="177"/>
        <v>6413.1113076923075</v>
      </c>
      <c r="FF59" s="563">
        <f t="shared" si="178"/>
        <v>1136.24784</v>
      </c>
      <c r="FG59" s="563">
        <f t="shared" si="179"/>
        <v>278.63959636363643</v>
      </c>
      <c r="FH59" s="563">
        <f t="shared" si="180"/>
        <v>239.4586363636364</v>
      </c>
      <c r="FI59" s="563">
        <f t="shared" si="181"/>
        <v>39.180959999999999</v>
      </c>
      <c r="FJ59" s="563">
        <f t="shared" si="182"/>
        <v>11877.526846153847</v>
      </c>
      <c r="FK59" s="563">
        <f t="shared" si="183"/>
        <v>9918.4788461538465</v>
      </c>
      <c r="FL59" s="563">
        <f t="shared" si="184"/>
        <v>1959.0479999999998</v>
      </c>
      <c r="FM59" s="529"/>
      <c r="FN59" s="564" t="s">
        <v>2649</v>
      </c>
      <c r="FO59" s="740">
        <v>6.5519999999999995E-2</v>
      </c>
      <c r="FP59" s="741">
        <v>0.9</v>
      </c>
      <c r="FQ59" s="565" t="s">
        <v>3626</v>
      </c>
      <c r="FR59" s="529"/>
      <c r="FS59" s="867">
        <v>3.37</v>
      </c>
      <c r="FT59" s="566">
        <f>RANK($FS59,$FS$8:$FS$154,0)+COUNTIF($FS$8:$FS59,$FS59)-1</f>
        <v>64</v>
      </c>
      <c r="FU59" s="867">
        <v>4.28</v>
      </c>
      <c r="FV59" s="566">
        <f>RANK($FU59,$FU$8:$FU$154,0)+COUNTIF($FU$8:$FU59,$FU59)-1</f>
        <v>33</v>
      </c>
      <c r="FW59" s="867">
        <v>2.25</v>
      </c>
      <c r="FX59" s="566">
        <f>RANK($FW59,$FW$8:$FW$154,0)+COUNTIF($FW$8:$FW59,$FW59)-1</f>
        <v>66</v>
      </c>
      <c r="FY59" s="529"/>
      <c r="FZ59" s="567" t="s">
        <v>3627</v>
      </c>
      <c r="GA59" s="567" t="s">
        <v>3607</v>
      </c>
      <c r="GB59" s="567" t="s">
        <v>3608</v>
      </c>
      <c r="GC59" s="567" t="s">
        <v>3609</v>
      </c>
      <c r="GD59" s="567" t="s">
        <v>3610</v>
      </c>
      <c r="GE59" s="567" t="s">
        <v>3611</v>
      </c>
      <c r="GF59" s="567" t="str">
        <f>HYPERLINK("https://www.cnsa.fr/budget-et-financement/financement-des-esms/investissement-immobilier","https://www.cnsa.fr/budget-et-financement/financement-des-esms/investissement-immobilier")&amp;CHAR(10)&amp;HYPERLINK("https://www.cnsa.fr/actualites/instruction-budgetaire-les-priorites-de-financement-des-esms-pour-lexercice-2025","https://www.cnsa.fr/actualites/instruction-budgetaire-les-priorites-de-financement-des-esms-pour-lexercice-2025")&amp;CHAR(10)&amp;HYPERLINK("https://www.cnsa.fr/actualites/le-plan-national-50-000-solutions-des-avancees-tangibles","https://www.cnsa.fr/actualites/le-plan-national-50-000-solutions-des-avancees-tangibles")&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https://www.cnsa.fr/budget-et-financement/financement-des-esms/investissement-immobilier
https://www.cnsa.fr/actualites/instruction-budgetaire-les-priorites-de-financement-des-esms-pour-lexercice-2025
https://www.cnsa.fr/actualites/le-plan-national-50-000-solutions-des-avancees-tangibles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59" s="529"/>
      <c r="GH59" s="563">
        <f t="shared" si="185"/>
        <v>7452.9288000000006</v>
      </c>
      <c r="GI59" s="563">
        <f t="shared" si="116"/>
        <v>6277.5000000000009</v>
      </c>
      <c r="GJ59" s="563">
        <f t="shared" si="186"/>
        <v>1175.4287999999999</v>
      </c>
      <c r="GK59" s="563">
        <f t="shared" si="187"/>
        <v>1662.2762400000001</v>
      </c>
      <c r="GL59" s="563">
        <f t="shared" si="117"/>
        <v>1407.6000000000001</v>
      </c>
      <c r="GM59" s="563">
        <f t="shared" si="188"/>
        <v>254.67623999999998</v>
      </c>
      <c r="GN59" s="563">
        <f t="shared" si="189"/>
        <v>1612.53576</v>
      </c>
      <c r="GO59" s="563">
        <f t="shared" si="118"/>
        <v>1377.45</v>
      </c>
      <c r="GP59" s="563">
        <f t="shared" si="190"/>
        <v>235.08575999999996</v>
      </c>
      <c r="GQ59" s="563">
        <f t="shared" si="191"/>
        <v>2039.2946999999999</v>
      </c>
      <c r="GR59" s="563">
        <f t="shared" si="119"/>
        <v>1745.4375</v>
      </c>
      <c r="GS59" s="563">
        <f t="shared" si="192"/>
        <v>293.85719999999998</v>
      </c>
      <c r="GT59" s="563">
        <f t="shared" si="193"/>
        <v>6269.7755364923069</v>
      </c>
      <c r="GU59" s="563">
        <f t="shared" si="120"/>
        <v>5338.0523076923073</v>
      </c>
      <c r="GV59" s="563">
        <f t="shared" si="194"/>
        <v>931.7232287999999</v>
      </c>
      <c r="GW59" s="563">
        <f t="shared" si="195"/>
        <v>968.95769759999996</v>
      </c>
      <c r="GX59" s="563">
        <f t="shared" si="121"/>
        <v>809.88299999999992</v>
      </c>
      <c r="GY59" s="563">
        <f t="shared" si="196"/>
        <v>159.07469760000001</v>
      </c>
      <c r="GZ59" s="563">
        <f t="shared" si="197"/>
        <v>310.62591359999999</v>
      </c>
      <c r="HA59" s="563">
        <f t="shared" si="122"/>
        <v>265.17599999999999</v>
      </c>
      <c r="HB59" s="563">
        <f t="shared" si="198"/>
        <v>45.449913600000002</v>
      </c>
      <c r="HC59" s="563">
        <f t="shared" si="199"/>
        <v>62.758272738461542</v>
      </c>
      <c r="HD59" s="563">
        <f t="shared" si="123"/>
        <v>54.138461538461542</v>
      </c>
      <c r="HE59" s="563">
        <f t="shared" si="200"/>
        <v>8.6198111999999991</v>
      </c>
      <c r="HF59" s="563">
        <f t="shared" si="201"/>
        <v>102.29392246153847</v>
      </c>
      <c r="HG59" s="563">
        <f t="shared" si="124"/>
        <v>86.621538461538478</v>
      </c>
      <c r="HH59" s="563">
        <f t="shared" si="202"/>
        <v>15.672384000000001</v>
      </c>
      <c r="HI59" s="563">
        <f t="shared" si="203"/>
        <v>69.971620799999997</v>
      </c>
      <c r="HJ59" s="563">
        <f t="shared" si="125"/>
        <v>60.96</v>
      </c>
      <c r="HK59" s="563">
        <f t="shared" si="204"/>
        <v>9.0116207999999993</v>
      </c>
      <c r="HL59" s="563">
        <f t="shared" si="205"/>
        <v>43.615780363636368</v>
      </c>
      <c r="HM59" s="563">
        <f t="shared" si="126"/>
        <v>37.738636363636367</v>
      </c>
      <c r="HN59" s="563">
        <f t="shared" si="206"/>
        <v>5.8771439999999995</v>
      </c>
      <c r="HO59" s="563">
        <f t="shared" si="207"/>
        <v>9114.0669600000001</v>
      </c>
      <c r="HP59" s="563">
        <f t="shared" si="127"/>
        <v>7605.5999999999995</v>
      </c>
      <c r="HQ59" s="563">
        <f t="shared" si="208"/>
        <v>1508.46696</v>
      </c>
      <c r="HR59" s="563">
        <f t="shared" si="209"/>
        <v>1947.3967661538461</v>
      </c>
      <c r="HS59" s="563">
        <f t="shared" si="128"/>
        <v>1624.1538461538462</v>
      </c>
      <c r="HT59" s="563">
        <f t="shared" si="210"/>
        <v>323.24291999999997</v>
      </c>
      <c r="HU59" s="563">
        <f t="shared" si="211"/>
        <v>816.06312000000003</v>
      </c>
      <c r="HV59" s="563">
        <f t="shared" si="129"/>
        <v>688.72500000000002</v>
      </c>
      <c r="HW59" s="563">
        <f t="shared" si="212"/>
        <v>127.33811999999999</v>
      </c>
      <c r="HX59" s="544"/>
      <c r="HY59" s="568">
        <f t="shared" si="213"/>
        <v>77740.000000000015</v>
      </c>
      <c r="HZ59" s="568">
        <f t="shared" si="214"/>
        <v>0</v>
      </c>
      <c r="IA59" s="568">
        <f t="shared" si="215"/>
        <v>8835.6892000000007</v>
      </c>
      <c r="IB59" s="568">
        <f t="shared" si="216"/>
        <v>42709.518800000005</v>
      </c>
      <c r="IC59" s="568">
        <f t="shared" si="217"/>
        <v>26019.637799999997</v>
      </c>
      <c r="ID59" s="568">
        <f t="shared" si="218"/>
        <v>175.1542</v>
      </c>
      <c r="IE59" s="568">
        <f t="shared" si="219"/>
        <v>27379.036290209791</v>
      </c>
      <c r="IF59" s="568">
        <f t="shared" si="220"/>
        <v>0</v>
      </c>
      <c r="IG59" s="568">
        <f t="shared" si="221"/>
        <v>1670.4235879458042</v>
      </c>
      <c r="IH59" s="568">
        <f t="shared" si="222"/>
        <v>13412.595665723076</v>
      </c>
      <c r="II59" s="568">
        <f t="shared" si="223"/>
        <v>11720.893977271679</v>
      </c>
      <c r="IJ59" s="568">
        <f t="shared" si="224"/>
        <v>575.12305926923079</v>
      </c>
      <c r="IK59" s="868">
        <v>4.12</v>
      </c>
      <c r="IL59" s="569" t="s">
        <v>2589</v>
      </c>
      <c r="IM59" s="570" t="s">
        <v>3628</v>
      </c>
      <c r="IN59" s="529"/>
      <c r="IO59" s="742">
        <v>0</v>
      </c>
      <c r="IP59" s="742">
        <v>0.13739999999999999</v>
      </c>
      <c r="IQ59" s="742">
        <v>0.5655</v>
      </c>
      <c r="IR59" s="742">
        <v>0.29709999999999998</v>
      </c>
      <c r="IS59" s="742">
        <v>0</v>
      </c>
      <c r="IT59" s="742">
        <v>0</v>
      </c>
      <c r="IU59" s="742">
        <v>7.85E-2</v>
      </c>
      <c r="IV59" s="742">
        <v>0.52159999999999995</v>
      </c>
      <c r="IW59" s="742">
        <v>0.39169999999999999</v>
      </c>
      <c r="IX59" s="742">
        <v>8.2000000000000007E-3</v>
      </c>
      <c r="IY59" s="742">
        <v>0</v>
      </c>
      <c r="IZ59" s="742">
        <v>7.46E-2</v>
      </c>
      <c r="JA59" s="742">
        <v>0.51639999999999997</v>
      </c>
      <c r="JB59" s="742">
        <v>0.39889999999999998</v>
      </c>
      <c r="JC59" s="742">
        <v>1.01E-2</v>
      </c>
      <c r="JD59" s="742">
        <v>0</v>
      </c>
      <c r="JE59" s="742">
        <v>3.3000000000000002E-2</v>
      </c>
      <c r="JF59" s="742">
        <v>0.43469999999999998</v>
      </c>
      <c r="JG59" s="742">
        <v>0.48830000000000001</v>
      </c>
      <c r="JH59" s="742">
        <v>4.3999999999999997E-2</v>
      </c>
      <c r="JI59" s="742">
        <v>0</v>
      </c>
      <c r="JJ59" s="742">
        <v>0.25700000000000001</v>
      </c>
      <c r="JK59" s="742">
        <v>0.56499999999999995</v>
      </c>
      <c r="JL59" s="742">
        <v>0.17799999999999999</v>
      </c>
      <c r="JM59" s="742">
        <v>0</v>
      </c>
      <c r="JN59" s="742">
        <v>0</v>
      </c>
      <c r="JO59" s="742">
        <v>0.1714</v>
      </c>
      <c r="JP59" s="742">
        <v>0.57310000000000005</v>
      </c>
      <c r="JQ59" s="742">
        <v>0.2555</v>
      </c>
      <c r="JR59" s="742">
        <v>0</v>
      </c>
      <c r="JS59" s="742">
        <v>0</v>
      </c>
      <c r="JT59" s="742">
        <v>0.10970000000000001</v>
      </c>
      <c r="JU59" s="742">
        <v>0.55210000000000004</v>
      </c>
      <c r="JV59" s="742">
        <v>0.3382</v>
      </c>
      <c r="JW59" s="742">
        <v>0</v>
      </c>
      <c r="JX59" s="742">
        <v>0</v>
      </c>
      <c r="JY59" s="742">
        <v>5.74E-2</v>
      </c>
      <c r="JZ59" s="742">
        <v>0.48899999999999999</v>
      </c>
      <c r="KA59" s="742">
        <v>0.433</v>
      </c>
      <c r="KB59" s="742">
        <v>2.06E-2</v>
      </c>
      <c r="KC59" s="657"/>
      <c r="KD59" s="832" t="s">
        <v>2590</v>
      </c>
      <c r="KE59" s="832" t="s">
        <v>2590</v>
      </c>
      <c r="KF59" s="869">
        <v>4.45</v>
      </c>
      <c r="KG59" s="832" t="s">
        <v>2589</v>
      </c>
      <c r="KH59" s="833" t="s">
        <v>3629</v>
      </c>
      <c r="KI59" s="832" t="s">
        <v>3317</v>
      </c>
      <c r="KJ59" s="833" t="s">
        <v>3630</v>
      </c>
    </row>
    <row r="60" spans="1:296" ht="48" customHeight="1">
      <c r="A60" s="273">
        <f t="shared" si="225"/>
        <v>53</v>
      </c>
      <c r="B60" s="274" t="s">
        <v>2241</v>
      </c>
      <c r="C60" s="274" t="s">
        <v>1032</v>
      </c>
      <c r="D60" s="274" t="s">
        <v>3631</v>
      </c>
      <c r="E60" s="275" t="s">
        <v>2117</v>
      </c>
      <c r="F60" s="275" t="s">
        <v>2118</v>
      </c>
      <c r="G60" s="275" t="s">
        <v>2121</v>
      </c>
      <c r="H60" s="275" t="s">
        <v>2096</v>
      </c>
      <c r="I60" s="276" t="s">
        <v>3632</v>
      </c>
      <c r="J60" s="276" t="s">
        <v>3633</v>
      </c>
      <c r="K60" s="277" t="s">
        <v>2109</v>
      </c>
      <c r="L60" s="277" t="s">
        <v>2109</v>
      </c>
      <c r="M60" s="277" t="s">
        <v>2603</v>
      </c>
      <c r="N60" s="277" t="s">
        <v>2099</v>
      </c>
      <c r="O60" s="275" t="s">
        <v>2616</v>
      </c>
      <c r="P60" s="276"/>
      <c r="Q60" s="270">
        <v>1</v>
      </c>
      <c r="R60" s="278">
        <v>3500</v>
      </c>
      <c r="S60" s="279">
        <v>2730</v>
      </c>
      <c r="T60" s="279">
        <v>2596</v>
      </c>
      <c r="U60" s="279">
        <v>2469</v>
      </c>
      <c r="V60" s="279">
        <v>2348</v>
      </c>
      <c r="W60" s="279">
        <v>2325</v>
      </c>
      <c r="X60" s="279">
        <v>2302</v>
      </c>
      <c r="Y60" s="279">
        <v>2279</v>
      </c>
      <c r="Z60" s="279">
        <v>2256</v>
      </c>
      <c r="AA60" s="279">
        <v>2245</v>
      </c>
      <c r="AB60" s="279">
        <v>2233</v>
      </c>
      <c r="AC60" s="279">
        <v>2222</v>
      </c>
      <c r="AD60" s="279">
        <v>2211</v>
      </c>
      <c r="AE60" s="279">
        <v>2200</v>
      </c>
      <c r="AF60" s="279">
        <v>2189</v>
      </c>
      <c r="AG60" s="279">
        <v>2178</v>
      </c>
      <c r="AH60" s="279">
        <v>2167</v>
      </c>
      <c r="AI60" s="279">
        <v>2156</v>
      </c>
      <c r="AJ60" s="279">
        <v>2145</v>
      </c>
      <c r="AK60" s="279">
        <v>2134</v>
      </c>
      <c r="AL60" s="276" t="s">
        <v>2101</v>
      </c>
      <c r="AM60" s="276" t="s">
        <v>3634</v>
      </c>
      <c r="AN60" s="276" t="s">
        <v>2134</v>
      </c>
      <c r="AO60" s="657"/>
      <c r="AP60" s="278">
        <v>70</v>
      </c>
      <c r="AQ60" s="278">
        <v>58</v>
      </c>
      <c r="AR60" s="278">
        <v>8</v>
      </c>
      <c r="AS60" s="278">
        <v>4</v>
      </c>
      <c r="AT60" s="657"/>
      <c r="AU60" s="281" t="s">
        <v>3635</v>
      </c>
      <c r="AV60" s="296" t="s">
        <v>3636</v>
      </c>
      <c r="AW60" s="296" t="s">
        <v>3482</v>
      </c>
      <c r="AX60" s="276" t="s">
        <v>3299</v>
      </c>
      <c r="AY60" s="657"/>
      <c r="AZ60" s="947">
        <v>6</v>
      </c>
      <c r="BA60" s="947">
        <v>3</v>
      </c>
      <c r="BB60" s="947">
        <v>1</v>
      </c>
      <c r="BC60" s="947">
        <v>6</v>
      </c>
      <c r="BD60" s="826">
        <f t="shared" si="130"/>
        <v>35024</v>
      </c>
      <c r="BE60" s="283">
        <f t="shared" si="131"/>
        <v>13134</v>
      </c>
      <c r="BF60" s="283">
        <f t="shared" si="132"/>
        <v>6567</v>
      </c>
      <c r="BG60" s="283">
        <f t="shared" si="133"/>
        <v>2189</v>
      </c>
      <c r="BH60" s="283">
        <f t="shared" si="134"/>
        <v>13134</v>
      </c>
      <c r="BI60" s="826">
        <f t="shared" si="135"/>
        <v>34144</v>
      </c>
      <c r="BJ60" s="283">
        <f t="shared" si="136"/>
        <v>12804</v>
      </c>
      <c r="BK60" s="283">
        <f t="shared" si="137"/>
        <v>6402</v>
      </c>
      <c r="BL60" s="283">
        <f t="shared" si="138"/>
        <v>2134</v>
      </c>
      <c r="BM60" s="283">
        <f t="shared" si="139"/>
        <v>12804</v>
      </c>
      <c r="BN60" s="657"/>
      <c r="BO60" s="305">
        <v>0.6</v>
      </c>
      <c r="BP60" s="305">
        <v>0.18</v>
      </c>
      <c r="BQ60" s="305">
        <v>0.08</v>
      </c>
      <c r="BR60" s="581">
        <v>0.14000000000000001</v>
      </c>
      <c r="BS60" s="706">
        <v>0.57999999999999996</v>
      </c>
      <c r="BT60" s="305">
        <v>0.18</v>
      </c>
      <c r="BU60" s="305">
        <v>0.1</v>
      </c>
      <c r="BV60" s="581">
        <v>0.14000000000000001</v>
      </c>
      <c r="BW60" s="713">
        <v>0.82</v>
      </c>
      <c r="BX60" s="306">
        <v>0.15</v>
      </c>
      <c r="BY60" s="590">
        <v>0.03</v>
      </c>
      <c r="BZ60" s="713">
        <v>0.78</v>
      </c>
      <c r="CA60" s="306">
        <v>0.18</v>
      </c>
      <c r="CB60" s="590">
        <v>0.04</v>
      </c>
      <c r="CC60" s="706">
        <v>0.25</v>
      </c>
      <c r="CD60" s="305">
        <v>0.4</v>
      </c>
      <c r="CE60" s="305">
        <v>0.2</v>
      </c>
      <c r="CF60" s="581">
        <v>0.15</v>
      </c>
      <c r="CG60" s="706">
        <v>0.22</v>
      </c>
      <c r="CH60" s="305">
        <v>0.4</v>
      </c>
      <c r="CI60" s="305">
        <v>0.23</v>
      </c>
      <c r="CJ60" s="581">
        <v>0.15</v>
      </c>
      <c r="CK60" s="719">
        <v>0.7</v>
      </c>
      <c r="CL60" s="307">
        <v>0.2</v>
      </c>
      <c r="CM60" s="723">
        <v>0.1</v>
      </c>
      <c r="CN60" s="719">
        <v>0.67</v>
      </c>
      <c r="CO60" s="307">
        <v>0.215</v>
      </c>
      <c r="CP60" s="723">
        <v>0.115</v>
      </c>
      <c r="CQ60" s="657"/>
      <c r="CR60" s="804">
        <v>14</v>
      </c>
      <c r="CS60" s="805">
        <v>13</v>
      </c>
      <c r="CT60" s="805">
        <v>10</v>
      </c>
      <c r="CU60" s="806">
        <v>12</v>
      </c>
      <c r="CV60" s="804">
        <v>13</v>
      </c>
      <c r="CW60" s="805">
        <v>12</v>
      </c>
      <c r="CX60" s="806">
        <v>9</v>
      </c>
      <c r="CY60" s="804">
        <v>13</v>
      </c>
      <c r="CZ60" s="805">
        <v>13</v>
      </c>
      <c r="DA60" s="805">
        <v>9</v>
      </c>
      <c r="DB60" s="806">
        <v>11</v>
      </c>
      <c r="DC60" s="804">
        <v>15</v>
      </c>
      <c r="DD60" s="805">
        <v>13</v>
      </c>
      <c r="DE60" s="806">
        <v>10</v>
      </c>
      <c r="DF60" s="609" t="s">
        <v>3637</v>
      </c>
      <c r="DG60" s="657"/>
      <c r="DH60" s="308">
        <f t="shared" si="140"/>
        <v>7880.4</v>
      </c>
      <c r="DI60" s="308">
        <f t="shared" si="141"/>
        <v>2364.12</v>
      </c>
      <c r="DJ60" s="308">
        <f t="shared" si="142"/>
        <v>1050.72</v>
      </c>
      <c r="DK60" s="308">
        <f t="shared" si="143"/>
        <v>1838.7600000000002</v>
      </c>
      <c r="DL60" s="287" t="s">
        <v>3638</v>
      </c>
      <c r="DM60" s="308">
        <f t="shared" si="144"/>
        <v>7426.32</v>
      </c>
      <c r="DN60" s="308">
        <f t="shared" si="145"/>
        <v>2304.7199999999998</v>
      </c>
      <c r="DO60" s="308">
        <f t="shared" si="146"/>
        <v>1280.4000000000001</v>
      </c>
      <c r="DP60" s="308">
        <f t="shared" si="147"/>
        <v>1792.5600000000002</v>
      </c>
      <c r="DQ60" s="289" t="s">
        <v>3485</v>
      </c>
      <c r="DR60" s="657"/>
      <c r="DS60" s="308">
        <f t="shared" si="148"/>
        <v>5384.94</v>
      </c>
      <c r="DT60" s="308">
        <f t="shared" si="149"/>
        <v>985.05</v>
      </c>
      <c r="DU60" s="308">
        <f t="shared" si="150"/>
        <v>197.01</v>
      </c>
      <c r="DV60" s="289" t="s">
        <v>3639</v>
      </c>
      <c r="DW60" s="308">
        <f t="shared" si="151"/>
        <v>4993.5600000000004</v>
      </c>
      <c r="DX60" s="308">
        <f t="shared" si="152"/>
        <v>1152.3599999999999</v>
      </c>
      <c r="DY60" s="308">
        <f t="shared" si="153"/>
        <v>256.08</v>
      </c>
      <c r="DZ60" s="289" t="s">
        <v>3487</v>
      </c>
      <c r="EA60" s="657"/>
      <c r="EB60" s="308">
        <f t="shared" si="154"/>
        <v>547.25</v>
      </c>
      <c r="EC60" s="308">
        <f t="shared" si="155"/>
        <v>875.6</v>
      </c>
      <c r="ED60" s="308">
        <f t="shared" si="156"/>
        <v>437.8</v>
      </c>
      <c r="EE60" s="308">
        <f t="shared" si="157"/>
        <v>328.34999999999997</v>
      </c>
      <c r="EF60" s="289" t="s">
        <v>3640</v>
      </c>
      <c r="EG60" s="308">
        <f t="shared" si="158"/>
        <v>469.48</v>
      </c>
      <c r="EH60" s="308">
        <f t="shared" si="159"/>
        <v>853.6</v>
      </c>
      <c r="EI60" s="308">
        <f t="shared" si="160"/>
        <v>490.82</v>
      </c>
      <c r="EJ60" s="308">
        <f t="shared" si="161"/>
        <v>320.09999999999997</v>
      </c>
      <c r="EK60" s="309" t="s">
        <v>3489</v>
      </c>
      <c r="EL60" s="657"/>
      <c r="EM60" s="308">
        <f t="shared" si="162"/>
        <v>9193.7999999999993</v>
      </c>
      <c r="EN60" s="310">
        <f t="shared" si="163"/>
        <v>2626.8</v>
      </c>
      <c r="EO60" s="310">
        <f t="shared" si="164"/>
        <v>1313.4</v>
      </c>
      <c r="EP60" s="289" t="s">
        <v>3641</v>
      </c>
      <c r="EQ60" s="308">
        <f t="shared" si="165"/>
        <v>8578.68</v>
      </c>
      <c r="ER60" s="310">
        <f t="shared" si="166"/>
        <v>2752.86</v>
      </c>
      <c r="ES60" s="310">
        <f t="shared" si="167"/>
        <v>1472.46</v>
      </c>
      <c r="ET60" s="289" t="s">
        <v>3491</v>
      </c>
      <c r="EU60" s="657"/>
      <c r="EV60" s="728">
        <f t="shared" si="168"/>
        <v>0.82111287906833152</v>
      </c>
      <c r="EW60" s="728">
        <f t="shared" si="169"/>
        <v>0.17888712093166848</v>
      </c>
      <c r="EX60" s="311">
        <f t="shared" si="170"/>
        <v>14431.55340951644</v>
      </c>
      <c r="EY60" s="311">
        <f t="shared" si="171"/>
        <v>11849.934369516441</v>
      </c>
      <c r="EZ60" s="311">
        <f t="shared" si="172"/>
        <v>2581.61904</v>
      </c>
      <c r="FA60" s="311">
        <f t="shared" si="173"/>
        <v>5439.1291386758239</v>
      </c>
      <c r="FB60" s="311">
        <f t="shared" si="174"/>
        <v>4471.0219986758239</v>
      </c>
      <c r="FC60" s="311">
        <f t="shared" si="175"/>
        <v>968.10713999999996</v>
      </c>
      <c r="FD60" s="311">
        <f t="shared" si="176"/>
        <v>2780.9374960096152</v>
      </c>
      <c r="FE60" s="311">
        <f t="shared" si="177"/>
        <v>2296.8839260096152</v>
      </c>
      <c r="FF60" s="311">
        <f t="shared" si="178"/>
        <v>484.05356999999998</v>
      </c>
      <c r="FG60" s="311">
        <f t="shared" si="179"/>
        <v>982.91427598484836</v>
      </c>
      <c r="FH60" s="311">
        <f t="shared" si="180"/>
        <v>821.56308598484839</v>
      </c>
      <c r="FI60" s="311">
        <f t="shared" si="181"/>
        <v>161.35119</v>
      </c>
      <c r="FJ60" s="311">
        <f t="shared" si="182"/>
        <v>5228.5724988461534</v>
      </c>
      <c r="FK60" s="311">
        <f t="shared" si="183"/>
        <v>4260.4653588461533</v>
      </c>
      <c r="FL60" s="311">
        <f t="shared" si="184"/>
        <v>968.10713999999996</v>
      </c>
      <c r="FM60" s="657"/>
      <c r="FN60" s="293" t="s">
        <v>2649</v>
      </c>
      <c r="FO60" s="728">
        <v>7.3709999999999998E-2</v>
      </c>
      <c r="FP60" s="729">
        <v>0.81824999999999992</v>
      </c>
      <c r="FQ60" s="294" t="s">
        <v>3642</v>
      </c>
      <c r="FR60" s="657"/>
      <c r="FS60" s="865">
        <v>3.07</v>
      </c>
      <c r="FT60" s="312">
        <f>RANK($FS60,$FS$8:$FS$154,0)+COUNTIF($FS$8:$FS60,$FS60)-1</f>
        <v>99</v>
      </c>
      <c r="FU60" s="865">
        <v>3.65</v>
      </c>
      <c r="FV60" s="312">
        <f>RANK($FU60,$FU$8:$FU$154,0)+COUNTIF($FU$8:$FU60,$FU60)-1</f>
        <v>119</v>
      </c>
      <c r="FW60" s="865">
        <v>2.37</v>
      </c>
      <c r="FX60" s="312">
        <f>RANK($FW60,$FW$8:$FW$154,0)+COUNTIF($FW$8:$FW60,$FW60)-1</f>
        <v>51</v>
      </c>
      <c r="FY60" s="657"/>
      <c r="FZ60" s="296" t="s">
        <v>3627</v>
      </c>
      <c r="GA60" s="296" t="s">
        <v>3607</v>
      </c>
      <c r="GB60" s="296" t="s">
        <v>3608</v>
      </c>
      <c r="GC60" s="296" t="s">
        <v>3609</v>
      </c>
      <c r="GD60" s="296" t="s">
        <v>3610</v>
      </c>
      <c r="GE60" s="296" t="s">
        <v>3611</v>
      </c>
      <c r="GF60" s="296" t="str">
        <f>HYPERLINK("https://www.cnsa.fr/budget-et-financement/financement-des-esms/investissement-immobilier","https://www.cnsa.fr/budget-et-financement/financement-des-esms/investissement-immobilier")&amp;CHAR(10)&amp;HYPERLINK("https://www.cnsa.fr/actualites/instruction-budgetaire-les-priorites-de-financement-des-esms-pour-lexercice-2025","https://www.cnsa.fr/actualites/instruction-budgetaire-les-priorites-de-financement-des-esms-pour-lexercice-2025")&amp;CHAR(10)&amp;HYPERLINK("https://www.cnsa.fr/actualites/le-plan-national-50-000-solutions-des-avancees-tangibles","https://www.cnsa.fr/actualites/le-plan-national-50-000-solutions-des-avancees-tangibles")&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https://www.cnsa.fr/budget-et-financement/financement-des-esms/investissement-immobilier
https://www.cnsa.fr/actualites/instruction-budgetaire-les-priorites-de-financement-des-esms-pour-lexercice-2025
https://www.cnsa.fr/actualites/le-plan-national-50-000-solutions-des-avancees-tangibles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60" s="657"/>
      <c r="GH60" s="311">
        <f t="shared" si="185"/>
        <v>3103.2204269142858</v>
      </c>
      <c r="GI60" s="311">
        <f t="shared" si="116"/>
        <v>2541.7182857142857</v>
      </c>
      <c r="GJ60" s="311">
        <f t="shared" si="186"/>
        <v>561.50214119999998</v>
      </c>
      <c r="GK60" s="311">
        <f t="shared" si="187"/>
        <v>984.07753366153827</v>
      </c>
      <c r="GL60" s="311">
        <f t="shared" si="117"/>
        <v>809.81824846153825</v>
      </c>
      <c r="GM60" s="311">
        <f t="shared" si="188"/>
        <v>174.25928519999999</v>
      </c>
      <c r="GN60" s="311">
        <f t="shared" si="189"/>
        <v>544.83204599999999</v>
      </c>
      <c r="GO60" s="311">
        <f t="shared" si="118"/>
        <v>448.02133199999997</v>
      </c>
      <c r="GP60" s="311">
        <f t="shared" si="190"/>
        <v>96.810714000000004</v>
      </c>
      <c r="GQ60" s="311">
        <f t="shared" si="191"/>
        <v>806.9991321</v>
      </c>
      <c r="GR60" s="311">
        <f t="shared" si="119"/>
        <v>671.46413250000001</v>
      </c>
      <c r="GS60" s="311">
        <f t="shared" si="192"/>
        <v>135.53499960000002</v>
      </c>
      <c r="GT60" s="311">
        <f t="shared" si="193"/>
        <v>2222.1477949846148</v>
      </c>
      <c r="GU60" s="311">
        <f t="shared" si="120"/>
        <v>1844.5860103846151</v>
      </c>
      <c r="GV60" s="311">
        <f t="shared" si="194"/>
        <v>377.56178460000001</v>
      </c>
      <c r="GW60" s="311">
        <f t="shared" si="195"/>
        <v>446.84257072499997</v>
      </c>
      <c r="GX60" s="311">
        <f t="shared" si="121"/>
        <v>359.71292812499996</v>
      </c>
      <c r="GY60" s="311">
        <f t="shared" si="196"/>
        <v>87.129642599999997</v>
      </c>
      <c r="GZ60" s="311">
        <f t="shared" si="197"/>
        <v>111.94713029999998</v>
      </c>
      <c r="HA60" s="311">
        <f t="shared" si="122"/>
        <v>92.584987499999983</v>
      </c>
      <c r="HB60" s="311">
        <f t="shared" si="198"/>
        <v>19.362142800000001</v>
      </c>
      <c r="HC60" s="311">
        <f t="shared" si="199"/>
        <v>222.95518968461539</v>
      </c>
      <c r="HD60" s="311">
        <f t="shared" si="123"/>
        <v>187.45792788461537</v>
      </c>
      <c r="HE60" s="311">
        <f t="shared" si="200"/>
        <v>35.497261800000004</v>
      </c>
      <c r="HF60" s="311">
        <f t="shared" si="201"/>
        <v>364.47316061538464</v>
      </c>
      <c r="HG60" s="311">
        <f t="shared" si="124"/>
        <v>299.93268461538463</v>
      </c>
      <c r="HH60" s="311">
        <f t="shared" si="202"/>
        <v>64.540475999999998</v>
      </c>
      <c r="HI60" s="311">
        <f t="shared" si="203"/>
        <v>242.85519036666668</v>
      </c>
      <c r="HJ60" s="311">
        <f t="shared" si="125"/>
        <v>205.74441666666667</v>
      </c>
      <c r="HK60" s="311">
        <f t="shared" si="204"/>
        <v>37.110773700000003</v>
      </c>
      <c r="HL60" s="311">
        <f t="shared" si="205"/>
        <v>152.63073531818179</v>
      </c>
      <c r="HM60" s="311">
        <f t="shared" si="126"/>
        <v>128.4280568181818</v>
      </c>
      <c r="HN60" s="311">
        <f t="shared" si="206"/>
        <v>24.202678500000001</v>
      </c>
      <c r="HO60" s="311">
        <f t="shared" si="207"/>
        <v>3449.2724237999992</v>
      </c>
      <c r="HP60" s="311">
        <f t="shared" si="127"/>
        <v>2800.6406399999992</v>
      </c>
      <c r="HQ60" s="311">
        <f t="shared" si="208"/>
        <v>648.63178379999999</v>
      </c>
      <c r="HR60" s="311">
        <f t="shared" si="209"/>
        <v>1107.9410889461537</v>
      </c>
      <c r="HS60" s="311">
        <f t="shared" si="128"/>
        <v>899.79805384615383</v>
      </c>
      <c r="HT60" s="311">
        <f t="shared" si="210"/>
        <v>208.14303509999999</v>
      </c>
      <c r="HU60" s="311">
        <f t="shared" si="211"/>
        <v>671.35898610000004</v>
      </c>
      <c r="HV60" s="311">
        <f t="shared" si="129"/>
        <v>560.02666499999998</v>
      </c>
      <c r="HW60" s="311">
        <f t="shared" si="212"/>
        <v>111.3323211</v>
      </c>
      <c r="HY60" s="313">
        <f t="shared" si="213"/>
        <v>35024</v>
      </c>
      <c r="HZ60" s="313">
        <f t="shared" si="214"/>
        <v>33.272799999999997</v>
      </c>
      <c r="IA60" s="313">
        <f t="shared" si="215"/>
        <v>6705.7825999999995</v>
      </c>
      <c r="IB60" s="313">
        <f t="shared" si="216"/>
        <v>19377.684699999998</v>
      </c>
      <c r="IC60" s="313">
        <f t="shared" si="217"/>
        <v>8446.6942999999992</v>
      </c>
      <c r="ID60" s="313">
        <f t="shared" si="218"/>
        <v>460.56560000000002</v>
      </c>
      <c r="IE60" s="313">
        <f t="shared" si="219"/>
        <v>11849.934369516439</v>
      </c>
      <c r="IF60" s="313">
        <f t="shared" si="220"/>
        <v>0</v>
      </c>
      <c r="IG60" s="313">
        <f t="shared" si="221"/>
        <v>1350.3881146461795</v>
      </c>
      <c r="IH60" s="313">
        <f t="shared" si="222"/>
        <v>6224.9781607144232</v>
      </c>
      <c r="II60" s="313">
        <f t="shared" si="223"/>
        <v>3940.2682817176965</v>
      </c>
      <c r="IJ60" s="313">
        <f t="shared" si="224"/>
        <v>334.299812438142</v>
      </c>
      <c r="IK60" s="866">
        <v>3.8</v>
      </c>
      <c r="IL60" s="314" t="s">
        <v>2780</v>
      </c>
      <c r="IM60" s="299" t="s">
        <v>3643</v>
      </c>
      <c r="IN60" s="657"/>
      <c r="IO60" s="730">
        <v>0</v>
      </c>
      <c r="IP60" s="730">
        <v>0.21279999999999999</v>
      </c>
      <c r="IQ60" s="730">
        <v>0.56069999999999998</v>
      </c>
      <c r="IR60" s="730">
        <v>0.2167</v>
      </c>
      <c r="IS60" s="730">
        <v>9.7999999999999997E-3</v>
      </c>
      <c r="IT60" s="730">
        <v>0</v>
      </c>
      <c r="IU60" s="730">
        <v>0.1285</v>
      </c>
      <c r="IV60" s="730">
        <v>0.54259999999999997</v>
      </c>
      <c r="IW60" s="730">
        <v>0.307</v>
      </c>
      <c r="IX60" s="730">
        <v>2.1899999999999999E-2</v>
      </c>
      <c r="IY60" s="730">
        <v>0</v>
      </c>
      <c r="IZ60" s="730">
        <v>0.12809999999999999</v>
      </c>
      <c r="JA60" s="730">
        <v>0.54239999999999999</v>
      </c>
      <c r="JB60" s="730">
        <v>0.3075</v>
      </c>
      <c r="JC60" s="730">
        <v>2.1999999999999999E-2</v>
      </c>
      <c r="JD60" s="730">
        <v>0</v>
      </c>
      <c r="JE60" s="730">
        <v>6.4299999999999996E-2</v>
      </c>
      <c r="JF60" s="730">
        <v>0.48420000000000002</v>
      </c>
      <c r="JG60" s="730">
        <v>0.40639999999999998</v>
      </c>
      <c r="JH60" s="730">
        <v>4.5100000000000001E-2</v>
      </c>
      <c r="JI60" s="730">
        <v>1.52E-2</v>
      </c>
      <c r="JJ60" s="730">
        <v>0.34689999999999999</v>
      </c>
      <c r="JK60" s="730">
        <v>0.5111</v>
      </c>
      <c r="JL60" s="730">
        <v>0.124</v>
      </c>
      <c r="JM60" s="730">
        <v>2.8E-3</v>
      </c>
      <c r="JN60" s="730">
        <v>0</v>
      </c>
      <c r="JO60" s="730">
        <v>0.24809999999999999</v>
      </c>
      <c r="JP60" s="730">
        <v>0.55720000000000003</v>
      </c>
      <c r="JQ60" s="730">
        <v>0.18759999999999999</v>
      </c>
      <c r="JR60" s="730">
        <v>7.1000000000000004E-3</v>
      </c>
      <c r="JS60" s="730">
        <v>0</v>
      </c>
      <c r="JT60" s="730">
        <v>0.1759</v>
      </c>
      <c r="JU60" s="730">
        <v>0.55830000000000002</v>
      </c>
      <c r="JV60" s="730">
        <v>0.252</v>
      </c>
      <c r="JW60" s="730">
        <v>1.38E-2</v>
      </c>
      <c r="JX60" s="730">
        <v>0</v>
      </c>
      <c r="JY60" s="730">
        <v>9.9599999999999994E-2</v>
      </c>
      <c r="JZ60" s="730">
        <v>0.5232</v>
      </c>
      <c r="KA60" s="730">
        <v>0.34739999999999999</v>
      </c>
      <c r="KB60" s="730">
        <v>2.98E-2</v>
      </c>
      <c r="KC60" s="657"/>
      <c r="KD60" s="314" t="s">
        <v>2591</v>
      </c>
      <c r="KE60" s="314" t="s">
        <v>2591</v>
      </c>
      <c r="KF60" s="866">
        <v>3.88</v>
      </c>
      <c r="KG60" s="314" t="s">
        <v>2626</v>
      </c>
      <c r="KH60" s="315" t="s">
        <v>3644</v>
      </c>
      <c r="KI60" s="314" t="s">
        <v>2704</v>
      </c>
      <c r="KJ60" s="315" t="s">
        <v>3645</v>
      </c>
    </row>
    <row r="61" spans="1:296" ht="48" customHeight="1">
      <c r="A61" s="265">
        <f t="shared" si="225"/>
        <v>54</v>
      </c>
      <c r="B61" s="266" t="s">
        <v>2241</v>
      </c>
      <c r="C61" s="266" t="s">
        <v>1032</v>
      </c>
      <c r="D61" s="624" t="s">
        <v>3646</v>
      </c>
      <c r="E61" s="267" t="s">
        <v>2117</v>
      </c>
      <c r="F61" s="267" t="s">
        <v>2118</v>
      </c>
      <c r="G61" s="267" t="s">
        <v>2121</v>
      </c>
      <c r="H61" s="267" t="s">
        <v>2096</v>
      </c>
      <c r="I61" s="268" t="s">
        <v>3647</v>
      </c>
      <c r="J61" s="268" t="s">
        <v>3648</v>
      </c>
      <c r="K61" s="269" t="s">
        <v>2109</v>
      </c>
      <c r="L61" s="269" t="s">
        <v>2109</v>
      </c>
      <c r="M61" s="269" t="s">
        <v>2603</v>
      </c>
      <c r="N61" s="269" t="s">
        <v>2973</v>
      </c>
      <c r="O61" s="267" t="s">
        <v>2616</v>
      </c>
      <c r="P61" s="268"/>
      <c r="Q61" s="270">
        <v>1</v>
      </c>
      <c r="R61" s="271">
        <v>7000</v>
      </c>
      <c r="S61" s="272">
        <v>285</v>
      </c>
      <c r="T61" s="272">
        <v>382</v>
      </c>
      <c r="U61" s="272">
        <v>511</v>
      </c>
      <c r="V61" s="272">
        <v>684</v>
      </c>
      <c r="W61" s="272">
        <v>725</v>
      </c>
      <c r="X61" s="272">
        <v>768</v>
      </c>
      <c r="Y61" s="272">
        <v>814</v>
      </c>
      <c r="Z61" s="272">
        <v>863</v>
      </c>
      <c r="AA61" s="272">
        <v>898</v>
      </c>
      <c r="AB61" s="272">
        <v>933</v>
      </c>
      <c r="AC61" s="272">
        <v>971</v>
      </c>
      <c r="AD61" s="272">
        <v>980</v>
      </c>
      <c r="AE61" s="272">
        <v>1050</v>
      </c>
      <c r="AF61" s="272">
        <v>1130</v>
      </c>
      <c r="AG61" s="272">
        <v>1210</v>
      </c>
      <c r="AH61" s="272">
        <v>1300</v>
      </c>
      <c r="AI61" s="272">
        <v>1390</v>
      </c>
      <c r="AJ61" s="272">
        <v>1480</v>
      </c>
      <c r="AK61" s="272">
        <v>1580</v>
      </c>
      <c r="AL61" s="268" t="s">
        <v>2132</v>
      </c>
      <c r="AM61" s="268" t="s">
        <v>3649</v>
      </c>
      <c r="AN61" s="268" t="s">
        <v>2134</v>
      </c>
      <c r="AO61" s="657"/>
      <c r="AP61" s="271">
        <v>90</v>
      </c>
      <c r="AQ61" s="280">
        <v>74</v>
      </c>
      <c r="AR61" s="280">
        <v>11</v>
      </c>
      <c r="AS61" s="280">
        <v>5</v>
      </c>
      <c r="AT61" s="657"/>
      <c r="AU61" s="301" t="s">
        <v>3635</v>
      </c>
      <c r="AV61" s="572" t="s">
        <v>3650</v>
      </c>
      <c r="AW61" s="645" t="s">
        <v>3651</v>
      </c>
      <c r="AX61" s="290" t="s">
        <v>3299</v>
      </c>
      <c r="AY61" s="657"/>
      <c r="AZ61" s="948">
        <v>7</v>
      </c>
      <c r="BA61" s="948">
        <v>3</v>
      </c>
      <c r="BB61" s="948">
        <v>1</v>
      </c>
      <c r="BC61" s="948">
        <v>7</v>
      </c>
      <c r="BD61" s="825">
        <f t="shared" si="130"/>
        <v>20340</v>
      </c>
      <c r="BE61" s="304">
        <f t="shared" si="131"/>
        <v>7910</v>
      </c>
      <c r="BF61" s="304">
        <f t="shared" si="132"/>
        <v>3390</v>
      </c>
      <c r="BG61" s="304">
        <f t="shared" si="133"/>
        <v>1130</v>
      </c>
      <c r="BH61" s="304">
        <f t="shared" si="134"/>
        <v>7910</v>
      </c>
      <c r="BI61" s="825">
        <f t="shared" si="135"/>
        <v>28440</v>
      </c>
      <c r="BJ61" s="304">
        <f t="shared" si="136"/>
        <v>11060</v>
      </c>
      <c r="BK61" s="304">
        <f t="shared" si="137"/>
        <v>4740</v>
      </c>
      <c r="BL61" s="304">
        <f t="shared" si="138"/>
        <v>1580</v>
      </c>
      <c r="BM61" s="304">
        <f t="shared" si="139"/>
        <v>11060</v>
      </c>
      <c r="BN61" s="657"/>
      <c r="BO61" s="284">
        <v>0.62</v>
      </c>
      <c r="BP61" s="284">
        <v>0.16</v>
      </c>
      <c r="BQ61" s="284">
        <v>0.1</v>
      </c>
      <c r="BR61" s="710">
        <v>0.12</v>
      </c>
      <c r="BS61" s="707">
        <v>0.6</v>
      </c>
      <c r="BT61" s="284">
        <v>0.16</v>
      </c>
      <c r="BU61" s="284">
        <v>0.12</v>
      </c>
      <c r="BV61" s="710">
        <v>0.12</v>
      </c>
      <c r="BW61" s="714">
        <v>0.82</v>
      </c>
      <c r="BX61" s="285">
        <v>0.15</v>
      </c>
      <c r="BY61" s="717">
        <v>0.03</v>
      </c>
      <c r="BZ61" s="714">
        <v>0.78</v>
      </c>
      <c r="CA61" s="285">
        <v>0.18</v>
      </c>
      <c r="CB61" s="717">
        <v>0.04</v>
      </c>
      <c r="CC61" s="284">
        <v>0.2</v>
      </c>
      <c r="CD61" s="284">
        <v>0.4</v>
      </c>
      <c r="CE61" s="284">
        <v>0.25</v>
      </c>
      <c r="CF61" s="710">
        <v>0.15</v>
      </c>
      <c r="CG61" s="707">
        <v>0.18</v>
      </c>
      <c r="CH61" s="284">
        <v>0.4</v>
      </c>
      <c r="CI61" s="284">
        <v>0.28000000000000003</v>
      </c>
      <c r="CJ61" s="710">
        <v>0.14000000000000001</v>
      </c>
      <c r="CK61" s="720">
        <v>0.7</v>
      </c>
      <c r="CL61" s="286">
        <v>0.2</v>
      </c>
      <c r="CM61" s="718">
        <v>0.1</v>
      </c>
      <c r="CN61" s="720">
        <v>0.67</v>
      </c>
      <c r="CO61" s="286">
        <v>0.215</v>
      </c>
      <c r="CP61" s="718">
        <v>0.115</v>
      </c>
      <c r="CQ61" s="657"/>
      <c r="CR61" s="807">
        <v>14</v>
      </c>
      <c r="CS61" s="808">
        <v>13</v>
      </c>
      <c r="CT61" s="808">
        <v>10</v>
      </c>
      <c r="CU61" s="809">
        <v>12</v>
      </c>
      <c r="CV61" s="807">
        <v>13</v>
      </c>
      <c r="CW61" s="808">
        <v>12</v>
      </c>
      <c r="CX61" s="809">
        <v>9</v>
      </c>
      <c r="CY61" s="807">
        <v>13</v>
      </c>
      <c r="CZ61" s="808">
        <v>13</v>
      </c>
      <c r="DA61" s="808">
        <v>9</v>
      </c>
      <c r="DB61" s="809">
        <v>11</v>
      </c>
      <c r="DC61" s="807">
        <v>15</v>
      </c>
      <c r="DD61" s="808">
        <v>13</v>
      </c>
      <c r="DE61" s="809">
        <v>10</v>
      </c>
      <c r="DF61" s="610" t="s">
        <v>3652</v>
      </c>
      <c r="DG61" s="657"/>
      <c r="DH61" s="288">
        <f t="shared" si="140"/>
        <v>4904.2</v>
      </c>
      <c r="DI61" s="288">
        <f t="shared" si="141"/>
        <v>1265.6000000000001</v>
      </c>
      <c r="DJ61" s="288">
        <f t="shared" si="142"/>
        <v>791</v>
      </c>
      <c r="DK61" s="288">
        <f t="shared" si="143"/>
        <v>949.19999999999993</v>
      </c>
      <c r="DL61" s="560" t="s">
        <v>3638</v>
      </c>
      <c r="DM61" s="288">
        <f t="shared" si="144"/>
        <v>6636</v>
      </c>
      <c r="DN61" s="288">
        <f t="shared" si="145"/>
        <v>1769.6000000000001</v>
      </c>
      <c r="DO61" s="288">
        <f t="shared" si="146"/>
        <v>1327.2</v>
      </c>
      <c r="DP61" s="288">
        <f t="shared" si="147"/>
        <v>1327.2</v>
      </c>
      <c r="DQ61" s="561" t="s">
        <v>3485</v>
      </c>
      <c r="DR61" s="657"/>
      <c r="DS61" s="288">
        <f t="shared" si="148"/>
        <v>2779.7999999999997</v>
      </c>
      <c r="DT61" s="288">
        <f t="shared" si="149"/>
        <v>508.5</v>
      </c>
      <c r="DU61" s="288">
        <f t="shared" si="150"/>
        <v>101.7</v>
      </c>
      <c r="DV61" s="561" t="s">
        <v>3639</v>
      </c>
      <c r="DW61" s="288">
        <f t="shared" si="151"/>
        <v>3697.2000000000003</v>
      </c>
      <c r="DX61" s="288">
        <f t="shared" si="152"/>
        <v>853.19999999999993</v>
      </c>
      <c r="DY61" s="288">
        <f t="shared" si="153"/>
        <v>189.6</v>
      </c>
      <c r="DZ61" s="561" t="s">
        <v>3487</v>
      </c>
      <c r="EA61" s="657"/>
      <c r="EB61" s="288">
        <f t="shared" si="154"/>
        <v>226</v>
      </c>
      <c r="EC61" s="288">
        <f t="shared" si="155"/>
        <v>452</v>
      </c>
      <c r="ED61" s="288">
        <f t="shared" si="156"/>
        <v>282.5</v>
      </c>
      <c r="EE61" s="288">
        <f t="shared" si="157"/>
        <v>169.5</v>
      </c>
      <c r="EF61" s="561" t="s">
        <v>3640</v>
      </c>
      <c r="EG61" s="288">
        <f t="shared" si="158"/>
        <v>284.39999999999998</v>
      </c>
      <c r="EH61" s="288">
        <f t="shared" si="159"/>
        <v>632</v>
      </c>
      <c r="EI61" s="288">
        <f t="shared" si="160"/>
        <v>442.40000000000003</v>
      </c>
      <c r="EJ61" s="288">
        <f t="shared" si="161"/>
        <v>221.20000000000002</v>
      </c>
      <c r="EK61" s="561" t="s">
        <v>3489</v>
      </c>
      <c r="EL61" s="657"/>
      <c r="EM61" s="288">
        <f t="shared" si="162"/>
        <v>5537</v>
      </c>
      <c r="EN61" s="291">
        <f t="shared" si="163"/>
        <v>1582</v>
      </c>
      <c r="EO61" s="291">
        <f t="shared" si="164"/>
        <v>791</v>
      </c>
      <c r="EP61" s="561" t="s">
        <v>3641</v>
      </c>
      <c r="EQ61" s="288">
        <f t="shared" si="165"/>
        <v>7410.2000000000007</v>
      </c>
      <c r="ER61" s="291">
        <f t="shared" si="166"/>
        <v>2377.9</v>
      </c>
      <c r="ES61" s="291">
        <f t="shared" si="167"/>
        <v>1271.9000000000001</v>
      </c>
      <c r="ET61" s="561" t="s">
        <v>3491</v>
      </c>
      <c r="EU61" s="657"/>
      <c r="EV61" s="740">
        <f t="shared" si="168"/>
        <v>0.29459276080098307</v>
      </c>
      <c r="EW61" s="740">
        <f t="shared" si="169"/>
        <v>0.70540723919901693</v>
      </c>
      <c r="EX61" s="563">
        <f t="shared" si="170"/>
        <v>12847.461290999223</v>
      </c>
      <c r="EY61" s="563">
        <f t="shared" si="171"/>
        <v>3784.7690909992234</v>
      </c>
      <c r="EZ61" s="563">
        <f t="shared" si="172"/>
        <v>9062.6921999999995</v>
      </c>
      <c r="FA61" s="563">
        <f t="shared" si="173"/>
        <v>5023.4371270769234</v>
      </c>
      <c r="FB61" s="563">
        <f t="shared" si="174"/>
        <v>1499.0568270769234</v>
      </c>
      <c r="FC61" s="563">
        <f t="shared" si="175"/>
        <v>3524.3802999999998</v>
      </c>
      <c r="FD61" s="563">
        <f t="shared" si="176"/>
        <v>2190.7388966153844</v>
      </c>
      <c r="FE61" s="563">
        <f t="shared" si="177"/>
        <v>680.2901966153845</v>
      </c>
      <c r="FF61" s="563">
        <f t="shared" si="178"/>
        <v>1510.4486999999999</v>
      </c>
      <c r="FG61" s="563">
        <f t="shared" si="179"/>
        <v>781.88731479409478</v>
      </c>
      <c r="FH61" s="563">
        <f t="shared" si="180"/>
        <v>278.40441479409481</v>
      </c>
      <c r="FI61" s="563">
        <f t="shared" si="181"/>
        <v>503.48289999999997</v>
      </c>
      <c r="FJ61" s="563">
        <f t="shared" si="182"/>
        <v>4851.3979525128207</v>
      </c>
      <c r="FK61" s="563">
        <f t="shared" si="183"/>
        <v>1327.0176525128206</v>
      </c>
      <c r="FL61" s="563">
        <f t="shared" si="184"/>
        <v>3524.3802999999998</v>
      </c>
      <c r="FM61" s="529"/>
      <c r="FN61" s="564" t="s">
        <v>2649</v>
      </c>
      <c r="FO61" s="740">
        <v>4.7329999999999997E-2</v>
      </c>
      <c r="FP61" s="741">
        <v>0.87280000000000002</v>
      </c>
      <c r="FQ61" s="565" t="s">
        <v>3653</v>
      </c>
      <c r="FR61" s="529"/>
      <c r="FS61" s="867">
        <v>3.42</v>
      </c>
      <c r="FT61" s="566">
        <f>RANK($FS61,$FS$8:$FS$154,0)+COUNTIF($FS$8:$FS61,$FS61)-1</f>
        <v>53</v>
      </c>
      <c r="FU61" s="867">
        <v>3.65</v>
      </c>
      <c r="FV61" s="566">
        <f>RANK($FU61,$FU$8:$FU$154,0)+COUNTIF($FU$8:$FU61,$FU61)-1</f>
        <v>120</v>
      </c>
      <c r="FW61" s="867">
        <v>3.14</v>
      </c>
      <c r="FX61" s="566">
        <f>RANK($FW61,$FW$8:$FW$154,0)+COUNTIF($FW$8:$FW61,$FW61)-1</f>
        <v>7</v>
      </c>
      <c r="FY61" s="529"/>
      <c r="FZ61" s="567" t="s">
        <v>3627</v>
      </c>
      <c r="GA61" s="567" t="s">
        <v>3654</v>
      </c>
      <c r="GB61" s="567" t="s">
        <v>3608</v>
      </c>
      <c r="GC61" s="567" t="s">
        <v>3655</v>
      </c>
      <c r="GD61" s="567" t="s">
        <v>3656</v>
      </c>
      <c r="GE61" s="567" t="s">
        <v>3657</v>
      </c>
      <c r="GF61" s="567" t="str">
        <f>HYPERLINK("https://www.cnsa.fr/budget-et-financement/financement-des-esms/investissement-immobilier","https://www.cnsa.fr/budget-et-financement/financement-des-esms/investissement-immobilier")&amp;CHAR(10)&amp;HYPERLINK("https://www.cnsa.fr/actualites/instruction-budgetaire-les-priorites-de-financement-des-esms-pour-lexercice-2025","https://www.cnsa.fr/actualites/instruction-budgetaire-les-priorites-de-financement-des-esms-pour-lexercice-2025")&amp;CHAR(10)&amp;HYPERLINK("https://www.cnsa.fr/actualites/le-plan-national-50-000-solutions-des-avancees-tangibles","https://www.cnsa.fr/actualites/le-plan-national-50-000-solutions-des-avancees-tangibles")&amp;CHAR(10)&amp;HYPERLINK("https://www.atout-france.fr/fr/catalogue/etudes-publications/investissements-touristiques-et-developpement-des-territoires-en-1","https://www.atout-france.fr/fr/catalogue/etudes-publications/investissements-touristiques-et-developpement-des-territoires-en-1")&amp;CHAR(10)&amp;HYPERLINK("https://www.atout-france.fr/fr/actualites/investissements-touristiques-vers-un-nouveau-cycle-plus-selectif-et-durable","https://www.atout-france.fr/fr/actualites/investissements-touristiques-vers-un-nouveau-cycle-plus-selectif-et-durable")&amp;CHAR(10)&amp;HYPERLINK("https://www.atout-france.fr/fr/actualites/bilan-touristique-de-lannee-2025-avec-102-millions-de-visiteurs-la-france-pays-le-plus","https://www.atout-france.fr/fr/actualites/bilan-touristique-de-lannee-2025-avec-102-millions-de-visiteurs-la-france-pays-le-plus")&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https://www.cnsa.fr/budget-et-financement/financement-des-esms/investissement-immobilier
https://www.cnsa.fr/actualites/instruction-budgetaire-les-priorites-de-financement-des-esms-pour-lexercice-2025
https://www.cnsa.fr/actualites/le-plan-national-50-000-solutions-des-avancees-tangibles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
https://www.statistiques.developpement-durable.gouv.fr/construction-de-locaux-resultats-fin-janvier-2026-france-entiere
https://www.insee.fr/fr/statistiques/8671745
https://www.insee.fr/fr/statistiques/8906564</v>
      </c>
      <c r="GG61" s="529"/>
      <c r="GH61" s="563">
        <f t="shared" si="185"/>
        <v>2910.639236</v>
      </c>
      <c r="GI61" s="563">
        <f t="shared" si="116"/>
        <v>796.01105600000005</v>
      </c>
      <c r="GJ61" s="563">
        <f t="shared" si="186"/>
        <v>2114.6281799999997</v>
      </c>
      <c r="GK61" s="563">
        <f t="shared" si="187"/>
        <v>804.44989907692309</v>
      </c>
      <c r="GL61" s="563">
        <f t="shared" si="117"/>
        <v>240.54905107692312</v>
      </c>
      <c r="GM61" s="563">
        <f t="shared" si="188"/>
        <v>563.900848</v>
      </c>
      <c r="GN61" s="563">
        <f t="shared" si="189"/>
        <v>671.46416399999998</v>
      </c>
      <c r="GO61" s="563">
        <f t="shared" si="118"/>
        <v>248.53852800000001</v>
      </c>
      <c r="GP61" s="563">
        <f t="shared" si="190"/>
        <v>422.92563599999994</v>
      </c>
      <c r="GQ61" s="563">
        <f t="shared" si="191"/>
        <v>636.88382799999988</v>
      </c>
      <c r="GR61" s="563">
        <f t="shared" si="119"/>
        <v>213.95819199999997</v>
      </c>
      <c r="GS61" s="563">
        <f t="shared" si="192"/>
        <v>422.92563599999994</v>
      </c>
      <c r="GT61" s="563">
        <f t="shared" si="193"/>
        <v>1706.4987946153844</v>
      </c>
      <c r="GU61" s="563">
        <f t="shared" si="120"/>
        <v>528.34880861538454</v>
      </c>
      <c r="GV61" s="563">
        <f t="shared" si="194"/>
        <v>1178.1499859999999</v>
      </c>
      <c r="GW61" s="563">
        <f t="shared" si="195"/>
        <v>386.50122599999997</v>
      </c>
      <c r="GX61" s="563">
        <f t="shared" si="121"/>
        <v>114.62046000000001</v>
      </c>
      <c r="GY61" s="563">
        <f t="shared" si="196"/>
        <v>271.88076599999999</v>
      </c>
      <c r="GZ61" s="563">
        <f t="shared" si="197"/>
        <v>97.738876000000005</v>
      </c>
      <c r="HA61" s="563">
        <f t="shared" si="122"/>
        <v>37.320928000000009</v>
      </c>
      <c r="HB61" s="563">
        <f t="shared" si="198"/>
        <v>60.417947999999996</v>
      </c>
      <c r="HC61" s="563">
        <f t="shared" si="199"/>
        <v>133.58210969230768</v>
      </c>
      <c r="HD61" s="563">
        <f t="shared" si="123"/>
        <v>42.955187692307696</v>
      </c>
      <c r="HE61" s="563">
        <f t="shared" si="200"/>
        <v>90.626921999999993</v>
      </c>
      <c r="HF61" s="563">
        <f t="shared" si="201"/>
        <v>287.30353538461537</v>
      </c>
      <c r="HG61" s="563">
        <f t="shared" si="124"/>
        <v>85.910375384615392</v>
      </c>
      <c r="HH61" s="563">
        <f t="shared" si="202"/>
        <v>201.39315999999999</v>
      </c>
      <c r="HI61" s="563">
        <f t="shared" si="203"/>
        <v>244.64445644444444</v>
      </c>
      <c r="HJ61" s="563">
        <f t="shared" si="125"/>
        <v>103.66924444444444</v>
      </c>
      <c r="HK61" s="563">
        <f t="shared" si="204"/>
        <v>140.975212</v>
      </c>
      <c r="HL61" s="563">
        <f t="shared" si="205"/>
        <v>116.35721327272728</v>
      </c>
      <c r="HM61" s="563">
        <f t="shared" si="126"/>
        <v>45.869607272727279</v>
      </c>
      <c r="HN61" s="563">
        <f t="shared" si="206"/>
        <v>70.487606</v>
      </c>
      <c r="HO61" s="563">
        <f t="shared" si="207"/>
        <v>3139.1276116666668</v>
      </c>
      <c r="HP61" s="563">
        <f t="shared" si="127"/>
        <v>777.79281066666681</v>
      </c>
      <c r="HQ61" s="563">
        <f t="shared" si="208"/>
        <v>2361.334801</v>
      </c>
      <c r="HR61" s="563">
        <f t="shared" si="209"/>
        <v>1058.4280783461538</v>
      </c>
      <c r="HS61" s="563">
        <f t="shared" si="128"/>
        <v>300.68631384615384</v>
      </c>
      <c r="HT61" s="563">
        <f t="shared" si="210"/>
        <v>757.74176449999993</v>
      </c>
      <c r="HU61" s="563">
        <f t="shared" si="211"/>
        <v>653.84226250000006</v>
      </c>
      <c r="HV61" s="563">
        <f t="shared" si="129"/>
        <v>248.53852800000001</v>
      </c>
      <c r="HW61" s="563">
        <f t="shared" si="212"/>
        <v>405.30373450000002</v>
      </c>
      <c r="HX61" s="544"/>
      <c r="HY61" s="568">
        <f t="shared" si="213"/>
        <v>20340.000000000004</v>
      </c>
      <c r="HZ61" s="568">
        <f t="shared" si="214"/>
        <v>0</v>
      </c>
      <c r="IA61" s="568">
        <f t="shared" si="215"/>
        <v>106.672</v>
      </c>
      <c r="IB61" s="568">
        <f t="shared" si="216"/>
        <v>8226.1740000000009</v>
      </c>
      <c r="IC61" s="568">
        <f t="shared" si="217"/>
        <v>10020.614000000001</v>
      </c>
      <c r="ID61" s="568">
        <f t="shared" si="218"/>
        <v>1986.54</v>
      </c>
      <c r="IE61" s="568">
        <f t="shared" si="219"/>
        <v>3784.7690909992234</v>
      </c>
      <c r="IF61" s="568">
        <f t="shared" si="220"/>
        <v>0</v>
      </c>
      <c r="IG61" s="568">
        <f t="shared" si="221"/>
        <v>0</v>
      </c>
      <c r="IH61" s="568">
        <f t="shared" si="222"/>
        <v>871.40244371247832</v>
      </c>
      <c r="II61" s="568">
        <f t="shared" si="223"/>
        <v>2383.4989745468538</v>
      </c>
      <c r="IJ61" s="568">
        <f t="shared" si="224"/>
        <v>529.8676727398913</v>
      </c>
      <c r="IK61" s="868">
        <v>3.9</v>
      </c>
      <c r="IL61" s="569" t="s">
        <v>2589</v>
      </c>
      <c r="IM61" s="570" t="s">
        <v>3658</v>
      </c>
      <c r="IN61" s="529"/>
      <c r="IO61" s="742">
        <v>0</v>
      </c>
      <c r="IP61" s="742">
        <v>0</v>
      </c>
      <c r="IQ61" s="742">
        <v>0.4032</v>
      </c>
      <c r="IR61" s="742">
        <v>0.49680000000000002</v>
      </c>
      <c r="IS61" s="742">
        <v>0.1</v>
      </c>
      <c r="IT61" s="742">
        <v>0</v>
      </c>
      <c r="IU61" s="742">
        <v>0</v>
      </c>
      <c r="IV61" s="742">
        <v>0.22489999999999999</v>
      </c>
      <c r="IW61" s="742">
        <v>0.6351</v>
      </c>
      <c r="IX61" s="742">
        <v>0.14000000000000001</v>
      </c>
      <c r="IY61" s="742">
        <v>0</v>
      </c>
      <c r="IZ61" s="742">
        <v>0</v>
      </c>
      <c r="JA61" s="742">
        <v>0.3654</v>
      </c>
      <c r="JB61" s="742">
        <v>0.53459999999999996</v>
      </c>
      <c r="JC61" s="742">
        <v>0.1</v>
      </c>
      <c r="JD61" s="742">
        <v>0</v>
      </c>
      <c r="JE61" s="742">
        <v>0</v>
      </c>
      <c r="JF61" s="742">
        <v>0.21229999999999999</v>
      </c>
      <c r="JG61" s="742">
        <v>0.64770000000000005</v>
      </c>
      <c r="JH61" s="742">
        <v>0.14000000000000001</v>
      </c>
      <c r="JI61" s="742">
        <v>0</v>
      </c>
      <c r="JJ61" s="742">
        <v>9.4399999999999998E-2</v>
      </c>
      <c r="JK61" s="742">
        <v>0.5171</v>
      </c>
      <c r="JL61" s="742">
        <v>0.33050000000000002</v>
      </c>
      <c r="JM61" s="742">
        <v>5.8000000000000003E-2</v>
      </c>
      <c r="JN61" s="742">
        <v>0</v>
      </c>
      <c r="JO61" s="742">
        <v>0</v>
      </c>
      <c r="JP61" s="742">
        <v>0.3216</v>
      </c>
      <c r="JQ61" s="742">
        <v>0.53839999999999999</v>
      </c>
      <c r="JR61" s="742">
        <v>0.14000000000000001</v>
      </c>
      <c r="JS61" s="742">
        <v>0</v>
      </c>
      <c r="JT61" s="742">
        <v>0</v>
      </c>
      <c r="JU61" s="742">
        <v>0.40629999999999999</v>
      </c>
      <c r="JV61" s="742">
        <v>0.49370000000000003</v>
      </c>
      <c r="JW61" s="742">
        <v>0.1</v>
      </c>
      <c r="JX61" s="742">
        <v>0</v>
      </c>
      <c r="JY61" s="742">
        <v>0</v>
      </c>
      <c r="JZ61" s="742">
        <v>0.2263</v>
      </c>
      <c r="KA61" s="742">
        <v>0.63370000000000004</v>
      </c>
      <c r="KB61" s="742">
        <v>0.14000000000000001</v>
      </c>
      <c r="KC61" s="657"/>
      <c r="KD61" s="832" t="s">
        <v>2591</v>
      </c>
      <c r="KE61" s="832" t="s">
        <v>2625</v>
      </c>
      <c r="KF61" s="869">
        <v>3.98</v>
      </c>
      <c r="KG61" s="832" t="s">
        <v>2626</v>
      </c>
      <c r="KH61" s="833" t="s">
        <v>3659</v>
      </c>
      <c r="KI61" s="832" t="s">
        <v>3660</v>
      </c>
      <c r="KJ61" s="833" t="s">
        <v>3661</v>
      </c>
    </row>
    <row r="62" spans="1:296" ht="48" hidden="1" customHeight="1">
      <c r="A62" s="273">
        <f t="shared" si="225"/>
        <v>55</v>
      </c>
      <c r="B62" s="274" t="s">
        <v>3662</v>
      </c>
      <c r="C62" s="274" t="s">
        <v>1114</v>
      </c>
      <c r="D62" s="274" t="s">
        <v>1115</v>
      </c>
      <c r="E62" s="275" t="s">
        <v>3663</v>
      </c>
      <c r="F62" s="275" t="s">
        <v>300</v>
      </c>
      <c r="G62" s="275" t="s">
        <v>300</v>
      </c>
      <c r="H62" s="275" t="s">
        <v>2109</v>
      </c>
      <c r="I62" s="276" t="s">
        <v>3664</v>
      </c>
      <c r="J62" s="276" t="s">
        <v>3665</v>
      </c>
      <c r="K62" s="277" t="s">
        <v>2097</v>
      </c>
      <c r="L62" s="277" t="s">
        <v>2109</v>
      </c>
      <c r="M62" s="277" t="s">
        <v>2603</v>
      </c>
      <c r="N62" s="277" t="s">
        <v>3322</v>
      </c>
      <c r="O62" s="275" t="s">
        <v>2212</v>
      </c>
      <c r="P62" s="276"/>
      <c r="Q62" s="270">
        <v>1</v>
      </c>
      <c r="R62" s="278">
        <v>2200</v>
      </c>
      <c r="S62" s="279">
        <v>2159</v>
      </c>
      <c r="T62" s="279">
        <v>2149</v>
      </c>
      <c r="U62" s="279">
        <v>2050</v>
      </c>
      <c r="V62" s="279">
        <v>2033</v>
      </c>
      <c r="W62" s="279">
        <v>2035</v>
      </c>
      <c r="X62" s="279">
        <v>2037</v>
      </c>
      <c r="Y62" s="279">
        <v>2038</v>
      </c>
      <c r="Z62" s="279">
        <v>2040</v>
      </c>
      <c r="AA62" s="279">
        <v>2041</v>
      </c>
      <c r="AB62" s="279">
        <v>2043</v>
      </c>
      <c r="AC62" s="279">
        <v>2046</v>
      </c>
      <c r="AD62" s="279">
        <v>2049</v>
      </c>
      <c r="AE62" s="279">
        <v>2052</v>
      </c>
      <c r="AF62" s="279">
        <v>2055</v>
      </c>
      <c r="AG62" s="279">
        <v>2057</v>
      </c>
      <c r="AH62" s="279">
        <v>2059</v>
      </c>
      <c r="AI62" s="279">
        <v>2061</v>
      </c>
      <c r="AJ62" s="279">
        <v>2063</v>
      </c>
      <c r="AK62" s="279">
        <v>2065</v>
      </c>
      <c r="AL62" s="276" t="s">
        <v>3234</v>
      </c>
      <c r="AM62" s="276" t="s">
        <v>3666</v>
      </c>
      <c r="AN62" s="276" t="s">
        <v>3667</v>
      </c>
      <c r="AO62" s="657"/>
      <c r="AP62" s="278">
        <v>500</v>
      </c>
      <c r="AQ62" s="278">
        <v>440</v>
      </c>
      <c r="AR62" s="278">
        <v>40</v>
      </c>
      <c r="AS62" s="278">
        <v>20</v>
      </c>
      <c r="AT62" s="657"/>
      <c r="AU62" s="281" t="s">
        <v>3668</v>
      </c>
      <c r="AV62" s="296" t="s">
        <v>3669</v>
      </c>
      <c r="AW62" s="296" t="s">
        <v>3670</v>
      </c>
      <c r="AX62" s="276" t="s">
        <v>2609</v>
      </c>
      <c r="AY62" s="657"/>
      <c r="AZ62" s="947">
        <v>10</v>
      </c>
      <c r="BA62" s="947">
        <v>0</v>
      </c>
      <c r="BB62" s="947">
        <v>2</v>
      </c>
      <c r="BC62" s="947">
        <v>9</v>
      </c>
      <c r="BD62" s="826">
        <f t="shared" si="130"/>
        <v>43155</v>
      </c>
      <c r="BE62" s="283">
        <f t="shared" si="131"/>
        <v>20550</v>
      </c>
      <c r="BF62" s="283">
        <f t="shared" si="132"/>
        <v>0</v>
      </c>
      <c r="BG62" s="283">
        <f t="shared" si="133"/>
        <v>4110</v>
      </c>
      <c r="BH62" s="283">
        <f t="shared" si="134"/>
        <v>18495</v>
      </c>
      <c r="BI62" s="826">
        <f t="shared" si="135"/>
        <v>43365</v>
      </c>
      <c r="BJ62" s="283">
        <f t="shared" si="136"/>
        <v>20650</v>
      </c>
      <c r="BK62" s="283">
        <f t="shared" si="137"/>
        <v>0</v>
      </c>
      <c r="BL62" s="283">
        <f t="shared" si="138"/>
        <v>4130</v>
      </c>
      <c r="BM62" s="283">
        <f t="shared" si="139"/>
        <v>18585</v>
      </c>
      <c r="BN62" s="657"/>
      <c r="BO62" s="305">
        <v>0.18</v>
      </c>
      <c r="BP62" s="305">
        <v>0.65</v>
      </c>
      <c r="BQ62" s="305">
        <v>0.12</v>
      </c>
      <c r="BR62" s="581">
        <v>0.05</v>
      </c>
      <c r="BS62" s="706">
        <v>0.16</v>
      </c>
      <c r="BT62" s="305">
        <v>0.66</v>
      </c>
      <c r="BU62" s="305">
        <v>0.15</v>
      </c>
      <c r="BV62" s="581">
        <v>0.03</v>
      </c>
      <c r="BW62" s="713"/>
      <c r="BX62" s="306"/>
      <c r="BY62" s="590"/>
      <c r="BZ62" s="713"/>
      <c r="CA62" s="306"/>
      <c r="CB62" s="590"/>
      <c r="CC62" s="706">
        <v>0.1</v>
      </c>
      <c r="CD62" s="305">
        <v>0.55000000000000004</v>
      </c>
      <c r="CE62" s="305">
        <v>0.15</v>
      </c>
      <c r="CF62" s="581">
        <v>0.2</v>
      </c>
      <c r="CG62" s="706">
        <v>0.08</v>
      </c>
      <c r="CH62" s="305">
        <v>0.55000000000000004</v>
      </c>
      <c r="CI62" s="305">
        <v>0.18</v>
      </c>
      <c r="CJ62" s="581">
        <v>0.19</v>
      </c>
      <c r="CK62" s="719">
        <v>0.45</v>
      </c>
      <c r="CL62" s="307">
        <v>0.45</v>
      </c>
      <c r="CM62" s="723">
        <v>0.1</v>
      </c>
      <c r="CN62" s="719">
        <v>0.37</v>
      </c>
      <c r="CO62" s="307">
        <v>0.48</v>
      </c>
      <c r="CP62" s="723">
        <v>0.15</v>
      </c>
      <c r="CQ62" s="657"/>
      <c r="CR62" s="804">
        <v>13</v>
      </c>
      <c r="CS62" s="805">
        <v>13</v>
      </c>
      <c r="CT62" s="805">
        <v>10</v>
      </c>
      <c r="CU62" s="806">
        <v>12</v>
      </c>
      <c r="CV62" s="804"/>
      <c r="CW62" s="805"/>
      <c r="CX62" s="806"/>
      <c r="CY62" s="804">
        <v>11</v>
      </c>
      <c r="CZ62" s="805">
        <v>13</v>
      </c>
      <c r="DA62" s="805">
        <v>9</v>
      </c>
      <c r="DB62" s="806">
        <v>11</v>
      </c>
      <c r="DC62" s="804">
        <v>12</v>
      </c>
      <c r="DD62" s="805">
        <v>13</v>
      </c>
      <c r="DE62" s="806">
        <v>10</v>
      </c>
      <c r="DF62" s="609" t="s">
        <v>3671</v>
      </c>
      <c r="DG62" s="657"/>
      <c r="DH62" s="308">
        <f t="shared" si="140"/>
        <v>3699</v>
      </c>
      <c r="DI62" s="308">
        <f t="shared" si="141"/>
        <v>13357.5</v>
      </c>
      <c r="DJ62" s="308">
        <f t="shared" si="142"/>
        <v>2466</v>
      </c>
      <c r="DK62" s="308">
        <f t="shared" si="143"/>
        <v>1027.5</v>
      </c>
      <c r="DL62" s="287" t="s">
        <v>3672</v>
      </c>
      <c r="DM62" s="308">
        <f t="shared" si="144"/>
        <v>3304</v>
      </c>
      <c r="DN62" s="308">
        <f t="shared" si="145"/>
        <v>13629</v>
      </c>
      <c r="DO62" s="308">
        <f t="shared" si="146"/>
        <v>3097.5</v>
      </c>
      <c r="DP62" s="308">
        <f t="shared" si="147"/>
        <v>619.5</v>
      </c>
      <c r="DQ62" s="289" t="s">
        <v>3673</v>
      </c>
      <c r="DR62" s="657"/>
      <c r="DS62" s="308">
        <f t="shared" si="148"/>
        <v>0</v>
      </c>
      <c r="DT62" s="308">
        <f t="shared" si="149"/>
        <v>0</v>
      </c>
      <c r="DU62" s="308">
        <f t="shared" si="150"/>
        <v>0</v>
      </c>
      <c r="DV62" s="289" t="s">
        <v>2613</v>
      </c>
      <c r="DW62" s="308">
        <f t="shared" si="151"/>
        <v>0</v>
      </c>
      <c r="DX62" s="308">
        <f t="shared" si="152"/>
        <v>0</v>
      </c>
      <c r="DY62" s="308">
        <f t="shared" si="153"/>
        <v>0</v>
      </c>
      <c r="DZ62" s="289" t="s">
        <v>2613</v>
      </c>
      <c r="EA62" s="657"/>
      <c r="EB62" s="308">
        <f t="shared" si="154"/>
        <v>411</v>
      </c>
      <c r="EC62" s="308">
        <f t="shared" si="155"/>
        <v>2260.5</v>
      </c>
      <c r="ED62" s="308">
        <f t="shared" si="156"/>
        <v>616.5</v>
      </c>
      <c r="EE62" s="308">
        <f t="shared" si="157"/>
        <v>822</v>
      </c>
      <c r="EF62" s="289" t="s">
        <v>3674</v>
      </c>
      <c r="EG62" s="308">
        <f t="shared" si="158"/>
        <v>330.40000000000003</v>
      </c>
      <c r="EH62" s="308">
        <f t="shared" si="159"/>
        <v>2271.5</v>
      </c>
      <c r="EI62" s="308">
        <f t="shared" si="160"/>
        <v>743.4</v>
      </c>
      <c r="EJ62" s="308">
        <f t="shared" si="161"/>
        <v>784.7</v>
      </c>
      <c r="EK62" s="309" t="s">
        <v>3675</v>
      </c>
      <c r="EL62" s="657"/>
      <c r="EM62" s="308">
        <f t="shared" si="162"/>
        <v>8322.75</v>
      </c>
      <c r="EN62" s="310">
        <f t="shared" si="163"/>
        <v>8322.75</v>
      </c>
      <c r="EO62" s="310">
        <f t="shared" si="164"/>
        <v>1849.5</v>
      </c>
      <c r="EP62" s="289" t="s">
        <v>3676</v>
      </c>
      <c r="EQ62" s="308">
        <f t="shared" si="165"/>
        <v>6876.45</v>
      </c>
      <c r="ER62" s="310">
        <f t="shared" si="166"/>
        <v>8920.7999999999993</v>
      </c>
      <c r="ES62" s="310">
        <f t="shared" si="167"/>
        <v>2787.75</v>
      </c>
      <c r="ET62" s="289" t="s">
        <v>3677</v>
      </c>
      <c r="EU62" s="657"/>
      <c r="EV62" s="728">
        <f t="shared" si="168"/>
        <v>0.82656143310102326</v>
      </c>
      <c r="EW62" s="728">
        <f t="shared" si="169"/>
        <v>0.17343856689897669</v>
      </c>
      <c r="EX62" s="311">
        <f t="shared" si="170"/>
        <v>17513.495725372726</v>
      </c>
      <c r="EY62" s="311">
        <f t="shared" si="171"/>
        <v>14475.980125372726</v>
      </c>
      <c r="EZ62" s="311">
        <f t="shared" si="172"/>
        <v>3037.5155999999997</v>
      </c>
      <c r="FA62" s="311">
        <f t="shared" si="173"/>
        <v>8214.9754888666666</v>
      </c>
      <c r="FB62" s="311">
        <f t="shared" si="174"/>
        <v>6768.5394888666669</v>
      </c>
      <c r="FC62" s="311">
        <f t="shared" si="175"/>
        <v>1446.4359999999999</v>
      </c>
      <c r="FD62" s="311">
        <f t="shared" si="176"/>
        <v>0</v>
      </c>
      <c r="FE62" s="311">
        <f t="shared" si="177"/>
        <v>0</v>
      </c>
      <c r="FF62" s="311">
        <f t="shared" si="178"/>
        <v>0</v>
      </c>
      <c r="FG62" s="311">
        <f t="shared" si="179"/>
        <v>1747.6992366060606</v>
      </c>
      <c r="FH62" s="311">
        <f t="shared" si="180"/>
        <v>1458.4120366060606</v>
      </c>
      <c r="FI62" s="311">
        <f t="shared" si="181"/>
        <v>289.28719999999998</v>
      </c>
      <c r="FJ62" s="311">
        <f t="shared" si="182"/>
        <v>7550.8209998999992</v>
      </c>
      <c r="FK62" s="311">
        <f t="shared" si="183"/>
        <v>6249.0285998999989</v>
      </c>
      <c r="FL62" s="311">
        <f t="shared" si="184"/>
        <v>1301.7923999999998</v>
      </c>
      <c r="FM62" s="657"/>
      <c r="FN62" s="293" t="s">
        <v>2649</v>
      </c>
      <c r="FO62" s="728">
        <v>6.5519999999999995E-2</v>
      </c>
      <c r="FP62" s="729">
        <v>0.82916000000000001</v>
      </c>
      <c r="FQ62" s="294" t="s">
        <v>3678</v>
      </c>
      <c r="FR62" s="657"/>
      <c r="FS62" s="865">
        <v>2.95</v>
      </c>
      <c r="FT62" s="312">
        <f>RANK($FS62,$FS$8:$FS$154,0)+COUNTIF($FS$8:$FS62,$FS62)-1</f>
        <v>120</v>
      </c>
      <c r="FU62" s="865">
        <v>3.86</v>
      </c>
      <c r="FV62" s="312">
        <f>RANK($FU62,$FU$8:$FU$154,0)+COUNTIF($FU$8:$FU62,$FU62)-1</f>
        <v>107</v>
      </c>
      <c r="FW62" s="865">
        <v>1.83</v>
      </c>
      <c r="FX62" s="312">
        <f>RANK($FW62,$FW$8:$FW$154,0)+COUNTIF($FW$8:$FW62,$FW62)-1</f>
        <v>118</v>
      </c>
      <c r="FY62" s="657"/>
      <c r="FZ62" s="296" t="s">
        <v>3679</v>
      </c>
      <c r="GA62" s="296" t="s">
        <v>3680</v>
      </c>
      <c r="GB62" s="296" t="s">
        <v>3681</v>
      </c>
      <c r="GC62" s="296" t="s">
        <v>3682</v>
      </c>
      <c r="GD62" s="296" t="s">
        <v>3683</v>
      </c>
      <c r="GE62" s="296" t="s">
        <v>3684</v>
      </c>
      <c r="GF62" s="296" t="str">
        <f>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https://www.statistiques.developpement-durable.gouv.fr/construction-de-locaux-resultats-fin-janvier-2026-france-entiere
https://www.insee.fr/fr/statistiques/8671745
https://www.insee.fr/fr/statistiques/8906564</v>
      </c>
      <c r="GG62" s="657"/>
      <c r="GH62" s="311">
        <f t="shared" si="185"/>
        <v>1403.0328400000001</v>
      </c>
      <c r="GI62" s="311">
        <f t="shared" si="116"/>
        <v>1171.6030800000001</v>
      </c>
      <c r="GJ62" s="311">
        <f t="shared" si="186"/>
        <v>231.42975999999999</v>
      </c>
      <c r="GK62" s="311">
        <f t="shared" si="187"/>
        <v>5185.4366600000003</v>
      </c>
      <c r="GL62" s="311">
        <f t="shared" si="117"/>
        <v>4230.7889000000005</v>
      </c>
      <c r="GM62" s="311">
        <f t="shared" si="188"/>
        <v>954.64775999999995</v>
      </c>
      <c r="GN62" s="311">
        <f t="shared" si="189"/>
        <v>1230.9617472</v>
      </c>
      <c r="GO62" s="311">
        <f t="shared" si="118"/>
        <v>1013.9963472000001</v>
      </c>
      <c r="GP62" s="311">
        <f t="shared" si="190"/>
        <v>216.96539999999999</v>
      </c>
      <c r="GQ62" s="311">
        <f t="shared" si="191"/>
        <v>395.54424166666666</v>
      </c>
      <c r="GR62" s="311">
        <f t="shared" si="119"/>
        <v>352.15116166666667</v>
      </c>
      <c r="GS62" s="311">
        <f t="shared" si="192"/>
        <v>43.393079999999998</v>
      </c>
      <c r="GT62" s="311">
        <f t="shared" si="193"/>
        <v>0</v>
      </c>
      <c r="GU62" s="311">
        <f t="shared" si="120"/>
        <v>0</v>
      </c>
      <c r="GV62" s="311">
        <f t="shared" si="194"/>
        <v>0</v>
      </c>
      <c r="GW62" s="311">
        <f t="shared" si="195"/>
        <v>0</v>
      </c>
      <c r="GX62" s="311">
        <f t="shared" si="121"/>
        <v>0</v>
      </c>
      <c r="GY62" s="311">
        <f t="shared" si="196"/>
        <v>0</v>
      </c>
      <c r="GZ62" s="311">
        <f t="shared" si="197"/>
        <v>0</v>
      </c>
      <c r="HA62" s="311">
        <f t="shared" si="122"/>
        <v>0</v>
      </c>
      <c r="HB62" s="311">
        <f t="shared" si="198"/>
        <v>0</v>
      </c>
      <c r="HC62" s="311">
        <f t="shared" si="199"/>
        <v>176.6581810909091</v>
      </c>
      <c r="HD62" s="311">
        <f t="shared" si="123"/>
        <v>153.51520509090909</v>
      </c>
      <c r="HE62" s="311">
        <f t="shared" si="200"/>
        <v>23.142976000000001</v>
      </c>
      <c r="HF62" s="311">
        <f t="shared" si="201"/>
        <v>875.08762000000002</v>
      </c>
      <c r="HG62" s="311">
        <f t="shared" si="124"/>
        <v>715.97965999999997</v>
      </c>
      <c r="HH62" s="311">
        <f t="shared" si="202"/>
        <v>159.10795999999999</v>
      </c>
      <c r="HI62" s="311">
        <f t="shared" si="203"/>
        <v>333.95845733333334</v>
      </c>
      <c r="HJ62" s="311">
        <f t="shared" si="125"/>
        <v>281.88676133333337</v>
      </c>
      <c r="HK62" s="311">
        <f t="shared" si="204"/>
        <v>52.071695999999996</v>
      </c>
      <c r="HL62" s="311">
        <f t="shared" si="205"/>
        <v>361.99497818181817</v>
      </c>
      <c r="HM62" s="311">
        <f t="shared" si="126"/>
        <v>307.03041018181818</v>
      </c>
      <c r="HN62" s="311">
        <f t="shared" si="206"/>
        <v>54.964568</v>
      </c>
      <c r="HO62" s="311">
        <f t="shared" si="207"/>
        <v>3334.0875974999999</v>
      </c>
      <c r="HP62" s="311">
        <f t="shared" si="127"/>
        <v>2852.4244094999999</v>
      </c>
      <c r="HQ62" s="311">
        <f t="shared" si="208"/>
        <v>481.66318799999993</v>
      </c>
      <c r="HR62" s="311">
        <f t="shared" si="209"/>
        <v>3260.9672819999996</v>
      </c>
      <c r="HS62" s="311">
        <f t="shared" si="128"/>
        <v>2636.1069299999995</v>
      </c>
      <c r="HT62" s="311">
        <f t="shared" si="210"/>
        <v>624.86035199999992</v>
      </c>
      <c r="HU62" s="311">
        <f t="shared" si="211"/>
        <v>955.76612039999986</v>
      </c>
      <c r="HV62" s="311">
        <f t="shared" si="129"/>
        <v>760.49726039999996</v>
      </c>
      <c r="HW62" s="311">
        <f t="shared" si="212"/>
        <v>195.26885999999996</v>
      </c>
      <c r="HY62" s="313">
        <f t="shared" si="213"/>
        <v>43155.000000000007</v>
      </c>
      <c r="HZ62" s="313">
        <f t="shared" si="214"/>
        <v>21.372</v>
      </c>
      <c r="IA62" s="313">
        <f t="shared" si="215"/>
        <v>6639.4994999999999</v>
      </c>
      <c r="IB62" s="313">
        <f t="shared" si="216"/>
        <v>21116.1525</v>
      </c>
      <c r="IC62" s="313">
        <f t="shared" si="217"/>
        <v>13633.486499999999</v>
      </c>
      <c r="ID62" s="313">
        <f t="shared" si="218"/>
        <v>1744.4895000000001</v>
      </c>
      <c r="IE62" s="313">
        <f t="shared" si="219"/>
        <v>14475.980125372726</v>
      </c>
      <c r="IF62" s="313">
        <f t="shared" si="220"/>
        <v>0</v>
      </c>
      <c r="IG62" s="313">
        <f t="shared" si="221"/>
        <v>1043.2215493899189</v>
      </c>
      <c r="IH62" s="313">
        <f t="shared" si="222"/>
        <v>6055.2153766275096</v>
      </c>
      <c r="II62" s="313">
        <f t="shared" si="223"/>
        <v>6111.6898833678897</v>
      </c>
      <c r="IJ62" s="313">
        <f t="shared" si="224"/>
        <v>1265.8533159874082</v>
      </c>
      <c r="IK62" s="866">
        <v>3.57</v>
      </c>
      <c r="IL62" s="314" t="s">
        <v>2780</v>
      </c>
      <c r="IM62" s="299" t="s">
        <v>3685</v>
      </c>
      <c r="IN62" s="657"/>
      <c r="IO62" s="730">
        <v>0</v>
      </c>
      <c r="IP62" s="730">
        <v>0.1142</v>
      </c>
      <c r="IQ62" s="730">
        <v>0.47020000000000001</v>
      </c>
      <c r="IR62" s="730">
        <v>0.36159999999999998</v>
      </c>
      <c r="IS62" s="730">
        <v>5.3999999999999999E-2</v>
      </c>
      <c r="IT62" s="730">
        <v>0</v>
      </c>
      <c r="IU62" s="730">
        <v>4.3799999999999999E-2</v>
      </c>
      <c r="IV62" s="730">
        <v>0.37959999999999999</v>
      </c>
      <c r="IW62" s="730">
        <v>0.4637</v>
      </c>
      <c r="IX62" s="730">
        <v>0.1129</v>
      </c>
      <c r="IY62" s="730">
        <v>0</v>
      </c>
      <c r="IZ62" s="730">
        <v>0</v>
      </c>
      <c r="JA62" s="730">
        <v>0</v>
      </c>
      <c r="JB62" s="730">
        <v>0</v>
      </c>
      <c r="JC62" s="730">
        <v>0</v>
      </c>
      <c r="JD62" s="730">
        <v>0</v>
      </c>
      <c r="JE62" s="730">
        <v>0</v>
      </c>
      <c r="JF62" s="730">
        <v>0</v>
      </c>
      <c r="JG62" s="730">
        <v>0</v>
      </c>
      <c r="JH62" s="730">
        <v>0</v>
      </c>
      <c r="JI62" s="730">
        <v>5.1999999999999998E-3</v>
      </c>
      <c r="JJ62" s="730">
        <v>0.24390000000000001</v>
      </c>
      <c r="JK62" s="730">
        <v>0.51200000000000001</v>
      </c>
      <c r="JL62" s="730">
        <v>0.22170000000000001</v>
      </c>
      <c r="JM62" s="730">
        <v>1.72E-2</v>
      </c>
      <c r="JN62" s="730">
        <v>0</v>
      </c>
      <c r="JO62" s="730">
        <v>0.1384</v>
      </c>
      <c r="JP62" s="730">
        <v>0.48730000000000001</v>
      </c>
      <c r="JQ62" s="730">
        <v>0.33110000000000001</v>
      </c>
      <c r="JR62" s="730">
        <v>4.3200000000000002E-2</v>
      </c>
      <c r="JS62" s="730">
        <v>0</v>
      </c>
      <c r="JT62" s="730">
        <v>0.1779</v>
      </c>
      <c r="JU62" s="730">
        <v>0.50549999999999995</v>
      </c>
      <c r="JV62" s="730">
        <v>0.28610000000000002</v>
      </c>
      <c r="JW62" s="730">
        <v>3.0499999999999999E-2</v>
      </c>
      <c r="JX62" s="730">
        <v>0</v>
      </c>
      <c r="JY62" s="730">
        <v>8.72E-2</v>
      </c>
      <c r="JZ62" s="730">
        <v>0.44409999999999999</v>
      </c>
      <c r="KA62" s="730">
        <v>0.39850000000000002</v>
      </c>
      <c r="KB62" s="730">
        <v>7.0199999999999999E-2</v>
      </c>
      <c r="KC62" s="657"/>
      <c r="KD62" s="314" t="s">
        <v>2625</v>
      </c>
      <c r="KE62" s="314" t="s">
        <v>2625</v>
      </c>
      <c r="KF62" s="866">
        <v>3.48</v>
      </c>
      <c r="KG62" s="314" t="s">
        <v>2616</v>
      </c>
      <c r="KH62" s="315" t="s">
        <v>3686</v>
      </c>
      <c r="KI62" s="314" t="s">
        <v>3384</v>
      </c>
      <c r="KJ62" s="315" t="s">
        <v>3687</v>
      </c>
    </row>
    <row r="63" spans="1:296" ht="48" hidden="1" customHeight="1">
      <c r="A63" s="265">
        <f t="shared" si="225"/>
        <v>56</v>
      </c>
      <c r="B63" s="266" t="s">
        <v>3662</v>
      </c>
      <c r="C63" s="266" t="s">
        <v>1114</v>
      </c>
      <c r="D63" s="624" t="s">
        <v>1167</v>
      </c>
      <c r="E63" s="267" t="s">
        <v>3663</v>
      </c>
      <c r="F63" s="267" t="s">
        <v>300</v>
      </c>
      <c r="G63" s="267" t="s">
        <v>300</v>
      </c>
      <c r="H63" s="267" t="s">
        <v>2109</v>
      </c>
      <c r="I63" s="268" t="s">
        <v>3688</v>
      </c>
      <c r="J63" s="268" t="s">
        <v>3689</v>
      </c>
      <c r="K63" s="269" t="s">
        <v>2097</v>
      </c>
      <c r="L63" s="269" t="s">
        <v>2109</v>
      </c>
      <c r="M63" s="269" t="s">
        <v>2603</v>
      </c>
      <c r="N63" s="269" t="s">
        <v>2099</v>
      </c>
      <c r="O63" s="267" t="s">
        <v>2212</v>
      </c>
      <c r="P63" s="268"/>
      <c r="Q63" s="270">
        <v>1</v>
      </c>
      <c r="R63" s="271">
        <v>2500</v>
      </c>
      <c r="S63" s="272">
        <v>1000</v>
      </c>
      <c r="T63" s="272">
        <v>1080</v>
      </c>
      <c r="U63" s="272">
        <v>1160</v>
      </c>
      <c r="V63" s="272">
        <v>1240</v>
      </c>
      <c r="W63" s="272">
        <f>V63-4</f>
        <v>1236</v>
      </c>
      <c r="X63" s="272">
        <f>W63-4</f>
        <v>1232</v>
      </c>
      <c r="Y63" s="272">
        <f>X63-4</f>
        <v>1228</v>
      </c>
      <c r="Z63" s="272">
        <f>Y63-4</f>
        <v>1224</v>
      </c>
      <c r="AA63" s="272">
        <v>1220</v>
      </c>
      <c r="AB63" s="272">
        <f>AA63+12</f>
        <v>1232</v>
      </c>
      <c r="AC63" s="272">
        <f>AB63+12</f>
        <v>1244</v>
      </c>
      <c r="AD63" s="272">
        <f>AC63+12</f>
        <v>1256</v>
      </c>
      <c r="AE63" s="272">
        <f>AD63+12</f>
        <v>1268</v>
      </c>
      <c r="AF63" s="272">
        <v>1280</v>
      </c>
      <c r="AG63" s="272">
        <f>AF63+10</f>
        <v>1290</v>
      </c>
      <c r="AH63" s="272">
        <f>AG63+10</f>
        <v>1300</v>
      </c>
      <c r="AI63" s="272">
        <f>AH63+10</f>
        <v>1310</v>
      </c>
      <c r="AJ63" s="272">
        <f>AI63+10</f>
        <v>1320</v>
      </c>
      <c r="AK63" s="272">
        <v>1330</v>
      </c>
      <c r="AL63" s="268" t="s">
        <v>2124</v>
      </c>
      <c r="AM63" s="268" t="s">
        <v>3690</v>
      </c>
      <c r="AN63" s="268" t="s">
        <v>2148</v>
      </c>
      <c r="AO63" s="657"/>
      <c r="AP63" s="271">
        <v>700</v>
      </c>
      <c r="AQ63" s="280">
        <v>616</v>
      </c>
      <c r="AR63" s="280">
        <v>56</v>
      </c>
      <c r="AS63" s="280">
        <v>28</v>
      </c>
      <c r="AT63" s="657"/>
      <c r="AU63" s="301" t="s">
        <v>3668</v>
      </c>
      <c r="AV63" s="572" t="s">
        <v>3691</v>
      </c>
      <c r="AW63" s="645" t="s">
        <v>3692</v>
      </c>
      <c r="AX63" s="290" t="s">
        <v>2609</v>
      </c>
      <c r="AY63" s="657"/>
      <c r="AZ63" s="948">
        <v>14</v>
      </c>
      <c r="BA63" s="948">
        <v>1</v>
      </c>
      <c r="BB63" s="948">
        <v>3</v>
      </c>
      <c r="BC63" s="948">
        <v>13</v>
      </c>
      <c r="BD63" s="825">
        <f t="shared" si="130"/>
        <v>39680</v>
      </c>
      <c r="BE63" s="304">
        <f t="shared" si="131"/>
        <v>17920</v>
      </c>
      <c r="BF63" s="304">
        <f t="shared" si="132"/>
        <v>1280</v>
      </c>
      <c r="BG63" s="304">
        <f t="shared" si="133"/>
        <v>3840</v>
      </c>
      <c r="BH63" s="304">
        <f t="shared" si="134"/>
        <v>16640</v>
      </c>
      <c r="BI63" s="825">
        <f t="shared" si="135"/>
        <v>41230</v>
      </c>
      <c r="BJ63" s="304">
        <f t="shared" si="136"/>
        <v>18620</v>
      </c>
      <c r="BK63" s="304">
        <f t="shared" si="137"/>
        <v>1330</v>
      </c>
      <c r="BL63" s="304">
        <f t="shared" si="138"/>
        <v>3990</v>
      </c>
      <c r="BM63" s="304">
        <f t="shared" si="139"/>
        <v>17290</v>
      </c>
      <c r="BN63" s="657"/>
      <c r="BO63" s="284">
        <v>0.18</v>
      </c>
      <c r="BP63" s="284">
        <v>0.65</v>
      </c>
      <c r="BQ63" s="284">
        <v>0.12</v>
      </c>
      <c r="BR63" s="710">
        <v>0.05</v>
      </c>
      <c r="BS63" s="707">
        <v>0.16</v>
      </c>
      <c r="BT63" s="284">
        <v>0.66</v>
      </c>
      <c r="BU63" s="284">
        <v>0.15</v>
      </c>
      <c r="BV63" s="710">
        <v>0.03</v>
      </c>
      <c r="BW63" s="714">
        <v>0.45</v>
      </c>
      <c r="BX63" s="285">
        <v>0.45</v>
      </c>
      <c r="BY63" s="717">
        <v>0.1</v>
      </c>
      <c r="BZ63" s="714">
        <v>0.4</v>
      </c>
      <c r="CA63" s="285">
        <v>0.47</v>
      </c>
      <c r="CB63" s="717">
        <v>0.13</v>
      </c>
      <c r="CC63" s="284">
        <v>0.1</v>
      </c>
      <c r="CD63" s="284">
        <v>0.55000000000000004</v>
      </c>
      <c r="CE63" s="284">
        <v>0.15</v>
      </c>
      <c r="CF63" s="710">
        <v>0.2</v>
      </c>
      <c r="CG63" s="707">
        <v>0.08</v>
      </c>
      <c r="CH63" s="284">
        <v>0.55000000000000004</v>
      </c>
      <c r="CI63" s="284">
        <v>0.18</v>
      </c>
      <c r="CJ63" s="710">
        <v>0.19</v>
      </c>
      <c r="CK63" s="720">
        <v>0.45</v>
      </c>
      <c r="CL63" s="286">
        <v>0.45</v>
      </c>
      <c r="CM63" s="718">
        <v>0.1</v>
      </c>
      <c r="CN63" s="720">
        <v>0.37</v>
      </c>
      <c r="CO63" s="286">
        <v>0.48</v>
      </c>
      <c r="CP63" s="718">
        <v>0.15</v>
      </c>
      <c r="CQ63" s="657"/>
      <c r="CR63" s="807">
        <v>13</v>
      </c>
      <c r="CS63" s="808">
        <v>13</v>
      </c>
      <c r="CT63" s="808">
        <v>10</v>
      </c>
      <c r="CU63" s="809">
        <v>12</v>
      </c>
      <c r="CV63" s="807">
        <v>13</v>
      </c>
      <c r="CW63" s="808">
        <v>12</v>
      </c>
      <c r="CX63" s="809">
        <v>9</v>
      </c>
      <c r="CY63" s="807">
        <v>11</v>
      </c>
      <c r="CZ63" s="808">
        <v>13</v>
      </c>
      <c r="DA63" s="808">
        <v>9</v>
      </c>
      <c r="DB63" s="809">
        <v>11</v>
      </c>
      <c r="DC63" s="807">
        <v>12</v>
      </c>
      <c r="DD63" s="808">
        <v>13</v>
      </c>
      <c r="DE63" s="809">
        <v>10</v>
      </c>
      <c r="DF63" s="610" t="s">
        <v>3693</v>
      </c>
      <c r="DG63" s="657"/>
      <c r="DH63" s="288">
        <f t="shared" si="140"/>
        <v>3225.6</v>
      </c>
      <c r="DI63" s="288">
        <f t="shared" si="141"/>
        <v>11648</v>
      </c>
      <c r="DJ63" s="288">
        <f t="shared" si="142"/>
        <v>2150.4</v>
      </c>
      <c r="DK63" s="288">
        <f t="shared" si="143"/>
        <v>896</v>
      </c>
      <c r="DL63" s="560" t="s">
        <v>3672</v>
      </c>
      <c r="DM63" s="288">
        <f t="shared" si="144"/>
        <v>2979.2000000000003</v>
      </c>
      <c r="DN63" s="288">
        <f t="shared" si="145"/>
        <v>12289.2</v>
      </c>
      <c r="DO63" s="288">
        <f t="shared" si="146"/>
        <v>2793</v>
      </c>
      <c r="DP63" s="288">
        <f t="shared" si="147"/>
        <v>558.6</v>
      </c>
      <c r="DQ63" s="561" t="s">
        <v>3673</v>
      </c>
      <c r="DR63" s="657"/>
      <c r="DS63" s="288">
        <f t="shared" si="148"/>
        <v>576</v>
      </c>
      <c r="DT63" s="288">
        <f t="shared" si="149"/>
        <v>576</v>
      </c>
      <c r="DU63" s="288">
        <f t="shared" si="150"/>
        <v>128</v>
      </c>
      <c r="DV63" s="561" t="s">
        <v>3694</v>
      </c>
      <c r="DW63" s="288">
        <f t="shared" si="151"/>
        <v>532</v>
      </c>
      <c r="DX63" s="288">
        <f t="shared" si="152"/>
        <v>625.09999999999991</v>
      </c>
      <c r="DY63" s="288">
        <f t="shared" si="153"/>
        <v>172.9</v>
      </c>
      <c r="DZ63" s="561" t="s">
        <v>3695</v>
      </c>
      <c r="EA63" s="657"/>
      <c r="EB63" s="288">
        <f t="shared" si="154"/>
        <v>384</v>
      </c>
      <c r="EC63" s="288">
        <f t="shared" si="155"/>
        <v>2112</v>
      </c>
      <c r="ED63" s="288">
        <f t="shared" si="156"/>
        <v>576</v>
      </c>
      <c r="EE63" s="288">
        <f t="shared" si="157"/>
        <v>768</v>
      </c>
      <c r="EF63" s="561" t="s">
        <v>3674</v>
      </c>
      <c r="EG63" s="288">
        <f t="shared" si="158"/>
        <v>319.2</v>
      </c>
      <c r="EH63" s="288">
        <f t="shared" si="159"/>
        <v>2194.5</v>
      </c>
      <c r="EI63" s="288">
        <f t="shared" si="160"/>
        <v>718.19999999999993</v>
      </c>
      <c r="EJ63" s="288">
        <f t="shared" si="161"/>
        <v>758.1</v>
      </c>
      <c r="EK63" s="561" t="s">
        <v>3675</v>
      </c>
      <c r="EL63" s="657"/>
      <c r="EM63" s="288">
        <f t="shared" si="162"/>
        <v>7488</v>
      </c>
      <c r="EN63" s="291">
        <f t="shared" si="163"/>
        <v>7488</v>
      </c>
      <c r="EO63" s="291">
        <f t="shared" si="164"/>
        <v>1664</v>
      </c>
      <c r="EP63" s="561" t="s">
        <v>3676</v>
      </c>
      <c r="EQ63" s="288">
        <f t="shared" si="165"/>
        <v>6397.3</v>
      </c>
      <c r="ER63" s="291">
        <f t="shared" si="166"/>
        <v>8299.1999999999989</v>
      </c>
      <c r="ES63" s="291">
        <f t="shared" si="167"/>
        <v>2593.5</v>
      </c>
      <c r="ET63" s="561" t="s">
        <v>3677</v>
      </c>
      <c r="EU63" s="657"/>
      <c r="EV63" s="740">
        <f t="shared" si="168"/>
        <v>0.77875547525400468</v>
      </c>
      <c r="EW63" s="740">
        <f t="shared" si="169"/>
        <v>0.22124452474599529</v>
      </c>
      <c r="EX63" s="563">
        <f t="shared" si="170"/>
        <v>16331.974787391453</v>
      </c>
      <c r="EY63" s="563">
        <f t="shared" si="171"/>
        <v>12718.614787391452</v>
      </c>
      <c r="EZ63" s="563">
        <f t="shared" si="172"/>
        <v>3613.3599999999997</v>
      </c>
      <c r="FA63" s="563">
        <f t="shared" si="173"/>
        <v>7249.5852420923075</v>
      </c>
      <c r="FB63" s="563">
        <f t="shared" si="174"/>
        <v>5617.7452420923073</v>
      </c>
      <c r="FC63" s="563">
        <f t="shared" si="175"/>
        <v>1631.84</v>
      </c>
      <c r="FD63" s="563">
        <f t="shared" si="176"/>
        <v>535.65006345299139</v>
      </c>
      <c r="FE63" s="563">
        <f t="shared" si="177"/>
        <v>419.09006345299144</v>
      </c>
      <c r="FF63" s="563">
        <f t="shared" si="178"/>
        <v>116.56</v>
      </c>
      <c r="FG63" s="563">
        <f t="shared" si="179"/>
        <v>1656.3468658461534</v>
      </c>
      <c r="FH63" s="563">
        <f t="shared" si="180"/>
        <v>1306.6668658461535</v>
      </c>
      <c r="FI63" s="563">
        <f t="shared" si="181"/>
        <v>349.67999999999995</v>
      </c>
      <c r="FJ63" s="563">
        <f t="shared" si="182"/>
        <v>6890.3926160000001</v>
      </c>
      <c r="FK63" s="563">
        <f t="shared" si="183"/>
        <v>5375.1126160000003</v>
      </c>
      <c r="FL63" s="563">
        <f t="shared" si="184"/>
        <v>1515.28</v>
      </c>
      <c r="FM63" s="529"/>
      <c r="FN63" s="564" t="s">
        <v>2649</v>
      </c>
      <c r="FO63" s="740">
        <v>5.1999999999999998E-2</v>
      </c>
      <c r="FP63" s="741">
        <v>0.82916000000000001</v>
      </c>
      <c r="FQ63" s="565" t="s">
        <v>3678</v>
      </c>
      <c r="FR63" s="529"/>
      <c r="FS63" s="867">
        <v>2.97</v>
      </c>
      <c r="FT63" s="566">
        <f>RANK($FS63,$FS$8:$FS$154,0)+COUNTIF($FS$8:$FS63,$FS63)-1</f>
        <v>119</v>
      </c>
      <c r="FU63" s="867">
        <v>3.86</v>
      </c>
      <c r="FV63" s="566">
        <f>RANK($FU63,$FU$8:$FU$154,0)+COUNTIF($FU$8:$FU63,$FU63)-1</f>
        <v>108</v>
      </c>
      <c r="FW63" s="867">
        <v>1.89</v>
      </c>
      <c r="FX63" s="566">
        <f>RANK($FW63,$FW$8:$FW$154,0)+COUNTIF($FW$8:$FW63,$FW63)-1</f>
        <v>114</v>
      </c>
      <c r="FY63" s="529"/>
      <c r="FZ63" s="567" t="s">
        <v>3696</v>
      </c>
      <c r="GA63" s="567" t="s">
        <v>3697</v>
      </c>
      <c r="GB63" s="567" t="s">
        <v>3698</v>
      </c>
      <c r="GC63" s="567" t="s">
        <v>3699</v>
      </c>
      <c r="GD63" s="567" t="s">
        <v>3700</v>
      </c>
      <c r="GE63" s="567" t="s">
        <v>3701</v>
      </c>
      <c r="GF63" s="567" t="str">
        <f t="shared" ref="GF63:GF71" si="226">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63" s="529"/>
      <c r="GH63" s="563">
        <f t="shared" si="185"/>
        <v>1229.9716868923076</v>
      </c>
      <c r="GI63" s="563">
        <f t="shared" si="116"/>
        <v>968.87728689230767</v>
      </c>
      <c r="GJ63" s="563">
        <f t="shared" si="186"/>
        <v>261.09440000000001</v>
      </c>
      <c r="GK63" s="563">
        <f t="shared" si="187"/>
        <v>4575.7379359999995</v>
      </c>
      <c r="GL63" s="563">
        <f t="shared" si="117"/>
        <v>3498.723536</v>
      </c>
      <c r="GM63" s="563">
        <f t="shared" si="188"/>
        <v>1077.0144</v>
      </c>
      <c r="GN63" s="563">
        <f t="shared" si="189"/>
        <v>1100.0711231999999</v>
      </c>
      <c r="GO63" s="563">
        <f t="shared" si="118"/>
        <v>855.29512319999992</v>
      </c>
      <c r="GP63" s="563">
        <f t="shared" si="190"/>
        <v>244.77599999999998</v>
      </c>
      <c r="GQ63" s="563">
        <f t="shared" si="191"/>
        <v>343.80449599999997</v>
      </c>
      <c r="GR63" s="563">
        <f t="shared" si="119"/>
        <v>294.84929599999998</v>
      </c>
      <c r="GS63" s="563">
        <f t="shared" si="192"/>
        <v>48.955199999999998</v>
      </c>
      <c r="GT63" s="563">
        <f t="shared" si="193"/>
        <v>219.63780123076921</v>
      </c>
      <c r="GU63" s="563">
        <f t="shared" si="120"/>
        <v>173.01380123076922</v>
      </c>
      <c r="GV63" s="563">
        <f t="shared" si="194"/>
        <v>46.624000000000002</v>
      </c>
      <c r="GW63" s="563">
        <f t="shared" si="195"/>
        <v>244.32917600000002</v>
      </c>
      <c r="GX63" s="563">
        <f t="shared" si="121"/>
        <v>189.54597600000002</v>
      </c>
      <c r="GY63" s="563">
        <f t="shared" si="196"/>
        <v>54.783200000000001</v>
      </c>
      <c r="GZ63" s="563">
        <f t="shared" si="197"/>
        <v>71.683086222222215</v>
      </c>
      <c r="HA63" s="563">
        <f t="shared" si="122"/>
        <v>56.530286222222216</v>
      </c>
      <c r="HB63" s="563">
        <f t="shared" si="198"/>
        <v>15.152800000000001</v>
      </c>
      <c r="HC63" s="563">
        <f t="shared" si="199"/>
        <v>167.27328</v>
      </c>
      <c r="HD63" s="563">
        <f t="shared" si="123"/>
        <v>139.29888</v>
      </c>
      <c r="HE63" s="563">
        <f t="shared" si="200"/>
        <v>27.974399999999996</v>
      </c>
      <c r="HF63" s="563">
        <f t="shared" si="201"/>
        <v>826.70793784615375</v>
      </c>
      <c r="HG63" s="563">
        <f t="shared" si="124"/>
        <v>634.3839378461538</v>
      </c>
      <c r="HH63" s="563">
        <f t="shared" si="202"/>
        <v>192.32399999999998</v>
      </c>
      <c r="HI63" s="563">
        <f t="shared" si="203"/>
        <v>317.328688</v>
      </c>
      <c r="HJ63" s="563">
        <f t="shared" si="125"/>
        <v>254.38628800000001</v>
      </c>
      <c r="HK63" s="563">
        <f t="shared" si="204"/>
        <v>62.942399999999992</v>
      </c>
      <c r="HL63" s="563">
        <f t="shared" si="205"/>
        <v>345.03695999999997</v>
      </c>
      <c r="HM63" s="563">
        <f t="shared" si="126"/>
        <v>278.59775999999999</v>
      </c>
      <c r="HN63" s="563">
        <f t="shared" si="206"/>
        <v>66.439199999999985</v>
      </c>
      <c r="HO63" s="563">
        <f t="shared" si="207"/>
        <v>3024.7512880000004</v>
      </c>
      <c r="HP63" s="563">
        <f t="shared" si="127"/>
        <v>2464.0976880000003</v>
      </c>
      <c r="HQ63" s="563">
        <f t="shared" si="208"/>
        <v>560.65359999999998</v>
      </c>
      <c r="HR63" s="563">
        <f t="shared" si="209"/>
        <v>2976.5138159999997</v>
      </c>
      <c r="HS63" s="563">
        <f t="shared" si="128"/>
        <v>2249.1794159999999</v>
      </c>
      <c r="HT63" s="563">
        <f t="shared" si="210"/>
        <v>727.33439999999996</v>
      </c>
      <c r="HU63" s="563">
        <f t="shared" si="211"/>
        <v>889.12751200000002</v>
      </c>
      <c r="HV63" s="563">
        <f t="shared" si="129"/>
        <v>661.83551199999999</v>
      </c>
      <c r="HW63" s="563">
        <f t="shared" si="212"/>
        <v>227.292</v>
      </c>
      <c r="HX63" s="544"/>
      <c r="HY63" s="568">
        <f t="shared" si="213"/>
        <v>38400</v>
      </c>
      <c r="HZ63" s="568">
        <f t="shared" si="214"/>
        <v>470.4</v>
      </c>
      <c r="IA63" s="568">
        <f t="shared" si="215"/>
        <v>11184.896000000001</v>
      </c>
      <c r="IB63" s="568">
        <f t="shared" si="216"/>
        <v>19741.696</v>
      </c>
      <c r="IC63" s="568">
        <f t="shared" si="217"/>
        <v>6680.0640000000003</v>
      </c>
      <c r="ID63" s="568">
        <f t="shared" si="218"/>
        <v>322.94400000000002</v>
      </c>
      <c r="IE63" s="568">
        <f t="shared" si="219"/>
        <v>12299.524723938461</v>
      </c>
      <c r="IF63" s="568">
        <f t="shared" si="220"/>
        <v>3.9200005975384609</v>
      </c>
      <c r="IG63" s="568">
        <f t="shared" si="221"/>
        <v>2203.1518876863752</v>
      </c>
      <c r="IH63" s="568">
        <f t="shared" si="222"/>
        <v>6446.8221954677156</v>
      </c>
      <c r="II63" s="568">
        <f t="shared" si="223"/>
        <v>3362.6658493284062</v>
      </c>
      <c r="IJ63" s="568">
        <f t="shared" si="224"/>
        <v>282.96479085842464</v>
      </c>
      <c r="IK63" s="868">
        <v>3.82</v>
      </c>
      <c r="IL63" s="569" t="s">
        <v>2780</v>
      </c>
      <c r="IM63" s="570" t="s">
        <v>3702</v>
      </c>
      <c r="IN63" s="529"/>
      <c r="IO63" s="742">
        <v>2.7000000000000001E-3</v>
      </c>
      <c r="IP63" s="742">
        <v>0.2606</v>
      </c>
      <c r="IQ63" s="742">
        <v>0.52980000000000005</v>
      </c>
      <c r="IR63" s="742">
        <v>0.19620000000000001</v>
      </c>
      <c r="IS63" s="742">
        <v>1.0699999999999999E-2</v>
      </c>
      <c r="IT63" s="742">
        <v>0</v>
      </c>
      <c r="IU63" s="742">
        <v>0.15040000000000001</v>
      </c>
      <c r="IV63" s="742">
        <v>0.51759999999999995</v>
      </c>
      <c r="IW63" s="742">
        <v>0.3034</v>
      </c>
      <c r="IX63" s="742">
        <v>2.86E-2</v>
      </c>
      <c r="IY63" s="742">
        <v>0</v>
      </c>
      <c r="IZ63" s="742">
        <v>0</v>
      </c>
      <c r="JA63" s="742">
        <v>0</v>
      </c>
      <c r="JB63" s="742">
        <v>0</v>
      </c>
      <c r="JC63" s="742">
        <v>0</v>
      </c>
      <c r="JD63" s="742">
        <v>0</v>
      </c>
      <c r="JE63" s="742">
        <v>0</v>
      </c>
      <c r="JF63" s="742">
        <v>0</v>
      </c>
      <c r="JG63" s="742">
        <v>0</v>
      </c>
      <c r="JH63" s="742">
        <v>0</v>
      </c>
      <c r="JI63" s="742">
        <v>4.4900000000000002E-2</v>
      </c>
      <c r="JJ63" s="742">
        <v>0.37709999999999999</v>
      </c>
      <c r="JK63" s="742">
        <v>0.45779999999999998</v>
      </c>
      <c r="JL63" s="742">
        <v>0.1168</v>
      </c>
      <c r="JM63" s="742">
        <v>3.3999999999999998E-3</v>
      </c>
      <c r="JN63" s="742">
        <v>3.0000000000000001E-3</v>
      </c>
      <c r="JO63" s="742">
        <v>0.26200000000000001</v>
      </c>
      <c r="JP63" s="742">
        <v>0.52949999999999997</v>
      </c>
      <c r="JQ63" s="742">
        <v>0.19500000000000001</v>
      </c>
      <c r="JR63" s="742">
        <v>1.0500000000000001E-2</v>
      </c>
      <c r="JS63" s="742">
        <v>1.4999999999999999E-2</v>
      </c>
      <c r="JT63" s="742">
        <v>0.30449999999999999</v>
      </c>
      <c r="JU63" s="742">
        <v>0.51019999999999999</v>
      </c>
      <c r="JV63" s="742">
        <v>0.16320000000000001</v>
      </c>
      <c r="JW63" s="742">
        <v>7.1000000000000004E-3</v>
      </c>
      <c r="JX63" s="742">
        <v>0</v>
      </c>
      <c r="JY63" s="742">
        <v>0.189</v>
      </c>
      <c r="JZ63" s="742">
        <v>0.52969999999999995</v>
      </c>
      <c r="KA63" s="742">
        <v>0.2611</v>
      </c>
      <c r="KB63" s="742">
        <v>2.0199999999999999E-2</v>
      </c>
      <c r="KC63" s="657"/>
      <c r="KD63" s="832" t="s">
        <v>2591</v>
      </c>
      <c r="KE63" s="832" t="s">
        <v>2591</v>
      </c>
      <c r="KF63" s="869">
        <v>3.58</v>
      </c>
      <c r="KG63" s="832" t="s">
        <v>2626</v>
      </c>
      <c r="KH63" s="833" t="s">
        <v>3703</v>
      </c>
      <c r="KI63" s="832" t="s">
        <v>3384</v>
      </c>
      <c r="KJ63" s="833" t="s">
        <v>3704</v>
      </c>
    </row>
    <row r="64" spans="1:296" ht="48" hidden="1" customHeight="1">
      <c r="A64" s="273">
        <f t="shared" si="225"/>
        <v>57</v>
      </c>
      <c r="B64" s="274" t="s">
        <v>3662</v>
      </c>
      <c r="C64" s="274" t="s">
        <v>1114</v>
      </c>
      <c r="D64" s="274" t="s">
        <v>1316</v>
      </c>
      <c r="E64" s="275" t="s">
        <v>3705</v>
      </c>
      <c r="F64" s="275" t="s">
        <v>300</v>
      </c>
      <c r="G64" s="275" t="s">
        <v>300</v>
      </c>
      <c r="H64" s="275" t="s">
        <v>2109</v>
      </c>
      <c r="I64" s="276" t="s">
        <v>3706</v>
      </c>
      <c r="J64" s="276" t="s">
        <v>3707</v>
      </c>
      <c r="K64" s="277" t="s">
        <v>2097</v>
      </c>
      <c r="L64" s="277" t="s">
        <v>2109</v>
      </c>
      <c r="M64" s="277" t="s">
        <v>2603</v>
      </c>
      <c r="N64" s="277" t="s">
        <v>2099</v>
      </c>
      <c r="O64" s="275" t="s">
        <v>2212</v>
      </c>
      <c r="P64" s="276"/>
      <c r="Q64" s="270">
        <v>1</v>
      </c>
      <c r="R64" s="278">
        <v>2500</v>
      </c>
      <c r="S64" s="279">
        <v>1180</v>
      </c>
      <c r="T64" s="279">
        <v>1200</v>
      </c>
      <c r="U64" s="279">
        <v>1220</v>
      </c>
      <c r="V64" s="279">
        <v>1240</v>
      </c>
      <c r="W64" s="279">
        <f>V64-5</f>
        <v>1235</v>
      </c>
      <c r="X64" s="279">
        <f>W64-5</f>
        <v>1230</v>
      </c>
      <c r="Y64" s="279">
        <f>X64-5</f>
        <v>1225</v>
      </c>
      <c r="Z64" s="279">
        <f>Y64-5</f>
        <v>1220</v>
      </c>
      <c r="AA64" s="279">
        <v>1220</v>
      </c>
      <c r="AB64" s="279">
        <v>1220</v>
      </c>
      <c r="AC64" s="279">
        <v>1220</v>
      </c>
      <c r="AD64" s="279">
        <v>1219</v>
      </c>
      <c r="AE64" s="279">
        <v>1219</v>
      </c>
      <c r="AF64" s="279">
        <v>1218</v>
      </c>
      <c r="AG64" s="279">
        <v>1218</v>
      </c>
      <c r="AH64" s="279">
        <v>1219</v>
      </c>
      <c r="AI64" s="279">
        <v>1219</v>
      </c>
      <c r="AJ64" s="279">
        <v>1220</v>
      </c>
      <c r="AK64" s="279">
        <v>1220</v>
      </c>
      <c r="AL64" s="276" t="s">
        <v>3234</v>
      </c>
      <c r="AM64" s="276" t="s">
        <v>3235</v>
      </c>
      <c r="AN64" s="276" t="s">
        <v>3708</v>
      </c>
      <c r="AO64" s="657"/>
      <c r="AP64" s="278">
        <v>300</v>
      </c>
      <c r="AQ64" s="278">
        <v>246</v>
      </c>
      <c r="AR64" s="278">
        <v>36</v>
      </c>
      <c r="AS64" s="278">
        <v>18</v>
      </c>
      <c r="AT64" s="657"/>
      <c r="AU64" s="281" t="s">
        <v>3709</v>
      </c>
      <c r="AV64" s="296" t="s">
        <v>3710</v>
      </c>
      <c r="AW64" s="296" t="s">
        <v>3711</v>
      </c>
      <c r="AX64" s="276" t="s">
        <v>2609</v>
      </c>
      <c r="AY64" s="657"/>
      <c r="AZ64" s="947">
        <v>8</v>
      </c>
      <c r="BA64" s="947">
        <v>0</v>
      </c>
      <c r="BB64" s="947">
        <v>1</v>
      </c>
      <c r="BC64" s="947">
        <v>7</v>
      </c>
      <c r="BD64" s="826">
        <f t="shared" si="130"/>
        <v>19488</v>
      </c>
      <c r="BE64" s="283">
        <f t="shared" si="131"/>
        <v>9744</v>
      </c>
      <c r="BF64" s="283">
        <f t="shared" si="132"/>
        <v>0</v>
      </c>
      <c r="BG64" s="283">
        <f t="shared" si="133"/>
        <v>1218</v>
      </c>
      <c r="BH64" s="283">
        <f t="shared" si="134"/>
        <v>8526</v>
      </c>
      <c r="BI64" s="826">
        <f t="shared" si="135"/>
        <v>19520</v>
      </c>
      <c r="BJ64" s="283">
        <f t="shared" si="136"/>
        <v>9760</v>
      </c>
      <c r="BK64" s="283">
        <f t="shared" si="137"/>
        <v>0</v>
      </c>
      <c r="BL64" s="283">
        <f t="shared" si="138"/>
        <v>1220</v>
      </c>
      <c r="BM64" s="283">
        <f t="shared" si="139"/>
        <v>8540</v>
      </c>
      <c r="BN64" s="657"/>
      <c r="BO64" s="305">
        <v>0.18</v>
      </c>
      <c r="BP64" s="305">
        <v>0.65</v>
      </c>
      <c r="BQ64" s="305">
        <v>0.12</v>
      </c>
      <c r="BR64" s="581">
        <v>0.05</v>
      </c>
      <c r="BS64" s="706">
        <v>0.16</v>
      </c>
      <c r="BT64" s="305">
        <v>0.66</v>
      </c>
      <c r="BU64" s="305">
        <v>0.15</v>
      </c>
      <c r="BV64" s="581">
        <v>0.03</v>
      </c>
      <c r="BW64" s="713"/>
      <c r="BX64" s="306"/>
      <c r="BY64" s="590"/>
      <c r="BZ64" s="713"/>
      <c r="CA64" s="306"/>
      <c r="CB64" s="590"/>
      <c r="CC64" s="706">
        <v>0.1</v>
      </c>
      <c r="CD64" s="305">
        <v>0.55000000000000004</v>
      </c>
      <c r="CE64" s="305">
        <v>0.15</v>
      </c>
      <c r="CF64" s="581">
        <v>0.2</v>
      </c>
      <c r="CG64" s="706">
        <v>0.08</v>
      </c>
      <c r="CH64" s="305">
        <v>0.55000000000000004</v>
      </c>
      <c r="CI64" s="305">
        <v>0.18</v>
      </c>
      <c r="CJ64" s="581">
        <v>0.19</v>
      </c>
      <c r="CK64" s="719">
        <v>0.5</v>
      </c>
      <c r="CL64" s="307">
        <v>0.35</v>
      </c>
      <c r="CM64" s="723">
        <v>0.15</v>
      </c>
      <c r="CN64" s="719">
        <v>0.42</v>
      </c>
      <c r="CO64" s="307">
        <v>0.38</v>
      </c>
      <c r="CP64" s="723">
        <v>0.2</v>
      </c>
      <c r="CQ64" s="657"/>
      <c r="CR64" s="804">
        <v>13</v>
      </c>
      <c r="CS64" s="805">
        <v>13</v>
      </c>
      <c r="CT64" s="805">
        <v>10</v>
      </c>
      <c r="CU64" s="806">
        <v>12</v>
      </c>
      <c r="CV64" s="804"/>
      <c r="CW64" s="805"/>
      <c r="CX64" s="806"/>
      <c r="CY64" s="804">
        <v>11</v>
      </c>
      <c r="CZ64" s="805">
        <v>13</v>
      </c>
      <c r="DA64" s="805">
        <v>9</v>
      </c>
      <c r="DB64" s="806">
        <v>11</v>
      </c>
      <c r="DC64" s="804">
        <v>12</v>
      </c>
      <c r="DD64" s="805">
        <v>13</v>
      </c>
      <c r="DE64" s="806">
        <v>10</v>
      </c>
      <c r="DF64" s="609" t="s">
        <v>3712</v>
      </c>
      <c r="DG64" s="657"/>
      <c r="DH64" s="308">
        <f t="shared" si="140"/>
        <v>1753.9199999999998</v>
      </c>
      <c r="DI64" s="308">
        <f t="shared" si="141"/>
        <v>6333.6</v>
      </c>
      <c r="DJ64" s="308">
        <f t="shared" si="142"/>
        <v>1169.28</v>
      </c>
      <c r="DK64" s="308">
        <f t="shared" si="143"/>
        <v>487.20000000000005</v>
      </c>
      <c r="DL64" s="287" t="s">
        <v>3713</v>
      </c>
      <c r="DM64" s="308">
        <f t="shared" si="144"/>
        <v>1561.6000000000001</v>
      </c>
      <c r="DN64" s="308">
        <f t="shared" si="145"/>
        <v>6441.6</v>
      </c>
      <c r="DO64" s="308">
        <f t="shared" si="146"/>
        <v>1464</v>
      </c>
      <c r="DP64" s="308">
        <f t="shared" si="147"/>
        <v>292.8</v>
      </c>
      <c r="DQ64" s="289" t="s">
        <v>3673</v>
      </c>
      <c r="DR64" s="657"/>
      <c r="DS64" s="308">
        <f t="shared" si="148"/>
        <v>0</v>
      </c>
      <c r="DT64" s="308">
        <f t="shared" si="149"/>
        <v>0</v>
      </c>
      <c r="DU64" s="308">
        <f t="shared" si="150"/>
        <v>0</v>
      </c>
      <c r="DV64" s="289" t="s">
        <v>2613</v>
      </c>
      <c r="DW64" s="308">
        <f t="shared" si="151"/>
        <v>0</v>
      </c>
      <c r="DX64" s="308">
        <f t="shared" si="152"/>
        <v>0</v>
      </c>
      <c r="DY64" s="308">
        <f t="shared" si="153"/>
        <v>0</v>
      </c>
      <c r="DZ64" s="289" t="s">
        <v>2613</v>
      </c>
      <c r="EA64" s="657"/>
      <c r="EB64" s="308">
        <f t="shared" si="154"/>
        <v>121.80000000000001</v>
      </c>
      <c r="EC64" s="308">
        <f t="shared" si="155"/>
        <v>669.90000000000009</v>
      </c>
      <c r="ED64" s="308">
        <f t="shared" si="156"/>
        <v>182.7</v>
      </c>
      <c r="EE64" s="308">
        <f t="shared" si="157"/>
        <v>243.60000000000002</v>
      </c>
      <c r="EF64" s="289" t="s">
        <v>3714</v>
      </c>
      <c r="EG64" s="308">
        <f t="shared" si="158"/>
        <v>97.600000000000009</v>
      </c>
      <c r="EH64" s="308">
        <f t="shared" si="159"/>
        <v>671</v>
      </c>
      <c r="EI64" s="308">
        <f t="shared" si="160"/>
        <v>219.6</v>
      </c>
      <c r="EJ64" s="308">
        <f t="shared" si="161"/>
        <v>231.8</v>
      </c>
      <c r="EK64" s="309" t="s">
        <v>3675</v>
      </c>
      <c r="EL64" s="657"/>
      <c r="EM64" s="308">
        <f t="shared" si="162"/>
        <v>4263</v>
      </c>
      <c r="EN64" s="310">
        <f t="shared" si="163"/>
        <v>2984.1</v>
      </c>
      <c r="EO64" s="310">
        <f t="shared" si="164"/>
        <v>1278.8999999999999</v>
      </c>
      <c r="EP64" s="289" t="s">
        <v>3715</v>
      </c>
      <c r="EQ64" s="308">
        <f t="shared" si="165"/>
        <v>3586.7999999999997</v>
      </c>
      <c r="ER64" s="310">
        <f t="shared" si="166"/>
        <v>3245.2</v>
      </c>
      <c r="ES64" s="310">
        <f t="shared" si="167"/>
        <v>1708</v>
      </c>
      <c r="ET64" s="289" t="s">
        <v>3677</v>
      </c>
      <c r="EU64" s="657"/>
      <c r="EV64" s="728">
        <f t="shared" si="168"/>
        <v>0.84441955930744395</v>
      </c>
      <c r="EW64" s="728">
        <f t="shared" si="169"/>
        <v>0.15558044069255611</v>
      </c>
      <c r="EX64" s="311">
        <f t="shared" si="170"/>
        <v>7911.6742086648019</v>
      </c>
      <c r="EY64" s="311">
        <f t="shared" si="171"/>
        <v>6680.7724486648021</v>
      </c>
      <c r="EZ64" s="311">
        <f t="shared" si="172"/>
        <v>1230.90176</v>
      </c>
      <c r="FA64" s="311">
        <f t="shared" si="173"/>
        <v>3875.8381143384618</v>
      </c>
      <c r="FB64" s="311">
        <f t="shared" si="174"/>
        <v>3260.3872343384619</v>
      </c>
      <c r="FC64" s="311">
        <f t="shared" si="175"/>
        <v>615.45087999999998</v>
      </c>
      <c r="FD64" s="311">
        <f t="shared" si="176"/>
        <v>0</v>
      </c>
      <c r="FE64" s="311">
        <f t="shared" si="177"/>
        <v>0</v>
      </c>
      <c r="FF64" s="311">
        <f t="shared" si="178"/>
        <v>0</v>
      </c>
      <c r="FG64" s="311">
        <f t="shared" si="179"/>
        <v>516.07498340326345</v>
      </c>
      <c r="FH64" s="311">
        <f t="shared" si="180"/>
        <v>439.1436234032634</v>
      </c>
      <c r="FI64" s="311">
        <f t="shared" si="181"/>
        <v>76.931359999999998</v>
      </c>
      <c r="FJ64" s="311">
        <f t="shared" si="182"/>
        <v>3519.761110923077</v>
      </c>
      <c r="FK64" s="311">
        <f t="shared" si="183"/>
        <v>2981.2415909230772</v>
      </c>
      <c r="FL64" s="311">
        <f t="shared" si="184"/>
        <v>538.51951999999994</v>
      </c>
      <c r="FM64" s="657"/>
      <c r="FN64" s="293" t="s">
        <v>2649</v>
      </c>
      <c r="FO64" s="728">
        <v>6.1519999999999998E-2</v>
      </c>
      <c r="FP64" s="729">
        <v>0.82916000000000001</v>
      </c>
      <c r="FQ64" s="294" t="s">
        <v>3678</v>
      </c>
      <c r="FR64" s="657"/>
      <c r="FS64" s="865">
        <v>2.94</v>
      </c>
      <c r="FT64" s="312">
        <f>RANK($FS64,$FS$8:$FS$154,0)+COUNTIF($FS$8:$FS64,$FS64)-1</f>
        <v>121</v>
      </c>
      <c r="FU64" s="865">
        <v>3.86</v>
      </c>
      <c r="FV64" s="312">
        <f>RANK($FU64,$FU$8:$FU$154,0)+COUNTIF($FU$8:$FU64,$FU64)-1</f>
        <v>109</v>
      </c>
      <c r="FW64" s="865">
        <v>1.82</v>
      </c>
      <c r="FX64" s="312">
        <f>RANK($FW64,$FW$8:$FW$154,0)+COUNTIF($FW$8:$FW64,$FW64)-1</f>
        <v>119</v>
      </c>
      <c r="FY64" s="657"/>
      <c r="FZ64" s="296" t="s">
        <v>3696</v>
      </c>
      <c r="GA64" s="296" t="s">
        <v>3716</v>
      </c>
      <c r="GB64" s="296" t="s">
        <v>3698</v>
      </c>
      <c r="GC64" s="296" t="s">
        <v>3699</v>
      </c>
      <c r="GD64" s="296" t="s">
        <v>3717</v>
      </c>
      <c r="GE64" s="296" t="s">
        <v>3701</v>
      </c>
      <c r="GF64" s="296" t="str">
        <f t="shared" si="226"/>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64" s="657"/>
      <c r="GH64" s="311">
        <f t="shared" si="185"/>
        <v>662.86221833846162</v>
      </c>
      <c r="GI64" s="311">
        <f t="shared" si="116"/>
        <v>564.39007753846158</v>
      </c>
      <c r="GJ64" s="311">
        <f t="shared" si="186"/>
        <v>98.472140800000005</v>
      </c>
      <c r="GK64" s="311">
        <f t="shared" si="187"/>
        <v>2444.2728608000002</v>
      </c>
      <c r="GL64" s="311">
        <f t="shared" si="117"/>
        <v>2038.0752800000002</v>
      </c>
      <c r="GM64" s="311">
        <f t="shared" si="188"/>
        <v>406.19758080000003</v>
      </c>
      <c r="GN64" s="311">
        <f t="shared" si="189"/>
        <v>580.26170880000006</v>
      </c>
      <c r="GO64" s="311">
        <f t="shared" si="118"/>
        <v>487.94407680000006</v>
      </c>
      <c r="GP64" s="311">
        <f t="shared" si="190"/>
        <v>92.317631999999989</v>
      </c>
      <c r="GQ64" s="311">
        <f t="shared" si="191"/>
        <v>188.44132640000001</v>
      </c>
      <c r="GR64" s="311">
        <f t="shared" si="119"/>
        <v>169.9778</v>
      </c>
      <c r="GS64" s="311">
        <f t="shared" si="192"/>
        <v>18.463526399999999</v>
      </c>
      <c r="GT64" s="311">
        <f t="shared" si="193"/>
        <v>0</v>
      </c>
      <c r="GU64" s="311">
        <f t="shared" si="120"/>
        <v>0</v>
      </c>
      <c r="GV64" s="311">
        <f t="shared" si="194"/>
        <v>0</v>
      </c>
      <c r="GW64" s="311">
        <f t="shared" si="195"/>
        <v>0</v>
      </c>
      <c r="GX64" s="311">
        <f t="shared" si="121"/>
        <v>0</v>
      </c>
      <c r="GY64" s="311">
        <f t="shared" si="196"/>
        <v>0</v>
      </c>
      <c r="GZ64" s="311">
        <f t="shared" si="197"/>
        <v>0</v>
      </c>
      <c r="HA64" s="311">
        <f t="shared" si="122"/>
        <v>0</v>
      </c>
      <c r="HB64" s="311">
        <f t="shared" si="198"/>
        <v>0</v>
      </c>
      <c r="HC64" s="311">
        <f t="shared" si="199"/>
        <v>52.512090618181823</v>
      </c>
      <c r="HD64" s="311">
        <f t="shared" si="123"/>
        <v>46.357581818181821</v>
      </c>
      <c r="HE64" s="311">
        <f t="shared" si="200"/>
        <v>6.1545088000000003</v>
      </c>
      <c r="HF64" s="311">
        <f t="shared" si="201"/>
        <v>257.87790261538464</v>
      </c>
      <c r="HG64" s="311">
        <f t="shared" si="124"/>
        <v>215.56565461538463</v>
      </c>
      <c r="HH64" s="311">
        <f t="shared" si="202"/>
        <v>42.312248000000004</v>
      </c>
      <c r="HI64" s="311">
        <f t="shared" si="203"/>
        <v>98.352868133333317</v>
      </c>
      <c r="HJ64" s="311">
        <f t="shared" si="125"/>
        <v>84.505223333333319</v>
      </c>
      <c r="HK64" s="311">
        <f t="shared" si="204"/>
        <v>13.847644799999999</v>
      </c>
      <c r="HL64" s="311">
        <f t="shared" si="205"/>
        <v>107.33212203636364</v>
      </c>
      <c r="HM64" s="311">
        <f t="shared" si="126"/>
        <v>92.715163636363641</v>
      </c>
      <c r="HN64" s="311">
        <f t="shared" si="206"/>
        <v>14.6169584</v>
      </c>
      <c r="HO64" s="311">
        <f t="shared" si="207"/>
        <v>1713.4839484000001</v>
      </c>
      <c r="HP64" s="311">
        <f t="shared" si="127"/>
        <v>1487.3057500000002</v>
      </c>
      <c r="HQ64" s="311">
        <f t="shared" si="208"/>
        <v>226.17819839999996</v>
      </c>
      <c r="HR64" s="311">
        <f t="shared" si="209"/>
        <v>1164.8844245230769</v>
      </c>
      <c r="HS64" s="311">
        <f t="shared" si="128"/>
        <v>960.24700692307692</v>
      </c>
      <c r="HT64" s="311">
        <f t="shared" si="210"/>
        <v>204.63741759999999</v>
      </c>
      <c r="HU64" s="311">
        <f t="shared" si="211"/>
        <v>641.39273799999989</v>
      </c>
      <c r="HV64" s="311">
        <f t="shared" si="129"/>
        <v>533.68883399999993</v>
      </c>
      <c r="HW64" s="311">
        <f t="shared" si="212"/>
        <v>107.70390399999999</v>
      </c>
      <c r="HY64" s="313">
        <f t="shared" si="213"/>
        <v>19488</v>
      </c>
      <c r="HZ64" s="313">
        <f t="shared" si="214"/>
        <v>255.2928</v>
      </c>
      <c r="IA64" s="313">
        <f t="shared" si="215"/>
        <v>5748.7164000000012</v>
      </c>
      <c r="IB64" s="313">
        <f t="shared" si="216"/>
        <v>9995.2734000000019</v>
      </c>
      <c r="IC64" s="313">
        <f t="shared" si="217"/>
        <v>3332.2044000000001</v>
      </c>
      <c r="ID64" s="313">
        <f t="shared" si="218"/>
        <v>156.51300000000001</v>
      </c>
      <c r="IE64" s="313">
        <f t="shared" si="219"/>
        <v>6680.7724486648021</v>
      </c>
      <c r="IF64" s="313">
        <f t="shared" si="220"/>
        <v>4.2596931470116548</v>
      </c>
      <c r="IG64" s="313">
        <f t="shared" si="221"/>
        <v>1320.0804524973539</v>
      </c>
      <c r="IH64" s="313">
        <f t="shared" si="222"/>
        <v>3530.5489243122474</v>
      </c>
      <c r="II64" s="313">
        <f t="shared" si="223"/>
        <v>1696.6831101735095</v>
      </c>
      <c r="IJ64" s="313">
        <f t="shared" si="224"/>
        <v>129.20026853467974</v>
      </c>
      <c r="IK64" s="866">
        <v>3.82</v>
      </c>
      <c r="IL64" s="314" t="s">
        <v>2780</v>
      </c>
      <c r="IM64" s="299" t="s">
        <v>3702</v>
      </c>
      <c r="IN64" s="657"/>
      <c r="IO64" s="730">
        <v>4.7000000000000002E-3</v>
      </c>
      <c r="IP64" s="730">
        <v>0.26860000000000001</v>
      </c>
      <c r="IQ64" s="730">
        <v>0.52690000000000003</v>
      </c>
      <c r="IR64" s="730">
        <v>0.18990000000000001</v>
      </c>
      <c r="IS64" s="730">
        <v>9.9000000000000008E-3</v>
      </c>
      <c r="IT64" s="730">
        <v>0</v>
      </c>
      <c r="IU64" s="730">
        <v>0.17199999999999999</v>
      </c>
      <c r="IV64" s="730">
        <v>0.52549999999999997</v>
      </c>
      <c r="IW64" s="730">
        <v>0.27900000000000003</v>
      </c>
      <c r="IX64" s="730">
        <v>2.35E-2</v>
      </c>
      <c r="IY64" s="730">
        <v>0</v>
      </c>
      <c r="IZ64" s="730">
        <v>0</v>
      </c>
      <c r="JA64" s="730">
        <v>0</v>
      </c>
      <c r="JB64" s="730">
        <v>0</v>
      </c>
      <c r="JC64" s="730">
        <v>0</v>
      </c>
      <c r="JD64" s="730">
        <v>0</v>
      </c>
      <c r="JE64" s="730">
        <v>0</v>
      </c>
      <c r="JF64" s="730">
        <v>0</v>
      </c>
      <c r="JG64" s="730">
        <v>0</v>
      </c>
      <c r="JH64" s="730">
        <v>0</v>
      </c>
      <c r="JI64" s="730">
        <v>4.8800000000000003E-2</v>
      </c>
      <c r="JJ64" s="730">
        <v>0.38419999999999999</v>
      </c>
      <c r="JK64" s="730">
        <v>0.45119999999999999</v>
      </c>
      <c r="JL64" s="730">
        <v>0.11269999999999999</v>
      </c>
      <c r="JM64" s="730">
        <v>3.0999999999999999E-3</v>
      </c>
      <c r="JN64" s="730">
        <v>9.7000000000000003E-3</v>
      </c>
      <c r="JO64" s="730">
        <v>0.28710000000000002</v>
      </c>
      <c r="JP64" s="730">
        <v>0.51900000000000002</v>
      </c>
      <c r="JQ64" s="730">
        <v>0.17580000000000001</v>
      </c>
      <c r="JR64" s="730">
        <v>8.3999999999999995E-3</v>
      </c>
      <c r="JS64" s="730">
        <v>1.7600000000000001E-2</v>
      </c>
      <c r="JT64" s="730">
        <v>0.31240000000000001</v>
      </c>
      <c r="JU64" s="730">
        <v>0.50570000000000004</v>
      </c>
      <c r="JV64" s="730">
        <v>0.15770000000000001</v>
      </c>
      <c r="JW64" s="730">
        <v>6.6E-3</v>
      </c>
      <c r="JX64" s="730">
        <v>0</v>
      </c>
      <c r="JY64" s="730">
        <v>0.21240000000000001</v>
      </c>
      <c r="JZ64" s="730">
        <v>0.53310000000000002</v>
      </c>
      <c r="KA64" s="730">
        <v>0.23810000000000001</v>
      </c>
      <c r="KB64" s="730">
        <v>1.6400000000000001E-2</v>
      </c>
      <c r="KC64" s="657"/>
      <c r="KD64" s="314" t="s">
        <v>2591</v>
      </c>
      <c r="KE64" s="314" t="s">
        <v>2591</v>
      </c>
      <c r="KF64" s="866">
        <v>3.58</v>
      </c>
      <c r="KG64" s="314" t="s">
        <v>2626</v>
      </c>
      <c r="KH64" s="315" t="s">
        <v>3703</v>
      </c>
      <c r="KI64" s="314" t="s">
        <v>3384</v>
      </c>
      <c r="KJ64" s="315" t="s">
        <v>3718</v>
      </c>
    </row>
    <row r="65" spans="1:296" ht="48" hidden="1" customHeight="1">
      <c r="A65" s="265">
        <f t="shared" si="225"/>
        <v>58</v>
      </c>
      <c r="B65" s="266" t="s">
        <v>3662</v>
      </c>
      <c r="C65" s="266" t="s">
        <v>1114</v>
      </c>
      <c r="D65" s="624" t="s">
        <v>3719</v>
      </c>
      <c r="E65" s="267" t="s">
        <v>3663</v>
      </c>
      <c r="F65" s="267" t="s">
        <v>300</v>
      </c>
      <c r="G65" s="267" t="s">
        <v>300</v>
      </c>
      <c r="H65" s="267" t="s">
        <v>2109</v>
      </c>
      <c r="I65" s="268" t="s">
        <v>3720</v>
      </c>
      <c r="J65" s="268" t="s">
        <v>3721</v>
      </c>
      <c r="K65" s="269" t="s">
        <v>2097</v>
      </c>
      <c r="L65" s="269" t="s">
        <v>2109</v>
      </c>
      <c r="M65" s="269" t="s">
        <v>2603</v>
      </c>
      <c r="N65" s="269" t="s">
        <v>2099</v>
      </c>
      <c r="O65" s="267" t="s">
        <v>2616</v>
      </c>
      <c r="P65" s="268"/>
      <c r="Q65" s="270">
        <v>1</v>
      </c>
      <c r="R65" s="271">
        <v>1800</v>
      </c>
      <c r="S65" s="272">
        <v>784</v>
      </c>
      <c r="T65" s="272">
        <v>866</v>
      </c>
      <c r="U65" s="272">
        <v>956</v>
      </c>
      <c r="V65" s="272">
        <v>1055</v>
      </c>
      <c r="W65" s="272">
        <v>1076</v>
      </c>
      <c r="X65" s="272">
        <v>1098</v>
      </c>
      <c r="Y65" s="272">
        <v>1120</v>
      </c>
      <c r="Z65" s="272">
        <v>1142</v>
      </c>
      <c r="AA65" s="272">
        <v>1051</v>
      </c>
      <c r="AB65" s="272">
        <v>1028</v>
      </c>
      <c r="AC65" s="272">
        <v>1085</v>
      </c>
      <c r="AD65" s="272">
        <v>1119</v>
      </c>
      <c r="AE65" s="272">
        <v>1200</v>
      </c>
      <c r="AF65" s="272">
        <v>1212</v>
      </c>
      <c r="AG65" s="272">
        <v>1224</v>
      </c>
      <c r="AH65" s="272">
        <v>1236</v>
      </c>
      <c r="AI65" s="272">
        <v>1248</v>
      </c>
      <c r="AJ65" s="272">
        <v>1260</v>
      </c>
      <c r="AK65" s="272">
        <v>1273</v>
      </c>
      <c r="AL65" s="268" t="s">
        <v>2132</v>
      </c>
      <c r="AM65" s="268" t="s">
        <v>3722</v>
      </c>
      <c r="AN65" s="268" t="s">
        <v>2148</v>
      </c>
      <c r="AO65" s="657"/>
      <c r="AP65" s="271">
        <v>650</v>
      </c>
      <c r="AQ65" s="280">
        <v>572</v>
      </c>
      <c r="AR65" s="280">
        <v>52</v>
      </c>
      <c r="AS65" s="280">
        <v>26</v>
      </c>
      <c r="AT65" s="657"/>
      <c r="AU65" s="301" t="s">
        <v>3723</v>
      </c>
      <c r="AV65" s="572" t="s">
        <v>3724</v>
      </c>
      <c r="AW65" s="645" t="s">
        <v>3725</v>
      </c>
      <c r="AX65" s="290" t="s">
        <v>2609</v>
      </c>
      <c r="AY65" s="657"/>
      <c r="AZ65" s="948">
        <v>15</v>
      </c>
      <c r="BA65" s="948">
        <v>2</v>
      </c>
      <c r="BB65" s="948">
        <v>4</v>
      </c>
      <c r="BC65" s="948">
        <v>13</v>
      </c>
      <c r="BD65" s="825">
        <f t="shared" si="130"/>
        <v>41208</v>
      </c>
      <c r="BE65" s="304">
        <f t="shared" si="131"/>
        <v>18180</v>
      </c>
      <c r="BF65" s="304">
        <f t="shared" si="132"/>
        <v>2424</v>
      </c>
      <c r="BG65" s="304">
        <f t="shared" si="133"/>
        <v>4848</v>
      </c>
      <c r="BH65" s="304">
        <f t="shared" si="134"/>
        <v>15756</v>
      </c>
      <c r="BI65" s="825">
        <f t="shared" si="135"/>
        <v>43282</v>
      </c>
      <c r="BJ65" s="304">
        <f t="shared" si="136"/>
        <v>19095</v>
      </c>
      <c r="BK65" s="304">
        <f t="shared" si="137"/>
        <v>2546</v>
      </c>
      <c r="BL65" s="304">
        <f t="shared" si="138"/>
        <v>5092</v>
      </c>
      <c r="BM65" s="304">
        <f t="shared" si="139"/>
        <v>16549</v>
      </c>
      <c r="BN65" s="657"/>
      <c r="BO65" s="284">
        <v>0.18</v>
      </c>
      <c r="BP65" s="284">
        <v>0.57999999999999996</v>
      </c>
      <c r="BQ65" s="284">
        <v>0.19</v>
      </c>
      <c r="BR65" s="710">
        <v>0.05</v>
      </c>
      <c r="BS65" s="707">
        <v>0.16</v>
      </c>
      <c r="BT65" s="284">
        <v>0.57999999999999996</v>
      </c>
      <c r="BU65" s="284">
        <v>0.22</v>
      </c>
      <c r="BV65" s="710">
        <v>0.04</v>
      </c>
      <c r="BW65" s="714">
        <v>0.45</v>
      </c>
      <c r="BX65" s="285">
        <v>0.45</v>
      </c>
      <c r="BY65" s="717">
        <v>0.1</v>
      </c>
      <c r="BZ65" s="714">
        <v>0.4</v>
      </c>
      <c r="CA65" s="285">
        <v>0.47</v>
      </c>
      <c r="CB65" s="717">
        <v>0.13</v>
      </c>
      <c r="CC65" s="284">
        <v>0.08</v>
      </c>
      <c r="CD65" s="284">
        <v>0.5</v>
      </c>
      <c r="CE65" s="284">
        <v>0.25</v>
      </c>
      <c r="CF65" s="710">
        <v>0.17</v>
      </c>
      <c r="CG65" s="707">
        <v>0.06</v>
      </c>
      <c r="CH65" s="284">
        <v>0.5</v>
      </c>
      <c r="CI65" s="284">
        <v>0.28000000000000003</v>
      </c>
      <c r="CJ65" s="710">
        <v>0.16</v>
      </c>
      <c r="CK65" s="720">
        <v>0.45</v>
      </c>
      <c r="CL65" s="286">
        <v>0.45</v>
      </c>
      <c r="CM65" s="718">
        <v>0.1</v>
      </c>
      <c r="CN65" s="720">
        <v>0.37</v>
      </c>
      <c r="CO65" s="286">
        <v>0.48</v>
      </c>
      <c r="CP65" s="718">
        <v>0.15</v>
      </c>
      <c r="CQ65" s="657"/>
      <c r="CR65" s="807">
        <v>13</v>
      </c>
      <c r="CS65" s="808">
        <v>13</v>
      </c>
      <c r="CT65" s="808">
        <v>10</v>
      </c>
      <c r="CU65" s="809">
        <v>12</v>
      </c>
      <c r="CV65" s="807">
        <v>13</v>
      </c>
      <c r="CW65" s="808">
        <v>12</v>
      </c>
      <c r="CX65" s="809">
        <v>9</v>
      </c>
      <c r="CY65" s="807">
        <v>11</v>
      </c>
      <c r="CZ65" s="808">
        <v>13</v>
      </c>
      <c r="DA65" s="808">
        <v>9</v>
      </c>
      <c r="DB65" s="809">
        <v>11</v>
      </c>
      <c r="DC65" s="807">
        <v>12</v>
      </c>
      <c r="DD65" s="808">
        <v>13</v>
      </c>
      <c r="DE65" s="809">
        <v>10</v>
      </c>
      <c r="DF65" s="610" t="s">
        <v>3726</v>
      </c>
      <c r="DG65" s="657"/>
      <c r="DH65" s="288">
        <f t="shared" si="140"/>
        <v>3272.4</v>
      </c>
      <c r="DI65" s="288">
        <f t="shared" si="141"/>
        <v>10544.4</v>
      </c>
      <c r="DJ65" s="288">
        <f t="shared" si="142"/>
        <v>3454.2</v>
      </c>
      <c r="DK65" s="288">
        <f t="shared" si="143"/>
        <v>909</v>
      </c>
      <c r="DL65" s="560" t="s">
        <v>3672</v>
      </c>
      <c r="DM65" s="288">
        <f t="shared" si="144"/>
        <v>3055.2000000000003</v>
      </c>
      <c r="DN65" s="288">
        <f t="shared" si="145"/>
        <v>11075.099999999999</v>
      </c>
      <c r="DO65" s="288">
        <f t="shared" si="146"/>
        <v>4200.8999999999996</v>
      </c>
      <c r="DP65" s="288">
        <f t="shared" si="147"/>
        <v>763.80000000000007</v>
      </c>
      <c r="DQ65" s="561" t="s">
        <v>3673</v>
      </c>
      <c r="DR65" s="657"/>
      <c r="DS65" s="288">
        <f t="shared" si="148"/>
        <v>1090.8</v>
      </c>
      <c r="DT65" s="288">
        <f t="shared" si="149"/>
        <v>1090.8</v>
      </c>
      <c r="DU65" s="288">
        <f t="shared" si="150"/>
        <v>242.4</v>
      </c>
      <c r="DV65" s="561" t="s">
        <v>3727</v>
      </c>
      <c r="DW65" s="288">
        <f t="shared" si="151"/>
        <v>1018.4000000000001</v>
      </c>
      <c r="DX65" s="288">
        <f t="shared" si="152"/>
        <v>1196.6199999999999</v>
      </c>
      <c r="DY65" s="288">
        <f t="shared" si="153"/>
        <v>330.98</v>
      </c>
      <c r="DZ65" s="561" t="s">
        <v>3728</v>
      </c>
      <c r="EA65" s="657"/>
      <c r="EB65" s="288">
        <f t="shared" si="154"/>
        <v>387.84000000000003</v>
      </c>
      <c r="EC65" s="288">
        <f t="shared" si="155"/>
        <v>2424</v>
      </c>
      <c r="ED65" s="288">
        <f t="shared" si="156"/>
        <v>1212</v>
      </c>
      <c r="EE65" s="288">
        <f t="shared" si="157"/>
        <v>824.16000000000008</v>
      </c>
      <c r="EF65" s="561" t="s">
        <v>3674</v>
      </c>
      <c r="EG65" s="288">
        <f t="shared" si="158"/>
        <v>305.52</v>
      </c>
      <c r="EH65" s="288">
        <f t="shared" si="159"/>
        <v>2546</v>
      </c>
      <c r="EI65" s="288">
        <f t="shared" si="160"/>
        <v>1425.7600000000002</v>
      </c>
      <c r="EJ65" s="288">
        <f t="shared" si="161"/>
        <v>814.72</v>
      </c>
      <c r="EK65" s="561" t="s">
        <v>3675</v>
      </c>
      <c r="EL65" s="657"/>
      <c r="EM65" s="288">
        <f t="shared" si="162"/>
        <v>7090.2</v>
      </c>
      <c r="EN65" s="291">
        <f t="shared" si="163"/>
        <v>7090.2</v>
      </c>
      <c r="EO65" s="291">
        <f t="shared" si="164"/>
        <v>1575.6000000000001</v>
      </c>
      <c r="EP65" s="561" t="s">
        <v>3676</v>
      </c>
      <c r="EQ65" s="288">
        <f t="shared" si="165"/>
        <v>6123.13</v>
      </c>
      <c r="ER65" s="291">
        <f t="shared" si="166"/>
        <v>7943.5199999999995</v>
      </c>
      <c r="ES65" s="291">
        <f t="shared" si="167"/>
        <v>2482.35</v>
      </c>
      <c r="ET65" s="561" t="s">
        <v>3677</v>
      </c>
      <c r="EU65" s="657"/>
      <c r="EV65" s="740">
        <f t="shared" si="168"/>
        <v>0.72323322398775192</v>
      </c>
      <c r="EW65" s="740">
        <f t="shared" si="169"/>
        <v>0.27676677601224797</v>
      </c>
      <c r="EX65" s="563">
        <f t="shared" si="170"/>
        <v>16951.211513163638</v>
      </c>
      <c r="EY65" s="563">
        <f t="shared" si="171"/>
        <v>12259.679353163638</v>
      </c>
      <c r="EZ65" s="563">
        <f t="shared" si="172"/>
        <v>4691.5321599999997</v>
      </c>
      <c r="FA65" s="563">
        <f t="shared" si="173"/>
        <v>7379.4183619307705</v>
      </c>
      <c r="FB65" s="563">
        <f t="shared" si="174"/>
        <v>5309.6247619307705</v>
      </c>
      <c r="FC65" s="563">
        <f t="shared" si="175"/>
        <v>2069.7936</v>
      </c>
      <c r="FD65" s="563">
        <f t="shared" si="176"/>
        <v>1001.2031206410256</v>
      </c>
      <c r="FE65" s="563">
        <f t="shared" si="177"/>
        <v>725.23064064102562</v>
      </c>
      <c r="FF65" s="563">
        <f t="shared" si="178"/>
        <v>275.97248000000002</v>
      </c>
      <c r="FG65" s="563">
        <f t="shared" si="179"/>
        <v>2122.7373614918415</v>
      </c>
      <c r="FH65" s="563">
        <f t="shared" si="180"/>
        <v>1570.7924014918417</v>
      </c>
      <c r="FI65" s="563">
        <f t="shared" si="181"/>
        <v>551.94496000000004</v>
      </c>
      <c r="FJ65" s="563">
        <f t="shared" si="182"/>
        <v>6447.8526690999997</v>
      </c>
      <c r="FK65" s="563">
        <f t="shared" si="183"/>
        <v>4654.0315491000001</v>
      </c>
      <c r="FL65" s="563">
        <f t="shared" si="184"/>
        <v>1793.8211199999998</v>
      </c>
      <c r="FM65" s="529"/>
      <c r="FN65" s="564" t="s">
        <v>2649</v>
      </c>
      <c r="FO65" s="740">
        <v>6.3519999999999993E-2</v>
      </c>
      <c r="FP65" s="741">
        <v>0.82916000000000001</v>
      </c>
      <c r="FQ65" s="565" t="s">
        <v>3678</v>
      </c>
      <c r="FR65" s="529"/>
      <c r="FS65" s="867">
        <v>3.09</v>
      </c>
      <c r="FT65" s="566">
        <f>RANK($FS65,$FS$8:$FS$154,0)+COUNTIF($FS$8:$FS65,$FS65)-1</f>
        <v>94</v>
      </c>
      <c r="FU65" s="867">
        <v>3.87</v>
      </c>
      <c r="FV65" s="566">
        <f>RANK($FU65,$FU$8:$FU$154,0)+COUNTIF($FU$8:$FU65,$FU65)-1</f>
        <v>104</v>
      </c>
      <c r="FW65" s="867">
        <v>2.13</v>
      </c>
      <c r="FX65" s="566">
        <f>RANK($FW65,$FW$8:$FW$154,0)+COUNTIF($FW$8:$FW65,$FW65)-1</f>
        <v>79</v>
      </c>
      <c r="FY65" s="529"/>
      <c r="FZ65" s="567" t="s">
        <v>3729</v>
      </c>
      <c r="GA65" s="567" t="s">
        <v>3730</v>
      </c>
      <c r="GB65" s="567" t="s">
        <v>3698</v>
      </c>
      <c r="GC65" s="567" t="s">
        <v>3699</v>
      </c>
      <c r="GD65" s="567" t="s">
        <v>3700</v>
      </c>
      <c r="GE65" s="567" t="s">
        <v>3701</v>
      </c>
      <c r="GF65" s="567" t="str">
        <f t="shared" si="226"/>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65" s="529"/>
      <c r="GH65" s="563">
        <f t="shared" si="185"/>
        <v>1216.4993769230771</v>
      </c>
      <c r="GI65" s="563">
        <f t="shared" si="116"/>
        <v>885.3324009230771</v>
      </c>
      <c r="GJ65" s="563">
        <f t="shared" si="186"/>
        <v>331.16697599999998</v>
      </c>
      <c r="GK65" s="563">
        <f t="shared" si="187"/>
        <v>4053.2180243076928</v>
      </c>
      <c r="GL65" s="563">
        <f t="shared" si="117"/>
        <v>2852.7377363076926</v>
      </c>
      <c r="GM65" s="563">
        <f t="shared" si="188"/>
        <v>1200.480288</v>
      </c>
      <c r="GN65" s="563">
        <f t="shared" si="189"/>
        <v>1751.9908542000001</v>
      </c>
      <c r="GO65" s="563">
        <f t="shared" si="118"/>
        <v>1296.6362622000001</v>
      </c>
      <c r="GP65" s="563">
        <f t="shared" si="190"/>
        <v>455.35459199999997</v>
      </c>
      <c r="GQ65" s="563">
        <f t="shared" si="191"/>
        <v>357.71010650000005</v>
      </c>
      <c r="GR65" s="563">
        <f t="shared" si="119"/>
        <v>274.91836250000006</v>
      </c>
      <c r="GS65" s="563">
        <f t="shared" si="192"/>
        <v>82.791743999999994</v>
      </c>
      <c r="GT65" s="563">
        <f t="shared" si="193"/>
        <v>405.49979230769236</v>
      </c>
      <c r="GU65" s="563">
        <f t="shared" si="120"/>
        <v>295.11080030769233</v>
      </c>
      <c r="GV65" s="563">
        <f t="shared" si="194"/>
        <v>110.38899200000002</v>
      </c>
      <c r="GW65" s="563">
        <f t="shared" si="195"/>
        <v>459.60910060000003</v>
      </c>
      <c r="GX65" s="563">
        <f t="shared" si="121"/>
        <v>329.90203500000001</v>
      </c>
      <c r="GY65" s="563">
        <f t="shared" si="196"/>
        <v>129.70706559999999</v>
      </c>
      <c r="GZ65" s="563">
        <f t="shared" si="197"/>
        <v>136.09422773333333</v>
      </c>
      <c r="HA65" s="563">
        <f t="shared" si="122"/>
        <v>100.21780533333333</v>
      </c>
      <c r="HB65" s="563">
        <f t="shared" si="198"/>
        <v>35.876422400000003</v>
      </c>
      <c r="HC65" s="563">
        <f t="shared" si="199"/>
        <v>165.56520843636366</v>
      </c>
      <c r="HD65" s="563">
        <f t="shared" si="123"/>
        <v>132.44851083636365</v>
      </c>
      <c r="HE65" s="563">
        <f t="shared" si="200"/>
        <v>33.116697600000002</v>
      </c>
      <c r="HF65" s="563">
        <f t="shared" si="201"/>
        <v>931.77425846153847</v>
      </c>
      <c r="HG65" s="563">
        <f t="shared" si="124"/>
        <v>655.80177846153845</v>
      </c>
      <c r="HH65" s="563">
        <f t="shared" si="202"/>
        <v>275.97248000000002</v>
      </c>
      <c r="HI65" s="563">
        <f t="shared" si="203"/>
        <v>655.6336154666667</v>
      </c>
      <c r="HJ65" s="563">
        <f t="shared" si="125"/>
        <v>501.08902666666665</v>
      </c>
      <c r="HK65" s="563">
        <f t="shared" si="204"/>
        <v>154.54458880000001</v>
      </c>
      <c r="HL65" s="563">
        <f t="shared" si="205"/>
        <v>369.7642791272728</v>
      </c>
      <c r="HM65" s="563">
        <f t="shared" si="126"/>
        <v>281.45308552727278</v>
      </c>
      <c r="HN65" s="563">
        <f t="shared" si="206"/>
        <v>88.31119360000001</v>
      </c>
      <c r="HO65" s="563">
        <f t="shared" si="207"/>
        <v>2808.0770419</v>
      </c>
      <c r="HP65" s="563">
        <f t="shared" si="127"/>
        <v>2144.3632275</v>
      </c>
      <c r="HQ65" s="563">
        <f t="shared" si="208"/>
        <v>663.71381439999993</v>
      </c>
      <c r="HR65" s="563">
        <f t="shared" si="209"/>
        <v>2779.2543396000001</v>
      </c>
      <c r="HS65" s="563">
        <f t="shared" si="128"/>
        <v>1918.220202</v>
      </c>
      <c r="HT65" s="563">
        <f t="shared" si="210"/>
        <v>861.03413759999989</v>
      </c>
      <c r="HU65" s="563">
        <f t="shared" si="211"/>
        <v>860.52128760000005</v>
      </c>
      <c r="HV65" s="563">
        <f t="shared" si="129"/>
        <v>591.44811960000015</v>
      </c>
      <c r="HW65" s="563">
        <f t="shared" si="212"/>
        <v>269.07316799999995</v>
      </c>
      <c r="HX65" s="544"/>
      <c r="HY65" s="568">
        <f t="shared" si="213"/>
        <v>41208</v>
      </c>
      <c r="HZ65" s="568">
        <f t="shared" si="214"/>
        <v>78.537599999999998</v>
      </c>
      <c r="IA65" s="568">
        <f t="shared" si="215"/>
        <v>7786.1303999999991</v>
      </c>
      <c r="IB65" s="568">
        <f t="shared" si="216"/>
        <v>20670.781200000001</v>
      </c>
      <c r="IC65" s="568">
        <f t="shared" si="217"/>
        <v>11439.462000000001</v>
      </c>
      <c r="ID65" s="568">
        <f t="shared" si="218"/>
        <v>1233.0888</v>
      </c>
      <c r="IE65" s="568">
        <f t="shared" si="219"/>
        <v>12259.679353163639</v>
      </c>
      <c r="IF65" s="568">
        <f t="shared" si="220"/>
        <v>0</v>
      </c>
      <c r="IG65" s="568">
        <f t="shared" si="221"/>
        <v>1003.7329967719508</v>
      </c>
      <c r="IH65" s="568">
        <f t="shared" si="222"/>
        <v>5278.0990479830753</v>
      </c>
      <c r="II65" s="568">
        <f t="shared" si="223"/>
        <v>5004.4106218438665</v>
      </c>
      <c r="IJ65" s="568">
        <f t="shared" si="224"/>
        <v>973.43668656474665</v>
      </c>
      <c r="IK65" s="868">
        <v>3.75</v>
      </c>
      <c r="IL65" s="569" t="s">
        <v>2589</v>
      </c>
      <c r="IM65" s="570" t="s">
        <v>3731</v>
      </c>
      <c r="IN65" s="529"/>
      <c r="IO65" s="742">
        <v>0</v>
      </c>
      <c r="IP65" s="742">
        <v>0.14299999999999999</v>
      </c>
      <c r="IQ65" s="742">
        <v>0.4899</v>
      </c>
      <c r="IR65" s="742">
        <v>0.3256</v>
      </c>
      <c r="IS65" s="742">
        <v>4.1500000000000002E-2</v>
      </c>
      <c r="IT65" s="742">
        <v>0</v>
      </c>
      <c r="IU65" s="742">
        <v>4.9700000000000001E-2</v>
      </c>
      <c r="IV65" s="742">
        <v>0.3906</v>
      </c>
      <c r="IW65" s="742">
        <v>0.45440000000000003</v>
      </c>
      <c r="IX65" s="742">
        <v>0.1053</v>
      </c>
      <c r="IY65" s="742">
        <v>0</v>
      </c>
      <c r="IZ65" s="742">
        <v>0.2016</v>
      </c>
      <c r="JA65" s="742">
        <v>0.51190000000000002</v>
      </c>
      <c r="JB65" s="742">
        <v>0.2616</v>
      </c>
      <c r="JC65" s="742">
        <v>2.4899999999999999E-2</v>
      </c>
      <c r="JD65" s="742">
        <v>0</v>
      </c>
      <c r="JE65" s="742">
        <v>8.7800000000000003E-2</v>
      </c>
      <c r="JF65" s="742">
        <v>0.44500000000000001</v>
      </c>
      <c r="JG65" s="742">
        <v>0.39750000000000002</v>
      </c>
      <c r="JH65" s="742">
        <v>6.9699999999999998E-2</v>
      </c>
      <c r="JI65" s="742">
        <v>1.6199999999999999E-2</v>
      </c>
      <c r="JJ65" s="742">
        <v>0.28000000000000003</v>
      </c>
      <c r="JK65" s="742">
        <v>0.50019999999999998</v>
      </c>
      <c r="JL65" s="742">
        <v>0.19109999999999999</v>
      </c>
      <c r="JM65" s="742">
        <v>1.2500000000000001E-2</v>
      </c>
      <c r="JN65" s="742">
        <v>0</v>
      </c>
      <c r="JO65" s="742">
        <v>0.1484</v>
      </c>
      <c r="JP65" s="742">
        <v>0.49280000000000002</v>
      </c>
      <c r="JQ65" s="742">
        <v>0.31919999999999998</v>
      </c>
      <c r="JR65" s="742">
        <v>3.9600000000000003E-2</v>
      </c>
      <c r="JS65" s="742">
        <v>0</v>
      </c>
      <c r="JT65" s="742">
        <v>0.21199999999999999</v>
      </c>
      <c r="JU65" s="742">
        <v>0.51400000000000001</v>
      </c>
      <c r="JV65" s="742">
        <v>0.25130000000000002</v>
      </c>
      <c r="JW65" s="742">
        <v>2.2700000000000001E-2</v>
      </c>
      <c r="JX65" s="742">
        <v>0</v>
      </c>
      <c r="JY65" s="742">
        <v>9.5200000000000007E-2</v>
      </c>
      <c r="JZ65" s="742">
        <v>0.45279999999999998</v>
      </c>
      <c r="KA65" s="742">
        <v>0.38719999999999999</v>
      </c>
      <c r="KB65" s="742">
        <v>6.4799999999999996E-2</v>
      </c>
      <c r="KC65" s="657"/>
      <c r="KD65" s="832" t="s">
        <v>2591</v>
      </c>
      <c r="KE65" s="832" t="s">
        <v>2591</v>
      </c>
      <c r="KF65" s="869">
        <v>3.48</v>
      </c>
      <c r="KG65" s="832" t="s">
        <v>2616</v>
      </c>
      <c r="KH65" s="833" t="s">
        <v>3732</v>
      </c>
      <c r="KI65" s="832" t="s">
        <v>3733</v>
      </c>
      <c r="KJ65" s="833" t="s">
        <v>3731</v>
      </c>
    </row>
    <row r="66" spans="1:296" ht="48" hidden="1" customHeight="1">
      <c r="A66" s="273">
        <f t="shared" si="225"/>
        <v>59</v>
      </c>
      <c r="B66" s="274" t="s">
        <v>3662</v>
      </c>
      <c r="C66" s="274" t="s">
        <v>1114</v>
      </c>
      <c r="D66" s="274" t="s">
        <v>3734</v>
      </c>
      <c r="E66" s="275" t="s">
        <v>3663</v>
      </c>
      <c r="F66" s="275" t="s">
        <v>300</v>
      </c>
      <c r="G66" s="275" t="s">
        <v>300</v>
      </c>
      <c r="H66" s="275" t="s">
        <v>2109</v>
      </c>
      <c r="I66" s="276" t="s">
        <v>3735</v>
      </c>
      <c r="J66" s="276" t="s">
        <v>3736</v>
      </c>
      <c r="K66" s="277" t="s">
        <v>2097</v>
      </c>
      <c r="L66" s="277" t="s">
        <v>2109</v>
      </c>
      <c r="M66" s="277" t="s">
        <v>2603</v>
      </c>
      <c r="N66" s="277" t="s">
        <v>2099</v>
      </c>
      <c r="O66" s="275" t="s">
        <v>2616</v>
      </c>
      <c r="P66" s="276"/>
      <c r="Q66" s="270">
        <v>1</v>
      </c>
      <c r="R66" s="278">
        <v>700</v>
      </c>
      <c r="S66" s="279">
        <v>2285</v>
      </c>
      <c r="T66" s="279">
        <v>2523</v>
      </c>
      <c r="U66" s="279">
        <v>2786</v>
      </c>
      <c r="V66" s="279">
        <v>3076</v>
      </c>
      <c r="W66" s="279">
        <v>3138</v>
      </c>
      <c r="X66" s="279">
        <v>3201</v>
      </c>
      <c r="Y66" s="279">
        <v>3265</v>
      </c>
      <c r="Z66" s="279">
        <v>3330</v>
      </c>
      <c r="AA66" s="279">
        <v>3363</v>
      </c>
      <c r="AB66" s="279">
        <v>3397</v>
      </c>
      <c r="AC66" s="279">
        <v>3431</v>
      </c>
      <c r="AD66" s="279">
        <v>3465</v>
      </c>
      <c r="AE66" s="279">
        <v>3500</v>
      </c>
      <c r="AF66" s="279">
        <v>3535</v>
      </c>
      <c r="AG66" s="279">
        <v>3570</v>
      </c>
      <c r="AH66" s="279">
        <v>3606</v>
      </c>
      <c r="AI66" s="279">
        <v>3642</v>
      </c>
      <c r="AJ66" s="279">
        <v>3678</v>
      </c>
      <c r="AK66" s="279">
        <v>3715</v>
      </c>
      <c r="AL66" s="276" t="s">
        <v>2132</v>
      </c>
      <c r="AM66" s="276" t="s">
        <v>3737</v>
      </c>
      <c r="AN66" s="276" t="s">
        <v>2148</v>
      </c>
      <c r="AO66" s="657"/>
      <c r="AP66" s="278">
        <v>250</v>
      </c>
      <c r="AQ66" s="278">
        <v>220</v>
      </c>
      <c r="AR66" s="278">
        <v>20</v>
      </c>
      <c r="AS66" s="278">
        <v>10</v>
      </c>
      <c r="AT66" s="657"/>
      <c r="AU66" s="281" t="s">
        <v>3723</v>
      </c>
      <c r="AV66" s="296" t="s">
        <v>3738</v>
      </c>
      <c r="AW66" s="296" t="s">
        <v>3739</v>
      </c>
      <c r="AX66" s="276" t="s">
        <v>2609</v>
      </c>
      <c r="AY66" s="657"/>
      <c r="AZ66" s="947">
        <v>12</v>
      </c>
      <c r="BA66" s="947">
        <v>0.1</v>
      </c>
      <c r="BB66" s="947">
        <v>2</v>
      </c>
      <c r="BC66" s="947">
        <v>8</v>
      </c>
      <c r="BD66" s="826">
        <f t="shared" si="130"/>
        <v>78123.5</v>
      </c>
      <c r="BE66" s="283">
        <f t="shared" si="131"/>
        <v>42420</v>
      </c>
      <c r="BF66" s="283">
        <f t="shared" si="132"/>
        <v>353.5</v>
      </c>
      <c r="BG66" s="283">
        <f t="shared" si="133"/>
        <v>7070</v>
      </c>
      <c r="BH66" s="283">
        <f t="shared" si="134"/>
        <v>28280</v>
      </c>
      <c r="BI66" s="826">
        <f t="shared" si="135"/>
        <v>82101.5</v>
      </c>
      <c r="BJ66" s="283">
        <f t="shared" si="136"/>
        <v>44580</v>
      </c>
      <c r="BK66" s="283">
        <f t="shared" si="137"/>
        <v>371.5</v>
      </c>
      <c r="BL66" s="283">
        <f t="shared" si="138"/>
        <v>7430</v>
      </c>
      <c r="BM66" s="283">
        <f t="shared" si="139"/>
        <v>29720</v>
      </c>
      <c r="BN66" s="657"/>
      <c r="BO66" s="305">
        <v>0.18</v>
      </c>
      <c r="BP66" s="305">
        <v>0.57999999999999996</v>
      </c>
      <c r="BQ66" s="305">
        <v>0.19</v>
      </c>
      <c r="BR66" s="581">
        <v>0.05</v>
      </c>
      <c r="BS66" s="706">
        <v>0.16</v>
      </c>
      <c r="BT66" s="305">
        <v>0.57999999999999996</v>
      </c>
      <c r="BU66" s="305">
        <v>0.22</v>
      </c>
      <c r="BV66" s="581">
        <v>0.04</v>
      </c>
      <c r="BW66" s="713">
        <v>0.45</v>
      </c>
      <c r="BX66" s="306">
        <v>0.45</v>
      </c>
      <c r="BY66" s="590">
        <v>0.1</v>
      </c>
      <c r="BZ66" s="713">
        <v>0.4</v>
      </c>
      <c r="CA66" s="306">
        <v>0.47</v>
      </c>
      <c r="CB66" s="590">
        <v>0.13</v>
      </c>
      <c r="CC66" s="706">
        <v>0.08</v>
      </c>
      <c r="CD66" s="305">
        <v>0.5</v>
      </c>
      <c r="CE66" s="305">
        <v>0.25</v>
      </c>
      <c r="CF66" s="581">
        <v>0.17</v>
      </c>
      <c r="CG66" s="706">
        <v>0.06</v>
      </c>
      <c r="CH66" s="305">
        <v>0.5</v>
      </c>
      <c r="CI66" s="305">
        <v>0.28000000000000003</v>
      </c>
      <c r="CJ66" s="581">
        <v>0.16</v>
      </c>
      <c r="CK66" s="719">
        <v>0.5</v>
      </c>
      <c r="CL66" s="307">
        <v>0.35</v>
      </c>
      <c r="CM66" s="723">
        <v>0.15</v>
      </c>
      <c r="CN66" s="719">
        <v>0.42</v>
      </c>
      <c r="CO66" s="307">
        <v>0.38</v>
      </c>
      <c r="CP66" s="723">
        <v>0.2</v>
      </c>
      <c r="CQ66" s="657"/>
      <c r="CR66" s="804">
        <v>13</v>
      </c>
      <c r="CS66" s="805">
        <v>13</v>
      </c>
      <c r="CT66" s="805">
        <v>10</v>
      </c>
      <c r="CU66" s="806">
        <v>12</v>
      </c>
      <c r="CV66" s="804">
        <v>13</v>
      </c>
      <c r="CW66" s="805">
        <v>12</v>
      </c>
      <c r="CX66" s="806">
        <v>9</v>
      </c>
      <c r="CY66" s="804">
        <v>11</v>
      </c>
      <c r="CZ66" s="805">
        <v>13</v>
      </c>
      <c r="DA66" s="805">
        <v>9</v>
      </c>
      <c r="DB66" s="806">
        <v>11</v>
      </c>
      <c r="DC66" s="804">
        <v>12</v>
      </c>
      <c r="DD66" s="805">
        <v>13</v>
      </c>
      <c r="DE66" s="806">
        <v>10</v>
      </c>
      <c r="DF66" s="609" t="s">
        <v>3740</v>
      </c>
      <c r="DG66" s="657"/>
      <c r="DH66" s="308">
        <f t="shared" si="140"/>
        <v>7635.5999999999995</v>
      </c>
      <c r="DI66" s="308">
        <f t="shared" si="141"/>
        <v>24603.599999999999</v>
      </c>
      <c r="DJ66" s="308">
        <f t="shared" si="142"/>
        <v>8059.8</v>
      </c>
      <c r="DK66" s="308">
        <f t="shared" si="143"/>
        <v>2121</v>
      </c>
      <c r="DL66" s="287" t="s">
        <v>3713</v>
      </c>
      <c r="DM66" s="308">
        <f t="shared" si="144"/>
        <v>7132.8</v>
      </c>
      <c r="DN66" s="308">
        <f t="shared" si="145"/>
        <v>25856.399999999998</v>
      </c>
      <c r="DO66" s="308">
        <f t="shared" si="146"/>
        <v>9807.6</v>
      </c>
      <c r="DP66" s="308">
        <f t="shared" si="147"/>
        <v>1783.2</v>
      </c>
      <c r="DQ66" s="289" t="s">
        <v>3673</v>
      </c>
      <c r="DR66" s="657"/>
      <c r="DS66" s="308">
        <f t="shared" si="148"/>
        <v>159.07500000000002</v>
      </c>
      <c r="DT66" s="308">
        <f t="shared" si="149"/>
        <v>159.07500000000002</v>
      </c>
      <c r="DU66" s="308">
        <f t="shared" si="150"/>
        <v>35.35</v>
      </c>
      <c r="DV66" s="289" t="s">
        <v>3741</v>
      </c>
      <c r="DW66" s="308">
        <f t="shared" si="151"/>
        <v>148.6</v>
      </c>
      <c r="DX66" s="308">
        <f t="shared" si="152"/>
        <v>174.60499999999999</v>
      </c>
      <c r="DY66" s="308">
        <f t="shared" si="153"/>
        <v>48.295000000000002</v>
      </c>
      <c r="DZ66" s="289" t="s">
        <v>3728</v>
      </c>
      <c r="EA66" s="657"/>
      <c r="EB66" s="308">
        <f t="shared" si="154"/>
        <v>565.6</v>
      </c>
      <c r="EC66" s="308">
        <f t="shared" si="155"/>
        <v>3535</v>
      </c>
      <c r="ED66" s="308">
        <f t="shared" si="156"/>
        <v>1767.5</v>
      </c>
      <c r="EE66" s="308">
        <f t="shared" si="157"/>
        <v>1201.9000000000001</v>
      </c>
      <c r="EF66" s="289" t="s">
        <v>3714</v>
      </c>
      <c r="EG66" s="308">
        <f t="shared" si="158"/>
        <v>445.8</v>
      </c>
      <c r="EH66" s="308">
        <f t="shared" si="159"/>
        <v>3715</v>
      </c>
      <c r="EI66" s="308">
        <f t="shared" si="160"/>
        <v>2080.4</v>
      </c>
      <c r="EJ66" s="308">
        <f t="shared" si="161"/>
        <v>1188.8</v>
      </c>
      <c r="EK66" s="309" t="s">
        <v>3675</v>
      </c>
      <c r="EL66" s="657"/>
      <c r="EM66" s="308">
        <f t="shared" si="162"/>
        <v>14140</v>
      </c>
      <c r="EN66" s="310">
        <f t="shared" si="163"/>
        <v>9898</v>
      </c>
      <c r="EO66" s="310">
        <f t="shared" si="164"/>
        <v>4242</v>
      </c>
      <c r="EP66" s="289" t="s">
        <v>3715</v>
      </c>
      <c r="EQ66" s="308">
        <f t="shared" si="165"/>
        <v>12482.4</v>
      </c>
      <c r="ER66" s="310">
        <f t="shared" si="166"/>
        <v>11293.6</v>
      </c>
      <c r="ES66" s="310">
        <f t="shared" si="167"/>
        <v>5944</v>
      </c>
      <c r="ET66" s="289" t="s">
        <v>3677</v>
      </c>
      <c r="EU66" s="657"/>
      <c r="EV66" s="728">
        <f t="shared" si="168"/>
        <v>0.72132578975411921</v>
      </c>
      <c r="EW66" s="728">
        <f t="shared" si="169"/>
        <v>0.27867421024588074</v>
      </c>
      <c r="EX66" s="311">
        <f t="shared" si="170"/>
        <v>32496.826642155571</v>
      </c>
      <c r="EY66" s="311">
        <f t="shared" si="171"/>
        <v>23440.799142155571</v>
      </c>
      <c r="EZ66" s="311">
        <f t="shared" si="172"/>
        <v>9056.0275000000001</v>
      </c>
      <c r="FA66" s="311">
        <f t="shared" si="173"/>
        <v>17357.16502889846</v>
      </c>
      <c r="FB66" s="311">
        <f t="shared" si="174"/>
        <v>12439.865028898459</v>
      </c>
      <c r="FC66" s="311">
        <f t="shared" si="175"/>
        <v>4917.3</v>
      </c>
      <c r="FD66" s="311">
        <f t="shared" si="176"/>
        <v>147.33479220598292</v>
      </c>
      <c r="FE66" s="311">
        <f t="shared" si="177"/>
        <v>106.35729220598292</v>
      </c>
      <c r="FF66" s="311">
        <f t="shared" si="178"/>
        <v>40.977499999999999</v>
      </c>
      <c r="FG66" s="311">
        <f t="shared" si="179"/>
        <v>3141.4892045998449</v>
      </c>
      <c r="FH66" s="311">
        <f t="shared" si="180"/>
        <v>2321.9392045998452</v>
      </c>
      <c r="FI66" s="311">
        <f t="shared" si="181"/>
        <v>819.55</v>
      </c>
      <c r="FJ66" s="311">
        <f t="shared" si="182"/>
        <v>11850.837616451281</v>
      </c>
      <c r="FK66" s="311">
        <f t="shared" si="183"/>
        <v>8572.6376164512822</v>
      </c>
      <c r="FL66" s="311">
        <f t="shared" si="184"/>
        <v>3278.2</v>
      </c>
      <c r="FM66" s="657"/>
      <c r="FN66" s="293" t="s">
        <v>2649</v>
      </c>
      <c r="FO66" s="728">
        <v>6.5000000000000002E-2</v>
      </c>
      <c r="FP66" s="729">
        <v>0.82916000000000001</v>
      </c>
      <c r="FQ66" s="294" t="s">
        <v>3678</v>
      </c>
      <c r="FR66" s="657"/>
      <c r="FS66" s="865">
        <v>3.09</v>
      </c>
      <c r="FT66" s="312">
        <f>RANK($FS66,$FS$8:$FS$154,0)+COUNTIF($FS$8:$FS66,$FS66)-1</f>
        <v>95</v>
      </c>
      <c r="FU66" s="865">
        <v>3.88</v>
      </c>
      <c r="FV66" s="312">
        <f>RANK($FU66,$FU$8:$FU$154,0)+COUNTIF($FU$8:$FU66,$FU66)-1</f>
        <v>99</v>
      </c>
      <c r="FW66" s="865">
        <v>2.13</v>
      </c>
      <c r="FX66" s="312">
        <f>RANK($FW66,$FW$8:$FW$154,0)+COUNTIF($FW$8:$FW66,$FW66)-1</f>
        <v>80</v>
      </c>
      <c r="FY66" s="657"/>
      <c r="FZ66" s="296" t="s">
        <v>3742</v>
      </c>
      <c r="GA66" s="296" t="s">
        <v>3730</v>
      </c>
      <c r="GB66" s="296" t="s">
        <v>3698</v>
      </c>
      <c r="GC66" s="296" t="s">
        <v>3699</v>
      </c>
      <c r="GD66" s="296" t="s">
        <v>3700</v>
      </c>
      <c r="GE66" s="296" t="s">
        <v>3701</v>
      </c>
      <c r="GF66" s="296" t="str">
        <f t="shared" si="226"/>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66" s="657"/>
      <c r="GH66" s="311">
        <f t="shared" si="185"/>
        <v>2851.498860553846</v>
      </c>
      <c r="GI66" s="311">
        <f t="shared" si="116"/>
        <v>2064.730860553846</v>
      </c>
      <c r="GJ66" s="311">
        <f t="shared" si="186"/>
        <v>786.76800000000003</v>
      </c>
      <c r="GK66" s="311">
        <f t="shared" si="187"/>
        <v>9505.0556617846141</v>
      </c>
      <c r="GL66" s="311">
        <f t="shared" si="117"/>
        <v>6653.0216617846145</v>
      </c>
      <c r="GM66" s="311">
        <f t="shared" si="188"/>
        <v>2852.0340000000001</v>
      </c>
      <c r="GN66" s="311">
        <f t="shared" si="189"/>
        <v>4162.7290785599998</v>
      </c>
      <c r="GO66" s="311">
        <f t="shared" si="118"/>
        <v>3080.9230785599998</v>
      </c>
      <c r="GP66" s="311">
        <f t="shared" si="190"/>
        <v>1081.806</v>
      </c>
      <c r="GQ66" s="311">
        <f t="shared" si="191"/>
        <v>837.88142800000003</v>
      </c>
      <c r="GR66" s="311">
        <f t="shared" si="119"/>
        <v>641.18942800000002</v>
      </c>
      <c r="GS66" s="311">
        <f t="shared" si="192"/>
        <v>196.69200000000001</v>
      </c>
      <c r="GT66" s="311">
        <f t="shared" si="193"/>
        <v>59.406226261538464</v>
      </c>
      <c r="GU66" s="311">
        <f t="shared" si="120"/>
        <v>43.015226261538466</v>
      </c>
      <c r="GV66" s="311">
        <f t="shared" si="194"/>
        <v>16.391000000000002</v>
      </c>
      <c r="GW66" s="311">
        <f t="shared" si="195"/>
        <v>67.348632100000003</v>
      </c>
      <c r="GX66" s="311">
        <f t="shared" si="121"/>
        <v>48.089207100000003</v>
      </c>
      <c r="GY66" s="311">
        <f t="shared" si="196"/>
        <v>19.259425</v>
      </c>
      <c r="GZ66" s="311">
        <f t="shared" si="197"/>
        <v>20.579933844444447</v>
      </c>
      <c r="HA66" s="311">
        <f t="shared" si="122"/>
        <v>15.252858844444447</v>
      </c>
      <c r="HB66" s="311">
        <f t="shared" si="198"/>
        <v>5.3270749999999998</v>
      </c>
      <c r="HC66" s="311">
        <f t="shared" si="199"/>
        <v>242.26175054545459</v>
      </c>
      <c r="HD66" s="311">
        <f t="shared" si="123"/>
        <v>193.08875054545459</v>
      </c>
      <c r="HE66" s="311">
        <f t="shared" si="200"/>
        <v>49.172999999999995</v>
      </c>
      <c r="HF66" s="311">
        <f t="shared" si="201"/>
        <v>1365.6689169230772</v>
      </c>
      <c r="HG66" s="311">
        <f t="shared" si="124"/>
        <v>955.89391692307709</v>
      </c>
      <c r="HH66" s="311">
        <f t="shared" si="202"/>
        <v>409.77499999999998</v>
      </c>
      <c r="HI66" s="311">
        <f t="shared" si="203"/>
        <v>992.11694222222241</v>
      </c>
      <c r="HJ66" s="311">
        <f t="shared" si="125"/>
        <v>762.64294222222236</v>
      </c>
      <c r="HK66" s="311">
        <f t="shared" si="204"/>
        <v>229.47400000000002</v>
      </c>
      <c r="HL66" s="311">
        <f t="shared" si="205"/>
        <v>541.44159490909101</v>
      </c>
      <c r="HM66" s="311">
        <f t="shared" si="126"/>
        <v>410.31359490909097</v>
      </c>
      <c r="HN66" s="311">
        <f t="shared" si="206"/>
        <v>131.12799999999999</v>
      </c>
      <c r="HO66" s="311">
        <f t="shared" si="207"/>
        <v>5651.4401866666667</v>
      </c>
      <c r="HP66" s="311">
        <f t="shared" si="127"/>
        <v>4274.5961866666667</v>
      </c>
      <c r="HQ66" s="311">
        <f t="shared" si="208"/>
        <v>1376.8439999999998</v>
      </c>
      <c r="HR66" s="311">
        <f t="shared" si="209"/>
        <v>3922.2189673846156</v>
      </c>
      <c r="HS66" s="311">
        <f t="shared" si="128"/>
        <v>2676.5029673846157</v>
      </c>
      <c r="HT66" s="311">
        <f t="shared" si="210"/>
        <v>1245.7159999999999</v>
      </c>
      <c r="HU66" s="311">
        <f t="shared" si="211"/>
        <v>2277.1784623999997</v>
      </c>
      <c r="HV66" s="311">
        <f t="shared" si="129"/>
        <v>1621.5384623999998</v>
      </c>
      <c r="HW66" s="311">
        <f t="shared" si="212"/>
        <v>655.64</v>
      </c>
      <c r="HY66" s="313">
        <f t="shared" si="213"/>
        <v>78123.500000000015</v>
      </c>
      <c r="HZ66" s="313">
        <f t="shared" si="214"/>
        <v>1345.2796000000003</v>
      </c>
      <c r="IA66" s="313">
        <f t="shared" si="215"/>
        <v>23967.441400000003</v>
      </c>
      <c r="IB66" s="313">
        <f t="shared" si="216"/>
        <v>39534.626950000005</v>
      </c>
      <c r="IC66" s="313">
        <f t="shared" si="217"/>
        <v>12709.632949999999</v>
      </c>
      <c r="ID66" s="313">
        <f t="shared" si="218"/>
        <v>566.51909999999998</v>
      </c>
      <c r="IE66" s="313">
        <f t="shared" si="219"/>
        <v>23440.799142155571</v>
      </c>
      <c r="IF66" s="313">
        <f t="shared" si="220"/>
        <v>10.216532500239319</v>
      </c>
      <c r="IG66" s="313">
        <f t="shared" si="221"/>
        <v>4230.7634410928586</v>
      </c>
      <c r="IH66" s="313">
        <f t="shared" si="222"/>
        <v>12293.655859032689</v>
      </c>
      <c r="II66" s="313">
        <f t="shared" si="223"/>
        <v>6374.3742993704691</v>
      </c>
      <c r="IJ66" s="313">
        <f t="shared" si="224"/>
        <v>531.78901015931342</v>
      </c>
      <c r="IK66" s="866">
        <v>3.7</v>
      </c>
      <c r="IL66" s="314" t="s">
        <v>2589</v>
      </c>
      <c r="IM66" s="299" t="s">
        <v>3743</v>
      </c>
      <c r="IN66" s="657"/>
      <c r="IO66" s="730">
        <v>7.9000000000000008E-3</v>
      </c>
      <c r="IP66" s="730">
        <v>0.28050000000000003</v>
      </c>
      <c r="IQ66" s="730">
        <v>0.52200000000000002</v>
      </c>
      <c r="IR66" s="730">
        <v>0.1807</v>
      </c>
      <c r="IS66" s="730">
        <v>8.8999999999999999E-3</v>
      </c>
      <c r="IT66" s="730">
        <v>0</v>
      </c>
      <c r="IU66" s="730">
        <v>0.155</v>
      </c>
      <c r="IV66" s="730">
        <v>0.51949999999999996</v>
      </c>
      <c r="IW66" s="730">
        <v>0.29809999999999998</v>
      </c>
      <c r="IX66" s="730">
        <v>2.7400000000000001E-2</v>
      </c>
      <c r="IY66" s="730">
        <v>1.7600000000000001E-2</v>
      </c>
      <c r="IZ66" s="730">
        <v>0.31240000000000001</v>
      </c>
      <c r="JA66" s="730">
        <v>0.50570000000000004</v>
      </c>
      <c r="JB66" s="730">
        <v>0.15770000000000001</v>
      </c>
      <c r="JC66" s="730">
        <v>6.6E-3</v>
      </c>
      <c r="JD66" s="730">
        <v>0</v>
      </c>
      <c r="JE66" s="730">
        <v>0.183</v>
      </c>
      <c r="JF66" s="730">
        <v>0.52839999999999998</v>
      </c>
      <c r="JG66" s="730">
        <v>0.26729999999999998</v>
      </c>
      <c r="JH66" s="730">
        <v>2.1299999999999999E-2</v>
      </c>
      <c r="JI66" s="730">
        <v>5.4800000000000001E-2</v>
      </c>
      <c r="JJ66" s="730">
        <v>0.39460000000000001</v>
      </c>
      <c r="JK66" s="730">
        <v>0.441</v>
      </c>
      <c r="JL66" s="730">
        <v>0.10680000000000001</v>
      </c>
      <c r="JM66" s="730">
        <v>2.8E-3</v>
      </c>
      <c r="JN66" s="730">
        <v>4.4000000000000003E-3</v>
      </c>
      <c r="JO66" s="730">
        <v>0.26740000000000003</v>
      </c>
      <c r="JP66" s="730">
        <v>0.52739999999999998</v>
      </c>
      <c r="JQ66" s="730">
        <v>0.1908</v>
      </c>
      <c r="JR66" s="730">
        <v>0.01</v>
      </c>
      <c r="JS66" s="730">
        <v>2.18E-2</v>
      </c>
      <c r="JT66" s="730">
        <v>0.32419999999999999</v>
      </c>
      <c r="JU66" s="730">
        <v>0.49840000000000001</v>
      </c>
      <c r="JV66" s="730">
        <v>0.1497</v>
      </c>
      <c r="JW66" s="730">
        <v>5.8999999999999999E-3</v>
      </c>
      <c r="JX66" s="730">
        <v>0</v>
      </c>
      <c r="JY66" s="730">
        <v>0.19389999999999999</v>
      </c>
      <c r="JZ66" s="730">
        <v>0.53080000000000005</v>
      </c>
      <c r="KA66" s="730">
        <v>0.25600000000000001</v>
      </c>
      <c r="KB66" s="730">
        <v>1.9300000000000001E-2</v>
      </c>
      <c r="KC66" s="657"/>
      <c r="KD66" s="314" t="s">
        <v>2591</v>
      </c>
      <c r="KE66" s="314" t="s">
        <v>2591</v>
      </c>
      <c r="KF66" s="866">
        <v>3.65</v>
      </c>
      <c r="KG66" s="314" t="s">
        <v>2626</v>
      </c>
      <c r="KH66" s="315" t="s">
        <v>3732</v>
      </c>
      <c r="KI66" s="314" t="s">
        <v>3733</v>
      </c>
      <c r="KJ66" s="315" t="s">
        <v>3743</v>
      </c>
    </row>
    <row r="67" spans="1:296" ht="48" hidden="1" customHeight="1">
      <c r="A67" s="265">
        <f t="shared" si="225"/>
        <v>60</v>
      </c>
      <c r="B67" s="266" t="s">
        <v>3662</v>
      </c>
      <c r="C67" s="266" t="s">
        <v>1114</v>
      </c>
      <c r="D67" s="624" t="s">
        <v>3744</v>
      </c>
      <c r="E67" s="267" t="s">
        <v>3663</v>
      </c>
      <c r="F67" s="267" t="s">
        <v>300</v>
      </c>
      <c r="G67" s="267" t="s">
        <v>300</v>
      </c>
      <c r="H67" s="267" t="s">
        <v>2109</v>
      </c>
      <c r="I67" s="268" t="s">
        <v>3745</v>
      </c>
      <c r="J67" s="268" t="s">
        <v>3746</v>
      </c>
      <c r="K67" s="269" t="s">
        <v>2097</v>
      </c>
      <c r="L67" s="269" t="s">
        <v>2109</v>
      </c>
      <c r="M67" s="269" t="s">
        <v>2603</v>
      </c>
      <c r="N67" s="269" t="s">
        <v>2099</v>
      </c>
      <c r="O67" s="267" t="s">
        <v>2616</v>
      </c>
      <c r="P67" s="268"/>
      <c r="Q67" s="270">
        <v>1</v>
      </c>
      <c r="R67" s="271">
        <v>600</v>
      </c>
      <c r="S67" s="272">
        <v>20500</v>
      </c>
      <c r="T67" s="272">
        <v>21200</v>
      </c>
      <c r="U67" s="272">
        <v>22000</v>
      </c>
      <c r="V67" s="272">
        <v>22800</v>
      </c>
      <c r="W67" s="272">
        <v>23000</v>
      </c>
      <c r="X67" s="272">
        <v>23200</v>
      </c>
      <c r="Y67" s="272">
        <v>23400</v>
      </c>
      <c r="Z67" s="272">
        <v>23600</v>
      </c>
      <c r="AA67" s="272">
        <v>23700</v>
      </c>
      <c r="AB67" s="272">
        <v>23800</v>
      </c>
      <c r="AC67" s="272">
        <v>23900</v>
      </c>
      <c r="AD67" s="272">
        <v>24000</v>
      </c>
      <c r="AE67" s="272">
        <v>24100</v>
      </c>
      <c r="AF67" s="272">
        <v>24200</v>
      </c>
      <c r="AG67" s="272">
        <v>24300</v>
      </c>
      <c r="AH67" s="272">
        <v>24400</v>
      </c>
      <c r="AI67" s="272">
        <v>24500</v>
      </c>
      <c r="AJ67" s="272">
        <v>24600</v>
      </c>
      <c r="AK67" s="272">
        <v>24700</v>
      </c>
      <c r="AL67" s="268" t="s">
        <v>3747</v>
      </c>
      <c r="AM67" s="268" t="s">
        <v>3748</v>
      </c>
      <c r="AN67" s="268" t="s">
        <v>3749</v>
      </c>
      <c r="AO67" s="657"/>
      <c r="AP67" s="271">
        <v>350</v>
      </c>
      <c r="AQ67" s="280">
        <v>315</v>
      </c>
      <c r="AR67" s="280">
        <v>28</v>
      </c>
      <c r="AS67" s="280">
        <v>7</v>
      </c>
      <c r="AT67" s="657"/>
      <c r="AU67" s="301" t="s">
        <v>3750</v>
      </c>
      <c r="AV67" s="572" t="s">
        <v>3751</v>
      </c>
      <c r="AW67" s="645" t="s">
        <v>3752</v>
      </c>
      <c r="AX67" s="290" t="s">
        <v>2670</v>
      </c>
      <c r="AY67" s="657"/>
      <c r="AZ67" s="948">
        <v>9</v>
      </c>
      <c r="BA67" s="948">
        <v>0.2</v>
      </c>
      <c r="BB67" s="948">
        <v>1.5</v>
      </c>
      <c r="BC67" s="948">
        <v>7</v>
      </c>
      <c r="BD67" s="825">
        <f t="shared" si="130"/>
        <v>428340</v>
      </c>
      <c r="BE67" s="304">
        <f t="shared" si="131"/>
        <v>217800</v>
      </c>
      <c r="BF67" s="304">
        <f t="shared" si="132"/>
        <v>4840</v>
      </c>
      <c r="BG67" s="304">
        <f t="shared" si="133"/>
        <v>36300</v>
      </c>
      <c r="BH67" s="304">
        <f t="shared" si="134"/>
        <v>169400</v>
      </c>
      <c r="BI67" s="825">
        <f t="shared" si="135"/>
        <v>437190</v>
      </c>
      <c r="BJ67" s="304">
        <f t="shared" si="136"/>
        <v>222300</v>
      </c>
      <c r="BK67" s="304">
        <f t="shared" si="137"/>
        <v>4940</v>
      </c>
      <c r="BL67" s="304">
        <f t="shared" si="138"/>
        <v>37050</v>
      </c>
      <c r="BM67" s="304">
        <f t="shared" si="139"/>
        <v>172900</v>
      </c>
      <c r="BN67" s="657"/>
      <c r="BO67" s="284">
        <v>0.25</v>
      </c>
      <c r="BP67" s="284">
        <v>0.62</v>
      </c>
      <c r="BQ67" s="284">
        <v>0.08</v>
      </c>
      <c r="BR67" s="710">
        <v>0.05</v>
      </c>
      <c r="BS67" s="707">
        <v>0.22</v>
      </c>
      <c r="BT67" s="284">
        <v>0.62</v>
      </c>
      <c r="BU67" s="284">
        <v>0.11</v>
      </c>
      <c r="BV67" s="710">
        <v>0.05</v>
      </c>
      <c r="BW67" s="714">
        <v>0.4</v>
      </c>
      <c r="BX67" s="285">
        <v>0.5</v>
      </c>
      <c r="BY67" s="717">
        <v>0.1</v>
      </c>
      <c r="BZ67" s="714">
        <v>0.35</v>
      </c>
      <c r="CA67" s="285">
        <v>0.52</v>
      </c>
      <c r="CB67" s="717">
        <v>0.13</v>
      </c>
      <c r="CC67" s="284">
        <v>0.08</v>
      </c>
      <c r="CD67" s="284">
        <v>0.55000000000000004</v>
      </c>
      <c r="CE67" s="284">
        <v>0.12</v>
      </c>
      <c r="CF67" s="710">
        <v>0.25</v>
      </c>
      <c r="CG67" s="707">
        <v>0.06</v>
      </c>
      <c r="CH67" s="284">
        <v>0.55000000000000004</v>
      </c>
      <c r="CI67" s="284">
        <v>0.15</v>
      </c>
      <c r="CJ67" s="710">
        <v>0.24</v>
      </c>
      <c r="CK67" s="720">
        <v>0.45</v>
      </c>
      <c r="CL67" s="286">
        <v>0.4</v>
      </c>
      <c r="CM67" s="718">
        <v>0.15</v>
      </c>
      <c r="CN67" s="720">
        <v>0.35</v>
      </c>
      <c r="CO67" s="286">
        <v>0.45</v>
      </c>
      <c r="CP67" s="718">
        <v>0.2</v>
      </c>
      <c r="CQ67" s="657"/>
      <c r="CR67" s="807">
        <v>12</v>
      </c>
      <c r="CS67" s="808">
        <v>13</v>
      </c>
      <c r="CT67" s="808">
        <v>9</v>
      </c>
      <c r="CU67" s="809">
        <v>11</v>
      </c>
      <c r="CV67" s="807">
        <v>11</v>
      </c>
      <c r="CW67" s="808">
        <v>11</v>
      </c>
      <c r="CX67" s="809">
        <v>8</v>
      </c>
      <c r="CY67" s="807">
        <v>10</v>
      </c>
      <c r="CZ67" s="808">
        <v>12</v>
      </c>
      <c r="DA67" s="808">
        <v>8</v>
      </c>
      <c r="DB67" s="809">
        <v>10</v>
      </c>
      <c r="DC67" s="807">
        <v>13</v>
      </c>
      <c r="DD67" s="808">
        <v>13</v>
      </c>
      <c r="DE67" s="809">
        <v>9</v>
      </c>
      <c r="DF67" s="610" t="s">
        <v>3753</v>
      </c>
      <c r="DG67" s="657"/>
      <c r="DH67" s="288">
        <f t="shared" si="140"/>
        <v>54450</v>
      </c>
      <c r="DI67" s="288">
        <f t="shared" si="141"/>
        <v>135036</v>
      </c>
      <c r="DJ67" s="288">
        <f t="shared" si="142"/>
        <v>17424</v>
      </c>
      <c r="DK67" s="288">
        <f t="shared" si="143"/>
        <v>10890</v>
      </c>
      <c r="DL67" s="560" t="s">
        <v>3754</v>
      </c>
      <c r="DM67" s="288">
        <f t="shared" si="144"/>
        <v>48906</v>
      </c>
      <c r="DN67" s="288">
        <f t="shared" si="145"/>
        <v>137826</v>
      </c>
      <c r="DO67" s="288">
        <f t="shared" si="146"/>
        <v>24453</v>
      </c>
      <c r="DP67" s="288">
        <f t="shared" si="147"/>
        <v>11115</v>
      </c>
      <c r="DQ67" s="561" t="s">
        <v>3755</v>
      </c>
      <c r="DR67" s="657"/>
      <c r="DS67" s="288">
        <f t="shared" si="148"/>
        <v>1936</v>
      </c>
      <c r="DT67" s="288">
        <f t="shared" si="149"/>
        <v>2420</v>
      </c>
      <c r="DU67" s="288">
        <f t="shared" si="150"/>
        <v>484</v>
      </c>
      <c r="DV67" s="561" t="s">
        <v>3756</v>
      </c>
      <c r="DW67" s="288">
        <f t="shared" si="151"/>
        <v>1729</v>
      </c>
      <c r="DX67" s="288">
        <f t="shared" si="152"/>
        <v>2568.8000000000002</v>
      </c>
      <c r="DY67" s="288">
        <f t="shared" si="153"/>
        <v>642.20000000000005</v>
      </c>
      <c r="DZ67" s="561" t="s">
        <v>3757</v>
      </c>
      <c r="EA67" s="657"/>
      <c r="EB67" s="288">
        <f t="shared" si="154"/>
        <v>2904</v>
      </c>
      <c r="EC67" s="288">
        <f t="shared" si="155"/>
        <v>19965</v>
      </c>
      <c r="ED67" s="288">
        <f t="shared" si="156"/>
        <v>4356</v>
      </c>
      <c r="EE67" s="288">
        <f t="shared" si="157"/>
        <v>9075</v>
      </c>
      <c r="EF67" s="561" t="s">
        <v>3758</v>
      </c>
      <c r="EG67" s="288">
        <f t="shared" si="158"/>
        <v>2223</v>
      </c>
      <c r="EH67" s="288">
        <f t="shared" si="159"/>
        <v>20377.5</v>
      </c>
      <c r="EI67" s="288">
        <f t="shared" si="160"/>
        <v>5557.5</v>
      </c>
      <c r="EJ67" s="288">
        <f t="shared" si="161"/>
        <v>8892</v>
      </c>
      <c r="EK67" s="561" t="s">
        <v>2870</v>
      </c>
      <c r="EL67" s="657"/>
      <c r="EM67" s="288">
        <f t="shared" si="162"/>
        <v>76230</v>
      </c>
      <c r="EN67" s="291">
        <f t="shared" si="163"/>
        <v>67760</v>
      </c>
      <c r="EO67" s="291">
        <f t="shared" si="164"/>
        <v>25410</v>
      </c>
      <c r="EP67" s="561" t="s">
        <v>3759</v>
      </c>
      <c r="EQ67" s="288">
        <f t="shared" si="165"/>
        <v>60514.999999999993</v>
      </c>
      <c r="ER67" s="291">
        <f t="shared" si="166"/>
        <v>77805</v>
      </c>
      <c r="ES67" s="291">
        <f t="shared" si="167"/>
        <v>34580</v>
      </c>
      <c r="ET67" s="561" t="s">
        <v>3760</v>
      </c>
      <c r="EU67" s="657"/>
      <c r="EV67" s="740">
        <f t="shared" si="168"/>
        <v>0.82250042388961064</v>
      </c>
      <c r="EW67" s="740">
        <f t="shared" si="169"/>
        <v>0.1774995761103893</v>
      </c>
      <c r="EX67" s="563">
        <f t="shared" si="170"/>
        <v>157970.13499661424</v>
      </c>
      <c r="EY67" s="563">
        <f t="shared" si="171"/>
        <v>129930.50299661423</v>
      </c>
      <c r="EZ67" s="563">
        <f t="shared" si="172"/>
        <v>28039.632000000001</v>
      </c>
      <c r="FA67" s="563">
        <f t="shared" si="173"/>
        <v>79282.178551748249</v>
      </c>
      <c r="FB67" s="563">
        <f t="shared" si="174"/>
        <v>65024.738551748254</v>
      </c>
      <c r="FC67" s="563">
        <f t="shared" si="175"/>
        <v>14257.44</v>
      </c>
      <c r="FD67" s="563">
        <f t="shared" si="176"/>
        <v>2013.0442545454544</v>
      </c>
      <c r="FE67" s="563">
        <f t="shared" si="177"/>
        <v>1696.2122545454545</v>
      </c>
      <c r="FF67" s="563">
        <f t="shared" si="178"/>
        <v>316.83199999999999</v>
      </c>
      <c r="FG67" s="563">
        <f t="shared" si="179"/>
        <v>14988.9759275</v>
      </c>
      <c r="FH67" s="563">
        <f t="shared" si="180"/>
        <v>12612.7359275</v>
      </c>
      <c r="FI67" s="563">
        <f t="shared" si="181"/>
        <v>2376.2399999999998</v>
      </c>
      <c r="FJ67" s="563">
        <f t="shared" si="182"/>
        <v>61685.936262820513</v>
      </c>
      <c r="FK67" s="563">
        <f t="shared" si="183"/>
        <v>50596.816262820517</v>
      </c>
      <c r="FL67" s="563">
        <f t="shared" si="184"/>
        <v>11089.119999999999</v>
      </c>
      <c r="FM67" s="529"/>
      <c r="FN67" s="564" t="s">
        <v>2649</v>
      </c>
      <c r="FO67" s="740">
        <v>4.48E-2</v>
      </c>
      <c r="FP67" s="741">
        <v>0.77305000000000001</v>
      </c>
      <c r="FQ67" s="565" t="s">
        <v>3761</v>
      </c>
      <c r="FR67" s="529"/>
      <c r="FS67" s="867">
        <v>3.07</v>
      </c>
      <c r="FT67" s="566">
        <f>RANK($FS67,$FS$8:$FS$154,0)+COUNTIF($FS$8:$FS67,$FS67)-1</f>
        <v>100</v>
      </c>
      <c r="FU67" s="867">
        <v>3.67</v>
      </c>
      <c r="FV67" s="566">
        <f>RANK($FU67,$FU$8:$FU$154,0)+COUNTIF($FU$8:$FU67,$FU67)-1</f>
        <v>115</v>
      </c>
      <c r="FW67" s="867">
        <v>2</v>
      </c>
      <c r="FX67" s="566">
        <f>RANK($FW67,$FW$8:$FW$154,0)+COUNTIF($FW$8:$FW67,$FW67)-1</f>
        <v>99</v>
      </c>
      <c r="FY67" s="529"/>
      <c r="FZ67" s="567" t="s">
        <v>3762</v>
      </c>
      <c r="GA67" s="567" t="s">
        <v>3763</v>
      </c>
      <c r="GB67" s="567" t="s">
        <v>2653</v>
      </c>
      <c r="GC67" s="567" t="s">
        <v>2654</v>
      </c>
      <c r="GD67" s="567" t="s">
        <v>2876</v>
      </c>
      <c r="GE67" s="567" t="s">
        <v>2656</v>
      </c>
      <c r="GF67" s="567" t="str">
        <f t="shared" si="226"/>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67" s="529"/>
      <c r="GH67" s="563">
        <f t="shared" si="185"/>
        <v>19718.559300000001</v>
      </c>
      <c r="GI67" s="563">
        <f t="shared" si="116"/>
        <v>16581.922500000001</v>
      </c>
      <c r="GJ67" s="563">
        <f t="shared" si="186"/>
        <v>3136.6368000000002</v>
      </c>
      <c r="GK67" s="563">
        <f t="shared" si="187"/>
        <v>46334.916415384621</v>
      </c>
      <c r="GL67" s="563">
        <f t="shared" si="117"/>
        <v>37495.303615384619</v>
      </c>
      <c r="GM67" s="563">
        <f t="shared" si="188"/>
        <v>8839.6128000000008</v>
      </c>
      <c r="GN67" s="563">
        <f t="shared" si="189"/>
        <v>8847.3572000000004</v>
      </c>
      <c r="GO67" s="563">
        <f t="shared" si="118"/>
        <v>7279.0388000000003</v>
      </c>
      <c r="GP67" s="563">
        <f t="shared" si="190"/>
        <v>1568.3184000000001</v>
      </c>
      <c r="GQ67" s="563">
        <f t="shared" si="191"/>
        <v>4381.345636363636</v>
      </c>
      <c r="GR67" s="563">
        <f t="shared" si="119"/>
        <v>3668.4736363636362</v>
      </c>
      <c r="GS67" s="563">
        <f t="shared" si="192"/>
        <v>712.87200000000007</v>
      </c>
      <c r="GT67" s="563">
        <f t="shared" si="193"/>
        <v>763.06429090909091</v>
      </c>
      <c r="GU67" s="563">
        <f t="shared" si="120"/>
        <v>652.17309090909089</v>
      </c>
      <c r="GV67" s="563">
        <f t="shared" si="194"/>
        <v>110.8912</v>
      </c>
      <c r="GW67" s="563">
        <f t="shared" si="195"/>
        <v>979.96900363636371</v>
      </c>
      <c r="GX67" s="563">
        <f t="shared" si="121"/>
        <v>815.21636363636367</v>
      </c>
      <c r="GY67" s="563">
        <f t="shared" si="196"/>
        <v>164.75264000000001</v>
      </c>
      <c r="GZ67" s="563">
        <f t="shared" si="197"/>
        <v>270.01096000000001</v>
      </c>
      <c r="HA67" s="563">
        <f t="shared" si="122"/>
        <v>228.8228</v>
      </c>
      <c r="HB67" s="563">
        <f t="shared" si="198"/>
        <v>41.188160000000003</v>
      </c>
      <c r="HC67" s="563">
        <f t="shared" si="199"/>
        <v>1227.0089399999999</v>
      </c>
      <c r="HD67" s="563">
        <f t="shared" si="123"/>
        <v>1084.43454</v>
      </c>
      <c r="HE67" s="563">
        <f t="shared" si="200"/>
        <v>142.57439999999997</v>
      </c>
      <c r="HF67" s="563">
        <f t="shared" si="201"/>
        <v>7386.9702500000003</v>
      </c>
      <c r="HG67" s="563">
        <f t="shared" si="124"/>
        <v>6080.0382500000005</v>
      </c>
      <c r="HH67" s="563">
        <f t="shared" si="202"/>
        <v>1306.932</v>
      </c>
      <c r="HI67" s="563">
        <f t="shared" si="203"/>
        <v>2415.8412000000003</v>
      </c>
      <c r="HJ67" s="563">
        <f t="shared" si="125"/>
        <v>2059.4052000000001</v>
      </c>
      <c r="HK67" s="563">
        <f t="shared" si="204"/>
        <v>356.43599999999998</v>
      </c>
      <c r="HL67" s="563">
        <f t="shared" si="205"/>
        <v>3959.1555374999994</v>
      </c>
      <c r="HM67" s="563">
        <f t="shared" si="126"/>
        <v>3388.8579374999995</v>
      </c>
      <c r="HN67" s="563">
        <f t="shared" si="206"/>
        <v>570.29759999999987</v>
      </c>
      <c r="HO67" s="563">
        <f t="shared" si="207"/>
        <v>25047.895653846153</v>
      </c>
      <c r="HP67" s="563">
        <f t="shared" si="127"/>
        <v>21166.703653846154</v>
      </c>
      <c r="HQ67" s="563">
        <f t="shared" si="208"/>
        <v>3881.1919999999996</v>
      </c>
      <c r="HR67" s="563">
        <f t="shared" si="209"/>
        <v>23804.951692307692</v>
      </c>
      <c r="HS67" s="563">
        <f t="shared" si="128"/>
        <v>18814.847692307692</v>
      </c>
      <c r="HT67" s="563">
        <f t="shared" si="210"/>
        <v>4990.1039999999994</v>
      </c>
      <c r="HU67" s="563">
        <f t="shared" si="211"/>
        <v>12833.088916666668</v>
      </c>
      <c r="HV67" s="563">
        <f t="shared" si="129"/>
        <v>10615.264916666667</v>
      </c>
      <c r="HW67" s="563">
        <f t="shared" si="212"/>
        <v>2217.8240000000001</v>
      </c>
      <c r="HX67" s="544"/>
      <c r="HY67" s="568">
        <f t="shared" si="213"/>
        <v>428340.484</v>
      </c>
      <c r="HZ67" s="568">
        <f t="shared" si="214"/>
        <v>14167.648000000001</v>
      </c>
      <c r="IA67" s="568">
        <f t="shared" si="215"/>
        <v>178988.766</v>
      </c>
      <c r="IB67" s="568">
        <f t="shared" si="216"/>
        <v>208548.82400000002</v>
      </c>
      <c r="IC67" s="568">
        <f t="shared" si="217"/>
        <v>26635.245999999999</v>
      </c>
      <c r="ID67" s="568">
        <f t="shared" si="218"/>
        <v>0</v>
      </c>
      <c r="IE67" s="568">
        <f t="shared" si="219"/>
        <v>129930.50299661422</v>
      </c>
      <c r="IF67" s="568">
        <f t="shared" si="220"/>
        <v>2073.4171770061271</v>
      </c>
      <c r="IG67" s="568">
        <f t="shared" si="221"/>
        <v>51754.458672373512</v>
      </c>
      <c r="IH67" s="568">
        <f t="shared" si="222"/>
        <v>65323.898284095718</v>
      </c>
      <c r="II67" s="568">
        <f t="shared" si="223"/>
        <v>10284.823330526289</v>
      </c>
      <c r="IJ67" s="568">
        <f t="shared" si="224"/>
        <v>493.90553261258862</v>
      </c>
      <c r="IK67" s="868">
        <v>4.1399999999999997</v>
      </c>
      <c r="IL67" s="569" t="s">
        <v>2589</v>
      </c>
      <c r="IM67" s="570" t="s">
        <v>3764</v>
      </c>
      <c r="IN67" s="529"/>
      <c r="IO67" s="742">
        <v>0.03</v>
      </c>
      <c r="IP67" s="742">
        <v>0.4</v>
      </c>
      <c r="IQ67" s="742">
        <v>0.5</v>
      </c>
      <c r="IR67" s="742">
        <v>7.0000000000000007E-2</v>
      </c>
      <c r="IS67" s="742">
        <v>0</v>
      </c>
      <c r="IT67" s="742">
        <v>1.26E-2</v>
      </c>
      <c r="IU67" s="742">
        <v>0.37880000000000003</v>
      </c>
      <c r="IV67" s="742">
        <v>0.51739999999999997</v>
      </c>
      <c r="IW67" s="742">
        <v>8.7400000000000005E-2</v>
      </c>
      <c r="IX67" s="742">
        <v>3.8E-3</v>
      </c>
      <c r="IY67" s="742">
        <v>3.1199999999999999E-2</v>
      </c>
      <c r="IZ67" s="742">
        <v>0.41539999999999999</v>
      </c>
      <c r="JA67" s="742">
        <v>0.49459999999999998</v>
      </c>
      <c r="JB67" s="742">
        <v>5.8900000000000001E-2</v>
      </c>
      <c r="JC67" s="742">
        <v>0</v>
      </c>
      <c r="JD67" s="742">
        <v>1.38E-2</v>
      </c>
      <c r="JE67" s="742">
        <v>0.39410000000000001</v>
      </c>
      <c r="JF67" s="742">
        <v>0.51190000000000002</v>
      </c>
      <c r="JG67" s="742">
        <v>7.6300000000000007E-2</v>
      </c>
      <c r="JH67" s="742">
        <v>3.8999999999999998E-3</v>
      </c>
      <c r="JI67" s="742">
        <v>5.3999999999999999E-2</v>
      </c>
      <c r="JJ67" s="742">
        <v>0.53969999999999996</v>
      </c>
      <c r="JK67" s="742">
        <v>0.37480000000000002</v>
      </c>
      <c r="JL67" s="742">
        <v>3.15E-2</v>
      </c>
      <c r="JM67" s="742">
        <v>0</v>
      </c>
      <c r="JN67" s="742">
        <v>3.6600000000000001E-2</v>
      </c>
      <c r="JO67" s="742">
        <v>0.51849999999999996</v>
      </c>
      <c r="JP67" s="742">
        <v>0.39219999999999999</v>
      </c>
      <c r="JQ67" s="742">
        <v>4.8899999999999999E-2</v>
      </c>
      <c r="JR67" s="742">
        <v>3.8E-3</v>
      </c>
      <c r="JS67" s="742">
        <v>3.2599999999999997E-2</v>
      </c>
      <c r="JT67" s="742">
        <v>0.4148</v>
      </c>
      <c r="JU67" s="742">
        <v>0.49380000000000002</v>
      </c>
      <c r="JV67" s="742">
        <v>5.8799999999999998E-2</v>
      </c>
      <c r="JW67" s="742">
        <v>0</v>
      </c>
      <c r="JX67" s="742">
        <v>1.52E-2</v>
      </c>
      <c r="JY67" s="742">
        <v>0.39360000000000001</v>
      </c>
      <c r="JZ67" s="742">
        <v>0.51119999999999999</v>
      </c>
      <c r="KA67" s="742">
        <v>7.6200000000000004E-2</v>
      </c>
      <c r="KB67" s="742">
        <v>3.8E-3</v>
      </c>
      <c r="KC67" s="657"/>
      <c r="KD67" s="832" t="s">
        <v>2590</v>
      </c>
      <c r="KE67" s="832" t="s">
        <v>2590</v>
      </c>
      <c r="KF67" s="869">
        <v>4.17</v>
      </c>
      <c r="KG67" s="832" t="s">
        <v>2589</v>
      </c>
      <c r="KH67" s="833" t="s">
        <v>3765</v>
      </c>
      <c r="KI67" s="832" t="s">
        <v>2659</v>
      </c>
      <c r="KJ67" s="833" t="s">
        <v>3766</v>
      </c>
    </row>
    <row r="68" spans="1:296" ht="48" hidden="1" customHeight="1">
      <c r="A68" s="273">
        <f t="shared" si="225"/>
        <v>61</v>
      </c>
      <c r="B68" s="274" t="s">
        <v>3662</v>
      </c>
      <c r="C68" s="274" t="s">
        <v>1114</v>
      </c>
      <c r="D68" s="274" t="s">
        <v>675</v>
      </c>
      <c r="E68" s="275" t="s">
        <v>2142</v>
      </c>
      <c r="F68" s="275" t="s">
        <v>300</v>
      </c>
      <c r="G68" s="275" t="s">
        <v>300</v>
      </c>
      <c r="H68" s="275" t="s">
        <v>2109</v>
      </c>
      <c r="I68" s="276" t="s">
        <v>3767</v>
      </c>
      <c r="J68" s="276" t="s">
        <v>3768</v>
      </c>
      <c r="K68" s="277" t="s">
        <v>2097</v>
      </c>
      <c r="L68" s="277" t="s">
        <v>2109</v>
      </c>
      <c r="M68" s="277" t="s">
        <v>2603</v>
      </c>
      <c r="N68" s="277" t="s">
        <v>3322</v>
      </c>
      <c r="O68" s="275" t="s">
        <v>2212</v>
      </c>
      <c r="P68" s="276"/>
      <c r="Q68" s="270">
        <v>1</v>
      </c>
      <c r="R68" s="278">
        <v>1000</v>
      </c>
      <c r="S68" s="279">
        <v>16500</v>
      </c>
      <c r="T68" s="279">
        <v>16400</v>
      </c>
      <c r="U68" s="279">
        <v>16300</v>
      </c>
      <c r="V68" s="279">
        <v>16500</v>
      </c>
      <c r="W68" s="279">
        <f>V68-100</f>
        <v>16400</v>
      </c>
      <c r="X68" s="279">
        <f>W68-100</f>
        <v>16300</v>
      </c>
      <c r="Y68" s="279">
        <f>X68-100</f>
        <v>16200</v>
      </c>
      <c r="Z68" s="279">
        <f>Y68-100</f>
        <v>16100</v>
      </c>
      <c r="AA68" s="279">
        <v>16000</v>
      </c>
      <c r="AB68" s="279">
        <f>AA68-100</f>
        <v>15900</v>
      </c>
      <c r="AC68" s="279">
        <f>AB68-100</f>
        <v>15800</v>
      </c>
      <c r="AD68" s="279">
        <f>AC68-100</f>
        <v>15700</v>
      </c>
      <c r="AE68" s="279">
        <f>AD68-100</f>
        <v>15600</v>
      </c>
      <c r="AF68" s="279">
        <v>15500</v>
      </c>
      <c r="AG68" s="279">
        <f>AF68-50</f>
        <v>15450</v>
      </c>
      <c r="AH68" s="279">
        <f>AG68-50</f>
        <v>15400</v>
      </c>
      <c r="AI68" s="279">
        <f>AH68-50</f>
        <v>15350</v>
      </c>
      <c r="AJ68" s="279">
        <f>AI68-50</f>
        <v>15300</v>
      </c>
      <c r="AK68" s="279">
        <v>15250</v>
      </c>
      <c r="AL68" s="276" t="s">
        <v>3769</v>
      </c>
      <c r="AM68" s="276" t="s">
        <v>3770</v>
      </c>
      <c r="AN68" s="276" t="s">
        <v>3771</v>
      </c>
      <c r="AO68" s="657"/>
      <c r="AP68" s="278">
        <v>150</v>
      </c>
      <c r="AQ68" s="278">
        <v>123</v>
      </c>
      <c r="AR68" s="278">
        <v>18</v>
      </c>
      <c r="AS68" s="278">
        <v>9</v>
      </c>
      <c r="AT68" s="657"/>
      <c r="AU68" s="281" t="s">
        <v>3709</v>
      </c>
      <c r="AV68" s="296" t="s">
        <v>3772</v>
      </c>
      <c r="AW68" s="296" t="s">
        <v>3773</v>
      </c>
      <c r="AX68" s="276" t="s">
        <v>2609</v>
      </c>
      <c r="AY68" s="657"/>
      <c r="AZ68" s="947">
        <v>4</v>
      </c>
      <c r="BA68" s="947">
        <v>0</v>
      </c>
      <c r="BB68" s="947">
        <v>1</v>
      </c>
      <c r="BC68" s="947">
        <v>4</v>
      </c>
      <c r="BD68" s="826">
        <f t="shared" si="130"/>
        <v>139500</v>
      </c>
      <c r="BE68" s="283">
        <f t="shared" si="131"/>
        <v>62000</v>
      </c>
      <c r="BF68" s="283">
        <f t="shared" si="132"/>
        <v>0</v>
      </c>
      <c r="BG68" s="283">
        <f t="shared" si="133"/>
        <v>15500</v>
      </c>
      <c r="BH68" s="283">
        <f t="shared" si="134"/>
        <v>62000</v>
      </c>
      <c r="BI68" s="826">
        <f t="shared" si="135"/>
        <v>137250</v>
      </c>
      <c r="BJ68" s="283">
        <f t="shared" si="136"/>
        <v>61000</v>
      </c>
      <c r="BK68" s="283">
        <f t="shared" si="137"/>
        <v>0</v>
      </c>
      <c r="BL68" s="283">
        <f t="shared" si="138"/>
        <v>15250</v>
      </c>
      <c r="BM68" s="283">
        <f t="shared" si="139"/>
        <v>61000</v>
      </c>
      <c r="BN68" s="657"/>
      <c r="BO68" s="305">
        <v>0.18</v>
      </c>
      <c r="BP68" s="305">
        <v>0.65</v>
      </c>
      <c r="BQ68" s="305">
        <v>0.12</v>
      </c>
      <c r="BR68" s="581">
        <v>0.05</v>
      </c>
      <c r="BS68" s="706">
        <v>0.16</v>
      </c>
      <c r="BT68" s="305">
        <v>0.66</v>
      </c>
      <c r="BU68" s="305">
        <v>0.15</v>
      </c>
      <c r="BV68" s="581">
        <v>0.03</v>
      </c>
      <c r="BW68" s="713"/>
      <c r="BX68" s="306"/>
      <c r="BY68" s="590"/>
      <c r="BZ68" s="713"/>
      <c r="CA68" s="306"/>
      <c r="CB68" s="590"/>
      <c r="CC68" s="706">
        <v>0.1</v>
      </c>
      <c r="CD68" s="305">
        <v>0.55000000000000004</v>
      </c>
      <c r="CE68" s="305">
        <v>0.15</v>
      </c>
      <c r="CF68" s="581">
        <v>0.2</v>
      </c>
      <c r="CG68" s="706">
        <v>0.08</v>
      </c>
      <c r="CH68" s="305">
        <v>0.55000000000000004</v>
      </c>
      <c r="CI68" s="305">
        <v>0.18</v>
      </c>
      <c r="CJ68" s="581">
        <v>0.19</v>
      </c>
      <c r="CK68" s="719">
        <v>0.5</v>
      </c>
      <c r="CL68" s="307">
        <v>0.35</v>
      </c>
      <c r="CM68" s="723">
        <v>0.15</v>
      </c>
      <c r="CN68" s="719">
        <v>0.42</v>
      </c>
      <c r="CO68" s="307">
        <v>0.38</v>
      </c>
      <c r="CP68" s="723">
        <v>0.2</v>
      </c>
      <c r="CQ68" s="657"/>
      <c r="CR68" s="804">
        <v>13</v>
      </c>
      <c r="CS68" s="805">
        <v>13</v>
      </c>
      <c r="CT68" s="805">
        <v>10</v>
      </c>
      <c r="CU68" s="806">
        <v>12</v>
      </c>
      <c r="CV68" s="804"/>
      <c r="CW68" s="805"/>
      <c r="CX68" s="806"/>
      <c r="CY68" s="804">
        <v>11</v>
      </c>
      <c r="CZ68" s="805">
        <v>13</v>
      </c>
      <c r="DA68" s="805">
        <v>9</v>
      </c>
      <c r="DB68" s="806">
        <v>11</v>
      </c>
      <c r="DC68" s="804">
        <v>12</v>
      </c>
      <c r="DD68" s="805">
        <v>13</v>
      </c>
      <c r="DE68" s="806">
        <v>10</v>
      </c>
      <c r="DF68" s="609" t="s">
        <v>3774</v>
      </c>
      <c r="DG68" s="657"/>
      <c r="DH68" s="308">
        <f t="shared" si="140"/>
        <v>11160</v>
      </c>
      <c r="DI68" s="308">
        <f t="shared" si="141"/>
        <v>40300</v>
      </c>
      <c r="DJ68" s="308">
        <f t="shared" si="142"/>
        <v>7440</v>
      </c>
      <c r="DK68" s="308">
        <f t="shared" si="143"/>
        <v>3100</v>
      </c>
      <c r="DL68" s="287" t="s">
        <v>3775</v>
      </c>
      <c r="DM68" s="308">
        <f t="shared" si="144"/>
        <v>9760</v>
      </c>
      <c r="DN68" s="308">
        <f t="shared" si="145"/>
        <v>40260</v>
      </c>
      <c r="DO68" s="308">
        <f t="shared" si="146"/>
        <v>9150</v>
      </c>
      <c r="DP68" s="308">
        <f t="shared" si="147"/>
        <v>1830</v>
      </c>
      <c r="DQ68" s="289" t="s">
        <v>3673</v>
      </c>
      <c r="DR68" s="657"/>
      <c r="DS68" s="308">
        <f t="shared" si="148"/>
        <v>0</v>
      </c>
      <c r="DT68" s="308">
        <f t="shared" si="149"/>
        <v>0</v>
      </c>
      <c r="DU68" s="308">
        <f t="shared" si="150"/>
        <v>0</v>
      </c>
      <c r="DV68" s="289" t="s">
        <v>2613</v>
      </c>
      <c r="DW68" s="308">
        <f t="shared" si="151"/>
        <v>0</v>
      </c>
      <c r="DX68" s="308">
        <f t="shared" si="152"/>
        <v>0</v>
      </c>
      <c r="DY68" s="308">
        <f t="shared" si="153"/>
        <v>0</v>
      </c>
      <c r="DZ68" s="289" t="s">
        <v>2613</v>
      </c>
      <c r="EA68" s="657"/>
      <c r="EB68" s="308">
        <f t="shared" si="154"/>
        <v>1550</v>
      </c>
      <c r="EC68" s="308">
        <f t="shared" si="155"/>
        <v>8525</v>
      </c>
      <c r="ED68" s="308">
        <f t="shared" si="156"/>
        <v>2325</v>
      </c>
      <c r="EE68" s="308">
        <f t="shared" si="157"/>
        <v>3100</v>
      </c>
      <c r="EF68" s="289" t="s">
        <v>3714</v>
      </c>
      <c r="EG68" s="308">
        <f t="shared" si="158"/>
        <v>1220</v>
      </c>
      <c r="EH68" s="308">
        <f t="shared" si="159"/>
        <v>8387.5</v>
      </c>
      <c r="EI68" s="308">
        <f t="shared" si="160"/>
        <v>2745</v>
      </c>
      <c r="EJ68" s="308">
        <f t="shared" si="161"/>
        <v>2897.5</v>
      </c>
      <c r="EK68" s="309" t="s">
        <v>3675</v>
      </c>
      <c r="EL68" s="657"/>
      <c r="EM68" s="308">
        <f t="shared" si="162"/>
        <v>31000</v>
      </c>
      <c r="EN68" s="310">
        <f t="shared" si="163"/>
        <v>21700</v>
      </c>
      <c r="EO68" s="310">
        <f t="shared" si="164"/>
        <v>9300</v>
      </c>
      <c r="EP68" s="289" t="s">
        <v>3715</v>
      </c>
      <c r="EQ68" s="308">
        <f t="shared" si="165"/>
        <v>25620</v>
      </c>
      <c r="ER68" s="310">
        <f t="shared" si="166"/>
        <v>23180</v>
      </c>
      <c r="ES68" s="310">
        <f t="shared" si="167"/>
        <v>12200</v>
      </c>
      <c r="ET68" s="289" t="s">
        <v>3677</v>
      </c>
      <c r="EU68" s="657"/>
      <c r="EV68" s="728">
        <f t="shared" si="168"/>
        <v>0.84577350652876215</v>
      </c>
      <c r="EW68" s="728">
        <f t="shared" si="169"/>
        <v>0.15422649347123782</v>
      </c>
      <c r="EX68" s="311">
        <f t="shared" si="170"/>
        <v>59263.747714685313</v>
      </c>
      <c r="EY68" s="311">
        <f t="shared" si="171"/>
        <v>50123.707714685312</v>
      </c>
      <c r="EZ68" s="311">
        <f t="shared" si="172"/>
        <v>9140.0399999999991</v>
      </c>
      <c r="FA68" s="311">
        <f t="shared" si="173"/>
        <v>25736.588702564099</v>
      </c>
      <c r="FB68" s="311">
        <f t="shared" si="174"/>
        <v>21674.348702564101</v>
      </c>
      <c r="FC68" s="311">
        <f t="shared" si="175"/>
        <v>4062.24</v>
      </c>
      <c r="FD68" s="311">
        <f t="shared" si="176"/>
        <v>0</v>
      </c>
      <c r="FE68" s="311">
        <f t="shared" si="177"/>
        <v>0</v>
      </c>
      <c r="FF68" s="311">
        <f t="shared" si="178"/>
        <v>0</v>
      </c>
      <c r="FG68" s="311">
        <f t="shared" si="179"/>
        <v>6840.5442941724941</v>
      </c>
      <c r="FH68" s="311">
        <f t="shared" si="180"/>
        <v>5824.9842941724946</v>
      </c>
      <c r="FI68" s="311">
        <f t="shared" si="181"/>
        <v>1015.56</v>
      </c>
      <c r="FJ68" s="311">
        <f t="shared" si="182"/>
        <v>26686.614717948716</v>
      </c>
      <c r="FK68" s="311">
        <f t="shared" si="183"/>
        <v>22624.374717948718</v>
      </c>
      <c r="FL68" s="311">
        <f t="shared" si="184"/>
        <v>4062.24</v>
      </c>
      <c r="FM68" s="657"/>
      <c r="FN68" s="293" t="s">
        <v>2649</v>
      </c>
      <c r="FO68" s="728">
        <v>6.5519999999999995E-2</v>
      </c>
      <c r="FP68" s="729">
        <v>0.82916000000000001</v>
      </c>
      <c r="FQ68" s="294" t="s">
        <v>3678</v>
      </c>
      <c r="FR68" s="657"/>
      <c r="FS68" s="865">
        <v>2.94</v>
      </c>
      <c r="FT68" s="312">
        <f>RANK($FS68,$FS$8:$FS$154,0)+COUNTIF($FS$8:$FS68,$FS68)-1</f>
        <v>122</v>
      </c>
      <c r="FU68" s="865">
        <v>3.86</v>
      </c>
      <c r="FV68" s="312">
        <f>RANK($FU68,$FU$8:$FU$154,0)+COUNTIF($FU$8:$FU68,$FU68)-1</f>
        <v>110</v>
      </c>
      <c r="FW68" s="865">
        <v>1.82</v>
      </c>
      <c r="FX68" s="312">
        <f>RANK($FW68,$FW$8:$FW$154,0)+COUNTIF($FW$8:$FW68,$FW68)-1</f>
        <v>120</v>
      </c>
      <c r="FY68" s="657"/>
      <c r="FZ68" s="296" t="s">
        <v>3776</v>
      </c>
      <c r="GA68" s="296" t="s">
        <v>3716</v>
      </c>
      <c r="GB68" s="296" t="s">
        <v>3698</v>
      </c>
      <c r="GC68" s="296" t="s">
        <v>3699</v>
      </c>
      <c r="GD68" s="296" t="s">
        <v>3700</v>
      </c>
      <c r="GE68" s="296" t="s">
        <v>3701</v>
      </c>
      <c r="GF68" s="296" t="str">
        <f t="shared" si="226"/>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68" s="657"/>
      <c r="GH68" s="311">
        <f t="shared" si="185"/>
        <v>4406.4358892307691</v>
      </c>
      <c r="GI68" s="311">
        <f t="shared" ref="GI68:GI99" si="227">IFERROR($DH68*$FP68/MAX(0.000000001,$CR68)*(INDEX($S68:$AF68,1,MATCH(MAX(2000,MIN(2025,ROUND(2026-$CR68,0))),$S$4:$AF$4,1))+INDEX($S68:$AF68,1,MATCH(MAX(2000,MIN(2025,ROUND(2027-$CR68,0))),$S$4:$AF$4,1))+INDEX($S68:$AF68,1,MATCH(MAX(2000,MIN(2025,ROUND(2028-$CR68,0))),$S$4:$AF$4,1))+INDEX($S68:$AF68,1,MATCH(MAX(2000,MIN(2025,ROUND(2029-$CR68,0))),$S$4:$AF$4,1))+INDEX($S68:$AF68,1,MATCH(MAX(2000,MIN(2025,ROUND(2030-$CR68,0))),$S$4:$AF$4,1)))/MAX(1,$AF68),0)</f>
        <v>3756.4774892307692</v>
      </c>
      <c r="GJ68" s="311">
        <f t="shared" si="186"/>
        <v>649.95839999999998</v>
      </c>
      <c r="GK68" s="311">
        <f t="shared" si="187"/>
        <v>16246.136</v>
      </c>
      <c r="GL68" s="311">
        <f t="shared" ref="GL68:GL99" si="228">IFERROR($DI68*$FP68/MAX(0.000000001,$CS68)*(INDEX($S68:$AF68,1,MATCH(MAX(2000,MIN(2025,ROUND(2026-$CS68,0))),$S$4:$AF$4,1))+INDEX($S68:$AF68,1,MATCH(MAX(2000,MIN(2025,ROUND(2027-$CS68,0))),$S$4:$AF$4,1))+INDEX($S68:$AF68,1,MATCH(MAX(2000,MIN(2025,ROUND(2028-$CS68,0))),$S$4:$AF$4,1))+INDEX($S68:$AF68,1,MATCH(MAX(2000,MIN(2025,ROUND(2029-$CS68,0))),$S$4:$AF$4,1))+INDEX($S68:$AF68,1,MATCH(MAX(2000,MIN(2025,ROUND(2030-$CS68,0))),$S$4:$AF$4,1)))/MAX(1,$AF68),0)</f>
        <v>13565.0576</v>
      </c>
      <c r="GM68" s="311">
        <f t="shared" si="188"/>
        <v>2681.0783999999999</v>
      </c>
      <c r="GN68" s="311">
        <f t="shared" si="189"/>
        <v>3833.1100799999999</v>
      </c>
      <c r="GO68" s="311">
        <f t="shared" ref="GO68:GO99" si="229">IFERROR($DJ68*$FP68/MAX(0.000000001,$CT68)*(INDEX($S68:$AF68,1,MATCH(MAX(2000,MIN(2025,ROUND(2026-$CT68,0))),$S$4:$AF$4,1))+INDEX($S68:$AF68,1,MATCH(MAX(2000,MIN(2025,ROUND(2027-$CT68,0))),$S$4:$AF$4,1))+INDEX($S68:$AF68,1,MATCH(MAX(2000,MIN(2025,ROUND(2028-$CT68,0))),$S$4:$AF$4,1))+INDEX($S68:$AF68,1,MATCH(MAX(2000,MIN(2025,ROUND(2029-$CT68,0))),$S$4:$AF$4,1))+INDEX($S68:$AF68,1,MATCH(MAX(2000,MIN(2025,ROUND(2030-$CT68,0))),$S$4:$AF$4,1)))/MAX(1,$AF68),0)</f>
        <v>3223.7740800000001</v>
      </c>
      <c r="GP68" s="311">
        <f t="shared" si="190"/>
        <v>609.3359999999999</v>
      </c>
      <c r="GQ68" s="311">
        <f t="shared" si="191"/>
        <v>1250.9067333333332</v>
      </c>
      <c r="GR68" s="311">
        <f t="shared" ref="GR68:GR99" si="230">IFERROR($DK68*$FP68/MAX(0.000000001,$CU68)*(INDEX($S68:$AF68,1,MATCH(MAX(2000,MIN(2025,ROUND(2026-$CU68,0))),$S$4:$AF$4,1))+INDEX($S68:$AF68,1,MATCH(MAX(2000,MIN(2025,ROUND(2027-$CU68,0))),$S$4:$AF$4,1))+INDEX($S68:$AF68,1,MATCH(MAX(2000,MIN(2025,ROUND(2028-$CU68,0))),$S$4:$AF$4,1))+INDEX($S68:$AF68,1,MATCH(MAX(2000,MIN(2025,ROUND(2029-$CU68,0))),$S$4:$AF$4,1))+INDEX($S68:$AF68,1,MATCH(MAX(2000,MIN(2025,ROUND(2030-$CU68,0))),$S$4:$AF$4,1)))/MAX(1,$AF68),0)</f>
        <v>1129.0395333333333</v>
      </c>
      <c r="GS68" s="311">
        <f t="shared" si="192"/>
        <v>121.86719999999998</v>
      </c>
      <c r="GT68" s="311">
        <f t="shared" si="193"/>
        <v>0</v>
      </c>
      <c r="GU68" s="311">
        <f t="shared" ref="GU68:GU99" si="231">IFERROR($DS68*$FP68/MAX(0.000000001,$CV68)*(INDEX($S68:$AF68,1,MATCH(MAX(2000,MIN(2025,ROUND(2026-$CV68,0))),$S$4:$AF$4,1))+INDEX($S68:$AF68,1,MATCH(MAX(2000,MIN(2025,ROUND(2027-$CV68,0))),$S$4:$AF$4,1))+INDEX($S68:$AF68,1,MATCH(MAX(2000,MIN(2025,ROUND(2028-$CV68,0))),$S$4:$AF$4,1))+INDEX($S68:$AF68,1,MATCH(MAX(2000,MIN(2025,ROUND(2029-$CV68,0))),$S$4:$AF$4,1))+INDEX($S68:$AF68,1,MATCH(MAX(2000,MIN(2025,ROUND(2030-$CV68,0))),$S$4:$AF$4,1)))/MAX(1,$AF68),0)</f>
        <v>0</v>
      </c>
      <c r="GV68" s="311">
        <f t="shared" si="194"/>
        <v>0</v>
      </c>
      <c r="GW68" s="311">
        <f t="shared" si="195"/>
        <v>0</v>
      </c>
      <c r="GX68" s="311">
        <f t="shared" ref="GX68:GX99" si="232">IFERROR($DT68*$FP68/MAX(0.000000001,$CW68)*(INDEX($S68:$AF68,1,MATCH(MAX(2000,MIN(2025,ROUND(2026-$CW68,0))),$S$4:$AF$4,1))+INDEX($S68:$AF68,1,MATCH(MAX(2000,MIN(2025,ROUND(2027-$CW68,0))),$S$4:$AF$4,1))+INDEX($S68:$AF68,1,MATCH(MAX(2000,MIN(2025,ROUND(2028-$CW68,0))),$S$4:$AF$4,1))+INDEX($S68:$AF68,1,MATCH(MAX(2000,MIN(2025,ROUND(2029-$CW68,0))),$S$4:$AF$4,1))+INDEX($S68:$AF68,1,MATCH(MAX(2000,MIN(2025,ROUND(2030-$CW68,0))),$S$4:$AF$4,1)))/MAX(1,$AF68),0)</f>
        <v>0</v>
      </c>
      <c r="GY68" s="311">
        <f t="shared" si="196"/>
        <v>0</v>
      </c>
      <c r="GZ68" s="311">
        <f t="shared" si="197"/>
        <v>0</v>
      </c>
      <c r="HA68" s="311">
        <f t="shared" ref="HA68:HA99" si="233">IFERROR($DU68*$FP68/MAX(0.000000001,$CX68)*(INDEX($S68:$AF68,1,MATCH(MAX(2000,MIN(2025,ROUND(2026-$CX68,0))),$S$4:$AF$4,1))+INDEX($S68:$AF68,1,MATCH(MAX(2000,MIN(2025,ROUND(2027-$CX68,0))),$S$4:$AF$4,1))+INDEX($S68:$AF68,1,MATCH(MAX(2000,MIN(2025,ROUND(2028-$CX68,0))),$S$4:$AF$4,1))+INDEX($S68:$AF68,1,MATCH(MAX(2000,MIN(2025,ROUND(2029-$CX68,0))),$S$4:$AF$4,1))+INDEX($S68:$AF68,1,MATCH(MAX(2000,MIN(2025,ROUND(2030-$CX68,0))),$S$4:$AF$4,1)))/MAX(1,$AF68),0)</f>
        <v>0</v>
      </c>
      <c r="HB68" s="311">
        <f t="shared" si="198"/>
        <v>0</v>
      </c>
      <c r="HC68" s="311">
        <f t="shared" si="199"/>
        <v>695.57698181818182</v>
      </c>
      <c r="HD68" s="311">
        <f t="shared" ref="HD68:HD99" si="234">IFERROR($EB68*$FP68/MAX(0.000000001,$CY68)*(INDEX($S68:$AF68,1,MATCH(MAX(2000,MIN(2025,ROUND(2026-$CY68,0))),$S$4:$AF$4,1))+INDEX($S68:$AF68,1,MATCH(MAX(2000,MIN(2025,ROUND(2027-$CY68,0))),$S$4:$AF$4,1))+INDEX($S68:$AF68,1,MATCH(MAX(2000,MIN(2025,ROUND(2028-$CY68,0))),$S$4:$AF$4,1))+INDEX($S68:$AF68,1,MATCH(MAX(2000,MIN(2025,ROUND(2029-$CY68,0))),$S$4:$AF$4,1))+INDEX($S68:$AF68,1,MATCH(MAX(2000,MIN(2025,ROUND(2030-$CY68,0))),$S$4:$AF$4,1)))/MAX(1,$AF68),0)</f>
        <v>614.33218181818188</v>
      </c>
      <c r="HE68" s="311">
        <f t="shared" si="200"/>
        <v>81.244799999999998</v>
      </c>
      <c r="HF68" s="311">
        <f t="shared" si="201"/>
        <v>3428.0894153846157</v>
      </c>
      <c r="HG68" s="311">
        <f t="shared" ref="HG68:HG99" si="235">IFERROR($EC68*$FP68/MAX(0.000000001,$CZ68)*(INDEX($S68:$AF68,1,MATCH(MAX(2000,MIN(2025,ROUND(2026-$CZ68,0))),$S$4:$AF$4,1))+INDEX($S68:$AF68,1,MATCH(MAX(2000,MIN(2025,ROUND(2027-$CZ68,0))),$S$4:$AF$4,1))+INDEX($S68:$AF68,1,MATCH(MAX(2000,MIN(2025,ROUND(2028-$CZ68,0))),$S$4:$AF$4,1))+INDEX($S68:$AF68,1,MATCH(MAX(2000,MIN(2025,ROUND(2029-$CZ68,0))),$S$4:$AF$4,1))+INDEX($S68:$AF68,1,MATCH(MAX(2000,MIN(2025,ROUND(2030-$CZ68,0))),$S$4:$AF$4,1)))/MAX(1,$AF68),0)</f>
        <v>2869.5314153846157</v>
      </c>
      <c r="HH68" s="311">
        <f t="shared" si="202"/>
        <v>558.55799999999999</v>
      </c>
      <c r="HI68" s="311">
        <f t="shared" si="203"/>
        <v>1295.2571333333333</v>
      </c>
      <c r="HJ68" s="311">
        <f t="shared" ref="HJ68:HJ99" si="236">IFERROR($ED68*$FP68/MAX(0.000000001,$DA68)*(INDEX($S68:$AF68,1,MATCH(MAX(2000,MIN(2025,ROUND(2026-$DA68,0))),$S$4:$AF$4,1))+INDEX($S68:$AF68,1,MATCH(MAX(2000,MIN(2025,ROUND(2027-$DA68,0))),$S$4:$AF$4,1))+INDEX($S68:$AF68,1,MATCH(MAX(2000,MIN(2025,ROUND(2028-$DA68,0))),$S$4:$AF$4,1))+INDEX($S68:$AF68,1,MATCH(MAX(2000,MIN(2025,ROUND(2029-$DA68,0))),$S$4:$AF$4,1))+INDEX($S68:$AF68,1,MATCH(MAX(2000,MIN(2025,ROUND(2030-$DA68,0))),$S$4:$AF$4,1)))/MAX(1,$AF68),0)</f>
        <v>1112.4563333333333</v>
      </c>
      <c r="HK68" s="311">
        <f t="shared" si="204"/>
        <v>182.80079999999998</v>
      </c>
      <c r="HL68" s="311">
        <f t="shared" si="205"/>
        <v>1421.6207636363638</v>
      </c>
      <c r="HM68" s="311">
        <f t="shared" ref="HM68:HM99" si="237">IFERROR($EE68*$FP68/MAX(0.000000001,$DB68)*(INDEX($S68:$AF68,1,MATCH(MAX(2000,MIN(2025,ROUND(2026-$DB68,0))),$S$4:$AF$4,1))+INDEX($S68:$AF68,1,MATCH(MAX(2000,MIN(2025,ROUND(2027-$DB68,0))),$S$4:$AF$4,1))+INDEX($S68:$AF68,1,MATCH(MAX(2000,MIN(2025,ROUND(2028-$DB68,0))),$S$4:$AF$4,1))+INDEX($S68:$AF68,1,MATCH(MAX(2000,MIN(2025,ROUND(2029-$DB68,0))),$S$4:$AF$4,1))+INDEX($S68:$AF68,1,MATCH(MAX(2000,MIN(2025,ROUND(2030-$DB68,0))),$S$4:$AF$4,1)))/MAX(1,$AF68),0)</f>
        <v>1228.6643636363638</v>
      </c>
      <c r="HN68" s="311">
        <f t="shared" si="206"/>
        <v>192.9564</v>
      </c>
      <c r="HO68" s="311">
        <f t="shared" si="207"/>
        <v>12996.536133333331</v>
      </c>
      <c r="HP68" s="311">
        <f t="shared" ref="HP68:HP99" si="238">IFERROR($EM68*$FP68/MAX(0.000000001,$DC68)*(INDEX($S68:$AF68,1,MATCH(MAX(2000,MIN(2025,ROUND(2026-$DC68,0))),$S$4:$AF$4,1))+INDEX($S68:$AF68,1,MATCH(MAX(2000,MIN(2025,ROUND(2027-$DC68,0))),$S$4:$AF$4,1))+INDEX($S68:$AF68,1,MATCH(MAX(2000,MIN(2025,ROUND(2028-$DC68,0))),$S$4:$AF$4,1))+INDEX($S68:$AF68,1,MATCH(MAX(2000,MIN(2025,ROUND(2029-$DC68,0))),$S$4:$AF$4,1))+INDEX($S68:$AF68,1,MATCH(MAX(2000,MIN(2025,ROUND(2030-$DC68,0))),$S$4:$AF$4,1)))/MAX(1,$AF68),0)</f>
        <v>11290.395333333332</v>
      </c>
      <c r="HQ68" s="311">
        <f t="shared" si="208"/>
        <v>1706.1407999999999</v>
      </c>
      <c r="HR68" s="311">
        <f t="shared" si="209"/>
        <v>8847.9129846153846</v>
      </c>
      <c r="HS68" s="311">
        <f t="shared" ref="HS68:HS99" si="239">IFERROR($EN68*$FP68/MAX(0.000000001,$DD68)*(INDEX($S68:$AF68,1,MATCH(MAX(2000,MIN(2025,ROUND(2026-$DD68,0))),$S$4:$AF$4,1))+INDEX($S68:$AF68,1,MATCH(MAX(2000,MIN(2025,ROUND(2027-$DD68,0))),$S$4:$AF$4,1))+INDEX($S68:$AF68,1,MATCH(MAX(2000,MIN(2025,ROUND(2028-$DD68,0))),$S$4:$AF$4,1))+INDEX($S68:$AF68,1,MATCH(MAX(2000,MIN(2025,ROUND(2029-$DD68,0))),$S$4:$AF$4,1))+INDEX($S68:$AF68,1,MATCH(MAX(2000,MIN(2025,ROUND(2030-$DD68,0))),$S$4:$AF$4,1)))/MAX(1,$AF68),0)</f>
        <v>7304.2617846153853</v>
      </c>
      <c r="HT68" s="311">
        <f t="shared" si="210"/>
        <v>1543.6512</v>
      </c>
      <c r="HU68" s="311">
        <f t="shared" si="211"/>
        <v>4842.1656000000003</v>
      </c>
      <c r="HV68" s="311">
        <f t="shared" ref="HV68:HV99" si="240">IFERROR($EO68*$FP68/MAX(0.000000001,$DE68)*(INDEX($S68:$AF68,1,MATCH(MAX(2000,MIN(2025,ROUND(2026-$DE68,0))),$S$4:$AF$4,1))+INDEX($S68:$AF68,1,MATCH(MAX(2000,MIN(2025,ROUND(2027-$DE68,0))),$S$4:$AF$4,1))+INDEX($S68:$AF68,1,MATCH(MAX(2000,MIN(2025,ROUND(2028-$DE68,0))),$S$4:$AF$4,1))+INDEX($S68:$AF68,1,MATCH(MAX(2000,MIN(2025,ROUND(2029-$DE68,0))),$S$4:$AF$4,1))+INDEX($S68:$AF68,1,MATCH(MAX(2000,MIN(2025,ROUND(2030-$DE68,0))),$S$4:$AF$4,1)))/MAX(1,$AF68),0)</f>
        <v>4029.7175999999999</v>
      </c>
      <c r="HW68" s="311">
        <f t="shared" si="212"/>
        <v>812.44799999999998</v>
      </c>
      <c r="HY68" s="313">
        <f t="shared" si="213"/>
        <v>139500</v>
      </c>
      <c r="HZ68" s="313">
        <f t="shared" si="214"/>
        <v>4336.8999999999996</v>
      </c>
      <c r="IA68" s="313">
        <f t="shared" si="215"/>
        <v>47896.55</v>
      </c>
      <c r="IB68" s="313">
        <f t="shared" si="216"/>
        <v>67285.5</v>
      </c>
      <c r="IC68" s="313">
        <f t="shared" si="217"/>
        <v>19274.25</v>
      </c>
      <c r="ID68" s="313">
        <f t="shared" si="218"/>
        <v>706.8</v>
      </c>
      <c r="IE68" s="313">
        <f t="shared" si="219"/>
        <v>50123.707714685319</v>
      </c>
      <c r="IF68" s="313">
        <f t="shared" si="220"/>
        <v>172.63874452410258</v>
      </c>
      <c r="IG68" s="313">
        <f t="shared" si="221"/>
        <v>12315.981577542705</v>
      </c>
      <c r="IH68" s="313">
        <f t="shared" si="222"/>
        <v>26459.742630547553</v>
      </c>
      <c r="II68" s="313">
        <f t="shared" si="223"/>
        <v>10536.622467760186</v>
      </c>
      <c r="IJ68" s="313">
        <f t="shared" si="224"/>
        <v>638.72229431076926</v>
      </c>
      <c r="IK68" s="866">
        <v>3.82</v>
      </c>
      <c r="IL68" s="314" t="s">
        <v>2780</v>
      </c>
      <c r="IM68" s="299" t="s">
        <v>3702</v>
      </c>
      <c r="IN68" s="657"/>
      <c r="IO68" s="730">
        <v>1.7600000000000001E-2</v>
      </c>
      <c r="IP68" s="730">
        <v>0.31240000000000001</v>
      </c>
      <c r="IQ68" s="730">
        <v>0.50570000000000004</v>
      </c>
      <c r="IR68" s="730">
        <v>0.15770000000000001</v>
      </c>
      <c r="IS68" s="730">
        <v>6.6E-3</v>
      </c>
      <c r="IT68" s="730">
        <v>0</v>
      </c>
      <c r="IU68" s="730">
        <v>0.21260000000000001</v>
      </c>
      <c r="IV68" s="730">
        <v>0.53320000000000001</v>
      </c>
      <c r="IW68" s="730">
        <v>0.2379</v>
      </c>
      <c r="IX68" s="730">
        <v>1.6299999999999999E-2</v>
      </c>
      <c r="IY68" s="730">
        <v>0</v>
      </c>
      <c r="IZ68" s="730">
        <v>0</v>
      </c>
      <c r="JA68" s="730">
        <v>0</v>
      </c>
      <c r="JB68" s="730">
        <v>0</v>
      </c>
      <c r="JC68" s="730">
        <v>0</v>
      </c>
      <c r="JD68" s="730">
        <v>0</v>
      </c>
      <c r="JE68" s="730">
        <v>0</v>
      </c>
      <c r="JF68" s="730">
        <v>0</v>
      </c>
      <c r="JG68" s="730">
        <v>0</v>
      </c>
      <c r="JH68" s="730">
        <v>0</v>
      </c>
      <c r="JI68" s="730">
        <v>7.2599999999999998E-2</v>
      </c>
      <c r="JJ68" s="730">
        <v>0.42049999999999998</v>
      </c>
      <c r="JK68" s="730">
        <v>0.41220000000000001</v>
      </c>
      <c r="JL68" s="730">
        <v>9.2700000000000005E-2</v>
      </c>
      <c r="JM68" s="730">
        <v>2E-3</v>
      </c>
      <c r="JN68" s="730">
        <v>2.4199999999999999E-2</v>
      </c>
      <c r="JO68" s="730">
        <v>0.33090000000000003</v>
      </c>
      <c r="JP68" s="730">
        <v>0.49409999999999998</v>
      </c>
      <c r="JQ68" s="730">
        <v>0.14530000000000001</v>
      </c>
      <c r="JR68" s="730">
        <v>5.4999999999999997E-3</v>
      </c>
      <c r="JS68" s="730">
        <v>3.4200000000000001E-2</v>
      </c>
      <c r="JT68" s="730">
        <v>0.35499999999999998</v>
      </c>
      <c r="JU68" s="730">
        <v>0.47649999999999998</v>
      </c>
      <c r="JV68" s="730">
        <v>0.13</v>
      </c>
      <c r="JW68" s="730">
        <v>4.3E-3</v>
      </c>
      <c r="JX68" s="730">
        <v>1.4E-3</v>
      </c>
      <c r="JY68" s="730">
        <v>0.2555</v>
      </c>
      <c r="JZ68" s="730">
        <v>0.53149999999999997</v>
      </c>
      <c r="KA68" s="730">
        <v>0.20039999999999999</v>
      </c>
      <c r="KB68" s="730">
        <v>1.12E-2</v>
      </c>
      <c r="KC68" s="657"/>
      <c r="KD68" s="314" t="s">
        <v>2591</v>
      </c>
      <c r="KE68" s="314" t="s">
        <v>2591</v>
      </c>
      <c r="KF68" s="866">
        <v>3.65</v>
      </c>
      <c r="KG68" s="314" t="s">
        <v>2626</v>
      </c>
      <c r="KH68" s="315" t="s">
        <v>3703</v>
      </c>
      <c r="KI68" s="314" t="s">
        <v>3384</v>
      </c>
      <c r="KJ68" s="315" t="s">
        <v>3777</v>
      </c>
    </row>
    <row r="69" spans="1:296" ht="48" hidden="1" customHeight="1">
      <c r="A69" s="265">
        <f t="shared" si="225"/>
        <v>62</v>
      </c>
      <c r="B69" s="266" t="s">
        <v>3662</v>
      </c>
      <c r="C69" s="266" t="s">
        <v>1114</v>
      </c>
      <c r="D69" s="624" t="s">
        <v>3778</v>
      </c>
      <c r="E69" s="267" t="s">
        <v>2142</v>
      </c>
      <c r="F69" s="267" t="s">
        <v>300</v>
      </c>
      <c r="G69" s="267" t="s">
        <v>300</v>
      </c>
      <c r="H69" s="267" t="s">
        <v>2109</v>
      </c>
      <c r="I69" s="268" t="s">
        <v>3779</v>
      </c>
      <c r="J69" s="268" t="s">
        <v>3780</v>
      </c>
      <c r="K69" s="269" t="s">
        <v>2097</v>
      </c>
      <c r="L69" s="269" t="s">
        <v>2109</v>
      </c>
      <c r="M69" s="269" t="s">
        <v>2603</v>
      </c>
      <c r="N69" s="269" t="s">
        <v>3322</v>
      </c>
      <c r="O69" s="267" t="s">
        <v>2616</v>
      </c>
      <c r="P69" s="268"/>
      <c r="Q69" s="270">
        <v>1</v>
      </c>
      <c r="R69" s="271">
        <v>1800</v>
      </c>
      <c r="S69" s="272">
        <v>210</v>
      </c>
      <c r="T69" s="272">
        <v>225</v>
      </c>
      <c r="U69" s="272">
        <v>245</v>
      </c>
      <c r="V69" s="272">
        <v>260</v>
      </c>
      <c r="W69" s="272">
        <v>263</v>
      </c>
      <c r="X69" s="272">
        <v>266</v>
      </c>
      <c r="Y69" s="272">
        <v>270</v>
      </c>
      <c r="Z69" s="272">
        <v>272</v>
      </c>
      <c r="AA69" s="272">
        <v>272</v>
      </c>
      <c r="AB69" s="272">
        <v>273</v>
      </c>
      <c r="AC69" s="272">
        <v>275</v>
      </c>
      <c r="AD69" s="272">
        <v>278</v>
      </c>
      <c r="AE69" s="272">
        <v>280</v>
      </c>
      <c r="AF69" s="272">
        <v>282</v>
      </c>
      <c r="AG69" s="272">
        <v>284</v>
      </c>
      <c r="AH69" s="272">
        <v>286</v>
      </c>
      <c r="AI69" s="272">
        <v>288</v>
      </c>
      <c r="AJ69" s="272">
        <v>290</v>
      </c>
      <c r="AK69" s="272">
        <v>292</v>
      </c>
      <c r="AL69" s="268" t="s">
        <v>3781</v>
      </c>
      <c r="AM69" s="268" t="s">
        <v>3782</v>
      </c>
      <c r="AN69" s="268" t="s">
        <v>3783</v>
      </c>
      <c r="AO69" s="657"/>
      <c r="AP69" s="271">
        <v>80</v>
      </c>
      <c r="AQ69" s="280">
        <v>56</v>
      </c>
      <c r="AR69" s="280">
        <v>20</v>
      </c>
      <c r="AS69" s="280">
        <v>4</v>
      </c>
      <c r="AT69" s="657"/>
      <c r="AU69" s="301" t="s">
        <v>3784</v>
      </c>
      <c r="AV69" s="572" t="s">
        <v>3785</v>
      </c>
      <c r="AW69" s="645" t="s">
        <v>3786</v>
      </c>
      <c r="AX69" s="290" t="s">
        <v>2670</v>
      </c>
      <c r="AY69" s="657"/>
      <c r="AZ69" s="948">
        <v>3</v>
      </c>
      <c r="BA69" s="948">
        <v>0</v>
      </c>
      <c r="BB69" s="948">
        <v>0.5</v>
      </c>
      <c r="BC69" s="948">
        <v>3</v>
      </c>
      <c r="BD69" s="825">
        <f t="shared" si="130"/>
        <v>1833</v>
      </c>
      <c r="BE69" s="304">
        <f t="shared" si="131"/>
        <v>846</v>
      </c>
      <c r="BF69" s="304">
        <f t="shared" si="132"/>
        <v>0</v>
      </c>
      <c r="BG69" s="304">
        <f t="shared" si="133"/>
        <v>141</v>
      </c>
      <c r="BH69" s="304">
        <f t="shared" si="134"/>
        <v>846</v>
      </c>
      <c r="BI69" s="825">
        <f t="shared" si="135"/>
        <v>1898</v>
      </c>
      <c r="BJ69" s="304">
        <f t="shared" si="136"/>
        <v>876</v>
      </c>
      <c r="BK69" s="304">
        <f t="shared" si="137"/>
        <v>0</v>
      </c>
      <c r="BL69" s="304">
        <f t="shared" si="138"/>
        <v>146</v>
      </c>
      <c r="BM69" s="304">
        <f t="shared" si="139"/>
        <v>876</v>
      </c>
      <c r="BN69" s="657"/>
      <c r="BO69" s="284">
        <v>0.25</v>
      </c>
      <c r="BP69" s="284">
        <v>0.62</v>
      </c>
      <c r="BQ69" s="284">
        <v>0.08</v>
      </c>
      <c r="BR69" s="710">
        <v>0.05</v>
      </c>
      <c r="BS69" s="707">
        <v>0.22</v>
      </c>
      <c r="BT69" s="284">
        <v>0.62</v>
      </c>
      <c r="BU69" s="284">
        <v>0.11</v>
      </c>
      <c r="BV69" s="710">
        <v>0.05</v>
      </c>
      <c r="BW69" s="714"/>
      <c r="BX69" s="285"/>
      <c r="BY69" s="717"/>
      <c r="BZ69" s="714"/>
      <c r="CA69" s="285"/>
      <c r="CB69" s="717"/>
      <c r="CC69" s="284">
        <v>0.08</v>
      </c>
      <c r="CD69" s="284">
        <v>0.55000000000000004</v>
      </c>
      <c r="CE69" s="284">
        <v>0.12</v>
      </c>
      <c r="CF69" s="710">
        <v>0.25</v>
      </c>
      <c r="CG69" s="707">
        <v>0.06</v>
      </c>
      <c r="CH69" s="284">
        <v>0.55000000000000004</v>
      </c>
      <c r="CI69" s="284">
        <v>0.15</v>
      </c>
      <c r="CJ69" s="710">
        <v>0.24</v>
      </c>
      <c r="CK69" s="720">
        <v>0.45</v>
      </c>
      <c r="CL69" s="286">
        <v>0.4</v>
      </c>
      <c r="CM69" s="718">
        <v>0.15</v>
      </c>
      <c r="CN69" s="720">
        <v>0.35</v>
      </c>
      <c r="CO69" s="286">
        <v>0.45</v>
      </c>
      <c r="CP69" s="718">
        <v>0.2</v>
      </c>
      <c r="CQ69" s="657"/>
      <c r="CR69" s="807">
        <v>12</v>
      </c>
      <c r="CS69" s="808">
        <v>13</v>
      </c>
      <c r="CT69" s="808">
        <v>9</v>
      </c>
      <c r="CU69" s="809">
        <v>11</v>
      </c>
      <c r="CV69" s="807"/>
      <c r="CW69" s="808"/>
      <c r="CX69" s="809"/>
      <c r="CY69" s="807">
        <v>10</v>
      </c>
      <c r="CZ69" s="808">
        <v>12</v>
      </c>
      <c r="DA69" s="808">
        <v>8</v>
      </c>
      <c r="DB69" s="809">
        <v>10</v>
      </c>
      <c r="DC69" s="807">
        <v>13</v>
      </c>
      <c r="DD69" s="808">
        <v>13</v>
      </c>
      <c r="DE69" s="809">
        <v>9</v>
      </c>
      <c r="DF69" s="610" t="s">
        <v>3787</v>
      </c>
      <c r="DG69" s="657"/>
      <c r="DH69" s="288">
        <f t="shared" si="140"/>
        <v>211.5</v>
      </c>
      <c r="DI69" s="288">
        <f t="shared" si="141"/>
        <v>524.52</v>
      </c>
      <c r="DJ69" s="288">
        <f t="shared" si="142"/>
        <v>67.680000000000007</v>
      </c>
      <c r="DK69" s="288">
        <f t="shared" si="143"/>
        <v>42.300000000000004</v>
      </c>
      <c r="DL69" s="560" t="s">
        <v>3788</v>
      </c>
      <c r="DM69" s="288">
        <f t="shared" si="144"/>
        <v>192.72</v>
      </c>
      <c r="DN69" s="288">
        <f t="shared" si="145"/>
        <v>543.12</v>
      </c>
      <c r="DO69" s="288">
        <f t="shared" si="146"/>
        <v>96.36</v>
      </c>
      <c r="DP69" s="288">
        <f t="shared" si="147"/>
        <v>43.800000000000004</v>
      </c>
      <c r="DQ69" s="561" t="s">
        <v>3755</v>
      </c>
      <c r="DR69" s="657"/>
      <c r="DS69" s="288">
        <f t="shared" si="148"/>
        <v>0</v>
      </c>
      <c r="DT69" s="288">
        <f t="shared" si="149"/>
        <v>0</v>
      </c>
      <c r="DU69" s="288">
        <f t="shared" si="150"/>
        <v>0</v>
      </c>
      <c r="DV69" s="561" t="s">
        <v>2613</v>
      </c>
      <c r="DW69" s="288">
        <f t="shared" si="151"/>
        <v>0</v>
      </c>
      <c r="DX69" s="288">
        <f t="shared" si="152"/>
        <v>0</v>
      </c>
      <c r="DY69" s="288">
        <f t="shared" si="153"/>
        <v>0</v>
      </c>
      <c r="DZ69" s="561" t="s">
        <v>2613</v>
      </c>
      <c r="EA69" s="657"/>
      <c r="EB69" s="288">
        <f t="shared" si="154"/>
        <v>11.28</v>
      </c>
      <c r="EC69" s="288">
        <f t="shared" si="155"/>
        <v>77.550000000000011</v>
      </c>
      <c r="ED69" s="288">
        <f t="shared" si="156"/>
        <v>16.919999999999998</v>
      </c>
      <c r="EE69" s="288">
        <f t="shared" si="157"/>
        <v>35.25</v>
      </c>
      <c r="EF69" s="561" t="s">
        <v>3789</v>
      </c>
      <c r="EG69" s="288">
        <f t="shared" si="158"/>
        <v>8.76</v>
      </c>
      <c r="EH69" s="288">
        <f t="shared" si="159"/>
        <v>80.300000000000011</v>
      </c>
      <c r="EI69" s="288">
        <f t="shared" si="160"/>
        <v>21.9</v>
      </c>
      <c r="EJ69" s="288">
        <f t="shared" si="161"/>
        <v>35.04</v>
      </c>
      <c r="EK69" s="561" t="s">
        <v>2870</v>
      </c>
      <c r="EL69" s="657"/>
      <c r="EM69" s="288">
        <f t="shared" si="162"/>
        <v>380.7</v>
      </c>
      <c r="EN69" s="291">
        <f t="shared" si="163"/>
        <v>338.40000000000003</v>
      </c>
      <c r="EO69" s="291">
        <f t="shared" si="164"/>
        <v>126.89999999999999</v>
      </c>
      <c r="EP69" s="561" t="s">
        <v>3790</v>
      </c>
      <c r="EQ69" s="288">
        <f t="shared" si="165"/>
        <v>306.59999999999997</v>
      </c>
      <c r="ER69" s="291">
        <f t="shared" si="166"/>
        <v>394.2</v>
      </c>
      <c r="ES69" s="291">
        <f t="shared" si="167"/>
        <v>175.20000000000002</v>
      </c>
      <c r="ET69" s="561" t="s">
        <v>3760</v>
      </c>
      <c r="EU69" s="657"/>
      <c r="EV69" s="740">
        <f t="shared" si="168"/>
        <v>0.78612709408724823</v>
      </c>
      <c r="EW69" s="740">
        <f t="shared" si="169"/>
        <v>0.21387290591275182</v>
      </c>
      <c r="EX69" s="563">
        <f t="shared" si="170"/>
        <v>687.87768778910254</v>
      </c>
      <c r="EY69" s="563">
        <f t="shared" si="171"/>
        <v>540.75928778910259</v>
      </c>
      <c r="EZ69" s="563">
        <f t="shared" si="172"/>
        <v>147.11840000000001</v>
      </c>
      <c r="FA69" s="563">
        <f t="shared" si="173"/>
        <v>314.29145857692311</v>
      </c>
      <c r="FB69" s="563">
        <f t="shared" si="174"/>
        <v>246.3906585769231</v>
      </c>
      <c r="FC69" s="563">
        <f t="shared" si="175"/>
        <v>67.900800000000004</v>
      </c>
      <c r="FD69" s="563">
        <f t="shared" si="176"/>
        <v>0</v>
      </c>
      <c r="FE69" s="563">
        <f t="shared" si="177"/>
        <v>0</v>
      </c>
      <c r="FF69" s="563">
        <f t="shared" si="178"/>
        <v>0</v>
      </c>
      <c r="FG69" s="563">
        <f t="shared" si="179"/>
        <v>59.445218058333339</v>
      </c>
      <c r="FH69" s="563">
        <f t="shared" si="180"/>
        <v>48.128418058333338</v>
      </c>
      <c r="FI69" s="563">
        <f t="shared" si="181"/>
        <v>11.316800000000001</v>
      </c>
      <c r="FJ69" s="563">
        <f t="shared" si="182"/>
        <v>314.14101115384614</v>
      </c>
      <c r="FK69" s="563">
        <f t="shared" si="183"/>
        <v>246.24021115384613</v>
      </c>
      <c r="FL69" s="563">
        <f t="shared" si="184"/>
        <v>67.900800000000004</v>
      </c>
      <c r="FM69" s="529"/>
      <c r="FN69" s="564" t="s">
        <v>2649</v>
      </c>
      <c r="FO69" s="740">
        <v>4.48E-2</v>
      </c>
      <c r="FP69" s="741">
        <v>0.77305000000000001</v>
      </c>
      <c r="FQ69" s="565" t="s">
        <v>3761</v>
      </c>
      <c r="FR69" s="529"/>
      <c r="FS69" s="867">
        <v>3.07</v>
      </c>
      <c r="FT69" s="566">
        <f>RANK($FS69,$FS$8:$FS$154,0)+COUNTIF($FS$8:$FS69,$FS69)-1</f>
        <v>101</v>
      </c>
      <c r="FU69" s="867">
        <v>3.67</v>
      </c>
      <c r="FV69" s="566">
        <f>RANK($FU69,$FU$8:$FU$154,0)+COUNTIF($FU$8:$FU69,$FU69)-1</f>
        <v>116</v>
      </c>
      <c r="FW69" s="867">
        <v>2</v>
      </c>
      <c r="FX69" s="566">
        <f>RANK($FW69,$FW$8:$FW$154,0)+COUNTIF($FW$8:$FW69,$FW69)-1</f>
        <v>100</v>
      </c>
      <c r="FY69" s="529"/>
      <c r="FZ69" s="567" t="s">
        <v>3762</v>
      </c>
      <c r="GA69" s="567" t="s">
        <v>3791</v>
      </c>
      <c r="GB69" s="567" t="s">
        <v>2653</v>
      </c>
      <c r="GC69" s="567" t="s">
        <v>2654</v>
      </c>
      <c r="GD69" s="567" t="s">
        <v>2876</v>
      </c>
      <c r="GE69" s="567" t="s">
        <v>2656</v>
      </c>
      <c r="GF69" s="567" t="str">
        <f t="shared" si="226"/>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69" s="529"/>
      <c r="GH69" s="563">
        <f t="shared" si="185"/>
        <v>77.941751000000011</v>
      </c>
      <c r="GI69" s="563">
        <f t="shared" si="227"/>
        <v>63.003575000000005</v>
      </c>
      <c r="GJ69" s="563">
        <f t="shared" si="186"/>
        <v>14.938176</v>
      </c>
      <c r="GK69" s="563">
        <f t="shared" si="187"/>
        <v>183.56307807692309</v>
      </c>
      <c r="GL69" s="563">
        <f t="shared" si="228"/>
        <v>141.46458207692308</v>
      </c>
      <c r="GM69" s="563">
        <f t="shared" si="188"/>
        <v>42.098496000000004</v>
      </c>
      <c r="GN69" s="563">
        <f t="shared" si="189"/>
        <v>35.360732000000006</v>
      </c>
      <c r="GO69" s="563">
        <f t="shared" si="229"/>
        <v>27.891644000000003</v>
      </c>
      <c r="GP69" s="563">
        <f t="shared" si="190"/>
        <v>7.4690880000000002</v>
      </c>
      <c r="GQ69" s="563">
        <f t="shared" si="191"/>
        <v>17.425897500000001</v>
      </c>
      <c r="GR69" s="563">
        <f t="shared" si="230"/>
        <v>14.030857500000002</v>
      </c>
      <c r="GS69" s="563">
        <f t="shared" si="192"/>
        <v>3.3950400000000003</v>
      </c>
      <c r="GT69" s="563">
        <f t="shared" si="193"/>
        <v>0</v>
      </c>
      <c r="GU69" s="563">
        <f t="shared" si="231"/>
        <v>0</v>
      </c>
      <c r="GV69" s="563">
        <f t="shared" si="194"/>
        <v>0</v>
      </c>
      <c r="GW69" s="563">
        <f t="shared" si="195"/>
        <v>0</v>
      </c>
      <c r="GX69" s="563">
        <f t="shared" si="232"/>
        <v>0</v>
      </c>
      <c r="GY69" s="563">
        <f t="shared" si="196"/>
        <v>0</v>
      </c>
      <c r="GZ69" s="563">
        <f t="shared" si="197"/>
        <v>0</v>
      </c>
      <c r="HA69" s="563">
        <f t="shared" si="233"/>
        <v>0</v>
      </c>
      <c r="HB69" s="563">
        <f t="shared" si="198"/>
        <v>0</v>
      </c>
      <c r="HC69" s="563">
        <f t="shared" si="199"/>
        <v>4.8318326000000003</v>
      </c>
      <c r="HD69" s="563">
        <f t="shared" si="234"/>
        <v>4.1528245999999998</v>
      </c>
      <c r="HE69" s="563">
        <f t="shared" si="200"/>
        <v>0.67900800000000006</v>
      </c>
      <c r="HF69" s="563">
        <f t="shared" si="201"/>
        <v>29.325550833333338</v>
      </c>
      <c r="HG69" s="563">
        <f t="shared" si="235"/>
        <v>23.101310833333336</v>
      </c>
      <c r="HH69" s="563">
        <f t="shared" si="202"/>
        <v>6.2242400000000009</v>
      </c>
      <c r="HI69" s="563">
        <f t="shared" si="203"/>
        <v>9.5942257499999997</v>
      </c>
      <c r="HJ69" s="563">
        <f t="shared" si="236"/>
        <v>7.8967057499999989</v>
      </c>
      <c r="HK69" s="563">
        <f t="shared" si="204"/>
        <v>1.6975200000000001</v>
      </c>
      <c r="HL69" s="563">
        <f t="shared" si="205"/>
        <v>15.693608875000001</v>
      </c>
      <c r="HM69" s="563">
        <f t="shared" si="237"/>
        <v>12.977576875</v>
      </c>
      <c r="HN69" s="563">
        <f t="shared" si="206"/>
        <v>2.7160320000000002</v>
      </c>
      <c r="HO69" s="563">
        <f t="shared" si="207"/>
        <v>126.44118634615386</v>
      </c>
      <c r="HP69" s="563">
        <f t="shared" si="238"/>
        <v>102.67590634615385</v>
      </c>
      <c r="HQ69" s="563">
        <f t="shared" si="208"/>
        <v>23.765280000000001</v>
      </c>
      <c r="HR69" s="563">
        <f t="shared" si="209"/>
        <v>121.82283230769231</v>
      </c>
      <c r="HS69" s="563">
        <f t="shared" si="239"/>
        <v>91.267472307692302</v>
      </c>
      <c r="HT69" s="563">
        <f t="shared" si="210"/>
        <v>30.555360000000004</v>
      </c>
      <c r="HU69" s="563">
        <f t="shared" si="211"/>
        <v>65.8769925</v>
      </c>
      <c r="HV69" s="563">
        <f t="shared" si="240"/>
        <v>52.296832500000001</v>
      </c>
      <c r="HW69" s="563">
        <f t="shared" si="212"/>
        <v>13.580160000000001</v>
      </c>
      <c r="HX69" s="544"/>
      <c r="HY69" s="568">
        <f t="shared" si="213"/>
        <v>1833</v>
      </c>
      <c r="HZ69" s="568">
        <f t="shared" si="214"/>
        <v>60.573599999999999</v>
      </c>
      <c r="IA69" s="568">
        <f t="shared" si="215"/>
        <v>765.41849999999999</v>
      </c>
      <c r="IB69" s="568">
        <f t="shared" si="216"/>
        <v>893.60159999999996</v>
      </c>
      <c r="IC69" s="568">
        <f t="shared" si="217"/>
        <v>113.4063</v>
      </c>
      <c r="ID69" s="568">
        <f t="shared" si="218"/>
        <v>0</v>
      </c>
      <c r="IE69" s="568">
        <f t="shared" si="219"/>
        <v>540.75928778910259</v>
      </c>
      <c r="IF69" s="568">
        <f t="shared" si="220"/>
        <v>8.6088736085426927</v>
      </c>
      <c r="IG69" s="568">
        <f t="shared" si="221"/>
        <v>215.20751334233813</v>
      </c>
      <c r="IH69" s="568">
        <f t="shared" si="222"/>
        <v>272.23648825202451</v>
      </c>
      <c r="II69" s="568">
        <f t="shared" si="223"/>
        <v>42.651527292598658</v>
      </c>
      <c r="IJ69" s="568">
        <f t="shared" si="224"/>
        <v>2.0548852935985895</v>
      </c>
      <c r="IK69" s="868">
        <v>4.1399999999999997</v>
      </c>
      <c r="IL69" s="569" t="s">
        <v>2589</v>
      </c>
      <c r="IM69" s="570" t="s">
        <v>3792</v>
      </c>
      <c r="IN69" s="529"/>
      <c r="IO69" s="742">
        <v>0.03</v>
      </c>
      <c r="IP69" s="742">
        <v>0.4</v>
      </c>
      <c r="IQ69" s="742">
        <v>0.5</v>
      </c>
      <c r="IR69" s="742">
        <v>7.0000000000000007E-2</v>
      </c>
      <c r="IS69" s="742">
        <v>0</v>
      </c>
      <c r="IT69" s="742">
        <v>1.26E-2</v>
      </c>
      <c r="IU69" s="742">
        <v>0.37880000000000003</v>
      </c>
      <c r="IV69" s="742">
        <v>0.51739999999999997</v>
      </c>
      <c r="IW69" s="742">
        <v>8.7400000000000005E-2</v>
      </c>
      <c r="IX69" s="742">
        <v>3.8E-3</v>
      </c>
      <c r="IY69" s="742">
        <v>0</v>
      </c>
      <c r="IZ69" s="742">
        <v>0</v>
      </c>
      <c r="JA69" s="742">
        <v>0</v>
      </c>
      <c r="JB69" s="742">
        <v>0</v>
      </c>
      <c r="JC69" s="742">
        <v>0</v>
      </c>
      <c r="JD69" s="742">
        <v>0</v>
      </c>
      <c r="JE69" s="742">
        <v>0</v>
      </c>
      <c r="JF69" s="742">
        <v>0</v>
      </c>
      <c r="JG69" s="742">
        <v>0</v>
      </c>
      <c r="JH69" s="742">
        <v>0</v>
      </c>
      <c r="JI69" s="742">
        <v>5.3999999999999999E-2</v>
      </c>
      <c r="JJ69" s="742">
        <v>0.53969999999999996</v>
      </c>
      <c r="JK69" s="742">
        <v>0.37480000000000002</v>
      </c>
      <c r="JL69" s="742">
        <v>3.15E-2</v>
      </c>
      <c r="JM69" s="742">
        <v>0</v>
      </c>
      <c r="JN69" s="742">
        <v>3.6600000000000001E-2</v>
      </c>
      <c r="JO69" s="742">
        <v>0.51849999999999996</v>
      </c>
      <c r="JP69" s="742">
        <v>0.39219999999999999</v>
      </c>
      <c r="JQ69" s="742">
        <v>4.8899999999999999E-2</v>
      </c>
      <c r="JR69" s="742">
        <v>3.8E-3</v>
      </c>
      <c r="JS69" s="742">
        <v>3.2599999999999997E-2</v>
      </c>
      <c r="JT69" s="742">
        <v>0.4148</v>
      </c>
      <c r="JU69" s="742">
        <v>0.49380000000000002</v>
      </c>
      <c r="JV69" s="742">
        <v>5.8799999999999998E-2</v>
      </c>
      <c r="JW69" s="742">
        <v>0</v>
      </c>
      <c r="JX69" s="742">
        <v>1.52E-2</v>
      </c>
      <c r="JY69" s="742">
        <v>0.39360000000000001</v>
      </c>
      <c r="JZ69" s="742">
        <v>0.51119999999999999</v>
      </c>
      <c r="KA69" s="742">
        <v>7.6200000000000004E-2</v>
      </c>
      <c r="KB69" s="742">
        <v>3.8E-3</v>
      </c>
      <c r="KC69" s="657"/>
      <c r="KD69" s="832" t="s">
        <v>2590</v>
      </c>
      <c r="KE69" s="832" t="s">
        <v>2590</v>
      </c>
      <c r="KF69" s="869">
        <v>4.17</v>
      </c>
      <c r="KG69" s="832" t="s">
        <v>2589</v>
      </c>
      <c r="KH69" s="833" t="s">
        <v>3765</v>
      </c>
      <c r="KI69" s="832" t="s">
        <v>2659</v>
      </c>
      <c r="KJ69" s="833" t="s">
        <v>3793</v>
      </c>
    </row>
    <row r="70" spans="1:296" ht="48" hidden="1" customHeight="1">
      <c r="A70" s="273">
        <f t="shared" si="225"/>
        <v>63</v>
      </c>
      <c r="B70" s="274" t="s">
        <v>3662</v>
      </c>
      <c r="C70" s="274" t="s">
        <v>1240</v>
      </c>
      <c r="D70" s="274" t="s">
        <v>3794</v>
      </c>
      <c r="E70" s="275" t="s">
        <v>3795</v>
      </c>
      <c r="F70" s="275" t="s">
        <v>300</v>
      </c>
      <c r="G70" s="275" t="s">
        <v>300</v>
      </c>
      <c r="H70" s="275" t="s">
        <v>2109</v>
      </c>
      <c r="I70" s="276" t="s">
        <v>3796</v>
      </c>
      <c r="J70" s="276" t="s">
        <v>3797</v>
      </c>
      <c r="K70" s="277" t="s">
        <v>2097</v>
      </c>
      <c r="L70" s="277" t="s">
        <v>2109</v>
      </c>
      <c r="M70" s="277" t="s">
        <v>2603</v>
      </c>
      <c r="N70" s="277" t="s">
        <v>2099</v>
      </c>
      <c r="O70" s="275" t="s">
        <v>2616</v>
      </c>
      <c r="P70" s="276"/>
      <c r="Q70" s="270">
        <v>1</v>
      </c>
      <c r="R70" s="278">
        <v>12000</v>
      </c>
      <c r="S70" s="279">
        <v>210</v>
      </c>
      <c r="T70" s="279">
        <v>215</v>
      </c>
      <c r="U70" s="279">
        <v>220</v>
      </c>
      <c r="V70" s="279">
        <v>225</v>
      </c>
      <c r="W70" s="279">
        <f>V70+1</f>
        <v>226</v>
      </c>
      <c r="X70" s="279">
        <f>W70+1</f>
        <v>227</v>
      </c>
      <c r="Y70" s="279">
        <f>X70+1</f>
        <v>228</v>
      </c>
      <c r="Z70" s="279">
        <f>Y70+1</f>
        <v>229</v>
      </c>
      <c r="AA70" s="279">
        <v>220</v>
      </c>
      <c r="AB70" s="279">
        <f>AA70+2</f>
        <v>222</v>
      </c>
      <c r="AC70" s="279">
        <f>AB70+2</f>
        <v>224</v>
      </c>
      <c r="AD70" s="279">
        <f>AC70+2</f>
        <v>226</v>
      </c>
      <c r="AE70" s="279">
        <f>AD70+2</f>
        <v>228</v>
      </c>
      <c r="AF70" s="279">
        <v>230</v>
      </c>
      <c r="AG70" s="279">
        <f>AF70+1</f>
        <v>231</v>
      </c>
      <c r="AH70" s="279">
        <f>AG70+1</f>
        <v>232</v>
      </c>
      <c r="AI70" s="279">
        <f>AH70+1</f>
        <v>233</v>
      </c>
      <c r="AJ70" s="279">
        <f>AI70+1</f>
        <v>234</v>
      </c>
      <c r="AK70" s="279">
        <v>235</v>
      </c>
      <c r="AL70" s="276" t="s">
        <v>2124</v>
      </c>
      <c r="AM70" s="276" t="s">
        <v>3798</v>
      </c>
      <c r="AN70" s="276" t="s">
        <v>2148</v>
      </c>
      <c r="AO70" s="657"/>
      <c r="AP70" s="278">
        <v>2500</v>
      </c>
      <c r="AQ70" s="278">
        <v>2125</v>
      </c>
      <c r="AR70" s="278">
        <v>250</v>
      </c>
      <c r="AS70" s="278">
        <v>125</v>
      </c>
      <c r="AT70" s="657"/>
      <c r="AU70" s="281" t="s">
        <v>3799</v>
      </c>
      <c r="AV70" s="296" t="s">
        <v>3800</v>
      </c>
      <c r="AW70" s="296" t="s">
        <v>3801</v>
      </c>
      <c r="AX70" s="276" t="s">
        <v>2609</v>
      </c>
      <c r="AY70" s="657"/>
      <c r="AZ70" s="947">
        <v>56</v>
      </c>
      <c r="BA70" s="947">
        <v>5</v>
      </c>
      <c r="BB70" s="947">
        <v>12</v>
      </c>
      <c r="BC70" s="947">
        <v>53</v>
      </c>
      <c r="BD70" s="826">
        <f t="shared" si="130"/>
        <v>28980</v>
      </c>
      <c r="BE70" s="283">
        <f t="shared" si="131"/>
        <v>12880</v>
      </c>
      <c r="BF70" s="283">
        <f t="shared" si="132"/>
        <v>1150</v>
      </c>
      <c r="BG70" s="283">
        <f t="shared" si="133"/>
        <v>2760</v>
      </c>
      <c r="BH70" s="283">
        <f t="shared" si="134"/>
        <v>12190</v>
      </c>
      <c r="BI70" s="826">
        <f t="shared" si="135"/>
        <v>29610</v>
      </c>
      <c r="BJ70" s="283">
        <f t="shared" si="136"/>
        <v>13160</v>
      </c>
      <c r="BK70" s="283">
        <f t="shared" si="137"/>
        <v>1175</v>
      </c>
      <c r="BL70" s="283">
        <f t="shared" si="138"/>
        <v>2820</v>
      </c>
      <c r="BM70" s="283">
        <f t="shared" si="139"/>
        <v>12455</v>
      </c>
      <c r="BN70" s="657"/>
      <c r="BO70" s="305">
        <v>0.16</v>
      </c>
      <c r="BP70" s="305">
        <v>0.56000000000000005</v>
      </c>
      <c r="BQ70" s="305">
        <v>0.23</v>
      </c>
      <c r="BR70" s="581">
        <v>0.05</v>
      </c>
      <c r="BS70" s="706">
        <v>0.14000000000000001</v>
      </c>
      <c r="BT70" s="305">
        <v>0.56000000000000005</v>
      </c>
      <c r="BU70" s="305">
        <v>0.27</v>
      </c>
      <c r="BV70" s="581">
        <v>0.03</v>
      </c>
      <c r="BW70" s="713">
        <v>0.25</v>
      </c>
      <c r="BX70" s="306">
        <v>0.65</v>
      </c>
      <c r="BY70" s="590">
        <v>0.1</v>
      </c>
      <c r="BZ70" s="713">
        <v>0.2</v>
      </c>
      <c r="CA70" s="306">
        <v>0.68</v>
      </c>
      <c r="CB70" s="590">
        <v>0.12</v>
      </c>
      <c r="CC70" s="706">
        <v>0.08</v>
      </c>
      <c r="CD70" s="305">
        <v>0.5</v>
      </c>
      <c r="CE70" s="305">
        <v>0.25</v>
      </c>
      <c r="CF70" s="581">
        <v>0.17</v>
      </c>
      <c r="CG70" s="706">
        <v>0.06</v>
      </c>
      <c r="CH70" s="305">
        <v>0.5</v>
      </c>
      <c r="CI70" s="305">
        <v>0.28000000000000003</v>
      </c>
      <c r="CJ70" s="581">
        <v>0.16</v>
      </c>
      <c r="CK70" s="719">
        <v>0.25</v>
      </c>
      <c r="CL70" s="307">
        <v>0.55000000000000004</v>
      </c>
      <c r="CM70" s="723">
        <v>0.2</v>
      </c>
      <c r="CN70" s="719">
        <v>0.17</v>
      </c>
      <c r="CO70" s="307">
        <v>0.57999999999999996</v>
      </c>
      <c r="CP70" s="723">
        <v>0.25</v>
      </c>
      <c r="CQ70" s="657"/>
      <c r="CR70" s="804">
        <v>13</v>
      </c>
      <c r="CS70" s="805">
        <v>13</v>
      </c>
      <c r="CT70" s="805">
        <v>10</v>
      </c>
      <c r="CU70" s="806">
        <v>12</v>
      </c>
      <c r="CV70" s="804">
        <v>13</v>
      </c>
      <c r="CW70" s="805">
        <v>12</v>
      </c>
      <c r="CX70" s="806">
        <v>9</v>
      </c>
      <c r="CY70" s="804">
        <v>11</v>
      </c>
      <c r="CZ70" s="805">
        <v>13</v>
      </c>
      <c r="DA70" s="805">
        <v>9</v>
      </c>
      <c r="DB70" s="806">
        <v>11</v>
      </c>
      <c r="DC70" s="804">
        <v>12</v>
      </c>
      <c r="DD70" s="805">
        <v>13</v>
      </c>
      <c r="DE70" s="806">
        <v>10</v>
      </c>
      <c r="DF70" s="609" t="s">
        <v>3802</v>
      </c>
      <c r="DG70" s="657"/>
      <c r="DH70" s="308">
        <f t="shared" si="140"/>
        <v>2060.8000000000002</v>
      </c>
      <c r="DI70" s="308">
        <f t="shared" si="141"/>
        <v>7212.8000000000011</v>
      </c>
      <c r="DJ70" s="308">
        <f t="shared" si="142"/>
        <v>2962.4</v>
      </c>
      <c r="DK70" s="308">
        <f t="shared" si="143"/>
        <v>644</v>
      </c>
      <c r="DL70" s="287" t="s">
        <v>3803</v>
      </c>
      <c r="DM70" s="308">
        <f t="shared" si="144"/>
        <v>1842.4</v>
      </c>
      <c r="DN70" s="308">
        <f t="shared" si="145"/>
        <v>7369.6</v>
      </c>
      <c r="DO70" s="308">
        <f t="shared" si="146"/>
        <v>3553.2000000000003</v>
      </c>
      <c r="DP70" s="308">
        <f t="shared" si="147"/>
        <v>394.8</v>
      </c>
      <c r="DQ70" s="289" t="s">
        <v>3673</v>
      </c>
      <c r="DR70" s="657"/>
      <c r="DS70" s="308">
        <f t="shared" si="148"/>
        <v>287.5</v>
      </c>
      <c r="DT70" s="308">
        <f t="shared" si="149"/>
        <v>747.5</v>
      </c>
      <c r="DU70" s="308">
        <f t="shared" si="150"/>
        <v>115</v>
      </c>
      <c r="DV70" s="289" t="s">
        <v>3804</v>
      </c>
      <c r="DW70" s="308">
        <f t="shared" si="151"/>
        <v>235</v>
      </c>
      <c r="DX70" s="308">
        <f t="shared" si="152"/>
        <v>799.00000000000011</v>
      </c>
      <c r="DY70" s="308">
        <f t="shared" si="153"/>
        <v>141</v>
      </c>
      <c r="DZ70" s="289" t="s">
        <v>3728</v>
      </c>
      <c r="EA70" s="657"/>
      <c r="EB70" s="308">
        <f t="shared" si="154"/>
        <v>220.8</v>
      </c>
      <c r="EC70" s="308">
        <f t="shared" si="155"/>
        <v>1380</v>
      </c>
      <c r="ED70" s="308">
        <f t="shared" si="156"/>
        <v>690</v>
      </c>
      <c r="EE70" s="308">
        <f t="shared" si="157"/>
        <v>469.20000000000005</v>
      </c>
      <c r="EF70" s="289" t="s">
        <v>3805</v>
      </c>
      <c r="EG70" s="308">
        <f t="shared" si="158"/>
        <v>169.2</v>
      </c>
      <c r="EH70" s="308">
        <f t="shared" si="159"/>
        <v>1410</v>
      </c>
      <c r="EI70" s="308">
        <f t="shared" si="160"/>
        <v>789.6</v>
      </c>
      <c r="EJ70" s="308">
        <f t="shared" si="161"/>
        <v>451.2</v>
      </c>
      <c r="EK70" s="309" t="s">
        <v>3675</v>
      </c>
      <c r="EL70" s="657"/>
      <c r="EM70" s="308">
        <f t="shared" si="162"/>
        <v>3047.5</v>
      </c>
      <c r="EN70" s="310">
        <f t="shared" si="163"/>
        <v>6704.5000000000009</v>
      </c>
      <c r="EO70" s="310">
        <f t="shared" si="164"/>
        <v>2438</v>
      </c>
      <c r="EP70" s="289" t="s">
        <v>3806</v>
      </c>
      <c r="EQ70" s="308">
        <f t="shared" si="165"/>
        <v>2117.3500000000004</v>
      </c>
      <c r="ER70" s="310">
        <f t="shared" si="166"/>
        <v>7223.9</v>
      </c>
      <c r="ES70" s="310">
        <f t="shared" si="167"/>
        <v>3113.75</v>
      </c>
      <c r="ET70" s="289" t="s">
        <v>3677</v>
      </c>
      <c r="EU70" s="657"/>
      <c r="EV70" s="728">
        <f t="shared" si="168"/>
        <v>0.7961093758719624</v>
      </c>
      <c r="EW70" s="728">
        <f t="shared" si="169"/>
        <v>0.20389062412803752</v>
      </c>
      <c r="EX70" s="311">
        <f t="shared" si="170"/>
        <v>11976.174041561619</v>
      </c>
      <c r="EY70" s="311">
        <f t="shared" si="171"/>
        <v>9534.3444415616177</v>
      </c>
      <c r="EZ70" s="311">
        <f t="shared" si="172"/>
        <v>2441.8296</v>
      </c>
      <c r="FA70" s="311">
        <f t="shared" si="173"/>
        <v>5271.8752557333337</v>
      </c>
      <c r="FB70" s="311">
        <f t="shared" si="174"/>
        <v>4186.6176557333338</v>
      </c>
      <c r="FC70" s="311">
        <f t="shared" si="175"/>
        <v>1085.2575999999999</v>
      </c>
      <c r="FD70" s="311">
        <f t="shared" si="176"/>
        <v>480.39571305555558</v>
      </c>
      <c r="FE70" s="311">
        <f t="shared" si="177"/>
        <v>383.49771305555555</v>
      </c>
      <c r="FF70" s="311">
        <f t="shared" si="178"/>
        <v>96.89800000000001</v>
      </c>
      <c r="FG70" s="311">
        <f t="shared" si="179"/>
        <v>1202.0726806060607</v>
      </c>
      <c r="FH70" s="311">
        <f t="shared" si="180"/>
        <v>969.51748060606064</v>
      </c>
      <c r="FI70" s="311">
        <f t="shared" si="181"/>
        <v>232.55520000000001</v>
      </c>
      <c r="FJ70" s="311">
        <f t="shared" si="182"/>
        <v>5021.8303921666675</v>
      </c>
      <c r="FK70" s="311">
        <f t="shared" si="183"/>
        <v>3994.7115921666673</v>
      </c>
      <c r="FL70" s="311">
        <f t="shared" si="184"/>
        <v>1027.1188000000002</v>
      </c>
      <c r="FM70" s="657"/>
      <c r="FN70" s="293" t="s">
        <v>2649</v>
      </c>
      <c r="FO70" s="728">
        <v>6.2520000000000006E-2</v>
      </c>
      <c r="FP70" s="729">
        <v>0.80733999999999995</v>
      </c>
      <c r="FQ70" s="294" t="s">
        <v>3807</v>
      </c>
      <c r="FR70" s="657"/>
      <c r="FS70" s="865">
        <v>2.99</v>
      </c>
      <c r="FT70" s="312">
        <f>RANK($FS70,$FS$8:$FS$154,0)+COUNTIF($FS$8:$FS70,$FS70)-1</f>
        <v>117</v>
      </c>
      <c r="FU70" s="865">
        <v>3.69</v>
      </c>
      <c r="FV70" s="312">
        <f>RANK($FU70,$FU$8:$FU$154,0)+COUNTIF($FU$8:$FU70,$FU70)-1</f>
        <v>113</v>
      </c>
      <c r="FW70" s="865">
        <v>2.13</v>
      </c>
      <c r="FX70" s="312">
        <f>RANK($FW70,$FW$8:$FW$154,0)+COUNTIF($FW$8:$FW70,$FW70)-1</f>
        <v>81</v>
      </c>
      <c r="FY70" s="657"/>
      <c r="FZ70" s="296" t="s">
        <v>3696</v>
      </c>
      <c r="GA70" s="296" t="s">
        <v>3808</v>
      </c>
      <c r="GB70" s="296" t="s">
        <v>3698</v>
      </c>
      <c r="GC70" s="296" t="s">
        <v>3699</v>
      </c>
      <c r="GD70" s="296" t="s">
        <v>3700</v>
      </c>
      <c r="GE70" s="296" t="s">
        <v>3701</v>
      </c>
      <c r="GF70" s="296" t="str">
        <f t="shared" si="226"/>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70" s="657"/>
      <c r="GH70" s="311">
        <f t="shared" si="185"/>
        <v>774.03997440000012</v>
      </c>
      <c r="GI70" s="311">
        <f t="shared" si="227"/>
        <v>622.10391040000013</v>
      </c>
      <c r="GJ70" s="311">
        <f t="shared" si="186"/>
        <v>151.93606400000002</v>
      </c>
      <c r="GK70" s="311">
        <f t="shared" si="187"/>
        <v>2785.1079424000004</v>
      </c>
      <c r="GL70" s="311">
        <f t="shared" si="228"/>
        <v>2177.3636864000005</v>
      </c>
      <c r="GM70" s="311">
        <f t="shared" si="188"/>
        <v>607.74425600000006</v>
      </c>
      <c r="GN70" s="311">
        <f t="shared" si="189"/>
        <v>1468.0544815999999</v>
      </c>
      <c r="GO70" s="311">
        <f t="shared" si="229"/>
        <v>1175.0349295999999</v>
      </c>
      <c r="GP70" s="311">
        <f t="shared" si="190"/>
        <v>293.01955199999998</v>
      </c>
      <c r="GQ70" s="311">
        <f t="shared" si="191"/>
        <v>244.67285733333333</v>
      </c>
      <c r="GR70" s="311">
        <f t="shared" si="230"/>
        <v>212.11512933333333</v>
      </c>
      <c r="GS70" s="311">
        <f t="shared" si="192"/>
        <v>32.557727999999997</v>
      </c>
      <c r="GT70" s="311">
        <f t="shared" si="193"/>
        <v>106.16864999999999</v>
      </c>
      <c r="GU70" s="311">
        <f t="shared" si="231"/>
        <v>86.789049999999989</v>
      </c>
      <c r="GV70" s="311">
        <f t="shared" si="194"/>
        <v>19.379600000000003</v>
      </c>
      <c r="GW70" s="311">
        <f t="shared" si="195"/>
        <v>312.0957008333333</v>
      </c>
      <c r="GX70" s="311">
        <f t="shared" si="232"/>
        <v>246.20506083333331</v>
      </c>
      <c r="GY70" s="311">
        <f t="shared" si="196"/>
        <v>65.890640000000005</v>
      </c>
      <c r="GZ70" s="311">
        <f t="shared" si="197"/>
        <v>62.131362222222222</v>
      </c>
      <c r="HA70" s="311">
        <f t="shared" si="233"/>
        <v>50.50360222222222</v>
      </c>
      <c r="HB70" s="311">
        <f t="shared" si="198"/>
        <v>11.62776</v>
      </c>
      <c r="HC70" s="311">
        <f t="shared" si="199"/>
        <v>93.924008727272721</v>
      </c>
      <c r="HD70" s="311">
        <f t="shared" si="234"/>
        <v>79.970696727272724</v>
      </c>
      <c r="HE70" s="311">
        <f t="shared" si="200"/>
        <v>13.953312</v>
      </c>
      <c r="HF70" s="311">
        <f t="shared" si="201"/>
        <v>532.86504000000002</v>
      </c>
      <c r="HG70" s="311">
        <f t="shared" si="235"/>
        <v>416.58744000000002</v>
      </c>
      <c r="HH70" s="311">
        <f t="shared" si="202"/>
        <v>116.27760000000001</v>
      </c>
      <c r="HI70" s="311">
        <f t="shared" si="203"/>
        <v>368.13706933333327</v>
      </c>
      <c r="HJ70" s="311">
        <f t="shared" si="236"/>
        <v>303.02161333333328</v>
      </c>
      <c r="HK70" s="311">
        <f t="shared" si="204"/>
        <v>65.115456000000009</v>
      </c>
      <c r="HL70" s="311">
        <f t="shared" si="205"/>
        <v>207.14656254545454</v>
      </c>
      <c r="HM70" s="311">
        <f t="shared" si="237"/>
        <v>169.93773054545454</v>
      </c>
      <c r="HN70" s="311">
        <f t="shared" si="206"/>
        <v>37.208832000000001</v>
      </c>
      <c r="HO70" s="311">
        <f t="shared" si="207"/>
        <v>1178.3692901666668</v>
      </c>
      <c r="HP70" s="311">
        <f t="shared" si="238"/>
        <v>1003.7590941666667</v>
      </c>
      <c r="HQ70" s="311">
        <f t="shared" si="208"/>
        <v>174.61019600000006</v>
      </c>
      <c r="HR70" s="311">
        <f t="shared" si="209"/>
        <v>2619.6495500000001</v>
      </c>
      <c r="HS70" s="311">
        <f t="shared" si="239"/>
        <v>2023.9206460000003</v>
      </c>
      <c r="HT70" s="311">
        <f t="shared" si="210"/>
        <v>595.72890400000006</v>
      </c>
      <c r="HU70" s="311">
        <f t="shared" si="211"/>
        <v>1223.8115520000001</v>
      </c>
      <c r="HV70" s="311">
        <f t="shared" si="240"/>
        <v>967.03185199999996</v>
      </c>
      <c r="HW70" s="311">
        <f t="shared" si="212"/>
        <v>256.77970000000005</v>
      </c>
      <c r="HY70" s="313">
        <f t="shared" si="213"/>
        <v>28979.999999999996</v>
      </c>
      <c r="HZ70" s="313">
        <f t="shared" si="214"/>
        <v>14.351999999999999</v>
      </c>
      <c r="IA70" s="313">
        <f t="shared" si="215"/>
        <v>4505.9760000000006</v>
      </c>
      <c r="IB70" s="313">
        <f t="shared" si="216"/>
        <v>14208.526</v>
      </c>
      <c r="IC70" s="313">
        <f t="shared" si="217"/>
        <v>9098.0639999999985</v>
      </c>
      <c r="ID70" s="313">
        <f t="shared" si="218"/>
        <v>1153.0819999999999</v>
      </c>
      <c r="IE70" s="313">
        <f t="shared" si="219"/>
        <v>9534.3444415616159</v>
      </c>
      <c r="IF70" s="313">
        <f t="shared" si="220"/>
        <v>0</v>
      </c>
      <c r="IG70" s="313">
        <f t="shared" si="221"/>
        <v>656.67216644631367</v>
      </c>
      <c r="IH70" s="313">
        <f t="shared" si="222"/>
        <v>3947.509069084068</v>
      </c>
      <c r="II70" s="313">
        <f t="shared" si="223"/>
        <v>4068.8812183209302</v>
      </c>
      <c r="IJ70" s="313">
        <f t="shared" si="224"/>
        <v>861.28198771030543</v>
      </c>
      <c r="IK70" s="866">
        <v>3.7</v>
      </c>
      <c r="IL70" s="314" t="s">
        <v>2589</v>
      </c>
      <c r="IM70" s="299" t="s">
        <v>3809</v>
      </c>
      <c r="IN70" s="657"/>
      <c r="IO70" s="730">
        <v>0</v>
      </c>
      <c r="IP70" s="730">
        <v>0.1142</v>
      </c>
      <c r="IQ70" s="730">
        <v>0.47020000000000001</v>
      </c>
      <c r="IR70" s="730">
        <v>0.36159999999999998</v>
      </c>
      <c r="IS70" s="730">
        <v>5.3999999999999999E-2</v>
      </c>
      <c r="IT70" s="730">
        <v>0</v>
      </c>
      <c r="IU70" s="730">
        <v>4.0500000000000001E-2</v>
      </c>
      <c r="IV70" s="730">
        <v>0.37290000000000001</v>
      </c>
      <c r="IW70" s="730">
        <v>0.46889999999999998</v>
      </c>
      <c r="IX70" s="730">
        <v>0.1177</v>
      </c>
      <c r="IY70" s="730">
        <v>0</v>
      </c>
      <c r="IZ70" s="730">
        <v>0.1681</v>
      </c>
      <c r="JA70" s="730">
        <v>0.50190000000000001</v>
      </c>
      <c r="JB70" s="730">
        <v>0.29670000000000002</v>
      </c>
      <c r="JC70" s="730">
        <v>3.3300000000000003E-2</v>
      </c>
      <c r="JD70" s="730">
        <v>0</v>
      </c>
      <c r="JE70" s="730">
        <v>7.5600000000000001E-2</v>
      </c>
      <c r="JF70" s="730">
        <v>0.43020000000000003</v>
      </c>
      <c r="JG70" s="730">
        <v>0.41520000000000001</v>
      </c>
      <c r="JH70" s="730">
        <v>7.9000000000000001E-2</v>
      </c>
      <c r="JI70" s="730">
        <v>5.1999999999999998E-3</v>
      </c>
      <c r="JJ70" s="730">
        <v>0.24390000000000001</v>
      </c>
      <c r="JK70" s="730">
        <v>0.51200000000000001</v>
      </c>
      <c r="JL70" s="730">
        <v>0.22170000000000001</v>
      </c>
      <c r="JM70" s="730">
        <v>1.72E-2</v>
      </c>
      <c r="JN70" s="730">
        <v>0</v>
      </c>
      <c r="JO70" s="730">
        <v>0.1326</v>
      </c>
      <c r="JP70" s="730">
        <v>0.48359999999999997</v>
      </c>
      <c r="JQ70" s="730">
        <v>0.3382</v>
      </c>
      <c r="JR70" s="730">
        <v>4.5600000000000002E-2</v>
      </c>
      <c r="JS70" s="730">
        <v>0</v>
      </c>
      <c r="JT70" s="730">
        <v>0.1779</v>
      </c>
      <c r="JU70" s="730">
        <v>0.50549999999999995</v>
      </c>
      <c r="JV70" s="730">
        <v>0.28610000000000002</v>
      </c>
      <c r="JW70" s="730">
        <v>3.0499999999999999E-2</v>
      </c>
      <c r="JX70" s="730">
        <v>0</v>
      </c>
      <c r="JY70" s="730">
        <v>8.2500000000000004E-2</v>
      </c>
      <c r="JZ70" s="730">
        <v>0.43869999999999998</v>
      </c>
      <c r="KA70" s="730">
        <v>0.4052</v>
      </c>
      <c r="KB70" s="730">
        <v>7.3599999999999999E-2</v>
      </c>
      <c r="KC70" s="657"/>
      <c r="KD70" s="314" t="s">
        <v>2591</v>
      </c>
      <c r="KE70" s="314" t="s">
        <v>2591</v>
      </c>
      <c r="KF70" s="866">
        <v>3.48</v>
      </c>
      <c r="KG70" s="314" t="s">
        <v>2616</v>
      </c>
      <c r="KH70" s="315" t="s">
        <v>3732</v>
      </c>
      <c r="KI70" s="314" t="s">
        <v>3733</v>
      </c>
      <c r="KJ70" s="315" t="s">
        <v>3809</v>
      </c>
    </row>
    <row r="71" spans="1:296" ht="48" hidden="1" customHeight="1">
      <c r="A71" s="265">
        <f t="shared" si="225"/>
        <v>64</v>
      </c>
      <c r="B71" s="266" t="s">
        <v>3662</v>
      </c>
      <c r="C71" s="266" t="s">
        <v>1240</v>
      </c>
      <c r="D71" s="624" t="s">
        <v>1287</v>
      </c>
      <c r="E71" s="267" t="s">
        <v>3795</v>
      </c>
      <c r="F71" s="267" t="s">
        <v>300</v>
      </c>
      <c r="G71" s="267" t="s">
        <v>300</v>
      </c>
      <c r="H71" s="267" t="s">
        <v>2109</v>
      </c>
      <c r="I71" s="268" t="s">
        <v>3810</v>
      </c>
      <c r="J71" s="268" t="s">
        <v>3811</v>
      </c>
      <c r="K71" s="269" t="s">
        <v>2097</v>
      </c>
      <c r="L71" s="269" t="s">
        <v>2109</v>
      </c>
      <c r="M71" s="269" t="s">
        <v>2603</v>
      </c>
      <c r="N71" s="269" t="s">
        <v>2099</v>
      </c>
      <c r="O71" s="267" t="s">
        <v>2616</v>
      </c>
      <c r="P71" s="268"/>
      <c r="Q71" s="270">
        <v>1</v>
      </c>
      <c r="R71" s="271">
        <v>8000</v>
      </c>
      <c r="S71" s="272">
        <v>55</v>
      </c>
      <c r="T71" s="272">
        <v>57</v>
      </c>
      <c r="U71" s="272">
        <v>59</v>
      </c>
      <c r="V71" s="272">
        <v>60</v>
      </c>
      <c r="W71" s="272">
        <v>60</v>
      </c>
      <c r="X71" s="272">
        <v>60</v>
      </c>
      <c r="Y71" s="272">
        <v>60</v>
      </c>
      <c r="Z71" s="272">
        <v>61</v>
      </c>
      <c r="AA71" s="272">
        <v>61</v>
      </c>
      <c r="AB71" s="272">
        <v>61</v>
      </c>
      <c r="AC71" s="272">
        <v>61</v>
      </c>
      <c r="AD71" s="272">
        <v>62</v>
      </c>
      <c r="AE71" s="272">
        <v>62</v>
      </c>
      <c r="AF71" s="272">
        <v>62</v>
      </c>
      <c r="AG71" s="272">
        <v>62</v>
      </c>
      <c r="AH71" s="272">
        <v>62</v>
      </c>
      <c r="AI71" s="272">
        <v>62</v>
      </c>
      <c r="AJ71" s="272">
        <v>63</v>
      </c>
      <c r="AK71" s="272">
        <v>63</v>
      </c>
      <c r="AL71" s="268" t="s">
        <v>2124</v>
      </c>
      <c r="AM71" s="268" t="s">
        <v>3812</v>
      </c>
      <c r="AN71" s="268" t="s">
        <v>2148</v>
      </c>
      <c r="AO71" s="657"/>
      <c r="AP71" s="271">
        <v>1800</v>
      </c>
      <c r="AQ71" s="280">
        <v>1530</v>
      </c>
      <c r="AR71" s="280">
        <v>180</v>
      </c>
      <c r="AS71" s="280">
        <v>90</v>
      </c>
      <c r="AT71" s="657"/>
      <c r="AU71" s="301" t="s">
        <v>3799</v>
      </c>
      <c r="AV71" s="572" t="s">
        <v>3813</v>
      </c>
      <c r="AW71" s="645" t="s">
        <v>3814</v>
      </c>
      <c r="AX71" s="290" t="s">
        <v>2609</v>
      </c>
      <c r="AY71" s="657"/>
      <c r="AZ71" s="948">
        <v>42</v>
      </c>
      <c r="BA71" s="948">
        <v>3</v>
      </c>
      <c r="BB71" s="948">
        <v>9</v>
      </c>
      <c r="BC71" s="948">
        <v>40</v>
      </c>
      <c r="BD71" s="825">
        <f t="shared" si="130"/>
        <v>5828</v>
      </c>
      <c r="BE71" s="304">
        <f t="shared" si="131"/>
        <v>2604</v>
      </c>
      <c r="BF71" s="304">
        <f t="shared" si="132"/>
        <v>186</v>
      </c>
      <c r="BG71" s="304">
        <f t="shared" si="133"/>
        <v>558</v>
      </c>
      <c r="BH71" s="304">
        <f t="shared" si="134"/>
        <v>2480</v>
      </c>
      <c r="BI71" s="825">
        <f t="shared" si="135"/>
        <v>5922</v>
      </c>
      <c r="BJ71" s="304">
        <f t="shared" si="136"/>
        <v>2646</v>
      </c>
      <c r="BK71" s="304">
        <f t="shared" si="137"/>
        <v>189</v>
      </c>
      <c r="BL71" s="304">
        <f t="shared" si="138"/>
        <v>567</v>
      </c>
      <c r="BM71" s="304">
        <f t="shared" si="139"/>
        <v>2520</v>
      </c>
      <c r="BN71" s="657"/>
      <c r="BO71" s="284">
        <v>0.16</v>
      </c>
      <c r="BP71" s="284">
        <v>0.56000000000000005</v>
      </c>
      <c r="BQ71" s="284">
        <v>0.23</v>
      </c>
      <c r="BR71" s="710">
        <v>0.05</v>
      </c>
      <c r="BS71" s="707">
        <v>0.14000000000000001</v>
      </c>
      <c r="BT71" s="284">
        <v>0.56000000000000005</v>
      </c>
      <c r="BU71" s="284">
        <v>0.27</v>
      </c>
      <c r="BV71" s="710">
        <v>0.03</v>
      </c>
      <c r="BW71" s="714">
        <v>0.25</v>
      </c>
      <c r="BX71" s="285">
        <v>0.65</v>
      </c>
      <c r="BY71" s="717">
        <v>0.1</v>
      </c>
      <c r="BZ71" s="714">
        <v>0.2</v>
      </c>
      <c r="CA71" s="285">
        <v>0.68</v>
      </c>
      <c r="CB71" s="717">
        <v>0.12</v>
      </c>
      <c r="CC71" s="284">
        <v>0.08</v>
      </c>
      <c r="CD71" s="284">
        <v>0.5</v>
      </c>
      <c r="CE71" s="284">
        <v>0.25</v>
      </c>
      <c r="CF71" s="710">
        <v>0.17</v>
      </c>
      <c r="CG71" s="707">
        <v>0.06</v>
      </c>
      <c r="CH71" s="284">
        <v>0.5</v>
      </c>
      <c r="CI71" s="284">
        <v>0.28000000000000003</v>
      </c>
      <c r="CJ71" s="710">
        <v>0.16</v>
      </c>
      <c r="CK71" s="720">
        <v>0.25</v>
      </c>
      <c r="CL71" s="286">
        <v>0.55000000000000004</v>
      </c>
      <c r="CM71" s="718">
        <v>0.2</v>
      </c>
      <c r="CN71" s="720">
        <v>0.17</v>
      </c>
      <c r="CO71" s="286">
        <v>0.57999999999999996</v>
      </c>
      <c r="CP71" s="718">
        <v>0.25</v>
      </c>
      <c r="CQ71" s="657"/>
      <c r="CR71" s="807">
        <v>13</v>
      </c>
      <c r="CS71" s="808">
        <v>13</v>
      </c>
      <c r="CT71" s="808">
        <v>10</v>
      </c>
      <c r="CU71" s="809">
        <v>12</v>
      </c>
      <c r="CV71" s="807">
        <v>13</v>
      </c>
      <c r="CW71" s="808">
        <v>12</v>
      </c>
      <c r="CX71" s="809">
        <v>9</v>
      </c>
      <c r="CY71" s="807">
        <v>11</v>
      </c>
      <c r="CZ71" s="808">
        <v>13</v>
      </c>
      <c r="DA71" s="808">
        <v>9</v>
      </c>
      <c r="DB71" s="809">
        <v>11</v>
      </c>
      <c r="DC71" s="807">
        <v>12</v>
      </c>
      <c r="DD71" s="808">
        <v>13</v>
      </c>
      <c r="DE71" s="809">
        <v>10</v>
      </c>
      <c r="DF71" s="610" t="s">
        <v>3815</v>
      </c>
      <c r="DG71" s="657"/>
      <c r="DH71" s="288">
        <f t="shared" si="140"/>
        <v>416.64</v>
      </c>
      <c r="DI71" s="288">
        <f t="shared" si="141"/>
        <v>1458.2400000000002</v>
      </c>
      <c r="DJ71" s="288">
        <f t="shared" si="142"/>
        <v>598.92000000000007</v>
      </c>
      <c r="DK71" s="288">
        <f t="shared" si="143"/>
        <v>130.20000000000002</v>
      </c>
      <c r="DL71" s="560" t="s">
        <v>3803</v>
      </c>
      <c r="DM71" s="288">
        <f t="shared" si="144"/>
        <v>370.44000000000005</v>
      </c>
      <c r="DN71" s="288">
        <f t="shared" si="145"/>
        <v>1481.7600000000002</v>
      </c>
      <c r="DO71" s="288">
        <f t="shared" si="146"/>
        <v>714.42000000000007</v>
      </c>
      <c r="DP71" s="288">
        <f t="shared" si="147"/>
        <v>79.38</v>
      </c>
      <c r="DQ71" s="561" t="s">
        <v>3673</v>
      </c>
      <c r="DR71" s="657"/>
      <c r="DS71" s="288">
        <f t="shared" si="148"/>
        <v>46.5</v>
      </c>
      <c r="DT71" s="288">
        <f t="shared" si="149"/>
        <v>120.9</v>
      </c>
      <c r="DU71" s="288">
        <f t="shared" si="150"/>
        <v>18.600000000000001</v>
      </c>
      <c r="DV71" s="561" t="s">
        <v>3804</v>
      </c>
      <c r="DW71" s="288">
        <f t="shared" si="151"/>
        <v>37.800000000000004</v>
      </c>
      <c r="DX71" s="288">
        <f t="shared" si="152"/>
        <v>128.52000000000001</v>
      </c>
      <c r="DY71" s="288">
        <f t="shared" si="153"/>
        <v>22.68</v>
      </c>
      <c r="DZ71" s="561" t="s">
        <v>3728</v>
      </c>
      <c r="EA71" s="657"/>
      <c r="EB71" s="288">
        <f t="shared" si="154"/>
        <v>44.64</v>
      </c>
      <c r="EC71" s="288">
        <f t="shared" si="155"/>
        <v>279</v>
      </c>
      <c r="ED71" s="288">
        <f t="shared" si="156"/>
        <v>139.5</v>
      </c>
      <c r="EE71" s="288">
        <f t="shared" si="157"/>
        <v>94.860000000000014</v>
      </c>
      <c r="EF71" s="561" t="s">
        <v>3805</v>
      </c>
      <c r="EG71" s="288">
        <f t="shared" si="158"/>
        <v>34.019999999999996</v>
      </c>
      <c r="EH71" s="288">
        <f t="shared" si="159"/>
        <v>283.5</v>
      </c>
      <c r="EI71" s="288">
        <f t="shared" si="160"/>
        <v>158.76000000000002</v>
      </c>
      <c r="EJ71" s="288">
        <f t="shared" si="161"/>
        <v>90.72</v>
      </c>
      <c r="EK71" s="561" t="s">
        <v>3675</v>
      </c>
      <c r="EL71" s="657"/>
      <c r="EM71" s="288">
        <f t="shared" si="162"/>
        <v>620</v>
      </c>
      <c r="EN71" s="291">
        <f t="shared" si="163"/>
        <v>1364</v>
      </c>
      <c r="EO71" s="291">
        <f t="shared" si="164"/>
        <v>496</v>
      </c>
      <c r="EP71" s="561" t="s">
        <v>3806</v>
      </c>
      <c r="EQ71" s="288">
        <f t="shared" si="165"/>
        <v>428.40000000000003</v>
      </c>
      <c r="ER71" s="291">
        <f t="shared" si="166"/>
        <v>1461.6</v>
      </c>
      <c r="ES71" s="291">
        <f t="shared" si="167"/>
        <v>630</v>
      </c>
      <c r="ET71" s="561" t="s">
        <v>3677</v>
      </c>
      <c r="EU71" s="657"/>
      <c r="EV71" s="740">
        <f t="shared" si="168"/>
        <v>0.80333867915609514</v>
      </c>
      <c r="EW71" s="740">
        <f t="shared" si="169"/>
        <v>0.19666132084390492</v>
      </c>
      <c r="EX71" s="563">
        <f t="shared" si="170"/>
        <v>2360.3754821134498</v>
      </c>
      <c r="EY71" s="563">
        <f t="shared" si="171"/>
        <v>1896.1809221134499</v>
      </c>
      <c r="EZ71" s="563">
        <f t="shared" si="172"/>
        <v>464.19455999999991</v>
      </c>
      <c r="FA71" s="563">
        <f t="shared" si="173"/>
        <v>1044.8201781338462</v>
      </c>
      <c r="FB71" s="563">
        <f t="shared" si="174"/>
        <v>837.41409813384632</v>
      </c>
      <c r="FC71" s="563">
        <f t="shared" si="175"/>
        <v>207.40607999999997</v>
      </c>
      <c r="FD71" s="563">
        <f t="shared" si="176"/>
        <v>76.075523942307683</v>
      </c>
      <c r="FE71" s="563">
        <f t="shared" si="177"/>
        <v>61.260803942307682</v>
      </c>
      <c r="FF71" s="563">
        <f t="shared" si="178"/>
        <v>14.814719999999999</v>
      </c>
      <c r="FG71" s="563">
        <f t="shared" si="179"/>
        <v>238.58684706293707</v>
      </c>
      <c r="FH71" s="563">
        <f t="shared" si="180"/>
        <v>194.14268706293706</v>
      </c>
      <c r="FI71" s="563">
        <f t="shared" si="181"/>
        <v>44.444159999999997</v>
      </c>
      <c r="FJ71" s="563">
        <f t="shared" si="182"/>
        <v>1000.8929329743588</v>
      </c>
      <c r="FK71" s="563">
        <f t="shared" si="183"/>
        <v>803.36333297435885</v>
      </c>
      <c r="FL71" s="563">
        <f t="shared" si="184"/>
        <v>197.52959999999999</v>
      </c>
      <c r="FM71" s="529"/>
      <c r="FN71" s="564" t="s">
        <v>2649</v>
      </c>
      <c r="FO71" s="740">
        <v>6.3519999999999993E-2</v>
      </c>
      <c r="FP71" s="741">
        <v>0.80733999999999995</v>
      </c>
      <c r="FQ71" s="565" t="s">
        <v>3807</v>
      </c>
      <c r="FR71" s="529"/>
      <c r="FS71" s="867">
        <v>2.98</v>
      </c>
      <c r="FT71" s="566">
        <f>RANK($FS71,$FS$8:$FS$154,0)+COUNTIF($FS$8:$FS71,$FS71)-1</f>
        <v>118</v>
      </c>
      <c r="FU71" s="867">
        <v>3.69</v>
      </c>
      <c r="FV71" s="566">
        <f>RANK($FU71,$FU$8:$FU$154,0)+COUNTIF($FU$8:$FU71,$FU71)-1</f>
        <v>114</v>
      </c>
      <c r="FW71" s="867">
        <v>2.12</v>
      </c>
      <c r="FX71" s="566">
        <f>RANK($FW71,$FW$8:$FW$154,0)+COUNTIF($FW$8:$FW71,$FW71)-1</f>
        <v>82</v>
      </c>
      <c r="FY71" s="529"/>
      <c r="FZ71" s="567" t="s">
        <v>3696</v>
      </c>
      <c r="GA71" s="567" t="s">
        <v>3808</v>
      </c>
      <c r="GB71" s="567" t="s">
        <v>3698</v>
      </c>
      <c r="GC71" s="567" t="s">
        <v>3699</v>
      </c>
      <c r="GD71" s="567" t="s">
        <v>3700</v>
      </c>
      <c r="GE71" s="567" t="s">
        <v>3701</v>
      </c>
      <c r="GF71" s="567" t="str">
        <f t="shared" si="226"/>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71" s="529"/>
      <c r="GH71" s="563">
        <f t="shared" si="185"/>
        <v>153.40198892307689</v>
      </c>
      <c r="GI71" s="563">
        <f t="shared" si="227"/>
        <v>124.3651377230769</v>
      </c>
      <c r="GJ71" s="563">
        <f t="shared" si="186"/>
        <v>29.036851199999997</v>
      </c>
      <c r="GK71" s="563">
        <f t="shared" si="187"/>
        <v>551.4253868307693</v>
      </c>
      <c r="GL71" s="563">
        <f t="shared" si="228"/>
        <v>435.27798203076929</v>
      </c>
      <c r="GM71" s="563">
        <f t="shared" si="188"/>
        <v>116.14740479999999</v>
      </c>
      <c r="GN71" s="563">
        <f t="shared" si="189"/>
        <v>291.52655448000002</v>
      </c>
      <c r="GO71" s="563">
        <f t="shared" si="229"/>
        <v>235.52691288000003</v>
      </c>
      <c r="GP71" s="563">
        <f t="shared" si="190"/>
        <v>55.999641599999997</v>
      </c>
      <c r="GQ71" s="563">
        <f t="shared" si="191"/>
        <v>48.466247900000013</v>
      </c>
      <c r="GR71" s="563">
        <f t="shared" si="230"/>
        <v>42.244065500000012</v>
      </c>
      <c r="GS71" s="563">
        <f t="shared" si="192"/>
        <v>6.2221823999999994</v>
      </c>
      <c r="GT71" s="563">
        <f t="shared" si="193"/>
        <v>16.842981692307688</v>
      </c>
      <c r="GU71" s="563">
        <f t="shared" si="231"/>
        <v>13.88003769230769</v>
      </c>
      <c r="GV71" s="563">
        <f t="shared" si="194"/>
        <v>2.9629440000000002</v>
      </c>
      <c r="GW71" s="563">
        <f t="shared" si="195"/>
        <v>49.300641849999991</v>
      </c>
      <c r="GX71" s="563">
        <f t="shared" si="232"/>
        <v>39.226632249999994</v>
      </c>
      <c r="GY71" s="563">
        <f t="shared" si="196"/>
        <v>10.0740096</v>
      </c>
      <c r="GZ71" s="563">
        <f t="shared" si="197"/>
        <v>9.9319004</v>
      </c>
      <c r="HA71" s="563">
        <f t="shared" si="233"/>
        <v>8.1541340000000009</v>
      </c>
      <c r="HB71" s="563">
        <f t="shared" si="198"/>
        <v>1.7777664</v>
      </c>
      <c r="HC71" s="563">
        <f t="shared" si="199"/>
        <v>18.57271549090909</v>
      </c>
      <c r="HD71" s="563">
        <f t="shared" si="234"/>
        <v>15.90606589090909</v>
      </c>
      <c r="HE71" s="563">
        <f t="shared" si="200"/>
        <v>2.6666495999999995</v>
      </c>
      <c r="HF71" s="563">
        <f t="shared" si="201"/>
        <v>105.50230615384615</v>
      </c>
      <c r="HG71" s="563">
        <f t="shared" si="235"/>
        <v>83.280226153846158</v>
      </c>
      <c r="HH71" s="563">
        <f t="shared" si="202"/>
        <v>22.222079999999998</v>
      </c>
      <c r="HI71" s="563">
        <f t="shared" si="203"/>
        <v>73.600369799999996</v>
      </c>
      <c r="HJ71" s="563">
        <f t="shared" si="236"/>
        <v>61.156005</v>
      </c>
      <c r="HK71" s="563">
        <f t="shared" si="204"/>
        <v>12.444364800000001</v>
      </c>
      <c r="HL71" s="563">
        <f t="shared" si="205"/>
        <v>40.911455618181819</v>
      </c>
      <c r="HM71" s="563">
        <f t="shared" si="237"/>
        <v>33.800390018181822</v>
      </c>
      <c r="HN71" s="563">
        <f t="shared" si="206"/>
        <v>7.1110655999999999</v>
      </c>
      <c r="HO71" s="563">
        <f t="shared" si="207"/>
        <v>234.74224866666668</v>
      </c>
      <c r="HP71" s="563">
        <f t="shared" si="238"/>
        <v>201.16221666666667</v>
      </c>
      <c r="HQ71" s="563">
        <f t="shared" si="208"/>
        <v>33.580032000000003</v>
      </c>
      <c r="HR71" s="563">
        <f t="shared" si="209"/>
        <v>521.71494030769213</v>
      </c>
      <c r="HS71" s="563">
        <f t="shared" si="239"/>
        <v>407.14777230769221</v>
      </c>
      <c r="HT71" s="563">
        <f t="shared" si="210"/>
        <v>114.56716799999998</v>
      </c>
      <c r="HU71" s="563">
        <f t="shared" si="211"/>
        <v>244.43574399999997</v>
      </c>
      <c r="HV71" s="563">
        <f t="shared" si="240"/>
        <v>195.05334399999998</v>
      </c>
      <c r="HW71" s="563">
        <f t="shared" si="212"/>
        <v>49.382399999999997</v>
      </c>
      <c r="HX71" s="544"/>
      <c r="HY71" s="568">
        <f t="shared" si="213"/>
        <v>5828</v>
      </c>
      <c r="HZ71" s="568">
        <f t="shared" si="214"/>
        <v>0.27900000000000003</v>
      </c>
      <c r="IA71" s="568">
        <f t="shared" si="215"/>
        <v>818.23260000000005</v>
      </c>
      <c r="IB71" s="568">
        <f t="shared" si="216"/>
        <v>2811.5945999999999</v>
      </c>
      <c r="IC71" s="568">
        <f t="shared" si="217"/>
        <v>1932.6516000000001</v>
      </c>
      <c r="ID71" s="568">
        <f t="shared" si="218"/>
        <v>265.24220000000003</v>
      </c>
      <c r="IE71" s="568">
        <f t="shared" si="219"/>
        <v>1896.1809221134499</v>
      </c>
      <c r="IF71" s="568">
        <f t="shared" si="220"/>
        <v>0</v>
      </c>
      <c r="IG71" s="568">
        <f t="shared" si="221"/>
        <v>113.83954526138507</v>
      </c>
      <c r="IH71" s="568">
        <f t="shared" si="222"/>
        <v>758.08111404772865</v>
      </c>
      <c r="II71" s="568">
        <f t="shared" si="223"/>
        <v>834.1352594436064</v>
      </c>
      <c r="IJ71" s="568">
        <f t="shared" si="224"/>
        <v>190.12500336072981</v>
      </c>
      <c r="IK71" s="868">
        <v>3.7</v>
      </c>
      <c r="IL71" s="569" t="s">
        <v>2589</v>
      </c>
      <c r="IM71" s="570" t="s">
        <v>3816</v>
      </c>
      <c r="IN71" s="529"/>
      <c r="IO71" s="742">
        <v>0</v>
      </c>
      <c r="IP71" s="742">
        <v>0.1009</v>
      </c>
      <c r="IQ71" s="742">
        <v>0.45850000000000002</v>
      </c>
      <c r="IR71" s="742">
        <v>0.37930000000000003</v>
      </c>
      <c r="IS71" s="742">
        <v>6.13E-2</v>
      </c>
      <c r="IT71" s="742">
        <v>0</v>
      </c>
      <c r="IU71" s="742">
        <v>3.32E-2</v>
      </c>
      <c r="IV71" s="742">
        <v>0.35730000000000001</v>
      </c>
      <c r="IW71" s="742">
        <v>0.4803</v>
      </c>
      <c r="IX71" s="742">
        <v>0.12920000000000001</v>
      </c>
      <c r="IY71" s="742">
        <v>0</v>
      </c>
      <c r="IZ71" s="742">
        <v>0.1522</v>
      </c>
      <c r="JA71" s="742">
        <v>0.49490000000000001</v>
      </c>
      <c r="JB71" s="742">
        <v>0.31469999999999998</v>
      </c>
      <c r="JC71" s="742">
        <v>3.8199999999999998E-2</v>
      </c>
      <c r="JD71" s="742">
        <v>0</v>
      </c>
      <c r="JE71" s="742">
        <v>7.8600000000000003E-2</v>
      </c>
      <c r="JF71" s="742">
        <v>0.40450000000000003</v>
      </c>
      <c r="JG71" s="742">
        <v>0.41639999999999999</v>
      </c>
      <c r="JH71" s="742">
        <v>0.10050000000000001</v>
      </c>
      <c r="JI71" s="742">
        <v>5.0000000000000001E-4</v>
      </c>
      <c r="JJ71" s="742">
        <v>0.2261</v>
      </c>
      <c r="JK71" s="742">
        <v>0.51539999999999997</v>
      </c>
      <c r="JL71" s="742">
        <v>0.2379</v>
      </c>
      <c r="JM71" s="742">
        <v>2.01E-2</v>
      </c>
      <c r="JN71" s="742">
        <v>0</v>
      </c>
      <c r="JO71" s="742">
        <v>0.1196</v>
      </c>
      <c r="JP71" s="742">
        <v>0.47439999999999999</v>
      </c>
      <c r="JQ71" s="742">
        <v>0.35460000000000003</v>
      </c>
      <c r="JR71" s="742">
        <v>5.1400000000000001E-2</v>
      </c>
      <c r="JS71" s="742">
        <v>0</v>
      </c>
      <c r="JT71" s="742">
        <v>0.16170000000000001</v>
      </c>
      <c r="JU71" s="742">
        <v>0.49919999999999998</v>
      </c>
      <c r="JV71" s="742">
        <v>0.3039</v>
      </c>
      <c r="JW71" s="742">
        <v>3.5200000000000002E-2</v>
      </c>
      <c r="JX71" s="742">
        <v>0</v>
      </c>
      <c r="JY71" s="742">
        <v>7.22E-2</v>
      </c>
      <c r="JZ71" s="742">
        <v>0.42570000000000002</v>
      </c>
      <c r="KA71" s="742">
        <v>0.42020000000000002</v>
      </c>
      <c r="KB71" s="742">
        <v>8.1900000000000001E-2</v>
      </c>
      <c r="KC71" s="657"/>
      <c r="KD71" s="832" t="s">
        <v>2591</v>
      </c>
      <c r="KE71" s="832" t="s">
        <v>2591</v>
      </c>
      <c r="KF71" s="869">
        <v>3.4</v>
      </c>
      <c r="KG71" s="832" t="s">
        <v>2616</v>
      </c>
      <c r="KH71" s="833" t="s">
        <v>3732</v>
      </c>
      <c r="KI71" s="832" t="s">
        <v>3733</v>
      </c>
      <c r="KJ71" s="833" t="s">
        <v>3816</v>
      </c>
    </row>
    <row r="72" spans="1:296" ht="48" hidden="1" customHeight="1">
      <c r="A72" s="273">
        <f t="shared" si="225"/>
        <v>65</v>
      </c>
      <c r="B72" s="274" t="s">
        <v>3662</v>
      </c>
      <c r="C72" s="274" t="s">
        <v>1337</v>
      </c>
      <c r="D72" s="274" t="s">
        <v>3817</v>
      </c>
      <c r="E72" s="275" t="s">
        <v>3818</v>
      </c>
      <c r="F72" s="275" t="s">
        <v>3009</v>
      </c>
      <c r="G72" s="275" t="s">
        <v>300</v>
      </c>
      <c r="H72" s="275" t="s">
        <v>2109</v>
      </c>
      <c r="I72" s="276" t="s">
        <v>3819</v>
      </c>
      <c r="J72" s="276" t="s">
        <v>3820</v>
      </c>
      <c r="K72" s="277" t="s">
        <v>2097</v>
      </c>
      <c r="L72" s="277" t="s">
        <v>2109</v>
      </c>
      <c r="M72" s="277" t="s">
        <v>2603</v>
      </c>
      <c r="N72" s="277" t="s">
        <v>2099</v>
      </c>
      <c r="O72" s="275" t="s">
        <v>2616</v>
      </c>
      <c r="P72" s="276"/>
      <c r="Q72" s="270">
        <v>1</v>
      </c>
      <c r="R72" s="278">
        <v>900</v>
      </c>
      <c r="S72" s="279">
        <v>120</v>
      </c>
      <c r="T72" s="279">
        <v>145</v>
      </c>
      <c r="U72" s="279">
        <v>170</v>
      </c>
      <c r="V72" s="279">
        <v>200</v>
      </c>
      <c r="W72" s="279">
        <v>192</v>
      </c>
      <c r="X72" s="279">
        <v>185</v>
      </c>
      <c r="Y72" s="279">
        <v>178</v>
      </c>
      <c r="Z72" s="279">
        <v>172</v>
      </c>
      <c r="AA72" s="279">
        <v>166</v>
      </c>
      <c r="AB72" s="279">
        <v>178</v>
      </c>
      <c r="AC72" s="279">
        <v>190</v>
      </c>
      <c r="AD72" s="279">
        <v>202</v>
      </c>
      <c r="AE72" s="279">
        <v>214</v>
      </c>
      <c r="AF72" s="279">
        <v>225</v>
      </c>
      <c r="AG72" s="279">
        <v>229</v>
      </c>
      <c r="AH72" s="279">
        <v>233</v>
      </c>
      <c r="AI72" s="279">
        <v>237</v>
      </c>
      <c r="AJ72" s="279">
        <v>241</v>
      </c>
      <c r="AK72" s="279">
        <v>245</v>
      </c>
      <c r="AL72" s="276" t="s">
        <v>3821</v>
      </c>
      <c r="AM72" s="276" t="s">
        <v>3822</v>
      </c>
      <c r="AN72" s="276" t="s">
        <v>3823</v>
      </c>
      <c r="AO72" s="657"/>
      <c r="AP72" s="278">
        <v>500</v>
      </c>
      <c r="AQ72" s="278">
        <v>440</v>
      </c>
      <c r="AR72" s="278">
        <v>40</v>
      </c>
      <c r="AS72" s="278">
        <v>20</v>
      </c>
      <c r="AT72" s="657"/>
      <c r="AU72" s="281" t="s">
        <v>3824</v>
      </c>
      <c r="AV72" s="296" t="s">
        <v>3825</v>
      </c>
      <c r="AW72" s="296" t="s">
        <v>3670</v>
      </c>
      <c r="AX72" s="276" t="s">
        <v>2670</v>
      </c>
      <c r="AY72" s="657"/>
      <c r="AZ72" s="947">
        <v>14</v>
      </c>
      <c r="BA72" s="947">
        <v>0.3</v>
      </c>
      <c r="BB72" s="947">
        <v>4</v>
      </c>
      <c r="BC72" s="947">
        <v>12</v>
      </c>
      <c r="BD72" s="826">
        <f t="shared" ref="BD72:BD103" si="241">SUM(BE72:BH72)</f>
        <v>6817.5</v>
      </c>
      <c r="BE72" s="283">
        <f t="shared" ref="BE72:BE103" si="242">AF72*AZ72</f>
        <v>3150</v>
      </c>
      <c r="BF72" s="283">
        <f t="shared" ref="BF72:BF103" si="243">AF72*BA72</f>
        <v>67.5</v>
      </c>
      <c r="BG72" s="283">
        <f t="shared" ref="BG72:BG103" si="244">AF72*BB72</f>
        <v>900</v>
      </c>
      <c r="BH72" s="283">
        <f t="shared" ref="BH72:BH103" si="245">AF72*BC72</f>
        <v>2700</v>
      </c>
      <c r="BI72" s="826">
        <f t="shared" ref="BI72:BI103" si="246">SUM(BJ72:BM72)</f>
        <v>7423.5</v>
      </c>
      <c r="BJ72" s="283">
        <f t="shared" ref="BJ72:BJ103" si="247">AK72*AZ72</f>
        <v>3430</v>
      </c>
      <c r="BK72" s="283">
        <f t="shared" ref="BK72:BK103" si="248">AK72*BA72</f>
        <v>73.5</v>
      </c>
      <c r="BL72" s="283">
        <f t="shared" ref="BL72:BL103" si="249">AK72*BB72</f>
        <v>980</v>
      </c>
      <c r="BM72" s="283">
        <f t="shared" ref="BM72:BM103" si="250">AK72*BC72</f>
        <v>2940</v>
      </c>
      <c r="BN72" s="657"/>
      <c r="BO72" s="305">
        <v>0.25</v>
      </c>
      <c r="BP72" s="305">
        <v>0.62</v>
      </c>
      <c r="BQ72" s="305">
        <v>0.08</v>
      </c>
      <c r="BR72" s="581">
        <v>0.05</v>
      </c>
      <c r="BS72" s="706">
        <v>0.22</v>
      </c>
      <c r="BT72" s="305">
        <v>0.62</v>
      </c>
      <c r="BU72" s="305">
        <v>0.11</v>
      </c>
      <c r="BV72" s="581">
        <v>0.05</v>
      </c>
      <c r="BW72" s="713">
        <v>0.7</v>
      </c>
      <c r="BX72" s="306">
        <v>0.25</v>
      </c>
      <c r="BY72" s="590">
        <v>0.05</v>
      </c>
      <c r="BZ72" s="713">
        <v>0.35</v>
      </c>
      <c r="CA72" s="306">
        <v>0.52</v>
      </c>
      <c r="CB72" s="590">
        <v>0.13</v>
      </c>
      <c r="CC72" s="706">
        <v>0.08</v>
      </c>
      <c r="CD72" s="305">
        <v>0.55000000000000004</v>
      </c>
      <c r="CE72" s="305">
        <v>0.12</v>
      </c>
      <c r="CF72" s="581">
        <v>0.25</v>
      </c>
      <c r="CG72" s="706">
        <v>0.06</v>
      </c>
      <c r="CH72" s="305">
        <v>0.55000000000000004</v>
      </c>
      <c r="CI72" s="305">
        <v>0.15</v>
      </c>
      <c r="CJ72" s="581">
        <v>0.24</v>
      </c>
      <c r="CK72" s="719">
        <v>0.45</v>
      </c>
      <c r="CL72" s="307">
        <v>0.4</v>
      </c>
      <c r="CM72" s="723">
        <v>0.15</v>
      </c>
      <c r="CN72" s="719">
        <v>0.35</v>
      </c>
      <c r="CO72" s="307">
        <v>0.45</v>
      </c>
      <c r="CP72" s="723">
        <v>0.2</v>
      </c>
      <c r="CQ72" s="657"/>
      <c r="CR72" s="804">
        <v>12</v>
      </c>
      <c r="CS72" s="805">
        <v>13</v>
      </c>
      <c r="CT72" s="805">
        <v>9</v>
      </c>
      <c r="CU72" s="806">
        <v>11</v>
      </c>
      <c r="CV72" s="804">
        <v>10</v>
      </c>
      <c r="CW72" s="805">
        <v>10</v>
      </c>
      <c r="CX72" s="806">
        <v>8</v>
      </c>
      <c r="CY72" s="804">
        <v>10</v>
      </c>
      <c r="CZ72" s="805">
        <v>12</v>
      </c>
      <c r="DA72" s="805">
        <v>8</v>
      </c>
      <c r="DB72" s="806">
        <v>10</v>
      </c>
      <c r="DC72" s="804">
        <v>13</v>
      </c>
      <c r="DD72" s="805">
        <v>13</v>
      </c>
      <c r="DE72" s="806">
        <v>9</v>
      </c>
      <c r="DF72" s="609" t="s">
        <v>3826</v>
      </c>
      <c r="DG72" s="657"/>
      <c r="DH72" s="308">
        <f t="shared" ref="DH72:DH103" si="251">$BE72*BO72</f>
        <v>787.5</v>
      </c>
      <c r="DI72" s="308">
        <f t="shared" ref="DI72:DI103" si="252">$BE72*BP72</f>
        <v>1953</v>
      </c>
      <c r="DJ72" s="308">
        <f t="shared" ref="DJ72:DJ103" si="253">$BE72*BQ72</f>
        <v>252</v>
      </c>
      <c r="DK72" s="308">
        <f t="shared" ref="DK72:DK103" si="254">$BE72*BR72</f>
        <v>157.5</v>
      </c>
      <c r="DL72" s="287" t="s">
        <v>3827</v>
      </c>
      <c r="DM72" s="308">
        <f t="shared" ref="DM72:DM103" si="255">$BJ72*BS72</f>
        <v>754.6</v>
      </c>
      <c r="DN72" s="308">
        <f t="shared" ref="DN72:DN103" si="256">$BJ72*BT72</f>
        <v>2126.6</v>
      </c>
      <c r="DO72" s="308">
        <f t="shared" ref="DO72:DO103" si="257">$BJ72*BU72</f>
        <v>377.3</v>
      </c>
      <c r="DP72" s="308">
        <f t="shared" ref="DP72:DP103" si="258">$BJ72*BV72</f>
        <v>171.5</v>
      </c>
      <c r="DQ72" s="289" t="s">
        <v>3755</v>
      </c>
      <c r="DR72" s="657"/>
      <c r="DS72" s="308">
        <f t="shared" ref="DS72:DS103" si="259">$BF72*BW72</f>
        <v>47.25</v>
      </c>
      <c r="DT72" s="308">
        <f t="shared" ref="DT72:DT103" si="260">$BF72*BX72</f>
        <v>16.875</v>
      </c>
      <c r="DU72" s="308">
        <f t="shared" ref="DU72:DU103" si="261">$BF72*BY72</f>
        <v>3.375</v>
      </c>
      <c r="DV72" s="289" t="s">
        <v>3828</v>
      </c>
      <c r="DW72" s="308">
        <f t="shared" ref="DW72:DW103" si="262">$BK72*BZ72</f>
        <v>25.724999999999998</v>
      </c>
      <c r="DX72" s="308">
        <f t="shared" ref="DX72:DX103" si="263">$BK72*CA72</f>
        <v>38.22</v>
      </c>
      <c r="DY72" s="308">
        <f t="shared" ref="DY72:DY103" si="264">$BK72*CB72</f>
        <v>9.5549999999999997</v>
      </c>
      <c r="DZ72" s="289" t="s">
        <v>3829</v>
      </c>
      <c r="EA72" s="657"/>
      <c r="EB72" s="308">
        <f t="shared" ref="EB72:EB103" si="265">$BG72*CC72</f>
        <v>72</v>
      </c>
      <c r="EC72" s="308">
        <f t="shared" ref="EC72:EC103" si="266">$BG72*CD72</f>
        <v>495.00000000000006</v>
      </c>
      <c r="ED72" s="308">
        <f t="shared" ref="ED72:ED103" si="267">$BG72*CE72</f>
        <v>108</v>
      </c>
      <c r="EE72" s="308">
        <f t="shared" ref="EE72:EE103" si="268">$BG72*CF72</f>
        <v>225</v>
      </c>
      <c r="EF72" s="289" t="s">
        <v>3830</v>
      </c>
      <c r="EG72" s="308">
        <f t="shared" ref="EG72:EG103" si="269">$BL72*CG72</f>
        <v>58.8</v>
      </c>
      <c r="EH72" s="308">
        <f t="shared" ref="EH72:EH103" si="270">$BL72*CH72</f>
        <v>539</v>
      </c>
      <c r="EI72" s="308">
        <f t="shared" ref="EI72:EI103" si="271">$BL72*CI72</f>
        <v>147</v>
      </c>
      <c r="EJ72" s="308">
        <f t="shared" ref="EJ72:EJ103" si="272">$BL72*CJ72</f>
        <v>235.2</v>
      </c>
      <c r="EK72" s="309" t="s">
        <v>2870</v>
      </c>
      <c r="EL72" s="657"/>
      <c r="EM72" s="308">
        <f t="shared" ref="EM72:EM103" si="273">$BH72*CK72</f>
        <v>1215</v>
      </c>
      <c r="EN72" s="310">
        <f t="shared" ref="EN72:EN103" si="274">$BH72*CL72</f>
        <v>1080</v>
      </c>
      <c r="EO72" s="310">
        <f t="shared" ref="EO72:EO103" si="275">$BH72*CM72</f>
        <v>405</v>
      </c>
      <c r="EP72" s="289" t="s">
        <v>3831</v>
      </c>
      <c r="EQ72" s="308">
        <f t="shared" ref="EQ72:EQ103" si="276">$BM72*CN72</f>
        <v>1029</v>
      </c>
      <c r="ER72" s="310">
        <f t="shared" ref="ER72:ER103" si="277">$BM72*CO72</f>
        <v>1323</v>
      </c>
      <c r="ES72" s="310">
        <f t="shared" ref="ES72:ES103" si="278">$BM72*CP72</f>
        <v>588</v>
      </c>
      <c r="ET72" s="289" t="s">
        <v>3760</v>
      </c>
      <c r="EU72" s="657"/>
      <c r="EV72" s="728">
        <f t="shared" ref="EV72:EV103" si="279">IFERROR(EY72/EX72,0)</f>
        <v>0.66240474650271075</v>
      </c>
      <c r="EW72" s="728">
        <f t="shared" ref="EW72:EW103" si="280">IFERROR(EZ72/EX72,0)</f>
        <v>0.33759525349728925</v>
      </c>
      <c r="EX72" s="311">
        <f t="shared" ref="EX72:EX103" si="281">EY72+EZ72</f>
        <v>2699.7535971201632</v>
      </c>
      <c r="EY72" s="311">
        <f t="shared" ref="EY72:EY103" si="282">SUM(FB72,FE72,FH72,FK72)</f>
        <v>1788.3295971201633</v>
      </c>
      <c r="EZ72" s="311">
        <f t="shared" ref="EZ72:EZ103" si="283">SUM(FC72,FF72,FI72,FL72)</f>
        <v>911.42399999999998</v>
      </c>
      <c r="FA72" s="311">
        <f t="shared" ref="FA72:FA103" si="284">FB72+FC72</f>
        <v>1233.1650296252915</v>
      </c>
      <c r="FB72" s="311">
        <f t="shared" ref="FB72:FB103" si="285">SUM(GI72,GL72,GO72,GR72)</f>
        <v>812.04502962529136</v>
      </c>
      <c r="FC72" s="311">
        <f t="shared" ref="FC72:FC103" si="286">MAX(0,$BJ72-$BE72)+$BE72*$FO72</f>
        <v>421.12</v>
      </c>
      <c r="FD72" s="311">
        <f t="shared" ref="FD72:FD103" si="287">FE72+FF72</f>
        <v>29.979839399999999</v>
      </c>
      <c r="FE72" s="311">
        <f t="shared" ref="FE72:FE103" si="288">SUM(GU72,GX72,HA72)</f>
        <v>20.955839399999999</v>
      </c>
      <c r="FF72" s="311">
        <f t="shared" ref="FF72:FF103" si="289">MAX(0,$BK72-$BF72)+$BF72*$FO72</f>
        <v>9.0240000000000009</v>
      </c>
      <c r="FG72" s="311">
        <f t="shared" ref="FG72:FG103" si="290">FH72+FI72</f>
        <v>383.54300963333333</v>
      </c>
      <c r="FH72" s="311">
        <f t="shared" ref="FH72:FH103" si="291">SUM(HD72,HG72,HJ72,HM72)</f>
        <v>263.22300963333333</v>
      </c>
      <c r="FI72" s="311">
        <f t="shared" ref="FI72:FI103" si="292">MAX(0,$BL72-$BG72)+$BG72*$FO72</f>
        <v>120.32</v>
      </c>
      <c r="FJ72" s="311">
        <f t="shared" ref="FJ72:FJ103" si="293">FK72+FL72</f>
        <v>1053.0657184615384</v>
      </c>
      <c r="FK72" s="311">
        <f t="shared" ref="FK72:FK103" si="294">SUM(HP72,HS72,HV72)</f>
        <v>692.10571846153846</v>
      </c>
      <c r="FL72" s="311">
        <f t="shared" ref="FL72:FL103" si="295">MAX(0,$BM72-$BH72)+$BH72*$FO72</f>
        <v>360.96</v>
      </c>
      <c r="FM72" s="657"/>
      <c r="FN72" s="293" t="s">
        <v>2649</v>
      </c>
      <c r="FO72" s="728">
        <v>4.48E-2</v>
      </c>
      <c r="FP72" s="729">
        <v>0.77305000000000001</v>
      </c>
      <c r="FQ72" s="294" t="s">
        <v>3761</v>
      </c>
      <c r="FR72" s="657"/>
      <c r="FS72" s="865">
        <v>3.07</v>
      </c>
      <c r="FT72" s="312">
        <f>RANK($FS72,$FS$8:$FS$154,0)+COUNTIF($FS$8:$FS72,$FS72)-1</f>
        <v>102</v>
      </c>
      <c r="FU72" s="865">
        <v>3.67</v>
      </c>
      <c r="FV72" s="312">
        <f>RANK($FU72,$FU$8:$FU$154,0)+COUNTIF($FU$8:$FU72,$FU72)-1</f>
        <v>117</v>
      </c>
      <c r="FW72" s="865">
        <v>2</v>
      </c>
      <c r="FX72" s="312">
        <f>RANK($FW72,$FW$8:$FW$154,0)+COUNTIF($FW$8:$FW72,$FW72)-1</f>
        <v>101</v>
      </c>
      <c r="FY72" s="657"/>
      <c r="FZ72" s="296" t="s">
        <v>3762</v>
      </c>
      <c r="GA72" s="296" t="s">
        <v>3832</v>
      </c>
      <c r="GB72" s="296" t="s">
        <v>2653</v>
      </c>
      <c r="GC72" s="296" t="s">
        <v>2654</v>
      </c>
      <c r="GD72" s="296" t="s">
        <v>2876</v>
      </c>
      <c r="GE72" s="296" t="s">
        <v>2656</v>
      </c>
      <c r="GF72" s="296" t="str">
        <f>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amp;CHAR(10)&amp;HYPERLINK("https://www.atout-france.fr/fr/catalogue/etudes-publications/investissements-touristiques-et-developpement-des-territoires-en-1","https://www.atout-france.fr/fr/catalogue/etudes-publications/investissements-touristiques-et-developpement-des-territoires-en-1")&amp;CHAR(10)&amp;HYPERLINK("https://www.atout-france.fr/fr/actualites/investissements-touristiques-vers-un-nouveau-cycle-plus-selectif-et-durable","https://www.atout-france.fr/fr/actualites/investissements-touristiques-vers-un-nouveau-cycle-plus-selectif-et-durable")&amp;CHAR(10)&amp;HYPERLINK("https://www.atout-france.fr/fr/actualites/bilan-touristique-de-lannee-2025-avec-102-millions-de-visiteurs-la-france-pays-le-plus","https://www.atout-france.fr/fr/actualites/bilan-touristique-de-lannee-2025-avec-102-millions-de-visiteurs-la-france-pays-le-plus")</f>
        <v>https://www.statistiques.developpement-durable.gouv.fr/construction-de-locaux-resultats-fin-janvier-2026-france-entiere
https://www.insee.fr/fr/statistiques/8671745
https://www.insee.fr/fr/statistiques/8906564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v>
      </c>
      <c r="GG72" s="657"/>
      <c r="GH72" s="311">
        <f t="shared" ref="GH72:GH103" si="296">GI72+GJ72</f>
        <v>301.20884791666663</v>
      </c>
      <c r="GI72" s="311">
        <f t="shared" si="227"/>
        <v>208.56244791666666</v>
      </c>
      <c r="GJ72" s="311">
        <f t="shared" ref="GJ72:GJ103" si="297">IFERROR($FC72*$BS72,0)</f>
        <v>92.6464</v>
      </c>
      <c r="GK72" s="311">
        <f t="shared" ref="GK72:GK103" si="298">GL72+GM72</f>
        <v>734.41269676923071</v>
      </c>
      <c r="GL72" s="311">
        <f t="shared" si="228"/>
        <v>473.31829676923076</v>
      </c>
      <c r="GM72" s="311">
        <f t="shared" ref="GM72:GM103" si="299">IFERROR($FC72*$BT72,0)</f>
        <v>261.09440000000001</v>
      </c>
      <c r="GN72" s="311">
        <f t="shared" ref="GN72:GN103" si="300">GO72+GP72</f>
        <v>130.88456266666668</v>
      </c>
      <c r="GO72" s="311">
        <f t="shared" si="229"/>
        <v>84.561362666666682</v>
      </c>
      <c r="GP72" s="311">
        <f t="shared" ref="GP72:GP103" si="301">IFERROR($FC72*$BU72,0)</f>
        <v>46.3232</v>
      </c>
      <c r="GQ72" s="311">
        <f t="shared" ref="GQ72:GQ103" si="302">GR72+GS72</f>
        <v>66.658922272727281</v>
      </c>
      <c r="GR72" s="311">
        <f t="shared" si="230"/>
        <v>45.602922272727277</v>
      </c>
      <c r="GS72" s="311">
        <f t="shared" ref="GS72:GS103" si="303">IFERROR($FC72*$BV72,0)</f>
        <v>21.056000000000001</v>
      </c>
      <c r="GT72" s="311">
        <f t="shared" ref="GT72:GT103" si="304">GU72+GV72</f>
        <v>17.65540665</v>
      </c>
      <c r="GU72" s="311">
        <f t="shared" si="231"/>
        <v>14.497006649999999</v>
      </c>
      <c r="GV72" s="311">
        <f t="shared" ref="GV72:GV103" si="305">IFERROR($FF72*$BZ72,0)</f>
        <v>3.1584000000000003</v>
      </c>
      <c r="GW72" s="311">
        <f t="shared" ref="GW72:GW103" si="306">GX72+GY72</f>
        <v>9.8699823750000011</v>
      </c>
      <c r="GX72" s="311">
        <f t="shared" si="232"/>
        <v>5.1775023750000004</v>
      </c>
      <c r="GY72" s="311">
        <f t="shared" ref="GY72:GY103" si="307">IFERROR($FF72*$CA72,0)</f>
        <v>4.6924800000000007</v>
      </c>
      <c r="GZ72" s="311">
        <f t="shared" ref="GZ72:GZ103" si="308">HA72+HB72</f>
        <v>2.4544503750000004</v>
      </c>
      <c r="HA72" s="311">
        <f t="shared" si="233"/>
        <v>1.281330375</v>
      </c>
      <c r="HB72" s="311">
        <f t="shared" ref="HB72:HB103" si="309">IFERROR($FF72*$CB72,0)</f>
        <v>1.1731200000000002</v>
      </c>
      <c r="HC72" s="311">
        <f t="shared" ref="HC72:HC103" si="310">HD72+HE72</f>
        <v>29.309876799999998</v>
      </c>
      <c r="HD72" s="311">
        <f t="shared" si="234"/>
        <v>22.090676799999997</v>
      </c>
      <c r="HE72" s="311">
        <f t="shared" ref="HE72:HE103" si="311">IFERROR($FI72*$CG72,0)</f>
        <v>7.219199999999999</v>
      </c>
      <c r="HF72" s="311">
        <f t="shared" ref="HF72:HF103" si="312">HG72+HH72</f>
        <v>197.27239583333335</v>
      </c>
      <c r="HG72" s="311">
        <f t="shared" si="235"/>
        <v>131.09639583333333</v>
      </c>
      <c r="HH72" s="311">
        <f t="shared" ref="HH72:HH103" si="313">IFERROR($FI72*$CH72,0)</f>
        <v>66.176000000000002</v>
      </c>
      <c r="HI72" s="311">
        <f t="shared" ref="HI72:HI103" si="314">HJ72+HK72</f>
        <v>59.050572000000003</v>
      </c>
      <c r="HJ72" s="311">
        <f t="shared" si="236"/>
        <v>41.002572000000001</v>
      </c>
      <c r="HK72" s="311">
        <f t="shared" ref="HK72:HK103" si="315">IFERROR($FI72*$CI72,0)</f>
        <v>18.047999999999998</v>
      </c>
      <c r="HL72" s="311">
        <f t="shared" ref="HL72:HL103" si="316">HM72+HN72</f>
        <v>97.910165000000006</v>
      </c>
      <c r="HM72" s="311">
        <f t="shared" si="237"/>
        <v>69.033365000000003</v>
      </c>
      <c r="HN72" s="311">
        <f t="shared" ref="HN72:HN103" si="317">IFERROR($FI72*$CJ72,0)</f>
        <v>28.876799999999996</v>
      </c>
      <c r="HO72" s="311">
        <f t="shared" ref="HO72:HO103" si="318">HP72+HQ72</f>
        <v>420.79669153846157</v>
      </c>
      <c r="HP72" s="311">
        <f t="shared" si="238"/>
        <v>294.46069153846156</v>
      </c>
      <c r="HQ72" s="311">
        <f t="shared" ref="HQ72:HQ103" si="319">IFERROR($FL72*$CN72,0)</f>
        <v>126.33599999999998</v>
      </c>
      <c r="HR72" s="311">
        <f t="shared" ref="HR72:HR103" si="320">HS72+HT72</f>
        <v>424.1748369230769</v>
      </c>
      <c r="HS72" s="311">
        <f t="shared" si="239"/>
        <v>261.74283692307688</v>
      </c>
      <c r="HT72" s="311">
        <f t="shared" ref="HT72:HT103" si="321">IFERROR($FL72*$CO72,0)</f>
        <v>162.43199999999999</v>
      </c>
      <c r="HU72" s="311">
        <f t="shared" ref="HU72:HU103" si="322">HV72+HW72</f>
        <v>208.09419000000003</v>
      </c>
      <c r="HV72" s="311">
        <f t="shared" si="240"/>
        <v>135.90219000000002</v>
      </c>
      <c r="HW72" s="311">
        <f t="shared" ref="HW72:HW103" si="323">IFERROR($FL72*$CP72,0)</f>
        <v>72.191999999999993</v>
      </c>
      <c r="HY72" s="313">
        <f t="shared" ref="HY72:HY103" si="324">SUM(HZ72:ID72)</f>
        <v>6749.9999999999991</v>
      </c>
      <c r="HZ72" s="313">
        <f t="shared" ref="HZ72:HZ103" si="325">IFERROR(IO72*BE72,0)+IFERROR(IY72*BF72,0)+IFERROR(JI72*BG72,0)+IFERROR(JS72*BH72,0)</f>
        <v>231.12</v>
      </c>
      <c r="IA72" s="313">
        <f t="shared" ref="IA72:IA103" si="326">IFERROR(IP72*BE72,0)+IFERROR(IZ72*BF72,0)+IFERROR(JJ72*BG72,0)+IFERROR(JT72*BH72,0)</f>
        <v>2865.69</v>
      </c>
      <c r="IB72" s="313">
        <f t="shared" ref="IB72:IB103" si="327">IFERROR(IQ72*BE72,0)+IFERROR(JA72*BF72,0)+IFERROR(JK72*BG72,0)+IFERROR(JU72*BH72,0)</f>
        <v>3245.58</v>
      </c>
      <c r="IC72" s="313">
        <f t="shared" ref="IC72:IC103" si="328">IFERROR(IR72*BE72,0)+IFERROR(JB72*BF72,0)+IFERROR(JL72*BG72,0)+IFERROR(JV72*BH72,0)</f>
        <v>407.61</v>
      </c>
      <c r="ID72" s="313">
        <f t="shared" ref="ID72:ID103" si="329">IFERROR(IS72*BE72,0)+IFERROR(JC72*BF72,0)+IFERROR(JM72*BG72,0)+IFERROR(JW72*BH72,0)</f>
        <v>0</v>
      </c>
      <c r="IE72" s="313">
        <f t="shared" ref="IE72:IE103" si="330">SUM(IF72:IJ72)</f>
        <v>1767.3737577201632</v>
      </c>
      <c r="IF72" s="313">
        <f t="shared" ref="IF72:IF103" si="331">IFERROR(IT72*FB72,0)+IFERROR(JD72*FE72,0)+IFERROR(JN72*FH72,0)+IFERROR(JX72*FK72,0)</f>
        <v>30.385736446474056</v>
      </c>
      <c r="IG72" s="313">
        <f t="shared" ref="IG72:IG103" si="332">IFERROR(IU72*FB72,0)+IFERROR(JE72*FE72,0)+IFERROR(JO72*FH72,0)+IFERROR(JY72*FK72,0)</f>
        <v>716.49659850340527</v>
      </c>
      <c r="IH72" s="313">
        <f t="shared" ref="IH72:IH103" si="333">IFERROR(IV72*FB72,0)+IFERROR(JF72*FE72,0)+IFERROR(JP72*FH72,0)+IFERROR(JZ72*FK72,0)</f>
        <v>877.19260598385745</v>
      </c>
      <c r="II72" s="313">
        <f t="shared" ref="II72:II103" si="334">IFERROR(IW72*FB72,0)+IFERROR(JG72*FE72,0)+IFERROR(JQ72*FH72,0)+IFERROR(KA72*FK72,0)</f>
        <v>136.58279650708971</v>
      </c>
      <c r="IJ72" s="313">
        <f t="shared" ref="IJ72:IJ103" si="335">IFERROR(IX72*FB72,0)+IFERROR(JH72*FE72,0)+IFERROR(JR72*FH72,0)+IFERROR(KB72*FK72,0)</f>
        <v>6.7160202793366199</v>
      </c>
      <c r="IK72" s="866">
        <v>4.1399999999999997</v>
      </c>
      <c r="IL72" s="314" t="s">
        <v>2589</v>
      </c>
      <c r="IM72" s="299" t="s">
        <v>3833</v>
      </c>
      <c r="IN72" s="657"/>
      <c r="IO72" s="730">
        <v>0.03</v>
      </c>
      <c r="IP72" s="730">
        <v>0.4</v>
      </c>
      <c r="IQ72" s="730">
        <v>0.5</v>
      </c>
      <c r="IR72" s="730">
        <v>7.0000000000000007E-2</v>
      </c>
      <c r="IS72" s="730">
        <v>0</v>
      </c>
      <c r="IT72" s="730">
        <v>1.26E-2</v>
      </c>
      <c r="IU72" s="730">
        <v>0.37880000000000003</v>
      </c>
      <c r="IV72" s="730">
        <v>0.51739999999999997</v>
      </c>
      <c r="IW72" s="730">
        <v>8.7400000000000005E-2</v>
      </c>
      <c r="IX72" s="730">
        <v>3.8E-3</v>
      </c>
      <c r="IY72" s="730">
        <v>0</v>
      </c>
      <c r="IZ72" s="730">
        <v>0</v>
      </c>
      <c r="JA72" s="730">
        <v>0</v>
      </c>
      <c r="JB72" s="730">
        <v>0</v>
      </c>
      <c r="JC72" s="730">
        <v>0</v>
      </c>
      <c r="JD72" s="730">
        <v>0</v>
      </c>
      <c r="JE72" s="730">
        <v>0</v>
      </c>
      <c r="JF72" s="730">
        <v>0</v>
      </c>
      <c r="JG72" s="730">
        <v>0</v>
      </c>
      <c r="JH72" s="730">
        <v>0</v>
      </c>
      <c r="JI72" s="730">
        <v>5.3999999999999999E-2</v>
      </c>
      <c r="JJ72" s="730">
        <v>0.53969999999999996</v>
      </c>
      <c r="JK72" s="730">
        <v>0.37480000000000002</v>
      </c>
      <c r="JL72" s="730">
        <v>3.15E-2</v>
      </c>
      <c r="JM72" s="730">
        <v>0</v>
      </c>
      <c r="JN72" s="730">
        <v>3.6600000000000001E-2</v>
      </c>
      <c r="JO72" s="730">
        <v>0.51849999999999996</v>
      </c>
      <c r="JP72" s="730">
        <v>0.39219999999999999</v>
      </c>
      <c r="JQ72" s="730">
        <v>4.8899999999999999E-2</v>
      </c>
      <c r="JR72" s="730">
        <v>3.8E-3</v>
      </c>
      <c r="JS72" s="730">
        <v>3.2599999999999997E-2</v>
      </c>
      <c r="JT72" s="730">
        <v>0.4148</v>
      </c>
      <c r="JU72" s="730">
        <v>0.49380000000000002</v>
      </c>
      <c r="JV72" s="730">
        <v>5.8799999999999998E-2</v>
      </c>
      <c r="JW72" s="730">
        <v>0</v>
      </c>
      <c r="JX72" s="730">
        <v>1.52E-2</v>
      </c>
      <c r="JY72" s="730">
        <v>0.39360000000000001</v>
      </c>
      <c r="JZ72" s="730">
        <v>0.51119999999999999</v>
      </c>
      <c r="KA72" s="730">
        <v>7.6200000000000004E-2</v>
      </c>
      <c r="KB72" s="730">
        <v>3.8E-3</v>
      </c>
      <c r="KC72" s="657"/>
      <c r="KD72" s="314" t="s">
        <v>2590</v>
      </c>
      <c r="KE72" s="314" t="s">
        <v>2590</v>
      </c>
      <c r="KF72" s="866">
        <v>4.17</v>
      </c>
      <c r="KG72" s="314" t="s">
        <v>2589</v>
      </c>
      <c r="KH72" s="315" t="s">
        <v>3765</v>
      </c>
      <c r="KI72" s="314" t="s">
        <v>2659</v>
      </c>
      <c r="KJ72" s="315" t="s">
        <v>3834</v>
      </c>
    </row>
    <row r="73" spans="1:296" ht="48" hidden="1" customHeight="1">
      <c r="A73" s="265">
        <f t="shared" ref="A73:A104" si="336">A72+1</f>
        <v>66</v>
      </c>
      <c r="B73" s="266" t="s">
        <v>3662</v>
      </c>
      <c r="C73" s="266" t="s">
        <v>1337</v>
      </c>
      <c r="D73" s="624" t="s">
        <v>3835</v>
      </c>
      <c r="E73" s="267" t="s">
        <v>3836</v>
      </c>
      <c r="F73" s="267" t="s">
        <v>3009</v>
      </c>
      <c r="G73" s="267" t="s">
        <v>300</v>
      </c>
      <c r="H73" s="267" t="s">
        <v>2109</v>
      </c>
      <c r="I73" s="268" t="s">
        <v>3837</v>
      </c>
      <c r="J73" s="268" t="s">
        <v>3838</v>
      </c>
      <c r="K73" s="269" t="s">
        <v>2097</v>
      </c>
      <c r="L73" s="269" t="s">
        <v>2109</v>
      </c>
      <c r="M73" s="269" t="s">
        <v>2603</v>
      </c>
      <c r="N73" s="269" t="s">
        <v>2099</v>
      </c>
      <c r="O73" s="267" t="s">
        <v>2616</v>
      </c>
      <c r="P73" s="268"/>
      <c r="Q73" s="270">
        <v>1</v>
      </c>
      <c r="R73" s="271">
        <v>280</v>
      </c>
      <c r="S73" s="272">
        <v>350</v>
      </c>
      <c r="T73" s="272">
        <v>400</v>
      </c>
      <c r="U73" s="272">
        <v>450</v>
      </c>
      <c r="V73" s="272">
        <v>500</v>
      </c>
      <c r="W73" s="272">
        <v>510</v>
      </c>
      <c r="X73" s="272">
        <v>520</v>
      </c>
      <c r="Y73" s="272">
        <v>530</v>
      </c>
      <c r="Z73" s="272">
        <v>540</v>
      </c>
      <c r="AA73" s="272">
        <v>500</v>
      </c>
      <c r="AB73" s="272">
        <v>515</v>
      </c>
      <c r="AC73" s="272">
        <v>530</v>
      </c>
      <c r="AD73" s="272">
        <v>540</v>
      </c>
      <c r="AE73" s="272">
        <v>545</v>
      </c>
      <c r="AF73" s="272">
        <v>550</v>
      </c>
      <c r="AG73" s="272">
        <v>555</v>
      </c>
      <c r="AH73" s="272">
        <v>560</v>
      </c>
      <c r="AI73" s="272">
        <v>565</v>
      </c>
      <c r="AJ73" s="272">
        <v>570</v>
      </c>
      <c r="AK73" s="272">
        <v>575</v>
      </c>
      <c r="AL73" s="268" t="s">
        <v>3839</v>
      </c>
      <c r="AM73" s="268" t="s">
        <v>3840</v>
      </c>
      <c r="AN73" s="268" t="s">
        <v>3841</v>
      </c>
      <c r="AO73" s="657"/>
      <c r="AP73" s="271">
        <v>80</v>
      </c>
      <c r="AQ73" s="280">
        <v>71</v>
      </c>
      <c r="AR73" s="280">
        <v>6</v>
      </c>
      <c r="AS73" s="280">
        <v>3</v>
      </c>
      <c r="AT73" s="657"/>
      <c r="AU73" s="301" t="s">
        <v>3723</v>
      </c>
      <c r="AV73" s="572" t="s">
        <v>3842</v>
      </c>
      <c r="AW73" s="645" t="s">
        <v>3843</v>
      </c>
      <c r="AX73" s="290" t="s">
        <v>2609</v>
      </c>
      <c r="AY73" s="657"/>
      <c r="AZ73" s="948">
        <v>2</v>
      </c>
      <c r="BA73" s="948">
        <v>0.2</v>
      </c>
      <c r="BB73" s="948">
        <v>0.5</v>
      </c>
      <c r="BC73" s="948">
        <v>2</v>
      </c>
      <c r="BD73" s="825">
        <f t="shared" si="241"/>
        <v>2585</v>
      </c>
      <c r="BE73" s="304">
        <f t="shared" si="242"/>
        <v>1100</v>
      </c>
      <c r="BF73" s="304">
        <f t="shared" si="243"/>
        <v>110</v>
      </c>
      <c r="BG73" s="304">
        <f t="shared" si="244"/>
        <v>275</v>
      </c>
      <c r="BH73" s="304">
        <f t="shared" si="245"/>
        <v>1100</v>
      </c>
      <c r="BI73" s="825">
        <f t="shared" si="246"/>
        <v>2702.5</v>
      </c>
      <c r="BJ73" s="304">
        <f t="shared" si="247"/>
        <v>1150</v>
      </c>
      <c r="BK73" s="304">
        <f t="shared" si="248"/>
        <v>115</v>
      </c>
      <c r="BL73" s="304">
        <f t="shared" si="249"/>
        <v>287.5</v>
      </c>
      <c r="BM73" s="304">
        <f t="shared" si="250"/>
        <v>1150</v>
      </c>
      <c r="BN73" s="657"/>
      <c r="BO73" s="284">
        <v>0.12</v>
      </c>
      <c r="BP73" s="284">
        <v>0.72</v>
      </c>
      <c r="BQ73" s="284">
        <v>0.03</v>
      </c>
      <c r="BR73" s="710">
        <v>0.13</v>
      </c>
      <c r="BS73" s="707">
        <v>0.11</v>
      </c>
      <c r="BT73" s="284">
        <v>0.73</v>
      </c>
      <c r="BU73" s="284">
        <v>0.04</v>
      </c>
      <c r="BV73" s="710">
        <v>0.12</v>
      </c>
      <c r="BW73" s="714">
        <v>0.7</v>
      </c>
      <c r="BX73" s="285">
        <v>0.25</v>
      </c>
      <c r="BY73" s="717">
        <v>0.05</v>
      </c>
      <c r="BZ73" s="714">
        <v>0.65</v>
      </c>
      <c r="CA73" s="285">
        <v>0.28000000000000003</v>
      </c>
      <c r="CB73" s="717">
        <v>7.0000000000000007E-2</v>
      </c>
      <c r="CC73" s="284">
        <v>0.18</v>
      </c>
      <c r="CD73" s="284">
        <v>0.52</v>
      </c>
      <c r="CE73" s="284">
        <v>0.06</v>
      </c>
      <c r="CF73" s="710">
        <v>0.24</v>
      </c>
      <c r="CG73" s="707">
        <v>0.16</v>
      </c>
      <c r="CH73" s="284">
        <v>0.52</v>
      </c>
      <c r="CI73" s="284">
        <v>0.08</v>
      </c>
      <c r="CJ73" s="710">
        <v>0.24</v>
      </c>
      <c r="CK73" s="720">
        <v>0.8</v>
      </c>
      <c r="CL73" s="286">
        <v>0.15</v>
      </c>
      <c r="CM73" s="718">
        <v>0.05</v>
      </c>
      <c r="CN73" s="720">
        <v>0.72</v>
      </c>
      <c r="CO73" s="286">
        <v>0.18</v>
      </c>
      <c r="CP73" s="718">
        <v>0.1</v>
      </c>
      <c r="CQ73" s="657"/>
      <c r="CR73" s="807">
        <v>12</v>
      </c>
      <c r="CS73" s="808">
        <v>12</v>
      </c>
      <c r="CT73" s="808">
        <v>9</v>
      </c>
      <c r="CU73" s="809">
        <v>11</v>
      </c>
      <c r="CV73" s="807">
        <v>10</v>
      </c>
      <c r="CW73" s="808">
        <v>10</v>
      </c>
      <c r="CX73" s="809">
        <v>8</v>
      </c>
      <c r="CY73" s="807">
        <v>10</v>
      </c>
      <c r="CZ73" s="808">
        <v>11</v>
      </c>
      <c r="DA73" s="808">
        <v>8</v>
      </c>
      <c r="DB73" s="809">
        <v>9</v>
      </c>
      <c r="DC73" s="807">
        <v>11</v>
      </c>
      <c r="DD73" s="808">
        <v>11</v>
      </c>
      <c r="DE73" s="809">
        <v>9</v>
      </c>
      <c r="DF73" s="610" t="s">
        <v>3844</v>
      </c>
      <c r="DG73" s="657"/>
      <c r="DH73" s="288">
        <f t="shared" si="251"/>
        <v>132</v>
      </c>
      <c r="DI73" s="288">
        <f t="shared" si="252"/>
        <v>792</v>
      </c>
      <c r="DJ73" s="288">
        <f t="shared" si="253"/>
        <v>33</v>
      </c>
      <c r="DK73" s="288">
        <f t="shared" si="254"/>
        <v>143</v>
      </c>
      <c r="DL73" s="560" t="s">
        <v>3845</v>
      </c>
      <c r="DM73" s="288">
        <f t="shared" si="255"/>
        <v>126.5</v>
      </c>
      <c r="DN73" s="288">
        <f t="shared" si="256"/>
        <v>839.5</v>
      </c>
      <c r="DO73" s="288">
        <f t="shared" si="257"/>
        <v>46</v>
      </c>
      <c r="DP73" s="288">
        <f t="shared" si="258"/>
        <v>138</v>
      </c>
      <c r="DQ73" s="561" t="s">
        <v>3673</v>
      </c>
      <c r="DR73" s="657"/>
      <c r="DS73" s="288">
        <f t="shared" si="259"/>
        <v>77</v>
      </c>
      <c r="DT73" s="288">
        <f t="shared" si="260"/>
        <v>27.5</v>
      </c>
      <c r="DU73" s="288">
        <f t="shared" si="261"/>
        <v>5.5</v>
      </c>
      <c r="DV73" s="561" t="s">
        <v>3846</v>
      </c>
      <c r="DW73" s="288">
        <f t="shared" si="262"/>
        <v>74.75</v>
      </c>
      <c r="DX73" s="288">
        <f t="shared" si="263"/>
        <v>32.200000000000003</v>
      </c>
      <c r="DY73" s="288">
        <f t="shared" si="264"/>
        <v>8.0500000000000007</v>
      </c>
      <c r="DZ73" s="561" t="s">
        <v>3728</v>
      </c>
      <c r="EA73" s="657"/>
      <c r="EB73" s="288">
        <f t="shared" si="265"/>
        <v>49.5</v>
      </c>
      <c r="EC73" s="288">
        <f t="shared" si="266"/>
        <v>143</v>
      </c>
      <c r="ED73" s="288">
        <f t="shared" si="267"/>
        <v>16.5</v>
      </c>
      <c r="EE73" s="288">
        <f t="shared" si="268"/>
        <v>66</v>
      </c>
      <c r="EF73" s="561" t="s">
        <v>3847</v>
      </c>
      <c r="EG73" s="288">
        <f t="shared" si="269"/>
        <v>46</v>
      </c>
      <c r="EH73" s="288">
        <f t="shared" si="270"/>
        <v>149.5</v>
      </c>
      <c r="EI73" s="288">
        <f t="shared" si="271"/>
        <v>23</v>
      </c>
      <c r="EJ73" s="288">
        <f t="shared" si="272"/>
        <v>69</v>
      </c>
      <c r="EK73" s="561" t="s">
        <v>3675</v>
      </c>
      <c r="EL73" s="657"/>
      <c r="EM73" s="288">
        <f t="shared" si="273"/>
        <v>880</v>
      </c>
      <c r="EN73" s="291">
        <f t="shared" si="274"/>
        <v>165</v>
      </c>
      <c r="EO73" s="291">
        <f t="shared" si="275"/>
        <v>55</v>
      </c>
      <c r="EP73" s="561" t="s">
        <v>3848</v>
      </c>
      <c r="EQ73" s="288">
        <f t="shared" si="276"/>
        <v>828</v>
      </c>
      <c r="ER73" s="291">
        <f t="shared" si="277"/>
        <v>207</v>
      </c>
      <c r="ES73" s="291">
        <f t="shared" si="278"/>
        <v>115</v>
      </c>
      <c r="ET73" s="561" t="s">
        <v>3677</v>
      </c>
      <c r="EU73" s="657"/>
      <c r="EV73" s="740">
        <f t="shared" si="279"/>
        <v>0.74909478345985037</v>
      </c>
      <c r="EW73" s="740">
        <f t="shared" si="280"/>
        <v>0.25090521654014969</v>
      </c>
      <c r="EX73" s="563">
        <f t="shared" si="281"/>
        <v>1143.3369299999999</v>
      </c>
      <c r="EY73" s="563">
        <f t="shared" si="282"/>
        <v>856.46773000000007</v>
      </c>
      <c r="EZ73" s="563">
        <f t="shared" si="283"/>
        <v>286.86919999999998</v>
      </c>
      <c r="FA73" s="563">
        <f t="shared" si="284"/>
        <v>460.0193665454546</v>
      </c>
      <c r="FB73" s="563">
        <f t="shared" si="285"/>
        <v>337.9473665454546</v>
      </c>
      <c r="FC73" s="563">
        <f t="shared" si="286"/>
        <v>122.07199999999999</v>
      </c>
      <c r="FD73" s="563">
        <f t="shared" si="287"/>
        <v>53.579556500000002</v>
      </c>
      <c r="FE73" s="563">
        <f t="shared" si="288"/>
        <v>41.372356500000002</v>
      </c>
      <c r="FF73" s="563">
        <f t="shared" si="289"/>
        <v>12.2072</v>
      </c>
      <c r="FG73" s="563">
        <f t="shared" si="290"/>
        <v>132.15967604545455</v>
      </c>
      <c r="FH73" s="563">
        <f t="shared" si="291"/>
        <v>101.64167604545455</v>
      </c>
      <c r="FI73" s="563">
        <f t="shared" si="292"/>
        <v>30.517999999999997</v>
      </c>
      <c r="FJ73" s="563">
        <f t="shared" si="293"/>
        <v>497.57833090909099</v>
      </c>
      <c r="FK73" s="563">
        <f t="shared" si="294"/>
        <v>375.50633090909099</v>
      </c>
      <c r="FL73" s="563">
        <f t="shared" si="295"/>
        <v>122.07199999999999</v>
      </c>
      <c r="FM73" s="529"/>
      <c r="FN73" s="564" t="s">
        <v>2649</v>
      </c>
      <c r="FO73" s="740">
        <v>6.5519999999999995E-2</v>
      </c>
      <c r="FP73" s="741">
        <v>0.78552</v>
      </c>
      <c r="FQ73" s="565" t="s">
        <v>3849</v>
      </c>
      <c r="FR73" s="529"/>
      <c r="FS73" s="867">
        <v>3.07</v>
      </c>
      <c r="FT73" s="566">
        <f>RANK($FS73,$FS$8:$FS$154,0)+COUNTIF($FS$8:$FS73,$FS73)-1</f>
        <v>103</v>
      </c>
      <c r="FU73" s="867">
        <v>3.78</v>
      </c>
      <c r="FV73" s="566">
        <f>RANK($FU73,$FU$8:$FU$154,0)+COUNTIF($FU$8:$FU73,$FU73)-1</f>
        <v>111</v>
      </c>
      <c r="FW73" s="867">
        <v>2.2000000000000002</v>
      </c>
      <c r="FX73" s="566">
        <f>RANK($FW73,$FW$8:$FW$154,0)+COUNTIF($FW$8:$FW73,$FW73)-1</f>
        <v>70</v>
      </c>
      <c r="FY73" s="529"/>
      <c r="FZ73" s="567" t="s">
        <v>3850</v>
      </c>
      <c r="GA73" s="567" t="s">
        <v>3851</v>
      </c>
      <c r="GB73" s="567" t="s">
        <v>3852</v>
      </c>
      <c r="GC73" s="567" t="s">
        <v>3853</v>
      </c>
      <c r="GD73" s="567" t="s">
        <v>3854</v>
      </c>
      <c r="GE73" s="567" t="s">
        <v>3855</v>
      </c>
      <c r="GF73" s="567" t="str">
        <f>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amp;CHAR(10)&amp;HYPERLINK("https://www.atout-france.fr/fr/catalogue/etudes-publications/investissements-touristiques-et-developpement-des-territoires-en-1","https://www.atout-france.fr/fr/catalogue/etudes-publications/investissements-touristiques-et-developpement-des-territoires-en-1")&amp;CHAR(10)&amp;HYPERLINK("https://www.atout-france.fr/fr/actualites/investissements-touristiques-vers-un-nouveau-cycle-plus-selectif-et-durable","https://www.atout-france.fr/fr/actualites/investissements-touristiques-vers-un-nouveau-cycle-plus-selectif-et-durable")&amp;CHAR(10)&amp;HYPERLINK("https://www.atout-france.fr/fr/actualites/bilan-touristique-de-lannee-2025-avec-102-millions-de-visiteurs-la-france-pays-le-plus","https://www.atout-france.fr/fr/actualites/bilan-touristique-de-lannee-2025-avec-102-millions-de-visiteurs-la-france-pays-le-plus")</f>
        <v>https://www.statistiques.developpement-durable.gouv.fr/construction-de-locaux-resultats-fin-janvier-2026-france-entiere
https://www.insee.fr/fr/statistiques/8671745
https://www.insee.fr/fr/statistiques/8906564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v>
      </c>
      <c r="GG73" s="529"/>
      <c r="GH73" s="563">
        <f t="shared" si="296"/>
        <v>52.861024</v>
      </c>
      <c r="GI73" s="563">
        <f t="shared" si="227"/>
        <v>39.433104</v>
      </c>
      <c r="GJ73" s="563">
        <f t="shared" si="297"/>
        <v>13.427919999999999</v>
      </c>
      <c r="GK73" s="563">
        <f t="shared" si="298"/>
        <v>325.711184</v>
      </c>
      <c r="GL73" s="563">
        <f t="shared" si="228"/>
        <v>236.59862400000003</v>
      </c>
      <c r="GM73" s="563">
        <f t="shared" si="299"/>
        <v>89.112559999999988</v>
      </c>
      <c r="GN73" s="563">
        <f t="shared" si="300"/>
        <v>18.524743999999998</v>
      </c>
      <c r="GO73" s="563">
        <f t="shared" si="229"/>
        <v>13.641863999999998</v>
      </c>
      <c r="GP73" s="563">
        <f t="shared" si="301"/>
        <v>4.8828799999999992</v>
      </c>
      <c r="GQ73" s="563">
        <f t="shared" si="302"/>
        <v>62.922414545454551</v>
      </c>
      <c r="GR73" s="563">
        <f t="shared" si="230"/>
        <v>48.27377454545455</v>
      </c>
      <c r="GS73" s="563">
        <f t="shared" si="303"/>
        <v>14.648639999999999</v>
      </c>
      <c r="GT73" s="563">
        <f t="shared" si="304"/>
        <v>36.527608000000001</v>
      </c>
      <c r="GU73" s="563">
        <f t="shared" si="231"/>
        <v>28.592927999999997</v>
      </c>
      <c r="GV73" s="563">
        <f t="shared" si="305"/>
        <v>7.9346800000000002</v>
      </c>
      <c r="GW73" s="563">
        <f t="shared" si="306"/>
        <v>13.629776</v>
      </c>
      <c r="GX73" s="563">
        <f t="shared" si="232"/>
        <v>10.21176</v>
      </c>
      <c r="GY73" s="563">
        <f t="shared" si="307"/>
        <v>3.4180160000000006</v>
      </c>
      <c r="GZ73" s="563">
        <f t="shared" si="308"/>
        <v>3.4221725000000003</v>
      </c>
      <c r="HA73" s="563">
        <f t="shared" si="233"/>
        <v>2.5676685000000004</v>
      </c>
      <c r="HB73" s="563">
        <f t="shared" si="309"/>
        <v>0.85450400000000015</v>
      </c>
      <c r="HC73" s="563">
        <f t="shared" si="310"/>
        <v>23.264047999999999</v>
      </c>
      <c r="HD73" s="563">
        <f t="shared" si="234"/>
        <v>18.381167999999999</v>
      </c>
      <c r="HE73" s="563">
        <f t="shared" si="311"/>
        <v>4.8828799999999992</v>
      </c>
      <c r="HF73" s="563">
        <f t="shared" si="312"/>
        <v>64.143134545454544</v>
      </c>
      <c r="HG73" s="563">
        <f t="shared" si="235"/>
        <v>48.27377454545455</v>
      </c>
      <c r="HH73" s="563">
        <f t="shared" si="313"/>
        <v>15.869359999999999</v>
      </c>
      <c r="HI73" s="563">
        <f t="shared" si="314"/>
        <v>10.1444455</v>
      </c>
      <c r="HJ73" s="563">
        <f t="shared" si="236"/>
        <v>7.7030054999999997</v>
      </c>
      <c r="HK73" s="563">
        <f t="shared" si="315"/>
        <v>2.4414399999999996</v>
      </c>
      <c r="HL73" s="563">
        <f t="shared" si="316"/>
        <v>34.608047999999997</v>
      </c>
      <c r="HM73" s="563">
        <f t="shared" si="237"/>
        <v>27.283727999999996</v>
      </c>
      <c r="HN73" s="563">
        <f t="shared" si="317"/>
        <v>7.3243199999999993</v>
      </c>
      <c r="HO73" s="563">
        <f t="shared" si="318"/>
        <v>384.96122181818185</v>
      </c>
      <c r="HP73" s="563">
        <f t="shared" si="238"/>
        <v>297.06938181818185</v>
      </c>
      <c r="HQ73" s="563">
        <f t="shared" si="319"/>
        <v>87.891839999999988</v>
      </c>
      <c r="HR73" s="563">
        <f t="shared" si="320"/>
        <v>77.673469090909094</v>
      </c>
      <c r="HS73" s="563">
        <f t="shared" si="239"/>
        <v>55.700509090909101</v>
      </c>
      <c r="HT73" s="563">
        <f t="shared" si="321"/>
        <v>21.972959999999997</v>
      </c>
      <c r="HU73" s="563">
        <f t="shared" si="322"/>
        <v>34.943640000000002</v>
      </c>
      <c r="HV73" s="563">
        <f t="shared" si="240"/>
        <v>22.736439999999998</v>
      </c>
      <c r="HW73" s="563">
        <f t="shared" si="323"/>
        <v>12.2072</v>
      </c>
      <c r="HX73" s="544"/>
      <c r="HY73" s="568">
        <f t="shared" si="324"/>
        <v>2584.9999999999995</v>
      </c>
      <c r="HZ73" s="568">
        <f t="shared" si="325"/>
        <v>834.38300000000004</v>
      </c>
      <c r="IA73" s="568">
        <f t="shared" si="326"/>
        <v>1594.4994999999999</v>
      </c>
      <c r="IB73" s="568">
        <f t="shared" si="327"/>
        <v>156.11750000000001</v>
      </c>
      <c r="IC73" s="568">
        <f t="shared" si="328"/>
        <v>0</v>
      </c>
      <c r="ID73" s="568">
        <f t="shared" si="329"/>
        <v>0</v>
      </c>
      <c r="IE73" s="568">
        <f t="shared" si="330"/>
        <v>856.46773000000019</v>
      </c>
      <c r="IF73" s="568">
        <f t="shared" si="331"/>
        <v>148.79007898304548</v>
      </c>
      <c r="IG73" s="568">
        <f t="shared" si="332"/>
        <v>568.2008250587819</v>
      </c>
      <c r="IH73" s="568">
        <f t="shared" si="333"/>
        <v>139.47682595817275</v>
      </c>
      <c r="II73" s="568">
        <f t="shared" si="334"/>
        <v>0</v>
      </c>
      <c r="IJ73" s="568">
        <f t="shared" si="335"/>
        <v>0</v>
      </c>
      <c r="IK73" s="868">
        <v>3.55</v>
      </c>
      <c r="IL73" s="569" t="s">
        <v>2780</v>
      </c>
      <c r="IM73" s="570" t="s">
        <v>3856</v>
      </c>
      <c r="IN73" s="529"/>
      <c r="IO73" s="742">
        <v>0.29520000000000002</v>
      </c>
      <c r="IP73" s="742">
        <v>0.63419999999999999</v>
      </c>
      <c r="IQ73" s="742">
        <v>7.0599999999999996E-2</v>
      </c>
      <c r="IR73" s="742">
        <v>0</v>
      </c>
      <c r="IS73" s="742">
        <v>0</v>
      </c>
      <c r="IT73" s="742">
        <v>0.15290000000000001</v>
      </c>
      <c r="IU73" s="742">
        <v>0.66359999999999997</v>
      </c>
      <c r="IV73" s="742">
        <v>0.1835</v>
      </c>
      <c r="IW73" s="742">
        <v>0</v>
      </c>
      <c r="IX73" s="742">
        <v>0</v>
      </c>
      <c r="IY73" s="742">
        <v>0.37480000000000002</v>
      </c>
      <c r="IZ73" s="742">
        <v>0.58520000000000005</v>
      </c>
      <c r="JA73" s="742">
        <v>0.04</v>
      </c>
      <c r="JB73" s="742">
        <v>0</v>
      </c>
      <c r="JC73" s="742">
        <v>0</v>
      </c>
      <c r="JD73" s="742">
        <v>0.20680000000000001</v>
      </c>
      <c r="JE73" s="742">
        <v>0.6663</v>
      </c>
      <c r="JF73" s="742">
        <v>0.12690000000000001</v>
      </c>
      <c r="JG73" s="742">
        <v>0</v>
      </c>
      <c r="JH73" s="742">
        <v>0</v>
      </c>
      <c r="JI73" s="742">
        <v>0.44619999999999999</v>
      </c>
      <c r="JJ73" s="742">
        <v>0.53249999999999997</v>
      </c>
      <c r="JK73" s="742">
        <v>2.1299999999999999E-2</v>
      </c>
      <c r="JL73" s="742">
        <v>0</v>
      </c>
      <c r="JM73" s="742">
        <v>0</v>
      </c>
      <c r="JN73" s="742">
        <v>0.26100000000000001</v>
      </c>
      <c r="JO73" s="742">
        <v>0.65029999999999999</v>
      </c>
      <c r="JP73" s="742">
        <v>8.8700000000000001E-2</v>
      </c>
      <c r="JQ73" s="742">
        <v>0</v>
      </c>
      <c r="JR73" s="742">
        <v>0</v>
      </c>
      <c r="JS73" s="742">
        <v>0.31430000000000002</v>
      </c>
      <c r="JT73" s="742">
        <v>0.62370000000000003</v>
      </c>
      <c r="JU73" s="742">
        <v>6.2E-2</v>
      </c>
      <c r="JV73" s="742">
        <v>0</v>
      </c>
      <c r="JW73" s="742">
        <v>0</v>
      </c>
      <c r="JX73" s="742">
        <v>0.16520000000000001</v>
      </c>
      <c r="JY73" s="742">
        <v>0.66649999999999998</v>
      </c>
      <c r="JZ73" s="742">
        <v>0.16830000000000001</v>
      </c>
      <c r="KA73" s="742">
        <v>0</v>
      </c>
      <c r="KB73" s="742">
        <v>0</v>
      </c>
      <c r="KC73" s="657"/>
      <c r="KD73" s="832" t="s">
        <v>2591</v>
      </c>
      <c r="KE73" s="832" t="s">
        <v>2625</v>
      </c>
      <c r="KF73" s="869">
        <v>2.8</v>
      </c>
      <c r="KG73" s="832" t="s">
        <v>2616</v>
      </c>
      <c r="KH73" s="833" t="s">
        <v>3857</v>
      </c>
      <c r="KI73" s="832" t="s">
        <v>3858</v>
      </c>
      <c r="KJ73" s="833" t="s">
        <v>3856</v>
      </c>
    </row>
    <row r="74" spans="1:296" ht="48" hidden="1" customHeight="1">
      <c r="A74" s="273">
        <f t="shared" si="336"/>
        <v>67</v>
      </c>
      <c r="B74" s="274" t="s">
        <v>3662</v>
      </c>
      <c r="C74" s="274" t="s">
        <v>1114</v>
      </c>
      <c r="D74" s="274" t="s">
        <v>3860</v>
      </c>
      <c r="E74" s="275" t="s">
        <v>3861</v>
      </c>
      <c r="F74" s="275" t="s">
        <v>300</v>
      </c>
      <c r="G74" s="275" t="s">
        <v>2631</v>
      </c>
      <c r="H74" s="275" t="s">
        <v>2109</v>
      </c>
      <c r="I74" s="276" t="s">
        <v>3859</v>
      </c>
      <c r="J74" s="276" t="s">
        <v>3862</v>
      </c>
      <c r="K74" s="277"/>
      <c r="L74" s="277"/>
      <c r="M74" s="277"/>
      <c r="N74" s="277"/>
      <c r="O74" s="275"/>
      <c r="P74" s="276"/>
      <c r="Q74" s="270">
        <v>1</v>
      </c>
      <c r="R74" s="278">
        <v>180</v>
      </c>
      <c r="S74" s="279">
        <v>3600</v>
      </c>
      <c r="T74" s="279">
        <v>3300</v>
      </c>
      <c r="U74" s="279">
        <v>3000</v>
      </c>
      <c r="V74" s="279">
        <v>2400</v>
      </c>
      <c r="W74" s="279">
        <v>2200</v>
      </c>
      <c r="X74" s="279">
        <v>1900</v>
      </c>
      <c r="Y74" s="279">
        <v>1700</v>
      </c>
      <c r="Z74" s="279">
        <v>1500</v>
      </c>
      <c r="AA74" s="279">
        <v>1300</v>
      </c>
      <c r="AB74" s="279">
        <v>1200</v>
      </c>
      <c r="AC74" s="279">
        <v>1150</v>
      </c>
      <c r="AD74" s="279">
        <v>1100</v>
      </c>
      <c r="AE74" s="279">
        <v>950</v>
      </c>
      <c r="AF74" s="279">
        <v>925</v>
      </c>
      <c r="AG74" s="279">
        <v>900</v>
      </c>
      <c r="AH74" s="279">
        <v>880</v>
      </c>
      <c r="AI74" s="279">
        <v>860</v>
      </c>
      <c r="AJ74" s="279">
        <v>840</v>
      </c>
      <c r="AK74" s="279">
        <v>820</v>
      </c>
      <c r="AL74" s="276" t="s">
        <v>3863</v>
      </c>
      <c r="AM74" s="276" t="s">
        <v>3864</v>
      </c>
      <c r="AN74" s="276" t="s">
        <v>3865</v>
      </c>
      <c r="AO74" s="657"/>
      <c r="AP74" s="278">
        <v>35</v>
      </c>
      <c r="AQ74" s="278">
        <v>25</v>
      </c>
      <c r="AR74" s="278">
        <v>6</v>
      </c>
      <c r="AS74" s="278">
        <v>4</v>
      </c>
      <c r="AT74" s="657"/>
      <c r="AU74" s="281" t="s">
        <v>3866</v>
      </c>
      <c r="AV74" s="296" t="s">
        <v>3867</v>
      </c>
      <c r="AW74" s="296" t="s">
        <v>3868</v>
      </c>
      <c r="AX74" s="276" t="s">
        <v>2670</v>
      </c>
      <c r="AY74" s="657"/>
      <c r="AZ74" s="947">
        <v>1.2</v>
      </c>
      <c r="BA74" s="947">
        <v>0</v>
      </c>
      <c r="BB74" s="947">
        <v>0.1</v>
      </c>
      <c r="BC74" s="947">
        <v>1.5</v>
      </c>
      <c r="BD74" s="826">
        <f t="shared" si="241"/>
        <v>2590</v>
      </c>
      <c r="BE74" s="283">
        <f t="shared" si="242"/>
        <v>1110</v>
      </c>
      <c r="BF74" s="283">
        <f t="shared" si="243"/>
        <v>0</v>
      </c>
      <c r="BG74" s="283">
        <f t="shared" si="244"/>
        <v>92.5</v>
      </c>
      <c r="BH74" s="283">
        <f t="shared" si="245"/>
        <v>1387.5</v>
      </c>
      <c r="BI74" s="826">
        <f t="shared" si="246"/>
        <v>2296</v>
      </c>
      <c r="BJ74" s="283">
        <f t="shared" si="247"/>
        <v>984</v>
      </c>
      <c r="BK74" s="283">
        <f t="shared" si="248"/>
        <v>0</v>
      </c>
      <c r="BL74" s="283">
        <f t="shared" si="249"/>
        <v>82</v>
      </c>
      <c r="BM74" s="283">
        <f t="shared" si="250"/>
        <v>1230</v>
      </c>
      <c r="BN74" s="657"/>
      <c r="BO74" s="305">
        <v>0.25</v>
      </c>
      <c r="BP74" s="305">
        <v>0.62</v>
      </c>
      <c r="BQ74" s="305">
        <v>0.08</v>
      </c>
      <c r="BR74" s="581">
        <v>0.05</v>
      </c>
      <c r="BS74" s="706">
        <v>0.22</v>
      </c>
      <c r="BT74" s="305">
        <v>0.62</v>
      </c>
      <c r="BU74" s="305">
        <v>0.11</v>
      </c>
      <c r="BV74" s="581">
        <v>0.05</v>
      </c>
      <c r="BW74" s="713"/>
      <c r="BX74" s="306"/>
      <c r="BY74" s="590"/>
      <c r="BZ74" s="713"/>
      <c r="CA74" s="306"/>
      <c r="CB74" s="590"/>
      <c r="CC74" s="706">
        <v>0.08</v>
      </c>
      <c r="CD74" s="305">
        <v>0.55000000000000004</v>
      </c>
      <c r="CE74" s="305">
        <v>0.12</v>
      </c>
      <c r="CF74" s="581">
        <v>0.25</v>
      </c>
      <c r="CG74" s="706">
        <v>0.06</v>
      </c>
      <c r="CH74" s="305">
        <v>0.55000000000000004</v>
      </c>
      <c r="CI74" s="305">
        <v>0.15</v>
      </c>
      <c r="CJ74" s="581">
        <v>0.24</v>
      </c>
      <c r="CK74" s="719">
        <v>0.45</v>
      </c>
      <c r="CL74" s="307">
        <v>0.4</v>
      </c>
      <c r="CM74" s="723">
        <v>0.15</v>
      </c>
      <c r="CN74" s="719">
        <v>0.35</v>
      </c>
      <c r="CO74" s="307">
        <v>0.45</v>
      </c>
      <c r="CP74" s="723">
        <v>0.2</v>
      </c>
      <c r="CQ74" s="657"/>
      <c r="CR74" s="804">
        <v>12</v>
      </c>
      <c r="CS74" s="805">
        <v>13</v>
      </c>
      <c r="CT74" s="805">
        <v>9</v>
      </c>
      <c r="CU74" s="806">
        <v>11</v>
      </c>
      <c r="CV74" s="804"/>
      <c r="CW74" s="805"/>
      <c r="CX74" s="806"/>
      <c r="CY74" s="804">
        <v>10</v>
      </c>
      <c r="CZ74" s="805">
        <v>12</v>
      </c>
      <c r="DA74" s="805">
        <v>8</v>
      </c>
      <c r="DB74" s="806">
        <v>10</v>
      </c>
      <c r="DC74" s="804">
        <v>13</v>
      </c>
      <c r="DD74" s="805">
        <v>13</v>
      </c>
      <c r="DE74" s="806">
        <v>9</v>
      </c>
      <c r="DF74" s="609" t="s">
        <v>3869</v>
      </c>
      <c r="DG74" s="657"/>
      <c r="DH74" s="308">
        <f t="shared" si="251"/>
        <v>277.5</v>
      </c>
      <c r="DI74" s="308">
        <f t="shared" si="252"/>
        <v>688.2</v>
      </c>
      <c r="DJ74" s="308">
        <f t="shared" si="253"/>
        <v>88.8</v>
      </c>
      <c r="DK74" s="308">
        <f t="shared" si="254"/>
        <v>55.5</v>
      </c>
      <c r="DL74" s="287" t="s">
        <v>3870</v>
      </c>
      <c r="DM74" s="308">
        <f t="shared" si="255"/>
        <v>216.48</v>
      </c>
      <c r="DN74" s="308">
        <f t="shared" si="256"/>
        <v>610.08000000000004</v>
      </c>
      <c r="DO74" s="308">
        <f t="shared" si="257"/>
        <v>108.24</v>
      </c>
      <c r="DP74" s="308">
        <f t="shared" si="258"/>
        <v>49.2</v>
      </c>
      <c r="DQ74" s="289" t="s">
        <v>3755</v>
      </c>
      <c r="DR74" s="657"/>
      <c r="DS74" s="308">
        <f t="shared" si="259"/>
        <v>0</v>
      </c>
      <c r="DT74" s="308">
        <f t="shared" si="260"/>
        <v>0</v>
      </c>
      <c r="DU74" s="308">
        <f t="shared" si="261"/>
        <v>0</v>
      </c>
      <c r="DV74" s="289" t="s">
        <v>2613</v>
      </c>
      <c r="DW74" s="308">
        <f t="shared" si="262"/>
        <v>0</v>
      </c>
      <c r="DX74" s="308">
        <f t="shared" si="263"/>
        <v>0</v>
      </c>
      <c r="DY74" s="308">
        <f t="shared" si="264"/>
        <v>0</v>
      </c>
      <c r="DZ74" s="289" t="s">
        <v>2613</v>
      </c>
      <c r="EA74" s="657"/>
      <c r="EB74" s="308">
        <f t="shared" si="265"/>
        <v>7.4</v>
      </c>
      <c r="EC74" s="308">
        <f t="shared" si="266"/>
        <v>50.875000000000007</v>
      </c>
      <c r="ED74" s="308">
        <f t="shared" si="267"/>
        <v>11.1</v>
      </c>
      <c r="EE74" s="308">
        <f t="shared" si="268"/>
        <v>23.125</v>
      </c>
      <c r="EF74" s="289" t="s">
        <v>3871</v>
      </c>
      <c r="EG74" s="308">
        <f t="shared" si="269"/>
        <v>4.92</v>
      </c>
      <c r="EH74" s="308">
        <f t="shared" si="270"/>
        <v>45.1</v>
      </c>
      <c r="EI74" s="308">
        <f t="shared" si="271"/>
        <v>12.299999999999999</v>
      </c>
      <c r="EJ74" s="308">
        <f t="shared" si="272"/>
        <v>19.68</v>
      </c>
      <c r="EK74" s="309" t="s">
        <v>3872</v>
      </c>
      <c r="EL74" s="657"/>
      <c r="EM74" s="308">
        <f t="shared" si="273"/>
        <v>624.375</v>
      </c>
      <c r="EN74" s="310">
        <f t="shared" si="274"/>
        <v>555</v>
      </c>
      <c r="EO74" s="310">
        <f t="shared" si="275"/>
        <v>208.125</v>
      </c>
      <c r="EP74" s="289" t="s">
        <v>3873</v>
      </c>
      <c r="EQ74" s="308">
        <f t="shared" si="276"/>
        <v>430.5</v>
      </c>
      <c r="ER74" s="310">
        <f t="shared" si="277"/>
        <v>553.5</v>
      </c>
      <c r="ES74" s="310">
        <f t="shared" si="278"/>
        <v>246</v>
      </c>
      <c r="ET74" s="289" t="s">
        <v>3760</v>
      </c>
      <c r="EU74" s="657"/>
      <c r="EV74" s="728">
        <f t="shared" si="279"/>
        <v>0.94636946776294739</v>
      </c>
      <c r="EW74" s="728">
        <f t="shared" si="280"/>
        <v>5.3630532237052629E-2</v>
      </c>
      <c r="EX74" s="311">
        <f t="shared" si="281"/>
        <v>2149.0556813898602</v>
      </c>
      <c r="EY74" s="311">
        <f t="shared" si="282"/>
        <v>2033.8006813898603</v>
      </c>
      <c r="EZ74" s="311">
        <f t="shared" si="283"/>
        <v>115.255</v>
      </c>
      <c r="FA74" s="311">
        <f t="shared" si="284"/>
        <v>920.97886783216791</v>
      </c>
      <c r="FB74" s="311">
        <f t="shared" si="285"/>
        <v>871.58386783216793</v>
      </c>
      <c r="FC74" s="311">
        <f t="shared" si="286"/>
        <v>49.394999999999996</v>
      </c>
      <c r="FD74" s="311">
        <f t="shared" si="287"/>
        <v>0</v>
      </c>
      <c r="FE74" s="311">
        <f t="shared" si="288"/>
        <v>0</v>
      </c>
      <c r="FF74" s="311">
        <f t="shared" si="289"/>
        <v>0</v>
      </c>
      <c r="FG74" s="311">
        <f t="shared" si="290"/>
        <v>73.564746250000013</v>
      </c>
      <c r="FH74" s="311">
        <f t="shared" si="291"/>
        <v>69.448496250000019</v>
      </c>
      <c r="FI74" s="311">
        <f t="shared" si="292"/>
        <v>4.11625</v>
      </c>
      <c r="FJ74" s="311">
        <f t="shared" si="293"/>
        <v>1154.5120673076924</v>
      </c>
      <c r="FK74" s="311">
        <f t="shared" si="294"/>
        <v>1092.7683173076923</v>
      </c>
      <c r="FL74" s="311">
        <f t="shared" si="295"/>
        <v>61.743749999999999</v>
      </c>
      <c r="FM74" s="657"/>
      <c r="FN74" s="293" t="s">
        <v>2649</v>
      </c>
      <c r="FO74" s="728">
        <v>4.4499999999999998E-2</v>
      </c>
      <c r="FP74" s="729">
        <v>0.77175000000000005</v>
      </c>
      <c r="FQ74" s="294" t="s">
        <v>3182</v>
      </c>
      <c r="FR74" s="657"/>
      <c r="FS74" s="865">
        <v>3.06</v>
      </c>
      <c r="FT74" s="312">
        <f>RANK($FS74,$FS$8:$FS$154,0)+COUNTIF($FS$8:$FS74,$FS74)-1</f>
        <v>105</v>
      </c>
      <c r="FU74" s="865">
        <v>3.65</v>
      </c>
      <c r="FV74" s="312">
        <f>RANK($FU74,$FU$8:$FU$154,0)+COUNTIF($FU$8:$FU74,$FU74)-1</f>
        <v>121</v>
      </c>
      <c r="FW74" s="865">
        <v>2</v>
      </c>
      <c r="FX74" s="312">
        <f>RANK($FW74,$FW$8:$FW$154,0)+COUNTIF($FW$8:$FW74,$FW74)-1</f>
        <v>102</v>
      </c>
      <c r="FY74" s="657"/>
      <c r="FZ74" s="296" t="s">
        <v>3183</v>
      </c>
      <c r="GA74" s="296" t="s">
        <v>3874</v>
      </c>
      <c r="GB74" s="296" t="s">
        <v>2653</v>
      </c>
      <c r="GC74" s="296" t="s">
        <v>2654</v>
      </c>
      <c r="GD74" s="296" t="s">
        <v>2876</v>
      </c>
      <c r="GE74" s="296" t="s">
        <v>2656</v>
      </c>
      <c r="GF74" s="296" t="str">
        <f>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74" s="657"/>
      <c r="GH74" s="311">
        <f t="shared" si="296"/>
        <v>226.95689999999999</v>
      </c>
      <c r="GI74" s="311">
        <f t="shared" si="227"/>
        <v>216.09</v>
      </c>
      <c r="GJ74" s="311">
        <f t="shared" si="297"/>
        <v>10.866899999999999</v>
      </c>
      <c r="GK74" s="311">
        <f t="shared" si="298"/>
        <v>582.722976923077</v>
      </c>
      <c r="GL74" s="311">
        <f t="shared" si="228"/>
        <v>552.09807692307697</v>
      </c>
      <c r="GM74" s="311">
        <f t="shared" si="299"/>
        <v>30.624899999999997</v>
      </c>
      <c r="GN74" s="311">
        <f t="shared" si="300"/>
        <v>67.996650000000002</v>
      </c>
      <c r="GO74" s="311">
        <f t="shared" si="229"/>
        <v>62.563200000000002</v>
      </c>
      <c r="GP74" s="311">
        <f t="shared" si="301"/>
        <v>5.4334499999999997</v>
      </c>
      <c r="GQ74" s="311">
        <f t="shared" si="302"/>
        <v>43.302340909090908</v>
      </c>
      <c r="GR74" s="311">
        <f t="shared" si="230"/>
        <v>40.832590909090911</v>
      </c>
      <c r="GS74" s="311">
        <f t="shared" si="303"/>
        <v>2.4697499999999999</v>
      </c>
      <c r="GT74" s="311">
        <f t="shared" si="304"/>
        <v>0</v>
      </c>
      <c r="GU74" s="311">
        <f t="shared" si="231"/>
        <v>0</v>
      </c>
      <c r="GV74" s="311">
        <f t="shared" si="305"/>
        <v>0</v>
      </c>
      <c r="GW74" s="311">
        <f t="shared" si="306"/>
        <v>0</v>
      </c>
      <c r="GX74" s="311">
        <f t="shared" si="232"/>
        <v>0</v>
      </c>
      <c r="GY74" s="311">
        <f t="shared" si="307"/>
        <v>0</v>
      </c>
      <c r="GZ74" s="311">
        <f t="shared" si="308"/>
        <v>0</v>
      </c>
      <c r="HA74" s="311">
        <f t="shared" si="233"/>
        <v>0</v>
      </c>
      <c r="HB74" s="311">
        <f t="shared" si="309"/>
        <v>0</v>
      </c>
      <c r="HC74" s="311">
        <f t="shared" si="310"/>
        <v>5.5566150000000007</v>
      </c>
      <c r="HD74" s="311">
        <f t="shared" si="234"/>
        <v>5.3096400000000008</v>
      </c>
      <c r="HE74" s="311">
        <f t="shared" si="311"/>
        <v>0.246975</v>
      </c>
      <c r="HF74" s="311">
        <f t="shared" si="312"/>
        <v>41.880437500000006</v>
      </c>
      <c r="HG74" s="311">
        <f t="shared" si="235"/>
        <v>39.616500000000009</v>
      </c>
      <c r="HH74" s="311">
        <f t="shared" si="313"/>
        <v>2.2639375000000004</v>
      </c>
      <c r="HI74" s="311">
        <f t="shared" si="314"/>
        <v>8.5471687500000009</v>
      </c>
      <c r="HJ74" s="311">
        <f t="shared" si="236"/>
        <v>7.9297312500000006</v>
      </c>
      <c r="HK74" s="311">
        <f t="shared" si="315"/>
        <v>0.61743749999999997</v>
      </c>
      <c r="HL74" s="311">
        <f t="shared" si="316"/>
        <v>17.580525000000002</v>
      </c>
      <c r="HM74" s="311">
        <f t="shared" si="237"/>
        <v>16.592625000000002</v>
      </c>
      <c r="HN74" s="311">
        <f t="shared" si="317"/>
        <v>0.9879</v>
      </c>
      <c r="HO74" s="311">
        <f t="shared" si="318"/>
        <v>522.5057451923077</v>
      </c>
      <c r="HP74" s="311">
        <f t="shared" si="238"/>
        <v>500.89543269230768</v>
      </c>
      <c r="HQ74" s="311">
        <f t="shared" si="319"/>
        <v>21.610312499999999</v>
      </c>
      <c r="HR74" s="311">
        <f t="shared" si="320"/>
        <v>473.02507211538466</v>
      </c>
      <c r="HS74" s="311">
        <f t="shared" si="239"/>
        <v>445.24038461538464</v>
      </c>
      <c r="HT74" s="311">
        <f t="shared" si="321"/>
        <v>27.7846875</v>
      </c>
      <c r="HU74" s="311">
        <f t="shared" si="322"/>
        <v>158.98124999999999</v>
      </c>
      <c r="HV74" s="311">
        <f t="shared" si="240"/>
        <v>146.63249999999999</v>
      </c>
      <c r="HW74" s="311">
        <f t="shared" si="323"/>
        <v>12.348750000000001</v>
      </c>
      <c r="HY74" s="313">
        <f t="shared" si="324"/>
        <v>2497.5</v>
      </c>
      <c r="HZ74" s="313">
        <f t="shared" si="325"/>
        <v>258.90750000000003</v>
      </c>
      <c r="IA74" s="313">
        <f t="shared" si="326"/>
        <v>1336.44</v>
      </c>
      <c r="IB74" s="313">
        <f t="shared" si="327"/>
        <v>834.58125000000007</v>
      </c>
      <c r="IC74" s="313">
        <f t="shared" si="328"/>
        <v>67.571249999999992</v>
      </c>
      <c r="ID74" s="313">
        <f t="shared" si="329"/>
        <v>0</v>
      </c>
      <c r="IE74" s="313">
        <f t="shared" si="330"/>
        <v>1964.3521851398602</v>
      </c>
      <c r="IF74" s="313">
        <f t="shared" si="331"/>
        <v>167.41625081486015</v>
      </c>
      <c r="IG74" s="313">
        <f t="shared" si="332"/>
        <v>1006.8750440909266</v>
      </c>
      <c r="IH74" s="313">
        <f t="shared" si="333"/>
        <v>692.65903265412589</v>
      </c>
      <c r="II74" s="313">
        <f t="shared" si="334"/>
        <v>89.39225051076923</v>
      </c>
      <c r="IJ74" s="313">
        <f t="shared" si="335"/>
        <v>8.0096070691783225</v>
      </c>
      <c r="IK74" s="866">
        <v>4.12</v>
      </c>
      <c r="IL74" s="314" t="s">
        <v>2589</v>
      </c>
      <c r="IM74" s="299" t="s">
        <v>3875</v>
      </c>
      <c r="IN74" s="657"/>
      <c r="IO74" s="730">
        <v>0.1</v>
      </c>
      <c r="IP74" s="730">
        <v>0.53</v>
      </c>
      <c r="IQ74" s="730">
        <v>0.34</v>
      </c>
      <c r="IR74" s="730">
        <v>0.03</v>
      </c>
      <c r="IS74" s="730">
        <v>0</v>
      </c>
      <c r="IT74" s="730">
        <v>8.1500000000000003E-2</v>
      </c>
      <c r="IU74" s="730">
        <v>0.50739999999999996</v>
      </c>
      <c r="IV74" s="730">
        <v>0.3584</v>
      </c>
      <c r="IW74" s="730">
        <v>4.8399999999999999E-2</v>
      </c>
      <c r="IX74" s="730">
        <v>4.3E-3</v>
      </c>
      <c r="IY74" s="730">
        <v>0</v>
      </c>
      <c r="IZ74" s="730">
        <v>0</v>
      </c>
      <c r="JA74" s="730">
        <v>0</v>
      </c>
      <c r="JB74" s="730">
        <v>0</v>
      </c>
      <c r="JC74" s="730">
        <v>0</v>
      </c>
      <c r="JD74" s="730">
        <v>0</v>
      </c>
      <c r="JE74" s="730">
        <v>0</v>
      </c>
      <c r="JF74" s="730">
        <v>0</v>
      </c>
      <c r="JG74" s="730">
        <v>0</v>
      </c>
      <c r="JH74" s="730">
        <v>0</v>
      </c>
      <c r="JI74" s="730">
        <v>0</v>
      </c>
      <c r="JJ74" s="730">
        <v>0</v>
      </c>
      <c r="JK74" s="730">
        <v>0</v>
      </c>
      <c r="JL74" s="730">
        <v>0</v>
      </c>
      <c r="JM74" s="730">
        <v>0</v>
      </c>
      <c r="JN74" s="730">
        <v>0</v>
      </c>
      <c r="JO74" s="730">
        <v>0</v>
      </c>
      <c r="JP74" s="730">
        <v>0</v>
      </c>
      <c r="JQ74" s="730">
        <v>0</v>
      </c>
      <c r="JR74" s="730">
        <v>0</v>
      </c>
      <c r="JS74" s="730">
        <v>0.1066</v>
      </c>
      <c r="JT74" s="730">
        <v>0.53920000000000001</v>
      </c>
      <c r="JU74" s="730">
        <v>0.32950000000000002</v>
      </c>
      <c r="JV74" s="730">
        <v>2.47E-2</v>
      </c>
      <c r="JW74" s="730">
        <v>0</v>
      </c>
      <c r="JX74" s="730">
        <v>8.8200000000000001E-2</v>
      </c>
      <c r="JY74" s="730">
        <v>0.51670000000000005</v>
      </c>
      <c r="JZ74" s="730">
        <v>0.34799999999999998</v>
      </c>
      <c r="KA74" s="730">
        <v>4.3200000000000002E-2</v>
      </c>
      <c r="KB74" s="730">
        <v>3.8999999999999998E-3</v>
      </c>
      <c r="KC74" s="657"/>
      <c r="KD74" s="314" t="s">
        <v>2590</v>
      </c>
      <c r="KE74" s="314" t="s">
        <v>2590</v>
      </c>
      <c r="KF74" s="866">
        <v>4.1500000000000004</v>
      </c>
      <c r="KG74" s="314" t="s">
        <v>2589</v>
      </c>
      <c r="KH74" s="315" t="s">
        <v>3186</v>
      </c>
      <c r="KI74" s="314" t="s">
        <v>2659</v>
      </c>
      <c r="KJ74" s="315" t="s">
        <v>3876</v>
      </c>
    </row>
    <row r="75" spans="1:296" ht="48" hidden="1" customHeight="1">
      <c r="A75" s="265">
        <f t="shared" si="336"/>
        <v>68</v>
      </c>
      <c r="B75" s="266" t="s">
        <v>2187</v>
      </c>
      <c r="C75" s="266" t="s">
        <v>3877</v>
      </c>
      <c r="D75" s="624" t="s">
        <v>3878</v>
      </c>
      <c r="E75" s="267" t="s">
        <v>3879</v>
      </c>
      <c r="F75" s="267" t="s">
        <v>300</v>
      </c>
      <c r="G75" s="267" t="s">
        <v>300</v>
      </c>
      <c r="H75" s="267" t="s">
        <v>2109</v>
      </c>
      <c r="I75" s="268" t="s">
        <v>3880</v>
      </c>
      <c r="J75" s="268" t="s">
        <v>3881</v>
      </c>
      <c r="K75" s="269" t="s">
        <v>2097</v>
      </c>
      <c r="L75" s="269" t="s">
        <v>2109</v>
      </c>
      <c r="M75" s="269" t="s">
        <v>2603</v>
      </c>
      <c r="N75" s="269" t="s">
        <v>2099</v>
      </c>
      <c r="O75" s="267" t="s">
        <v>2616</v>
      </c>
      <c r="P75" s="268"/>
      <c r="Q75" s="270">
        <v>1</v>
      </c>
      <c r="R75" s="271">
        <v>220</v>
      </c>
      <c r="S75" s="272">
        <v>82000</v>
      </c>
      <c r="T75" s="272">
        <v>87000</v>
      </c>
      <c r="U75" s="272">
        <v>90000</v>
      </c>
      <c r="V75" s="272">
        <v>93000</v>
      </c>
      <c r="W75" s="272">
        <v>93200</v>
      </c>
      <c r="X75" s="272">
        <v>93500</v>
      </c>
      <c r="Y75" s="272">
        <v>93800</v>
      </c>
      <c r="Z75" s="272">
        <v>94000</v>
      </c>
      <c r="AA75" s="272">
        <v>94000</v>
      </c>
      <c r="AB75" s="272">
        <v>93900</v>
      </c>
      <c r="AC75" s="272">
        <v>93800</v>
      </c>
      <c r="AD75" s="272">
        <v>93750</v>
      </c>
      <c r="AE75" s="272">
        <v>93650</v>
      </c>
      <c r="AF75" s="272">
        <v>93500</v>
      </c>
      <c r="AG75" s="272">
        <v>93250</v>
      </c>
      <c r="AH75" s="272">
        <v>93000</v>
      </c>
      <c r="AI75" s="272">
        <v>92750</v>
      </c>
      <c r="AJ75" s="272">
        <v>92400</v>
      </c>
      <c r="AK75" s="272">
        <v>92000</v>
      </c>
      <c r="AL75" s="268" t="s">
        <v>3882</v>
      </c>
      <c r="AM75" s="268" t="s">
        <v>3883</v>
      </c>
      <c r="AN75" s="268" t="s">
        <v>2103</v>
      </c>
      <c r="AO75" s="657"/>
      <c r="AP75" s="271">
        <v>100</v>
      </c>
      <c r="AQ75" s="280">
        <v>80</v>
      </c>
      <c r="AR75" s="280">
        <v>15</v>
      </c>
      <c r="AS75" s="280">
        <v>5</v>
      </c>
      <c r="AT75" s="657"/>
      <c r="AU75" s="301" t="s">
        <v>3884</v>
      </c>
      <c r="AV75" s="572" t="s">
        <v>3885</v>
      </c>
      <c r="AW75" s="645" t="s">
        <v>3886</v>
      </c>
      <c r="AX75" s="290" t="s">
        <v>2670</v>
      </c>
      <c r="AY75" s="657"/>
      <c r="AZ75" s="948">
        <v>5</v>
      </c>
      <c r="BA75" s="948">
        <v>0</v>
      </c>
      <c r="BB75" s="948">
        <v>0.65</v>
      </c>
      <c r="BC75" s="948">
        <v>3</v>
      </c>
      <c r="BD75" s="825">
        <f t="shared" si="241"/>
        <v>808775</v>
      </c>
      <c r="BE75" s="304">
        <f t="shared" si="242"/>
        <v>467500</v>
      </c>
      <c r="BF75" s="304">
        <f t="shared" si="243"/>
        <v>0</v>
      </c>
      <c r="BG75" s="304">
        <f t="shared" si="244"/>
        <v>60775</v>
      </c>
      <c r="BH75" s="304">
        <f t="shared" si="245"/>
        <v>280500</v>
      </c>
      <c r="BI75" s="825">
        <f t="shared" si="246"/>
        <v>795800</v>
      </c>
      <c r="BJ75" s="304">
        <f t="shared" si="247"/>
        <v>460000</v>
      </c>
      <c r="BK75" s="304">
        <f t="shared" si="248"/>
        <v>0</v>
      </c>
      <c r="BL75" s="304">
        <f t="shared" si="249"/>
        <v>59800</v>
      </c>
      <c r="BM75" s="304">
        <f t="shared" si="250"/>
        <v>276000</v>
      </c>
      <c r="BN75" s="657"/>
      <c r="BO75" s="284">
        <v>0.32</v>
      </c>
      <c r="BP75" s="284">
        <v>0.55000000000000004</v>
      </c>
      <c r="BQ75" s="284">
        <v>0.08</v>
      </c>
      <c r="BR75" s="710">
        <v>0.05</v>
      </c>
      <c r="BS75" s="707">
        <v>0.28000000000000003</v>
      </c>
      <c r="BT75" s="284">
        <v>0.55000000000000004</v>
      </c>
      <c r="BU75" s="284">
        <v>0.12</v>
      </c>
      <c r="BV75" s="710">
        <v>0.05</v>
      </c>
      <c r="BW75" s="714"/>
      <c r="BX75" s="285"/>
      <c r="BY75" s="717"/>
      <c r="BZ75" s="714"/>
      <c r="CA75" s="285"/>
      <c r="CB75" s="717"/>
      <c r="CC75" s="284">
        <v>0.1</v>
      </c>
      <c r="CD75" s="284">
        <v>0.55000000000000004</v>
      </c>
      <c r="CE75" s="284">
        <v>0.1</v>
      </c>
      <c r="CF75" s="710">
        <v>0.25</v>
      </c>
      <c r="CG75" s="707">
        <v>0.08</v>
      </c>
      <c r="CH75" s="284">
        <v>0.55000000000000004</v>
      </c>
      <c r="CI75" s="284">
        <v>0.13</v>
      </c>
      <c r="CJ75" s="710">
        <v>0.24</v>
      </c>
      <c r="CK75" s="720">
        <v>0.5</v>
      </c>
      <c r="CL75" s="286">
        <v>0.35</v>
      </c>
      <c r="CM75" s="718">
        <v>0.15</v>
      </c>
      <c r="CN75" s="720">
        <v>0.4</v>
      </c>
      <c r="CO75" s="286">
        <v>0.4</v>
      </c>
      <c r="CP75" s="718">
        <v>0.2</v>
      </c>
      <c r="CQ75" s="657"/>
      <c r="CR75" s="807">
        <v>11</v>
      </c>
      <c r="CS75" s="808">
        <v>12</v>
      </c>
      <c r="CT75" s="808">
        <v>8</v>
      </c>
      <c r="CU75" s="809">
        <v>10</v>
      </c>
      <c r="CV75" s="807"/>
      <c r="CW75" s="808"/>
      <c r="CX75" s="809"/>
      <c r="CY75" s="807">
        <v>9</v>
      </c>
      <c r="CZ75" s="808">
        <v>11</v>
      </c>
      <c r="DA75" s="808">
        <v>7</v>
      </c>
      <c r="DB75" s="809">
        <v>9</v>
      </c>
      <c r="DC75" s="807">
        <v>12</v>
      </c>
      <c r="DD75" s="808">
        <v>12</v>
      </c>
      <c r="DE75" s="809">
        <v>8</v>
      </c>
      <c r="DF75" s="610" t="s">
        <v>3887</v>
      </c>
      <c r="DG75" s="657"/>
      <c r="DH75" s="288">
        <f t="shared" si="251"/>
        <v>149600</v>
      </c>
      <c r="DI75" s="288">
        <f t="shared" si="252"/>
        <v>257125.00000000003</v>
      </c>
      <c r="DJ75" s="288">
        <f t="shared" si="253"/>
        <v>37400</v>
      </c>
      <c r="DK75" s="288">
        <f t="shared" si="254"/>
        <v>23375</v>
      </c>
      <c r="DL75" s="560" t="s">
        <v>3888</v>
      </c>
      <c r="DM75" s="288">
        <f t="shared" si="255"/>
        <v>128800.00000000001</v>
      </c>
      <c r="DN75" s="288">
        <f t="shared" si="256"/>
        <v>253000.00000000003</v>
      </c>
      <c r="DO75" s="288">
        <f t="shared" si="257"/>
        <v>55200</v>
      </c>
      <c r="DP75" s="288">
        <f t="shared" si="258"/>
        <v>23000</v>
      </c>
      <c r="DQ75" s="561" t="s">
        <v>3889</v>
      </c>
      <c r="DR75" s="657"/>
      <c r="DS75" s="288">
        <f t="shared" si="259"/>
        <v>0</v>
      </c>
      <c r="DT75" s="288">
        <f t="shared" si="260"/>
        <v>0</v>
      </c>
      <c r="DU75" s="288">
        <f t="shared" si="261"/>
        <v>0</v>
      </c>
      <c r="DV75" s="561" t="s">
        <v>2613</v>
      </c>
      <c r="DW75" s="288">
        <f t="shared" si="262"/>
        <v>0</v>
      </c>
      <c r="DX75" s="288">
        <f t="shared" si="263"/>
        <v>0</v>
      </c>
      <c r="DY75" s="288">
        <f t="shared" si="264"/>
        <v>0</v>
      </c>
      <c r="DZ75" s="561" t="s">
        <v>2613</v>
      </c>
      <c r="EA75" s="657"/>
      <c r="EB75" s="288">
        <f t="shared" si="265"/>
        <v>6077.5</v>
      </c>
      <c r="EC75" s="288">
        <f t="shared" si="266"/>
        <v>33426.25</v>
      </c>
      <c r="ED75" s="288">
        <f t="shared" si="267"/>
        <v>6077.5</v>
      </c>
      <c r="EE75" s="288">
        <f t="shared" si="268"/>
        <v>15193.75</v>
      </c>
      <c r="EF75" s="561" t="s">
        <v>3890</v>
      </c>
      <c r="EG75" s="288">
        <f t="shared" si="269"/>
        <v>4784</v>
      </c>
      <c r="EH75" s="288">
        <f t="shared" si="270"/>
        <v>32890</v>
      </c>
      <c r="EI75" s="288">
        <f t="shared" si="271"/>
        <v>7774</v>
      </c>
      <c r="EJ75" s="288">
        <f t="shared" si="272"/>
        <v>14352</v>
      </c>
      <c r="EK75" s="561" t="s">
        <v>3891</v>
      </c>
      <c r="EL75" s="657"/>
      <c r="EM75" s="288">
        <f t="shared" si="273"/>
        <v>140250</v>
      </c>
      <c r="EN75" s="291">
        <f t="shared" si="274"/>
        <v>98175</v>
      </c>
      <c r="EO75" s="291">
        <f t="shared" si="275"/>
        <v>42075</v>
      </c>
      <c r="EP75" s="561" t="s">
        <v>3892</v>
      </c>
      <c r="EQ75" s="288">
        <f t="shared" si="276"/>
        <v>110400</v>
      </c>
      <c r="ER75" s="291">
        <f t="shared" si="277"/>
        <v>110400</v>
      </c>
      <c r="ES75" s="291">
        <f t="shared" si="278"/>
        <v>55200</v>
      </c>
      <c r="ET75" s="561" t="s">
        <v>3893</v>
      </c>
      <c r="EU75" s="657"/>
      <c r="EV75" s="740">
        <f t="shared" si="279"/>
        <v>0.87484429238797479</v>
      </c>
      <c r="EW75" s="740">
        <f t="shared" si="280"/>
        <v>0.12515570761202527</v>
      </c>
      <c r="EX75" s="563">
        <f t="shared" si="281"/>
        <v>339262.89348005952</v>
      </c>
      <c r="EY75" s="563">
        <f t="shared" si="282"/>
        <v>296802.20598005952</v>
      </c>
      <c r="EZ75" s="563">
        <f t="shared" si="283"/>
        <v>42460.6875</v>
      </c>
      <c r="FA75" s="563">
        <f t="shared" si="284"/>
        <v>194487.39218750002</v>
      </c>
      <c r="FB75" s="563">
        <f t="shared" si="285"/>
        <v>169943.64218750002</v>
      </c>
      <c r="FC75" s="563">
        <f t="shared" si="286"/>
        <v>24543.75</v>
      </c>
      <c r="FD75" s="563">
        <f t="shared" si="287"/>
        <v>0</v>
      </c>
      <c r="FE75" s="563">
        <f t="shared" si="288"/>
        <v>0</v>
      </c>
      <c r="FF75" s="563">
        <f t="shared" si="289"/>
        <v>0</v>
      </c>
      <c r="FG75" s="563">
        <f t="shared" si="290"/>
        <v>28684.12019880952</v>
      </c>
      <c r="FH75" s="563">
        <f t="shared" si="291"/>
        <v>25493.43269880952</v>
      </c>
      <c r="FI75" s="563">
        <f t="shared" si="292"/>
        <v>3190.6875</v>
      </c>
      <c r="FJ75" s="563">
        <f t="shared" si="293"/>
        <v>116091.38109374999</v>
      </c>
      <c r="FK75" s="563">
        <f t="shared" si="294"/>
        <v>101365.13109374999</v>
      </c>
      <c r="FL75" s="563">
        <f t="shared" si="295"/>
        <v>14726.25</v>
      </c>
      <c r="FM75" s="529"/>
      <c r="FN75" s="564" t="s">
        <v>2649</v>
      </c>
      <c r="FO75" s="740">
        <v>5.2499999999999998E-2</v>
      </c>
      <c r="FP75" s="741">
        <v>0.81154999999999999</v>
      </c>
      <c r="FQ75" s="565" t="s">
        <v>3894</v>
      </c>
      <c r="FR75" s="529"/>
      <c r="FS75" s="867">
        <v>3.54</v>
      </c>
      <c r="FT75" s="566">
        <f>RANK($FS75,$FS$8:$FS$154,0)+COUNTIF($FS$8:$FS75,$FS75)-1</f>
        <v>41</v>
      </c>
      <c r="FU75" s="867">
        <v>4.13</v>
      </c>
      <c r="FV75" s="566">
        <f>RANK($FU75,$FU$8:$FU$154,0)+COUNTIF($FU$8:$FU75,$FU75)-1</f>
        <v>67</v>
      </c>
      <c r="FW75" s="867">
        <v>2.4900000000000002</v>
      </c>
      <c r="FX75" s="566">
        <f>RANK($FW75,$FW$8:$FW$154,0)+COUNTIF($FW$8:$FW75,$FW75)-1</f>
        <v>37</v>
      </c>
      <c r="FY75" s="529"/>
      <c r="FZ75" s="567" t="s">
        <v>3895</v>
      </c>
      <c r="GA75" s="567" t="s">
        <v>3896</v>
      </c>
      <c r="GB75" s="567" t="s">
        <v>3897</v>
      </c>
      <c r="GC75" s="567" t="s">
        <v>3898</v>
      </c>
      <c r="GD75" s="567" t="s">
        <v>3899</v>
      </c>
      <c r="GE75" s="567" t="s">
        <v>3900</v>
      </c>
      <c r="GF75" s="567" t="str">
        <f>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amp;CHAR(10)&amp;HYPERLINK("https://www.atout-france.fr/fr/catalogue/etudes-publications/investissements-touristiques-et-developpement-des-territoires-en-1","https://www.atout-france.fr/fr/catalogue/etudes-publications/investissements-touristiques-et-developpement-des-territoires-en-1")&amp;CHAR(10)&amp;HYPERLINK("https://www.atout-france.fr/fr/actualites/investissements-touristiques-vers-un-nouveau-cycle-plus-selectif-et-durable","https://www.atout-france.fr/fr/actualites/investissements-touristiques-vers-un-nouveau-cycle-plus-selectif-et-durable")&amp;CHAR(10)&amp;HYPERLINK("https://www.atout-france.fr/fr/actualites/bilan-touristique-de-lannee-2025-avec-102-millions-de-visiteurs-la-france-pays-le-plus","https://www.atout-france.fr/fr/actualites/bilan-touristique-de-lannee-2025-avec-102-millions-de-visiteurs-la-france-pays-le-plus")</f>
        <v>https://www.statistiques.developpement-durable.gouv.fr/construction-de-locaux-resultats-fin-janvier-2026-france-entiere
https://www.insee.fr/fr/statistiques/8671745
https://www.insee.fr/fr/statistiques/8906564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v>
      </c>
      <c r="GG75" s="529"/>
      <c r="GH75" s="563">
        <f t="shared" si="296"/>
        <v>62057.65</v>
      </c>
      <c r="GI75" s="563">
        <f t="shared" si="227"/>
        <v>55185.4</v>
      </c>
      <c r="GJ75" s="563">
        <f t="shared" si="297"/>
        <v>6872.2500000000009</v>
      </c>
      <c r="GK75" s="563">
        <f t="shared" si="298"/>
        <v>99700.889062500006</v>
      </c>
      <c r="GL75" s="563">
        <f t="shared" si="228"/>
        <v>86201.826562500006</v>
      </c>
      <c r="GM75" s="563">
        <f t="shared" si="299"/>
        <v>13499.062500000002</v>
      </c>
      <c r="GN75" s="563">
        <f t="shared" si="300"/>
        <v>21996.38625</v>
      </c>
      <c r="GO75" s="563">
        <f t="shared" si="229"/>
        <v>19051.13625</v>
      </c>
      <c r="GP75" s="563">
        <f t="shared" si="301"/>
        <v>2945.25</v>
      </c>
      <c r="GQ75" s="563">
        <f t="shared" si="302"/>
        <v>10732.466875</v>
      </c>
      <c r="GR75" s="563">
        <f t="shared" si="230"/>
        <v>9505.2793750000001</v>
      </c>
      <c r="GS75" s="563">
        <f t="shared" si="303"/>
        <v>1227.1875</v>
      </c>
      <c r="GT75" s="563">
        <f t="shared" si="304"/>
        <v>0</v>
      </c>
      <c r="GU75" s="563">
        <f t="shared" si="231"/>
        <v>0</v>
      </c>
      <c r="GV75" s="563">
        <f t="shared" si="305"/>
        <v>0</v>
      </c>
      <c r="GW75" s="563">
        <f t="shared" si="306"/>
        <v>0</v>
      </c>
      <c r="GX75" s="563">
        <f t="shared" si="232"/>
        <v>0</v>
      </c>
      <c r="GY75" s="563">
        <f t="shared" si="307"/>
        <v>0</v>
      </c>
      <c r="GZ75" s="563">
        <f t="shared" si="308"/>
        <v>0</v>
      </c>
      <c r="HA75" s="563">
        <f t="shared" si="233"/>
        <v>0</v>
      </c>
      <c r="HB75" s="563">
        <f t="shared" si="309"/>
        <v>0</v>
      </c>
      <c r="HC75" s="563">
        <f t="shared" si="310"/>
        <v>3005.3274333333334</v>
      </c>
      <c r="HD75" s="563">
        <f t="shared" si="234"/>
        <v>2750.0724333333333</v>
      </c>
      <c r="HE75" s="563">
        <f t="shared" si="311"/>
        <v>255.255</v>
      </c>
      <c r="HF75" s="563">
        <f t="shared" si="312"/>
        <v>14085.365937499999</v>
      </c>
      <c r="HG75" s="563">
        <f t="shared" si="235"/>
        <v>12330.487812499998</v>
      </c>
      <c r="HH75" s="563">
        <f t="shared" si="313"/>
        <v>1754.8781250000002</v>
      </c>
      <c r="HI75" s="563">
        <f t="shared" si="314"/>
        <v>3952.4807446428567</v>
      </c>
      <c r="HJ75" s="563">
        <f t="shared" si="236"/>
        <v>3537.6913696428569</v>
      </c>
      <c r="HK75" s="563">
        <f t="shared" si="315"/>
        <v>414.78937500000001</v>
      </c>
      <c r="HL75" s="563">
        <f t="shared" si="316"/>
        <v>7640.9460833333342</v>
      </c>
      <c r="HM75" s="563">
        <f t="shared" si="237"/>
        <v>6875.1810833333338</v>
      </c>
      <c r="HN75" s="563">
        <f t="shared" si="317"/>
        <v>765.76499999999999</v>
      </c>
      <c r="HO75" s="563">
        <f t="shared" si="318"/>
        <v>52909.678124999999</v>
      </c>
      <c r="HP75" s="563">
        <f t="shared" si="238"/>
        <v>47019.178124999999</v>
      </c>
      <c r="HQ75" s="563">
        <f t="shared" si="319"/>
        <v>5890.5</v>
      </c>
      <c r="HR75" s="563">
        <f t="shared" si="320"/>
        <v>38803.924687500003</v>
      </c>
      <c r="HS75" s="563">
        <f t="shared" si="239"/>
        <v>32913.424687500003</v>
      </c>
      <c r="HT75" s="563">
        <f t="shared" si="321"/>
        <v>5890.5</v>
      </c>
      <c r="HU75" s="563">
        <f t="shared" si="322"/>
        <v>24377.778281249997</v>
      </c>
      <c r="HV75" s="563">
        <f t="shared" si="240"/>
        <v>21432.528281249997</v>
      </c>
      <c r="HW75" s="563">
        <f t="shared" si="323"/>
        <v>2945.25</v>
      </c>
      <c r="HX75" s="544"/>
      <c r="HY75" s="568">
        <f t="shared" si="324"/>
        <v>808775.00000000012</v>
      </c>
      <c r="HZ75" s="568">
        <f t="shared" si="325"/>
        <v>9086.7975000000006</v>
      </c>
      <c r="IA75" s="568">
        <f t="shared" si="326"/>
        <v>241692.35750000004</v>
      </c>
      <c r="IB75" s="568">
        <f t="shared" si="327"/>
        <v>403262.69500000001</v>
      </c>
      <c r="IC75" s="568">
        <f t="shared" si="328"/>
        <v>141064.38500000001</v>
      </c>
      <c r="ID75" s="568">
        <f t="shared" si="329"/>
        <v>13668.764999999999</v>
      </c>
      <c r="IE75" s="568">
        <f t="shared" si="330"/>
        <v>296802.20598005952</v>
      </c>
      <c r="IF75" s="568">
        <f t="shared" si="331"/>
        <v>0</v>
      </c>
      <c r="IG75" s="568">
        <f t="shared" si="332"/>
        <v>77994.417205265127</v>
      </c>
      <c r="IH75" s="568">
        <f t="shared" si="333"/>
        <v>153432.74316036716</v>
      </c>
      <c r="II75" s="568">
        <f t="shared" si="334"/>
        <v>58697.275145346881</v>
      </c>
      <c r="IJ75" s="568">
        <f t="shared" si="335"/>
        <v>6677.7704690803876</v>
      </c>
      <c r="IK75" s="868">
        <v>4.18</v>
      </c>
      <c r="IL75" s="569" t="s">
        <v>2589</v>
      </c>
      <c r="IM75" s="570" t="s">
        <v>3901</v>
      </c>
      <c r="IN75" s="529"/>
      <c r="IO75" s="742">
        <v>0.01</v>
      </c>
      <c r="IP75" s="742">
        <v>0.28000000000000003</v>
      </c>
      <c r="IQ75" s="742">
        <v>0.5</v>
      </c>
      <c r="IR75" s="742">
        <v>0.19</v>
      </c>
      <c r="IS75" s="742">
        <v>0.02</v>
      </c>
      <c r="IT75" s="742">
        <v>0</v>
      </c>
      <c r="IU75" s="742">
        <v>0.2422</v>
      </c>
      <c r="IV75" s="742">
        <v>0.51839999999999997</v>
      </c>
      <c r="IW75" s="742">
        <v>0.2137</v>
      </c>
      <c r="IX75" s="742">
        <v>2.5700000000000001E-2</v>
      </c>
      <c r="IY75" s="742">
        <v>0</v>
      </c>
      <c r="IZ75" s="742">
        <v>0</v>
      </c>
      <c r="JA75" s="742">
        <v>0</v>
      </c>
      <c r="JB75" s="742">
        <v>0</v>
      </c>
      <c r="JC75" s="742">
        <v>0</v>
      </c>
      <c r="JD75" s="742">
        <v>0</v>
      </c>
      <c r="JE75" s="742">
        <v>0</v>
      </c>
      <c r="JF75" s="742">
        <v>0</v>
      </c>
      <c r="JG75" s="742">
        <v>0</v>
      </c>
      <c r="JH75" s="742">
        <v>0</v>
      </c>
      <c r="JI75" s="742">
        <v>2.0899999999999998E-2</v>
      </c>
      <c r="JJ75" s="742">
        <v>0.43930000000000002</v>
      </c>
      <c r="JK75" s="742">
        <v>0.43580000000000002</v>
      </c>
      <c r="JL75" s="742">
        <v>9.9400000000000002E-2</v>
      </c>
      <c r="JM75" s="742">
        <v>4.5999999999999999E-3</v>
      </c>
      <c r="JN75" s="742">
        <v>0</v>
      </c>
      <c r="JO75" s="742">
        <v>0.40310000000000001</v>
      </c>
      <c r="JP75" s="742">
        <v>0.4602</v>
      </c>
      <c r="JQ75" s="742">
        <v>0.126</v>
      </c>
      <c r="JR75" s="742">
        <v>1.0699999999999999E-2</v>
      </c>
      <c r="JS75" s="742">
        <v>1.12E-2</v>
      </c>
      <c r="JT75" s="742">
        <v>0.29980000000000001</v>
      </c>
      <c r="JU75" s="742">
        <v>0.50990000000000002</v>
      </c>
      <c r="JV75" s="742">
        <v>0.16470000000000001</v>
      </c>
      <c r="JW75" s="742">
        <v>1.44E-2</v>
      </c>
      <c r="JX75" s="742">
        <v>0</v>
      </c>
      <c r="JY75" s="742">
        <v>0.26200000000000001</v>
      </c>
      <c r="JZ75" s="742">
        <v>0.52880000000000005</v>
      </c>
      <c r="KA75" s="742">
        <v>0.18909999999999999</v>
      </c>
      <c r="KB75" s="742">
        <v>2.01E-2</v>
      </c>
      <c r="KC75" s="657"/>
      <c r="KD75" s="832" t="s">
        <v>2590</v>
      </c>
      <c r="KE75" s="832" t="s">
        <v>2590</v>
      </c>
      <c r="KF75" s="869">
        <v>4.08</v>
      </c>
      <c r="KG75" s="832" t="s">
        <v>2589</v>
      </c>
      <c r="KH75" s="833" t="s">
        <v>3902</v>
      </c>
      <c r="KI75" s="832" t="s">
        <v>3903</v>
      </c>
      <c r="KJ75" s="833" t="s">
        <v>3904</v>
      </c>
    </row>
    <row r="76" spans="1:296" ht="48" hidden="1" customHeight="1">
      <c r="A76" s="273">
        <f t="shared" si="336"/>
        <v>69</v>
      </c>
      <c r="B76" s="274" t="s">
        <v>2187</v>
      </c>
      <c r="C76" s="274" t="s">
        <v>3877</v>
      </c>
      <c r="D76" s="274" t="s">
        <v>677</v>
      </c>
      <c r="E76" s="275" t="s">
        <v>3879</v>
      </c>
      <c r="F76" s="275" t="s">
        <v>300</v>
      </c>
      <c r="G76" s="275" t="s">
        <v>300</v>
      </c>
      <c r="H76" s="275" t="s">
        <v>2109</v>
      </c>
      <c r="I76" s="276" t="s">
        <v>3905</v>
      </c>
      <c r="J76" s="276" t="s">
        <v>3906</v>
      </c>
      <c r="K76" s="277" t="s">
        <v>2097</v>
      </c>
      <c r="L76" s="277" t="s">
        <v>2109</v>
      </c>
      <c r="M76" s="277" t="s">
        <v>2603</v>
      </c>
      <c r="N76" s="277" t="s">
        <v>2099</v>
      </c>
      <c r="O76" s="275" t="s">
        <v>2616</v>
      </c>
      <c r="P76" s="276"/>
      <c r="Q76" s="270">
        <v>1</v>
      </c>
      <c r="R76" s="278">
        <v>180</v>
      </c>
      <c r="S76" s="279">
        <v>53250</v>
      </c>
      <c r="T76" s="279">
        <v>49374</v>
      </c>
      <c r="U76" s="279">
        <v>45780</v>
      </c>
      <c r="V76" s="279">
        <v>42448</v>
      </c>
      <c r="W76" s="279">
        <v>41811</v>
      </c>
      <c r="X76" s="279">
        <v>41184</v>
      </c>
      <c r="Y76" s="279">
        <v>40566</v>
      </c>
      <c r="Z76" s="279">
        <v>39958</v>
      </c>
      <c r="AA76" s="279">
        <v>36761</v>
      </c>
      <c r="AB76" s="279">
        <v>35962</v>
      </c>
      <c r="AC76" s="279">
        <v>37960</v>
      </c>
      <c r="AD76" s="279">
        <v>39159</v>
      </c>
      <c r="AE76" s="279">
        <v>38000</v>
      </c>
      <c r="AF76" s="279">
        <v>37620</v>
      </c>
      <c r="AG76" s="279">
        <v>37244</v>
      </c>
      <c r="AH76" s="279">
        <v>36872</v>
      </c>
      <c r="AI76" s="279">
        <v>36503</v>
      </c>
      <c r="AJ76" s="279">
        <v>36138</v>
      </c>
      <c r="AK76" s="279">
        <v>35777</v>
      </c>
      <c r="AL76" s="276" t="s">
        <v>3907</v>
      </c>
      <c r="AM76" s="276" t="s">
        <v>3908</v>
      </c>
      <c r="AN76" s="276" t="s">
        <v>3909</v>
      </c>
      <c r="AO76" s="657"/>
      <c r="AP76" s="278">
        <v>90</v>
      </c>
      <c r="AQ76" s="278">
        <v>73</v>
      </c>
      <c r="AR76" s="278">
        <v>14</v>
      </c>
      <c r="AS76" s="278">
        <v>3</v>
      </c>
      <c r="AT76" s="657"/>
      <c r="AU76" s="281" t="s">
        <v>3910</v>
      </c>
      <c r="AV76" s="296" t="s">
        <v>3911</v>
      </c>
      <c r="AW76" s="296" t="s">
        <v>3912</v>
      </c>
      <c r="AX76" s="276" t="s">
        <v>2609</v>
      </c>
      <c r="AY76" s="657"/>
      <c r="AZ76" s="947">
        <v>5</v>
      </c>
      <c r="BA76" s="947">
        <v>0</v>
      </c>
      <c r="BB76" s="947">
        <v>0.65</v>
      </c>
      <c r="BC76" s="947">
        <v>3</v>
      </c>
      <c r="BD76" s="826">
        <f t="shared" si="241"/>
        <v>325413</v>
      </c>
      <c r="BE76" s="283">
        <f t="shared" si="242"/>
        <v>188100</v>
      </c>
      <c r="BF76" s="283">
        <f t="shared" si="243"/>
        <v>0</v>
      </c>
      <c r="BG76" s="283">
        <f t="shared" si="244"/>
        <v>24453</v>
      </c>
      <c r="BH76" s="283">
        <f t="shared" si="245"/>
        <v>112860</v>
      </c>
      <c r="BI76" s="826">
        <f t="shared" si="246"/>
        <v>309471.05</v>
      </c>
      <c r="BJ76" s="283">
        <f t="shared" si="247"/>
        <v>178885</v>
      </c>
      <c r="BK76" s="283">
        <f t="shared" si="248"/>
        <v>0</v>
      </c>
      <c r="BL76" s="283">
        <f t="shared" si="249"/>
        <v>23255.05</v>
      </c>
      <c r="BM76" s="283">
        <f t="shared" si="250"/>
        <v>107331</v>
      </c>
      <c r="BN76" s="657"/>
      <c r="BO76" s="305">
        <v>0.32</v>
      </c>
      <c r="BP76" s="305">
        <v>0.48</v>
      </c>
      <c r="BQ76" s="305">
        <v>0.15</v>
      </c>
      <c r="BR76" s="581">
        <v>0.05</v>
      </c>
      <c r="BS76" s="706">
        <v>0.3</v>
      </c>
      <c r="BT76" s="305">
        <v>0.48</v>
      </c>
      <c r="BU76" s="305">
        <v>0.18</v>
      </c>
      <c r="BV76" s="581">
        <v>0.04</v>
      </c>
      <c r="BW76" s="713"/>
      <c r="BX76" s="306"/>
      <c r="BY76" s="590"/>
      <c r="BZ76" s="713"/>
      <c r="CA76" s="306"/>
      <c r="CB76" s="590"/>
      <c r="CC76" s="706">
        <v>0.08</v>
      </c>
      <c r="CD76" s="305">
        <v>0.5</v>
      </c>
      <c r="CE76" s="305">
        <v>0.15</v>
      </c>
      <c r="CF76" s="581">
        <v>0.27</v>
      </c>
      <c r="CG76" s="706">
        <v>7.0000000000000007E-2</v>
      </c>
      <c r="CH76" s="305">
        <v>0.5</v>
      </c>
      <c r="CI76" s="305">
        <v>0.18</v>
      </c>
      <c r="CJ76" s="581">
        <v>0.25</v>
      </c>
      <c r="CK76" s="719">
        <v>0.7</v>
      </c>
      <c r="CL76" s="307">
        <v>0.2</v>
      </c>
      <c r="CM76" s="723">
        <v>0.1</v>
      </c>
      <c r="CN76" s="719">
        <v>0.62</v>
      </c>
      <c r="CO76" s="307">
        <v>0.23</v>
      </c>
      <c r="CP76" s="723">
        <v>0.15</v>
      </c>
      <c r="CQ76" s="657"/>
      <c r="CR76" s="804">
        <v>10</v>
      </c>
      <c r="CS76" s="805">
        <v>11</v>
      </c>
      <c r="CT76" s="805">
        <v>8</v>
      </c>
      <c r="CU76" s="806">
        <v>9</v>
      </c>
      <c r="CV76" s="804"/>
      <c r="CW76" s="805"/>
      <c r="CX76" s="806"/>
      <c r="CY76" s="804">
        <v>9</v>
      </c>
      <c r="CZ76" s="805">
        <v>11</v>
      </c>
      <c r="DA76" s="805">
        <v>8</v>
      </c>
      <c r="DB76" s="806">
        <v>9</v>
      </c>
      <c r="DC76" s="804">
        <v>10</v>
      </c>
      <c r="DD76" s="805">
        <v>11</v>
      </c>
      <c r="DE76" s="806">
        <v>9</v>
      </c>
      <c r="DF76" s="609" t="s">
        <v>3913</v>
      </c>
      <c r="DG76" s="657"/>
      <c r="DH76" s="308">
        <f t="shared" si="251"/>
        <v>60192</v>
      </c>
      <c r="DI76" s="308">
        <f t="shared" si="252"/>
        <v>90288</v>
      </c>
      <c r="DJ76" s="308">
        <f t="shared" si="253"/>
        <v>28215</v>
      </c>
      <c r="DK76" s="308">
        <f t="shared" si="254"/>
        <v>9405</v>
      </c>
      <c r="DL76" s="287" t="s">
        <v>3914</v>
      </c>
      <c r="DM76" s="308">
        <f t="shared" si="255"/>
        <v>53665.5</v>
      </c>
      <c r="DN76" s="308">
        <f t="shared" si="256"/>
        <v>85864.8</v>
      </c>
      <c r="DO76" s="308">
        <f t="shared" si="257"/>
        <v>32199.3</v>
      </c>
      <c r="DP76" s="308">
        <f t="shared" si="258"/>
        <v>7155.4000000000005</v>
      </c>
      <c r="DQ76" s="289" t="s">
        <v>3915</v>
      </c>
      <c r="DR76" s="657"/>
      <c r="DS76" s="308">
        <f t="shared" si="259"/>
        <v>0</v>
      </c>
      <c r="DT76" s="308">
        <f t="shared" si="260"/>
        <v>0</v>
      </c>
      <c r="DU76" s="308">
        <f t="shared" si="261"/>
        <v>0</v>
      </c>
      <c r="DV76" s="289" t="s">
        <v>2613</v>
      </c>
      <c r="DW76" s="308">
        <f t="shared" si="262"/>
        <v>0</v>
      </c>
      <c r="DX76" s="308">
        <f t="shared" si="263"/>
        <v>0</v>
      </c>
      <c r="DY76" s="308">
        <f t="shared" si="264"/>
        <v>0</v>
      </c>
      <c r="DZ76" s="289" t="s">
        <v>2613</v>
      </c>
      <c r="EA76" s="657"/>
      <c r="EB76" s="308">
        <f t="shared" si="265"/>
        <v>1956.24</v>
      </c>
      <c r="EC76" s="308">
        <f t="shared" si="266"/>
        <v>12226.5</v>
      </c>
      <c r="ED76" s="308">
        <f t="shared" si="267"/>
        <v>3667.95</v>
      </c>
      <c r="EE76" s="308">
        <f t="shared" si="268"/>
        <v>6602.31</v>
      </c>
      <c r="EF76" s="289" t="s">
        <v>3916</v>
      </c>
      <c r="EG76" s="308">
        <f t="shared" si="269"/>
        <v>1627.8535000000002</v>
      </c>
      <c r="EH76" s="308">
        <f t="shared" si="270"/>
        <v>11627.525</v>
      </c>
      <c r="EI76" s="308">
        <f t="shared" si="271"/>
        <v>4185.9089999999997</v>
      </c>
      <c r="EJ76" s="308">
        <f t="shared" si="272"/>
        <v>5813.7624999999998</v>
      </c>
      <c r="EK76" s="309" t="s">
        <v>3917</v>
      </c>
      <c r="EL76" s="657"/>
      <c r="EM76" s="308">
        <f t="shared" si="273"/>
        <v>79002</v>
      </c>
      <c r="EN76" s="310">
        <f t="shared" si="274"/>
        <v>22572</v>
      </c>
      <c r="EO76" s="310">
        <f t="shared" si="275"/>
        <v>11286</v>
      </c>
      <c r="EP76" s="289" t="s">
        <v>3918</v>
      </c>
      <c r="EQ76" s="308">
        <f t="shared" si="276"/>
        <v>66545.22</v>
      </c>
      <c r="ER76" s="310">
        <f t="shared" si="277"/>
        <v>24686.13</v>
      </c>
      <c r="ES76" s="310">
        <f t="shared" si="278"/>
        <v>16099.65</v>
      </c>
      <c r="ET76" s="289" t="s">
        <v>3919</v>
      </c>
      <c r="EU76" s="657"/>
      <c r="EV76" s="728">
        <f t="shared" si="279"/>
        <v>0.86641958315312195</v>
      </c>
      <c r="EW76" s="728">
        <f t="shared" si="280"/>
        <v>0.13358041684687808</v>
      </c>
      <c r="EX76" s="311">
        <f t="shared" si="281"/>
        <v>174691.52126354794</v>
      </c>
      <c r="EY76" s="311">
        <f t="shared" si="282"/>
        <v>151356.15503354796</v>
      </c>
      <c r="EZ76" s="311">
        <f t="shared" si="283"/>
        <v>23335.36623</v>
      </c>
      <c r="FA76" s="311">
        <f t="shared" si="284"/>
        <v>101038.8453600505</v>
      </c>
      <c r="FB76" s="311">
        <f t="shared" si="285"/>
        <v>87550.194360050504</v>
      </c>
      <c r="FC76" s="311">
        <f t="shared" si="286"/>
        <v>13488.651</v>
      </c>
      <c r="FD76" s="311">
        <f t="shared" si="287"/>
        <v>0</v>
      </c>
      <c r="FE76" s="311">
        <f t="shared" si="288"/>
        <v>0</v>
      </c>
      <c r="FF76" s="311">
        <f t="shared" si="289"/>
        <v>0</v>
      </c>
      <c r="FG76" s="311">
        <f t="shared" si="290"/>
        <v>13388.39162834596</v>
      </c>
      <c r="FH76" s="311">
        <f t="shared" si="291"/>
        <v>11634.86699834596</v>
      </c>
      <c r="FI76" s="311">
        <f t="shared" si="292"/>
        <v>1753.5246299999999</v>
      </c>
      <c r="FJ76" s="311">
        <f t="shared" si="293"/>
        <v>60264.284275151513</v>
      </c>
      <c r="FK76" s="311">
        <f t="shared" si="294"/>
        <v>52171.093675151511</v>
      </c>
      <c r="FL76" s="311">
        <f t="shared" si="295"/>
        <v>8093.1905999999999</v>
      </c>
      <c r="FM76" s="657"/>
      <c r="FN76" s="293" t="s">
        <v>2649</v>
      </c>
      <c r="FO76" s="728">
        <v>7.1709999999999996E-2</v>
      </c>
      <c r="FP76" s="729">
        <v>0.87280000000000002</v>
      </c>
      <c r="FQ76" s="294" t="s">
        <v>2617</v>
      </c>
      <c r="FR76" s="657"/>
      <c r="FS76" s="865">
        <v>3.36</v>
      </c>
      <c r="FT76" s="312">
        <f>RANK($FS76,$FS$8:$FS$154,0)+COUNTIF($FS$8:$FS76,$FS76)-1</f>
        <v>68</v>
      </c>
      <c r="FU76" s="865">
        <v>4.17</v>
      </c>
      <c r="FV76" s="312">
        <f>RANK($FU76,$FU$8:$FU$154,0)+COUNTIF($FU$8:$FU76,$FU76)-1</f>
        <v>50</v>
      </c>
      <c r="FW76" s="865">
        <v>2.37</v>
      </c>
      <c r="FX76" s="312">
        <f>RANK($FW76,$FW$8:$FW$154,0)+COUNTIF($FW$8:$FW76,$FW76)-1</f>
        <v>52</v>
      </c>
      <c r="FY76" s="657"/>
      <c r="FZ76" s="296" t="s">
        <v>3920</v>
      </c>
      <c r="GA76" s="296" t="s">
        <v>3921</v>
      </c>
      <c r="GB76" s="296" t="s">
        <v>3922</v>
      </c>
      <c r="GC76" s="296" t="s">
        <v>3923</v>
      </c>
      <c r="GD76" s="296" t="s">
        <v>3924</v>
      </c>
      <c r="GE76" s="296" t="s">
        <v>3925</v>
      </c>
      <c r="GF76" s="296" t="str">
        <f>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amp;CHAR(10)&amp;HYPERLINK("https://www.atout-france.fr/fr/catalogue/etudes-publications/investissements-touristiques-et-developpement-des-territoires-en-1","https://www.atout-france.fr/fr/catalogue/etudes-publications/investissements-touristiques-et-developpement-des-territoires-en-1")&amp;CHAR(10)&amp;HYPERLINK("https://www.atout-france.fr/fr/actualites/investissements-touristiques-vers-un-nouveau-cycle-plus-selectif-et-durable","https://www.atout-france.fr/fr/actualites/investissements-touristiques-vers-un-nouveau-cycle-plus-selectif-et-durable")&amp;CHAR(10)&amp;HYPERLINK("https://www.atout-france.fr/fr/actualites/bilan-touristique-de-lannee-2025-avec-102-millions-de-visiteurs-la-france-pays-le-plus","https://www.atout-france.fr/fr/actualites/bilan-touristique-de-lannee-2025-avec-102-millions-de-visiteurs-la-france-pays-le-plus")</f>
        <v>https://www.statistiques.developpement-durable.gouv.fr/construction-de-locaux-resultats-fin-janvier-2026-france-entiere
https://www.insee.fr/fr/statistiques/8671745
https://www.insee.fr/fr/statistiques/8906564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v>
      </c>
      <c r="GG76" s="657"/>
      <c r="GH76" s="311">
        <f t="shared" si="296"/>
        <v>32015.296740000002</v>
      </c>
      <c r="GI76" s="311">
        <f t="shared" si="227"/>
        <v>27968.701440000001</v>
      </c>
      <c r="GJ76" s="311">
        <f t="shared" si="297"/>
        <v>4046.5953</v>
      </c>
      <c r="GK76" s="311">
        <f t="shared" si="298"/>
        <v>45696.661047272726</v>
      </c>
      <c r="GL76" s="311">
        <f t="shared" si="228"/>
        <v>39222.108567272728</v>
      </c>
      <c r="GM76" s="311">
        <f t="shared" si="299"/>
        <v>6474.5524799999994</v>
      </c>
      <c r="GN76" s="311">
        <f t="shared" si="300"/>
        <v>18073.469955</v>
      </c>
      <c r="GO76" s="311">
        <f t="shared" si="229"/>
        <v>15645.512774999999</v>
      </c>
      <c r="GP76" s="311">
        <f t="shared" si="301"/>
        <v>2427.9571799999999</v>
      </c>
      <c r="GQ76" s="311">
        <f t="shared" si="302"/>
        <v>5253.4176177777772</v>
      </c>
      <c r="GR76" s="311">
        <f t="shared" si="230"/>
        <v>4713.871577777777</v>
      </c>
      <c r="GS76" s="311">
        <f t="shared" si="303"/>
        <v>539.54603999999995</v>
      </c>
      <c r="GT76" s="311">
        <f t="shared" si="304"/>
        <v>0</v>
      </c>
      <c r="GU76" s="311">
        <f t="shared" si="231"/>
        <v>0</v>
      </c>
      <c r="GV76" s="311">
        <f t="shared" si="305"/>
        <v>0</v>
      </c>
      <c r="GW76" s="311">
        <f t="shared" si="306"/>
        <v>0</v>
      </c>
      <c r="GX76" s="311">
        <f t="shared" si="232"/>
        <v>0</v>
      </c>
      <c r="GY76" s="311">
        <f t="shared" si="307"/>
        <v>0</v>
      </c>
      <c r="GZ76" s="311">
        <f t="shared" si="308"/>
        <v>0</v>
      </c>
      <c r="HA76" s="311">
        <f t="shared" si="233"/>
        <v>0</v>
      </c>
      <c r="HB76" s="311">
        <f t="shared" si="309"/>
        <v>0</v>
      </c>
      <c r="HC76" s="311">
        <f t="shared" si="310"/>
        <v>1103.2320122777778</v>
      </c>
      <c r="HD76" s="311">
        <f t="shared" si="234"/>
        <v>980.48528817777776</v>
      </c>
      <c r="HE76" s="311">
        <f t="shared" si="311"/>
        <v>122.74672410000001</v>
      </c>
      <c r="HF76" s="311">
        <f t="shared" si="312"/>
        <v>6188.0895168181823</v>
      </c>
      <c r="HG76" s="311">
        <f t="shared" si="235"/>
        <v>5311.3272018181824</v>
      </c>
      <c r="HH76" s="311">
        <f t="shared" si="313"/>
        <v>876.76231499999994</v>
      </c>
      <c r="HI76" s="311">
        <f t="shared" si="314"/>
        <v>2349.5510941499997</v>
      </c>
      <c r="HJ76" s="311">
        <f t="shared" si="236"/>
        <v>2033.9166607499999</v>
      </c>
      <c r="HK76" s="311">
        <f t="shared" si="315"/>
        <v>315.63443339999998</v>
      </c>
      <c r="HL76" s="311">
        <f t="shared" si="316"/>
        <v>3747.5190051000004</v>
      </c>
      <c r="HM76" s="311">
        <f t="shared" si="237"/>
        <v>3309.1378476000004</v>
      </c>
      <c r="HN76" s="311">
        <f t="shared" si="317"/>
        <v>438.38115749999997</v>
      </c>
      <c r="HO76" s="311">
        <f t="shared" si="318"/>
        <v>41726.698811999995</v>
      </c>
      <c r="HP76" s="311">
        <f t="shared" si="238"/>
        <v>36708.920639999997</v>
      </c>
      <c r="HQ76" s="311">
        <f t="shared" si="319"/>
        <v>5017.7781720000003</v>
      </c>
      <c r="HR76" s="311">
        <f t="shared" si="320"/>
        <v>11666.960979818183</v>
      </c>
      <c r="HS76" s="311">
        <f t="shared" si="239"/>
        <v>9805.5271418181819</v>
      </c>
      <c r="HT76" s="311">
        <f t="shared" si="321"/>
        <v>1861.4338380000002</v>
      </c>
      <c r="HU76" s="311">
        <f t="shared" si="322"/>
        <v>6870.6244833333321</v>
      </c>
      <c r="HV76" s="311">
        <f t="shared" si="240"/>
        <v>5656.6458933333324</v>
      </c>
      <c r="HW76" s="311">
        <f t="shared" si="323"/>
        <v>1213.9785899999999</v>
      </c>
      <c r="HY76" s="313">
        <f t="shared" si="324"/>
        <v>325413</v>
      </c>
      <c r="HZ76" s="313">
        <f t="shared" si="325"/>
        <v>8093.1905999999999</v>
      </c>
      <c r="IA76" s="313">
        <f t="shared" si="326"/>
        <v>99281.4372</v>
      </c>
      <c r="IB76" s="313">
        <f t="shared" si="327"/>
        <v>143364.55319999999</v>
      </c>
      <c r="IC76" s="313">
        <f t="shared" si="328"/>
        <v>60870.664799999999</v>
      </c>
      <c r="ID76" s="313">
        <f t="shared" si="329"/>
        <v>13803.154200000001</v>
      </c>
      <c r="IE76" s="313">
        <f t="shared" si="330"/>
        <v>151356.15503354798</v>
      </c>
      <c r="IF76" s="313">
        <f t="shared" si="331"/>
        <v>258.29404736328036</v>
      </c>
      <c r="IG76" s="313">
        <f t="shared" si="332"/>
        <v>33652.756928589995</v>
      </c>
      <c r="IH76" s="313">
        <f t="shared" si="333"/>
        <v>70713.345670560142</v>
      </c>
      <c r="II76" s="313">
        <f t="shared" si="334"/>
        <v>38234.668729850906</v>
      </c>
      <c r="IJ76" s="313">
        <f t="shared" si="335"/>
        <v>8497.0896571836565</v>
      </c>
      <c r="IK76" s="866">
        <v>3.6</v>
      </c>
      <c r="IL76" s="314" t="s">
        <v>2589</v>
      </c>
      <c r="IM76" s="299" t="s">
        <v>3926</v>
      </c>
      <c r="IN76" s="657"/>
      <c r="IO76" s="730">
        <v>1.52E-2</v>
      </c>
      <c r="IP76" s="730">
        <v>0.28560000000000002</v>
      </c>
      <c r="IQ76" s="730">
        <v>0.45219999999999999</v>
      </c>
      <c r="IR76" s="730">
        <v>0.2024</v>
      </c>
      <c r="IS76" s="730">
        <v>4.4600000000000001E-2</v>
      </c>
      <c r="IT76" s="730">
        <v>0</v>
      </c>
      <c r="IU76" s="730">
        <v>0.2021</v>
      </c>
      <c r="IV76" s="730">
        <v>0.4703</v>
      </c>
      <c r="IW76" s="730">
        <v>0.26729999999999998</v>
      </c>
      <c r="IX76" s="730">
        <v>6.0299999999999999E-2</v>
      </c>
      <c r="IY76" s="730">
        <v>0</v>
      </c>
      <c r="IZ76" s="730">
        <v>0</v>
      </c>
      <c r="JA76" s="730">
        <v>0</v>
      </c>
      <c r="JB76" s="730">
        <v>0</v>
      </c>
      <c r="JC76" s="730">
        <v>0</v>
      </c>
      <c r="JD76" s="730">
        <v>0</v>
      </c>
      <c r="JE76" s="730">
        <v>0</v>
      </c>
      <c r="JF76" s="730">
        <v>0</v>
      </c>
      <c r="JG76" s="730">
        <v>0</v>
      </c>
      <c r="JH76" s="730">
        <v>0</v>
      </c>
      <c r="JI76" s="730">
        <v>6.8199999999999997E-2</v>
      </c>
      <c r="JJ76" s="730">
        <v>0.37840000000000001</v>
      </c>
      <c r="JK76" s="730">
        <v>0.38640000000000002</v>
      </c>
      <c r="JL76" s="730">
        <v>0.13159999999999999</v>
      </c>
      <c r="JM76" s="730">
        <v>3.5400000000000001E-2</v>
      </c>
      <c r="JN76" s="730">
        <v>2.2200000000000001E-2</v>
      </c>
      <c r="JO76" s="730">
        <v>0.30220000000000002</v>
      </c>
      <c r="JP76" s="730">
        <v>0.44429999999999997</v>
      </c>
      <c r="JQ76" s="730">
        <v>0.1888</v>
      </c>
      <c r="JR76" s="730">
        <v>4.2500000000000003E-2</v>
      </c>
      <c r="JS76" s="730">
        <v>3.1600000000000003E-2</v>
      </c>
      <c r="JT76" s="730">
        <v>0.32169999999999999</v>
      </c>
      <c r="JU76" s="730">
        <v>0.43290000000000001</v>
      </c>
      <c r="JV76" s="730">
        <v>0.17349999999999999</v>
      </c>
      <c r="JW76" s="730">
        <v>4.0300000000000002E-2</v>
      </c>
      <c r="JX76" s="730">
        <v>0</v>
      </c>
      <c r="JY76" s="730">
        <v>0.23849999999999999</v>
      </c>
      <c r="JZ76" s="730">
        <v>0.46710000000000002</v>
      </c>
      <c r="KA76" s="730">
        <v>0.2422</v>
      </c>
      <c r="KB76" s="730">
        <v>5.2200000000000003E-2</v>
      </c>
      <c r="KC76" s="657"/>
      <c r="KD76" s="314" t="s">
        <v>2590</v>
      </c>
      <c r="KE76" s="314" t="s">
        <v>2591</v>
      </c>
      <c r="KF76" s="866">
        <v>3.55</v>
      </c>
      <c r="KG76" s="314" t="s">
        <v>2626</v>
      </c>
      <c r="KH76" s="315" t="s">
        <v>3927</v>
      </c>
      <c r="KI76" s="314" t="s">
        <v>3733</v>
      </c>
      <c r="KJ76" s="315" t="s">
        <v>3926</v>
      </c>
    </row>
    <row r="77" spans="1:296" ht="48" hidden="1" customHeight="1">
      <c r="A77" s="265">
        <f t="shared" si="336"/>
        <v>70</v>
      </c>
      <c r="B77" s="266" t="s">
        <v>2187</v>
      </c>
      <c r="C77" s="266" t="s">
        <v>3877</v>
      </c>
      <c r="D77" s="624" t="s">
        <v>678</v>
      </c>
      <c r="E77" s="267" t="s">
        <v>3879</v>
      </c>
      <c r="F77" s="267" t="s">
        <v>300</v>
      </c>
      <c r="G77" s="267" t="s">
        <v>300</v>
      </c>
      <c r="H77" s="267" t="s">
        <v>2109</v>
      </c>
      <c r="I77" s="268" t="s">
        <v>3928</v>
      </c>
      <c r="J77" s="268" t="s">
        <v>3929</v>
      </c>
      <c r="K77" s="269" t="s">
        <v>2097</v>
      </c>
      <c r="L77" s="269" t="s">
        <v>2109</v>
      </c>
      <c r="M77" s="269" t="s">
        <v>2603</v>
      </c>
      <c r="N77" s="269" t="s">
        <v>2099</v>
      </c>
      <c r="O77" s="267" t="s">
        <v>2616</v>
      </c>
      <c r="P77" s="268"/>
      <c r="Q77" s="270">
        <v>1</v>
      </c>
      <c r="R77" s="271">
        <v>250</v>
      </c>
      <c r="S77" s="272">
        <v>23822</v>
      </c>
      <c r="T77" s="272">
        <v>27616</v>
      </c>
      <c r="U77" s="272">
        <v>32015</v>
      </c>
      <c r="V77" s="272">
        <v>37114</v>
      </c>
      <c r="W77" s="272">
        <v>38227</v>
      </c>
      <c r="X77" s="272">
        <v>39374</v>
      </c>
      <c r="Y77" s="272">
        <v>40555</v>
      </c>
      <c r="Z77" s="272">
        <v>41772</v>
      </c>
      <c r="AA77" s="272">
        <v>38430</v>
      </c>
      <c r="AB77" s="272">
        <v>37595</v>
      </c>
      <c r="AC77" s="272">
        <v>39683</v>
      </c>
      <c r="AD77" s="272">
        <v>40937</v>
      </c>
      <c r="AE77" s="272">
        <v>45000</v>
      </c>
      <c r="AF77" s="272">
        <v>45675</v>
      </c>
      <c r="AG77" s="272">
        <v>46360</v>
      </c>
      <c r="AH77" s="272">
        <v>47055</v>
      </c>
      <c r="AI77" s="272">
        <v>47761</v>
      </c>
      <c r="AJ77" s="272">
        <v>48477</v>
      </c>
      <c r="AK77" s="272">
        <v>49204</v>
      </c>
      <c r="AL77" s="268" t="s">
        <v>3930</v>
      </c>
      <c r="AM77" s="268" t="s">
        <v>3931</v>
      </c>
      <c r="AN77" s="268" t="s">
        <v>3932</v>
      </c>
      <c r="AO77" s="657"/>
      <c r="AP77" s="271">
        <v>120</v>
      </c>
      <c r="AQ77" s="280">
        <v>101</v>
      </c>
      <c r="AR77" s="280">
        <v>17</v>
      </c>
      <c r="AS77" s="280">
        <v>2</v>
      </c>
      <c r="AT77" s="657"/>
      <c r="AU77" s="301" t="s">
        <v>3933</v>
      </c>
      <c r="AV77" s="572" t="s">
        <v>3934</v>
      </c>
      <c r="AW77" s="645" t="s">
        <v>3935</v>
      </c>
      <c r="AX77" s="290" t="s">
        <v>2609</v>
      </c>
      <c r="AY77" s="657"/>
      <c r="AZ77" s="948">
        <v>5.5</v>
      </c>
      <c r="BA77" s="948">
        <v>0</v>
      </c>
      <c r="BB77" s="948">
        <v>0.8</v>
      </c>
      <c r="BC77" s="948">
        <v>4</v>
      </c>
      <c r="BD77" s="825">
        <f t="shared" si="241"/>
        <v>470452.5</v>
      </c>
      <c r="BE77" s="304">
        <f t="shared" si="242"/>
        <v>251212.5</v>
      </c>
      <c r="BF77" s="304">
        <f t="shared" si="243"/>
        <v>0</v>
      </c>
      <c r="BG77" s="304">
        <f t="shared" si="244"/>
        <v>36540</v>
      </c>
      <c r="BH77" s="304">
        <f t="shared" si="245"/>
        <v>182700</v>
      </c>
      <c r="BI77" s="825">
        <f t="shared" si="246"/>
        <v>506801.2</v>
      </c>
      <c r="BJ77" s="304">
        <f t="shared" si="247"/>
        <v>270622</v>
      </c>
      <c r="BK77" s="304">
        <f t="shared" si="248"/>
        <v>0</v>
      </c>
      <c r="BL77" s="304">
        <f t="shared" si="249"/>
        <v>39363.200000000004</v>
      </c>
      <c r="BM77" s="304">
        <f t="shared" si="250"/>
        <v>196816</v>
      </c>
      <c r="BN77" s="657"/>
      <c r="BO77" s="284">
        <v>0.18</v>
      </c>
      <c r="BP77" s="284">
        <v>0.6</v>
      </c>
      <c r="BQ77" s="284">
        <v>0.18</v>
      </c>
      <c r="BR77" s="710">
        <v>0.04</v>
      </c>
      <c r="BS77" s="707">
        <v>0.16</v>
      </c>
      <c r="BT77" s="284">
        <v>0.6</v>
      </c>
      <c r="BU77" s="284">
        <v>0.21</v>
      </c>
      <c r="BV77" s="710">
        <v>0.03</v>
      </c>
      <c r="BW77" s="714"/>
      <c r="BX77" s="285"/>
      <c r="BY77" s="717"/>
      <c r="BZ77" s="714"/>
      <c r="CA77" s="285"/>
      <c r="CB77" s="717"/>
      <c r="CC77" s="284">
        <v>0.05</v>
      </c>
      <c r="CD77" s="284">
        <v>0.45</v>
      </c>
      <c r="CE77" s="284">
        <v>0.3</v>
      </c>
      <c r="CF77" s="710">
        <v>0.2</v>
      </c>
      <c r="CG77" s="707">
        <v>0.04</v>
      </c>
      <c r="CH77" s="284">
        <v>0.45</v>
      </c>
      <c r="CI77" s="284">
        <v>0.33</v>
      </c>
      <c r="CJ77" s="710">
        <v>0.18</v>
      </c>
      <c r="CK77" s="720">
        <v>0.45</v>
      </c>
      <c r="CL77" s="286">
        <v>0.4</v>
      </c>
      <c r="CM77" s="718">
        <v>0.15</v>
      </c>
      <c r="CN77" s="720">
        <v>0.35</v>
      </c>
      <c r="CO77" s="286">
        <v>0.43</v>
      </c>
      <c r="CP77" s="718">
        <v>0.22</v>
      </c>
      <c r="CQ77" s="657"/>
      <c r="CR77" s="807">
        <v>10</v>
      </c>
      <c r="CS77" s="808">
        <v>11</v>
      </c>
      <c r="CT77" s="808">
        <v>8</v>
      </c>
      <c r="CU77" s="809">
        <v>9</v>
      </c>
      <c r="CV77" s="807"/>
      <c r="CW77" s="808"/>
      <c r="CX77" s="809"/>
      <c r="CY77" s="807">
        <v>9</v>
      </c>
      <c r="CZ77" s="808">
        <v>11</v>
      </c>
      <c r="DA77" s="808">
        <v>8</v>
      </c>
      <c r="DB77" s="809">
        <v>9</v>
      </c>
      <c r="DC77" s="807">
        <v>10</v>
      </c>
      <c r="DD77" s="808">
        <v>11</v>
      </c>
      <c r="DE77" s="809">
        <v>9</v>
      </c>
      <c r="DF77" s="610" t="s">
        <v>3936</v>
      </c>
      <c r="DG77" s="657"/>
      <c r="DH77" s="288">
        <f t="shared" si="251"/>
        <v>45218.25</v>
      </c>
      <c r="DI77" s="288">
        <f t="shared" si="252"/>
        <v>150727.5</v>
      </c>
      <c r="DJ77" s="288">
        <f t="shared" si="253"/>
        <v>45218.25</v>
      </c>
      <c r="DK77" s="288">
        <f t="shared" si="254"/>
        <v>10048.5</v>
      </c>
      <c r="DL77" s="560" t="s">
        <v>3937</v>
      </c>
      <c r="DM77" s="288">
        <f t="shared" si="255"/>
        <v>43299.520000000004</v>
      </c>
      <c r="DN77" s="288">
        <f t="shared" si="256"/>
        <v>162373.19999999998</v>
      </c>
      <c r="DO77" s="288">
        <f t="shared" si="257"/>
        <v>56830.619999999995</v>
      </c>
      <c r="DP77" s="288">
        <f t="shared" si="258"/>
        <v>8118.66</v>
      </c>
      <c r="DQ77" s="561" t="s">
        <v>3938</v>
      </c>
      <c r="DR77" s="657"/>
      <c r="DS77" s="288">
        <f t="shared" si="259"/>
        <v>0</v>
      </c>
      <c r="DT77" s="288">
        <f t="shared" si="260"/>
        <v>0</v>
      </c>
      <c r="DU77" s="288">
        <f t="shared" si="261"/>
        <v>0</v>
      </c>
      <c r="DV77" s="561" t="s">
        <v>2613</v>
      </c>
      <c r="DW77" s="288">
        <f t="shared" si="262"/>
        <v>0</v>
      </c>
      <c r="DX77" s="288">
        <f t="shared" si="263"/>
        <v>0</v>
      </c>
      <c r="DY77" s="288">
        <f t="shared" si="264"/>
        <v>0</v>
      </c>
      <c r="DZ77" s="561" t="s">
        <v>2613</v>
      </c>
      <c r="EA77" s="657"/>
      <c r="EB77" s="288">
        <f t="shared" si="265"/>
        <v>1827</v>
      </c>
      <c r="EC77" s="288">
        <f t="shared" si="266"/>
        <v>16443</v>
      </c>
      <c r="ED77" s="288">
        <f t="shared" si="267"/>
        <v>10962</v>
      </c>
      <c r="EE77" s="288">
        <f t="shared" si="268"/>
        <v>7308</v>
      </c>
      <c r="EF77" s="561" t="s">
        <v>3939</v>
      </c>
      <c r="EG77" s="288">
        <f t="shared" si="269"/>
        <v>1574.5280000000002</v>
      </c>
      <c r="EH77" s="288">
        <f t="shared" si="270"/>
        <v>17713.440000000002</v>
      </c>
      <c r="EI77" s="288">
        <f t="shared" si="271"/>
        <v>12989.856000000002</v>
      </c>
      <c r="EJ77" s="288">
        <f t="shared" si="272"/>
        <v>7085.3760000000002</v>
      </c>
      <c r="EK77" s="561" t="s">
        <v>3940</v>
      </c>
      <c r="EL77" s="657"/>
      <c r="EM77" s="288">
        <f t="shared" si="273"/>
        <v>82215</v>
      </c>
      <c r="EN77" s="291">
        <f t="shared" si="274"/>
        <v>73080</v>
      </c>
      <c r="EO77" s="291">
        <f t="shared" si="275"/>
        <v>27405</v>
      </c>
      <c r="EP77" s="561" t="s">
        <v>3941</v>
      </c>
      <c r="EQ77" s="288">
        <f t="shared" si="276"/>
        <v>68885.599999999991</v>
      </c>
      <c r="ER77" s="291">
        <f t="shared" si="277"/>
        <v>84630.88</v>
      </c>
      <c r="ES77" s="291">
        <f t="shared" si="278"/>
        <v>43299.519999999997</v>
      </c>
      <c r="ET77" s="561" t="s">
        <v>3942</v>
      </c>
      <c r="EU77" s="657"/>
      <c r="EV77" s="740">
        <f t="shared" si="279"/>
        <v>0.70870755734046431</v>
      </c>
      <c r="EW77" s="740">
        <f t="shared" si="280"/>
        <v>0.29129244265953569</v>
      </c>
      <c r="EX77" s="563">
        <f t="shared" si="281"/>
        <v>249288.59314717574</v>
      </c>
      <c r="EY77" s="563">
        <f t="shared" si="282"/>
        <v>176672.70992217574</v>
      </c>
      <c r="EZ77" s="563">
        <f t="shared" si="283"/>
        <v>72615.883225000012</v>
      </c>
      <c r="FA77" s="563">
        <f t="shared" si="284"/>
        <v>133116.57677715557</v>
      </c>
      <c r="FB77" s="563">
        <f t="shared" si="285"/>
        <v>94341.105152155549</v>
      </c>
      <c r="FC77" s="563">
        <f t="shared" si="286"/>
        <v>38775.471625000006</v>
      </c>
      <c r="FD77" s="563">
        <f t="shared" si="287"/>
        <v>0</v>
      </c>
      <c r="FE77" s="563">
        <f t="shared" si="288"/>
        <v>0</v>
      </c>
      <c r="FF77" s="563">
        <f t="shared" si="289"/>
        <v>0</v>
      </c>
      <c r="FG77" s="563">
        <f t="shared" si="290"/>
        <v>20288.80199741415</v>
      </c>
      <c r="FH77" s="563">
        <f t="shared" si="291"/>
        <v>14648.733397414144</v>
      </c>
      <c r="FI77" s="563">
        <f t="shared" si="292"/>
        <v>5640.0686000000042</v>
      </c>
      <c r="FJ77" s="563">
        <f t="shared" si="293"/>
        <v>95883.214372606075</v>
      </c>
      <c r="FK77" s="563">
        <f t="shared" si="294"/>
        <v>67682.871372606067</v>
      </c>
      <c r="FL77" s="563">
        <f t="shared" si="295"/>
        <v>28200.343000000001</v>
      </c>
      <c r="FM77" s="529"/>
      <c r="FN77" s="564" t="s">
        <v>2649</v>
      </c>
      <c r="FO77" s="740">
        <v>7.7090000000000006E-2</v>
      </c>
      <c r="FP77" s="741">
        <v>0.87280000000000002</v>
      </c>
      <c r="FQ77" s="565" t="s">
        <v>2617</v>
      </c>
      <c r="FR77" s="529"/>
      <c r="FS77" s="867">
        <v>3.58</v>
      </c>
      <c r="FT77" s="566">
        <f>RANK($FS77,$FS$8:$FS$154,0)+COUNTIF($FS$8:$FS77,$FS77)-1</f>
        <v>38</v>
      </c>
      <c r="FU77" s="867">
        <v>4.16</v>
      </c>
      <c r="FV77" s="566">
        <f>RANK($FU77,$FU$8:$FU$154,0)+COUNTIF($FU$8:$FU77,$FU77)-1</f>
        <v>52</v>
      </c>
      <c r="FW77" s="867">
        <v>2.86</v>
      </c>
      <c r="FX77" s="566">
        <f>RANK($FW77,$FW$8:$FW$154,0)+COUNTIF($FW$8:$FW77,$FW77)-1</f>
        <v>10</v>
      </c>
      <c r="FY77" s="529"/>
      <c r="FZ77" s="567" t="s">
        <v>3943</v>
      </c>
      <c r="GA77" s="567" t="s">
        <v>3944</v>
      </c>
      <c r="GB77" s="567" t="s">
        <v>3945</v>
      </c>
      <c r="GC77" s="567" t="s">
        <v>3946</v>
      </c>
      <c r="GD77" s="567" t="s">
        <v>3947</v>
      </c>
      <c r="GE77" s="567" t="s">
        <v>3948</v>
      </c>
      <c r="GF77" s="567" t="str">
        <f>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https://www.statistiques.developpement-durable.gouv.fr/construction-de-locaux-resultats-fin-janvier-2026-france-entiere
https://www.insee.fr/fr/statistiques/8671745
https://www.insee.fr/fr/statistiques/8906564</v>
      </c>
      <c r="GG77" s="529"/>
      <c r="GH77" s="563">
        <f t="shared" si="296"/>
        <v>23343.634837600002</v>
      </c>
      <c r="GI77" s="563">
        <f t="shared" si="227"/>
        <v>17139.559377600002</v>
      </c>
      <c r="GJ77" s="563">
        <f t="shared" si="297"/>
        <v>6204.0754600000009</v>
      </c>
      <c r="GK77" s="563">
        <f t="shared" si="298"/>
        <v>74858.760255000001</v>
      </c>
      <c r="GL77" s="563">
        <f t="shared" si="228"/>
        <v>51593.477279999999</v>
      </c>
      <c r="GM77" s="563">
        <f t="shared" si="299"/>
        <v>23265.282975000002</v>
      </c>
      <c r="GN77" s="563">
        <f t="shared" si="300"/>
        <v>29532.411356250002</v>
      </c>
      <c r="GO77" s="563">
        <f t="shared" si="229"/>
        <v>21389.562315000003</v>
      </c>
      <c r="GP77" s="563">
        <f t="shared" si="301"/>
        <v>8142.8490412500005</v>
      </c>
      <c r="GQ77" s="563">
        <f t="shared" si="302"/>
        <v>5381.7703283055562</v>
      </c>
      <c r="GR77" s="563">
        <f t="shared" si="230"/>
        <v>4218.5061795555557</v>
      </c>
      <c r="GS77" s="563">
        <f t="shared" si="303"/>
        <v>1163.2641487500002</v>
      </c>
      <c r="GT77" s="563">
        <f t="shared" si="304"/>
        <v>0</v>
      </c>
      <c r="GU77" s="563">
        <f t="shared" si="231"/>
        <v>0</v>
      </c>
      <c r="GV77" s="563">
        <f t="shared" si="305"/>
        <v>0</v>
      </c>
      <c r="GW77" s="563">
        <f t="shared" si="306"/>
        <v>0</v>
      </c>
      <c r="GX77" s="563">
        <f t="shared" si="232"/>
        <v>0</v>
      </c>
      <c r="GY77" s="563">
        <f t="shared" si="307"/>
        <v>0</v>
      </c>
      <c r="GZ77" s="563">
        <f t="shared" si="308"/>
        <v>0</v>
      </c>
      <c r="HA77" s="563">
        <f t="shared" si="233"/>
        <v>0</v>
      </c>
      <c r="HB77" s="563">
        <f t="shared" si="309"/>
        <v>0</v>
      </c>
      <c r="HC77" s="563">
        <f t="shared" si="310"/>
        <v>992.60386755555578</v>
      </c>
      <c r="HD77" s="563">
        <f t="shared" si="234"/>
        <v>767.00112355555564</v>
      </c>
      <c r="HE77" s="563">
        <f t="shared" si="311"/>
        <v>225.60274400000017</v>
      </c>
      <c r="HF77" s="563">
        <f t="shared" si="312"/>
        <v>8166.4102096363658</v>
      </c>
      <c r="HG77" s="563">
        <f t="shared" si="235"/>
        <v>5628.3793396363635</v>
      </c>
      <c r="HH77" s="563">
        <f t="shared" si="313"/>
        <v>2538.0308700000019</v>
      </c>
      <c r="HI77" s="563">
        <f t="shared" si="314"/>
        <v>7046.5710780000027</v>
      </c>
      <c r="HJ77" s="563">
        <f t="shared" si="236"/>
        <v>5185.3484400000007</v>
      </c>
      <c r="HK77" s="563">
        <f t="shared" si="315"/>
        <v>1861.2226380000016</v>
      </c>
      <c r="HL77" s="563">
        <f t="shared" si="316"/>
        <v>4083.216842222223</v>
      </c>
      <c r="HM77" s="563">
        <f t="shared" si="237"/>
        <v>3068.0044942222225</v>
      </c>
      <c r="HN77" s="563">
        <f t="shared" si="317"/>
        <v>1015.2123480000007</v>
      </c>
      <c r="HO77" s="563">
        <f t="shared" si="318"/>
        <v>41032.955282000003</v>
      </c>
      <c r="HP77" s="563">
        <f t="shared" si="238"/>
        <v>31162.835232000001</v>
      </c>
      <c r="HQ77" s="563">
        <f t="shared" si="319"/>
        <v>9870.1200499999995</v>
      </c>
      <c r="HR77" s="563">
        <f t="shared" si="320"/>
        <v>37141.166777272723</v>
      </c>
      <c r="HS77" s="563">
        <f t="shared" si="239"/>
        <v>25015.019287272728</v>
      </c>
      <c r="HT77" s="563">
        <f t="shared" si="321"/>
        <v>12126.147489999999</v>
      </c>
      <c r="HU77" s="563">
        <f t="shared" si="322"/>
        <v>17709.092313333334</v>
      </c>
      <c r="HV77" s="563">
        <f t="shared" si="240"/>
        <v>11505.016853333333</v>
      </c>
      <c r="HW77" s="563">
        <f t="shared" si="323"/>
        <v>6204.07546</v>
      </c>
      <c r="HX77" s="544"/>
      <c r="HY77" s="568">
        <f t="shared" si="324"/>
        <v>470452.49999999994</v>
      </c>
      <c r="HZ77" s="568">
        <f t="shared" si="325"/>
        <v>21799.763999999999</v>
      </c>
      <c r="IA77" s="568">
        <f t="shared" si="326"/>
        <v>237240.51749999999</v>
      </c>
      <c r="IB77" s="568">
        <f t="shared" si="327"/>
        <v>178480.5435</v>
      </c>
      <c r="IC77" s="568">
        <f t="shared" si="328"/>
        <v>18818.099999999999</v>
      </c>
      <c r="ID77" s="568">
        <f t="shared" si="329"/>
        <v>14113.575000000001</v>
      </c>
      <c r="IE77" s="568">
        <f t="shared" si="330"/>
        <v>176672.70992217574</v>
      </c>
      <c r="IF77" s="568">
        <f t="shared" si="331"/>
        <v>1139.0232606506506</v>
      </c>
      <c r="IG77" s="568">
        <f t="shared" si="332"/>
        <v>60938.242138458445</v>
      </c>
      <c r="IH77" s="568">
        <f t="shared" si="333"/>
        <v>93794.757909570893</v>
      </c>
      <c r="II77" s="568">
        <f t="shared" si="334"/>
        <v>15500.505315830495</v>
      </c>
      <c r="IJ77" s="568">
        <f t="shared" si="335"/>
        <v>5300.1812976652727</v>
      </c>
      <c r="IK77" s="868">
        <v>3.8</v>
      </c>
      <c r="IL77" s="569" t="s">
        <v>2780</v>
      </c>
      <c r="IM77" s="570" t="s">
        <v>3949</v>
      </c>
      <c r="IN77" s="529"/>
      <c r="IO77" s="742">
        <v>3.5200000000000002E-2</v>
      </c>
      <c r="IP77" s="742">
        <v>0.48139999999999999</v>
      </c>
      <c r="IQ77" s="742">
        <v>0.41339999999999999</v>
      </c>
      <c r="IR77" s="742">
        <v>0.04</v>
      </c>
      <c r="IS77" s="742">
        <v>0.03</v>
      </c>
      <c r="IT77" s="742">
        <v>0</v>
      </c>
      <c r="IU77" s="742">
        <v>0.31080000000000002</v>
      </c>
      <c r="IV77" s="742">
        <v>0.55469999999999997</v>
      </c>
      <c r="IW77" s="742">
        <v>0.1045</v>
      </c>
      <c r="IX77" s="742">
        <v>0.03</v>
      </c>
      <c r="IY77" s="742">
        <v>0</v>
      </c>
      <c r="IZ77" s="742">
        <v>0</v>
      </c>
      <c r="JA77" s="742">
        <v>0</v>
      </c>
      <c r="JB77" s="742">
        <v>0</v>
      </c>
      <c r="JC77" s="742">
        <v>0</v>
      </c>
      <c r="JD77" s="742">
        <v>0</v>
      </c>
      <c r="JE77" s="742">
        <v>0</v>
      </c>
      <c r="JF77" s="742">
        <v>0</v>
      </c>
      <c r="JG77" s="742">
        <v>0</v>
      </c>
      <c r="JH77" s="742">
        <v>0</v>
      </c>
      <c r="JI77" s="742">
        <v>0.1081</v>
      </c>
      <c r="JJ77" s="742">
        <v>0.56200000000000006</v>
      </c>
      <c r="JK77" s="742">
        <v>0.25990000000000002</v>
      </c>
      <c r="JL77" s="742">
        <v>0.04</v>
      </c>
      <c r="JM77" s="742">
        <v>0.03</v>
      </c>
      <c r="JN77" s="742">
        <v>3.3399999999999999E-2</v>
      </c>
      <c r="JO77" s="742">
        <v>0.4622</v>
      </c>
      <c r="JP77" s="742">
        <v>0.43440000000000001</v>
      </c>
      <c r="JQ77" s="742">
        <v>0.04</v>
      </c>
      <c r="JR77" s="742">
        <v>0.03</v>
      </c>
      <c r="JS77" s="742">
        <v>4.9299999999999997E-2</v>
      </c>
      <c r="JT77" s="742">
        <v>0.5242</v>
      </c>
      <c r="JU77" s="742">
        <v>0.35649999999999998</v>
      </c>
      <c r="JV77" s="742">
        <v>0.04</v>
      </c>
      <c r="JW77" s="742">
        <v>0.03</v>
      </c>
      <c r="JX77" s="742">
        <v>9.5999999999999992E-3</v>
      </c>
      <c r="JY77" s="742">
        <v>0.36709999999999998</v>
      </c>
      <c r="JZ77" s="742">
        <v>0.51859999999999995</v>
      </c>
      <c r="KA77" s="742">
        <v>7.4700000000000003E-2</v>
      </c>
      <c r="KB77" s="742">
        <v>0.03</v>
      </c>
      <c r="KC77" s="657"/>
      <c r="KD77" s="832" t="s">
        <v>2590</v>
      </c>
      <c r="KE77" s="832" t="s">
        <v>2591</v>
      </c>
      <c r="KF77" s="869">
        <v>4.05</v>
      </c>
      <c r="KG77" s="832" t="s">
        <v>2589</v>
      </c>
      <c r="KH77" s="833" t="s">
        <v>3950</v>
      </c>
      <c r="KI77" s="832" t="s">
        <v>3951</v>
      </c>
      <c r="KJ77" s="833" t="s">
        <v>3952</v>
      </c>
    </row>
    <row r="78" spans="1:296" ht="48" hidden="1" customHeight="1">
      <c r="A78" s="273">
        <f t="shared" si="336"/>
        <v>71</v>
      </c>
      <c r="B78" s="274" t="s">
        <v>2187</v>
      </c>
      <c r="C78" s="274" t="s">
        <v>3877</v>
      </c>
      <c r="D78" s="274" t="s">
        <v>1911</v>
      </c>
      <c r="E78" s="275" t="s">
        <v>3953</v>
      </c>
      <c r="F78" s="275" t="s">
        <v>3009</v>
      </c>
      <c r="G78" s="275" t="s">
        <v>300</v>
      </c>
      <c r="H78" s="275" t="s">
        <v>2109</v>
      </c>
      <c r="I78" s="276" t="s">
        <v>3954</v>
      </c>
      <c r="J78" s="276" t="s">
        <v>3955</v>
      </c>
      <c r="K78" s="277" t="s">
        <v>2097</v>
      </c>
      <c r="L78" s="277" t="s">
        <v>2109</v>
      </c>
      <c r="M78" s="277" t="s">
        <v>2603</v>
      </c>
      <c r="N78" s="277" t="s">
        <v>2099</v>
      </c>
      <c r="O78" s="275" t="s">
        <v>2616</v>
      </c>
      <c r="P78" s="276"/>
      <c r="Q78" s="270">
        <v>1</v>
      </c>
      <c r="R78" s="278">
        <v>500</v>
      </c>
      <c r="S78" s="279">
        <v>140</v>
      </c>
      <c r="T78" s="279">
        <v>165</v>
      </c>
      <c r="U78" s="279">
        <v>195</v>
      </c>
      <c r="V78" s="279">
        <v>225</v>
      </c>
      <c r="W78" s="279">
        <f>V78+3</f>
        <v>228</v>
      </c>
      <c r="X78" s="279">
        <f>W78+3</f>
        <v>231</v>
      </c>
      <c r="Y78" s="279">
        <f>X78+3</f>
        <v>234</v>
      </c>
      <c r="Z78" s="279">
        <f>Y78+3</f>
        <v>237</v>
      </c>
      <c r="AA78" s="279">
        <v>240</v>
      </c>
      <c r="AB78" s="279">
        <f>AA78+6</f>
        <v>246</v>
      </c>
      <c r="AC78" s="279">
        <f>AB78+6</f>
        <v>252</v>
      </c>
      <c r="AD78" s="279">
        <f>AC78+6</f>
        <v>258</v>
      </c>
      <c r="AE78" s="279">
        <f>AD78+6</f>
        <v>264</v>
      </c>
      <c r="AF78" s="279">
        <v>270</v>
      </c>
      <c r="AG78" s="279">
        <f>AF78+4</f>
        <v>274</v>
      </c>
      <c r="AH78" s="279">
        <f>AG78+4</f>
        <v>278</v>
      </c>
      <c r="AI78" s="279">
        <f>AH78+4</f>
        <v>282</v>
      </c>
      <c r="AJ78" s="279">
        <f>AI78+4</f>
        <v>286</v>
      </c>
      <c r="AK78" s="279">
        <v>290</v>
      </c>
      <c r="AL78" s="276" t="s">
        <v>2124</v>
      </c>
      <c r="AM78" s="276" t="s">
        <v>3956</v>
      </c>
      <c r="AN78" s="276" t="s">
        <v>3823</v>
      </c>
      <c r="AO78" s="657"/>
      <c r="AP78" s="278">
        <v>120</v>
      </c>
      <c r="AQ78" s="278">
        <v>98</v>
      </c>
      <c r="AR78" s="278">
        <v>12</v>
      </c>
      <c r="AS78" s="278">
        <v>10</v>
      </c>
      <c r="AT78" s="657"/>
      <c r="AU78" s="281" t="s">
        <v>3957</v>
      </c>
      <c r="AV78" s="296" t="s">
        <v>3958</v>
      </c>
      <c r="AW78" s="296" t="s">
        <v>3959</v>
      </c>
      <c r="AX78" s="276" t="s">
        <v>2609</v>
      </c>
      <c r="AY78" s="657"/>
      <c r="AZ78" s="947">
        <v>5</v>
      </c>
      <c r="BA78" s="947">
        <v>0</v>
      </c>
      <c r="BB78" s="947">
        <v>1</v>
      </c>
      <c r="BC78" s="947">
        <v>4</v>
      </c>
      <c r="BD78" s="826">
        <f t="shared" si="241"/>
        <v>2700</v>
      </c>
      <c r="BE78" s="283">
        <f t="shared" si="242"/>
        <v>1350</v>
      </c>
      <c r="BF78" s="283">
        <f t="shared" si="243"/>
        <v>0</v>
      </c>
      <c r="BG78" s="283">
        <f t="shared" si="244"/>
        <v>270</v>
      </c>
      <c r="BH78" s="283">
        <f t="shared" si="245"/>
        <v>1080</v>
      </c>
      <c r="BI78" s="826">
        <f t="shared" si="246"/>
        <v>2900</v>
      </c>
      <c r="BJ78" s="283">
        <f t="shared" si="247"/>
        <v>1450</v>
      </c>
      <c r="BK78" s="283">
        <f t="shared" si="248"/>
        <v>0</v>
      </c>
      <c r="BL78" s="283">
        <f t="shared" si="249"/>
        <v>290</v>
      </c>
      <c r="BM78" s="283">
        <f t="shared" si="250"/>
        <v>1160</v>
      </c>
      <c r="BN78" s="657"/>
      <c r="BO78" s="305">
        <v>0.35</v>
      </c>
      <c r="BP78" s="305">
        <v>0.35</v>
      </c>
      <c r="BQ78" s="305">
        <v>0.1</v>
      </c>
      <c r="BR78" s="581">
        <v>0.2</v>
      </c>
      <c r="BS78" s="706">
        <v>0.33</v>
      </c>
      <c r="BT78" s="305">
        <v>0.35</v>
      </c>
      <c r="BU78" s="305">
        <v>0.12</v>
      </c>
      <c r="BV78" s="581">
        <v>0.2</v>
      </c>
      <c r="BW78" s="713"/>
      <c r="BX78" s="306"/>
      <c r="BY78" s="590"/>
      <c r="BZ78" s="713"/>
      <c r="CA78" s="306"/>
      <c r="CB78" s="590"/>
      <c r="CC78" s="706">
        <v>0.15</v>
      </c>
      <c r="CD78" s="305">
        <v>0.4</v>
      </c>
      <c r="CE78" s="305">
        <v>0.1</v>
      </c>
      <c r="CF78" s="581">
        <v>0.35</v>
      </c>
      <c r="CG78" s="706">
        <v>0.13</v>
      </c>
      <c r="CH78" s="305">
        <v>0.4</v>
      </c>
      <c r="CI78" s="305">
        <v>0.12</v>
      </c>
      <c r="CJ78" s="581">
        <v>0.35</v>
      </c>
      <c r="CK78" s="719">
        <v>0.6</v>
      </c>
      <c r="CL78" s="307">
        <v>0.25</v>
      </c>
      <c r="CM78" s="723">
        <v>0.15</v>
      </c>
      <c r="CN78" s="719">
        <v>0.5</v>
      </c>
      <c r="CO78" s="307">
        <v>0.25</v>
      </c>
      <c r="CP78" s="723">
        <v>0.25</v>
      </c>
      <c r="CQ78" s="657"/>
      <c r="CR78" s="804">
        <v>12</v>
      </c>
      <c r="CS78" s="805">
        <v>12</v>
      </c>
      <c r="CT78" s="805">
        <v>9</v>
      </c>
      <c r="CU78" s="806">
        <v>11</v>
      </c>
      <c r="CV78" s="804"/>
      <c r="CW78" s="805"/>
      <c r="CX78" s="806"/>
      <c r="CY78" s="804">
        <v>10</v>
      </c>
      <c r="CZ78" s="805">
        <v>11</v>
      </c>
      <c r="DA78" s="805">
        <v>8</v>
      </c>
      <c r="DB78" s="806">
        <v>9</v>
      </c>
      <c r="DC78" s="804">
        <v>11</v>
      </c>
      <c r="DD78" s="805">
        <v>11</v>
      </c>
      <c r="DE78" s="806">
        <v>9</v>
      </c>
      <c r="DF78" s="609" t="s">
        <v>3960</v>
      </c>
      <c r="DG78" s="657"/>
      <c r="DH78" s="308">
        <f t="shared" si="251"/>
        <v>472.49999999999994</v>
      </c>
      <c r="DI78" s="308">
        <f t="shared" si="252"/>
        <v>472.49999999999994</v>
      </c>
      <c r="DJ78" s="308">
        <f t="shared" si="253"/>
        <v>135</v>
      </c>
      <c r="DK78" s="308">
        <f t="shared" si="254"/>
        <v>270</v>
      </c>
      <c r="DL78" s="287" t="s">
        <v>3961</v>
      </c>
      <c r="DM78" s="308">
        <f t="shared" si="255"/>
        <v>478.5</v>
      </c>
      <c r="DN78" s="308">
        <f t="shared" si="256"/>
        <v>507.49999999999994</v>
      </c>
      <c r="DO78" s="308">
        <f t="shared" si="257"/>
        <v>174</v>
      </c>
      <c r="DP78" s="308">
        <f t="shared" si="258"/>
        <v>290</v>
      </c>
      <c r="DQ78" s="289" t="s">
        <v>3962</v>
      </c>
      <c r="DR78" s="657"/>
      <c r="DS78" s="308">
        <f t="shared" si="259"/>
        <v>0</v>
      </c>
      <c r="DT78" s="308">
        <f t="shared" si="260"/>
        <v>0</v>
      </c>
      <c r="DU78" s="308">
        <f t="shared" si="261"/>
        <v>0</v>
      </c>
      <c r="DV78" s="289" t="s">
        <v>2613</v>
      </c>
      <c r="DW78" s="308">
        <f t="shared" si="262"/>
        <v>0</v>
      </c>
      <c r="DX78" s="308">
        <f t="shared" si="263"/>
        <v>0</v>
      </c>
      <c r="DY78" s="308">
        <f t="shared" si="264"/>
        <v>0</v>
      </c>
      <c r="DZ78" s="289" t="s">
        <v>3963</v>
      </c>
      <c r="EA78" s="657"/>
      <c r="EB78" s="308">
        <f t="shared" si="265"/>
        <v>40.5</v>
      </c>
      <c r="EC78" s="308">
        <f t="shared" si="266"/>
        <v>108</v>
      </c>
      <c r="ED78" s="308">
        <f t="shared" si="267"/>
        <v>27</v>
      </c>
      <c r="EE78" s="308">
        <f t="shared" si="268"/>
        <v>94.5</v>
      </c>
      <c r="EF78" s="289" t="s">
        <v>3964</v>
      </c>
      <c r="EG78" s="308">
        <f t="shared" si="269"/>
        <v>37.700000000000003</v>
      </c>
      <c r="EH78" s="308">
        <f t="shared" si="270"/>
        <v>116</v>
      </c>
      <c r="EI78" s="308">
        <f t="shared" si="271"/>
        <v>34.799999999999997</v>
      </c>
      <c r="EJ78" s="308">
        <f t="shared" si="272"/>
        <v>101.5</v>
      </c>
      <c r="EK78" s="309" t="s">
        <v>3965</v>
      </c>
      <c r="EL78" s="657"/>
      <c r="EM78" s="308">
        <f t="shared" si="273"/>
        <v>648</v>
      </c>
      <c r="EN78" s="310">
        <f t="shared" si="274"/>
        <v>270</v>
      </c>
      <c r="EO78" s="310">
        <f t="shared" si="275"/>
        <v>162</v>
      </c>
      <c r="EP78" s="289" t="s">
        <v>3966</v>
      </c>
      <c r="EQ78" s="308">
        <f t="shared" si="276"/>
        <v>580</v>
      </c>
      <c r="ER78" s="310">
        <f t="shared" si="277"/>
        <v>290</v>
      </c>
      <c r="ES78" s="310">
        <f t="shared" si="278"/>
        <v>290</v>
      </c>
      <c r="ET78" s="289" t="s">
        <v>3967</v>
      </c>
      <c r="EU78" s="657"/>
      <c r="EV78" s="728">
        <f t="shared" si="279"/>
        <v>0.70360290896105671</v>
      </c>
      <c r="EW78" s="728">
        <f t="shared" si="280"/>
        <v>0.29639709103894324</v>
      </c>
      <c r="EX78" s="311">
        <f t="shared" si="281"/>
        <v>1256.8611881249999</v>
      </c>
      <c r="EY78" s="311">
        <f t="shared" si="282"/>
        <v>884.33118812499993</v>
      </c>
      <c r="EZ78" s="311">
        <f t="shared" si="283"/>
        <v>372.53</v>
      </c>
      <c r="FA78" s="311">
        <f t="shared" si="284"/>
        <v>602.62469374999989</v>
      </c>
      <c r="FB78" s="311">
        <f t="shared" si="285"/>
        <v>416.35969374999991</v>
      </c>
      <c r="FC78" s="311">
        <f t="shared" si="286"/>
        <v>186.26499999999999</v>
      </c>
      <c r="FD78" s="311">
        <f t="shared" si="287"/>
        <v>0</v>
      </c>
      <c r="FE78" s="311">
        <f t="shared" si="288"/>
        <v>0</v>
      </c>
      <c r="FF78" s="311">
        <f t="shared" si="289"/>
        <v>0</v>
      </c>
      <c r="FG78" s="311">
        <f t="shared" si="290"/>
        <v>138.785960375</v>
      </c>
      <c r="FH78" s="311">
        <f t="shared" si="291"/>
        <v>101.53296037499999</v>
      </c>
      <c r="FI78" s="311">
        <f t="shared" si="292"/>
        <v>37.253</v>
      </c>
      <c r="FJ78" s="311">
        <f t="shared" si="293"/>
        <v>515.45053400000006</v>
      </c>
      <c r="FK78" s="311">
        <f t="shared" si="294"/>
        <v>366.438534</v>
      </c>
      <c r="FL78" s="311">
        <f t="shared" si="295"/>
        <v>149.012</v>
      </c>
      <c r="FM78" s="657"/>
      <c r="FN78" s="293" t="s">
        <v>2649</v>
      </c>
      <c r="FO78" s="728">
        <v>6.3899999999999998E-2</v>
      </c>
      <c r="FP78" s="729">
        <v>0.84006999999999998</v>
      </c>
      <c r="FQ78" s="294" t="s">
        <v>3968</v>
      </c>
      <c r="FR78" s="657"/>
      <c r="FS78" s="865">
        <v>3.03</v>
      </c>
      <c r="FT78" s="312">
        <f>RANK($FS78,$FS$8:$FS$154,0)+COUNTIF($FS$8:$FS127,$FS78)-1</f>
        <v>114</v>
      </c>
      <c r="FU78" s="865">
        <v>3.73</v>
      </c>
      <c r="FV78" s="312">
        <f>RANK($FU78,$FU$8:$FU$154,0)+COUNTIF($FU$8:$FU127,$FU78)-1</f>
        <v>112</v>
      </c>
      <c r="FW78" s="865">
        <v>2.17</v>
      </c>
      <c r="FX78" s="312">
        <f>RANK($FW78,$FW$8:$FW$154,0)+COUNTIF($FW$8:$FW127,$FW78)-1</f>
        <v>75</v>
      </c>
      <c r="FY78" s="657"/>
      <c r="FZ78" s="296" t="s">
        <v>3969</v>
      </c>
      <c r="GA78" s="296" t="s">
        <v>3970</v>
      </c>
      <c r="GB78" s="296" t="s">
        <v>3971</v>
      </c>
      <c r="GC78" s="296" t="s">
        <v>3972</v>
      </c>
      <c r="GD78" s="296" t="s">
        <v>3973</v>
      </c>
      <c r="GE78" s="296" t="s">
        <v>3974</v>
      </c>
      <c r="GF78" s="296" t="str">
        <f>HYPERLINK("https://www.atout-france.fr/fr/catalogue/etudes-publications/investissements-touristiques-et-developpement-des-territoires-en-1","https://www.atout-france.fr/fr/catalogue/etudes-publications/investissements-touristiques-et-developpement-des-territoires-en-1")&amp;CHAR(10)&amp;HYPERLINK("https://www.atout-france.fr/fr/actualites/investissements-touristiques-vers-un-nouveau-cycle-plus-selectif-et-durable","https://www.atout-france.fr/fr/actualites/investissements-touristiques-vers-un-nouveau-cycle-plus-selectif-et-durable")&amp;CHAR(10)&amp;HYPERLINK("https://www.atout-france.fr/fr/actualites/bilan-touristique-de-lannee-2025-avec-102-millions-de-visiteurs-la-france-pays-le-plus","https://www.atout-france.fr/fr/actualites/bilan-touristique-de-lannee-2025-avec-102-millions-de-visiteurs-la-france-pays-le-plus")&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
https://www.statistiques.developpement-durable.gouv.fr/construction-de-locaux-resultats-fin-janvier-2026-france-entiere
https://www.insee.fr/fr/statistiques/8671745
https://www.insee.fr/fr/statistiques/8906564</v>
      </c>
      <c r="GG78" s="657"/>
      <c r="GH78" s="311">
        <f t="shared" si="296"/>
        <v>197.82131187499999</v>
      </c>
      <c r="GI78" s="311">
        <f t="shared" si="227"/>
        <v>136.35386187499998</v>
      </c>
      <c r="GJ78" s="311">
        <f t="shared" si="297"/>
        <v>61.467449999999999</v>
      </c>
      <c r="GK78" s="311">
        <f t="shared" si="298"/>
        <v>201.54661187499997</v>
      </c>
      <c r="GL78" s="311">
        <f t="shared" si="228"/>
        <v>136.35386187499998</v>
      </c>
      <c r="GM78" s="311">
        <f t="shared" si="299"/>
        <v>65.19274999999999</v>
      </c>
      <c r="GN78" s="311">
        <f t="shared" si="300"/>
        <v>77.796419999999998</v>
      </c>
      <c r="GO78" s="311">
        <f t="shared" si="229"/>
        <v>55.44462</v>
      </c>
      <c r="GP78" s="311">
        <f t="shared" si="301"/>
        <v>22.351799999999997</v>
      </c>
      <c r="GQ78" s="311">
        <f t="shared" si="302"/>
        <v>125.46034999999999</v>
      </c>
      <c r="GR78" s="311">
        <f t="shared" si="230"/>
        <v>88.207349999999991</v>
      </c>
      <c r="GS78" s="311">
        <f t="shared" si="303"/>
        <v>37.253</v>
      </c>
      <c r="GT78" s="311">
        <f t="shared" si="304"/>
        <v>0</v>
      </c>
      <c r="GU78" s="311">
        <f t="shared" si="231"/>
        <v>0</v>
      </c>
      <c r="GV78" s="311">
        <f t="shared" si="305"/>
        <v>0</v>
      </c>
      <c r="GW78" s="311">
        <f t="shared" si="306"/>
        <v>0</v>
      </c>
      <c r="GX78" s="311">
        <f t="shared" si="232"/>
        <v>0</v>
      </c>
      <c r="GY78" s="311">
        <f t="shared" si="307"/>
        <v>0</v>
      </c>
      <c r="GZ78" s="311">
        <f t="shared" si="308"/>
        <v>0</v>
      </c>
      <c r="HA78" s="311">
        <f t="shared" si="233"/>
        <v>0</v>
      </c>
      <c r="HB78" s="311">
        <f t="shared" si="309"/>
        <v>0</v>
      </c>
      <c r="HC78" s="311">
        <f t="shared" si="310"/>
        <v>19.586118500000005</v>
      </c>
      <c r="HD78" s="311">
        <f t="shared" si="234"/>
        <v>14.743228500000003</v>
      </c>
      <c r="HE78" s="311">
        <f t="shared" si="311"/>
        <v>4.8428900000000006</v>
      </c>
      <c r="HF78" s="311">
        <f t="shared" si="312"/>
        <v>50.184139999999999</v>
      </c>
      <c r="HG78" s="311">
        <f t="shared" si="235"/>
        <v>35.282939999999996</v>
      </c>
      <c r="HH78" s="311">
        <f t="shared" si="313"/>
        <v>14.901200000000001</v>
      </c>
      <c r="HI78" s="311">
        <f t="shared" si="314"/>
        <v>17.165917874999998</v>
      </c>
      <c r="HJ78" s="311">
        <f t="shared" si="236"/>
        <v>12.695557874999999</v>
      </c>
      <c r="HK78" s="311">
        <f t="shared" si="315"/>
        <v>4.4703599999999994</v>
      </c>
      <c r="HL78" s="311">
        <f t="shared" si="316"/>
        <v>51.849783999999993</v>
      </c>
      <c r="HM78" s="311">
        <f t="shared" si="237"/>
        <v>38.811233999999992</v>
      </c>
      <c r="HN78" s="311">
        <f t="shared" si="317"/>
        <v>13.038549999999999</v>
      </c>
      <c r="HO78" s="311">
        <f t="shared" si="318"/>
        <v>286.20364000000001</v>
      </c>
      <c r="HP78" s="311">
        <f t="shared" si="238"/>
        <v>211.69764000000001</v>
      </c>
      <c r="HQ78" s="311">
        <f t="shared" si="319"/>
        <v>74.506</v>
      </c>
      <c r="HR78" s="311">
        <f t="shared" si="320"/>
        <v>125.46034999999999</v>
      </c>
      <c r="HS78" s="311">
        <f t="shared" si="239"/>
        <v>88.207349999999991</v>
      </c>
      <c r="HT78" s="311">
        <f t="shared" si="321"/>
        <v>37.253</v>
      </c>
      <c r="HU78" s="311">
        <f t="shared" si="322"/>
        <v>103.78654400000001</v>
      </c>
      <c r="HV78" s="311">
        <f t="shared" si="240"/>
        <v>66.533544000000006</v>
      </c>
      <c r="HW78" s="311">
        <f t="shared" si="323"/>
        <v>37.253</v>
      </c>
      <c r="HY78" s="313">
        <f t="shared" si="324"/>
        <v>2700</v>
      </c>
      <c r="HZ78" s="313">
        <f t="shared" si="325"/>
        <v>6.399</v>
      </c>
      <c r="IA78" s="313">
        <f t="shared" si="326"/>
        <v>782.81100000000004</v>
      </c>
      <c r="IB78" s="313">
        <f t="shared" si="327"/>
        <v>1370.682</v>
      </c>
      <c r="IC78" s="313">
        <f t="shared" si="328"/>
        <v>443.61</v>
      </c>
      <c r="ID78" s="313">
        <f t="shared" si="329"/>
        <v>96.49799999999999</v>
      </c>
      <c r="IE78" s="313">
        <f t="shared" si="330"/>
        <v>884.33118812499993</v>
      </c>
      <c r="IF78" s="313">
        <f t="shared" si="331"/>
        <v>0</v>
      </c>
      <c r="IG78" s="313">
        <f t="shared" si="332"/>
        <v>134.43699434934999</v>
      </c>
      <c r="IH78" s="313">
        <f t="shared" si="333"/>
        <v>469.17987101466247</v>
      </c>
      <c r="II78" s="313">
        <f t="shared" si="334"/>
        <v>236.07300821142496</v>
      </c>
      <c r="IJ78" s="313">
        <f t="shared" si="335"/>
        <v>44.641314549562495</v>
      </c>
      <c r="IK78" s="866">
        <v>3.55</v>
      </c>
      <c r="IL78" s="314" t="s">
        <v>2780</v>
      </c>
      <c r="IM78" s="299" t="s">
        <v>3975</v>
      </c>
      <c r="IN78" s="657"/>
      <c r="IO78" s="730">
        <v>0</v>
      </c>
      <c r="IP78" s="730">
        <v>0.25750000000000001</v>
      </c>
      <c r="IQ78" s="730">
        <v>0.52529999999999999</v>
      </c>
      <c r="IR78" s="730">
        <v>0.1799</v>
      </c>
      <c r="IS78" s="730">
        <v>3.73E-2</v>
      </c>
      <c r="IT78" s="730">
        <v>0</v>
      </c>
      <c r="IU78" s="730">
        <v>0.12280000000000001</v>
      </c>
      <c r="IV78" s="730">
        <v>0.52449999999999997</v>
      </c>
      <c r="IW78" s="730">
        <v>0.2969</v>
      </c>
      <c r="IX78" s="730">
        <v>5.5800000000000002E-2</v>
      </c>
      <c r="IY78" s="730">
        <v>0</v>
      </c>
      <c r="IZ78" s="730">
        <v>0</v>
      </c>
      <c r="JA78" s="730">
        <v>0</v>
      </c>
      <c r="JB78" s="730">
        <v>0</v>
      </c>
      <c r="JC78" s="730">
        <v>0</v>
      </c>
      <c r="JD78" s="730">
        <v>0</v>
      </c>
      <c r="JE78" s="730">
        <v>0</v>
      </c>
      <c r="JF78" s="730">
        <v>0</v>
      </c>
      <c r="JG78" s="730">
        <v>0</v>
      </c>
      <c r="JH78" s="730">
        <v>0</v>
      </c>
      <c r="JI78" s="730">
        <v>2.3699999999999999E-2</v>
      </c>
      <c r="JJ78" s="730">
        <v>0.38779999999999998</v>
      </c>
      <c r="JK78" s="730">
        <v>0.44130000000000003</v>
      </c>
      <c r="JL78" s="730">
        <v>0.11509999999999999</v>
      </c>
      <c r="JM78" s="730">
        <v>3.2099999999999997E-2</v>
      </c>
      <c r="JN78" s="730">
        <v>0</v>
      </c>
      <c r="JO78" s="730">
        <v>0.23799999999999999</v>
      </c>
      <c r="JP78" s="730">
        <v>0.53169999999999995</v>
      </c>
      <c r="JQ78" s="730">
        <v>0.19159999999999999</v>
      </c>
      <c r="JR78" s="730">
        <v>3.8699999999999998E-2</v>
      </c>
      <c r="JS78" s="730">
        <v>0</v>
      </c>
      <c r="JT78" s="730">
        <v>0.30599999999999999</v>
      </c>
      <c r="JU78" s="730">
        <v>0.50219999999999998</v>
      </c>
      <c r="JV78" s="730">
        <v>0.15709999999999999</v>
      </c>
      <c r="JW78" s="730">
        <v>3.4700000000000002E-2</v>
      </c>
      <c r="JX78" s="730">
        <v>0</v>
      </c>
      <c r="JY78" s="730">
        <v>0.16139999999999999</v>
      </c>
      <c r="JZ78" s="730">
        <v>0.53710000000000002</v>
      </c>
      <c r="KA78" s="730">
        <v>0.25380000000000003</v>
      </c>
      <c r="KB78" s="730">
        <v>4.7699999999999999E-2</v>
      </c>
      <c r="KC78" s="657"/>
      <c r="KD78" s="314" t="s">
        <v>2591</v>
      </c>
      <c r="KE78" s="314" t="s">
        <v>2625</v>
      </c>
      <c r="KF78" s="866">
        <v>2.9</v>
      </c>
      <c r="KG78" s="314" t="s">
        <v>2616</v>
      </c>
      <c r="KH78" s="315" t="s">
        <v>3976</v>
      </c>
      <c r="KI78" s="314" t="s">
        <v>3733</v>
      </c>
      <c r="KJ78" s="315" t="s">
        <v>3975</v>
      </c>
    </row>
    <row r="79" spans="1:296" ht="48" hidden="1" customHeight="1">
      <c r="A79" s="265">
        <f t="shared" si="336"/>
        <v>72</v>
      </c>
      <c r="B79" s="266" t="s">
        <v>2187</v>
      </c>
      <c r="C79" s="266" t="s">
        <v>1372</v>
      </c>
      <c r="D79" s="624" t="s">
        <v>3977</v>
      </c>
      <c r="E79" s="267" t="s">
        <v>2150</v>
      </c>
      <c r="F79" s="267" t="s">
        <v>300</v>
      </c>
      <c r="G79" s="267" t="s">
        <v>300</v>
      </c>
      <c r="H79" s="267" t="s">
        <v>2109</v>
      </c>
      <c r="I79" s="268" t="s">
        <v>3978</v>
      </c>
      <c r="J79" s="268" t="s">
        <v>3979</v>
      </c>
      <c r="K79" s="269" t="s">
        <v>2097</v>
      </c>
      <c r="L79" s="269" t="s">
        <v>2109</v>
      </c>
      <c r="M79" s="269" t="s">
        <v>2603</v>
      </c>
      <c r="N79" s="269" t="s">
        <v>2099</v>
      </c>
      <c r="O79" s="267" t="s">
        <v>2616</v>
      </c>
      <c r="P79" s="268"/>
      <c r="Q79" s="270">
        <v>1</v>
      </c>
      <c r="R79" s="271">
        <v>35000</v>
      </c>
      <c r="S79" s="272">
        <v>680</v>
      </c>
      <c r="T79" s="272">
        <v>730</v>
      </c>
      <c r="U79" s="272">
        <v>780</v>
      </c>
      <c r="V79" s="272">
        <v>805</v>
      </c>
      <c r="W79" s="272">
        <v>810</v>
      </c>
      <c r="X79" s="272">
        <v>815</v>
      </c>
      <c r="Y79" s="272">
        <v>820</v>
      </c>
      <c r="Z79" s="272">
        <v>825</v>
      </c>
      <c r="AA79" s="272">
        <v>820</v>
      </c>
      <c r="AB79" s="272">
        <v>820</v>
      </c>
      <c r="AC79" s="272">
        <v>825</v>
      </c>
      <c r="AD79" s="272">
        <v>828</v>
      </c>
      <c r="AE79" s="272">
        <v>830</v>
      </c>
      <c r="AF79" s="272">
        <v>832</v>
      </c>
      <c r="AG79" s="272">
        <v>834</v>
      </c>
      <c r="AH79" s="272">
        <v>836</v>
      </c>
      <c r="AI79" s="272">
        <v>838</v>
      </c>
      <c r="AJ79" s="272">
        <v>840</v>
      </c>
      <c r="AK79" s="272">
        <v>845</v>
      </c>
      <c r="AL79" s="268" t="s">
        <v>3980</v>
      </c>
      <c r="AM79" s="268" t="s">
        <v>3981</v>
      </c>
      <c r="AN79" s="268" t="s">
        <v>3982</v>
      </c>
      <c r="AO79" s="657"/>
      <c r="AP79" s="271">
        <v>3500</v>
      </c>
      <c r="AQ79" s="280">
        <v>2870</v>
      </c>
      <c r="AR79" s="280">
        <v>450</v>
      </c>
      <c r="AS79" s="280">
        <v>180</v>
      </c>
      <c r="AT79" s="657"/>
      <c r="AU79" s="301" t="s">
        <v>3983</v>
      </c>
      <c r="AV79" s="572" t="s">
        <v>3984</v>
      </c>
      <c r="AW79" s="645" t="s">
        <v>3985</v>
      </c>
      <c r="AX79" s="290" t="s">
        <v>2670</v>
      </c>
      <c r="AY79" s="657"/>
      <c r="AZ79" s="948">
        <v>80</v>
      </c>
      <c r="BA79" s="948">
        <v>4</v>
      </c>
      <c r="BB79" s="948">
        <v>18</v>
      </c>
      <c r="BC79" s="948">
        <v>75</v>
      </c>
      <c r="BD79" s="825">
        <f t="shared" si="241"/>
        <v>147264</v>
      </c>
      <c r="BE79" s="304">
        <f t="shared" si="242"/>
        <v>66560</v>
      </c>
      <c r="BF79" s="304">
        <f t="shared" si="243"/>
        <v>3328</v>
      </c>
      <c r="BG79" s="304">
        <f t="shared" si="244"/>
        <v>14976</v>
      </c>
      <c r="BH79" s="304">
        <f t="shared" si="245"/>
        <v>62400</v>
      </c>
      <c r="BI79" s="825">
        <f t="shared" si="246"/>
        <v>149565</v>
      </c>
      <c r="BJ79" s="304">
        <f t="shared" si="247"/>
        <v>67600</v>
      </c>
      <c r="BK79" s="304">
        <f t="shared" si="248"/>
        <v>3380</v>
      </c>
      <c r="BL79" s="304">
        <f t="shared" si="249"/>
        <v>15210</v>
      </c>
      <c r="BM79" s="304">
        <f t="shared" si="250"/>
        <v>63375</v>
      </c>
      <c r="BN79" s="657"/>
      <c r="BO79" s="284">
        <v>0.3</v>
      </c>
      <c r="BP79" s="284">
        <v>0.45</v>
      </c>
      <c r="BQ79" s="284">
        <v>0.2</v>
      </c>
      <c r="BR79" s="710">
        <v>0.05</v>
      </c>
      <c r="BS79" s="707">
        <v>0.26</v>
      </c>
      <c r="BT79" s="284">
        <v>0.44</v>
      </c>
      <c r="BU79" s="284">
        <v>0.26</v>
      </c>
      <c r="BV79" s="710">
        <v>0.04</v>
      </c>
      <c r="BW79" s="714">
        <v>0.32</v>
      </c>
      <c r="BX79" s="285">
        <v>0.45</v>
      </c>
      <c r="BY79" s="717">
        <v>0.23</v>
      </c>
      <c r="BZ79" s="714">
        <v>0.28000000000000003</v>
      </c>
      <c r="CA79" s="285">
        <v>0.46</v>
      </c>
      <c r="CB79" s="717">
        <v>0.26</v>
      </c>
      <c r="CC79" s="284">
        <v>0.1</v>
      </c>
      <c r="CD79" s="284">
        <v>0.47</v>
      </c>
      <c r="CE79" s="284">
        <v>0.25</v>
      </c>
      <c r="CF79" s="710">
        <v>0.18</v>
      </c>
      <c r="CG79" s="707">
        <v>0.08</v>
      </c>
      <c r="CH79" s="284">
        <v>0.45</v>
      </c>
      <c r="CI79" s="284">
        <v>0.27</v>
      </c>
      <c r="CJ79" s="710">
        <v>0.2</v>
      </c>
      <c r="CK79" s="720">
        <v>0.47</v>
      </c>
      <c r="CL79" s="286">
        <v>0.36</v>
      </c>
      <c r="CM79" s="718">
        <v>0.17</v>
      </c>
      <c r="CN79" s="720">
        <v>0.42</v>
      </c>
      <c r="CO79" s="286">
        <v>0.39</v>
      </c>
      <c r="CP79" s="718">
        <v>0.19</v>
      </c>
      <c r="CQ79" s="657"/>
      <c r="CR79" s="807">
        <v>11</v>
      </c>
      <c r="CS79" s="808">
        <v>12</v>
      </c>
      <c r="CT79" s="808">
        <v>8</v>
      </c>
      <c r="CU79" s="809">
        <v>10</v>
      </c>
      <c r="CV79" s="807">
        <v>10</v>
      </c>
      <c r="CW79" s="808">
        <v>9</v>
      </c>
      <c r="CX79" s="809">
        <v>7</v>
      </c>
      <c r="CY79" s="807">
        <v>9</v>
      </c>
      <c r="CZ79" s="808">
        <v>11</v>
      </c>
      <c r="DA79" s="808">
        <v>7</v>
      </c>
      <c r="DB79" s="809">
        <v>9</v>
      </c>
      <c r="DC79" s="807">
        <v>12</v>
      </c>
      <c r="DD79" s="808">
        <v>12</v>
      </c>
      <c r="DE79" s="809">
        <v>8</v>
      </c>
      <c r="DF79" s="610" t="s">
        <v>3986</v>
      </c>
      <c r="DG79" s="657"/>
      <c r="DH79" s="288">
        <f t="shared" si="251"/>
        <v>19968</v>
      </c>
      <c r="DI79" s="288">
        <f t="shared" si="252"/>
        <v>29952</v>
      </c>
      <c r="DJ79" s="288">
        <f t="shared" si="253"/>
        <v>13312</v>
      </c>
      <c r="DK79" s="288">
        <f t="shared" si="254"/>
        <v>3328</v>
      </c>
      <c r="DL79" s="560" t="s">
        <v>8030</v>
      </c>
      <c r="DM79" s="288">
        <f t="shared" si="255"/>
        <v>17576</v>
      </c>
      <c r="DN79" s="288">
        <f t="shared" si="256"/>
        <v>29744</v>
      </c>
      <c r="DO79" s="288">
        <f t="shared" si="257"/>
        <v>17576</v>
      </c>
      <c r="DP79" s="288">
        <f t="shared" si="258"/>
        <v>2704</v>
      </c>
      <c r="DQ79" s="561" t="s">
        <v>8031</v>
      </c>
      <c r="DR79" s="657"/>
      <c r="DS79" s="288">
        <f t="shared" si="259"/>
        <v>1064.96</v>
      </c>
      <c r="DT79" s="288">
        <f t="shared" si="260"/>
        <v>1497.6000000000001</v>
      </c>
      <c r="DU79" s="288">
        <f t="shared" si="261"/>
        <v>765.44</v>
      </c>
      <c r="DV79" s="561" t="s">
        <v>8032</v>
      </c>
      <c r="DW79" s="288">
        <f t="shared" si="262"/>
        <v>946.40000000000009</v>
      </c>
      <c r="DX79" s="288">
        <f t="shared" si="263"/>
        <v>1554.8</v>
      </c>
      <c r="DY79" s="288">
        <f t="shared" si="264"/>
        <v>878.80000000000007</v>
      </c>
      <c r="DZ79" s="561" t="s">
        <v>8033</v>
      </c>
      <c r="EA79" s="657"/>
      <c r="EB79" s="288">
        <f t="shared" si="265"/>
        <v>1497.6000000000001</v>
      </c>
      <c r="EC79" s="288">
        <f t="shared" si="266"/>
        <v>7038.7199999999993</v>
      </c>
      <c r="ED79" s="288">
        <f t="shared" si="267"/>
        <v>3744</v>
      </c>
      <c r="EE79" s="288">
        <f t="shared" si="268"/>
        <v>2695.68</v>
      </c>
      <c r="EF79" s="561" t="s">
        <v>8034</v>
      </c>
      <c r="EG79" s="288">
        <f t="shared" si="269"/>
        <v>1216.8</v>
      </c>
      <c r="EH79" s="288">
        <f t="shared" si="270"/>
        <v>6844.5</v>
      </c>
      <c r="EI79" s="288">
        <f t="shared" si="271"/>
        <v>4106.7</v>
      </c>
      <c r="EJ79" s="288">
        <f t="shared" si="272"/>
        <v>3042</v>
      </c>
      <c r="EK79" s="561" t="s">
        <v>8035</v>
      </c>
      <c r="EL79" s="657"/>
      <c r="EM79" s="288">
        <f t="shared" si="273"/>
        <v>29328</v>
      </c>
      <c r="EN79" s="291">
        <f t="shared" si="274"/>
        <v>22464</v>
      </c>
      <c r="EO79" s="291">
        <f t="shared" si="275"/>
        <v>10608</v>
      </c>
      <c r="EP79" s="561" t="s">
        <v>8036</v>
      </c>
      <c r="EQ79" s="288">
        <f t="shared" si="276"/>
        <v>26617.5</v>
      </c>
      <c r="ER79" s="291">
        <f t="shared" si="277"/>
        <v>24716.25</v>
      </c>
      <c r="ES79" s="291">
        <f t="shared" si="278"/>
        <v>12041.25</v>
      </c>
      <c r="ET79" s="561" t="s">
        <v>8037</v>
      </c>
      <c r="EU79" s="657"/>
      <c r="EV79" s="740">
        <f t="shared" si="279"/>
        <v>0.84665777491106575</v>
      </c>
      <c r="EW79" s="740">
        <f t="shared" si="280"/>
        <v>0.15334222508893422</v>
      </c>
      <c r="EX79" s="563">
        <f t="shared" si="281"/>
        <v>65424.64082663149</v>
      </c>
      <c r="EY79" s="563">
        <f t="shared" si="282"/>
        <v>55392.28082663149</v>
      </c>
      <c r="EZ79" s="563">
        <f t="shared" si="283"/>
        <v>10032.36</v>
      </c>
      <c r="FA79" s="563">
        <f t="shared" si="284"/>
        <v>29560.093572727274</v>
      </c>
      <c r="FB79" s="563">
        <f t="shared" si="285"/>
        <v>25025.693572727272</v>
      </c>
      <c r="FC79" s="563">
        <f t="shared" si="286"/>
        <v>4534.3999999999996</v>
      </c>
      <c r="FD79" s="563">
        <f t="shared" si="287"/>
        <v>1756.2830657142858</v>
      </c>
      <c r="FE79" s="563">
        <f t="shared" si="288"/>
        <v>1529.5630657142858</v>
      </c>
      <c r="FF79" s="563">
        <f t="shared" si="289"/>
        <v>226.72</v>
      </c>
      <c r="FG79" s="563">
        <f t="shared" si="290"/>
        <v>7575.3981100649344</v>
      </c>
      <c r="FH79" s="563">
        <f t="shared" si="291"/>
        <v>6555.1581100649346</v>
      </c>
      <c r="FI79" s="563">
        <f t="shared" si="292"/>
        <v>1020.24</v>
      </c>
      <c r="FJ79" s="563">
        <f t="shared" si="293"/>
        <v>26532.866078125</v>
      </c>
      <c r="FK79" s="563">
        <f t="shared" si="294"/>
        <v>22281.866078125</v>
      </c>
      <c r="FL79" s="563">
        <f t="shared" si="295"/>
        <v>4251</v>
      </c>
      <c r="FM79" s="529"/>
      <c r="FN79" s="564" t="s">
        <v>2649</v>
      </c>
      <c r="FO79" s="740">
        <v>5.2499999999999998E-2</v>
      </c>
      <c r="FP79" s="741">
        <v>0.81154999999999999</v>
      </c>
      <c r="FQ79" s="565" t="s">
        <v>3987</v>
      </c>
      <c r="FR79" s="529"/>
      <c r="FS79" s="867">
        <v>3.54</v>
      </c>
      <c r="FT79" s="566">
        <f>RANK($FS79,$FS$8:$FS$154,0)+COUNTIF($FS$8:$FS79,$FS79)-1</f>
        <v>42</v>
      </c>
      <c r="FU79" s="867">
        <v>4.13</v>
      </c>
      <c r="FV79" s="566">
        <f>RANK($FU79,$FU$8:$FU$154,0)+COUNTIF($FU$8:$FU79,$FU79)-1</f>
        <v>68</v>
      </c>
      <c r="FW79" s="867">
        <v>2.4900000000000002</v>
      </c>
      <c r="FX79" s="566">
        <f>RANK($FW79,$FW$8:$FW$154,0)+COUNTIF($FW$8:$FW79,$FW79)-1</f>
        <v>38</v>
      </c>
      <c r="FY79" s="529"/>
      <c r="FZ79" s="567" t="s">
        <v>3988</v>
      </c>
      <c r="GA79" s="567" t="s">
        <v>3989</v>
      </c>
      <c r="GB79" s="567" t="s">
        <v>2653</v>
      </c>
      <c r="GC79" s="567" t="s">
        <v>2654</v>
      </c>
      <c r="GD79" s="567" t="s">
        <v>2655</v>
      </c>
      <c r="GE79" s="567" t="s">
        <v>2656</v>
      </c>
      <c r="GF79" s="567" t="str">
        <f>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https://www.statistiques.developpement-durable.gouv.fr/construction-de-locaux-resultats-fin-janvier-2026-france-entiere
https://www.insee.fr/fr/statistiques/8671745
https://www.insee.fr/fr/statistiques/8906564</v>
      </c>
      <c r="GG79" s="529"/>
      <c r="GH79" s="563">
        <f t="shared" si="296"/>
        <v>8394.3612727272721</v>
      </c>
      <c r="GI79" s="563">
        <f t="shared" si="227"/>
        <v>7215.4172727272726</v>
      </c>
      <c r="GJ79" s="563">
        <f t="shared" si="297"/>
        <v>1178.944</v>
      </c>
      <c r="GK79" s="563">
        <f t="shared" si="298"/>
        <v>11806.775500000002</v>
      </c>
      <c r="GL79" s="563">
        <f t="shared" si="228"/>
        <v>9811.6395000000011</v>
      </c>
      <c r="GM79" s="563">
        <f t="shared" si="299"/>
        <v>1995.1359999999997</v>
      </c>
      <c r="GN79" s="563">
        <f t="shared" si="300"/>
        <v>7849.8850000000002</v>
      </c>
      <c r="GO79" s="563">
        <f t="shared" si="229"/>
        <v>6670.9410000000007</v>
      </c>
      <c r="GP79" s="563">
        <f t="shared" si="301"/>
        <v>1178.944</v>
      </c>
      <c r="GQ79" s="563">
        <f t="shared" si="302"/>
        <v>1509.0717999999999</v>
      </c>
      <c r="GR79" s="563">
        <f t="shared" si="230"/>
        <v>1327.6958</v>
      </c>
      <c r="GS79" s="563">
        <f t="shared" si="303"/>
        <v>181.37599999999998</v>
      </c>
      <c r="GT79" s="563">
        <f t="shared" si="304"/>
        <v>488.34425599999997</v>
      </c>
      <c r="GU79" s="563">
        <f t="shared" si="231"/>
        <v>424.86265599999996</v>
      </c>
      <c r="GV79" s="563">
        <f t="shared" si="305"/>
        <v>63.481600000000007</v>
      </c>
      <c r="GW79" s="563">
        <f t="shared" si="306"/>
        <v>769.76220000000001</v>
      </c>
      <c r="GX79" s="563">
        <f t="shared" si="232"/>
        <v>665.471</v>
      </c>
      <c r="GY79" s="563">
        <f t="shared" si="307"/>
        <v>104.2912</v>
      </c>
      <c r="GZ79" s="563">
        <f t="shared" si="308"/>
        <v>498.17660971428575</v>
      </c>
      <c r="HA79" s="563">
        <f t="shared" si="233"/>
        <v>439.22940971428574</v>
      </c>
      <c r="HB79" s="563">
        <f t="shared" si="309"/>
        <v>58.947200000000002</v>
      </c>
      <c r="HC79" s="563">
        <f t="shared" si="310"/>
        <v>747.09019999999998</v>
      </c>
      <c r="HD79" s="563">
        <f t="shared" si="234"/>
        <v>665.471</v>
      </c>
      <c r="HE79" s="563">
        <f t="shared" si="311"/>
        <v>81.619200000000006</v>
      </c>
      <c r="HF79" s="563">
        <f t="shared" si="312"/>
        <v>3002.5425886363637</v>
      </c>
      <c r="HG79" s="563">
        <f t="shared" si="235"/>
        <v>2543.4345886363635</v>
      </c>
      <c r="HH79" s="563">
        <f t="shared" si="313"/>
        <v>459.108</v>
      </c>
      <c r="HI79" s="563">
        <f t="shared" si="314"/>
        <v>2423.8695214285717</v>
      </c>
      <c r="HJ79" s="563">
        <f t="shared" si="236"/>
        <v>2148.4047214285715</v>
      </c>
      <c r="HK79" s="563">
        <f t="shared" si="315"/>
        <v>275.46480000000003</v>
      </c>
      <c r="HL79" s="563">
        <f t="shared" si="316"/>
        <v>1401.8957999999998</v>
      </c>
      <c r="HM79" s="563">
        <f t="shared" si="237"/>
        <v>1197.8477999999998</v>
      </c>
      <c r="HN79" s="563">
        <f t="shared" si="317"/>
        <v>204.048</v>
      </c>
      <c r="HO79" s="563">
        <f t="shared" si="318"/>
        <v>11392.650343750001</v>
      </c>
      <c r="HP79" s="563">
        <f t="shared" si="238"/>
        <v>9607.2303437500013</v>
      </c>
      <c r="HQ79" s="563">
        <f t="shared" si="319"/>
        <v>1785.4199999999998</v>
      </c>
      <c r="HR79" s="563">
        <f t="shared" si="320"/>
        <v>9016.6196249999994</v>
      </c>
      <c r="HS79" s="563">
        <f t="shared" si="239"/>
        <v>7358.729624999999</v>
      </c>
      <c r="HT79" s="563">
        <f t="shared" si="321"/>
        <v>1657.89</v>
      </c>
      <c r="HU79" s="563">
        <f t="shared" si="322"/>
        <v>6123.5961093749993</v>
      </c>
      <c r="HV79" s="563">
        <f t="shared" si="240"/>
        <v>5315.9061093749997</v>
      </c>
      <c r="HW79" s="563">
        <f t="shared" si="323"/>
        <v>807.69</v>
      </c>
      <c r="HX79" s="544"/>
      <c r="HY79" s="568">
        <f t="shared" si="324"/>
        <v>147264.00000000003</v>
      </c>
      <c r="HZ79" s="568">
        <f t="shared" si="325"/>
        <v>1696.1152000000002</v>
      </c>
      <c r="IA79" s="568">
        <f t="shared" si="326"/>
        <v>44664.422400000003</v>
      </c>
      <c r="IB79" s="568">
        <f t="shared" si="327"/>
        <v>73259.347200000004</v>
      </c>
      <c r="IC79" s="568">
        <f t="shared" si="328"/>
        <v>25270.252800000002</v>
      </c>
      <c r="ID79" s="568">
        <f t="shared" si="329"/>
        <v>2373.8624</v>
      </c>
      <c r="IE79" s="568">
        <f t="shared" si="330"/>
        <v>55392.28082663149</v>
      </c>
      <c r="IF79" s="568">
        <f t="shared" si="331"/>
        <v>0</v>
      </c>
      <c r="IG79" s="568">
        <f t="shared" si="332"/>
        <v>14774.069684859209</v>
      </c>
      <c r="IH79" s="568">
        <f t="shared" si="333"/>
        <v>28564.258274380529</v>
      </c>
      <c r="II79" s="568">
        <f t="shared" si="334"/>
        <v>10842.694221598616</v>
      </c>
      <c r="IJ79" s="568">
        <f t="shared" si="335"/>
        <v>1211.2586457931386</v>
      </c>
      <c r="IK79" s="868">
        <v>4.18</v>
      </c>
      <c r="IL79" s="569" t="s">
        <v>2589</v>
      </c>
      <c r="IM79" s="570" t="s">
        <v>3990</v>
      </c>
      <c r="IN79" s="529"/>
      <c r="IO79" s="742">
        <v>0.01</v>
      </c>
      <c r="IP79" s="742">
        <v>0.28000000000000003</v>
      </c>
      <c r="IQ79" s="742">
        <v>0.5</v>
      </c>
      <c r="IR79" s="742">
        <v>0.19</v>
      </c>
      <c r="IS79" s="742">
        <v>0.02</v>
      </c>
      <c r="IT79" s="742">
        <v>0</v>
      </c>
      <c r="IU79" s="742">
        <v>0.24129999999999999</v>
      </c>
      <c r="IV79" s="742">
        <v>0.51870000000000005</v>
      </c>
      <c r="IW79" s="742">
        <v>0.2142</v>
      </c>
      <c r="IX79" s="742">
        <v>2.58E-2</v>
      </c>
      <c r="IY79" s="742">
        <v>5.5999999999999999E-3</v>
      </c>
      <c r="IZ79" s="742">
        <v>0.22270000000000001</v>
      </c>
      <c r="JA79" s="742">
        <v>0.49130000000000001</v>
      </c>
      <c r="JB79" s="742">
        <v>0.25779999999999997</v>
      </c>
      <c r="JC79" s="742">
        <v>2.2599999999999999E-2</v>
      </c>
      <c r="JD79" s="742">
        <v>0</v>
      </c>
      <c r="JE79" s="742">
        <v>0.1842</v>
      </c>
      <c r="JF79" s="742">
        <v>0.50800000000000001</v>
      </c>
      <c r="JG79" s="742">
        <v>0.27960000000000002</v>
      </c>
      <c r="JH79" s="742">
        <v>2.8199999999999999E-2</v>
      </c>
      <c r="JI79" s="742">
        <v>2.0899999999999998E-2</v>
      </c>
      <c r="JJ79" s="742">
        <v>0.43930000000000002</v>
      </c>
      <c r="JK79" s="742">
        <v>0.43580000000000002</v>
      </c>
      <c r="JL79" s="742">
        <v>9.9400000000000002E-2</v>
      </c>
      <c r="JM79" s="742">
        <v>4.5999999999999999E-3</v>
      </c>
      <c r="JN79" s="742">
        <v>0</v>
      </c>
      <c r="JO79" s="742">
        <v>0.40210000000000001</v>
      </c>
      <c r="JP79" s="742">
        <v>0.46060000000000001</v>
      </c>
      <c r="JQ79" s="742">
        <v>0.12659999999999999</v>
      </c>
      <c r="JR79" s="742">
        <v>1.0699999999999999E-2</v>
      </c>
      <c r="JS79" s="742">
        <v>1.12E-2</v>
      </c>
      <c r="JT79" s="742">
        <v>0.29980000000000001</v>
      </c>
      <c r="JU79" s="742">
        <v>0.50990000000000002</v>
      </c>
      <c r="JV79" s="742">
        <v>0.16470000000000001</v>
      </c>
      <c r="JW79" s="742">
        <v>1.44E-2</v>
      </c>
      <c r="JX79" s="742">
        <v>0</v>
      </c>
      <c r="JY79" s="742">
        <v>0.2611</v>
      </c>
      <c r="JZ79" s="742">
        <v>0.52900000000000003</v>
      </c>
      <c r="KA79" s="742">
        <v>0.18959999999999999</v>
      </c>
      <c r="KB79" s="742">
        <v>2.0299999999999999E-2</v>
      </c>
      <c r="KC79" s="657"/>
      <c r="KD79" s="832" t="s">
        <v>2590</v>
      </c>
      <c r="KE79" s="832" t="s">
        <v>2591</v>
      </c>
      <c r="KF79" s="869">
        <v>4.13</v>
      </c>
      <c r="KG79" s="832" t="s">
        <v>2589</v>
      </c>
      <c r="KH79" s="833" t="s">
        <v>3991</v>
      </c>
      <c r="KI79" s="832" t="s">
        <v>3208</v>
      </c>
      <c r="KJ79" s="833" t="s">
        <v>3992</v>
      </c>
    </row>
    <row r="80" spans="1:296" ht="48" hidden="1" customHeight="1">
      <c r="A80" s="273">
        <f t="shared" si="336"/>
        <v>73</v>
      </c>
      <c r="B80" s="274" t="s">
        <v>2187</v>
      </c>
      <c r="C80" s="274" t="s">
        <v>1372</v>
      </c>
      <c r="D80" s="274" t="s">
        <v>3993</v>
      </c>
      <c r="E80" s="275" t="s">
        <v>2150</v>
      </c>
      <c r="F80" s="275" t="s">
        <v>300</v>
      </c>
      <c r="G80" s="275" t="s">
        <v>300</v>
      </c>
      <c r="H80" s="275" t="s">
        <v>2109</v>
      </c>
      <c r="I80" s="276" t="s">
        <v>2201</v>
      </c>
      <c r="J80" s="276" t="s">
        <v>3994</v>
      </c>
      <c r="K80" s="277" t="s">
        <v>2097</v>
      </c>
      <c r="L80" s="277" t="s">
        <v>2109</v>
      </c>
      <c r="M80" s="277" t="s">
        <v>2603</v>
      </c>
      <c r="N80" s="277" t="s">
        <v>2099</v>
      </c>
      <c r="O80" s="275" t="s">
        <v>2616</v>
      </c>
      <c r="P80" s="276"/>
      <c r="Q80" s="270">
        <v>1</v>
      </c>
      <c r="R80" s="278">
        <v>1750</v>
      </c>
      <c r="S80" s="279">
        <v>2480</v>
      </c>
      <c r="T80" s="279">
        <v>2650</v>
      </c>
      <c r="U80" s="279">
        <v>2760</v>
      </c>
      <c r="V80" s="279">
        <v>2920</v>
      </c>
      <c r="W80" s="279">
        <v>2910</v>
      </c>
      <c r="X80" s="279">
        <v>2895</v>
      </c>
      <c r="Y80" s="279">
        <v>2875</v>
      </c>
      <c r="Z80" s="279">
        <v>2850</v>
      </c>
      <c r="AA80" s="279">
        <v>2820</v>
      </c>
      <c r="AB80" s="279">
        <v>2775</v>
      </c>
      <c r="AC80" s="279">
        <v>2720</v>
      </c>
      <c r="AD80" s="279">
        <v>2680</v>
      </c>
      <c r="AE80" s="279">
        <v>2650</v>
      </c>
      <c r="AF80" s="279">
        <v>2608</v>
      </c>
      <c r="AG80" s="279">
        <v>2575</v>
      </c>
      <c r="AH80" s="279">
        <v>2535</v>
      </c>
      <c r="AI80" s="279">
        <v>2495</v>
      </c>
      <c r="AJ80" s="279">
        <v>2452</v>
      </c>
      <c r="AK80" s="279">
        <v>2410</v>
      </c>
      <c r="AL80" s="276" t="s">
        <v>3995</v>
      </c>
      <c r="AM80" s="276" t="s">
        <v>3996</v>
      </c>
      <c r="AN80" s="276" t="s">
        <v>3997</v>
      </c>
      <c r="AO80" s="657"/>
      <c r="AP80" s="278">
        <v>400</v>
      </c>
      <c r="AQ80" s="278">
        <v>330</v>
      </c>
      <c r="AR80" s="278">
        <v>55</v>
      </c>
      <c r="AS80" s="278">
        <v>15</v>
      </c>
      <c r="AT80" s="657"/>
      <c r="AU80" s="281" t="s">
        <v>3998</v>
      </c>
      <c r="AV80" s="296" t="s">
        <v>3999</v>
      </c>
      <c r="AW80" s="296" t="s">
        <v>4000</v>
      </c>
      <c r="AX80" s="276" t="s">
        <v>2670</v>
      </c>
      <c r="AY80" s="657"/>
      <c r="AZ80" s="947">
        <v>12</v>
      </c>
      <c r="BA80" s="947">
        <v>0.4</v>
      </c>
      <c r="BB80" s="947">
        <v>3</v>
      </c>
      <c r="BC80" s="947">
        <v>11</v>
      </c>
      <c r="BD80" s="826">
        <f t="shared" si="241"/>
        <v>68851.199999999997</v>
      </c>
      <c r="BE80" s="283">
        <f t="shared" si="242"/>
        <v>31296</v>
      </c>
      <c r="BF80" s="283">
        <f t="shared" si="243"/>
        <v>1043.2</v>
      </c>
      <c r="BG80" s="283">
        <f t="shared" si="244"/>
        <v>7824</v>
      </c>
      <c r="BH80" s="283">
        <f t="shared" si="245"/>
        <v>28688</v>
      </c>
      <c r="BI80" s="826">
        <f t="shared" si="246"/>
        <v>63624</v>
      </c>
      <c r="BJ80" s="283">
        <f t="shared" si="247"/>
        <v>28920</v>
      </c>
      <c r="BK80" s="283">
        <f t="shared" si="248"/>
        <v>964</v>
      </c>
      <c r="BL80" s="283">
        <f t="shared" si="249"/>
        <v>7230</v>
      </c>
      <c r="BM80" s="283">
        <f t="shared" si="250"/>
        <v>26510</v>
      </c>
      <c r="BN80" s="657"/>
      <c r="BO80" s="305">
        <v>0.32</v>
      </c>
      <c r="BP80" s="305">
        <v>0.55000000000000004</v>
      </c>
      <c r="BQ80" s="305">
        <v>0.08</v>
      </c>
      <c r="BR80" s="581">
        <v>0.05</v>
      </c>
      <c r="BS80" s="706">
        <v>0.28000000000000003</v>
      </c>
      <c r="BT80" s="305">
        <v>0.55000000000000004</v>
      </c>
      <c r="BU80" s="305">
        <v>0.12</v>
      </c>
      <c r="BV80" s="581">
        <v>0.05</v>
      </c>
      <c r="BW80" s="713">
        <v>0.5</v>
      </c>
      <c r="BX80" s="306">
        <v>0.4</v>
      </c>
      <c r="BY80" s="590">
        <v>0.1</v>
      </c>
      <c r="BZ80" s="713">
        <v>0.44</v>
      </c>
      <c r="CA80" s="306">
        <v>0.43</v>
      </c>
      <c r="CB80" s="590">
        <v>0.13</v>
      </c>
      <c r="CC80" s="706">
        <v>0.1</v>
      </c>
      <c r="CD80" s="305">
        <v>0.55000000000000004</v>
      </c>
      <c r="CE80" s="305">
        <v>0.1</v>
      </c>
      <c r="CF80" s="581">
        <v>0.25</v>
      </c>
      <c r="CG80" s="706">
        <v>0.08</v>
      </c>
      <c r="CH80" s="305">
        <v>0.55000000000000004</v>
      </c>
      <c r="CI80" s="305">
        <v>0.13</v>
      </c>
      <c r="CJ80" s="581">
        <v>0.24</v>
      </c>
      <c r="CK80" s="719">
        <v>0.5</v>
      </c>
      <c r="CL80" s="307">
        <v>0.35</v>
      </c>
      <c r="CM80" s="723">
        <v>0.15</v>
      </c>
      <c r="CN80" s="719">
        <v>0.4</v>
      </c>
      <c r="CO80" s="307">
        <v>0.4</v>
      </c>
      <c r="CP80" s="723">
        <v>0.2</v>
      </c>
      <c r="CQ80" s="657"/>
      <c r="CR80" s="804">
        <v>11</v>
      </c>
      <c r="CS80" s="805">
        <v>12</v>
      </c>
      <c r="CT80" s="805">
        <v>8</v>
      </c>
      <c r="CU80" s="806">
        <v>10</v>
      </c>
      <c r="CV80" s="804">
        <v>12</v>
      </c>
      <c r="CW80" s="805">
        <v>11</v>
      </c>
      <c r="CX80" s="806">
        <v>9</v>
      </c>
      <c r="CY80" s="804">
        <v>9</v>
      </c>
      <c r="CZ80" s="805">
        <v>11</v>
      </c>
      <c r="DA80" s="805">
        <v>7</v>
      </c>
      <c r="DB80" s="806">
        <v>9</v>
      </c>
      <c r="DC80" s="804">
        <v>12</v>
      </c>
      <c r="DD80" s="805">
        <v>12</v>
      </c>
      <c r="DE80" s="806">
        <v>8</v>
      </c>
      <c r="DF80" s="609" t="s">
        <v>4001</v>
      </c>
      <c r="DG80" s="657"/>
      <c r="DH80" s="308">
        <f t="shared" si="251"/>
        <v>10014.719999999999</v>
      </c>
      <c r="DI80" s="308">
        <f t="shared" si="252"/>
        <v>17212.800000000003</v>
      </c>
      <c r="DJ80" s="308">
        <f t="shared" si="253"/>
        <v>2503.6799999999998</v>
      </c>
      <c r="DK80" s="308">
        <f t="shared" si="254"/>
        <v>1564.8000000000002</v>
      </c>
      <c r="DL80" s="287" t="s">
        <v>4002</v>
      </c>
      <c r="DM80" s="308">
        <f t="shared" si="255"/>
        <v>8097.6</v>
      </c>
      <c r="DN80" s="308">
        <f t="shared" si="256"/>
        <v>15906.000000000002</v>
      </c>
      <c r="DO80" s="308">
        <f t="shared" si="257"/>
        <v>3470.4</v>
      </c>
      <c r="DP80" s="308">
        <f t="shared" si="258"/>
        <v>1446</v>
      </c>
      <c r="DQ80" s="289" t="s">
        <v>3551</v>
      </c>
      <c r="DR80" s="657"/>
      <c r="DS80" s="308">
        <f t="shared" si="259"/>
        <v>521.6</v>
      </c>
      <c r="DT80" s="308">
        <f t="shared" si="260"/>
        <v>417.28000000000003</v>
      </c>
      <c r="DU80" s="308">
        <f t="shared" si="261"/>
        <v>104.32000000000001</v>
      </c>
      <c r="DV80" s="289" t="s">
        <v>4003</v>
      </c>
      <c r="DW80" s="308">
        <f t="shared" si="262"/>
        <v>424.16</v>
      </c>
      <c r="DX80" s="308">
        <f t="shared" si="263"/>
        <v>414.52</v>
      </c>
      <c r="DY80" s="308">
        <f t="shared" si="264"/>
        <v>125.32000000000001</v>
      </c>
      <c r="DZ80" s="289" t="s">
        <v>4004</v>
      </c>
      <c r="EA80" s="657"/>
      <c r="EB80" s="308">
        <f t="shared" si="265"/>
        <v>782.40000000000009</v>
      </c>
      <c r="EC80" s="308">
        <f t="shared" si="266"/>
        <v>4303.2000000000007</v>
      </c>
      <c r="ED80" s="308">
        <f t="shared" si="267"/>
        <v>782.40000000000009</v>
      </c>
      <c r="EE80" s="308">
        <f t="shared" si="268"/>
        <v>1956</v>
      </c>
      <c r="EF80" s="289" t="s">
        <v>4005</v>
      </c>
      <c r="EG80" s="308">
        <f t="shared" si="269"/>
        <v>578.4</v>
      </c>
      <c r="EH80" s="308">
        <f t="shared" si="270"/>
        <v>3976.5000000000005</v>
      </c>
      <c r="EI80" s="308">
        <f t="shared" si="271"/>
        <v>939.9</v>
      </c>
      <c r="EJ80" s="308">
        <f t="shared" si="272"/>
        <v>1735.2</v>
      </c>
      <c r="EK80" s="309" t="s">
        <v>2870</v>
      </c>
      <c r="EL80" s="657"/>
      <c r="EM80" s="308">
        <f t="shared" si="273"/>
        <v>14344</v>
      </c>
      <c r="EN80" s="310">
        <f t="shared" si="274"/>
        <v>10040.799999999999</v>
      </c>
      <c r="EO80" s="310">
        <f t="shared" si="275"/>
        <v>4303.2</v>
      </c>
      <c r="EP80" s="289" t="s">
        <v>4006</v>
      </c>
      <c r="EQ80" s="308">
        <f t="shared" si="276"/>
        <v>10604</v>
      </c>
      <c r="ER80" s="310">
        <f t="shared" si="277"/>
        <v>10604</v>
      </c>
      <c r="ES80" s="310">
        <f t="shared" si="278"/>
        <v>5302</v>
      </c>
      <c r="ET80" s="289" t="s">
        <v>3555</v>
      </c>
      <c r="EU80" s="657"/>
      <c r="EV80" s="728">
        <f t="shared" si="279"/>
        <v>0.88567260255438407</v>
      </c>
      <c r="EW80" s="728">
        <f t="shared" si="280"/>
        <v>0.11432739744561593</v>
      </c>
      <c r="EX80" s="311">
        <f t="shared" si="281"/>
        <v>31616.988410144302</v>
      </c>
      <c r="EY80" s="311">
        <f t="shared" si="282"/>
        <v>28002.3004101443</v>
      </c>
      <c r="EZ80" s="311">
        <f t="shared" si="283"/>
        <v>3614.6880000000001</v>
      </c>
      <c r="FA80" s="311">
        <f t="shared" si="284"/>
        <v>14212.45919909091</v>
      </c>
      <c r="FB80" s="311">
        <f t="shared" si="285"/>
        <v>12569.419199090909</v>
      </c>
      <c r="FC80" s="311">
        <f t="shared" si="286"/>
        <v>1643.04</v>
      </c>
      <c r="FD80" s="311">
        <f t="shared" si="287"/>
        <v>470.84394676767681</v>
      </c>
      <c r="FE80" s="311">
        <f t="shared" si="288"/>
        <v>416.07594676767684</v>
      </c>
      <c r="FF80" s="311">
        <f t="shared" si="289"/>
        <v>54.768000000000001</v>
      </c>
      <c r="FG80" s="311">
        <f t="shared" si="290"/>
        <v>3997.2216601190476</v>
      </c>
      <c r="FH80" s="311">
        <f t="shared" si="291"/>
        <v>3586.4616601190478</v>
      </c>
      <c r="FI80" s="311">
        <f t="shared" si="292"/>
        <v>410.76</v>
      </c>
      <c r="FJ80" s="311">
        <f t="shared" si="293"/>
        <v>12936.463604166667</v>
      </c>
      <c r="FK80" s="311">
        <f t="shared" si="294"/>
        <v>11430.343604166666</v>
      </c>
      <c r="FL80" s="311">
        <f t="shared" si="295"/>
        <v>1506.12</v>
      </c>
      <c r="FM80" s="657"/>
      <c r="FN80" s="293" t="s">
        <v>2649</v>
      </c>
      <c r="FO80" s="728">
        <v>5.2499999999999998E-2</v>
      </c>
      <c r="FP80" s="729">
        <v>0.81154999999999999</v>
      </c>
      <c r="FQ80" s="294" t="s">
        <v>3987</v>
      </c>
      <c r="FR80" s="657"/>
      <c r="FS80" s="865">
        <v>3.54</v>
      </c>
      <c r="FT80" s="312">
        <f>RANK($FS80,$FS$8:$FS$154,0)+COUNTIF($FS$8:$FS80,$FS80)-1</f>
        <v>43</v>
      </c>
      <c r="FU80" s="865">
        <v>4.13</v>
      </c>
      <c r="FV80" s="312">
        <f>RANK($FU80,$FU$8:$FU$154,0)+COUNTIF($FU$8:$FU80,$FU80)-1</f>
        <v>69</v>
      </c>
      <c r="FW80" s="865">
        <v>2.4900000000000002</v>
      </c>
      <c r="FX80" s="312">
        <f>RANK($FW80,$FW$8:$FW$154,0)+COUNTIF($FW$8:$FW80,$FW80)-1</f>
        <v>39</v>
      </c>
      <c r="FY80" s="657"/>
      <c r="FZ80" s="296" t="s">
        <v>3988</v>
      </c>
      <c r="GA80" s="296" t="s">
        <v>4007</v>
      </c>
      <c r="GB80" s="296" t="s">
        <v>2653</v>
      </c>
      <c r="GC80" s="296" t="s">
        <v>2654</v>
      </c>
      <c r="GD80" s="296" t="s">
        <v>2655</v>
      </c>
      <c r="GE80" s="296" t="s">
        <v>2656</v>
      </c>
      <c r="GF80" s="296" t="str">
        <f>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https://www.statistiques.developpement-durable.gouv.fr/construction-de-locaux-resultats-fin-janvier-2026-france-entiere
https://www.insee.fr/fr/statistiques/8671745
https://www.insee.fr/fr/statistiques/8906564</v>
      </c>
      <c r="GG80" s="657"/>
      <c r="GH80" s="311">
        <f t="shared" si="296"/>
        <v>4553.8045090909081</v>
      </c>
      <c r="GI80" s="311">
        <f t="shared" si="227"/>
        <v>4093.7533090909083</v>
      </c>
      <c r="GJ80" s="311">
        <f t="shared" si="297"/>
        <v>460.05120000000005</v>
      </c>
      <c r="GK80" s="311">
        <f t="shared" si="298"/>
        <v>7313.2939000000024</v>
      </c>
      <c r="GL80" s="311">
        <f t="shared" si="228"/>
        <v>6409.6219000000019</v>
      </c>
      <c r="GM80" s="311">
        <f t="shared" si="299"/>
        <v>903.67200000000003</v>
      </c>
      <c r="GN80" s="311">
        <f t="shared" si="300"/>
        <v>1564.4642399999998</v>
      </c>
      <c r="GO80" s="311">
        <f t="shared" si="229"/>
        <v>1367.2994399999998</v>
      </c>
      <c r="GP80" s="311">
        <f t="shared" si="301"/>
        <v>197.16479999999999</v>
      </c>
      <c r="GQ80" s="311">
        <f t="shared" si="302"/>
        <v>780.89655000000005</v>
      </c>
      <c r="GR80" s="311">
        <f t="shared" si="230"/>
        <v>698.74455</v>
      </c>
      <c r="GS80" s="311">
        <f t="shared" si="303"/>
        <v>82.152000000000001</v>
      </c>
      <c r="GT80" s="311">
        <f t="shared" si="304"/>
        <v>218.32888666666668</v>
      </c>
      <c r="GU80" s="311">
        <f t="shared" si="231"/>
        <v>194.23096666666666</v>
      </c>
      <c r="GV80" s="311">
        <f t="shared" si="305"/>
        <v>24.097920000000002</v>
      </c>
      <c r="GW80" s="311">
        <f t="shared" si="306"/>
        <v>194.12329454545457</v>
      </c>
      <c r="GX80" s="311">
        <f t="shared" si="232"/>
        <v>170.57305454545457</v>
      </c>
      <c r="GY80" s="311">
        <f t="shared" si="307"/>
        <v>23.550239999999999</v>
      </c>
      <c r="GZ80" s="311">
        <f t="shared" si="308"/>
        <v>58.391765555555565</v>
      </c>
      <c r="HA80" s="311">
        <f t="shared" si="233"/>
        <v>51.271925555555569</v>
      </c>
      <c r="HB80" s="311">
        <f t="shared" si="309"/>
        <v>7.1198399999999999</v>
      </c>
      <c r="HC80" s="311">
        <f t="shared" si="310"/>
        <v>417.40024166666666</v>
      </c>
      <c r="HD80" s="311">
        <f t="shared" si="234"/>
        <v>384.53944166666668</v>
      </c>
      <c r="HE80" s="311">
        <f t="shared" si="311"/>
        <v>32.860799999999998</v>
      </c>
      <c r="HF80" s="311">
        <f t="shared" si="312"/>
        <v>1984.9526250000004</v>
      </c>
      <c r="HG80" s="311">
        <f t="shared" si="235"/>
        <v>1759.0346250000005</v>
      </c>
      <c r="HH80" s="311">
        <f t="shared" si="313"/>
        <v>225.91800000000001</v>
      </c>
      <c r="HI80" s="311">
        <f t="shared" si="314"/>
        <v>534.9377892857143</v>
      </c>
      <c r="HJ80" s="311">
        <f t="shared" si="236"/>
        <v>481.53898928571425</v>
      </c>
      <c r="HK80" s="311">
        <f t="shared" si="315"/>
        <v>53.398800000000001</v>
      </c>
      <c r="HL80" s="311">
        <f t="shared" si="316"/>
        <v>1059.9310041666665</v>
      </c>
      <c r="HM80" s="311">
        <f t="shared" si="237"/>
        <v>961.34860416666652</v>
      </c>
      <c r="HN80" s="311">
        <f t="shared" si="317"/>
        <v>98.582399999999993</v>
      </c>
      <c r="HO80" s="311">
        <f t="shared" si="318"/>
        <v>5943.7995833333334</v>
      </c>
      <c r="HP80" s="311">
        <f t="shared" si="238"/>
        <v>5341.3515833333331</v>
      </c>
      <c r="HQ80" s="311">
        <f t="shared" si="319"/>
        <v>602.44799999999998</v>
      </c>
      <c r="HR80" s="311">
        <f t="shared" si="320"/>
        <v>4341.394108333333</v>
      </c>
      <c r="HS80" s="311">
        <f t="shared" si="239"/>
        <v>3738.9461083333331</v>
      </c>
      <c r="HT80" s="311">
        <f t="shared" si="321"/>
        <v>602.44799999999998</v>
      </c>
      <c r="HU80" s="311">
        <f t="shared" si="322"/>
        <v>2651.2699124999999</v>
      </c>
      <c r="HV80" s="311">
        <f t="shared" si="240"/>
        <v>2350.0459124999998</v>
      </c>
      <c r="HW80" s="311">
        <f t="shared" si="323"/>
        <v>301.22399999999999</v>
      </c>
      <c r="HY80" s="313">
        <f t="shared" si="324"/>
        <v>67808.000000000015</v>
      </c>
      <c r="HZ80" s="313">
        <f t="shared" si="325"/>
        <v>797.78719999999998</v>
      </c>
      <c r="IA80" s="313">
        <f t="shared" si="326"/>
        <v>20800.625600000003</v>
      </c>
      <c r="IB80" s="313">
        <f t="shared" si="327"/>
        <v>33685.710399999996</v>
      </c>
      <c r="IC80" s="313">
        <f t="shared" si="328"/>
        <v>11448.859200000001</v>
      </c>
      <c r="ID80" s="313">
        <f t="shared" si="329"/>
        <v>1075.0175999999999</v>
      </c>
      <c r="IE80" s="313">
        <f t="shared" si="330"/>
        <v>27586.224463376628</v>
      </c>
      <c r="IF80" s="313">
        <f t="shared" si="331"/>
        <v>0</v>
      </c>
      <c r="IG80" s="313">
        <f t="shared" si="332"/>
        <v>7459.5798013224221</v>
      </c>
      <c r="IH80" s="313">
        <f t="shared" si="333"/>
        <v>14218.333745823456</v>
      </c>
      <c r="II80" s="313">
        <f t="shared" si="334"/>
        <v>5313.6087859663439</v>
      </c>
      <c r="IJ80" s="313">
        <f t="shared" si="335"/>
        <v>594.70213026440251</v>
      </c>
      <c r="IK80" s="866">
        <v>4.18</v>
      </c>
      <c r="IL80" s="314" t="s">
        <v>2589</v>
      </c>
      <c r="IM80" s="299" t="s">
        <v>4008</v>
      </c>
      <c r="IN80" s="657"/>
      <c r="IO80" s="730">
        <v>0.01</v>
      </c>
      <c r="IP80" s="730">
        <v>0.28000000000000003</v>
      </c>
      <c r="IQ80" s="730">
        <v>0.5</v>
      </c>
      <c r="IR80" s="730">
        <v>0.19</v>
      </c>
      <c r="IS80" s="730">
        <v>0.02</v>
      </c>
      <c r="IT80" s="730">
        <v>0</v>
      </c>
      <c r="IU80" s="730">
        <v>0.24129999999999999</v>
      </c>
      <c r="IV80" s="730">
        <v>0.51870000000000005</v>
      </c>
      <c r="IW80" s="730">
        <v>0.2142</v>
      </c>
      <c r="IX80" s="730">
        <v>2.58E-2</v>
      </c>
      <c r="IY80" s="730">
        <v>0</v>
      </c>
      <c r="IZ80" s="730">
        <v>0</v>
      </c>
      <c r="JA80" s="730">
        <v>0</v>
      </c>
      <c r="JB80" s="730">
        <v>0</v>
      </c>
      <c r="JC80" s="730">
        <v>0</v>
      </c>
      <c r="JD80" s="730">
        <v>0</v>
      </c>
      <c r="JE80" s="730">
        <v>0</v>
      </c>
      <c r="JF80" s="730">
        <v>0</v>
      </c>
      <c r="JG80" s="730">
        <v>0</v>
      </c>
      <c r="JH80" s="730">
        <v>0</v>
      </c>
      <c r="JI80" s="730">
        <v>2.0899999999999998E-2</v>
      </c>
      <c r="JJ80" s="730">
        <v>0.43930000000000002</v>
      </c>
      <c r="JK80" s="730">
        <v>0.43580000000000002</v>
      </c>
      <c r="JL80" s="730">
        <v>9.9400000000000002E-2</v>
      </c>
      <c r="JM80" s="730">
        <v>4.5999999999999999E-3</v>
      </c>
      <c r="JN80" s="730">
        <v>0</v>
      </c>
      <c r="JO80" s="730">
        <v>0.40210000000000001</v>
      </c>
      <c r="JP80" s="730">
        <v>0.46060000000000001</v>
      </c>
      <c r="JQ80" s="730">
        <v>0.12659999999999999</v>
      </c>
      <c r="JR80" s="730">
        <v>1.0699999999999999E-2</v>
      </c>
      <c r="JS80" s="730">
        <v>1.12E-2</v>
      </c>
      <c r="JT80" s="730">
        <v>0.29980000000000001</v>
      </c>
      <c r="JU80" s="730">
        <v>0.50990000000000002</v>
      </c>
      <c r="JV80" s="730">
        <v>0.16470000000000001</v>
      </c>
      <c r="JW80" s="730">
        <v>1.44E-2</v>
      </c>
      <c r="JX80" s="730">
        <v>0</v>
      </c>
      <c r="JY80" s="730">
        <v>0.2611</v>
      </c>
      <c r="JZ80" s="730">
        <v>0.52900000000000003</v>
      </c>
      <c r="KA80" s="730">
        <v>0.18959999999999999</v>
      </c>
      <c r="KB80" s="730">
        <v>2.0299999999999999E-2</v>
      </c>
      <c r="KC80" s="657"/>
      <c r="KD80" s="314" t="s">
        <v>2590</v>
      </c>
      <c r="KE80" s="314" t="s">
        <v>2591</v>
      </c>
      <c r="KF80" s="866">
        <v>4.13</v>
      </c>
      <c r="KG80" s="314" t="s">
        <v>2589</v>
      </c>
      <c r="KH80" s="315" t="s">
        <v>3991</v>
      </c>
      <c r="KI80" s="314" t="s">
        <v>3208</v>
      </c>
      <c r="KJ80" s="315" t="s">
        <v>4009</v>
      </c>
    </row>
    <row r="81" spans="1:296" ht="48" hidden="1" customHeight="1">
      <c r="A81" s="265">
        <f t="shared" si="336"/>
        <v>74</v>
      </c>
      <c r="B81" s="266" t="s">
        <v>2187</v>
      </c>
      <c r="C81" s="266" t="s">
        <v>1372</v>
      </c>
      <c r="D81" s="624" t="s">
        <v>1403</v>
      </c>
      <c r="E81" s="267" t="s">
        <v>2150</v>
      </c>
      <c r="F81" s="267" t="s">
        <v>300</v>
      </c>
      <c r="G81" s="267" t="s">
        <v>300</v>
      </c>
      <c r="H81" s="267" t="s">
        <v>2109</v>
      </c>
      <c r="I81" s="268" t="s">
        <v>4010</v>
      </c>
      <c r="J81" s="268" t="s">
        <v>4011</v>
      </c>
      <c r="K81" s="269" t="s">
        <v>2097</v>
      </c>
      <c r="L81" s="269" t="s">
        <v>2109</v>
      </c>
      <c r="M81" s="269" t="s">
        <v>2603</v>
      </c>
      <c r="N81" s="269" t="s">
        <v>2099</v>
      </c>
      <c r="O81" s="267" t="s">
        <v>2616</v>
      </c>
      <c r="P81" s="268"/>
      <c r="Q81" s="270">
        <v>1</v>
      </c>
      <c r="R81" s="271">
        <v>2500</v>
      </c>
      <c r="S81" s="272">
        <v>470</v>
      </c>
      <c r="T81" s="272">
        <v>450</v>
      </c>
      <c r="U81" s="272">
        <v>430</v>
      </c>
      <c r="V81" s="272">
        <v>440</v>
      </c>
      <c r="W81" s="272">
        <f>V81+10</f>
        <v>450</v>
      </c>
      <c r="X81" s="272">
        <f>W81+10</f>
        <v>460</v>
      </c>
      <c r="Y81" s="272">
        <f>X81+10</f>
        <v>470</v>
      </c>
      <c r="Z81" s="272">
        <f>Y81+10</f>
        <v>480</v>
      </c>
      <c r="AA81" s="272">
        <v>490</v>
      </c>
      <c r="AB81" s="272">
        <f>AA81+6</f>
        <v>496</v>
      </c>
      <c r="AC81" s="272">
        <f>AB81+6</f>
        <v>502</v>
      </c>
      <c r="AD81" s="272">
        <f>AC81+6</f>
        <v>508</v>
      </c>
      <c r="AE81" s="272">
        <f>AD81+6</f>
        <v>514</v>
      </c>
      <c r="AF81" s="272">
        <v>520</v>
      </c>
      <c r="AG81" s="272">
        <f>AF81+8</f>
        <v>528</v>
      </c>
      <c r="AH81" s="272">
        <f>AG81+8</f>
        <v>536</v>
      </c>
      <c r="AI81" s="272">
        <f>AH81+8</f>
        <v>544</v>
      </c>
      <c r="AJ81" s="272">
        <f>AI81+8</f>
        <v>552</v>
      </c>
      <c r="AK81" s="272">
        <v>560</v>
      </c>
      <c r="AL81" s="268" t="s">
        <v>2124</v>
      </c>
      <c r="AM81" s="268" t="s">
        <v>4012</v>
      </c>
      <c r="AN81" s="268" t="s">
        <v>2148</v>
      </c>
      <c r="AO81" s="657"/>
      <c r="AP81" s="271">
        <v>400</v>
      </c>
      <c r="AQ81" s="280">
        <v>312</v>
      </c>
      <c r="AR81" s="280">
        <v>60</v>
      </c>
      <c r="AS81" s="280">
        <v>28</v>
      </c>
      <c r="AT81" s="657"/>
      <c r="AU81" s="301" t="s">
        <v>4013</v>
      </c>
      <c r="AV81" s="572" t="s">
        <v>4014</v>
      </c>
      <c r="AW81" s="645" t="s">
        <v>4000</v>
      </c>
      <c r="AX81" s="290" t="s">
        <v>2609</v>
      </c>
      <c r="AY81" s="657"/>
      <c r="AZ81" s="948">
        <v>10</v>
      </c>
      <c r="BA81" s="948">
        <v>0</v>
      </c>
      <c r="BB81" s="948">
        <v>2</v>
      </c>
      <c r="BC81" s="948">
        <v>9</v>
      </c>
      <c r="BD81" s="825">
        <f t="shared" si="241"/>
        <v>10920</v>
      </c>
      <c r="BE81" s="304">
        <f t="shared" si="242"/>
        <v>5200</v>
      </c>
      <c r="BF81" s="304">
        <f t="shared" si="243"/>
        <v>0</v>
      </c>
      <c r="BG81" s="304">
        <f t="shared" si="244"/>
        <v>1040</v>
      </c>
      <c r="BH81" s="304">
        <f t="shared" si="245"/>
        <v>4680</v>
      </c>
      <c r="BI81" s="825">
        <f t="shared" si="246"/>
        <v>11760</v>
      </c>
      <c r="BJ81" s="304">
        <f t="shared" si="247"/>
        <v>5600</v>
      </c>
      <c r="BK81" s="304">
        <f t="shared" si="248"/>
        <v>0</v>
      </c>
      <c r="BL81" s="304">
        <f t="shared" si="249"/>
        <v>1120</v>
      </c>
      <c r="BM81" s="304">
        <f t="shared" si="250"/>
        <v>5040</v>
      </c>
      <c r="BN81" s="657"/>
      <c r="BO81" s="284">
        <v>0.39</v>
      </c>
      <c r="BP81" s="284">
        <v>0.41</v>
      </c>
      <c r="BQ81" s="284">
        <v>0.15</v>
      </c>
      <c r="BR81" s="710">
        <v>0.05</v>
      </c>
      <c r="BS81" s="707">
        <v>0.36</v>
      </c>
      <c r="BT81" s="284">
        <v>0.39</v>
      </c>
      <c r="BU81" s="284">
        <v>0.2</v>
      </c>
      <c r="BV81" s="710">
        <v>0.05</v>
      </c>
      <c r="BW81" s="714"/>
      <c r="BX81" s="285"/>
      <c r="BY81" s="717"/>
      <c r="BZ81" s="714"/>
      <c r="CA81" s="285"/>
      <c r="CB81" s="717"/>
      <c r="CC81" s="284">
        <v>0.2</v>
      </c>
      <c r="CD81" s="284">
        <v>0.5</v>
      </c>
      <c r="CE81" s="284">
        <v>0.2</v>
      </c>
      <c r="CF81" s="710">
        <v>0.1</v>
      </c>
      <c r="CG81" s="707">
        <v>0.15</v>
      </c>
      <c r="CH81" s="284">
        <v>0.49</v>
      </c>
      <c r="CI81" s="284">
        <v>0.24</v>
      </c>
      <c r="CJ81" s="710">
        <v>0.12</v>
      </c>
      <c r="CK81" s="720">
        <v>0.55000000000000004</v>
      </c>
      <c r="CL81" s="286">
        <v>0.3</v>
      </c>
      <c r="CM81" s="718">
        <v>0.15</v>
      </c>
      <c r="CN81" s="720">
        <v>0.47</v>
      </c>
      <c r="CO81" s="286">
        <v>0.35</v>
      </c>
      <c r="CP81" s="718">
        <v>0.18</v>
      </c>
      <c r="CQ81" s="657"/>
      <c r="CR81" s="807">
        <v>9</v>
      </c>
      <c r="CS81" s="808">
        <v>11</v>
      </c>
      <c r="CT81" s="808">
        <v>8</v>
      </c>
      <c r="CU81" s="809">
        <v>9</v>
      </c>
      <c r="CV81" s="807"/>
      <c r="CW81" s="808"/>
      <c r="CX81" s="809"/>
      <c r="CY81" s="807">
        <v>8</v>
      </c>
      <c r="CZ81" s="808">
        <v>11</v>
      </c>
      <c r="DA81" s="808">
        <v>8</v>
      </c>
      <c r="DB81" s="809">
        <v>9</v>
      </c>
      <c r="DC81" s="807">
        <v>9</v>
      </c>
      <c r="DD81" s="808">
        <v>12</v>
      </c>
      <c r="DE81" s="809">
        <v>9</v>
      </c>
      <c r="DF81" s="610" t="s">
        <v>4015</v>
      </c>
      <c r="DG81" s="657"/>
      <c r="DH81" s="288">
        <f t="shared" si="251"/>
        <v>2028</v>
      </c>
      <c r="DI81" s="288">
        <f t="shared" si="252"/>
        <v>2132</v>
      </c>
      <c r="DJ81" s="288">
        <f t="shared" si="253"/>
        <v>780</v>
      </c>
      <c r="DK81" s="288">
        <f t="shared" si="254"/>
        <v>260</v>
      </c>
      <c r="DL81" s="560" t="s">
        <v>8038</v>
      </c>
      <c r="DM81" s="288">
        <f t="shared" si="255"/>
        <v>2016</v>
      </c>
      <c r="DN81" s="288">
        <f t="shared" si="256"/>
        <v>2184</v>
      </c>
      <c r="DO81" s="288">
        <f t="shared" si="257"/>
        <v>1120</v>
      </c>
      <c r="DP81" s="288">
        <f t="shared" si="258"/>
        <v>280</v>
      </c>
      <c r="DQ81" s="561" t="s">
        <v>8039</v>
      </c>
      <c r="DR81" s="657"/>
      <c r="DS81" s="288">
        <f t="shared" si="259"/>
        <v>0</v>
      </c>
      <c r="DT81" s="288">
        <f t="shared" si="260"/>
        <v>0</v>
      </c>
      <c r="DU81" s="288">
        <f t="shared" si="261"/>
        <v>0</v>
      </c>
      <c r="DV81" s="561" t="s">
        <v>2613</v>
      </c>
      <c r="DW81" s="288">
        <f t="shared" si="262"/>
        <v>0</v>
      </c>
      <c r="DX81" s="288">
        <f t="shared" si="263"/>
        <v>0</v>
      </c>
      <c r="DY81" s="288">
        <f t="shared" si="264"/>
        <v>0</v>
      </c>
      <c r="DZ81" s="561" t="s">
        <v>2613</v>
      </c>
      <c r="EA81" s="657"/>
      <c r="EB81" s="288">
        <f t="shared" si="265"/>
        <v>208</v>
      </c>
      <c r="EC81" s="288">
        <f t="shared" si="266"/>
        <v>520</v>
      </c>
      <c r="ED81" s="288">
        <f t="shared" si="267"/>
        <v>208</v>
      </c>
      <c r="EE81" s="288">
        <f t="shared" si="268"/>
        <v>104</v>
      </c>
      <c r="EF81" s="561" t="s">
        <v>8040</v>
      </c>
      <c r="EG81" s="288">
        <f t="shared" si="269"/>
        <v>168</v>
      </c>
      <c r="EH81" s="288">
        <f t="shared" si="270"/>
        <v>548.79999999999995</v>
      </c>
      <c r="EI81" s="288">
        <f t="shared" si="271"/>
        <v>268.8</v>
      </c>
      <c r="EJ81" s="288">
        <f t="shared" si="272"/>
        <v>134.4</v>
      </c>
      <c r="EK81" s="561" t="s">
        <v>8041</v>
      </c>
      <c r="EL81" s="657"/>
      <c r="EM81" s="288">
        <f t="shared" si="273"/>
        <v>2574</v>
      </c>
      <c r="EN81" s="291">
        <f t="shared" si="274"/>
        <v>1404</v>
      </c>
      <c r="EO81" s="291">
        <f t="shared" si="275"/>
        <v>702</v>
      </c>
      <c r="EP81" s="561" t="s">
        <v>8044</v>
      </c>
      <c r="EQ81" s="288">
        <f t="shared" si="276"/>
        <v>2368.7999999999997</v>
      </c>
      <c r="ER81" s="291">
        <f t="shared" si="277"/>
        <v>1764</v>
      </c>
      <c r="ES81" s="291">
        <f t="shared" si="278"/>
        <v>907.19999999999993</v>
      </c>
      <c r="ET81" s="561" t="s">
        <v>8043</v>
      </c>
      <c r="EU81" s="657"/>
      <c r="EV81" s="740">
        <f t="shared" si="279"/>
        <v>0.72807045166999529</v>
      </c>
      <c r="EW81" s="740">
        <f t="shared" si="280"/>
        <v>0.27192954833000466</v>
      </c>
      <c r="EX81" s="563">
        <f t="shared" si="281"/>
        <v>6049.0417834393929</v>
      </c>
      <c r="EY81" s="563">
        <f t="shared" si="282"/>
        <v>4404.128583439393</v>
      </c>
      <c r="EZ81" s="563">
        <f t="shared" si="283"/>
        <v>1644.9132</v>
      </c>
      <c r="FA81" s="563">
        <f t="shared" si="284"/>
        <v>2898.6372392878784</v>
      </c>
      <c r="FB81" s="563">
        <f t="shared" si="285"/>
        <v>2115.3452392878785</v>
      </c>
      <c r="FC81" s="563">
        <f t="shared" si="286"/>
        <v>783.29199999999992</v>
      </c>
      <c r="FD81" s="563">
        <f t="shared" si="287"/>
        <v>0</v>
      </c>
      <c r="FE81" s="563">
        <f t="shared" si="288"/>
        <v>0</v>
      </c>
      <c r="FF81" s="563">
        <f t="shared" si="289"/>
        <v>0</v>
      </c>
      <c r="FG81" s="563">
        <f t="shared" si="290"/>
        <v>587.36946315151511</v>
      </c>
      <c r="FH81" s="563">
        <f t="shared" si="291"/>
        <v>430.71106315151513</v>
      </c>
      <c r="FI81" s="563">
        <f t="shared" si="292"/>
        <v>156.6584</v>
      </c>
      <c r="FJ81" s="563">
        <f t="shared" si="293"/>
        <v>2563.035081</v>
      </c>
      <c r="FK81" s="563">
        <f t="shared" si="294"/>
        <v>1858.0722809999997</v>
      </c>
      <c r="FL81" s="563">
        <f t="shared" si="295"/>
        <v>704.96280000000002</v>
      </c>
      <c r="FM81" s="529"/>
      <c r="FN81" s="564" t="s">
        <v>2649</v>
      </c>
      <c r="FO81" s="740">
        <v>7.3709999999999998E-2</v>
      </c>
      <c r="FP81" s="741">
        <v>0.85097999999999996</v>
      </c>
      <c r="FQ81" s="565" t="s">
        <v>2831</v>
      </c>
      <c r="FR81" s="529"/>
      <c r="FS81" s="867">
        <v>3.06</v>
      </c>
      <c r="FT81" s="566">
        <f>RANK($FS81,$FS$8:$FS$154,0)+COUNTIF($FS$8:$FS81,$FS81)-1</f>
        <v>106</v>
      </c>
      <c r="FU81" s="867">
        <v>4.18</v>
      </c>
      <c r="FV81" s="566">
        <f>RANK($FU81,$FU$8:$FU$154,0)+COUNTIF($FU$8:$FU81,$FU81)-1</f>
        <v>49</v>
      </c>
      <c r="FW81" s="867">
        <v>1.69</v>
      </c>
      <c r="FX81" s="566">
        <f>RANK($FW81,$FW$8:$FW$154,0)+COUNTIF($FW$8:$FW81,$FW81)-1</f>
        <v>133</v>
      </c>
      <c r="FY81" s="529"/>
      <c r="FZ81" s="567" t="s">
        <v>4016</v>
      </c>
      <c r="GA81" s="567" t="s">
        <v>4017</v>
      </c>
      <c r="GB81" s="567" t="s">
        <v>4018</v>
      </c>
      <c r="GC81" s="567" t="s">
        <v>4019</v>
      </c>
      <c r="GD81" s="567" t="s">
        <v>4020</v>
      </c>
      <c r="GE81" s="567" t="s">
        <v>4021</v>
      </c>
      <c r="GF81" s="567" t="str">
        <f>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https://www.statistiques.developpement-durable.gouv.fr/construction-de-locaux-resultats-fin-janvier-2026-france-entiere
https://www.insee.fr/fr/statistiques/8671745
https://www.insee.fr/fr/statistiques/8906564</v>
      </c>
      <c r="GG81" s="529"/>
      <c r="GH81" s="563">
        <f t="shared" si="296"/>
        <v>1165.5292879999997</v>
      </c>
      <c r="GI81" s="563">
        <f t="shared" si="227"/>
        <v>883.5441679999999</v>
      </c>
      <c r="GJ81" s="563">
        <f t="shared" si="297"/>
        <v>281.98511999999994</v>
      </c>
      <c r="GK81" s="563">
        <f t="shared" si="298"/>
        <v>1035.0058254545454</v>
      </c>
      <c r="GL81" s="563">
        <f t="shared" si="228"/>
        <v>729.5219454545454</v>
      </c>
      <c r="GM81" s="563">
        <f t="shared" si="299"/>
        <v>305.48388</v>
      </c>
      <c r="GN81" s="563">
        <f t="shared" si="300"/>
        <v>545.66263249999997</v>
      </c>
      <c r="GO81" s="563">
        <f t="shared" si="229"/>
        <v>389.0042325</v>
      </c>
      <c r="GP81" s="563">
        <f t="shared" si="301"/>
        <v>156.6584</v>
      </c>
      <c r="GQ81" s="563">
        <f t="shared" si="302"/>
        <v>152.43949333333333</v>
      </c>
      <c r="GR81" s="563">
        <f t="shared" si="230"/>
        <v>113.27489333333332</v>
      </c>
      <c r="GS81" s="563">
        <f t="shared" si="303"/>
        <v>39.1646</v>
      </c>
      <c r="GT81" s="563">
        <f t="shared" si="304"/>
        <v>0</v>
      </c>
      <c r="GU81" s="563">
        <f t="shared" si="231"/>
        <v>0</v>
      </c>
      <c r="GV81" s="563">
        <f t="shared" si="305"/>
        <v>0</v>
      </c>
      <c r="GW81" s="563">
        <f t="shared" si="306"/>
        <v>0</v>
      </c>
      <c r="GX81" s="563">
        <f t="shared" si="232"/>
        <v>0</v>
      </c>
      <c r="GY81" s="563">
        <f t="shared" si="307"/>
        <v>0</v>
      </c>
      <c r="GZ81" s="563">
        <f t="shared" si="308"/>
        <v>0</v>
      </c>
      <c r="HA81" s="563">
        <f t="shared" si="233"/>
        <v>0</v>
      </c>
      <c r="HB81" s="563">
        <f t="shared" si="309"/>
        <v>0</v>
      </c>
      <c r="HC81" s="563">
        <f t="shared" si="310"/>
        <v>127.233222</v>
      </c>
      <c r="HD81" s="563">
        <f t="shared" si="234"/>
        <v>103.73446199999999</v>
      </c>
      <c r="HE81" s="563">
        <f t="shared" si="311"/>
        <v>23.498760000000001</v>
      </c>
      <c r="HF81" s="563">
        <f t="shared" si="312"/>
        <v>254.69479781818183</v>
      </c>
      <c r="HG81" s="563">
        <f t="shared" si="235"/>
        <v>177.93218181818182</v>
      </c>
      <c r="HH81" s="563">
        <f t="shared" si="313"/>
        <v>76.762615999999994</v>
      </c>
      <c r="HI81" s="563">
        <f t="shared" si="314"/>
        <v>141.33247799999998</v>
      </c>
      <c r="HJ81" s="563">
        <f t="shared" si="236"/>
        <v>103.73446199999999</v>
      </c>
      <c r="HK81" s="563">
        <f t="shared" si="315"/>
        <v>37.598016000000001</v>
      </c>
      <c r="HL81" s="563">
        <f t="shared" si="316"/>
        <v>64.108965333333344</v>
      </c>
      <c r="HM81" s="563">
        <f t="shared" si="237"/>
        <v>45.309957333333337</v>
      </c>
      <c r="HN81" s="563">
        <f t="shared" si="317"/>
        <v>18.799008000000001</v>
      </c>
      <c r="HO81" s="563">
        <f t="shared" si="318"/>
        <v>1452.7539599999998</v>
      </c>
      <c r="HP81" s="563">
        <f t="shared" si="238"/>
        <v>1121.4214439999998</v>
      </c>
      <c r="HQ81" s="563">
        <f t="shared" si="319"/>
        <v>331.332516</v>
      </c>
      <c r="HR81" s="563">
        <f t="shared" si="320"/>
        <v>677.54560500000002</v>
      </c>
      <c r="HS81" s="563">
        <f t="shared" si="239"/>
        <v>430.80862500000001</v>
      </c>
      <c r="HT81" s="563">
        <f t="shared" si="321"/>
        <v>246.73697999999999</v>
      </c>
      <c r="HU81" s="563">
        <f t="shared" si="322"/>
        <v>432.73551600000002</v>
      </c>
      <c r="HV81" s="563">
        <f t="shared" si="240"/>
        <v>305.84221200000002</v>
      </c>
      <c r="HW81" s="563">
        <f t="shared" si="323"/>
        <v>126.893304</v>
      </c>
      <c r="HX81" s="544"/>
      <c r="HY81" s="568">
        <f t="shared" si="324"/>
        <v>10920</v>
      </c>
      <c r="HZ81" s="568">
        <f t="shared" si="325"/>
        <v>2267.5640000000003</v>
      </c>
      <c r="IA81" s="568">
        <f t="shared" si="326"/>
        <v>6228.2479999999996</v>
      </c>
      <c r="IB81" s="568">
        <f t="shared" si="327"/>
        <v>2422.6799999999998</v>
      </c>
      <c r="IC81" s="568">
        <f t="shared" si="328"/>
        <v>0</v>
      </c>
      <c r="ID81" s="568">
        <f t="shared" si="329"/>
        <v>1.508</v>
      </c>
      <c r="IE81" s="568">
        <f t="shared" si="330"/>
        <v>4404.128583439393</v>
      </c>
      <c r="IF81" s="568">
        <f t="shared" si="331"/>
        <v>514.27176066852576</v>
      </c>
      <c r="IG81" s="568">
        <f t="shared" si="332"/>
        <v>2295.9473852539541</v>
      </c>
      <c r="IH81" s="568">
        <f t="shared" si="333"/>
        <v>1539.8276927960924</v>
      </c>
      <c r="II81" s="568">
        <f t="shared" si="334"/>
        <v>51.188482948160598</v>
      </c>
      <c r="IJ81" s="568">
        <f t="shared" si="335"/>
        <v>2.8932617726606056</v>
      </c>
      <c r="IK81" s="868">
        <v>3.55</v>
      </c>
      <c r="IL81" s="569" t="s">
        <v>2780</v>
      </c>
      <c r="IM81" s="570" t="s">
        <v>4022</v>
      </c>
      <c r="IN81" s="529"/>
      <c r="IO81" s="742">
        <v>0.1938</v>
      </c>
      <c r="IP81" s="742">
        <v>0.57030000000000003</v>
      </c>
      <c r="IQ81" s="742">
        <v>0.23569999999999999</v>
      </c>
      <c r="IR81" s="742">
        <v>0</v>
      </c>
      <c r="IS81" s="742">
        <v>2.0000000000000001E-4</v>
      </c>
      <c r="IT81" s="742">
        <v>0.1075</v>
      </c>
      <c r="IU81" s="742">
        <v>0.51160000000000005</v>
      </c>
      <c r="IV81" s="742">
        <v>0.36530000000000001</v>
      </c>
      <c r="IW81" s="742">
        <v>1.4800000000000001E-2</v>
      </c>
      <c r="IX81" s="742">
        <v>8.0000000000000004E-4</v>
      </c>
      <c r="IY81" s="742">
        <v>0</v>
      </c>
      <c r="IZ81" s="742">
        <v>0</v>
      </c>
      <c r="JA81" s="742">
        <v>0</v>
      </c>
      <c r="JB81" s="742">
        <v>0</v>
      </c>
      <c r="JC81" s="742">
        <v>0</v>
      </c>
      <c r="JD81" s="742">
        <v>0</v>
      </c>
      <c r="JE81" s="742">
        <v>0</v>
      </c>
      <c r="JF81" s="742">
        <v>0</v>
      </c>
      <c r="JG81" s="742">
        <v>0</v>
      </c>
      <c r="JH81" s="742">
        <v>0</v>
      </c>
      <c r="JI81" s="742">
        <v>0.28749999999999998</v>
      </c>
      <c r="JJ81" s="742">
        <v>0.56410000000000005</v>
      </c>
      <c r="JK81" s="742">
        <v>0.1484</v>
      </c>
      <c r="JL81" s="742">
        <v>0</v>
      </c>
      <c r="JM81" s="742">
        <v>0</v>
      </c>
      <c r="JN81" s="742">
        <v>0.17080000000000001</v>
      </c>
      <c r="JO81" s="742">
        <v>0.56479999999999997</v>
      </c>
      <c r="JP81" s="742">
        <v>0.26419999999999999</v>
      </c>
      <c r="JQ81" s="742">
        <v>0</v>
      </c>
      <c r="JR81" s="742">
        <v>2.0000000000000001E-4</v>
      </c>
      <c r="JS81" s="742">
        <v>0.20530000000000001</v>
      </c>
      <c r="JT81" s="742">
        <v>0.57179999999999997</v>
      </c>
      <c r="JU81" s="742">
        <v>0.2228</v>
      </c>
      <c r="JV81" s="742">
        <v>0</v>
      </c>
      <c r="JW81" s="742">
        <v>1E-4</v>
      </c>
      <c r="JX81" s="742">
        <v>0.1148</v>
      </c>
      <c r="JY81" s="742">
        <v>0.52229999999999999</v>
      </c>
      <c r="JZ81" s="742">
        <v>0.35160000000000002</v>
      </c>
      <c r="KA81" s="742">
        <v>1.0699999999999999E-2</v>
      </c>
      <c r="KB81" s="742">
        <v>5.9999999999999995E-4</v>
      </c>
      <c r="KC81" s="657"/>
      <c r="KD81" s="832" t="s">
        <v>2591</v>
      </c>
      <c r="KE81" s="832" t="s">
        <v>2591</v>
      </c>
      <c r="KF81" s="869">
        <v>3.23</v>
      </c>
      <c r="KG81" s="832" t="s">
        <v>2616</v>
      </c>
      <c r="KH81" s="833" t="s">
        <v>4023</v>
      </c>
      <c r="KI81" s="832" t="s">
        <v>2720</v>
      </c>
      <c r="KJ81" s="833" t="s">
        <v>4022</v>
      </c>
    </row>
    <row r="82" spans="1:296" ht="48" hidden="1" customHeight="1">
      <c r="A82" s="273">
        <f t="shared" si="336"/>
        <v>75</v>
      </c>
      <c r="B82" s="274" t="s">
        <v>2264</v>
      </c>
      <c r="C82" s="274" t="s">
        <v>4024</v>
      </c>
      <c r="D82" s="274" t="s">
        <v>4025</v>
      </c>
      <c r="E82" s="275" t="s">
        <v>4026</v>
      </c>
      <c r="F82" s="275" t="s">
        <v>4027</v>
      </c>
      <c r="G82" s="275" t="s">
        <v>2121</v>
      </c>
      <c r="H82" s="275" t="s">
        <v>2097</v>
      </c>
      <c r="I82" s="276" t="s">
        <v>4028</v>
      </c>
      <c r="J82" s="276" t="s">
        <v>4029</v>
      </c>
      <c r="K82" s="277" t="s">
        <v>2097</v>
      </c>
      <c r="L82" s="277" t="s">
        <v>2109</v>
      </c>
      <c r="M82" s="277" t="s">
        <v>2603</v>
      </c>
      <c r="N82" s="277" t="s">
        <v>4030</v>
      </c>
      <c r="O82" s="275" t="s">
        <v>2616</v>
      </c>
      <c r="P82" s="276"/>
      <c r="Q82" s="270">
        <v>1</v>
      </c>
      <c r="R82" s="278">
        <v>4200</v>
      </c>
      <c r="S82" s="279">
        <v>18000</v>
      </c>
      <c r="T82" s="279">
        <v>19500</v>
      </c>
      <c r="U82" s="279">
        <v>22000</v>
      </c>
      <c r="V82" s="279">
        <v>25500</v>
      </c>
      <c r="W82" s="279">
        <v>26200</v>
      </c>
      <c r="X82" s="279">
        <v>26900</v>
      </c>
      <c r="Y82" s="279">
        <v>27600</v>
      </c>
      <c r="Z82" s="279">
        <v>28400</v>
      </c>
      <c r="AA82" s="279">
        <v>27800</v>
      </c>
      <c r="AB82" s="279">
        <v>27900</v>
      </c>
      <c r="AC82" s="279">
        <v>28000</v>
      </c>
      <c r="AD82" s="279">
        <v>28050</v>
      </c>
      <c r="AE82" s="279">
        <v>28100</v>
      </c>
      <c r="AF82" s="279">
        <v>28100</v>
      </c>
      <c r="AG82" s="279">
        <v>28000</v>
      </c>
      <c r="AH82" s="279">
        <v>27900</v>
      </c>
      <c r="AI82" s="279">
        <v>27800</v>
      </c>
      <c r="AJ82" s="279">
        <v>27700</v>
      </c>
      <c r="AK82" s="279">
        <v>27600</v>
      </c>
      <c r="AL82" s="276" t="s">
        <v>4031</v>
      </c>
      <c r="AM82" s="276" t="s">
        <v>4032</v>
      </c>
      <c r="AN82" s="276" t="s">
        <v>4033</v>
      </c>
      <c r="AO82" s="657"/>
      <c r="AP82" s="278">
        <v>250</v>
      </c>
      <c r="AQ82" s="278">
        <v>225</v>
      </c>
      <c r="AR82" s="278">
        <v>25</v>
      </c>
      <c r="AS82" s="278">
        <v>0</v>
      </c>
      <c r="AT82" s="657"/>
      <c r="AU82" s="281" t="s">
        <v>4034</v>
      </c>
      <c r="AV82" s="296" t="s">
        <v>4035</v>
      </c>
      <c r="AW82" s="296" t="s">
        <v>4036</v>
      </c>
      <c r="AX82" s="276" t="s">
        <v>2670</v>
      </c>
      <c r="AY82" s="657"/>
      <c r="AZ82" s="947">
        <v>22</v>
      </c>
      <c r="BA82" s="947">
        <v>0.22500000000000001</v>
      </c>
      <c r="BB82" s="947">
        <v>4.5</v>
      </c>
      <c r="BC82" s="947">
        <v>16</v>
      </c>
      <c r="BD82" s="826">
        <f t="shared" si="241"/>
        <v>1200572.5</v>
      </c>
      <c r="BE82" s="283">
        <f t="shared" si="242"/>
        <v>618200</v>
      </c>
      <c r="BF82" s="283">
        <f t="shared" si="243"/>
        <v>6322.5</v>
      </c>
      <c r="BG82" s="283">
        <f t="shared" si="244"/>
        <v>126450</v>
      </c>
      <c r="BH82" s="283">
        <f t="shared" si="245"/>
        <v>449600</v>
      </c>
      <c r="BI82" s="826">
        <f t="shared" si="246"/>
        <v>1179210</v>
      </c>
      <c r="BJ82" s="283">
        <f t="shared" si="247"/>
        <v>607200</v>
      </c>
      <c r="BK82" s="283">
        <f t="shared" si="248"/>
        <v>6210</v>
      </c>
      <c r="BL82" s="283">
        <f t="shared" si="249"/>
        <v>124200</v>
      </c>
      <c r="BM82" s="283">
        <f t="shared" si="250"/>
        <v>441600</v>
      </c>
      <c r="BN82" s="657"/>
      <c r="BO82" s="305">
        <v>0.43</v>
      </c>
      <c r="BP82" s="305">
        <v>0.35</v>
      </c>
      <c r="BQ82" s="305">
        <v>0.17</v>
      </c>
      <c r="BR82" s="581">
        <v>0.05</v>
      </c>
      <c r="BS82" s="706">
        <v>0.36</v>
      </c>
      <c r="BT82" s="305">
        <v>0.36</v>
      </c>
      <c r="BU82" s="305">
        <v>0.24</v>
      </c>
      <c r="BV82" s="581">
        <v>0.04</v>
      </c>
      <c r="BW82" s="713">
        <v>0.5</v>
      </c>
      <c r="BX82" s="306">
        <v>0.36</v>
      </c>
      <c r="BY82" s="590">
        <v>0.14000000000000001</v>
      </c>
      <c r="BZ82" s="713">
        <v>0.45</v>
      </c>
      <c r="CA82" s="306">
        <v>0.36</v>
      </c>
      <c r="CB82" s="590">
        <v>0.19</v>
      </c>
      <c r="CC82" s="706">
        <v>0.15</v>
      </c>
      <c r="CD82" s="305">
        <v>0.5</v>
      </c>
      <c r="CE82" s="305">
        <v>0.2</v>
      </c>
      <c r="CF82" s="581">
        <v>0.15</v>
      </c>
      <c r="CG82" s="706">
        <v>0.12</v>
      </c>
      <c r="CH82" s="305">
        <v>0.47</v>
      </c>
      <c r="CI82" s="305">
        <v>0.23</v>
      </c>
      <c r="CJ82" s="581">
        <v>0.18</v>
      </c>
      <c r="CK82" s="719">
        <v>0.56000000000000005</v>
      </c>
      <c r="CL82" s="307">
        <v>0.28999999999999998</v>
      </c>
      <c r="CM82" s="723">
        <v>0.15</v>
      </c>
      <c r="CN82" s="719">
        <v>0.49</v>
      </c>
      <c r="CO82" s="307">
        <v>0.33</v>
      </c>
      <c r="CP82" s="723">
        <v>0.18</v>
      </c>
      <c r="CQ82" s="657"/>
      <c r="CR82" s="804">
        <v>13</v>
      </c>
      <c r="CS82" s="805">
        <v>14</v>
      </c>
      <c r="CT82" s="805">
        <v>10</v>
      </c>
      <c r="CU82" s="806">
        <v>12</v>
      </c>
      <c r="CV82" s="804">
        <v>12</v>
      </c>
      <c r="CW82" s="805">
        <v>11</v>
      </c>
      <c r="CX82" s="806">
        <v>9</v>
      </c>
      <c r="CY82" s="804">
        <v>11</v>
      </c>
      <c r="CZ82" s="805">
        <v>13</v>
      </c>
      <c r="DA82" s="805">
        <v>9</v>
      </c>
      <c r="DB82" s="806">
        <v>11</v>
      </c>
      <c r="DC82" s="804">
        <v>14</v>
      </c>
      <c r="DD82" s="805">
        <v>14</v>
      </c>
      <c r="DE82" s="806">
        <v>10</v>
      </c>
      <c r="DF82" s="609" t="s">
        <v>4037</v>
      </c>
      <c r="DG82" s="657"/>
      <c r="DH82" s="308">
        <f>$BE82*BO82</f>
        <v>265826</v>
      </c>
      <c r="DI82" s="308">
        <f t="shared" si="252"/>
        <v>216370</v>
      </c>
      <c r="DJ82" s="308">
        <f t="shared" si="253"/>
        <v>105094.00000000001</v>
      </c>
      <c r="DK82" s="308">
        <f t="shared" si="254"/>
        <v>30910</v>
      </c>
      <c r="DL82" s="287" t="s">
        <v>8045</v>
      </c>
      <c r="DM82" s="308">
        <f t="shared" si="255"/>
        <v>218592</v>
      </c>
      <c r="DN82" s="308">
        <f t="shared" si="256"/>
        <v>218592</v>
      </c>
      <c r="DO82" s="308">
        <f t="shared" si="257"/>
        <v>145728</v>
      </c>
      <c r="DP82" s="308">
        <f t="shared" si="258"/>
        <v>24288</v>
      </c>
      <c r="DQ82" s="289" t="s">
        <v>8046</v>
      </c>
      <c r="DR82" s="657"/>
      <c r="DS82" s="308">
        <f t="shared" si="259"/>
        <v>3161.25</v>
      </c>
      <c r="DT82" s="308">
        <f t="shared" si="260"/>
        <v>2276.1</v>
      </c>
      <c r="DU82" s="308">
        <f t="shared" si="261"/>
        <v>885.15000000000009</v>
      </c>
      <c r="DV82" s="289" t="s">
        <v>4039</v>
      </c>
      <c r="DW82" s="308">
        <f t="shared" si="262"/>
        <v>2794.5</v>
      </c>
      <c r="DX82" s="308">
        <f t="shared" si="263"/>
        <v>2235.6</v>
      </c>
      <c r="DY82" s="308">
        <f t="shared" si="264"/>
        <v>1179.9000000000001</v>
      </c>
      <c r="DZ82" s="289" t="s">
        <v>4040</v>
      </c>
      <c r="EA82" s="657"/>
      <c r="EB82" s="308">
        <f t="shared" si="265"/>
        <v>18967.5</v>
      </c>
      <c r="EC82" s="308">
        <f t="shared" si="266"/>
        <v>63225</v>
      </c>
      <c r="ED82" s="308">
        <f t="shared" si="267"/>
        <v>25290</v>
      </c>
      <c r="EE82" s="308">
        <f t="shared" si="268"/>
        <v>18967.5</v>
      </c>
      <c r="EF82" s="289" t="s">
        <v>4041</v>
      </c>
      <c r="EG82" s="308">
        <f t="shared" si="269"/>
        <v>14904</v>
      </c>
      <c r="EH82" s="308">
        <f t="shared" si="270"/>
        <v>58374</v>
      </c>
      <c r="EI82" s="308">
        <f t="shared" si="271"/>
        <v>28566</v>
      </c>
      <c r="EJ82" s="308">
        <f t="shared" si="272"/>
        <v>22356</v>
      </c>
      <c r="EK82" s="309" t="s">
        <v>8035</v>
      </c>
      <c r="EL82" s="657"/>
      <c r="EM82" s="308">
        <f t="shared" si="273"/>
        <v>251776.00000000003</v>
      </c>
      <c r="EN82" s="310">
        <f t="shared" si="274"/>
        <v>130383.99999999999</v>
      </c>
      <c r="EO82" s="310">
        <f t="shared" si="275"/>
        <v>67440</v>
      </c>
      <c r="EP82" s="289" t="s">
        <v>8048</v>
      </c>
      <c r="EQ82" s="308">
        <f t="shared" si="276"/>
        <v>216384</v>
      </c>
      <c r="ER82" s="310">
        <f t="shared" si="277"/>
        <v>145728</v>
      </c>
      <c r="ES82" s="310">
        <f t="shared" si="278"/>
        <v>79488</v>
      </c>
      <c r="ET82" s="289" t="s">
        <v>8042</v>
      </c>
      <c r="EU82" s="657"/>
      <c r="EV82" s="728">
        <f t="shared" si="279"/>
        <v>0.85760375643110587</v>
      </c>
      <c r="EW82" s="728">
        <f t="shared" si="280"/>
        <v>0.14239624356889405</v>
      </c>
      <c r="EX82" s="311">
        <f t="shared" si="281"/>
        <v>392051.22165311902</v>
      </c>
      <c r="EY82" s="311">
        <f t="shared" si="282"/>
        <v>336224.600403119</v>
      </c>
      <c r="EZ82" s="311">
        <f t="shared" si="283"/>
        <v>55826.621250000004</v>
      </c>
      <c r="FA82" s="311">
        <f t="shared" si="284"/>
        <v>203059.86842589744</v>
      </c>
      <c r="FB82" s="311">
        <f t="shared" si="285"/>
        <v>174313.56842589745</v>
      </c>
      <c r="FC82" s="311">
        <f t="shared" si="286"/>
        <v>28746.3</v>
      </c>
      <c r="FD82" s="311">
        <f t="shared" si="287"/>
        <v>2446.2677532954544</v>
      </c>
      <c r="FE82" s="311">
        <f t="shared" si="288"/>
        <v>2152.2715032954543</v>
      </c>
      <c r="FF82" s="311">
        <f t="shared" si="289"/>
        <v>293.99624999999997</v>
      </c>
      <c r="FG82" s="311">
        <f t="shared" si="290"/>
        <v>47346.916216783211</v>
      </c>
      <c r="FH82" s="311">
        <f t="shared" si="291"/>
        <v>41466.991216783208</v>
      </c>
      <c r="FI82" s="311">
        <f t="shared" si="292"/>
        <v>5879.9250000000002</v>
      </c>
      <c r="FJ82" s="311">
        <f t="shared" si="293"/>
        <v>139198.16925714284</v>
      </c>
      <c r="FK82" s="311">
        <f t="shared" si="294"/>
        <v>118291.76925714285</v>
      </c>
      <c r="FL82" s="311">
        <f t="shared" si="295"/>
        <v>20906.400000000001</v>
      </c>
      <c r="FM82" s="657"/>
      <c r="FN82" s="293" t="s">
        <v>2649</v>
      </c>
      <c r="FO82" s="728">
        <v>4.65E-2</v>
      </c>
      <c r="FP82" s="729">
        <v>0.80364999999999998</v>
      </c>
      <c r="FQ82" s="294" t="s">
        <v>4043</v>
      </c>
      <c r="FR82" s="657"/>
      <c r="FS82" s="865">
        <v>3.24</v>
      </c>
      <c r="FT82" s="312">
        <f>RANK($FS82,$FS$8:$FS$154,0)+COUNTIF($FS$8:$FS82,$FS82)-1</f>
        <v>82</v>
      </c>
      <c r="FU82" s="865">
        <v>3.87</v>
      </c>
      <c r="FV82" s="312">
        <f>RANK($FU82,$FU$8:$FU$154,0)+COUNTIF($FU$8:$FU82,$FU82)-1</f>
        <v>105</v>
      </c>
      <c r="FW82" s="865">
        <v>2.12</v>
      </c>
      <c r="FX82" s="312">
        <f>RANK($FW82,$FW$8:$FW$154,0)+COUNTIF($FW$8:$FW82,$FW82)-1</f>
        <v>83</v>
      </c>
      <c r="FY82" s="657"/>
      <c r="FZ82" s="296" t="s">
        <v>4044</v>
      </c>
      <c r="GA82" s="296" t="s">
        <v>4045</v>
      </c>
      <c r="GB82" s="296" t="s">
        <v>2653</v>
      </c>
      <c r="GC82" s="296" t="s">
        <v>2654</v>
      </c>
      <c r="GD82" s="296" t="s">
        <v>2876</v>
      </c>
      <c r="GE82" s="296" t="s">
        <v>2656</v>
      </c>
      <c r="GF82" s="296" t="str">
        <f>HYPERLINK("https://anct.gouv.fr/france-services-36","https://anct.gouv.fr/france-services-36")&amp;CHAR(10)&amp;HYPERLINK("https://www.economie.gouv.fr/particuliers/gerer-mon-argent/beneficier-daides-et-de-reductions-dimpots/france-services-les-services-publics-pres-de-chez-vous","https://www.economie.gouv.fr/particuliers/gerer-mon-argent/beneficier-daides-et-de-reductions-dimpots/france-services-les-services-publics-pres-de-chez-vous")&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82" s="657"/>
      <c r="GH82" s="311">
        <f t="shared" si="296"/>
        <v>82046.364569230776</v>
      </c>
      <c r="GI82" s="311">
        <f t="shared" si="227"/>
        <v>71697.696569230771</v>
      </c>
      <c r="GJ82" s="311">
        <f t="shared" si="297"/>
        <v>10348.668</v>
      </c>
      <c r="GK82" s="311">
        <f t="shared" si="298"/>
        <v>62372.950749999996</v>
      </c>
      <c r="GL82" s="311">
        <f t="shared" si="228"/>
        <v>52024.282749999998</v>
      </c>
      <c r="GM82" s="311">
        <f t="shared" si="299"/>
        <v>10348.668</v>
      </c>
      <c r="GN82" s="311">
        <f t="shared" si="300"/>
        <v>48046.474190000001</v>
      </c>
      <c r="GO82" s="311">
        <f t="shared" si="229"/>
        <v>41147.36219</v>
      </c>
      <c r="GP82" s="311">
        <f t="shared" si="301"/>
        <v>6899.1119999999992</v>
      </c>
      <c r="GQ82" s="311">
        <f t="shared" si="302"/>
        <v>10594.078916666667</v>
      </c>
      <c r="GR82" s="311">
        <f t="shared" si="230"/>
        <v>9444.2269166666665</v>
      </c>
      <c r="GS82" s="311">
        <f t="shared" si="303"/>
        <v>1149.8520000000001</v>
      </c>
      <c r="GT82" s="311">
        <f t="shared" si="304"/>
        <v>1098.1851562500001</v>
      </c>
      <c r="GU82" s="311">
        <f t="shared" si="231"/>
        <v>965.88684375000003</v>
      </c>
      <c r="GV82" s="311">
        <f t="shared" si="305"/>
        <v>132.29831249999998</v>
      </c>
      <c r="GW82" s="311">
        <f t="shared" si="306"/>
        <v>902.37269454545446</v>
      </c>
      <c r="GX82" s="311">
        <f t="shared" si="232"/>
        <v>796.53404454545444</v>
      </c>
      <c r="GY82" s="311">
        <f t="shared" si="307"/>
        <v>105.83864999999999</v>
      </c>
      <c r="GZ82" s="311">
        <f t="shared" si="308"/>
        <v>445.7099025</v>
      </c>
      <c r="HA82" s="311">
        <f t="shared" si="233"/>
        <v>389.850615</v>
      </c>
      <c r="HB82" s="311">
        <f t="shared" si="309"/>
        <v>55.859287499999994</v>
      </c>
      <c r="HC82" s="311">
        <f t="shared" si="310"/>
        <v>7343.3747045454547</v>
      </c>
      <c r="HD82" s="311">
        <f t="shared" si="234"/>
        <v>6637.7837045454544</v>
      </c>
      <c r="HE82" s="311">
        <f t="shared" si="311"/>
        <v>705.59100000000001</v>
      </c>
      <c r="HF82" s="311">
        <f t="shared" si="312"/>
        <v>19816.399557692308</v>
      </c>
      <c r="HG82" s="311">
        <f t="shared" si="235"/>
        <v>17052.834807692307</v>
      </c>
      <c r="HH82" s="311">
        <f t="shared" si="313"/>
        <v>2763.56475</v>
      </c>
      <c r="HI82" s="311">
        <f t="shared" si="314"/>
        <v>12490.971750000001</v>
      </c>
      <c r="HJ82" s="311">
        <f t="shared" si="236"/>
        <v>11138.589</v>
      </c>
      <c r="HK82" s="311">
        <f t="shared" si="315"/>
        <v>1352.38275</v>
      </c>
      <c r="HL82" s="311">
        <f t="shared" si="316"/>
        <v>7696.1702045454549</v>
      </c>
      <c r="HM82" s="311">
        <f t="shared" si="237"/>
        <v>6637.7837045454544</v>
      </c>
      <c r="HN82" s="311">
        <f t="shared" si="317"/>
        <v>1058.3865000000001</v>
      </c>
      <c r="HO82" s="311">
        <f t="shared" si="318"/>
        <v>70781.483200000002</v>
      </c>
      <c r="HP82" s="311">
        <f t="shared" si="238"/>
        <v>60537.347200000004</v>
      </c>
      <c r="HQ82" s="311">
        <f t="shared" si="319"/>
        <v>10244.136</v>
      </c>
      <c r="HR82" s="311">
        <f t="shared" si="320"/>
        <v>38248.809657142854</v>
      </c>
      <c r="HS82" s="311">
        <f t="shared" si="239"/>
        <v>31349.697657142853</v>
      </c>
      <c r="HT82" s="311">
        <f t="shared" si="321"/>
        <v>6899.112000000001</v>
      </c>
      <c r="HU82" s="311">
        <f t="shared" si="322"/>
        <v>30167.876400000001</v>
      </c>
      <c r="HV82" s="311">
        <f t="shared" si="240"/>
        <v>26404.724399999999</v>
      </c>
      <c r="HW82" s="311">
        <f t="shared" si="323"/>
        <v>3763.152</v>
      </c>
      <c r="HY82" s="313">
        <f t="shared" si="324"/>
        <v>1200573.13225</v>
      </c>
      <c r="HZ82" s="313">
        <f t="shared" si="325"/>
        <v>40228.521999999997</v>
      </c>
      <c r="IA82" s="313">
        <f t="shared" si="326"/>
        <v>504645.51150000002</v>
      </c>
      <c r="IB82" s="313">
        <f t="shared" si="327"/>
        <v>581633.04850000003</v>
      </c>
      <c r="IC82" s="313">
        <f t="shared" si="328"/>
        <v>74066.050250000015</v>
      </c>
      <c r="ID82" s="313">
        <f t="shared" si="329"/>
        <v>0</v>
      </c>
      <c r="IE82" s="313">
        <f t="shared" si="330"/>
        <v>336224.60040311894</v>
      </c>
      <c r="IF82" s="313">
        <f t="shared" si="331"/>
        <v>3927.9009982196512</v>
      </c>
      <c r="IG82" s="313">
        <f t="shared" si="332"/>
        <v>132921.33286942382</v>
      </c>
      <c r="IH82" s="313">
        <f t="shared" si="333"/>
        <v>169639.78779465536</v>
      </c>
      <c r="II82" s="313">
        <f t="shared" si="334"/>
        <v>28054.670965954836</v>
      </c>
      <c r="IJ82" s="313">
        <f t="shared" si="335"/>
        <v>1680.9077748652653</v>
      </c>
      <c r="IK82" s="866">
        <v>4.2</v>
      </c>
      <c r="IL82" s="314" t="s">
        <v>2589</v>
      </c>
      <c r="IM82" s="299" t="s">
        <v>4046</v>
      </c>
      <c r="IN82" s="657"/>
      <c r="IO82" s="730">
        <v>0.03</v>
      </c>
      <c r="IP82" s="730">
        <v>0.4</v>
      </c>
      <c r="IQ82" s="730">
        <v>0.5</v>
      </c>
      <c r="IR82" s="730">
        <v>7.0000000000000007E-2</v>
      </c>
      <c r="IS82" s="730">
        <v>0</v>
      </c>
      <c r="IT82" s="730">
        <v>7.7999999999999996E-3</v>
      </c>
      <c r="IU82" s="730">
        <v>0.37280000000000002</v>
      </c>
      <c r="IV82" s="730">
        <v>0.5222</v>
      </c>
      <c r="IW82" s="730">
        <v>9.2200000000000004E-2</v>
      </c>
      <c r="IX82" s="730">
        <v>5.0000000000000001E-3</v>
      </c>
      <c r="IY82" s="730">
        <v>3.1199999999999999E-2</v>
      </c>
      <c r="IZ82" s="730">
        <v>0.41539999999999999</v>
      </c>
      <c r="JA82" s="730">
        <v>0.49459999999999998</v>
      </c>
      <c r="JB82" s="730">
        <v>5.8900000000000001E-2</v>
      </c>
      <c r="JC82" s="730">
        <v>0</v>
      </c>
      <c r="JD82" s="730">
        <v>8.9999999999999993E-3</v>
      </c>
      <c r="JE82" s="730">
        <v>0.38819999999999999</v>
      </c>
      <c r="JF82" s="730">
        <v>0.51680000000000004</v>
      </c>
      <c r="JG82" s="730">
        <v>8.1100000000000005E-2</v>
      </c>
      <c r="JH82" s="730">
        <v>4.8999999999999998E-3</v>
      </c>
      <c r="JI82" s="730">
        <v>5.3999999999999999E-2</v>
      </c>
      <c r="JJ82" s="730">
        <v>0.53969999999999996</v>
      </c>
      <c r="JK82" s="730">
        <v>0.37480000000000002</v>
      </c>
      <c r="JL82" s="730">
        <v>3.15E-2</v>
      </c>
      <c r="JM82" s="730">
        <v>0</v>
      </c>
      <c r="JN82" s="730">
        <v>3.1800000000000002E-2</v>
      </c>
      <c r="JO82" s="730">
        <v>0.51249999999999996</v>
      </c>
      <c r="JP82" s="730">
        <v>0.39700000000000002</v>
      </c>
      <c r="JQ82" s="730">
        <v>5.3699999999999998E-2</v>
      </c>
      <c r="JR82" s="730">
        <v>5.0000000000000001E-3</v>
      </c>
      <c r="JS82" s="730">
        <v>3.2599999999999997E-2</v>
      </c>
      <c r="JT82" s="730">
        <v>0.4148</v>
      </c>
      <c r="JU82" s="730">
        <v>0.49380000000000002</v>
      </c>
      <c r="JV82" s="730">
        <v>5.8799999999999998E-2</v>
      </c>
      <c r="JW82" s="730">
        <v>0</v>
      </c>
      <c r="JX82" s="730">
        <v>1.04E-2</v>
      </c>
      <c r="JY82" s="730">
        <v>0.3876</v>
      </c>
      <c r="JZ82" s="730">
        <v>0.51600000000000001</v>
      </c>
      <c r="KA82" s="730">
        <v>8.1000000000000003E-2</v>
      </c>
      <c r="KB82" s="730">
        <v>5.0000000000000001E-3</v>
      </c>
      <c r="KC82" s="657"/>
      <c r="KD82" s="314" t="s">
        <v>2590</v>
      </c>
      <c r="KE82" s="314" t="s">
        <v>2590</v>
      </c>
      <c r="KF82" s="866">
        <v>4.2300000000000004</v>
      </c>
      <c r="KG82" s="314" t="s">
        <v>2589</v>
      </c>
      <c r="KH82" s="315" t="s">
        <v>4047</v>
      </c>
      <c r="KI82" s="314" t="s">
        <v>4048</v>
      </c>
      <c r="KJ82" s="315" t="s">
        <v>4049</v>
      </c>
    </row>
    <row r="83" spans="1:296" ht="48" hidden="1" customHeight="1">
      <c r="A83" s="265">
        <f t="shared" si="336"/>
        <v>76</v>
      </c>
      <c r="B83" s="266" t="s">
        <v>2264</v>
      </c>
      <c r="C83" s="266" t="s">
        <v>4050</v>
      </c>
      <c r="D83" s="624" t="s">
        <v>4051</v>
      </c>
      <c r="E83" s="267" t="s">
        <v>4026</v>
      </c>
      <c r="F83" s="267" t="s">
        <v>4027</v>
      </c>
      <c r="G83" s="267" t="s">
        <v>2121</v>
      </c>
      <c r="H83" s="267" t="s">
        <v>2097</v>
      </c>
      <c r="I83" s="268" t="s">
        <v>4052</v>
      </c>
      <c r="J83" s="268" t="s">
        <v>4053</v>
      </c>
      <c r="K83" s="269" t="s">
        <v>2097</v>
      </c>
      <c r="L83" s="269" t="s">
        <v>2109</v>
      </c>
      <c r="M83" s="269" t="s">
        <v>2603</v>
      </c>
      <c r="N83" s="269" t="s">
        <v>4054</v>
      </c>
      <c r="O83" s="267" t="s">
        <v>2616</v>
      </c>
      <c r="P83" s="268" t="s">
        <v>4055</v>
      </c>
      <c r="Q83" s="270">
        <v>1</v>
      </c>
      <c r="R83" s="271">
        <v>26000</v>
      </c>
      <c r="S83" s="272">
        <v>1500</v>
      </c>
      <c r="T83" s="272">
        <v>1750</v>
      </c>
      <c r="U83" s="272">
        <v>2050</v>
      </c>
      <c r="V83" s="272">
        <v>2400</v>
      </c>
      <c r="W83" s="272">
        <v>2480</v>
      </c>
      <c r="X83" s="272">
        <v>2570</v>
      </c>
      <c r="Y83" s="272">
        <v>2680</v>
      </c>
      <c r="Z83" s="272">
        <v>2790</v>
      </c>
      <c r="AA83" s="272">
        <v>2910</v>
      </c>
      <c r="AB83" s="272">
        <v>3020</v>
      </c>
      <c r="AC83" s="272">
        <v>3180</v>
      </c>
      <c r="AD83" s="272">
        <v>3360</v>
      </c>
      <c r="AE83" s="272">
        <v>3520</v>
      </c>
      <c r="AF83" s="272">
        <v>3650</v>
      </c>
      <c r="AG83" s="272">
        <v>3740</v>
      </c>
      <c r="AH83" s="272">
        <v>3830</v>
      </c>
      <c r="AI83" s="272">
        <v>3920</v>
      </c>
      <c r="AJ83" s="272">
        <v>4010</v>
      </c>
      <c r="AK83" s="272">
        <v>4100</v>
      </c>
      <c r="AL83" s="268" t="s">
        <v>4056</v>
      </c>
      <c r="AM83" s="268" t="s">
        <v>4057</v>
      </c>
      <c r="AN83" s="268"/>
      <c r="AO83" s="657"/>
      <c r="AP83" s="271">
        <v>170</v>
      </c>
      <c r="AQ83" s="280">
        <v>145</v>
      </c>
      <c r="AR83" s="280">
        <v>17</v>
      </c>
      <c r="AS83" s="280">
        <v>8</v>
      </c>
      <c r="AT83" s="657"/>
      <c r="AU83" s="301" t="s">
        <v>4058</v>
      </c>
      <c r="AV83" s="572" t="s">
        <v>4059</v>
      </c>
      <c r="AW83" s="645" t="s">
        <v>4060</v>
      </c>
      <c r="AX83" s="290" t="s">
        <v>4061</v>
      </c>
      <c r="AY83" s="657"/>
      <c r="AZ83" s="948">
        <v>16</v>
      </c>
      <c r="BA83" s="948">
        <v>1</v>
      </c>
      <c r="BB83" s="948">
        <v>4</v>
      </c>
      <c r="BC83" s="948">
        <v>12</v>
      </c>
      <c r="BD83" s="825">
        <f t="shared" si="241"/>
        <v>120450</v>
      </c>
      <c r="BE83" s="304">
        <f t="shared" si="242"/>
        <v>58400</v>
      </c>
      <c r="BF83" s="304">
        <f t="shared" si="243"/>
        <v>3650</v>
      </c>
      <c r="BG83" s="304">
        <f t="shared" si="244"/>
        <v>14600</v>
      </c>
      <c r="BH83" s="304">
        <f t="shared" si="245"/>
        <v>43800</v>
      </c>
      <c r="BI83" s="825">
        <f t="shared" si="246"/>
        <v>135300</v>
      </c>
      <c r="BJ83" s="304">
        <f t="shared" si="247"/>
        <v>65600</v>
      </c>
      <c r="BK83" s="304">
        <f t="shared" si="248"/>
        <v>4100</v>
      </c>
      <c r="BL83" s="304">
        <f t="shared" si="249"/>
        <v>16400</v>
      </c>
      <c r="BM83" s="304">
        <f t="shared" si="250"/>
        <v>49200</v>
      </c>
      <c r="BN83" s="657"/>
      <c r="BO83" s="284">
        <v>0.42</v>
      </c>
      <c r="BP83" s="284">
        <v>0.4</v>
      </c>
      <c r="BQ83" s="284">
        <v>0.13</v>
      </c>
      <c r="BR83" s="710">
        <v>0.05</v>
      </c>
      <c r="BS83" s="707">
        <v>0.37</v>
      </c>
      <c r="BT83" s="284">
        <v>0.41</v>
      </c>
      <c r="BU83" s="284">
        <v>0.18</v>
      </c>
      <c r="BV83" s="710">
        <v>0.04</v>
      </c>
      <c r="BW83" s="714">
        <v>0.42</v>
      </c>
      <c r="BX83" s="285">
        <v>0.4</v>
      </c>
      <c r="BY83" s="717">
        <v>0.18</v>
      </c>
      <c r="BZ83" s="714">
        <v>0.37</v>
      </c>
      <c r="CA83" s="285">
        <v>0.41</v>
      </c>
      <c r="CB83" s="717">
        <v>0.22</v>
      </c>
      <c r="CC83" s="284">
        <v>0.16</v>
      </c>
      <c r="CD83" s="284">
        <v>0.51</v>
      </c>
      <c r="CE83" s="284">
        <v>0.22</v>
      </c>
      <c r="CF83" s="710">
        <v>0.11</v>
      </c>
      <c r="CG83" s="707">
        <v>0.13</v>
      </c>
      <c r="CH83" s="284">
        <v>0.49</v>
      </c>
      <c r="CI83" s="284">
        <v>0.25</v>
      </c>
      <c r="CJ83" s="710">
        <v>0.13</v>
      </c>
      <c r="CK83" s="720">
        <v>0.57999999999999996</v>
      </c>
      <c r="CL83" s="286">
        <v>0.28999999999999998</v>
      </c>
      <c r="CM83" s="718">
        <v>0.13</v>
      </c>
      <c r="CN83" s="720">
        <v>0.53</v>
      </c>
      <c r="CO83" s="286">
        <v>0.32</v>
      </c>
      <c r="CP83" s="718">
        <v>0.15</v>
      </c>
      <c r="CQ83" s="657"/>
      <c r="CR83" s="807">
        <v>13</v>
      </c>
      <c r="CS83" s="808">
        <v>13</v>
      </c>
      <c r="CT83" s="808">
        <v>10</v>
      </c>
      <c r="CU83" s="809">
        <v>12</v>
      </c>
      <c r="CV83" s="807">
        <v>12</v>
      </c>
      <c r="CW83" s="808">
        <v>11</v>
      </c>
      <c r="CX83" s="809">
        <v>9</v>
      </c>
      <c r="CY83" s="807">
        <v>11</v>
      </c>
      <c r="CZ83" s="808">
        <v>13</v>
      </c>
      <c r="DA83" s="808">
        <v>9</v>
      </c>
      <c r="DB83" s="809">
        <v>11</v>
      </c>
      <c r="DC83" s="807">
        <v>12</v>
      </c>
      <c r="DD83" s="808">
        <v>13</v>
      </c>
      <c r="DE83" s="809">
        <v>10</v>
      </c>
      <c r="DF83" s="610" t="s">
        <v>4062</v>
      </c>
      <c r="DG83" s="657"/>
      <c r="DH83" s="288">
        <f t="shared" si="251"/>
        <v>24528</v>
      </c>
      <c r="DI83" s="288">
        <f t="shared" si="252"/>
        <v>23360</v>
      </c>
      <c r="DJ83" s="288">
        <f t="shared" si="253"/>
        <v>7592</v>
      </c>
      <c r="DK83" s="288">
        <f t="shared" si="254"/>
        <v>2920</v>
      </c>
      <c r="DL83" s="560" t="s">
        <v>8049</v>
      </c>
      <c r="DM83" s="288">
        <f t="shared" si="255"/>
        <v>24272</v>
      </c>
      <c r="DN83" s="288">
        <f t="shared" si="256"/>
        <v>26896</v>
      </c>
      <c r="DO83" s="288">
        <f t="shared" si="257"/>
        <v>11808</v>
      </c>
      <c r="DP83" s="288">
        <f t="shared" si="258"/>
        <v>2624</v>
      </c>
      <c r="DQ83" s="561" t="s">
        <v>4064</v>
      </c>
      <c r="DR83" s="657"/>
      <c r="DS83" s="288">
        <f t="shared" si="259"/>
        <v>1533</v>
      </c>
      <c r="DT83" s="288">
        <f t="shared" si="260"/>
        <v>1460</v>
      </c>
      <c r="DU83" s="288">
        <f t="shared" si="261"/>
        <v>657</v>
      </c>
      <c r="DV83" s="561" t="s">
        <v>4065</v>
      </c>
      <c r="DW83" s="288">
        <f t="shared" si="262"/>
        <v>1517</v>
      </c>
      <c r="DX83" s="288">
        <f t="shared" si="263"/>
        <v>1681</v>
      </c>
      <c r="DY83" s="288">
        <f t="shared" si="264"/>
        <v>902</v>
      </c>
      <c r="DZ83" s="561" t="s">
        <v>4066</v>
      </c>
      <c r="EA83" s="657"/>
      <c r="EB83" s="288">
        <f t="shared" si="265"/>
        <v>2336</v>
      </c>
      <c r="EC83" s="288">
        <f t="shared" si="266"/>
        <v>7446</v>
      </c>
      <c r="ED83" s="288">
        <f t="shared" si="267"/>
        <v>3212</v>
      </c>
      <c r="EE83" s="288">
        <f t="shared" si="268"/>
        <v>1606</v>
      </c>
      <c r="EF83" s="561" t="s">
        <v>8047</v>
      </c>
      <c r="EG83" s="288">
        <f t="shared" si="269"/>
        <v>2132</v>
      </c>
      <c r="EH83" s="288">
        <f t="shared" si="270"/>
        <v>8036</v>
      </c>
      <c r="EI83" s="288">
        <f t="shared" si="271"/>
        <v>4100</v>
      </c>
      <c r="EJ83" s="288">
        <f t="shared" si="272"/>
        <v>2132</v>
      </c>
      <c r="EK83" s="561" t="s">
        <v>4068</v>
      </c>
      <c r="EL83" s="657"/>
      <c r="EM83" s="288">
        <f t="shared" si="273"/>
        <v>25404</v>
      </c>
      <c r="EN83" s="291">
        <f t="shared" si="274"/>
        <v>12702</v>
      </c>
      <c r="EO83" s="291">
        <f t="shared" si="275"/>
        <v>5694</v>
      </c>
      <c r="EP83" s="561" t="s">
        <v>8051</v>
      </c>
      <c r="EQ83" s="288">
        <f t="shared" si="276"/>
        <v>26076</v>
      </c>
      <c r="ER83" s="291">
        <f t="shared" si="277"/>
        <v>15744</v>
      </c>
      <c r="ES83" s="291">
        <f t="shared" si="278"/>
        <v>7380</v>
      </c>
      <c r="ET83" s="561" t="s">
        <v>8043</v>
      </c>
      <c r="EU83" s="657"/>
      <c r="EV83" s="740">
        <f t="shared" si="279"/>
        <v>0.519985941036747</v>
      </c>
      <c r="EW83" s="740">
        <f t="shared" si="280"/>
        <v>0.48001405896325311</v>
      </c>
      <c r="EX83" s="563">
        <f t="shared" si="281"/>
        <v>52837.777407560527</v>
      </c>
      <c r="EY83" s="563">
        <f t="shared" si="282"/>
        <v>27474.90140756053</v>
      </c>
      <c r="EZ83" s="563">
        <f t="shared" si="283"/>
        <v>25362.876</v>
      </c>
      <c r="FA83" s="563">
        <f t="shared" si="284"/>
        <v>24951.837842707693</v>
      </c>
      <c r="FB83" s="563">
        <f t="shared" si="285"/>
        <v>12654.685842707693</v>
      </c>
      <c r="FC83" s="563">
        <f t="shared" si="286"/>
        <v>12297.152</v>
      </c>
      <c r="FD83" s="563">
        <f t="shared" si="287"/>
        <v>1743.2646556363634</v>
      </c>
      <c r="FE83" s="563">
        <f t="shared" si="288"/>
        <v>974.6926556363635</v>
      </c>
      <c r="FF83" s="563">
        <f t="shared" si="289"/>
        <v>768.572</v>
      </c>
      <c r="FG83" s="563">
        <f t="shared" si="290"/>
        <v>6761.5013154933959</v>
      </c>
      <c r="FH83" s="563">
        <f t="shared" si="291"/>
        <v>3687.2133154933958</v>
      </c>
      <c r="FI83" s="563">
        <f t="shared" si="292"/>
        <v>3074.288</v>
      </c>
      <c r="FJ83" s="563">
        <f t="shared" si="293"/>
        <v>19381.173593723077</v>
      </c>
      <c r="FK83" s="563">
        <f t="shared" si="294"/>
        <v>10158.309593723077</v>
      </c>
      <c r="FL83" s="563">
        <f t="shared" si="295"/>
        <v>9222.8639999999996</v>
      </c>
      <c r="FM83" s="529"/>
      <c r="FN83" s="564" t="s">
        <v>2649</v>
      </c>
      <c r="FO83" s="740">
        <v>8.7279999999999996E-2</v>
      </c>
      <c r="FP83" s="741">
        <v>0.82916000000000001</v>
      </c>
      <c r="FQ83" s="565" t="s">
        <v>4071</v>
      </c>
      <c r="FR83" s="529"/>
      <c r="FS83" s="867">
        <v>3.22</v>
      </c>
      <c r="FT83" s="566">
        <f>RANK($FS83,$FS$8:$FS$154,0)+COUNTIF($FS$8:$FS151,$FS83)-1</f>
        <v>86</v>
      </c>
      <c r="FU83" s="867">
        <v>4.22</v>
      </c>
      <c r="FV83" s="566">
        <f>RANK($FU83,$FU$8:$FU$154,0)+COUNTIF($FU$8:$FU151,$FU83)-1</f>
        <v>44</v>
      </c>
      <c r="FW83" s="867">
        <v>2</v>
      </c>
      <c r="FX83" s="566">
        <f>RANK($FW83,$FW$8:$FW$154,0)+COUNTIF($FW$8:$FW151,$FW83)-1</f>
        <v>108</v>
      </c>
      <c r="FY83" s="529"/>
      <c r="FZ83" s="567" t="s">
        <v>4072</v>
      </c>
      <c r="GA83" s="567" t="s">
        <v>4073</v>
      </c>
      <c r="GB83" s="567" t="s">
        <v>4074</v>
      </c>
      <c r="GC83" s="567" t="s">
        <v>4075</v>
      </c>
      <c r="GD83" s="567" t="s">
        <v>4076</v>
      </c>
      <c r="GE83" s="567" t="s">
        <v>4077</v>
      </c>
      <c r="GF83" s="567" t="str">
        <f>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83" s="529"/>
      <c r="GH83" s="563">
        <f t="shared" si="296"/>
        <v>9500.4141292307704</v>
      </c>
      <c r="GI83" s="563">
        <f t="shared" si="227"/>
        <v>4950.4678892307702</v>
      </c>
      <c r="GJ83" s="563">
        <f t="shared" si="297"/>
        <v>4549.9462400000002</v>
      </c>
      <c r="GK83" s="563">
        <f t="shared" si="298"/>
        <v>9756.5636430769227</v>
      </c>
      <c r="GL83" s="563">
        <f t="shared" si="228"/>
        <v>4714.7313230769232</v>
      </c>
      <c r="GM83" s="563">
        <f t="shared" si="299"/>
        <v>5041.8323199999995</v>
      </c>
      <c r="GN83" s="563">
        <f t="shared" si="300"/>
        <v>4529.6960704000003</v>
      </c>
      <c r="GO83" s="563">
        <f t="shared" si="229"/>
        <v>2316.2087104000002</v>
      </c>
      <c r="GP83" s="563">
        <f t="shared" si="301"/>
        <v>2213.4873600000001</v>
      </c>
      <c r="GQ83" s="563">
        <f t="shared" si="302"/>
        <v>1165.164</v>
      </c>
      <c r="GR83" s="563">
        <f t="shared" si="230"/>
        <v>673.27791999999999</v>
      </c>
      <c r="GS83" s="563">
        <f t="shared" si="303"/>
        <v>491.88607999999999</v>
      </c>
      <c r="GT83" s="563">
        <f t="shared" si="304"/>
        <v>637.84254799999997</v>
      </c>
      <c r="GU83" s="563">
        <f t="shared" si="231"/>
        <v>353.47090799999995</v>
      </c>
      <c r="GV83" s="563">
        <f t="shared" si="305"/>
        <v>284.37164000000001</v>
      </c>
      <c r="GW83" s="563">
        <f t="shared" si="306"/>
        <v>704.66896363636351</v>
      </c>
      <c r="GX83" s="563">
        <f t="shared" si="232"/>
        <v>389.5544436363636</v>
      </c>
      <c r="GY83" s="563">
        <f t="shared" si="307"/>
        <v>315.11451999999997</v>
      </c>
      <c r="GZ83" s="563">
        <f t="shared" si="308"/>
        <v>400.75314399999996</v>
      </c>
      <c r="HA83" s="563">
        <f t="shared" si="233"/>
        <v>231.66730399999997</v>
      </c>
      <c r="HB83" s="563">
        <f t="shared" si="309"/>
        <v>169.08583999999999</v>
      </c>
      <c r="HC83" s="563">
        <f t="shared" si="310"/>
        <v>1022.9445498181819</v>
      </c>
      <c r="HD83" s="563">
        <f t="shared" si="234"/>
        <v>623.28710981818188</v>
      </c>
      <c r="HE83" s="563">
        <f t="shared" si="311"/>
        <v>399.65744000000001</v>
      </c>
      <c r="HF83" s="563">
        <f t="shared" si="312"/>
        <v>3009.2217292307696</v>
      </c>
      <c r="HG83" s="563">
        <f t="shared" si="235"/>
        <v>1502.8206092307694</v>
      </c>
      <c r="HH83" s="563">
        <f t="shared" si="313"/>
        <v>1506.40112</v>
      </c>
      <c r="HI83" s="563">
        <f t="shared" si="314"/>
        <v>1901.1677084444445</v>
      </c>
      <c r="HJ83" s="563">
        <f t="shared" si="236"/>
        <v>1132.5957084444444</v>
      </c>
      <c r="HK83" s="563">
        <f t="shared" si="315"/>
        <v>768.572</v>
      </c>
      <c r="HL83" s="563">
        <f t="shared" si="316"/>
        <v>828.167328</v>
      </c>
      <c r="HM83" s="563">
        <f t="shared" si="237"/>
        <v>428.50988800000005</v>
      </c>
      <c r="HN83" s="563">
        <f t="shared" si="317"/>
        <v>399.65744000000001</v>
      </c>
      <c r="HO83" s="563">
        <f t="shared" si="318"/>
        <v>10745.635824000001</v>
      </c>
      <c r="HP83" s="563">
        <f t="shared" si="238"/>
        <v>5857.5179040000003</v>
      </c>
      <c r="HQ83" s="563">
        <f t="shared" si="319"/>
        <v>4888.1179199999997</v>
      </c>
      <c r="HR83" s="563">
        <f t="shared" si="320"/>
        <v>5514.9516369230769</v>
      </c>
      <c r="HS83" s="563">
        <f t="shared" si="239"/>
        <v>2563.6351569230769</v>
      </c>
      <c r="HT83" s="563">
        <f t="shared" si="321"/>
        <v>2951.31648</v>
      </c>
      <c r="HU83" s="563">
        <f t="shared" si="322"/>
        <v>3120.5861328000001</v>
      </c>
      <c r="HV83" s="563">
        <f t="shared" si="240"/>
        <v>1737.1565327999999</v>
      </c>
      <c r="HW83" s="563">
        <f t="shared" si="323"/>
        <v>1383.4295999999999</v>
      </c>
      <c r="HX83" s="544"/>
      <c r="HY83" s="568">
        <f t="shared" si="324"/>
        <v>116800.00000000001</v>
      </c>
      <c r="HZ83" s="568">
        <f t="shared" si="325"/>
        <v>0</v>
      </c>
      <c r="IA83" s="568">
        <f t="shared" si="326"/>
        <v>31381.239999999998</v>
      </c>
      <c r="IB83" s="568">
        <f t="shared" si="327"/>
        <v>61411.98</v>
      </c>
      <c r="IC83" s="568">
        <f t="shared" si="328"/>
        <v>22800.82</v>
      </c>
      <c r="ID83" s="568">
        <f t="shared" si="329"/>
        <v>1205.96</v>
      </c>
      <c r="IE83" s="568">
        <f t="shared" si="330"/>
        <v>26500.208751924165</v>
      </c>
      <c r="IF83" s="568">
        <f t="shared" si="331"/>
        <v>0</v>
      </c>
      <c r="IG83" s="568">
        <f t="shared" si="332"/>
        <v>3784.0960018718988</v>
      </c>
      <c r="IH83" s="568">
        <f t="shared" si="333"/>
        <v>13837.896748230774</v>
      </c>
      <c r="II83" s="568">
        <f t="shared" si="334"/>
        <v>8020.1552295868214</v>
      </c>
      <c r="IJ83" s="568">
        <f t="shared" si="335"/>
        <v>858.06077223467219</v>
      </c>
      <c r="IK83" s="868">
        <v>4</v>
      </c>
      <c r="IL83" s="569" t="s">
        <v>2589</v>
      </c>
      <c r="IM83" s="570" t="s">
        <v>4078</v>
      </c>
      <c r="IN83" s="529"/>
      <c r="IO83" s="742">
        <v>0</v>
      </c>
      <c r="IP83" s="742">
        <v>0.2369</v>
      </c>
      <c r="IQ83" s="742">
        <v>0.53590000000000004</v>
      </c>
      <c r="IR83" s="742">
        <v>0.2142</v>
      </c>
      <c r="IS83" s="742">
        <v>1.2999999999999999E-2</v>
      </c>
      <c r="IT83" s="742">
        <v>0</v>
      </c>
      <c r="IU83" s="742">
        <v>0.11550000000000001</v>
      </c>
      <c r="IV83" s="742">
        <v>0.51119999999999999</v>
      </c>
      <c r="IW83" s="742">
        <v>0.33310000000000001</v>
      </c>
      <c r="IX83" s="742">
        <v>4.02E-2</v>
      </c>
      <c r="IY83" s="742">
        <v>0</v>
      </c>
      <c r="IZ83" s="742">
        <v>0</v>
      </c>
      <c r="JA83" s="742">
        <v>0</v>
      </c>
      <c r="JB83" s="742">
        <v>0</v>
      </c>
      <c r="JC83" s="742">
        <v>0</v>
      </c>
      <c r="JD83" s="742">
        <v>0</v>
      </c>
      <c r="JE83" s="742">
        <v>0</v>
      </c>
      <c r="JF83" s="742">
        <v>0</v>
      </c>
      <c r="JG83" s="742">
        <v>0</v>
      </c>
      <c r="JH83" s="742">
        <v>0</v>
      </c>
      <c r="JI83" s="742">
        <v>0</v>
      </c>
      <c r="JJ83" s="742">
        <v>0.35820000000000002</v>
      </c>
      <c r="JK83" s="742">
        <v>0.49580000000000002</v>
      </c>
      <c r="JL83" s="742">
        <v>0.14180000000000001</v>
      </c>
      <c r="JM83" s="742">
        <v>4.1999999999999997E-3</v>
      </c>
      <c r="JN83" s="742">
        <v>0</v>
      </c>
      <c r="JO83" s="742">
        <v>0.218</v>
      </c>
      <c r="JP83" s="742">
        <v>0.53859999999999997</v>
      </c>
      <c r="JQ83" s="742">
        <v>0.22800000000000001</v>
      </c>
      <c r="JR83" s="742">
        <v>1.54E-2</v>
      </c>
      <c r="JS83" s="742">
        <v>0</v>
      </c>
      <c r="JT83" s="742">
        <v>0.28120000000000001</v>
      </c>
      <c r="JU83" s="742">
        <v>0.52229999999999999</v>
      </c>
      <c r="JV83" s="742">
        <v>0.18770000000000001</v>
      </c>
      <c r="JW83" s="742">
        <v>8.8000000000000005E-3</v>
      </c>
      <c r="JX83" s="742">
        <v>0</v>
      </c>
      <c r="JY83" s="742">
        <v>0.14949999999999999</v>
      </c>
      <c r="JZ83" s="742">
        <v>0.52990000000000004</v>
      </c>
      <c r="KA83" s="742">
        <v>0.2918</v>
      </c>
      <c r="KB83" s="742">
        <v>2.8799999999999999E-2</v>
      </c>
      <c r="KC83" s="657"/>
      <c r="KD83" s="832" t="s">
        <v>2590</v>
      </c>
      <c r="KE83" s="832" t="s">
        <v>2591</v>
      </c>
      <c r="KF83" s="869">
        <v>4.4000000000000004</v>
      </c>
      <c r="KG83" s="832" t="s">
        <v>2589</v>
      </c>
      <c r="KH83" s="833" t="s">
        <v>4079</v>
      </c>
      <c r="KI83" s="832" t="s">
        <v>2823</v>
      </c>
      <c r="KJ83" s="833" t="s">
        <v>4080</v>
      </c>
    </row>
    <row r="84" spans="1:296" ht="48" hidden="1" customHeight="1">
      <c r="A84" s="273">
        <f t="shared" si="336"/>
        <v>77</v>
      </c>
      <c r="B84" s="274" t="s">
        <v>2264</v>
      </c>
      <c r="C84" s="274" t="s">
        <v>4081</v>
      </c>
      <c r="D84" s="274" t="s">
        <v>4082</v>
      </c>
      <c r="E84" s="275" t="s">
        <v>2289</v>
      </c>
      <c r="F84" s="275" t="s">
        <v>4027</v>
      </c>
      <c r="G84" s="275" t="s">
        <v>4083</v>
      </c>
      <c r="H84" s="275" t="s">
        <v>2097</v>
      </c>
      <c r="I84" s="276" t="s">
        <v>4084</v>
      </c>
      <c r="J84" s="276" t="s">
        <v>4085</v>
      </c>
      <c r="K84" s="277" t="s">
        <v>2097</v>
      </c>
      <c r="L84" s="277" t="s">
        <v>2109</v>
      </c>
      <c r="M84" s="277" t="s">
        <v>2603</v>
      </c>
      <c r="N84" s="277" t="s">
        <v>4086</v>
      </c>
      <c r="O84" s="275" t="s">
        <v>2616</v>
      </c>
      <c r="P84" s="276"/>
      <c r="Q84" s="270">
        <v>1</v>
      </c>
      <c r="R84" s="278">
        <v>14000</v>
      </c>
      <c r="S84" s="279">
        <v>9900</v>
      </c>
      <c r="T84" s="279">
        <v>9600</v>
      </c>
      <c r="U84" s="279">
        <v>9100</v>
      </c>
      <c r="V84" s="279">
        <v>8600</v>
      </c>
      <c r="W84" s="279">
        <v>8500</v>
      </c>
      <c r="X84" s="279">
        <v>8420</v>
      </c>
      <c r="Y84" s="279">
        <v>8360</v>
      </c>
      <c r="Z84" s="279">
        <v>8320</v>
      </c>
      <c r="AA84" s="279">
        <v>8250</v>
      </c>
      <c r="AB84" s="279">
        <v>8300</v>
      </c>
      <c r="AC84" s="279">
        <v>8400</v>
      </c>
      <c r="AD84" s="279">
        <v>8520</v>
      </c>
      <c r="AE84" s="279">
        <v>8620</v>
      </c>
      <c r="AF84" s="279">
        <v>8700</v>
      </c>
      <c r="AG84" s="279">
        <v>8780</v>
      </c>
      <c r="AH84" s="279">
        <v>8860</v>
      </c>
      <c r="AI84" s="279">
        <v>8940</v>
      </c>
      <c r="AJ84" s="279">
        <v>9000</v>
      </c>
      <c r="AK84" s="279">
        <v>9050</v>
      </c>
      <c r="AL84" s="276" t="s">
        <v>4087</v>
      </c>
      <c r="AM84" s="276" t="s">
        <v>4088</v>
      </c>
      <c r="AN84" s="276" t="s">
        <v>4089</v>
      </c>
      <c r="AO84" s="657"/>
      <c r="AP84" s="278">
        <v>250</v>
      </c>
      <c r="AQ84" s="278">
        <v>225</v>
      </c>
      <c r="AR84" s="278">
        <v>20</v>
      </c>
      <c r="AS84" s="278">
        <v>5</v>
      </c>
      <c r="AT84" s="657"/>
      <c r="AU84" s="281" t="s">
        <v>4090</v>
      </c>
      <c r="AV84" s="296" t="s">
        <v>4091</v>
      </c>
      <c r="AW84" s="296" t="s">
        <v>4036</v>
      </c>
      <c r="AX84" s="276" t="s">
        <v>2670</v>
      </c>
      <c r="AY84" s="657"/>
      <c r="AZ84" s="947">
        <v>25</v>
      </c>
      <c r="BA84" s="947">
        <v>8</v>
      </c>
      <c r="BB84" s="947">
        <v>5.5</v>
      </c>
      <c r="BC84" s="947">
        <v>17</v>
      </c>
      <c r="BD84" s="826">
        <f t="shared" si="241"/>
        <v>482850</v>
      </c>
      <c r="BE84" s="283">
        <f t="shared" si="242"/>
        <v>217500</v>
      </c>
      <c r="BF84" s="283">
        <f t="shared" si="243"/>
        <v>69600</v>
      </c>
      <c r="BG84" s="283">
        <f t="shared" si="244"/>
        <v>47850</v>
      </c>
      <c r="BH84" s="283">
        <f t="shared" si="245"/>
        <v>147900</v>
      </c>
      <c r="BI84" s="826">
        <f t="shared" si="246"/>
        <v>502275</v>
      </c>
      <c r="BJ84" s="283">
        <f t="shared" si="247"/>
        <v>226250</v>
      </c>
      <c r="BK84" s="283">
        <f t="shared" si="248"/>
        <v>72400</v>
      </c>
      <c r="BL84" s="283">
        <f t="shared" si="249"/>
        <v>49775</v>
      </c>
      <c r="BM84" s="283">
        <f t="shared" si="250"/>
        <v>153850</v>
      </c>
      <c r="BN84" s="657"/>
      <c r="BO84" s="305">
        <v>0.42</v>
      </c>
      <c r="BP84" s="305">
        <v>0.39</v>
      </c>
      <c r="BQ84" s="305">
        <v>0.14000000000000001</v>
      </c>
      <c r="BR84" s="581">
        <v>0.05</v>
      </c>
      <c r="BS84" s="706">
        <v>0.39</v>
      </c>
      <c r="BT84" s="305">
        <v>0.4</v>
      </c>
      <c r="BU84" s="305">
        <v>0.18</v>
      </c>
      <c r="BV84" s="581">
        <v>0.03</v>
      </c>
      <c r="BW84" s="713">
        <v>0.37</v>
      </c>
      <c r="BX84" s="306">
        <v>0.43</v>
      </c>
      <c r="BY84" s="590">
        <v>0.2</v>
      </c>
      <c r="BZ84" s="713">
        <v>0.33</v>
      </c>
      <c r="CA84" s="306">
        <v>0.43</v>
      </c>
      <c r="CB84" s="590">
        <v>0.24</v>
      </c>
      <c r="CC84" s="706">
        <v>0.19</v>
      </c>
      <c r="CD84" s="305">
        <v>0.52</v>
      </c>
      <c r="CE84" s="305">
        <v>0.16</v>
      </c>
      <c r="CF84" s="581">
        <v>0.13</v>
      </c>
      <c r="CG84" s="706">
        <v>0.15</v>
      </c>
      <c r="CH84" s="305">
        <v>0.51</v>
      </c>
      <c r="CI84" s="305">
        <v>0.2</v>
      </c>
      <c r="CJ84" s="581">
        <v>0.14000000000000001</v>
      </c>
      <c r="CK84" s="719">
        <v>0.55000000000000004</v>
      </c>
      <c r="CL84" s="307">
        <v>0.31</v>
      </c>
      <c r="CM84" s="723">
        <v>0.14000000000000001</v>
      </c>
      <c r="CN84" s="719">
        <v>0.49</v>
      </c>
      <c r="CO84" s="307">
        <v>0.34</v>
      </c>
      <c r="CP84" s="723">
        <v>0.17</v>
      </c>
      <c r="CQ84" s="657"/>
      <c r="CR84" s="804">
        <v>13</v>
      </c>
      <c r="CS84" s="805">
        <v>14</v>
      </c>
      <c r="CT84" s="805">
        <v>10</v>
      </c>
      <c r="CU84" s="806">
        <v>12</v>
      </c>
      <c r="CV84" s="804">
        <v>12</v>
      </c>
      <c r="CW84" s="805">
        <v>11</v>
      </c>
      <c r="CX84" s="806">
        <v>9</v>
      </c>
      <c r="CY84" s="804">
        <v>11</v>
      </c>
      <c r="CZ84" s="805">
        <v>13</v>
      </c>
      <c r="DA84" s="805">
        <v>9</v>
      </c>
      <c r="DB84" s="806">
        <v>11</v>
      </c>
      <c r="DC84" s="804">
        <v>14</v>
      </c>
      <c r="DD84" s="805">
        <v>14</v>
      </c>
      <c r="DE84" s="806">
        <v>10</v>
      </c>
      <c r="DF84" s="609" t="s">
        <v>4092</v>
      </c>
      <c r="DG84" s="657"/>
      <c r="DH84" s="308">
        <f t="shared" si="251"/>
        <v>91350</v>
      </c>
      <c r="DI84" s="308">
        <f t="shared" si="252"/>
        <v>84825</v>
      </c>
      <c r="DJ84" s="308">
        <f t="shared" si="253"/>
        <v>30450.000000000004</v>
      </c>
      <c r="DK84" s="308">
        <f t="shared" si="254"/>
        <v>10875</v>
      </c>
      <c r="DL84" s="287" t="s">
        <v>8052</v>
      </c>
      <c r="DM84" s="308">
        <f t="shared" si="255"/>
        <v>88237.5</v>
      </c>
      <c r="DN84" s="308">
        <f t="shared" si="256"/>
        <v>90500</v>
      </c>
      <c r="DO84" s="308">
        <f t="shared" si="257"/>
        <v>40725</v>
      </c>
      <c r="DP84" s="308">
        <f t="shared" si="258"/>
        <v>6787.5</v>
      </c>
      <c r="DQ84" s="289" t="s">
        <v>8050</v>
      </c>
      <c r="DR84" s="657"/>
      <c r="DS84" s="308">
        <f t="shared" si="259"/>
        <v>25752</v>
      </c>
      <c r="DT84" s="308">
        <f t="shared" si="260"/>
        <v>29928</v>
      </c>
      <c r="DU84" s="308">
        <f t="shared" si="261"/>
        <v>13920</v>
      </c>
      <c r="DV84" s="289" t="s">
        <v>8053</v>
      </c>
      <c r="DW84" s="308">
        <f t="shared" si="262"/>
        <v>23892</v>
      </c>
      <c r="DX84" s="308">
        <f t="shared" si="263"/>
        <v>31132</v>
      </c>
      <c r="DY84" s="308">
        <f t="shared" si="264"/>
        <v>17376</v>
      </c>
      <c r="DZ84" s="289" t="s">
        <v>8054</v>
      </c>
      <c r="EA84" s="657"/>
      <c r="EB84" s="308">
        <f t="shared" si="265"/>
        <v>9091.5</v>
      </c>
      <c r="EC84" s="308">
        <f t="shared" si="266"/>
        <v>24882</v>
      </c>
      <c r="ED84" s="308">
        <f t="shared" si="267"/>
        <v>7656</v>
      </c>
      <c r="EE84" s="308">
        <f t="shared" si="268"/>
        <v>6220.5</v>
      </c>
      <c r="EF84" s="289" t="s">
        <v>8055</v>
      </c>
      <c r="EG84" s="308">
        <f t="shared" si="269"/>
        <v>7466.25</v>
      </c>
      <c r="EH84" s="308">
        <f t="shared" si="270"/>
        <v>25385.25</v>
      </c>
      <c r="EI84" s="308">
        <f t="shared" si="271"/>
        <v>9955</v>
      </c>
      <c r="EJ84" s="308">
        <f t="shared" si="272"/>
        <v>6968.5000000000009</v>
      </c>
      <c r="EK84" s="309" t="s">
        <v>8056</v>
      </c>
      <c r="EL84" s="657"/>
      <c r="EM84" s="308">
        <f t="shared" si="273"/>
        <v>81345</v>
      </c>
      <c r="EN84" s="310">
        <f t="shared" si="274"/>
        <v>45849</v>
      </c>
      <c r="EO84" s="310">
        <f t="shared" si="275"/>
        <v>20706.000000000004</v>
      </c>
      <c r="EP84" s="289" t="s">
        <v>4093</v>
      </c>
      <c r="EQ84" s="308">
        <f t="shared" si="276"/>
        <v>75386.5</v>
      </c>
      <c r="ER84" s="310">
        <f t="shared" si="277"/>
        <v>52309.000000000007</v>
      </c>
      <c r="ES84" s="310">
        <f t="shared" si="278"/>
        <v>26154.500000000004</v>
      </c>
      <c r="ET84" s="289" t="s">
        <v>8057</v>
      </c>
      <c r="EU84" s="657"/>
      <c r="EV84" s="728">
        <f t="shared" si="279"/>
        <v>0.7876910010206476</v>
      </c>
      <c r="EW84" s="728">
        <f t="shared" si="280"/>
        <v>0.21230899897935249</v>
      </c>
      <c r="EX84" s="311">
        <f t="shared" si="281"/>
        <v>197247.99797145047</v>
      </c>
      <c r="EY84" s="311">
        <f t="shared" si="282"/>
        <v>155370.47297145048</v>
      </c>
      <c r="EZ84" s="311">
        <f t="shared" si="283"/>
        <v>41877.525000000001</v>
      </c>
      <c r="FA84" s="311">
        <f t="shared" si="284"/>
        <v>87461.963544184982</v>
      </c>
      <c r="FB84" s="311">
        <f t="shared" si="285"/>
        <v>68598.213544184982</v>
      </c>
      <c r="FC84" s="311">
        <f t="shared" si="286"/>
        <v>18863.75</v>
      </c>
      <c r="FD84" s="311">
        <f t="shared" si="287"/>
        <v>31112.906880202019</v>
      </c>
      <c r="FE84" s="311">
        <f t="shared" si="288"/>
        <v>25076.506880202018</v>
      </c>
      <c r="FF84" s="311">
        <f t="shared" si="289"/>
        <v>6036.4</v>
      </c>
      <c r="FG84" s="311">
        <f t="shared" si="290"/>
        <v>20578.91693777778</v>
      </c>
      <c r="FH84" s="311">
        <f t="shared" si="291"/>
        <v>16428.891937777778</v>
      </c>
      <c r="FI84" s="311">
        <f t="shared" si="292"/>
        <v>4150.0249999999996</v>
      </c>
      <c r="FJ84" s="311">
        <f t="shared" si="293"/>
        <v>58094.210609285714</v>
      </c>
      <c r="FK84" s="311">
        <f t="shared" si="294"/>
        <v>45266.860609285715</v>
      </c>
      <c r="FL84" s="311">
        <f t="shared" si="295"/>
        <v>12827.35</v>
      </c>
      <c r="FM84" s="657"/>
      <c r="FN84" s="293" t="s">
        <v>2649</v>
      </c>
      <c r="FO84" s="728">
        <v>4.65E-2</v>
      </c>
      <c r="FP84" s="729">
        <v>0.80364999999999998</v>
      </c>
      <c r="FQ84" s="294" t="s">
        <v>4043</v>
      </c>
      <c r="FR84" s="657"/>
      <c r="FS84" s="865">
        <v>3.24</v>
      </c>
      <c r="FT84" s="312">
        <f>RANK($FS84,$FS$8:$FS$154,0)+COUNTIF($FS$8:$FS84,$FS84)-1</f>
        <v>83</v>
      </c>
      <c r="FU84" s="865">
        <v>3.87</v>
      </c>
      <c r="FV84" s="312">
        <f>RANK($FU84,$FU$8:$FU$154,0)+COUNTIF($FU$8:$FU84,$FU84)-1</f>
        <v>106</v>
      </c>
      <c r="FW84" s="865">
        <v>2.12</v>
      </c>
      <c r="FX84" s="312">
        <f>RANK($FW84,$FW$8:$FW$154,0)+COUNTIF($FW$8:$FW84,$FW84)-1</f>
        <v>84</v>
      </c>
      <c r="FY84" s="657"/>
      <c r="FZ84" s="296" t="s">
        <v>4044</v>
      </c>
      <c r="GA84" s="296" t="s">
        <v>4094</v>
      </c>
      <c r="GB84" s="296" t="s">
        <v>2653</v>
      </c>
      <c r="GC84" s="296" t="s">
        <v>2654</v>
      </c>
      <c r="GD84" s="296" t="s">
        <v>2876</v>
      </c>
      <c r="GE84" s="296" t="s">
        <v>2656</v>
      </c>
      <c r="GF84" s="296" t="str">
        <f>HYPERLINK("https://experience.france2030.gouv.fr/fr/visit/decarbonation-de-leconomie/la-decarbonation-de-l-industrie/full/","https://experience.france2030.gouv.fr/fr/visit/decarbonation-de-leconomie/la-decarbonation-de-l-industrie/full/")&amp;CHAR(10)&amp;HYPERLINK("https://www.tresor.economie.gouv.fr/Articles/2025/05/19/choose-france-2025-une-edition-record-au-service-de-la-souverainete-economique-et-de-l-innovation","https://www.tresor.economie.gouv.fr/Articles/2025/05/19/choose-france-2025-une-edition-record-au-service-de-la-souverainete-economique-et-de-l-innovation")&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https://experience.france2030.gouv.fr/fr/visit/decarbonation-de-leconomie/la-decarbonation-de-l-industrie/full/
https://www.tresor.economie.gouv.fr/Articles/2025/05/19/choose-france-2025-une-edition-record-au-service-de-la-souverainete-economique-et-de-l-innovation
https://www.statistiques.developpement-durable.gouv.fr/construction-de-locaux-resultats-fin-janvier-2026-france-entiere
https://www.insee.fr/fr/statistiques/8671745
https://www.insee.fr/fr/statistiques/8906564</v>
      </c>
      <c r="GG84" s="657"/>
      <c r="GH84" s="311">
        <f t="shared" si="296"/>
        <v>35735.598576923076</v>
      </c>
      <c r="GI84" s="311">
        <f t="shared" si="227"/>
        <v>28378.736076923073</v>
      </c>
      <c r="GJ84" s="311">
        <f t="shared" si="297"/>
        <v>7356.8625000000002</v>
      </c>
      <c r="GK84" s="311">
        <f t="shared" si="298"/>
        <v>32395.506071428576</v>
      </c>
      <c r="GL84" s="311">
        <f t="shared" si="228"/>
        <v>24850.006071428576</v>
      </c>
      <c r="GM84" s="311">
        <f t="shared" si="299"/>
        <v>7545.5</v>
      </c>
      <c r="GN84" s="311">
        <f t="shared" si="300"/>
        <v>15166.938375</v>
      </c>
      <c r="GO84" s="311">
        <f t="shared" si="229"/>
        <v>11771.463374999999</v>
      </c>
      <c r="GP84" s="311">
        <f t="shared" si="301"/>
        <v>3395.4749999999999</v>
      </c>
      <c r="GQ84" s="311">
        <f t="shared" si="302"/>
        <v>4163.9205208333342</v>
      </c>
      <c r="GR84" s="311">
        <f t="shared" si="230"/>
        <v>3598.0080208333338</v>
      </c>
      <c r="GS84" s="311">
        <f t="shared" si="303"/>
        <v>565.91250000000002</v>
      </c>
      <c r="GT84" s="311">
        <f t="shared" si="304"/>
        <v>10512.094993333334</v>
      </c>
      <c r="GU84" s="311">
        <f t="shared" si="231"/>
        <v>8520.0829933333334</v>
      </c>
      <c r="GV84" s="311">
        <f t="shared" si="305"/>
        <v>1992.0119999999999</v>
      </c>
      <c r="GW84" s="311">
        <f t="shared" si="306"/>
        <v>13201.494109090909</v>
      </c>
      <c r="GX84" s="311">
        <f t="shared" si="232"/>
        <v>10605.842109090909</v>
      </c>
      <c r="GY84" s="311">
        <f t="shared" si="307"/>
        <v>2595.6519999999996</v>
      </c>
      <c r="GZ84" s="311">
        <f t="shared" si="308"/>
        <v>7399.3177777777782</v>
      </c>
      <c r="HA84" s="311">
        <f t="shared" si="233"/>
        <v>5950.5817777777784</v>
      </c>
      <c r="HB84" s="311">
        <f t="shared" si="309"/>
        <v>1448.7359999999999</v>
      </c>
      <c r="HC84" s="311">
        <f t="shared" si="310"/>
        <v>3844.3365999999996</v>
      </c>
      <c r="HD84" s="311">
        <f t="shared" si="234"/>
        <v>3221.8328499999998</v>
      </c>
      <c r="HE84" s="311">
        <f t="shared" si="311"/>
        <v>622.50374999999997</v>
      </c>
      <c r="HF84" s="311">
        <f t="shared" si="312"/>
        <v>9846.3399099999988</v>
      </c>
      <c r="HG84" s="311">
        <f t="shared" si="235"/>
        <v>7729.8271599999998</v>
      </c>
      <c r="HH84" s="311">
        <f t="shared" si="313"/>
        <v>2116.5127499999999</v>
      </c>
      <c r="HI84" s="311">
        <f t="shared" si="314"/>
        <v>4102.8249777777773</v>
      </c>
      <c r="HJ84" s="311">
        <f t="shared" si="236"/>
        <v>3272.8199777777777</v>
      </c>
      <c r="HK84" s="311">
        <f t="shared" si="315"/>
        <v>830.005</v>
      </c>
      <c r="HL84" s="311">
        <f t="shared" si="316"/>
        <v>2785.4154499999995</v>
      </c>
      <c r="HM84" s="311">
        <f t="shared" si="237"/>
        <v>2204.4119499999997</v>
      </c>
      <c r="HN84" s="311">
        <f t="shared" si="317"/>
        <v>581.00350000000003</v>
      </c>
      <c r="HO84" s="311">
        <f t="shared" si="318"/>
        <v>30115.92014285714</v>
      </c>
      <c r="HP84" s="311">
        <f t="shared" si="238"/>
        <v>23830.51864285714</v>
      </c>
      <c r="HQ84" s="311">
        <f t="shared" si="319"/>
        <v>6285.4014999999999</v>
      </c>
      <c r="HR84" s="311">
        <f t="shared" si="320"/>
        <v>17793.045871428571</v>
      </c>
      <c r="HS84" s="311">
        <f t="shared" si="239"/>
        <v>13431.74687142857</v>
      </c>
      <c r="HT84" s="311">
        <f t="shared" si="321"/>
        <v>4361.2990000000009</v>
      </c>
      <c r="HU84" s="311">
        <f t="shared" si="322"/>
        <v>10185.244595000002</v>
      </c>
      <c r="HV84" s="311">
        <f t="shared" si="240"/>
        <v>8004.5950950000015</v>
      </c>
      <c r="HW84" s="311">
        <f t="shared" si="323"/>
        <v>2180.6495000000004</v>
      </c>
      <c r="HY84" s="313">
        <f t="shared" si="324"/>
        <v>482856.95999999996</v>
      </c>
      <c r="HZ84" s="313">
        <f t="shared" si="325"/>
        <v>16101.96</v>
      </c>
      <c r="IA84" s="313">
        <f t="shared" si="326"/>
        <v>203085.40499999997</v>
      </c>
      <c r="IB84" s="313">
        <f t="shared" si="327"/>
        <v>234141.36</v>
      </c>
      <c r="IC84" s="313">
        <f t="shared" si="328"/>
        <v>29528.235000000004</v>
      </c>
      <c r="ID84" s="313">
        <f t="shared" si="329"/>
        <v>0</v>
      </c>
      <c r="IE84" s="313">
        <f t="shared" si="330"/>
        <v>155370.47297145051</v>
      </c>
      <c r="IF84" s="313">
        <f t="shared" si="331"/>
        <v>1753.9687415243659</v>
      </c>
      <c r="IG84" s="313">
        <f t="shared" si="332"/>
        <v>61273.356270436838</v>
      </c>
      <c r="IH84" s="313">
        <f t="shared" si="333"/>
        <v>78661.496042151004</v>
      </c>
      <c r="II84" s="313">
        <f t="shared" si="334"/>
        <v>12907.30720316905</v>
      </c>
      <c r="IJ84" s="313">
        <f t="shared" si="335"/>
        <v>774.34471416923225</v>
      </c>
      <c r="IK84" s="866">
        <v>4.2</v>
      </c>
      <c r="IL84" s="314" t="s">
        <v>2589</v>
      </c>
      <c r="IM84" s="299" t="s">
        <v>4095</v>
      </c>
      <c r="IN84" s="657"/>
      <c r="IO84" s="730">
        <v>0.03</v>
      </c>
      <c r="IP84" s="730">
        <v>0.4</v>
      </c>
      <c r="IQ84" s="730">
        <v>0.5</v>
      </c>
      <c r="IR84" s="730">
        <v>7.0000000000000007E-2</v>
      </c>
      <c r="IS84" s="730">
        <v>0</v>
      </c>
      <c r="IT84" s="730">
        <v>7.7999999999999996E-3</v>
      </c>
      <c r="IU84" s="730">
        <v>0.37280000000000002</v>
      </c>
      <c r="IV84" s="730">
        <v>0.5222</v>
      </c>
      <c r="IW84" s="730">
        <v>9.2200000000000004E-2</v>
      </c>
      <c r="IX84" s="730">
        <v>5.0000000000000001E-3</v>
      </c>
      <c r="IY84" s="730">
        <v>3.1199999999999999E-2</v>
      </c>
      <c r="IZ84" s="730">
        <v>0.41539999999999999</v>
      </c>
      <c r="JA84" s="730">
        <v>0.49459999999999998</v>
      </c>
      <c r="JB84" s="730">
        <v>5.8900000000000001E-2</v>
      </c>
      <c r="JC84" s="730">
        <v>0</v>
      </c>
      <c r="JD84" s="730">
        <v>8.9999999999999993E-3</v>
      </c>
      <c r="JE84" s="730">
        <v>0.38819999999999999</v>
      </c>
      <c r="JF84" s="730">
        <v>0.51680000000000004</v>
      </c>
      <c r="JG84" s="730">
        <v>8.1100000000000005E-2</v>
      </c>
      <c r="JH84" s="730">
        <v>4.8999999999999998E-3</v>
      </c>
      <c r="JI84" s="730">
        <v>5.3999999999999999E-2</v>
      </c>
      <c r="JJ84" s="730">
        <v>0.53969999999999996</v>
      </c>
      <c r="JK84" s="730">
        <v>0.37480000000000002</v>
      </c>
      <c r="JL84" s="730">
        <v>3.15E-2</v>
      </c>
      <c r="JM84" s="730">
        <v>0</v>
      </c>
      <c r="JN84" s="730">
        <v>3.1800000000000002E-2</v>
      </c>
      <c r="JO84" s="730">
        <v>0.51249999999999996</v>
      </c>
      <c r="JP84" s="730">
        <v>0.39700000000000002</v>
      </c>
      <c r="JQ84" s="730">
        <v>5.3699999999999998E-2</v>
      </c>
      <c r="JR84" s="730">
        <v>5.0000000000000001E-3</v>
      </c>
      <c r="JS84" s="730">
        <v>3.2599999999999997E-2</v>
      </c>
      <c r="JT84" s="730">
        <v>0.4148</v>
      </c>
      <c r="JU84" s="730">
        <v>0.49380000000000002</v>
      </c>
      <c r="JV84" s="730">
        <v>5.8799999999999998E-2</v>
      </c>
      <c r="JW84" s="730">
        <v>0</v>
      </c>
      <c r="JX84" s="730">
        <v>1.04E-2</v>
      </c>
      <c r="JY84" s="730">
        <v>0.3876</v>
      </c>
      <c r="JZ84" s="730">
        <v>0.51600000000000001</v>
      </c>
      <c r="KA84" s="730">
        <v>8.1000000000000003E-2</v>
      </c>
      <c r="KB84" s="730">
        <v>5.0000000000000001E-3</v>
      </c>
      <c r="KC84" s="657"/>
      <c r="KD84" s="314" t="s">
        <v>2590</v>
      </c>
      <c r="KE84" s="314" t="s">
        <v>2590</v>
      </c>
      <c r="KF84" s="866">
        <v>4.2300000000000004</v>
      </c>
      <c r="KG84" s="314" t="s">
        <v>2589</v>
      </c>
      <c r="KH84" s="315" t="s">
        <v>4047</v>
      </c>
      <c r="KI84" s="314" t="s">
        <v>4048</v>
      </c>
      <c r="KJ84" s="315" t="s">
        <v>4096</v>
      </c>
    </row>
    <row r="85" spans="1:296" ht="48" hidden="1" customHeight="1">
      <c r="A85" s="265">
        <f t="shared" si="336"/>
        <v>78</v>
      </c>
      <c r="B85" s="266" t="s">
        <v>2264</v>
      </c>
      <c r="C85" s="266" t="s">
        <v>4081</v>
      </c>
      <c r="D85" s="624" t="s">
        <v>4097</v>
      </c>
      <c r="E85" s="267" t="s">
        <v>2289</v>
      </c>
      <c r="F85" s="267" t="s">
        <v>4027</v>
      </c>
      <c r="G85" s="267" t="s">
        <v>4083</v>
      </c>
      <c r="H85" s="267" t="s">
        <v>2097</v>
      </c>
      <c r="I85" s="268" t="s">
        <v>4098</v>
      </c>
      <c r="J85" s="268" t="s">
        <v>4099</v>
      </c>
      <c r="K85" s="269" t="s">
        <v>2097</v>
      </c>
      <c r="L85" s="269" t="s">
        <v>2109</v>
      </c>
      <c r="M85" s="269" t="s">
        <v>2603</v>
      </c>
      <c r="N85" s="269" t="s">
        <v>4054</v>
      </c>
      <c r="O85" s="267" t="s">
        <v>2616</v>
      </c>
      <c r="P85" s="268" t="s">
        <v>4100</v>
      </c>
      <c r="Q85" s="270">
        <v>1</v>
      </c>
      <c r="R85" s="271">
        <v>8500</v>
      </c>
      <c r="S85" s="272">
        <v>6200</v>
      </c>
      <c r="T85" s="272">
        <v>5900</v>
      </c>
      <c r="U85" s="272">
        <v>5500</v>
      </c>
      <c r="V85" s="272">
        <v>5100</v>
      </c>
      <c r="W85" s="272">
        <v>5050</v>
      </c>
      <c r="X85" s="272">
        <v>5000</v>
      </c>
      <c r="Y85" s="272">
        <v>4960</v>
      </c>
      <c r="Z85" s="272">
        <v>4920</v>
      </c>
      <c r="AA85" s="272">
        <v>4850</v>
      </c>
      <c r="AB85" s="272">
        <v>4860</v>
      </c>
      <c r="AC85" s="272">
        <v>4900</v>
      </c>
      <c r="AD85" s="272">
        <v>4950</v>
      </c>
      <c r="AE85" s="272">
        <v>5000</v>
      </c>
      <c r="AF85" s="272">
        <v>5050</v>
      </c>
      <c r="AG85" s="272">
        <v>5090</v>
      </c>
      <c r="AH85" s="272">
        <v>5130</v>
      </c>
      <c r="AI85" s="272">
        <v>5170</v>
      </c>
      <c r="AJ85" s="272">
        <v>5200</v>
      </c>
      <c r="AK85" s="272">
        <v>5230</v>
      </c>
      <c r="AL85" s="268" t="s">
        <v>4101</v>
      </c>
      <c r="AM85" s="268" t="s">
        <v>4102</v>
      </c>
      <c r="AN85" s="268"/>
      <c r="AO85" s="657"/>
      <c r="AP85" s="271">
        <v>140</v>
      </c>
      <c r="AQ85" s="280">
        <v>119</v>
      </c>
      <c r="AR85" s="280">
        <v>14</v>
      </c>
      <c r="AS85" s="280">
        <v>7</v>
      </c>
      <c r="AT85" s="657"/>
      <c r="AU85" s="301" t="s">
        <v>4103</v>
      </c>
      <c r="AV85" s="572" t="s">
        <v>4104</v>
      </c>
      <c r="AW85" s="645" t="s">
        <v>4105</v>
      </c>
      <c r="AX85" s="290" t="s">
        <v>4061</v>
      </c>
      <c r="AY85" s="657"/>
      <c r="AZ85" s="948">
        <v>14</v>
      </c>
      <c r="BA85" s="948">
        <v>7</v>
      </c>
      <c r="BB85" s="948">
        <v>4.5</v>
      </c>
      <c r="BC85" s="948">
        <v>10</v>
      </c>
      <c r="BD85" s="825">
        <f t="shared" si="241"/>
        <v>179275</v>
      </c>
      <c r="BE85" s="304">
        <f t="shared" si="242"/>
        <v>70700</v>
      </c>
      <c r="BF85" s="304">
        <f t="shared" si="243"/>
        <v>35350</v>
      </c>
      <c r="BG85" s="304">
        <f t="shared" si="244"/>
        <v>22725</v>
      </c>
      <c r="BH85" s="304">
        <f t="shared" si="245"/>
        <v>50500</v>
      </c>
      <c r="BI85" s="825">
        <f t="shared" si="246"/>
        <v>185665</v>
      </c>
      <c r="BJ85" s="304">
        <f t="shared" si="247"/>
        <v>73220</v>
      </c>
      <c r="BK85" s="304">
        <f t="shared" si="248"/>
        <v>36610</v>
      </c>
      <c r="BL85" s="304">
        <f t="shared" si="249"/>
        <v>23535</v>
      </c>
      <c r="BM85" s="304">
        <f t="shared" si="250"/>
        <v>52300</v>
      </c>
      <c r="BN85" s="657"/>
      <c r="BO85" s="284">
        <v>0.41</v>
      </c>
      <c r="BP85" s="284">
        <v>0.43</v>
      </c>
      <c r="BQ85" s="284">
        <v>0.12</v>
      </c>
      <c r="BR85" s="710">
        <v>0.04</v>
      </c>
      <c r="BS85" s="707">
        <v>0.38</v>
      </c>
      <c r="BT85" s="284">
        <v>0.43</v>
      </c>
      <c r="BU85" s="284">
        <v>0.15</v>
      </c>
      <c r="BV85" s="710">
        <v>0.04</v>
      </c>
      <c r="BW85" s="714">
        <v>0.39</v>
      </c>
      <c r="BX85" s="285">
        <v>0.43</v>
      </c>
      <c r="BY85" s="717">
        <v>0.18</v>
      </c>
      <c r="BZ85" s="714">
        <v>0.35</v>
      </c>
      <c r="CA85" s="285">
        <v>0.42</v>
      </c>
      <c r="CB85" s="717">
        <v>0.23</v>
      </c>
      <c r="CC85" s="284">
        <v>0.15</v>
      </c>
      <c r="CD85" s="284">
        <v>0.59</v>
      </c>
      <c r="CE85" s="284">
        <v>0.15</v>
      </c>
      <c r="CF85" s="710">
        <v>0.11</v>
      </c>
      <c r="CG85" s="707">
        <v>0.12</v>
      </c>
      <c r="CH85" s="284">
        <v>0.56999999999999995</v>
      </c>
      <c r="CI85" s="284">
        <v>0.18</v>
      </c>
      <c r="CJ85" s="710">
        <v>0.13</v>
      </c>
      <c r="CK85" s="720">
        <v>0.56999999999999995</v>
      </c>
      <c r="CL85" s="286">
        <v>0.28999999999999998</v>
      </c>
      <c r="CM85" s="718">
        <v>0.14000000000000001</v>
      </c>
      <c r="CN85" s="720">
        <v>0.5</v>
      </c>
      <c r="CO85" s="286">
        <v>0.32</v>
      </c>
      <c r="CP85" s="718">
        <v>0.18</v>
      </c>
      <c r="CQ85" s="657"/>
      <c r="CR85" s="807">
        <v>12</v>
      </c>
      <c r="CS85" s="808">
        <v>13</v>
      </c>
      <c r="CT85" s="808">
        <v>9</v>
      </c>
      <c r="CU85" s="809">
        <v>11</v>
      </c>
      <c r="CV85" s="807">
        <v>11</v>
      </c>
      <c r="CW85" s="808">
        <v>11</v>
      </c>
      <c r="CX85" s="809">
        <v>8</v>
      </c>
      <c r="CY85" s="807">
        <v>10</v>
      </c>
      <c r="CZ85" s="808">
        <v>12</v>
      </c>
      <c r="DA85" s="808">
        <v>8</v>
      </c>
      <c r="DB85" s="809">
        <v>10</v>
      </c>
      <c r="DC85" s="807">
        <v>11</v>
      </c>
      <c r="DD85" s="808">
        <v>12</v>
      </c>
      <c r="DE85" s="809">
        <v>9</v>
      </c>
      <c r="DF85" s="610" t="s">
        <v>4106</v>
      </c>
      <c r="DG85" s="657"/>
      <c r="DH85" s="288">
        <f t="shared" si="251"/>
        <v>28987</v>
      </c>
      <c r="DI85" s="288">
        <f t="shared" si="252"/>
        <v>30401</v>
      </c>
      <c r="DJ85" s="288">
        <f t="shared" si="253"/>
        <v>8484</v>
      </c>
      <c r="DK85" s="288">
        <f t="shared" si="254"/>
        <v>2828</v>
      </c>
      <c r="DL85" s="560" t="s">
        <v>8058</v>
      </c>
      <c r="DM85" s="288">
        <f t="shared" si="255"/>
        <v>27823.599999999999</v>
      </c>
      <c r="DN85" s="288">
        <f t="shared" si="256"/>
        <v>31484.6</v>
      </c>
      <c r="DO85" s="288">
        <f t="shared" si="257"/>
        <v>10983</v>
      </c>
      <c r="DP85" s="288">
        <f t="shared" si="258"/>
        <v>2928.8</v>
      </c>
      <c r="DQ85" s="561" t="s">
        <v>4107</v>
      </c>
      <c r="DR85" s="657"/>
      <c r="DS85" s="288">
        <f t="shared" si="259"/>
        <v>13786.5</v>
      </c>
      <c r="DT85" s="288">
        <f t="shared" si="260"/>
        <v>15200.5</v>
      </c>
      <c r="DU85" s="288">
        <f t="shared" si="261"/>
        <v>6363</v>
      </c>
      <c r="DV85" s="561" t="s">
        <v>8059</v>
      </c>
      <c r="DW85" s="288">
        <f t="shared" si="262"/>
        <v>12813.5</v>
      </c>
      <c r="DX85" s="288">
        <f t="shared" si="263"/>
        <v>15376.199999999999</v>
      </c>
      <c r="DY85" s="288">
        <f t="shared" si="264"/>
        <v>8420.3000000000011</v>
      </c>
      <c r="DZ85" s="561" t="s">
        <v>8060</v>
      </c>
      <c r="EA85" s="657"/>
      <c r="EB85" s="288">
        <f t="shared" si="265"/>
        <v>3408.75</v>
      </c>
      <c r="EC85" s="288">
        <f t="shared" si="266"/>
        <v>13407.75</v>
      </c>
      <c r="ED85" s="288">
        <f t="shared" si="267"/>
        <v>3408.75</v>
      </c>
      <c r="EE85" s="288">
        <f t="shared" si="268"/>
        <v>2499.75</v>
      </c>
      <c r="EF85" s="561" t="s">
        <v>8061</v>
      </c>
      <c r="EG85" s="288">
        <f t="shared" si="269"/>
        <v>2824.2</v>
      </c>
      <c r="EH85" s="288">
        <f t="shared" si="270"/>
        <v>13414.949999999999</v>
      </c>
      <c r="EI85" s="288">
        <f t="shared" si="271"/>
        <v>4236.3</v>
      </c>
      <c r="EJ85" s="288">
        <f t="shared" si="272"/>
        <v>3059.55</v>
      </c>
      <c r="EK85" s="561" t="s">
        <v>4108</v>
      </c>
      <c r="EL85" s="657"/>
      <c r="EM85" s="288">
        <f t="shared" si="273"/>
        <v>28784.999999999996</v>
      </c>
      <c r="EN85" s="291">
        <f t="shared" si="274"/>
        <v>14644.999999999998</v>
      </c>
      <c r="EO85" s="291">
        <f t="shared" si="275"/>
        <v>7070.0000000000009</v>
      </c>
      <c r="EP85" s="561" t="s">
        <v>8062</v>
      </c>
      <c r="EQ85" s="288">
        <f t="shared" si="276"/>
        <v>26150</v>
      </c>
      <c r="ER85" s="291">
        <f t="shared" si="277"/>
        <v>16736</v>
      </c>
      <c r="ES85" s="291">
        <f t="shared" si="278"/>
        <v>9414</v>
      </c>
      <c r="ET85" s="561" t="s">
        <v>8063</v>
      </c>
      <c r="EU85" s="657"/>
      <c r="EV85" s="740">
        <f t="shared" si="279"/>
        <v>0.74611649134387681</v>
      </c>
      <c r="EW85" s="740">
        <f t="shared" si="280"/>
        <v>0.25388350865612319</v>
      </c>
      <c r="EX85" s="563">
        <f t="shared" si="281"/>
        <v>93289.475064251164</v>
      </c>
      <c r="EY85" s="563">
        <f t="shared" si="282"/>
        <v>69604.815814251167</v>
      </c>
      <c r="EZ85" s="563">
        <f t="shared" si="283"/>
        <v>23684.659250000001</v>
      </c>
      <c r="FA85" s="563">
        <f t="shared" si="284"/>
        <v>35390.163128066437</v>
      </c>
      <c r="FB85" s="563">
        <f t="shared" si="285"/>
        <v>26049.734128066437</v>
      </c>
      <c r="FC85" s="563">
        <f t="shared" si="286"/>
        <v>9340.4290000000001</v>
      </c>
      <c r="FD85" s="563">
        <f t="shared" si="287"/>
        <v>19251.914375113636</v>
      </c>
      <c r="FE85" s="563">
        <f t="shared" si="288"/>
        <v>14581.699875113638</v>
      </c>
      <c r="FF85" s="563">
        <f t="shared" si="289"/>
        <v>4670.2145</v>
      </c>
      <c r="FG85" s="563">
        <f t="shared" si="290"/>
        <v>12165.736857712502</v>
      </c>
      <c r="FH85" s="563">
        <f t="shared" si="291"/>
        <v>9163.4561077125018</v>
      </c>
      <c r="FI85" s="563">
        <f t="shared" si="292"/>
        <v>3002.2807499999999</v>
      </c>
      <c r="FJ85" s="563">
        <f t="shared" si="293"/>
        <v>26481.66070335859</v>
      </c>
      <c r="FK85" s="563">
        <f t="shared" si="294"/>
        <v>19809.925703358589</v>
      </c>
      <c r="FL85" s="563">
        <f t="shared" si="295"/>
        <v>6671.7349999999997</v>
      </c>
      <c r="FM85" s="529"/>
      <c r="FN85" s="564" t="s">
        <v>2649</v>
      </c>
      <c r="FO85" s="740">
        <v>9.647E-2</v>
      </c>
      <c r="FP85" s="741">
        <v>0.86189000000000004</v>
      </c>
      <c r="FQ85" s="565" t="s">
        <v>4109</v>
      </c>
      <c r="FR85" s="529"/>
      <c r="FS85" s="867">
        <v>3.45</v>
      </c>
      <c r="FT85" s="566">
        <f>RANK($FS85,$FS$8:$FS$154,0)+COUNTIF($FS$8:$FS151,$FS85)-1</f>
        <v>50</v>
      </c>
      <c r="FU85" s="867">
        <v>4.05</v>
      </c>
      <c r="FV85" s="566">
        <f>RANK($FU85,$FU$8:$FU$154,0)+COUNTIF($FU$8:$FU151,$FU85)-1</f>
        <v>78</v>
      </c>
      <c r="FW85" s="867">
        <v>2.72</v>
      </c>
      <c r="FX85" s="566">
        <f>RANK($FW85,$FW$8:$FW$154,0)+COUNTIF($FW$8:$FW151,$FW85)-1</f>
        <v>15</v>
      </c>
      <c r="FY85" s="529"/>
      <c r="FZ85" s="567" t="s">
        <v>4110</v>
      </c>
      <c r="GA85" s="567" t="s">
        <v>4111</v>
      </c>
      <c r="GB85" s="567" t="s">
        <v>4112</v>
      </c>
      <c r="GC85" s="567" t="s">
        <v>4113</v>
      </c>
      <c r="GD85" s="567" t="s">
        <v>4114</v>
      </c>
      <c r="GE85" s="567" t="s">
        <v>4115</v>
      </c>
      <c r="GF85" s="567" t="str">
        <f>HYPERLINK("https://experience.france2030.gouv.fr/fr/visit/decarbonation-de-leconomie/la-decarbonation-de-l-industrie/full/","https://experience.france2030.gouv.fr/fr/visit/decarbonation-de-leconomie/la-decarbonation-de-l-industrie/full/")&amp;CHAR(10)&amp;HYPERLINK("https://www.tresor.economie.gouv.fr/Articles/2025/05/19/choose-france-2025-une-edition-record-au-service-de-la-souverainete-economique-et-de-l-innovation","https://www.tresor.economie.gouv.fr/Articles/2025/05/19/choose-france-2025-une-edition-record-au-service-de-la-souverainete-economique-et-de-l-innovation")&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https://experience.france2030.gouv.fr/fr/visit/decarbonation-de-leconomie/la-decarbonation-de-l-industrie/full/
https://www.tresor.economie.gouv.fr/Articles/2025/05/19/choose-france-2025-une-edition-record-au-service-de-la-souverainete-economique-et-de-l-innovation
https://www.statistiques.developpement-durable.gouv.fr/construction-de-locaux-resultats-fin-janvier-2026-france-entiere
https://www.insee.fr/fr/statistiques/8671745
https://www.insee.fr/fr/statistiques/8906564</v>
      </c>
      <c r="GG85" s="529"/>
      <c r="GH85" s="563">
        <f t="shared" si="296"/>
        <v>14107.616073833335</v>
      </c>
      <c r="GI85" s="563">
        <f t="shared" si="227"/>
        <v>10558.253053833334</v>
      </c>
      <c r="GJ85" s="563">
        <f t="shared" si="297"/>
        <v>3549.3630200000002</v>
      </c>
      <c r="GK85" s="563">
        <f t="shared" si="298"/>
        <v>14453.408275384616</v>
      </c>
      <c r="GL85" s="563">
        <f t="shared" si="228"/>
        <v>10437.023805384615</v>
      </c>
      <c r="GM85" s="563">
        <f t="shared" si="299"/>
        <v>4016.38447</v>
      </c>
      <c r="GN85" s="563">
        <f t="shared" si="300"/>
        <v>5357.2543686666659</v>
      </c>
      <c r="GO85" s="563">
        <f t="shared" si="229"/>
        <v>3956.1900186666662</v>
      </c>
      <c r="GP85" s="563">
        <f t="shared" si="301"/>
        <v>1401.0643499999999</v>
      </c>
      <c r="GQ85" s="563">
        <f t="shared" si="302"/>
        <v>1471.8844101818181</v>
      </c>
      <c r="GR85" s="563">
        <f t="shared" si="230"/>
        <v>1098.2672501818181</v>
      </c>
      <c r="GS85" s="563">
        <f t="shared" si="303"/>
        <v>373.61716000000001</v>
      </c>
      <c r="GT85" s="563">
        <f t="shared" si="304"/>
        <v>6988.6279196363639</v>
      </c>
      <c r="GU85" s="563">
        <f t="shared" si="231"/>
        <v>5354.0528446363642</v>
      </c>
      <c r="GV85" s="563">
        <f t="shared" si="305"/>
        <v>1634.575075</v>
      </c>
      <c r="GW85" s="563">
        <f t="shared" si="306"/>
        <v>7864.6765597272743</v>
      </c>
      <c r="GX85" s="563">
        <f t="shared" si="232"/>
        <v>5903.186469727274</v>
      </c>
      <c r="GY85" s="563">
        <f t="shared" si="307"/>
        <v>1961.49009</v>
      </c>
      <c r="GZ85" s="563">
        <f t="shared" si="308"/>
        <v>4398.6098957499999</v>
      </c>
      <c r="HA85" s="563">
        <f t="shared" si="233"/>
        <v>3324.4605607500002</v>
      </c>
      <c r="HB85" s="563">
        <f t="shared" si="309"/>
        <v>1074.1493350000001</v>
      </c>
      <c r="HC85" s="563">
        <f t="shared" si="310"/>
        <v>1801.9139984999999</v>
      </c>
      <c r="HD85" s="563">
        <f t="shared" si="234"/>
        <v>1441.6403084999999</v>
      </c>
      <c r="HE85" s="563">
        <f t="shared" si="311"/>
        <v>360.27368999999999</v>
      </c>
      <c r="HF85" s="563">
        <f t="shared" si="312"/>
        <v>6594.9519191250001</v>
      </c>
      <c r="HG85" s="563">
        <f t="shared" si="235"/>
        <v>4883.6518916250006</v>
      </c>
      <c r="HH85" s="563">
        <f t="shared" si="313"/>
        <v>1711.3000274999997</v>
      </c>
      <c r="HI85" s="563">
        <f t="shared" si="314"/>
        <v>2321.3715496875002</v>
      </c>
      <c r="HJ85" s="563">
        <f t="shared" si="236"/>
        <v>1780.9610146875</v>
      </c>
      <c r="HK85" s="563">
        <f t="shared" si="315"/>
        <v>540.41053499999998</v>
      </c>
      <c r="HL85" s="563">
        <f t="shared" si="316"/>
        <v>1447.4993904</v>
      </c>
      <c r="HM85" s="563">
        <f t="shared" si="237"/>
        <v>1057.2028929000001</v>
      </c>
      <c r="HN85" s="563">
        <f t="shared" si="317"/>
        <v>390.29649749999999</v>
      </c>
      <c r="HO85" s="563">
        <f t="shared" si="318"/>
        <v>14514.659153636363</v>
      </c>
      <c r="HP85" s="563">
        <f t="shared" si="238"/>
        <v>11178.791653636363</v>
      </c>
      <c r="HQ85" s="563">
        <f t="shared" si="319"/>
        <v>3335.8674999999998</v>
      </c>
      <c r="HR85" s="563">
        <f t="shared" si="320"/>
        <v>7469.2642341666669</v>
      </c>
      <c r="HS85" s="563">
        <f t="shared" si="239"/>
        <v>5334.3090341666666</v>
      </c>
      <c r="HT85" s="563">
        <f t="shared" si="321"/>
        <v>2134.9551999999999</v>
      </c>
      <c r="HU85" s="563">
        <f t="shared" si="322"/>
        <v>4497.7373155555561</v>
      </c>
      <c r="HV85" s="563">
        <f t="shared" si="240"/>
        <v>3296.8250155555565</v>
      </c>
      <c r="HW85" s="563">
        <f t="shared" si="323"/>
        <v>1200.9123</v>
      </c>
      <c r="HX85" s="544"/>
      <c r="HY85" s="568">
        <f t="shared" si="324"/>
        <v>179275</v>
      </c>
      <c r="HZ85" s="568">
        <f t="shared" si="325"/>
        <v>29480.89</v>
      </c>
      <c r="IA85" s="568">
        <f t="shared" si="326"/>
        <v>109379.97000000002</v>
      </c>
      <c r="IB85" s="568">
        <f t="shared" si="327"/>
        <v>40414.14</v>
      </c>
      <c r="IC85" s="568">
        <f t="shared" si="328"/>
        <v>0</v>
      </c>
      <c r="ID85" s="568">
        <f t="shared" si="329"/>
        <v>0</v>
      </c>
      <c r="IE85" s="568">
        <f t="shared" si="330"/>
        <v>69604.815814251167</v>
      </c>
      <c r="IF85" s="568">
        <f t="shared" si="331"/>
        <v>6208.533390596026</v>
      </c>
      <c r="IG85" s="568">
        <f t="shared" si="332"/>
        <v>37452.947480680305</v>
      </c>
      <c r="IH85" s="568">
        <f t="shared" si="333"/>
        <v>25943.33494297483</v>
      </c>
      <c r="II85" s="568">
        <f t="shared" si="334"/>
        <v>0</v>
      </c>
      <c r="IJ85" s="568">
        <f t="shared" si="335"/>
        <v>0</v>
      </c>
      <c r="IK85" s="868">
        <v>4.18</v>
      </c>
      <c r="IL85" s="569" t="s">
        <v>2589</v>
      </c>
      <c r="IM85" s="570" t="s">
        <v>4116</v>
      </c>
      <c r="IN85" s="529"/>
      <c r="IO85" s="742">
        <v>0.13189999999999999</v>
      </c>
      <c r="IP85" s="742">
        <v>0.5998</v>
      </c>
      <c r="IQ85" s="742">
        <v>0.26829999999999998</v>
      </c>
      <c r="IR85" s="742">
        <v>0</v>
      </c>
      <c r="IS85" s="742">
        <v>0</v>
      </c>
      <c r="IT85" s="742">
        <v>7.5999999999999998E-2</v>
      </c>
      <c r="IU85" s="742">
        <v>0.50119999999999998</v>
      </c>
      <c r="IV85" s="742">
        <v>0.42280000000000001</v>
      </c>
      <c r="IW85" s="742">
        <v>0</v>
      </c>
      <c r="IX85" s="742">
        <v>0</v>
      </c>
      <c r="IY85" s="742">
        <v>0.1749</v>
      </c>
      <c r="IZ85" s="742">
        <v>0.61890000000000001</v>
      </c>
      <c r="JA85" s="742">
        <v>0.20619999999999999</v>
      </c>
      <c r="JB85" s="742">
        <v>0</v>
      </c>
      <c r="JC85" s="742">
        <v>0</v>
      </c>
      <c r="JD85" s="742">
        <v>9.0200000000000002E-2</v>
      </c>
      <c r="JE85" s="742">
        <v>0.55479999999999996</v>
      </c>
      <c r="JF85" s="742">
        <v>0.35499999999999998</v>
      </c>
      <c r="JG85" s="742">
        <v>0</v>
      </c>
      <c r="JH85" s="742">
        <v>0</v>
      </c>
      <c r="JI85" s="742">
        <v>0.25219999999999998</v>
      </c>
      <c r="JJ85" s="742">
        <v>0.61619999999999997</v>
      </c>
      <c r="JK85" s="742">
        <v>0.13159999999999999</v>
      </c>
      <c r="JL85" s="742">
        <v>0</v>
      </c>
      <c r="JM85" s="742">
        <v>0</v>
      </c>
      <c r="JN85" s="742">
        <v>0.13700000000000001</v>
      </c>
      <c r="JO85" s="742">
        <v>0.60329999999999995</v>
      </c>
      <c r="JP85" s="742">
        <v>0.25969999999999999</v>
      </c>
      <c r="JQ85" s="742">
        <v>0</v>
      </c>
      <c r="JR85" s="742">
        <v>0</v>
      </c>
      <c r="JS85" s="742">
        <v>0.16320000000000001</v>
      </c>
      <c r="JT85" s="742">
        <v>0.61570000000000003</v>
      </c>
      <c r="JU85" s="742">
        <v>0.22109999999999999</v>
      </c>
      <c r="JV85" s="742">
        <v>0</v>
      </c>
      <c r="JW85" s="742">
        <v>0</v>
      </c>
      <c r="JX85" s="742">
        <v>8.3699999999999997E-2</v>
      </c>
      <c r="JY85" s="742">
        <v>0.54410000000000003</v>
      </c>
      <c r="JZ85" s="742">
        <v>0.37219999999999998</v>
      </c>
      <c r="KA85" s="742">
        <v>0</v>
      </c>
      <c r="KB85" s="742">
        <v>0</v>
      </c>
      <c r="KC85" s="657"/>
      <c r="KD85" s="832" t="s">
        <v>2590</v>
      </c>
      <c r="KE85" s="832" t="s">
        <v>2590</v>
      </c>
      <c r="KF85" s="869">
        <v>4.3499999999999996</v>
      </c>
      <c r="KG85" s="832" t="s">
        <v>2589</v>
      </c>
      <c r="KH85" s="833" t="s">
        <v>4117</v>
      </c>
      <c r="KI85" s="832" t="s">
        <v>2909</v>
      </c>
      <c r="KJ85" s="833" t="s">
        <v>4118</v>
      </c>
    </row>
    <row r="86" spans="1:296" ht="48" hidden="1" customHeight="1">
      <c r="A86" s="273">
        <f t="shared" si="336"/>
        <v>79</v>
      </c>
      <c r="B86" s="274" t="s">
        <v>2264</v>
      </c>
      <c r="C86" s="274" t="s">
        <v>4081</v>
      </c>
      <c r="D86" s="274" t="s">
        <v>4119</v>
      </c>
      <c r="E86" s="275" t="s">
        <v>2117</v>
      </c>
      <c r="F86" s="275" t="s">
        <v>4120</v>
      </c>
      <c r="G86" s="275" t="s">
        <v>2121</v>
      </c>
      <c r="H86" s="275" t="s">
        <v>2109</v>
      </c>
      <c r="I86" s="276" t="s">
        <v>4121</v>
      </c>
      <c r="J86" s="276" t="s">
        <v>4122</v>
      </c>
      <c r="K86" s="277" t="s">
        <v>2097</v>
      </c>
      <c r="L86" s="277" t="s">
        <v>2109</v>
      </c>
      <c r="M86" s="277" t="s">
        <v>4123</v>
      </c>
      <c r="N86" s="277" t="s">
        <v>4124</v>
      </c>
      <c r="O86" s="275" t="s">
        <v>2616</v>
      </c>
      <c r="P86" s="276"/>
      <c r="Q86" s="270">
        <v>1</v>
      </c>
      <c r="R86" s="278">
        <v>1500</v>
      </c>
      <c r="S86" s="279">
        <v>1900</v>
      </c>
      <c r="T86" s="279">
        <v>1800</v>
      </c>
      <c r="U86" s="279">
        <v>1750</v>
      </c>
      <c r="V86" s="279">
        <v>1850</v>
      </c>
      <c r="W86" s="279">
        <v>1900</v>
      </c>
      <c r="X86" s="279">
        <v>1950</v>
      </c>
      <c r="Y86" s="279">
        <v>2000</v>
      </c>
      <c r="Z86" s="279">
        <v>2050</v>
      </c>
      <c r="AA86" s="279">
        <v>2020</v>
      </c>
      <c r="AB86" s="279">
        <v>2100</v>
      </c>
      <c r="AC86" s="279">
        <v>2150</v>
      </c>
      <c r="AD86" s="279">
        <v>2200</v>
      </c>
      <c r="AE86" s="279">
        <v>2250</v>
      </c>
      <c r="AF86" s="279">
        <v>2300</v>
      </c>
      <c r="AG86" s="279">
        <v>2320</v>
      </c>
      <c r="AH86" s="279">
        <v>2340</v>
      </c>
      <c r="AI86" s="279">
        <v>2360</v>
      </c>
      <c r="AJ86" s="279">
        <v>2380</v>
      </c>
      <c r="AK86" s="279">
        <v>2400</v>
      </c>
      <c r="AL86" s="276" t="s">
        <v>4125</v>
      </c>
      <c r="AM86" s="276" t="s">
        <v>4126</v>
      </c>
      <c r="AN86" s="276" t="s">
        <v>4127</v>
      </c>
      <c r="AO86" s="657"/>
      <c r="AP86" s="278">
        <v>30</v>
      </c>
      <c r="AQ86" s="278">
        <v>24</v>
      </c>
      <c r="AR86" s="278">
        <v>5</v>
      </c>
      <c r="AS86" s="278">
        <v>1</v>
      </c>
      <c r="AT86" s="657"/>
      <c r="AU86" s="281" t="s">
        <v>4128</v>
      </c>
      <c r="AV86" s="296" t="s">
        <v>4129</v>
      </c>
      <c r="AW86" s="296" t="s">
        <v>4130</v>
      </c>
      <c r="AX86" s="276" t="s">
        <v>4061</v>
      </c>
      <c r="AY86" s="657"/>
      <c r="AZ86" s="947">
        <v>4</v>
      </c>
      <c r="BA86" s="947">
        <v>0.8</v>
      </c>
      <c r="BB86" s="947">
        <v>0.8</v>
      </c>
      <c r="BC86" s="947">
        <v>3</v>
      </c>
      <c r="BD86" s="826">
        <f t="shared" si="241"/>
        <v>19780</v>
      </c>
      <c r="BE86" s="283">
        <f t="shared" si="242"/>
        <v>9200</v>
      </c>
      <c r="BF86" s="283">
        <f t="shared" si="243"/>
        <v>1840</v>
      </c>
      <c r="BG86" s="283">
        <f t="shared" si="244"/>
        <v>1840</v>
      </c>
      <c r="BH86" s="283">
        <f t="shared" si="245"/>
        <v>6900</v>
      </c>
      <c r="BI86" s="826">
        <f t="shared" si="246"/>
        <v>20640</v>
      </c>
      <c r="BJ86" s="283">
        <f t="shared" si="247"/>
        <v>9600</v>
      </c>
      <c r="BK86" s="283">
        <f t="shared" si="248"/>
        <v>1920</v>
      </c>
      <c r="BL86" s="283">
        <f t="shared" si="249"/>
        <v>1920</v>
      </c>
      <c r="BM86" s="283">
        <f t="shared" si="250"/>
        <v>7200</v>
      </c>
      <c r="BN86" s="657"/>
      <c r="BO86" s="305">
        <v>0.18</v>
      </c>
      <c r="BP86" s="305">
        <v>0.57999999999999996</v>
      </c>
      <c r="BQ86" s="305">
        <v>0.2</v>
      </c>
      <c r="BR86" s="581">
        <v>0.04</v>
      </c>
      <c r="BS86" s="706">
        <v>0.16</v>
      </c>
      <c r="BT86" s="305">
        <v>0.57999999999999996</v>
      </c>
      <c r="BU86" s="305">
        <v>0.23</v>
      </c>
      <c r="BV86" s="581">
        <v>0.03</v>
      </c>
      <c r="BW86" s="713">
        <v>0.25</v>
      </c>
      <c r="BX86" s="306">
        <v>0.7</v>
      </c>
      <c r="BY86" s="590">
        <v>0.05</v>
      </c>
      <c r="BZ86" s="713">
        <v>0.2</v>
      </c>
      <c r="CA86" s="306">
        <v>0.74</v>
      </c>
      <c r="CB86" s="590">
        <v>0.06</v>
      </c>
      <c r="CC86" s="706">
        <v>0.05</v>
      </c>
      <c r="CD86" s="305">
        <v>0.45</v>
      </c>
      <c r="CE86" s="305">
        <v>0.3</v>
      </c>
      <c r="CF86" s="581">
        <v>0.2</v>
      </c>
      <c r="CG86" s="706">
        <v>0.04</v>
      </c>
      <c r="CH86" s="305">
        <v>0.45</v>
      </c>
      <c r="CI86" s="305">
        <v>0.33</v>
      </c>
      <c r="CJ86" s="581">
        <v>0.18</v>
      </c>
      <c r="CK86" s="719">
        <v>0.5</v>
      </c>
      <c r="CL86" s="307">
        <v>0.25</v>
      </c>
      <c r="CM86" s="723">
        <v>0.25</v>
      </c>
      <c r="CN86" s="719">
        <v>0.42</v>
      </c>
      <c r="CO86" s="307">
        <v>0.25</v>
      </c>
      <c r="CP86" s="723">
        <v>0.33</v>
      </c>
      <c r="CQ86" s="657"/>
      <c r="CR86" s="804">
        <v>13</v>
      </c>
      <c r="CS86" s="805">
        <v>13</v>
      </c>
      <c r="CT86" s="805">
        <v>10</v>
      </c>
      <c r="CU86" s="806">
        <v>12</v>
      </c>
      <c r="CV86" s="804">
        <v>11</v>
      </c>
      <c r="CW86" s="805">
        <v>11</v>
      </c>
      <c r="CX86" s="806">
        <v>8</v>
      </c>
      <c r="CY86" s="804">
        <v>11</v>
      </c>
      <c r="CZ86" s="805">
        <v>13</v>
      </c>
      <c r="DA86" s="805">
        <v>9</v>
      </c>
      <c r="DB86" s="806">
        <v>11</v>
      </c>
      <c r="DC86" s="804">
        <v>12</v>
      </c>
      <c r="DD86" s="805">
        <v>13</v>
      </c>
      <c r="DE86" s="806">
        <v>10</v>
      </c>
      <c r="DF86" s="609" t="s">
        <v>4131</v>
      </c>
      <c r="DG86" s="657"/>
      <c r="DH86" s="308">
        <f t="shared" si="251"/>
        <v>1656</v>
      </c>
      <c r="DI86" s="308">
        <f t="shared" si="252"/>
        <v>5336</v>
      </c>
      <c r="DJ86" s="308">
        <f t="shared" si="253"/>
        <v>1840</v>
      </c>
      <c r="DK86" s="308">
        <f t="shared" si="254"/>
        <v>368</v>
      </c>
      <c r="DL86" s="287" t="s">
        <v>4038</v>
      </c>
      <c r="DM86" s="308">
        <f t="shared" si="255"/>
        <v>1536</v>
      </c>
      <c r="DN86" s="308">
        <f t="shared" si="256"/>
        <v>5568</v>
      </c>
      <c r="DO86" s="308">
        <f t="shared" si="257"/>
        <v>2208</v>
      </c>
      <c r="DP86" s="308">
        <f t="shared" si="258"/>
        <v>288</v>
      </c>
      <c r="DQ86" s="289" t="s">
        <v>4064</v>
      </c>
      <c r="DR86" s="657"/>
      <c r="DS86" s="308">
        <f t="shared" si="259"/>
        <v>460</v>
      </c>
      <c r="DT86" s="308">
        <f t="shared" si="260"/>
        <v>1288</v>
      </c>
      <c r="DU86" s="308">
        <f t="shared" si="261"/>
        <v>92</v>
      </c>
      <c r="DV86" s="289" t="s">
        <v>4132</v>
      </c>
      <c r="DW86" s="308">
        <f t="shared" si="262"/>
        <v>384</v>
      </c>
      <c r="DX86" s="308">
        <f t="shared" si="263"/>
        <v>1420.8</v>
      </c>
      <c r="DY86" s="308">
        <f t="shared" si="264"/>
        <v>115.19999999999999</v>
      </c>
      <c r="DZ86" s="289" t="s">
        <v>4133</v>
      </c>
      <c r="EA86" s="657"/>
      <c r="EB86" s="308">
        <f t="shared" si="265"/>
        <v>92</v>
      </c>
      <c r="EC86" s="308">
        <f t="shared" si="266"/>
        <v>828</v>
      </c>
      <c r="ED86" s="308">
        <f t="shared" si="267"/>
        <v>552</v>
      </c>
      <c r="EE86" s="308">
        <f t="shared" si="268"/>
        <v>368</v>
      </c>
      <c r="EF86" s="289" t="s">
        <v>4067</v>
      </c>
      <c r="EG86" s="308">
        <f t="shared" si="269"/>
        <v>76.8</v>
      </c>
      <c r="EH86" s="308">
        <f t="shared" si="270"/>
        <v>864</v>
      </c>
      <c r="EI86" s="308">
        <f t="shared" si="271"/>
        <v>633.6</v>
      </c>
      <c r="EJ86" s="308">
        <f t="shared" si="272"/>
        <v>345.59999999999997</v>
      </c>
      <c r="EK86" s="309" t="s">
        <v>4068</v>
      </c>
      <c r="EL86" s="657"/>
      <c r="EM86" s="308">
        <f t="shared" si="273"/>
        <v>3450</v>
      </c>
      <c r="EN86" s="310">
        <f t="shared" si="274"/>
        <v>1725</v>
      </c>
      <c r="EO86" s="310">
        <f t="shared" si="275"/>
        <v>1725</v>
      </c>
      <c r="EP86" s="289" t="s">
        <v>4069</v>
      </c>
      <c r="EQ86" s="308">
        <f t="shared" si="276"/>
        <v>3024</v>
      </c>
      <c r="ER86" s="310">
        <f t="shared" si="277"/>
        <v>1800</v>
      </c>
      <c r="ES86" s="310">
        <f t="shared" si="278"/>
        <v>2376</v>
      </c>
      <c r="ET86" s="289" t="s">
        <v>4070</v>
      </c>
      <c r="EU86" s="657"/>
      <c r="EV86" s="728">
        <f t="shared" si="279"/>
        <v>0.6903444164748137</v>
      </c>
      <c r="EW86" s="728">
        <f t="shared" si="280"/>
        <v>0.3096555835251863</v>
      </c>
      <c r="EX86" s="311">
        <f t="shared" si="281"/>
        <v>8352.5004476130543</v>
      </c>
      <c r="EY86" s="311">
        <f t="shared" si="282"/>
        <v>5766.1020476130543</v>
      </c>
      <c r="EZ86" s="311">
        <f t="shared" si="283"/>
        <v>2586.3984</v>
      </c>
      <c r="FA86" s="311">
        <f t="shared" si="284"/>
        <v>3749.3136036923074</v>
      </c>
      <c r="FB86" s="311">
        <f t="shared" si="285"/>
        <v>2546.3376036923073</v>
      </c>
      <c r="FC86" s="311">
        <f t="shared" si="286"/>
        <v>1202.9760000000001</v>
      </c>
      <c r="FD86" s="311">
        <f t="shared" si="287"/>
        <v>841.93218327272734</v>
      </c>
      <c r="FE86" s="311">
        <f t="shared" si="288"/>
        <v>601.33698327272737</v>
      </c>
      <c r="FF86" s="311">
        <f t="shared" si="289"/>
        <v>240.59520000000001</v>
      </c>
      <c r="FG86" s="311">
        <f t="shared" si="290"/>
        <v>822.58975526340328</v>
      </c>
      <c r="FH86" s="311">
        <f t="shared" si="291"/>
        <v>581.9945552634033</v>
      </c>
      <c r="FI86" s="311">
        <f t="shared" si="292"/>
        <v>240.59520000000001</v>
      </c>
      <c r="FJ86" s="311">
        <f t="shared" si="293"/>
        <v>2938.6649053846154</v>
      </c>
      <c r="FK86" s="311">
        <f t="shared" si="294"/>
        <v>2036.4329053846154</v>
      </c>
      <c r="FL86" s="311">
        <f t="shared" si="295"/>
        <v>902.23199999999997</v>
      </c>
      <c r="FM86" s="657"/>
      <c r="FN86" s="293" t="s">
        <v>2649</v>
      </c>
      <c r="FO86" s="728">
        <v>8.7279999999999996E-2</v>
      </c>
      <c r="FP86" s="729">
        <v>0.82916000000000001</v>
      </c>
      <c r="FQ86" s="294" t="s">
        <v>4071</v>
      </c>
      <c r="FR86" s="657"/>
      <c r="FS86" s="865">
        <v>3.22</v>
      </c>
      <c r="FT86" s="312">
        <f>RANK($FS86,$FS$8:$FS$154,0)+COUNTIF($FS$8:$FS151,$FS86)-1</f>
        <v>86</v>
      </c>
      <c r="FU86" s="865">
        <v>4.22</v>
      </c>
      <c r="FV86" s="312">
        <f>RANK($FU86,$FU$8:$FU$154,0)+COUNTIF($FU$8:$FU151,$FU86)-1</f>
        <v>44</v>
      </c>
      <c r="FW86" s="865">
        <v>2</v>
      </c>
      <c r="FX86" s="312">
        <f>RANK($FW86,$FW$8:$FW$154,0)+COUNTIF($FW$8:$FW151,$FW86)-1</f>
        <v>108</v>
      </c>
      <c r="FY86" s="657"/>
      <c r="FZ86" s="296" t="s">
        <v>4072</v>
      </c>
      <c r="GA86" s="296" t="s">
        <v>4073</v>
      </c>
      <c r="GB86" s="296" t="s">
        <v>4074</v>
      </c>
      <c r="GC86" s="296" t="s">
        <v>4075</v>
      </c>
      <c r="GD86" s="296" t="s">
        <v>4076</v>
      </c>
      <c r="GE86" s="296" t="s">
        <v>4077</v>
      </c>
      <c r="GF86" s="296" t="str">
        <f>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86" s="657"/>
      <c r="GH86" s="311">
        <f t="shared" si="296"/>
        <v>614.96507076923081</v>
      </c>
      <c r="GI86" s="311">
        <f t="shared" si="227"/>
        <v>422.48891076923076</v>
      </c>
      <c r="GJ86" s="311">
        <f t="shared" si="297"/>
        <v>192.47616000000002</v>
      </c>
      <c r="GK86" s="311">
        <f t="shared" si="298"/>
        <v>2059.0792369230767</v>
      </c>
      <c r="GL86" s="311">
        <f t="shared" si="228"/>
        <v>1361.3531569230768</v>
      </c>
      <c r="GM86" s="311">
        <f t="shared" si="299"/>
        <v>697.72608000000002</v>
      </c>
      <c r="GN86" s="311">
        <f t="shared" si="300"/>
        <v>934.70585600000004</v>
      </c>
      <c r="GO86" s="311">
        <f t="shared" si="229"/>
        <v>658.02137600000003</v>
      </c>
      <c r="GP86" s="311">
        <f t="shared" si="301"/>
        <v>276.68448000000006</v>
      </c>
      <c r="GQ86" s="311">
        <f t="shared" si="302"/>
        <v>140.56343999999999</v>
      </c>
      <c r="GR86" s="311">
        <f t="shared" si="230"/>
        <v>104.47415999999998</v>
      </c>
      <c r="GS86" s="311">
        <f t="shared" si="303"/>
        <v>36.089280000000002</v>
      </c>
      <c r="GT86" s="311">
        <f t="shared" si="304"/>
        <v>195.10649454545455</v>
      </c>
      <c r="GU86" s="311">
        <f t="shared" si="231"/>
        <v>146.98745454545454</v>
      </c>
      <c r="GV86" s="311">
        <f t="shared" si="305"/>
        <v>48.119040000000005</v>
      </c>
      <c r="GW86" s="311">
        <f t="shared" si="306"/>
        <v>589.60532072727278</v>
      </c>
      <c r="GX86" s="311">
        <f t="shared" si="232"/>
        <v>411.56487272727276</v>
      </c>
      <c r="GY86" s="311">
        <f t="shared" si="307"/>
        <v>178.040448</v>
      </c>
      <c r="GZ86" s="311">
        <f t="shared" si="308"/>
        <v>57.220368000000001</v>
      </c>
      <c r="HA86" s="311">
        <f t="shared" si="233"/>
        <v>42.784655999999998</v>
      </c>
      <c r="HB86" s="311">
        <f t="shared" si="309"/>
        <v>14.435712000000001</v>
      </c>
      <c r="HC86" s="311">
        <f t="shared" si="310"/>
        <v>39.021298909090916</v>
      </c>
      <c r="HD86" s="311">
        <f t="shared" si="234"/>
        <v>29.397490909090912</v>
      </c>
      <c r="HE86" s="311">
        <f t="shared" si="311"/>
        <v>9.6238080000000004</v>
      </c>
      <c r="HF86" s="311">
        <f t="shared" si="312"/>
        <v>319.51229538461541</v>
      </c>
      <c r="HG86" s="311">
        <f t="shared" si="235"/>
        <v>211.24445538461538</v>
      </c>
      <c r="HH86" s="311">
        <f t="shared" si="313"/>
        <v>108.26784000000001</v>
      </c>
      <c r="HI86" s="311">
        <f t="shared" si="314"/>
        <v>303.15906133333334</v>
      </c>
      <c r="HJ86" s="311">
        <f t="shared" si="236"/>
        <v>223.76264533333332</v>
      </c>
      <c r="HK86" s="311">
        <f t="shared" si="315"/>
        <v>79.396416000000002</v>
      </c>
      <c r="HL86" s="311">
        <f t="shared" si="316"/>
        <v>160.89709963636363</v>
      </c>
      <c r="HM86" s="311">
        <f t="shared" si="237"/>
        <v>117.58996363636365</v>
      </c>
      <c r="HN86" s="311">
        <f t="shared" si="317"/>
        <v>43.307136</v>
      </c>
      <c r="HO86" s="311">
        <f t="shared" si="318"/>
        <v>1358.3826900000001</v>
      </c>
      <c r="HP86" s="311">
        <f t="shared" si="238"/>
        <v>979.4452500000001</v>
      </c>
      <c r="HQ86" s="311">
        <f t="shared" si="319"/>
        <v>378.93743999999998</v>
      </c>
      <c r="HR86" s="311">
        <f t="shared" si="320"/>
        <v>665.65061538461532</v>
      </c>
      <c r="HS86" s="311">
        <f t="shared" si="239"/>
        <v>440.09261538461539</v>
      </c>
      <c r="HT86" s="311">
        <f t="shared" si="321"/>
        <v>225.55799999999999</v>
      </c>
      <c r="HU86" s="311">
        <f t="shared" si="322"/>
        <v>914.63159999999993</v>
      </c>
      <c r="HV86" s="311">
        <f t="shared" si="240"/>
        <v>616.89503999999999</v>
      </c>
      <c r="HW86" s="311">
        <f t="shared" si="323"/>
        <v>297.73656</v>
      </c>
      <c r="HY86" s="313">
        <f t="shared" si="324"/>
        <v>17940</v>
      </c>
      <c r="HZ86" s="313">
        <f t="shared" si="325"/>
        <v>0</v>
      </c>
      <c r="IA86" s="313">
        <f t="shared" si="326"/>
        <v>4778.848</v>
      </c>
      <c r="IB86" s="313">
        <f t="shared" si="327"/>
        <v>9446.4220000000005</v>
      </c>
      <c r="IC86" s="313">
        <f t="shared" si="328"/>
        <v>3526.6820000000002</v>
      </c>
      <c r="ID86" s="313">
        <f t="shared" si="329"/>
        <v>188.048</v>
      </c>
      <c r="IE86" s="313">
        <f t="shared" si="330"/>
        <v>5164.7650643403267</v>
      </c>
      <c r="IF86" s="313">
        <f t="shared" si="331"/>
        <v>0</v>
      </c>
      <c r="IG86" s="313">
        <f t="shared" si="332"/>
        <v>725.42352562888345</v>
      </c>
      <c r="IH86" s="313">
        <f t="shared" si="333"/>
        <v>2694.2558470356844</v>
      </c>
      <c r="II86" s="313">
        <f t="shared" si="334"/>
        <v>1575.1109361811941</v>
      </c>
      <c r="IJ86" s="313">
        <f t="shared" si="335"/>
        <v>169.97475549456408</v>
      </c>
      <c r="IK86" s="866">
        <v>4</v>
      </c>
      <c r="IL86" s="314" t="s">
        <v>2589</v>
      </c>
      <c r="IM86" s="299" t="s">
        <v>4078</v>
      </c>
      <c r="IN86" s="657"/>
      <c r="IO86" s="730">
        <v>0</v>
      </c>
      <c r="IP86" s="730">
        <v>0.2369</v>
      </c>
      <c r="IQ86" s="730">
        <v>0.53590000000000004</v>
      </c>
      <c r="IR86" s="730">
        <v>0.2142</v>
      </c>
      <c r="IS86" s="730">
        <v>1.2999999999999999E-2</v>
      </c>
      <c r="IT86" s="730">
        <v>0</v>
      </c>
      <c r="IU86" s="730">
        <v>0.11550000000000001</v>
      </c>
      <c r="IV86" s="730">
        <v>0.51119999999999999</v>
      </c>
      <c r="IW86" s="730">
        <v>0.33310000000000001</v>
      </c>
      <c r="IX86" s="730">
        <v>4.02E-2</v>
      </c>
      <c r="IY86" s="730">
        <v>0</v>
      </c>
      <c r="IZ86" s="730">
        <v>0</v>
      </c>
      <c r="JA86" s="730">
        <v>0</v>
      </c>
      <c r="JB86" s="730">
        <v>0</v>
      </c>
      <c r="JC86" s="730">
        <v>0</v>
      </c>
      <c r="JD86" s="730">
        <v>0</v>
      </c>
      <c r="JE86" s="730">
        <v>0</v>
      </c>
      <c r="JF86" s="730">
        <v>0</v>
      </c>
      <c r="JG86" s="730">
        <v>0</v>
      </c>
      <c r="JH86" s="730">
        <v>0</v>
      </c>
      <c r="JI86" s="730">
        <v>0</v>
      </c>
      <c r="JJ86" s="730">
        <v>0.35820000000000002</v>
      </c>
      <c r="JK86" s="730">
        <v>0.49580000000000002</v>
      </c>
      <c r="JL86" s="730">
        <v>0.14180000000000001</v>
      </c>
      <c r="JM86" s="730">
        <v>4.1999999999999997E-3</v>
      </c>
      <c r="JN86" s="730">
        <v>0</v>
      </c>
      <c r="JO86" s="730">
        <v>0.218</v>
      </c>
      <c r="JP86" s="730">
        <v>0.53859999999999997</v>
      </c>
      <c r="JQ86" s="730">
        <v>0.22800000000000001</v>
      </c>
      <c r="JR86" s="730">
        <v>1.54E-2</v>
      </c>
      <c r="JS86" s="730">
        <v>0</v>
      </c>
      <c r="JT86" s="730">
        <v>0.28120000000000001</v>
      </c>
      <c r="JU86" s="730">
        <v>0.52229999999999999</v>
      </c>
      <c r="JV86" s="730">
        <v>0.18770000000000001</v>
      </c>
      <c r="JW86" s="730">
        <v>8.8000000000000005E-3</v>
      </c>
      <c r="JX86" s="730">
        <v>0</v>
      </c>
      <c r="JY86" s="730">
        <v>0.14949999999999999</v>
      </c>
      <c r="JZ86" s="730">
        <v>0.52990000000000004</v>
      </c>
      <c r="KA86" s="730">
        <v>0.2918</v>
      </c>
      <c r="KB86" s="730">
        <v>2.8799999999999999E-2</v>
      </c>
      <c r="KC86" s="657"/>
      <c r="KD86" s="314" t="s">
        <v>2590</v>
      </c>
      <c r="KE86" s="314" t="s">
        <v>2591</v>
      </c>
      <c r="KF86" s="866">
        <v>4.4000000000000004</v>
      </c>
      <c r="KG86" s="314" t="s">
        <v>2589</v>
      </c>
      <c r="KH86" s="315" t="s">
        <v>4079</v>
      </c>
      <c r="KI86" s="314" t="s">
        <v>2823</v>
      </c>
      <c r="KJ86" s="315" t="s">
        <v>4134</v>
      </c>
    </row>
    <row r="87" spans="1:296" ht="48" hidden="1" customHeight="1">
      <c r="A87" s="265">
        <f t="shared" si="336"/>
        <v>80</v>
      </c>
      <c r="B87" s="266" t="s">
        <v>4135</v>
      </c>
      <c r="C87" s="266" t="s">
        <v>4135</v>
      </c>
      <c r="D87" s="624" t="s">
        <v>4136</v>
      </c>
      <c r="E87" s="267" t="s">
        <v>4137</v>
      </c>
      <c r="F87" s="267" t="s">
        <v>300</v>
      </c>
      <c r="G87" s="267" t="s">
        <v>300</v>
      </c>
      <c r="H87" s="267" t="s">
        <v>2109</v>
      </c>
      <c r="I87" s="268" t="s">
        <v>4138</v>
      </c>
      <c r="J87" s="268" t="s">
        <v>4139</v>
      </c>
      <c r="K87" s="269" t="s">
        <v>2109</v>
      </c>
      <c r="L87" s="269" t="s">
        <v>2109</v>
      </c>
      <c r="M87" s="269" t="s">
        <v>2603</v>
      </c>
      <c r="N87" s="269" t="s">
        <v>3322</v>
      </c>
      <c r="O87" s="267" t="s">
        <v>2616</v>
      </c>
      <c r="P87" s="268"/>
      <c r="Q87" s="270">
        <v>1</v>
      </c>
      <c r="R87" s="271">
        <v>1800</v>
      </c>
      <c r="S87" s="272">
        <v>19900</v>
      </c>
      <c r="T87" s="272">
        <v>19200</v>
      </c>
      <c r="U87" s="272">
        <v>18800</v>
      </c>
      <c r="V87" s="272">
        <v>18496</v>
      </c>
      <c r="W87" s="272">
        <v>18172</v>
      </c>
      <c r="X87" s="272">
        <v>17840</v>
      </c>
      <c r="Y87" s="272">
        <v>17960</v>
      </c>
      <c r="Z87" s="272">
        <v>17720</v>
      </c>
      <c r="AA87" s="272">
        <v>16450</v>
      </c>
      <c r="AB87" s="272">
        <v>16100</v>
      </c>
      <c r="AC87" s="272">
        <v>15850</v>
      </c>
      <c r="AD87" s="272">
        <v>15500</v>
      </c>
      <c r="AE87" s="272">
        <v>15155</v>
      </c>
      <c r="AF87" s="272">
        <v>15050</v>
      </c>
      <c r="AG87" s="272">
        <v>14950</v>
      </c>
      <c r="AH87" s="272">
        <v>14900</v>
      </c>
      <c r="AI87" s="272">
        <v>14850</v>
      </c>
      <c r="AJ87" s="272">
        <v>14800</v>
      </c>
      <c r="AK87" s="272">
        <v>14750</v>
      </c>
      <c r="AL87" s="268" t="s">
        <v>4140</v>
      </c>
      <c r="AM87" s="268" t="s">
        <v>4141</v>
      </c>
      <c r="AN87" s="268" t="s">
        <v>4142</v>
      </c>
      <c r="AO87" s="657"/>
      <c r="AP87" s="271">
        <v>90</v>
      </c>
      <c r="AQ87" s="280">
        <v>65</v>
      </c>
      <c r="AR87" s="280">
        <v>20</v>
      </c>
      <c r="AS87" s="280">
        <v>5</v>
      </c>
      <c r="AT87" s="657"/>
      <c r="AU87" s="301" t="s">
        <v>4143</v>
      </c>
      <c r="AV87" s="572" t="s">
        <v>4144</v>
      </c>
      <c r="AW87" s="645" t="s">
        <v>3651</v>
      </c>
      <c r="AX87" s="290" t="s">
        <v>4145</v>
      </c>
      <c r="AY87" s="657"/>
      <c r="AZ87" s="948">
        <v>4</v>
      </c>
      <c r="BA87" s="948">
        <v>0.2</v>
      </c>
      <c r="BB87" s="948">
        <v>0.6</v>
      </c>
      <c r="BC87" s="948">
        <v>3.5</v>
      </c>
      <c r="BD87" s="825">
        <f t="shared" si="241"/>
        <v>124915</v>
      </c>
      <c r="BE87" s="304">
        <f t="shared" si="242"/>
        <v>60200</v>
      </c>
      <c r="BF87" s="304">
        <f t="shared" si="243"/>
        <v>3010</v>
      </c>
      <c r="BG87" s="304">
        <f t="shared" si="244"/>
        <v>9030</v>
      </c>
      <c r="BH87" s="304">
        <f t="shared" si="245"/>
        <v>52675</v>
      </c>
      <c r="BI87" s="825">
        <f t="shared" si="246"/>
        <v>122425</v>
      </c>
      <c r="BJ87" s="304">
        <f t="shared" si="247"/>
        <v>59000</v>
      </c>
      <c r="BK87" s="304">
        <f t="shared" si="248"/>
        <v>2950</v>
      </c>
      <c r="BL87" s="304">
        <f t="shared" si="249"/>
        <v>8850</v>
      </c>
      <c r="BM87" s="304">
        <f t="shared" si="250"/>
        <v>51625</v>
      </c>
      <c r="BN87" s="657"/>
      <c r="BO87" s="284">
        <v>0.55000000000000004</v>
      </c>
      <c r="BP87" s="284">
        <v>0.35</v>
      </c>
      <c r="BQ87" s="284">
        <v>0.05</v>
      </c>
      <c r="BR87" s="710">
        <v>0.05</v>
      </c>
      <c r="BS87" s="707">
        <v>0.5</v>
      </c>
      <c r="BT87" s="284">
        <v>0.37</v>
      </c>
      <c r="BU87" s="284">
        <v>0.08</v>
      </c>
      <c r="BV87" s="710">
        <v>0.05</v>
      </c>
      <c r="BW87" s="714">
        <v>0.6</v>
      </c>
      <c r="BX87" s="285">
        <v>0.35</v>
      </c>
      <c r="BY87" s="717">
        <v>0.05</v>
      </c>
      <c r="BZ87" s="714">
        <v>0.55000000000000004</v>
      </c>
      <c r="CA87" s="285">
        <v>0.38</v>
      </c>
      <c r="CB87" s="717">
        <v>7.0000000000000007E-2</v>
      </c>
      <c r="CC87" s="284">
        <v>0.12</v>
      </c>
      <c r="CD87" s="284">
        <v>0.45</v>
      </c>
      <c r="CE87" s="284">
        <v>0.12</v>
      </c>
      <c r="CF87" s="710">
        <v>0.31</v>
      </c>
      <c r="CG87" s="707">
        <v>0.1</v>
      </c>
      <c r="CH87" s="284">
        <v>0.45</v>
      </c>
      <c r="CI87" s="284">
        <v>0.15</v>
      </c>
      <c r="CJ87" s="710">
        <v>0.3</v>
      </c>
      <c r="CK87" s="720">
        <v>0.6</v>
      </c>
      <c r="CL87" s="286">
        <v>0.35</v>
      </c>
      <c r="CM87" s="718">
        <v>0.05</v>
      </c>
      <c r="CN87" s="720">
        <v>0.55000000000000004</v>
      </c>
      <c r="CO87" s="286">
        <v>0.38</v>
      </c>
      <c r="CP87" s="718">
        <v>7.0000000000000007E-2</v>
      </c>
      <c r="CQ87" s="657"/>
      <c r="CR87" s="807">
        <v>12</v>
      </c>
      <c r="CS87" s="808">
        <v>13</v>
      </c>
      <c r="CT87" s="808">
        <v>9</v>
      </c>
      <c r="CU87" s="809">
        <v>11</v>
      </c>
      <c r="CV87" s="807">
        <v>11</v>
      </c>
      <c r="CW87" s="808">
        <v>10</v>
      </c>
      <c r="CX87" s="809">
        <v>8</v>
      </c>
      <c r="CY87" s="807">
        <v>10</v>
      </c>
      <c r="CZ87" s="808">
        <v>12</v>
      </c>
      <c r="DA87" s="808">
        <v>8</v>
      </c>
      <c r="DB87" s="809">
        <v>10</v>
      </c>
      <c r="DC87" s="807">
        <v>13</v>
      </c>
      <c r="DD87" s="808">
        <v>13</v>
      </c>
      <c r="DE87" s="809">
        <v>9</v>
      </c>
      <c r="DF87" s="610" t="s">
        <v>4146</v>
      </c>
      <c r="DG87" s="657"/>
      <c r="DH87" s="288">
        <f t="shared" si="251"/>
        <v>33110</v>
      </c>
      <c r="DI87" s="288">
        <f t="shared" si="252"/>
        <v>21070</v>
      </c>
      <c r="DJ87" s="288">
        <f t="shared" si="253"/>
        <v>3010</v>
      </c>
      <c r="DK87" s="288">
        <f t="shared" si="254"/>
        <v>3010</v>
      </c>
      <c r="DL87" s="560" t="s">
        <v>4147</v>
      </c>
      <c r="DM87" s="288">
        <f t="shared" si="255"/>
        <v>29500</v>
      </c>
      <c r="DN87" s="288">
        <f t="shared" si="256"/>
        <v>21830</v>
      </c>
      <c r="DO87" s="288">
        <f t="shared" si="257"/>
        <v>4720</v>
      </c>
      <c r="DP87" s="288">
        <f t="shared" si="258"/>
        <v>2950</v>
      </c>
      <c r="DQ87" s="561" t="s">
        <v>4148</v>
      </c>
      <c r="DR87" s="657"/>
      <c r="DS87" s="288">
        <f t="shared" si="259"/>
        <v>1806</v>
      </c>
      <c r="DT87" s="288">
        <f t="shared" si="260"/>
        <v>1053.5</v>
      </c>
      <c r="DU87" s="288">
        <f t="shared" si="261"/>
        <v>150.5</v>
      </c>
      <c r="DV87" s="561" t="s">
        <v>4149</v>
      </c>
      <c r="DW87" s="288">
        <f t="shared" si="262"/>
        <v>1622.5000000000002</v>
      </c>
      <c r="DX87" s="288">
        <f t="shared" si="263"/>
        <v>1121</v>
      </c>
      <c r="DY87" s="288">
        <f t="shared" si="264"/>
        <v>206.50000000000003</v>
      </c>
      <c r="DZ87" s="561" t="s">
        <v>4150</v>
      </c>
      <c r="EA87" s="657"/>
      <c r="EB87" s="288">
        <f t="shared" si="265"/>
        <v>1083.5999999999999</v>
      </c>
      <c r="EC87" s="288">
        <f t="shared" si="266"/>
        <v>4063.5</v>
      </c>
      <c r="ED87" s="288">
        <f t="shared" si="267"/>
        <v>1083.5999999999999</v>
      </c>
      <c r="EE87" s="288">
        <f t="shared" si="268"/>
        <v>2799.3</v>
      </c>
      <c r="EF87" s="561" t="s">
        <v>4151</v>
      </c>
      <c r="EG87" s="288">
        <f t="shared" si="269"/>
        <v>885</v>
      </c>
      <c r="EH87" s="288">
        <f t="shared" si="270"/>
        <v>3982.5</v>
      </c>
      <c r="EI87" s="288">
        <f t="shared" si="271"/>
        <v>1327.5</v>
      </c>
      <c r="EJ87" s="288">
        <f t="shared" si="272"/>
        <v>2655</v>
      </c>
      <c r="EK87" s="561" t="s">
        <v>2870</v>
      </c>
      <c r="EL87" s="657"/>
      <c r="EM87" s="288">
        <f t="shared" si="273"/>
        <v>31605</v>
      </c>
      <c r="EN87" s="291">
        <f t="shared" si="274"/>
        <v>18436.25</v>
      </c>
      <c r="EO87" s="291">
        <f t="shared" si="275"/>
        <v>2633.75</v>
      </c>
      <c r="EP87" s="561" t="s">
        <v>4152</v>
      </c>
      <c r="EQ87" s="288">
        <f t="shared" si="276"/>
        <v>28393.750000000004</v>
      </c>
      <c r="ER87" s="291">
        <f t="shared" si="277"/>
        <v>19617.5</v>
      </c>
      <c r="ES87" s="291">
        <f t="shared" si="278"/>
        <v>3613.7500000000005</v>
      </c>
      <c r="ET87" s="561" t="s">
        <v>2648</v>
      </c>
      <c r="EU87" s="657"/>
      <c r="EV87" s="740">
        <f t="shared" si="279"/>
        <v>0.86887190051006835</v>
      </c>
      <c r="EW87" s="740">
        <f t="shared" si="280"/>
        <v>0.13112809948993165</v>
      </c>
      <c r="EX87" s="563">
        <f t="shared" si="281"/>
        <v>58776.536302898086</v>
      </c>
      <c r="EY87" s="563">
        <f t="shared" si="282"/>
        <v>51069.280802898087</v>
      </c>
      <c r="EZ87" s="563">
        <f t="shared" si="283"/>
        <v>7707.2554999999993</v>
      </c>
      <c r="FA87" s="563">
        <f t="shared" si="284"/>
        <v>28502.958314079257</v>
      </c>
      <c r="FB87" s="563">
        <f t="shared" si="285"/>
        <v>24788.618314079256</v>
      </c>
      <c r="FC87" s="563">
        <f t="shared" si="286"/>
        <v>3714.3399999999997</v>
      </c>
      <c r="FD87" s="563">
        <f t="shared" si="287"/>
        <v>1585.8009087090909</v>
      </c>
      <c r="FE87" s="563">
        <f t="shared" si="288"/>
        <v>1400.083908709091</v>
      </c>
      <c r="FF87" s="563">
        <f t="shared" si="289"/>
        <v>185.71699999999998</v>
      </c>
      <c r="FG87" s="563">
        <f t="shared" si="290"/>
        <v>4729.8471715199994</v>
      </c>
      <c r="FH87" s="563">
        <f t="shared" si="291"/>
        <v>4172.6961715199996</v>
      </c>
      <c r="FI87" s="563">
        <f t="shared" si="292"/>
        <v>557.15099999999995</v>
      </c>
      <c r="FJ87" s="563">
        <f t="shared" si="293"/>
        <v>23957.929908589744</v>
      </c>
      <c r="FK87" s="563">
        <f t="shared" si="294"/>
        <v>20707.882408589743</v>
      </c>
      <c r="FL87" s="563">
        <f t="shared" si="295"/>
        <v>3250.0474999999997</v>
      </c>
      <c r="FM87" s="529"/>
      <c r="FN87" s="564" t="s">
        <v>2649</v>
      </c>
      <c r="FO87" s="740">
        <v>6.1699999999999998E-2</v>
      </c>
      <c r="FP87" s="741">
        <v>0.82069999999999999</v>
      </c>
      <c r="FQ87" s="565" t="s">
        <v>4153</v>
      </c>
      <c r="FR87" s="529"/>
      <c r="FS87" s="867">
        <v>3.77</v>
      </c>
      <c r="FT87" s="566">
        <f>RANK($FS87,$FS$8:$FS$154,0)+COUNTIF($FS$8:$FS87,$FS87)-1</f>
        <v>14</v>
      </c>
      <c r="FU87" s="867">
        <v>4.42</v>
      </c>
      <c r="FV87" s="566">
        <f>RANK($FU87,$FU$8:$FU$154,0)+COUNTIF($FU$8:$FU87,$FU87)-1</f>
        <v>21</v>
      </c>
      <c r="FW87" s="867">
        <v>2.6</v>
      </c>
      <c r="FX87" s="566">
        <f>RANK($FW87,$FW$8:$FW$154,0)+COUNTIF($FW$8:$FW87,$FW87)-1</f>
        <v>24</v>
      </c>
      <c r="FY87" s="529"/>
      <c r="FZ87" s="567" t="s">
        <v>4154</v>
      </c>
      <c r="GA87" s="567" t="s">
        <v>4155</v>
      </c>
      <c r="GB87" s="567" t="s">
        <v>2653</v>
      </c>
      <c r="GC87" s="567" t="s">
        <v>2654</v>
      </c>
      <c r="GD87" s="567" t="s">
        <v>2655</v>
      </c>
      <c r="GE87" s="567" t="s">
        <v>2656</v>
      </c>
      <c r="GF87" s="567" t="str">
        <f>HYPERLINK("https://www.atout-france.fr/fr/catalogue/etudes-publications/investissements-touristiques-et-developpement-des-territoires-en-1","https://www.atout-france.fr/fr/catalogue/etudes-publications/investissements-touristiques-et-developpement-des-territoires-en-1")&amp;CHAR(10)&amp;HYPERLINK("https://www.atout-france.fr/fr/actualites/investissements-touristiques-vers-un-nouveau-cycle-plus-selectif-et-durable","https://www.atout-france.fr/fr/actualites/investissements-touristiques-vers-un-nouveau-cycle-plus-selectif-et-durable")&amp;CHAR(10)&amp;HYPERLINK("https://www.atout-france.fr/fr/actualites/bilan-touristique-de-lannee-2025-avec-102-millions-de-visiteurs-la-france-pays-le-plus","https://www.atout-france.fr/fr/actualites/bilan-touristique-de-lannee-2025-avec-102-millions-de-visiteurs-la-france-pays-le-plus")&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
https://www.statistiques.developpement-durable.gouv.fr/construction-de-locaux-resultats-fin-janvier-2026-france-entiere
https://www.insee.fr/fr/statistiques/8671745
https://www.insee.fr/fr/statistiques/8906564</v>
      </c>
      <c r="GG87" s="529"/>
      <c r="GH87" s="563">
        <f t="shared" si="296"/>
        <v>15589.505393333333</v>
      </c>
      <c r="GI87" s="563">
        <f t="shared" si="227"/>
        <v>13732.335393333333</v>
      </c>
      <c r="GJ87" s="563">
        <f t="shared" si="297"/>
        <v>1857.1699999999998</v>
      </c>
      <c r="GK87" s="563">
        <f t="shared" si="298"/>
        <v>9515.0942492307695</v>
      </c>
      <c r="GL87" s="563">
        <f t="shared" si="228"/>
        <v>8140.7884492307703</v>
      </c>
      <c r="GM87" s="563">
        <f t="shared" si="299"/>
        <v>1374.3057999999999</v>
      </c>
      <c r="GN87" s="563">
        <f t="shared" si="300"/>
        <v>1866.8727333333336</v>
      </c>
      <c r="GO87" s="563">
        <f t="shared" si="229"/>
        <v>1569.7255333333335</v>
      </c>
      <c r="GP87" s="563">
        <f t="shared" si="301"/>
        <v>297.1472</v>
      </c>
      <c r="GQ87" s="563">
        <f t="shared" si="302"/>
        <v>1531.4859381818183</v>
      </c>
      <c r="GR87" s="563">
        <f t="shared" si="230"/>
        <v>1345.7689381818182</v>
      </c>
      <c r="GS87" s="563">
        <f t="shared" si="303"/>
        <v>185.71699999999998</v>
      </c>
      <c r="GT87" s="563">
        <f t="shared" si="304"/>
        <v>909.60571290909093</v>
      </c>
      <c r="GU87" s="563">
        <f t="shared" si="231"/>
        <v>807.46136290909089</v>
      </c>
      <c r="GV87" s="563">
        <f t="shared" si="305"/>
        <v>102.14435</v>
      </c>
      <c r="GW87" s="563">
        <f t="shared" si="306"/>
        <v>576.93943580000007</v>
      </c>
      <c r="GX87" s="563">
        <f t="shared" si="232"/>
        <v>506.36697580000003</v>
      </c>
      <c r="GY87" s="563">
        <f t="shared" si="307"/>
        <v>70.572459999999992</v>
      </c>
      <c r="GZ87" s="563">
        <f t="shared" si="308"/>
        <v>99.255760000000009</v>
      </c>
      <c r="HA87" s="563">
        <f t="shared" si="233"/>
        <v>86.255570000000006</v>
      </c>
      <c r="HB87" s="563">
        <f t="shared" si="309"/>
        <v>13.00019</v>
      </c>
      <c r="HC87" s="563">
        <f t="shared" si="310"/>
        <v>576.54970367999999</v>
      </c>
      <c r="HD87" s="563">
        <f t="shared" si="234"/>
        <v>520.83460367999999</v>
      </c>
      <c r="HE87" s="563">
        <f t="shared" si="311"/>
        <v>55.7151</v>
      </c>
      <c r="HF87" s="563">
        <f t="shared" si="312"/>
        <v>1936.050021</v>
      </c>
      <c r="HG87" s="563">
        <f t="shared" si="235"/>
        <v>1685.332071</v>
      </c>
      <c r="HH87" s="563">
        <f t="shared" si="313"/>
        <v>250.71794999999997</v>
      </c>
      <c r="HI87" s="563">
        <f t="shared" si="314"/>
        <v>704.61275399999988</v>
      </c>
      <c r="HJ87" s="563">
        <f t="shared" si="236"/>
        <v>621.04010399999993</v>
      </c>
      <c r="HK87" s="563">
        <f t="shared" si="315"/>
        <v>83.572649999999996</v>
      </c>
      <c r="HL87" s="563">
        <f t="shared" si="316"/>
        <v>1512.6346928399998</v>
      </c>
      <c r="HM87" s="563">
        <f t="shared" si="237"/>
        <v>1345.4893928399999</v>
      </c>
      <c r="HN87" s="563">
        <f t="shared" si="317"/>
        <v>167.14529999999999</v>
      </c>
      <c r="HO87" s="563">
        <f t="shared" si="318"/>
        <v>13998.708798846155</v>
      </c>
      <c r="HP87" s="563">
        <f t="shared" si="238"/>
        <v>12211.182673846155</v>
      </c>
      <c r="HQ87" s="563">
        <f t="shared" si="319"/>
        <v>1787.5261249999999</v>
      </c>
      <c r="HR87" s="563">
        <f t="shared" si="320"/>
        <v>8358.2079430769227</v>
      </c>
      <c r="HS87" s="563">
        <f t="shared" si="239"/>
        <v>7123.189893076923</v>
      </c>
      <c r="HT87" s="563">
        <f t="shared" si="321"/>
        <v>1235.0180499999999</v>
      </c>
      <c r="HU87" s="563">
        <f t="shared" si="322"/>
        <v>1601.0131666666666</v>
      </c>
      <c r="HV87" s="563">
        <f t="shared" si="240"/>
        <v>1373.5098416666667</v>
      </c>
      <c r="HW87" s="563">
        <f t="shared" si="323"/>
        <v>227.50332499999999</v>
      </c>
      <c r="HX87" s="544"/>
      <c r="HY87" s="568">
        <f t="shared" si="324"/>
        <v>124915</v>
      </c>
      <c r="HZ87" s="568">
        <f t="shared" si="325"/>
        <v>1397.5430000000001</v>
      </c>
      <c r="IA87" s="568">
        <f t="shared" si="326"/>
        <v>37285.171000000002</v>
      </c>
      <c r="IB87" s="568">
        <f t="shared" si="327"/>
        <v>62373.069499999998</v>
      </c>
      <c r="IC87" s="568">
        <f t="shared" si="328"/>
        <v>21787.1325</v>
      </c>
      <c r="ID87" s="568">
        <f t="shared" si="329"/>
        <v>2072.0839999999998</v>
      </c>
      <c r="IE87" s="568">
        <f t="shared" si="330"/>
        <v>51069.280802898094</v>
      </c>
      <c r="IF87" s="568">
        <f t="shared" si="331"/>
        <v>0</v>
      </c>
      <c r="IG87" s="568">
        <f t="shared" si="332"/>
        <v>13416.817527302035</v>
      </c>
      <c r="IH87" s="568">
        <f t="shared" si="333"/>
        <v>26416.524546025183</v>
      </c>
      <c r="II87" s="568">
        <f t="shared" si="334"/>
        <v>10104.316801704706</v>
      </c>
      <c r="IJ87" s="568">
        <f t="shared" si="335"/>
        <v>1131.6219278661674</v>
      </c>
      <c r="IK87" s="868">
        <v>4.1900000000000004</v>
      </c>
      <c r="IL87" s="569" t="s">
        <v>2589</v>
      </c>
      <c r="IM87" s="570" t="s">
        <v>4156</v>
      </c>
      <c r="IN87" s="529"/>
      <c r="IO87" s="742">
        <v>0.01</v>
      </c>
      <c r="IP87" s="742">
        <v>0.28000000000000003</v>
      </c>
      <c r="IQ87" s="742">
        <v>0.5</v>
      </c>
      <c r="IR87" s="742">
        <v>0.19</v>
      </c>
      <c r="IS87" s="742">
        <v>0.02</v>
      </c>
      <c r="IT87" s="742">
        <v>0</v>
      </c>
      <c r="IU87" s="742">
        <v>0.24310000000000001</v>
      </c>
      <c r="IV87" s="742">
        <v>0.5181</v>
      </c>
      <c r="IW87" s="742">
        <v>0.2132</v>
      </c>
      <c r="IX87" s="742">
        <v>2.5600000000000001E-2</v>
      </c>
      <c r="IY87" s="742">
        <v>5.5999999999999999E-3</v>
      </c>
      <c r="IZ87" s="742">
        <v>0.22270000000000001</v>
      </c>
      <c r="JA87" s="742">
        <v>0.49130000000000001</v>
      </c>
      <c r="JB87" s="742">
        <v>0.25779999999999997</v>
      </c>
      <c r="JC87" s="742">
        <v>2.2599999999999999E-2</v>
      </c>
      <c r="JD87" s="742">
        <v>0</v>
      </c>
      <c r="JE87" s="742">
        <v>0.186</v>
      </c>
      <c r="JF87" s="742">
        <v>0.50739999999999996</v>
      </c>
      <c r="JG87" s="742">
        <v>0.2787</v>
      </c>
      <c r="JH87" s="742">
        <v>2.7900000000000001E-2</v>
      </c>
      <c r="JI87" s="742">
        <v>2.0899999999999998E-2</v>
      </c>
      <c r="JJ87" s="742">
        <v>0.43930000000000002</v>
      </c>
      <c r="JK87" s="742">
        <v>0.43580000000000002</v>
      </c>
      <c r="JL87" s="742">
        <v>9.9400000000000002E-2</v>
      </c>
      <c r="JM87" s="742">
        <v>4.5999999999999999E-3</v>
      </c>
      <c r="JN87" s="742">
        <v>0</v>
      </c>
      <c r="JO87" s="742">
        <v>0.40410000000000001</v>
      </c>
      <c r="JP87" s="742">
        <v>0.45989999999999998</v>
      </c>
      <c r="JQ87" s="742">
        <v>0.1255</v>
      </c>
      <c r="JR87" s="742">
        <v>1.0500000000000001E-2</v>
      </c>
      <c r="JS87" s="742">
        <v>1.12E-2</v>
      </c>
      <c r="JT87" s="742">
        <v>0.29980000000000001</v>
      </c>
      <c r="JU87" s="742">
        <v>0.50990000000000002</v>
      </c>
      <c r="JV87" s="742">
        <v>0.16470000000000001</v>
      </c>
      <c r="JW87" s="742">
        <v>1.44E-2</v>
      </c>
      <c r="JX87" s="742">
        <v>0</v>
      </c>
      <c r="JY87" s="742">
        <v>0.26290000000000002</v>
      </c>
      <c r="JZ87" s="742">
        <v>0.52849999999999997</v>
      </c>
      <c r="KA87" s="742">
        <v>0.18859999999999999</v>
      </c>
      <c r="KB87" s="742">
        <v>0.02</v>
      </c>
      <c r="KC87" s="657"/>
      <c r="KD87" s="832" t="s">
        <v>2590</v>
      </c>
      <c r="KE87" s="832" t="s">
        <v>2590</v>
      </c>
      <c r="KF87" s="869">
        <v>4.1399999999999997</v>
      </c>
      <c r="KG87" s="832" t="s">
        <v>2589</v>
      </c>
      <c r="KH87" s="833" t="s">
        <v>4157</v>
      </c>
      <c r="KI87" s="832" t="s">
        <v>3208</v>
      </c>
      <c r="KJ87" s="833" t="s">
        <v>4158</v>
      </c>
    </row>
    <row r="88" spans="1:296" ht="48" hidden="1" customHeight="1">
      <c r="A88" s="273">
        <f t="shared" si="336"/>
        <v>81</v>
      </c>
      <c r="B88" s="274" t="s">
        <v>4135</v>
      </c>
      <c r="C88" s="274" t="s">
        <v>4135</v>
      </c>
      <c r="D88" s="274" t="s">
        <v>4159</v>
      </c>
      <c r="E88" s="275" t="s">
        <v>4160</v>
      </c>
      <c r="F88" s="275" t="s">
        <v>2631</v>
      </c>
      <c r="G88" s="275" t="s">
        <v>300</v>
      </c>
      <c r="H88" s="275" t="s">
        <v>2109</v>
      </c>
      <c r="I88" s="276" t="s">
        <v>4161</v>
      </c>
      <c r="J88" s="276" t="s">
        <v>4162</v>
      </c>
      <c r="K88" s="277" t="s">
        <v>2109</v>
      </c>
      <c r="L88" s="277" t="s">
        <v>2109</v>
      </c>
      <c r="M88" s="277" t="s">
        <v>3168</v>
      </c>
      <c r="N88" s="277" t="s">
        <v>3169</v>
      </c>
      <c r="O88" s="275" t="s">
        <v>3170</v>
      </c>
      <c r="P88" s="276"/>
      <c r="Q88" s="270">
        <v>1</v>
      </c>
      <c r="R88" s="278">
        <v>8000</v>
      </c>
      <c r="S88" s="279">
        <v>700</v>
      </c>
      <c r="T88" s="279">
        <v>750</v>
      </c>
      <c r="U88" s="279">
        <v>800</v>
      </c>
      <c r="V88" s="279">
        <v>850</v>
      </c>
      <c r="W88" s="279">
        <f>V88+10</f>
        <v>860</v>
      </c>
      <c r="X88" s="279">
        <f>W88+10</f>
        <v>870</v>
      </c>
      <c r="Y88" s="279">
        <f>X88+10</f>
        <v>880</v>
      </c>
      <c r="Z88" s="279">
        <f>Y88+10</f>
        <v>890</v>
      </c>
      <c r="AA88" s="279">
        <v>900</v>
      </c>
      <c r="AB88" s="279">
        <f>AA88+10</f>
        <v>910</v>
      </c>
      <c r="AC88" s="279">
        <f>AB88+10</f>
        <v>920</v>
      </c>
      <c r="AD88" s="279">
        <f>AC88+10</f>
        <v>930</v>
      </c>
      <c r="AE88" s="279">
        <f>AD88+10</f>
        <v>940</v>
      </c>
      <c r="AF88" s="279">
        <v>950</v>
      </c>
      <c r="AG88" s="279">
        <f>AF88+10</f>
        <v>960</v>
      </c>
      <c r="AH88" s="279">
        <f>AG88+10</f>
        <v>970</v>
      </c>
      <c r="AI88" s="279">
        <f>AH88+10</f>
        <v>980</v>
      </c>
      <c r="AJ88" s="279">
        <f>AI88+10</f>
        <v>990</v>
      </c>
      <c r="AK88" s="279">
        <v>1000</v>
      </c>
      <c r="AL88" s="276" t="s">
        <v>2132</v>
      </c>
      <c r="AM88" s="276" t="s">
        <v>4163</v>
      </c>
      <c r="AN88" s="276" t="s">
        <v>4164</v>
      </c>
      <c r="AO88" s="657"/>
      <c r="AP88" s="278">
        <v>225</v>
      </c>
      <c r="AQ88" s="278">
        <v>180</v>
      </c>
      <c r="AR88" s="278">
        <v>35</v>
      </c>
      <c r="AS88" s="278">
        <v>10</v>
      </c>
      <c r="AT88" s="657"/>
      <c r="AU88" s="281" t="s">
        <v>4165</v>
      </c>
      <c r="AV88" s="296" t="s">
        <v>4166</v>
      </c>
      <c r="AW88" s="296" t="s">
        <v>4167</v>
      </c>
      <c r="AX88" s="276" t="s">
        <v>4145</v>
      </c>
      <c r="AY88" s="657"/>
      <c r="AZ88" s="947">
        <v>9</v>
      </c>
      <c r="BA88" s="947">
        <v>3</v>
      </c>
      <c r="BB88" s="947">
        <v>2</v>
      </c>
      <c r="BC88" s="947">
        <v>8</v>
      </c>
      <c r="BD88" s="826">
        <f t="shared" si="241"/>
        <v>20900</v>
      </c>
      <c r="BE88" s="283">
        <f t="shared" si="242"/>
        <v>8550</v>
      </c>
      <c r="BF88" s="283">
        <f t="shared" si="243"/>
        <v>2850</v>
      </c>
      <c r="BG88" s="283">
        <f t="shared" si="244"/>
        <v>1900</v>
      </c>
      <c r="BH88" s="283">
        <f t="shared" si="245"/>
        <v>7600</v>
      </c>
      <c r="BI88" s="826">
        <f t="shared" si="246"/>
        <v>22000</v>
      </c>
      <c r="BJ88" s="283">
        <f t="shared" si="247"/>
        <v>9000</v>
      </c>
      <c r="BK88" s="283">
        <f t="shared" si="248"/>
        <v>3000</v>
      </c>
      <c r="BL88" s="283">
        <f t="shared" si="249"/>
        <v>2000</v>
      </c>
      <c r="BM88" s="283">
        <f t="shared" si="250"/>
        <v>8000</v>
      </c>
      <c r="BN88" s="657"/>
      <c r="BO88" s="305">
        <v>0.55000000000000004</v>
      </c>
      <c r="BP88" s="305">
        <v>0.35</v>
      </c>
      <c r="BQ88" s="305">
        <v>0.05</v>
      </c>
      <c r="BR88" s="581">
        <v>0.05</v>
      </c>
      <c r="BS88" s="706">
        <v>0.5</v>
      </c>
      <c r="BT88" s="305">
        <v>0.37</v>
      </c>
      <c r="BU88" s="305">
        <v>0.08</v>
      </c>
      <c r="BV88" s="581">
        <v>0.05</v>
      </c>
      <c r="BW88" s="713">
        <v>0.6</v>
      </c>
      <c r="BX88" s="306">
        <v>0.35</v>
      </c>
      <c r="BY88" s="590">
        <v>0.05</v>
      </c>
      <c r="BZ88" s="713">
        <v>0.55000000000000004</v>
      </c>
      <c r="CA88" s="306">
        <v>0.38</v>
      </c>
      <c r="CB88" s="590">
        <v>7.0000000000000007E-2</v>
      </c>
      <c r="CC88" s="706">
        <v>0.12</v>
      </c>
      <c r="CD88" s="305">
        <v>0.45</v>
      </c>
      <c r="CE88" s="305">
        <v>0.12</v>
      </c>
      <c r="CF88" s="581">
        <v>0.31</v>
      </c>
      <c r="CG88" s="706">
        <v>0.1</v>
      </c>
      <c r="CH88" s="305">
        <v>0.45</v>
      </c>
      <c r="CI88" s="305">
        <v>0.15</v>
      </c>
      <c r="CJ88" s="581">
        <v>0.3</v>
      </c>
      <c r="CK88" s="719">
        <v>0.6</v>
      </c>
      <c r="CL88" s="307">
        <v>0.35</v>
      </c>
      <c r="CM88" s="723">
        <v>0.05</v>
      </c>
      <c r="CN88" s="719">
        <v>0.55000000000000004</v>
      </c>
      <c r="CO88" s="307">
        <v>0.38</v>
      </c>
      <c r="CP88" s="723">
        <v>7.0000000000000007E-2</v>
      </c>
      <c r="CQ88" s="657"/>
      <c r="CR88" s="804">
        <v>12</v>
      </c>
      <c r="CS88" s="805">
        <v>13</v>
      </c>
      <c r="CT88" s="805">
        <v>9</v>
      </c>
      <c r="CU88" s="806">
        <v>11</v>
      </c>
      <c r="CV88" s="804">
        <v>11</v>
      </c>
      <c r="CW88" s="805">
        <v>10</v>
      </c>
      <c r="CX88" s="806">
        <v>8</v>
      </c>
      <c r="CY88" s="804">
        <v>10</v>
      </c>
      <c r="CZ88" s="805">
        <v>12</v>
      </c>
      <c r="DA88" s="805">
        <v>8</v>
      </c>
      <c r="DB88" s="806">
        <v>10</v>
      </c>
      <c r="DC88" s="804">
        <v>13</v>
      </c>
      <c r="DD88" s="805">
        <v>13</v>
      </c>
      <c r="DE88" s="806">
        <v>9</v>
      </c>
      <c r="DF88" s="609" t="s">
        <v>4168</v>
      </c>
      <c r="DG88" s="657"/>
      <c r="DH88" s="308">
        <f t="shared" si="251"/>
        <v>4702.5</v>
      </c>
      <c r="DI88" s="308">
        <f t="shared" si="252"/>
        <v>2992.5</v>
      </c>
      <c r="DJ88" s="308">
        <f t="shared" si="253"/>
        <v>427.5</v>
      </c>
      <c r="DK88" s="308">
        <f t="shared" si="254"/>
        <v>427.5</v>
      </c>
      <c r="DL88" s="287" t="s">
        <v>4169</v>
      </c>
      <c r="DM88" s="308">
        <f t="shared" si="255"/>
        <v>4500</v>
      </c>
      <c r="DN88" s="308">
        <f t="shared" si="256"/>
        <v>3330</v>
      </c>
      <c r="DO88" s="308">
        <f t="shared" si="257"/>
        <v>720</v>
      </c>
      <c r="DP88" s="308">
        <f t="shared" si="258"/>
        <v>450</v>
      </c>
      <c r="DQ88" s="289" t="s">
        <v>4148</v>
      </c>
      <c r="DR88" s="657"/>
      <c r="DS88" s="308">
        <f t="shared" si="259"/>
        <v>1710</v>
      </c>
      <c r="DT88" s="308">
        <f t="shared" si="260"/>
        <v>997.49999999999989</v>
      </c>
      <c r="DU88" s="308">
        <f t="shared" si="261"/>
        <v>142.5</v>
      </c>
      <c r="DV88" s="289" t="s">
        <v>4170</v>
      </c>
      <c r="DW88" s="308">
        <f t="shared" si="262"/>
        <v>1650.0000000000002</v>
      </c>
      <c r="DX88" s="308">
        <f t="shared" si="263"/>
        <v>1140</v>
      </c>
      <c r="DY88" s="308">
        <f t="shared" si="264"/>
        <v>210.00000000000003</v>
      </c>
      <c r="DZ88" s="289" t="s">
        <v>4150</v>
      </c>
      <c r="EA88" s="657"/>
      <c r="EB88" s="308">
        <f t="shared" si="265"/>
        <v>228</v>
      </c>
      <c r="EC88" s="308">
        <f t="shared" si="266"/>
        <v>855</v>
      </c>
      <c r="ED88" s="308">
        <f t="shared" si="267"/>
        <v>228</v>
      </c>
      <c r="EE88" s="308">
        <f t="shared" si="268"/>
        <v>589</v>
      </c>
      <c r="EF88" s="289" t="s">
        <v>4171</v>
      </c>
      <c r="EG88" s="308">
        <f t="shared" si="269"/>
        <v>200</v>
      </c>
      <c r="EH88" s="308">
        <f t="shared" si="270"/>
        <v>900</v>
      </c>
      <c r="EI88" s="308">
        <f t="shared" si="271"/>
        <v>300</v>
      </c>
      <c r="EJ88" s="308">
        <f t="shared" si="272"/>
        <v>600</v>
      </c>
      <c r="EK88" s="309" t="s">
        <v>2870</v>
      </c>
      <c r="EL88" s="657"/>
      <c r="EM88" s="308">
        <f t="shared" si="273"/>
        <v>4560</v>
      </c>
      <c r="EN88" s="310">
        <f t="shared" si="274"/>
        <v>2660</v>
      </c>
      <c r="EO88" s="310">
        <f t="shared" si="275"/>
        <v>380</v>
      </c>
      <c r="EP88" s="289" t="s">
        <v>4172</v>
      </c>
      <c r="EQ88" s="308">
        <f t="shared" si="276"/>
        <v>4400</v>
      </c>
      <c r="ER88" s="310">
        <f t="shared" si="277"/>
        <v>3040</v>
      </c>
      <c r="ES88" s="310">
        <f t="shared" si="278"/>
        <v>560</v>
      </c>
      <c r="ET88" s="289" t="s">
        <v>2648</v>
      </c>
      <c r="EU88" s="657"/>
      <c r="EV88" s="728">
        <f t="shared" si="279"/>
        <v>0.75027918234213231</v>
      </c>
      <c r="EW88" s="728">
        <f t="shared" si="280"/>
        <v>0.24972081765786761</v>
      </c>
      <c r="EX88" s="311">
        <f t="shared" si="281"/>
        <v>8129.2782037150355</v>
      </c>
      <c r="EY88" s="311">
        <f t="shared" si="282"/>
        <v>6099.2282037150353</v>
      </c>
      <c r="EZ88" s="311">
        <f t="shared" si="283"/>
        <v>2030.05</v>
      </c>
      <c r="FA88" s="311">
        <f t="shared" si="284"/>
        <v>3277.3475021853146</v>
      </c>
      <c r="FB88" s="311">
        <f t="shared" si="285"/>
        <v>2446.8725021853147</v>
      </c>
      <c r="FC88" s="311">
        <f t="shared" si="286"/>
        <v>830.47499999999991</v>
      </c>
      <c r="FD88" s="311">
        <f t="shared" si="287"/>
        <v>1247.835588068182</v>
      </c>
      <c r="FE88" s="311">
        <f t="shared" si="288"/>
        <v>971.01058806818196</v>
      </c>
      <c r="FF88" s="311">
        <f t="shared" si="289"/>
        <v>276.82499999999999</v>
      </c>
      <c r="FG88" s="311">
        <f t="shared" si="290"/>
        <v>827.34057499999994</v>
      </c>
      <c r="FH88" s="311">
        <f t="shared" si="291"/>
        <v>642.79057499999999</v>
      </c>
      <c r="FI88" s="311">
        <f t="shared" si="292"/>
        <v>184.55</v>
      </c>
      <c r="FJ88" s="311">
        <f t="shared" si="293"/>
        <v>2776.7545384615387</v>
      </c>
      <c r="FK88" s="311">
        <f t="shared" si="294"/>
        <v>2038.5545384615386</v>
      </c>
      <c r="FL88" s="311">
        <f t="shared" si="295"/>
        <v>738.2</v>
      </c>
      <c r="FM88" s="657"/>
      <c r="FN88" s="293" t="s">
        <v>2649</v>
      </c>
      <c r="FO88" s="728">
        <v>4.4499999999999998E-2</v>
      </c>
      <c r="FP88" s="729">
        <v>0.77175000000000005</v>
      </c>
      <c r="FQ88" s="294" t="s">
        <v>3182</v>
      </c>
      <c r="FR88" s="657"/>
      <c r="FS88" s="865">
        <v>3.06</v>
      </c>
      <c r="FT88" s="312">
        <f>RANK($FS88,$FS$8:$FS$154,0)+COUNTIF($FS$8:$FS88,$FS88)-1</f>
        <v>107</v>
      </c>
      <c r="FU88" s="865">
        <v>3.65</v>
      </c>
      <c r="FV88" s="312">
        <f>RANK($FU88,$FU$8:$FU$154,0)+COUNTIF($FU$8:$FU88,$FU88)-1</f>
        <v>122</v>
      </c>
      <c r="FW88" s="865">
        <v>2</v>
      </c>
      <c r="FX88" s="312">
        <f>RANK($FW88,$FW$8:$FW$154,0)+COUNTIF($FW$8:$FW88,$FW88)-1</f>
        <v>105</v>
      </c>
      <c r="FY88" s="657"/>
      <c r="FZ88" s="296" t="s">
        <v>3183</v>
      </c>
      <c r="GA88" s="296" t="s">
        <v>4173</v>
      </c>
      <c r="GB88" s="296" t="s">
        <v>2653</v>
      </c>
      <c r="GC88" s="296" t="s">
        <v>2654</v>
      </c>
      <c r="GD88" s="296" t="s">
        <v>2876</v>
      </c>
      <c r="GE88" s="296" t="s">
        <v>2656</v>
      </c>
      <c r="GF88" s="296" t="str">
        <f>HYPERLINK("https://www.atout-france.fr/fr/catalogue/etudes-publications/investissements-touristiques-et-developpement-des-territoires-en-1","https://www.atout-france.fr/fr/catalogue/etudes-publications/investissements-touristiques-et-developpement-des-territoires-en-1")&amp;CHAR(10)&amp;HYPERLINK("https://www.atout-france.fr/fr/actualites/investissements-touristiques-vers-un-nouveau-cycle-plus-selectif-et-durable","https://www.atout-france.fr/fr/actualites/investissements-touristiques-vers-un-nouveau-cycle-plus-selectif-et-durable")&amp;CHAR(10)&amp;HYPERLINK("https://www.atout-france.fr/fr/actualites/bilan-touristique-de-lannee-2025-avec-102-millions-de-visiteurs-la-france-pays-le-plus","https://www.atout-france.fr/fr/actualites/bilan-touristique-de-lannee-2025-avec-102-millions-de-visiteurs-la-france-pays-le-plus")&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
https://www.statistiques.developpement-durable.gouv.fr/construction-de-locaux-resultats-fin-janvier-2026-france-entiere
https://www.insee.fr/fr/statistiques/8671745
https://www.insee.fr/fr/statistiques/8906564</v>
      </c>
      <c r="GG88" s="657"/>
      <c r="GH88" s="311">
        <f t="shared" si="296"/>
        <v>1771.3951875</v>
      </c>
      <c r="GI88" s="311">
        <f t="shared" si="227"/>
        <v>1356.1576875000001</v>
      </c>
      <c r="GJ88" s="311">
        <f t="shared" si="297"/>
        <v>415.23749999999995</v>
      </c>
      <c r="GK88" s="311">
        <f t="shared" si="298"/>
        <v>1088.9397692307691</v>
      </c>
      <c r="GL88" s="311">
        <f t="shared" si="228"/>
        <v>781.66401923076921</v>
      </c>
      <c r="GM88" s="311">
        <f t="shared" si="299"/>
        <v>307.27574999999996</v>
      </c>
      <c r="GN88" s="311">
        <f t="shared" si="300"/>
        <v>238.15237500000001</v>
      </c>
      <c r="GO88" s="311">
        <f t="shared" si="229"/>
        <v>171.71437500000002</v>
      </c>
      <c r="GP88" s="311">
        <f t="shared" si="301"/>
        <v>66.437999999999988</v>
      </c>
      <c r="GQ88" s="311">
        <f t="shared" si="302"/>
        <v>178.86017045454548</v>
      </c>
      <c r="GR88" s="311">
        <f t="shared" si="230"/>
        <v>137.33642045454548</v>
      </c>
      <c r="GS88" s="311">
        <f t="shared" si="303"/>
        <v>41.52375</v>
      </c>
      <c r="GT88" s="311">
        <f t="shared" si="304"/>
        <v>701.59943181818187</v>
      </c>
      <c r="GU88" s="311">
        <f t="shared" si="231"/>
        <v>549.3456818181819</v>
      </c>
      <c r="GV88" s="311">
        <f t="shared" si="305"/>
        <v>152.25375</v>
      </c>
      <c r="GW88" s="311">
        <f t="shared" si="306"/>
        <v>461.74199999999996</v>
      </c>
      <c r="GX88" s="311">
        <f t="shared" si="232"/>
        <v>356.54849999999999</v>
      </c>
      <c r="GY88" s="311">
        <f t="shared" si="307"/>
        <v>105.1935</v>
      </c>
      <c r="GZ88" s="311">
        <f t="shared" si="308"/>
        <v>84.494156250000017</v>
      </c>
      <c r="HA88" s="311">
        <f t="shared" si="233"/>
        <v>65.116406250000011</v>
      </c>
      <c r="HB88" s="311">
        <f t="shared" si="309"/>
        <v>19.377750000000002</v>
      </c>
      <c r="HC88" s="311">
        <f t="shared" si="310"/>
        <v>99.951800000000006</v>
      </c>
      <c r="HD88" s="311">
        <f t="shared" si="234"/>
        <v>81.496800000000007</v>
      </c>
      <c r="HE88" s="311">
        <f t="shared" si="311"/>
        <v>18.455000000000002</v>
      </c>
      <c r="HF88" s="311">
        <f t="shared" si="312"/>
        <v>329.62162499999999</v>
      </c>
      <c r="HG88" s="311">
        <f t="shared" si="235"/>
        <v>246.57412500000001</v>
      </c>
      <c r="HH88" s="311">
        <f t="shared" si="313"/>
        <v>83.047500000000014</v>
      </c>
      <c r="HI88" s="311">
        <f t="shared" si="314"/>
        <v>131.86875000000001</v>
      </c>
      <c r="HJ88" s="311">
        <f t="shared" si="236"/>
        <v>104.18625</v>
      </c>
      <c r="HK88" s="311">
        <f t="shared" si="315"/>
        <v>27.682500000000001</v>
      </c>
      <c r="HL88" s="311">
        <f t="shared" si="316"/>
        <v>265.89839999999998</v>
      </c>
      <c r="HM88" s="311">
        <f t="shared" si="237"/>
        <v>210.5334</v>
      </c>
      <c r="HN88" s="311">
        <f t="shared" si="317"/>
        <v>55.365000000000002</v>
      </c>
      <c r="HO88" s="311">
        <f t="shared" si="318"/>
        <v>1597.1170769230771</v>
      </c>
      <c r="HP88" s="311">
        <f t="shared" si="238"/>
        <v>1191.1070769230771</v>
      </c>
      <c r="HQ88" s="311">
        <f t="shared" si="319"/>
        <v>406.01000000000005</v>
      </c>
      <c r="HR88" s="311">
        <f t="shared" si="320"/>
        <v>975.32846153846162</v>
      </c>
      <c r="HS88" s="311">
        <f t="shared" si="239"/>
        <v>694.81246153846155</v>
      </c>
      <c r="HT88" s="311">
        <f t="shared" si="321"/>
        <v>280.51600000000002</v>
      </c>
      <c r="HU88" s="311">
        <f t="shared" si="322"/>
        <v>204.30900000000003</v>
      </c>
      <c r="HV88" s="311">
        <f t="shared" si="240"/>
        <v>152.63500000000002</v>
      </c>
      <c r="HW88" s="311">
        <f t="shared" si="323"/>
        <v>51.674000000000007</v>
      </c>
      <c r="HY88" s="313">
        <f t="shared" si="324"/>
        <v>20899.999999999996</v>
      </c>
      <c r="HZ88" s="313">
        <f t="shared" si="325"/>
        <v>2250.17</v>
      </c>
      <c r="IA88" s="313">
        <f t="shared" si="326"/>
        <v>11341.764999999999</v>
      </c>
      <c r="IB88" s="313">
        <f t="shared" si="327"/>
        <v>6771.125</v>
      </c>
      <c r="IC88" s="313">
        <f t="shared" si="328"/>
        <v>536.94000000000005</v>
      </c>
      <c r="ID88" s="313">
        <f t="shared" si="329"/>
        <v>0</v>
      </c>
      <c r="IE88" s="313">
        <f t="shared" si="330"/>
        <v>6099.2282037150344</v>
      </c>
      <c r="IF88" s="313">
        <f t="shared" si="331"/>
        <v>547.97800269921777</v>
      </c>
      <c r="IG88" s="313">
        <f t="shared" si="332"/>
        <v>3179.8677155895193</v>
      </c>
      <c r="IH88" s="313">
        <f t="shared" si="333"/>
        <v>2078.5041473189685</v>
      </c>
      <c r="II88" s="313">
        <f t="shared" si="334"/>
        <v>267.78983887935317</v>
      </c>
      <c r="IJ88" s="313">
        <f t="shared" si="335"/>
        <v>25.088499227976399</v>
      </c>
      <c r="IK88" s="866">
        <v>4.12</v>
      </c>
      <c r="IL88" s="314" t="s">
        <v>2589</v>
      </c>
      <c r="IM88" s="299" t="s">
        <v>4174</v>
      </c>
      <c r="IN88" s="657"/>
      <c r="IO88" s="730">
        <v>0.1</v>
      </c>
      <c r="IP88" s="730">
        <v>0.53</v>
      </c>
      <c r="IQ88" s="730">
        <v>0.34</v>
      </c>
      <c r="IR88" s="730">
        <v>0.03</v>
      </c>
      <c r="IS88" s="730">
        <v>0</v>
      </c>
      <c r="IT88" s="730">
        <v>8.1500000000000003E-2</v>
      </c>
      <c r="IU88" s="730">
        <v>0.50739999999999996</v>
      </c>
      <c r="IV88" s="730">
        <v>0.3584</v>
      </c>
      <c r="IW88" s="730">
        <v>4.8399999999999999E-2</v>
      </c>
      <c r="IX88" s="730">
        <v>4.3E-3</v>
      </c>
      <c r="IY88" s="730">
        <v>0.1022</v>
      </c>
      <c r="IZ88" s="730">
        <v>0.54190000000000005</v>
      </c>
      <c r="JA88" s="730">
        <v>0.33110000000000001</v>
      </c>
      <c r="JB88" s="730">
        <v>2.4799999999999999E-2</v>
      </c>
      <c r="JC88" s="730">
        <v>0</v>
      </c>
      <c r="JD88" s="730">
        <v>8.3699999999999997E-2</v>
      </c>
      <c r="JE88" s="730">
        <v>0.51939999999999997</v>
      </c>
      <c r="JF88" s="730">
        <v>0.34960000000000002</v>
      </c>
      <c r="JG88" s="730">
        <v>4.3200000000000002E-2</v>
      </c>
      <c r="JH88" s="730">
        <v>4.1000000000000003E-3</v>
      </c>
      <c r="JI88" s="730">
        <v>0.15459999999999999</v>
      </c>
      <c r="JJ88" s="730">
        <v>0.61470000000000002</v>
      </c>
      <c r="JK88" s="730">
        <v>0.21909999999999999</v>
      </c>
      <c r="JL88" s="730">
        <v>1.1599999999999999E-2</v>
      </c>
      <c r="JM88" s="730">
        <v>0</v>
      </c>
      <c r="JN88" s="730">
        <v>0.1361</v>
      </c>
      <c r="JO88" s="730">
        <v>0.59219999999999995</v>
      </c>
      <c r="JP88" s="730">
        <v>0.23749999999999999</v>
      </c>
      <c r="JQ88" s="730">
        <v>3.0099999999999998E-2</v>
      </c>
      <c r="JR88" s="730">
        <v>4.1000000000000003E-3</v>
      </c>
      <c r="JS88" s="730">
        <v>0.1066</v>
      </c>
      <c r="JT88" s="730">
        <v>0.53920000000000001</v>
      </c>
      <c r="JU88" s="730">
        <v>0.32950000000000002</v>
      </c>
      <c r="JV88" s="730">
        <v>2.47E-2</v>
      </c>
      <c r="JW88" s="730">
        <v>0</v>
      </c>
      <c r="JX88" s="730">
        <v>8.8200000000000001E-2</v>
      </c>
      <c r="JY88" s="730">
        <v>0.51670000000000005</v>
      </c>
      <c r="JZ88" s="730">
        <v>0.34799999999999998</v>
      </c>
      <c r="KA88" s="730">
        <v>4.3200000000000002E-2</v>
      </c>
      <c r="KB88" s="730">
        <v>3.8999999999999998E-3</v>
      </c>
      <c r="KC88" s="657"/>
      <c r="KD88" s="314" t="s">
        <v>2590</v>
      </c>
      <c r="KE88" s="314" t="s">
        <v>2590</v>
      </c>
      <c r="KF88" s="866">
        <v>4.1500000000000004</v>
      </c>
      <c r="KG88" s="314" t="s">
        <v>2589</v>
      </c>
      <c r="KH88" s="315" t="s">
        <v>3186</v>
      </c>
      <c r="KI88" s="314" t="s">
        <v>2659</v>
      </c>
      <c r="KJ88" s="315" t="s">
        <v>4175</v>
      </c>
    </row>
    <row r="89" spans="1:296" ht="48" hidden="1" customHeight="1">
      <c r="A89" s="265">
        <f t="shared" si="336"/>
        <v>82</v>
      </c>
      <c r="B89" s="266" t="s">
        <v>4135</v>
      </c>
      <c r="C89" s="266" t="s">
        <v>4135</v>
      </c>
      <c r="D89" s="624" t="s">
        <v>4176</v>
      </c>
      <c r="E89" s="267" t="s">
        <v>4137</v>
      </c>
      <c r="F89" s="267" t="s">
        <v>300</v>
      </c>
      <c r="G89" s="267" t="s">
        <v>300</v>
      </c>
      <c r="H89" s="267" t="s">
        <v>2109</v>
      </c>
      <c r="I89" s="268" t="s">
        <v>4177</v>
      </c>
      <c r="J89" s="268" t="s">
        <v>4178</v>
      </c>
      <c r="K89" s="269" t="s">
        <v>2109</v>
      </c>
      <c r="L89" s="269" t="s">
        <v>2109</v>
      </c>
      <c r="M89" s="269" t="s">
        <v>2603</v>
      </c>
      <c r="N89" s="269" t="s">
        <v>3322</v>
      </c>
      <c r="O89" s="267" t="s">
        <v>2616</v>
      </c>
      <c r="P89" s="268"/>
      <c r="Q89" s="270">
        <v>1</v>
      </c>
      <c r="R89" s="271">
        <v>3500</v>
      </c>
      <c r="S89" s="272">
        <v>1200</v>
      </c>
      <c r="T89" s="272">
        <v>1400</v>
      </c>
      <c r="U89" s="272">
        <v>1700</v>
      </c>
      <c r="V89" s="272">
        <v>2000</v>
      </c>
      <c r="W89" s="272">
        <f>V89+40</f>
        <v>2040</v>
      </c>
      <c r="X89" s="272">
        <f>W89+40</f>
        <v>2080</v>
      </c>
      <c r="Y89" s="272">
        <f>X89+40</f>
        <v>2120</v>
      </c>
      <c r="Z89" s="272">
        <f>Y89+40</f>
        <v>2160</v>
      </c>
      <c r="AA89" s="272">
        <v>2200</v>
      </c>
      <c r="AB89" s="272">
        <f>AA89+40</f>
        <v>2240</v>
      </c>
      <c r="AC89" s="272">
        <f>AB89+40</f>
        <v>2280</v>
      </c>
      <c r="AD89" s="272">
        <f>AC89+40</f>
        <v>2320</v>
      </c>
      <c r="AE89" s="272">
        <f>AD89+40</f>
        <v>2360</v>
      </c>
      <c r="AF89" s="272">
        <v>2400</v>
      </c>
      <c r="AG89" s="272">
        <f>AF89+40</f>
        <v>2440</v>
      </c>
      <c r="AH89" s="272">
        <f>AG89+40</f>
        <v>2480</v>
      </c>
      <c r="AI89" s="272">
        <f>AH89+40</f>
        <v>2520</v>
      </c>
      <c r="AJ89" s="272">
        <f>AI89+40</f>
        <v>2560</v>
      </c>
      <c r="AK89" s="272">
        <v>2600</v>
      </c>
      <c r="AL89" s="268" t="s">
        <v>2132</v>
      </c>
      <c r="AM89" s="268" t="s">
        <v>4163</v>
      </c>
      <c r="AN89" s="268" t="s">
        <v>4179</v>
      </c>
      <c r="AO89" s="657"/>
      <c r="AP89" s="271">
        <v>120</v>
      </c>
      <c r="AQ89" s="280">
        <v>96</v>
      </c>
      <c r="AR89" s="280">
        <v>18</v>
      </c>
      <c r="AS89" s="280">
        <v>6</v>
      </c>
      <c r="AT89" s="657"/>
      <c r="AU89" s="301" t="s">
        <v>4180</v>
      </c>
      <c r="AV89" s="572" t="s">
        <v>4181</v>
      </c>
      <c r="AW89" s="645" t="s">
        <v>2917</v>
      </c>
      <c r="AX89" s="290" t="s">
        <v>4145</v>
      </c>
      <c r="AY89" s="657"/>
      <c r="AZ89" s="948">
        <v>5</v>
      </c>
      <c r="BA89" s="948">
        <v>2</v>
      </c>
      <c r="BB89" s="948">
        <v>1</v>
      </c>
      <c r="BC89" s="948">
        <v>4</v>
      </c>
      <c r="BD89" s="825">
        <f t="shared" si="241"/>
        <v>28800</v>
      </c>
      <c r="BE89" s="304">
        <f t="shared" si="242"/>
        <v>12000</v>
      </c>
      <c r="BF89" s="304">
        <f t="shared" si="243"/>
        <v>4800</v>
      </c>
      <c r="BG89" s="304">
        <f t="shared" si="244"/>
        <v>2400</v>
      </c>
      <c r="BH89" s="304">
        <f t="shared" si="245"/>
        <v>9600</v>
      </c>
      <c r="BI89" s="825">
        <f t="shared" si="246"/>
        <v>31200</v>
      </c>
      <c r="BJ89" s="304">
        <f t="shared" si="247"/>
        <v>13000</v>
      </c>
      <c r="BK89" s="304">
        <f t="shared" si="248"/>
        <v>5200</v>
      </c>
      <c r="BL89" s="304">
        <f t="shared" si="249"/>
        <v>2600</v>
      </c>
      <c r="BM89" s="304">
        <f t="shared" si="250"/>
        <v>10400</v>
      </c>
      <c r="BN89" s="657"/>
      <c r="BO89" s="284">
        <v>0.55000000000000004</v>
      </c>
      <c r="BP89" s="284">
        <v>0.35</v>
      </c>
      <c r="BQ89" s="284">
        <v>0.05</v>
      </c>
      <c r="BR89" s="710">
        <v>0.05</v>
      </c>
      <c r="BS89" s="707">
        <v>0.5</v>
      </c>
      <c r="BT89" s="284">
        <v>0.37</v>
      </c>
      <c r="BU89" s="284">
        <v>0.08</v>
      </c>
      <c r="BV89" s="710">
        <v>0.05</v>
      </c>
      <c r="BW89" s="714">
        <v>0.6</v>
      </c>
      <c r="BX89" s="285">
        <v>0.35</v>
      </c>
      <c r="BY89" s="717">
        <v>0.05</v>
      </c>
      <c r="BZ89" s="714">
        <v>0.55000000000000004</v>
      </c>
      <c r="CA89" s="285">
        <v>0.38</v>
      </c>
      <c r="CB89" s="717">
        <v>7.0000000000000007E-2</v>
      </c>
      <c r="CC89" s="284">
        <v>0.12</v>
      </c>
      <c r="CD89" s="284">
        <v>0.45</v>
      </c>
      <c r="CE89" s="284">
        <v>0.12</v>
      </c>
      <c r="CF89" s="710">
        <v>0.31</v>
      </c>
      <c r="CG89" s="707">
        <v>0.1</v>
      </c>
      <c r="CH89" s="284">
        <v>0.45</v>
      </c>
      <c r="CI89" s="284">
        <v>0.15</v>
      </c>
      <c r="CJ89" s="710">
        <v>0.3</v>
      </c>
      <c r="CK89" s="720">
        <v>0.6</v>
      </c>
      <c r="CL89" s="286">
        <v>0.35</v>
      </c>
      <c r="CM89" s="718">
        <v>0.05</v>
      </c>
      <c r="CN89" s="720">
        <v>0.55000000000000004</v>
      </c>
      <c r="CO89" s="286">
        <v>0.38</v>
      </c>
      <c r="CP89" s="718">
        <v>7.0000000000000007E-2</v>
      </c>
      <c r="CQ89" s="657"/>
      <c r="CR89" s="807">
        <v>12</v>
      </c>
      <c r="CS89" s="808">
        <v>13</v>
      </c>
      <c r="CT89" s="808">
        <v>9</v>
      </c>
      <c r="CU89" s="809">
        <v>11</v>
      </c>
      <c r="CV89" s="807">
        <v>11</v>
      </c>
      <c r="CW89" s="808">
        <v>10</v>
      </c>
      <c r="CX89" s="809">
        <v>8</v>
      </c>
      <c r="CY89" s="807">
        <v>10</v>
      </c>
      <c r="CZ89" s="808">
        <v>12</v>
      </c>
      <c r="DA89" s="808">
        <v>8</v>
      </c>
      <c r="DB89" s="809">
        <v>10</v>
      </c>
      <c r="DC89" s="807">
        <v>13</v>
      </c>
      <c r="DD89" s="808">
        <v>13</v>
      </c>
      <c r="DE89" s="809">
        <v>9</v>
      </c>
      <c r="DF89" s="610" t="s">
        <v>4182</v>
      </c>
      <c r="DG89" s="657"/>
      <c r="DH89" s="288">
        <f t="shared" si="251"/>
        <v>6600.0000000000009</v>
      </c>
      <c r="DI89" s="288">
        <f t="shared" si="252"/>
        <v>4200</v>
      </c>
      <c r="DJ89" s="288">
        <f t="shared" si="253"/>
        <v>600</v>
      </c>
      <c r="DK89" s="288">
        <f t="shared" si="254"/>
        <v>600</v>
      </c>
      <c r="DL89" s="560" t="s">
        <v>4183</v>
      </c>
      <c r="DM89" s="288">
        <f t="shared" si="255"/>
        <v>6500</v>
      </c>
      <c r="DN89" s="288">
        <f t="shared" si="256"/>
        <v>4810</v>
      </c>
      <c r="DO89" s="288">
        <f t="shared" si="257"/>
        <v>1040</v>
      </c>
      <c r="DP89" s="288">
        <f t="shared" si="258"/>
        <v>650</v>
      </c>
      <c r="DQ89" s="561" t="s">
        <v>4148</v>
      </c>
      <c r="DR89" s="657"/>
      <c r="DS89" s="288">
        <f t="shared" si="259"/>
        <v>2880</v>
      </c>
      <c r="DT89" s="288">
        <f t="shared" si="260"/>
        <v>1680</v>
      </c>
      <c r="DU89" s="288">
        <f t="shared" si="261"/>
        <v>240</v>
      </c>
      <c r="DV89" s="561" t="s">
        <v>4184</v>
      </c>
      <c r="DW89" s="288">
        <f t="shared" si="262"/>
        <v>2860.0000000000005</v>
      </c>
      <c r="DX89" s="288">
        <f t="shared" si="263"/>
        <v>1976</v>
      </c>
      <c r="DY89" s="288">
        <f t="shared" si="264"/>
        <v>364.00000000000006</v>
      </c>
      <c r="DZ89" s="561" t="s">
        <v>4150</v>
      </c>
      <c r="EA89" s="657"/>
      <c r="EB89" s="288">
        <f t="shared" si="265"/>
        <v>288</v>
      </c>
      <c r="EC89" s="288">
        <f t="shared" si="266"/>
        <v>1080</v>
      </c>
      <c r="ED89" s="288">
        <f t="shared" si="267"/>
        <v>288</v>
      </c>
      <c r="EE89" s="288">
        <f t="shared" si="268"/>
        <v>744</v>
      </c>
      <c r="EF89" s="561" t="s">
        <v>4185</v>
      </c>
      <c r="EG89" s="288">
        <f t="shared" si="269"/>
        <v>260</v>
      </c>
      <c r="EH89" s="288">
        <f t="shared" si="270"/>
        <v>1170</v>
      </c>
      <c r="EI89" s="288">
        <f t="shared" si="271"/>
        <v>390</v>
      </c>
      <c r="EJ89" s="288">
        <f t="shared" si="272"/>
        <v>780</v>
      </c>
      <c r="EK89" s="561" t="s">
        <v>2870</v>
      </c>
      <c r="EL89" s="657"/>
      <c r="EM89" s="288">
        <f t="shared" si="273"/>
        <v>5760</v>
      </c>
      <c r="EN89" s="291">
        <f t="shared" si="274"/>
        <v>3360</v>
      </c>
      <c r="EO89" s="291">
        <f t="shared" si="275"/>
        <v>480</v>
      </c>
      <c r="EP89" s="561" t="s">
        <v>4186</v>
      </c>
      <c r="EQ89" s="288">
        <f t="shared" si="276"/>
        <v>5720.0000000000009</v>
      </c>
      <c r="ER89" s="291">
        <f t="shared" si="277"/>
        <v>3952</v>
      </c>
      <c r="ES89" s="291">
        <f t="shared" si="278"/>
        <v>728.00000000000011</v>
      </c>
      <c r="ET89" s="561" t="s">
        <v>2648</v>
      </c>
      <c r="EU89" s="657"/>
      <c r="EV89" s="740">
        <f t="shared" si="279"/>
        <v>0.67976290701812769</v>
      </c>
      <c r="EW89" s="740">
        <f t="shared" si="280"/>
        <v>0.32023709298187225</v>
      </c>
      <c r="EX89" s="563">
        <f t="shared" si="281"/>
        <v>11496.482077447554</v>
      </c>
      <c r="EY89" s="563">
        <f t="shared" si="282"/>
        <v>7814.8820774475535</v>
      </c>
      <c r="EZ89" s="563">
        <f t="shared" si="283"/>
        <v>3681.6000000000004</v>
      </c>
      <c r="FA89" s="563">
        <f t="shared" si="284"/>
        <v>4694.9481315559442</v>
      </c>
      <c r="FB89" s="563">
        <f t="shared" si="285"/>
        <v>3160.9481315559447</v>
      </c>
      <c r="FC89" s="563">
        <f t="shared" si="286"/>
        <v>1534</v>
      </c>
      <c r="FD89" s="563">
        <f t="shared" si="287"/>
        <v>2167.9395795454548</v>
      </c>
      <c r="FE89" s="563">
        <f t="shared" si="288"/>
        <v>1554.3395795454549</v>
      </c>
      <c r="FF89" s="563">
        <f t="shared" si="289"/>
        <v>613.6</v>
      </c>
      <c r="FG89" s="563">
        <f t="shared" si="290"/>
        <v>1073.5722125</v>
      </c>
      <c r="FH89" s="563">
        <f t="shared" si="291"/>
        <v>766.77221250000002</v>
      </c>
      <c r="FI89" s="563">
        <f t="shared" si="292"/>
        <v>306.8</v>
      </c>
      <c r="FJ89" s="563">
        <f t="shared" si="293"/>
        <v>3560.0221538461537</v>
      </c>
      <c r="FK89" s="563">
        <f t="shared" si="294"/>
        <v>2332.8221538461539</v>
      </c>
      <c r="FL89" s="563">
        <f t="shared" si="295"/>
        <v>1227.2</v>
      </c>
      <c r="FM89" s="529"/>
      <c r="FN89" s="564" t="s">
        <v>2649</v>
      </c>
      <c r="FO89" s="740">
        <v>4.4499999999999998E-2</v>
      </c>
      <c r="FP89" s="741">
        <v>0.77175000000000005</v>
      </c>
      <c r="FQ89" s="565" t="s">
        <v>3182</v>
      </c>
      <c r="FR89" s="529"/>
      <c r="FS89" s="867">
        <v>3.06</v>
      </c>
      <c r="FT89" s="566">
        <f>RANK($FS89,$FS$8:$FS$154,0)+COUNTIF($FS$8:$FS89,$FS89)-1</f>
        <v>108</v>
      </c>
      <c r="FU89" s="867">
        <v>3.65</v>
      </c>
      <c r="FV89" s="566">
        <f>RANK($FU89,$FU$8:$FU$154,0)+COUNTIF($FU$8:$FU89,$FU89)-1</f>
        <v>123</v>
      </c>
      <c r="FW89" s="867">
        <v>2</v>
      </c>
      <c r="FX89" s="566">
        <f>RANK($FW89,$FW$8:$FW$154,0)+COUNTIF($FW$8:$FW89,$FW89)-1</f>
        <v>106</v>
      </c>
      <c r="FY89" s="529"/>
      <c r="FZ89" s="567" t="s">
        <v>3183</v>
      </c>
      <c r="GA89" s="567" t="s">
        <v>4187</v>
      </c>
      <c r="GB89" s="567" t="s">
        <v>2653</v>
      </c>
      <c r="GC89" s="567" t="s">
        <v>2654</v>
      </c>
      <c r="GD89" s="567" t="s">
        <v>2876</v>
      </c>
      <c r="GE89" s="567" t="s">
        <v>2656</v>
      </c>
      <c r="GF89" s="567" t="str">
        <f>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89" s="529"/>
      <c r="GH89" s="563">
        <f t="shared" si="296"/>
        <v>2524.9821875000007</v>
      </c>
      <c r="GI89" s="563">
        <f t="shared" si="227"/>
        <v>1757.9821875000005</v>
      </c>
      <c r="GJ89" s="563">
        <f t="shared" si="297"/>
        <v>767</v>
      </c>
      <c r="GK89" s="563">
        <f t="shared" si="298"/>
        <v>1556.6073076923076</v>
      </c>
      <c r="GL89" s="563">
        <f t="shared" si="228"/>
        <v>989.02730769230766</v>
      </c>
      <c r="GM89" s="563">
        <f t="shared" si="299"/>
        <v>567.58000000000004</v>
      </c>
      <c r="GN89" s="563">
        <f t="shared" si="300"/>
        <v>354.245</v>
      </c>
      <c r="GO89" s="563">
        <f t="shared" si="229"/>
        <v>231.52500000000001</v>
      </c>
      <c r="GP89" s="563">
        <f t="shared" si="301"/>
        <v>122.72</v>
      </c>
      <c r="GQ89" s="563">
        <f t="shared" si="302"/>
        <v>259.11363636363637</v>
      </c>
      <c r="GR89" s="563">
        <f t="shared" si="230"/>
        <v>182.41363636363636</v>
      </c>
      <c r="GS89" s="563">
        <f t="shared" si="303"/>
        <v>76.7</v>
      </c>
      <c r="GT89" s="563">
        <f t="shared" si="304"/>
        <v>1213.0654545454547</v>
      </c>
      <c r="GU89" s="563">
        <f t="shared" si="231"/>
        <v>875.5854545454547</v>
      </c>
      <c r="GV89" s="563">
        <f t="shared" si="305"/>
        <v>337.48</v>
      </c>
      <c r="GW89" s="563">
        <f t="shared" si="306"/>
        <v>805.80650000000014</v>
      </c>
      <c r="GX89" s="563">
        <f t="shared" si="232"/>
        <v>572.63850000000014</v>
      </c>
      <c r="GY89" s="563">
        <f t="shared" si="307"/>
        <v>233.16800000000001</v>
      </c>
      <c r="GZ89" s="563">
        <f t="shared" si="308"/>
        <v>149.06762499999999</v>
      </c>
      <c r="HA89" s="563">
        <f t="shared" si="233"/>
        <v>106.11562499999999</v>
      </c>
      <c r="HB89" s="563">
        <f t="shared" si="309"/>
        <v>42.952000000000005</v>
      </c>
      <c r="HC89" s="563">
        <f t="shared" si="310"/>
        <v>128.84660000000002</v>
      </c>
      <c r="HD89" s="563">
        <f t="shared" si="234"/>
        <v>98.166600000000017</v>
      </c>
      <c r="HE89" s="563">
        <f t="shared" si="311"/>
        <v>30.680000000000003</v>
      </c>
      <c r="HF89" s="563">
        <f t="shared" si="312"/>
        <v>425.72981249999998</v>
      </c>
      <c r="HG89" s="563">
        <f t="shared" si="235"/>
        <v>287.66981249999998</v>
      </c>
      <c r="HH89" s="563">
        <f t="shared" si="313"/>
        <v>138.06</v>
      </c>
      <c r="HI89" s="563">
        <f t="shared" si="314"/>
        <v>173.35875000000001</v>
      </c>
      <c r="HJ89" s="563">
        <f t="shared" si="236"/>
        <v>127.33875</v>
      </c>
      <c r="HK89" s="563">
        <f t="shared" si="315"/>
        <v>46.02</v>
      </c>
      <c r="HL89" s="563">
        <f t="shared" si="316"/>
        <v>345.63705000000004</v>
      </c>
      <c r="HM89" s="563">
        <f t="shared" si="237"/>
        <v>253.59705000000002</v>
      </c>
      <c r="HN89" s="563">
        <f t="shared" si="317"/>
        <v>92.04</v>
      </c>
      <c r="HO89" s="563">
        <f t="shared" si="318"/>
        <v>2031.3403076923078</v>
      </c>
      <c r="HP89" s="563">
        <f t="shared" si="238"/>
        <v>1356.3803076923077</v>
      </c>
      <c r="HQ89" s="563">
        <f t="shared" si="319"/>
        <v>674.96</v>
      </c>
      <c r="HR89" s="563">
        <f t="shared" si="320"/>
        <v>1257.5578461538462</v>
      </c>
      <c r="HS89" s="563">
        <f t="shared" si="239"/>
        <v>791.22184615384629</v>
      </c>
      <c r="HT89" s="563">
        <f t="shared" si="321"/>
        <v>466.33600000000001</v>
      </c>
      <c r="HU89" s="563">
        <f t="shared" si="322"/>
        <v>271.12399999999997</v>
      </c>
      <c r="HV89" s="563">
        <f t="shared" si="240"/>
        <v>185.21999999999997</v>
      </c>
      <c r="HW89" s="563">
        <f t="shared" si="323"/>
        <v>85.904000000000011</v>
      </c>
      <c r="HX89" s="544"/>
      <c r="HY89" s="568">
        <f t="shared" si="324"/>
        <v>28800</v>
      </c>
      <c r="HZ89" s="568">
        <f t="shared" si="325"/>
        <v>3084.96</v>
      </c>
      <c r="IA89" s="568">
        <f t="shared" si="326"/>
        <v>15612.720000000001</v>
      </c>
      <c r="IB89" s="568">
        <f t="shared" si="327"/>
        <v>9358.3200000000015</v>
      </c>
      <c r="IC89" s="568">
        <f t="shared" si="328"/>
        <v>744</v>
      </c>
      <c r="ID89" s="568">
        <f t="shared" si="329"/>
        <v>0</v>
      </c>
      <c r="IE89" s="568">
        <f t="shared" si="330"/>
        <v>7814.8820774475544</v>
      </c>
      <c r="IF89" s="568">
        <f t="shared" si="331"/>
        <v>697.82810762024485</v>
      </c>
      <c r="IG89" s="568">
        <f t="shared" si="332"/>
        <v>4070.6407707022031</v>
      </c>
      <c r="IH89" s="568">
        <f t="shared" si="333"/>
        <v>2670.2114373659533</v>
      </c>
      <c r="II89" s="568">
        <f t="shared" si="334"/>
        <v>343.99512004607521</v>
      </c>
      <c r="IJ89" s="568">
        <f t="shared" si="335"/>
        <v>32.206641713076927</v>
      </c>
      <c r="IK89" s="868">
        <v>4.12</v>
      </c>
      <c r="IL89" s="569" t="s">
        <v>2589</v>
      </c>
      <c r="IM89" s="570" t="s">
        <v>4188</v>
      </c>
      <c r="IN89" s="529"/>
      <c r="IO89" s="742">
        <v>0.1</v>
      </c>
      <c r="IP89" s="742">
        <v>0.53</v>
      </c>
      <c r="IQ89" s="742">
        <v>0.34</v>
      </c>
      <c r="IR89" s="742">
        <v>0.03</v>
      </c>
      <c r="IS89" s="742">
        <v>0</v>
      </c>
      <c r="IT89" s="742">
        <v>8.1500000000000003E-2</v>
      </c>
      <c r="IU89" s="742">
        <v>0.50739999999999996</v>
      </c>
      <c r="IV89" s="742">
        <v>0.3584</v>
      </c>
      <c r="IW89" s="742">
        <v>4.8399999999999999E-2</v>
      </c>
      <c r="IX89" s="742">
        <v>4.3E-3</v>
      </c>
      <c r="IY89" s="742">
        <v>0.1022</v>
      </c>
      <c r="IZ89" s="742">
        <v>0.54190000000000005</v>
      </c>
      <c r="JA89" s="742">
        <v>0.33110000000000001</v>
      </c>
      <c r="JB89" s="742">
        <v>2.4799999999999999E-2</v>
      </c>
      <c r="JC89" s="742">
        <v>0</v>
      </c>
      <c r="JD89" s="742">
        <v>8.3699999999999997E-2</v>
      </c>
      <c r="JE89" s="742">
        <v>0.51939999999999997</v>
      </c>
      <c r="JF89" s="742">
        <v>0.34960000000000002</v>
      </c>
      <c r="JG89" s="742">
        <v>4.3200000000000002E-2</v>
      </c>
      <c r="JH89" s="742">
        <v>4.1000000000000003E-3</v>
      </c>
      <c r="JI89" s="742">
        <v>0.15459999999999999</v>
      </c>
      <c r="JJ89" s="742">
        <v>0.61470000000000002</v>
      </c>
      <c r="JK89" s="742">
        <v>0.21909999999999999</v>
      </c>
      <c r="JL89" s="742">
        <v>1.1599999999999999E-2</v>
      </c>
      <c r="JM89" s="742">
        <v>0</v>
      </c>
      <c r="JN89" s="742">
        <v>0.1361</v>
      </c>
      <c r="JO89" s="742">
        <v>0.59219999999999995</v>
      </c>
      <c r="JP89" s="742">
        <v>0.23749999999999999</v>
      </c>
      <c r="JQ89" s="742">
        <v>3.0099999999999998E-2</v>
      </c>
      <c r="JR89" s="742">
        <v>4.1000000000000003E-3</v>
      </c>
      <c r="JS89" s="742">
        <v>0.1066</v>
      </c>
      <c r="JT89" s="742">
        <v>0.53920000000000001</v>
      </c>
      <c r="JU89" s="742">
        <v>0.32950000000000002</v>
      </c>
      <c r="JV89" s="742">
        <v>2.47E-2</v>
      </c>
      <c r="JW89" s="742">
        <v>0</v>
      </c>
      <c r="JX89" s="742">
        <v>8.8200000000000001E-2</v>
      </c>
      <c r="JY89" s="742">
        <v>0.51670000000000005</v>
      </c>
      <c r="JZ89" s="742">
        <v>0.34799999999999998</v>
      </c>
      <c r="KA89" s="742">
        <v>4.3200000000000002E-2</v>
      </c>
      <c r="KB89" s="742">
        <v>3.8999999999999998E-3</v>
      </c>
      <c r="KC89" s="657"/>
      <c r="KD89" s="832" t="s">
        <v>2590</v>
      </c>
      <c r="KE89" s="832" t="s">
        <v>2590</v>
      </c>
      <c r="KF89" s="869">
        <v>4.1500000000000004</v>
      </c>
      <c r="KG89" s="832" t="s">
        <v>2589</v>
      </c>
      <c r="KH89" s="833" t="s">
        <v>3186</v>
      </c>
      <c r="KI89" s="832" t="s">
        <v>2659</v>
      </c>
      <c r="KJ89" s="833" t="s">
        <v>4189</v>
      </c>
    </row>
    <row r="90" spans="1:296" ht="48" hidden="1" customHeight="1">
      <c r="A90" s="273">
        <f t="shared" si="336"/>
        <v>83</v>
      </c>
      <c r="B90" s="274" t="s">
        <v>4135</v>
      </c>
      <c r="C90" s="274" t="s">
        <v>4135</v>
      </c>
      <c r="D90" s="274" t="s">
        <v>1456</v>
      </c>
      <c r="E90" s="275" t="s">
        <v>4190</v>
      </c>
      <c r="F90" s="275" t="s">
        <v>300</v>
      </c>
      <c r="G90" s="275" t="s">
        <v>300</v>
      </c>
      <c r="H90" s="275" t="s">
        <v>2096</v>
      </c>
      <c r="I90" s="276" t="s">
        <v>4191</v>
      </c>
      <c r="J90" s="276" t="s">
        <v>4192</v>
      </c>
      <c r="K90" s="277" t="s">
        <v>2109</v>
      </c>
      <c r="L90" s="277" t="s">
        <v>2109</v>
      </c>
      <c r="M90" s="277" t="s">
        <v>2603</v>
      </c>
      <c r="N90" s="277" t="s">
        <v>2099</v>
      </c>
      <c r="O90" s="275" t="s">
        <v>2616</v>
      </c>
      <c r="P90" s="276"/>
      <c r="Q90" s="270">
        <v>1</v>
      </c>
      <c r="R90" s="278">
        <v>1800</v>
      </c>
      <c r="S90" s="279">
        <v>120</v>
      </c>
      <c r="T90" s="279">
        <v>125</v>
      </c>
      <c r="U90" s="279">
        <v>130</v>
      </c>
      <c r="V90" s="279">
        <v>135</v>
      </c>
      <c r="W90" s="279">
        <f>V90+1</f>
        <v>136</v>
      </c>
      <c r="X90" s="279">
        <f>W90+1</f>
        <v>137</v>
      </c>
      <c r="Y90" s="279">
        <f>X90+1</f>
        <v>138</v>
      </c>
      <c r="Z90" s="279">
        <f>Y90+1</f>
        <v>139</v>
      </c>
      <c r="AA90" s="279">
        <v>140</v>
      </c>
      <c r="AB90" s="279">
        <f>AA90+1</f>
        <v>141</v>
      </c>
      <c r="AC90" s="279">
        <f>AB90+1</f>
        <v>142</v>
      </c>
      <c r="AD90" s="279">
        <f>AC90+1</f>
        <v>143</v>
      </c>
      <c r="AE90" s="279">
        <f>AD90+1</f>
        <v>144</v>
      </c>
      <c r="AF90" s="279">
        <v>145</v>
      </c>
      <c r="AG90" s="279">
        <f>AF90+1</f>
        <v>146</v>
      </c>
      <c r="AH90" s="279">
        <f>AG90+1</f>
        <v>147</v>
      </c>
      <c r="AI90" s="279">
        <f>AH90+1</f>
        <v>148</v>
      </c>
      <c r="AJ90" s="279">
        <f>AI90+1</f>
        <v>149</v>
      </c>
      <c r="AK90" s="279">
        <v>150</v>
      </c>
      <c r="AL90" s="276" t="s">
        <v>2124</v>
      </c>
      <c r="AM90" s="276" t="s">
        <v>4193</v>
      </c>
      <c r="AN90" s="276" t="s">
        <v>4194</v>
      </c>
      <c r="AO90" s="657"/>
      <c r="AP90" s="278">
        <v>90</v>
      </c>
      <c r="AQ90" s="278">
        <v>77</v>
      </c>
      <c r="AR90" s="278">
        <v>11</v>
      </c>
      <c r="AS90" s="278">
        <v>2</v>
      </c>
      <c r="AT90" s="657"/>
      <c r="AU90" s="281" t="s">
        <v>4195</v>
      </c>
      <c r="AV90" s="296" t="s">
        <v>4196</v>
      </c>
      <c r="AW90" s="296" t="s">
        <v>3651</v>
      </c>
      <c r="AX90" s="276" t="s">
        <v>4197</v>
      </c>
      <c r="AY90" s="657"/>
      <c r="AZ90" s="947">
        <v>8</v>
      </c>
      <c r="BA90" s="947">
        <v>8</v>
      </c>
      <c r="BB90" s="947">
        <v>1</v>
      </c>
      <c r="BC90" s="947">
        <v>7</v>
      </c>
      <c r="BD90" s="826">
        <f t="shared" si="241"/>
        <v>3480</v>
      </c>
      <c r="BE90" s="283">
        <f t="shared" si="242"/>
        <v>1160</v>
      </c>
      <c r="BF90" s="283">
        <f t="shared" si="243"/>
        <v>1160</v>
      </c>
      <c r="BG90" s="283">
        <f t="shared" si="244"/>
        <v>145</v>
      </c>
      <c r="BH90" s="283">
        <f t="shared" si="245"/>
        <v>1015</v>
      </c>
      <c r="BI90" s="826">
        <f t="shared" si="246"/>
        <v>3600</v>
      </c>
      <c r="BJ90" s="283">
        <f t="shared" si="247"/>
        <v>1200</v>
      </c>
      <c r="BK90" s="283">
        <f t="shared" si="248"/>
        <v>1200</v>
      </c>
      <c r="BL90" s="283">
        <f t="shared" si="249"/>
        <v>150</v>
      </c>
      <c r="BM90" s="283">
        <f t="shared" si="250"/>
        <v>1050</v>
      </c>
      <c r="BN90" s="657"/>
      <c r="BO90" s="305">
        <v>0.55000000000000004</v>
      </c>
      <c r="BP90" s="305">
        <v>0.35</v>
      </c>
      <c r="BQ90" s="305">
        <v>0.05</v>
      </c>
      <c r="BR90" s="581">
        <v>0.05</v>
      </c>
      <c r="BS90" s="706">
        <v>0.5</v>
      </c>
      <c r="BT90" s="305">
        <v>0.37</v>
      </c>
      <c r="BU90" s="305">
        <v>0.08</v>
      </c>
      <c r="BV90" s="581">
        <v>0.05</v>
      </c>
      <c r="BW90" s="713">
        <v>0.6</v>
      </c>
      <c r="BX90" s="306">
        <v>0.35</v>
      </c>
      <c r="BY90" s="590">
        <v>0.05</v>
      </c>
      <c r="BZ90" s="713">
        <v>0.55000000000000004</v>
      </c>
      <c r="CA90" s="306">
        <v>0.38</v>
      </c>
      <c r="CB90" s="590">
        <v>7.0000000000000007E-2</v>
      </c>
      <c r="CC90" s="706">
        <v>0.12</v>
      </c>
      <c r="CD90" s="305">
        <v>0.45</v>
      </c>
      <c r="CE90" s="305">
        <v>0.12</v>
      </c>
      <c r="CF90" s="581">
        <v>0.31</v>
      </c>
      <c r="CG90" s="706">
        <v>0.1</v>
      </c>
      <c r="CH90" s="305">
        <v>0.45</v>
      </c>
      <c r="CI90" s="305">
        <v>0.15</v>
      </c>
      <c r="CJ90" s="581">
        <v>0.3</v>
      </c>
      <c r="CK90" s="719">
        <v>0.6</v>
      </c>
      <c r="CL90" s="307">
        <v>0.35</v>
      </c>
      <c r="CM90" s="723">
        <v>0.05</v>
      </c>
      <c r="CN90" s="719">
        <v>0.55000000000000004</v>
      </c>
      <c r="CO90" s="307">
        <v>0.38</v>
      </c>
      <c r="CP90" s="723">
        <v>7.0000000000000007E-2</v>
      </c>
      <c r="CQ90" s="657"/>
      <c r="CR90" s="804">
        <v>12</v>
      </c>
      <c r="CS90" s="805">
        <v>13</v>
      </c>
      <c r="CT90" s="805">
        <v>9</v>
      </c>
      <c r="CU90" s="806">
        <v>11</v>
      </c>
      <c r="CV90" s="804">
        <v>11</v>
      </c>
      <c r="CW90" s="805">
        <v>10</v>
      </c>
      <c r="CX90" s="806">
        <v>8</v>
      </c>
      <c r="CY90" s="804">
        <v>10</v>
      </c>
      <c r="CZ90" s="805">
        <v>12</v>
      </c>
      <c r="DA90" s="805">
        <v>8</v>
      </c>
      <c r="DB90" s="806">
        <v>10</v>
      </c>
      <c r="DC90" s="804">
        <v>13</v>
      </c>
      <c r="DD90" s="805">
        <v>13</v>
      </c>
      <c r="DE90" s="806">
        <v>9</v>
      </c>
      <c r="DF90" s="609" t="s">
        <v>4198</v>
      </c>
      <c r="DG90" s="657"/>
      <c r="DH90" s="308">
        <f t="shared" si="251"/>
        <v>638</v>
      </c>
      <c r="DI90" s="308">
        <f t="shared" si="252"/>
        <v>406</v>
      </c>
      <c r="DJ90" s="308">
        <f t="shared" si="253"/>
        <v>58</v>
      </c>
      <c r="DK90" s="308">
        <f t="shared" si="254"/>
        <v>58</v>
      </c>
      <c r="DL90" s="287" t="s">
        <v>4199</v>
      </c>
      <c r="DM90" s="308">
        <f t="shared" si="255"/>
        <v>600</v>
      </c>
      <c r="DN90" s="308">
        <f t="shared" si="256"/>
        <v>444</v>
      </c>
      <c r="DO90" s="308">
        <f t="shared" si="257"/>
        <v>96</v>
      </c>
      <c r="DP90" s="308">
        <f t="shared" si="258"/>
        <v>60</v>
      </c>
      <c r="DQ90" s="289" t="s">
        <v>4148</v>
      </c>
      <c r="DR90" s="657"/>
      <c r="DS90" s="308">
        <f t="shared" si="259"/>
        <v>696</v>
      </c>
      <c r="DT90" s="308">
        <f t="shared" si="260"/>
        <v>406</v>
      </c>
      <c r="DU90" s="308">
        <f t="shared" si="261"/>
        <v>58</v>
      </c>
      <c r="DV90" s="289" t="s">
        <v>4200</v>
      </c>
      <c r="DW90" s="308">
        <f t="shared" si="262"/>
        <v>660</v>
      </c>
      <c r="DX90" s="308">
        <f t="shared" si="263"/>
        <v>456</v>
      </c>
      <c r="DY90" s="308">
        <f t="shared" si="264"/>
        <v>84.000000000000014</v>
      </c>
      <c r="DZ90" s="289" t="s">
        <v>4150</v>
      </c>
      <c r="EA90" s="657"/>
      <c r="EB90" s="308">
        <f t="shared" si="265"/>
        <v>17.399999999999999</v>
      </c>
      <c r="EC90" s="308">
        <f t="shared" si="266"/>
        <v>65.25</v>
      </c>
      <c r="ED90" s="308">
        <f t="shared" si="267"/>
        <v>17.399999999999999</v>
      </c>
      <c r="EE90" s="308">
        <f t="shared" si="268"/>
        <v>44.95</v>
      </c>
      <c r="EF90" s="289" t="s">
        <v>4201</v>
      </c>
      <c r="EG90" s="308">
        <f t="shared" si="269"/>
        <v>15</v>
      </c>
      <c r="EH90" s="308">
        <f t="shared" si="270"/>
        <v>67.5</v>
      </c>
      <c r="EI90" s="308">
        <f t="shared" si="271"/>
        <v>22.5</v>
      </c>
      <c r="EJ90" s="308">
        <f t="shared" si="272"/>
        <v>45</v>
      </c>
      <c r="EK90" s="309" t="s">
        <v>2870</v>
      </c>
      <c r="EL90" s="657"/>
      <c r="EM90" s="308">
        <f t="shared" si="273"/>
        <v>609</v>
      </c>
      <c r="EN90" s="310">
        <f t="shared" si="274"/>
        <v>355.25</v>
      </c>
      <c r="EO90" s="310">
        <f t="shared" si="275"/>
        <v>50.75</v>
      </c>
      <c r="EP90" s="289" t="s">
        <v>4202</v>
      </c>
      <c r="EQ90" s="308">
        <f t="shared" si="276"/>
        <v>577.5</v>
      </c>
      <c r="ER90" s="310">
        <f t="shared" si="277"/>
        <v>399</v>
      </c>
      <c r="ES90" s="310">
        <f t="shared" si="278"/>
        <v>73.5</v>
      </c>
      <c r="ET90" s="289" t="s">
        <v>2648</v>
      </c>
      <c r="EU90" s="657"/>
      <c r="EV90" s="728">
        <f t="shared" si="279"/>
        <v>0.77550984649027799</v>
      </c>
      <c r="EW90" s="728">
        <f t="shared" si="280"/>
        <v>0.2244901535097221</v>
      </c>
      <c r="EX90" s="311">
        <f t="shared" si="281"/>
        <v>1491.0052613310022</v>
      </c>
      <c r="EY90" s="311">
        <f t="shared" si="282"/>
        <v>1156.2892613310023</v>
      </c>
      <c r="EZ90" s="311">
        <f t="shared" si="283"/>
        <v>334.71600000000001</v>
      </c>
      <c r="FA90" s="311">
        <f t="shared" si="284"/>
        <v>478.86936612276617</v>
      </c>
      <c r="FB90" s="311">
        <f t="shared" si="285"/>
        <v>367.29736612276616</v>
      </c>
      <c r="FC90" s="311">
        <f t="shared" si="286"/>
        <v>111.572</v>
      </c>
      <c r="FD90" s="311">
        <f t="shared" si="287"/>
        <v>544.17043090909078</v>
      </c>
      <c r="FE90" s="311">
        <f t="shared" si="288"/>
        <v>432.59843090909084</v>
      </c>
      <c r="FF90" s="311">
        <f t="shared" si="289"/>
        <v>111.572</v>
      </c>
      <c r="FG90" s="311">
        <f t="shared" si="290"/>
        <v>67.718763999999993</v>
      </c>
      <c r="FH90" s="311">
        <f t="shared" si="291"/>
        <v>53.772263999999993</v>
      </c>
      <c r="FI90" s="311">
        <f t="shared" si="292"/>
        <v>13.9465</v>
      </c>
      <c r="FJ90" s="311">
        <f t="shared" si="293"/>
        <v>400.24670029914529</v>
      </c>
      <c r="FK90" s="311">
        <f t="shared" si="294"/>
        <v>302.6212002991453</v>
      </c>
      <c r="FL90" s="311">
        <f t="shared" si="295"/>
        <v>97.625499999999988</v>
      </c>
      <c r="FM90" s="657"/>
      <c r="FN90" s="293" t="s">
        <v>2649</v>
      </c>
      <c r="FO90" s="728">
        <v>6.1699999999999998E-2</v>
      </c>
      <c r="FP90" s="729">
        <v>0.82069999999999999</v>
      </c>
      <c r="FQ90" s="294" t="s">
        <v>4153</v>
      </c>
      <c r="FR90" s="657"/>
      <c r="FS90" s="865">
        <v>3.77</v>
      </c>
      <c r="FT90" s="312">
        <f>RANK($FS90,$FS$8:$FS$154,0)+COUNTIF($FS$8:$FS90,$FS90)-1</f>
        <v>15</v>
      </c>
      <c r="FU90" s="865">
        <v>4.42</v>
      </c>
      <c r="FV90" s="312">
        <f>RANK($FU90,$FU$8:$FU$154,0)+COUNTIF($FU$8:$FU90,$FU90)-1</f>
        <v>22</v>
      </c>
      <c r="FW90" s="865">
        <v>2.6</v>
      </c>
      <c r="FX90" s="312">
        <f>RANK($FW90,$FW$8:$FW$154,0)+COUNTIF($FW$8:$FW90,$FW90)-1</f>
        <v>25</v>
      </c>
      <c r="FY90" s="657"/>
      <c r="FZ90" s="296" t="s">
        <v>4154</v>
      </c>
      <c r="GA90" s="296" t="s">
        <v>4203</v>
      </c>
      <c r="GB90" s="296" t="s">
        <v>2653</v>
      </c>
      <c r="GC90" s="296" t="s">
        <v>2654</v>
      </c>
      <c r="GD90" s="296" t="s">
        <v>2655</v>
      </c>
      <c r="GE90" s="296" t="s">
        <v>2656</v>
      </c>
      <c r="GF90" s="296" t="str">
        <f>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90" s="657"/>
      <c r="GH90" s="311">
        <f t="shared" si="296"/>
        <v>259.21017333333333</v>
      </c>
      <c r="GI90" s="311">
        <f t="shared" si="227"/>
        <v>203.42417333333333</v>
      </c>
      <c r="GJ90" s="311">
        <f t="shared" si="297"/>
        <v>55.786000000000001</v>
      </c>
      <c r="GK90" s="311">
        <f t="shared" si="298"/>
        <v>159.36143076923076</v>
      </c>
      <c r="GL90" s="311">
        <f t="shared" si="228"/>
        <v>118.07979076923077</v>
      </c>
      <c r="GM90" s="311">
        <f t="shared" si="299"/>
        <v>41.281640000000003</v>
      </c>
      <c r="GN90" s="311">
        <f t="shared" si="300"/>
        <v>34.276271111111114</v>
      </c>
      <c r="GO90" s="311">
        <f t="shared" si="229"/>
        <v>25.350511111111114</v>
      </c>
      <c r="GP90" s="311">
        <f t="shared" si="301"/>
        <v>8.9257600000000004</v>
      </c>
      <c r="GQ90" s="311">
        <f t="shared" si="302"/>
        <v>26.021490909090915</v>
      </c>
      <c r="GR90" s="311">
        <f t="shared" si="230"/>
        <v>20.442890909090913</v>
      </c>
      <c r="GS90" s="311">
        <f t="shared" si="303"/>
        <v>5.5786000000000007</v>
      </c>
      <c r="GT90" s="311">
        <f t="shared" si="304"/>
        <v>306.67929090909087</v>
      </c>
      <c r="GU90" s="311">
        <f t="shared" si="231"/>
        <v>245.31469090909087</v>
      </c>
      <c r="GV90" s="311">
        <f t="shared" si="305"/>
        <v>61.364600000000003</v>
      </c>
      <c r="GW90" s="311">
        <f t="shared" si="306"/>
        <v>200.95659999999998</v>
      </c>
      <c r="GX90" s="311">
        <f t="shared" si="232"/>
        <v>158.55923999999999</v>
      </c>
      <c r="GY90" s="311">
        <f t="shared" si="307"/>
        <v>42.397359999999999</v>
      </c>
      <c r="GZ90" s="311">
        <f t="shared" si="308"/>
        <v>36.53454</v>
      </c>
      <c r="HA90" s="311">
        <f t="shared" si="233"/>
        <v>28.724499999999999</v>
      </c>
      <c r="HB90" s="311">
        <f t="shared" si="309"/>
        <v>7.8100400000000008</v>
      </c>
      <c r="HC90" s="311">
        <f t="shared" si="310"/>
        <v>8.1900459999999988</v>
      </c>
      <c r="HD90" s="311">
        <f t="shared" si="234"/>
        <v>6.7953959999999993</v>
      </c>
      <c r="HE90" s="311">
        <f t="shared" si="311"/>
        <v>1.3946500000000002</v>
      </c>
      <c r="HF90" s="311">
        <f t="shared" si="312"/>
        <v>27.080670000000001</v>
      </c>
      <c r="HG90" s="311">
        <f t="shared" si="235"/>
        <v>20.804745</v>
      </c>
      <c r="HH90" s="311">
        <f t="shared" si="313"/>
        <v>6.275925</v>
      </c>
      <c r="HI90" s="311">
        <f t="shared" si="314"/>
        <v>10.709324999999998</v>
      </c>
      <c r="HJ90" s="311">
        <f t="shared" si="236"/>
        <v>8.6173499999999983</v>
      </c>
      <c r="HK90" s="311">
        <f t="shared" si="315"/>
        <v>2.0919750000000001</v>
      </c>
      <c r="HL90" s="311">
        <f t="shared" si="316"/>
        <v>21.738723</v>
      </c>
      <c r="HM90" s="311">
        <f t="shared" si="237"/>
        <v>17.554773000000001</v>
      </c>
      <c r="HN90" s="311">
        <f t="shared" si="317"/>
        <v>4.1839500000000003</v>
      </c>
      <c r="HO90" s="311">
        <f t="shared" si="318"/>
        <v>230.8137111538461</v>
      </c>
      <c r="HP90" s="311">
        <f t="shared" si="238"/>
        <v>177.11968615384612</v>
      </c>
      <c r="HQ90" s="311">
        <f t="shared" si="319"/>
        <v>53.694024999999996</v>
      </c>
      <c r="HR90" s="311">
        <f t="shared" si="320"/>
        <v>140.41750692307693</v>
      </c>
      <c r="HS90" s="311">
        <f t="shared" si="239"/>
        <v>103.31981692307693</v>
      </c>
      <c r="HT90" s="311">
        <f t="shared" si="321"/>
        <v>37.097689999999993</v>
      </c>
      <c r="HU90" s="311">
        <f t="shared" si="322"/>
        <v>29.015482222222225</v>
      </c>
      <c r="HV90" s="311">
        <f t="shared" si="240"/>
        <v>22.181697222222226</v>
      </c>
      <c r="HW90" s="311">
        <f t="shared" si="323"/>
        <v>6.8337849999999998</v>
      </c>
      <c r="HY90" s="313">
        <f t="shared" si="324"/>
        <v>3480.0000000000005</v>
      </c>
      <c r="HZ90" s="313">
        <f t="shared" si="325"/>
        <v>32.494500000000002</v>
      </c>
      <c r="IA90" s="313">
        <f t="shared" si="326"/>
        <v>951.12750000000005</v>
      </c>
      <c r="IB90" s="313">
        <f t="shared" si="327"/>
        <v>1730.6475</v>
      </c>
      <c r="IC90" s="313">
        <f t="shared" si="328"/>
        <v>701.03150000000005</v>
      </c>
      <c r="ID90" s="313">
        <f t="shared" si="329"/>
        <v>64.698999999999998</v>
      </c>
      <c r="IE90" s="313">
        <f t="shared" si="330"/>
        <v>1156.2892613310021</v>
      </c>
      <c r="IF90" s="313">
        <f t="shared" si="331"/>
        <v>0</v>
      </c>
      <c r="IG90" s="313">
        <f t="shared" si="332"/>
        <v>271.04178329458063</v>
      </c>
      <c r="IH90" s="313">
        <f t="shared" si="333"/>
        <v>594.46237780317608</v>
      </c>
      <c r="II90" s="313">
        <f t="shared" si="334"/>
        <v>262.69575866015617</v>
      </c>
      <c r="IJ90" s="313">
        <f t="shared" si="335"/>
        <v>28.089341573089357</v>
      </c>
      <c r="IK90" s="866">
        <v>4.1900000000000004</v>
      </c>
      <c r="IL90" s="314" t="s">
        <v>2589</v>
      </c>
      <c r="IM90" s="299" t="s">
        <v>4204</v>
      </c>
      <c r="IN90" s="657"/>
      <c r="IO90" s="730">
        <v>0.01</v>
      </c>
      <c r="IP90" s="730">
        <v>0.28000000000000003</v>
      </c>
      <c r="IQ90" s="730">
        <v>0.5</v>
      </c>
      <c r="IR90" s="730">
        <v>0.19</v>
      </c>
      <c r="IS90" s="730">
        <v>0.02</v>
      </c>
      <c r="IT90" s="730">
        <v>0</v>
      </c>
      <c r="IU90" s="730">
        <v>0.24310000000000001</v>
      </c>
      <c r="IV90" s="730">
        <v>0.5181</v>
      </c>
      <c r="IW90" s="730">
        <v>0.2132</v>
      </c>
      <c r="IX90" s="730">
        <v>2.5600000000000001E-2</v>
      </c>
      <c r="IY90" s="730">
        <v>5.5999999999999999E-3</v>
      </c>
      <c r="IZ90" s="730">
        <v>0.22270000000000001</v>
      </c>
      <c r="JA90" s="730">
        <v>0.49130000000000001</v>
      </c>
      <c r="JB90" s="730">
        <v>0.25779999999999997</v>
      </c>
      <c r="JC90" s="730">
        <v>2.2599999999999999E-2</v>
      </c>
      <c r="JD90" s="730">
        <v>0</v>
      </c>
      <c r="JE90" s="730">
        <v>0.186</v>
      </c>
      <c r="JF90" s="730">
        <v>0.50739999999999996</v>
      </c>
      <c r="JG90" s="730">
        <v>0.2787</v>
      </c>
      <c r="JH90" s="730">
        <v>2.7900000000000001E-2</v>
      </c>
      <c r="JI90" s="730">
        <v>2.0899999999999998E-2</v>
      </c>
      <c r="JJ90" s="730">
        <v>0.43930000000000002</v>
      </c>
      <c r="JK90" s="730">
        <v>0.43580000000000002</v>
      </c>
      <c r="JL90" s="730">
        <v>9.9400000000000002E-2</v>
      </c>
      <c r="JM90" s="730">
        <v>4.5999999999999999E-3</v>
      </c>
      <c r="JN90" s="730">
        <v>0</v>
      </c>
      <c r="JO90" s="730">
        <v>0.40410000000000001</v>
      </c>
      <c r="JP90" s="730">
        <v>0.45989999999999998</v>
      </c>
      <c r="JQ90" s="730">
        <v>0.1255</v>
      </c>
      <c r="JR90" s="730">
        <v>1.0500000000000001E-2</v>
      </c>
      <c r="JS90" s="730">
        <v>1.12E-2</v>
      </c>
      <c r="JT90" s="730">
        <v>0.29980000000000001</v>
      </c>
      <c r="JU90" s="730">
        <v>0.50990000000000002</v>
      </c>
      <c r="JV90" s="730">
        <v>0.16470000000000001</v>
      </c>
      <c r="JW90" s="730">
        <v>1.44E-2</v>
      </c>
      <c r="JX90" s="730">
        <v>0</v>
      </c>
      <c r="JY90" s="730">
        <v>0.26290000000000002</v>
      </c>
      <c r="JZ90" s="730">
        <v>0.52849999999999997</v>
      </c>
      <c r="KA90" s="730">
        <v>0.18859999999999999</v>
      </c>
      <c r="KB90" s="730">
        <v>0.02</v>
      </c>
      <c r="KC90" s="657"/>
      <c r="KD90" s="314" t="s">
        <v>2590</v>
      </c>
      <c r="KE90" s="314" t="s">
        <v>2590</v>
      </c>
      <c r="KF90" s="866">
        <v>4.1399999999999997</v>
      </c>
      <c r="KG90" s="314" t="s">
        <v>2589</v>
      </c>
      <c r="KH90" s="315" t="s">
        <v>4157</v>
      </c>
      <c r="KI90" s="314" t="s">
        <v>3208</v>
      </c>
      <c r="KJ90" s="315" t="s">
        <v>4205</v>
      </c>
    </row>
    <row r="91" spans="1:296" ht="48" hidden="1" customHeight="1">
      <c r="A91" s="265">
        <f t="shared" si="336"/>
        <v>84</v>
      </c>
      <c r="B91" s="266" t="s">
        <v>4135</v>
      </c>
      <c r="C91" s="266" t="s">
        <v>4135</v>
      </c>
      <c r="D91" s="624" t="s">
        <v>4206</v>
      </c>
      <c r="E91" s="267" t="s">
        <v>4137</v>
      </c>
      <c r="F91" s="267" t="s">
        <v>300</v>
      </c>
      <c r="G91" s="267" t="s">
        <v>300</v>
      </c>
      <c r="H91" s="267" t="s">
        <v>2109</v>
      </c>
      <c r="I91" s="268" t="s">
        <v>4207</v>
      </c>
      <c r="J91" s="268" t="s">
        <v>4208</v>
      </c>
      <c r="K91" s="269" t="s">
        <v>2109</v>
      </c>
      <c r="L91" s="269" t="s">
        <v>2109</v>
      </c>
      <c r="M91" s="269" t="s">
        <v>2603</v>
      </c>
      <c r="N91" s="269" t="s">
        <v>2099</v>
      </c>
      <c r="O91" s="267" t="s">
        <v>2616</v>
      </c>
      <c r="P91" s="268"/>
      <c r="Q91" s="270">
        <v>1</v>
      </c>
      <c r="R91" s="271">
        <v>900</v>
      </c>
      <c r="S91" s="272">
        <v>588</v>
      </c>
      <c r="T91" s="272">
        <v>649</v>
      </c>
      <c r="U91" s="272">
        <v>716</v>
      </c>
      <c r="V91" s="272">
        <v>791</v>
      </c>
      <c r="W91" s="272">
        <v>807</v>
      </c>
      <c r="X91" s="272">
        <v>823</v>
      </c>
      <c r="Y91" s="272">
        <v>839</v>
      </c>
      <c r="Z91" s="272">
        <v>856</v>
      </c>
      <c r="AA91" s="272">
        <v>865</v>
      </c>
      <c r="AB91" s="272">
        <v>874</v>
      </c>
      <c r="AC91" s="272">
        <v>882</v>
      </c>
      <c r="AD91" s="272">
        <v>891</v>
      </c>
      <c r="AE91" s="272">
        <v>900</v>
      </c>
      <c r="AF91" s="272">
        <v>909</v>
      </c>
      <c r="AG91" s="272">
        <v>918</v>
      </c>
      <c r="AH91" s="272">
        <v>927</v>
      </c>
      <c r="AI91" s="272">
        <v>936</v>
      </c>
      <c r="AJ91" s="272">
        <v>945</v>
      </c>
      <c r="AK91" s="272">
        <v>954</v>
      </c>
      <c r="AL91" s="268" t="s">
        <v>2132</v>
      </c>
      <c r="AM91" s="268" t="s">
        <v>4209</v>
      </c>
      <c r="AN91" s="268" t="s">
        <v>2148</v>
      </c>
      <c r="AO91" s="657"/>
      <c r="AP91" s="271">
        <v>25</v>
      </c>
      <c r="AQ91" s="280">
        <v>21</v>
      </c>
      <c r="AR91" s="280">
        <v>3</v>
      </c>
      <c r="AS91" s="280">
        <v>1</v>
      </c>
      <c r="AT91" s="657"/>
      <c r="AU91" s="301" t="s">
        <v>4210</v>
      </c>
      <c r="AV91" s="572" t="s">
        <v>4211</v>
      </c>
      <c r="AW91" s="645" t="s">
        <v>3508</v>
      </c>
      <c r="AX91" s="290" t="s">
        <v>4197</v>
      </c>
      <c r="AY91" s="657"/>
      <c r="AZ91" s="948">
        <v>3</v>
      </c>
      <c r="BA91" s="948">
        <v>2</v>
      </c>
      <c r="BB91" s="948">
        <v>0.5</v>
      </c>
      <c r="BC91" s="948">
        <v>2</v>
      </c>
      <c r="BD91" s="825">
        <f t="shared" si="241"/>
        <v>6817.5</v>
      </c>
      <c r="BE91" s="304">
        <f t="shared" si="242"/>
        <v>2727</v>
      </c>
      <c r="BF91" s="304">
        <f t="shared" si="243"/>
        <v>1818</v>
      </c>
      <c r="BG91" s="304">
        <f t="shared" si="244"/>
        <v>454.5</v>
      </c>
      <c r="BH91" s="304">
        <f t="shared" si="245"/>
        <v>1818</v>
      </c>
      <c r="BI91" s="825">
        <f t="shared" si="246"/>
        <v>7155</v>
      </c>
      <c r="BJ91" s="304">
        <f t="shared" si="247"/>
        <v>2862</v>
      </c>
      <c r="BK91" s="304">
        <f t="shared" si="248"/>
        <v>1908</v>
      </c>
      <c r="BL91" s="304">
        <f t="shared" si="249"/>
        <v>477</v>
      </c>
      <c r="BM91" s="304">
        <f t="shared" si="250"/>
        <v>1908</v>
      </c>
      <c r="BN91" s="657"/>
      <c r="BO91" s="284">
        <v>0.72</v>
      </c>
      <c r="BP91" s="284">
        <v>0.1</v>
      </c>
      <c r="BQ91" s="284">
        <v>0.06</v>
      </c>
      <c r="BR91" s="710">
        <v>0.12</v>
      </c>
      <c r="BS91" s="707">
        <v>0.7</v>
      </c>
      <c r="BT91" s="284">
        <v>0.1</v>
      </c>
      <c r="BU91" s="284">
        <v>0.08</v>
      </c>
      <c r="BV91" s="710">
        <v>0.12</v>
      </c>
      <c r="BW91" s="714">
        <v>0.7</v>
      </c>
      <c r="BX91" s="285">
        <v>0.25</v>
      </c>
      <c r="BY91" s="717">
        <v>0.05</v>
      </c>
      <c r="BZ91" s="714">
        <v>0.66</v>
      </c>
      <c r="CA91" s="285">
        <v>0.28000000000000003</v>
      </c>
      <c r="CB91" s="717">
        <v>0.06</v>
      </c>
      <c r="CC91" s="284">
        <v>0.2</v>
      </c>
      <c r="CD91" s="284">
        <v>0.5</v>
      </c>
      <c r="CE91" s="284">
        <v>0.1</v>
      </c>
      <c r="CF91" s="710">
        <v>0.2</v>
      </c>
      <c r="CG91" s="707">
        <v>0.18</v>
      </c>
      <c r="CH91" s="284">
        <v>0.5</v>
      </c>
      <c r="CI91" s="284">
        <v>0.12</v>
      </c>
      <c r="CJ91" s="710">
        <v>0.2</v>
      </c>
      <c r="CK91" s="720">
        <v>0.75</v>
      </c>
      <c r="CL91" s="286">
        <v>0.2</v>
      </c>
      <c r="CM91" s="718">
        <v>0.05</v>
      </c>
      <c r="CN91" s="720">
        <v>0.7</v>
      </c>
      <c r="CO91" s="286">
        <v>0.22</v>
      </c>
      <c r="CP91" s="718">
        <v>0.08</v>
      </c>
      <c r="CQ91" s="657"/>
      <c r="CR91" s="807">
        <v>12</v>
      </c>
      <c r="CS91" s="808">
        <v>12</v>
      </c>
      <c r="CT91" s="808">
        <v>9</v>
      </c>
      <c r="CU91" s="809">
        <v>11</v>
      </c>
      <c r="CV91" s="807">
        <v>11</v>
      </c>
      <c r="CW91" s="808">
        <v>11</v>
      </c>
      <c r="CX91" s="809">
        <v>8</v>
      </c>
      <c r="CY91" s="807">
        <v>10</v>
      </c>
      <c r="CZ91" s="808">
        <v>11</v>
      </c>
      <c r="DA91" s="808">
        <v>8</v>
      </c>
      <c r="DB91" s="809">
        <v>9</v>
      </c>
      <c r="DC91" s="807">
        <v>12</v>
      </c>
      <c r="DD91" s="808">
        <v>11</v>
      </c>
      <c r="DE91" s="809">
        <v>9</v>
      </c>
      <c r="DF91" s="610" t="s">
        <v>4106</v>
      </c>
      <c r="DG91" s="657"/>
      <c r="DH91" s="288">
        <f t="shared" si="251"/>
        <v>1963.4399999999998</v>
      </c>
      <c r="DI91" s="288">
        <f t="shared" si="252"/>
        <v>272.7</v>
      </c>
      <c r="DJ91" s="288">
        <f t="shared" si="253"/>
        <v>163.62</v>
      </c>
      <c r="DK91" s="288">
        <f t="shared" si="254"/>
        <v>327.24</v>
      </c>
      <c r="DL91" s="560" t="s">
        <v>4212</v>
      </c>
      <c r="DM91" s="288">
        <f t="shared" si="255"/>
        <v>2003.3999999999999</v>
      </c>
      <c r="DN91" s="288">
        <f t="shared" si="256"/>
        <v>286.2</v>
      </c>
      <c r="DO91" s="288">
        <f t="shared" si="257"/>
        <v>228.96</v>
      </c>
      <c r="DP91" s="288">
        <f t="shared" si="258"/>
        <v>343.44</v>
      </c>
      <c r="DQ91" s="561" t="s">
        <v>4213</v>
      </c>
      <c r="DR91" s="657"/>
      <c r="DS91" s="288">
        <f t="shared" si="259"/>
        <v>1272.5999999999999</v>
      </c>
      <c r="DT91" s="288">
        <f t="shared" si="260"/>
        <v>454.5</v>
      </c>
      <c r="DU91" s="288">
        <f t="shared" si="261"/>
        <v>90.9</v>
      </c>
      <c r="DV91" s="561" t="s">
        <v>4214</v>
      </c>
      <c r="DW91" s="288">
        <f t="shared" si="262"/>
        <v>1259.28</v>
      </c>
      <c r="DX91" s="288">
        <f t="shared" si="263"/>
        <v>534.24</v>
      </c>
      <c r="DY91" s="288">
        <f t="shared" si="264"/>
        <v>114.47999999999999</v>
      </c>
      <c r="DZ91" s="561" t="s">
        <v>4215</v>
      </c>
      <c r="EA91" s="657"/>
      <c r="EB91" s="288">
        <f t="shared" si="265"/>
        <v>90.9</v>
      </c>
      <c r="EC91" s="288">
        <f t="shared" si="266"/>
        <v>227.25</v>
      </c>
      <c r="ED91" s="288">
        <f t="shared" si="267"/>
        <v>45.45</v>
      </c>
      <c r="EE91" s="288">
        <f t="shared" si="268"/>
        <v>90.9</v>
      </c>
      <c r="EF91" s="561" t="s">
        <v>3624</v>
      </c>
      <c r="EG91" s="288">
        <f t="shared" si="269"/>
        <v>85.86</v>
      </c>
      <c r="EH91" s="288">
        <f t="shared" si="270"/>
        <v>238.5</v>
      </c>
      <c r="EI91" s="288">
        <f t="shared" si="271"/>
        <v>57.239999999999995</v>
      </c>
      <c r="EJ91" s="288">
        <f t="shared" si="272"/>
        <v>95.4</v>
      </c>
      <c r="EK91" s="561" t="s">
        <v>4216</v>
      </c>
      <c r="EL91" s="657"/>
      <c r="EM91" s="288">
        <f t="shared" si="273"/>
        <v>1363.5</v>
      </c>
      <c r="EN91" s="291">
        <f t="shared" si="274"/>
        <v>363.6</v>
      </c>
      <c r="EO91" s="291">
        <f t="shared" si="275"/>
        <v>90.9</v>
      </c>
      <c r="EP91" s="561" t="s">
        <v>4217</v>
      </c>
      <c r="EQ91" s="288">
        <f t="shared" si="276"/>
        <v>1335.6</v>
      </c>
      <c r="ER91" s="291">
        <f t="shared" si="277"/>
        <v>419.76</v>
      </c>
      <c r="ES91" s="291">
        <f t="shared" si="278"/>
        <v>152.64000000000001</v>
      </c>
      <c r="ET91" s="561" t="s">
        <v>4218</v>
      </c>
      <c r="EU91" s="657"/>
      <c r="EV91" s="740">
        <f t="shared" si="279"/>
        <v>0.77016082502745897</v>
      </c>
      <c r="EW91" s="740">
        <f t="shared" si="280"/>
        <v>0.22983917497254105</v>
      </c>
      <c r="EX91" s="563">
        <f t="shared" si="281"/>
        <v>2872.3226798863634</v>
      </c>
      <c r="EY91" s="563">
        <f t="shared" si="282"/>
        <v>2212.1504048863635</v>
      </c>
      <c r="EZ91" s="563">
        <f t="shared" si="283"/>
        <v>660.1722749999999</v>
      </c>
      <c r="FA91" s="563">
        <f t="shared" si="284"/>
        <v>1110.896663181818</v>
      </c>
      <c r="FB91" s="563">
        <f t="shared" si="285"/>
        <v>846.82775318181814</v>
      </c>
      <c r="FC91" s="563">
        <f t="shared" si="286"/>
        <v>264.06890999999996</v>
      </c>
      <c r="FD91" s="563">
        <f t="shared" si="287"/>
        <v>801.92164568181806</v>
      </c>
      <c r="FE91" s="563">
        <f t="shared" si="288"/>
        <v>625.87570568181809</v>
      </c>
      <c r="FF91" s="563">
        <f t="shared" si="289"/>
        <v>176.04594</v>
      </c>
      <c r="FG91" s="563">
        <f t="shared" si="290"/>
        <v>215.61524693181818</v>
      </c>
      <c r="FH91" s="563">
        <f t="shared" si="291"/>
        <v>171.60376193181818</v>
      </c>
      <c r="FI91" s="563">
        <f t="shared" si="292"/>
        <v>44.011485</v>
      </c>
      <c r="FJ91" s="563">
        <f t="shared" si="293"/>
        <v>743.88912409090904</v>
      </c>
      <c r="FK91" s="563">
        <f t="shared" si="294"/>
        <v>567.84318409090906</v>
      </c>
      <c r="FL91" s="563">
        <f t="shared" si="295"/>
        <v>176.04594</v>
      </c>
      <c r="FM91" s="529"/>
      <c r="FN91" s="564" t="s">
        <v>2649</v>
      </c>
      <c r="FO91" s="740">
        <v>4.7329999999999997E-2</v>
      </c>
      <c r="FP91" s="741">
        <v>0.81824999999999992</v>
      </c>
      <c r="FQ91" s="565" t="s">
        <v>4219</v>
      </c>
      <c r="FR91" s="529"/>
      <c r="FS91" s="867">
        <v>3.29</v>
      </c>
      <c r="FT91" s="566">
        <f>RANK($FS91,$FS$8:$FS$154,0)+COUNTIF($FS$8:$FS91,$FS91)-1</f>
        <v>78</v>
      </c>
      <c r="FU91" s="867">
        <v>4.09</v>
      </c>
      <c r="FV91" s="566">
        <f>RANK($FU91,$FU$8:$FU$154,0)+COUNTIF($FU$8:$FU91,$FU91)-1</f>
        <v>77</v>
      </c>
      <c r="FW91" s="867">
        <v>2.31</v>
      </c>
      <c r="FX91" s="566">
        <f>RANK($FW91,$FW$8:$FW$154,0)+COUNTIF($FW$8:$FW91,$FW91)-1</f>
        <v>60</v>
      </c>
      <c r="FY91" s="529"/>
      <c r="FZ91" s="567" t="s">
        <v>4220</v>
      </c>
      <c r="GA91" s="567" t="s">
        <v>4221</v>
      </c>
      <c r="GB91" s="567" t="s">
        <v>4222</v>
      </c>
      <c r="GC91" s="567" t="s">
        <v>4223</v>
      </c>
      <c r="GD91" s="567" t="s">
        <v>4224</v>
      </c>
      <c r="GE91" s="567" t="s">
        <v>4225</v>
      </c>
      <c r="GF91" s="567" t="str">
        <f>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91" s="529"/>
      <c r="GH91" s="563">
        <f t="shared" si="296"/>
        <v>770.45339699999988</v>
      </c>
      <c r="GI91" s="563">
        <f t="shared" si="227"/>
        <v>585.60515999999996</v>
      </c>
      <c r="GJ91" s="563">
        <f t="shared" si="297"/>
        <v>184.84823699999995</v>
      </c>
      <c r="GK91" s="563">
        <f t="shared" si="298"/>
        <v>107.74094099999999</v>
      </c>
      <c r="GL91" s="563">
        <f t="shared" si="228"/>
        <v>81.334049999999991</v>
      </c>
      <c r="GM91" s="563">
        <f t="shared" si="299"/>
        <v>26.406890999999998</v>
      </c>
      <c r="GN91" s="563">
        <f t="shared" si="300"/>
        <v>90.791317799999987</v>
      </c>
      <c r="GO91" s="563">
        <f t="shared" si="229"/>
        <v>69.665804999999992</v>
      </c>
      <c r="GP91" s="563">
        <f t="shared" si="301"/>
        <v>21.125512799999996</v>
      </c>
      <c r="GQ91" s="563">
        <f t="shared" si="302"/>
        <v>141.91100738181814</v>
      </c>
      <c r="GR91" s="563">
        <f t="shared" si="230"/>
        <v>110.22273818181816</v>
      </c>
      <c r="GS91" s="563">
        <f t="shared" si="303"/>
        <v>31.688269199999993</v>
      </c>
      <c r="GT91" s="563">
        <f t="shared" si="304"/>
        <v>544.83430221818173</v>
      </c>
      <c r="GU91" s="563">
        <f t="shared" si="231"/>
        <v>428.64398181818171</v>
      </c>
      <c r="GV91" s="563">
        <f t="shared" si="305"/>
        <v>116.1903204</v>
      </c>
      <c r="GW91" s="563">
        <f t="shared" si="306"/>
        <v>202.37999956363637</v>
      </c>
      <c r="GX91" s="563">
        <f t="shared" si="232"/>
        <v>153.08713636363638</v>
      </c>
      <c r="GY91" s="563">
        <f t="shared" si="307"/>
        <v>49.292863200000006</v>
      </c>
      <c r="GZ91" s="563">
        <f t="shared" si="308"/>
        <v>54.707343899999991</v>
      </c>
      <c r="HA91" s="563">
        <f t="shared" si="233"/>
        <v>44.144587499999993</v>
      </c>
      <c r="HB91" s="563">
        <f t="shared" si="309"/>
        <v>10.5627564</v>
      </c>
      <c r="HC91" s="563">
        <f t="shared" si="310"/>
        <v>42.206742300000002</v>
      </c>
      <c r="HD91" s="563">
        <f t="shared" si="234"/>
        <v>34.284675</v>
      </c>
      <c r="HE91" s="563">
        <f t="shared" si="311"/>
        <v>7.9220673000000001</v>
      </c>
      <c r="HF91" s="563">
        <f t="shared" si="312"/>
        <v>98.549310681818184</v>
      </c>
      <c r="HG91" s="563">
        <f t="shared" si="235"/>
        <v>76.543568181818188</v>
      </c>
      <c r="HH91" s="563">
        <f t="shared" si="313"/>
        <v>22.0057425</v>
      </c>
      <c r="HI91" s="563">
        <f t="shared" si="314"/>
        <v>27.353671949999995</v>
      </c>
      <c r="HJ91" s="563">
        <f t="shared" si="236"/>
        <v>22.072293749999996</v>
      </c>
      <c r="HK91" s="563">
        <f t="shared" si="315"/>
        <v>5.2813781999999998</v>
      </c>
      <c r="HL91" s="563">
        <f t="shared" si="316"/>
        <v>47.505521999999999</v>
      </c>
      <c r="HM91" s="563">
        <f t="shared" si="237"/>
        <v>38.703224999999996</v>
      </c>
      <c r="HN91" s="563">
        <f t="shared" si="317"/>
        <v>8.8022970000000011</v>
      </c>
      <c r="HO91" s="563">
        <f t="shared" si="318"/>
        <v>529.90240799999992</v>
      </c>
      <c r="HP91" s="563">
        <f t="shared" si="238"/>
        <v>406.67024999999995</v>
      </c>
      <c r="HQ91" s="563">
        <f t="shared" si="319"/>
        <v>123.232158</v>
      </c>
      <c r="HR91" s="563">
        <f t="shared" si="320"/>
        <v>161.19981589090909</v>
      </c>
      <c r="HS91" s="563">
        <f t="shared" si="239"/>
        <v>122.46970909090909</v>
      </c>
      <c r="HT91" s="563">
        <f t="shared" si="321"/>
        <v>38.730106800000001</v>
      </c>
      <c r="HU91" s="563">
        <f t="shared" si="322"/>
        <v>52.786900199999998</v>
      </c>
      <c r="HV91" s="563">
        <f t="shared" si="240"/>
        <v>38.703224999999996</v>
      </c>
      <c r="HW91" s="563">
        <f t="shared" si="323"/>
        <v>14.0836752</v>
      </c>
      <c r="HX91" s="544"/>
      <c r="HY91" s="568">
        <f t="shared" si="324"/>
        <v>6817.5000000000009</v>
      </c>
      <c r="HZ91" s="568">
        <f t="shared" si="325"/>
        <v>340.875</v>
      </c>
      <c r="IA91" s="568">
        <f t="shared" si="326"/>
        <v>2694.4578000000001</v>
      </c>
      <c r="IB91" s="568">
        <f t="shared" si="327"/>
        <v>3153.4573500000001</v>
      </c>
      <c r="IC91" s="568">
        <f t="shared" si="328"/>
        <v>608.30280000000005</v>
      </c>
      <c r="ID91" s="568">
        <f t="shared" si="329"/>
        <v>20.407049999999998</v>
      </c>
      <c r="IE91" s="568">
        <f t="shared" si="330"/>
        <v>2212.1504048863635</v>
      </c>
      <c r="IF91" s="568">
        <f t="shared" si="331"/>
        <v>31.975782674454546</v>
      </c>
      <c r="IG91" s="568">
        <f t="shared" si="332"/>
        <v>596.98026712346586</v>
      </c>
      <c r="IH91" s="568">
        <f t="shared" si="333"/>
        <v>1175.4115989988977</v>
      </c>
      <c r="II91" s="568">
        <f t="shared" si="334"/>
        <v>385.64306148773863</v>
      </c>
      <c r="IJ91" s="568">
        <f t="shared" si="335"/>
        <v>22.139694601806813</v>
      </c>
      <c r="IK91" s="868">
        <v>3.6</v>
      </c>
      <c r="IL91" s="569" t="s">
        <v>2780</v>
      </c>
      <c r="IM91" s="570" t="s">
        <v>4226</v>
      </c>
      <c r="IN91" s="529"/>
      <c r="IO91" s="742">
        <v>4.7899999999999998E-2</v>
      </c>
      <c r="IP91" s="742">
        <v>0.39500000000000002</v>
      </c>
      <c r="IQ91" s="742">
        <v>0.46550000000000002</v>
      </c>
      <c r="IR91" s="742">
        <v>8.8700000000000001E-2</v>
      </c>
      <c r="IS91" s="742">
        <v>2.8999999999999998E-3</v>
      </c>
      <c r="IT91" s="742">
        <v>1.29E-2</v>
      </c>
      <c r="IU91" s="742">
        <v>0.26700000000000002</v>
      </c>
      <c r="IV91" s="742">
        <v>0.53559999999999997</v>
      </c>
      <c r="IW91" s="742">
        <v>0.17469999999999999</v>
      </c>
      <c r="IX91" s="742">
        <v>9.7999999999999997E-3</v>
      </c>
      <c r="IY91" s="742">
        <v>3.7400000000000003E-2</v>
      </c>
      <c r="IZ91" s="742">
        <v>0.36580000000000001</v>
      </c>
      <c r="JA91" s="742">
        <v>0.48749999999999999</v>
      </c>
      <c r="JB91" s="742">
        <v>0.10539999999999999</v>
      </c>
      <c r="JC91" s="742">
        <v>3.8999999999999998E-3</v>
      </c>
      <c r="JD91" s="742">
        <v>8.0999999999999996E-3</v>
      </c>
      <c r="JE91" s="742">
        <v>0.23830000000000001</v>
      </c>
      <c r="JF91" s="742">
        <v>0.54090000000000005</v>
      </c>
      <c r="JG91" s="742">
        <v>0.2</v>
      </c>
      <c r="JH91" s="742">
        <v>1.2699999999999999E-2</v>
      </c>
      <c r="JI91" s="742">
        <v>0.11459999999999999</v>
      </c>
      <c r="JJ91" s="742">
        <v>0.49880000000000002</v>
      </c>
      <c r="JK91" s="742">
        <v>0.3473</v>
      </c>
      <c r="JL91" s="742">
        <v>3.8600000000000002E-2</v>
      </c>
      <c r="JM91" s="742">
        <v>6.9999999999999999E-4</v>
      </c>
      <c r="JN91" s="742">
        <v>4.7800000000000002E-2</v>
      </c>
      <c r="JO91" s="742">
        <v>0.3947</v>
      </c>
      <c r="JP91" s="742">
        <v>0.4657</v>
      </c>
      <c r="JQ91" s="742">
        <v>8.8900000000000007E-2</v>
      </c>
      <c r="JR91" s="742">
        <v>2.8999999999999998E-3</v>
      </c>
      <c r="JS91" s="742">
        <v>4.9599999999999998E-2</v>
      </c>
      <c r="JT91" s="742">
        <v>0.39910000000000001</v>
      </c>
      <c r="JU91" s="742">
        <v>0.46200000000000002</v>
      </c>
      <c r="JV91" s="742">
        <v>8.6499999999999994E-2</v>
      </c>
      <c r="JW91" s="742">
        <v>2.8E-3</v>
      </c>
      <c r="JX91" s="742">
        <v>1.37E-2</v>
      </c>
      <c r="JY91" s="742">
        <v>0.2712</v>
      </c>
      <c r="JZ91" s="742">
        <v>0.5343</v>
      </c>
      <c r="KA91" s="742">
        <v>0.17130000000000001</v>
      </c>
      <c r="KB91" s="742">
        <v>9.4999999999999998E-3</v>
      </c>
      <c r="KC91" s="657"/>
      <c r="KD91" s="832" t="s">
        <v>2591</v>
      </c>
      <c r="KE91" s="832" t="s">
        <v>2591</v>
      </c>
      <c r="KF91" s="869">
        <v>3.68</v>
      </c>
      <c r="KG91" s="832" t="s">
        <v>2626</v>
      </c>
      <c r="KH91" s="833" t="s">
        <v>4227</v>
      </c>
      <c r="KI91" s="832" t="s">
        <v>2704</v>
      </c>
      <c r="KJ91" s="833" t="s">
        <v>4228</v>
      </c>
    </row>
    <row r="92" spans="1:296" ht="48" hidden="1" customHeight="1">
      <c r="A92" s="273">
        <f t="shared" si="336"/>
        <v>85</v>
      </c>
      <c r="B92" s="274" t="s">
        <v>4135</v>
      </c>
      <c r="C92" s="274" t="s">
        <v>4229</v>
      </c>
      <c r="D92" s="274" t="s">
        <v>1488</v>
      </c>
      <c r="E92" s="275" t="s">
        <v>4230</v>
      </c>
      <c r="F92" s="275" t="s">
        <v>3009</v>
      </c>
      <c r="G92" s="275" t="s">
        <v>300</v>
      </c>
      <c r="H92" s="275" t="s">
        <v>2109</v>
      </c>
      <c r="I92" s="276" t="s">
        <v>4231</v>
      </c>
      <c r="J92" s="276" t="s">
        <v>4232</v>
      </c>
      <c r="K92" s="277" t="s">
        <v>2109</v>
      </c>
      <c r="L92" s="277" t="s">
        <v>2109</v>
      </c>
      <c r="M92" s="277" t="s">
        <v>2603</v>
      </c>
      <c r="N92" s="277" t="s">
        <v>2099</v>
      </c>
      <c r="O92" s="275" t="s">
        <v>2616</v>
      </c>
      <c r="P92" s="276"/>
      <c r="Q92" s="270">
        <v>1</v>
      </c>
      <c r="R92" s="278">
        <v>1500</v>
      </c>
      <c r="S92" s="279">
        <v>300</v>
      </c>
      <c r="T92" s="279">
        <v>320</v>
      </c>
      <c r="U92" s="279">
        <v>340</v>
      </c>
      <c r="V92" s="279">
        <v>360</v>
      </c>
      <c r="W92" s="279">
        <f>V92+4</f>
        <v>364</v>
      </c>
      <c r="X92" s="279">
        <f>W92+4</f>
        <v>368</v>
      </c>
      <c r="Y92" s="279">
        <f>X92+4</f>
        <v>372</v>
      </c>
      <c r="Z92" s="279">
        <f>Y92+4</f>
        <v>376</v>
      </c>
      <c r="AA92" s="279">
        <v>380</v>
      </c>
      <c r="AB92" s="279">
        <f>AA92+4</f>
        <v>384</v>
      </c>
      <c r="AC92" s="279">
        <f>AB92+4</f>
        <v>388</v>
      </c>
      <c r="AD92" s="279">
        <f>AC92+4</f>
        <v>392</v>
      </c>
      <c r="AE92" s="279">
        <f>AD92+4</f>
        <v>396</v>
      </c>
      <c r="AF92" s="279">
        <v>400</v>
      </c>
      <c r="AG92" s="279">
        <f>AF92+4</f>
        <v>404</v>
      </c>
      <c r="AH92" s="279">
        <f>AG92+4</f>
        <v>408</v>
      </c>
      <c r="AI92" s="279">
        <f>AH92+4</f>
        <v>412</v>
      </c>
      <c r="AJ92" s="279">
        <f>AI92+4</f>
        <v>416</v>
      </c>
      <c r="AK92" s="279">
        <v>420</v>
      </c>
      <c r="AL92" s="276" t="s">
        <v>2124</v>
      </c>
      <c r="AM92" s="276" t="s">
        <v>4233</v>
      </c>
      <c r="AN92" s="276" t="s">
        <v>3823</v>
      </c>
      <c r="AO92" s="657"/>
      <c r="AP92" s="278">
        <v>120</v>
      </c>
      <c r="AQ92" s="278">
        <v>98</v>
      </c>
      <c r="AR92" s="278">
        <v>18</v>
      </c>
      <c r="AS92" s="278">
        <v>4</v>
      </c>
      <c r="AT92" s="657"/>
      <c r="AU92" s="281" t="s">
        <v>4234</v>
      </c>
      <c r="AV92" s="296" t="s">
        <v>4235</v>
      </c>
      <c r="AW92" s="296" t="s">
        <v>2917</v>
      </c>
      <c r="AX92" s="276" t="s">
        <v>4197</v>
      </c>
      <c r="AY92" s="657"/>
      <c r="AZ92" s="947">
        <v>5</v>
      </c>
      <c r="BA92" s="947">
        <v>4</v>
      </c>
      <c r="BB92" s="947">
        <v>1</v>
      </c>
      <c r="BC92" s="947">
        <v>5</v>
      </c>
      <c r="BD92" s="826">
        <f t="shared" si="241"/>
        <v>6000</v>
      </c>
      <c r="BE92" s="283">
        <f t="shared" si="242"/>
        <v>2000</v>
      </c>
      <c r="BF92" s="283">
        <f t="shared" si="243"/>
        <v>1600</v>
      </c>
      <c r="BG92" s="283">
        <f t="shared" si="244"/>
        <v>400</v>
      </c>
      <c r="BH92" s="283">
        <f t="shared" si="245"/>
        <v>2000</v>
      </c>
      <c r="BI92" s="826">
        <f t="shared" si="246"/>
        <v>6300</v>
      </c>
      <c r="BJ92" s="283">
        <f t="shared" si="247"/>
        <v>2100</v>
      </c>
      <c r="BK92" s="283">
        <f t="shared" si="248"/>
        <v>1680</v>
      </c>
      <c r="BL92" s="283">
        <f t="shared" si="249"/>
        <v>420</v>
      </c>
      <c r="BM92" s="283">
        <f t="shared" si="250"/>
        <v>2100</v>
      </c>
      <c r="BN92" s="657"/>
      <c r="BO92" s="305">
        <v>0.72</v>
      </c>
      <c r="BP92" s="305">
        <v>0.12</v>
      </c>
      <c r="BQ92" s="305">
        <v>0.06</v>
      </c>
      <c r="BR92" s="581">
        <v>0.1</v>
      </c>
      <c r="BS92" s="706">
        <v>0.7</v>
      </c>
      <c r="BT92" s="305">
        <v>0.12</v>
      </c>
      <c r="BU92" s="305">
        <v>0.08</v>
      </c>
      <c r="BV92" s="581">
        <v>0.1</v>
      </c>
      <c r="BW92" s="713">
        <v>0.75</v>
      </c>
      <c r="BX92" s="306">
        <v>0.18</v>
      </c>
      <c r="BY92" s="590">
        <v>7.0000000000000007E-2</v>
      </c>
      <c r="BZ92" s="713">
        <v>0.7</v>
      </c>
      <c r="CA92" s="306">
        <v>0.21</v>
      </c>
      <c r="CB92" s="590">
        <v>0.09</v>
      </c>
      <c r="CC92" s="706">
        <v>0.15</v>
      </c>
      <c r="CD92" s="305">
        <v>0.45</v>
      </c>
      <c r="CE92" s="305">
        <v>0.2</v>
      </c>
      <c r="CF92" s="581">
        <v>0.2</v>
      </c>
      <c r="CG92" s="706">
        <v>0.13</v>
      </c>
      <c r="CH92" s="305">
        <v>0.45</v>
      </c>
      <c r="CI92" s="305">
        <v>0.23</v>
      </c>
      <c r="CJ92" s="581">
        <v>0.19</v>
      </c>
      <c r="CK92" s="719">
        <v>0.65</v>
      </c>
      <c r="CL92" s="307">
        <v>0.25</v>
      </c>
      <c r="CM92" s="723">
        <v>0.1</v>
      </c>
      <c r="CN92" s="719">
        <v>0.6</v>
      </c>
      <c r="CO92" s="307">
        <v>0.27</v>
      </c>
      <c r="CP92" s="723">
        <v>0.13</v>
      </c>
      <c r="CQ92" s="657"/>
      <c r="CR92" s="804">
        <v>12</v>
      </c>
      <c r="CS92" s="805">
        <v>12</v>
      </c>
      <c r="CT92" s="805">
        <v>9</v>
      </c>
      <c r="CU92" s="806">
        <v>11</v>
      </c>
      <c r="CV92" s="804">
        <v>10</v>
      </c>
      <c r="CW92" s="805">
        <v>10</v>
      </c>
      <c r="CX92" s="806">
        <v>8</v>
      </c>
      <c r="CY92" s="804">
        <v>10</v>
      </c>
      <c r="CZ92" s="805">
        <v>11</v>
      </c>
      <c r="DA92" s="805">
        <v>8</v>
      </c>
      <c r="DB92" s="806">
        <v>9</v>
      </c>
      <c r="DC92" s="804">
        <v>11</v>
      </c>
      <c r="DD92" s="805">
        <v>11</v>
      </c>
      <c r="DE92" s="806">
        <v>9</v>
      </c>
      <c r="DF92" s="609" t="s">
        <v>4236</v>
      </c>
      <c r="DG92" s="657"/>
      <c r="DH92" s="308">
        <f t="shared" si="251"/>
        <v>1440</v>
      </c>
      <c r="DI92" s="308">
        <f t="shared" si="252"/>
        <v>240</v>
      </c>
      <c r="DJ92" s="308">
        <f t="shared" si="253"/>
        <v>120</v>
      </c>
      <c r="DK92" s="308">
        <f t="shared" si="254"/>
        <v>200</v>
      </c>
      <c r="DL92" s="287" t="s">
        <v>4237</v>
      </c>
      <c r="DM92" s="308">
        <f t="shared" si="255"/>
        <v>1470</v>
      </c>
      <c r="DN92" s="308">
        <f t="shared" si="256"/>
        <v>252</v>
      </c>
      <c r="DO92" s="308">
        <f t="shared" si="257"/>
        <v>168</v>
      </c>
      <c r="DP92" s="308">
        <f t="shared" si="258"/>
        <v>210</v>
      </c>
      <c r="DQ92" s="289" t="s">
        <v>4238</v>
      </c>
      <c r="DR92" s="657"/>
      <c r="DS92" s="308">
        <f t="shared" si="259"/>
        <v>1200</v>
      </c>
      <c r="DT92" s="308">
        <f t="shared" si="260"/>
        <v>288</v>
      </c>
      <c r="DU92" s="308">
        <f t="shared" si="261"/>
        <v>112.00000000000001</v>
      </c>
      <c r="DV92" s="289" t="s">
        <v>4239</v>
      </c>
      <c r="DW92" s="308">
        <f t="shared" si="262"/>
        <v>1176</v>
      </c>
      <c r="DX92" s="308">
        <f t="shared" si="263"/>
        <v>352.8</v>
      </c>
      <c r="DY92" s="308">
        <f t="shared" si="264"/>
        <v>151.19999999999999</v>
      </c>
      <c r="DZ92" s="289" t="s">
        <v>4240</v>
      </c>
      <c r="EA92" s="657"/>
      <c r="EB92" s="308">
        <f t="shared" si="265"/>
        <v>60</v>
      </c>
      <c r="EC92" s="308">
        <f t="shared" si="266"/>
        <v>180</v>
      </c>
      <c r="ED92" s="308">
        <f t="shared" si="267"/>
        <v>80</v>
      </c>
      <c r="EE92" s="308">
        <f t="shared" si="268"/>
        <v>80</v>
      </c>
      <c r="EF92" s="289" t="s">
        <v>4241</v>
      </c>
      <c r="EG92" s="308">
        <f t="shared" si="269"/>
        <v>54.6</v>
      </c>
      <c r="EH92" s="308">
        <f t="shared" si="270"/>
        <v>189</v>
      </c>
      <c r="EI92" s="308">
        <f t="shared" si="271"/>
        <v>96.600000000000009</v>
      </c>
      <c r="EJ92" s="308">
        <f t="shared" si="272"/>
        <v>79.8</v>
      </c>
      <c r="EK92" s="309" t="s">
        <v>4242</v>
      </c>
      <c r="EL92" s="657"/>
      <c r="EM92" s="308">
        <f t="shared" si="273"/>
        <v>1300</v>
      </c>
      <c r="EN92" s="310">
        <f t="shared" si="274"/>
        <v>500</v>
      </c>
      <c r="EO92" s="310">
        <f t="shared" si="275"/>
        <v>200</v>
      </c>
      <c r="EP92" s="289" t="s">
        <v>4243</v>
      </c>
      <c r="EQ92" s="308">
        <f t="shared" si="276"/>
        <v>1260</v>
      </c>
      <c r="ER92" s="310">
        <f t="shared" si="277"/>
        <v>567</v>
      </c>
      <c r="ES92" s="310">
        <f t="shared" si="278"/>
        <v>273</v>
      </c>
      <c r="ET92" s="289" t="s">
        <v>4244</v>
      </c>
      <c r="EU92" s="657"/>
      <c r="EV92" s="728">
        <f t="shared" si="279"/>
        <v>0.79105864186191477</v>
      </c>
      <c r="EW92" s="728">
        <f t="shared" si="280"/>
        <v>0.20894135813808515</v>
      </c>
      <c r="EX92" s="311">
        <f t="shared" si="281"/>
        <v>2674.626052878788</v>
      </c>
      <c r="EY92" s="311">
        <f t="shared" si="282"/>
        <v>2115.7860528787878</v>
      </c>
      <c r="EZ92" s="311">
        <f t="shared" si="283"/>
        <v>558.83999999999992</v>
      </c>
      <c r="FA92" s="311">
        <f t="shared" si="284"/>
        <v>822.63550454545452</v>
      </c>
      <c r="FB92" s="311">
        <f t="shared" si="285"/>
        <v>636.35550454545455</v>
      </c>
      <c r="FC92" s="311">
        <f t="shared" si="286"/>
        <v>186.28</v>
      </c>
      <c r="FD92" s="311">
        <f t="shared" si="287"/>
        <v>769.60116499999992</v>
      </c>
      <c r="FE92" s="311">
        <f t="shared" si="288"/>
        <v>620.57716499999992</v>
      </c>
      <c r="FF92" s="311">
        <f t="shared" si="289"/>
        <v>149.024</v>
      </c>
      <c r="FG92" s="311">
        <f t="shared" si="290"/>
        <v>194.72862575757574</v>
      </c>
      <c r="FH92" s="311">
        <f t="shared" si="291"/>
        <v>157.47262575757574</v>
      </c>
      <c r="FI92" s="311">
        <f t="shared" si="292"/>
        <v>37.256</v>
      </c>
      <c r="FJ92" s="311">
        <f t="shared" si="293"/>
        <v>887.66075757575732</v>
      </c>
      <c r="FK92" s="311">
        <f t="shared" si="294"/>
        <v>701.38075757575734</v>
      </c>
      <c r="FL92" s="311">
        <f t="shared" si="295"/>
        <v>186.28</v>
      </c>
      <c r="FM92" s="657"/>
      <c r="FN92" s="293" t="s">
        <v>2649</v>
      </c>
      <c r="FO92" s="728">
        <v>4.3139999999999998E-2</v>
      </c>
      <c r="FP92" s="729">
        <v>0.81824999999999992</v>
      </c>
      <c r="FQ92" s="294" t="s">
        <v>4219</v>
      </c>
      <c r="FR92" s="657"/>
      <c r="FS92" s="865">
        <v>2.91</v>
      </c>
      <c r="FT92" s="312">
        <f>RANK($FS92,$FS$8:$FS$154,0)+COUNTIF($FS$8:$FS92,$FS92)-1</f>
        <v>132</v>
      </c>
      <c r="FU92" s="865">
        <v>3.96</v>
      </c>
      <c r="FV92" s="312">
        <f>RANK($FU92,$FU$8:$FU$154,0)+COUNTIF($FU$8:$FU92,$FU92)-1</f>
        <v>88</v>
      </c>
      <c r="FW92" s="865">
        <v>1.62</v>
      </c>
      <c r="FX92" s="312">
        <f>RANK($FW92,$FW$8:$FW$154,0)+COUNTIF($FW$8:$FW92,$FW92)-1</f>
        <v>135</v>
      </c>
      <c r="FY92" s="657"/>
      <c r="FZ92" s="296" t="s">
        <v>4245</v>
      </c>
      <c r="GA92" s="296" t="s">
        <v>4246</v>
      </c>
      <c r="GB92" s="296" t="s">
        <v>4247</v>
      </c>
      <c r="GC92" s="296" t="s">
        <v>4248</v>
      </c>
      <c r="GD92" s="296" t="s">
        <v>4249</v>
      </c>
      <c r="GE92" s="296" t="s">
        <v>4250</v>
      </c>
      <c r="GF92" s="296" t="str">
        <f>HYPERLINK("https://www.atout-france.fr/fr/catalogue/etudes-publications/investissements-touristiques-et-developpement-des-territoires-en-1","https://www.atout-france.fr/fr/catalogue/etudes-publications/investissements-touristiques-et-developpement-des-territoires-en-1")&amp;CHAR(10)&amp;HYPERLINK("https://www.atout-france.fr/fr/actualites/investissements-touristiques-vers-un-nouveau-cycle-plus-selectif-et-durable","https://www.atout-france.fr/fr/actualites/investissements-touristiques-vers-un-nouveau-cycle-plus-selectif-et-durable")&amp;CHAR(10)&amp;HYPERLINK("https://www.atout-france.fr/fr/actualites/bilan-touristique-de-lannee-2025-avec-102-millions-de-visiteurs-la-france-pays-le-plus","https://www.atout-france.fr/fr/actualites/bilan-touristique-de-lannee-2025-avec-102-millions-de-visiteurs-la-france-pays-le-plus")&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
https://www.statistiques.developpement-durable.gouv.fr/construction-de-locaux-resultats-fin-janvier-2026-france-entiere
https://www.insee.fr/fr/statistiques/8671745
https://www.insee.fr/fr/statistiques/8906564</v>
      </c>
      <c r="GG92" s="657"/>
      <c r="GH92" s="311">
        <f t="shared" si="296"/>
        <v>573.23289999999997</v>
      </c>
      <c r="GI92" s="311">
        <f t="shared" si="227"/>
        <v>442.83690000000001</v>
      </c>
      <c r="GJ92" s="311">
        <f t="shared" si="297"/>
        <v>130.39599999999999</v>
      </c>
      <c r="GK92" s="311">
        <f t="shared" si="298"/>
        <v>96.159749999999988</v>
      </c>
      <c r="GL92" s="311">
        <f t="shared" si="228"/>
        <v>73.806149999999988</v>
      </c>
      <c r="GM92" s="311">
        <f t="shared" si="299"/>
        <v>22.3536</v>
      </c>
      <c r="GN92" s="311">
        <f t="shared" si="300"/>
        <v>66.179400000000001</v>
      </c>
      <c r="GO92" s="311">
        <f t="shared" si="229"/>
        <v>51.277000000000001</v>
      </c>
      <c r="GP92" s="311">
        <f t="shared" si="301"/>
        <v>14.9024</v>
      </c>
      <c r="GQ92" s="311">
        <f t="shared" si="302"/>
        <v>87.063454545454547</v>
      </c>
      <c r="GR92" s="311">
        <f t="shared" si="230"/>
        <v>68.435454545454547</v>
      </c>
      <c r="GS92" s="311">
        <f t="shared" si="303"/>
        <v>18.628</v>
      </c>
      <c r="GT92" s="311">
        <f t="shared" si="304"/>
        <v>560.9002999999999</v>
      </c>
      <c r="GU92" s="311">
        <f t="shared" si="231"/>
        <v>456.5834999999999</v>
      </c>
      <c r="GV92" s="311">
        <f t="shared" si="305"/>
        <v>104.3168</v>
      </c>
      <c r="GW92" s="311">
        <f t="shared" si="306"/>
        <v>140.87508</v>
      </c>
      <c r="GX92" s="311">
        <f t="shared" si="232"/>
        <v>109.58004</v>
      </c>
      <c r="GY92" s="311">
        <f t="shared" si="307"/>
        <v>31.29504</v>
      </c>
      <c r="GZ92" s="311">
        <f t="shared" si="308"/>
        <v>67.825784999999996</v>
      </c>
      <c r="HA92" s="311">
        <f t="shared" si="233"/>
        <v>54.413625000000003</v>
      </c>
      <c r="HB92" s="311">
        <f t="shared" si="309"/>
        <v>13.41216</v>
      </c>
      <c r="HC92" s="311">
        <f t="shared" si="310"/>
        <v>27.672454999999996</v>
      </c>
      <c r="HD92" s="311">
        <f t="shared" si="234"/>
        <v>22.829174999999996</v>
      </c>
      <c r="HE92" s="311">
        <f t="shared" si="311"/>
        <v>4.84328</v>
      </c>
      <c r="HF92" s="311">
        <f t="shared" si="312"/>
        <v>78.357109090909091</v>
      </c>
      <c r="HG92" s="311">
        <f t="shared" si="235"/>
        <v>61.591909090909084</v>
      </c>
      <c r="HH92" s="311">
        <f t="shared" si="313"/>
        <v>16.7652</v>
      </c>
      <c r="HI92" s="311">
        <f t="shared" si="314"/>
        <v>47.435754999999993</v>
      </c>
      <c r="HJ92" s="311">
        <f t="shared" si="236"/>
        <v>38.866874999999993</v>
      </c>
      <c r="HK92" s="311">
        <f t="shared" si="315"/>
        <v>8.5688800000000001</v>
      </c>
      <c r="HL92" s="311">
        <f t="shared" si="316"/>
        <v>41.263306666666665</v>
      </c>
      <c r="HM92" s="311">
        <f t="shared" si="237"/>
        <v>34.184666666666665</v>
      </c>
      <c r="HN92" s="311">
        <f t="shared" si="317"/>
        <v>7.07864</v>
      </c>
      <c r="HO92" s="311">
        <f t="shared" si="318"/>
        <v>556.5984545454545</v>
      </c>
      <c r="HP92" s="311">
        <f t="shared" si="238"/>
        <v>444.83045454545447</v>
      </c>
      <c r="HQ92" s="311">
        <f t="shared" si="319"/>
        <v>111.768</v>
      </c>
      <c r="HR92" s="311">
        <f t="shared" si="320"/>
        <v>221.38423636363632</v>
      </c>
      <c r="HS92" s="311">
        <f t="shared" si="239"/>
        <v>171.08863636363631</v>
      </c>
      <c r="HT92" s="311">
        <f t="shared" si="321"/>
        <v>50.2956</v>
      </c>
      <c r="HU92" s="311">
        <f t="shared" si="322"/>
        <v>109.67806666666664</v>
      </c>
      <c r="HV92" s="311">
        <f t="shared" si="240"/>
        <v>85.461666666666645</v>
      </c>
      <c r="HW92" s="311">
        <f t="shared" si="323"/>
        <v>24.2164</v>
      </c>
      <c r="HY92" s="313">
        <f t="shared" si="324"/>
        <v>6000</v>
      </c>
      <c r="HZ92" s="313">
        <f t="shared" si="325"/>
        <v>0</v>
      </c>
      <c r="IA92" s="313">
        <f t="shared" si="326"/>
        <v>8.16</v>
      </c>
      <c r="IB92" s="313">
        <f t="shared" si="327"/>
        <v>1692.76</v>
      </c>
      <c r="IC92" s="313">
        <f t="shared" si="328"/>
        <v>3242.04</v>
      </c>
      <c r="ID92" s="313">
        <f t="shared" si="329"/>
        <v>1057.04</v>
      </c>
      <c r="IE92" s="313">
        <f t="shared" si="330"/>
        <v>2115.7860528787874</v>
      </c>
      <c r="IF92" s="313">
        <f t="shared" si="331"/>
        <v>0</v>
      </c>
      <c r="IG92" s="313">
        <f t="shared" si="332"/>
        <v>0</v>
      </c>
      <c r="IH92" s="313">
        <f t="shared" si="333"/>
        <v>423.08342631187872</v>
      </c>
      <c r="II92" s="313">
        <f t="shared" si="334"/>
        <v>1171.094337707515</v>
      </c>
      <c r="IJ92" s="313">
        <f t="shared" si="335"/>
        <v>521.60828885939384</v>
      </c>
      <c r="IK92" s="866">
        <v>3.7</v>
      </c>
      <c r="IL92" s="314" t="s">
        <v>2780</v>
      </c>
      <c r="IM92" s="299" t="s">
        <v>4251</v>
      </c>
      <c r="IN92" s="657"/>
      <c r="IO92" s="730">
        <v>0</v>
      </c>
      <c r="IP92" s="730">
        <v>0</v>
      </c>
      <c r="IQ92" s="730">
        <v>0.28039999999999998</v>
      </c>
      <c r="IR92" s="730">
        <v>0.53959999999999997</v>
      </c>
      <c r="IS92" s="730">
        <v>0.18</v>
      </c>
      <c r="IT92" s="730">
        <v>0</v>
      </c>
      <c r="IU92" s="730">
        <v>0</v>
      </c>
      <c r="IV92" s="730">
        <v>0.19570000000000001</v>
      </c>
      <c r="IW92" s="730">
        <v>0.55430000000000001</v>
      </c>
      <c r="IX92" s="730">
        <v>0.25</v>
      </c>
      <c r="IY92" s="730">
        <v>0</v>
      </c>
      <c r="IZ92" s="730">
        <v>0</v>
      </c>
      <c r="JA92" s="730">
        <v>0.25330000000000003</v>
      </c>
      <c r="JB92" s="730">
        <v>0.56669999999999998</v>
      </c>
      <c r="JC92" s="730">
        <v>0.18</v>
      </c>
      <c r="JD92" s="730">
        <v>0</v>
      </c>
      <c r="JE92" s="730">
        <v>0</v>
      </c>
      <c r="JF92" s="730">
        <v>0.18360000000000001</v>
      </c>
      <c r="JG92" s="730">
        <v>0.56640000000000001</v>
      </c>
      <c r="JH92" s="730">
        <v>0.25</v>
      </c>
      <c r="JI92" s="730">
        <v>0</v>
      </c>
      <c r="JJ92" s="730">
        <v>2.0400000000000001E-2</v>
      </c>
      <c r="JK92" s="730">
        <v>0.4022</v>
      </c>
      <c r="JL92" s="730">
        <v>0.45479999999999998</v>
      </c>
      <c r="JM92" s="730">
        <v>0.1226</v>
      </c>
      <c r="JN92" s="730">
        <v>0</v>
      </c>
      <c r="JO92" s="730">
        <v>0</v>
      </c>
      <c r="JP92" s="730">
        <v>0.2949</v>
      </c>
      <c r="JQ92" s="730">
        <v>0.50170000000000003</v>
      </c>
      <c r="JR92" s="730">
        <v>0.2034</v>
      </c>
      <c r="JS92" s="730">
        <v>0</v>
      </c>
      <c r="JT92" s="730">
        <v>0</v>
      </c>
      <c r="JU92" s="730">
        <v>0.28289999999999998</v>
      </c>
      <c r="JV92" s="730">
        <v>0.53710000000000002</v>
      </c>
      <c r="JW92" s="730">
        <v>0.18</v>
      </c>
      <c r="JX92" s="730">
        <v>0</v>
      </c>
      <c r="JY92" s="730">
        <v>0</v>
      </c>
      <c r="JZ92" s="730">
        <v>0.19700000000000001</v>
      </c>
      <c r="KA92" s="730">
        <v>0.55300000000000005</v>
      </c>
      <c r="KB92" s="730">
        <v>0.25</v>
      </c>
      <c r="KC92" s="657"/>
      <c r="KD92" s="314" t="s">
        <v>2591</v>
      </c>
      <c r="KE92" s="314" t="s">
        <v>2591</v>
      </c>
      <c r="KF92" s="866">
        <v>3.7</v>
      </c>
      <c r="KG92" s="314" t="s">
        <v>2626</v>
      </c>
      <c r="KH92" s="315" t="s">
        <v>4252</v>
      </c>
      <c r="KI92" s="314" t="s">
        <v>2932</v>
      </c>
      <c r="KJ92" s="315" t="s">
        <v>4253</v>
      </c>
    </row>
    <row r="93" spans="1:296" ht="48" hidden="1" customHeight="1">
      <c r="A93" s="265">
        <f t="shared" si="336"/>
        <v>86</v>
      </c>
      <c r="B93" s="266" t="s">
        <v>4135</v>
      </c>
      <c r="C93" s="266" t="s">
        <v>4229</v>
      </c>
      <c r="D93" s="624" t="s">
        <v>1511</v>
      </c>
      <c r="E93" s="267" t="s">
        <v>4254</v>
      </c>
      <c r="F93" s="267" t="s">
        <v>3009</v>
      </c>
      <c r="G93" s="267" t="s">
        <v>300</v>
      </c>
      <c r="H93" s="267" t="s">
        <v>2109</v>
      </c>
      <c r="I93" s="268" t="s">
        <v>4255</v>
      </c>
      <c r="J93" s="268" t="s">
        <v>4256</v>
      </c>
      <c r="K93" s="269" t="s">
        <v>2109</v>
      </c>
      <c r="L93" s="269" t="s">
        <v>2109</v>
      </c>
      <c r="M93" s="269" t="s">
        <v>2603</v>
      </c>
      <c r="N93" s="269" t="s">
        <v>2099</v>
      </c>
      <c r="O93" s="267" t="s">
        <v>2616</v>
      </c>
      <c r="P93" s="268"/>
      <c r="Q93" s="270">
        <v>1</v>
      </c>
      <c r="R93" s="271">
        <v>400</v>
      </c>
      <c r="S93" s="272">
        <v>250</v>
      </c>
      <c r="T93" s="272">
        <v>260</v>
      </c>
      <c r="U93" s="272">
        <v>270</v>
      </c>
      <c r="V93" s="272">
        <v>280</v>
      </c>
      <c r="W93" s="272">
        <f>V93+2</f>
        <v>282</v>
      </c>
      <c r="X93" s="272">
        <f>W93+2</f>
        <v>284</v>
      </c>
      <c r="Y93" s="272">
        <f>X93+2</f>
        <v>286</v>
      </c>
      <c r="Z93" s="272">
        <f>Y93+2</f>
        <v>288</v>
      </c>
      <c r="AA93" s="272">
        <v>290</v>
      </c>
      <c r="AB93" s="272">
        <f>AA93+2</f>
        <v>292</v>
      </c>
      <c r="AC93" s="272">
        <f>AB93+2</f>
        <v>294</v>
      </c>
      <c r="AD93" s="272">
        <f>AC93+2</f>
        <v>296</v>
      </c>
      <c r="AE93" s="272">
        <f>AD93+2</f>
        <v>298</v>
      </c>
      <c r="AF93" s="272">
        <v>300</v>
      </c>
      <c r="AG93" s="272">
        <f>AF93+2</f>
        <v>302</v>
      </c>
      <c r="AH93" s="272">
        <f>AG93+2</f>
        <v>304</v>
      </c>
      <c r="AI93" s="272">
        <f>AH93+2</f>
        <v>306</v>
      </c>
      <c r="AJ93" s="272">
        <f>AI93+2</f>
        <v>308</v>
      </c>
      <c r="AK93" s="272">
        <v>310</v>
      </c>
      <c r="AL93" s="268" t="s">
        <v>2124</v>
      </c>
      <c r="AM93" s="268" t="s">
        <v>4257</v>
      </c>
      <c r="AN93" s="268" t="s">
        <v>3823</v>
      </c>
      <c r="AO93" s="657"/>
      <c r="AP93" s="271">
        <v>45</v>
      </c>
      <c r="AQ93" s="280">
        <v>40</v>
      </c>
      <c r="AR93" s="280">
        <v>4</v>
      </c>
      <c r="AS93" s="280">
        <v>1</v>
      </c>
      <c r="AT93" s="657"/>
      <c r="AU93" s="301" t="s">
        <v>4258</v>
      </c>
      <c r="AV93" s="572" t="s">
        <v>4259</v>
      </c>
      <c r="AW93" s="645" t="s">
        <v>4260</v>
      </c>
      <c r="AX93" s="290" t="s">
        <v>4197</v>
      </c>
      <c r="AY93" s="657"/>
      <c r="AZ93" s="948">
        <v>4</v>
      </c>
      <c r="BA93" s="948">
        <v>4</v>
      </c>
      <c r="BB93" s="948">
        <v>0.5</v>
      </c>
      <c r="BC93" s="948">
        <v>4</v>
      </c>
      <c r="BD93" s="825">
        <f t="shared" si="241"/>
        <v>3750</v>
      </c>
      <c r="BE93" s="304">
        <f t="shared" si="242"/>
        <v>1200</v>
      </c>
      <c r="BF93" s="304">
        <f t="shared" si="243"/>
        <v>1200</v>
      </c>
      <c r="BG93" s="304">
        <f t="shared" si="244"/>
        <v>150</v>
      </c>
      <c r="BH93" s="304">
        <f t="shared" si="245"/>
        <v>1200</v>
      </c>
      <c r="BI93" s="825">
        <f t="shared" si="246"/>
        <v>3875</v>
      </c>
      <c r="BJ93" s="304">
        <f t="shared" si="247"/>
        <v>1240</v>
      </c>
      <c r="BK93" s="304">
        <f t="shared" si="248"/>
        <v>1240</v>
      </c>
      <c r="BL93" s="304">
        <f t="shared" si="249"/>
        <v>155</v>
      </c>
      <c r="BM93" s="304">
        <f t="shared" si="250"/>
        <v>1240</v>
      </c>
      <c r="BN93" s="657"/>
      <c r="BO93" s="284">
        <v>0.72</v>
      </c>
      <c r="BP93" s="284">
        <v>0.18</v>
      </c>
      <c r="BQ93" s="284">
        <v>0.02</v>
      </c>
      <c r="BR93" s="710">
        <v>0.08</v>
      </c>
      <c r="BS93" s="707">
        <v>0.7</v>
      </c>
      <c r="BT93" s="284">
        <v>0.18</v>
      </c>
      <c r="BU93" s="284">
        <v>0.04</v>
      </c>
      <c r="BV93" s="710">
        <v>0.08</v>
      </c>
      <c r="BW93" s="714">
        <v>0.85</v>
      </c>
      <c r="BX93" s="285">
        <v>0.12</v>
      </c>
      <c r="BY93" s="717">
        <v>0.03</v>
      </c>
      <c r="BZ93" s="714">
        <v>0.82</v>
      </c>
      <c r="CA93" s="285">
        <v>0.14000000000000001</v>
      </c>
      <c r="CB93" s="717">
        <v>0.04</v>
      </c>
      <c r="CC93" s="284">
        <v>0.25</v>
      </c>
      <c r="CD93" s="284">
        <v>0.45</v>
      </c>
      <c r="CE93" s="284">
        <v>0.05</v>
      </c>
      <c r="CF93" s="710">
        <v>0.25</v>
      </c>
      <c r="CG93" s="707">
        <v>0.23</v>
      </c>
      <c r="CH93" s="284">
        <v>0.46</v>
      </c>
      <c r="CI93" s="284">
        <v>0.06</v>
      </c>
      <c r="CJ93" s="710">
        <v>0.25</v>
      </c>
      <c r="CK93" s="720">
        <v>0.75</v>
      </c>
      <c r="CL93" s="286">
        <v>0.2</v>
      </c>
      <c r="CM93" s="718">
        <v>0.05</v>
      </c>
      <c r="CN93" s="720">
        <v>0.7</v>
      </c>
      <c r="CO93" s="286">
        <v>0.22</v>
      </c>
      <c r="CP93" s="718">
        <v>0.08</v>
      </c>
      <c r="CQ93" s="657"/>
      <c r="CR93" s="807">
        <v>12</v>
      </c>
      <c r="CS93" s="808">
        <v>12</v>
      </c>
      <c r="CT93" s="808">
        <v>9</v>
      </c>
      <c r="CU93" s="809">
        <v>11</v>
      </c>
      <c r="CV93" s="807">
        <v>10</v>
      </c>
      <c r="CW93" s="808">
        <v>10</v>
      </c>
      <c r="CX93" s="809">
        <v>8</v>
      </c>
      <c r="CY93" s="807">
        <v>10</v>
      </c>
      <c r="CZ93" s="808">
        <v>11</v>
      </c>
      <c r="DA93" s="808">
        <v>8</v>
      </c>
      <c r="DB93" s="809">
        <v>9</v>
      </c>
      <c r="DC93" s="807">
        <v>11</v>
      </c>
      <c r="DD93" s="808">
        <v>11</v>
      </c>
      <c r="DE93" s="809">
        <v>9</v>
      </c>
      <c r="DF93" s="610" t="s">
        <v>4236</v>
      </c>
      <c r="DG93" s="657"/>
      <c r="DH93" s="288">
        <f t="shared" si="251"/>
        <v>864</v>
      </c>
      <c r="DI93" s="288">
        <f t="shared" si="252"/>
        <v>216</v>
      </c>
      <c r="DJ93" s="288">
        <f t="shared" si="253"/>
        <v>24</v>
      </c>
      <c r="DK93" s="288">
        <f t="shared" si="254"/>
        <v>96</v>
      </c>
      <c r="DL93" s="560" t="s">
        <v>4261</v>
      </c>
      <c r="DM93" s="288">
        <f t="shared" si="255"/>
        <v>868</v>
      </c>
      <c r="DN93" s="288">
        <f t="shared" si="256"/>
        <v>223.2</v>
      </c>
      <c r="DO93" s="288">
        <f t="shared" si="257"/>
        <v>49.6</v>
      </c>
      <c r="DP93" s="288">
        <f t="shared" si="258"/>
        <v>99.2</v>
      </c>
      <c r="DQ93" s="561" t="s">
        <v>4213</v>
      </c>
      <c r="DR93" s="657"/>
      <c r="DS93" s="288">
        <f t="shared" si="259"/>
        <v>1020</v>
      </c>
      <c r="DT93" s="288">
        <f t="shared" si="260"/>
        <v>144</v>
      </c>
      <c r="DU93" s="288">
        <f t="shared" si="261"/>
        <v>36</v>
      </c>
      <c r="DV93" s="561" t="s">
        <v>4262</v>
      </c>
      <c r="DW93" s="288">
        <f t="shared" si="262"/>
        <v>1016.8</v>
      </c>
      <c r="DX93" s="288">
        <f t="shared" si="263"/>
        <v>173.60000000000002</v>
      </c>
      <c r="DY93" s="288">
        <f t="shared" si="264"/>
        <v>49.6</v>
      </c>
      <c r="DZ93" s="561" t="s">
        <v>4215</v>
      </c>
      <c r="EA93" s="657"/>
      <c r="EB93" s="288">
        <f t="shared" si="265"/>
        <v>37.5</v>
      </c>
      <c r="EC93" s="288">
        <f t="shared" si="266"/>
        <v>67.5</v>
      </c>
      <c r="ED93" s="288">
        <f t="shared" si="267"/>
        <v>7.5</v>
      </c>
      <c r="EE93" s="288">
        <f t="shared" si="268"/>
        <v>37.5</v>
      </c>
      <c r="EF93" s="561" t="s">
        <v>4263</v>
      </c>
      <c r="EG93" s="288">
        <f t="shared" si="269"/>
        <v>35.65</v>
      </c>
      <c r="EH93" s="288">
        <f t="shared" si="270"/>
        <v>71.3</v>
      </c>
      <c r="EI93" s="288">
        <f t="shared" si="271"/>
        <v>9.2999999999999989</v>
      </c>
      <c r="EJ93" s="288">
        <f t="shared" si="272"/>
        <v>38.75</v>
      </c>
      <c r="EK93" s="561" t="s">
        <v>4216</v>
      </c>
      <c r="EL93" s="657"/>
      <c r="EM93" s="288">
        <f t="shared" si="273"/>
        <v>900</v>
      </c>
      <c r="EN93" s="291">
        <f t="shared" si="274"/>
        <v>240</v>
      </c>
      <c r="EO93" s="291">
        <f t="shared" si="275"/>
        <v>60</v>
      </c>
      <c r="EP93" s="561" t="s">
        <v>4264</v>
      </c>
      <c r="EQ93" s="288">
        <f t="shared" si="276"/>
        <v>868</v>
      </c>
      <c r="ER93" s="291">
        <f t="shared" si="277"/>
        <v>272.8</v>
      </c>
      <c r="ES93" s="291">
        <f t="shared" si="278"/>
        <v>99.2</v>
      </c>
      <c r="ET93" s="561" t="s">
        <v>4218</v>
      </c>
      <c r="EU93" s="657"/>
      <c r="EV93" s="740">
        <f t="shared" si="279"/>
        <v>0.8223753736912921</v>
      </c>
      <c r="EW93" s="740">
        <f t="shared" si="280"/>
        <v>0.17762462630870798</v>
      </c>
      <c r="EX93" s="563">
        <f t="shared" si="281"/>
        <v>1593.3882923874999</v>
      </c>
      <c r="EY93" s="563">
        <f t="shared" si="282"/>
        <v>1310.3632923875</v>
      </c>
      <c r="EZ93" s="563">
        <f t="shared" si="283"/>
        <v>283.02499999999998</v>
      </c>
      <c r="FA93" s="563">
        <f t="shared" si="284"/>
        <v>468.64056127272721</v>
      </c>
      <c r="FB93" s="563">
        <f t="shared" si="285"/>
        <v>378.07256127272723</v>
      </c>
      <c r="FC93" s="563">
        <f t="shared" si="286"/>
        <v>90.567999999999998</v>
      </c>
      <c r="FD93" s="563">
        <f t="shared" si="287"/>
        <v>549.78157370000008</v>
      </c>
      <c r="FE93" s="563">
        <f t="shared" si="288"/>
        <v>459.21357370000004</v>
      </c>
      <c r="FF93" s="563">
        <f t="shared" si="289"/>
        <v>90.567999999999998</v>
      </c>
      <c r="FG93" s="563">
        <f t="shared" si="290"/>
        <v>68.227281051136359</v>
      </c>
      <c r="FH93" s="563">
        <f t="shared" si="291"/>
        <v>56.906281051136361</v>
      </c>
      <c r="FI93" s="563">
        <f t="shared" si="292"/>
        <v>11.321</v>
      </c>
      <c r="FJ93" s="563">
        <f t="shared" si="293"/>
        <v>506.73887636363628</v>
      </c>
      <c r="FK93" s="563">
        <f t="shared" si="294"/>
        <v>416.1708763636363</v>
      </c>
      <c r="FL93" s="563">
        <f t="shared" si="295"/>
        <v>90.567999999999998</v>
      </c>
      <c r="FM93" s="529"/>
      <c r="FN93" s="564" t="s">
        <v>2649</v>
      </c>
      <c r="FO93" s="740">
        <v>4.2139999999999997E-2</v>
      </c>
      <c r="FP93" s="741">
        <v>0.79642999999999997</v>
      </c>
      <c r="FQ93" s="565" t="s">
        <v>4265</v>
      </c>
      <c r="FR93" s="529"/>
      <c r="FS93" s="867">
        <v>2.9</v>
      </c>
      <c r="FT93" s="566">
        <f>RANK($FS93,$FS$8:$FS$154,0)+COUNTIF($FS$8:$FS93,$FS93)-1</f>
        <v>133</v>
      </c>
      <c r="FU93" s="867">
        <v>3.95</v>
      </c>
      <c r="FV93" s="566">
        <f>RANK($FU93,$FU$8:$FU$154,0)+COUNTIF($FU$8:$FU93,$FU93)-1</f>
        <v>91</v>
      </c>
      <c r="FW93" s="867">
        <v>1.62</v>
      </c>
      <c r="FX93" s="566">
        <f>RANK($FW93,$FW$8:$FW$154,0)+COUNTIF($FW$8:$FW93,$FW93)-1</f>
        <v>136</v>
      </c>
      <c r="FY93" s="529"/>
      <c r="FZ93" s="567" t="s">
        <v>4266</v>
      </c>
      <c r="GA93" s="567" t="s">
        <v>4246</v>
      </c>
      <c r="GB93" s="567" t="s">
        <v>4247</v>
      </c>
      <c r="GC93" s="567" t="s">
        <v>4248</v>
      </c>
      <c r="GD93" s="567" t="s">
        <v>4249</v>
      </c>
      <c r="GE93" s="567" t="s">
        <v>4250</v>
      </c>
      <c r="GF93" s="567" t="str">
        <f>HYPERLINK("https://www.atout-france.fr/fr/catalogue/etudes-publications/investissements-touristiques-et-developpement-des-territoires-en-1","https://www.atout-france.fr/fr/catalogue/etudes-publications/investissements-touristiques-et-developpement-des-territoires-en-1")&amp;CHAR(10)&amp;HYPERLINK("https://www.atout-france.fr/fr/actualites/investissements-touristiques-vers-un-nouveau-cycle-plus-selectif-et-durable","https://www.atout-france.fr/fr/actualites/investissements-touristiques-vers-un-nouveau-cycle-plus-selectif-et-durable")&amp;CHAR(10)&amp;HYPERLINK("https://www.atout-france.fr/fr/actualites/bilan-touristique-de-lannee-2025-avec-102-millions-de-visiteurs-la-france-pays-le-plus","https://www.atout-france.fr/fr/actualites/bilan-touristique-de-lannee-2025-avec-102-millions-de-visiteurs-la-france-pays-le-plus")&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
https://www.statistiques.developpement-durable.gouv.fr/construction-de-locaux-resultats-fin-janvier-2026-france-entiere
https://www.insee.fr/fr/statistiques/8671745
https://www.insee.fr/fr/statistiques/8906564</v>
      </c>
      <c r="GG93" s="529"/>
      <c r="GH93" s="563">
        <f t="shared" si="296"/>
        <v>331.38036640000001</v>
      </c>
      <c r="GI93" s="563">
        <f t="shared" si="227"/>
        <v>267.9827664</v>
      </c>
      <c r="GJ93" s="563">
        <f t="shared" si="297"/>
        <v>63.397599999999997</v>
      </c>
      <c r="GK93" s="563">
        <f t="shared" si="298"/>
        <v>83.297931599999998</v>
      </c>
      <c r="GL93" s="563">
        <f t="shared" si="228"/>
        <v>66.995691600000001</v>
      </c>
      <c r="GM93" s="563">
        <f t="shared" si="299"/>
        <v>16.302239999999998</v>
      </c>
      <c r="GN93" s="563">
        <f t="shared" si="300"/>
        <v>13.817024</v>
      </c>
      <c r="GO93" s="563">
        <f t="shared" si="229"/>
        <v>10.194303999999999</v>
      </c>
      <c r="GP93" s="563">
        <f t="shared" si="301"/>
        <v>3.6227200000000002</v>
      </c>
      <c r="GQ93" s="563">
        <f t="shared" si="302"/>
        <v>40.145239272727274</v>
      </c>
      <c r="GR93" s="563">
        <f t="shared" si="230"/>
        <v>32.899799272727272</v>
      </c>
      <c r="GS93" s="563">
        <f t="shared" si="303"/>
        <v>7.2454400000000003</v>
      </c>
      <c r="GT93" s="563">
        <f t="shared" si="304"/>
        <v>461.490026</v>
      </c>
      <c r="GU93" s="563">
        <f t="shared" si="231"/>
        <v>387.224266</v>
      </c>
      <c r="GV93" s="563">
        <f t="shared" si="305"/>
        <v>74.26576</v>
      </c>
      <c r="GW93" s="563">
        <f t="shared" si="306"/>
        <v>67.3464752</v>
      </c>
      <c r="GX93" s="563">
        <f t="shared" si="232"/>
        <v>54.666955199999997</v>
      </c>
      <c r="GY93" s="563">
        <f t="shared" si="307"/>
        <v>12.67952</v>
      </c>
      <c r="GZ93" s="563">
        <f t="shared" si="308"/>
        <v>20.945072500000002</v>
      </c>
      <c r="HA93" s="563">
        <f t="shared" si="233"/>
        <v>17.322352500000001</v>
      </c>
      <c r="HB93" s="563">
        <f t="shared" si="309"/>
        <v>3.6227200000000002</v>
      </c>
      <c r="HC93" s="563">
        <f t="shared" si="310"/>
        <v>16.840016250000001</v>
      </c>
      <c r="HD93" s="563">
        <f t="shared" si="234"/>
        <v>14.236186250000001</v>
      </c>
      <c r="HE93" s="563">
        <f t="shared" si="311"/>
        <v>2.6038299999999999</v>
      </c>
      <c r="HF93" s="563">
        <f t="shared" si="312"/>
        <v>28.340331363636366</v>
      </c>
      <c r="HG93" s="563">
        <f t="shared" si="235"/>
        <v>23.132671363636366</v>
      </c>
      <c r="HH93" s="563">
        <f t="shared" si="313"/>
        <v>5.2076599999999997</v>
      </c>
      <c r="HI93" s="563">
        <f t="shared" si="314"/>
        <v>4.2880834374999992</v>
      </c>
      <c r="HJ93" s="563">
        <f t="shared" si="236"/>
        <v>3.6088234374999995</v>
      </c>
      <c r="HK93" s="563">
        <f t="shared" si="315"/>
        <v>0.67925999999999997</v>
      </c>
      <c r="HL93" s="563">
        <f t="shared" si="316"/>
        <v>18.758849999999999</v>
      </c>
      <c r="HM93" s="563">
        <f t="shared" si="237"/>
        <v>15.928599999999999</v>
      </c>
      <c r="HN93" s="563">
        <f t="shared" si="317"/>
        <v>2.8302499999999999</v>
      </c>
      <c r="HO93" s="563">
        <f t="shared" si="318"/>
        <v>371.83321818181815</v>
      </c>
      <c r="HP93" s="563">
        <f t="shared" si="238"/>
        <v>308.43561818181814</v>
      </c>
      <c r="HQ93" s="563">
        <f t="shared" si="319"/>
        <v>63.397599999999997</v>
      </c>
      <c r="HR93" s="563">
        <f t="shared" si="320"/>
        <v>102.17445818181817</v>
      </c>
      <c r="HS93" s="563">
        <f t="shared" si="239"/>
        <v>82.249498181818169</v>
      </c>
      <c r="HT93" s="563">
        <f t="shared" si="321"/>
        <v>19.924959999999999</v>
      </c>
      <c r="HU93" s="563">
        <f t="shared" si="322"/>
        <v>32.731199999999994</v>
      </c>
      <c r="HV93" s="563">
        <f t="shared" si="240"/>
        <v>25.485759999999996</v>
      </c>
      <c r="HW93" s="563">
        <f t="shared" si="323"/>
        <v>7.2454400000000003</v>
      </c>
      <c r="HX93" s="544"/>
      <c r="HY93" s="568">
        <f t="shared" si="324"/>
        <v>3750</v>
      </c>
      <c r="HZ93" s="568">
        <f t="shared" si="325"/>
        <v>733.57500000000005</v>
      </c>
      <c r="IA93" s="568">
        <f t="shared" si="326"/>
        <v>2427.2549999999997</v>
      </c>
      <c r="IB93" s="568">
        <f t="shared" si="327"/>
        <v>589.17000000000007</v>
      </c>
      <c r="IC93" s="568">
        <f t="shared" si="328"/>
        <v>0</v>
      </c>
      <c r="ID93" s="568">
        <f t="shared" si="329"/>
        <v>0</v>
      </c>
      <c r="IE93" s="568">
        <f t="shared" si="330"/>
        <v>1310.3632923875</v>
      </c>
      <c r="IF93" s="568">
        <f t="shared" si="331"/>
        <v>156.48062784412829</v>
      </c>
      <c r="IG93" s="568">
        <f t="shared" si="332"/>
        <v>811.53200262535256</v>
      </c>
      <c r="IH93" s="568">
        <f t="shared" si="333"/>
        <v>342.35066191801917</v>
      </c>
      <c r="II93" s="568">
        <f t="shared" si="334"/>
        <v>0</v>
      </c>
      <c r="IJ93" s="568">
        <f t="shared" si="335"/>
        <v>0</v>
      </c>
      <c r="IK93" s="868">
        <v>3.55</v>
      </c>
      <c r="IL93" s="569" t="s">
        <v>2780</v>
      </c>
      <c r="IM93" s="570" t="s">
        <v>4267</v>
      </c>
      <c r="IN93" s="529"/>
      <c r="IO93" s="742">
        <v>0.18659999999999999</v>
      </c>
      <c r="IP93" s="742">
        <v>0.64849999999999997</v>
      </c>
      <c r="IQ93" s="742">
        <v>0.16489999999999999</v>
      </c>
      <c r="IR93" s="742">
        <v>0</v>
      </c>
      <c r="IS93" s="742">
        <v>0</v>
      </c>
      <c r="IT93" s="742">
        <v>0.1129</v>
      </c>
      <c r="IU93" s="742">
        <v>0.61519999999999997</v>
      </c>
      <c r="IV93" s="742">
        <v>0.27189999999999998</v>
      </c>
      <c r="IW93" s="742">
        <v>0</v>
      </c>
      <c r="IX93" s="742">
        <v>0</v>
      </c>
      <c r="IY93" s="742">
        <v>0.18659999999999999</v>
      </c>
      <c r="IZ93" s="742">
        <v>0.64849999999999997</v>
      </c>
      <c r="JA93" s="742">
        <v>0.16489999999999999</v>
      </c>
      <c r="JB93" s="742">
        <v>0</v>
      </c>
      <c r="JC93" s="742">
        <v>0</v>
      </c>
      <c r="JD93" s="742">
        <v>0.1129</v>
      </c>
      <c r="JE93" s="742">
        <v>0.61519999999999997</v>
      </c>
      <c r="JF93" s="742">
        <v>0.27189999999999998</v>
      </c>
      <c r="JG93" s="742">
        <v>0</v>
      </c>
      <c r="JH93" s="742">
        <v>0</v>
      </c>
      <c r="JI93" s="742">
        <v>0.30249999999999999</v>
      </c>
      <c r="JJ93" s="742">
        <v>0.61770000000000003</v>
      </c>
      <c r="JK93" s="742">
        <v>7.9799999999999996E-2</v>
      </c>
      <c r="JL93" s="742">
        <v>0</v>
      </c>
      <c r="JM93" s="742">
        <v>0</v>
      </c>
      <c r="JN93" s="742">
        <v>0.19570000000000001</v>
      </c>
      <c r="JO93" s="742">
        <v>0.64859999999999995</v>
      </c>
      <c r="JP93" s="742">
        <v>0.15570000000000001</v>
      </c>
      <c r="JQ93" s="742">
        <v>0</v>
      </c>
      <c r="JR93" s="742">
        <v>0</v>
      </c>
      <c r="JS93" s="742">
        <v>0.20030000000000001</v>
      </c>
      <c r="JT93" s="742">
        <v>0.64849999999999997</v>
      </c>
      <c r="JU93" s="742">
        <v>0.1512</v>
      </c>
      <c r="JV93" s="742">
        <v>0</v>
      </c>
      <c r="JW93" s="742">
        <v>0</v>
      </c>
      <c r="JX93" s="742">
        <v>0.1221</v>
      </c>
      <c r="JY93" s="742">
        <v>0.62360000000000004</v>
      </c>
      <c r="JZ93" s="742">
        <v>0.25430000000000003</v>
      </c>
      <c r="KA93" s="742">
        <v>0</v>
      </c>
      <c r="KB93" s="742">
        <v>0</v>
      </c>
      <c r="KC93" s="657"/>
      <c r="KD93" s="832" t="s">
        <v>2591</v>
      </c>
      <c r="KE93" s="832" t="s">
        <v>2591</v>
      </c>
      <c r="KF93" s="869">
        <v>3.2</v>
      </c>
      <c r="KG93" s="832" t="s">
        <v>2616</v>
      </c>
      <c r="KH93" s="833" t="s">
        <v>3857</v>
      </c>
      <c r="KI93" s="832" t="s">
        <v>3858</v>
      </c>
      <c r="KJ93" s="833" t="s">
        <v>4267</v>
      </c>
    </row>
    <row r="94" spans="1:296" ht="48" hidden="1" customHeight="1">
      <c r="A94" s="273">
        <f t="shared" si="336"/>
        <v>87</v>
      </c>
      <c r="B94" s="274" t="s">
        <v>4135</v>
      </c>
      <c r="C94" s="274" t="s">
        <v>4268</v>
      </c>
      <c r="D94" s="274" t="s">
        <v>4269</v>
      </c>
      <c r="E94" s="275" t="s">
        <v>3008</v>
      </c>
      <c r="F94" s="275" t="s">
        <v>3009</v>
      </c>
      <c r="G94" s="275" t="s">
        <v>300</v>
      </c>
      <c r="H94" s="275" t="s">
        <v>2109</v>
      </c>
      <c r="I94" s="276" t="s">
        <v>4270</v>
      </c>
      <c r="J94" s="276" t="s">
        <v>4271</v>
      </c>
      <c r="K94" s="277" t="s">
        <v>2109</v>
      </c>
      <c r="L94" s="277" t="s">
        <v>2109</v>
      </c>
      <c r="M94" s="277" t="s">
        <v>2603</v>
      </c>
      <c r="N94" s="277" t="s">
        <v>3322</v>
      </c>
      <c r="O94" s="275" t="s">
        <v>2212</v>
      </c>
      <c r="P94" s="276"/>
      <c r="Q94" s="270">
        <v>1</v>
      </c>
      <c r="R94" s="278">
        <v>20000</v>
      </c>
      <c r="S94" s="279">
        <v>8202</v>
      </c>
      <c r="T94" s="279">
        <v>7800</v>
      </c>
      <c r="U94" s="279">
        <v>7418</v>
      </c>
      <c r="V94" s="279">
        <v>7054</v>
      </c>
      <c r="W94" s="279">
        <v>6983</v>
      </c>
      <c r="X94" s="279">
        <v>6913</v>
      </c>
      <c r="Y94" s="279">
        <v>6844</v>
      </c>
      <c r="Z94" s="279">
        <v>6776</v>
      </c>
      <c r="AA94" s="279">
        <v>6234</v>
      </c>
      <c r="AB94" s="279">
        <v>6098</v>
      </c>
      <c r="AC94" s="279">
        <v>6437</v>
      </c>
      <c r="AD94" s="279">
        <v>6640</v>
      </c>
      <c r="AE94" s="279">
        <v>6608</v>
      </c>
      <c r="AF94" s="279">
        <v>6585</v>
      </c>
      <c r="AG94" s="279">
        <v>6560</v>
      </c>
      <c r="AH94" s="279">
        <v>6540</v>
      </c>
      <c r="AI94" s="279">
        <v>6520</v>
      </c>
      <c r="AJ94" s="279">
        <v>6500</v>
      </c>
      <c r="AK94" s="279">
        <v>6480</v>
      </c>
      <c r="AL94" s="276" t="s">
        <v>4272</v>
      </c>
      <c r="AM94" s="276" t="s">
        <v>4273</v>
      </c>
      <c r="AN94" s="276" t="s">
        <v>4274</v>
      </c>
      <c r="AO94" s="657"/>
      <c r="AP94" s="278">
        <v>300</v>
      </c>
      <c r="AQ94" s="278">
        <v>270</v>
      </c>
      <c r="AR94" s="278">
        <v>24</v>
      </c>
      <c r="AS94" s="278">
        <v>6</v>
      </c>
      <c r="AT94" s="657"/>
      <c r="AU94" s="281" t="s">
        <v>4275</v>
      </c>
      <c r="AV94" s="296" t="s">
        <v>4276</v>
      </c>
      <c r="AW94" s="296" t="s">
        <v>4277</v>
      </c>
      <c r="AX94" s="276" t="s">
        <v>4197</v>
      </c>
      <c r="AY94" s="657"/>
      <c r="AZ94" s="947">
        <v>20</v>
      </c>
      <c r="BA94" s="947">
        <v>16</v>
      </c>
      <c r="BB94" s="947">
        <v>3.5</v>
      </c>
      <c r="BC94" s="947">
        <v>16</v>
      </c>
      <c r="BD94" s="826">
        <f t="shared" si="241"/>
        <v>365467.5</v>
      </c>
      <c r="BE94" s="283">
        <f t="shared" si="242"/>
        <v>131700</v>
      </c>
      <c r="BF94" s="283">
        <f t="shared" si="243"/>
        <v>105360</v>
      </c>
      <c r="BG94" s="283">
        <f t="shared" si="244"/>
        <v>23047.5</v>
      </c>
      <c r="BH94" s="283">
        <f t="shared" si="245"/>
        <v>105360</v>
      </c>
      <c r="BI94" s="826">
        <f t="shared" si="246"/>
        <v>359640</v>
      </c>
      <c r="BJ94" s="283">
        <f t="shared" si="247"/>
        <v>129600</v>
      </c>
      <c r="BK94" s="283">
        <f t="shared" si="248"/>
        <v>103680</v>
      </c>
      <c r="BL94" s="283">
        <f t="shared" si="249"/>
        <v>22680</v>
      </c>
      <c r="BM94" s="283">
        <f t="shared" si="250"/>
        <v>103680</v>
      </c>
      <c r="BN94" s="657"/>
      <c r="BO94" s="305">
        <v>0.2</v>
      </c>
      <c r="BP94" s="305">
        <v>0.68</v>
      </c>
      <c r="BQ94" s="305">
        <v>0.04</v>
      </c>
      <c r="BR94" s="581">
        <v>0.08</v>
      </c>
      <c r="BS94" s="706">
        <v>0.18</v>
      </c>
      <c r="BT94" s="305">
        <v>0.69</v>
      </c>
      <c r="BU94" s="305">
        <v>0.06</v>
      </c>
      <c r="BV94" s="581">
        <v>7.0000000000000007E-2</v>
      </c>
      <c r="BW94" s="713">
        <v>0.35</v>
      </c>
      <c r="BX94" s="306">
        <v>0.6</v>
      </c>
      <c r="BY94" s="590">
        <v>0.05</v>
      </c>
      <c r="BZ94" s="713">
        <v>0.3</v>
      </c>
      <c r="CA94" s="306">
        <v>0.64</v>
      </c>
      <c r="CB94" s="590">
        <v>0.06</v>
      </c>
      <c r="CC94" s="706">
        <v>0.15</v>
      </c>
      <c r="CD94" s="305">
        <v>0.45</v>
      </c>
      <c r="CE94" s="305">
        <v>0.1</v>
      </c>
      <c r="CF94" s="581">
        <v>0.3</v>
      </c>
      <c r="CG94" s="706">
        <v>0.13</v>
      </c>
      <c r="CH94" s="305">
        <v>0.45</v>
      </c>
      <c r="CI94" s="305">
        <v>0.12</v>
      </c>
      <c r="CJ94" s="581">
        <v>0.3</v>
      </c>
      <c r="CK94" s="719">
        <v>0.7</v>
      </c>
      <c r="CL94" s="307">
        <v>0.2</v>
      </c>
      <c r="CM94" s="723">
        <v>0.1</v>
      </c>
      <c r="CN94" s="719">
        <v>0.65</v>
      </c>
      <c r="CO94" s="307">
        <v>0.22</v>
      </c>
      <c r="CP94" s="723">
        <v>0.13</v>
      </c>
      <c r="CQ94" s="657"/>
      <c r="CR94" s="804">
        <v>12</v>
      </c>
      <c r="CS94" s="805">
        <v>12</v>
      </c>
      <c r="CT94" s="805">
        <v>9</v>
      </c>
      <c r="CU94" s="806">
        <v>11</v>
      </c>
      <c r="CV94" s="804">
        <v>10</v>
      </c>
      <c r="CW94" s="805">
        <v>10</v>
      </c>
      <c r="CX94" s="806">
        <v>8</v>
      </c>
      <c r="CY94" s="804">
        <v>10</v>
      </c>
      <c r="CZ94" s="805">
        <v>11</v>
      </c>
      <c r="DA94" s="805">
        <v>8</v>
      </c>
      <c r="DB94" s="806">
        <v>9</v>
      </c>
      <c r="DC94" s="804">
        <v>11</v>
      </c>
      <c r="DD94" s="805">
        <v>11</v>
      </c>
      <c r="DE94" s="806">
        <v>9</v>
      </c>
      <c r="DF94" s="609" t="s">
        <v>4278</v>
      </c>
      <c r="DG94" s="657"/>
      <c r="DH94" s="308">
        <f t="shared" si="251"/>
        <v>26340</v>
      </c>
      <c r="DI94" s="308">
        <f t="shared" si="252"/>
        <v>89556</v>
      </c>
      <c r="DJ94" s="308">
        <f t="shared" si="253"/>
        <v>5268</v>
      </c>
      <c r="DK94" s="308">
        <f t="shared" si="254"/>
        <v>10536</v>
      </c>
      <c r="DL94" s="287" t="s">
        <v>4279</v>
      </c>
      <c r="DM94" s="308">
        <f t="shared" si="255"/>
        <v>23328</v>
      </c>
      <c r="DN94" s="308">
        <f t="shared" si="256"/>
        <v>89424</v>
      </c>
      <c r="DO94" s="308">
        <f t="shared" si="257"/>
        <v>7776</v>
      </c>
      <c r="DP94" s="308">
        <f t="shared" si="258"/>
        <v>9072</v>
      </c>
      <c r="DQ94" s="289" t="s">
        <v>4213</v>
      </c>
      <c r="DR94" s="657"/>
      <c r="DS94" s="308">
        <f t="shared" si="259"/>
        <v>36876</v>
      </c>
      <c r="DT94" s="308">
        <f t="shared" si="260"/>
        <v>63216</v>
      </c>
      <c r="DU94" s="308">
        <f t="shared" si="261"/>
        <v>5268</v>
      </c>
      <c r="DV94" s="289" t="s">
        <v>4280</v>
      </c>
      <c r="DW94" s="308">
        <f t="shared" si="262"/>
        <v>31104</v>
      </c>
      <c r="DX94" s="308">
        <f t="shared" si="263"/>
        <v>66355.199999999997</v>
      </c>
      <c r="DY94" s="308">
        <f t="shared" si="264"/>
        <v>6220.8</v>
      </c>
      <c r="DZ94" s="289" t="s">
        <v>4215</v>
      </c>
      <c r="EA94" s="657"/>
      <c r="EB94" s="308">
        <f t="shared" si="265"/>
        <v>3457.125</v>
      </c>
      <c r="EC94" s="308">
        <f t="shared" si="266"/>
        <v>10371.375</v>
      </c>
      <c r="ED94" s="308">
        <f t="shared" si="267"/>
        <v>2304.75</v>
      </c>
      <c r="EE94" s="308">
        <f t="shared" si="268"/>
        <v>6914.25</v>
      </c>
      <c r="EF94" s="289" t="s">
        <v>4281</v>
      </c>
      <c r="EG94" s="308">
        <f t="shared" si="269"/>
        <v>2948.4</v>
      </c>
      <c r="EH94" s="308">
        <f t="shared" si="270"/>
        <v>10206</v>
      </c>
      <c r="EI94" s="308">
        <f t="shared" si="271"/>
        <v>2721.6</v>
      </c>
      <c r="EJ94" s="308">
        <f t="shared" si="272"/>
        <v>6804</v>
      </c>
      <c r="EK94" s="309" t="s">
        <v>4216</v>
      </c>
      <c r="EL94" s="657"/>
      <c r="EM94" s="308">
        <f t="shared" si="273"/>
        <v>73752</v>
      </c>
      <c r="EN94" s="310">
        <f t="shared" si="274"/>
        <v>21072</v>
      </c>
      <c r="EO94" s="310">
        <f t="shared" si="275"/>
        <v>10536</v>
      </c>
      <c r="EP94" s="289" t="s">
        <v>4282</v>
      </c>
      <c r="EQ94" s="308">
        <f t="shared" si="276"/>
        <v>67392</v>
      </c>
      <c r="ER94" s="310">
        <f t="shared" si="277"/>
        <v>22809.599999999999</v>
      </c>
      <c r="ES94" s="310">
        <f t="shared" si="278"/>
        <v>13478.4</v>
      </c>
      <c r="ET94" s="289" t="s">
        <v>4218</v>
      </c>
      <c r="EU94" s="657"/>
      <c r="EV94" s="728">
        <f t="shared" si="279"/>
        <v>0.87073104621214903</v>
      </c>
      <c r="EW94" s="728">
        <f t="shared" si="280"/>
        <v>0.12926895378785086</v>
      </c>
      <c r="EX94" s="311">
        <f t="shared" si="281"/>
        <v>162082.62820310041</v>
      </c>
      <c r="EY94" s="311">
        <f t="shared" si="282"/>
        <v>141130.3764281004</v>
      </c>
      <c r="EZ94" s="311">
        <f t="shared" si="283"/>
        <v>20952.251774999997</v>
      </c>
      <c r="FA94" s="311">
        <f t="shared" si="284"/>
        <v>55012.781458909092</v>
      </c>
      <c r="FB94" s="311">
        <f t="shared" si="285"/>
        <v>47462.420458909095</v>
      </c>
      <c r="FC94" s="311">
        <f t="shared" si="286"/>
        <v>7550.3609999999999</v>
      </c>
      <c r="FD94" s="311">
        <f t="shared" si="287"/>
        <v>49476.704926999999</v>
      </c>
      <c r="FE94" s="311">
        <f t="shared" si="288"/>
        <v>43436.416126999997</v>
      </c>
      <c r="FF94" s="311">
        <f t="shared" si="289"/>
        <v>6040.2888000000003</v>
      </c>
      <c r="FG94" s="311">
        <f t="shared" si="290"/>
        <v>10856.921145676135</v>
      </c>
      <c r="FH94" s="311">
        <f t="shared" si="291"/>
        <v>9535.6079706761357</v>
      </c>
      <c r="FI94" s="311">
        <f t="shared" si="292"/>
        <v>1321.313175</v>
      </c>
      <c r="FJ94" s="311">
        <f t="shared" si="293"/>
        <v>46736.220671515155</v>
      </c>
      <c r="FK94" s="311">
        <f t="shared" si="294"/>
        <v>40695.931871515153</v>
      </c>
      <c r="FL94" s="311">
        <f t="shared" si="295"/>
        <v>6040.2888000000003</v>
      </c>
      <c r="FM94" s="657"/>
      <c r="FN94" s="293" t="s">
        <v>2649</v>
      </c>
      <c r="FO94" s="728">
        <v>5.7329999999999999E-2</v>
      </c>
      <c r="FP94" s="729">
        <v>0.79642999999999997</v>
      </c>
      <c r="FQ94" s="294" t="s">
        <v>4265</v>
      </c>
      <c r="FR94" s="657"/>
      <c r="FS94" s="865">
        <v>3.41</v>
      </c>
      <c r="FT94" s="312">
        <f>RANK($FS94,$FS$8:$FS$154,0)+COUNTIF($FS$8:$FS100,$FS94)-1</f>
        <v>56</v>
      </c>
      <c r="FU94" s="865">
        <v>4.1500000000000004</v>
      </c>
      <c r="FV94" s="312">
        <f>RANK($FU94,$FU$8:$FU$154,0)+COUNTIF($FU$8:$FU100,$FU94)-1</f>
        <v>57</v>
      </c>
      <c r="FW94" s="865">
        <v>2.5099999999999998</v>
      </c>
      <c r="FX94" s="312">
        <f>RANK($FW94,$FW$8:$FW$154,0)+COUNTIF($FW$8:$FW100,$FW94)-1</f>
        <v>34</v>
      </c>
      <c r="FY94" s="657"/>
      <c r="FZ94" s="296" t="s">
        <v>4283</v>
      </c>
      <c r="GA94" s="296" t="s">
        <v>4284</v>
      </c>
      <c r="GB94" s="296" t="s">
        <v>4285</v>
      </c>
      <c r="GC94" s="296" t="s">
        <v>4286</v>
      </c>
      <c r="GD94" s="296" t="s">
        <v>4287</v>
      </c>
      <c r="GE94" s="296" t="s">
        <v>4288</v>
      </c>
      <c r="GF94" s="296" t="str">
        <f>HYPERLINK("https://www.atout-france.fr/fr/catalogue/etudes-publications/investissements-touristiques-et-developpement-des-territoires-en-1","https://www.atout-france.fr/fr/catalogue/etudes-publications/investissements-touristiques-et-developpement-des-territoires-en-1")&amp;CHAR(10)&amp;HYPERLINK("https://www.atout-france.fr/fr/actualites/investissements-touristiques-vers-un-nouveau-cycle-plus-selectif-et-durable","https://www.atout-france.fr/fr/actualites/investissements-touristiques-vers-un-nouveau-cycle-plus-selectif-et-durable")&amp;CHAR(10)&amp;HYPERLINK("https://www.atout-france.fr/fr/actualites/bilan-touristique-de-lannee-2025-avec-102-millions-de-visiteurs-la-france-pays-le-plus","https://www.atout-france.fr/fr/actualites/bilan-touristique-de-lannee-2025-avec-102-millions-de-visiteurs-la-france-pays-le-plus")&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
https://www.statistiques.developpement-durable.gouv.fr/construction-de-locaux-resultats-fin-janvier-2026-france-entiere
https://www.insee.fr/fr/statistiques/8671745
https://www.insee.fr/fr/statistiques/8906564</v>
      </c>
      <c r="GG94" s="657"/>
      <c r="GH94" s="311">
        <f t="shared" si="296"/>
        <v>10707.029366666666</v>
      </c>
      <c r="GI94" s="311">
        <f t="shared" si="227"/>
        <v>9347.9643866666665</v>
      </c>
      <c r="GJ94" s="311">
        <f t="shared" si="297"/>
        <v>1359.0649799999999</v>
      </c>
      <c r="GK94" s="311">
        <f t="shared" si="298"/>
        <v>36992.82800466667</v>
      </c>
      <c r="GL94" s="311">
        <f t="shared" si="228"/>
        <v>31783.078914666668</v>
      </c>
      <c r="GM94" s="311">
        <f t="shared" si="299"/>
        <v>5209.7490899999993</v>
      </c>
      <c r="GN94" s="311">
        <f t="shared" si="300"/>
        <v>2779.6591666666664</v>
      </c>
      <c r="GO94" s="311">
        <f t="shared" si="229"/>
        <v>2326.6375066666665</v>
      </c>
      <c r="GP94" s="311">
        <f t="shared" si="301"/>
        <v>453.02166</v>
      </c>
      <c r="GQ94" s="311">
        <f t="shared" si="302"/>
        <v>4533.2649209090914</v>
      </c>
      <c r="GR94" s="311">
        <f t="shared" si="230"/>
        <v>4004.7396509090913</v>
      </c>
      <c r="GS94" s="311">
        <f t="shared" si="303"/>
        <v>528.52527000000009</v>
      </c>
      <c r="GT94" s="311">
        <f t="shared" si="304"/>
        <v>16864.61364</v>
      </c>
      <c r="GU94" s="311">
        <f t="shared" si="231"/>
        <v>15052.526999999998</v>
      </c>
      <c r="GV94" s="311">
        <f t="shared" si="305"/>
        <v>1812.08664</v>
      </c>
      <c r="GW94" s="311">
        <f t="shared" si="306"/>
        <v>29670.116832</v>
      </c>
      <c r="GX94" s="311">
        <f t="shared" si="232"/>
        <v>25804.331999999999</v>
      </c>
      <c r="GY94" s="311">
        <f t="shared" si="307"/>
        <v>3865.7848320000003</v>
      </c>
      <c r="GZ94" s="311">
        <f t="shared" si="308"/>
        <v>2941.974455</v>
      </c>
      <c r="HA94" s="311">
        <f t="shared" si="233"/>
        <v>2579.557127</v>
      </c>
      <c r="HB94" s="311">
        <f t="shared" si="309"/>
        <v>362.417328</v>
      </c>
      <c r="HC94" s="311">
        <f t="shared" si="310"/>
        <v>1582.945119</v>
      </c>
      <c r="HD94" s="311">
        <f t="shared" si="234"/>
        <v>1411.1744062499999</v>
      </c>
      <c r="HE94" s="311">
        <f t="shared" si="311"/>
        <v>171.77071275</v>
      </c>
      <c r="HF94" s="311">
        <f t="shared" si="312"/>
        <v>4536.7565226136367</v>
      </c>
      <c r="HG94" s="311">
        <f t="shared" si="235"/>
        <v>3942.1655938636363</v>
      </c>
      <c r="HH94" s="311">
        <f t="shared" si="313"/>
        <v>594.59092874999999</v>
      </c>
      <c r="HI94" s="311">
        <f t="shared" si="314"/>
        <v>1287.1138240625</v>
      </c>
      <c r="HJ94" s="311">
        <f t="shared" si="236"/>
        <v>1128.5562430625</v>
      </c>
      <c r="HK94" s="311">
        <f t="shared" si="315"/>
        <v>158.557581</v>
      </c>
      <c r="HL94" s="311">
        <f t="shared" si="316"/>
        <v>3450.1056799999997</v>
      </c>
      <c r="HM94" s="311">
        <f t="shared" si="237"/>
        <v>3053.7117274999996</v>
      </c>
      <c r="HN94" s="311">
        <f t="shared" si="317"/>
        <v>396.39395250000001</v>
      </c>
      <c r="HO94" s="311">
        <f t="shared" si="318"/>
        <v>31959.365276363638</v>
      </c>
      <c r="HP94" s="311">
        <f t="shared" si="238"/>
        <v>28033.177556363637</v>
      </c>
      <c r="HQ94" s="311">
        <f t="shared" si="319"/>
        <v>3926.1877200000004</v>
      </c>
      <c r="HR94" s="311">
        <f t="shared" si="320"/>
        <v>9338.3428378181834</v>
      </c>
      <c r="HS94" s="311">
        <f t="shared" si="239"/>
        <v>8009.4793018181826</v>
      </c>
      <c r="HT94" s="311">
        <f t="shared" si="321"/>
        <v>1328.8635360000001</v>
      </c>
      <c r="HU94" s="311">
        <f t="shared" si="322"/>
        <v>5438.5125573333335</v>
      </c>
      <c r="HV94" s="311">
        <f t="shared" si="240"/>
        <v>4653.2750133333329</v>
      </c>
      <c r="HW94" s="311">
        <f t="shared" si="323"/>
        <v>785.23754400000007</v>
      </c>
      <c r="HY94" s="313">
        <f t="shared" si="324"/>
        <v>365467.50000000006</v>
      </c>
      <c r="HZ94" s="313">
        <f t="shared" si="325"/>
        <v>43427.087249999997</v>
      </c>
      <c r="IA94" s="313">
        <f t="shared" si="326"/>
        <v>195767.11125000002</v>
      </c>
      <c r="IB94" s="313">
        <f t="shared" si="327"/>
        <v>116977.25700000001</v>
      </c>
      <c r="IC94" s="313">
        <f t="shared" si="328"/>
        <v>9204.1837500000001</v>
      </c>
      <c r="ID94" s="313">
        <f t="shared" si="329"/>
        <v>91.860749999999996</v>
      </c>
      <c r="IE94" s="313">
        <f t="shared" si="330"/>
        <v>141130.3764281004</v>
      </c>
      <c r="IF94" s="313">
        <f t="shared" si="331"/>
        <v>7196.8802605665514</v>
      </c>
      <c r="IG94" s="313">
        <f t="shared" si="332"/>
        <v>59332.902699615821</v>
      </c>
      <c r="IH94" s="313">
        <f t="shared" si="333"/>
        <v>65016.191907903209</v>
      </c>
      <c r="II94" s="313">
        <f t="shared" si="334"/>
        <v>9406.7978223622122</v>
      </c>
      <c r="IJ94" s="313">
        <f t="shared" si="335"/>
        <v>177.6037376525947</v>
      </c>
      <c r="IK94" s="866">
        <v>3.6</v>
      </c>
      <c r="IL94" s="314" t="s">
        <v>2589</v>
      </c>
      <c r="IM94" s="299" t="s">
        <v>4289</v>
      </c>
      <c r="IN94" s="657"/>
      <c r="IO94" s="730">
        <v>0.1222</v>
      </c>
      <c r="IP94" s="730">
        <v>0.54190000000000005</v>
      </c>
      <c r="IQ94" s="730">
        <v>0.31230000000000002</v>
      </c>
      <c r="IR94" s="730">
        <v>2.3400000000000001E-2</v>
      </c>
      <c r="IS94" s="730">
        <v>2.0000000000000001E-4</v>
      </c>
      <c r="IT94" s="730">
        <v>5.2299999999999999E-2</v>
      </c>
      <c r="IU94" s="730">
        <v>0.42830000000000001</v>
      </c>
      <c r="IV94" s="730">
        <v>0.45540000000000003</v>
      </c>
      <c r="IW94" s="730">
        <v>6.2899999999999998E-2</v>
      </c>
      <c r="IX94" s="730">
        <v>1.1000000000000001E-3</v>
      </c>
      <c r="IY94" s="730">
        <v>0.11310000000000001</v>
      </c>
      <c r="IZ94" s="730">
        <v>0.53359999999999996</v>
      </c>
      <c r="JA94" s="730">
        <v>0.32700000000000001</v>
      </c>
      <c r="JB94" s="730">
        <v>2.5999999999999999E-2</v>
      </c>
      <c r="JC94" s="730">
        <v>2.9999999999999997E-4</v>
      </c>
      <c r="JD94" s="730">
        <v>4.7600000000000003E-2</v>
      </c>
      <c r="JE94" s="730">
        <v>0.41420000000000001</v>
      </c>
      <c r="JF94" s="730">
        <v>0.46820000000000001</v>
      </c>
      <c r="JG94" s="730">
        <v>6.8699999999999997E-2</v>
      </c>
      <c r="JH94" s="730">
        <v>1.2999999999999999E-3</v>
      </c>
      <c r="JI94" s="730">
        <v>0.2031</v>
      </c>
      <c r="JJ94" s="730">
        <v>0.57509999999999994</v>
      </c>
      <c r="JK94" s="730">
        <v>0.21160000000000001</v>
      </c>
      <c r="JL94" s="730">
        <v>1.01E-2</v>
      </c>
      <c r="JM94" s="730">
        <v>1E-4</v>
      </c>
      <c r="JN94" s="730">
        <v>9.9199999999999997E-2</v>
      </c>
      <c r="JO94" s="730">
        <v>0.51790000000000003</v>
      </c>
      <c r="JP94" s="730">
        <v>0.35149999999999998</v>
      </c>
      <c r="JQ94" s="730">
        <v>3.1E-2</v>
      </c>
      <c r="JR94" s="730">
        <v>4.0000000000000002E-4</v>
      </c>
      <c r="JS94" s="730">
        <v>0.1019</v>
      </c>
      <c r="JT94" s="730">
        <v>0.52129999999999999</v>
      </c>
      <c r="JU94" s="730">
        <v>0.34660000000000002</v>
      </c>
      <c r="JV94" s="730">
        <v>2.9899999999999999E-2</v>
      </c>
      <c r="JW94" s="730">
        <v>2.9999999999999997E-4</v>
      </c>
      <c r="JX94" s="730">
        <v>4.1799999999999997E-2</v>
      </c>
      <c r="JY94" s="730">
        <v>0.39500000000000002</v>
      </c>
      <c r="JZ94" s="730">
        <v>0.4844</v>
      </c>
      <c r="KA94" s="730">
        <v>7.7200000000000005E-2</v>
      </c>
      <c r="KB94" s="730">
        <v>1.6000000000000001E-3</v>
      </c>
      <c r="KC94" s="657"/>
      <c r="KD94" s="314" t="s">
        <v>2591</v>
      </c>
      <c r="KE94" s="314" t="s">
        <v>2591</v>
      </c>
      <c r="KF94" s="866">
        <v>3.45</v>
      </c>
      <c r="KG94" s="314" t="s">
        <v>2616</v>
      </c>
      <c r="KH94" s="315" t="s">
        <v>4290</v>
      </c>
      <c r="KI94" s="314" t="s">
        <v>3733</v>
      </c>
      <c r="KJ94" s="315" t="s">
        <v>4289</v>
      </c>
    </row>
    <row r="95" spans="1:296" ht="48" hidden="1" customHeight="1">
      <c r="A95" s="265">
        <f t="shared" si="336"/>
        <v>88</v>
      </c>
      <c r="B95" s="266" t="s">
        <v>4135</v>
      </c>
      <c r="C95" s="266" t="s">
        <v>4268</v>
      </c>
      <c r="D95" s="624" t="s">
        <v>4291</v>
      </c>
      <c r="E95" s="267" t="s">
        <v>2117</v>
      </c>
      <c r="F95" s="267" t="s">
        <v>2118</v>
      </c>
      <c r="G95" s="267" t="s">
        <v>2121</v>
      </c>
      <c r="H95" s="267" t="s">
        <v>2096</v>
      </c>
      <c r="I95" s="268" t="s">
        <v>4292</v>
      </c>
      <c r="J95" s="268" t="s">
        <v>4293</v>
      </c>
      <c r="K95" s="269" t="s">
        <v>2109</v>
      </c>
      <c r="L95" s="269" t="s">
        <v>2109</v>
      </c>
      <c r="M95" s="269" t="s">
        <v>2603</v>
      </c>
      <c r="N95" s="269" t="s">
        <v>4294</v>
      </c>
      <c r="O95" s="267" t="s">
        <v>2616</v>
      </c>
      <c r="P95" s="268"/>
      <c r="Q95" s="270">
        <v>1</v>
      </c>
      <c r="R95" s="271">
        <v>1500</v>
      </c>
      <c r="S95" s="272">
        <v>450</v>
      </c>
      <c r="T95" s="272">
        <v>850</v>
      </c>
      <c r="U95" s="272">
        <v>1110</v>
      </c>
      <c r="V95" s="272">
        <v>1240</v>
      </c>
      <c r="W95" s="272">
        <v>1260</v>
      </c>
      <c r="X95" s="272">
        <v>1275</v>
      </c>
      <c r="Y95" s="272">
        <v>1290</v>
      </c>
      <c r="Z95" s="272">
        <v>1305</v>
      </c>
      <c r="AA95" s="272">
        <v>1315</v>
      </c>
      <c r="AB95" s="272">
        <v>1325</v>
      </c>
      <c r="AC95" s="272">
        <v>1335</v>
      </c>
      <c r="AD95" s="272">
        <v>1342</v>
      </c>
      <c r="AE95" s="272">
        <v>1348</v>
      </c>
      <c r="AF95" s="272">
        <v>1350</v>
      </c>
      <c r="AG95" s="272">
        <v>1348</v>
      </c>
      <c r="AH95" s="272">
        <v>1345</v>
      </c>
      <c r="AI95" s="272">
        <v>1340</v>
      </c>
      <c r="AJ95" s="272">
        <v>1335</v>
      </c>
      <c r="AK95" s="272">
        <v>1330</v>
      </c>
      <c r="AL95" s="268" t="s">
        <v>4295</v>
      </c>
      <c r="AM95" s="268" t="s">
        <v>4273</v>
      </c>
      <c r="AN95" s="268" t="s">
        <v>4296</v>
      </c>
      <c r="AO95" s="657"/>
      <c r="AP95" s="271">
        <v>80</v>
      </c>
      <c r="AQ95" s="280">
        <v>70</v>
      </c>
      <c r="AR95" s="280">
        <v>8</v>
      </c>
      <c r="AS95" s="280">
        <v>2</v>
      </c>
      <c r="AT95" s="657"/>
      <c r="AU95" s="301" t="s">
        <v>4297</v>
      </c>
      <c r="AV95" s="572" t="s">
        <v>4298</v>
      </c>
      <c r="AW95" s="645" t="s">
        <v>3459</v>
      </c>
      <c r="AX95" s="290" t="s">
        <v>4145</v>
      </c>
      <c r="AY95" s="657"/>
      <c r="AZ95" s="948">
        <v>10</v>
      </c>
      <c r="BA95" s="948">
        <v>8</v>
      </c>
      <c r="BB95" s="948">
        <v>0</v>
      </c>
      <c r="BC95" s="948">
        <v>8</v>
      </c>
      <c r="BD95" s="825">
        <f t="shared" si="241"/>
        <v>35100</v>
      </c>
      <c r="BE95" s="304">
        <f t="shared" si="242"/>
        <v>13500</v>
      </c>
      <c r="BF95" s="304">
        <f t="shared" si="243"/>
        <v>10800</v>
      </c>
      <c r="BG95" s="304">
        <f t="shared" si="244"/>
        <v>0</v>
      </c>
      <c r="BH95" s="304">
        <f t="shared" si="245"/>
        <v>10800</v>
      </c>
      <c r="BI95" s="825">
        <f t="shared" si="246"/>
        <v>34580</v>
      </c>
      <c r="BJ95" s="304">
        <f t="shared" si="247"/>
        <v>13300</v>
      </c>
      <c r="BK95" s="304">
        <f t="shared" si="248"/>
        <v>10640</v>
      </c>
      <c r="BL95" s="304">
        <f t="shared" si="249"/>
        <v>0</v>
      </c>
      <c r="BM95" s="304">
        <f t="shared" si="250"/>
        <v>10640</v>
      </c>
      <c r="BN95" s="657"/>
      <c r="BO95" s="284">
        <v>0.38</v>
      </c>
      <c r="BP95" s="284">
        <v>0.42</v>
      </c>
      <c r="BQ95" s="284">
        <v>0.12</v>
      </c>
      <c r="BR95" s="710">
        <v>0.08</v>
      </c>
      <c r="BS95" s="707">
        <v>0.34</v>
      </c>
      <c r="BT95" s="284">
        <v>0.43</v>
      </c>
      <c r="BU95" s="284">
        <v>0.16</v>
      </c>
      <c r="BV95" s="710">
        <v>7.0000000000000007E-2</v>
      </c>
      <c r="BW95" s="714">
        <v>0.65</v>
      </c>
      <c r="BX95" s="285">
        <v>0.28000000000000003</v>
      </c>
      <c r="BY95" s="717">
        <v>7.0000000000000007E-2</v>
      </c>
      <c r="BZ95" s="714">
        <v>0.6</v>
      </c>
      <c r="CA95" s="285">
        <v>0.31</v>
      </c>
      <c r="CB95" s="717">
        <v>0.09</v>
      </c>
      <c r="CC95" s="284"/>
      <c r="CD95" s="284"/>
      <c r="CE95" s="284"/>
      <c r="CF95" s="710"/>
      <c r="CG95" s="707"/>
      <c r="CH95" s="284"/>
      <c r="CI95" s="284"/>
      <c r="CJ95" s="710"/>
      <c r="CK95" s="720">
        <v>0.55000000000000004</v>
      </c>
      <c r="CL95" s="286">
        <v>0.35</v>
      </c>
      <c r="CM95" s="718">
        <v>0.1</v>
      </c>
      <c r="CN95" s="720">
        <v>0.45</v>
      </c>
      <c r="CO95" s="286">
        <v>0.4</v>
      </c>
      <c r="CP95" s="718">
        <v>0.15</v>
      </c>
      <c r="CQ95" s="657"/>
      <c r="CR95" s="807">
        <v>12</v>
      </c>
      <c r="CS95" s="808">
        <v>13</v>
      </c>
      <c r="CT95" s="808">
        <v>9</v>
      </c>
      <c r="CU95" s="809">
        <v>11</v>
      </c>
      <c r="CV95" s="807">
        <v>11</v>
      </c>
      <c r="CW95" s="808">
        <v>10</v>
      </c>
      <c r="CX95" s="809">
        <v>8</v>
      </c>
      <c r="CY95" s="807"/>
      <c r="CZ95" s="808"/>
      <c r="DA95" s="808"/>
      <c r="DB95" s="809"/>
      <c r="DC95" s="807">
        <v>13</v>
      </c>
      <c r="DD95" s="808">
        <v>13</v>
      </c>
      <c r="DE95" s="809">
        <v>9</v>
      </c>
      <c r="DF95" s="610" t="s">
        <v>4299</v>
      </c>
      <c r="DG95" s="657"/>
      <c r="DH95" s="288">
        <f t="shared" si="251"/>
        <v>5130</v>
      </c>
      <c r="DI95" s="288">
        <f t="shared" si="252"/>
        <v>5670</v>
      </c>
      <c r="DJ95" s="288">
        <f t="shared" si="253"/>
        <v>1620</v>
      </c>
      <c r="DK95" s="288">
        <f t="shared" si="254"/>
        <v>1080</v>
      </c>
      <c r="DL95" s="560" t="s">
        <v>4300</v>
      </c>
      <c r="DM95" s="288">
        <f t="shared" si="255"/>
        <v>4522</v>
      </c>
      <c r="DN95" s="288">
        <f t="shared" si="256"/>
        <v>5719</v>
      </c>
      <c r="DO95" s="288">
        <f t="shared" si="257"/>
        <v>2128</v>
      </c>
      <c r="DP95" s="288">
        <f t="shared" si="258"/>
        <v>931.00000000000011</v>
      </c>
      <c r="DQ95" s="561" t="s">
        <v>3551</v>
      </c>
      <c r="DR95" s="657"/>
      <c r="DS95" s="288">
        <f t="shared" si="259"/>
        <v>7020</v>
      </c>
      <c r="DT95" s="288">
        <f t="shared" si="260"/>
        <v>3024.0000000000005</v>
      </c>
      <c r="DU95" s="288">
        <f t="shared" si="261"/>
        <v>756.00000000000011</v>
      </c>
      <c r="DV95" s="561" t="s">
        <v>4301</v>
      </c>
      <c r="DW95" s="288">
        <f t="shared" si="262"/>
        <v>6384</v>
      </c>
      <c r="DX95" s="288">
        <f t="shared" si="263"/>
        <v>3298.4</v>
      </c>
      <c r="DY95" s="288">
        <f t="shared" si="264"/>
        <v>957.59999999999991</v>
      </c>
      <c r="DZ95" s="561" t="s">
        <v>4150</v>
      </c>
      <c r="EA95" s="657"/>
      <c r="EB95" s="288">
        <f t="shared" si="265"/>
        <v>0</v>
      </c>
      <c r="EC95" s="288">
        <f t="shared" si="266"/>
        <v>0</v>
      </c>
      <c r="ED95" s="288">
        <f t="shared" si="267"/>
        <v>0</v>
      </c>
      <c r="EE95" s="288">
        <f t="shared" si="268"/>
        <v>0</v>
      </c>
      <c r="EF95" s="561" t="s">
        <v>3552</v>
      </c>
      <c r="EG95" s="288">
        <f t="shared" si="269"/>
        <v>0</v>
      </c>
      <c r="EH95" s="288">
        <f t="shared" si="270"/>
        <v>0</v>
      </c>
      <c r="EI95" s="288">
        <f t="shared" si="271"/>
        <v>0</v>
      </c>
      <c r="EJ95" s="288">
        <f t="shared" si="272"/>
        <v>0</v>
      </c>
      <c r="EK95" s="561" t="s">
        <v>3553</v>
      </c>
      <c r="EL95" s="657"/>
      <c r="EM95" s="288">
        <f t="shared" si="273"/>
        <v>5940.0000000000009</v>
      </c>
      <c r="EN95" s="291">
        <f t="shared" si="274"/>
        <v>3779.9999999999995</v>
      </c>
      <c r="EO95" s="291">
        <f t="shared" si="275"/>
        <v>1080</v>
      </c>
      <c r="EP95" s="561" t="s">
        <v>4302</v>
      </c>
      <c r="EQ95" s="288">
        <f t="shared" si="276"/>
        <v>4788</v>
      </c>
      <c r="ER95" s="291">
        <f t="shared" si="277"/>
        <v>4256</v>
      </c>
      <c r="ES95" s="291">
        <f t="shared" si="278"/>
        <v>1596</v>
      </c>
      <c r="ET95" s="561" t="s">
        <v>3555</v>
      </c>
      <c r="EU95" s="657"/>
      <c r="EV95" s="740">
        <f t="shared" si="279"/>
        <v>0.84176173659097131</v>
      </c>
      <c r="EW95" s="740">
        <f t="shared" si="280"/>
        <v>0.15823826340902869</v>
      </c>
      <c r="EX95" s="563">
        <f t="shared" si="281"/>
        <v>13686.133513750583</v>
      </c>
      <c r="EY95" s="563">
        <f t="shared" si="282"/>
        <v>11520.463513750583</v>
      </c>
      <c r="EZ95" s="563">
        <f t="shared" si="283"/>
        <v>2165.67</v>
      </c>
      <c r="FA95" s="563">
        <f t="shared" si="284"/>
        <v>5119.9056240675991</v>
      </c>
      <c r="FB95" s="563">
        <f t="shared" si="285"/>
        <v>4286.9556240675993</v>
      </c>
      <c r="FC95" s="563">
        <f t="shared" si="286"/>
        <v>832.94999999999993</v>
      </c>
      <c r="FD95" s="563">
        <f t="shared" si="287"/>
        <v>4699.9796332727274</v>
      </c>
      <c r="FE95" s="563">
        <f t="shared" si="288"/>
        <v>4033.6196332727272</v>
      </c>
      <c r="FF95" s="563">
        <f t="shared" si="289"/>
        <v>666.36</v>
      </c>
      <c r="FG95" s="563">
        <f t="shared" si="290"/>
        <v>0</v>
      </c>
      <c r="FH95" s="563">
        <f t="shared" si="291"/>
        <v>0</v>
      </c>
      <c r="FI95" s="563">
        <f t="shared" si="292"/>
        <v>0</v>
      </c>
      <c r="FJ95" s="563">
        <f t="shared" si="293"/>
        <v>3866.2482564102561</v>
      </c>
      <c r="FK95" s="563">
        <f t="shared" si="294"/>
        <v>3199.888256410256</v>
      </c>
      <c r="FL95" s="563">
        <f t="shared" si="295"/>
        <v>666.36</v>
      </c>
      <c r="FM95" s="529"/>
      <c r="FN95" s="564" t="s">
        <v>2649</v>
      </c>
      <c r="FO95" s="740">
        <v>6.1699999999999998E-2</v>
      </c>
      <c r="FP95" s="741">
        <v>0.82069999999999999</v>
      </c>
      <c r="FQ95" s="565" t="s">
        <v>4153</v>
      </c>
      <c r="FR95" s="529"/>
      <c r="FS95" s="867">
        <v>3.77</v>
      </c>
      <c r="FT95" s="566">
        <f>RANK($FS95,$FS$8:$FS$154,0)+COUNTIF($FS$8:$FS95,$FS95)-1</f>
        <v>16</v>
      </c>
      <c r="FU95" s="867">
        <v>4.42</v>
      </c>
      <c r="FV95" s="566">
        <f>RANK($FU95,$FU$8:$FU$154,0)+COUNTIF($FU$8:$FU95,$FU95)-1</f>
        <v>23</v>
      </c>
      <c r="FW95" s="867">
        <v>2.6</v>
      </c>
      <c r="FX95" s="566">
        <f>RANK($FW95,$FW$8:$FW$154,0)+COUNTIF($FW$8:$FW95,$FW95)-1</f>
        <v>26</v>
      </c>
      <c r="FY95" s="529"/>
      <c r="FZ95" s="567" t="s">
        <v>4154</v>
      </c>
      <c r="GA95" s="567" t="s">
        <v>4303</v>
      </c>
      <c r="GB95" s="567" t="s">
        <v>2653</v>
      </c>
      <c r="GC95" s="567" t="s">
        <v>2654</v>
      </c>
      <c r="GD95" s="567" t="s">
        <v>2655</v>
      </c>
      <c r="GE95" s="567" t="s">
        <v>2656</v>
      </c>
      <c r="GF95" s="567" t="str">
        <f>HYPERLINK("https://www.atout-france.fr/fr/catalogue/etudes-publications/investissements-touristiques-et-developpement-des-territoires-en-1","https://www.atout-france.fr/fr/catalogue/etudes-publications/investissements-touristiques-et-developpement-des-territoires-en-1")&amp;CHAR(10)&amp;HYPERLINK("https://www.atout-france.fr/fr/actualites/investissements-touristiques-vers-un-nouveau-cycle-plus-selectif-et-durable","https://www.atout-france.fr/fr/actualites/investissements-touristiques-vers-un-nouveau-cycle-plus-selectif-et-durable")&amp;CHAR(10)&amp;HYPERLINK("https://www.atout-france.fr/fr/actualites/bilan-touristique-de-lannee-2025-avec-102-millions-de-visiteurs-la-france-pays-le-plus","https://www.atout-france.fr/fr/actualites/bilan-touristique-de-lannee-2025-avec-102-millions-de-visiteurs-la-france-pays-le-plus")&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
https://www.statistiques.developpement-durable.gouv.fr/construction-de-locaux-resultats-fin-janvier-2026-france-entiere
https://www.insee.fr/fr/statistiques/8671745
https://www.insee.fr/fr/statistiques/8906564</v>
      </c>
      <c r="GG95" s="529"/>
      <c r="GH95" s="563">
        <f t="shared" si="296"/>
        <v>1888.0134583333333</v>
      </c>
      <c r="GI95" s="563">
        <f t="shared" si="227"/>
        <v>1604.8104583333334</v>
      </c>
      <c r="GJ95" s="563">
        <f t="shared" si="297"/>
        <v>283.20299999999997</v>
      </c>
      <c r="GK95" s="563">
        <f t="shared" si="298"/>
        <v>1947.7381384615383</v>
      </c>
      <c r="GL95" s="563">
        <f t="shared" si="228"/>
        <v>1589.5696384615383</v>
      </c>
      <c r="GM95" s="563">
        <f t="shared" si="299"/>
        <v>358.16849999999994</v>
      </c>
      <c r="GN95" s="563">
        <f t="shared" si="300"/>
        <v>845.63959999999997</v>
      </c>
      <c r="GO95" s="563">
        <f t="shared" si="229"/>
        <v>712.36760000000004</v>
      </c>
      <c r="GP95" s="563">
        <f t="shared" si="301"/>
        <v>133.27199999999999</v>
      </c>
      <c r="GQ95" s="563">
        <f t="shared" si="302"/>
        <v>438.51442727272729</v>
      </c>
      <c r="GR95" s="563">
        <f t="shared" si="230"/>
        <v>380.20792727272732</v>
      </c>
      <c r="GS95" s="563">
        <f t="shared" si="303"/>
        <v>58.3065</v>
      </c>
      <c r="GT95" s="563">
        <f t="shared" si="304"/>
        <v>2871.1675272727271</v>
      </c>
      <c r="GU95" s="563">
        <f t="shared" si="231"/>
        <v>2471.3515272727273</v>
      </c>
      <c r="GV95" s="563">
        <f t="shared" si="305"/>
        <v>399.81599999999997</v>
      </c>
      <c r="GW95" s="563">
        <f t="shared" si="306"/>
        <v>1391.3997760000002</v>
      </c>
      <c r="GX95" s="563">
        <f t="shared" si="232"/>
        <v>1184.8281760000002</v>
      </c>
      <c r="GY95" s="563">
        <f t="shared" si="307"/>
        <v>206.57159999999999</v>
      </c>
      <c r="GZ95" s="563">
        <f t="shared" si="308"/>
        <v>437.41233000000005</v>
      </c>
      <c r="HA95" s="563">
        <f t="shared" si="233"/>
        <v>377.43993000000006</v>
      </c>
      <c r="HB95" s="563">
        <f t="shared" si="309"/>
        <v>59.9724</v>
      </c>
      <c r="HC95" s="563">
        <f t="shared" si="310"/>
        <v>0</v>
      </c>
      <c r="HD95" s="563">
        <f t="shared" si="234"/>
        <v>0</v>
      </c>
      <c r="HE95" s="563">
        <f t="shared" si="311"/>
        <v>0</v>
      </c>
      <c r="HF95" s="563">
        <f t="shared" si="312"/>
        <v>0</v>
      </c>
      <c r="HG95" s="563">
        <f t="shared" si="235"/>
        <v>0</v>
      </c>
      <c r="HH95" s="563">
        <f t="shared" si="313"/>
        <v>0</v>
      </c>
      <c r="HI95" s="563">
        <f t="shared" si="314"/>
        <v>0</v>
      </c>
      <c r="HJ95" s="563">
        <f t="shared" si="236"/>
        <v>0</v>
      </c>
      <c r="HK95" s="563">
        <f t="shared" si="315"/>
        <v>0</v>
      </c>
      <c r="HL95" s="563">
        <f t="shared" si="316"/>
        <v>0</v>
      </c>
      <c r="HM95" s="563">
        <f t="shared" si="237"/>
        <v>0</v>
      </c>
      <c r="HN95" s="563">
        <f t="shared" si="317"/>
        <v>0</v>
      </c>
      <c r="HO95" s="563">
        <f t="shared" si="318"/>
        <v>1965.1254307692307</v>
      </c>
      <c r="HP95" s="563">
        <f t="shared" si="238"/>
        <v>1665.2634307692306</v>
      </c>
      <c r="HQ95" s="563">
        <f t="shared" si="319"/>
        <v>299.86200000000002</v>
      </c>
      <c r="HR95" s="563">
        <f t="shared" si="320"/>
        <v>1326.2570923076921</v>
      </c>
      <c r="HS95" s="563">
        <f t="shared" si="239"/>
        <v>1059.713092307692</v>
      </c>
      <c r="HT95" s="563">
        <f t="shared" si="321"/>
        <v>266.54400000000004</v>
      </c>
      <c r="HU95" s="563">
        <f t="shared" si="322"/>
        <v>574.86573333333331</v>
      </c>
      <c r="HV95" s="563">
        <f t="shared" si="240"/>
        <v>474.9117333333333</v>
      </c>
      <c r="HW95" s="563">
        <f t="shared" si="323"/>
        <v>99.953999999999994</v>
      </c>
      <c r="HX95" s="544"/>
      <c r="HY95" s="568">
        <f t="shared" si="324"/>
        <v>35100</v>
      </c>
      <c r="HZ95" s="568">
        <f t="shared" si="325"/>
        <v>316.44</v>
      </c>
      <c r="IA95" s="568">
        <f t="shared" si="326"/>
        <v>9423</v>
      </c>
      <c r="IB95" s="568">
        <f t="shared" si="327"/>
        <v>17562.96</v>
      </c>
      <c r="IC95" s="568">
        <f t="shared" si="328"/>
        <v>7128</v>
      </c>
      <c r="ID95" s="568">
        <f t="shared" si="329"/>
        <v>669.59999999999991</v>
      </c>
      <c r="IE95" s="568">
        <f t="shared" si="330"/>
        <v>11520.463513750581</v>
      </c>
      <c r="IF95" s="568">
        <f t="shared" si="331"/>
        <v>0</v>
      </c>
      <c r="IG95" s="568">
        <f t="shared" si="332"/>
        <v>2633.662786609817</v>
      </c>
      <c r="IH95" s="568">
        <f t="shared" si="333"/>
        <v>5958.8712542648245</v>
      </c>
      <c r="II95" s="568">
        <f t="shared" si="334"/>
        <v>2641.6476560032957</v>
      </c>
      <c r="IJ95" s="568">
        <f t="shared" si="335"/>
        <v>286.28181687264475</v>
      </c>
      <c r="IK95" s="868">
        <v>4.1900000000000004</v>
      </c>
      <c r="IL95" s="569" t="s">
        <v>2589</v>
      </c>
      <c r="IM95" s="570" t="s">
        <v>4304</v>
      </c>
      <c r="IN95" s="529"/>
      <c r="IO95" s="742">
        <v>0.01</v>
      </c>
      <c r="IP95" s="742">
        <v>0.28000000000000003</v>
      </c>
      <c r="IQ95" s="742">
        <v>0.5</v>
      </c>
      <c r="IR95" s="742">
        <v>0.19</v>
      </c>
      <c r="IS95" s="742">
        <v>0.02</v>
      </c>
      <c r="IT95" s="742">
        <v>0</v>
      </c>
      <c r="IU95" s="742">
        <v>0.24310000000000001</v>
      </c>
      <c r="IV95" s="742">
        <v>0.5181</v>
      </c>
      <c r="IW95" s="742">
        <v>0.2132</v>
      </c>
      <c r="IX95" s="742">
        <v>2.5600000000000001E-2</v>
      </c>
      <c r="IY95" s="742">
        <v>5.5999999999999999E-3</v>
      </c>
      <c r="IZ95" s="742">
        <v>0.22270000000000001</v>
      </c>
      <c r="JA95" s="742">
        <v>0.49130000000000001</v>
      </c>
      <c r="JB95" s="742">
        <v>0.25779999999999997</v>
      </c>
      <c r="JC95" s="742">
        <v>2.2599999999999999E-2</v>
      </c>
      <c r="JD95" s="742">
        <v>0</v>
      </c>
      <c r="JE95" s="742">
        <v>0.186</v>
      </c>
      <c r="JF95" s="742">
        <v>0.50739999999999996</v>
      </c>
      <c r="JG95" s="742">
        <v>0.2787</v>
      </c>
      <c r="JH95" s="742">
        <v>2.7900000000000001E-2</v>
      </c>
      <c r="JI95" s="742">
        <v>0</v>
      </c>
      <c r="JJ95" s="742">
        <v>0</v>
      </c>
      <c r="JK95" s="742">
        <v>0</v>
      </c>
      <c r="JL95" s="742">
        <v>0</v>
      </c>
      <c r="JM95" s="742">
        <v>0</v>
      </c>
      <c r="JN95" s="742">
        <v>0</v>
      </c>
      <c r="JO95" s="742">
        <v>0</v>
      </c>
      <c r="JP95" s="742">
        <v>0</v>
      </c>
      <c r="JQ95" s="742">
        <v>0</v>
      </c>
      <c r="JR95" s="742">
        <v>0</v>
      </c>
      <c r="JS95" s="742">
        <v>1.12E-2</v>
      </c>
      <c r="JT95" s="742">
        <v>0.29980000000000001</v>
      </c>
      <c r="JU95" s="742">
        <v>0.50990000000000002</v>
      </c>
      <c r="JV95" s="742">
        <v>0.16470000000000001</v>
      </c>
      <c r="JW95" s="742">
        <v>1.44E-2</v>
      </c>
      <c r="JX95" s="742">
        <v>0</v>
      </c>
      <c r="JY95" s="742">
        <v>0.26290000000000002</v>
      </c>
      <c r="JZ95" s="742">
        <v>0.52849999999999997</v>
      </c>
      <c r="KA95" s="742">
        <v>0.18859999999999999</v>
      </c>
      <c r="KB95" s="742">
        <v>0.02</v>
      </c>
      <c r="KC95" s="657"/>
      <c r="KD95" s="832" t="s">
        <v>2590</v>
      </c>
      <c r="KE95" s="832" t="s">
        <v>2590</v>
      </c>
      <c r="KF95" s="869">
        <v>4.1399999999999997</v>
      </c>
      <c r="KG95" s="832" t="s">
        <v>2589</v>
      </c>
      <c r="KH95" s="833" t="s">
        <v>4157</v>
      </c>
      <c r="KI95" s="832" t="s">
        <v>3208</v>
      </c>
      <c r="KJ95" s="833" t="s">
        <v>4305</v>
      </c>
    </row>
    <row r="96" spans="1:296" ht="48" hidden="1" customHeight="1">
      <c r="A96" s="273">
        <f t="shared" si="336"/>
        <v>89</v>
      </c>
      <c r="B96" s="274" t="s">
        <v>4306</v>
      </c>
      <c r="C96" s="274" t="s">
        <v>4307</v>
      </c>
      <c r="D96" s="274" t="s">
        <v>4308</v>
      </c>
      <c r="E96" s="275" t="s">
        <v>4160</v>
      </c>
      <c r="F96" s="275" t="s">
        <v>2631</v>
      </c>
      <c r="G96" s="275" t="s">
        <v>2121</v>
      </c>
      <c r="H96" s="275" t="s">
        <v>2109</v>
      </c>
      <c r="I96" s="276" t="s">
        <v>4309</v>
      </c>
      <c r="J96" s="276" t="s">
        <v>4310</v>
      </c>
      <c r="K96" s="277" t="s">
        <v>2109</v>
      </c>
      <c r="L96" s="277" t="s">
        <v>2109</v>
      </c>
      <c r="M96" s="277" t="s">
        <v>3168</v>
      </c>
      <c r="N96" s="277" t="s">
        <v>3169</v>
      </c>
      <c r="O96" s="275" t="s">
        <v>2616</v>
      </c>
      <c r="P96" s="276"/>
      <c r="Q96" s="270">
        <v>1</v>
      </c>
      <c r="R96" s="278">
        <v>1400</v>
      </c>
      <c r="S96" s="279">
        <v>4800</v>
      </c>
      <c r="T96" s="279">
        <v>5450</v>
      </c>
      <c r="U96" s="279">
        <v>6300</v>
      </c>
      <c r="V96" s="279">
        <v>7000</v>
      </c>
      <c r="W96" s="279">
        <v>7150</v>
      </c>
      <c r="X96" s="279">
        <v>7320</v>
      </c>
      <c r="Y96" s="279">
        <v>7500</v>
      </c>
      <c r="Z96" s="279">
        <v>7680</v>
      </c>
      <c r="AA96" s="279">
        <v>7800</v>
      </c>
      <c r="AB96" s="279">
        <v>7720</v>
      </c>
      <c r="AC96" s="279">
        <v>7840</v>
      </c>
      <c r="AD96" s="279">
        <v>7920</v>
      </c>
      <c r="AE96" s="279">
        <v>8000</v>
      </c>
      <c r="AF96" s="279">
        <v>8080</v>
      </c>
      <c r="AG96" s="279">
        <v>8160</v>
      </c>
      <c r="AH96" s="279">
        <v>8240</v>
      </c>
      <c r="AI96" s="279">
        <v>8320</v>
      </c>
      <c r="AJ96" s="279">
        <v>8400</v>
      </c>
      <c r="AK96" s="279">
        <v>8480</v>
      </c>
      <c r="AL96" s="276" t="s">
        <v>4311</v>
      </c>
      <c r="AM96" s="276" t="s">
        <v>4193</v>
      </c>
      <c r="AN96" s="276" t="s">
        <v>4312</v>
      </c>
      <c r="AO96" s="657"/>
      <c r="AP96" s="278">
        <v>80</v>
      </c>
      <c r="AQ96" s="278">
        <v>70</v>
      </c>
      <c r="AR96" s="278">
        <v>8</v>
      </c>
      <c r="AS96" s="278">
        <v>2</v>
      </c>
      <c r="AT96" s="657"/>
      <c r="AU96" s="281" t="s">
        <v>4313</v>
      </c>
      <c r="AV96" s="296" t="s">
        <v>4314</v>
      </c>
      <c r="AW96" s="296" t="s">
        <v>3459</v>
      </c>
      <c r="AX96" s="276" t="s">
        <v>2670</v>
      </c>
      <c r="AY96" s="657"/>
      <c r="AZ96" s="947">
        <v>8</v>
      </c>
      <c r="BA96" s="947">
        <v>7</v>
      </c>
      <c r="BB96" s="947">
        <v>1</v>
      </c>
      <c r="BC96" s="947">
        <v>8</v>
      </c>
      <c r="BD96" s="826">
        <f t="shared" si="241"/>
        <v>193920</v>
      </c>
      <c r="BE96" s="283">
        <f t="shared" si="242"/>
        <v>64640</v>
      </c>
      <c r="BF96" s="283">
        <f t="shared" si="243"/>
        <v>56560</v>
      </c>
      <c r="BG96" s="283">
        <f t="shared" si="244"/>
        <v>8080</v>
      </c>
      <c r="BH96" s="283">
        <f t="shared" si="245"/>
        <v>64640</v>
      </c>
      <c r="BI96" s="826">
        <f t="shared" si="246"/>
        <v>203520</v>
      </c>
      <c r="BJ96" s="283">
        <f t="shared" si="247"/>
        <v>67840</v>
      </c>
      <c r="BK96" s="283">
        <f t="shared" si="248"/>
        <v>59360</v>
      </c>
      <c r="BL96" s="283">
        <f t="shared" si="249"/>
        <v>8480</v>
      </c>
      <c r="BM96" s="283">
        <f t="shared" si="250"/>
        <v>67840</v>
      </c>
      <c r="BN96" s="657"/>
      <c r="BO96" s="305">
        <v>0.38</v>
      </c>
      <c r="BP96" s="305">
        <v>0.42</v>
      </c>
      <c r="BQ96" s="305">
        <v>0.12</v>
      </c>
      <c r="BR96" s="581">
        <v>0.08</v>
      </c>
      <c r="BS96" s="706">
        <v>0.34</v>
      </c>
      <c r="BT96" s="305">
        <v>0.43</v>
      </c>
      <c r="BU96" s="305">
        <v>0.16</v>
      </c>
      <c r="BV96" s="581">
        <v>7.0000000000000007E-2</v>
      </c>
      <c r="BW96" s="713">
        <v>0.65</v>
      </c>
      <c r="BX96" s="306">
        <v>0.28000000000000003</v>
      </c>
      <c r="BY96" s="590">
        <v>7.0000000000000007E-2</v>
      </c>
      <c r="BZ96" s="713">
        <v>0.6</v>
      </c>
      <c r="CA96" s="306">
        <v>0.31</v>
      </c>
      <c r="CB96" s="590">
        <v>0.09</v>
      </c>
      <c r="CC96" s="706">
        <v>0.12</v>
      </c>
      <c r="CD96" s="305">
        <v>0.52</v>
      </c>
      <c r="CE96" s="305">
        <v>0.12</v>
      </c>
      <c r="CF96" s="581">
        <v>0.24</v>
      </c>
      <c r="CG96" s="706">
        <v>0.1</v>
      </c>
      <c r="CH96" s="305">
        <v>0.52</v>
      </c>
      <c r="CI96" s="305">
        <v>0.15</v>
      </c>
      <c r="CJ96" s="581">
        <v>0.23</v>
      </c>
      <c r="CK96" s="719">
        <v>0.55000000000000004</v>
      </c>
      <c r="CL96" s="307">
        <v>0.35</v>
      </c>
      <c r="CM96" s="723">
        <v>0.1</v>
      </c>
      <c r="CN96" s="719">
        <v>0.45</v>
      </c>
      <c r="CO96" s="307">
        <v>0.4</v>
      </c>
      <c r="CP96" s="723">
        <v>0.15</v>
      </c>
      <c r="CQ96" s="657"/>
      <c r="CR96" s="804">
        <v>12</v>
      </c>
      <c r="CS96" s="805">
        <v>13</v>
      </c>
      <c r="CT96" s="805">
        <v>9</v>
      </c>
      <c r="CU96" s="806">
        <v>11</v>
      </c>
      <c r="CV96" s="804">
        <v>11</v>
      </c>
      <c r="CW96" s="805">
        <v>10</v>
      </c>
      <c r="CX96" s="806">
        <v>8</v>
      </c>
      <c r="CY96" s="804">
        <v>10</v>
      </c>
      <c r="CZ96" s="805">
        <v>12</v>
      </c>
      <c r="DA96" s="805">
        <v>8</v>
      </c>
      <c r="DB96" s="806">
        <v>10</v>
      </c>
      <c r="DC96" s="804">
        <v>13</v>
      </c>
      <c r="DD96" s="805">
        <v>13</v>
      </c>
      <c r="DE96" s="806">
        <v>9</v>
      </c>
      <c r="DF96" s="609" t="s">
        <v>4315</v>
      </c>
      <c r="DG96" s="657"/>
      <c r="DH96" s="308">
        <f t="shared" si="251"/>
        <v>24563.200000000001</v>
      </c>
      <c r="DI96" s="308">
        <f t="shared" si="252"/>
        <v>27148.799999999999</v>
      </c>
      <c r="DJ96" s="308">
        <f t="shared" si="253"/>
        <v>7756.7999999999993</v>
      </c>
      <c r="DK96" s="308">
        <f t="shared" si="254"/>
        <v>5171.2</v>
      </c>
      <c r="DL96" s="287" t="s">
        <v>4316</v>
      </c>
      <c r="DM96" s="308">
        <f t="shared" si="255"/>
        <v>23065.600000000002</v>
      </c>
      <c r="DN96" s="308">
        <f t="shared" si="256"/>
        <v>29171.200000000001</v>
      </c>
      <c r="DO96" s="308">
        <f t="shared" si="257"/>
        <v>10854.4</v>
      </c>
      <c r="DP96" s="308">
        <f t="shared" si="258"/>
        <v>4748.8</v>
      </c>
      <c r="DQ96" s="289" t="s">
        <v>3551</v>
      </c>
      <c r="DR96" s="657"/>
      <c r="DS96" s="308">
        <f t="shared" si="259"/>
        <v>36764</v>
      </c>
      <c r="DT96" s="308">
        <f t="shared" si="260"/>
        <v>15836.800000000001</v>
      </c>
      <c r="DU96" s="308">
        <f t="shared" si="261"/>
        <v>3959.2000000000003</v>
      </c>
      <c r="DV96" s="289" t="s">
        <v>4317</v>
      </c>
      <c r="DW96" s="308">
        <f t="shared" si="262"/>
        <v>35616</v>
      </c>
      <c r="DX96" s="308">
        <f t="shared" si="263"/>
        <v>18401.599999999999</v>
      </c>
      <c r="DY96" s="308">
        <f t="shared" si="264"/>
        <v>5342.4</v>
      </c>
      <c r="DZ96" s="289" t="s">
        <v>4150</v>
      </c>
      <c r="EA96" s="657"/>
      <c r="EB96" s="308">
        <f t="shared" si="265"/>
        <v>969.59999999999991</v>
      </c>
      <c r="EC96" s="308">
        <f t="shared" si="266"/>
        <v>4201.6000000000004</v>
      </c>
      <c r="ED96" s="308">
        <f t="shared" si="267"/>
        <v>969.59999999999991</v>
      </c>
      <c r="EE96" s="308">
        <f t="shared" si="268"/>
        <v>1939.1999999999998</v>
      </c>
      <c r="EF96" s="289" t="s">
        <v>4318</v>
      </c>
      <c r="EG96" s="308">
        <f t="shared" si="269"/>
        <v>848</v>
      </c>
      <c r="EH96" s="308">
        <f t="shared" si="270"/>
        <v>4409.6000000000004</v>
      </c>
      <c r="EI96" s="308">
        <f t="shared" si="271"/>
        <v>1272</v>
      </c>
      <c r="EJ96" s="308">
        <f t="shared" si="272"/>
        <v>1950.4</v>
      </c>
      <c r="EK96" s="309" t="s">
        <v>2870</v>
      </c>
      <c r="EL96" s="657"/>
      <c r="EM96" s="308">
        <f t="shared" si="273"/>
        <v>35552</v>
      </c>
      <c r="EN96" s="310">
        <f t="shared" si="274"/>
        <v>22624</v>
      </c>
      <c r="EO96" s="310">
        <f t="shared" si="275"/>
        <v>6464</v>
      </c>
      <c r="EP96" s="289" t="s">
        <v>4319</v>
      </c>
      <c r="EQ96" s="308">
        <f t="shared" si="276"/>
        <v>30528</v>
      </c>
      <c r="ER96" s="310">
        <f t="shared" si="277"/>
        <v>27136</v>
      </c>
      <c r="ES96" s="310">
        <f t="shared" si="278"/>
        <v>10176</v>
      </c>
      <c r="ET96" s="289" t="s">
        <v>3555</v>
      </c>
      <c r="EU96" s="657"/>
      <c r="EV96" s="728">
        <f t="shared" si="279"/>
        <v>0.72589712721964827</v>
      </c>
      <c r="EW96" s="728">
        <f t="shared" si="280"/>
        <v>0.27410287278035173</v>
      </c>
      <c r="EX96" s="311">
        <f t="shared" si="281"/>
        <v>81291.990025422492</v>
      </c>
      <c r="EY96" s="311">
        <f t="shared" si="282"/>
        <v>59009.62202542249</v>
      </c>
      <c r="EZ96" s="311">
        <f t="shared" si="283"/>
        <v>22282.368000000002</v>
      </c>
      <c r="FA96" s="311">
        <f t="shared" si="284"/>
        <v>26382.561117622376</v>
      </c>
      <c r="FB96" s="311">
        <f t="shared" si="285"/>
        <v>18955.105117622377</v>
      </c>
      <c r="FC96" s="311">
        <f t="shared" si="286"/>
        <v>7427.4560000000001</v>
      </c>
      <c r="FD96" s="311">
        <f t="shared" si="287"/>
        <v>26192.306882159093</v>
      </c>
      <c r="FE96" s="311">
        <f t="shared" si="288"/>
        <v>19693.282882159092</v>
      </c>
      <c r="FF96" s="311">
        <f t="shared" si="289"/>
        <v>6499.0239999999994</v>
      </c>
      <c r="FG96" s="311">
        <f t="shared" si="290"/>
        <v>3665.0461999999998</v>
      </c>
      <c r="FH96" s="311">
        <f t="shared" si="291"/>
        <v>2736.6142</v>
      </c>
      <c r="FI96" s="311">
        <f t="shared" si="292"/>
        <v>928.43200000000002</v>
      </c>
      <c r="FJ96" s="311">
        <f t="shared" si="293"/>
        <v>25052.075825641026</v>
      </c>
      <c r="FK96" s="311">
        <f t="shared" si="294"/>
        <v>17624.619825641024</v>
      </c>
      <c r="FL96" s="311">
        <f t="shared" si="295"/>
        <v>7427.4560000000001</v>
      </c>
      <c r="FM96" s="657"/>
      <c r="FN96" s="293" t="s">
        <v>2649</v>
      </c>
      <c r="FO96" s="728">
        <v>6.54E-2</v>
      </c>
      <c r="FP96" s="729">
        <v>0.79215000000000002</v>
      </c>
      <c r="FQ96" s="294" t="s">
        <v>4320</v>
      </c>
      <c r="FR96" s="657"/>
      <c r="FS96" s="865">
        <v>3.62</v>
      </c>
      <c r="FT96" s="312">
        <f>RANK($FS96,$FS$8:$FS$154,0)+COUNTIF($FS$8:$FS96,$FS96)-1</f>
        <v>21</v>
      </c>
      <c r="FU96" s="865">
        <v>4.49</v>
      </c>
      <c r="FV96" s="312">
        <f>RANK($FU96,$FU$8:$FU$154,0)+COUNTIF($FU$8:$FU96,$FU96)-1</f>
        <v>15</v>
      </c>
      <c r="FW96" s="865">
        <v>2.0699999999999998</v>
      </c>
      <c r="FX96" s="312">
        <f>RANK($FW96,$FW$8:$FW$154,0)+COUNTIF($FW$8:$FW96,$FW96)-1</f>
        <v>87</v>
      </c>
      <c r="FY96" s="657"/>
      <c r="FZ96" s="296" t="s">
        <v>4321</v>
      </c>
      <c r="GA96" s="296" t="s">
        <v>4322</v>
      </c>
      <c r="GB96" s="296" t="s">
        <v>2653</v>
      </c>
      <c r="GC96" s="296" t="s">
        <v>2654</v>
      </c>
      <c r="GD96" s="296" t="s">
        <v>2655</v>
      </c>
      <c r="GE96" s="296" t="s">
        <v>2656</v>
      </c>
      <c r="GF96" s="296" t="str">
        <f>HYPERLINK("https://www.cnsa.fr/budget-et-financement/financement-des-esms/investissement-immobilier","https://www.cnsa.fr/budget-et-financement/financement-des-esms/investissement-immobilier")&amp;CHAR(10)&amp;HYPERLINK("https://www.cnsa.fr/actualites/instruction-budgetaire-les-priorites-de-financement-des-esms-pour-lexercice-2025","https://www.cnsa.fr/actualites/instruction-budgetaire-les-priorites-de-financement-des-esms-pour-lexercice-2025")&amp;CHAR(10)&amp;HYPERLINK("https://www.cnsa.fr/actualites/le-plan-national-50-000-solutions-des-avancees-tangibles","https://www.cnsa.fr/actualites/le-plan-national-50-000-solutions-des-avancees-tangibles")&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https://www.cnsa.fr/budget-et-financement/financement-des-esms/investissement-immobilier
https://www.cnsa.fr/actualites/instruction-budgetaire-les-priorites-de-financement-des-esms-pour-lexercice-2025
https://www.cnsa.fr/actualites/le-plan-national-50-000-solutions-des-avancees-tangibles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96" s="657"/>
      <c r="GH96" s="311">
        <f t="shared" si="296"/>
        <v>9603.2481000000007</v>
      </c>
      <c r="GI96" s="311">
        <f t="shared" si="227"/>
        <v>7077.9130600000008</v>
      </c>
      <c r="GJ96" s="311">
        <f t="shared" si="297"/>
        <v>2525.3350400000004</v>
      </c>
      <c r="GK96" s="311">
        <f t="shared" si="298"/>
        <v>10169.308363076923</v>
      </c>
      <c r="GL96" s="311">
        <f t="shared" si="228"/>
        <v>6975.502283076924</v>
      </c>
      <c r="GM96" s="311">
        <f t="shared" si="299"/>
        <v>3193.8060799999998</v>
      </c>
      <c r="GN96" s="311">
        <f t="shared" si="300"/>
        <v>4400.9308799999999</v>
      </c>
      <c r="GO96" s="311">
        <f t="shared" si="229"/>
        <v>3212.5379199999998</v>
      </c>
      <c r="GP96" s="311">
        <f t="shared" si="301"/>
        <v>1188.3929600000001</v>
      </c>
      <c r="GQ96" s="311">
        <f t="shared" si="302"/>
        <v>2209.0737745454549</v>
      </c>
      <c r="GR96" s="311">
        <f t="shared" si="230"/>
        <v>1689.1518545454546</v>
      </c>
      <c r="GS96" s="311">
        <f t="shared" si="303"/>
        <v>519.92192000000011</v>
      </c>
      <c r="GT96" s="311">
        <f t="shared" si="304"/>
        <v>15908.228365909092</v>
      </c>
      <c r="GU96" s="311">
        <f t="shared" si="231"/>
        <v>12008.813965909092</v>
      </c>
      <c r="GV96" s="311">
        <f t="shared" si="305"/>
        <v>3899.4143999999997</v>
      </c>
      <c r="GW96" s="311">
        <f t="shared" si="306"/>
        <v>7829.2368700000006</v>
      </c>
      <c r="GX96" s="311">
        <f t="shared" si="232"/>
        <v>5814.5394300000007</v>
      </c>
      <c r="GY96" s="311">
        <f t="shared" si="307"/>
        <v>2014.6974399999999</v>
      </c>
      <c r="GZ96" s="311">
        <f t="shared" si="308"/>
        <v>2454.8416462500004</v>
      </c>
      <c r="HA96" s="311">
        <f t="shared" si="233"/>
        <v>1869.9294862500003</v>
      </c>
      <c r="HB96" s="311">
        <f t="shared" si="309"/>
        <v>584.91215999999997</v>
      </c>
      <c r="HC96" s="311">
        <f t="shared" si="310"/>
        <v>448.83540999999997</v>
      </c>
      <c r="HD96" s="311">
        <f t="shared" si="234"/>
        <v>355.99220999999994</v>
      </c>
      <c r="HE96" s="311">
        <f t="shared" si="311"/>
        <v>92.84320000000001</v>
      </c>
      <c r="HF96" s="311">
        <f t="shared" si="312"/>
        <v>1693.4802950000003</v>
      </c>
      <c r="HG96" s="311">
        <f t="shared" si="235"/>
        <v>1210.6956550000002</v>
      </c>
      <c r="HH96" s="311">
        <f t="shared" si="313"/>
        <v>482.78464000000002</v>
      </c>
      <c r="HI96" s="311">
        <f t="shared" si="314"/>
        <v>597.20671499999992</v>
      </c>
      <c r="HJ96" s="311">
        <f t="shared" si="236"/>
        <v>457.94191499999994</v>
      </c>
      <c r="HK96" s="311">
        <f t="shared" si="315"/>
        <v>139.26480000000001</v>
      </c>
      <c r="HL96" s="311">
        <f t="shared" si="316"/>
        <v>925.52377999999987</v>
      </c>
      <c r="HM96" s="311">
        <f t="shared" si="237"/>
        <v>711.98441999999989</v>
      </c>
      <c r="HN96" s="311">
        <f t="shared" si="317"/>
        <v>213.53936000000002</v>
      </c>
      <c r="HO96" s="311">
        <f t="shared" si="318"/>
        <v>12476.941523076923</v>
      </c>
      <c r="HP96" s="311">
        <f t="shared" si="238"/>
        <v>9134.5863230769228</v>
      </c>
      <c r="HQ96" s="311">
        <f t="shared" si="319"/>
        <v>3342.3552</v>
      </c>
      <c r="HR96" s="311">
        <f t="shared" si="320"/>
        <v>8783.90096923077</v>
      </c>
      <c r="HS96" s="311">
        <f t="shared" si="239"/>
        <v>5812.9185692307692</v>
      </c>
      <c r="HT96" s="311">
        <f t="shared" si="321"/>
        <v>2970.9824000000003</v>
      </c>
      <c r="HU96" s="311">
        <f t="shared" si="322"/>
        <v>3791.2333333333327</v>
      </c>
      <c r="HV96" s="311">
        <f t="shared" si="240"/>
        <v>2677.1149333333328</v>
      </c>
      <c r="HW96" s="311">
        <f t="shared" si="323"/>
        <v>1114.1184000000001</v>
      </c>
      <c r="HY96" s="313">
        <f t="shared" si="324"/>
        <v>193920</v>
      </c>
      <c r="HZ96" s="313">
        <f t="shared" si="325"/>
        <v>20384.224000000002</v>
      </c>
      <c r="IA96" s="313">
        <f t="shared" si="326"/>
        <v>104729.728</v>
      </c>
      <c r="IB96" s="313">
        <f t="shared" si="327"/>
        <v>63773.824000000008</v>
      </c>
      <c r="IC96" s="313">
        <f t="shared" si="328"/>
        <v>5032.2240000000002</v>
      </c>
      <c r="ID96" s="313">
        <f t="shared" si="329"/>
        <v>0</v>
      </c>
      <c r="IE96" s="313">
        <f t="shared" si="330"/>
        <v>59009.622025422497</v>
      </c>
      <c r="IF96" s="313">
        <f t="shared" si="331"/>
        <v>5035.7375727463223</v>
      </c>
      <c r="IG96" s="313">
        <f t="shared" si="332"/>
        <v>30469.453649689749</v>
      </c>
      <c r="IH96" s="313">
        <f t="shared" si="333"/>
        <v>20546.377584349109</v>
      </c>
      <c r="II96" s="313">
        <f t="shared" si="334"/>
        <v>2698.4108817254578</v>
      </c>
      <c r="IJ96" s="313">
        <f t="shared" si="335"/>
        <v>259.64233691185899</v>
      </c>
      <c r="IK96" s="866">
        <v>4.12</v>
      </c>
      <c r="IL96" s="314" t="s">
        <v>2589</v>
      </c>
      <c r="IM96" s="299" t="s">
        <v>4323</v>
      </c>
      <c r="IN96" s="657"/>
      <c r="IO96" s="730">
        <v>0.1</v>
      </c>
      <c r="IP96" s="730">
        <v>0.53</v>
      </c>
      <c r="IQ96" s="730">
        <v>0.34</v>
      </c>
      <c r="IR96" s="730">
        <v>0.03</v>
      </c>
      <c r="IS96" s="730">
        <v>0</v>
      </c>
      <c r="IT96" s="730">
        <v>8.0100000000000005E-2</v>
      </c>
      <c r="IU96" s="730">
        <v>0.50570000000000004</v>
      </c>
      <c r="IV96" s="730">
        <v>0.3599</v>
      </c>
      <c r="IW96" s="730">
        <v>4.99E-2</v>
      </c>
      <c r="IX96" s="730">
        <v>4.4000000000000003E-3</v>
      </c>
      <c r="IY96" s="730">
        <v>0.1022</v>
      </c>
      <c r="IZ96" s="730">
        <v>0.54190000000000005</v>
      </c>
      <c r="JA96" s="730">
        <v>0.33110000000000001</v>
      </c>
      <c r="JB96" s="730">
        <v>2.4799999999999999E-2</v>
      </c>
      <c r="JC96" s="730">
        <v>0</v>
      </c>
      <c r="JD96" s="730">
        <v>8.2299999999999998E-2</v>
      </c>
      <c r="JE96" s="730">
        <v>0.51759999999999995</v>
      </c>
      <c r="JF96" s="730">
        <v>0.35099999999999998</v>
      </c>
      <c r="JG96" s="730">
        <v>4.4699999999999997E-2</v>
      </c>
      <c r="JH96" s="730">
        <v>4.4000000000000003E-3</v>
      </c>
      <c r="JI96" s="730">
        <v>0.15459999999999999</v>
      </c>
      <c r="JJ96" s="730">
        <v>0.61470000000000002</v>
      </c>
      <c r="JK96" s="730">
        <v>0.21909999999999999</v>
      </c>
      <c r="JL96" s="730">
        <v>1.1599999999999999E-2</v>
      </c>
      <c r="JM96" s="730">
        <v>0</v>
      </c>
      <c r="JN96" s="730">
        <v>0.13469999999999999</v>
      </c>
      <c r="JO96" s="730">
        <v>0.59040000000000004</v>
      </c>
      <c r="JP96" s="730">
        <v>0.23899999999999999</v>
      </c>
      <c r="JQ96" s="730">
        <v>3.15E-2</v>
      </c>
      <c r="JR96" s="730">
        <v>4.4000000000000003E-3</v>
      </c>
      <c r="JS96" s="730">
        <v>0.1066</v>
      </c>
      <c r="JT96" s="730">
        <v>0.53920000000000001</v>
      </c>
      <c r="JU96" s="730">
        <v>0.32950000000000002</v>
      </c>
      <c r="JV96" s="730">
        <v>2.47E-2</v>
      </c>
      <c r="JW96" s="730">
        <v>0</v>
      </c>
      <c r="JX96" s="730">
        <v>8.6699999999999999E-2</v>
      </c>
      <c r="JY96" s="730">
        <v>0.51490000000000002</v>
      </c>
      <c r="JZ96" s="730">
        <v>0.34939999999999999</v>
      </c>
      <c r="KA96" s="730">
        <v>4.4600000000000001E-2</v>
      </c>
      <c r="KB96" s="730">
        <v>4.4000000000000003E-3</v>
      </c>
      <c r="KC96" s="657"/>
      <c r="KD96" s="314" t="s">
        <v>2590</v>
      </c>
      <c r="KE96" s="314" t="s">
        <v>2590</v>
      </c>
      <c r="KF96" s="866">
        <v>4.1500000000000004</v>
      </c>
      <c r="KG96" s="314" t="s">
        <v>2589</v>
      </c>
      <c r="KH96" s="315" t="s">
        <v>4324</v>
      </c>
      <c r="KI96" s="314" t="s">
        <v>3028</v>
      </c>
      <c r="KJ96" s="315" t="s">
        <v>4325</v>
      </c>
    </row>
    <row r="97" spans="1:296" ht="48" hidden="1" customHeight="1">
      <c r="A97" s="265">
        <f t="shared" si="336"/>
        <v>90</v>
      </c>
      <c r="B97" s="266" t="s">
        <v>4306</v>
      </c>
      <c r="C97" s="266" t="s">
        <v>4307</v>
      </c>
      <c r="D97" s="624" t="s">
        <v>4326</v>
      </c>
      <c r="E97" s="267" t="s">
        <v>4327</v>
      </c>
      <c r="F97" s="267" t="s">
        <v>2631</v>
      </c>
      <c r="G97" s="267" t="s">
        <v>2121</v>
      </c>
      <c r="H97" s="267" t="s">
        <v>2109</v>
      </c>
      <c r="I97" s="268" t="s">
        <v>4328</v>
      </c>
      <c r="J97" s="268" t="s">
        <v>4329</v>
      </c>
      <c r="K97" s="269" t="s">
        <v>2097</v>
      </c>
      <c r="L97" s="269" t="s">
        <v>2109</v>
      </c>
      <c r="M97" s="269" t="s">
        <v>3168</v>
      </c>
      <c r="N97" s="269" t="s">
        <v>3169</v>
      </c>
      <c r="O97" s="267" t="s">
        <v>2616</v>
      </c>
      <c r="P97" s="268"/>
      <c r="Q97" s="270">
        <v>1</v>
      </c>
      <c r="R97" s="271">
        <v>420</v>
      </c>
      <c r="S97" s="272">
        <v>420</v>
      </c>
      <c r="T97" s="272">
        <v>500</v>
      </c>
      <c r="U97" s="272">
        <v>610</v>
      </c>
      <c r="V97" s="272">
        <v>720</v>
      </c>
      <c r="W97" s="272">
        <v>745</v>
      </c>
      <c r="X97" s="272">
        <v>770</v>
      </c>
      <c r="Y97" s="272">
        <v>800</v>
      </c>
      <c r="Z97" s="272">
        <v>830</v>
      </c>
      <c r="AA97" s="272">
        <v>860</v>
      </c>
      <c r="AB97" s="272">
        <v>875</v>
      </c>
      <c r="AC97" s="272">
        <v>895</v>
      </c>
      <c r="AD97" s="272">
        <v>915</v>
      </c>
      <c r="AE97" s="272">
        <v>940</v>
      </c>
      <c r="AF97" s="272">
        <v>965</v>
      </c>
      <c r="AG97" s="272">
        <v>985</v>
      </c>
      <c r="AH97" s="272">
        <v>1005</v>
      </c>
      <c r="AI97" s="272">
        <v>1020</v>
      </c>
      <c r="AJ97" s="272">
        <v>1035</v>
      </c>
      <c r="AK97" s="272">
        <v>1050</v>
      </c>
      <c r="AL97" s="268" t="s">
        <v>4330</v>
      </c>
      <c r="AM97" s="268" t="s">
        <v>4331</v>
      </c>
      <c r="AN97" s="268" t="s">
        <v>4332</v>
      </c>
      <c r="AO97" s="657"/>
      <c r="AP97" s="271">
        <v>60</v>
      </c>
      <c r="AQ97" s="280">
        <v>50</v>
      </c>
      <c r="AR97" s="280">
        <v>8</v>
      </c>
      <c r="AS97" s="280">
        <v>2</v>
      </c>
      <c r="AT97" s="657"/>
      <c r="AU97" s="301" t="s">
        <v>4333</v>
      </c>
      <c r="AV97" s="572" t="s">
        <v>4334</v>
      </c>
      <c r="AW97" s="645" t="s">
        <v>3569</v>
      </c>
      <c r="AX97" s="290" t="s">
        <v>2670</v>
      </c>
      <c r="AY97" s="657"/>
      <c r="AZ97" s="948">
        <v>5</v>
      </c>
      <c r="BA97" s="948">
        <v>4</v>
      </c>
      <c r="BB97" s="948">
        <v>0.8</v>
      </c>
      <c r="BC97" s="948">
        <v>5</v>
      </c>
      <c r="BD97" s="825">
        <f t="shared" si="241"/>
        <v>14282</v>
      </c>
      <c r="BE97" s="304">
        <f t="shared" si="242"/>
        <v>4825</v>
      </c>
      <c r="BF97" s="304">
        <f t="shared" si="243"/>
        <v>3860</v>
      </c>
      <c r="BG97" s="304">
        <f t="shared" si="244"/>
        <v>772</v>
      </c>
      <c r="BH97" s="304">
        <f t="shared" si="245"/>
        <v>4825</v>
      </c>
      <c r="BI97" s="825">
        <f t="shared" si="246"/>
        <v>15540</v>
      </c>
      <c r="BJ97" s="304">
        <f t="shared" si="247"/>
        <v>5250</v>
      </c>
      <c r="BK97" s="304">
        <f t="shared" si="248"/>
        <v>4200</v>
      </c>
      <c r="BL97" s="304">
        <f t="shared" si="249"/>
        <v>840</v>
      </c>
      <c r="BM97" s="304">
        <f t="shared" si="250"/>
        <v>5250</v>
      </c>
      <c r="BN97" s="657"/>
      <c r="BO97" s="284">
        <v>0.38</v>
      </c>
      <c r="BP97" s="284">
        <v>0.42</v>
      </c>
      <c r="BQ97" s="284">
        <v>0.12</v>
      </c>
      <c r="BR97" s="710">
        <v>0.08</v>
      </c>
      <c r="BS97" s="707">
        <v>0.34</v>
      </c>
      <c r="BT97" s="284">
        <v>0.43</v>
      </c>
      <c r="BU97" s="284">
        <v>0.16</v>
      </c>
      <c r="BV97" s="710">
        <v>7.0000000000000007E-2</v>
      </c>
      <c r="BW97" s="714">
        <v>0.65</v>
      </c>
      <c r="BX97" s="285">
        <v>0.28000000000000003</v>
      </c>
      <c r="BY97" s="717">
        <v>7.0000000000000007E-2</v>
      </c>
      <c r="BZ97" s="714">
        <v>0.6</v>
      </c>
      <c r="CA97" s="285">
        <v>0.31</v>
      </c>
      <c r="CB97" s="717">
        <v>0.09</v>
      </c>
      <c r="CC97" s="284">
        <v>0.12</v>
      </c>
      <c r="CD97" s="284">
        <v>0.52</v>
      </c>
      <c r="CE97" s="284">
        <v>0.12</v>
      </c>
      <c r="CF97" s="710">
        <v>0.24</v>
      </c>
      <c r="CG97" s="707">
        <v>0.1</v>
      </c>
      <c r="CH97" s="284">
        <v>0.52</v>
      </c>
      <c r="CI97" s="284">
        <v>0.15</v>
      </c>
      <c r="CJ97" s="710">
        <v>0.23</v>
      </c>
      <c r="CK97" s="720">
        <v>0.55000000000000004</v>
      </c>
      <c r="CL97" s="286">
        <v>0.35</v>
      </c>
      <c r="CM97" s="718">
        <v>0.1</v>
      </c>
      <c r="CN97" s="720">
        <v>0.45</v>
      </c>
      <c r="CO97" s="286">
        <v>0.4</v>
      </c>
      <c r="CP97" s="718">
        <v>0.15</v>
      </c>
      <c r="CQ97" s="657"/>
      <c r="CR97" s="807">
        <v>12</v>
      </c>
      <c r="CS97" s="808">
        <v>13</v>
      </c>
      <c r="CT97" s="808">
        <v>9</v>
      </c>
      <c r="CU97" s="809">
        <v>11</v>
      </c>
      <c r="CV97" s="807">
        <v>11</v>
      </c>
      <c r="CW97" s="808">
        <v>10</v>
      </c>
      <c r="CX97" s="809">
        <v>8</v>
      </c>
      <c r="CY97" s="807">
        <v>10</v>
      </c>
      <c r="CZ97" s="808">
        <v>12</v>
      </c>
      <c r="DA97" s="808">
        <v>8</v>
      </c>
      <c r="DB97" s="809">
        <v>10</v>
      </c>
      <c r="DC97" s="807">
        <v>13</v>
      </c>
      <c r="DD97" s="808">
        <v>13</v>
      </c>
      <c r="DE97" s="809">
        <v>9</v>
      </c>
      <c r="DF97" s="610" t="s">
        <v>4335</v>
      </c>
      <c r="DG97" s="657"/>
      <c r="DH97" s="288">
        <f t="shared" si="251"/>
        <v>1833.5</v>
      </c>
      <c r="DI97" s="288">
        <f t="shared" si="252"/>
        <v>2026.5</v>
      </c>
      <c r="DJ97" s="288">
        <f t="shared" si="253"/>
        <v>579</v>
      </c>
      <c r="DK97" s="288">
        <f t="shared" si="254"/>
        <v>386</v>
      </c>
      <c r="DL97" s="560" t="s">
        <v>4336</v>
      </c>
      <c r="DM97" s="288">
        <f t="shared" si="255"/>
        <v>1785.0000000000002</v>
      </c>
      <c r="DN97" s="288">
        <f t="shared" si="256"/>
        <v>2257.5</v>
      </c>
      <c r="DO97" s="288">
        <f t="shared" si="257"/>
        <v>840</v>
      </c>
      <c r="DP97" s="288">
        <f t="shared" si="258"/>
        <v>367.50000000000006</v>
      </c>
      <c r="DQ97" s="561" t="s">
        <v>3551</v>
      </c>
      <c r="DR97" s="657"/>
      <c r="DS97" s="288">
        <f t="shared" si="259"/>
        <v>2509</v>
      </c>
      <c r="DT97" s="288">
        <f t="shared" si="260"/>
        <v>1080.8000000000002</v>
      </c>
      <c r="DU97" s="288">
        <f t="shared" si="261"/>
        <v>270.20000000000005</v>
      </c>
      <c r="DV97" s="561" t="s">
        <v>4337</v>
      </c>
      <c r="DW97" s="288">
        <f t="shared" si="262"/>
        <v>2520</v>
      </c>
      <c r="DX97" s="288">
        <f t="shared" si="263"/>
        <v>1302</v>
      </c>
      <c r="DY97" s="288">
        <f t="shared" si="264"/>
        <v>378</v>
      </c>
      <c r="DZ97" s="561" t="s">
        <v>4150</v>
      </c>
      <c r="EA97" s="657"/>
      <c r="EB97" s="288">
        <f t="shared" si="265"/>
        <v>92.64</v>
      </c>
      <c r="EC97" s="288">
        <f t="shared" si="266"/>
        <v>401.44</v>
      </c>
      <c r="ED97" s="288">
        <f t="shared" si="267"/>
        <v>92.64</v>
      </c>
      <c r="EE97" s="288">
        <f t="shared" si="268"/>
        <v>185.28</v>
      </c>
      <c r="EF97" s="561" t="s">
        <v>4338</v>
      </c>
      <c r="EG97" s="288">
        <f t="shared" si="269"/>
        <v>84</v>
      </c>
      <c r="EH97" s="288">
        <f t="shared" si="270"/>
        <v>436.8</v>
      </c>
      <c r="EI97" s="288">
        <f t="shared" si="271"/>
        <v>126</v>
      </c>
      <c r="EJ97" s="288">
        <f t="shared" si="272"/>
        <v>193.20000000000002</v>
      </c>
      <c r="EK97" s="561" t="s">
        <v>4339</v>
      </c>
      <c r="EL97" s="657"/>
      <c r="EM97" s="288">
        <f t="shared" si="273"/>
        <v>2653.75</v>
      </c>
      <c r="EN97" s="291">
        <f t="shared" si="274"/>
        <v>1688.75</v>
      </c>
      <c r="EO97" s="291">
        <f t="shared" si="275"/>
        <v>482.5</v>
      </c>
      <c r="EP97" s="561" t="s">
        <v>4340</v>
      </c>
      <c r="EQ97" s="288">
        <f t="shared" si="276"/>
        <v>2362.5</v>
      </c>
      <c r="ER97" s="291">
        <f t="shared" si="277"/>
        <v>2100</v>
      </c>
      <c r="ES97" s="291">
        <f t="shared" si="278"/>
        <v>787.5</v>
      </c>
      <c r="ET97" s="561" t="s">
        <v>3555</v>
      </c>
      <c r="EU97" s="657"/>
      <c r="EV97" s="740">
        <f t="shared" si="279"/>
        <v>0.63340352652028031</v>
      </c>
      <c r="EW97" s="740">
        <f t="shared" si="280"/>
        <v>0.36659647347971974</v>
      </c>
      <c r="EX97" s="563">
        <f t="shared" si="281"/>
        <v>5979.4432259350824</v>
      </c>
      <c r="EY97" s="563">
        <f t="shared" si="282"/>
        <v>3787.4004259350822</v>
      </c>
      <c r="EZ97" s="563">
        <f t="shared" si="283"/>
        <v>2192.0428000000002</v>
      </c>
      <c r="FA97" s="563">
        <f t="shared" si="284"/>
        <v>1969.538102491259</v>
      </c>
      <c r="FB97" s="563">
        <f t="shared" si="285"/>
        <v>1228.9831024912589</v>
      </c>
      <c r="FC97" s="563">
        <f t="shared" si="286"/>
        <v>740.55500000000006</v>
      </c>
      <c r="FD97" s="563">
        <f t="shared" si="287"/>
        <v>1789.5454008181819</v>
      </c>
      <c r="FE97" s="563">
        <f t="shared" si="288"/>
        <v>1197.1014008181819</v>
      </c>
      <c r="FF97" s="563">
        <f t="shared" si="289"/>
        <v>592.44399999999996</v>
      </c>
      <c r="FG97" s="563">
        <f t="shared" si="290"/>
        <v>350.44933159999999</v>
      </c>
      <c r="FH97" s="563">
        <f t="shared" si="291"/>
        <v>231.9605316</v>
      </c>
      <c r="FI97" s="563">
        <f t="shared" si="292"/>
        <v>118.4888</v>
      </c>
      <c r="FJ97" s="563">
        <f t="shared" si="293"/>
        <v>1869.910391025641</v>
      </c>
      <c r="FK97" s="563">
        <f t="shared" si="294"/>
        <v>1129.355391025641</v>
      </c>
      <c r="FL97" s="563">
        <f t="shared" si="295"/>
        <v>740.55500000000006</v>
      </c>
      <c r="FM97" s="529"/>
      <c r="FN97" s="564" t="s">
        <v>2649</v>
      </c>
      <c r="FO97" s="740">
        <v>6.54E-2</v>
      </c>
      <c r="FP97" s="741">
        <v>0.79215000000000002</v>
      </c>
      <c r="FQ97" s="565" t="s">
        <v>4320</v>
      </c>
      <c r="FR97" s="529"/>
      <c r="FS97" s="867">
        <v>3.62</v>
      </c>
      <c r="FT97" s="566">
        <f>RANK($FS97,$FS$8:$FS$154,0)+COUNTIF($FS$8:$FS97,$FS97)-1</f>
        <v>22</v>
      </c>
      <c r="FU97" s="867">
        <v>4.49</v>
      </c>
      <c r="FV97" s="566">
        <f>RANK($FU97,$FU$8:$FU$154,0)+COUNTIF($FU$8:$FU97,$FU97)-1</f>
        <v>16</v>
      </c>
      <c r="FW97" s="867">
        <v>2.0699999999999998</v>
      </c>
      <c r="FX97" s="566">
        <f>RANK($FW97,$FW$8:$FW$154,0)+COUNTIF($FW$8:$FW97,$FW97)-1</f>
        <v>88</v>
      </c>
      <c r="FY97" s="529"/>
      <c r="FZ97" s="567" t="s">
        <v>4321</v>
      </c>
      <c r="GA97" s="567" t="s">
        <v>4341</v>
      </c>
      <c r="GB97" s="567" t="s">
        <v>2653</v>
      </c>
      <c r="GC97" s="567" t="s">
        <v>2654</v>
      </c>
      <c r="GD97" s="567" t="s">
        <v>2655</v>
      </c>
      <c r="GE97" s="567" t="s">
        <v>2656</v>
      </c>
      <c r="GF97" s="567" t="str">
        <f>HYPERLINK("https://anct.gouv.fr/france-services-36","https://anct.gouv.fr/france-services-36")&amp;CHAR(10)&amp;HYPERLINK("https://www.economie.gouv.fr/particuliers/gerer-mon-argent/beneficier-daides-et-de-reductions-dimpots/france-services-les-services-publics-pres-de-chez-vous","https://www.economie.gouv.fr/particuliers/gerer-mon-argent/beneficier-daides-et-de-reductions-dimpots/france-services-les-services-publics-pres-de-chez-vous")&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97" s="529"/>
      <c r="GH97" s="563">
        <f t="shared" si="296"/>
        <v>708.95826875</v>
      </c>
      <c r="GI97" s="563">
        <f t="shared" si="227"/>
        <v>457.16956875</v>
      </c>
      <c r="GJ97" s="563">
        <f t="shared" si="297"/>
        <v>251.78870000000003</v>
      </c>
      <c r="GK97" s="563">
        <f t="shared" si="298"/>
        <v>760.549751923077</v>
      </c>
      <c r="GL97" s="563">
        <f t="shared" si="228"/>
        <v>442.111101923077</v>
      </c>
      <c r="GM97" s="563">
        <f t="shared" si="299"/>
        <v>318.43865</v>
      </c>
      <c r="GN97" s="563">
        <f t="shared" si="300"/>
        <v>336.85815000000002</v>
      </c>
      <c r="GO97" s="563">
        <f t="shared" si="229"/>
        <v>218.36935</v>
      </c>
      <c r="GP97" s="563">
        <f t="shared" si="301"/>
        <v>118.48880000000001</v>
      </c>
      <c r="GQ97" s="563">
        <f t="shared" si="302"/>
        <v>163.17193181818183</v>
      </c>
      <c r="GR97" s="563">
        <f t="shared" si="230"/>
        <v>111.33308181818182</v>
      </c>
      <c r="GS97" s="563">
        <f t="shared" si="303"/>
        <v>51.838850000000008</v>
      </c>
      <c r="GT97" s="563">
        <f t="shared" si="304"/>
        <v>1079.1314318181819</v>
      </c>
      <c r="GU97" s="563">
        <f t="shared" si="231"/>
        <v>723.66503181818189</v>
      </c>
      <c r="GV97" s="563">
        <f t="shared" si="305"/>
        <v>355.46639999999996</v>
      </c>
      <c r="GW97" s="563">
        <f t="shared" si="306"/>
        <v>538.98444400000005</v>
      </c>
      <c r="GX97" s="563">
        <f t="shared" si="232"/>
        <v>355.3268040000001</v>
      </c>
      <c r="GY97" s="563">
        <f t="shared" si="307"/>
        <v>183.65763999999999</v>
      </c>
      <c r="GZ97" s="563">
        <f t="shared" si="308"/>
        <v>171.42952500000001</v>
      </c>
      <c r="HA97" s="563">
        <f t="shared" si="233"/>
        <v>118.10956500000002</v>
      </c>
      <c r="HB97" s="563">
        <f t="shared" si="309"/>
        <v>53.319959999999995</v>
      </c>
      <c r="HC97" s="563">
        <f t="shared" si="310"/>
        <v>42.305463200000005</v>
      </c>
      <c r="HD97" s="563">
        <f t="shared" si="234"/>
        <v>30.456583200000001</v>
      </c>
      <c r="HE97" s="563">
        <f t="shared" si="311"/>
        <v>11.848880000000001</v>
      </c>
      <c r="HF97" s="563">
        <f t="shared" si="312"/>
        <v>161.71025</v>
      </c>
      <c r="HG97" s="563">
        <f t="shared" si="235"/>
        <v>100.096074</v>
      </c>
      <c r="HH97" s="563">
        <f t="shared" si="313"/>
        <v>61.614176</v>
      </c>
      <c r="HI97" s="563">
        <f t="shared" si="314"/>
        <v>58.268027999999994</v>
      </c>
      <c r="HJ97" s="563">
        <f t="shared" si="236"/>
        <v>40.494707999999996</v>
      </c>
      <c r="HK97" s="563">
        <f t="shared" si="315"/>
        <v>17.773319999999998</v>
      </c>
      <c r="HL97" s="563">
        <f t="shared" si="316"/>
        <v>88.165590399999999</v>
      </c>
      <c r="HM97" s="563">
        <f t="shared" si="237"/>
        <v>60.913166400000001</v>
      </c>
      <c r="HN97" s="563">
        <f t="shared" si="317"/>
        <v>27.252424000000001</v>
      </c>
      <c r="HO97" s="563">
        <f t="shared" si="318"/>
        <v>912.20476442307688</v>
      </c>
      <c r="HP97" s="563">
        <f t="shared" si="238"/>
        <v>578.95501442307682</v>
      </c>
      <c r="HQ97" s="563">
        <f t="shared" si="319"/>
        <v>333.24975000000006</v>
      </c>
      <c r="HR97" s="563">
        <f t="shared" si="320"/>
        <v>664.64791826923079</v>
      </c>
      <c r="HS97" s="563">
        <f t="shared" si="239"/>
        <v>368.42591826923075</v>
      </c>
      <c r="HT97" s="563">
        <f t="shared" si="321"/>
        <v>296.22200000000004</v>
      </c>
      <c r="HU97" s="563">
        <f t="shared" si="322"/>
        <v>293.05770833333332</v>
      </c>
      <c r="HV97" s="563">
        <f t="shared" si="240"/>
        <v>181.97445833333333</v>
      </c>
      <c r="HW97" s="563">
        <f t="shared" si="323"/>
        <v>111.08325000000001</v>
      </c>
      <c r="HX97" s="544"/>
      <c r="HY97" s="568">
        <f t="shared" si="324"/>
        <v>13510</v>
      </c>
      <c r="HZ97" s="568">
        <f t="shared" si="325"/>
        <v>1391.337</v>
      </c>
      <c r="IA97" s="568">
        <f t="shared" si="326"/>
        <v>7250.6239999999998</v>
      </c>
      <c r="IB97" s="568">
        <f t="shared" si="327"/>
        <v>4508.3834999999999</v>
      </c>
      <c r="IC97" s="568">
        <f t="shared" si="328"/>
        <v>359.65550000000002</v>
      </c>
      <c r="ID97" s="568">
        <f t="shared" si="329"/>
        <v>0</v>
      </c>
      <c r="IE97" s="568">
        <f t="shared" si="330"/>
        <v>3555.4398943350816</v>
      </c>
      <c r="IF97" s="568">
        <f t="shared" si="331"/>
        <v>294.8781041988093</v>
      </c>
      <c r="IG97" s="568">
        <f t="shared" si="332"/>
        <v>1822.6215308324231</v>
      </c>
      <c r="IH97" s="568">
        <f t="shared" si="333"/>
        <v>1257.0903838981449</v>
      </c>
      <c r="II97" s="568">
        <f t="shared" si="334"/>
        <v>165.20593987063015</v>
      </c>
      <c r="IJ97" s="568">
        <f t="shared" si="335"/>
        <v>15.643935535074361</v>
      </c>
      <c r="IK97" s="868">
        <v>4.12</v>
      </c>
      <c r="IL97" s="569" t="s">
        <v>2589</v>
      </c>
      <c r="IM97" s="570" t="s">
        <v>4342</v>
      </c>
      <c r="IN97" s="529"/>
      <c r="IO97" s="742">
        <v>0.1</v>
      </c>
      <c r="IP97" s="742">
        <v>0.53</v>
      </c>
      <c r="IQ97" s="742">
        <v>0.34</v>
      </c>
      <c r="IR97" s="742">
        <v>0.03</v>
      </c>
      <c r="IS97" s="742">
        <v>0</v>
      </c>
      <c r="IT97" s="742">
        <v>8.0100000000000005E-2</v>
      </c>
      <c r="IU97" s="742">
        <v>0.50570000000000004</v>
      </c>
      <c r="IV97" s="742">
        <v>0.3599</v>
      </c>
      <c r="IW97" s="742">
        <v>4.99E-2</v>
      </c>
      <c r="IX97" s="742">
        <v>4.4000000000000003E-3</v>
      </c>
      <c r="IY97" s="742">
        <v>0.1022</v>
      </c>
      <c r="IZ97" s="742">
        <v>0.54190000000000005</v>
      </c>
      <c r="JA97" s="742">
        <v>0.33110000000000001</v>
      </c>
      <c r="JB97" s="742">
        <v>2.4799999999999999E-2</v>
      </c>
      <c r="JC97" s="742">
        <v>0</v>
      </c>
      <c r="JD97" s="742">
        <v>8.2299999999999998E-2</v>
      </c>
      <c r="JE97" s="742">
        <v>0.51759999999999995</v>
      </c>
      <c r="JF97" s="742">
        <v>0.35099999999999998</v>
      </c>
      <c r="JG97" s="742">
        <v>4.4699999999999997E-2</v>
      </c>
      <c r="JH97" s="742">
        <v>4.4000000000000003E-3</v>
      </c>
      <c r="JI97" s="742">
        <v>0</v>
      </c>
      <c r="JJ97" s="742">
        <v>0</v>
      </c>
      <c r="JK97" s="742">
        <v>0</v>
      </c>
      <c r="JL97" s="742">
        <v>0</v>
      </c>
      <c r="JM97" s="742">
        <v>0</v>
      </c>
      <c r="JN97" s="742">
        <v>0</v>
      </c>
      <c r="JO97" s="742">
        <v>0</v>
      </c>
      <c r="JP97" s="742">
        <v>0</v>
      </c>
      <c r="JQ97" s="742">
        <v>0</v>
      </c>
      <c r="JR97" s="742">
        <v>0</v>
      </c>
      <c r="JS97" s="742">
        <v>0.1066</v>
      </c>
      <c r="JT97" s="742">
        <v>0.53920000000000001</v>
      </c>
      <c r="JU97" s="742">
        <v>0.32950000000000002</v>
      </c>
      <c r="JV97" s="742">
        <v>2.47E-2</v>
      </c>
      <c r="JW97" s="742">
        <v>0</v>
      </c>
      <c r="JX97" s="742">
        <v>8.6699999999999999E-2</v>
      </c>
      <c r="JY97" s="742">
        <v>0.51490000000000002</v>
      </c>
      <c r="JZ97" s="742">
        <v>0.34939999999999999</v>
      </c>
      <c r="KA97" s="742">
        <v>4.4600000000000001E-2</v>
      </c>
      <c r="KB97" s="742">
        <v>4.4000000000000003E-3</v>
      </c>
      <c r="KC97" s="657"/>
      <c r="KD97" s="832" t="s">
        <v>2590</v>
      </c>
      <c r="KE97" s="832" t="s">
        <v>2590</v>
      </c>
      <c r="KF97" s="869">
        <v>4.1500000000000004</v>
      </c>
      <c r="KG97" s="832" t="s">
        <v>2589</v>
      </c>
      <c r="KH97" s="833" t="s">
        <v>4324</v>
      </c>
      <c r="KI97" s="832" t="s">
        <v>3028</v>
      </c>
      <c r="KJ97" s="833" t="s">
        <v>4343</v>
      </c>
    </row>
    <row r="98" spans="1:296" ht="48" hidden="1" customHeight="1">
      <c r="A98" s="273">
        <f t="shared" si="336"/>
        <v>91</v>
      </c>
      <c r="B98" s="274" t="s">
        <v>4306</v>
      </c>
      <c r="C98" s="274" t="s">
        <v>4307</v>
      </c>
      <c r="D98" s="274" t="s">
        <v>4344</v>
      </c>
      <c r="E98" s="275" t="s">
        <v>4345</v>
      </c>
      <c r="F98" s="275" t="s">
        <v>2631</v>
      </c>
      <c r="G98" s="275" t="s">
        <v>2121</v>
      </c>
      <c r="H98" s="275" t="s">
        <v>2109</v>
      </c>
      <c r="I98" s="276" t="s">
        <v>4346</v>
      </c>
      <c r="J98" s="276" t="s">
        <v>4347</v>
      </c>
      <c r="K98" s="277" t="s">
        <v>2109</v>
      </c>
      <c r="L98" s="277" t="s">
        <v>2109</v>
      </c>
      <c r="M98" s="277" t="s">
        <v>3168</v>
      </c>
      <c r="N98" s="277" t="s">
        <v>3169</v>
      </c>
      <c r="O98" s="275" t="s">
        <v>3170</v>
      </c>
      <c r="P98" s="276"/>
      <c r="Q98" s="270">
        <v>1</v>
      </c>
      <c r="R98" s="278">
        <v>1950</v>
      </c>
      <c r="S98" s="279">
        <v>760</v>
      </c>
      <c r="T98" s="279">
        <v>790</v>
      </c>
      <c r="U98" s="279">
        <v>820</v>
      </c>
      <c r="V98" s="279">
        <v>845</v>
      </c>
      <c r="W98" s="279">
        <v>850</v>
      </c>
      <c r="X98" s="279">
        <v>852</v>
      </c>
      <c r="Y98" s="279">
        <v>855</v>
      </c>
      <c r="Z98" s="279">
        <v>857</v>
      </c>
      <c r="AA98" s="279">
        <v>858</v>
      </c>
      <c r="AB98" s="279">
        <v>860</v>
      </c>
      <c r="AC98" s="279">
        <v>862</v>
      </c>
      <c r="AD98" s="279">
        <v>865</v>
      </c>
      <c r="AE98" s="279">
        <v>868</v>
      </c>
      <c r="AF98" s="279">
        <v>870</v>
      </c>
      <c r="AG98" s="279">
        <v>872</v>
      </c>
      <c r="AH98" s="279">
        <v>874</v>
      </c>
      <c r="AI98" s="279">
        <v>876</v>
      </c>
      <c r="AJ98" s="279">
        <v>878</v>
      </c>
      <c r="AK98" s="279">
        <v>880</v>
      </c>
      <c r="AL98" s="276" t="s">
        <v>4348</v>
      </c>
      <c r="AM98" s="276" t="s">
        <v>4193</v>
      </c>
      <c r="AN98" s="276" t="s">
        <v>4312</v>
      </c>
      <c r="AO98" s="657"/>
      <c r="AP98" s="278">
        <v>55</v>
      </c>
      <c r="AQ98" s="278">
        <v>47</v>
      </c>
      <c r="AR98" s="278">
        <v>6</v>
      </c>
      <c r="AS98" s="278">
        <v>2</v>
      </c>
      <c r="AT98" s="657"/>
      <c r="AU98" s="281" t="s">
        <v>4349</v>
      </c>
      <c r="AV98" s="296" t="s">
        <v>4350</v>
      </c>
      <c r="AW98" s="296" t="s">
        <v>4351</v>
      </c>
      <c r="AX98" s="276" t="s">
        <v>2670</v>
      </c>
      <c r="AY98" s="657"/>
      <c r="AZ98" s="947">
        <v>6</v>
      </c>
      <c r="BA98" s="947">
        <v>6</v>
      </c>
      <c r="BB98" s="947">
        <v>1</v>
      </c>
      <c r="BC98" s="947">
        <v>6</v>
      </c>
      <c r="BD98" s="826">
        <f t="shared" si="241"/>
        <v>16530</v>
      </c>
      <c r="BE98" s="283">
        <f t="shared" si="242"/>
        <v>5220</v>
      </c>
      <c r="BF98" s="283">
        <f t="shared" si="243"/>
        <v>5220</v>
      </c>
      <c r="BG98" s="283">
        <f t="shared" si="244"/>
        <v>870</v>
      </c>
      <c r="BH98" s="283">
        <f t="shared" si="245"/>
        <v>5220</v>
      </c>
      <c r="BI98" s="826">
        <f t="shared" si="246"/>
        <v>16720</v>
      </c>
      <c r="BJ98" s="283">
        <f t="shared" si="247"/>
        <v>5280</v>
      </c>
      <c r="BK98" s="283">
        <f t="shared" si="248"/>
        <v>5280</v>
      </c>
      <c r="BL98" s="283">
        <f t="shared" si="249"/>
        <v>880</v>
      </c>
      <c r="BM98" s="283">
        <f t="shared" si="250"/>
        <v>5280</v>
      </c>
      <c r="BN98" s="657"/>
      <c r="BO98" s="305">
        <v>0.38</v>
      </c>
      <c r="BP98" s="305">
        <v>0.42</v>
      </c>
      <c r="BQ98" s="305">
        <v>0.12</v>
      </c>
      <c r="BR98" s="581">
        <v>0.08</v>
      </c>
      <c r="BS98" s="706">
        <v>0.34</v>
      </c>
      <c r="BT98" s="305">
        <v>0.43</v>
      </c>
      <c r="BU98" s="305">
        <v>0.16</v>
      </c>
      <c r="BV98" s="581">
        <v>7.0000000000000007E-2</v>
      </c>
      <c r="BW98" s="713">
        <v>0.65</v>
      </c>
      <c r="BX98" s="306">
        <v>0.28000000000000003</v>
      </c>
      <c r="BY98" s="590">
        <v>7.0000000000000007E-2</v>
      </c>
      <c r="BZ98" s="713">
        <v>0.6</v>
      </c>
      <c r="CA98" s="306">
        <v>0.31</v>
      </c>
      <c r="CB98" s="590">
        <v>0.09</v>
      </c>
      <c r="CC98" s="706">
        <v>0.12</v>
      </c>
      <c r="CD98" s="305">
        <v>0.52</v>
      </c>
      <c r="CE98" s="305">
        <v>0.12</v>
      </c>
      <c r="CF98" s="581">
        <v>0.24</v>
      </c>
      <c r="CG98" s="706">
        <v>0.1</v>
      </c>
      <c r="CH98" s="305">
        <v>0.52</v>
      </c>
      <c r="CI98" s="305">
        <v>0.15</v>
      </c>
      <c r="CJ98" s="581">
        <v>0.23</v>
      </c>
      <c r="CK98" s="719">
        <v>0.55000000000000004</v>
      </c>
      <c r="CL98" s="307">
        <v>0.35</v>
      </c>
      <c r="CM98" s="723">
        <v>0.1</v>
      </c>
      <c r="CN98" s="719">
        <v>0.45</v>
      </c>
      <c r="CO98" s="307">
        <v>0.4</v>
      </c>
      <c r="CP98" s="723">
        <v>0.15</v>
      </c>
      <c r="CQ98" s="657"/>
      <c r="CR98" s="804">
        <v>12</v>
      </c>
      <c r="CS98" s="805">
        <v>13</v>
      </c>
      <c r="CT98" s="805">
        <v>9</v>
      </c>
      <c r="CU98" s="806">
        <v>11</v>
      </c>
      <c r="CV98" s="804">
        <v>11</v>
      </c>
      <c r="CW98" s="805">
        <v>10</v>
      </c>
      <c r="CX98" s="806">
        <v>8</v>
      </c>
      <c r="CY98" s="804">
        <v>10</v>
      </c>
      <c r="CZ98" s="805">
        <v>12</v>
      </c>
      <c r="DA98" s="805">
        <v>8</v>
      </c>
      <c r="DB98" s="806">
        <v>10</v>
      </c>
      <c r="DC98" s="804">
        <v>13</v>
      </c>
      <c r="DD98" s="805">
        <v>13</v>
      </c>
      <c r="DE98" s="806">
        <v>9</v>
      </c>
      <c r="DF98" s="609" t="s">
        <v>4352</v>
      </c>
      <c r="DG98" s="657"/>
      <c r="DH98" s="308">
        <f t="shared" si="251"/>
        <v>1983.6000000000001</v>
      </c>
      <c r="DI98" s="308">
        <f t="shared" si="252"/>
        <v>2192.4</v>
      </c>
      <c r="DJ98" s="308">
        <f t="shared" si="253"/>
        <v>626.4</v>
      </c>
      <c r="DK98" s="308">
        <f t="shared" si="254"/>
        <v>417.6</v>
      </c>
      <c r="DL98" s="287" t="s">
        <v>4353</v>
      </c>
      <c r="DM98" s="308">
        <f t="shared" si="255"/>
        <v>1795.2</v>
      </c>
      <c r="DN98" s="308">
        <f t="shared" si="256"/>
        <v>2270.4</v>
      </c>
      <c r="DO98" s="308">
        <f t="shared" si="257"/>
        <v>844.80000000000007</v>
      </c>
      <c r="DP98" s="308">
        <f t="shared" si="258"/>
        <v>369.6</v>
      </c>
      <c r="DQ98" s="289" t="s">
        <v>3551</v>
      </c>
      <c r="DR98" s="657"/>
      <c r="DS98" s="308">
        <f t="shared" si="259"/>
        <v>3393</v>
      </c>
      <c r="DT98" s="308">
        <f t="shared" si="260"/>
        <v>1461.6000000000001</v>
      </c>
      <c r="DU98" s="308">
        <f t="shared" si="261"/>
        <v>365.40000000000003</v>
      </c>
      <c r="DV98" s="289" t="s">
        <v>4354</v>
      </c>
      <c r="DW98" s="308">
        <f t="shared" si="262"/>
        <v>3168</v>
      </c>
      <c r="DX98" s="308">
        <f t="shared" si="263"/>
        <v>1636.8</v>
      </c>
      <c r="DY98" s="308">
        <f t="shared" si="264"/>
        <v>475.2</v>
      </c>
      <c r="DZ98" s="289" t="s">
        <v>4150</v>
      </c>
      <c r="EA98" s="657"/>
      <c r="EB98" s="308">
        <f t="shared" si="265"/>
        <v>104.39999999999999</v>
      </c>
      <c r="EC98" s="308">
        <f t="shared" si="266"/>
        <v>452.40000000000003</v>
      </c>
      <c r="ED98" s="308">
        <f t="shared" si="267"/>
        <v>104.39999999999999</v>
      </c>
      <c r="EE98" s="308">
        <f t="shared" si="268"/>
        <v>208.79999999999998</v>
      </c>
      <c r="EF98" s="289" t="s">
        <v>4355</v>
      </c>
      <c r="EG98" s="308">
        <f t="shared" si="269"/>
        <v>88</v>
      </c>
      <c r="EH98" s="308">
        <f t="shared" si="270"/>
        <v>457.6</v>
      </c>
      <c r="EI98" s="308">
        <f t="shared" si="271"/>
        <v>132</v>
      </c>
      <c r="EJ98" s="308">
        <f t="shared" si="272"/>
        <v>202.4</v>
      </c>
      <c r="EK98" s="309" t="s">
        <v>2870</v>
      </c>
      <c r="EL98" s="657"/>
      <c r="EM98" s="308">
        <f t="shared" si="273"/>
        <v>2871.0000000000005</v>
      </c>
      <c r="EN98" s="310">
        <f t="shared" si="274"/>
        <v>1826.9999999999998</v>
      </c>
      <c r="EO98" s="310">
        <f t="shared" si="275"/>
        <v>522</v>
      </c>
      <c r="EP98" s="289" t="s">
        <v>4356</v>
      </c>
      <c r="EQ98" s="308">
        <f t="shared" si="276"/>
        <v>2376</v>
      </c>
      <c r="ER98" s="310">
        <f t="shared" si="277"/>
        <v>2112</v>
      </c>
      <c r="ES98" s="310">
        <f t="shared" si="278"/>
        <v>792</v>
      </c>
      <c r="ET98" s="289" t="s">
        <v>3555</v>
      </c>
      <c r="EU98" s="657"/>
      <c r="EV98" s="728">
        <f t="shared" si="279"/>
        <v>0.81397634056826407</v>
      </c>
      <c r="EW98" s="728">
        <f t="shared" si="280"/>
        <v>0.1860236594317359</v>
      </c>
      <c r="EX98" s="311">
        <f t="shared" si="281"/>
        <v>6832.7975263083918</v>
      </c>
      <c r="EY98" s="311">
        <f t="shared" si="282"/>
        <v>5561.7355263083919</v>
      </c>
      <c r="EZ98" s="311">
        <f t="shared" si="283"/>
        <v>1271.0619999999999</v>
      </c>
      <c r="FA98" s="311">
        <f t="shared" si="284"/>
        <v>2098.3484593216785</v>
      </c>
      <c r="FB98" s="311">
        <f t="shared" si="285"/>
        <v>1696.9604593216784</v>
      </c>
      <c r="FC98" s="311">
        <f t="shared" si="286"/>
        <v>401.38799999999998</v>
      </c>
      <c r="FD98" s="311">
        <f t="shared" si="287"/>
        <v>2344.5597472636368</v>
      </c>
      <c r="FE98" s="311">
        <f t="shared" si="288"/>
        <v>1943.1717472636367</v>
      </c>
      <c r="FF98" s="311">
        <f t="shared" si="289"/>
        <v>401.38799999999998</v>
      </c>
      <c r="FG98" s="311">
        <f t="shared" si="290"/>
        <v>384.6494328</v>
      </c>
      <c r="FH98" s="311">
        <f t="shared" si="291"/>
        <v>317.75143279999998</v>
      </c>
      <c r="FI98" s="311">
        <f t="shared" si="292"/>
        <v>66.897999999999996</v>
      </c>
      <c r="FJ98" s="311">
        <f t="shared" si="293"/>
        <v>2005.2398869230769</v>
      </c>
      <c r="FK98" s="311">
        <f t="shared" si="294"/>
        <v>1603.851886923077</v>
      </c>
      <c r="FL98" s="311">
        <f t="shared" si="295"/>
        <v>401.38799999999998</v>
      </c>
      <c r="FM98" s="657"/>
      <c r="FN98" s="293" t="s">
        <v>2649</v>
      </c>
      <c r="FO98" s="728">
        <v>6.54E-2</v>
      </c>
      <c r="FP98" s="729">
        <v>0.79215000000000002</v>
      </c>
      <c r="FQ98" s="294" t="s">
        <v>4320</v>
      </c>
      <c r="FR98" s="657"/>
      <c r="FS98" s="865">
        <v>3.62</v>
      </c>
      <c r="FT98" s="312">
        <f>RANK($FS98,$FS$8:$FS$154,0)+COUNTIF($FS$8:$FS98,$FS98)-1</f>
        <v>23</v>
      </c>
      <c r="FU98" s="865">
        <v>4.49</v>
      </c>
      <c r="FV98" s="312">
        <f>RANK($FU98,$FU$8:$FU$154,0)+COUNTIF($FU$8:$FU98,$FU98)-1</f>
        <v>17</v>
      </c>
      <c r="FW98" s="865">
        <v>2.0699999999999998</v>
      </c>
      <c r="FX98" s="312">
        <f>RANK($FW98,$FW$8:$FW$154,0)+COUNTIF($FW$8:$FW98,$FW98)-1</f>
        <v>89</v>
      </c>
      <c r="FY98" s="657"/>
      <c r="FZ98" s="296" t="s">
        <v>4321</v>
      </c>
      <c r="GA98" s="296" t="s">
        <v>4357</v>
      </c>
      <c r="GB98" s="296" t="s">
        <v>2653</v>
      </c>
      <c r="GC98" s="296" t="s">
        <v>2654</v>
      </c>
      <c r="GD98" s="296" t="s">
        <v>2655</v>
      </c>
      <c r="GE98" s="296" t="s">
        <v>2656</v>
      </c>
      <c r="GF98" s="296" t="str">
        <f>HYPERLINK("https://www.cnsa.fr/budget-et-financement/financement-des-esms/investissement-immobilier","https://www.cnsa.fr/budget-et-financement/financement-des-esms/investissement-immobilier")&amp;CHAR(10)&amp;HYPERLINK("https://www.cnsa.fr/actualites/instruction-budgetaire-les-priorites-de-financement-des-esms-pour-lexercice-2025","https://www.cnsa.fr/actualites/instruction-budgetaire-les-priorites-de-financement-des-esms-pour-lexercice-2025")&amp;CHAR(10)&amp;HYPERLINK("https://www.cnsa.fr/actualites/le-plan-national-50-000-solutions-des-avancees-tangibles","https://www.cnsa.fr/actualites/le-plan-national-50-000-solutions-des-avancees-tangibles")&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https://www.cnsa.fr/budget-et-financement/financement-des-esms/investissement-immobilier
https://www.cnsa.fr/actualites/instruction-budgetaire-les-priorites-de-financement-des-esms-pour-lexercice-2025
https://www.cnsa.fr/actualites/le-plan-national-50-000-solutions-des-avancees-tangibles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98" s="657"/>
      <c r="GH98" s="311">
        <f t="shared" si="296"/>
        <v>771.91880700000002</v>
      </c>
      <c r="GI98" s="311">
        <f t="shared" si="227"/>
        <v>635.44688699999995</v>
      </c>
      <c r="GJ98" s="311">
        <f t="shared" si="297"/>
        <v>136.47192000000001</v>
      </c>
      <c r="GK98" s="311">
        <f t="shared" si="298"/>
        <v>815.53259123076941</v>
      </c>
      <c r="GL98" s="311">
        <f t="shared" si="228"/>
        <v>642.93575123076937</v>
      </c>
      <c r="GM98" s="311">
        <f t="shared" si="299"/>
        <v>172.59683999999999</v>
      </c>
      <c r="GN98" s="311">
        <f t="shared" si="300"/>
        <v>335.580984</v>
      </c>
      <c r="GO98" s="311">
        <f t="shared" si="229"/>
        <v>271.358904</v>
      </c>
      <c r="GP98" s="311">
        <f t="shared" si="301"/>
        <v>64.222079999999991</v>
      </c>
      <c r="GQ98" s="311">
        <f t="shared" si="302"/>
        <v>175.31607709090912</v>
      </c>
      <c r="GR98" s="311">
        <f t="shared" si="230"/>
        <v>147.21891709090912</v>
      </c>
      <c r="GS98" s="311">
        <f t="shared" si="303"/>
        <v>28.097160000000002</v>
      </c>
      <c r="GT98" s="311">
        <f t="shared" si="304"/>
        <v>1436.9865013636365</v>
      </c>
      <c r="GU98" s="311">
        <f t="shared" si="231"/>
        <v>1196.1537013636366</v>
      </c>
      <c r="GV98" s="311">
        <f t="shared" si="305"/>
        <v>240.83279999999996</v>
      </c>
      <c r="GW98" s="311">
        <f t="shared" si="306"/>
        <v>692.9531664000001</v>
      </c>
      <c r="GX98" s="311">
        <f t="shared" si="232"/>
        <v>568.52288640000006</v>
      </c>
      <c r="GY98" s="311">
        <f t="shared" si="307"/>
        <v>124.43028</v>
      </c>
      <c r="GZ98" s="311">
        <f t="shared" si="308"/>
        <v>214.6200795</v>
      </c>
      <c r="HA98" s="311">
        <f t="shared" si="233"/>
        <v>178.4951595</v>
      </c>
      <c r="HB98" s="311">
        <f t="shared" si="309"/>
        <v>36.124919999999996</v>
      </c>
      <c r="HC98" s="311">
        <f t="shared" si="310"/>
        <v>47.298577599999994</v>
      </c>
      <c r="HD98" s="311">
        <f t="shared" si="234"/>
        <v>40.608777599999996</v>
      </c>
      <c r="HE98" s="311">
        <f t="shared" si="311"/>
        <v>6.6898</v>
      </c>
      <c r="HF98" s="311">
        <f t="shared" si="312"/>
        <v>179.71344300000001</v>
      </c>
      <c r="HG98" s="311">
        <f t="shared" si="235"/>
        <v>144.92648300000002</v>
      </c>
      <c r="HH98" s="311">
        <f t="shared" si="313"/>
        <v>34.786960000000001</v>
      </c>
      <c r="HI98" s="311">
        <f t="shared" si="314"/>
        <v>61.03331699999999</v>
      </c>
      <c r="HJ98" s="311">
        <f t="shared" si="236"/>
        <v>50.998616999999989</v>
      </c>
      <c r="HK98" s="311">
        <f t="shared" si="315"/>
        <v>10.034699999999999</v>
      </c>
      <c r="HL98" s="311">
        <f t="shared" si="316"/>
        <v>96.604095199999989</v>
      </c>
      <c r="HM98" s="311">
        <f t="shared" si="237"/>
        <v>81.217555199999993</v>
      </c>
      <c r="HN98" s="311">
        <f t="shared" si="317"/>
        <v>15.38654</v>
      </c>
      <c r="HO98" s="311">
        <f t="shared" si="318"/>
        <v>1022.5642742307695</v>
      </c>
      <c r="HP98" s="311">
        <f t="shared" si="238"/>
        <v>841.93967423076947</v>
      </c>
      <c r="HQ98" s="311">
        <f t="shared" si="319"/>
        <v>180.62459999999999</v>
      </c>
      <c r="HR98" s="311">
        <f t="shared" si="320"/>
        <v>696.33499269230765</v>
      </c>
      <c r="HS98" s="311">
        <f t="shared" si="239"/>
        <v>535.77979269230764</v>
      </c>
      <c r="HT98" s="311">
        <f t="shared" si="321"/>
        <v>160.55520000000001</v>
      </c>
      <c r="HU98" s="311">
        <f t="shared" si="322"/>
        <v>286.34061999999994</v>
      </c>
      <c r="HV98" s="311">
        <f t="shared" si="240"/>
        <v>226.13241999999997</v>
      </c>
      <c r="HW98" s="311">
        <f t="shared" si="323"/>
        <v>60.208199999999991</v>
      </c>
      <c r="HY98" s="313">
        <f t="shared" si="324"/>
        <v>16530</v>
      </c>
      <c r="HZ98" s="313">
        <f t="shared" si="325"/>
        <v>1746.4379999999999</v>
      </c>
      <c r="IA98" s="313">
        <f t="shared" si="326"/>
        <v>8944.7310000000016</v>
      </c>
      <c r="IB98" s="313">
        <f t="shared" si="327"/>
        <v>5413.7490000000007</v>
      </c>
      <c r="IC98" s="313">
        <f t="shared" si="328"/>
        <v>425.08199999999999</v>
      </c>
      <c r="ID98" s="313">
        <f t="shared" si="329"/>
        <v>0</v>
      </c>
      <c r="IE98" s="313">
        <f t="shared" si="330"/>
        <v>5561.7355263083919</v>
      </c>
      <c r="IF98" s="313">
        <f t="shared" si="331"/>
        <v>477.70464418585459</v>
      </c>
      <c r="IG98" s="313">
        <f t="shared" si="332"/>
        <v>2877.3623831644431</v>
      </c>
      <c r="IH98" s="313">
        <f t="shared" si="333"/>
        <v>1929.1177943295315</v>
      </c>
      <c r="II98" s="313">
        <f t="shared" si="334"/>
        <v>253.07906831280553</v>
      </c>
      <c r="IJ98" s="313">
        <f t="shared" si="335"/>
        <v>24.471636315756925</v>
      </c>
      <c r="IK98" s="866">
        <v>4.12</v>
      </c>
      <c r="IL98" s="314" t="s">
        <v>2589</v>
      </c>
      <c r="IM98" s="299" t="s">
        <v>4358</v>
      </c>
      <c r="IN98" s="657"/>
      <c r="IO98" s="730">
        <v>0.1</v>
      </c>
      <c r="IP98" s="730">
        <v>0.53</v>
      </c>
      <c r="IQ98" s="730">
        <v>0.34</v>
      </c>
      <c r="IR98" s="730">
        <v>0.03</v>
      </c>
      <c r="IS98" s="730">
        <v>0</v>
      </c>
      <c r="IT98" s="730">
        <v>8.0100000000000005E-2</v>
      </c>
      <c r="IU98" s="730">
        <v>0.50570000000000004</v>
      </c>
      <c r="IV98" s="730">
        <v>0.3599</v>
      </c>
      <c r="IW98" s="730">
        <v>4.99E-2</v>
      </c>
      <c r="IX98" s="730">
        <v>4.4000000000000003E-3</v>
      </c>
      <c r="IY98" s="730">
        <v>0.1022</v>
      </c>
      <c r="IZ98" s="730">
        <v>0.54190000000000005</v>
      </c>
      <c r="JA98" s="730">
        <v>0.33110000000000001</v>
      </c>
      <c r="JB98" s="730">
        <v>2.4799999999999999E-2</v>
      </c>
      <c r="JC98" s="730">
        <v>0</v>
      </c>
      <c r="JD98" s="730">
        <v>8.2299999999999998E-2</v>
      </c>
      <c r="JE98" s="730">
        <v>0.51759999999999995</v>
      </c>
      <c r="JF98" s="730">
        <v>0.35099999999999998</v>
      </c>
      <c r="JG98" s="730">
        <v>4.4699999999999997E-2</v>
      </c>
      <c r="JH98" s="730">
        <v>4.4000000000000003E-3</v>
      </c>
      <c r="JI98" s="730">
        <v>0.15459999999999999</v>
      </c>
      <c r="JJ98" s="730">
        <v>0.61470000000000002</v>
      </c>
      <c r="JK98" s="730">
        <v>0.21909999999999999</v>
      </c>
      <c r="JL98" s="730">
        <v>1.1599999999999999E-2</v>
      </c>
      <c r="JM98" s="730">
        <v>0</v>
      </c>
      <c r="JN98" s="730">
        <v>0.13469999999999999</v>
      </c>
      <c r="JO98" s="730">
        <v>0.59040000000000004</v>
      </c>
      <c r="JP98" s="730">
        <v>0.23899999999999999</v>
      </c>
      <c r="JQ98" s="730">
        <v>3.15E-2</v>
      </c>
      <c r="JR98" s="730">
        <v>4.4000000000000003E-3</v>
      </c>
      <c r="JS98" s="730">
        <v>0.1066</v>
      </c>
      <c r="JT98" s="730">
        <v>0.53920000000000001</v>
      </c>
      <c r="JU98" s="730">
        <v>0.32950000000000002</v>
      </c>
      <c r="JV98" s="730">
        <v>2.47E-2</v>
      </c>
      <c r="JW98" s="730">
        <v>0</v>
      </c>
      <c r="JX98" s="730">
        <v>8.6699999999999999E-2</v>
      </c>
      <c r="JY98" s="730">
        <v>0.51490000000000002</v>
      </c>
      <c r="JZ98" s="730">
        <v>0.34939999999999999</v>
      </c>
      <c r="KA98" s="730">
        <v>4.4600000000000001E-2</v>
      </c>
      <c r="KB98" s="730">
        <v>4.4000000000000003E-3</v>
      </c>
      <c r="KC98" s="657"/>
      <c r="KD98" s="314" t="s">
        <v>2590</v>
      </c>
      <c r="KE98" s="314" t="s">
        <v>2590</v>
      </c>
      <c r="KF98" s="866">
        <v>4.1500000000000004</v>
      </c>
      <c r="KG98" s="314" t="s">
        <v>2589</v>
      </c>
      <c r="KH98" s="315" t="s">
        <v>4324</v>
      </c>
      <c r="KI98" s="314" t="s">
        <v>3028</v>
      </c>
      <c r="KJ98" s="315" t="s">
        <v>4359</v>
      </c>
    </row>
    <row r="99" spans="1:296" ht="48" hidden="1" customHeight="1">
      <c r="A99" s="265">
        <f t="shared" si="336"/>
        <v>92</v>
      </c>
      <c r="B99" s="266" t="s">
        <v>4306</v>
      </c>
      <c r="C99" s="266" t="s">
        <v>4307</v>
      </c>
      <c r="D99" s="624" t="s">
        <v>4360</v>
      </c>
      <c r="E99" s="267" t="s">
        <v>4160</v>
      </c>
      <c r="F99" s="267" t="s">
        <v>2631</v>
      </c>
      <c r="G99" s="267" t="s">
        <v>2121</v>
      </c>
      <c r="H99" s="267" t="s">
        <v>2109</v>
      </c>
      <c r="I99" s="268" t="s">
        <v>4361</v>
      </c>
      <c r="J99" s="268" t="s">
        <v>4362</v>
      </c>
      <c r="K99" s="269" t="s">
        <v>2109</v>
      </c>
      <c r="L99" s="269" t="s">
        <v>2109</v>
      </c>
      <c r="M99" s="269" t="s">
        <v>3168</v>
      </c>
      <c r="N99" s="269" t="s">
        <v>3169</v>
      </c>
      <c r="O99" s="267" t="s">
        <v>3170</v>
      </c>
      <c r="P99" s="268"/>
      <c r="Q99" s="270">
        <v>1</v>
      </c>
      <c r="R99" s="271">
        <v>1650</v>
      </c>
      <c r="S99" s="272">
        <v>160</v>
      </c>
      <c r="T99" s="272">
        <v>260</v>
      </c>
      <c r="U99" s="272">
        <v>420</v>
      </c>
      <c r="V99" s="272">
        <v>760</v>
      </c>
      <c r="W99" s="272">
        <v>840</v>
      </c>
      <c r="X99" s="272">
        <v>930</v>
      </c>
      <c r="Y99" s="272">
        <v>1020</v>
      </c>
      <c r="Z99" s="272">
        <v>1100</v>
      </c>
      <c r="AA99" s="272">
        <v>1180</v>
      </c>
      <c r="AB99" s="272">
        <v>1240</v>
      </c>
      <c r="AC99" s="272">
        <v>1300</v>
      </c>
      <c r="AD99" s="272">
        <v>1360</v>
      </c>
      <c r="AE99" s="272">
        <v>1420</v>
      </c>
      <c r="AF99" s="272">
        <v>1470</v>
      </c>
      <c r="AG99" s="272">
        <v>1500</v>
      </c>
      <c r="AH99" s="272">
        <v>1520</v>
      </c>
      <c r="AI99" s="272">
        <v>1535</v>
      </c>
      <c r="AJ99" s="272">
        <v>1550</v>
      </c>
      <c r="AK99" s="272">
        <v>1560</v>
      </c>
      <c r="AL99" s="268" t="s">
        <v>4363</v>
      </c>
      <c r="AM99" s="268" t="s">
        <v>4193</v>
      </c>
      <c r="AN99" s="268" t="s">
        <v>4364</v>
      </c>
      <c r="AO99" s="657"/>
      <c r="AP99" s="271">
        <v>90</v>
      </c>
      <c r="AQ99" s="280">
        <v>80</v>
      </c>
      <c r="AR99" s="280">
        <v>8</v>
      </c>
      <c r="AS99" s="280">
        <v>2</v>
      </c>
      <c r="AT99" s="657"/>
      <c r="AU99" s="301" t="s">
        <v>4365</v>
      </c>
      <c r="AV99" s="572" t="s">
        <v>4366</v>
      </c>
      <c r="AW99" s="645" t="s">
        <v>3651</v>
      </c>
      <c r="AX99" s="290" t="s">
        <v>2670</v>
      </c>
      <c r="AY99" s="657"/>
      <c r="AZ99" s="948">
        <v>9</v>
      </c>
      <c r="BA99" s="948">
        <v>8</v>
      </c>
      <c r="BB99" s="948">
        <v>1</v>
      </c>
      <c r="BC99" s="948">
        <v>8</v>
      </c>
      <c r="BD99" s="825">
        <f t="shared" si="241"/>
        <v>38220</v>
      </c>
      <c r="BE99" s="304">
        <f t="shared" si="242"/>
        <v>13230</v>
      </c>
      <c r="BF99" s="304">
        <f t="shared" si="243"/>
        <v>11760</v>
      </c>
      <c r="BG99" s="304">
        <f t="shared" si="244"/>
        <v>1470</v>
      </c>
      <c r="BH99" s="304">
        <f t="shared" si="245"/>
        <v>11760</v>
      </c>
      <c r="BI99" s="825">
        <f t="shared" si="246"/>
        <v>40560</v>
      </c>
      <c r="BJ99" s="304">
        <f t="shared" si="247"/>
        <v>14040</v>
      </c>
      <c r="BK99" s="304">
        <f t="shared" si="248"/>
        <v>12480</v>
      </c>
      <c r="BL99" s="304">
        <f t="shared" si="249"/>
        <v>1560</v>
      </c>
      <c r="BM99" s="304">
        <f t="shared" si="250"/>
        <v>12480</v>
      </c>
      <c r="BN99" s="657"/>
      <c r="BO99" s="284">
        <v>0.38</v>
      </c>
      <c r="BP99" s="284">
        <v>0.42</v>
      </c>
      <c r="BQ99" s="284">
        <v>0.12</v>
      </c>
      <c r="BR99" s="710">
        <v>0.08</v>
      </c>
      <c r="BS99" s="707">
        <v>0.34</v>
      </c>
      <c r="BT99" s="284">
        <v>0.43</v>
      </c>
      <c r="BU99" s="284">
        <v>0.16</v>
      </c>
      <c r="BV99" s="710">
        <v>7.0000000000000007E-2</v>
      </c>
      <c r="BW99" s="714">
        <v>0.65</v>
      </c>
      <c r="BX99" s="285">
        <v>0.28000000000000003</v>
      </c>
      <c r="BY99" s="717">
        <v>7.0000000000000007E-2</v>
      </c>
      <c r="BZ99" s="714">
        <v>0.6</v>
      </c>
      <c r="CA99" s="285">
        <v>0.31</v>
      </c>
      <c r="CB99" s="717">
        <v>0.09</v>
      </c>
      <c r="CC99" s="284">
        <v>0.12</v>
      </c>
      <c r="CD99" s="284">
        <v>0.52</v>
      </c>
      <c r="CE99" s="284">
        <v>0.12</v>
      </c>
      <c r="CF99" s="710">
        <v>0.24</v>
      </c>
      <c r="CG99" s="707">
        <v>0.1</v>
      </c>
      <c r="CH99" s="284">
        <v>0.52</v>
      </c>
      <c r="CI99" s="284">
        <v>0.15</v>
      </c>
      <c r="CJ99" s="710">
        <v>0.23</v>
      </c>
      <c r="CK99" s="720">
        <v>0.55000000000000004</v>
      </c>
      <c r="CL99" s="286">
        <v>0.35</v>
      </c>
      <c r="CM99" s="718">
        <v>0.1</v>
      </c>
      <c r="CN99" s="720">
        <v>0.45</v>
      </c>
      <c r="CO99" s="286">
        <v>0.4</v>
      </c>
      <c r="CP99" s="718">
        <v>0.15</v>
      </c>
      <c r="CQ99" s="657"/>
      <c r="CR99" s="807">
        <v>12</v>
      </c>
      <c r="CS99" s="808">
        <v>13</v>
      </c>
      <c r="CT99" s="808">
        <v>9</v>
      </c>
      <c r="CU99" s="809">
        <v>11</v>
      </c>
      <c r="CV99" s="807">
        <v>11</v>
      </c>
      <c r="CW99" s="808">
        <v>10</v>
      </c>
      <c r="CX99" s="809">
        <v>8</v>
      </c>
      <c r="CY99" s="807">
        <v>10</v>
      </c>
      <c r="CZ99" s="808">
        <v>12</v>
      </c>
      <c r="DA99" s="808">
        <v>8</v>
      </c>
      <c r="DB99" s="809">
        <v>10</v>
      </c>
      <c r="DC99" s="807">
        <v>13</v>
      </c>
      <c r="DD99" s="808">
        <v>13</v>
      </c>
      <c r="DE99" s="809">
        <v>9</v>
      </c>
      <c r="DF99" s="610" t="s">
        <v>4367</v>
      </c>
      <c r="DG99" s="657"/>
      <c r="DH99" s="288">
        <f t="shared" si="251"/>
        <v>5027.3999999999996</v>
      </c>
      <c r="DI99" s="288">
        <f t="shared" si="252"/>
        <v>5556.5999999999995</v>
      </c>
      <c r="DJ99" s="288">
        <f t="shared" si="253"/>
        <v>1587.6</v>
      </c>
      <c r="DK99" s="288">
        <f t="shared" si="254"/>
        <v>1058.4000000000001</v>
      </c>
      <c r="DL99" s="560" t="s">
        <v>4368</v>
      </c>
      <c r="DM99" s="288">
        <f t="shared" si="255"/>
        <v>4773.6000000000004</v>
      </c>
      <c r="DN99" s="288">
        <f t="shared" si="256"/>
        <v>6037.2</v>
      </c>
      <c r="DO99" s="288">
        <f t="shared" si="257"/>
        <v>2246.4</v>
      </c>
      <c r="DP99" s="288">
        <f t="shared" si="258"/>
        <v>982.80000000000007</v>
      </c>
      <c r="DQ99" s="561" t="s">
        <v>3551</v>
      </c>
      <c r="DR99" s="657"/>
      <c r="DS99" s="288">
        <f t="shared" si="259"/>
        <v>7644</v>
      </c>
      <c r="DT99" s="288">
        <f t="shared" si="260"/>
        <v>3292.8</v>
      </c>
      <c r="DU99" s="288">
        <f t="shared" si="261"/>
        <v>823.2</v>
      </c>
      <c r="DV99" s="561" t="s">
        <v>4369</v>
      </c>
      <c r="DW99" s="288">
        <f t="shared" si="262"/>
        <v>7488</v>
      </c>
      <c r="DX99" s="288">
        <f t="shared" si="263"/>
        <v>3868.8</v>
      </c>
      <c r="DY99" s="288">
        <f t="shared" si="264"/>
        <v>1123.2</v>
      </c>
      <c r="DZ99" s="561" t="s">
        <v>4150</v>
      </c>
      <c r="EA99" s="657"/>
      <c r="EB99" s="288">
        <f t="shared" si="265"/>
        <v>176.4</v>
      </c>
      <c r="EC99" s="288">
        <f t="shared" si="266"/>
        <v>764.4</v>
      </c>
      <c r="ED99" s="288">
        <f t="shared" si="267"/>
        <v>176.4</v>
      </c>
      <c r="EE99" s="288">
        <f t="shared" si="268"/>
        <v>352.8</v>
      </c>
      <c r="EF99" s="561" t="s">
        <v>4370</v>
      </c>
      <c r="EG99" s="288">
        <f t="shared" si="269"/>
        <v>156</v>
      </c>
      <c r="EH99" s="288">
        <f t="shared" si="270"/>
        <v>811.2</v>
      </c>
      <c r="EI99" s="288">
        <f t="shared" si="271"/>
        <v>234</v>
      </c>
      <c r="EJ99" s="288">
        <f t="shared" si="272"/>
        <v>358.8</v>
      </c>
      <c r="EK99" s="561" t="s">
        <v>2870</v>
      </c>
      <c r="EL99" s="657"/>
      <c r="EM99" s="288">
        <f t="shared" si="273"/>
        <v>6468.0000000000009</v>
      </c>
      <c r="EN99" s="291">
        <f t="shared" si="274"/>
        <v>4116</v>
      </c>
      <c r="EO99" s="291">
        <f t="shared" si="275"/>
        <v>1176</v>
      </c>
      <c r="EP99" s="561" t="s">
        <v>4371</v>
      </c>
      <c r="EQ99" s="288">
        <f t="shared" si="276"/>
        <v>5616</v>
      </c>
      <c r="ER99" s="291">
        <f t="shared" si="277"/>
        <v>4992</v>
      </c>
      <c r="ES99" s="291">
        <f t="shared" si="278"/>
        <v>1872</v>
      </c>
      <c r="ET99" s="561" t="s">
        <v>3555</v>
      </c>
      <c r="EU99" s="657"/>
      <c r="EV99" s="740">
        <f t="shared" si="279"/>
        <v>0.61133540380984031</v>
      </c>
      <c r="EW99" s="740">
        <f t="shared" si="280"/>
        <v>0.38866459619015969</v>
      </c>
      <c r="EX99" s="563">
        <f t="shared" si="281"/>
        <v>12451.836486882285</v>
      </c>
      <c r="EY99" s="563">
        <f t="shared" si="282"/>
        <v>7612.2484868822849</v>
      </c>
      <c r="EZ99" s="563">
        <f t="shared" si="283"/>
        <v>4839.5879999999997</v>
      </c>
      <c r="FA99" s="563">
        <f t="shared" si="284"/>
        <v>4108.8107235839161</v>
      </c>
      <c r="FB99" s="563">
        <f t="shared" si="285"/>
        <v>2433.5687235839159</v>
      </c>
      <c r="FC99" s="563">
        <f t="shared" si="286"/>
        <v>1675.242</v>
      </c>
      <c r="FD99" s="563">
        <f t="shared" si="287"/>
        <v>4453.8535592727276</v>
      </c>
      <c r="FE99" s="563">
        <f t="shared" si="288"/>
        <v>2964.7495592727273</v>
      </c>
      <c r="FF99" s="563">
        <f t="shared" si="289"/>
        <v>1489.104</v>
      </c>
      <c r="FG99" s="563">
        <f t="shared" si="290"/>
        <v>536.38976300000002</v>
      </c>
      <c r="FH99" s="563">
        <f t="shared" si="291"/>
        <v>350.25176300000004</v>
      </c>
      <c r="FI99" s="563">
        <f t="shared" si="292"/>
        <v>186.13800000000001</v>
      </c>
      <c r="FJ99" s="563">
        <f t="shared" si="293"/>
        <v>3352.7824410256412</v>
      </c>
      <c r="FK99" s="563">
        <f t="shared" si="294"/>
        <v>1863.6784410256412</v>
      </c>
      <c r="FL99" s="563">
        <f t="shared" si="295"/>
        <v>1489.104</v>
      </c>
      <c r="FM99" s="529"/>
      <c r="FN99" s="564" t="s">
        <v>2649</v>
      </c>
      <c r="FO99" s="740">
        <v>6.54E-2</v>
      </c>
      <c r="FP99" s="741">
        <v>0.79215000000000002</v>
      </c>
      <c r="FQ99" s="565" t="s">
        <v>4320</v>
      </c>
      <c r="FR99" s="529"/>
      <c r="FS99" s="867">
        <v>3.62</v>
      </c>
      <c r="FT99" s="566">
        <f>RANK($FS99,$FS$8:$FS$154,0)+COUNTIF($FS$8:$FS99,$FS99)-1</f>
        <v>24</v>
      </c>
      <c r="FU99" s="867">
        <v>4.49</v>
      </c>
      <c r="FV99" s="566">
        <f>RANK($FU99,$FU$8:$FU$154,0)+COUNTIF($FU$8:$FU99,$FU99)-1</f>
        <v>18</v>
      </c>
      <c r="FW99" s="867">
        <v>2.0699999999999998</v>
      </c>
      <c r="FX99" s="566">
        <f>RANK($FW99,$FW$8:$FW$154,0)+COUNTIF($FW$8:$FW99,$FW99)-1</f>
        <v>90</v>
      </c>
      <c r="FY99" s="529"/>
      <c r="FZ99" s="567" t="s">
        <v>4321</v>
      </c>
      <c r="GA99" s="567" t="s">
        <v>4372</v>
      </c>
      <c r="GB99" s="567" t="s">
        <v>2653</v>
      </c>
      <c r="GC99" s="567" t="s">
        <v>2654</v>
      </c>
      <c r="GD99" s="567" t="s">
        <v>2655</v>
      </c>
      <c r="GE99" s="567" t="s">
        <v>2656</v>
      </c>
      <c r="GF99" s="567" t="str">
        <f>HYPERLINK("https://www.cnsa.fr/budget-et-financement/financement-des-esms/investissement-immobilier","https://www.cnsa.fr/budget-et-financement/financement-des-esms/investissement-immobilier")&amp;CHAR(10)&amp;HYPERLINK("https://www.cnsa.fr/actualites/instruction-budgetaire-les-priorites-de-financement-des-esms-pour-lexercice-2025","https://www.cnsa.fr/actualites/instruction-budgetaire-les-priorites-de-financement-des-esms-pour-lexercice-2025")&amp;CHAR(10)&amp;HYPERLINK("https://www.cnsa.fr/actualites/le-plan-national-50-000-solutions-des-avancees-tangibles","https://www.cnsa.fr/actualites/le-plan-national-50-000-solutions-des-avancees-tangibles")&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https://www.cnsa.fr/budget-et-financement/financement-des-esms/investissement-immobilier
https://www.cnsa.fr/actualites/instruction-budgetaire-les-priorites-de-financement-des-esms-pour-lexercice-2025
https://www.cnsa.fr/actualites/le-plan-national-50-000-solutions-des-avancees-tangibles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99" s="529"/>
      <c r="GH99" s="563">
        <f t="shared" si="296"/>
        <v>1465.8603975000001</v>
      </c>
      <c r="GI99" s="563">
        <f t="shared" si="227"/>
        <v>896.27811749999989</v>
      </c>
      <c r="GJ99" s="563">
        <f t="shared" si="297"/>
        <v>569.58228000000008</v>
      </c>
      <c r="GK99" s="563">
        <f t="shared" si="298"/>
        <v>1496.5757515384614</v>
      </c>
      <c r="GL99" s="563">
        <f t="shared" si="228"/>
        <v>776.22169153846141</v>
      </c>
      <c r="GM99" s="563">
        <f t="shared" si="299"/>
        <v>720.35406</v>
      </c>
      <c r="GN99" s="563">
        <f t="shared" si="300"/>
        <v>788.00598000000014</v>
      </c>
      <c r="GO99" s="563">
        <f t="shared" si="229"/>
        <v>519.96726000000012</v>
      </c>
      <c r="GP99" s="563">
        <f t="shared" si="301"/>
        <v>268.03872000000001</v>
      </c>
      <c r="GQ99" s="563">
        <f t="shared" si="302"/>
        <v>358.36859454545458</v>
      </c>
      <c r="GR99" s="563">
        <f t="shared" si="230"/>
        <v>241.10165454545458</v>
      </c>
      <c r="GS99" s="563">
        <f t="shared" si="303"/>
        <v>117.26694000000001</v>
      </c>
      <c r="GT99" s="563">
        <f t="shared" si="304"/>
        <v>2634.7521272727276</v>
      </c>
      <c r="GU99" s="563">
        <f t="shared" si="231"/>
        <v>1741.2897272727275</v>
      </c>
      <c r="GV99" s="563">
        <f t="shared" si="305"/>
        <v>893.4624</v>
      </c>
      <c r="GW99" s="563">
        <f t="shared" si="306"/>
        <v>1361.251152</v>
      </c>
      <c r="GX99" s="563">
        <f t="shared" si="232"/>
        <v>899.62891200000001</v>
      </c>
      <c r="GY99" s="563">
        <f t="shared" si="307"/>
        <v>461.62224000000003</v>
      </c>
      <c r="GZ99" s="563">
        <f t="shared" si="308"/>
        <v>457.85028</v>
      </c>
      <c r="HA99" s="563">
        <f t="shared" si="233"/>
        <v>323.83091999999999</v>
      </c>
      <c r="HB99" s="563">
        <f t="shared" si="309"/>
        <v>134.01936000000001</v>
      </c>
      <c r="HC99" s="563">
        <f t="shared" si="310"/>
        <v>66.808206000000013</v>
      </c>
      <c r="HD99" s="563">
        <f t="shared" si="234"/>
        <v>48.194406000000008</v>
      </c>
      <c r="HE99" s="563">
        <f t="shared" si="311"/>
        <v>18.613800000000001</v>
      </c>
      <c r="HF99" s="563">
        <f t="shared" si="312"/>
        <v>233.06796500000002</v>
      </c>
      <c r="HG99" s="563">
        <f t="shared" si="235"/>
        <v>136.276205</v>
      </c>
      <c r="HH99" s="563">
        <f t="shared" si="313"/>
        <v>96.791760000000011</v>
      </c>
      <c r="HI99" s="563">
        <f t="shared" si="314"/>
        <v>97.313040000000001</v>
      </c>
      <c r="HJ99" s="563">
        <f t="shared" si="236"/>
        <v>69.392340000000004</v>
      </c>
      <c r="HK99" s="563">
        <f t="shared" si="315"/>
        <v>27.9207</v>
      </c>
      <c r="HL99" s="563">
        <f t="shared" si="316"/>
        <v>139.20055200000002</v>
      </c>
      <c r="HM99" s="563">
        <f t="shared" si="237"/>
        <v>96.388812000000016</v>
      </c>
      <c r="HN99" s="563">
        <f t="shared" si="317"/>
        <v>42.81174</v>
      </c>
      <c r="HO99" s="563">
        <f t="shared" si="318"/>
        <v>1573.6352769230771</v>
      </c>
      <c r="HP99" s="563">
        <f t="shared" si="238"/>
        <v>903.53847692307704</v>
      </c>
      <c r="HQ99" s="563">
        <f t="shared" si="319"/>
        <v>670.09680000000003</v>
      </c>
      <c r="HR99" s="563">
        <f t="shared" si="320"/>
        <v>1170.620630769231</v>
      </c>
      <c r="HS99" s="563">
        <f t="shared" si="239"/>
        <v>574.9790307692308</v>
      </c>
      <c r="HT99" s="563">
        <f t="shared" si="321"/>
        <v>595.64160000000004</v>
      </c>
      <c r="HU99" s="563">
        <f t="shared" si="322"/>
        <v>608.5265333333333</v>
      </c>
      <c r="HV99" s="563">
        <f t="shared" si="240"/>
        <v>385.16093333333328</v>
      </c>
      <c r="HW99" s="563">
        <f t="shared" si="323"/>
        <v>223.3656</v>
      </c>
      <c r="HX99" s="544"/>
      <c r="HY99" s="568">
        <f t="shared" si="324"/>
        <v>38220</v>
      </c>
      <c r="HZ99" s="568">
        <f t="shared" si="325"/>
        <v>4005.7500000000005</v>
      </c>
      <c r="IA99" s="568">
        <f t="shared" si="326"/>
        <v>20629.245000000003</v>
      </c>
      <c r="IB99" s="568">
        <f t="shared" si="327"/>
        <v>12588.933000000001</v>
      </c>
      <c r="IC99" s="568">
        <f t="shared" si="328"/>
        <v>996.072</v>
      </c>
      <c r="ID99" s="568">
        <f t="shared" si="329"/>
        <v>0</v>
      </c>
      <c r="IE99" s="568">
        <f t="shared" si="330"/>
        <v>7612.2484868822839</v>
      </c>
      <c r="IF99" s="568">
        <f t="shared" si="331"/>
        <v>647.68757680024021</v>
      </c>
      <c r="IG99" s="568">
        <f t="shared" si="332"/>
        <v>3931.6067455552529</v>
      </c>
      <c r="IH99" s="568">
        <f t="shared" si="333"/>
        <v>2651.3478975739376</v>
      </c>
      <c r="II99" s="568">
        <f t="shared" si="334"/>
        <v>348.11237361057186</v>
      </c>
      <c r="IJ99" s="568">
        <f t="shared" si="335"/>
        <v>33.49389334228205</v>
      </c>
      <c r="IK99" s="868">
        <v>4.12</v>
      </c>
      <c r="IL99" s="569" t="s">
        <v>2589</v>
      </c>
      <c r="IM99" s="570" t="s">
        <v>4373</v>
      </c>
      <c r="IN99" s="529"/>
      <c r="IO99" s="742">
        <v>0.1</v>
      </c>
      <c r="IP99" s="742">
        <v>0.53</v>
      </c>
      <c r="IQ99" s="742">
        <v>0.34</v>
      </c>
      <c r="IR99" s="742">
        <v>0.03</v>
      </c>
      <c r="IS99" s="742">
        <v>0</v>
      </c>
      <c r="IT99" s="742">
        <v>8.0100000000000005E-2</v>
      </c>
      <c r="IU99" s="742">
        <v>0.50570000000000004</v>
      </c>
      <c r="IV99" s="742">
        <v>0.3599</v>
      </c>
      <c r="IW99" s="742">
        <v>4.99E-2</v>
      </c>
      <c r="IX99" s="742">
        <v>4.4000000000000003E-3</v>
      </c>
      <c r="IY99" s="742">
        <v>0.1022</v>
      </c>
      <c r="IZ99" s="742">
        <v>0.54190000000000005</v>
      </c>
      <c r="JA99" s="742">
        <v>0.33110000000000001</v>
      </c>
      <c r="JB99" s="742">
        <v>2.4799999999999999E-2</v>
      </c>
      <c r="JC99" s="742">
        <v>0</v>
      </c>
      <c r="JD99" s="742">
        <v>8.2299999999999998E-2</v>
      </c>
      <c r="JE99" s="742">
        <v>0.51759999999999995</v>
      </c>
      <c r="JF99" s="742">
        <v>0.35099999999999998</v>
      </c>
      <c r="JG99" s="742">
        <v>4.4699999999999997E-2</v>
      </c>
      <c r="JH99" s="742">
        <v>4.4000000000000003E-3</v>
      </c>
      <c r="JI99" s="742">
        <v>0.15459999999999999</v>
      </c>
      <c r="JJ99" s="742">
        <v>0.61470000000000002</v>
      </c>
      <c r="JK99" s="742">
        <v>0.21909999999999999</v>
      </c>
      <c r="JL99" s="742">
        <v>1.1599999999999999E-2</v>
      </c>
      <c r="JM99" s="742">
        <v>0</v>
      </c>
      <c r="JN99" s="742">
        <v>0.13469999999999999</v>
      </c>
      <c r="JO99" s="742">
        <v>0.59040000000000004</v>
      </c>
      <c r="JP99" s="742">
        <v>0.23899999999999999</v>
      </c>
      <c r="JQ99" s="742">
        <v>3.15E-2</v>
      </c>
      <c r="JR99" s="742">
        <v>4.4000000000000003E-3</v>
      </c>
      <c r="JS99" s="742">
        <v>0.1066</v>
      </c>
      <c r="JT99" s="742">
        <v>0.53920000000000001</v>
      </c>
      <c r="JU99" s="742">
        <v>0.32950000000000002</v>
      </c>
      <c r="JV99" s="742">
        <v>2.47E-2</v>
      </c>
      <c r="JW99" s="742">
        <v>0</v>
      </c>
      <c r="JX99" s="742">
        <v>8.6699999999999999E-2</v>
      </c>
      <c r="JY99" s="742">
        <v>0.51490000000000002</v>
      </c>
      <c r="JZ99" s="742">
        <v>0.34939999999999999</v>
      </c>
      <c r="KA99" s="742">
        <v>4.4600000000000001E-2</v>
      </c>
      <c r="KB99" s="742">
        <v>4.4000000000000003E-3</v>
      </c>
      <c r="KC99" s="657"/>
      <c r="KD99" s="832" t="s">
        <v>2590</v>
      </c>
      <c r="KE99" s="832" t="s">
        <v>2590</v>
      </c>
      <c r="KF99" s="869">
        <v>4.1500000000000004</v>
      </c>
      <c r="KG99" s="832" t="s">
        <v>2589</v>
      </c>
      <c r="KH99" s="833" t="s">
        <v>4324</v>
      </c>
      <c r="KI99" s="832" t="s">
        <v>3028</v>
      </c>
      <c r="KJ99" s="833" t="s">
        <v>4374</v>
      </c>
    </row>
    <row r="100" spans="1:296" ht="48" hidden="1" customHeight="1">
      <c r="A100" s="273">
        <f t="shared" si="336"/>
        <v>93</v>
      </c>
      <c r="B100" s="274" t="s">
        <v>4306</v>
      </c>
      <c r="C100" s="274" t="s">
        <v>4307</v>
      </c>
      <c r="D100" s="274" t="s">
        <v>4375</v>
      </c>
      <c r="E100" s="275" t="s">
        <v>4376</v>
      </c>
      <c r="F100" s="275" t="s">
        <v>2631</v>
      </c>
      <c r="G100" s="275" t="s">
        <v>2121</v>
      </c>
      <c r="H100" s="275" t="s">
        <v>2109</v>
      </c>
      <c r="I100" s="276" t="s">
        <v>4377</v>
      </c>
      <c r="J100" s="276" t="s">
        <v>4378</v>
      </c>
      <c r="K100" s="277" t="s">
        <v>2109</v>
      </c>
      <c r="L100" s="277" t="s">
        <v>2109</v>
      </c>
      <c r="M100" s="277" t="s">
        <v>3168</v>
      </c>
      <c r="N100" s="277" t="s">
        <v>3169</v>
      </c>
      <c r="O100" s="275" t="s">
        <v>3170</v>
      </c>
      <c r="P100" s="276"/>
      <c r="Q100" s="270">
        <v>1</v>
      </c>
      <c r="R100" s="278">
        <v>4200</v>
      </c>
      <c r="S100" s="279">
        <v>680</v>
      </c>
      <c r="T100" s="279">
        <v>820</v>
      </c>
      <c r="U100" s="279">
        <v>1000</v>
      </c>
      <c r="V100" s="279">
        <v>1230</v>
      </c>
      <c r="W100" s="279">
        <v>1280</v>
      </c>
      <c r="X100" s="279">
        <v>1330</v>
      </c>
      <c r="Y100" s="279">
        <v>1390</v>
      </c>
      <c r="Z100" s="279">
        <v>1450</v>
      </c>
      <c r="AA100" s="279">
        <v>1500</v>
      </c>
      <c r="AB100" s="279">
        <v>1540</v>
      </c>
      <c r="AC100" s="279">
        <v>1590</v>
      </c>
      <c r="AD100" s="279">
        <v>1640</v>
      </c>
      <c r="AE100" s="279">
        <v>1700</v>
      </c>
      <c r="AF100" s="279">
        <v>1750</v>
      </c>
      <c r="AG100" s="279">
        <v>1780</v>
      </c>
      <c r="AH100" s="279">
        <v>1805</v>
      </c>
      <c r="AI100" s="279">
        <v>1825</v>
      </c>
      <c r="AJ100" s="279">
        <v>1840</v>
      </c>
      <c r="AK100" s="279">
        <v>1850</v>
      </c>
      <c r="AL100" s="276" t="s">
        <v>4379</v>
      </c>
      <c r="AM100" s="276" t="s">
        <v>2828</v>
      </c>
      <c r="AN100" s="276" t="s">
        <v>4380</v>
      </c>
      <c r="AO100" s="657"/>
      <c r="AP100" s="278">
        <v>140</v>
      </c>
      <c r="AQ100" s="278">
        <v>126</v>
      </c>
      <c r="AR100" s="278">
        <v>10</v>
      </c>
      <c r="AS100" s="278">
        <v>4</v>
      </c>
      <c r="AT100" s="657"/>
      <c r="AU100" s="281" t="s">
        <v>4381</v>
      </c>
      <c r="AV100" s="296" t="s">
        <v>4382</v>
      </c>
      <c r="AW100" s="296" t="s">
        <v>4383</v>
      </c>
      <c r="AX100" s="276" t="s">
        <v>2670</v>
      </c>
      <c r="AY100" s="657"/>
      <c r="AZ100" s="947">
        <v>9</v>
      </c>
      <c r="BA100" s="947">
        <v>5</v>
      </c>
      <c r="BB100" s="947">
        <v>1.5</v>
      </c>
      <c r="BC100" s="947">
        <v>8</v>
      </c>
      <c r="BD100" s="826">
        <f t="shared" si="241"/>
        <v>41125</v>
      </c>
      <c r="BE100" s="283">
        <f t="shared" si="242"/>
        <v>15750</v>
      </c>
      <c r="BF100" s="283">
        <f t="shared" si="243"/>
        <v>8750</v>
      </c>
      <c r="BG100" s="283">
        <f t="shared" si="244"/>
        <v>2625</v>
      </c>
      <c r="BH100" s="283">
        <f t="shared" si="245"/>
        <v>14000</v>
      </c>
      <c r="BI100" s="826">
        <f t="shared" si="246"/>
        <v>43475</v>
      </c>
      <c r="BJ100" s="283">
        <f t="shared" si="247"/>
        <v>16650</v>
      </c>
      <c r="BK100" s="283">
        <f t="shared" si="248"/>
        <v>9250</v>
      </c>
      <c r="BL100" s="283">
        <f t="shared" si="249"/>
        <v>2775</v>
      </c>
      <c r="BM100" s="283">
        <f t="shared" si="250"/>
        <v>14800</v>
      </c>
      <c r="BN100" s="657"/>
      <c r="BO100" s="305">
        <v>0.38</v>
      </c>
      <c r="BP100" s="305">
        <v>0.42</v>
      </c>
      <c r="BQ100" s="305">
        <v>0.12</v>
      </c>
      <c r="BR100" s="581">
        <v>0.08</v>
      </c>
      <c r="BS100" s="706">
        <v>0.34</v>
      </c>
      <c r="BT100" s="305">
        <v>0.43</v>
      </c>
      <c r="BU100" s="305">
        <v>0.16</v>
      </c>
      <c r="BV100" s="581">
        <v>7.0000000000000007E-2</v>
      </c>
      <c r="BW100" s="713">
        <v>0.65</v>
      </c>
      <c r="BX100" s="306">
        <v>0.28000000000000003</v>
      </c>
      <c r="BY100" s="590">
        <v>7.0000000000000007E-2</v>
      </c>
      <c r="BZ100" s="713">
        <v>0.6</v>
      </c>
      <c r="CA100" s="306">
        <v>0.31</v>
      </c>
      <c r="CB100" s="590">
        <v>0.09</v>
      </c>
      <c r="CC100" s="706">
        <v>0.12</v>
      </c>
      <c r="CD100" s="305">
        <v>0.52</v>
      </c>
      <c r="CE100" s="305">
        <v>0.12</v>
      </c>
      <c r="CF100" s="581">
        <v>0.24</v>
      </c>
      <c r="CG100" s="706">
        <v>0.1</v>
      </c>
      <c r="CH100" s="305">
        <v>0.52</v>
      </c>
      <c r="CI100" s="305">
        <v>0.15</v>
      </c>
      <c r="CJ100" s="581">
        <v>0.23</v>
      </c>
      <c r="CK100" s="719">
        <v>0.55000000000000004</v>
      </c>
      <c r="CL100" s="307">
        <v>0.35</v>
      </c>
      <c r="CM100" s="723">
        <v>0.1</v>
      </c>
      <c r="CN100" s="719">
        <v>0.45</v>
      </c>
      <c r="CO100" s="307">
        <v>0.4</v>
      </c>
      <c r="CP100" s="723">
        <v>0.15</v>
      </c>
      <c r="CQ100" s="657"/>
      <c r="CR100" s="804">
        <v>12</v>
      </c>
      <c r="CS100" s="805">
        <v>13</v>
      </c>
      <c r="CT100" s="805">
        <v>9</v>
      </c>
      <c r="CU100" s="806">
        <v>11</v>
      </c>
      <c r="CV100" s="804">
        <v>11</v>
      </c>
      <c r="CW100" s="805">
        <v>10</v>
      </c>
      <c r="CX100" s="806">
        <v>8</v>
      </c>
      <c r="CY100" s="804">
        <v>10</v>
      </c>
      <c r="CZ100" s="805">
        <v>12</v>
      </c>
      <c r="DA100" s="805">
        <v>8</v>
      </c>
      <c r="DB100" s="806">
        <v>10</v>
      </c>
      <c r="DC100" s="804">
        <v>13</v>
      </c>
      <c r="DD100" s="805">
        <v>13</v>
      </c>
      <c r="DE100" s="806">
        <v>9</v>
      </c>
      <c r="DF100" s="609" t="s">
        <v>4384</v>
      </c>
      <c r="DG100" s="657"/>
      <c r="DH100" s="308">
        <f t="shared" si="251"/>
        <v>5985</v>
      </c>
      <c r="DI100" s="308">
        <f t="shared" si="252"/>
        <v>6615</v>
      </c>
      <c r="DJ100" s="308">
        <f t="shared" si="253"/>
        <v>1890</v>
      </c>
      <c r="DK100" s="308">
        <f t="shared" si="254"/>
        <v>1260</v>
      </c>
      <c r="DL100" s="287" t="s">
        <v>4385</v>
      </c>
      <c r="DM100" s="308">
        <f t="shared" si="255"/>
        <v>5661</v>
      </c>
      <c r="DN100" s="308">
        <f t="shared" si="256"/>
        <v>7159.5</v>
      </c>
      <c r="DO100" s="308">
        <f t="shared" si="257"/>
        <v>2664</v>
      </c>
      <c r="DP100" s="308">
        <f t="shared" si="258"/>
        <v>1165.5</v>
      </c>
      <c r="DQ100" s="289" t="s">
        <v>3551</v>
      </c>
      <c r="DR100" s="657"/>
      <c r="DS100" s="308">
        <f t="shared" si="259"/>
        <v>5687.5</v>
      </c>
      <c r="DT100" s="308">
        <f t="shared" si="260"/>
        <v>2450.0000000000005</v>
      </c>
      <c r="DU100" s="308">
        <f t="shared" si="261"/>
        <v>612.50000000000011</v>
      </c>
      <c r="DV100" s="289" t="s">
        <v>4386</v>
      </c>
      <c r="DW100" s="308">
        <f t="shared" si="262"/>
        <v>5550</v>
      </c>
      <c r="DX100" s="308">
        <f t="shared" si="263"/>
        <v>2867.5</v>
      </c>
      <c r="DY100" s="308">
        <f t="shared" si="264"/>
        <v>832.5</v>
      </c>
      <c r="DZ100" s="289" t="s">
        <v>4150</v>
      </c>
      <c r="EA100" s="657"/>
      <c r="EB100" s="308">
        <f t="shared" si="265"/>
        <v>315</v>
      </c>
      <c r="EC100" s="308">
        <f t="shared" si="266"/>
        <v>1365</v>
      </c>
      <c r="ED100" s="308">
        <f t="shared" si="267"/>
        <v>315</v>
      </c>
      <c r="EE100" s="308">
        <f t="shared" si="268"/>
        <v>630</v>
      </c>
      <c r="EF100" s="289" t="s">
        <v>4387</v>
      </c>
      <c r="EG100" s="308">
        <f t="shared" si="269"/>
        <v>277.5</v>
      </c>
      <c r="EH100" s="308">
        <f t="shared" si="270"/>
        <v>1443</v>
      </c>
      <c r="EI100" s="308">
        <f t="shared" si="271"/>
        <v>416.25</v>
      </c>
      <c r="EJ100" s="308">
        <f t="shared" si="272"/>
        <v>638.25</v>
      </c>
      <c r="EK100" s="309" t="s">
        <v>2870</v>
      </c>
      <c r="EL100" s="657"/>
      <c r="EM100" s="308">
        <f t="shared" si="273"/>
        <v>7700.0000000000009</v>
      </c>
      <c r="EN100" s="310">
        <f t="shared" si="274"/>
        <v>4900</v>
      </c>
      <c r="EO100" s="310">
        <f t="shared" si="275"/>
        <v>1400</v>
      </c>
      <c r="EP100" s="289" t="s">
        <v>4388</v>
      </c>
      <c r="EQ100" s="308">
        <f t="shared" si="276"/>
        <v>6660</v>
      </c>
      <c r="ER100" s="310">
        <f t="shared" si="277"/>
        <v>5920</v>
      </c>
      <c r="ES100" s="310">
        <f t="shared" si="278"/>
        <v>2220</v>
      </c>
      <c r="ET100" s="289" t="s">
        <v>3555</v>
      </c>
      <c r="EU100" s="657"/>
      <c r="EV100" s="728">
        <f t="shared" si="279"/>
        <v>0.66925591398130269</v>
      </c>
      <c r="EW100" s="728">
        <f t="shared" si="280"/>
        <v>0.33074408601869731</v>
      </c>
      <c r="EX100" s="311">
        <f t="shared" si="281"/>
        <v>15237.082726598195</v>
      </c>
      <c r="EY100" s="311">
        <f t="shared" si="282"/>
        <v>10197.507726598194</v>
      </c>
      <c r="EZ100" s="311">
        <f t="shared" si="283"/>
        <v>5039.5750000000007</v>
      </c>
      <c r="FA100" s="311">
        <f t="shared" si="284"/>
        <v>5713.4207194930068</v>
      </c>
      <c r="FB100" s="311">
        <f t="shared" si="285"/>
        <v>3783.3707194930071</v>
      </c>
      <c r="FC100" s="311">
        <f t="shared" si="286"/>
        <v>1930.05</v>
      </c>
      <c r="FD100" s="311">
        <f t="shared" si="287"/>
        <v>3665.3125173295457</v>
      </c>
      <c r="FE100" s="311">
        <f t="shared" si="288"/>
        <v>2593.0625173295457</v>
      </c>
      <c r="FF100" s="311">
        <f t="shared" si="289"/>
        <v>1072.25</v>
      </c>
      <c r="FG100" s="311">
        <f t="shared" si="290"/>
        <v>1072.8906487500001</v>
      </c>
      <c r="FH100" s="311">
        <f t="shared" si="291"/>
        <v>751.21564875000001</v>
      </c>
      <c r="FI100" s="311">
        <f t="shared" si="292"/>
        <v>321.67500000000001</v>
      </c>
      <c r="FJ100" s="311">
        <f t="shared" si="293"/>
        <v>4785.458841025642</v>
      </c>
      <c r="FK100" s="311">
        <f t="shared" si="294"/>
        <v>3069.8588410256416</v>
      </c>
      <c r="FL100" s="311">
        <f t="shared" si="295"/>
        <v>1715.6</v>
      </c>
      <c r="FM100" s="657"/>
      <c r="FN100" s="293" t="s">
        <v>2649</v>
      </c>
      <c r="FO100" s="728">
        <v>6.54E-2</v>
      </c>
      <c r="FP100" s="729">
        <v>0.79215000000000002</v>
      </c>
      <c r="FQ100" s="294" t="s">
        <v>4320</v>
      </c>
      <c r="FR100" s="657"/>
      <c r="FS100" s="865">
        <v>3.62</v>
      </c>
      <c r="FT100" s="312">
        <f>RANK($FS100,$FS$8:$FS$154,0)+COUNTIF($FS$8:$FS100,$FS100)-1</f>
        <v>25</v>
      </c>
      <c r="FU100" s="865">
        <v>4.49</v>
      </c>
      <c r="FV100" s="312">
        <f>RANK($FU100,$FU$8:$FU$154,0)+COUNTIF($FU$8:$FU100,$FU100)-1</f>
        <v>19</v>
      </c>
      <c r="FW100" s="865">
        <v>2.0699999999999998</v>
      </c>
      <c r="FX100" s="312">
        <f>RANK($FW100,$FW$8:$FW$154,0)+COUNTIF($FW$8:$FW100,$FW100)-1</f>
        <v>91</v>
      </c>
      <c r="FY100" s="657"/>
      <c r="FZ100" s="296" t="s">
        <v>4321</v>
      </c>
      <c r="GA100" s="296" t="s">
        <v>4389</v>
      </c>
      <c r="GB100" s="296" t="s">
        <v>2653</v>
      </c>
      <c r="GC100" s="296" t="s">
        <v>2654</v>
      </c>
      <c r="GD100" s="296" t="s">
        <v>2655</v>
      </c>
      <c r="GE100" s="296" t="s">
        <v>2656</v>
      </c>
      <c r="GF100" s="296" t="str">
        <f>HYPERLINK("https://www.banquedesterritoires.fr/plan-renovation-energetique-batiments-publics","https://www.banquedesterritoires.fr/plan-renovation-energetique-batiments-publics")&amp;CHAR(10)&amp;HYPERLINK("https://www.ecologie.gouv.fr/eco-energie-tertiaire-eet","https://www.ecologie.gouv.fr/eco-energie-tertiaire-eet")&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https://www.banquedesterritoires.fr/plan-renovation-energetique-batiments-publics
https://www.ecologie.gouv.fr/eco-energie-tertiaire-eet
https://www.statistiques.developpement-durable.gouv.fr/construction-de-locaux-resultats-fin-janvier-2026-france-entiere
https://www.insee.fr/fr/statistiques/8671745
https://www.insee.fr/fr/statistiques/8906564</v>
      </c>
      <c r="GG100" s="657"/>
      <c r="GH100" s="311">
        <f t="shared" si="296"/>
        <v>2062.7189324999999</v>
      </c>
      <c r="GI100" s="311">
        <f t="shared" ref="GI100:GI131" si="337">IFERROR($DH100*$FP100/MAX(0.000000001,$CR100)*(INDEX($S100:$AF100,1,MATCH(MAX(2000,MIN(2025,ROUND(2026-$CR100,0))),$S$4:$AF$4,1))+INDEX($S100:$AF100,1,MATCH(MAX(2000,MIN(2025,ROUND(2027-$CR100,0))),$S$4:$AF$4,1))+INDEX($S100:$AF100,1,MATCH(MAX(2000,MIN(2025,ROUND(2028-$CR100,0))),$S$4:$AF$4,1))+INDEX($S100:$AF100,1,MATCH(MAX(2000,MIN(2025,ROUND(2029-$CR100,0))),$S$4:$AF$4,1))+INDEX($S100:$AF100,1,MATCH(MAX(2000,MIN(2025,ROUND(2030-$CR100,0))),$S$4:$AF$4,1)))/MAX(1,$AF100),0)</f>
        <v>1406.5019325000001</v>
      </c>
      <c r="GJ100" s="311">
        <f t="shared" si="297"/>
        <v>656.21699999999998</v>
      </c>
      <c r="GK100" s="311">
        <f t="shared" si="298"/>
        <v>2175.0653215384614</v>
      </c>
      <c r="GL100" s="311">
        <f t="shared" ref="GL100:GL131" si="338">IFERROR($DI100*$FP100/MAX(0.000000001,$CS100)*(INDEX($S100:$AF100,1,MATCH(MAX(2000,MIN(2025,ROUND(2026-$CS100,0))),$S$4:$AF$4,1))+INDEX($S100:$AF100,1,MATCH(MAX(2000,MIN(2025,ROUND(2027-$CS100,0))),$S$4:$AF$4,1))+INDEX($S100:$AF100,1,MATCH(MAX(2000,MIN(2025,ROUND(2028-$CS100,0))),$S$4:$AF$4,1))+INDEX($S100:$AF100,1,MATCH(MAX(2000,MIN(2025,ROUND(2029-$CS100,0))),$S$4:$AF$4,1))+INDEX($S100:$AF100,1,MATCH(MAX(2000,MIN(2025,ROUND(2030-$CS100,0))),$S$4:$AF$4,1)))/MAX(1,$AF100),0)</f>
        <v>1345.1438215384615</v>
      </c>
      <c r="GM100" s="311">
        <f t="shared" si="299"/>
        <v>829.92149999999992</v>
      </c>
      <c r="GN100" s="311">
        <f t="shared" si="300"/>
        <v>994.17618000000004</v>
      </c>
      <c r="GO100" s="311">
        <f t="shared" ref="GO100:GO131" si="339">IFERROR($DJ100*$FP100/MAX(0.000000001,$CT100)*(INDEX($S100:$AF100,1,MATCH(MAX(2000,MIN(2025,ROUND(2026-$CT100,0))),$S$4:$AF$4,1))+INDEX($S100:$AF100,1,MATCH(MAX(2000,MIN(2025,ROUND(2027-$CT100,0))),$S$4:$AF$4,1))+INDEX($S100:$AF100,1,MATCH(MAX(2000,MIN(2025,ROUND(2028-$CT100,0))),$S$4:$AF$4,1))+INDEX($S100:$AF100,1,MATCH(MAX(2000,MIN(2025,ROUND(2029-$CT100,0))),$S$4:$AF$4,1))+INDEX($S100:$AF100,1,MATCH(MAX(2000,MIN(2025,ROUND(2030-$CT100,0))),$S$4:$AF$4,1)))/MAX(1,$AF100),0)</f>
        <v>685.36818000000005</v>
      </c>
      <c r="GP100" s="311">
        <f t="shared" si="301"/>
        <v>308.80799999999999</v>
      </c>
      <c r="GQ100" s="311">
        <f t="shared" si="302"/>
        <v>481.4602854545455</v>
      </c>
      <c r="GR100" s="311">
        <f t="shared" ref="GR100:GR131" si="340">IFERROR($DK100*$FP100/MAX(0.000000001,$CU100)*(INDEX($S100:$AF100,1,MATCH(MAX(2000,MIN(2025,ROUND(2026-$CU100,0))),$S$4:$AF$4,1))+INDEX($S100:$AF100,1,MATCH(MAX(2000,MIN(2025,ROUND(2027-$CU100,0))),$S$4:$AF$4,1))+INDEX($S100:$AF100,1,MATCH(MAX(2000,MIN(2025,ROUND(2028-$CU100,0))),$S$4:$AF$4,1))+INDEX($S100:$AF100,1,MATCH(MAX(2000,MIN(2025,ROUND(2029-$CU100,0))),$S$4:$AF$4,1))+INDEX($S100:$AF100,1,MATCH(MAX(2000,MIN(2025,ROUND(2030-$CU100,0))),$S$4:$AF$4,1)))/MAX(1,$AF100),0)</f>
        <v>346.3567854545455</v>
      </c>
      <c r="GS100" s="311">
        <f t="shared" si="303"/>
        <v>135.1035</v>
      </c>
      <c r="GT100" s="311">
        <f t="shared" si="304"/>
        <v>2206.7660454545453</v>
      </c>
      <c r="GU100" s="311">
        <f t="shared" ref="GU100:GU131" si="341">IFERROR($DS100*$FP100/MAX(0.000000001,$CV100)*(INDEX($S100:$AF100,1,MATCH(MAX(2000,MIN(2025,ROUND(2026-$CV100,0))),$S$4:$AF$4,1))+INDEX($S100:$AF100,1,MATCH(MAX(2000,MIN(2025,ROUND(2027-$CV100,0))),$S$4:$AF$4,1))+INDEX($S100:$AF100,1,MATCH(MAX(2000,MIN(2025,ROUND(2028-$CV100,0))),$S$4:$AF$4,1))+INDEX($S100:$AF100,1,MATCH(MAX(2000,MIN(2025,ROUND(2029-$CV100,0))),$S$4:$AF$4,1))+INDEX($S100:$AF100,1,MATCH(MAX(2000,MIN(2025,ROUND(2030-$CV100,0))),$S$4:$AF$4,1)))/MAX(1,$AF100),0)</f>
        <v>1563.4160454545454</v>
      </c>
      <c r="GV100" s="311">
        <f t="shared" si="305"/>
        <v>643.35</v>
      </c>
      <c r="GW100" s="311">
        <f t="shared" si="306"/>
        <v>1103.1594500000001</v>
      </c>
      <c r="GX100" s="311">
        <f t="shared" ref="GX100:GX131" si="342">IFERROR($DT100*$FP100/MAX(0.000000001,$CW100)*(INDEX($S100:$AF100,1,MATCH(MAX(2000,MIN(2025,ROUND(2026-$CW100,0))),$S$4:$AF$4,1))+INDEX($S100:$AF100,1,MATCH(MAX(2000,MIN(2025,ROUND(2027-$CW100,0))),$S$4:$AF$4,1))+INDEX($S100:$AF100,1,MATCH(MAX(2000,MIN(2025,ROUND(2028-$CW100,0))),$S$4:$AF$4,1))+INDEX($S100:$AF100,1,MATCH(MAX(2000,MIN(2025,ROUND(2029-$CW100,0))),$S$4:$AF$4,1))+INDEX($S100:$AF100,1,MATCH(MAX(2000,MIN(2025,ROUND(2030-$CW100,0))),$S$4:$AF$4,1)))/MAX(1,$AF100),0)</f>
        <v>770.76195000000018</v>
      </c>
      <c r="GY100" s="311">
        <f t="shared" si="307"/>
        <v>332.39749999999998</v>
      </c>
      <c r="GZ100" s="311">
        <f t="shared" si="308"/>
        <v>355.38702187500007</v>
      </c>
      <c r="HA100" s="311">
        <f t="shared" ref="HA100:HA131" si="343">IFERROR($DU100*$FP100/MAX(0.000000001,$CX100)*(INDEX($S100:$AF100,1,MATCH(MAX(2000,MIN(2025,ROUND(2026-$CX100,0))),$S$4:$AF$4,1))+INDEX($S100:$AF100,1,MATCH(MAX(2000,MIN(2025,ROUND(2027-$CX100,0))),$S$4:$AF$4,1))+INDEX($S100:$AF100,1,MATCH(MAX(2000,MIN(2025,ROUND(2028-$CX100,0))),$S$4:$AF$4,1))+INDEX($S100:$AF100,1,MATCH(MAX(2000,MIN(2025,ROUND(2029-$CX100,0))),$S$4:$AF$4,1))+INDEX($S100:$AF100,1,MATCH(MAX(2000,MIN(2025,ROUND(2030-$CX100,0))),$S$4:$AF$4,1)))/MAX(1,$AF100),0)</f>
        <v>258.88452187500008</v>
      </c>
      <c r="HB100" s="311">
        <f t="shared" si="309"/>
        <v>96.502499999999998</v>
      </c>
      <c r="HC100" s="311">
        <f t="shared" si="310"/>
        <v>131.26546500000001</v>
      </c>
      <c r="HD100" s="311">
        <f t="shared" ref="HD100:HD131" si="344">IFERROR($EB100*$FP100/MAX(0.000000001,$CY100)*(INDEX($S100:$AF100,1,MATCH(MAX(2000,MIN(2025,ROUND(2026-$CY100,0))),$S$4:$AF$4,1))+INDEX($S100:$AF100,1,MATCH(MAX(2000,MIN(2025,ROUND(2027-$CY100,0))),$S$4:$AF$4,1))+INDEX($S100:$AF100,1,MATCH(MAX(2000,MIN(2025,ROUND(2028-$CY100,0))),$S$4:$AF$4,1))+INDEX($S100:$AF100,1,MATCH(MAX(2000,MIN(2025,ROUND(2029-$CY100,0))),$S$4:$AF$4,1))+INDEX($S100:$AF100,1,MATCH(MAX(2000,MIN(2025,ROUND(2030-$CY100,0))),$S$4:$AF$4,1)))/MAX(1,$AF100),0)</f>
        <v>99.097965000000002</v>
      </c>
      <c r="HE100" s="311">
        <f t="shared" si="311"/>
        <v>32.167500000000004</v>
      </c>
      <c r="HF100" s="311">
        <f t="shared" si="312"/>
        <v>488.0521425</v>
      </c>
      <c r="HG100" s="311">
        <f t="shared" ref="HG100:HG131" si="345">IFERROR($EC100*$FP100/MAX(0.000000001,$CZ100)*(INDEX($S100:$AF100,1,MATCH(MAX(2000,MIN(2025,ROUND(2026-$CZ100,0))),$S$4:$AF$4,1))+INDEX($S100:$AF100,1,MATCH(MAX(2000,MIN(2025,ROUND(2027-$CZ100,0))),$S$4:$AF$4,1))+INDEX($S100:$AF100,1,MATCH(MAX(2000,MIN(2025,ROUND(2028-$CZ100,0))),$S$4:$AF$4,1))+INDEX($S100:$AF100,1,MATCH(MAX(2000,MIN(2025,ROUND(2029-$CZ100,0))),$S$4:$AF$4,1))+INDEX($S100:$AF100,1,MATCH(MAX(2000,MIN(2025,ROUND(2030-$CZ100,0))),$S$4:$AF$4,1)))/MAX(1,$AF100),0)</f>
        <v>320.78114249999999</v>
      </c>
      <c r="HH100" s="311">
        <f t="shared" si="313"/>
        <v>167.27100000000002</v>
      </c>
      <c r="HI100" s="311">
        <f t="shared" si="314"/>
        <v>181.39186125000001</v>
      </c>
      <c r="HJ100" s="311">
        <f t="shared" ref="HJ100:HJ131" si="346">IFERROR($ED100*$FP100/MAX(0.000000001,$DA100)*(INDEX($S100:$AF100,1,MATCH(MAX(2000,MIN(2025,ROUND(2026-$DA100,0))),$S$4:$AF$4,1))+INDEX($S100:$AF100,1,MATCH(MAX(2000,MIN(2025,ROUND(2027-$DA100,0))),$S$4:$AF$4,1))+INDEX($S100:$AF100,1,MATCH(MAX(2000,MIN(2025,ROUND(2028-$DA100,0))),$S$4:$AF$4,1))+INDEX($S100:$AF100,1,MATCH(MAX(2000,MIN(2025,ROUND(2029-$DA100,0))),$S$4:$AF$4,1))+INDEX($S100:$AF100,1,MATCH(MAX(2000,MIN(2025,ROUND(2030-$DA100,0))),$S$4:$AF$4,1)))/MAX(1,$AF100),0)</f>
        <v>133.14061125000001</v>
      </c>
      <c r="HK100" s="311">
        <f t="shared" si="315"/>
        <v>48.251249999999999</v>
      </c>
      <c r="HL100" s="311">
        <f t="shared" si="316"/>
        <v>272.18118000000004</v>
      </c>
      <c r="HM100" s="311">
        <f t="shared" ref="HM100:HM131" si="347">IFERROR($EE100*$FP100/MAX(0.000000001,$DB100)*(INDEX($S100:$AF100,1,MATCH(MAX(2000,MIN(2025,ROUND(2026-$DB100,0))),$S$4:$AF$4,1))+INDEX($S100:$AF100,1,MATCH(MAX(2000,MIN(2025,ROUND(2027-$DB100,0))),$S$4:$AF$4,1))+INDEX($S100:$AF100,1,MATCH(MAX(2000,MIN(2025,ROUND(2028-$DB100,0))),$S$4:$AF$4,1))+INDEX($S100:$AF100,1,MATCH(MAX(2000,MIN(2025,ROUND(2029-$DB100,0))),$S$4:$AF$4,1))+INDEX($S100:$AF100,1,MATCH(MAX(2000,MIN(2025,ROUND(2030-$DB100,0))),$S$4:$AF$4,1)))/MAX(1,$AF100),0)</f>
        <v>198.19593</v>
      </c>
      <c r="HN100" s="311">
        <f t="shared" si="317"/>
        <v>73.985250000000008</v>
      </c>
      <c r="HO100" s="311">
        <f t="shared" si="318"/>
        <v>2337.7958769230772</v>
      </c>
      <c r="HP100" s="311">
        <f t="shared" ref="HP100:HP131" si="348">IFERROR($EM100*$FP100/MAX(0.000000001,$DC100)*(INDEX($S100:$AF100,1,MATCH(MAX(2000,MIN(2025,ROUND(2026-$DC100,0))),$S$4:$AF$4,1))+INDEX($S100:$AF100,1,MATCH(MAX(2000,MIN(2025,ROUND(2027-$DC100,0))),$S$4:$AF$4,1))+INDEX($S100:$AF100,1,MATCH(MAX(2000,MIN(2025,ROUND(2028-$DC100,0))),$S$4:$AF$4,1))+INDEX($S100:$AF100,1,MATCH(MAX(2000,MIN(2025,ROUND(2029-$DC100,0))),$S$4:$AF$4,1))+INDEX($S100:$AF100,1,MATCH(MAX(2000,MIN(2025,ROUND(2030-$DC100,0))),$S$4:$AF$4,1)))/MAX(1,$AF100),0)</f>
        <v>1565.7758769230772</v>
      </c>
      <c r="HQ100" s="311">
        <f t="shared" si="319"/>
        <v>772.02</v>
      </c>
      <c r="HR100" s="311">
        <f t="shared" si="320"/>
        <v>1682.6428307692308</v>
      </c>
      <c r="HS100" s="311">
        <f t="shared" ref="HS100:HS131" si="349">IFERROR($EN100*$FP100/MAX(0.000000001,$DD100)*(INDEX($S100:$AF100,1,MATCH(MAX(2000,MIN(2025,ROUND(2026-$DD100,0))),$S$4:$AF$4,1))+INDEX($S100:$AF100,1,MATCH(MAX(2000,MIN(2025,ROUND(2027-$DD100,0))),$S$4:$AF$4,1))+INDEX($S100:$AF100,1,MATCH(MAX(2000,MIN(2025,ROUND(2028-$DD100,0))),$S$4:$AF$4,1))+INDEX($S100:$AF100,1,MATCH(MAX(2000,MIN(2025,ROUND(2029-$DD100,0))),$S$4:$AF$4,1))+INDEX($S100:$AF100,1,MATCH(MAX(2000,MIN(2025,ROUND(2030-$DD100,0))),$S$4:$AF$4,1)))/MAX(1,$AF100),0)</f>
        <v>996.40283076923083</v>
      </c>
      <c r="HT100" s="311">
        <f t="shared" si="321"/>
        <v>686.24</v>
      </c>
      <c r="HU100" s="311">
        <f t="shared" si="322"/>
        <v>765.02013333333321</v>
      </c>
      <c r="HV100" s="311">
        <f t="shared" ref="HV100:HV131" si="350">IFERROR($EO100*$FP100/MAX(0.000000001,$DE100)*(INDEX($S100:$AF100,1,MATCH(MAX(2000,MIN(2025,ROUND(2026-$DE100,0))),$S$4:$AF$4,1))+INDEX($S100:$AF100,1,MATCH(MAX(2000,MIN(2025,ROUND(2027-$DE100,0))),$S$4:$AF$4,1))+INDEX($S100:$AF100,1,MATCH(MAX(2000,MIN(2025,ROUND(2028-$DE100,0))),$S$4:$AF$4,1))+INDEX($S100:$AF100,1,MATCH(MAX(2000,MIN(2025,ROUND(2029-$DE100,0))),$S$4:$AF$4,1))+INDEX($S100:$AF100,1,MATCH(MAX(2000,MIN(2025,ROUND(2030-$DE100,0))),$S$4:$AF$4,1)))/MAX(1,$AF100),0)</f>
        <v>507.68013333333329</v>
      </c>
      <c r="HW100" s="311">
        <f t="shared" si="323"/>
        <v>257.33999999999997</v>
      </c>
      <c r="HY100" s="313">
        <f t="shared" si="324"/>
        <v>41125</v>
      </c>
      <c r="HZ100" s="313">
        <f t="shared" si="325"/>
        <v>4367.4750000000004</v>
      </c>
      <c r="IA100" s="313">
        <f t="shared" si="326"/>
        <v>22251.512500000001</v>
      </c>
      <c r="IB100" s="313">
        <f t="shared" si="327"/>
        <v>13440.262500000001</v>
      </c>
      <c r="IC100" s="313">
        <f t="shared" si="328"/>
        <v>1065.75</v>
      </c>
      <c r="ID100" s="313">
        <f t="shared" si="329"/>
        <v>0</v>
      </c>
      <c r="IE100" s="313">
        <f t="shared" si="330"/>
        <v>10197.507726598194</v>
      </c>
      <c r="IF100" s="313">
        <f t="shared" si="331"/>
        <v>883.80254921115966</v>
      </c>
      <c r="IG100" s="313">
        <f t="shared" si="332"/>
        <v>5279.6077680834896</v>
      </c>
      <c r="IH100" s="313">
        <f t="shared" si="333"/>
        <v>3523.949284633813</v>
      </c>
      <c r="II100" s="313">
        <f t="shared" si="334"/>
        <v>465.27909067270036</v>
      </c>
      <c r="IJ100" s="313">
        <f t="shared" si="335"/>
        <v>44.869033997032055</v>
      </c>
      <c r="IK100" s="866">
        <v>4.12</v>
      </c>
      <c r="IL100" s="314" t="s">
        <v>2589</v>
      </c>
      <c r="IM100" s="299" t="s">
        <v>4390</v>
      </c>
      <c r="IN100" s="657"/>
      <c r="IO100" s="730">
        <v>0.1</v>
      </c>
      <c r="IP100" s="730">
        <v>0.53</v>
      </c>
      <c r="IQ100" s="730">
        <v>0.34</v>
      </c>
      <c r="IR100" s="730">
        <v>0.03</v>
      </c>
      <c r="IS100" s="730">
        <v>0</v>
      </c>
      <c r="IT100" s="730">
        <v>8.0100000000000005E-2</v>
      </c>
      <c r="IU100" s="730">
        <v>0.50570000000000004</v>
      </c>
      <c r="IV100" s="730">
        <v>0.3599</v>
      </c>
      <c r="IW100" s="730">
        <v>4.99E-2</v>
      </c>
      <c r="IX100" s="730">
        <v>4.4000000000000003E-3</v>
      </c>
      <c r="IY100" s="730">
        <v>0.1022</v>
      </c>
      <c r="IZ100" s="730">
        <v>0.54190000000000005</v>
      </c>
      <c r="JA100" s="730">
        <v>0.33110000000000001</v>
      </c>
      <c r="JB100" s="730">
        <v>2.4799999999999999E-2</v>
      </c>
      <c r="JC100" s="730">
        <v>0</v>
      </c>
      <c r="JD100" s="730">
        <v>8.2299999999999998E-2</v>
      </c>
      <c r="JE100" s="730">
        <v>0.51759999999999995</v>
      </c>
      <c r="JF100" s="730">
        <v>0.35099999999999998</v>
      </c>
      <c r="JG100" s="730">
        <v>4.4699999999999997E-2</v>
      </c>
      <c r="JH100" s="730">
        <v>4.4000000000000003E-3</v>
      </c>
      <c r="JI100" s="730">
        <v>0.15459999999999999</v>
      </c>
      <c r="JJ100" s="730">
        <v>0.61470000000000002</v>
      </c>
      <c r="JK100" s="730">
        <v>0.21909999999999999</v>
      </c>
      <c r="JL100" s="730">
        <v>1.1599999999999999E-2</v>
      </c>
      <c r="JM100" s="730">
        <v>0</v>
      </c>
      <c r="JN100" s="730">
        <v>0.13469999999999999</v>
      </c>
      <c r="JO100" s="730">
        <v>0.59040000000000004</v>
      </c>
      <c r="JP100" s="730">
        <v>0.23899999999999999</v>
      </c>
      <c r="JQ100" s="730">
        <v>3.15E-2</v>
      </c>
      <c r="JR100" s="730">
        <v>4.4000000000000003E-3</v>
      </c>
      <c r="JS100" s="730">
        <v>0.1066</v>
      </c>
      <c r="JT100" s="730">
        <v>0.53920000000000001</v>
      </c>
      <c r="JU100" s="730">
        <v>0.32950000000000002</v>
      </c>
      <c r="JV100" s="730">
        <v>2.47E-2</v>
      </c>
      <c r="JW100" s="730">
        <v>0</v>
      </c>
      <c r="JX100" s="730">
        <v>8.6699999999999999E-2</v>
      </c>
      <c r="JY100" s="730">
        <v>0.51490000000000002</v>
      </c>
      <c r="JZ100" s="730">
        <v>0.34939999999999999</v>
      </c>
      <c r="KA100" s="730">
        <v>4.4600000000000001E-2</v>
      </c>
      <c r="KB100" s="730">
        <v>4.4000000000000003E-3</v>
      </c>
      <c r="KC100" s="657"/>
      <c r="KD100" s="314" t="s">
        <v>2590</v>
      </c>
      <c r="KE100" s="314" t="s">
        <v>2590</v>
      </c>
      <c r="KF100" s="866">
        <v>4.1500000000000004</v>
      </c>
      <c r="KG100" s="314" t="s">
        <v>2589</v>
      </c>
      <c r="KH100" s="315" t="s">
        <v>4324</v>
      </c>
      <c r="KI100" s="314" t="s">
        <v>3028</v>
      </c>
      <c r="KJ100" s="315" t="s">
        <v>4391</v>
      </c>
    </row>
    <row r="101" spans="1:296" ht="48" hidden="1" customHeight="1">
      <c r="A101" s="265">
        <f t="shared" si="336"/>
        <v>94</v>
      </c>
      <c r="B101" s="266" t="s">
        <v>2278</v>
      </c>
      <c r="C101" s="266" t="s">
        <v>1527</v>
      </c>
      <c r="D101" s="624" t="s">
        <v>905</v>
      </c>
      <c r="E101" s="267" t="s">
        <v>2158</v>
      </c>
      <c r="F101" s="267" t="s">
        <v>300</v>
      </c>
      <c r="G101" s="267" t="s">
        <v>300</v>
      </c>
      <c r="H101" s="267" t="s">
        <v>2109</v>
      </c>
      <c r="I101" s="268" t="s">
        <v>4392</v>
      </c>
      <c r="J101" s="268" t="s">
        <v>4393</v>
      </c>
      <c r="K101" s="269" t="s">
        <v>2109</v>
      </c>
      <c r="L101" s="269" t="s">
        <v>2109</v>
      </c>
      <c r="M101" s="269" t="s">
        <v>2603</v>
      </c>
      <c r="N101" s="269" t="s">
        <v>3322</v>
      </c>
      <c r="O101" s="267" t="s">
        <v>2212</v>
      </c>
      <c r="P101" s="268"/>
      <c r="Q101" s="270">
        <v>1</v>
      </c>
      <c r="R101" s="271">
        <v>250</v>
      </c>
      <c r="S101" s="272">
        <v>37573</v>
      </c>
      <c r="T101" s="272">
        <v>37554</v>
      </c>
      <c r="U101" s="272">
        <v>37437</v>
      </c>
      <c r="V101" s="272">
        <v>37446</v>
      </c>
      <c r="W101" s="272">
        <v>37385</v>
      </c>
      <c r="X101" s="272">
        <v>37476</v>
      </c>
      <c r="Y101" s="272">
        <v>37592</v>
      </c>
      <c r="Z101" s="272">
        <v>37560</v>
      </c>
      <c r="AA101" s="272">
        <v>37563</v>
      </c>
      <c r="AB101" s="272">
        <v>37565</v>
      </c>
      <c r="AC101" s="272">
        <v>37560</v>
      </c>
      <c r="AD101" s="272">
        <v>37555</v>
      </c>
      <c r="AE101" s="272">
        <v>37566</v>
      </c>
      <c r="AF101" s="272">
        <v>37496</v>
      </c>
      <c r="AG101" s="272">
        <v>37496</v>
      </c>
      <c r="AH101" s="272">
        <v>37490</v>
      </c>
      <c r="AI101" s="272">
        <v>37480</v>
      </c>
      <c r="AJ101" s="272">
        <v>37470</v>
      </c>
      <c r="AK101" s="272">
        <v>37460</v>
      </c>
      <c r="AL101" s="268" t="s">
        <v>4394</v>
      </c>
      <c r="AM101" s="268" t="s">
        <v>4395</v>
      </c>
      <c r="AN101" s="268" t="s">
        <v>4396</v>
      </c>
      <c r="AO101" s="657"/>
      <c r="AP101" s="271">
        <v>40</v>
      </c>
      <c r="AQ101" s="280">
        <v>25</v>
      </c>
      <c r="AR101" s="280">
        <v>12</v>
      </c>
      <c r="AS101" s="280">
        <v>3</v>
      </c>
      <c r="AT101" s="657"/>
      <c r="AU101" s="301" t="s">
        <v>4397</v>
      </c>
      <c r="AV101" s="572" t="s">
        <v>4398</v>
      </c>
      <c r="AW101" s="645" t="s">
        <v>3396</v>
      </c>
      <c r="AX101" s="290" t="s">
        <v>2670</v>
      </c>
      <c r="AY101" s="657"/>
      <c r="AZ101" s="948">
        <v>3</v>
      </c>
      <c r="BA101" s="948">
        <v>0</v>
      </c>
      <c r="BB101" s="948">
        <v>0.3</v>
      </c>
      <c r="BC101" s="948">
        <v>3</v>
      </c>
      <c r="BD101" s="825">
        <f t="shared" si="241"/>
        <v>236224.8</v>
      </c>
      <c r="BE101" s="304">
        <f t="shared" si="242"/>
        <v>112488</v>
      </c>
      <c r="BF101" s="304">
        <f t="shared" si="243"/>
        <v>0</v>
      </c>
      <c r="BG101" s="304">
        <f t="shared" si="244"/>
        <v>11248.8</v>
      </c>
      <c r="BH101" s="304">
        <f t="shared" si="245"/>
        <v>112488</v>
      </c>
      <c r="BI101" s="825">
        <f t="shared" si="246"/>
        <v>235998</v>
      </c>
      <c r="BJ101" s="304">
        <f t="shared" si="247"/>
        <v>112380</v>
      </c>
      <c r="BK101" s="304">
        <f t="shared" si="248"/>
        <v>0</v>
      </c>
      <c r="BL101" s="304">
        <f t="shared" si="249"/>
        <v>11238</v>
      </c>
      <c r="BM101" s="304">
        <f t="shared" si="250"/>
        <v>112380</v>
      </c>
      <c r="BN101" s="657"/>
      <c r="BO101" s="284">
        <v>0.33</v>
      </c>
      <c r="BP101" s="284">
        <v>0.46</v>
      </c>
      <c r="BQ101" s="284">
        <v>0.17</v>
      </c>
      <c r="BR101" s="710">
        <v>0.04</v>
      </c>
      <c r="BS101" s="707">
        <v>0.28999999999999998</v>
      </c>
      <c r="BT101" s="284">
        <v>0.46</v>
      </c>
      <c r="BU101" s="284">
        <v>0.22</v>
      </c>
      <c r="BV101" s="710">
        <v>0.03</v>
      </c>
      <c r="BW101" s="714"/>
      <c r="BX101" s="285"/>
      <c r="BY101" s="717"/>
      <c r="BZ101" s="714"/>
      <c r="CA101" s="285"/>
      <c r="CB101" s="717"/>
      <c r="CC101" s="284">
        <v>0.12</v>
      </c>
      <c r="CD101" s="284">
        <v>0.48</v>
      </c>
      <c r="CE101" s="284">
        <v>0.28000000000000003</v>
      </c>
      <c r="CF101" s="710">
        <v>0.12</v>
      </c>
      <c r="CG101" s="707">
        <v>0.1</v>
      </c>
      <c r="CH101" s="284">
        <v>0.47</v>
      </c>
      <c r="CI101" s="284">
        <v>0.3</v>
      </c>
      <c r="CJ101" s="710">
        <v>0.13</v>
      </c>
      <c r="CK101" s="720">
        <v>0.48</v>
      </c>
      <c r="CL101" s="286">
        <v>0.35</v>
      </c>
      <c r="CM101" s="718">
        <v>0.17</v>
      </c>
      <c r="CN101" s="720">
        <v>0.41</v>
      </c>
      <c r="CO101" s="286">
        <v>0.38</v>
      </c>
      <c r="CP101" s="718">
        <v>0.21</v>
      </c>
      <c r="CQ101" s="657"/>
      <c r="CR101" s="807">
        <v>13</v>
      </c>
      <c r="CS101" s="808">
        <v>14</v>
      </c>
      <c r="CT101" s="808">
        <v>10</v>
      </c>
      <c r="CU101" s="809">
        <v>12</v>
      </c>
      <c r="CV101" s="807"/>
      <c r="CW101" s="808"/>
      <c r="CX101" s="809"/>
      <c r="CY101" s="807">
        <v>11</v>
      </c>
      <c r="CZ101" s="808">
        <v>13</v>
      </c>
      <c r="DA101" s="808">
        <v>9</v>
      </c>
      <c r="DB101" s="809">
        <v>11</v>
      </c>
      <c r="DC101" s="807">
        <v>14</v>
      </c>
      <c r="DD101" s="808">
        <v>14</v>
      </c>
      <c r="DE101" s="809">
        <v>10</v>
      </c>
      <c r="DF101" s="610" t="s">
        <v>4399</v>
      </c>
      <c r="DG101" s="657"/>
      <c r="DH101" s="288">
        <f t="shared" si="251"/>
        <v>37121.040000000001</v>
      </c>
      <c r="DI101" s="288">
        <f t="shared" si="252"/>
        <v>51744.480000000003</v>
      </c>
      <c r="DJ101" s="288">
        <f t="shared" si="253"/>
        <v>19122.960000000003</v>
      </c>
      <c r="DK101" s="288">
        <f t="shared" si="254"/>
        <v>4499.5200000000004</v>
      </c>
      <c r="DL101" s="560" t="s">
        <v>4400</v>
      </c>
      <c r="DM101" s="288">
        <f t="shared" si="255"/>
        <v>32590.199999999997</v>
      </c>
      <c r="DN101" s="288">
        <f t="shared" si="256"/>
        <v>51694.8</v>
      </c>
      <c r="DO101" s="288">
        <f t="shared" si="257"/>
        <v>24723.599999999999</v>
      </c>
      <c r="DP101" s="288">
        <f t="shared" si="258"/>
        <v>3371.4</v>
      </c>
      <c r="DQ101" s="561" t="s">
        <v>8046</v>
      </c>
      <c r="DR101" s="657"/>
      <c r="DS101" s="288">
        <f t="shared" si="259"/>
        <v>0</v>
      </c>
      <c r="DT101" s="288">
        <f t="shared" si="260"/>
        <v>0</v>
      </c>
      <c r="DU101" s="288">
        <f t="shared" si="261"/>
        <v>0</v>
      </c>
      <c r="DV101" s="561" t="s">
        <v>2613</v>
      </c>
      <c r="DW101" s="288">
        <f t="shared" si="262"/>
        <v>0</v>
      </c>
      <c r="DX101" s="288">
        <f t="shared" si="263"/>
        <v>0</v>
      </c>
      <c r="DY101" s="288">
        <f t="shared" si="264"/>
        <v>0</v>
      </c>
      <c r="DZ101" s="561" t="s">
        <v>2613</v>
      </c>
      <c r="EA101" s="657"/>
      <c r="EB101" s="288">
        <f t="shared" si="265"/>
        <v>1349.8559999999998</v>
      </c>
      <c r="EC101" s="288">
        <f t="shared" si="266"/>
        <v>5399.4239999999991</v>
      </c>
      <c r="ED101" s="288">
        <f t="shared" si="267"/>
        <v>3149.6640000000002</v>
      </c>
      <c r="EE101" s="288">
        <f t="shared" si="268"/>
        <v>1349.8559999999998</v>
      </c>
      <c r="EF101" s="561" t="s">
        <v>8064</v>
      </c>
      <c r="EG101" s="288">
        <f t="shared" si="269"/>
        <v>1123.8</v>
      </c>
      <c r="EH101" s="288">
        <f t="shared" si="270"/>
        <v>5281.86</v>
      </c>
      <c r="EI101" s="288">
        <f t="shared" si="271"/>
        <v>3371.4</v>
      </c>
      <c r="EJ101" s="288">
        <f t="shared" si="272"/>
        <v>1460.94</v>
      </c>
      <c r="EK101" s="561" t="s">
        <v>8050</v>
      </c>
      <c r="EL101" s="657"/>
      <c r="EM101" s="288">
        <f t="shared" si="273"/>
        <v>53994.239999999998</v>
      </c>
      <c r="EN101" s="291">
        <f t="shared" si="274"/>
        <v>39370.799999999996</v>
      </c>
      <c r="EO101" s="291">
        <f t="shared" si="275"/>
        <v>19122.960000000003</v>
      </c>
      <c r="EP101" s="561" t="s">
        <v>8065</v>
      </c>
      <c r="EQ101" s="288">
        <f t="shared" si="276"/>
        <v>46075.799999999996</v>
      </c>
      <c r="ER101" s="291">
        <f t="shared" si="277"/>
        <v>42704.4</v>
      </c>
      <c r="ES101" s="291">
        <f t="shared" si="278"/>
        <v>23599.8</v>
      </c>
      <c r="ET101" s="561" t="s">
        <v>8042</v>
      </c>
      <c r="EU101" s="657"/>
      <c r="EV101" s="740">
        <f t="shared" si="279"/>
        <v>0.87574287840125598</v>
      </c>
      <c r="EW101" s="740">
        <f t="shared" si="280"/>
        <v>0.12425712159874394</v>
      </c>
      <c r="EX101" s="563">
        <f t="shared" si="281"/>
        <v>81366.937443223374</v>
      </c>
      <c r="EY101" s="563">
        <f t="shared" si="282"/>
        <v>71256.516003223369</v>
      </c>
      <c r="EZ101" s="563">
        <f t="shared" si="283"/>
        <v>10110.421439999998</v>
      </c>
      <c r="FA101" s="563">
        <f t="shared" si="284"/>
        <v>38986.352534185717</v>
      </c>
      <c r="FB101" s="563">
        <f t="shared" si="285"/>
        <v>34171.866134185715</v>
      </c>
      <c r="FC101" s="563">
        <f t="shared" si="286"/>
        <v>4814.4863999999998</v>
      </c>
      <c r="FD101" s="563">
        <f t="shared" si="287"/>
        <v>0</v>
      </c>
      <c r="FE101" s="563">
        <f t="shared" si="288"/>
        <v>0</v>
      </c>
      <c r="FF101" s="563">
        <f t="shared" si="289"/>
        <v>0</v>
      </c>
      <c r="FG101" s="563">
        <f t="shared" si="290"/>
        <v>4393.0607817090904</v>
      </c>
      <c r="FH101" s="563">
        <f t="shared" si="291"/>
        <v>3911.6121417090908</v>
      </c>
      <c r="FI101" s="563">
        <f t="shared" si="292"/>
        <v>481.44863999999995</v>
      </c>
      <c r="FJ101" s="563">
        <f t="shared" si="293"/>
        <v>37987.524127328572</v>
      </c>
      <c r="FK101" s="563">
        <f t="shared" si="294"/>
        <v>33173.03772732857</v>
      </c>
      <c r="FL101" s="563">
        <f t="shared" si="295"/>
        <v>4814.4863999999998</v>
      </c>
      <c r="FM101" s="529"/>
      <c r="FN101" s="564" t="s">
        <v>2649</v>
      </c>
      <c r="FO101" s="740">
        <v>4.2799999999999998E-2</v>
      </c>
      <c r="FP101" s="741">
        <v>0.77415</v>
      </c>
      <c r="FQ101" s="565" t="s">
        <v>4401</v>
      </c>
      <c r="FR101" s="529"/>
      <c r="FS101" s="867">
        <v>3.06</v>
      </c>
      <c r="FT101" s="566">
        <f>RANK($FS101,$FS$8:$FS$154,0)+COUNTIF($FS$8:$FS101,$FS101)-1</f>
        <v>109</v>
      </c>
      <c r="FU101" s="867">
        <v>3.57</v>
      </c>
      <c r="FV101" s="566">
        <f>RANK($FU101,$FU$8:$FU$154,0)+COUNTIF($FU$8:$FU101,$FU101)-1</f>
        <v>127</v>
      </c>
      <c r="FW101" s="867">
        <v>2.14</v>
      </c>
      <c r="FX101" s="566">
        <f>RANK($FW101,$FW$8:$FW$154,0)+COUNTIF($FW$8:$FW101,$FW101)-1</f>
        <v>77</v>
      </c>
      <c r="FY101" s="529"/>
      <c r="FZ101" s="567" t="s">
        <v>4402</v>
      </c>
      <c r="GA101" s="567" t="s">
        <v>4403</v>
      </c>
      <c r="GB101" s="567" t="s">
        <v>2653</v>
      </c>
      <c r="GC101" s="567" t="s">
        <v>2654</v>
      </c>
      <c r="GD101" s="567" t="s">
        <v>2876</v>
      </c>
      <c r="GE101" s="567" t="s">
        <v>2656</v>
      </c>
      <c r="GF101" s="567" t="str">
        <f t="shared" ref="GF101:GF112" si="351">HYPERLINK("https://anct.gouv.fr/france-services-36","https://anct.gouv.fr/france-services-36")&amp;CHAR(10)&amp;HYPERLINK("https://www.economie.gouv.fr/particuliers/gerer-mon-argent/beneficier-daides-et-de-reductions-dimpots/france-services-les-services-publics-pres-de-chez-vous","https://www.economie.gouv.fr/particuliers/gerer-mon-argent/beneficier-daides-et-de-reductions-dimpots/france-services-les-services-publics-pres-de-chez-vous")&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01" s="529"/>
      <c r="GH101" s="563">
        <f t="shared" si="296"/>
        <v>12431.363320500001</v>
      </c>
      <c r="GI101" s="563">
        <f t="shared" si="337"/>
        <v>11035.162264500001</v>
      </c>
      <c r="GJ101" s="563">
        <f t="shared" si="297"/>
        <v>1396.2010559999999</v>
      </c>
      <c r="GK101" s="563">
        <f t="shared" si="298"/>
        <v>16495.295989285714</v>
      </c>
      <c r="GL101" s="563">
        <f t="shared" si="338"/>
        <v>14280.632245285715</v>
      </c>
      <c r="GM101" s="563">
        <f t="shared" si="299"/>
        <v>2214.663744</v>
      </c>
      <c r="GN101" s="563">
        <f t="shared" si="300"/>
        <v>8464.9969884000002</v>
      </c>
      <c r="GO101" s="563">
        <f t="shared" si="339"/>
        <v>7405.8099804000003</v>
      </c>
      <c r="GP101" s="563">
        <f t="shared" si="301"/>
        <v>1059.1870079999999</v>
      </c>
      <c r="GQ101" s="563">
        <f t="shared" si="302"/>
        <v>1594.696236</v>
      </c>
      <c r="GR101" s="563">
        <f t="shared" si="340"/>
        <v>1450.2616439999999</v>
      </c>
      <c r="GS101" s="563">
        <f t="shared" si="303"/>
        <v>144.43459199999998</v>
      </c>
      <c r="GT101" s="563">
        <f t="shared" si="304"/>
        <v>0</v>
      </c>
      <c r="GU101" s="563">
        <f t="shared" si="341"/>
        <v>0</v>
      </c>
      <c r="GV101" s="563">
        <f t="shared" si="305"/>
        <v>0</v>
      </c>
      <c r="GW101" s="563">
        <f t="shared" si="306"/>
        <v>0</v>
      </c>
      <c r="GX101" s="563">
        <f t="shared" si="342"/>
        <v>0</v>
      </c>
      <c r="GY101" s="563">
        <f t="shared" si="307"/>
        <v>0</v>
      </c>
      <c r="GZ101" s="563">
        <f t="shared" si="308"/>
        <v>0</v>
      </c>
      <c r="HA101" s="563">
        <f t="shared" si="343"/>
        <v>0</v>
      </c>
      <c r="HB101" s="563">
        <f t="shared" si="309"/>
        <v>0</v>
      </c>
      <c r="HC101" s="563">
        <f t="shared" si="310"/>
        <v>523.08757805454547</v>
      </c>
      <c r="HD101" s="563">
        <f t="shared" si="344"/>
        <v>474.94271405454543</v>
      </c>
      <c r="HE101" s="563">
        <f t="shared" si="311"/>
        <v>48.144863999999998</v>
      </c>
      <c r="HF101" s="563">
        <f t="shared" si="312"/>
        <v>1831.3953719999997</v>
      </c>
      <c r="HG101" s="563">
        <f t="shared" si="345"/>
        <v>1605.1145111999997</v>
      </c>
      <c r="HH101" s="563">
        <f t="shared" si="313"/>
        <v>226.28086079999997</v>
      </c>
      <c r="HI101" s="563">
        <f t="shared" si="314"/>
        <v>1501.0467944000002</v>
      </c>
      <c r="HJ101" s="563">
        <f t="shared" si="346"/>
        <v>1356.6122024000001</v>
      </c>
      <c r="HK101" s="563">
        <f t="shared" si="315"/>
        <v>144.43459199999998</v>
      </c>
      <c r="HL101" s="563">
        <f t="shared" si="316"/>
        <v>537.53103725454548</v>
      </c>
      <c r="HM101" s="563">
        <f t="shared" si="347"/>
        <v>474.94271405454543</v>
      </c>
      <c r="HN101" s="563">
        <f t="shared" si="317"/>
        <v>62.588323199999998</v>
      </c>
      <c r="HO101" s="563">
        <f t="shared" si="318"/>
        <v>16875.46872342857</v>
      </c>
      <c r="HP101" s="563">
        <f t="shared" si="348"/>
        <v>14901.52929942857</v>
      </c>
      <c r="HQ101" s="563">
        <f t="shared" si="319"/>
        <v>1973.9394239999997</v>
      </c>
      <c r="HR101" s="563">
        <f t="shared" si="320"/>
        <v>12695.2032795</v>
      </c>
      <c r="HS101" s="563">
        <f t="shared" si="349"/>
        <v>10865.698447499999</v>
      </c>
      <c r="HT101" s="563">
        <f t="shared" si="321"/>
        <v>1829.5048319999999</v>
      </c>
      <c r="HU101" s="563">
        <f t="shared" si="322"/>
        <v>8416.8521244000003</v>
      </c>
      <c r="HV101" s="563">
        <f t="shared" si="350"/>
        <v>7405.8099804000003</v>
      </c>
      <c r="HW101" s="563">
        <f t="shared" si="323"/>
        <v>1011.0421439999999</v>
      </c>
      <c r="HX101" s="544"/>
      <c r="HY101" s="568">
        <f t="shared" si="324"/>
        <v>236224.8</v>
      </c>
      <c r="HZ101" s="568">
        <f t="shared" si="325"/>
        <v>7649.1839999999993</v>
      </c>
      <c r="IA101" s="568">
        <f t="shared" si="326"/>
        <v>97726.199760000003</v>
      </c>
      <c r="IB101" s="568">
        <f t="shared" si="327"/>
        <v>116006.62463999999</v>
      </c>
      <c r="IC101" s="568">
        <f t="shared" si="328"/>
        <v>14842.7916</v>
      </c>
      <c r="ID101" s="568">
        <f t="shared" si="329"/>
        <v>0</v>
      </c>
      <c r="IE101" s="568">
        <f t="shared" si="330"/>
        <v>71256.516003223369</v>
      </c>
      <c r="IF101" s="568">
        <f t="shared" si="331"/>
        <v>871.70795593751018</v>
      </c>
      <c r="IG101" s="568">
        <f t="shared" si="332"/>
        <v>27779.983630570954</v>
      </c>
      <c r="IH101" s="568">
        <f t="shared" si="333"/>
        <v>36375.941415812289</v>
      </c>
      <c r="II101" s="568">
        <f t="shared" si="334"/>
        <v>5909.0110013164576</v>
      </c>
      <c r="IJ101" s="568">
        <f t="shared" si="335"/>
        <v>319.87199958616338</v>
      </c>
      <c r="IK101" s="868">
        <v>4.13</v>
      </c>
      <c r="IL101" s="569" t="s">
        <v>2589</v>
      </c>
      <c r="IM101" s="570" t="s">
        <v>4404</v>
      </c>
      <c r="IN101" s="529"/>
      <c r="IO101" s="742">
        <v>0.03</v>
      </c>
      <c r="IP101" s="742">
        <v>0.4</v>
      </c>
      <c r="IQ101" s="742">
        <v>0.5</v>
      </c>
      <c r="IR101" s="742">
        <v>7.0000000000000007E-2</v>
      </c>
      <c r="IS101" s="742">
        <v>0</v>
      </c>
      <c r="IT101" s="742">
        <v>9.7000000000000003E-3</v>
      </c>
      <c r="IU101" s="742">
        <v>0.37530000000000002</v>
      </c>
      <c r="IV101" s="742">
        <v>0.5202</v>
      </c>
      <c r="IW101" s="742">
        <v>9.0300000000000005E-2</v>
      </c>
      <c r="IX101" s="742">
        <v>4.4999999999999997E-3</v>
      </c>
      <c r="IY101" s="742">
        <v>0</v>
      </c>
      <c r="IZ101" s="742">
        <v>0</v>
      </c>
      <c r="JA101" s="742">
        <v>0</v>
      </c>
      <c r="JB101" s="742">
        <v>0</v>
      </c>
      <c r="JC101" s="742">
        <v>0</v>
      </c>
      <c r="JD101" s="742">
        <v>0</v>
      </c>
      <c r="JE101" s="742">
        <v>0</v>
      </c>
      <c r="JF101" s="742">
        <v>0</v>
      </c>
      <c r="JG101" s="742">
        <v>0</v>
      </c>
      <c r="JH101" s="742">
        <v>0</v>
      </c>
      <c r="JI101" s="742">
        <v>5.3999999999999999E-2</v>
      </c>
      <c r="JJ101" s="742">
        <v>0.53969999999999996</v>
      </c>
      <c r="JK101" s="742">
        <v>0.37480000000000002</v>
      </c>
      <c r="JL101" s="742">
        <v>3.15E-2</v>
      </c>
      <c r="JM101" s="742">
        <v>0</v>
      </c>
      <c r="JN101" s="742">
        <v>3.3799999999999997E-2</v>
      </c>
      <c r="JO101" s="742">
        <v>0.51500000000000001</v>
      </c>
      <c r="JP101" s="742">
        <v>0.39510000000000001</v>
      </c>
      <c r="JQ101" s="742">
        <v>5.1799999999999999E-2</v>
      </c>
      <c r="JR101" s="742">
        <v>4.3E-3</v>
      </c>
      <c r="JS101" s="742">
        <v>3.2599999999999997E-2</v>
      </c>
      <c r="JT101" s="742">
        <v>0.4148</v>
      </c>
      <c r="JU101" s="742">
        <v>0.49380000000000002</v>
      </c>
      <c r="JV101" s="742">
        <v>5.8799999999999998E-2</v>
      </c>
      <c r="JW101" s="742">
        <v>0</v>
      </c>
      <c r="JX101" s="742">
        <v>1.23E-2</v>
      </c>
      <c r="JY101" s="742">
        <v>0.3901</v>
      </c>
      <c r="JZ101" s="742">
        <v>0.5141</v>
      </c>
      <c r="KA101" s="742">
        <v>7.9000000000000001E-2</v>
      </c>
      <c r="KB101" s="742">
        <v>4.4999999999999997E-3</v>
      </c>
      <c r="KC101" s="657"/>
      <c r="KD101" s="832" t="s">
        <v>2590</v>
      </c>
      <c r="KE101" s="832" t="s">
        <v>2590</v>
      </c>
      <c r="KF101" s="869">
        <v>4.16</v>
      </c>
      <c r="KG101" s="832" t="s">
        <v>2589</v>
      </c>
      <c r="KH101" s="833" t="s">
        <v>4405</v>
      </c>
      <c r="KI101" s="832" t="s">
        <v>4048</v>
      </c>
      <c r="KJ101" s="833" t="s">
        <v>4406</v>
      </c>
    </row>
    <row r="102" spans="1:296" ht="48" hidden="1" customHeight="1">
      <c r="A102" s="273">
        <f t="shared" si="336"/>
        <v>95</v>
      </c>
      <c r="B102" s="274" t="s">
        <v>2278</v>
      </c>
      <c r="C102" s="274" t="s">
        <v>1527</v>
      </c>
      <c r="D102" s="274" t="s">
        <v>4407</v>
      </c>
      <c r="E102" s="275" t="s">
        <v>2289</v>
      </c>
      <c r="F102" s="275" t="s">
        <v>4408</v>
      </c>
      <c r="G102" s="275" t="s">
        <v>2121</v>
      </c>
      <c r="H102" s="275" t="s">
        <v>2097</v>
      </c>
      <c r="I102" s="276" t="s">
        <v>4409</v>
      </c>
      <c r="J102" s="276" t="s">
        <v>4410</v>
      </c>
      <c r="K102" s="277"/>
      <c r="L102" s="277"/>
      <c r="M102" s="277"/>
      <c r="N102" s="277"/>
      <c r="O102" s="275"/>
      <c r="P102" s="276"/>
      <c r="Q102" s="270"/>
      <c r="R102" s="278">
        <v>2800</v>
      </c>
      <c r="S102" s="279">
        <v>7200</v>
      </c>
      <c r="T102" s="279">
        <v>8000</v>
      </c>
      <c r="U102" s="279">
        <v>8900</v>
      </c>
      <c r="V102" s="279">
        <v>9400</v>
      </c>
      <c r="W102" s="279">
        <v>9450</v>
      </c>
      <c r="X102" s="279">
        <v>9500</v>
      </c>
      <c r="Y102" s="279">
        <v>9550</v>
      </c>
      <c r="Z102" s="279">
        <v>9600</v>
      </c>
      <c r="AA102" s="279">
        <v>9650</v>
      </c>
      <c r="AB102" s="279">
        <v>9700</v>
      </c>
      <c r="AC102" s="279">
        <v>9800</v>
      </c>
      <c r="AD102" s="279">
        <v>9900</v>
      </c>
      <c r="AE102" s="279">
        <v>10000</v>
      </c>
      <c r="AF102" s="279">
        <v>10000</v>
      </c>
      <c r="AG102" s="279">
        <v>9950</v>
      </c>
      <c r="AH102" s="279">
        <v>9900</v>
      </c>
      <c r="AI102" s="279">
        <v>9825</v>
      </c>
      <c r="AJ102" s="279">
        <v>9750</v>
      </c>
      <c r="AK102" s="279">
        <v>9650</v>
      </c>
      <c r="AL102" s="276" t="s">
        <v>4411</v>
      </c>
      <c r="AM102" s="276" t="s">
        <v>4412</v>
      </c>
      <c r="AN102" s="276" t="s">
        <v>4413</v>
      </c>
      <c r="AO102" s="657"/>
      <c r="AP102" s="278">
        <v>170</v>
      </c>
      <c r="AQ102" s="278">
        <v>150</v>
      </c>
      <c r="AR102" s="278">
        <v>17</v>
      </c>
      <c r="AS102" s="278">
        <v>3</v>
      </c>
      <c r="AT102" s="657"/>
      <c r="AU102" s="281" t="s">
        <v>4414</v>
      </c>
      <c r="AV102" s="296" t="s">
        <v>4415</v>
      </c>
      <c r="AW102" s="296" t="s">
        <v>4060</v>
      </c>
      <c r="AX102" s="276" t="s">
        <v>2670</v>
      </c>
      <c r="AY102" s="657"/>
      <c r="AZ102" s="947">
        <v>16</v>
      </c>
      <c r="BA102" s="947">
        <v>0</v>
      </c>
      <c r="BB102" s="947">
        <v>3.5</v>
      </c>
      <c r="BC102" s="947">
        <v>12</v>
      </c>
      <c r="BD102" s="826">
        <f t="shared" si="241"/>
        <v>315000</v>
      </c>
      <c r="BE102" s="283">
        <f t="shared" si="242"/>
        <v>160000</v>
      </c>
      <c r="BF102" s="283">
        <f t="shared" si="243"/>
        <v>0</v>
      </c>
      <c r="BG102" s="283">
        <f t="shared" si="244"/>
        <v>35000</v>
      </c>
      <c r="BH102" s="283">
        <f t="shared" si="245"/>
        <v>120000</v>
      </c>
      <c r="BI102" s="826">
        <f t="shared" si="246"/>
        <v>303975</v>
      </c>
      <c r="BJ102" s="283">
        <f t="shared" si="247"/>
        <v>154400</v>
      </c>
      <c r="BK102" s="283">
        <f t="shared" si="248"/>
        <v>0</v>
      </c>
      <c r="BL102" s="283">
        <f t="shared" si="249"/>
        <v>33775</v>
      </c>
      <c r="BM102" s="283">
        <f t="shared" si="250"/>
        <v>115800</v>
      </c>
      <c r="BN102" s="657"/>
      <c r="BO102" s="305">
        <v>0.44</v>
      </c>
      <c r="BP102" s="305">
        <v>0.38</v>
      </c>
      <c r="BQ102" s="305">
        <v>0.13</v>
      </c>
      <c r="BR102" s="581">
        <v>0.05</v>
      </c>
      <c r="BS102" s="706">
        <v>0.39</v>
      </c>
      <c r="BT102" s="305">
        <v>0.39</v>
      </c>
      <c r="BU102" s="305">
        <v>0.18</v>
      </c>
      <c r="BV102" s="581">
        <v>0.04</v>
      </c>
      <c r="BW102" s="713"/>
      <c r="BX102" s="306"/>
      <c r="BY102" s="590"/>
      <c r="BZ102" s="713"/>
      <c r="CA102" s="306"/>
      <c r="CB102" s="590"/>
      <c r="CC102" s="706">
        <v>0.15</v>
      </c>
      <c r="CD102" s="305">
        <v>0.48</v>
      </c>
      <c r="CE102" s="305">
        <v>0.26</v>
      </c>
      <c r="CF102" s="581">
        <v>0.11</v>
      </c>
      <c r="CG102" s="706">
        <v>0.11</v>
      </c>
      <c r="CH102" s="305">
        <v>0.48</v>
      </c>
      <c r="CI102" s="305">
        <v>0.28999999999999998</v>
      </c>
      <c r="CJ102" s="581">
        <v>0.12</v>
      </c>
      <c r="CK102" s="719">
        <v>0.61</v>
      </c>
      <c r="CL102" s="307">
        <v>0.28000000000000003</v>
      </c>
      <c r="CM102" s="723">
        <v>0.11</v>
      </c>
      <c r="CN102" s="719">
        <v>0.55000000000000004</v>
      </c>
      <c r="CO102" s="307">
        <v>0.32</v>
      </c>
      <c r="CP102" s="723">
        <v>0.13</v>
      </c>
      <c r="CQ102" s="657"/>
      <c r="CR102" s="804">
        <v>13</v>
      </c>
      <c r="CS102" s="805">
        <v>13</v>
      </c>
      <c r="CT102" s="805">
        <v>10</v>
      </c>
      <c r="CU102" s="806">
        <v>12</v>
      </c>
      <c r="CV102" s="804"/>
      <c r="CW102" s="805"/>
      <c r="CX102" s="806"/>
      <c r="CY102" s="804">
        <v>11</v>
      </c>
      <c r="CZ102" s="805">
        <v>13</v>
      </c>
      <c r="DA102" s="805">
        <v>9</v>
      </c>
      <c r="DB102" s="806">
        <v>11</v>
      </c>
      <c r="DC102" s="804">
        <v>14</v>
      </c>
      <c r="DD102" s="805">
        <v>14</v>
      </c>
      <c r="DE102" s="806">
        <v>10</v>
      </c>
      <c r="DF102" s="609" t="s">
        <v>4416</v>
      </c>
      <c r="DG102" s="657"/>
      <c r="DH102" s="308">
        <f t="shared" si="251"/>
        <v>70400</v>
      </c>
      <c r="DI102" s="308">
        <f t="shared" si="252"/>
        <v>60800</v>
      </c>
      <c r="DJ102" s="308">
        <f t="shared" si="253"/>
        <v>20800</v>
      </c>
      <c r="DK102" s="308">
        <f t="shared" si="254"/>
        <v>8000</v>
      </c>
      <c r="DL102" s="287" t="s">
        <v>8066</v>
      </c>
      <c r="DM102" s="308">
        <f t="shared" si="255"/>
        <v>60216</v>
      </c>
      <c r="DN102" s="308">
        <f t="shared" si="256"/>
        <v>60216</v>
      </c>
      <c r="DO102" s="308">
        <f t="shared" si="257"/>
        <v>27792</v>
      </c>
      <c r="DP102" s="308">
        <f t="shared" si="258"/>
        <v>6176</v>
      </c>
      <c r="DQ102" s="289" t="s">
        <v>8050</v>
      </c>
      <c r="DR102" s="657"/>
      <c r="DS102" s="308">
        <f t="shared" si="259"/>
        <v>0</v>
      </c>
      <c r="DT102" s="308">
        <f t="shared" si="260"/>
        <v>0</v>
      </c>
      <c r="DU102" s="308">
        <f t="shared" si="261"/>
        <v>0</v>
      </c>
      <c r="DV102" s="289" t="s">
        <v>2613</v>
      </c>
      <c r="DW102" s="308">
        <f t="shared" si="262"/>
        <v>0</v>
      </c>
      <c r="DX102" s="308">
        <f t="shared" si="263"/>
        <v>0</v>
      </c>
      <c r="DY102" s="308">
        <f t="shared" si="264"/>
        <v>0</v>
      </c>
      <c r="DZ102" s="289" t="s">
        <v>2613</v>
      </c>
      <c r="EA102" s="657"/>
      <c r="EB102" s="308">
        <f t="shared" si="265"/>
        <v>5250</v>
      </c>
      <c r="EC102" s="308">
        <f t="shared" si="266"/>
        <v>16800</v>
      </c>
      <c r="ED102" s="308">
        <f t="shared" si="267"/>
        <v>9100</v>
      </c>
      <c r="EE102" s="308">
        <f t="shared" si="268"/>
        <v>3850</v>
      </c>
      <c r="EF102" s="289" t="s">
        <v>8067</v>
      </c>
      <c r="EG102" s="308">
        <f t="shared" si="269"/>
        <v>3715.25</v>
      </c>
      <c r="EH102" s="308">
        <f t="shared" si="270"/>
        <v>16212</v>
      </c>
      <c r="EI102" s="308">
        <f t="shared" si="271"/>
        <v>9794.75</v>
      </c>
      <c r="EJ102" s="308">
        <f t="shared" si="272"/>
        <v>4053</v>
      </c>
      <c r="EK102" s="309" t="s">
        <v>8041</v>
      </c>
      <c r="EL102" s="657"/>
      <c r="EM102" s="308">
        <f t="shared" si="273"/>
        <v>73200</v>
      </c>
      <c r="EN102" s="310">
        <f t="shared" si="274"/>
        <v>33600</v>
      </c>
      <c r="EO102" s="310">
        <f t="shared" si="275"/>
        <v>13200</v>
      </c>
      <c r="EP102" s="289" t="s">
        <v>8068</v>
      </c>
      <c r="EQ102" s="308">
        <f t="shared" si="276"/>
        <v>63690.000000000007</v>
      </c>
      <c r="ER102" s="310">
        <f t="shared" si="277"/>
        <v>37056</v>
      </c>
      <c r="ES102" s="310">
        <f t="shared" si="278"/>
        <v>15054</v>
      </c>
      <c r="ET102" s="289" t="s">
        <v>8057</v>
      </c>
      <c r="EU102" s="657"/>
      <c r="EV102" s="728">
        <f t="shared" si="279"/>
        <v>0.8691369534307859</v>
      </c>
      <c r="EW102" s="728">
        <f t="shared" si="280"/>
        <v>0.13086304656921416</v>
      </c>
      <c r="EX102" s="311">
        <f t="shared" si="281"/>
        <v>103023.73629112555</v>
      </c>
      <c r="EY102" s="311">
        <f t="shared" si="282"/>
        <v>89541.736291125548</v>
      </c>
      <c r="EZ102" s="311">
        <f t="shared" si="283"/>
        <v>13482</v>
      </c>
      <c r="FA102" s="311">
        <f t="shared" si="284"/>
        <v>53104.421000000002</v>
      </c>
      <c r="FB102" s="311">
        <f t="shared" si="285"/>
        <v>46256.421000000002</v>
      </c>
      <c r="FC102" s="311">
        <f t="shared" si="286"/>
        <v>6848</v>
      </c>
      <c r="FD102" s="311">
        <f t="shared" si="287"/>
        <v>0</v>
      </c>
      <c r="FE102" s="311">
        <f t="shared" si="288"/>
        <v>0</v>
      </c>
      <c r="FF102" s="311">
        <f t="shared" si="289"/>
        <v>0</v>
      </c>
      <c r="FG102" s="311">
        <f t="shared" si="290"/>
        <v>12937.891219696972</v>
      </c>
      <c r="FH102" s="311">
        <f t="shared" si="291"/>
        <v>11439.891219696972</v>
      </c>
      <c r="FI102" s="311">
        <f t="shared" si="292"/>
        <v>1498</v>
      </c>
      <c r="FJ102" s="311">
        <f t="shared" si="293"/>
        <v>36981.42407142857</v>
      </c>
      <c r="FK102" s="311">
        <f t="shared" si="294"/>
        <v>31845.42407142857</v>
      </c>
      <c r="FL102" s="311">
        <f t="shared" si="295"/>
        <v>5136</v>
      </c>
      <c r="FM102" s="657"/>
      <c r="FN102" s="293" t="s">
        <v>2649</v>
      </c>
      <c r="FO102" s="728">
        <v>4.2799999999999998E-2</v>
      </c>
      <c r="FP102" s="729">
        <v>0.77575000000000005</v>
      </c>
      <c r="FQ102" s="294" t="s">
        <v>4417</v>
      </c>
      <c r="FR102" s="657"/>
      <c r="FS102" s="865">
        <v>3</v>
      </c>
      <c r="FT102" s="312">
        <f>RANK($FS102,$FS$8:$FS$154,0)+COUNTIF($FS$8:$FS102,$FS102)-1</f>
        <v>115</v>
      </c>
      <c r="FU102" s="865">
        <v>3.57</v>
      </c>
      <c r="FV102" s="312">
        <f>RANK($FU102,$FU$8:$FU$154,0)+COUNTIF($FU$8:$FU102,$FU102)-1</f>
        <v>128</v>
      </c>
      <c r="FW102" s="865">
        <v>1.98</v>
      </c>
      <c r="FX102" s="312">
        <f>RANK($FW102,$FW$8:$FW$154,0)+COUNTIF($FW$8:$FW102,$FW102)-1</f>
        <v>110</v>
      </c>
      <c r="FY102" s="657"/>
      <c r="FZ102" s="296" t="s">
        <v>4402</v>
      </c>
      <c r="GA102" s="296" t="s">
        <v>4418</v>
      </c>
      <c r="GB102" s="296" t="s">
        <v>2653</v>
      </c>
      <c r="GC102" s="296" t="s">
        <v>2654</v>
      </c>
      <c r="GD102" s="296" t="s">
        <v>2876</v>
      </c>
      <c r="GE102" s="296" t="s">
        <v>2656</v>
      </c>
      <c r="GF102" s="296" t="str">
        <f t="shared" si="351"/>
        <v>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02" s="657"/>
      <c r="GH102" s="311">
        <f t="shared" si="296"/>
        <v>22058.264000000003</v>
      </c>
      <c r="GI102" s="311">
        <f t="shared" si="337"/>
        <v>19387.544000000002</v>
      </c>
      <c r="GJ102" s="311">
        <f t="shared" si="297"/>
        <v>2670.7200000000003</v>
      </c>
      <c r="GK102" s="311">
        <f t="shared" si="298"/>
        <v>19414.508000000005</v>
      </c>
      <c r="GL102" s="311">
        <f t="shared" si="338"/>
        <v>16743.788000000004</v>
      </c>
      <c r="GM102" s="311">
        <f t="shared" si="299"/>
        <v>2670.7200000000003</v>
      </c>
      <c r="GN102" s="311">
        <f t="shared" si="300"/>
        <v>8937.3889999999992</v>
      </c>
      <c r="GO102" s="311">
        <f t="shared" si="339"/>
        <v>7704.7489999999998</v>
      </c>
      <c r="GP102" s="311">
        <f t="shared" si="301"/>
        <v>1232.6399999999999</v>
      </c>
      <c r="GQ102" s="311">
        <f t="shared" si="302"/>
        <v>2694.26</v>
      </c>
      <c r="GR102" s="311">
        <f t="shared" si="340"/>
        <v>2420.34</v>
      </c>
      <c r="GS102" s="311">
        <f t="shared" si="303"/>
        <v>273.92</v>
      </c>
      <c r="GT102" s="311">
        <f t="shared" si="304"/>
        <v>0</v>
      </c>
      <c r="GU102" s="311">
        <f t="shared" si="341"/>
        <v>0</v>
      </c>
      <c r="GV102" s="311">
        <f t="shared" si="305"/>
        <v>0</v>
      </c>
      <c r="GW102" s="311">
        <f t="shared" si="306"/>
        <v>0</v>
      </c>
      <c r="GX102" s="311">
        <f t="shared" si="342"/>
        <v>0</v>
      </c>
      <c r="GY102" s="311">
        <f t="shared" si="307"/>
        <v>0</v>
      </c>
      <c r="GZ102" s="311">
        <f t="shared" si="308"/>
        <v>0</v>
      </c>
      <c r="HA102" s="311">
        <f t="shared" si="343"/>
        <v>0</v>
      </c>
      <c r="HB102" s="311">
        <f t="shared" si="309"/>
        <v>0</v>
      </c>
      <c r="HC102" s="311">
        <f t="shared" si="310"/>
        <v>1923.4405113636367</v>
      </c>
      <c r="HD102" s="311">
        <f t="shared" si="344"/>
        <v>1758.6605113636367</v>
      </c>
      <c r="HE102" s="311">
        <f t="shared" si="311"/>
        <v>164.78</v>
      </c>
      <c r="HF102" s="311">
        <f t="shared" si="312"/>
        <v>5345.6130000000003</v>
      </c>
      <c r="HG102" s="311">
        <f t="shared" si="345"/>
        <v>4626.5730000000003</v>
      </c>
      <c r="HH102" s="311">
        <f t="shared" si="313"/>
        <v>719.04</v>
      </c>
      <c r="HI102" s="311">
        <f t="shared" si="314"/>
        <v>4199.3933333333334</v>
      </c>
      <c r="HJ102" s="311">
        <f t="shared" si="346"/>
        <v>3764.9733333333334</v>
      </c>
      <c r="HK102" s="311">
        <f t="shared" si="315"/>
        <v>434.41999999999996</v>
      </c>
      <c r="HL102" s="311">
        <f t="shared" si="316"/>
        <v>1469.4443750000003</v>
      </c>
      <c r="HM102" s="311">
        <f t="shared" si="347"/>
        <v>1289.6843750000003</v>
      </c>
      <c r="HN102" s="311">
        <f t="shared" si="317"/>
        <v>179.76</v>
      </c>
      <c r="HO102" s="311">
        <f t="shared" si="318"/>
        <v>21300.172821428569</v>
      </c>
      <c r="HP102" s="311">
        <f t="shared" si="348"/>
        <v>18475.372821428569</v>
      </c>
      <c r="HQ102" s="311">
        <f t="shared" si="319"/>
        <v>2824.8</v>
      </c>
      <c r="HR102" s="311">
        <f t="shared" si="320"/>
        <v>10124.019</v>
      </c>
      <c r="HS102" s="311">
        <f t="shared" si="349"/>
        <v>8480.4989999999998</v>
      </c>
      <c r="HT102" s="311">
        <f t="shared" si="321"/>
        <v>1643.52</v>
      </c>
      <c r="HU102" s="311">
        <f t="shared" si="322"/>
        <v>5557.2322500000009</v>
      </c>
      <c r="HV102" s="311">
        <f t="shared" si="350"/>
        <v>4889.5522500000006</v>
      </c>
      <c r="HW102" s="311">
        <f t="shared" si="323"/>
        <v>667.68000000000006</v>
      </c>
      <c r="HY102" s="313">
        <f t="shared" si="324"/>
        <v>315000</v>
      </c>
      <c r="HZ102" s="313">
        <f t="shared" si="325"/>
        <v>10602</v>
      </c>
      <c r="IA102" s="313">
        <f t="shared" si="326"/>
        <v>132665.5</v>
      </c>
      <c r="IB102" s="313">
        <f t="shared" si="327"/>
        <v>152374</v>
      </c>
      <c r="IC102" s="313">
        <f t="shared" si="328"/>
        <v>19358.5</v>
      </c>
      <c r="ID102" s="313">
        <f t="shared" si="329"/>
        <v>0</v>
      </c>
      <c r="IE102" s="313">
        <f t="shared" si="330"/>
        <v>89541.736291125548</v>
      </c>
      <c r="IF102" s="313">
        <f t="shared" si="331"/>
        <v>1146.4667603423161</v>
      </c>
      <c r="IG102" s="313">
        <f t="shared" si="332"/>
        <v>35575.982799787991</v>
      </c>
      <c r="IH102" s="313">
        <f t="shared" si="333"/>
        <v>45039.436944985719</v>
      </c>
      <c r="II102" s="313">
        <f t="shared" si="334"/>
        <v>7365.9172457851737</v>
      </c>
      <c r="IJ102" s="313">
        <f t="shared" si="335"/>
        <v>413.93254022435065</v>
      </c>
      <c r="IK102" s="866">
        <v>4.13</v>
      </c>
      <c r="IL102" s="314" t="s">
        <v>2589</v>
      </c>
      <c r="IM102" s="299" t="s">
        <v>4419</v>
      </c>
      <c r="IN102" s="657"/>
      <c r="IO102" s="730">
        <v>0.03</v>
      </c>
      <c r="IP102" s="730">
        <v>0.4</v>
      </c>
      <c r="IQ102" s="730">
        <v>0.5</v>
      </c>
      <c r="IR102" s="730">
        <v>7.0000000000000007E-2</v>
      </c>
      <c r="IS102" s="730">
        <v>0</v>
      </c>
      <c r="IT102" s="730">
        <v>8.8000000000000005E-3</v>
      </c>
      <c r="IU102" s="730">
        <v>0.37419999999999998</v>
      </c>
      <c r="IV102" s="730">
        <v>0.5212</v>
      </c>
      <c r="IW102" s="730">
        <v>9.1200000000000003E-2</v>
      </c>
      <c r="IX102" s="730">
        <v>4.5999999999999999E-3</v>
      </c>
      <c r="IY102" s="730">
        <v>0</v>
      </c>
      <c r="IZ102" s="730">
        <v>0</v>
      </c>
      <c r="JA102" s="730">
        <v>0</v>
      </c>
      <c r="JB102" s="730">
        <v>0</v>
      </c>
      <c r="JC102" s="730">
        <v>0</v>
      </c>
      <c r="JD102" s="730">
        <v>0</v>
      </c>
      <c r="JE102" s="730">
        <v>0</v>
      </c>
      <c r="JF102" s="730">
        <v>0</v>
      </c>
      <c r="JG102" s="730">
        <v>0</v>
      </c>
      <c r="JH102" s="730">
        <v>0</v>
      </c>
      <c r="JI102" s="730">
        <v>5.3999999999999999E-2</v>
      </c>
      <c r="JJ102" s="730">
        <v>0.53969999999999996</v>
      </c>
      <c r="JK102" s="730">
        <v>0.37480000000000002</v>
      </c>
      <c r="JL102" s="730">
        <v>3.15E-2</v>
      </c>
      <c r="JM102" s="730">
        <v>0</v>
      </c>
      <c r="JN102" s="730">
        <v>3.2899999999999999E-2</v>
      </c>
      <c r="JO102" s="730">
        <v>0.51390000000000002</v>
      </c>
      <c r="JP102" s="730">
        <v>0.39600000000000002</v>
      </c>
      <c r="JQ102" s="730">
        <v>5.2699999999999997E-2</v>
      </c>
      <c r="JR102" s="730">
        <v>4.4999999999999997E-3</v>
      </c>
      <c r="JS102" s="730">
        <v>3.2599999999999997E-2</v>
      </c>
      <c r="JT102" s="730">
        <v>0.4148</v>
      </c>
      <c r="JU102" s="730">
        <v>0.49380000000000002</v>
      </c>
      <c r="JV102" s="730">
        <v>5.8799999999999998E-2</v>
      </c>
      <c r="JW102" s="730">
        <v>0</v>
      </c>
      <c r="JX102" s="730">
        <v>1.14E-2</v>
      </c>
      <c r="JY102" s="730">
        <v>0.38900000000000001</v>
      </c>
      <c r="JZ102" s="730">
        <v>0.51500000000000001</v>
      </c>
      <c r="KA102" s="730">
        <v>7.9899999999999999E-2</v>
      </c>
      <c r="KB102" s="730">
        <v>4.7000000000000002E-3</v>
      </c>
      <c r="KC102" s="657"/>
      <c r="KD102" s="314" t="s">
        <v>2590</v>
      </c>
      <c r="KE102" s="314" t="s">
        <v>2590</v>
      </c>
      <c r="KF102" s="866">
        <v>4.16</v>
      </c>
      <c r="KG102" s="314" t="s">
        <v>2589</v>
      </c>
      <c r="KH102" s="315" t="s">
        <v>4405</v>
      </c>
      <c r="KI102" s="314" t="s">
        <v>4048</v>
      </c>
      <c r="KJ102" s="315" t="s">
        <v>4420</v>
      </c>
    </row>
    <row r="103" spans="1:296" ht="48" hidden="1" customHeight="1">
      <c r="A103" s="265">
        <f t="shared" si="336"/>
        <v>96</v>
      </c>
      <c r="B103" s="266" t="s">
        <v>2278</v>
      </c>
      <c r="C103" s="266" t="s">
        <v>1527</v>
      </c>
      <c r="D103" s="624" t="s">
        <v>4421</v>
      </c>
      <c r="E103" s="267" t="s">
        <v>2158</v>
      </c>
      <c r="F103" s="267" t="s">
        <v>2631</v>
      </c>
      <c r="G103" s="267" t="s">
        <v>300</v>
      </c>
      <c r="H103" s="267" t="s">
        <v>2109</v>
      </c>
      <c r="I103" s="268" t="s">
        <v>4392</v>
      </c>
      <c r="J103" s="268" t="s">
        <v>4422</v>
      </c>
      <c r="K103" s="269" t="s">
        <v>2097</v>
      </c>
      <c r="L103" s="269" t="s">
        <v>2109</v>
      </c>
      <c r="M103" s="269" t="s">
        <v>3168</v>
      </c>
      <c r="N103" s="269" t="s">
        <v>3169</v>
      </c>
      <c r="O103" s="267" t="s">
        <v>3170</v>
      </c>
      <c r="P103" s="268"/>
      <c r="Q103" s="270">
        <v>1</v>
      </c>
      <c r="R103" s="271">
        <v>3800</v>
      </c>
      <c r="S103" s="272">
        <v>128</v>
      </c>
      <c r="T103" s="272">
        <v>131</v>
      </c>
      <c r="U103" s="272">
        <v>134</v>
      </c>
      <c r="V103" s="272">
        <v>136</v>
      </c>
      <c r="W103" s="272">
        <v>131</v>
      </c>
      <c r="X103" s="272">
        <v>129</v>
      </c>
      <c r="Y103" s="272">
        <v>127</v>
      </c>
      <c r="Z103" s="272">
        <v>126</v>
      </c>
      <c r="AA103" s="272">
        <v>125</v>
      </c>
      <c r="AB103" s="272">
        <v>124</v>
      </c>
      <c r="AC103" s="272">
        <v>123</v>
      </c>
      <c r="AD103" s="272">
        <v>122</v>
      </c>
      <c r="AE103" s="272">
        <v>122</v>
      </c>
      <c r="AF103" s="272">
        <v>121</v>
      </c>
      <c r="AG103" s="272">
        <v>121</v>
      </c>
      <c r="AH103" s="272">
        <v>120</v>
      </c>
      <c r="AI103" s="272">
        <v>120</v>
      </c>
      <c r="AJ103" s="272">
        <v>119</v>
      </c>
      <c r="AK103" s="272">
        <v>119</v>
      </c>
      <c r="AL103" s="268" t="s">
        <v>4423</v>
      </c>
      <c r="AM103" s="268" t="s">
        <v>4424</v>
      </c>
      <c r="AN103" s="268" t="s">
        <v>4425</v>
      </c>
      <c r="AO103" s="657"/>
      <c r="AP103" s="271">
        <v>350</v>
      </c>
      <c r="AQ103" s="280">
        <v>240</v>
      </c>
      <c r="AR103" s="280">
        <v>85</v>
      </c>
      <c r="AS103" s="280">
        <v>25</v>
      </c>
      <c r="AT103" s="657"/>
      <c r="AU103" s="301" t="s">
        <v>4426</v>
      </c>
      <c r="AV103" s="572" t="s">
        <v>4427</v>
      </c>
      <c r="AW103" s="645" t="s">
        <v>3326</v>
      </c>
      <c r="AX103" s="290" t="s">
        <v>2670</v>
      </c>
      <c r="AY103" s="657"/>
      <c r="AZ103" s="948">
        <v>25</v>
      </c>
      <c r="BA103" s="948">
        <v>0</v>
      </c>
      <c r="BB103" s="948">
        <v>6</v>
      </c>
      <c r="BC103" s="948">
        <v>20</v>
      </c>
      <c r="BD103" s="825">
        <f t="shared" si="241"/>
        <v>6171</v>
      </c>
      <c r="BE103" s="304">
        <f t="shared" si="242"/>
        <v>3025</v>
      </c>
      <c r="BF103" s="304">
        <f t="shared" si="243"/>
        <v>0</v>
      </c>
      <c r="BG103" s="304">
        <f t="shared" si="244"/>
        <v>726</v>
      </c>
      <c r="BH103" s="304">
        <f t="shared" si="245"/>
        <v>2420</v>
      </c>
      <c r="BI103" s="825">
        <f t="shared" si="246"/>
        <v>6069</v>
      </c>
      <c r="BJ103" s="304">
        <f t="shared" si="247"/>
        <v>2975</v>
      </c>
      <c r="BK103" s="304">
        <f t="shared" si="248"/>
        <v>0</v>
      </c>
      <c r="BL103" s="304">
        <f t="shared" si="249"/>
        <v>714</v>
      </c>
      <c r="BM103" s="304">
        <f t="shared" si="250"/>
        <v>2380</v>
      </c>
      <c r="BN103" s="657"/>
      <c r="BO103" s="284">
        <v>0.36</v>
      </c>
      <c r="BP103" s="284">
        <v>0.42</v>
      </c>
      <c r="BQ103" s="284">
        <v>0.18</v>
      </c>
      <c r="BR103" s="710">
        <v>0.04</v>
      </c>
      <c r="BS103" s="707">
        <v>0.32</v>
      </c>
      <c r="BT103" s="284">
        <v>0.41</v>
      </c>
      <c r="BU103" s="284">
        <v>0.24</v>
      </c>
      <c r="BV103" s="710">
        <v>0.03</v>
      </c>
      <c r="BW103" s="714"/>
      <c r="BX103" s="285"/>
      <c r="BY103" s="717"/>
      <c r="BZ103" s="714"/>
      <c r="CA103" s="285"/>
      <c r="CB103" s="717"/>
      <c r="CC103" s="284">
        <v>0.12</v>
      </c>
      <c r="CD103" s="284">
        <v>0.46</v>
      </c>
      <c r="CE103" s="284">
        <v>0.3</v>
      </c>
      <c r="CF103" s="710">
        <v>0.12</v>
      </c>
      <c r="CG103" s="707">
        <v>0.1</v>
      </c>
      <c r="CH103" s="284">
        <v>0.44</v>
      </c>
      <c r="CI103" s="284">
        <v>0.33</v>
      </c>
      <c r="CJ103" s="710">
        <v>0.13</v>
      </c>
      <c r="CK103" s="720">
        <v>0.5</v>
      </c>
      <c r="CL103" s="286">
        <v>0.34</v>
      </c>
      <c r="CM103" s="718">
        <v>0.16</v>
      </c>
      <c r="CN103" s="720">
        <v>0.43</v>
      </c>
      <c r="CO103" s="286">
        <v>0.38</v>
      </c>
      <c r="CP103" s="718">
        <v>0.19</v>
      </c>
      <c r="CQ103" s="657"/>
      <c r="CR103" s="807">
        <v>13</v>
      </c>
      <c r="CS103" s="808">
        <v>14</v>
      </c>
      <c r="CT103" s="808">
        <v>10</v>
      </c>
      <c r="CU103" s="809">
        <v>12</v>
      </c>
      <c r="CV103" s="807"/>
      <c r="CW103" s="808"/>
      <c r="CX103" s="809"/>
      <c r="CY103" s="807">
        <v>11</v>
      </c>
      <c r="CZ103" s="808">
        <v>13</v>
      </c>
      <c r="DA103" s="808">
        <v>9</v>
      </c>
      <c r="DB103" s="809">
        <v>11</v>
      </c>
      <c r="DC103" s="807">
        <v>14</v>
      </c>
      <c r="DD103" s="808">
        <v>14</v>
      </c>
      <c r="DE103" s="809">
        <v>10</v>
      </c>
      <c r="DF103" s="610" t="s">
        <v>4428</v>
      </c>
      <c r="DG103" s="657"/>
      <c r="DH103" s="288">
        <f t="shared" si="251"/>
        <v>1089</v>
      </c>
      <c r="DI103" s="288">
        <f t="shared" si="252"/>
        <v>1270.5</v>
      </c>
      <c r="DJ103" s="288">
        <f t="shared" si="253"/>
        <v>544.5</v>
      </c>
      <c r="DK103" s="288">
        <f t="shared" si="254"/>
        <v>121</v>
      </c>
      <c r="DL103" s="560" t="s">
        <v>8069</v>
      </c>
      <c r="DM103" s="288">
        <f t="shared" si="255"/>
        <v>952</v>
      </c>
      <c r="DN103" s="288">
        <f t="shared" si="256"/>
        <v>1219.75</v>
      </c>
      <c r="DO103" s="288">
        <f t="shared" si="257"/>
        <v>714</v>
      </c>
      <c r="DP103" s="288">
        <f t="shared" si="258"/>
        <v>89.25</v>
      </c>
      <c r="DQ103" s="561" t="s">
        <v>8050</v>
      </c>
      <c r="DR103" s="657"/>
      <c r="DS103" s="288">
        <f t="shared" si="259"/>
        <v>0</v>
      </c>
      <c r="DT103" s="288">
        <f t="shared" si="260"/>
        <v>0</v>
      </c>
      <c r="DU103" s="288">
        <f t="shared" si="261"/>
        <v>0</v>
      </c>
      <c r="DV103" s="561" t="s">
        <v>2613</v>
      </c>
      <c r="DW103" s="288">
        <f t="shared" si="262"/>
        <v>0</v>
      </c>
      <c r="DX103" s="288">
        <f t="shared" si="263"/>
        <v>0</v>
      </c>
      <c r="DY103" s="288">
        <f t="shared" si="264"/>
        <v>0</v>
      </c>
      <c r="DZ103" s="561" t="s">
        <v>2613</v>
      </c>
      <c r="EA103" s="657"/>
      <c r="EB103" s="288">
        <f t="shared" si="265"/>
        <v>87.11999999999999</v>
      </c>
      <c r="EC103" s="288">
        <f t="shared" si="266"/>
        <v>333.96000000000004</v>
      </c>
      <c r="ED103" s="288">
        <f t="shared" si="267"/>
        <v>217.79999999999998</v>
      </c>
      <c r="EE103" s="288">
        <f t="shared" si="268"/>
        <v>87.11999999999999</v>
      </c>
      <c r="EF103" s="561" t="s">
        <v>8070</v>
      </c>
      <c r="EG103" s="288">
        <f t="shared" si="269"/>
        <v>71.400000000000006</v>
      </c>
      <c r="EH103" s="288">
        <f t="shared" si="270"/>
        <v>314.16000000000003</v>
      </c>
      <c r="EI103" s="288">
        <f t="shared" si="271"/>
        <v>235.62</v>
      </c>
      <c r="EJ103" s="288">
        <f t="shared" si="272"/>
        <v>92.820000000000007</v>
      </c>
      <c r="EK103" s="561" t="s">
        <v>8035</v>
      </c>
      <c r="EL103" s="657"/>
      <c r="EM103" s="288">
        <f t="shared" si="273"/>
        <v>1210</v>
      </c>
      <c r="EN103" s="291">
        <f t="shared" si="274"/>
        <v>822.80000000000007</v>
      </c>
      <c r="EO103" s="291">
        <f t="shared" si="275"/>
        <v>387.2</v>
      </c>
      <c r="EP103" s="561" t="s">
        <v>8071</v>
      </c>
      <c r="EQ103" s="288">
        <f t="shared" si="276"/>
        <v>1023.4</v>
      </c>
      <c r="ER103" s="291">
        <f t="shared" si="277"/>
        <v>904.4</v>
      </c>
      <c r="ES103" s="291">
        <f t="shared" si="278"/>
        <v>452.2</v>
      </c>
      <c r="ET103" s="561" t="s">
        <v>8042</v>
      </c>
      <c r="EU103" s="657"/>
      <c r="EV103" s="740">
        <f t="shared" si="279"/>
        <v>0.88641047536541806</v>
      </c>
      <c r="EW103" s="740">
        <f t="shared" si="280"/>
        <v>0.11358952463458202</v>
      </c>
      <c r="EX103" s="563">
        <f t="shared" si="281"/>
        <v>2325.2038499999999</v>
      </c>
      <c r="EY103" s="563">
        <f t="shared" si="282"/>
        <v>2061.0850500000001</v>
      </c>
      <c r="EZ103" s="563">
        <f t="shared" si="283"/>
        <v>264.11879999999996</v>
      </c>
      <c r="FA103" s="563">
        <f t="shared" si="284"/>
        <v>1138.41374</v>
      </c>
      <c r="FB103" s="563">
        <f t="shared" si="285"/>
        <v>1008.94374</v>
      </c>
      <c r="FC103" s="563">
        <f t="shared" si="286"/>
        <v>129.47</v>
      </c>
      <c r="FD103" s="563">
        <f t="shared" si="287"/>
        <v>0</v>
      </c>
      <c r="FE103" s="563">
        <f t="shared" si="288"/>
        <v>0</v>
      </c>
      <c r="FF103" s="563">
        <f t="shared" si="289"/>
        <v>0</v>
      </c>
      <c r="FG103" s="563">
        <f t="shared" si="290"/>
        <v>303.67602599999998</v>
      </c>
      <c r="FH103" s="563">
        <f t="shared" si="291"/>
        <v>272.60322600000001</v>
      </c>
      <c r="FI103" s="563">
        <f t="shared" si="292"/>
        <v>31.072799999999997</v>
      </c>
      <c r="FJ103" s="563">
        <f t="shared" si="293"/>
        <v>883.11408400000005</v>
      </c>
      <c r="FK103" s="563">
        <f t="shared" si="294"/>
        <v>779.53808400000003</v>
      </c>
      <c r="FL103" s="563">
        <f t="shared" si="295"/>
        <v>103.57599999999999</v>
      </c>
      <c r="FM103" s="529"/>
      <c r="FN103" s="564" t="s">
        <v>2649</v>
      </c>
      <c r="FO103" s="740">
        <v>4.2799999999999998E-2</v>
      </c>
      <c r="FP103" s="741">
        <v>0.77415</v>
      </c>
      <c r="FQ103" s="565" t="s">
        <v>4401</v>
      </c>
      <c r="FR103" s="529"/>
      <c r="FS103" s="867">
        <v>3.06</v>
      </c>
      <c r="FT103" s="566">
        <f>RANK($FS103,$FS$8:$FS$154,0)+COUNTIF($FS$8:$FS103,$FS103)-1</f>
        <v>110</v>
      </c>
      <c r="FU103" s="867">
        <v>3.57</v>
      </c>
      <c r="FV103" s="566">
        <f>RANK($FU103,$FU$8:$FU$154,0)+COUNTIF($FU$8:$FU103,$FU103)-1</f>
        <v>129</v>
      </c>
      <c r="FW103" s="867">
        <v>2.14</v>
      </c>
      <c r="FX103" s="566">
        <f>RANK($FW103,$FW$8:$FW$154,0)+COUNTIF($FW$8:$FW103,$FW103)-1</f>
        <v>78</v>
      </c>
      <c r="FY103" s="529"/>
      <c r="FZ103" s="567" t="s">
        <v>4402</v>
      </c>
      <c r="GA103" s="567" t="s">
        <v>4429</v>
      </c>
      <c r="GB103" s="567" t="s">
        <v>2653</v>
      </c>
      <c r="GC103" s="567" t="s">
        <v>2654</v>
      </c>
      <c r="GD103" s="567" t="s">
        <v>2876</v>
      </c>
      <c r="GE103" s="567" t="s">
        <v>2656</v>
      </c>
      <c r="GF103" s="567" t="str">
        <f t="shared" si="351"/>
        <v>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03" s="529"/>
      <c r="GH103" s="563">
        <f t="shared" si="296"/>
        <v>397.30120000000005</v>
      </c>
      <c r="GI103" s="563">
        <f t="shared" si="337"/>
        <v>355.87080000000003</v>
      </c>
      <c r="GJ103" s="563">
        <f t="shared" si="297"/>
        <v>41.430399999999999</v>
      </c>
      <c r="GK103" s="563">
        <f t="shared" si="298"/>
        <v>441.51246250000003</v>
      </c>
      <c r="GL103" s="563">
        <f t="shared" si="338"/>
        <v>388.42976250000004</v>
      </c>
      <c r="GM103" s="563">
        <f t="shared" si="299"/>
        <v>53.082699999999996</v>
      </c>
      <c r="GN103" s="563">
        <f t="shared" si="300"/>
        <v>253.331265</v>
      </c>
      <c r="GO103" s="563">
        <f t="shared" si="339"/>
        <v>222.258465</v>
      </c>
      <c r="GP103" s="563">
        <f t="shared" si="301"/>
        <v>31.072799999999997</v>
      </c>
      <c r="GQ103" s="563">
        <f t="shared" si="302"/>
        <v>46.268812499999996</v>
      </c>
      <c r="GR103" s="563">
        <f t="shared" si="340"/>
        <v>42.384712499999999</v>
      </c>
      <c r="GS103" s="563">
        <f t="shared" si="303"/>
        <v>3.8840999999999997</v>
      </c>
      <c r="GT103" s="563">
        <f t="shared" si="304"/>
        <v>0</v>
      </c>
      <c r="GU103" s="563">
        <f t="shared" si="341"/>
        <v>0</v>
      </c>
      <c r="GV103" s="563">
        <f t="shared" si="305"/>
        <v>0</v>
      </c>
      <c r="GW103" s="563">
        <f t="shared" si="306"/>
        <v>0</v>
      </c>
      <c r="GX103" s="563">
        <f t="shared" si="342"/>
        <v>0</v>
      </c>
      <c r="GY103" s="563">
        <f t="shared" si="307"/>
        <v>0</v>
      </c>
      <c r="GZ103" s="563">
        <f t="shared" si="308"/>
        <v>0</v>
      </c>
      <c r="HA103" s="563">
        <f t="shared" si="343"/>
        <v>0</v>
      </c>
      <c r="HB103" s="563">
        <f t="shared" si="309"/>
        <v>0</v>
      </c>
      <c r="HC103" s="563">
        <f t="shared" si="310"/>
        <v>35.993172000000001</v>
      </c>
      <c r="HD103" s="563">
        <f t="shared" si="344"/>
        <v>32.885891999999998</v>
      </c>
      <c r="HE103" s="563">
        <f t="shared" si="311"/>
        <v>3.1072799999999998</v>
      </c>
      <c r="HF103" s="563">
        <f t="shared" si="312"/>
        <v>122.805744</v>
      </c>
      <c r="HG103" s="563">
        <f t="shared" si="345"/>
        <v>109.133712</v>
      </c>
      <c r="HH103" s="563">
        <f t="shared" si="313"/>
        <v>13.672032</v>
      </c>
      <c r="HI103" s="563">
        <f t="shared" si="314"/>
        <v>107.95175400000001</v>
      </c>
      <c r="HJ103" s="563">
        <f t="shared" si="346"/>
        <v>97.697730000000007</v>
      </c>
      <c r="HK103" s="563">
        <f t="shared" si="315"/>
        <v>10.254023999999999</v>
      </c>
      <c r="HL103" s="563">
        <f t="shared" si="316"/>
        <v>36.925356000000001</v>
      </c>
      <c r="HM103" s="563">
        <f t="shared" si="347"/>
        <v>32.885891999999998</v>
      </c>
      <c r="HN103" s="563">
        <f t="shared" si="317"/>
        <v>4.0394639999999997</v>
      </c>
      <c r="HO103" s="563">
        <f t="shared" si="318"/>
        <v>414.47078714285715</v>
      </c>
      <c r="HP103" s="563">
        <f t="shared" si="348"/>
        <v>369.93310714285712</v>
      </c>
      <c r="HQ103" s="563">
        <f t="shared" si="319"/>
        <v>44.537679999999995</v>
      </c>
      <c r="HR103" s="563">
        <f t="shared" si="320"/>
        <v>290.91339285714287</v>
      </c>
      <c r="HS103" s="563">
        <f t="shared" si="349"/>
        <v>251.55451285714287</v>
      </c>
      <c r="HT103" s="563">
        <f t="shared" si="321"/>
        <v>39.358879999999999</v>
      </c>
      <c r="HU103" s="563">
        <f t="shared" si="322"/>
        <v>177.729904</v>
      </c>
      <c r="HV103" s="563">
        <f t="shared" si="350"/>
        <v>158.05046400000001</v>
      </c>
      <c r="HW103" s="563">
        <f t="shared" si="323"/>
        <v>19.67944</v>
      </c>
      <c r="HX103" s="544"/>
      <c r="HY103" s="568">
        <f t="shared" si="324"/>
        <v>6171.0000000000009</v>
      </c>
      <c r="HZ103" s="568">
        <f t="shared" si="325"/>
        <v>208.846</v>
      </c>
      <c r="IA103" s="568">
        <f t="shared" si="326"/>
        <v>2605.6382000000003</v>
      </c>
      <c r="IB103" s="568">
        <f t="shared" si="327"/>
        <v>2979.6008000000002</v>
      </c>
      <c r="IC103" s="568">
        <f t="shared" si="328"/>
        <v>376.91500000000002</v>
      </c>
      <c r="ID103" s="568">
        <f t="shared" si="329"/>
        <v>0</v>
      </c>
      <c r="IE103" s="568">
        <f t="shared" si="330"/>
        <v>2061.0850500000001</v>
      </c>
      <c r="IF103" s="568">
        <f t="shared" si="331"/>
        <v>28.589061749999999</v>
      </c>
      <c r="IG103" s="568">
        <f t="shared" si="332"/>
        <v>823.14505358040014</v>
      </c>
      <c r="IH103" s="568">
        <f t="shared" si="333"/>
        <v>1033.318597125</v>
      </c>
      <c r="II103" s="568">
        <f t="shared" si="334"/>
        <v>166.81197546480001</v>
      </c>
      <c r="IJ103" s="568">
        <f t="shared" si="335"/>
        <v>9.220362079800001</v>
      </c>
      <c r="IK103" s="868">
        <v>4.13</v>
      </c>
      <c r="IL103" s="569" t="s">
        <v>2589</v>
      </c>
      <c r="IM103" s="570" t="s">
        <v>4430</v>
      </c>
      <c r="IN103" s="529"/>
      <c r="IO103" s="742">
        <v>0.03</v>
      </c>
      <c r="IP103" s="742">
        <v>0.4</v>
      </c>
      <c r="IQ103" s="742">
        <v>0.5</v>
      </c>
      <c r="IR103" s="742">
        <v>7.0000000000000007E-2</v>
      </c>
      <c r="IS103" s="742">
        <v>0</v>
      </c>
      <c r="IT103" s="742">
        <v>9.7000000000000003E-3</v>
      </c>
      <c r="IU103" s="742">
        <v>0.37530000000000002</v>
      </c>
      <c r="IV103" s="742">
        <v>0.5202</v>
      </c>
      <c r="IW103" s="742">
        <v>9.0300000000000005E-2</v>
      </c>
      <c r="IX103" s="742">
        <v>4.4999999999999997E-3</v>
      </c>
      <c r="IY103" s="742">
        <v>0</v>
      </c>
      <c r="IZ103" s="742">
        <v>0</v>
      </c>
      <c r="JA103" s="742">
        <v>0</v>
      </c>
      <c r="JB103" s="742">
        <v>0</v>
      </c>
      <c r="JC103" s="742">
        <v>0</v>
      </c>
      <c r="JD103" s="742">
        <v>0</v>
      </c>
      <c r="JE103" s="742">
        <v>0</v>
      </c>
      <c r="JF103" s="742">
        <v>0</v>
      </c>
      <c r="JG103" s="742">
        <v>0</v>
      </c>
      <c r="JH103" s="742">
        <v>0</v>
      </c>
      <c r="JI103" s="742">
        <v>5.3999999999999999E-2</v>
      </c>
      <c r="JJ103" s="742">
        <v>0.53969999999999996</v>
      </c>
      <c r="JK103" s="742">
        <v>0.37480000000000002</v>
      </c>
      <c r="JL103" s="742">
        <v>3.15E-2</v>
      </c>
      <c r="JM103" s="742">
        <v>0</v>
      </c>
      <c r="JN103" s="742">
        <v>3.3799999999999997E-2</v>
      </c>
      <c r="JO103" s="742">
        <v>0.51500000000000001</v>
      </c>
      <c r="JP103" s="742">
        <v>0.39510000000000001</v>
      </c>
      <c r="JQ103" s="742">
        <v>5.1799999999999999E-2</v>
      </c>
      <c r="JR103" s="742">
        <v>4.3E-3</v>
      </c>
      <c r="JS103" s="742">
        <v>3.2599999999999997E-2</v>
      </c>
      <c r="JT103" s="742">
        <v>0.4148</v>
      </c>
      <c r="JU103" s="742">
        <v>0.49380000000000002</v>
      </c>
      <c r="JV103" s="742">
        <v>5.8799999999999998E-2</v>
      </c>
      <c r="JW103" s="742">
        <v>0</v>
      </c>
      <c r="JX103" s="742">
        <v>1.23E-2</v>
      </c>
      <c r="JY103" s="742">
        <v>0.3901</v>
      </c>
      <c r="JZ103" s="742">
        <v>0.5141</v>
      </c>
      <c r="KA103" s="742">
        <v>7.9000000000000001E-2</v>
      </c>
      <c r="KB103" s="742">
        <v>4.4999999999999997E-3</v>
      </c>
      <c r="KC103" s="657"/>
      <c r="KD103" s="832" t="s">
        <v>2590</v>
      </c>
      <c r="KE103" s="832" t="s">
        <v>2590</v>
      </c>
      <c r="KF103" s="869">
        <v>4.16</v>
      </c>
      <c r="KG103" s="832" t="s">
        <v>2589</v>
      </c>
      <c r="KH103" s="833" t="s">
        <v>4405</v>
      </c>
      <c r="KI103" s="832" t="s">
        <v>4048</v>
      </c>
      <c r="KJ103" s="833" t="s">
        <v>4431</v>
      </c>
    </row>
    <row r="104" spans="1:296" ht="48" hidden="1" customHeight="1">
      <c r="A104" s="273">
        <f t="shared" si="336"/>
        <v>97</v>
      </c>
      <c r="B104" s="274" t="s">
        <v>2278</v>
      </c>
      <c r="C104" s="274" t="s">
        <v>1527</v>
      </c>
      <c r="D104" s="274" t="s">
        <v>908</v>
      </c>
      <c r="E104" s="275" t="s">
        <v>2158</v>
      </c>
      <c r="F104" s="275" t="s">
        <v>300</v>
      </c>
      <c r="G104" s="275" t="s">
        <v>300</v>
      </c>
      <c r="H104" s="275" t="s">
        <v>2109</v>
      </c>
      <c r="I104" s="276" t="s">
        <v>4432</v>
      </c>
      <c r="J104" s="276" t="s">
        <v>4433</v>
      </c>
      <c r="K104" s="277" t="s">
        <v>2097</v>
      </c>
      <c r="L104" s="277" t="s">
        <v>2109</v>
      </c>
      <c r="M104" s="277" t="s">
        <v>2603</v>
      </c>
      <c r="N104" s="277" t="s">
        <v>3322</v>
      </c>
      <c r="O104" s="275" t="s">
        <v>2616</v>
      </c>
      <c r="P104" s="276"/>
      <c r="Q104" s="270">
        <v>1</v>
      </c>
      <c r="R104" s="278">
        <v>1200</v>
      </c>
      <c r="S104" s="279">
        <v>900</v>
      </c>
      <c r="T104" s="279">
        <v>1050</v>
      </c>
      <c r="U104" s="279">
        <v>1200</v>
      </c>
      <c r="V104" s="279">
        <v>1400</v>
      </c>
      <c r="W104" s="279">
        <v>1420</v>
      </c>
      <c r="X104" s="279">
        <v>1440</v>
      </c>
      <c r="Y104" s="279">
        <v>1460</v>
      </c>
      <c r="Z104" s="279">
        <v>1480</v>
      </c>
      <c r="AA104" s="279">
        <v>1490</v>
      </c>
      <c r="AB104" s="279">
        <v>1500</v>
      </c>
      <c r="AC104" s="279">
        <v>1510</v>
      </c>
      <c r="AD104" s="279">
        <v>1525</v>
      </c>
      <c r="AE104" s="279">
        <v>1540</v>
      </c>
      <c r="AF104" s="279">
        <v>1550</v>
      </c>
      <c r="AG104" s="279">
        <v>1560</v>
      </c>
      <c r="AH104" s="279">
        <v>1570</v>
      </c>
      <c r="AI104" s="279">
        <v>1580</v>
      </c>
      <c r="AJ104" s="279">
        <v>1590</v>
      </c>
      <c r="AK104" s="279">
        <v>1600</v>
      </c>
      <c r="AL104" s="276" t="s">
        <v>4434</v>
      </c>
      <c r="AM104" s="276" t="s">
        <v>4435</v>
      </c>
      <c r="AN104" s="276" t="s">
        <v>4436</v>
      </c>
      <c r="AO104" s="657"/>
      <c r="AP104" s="278">
        <v>70</v>
      </c>
      <c r="AQ104" s="278">
        <v>50</v>
      </c>
      <c r="AR104" s="278">
        <v>17</v>
      </c>
      <c r="AS104" s="278">
        <v>3</v>
      </c>
      <c r="AT104" s="657"/>
      <c r="AU104" s="281" t="s">
        <v>4437</v>
      </c>
      <c r="AV104" s="296" t="s">
        <v>4438</v>
      </c>
      <c r="AW104" s="296" t="s">
        <v>4439</v>
      </c>
      <c r="AX104" s="276" t="s">
        <v>2670</v>
      </c>
      <c r="AY104" s="657"/>
      <c r="AZ104" s="947">
        <v>5</v>
      </c>
      <c r="BA104" s="947">
        <v>0</v>
      </c>
      <c r="BB104" s="947">
        <v>1</v>
      </c>
      <c r="BC104" s="947">
        <v>4</v>
      </c>
      <c r="BD104" s="826">
        <f t="shared" ref="BD104:BD135" si="352">SUM(BE104:BH104)</f>
        <v>15500</v>
      </c>
      <c r="BE104" s="283">
        <f t="shared" ref="BE104:BE135" si="353">AF104*AZ104</f>
        <v>7750</v>
      </c>
      <c r="BF104" s="283">
        <f t="shared" ref="BF104:BF135" si="354">AF104*BA104</f>
        <v>0</v>
      </c>
      <c r="BG104" s="283">
        <f t="shared" ref="BG104:BG135" si="355">AF104*BB104</f>
        <v>1550</v>
      </c>
      <c r="BH104" s="283">
        <f t="shared" ref="BH104:BH135" si="356">AF104*BC104</f>
        <v>6200</v>
      </c>
      <c r="BI104" s="826">
        <f t="shared" ref="BI104:BI135" si="357">SUM(BJ104:BM104)</f>
        <v>16000</v>
      </c>
      <c r="BJ104" s="283">
        <f t="shared" ref="BJ104:BJ135" si="358">AK104*AZ104</f>
        <v>8000</v>
      </c>
      <c r="BK104" s="283">
        <f t="shared" ref="BK104:BK135" si="359">AK104*BA104</f>
        <v>0</v>
      </c>
      <c r="BL104" s="283">
        <f t="shared" ref="BL104:BL135" si="360">AK104*BB104</f>
        <v>1600</v>
      </c>
      <c r="BM104" s="283">
        <f t="shared" ref="BM104:BM135" si="361">AK104*BC104</f>
        <v>6400</v>
      </c>
      <c r="BN104" s="657"/>
      <c r="BO104" s="305">
        <v>0.36</v>
      </c>
      <c r="BP104" s="305">
        <v>0.5</v>
      </c>
      <c r="BQ104" s="305">
        <v>0.1</v>
      </c>
      <c r="BR104" s="581">
        <v>0.04</v>
      </c>
      <c r="BS104" s="706">
        <v>0.31</v>
      </c>
      <c r="BT104" s="305">
        <v>0.51</v>
      </c>
      <c r="BU104" s="305">
        <v>0.15</v>
      </c>
      <c r="BV104" s="581">
        <v>0.03</v>
      </c>
      <c r="BW104" s="713"/>
      <c r="BX104" s="306"/>
      <c r="BY104" s="590"/>
      <c r="BZ104" s="713"/>
      <c r="CA104" s="306"/>
      <c r="CB104" s="590"/>
      <c r="CC104" s="706">
        <v>0.12</v>
      </c>
      <c r="CD104" s="305">
        <v>0.5</v>
      </c>
      <c r="CE104" s="305">
        <v>0.15</v>
      </c>
      <c r="CF104" s="581">
        <v>0.23</v>
      </c>
      <c r="CG104" s="706">
        <v>0.1</v>
      </c>
      <c r="CH104" s="305">
        <v>0.5</v>
      </c>
      <c r="CI104" s="305">
        <v>0.18</v>
      </c>
      <c r="CJ104" s="581">
        <v>0.22</v>
      </c>
      <c r="CK104" s="719">
        <v>0.55000000000000004</v>
      </c>
      <c r="CL104" s="307">
        <v>0.3</v>
      </c>
      <c r="CM104" s="723">
        <v>0.15</v>
      </c>
      <c r="CN104" s="719">
        <v>0.47</v>
      </c>
      <c r="CO104" s="307">
        <v>0.33</v>
      </c>
      <c r="CP104" s="723">
        <v>0.2</v>
      </c>
      <c r="CQ104" s="657"/>
      <c r="CR104" s="804">
        <v>13</v>
      </c>
      <c r="CS104" s="805">
        <v>14</v>
      </c>
      <c r="CT104" s="805">
        <v>10</v>
      </c>
      <c r="CU104" s="806">
        <v>12</v>
      </c>
      <c r="CV104" s="804"/>
      <c r="CW104" s="805"/>
      <c r="CX104" s="806"/>
      <c r="CY104" s="804">
        <v>11</v>
      </c>
      <c r="CZ104" s="805">
        <v>13</v>
      </c>
      <c r="DA104" s="805">
        <v>9</v>
      </c>
      <c r="DB104" s="806">
        <v>11</v>
      </c>
      <c r="DC104" s="804">
        <v>14</v>
      </c>
      <c r="DD104" s="805">
        <v>14</v>
      </c>
      <c r="DE104" s="806">
        <v>10</v>
      </c>
      <c r="DF104" s="609" t="s">
        <v>4440</v>
      </c>
      <c r="DG104" s="657"/>
      <c r="DH104" s="308">
        <f t="shared" ref="DH104:DH135" si="362">$BE104*BO104</f>
        <v>2790</v>
      </c>
      <c r="DI104" s="308">
        <f t="shared" ref="DI104:DI135" si="363">$BE104*BP104</f>
        <v>3875</v>
      </c>
      <c r="DJ104" s="308">
        <f t="shared" ref="DJ104:DJ135" si="364">$BE104*BQ104</f>
        <v>775</v>
      </c>
      <c r="DK104" s="308">
        <f t="shared" ref="DK104:DK135" si="365">$BE104*BR104</f>
        <v>310</v>
      </c>
      <c r="DL104" s="287" t="s">
        <v>4441</v>
      </c>
      <c r="DM104" s="308">
        <f t="shared" ref="DM104:DM135" si="366">$BJ104*BS104</f>
        <v>2480</v>
      </c>
      <c r="DN104" s="308">
        <f t="shared" ref="DN104:DN135" si="367">$BJ104*BT104</f>
        <v>4080</v>
      </c>
      <c r="DO104" s="308">
        <f t="shared" ref="DO104:DO135" si="368">$BJ104*BU104</f>
        <v>1200</v>
      </c>
      <c r="DP104" s="308">
        <f t="shared" ref="DP104:DP135" si="369">$BJ104*BV104</f>
        <v>240</v>
      </c>
      <c r="DQ104" s="289" t="s">
        <v>2868</v>
      </c>
      <c r="DR104" s="657"/>
      <c r="DS104" s="308">
        <f t="shared" ref="DS104:DS135" si="370">$BF104*BW104</f>
        <v>0</v>
      </c>
      <c r="DT104" s="308">
        <f t="shared" ref="DT104:DT135" si="371">$BF104*BX104</f>
        <v>0</v>
      </c>
      <c r="DU104" s="308">
        <f t="shared" ref="DU104:DU135" si="372">$BF104*BY104</f>
        <v>0</v>
      </c>
      <c r="DV104" s="289" t="s">
        <v>2613</v>
      </c>
      <c r="DW104" s="308">
        <f t="shared" ref="DW104:DW135" si="373">$BK104*BZ104</f>
        <v>0</v>
      </c>
      <c r="DX104" s="308">
        <f t="shared" ref="DX104:DX135" si="374">$BK104*CA104</f>
        <v>0</v>
      </c>
      <c r="DY104" s="308">
        <f t="shared" ref="DY104:DY135" si="375">$BK104*CB104</f>
        <v>0</v>
      </c>
      <c r="DZ104" s="289" t="s">
        <v>2613</v>
      </c>
      <c r="EA104" s="657"/>
      <c r="EB104" s="308">
        <f t="shared" ref="EB104:EB135" si="376">$BG104*CC104</f>
        <v>186</v>
      </c>
      <c r="EC104" s="308">
        <f t="shared" ref="EC104:EC135" si="377">$BG104*CD104</f>
        <v>775</v>
      </c>
      <c r="ED104" s="308">
        <f t="shared" ref="ED104:ED135" si="378">$BG104*CE104</f>
        <v>232.5</v>
      </c>
      <c r="EE104" s="308">
        <f t="shared" ref="EE104:EE135" si="379">$BG104*CF104</f>
        <v>356.5</v>
      </c>
      <c r="EF104" s="289" t="s">
        <v>4442</v>
      </c>
      <c r="EG104" s="308">
        <f t="shared" ref="EG104:EG135" si="380">$BL104*CG104</f>
        <v>160</v>
      </c>
      <c r="EH104" s="308">
        <f t="shared" ref="EH104:EH135" si="381">$BL104*CH104</f>
        <v>800</v>
      </c>
      <c r="EI104" s="308">
        <f t="shared" ref="EI104:EI135" si="382">$BL104*CI104</f>
        <v>288</v>
      </c>
      <c r="EJ104" s="308">
        <f t="shared" ref="EJ104:EJ135" si="383">$BL104*CJ104</f>
        <v>352</v>
      </c>
      <c r="EK104" s="309" t="s">
        <v>2870</v>
      </c>
      <c r="EL104" s="657"/>
      <c r="EM104" s="308">
        <f t="shared" ref="EM104:EM135" si="384">$BH104*CK104</f>
        <v>3410.0000000000005</v>
      </c>
      <c r="EN104" s="310">
        <f t="shared" ref="EN104:EN135" si="385">$BH104*CL104</f>
        <v>1860</v>
      </c>
      <c r="EO104" s="310">
        <f t="shared" ref="EO104:EO135" si="386">$BH104*CM104</f>
        <v>930</v>
      </c>
      <c r="EP104" s="289" t="s">
        <v>4443</v>
      </c>
      <c r="EQ104" s="308">
        <f t="shared" ref="EQ104:EQ135" si="387">$BM104*CN104</f>
        <v>3008</v>
      </c>
      <c r="ER104" s="310">
        <f t="shared" ref="ER104:ER135" si="388">$BM104*CO104</f>
        <v>2112</v>
      </c>
      <c r="ES104" s="310">
        <f t="shared" ref="ES104:ES135" si="389">$BM104*CP104</f>
        <v>1280</v>
      </c>
      <c r="ET104" s="289" t="s">
        <v>2872</v>
      </c>
      <c r="EU104" s="657"/>
      <c r="EV104" s="728">
        <f t="shared" ref="EV104:EV135" si="390">IFERROR(EY104/EX104,0)</f>
        <v>0.76972310570310809</v>
      </c>
      <c r="EW104" s="728">
        <f t="shared" ref="EW104:EW135" si="391">IFERROR(EZ104/EX104,0)</f>
        <v>0.23027689429689197</v>
      </c>
      <c r="EX104" s="311">
        <f t="shared" ref="EX104:EX135" si="392">EY104+EZ104</f>
        <v>5166.6060706293711</v>
      </c>
      <c r="EY104" s="311">
        <f t="shared" ref="EY104:EY135" si="393">SUM(FB104,FE104,FH104,FK104)</f>
        <v>3976.8560706293711</v>
      </c>
      <c r="EZ104" s="311">
        <f t="shared" ref="EZ104:EZ135" si="394">SUM(FC104,FF104,FI104,FL104)</f>
        <v>1189.75</v>
      </c>
      <c r="FA104" s="311">
        <f t="shared" ref="FA104:FA135" si="395">FB104+FC104</f>
        <v>2561.6148557692309</v>
      </c>
      <c r="FB104" s="311">
        <f t="shared" ref="FB104:FB135" si="396">SUM(GI104,GL104,GO104,GR104)</f>
        <v>1966.7398557692309</v>
      </c>
      <c r="FC104" s="311">
        <f t="shared" ref="FC104:FC135" si="397">MAX(0,$BJ104-$BE104)+$BE104*$FO104</f>
        <v>594.875</v>
      </c>
      <c r="FD104" s="311">
        <f t="shared" ref="FD104:FD135" si="398">FE104+FF104</f>
        <v>0</v>
      </c>
      <c r="FE104" s="311">
        <f t="shared" ref="FE104:FE135" si="399">SUM(GU104,GX104,HA104)</f>
        <v>0</v>
      </c>
      <c r="FF104" s="311">
        <f t="shared" ref="FF104:FF135" si="400">MAX(0,$BK104-$BF104)+$BF104*$FO104</f>
        <v>0</v>
      </c>
      <c r="FG104" s="311">
        <f t="shared" ref="FG104:FG135" si="401">FH104+FI104</f>
        <v>588.25926486013987</v>
      </c>
      <c r="FH104" s="311">
        <f t="shared" ref="FH104:FH135" si="402">SUM(HD104,HG104,HJ104,HM104)</f>
        <v>469.28426486013984</v>
      </c>
      <c r="FI104" s="311">
        <f t="shared" ref="FI104:FI135" si="403">MAX(0,$BL104-$BG104)+$BG104*$FO104</f>
        <v>118.97499999999999</v>
      </c>
      <c r="FJ104" s="311">
        <f t="shared" ref="FJ104:FJ135" si="404">FK104+FL104</f>
        <v>2016.7319500000003</v>
      </c>
      <c r="FK104" s="311">
        <f t="shared" ref="FK104:FK135" si="405">SUM(HP104,HS104,HV104)</f>
        <v>1540.8319500000002</v>
      </c>
      <c r="FL104" s="311">
        <f t="shared" ref="FL104:FL135" si="406">MAX(0,$BM104-$BH104)+$BH104*$FO104</f>
        <v>475.9</v>
      </c>
      <c r="FM104" s="657"/>
      <c r="FN104" s="293" t="s">
        <v>2649</v>
      </c>
      <c r="FO104" s="728">
        <v>4.4499999999999998E-2</v>
      </c>
      <c r="FP104" s="729">
        <v>0.77175000000000005</v>
      </c>
      <c r="FQ104" s="294" t="s">
        <v>3182</v>
      </c>
      <c r="FR104" s="657"/>
      <c r="FS104" s="865">
        <v>3.06</v>
      </c>
      <c r="FT104" s="312">
        <f>RANK($FS104,$FS$8:$FS$154,0)+COUNTIF($FS$8:$FS104,$FS104)-1</f>
        <v>111</v>
      </c>
      <c r="FU104" s="865">
        <v>3.65</v>
      </c>
      <c r="FV104" s="312">
        <f>RANK($FU104,$FU$8:$FU$154,0)+COUNTIF($FU$8:$FU104,$FU104)-1</f>
        <v>124</v>
      </c>
      <c r="FW104" s="865">
        <v>2</v>
      </c>
      <c r="FX104" s="312">
        <f>RANK($FW104,$FW$8:$FW$154,0)+COUNTIF($FW$8:$FW104,$FW104)-1</f>
        <v>107</v>
      </c>
      <c r="FY104" s="657"/>
      <c r="FZ104" s="296" t="s">
        <v>3183</v>
      </c>
      <c r="GA104" s="296" t="s">
        <v>4444</v>
      </c>
      <c r="GB104" s="296" t="s">
        <v>2653</v>
      </c>
      <c r="GC104" s="296" t="s">
        <v>2654</v>
      </c>
      <c r="GD104" s="296" t="s">
        <v>2876</v>
      </c>
      <c r="GE104" s="296" t="s">
        <v>2656</v>
      </c>
      <c r="GF104" s="296" t="str">
        <f t="shared" si="351"/>
        <v>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04" s="657"/>
      <c r="GH104" s="311">
        <f t="shared" ref="GH104:GH135" si="407">GI104+GJ104</f>
        <v>896.08348076923085</v>
      </c>
      <c r="GI104" s="311">
        <f t="shared" si="337"/>
        <v>711.67223076923085</v>
      </c>
      <c r="GJ104" s="311">
        <f t="shared" ref="GJ104:GJ135" si="408">IFERROR($FC104*$BS104,0)</f>
        <v>184.41125</v>
      </c>
      <c r="GK104" s="311">
        <f t="shared" ref="GK104:GK135" si="409">GL104+GM104</f>
        <v>1188.1424999999999</v>
      </c>
      <c r="GL104" s="311">
        <f t="shared" si="338"/>
        <v>884.75625000000002</v>
      </c>
      <c r="GM104" s="311">
        <f t="shared" ref="GM104:GM135" si="410">IFERROR($FC104*$BT104,0)</f>
        <v>303.38625000000002</v>
      </c>
      <c r="GN104" s="311">
        <f t="shared" ref="GN104:GN135" si="411">GO104+GP104</f>
        <v>370.53412499999996</v>
      </c>
      <c r="GO104" s="311">
        <f t="shared" si="339"/>
        <v>281.30287499999997</v>
      </c>
      <c r="GP104" s="311">
        <f t="shared" ref="GP104:GP135" si="412">IFERROR($FC104*$BU104,0)</f>
        <v>89.231250000000003</v>
      </c>
      <c r="GQ104" s="311">
        <f t="shared" ref="GQ104:GQ135" si="413">GR104+GS104</f>
        <v>106.85475000000001</v>
      </c>
      <c r="GR104" s="311">
        <f t="shared" si="340"/>
        <v>89.008500000000012</v>
      </c>
      <c r="GS104" s="311">
        <f t="shared" ref="GS104:GS135" si="414">IFERROR($FC104*$BV104,0)</f>
        <v>17.846249999999998</v>
      </c>
      <c r="GT104" s="311">
        <f t="shared" ref="GT104:GT135" si="415">GU104+GV104</f>
        <v>0</v>
      </c>
      <c r="GU104" s="311">
        <f t="shared" si="341"/>
        <v>0</v>
      </c>
      <c r="GV104" s="311">
        <f t="shared" ref="GV104:GV135" si="416">IFERROR($FF104*$BZ104,0)</f>
        <v>0</v>
      </c>
      <c r="GW104" s="311">
        <f t="shared" ref="GW104:GW135" si="417">GX104+GY104</f>
        <v>0</v>
      </c>
      <c r="GX104" s="311">
        <f t="shared" si="342"/>
        <v>0</v>
      </c>
      <c r="GY104" s="311">
        <f t="shared" ref="GY104:GY135" si="418">IFERROR($FF104*$CA104,0)</f>
        <v>0</v>
      </c>
      <c r="GZ104" s="311">
        <f t="shared" ref="GZ104:GZ135" si="419">HA104+HB104</f>
        <v>0</v>
      </c>
      <c r="HA104" s="311">
        <f t="shared" si="343"/>
        <v>0</v>
      </c>
      <c r="HB104" s="311">
        <f t="shared" ref="HB104:HB135" si="420">IFERROR($FF104*$CB104,0)</f>
        <v>0</v>
      </c>
      <c r="HC104" s="311">
        <f t="shared" ref="HC104:HC135" si="421">HD104+HE104</f>
        <v>72.514954545454543</v>
      </c>
      <c r="HD104" s="311">
        <f t="shared" si="344"/>
        <v>60.617454545454549</v>
      </c>
      <c r="HE104" s="311">
        <f t="shared" ref="HE104:HE135" si="422">IFERROR($FI104*$CG104,0)</f>
        <v>11.897500000000001</v>
      </c>
      <c r="HF104" s="311">
        <f t="shared" ref="HF104:HF135" si="423">HG104+HH104</f>
        <v>257.17423076923075</v>
      </c>
      <c r="HG104" s="311">
        <f t="shared" si="345"/>
        <v>197.68673076923076</v>
      </c>
      <c r="HH104" s="311">
        <f t="shared" ref="HH104:HH135" si="424">IFERROR($FI104*$CH104,0)</f>
        <v>59.487499999999997</v>
      </c>
      <c r="HI104" s="311">
        <f t="shared" ref="HI104:HI135" si="425">HJ104+HK104</f>
        <v>116.212125</v>
      </c>
      <c r="HJ104" s="311">
        <f t="shared" si="346"/>
        <v>94.796625000000006</v>
      </c>
      <c r="HK104" s="311">
        <f t="shared" ref="HK104:HK135" si="426">IFERROR($FI104*$CI104,0)</f>
        <v>21.415499999999998</v>
      </c>
      <c r="HL104" s="311">
        <f t="shared" ref="HL104:HL135" si="427">HM104+HN104</f>
        <v>142.35795454545456</v>
      </c>
      <c r="HM104" s="311">
        <f t="shared" si="347"/>
        <v>116.18345454545455</v>
      </c>
      <c r="HN104" s="311">
        <f t="shared" ref="HN104:HN135" si="428">IFERROR($FI104*$CJ104,0)</f>
        <v>26.174499999999998</v>
      </c>
      <c r="HO104" s="311">
        <f t="shared" ref="HO104:HO135" si="429">HP104+HQ104</f>
        <v>1002.2585000000001</v>
      </c>
      <c r="HP104" s="311">
        <f t="shared" si="348"/>
        <v>778.58550000000014</v>
      </c>
      <c r="HQ104" s="311">
        <f t="shared" ref="HQ104:HQ135" si="430">IFERROR($FL104*$CN104,0)</f>
        <v>223.67299999999997</v>
      </c>
      <c r="HR104" s="311">
        <f t="shared" ref="HR104:HR135" si="431">HS104+HT104</f>
        <v>581.73000000000013</v>
      </c>
      <c r="HS104" s="311">
        <f t="shared" si="349"/>
        <v>424.68300000000011</v>
      </c>
      <c r="HT104" s="311">
        <f t="shared" ref="HT104:HT135" si="432">IFERROR($FL104*$CO104,0)</f>
        <v>157.047</v>
      </c>
      <c r="HU104" s="311">
        <f t="shared" ref="HU104:HU135" si="433">HV104+HW104</f>
        <v>432.74345000000005</v>
      </c>
      <c r="HV104" s="311">
        <f t="shared" si="350"/>
        <v>337.56345000000005</v>
      </c>
      <c r="HW104" s="311">
        <f t="shared" ref="HW104:HW135" si="434">IFERROR($FL104*$CP104,0)</f>
        <v>95.18</v>
      </c>
      <c r="HY104" s="313">
        <f t="shared" ref="HY104:HY135" si="435">SUM(HZ104:ID104)</f>
        <v>15500.000000000002</v>
      </c>
      <c r="HZ104" s="313">
        <f t="shared" ref="HZ104:HZ135" si="436">IFERROR(IO104*BE104,0)+IFERROR(IY104*BF104,0)+IFERROR(JI104*BG104,0)+IFERROR(JS104*BH104,0)</f>
        <v>1675.55</v>
      </c>
      <c r="IA104" s="313">
        <f t="shared" ref="IA104:IA135" si="437">IFERROR(IP104*BE104,0)+IFERROR(IZ104*BF104,0)+IFERROR(JJ104*BG104,0)+IFERROR(JT104*BH104,0)</f>
        <v>8403.3250000000007</v>
      </c>
      <c r="IB104" s="313">
        <f t="shared" ref="IB104:IB135" si="438">IFERROR(IQ104*BE104,0)+IFERROR(JA104*BF104,0)+IFERROR(JK104*BG104,0)+IFERROR(JU104*BH104,0)</f>
        <v>5017.5050000000001</v>
      </c>
      <c r="IC104" s="313">
        <f t="shared" ref="IC104:IC135" si="439">IFERROR(IR104*BE104,0)+IFERROR(JB104*BF104,0)+IFERROR(JL104*BG104,0)+IFERROR(JV104*BH104,0)</f>
        <v>403.62</v>
      </c>
      <c r="ID104" s="313">
        <f t="shared" ref="ID104:ID135" si="440">IFERROR(IS104*BE104,0)+IFERROR(JC104*BF104,0)+IFERROR(JM104*BG104,0)+IFERROR(JW104*BH104,0)</f>
        <v>0</v>
      </c>
      <c r="IE104" s="313">
        <f t="shared" ref="IE104:IE135" si="441">SUM(IF104:IJ104)</f>
        <v>3976.8560706293711</v>
      </c>
      <c r="IF104" s="313">
        <f t="shared" ref="IF104:IF135" si="442">IFERROR(IT104*FB104,0)+IFERROR(JD104*FE104,0)+IFERROR(JN104*FH104,0)+IFERROR(JX104*FK104,0)</f>
        <v>360.06026468265736</v>
      </c>
      <c r="IG104" s="313">
        <f t="shared" ref="IG104:IG135" si="443">IFERROR(IU104*FB104,0)+IFERROR(JE104*FE104,0)+IFERROR(JO104*FH104,0)+IFERROR(JY104*FK104,0)</f>
        <v>2071.9818130324829</v>
      </c>
      <c r="IH104" s="313">
        <f t="shared" ref="IH104:IH135" si="444">IFERROR(IV104*FB104,0)+IFERROR(JF104*FE104,0)+IFERROR(JP104*FH104,0)+IFERROR(JZ104*FK104,0)</f>
        <v>1352.5440958119757</v>
      </c>
      <c r="II104" s="313">
        <f t="shared" ref="II104:II135" si="445">IFERROR(IW104*FB104,0)+IFERROR(JG104*FE104,0)+IFERROR(JQ104*FH104,0)+IFERROR(KA104*FK104,0)</f>
        <v>175.87960563152097</v>
      </c>
      <c r="IJ104" s="313">
        <f t="shared" ref="IJ104:IJ135" si="446">IFERROR(IX104*FB104,0)+IFERROR(JH104*FE104,0)+IFERROR(JR104*FH104,0)+IFERROR(KB104*FK104,0)</f>
        <v>16.390291470734269</v>
      </c>
      <c r="IK104" s="866">
        <v>4.12</v>
      </c>
      <c r="IL104" s="314" t="s">
        <v>2589</v>
      </c>
      <c r="IM104" s="299" t="s">
        <v>4445</v>
      </c>
      <c r="IN104" s="657"/>
      <c r="IO104" s="730">
        <v>0.1</v>
      </c>
      <c r="IP104" s="730">
        <v>0.53</v>
      </c>
      <c r="IQ104" s="730">
        <v>0.34</v>
      </c>
      <c r="IR104" s="730">
        <v>0.03</v>
      </c>
      <c r="IS104" s="730">
        <v>0</v>
      </c>
      <c r="IT104" s="730">
        <v>8.1500000000000003E-2</v>
      </c>
      <c r="IU104" s="730">
        <v>0.50739999999999996</v>
      </c>
      <c r="IV104" s="730">
        <v>0.3584</v>
      </c>
      <c r="IW104" s="730">
        <v>4.8399999999999999E-2</v>
      </c>
      <c r="IX104" s="730">
        <v>4.3E-3</v>
      </c>
      <c r="IY104" s="730">
        <v>0</v>
      </c>
      <c r="IZ104" s="730">
        <v>0</v>
      </c>
      <c r="JA104" s="730">
        <v>0</v>
      </c>
      <c r="JB104" s="730">
        <v>0</v>
      </c>
      <c r="JC104" s="730">
        <v>0</v>
      </c>
      <c r="JD104" s="730">
        <v>0</v>
      </c>
      <c r="JE104" s="730">
        <v>0</v>
      </c>
      <c r="JF104" s="730">
        <v>0</v>
      </c>
      <c r="JG104" s="730">
        <v>0</v>
      </c>
      <c r="JH104" s="730">
        <v>0</v>
      </c>
      <c r="JI104" s="730">
        <v>0.15459999999999999</v>
      </c>
      <c r="JJ104" s="730">
        <v>0.61470000000000002</v>
      </c>
      <c r="JK104" s="730">
        <v>0.21909999999999999</v>
      </c>
      <c r="JL104" s="730">
        <v>1.1599999999999999E-2</v>
      </c>
      <c r="JM104" s="730">
        <v>0</v>
      </c>
      <c r="JN104" s="730">
        <v>0.1361</v>
      </c>
      <c r="JO104" s="730">
        <v>0.59219999999999995</v>
      </c>
      <c r="JP104" s="730">
        <v>0.23749999999999999</v>
      </c>
      <c r="JQ104" s="730">
        <v>3.0099999999999998E-2</v>
      </c>
      <c r="JR104" s="730">
        <v>4.1000000000000003E-3</v>
      </c>
      <c r="JS104" s="730">
        <v>0.1066</v>
      </c>
      <c r="JT104" s="730">
        <v>0.53920000000000001</v>
      </c>
      <c r="JU104" s="730">
        <v>0.32950000000000002</v>
      </c>
      <c r="JV104" s="730">
        <v>2.47E-2</v>
      </c>
      <c r="JW104" s="730">
        <v>0</v>
      </c>
      <c r="JX104" s="730">
        <v>8.8200000000000001E-2</v>
      </c>
      <c r="JY104" s="730">
        <v>0.51670000000000005</v>
      </c>
      <c r="JZ104" s="730">
        <v>0.34799999999999998</v>
      </c>
      <c r="KA104" s="730">
        <v>4.3200000000000002E-2</v>
      </c>
      <c r="KB104" s="730">
        <v>3.8999999999999998E-3</v>
      </c>
      <c r="KC104" s="657"/>
      <c r="KD104" s="314" t="s">
        <v>2590</v>
      </c>
      <c r="KE104" s="314" t="s">
        <v>2590</v>
      </c>
      <c r="KF104" s="866">
        <v>4.1500000000000004</v>
      </c>
      <c r="KG104" s="314" t="s">
        <v>2589</v>
      </c>
      <c r="KH104" s="315" t="s">
        <v>3186</v>
      </c>
      <c r="KI104" s="314" t="s">
        <v>2659</v>
      </c>
      <c r="KJ104" s="315" t="s">
        <v>4446</v>
      </c>
    </row>
    <row r="105" spans="1:296" ht="48" hidden="1" customHeight="1">
      <c r="A105" s="265">
        <f t="shared" ref="A105:A136" si="447">A104+1</f>
        <v>98</v>
      </c>
      <c r="B105" s="266" t="s">
        <v>2278</v>
      </c>
      <c r="C105" s="266" t="s">
        <v>1527</v>
      </c>
      <c r="D105" s="624" t="s">
        <v>965</v>
      </c>
      <c r="E105" s="267" t="s">
        <v>2158</v>
      </c>
      <c r="F105" s="267" t="s">
        <v>300</v>
      </c>
      <c r="G105" s="267" t="s">
        <v>300</v>
      </c>
      <c r="H105" s="267" t="s">
        <v>2109</v>
      </c>
      <c r="I105" s="268" t="s">
        <v>4392</v>
      </c>
      <c r="J105" s="268" t="s">
        <v>4447</v>
      </c>
      <c r="K105" s="269" t="s">
        <v>2097</v>
      </c>
      <c r="L105" s="269" t="s">
        <v>2109</v>
      </c>
      <c r="M105" s="269" t="s">
        <v>2603</v>
      </c>
      <c r="N105" s="269" t="s">
        <v>4448</v>
      </c>
      <c r="O105" s="267" t="s">
        <v>2616</v>
      </c>
      <c r="P105" s="268"/>
      <c r="Q105" s="270">
        <v>1</v>
      </c>
      <c r="R105" s="271">
        <v>2800</v>
      </c>
      <c r="S105" s="272">
        <v>350</v>
      </c>
      <c r="T105" s="272">
        <v>348</v>
      </c>
      <c r="U105" s="272">
        <v>344</v>
      </c>
      <c r="V105" s="272">
        <v>336</v>
      </c>
      <c r="W105" s="272">
        <v>333</v>
      </c>
      <c r="X105" s="272">
        <v>330</v>
      </c>
      <c r="Y105" s="272">
        <v>327</v>
      </c>
      <c r="Z105" s="272">
        <v>324</v>
      </c>
      <c r="AA105" s="272">
        <v>323</v>
      </c>
      <c r="AB105" s="272">
        <v>324</v>
      </c>
      <c r="AC105" s="272">
        <v>326</v>
      </c>
      <c r="AD105" s="272">
        <v>328</v>
      </c>
      <c r="AE105" s="272">
        <v>330</v>
      </c>
      <c r="AF105" s="272">
        <v>334</v>
      </c>
      <c r="AG105" s="272">
        <v>334</v>
      </c>
      <c r="AH105" s="272">
        <v>334</v>
      </c>
      <c r="AI105" s="272">
        <v>334</v>
      </c>
      <c r="AJ105" s="272">
        <v>334</v>
      </c>
      <c r="AK105" s="272">
        <v>334</v>
      </c>
      <c r="AL105" s="268" t="s">
        <v>4449</v>
      </c>
      <c r="AM105" s="268" t="s">
        <v>4450</v>
      </c>
      <c r="AN105" s="268" t="s">
        <v>4451</v>
      </c>
      <c r="AO105" s="657"/>
      <c r="AP105" s="271">
        <v>250</v>
      </c>
      <c r="AQ105" s="280">
        <v>213</v>
      </c>
      <c r="AR105" s="280">
        <v>25</v>
      </c>
      <c r="AS105" s="280">
        <v>12</v>
      </c>
      <c r="AT105" s="657"/>
      <c r="AU105" s="301" t="s">
        <v>8029</v>
      </c>
      <c r="AV105" s="572" t="s">
        <v>4452</v>
      </c>
      <c r="AW105" s="645" t="s">
        <v>4036</v>
      </c>
      <c r="AX105" s="290" t="s">
        <v>2609</v>
      </c>
      <c r="AY105" s="657"/>
      <c r="AZ105" s="948">
        <v>18</v>
      </c>
      <c r="BA105" s="948">
        <v>0</v>
      </c>
      <c r="BB105" s="948">
        <v>4</v>
      </c>
      <c r="BC105" s="948">
        <v>14</v>
      </c>
      <c r="BD105" s="825">
        <f t="shared" si="352"/>
        <v>12024</v>
      </c>
      <c r="BE105" s="304">
        <f t="shared" si="353"/>
        <v>6012</v>
      </c>
      <c r="BF105" s="304">
        <f t="shared" si="354"/>
        <v>0</v>
      </c>
      <c r="BG105" s="304">
        <f t="shared" si="355"/>
        <v>1336</v>
      </c>
      <c r="BH105" s="304">
        <f t="shared" si="356"/>
        <v>4676</v>
      </c>
      <c r="BI105" s="825">
        <f t="shared" si="357"/>
        <v>12024</v>
      </c>
      <c r="BJ105" s="304">
        <f t="shared" si="358"/>
        <v>6012</v>
      </c>
      <c r="BK105" s="304">
        <f t="shared" si="359"/>
        <v>0</v>
      </c>
      <c r="BL105" s="304">
        <f t="shared" si="360"/>
        <v>1336</v>
      </c>
      <c r="BM105" s="304">
        <f t="shared" si="361"/>
        <v>4676</v>
      </c>
      <c r="BN105" s="657"/>
      <c r="BO105" s="284">
        <v>0.18</v>
      </c>
      <c r="BP105" s="284">
        <v>0.64</v>
      </c>
      <c r="BQ105" s="284">
        <v>0.14000000000000001</v>
      </c>
      <c r="BR105" s="710">
        <v>0.04</v>
      </c>
      <c r="BS105" s="707">
        <v>0.16</v>
      </c>
      <c r="BT105" s="284">
        <v>0.64</v>
      </c>
      <c r="BU105" s="284">
        <v>0.17</v>
      </c>
      <c r="BV105" s="710">
        <v>0.03</v>
      </c>
      <c r="BW105" s="714"/>
      <c r="BX105" s="285"/>
      <c r="BY105" s="717"/>
      <c r="BZ105" s="714"/>
      <c r="CA105" s="285"/>
      <c r="CB105" s="717"/>
      <c r="CC105" s="284">
        <v>0.1</v>
      </c>
      <c r="CD105" s="284">
        <v>0.55000000000000004</v>
      </c>
      <c r="CE105" s="284">
        <v>0.2</v>
      </c>
      <c r="CF105" s="710">
        <v>0.15</v>
      </c>
      <c r="CG105" s="707">
        <v>0.08</v>
      </c>
      <c r="CH105" s="284">
        <v>0.55000000000000004</v>
      </c>
      <c r="CI105" s="284">
        <v>0.23</v>
      </c>
      <c r="CJ105" s="710">
        <v>0.14000000000000001</v>
      </c>
      <c r="CK105" s="720">
        <v>0.5</v>
      </c>
      <c r="CL105" s="286">
        <v>0.3</v>
      </c>
      <c r="CM105" s="718">
        <v>0.2</v>
      </c>
      <c r="CN105" s="720">
        <v>0.42</v>
      </c>
      <c r="CO105" s="286">
        <v>0.32</v>
      </c>
      <c r="CP105" s="718">
        <v>0.26</v>
      </c>
      <c r="CQ105" s="657"/>
      <c r="CR105" s="807">
        <v>13</v>
      </c>
      <c r="CS105" s="808">
        <v>13</v>
      </c>
      <c r="CT105" s="808">
        <v>10</v>
      </c>
      <c r="CU105" s="809">
        <v>12</v>
      </c>
      <c r="CV105" s="807"/>
      <c r="CW105" s="808"/>
      <c r="CX105" s="809"/>
      <c r="CY105" s="807">
        <v>11</v>
      </c>
      <c r="CZ105" s="808">
        <v>13</v>
      </c>
      <c r="DA105" s="808">
        <v>9</v>
      </c>
      <c r="DB105" s="809">
        <v>11</v>
      </c>
      <c r="DC105" s="807">
        <v>12</v>
      </c>
      <c r="DD105" s="808">
        <v>13</v>
      </c>
      <c r="DE105" s="809">
        <v>10</v>
      </c>
      <c r="DF105" s="610" t="s">
        <v>4453</v>
      </c>
      <c r="DG105" s="657"/>
      <c r="DH105" s="288">
        <f t="shared" si="362"/>
        <v>1082.1599999999999</v>
      </c>
      <c r="DI105" s="288">
        <f t="shared" si="363"/>
        <v>3847.6800000000003</v>
      </c>
      <c r="DJ105" s="288">
        <f t="shared" si="364"/>
        <v>841.68000000000006</v>
      </c>
      <c r="DK105" s="288">
        <f t="shared" si="365"/>
        <v>240.48000000000002</v>
      </c>
      <c r="DL105" s="560" t="s">
        <v>4454</v>
      </c>
      <c r="DM105" s="288">
        <f t="shared" si="366"/>
        <v>961.92000000000007</v>
      </c>
      <c r="DN105" s="288">
        <f t="shared" si="367"/>
        <v>3847.6800000000003</v>
      </c>
      <c r="DO105" s="288">
        <f t="shared" si="368"/>
        <v>1022.0400000000001</v>
      </c>
      <c r="DP105" s="288">
        <f t="shared" si="369"/>
        <v>180.35999999999999</v>
      </c>
      <c r="DQ105" s="561" t="s">
        <v>4455</v>
      </c>
      <c r="DR105" s="657"/>
      <c r="DS105" s="288">
        <f t="shared" si="370"/>
        <v>0</v>
      </c>
      <c r="DT105" s="288">
        <f t="shared" si="371"/>
        <v>0</v>
      </c>
      <c r="DU105" s="288">
        <f t="shared" si="372"/>
        <v>0</v>
      </c>
      <c r="DV105" s="561" t="s">
        <v>2613</v>
      </c>
      <c r="DW105" s="288">
        <f t="shared" si="373"/>
        <v>0</v>
      </c>
      <c r="DX105" s="288">
        <f t="shared" si="374"/>
        <v>0</v>
      </c>
      <c r="DY105" s="288">
        <f t="shared" si="375"/>
        <v>0</v>
      </c>
      <c r="DZ105" s="561" t="s">
        <v>2613</v>
      </c>
      <c r="EA105" s="657"/>
      <c r="EB105" s="288">
        <f t="shared" si="376"/>
        <v>133.6</v>
      </c>
      <c r="EC105" s="288">
        <f t="shared" si="377"/>
        <v>734.80000000000007</v>
      </c>
      <c r="ED105" s="288">
        <f t="shared" si="378"/>
        <v>267.2</v>
      </c>
      <c r="EE105" s="288">
        <f t="shared" si="379"/>
        <v>200.4</v>
      </c>
      <c r="EF105" s="561" t="s">
        <v>4456</v>
      </c>
      <c r="EG105" s="288">
        <f t="shared" si="380"/>
        <v>106.88</v>
      </c>
      <c r="EH105" s="288">
        <f t="shared" si="381"/>
        <v>734.80000000000007</v>
      </c>
      <c r="EI105" s="288">
        <f t="shared" si="382"/>
        <v>307.28000000000003</v>
      </c>
      <c r="EJ105" s="288">
        <f t="shared" si="383"/>
        <v>187.04000000000002</v>
      </c>
      <c r="EK105" s="561" t="s">
        <v>4457</v>
      </c>
      <c r="EL105" s="657"/>
      <c r="EM105" s="288">
        <f t="shared" si="384"/>
        <v>2338</v>
      </c>
      <c r="EN105" s="291">
        <f t="shared" si="385"/>
        <v>1402.8</v>
      </c>
      <c r="EO105" s="291">
        <f t="shared" si="386"/>
        <v>935.2</v>
      </c>
      <c r="EP105" s="561" t="s">
        <v>4458</v>
      </c>
      <c r="EQ105" s="288">
        <f t="shared" si="387"/>
        <v>1963.9199999999998</v>
      </c>
      <c r="ER105" s="291">
        <f t="shared" si="388"/>
        <v>1496.32</v>
      </c>
      <c r="ES105" s="291">
        <f t="shared" si="389"/>
        <v>1215.76</v>
      </c>
      <c r="ET105" s="561" t="s">
        <v>4459</v>
      </c>
      <c r="EU105" s="657"/>
      <c r="EV105" s="740">
        <f t="shared" si="390"/>
        <v>0.81356355809346459</v>
      </c>
      <c r="EW105" s="740">
        <f t="shared" si="391"/>
        <v>0.18643644190653541</v>
      </c>
      <c r="EX105" s="563">
        <f t="shared" si="392"/>
        <v>5282.0445934796589</v>
      </c>
      <c r="EY105" s="563">
        <f t="shared" si="393"/>
        <v>4297.2789934796592</v>
      </c>
      <c r="EZ105" s="563">
        <f t="shared" si="394"/>
        <v>984.76559999999995</v>
      </c>
      <c r="FA105" s="563">
        <f t="shared" si="395"/>
        <v>2585.1532904215387</v>
      </c>
      <c r="FB105" s="563">
        <f t="shared" si="396"/>
        <v>2092.7704904215389</v>
      </c>
      <c r="FC105" s="563">
        <f t="shared" si="397"/>
        <v>492.38280000000003</v>
      </c>
      <c r="FD105" s="563">
        <f t="shared" si="398"/>
        <v>0</v>
      </c>
      <c r="FE105" s="563">
        <f t="shared" si="399"/>
        <v>0</v>
      </c>
      <c r="FF105" s="563">
        <f t="shared" si="400"/>
        <v>0</v>
      </c>
      <c r="FG105" s="563">
        <f t="shared" si="401"/>
        <v>609.48992463247873</v>
      </c>
      <c r="FH105" s="563">
        <f t="shared" si="402"/>
        <v>500.07152463247871</v>
      </c>
      <c r="FI105" s="563">
        <f t="shared" si="403"/>
        <v>109.41840000000001</v>
      </c>
      <c r="FJ105" s="563">
        <f t="shared" si="404"/>
        <v>2087.4013784256413</v>
      </c>
      <c r="FK105" s="563">
        <f t="shared" si="405"/>
        <v>1704.4369784256412</v>
      </c>
      <c r="FL105" s="563">
        <f t="shared" si="406"/>
        <v>382.96440000000001</v>
      </c>
      <c r="FM105" s="529"/>
      <c r="FN105" s="564" t="s">
        <v>2649</v>
      </c>
      <c r="FO105" s="740">
        <v>8.1900000000000001E-2</v>
      </c>
      <c r="FP105" s="741">
        <v>0.86189000000000004</v>
      </c>
      <c r="FQ105" s="565" t="s">
        <v>3515</v>
      </c>
      <c r="FR105" s="529"/>
      <c r="FS105" s="867">
        <v>2.93</v>
      </c>
      <c r="FT105" s="566">
        <f>RANK($FS105,$FS$8:$FS$154,0)+COUNTIF($FS$8:$FS105,$FS105)-1</f>
        <v>129</v>
      </c>
      <c r="FU105" s="867">
        <v>3.94</v>
      </c>
      <c r="FV105" s="566">
        <f>RANK($FU105,$FU$8:$FU$154,0)+COUNTIF($FU$8:$FU105,$FU105)-1</f>
        <v>92</v>
      </c>
      <c r="FW105" s="867">
        <v>1.69</v>
      </c>
      <c r="FX105" s="566">
        <f>RANK($FW105,$FW$8:$FW$154,0)+COUNTIF($FW$8:$FW105,$FW105)-1</f>
        <v>134</v>
      </c>
      <c r="FY105" s="529"/>
      <c r="FZ105" s="567" t="s">
        <v>4460</v>
      </c>
      <c r="GA105" s="567" t="s">
        <v>4461</v>
      </c>
      <c r="GB105" s="567" t="s">
        <v>4462</v>
      </c>
      <c r="GC105" s="567" t="s">
        <v>4463</v>
      </c>
      <c r="GD105" s="567" t="s">
        <v>4464</v>
      </c>
      <c r="GE105" s="567" t="s">
        <v>4465</v>
      </c>
      <c r="GF105" s="567" t="str">
        <f t="shared" si="351"/>
        <v>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05" s="529"/>
      <c r="GH105" s="563">
        <f t="shared" si="407"/>
        <v>441.16488747692307</v>
      </c>
      <c r="GI105" s="563">
        <f t="shared" si="337"/>
        <v>362.38363947692307</v>
      </c>
      <c r="GJ105" s="563">
        <f t="shared" si="408"/>
        <v>78.781248000000005</v>
      </c>
      <c r="GK105" s="563">
        <f t="shared" si="409"/>
        <v>1603.6001545846157</v>
      </c>
      <c r="GL105" s="563">
        <f t="shared" si="338"/>
        <v>1288.4751625846156</v>
      </c>
      <c r="GM105" s="563">
        <f t="shared" si="410"/>
        <v>315.12499200000002</v>
      </c>
      <c r="GN105" s="563">
        <f t="shared" si="411"/>
        <v>439.25538636000005</v>
      </c>
      <c r="GO105" s="563">
        <f t="shared" si="339"/>
        <v>355.55031036000003</v>
      </c>
      <c r="GP105" s="563">
        <f t="shared" si="412"/>
        <v>83.705076000000005</v>
      </c>
      <c r="GQ105" s="563">
        <f t="shared" si="413"/>
        <v>101.13286200000002</v>
      </c>
      <c r="GR105" s="563">
        <f t="shared" si="340"/>
        <v>86.361378000000016</v>
      </c>
      <c r="GS105" s="563">
        <f t="shared" si="414"/>
        <v>14.771484000000001</v>
      </c>
      <c r="GT105" s="563">
        <f t="shared" si="415"/>
        <v>0</v>
      </c>
      <c r="GU105" s="563">
        <f t="shared" si="341"/>
        <v>0</v>
      </c>
      <c r="GV105" s="563">
        <f t="shared" si="416"/>
        <v>0</v>
      </c>
      <c r="GW105" s="563">
        <f t="shared" si="417"/>
        <v>0</v>
      </c>
      <c r="GX105" s="563">
        <f t="shared" si="342"/>
        <v>0</v>
      </c>
      <c r="GY105" s="563">
        <f t="shared" si="418"/>
        <v>0</v>
      </c>
      <c r="GZ105" s="563">
        <f t="shared" si="419"/>
        <v>0</v>
      </c>
      <c r="HA105" s="563">
        <f t="shared" si="343"/>
        <v>0</v>
      </c>
      <c r="HB105" s="563">
        <f t="shared" si="420"/>
        <v>0</v>
      </c>
      <c r="HC105" s="563">
        <f t="shared" si="421"/>
        <v>60.466872000000002</v>
      </c>
      <c r="HD105" s="563">
        <f t="shared" si="344"/>
        <v>51.7134</v>
      </c>
      <c r="HE105" s="563">
        <f t="shared" si="422"/>
        <v>8.7534720000000004</v>
      </c>
      <c r="HF105" s="563">
        <f t="shared" si="423"/>
        <v>306.24308507692314</v>
      </c>
      <c r="HG105" s="563">
        <f t="shared" si="345"/>
        <v>246.06296507692312</v>
      </c>
      <c r="HH105" s="563">
        <f t="shared" si="424"/>
        <v>60.180120000000009</v>
      </c>
      <c r="HI105" s="563">
        <f t="shared" si="425"/>
        <v>149.89129155555557</v>
      </c>
      <c r="HJ105" s="563">
        <f t="shared" si="346"/>
        <v>124.72505955555557</v>
      </c>
      <c r="HK105" s="563">
        <f t="shared" si="426"/>
        <v>25.166232000000001</v>
      </c>
      <c r="HL105" s="563">
        <f t="shared" si="427"/>
        <v>92.888676000000018</v>
      </c>
      <c r="HM105" s="563">
        <f t="shared" si="347"/>
        <v>77.570100000000011</v>
      </c>
      <c r="HN105" s="563">
        <f t="shared" si="428"/>
        <v>15.318576000000002</v>
      </c>
      <c r="HO105" s="563">
        <f t="shared" si="429"/>
        <v>1000.4695563333333</v>
      </c>
      <c r="HP105" s="563">
        <f t="shared" si="348"/>
        <v>839.62450833333332</v>
      </c>
      <c r="HQ105" s="563">
        <f t="shared" si="430"/>
        <v>160.84504799999999</v>
      </c>
      <c r="HR105" s="563">
        <f t="shared" si="431"/>
        <v>592.30517769230767</v>
      </c>
      <c r="HS105" s="563">
        <f t="shared" si="349"/>
        <v>469.75656969230766</v>
      </c>
      <c r="HT105" s="563">
        <f t="shared" si="432"/>
        <v>122.548608</v>
      </c>
      <c r="HU105" s="563">
        <f t="shared" si="433"/>
        <v>494.62664440000009</v>
      </c>
      <c r="HV105" s="563">
        <f t="shared" si="350"/>
        <v>395.0559004000001</v>
      </c>
      <c r="HW105" s="563">
        <f t="shared" si="434"/>
        <v>99.570744000000005</v>
      </c>
      <c r="HX105" s="544"/>
      <c r="HY105" s="568">
        <f t="shared" si="435"/>
        <v>12024</v>
      </c>
      <c r="HZ105" s="568">
        <f t="shared" si="436"/>
        <v>283.69960000000003</v>
      </c>
      <c r="IA105" s="568">
        <f t="shared" si="437"/>
        <v>4743.7351999999992</v>
      </c>
      <c r="IB105" s="568">
        <f t="shared" si="438"/>
        <v>5833.2432000000008</v>
      </c>
      <c r="IC105" s="568">
        <f t="shared" si="439"/>
        <v>1147.8912</v>
      </c>
      <c r="ID105" s="568">
        <f t="shared" si="440"/>
        <v>15.4308</v>
      </c>
      <c r="IE105" s="568">
        <f t="shared" si="441"/>
        <v>4297.2789934796583</v>
      </c>
      <c r="IF105" s="568">
        <f t="shared" si="442"/>
        <v>7.0510084973179499</v>
      </c>
      <c r="IG105" s="568">
        <f t="shared" si="443"/>
        <v>1137.7164312820653</v>
      </c>
      <c r="IH105" s="568">
        <f t="shared" si="444"/>
        <v>2423.6544643622942</v>
      </c>
      <c r="II105" s="568">
        <f t="shared" si="445"/>
        <v>709.62366303521344</v>
      </c>
      <c r="IJ105" s="568">
        <f t="shared" si="446"/>
        <v>19.233426302768105</v>
      </c>
      <c r="IK105" s="868">
        <v>4</v>
      </c>
      <c r="IL105" s="569" t="s">
        <v>2589</v>
      </c>
      <c r="IM105" s="570" t="s">
        <v>4466</v>
      </c>
      <c r="IN105" s="529"/>
      <c r="IO105" s="742">
        <v>1.0500000000000001E-2</v>
      </c>
      <c r="IP105" s="742">
        <v>0.36009999999999998</v>
      </c>
      <c r="IQ105" s="742">
        <v>0.51829999999999998</v>
      </c>
      <c r="IR105" s="742">
        <v>0.1094</v>
      </c>
      <c r="IS105" s="742">
        <v>1.6999999999999999E-3</v>
      </c>
      <c r="IT105" s="742">
        <v>0</v>
      </c>
      <c r="IU105" s="742">
        <v>0.22689999999999999</v>
      </c>
      <c r="IV105" s="742">
        <v>0.57740000000000002</v>
      </c>
      <c r="IW105" s="742">
        <v>0.1898</v>
      </c>
      <c r="IX105" s="742">
        <v>5.8999999999999999E-3</v>
      </c>
      <c r="IY105" s="742">
        <v>0</v>
      </c>
      <c r="IZ105" s="742">
        <v>0</v>
      </c>
      <c r="JA105" s="742">
        <v>0</v>
      </c>
      <c r="JB105" s="742">
        <v>0</v>
      </c>
      <c r="JC105" s="742">
        <v>0</v>
      </c>
      <c r="JD105" s="742">
        <v>0</v>
      </c>
      <c r="JE105" s="742">
        <v>0</v>
      </c>
      <c r="JF105" s="742">
        <v>0</v>
      </c>
      <c r="JG105" s="742">
        <v>0</v>
      </c>
      <c r="JH105" s="742">
        <v>0</v>
      </c>
      <c r="JI105" s="742">
        <v>6.9199999999999998E-2</v>
      </c>
      <c r="JJ105" s="742">
        <v>0.4879</v>
      </c>
      <c r="JK105" s="742">
        <v>0.38150000000000001</v>
      </c>
      <c r="JL105" s="742">
        <v>6.0999999999999999E-2</v>
      </c>
      <c r="JM105" s="742">
        <v>4.0000000000000002E-4</v>
      </c>
      <c r="JN105" s="742">
        <v>1.41E-2</v>
      </c>
      <c r="JO105" s="742">
        <v>0.37290000000000001</v>
      </c>
      <c r="JP105" s="742">
        <v>0.50790000000000002</v>
      </c>
      <c r="JQ105" s="742">
        <v>0.1036</v>
      </c>
      <c r="JR105" s="742">
        <v>1.5E-3</v>
      </c>
      <c r="JS105" s="742">
        <v>2.7400000000000001E-2</v>
      </c>
      <c r="JT105" s="742">
        <v>0.41210000000000002</v>
      </c>
      <c r="JU105" s="742">
        <v>0.47210000000000002</v>
      </c>
      <c r="JV105" s="742">
        <v>8.7400000000000005E-2</v>
      </c>
      <c r="JW105" s="742">
        <v>1E-3</v>
      </c>
      <c r="JX105" s="742">
        <v>0</v>
      </c>
      <c r="JY105" s="742">
        <v>0.27950000000000003</v>
      </c>
      <c r="JZ105" s="742">
        <v>0.56399999999999995</v>
      </c>
      <c r="KA105" s="742">
        <v>0.15290000000000001</v>
      </c>
      <c r="KB105" s="742">
        <v>3.5999999999999999E-3</v>
      </c>
      <c r="KC105" s="657"/>
      <c r="KD105" s="832" t="s">
        <v>2590</v>
      </c>
      <c r="KE105" s="832" t="s">
        <v>2590</v>
      </c>
      <c r="KF105" s="869">
        <v>4.08</v>
      </c>
      <c r="KG105" s="832" t="s">
        <v>2589</v>
      </c>
      <c r="KH105" s="833" t="s">
        <v>4467</v>
      </c>
      <c r="KI105" s="832" t="s">
        <v>3384</v>
      </c>
      <c r="KJ105" s="833" t="s">
        <v>4468</v>
      </c>
    </row>
    <row r="106" spans="1:296" ht="48" hidden="1" customHeight="1">
      <c r="A106" s="273">
        <f t="shared" si="447"/>
        <v>99</v>
      </c>
      <c r="B106" s="274" t="s">
        <v>2278</v>
      </c>
      <c r="C106" s="274" t="s">
        <v>1527</v>
      </c>
      <c r="D106" s="274" t="s">
        <v>4469</v>
      </c>
      <c r="E106" s="275" t="s">
        <v>2158</v>
      </c>
      <c r="F106" s="275" t="s">
        <v>300</v>
      </c>
      <c r="G106" s="275" t="s">
        <v>300</v>
      </c>
      <c r="H106" s="275" t="s">
        <v>2109</v>
      </c>
      <c r="I106" s="276" t="s">
        <v>4432</v>
      </c>
      <c r="J106" s="276" t="s">
        <v>4470</v>
      </c>
      <c r="K106" s="277" t="s">
        <v>2097</v>
      </c>
      <c r="L106" s="277" t="s">
        <v>2109</v>
      </c>
      <c r="M106" s="277" t="s">
        <v>2603</v>
      </c>
      <c r="N106" s="277" t="s">
        <v>3322</v>
      </c>
      <c r="O106" s="275" t="s">
        <v>2616</v>
      </c>
      <c r="P106" s="276"/>
      <c r="Q106" s="270">
        <v>1</v>
      </c>
      <c r="R106" s="278">
        <v>1650</v>
      </c>
      <c r="S106" s="279">
        <v>1845</v>
      </c>
      <c r="T106" s="279">
        <v>2524</v>
      </c>
      <c r="U106" s="279">
        <v>2611</v>
      </c>
      <c r="V106" s="279">
        <v>2133</v>
      </c>
      <c r="W106" s="279">
        <v>2062</v>
      </c>
      <c r="X106" s="279">
        <v>1266</v>
      </c>
      <c r="Y106" s="279">
        <v>1260</v>
      </c>
      <c r="Z106" s="279">
        <v>1258</v>
      </c>
      <c r="AA106" s="279">
        <v>1254</v>
      </c>
      <c r="AB106" s="279">
        <v>1254</v>
      </c>
      <c r="AC106" s="279">
        <v>1254</v>
      </c>
      <c r="AD106" s="279">
        <v>1254</v>
      </c>
      <c r="AE106" s="279">
        <v>1254</v>
      </c>
      <c r="AF106" s="279">
        <v>1254</v>
      </c>
      <c r="AG106" s="279">
        <v>1252</v>
      </c>
      <c r="AH106" s="279">
        <v>1252</v>
      </c>
      <c r="AI106" s="279">
        <v>1252</v>
      </c>
      <c r="AJ106" s="279">
        <v>1252</v>
      </c>
      <c r="AK106" s="279">
        <v>1252</v>
      </c>
      <c r="AL106" s="276" t="s">
        <v>4471</v>
      </c>
      <c r="AM106" s="276" t="s">
        <v>4472</v>
      </c>
      <c r="AN106" s="276" t="s">
        <v>4473</v>
      </c>
      <c r="AO106" s="657"/>
      <c r="AP106" s="278">
        <v>90</v>
      </c>
      <c r="AQ106" s="278">
        <v>45</v>
      </c>
      <c r="AR106" s="278">
        <v>40</v>
      </c>
      <c r="AS106" s="278">
        <v>5</v>
      </c>
      <c r="AT106" s="657"/>
      <c r="AU106" s="281" t="s">
        <v>4474</v>
      </c>
      <c r="AV106" s="296" t="s">
        <v>4475</v>
      </c>
      <c r="AW106" s="296" t="s">
        <v>4476</v>
      </c>
      <c r="AX106" s="276" t="s">
        <v>2670</v>
      </c>
      <c r="AY106" s="657"/>
      <c r="AZ106" s="947">
        <v>7</v>
      </c>
      <c r="BA106" s="947">
        <v>0</v>
      </c>
      <c r="BB106" s="947">
        <v>2</v>
      </c>
      <c r="BC106" s="947">
        <v>5</v>
      </c>
      <c r="BD106" s="826">
        <f t="shared" si="352"/>
        <v>17556</v>
      </c>
      <c r="BE106" s="283">
        <f t="shared" si="353"/>
        <v>8778</v>
      </c>
      <c r="BF106" s="283">
        <f t="shared" si="354"/>
        <v>0</v>
      </c>
      <c r="BG106" s="283">
        <f t="shared" si="355"/>
        <v>2508</v>
      </c>
      <c r="BH106" s="283">
        <f t="shared" si="356"/>
        <v>6270</v>
      </c>
      <c r="BI106" s="826">
        <f t="shared" si="357"/>
        <v>17528</v>
      </c>
      <c r="BJ106" s="283">
        <f t="shared" si="358"/>
        <v>8764</v>
      </c>
      <c r="BK106" s="283">
        <f t="shared" si="359"/>
        <v>0</v>
      </c>
      <c r="BL106" s="283">
        <f t="shared" si="360"/>
        <v>2504</v>
      </c>
      <c r="BM106" s="283">
        <f t="shared" si="361"/>
        <v>6260</v>
      </c>
      <c r="BN106" s="657"/>
      <c r="BO106" s="305">
        <v>0.36</v>
      </c>
      <c r="BP106" s="305">
        <v>0.5</v>
      </c>
      <c r="BQ106" s="305">
        <v>0.1</v>
      </c>
      <c r="BR106" s="581">
        <v>0.04</v>
      </c>
      <c r="BS106" s="706">
        <v>0.31</v>
      </c>
      <c r="BT106" s="305">
        <v>0.51</v>
      </c>
      <c r="BU106" s="305">
        <v>0.15</v>
      </c>
      <c r="BV106" s="581">
        <v>0.03</v>
      </c>
      <c r="BW106" s="713"/>
      <c r="BX106" s="306"/>
      <c r="BY106" s="590"/>
      <c r="BZ106" s="713"/>
      <c r="CA106" s="306"/>
      <c r="CB106" s="590"/>
      <c r="CC106" s="706">
        <v>0.12</v>
      </c>
      <c r="CD106" s="305">
        <v>0.5</v>
      </c>
      <c r="CE106" s="305">
        <v>0.15</v>
      </c>
      <c r="CF106" s="581">
        <v>0.23</v>
      </c>
      <c r="CG106" s="706">
        <v>0.1</v>
      </c>
      <c r="CH106" s="305">
        <v>0.5</v>
      </c>
      <c r="CI106" s="305">
        <v>0.18</v>
      </c>
      <c r="CJ106" s="581">
        <v>0.22</v>
      </c>
      <c r="CK106" s="719">
        <v>0.55000000000000004</v>
      </c>
      <c r="CL106" s="307">
        <v>0.3</v>
      </c>
      <c r="CM106" s="723">
        <v>0.15</v>
      </c>
      <c r="CN106" s="719">
        <v>0.47</v>
      </c>
      <c r="CO106" s="307">
        <v>0.33</v>
      </c>
      <c r="CP106" s="723">
        <v>0.2</v>
      </c>
      <c r="CQ106" s="657"/>
      <c r="CR106" s="804">
        <v>13</v>
      </c>
      <c r="CS106" s="805">
        <v>14</v>
      </c>
      <c r="CT106" s="805">
        <v>10</v>
      </c>
      <c r="CU106" s="806">
        <v>12</v>
      </c>
      <c r="CV106" s="804"/>
      <c r="CW106" s="805"/>
      <c r="CX106" s="806"/>
      <c r="CY106" s="804">
        <v>11</v>
      </c>
      <c r="CZ106" s="805">
        <v>13</v>
      </c>
      <c r="DA106" s="805">
        <v>9</v>
      </c>
      <c r="DB106" s="806">
        <v>11</v>
      </c>
      <c r="DC106" s="804">
        <v>14</v>
      </c>
      <c r="DD106" s="805">
        <v>14</v>
      </c>
      <c r="DE106" s="806">
        <v>10</v>
      </c>
      <c r="DF106" s="609" t="s">
        <v>4477</v>
      </c>
      <c r="DG106" s="657"/>
      <c r="DH106" s="308">
        <f t="shared" si="362"/>
        <v>3160.08</v>
      </c>
      <c r="DI106" s="308">
        <f t="shared" si="363"/>
        <v>4389</v>
      </c>
      <c r="DJ106" s="308">
        <f t="shared" si="364"/>
        <v>877.80000000000007</v>
      </c>
      <c r="DK106" s="308">
        <f t="shared" si="365"/>
        <v>351.12</v>
      </c>
      <c r="DL106" s="287" t="s">
        <v>4478</v>
      </c>
      <c r="DM106" s="308">
        <f t="shared" si="366"/>
        <v>2716.84</v>
      </c>
      <c r="DN106" s="308">
        <f t="shared" si="367"/>
        <v>4469.6400000000003</v>
      </c>
      <c r="DO106" s="308">
        <f t="shared" si="368"/>
        <v>1314.6</v>
      </c>
      <c r="DP106" s="308">
        <f t="shared" si="369"/>
        <v>262.92</v>
      </c>
      <c r="DQ106" s="289" t="s">
        <v>2868</v>
      </c>
      <c r="DR106" s="657"/>
      <c r="DS106" s="308">
        <f t="shared" si="370"/>
        <v>0</v>
      </c>
      <c r="DT106" s="308">
        <f t="shared" si="371"/>
        <v>0</v>
      </c>
      <c r="DU106" s="308">
        <f t="shared" si="372"/>
        <v>0</v>
      </c>
      <c r="DV106" s="289" t="s">
        <v>2613</v>
      </c>
      <c r="DW106" s="308">
        <f t="shared" si="373"/>
        <v>0</v>
      </c>
      <c r="DX106" s="308">
        <f t="shared" si="374"/>
        <v>0</v>
      </c>
      <c r="DY106" s="308">
        <f t="shared" si="375"/>
        <v>0</v>
      </c>
      <c r="DZ106" s="289" t="s">
        <v>2613</v>
      </c>
      <c r="EA106" s="657"/>
      <c r="EB106" s="308">
        <f t="shared" si="376"/>
        <v>300.95999999999998</v>
      </c>
      <c r="EC106" s="308">
        <f t="shared" si="377"/>
        <v>1254</v>
      </c>
      <c r="ED106" s="308">
        <f t="shared" si="378"/>
        <v>376.2</v>
      </c>
      <c r="EE106" s="308">
        <f t="shared" si="379"/>
        <v>576.84</v>
      </c>
      <c r="EF106" s="289" t="s">
        <v>4479</v>
      </c>
      <c r="EG106" s="308">
        <f t="shared" si="380"/>
        <v>250.4</v>
      </c>
      <c r="EH106" s="308">
        <f t="shared" si="381"/>
        <v>1252</v>
      </c>
      <c r="EI106" s="308">
        <f t="shared" si="382"/>
        <v>450.71999999999997</v>
      </c>
      <c r="EJ106" s="308">
        <f t="shared" si="383"/>
        <v>550.88</v>
      </c>
      <c r="EK106" s="309" t="s">
        <v>2870</v>
      </c>
      <c r="EL106" s="657"/>
      <c r="EM106" s="308">
        <f t="shared" si="384"/>
        <v>3448.5000000000005</v>
      </c>
      <c r="EN106" s="310">
        <f t="shared" si="385"/>
        <v>1881</v>
      </c>
      <c r="EO106" s="310">
        <f t="shared" si="386"/>
        <v>940.5</v>
      </c>
      <c r="EP106" s="289" t="s">
        <v>4480</v>
      </c>
      <c r="EQ106" s="308">
        <f t="shared" si="387"/>
        <v>2942.2</v>
      </c>
      <c r="ER106" s="310">
        <f t="shared" si="388"/>
        <v>2065.8000000000002</v>
      </c>
      <c r="ES106" s="310">
        <f t="shared" si="389"/>
        <v>1252</v>
      </c>
      <c r="ET106" s="289" t="s">
        <v>2872</v>
      </c>
      <c r="EU106" s="657"/>
      <c r="EV106" s="728">
        <f t="shared" si="390"/>
        <v>0.92166904118345683</v>
      </c>
      <c r="EW106" s="728">
        <f t="shared" si="391"/>
        <v>7.8330958816543131E-2</v>
      </c>
      <c r="EX106" s="311">
        <f t="shared" si="392"/>
        <v>9592.5903544705307</v>
      </c>
      <c r="EY106" s="311">
        <f t="shared" si="393"/>
        <v>8841.1935544705302</v>
      </c>
      <c r="EZ106" s="311">
        <f t="shared" si="394"/>
        <v>751.39679999999998</v>
      </c>
      <c r="FA106" s="311">
        <f t="shared" si="395"/>
        <v>4822.9709871794876</v>
      </c>
      <c r="FB106" s="311">
        <f t="shared" si="396"/>
        <v>4447.2725871794873</v>
      </c>
      <c r="FC106" s="311">
        <f t="shared" si="397"/>
        <v>375.69839999999999</v>
      </c>
      <c r="FD106" s="311">
        <f t="shared" si="398"/>
        <v>0</v>
      </c>
      <c r="FE106" s="311">
        <f t="shared" si="399"/>
        <v>0</v>
      </c>
      <c r="FF106" s="311">
        <f t="shared" si="400"/>
        <v>0</v>
      </c>
      <c r="FG106" s="311">
        <f t="shared" si="401"/>
        <v>1289.1070458624708</v>
      </c>
      <c r="FH106" s="311">
        <f t="shared" si="402"/>
        <v>1181.7646458624708</v>
      </c>
      <c r="FI106" s="311">
        <f t="shared" si="403"/>
        <v>107.3424</v>
      </c>
      <c r="FJ106" s="311">
        <f t="shared" si="404"/>
        <v>3480.5123214285722</v>
      </c>
      <c r="FK106" s="311">
        <f t="shared" si="405"/>
        <v>3212.156321428572</v>
      </c>
      <c r="FL106" s="311">
        <f t="shared" si="406"/>
        <v>268.35599999999999</v>
      </c>
      <c r="FM106" s="657"/>
      <c r="FN106" s="293" t="s">
        <v>2649</v>
      </c>
      <c r="FO106" s="728">
        <v>4.2799999999999998E-2</v>
      </c>
      <c r="FP106" s="729">
        <v>0.76775000000000004</v>
      </c>
      <c r="FQ106" s="294" t="s">
        <v>4481</v>
      </c>
      <c r="FR106" s="657"/>
      <c r="FS106" s="865">
        <v>2.94</v>
      </c>
      <c r="FT106" s="312">
        <f>RANK($FS106,$FS$8:$FS$154,0)+COUNTIF($FS$8:$FS106,$FS106)-1</f>
        <v>123</v>
      </c>
      <c r="FU106" s="865">
        <v>3.57</v>
      </c>
      <c r="FV106" s="312">
        <f>RANK($FU106,$FU$8:$FU$154,0)+COUNTIF($FU$8:$FU106,$FU106)-1</f>
        <v>130</v>
      </c>
      <c r="FW106" s="865">
        <v>1.8</v>
      </c>
      <c r="FX106" s="312">
        <f>RANK($FW106,$FW$8:$FW$154,0)+COUNTIF($FW$8:$FW106,$FW106)-1</f>
        <v>126</v>
      </c>
      <c r="FY106" s="657"/>
      <c r="FZ106" s="296" t="s">
        <v>4402</v>
      </c>
      <c r="GA106" s="296" t="s">
        <v>4482</v>
      </c>
      <c r="GB106" s="296" t="s">
        <v>2653</v>
      </c>
      <c r="GC106" s="296" t="s">
        <v>2654</v>
      </c>
      <c r="GD106" s="296" t="s">
        <v>2876</v>
      </c>
      <c r="GE106" s="296" t="s">
        <v>2656</v>
      </c>
      <c r="GF106" s="296" t="str">
        <f t="shared" si="351"/>
        <v>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06" s="657"/>
      <c r="GH106" s="311">
        <f t="shared" si="407"/>
        <v>1706.3680878461539</v>
      </c>
      <c r="GI106" s="311">
        <f t="shared" si="337"/>
        <v>1589.9015838461539</v>
      </c>
      <c r="GJ106" s="311">
        <f t="shared" si="408"/>
        <v>116.466504</v>
      </c>
      <c r="GK106" s="311">
        <f t="shared" si="409"/>
        <v>2500.2304340000001</v>
      </c>
      <c r="GL106" s="311">
        <f t="shared" si="338"/>
        <v>2308.6242499999998</v>
      </c>
      <c r="GM106" s="311">
        <f t="shared" si="410"/>
        <v>191.60618400000001</v>
      </c>
      <c r="GN106" s="311">
        <f t="shared" si="411"/>
        <v>437.92651000000001</v>
      </c>
      <c r="GO106" s="311">
        <f t="shared" si="339"/>
        <v>381.57175000000001</v>
      </c>
      <c r="GP106" s="311">
        <f t="shared" si="412"/>
        <v>56.354759999999999</v>
      </c>
      <c r="GQ106" s="311">
        <f t="shared" si="413"/>
        <v>178.44595533333333</v>
      </c>
      <c r="GR106" s="311">
        <f t="shared" si="340"/>
        <v>167.17500333333334</v>
      </c>
      <c r="GS106" s="311">
        <f t="shared" si="414"/>
        <v>11.270951999999999</v>
      </c>
      <c r="GT106" s="311">
        <f t="shared" si="415"/>
        <v>0</v>
      </c>
      <c r="GU106" s="311">
        <f t="shared" si="341"/>
        <v>0</v>
      </c>
      <c r="GV106" s="311">
        <f t="shared" si="416"/>
        <v>0</v>
      </c>
      <c r="GW106" s="311">
        <f t="shared" si="417"/>
        <v>0</v>
      </c>
      <c r="GX106" s="311">
        <f t="shared" si="342"/>
        <v>0</v>
      </c>
      <c r="GY106" s="311">
        <f t="shared" si="418"/>
        <v>0</v>
      </c>
      <c r="GZ106" s="311">
        <f t="shared" si="419"/>
        <v>0</v>
      </c>
      <c r="HA106" s="311">
        <f t="shared" si="343"/>
        <v>0</v>
      </c>
      <c r="HB106" s="311">
        <f t="shared" si="420"/>
        <v>0</v>
      </c>
      <c r="HC106" s="311">
        <f t="shared" si="421"/>
        <v>144.38974363636365</v>
      </c>
      <c r="HD106" s="311">
        <f t="shared" si="344"/>
        <v>133.65550363636365</v>
      </c>
      <c r="HE106" s="311">
        <f t="shared" si="422"/>
        <v>10.73424</v>
      </c>
      <c r="HF106" s="311">
        <f t="shared" si="423"/>
        <v>684.58452692307696</v>
      </c>
      <c r="HG106" s="311">
        <f t="shared" si="345"/>
        <v>630.91332692307697</v>
      </c>
      <c r="HH106" s="311">
        <f t="shared" si="424"/>
        <v>53.671199999999999</v>
      </c>
      <c r="HI106" s="311">
        <f t="shared" si="425"/>
        <v>180.34439866666668</v>
      </c>
      <c r="HJ106" s="311">
        <f t="shared" si="346"/>
        <v>161.02276666666668</v>
      </c>
      <c r="HK106" s="311">
        <f t="shared" si="426"/>
        <v>19.321631999999997</v>
      </c>
      <c r="HL106" s="311">
        <f t="shared" si="427"/>
        <v>279.78837663636364</v>
      </c>
      <c r="HM106" s="311">
        <f t="shared" si="347"/>
        <v>256.17304863636366</v>
      </c>
      <c r="HN106" s="311">
        <f t="shared" si="428"/>
        <v>23.615327999999998</v>
      </c>
      <c r="HO106" s="311">
        <f t="shared" si="429"/>
        <v>1940.0463735714291</v>
      </c>
      <c r="HP106" s="311">
        <f t="shared" si="348"/>
        <v>1813.919053571429</v>
      </c>
      <c r="HQ106" s="311">
        <f t="shared" si="430"/>
        <v>126.12731999999998</v>
      </c>
      <c r="HR106" s="311">
        <f t="shared" si="431"/>
        <v>1077.967872857143</v>
      </c>
      <c r="HS106" s="311">
        <f t="shared" si="349"/>
        <v>989.41039285714294</v>
      </c>
      <c r="HT106" s="311">
        <f t="shared" si="432"/>
        <v>88.557479999999998</v>
      </c>
      <c r="HU106" s="311">
        <f t="shared" si="433"/>
        <v>462.49807500000003</v>
      </c>
      <c r="HV106" s="311">
        <f t="shared" si="350"/>
        <v>408.82687500000003</v>
      </c>
      <c r="HW106" s="311">
        <f t="shared" si="434"/>
        <v>53.671199999999999</v>
      </c>
      <c r="HY106" s="313">
        <f t="shared" si="435"/>
        <v>17556</v>
      </c>
      <c r="HZ106" s="313">
        <f t="shared" si="436"/>
        <v>603.17399999999998</v>
      </c>
      <c r="IA106" s="313">
        <f t="shared" si="437"/>
        <v>7465.5635999999995</v>
      </c>
      <c r="IB106" s="313">
        <f t="shared" si="438"/>
        <v>8425.1244000000006</v>
      </c>
      <c r="IC106" s="313">
        <f t="shared" si="439"/>
        <v>1062.1379999999999</v>
      </c>
      <c r="ID106" s="313">
        <f t="shared" si="440"/>
        <v>0</v>
      </c>
      <c r="IE106" s="313">
        <f t="shared" si="441"/>
        <v>8841.1935544705284</v>
      </c>
      <c r="IF106" s="313">
        <f t="shared" si="442"/>
        <v>154.30183221087162</v>
      </c>
      <c r="IG106" s="313">
        <f t="shared" si="443"/>
        <v>3569.5154507520037</v>
      </c>
      <c r="IH106" s="313">
        <f t="shared" si="444"/>
        <v>4400.3724067400844</v>
      </c>
      <c r="II106" s="313">
        <f t="shared" si="445"/>
        <v>684.93921504230354</v>
      </c>
      <c r="IJ106" s="313">
        <f t="shared" si="446"/>
        <v>32.064649725266399</v>
      </c>
      <c r="IK106" s="866">
        <v>4.13</v>
      </c>
      <c r="IL106" s="314" t="s">
        <v>2589</v>
      </c>
      <c r="IM106" s="299" t="s">
        <v>4483</v>
      </c>
      <c r="IN106" s="657"/>
      <c r="IO106" s="730">
        <v>0.03</v>
      </c>
      <c r="IP106" s="730">
        <v>0.4</v>
      </c>
      <c r="IQ106" s="730">
        <v>0.5</v>
      </c>
      <c r="IR106" s="730">
        <v>7.0000000000000007E-2</v>
      </c>
      <c r="IS106" s="730">
        <v>0</v>
      </c>
      <c r="IT106" s="730">
        <v>1.3299999999999999E-2</v>
      </c>
      <c r="IU106" s="730">
        <v>0.37969999999999998</v>
      </c>
      <c r="IV106" s="730">
        <v>0.51670000000000005</v>
      </c>
      <c r="IW106" s="730">
        <v>8.6699999999999999E-2</v>
      </c>
      <c r="IX106" s="730">
        <v>3.5999999999999999E-3</v>
      </c>
      <c r="IY106" s="730">
        <v>0</v>
      </c>
      <c r="IZ106" s="730">
        <v>0</v>
      </c>
      <c r="JA106" s="730">
        <v>0</v>
      </c>
      <c r="JB106" s="730">
        <v>0</v>
      </c>
      <c r="JC106" s="730">
        <v>0</v>
      </c>
      <c r="JD106" s="730">
        <v>0</v>
      </c>
      <c r="JE106" s="730">
        <v>0</v>
      </c>
      <c r="JF106" s="730">
        <v>0</v>
      </c>
      <c r="JG106" s="730">
        <v>0</v>
      </c>
      <c r="JH106" s="730">
        <v>0</v>
      </c>
      <c r="JI106" s="730">
        <v>5.3999999999999999E-2</v>
      </c>
      <c r="JJ106" s="730">
        <v>0.53969999999999996</v>
      </c>
      <c r="JK106" s="730">
        <v>0.37480000000000002</v>
      </c>
      <c r="JL106" s="730">
        <v>3.15E-2</v>
      </c>
      <c r="JM106" s="730">
        <v>0</v>
      </c>
      <c r="JN106" s="730">
        <v>3.73E-2</v>
      </c>
      <c r="JO106" s="730">
        <v>0.51929999999999998</v>
      </c>
      <c r="JP106" s="730">
        <v>0.39150000000000001</v>
      </c>
      <c r="JQ106" s="730">
        <v>4.8099999999999997E-2</v>
      </c>
      <c r="JR106" s="730">
        <v>3.8E-3</v>
      </c>
      <c r="JS106" s="730">
        <v>3.2599999999999997E-2</v>
      </c>
      <c r="JT106" s="730">
        <v>0.4148</v>
      </c>
      <c r="JU106" s="730">
        <v>0.49380000000000002</v>
      </c>
      <c r="JV106" s="730">
        <v>5.8799999999999998E-2</v>
      </c>
      <c r="JW106" s="730">
        <v>0</v>
      </c>
      <c r="JX106" s="730">
        <v>1.5900000000000001E-2</v>
      </c>
      <c r="JY106" s="730">
        <v>0.39450000000000002</v>
      </c>
      <c r="JZ106" s="730">
        <v>0.51049999999999995</v>
      </c>
      <c r="KA106" s="730">
        <v>7.5499999999999998E-2</v>
      </c>
      <c r="KB106" s="730">
        <v>3.5999999999999999E-3</v>
      </c>
      <c r="KC106" s="657"/>
      <c r="KD106" s="314" t="s">
        <v>2590</v>
      </c>
      <c r="KE106" s="314" t="s">
        <v>2590</v>
      </c>
      <c r="KF106" s="866">
        <v>4.16</v>
      </c>
      <c r="KG106" s="314" t="s">
        <v>2589</v>
      </c>
      <c r="KH106" s="315" t="s">
        <v>4405</v>
      </c>
      <c r="KI106" s="314" t="s">
        <v>2659</v>
      </c>
      <c r="KJ106" s="315" t="s">
        <v>4484</v>
      </c>
    </row>
    <row r="107" spans="1:296" ht="48" hidden="1" customHeight="1">
      <c r="A107" s="265">
        <f t="shared" si="447"/>
        <v>100</v>
      </c>
      <c r="B107" s="266" t="s">
        <v>2278</v>
      </c>
      <c r="C107" s="266" t="s">
        <v>1527</v>
      </c>
      <c r="D107" s="624" t="s">
        <v>966</v>
      </c>
      <c r="E107" s="267" t="s">
        <v>2158</v>
      </c>
      <c r="F107" s="267" t="s">
        <v>300</v>
      </c>
      <c r="G107" s="267" t="s">
        <v>300</v>
      </c>
      <c r="H107" s="267" t="s">
        <v>2109</v>
      </c>
      <c r="I107" s="268" t="s">
        <v>4392</v>
      </c>
      <c r="J107" s="268" t="s">
        <v>4485</v>
      </c>
      <c r="K107" s="269" t="s">
        <v>2097</v>
      </c>
      <c r="L107" s="269" t="s">
        <v>2109</v>
      </c>
      <c r="M107" s="269" t="s">
        <v>2603</v>
      </c>
      <c r="N107" s="269" t="s">
        <v>4448</v>
      </c>
      <c r="O107" s="267" t="s">
        <v>2616</v>
      </c>
      <c r="P107" s="268"/>
      <c r="Q107" s="270">
        <v>1</v>
      </c>
      <c r="R107" s="271">
        <v>2100</v>
      </c>
      <c r="S107" s="272">
        <v>130</v>
      </c>
      <c r="T107" s="272">
        <v>130</v>
      </c>
      <c r="U107" s="272">
        <v>130</v>
      </c>
      <c r="V107" s="272">
        <v>127</v>
      </c>
      <c r="W107" s="272">
        <v>127</v>
      </c>
      <c r="X107" s="272">
        <v>127</v>
      </c>
      <c r="Y107" s="272">
        <v>127</v>
      </c>
      <c r="Z107" s="272">
        <v>127</v>
      </c>
      <c r="AA107" s="272">
        <v>127</v>
      </c>
      <c r="AB107" s="272">
        <v>127</v>
      </c>
      <c r="AC107" s="272">
        <v>127</v>
      </c>
      <c r="AD107" s="272">
        <v>127</v>
      </c>
      <c r="AE107" s="272">
        <v>127</v>
      </c>
      <c r="AF107" s="272">
        <v>127</v>
      </c>
      <c r="AG107" s="272">
        <v>127</v>
      </c>
      <c r="AH107" s="272">
        <v>127</v>
      </c>
      <c r="AI107" s="272">
        <v>127</v>
      </c>
      <c r="AJ107" s="272">
        <v>127</v>
      </c>
      <c r="AK107" s="272">
        <v>127</v>
      </c>
      <c r="AL107" s="268" t="s">
        <v>4486</v>
      </c>
      <c r="AM107" s="268" t="s">
        <v>4487</v>
      </c>
      <c r="AN107" s="268" t="s">
        <v>4488</v>
      </c>
      <c r="AO107" s="657"/>
      <c r="AP107" s="271">
        <v>160</v>
      </c>
      <c r="AQ107" s="280">
        <v>100</v>
      </c>
      <c r="AR107" s="280">
        <v>50</v>
      </c>
      <c r="AS107" s="280">
        <v>10</v>
      </c>
      <c r="AT107" s="657"/>
      <c r="AU107" s="301" t="s">
        <v>4489</v>
      </c>
      <c r="AV107" s="572" t="s">
        <v>4490</v>
      </c>
      <c r="AW107" s="645" t="s">
        <v>4491</v>
      </c>
      <c r="AX107" s="290" t="s">
        <v>2670</v>
      </c>
      <c r="AY107" s="657"/>
      <c r="AZ107" s="948">
        <v>12</v>
      </c>
      <c r="BA107" s="948">
        <v>0</v>
      </c>
      <c r="BB107" s="948">
        <v>3</v>
      </c>
      <c r="BC107" s="948">
        <v>9</v>
      </c>
      <c r="BD107" s="825">
        <f t="shared" si="352"/>
        <v>3048</v>
      </c>
      <c r="BE107" s="304">
        <f t="shared" si="353"/>
        <v>1524</v>
      </c>
      <c r="BF107" s="304">
        <f t="shared" si="354"/>
        <v>0</v>
      </c>
      <c r="BG107" s="304">
        <f t="shared" si="355"/>
        <v>381</v>
      </c>
      <c r="BH107" s="304">
        <f t="shared" si="356"/>
        <v>1143</v>
      </c>
      <c r="BI107" s="825">
        <f t="shared" si="357"/>
        <v>3048</v>
      </c>
      <c r="BJ107" s="304">
        <f t="shared" si="358"/>
        <v>1524</v>
      </c>
      <c r="BK107" s="304">
        <f t="shared" si="359"/>
        <v>0</v>
      </c>
      <c r="BL107" s="304">
        <f t="shared" si="360"/>
        <v>381</v>
      </c>
      <c r="BM107" s="304">
        <f t="shared" si="361"/>
        <v>1143</v>
      </c>
      <c r="BN107" s="657"/>
      <c r="BO107" s="284">
        <v>0.36</v>
      </c>
      <c r="BP107" s="284">
        <v>0.5</v>
      </c>
      <c r="BQ107" s="284">
        <v>0.1</v>
      </c>
      <c r="BR107" s="710">
        <v>0.04</v>
      </c>
      <c r="BS107" s="707">
        <v>0.31</v>
      </c>
      <c r="BT107" s="284">
        <v>0.51</v>
      </c>
      <c r="BU107" s="284">
        <v>0.15</v>
      </c>
      <c r="BV107" s="710">
        <v>0.03</v>
      </c>
      <c r="BW107" s="714"/>
      <c r="BX107" s="285"/>
      <c r="BY107" s="717"/>
      <c r="BZ107" s="714"/>
      <c r="CA107" s="285"/>
      <c r="CB107" s="717"/>
      <c r="CC107" s="284">
        <v>0.12</v>
      </c>
      <c r="CD107" s="284">
        <v>0.5</v>
      </c>
      <c r="CE107" s="284">
        <v>0.15</v>
      </c>
      <c r="CF107" s="710">
        <v>0.23</v>
      </c>
      <c r="CG107" s="707">
        <v>0.1</v>
      </c>
      <c r="CH107" s="284">
        <v>0.5</v>
      </c>
      <c r="CI107" s="284">
        <v>0.18</v>
      </c>
      <c r="CJ107" s="710">
        <v>0.22</v>
      </c>
      <c r="CK107" s="720">
        <v>0.55000000000000004</v>
      </c>
      <c r="CL107" s="286">
        <v>0.3</v>
      </c>
      <c r="CM107" s="718">
        <v>0.15</v>
      </c>
      <c r="CN107" s="720">
        <v>0.47</v>
      </c>
      <c r="CO107" s="286">
        <v>0.33</v>
      </c>
      <c r="CP107" s="718">
        <v>0.2</v>
      </c>
      <c r="CQ107" s="657"/>
      <c r="CR107" s="807">
        <v>13</v>
      </c>
      <c r="CS107" s="808">
        <v>14</v>
      </c>
      <c r="CT107" s="808">
        <v>10</v>
      </c>
      <c r="CU107" s="809">
        <v>12</v>
      </c>
      <c r="CV107" s="807"/>
      <c r="CW107" s="808"/>
      <c r="CX107" s="809"/>
      <c r="CY107" s="807">
        <v>11</v>
      </c>
      <c r="CZ107" s="808">
        <v>13</v>
      </c>
      <c r="DA107" s="808">
        <v>9</v>
      </c>
      <c r="DB107" s="809">
        <v>11</v>
      </c>
      <c r="DC107" s="807">
        <v>14</v>
      </c>
      <c r="DD107" s="808">
        <v>14</v>
      </c>
      <c r="DE107" s="809">
        <v>10</v>
      </c>
      <c r="DF107" s="610" t="s">
        <v>4492</v>
      </c>
      <c r="DG107" s="657"/>
      <c r="DH107" s="288">
        <f t="shared" si="362"/>
        <v>548.64</v>
      </c>
      <c r="DI107" s="288">
        <f t="shared" si="363"/>
        <v>762</v>
      </c>
      <c r="DJ107" s="288">
        <f t="shared" si="364"/>
        <v>152.4</v>
      </c>
      <c r="DK107" s="288">
        <f t="shared" si="365"/>
        <v>60.96</v>
      </c>
      <c r="DL107" s="560" t="s">
        <v>4493</v>
      </c>
      <c r="DM107" s="288">
        <f t="shared" si="366"/>
        <v>472.44</v>
      </c>
      <c r="DN107" s="288">
        <f t="shared" si="367"/>
        <v>777.24</v>
      </c>
      <c r="DO107" s="288">
        <f t="shared" si="368"/>
        <v>228.6</v>
      </c>
      <c r="DP107" s="288">
        <f t="shared" si="369"/>
        <v>45.72</v>
      </c>
      <c r="DQ107" s="561" t="s">
        <v>2868</v>
      </c>
      <c r="DR107" s="657"/>
      <c r="DS107" s="288">
        <f t="shared" si="370"/>
        <v>0</v>
      </c>
      <c r="DT107" s="288">
        <f t="shared" si="371"/>
        <v>0</v>
      </c>
      <c r="DU107" s="288">
        <f t="shared" si="372"/>
        <v>0</v>
      </c>
      <c r="DV107" s="561" t="s">
        <v>2613</v>
      </c>
      <c r="DW107" s="288">
        <f t="shared" si="373"/>
        <v>0</v>
      </c>
      <c r="DX107" s="288">
        <f t="shared" si="374"/>
        <v>0</v>
      </c>
      <c r="DY107" s="288">
        <f t="shared" si="375"/>
        <v>0</v>
      </c>
      <c r="DZ107" s="561" t="s">
        <v>2613</v>
      </c>
      <c r="EA107" s="657"/>
      <c r="EB107" s="288">
        <f t="shared" si="376"/>
        <v>45.72</v>
      </c>
      <c r="EC107" s="288">
        <f t="shared" si="377"/>
        <v>190.5</v>
      </c>
      <c r="ED107" s="288">
        <f t="shared" si="378"/>
        <v>57.15</v>
      </c>
      <c r="EE107" s="288">
        <f t="shared" si="379"/>
        <v>87.63000000000001</v>
      </c>
      <c r="EF107" s="561" t="s">
        <v>4494</v>
      </c>
      <c r="EG107" s="288">
        <f t="shared" si="380"/>
        <v>38.1</v>
      </c>
      <c r="EH107" s="288">
        <f t="shared" si="381"/>
        <v>190.5</v>
      </c>
      <c r="EI107" s="288">
        <f t="shared" si="382"/>
        <v>68.58</v>
      </c>
      <c r="EJ107" s="288">
        <f t="shared" si="383"/>
        <v>83.820000000000007</v>
      </c>
      <c r="EK107" s="561" t="s">
        <v>2870</v>
      </c>
      <c r="EL107" s="657"/>
      <c r="EM107" s="288">
        <f t="shared" si="384"/>
        <v>628.65000000000009</v>
      </c>
      <c r="EN107" s="291">
        <f t="shared" si="385"/>
        <v>342.9</v>
      </c>
      <c r="EO107" s="291">
        <f t="shared" si="386"/>
        <v>171.45</v>
      </c>
      <c r="EP107" s="561" t="s">
        <v>4495</v>
      </c>
      <c r="EQ107" s="288">
        <f t="shared" si="387"/>
        <v>537.20999999999992</v>
      </c>
      <c r="ER107" s="291">
        <f t="shared" si="388"/>
        <v>377.19</v>
      </c>
      <c r="ES107" s="291">
        <f t="shared" si="389"/>
        <v>228.60000000000002</v>
      </c>
      <c r="ET107" s="561" t="s">
        <v>2872</v>
      </c>
      <c r="EU107" s="657"/>
      <c r="EV107" s="740">
        <f t="shared" si="390"/>
        <v>0.87548134378166986</v>
      </c>
      <c r="EW107" s="740">
        <f t="shared" si="391"/>
        <v>0.12451865621833018</v>
      </c>
      <c r="EX107" s="563">
        <f t="shared" si="392"/>
        <v>1047.6695136451049</v>
      </c>
      <c r="EY107" s="563">
        <f t="shared" si="393"/>
        <v>917.21511364510491</v>
      </c>
      <c r="EZ107" s="563">
        <f t="shared" si="394"/>
        <v>130.45439999999999</v>
      </c>
      <c r="FA107" s="563">
        <f t="shared" si="395"/>
        <v>518.75956692307693</v>
      </c>
      <c r="FB107" s="563">
        <f t="shared" si="396"/>
        <v>453.53236692307695</v>
      </c>
      <c r="FC107" s="563">
        <f t="shared" si="397"/>
        <v>65.227199999999996</v>
      </c>
      <c r="FD107" s="563">
        <f t="shared" si="398"/>
        <v>0</v>
      </c>
      <c r="FE107" s="563">
        <f t="shared" si="399"/>
        <v>0</v>
      </c>
      <c r="FF107" s="563">
        <f t="shared" si="400"/>
        <v>0</v>
      </c>
      <c r="FG107" s="563">
        <f t="shared" si="401"/>
        <v>144.002952972028</v>
      </c>
      <c r="FH107" s="563">
        <f t="shared" si="402"/>
        <v>127.69615297202799</v>
      </c>
      <c r="FI107" s="563">
        <f t="shared" si="403"/>
        <v>16.306799999999999</v>
      </c>
      <c r="FJ107" s="563">
        <f t="shared" si="404"/>
        <v>384.90699374999997</v>
      </c>
      <c r="FK107" s="563">
        <f t="shared" si="405"/>
        <v>335.98659375</v>
      </c>
      <c r="FL107" s="563">
        <f t="shared" si="406"/>
        <v>48.920400000000001</v>
      </c>
      <c r="FM107" s="529"/>
      <c r="FN107" s="564" t="s">
        <v>2649</v>
      </c>
      <c r="FO107" s="740">
        <v>4.2799999999999998E-2</v>
      </c>
      <c r="FP107" s="741">
        <v>0.76775000000000004</v>
      </c>
      <c r="FQ107" s="565" t="s">
        <v>4481</v>
      </c>
      <c r="FR107" s="529"/>
      <c r="FS107" s="867">
        <v>2.94</v>
      </c>
      <c r="FT107" s="566">
        <f>RANK($FS107,$FS$8:$FS$154,0)+COUNTIF($FS$8:$FS107,$FS107)-1</f>
        <v>124</v>
      </c>
      <c r="FU107" s="867">
        <v>3.57</v>
      </c>
      <c r="FV107" s="566">
        <f>RANK($FU107,$FU$8:$FU$154,0)+COUNTIF($FU$8:$FU107,$FU107)-1</f>
        <v>131</v>
      </c>
      <c r="FW107" s="867">
        <v>1.8</v>
      </c>
      <c r="FX107" s="566">
        <f>RANK($FW107,$FW$8:$FW$154,0)+COUNTIF($FW$8:$FW107,$FW107)-1</f>
        <v>127</v>
      </c>
      <c r="FY107" s="529"/>
      <c r="FZ107" s="567" t="s">
        <v>4402</v>
      </c>
      <c r="GA107" s="567" t="s">
        <v>4496</v>
      </c>
      <c r="GB107" s="567" t="s">
        <v>2653</v>
      </c>
      <c r="GC107" s="567" t="s">
        <v>2654</v>
      </c>
      <c r="GD107" s="567" t="s">
        <v>2876</v>
      </c>
      <c r="GE107" s="567" t="s">
        <v>2656</v>
      </c>
      <c r="GF107" s="567" t="str">
        <f t="shared" si="351"/>
        <v>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07" s="529"/>
      <c r="GH107" s="563">
        <f t="shared" si="407"/>
        <v>183.75826892307694</v>
      </c>
      <c r="GI107" s="563">
        <f t="shared" si="337"/>
        <v>163.53783692307695</v>
      </c>
      <c r="GJ107" s="563">
        <f t="shared" si="408"/>
        <v>20.220431999999999</v>
      </c>
      <c r="GK107" s="563">
        <f t="shared" si="409"/>
        <v>245.16487200000003</v>
      </c>
      <c r="GL107" s="563">
        <f t="shared" si="338"/>
        <v>211.89900000000003</v>
      </c>
      <c r="GM107" s="563">
        <f t="shared" si="410"/>
        <v>33.265872000000002</v>
      </c>
      <c r="GN107" s="563">
        <f t="shared" si="411"/>
        <v>68.286630000000002</v>
      </c>
      <c r="GO107" s="563">
        <f t="shared" si="339"/>
        <v>58.502550000000006</v>
      </c>
      <c r="GP107" s="563">
        <f t="shared" si="412"/>
        <v>9.7840799999999994</v>
      </c>
      <c r="GQ107" s="563">
        <f t="shared" si="413"/>
        <v>21.549796000000001</v>
      </c>
      <c r="GR107" s="563">
        <f t="shared" si="340"/>
        <v>19.592980000000001</v>
      </c>
      <c r="GS107" s="563">
        <f t="shared" si="414"/>
        <v>1.9568159999999999</v>
      </c>
      <c r="GT107" s="563">
        <f t="shared" si="415"/>
        <v>0</v>
      </c>
      <c r="GU107" s="563">
        <f t="shared" si="341"/>
        <v>0</v>
      </c>
      <c r="GV107" s="563">
        <f t="shared" si="416"/>
        <v>0</v>
      </c>
      <c r="GW107" s="563">
        <f t="shared" si="417"/>
        <v>0</v>
      </c>
      <c r="GX107" s="563">
        <f t="shared" si="342"/>
        <v>0</v>
      </c>
      <c r="GY107" s="563">
        <f t="shared" si="418"/>
        <v>0</v>
      </c>
      <c r="GZ107" s="563">
        <f t="shared" si="419"/>
        <v>0</v>
      </c>
      <c r="HA107" s="563">
        <f t="shared" si="343"/>
        <v>0</v>
      </c>
      <c r="HB107" s="563">
        <f t="shared" si="420"/>
        <v>0</v>
      </c>
      <c r="HC107" s="563">
        <f t="shared" si="421"/>
        <v>17.585920909090909</v>
      </c>
      <c r="HD107" s="563">
        <f t="shared" si="344"/>
        <v>15.955240909090911</v>
      </c>
      <c r="HE107" s="563">
        <f t="shared" si="422"/>
        <v>1.6306799999999999</v>
      </c>
      <c r="HF107" s="563">
        <f t="shared" si="423"/>
        <v>64.937371153846158</v>
      </c>
      <c r="HG107" s="563">
        <f t="shared" si="345"/>
        <v>56.78397115384616</v>
      </c>
      <c r="HH107" s="563">
        <f t="shared" si="424"/>
        <v>8.1533999999999995</v>
      </c>
      <c r="HI107" s="563">
        <f t="shared" si="425"/>
        <v>27.311286500000001</v>
      </c>
      <c r="HJ107" s="563">
        <f t="shared" si="346"/>
        <v>24.3760625</v>
      </c>
      <c r="HK107" s="563">
        <f t="shared" si="426"/>
        <v>2.9352239999999998</v>
      </c>
      <c r="HL107" s="563">
        <f t="shared" si="427"/>
        <v>34.168374409090916</v>
      </c>
      <c r="HM107" s="563">
        <f t="shared" si="347"/>
        <v>30.580878409090914</v>
      </c>
      <c r="HN107" s="563">
        <f t="shared" si="428"/>
        <v>3.5874959999999998</v>
      </c>
      <c r="HO107" s="563">
        <f t="shared" si="429"/>
        <v>197.80926299999999</v>
      </c>
      <c r="HP107" s="563">
        <f t="shared" si="348"/>
        <v>174.816675</v>
      </c>
      <c r="HQ107" s="563">
        <f t="shared" si="430"/>
        <v>22.992587999999998</v>
      </c>
      <c r="HR107" s="563">
        <f t="shared" si="431"/>
        <v>111.498282</v>
      </c>
      <c r="HS107" s="563">
        <f t="shared" si="349"/>
        <v>95.354550000000003</v>
      </c>
      <c r="HT107" s="563">
        <f t="shared" si="432"/>
        <v>16.143732</v>
      </c>
      <c r="HU107" s="563">
        <f t="shared" si="433"/>
        <v>75.599448750000008</v>
      </c>
      <c r="HV107" s="563">
        <f t="shared" si="350"/>
        <v>65.815368750000005</v>
      </c>
      <c r="HW107" s="563">
        <f t="shared" si="434"/>
        <v>9.7840800000000012</v>
      </c>
      <c r="HX107" s="544"/>
      <c r="HY107" s="568">
        <f t="shared" si="435"/>
        <v>3048</v>
      </c>
      <c r="HZ107" s="568">
        <f t="shared" si="436"/>
        <v>103.55579999999999</v>
      </c>
      <c r="IA107" s="568">
        <f t="shared" si="437"/>
        <v>1289.3420999999998</v>
      </c>
      <c r="IB107" s="568">
        <f t="shared" si="438"/>
        <v>1469.2121999999999</v>
      </c>
      <c r="IC107" s="568">
        <f t="shared" si="439"/>
        <v>185.88990000000001</v>
      </c>
      <c r="ID107" s="568">
        <f t="shared" si="440"/>
        <v>0</v>
      </c>
      <c r="IE107" s="568">
        <f t="shared" si="441"/>
        <v>917.21511364510491</v>
      </c>
      <c r="IF107" s="568">
        <f t="shared" si="442"/>
        <v>16.137233826558568</v>
      </c>
      <c r="IG107" s="568">
        <f t="shared" si="443"/>
        <v>371.06556319344145</v>
      </c>
      <c r="IH107" s="568">
        <f t="shared" si="444"/>
        <v>455.85437398707779</v>
      </c>
      <c r="II107" s="568">
        <f t="shared" si="445"/>
        <v>70.83042899831031</v>
      </c>
      <c r="IJ107" s="568">
        <f t="shared" si="446"/>
        <v>3.3275136397167833</v>
      </c>
      <c r="IK107" s="868">
        <v>4.13</v>
      </c>
      <c r="IL107" s="569" t="s">
        <v>2589</v>
      </c>
      <c r="IM107" s="570" t="s">
        <v>4497</v>
      </c>
      <c r="IN107" s="529"/>
      <c r="IO107" s="742">
        <v>0.03</v>
      </c>
      <c r="IP107" s="742">
        <v>0.4</v>
      </c>
      <c r="IQ107" s="742">
        <v>0.5</v>
      </c>
      <c r="IR107" s="742">
        <v>7.0000000000000007E-2</v>
      </c>
      <c r="IS107" s="742">
        <v>0</v>
      </c>
      <c r="IT107" s="742">
        <v>1.3299999999999999E-2</v>
      </c>
      <c r="IU107" s="742">
        <v>0.37969999999999998</v>
      </c>
      <c r="IV107" s="742">
        <v>0.51670000000000005</v>
      </c>
      <c r="IW107" s="742">
        <v>8.6699999999999999E-2</v>
      </c>
      <c r="IX107" s="742">
        <v>3.5999999999999999E-3</v>
      </c>
      <c r="IY107" s="742">
        <v>0</v>
      </c>
      <c r="IZ107" s="742">
        <v>0</v>
      </c>
      <c r="JA107" s="742">
        <v>0</v>
      </c>
      <c r="JB107" s="742">
        <v>0</v>
      </c>
      <c r="JC107" s="742">
        <v>0</v>
      </c>
      <c r="JD107" s="742">
        <v>0</v>
      </c>
      <c r="JE107" s="742">
        <v>0</v>
      </c>
      <c r="JF107" s="742">
        <v>0</v>
      </c>
      <c r="JG107" s="742">
        <v>0</v>
      </c>
      <c r="JH107" s="742">
        <v>0</v>
      </c>
      <c r="JI107" s="742">
        <v>5.3999999999999999E-2</v>
      </c>
      <c r="JJ107" s="742">
        <v>0.53969999999999996</v>
      </c>
      <c r="JK107" s="742">
        <v>0.37480000000000002</v>
      </c>
      <c r="JL107" s="742">
        <v>3.15E-2</v>
      </c>
      <c r="JM107" s="742">
        <v>0</v>
      </c>
      <c r="JN107" s="742">
        <v>3.73E-2</v>
      </c>
      <c r="JO107" s="742">
        <v>0.51929999999999998</v>
      </c>
      <c r="JP107" s="742">
        <v>0.39150000000000001</v>
      </c>
      <c r="JQ107" s="742">
        <v>4.8099999999999997E-2</v>
      </c>
      <c r="JR107" s="742">
        <v>3.8E-3</v>
      </c>
      <c r="JS107" s="742">
        <v>3.2599999999999997E-2</v>
      </c>
      <c r="JT107" s="742">
        <v>0.4148</v>
      </c>
      <c r="JU107" s="742">
        <v>0.49380000000000002</v>
      </c>
      <c r="JV107" s="742">
        <v>5.8799999999999998E-2</v>
      </c>
      <c r="JW107" s="742">
        <v>0</v>
      </c>
      <c r="JX107" s="742">
        <v>1.5900000000000001E-2</v>
      </c>
      <c r="JY107" s="742">
        <v>0.39450000000000002</v>
      </c>
      <c r="JZ107" s="742">
        <v>0.51049999999999995</v>
      </c>
      <c r="KA107" s="742">
        <v>7.5499999999999998E-2</v>
      </c>
      <c r="KB107" s="742">
        <v>3.5999999999999999E-3</v>
      </c>
      <c r="KC107" s="657"/>
      <c r="KD107" s="832" t="s">
        <v>2590</v>
      </c>
      <c r="KE107" s="832" t="s">
        <v>2590</v>
      </c>
      <c r="KF107" s="869">
        <v>4.16</v>
      </c>
      <c r="KG107" s="832" t="s">
        <v>2589</v>
      </c>
      <c r="KH107" s="833" t="s">
        <v>4405</v>
      </c>
      <c r="KI107" s="832" t="s">
        <v>2659</v>
      </c>
      <c r="KJ107" s="833" t="s">
        <v>4498</v>
      </c>
    </row>
    <row r="108" spans="1:296" ht="48" hidden="1" customHeight="1">
      <c r="A108" s="273">
        <f t="shared" si="447"/>
        <v>101</v>
      </c>
      <c r="B108" s="274" t="s">
        <v>2278</v>
      </c>
      <c r="C108" s="274" t="s">
        <v>1527</v>
      </c>
      <c r="D108" s="274" t="s">
        <v>4499</v>
      </c>
      <c r="E108" s="275" t="s">
        <v>2158</v>
      </c>
      <c r="F108" s="275" t="s">
        <v>300</v>
      </c>
      <c r="G108" s="275" t="s">
        <v>300</v>
      </c>
      <c r="H108" s="275" t="s">
        <v>2109</v>
      </c>
      <c r="I108" s="276" t="s">
        <v>4432</v>
      </c>
      <c r="J108" s="276" t="s">
        <v>4500</v>
      </c>
      <c r="K108" s="277" t="s">
        <v>2097</v>
      </c>
      <c r="L108" s="277" t="s">
        <v>2109</v>
      </c>
      <c r="M108" s="277" t="s">
        <v>2603</v>
      </c>
      <c r="N108" s="277" t="s">
        <v>3322</v>
      </c>
      <c r="O108" s="275" t="s">
        <v>2616</v>
      </c>
      <c r="P108" s="276"/>
      <c r="Q108" s="270">
        <v>1</v>
      </c>
      <c r="R108" s="278">
        <v>250</v>
      </c>
      <c r="S108" s="279">
        <v>20</v>
      </c>
      <c r="T108" s="279">
        <v>40</v>
      </c>
      <c r="U108" s="279">
        <v>60</v>
      </c>
      <c r="V108" s="279">
        <v>110</v>
      </c>
      <c r="W108" s="279">
        <v>170</v>
      </c>
      <c r="X108" s="279">
        <v>260</v>
      </c>
      <c r="Y108" s="279">
        <v>380</v>
      </c>
      <c r="Z108" s="279">
        <v>520</v>
      </c>
      <c r="AA108" s="279">
        <v>650</v>
      </c>
      <c r="AB108" s="279">
        <v>850</v>
      </c>
      <c r="AC108" s="279">
        <v>1080</v>
      </c>
      <c r="AD108" s="279">
        <v>1180</v>
      </c>
      <c r="AE108" s="279">
        <v>1260</v>
      </c>
      <c r="AF108" s="279">
        <v>1290</v>
      </c>
      <c r="AG108" s="279">
        <v>1310</v>
      </c>
      <c r="AH108" s="279">
        <v>1330</v>
      </c>
      <c r="AI108" s="279">
        <v>1350</v>
      </c>
      <c r="AJ108" s="279">
        <v>1360</v>
      </c>
      <c r="AK108" s="279">
        <v>1370</v>
      </c>
      <c r="AL108" s="276" t="s">
        <v>4501</v>
      </c>
      <c r="AM108" s="276" t="s">
        <v>4502</v>
      </c>
      <c r="AN108" s="276" t="s">
        <v>4503</v>
      </c>
      <c r="AO108" s="657"/>
      <c r="AP108" s="278">
        <v>25</v>
      </c>
      <c r="AQ108" s="278">
        <v>22</v>
      </c>
      <c r="AR108" s="278">
        <v>2</v>
      </c>
      <c r="AS108" s="278">
        <v>1</v>
      </c>
      <c r="AT108" s="657"/>
      <c r="AU108" s="281" t="s">
        <v>4504</v>
      </c>
      <c r="AV108" s="296" t="s">
        <v>4505</v>
      </c>
      <c r="AW108" s="296" t="s">
        <v>4506</v>
      </c>
      <c r="AX108" s="276" t="s">
        <v>2609</v>
      </c>
      <c r="AY108" s="657"/>
      <c r="AZ108" s="947">
        <v>2</v>
      </c>
      <c r="BA108" s="947">
        <v>0</v>
      </c>
      <c r="BB108" s="947">
        <v>0.2</v>
      </c>
      <c r="BC108" s="947">
        <v>2</v>
      </c>
      <c r="BD108" s="826">
        <f t="shared" si="352"/>
        <v>5418</v>
      </c>
      <c r="BE108" s="283">
        <f t="shared" si="353"/>
        <v>2580</v>
      </c>
      <c r="BF108" s="283">
        <f t="shared" si="354"/>
        <v>0</v>
      </c>
      <c r="BG108" s="283">
        <f t="shared" si="355"/>
        <v>258</v>
      </c>
      <c r="BH108" s="283">
        <f t="shared" si="356"/>
        <v>2580</v>
      </c>
      <c r="BI108" s="826">
        <f t="shared" si="357"/>
        <v>5754</v>
      </c>
      <c r="BJ108" s="283">
        <f t="shared" si="358"/>
        <v>2740</v>
      </c>
      <c r="BK108" s="283">
        <f t="shared" si="359"/>
        <v>0</v>
      </c>
      <c r="BL108" s="283">
        <f t="shared" si="360"/>
        <v>274</v>
      </c>
      <c r="BM108" s="283">
        <f t="shared" si="361"/>
        <v>2740</v>
      </c>
      <c r="BN108" s="657"/>
      <c r="BO108" s="305">
        <v>0.16</v>
      </c>
      <c r="BP108" s="305">
        <v>0.7</v>
      </c>
      <c r="BQ108" s="305">
        <v>0.1</v>
      </c>
      <c r="BR108" s="581">
        <v>0.04</v>
      </c>
      <c r="BS108" s="706">
        <v>0.14000000000000001</v>
      </c>
      <c r="BT108" s="305">
        <v>0.7</v>
      </c>
      <c r="BU108" s="305">
        <v>0.13</v>
      </c>
      <c r="BV108" s="581">
        <v>0.03</v>
      </c>
      <c r="BW108" s="713"/>
      <c r="BX108" s="306"/>
      <c r="BY108" s="590"/>
      <c r="BZ108" s="713"/>
      <c r="CA108" s="306"/>
      <c r="CB108" s="590"/>
      <c r="CC108" s="706">
        <v>0.15</v>
      </c>
      <c r="CD108" s="305">
        <v>0.6</v>
      </c>
      <c r="CE108" s="305">
        <v>0.1</v>
      </c>
      <c r="CF108" s="581">
        <v>0.15</v>
      </c>
      <c r="CG108" s="706">
        <v>0.13</v>
      </c>
      <c r="CH108" s="305">
        <v>0.6</v>
      </c>
      <c r="CI108" s="305">
        <v>0.12</v>
      </c>
      <c r="CJ108" s="581">
        <v>0.15</v>
      </c>
      <c r="CK108" s="719">
        <v>0.65</v>
      </c>
      <c r="CL108" s="307">
        <v>0.25</v>
      </c>
      <c r="CM108" s="723">
        <v>0.1</v>
      </c>
      <c r="CN108" s="719">
        <v>0.56999999999999995</v>
      </c>
      <c r="CO108" s="307">
        <v>0.27</v>
      </c>
      <c r="CP108" s="723">
        <v>0.16</v>
      </c>
      <c r="CQ108" s="657"/>
      <c r="CR108" s="804">
        <v>13</v>
      </c>
      <c r="CS108" s="805">
        <v>13</v>
      </c>
      <c r="CT108" s="805">
        <v>10</v>
      </c>
      <c r="CU108" s="806">
        <v>12</v>
      </c>
      <c r="CV108" s="804"/>
      <c r="CW108" s="805"/>
      <c r="CX108" s="806"/>
      <c r="CY108" s="804">
        <v>11</v>
      </c>
      <c r="CZ108" s="805">
        <v>13</v>
      </c>
      <c r="DA108" s="805">
        <v>9</v>
      </c>
      <c r="DB108" s="806">
        <v>11</v>
      </c>
      <c r="DC108" s="804">
        <v>12</v>
      </c>
      <c r="DD108" s="805">
        <v>13</v>
      </c>
      <c r="DE108" s="806">
        <v>10</v>
      </c>
      <c r="DF108" s="609" t="s">
        <v>4507</v>
      </c>
      <c r="DG108" s="657"/>
      <c r="DH108" s="308">
        <f t="shared" si="362"/>
        <v>412.8</v>
      </c>
      <c r="DI108" s="308">
        <f t="shared" si="363"/>
        <v>1805.9999999999998</v>
      </c>
      <c r="DJ108" s="308">
        <f t="shared" si="364"/>
        <v>258</v>
      </c>
      <c r="DK108" s="308">
        <f t="shared" si="365"/>
        <v>103.2</v>
      </c>
      <c r="DL108" s="287" t="s">
        <v>4508</v>
      </c>
      <c r="DM108" s="308">
        <f t="shared" si="366"/>
        <v>383.6</v>
      </c>
      <c r="DN108" s="308">
        <f t="shared" si="367"/>
        <v>1917.9999999999998</v>
      </c>
      <c r="DO108" s="308">
        <f t="shared" si="368"/>
        <v>356.2</v>
      </c>
      <c r="DP108" s="308">
        <f t="shared" si="369"/>
        <v>82.2</v>
      </c>
      <c r="DQ108" s="289" t="s">
        <v>4455</v>
      </c>
      <c r="DR108" s="657"/>
      <c r="DS108" s="308">
        <f t="shared" si="370"/>
        <v>0</v>
      </c>
      <c r="DT108" s="308">
        <f t="shared" si="371"/>
        <v>0</v>
      </c>
      <c r="DU108" s="308">
        <f t="shared" si="372"/>
        <v>0</v>
      </c>
      <c r="DV108" s="289" t="s">
        <v>2613</v>
      </c>
      <c r="DW108" s="308">
        <f t="shared" si="373"/>
        <v>0</v>
      </c>
      <c r="DX108" s="308">
        <f t="shared" si="374"/>
        <v>0</v>
      </c>
      <c r="DY108" s="308">
        <f t="shared" si="375"/>
        <v>0</v>
      </c>
      <c r="DZ108" s="289" t="s">
        <v>2613</v>
      </c>
      <c r="EA108" s="657"/>
      <c r="EB108" s="308">
        <f t="shared" si="376"/>
        <v>38.699999999999996</v>
      </c>
      <c r="EC108" s="308">
        <f t="shared" si="377"/>
        <v>154.79999999999998</v>
      </c>
      <c r="ED108" s="308">
        <f t="shared" si="378"/>
        <v>25.8</v>
      </c>
      <c r="EE108" s="308">
        <f t="shared" si="379"/>
        <v>38.699999999999996</v>
      </c>
      <c r="EF108" s="289" t="s">
        <v>4509</v>
      </c>
      <c r="EG108" s="308">
        <f t="shared" si="380"/>
        <v>35.620000000000005</v>
      </c>
      <c r="EH108" s="308">
        <f t="shared" si="381"/>
        <v>164.4</v>
      </c>
      <c r="EI108" s="308">
        <f t="shared" si="382"/>
        <v>32.879999999999995</v>
      </c>
      <c r="EJ108" s="308">
        <f t="shared" si="383"/>
        <v>41.1</v>
      </c>
      <c r="EK108" s="309" t="s">
        <v>4457</v>
      </c>
      <c r="EL108" s="657"/>
      <c r="EM108" s="308">
        <f t="shared" si="384"/>
        <v>1677</v>
      </c>
      <c r="EN108" s="310">
        <f t="shared" si="385"/>
        <v>645</v>
      </c>
      <c r="EO108" s="310">
        <f t="shared" si="386"/>
        <v>258</v>
      </c>
      <c r="EP108" s="289" t="s">
        <v>4510</v>
      </c>
      <c r="EQ108" s="308">
        <f t="shared" si="387"/>
        <v>1561.8</v>
      </c>
      <c r="ER108" s="310">
        <f t="shared" si="388"/>
        <v>739.80000000000007</v>
      </c>
      <c r="ES108" s="310">
        <f t="shared" si="389"/>
        <v>438.40000000000003</v>
      </c>
      <c r="ET108" s="289" t="s">
        <v>4459</v>
      </c>
      <c r="EU108" s="657"/>
      <c r="EV108" s="728">
        <f t="shared" si="390"/>
        <v>0.29405415271658097</v>
      </c>
      <c r="EW108" s="728">
        <f t="shared" si="391"/>
        <v>0.70594584728341891</v>
      </c>
      <c r="EX108" s="311">
        <f t="shared" si="392"/>
        <v>951.02790473737377</v>
      </c>
      <c r="EY108" s="311">
        <f t="shared" si="393"/>
        <v>279.65370473737374</v>
      </c>
      <c r="EZ108" s="311">
        <f t="shared" si="394"/>
        <v>671.37419999999997</v>
      </c>
      <c r="FA108" s="311">
        <f t="shared" si="395"/>
        <v>434.72674543589744</v>
      </c>
      <c r="FB108" s="311">
        <f t="shared" si="396"/>
        <v>115.02474543589743</v>
      </c>
      <c r="FC108" s="311">
        <f t="shared" si="397"/>
        <v>319.702</v>
      </c>
      <c r="FD108" s="311">
        <f t="shared" si="398"/>
        <v>0</v>
      </c>
      <c r="FE108" s="311">
        <f t="shared" si="399"/>
        <v>0</v>
      </c>
      <c r="FF108" s="311">
        <f t="shared" si="400"/>
        <v>0</v>
      </c>
      <c r="FG108" s="311">
        <f t="shared" si="401"/>
        <v>49.085580814296812</v>
      </c>
      <c r="FH108" s="311">
        <f t="shared" si="402"/>
        <v>17.115380814296813</v>
      </c>
      <c r="FI108" s="311">
        <f t="shared" si="403"/>
        <v>31.970199999999998</v>
      </c>
      <c r="FJ108" s="311">
        <f t="shared" si="404"/>
        <v>467.21557848717953</v>
      </c>
      <c r="FK108" s="311">
        <f t="shared" si="405"/>
        <v>147.5135784871795</v>
      </c>
      <c r="FL108" s="311">
        <f t="shared" si="406"/>
        <v>319.702</v>
      </c>
      <c r="FM108" s="657"/>
      <c r="FN108" s="293" t="s">
        <v>2649</v>
      </c>
      <c r="FO108" s="728">
        <v>6.1899999999999997E-2</v>
      </c>
      <c r="FP108" s="729">
        <v>0.86189000000000004</v>
      </c>
      <c r="FQ108" s="294" t="s">
        <v>3515</v>
      </c>
      <c r="FR108" s="657"/>
      <c r="FS108" s="865">
        <v>3.37</v>
      </c>
      <c r="FT108" s="312">
        <f>RANK($FS108,$FS$8:$FS$154,0)+COUNTIF($FS$8:$FS108,$FS108)-1</f>
        <v>65</v>
      </c>
      <c r="FU108" s="865">
        <v>3.54</v>
      </c>
      <c r="FV108" s="312">
        <f>RANK($FU108,$FU$8:$FU$154,0)+COUNTIF($FU$8:$FU108,$FU108)-1</f>
        <v>136</v>
      </c>
      <c r="FW108" s="865">
        <v>3.16</v>
      </c>
      <c r="FX108" s="312">
        <f>RANK($FW108,$FW$8:$FW$154,0)+COUNTIF($FW$8:$FW108,$FW108)-1</f>
        <v>6</v>
      </c>
      <c r="FY108" s="657"/>
      <c r="FZ108" s="296" t="s">
        <v>4511</v>
      </c>
      <c r="GA108" s="296" t="s">
        <v>4512</v>
      </c>
      <c r="GB108" s="296" t="s">
        <v>4513</v>
      </c>
      <c r="GC108" s="296" t="s">
        <v>4514</v>
      </c>
      <c r="GD108" s="296" t="s">
        <v>4515</v>
      </c>
      <c r="GE108" s="296" t="s">
        <v>4516</v>
      </c>
      <c r="GF108" s="296" t="str">
        <f t="shared" si="351"/>
        <v>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08" s="657"/>
      <c r="GH108" s="311">
        <f t="shared" si="407"/>
        <v>58.760677538461543</v>
      </c>
      <c r="GI108" s="311">
        <f t="shared" si="337"/>
        <v>14.002397538461539</v>
      </c>
      <c r="GJ108" s="311">
        <f t="shared" si="408"/>
        <v>44.758280000000006</v>
      </c>
      <c r="GK108" s="311">
        <f t="shared" si="409"/>
        <v>285.05188923076923</v>
      </c>
      <c r="GL108" s="311">
        <f t="shared" si="338"/>
        <v>61.260489230769224</v>
      </c>
      <c r="GM108" s="311">
        <f t="shared" si="410"/>
        <v>223.79139999999998</v>
      </c>
      <c r="GN108" s="311">
        <f t="shared" si="411"/>
        <v>75.692104</v>
      </c>
      <c r="GO108" s="311">
        <f t="shared" si="339"/>
        <v>34.130844000000003</v>
      </c>
      <c r="GP108" s="311">
        <f t="shared" si="412"/>
        <v>41.561260000000004</v>
      </c>
      <c r="GQ108" s="311">
        <f t="shared" si="413"/>
        <v>15.222074666666666</v>
      </c>
      <c r="GR108" s="311">
        <f t="shared" si="340"/>
        <v>5.6310146666666672</v>
      </c>
      <c r="GS108" s="311">
        <f t="shared" si="414"/>
        <v>9.5910599999999988</v>
      </c>
      <c r="GT108" s="311">
        <f t="shared" si="415"/>
        <v>0</v>
      </c>
      <c r="GU108" s="311">
        <f t="shared" si="341"/>
        <v>0</v>
      </c>
      <c r="GV108" s="311">
        <f t="shared" si="416"/>
        <v>0</v>
      </c>
      <c r="GW108" s="311">
        <f t="shared" si="417"/>
        <v>0</v>
      </c>
      <c r="GX108" s="311">
        <f t="shared" si="342"/>
        <v>0</v>
      </c>
      <c r="GY108" s="311">
        <f t="shared" si="418"/>
        <v>0</v>
      </c>
      <c r="GZ108" s="311">
        <f t="shared" si="419"/>
        <v>0</v>
      </c>
      <c r="HA108" s="311">
        <f t="shared" si="343"/>
        <v>0</v>
      </c>
      <c r="HB108" s="311">
        <f t="shared" si="420"/>
        <v>0</v>
      </c>
      <c r="HC108" s="311">
        <f t="shared" si="421"/>
        <v>7.5410030909090899</v>
      </c>
      <c r="HD108" s="311">
        <f t="shared" si="344"/>
        <v>3.3848770909090904</v>
      </c>
      <c r="HE108" s="311">
        <f t="shared" si="422"/>
        <v>4.1561259999999995</v>
      </c>
      <c r="HF108" s="311">
        <f t="shared" si="423"/>
        <v>24.433019076923074</v>
      </c>
      <c r="HG108" s="311">
        <f t="shared" si="345"/>
        <v>5.2508990769230763</v>
      </c>
      <c r="HH108" s="311">
        <f t="shared" si="424"/>
        <v>19.182119999999998</v>
      </c>
      <c r="HI108" s="311">
        <f t="shared" si="425"/>
        <v>8.9311515555555552</v>
      </c>
      <c r="HJ108" s="311">
        <f t="shared" si="346"/>
        <v>5.094727555555556</v>
      </c>
      <c r="HK108" s="311">
        <f t="shared" si="426"/>
        <v>3.8364239999999996</v>
      </c>
      <c r="HL108" s="311">
        <f t="shared" si="427"/>
        <v>8.1804070909090889</v>
      </c>
      <c r="HM108" s="311">
        <f t="shared" si="347"/>
        <v>3.3848770909090904</v>
      </c>
      <c r="HN108" s="311">
        <f t="shared" si="428"/>
        <v>4.7955299999999994</v>
      </c>
      <c r="HO108" s="311">
        <f t="shared" si="429"/>
        <v>273.73412833333333</v>
      </c>
      <c r="HP108" s="311">
        <f t="shared" si="348"/>
        <v>91.503988333333339</v>
      </c>
      <c r="HQ108" s="311">
        <f t="shared" si="430"/>
        <v>182.23013999999998</v>
      </c>
      <c r="HR108" s="311">
        <f t="shared" si="431"/>
        <v>108.19828615384615</v>
      </c>
      <c r="HS108" s="311">
        <f t="shared" si="349"/>
        <v>21.878746153846155</v>
      </c>
      <c r="HT108" s="311">
        <f t="shared" si="432"/>
        <v>86.319540000000003</v>
      </c>
      <c r="HU108" s="311">
        <f t="shared" si="433"/>
        <v>85.283163999999999</v>
      </c>
      <c r="HV108" s="311">
        <f t="shared" si="350"/>
        <v>34.130844000000003</v>
      </c>
      <c r="HW108" s="311">
        <f t="shared" si="434"/>
        <v>51.152320000000003</v>
      </c>
      <c r="HY108" s="313">
        <f t="shared" si="435"/>
        <v>5418</v>
      </c>
      <c r="HZ108" s="313">
        <f t="shared" si="436"/>
        <v>60.062399999999997</v>
      </c>
      <c r="IA108" s="313">
        <f t="shared" si="437"/>
        <v>1938.5604000000001</v>
      </c>
      <c r="IB108" s="313">
        <f t="shared" si="438"/>
        <v>2805.9305999999997</v>
      </c>
      <c r="IC108" s="313">
        <f t="shared" si="439"/>
        <v>603.77160000000003</v>
      </c>
      <c r="ID108" s="313">
        <f t="shared" si="440"/>
        <v>9.6750000000000007</v>
      </c>
      <c r="IE108" s="313">
        <f t="shared" si="441"/>
        <v>279.65370473737374</v>
      </c>
      <c r="IF108" s="313">
        <f t="shared" si="442"/>
        <v>0</v>
      </c>
      <c r="IG108" s="313">
        <f t="shared" si="443"/>
        <v>25.694875766035743</v>
      </c>
      <c r="IH108" s="313">
        <f t="shared" si="444"/>
        <v>150.88763011914455</v>
      </c>
      <c r="II108" s="313">
        <f t="shared" si="445"/>
        <v>96.234781249225477</v>
      </c>
      <c r="IJ108" s="313">
        <f t="shared" si="446"/>
        <v>6.8364176029679875</v>
      </c>
      <c r="IK108" s="866">
        <v>4</v>
      </c>
      <c r="IL108" s="314" t="s">
        <v>2589</v>
      </c>
      <c r="IM108" s="299" t="s">
        <v>4517</v>
      </c>
      <c r="IN108" s="657"/>
      <c r="IO108" s="730">
        <v>2E-3</v>
      </c>
      <c r="IP108" s="730">
        <v>0.32569999999999999</v>
      </c>
      <c r="IQ108" s="730">
        <v>0.54369999999999996</v>
      </c>
      <c r="IR108" s="730">
        <v>0.1263</v>
      </c>
      <c r="IS108" s="730">
        <v>2.3E-3</v>
      </c>
      <c r="IT108" s="730">
        <v>0</v>
      </c>
      <c r="IU108" s="730">
        <v>6.8699999999999997E-2</v>
      </c>
      <c r="IV108" s="730">
        <v>0.51900000000000002</v>
      </c>
      <c r="IW108" s="730">
        <v>0.38129999999999997</v>
      </c>
      <c r="IX108" s="730">
        <v>3.1E-2</v>
      </c>
      <c r="IY108" s="730">
        <v>0</v>
      </c>
      <c r="IZ108" s="730">
        <v>0</v>
      </c>
      <c r="JA108" s="730">
        <v>0</v>
      </c>
      <c r="JB108" s="730">
        <v>0</v>
      </c>
      <c r="JC108" s="730">
        <v>0</v>
      </c>
      <c r="JD108" s="730">
        <v>0</v>
      </c>
      <c r="JE108" s="730">
        <v>0</v>
      </c>
      <c r="JF108" s="730">
        <v>0</v>
      </c>
      <c r="JG108" s="730">
        <v>0</v>
      </c>
      <c r="JH108" s="730">
        <v>0</v>
      </c>
      <c r="JI108" s="730">
        <v>5.1799999999999999E-2</v>
      </c>
      <c r="JJ108" s="730">
        <v>0.46279999999999999</v>
      </c>
      <c r="JK108" s="730">
        <v>0.41570000000000001</v>
      </c>
      <c r="JL108" s="730">
        <v>6.9199999999999998E-2</v>
      </c>
      <c r="JM108" s="730">
        <v>5.0000000000000001E-4</v>
      </c>
      <c r="JN108" s="730">
        <v>0</v>
      </c>
      <c r="JO108" s="730">
        <v>0.17080000000000001</v>
      </c>
      <c r="JP108" s="730">
        <v>0.57899999999999996</v>
      </c>
      <c r="JQ108" s="730">
        <v>0.24010000000000001</v>
      </c>
      <c r="JR108" s="730">
        <v>1.01E-2</v>
      </c>
      <c r="JS108" s="730">
        <v>1.61E-2</v>
      </c>
      <c r="JT108" s="730">
        <v>0.37940000000000002</v>
      </c>
      <c r="JU108" s="730">
        <v>0.50229999999999997</v>
      </c>
      <c r="JV108" s="730">
        <v>0.1008</v>
      </c>
      <c r="JW108" s="730">
        <v>1.4E-3</v>
      </c>
      <c r="JX108" s="730">
        <v>0</v>
      </c>
      <c r="JY108" s="730">
        <v>0.1008</v>
      </c>
      <c r="JZ108" s="730">
        <v>0.55100000000000005</v>
      </c>
      <c r="KA108" s="730">
        <v>0.32719999999999999</v>
      </c>
      <c r="KB108" s="730">
        <v>2.1000000000000001E-2</v>
      </c>
      <c r="KC108" s="657"/>
      <c r="KD108" s="314" t="s">
        <v>2590</v>
      </c>
      <c r="KE108" s="314" t="s">
        <v>2591</v>
      </c>
      <c r="KF108" s="866">
        <v>4.08</v>
      </c>
      <c r="KG108" s="314" t="s">
        <v>2589</v>
      </c>
      <c r="KH108" s="315" t="s">
        <v>4518</v>
      </c>
      <c r="KI108" s="314" t="s">
        <v>2809</v>
      </c>
      <c r="KJ108" s="315" t="s">
        <v>4519</v>
      </c>
    </row>
    <row r="109" spans="1:296" ht="48" hidden="1" customHeight="1">
      <c r="A109" s="265">
        <f t="shared" si="447"/>
        <v>102</v>
      </c>
      <c r="B109" s="266" t="s">
        <v>2278</v>
      </c>
      <c r="C109" s="266" t="s">
        <v>1527</v>
      </c>
      <c r="D109" s="624" t="s">
        <v>4520</v>
      </c>
      <c r="E109" s="267" t="s">
        <v>2158</v>
      </c>
      <c r="F109" s="267" t="s">
        <v>300</v>
      </c>
      <c r="G109" s="267" t="s">
        <v>300</v>
      </c>
      <c r="H109" s="267" t="s">
        <v>2109</v>
      </c>
      <c r="I109" s="268" t="s">
        <v>4392</v>
      </c>
      <c r="J109" s="268" t="s">
        <v>4521</v>
      </c>
      <c r="K109" s="269" t="s">
        <v>2097</v>
      </c>
      <c r="L109" s="269" t="s">
        <v>2109</v>
      </c>
      <c r="M109" s="269" t="s">
        <v>2603</v>
      </c>
      <c r="N109" s="269" t="s">
        <v>4448</v>
      </c>
      <c r="O109" s="267" t="s">
        <v>2616</v>
      </c>
      <c r="P109" s="268"/>
      <c r="Q109" s="270">
        <v>1</v>
      </c>
      <c r="R109" s="271">
        <v>1100</v>
      </c>
      <c r="S109" s="272">
        <v>2400</v>
      </c>
      <c r="T109" s="272">
        <v>2200</v>
      </c>
      <c r="U109" s="272">
        <v>1900</v>
      </c>
      <c r="V109" s="272">
        <v>1500</v>
      </c>
      <c r="W109" s="272">
        <v>1450</v>
      </c>
      <c r="X109" s="272">
        <v>1380</v>
      </c>
      <c r="Y109" s="272">
        <v>1270</v>
      </c>
      <c r="Z109" s="272">
        <v>1180</v>
      </c>
      <c r="AA109" s="272">
        <v>1040</v>
      </c>
      <c r="AB109" s="272">
        <v>930</v>
      </c>
      <c r="AC109" s="272">
        <v>880</v>
      </c>
      <c r="AD109" s="272">
        <v>850</v>
      </c>
      <c r="AE109" s="272">
        <v>830</v>
      </c>
      <c r="AF109" s="272">
        <v>810</v>
      </c>
      <c r="AG109" s="272">
        <v>800</v>
      </c>
      <c r="AH109" s="272">
        <v>790</v>
      </c>
      <c r="AI109" s="272">
        <v>780</v>
      </c>
      <c r="AJ109" s="272">
        <v>770</v>
      </c>
      <c r="AK109" s="272">
        <v>760</v>
      </c>
      <c r="AL109" s="268" t="s">
        <v>4522</v>
      </c>
      <c r="AM109" s="268" t="s">
        <v>4523</v>
      </c>
      <c r="AN109" s="268" t="s">
        <v>4524</v>
      </c>
      <c r="AO109" s="657"/>
      <c r="AP109" s="271">
        <v>120</v>
      </c>
      <c r="AQ109" s="280">
        <v>85</v>
      </c>
      <c r="AR109" s="280">
        <v>30</v>
      </c>
      <c r="AS109" s="280">
        <v>5</v>
      </c>
      <c r="AT109" s="657"/>
      <c r="AU109" s="301" t="s">
        <v>4525</v>
      </c>
      <c r="AV109" s="572" t="s">
        <v>4526</v>
      </c>
      <c r="AW109" s="645" t="s">
        <v>4527</v>
      </c>
      <c r="AX109" s="290" t="s">
        <v>2670</v>
      </c>
      <c r="AY109" s="657"/>
      <c r="AZ109" s="948">
        <v>8</v>
      </c>
      <c r="BA109" s="948">
        <v>0</v>
      </c>
      <c r="BB109" s="948">
        <v>2</v>
      </c>
      <c r="BC109" s="948">
        <v>6</v>
      </c>
      <c r="BD109" s="825">
        <f t="shared" si="352"/>
        <v>12960</v>
      </c>
      <c r="BE109" s="304">
        <f t="shared" si="353"/>
        <v>6480</v>
      </c>
      <c r="BF109" s="304">
        <f t="shared" si="354"/>
        <v>0</v>
      </c>
      <c r="BG109" s="304">
        <f t="shared" si="355"/>
        <v>1620</v>
      </c>
      <c r="BH109" s="304">
        <f t="shared" si="356"/>
        <v>4860</v>
      </c>
      <c r="BI109" s="825">
        <f t="shared" si="357"/>
        <v>12160</v>
      </c>
      <c r="BJ109" s="304">
        <f t="shared" si="358"/>
        <v>6080</v>
      </c>
      <c r="BK109" s="304">
        <f t="shared" si="359"/>
        <v>0</v>
      </c>
      <c r="BL109" s="304">
        <f t="shared" si="360"/>
        <v>1520</v>
      </c>
      <c r="BM109" s="304">
        <f t="shared" si="361"/>
        <v>4560</v>
      </c>
      <c r="BN109" s="657"/>
      <c r="BO109" s="284">
        <v>0.36</v>
      </c>
      <c r="BP109" s="284">
        <v>0.5</v>
      </c>
      <c r="BQ109" s="284">
        <v>0.1</v>
      </c>
      <c r="BR109" s="710">
        <v>0.04</v>
      </c>
      <c r="BS109" s="707">
        <v>0.31</v>
      </c>
      <c r="BT109" s="284">
        <v>0.51</v>
      </c>
      <c r="BU109" s="284">
        <v>0.15</v>
      </c>
      <c r="BV109" s="710">
        <v>0.03</v>
      </c>
      <c r="BW109" s="714"/>
      <c r="BX109" s="285"/>
      <c r="BY109" s="717"/>
      <c r="BZ109" s="714"/>
      <c r="CA109" s="285"/>
      <c r="CB109" s="717"/>
      <c r="CC109" s="284">
        <v>0.12</v>
      </c>
      <c r="CD109" s="284">
        <v>0.5</v>
      </c>
      <c r="CE109" s="284">
        <v>0.15</v>
      </c>
      <c r="CF109" s="710">
        <v>0.23</v>
      </c>
      <c r="CG109" s="707">
        <v>0.1</v>
      </c>
      <c r="CH109" s="284">
        <v>0.5</v>
      </c>
      <c r="CI109" s="284">
        <v>0.18</v>
      </c>
      <c r="CJ109" s="710">
        <v>0.22</v>
      </c>
      <c r="CK109" s="720">
        <v>0.55000000000000004</v>
      </c>
      <c r="CL109" s="286">
        <v>0.3</v>
      </c>
      <c r="CM109" s="718">
        <v>0.15</v>
      </c>
      <c r="CN109" s="720">
        <v>0.47</v>
      </c>
      <c r="CO109" s="286">
        <v>0.33</v>
      </c>
      <c r="CP109" s="718">
        <v>0.2</v>
      </c>
      <c r="CQ109" s="657"/>
      <c r="CR109" s="807">
        <v>13</v>
      </c>
      <c r="CS109" s="808">
        <v>14</v>
      </c>
      <c r="CT109" s="808">
        <v>10</v>
      </c>
      <c r="CU109" s="809">
        <v>12</v>
      </c>
      <c r="CV109" s="807"/>
      <c r="CW109" s="808"/>
      <c r="CX109" s="809"/>
      <c r="CY109" s="807">
        <v>11</v>
      </c>
      <c r="CZ109" s="808">
        <v>13</v>
      </c>
      <c r="DA109" s="808">
        <v>9</v>
      </c>
      <c r="DB109" s="809">
        <v>11</v>
      </c>
      <c r="DC109" s="807">
        <v>14</v>
      </c>
      <c r="DD109" s="808">
        <v>14</v>
      </c>
      <c r="DE109" s="809">
        <v>10</v>
      </c>
      <c r="DF109" s="610" t="s">
        <v>4528</v>
      </c>
      <c r="DG109" s="657"/>
      <c r="DH109" s="288">
        <f t="shared" si="362"/>
        <v>2332.7999999999997</v>
      </c>
      <c r="DI109" s="288">
        <f t="shared" si="363"/>
        <v>3240</v>
      </c>
      <c r="DJ109" s="288">
        <f t="shared" si="364"/>
        <v>648</v>
      </c>
      <c r="DK109" s="288">
        <f t="shared" si="365"/>
        <v>259.2</v>
      </c>
      <c r="DL109" s="560" t="s">
        <v>4529</v>
      </c>
      <c r="DM109" s="288">
        <f t="shared" si="366"/>
        <v>1884.8</v>
      </c>
      <c r="DN109" s="288">
        <f t="shared" si="367"/>
        <v>3100.8</v>
      </c>
      <c r="DO109" s="288">
        <f t="shared" si="368"/>
        <v>912</v>
      </c>
      <c r="DP109" s="288">
        <f t="shared" si="369"/>
        <v>182.4</v>
      </c>
      <c r="DQ109" s="561" t="s">
        <v>2868</v>
      </c>
      <c r="DR109" s="657"/>
      <c r="DS109" s="288">
        <f t="shared" si="370"/>
        <v>0</v>
      </c>
      <c r="DT109" s="288">
        <f t="shared" si="371"/>
        <v>0</v>
      </c>
      <c r="DU109" s="288">
        <f t="shared" si="372"/>
        <v>0</v>
      </c>
      <c r="DV109" s="561" t="s">
        <v>2613</v>
      </c>
      <c r="DW109" s="288">
        <f t="shared" si="373"/>
        <v>0</v>
      </c>
      <c r="DX109" s="288">
        <f t="shared" si="374"/>
        <v>0</v>
      </c>
      <c r="DY109" s="288">
        <f t="shared" si="375"/>
        <v>0</v>
      </c>
      <c r="DZ109" s="561" t="s">
        <v>2613</v>
      </c>
      <c r="EA109" s="657"/>
      <c r="EB109" s="288">
        <f t="shared" si="376"/>
        <v>194.4</v>
      </c>
      <c r="EC109" s="288">
        <f t="shared" si="377"/>
        <v>810</v>
      </c>
      <c r="ED109" s="288">
        <f t="shared" si="378"/>
        <v>243</v>
      </c>
      <c r="EE109" s="288">
        <f t="shared" si="379"/>
        <v>372.6</v>
      </c>
      <c r="EF109" s="561" t="s">
        <v>4530</v>
      </c>
      <c r="EG109" s="288">
        <f t="shared" si="380"/>
        <v>152</v>
      </c>
      <c r="EH109" s="288">
        <f t="shared" si="381"/>
        <v>760</v>
      </c>
      <c r="EI109" s="288">
        <f t="shared" si="382"/>
        <v>273.59999999999997</v>
      </c>
      <c r="EJ109" s="288">
        <f t="shared" si="383"/>
        <v>334.4</v>
      </c>
      <c r="EK109" s="561" t="s">
        <v>2870</v>
      </c>
      <c r="EL109" s="657"/>
      <c r="EM109" s="288">
        <f t="shared" si="384"/>
        <v>2673</v>
      </c>
      <c r="EN109" s="291">
        <f t="shared" si="385"/>
        <v>1458</v>
      </c>
      <c r="EO109" s="291">
        <f t="shared" si="386"/>
        <v>729</v>
      </c>
      <c r="EP109" s="561" t="s">
        <v>4531</v>
      </c>
      <c r="EQ109" s="288">
        <f t="shared" si="387"/>
        <v>2143.1999999999998</v>
      </c>
      <c r="ER109" s="291">
        <f t="shared" si="388"/>
        <v>1504.8000000000002</v>
      </c>
      <c r="ES109" s="291">
        <f t="shared" si="389"/>
        <v>912</v>
      </c>
      <c r="ET109" s="561" t="s">
        <v>2872</v>
      </c>
      <c r="EU109" s="657"/>
      <c r="EV109" s="740">
        <f t="shared" si="390"/>
        <v>0.93229239612561687</v>
      </c>
      <c r="EW109" s="740">
        <f t="shared" si="391"/>
        <v>6.7707603874383196E-2</v>
      </c>
      <c r="EX109" s="563">
        <f t="shared" si="392"/>
        <v>8192.4033381701629</v>
      </c>
      <c r="EY109" s="563">
        <f t="shared" si="393"/>
        <v>7637.7153381701637</v>
      </c>
      <c r="EZ109" s="563">
        <f t="shared" si="394"/>
        <v>554.68799999999999</v>
      </c>
      <c r="FA109" s="563">
        <f t="shared" si="395"/>
        <v>4099.3081164835166</v>
      </c>
      <c r="FB109" s="563">
        <f t="shared" si="396"/>
        <v>3821.9641164835166</v>
      </c>
      <c r="FC109" s="563">
        <f t="shared" si="397"/>
        <v>277.34399999999999</v>
      </c>
      <c r="FD109" s="563">
        <f t="shared" si="398"/>
        <v>0</v>
      </c>
      <c r="FE109" s="563">
        <f t="shared" si="399"/>
        <v>0</v>
      </c>
      <c r="FF109" s="563">
        <f t="shared" si="400"/>
        <v>0</v>
      </c>
      <c r="FG109" s="563">
        <f t="shared" si="401"/>
        <v>1029.1559324009324</v>
      </c>
      <c r="FH109" s="563">
        <f t="shared" si="402"/>
        <v>959.81993240093254</v>
      </c>
      <c r="FI109" s="563">
        <f t="shared" si="403"/>
        <v>69.335999999999999</v>
      </c>
      <c r="FJ109" s="563">
        <f t="shared" si="404"/>
        <v>3063.939289285714</v>
      </c>
      <c r="FK109" s="563">
        <f t="shared" si="405"/>
        <v>2855.9312892857142</v>
      </c>
      <c r="FL109" s="563">
        <f t="shared" si="406"/>
        <v>208.00799999999998</v>
      </c>
      <c r="FM109" s="529"/>
      <c r="FN109" s="564" t="s">
        <v>2649</v>
      </c>
      <c r="FO109" s="740">
        <v>4.2799999999999998E-2</v>
      </c>
      <c r="FP109" s="741">
        <v>0.76775000000000004</v>
      </c>
      <c r="FQ109" s="565" t="s">
        <v>4481</v>
      </c>
      <c r="FR109" s="529"/>
      <c r="FS109" s="867">
        <v>2.94</v>
      </c>
      <c r="FT109" s="566">
        <f>RANK($FS109,$FS$8:$FS$154,0)+COUNTIF($FS$8:$FS109,$FS109)-1</f>
        <v>125</v>
      </c>
      <c r="FU109" s="867">
        <v>3.57</v>
      </c>
      <c r="FV109" s="566">
        <f>RANK($FU109,$FU$8:$FU$154,0)+COUNTIF($FU$8:$FU109,$FU109)-1</f>
        <v>132</v>
      </c>
      <c r="FW109" s="867">
        <v>1.8</v>
      </c>
      <c r="FX109" s="566">
        <f>RANK($FW109,$FW$8:$FW$154,0)+COUNTIF($FW$8:$FW109,$FW109)-1</f>
        <v>128</v>
      </c>
      <c r="FY109" s="529"/>
      <c r="FZ109" s="567" t="s">
        <v>4402</v>
      </c>
      <c r="GA109" s="567" t="s">
        <v>4532</v>
      </c>
      <c r="GB109" s="567" t="s">
        <v>2653</v>
      </c>
      <c r="GC109" s="567" t="s">
        <v>2654</v>
      </c>
      <c r="GD109" s="567" t="s">
        <v>2876</v>
      </c>
      <c r="GE109" s="567" t="s">
        <v>2656</v>
      </c>
      <c r="GF109" s="567" t="str">
        <f t="shared" si="351"/>
        <v>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09" s="529"/>
      <c r="GH109" s="563">
        <f t="shared" si="407"/>
        <v>1468.7770707692305</v>
      </c>
      <c r="GI109" s="563">
        <f t="shared" si="337"/>
        <v>1382.8004307692304</v>
      </c>
      <c r="GJ109" s="563">
        <f t="shared" si="408"/>
        <v>85.976640000000003</v>
      </c>
      <c r="GK109" s="563">
        <f t="shared" si="409"/>
        <v>2038.8847257142859</v>
      </c>
      <c r="GL109" s="563">
        <f t="shared" si="338"/>
        <v>1897.4392857142859</v>
      </c>
      <c r="GM109" s="563">
        <f t="shared" si="410"/>
        <v>141.44543999999999</v>
      </c>
      <c r="GN109" s="563">
        <f t="shared" si="411"/>
        <v>429.77600000000007</v>
      </c>
      <c r="GO109" s="563">
        <f t="shared" si="339"/>
        <v>388.17440000000005</v>
      </c>
      <c r="GP109" s="563">
        <f t="shared" si="412"/>
        <v>41.601599999999998</v>
      </c>
      <c r="GQ109" s="563">
        <f t="shared" si="413"/>
        <v>161.87032000000002</v>
      </c>
      <c r="GR109" s="563">
        <f t="shared" si="340"/>
        <v>153.55000000000001</v>
      </c>
      <c r="GS109" s="563">
        <f t="shared" si="414"/>
        <v>8.3203199999999988</v>
      </c>
      <c r="GT109" s="563">
        <f t="shared" si="415"/>
        <v>0</v>
      </c>
      <c r="GU109" s="563">
        <f t="shared" si="341"/>
        <v>0</v>
      </c>
      <c r="GV109" s="563">
        <f t="shared" si="416"/>
        <v>0</v>
      </c>
      <c r="GW109" s="563">
        <f t="shared" si="417"/>
        <v>0</v>
      </c>
      <c r="GX109" s="563">
        <f t="shared" si="342"/>
        <v>0</v>
      </c>
      <c r="GY109" s="563">
        <f t="shared" si="418"/>
        <v>0</v>
      </c>
      <c r="GZ109" s="563">
        <f t="shared" si="419"/>
        <v>0</v>
      </c>
      <c r="HA109" s="563">
        <f t="shared" si="343"/>
        <v>0</v>
      </c>
      <c r="HB109" s="563">
        <f t="shared" si="420"/>
        <v>0</v>
      </c>
      <c r="HC109" s="563">
        <f t="shared" si="421"/>
        <v>120.50476363636366</v>
      </c>
      <c r="HD109" s="563">
        <f t="shared" si="344"/>
        <v>113.57116363636366</v>
      </c>
      <c r="HE109" s="563">
        <f t="shared" si="422"/>
        <v>6.9336000000000002</v>
      </c>
      <c r="HF109" s="563">
        <f t="shared" si="423"/>
        <v>514.80703846153847</v>
      </c>
      <c r="HG109" s="563">
        <f t="shared" si="345"/>
        <v>480.13903846153852</v>
      </c>
      <c r="HH109" s="563">
        <f t="shared" si="424"/>
        <v>34.667999999999999</v>
      </c>
      <c r="HI109" s="563">
        <f t="shared" si="425"/>
        <v>160.91214666666667</v>
      </c>
      <c r="HJ109" s="563">
        <f t="shared" si="346"/>
        <v>148.43166666666667</v>
      </c>
      <c r="HK109" s="563">
        <f t="shared" si="426"/>
        <v>12.48048</v>
      </c>
      <c r="HL109" s="563">
        <f t="shared" si="427"/>
        <v>232.93198363636364</v>
      </c>
      <c r="HM109" s="563">
        <f t="shared" si="347"/>
        <v>217.67806363636365</v>
      </c>
      <c r="HN109" s="563">
        <f t="shared" si="428"/>
        <v>15.253919999999999</v>
      </c>
      <c r="HO109" s="563">
        <f t="shared" si="429"/>
        <v>1663.1511707142859</v>
      </c>
      <c r="HP109" s="563">
        <f t="shared" si="348"/>
        <v>1565.3874107142858</v>
      </c>
      <c r="HQ109" s="563">
        <f t="shared" si="430"/>
        <v>97.763759999999991</v>
      </c>
      <c r="HR109" s="563">
        <f t="shared" si="431"/>
        <v>922.4903185714287</v>
      </c>
      <c r="HS109" s="563">
        <f t="shared" si="349"/>
        <v>853.84767857142867</v>
      </c>
      <c r="HT109" s="563">
        <f t="shared" si="432"/>
        <v>68.64264</v>
      </c>
      <c r="HU109" s="563">
        <f t="shared" si="433"/>
        <v>478.29780000000005</v>
      </c>
      <c r="HV109" s="563">
        <f t="shared" si="350"/>
        <v>436.69620000000003</v>
      </c>
      <c r="HW109" s="563">
        <f t="shared" si="434"/>
        <v>41.601599999999998</v>
      </c>
      <c r="HX109" s="544"/>
      <c r="HY109" s="568">
        <f t="shared" si="435"/>
        <v>12959.999999999998</v>
      </c>
      <c r="HZ109" s="568">
        <f t="shared" si="436"/>
        <v>440.31599999999997</v>
      </c>
      <c r="IA109" s="568">
        <f t="shared" si="437"/>
        <v>5482.2420000000002</v>
      </c>
      <c r="IB109" s="568">
        <f t="shared" si="438"/>
        <v>6247.0439999999999</v>
      </c>
      <c r="IC109" s="568">
        <f t="shared" si="439"/>
        <v>790.39799999999991</v>
      </c>
      <c r="ID109" s="568">
        <f t="shared" si="440"/>
        <v>0</v>
      </c>
      <c r="IE109" s="568">
        <f t="shared" si="441"/>
        <v>7637.7153381701637</v>
      </c>
      <c r="IF109" s="568">
        <f t="shared" si="442"/>
        <v>132.04271372742841</v>
      </c>
      <c r="IG109" s="568">
        <f t="shared" si="443"/>
        <v>3076.2991595478097</v>
      </c>
      <c r="IH109" s="568">
        <f t="shared" si="444"/>
        <v>3808.5312857023555</v>
      </c>
      <c r="II109" s="568">
        <f t="shared" si="445"/>
        <v>593.15443998867715</v>
      </c>
      <c r="IJ109" s="568">
        <f t="shared" si="446"/>
        <v>27.687739203892775</v>
      </c>
      <c r="IK109" s="868">
        <v>4.13</v>
      </c>
      <c r="IL109" s="569" t="s">
        <v>2589</v>
      </c>
      <c r="IM109" s="570" t="s">
        <v>4533</v>
      </c>
      <c r="IN109" s="529"/>
      <c r="IO109" s="742">
        <v>0.03</v>
      </c>
      <c r="IP109" s="742">
        <v>0.4</v>
      </c>
      <c r="IQ109" s="742">
        <v>0.5</v>
      </c>
      <c r="IR109" s="742">
        <v>7.0000000000000007E-2</v>
      </c>
      <c r="IS109" s="742">
        <v>0</v>
      </c>
      <c r="IT109" s="742">
        <v>1.3299999999999999E-2</v>
      </c>
      <c r="IU109" s="742">
        <v>0.37969999999999998</v>
      </c>
      <c r="IV109" s="742">
        <v>0.51670000000000005</v>
      </c>
      <c r="IW109" s="742">
        <v>8.6699999999999999E-2</v>
      </c>
      <c r="IX109" s="742">
        <v>3.5999999999999999E-3</v>
      </c>
      <c r="IY109" s="742">
        <v>0</v>
      </c>
      <c r="IZ109" s="742">
        <v>0</v>
      </c>
      <c r="JA109" s="742">
        <v>0</v>
      </c>
      <c r="JB109" s="742">
        <v>0</v>
      </c>
      <c r="JC109" s="742">
        <v>0</v>
      </c>
      <c r="JD109" s="742">
        <v>0</v>
      </c>
      <c r="JE109" s="742">
        <v>0</v>
      </c>
      <c r="JF109" s="742">
        <v>0</v>
      </c>
      <c r="JG109" s="742">
        <v>0</v>
      </c>
      <c r="JH109" s="742">
        <v>0</v>
      </c>
      <c r="JI109" s="742">
        <v>5.3999999999999999E-2</v>
      </c>
      <c r="JJ109" s="742">
        <v>0.53969999999999996</v>
      </c>
      <c r="JK109" s="742">
        <v>0.37480000000000002</v>
      </c>
      <c r="JL109" s="742">
        <v>3.15E-2</v>
      </c>
      <c r="JM109" s="742">
        <v>0</v>
      </c>
      <c r="JN109" s="742">
        <v>3.73E-2</v>
      </c>
      <c r="JO109" s="742">
        <v>0.51929999999999998</v>
      </c>
      <c r="JP109" s="742">
        <v>0.39150000000000001</v>
      </c>
      <c r="JQ109" s="742">
        <v>4.8099999999999997E-2</v>
      </c>
      <c r="JR109" s="742">
        <v>3.8E-3</v>
      </c>
      <c r="JS109" s="742">
        <v>3.2599999999999997E-2</v>
      </c>
      <c r="JT109" s="742">
        <v>0.4148</v>
      </c>
      <c r="JU109" s="742">
        <v>0.49380000000000002</v>
      </c>
      <c r="JV109" s="742">
        <v>5.8799999999999998E-2</v>
      </c>
      <c r="JW109" s="742">
        <v>0</v>
      </c>
      <c r="JX109" s="742">
        <v>1.5900000000000001E-2</v>
      </c>
      <c r="JY109" s="742">
        <v>0.39450000000000002</v>
      </c>
      <c r="JZ109" s="742">
        <v>0.51049999999999995</v>
      </c>
      <c r="KA109" s="742">
        <v>7.5499999999999998E-2</v>
      </c>
      <c r="KB109" s="742">
        <v>3.5999999999999999E-3</v>
      </c>
      <c r="KC109" s="657"/>
      <c r="KD109" s="832" t="s">
        <v>2590</v>
      </c>
      <c r="KE109" s="832" t="s">
        <v>2590</v>
      </c>
      <c r="KF109" s="869">
        <v>4.16</v>
      </c>
      <c r="KG109" s="832" t="s">
        <v>2589</v>
      </c>
      <c r="KH109" s="833" t="s">
        <v>4405</v>
      </c>
      <c r="KI109" s="832" t="s">
        <v>2659</v>
      </c>
      <c r="KJ109" s="833" t="s">
        <v>4534</v>
      </c>
    </row>
    <row r="110" spans="1:296" ht="48" hidden="1" customHeight="1">
      <c r="A110" s="273">
        <f t="shared" si="447"/>
        <v>103</v>
      </c>
      <c r="B110" s="274" t="s">
        <v>2278</v>
      </c>
      <c r="C110" s="274" t="s">
        <v>1527</v>
      </c>
      <c r="D110" s="274" t="s">
        <v>4535</v>
      </c>
      <c r="E110" s="275" t="s">
        <v>2158</v>
      </c>
      <c r="F110" s="275" t="s">
        <v>300</v>
      </c>
      <c r="G110" s="275" t="s">
        <v>300</v>
      </c>
      <c r="H110" s="275" t="s">
        <v>2109</v>
      </c>
      <c r="I110" s="276" t="s">
        <v>4432</v>
      </c>
      <c r="J110" s="276" t="s">
        <v>4536</v>
      </c>
      <c r="K110" s="277" t="s">
        <v>2097</v>
      </c>
      <c r="L110" s="277" t="s">
        <v>2109</v>
      </c>
      <c r="M110" s="277" t="s">
        <v>2603</v>
      </c>
      <c r="N110" s="277" t="s">
        <v>3322</v>
      </c>
      <c r="O110" s="275" t="s">
        <v>2616</v>
      </c>
      <c r="P110" s="276"/>
      <c r="Q110" s="270">
        <v>1</v>
      </c>
      <c r="R110" s="278">
        <v>350</v>
      </c>
      <c r="S110" s="279">
        <v>2100</v>
      </c>
      <c r="T110" s="279">
        <v>2400</v>
      </c>
      <c r="U110" s="279">
        <v>2700</v>
      </c>
      <c r="V110" s="279">
        <v>3000</v>
      </c>
      <c r="W110" s="279">
        <v>3050</v>
      </c>
      <c r="X110" s="279">
        <v>3080</v>
      </c>
      <c r="Y110" s="279">
        <v>3110</v>
      </c>
      <c r="Z110" s="279">
        <v>3140</v>
      </c>
      <c r="AA110" s="279">
        <v>3160</v>
      </c>
      <c r="AB110" s="279">
        <v>3175</v>
      </c>
      <c r="AC110" s="279">
        <v>3190</v>
      </c>
      <c r="AD110" s="279">
        <v>3200</v>
      </c>
      <c r="AE110" s="279">
        <v>3210</v>
      </c>
      <c r="AF110" s="279">
        <v>3220</v>
      </c>
      <c r="AG110" s="279">
        <v>3230</v>
      </c>
      <c r="AH110" s="279">
        <v>3240</v>
      </c>
      <c r="AI110" s="279">
        <v>3250</v>
      </c>
      <c r="AJ110" s="279">
        <v>3260</v>
      </c>
      <c r="AK110" s="279">
        <v>3270</v>
      </c>
      <c r="AL110" s="276" t="s">
        <v>4537</v>
      </c>
      <c r="AM110" s="276" t="s">
        <v>4538</v>
      </c>
      <c r="AN110" s="276" t="s">
        <v>4539</v>
      </c>
      <c r="AO110" s="657"/>
      <c r="AP110" s="278">
        <v>45</v>
      </c>
      <c r="AQ110" s="278">
        <v>34</v>
      </c>
      <c r="AR110" s="278">
        <v>9</v>
      </c>
      <c r="AS110" s="278">
        <v>2</v>
      </c>
      <c r="AT110" s="657"/>
      <c r="AU110" s="281" t="s">
        <v>4540</v>
      </c>
      <c r="AV110" s="296" t="s">
        <v>4541</v>
      </c>
      <c r="AW110" s="296" t="s">
        <v>4542</v>
      </c>
      <c r="AX110" s="276" t="s">
        <v>2670</v>
      </c>
      <c r="AY110" s="657"/>
      <c r="AZ110" s="947">
        <v>4</v>
      </c>
      <c r="BA110" s="947">
        <v>0</v>
      </c>
      <c r="BB110" s="947">
        <v>0.5</v>
      </c>
      <c r="BC110" s="947">
        <v>3</v>
      </c>
      <c r="BD110" s="826">
        <f t="shared" si="352"/>
        <v>24150</v>
      </c>
      <c r="BE110" s="283">
        <f t="shared" si="353"/>
        <v>12880</v>
      </c>
      <c r="BF110" s="283">
        <f t="shared" si="354"/>
        <v>0</v>
      </c>
      <c r="BG110" s="283">
        <f t="shared" si="355"/>
        <v>1610</v>
      </c>
      <c r="BH110" s="283">
        <f t="shared" si="356"/>
        <v>9660</v>
      </c>
      <c r="BI110" s="826">
        <f t="shared" si="357"/>
        <v>24525</v>
      </c>
      <c r="BJ110" s="283">
        <f t="shared" si="358"/>
        <v>13080</v>
      </c>
      <c r="BK110" s="283">
        <f t="shared" si="359"/>
        <v>0</v>
      </c>
      <c r="BL110" s="283">
        <f t="shared" si="360"/>
        <v>1635</v>
      </c>
      <c r="BM110" s="283">
        <f t="shared" si="361"/>
        <v>9810</v>
      </c>
      <c r="BN110" s="657"/>
      <c r="BO110" s="305">
        <v>0.36</v>
      </c>
      <c r="BP110" s="305">
        <v>0.5</v>
      </c>
      <c r="BQ110" s="305">
        <v>0.1</v>
      </c>
      <c r="BR110" s="581">
        <v>0.04</v>
      </c>
      <c r="BS110" s="706">
        <v>0.31</v>
      </c>
      <c r="BT110" s="305">
        <v>0.51</v>
      </c>
      <c r="BU110" s="305">
        <v>0.15</v>
      </c>
      <c r="BV110" s="581">
        <v>0.03</v>
      </c>
      <c r="BW110" s="713"/>
      <c r="BX110" s="306"/>
      <c r="BY110" s="590"/>
      <c r="BZ110" s="713"/>
      <c r="CA110" s="306"/>
      <c r="CB110" s="590"/>
      <c r="CC110" s="706">
        <v>0.12</v>
      </c>
      <c r="CD110" s="305">
        <v>0.5</v>
      </c>
      <c r="CE110" s="305">
        <v>0.15</v>
      </c>
      <c r="CF110" s="581">
        <v>0.23</v>
      </c>
      <c r="CG110" s="706">
        <v>0.1</v>
      </c>
      <c r="CH110" s="305">
        <v>0.5</v>
      </c>
      <c r="CI110" s="305">
        <v>0.18</v>
      </c>
      <c r="CJ110" s="581">
        <v>0.22</v>
      </c>
      <c r="CK110" s="719">
        <v>0.55000000000000004</v>
      </c>
      <c r="CL110" s="307">
        <v>0.3</v>
      </c>
      <c r="CM110" s="723">
        <v>0.15</v>
      </c>
      <c r="CN110" s="719">
        <v>0.47</v>
      </c>
      <c r="CO110" s="307">
        <v>0.33</v>
      </c>
      <c r="CP110" s="723">
        <v>0.2</v>
      </c>
      <c r="CQ110" s="657"/>
      <c r="CR110" s="804">
        <v>13</v>
      </c>
      <c r="CS110" s="805">
        <v>14</v>
      </c>
      <c r="CT110" s="805">
        <v>10</v>
      </c>
      <c r="CU110" s="806">
        <v>12</v>
      </c>
      <c r="CV110" s="804"/>
      <c r="CW110" s="805"/>
      <c r="CX110" s="806"/>
      <c r="CY110" s="804">
        <v>11</v>
      </c>
      <c r="CZ110" s="805">
        <v>13</v>
      </c>
      <c r="DA110" s="805">
        <v>9</v>
      </c>
      <c r="DB110" s="806">
        <v>11</v>
      </c>
      <c r="DC110" s="804">
        <v>14</v>
      </c>
      <c r="DD110" s="805">
        <v>14</v>
      </c>
      <c r="DE110" s="806">
        <v>10</v>
      </c>
      <c r="DF110" s="609" t="s">
        <v>4543</v>
      </c>
      <c r="DG110" s="657"/>
      <c r="DH110" s="308">
        <f t="shared" si="362"/>
        <v>4636.8</v>
      </c>
      <c r="DI110" s="308">
        <f t="shared" si="363"/>
        <v>6440</v>
      </c>
      <c r="DJ110" s="308">
        <f t="shared" si="364"/>
        <v>1288</v>
      </c>
      <c r="DK110" s="308">
        <f t="shared" si="365"/>
        <v>515.20000000000005</v>
      </c>
      <c r="DL110" s="287" t="s">
        <v>4544</v>
      </c>
      <c r="DM110" s="308">
        <f t="shared" si="366"/>
        <v>4054.8</v>
      </c>
      <c r="DN110" s="308">
        <f t="shared" si="367"/>
        <v>6670.8</v>
      </c>
      <c r="DO110" s="308">
        <f t="shared" si="368"/>
        <v>1962</v>
      </c>
      <c r="DP110" s="308">
        <f t="shared" si="369"/>
        <v>392.4</v>
      </c>
      <c r="DQ110" s="289" t="s">
        <v>2868</v>
      </c>
      <c r="DR110" s="657"/>
      <c r="DS110" s="308">
        <f t="shared" si="370"/>
        <v>0</v>
      </c>
      <c r="DT110" s="308">
        <f t="shared" si="371"/>
        <v>0</v>
      </c>
      <c r="DU110" s="308">
        <f t="shared" si="372"/>
        <v>0</v>
      </c>
      <c r="DV110" s="289" t="s">
        <v>2613</v>
      </c>
      <c r="DW110" s="308">
        <f t="shared" si="373"/>
        <v>0</v>
      </c>
      <c r="DX110" s="308">
        <f t="shared" si="374"/>
        <v>0</v>
      </c>
      <c r="DY110" s="308">
        <f t="shared" si="375"/>
        <v>0</v>
      </c>
      <c r="DZ110" s="289" t="s">
        <v>2613</v>
      </c>
      <c r="EA110" s="657"/>
      <c r="EB110" s="308">
        <f t="shared" si="376"/>
        <v>193.2</v>
      </c>
      <c r="EC110" s="308">
        <f t="shared" si="377"/>
        <v>805</v>
      </c>
      <c r="ED110" s="308">
        <f t="shared" si="378"/>
        <v>241.5</v>
      </c>
      <c r="EE110" s="308">
        <f t="shared" si="379"/>
        <v>370.3</v>
      </c>
      <c r="EF110" s="289" t="s">
        <v>4545</v>
      </c>
      <c r="EG110" s="308">
        <f t="shared" si="380"/>
        <v>163.5</v>
      </c>
      <c r="EH110" s="308">
        <f t="shared" si="381"/>
        <v>817.5</v>
      </c>
      <c r="EI110" s="308">
        <f t="shared" si="382"/>
        <v>294.3</v>
      </c>
      <c r="EJ110" s="308">
        <f t="shared" si="383"/>
        <v>359.7</v>
      </c>
      <c r="EK110" s="309" t="s">
        <v>2870</v>
      </c>
      <c r="EL110" s="657"/>
      <c r="EM110" s="308">
        <f t="shared" si="384"/>
        <v>5313</v>
      </c>
      <c r="EN110" s="310">
        <f t="shared" si="385"/>
        <v>2898</v>
      </c>
      <c r="EO110" s="310">
        <f t="shared" si="386"/>
        <v>1449</v>
      </c>
      <c r="EP110" s="289" t="s">
        <v>4546</v>
      </c>
      <c r="EQ110" s="308">
        <f t="shared" si="387"/>
        <v>4610.7</v>
      </c>
      <c r="ER110" s="310">
        <f t="shared" si="388"/>
        <v>3237.3</v>
      </c>
      <c r="ES110" s="310">
        <f t="shared" si="389"/>
        <v>1962</v>
      </c>
      <c r="ET110" s="289" t="s">
        <v>2872</v>
      </c>
      <c r="EU110" s="657"/>
      <c r="EV110" s="728">
        <f t="shared" si="390"/>
        <v>0.82043553525731705</v>
      </c>
      <c r="EW110" s="728">
        <f t="shared" si="391"/>
        <v>0.17956446474268289</v>
      </c>
      <c r="EX110" s="311">
        <f t="shared" si="392"/>
        <v>7844.6478929924242</v>
      </c>
      <c r="EY110" s="311">
        <f t="shared" si="393"/>
        <v>6436.0278929924243</v>
      </c>
      <c r="EZ110" s="311">
        <f t="shared" si="394"/>
        <v>1408.62</v>
      </c>
      <c r="FA110" s="311">
        <f t="shared" si="395"/>
        <v>4169.060893406594</v>
      </c>
      <c r="FB110" s="311">
        <f t="shared" si="396"/>
        <v>3417.7968934065939</v>
      </c>
      <c r="FC110" s="311">
        <f t="shared" si="397"/>
        <v>751.26400000000001</v>
      </c>
      <c r="FD110" s="311">
        <f t="shared" si="398"/>
        <v>0</v>
      </c>
      <c r="FE110" s="311">
        <f t="shared" si="399"/>
        <v>0</v>
      </c>
      <c r="FF110" s="311">
        <f t="shared" si="400"/>
        <v>0</v>
      </c>
      <c r="FG110" s="311">
        <f t="shared" si="401"/>
        <v>596.51289780011666</v>
      </c>
      <c r="FH110" s="311">
        <f t="shared" si="402"/>
        <v>502.60489780011665</v>
      </c>
      <c r="FI110" s="311">
        <f t="shared" si="403"/>
        <v>93.908000000000001</v>
      </c>
      <c r="FJ110" s="311">
        <f t="shared" si="404"/>
        <v>3079.074101785714</v>
      </c>
      <c r="FK110" s="311">
        <f t="shared" si="405"/>
        <v>2515.6261017857141</v>
      </c>
      <c r="FL110" s="311">
        <f t="shared" si="406"/>
        <v>563.44799999999998</v>
      </c>
      <c r="FM110" s="657"/>
      <c r="FN110" s="293" t="s">
        <v>2649</v>
      </c>
      <c r="FO110" s="728">
        <v>4.2799999999999998E-2</v>
      </c>
      <c r="FP110" s="729">
        <v>0.76775000000000004</v>
      </c>
      <c r="FQ110" s="294" t="s">
        <v>4481</v>
      </c>
      <c r="FR110" s="657"/>
      <c r="FS110" s="865">
        <v>2.94</v>
      </c>
      <c r="FT110" s="312">
        <f>RANK($FS110,$FS$8:$FS$154,0)+COUNTIF($FS$8:$FS110,$FS110)-1</f>
        <v>126</v>
      </c>
      <c r="FU110" s="865">
        <v>3.57</v>
      </c>
      <c r="FV110" s="312">
        <f>RANK($FU110,$FU$8:$FU$154,0)+COUNTIF($FU$8:$FU110,$FU110)-1</f>
        <v>133</v>
      </c>
      <c r="FW110" s="865">
        <v>1.8</v>
      </c>
      <c r="FX110" s="312">
        <f>RANK($FW110,$FW$8:$FW$154,0)+COUNTIF($FW$8:$FW110,$FW110)-1</f>
        <v>129</v>
      </c>
      <c r="FY110" s="657"/>
      <c r="FZ110" s="296" t="s">
        <v>4402</v>
      </c>
      <c r="GA110" s="296" t="s">
        <v>4547</v>
      </c>
      <c r="GB110" s="296" t="s">
        <v>2653</v>
      </c>
      <c r="GC110" s="296" t="s">
        <v>2654</v>
      </c>
      <c r="GD110" s="296" t="s">
        <v>2876</v>
      </c>
      <c r="GE110" s="296" t="s">
        <v>2656</v>
      </c>
      <c r="GF110" s="296" t="str">
        <f t="shared" si="351"/>
        <v>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10" s="657"/>
      <c r="GH110" s="311">
        <f t="shared" si="407"/>
        <v>1468.5677476923076</v>
      </c>
      <c r="GI110" s="311">
        <f t="shared" si="337"/>
        <v>1235.6759076923076</v>
      </c>
      <c r="GJ110" s="311">
        <f t="shared" si="408"/>
        <v>232.89184</v>
      </c>
      <c r="GK110" s="311">
        <f t="shared" si="409"/>
        <v>1935.0964257142857</v>
      </c>
      <c r="GL110" s="311">
        <f t="shared" si="338"/>
        <v>1551.9517857142857</v>
      </c>
      <c r="GM110" s="311">
        <f t="shared" si="410"/>
        <v>383.14464000000004</v>
      </c>
      <c r="GN110" s="311">
        <f t="shared" si="411"/>
        <v>589.923</v>
      </c>
      <c r="GO110" s="311">
        <f t="shared" si="339"/>
        <v>477.23339999999996</v>
      </c>
      <c r="GP110" s="311">
        <f t="shared" si="412"/>
        <v>112.6896</v>
      </c>
      <c r="GQ110" s="311">
        <f t="shared" si="413"/>
        <v>175.47372000000001</v>
      </c>
      <c r="GR110" s="311">
        <f t="shared" si="340"/>
        <v>152.93580000000003</v>
      </c>
      <c r="GS110" s="311">
        <f t="shared" si="414"/>
        <v>22.53792</v>
      </c>
      <c r="GT110" s="311">
        <f t="shared" si="415"/>
        <v>0</v>
      </c>
      <c r="GU110" s="311">
        <f t="shared" si="341"/>
        <v>0</v>
      </c>
      <c r="GV110" s="311">
        <f t="shared" si="416"/>
        <v>0</v>
      </c>
      <c r="GW110" s="311">
        <f t="shared" si="417"/>
        <v>0</v>
      </c>
      <c r="GX110" s="311">
        <f t="shared" si="342"/>
        <v>0</v>
      </c>
      <c r="GY110" s="311">
        <f t="shared" si="418"/>
        <v>0</v>
      </c>
      <c r="GZ110" s="311">
        <f t="shared" si="419"/>
        <v>0</v>
      </c>
      <c r="HA110" s="311">
        <f t="shared" si="343"/>
        <v>0</v>
      </c>
      <c r="HB110" s="311">
        <f t="shared" si="420"/>
        <v>0</v>
      </c>
      <c r="HC110" s="311">
        <f t="shared" si="421"/>
        <v>73.798045454545459</v>
      </c>
      <c r="HD110" s="311">
        <f t="shared" si="344"/>
        <v>64.40724545454546</v>
      </c>
      <c r="HE110" s="311">
        <f t="shared" si="422"/>
        <v>9.3908000000000005</v>
      </c>
      <c r="HF110" s="311">
        <f t="shared" si="423"/>
        <v>261.48106730769234</v>
      </c>
      <c r="HG110" s="311">
        <f t="shared" si="345"/>
        <v>214.52706730769233</v>
      </c>
      <c r="HH110" s="311">
        <f t="shared" si="424"/>
        <v>46.954000000000001</v>
      </c>
      <c r="HI110" s="311">
        <f t="shared" si="425"/>
        <v>117.12680458333335</v>
      </c>
      <c r="HJ110" s="311">
        <f t="shared" si="346"/>
        <v>100.22336458333335</v>
      </c>
      <c r="HK110" s="311">
        <f t="shared" si="426"/>
        <v>16.90344</v>
      </c>
      <c r="HL110" s="311">
        <f t="shared" si="427"/>
        <v>144.10698045454546</v>
      </c>
      <c r="HM110" s="311">
        <f t="shared" si="347"/>
        <v>123.44722045454547</v>
      </c>
      <c r="HN110" s="311">
        <f t="shared" si="428"/>
        <v>20.659760000000002</v>
      </c>
      <c r="HO110" s="311">
        <f t="shared" si="429"/>
        <v>1545.1807832142858</v>
      </c>
      <c r="HP110" s="311">
        <f t="shared" si="348"/>
        <v>1280.3602232142857</v>
      </c>
      <c r="HQ110" s="311">
        <f t="shared" si="430"/>
        <v>264.82056</v>
      </c>
      <c r="HR110" s="311">
        <f t="shared" si="431"/>
        <v>884.31614357142871</v>
      </c>
      <c r="HS110" s="311">
        <f t="shared" si="349"/>
        <v>698.37830357142866</v>
      </c>
      <c r="HT110" s="311">
        <f t="shared" si="432"/>
        <v>185.93783999999999</v>
      </c>
      <c r="HU110" s="311">
        <f t="shared" si="433"/>
        <v>649.57717500000001</v>
      </c>
      <c r="HV110" s="311">
        <f t="shared" si="350"/>
        <v>536.88757499999997</v>
      </c>
      <c r="HW110" s="311">
        <f t="shared" si="434"/>
        <v>112.6896</v>
      </c>
      <c r="HY110" s="313">
        <f t="shared" si="435"/>
        <v>24149.999999999996</v>
      </c>
      <c r="HZ110" s="313">
        <f t="shared" si="436"/>
        <v>788.25599999999997</v>
      </c>
      <c r="IA110" s="313">
        <f t="shared" si="437"/>
        <v>10027.884999999998</v>
      </c>
      <c r="IB110" s="313">
        <f t="shared" si="438"/>
        <v>11813.536</v>
      </c>
      <c r="IC110" s="313">
        <f t="shared" si="439"/>
        <v>1520.3230000000003</v>
      </c>
      <c r="ID110" s="313">
        <f t="shared" si="440"/>
        <v>0</v>
      </c>
      <c r="IE110" s="313">
        <f t="shared" si="441"/>
        <v>6436.0278929924243</v>
      </c>
      <c r="IF110" s="313">
        <f t="shared" si="442"/>
        <v>104.2023163886449</v>
      </c>
      <c r="IG110" s="313">
        <f t="shared" si="443"/>
        <v>2551.1547010085487</v>
      </c>
      <c r="IH110" s="313">
        <f t="shared" si="444"/>
        <v>3246.9725972735396</v>
      </c>
      <c r="II110" s="313">
        <f t="shared" si="445"/>
        <v>510.42805692735874</v>
      </c>
      <c r="IJ110" s="313">
        <f t="shared" si="446"/>
        <v>23.270221394332751</v>
      </c>
      <c r="IK110" s="866">
        <v>4.13</v>
      </c>
      <c r="IL110" s="314" t="s">
        <v>2589</v>
      </c>
      <c r="IM110" s="299" t="s">
        <v>4548</v>
      </c>
      <c r="IN110" s="657"/>
      <c r="IO110" s="730">
        <v>0.03</v>
      </c>
      <c r="IP110" s="730">
        <v>0.4</v>
      </c>
      <c r="IQ110" s="730">
        <v>0.5</v>
      </c>
      <c r="IR110" s="730">
        <v>7.0000000000000007E-2</v>
      </c>
      <c r="IS110" s="730">
        <v>0</v>
      </c>
      <c r="IT110" s="730">
        <v>1.3299999999999999E-2</v>
      </c>
      <c r="IU110" s="730">
        <v>0.37969999999999998</v>
      </c>
      <c r="IV110" s="730">
        <v>0.51670000000000005</v>
      </c>
      <c r="IW110" s="730">
        <v>8.6699999999999999E-2</v>
      </c>
      <c r="IX110" s="730">
        <v>3.5999999999999999E-3</v>
      </c>
      <c r="IY110" s="730">
        <v>0</v>
      </c>
      <c r="IZ110" s="730">
        <v>0</v>
      </c>
      <c r="JA110" s="730">
        <v>0</v>
      </c>
      <c r="JB110" s="730">
        <v>0</v>
      </c>
      <c r="JC110" s="730">
        <v>0</v>
      </c>
      <c r="JD110" s="730">
        <v>0</v>
      </c>
      <c r="JE110" s="730">
        <v>0</v>
      </c>
      <c r="JF110" s="730">
        <v>0</v>
      </c>
      <c r="JG110" s="730">
        <v>0</v>
      </c>
      <c r="JH110" s="730">
        <v>0</v>
      </c>
      <c r="JI110" s="730">
        <v>5.3999999999999999E-2</v>
      </c>
      <c r="JJ110" s="730">
        <v>0.53969999999999996</v>
      </c>
      <c r="JK110" s="730">
        <v>0.37480000000000002</v>
      </c>
      <c r="JL110" s="730">
        <v>3.15E-2</v>
      </c>
      <c r="JM110" s="730">
        <v>0</v>
      </c>
      <c r="JN110" s="730">
        <v>3.73E-2</v>
      </c>
      <c r="JO110" s="730">
        <v>0.51929999999999998</v>
      </c>
      <c r="JP110" s="730">
        <v>0.39150000000000001</v>
      </c>
      <c r="JQ110" s="730">
        <v>4.8099999999999997E-2</v>
      </c>
      <c r="JR110" s="730">
        <v>3.8E-3</v>
      </c>
      <c r="JS110" s="730">
        <v>3.2599999999999997E-2</v>
      </c>
      <c r="JT110" s="730">
        <v>0.4148</v>
      </c>
      <c r="JU110" s="730">
        <v>0.49380000000000002</v>
      </c>
      <c r="JV110" s="730">
        <v>5.8799999999999998E-2</v>
      </c>
      <c r="JW110" s="730">
        <v>0</v>
      </c>
      <c r="JX110" s="730">
        <v>1.5900000000000001E-2</v>
      </c>
      <c r="JY110" s="730">
        <v>0.39450000000000002</v>
      </c>
      <c r="JZ110" s="730">
        <v>0.51049999999999995</v>
      </c>
      <c r="KA110" s="730">
        <v>7.5499999999999998E-2</v>
      </c>
      <c r="KB110" s="730">
        <v>3.5999999999999999E-3</v>
      </c>
      <c r="KC110" s="657"/>
      <c r="KD110" s="314" t="s">
        <v>2590</v>
      </c>
      <c r="KE110" s="314" t="s">
        <v>2590</v>
      </c>
      <c r="KF110" s="866">
        <v>4.16</v>
      </c>
      <c r="KG110" s="314" t="s">
        <v>2589</v>
      </c>
      <c r="KH110" s="315" t="s">
        <v>4405</v>
      </c>
      <c r="KI110" s="314" t="s">
        <v>2659</v>
      </c>
      <c r="KJ110" s="315" t="s">
        <v>4549</v>
      </c>
    </row>
    <row r="111" spans="1:296" ht="48" hidden="1" customHeight="1">
      <c r="A111" s="265">
        <f t="shared" si="447"/>
        <v>104</v>
      </c>
      <c r="B111" s="266" t="s">
        <v>2278</v>
      </c>
      <c r="C111" s="266" t="s">
        <v>1527</v>
      </c>
      <c r="D111" s="624" t="s">
        <v>4550</v>
      </c>
      <c r="E111" s="267" t="s">
        <v>2158</v>
      </c>
      <c r="F111" s="267" t="s">
        <v>300</v>
      </c>
      <c r="G111" s="267" t="s">
        <v>300</v>
      </c>
      <c r="H111" s="267" t="s">
        <v>2109</v>
      </c>
      <c r="I111" s="268" t="s">
        <v>4392</v>
      </c>
      <c r="J111" s="268" t="s">
        <v>4551</v>
      </c>
      <c r="K111" s="269" t="s">
        <v>2097</v>
      </c>
      <c r="L111" s="269" t="s">
        <v>2109</v>
      </c>
      <c r="M111" s="269" t="s">
        <v>2603</v>
      </c>
      <c r="N111" s="269" t="s">
        <v>4448</v>
      </c>
      <c r="O111" s="267" t="s">
        <v>2616</v>
      </c>
      <c r="P111" s="268"/>
      <c r="Q111" s="270">
        <v>1</v>
      </c>
      <c r="R111" s="271">
        <v>500</v>
      </c>
      <c r="S111" s="272">
        <v>0</v>
      </c>
      <c r="T111" s="272">
        <v>0</v>
      </c>
      <c r="U111" s="272">
        <v>0</v>
      </c>
      <c r="V111" s="272">
        <v>0</v>
      </c>
      <c r="W111" s="272">
        <v>0</v>
      </c>
      <c r="X111" s="272">
        <v>5</v>
      </c>
      <c r="Y111" s="272">
        <v>8</v>
      </c>
      <c r="Z111" s="272">
        <v>10</v>
      </c>
      <c r="AA111" s="272">
        <v>12</v>
      </c>
      <c r="AB111" s="272">
        <v>15</v>
      </c>
      <c r="AC111" s="272">
        <v>18</v>
      </c>
      <c r="AD111" s="272">
        <v>20</v>
      </c>
      <c r="AE111" s="272">
        <v>22</v>
      </c>
      <c r="AF111" s="272">
        <v>22</v>
      </c>
      <c r="AG111" s="272">
        <v>21</v>
      </c>
      <c r="AH111" s="272">
        <v>20</v>
      </c>
      <c r="AI111" s="272">
        <v>20</v>
      </c>
      <c r="AJ111" s="272">
        <v>19</v>
      </c>
      <c r="AK111" s="272">
        <v>18</v>
      </c>
      <c r="AL111" s="268" t="s">
        <v>4552</v>
      </c>
      <c r="AM111" s="268" t="s">
        <v>4553</v>
      </c>
      <c r="AN111" s="268" t="s">
        <v>4554</v>
      </c>
      <c r="AO111" s="657"/>
      <c r="AP111" s="271">
        <v>15</v>
      </c>
      <c r="AQ111" s="280">
        <v>12</v>
      </c>
      <c r="AR111" s="280">
        <v>2</v>
      </c>
      <c r="AS111" s="280">
        <v>1</v>
      </c>
      <c r="AT111" s="657"/>
      <c r="AU111" s="301" t="s">
        <v>4555</v>
      </c>
      <c r="AV111" s="572" t="s">
        <v>4556</v>
      </c>
      <c r="AW111" s="645" t="s">
        <v>4557</v>
      </c>
      <c r="AX111" s="290" t="s">
        <v>2670</v>
      </c>
      <c r="AY111" s="657"/>
      <c r="AZ111" s="948">
        <v>2</v>
      </c>
      <c r="BA111" s="948">
        <v>0</v>
      </c>
      <c r="BB111" s="948">
        <v>0</v>
      </c>
      <c r="BC111" s="948">
        <v>2</v>
      </c>
      <c r="BD111" s="825">
        <f t="shared" si="352"/>
        <v>88</v>
      </c>
      <c r="BE111" s="304">
        <f t="shared" si="353"/>
        <v>44</v>
      </c>
      <c r="BF111" s="304">
        <f t="shared" si="354"/>
        <v>0</v>
      </c>
      <c r="BG111" s="304">
        <f t="shared" si="355"/>
        <v>0</v>
      </c>
      <c r="BH111" s="304">
        <f t="shared" si="356"/>
        <v>44</v>
      </c>
      <c r="BI111" s="825">
        <f t="shared" si="357"/>
        <v>72</v>
      </c>
      <c r="BJ111" s="304">
        <f t="shared" si="358"/>
        <v>36</v>
      </c>
      <c r="BK111" s="304">
        <f t="shared" si="359"/>
        <v>0</v>
      </c>
      <c r="BL111" s="304">
        <f t="shared" si="360"/>
        <v>0</v>
      </c>
      <c r="BM111" s="304">
        <f t="shared" si="361"/>
        <v>36</v>
      </c>
      <c r="BN111" s="657"/>
      <c r="BO111" s="284">
        <v>0.36</v>
      </c>
      <c r="BP111" s="284">
        <v>0.5</v>
      </c>
      <c r="BQ111" s="284">
        <v>0.1</v>
      </c>
      <c r="BR111" s="710">
        <v>0.04</v>
      </c>
      <c r="BS111" s="707">
        <v>0.31</v>
      </c>
      <c r="BT111" s="284">
        <v>0.51</v>
      </c>
      <c r="BU111" s="284">
        <v>0.15</v>
      </c>
      <c r="BV111" s="710">
        <v>0.03</v>
      </c>
      <c r="BW111" s="714"/>
      <c r="BX111" s="285"/>
      <c r="BY111" s="717"/>
      <c r="BZ111" s="714"/>
      <c r="CA111" s="285"/>
      <c r="CB111" s="717"/>
      <c r="CC111" s="284"/>
      <c r="CD111" s="284"/>
      <c r="CE111" s="284"/>
      <c r="CF111" s="710"/>
      <c r="CG111" s="707"/>
      <c r="CH111" s="284"/>
      <c r="CI111" s="284"/>
      <c r="CJ111" s="710"/>
      <c r="CK111" s="720">
        <v>0.55000000000000004</v>
      </c>
      <c r="CL111" s="286">
        <v>0.3</v>
      </c>
      <c r="CM111" s="718">
        <v>0.15</v>
      </c>
      <c r="CN111" s="720">
        <v>0.47</v>
      </c>
      <c r="CO111" s="286">
        <v>0.33</v>
      </c>
      <c r="CP111" s="718">
        <v>0.2</v>
      </c>
      <c r="CQ111" s="657"/>
      <c r="CR111" s="807">
        <v>13</v>
      </c>
      <c r="CS111" s="808">
        <v>14</v>
      </c>
      <c r="CT111" s="808">
        <v>10</v>
      </c>
      <c r="CU111" s="809">
        <v>12</v>
      </c>
      <c r="CV111" s="807"/>
      <c r="CW111" s="808"/>
      <c r="CX111" s="809"/>
      <c r="CY111" s="807"/>
      <c r="CZ111" s="808"/>
      <c r="DA111" s="808"/>
      <c r="DB111" s="809"/>
      <c r="DC111" s="807">
        <v>14</v>
      </c>
      <c r="DD111" s="808">
        <v>14</v>
      </c>
      <c r="DE111" s="809">
        <v>10</v>
      </c>
      <c r="DF111" s="610" t="s">
        <v>4558</v>
      </c>
      <c r="DG111" s="657"/>
      <c r="DH111" s="288">
        <f t="shared" si="362"/>
        <v>15.84</v>
      </c>
      <c r="DI111" s="288">
        <f t="shared" si="363"/>
        <v>22</v>
      </c>
      <c r="DJ111" s="288">
        <f t="shared" si="364"/>
        <v>4.4000000000000004</v>
      </c>
      <c r="DK111" s="288">
        <f t="shared" si="365"/>
        <v>1.76</v>
      </c>
      <c r="DL111" s="560" t="s">
        <v>4559</v>
      </c>
      <c r="DM111" s="288">
        <f t="shared" si="366"/>
        <v>11.16</v>
      </c>
      <c r="DN111" s="288">
        <f t="shared" si="367"/>
        <v>18.36</v>
      </c>
      <c r="DO111" s="288">
        <f t="shared" si="368"/>
        <v>5.3999999999999995</v>
      </c>
      <c r="DP111" s="288">
        <f t="shared" si="369"/>
        <v>1.08</v>
      </c>
      <c r="DQ111" s="561" t="s">
        <v>2868</v>
      </c>
      <c r="DR111" s="657"/>
      <c r="DS111" s="288">
        <f t="shared" si="370"/>
        <v>0</v>
      </c>
      <c r="DT111" s="288">
        <f t="shared" si="371"/>
        <v>0</v>
      </c>
      <c r="DU111" s="288">
        <f t="shared" si="372"/>
        <v>0</v>
      </c>
      <c r="DV111" s="561" t="s">
        <v>2613</v>
      </c>
      <c r="DW111" s="288">
        <f t="shared" si="373"/>
        <v>0</v>
      </c>
      <c r="DX111" s="288">
        <f t="shared" si="374"/>
        <v>0</v>
      </c>
      <c r="DY111" s="288">
        <f t="shared" si="375"/>
        <v>0</v>
      </c>
      <c r="DZ111" s="561" t="s">
        <v>2613</v>
      </c>
      <c r="EA111" s="657"/>
      <c r="EB111" s="288">
        <f t="shared" si="376"/>
        <v>0</v>
      </c>
      <c r="EC111" s="288">
        <f t="shared" si="377"/>
        <v>0</v>
      </c>
      <c r="ED111" s="288">
        <f t="shared" si="378"/>
        <v>0</v>
      </c>
      <c r="EE111" s="288">
        <f t="shared" si="379"/>
        <v>0</v>
      </c>
      <c r="EF111" s="561" t="s">
        <v>3552</v>
      </c>
      <c r="EG111" s="288">
        <f t="shared" si="380"/>
        <v>0</v>
      </c>
      <c r="EH111" s="288">
        <f t="shared" si="381"/>
        <v>0</v>
      </c>
      <c r="EI111" s="288">
        <f t="shared" si="382"/>
        <v>0</v>
      </c>
      <c r="EJ111" s="288">
        <f t="shared" si="383"/>
        <v>0</v>
      </c>
      <c r="EK111" s="561" t="s">
        <v>3553</v>
      </c>
      <c r="EL111" s="657"/>
      <c r="EM111" s="288">
        <f t="shared" si="384"/>
        <v>24.200000000000003</v>
      </c>
      <c r="EN111" s="291">
        <f t="shared" si="385"/>
        <v>13.2</v>
      </c>
      <c r="EO111" s="291">
        <f t="shared" si="386"/>
        <v>6.6</v>
      </c>
      <c r="EP111" s="561" t="s">
        <v>4560</v>
      </c>
      <c r="EQ111" s="288">
        <f t="shared" si="387"/>
        <v>16.919999999999998</v>
      </c>
      <c r="ER111" s="291">
        <f t="shared" si="388"/>
        <v>11.88</v>
      </c>
      <c r="ES111" s="291">
        <f t="shared" si="389"/>
        <v>7.2</v>
      </c>
      <c r="ET111" s="561" t="s">
        <v>2872</v>
      </c>
      <c r="EU111" s="657"/>
      <c r="EV111" s="740">
        <f t="shared" si="390"/>
        <v>0.29405354025916297</v>
      </c>
      <c r="EW111" s="740">
        <f t="shared" si="391"/>
        <v>0.70594645974083703</v>
      </c>
      <c r="EX111" s="563">
        <f t="shared" si="392"/>
        <v>5.5471628846153846</v>
      </c>
      <c r="EY111" s="563">
        <f t="shared" si="393"/>
        <v>1.6311628846153847</v>
      </c>
      <c r="EZ111" s="563">
        <f t="shared" si="394"/>
        <v>3.9159999999999999</v>
      </c>
      <c r="FA111" s="563">
        <f t="shared" si="395"/>
        <v>2.7788253846153848</v>
      </c>
      <c r="FB111" s="563">
        <f t="shared" si="396"/>
        <v>0.82082538461538468</v>
      </c>
      <c r="FC111" s="563">
        <f t="shared" si="397"/>
        <v>1.958</v>
      </c>
      <c r="FD111" s="563">
        <f t="shared" si="398"/>
        <v>0</v>
      </c>
      <c r="FE111" s="563">
        <f t="shared" si="399"/>
        <v>0</v>
      </c>
      <c r="FF111" s="563">
        <f t="shared" si="400"/>
        <v>0</v>
      </c>
      <c r="FG111" s="563">
        <f t="shared" si="401"/>
        <v>0</v>
      </c>
      <c r="FH111" s="563">
        <f t="shared" si="402"/>
        <v>0</v>
      </c>
      <c r="FI111" s="563">
        <f t="shared" si="403"/>
        <v>0</v>
      </c>
      <c r="FJ111" s="563">
        <f t="shared" si="404"/>
        <v>2.7683374999999999</v>
      </c>
      <c r="FK111" s="563">
        <f t="shared" si="405"/>
        <v>0.81033750000000004</v>
      </c>
      <c r="FL111" s="563">
        <f t="shared" si="406"/>
        <v>1.958</v>
      </c>
      <c r="FM111" s="529"/>
      <c r="FN111" s="564" t="s">
        <v>2649</v>
      </c>
      <c r="FO111" s="740">
        <v>4.4499999999999998E-2</v>
      </c>
      <c r="FP111" s="741">
        <v>0.77175000000000005</v>
      </c>
      <c r="FQ111" s="565" t="s">
        <v>3182</v>
      </c>
      <c r="FR111" s="529"/>
      <c r="FS111" s="867">
        <v>3.06</v>
      </c>
      <c r="FT111" s="566">
        <f>RANK($FS111,$FS$8:$FS$154,0)+COUNTIF($FS$8:$FS111,$FS111)-1</f>
        <v>112</v>
      </c>
      <c r="FU111" s="867">
        <v>3.65</v>
      </c>
      <c r="FV111" s="566">
        <f>RANK($FU111,$FU$8:$FU$154,0)+COUNTIF($FU$8:$FU111,$FU111)-1</f>
        <v>125</v>
      </c>
      <c r="FW111" s="867">
        <v>2</v>
      </c>
      <c r="FX111" s="566">
        <f>RANK($FW111,$FW$8:$FW$154,0)+COUNTIF($FW$8:$FW111,$FW111)-1</f>
        <v>108</v>
      </c>
      <c r="FY111" s="529"/>
      <c r="FZ111" s="567" t="s">
        <v>3183</v>
      </c>
      <c r="GA111" s="567" t="s">
        <v>4561</v>
      </c>
      <c r="GB111" s="567" t="s">
        <v>2653</v>
      </c>
      <c r="GC111" s="567" t="s">
        <v>2654</v>
      </c>
      <c r="GD111" s="567" t="s">
        <v>2876</v>
      </c>
      <c r="GE111" s="567" t="s">
        <v>2656</v>
      </c>
      <c r="GF111" s="567" t="str">
        <f t="shared" si="351"/>
        <v>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11" s="529"/>
      <c r="GH111" s="563">
        <f t="shared" si="407"/>
        <v>0.8206953846153846</v>
      </c>
      <c r="GI111" s="563">
        <f t="shared" si="337"/>
        <v>0.21371538461538461</v>
      </c>
      <c r="GJ111" s="563">
        <f t="shared" si="408"/>
        <v>0.60697999999999996</v>
      </c>
      <c r="GK111" s="563">
        <f t="shared" si="409"/>
        <v>0.99858000000000002</v>
      </c>
      <c r="GL111" s="563">
        <f t="shared" si="338"/>
        <v>0</v>
      </c>
      <c r="GM111" s="563">
        <f t="shared" si="410"/>
        <v>0.99858000000000002</v>
      </c>
      <c r="GN111" s="563">
        <f t="shared" si="411"/>
        <v>0.83392500000000003</v>
      </c>
      <c r="GO111" s="563">
        <f t="shared" si="339"/>
        <v>0.54022500000000007</v>
      </c>
      <c r="GP111" s="563">
        <f t="shared" si="412"/>
        <v>0.29369999999999996</v>
      </c>
      <c r="GQ111" s="563">
        <f t="shared" si="413"/>
        <v>0.12562499999999999</v>
      </c>
      <c r="GR111" s="563">
        <f t="shared" si="340"/>
        <v>6.6885E-2</v>
      </c>
      <c r="GS111" s="563">
        <f t="shared" si="414"/>
        <v>5.8739999999999994E-2</v>
      </c>
      <c r="GT111" s="563">
        <f t="shared" si="415"/>
        <v>0</v>
      </c>
      <c r="GU111" s="563">
        <f t="shared" si="341"/>
        <v>0</v>
      </c>
      <c r="GV111" s="563">
        <f t="shared" si="416"/>
        <v>0</v>
      </c>
      <c r="GW111" s="563">
        <f t="shared" si="417"/>
        <v>0</v>
      </c>
      <c r="GX111" s="563">
        <f t="shared" si="342"/>
        <v>0</v>
      </c>
      <c r="GY111" s="563">
        <f t="shared" si="418"/>
        <v>0</v>
      </c>
      <c r="GZ111" s="563">
        <f t="shared" si="419"/>
        <v>0</v>
      </c>
      <c r="HA111" s="563">
        <f t="shared" si="343"/>
        <v>0</v>
      </c>
      <c r="HB111" s="563">
        <f t="shared" si="420"/>
        <v>0</v>
      </c>
      <c r="HC111" s="563">
        <f t="shared" si="421"/>
        <v>0</v>
      </c>
      <c r="HD111" s="563">
        <f t="shared" si="344"/>
        <v>0</v>
      </c>
      <c r="HE111" s="563">
        <f t="shared" si="422"/>
        <v>0</v>
      </c>
      <c r="HF111" s="563">
        <f t="shared" si="423"/>
        <v>0</v>
      </c>
      <c r="HG111" s="563">
        <f t="shared" si="345"/>
        <v>0</v>
      </c>
      <c r="HH111" s="563">
        <f t="shared" si="424"/>
        <v>0</v>
      </c>
      <c r="HI111" s="563">
        <f t="shared" si="425"/>
        <v>0</v>
      </c>
      <c r="HJ111" s="563">
        <f t="shared" si="346"/>
        <v>0</v>
      </c>
      <c r="HK111" s="563">
        <f t="shared" si="426"/>
        <v>0</v>
      </c>
      <c r="HL111" s="563">
        <f t="shared" si="427"/>
        <v>0</v>
      </c>
      <c r="HM111" s="563">
        <f t="shared" si="347"/>
        <v>0</v>
      </c>
      <c r="HN111" s="563">
        <f t="shared" si="428"/>
        <v>0</v>
      </c>
      <c r="HO111" s="563">
        <f t="shared" si="429"/>
        <v>0.92025999999999997</v>
      </c>
      <c r="HP111" s="563">
        <f t="shared" si="348"/>
        <v>0</v>
      </c>
      <c r="HQ111" s="563">
        <f t="shared" si="430"/>
        <v>0.92025999999999997</v>
      </c>
      <c r="HR111" s="563">
        <f t="shared" si="431"/>
        <v>0.64614000000000005</v>
      </c>
      <c r="HS111" s="563">
        <f t="shared" si="349"/>
        <v>0</v>
      </c>
      <c r="HT111" s="563">
        <f t="shared" si="432"/>
        <v>0.64614000000000005</v>
      </c>
      <c r="HU111" s="563">
        <f t="shared" si="433"/>
        <v>1.2019375000000001</v>
      </c>
      <c r="HV111" s="563">
        <f t="shared" si="350"/>
        <v>0.81033750000000004</v>
      </c>
      <c r="HW111" s="563">
        <f t="shared" si="434"/>
        <v>0.3916</v>
      </c>
      <c r="HX111" s="544"/>
      <c r="HY111" s="568">
        <f t="shared" si="435"/>
        <v>88.000000000000014</v>
      </c>
      <c r="HZ111" s="568">
        <f t="shared" si="436"/>
        <v>9.0904000000000007</v>
      </c>
      <c r="IA111" s="568">
        <f t="shared" si="437"/>
        <v>47.044800000000002</v>
      </c>
      <c r="IB111" s="568">
        <f t="shared" si="438"/>
        <v>29.458000000000002</v>
      </c>
      <c r="IC111" s="568">
        <f t="shared" si="439"/>
        <v>2.4067999999999996</v>
      </c>
      <c r="ID111" s="568">
        <f t="shared" si="440"/>
        <v>0</v>
      </c>
      <c r="IE111" s="568">
        <f t="shared" si="441"/>
        <v>1.6311628846153847</v>
      </c>
      <c r="IF111" s="568">
        <f t="shared" si="442"/>
        <v>0.13836903634615386</v>
      </c>
      <c r="IG111" s="568">
        <f t="shared" si="443"/>
        <v>0.83518818640384618</v>
      </c>
      <c r="IH111" s="568">
        <f t="shared" si="444"/>
        <v>0.57618126784615387</v>
      </c>
      <c r="II111" s="568">
        <f t="shared" si="445"/>
        <v>7.4734528615384627E-2</v>
      </c>
      <c r="IJ111" s="568">
        <f t="shared" si="446"/>
        <v>6.6898654038461541E-3</v>
      </c>
      <c r="IK111" s="868">
        <v>4.12</v>
      </c>
      <c r="IL111" s="569" t="s">
        <v>2589</v>
      </c>
      <c r="IM111" s="570" t="s">
        <v>4562</v>
      </c>
      <c r="IN111" s="529"/>
      <c r="IO111" s="742">
        <v>0.1</v>
      </c>
      <c r="IP111" s="742">
        <v>0.53</v>
      </c>
      <c r="IQ111" s="742">
        <v>0.34</v>
      </c>
      <c r="IR111" s="742">
        <v>0.03</v>
      </c>
      <c r="IS111" s="742">
        <v>0</v>
      </c>
      <c r="IT111" s="742">
        <v>8.1500000000000003E-2</v>
      </c>
      <c r="IU111" s="742">
        <v>0.50739999999999996</v>
      </c>
      <c r="IV111" s="742">
        <v>0.3584</v>
      </c>
      <c r="IW111" s="742">
        <v>4.8399999999999999E-2</v>
      </c>
      <c r="IX111" s="742">
        <v>4.3E-3</v>
      </c>
      <c r="IY111" s="742">
        <v>0</v>
      </c>
      <c r="IZ111" s="742">
        <v>0</v>
      </c>
      <c r="JA111" s="742">
        <v>0</v>
      </c>
      <c r="JB111" s="742">
        <v>0</v>
      </c>
      <c r="JC111" s="742">
        <v>0</v>
      </c>
      <c r="JD111" s="742">
        <v>0</v>
      </c>
      <c r="JE111" s="742">
        <v>0</v>
      </c>
      <c r="JF111" s="742">
        <v>0</v>
      </c>
      <c r="JG111" s="742">
        <v>0</v>
      </c>
      <c r="JH111" s="742">
        <v>0</v>
      </c>
      <c r="JI111" s="742">
        <v>0</v>
      </c>
      <c r="JJ111" s="742">
        <v>0</v>
      </c>
      <c r="JK111" s="742">
        <v>0</v>
      </c>
      <c r="JL111" s="742">
        <v>0</v>
      </c>
      <c r="JM111" s="742">
        <v>0</v>
      </c>
      <c r="JN111" s="742">
        <v>0</v>
      </c>
      <c r="JO111" s="742">
        <v>0</v>
      </c>
      <c r="JP111" s="742">
        <v>0</v>
      </c>
      <c r="JQ111" s="742">
        <v>0</v>
      </c>
      <c r="JR111" s="742">
        <v>0</v>
      </c>
      <c r="JS111" s="742">
        <v>0.1066</v>
      </c>
      <c r="JT111" s="742">
        <v>0.53920000000000001</v>
      </c>
      <c r="JU111" s="742">
        <v>0.32950000000000002</v>
      </c>
      <c r="JV111" s="742">
        <v>2.47E-2</v>
      </c>
      <c r="JW111" s="742">
        <v>0</v>
      </c>
      <c r="JX111" s="742">
        <v>8.8200000000000001E-2</v>
      </c>
      <c r="JY111" s="742">
        <v>0.51670000000000005</v>
      </c>
      <c r="JZ111" s="742">
        <v>0.34799999999999998</v>
      </c>
      <c r="KA111" s="742">
        <v>4.3200000000000002E-2</v>
      </c>
      <c r="KB111" s="742">
        <v>3.8999999999999998E-3</v>
      </c>
      <c r="KC111" s="657"/>
      <c r="KD111" s="832" t="s">
        <v>2590</v>
      </c>
      <c r="KE111" s="832" t="s">
        <v>2590</v>
      </c>
      <c r="KF111" s="869">
        <v>4.1500000000000004</v>
      </c>
      <c r="KG111" s="832" t="s">
        <v>2589</v>
      </c>
      <c r="KH111" s="833" t="s">
        <v>3186</v>
      </c>
      <c r="KI111" s="832" t="s">
        <v>2659</v>
      </c>
      <c r="KJ111" s="833" t="s">
        <v>4563</v>
      </c>
    </row>
    <row r="112" spans="1:296" ht="48" hidden="1" customHeight="1">
      <c r="A112" s="273">
        <f t="shared" si="447"/>
        <v>105</v>
      </c>
      <c r="B112" s="274" t="s">
        <v>2278</v>
      </c>
      <c r="C112" s="274" t="s">
        <v>1527</v>
      </c>
      <c r="D112" s="274" t="s">
        <v>4564</v>
      </c>
      <c r="E112" s="275" t="s">
        <v>2158</v>
      </c>
      <c r="F112" s="275" t="s">
        <v>300</v>
      </c>
      <c r="G112" s="275" t="s">
        <v>300</v>
      </c>
      <c r="H112" s="275" t="s">
        <v>2109</v>
      </c>
      <c r="I112" s="276" t="s">
        <v>4432</v>
      </c>
      <c r="J112" s="276" t="s">
        <v>4565</v>
      </c>
      <c r="K112" s="277" t="s">
        <v>2097</v>
      </c>
      <c r="L112" s="277" t="s">
        <v>2109</v>
      </c>
      <c r="M112" s="277" t="s">
        <v>2603</v>
      </c>
      <c r="N112" s="277" t="s">
        <v>3322</v>
      </c>
      <c r="O112" s="275" t="s">
        <v>2616</v>
      </c>
      <c r="P112" s="276"/>
      <c r="Q112" s="270">
        <v>1</v>
      </c>
      <c r="R112" s="278">
        <v>950</v>
      </c>
      <c r="S112" s="279">
        <v>850</v>
      </c>
      <c r="T112" s="279">
        <v>780</v>
      </c>
      <c r="U112" s="279">
        <v>700</v>
      </c>
      <c r="V112" s="279">
        <v>620</v>
      </c>
      <c r="W112" s="279">
        <v>605</v>
      </c>
      <c r="X112" s="279">
        <v>595</v>
      </c>
      <c r="Y112" s="279">
        <v>585</v>
      </c>
      <c r="Z112" s="279">
        <v>575</v>
      </c>
      <c r="AA112" s="279">
        <v>565</v>
      </c>
      <c r="AB112" s="279">
        <v>560</v>
      </c>
      <c r="AC112" s="279">
        <v>555</v>
      </c>
      <c r="AD112" s="279">
        <v>550</v>
      </c>
      <c r="AE112" s="279">
        <v>545</v>
      </c>
      <c r="AF112" s="279">
        <v>540</v>
      </c>
      <c r="AG112" s="279">
        <v>538</v>
      </c>
      <c r="AH112" s="279">
        <v>536</v>
      </c>
      <c r="AI112" s="279">
        <v>534</v>
      </c>
      <c r="AJ112" s="279">
        <v>532</v>
      </c>
      <c r="AK112" s="279">
        <v>530</v>
      </c>
      <c r="AL112" s="276" t="s">
        <v>4566</v>
      </c>
      <c r="AM112" s="276" t="s">
        <v>4567</v>
      </c>
      <c r="AN112" s="276" t="s">
        <v>4568</v>
      </c>
      <c r="AO112" s="657"/>
      <c r="AP112" s="278">
        <v>90</v>
      </c>
      <c r="AQ112" s="278">
        <v>70</v>
      </c>
      <c r="AR112" s="278">
        <v>17</v>
      </c>
      <c r="AS112" s="278">
        <v>3</v>
      </c>
      <c r="AT112" s="657"/>
      <c r="AU112" s="281" t="s">
        <v>4569</v>
      </c>
      <c r="AV112" s="296" t="s">
        <v>4570</v>
      </c>
      <c r="AW112" s="296" t="s">
        <v>4476</v>
      </c>
      <c r="AX112" s="276" t="s">
        <v>2670</v>
      </c>
      <c r="AY112" s="657"/>
      <c r="AZ112" s="947">
        <v>7</v>
      </c>
      <c r="BA112" s="947">
        <v>0</v>
      </c>
      <c r="BB112" s="947">
        <v>2</v>
      </c>
      <c r="BC112" s="947">
        <v>6</v>
      </c>
      <c r="BD112" s="826">
        <f t="shared" si="352"/>
        <v>8100</v>
      </c>
      <c r="BE112" s="283">
        <f t="shared" si="353"/>
        <v>3780</v>
      </c>
      <c r="BF112" s="283">
        <f t="shared" si="354"/>
        <v>0</v>
      </c>
      <c r="BG112" s="283">
        <f t="shared" si="355"/>
        <v>1080</v>
      </c>
      <c r="BH112" s="283">
        <f t="shared" si="356"/>
        <v>3240</v>
      </c>
      <c r="BI112" s="826">
        <f t="shared" si="357"/>
        <v>7950</v>
      </c>
      <c r="BJ112" s="283">
        <f t="shared" si="358"/>
        <v>3710</v>
      </c>
      <c r="BK112" s="283">
        <f t="shared" si="359"/>
        <v>0</v>
      </c>
      <c r="BL112" s="283">
        <f t="shared" si="360"/>
        <v>1060</v>
      </c>
      <c r="BM112" s="283">
        <f t="shared" si="361"/>
        <v>3180</v>
      </c>
      <c r="BN112" s="657"/>
      <c r="BO112" s="305">
        <v>0.36</v>
      </c>
      <c r="BP112" s="305">
        <v>0.5</v>
      </c>
      <c r="BQ112" s="305">
        <v>0.1</v>
      </c>
      <c r="BR112" s="581">
        <v>0.04</v>
      </c>
      <c r="BS112" s="706">
        <v>0.31</v>
      </c>
      <c r="BT112" s="305">
        <v>0.51</v>
      </c>
      <c r="BU112" s="305">
        <v>0.15</v>
      </c>
      <c r="BV112" s="581">
        <v>0.03</v>
      </c>
      <c r="BW112" s="713"/>
      <c r="BX112" s="306"/>
      <c r="BY112" s="590"/>
      <c r="BZ112" s="713"/>
      <c r="CA112" s="306"/>
      <c r="CB112" s="590"/>
      <c r="CC112" s="706">
        <v>0.12</v>
      </c>
      <c r="CD112" s="305">
        <v>0.5</v>
      </c>
      <c r="CE112" s="305">
        <v>0.15</v>
      </c>
      <c r="CF112" s="581">
        <v>0.23</v>
      </c>
      <c r="CG112" s="706">
        <v>0.1</v>
      </c>
      <c r="CH112" s="305">
        <v>0.5</v>
      </c>
      <c r="CI112" s="305">
        <v>0.18</v>
      </c>
      <c r="CJ112" s="581">
        <v>0.22</v>
      </c>
      <c r="CK112" s="719">
        <v>0.55000000000000004</v>
      </c>
      <c r="CL112" s="307">
        <v>0.3</v>
      </c>
      <c r="CM112" s="723">
        <v>0.15</v>
      </c>
      <c r="CN112" s="719">
        <v>0.47</v>
      </c>
      <c r="CO112" s="307">
        <v>0.33</v>
      </c>
      <c r="CP112" s="723">
        <v>0.2</v>
      </c>
      <c r="CQ112" s="657"/>
      <c r="CR112" s="804">
        <v>13</v>
      </c>
      <c r="CS112" s="805">
        <v>14</v>
      </c>
      <c r="CT112" s="805">
        <v>10</v>
      </c>
      <c r="CU112" s="806">
        <v>12</v>
      </c>
      <c r="CV112" s="804"/>
      <c r="CW112" s="805"/>
      <c r="CX112" s="806"/>
      <c r="CY112" s="804">
        <v>11</v>
      </c>
      <c r="CZ112" s="805">
        <v>13</v>
      </c>
      <c r="DA112" s="805">
        <v>9</v>
      </c>
      <c r="DB112" s="806">
        <v>11</v>
      </c>
      <c r="DC112" s="804">
        <v>14</v>
      </c>
      <c r="DD112" s="805">
        <v>14</v>
      </c>
      <c r="DE112" s="806">
        <v>10</v>
      </c>
      <c r="DF112" s="609" t="s">
        <v>4571</v>
      </c>
      <c r="DG112" s="657"/>
      <c r="DH112" s="308">
        <f t="shared" si="362"/>
        <v>1360.8</v>
      </c>
      <c r="DI112" s="308">
        <f t="shared" si="363"/>
        <v>1890</v>
      </c>
      <c r="DJ112" s="308">
        <f t="shared" si="364"/>
        <v>378</v>
      </c>
      <c r="DK112" s="308">
        <f t="shared" si="365"/>
        <v>151.20000000000002</v>
      </c>
      <c r="DL112" s="287" t="s">
        <v>4572</v>
      </c>
      <c r="DM112" s="308">
        <f t="shared" si="366"/>
        <v>1150.0999999999999</v>
      </c>
      <c r="DN112" s="308">
        <f t="shared" si="367"/>
        <v>1892.1000000000001</v>
      </c>
      <c r="DO112" s="308">
        <f t="shared" si="368"/>
        <v>556.5</v>
      </c>
      <c r="DP112" s="308">
        <f t="shared" si="369"/>
        <v>111.3</v>
      </c>
      <c r="DQ112" s="289" t="s">
        <v>2868</v>
      </c>
      <c r="DR112" s="657"/>
      <c r="DS112" s="308">
        <f t="shared" si="370"/>
        <v>0</v>
      </c>
      <c r="DT112" s="308">
        <f t="shared" si="371"/>
        <v>0</v>
      </c>
      <c r="DU112" s="308">
        <f t="shared" si="372"/>
        <v>0</v>
      </c>
      <c r="DV112" s="289" t="s">
        <v>2613</v>
      </c>
      <c r="DW112" s="308">
        <f t="shared" si="373"/>
        <v>0</v>
      </c>
      <c r="DX112" s="308">
        <f t="shared" si="374"/>
        <v>0</v>
      </c>
      <c r="DY112" s="308">
        <f t="shared" si="375"/>
        <v>0</v>
      </c>
      <c r="DZ112" s="289" t="s">
        <v>2613</v>
      </c>
      <c r="EA112" s="657"/>
      <c r="EB112" s="308">
        <f t="shared" si="376"/>
        <v>129.6</v>
      </c>
      <c r="EC112" s="308">
        <f t="shared" si="377"/>
        <v>540</v>
      </c>
      <c r="ED112" s="308">
        <f t="shared" si="378"/>
        <v>162</v>
      </c>
      <c r="EE112" s="308">
        <f t="shared" si="379"/>
        <v>248.4</v>
      </c>
      <c r="EF112" s="289" t="s">
        <v>4573</v>
      </c>
      <c r="EG112" s="308">
        <f t="shared" si="380"/>
        <v>106</v>
      </c>
      <c r="EH112" s="308">
        <f t="shared" si="381"/>
        <v>530</v>
      </c>
      <c r="EI112" s="308">
        <f t="shared" si="382"/>
        <v>190.79999999999998</v>
      </c>
      <c r="EJ112" s="308">
        <f t="shared" si="383"/>
        <v>233.2</v>
      </c>
      <c r="EK112" s="309" t="s">
        <v>2870</v>
      </c>
      <c r="EL112" s="657"/>
      <c r="EM112" s="308">
        <f t="shared" si="384"/>
        <v>1782.0000000000002</v>
      </c>
      <c r="EN112" s="310">
        <f t="shared" si="385"/>
        <v>972</v>
      </c>
      <c r="EO112" s="310">
        <f t="shared" si="386"/>
        <v>486</v>
      </c>
      <c r="EP112" s="289" t="s">
        <v>4574</v>
      </c>
      <c r="EQ112" s="308">
        <f t="shared" si="387"/>
        <v>1494.6</v>
      </c>
      <c r="ER112" s="310">
        <f t="shared" si="388"/>
        <v>1049.4000000000001</v>
      </c>
      <c r="ES112" s="310">
        <f t="shared" si="389"/>
        <v>636</v>
      </c>
      <c r="ET112" s="289" t="s">
        <v>2872</v>
      </c>
      <c r="EU112" s="657"/>
      <c r="EV112" s="728">
        <f t="shared" si="390"/>
        <v>0.8922825716189593</v>
      </c>
      <c r="EW112" s="728">
        <f t="shared" si="391"/>
        <v>0.10771742838104079</v>
      </c>
      <c r="EX112" s="311">
        <f t="shared" si="392"/>
        <v>3218.4206883741263</v>
      </c>
      <c r="EY112" s="311">
        <f t="shared" si="393"/>
        <v>2871.7406883741264</v>
      </c>
      <c r="EZ112" s="311">
        <f t="shared" si="394"/>
        <v>346.67999999999995</v>
      </c>
      <c r="FA112" s="311">
        <f t="shared" si="395"/>
        <v>1492.0142259615386</v>
      </c>
      <c r="FB112" s="311">
        <f t="shared" si="396"/>
        <v>1330.2302259615387</v>
      </c>
      <c r="FC112" s="311">
        <f t="shared" si="397"/>
        <v>161.78399999999999</v>
      </c>
      <c r="FD112" s="311">
        <f t="shared" si="398"/>
        <v>0</v>
      </c>
      <c r="FE112" s="311">
        <f t="shared" si="399"/>
        <v>0</v>
      </c>
      <c r="FF112" s="311">
        <f t="shared" si="400"/>
        <v>0</v>
      </c>
      <c r="FG112" s="311">
        <f t="shared" si="401"/>
        <v>455.68708741258746</v>
      </c>
      <c r="FH112" s="311">
        <f t="shared" si="402"/>
        <v>409.46308741258747</v>
      </c>
      <c r="FI112" s="311">
        <f t="shared" si="403"/>
        <v>46.223999999999997</v>
      </c>
      <c r="FJ112" s="311">
        <f t="shared" si="404"/>
        <v>1270.7193750000001</v>
      </c>
      <c r="FK112" s="311">
        <f t="shared" si="405"/>
        <v>1132.0473750000001</v>
      </c>
      <c r="FL112" s="311">
        <f t="shared" si="406"/>
        <v>138.672</v>
      </c>
      <c r="FM112" s="657"/>
      <c r="FN112" s="293" t="s">
        <v>2649</v>
      </c>
      <c r="FO112" s="728">
        <v>4.2799999999999998E-2</v>
      </c>
      <c r="FP112" s="729">
        <v>0.76775000000000004</v>
      </c>
      <c r="FQ112" s="294" t="s">
        <v>4481</v>
      </c>
      <c r="FR112" s="657"/>
      <c r="FS112" s="865">
        <v>2.94</v>
      </c>
      <c r="FT112" s="312">
        <f>RANK($FS112,$FS$8:$FS$154,0)+COUNTIF($FS$8:$FS112,$FS112)-1</f>
        <v>127</v>
      </c>
      <c r="FU112" s="865">
        <v>3.57</v>
      </c>
      <c r="FV112" s="312">
        <f>RANK($FU112,$FU$8:$FU$154,0)+COUNTIF($FU$8:$FU112,$FU112)-1</f>
        <v>134</v>
      </c>
      <c r="FW112" s="865">
        <v>1.8</v>
      </c>
      <c r="FX112" s="312">
        <f>RANK($FW112,$FW$8:$FW$154,0)+COUNTIF($FW$8:$FW112,$FW112)-1</f>
        <v>130</v>
      </c>
      <c r="FY112" s="657"/>
      <c r="FZ112" s="296" t="s">
        <v>4402</v>
      </c>
      <c r="GA112" s="296" t="s">
        <v>4575</v>
      </c>
      <c r="GB112" s="296" t="s">
        <v>2653</v>
      </c>
      <c r="GC112" s="296" t="s">
        <v>2654</v>
      </c>
      <c r="GD112" s="296" t="s">
        <v>2876</v>
      </c>
      <c r="GE112" s="296" t="s">
        <v>2656</v>
      </c>
      <c r="GF112" s="296" t="str">
        <f t="shared" si="351"/>
        <v>https://anct.gouv.fr/france-services-36
https://www.economie.gouv.fr/particuliers/gerer-mon-argent/beneficier-daides-et-de-reductions-dimpots/france-services-les-services-publics-pres-de-chez-vous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12" s="657"/>
      <c r="GH112" s="311">
        <f t="shared" si="407"/>
        <v>529.37077846153852</v>
      </c>
      <c r="GI112" s="311">
        <f t="shared" si="337"/>
        <v>479.21773846153849</v>
      </c>
      <c r="GJ112" s="311">
        <f t="shared" si="408"/>
        <v>50.153039999999997</v>
      </c>
      <c r="GK112" s="311">
        <f t="shared" si="409"/>
        <v>720.70202750000021</v>
      </c>
      <c r="GL112" s="311">
        <f t="shared" si="338"/>
        <v>638.19218750000016</v>
      </c>
      <c r="GM112" s="311">
        <f t="shared" si="410"/>
        <v>82.509839999999997</v>
      </c>
      <c r="GN112" s="311">
        <f t="shared" si="411"/>
        <v>181.46441249999998</v>
      </c>
      <c r="GO112" s="311">
        <f t="shared" si="339"/>
        <v>157.19681249999999</v>
      </c>
      <c r="GP112" s="311">
        <f t="shared" si="412"/>
        <v>24.267599999999998</v>
      </c>
      <c r="GQ112" s="311">
        <f t="shared" si="413"/>
        <v>60.477007500000013</v>
      </c>
      <c r="GR112" s="311">
        <f t="shared" si="340"/>
        <v>55.62348750000001</v>
      </c>
      <c r="GS112" s="311">
        <f t="shared" si="414"/>
        <v>4.8535199999999996</v>
      </c>
      <c r="GT112" s="311">
        <f t="shared" si="415"/>
        <v>0</v>
      </c>
      <c r="GU112" s="311">
        <f t="shared" si="341"/>
        <v>0</v>
      </c>
      <c r="GV112" s="311">
        <f t="shared" si="416"/>
        <v>0</v>
      </c>
      <c r="GW112" s="311">
        <f t="shared" si="417"/>
        <v>0</v>
      </c>
      <c r="GX112" s="311">
        <f t="shared" si="342"/>
        <v>0</v>
      </c>
      <c r="GY112" s="311">
        <f t="shared" si="418"/>
        <v>0</v>
      </c>
      <c r="GZ112" s="311">
        <f t="shared" si="419"/>
        <v>0</v>
      </c>
      <c r="HA112" s="311">
        <f t="shared" si="343"/>
        <v>0</v>
      </c>
      <c r="HB112" s="311">
        <f t="shared" si="420"/>
        <v>0</v>
      </c>
      <c r="HC112" s="311">
        <f t="shared" si="421"/>
        <v>54.540109090909084</v>
      </c>
      <c r="HD112" s="311">
        <f t="shared" si="344"/>
        <v>49.917709090909085</v>
      </c>
      <c r="HE112" s="311">
        <f t="shared" si="422"/>
        <v>4.6223999999999998</v>
      </c>
      <c r="HF112" s="311">
        <f t="shared" si="423"/>
        <v>213.27776923076925</v>
      </c>
      <c r="HG112" s="311">
        <f t="shared" si="345"/>
        <v>190.16576923076926</v>
      </c>
      <c r="HH112" s="311">
        <f t="shared" si="424"/>
        <v>23.111999999999998</v>
      </c>
      <c r="HI112" s="311">
        <f t="shared" si="425"/>
        <v>82.024319999999989</v>
      </c>
      <c r="HJ112" s="311">
        <f t="shared" si="346"/>
        <v>73.703999999999994</v>
      </c>
      <c r="HK112" s="311">
        <f t="shared" si="426"/>
        <v>8.3203199999999988</v>
      </c>
      <c r="HL112" s="311">
        <f t="shared" si="427"/>
        <v>105.84488909090911</v>
      </c>
      <c r="HM112" s="311">
        <f t="shared" si="347"/>
        <v>95.675609090909106</v>
      </c>
      <c r="HN112" s="311">
        <f t="shared" si="428"/>
        <v>10.169279999999999</v>
      </c>
      <c r="HO112" s="311">
        <f t="shared" si="429"/>
        <v>666.89990250000017</v>
      </c>
      <c r="HP112" s="311">
        <f t="shared" si="348"/>
        <v>601.72406250000017</v>
      </c>
      <c r="HQ112" s="311">
        <f t="shared" si="430"/>
        <v>65.175839999999994</v>
      </c>
      <c r="HR112" s="311">
        <f t="shared" si="431"/>
        <v>373.97488499999997</v>
      </c>
      <c r="HS112" s="311">
        <f t="shared" si="349"/>
        <v>328.21312499999999</v>
      </c>
      <c r="HT112" s="311">
        <f t="shared" si="432"/>
        <v>45.761760000000002</v>
      </c>
      <c r="HU112" s="311">
        <f t="shared" si="433"/>
        <v>229.84458750000002</v>
      </c>
      <c r="HV112" s="311">
        <f t="shared" si="350"/>
        <v>202.11018750000002</v>
      </c>
      <c r="HW112" s="311">
        <f t="shared" si="434"/>
        <v>27.734400000000001</v>
      </c>
      <c r="HY112" s="313">
        <f t="shared" si="435"/>
        <v>8100</v>
      </c>
      <c r="HZ112" s="313">
        <f t="shared" si="436"/>
        <v>277.34399999999999</v>
      </c>
      <c r="IA112" s="313">
        <f t="shared" si="437"/>
        <v>3438.8280000000004</v>
      </c>
      <c r="IB112" s="313">
        <f t="shared" si="438"/>
        <v>3894.6959999999999</v>
      </c>
      <c r="IC112" s="313">
        <f t="shared" si="439"/>
        <v>489.13200000000001</v>
      </c>
      <c r="ID112" s="313">
        <f t="shared" si="440"/>
        <v>0</v>
      </c>
      <c r="IE112" s="313">
        <f t="shared" si="441"/>
        <v>2871.7406883741264</v>
      </c>
      <c r="IF112" s="313">
        <f t="shared" si="442"/>
        <v>50.964588428277978</v>
      </c>
      <c r="IG112" s="313">
        <f t="shared" si="443"/>
        <v>1164.3152875284529</v>
      </c>
      <c r="IH112" s="313">
        <f t="shared" si="444"/>
        <v>1425.5449414138552</v>
      </c>
      <c r="II112" s="313">
        <f t="shared" si="445"/>
        <v>220.49571190791087</v>
      </c>
      <c r="IJ112" s="313">
        <f t="shared" si="446"/>
        <v>10.420159095629373</v>
      </c>
      <c r="IK112" s="866">
        <v>4.13</v>
      </c>
      <c r="IL112" s="314" t="s">
        <v>2589</v>
      </c>
      <c r="IM112" s="299" t="s">
        <v>4576</v>
      </c>
      <c r="IN112" s="657"/>
      <c r="IO112" s="730">
        <v>0.03</v>
      </c>
      <c r="IP112" s="730">
        <v>0.4</v>
      </c>
      <c r="IQ112" s="730">
        <v>0.5</v>
      </c>
      <c r="IR112" s="730">
        <v>7.0000000000000007E-2</v>
      </c>
      <c r="IS112" s="730">
        <v>0</v>
      </c>
      <c r="IT112" s="730">
        <v>1.3299999999999999E-2</v>
      </c>
      <c r="IU112" s="730">
        <v>0.37969999999999998</v>
      </c>
      <c r="IV112" s="730">
        <v>0.51670000000000005</v>
      </c>
      <c r="IW112" s="730">
        <v>8.6699999999999999E-2</v>
      </c>
      <c r="IX112" s="730">
        <v>3.5999999999999999E-3</v>
      </c>
      <c r="IY112" s="730">
        <v>0</v>
      </c>
      <c r="IZ112" s="730">
        <v>0</v>
      </c>
      <c r="JA112" s="730">
        <v>0</v>
      </c>
      <c r="JB112" s="730">
        <v>0</v>
      </c>
      <c r="JC112" s="730">
        <v>0</v>
      </c>
      <c r="JD112" s="730">
        <v>0</v>
      </c>
      <c r="JE112" s="730">
        <v>0</v>
      </c>
      <c r="JF112" s="730">
        <v>0</v>
      </c>
      <c r="JG112" s="730">
        <v>0</v>
      </c>
      <c r="JH112" s="730">
        <v>0</v>
      </c>
      <c r="JI112" s="730">
        <v>5.3999999999999999E-2</v>
      </c>
      <c r="JJ112" s="730">
        <v>0.53969999999999996</v>
      </c>
      <c r="JK112" s="730">
        <v>0.37480000000000002</v>
      </c>
      <c r="JL112" s="730">
        <v>3.15E-2</v>
      </c>
      <c r="JM112" s="730">
        <v>0</v>
      </c>
      <c r="JN112" s="730">
        <v>3.73E-2</v>
      </c>
      <c r="JO112" s="730">
        <v>0.51929999999999998</v>
      </c>
      <c r="JP112" s="730">
        <v>0.39150000000000001</v>
      </c>
      <c r="JQ112" s="730">
        <v>4.8099999999999997E-2</v>
      </c>
      <c r="JR112" s="730">
        <v>3.8E-3</v>
      </c>
      <c r="JS112" s="730">
        <v>3.2599999999999997E-2</v>
      </c>
      <c r="JT112" s="730">
        <v>0.4148</v>
      </c>
      <c r="JU112" s="730">
        <v>0.49380000000000002</v>
      </c>
      <c r="JV112" s="730">
        <v>5.8799999999999998E-2</v>
      </c>
      <c r="JW112" s="730">
        <v>0</v>
      </c>
      <c r="JX112" s="730">
        <v>1.5900000000000001E-2</v>
      </c>
      <c r="JY112" s="730">
        <v>0.39450000000000002</v>
      </c>
      <c r="JZ112" s="730">
        <v>0.51049999999999995</v>
      </c>
      <c r="KA112" s="730">
        <v>7.5499999999999998E-2</v>
      </c>
      <c r="KB112" s="730">
        <v>3.5999999999999999E-3</v>
      </c>
      <c r="KC112" s="657"/>
      <c r="KD112" s="314" t="s">
        <v>2590</v>
      </c>
      <c r="KE112" s="314" t="s">
        <v>2590</v>
      </c>
      <c r="KF112" s="866">
        <v>4.16</v>
      </c>
      <c r="KG112" s="314" t="s">
        <v>2589</v>
      </c>
      <c r="KH112" s="315" t="s">
        <v>4405</v>
      </c>
      <c r="KI112" s="314" t="s">
        <v>2659</v>
      </c>
      <c r="KJ112" s="315" t="s">
        <v>4577</v>
      </c>
    </row>
    <row r="113" spans="1:296" ht="48" hidden="1" customHeight="1">
      <c r="A113" s="265">
        <f t="shared" si="447"/>
        <v>106</v>
      </c>
      <c r="B113" s="266" t="s">
        <v>2278</v>
      </c>
      <c r="C113" s="266" t="s">
        <v>4578</v>
      </c>
      <c r="D113" s="624" t="s">
        <v>681</v>
      </c>
      <c r="E113" s="267" t="s">
        <v>4579</v>
      </c>
      <c r="F113" s="267" t="s">
        <v>300</v>
      </c>
      <c r="G113" s="267" t="s">
        <v>300</v>
      </c>
      <c r="H113" s="267" t="s">
        <v>2109</v>
      </c>
      <c r="I113" s="268" t="s">
        <v>4580</v>
      </c>
      <c r="J113" s="268" t="s">
        <v>4581</v>
      </c>
      <c r="K113" s="269" t="s">
        <v>2096</v>
      </c>
      <c r="L113" s="269" t="s">
        <v>2109</v>
      </c>
      <c r="M113" s="269" t="s">
        <v>2603</v>
      </c>
      <c r="N113" s="269" t="s">
        <v>2099</v>
      </c>
      <c r="O113" s="267" t="s">
        <v>2616</v>
      </c>
      <c r="P113" s="268"/>
      <c r="Q113" s="270">
        <v>1</v>
      </c>
      <c r="R113" s="271">
        <v>700</v>
      </c>
      <c r="S113" s="272">
        <v>4800</v>
      </c>
      <c r="T113" s="272">
        <v>4700</v>
      </c>
      <c r="U113" s="272">
        <v>4600</v>
      </c>
      <c r="V113" s="272">
        <v>4450</v>
      </c>
      <c r="W113" s="272">
        <v>4400</v>
      </c>
      <c r="X113" s="272">
        <v>4350</v>
      </c>
      <c r="Y113" s="272">
        <v>4300</v>
      </c>
      <c r="Z113" s="272">
        <v>4280</v>
      </c>
      <c r="AA113" s="272">
        <v>4250</v>
      </c>
      <c r="AB113" s="272">
        <v>4225</v>
      </c>
      <c r="AC113" s="272">
        <v>4200</v>
      </c>
      <c r="AD113" s="272">
        <v>4175</v>
      </c>
      <c r="AE113" s="272">
        <v>4150</v>
      </c>
      <c r="AF113" s="272">
        <v>4100</v>
      </c>
      <c r="AG113" s="272">
        <v>4070</v>
      </c>
      <c r="AH113" s="272">
        <v>4040</v>
      </c>
      <c r="AI113" s="272">
        <v>4010</v>
      </c>
      <c r="AJ113" s="272">
        <v>3980</v>
      </c>
      <c r="AK113" s="272">
        <v>3950</v>
      </c>
      <c r="AL113" s="268" t="s">
        <v>4582</v>
      </c>
      <c r="AM113" s="268" t="s">
        <v>4583</v>
      </c>
      <c r="AN113" s="268" t="s">
        <v>4584</v>
      </c>
      <c r="AO113" s="657"/>
      <c r="AP113" s="271">
        <v>120</v>
      </c>
      <c r="AQ113" s="280">
        <v>110</v>
      </c>
      <c r="AR113" s="280">
        <v>5</v>
      </c>
      <c r="AS113" s="280">
        <v>5</v>
      </c>
      <c r="AT113" s="657"/>
      <c r="AU113" s="301" t="s">
        <v>4585</v>
      </c>
      <c r="AV113" s="572" t="s">
        <v>4586</v>
      </c>
      <c r="AW113" s="645" t="s">
        <v>3935</v>
      </c>
      <c r="AX113" s="290" t="s">
        <v>2670</v>
      </c>
      <c r="AY113" s="657"/>
      <c r="AZ113" s="948">
        <v>3</v>
      </c>
      <c r="BA113" s="948">
        <v>0</v>
      </c>
      <c r="BB113" s="948">
        <v>0.5</v>
      </c>
      <c r="BC113" s="948">
        <v>3</v>
      </c>
      <c r="BD113" s="825">
        <f t="shared" si="352"/>
        <v>26650</v>
      </c>
      <c r="BE113" s="304">
        <f t="shared" si="353"/>
        <v>12300</v>
      </c>
      <c r="BF113" s="304">
        <f t="shared" si="354"/>
        <v>0</v>
      </c>
      <c r="BG113" s="304">
        <f t="shared" si="355"/>
        <v>2050</v>
      </c>
      <c r="BH113" s="304">
        <f t="shared" si="356"/>
        <v>12300</v>
      </c>
      <c r="BI113" s="825">
        <f t="shared" si="357"/>
        <v>25675</v>
      </c>
      <c r="BJ113" s="304">
        <f t="shared" si="358"/>
        <v>11850</v>
      </c>
      <c r="BK113" s="304">
        <f t="shared" si="359"/>
        <v>0</v>
      </c>
      <c r="BL113" s="304">
        <f t="shared" si="360"/>
        <v>1975</v>
      </c>
      <c r="BM113" s="304">
        <f t="shared" si="361"/>
        <v>11850</v>
      </c>
      <c r="BN113" s="657"/>
      <c r="BO113" s="284">
        <v>0.36</v>
      </c>
      <c r="BP113" s="284">
        <v>0.5</v>
      </c>
      <c r="BQ113" s="284">
        <v>0.1</v>
      </c>
      <c r="BR113" s="710">
        <v>0.04</v>
      </c>
      <c r="BS113" s="707">
        <v>0.31</v>
      </c>
      <c r="BT113" s="284">
        <v>0.51</v>
      </c>
      <c r="BU113" s="284">
        <v>0.15</v>
      </c>
      <c r="BV113" s="710">
        <v>0.03</v>
      </c>
      <c r="BW113" s="714"/>
      <c r="BX113" s="285"/>
      <c r="BY113" s="717"/>
      <c r="BZ113" s="714"/>
      <c r="CA113" s="285"/>
      <c r="CB113" s="717"/>
      <c r="CC113" s="284">
        <v>0.12</v>
      </c>
      <c r="CD113" s="284">
        <v>0.5</v>
      </c>
      <c r="CE113" s="284">
        <v>0.15</v>
      </c>
      <c r="CF113" s="710">
        <v>0.23</v>
      </c>
      <c r="CG113" s="707">
        <v>0.1</v>
      </c>
      <c r="CH113" s="284">
        <v>0.5</v>
      </c>
      <c r="CI113" s="284">
        <v>0.18</v>
      </c>
      <c r="CJ113" s="710">
        <v>0.22</v>
      </c>
      <c r="CK113" s="720">
        <v>0.55000000000000004</v>
      </c>
      <c r="CL113" s="286">
        <v>0.3</v>
      </c>
      <c r="CM113" s="718">
        <v>0.15</v>
      </c>
      <c r="CN113" s="720">
        <v>0.47</v>
      </c>
      <c r="CO113" s="286">
        <v>0.33</v>
      </c>
      <c r="CP113" s="718">
        <v>0.2</v>
      </c>
      <c r="CQ113" s="657"/>
      <c r="CR113" s="807">
        <v>13</v>
      </c>
      <c r="CS113" s="808">
        <v>14</v>
      </c>
      <c r="CT113" s="808">
        <v>10</v>
      </c>
      <c r="CU113" s="809">
        <v>12</v>
      </c>
      <c r="CV113" s="807">
        <v>12</v>
      </c>
      <c r="CW113" s="808">
        <v>11</v>
      </c>
      <c r="CX113" s="809">
        <v>9</v>
      </c>
      <c r="CY113" s="807">
        <v>11</v>
      </c>
      <c r="CZ113" s="808">
        <v>13</v>
      </c>
      <c r="DA113" s="808">
        <v>9</v>
      </c>
      <c r="DB113" s="809">
        <v>11</v>
      </c>
      <c r="DC113" s="807">
        <v>14</v>
      </c>
      <c r="DD113" s="808">
        <v>14</v>
      </c>
      <c r="DE113" s="809">
        <v>10</v>
      </c>
      <c r="DF113" s="610" t="s">
        <v>4587</v>
      </c>
      <c r="DG113" s="657"/>
      <c r="DH113" s="288">
        <f t="shared" si="362"/>
        <v>4428</v>
      </c>
      <c r="DI113" s="288">
        <f t="shared" si="363"/>
        <v>6150</v>
      </c>
      <c r="DJ113" s="288">
        <f t="shared" si="364"/>
        <v>1230</v>
      </c>
      <c r="DK113" s="288">
        <f t="shared" si="365"/>
        <v>492</v>
      </c>
      <c r="DL113" s="560" t="s">
        <v>4588</v>
      </c>
      <c r="DM113" s="288">
        <f t="shared" si="366"/>
        <v>3673.5</v>
      </c>
      <c r="DN113" s="288">
        <f t="shared" si="367"/>
        <v>6043.5</v>
      </c>
      <c r="DO113" s="288">
        <f t="shared" si="368"/>
        <v>1777.5</v>
      </c>
      <c r="DP113" s="288">
        <f t="shared" si="369"/>
        <v>355.5</v>
      </c>
      <c r="DQ113" s="561" t="s">
        <v>2868</v>
      </c>
      <c r="DR113" s="657"/>
      <c r="DS113" s="288">
        <f t="shared" si="370"/>
        <v>0</v>
      </c>
      <c r="DT113" s="288">
        <f t="shared" si="371"/>
        <v>0</v>
      </c>
      <c r="DU113" s="288">
        <f t="shared" si="372"/>
        <v>0</v>
      </c>
      <c r="DV113" s="561" t="s">
        <v>2613</v>
      </c>
      <c r="DW113" s="288">
        <f t="shared" si="373"/>
        <v>0</v>
      </c>
      <c r="DX113" s="288">
        <f t="shared" si="374"/>
        <v>0</v>
      </c>
      <c r="DY113" s="288">
        <f t="shared" si="375"/>
        <v>0</v>
      </c>
      <c r="DZ113" s="561" t="s">
        <v>2613</v>
      </c>
      <c r="EA113" s="657"/>
      <c r="EB113" s="288">
        <f t="shared" si="376"/>
        <v>246</v>
      </c>
      <c r="EC113" s="288">
        <f t="shared" si="377"/>
        <v>1025</v>
      </c>
      <c r="ED113" s="288">
        <f t="shared" si="378"/>
        <v>307.5</v>
      </c>
      <c r="EE113" s="288">
        <f t="shared" si="379"/>
        <v>471.5</v>
      </c>
      <c r="EF113" s="561" t="s">
        <v>4589</v>
      </c>
      <c r="EG113" s="288">
        <f t="shared" si="380"/>
        <v>197.5</v>
      </c>
      <c r="EH113" s="288">
        <f t="shared" si="381"/>
        <v>987.5</v>
      </c>
      <c r="EI113" s="288">
        <f t="shared" si="382"/>
        <v>355.5</v>
      </c>
      <c r="EJ113" s="288">
        <f t="shared" si="383"/>
        <v>434.5</v>
      </c>
      <c r="EK113" s="561" t="s">
        <v>2870</v>
      </c>
      <c r="EL113" s="657"/>
      <c r="EM113" s="288">
        <f t="shared" si="384"/>
        <v>6765.0000000000009</v>
      </c>
      <c r="EN113" s="291">
        <f t="shared" si="385"/>
        <v>3690</v>
      </c>
      <c r="EO113" s="291">
        <f t="shared" si="386"/>
        <v>1845</v>
      </c>
      <c r="EP113" s="561" t="s">
        <v>4590</v>
      </c>
      <c r="EQ113" s="288">
        <f t="shared" si="387"/>
        <v>5569.5</v>
      </c>
      <c r="ER113" s="291">
        <f t="shared" si="388"/>
        <v>3910.5</v>
      </c>
      <c r="ES113" s="291">
        <f t="shared" si="389"/>
        <v>2370</v>
      </c>
      <c r="ET113" s="561" t="s">
        <v>2872</v>
      </c>
      <c r="EU113" s="657"/>
      <c r="EV113" s="740">
        <f t="shared" si="390"/>
        <v>0.88940560081280318</v>
      </c>
      <c r="EW113" s="740">
        <f t="shared" si="391"/>
        <v>0.11059439918719692</v>
      </c>
      <c r="EX113" s="563">
        <f t="shared" si="392"/>
        <v>9325.5626648351645</v>
      </c>
      <c r="EY113" s="563">
        <f t="shared" si="393"/>
        <v>8294.2076648351649</v>
      </c>
      <c r="EZ113" s="563">
        <f t="shared" si="394"/>
        <v>1031.355</v>
      </c>
      <c r="FA113" s="563">
        <f t="shared" si="395"/>
        <v>4291.5305054945056</v>
      </c>
      <c r="FB113" s="563">
        <f t="shared" si="396"/>
        <v>3815.5205054945054</v>
      </c>
      <c r="FC113" s="563">
        <f t="shared" si="397"/>
        <v>476.01</v>
      </c>
      <c r="FD113" s="563">
        <f t="shared" si="398"/>
        <v>0</v>
      </c>
      <c r="FE113" s="563">
        <f t="shared" si="399"/>
        <v>0</v>
      </c>
      <c r="FF113" s="563">
        <f t="shared" si="400"/>
        <v>0</v>
      </c>
      <c r="FG113" s="563">
        <f t="shared" si="401"/>
        <v>786.51173076923078</v>
      </c>
      <c r="FH113" s="563">
        <f t="shared" si="402"/>
        <v>707.17673076923074</v>
      </c>
      <c r="FI113" s="563">
        <f t="shared" si="403"/>
        <v>79.334999999999994</v>
      </c>
      <c r="FJ113" s="563">
        <f t="shared" si="404"/>
        <v>4247.520428571429</v>
      </c>
      <c r="FK113" s="563">
        <f t="shared" si="405"/>
        <v>3771.5104285714292</v>
      </c>
      <c r="FL113" s="563">
        <f t="shared" si="406"/>
        <v>476.01</v>
      </c>
      <c r="FM113" s="529"/>
      <c r="FN113" s="564" t="s">
        <v>2649</v>
      </c>
      <c r="FO113" s="740">
        <v>3.8699999999999998E-2</v>
      </c>
      <c r="FP113" s="741">
        <v>0.74</v>
      </c>
      <c r="FQ113" s="565" t="s">
        <v>4591</v>
      </c>
      <c r="FR113" s="529"/>
      <c r="FS113" s="867">
        <v>2.61</v>
      </c>
      <c r="FT113" s="566">
        <f>RANK($FS113,$FS$8:$FS$154,0)+COUNTIF($FS$8:$FS113,$FS113)-1</f>
        <v>141</v>
      </c>
      <c r="FU113" s="867">
        <v>3.23</v>
      </c>
      <c r="FV113" s="566">
        <f>RANK($FU113,$FU$8:$FU$154,0)+COUNTIF($FU$8:$FU113,$FU113)-1</f>
        <v>140</v>
      </c>
      <c r="FW113" s="867">
        <v>1.51</v>
      </c>
      <c r="FX113" s="566">
        <f>RANK($FW113,$FW$8:$FW$154,0)+COUNTIF($FW$8:$FW113,$FW113)-1</f>
        <v>141</v>
      </c>
      <c r="FY113" s="529"/>
      <c r="FZ113" s="567" t="s">
        <v>4592</v>
      </c>
      <c r="GA113" s="567" t="s">
        <v>4593</v>
      </c>
      <c r="GB113" s="567" t="s">
        <v>2653</v>
      </c>
      <c r="GC113" s="567" t="s">
        <v>2654</v>
      </c>
      <c r="GD113" s="567" t="s">
        <v>2876</v>
      </c>
      <c r="GE113" s="567" t="s">
        <v>2656</v>
      </c>
      <c r="GF113" s="567" t="str">
        <f t="shared" ref="GF113:GF120" si="448">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13" s="529"/>
      <c r="GH113" s="563">
        <f t="shared" si="407"/>
        <v>1524.6461769230768</v>
      </c>
      <c r="GI113" s="563">
        <f t="shared" si="337"/>
        <v>1377.0830769230768</v>
      </c>
      <c r="GJ113" s="563">
        <f t="shared" si="408"/>
        <v>147.56309999999999</v>
      </c>
      <c r="GK113" s="563">
        <f t="shared" si="409"/>
        <v>2038.5865285714285</v>
      </c>
      <c r="GL113" s="563">
        <f t="shared" si="338"/>
        <v>1795.8214285714284</v>
      </c>
      <c r="GM113" s="563">
        <f t="shared" si="410"/>
        <v>242.76509999999999</v>
      </c>
      <c r="GN113" s="563">
        <f t="shared" si="411"/>
        <v>550.47750000000008</v>
      </c>
      <c r="GO113" s="563">
        <f t="shared" si="339"/>
        <v>479.07600000000008</v>
      </c>
      <c r="GP113" s="563">
        <f t="shared" si="412"/>
        <v>71.401499999999999</v>
      </c>
      <c r="GQ113" s="563">
        <f t="shared" si="413"/>
        <v>177.8203</v>
      </c>
      <c r="GR113" s="563">
        <f t="shared" si="340"/>
        <v>163.54</v>
      </c>
      <c r="GS113" s="563">
        <f t="shared" si="414"/>
        <v>14.280299999999999</v>
      </c>
      <c r="GT113" s="563">
        <f t="shared" si="415"/>
        <v>0</v>
      </c>
      <c r="GU113" s="563">
        <f t="shared" si="341"/>
        <v>0</v>
      </c>
      <c r="GV113" s="563">
        <f t="shared" si="416"/>
        <v>0</v>
      </c>
      <c r="GW113" s="563">
        <f t="shared" si="417"/>
        <v>0</v>
      </c>
      <c r="GX113" s="563">
        <f t="shared" si="342"/>
        <v>0</v>
      </c>
      <c r="GY113" s="563">
        <f t="shared" si="418"/>
        <v>0</v>
      </c>
      <c r="GZ113" s="563">
        <f t="shared" si="419"/>
        <v>0</v>
      </c>
      <c r="HA113" s="563">
        <f t="shared" si="343"/>
        <v>0</v>
      </c>
      <c r="HB113" s="563">
        <f t="shared" si="420"/>
        <v>0</v>
      </c>
      <c r="HC113" s="563">
        <f t="shared" si="421"/>
        <v>95.845499999999987</v>
      </c>
      <c r="HD113" s="563">
        <f t="shared" si="344"/>
        <v>87.911999999999992</v>
      </c>
      <c r="HE113" s="563">
        <f t="shared" si="422"/>
        <v>7.9334999999999996</v>
      </c>
      <c r="HF113" s="563">
        <f t="shared" si="423"/>
        <v>358.43673076923079</v>
      </c>
      <c r="HG113" s="563">
        <f t="shared" si="345"/>
        <v>318.76923076923077</v>
      </c>
      <c r="HH113" s="563">
        <f t="shared" si="424"/>
        <v>39.667499999999997</v>
      </c>
      <c r="HI113" s="563">
        <f t="shared" si="425"/>
        <v>146.27780000000001</v>
      </c>
      <c r="HJ113" s="563">
        <f t="shared" si="346"/>
        <v>131.9975</v>
      </c>
      <c r="HK113" s="563">
        <f t="shared" si="426"/>
        <v>14.280299999999999</v>
      </c>
      <c r="HL113" s="563">
        <f t="shared" si="427"/>
        <v>185.95169999999999</v>
      </c>
      <c r="HM113" s="563">
        <f t="shared" si="347"/>
        <v>168.49799999999999</v>
      </c>
      <c r="HN113" s="563">
        <f t="shared" si="428"/>
        <v>17.453699999999998</v>
      </c>
      <c r="HO113" s="563">
        <f t="shared" si="429"/>
        <v>2199.1282714285717</v>
      </c>
      <c r="HP113" s="563">
        <f t="shared" si="348"/>
        <v>1975.4035714285717</v>
      </c>
      <c r="HQ113" s="563">
        <f t="shared" si="430"/>
        <v>223.72469999999998</v>
      </c>
      <c r="HR113" s="563">
        <f t="shared" si="431"/>
        <v>1234.5761571428573</v>
      </c>
      <c r="HS113" s="563">
        <f t="shared" si="349"/>
        <v>1077.4928571428572</v>
      </c>
      <c r="HT113" s="563">
        <f t="shared" si="432"/>
        <v>157.08330000000001</v>
      </c>
      <c r="HU113" s="563">
        <f t="shared" si="433"/>
        <v>813.81600000000003</v>
      </c>
      <c r="HV113" s="563">
        <f t="shared" si="350"/>
        <v>718.61400000000003</v>
      </c>
      <c r="HW113" s="563">
        <f t="shared" si="434"/>
        <v>95.201999999999998</v>
      </c>
      <c r="HX113" s="544"/>
      <c r="HY113" s="568">
        <f t="shared" si="435"/>
        <v>26650</v>
      </c>
      <c r="HZ113" s="568">
        <f t="shared" si="436"/>
        <v>2858.1099999999997</v>
      </c>
      <c r="IA113" s="568">
        <f t="shared" si="437"/>
        <v>14411.295</v>
      </c>
      <c r="IB113" s="568">
        <f t="shared" si="438"/>
        <v>8684.005000000001</v>
      </c>
      <c r="IC113" s="568">
        <f t="shared" si="439"/>
        <v>696.58999999999992</v>
      </c>
      <c r="ID113" s="568">
        <f t="shared" si="440"/>
        <v>0</v>
      </c>
      <c r="IE113" s="568">
        <f t="shared" si="441"/>
        <v>8294.2076648351649</v>
      </c>
      <c r="IF113" s="568">
        <f t="shared" si="442"/>
        <v>775.97625673791219</v>
      </c>
      <c r="IG113" s="568">
        <f t="shared" si="443"/>
        <v>4347.0360348000004</v>
      </c>
      <c r="IH113" s="568">
        <f t="shared" si="444"/>
        <v>2811.8804078681324</v>
      </c>
      <c r="II113" s="568">
        <f t="shared" si="445"/>
        <v>332.77350090164839</v>
      </c>
      <c r="IJ113" s="568">
        <f t="shared" si="446"/>
        <v>26.541464527472531</v>
      </c>
      <c r="IK113" s="868">
        <v>3.98</v>
      </c>
      <c r="IL113" s="569" t="s">
        <v>2626</v>
      </c>
      <c r="IM113" s="570" t="s">
        <v>4594</v>
      </c>
      <c r="IN113" s="529"/>
      <c r="IO113" s="742">
        <v>0.1</v>
      </c>
      <c r="IP113" s="742">
        <v>0.53</v>
      </c>
      <c r="IQ113" s="742">
        <v>0.34</v>
      </c>
      <c r="IR113" s="742">
        <v>0.03</v>
      </c>
      <c r="IS113" s="742">
        <v>0</v>
      </c>
      <c r="IT113" s="742">
        <v>8.5900000000000004E-2</v>
      </c>
      <c r="IU113" s="742">
        <v>0.51270000000000004</v>
      </c>
      <c r="IV113" s="742">
        <v>0.35410000000000003</v>
      </c>
      <c r="IW113" s="742">
        <v>4.41E-2</v>
      </c>
      <c r="IX113" s="742">
        <v>3.2000000000000002E-3</v>
      </c>
      <c r="IY113" s="742">
        <v>0</v>
      </c>
      <c r="IZ113" s="742">
        <v>0</v>
      </c>
      <c r="JA113" s="742">
        <v>0</v>
      </c>
      <c r="JB113" s="742">
        <v>0</v>
      </c>
      <c r="JC113" s="742">
        <v>0</v>
      </c>
      <c r="JD113" s="742">
        <v>0</v>
      </c>
      <c r="JE113" s="742">
        <v>0</v>
      </c>
      <c r="JF113" s="742">
        <v>0</v>
      </c>
      <c r="JG113" s="742">
        <v>0</v>
      </c>
      <c r="JH113" s="742">
        <v>0</v>
      </c>
      <c r="JI113" s="742">
        <v>0.15459999999999999</v>
      </c>
      <c r="JJ113" s="742">
        <v>0.61470000000000002</v>
      </c>
      <c r="JK113" s="742">
        <v>0.21909999999999999</v>
      </c>
      <c r="JL113" s="742">
        <v>1.1599999999999999E-2</v>
      </c>
      <c r="JM113" s="742">
        <v>0</v>
      </c>
      <c r="JN113" s="742">
        <v>0.14050000000000001</v>
      </c>
      <c r="JO113" s="742">
        <v>0.59740000000000004</v>
      </c>
      <c r="JP113" s="742">
        <v>0.23319999999999999</v>
      </c>
      <c r="JQ113" s="742">
        <v>2.5700000000000001E-2</v>
      </c>
      <c r="JR113" s="742">
        <v>3.2000000000000002E-3</v>
      </c>
      <c r="JS113" s="742">
        <v>0.1066</v>
      </c>
      <c r="JT113" s="742">
        <v>0.53920000000000001</v>
      </c>
      <c r="JU113" s="742">
        <v>0.32950000000000002</v>
      </c>
      <c r="JV113" s="742">
        <v>2.47E-2</v>
      </c>
      <c r="JW113" s="742">
        <v>0</v>
      </c>
      <c r="JX113" s="742">
        <v>9.2499999999999999E-2</v>
      </c>
      <c r="JY113" s="742">
        <v>0.52190000000000003</v>
      </c>
      <c r="JZ113" s="742">
        <v>0.34360000000000002</v>
      </c>
      <c r="KA113" s="742">
        <v>3.8800000000000001E-2</v>
      </c>
      <c r="KB113" s="742">
        <v>3.2000000000000002E-3</v>
      </c>
      <c r="KC113" s="657"/>
      <c r="KD113" s="832" t="s">
        <v>2591</v>
      </c>
      <c r="KE113" s="832" t="s">
        <v>2591</v>
      </c>
      <c r="KF113" s="869">
        <v>4.01</v>
      </c>
      <c r="KG113" s="832" t="s">
        <v>2589</v>
      </c>
      <c r="KH113" s="833" t="s">
        <v>4595</v>
      </c>
      <c r="KI113" s="832" t="s">
        <v>2659</v>
      </c>
      <c r="KJ113" s="833" t="s">
        <v>4596</v>
      </c>
    </row>
    <row r="114" spans="1:296" ht="48" hidden="1" customHeight="1">
      <c r="A114" s="273">
        <f t="shared" si="447"/>
        <v>107</v>
      </c>
      <c r="B114" s="274" t="s">
        <v>2278</v>
      </c>
      <c r="C114" s="274" t="s">
        <v>4578</v>
      </c>
      <c r="D114" s="274" t="s">
        <v>4597</v>
      </c>
      <c r="E114" s="275" t="s">
        <v>2117</v>
      </c>
      <c r="F114" s="275" t="s">
        <v>4598</v>
      </c>
      <c r="G114" s="275" t="s">
        <v>2121</v>
      </c>
      <c r="H114" s="275" t="s">
        <v>2096</v>
      </c>
      <c r="I114" s="276" t="s">
        <v>4599</v>
      </c>
      <c r="J114" s="276" t="s">
        <v>4600</v>
      </c>
      <c r="K114" s="277" t="s">
        <v>2109</v>
      </c>
      <c r="L114" s="277" t="s">
        <v>2109</v>
      </c>
      <c r="M114" s="277" t="s">
        <v>2603</v>
      </c>
      <c r="N114" s="277" t="s">
        <v>2099</v>
      </c>
      <c r="O114" s="275" t="s">
        <v>2616</v>
      </c>
      <c r="P114" s="276"/>
      <c r="Q114" s="270">
        <v>1</v>
      </c>
      <c r="R114" s="278">
        <v>2600</v>
      </c>
      <c r="S114" s="279">
        <v>520</v>
      </c>
      <c r="T114" s="279">
        <v>500</v>
      </c>
      <c r="U114" s="279">
        <v>480</v>
      </c>
      <c r="V114" s="279">
        <v>450</v>
      </c>
      <c r="W114" s="279">
        <v>445</v>
      </c>
      <c r="X114" s="279">
        <v>440</v>
      </c>
      <c r="Y114" s="279">
        <v>435</v>
      </c>
      <c r="Z114" s="279">
        <v>430</v>
      </c>
      <c r="AA114" s="279">
        <v>425</v>
      </c>
      <c r="AB114" s="279">
        <v>420</v>
      </c>
      <c r="AC114" s="279">
        <v>415</v>
      </c>
      <c r="AD114" s="279">
        <v>410</v>
      </c>
      <c r="AE114" s="279">
        <v>405</v>
      </c>
      <c r="AF114" s="279">
        <v>400</v>
      </c>
      <c r="AG114" s="279">
        <v>395</v>
      </c>
      <c r="AH114" s="279">
        <v>390</v>
      </c>
      <c r="AI114" s="279">
        <v>385</v>
      </c>
      <c r="AJ114" s="279">
        <v>380</v>
      </c>
      <c r="AK114" s="279">
        <v>375</v>
      </c>
      <c r="AL114" s="276" t="s">
        <v>4601</v>
      </c>
      <c r="AM114" s="276" t="s">
        <v>4602</v>
      </c>
      <c r="AN114" s="276" t="s">
        <v>4603</v>
      </c>
      <c r="AO114" s="657"/>
      <c r="AP114" s="278">
        <v>80</v>
      </c>
      <c r="AQ114" s="278">
        <v>60</v>
      </c>
      <c r="AR114" s="278">
        <v>15</v>
      </c>
      <c r="AS114" s="278">
        <v>5</v>
      </c>
      <c r="AT114" s="657"/>
      <c r="AU114" s="281" t="s">
        <v>4604</v>
      </c>
      <c r="AV114" s="296" t="s">
        <v>4605</v>
      </c>
      <c r="AW114" s="296" t="s">
        <v>3786</v>
      </c>
      <c r="AX114" s="276" t="s">
        <v>2670</v>
      </c>
      <c r="AY114" s="657"/>
      <c r="AZ114" s="947">
        <v>5</v>
      </c>
      <c r="BA114" s="947">
        <v>2</v>
      </c>
      <c r="BB114" s="947">
        <v>0.6</v>
      </c>
      <c r="BC114" s="947">
        <v>5</v>
      </c>
      <c r="BD114" s="826">
        <f t="shared" si="352"/>
        <v>5040</v>
      </c>
      <c r="BE114" s="283">
        <f t="shared" si="353"/>
        <v>2000</v>
      </c>
      <c r="BF114" s="283">
        <f t="shared" si="354"/>
        <v>800</v>
      </c>
      <c r="BG114" s="283">
        <f t="shared" si="355"/>
        <v>240</v>
      </c>
      <c r="BH114" s="283">
        <f t="shared" si="356"/>
        <v>2000</v>
      </c>
      <c r="BI114" s="826">
        <f t="shared" si="357"/>
        <v>4725</v>
      </c>
      <c r="BJ114" s="283">
        <f t="shared" si="358"/>
        <v>1875</v>
      </c>
      <c r="BK114" s="283">
        <f t="shared" si="359"/>
        <v>750</v>
      </c>
      <c r="BL114" s="283">
        <f t="shared" si="360"/>
        <v>225</v>
      </c>
      <c r="BM114" s="283">
        <f t="shared" si="361"/>
        <v>1875</v>
      </c>
      <c r="BN114" s="657"/>
      <c r="BO114" s="305">
        <v>0.1</v>
      </c>
      <c r="BP114" s="305">
        <v>0.76</v>
      </c>
      <c r="BQ114" s="305">
        <v>0.08</v>
      </c>
      <c r="BR114" s="581">
        <v>0.06</v>
      </c>
      <c r="BS114" s="706">
        <v>0.08</v>
      </c>
      <c r="BT114" s="305">
        <v>0.76</v>
      </c>
      <c r="BU114" s="305">
        <v>0.1</v>
      </c>
      <c r="BV114" s="581">
        <v>0.06</v>
      </c>
      <c r="BW114" s="713">
        <v>0.15</v>
      </c>
      <c r="BX114" s="306">
        <v>0.8</v>
      </c>
      <c r="BY114" s="590">
        <v>0.05</v>
      </c>
      <c r="BZ114" s="713">
        <v>0.12</v>
      </c>
      <c r="CA114" s="306">
        <v>0.82</v>
      </c>
      <c r="CB114" s="590">
        <v>0.06</v>
      </c>
      <c r="CC114" s="706">
        <v>0.05</v>
      </c>
      <c r="CD114" s="305">
        <v>0.55000000000000004</v>
      </c>
      <c r="CE114" s="305">
        <v>0.1</v>
      </c>
      <c r="CF114" s="581">
        <v>0.3</v>
      </c>
      <c r="CG114" s="706">
        <v>0.04</v>
      </c>
      <c r="CH114" s="305">
        <v>0.55000000000000004</v>
      </c>
      <c r="CI114" s="305">
        <v>0.12</v>
      </c>
      <c r="CJ114" s="581">
        <v>0.28999999999999998</v>
      </c>
      <c r="CK114" s="719">
        <v>0.25</v>
      </c>
      <c r="CL114" s="307">
        <v>0.55000000000000004</v>
      </c>
      <c r="CM114" s="723">
        <v>0.2</v>
      </c>
      <c r="CN114" s="719">
        <v>0.15</v>
      </c>
      <c r="CO114" s="307">
        <v>0.57999999999999996</v>
      </c>
      <c r="CP114" s="723">
        <v>0.27</v>
      </c>
      <c r="CQ114" s="657"/>
      <c r="CR114" s="804">
        <v>10</v>
      </c>
      <c r="CS114" s="805">
        <v>11</v>
      </c>
      <c r="CT114" s="805">
        <v>8</v>
      </c>
      <c r="CU114" s="806">
        <v>10</v>
      </c>
      <c r="CV114" s="804">
        <v>8</v>
      </c>
      <c r="CW114" s="805">
        <v>8</v>
      </c>
      <c r="CX114" s="806">
        <v>7</v>
      </c>
      <c r="CY114" s="804">
        <v>8</v>
      </c>
      <c r="CZ114" s="805">
        <v>10</v>
      </c>
      <c r="DA114" s="805">
        <v>7</v>
      </c>
      <c r="DB114" s="806">
        <v>9</v>
      </c>
      <c r="DC114" s="804">
        <v>10</v>
      </c>
      <c r="DD114" s="805">
        <v>11</v>
      </c>
      <c r="DE114" s="806">
        <v>8</v>
      </c>
      <c r="DF114" s="609" t="s">
        <v>4606</v>
      </c>
      <c r="DG114" s="657"/>
      <c r="DH114" s="308">
        <f t="shared" si="362"/>
        <v>200</v>
      </c>
      <c r="DI114" s="308">
        <f t="shared" si="363"/>
        <v>1520</v>
      </c>
      <c r="DJ114" s="308">
        <f t="shared" si="364"/>
        <v>160</v>
      </c>
      <c r="DK114" s="308">
        <f t="shared" si="365"/>
        <v>120</v>
      </c>
      <c r="DL114" s="287" t="s">
        <v>4607</v>
      </c>
      <c r="DM114" s="308">
        <f t="shared" si="366"/>
        <v>150</v>
      </c>
      <c r="DN114" s="308">
        <f t="shared" si="367"/>
        <v>1425</v>
      </c>
      <c r="DO114" s="308">
        <f t="shared" si="368"/>
        <v>187.5</v>
      </c>
      <c r="DP114" s="308">
        <f t="shared" si="369"/>
        <v>112.5</v>
      </c>
      <c r="DQ114" s="289" t="s">
        <v>2644</v>
      </c>
      <c r="DR114" s="657"/>
      <c r="DS114" s="308">
        <f t="shared" si="370"/>
        <v>120</v>
      </c>
      <c r="DT114" s="308">
        <f t="shared" si="371"/>
        <v>640</v>
      </c>
      <c r="DU114" s="308">
        <f t="shared" si="372"/>
        <v>40</v>
      </c>
      <c r="DV114" s="289" t="s">
        <v>4608</v>
      </c>
      <c r="DW114" s="308">
        <f t="shared" si="373"/>
        <v>90</v>
      </c>
      <c r="DX114" s="308">
        <f t="shared" si="374"/>
        <v>615</v>
      </c>
      <c r="DY114" s="308">
        <f t="shared" si="375"/>
        <v>45</v>
      </c>
      <c r="DZ114" s="289" t="s">
        <v>2981</v>
      </c>
      <c r="EA114" s="657"/>
      <c r="EB114" s="308">
        <f t="shared" si="376"/>
        <v>12</v>
      </c>
      <c r="EC114" s="308">
        <f t="shared" si="377"/>
        <v>132</v>
      </c>
      <c r="ED114" s="308">
        <f t="shared" si="378"/>
        <v>24</v>
      </c>
      <c r="EE114" s="308">
        <f t="shared" si="379"/>
        <v>72</v>
      </c>
      <c r="EF114" s="289" t="s">
        <v>4609</v>
      </c>
      <c r="EG114" s="308">
        <f t="shared" si="380"/>
        <v>9</v>
      </c>
      <c r="EH114" s="308">
        <f t="shared" si="381"/>
        <v>123.75000000000001</v>
      </c>
      <c r="EI114" s="308">
        <f t="shared" si="382"/>
        <v>27</v>
      </c>
      <c r="EJ114" s="308">
        <f t="shared" si="383"/>
        <v>65.25</v>
      </c>
      <c r="EK114" s="309" t="s">
        <v>4610</v>
      </c>
      <c r="EL114" s="657"/>
      <c r="EM114" s="308">
        <f t="shared" si="384"/>
        <v>500</v>
      </c>
      <c r="EN114" s="310">
        <f t="shared" si="385"/>
        <v>1100</v>
      </c>
      <c r="EO114" s="310">
        <f t="shared" si="386"/>
        <v>400</v>
      </c>
      <c r="EP114" s="289" t="s">
        <v>4611</v>
      </c>
      <c r="EQ114" s="308">
        <f t="shared" si="387"/>
        <v>281.25</v>
      </c>
      <c r="ER114" s="310">
        <f t="shared" si="388"/>
        <v>1087.5</v>
      </c>
      <c r="ES114" s="310">
        <f t="shared" si="389"/>
        <v>506.25000000000006</v>
      </c>
      <c r="ET114" s="289" t="s">
        <v>2985</v>
      </c>
      <c r="EU114" s="657"/>
      <c r="EV114" s="728">
        <f t="shared" si="390"/>
        <v>0.91405313414871336</v>
      </c>
      <c r="EW114" s="728">
        <f t="shared" si="391"/>
        <v>8.5946865851286719E-2</v>
      </c>
      <c r="EX114" s="311">
        <f t="shared" si="392"/>
        <v>2269.4021249999996</v>
      </c>
      <c r="EY114" s="311">
        <f t="shared" si="393"/>
        <v>2074.3541249999998</v>
      </c>
      <c r="EZ114" s="311">
        <f t="shared" si="394"/>
        <v>195.04799999999997</v>
      </c>
      <c r="FA114" s="311">
        <f t="shared" si="395"/>
        <v>847.18499999999995</v>
      </c>
      <c r="FB114" s="311">
        <f t="shared" si="396"/>
        <v>769.78499999999997</v>
      </c>
      <c r="FC114" s="311">
        <f t="shared" si="397"/>
        <v>77.399999999999991</v>
      </c>
      <c r="FD114" s="311">
        <f t="shared" si="398"/>
        <v>426.62874999999997</v>
      </c>
      <c r="FE114" s="311">
        <f t="shared" si="399"/>
        <v>395.66874999999999</v>
      </c>
      <c r="FF114" s="311">
        <f t="shared" si="400"/>
        <v>30.959999999999997</v>
      </c>
      <c r="FG114" s="311">
        <f t="shared" si="401"/>
        <v>113.43837499999999</v>
      </c>
      <c r="FH114" s="311">
        <f t="shared" si="402"/>
        <v>104.150375</v>
      </c>
      <c r="FI114" s="311">
        <f t="shared" si="403"/>
        <v>9.2880000000000003</v>
      </c>
      <c r="FJ114" s="311">
        <f t="shared" si="404"/>
        <v>882.15</v>
      </c>
      <c r="FK114" s="311">
        <f t="shared" si="405"/>
        <v>804.75</v>
      </c>
      <c r="FL114" s="311">
        <f t="shared" si="406"/>
        <v>77.399999999999991</v>
      </c>
      <c r="FM114" s="657"/>
      <c r="FN114" s="293" t="s">
        <v>2649</v>
      </c>
      <c r="FO114" s="728">
        <v>3.8699999999999998E-2</v>
      </c>
      <c r="FP114" s="729">
        <v>0.74</v>
      </c>
      <c r="FQ114" s="294" t="s">
        <v>4591</v>
      </c>
      <c r="FR114" s="657"/>
      <c r="FS114" s="865">
        <v>2.61</v>
      </c>
      <c r="FT114" s="312">
        <f>RANK($FS114,$FS$8:$FS$154,0)+COUNTIF($FS$8:$FS114,$FS114)-1</f>
        <v>142</v>
      </c>
      <c r="FU114" s="865">
        <v>3.23</v>
      </c>
      <c r="FV114" s="312">
        <f>RANK($FU114,$FU$8:$FU$154,0)+COUNTIF($FU$8:$FU114,$FU114)-1</f>
        <v>141</v>
      </c>
      <c r="FW114" s="865">
        <v>1.51</v>
      </c>
      <c r="FX114" s="312">
        <f>RANK($FW114,$FW$8:$FW$154,0)+COUNTIF($FW$8:$FW114,$FW114)-1</f>
        <v>142</v>
      </c>
      <c r="FY114" s="657"/>
      <c r="FZ114" s="296" t="s">
        <v>4592</v>
      </c>
      <c r="GA114" s="296" t="s">
        <v>4612</v>
      </c>
      <c r="GB114" s="296" t="s">
        <v>2653</v>
      </c>
      <c r="GC114" s="296" t="s">
        <v>2654</v>
      </c>
      <c r="GD114" s="296" t="s">
        <v>2876</v>
      </c>
      <c r="GE114" s="296" t="s">
        <v>2656</v>
      </c>
      <c r="GF114" s="296" t="str">
        <f t="shared" si="448"/>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14" s="657"/>
      <c r="GH114" s="311">
        <f t="shared" si="407"/>
        <v>86.666999999999987</v>
      </c>
      <c r="GI114" s="311">
        <f t="shared" si="337"/>
        <v>80.474999999999994</v>
      </c>
      <c r="GJ114" s="311">
        <f t="shared" si="408"/>
        <v>6.1919999999999993</v>
      </c>
      <c r="GK114" s="311">
        <f t="shared" si="409"/>
        <v>621.22399999999993</v>
      </c>
      <c r="GL114" s="311">
        <f t="shared" si="338"/>
        <v>562.4</v>
      </c>
      <c r="GM114" s="311">
        <f t="shared" si="410"/>
        <v>58.823999999999991</v>
      </c>
      <c r="GN114" s="311">
        <f t="shared" si="411"/>
        <v>86.364999999999995</v>
      </c>
      <c r="GO114" s="311">
        <f t="shared" si="339"/>
        <v>78.625</v>
      </c>
      <c r="GP114" s="311">
        <f t="shared" si="412"/>
        <v>7.7399999999999993</v>
      </c>
      <c r="GQ114" s="311">
        <f t="shared" si="413"/>
        <v>52.928999999999988</v>
      </c>
      <c r="GR114" s="311">
        <f t="shared" si="340"/>
        <v>48.284999999999989</v>
      </c>
      <c r="GS114" s="311">
        <f t="shared" si="414"/>
        <v>4.6439999999999992</v>
      </c>
      <c r="GT114" s="311">
        <f t="shared" si="415"/>
        <v>62.683949999999996</v>
      </c>
      <c r="GU114" s="311">
        <f t="shared" si="341"/>
        <v>58.96875</v>
      </c>
      <c r="GV114" s="311">
        <f t="shared" si="416"/>
        <v>3.7151999999999994</v>
      </c>
      <c r="GW114" s="311">
        <f t="shared" si="417"/>
        <v>339.88720000000001</v>
      </c>
      <c r="GX114" s="311">
        <f t="shared" si="342"/>
        <v>314.5</v>
      </c>
      <c r="GY114" s="311">
        <f t="shared" si="418"/>
        <v>25.387199999999996</v>
      </c>
      <c r="GZ114" s="311">
        <f t="shared" si="419"/>
        <v>24.057600000000001</v>
      </c>
      <c r="HA114" s="311">
        <f t="shared" si="343"/>
        <v>22.2</v>
      </c>
      <c r="HB114" s="311">
        <f t="shared" si="420"/>
        <v>1.8575999999999997</v>
      </c>
      <c r="HC114" s="311">
        <f t="shared" si="421"/>
        <v>6.2683949999999991</v>
      </c>
      <c r="HD114" s="311">
        <f t="shared" si="344"/>
        <v>5.8968749999999988</v>
      </c>
      <c r="HE114" s="311">
        <f t="shared" si="422"/>
        <v>0.37152000000000002</v>
      </c>
      <c r="HF114" s="311">
        <f t="shared" si="423"/>
        <v>58.221899999999998</v>
      </c>
      <c r="HG114" s="311">
        <f t="shared" si="345"/>
        <v>53.113499999999995</v>
      </c>
      <c r="HH114" s="311">
        <f t="shared" si="424"/>
        <v>5.1084000000000005</v>
      </c>
      <c r="HI114" s="311">
        <f t="shared" si="425"/>
        <v>14.434559999999998</v>
      </c>
      <c r="HJ114" s="311">
        <f t="shared" si="346"/>
        <v>13.319999999999999</v>
      </c>
      <c r="HK114" s="311">
        <f t="shared" si="426"/>
        <v>1.11456</v>
      </c>
      <c r="HL114" s="311">
        <f t="shared" si="427"/>
        <v>34.51352</v>
      </c>
      <c r="HM114" s="311">
        <f t="shared" si="347"/>
        <v>31.82</v>
      </c>
      <c r="HN114" s="311">
        <f t="shared" si="428"/>
        <v>2.6935199999999999</v>
      </c>
      <c r="HO114" s="311">
        <f t="shared" si="429"/>
        <v>212.79749999999999</v>
      </c>
      <c r="HP114" s="311">
        <f t="shared" si="348"/>
        <v>201.1875</v>
      </c>
      <c r="HQ114" s="311">
        <f t="shared" si="430"/>
        <v>11.609999999999998</v>
      </c>
      <c r="HR114" s="311">
        <f t="shared" si="431"/>
        <v>451.892</v>
      </c>
      <c r="HS114" s="311">
        <f t="shared" si="349"/>
        <v>407</v>
      </c>
      <c r="HT114" s="311">
        <f t="shared" si="432"/>
        <v>44.891999999999989</v>
      </c>
      <c r="HU114" s="311">
        <f t="shared" si="433"/>
        <v>217.4605</v>
      </c>
      <c r="HV114" s="311">
        <f t="shared" si="350"/>
        <v>196.5625</v>
      </c>
      <c r="HW114" s="311">
        <f t="shared" si="434"/>
        <v>20.898</v>
      </c>
      <c r="HY114" s="313">
        <f t="shared" si="435"/>
        <v>4800</v>
      </c>
      <c r="HZ114" s="313">
        <f t="shared" si="436"/>
        <v>494.96</v>
      </c>
      <c r="IA114" s="313">
        <f t="shared" si="437"/>
        <v>2571.92</v>
      </c>
      <c r="IB114" s="313">
        <f t="shared" si="438"/>
        <v>1603.88</v>
      </c>
      <c r="IC114" s="313">
        <f t="shared" si="439"/>
        <v>129.24</v>
      </c>
      <c r="ID114" s="313">
        <f t="shared" si="440"/>
        <v>0</v>
      </c>
      <c r="IE114" s="313">
        <f t="shared" si="441"/>
        <v>1970.2037500000001</v>
      </c>
      <c r="IF114" s="313">
        <f t="shared" si="442"/>
        <v>175.42232337500002</v>
      </c>
      <c r="IG114" s="313">
        <f t="shared" si="443"/>
        <v>1022.23562075</v>
      </c>
      <c r="IH114" s="313">
        <f t="shared" si="444"/>
        <v>685.67782099999999</v>
      </c>
      <c r="II114" s="313">
        <f t="shared" si="445"/>
        <v>80.563332875</v>
      </c>
      <c r="IJ114" s="313">
        <f t="shared" si="446"/>
        <v>6.3046520000000008</v>
      </c>
      <c r="IK114" s="866">
        <v>3.98</v>
      </c>
      <c r="IL114" s="314" t="s">
        <v>2626</v>
      </c>
      <c r="IM114" s="299" t="s">
        <v>4613</v>
      </c>
      <c r="IN114" s="657"/>
      <c r="IO114" s="730">
        <v>0.1</v>
      </c>
      <c r="IP114" s="730">
        <v>0.53</v>
      </c>
      <c r="IQ114" s="730">
        <v>0.34</v>
      </c>
      <c r="IR114" s="730">
        <v>0.03</v>
      </c>
      <c r="IS114" s="730">
        <v>0</v>
      </c>
      <c r="IT114" s="730">
        <v>8.5900000000000004E-2</v>
      </c>
      <c r="IU114" s="730">
        <v>0.51270000000000004</v>
      </c>
      <c r="IV114" s="730">
        <v>0.35410000000000003</v>
      </c>
      <c r="IW114" s="730">
        <v>4.41E-2</v>
      </c>
      <c r="IX114" s="730">
        <v>3.2000000000000002E-3</v>
      </c>
      <c r="IY114" s="730">
        <v>0.1022</v>
      </c>
      <c r="IZ114" s="730">
        <v>0.54190000000000005</v>
      </c>
      <c r="JA114" s="730">
        <v>0.33110000000000001</v>
      </c>
      <c r="JB114" s="730">
        <v>2.4799999999999999E-2</v>
      </c>
      <c r="JC114" s="730">
        <v>0</v>
      </c>
      <c r="JD114" s="730">
        <v>8.8099999999999998E-2</v>
      </c>
      <c r="JE114" s="730">
        <v>0.52459999999999996</v>
      </c>
      <c r="JF114" s="730">
        <v>0.34520000000000001</v>
      </c>
      <c r="JG114" s="730">
        <v>3.8899999999999997E-2</v>
      </c>
      <c r="JH114" s="730">
        <v>3.2000000000000002E-3</v>
      </c>
      <c r="JI114" s="730">
        <v>0</v>
      </c>
      <c r="JJ114" s="730">
        <v>0</v>
      </c>
      <c r="JK114" s="730">
        <v>0</v>
      </c>
      <c r="JL114" s="730">
        <v>0</v>
      </c>
      <c r="JM114" s="730">
        <v>0</v>
      </c>
      <c r="JN114" s="730">
        <v>0</v>
      </c>
      <c r="JO114" s="730">
        <v>0</v>
      </c>
      <c r="JP114" s="730">
        <v>0</v>
      </c>
      <c r="JQ114" s="730">
        <v>0</v>
      </c>
      <c r="JR114" s="730">
        <v>0</v>
      </c>
      <c r="JS114" s="730">
        <v>0.1066</v>
      </c>
      <c r="JT114" s="730">
        <v>0.53920000000000001</v>
      </c>
      <c r="JU114" s="730">
        <v>0.32950000000000002</v>
      </c>
      <c r="JV114" s="730">
        <v>2.47E-2</v>
      </c>
      <c r="JW114" s="730">
        <v>0</v>
      </c>
      <c r="JX114" s="730">
        <v>9.2499999999999999E-2</v>
      </c>
      <c r="JY114" s="730">
        <v>0.52190000000000003</v>
      </c>
      <c r="JZ114" s="730">
        <v>0.34360000000000002</v>
      </c>
      <c r="KA114" s="730">
        <v>3.8800000000000001E-2</v>
      </c>
      <c r="KB114" s="730">
        <v>3.2000000000000002E-3</v>
      </c>
      <c r="KC114" s="657"/>
      <c r="KD114" s="314" t="s">
        <v>2591</v>
      </c>
      <c r="KE114" s="314" t="s">
        <v>2591</v>
      </c>
      <c r="KF114" s="866">
        <v>4.01</v>
      </c>
      <c r="KG114" s="314" t="s">
        <v>2589</v>
      </c>
      <c r="KH114" s="315" t="s">
        <v>4595</v>
      </c>
      <c r="KI114" s="314" t="s">
        <v>2659</v>
      </c>
      <c r="KJ114" s="315" t="s">
        <v>4614</v>
      </c>
    </row>
    <row r="115" spans="1:296" ht="48" hidden="1" customHeight="1">
      <c r="A115" s="265">
        <f t="shared" si="447"/>
        <v>108</v>
      </c>
      <c r="B115" s="266" t="s">
        <v>2278</v>
      </c>
      <c r="C115" s="266" t="s">
        <v>4578</v>
      </c>
      <c r="D115" s="624" t="s">
        <v>4615</v>
      </c>
      <c r="E115" s="267" t="s">
        <v>4579</v>
      </c>
      <c r="F115" s="267" t="s">
        <v>300</v>
      </c>
      <c r="G115" s="267" t="s">
        <v>300</v>
      </c>
      <c r="H115" s="267" t="s">
        <v>2109</v>
      </c>
      <c r="I115" s="268" t="s">
        <v>4616</v>
      </c>
      <c r="J115" s="268" t="s">
        <v>4617</v>
      </c>
      <c r="K115" s="269" t="s">
        <v>2097</v>
      </c>
      <c r="L115" s="269" t="s">
        <v>2109</v>
      </c>
      <c r="M115" s="269" t="s">
        <v>2603</v>
      </c>
      <c r="N115" s="269" t="s">
        <v>2099</v>
      </c>
      <c r="O115" s="267" t="s">
        <v>2616</v>
      </c>
      <c r="P115" s="268"/>
      <c r="Q115" s="270">
        <v>1</v>
      </c>
      <c r="R115" s="271">
        <v>550</v>
      </c>
      <c r="S115" s="272">
        <v>1350</v>
      </c>
      <c r="T115" s="272">
        <v>1500</v>
      </c>
      <c r="U115" s="272">
        <v>1720</v>
      </c>
      <c r="V115" s="272">
        <v>1980</v>
      </c>
      <c r="W115" s="272">
        <v>2035</v>
      </c>
      <c r="X115" s="272">
        <v>2090</v>
      </c>
      <c r="Y115" s="272">
        <v>2145</v>
      </c>
      <c r="Z115" s="272">
        <v>2200</v>
      </c>
      <c r="AA115" s="272">
        <v>2250</v>
      </c>
      <c r="AB115" s="272">
        <v>2300</v>
      </c>
      <c r="AC115" s="272">
        <v>2350</v>
      </c>
      <c r="AD115" s="272">
        <v>2400</v>
      </c>
      <c r="AE115" s="272">
        <v>2450</v>
      </c>
      <c r="AF115" s="272">
        <v>2500</v>
      </c>
      <c r="AG115" s="272">
        <v>2530</v>
      </c>
      <c r="AH115" s="272">
        <v>2560</v>
      </c>
      <c r="AI115" s="272">
        <v>2590</v>
      </c>
      <c r="AJ115" s="272">
        <v>2620</v>
      </c>
      <c r="AK115" s="272">
        <v>2650</v>
      </c>
      <c r="AL115" s="268" t="s">
        <v>4618</v>
      </c>
      <c r="AM115" s="268" t="s">
        <v>4619</v>
      </c>
      <c r="AN115" s="268" t="s">
        <v>4620</v>
      </c>
      <c r="AO115" s="657"/>
      <c r="AP115" s="271">
        <v>100</v>
      </c>
      <c r="AQ115" s="280">
        <v>92</v>
      </c>
      <c r="AR115" s="280">
        <v>5</v>
      </c>
      <c r="AS115" s="280">
        <v>3</v>
      </c>
      <c r="AT115" s="657"/>
      <c r="AU115" s="301" t="s">
        <v>4621</v>
      </c>
      <c r="AV115" s="572" t="s">
        <v>4622</v>
      </c>
      <c r="AW115" s="645" t="s">
        <v>3886</v>
      </c>
      <c r="AX115" s="290" t="s">
        <v>2670</v>
      </c>
      <c r="AY115" s="657"/>
      <c r="AZ115" s="948">
        <v>3</v>
      </c>
      <c r="BA115" s="948">
        <v>0</v>
      </c>
      <c r="BB115" s="948">
        <v>0.5</v>
      </c>
      <c r="BC115" s="948">
        <v>3</v>
      </c>
      <c r="BD115" s="825">
        <f t="shared" si="352"/>
        <v>16250</v>
      </c>
      <c r="BE115" s="304">
        <f t="shared" si="353"/>
        <v>7500</v>
      </c>
      <c r="BF115" s="304">
        <f t="shared" si="354"/>
        <v>0</v>
      </c>
      <c r="BG115" s="304">
        <f t="shared" si="355"/>
        <v>1250</v>
      </c>
      <c r="BH115" s="304">
        <f t="shared" si="356"/>
        <v>7500</v>
      </c>
      <c r="BI115" s="825">
        <f t="shared" si="357"/>
        <v>17225</v>
      </c>
      <c r="BJ115" s="304">
        <f t="shared" si="358"/>
        <v>7950</v>
      </c>
      <c r="BK115" s="304">
        <f t="shared" si="359"/>
        <v>0</v>
      </c>
      <c r="BL115" s="304">
        <f t="shared" si="360"/>
        <v>1325</v>
      </c>
      <c r="BM115" s="304">
        <f t="shared" si="361"/>
        <v>7950</v>
      </c>
      <c r="BN115" s="657"/>
      <c r="BO115" s="284">
        <v>0.36</v>
      </c>
      <c r="BP115" s="284">
        <v>0.5</v>
      </c>
      <c r="BQ115" s="284">
        <v>0.1</v>
      </c>
      <c r="BR115" s="710">
        <v>0.04</v>
      </c>
      <c r="BS115" s="707">
        <v>0.31</v>
      </c>
      <c r="BT115" s="284">
        <v>0.51</v>
      </c>
      <c r="BU115" s="284">
        <v>0.15</v>
      </c>
      <c r="BV115" s="710">
        <v>0.03</v>
      </c>
      <c r="BW115" s="714"/>
      <c r="BX115" s="285"/>
      <c r="BY115" s="717"/>
      <c r="BZ115" s="714"/>
      <c r="CA115" s="285"/>
      <c r="CB115" s="717"/>
      <c r="CC115" s="284">
        <v>0.12</v>
      </c>
      <c r="CD115" s="284">
        <v>0.5</v>
      </c>
      <c r="CE115" s="284">
        <v>0.15</v>
      </c>
      <c r="CF115" s="710">
        <v>0.23</v>
      </c>
      <c r="CG115" s="707">
        <v>0.1</v>
      </c>
      <c r="CH115" s="284">
        <v>0.5</v>
      </c>
      <c r="CI115" s="284">
        <v>0.18</v>
      </c>
      <c r="CJ115" s="710">
        <v>0.22</v>
      </c>
      <c r="CK115" s="720">
        <v>0.55000000000000004</v>
      </c>
      <c r="CL115" s="286">
        <v>0.3</v>
      </c>
      <c r="CM115" s="718">
        <v>0.15</v>
      </c>
      <c r="CN115" s="720">
        <v>0.47</v>
      </c>
      <c r="CO115" s="286">
        <v>0.33</v>
      </c>
      <c r="CP115" s="718">
        <v>0.2</v>
      </c>
      <c r="CQ115" s="657"/>
      <c r="CR115" s="807">
        <v>13</v>
      </c>
      <c r="CS115" s="808">
        <v>14</v>
      </c>
      <c r="CT115" s="808">
        <v>10</v>
      </c>
      <c r="CU115" s="809">
        <v>12</v>
      </c>
      <c r="CV115" s="807"/>
      <c r="CW115" s="808"/>
      <c r="CX115" s="809"/>
      <c r="CY115" s="807">
        <v>11</v>
      </c>
      <c r="CZ115" s="808">
        <v>13</v>
      </c>
      <c r="DA115" s="808">
        <v>9</v>
      </c>
      <c r="DB115" s="809">
        <v>11</v>
      </c>
      <c r="DC115" s="807">
        <v>14</v>
      </c>
      <c r="DD115" s="808">
        <v>14</v>
      </c>
      <c r="DE115" s="809">
        <v>10</v>
      </c>
      <c r="DF115" s="610" t="s">
        <v>4623</v>
      </c>
      <c r="DG115" s="657"/>
      <c r="DH115" s="288">
        <f t="shared" si="362"/>
        <v>2700</v>
      </c>
      <c r="DI115" s="288">
        <f t="shared" si="363"/>
        <v>3750</v>
      </c>
      <c r="DJ115" s="288">
        <f t="shared" si="364"/>
        <v>750</v>
      </c>
      <c r="DK115" s="288">
        <f t="shared" si="365"/>
        <v>300</v>
      </c>
      <c r="DL115" s="560" t="s">
        <v>4624</v>
      </c>
      <c r="DM115" s="288">
        <f t="shared" si="366"/>
        <v>2464.5</v>
      </c>
      <c r="DN115" s="288">
        <f t="shared" si="367"/>
        <v>4054.5</v>
      </c>
      <c r="DO115" s="288">
        <f t="shared" si="368"/>
        <v>1192.5</v>
      </c>
      <c r="DP115" s="288">
        <f t="shared" si="369"/>
        <v>238.5</v>
      </c>
      <c r="DQ115" s="561" t="s">
        <v>2868</v>
      </c>
      <c r="DR115" s="657"/>
      <c r="DS115" s="288">
        <f t="shared" si="370"/>
        <v>0</v>
      </c>
      <c r="DT115" s="288">
        <f t="shared" si="371"/>
        <v>0</v>
      </c>
      <c r="DU115" s="288">
        <f t="shared" si="372"/>
        <v>0</v>
      </c>
      <c r="DV115" s="561" t="s">
        <v>2613</v>
      </c>
      <c r="DW115" s="288">
        <f t="shared" si="373"/>
        <v>0</v>
      </c>
      <c r="DX115" s="288">
        <f t="shared" si="374"/>
        <v>0</v>
      </c>
      <c r="DY115" s="288">
        <f t="shared" si="375"/>
        <v>0</v>
      </c>
      <c r="DZ115" s="561" t="s">
        <v>2613</v>
      </c>
      <c r="EA115" s="657"/>
      <c r="EB115" s="288">
        <f t="shared" si="376"/>
        <v>150</v>
      </c>
      <c r="EC115" s="288">
        <f t="shared" si="377"/>
        <v>625</v>
      </c>
      <c r="ED115" s="288">
        <f t="shared" si="378"/>
        <v>187.5</v>
      </c>
      <c r="EE115" s="288">
        <f t="shared" si="379"/>
        <v>287.5</v>
      </c>
      <c r="EF115" s="561" t="s">
        <v>4625</v>
      </c>
      <c r="EG115" s="288">
        <f t="shared" si="380"/>
        <v>132.5</v>
      </c>
      <c r="EH115" s="288">
        <f t="shared" si="381"/>
        <v>662.5</v>
      </c>
      <c r="EI115" s="288">
        <f t="shared" si="382"/>
        <v>238.5</v>
      </c>
      <c r="EJ115" s="288">
        <f t="shared" si="383"/>
        <v>291.5</v>
      </c>
      <c r="EK115" s="561" t="s">
        <v>2870</v>
      </c>
      <c r="EL115" s="657"/>
      <c r="EM115" s="288">
        <f t="shared" si="384"/>
        <v>4125</v>
      </c>
      <c r="EN115" s="291">
        <f t="shared" si="385"/>
        <v>2250</v>
      </c>
      <c r="EO115" s="291">
        <f t="shared" si="386"/>
        <v>1125</v>
      </c>
      <c r="EP115" s="561" t="s">
        <v>4626</v>
      </c>
      <c r="EQ115" s="288">
        <f t="shared" si="387"/>
        <v>3736.5</v>
      </c>
      <c r="ER115" s="291">
        <f t="shared" si="388"/>
        <v>2623.5</v>
      </c>
      <c r="ES115" s="291">
        <f t="shared" si="389"/>
        <v>1590</v>
      </c>
      <c r="ET115" s="561" t="s">
        <v>2872</v>
      </c>
      <c r="EU115" s="657"/>
      <c r="EV115" s="740">
        <f t="shared" si="390"/>
        <v>0.68857486171438032</v>
      </c>
      <c r="EW115" s="740">
        <f t="shared" si="391"/>
        <v>0.31142513828561968</v>
      </c>
      <c r="EX115" s="563">
        <f t="shared" si="392"/>
        <v>5150.1141135531134</v>
      </c>
      <c r="EY115" s="563">
        <f t="shared" si="393"/>
        <v>3546.2391135531134</v>
      </c>
      <c r="EZ115" s="563">
        <f t="shared" si="394"/>
        <v>1603.875</v>
      </c>
      <c r="FA115" s="563">
        <f t="shared" si="395"/>
        <v>2366.2556593406593</v>
      </c>
      <c r="FB115" s="563">
        <f t="shared" si="396"/>
        <v>1626.0056593406593</v>
      </c>
      <c r="FC115" s="563">
        <f t="shared" si="397"/>
        <v>740.25</v>
      </c>
      <c r="FD115" s="563">
        <f t="shared" si="398"/>
        <v>0</v>
      </c>
      <c r="FE115" s="563">
        <f t="shared" si="399"/>
        <v>0</v>
      </c>
      <c r="FF115" s="563">
        <f t="shared" si="400"/>
        <v>0</v>
      </c>
      <c r="FG115" s="563">
        <f t="shared" si="401"/>
        <v>449.97352564102562</v>
      </c>
      <c r="FH115" s="563">
        <f t="shared" si="402"/>
        <v>326.59852564102562</v>
      </c>
      <c r="FI115" s="563">
        <f t="shared" si="403"/>
        <v>123.375</v>
      </c>
      <c r="FJ115" s="563">
        <f t="shared" si="404"/>
        <v>2333.8849285714286</v>
      </c>
      <c r="FK115" s="563">
        <f t="shared" si="405"/>
        <v>1593.6349285714286</v>
      </c>
      <c r="FL115" s="563">
        <f t="shared" si="406"/>
        <v>740.25</v>
      </c>
      <c r="FM115" s="529"/>
      <c r="FN115" s="564" t="s">
        <v>2649</v>
      </c>
      <c r="FO115" s="740">
        <v>3.8699999999999998E-2</v>
      </c>
      <c r="FP115" s="741">
        <v>0.74</v>
      </c>
      <c r="FQ115" s="565" t="s">
        <v>4591</v>
      </c>
      <c r="FR115" s="529"/>
      <c r="FS115" s="867">
        <v>2.61</v>
      </c>
      <c r="FT115" s="566">
        <f>RANK($FS115,$FS$8:$FS$154,0)+COUNTIF($FS$8:$FS115,$FS115)-1</f>
        <v>143</v>
      </c>
      <c r="FU115" s="867">
        <v>3.23</v>
      </c>
      <c r="FV115" s="566">
        <f>RANK($FU115,$FU$8:$FU$154,0)+COUNTIF($FU$8:$FU115,$FU115)-1</f>
        <v>142</v>
      </c>
      <c r="FW115" s="867">
        <v>1.51</v>
      </c>
      <c r="FX115" s="566">
        <f>RANK($FW115,$FW$8:$FW$154,0)+COUNTIF($FW$8:$FW115,$FW115)-1</f>
        <v>143</v>
      </c>
      <c r="FY115" s="529"/>
      <c r="FZ115" s="567" t="s">
        <v>4592</v>
      </c>
      <c r="GA115" s="567" t="s">
        <v>4627</v>
      </c>
      <c r="GB115" s="567" t="s">
        <v>2653</v>
      </c>
      <c r="GC115" s="567" t="s">
        <v>2654</v>
      </c>
      <c r="GD115" s="567" t="s">
        <v>2876</v>
      </c>
      <c r="GE115" s="567" t="s">
        <v>2656</v>
      </c>
      <c r="GF115" s="567" t="str">
        <f t="shared" si="448"/>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15" s="529"/>
      <c r="GH115" s="563">
        <f t="shared" si="407"/>
        <v>816.2747307692307</v>
      </c>
      <c r="GI115" s="563">
        <f t="shared" si="337"/>
        <v>586.79723076923074</v>
      </c>
      <c r="GJ115" s="563">
        <f t="shared" si="408"/>
        <v>229.47749999999999</v>
      </c>
      <c r="GK115" s="563">
        <f t="shared" si="409"/>
        <v>1104.9739285714286</v>
      </c>
      <c r="GL115" s="563">
        <f t="shared" si="338"/>
        <v>727.44642857142867</v>
      </c>
      <c r="GM115" s="563">
        <f t="shared" si="410"/>
        <v>377.52750000000003</v>
      </c>
      <c r="GN115" s="563">
        <f t="shared" si="411"/>
        <v>349.0215</v>
      </c>
      <c r="GO115" s="563">
        <f t="shared" si="339"/>
        <v>237.98400000000001</v>
      </c>
      <c r="GP115" s="563">
        <f t="shared" si="412"/>
        <v>111.03749999999999</v>
      </c>
      <c r="GQ115" s="563">
        <f t="shared" si="413"/>
        <v>95.985500000000002</v>
      </c>
      <c r="GR115" s="563">
        <f t="shared" si="340"/>
        <v>73.778000000000006</v>
      </c>
      <c r="GS115" s="563">
        <f t="shared" si="414"/>
        <v>22.2075</v>
      </c>
      <c r="GT115" s="563">
        <f t="shared" si="415"/>
        <v>0</v>
      </c>
      <c r="GU115" s="563">
        <f t="shared" si="341"/>
        <v>0</v>
      </c>
      <c r="GV115" s="563">
        <f t="shared" si="416"/>
        <v>0</v>
      </c>
      <c r="GW115" s="563">
        <f t="shared" si="417"/>
        <v>0</v>
      </c>
      <c r="GX115" s="563">
        <f t="shared" si="342"/>
        <v>0</v>
      </c>
      <c r="GY115" s="563">
        <f t="shared" si="418"/>
        <v>0</v>
      </c>
      <c r="GZ115" s="563">
        <f t="shared" si="419"/>
        <v>0</v>
      </c>
      <c r="HA115" s="563">
        <f t="shared" si="343"/>
        <v>0</v>
      </c>
      <c r="HB115" s="563">
        <f t="shared" si="420"/>
        <v>0</v>
      </c>
      <c r="HC115" s="563">
        <f t="shared" si="421"/>
        <v>54.517500000000005</v>
      </c>
      <c r="HD115" s="563">
        <f t="shared" si="344"/>
        <v>42.180000000000007</v>
      </c>
      <c r="HE115" s="563">
        <f t="shared" si="422"/>
        <v>12.3375</v>
      </c>
      <c r="HF115" s="563">
        <f t="shared" si="423"/>
        <v>197.52019230769233</v>
      </c>
      <c r="HG115" s="563">
        <f t="shared" si="345"/>
        <v>135.83269230769233</v>
      </c>
      <c r="HH115" s="563">
        <f t="shared" si="424"/>
        <v>61.6875</v>
      </c>
      <c r="HI115" s="563">
        <f t="shared" si="425"/>
        <v>89.948333333333323</v>
      </c>
      <c r="HJ115" s="563">
        <f t="shared" si="346"/>
        <v>67.740833333333327</v>
      </c>
      <c r="HK115" s="563">
        <f t="shared" si="426"/>
        <v>22.2075</v>
      </c>
      <c r="HL115" s="563">
        <f t="shared" si="427"/>
        <v>107.9875</v>
      </c>
      <c r="HM115" s="563">
        <f t="shared" si="347"/>
        <v>80.844999999999999</v>
      </c>
      <c r="HN115" s="563">
        <f t="shared" si="428"/>
        <v>27.142500000000002</v>
      </c>
      <c r="HO115" s="563">
        <f t="shared" si="429"/>
        <v>1148.1085714285714</v>
      </c>
      <c r="HP115" s="563">
        <f t="shared" si="348"/>
        <v>800.19107142857138</v>
      </c>
      <c r="HQ115" s="563">
        <f t="shared" si="430"/>
        <v>347.91749999999996</v>
      </c>
      <c r="HR115" s="563">
        <f t="shared" si="431"/>
        <v>680.75035714285718</v>
      </c>
      <c r="HS115" s="563">
        <f t="shared" si="349"/>
        <v>436.46785714285716</v>
      </c>
      <c r="HT115" s="563">
        <f t="shared" si="432"/>
        <v>244.2825</v>
      </c>
      <c r="HU115" s="563">
        <f t="shared" si="433"/>
        <v>505.02600000000001</v>
      </c>
      <c r="HV115" s="563">
        <f t="shared" si="350"/>
        <v>356.976</v>
      </c>
      <c r="HW115" s="563">
        <f t="shared" si="434"/>
        <v>148.05000000000001</v>
      </c>
      <c r="HX115" s="544"/>
      <c r="HY115" s="568">
        <f t="shared" si="435"/>
        <v>16250</v>
      </c>
      <c r="HZ115" s="568">
        <f t="shared" si="436"/>
        <v>1742.75</v>
      </c>
      <c r="IA115" s="568">
        <f t="shared" si="437"/>
        <v>8787.375</v>
      </c>
      <c r="IB115" s="568">
        <f t="shared" si="438"/>
        <v>5295.125</v>
      </c>
      <c r="IC115" s="568">
        <f t="shared" si="439"/>
        <v>424.75</v>
      </c>
      <c r="ID115" s="568">
        <f t="shared" si="440"/>
        <v>0</v>
      </c>
      <c r="IE115" s="568">
        <f t="shared" si="441"/>
        <v>3546.2391135531134</v>
      </c>
      <c r="IF115" s="568">
        <f t="shared" si="442"/>
        <v>332.97220988278389</v>
      </c>
      <c r="IG115" s="568">
        <f t="shared" si="443"/>
        <v>1860.4811299833336</v>
      </c>
      <c r="IH115" s="568">
        <f t="shared" si="444"/>
        <v>1199.5043416091576</v>
      </c>
      <c r="II115" s="568">
        <f t="shared" si="445"/>
        <v>141.93346691446885</v>
      </c>
      <c r="IJ115" s="568">
        <f t="shared" si="446"/>
        <v>11.347965163369963</v>
      </c>
      <c r="IK115" s="868">
        <v>3.98</v>
      </c>
      <c r="IL115" s="569" t="s">
        <v>2626</v>
      </c>
      <c r="IM115" s="570" t="s">
        <v>4628</v>
      </c>
      <c r="IN115" s="529"/>
      <c r="IO115" s="742">
        <v>0.1</v>
      </c>
      <c r="IP115" s="742">
        <v>0.53</v>
      </c>
      <c r="IQ115" s="742">
        <v>0.34</v>
      </c>
      <c r="IR115" s="742">
        <v>0.03</v>
      </c>
      <c r="IS115" s="742">
        <v>0</v>
      </c>
      <c r="IT115" s="742">
        <v>8.5900000000000004E-2</v>
      </c>
      <c r="IU115" s="742">
        <v>0.51270000000000004</v>
      </c>
      <c r="IV115" s="742">
        <v>0.35410000000000003</v>
      </c>
      <c r="IW115" s="742">
        <v>4.41E-2</v>
      </c>
      <c r="IX115" s="742">
        <v>3.2000000000000002E-3</v>
      </c>
      <c r="IY115" s="742">
        <v>0</v>
      </c>
      <c r="IZ115" s="742">
        <v>0</v>
      </c>
      <c r="JA115" s="742">
        <v>0</v>
      </c>
      <c r="JB115" s="742">
        <v>0</v>
      </c>
      <c r="JC115" s="742">
        <v>0</v>
      </c>
      <c r="JD115" s="742">
        <v>0</v>
      </c>
      <c r="JE115" s="742">
        <v>0</v>
      </c>
      <c r="JF115" s="742">
        <v>0</v>
      </c>
      <c r="JG115" s="742">
        <v>0</v>
      </c>
      <c r="JH115" s="742">
        <v>0</v>
      </c>
      <c r="JI115" s="742">
        <v>0.15459999999999999</v>
      </c>
      <c r="JJ115" s="742">
        <v>0.61470000000000002</v>
      </c>
      <c r="JK115" s="742">
        <v>0.21909999999999999</v>
      </c>
      <c r="JL115" s="742">
        <v>1.1599999999999999E-2</v>
      </c>
      <c r="JM115" s="742">
        <v>0</v>
      </c>
      <c r="JN115" s="742">
        <v>0.14050000000000001</v>
      </c>
      <c r="JO115" s="742">
        <v>0.59740000000000004</v>
      </c>
      <c r="JP115" s="742">
        <v>0.23319999999999999</v>
      </c>
      <c r="JQ115" s="742">
        <v>2.5700000000000001E-2</v>
      </c>
      <c r="JR115" s="742">
        <v>3.2000000000000002E-3</v>
      </c>
      <c r="JS115" s="742">
        <v>0.1066</v>
      </c>
      <c r="JT115" s="742">
        <v>0.53920000000000001</v>
      </c>
      <c r="JU115" s="742">
        <v>0.32950000000000002</v>
      </c>
      <c r="JV115" s="742">
        <v>2.47E-2</v>
      </c>
      <c r="JW115" s="742">
        <v>0</v>
      </c>
      <c r="JX115" s="742">
        <v>9.2499999999999999E-2</v>
      </c>
      <c r="JY115" s="742">
        <v>0.52190000000000003</v>
      </c>
      <c r="JZ115" s="742">
        <v>0.34360000000000002</v>
      </c>
      <c r="KA115" s="742">
        <v>3.8800000000000001E-2</v>
      </c>
      <c r="KB115" s="742">
        <v>3.2000000000000002E-3</v>
      </c>
      <c r="KC115" s="657"/>
      <c r="KD115" s="832" t="s">
        <v>2591</v>
      </c>
      <c r="KE115" s="832" t="s">
        <v>2591</v>
      </c>
      <c r="KF115" s="869">
        <v>4.01</v>
      </c>
      <c r="KG115" s="832" t="s">
        <v>2589</v>
      </c>
      <c r="KH115" s="833" t="s">
        <v>4595</v>
      </c>
      <c r="KI115" s="832" t="s">
        <v>2659</v>
      </c>
      <c r="KJ115" s="833" t="s">
        <v>4629</v>
      </c>
    </row>
    <row r="116" spans="1:296" ht="48" hidden="1" customHeight="1">
      <c r="A116" s="273">
        <f t="shared" si="447"/>
        <v>109</v>
      </c>
      <c r="B116" s="274" t="s">
        <v>2278</v>
      </c>
      <c r="C116" s="274" t="s">
        <v>4578</v>
      </c>
      <c r="D116" s="274" t="s">
        <v>4630</v>
      </c>
      <c r="E116" s="275" t="s">
        <v>4579</v>
      </c>
      <c r="F116" s="275" t="s">
        <v>300</v>
      </c>
      <c r="G116" s="275" t="s">
        <v>300</v>
      </c>
      <c r="H116" s="275" t="s">
        <v>2109</v>
      </c>
      <c r="I116" s="276" t="s">
        <v>4631</v>
      </c>
      <c r="J116" s="276" t="s">
        <v>4632</v>
      </c>
      <c r="K116" s="277" t="s">
        <v>2097</v>
      </c>
      <c r="L116" s="277" t="s">
        <v>2109</v>
      </c>
      <c r="M116" s="277" t="s">
        <v>2603</v>
      </c>
      <c r="N116" s="277" t="s">
        <v>2099</v>
      </c>
      <c r="O116" s="275" t="s">
        <v>2616</v>
      </c>
      <c r="P116" s="276"/>
      <c r="Q116" s="270">
        <v>1</v>
      </c>
      <c r="R116" s="278">
        <v>700</v>
      </c>
      <c r="S116" s="279">
        <v>1200</v>
      </c>
      <c r="T116" s="279">
        <v>1350</v>
      </c>
      <c r="U116" s="279">
        <v>1500</v>
      </c>
      <c r="V116" s="279">
        <v>1680</v>
      </c>
      <c r="W116" s="279">
        <v>1720</v>
      </c>
      <c r="X116" s="279">
        <v>1760</v>
      </c>
      <c r="Y116" s="279">
        <v>1800</v>
      </c>
      <c r="Z116" s="279">
        <v>1840</v>
      </c>
      <c r="AA116" s="279">
        <v>1880</v>
      </c>
      <c r="AB116" s="279">
        <v>1920</v>
      </c>
      <c r="AC116" s="279">
        <v>1960</v>
      </c>
      <c r="AD116" s="279">
        <v>2000</v>
      </c>
      <c r="AE116" s="279">
        <v>2040</v>
      </c>
      <c r="AF116" s="279">
        <v>2080</v>
      </c>
      <c r="AG116" s="279">
        <v>2100</v>
      </c>
      <c r="AH116" s="279">
        <v>2120</v>
      </c>
      <c r="AI116" s="279">
        <v>2140</v>
      </c>
      <c r="AJ116" s="279">
        <v>2160</v>
      </c>
      <c r="AK116" s="279">
        <v>2180</v>
      </c>
      <c r="AL116" s="276" t="s">
        <v>4633</v>
      </c>
      <c r="AM116" s="276" t="s">
        <v>4634</v>
      </c>
      <c r="AN116" s="276" t="s">
        <v>4635</v>
      </c>
      <c r="AO116" s="657"/>
      <c r="AP116" s="278">
        <v>180</v>
      </c>
      <c r="AQ116" s="278">
        <v>165</v>
      </c>
      <c r="AR116" s="278">
        <v>10</v>
      </c>
      <c r="AS116" s="278">
        <v>5</v>
      </c>
      <c r="AT116" s="657"/>
      <c r="AU116" s="281" t="s">
        <v>4636</v>
      </c>
      <c r="AV116" s="296" t="s">
        <v>4637</v>
      </c>
      <c r="AW116" s="296" t="s">
        <v>4638</v>
      </c>
      <c r="AX116" s="276" t="s">
        <v>2670</v>
      </c>
      <c r="AY116" s="657"/>
      <c r="AZ116" s="947">
        <v>12</v>
      </c>
      <c r="BA116" s="947">
        <v>0</v>
      </c>
      <c r="BB116" s="947">
        <v>2</v>
      </c>
      <c r="BC116" s="947">
        <v>8</v>
      </c>
      <c r="BD116" s="826">
        <f t="shared" si="352"/>
        <v>45760</v>
      </c>
      <c r="BE116" s="283">
        <f t="shared" si="353"/>
        <v>24960</v>
      </c>
      <c r="BF116" s="283">
        <f t="shared" si="354"/>
        <v>0</v>
      </c>
      <c r="BG116" s="283">
        <f t="shared" si="355"/>
        <v>4160</v>
      </c>
      <c r="BH116" s="283">
        <f t="shared" si="356"/>
        <v>16640</v>
      </c>
      <c r="BI116" s="826">
        <f t="shared" si="357"/>
        <v>47960</v>
      </c>
      <c r="BJ116" s="283">
        <f t="shared" si="358"/>
        <v>26160</v>
      </c>
      <c r="BK116" s="283">
        <f t="shared" si="359"/>
        <v>0</v>
      </c>
      <c r="BL116" s="283">
        <f t="shared" si="360"/>
        <v>4360</v>
      </c>
      <c r="BM116" s="283">
        <f t="shared" si="361"/>
        <v>17440</v>
      </c>
      <c r="BN116" s="657"/>
      <c r="BO116" s="305">
        <v>0.1</v>
      </c>
      <c r="BP116" s="305">
        <v>0.76</v>
      </c>
      <c r="BQ116" s="305">
        <v>0.08</v>
      </c>
      <c r="BR116" s="581">
        <v>0.06</v>
      </c>
      <c r="BS116" s="706">
        <v>0.08</v>
      </c>
      <c r="BT116" s="305">
        <v>0.76</v>
      </c>
      <c r="BU116" s="305">
        <v>0.1</v>
      </c>
      <c r="BV116" s="581">
        <v>0.06</v>
      </c>
      <c r="BW116" s="713"/>
      <c r="BX116" s="306"/>
      <c r="BY116" s="590"/>
      <c r="BZ116" s="713"/>
      <c r="CA116" s="306"/>
      <c r="CB116" s="590"/>
      <c r="CC116" s="706">
        <v>0.05</v>
      </c>
      <c r="CD116" s="305">
        <v>0.55000000000000004</v>
      </c>
      <c r="CE116" s="305">
        <v>0.1</v>
      </c>
      <c r="CF116" s="581">
        <v>0.3</v>
      </c>
      <c r="CG116" s="706">
        <v>0.04</v>
      </c>
      <c r="CH116" s="305">
        <v>0.55000000000000004</v>
      </c>
      <c r="CI116" s="305">
        <v>0.12</v>
      </c>
      <c r="CJ116" s="581">
        <v>0.28999999999999998</v>
      </c>
      <c r="CK116" s="719">
        <v>0.25</v>
      </c>
      <c r="CL116" s="307">
        <v>0.55000000000000004</v>
      </c>
      <c r="CM116" s="723">
        <v>0.2</v>
      </c>
      <c r="CN116" s="719">
        <v>0.15</v>
      </c>
      <c r="CO116" s="307">
        <v>0.57999999999999996</v>
      </c>
      <c r="CP116" s="723">
        <v>0.27</v>
      </c>
      <c r="CQ116" s="657"/>
      <c r="CR116" s="804">
        <v>10</v>
      </c>
      <c r="CS116" s="805">
        <v>11</v>
      </c>
      <c r="CT116" s="805">
        <v>8</v>
      </c>
      <c r="CU116" s="806">
        <v>10</v>
      </c>
      <c r="CV116" s="804"/>
      <c r="CW116" s="805"/>
      <c r="CX116" s="806"/>
      <c r="CY116" s="804">
        <v>8</v>
      </c>
      <c r="CZ116" s="805">
        <v>10</v>
      </c>
      <c r="DA116" s="805">
        <v>7</v>
      </c>
      <c r="DB116" s="806">
        <v>9</v>
      </c>
      <c r="DC116" s="804">
        <v>10</v>
      </c>
      <c r="DD116" s="805">
        <v>11</v>
      </c>
      <c r="DE116" s="806">
        <v>8</v>
      </c>
      <c r="DF116" s="609" t="s">
        <v>4639</v>
      </c>
      <c r="DG116" s="657"/>
      <c r="DH116" s="308">
        <f t="shared" si="362"/>
        <v>2496</v>
      </c>
      <c r="DI116" s="308">
        <f t="shared" si="363"/>
        <v>18969.599999999999</v>
      </c>
      <c r="DJ116" s="308">
        <f t="shared" si="364"/>
        <v>1996.8</v>
      </c>
      <c r="DK116" s="308">
        <f t="shared" si="365"/>
        <v>1497.6</v>
      </c>
      <c r="DL116" s="287" t="s">
        <v>4640</v>
      </c>
      <c r="DM116" s="308">
        <f t="shared" si="366"/>
        <v>2092.8000000000002</v>
      </c>
      <c r="DN116" s="308">
        <f t="shared" si="367"/>
        <v>19881.599999999999</v>
      </c>
      <c r="DO116" s="308">
        <f t="shared" si="368"/>
        <v>2616</v>
      </c>
      <c r="DP116" s="308">
        <f t="shared" si="369"/>
        <v>1569.6</v>
      </c>
      <c r="DQ116" s="289" t="s">
        <v>2644</v>
      </c>
      <c r="DR116" s="657"/>
      <c r="DS116" s="308">
        <f t="shared" si="370"/>
        <v>0</v>
      </c>
      <c r="DT116" s="308">
        <f t="shared" si="371"/>
        <v>0</v>
      </c>
      <c r="DU116" s="308">
        <f t="shared" si="372"/>
        <v>0</v>
      </c>
      <c r="DV116" s="289" t="s">
        <v>2613</v>
      </c>
      <c r="DW116" s="308">
        <f t="shared" si="373"/>
        <v>0</v>
      </c>
      <c r="DX116" s="308">
        <f t="shared" si="374"/>
        <v>0</v>
      </c>
      <c r="DY116" s="308">
        <f t="shared" si="375"/>
        <v>0</v>
      </c>
      <c r="DZ116" s="289" t="s">
        <v>2613</v>
      </c>
      <c r="EA116" s="657"/>
      <c r="EB116" s="308">
        <f t="shared" si="376"/>
        <v>208</v>
      </c>
      <c r="EC116" s="308">
        <f t="shared" si="377"/>
        <v>2288</v>
      </c>
      <c r="ED116" s="308">
        <f t="shared" si="378"/>
        <v>416</v>
      </c>
      <c r="EE116" s="308">
        <f t="shared" si="379"/>
        <v>1248</v>
      </c>
      <c r="EF116" s="289" t="s">
        <v>4641</v>
      </c>
      <c r="EG116" s="308">
        <f t="shared" si="380"/>
        <v>174.4</v>
      </c>
      <c r="EH116" s="308">
        <f t="shared" si="381"/>
        <v>2398</v>
      </c>
      <c r="EI116" s="308">
        <f t="shared" si="382"/>
        <v>523.19999999999993</v>
      </c>
      <c r="EJ116" s="308">
        <f t="shared" si="383"/>
        <v>1264.3999999999999</v>
      </c>
      <c r="EK116" s="309" t="s">
        <v>2983</v>
      </c>
      <c r="EL116" s="657"/>
      <c r="EM116" s="308">
        <f t="shared" si="384"/>
        <v>4160</v>
      </c>
      <c r="EN116" s="310">
        <f t="shared" si="385"/>
        <v>9152</v>
      </c>
      <c r="EO116" s="310">
        <f t="shared" si="386"/>
        <v>3328</v>
      </c>
      <c r="EP116" s="289" t="s">
        <v>4642</v>
      </c>
      <c r="EQ116" s="308">
        <f t="shared" si="387"/>
        <v>2616</v>
      </c>
      <c r="ER116" s="310">
        <f t="shared" si="388"/>
        <v>10115.199999999999</v>
      </c>
      <c r="ES116" s="310">
        <f t="shared" si="389"/>
        <v>4708.8</v>
      </c>
      <c r="ET116" s="289" t="s">
        <v>2985</v>
      </c>
      <c r="EU116" s="657"/>
      <c r="EV116" s="728">
        <f t="shared" si="390"/>
        <v>0.78286528056874582</v>
      </c>
      <c r="EW116" s="728">
        <f t="shared" si="391"/>
        <v>0.21713471943125429</v>
      </c>
      <c r="EX116" s="311">
        <f t="shared" si="392"/>
        <v>18287.780095238093</v>
      </c>
      <c r="EY116" s="311">
        <f t="shared" si="393"/>
        <v>14316.868095238095</v>
      </c>
      <c r="EZ116" s="311">
        <f t="shared" si="394"/>
        <v>3970.9120000000003</v>
      </c>
      <c r="FA116" s="311">
        <f t="shared" si="395"/>
        <v>9678.4320000000007</v>
      </c>
      <c r="FB116" s="311">
        <f t="shared" si="396"/>
        <v>7512.48</v>
      </c>
      <c r="FC116" s="311">
        <f t="shared" si="397"/>
        <v>2165.9520000000002</v>
      </c>
      <c r="FD116" s="311">
        <f t="shared" si="398"/>
        <v>0</v>
      </c>
      <c r="FE116" s="311">
        <f t="shared" si="399"/>
        <v>0</v>
      </c>
      <c r="FF116" s="311">
        <f t="shared" si="400"/>
        <v>0</v>
      </c>
      <c r="FG116" s="311">
        <f t="shared" si="401"/>
        <v>1837.380095238095</v>
      </c>
      <c r="FH116" s="311">
        <f t="shared" si="402"/>
        <v>1476.388095238095</v>
      </c>
      <c r="FI116" s="311">
        <f t="shared" si="403"/>
        <v>360.99199999999996</v>
      </c>
      <c r="FJ116" s="311">
        <f t="shared" si="404"/>
        <v>6771.9679999999998</v>
      </c>
      <c r="FK116" s="311">
        <f t="shared" si="405"/>
        <v>5328</v>
      </c>
      <c r="FL116" s="311">
        <f t="shared" si="406"/>
        <v>1443.9679999999998</v>
      </c>
      <c r="FM116" s="657"/>
      <c r="FN116" s="293" t="s">
        <v>2649</v>
      </c>
      <c r="FO116" s="728">
        <v>3.8699999999999998E-2</v>
      </c>
      <c r="FP116" s="729">
        <v>0.74</v>
      </c>
      <c r="FQ116" s="294" t="s">
        <v>4591</v>
      </c>
      <c r="FR116" s="657"/>
      <c r="FS116" s="865">
        <v>2.61</v>
      </c>
      <c r="FT116" s="312">
        <f>RANK($FS116,$FS$8:$FS$154,0)+COUNTIF($FS$8:$FS116,$FS116)-1</f>
        <v>144</v>
      </c>
      <c r="FU116" s="865">
        <v>3.23</v>
      </c>
      <c r="FV116" s="312">
        <f>RANK($FU116,$FU$8:$FU$154,0)+COUNTIF($FU$8:$FU116,$FU116)-1</f>
        <v>143</v>
      </c>
      <c r="FW116" s="865">
        <v>1.51</v>
      </c>
      <c r="FX116" s="312">
        <f>RANK($FW116,$FW$8:$FW$154,0)+COUNTIF($FW$8:$FW116,$FW116)-1</f>
        <v>144</v>
      </c>
      <c r="FY116" s="657"/>
      <c r="FZ116" s="296" t="s">
        <v>4592</v>
      </c>
      <c r="GA116" s="296" t="s">
        <v>4643</v>
      </c>
      <c r="GB116" s="296" t="s">
        <v>2653</v>
      </c>
      <c r="GC116" s="296" t="s">
        <v>2654</v>
      </c>
      <c r="GD116" s="296" t="s">
        <v>2876</v>
      </c>
      <c r="GE116" s="296" t="s">
        <v>2656</v>
      </c>
      <c r="GF116" s="296" t="str">
        <f t="shared" si="448"/>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16" s="657"/>
      <c r="GH116" s="311">
        <f t="shared" si="407"/>
        <v>972.47616000000005</v>
      </c>
      <c r="GI116" s="311">
        <f t="shared" si="337"/>
        <v>799.2</v>
      </c>
      <c r="GJ116" s="311">
        <f t="shared" si="408"/>
        <v>173.27616000000003</v>
      </c>
      <c r="GK116" s="311">
        <f t="shared" si="409"/>
        <v>7045.1635200000001</v>
      </c>
      <c r="GL116" s="311">
        <f t="shared" si="338"/>
        <v>5399.04</v>
      </c>
      <c r="GM116" s="311">
        <f t="shared" si="410"/>
        <v>1646.1235200000001</v>
      </c>
      <c r="GN116" s="311">
        <f t="shared" si="411"/>
        <v>1051.3152</v>
      </c>
      <c r="GO116" s="311">
        <f t="shared" si="339"/>
        <v>834.72</v>
      </c>
      <c r="GP116" s="311">
        <f t="shared" si="412"/>
        <v>216.59520000000003</v>
      </c>
      <c r="GQ116" s="311">
        <f t="shared" si="413"/>
        <v>609.4771199999999</v>
      </c>
      <c r="GR116" s="311">
        <f t="shared" si="340"/>
        <v>479.51999999999992</v>
      </c>
      <c r="GS116" s="311">
        <f t="shared" si="414"/>
        <v>129.95712</v>
      </c>
      <c r="GT116" s="311">
        <f t="shared" si="415"/>
        <v>0</v>
      </c>
      <c r="GU116" s="311">
        <f t="shared" si="341"/>
        <v>0</v>
      </c>
      <c r="GV116" s="311">
        <f t="shared" si="416"/>
        <v>0</v>
      </c>
      <c r="GW116" s="311">
        <f t="shared" si="417"/>
        <v>0</v>
      </c>
      <c r="GX116" s="311">
        <f t="shared" si="342"/>
        <v>0</v>
      </c>
      <c r="GY116" s="311">
        <f t="shared" si="418"/>
        <v>0</v>
      </c>
      <c r="GZ116" s="311">
        <f t="shared" si="419"/>
        <v>0</v>
      </c>
      <c r="HA116" s="311">
        <f t="shared" si="343"/>
        <v>0</v>
      </c>
      <c r="HB116" s="311">
        <f t="shared" si="420"/>
        <v>0</v>
      </c>
      <c r="HC116" s="311">
        <f t="shared" si="421"/>
        <v>101.38967999999998</v>
      </c>
      <c r="HD116" s="311">
        <f t="shared" si="344"/>
        <v>86.949999999999989</v>
      </c>
      <c r="HE116" s="311">
        <f t="shared" si="422"/>
        <v>14.439679999999999</v>
      </c>
      <c r="HF116" s="311">
        <f t="shared" si="423"/>
        <v>931.14559999999994</v>
      </c>
      <c r="HG116" s="311">
        <f t="shared" si="345"/>
        <v>732.59999999999991</v>
      </c>
      <c r="HH116" s="311">
        <f t="shared" si="424"/>
        <v>198.54560000000001</v>
      </c>
      <c r="HI116" s="311">
        <f t="shared" si="425"/>
        <v>246.29046857142853</v>
      </c>
      <c r="HJ116" s="311">
        <f t="shared" si="346"/>
        <v>202.97142857142853</v>
      </c>
      <c r="HK116" s="311">
        <f t="shared" si="426"/>
        <v>43.319039999999994</v>
      </c>
      <c r="HL116" s="311">
        <f t="shared" si="427"/>
        <v>558.55434666666667</v>
      </c>
      <c r="HM116" s="311">
        <f t="shared" si="347"/>
        <v>453.86666666666667</v>
      </c>
      <c r="HN116" s="311">
        <f t="shared" si="428"/>
        <v>104.68767999999999</v>
      </c>
      <c r="HO116" s="311">
        <f t="shared" si="429"/>
        <v>1548.5952000000002</v>
      </c>
      <c r="HP116" s="311">
        <f t="shared" si="348"/>
        <v>1332.0000000000002</v>
      </c>
      <c r="HQ116" s="311">
        <f t="shared" si="430"/>
        <v>216.59519999999998</v>
      </c>
      <c r="HR116" s="311">
        <f t="shared" si="431"/>
        <v>3442.3014400000002</v>
      </c>
      <c r="HS116" s="311">
        <f t="shared" si="349"/>
        <v>2604.8000000000002</v>
      </c>
      <c r="HT116" s="311">
        <f t="shared" si="432"/>
        <v>837.50143999999989</v>
      </c>
      <c r="HU116" s="311">
        <f t="shared" si="433"/>
        <v>1781.0713599999999</v>
      </c>
      <c r="HV116" s="311">
        <f t="shared" si="350"/>
        <v>1391.1999999999998</v>
      </c>
      <c r="HW116" s="311">
        <f t="shared" si="434"/>
        <v>389.87135999999998</v>
      </c>
      <c r="HY116" s="313">
        <f t="shared" si="435"/>
        <v>45760</v>
      </c>
      <c r="HZ116" s="313">
        <f t="shared" si="436"/>
        <v>4912.96</v>
      </c>
      <c r="IA116" s="313">
        <f t="shared" si="437"/>
        <v>24758.240000000002</v>
      </c>
      <c r="IB116" s="313">
        <f t="shared" si="438"/>
        <v>14880.736000000001</v>
      </c>
      <c r="IC116" s="313">
        <f t="shared" si="439"/>
        <v>1208.0639999999999</v>
      </c>
      <c r="ID116" s="313">
        <f t="shared" si="440"/>
        <v>0</v>
      </c>
      <c r="IE116" s="313">
        <f t="shared" si="441"/>
        <v>14316.868095238095</v>
      </c>
      <c r="IF116" s="313">
        <f t="shared" si="442"/>
        <v>1345.5945593809524</v>
      </c>
      <c r="IG116" s="313">
        <f t="shared" si="443"/>
        <v>7514.3259440952388</v>
      </c>
      <c r="IH116" s="313">
        <f t="shared" si="444"/>
        <v>4835.1636718095233</v>
      </c>
      <c r="II116" s="313">
        <f t="shared" si="445"/>
        <v>575.96994204761904</v>
      </c>
      <c r="IJ116" s="313">
        <f t="shared" si="446"/>
        <v>45.813977904761906</v>
      </c>
      <c r="IK116" s="866">
        <v>3.98</v>
      </c>
      <c r="IL116" s="314" t="s">
        <v>2626</v>
      </c>
      <c r="IM116" s="299" t="s">
        <v>4644</v>
      </c>
      <c r="IN116" s="657"/>
      <c r="IO116" s="730">
        <v>0.1</v>
      </c>
      <c r="IP116" s="730">
        <v>0.53</v>
      </c>
      <c r="IQ116" s="730">
        <v>0.34</v>
      </c>
      <c r="IR116" s="730">
        <v>0.03</v>
      </c>
      <c r="IS116" s="730">
        <v>0</v>
      </c>
      <c r="IT116" s="730">
        <v>8.5900000000000004E-2</v>
      </c>
      <c r="IU116" s="730">
        <v>0.51270000000000004</v>
      </c>
      <c r="IV116" s="730">
        <v>0.35410000000000003</v>
      </c>
      <c r="IW116" s="730">
        <v>4.41E-2</v>
      </c>
      <c r="IX116" s="730">
        <v>3.2000000000000002E-3</v>
      </c>
      <c r="IY116" s="730">
        <v>0</v>
      </c>
      <c r="IZ116" s="730">
        <v>0</v>
      </c>
      <c r="JA116" s="730">
        <v>0</v>
      </c>
      <c r="JB116" s="730">
        <v>0</v>
      </c>
      <c r="JC116" s="730">
        <v>0</v>
      </c>
      <c r="JD116" s="730">
        <v>0</v>
      </c>
      <c r="JE116" s="730">
        <v>0</v>
      </c>
      <c r="JF116" s="730">
        <v>0</v>
      </c>
      <c r="JG116" s="730">
        <v>0</v>
      </c>
      <c r="JH116" s="730">
        <v>0</v>
      </c>
      <c r="JI116" s="730">
        <v>0.15459999999999999</v>
      </c>
      <c r="JJ116" s="730">
        <v>0.61470000000000002</v>
      </c>
      <c r="JK116" s="730">
        <v>0.21909999999999999</v>
      </c>
      <c r="JL116" s="730">
        <v>1.1599999999999999E-2</v>
      </c>
      <c r="JM116" s="730">
        <v>0</v>
      </c>
      <c r="JN116" s="730">
        <v>0.14050000000000001</v>
      </c>
      <c r="JO116" s="730">
        <v>0.59740000000000004</v>
      </c>
      <c r="JP116" s="730">
        <v>0.23319999999999999</v>
      </c>
      <c r="JQ116" s="730">
        <v>2.5700000000000001E-2</v>
      </c>
      <c r="JR116" s="730">
        <v>3.2000000000000002E-3</v>
      </c>
      <c r="JS116" s="730">
        <v>0.1066</v>
      </c>
      <c r="JT116" s="730">
        <v>0.53920000000000001</v>
      </c>
      <c r="JU116" s="730">
        <v>0.32950000000000002</v>
      </c>
      <c r="JV116" s="730">
        <v>2.47E-2</v>
      </c>
      <c r="JW116" s="730">
        <v>0</v>
      </c>
      <c r="JX116" s="730">
        <v>9.2499999999999999E-2</v>
      </c>
      <c r="JY116" s="730">
        <v>0.52190000000000003</v>
      </c>
      <c r="JZ116" s="730">
        <v>0.34360000000000002</v>
      </c>
      <c r="KA116" s="730">
        <v>3.8800000000000001E-2</v>
      </c>
      <c r="KB116" s="730">
        <v>3.2000000000000002E-3</v>
      </c>
      <c r="KC116" s="657"/>
      <c r="KD116" s="314" t="s">
        <v>2591</v>
      </c>
      <c r="KE116" s="314" t="s">
        <v>2591</v>
      </c>
      <c r="KF116" s="866">
        <v>4.01</v>
      </c>
      <c r="KG116" s="314" t="s">
        <v>2589</v>
      </c>
      <c r="KH116" s="315" t="s">
        <v>4595</v>
      </c>
      <c r="KI116" s="314" t="s">
        <v>2659</v>
      </c>
      <c r="KJ116" s="315" t="s">
        <v>4645</v>
      </c>
    </row>
    <row r="117" spans="1:296" ht="48" hidden="1" customHeight="1">
      <c r="A117" s="265">
        <f t="shared" si="447"/>
        <v>110</v>
      </c>
      <c r="B117" s="266" t="s">
        <v>2278</v>
      </c>
      <c r="C117" s="266" t="s">
        <v>4578</v>
      </c>
      <c r="D117" s="624" t="s">
        <v>4646</v>
      </c>
      <c r="E117" s="267" t="s">
        <v>4579</v>
      </c>
      <c r="F117" s="267" t="s">
        <v>300</v>
      </c>
      <c r="G117" s="267" t="s">
        <v>300</v>
      </c>
      <c r="H117" s="267" t="s">
        <v>2109</v>
      </c>
      <c r="I117" s="268" t="s">
        <v>4647</v>
      </c>
      <c r="J117" s="268" t="s">
        <v>4648</v>
      </c>
      <c r="K117" s="269" t="s">
        <v>2097</v>
      </c>
      <c r="L117" s="269" t="s">
        <v>2109</v>
      </c>
      <c r="M117" s="269" t="s">
        <v>2603</v>
      </c>
      <c r="N117" s="269" t="s">
        <v>2099</v>
      </c>
      <c r="O117" s="267" t="s">
        <v>2616</v>
      </c>
      <c r="P117" s="268"/>
      <c r="Q117" s="270">
        <v>1</v>
      </c>
      <c r="R117" s="271">
        <v>420</v>
      </c>
      <c r="S117" s="272">
        <v>240</v>
      </c>
      <c r="T117" s="272">
        <v>245</v>
      </c>
      <c r="U117" s="272">
        <v>250</v>
      </c>
      <c r="V117" s="272">
        <v>255</v>
      </c>
      <c r="W117" s="272">
        <v>256</v>
      </c>
      <c r="X117" s="272">
        <v>257</v>
      </c>
      <c r="Y117" s="272">
        <v>258</v>
      </c>
      <c r="Z117" s="272">
        <v>259</v>
      </c>
      <c r="AA117" s="272">
        <v>260</v>
      </c>
      <c r="AB117" s="272">
        <v>260</v>
      </c>
      <c r="AC117" s="272">
        <v>260</v>
      </c>
      <c r="AD117" s="272">
        <v>260</v>
      </c>
      <c r="AE117" s="272">
        <v>260</v>
      </c>
      <c r="AF117" s="272">
        <v>250</v>
      </c>
      <c r="AG117" s="272">
        <v>250</v>
      </c>
      <c r="AH117" s="272">
        <v>248</v>
      </c>
      <c r="AI117" s="272">
        <v>246</v>
      </c>
      <c r="AJ117" s="272">
        <v>244</v>
      </c>
      <c r="AK117" s="272">
        <v>242</v>
      </c>
      <c r="AL117" s="268" t="s">
        <v>4649</v>
      </c>
      <c r="AM117" s="268" t="s">
        <v>4650</v>
      </c>
      <c r="AN117" s="268" t="s">
        <v>4651</v>
      </c>
      <c r="AO117" s="657"/>
      <c r="AP117" s="271">
        <v>80</v>
      </c>
      <c r="AQ117" s="280">
        <v>72</v>
      </c>
      <c r="AR117" s="280">
        <v>5</v>
      </c>
      <c r="AS117" s="280">
        <v>3</v>
      </c>
      <c r="AT117" s="657"/>
      <c r="AU117" s="301" t="s">
        <v>4652</v>
      </c>
      <c r="AV117" s="572" t="s">
        <v>4653</v>
      </c>
      <c r="AW117" s="645" t="s">
        <v>3786</v>
      </c>
      <c r="AX117" s="290" t="s">
        <v>2670</v>
      </c>
      <c r="AY117" s="657"/>
      <c r="AZ117" s="948">
        <v>3</v>
      </c>
      <c r="BA117" s="948">
        <v>0</v>
      </c>
      <c r="BB117" s="948">
        <v>0.5</v>
      </c>
      <c r="BC117" s="948">
        <v>3</v>
      </c>
      <c r="BD117" s="825">
        <f t="shared" si="352"/>
        <v>1625</v>
      </c>
      <c r="BE117" s="304">
        <f t="shared" si="353"/>
        <v>750</v>
      </c>
      <c r="BF117" s="304">
        <f t="shared" si="354"/>
        <v>0</v>
      </c>
      <c r="BG117" s="304">
        <f t="shared" si="355"/>
        <v>125</v>
      </c>
      <c r="BH117" s="304">
        <f t="shared" si="356"/>
        <v>750</v>
      </c>
      <c r="BI117" s="825">
        <f t="shared" si="357"/>
        <v>1573</v>
      </c>
      <c r="BJ117" s="304">
        <f t="shared" si="358"/>
        <v>726</v>
      </c>
      <c r="BK117" s="304">
        <f t="shared" si="359"/>
        <v>0</v>
      </c>
      <c r="BL117" s="304">
        <f t="shared" si="360"/>
        <v>121</v>
      </c>
      <c r="BM117" s="304">
        <f t="shared" si="361"/>
        <v>726</v>
      </c>
      <c r="BN117" s="657"/>
      <c r="BO117" s="284">
        <v>0.36</v>
      </c>
      <c r="BP117" s="284">
        <v>0.5</v>
      </c>
      <c r="BQ117" s="284">
        <v>0.1</v>
      </c>
      <c r="BR117" s="710">
        <v>0.04</v>
      </c>
      <c r="BS117" s="707">
        <v>0.31</v>
      </c>
      <c r="BT117" s="284">
        <v>0.51</v>
      </c>
      <c r="BU117" s="284">
        <v>0.15</v>
      </c>
      <c r="BV117" s="710">
        <v>0.03</v>
      </c>
      <c r="BW117" s="714"/>
      <c r="BX117" s="285"/>
      <c r="BY117" s="717"/>
      <c r="BZ117" s="714"/>
      <c r="CA117" s="285"/>
      <c r="CB117" s="717"/>
      <c r="CC117" s="284">
        <v>0.12</v>
      </c>
      <c r="CD117" s="284">
        <v>0.5</v>
      </c>
      <c r="CE117" s="284">
        <v>0.15</v>
      </c>
      <c r="CF117" s="710">
        <v>0.23</v>
      </c>
      <c r="CG117" s="707">
        <v>0.1</v>
      </c>
      <c r="CH117" s="284">
        <v>0.5</v>
      </c>
      <c r="CI117" s="284">
        <v>0.18</v>
      </c>
      <c r="CJ117" s="710">
        <v>0.22</v>
      </c>
      <c r="CK117" s="720">
        <v>0.55000000000000004</v>
      </c>
      <c r="CL117" s="286">
        <v>0.3</v>
      </c>
      <c r="CM117" s="718">
        <v>0.15</v>
      </c>
      <c r="CN117" s="720">
        <v>0.47</v>
      </c>
      <c r="CO117" s="286">
        <v>0.33</v>
      </c>
      <c r="CP117" s="718">
        <v>0.2</v>
      </c>
      <c r="CQ117" s="657"/>
      <c r="CR117" s="807">
        <v>13</v>
      </c>
      <c r="CS117" s="808">
        <v>14</v>
      </c>
      <c r="CT117" s="808">
        <v>10</v>
      </c>
      <c r="CU117" s="809">
        <v>12</v>
      </c>
      <c r="CV117" s="807"/>
      <c r="CW117" s="808"/>
      <c r="CX117" s="809"/>
      <c r="CY117" s="807">
        <v>11</v>
      </c>
      <c r="CZ117" s="808">
        <v>13</v>
      </c>
      <c r="DA117" s="808">
        <v>9</v>
      </c>
      <c r="DB117" s="809">
        <v>11</v>
      </c>
      <c r="DC117" s="807">
        <v>14</v>
      </c>
      <c r="DD117" s="808">
        <v>14</v>
      </c>
      <c r="DE117" s="809">
        <v>10</v>
      </c>
      <c r="DF117" s="610" t="s">
        <v>4654</v>
      </c>
      <c r="DG117" s="657"/>
      <c r="DH117" s="288">
        <f t="shared" si="362"/>
        <v>270</v>
      </c>
      <c r="DI117" s="288">
        <f t="shared" si="363"/>
        <v>375</v>
      </c>
      <c r="DJ117" s="288">
        <f t="shared" si="364"/>
        <v>75</v>
      </c>
      <c r="DK117" s="288">
        <f t="shared" si="365"/>
        <v>30</v>
      </c>
      <c r="DL117" s="560" t="s">
        <v>4655</v>
      </c>
      <c r="DM117" s="288">
        <f t="shared" si="366"/>
        <v>225.06</v>
      </c>
      <c r="DN117" s="288">
        <f t="shared" si="367"/>
        <v>370.26</v>
      </c>
      <c r="DO117" s="288">
        <f t="shared" si="368"/>
        <v>108.89999999999999</v>
      </c>
      <c r="DP117" s="288">
        <f t="shared" si="369"/>
        <v>21.779999999999998</v>
      </c>
      <c r="DQ117" s="561" t="s">
        <v>2868</v>
      </c>
      <c r="DR117" s="657"/>
      <c r="DS117" s="288">
        <f t="shared" si="370"/>
        <v>0</v>
      </c>
      <c r="DT117" s="288">
        <f t="shared" si="371"/>
        <v>0</v>
      </c>
      <c r="DU117" s="288">
        <f t="shared" si="372"/>
        <v>0</v>
      </c>
      <c r="DV117" s="561" t="s">
        <v>2613</v>
      </c>
      <c r="DW117" s="288">
        <f t="shared" si="373"/>
        <v>0</v>
      </c>
      <c r="DX117" s="288">
        <f t="shared" si="374"/>
        <v>0</v>
      </c>
      <c r="DY117" s="288">
        <f t="shared" si="375"/>
        <v>0</v>
      </c>
      <c r="DZ117" s="561" t="s">
        <v>2613</v>
      </c>
      <c r="EA117" s="657"/>
      <c r="EB117" s="288">
        <f t="shared" si="376"/>
        <v>15</v>
      </c>
      <c r="EC117" s="288">
        <f t="shared" si="377"/>
        <v>62.5</v>
      </c>
      <c r="ED117" s="288">
        <f t="shared" si="378"/>
        <v>18.75</v>
      </c>
      <c r="EE117" s="288">
        <f t="shared" si="379"/>
        <v>28.75</v>
      </c>
      <c r="EF117" s="561" t="s">
        <v>4656</v>
      </c>
      <c r="EG117" s="288">
        <f t="shared" si="380"/>
        <v>12.100000000000001</v>
      </c>
      <c r="EH117" s="288">
        <f t="shared" si="381"/>
        <v>60.5</v>
      </c>
      <c r="EI117" s="288">
        <f t="shared" si="382"/>
        <v>21.779999999999998</v>
      </c>
      <c r="EJ117" s="288">
        <f t="shared" si="383"/>
        <v>26.62</v>
      </c>
      <c r="EK117" s="561" t="s">
        <v>2870</v>
      </c>
      <c r="EL117" s="657"/>
      <c r="EM117" s="288">
        <f t="shared" si="384"/>
        <v>412.50000000000006</v>
      </c>
      <c r="EN117" s="291">
        <f t="shared" si="385"/>
        <v>225</v>
      </c>
      <c r="EO117" s="291">
        <f t="shared" si="386"/>
        <v>112.5</v>
      </c>
      <c r="EP117" s="561" t="s">
        <v>4657</v>
      </c>
      <c r="EQ117" s="288">
        <f t="shared" si="387"/>
        <v>341.21999999999997</v>
      </c>
      <c r="ER117" s="291">
        <f t="shared" si="388"/>
        <v>239.58</v>
      </c>
      <c r="ES117" s="291">
        <f t="shared" si="389"/>
        <v>145.20000000000002</v>
      </c>
      <c r="ET117" s="561" t="s">
        <v>2872</v>
      </c>
      <c r="EU117" s="657"/>
      <c r="EV117" s="740">
        <f t="shared" si="390"/>
        <v>0.88200642749138192</v>
      </c>
      <c r="EW117" s="740">
        <f t="shared" si="391"/>
        <v>0.11799357250861796</v>
      </c>
      <c r="EX117" s="563">
        <f t="shared" si="392"/>
        <v>532.97394648684656</v>
      </c>
      <c r="EY117" s="563">
        <f t="shared" si="393"/>
        <v>470.08644648684651</v>
      </c>
      <c r="EZ117" s="563">
        <f t="shared" si="394"/>
        <v>62.887499999999996</v>
      </c>
      <c r="FA117" s="563">
        <f t="shared" si="395"/>
        <v>245.03742417582419</v>
      </c>
      <c r="FB117" s="563">
        <f t="shared" si="396"/>
        <v>216.01242417582418</v>
      </c>
      <c r="FC117" s="563">
        <f t="shared" si="397"/>
        <v>29.024999999999999</v>
      </c>
      <c r="FD117" s="563">
        <f t="shared" si="398"/>
        <v>0</v>
      </c>
      <c r="FE117" s="563">
        <f t="shared" si="399"/>
        <v>0</v>
      </c>
      <c r="FF117" s="563">
        <f t="shared" si="400"/>
        <v>0</v>
      </c>
      <c r="FG117" s="563">
        <f t="shared" si="401"/>
        <v>45.989736596736591</v>
      </c>
      <c r="FH117" s="563">
        <f t="shared" si="402"/>
        <v>41.152236596736593</v>
      </c>
      <c r="FI117" s="563">
        <f t="shared" si="403"/>
        <v>4.8374999999999995</v>
      </c>
      <c r="FJ117" s="563">
        <f t="shared" si="404"/>
        <v>241.94678571428577</v>
      </c>
      <c r="FK117" s="563">
        <f t="shared" si="405"/>
        <v>212.92178571428576</v>
      </c>
      <c r="FL117" s="563">
        <f t="shared" si="406"/>
        <v>29.024999999999999</v>
      </c>
      <c r="FM117" s="529"/>
      <c r="FN117" s="564" t="s">
        <v>2649</v>
      </c>
      <c r="FO117" s="740">
        <v>3.8699999999999998E-2</v>
      </c>
      <c r="FP117" s="741">
        <v>0.74</v>
      </c>
      <c r="FQ117" s="565" t="s">
        <v>4591</v>
      </c>
      <c r="FR117" s="529"/>
      <c r="FS117" s="867">
        <v>2.61</v>
      </c>
      <c r="FT117" s="566">
        <f>RANK($FS117,$FS$8:$FS$154,0)+COUNTIF($FS$8:$FS117,$FS117)-1</f>
        <v>145</v>
      </c>
      <c r="FU117" s="867">
        <v>3.23</v>
      </c>
      <c r="FV117" s="566">
        <f>RANK($FU117,$FU$8:$FU$154,0)+COUNTIF($FU$8:$FU117,$FU117)-1</f>
        <v>144</v>
      </c>
      <c r="FW117" s="867">
        <v>1.51</v>
      </c>
      <c r="FX117" s="566">
        <f>RANK($FW117,$FW$8:$FW$154,0)+COUNTIF($FW$8:$FW117,$FW117)-1</f>
        <v>145</v>
      </c>
      <c r="FY117" s="529"/>
      <c r="FZ117" s="567" t="s">
        <v>4592</v>
      </c>
      <c r="GA117" s="567" t="s">
        <v>4658</v>
      </c>
      <c r="GB117" s="567" t="s">
        <v>2653</v>
      </c>
      <c r="GC117" s="567" t="s">
        <v>2654</v>
      </c>
      <c r="GD117" s="567" t="s">
        <v>2876</v>
      </c>
      <c r="GE117" s="567" t="s">
        <v>2656</v>
      </c>
      <c r="GF117" s="567" t="str">
        <f t="shared" si="448"/>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17" s="529"/>
      <c r="GH117" s="563">
        <f t="shared" si="407"/>
        <v>86.950488461538455</v>
      </c>
      <c r="GI117" s="563">
        <f t="shared" si="337"/>
        <v>77.952738461538459</v>
      </c>
      <c r="GJ117" s="563">
        <f t="shared" si="408"/>
        <v>8.9977499999999999</v>
      </c>
      <c r="GK117" s="563">
        <f t="shared" si="409"/>
        <v>114.78203571428573</v>
      </c>
      <c r="GL117" s="563">
        <f t="shared" si="338"/>
        <v>99.979285714285723</v>
      </c>
      <c r="GM117" s="563">
        <f t="shared" si="410"/>
        <v>14.80275</v>
      </c>
      <c r="GN117" s="563">
        <f t="shared" si="411"/>
        <v>32.991750000000003</v>
      </c>
      <c r="GO117" s="563">
        <f t="shared" si="339"/>
        <v>28.638000000000002</v>
      </c>
      <c r="GP117" s="563">
        <f t="shared" si="412"/>
        <v>4.3537499999999998</v>
      </c>
      <c r="GQ117" s="563">
        <f t="shared" si="413"/>
        <v>10.313149999999998</v>
      </c>
      <c r="GR117" s="563">
        <f t="shared" si="340"/>
        <v>9.4423999999999992</v>
      </c>
      <c r="GS117" s="563">
        <f t="shared" si="414"/>
        <v>0.87074999999999991</v>
      </c>
      <c r="GT117" s="563">
        <f t="shared" si="415"/>
        <v>0</v>
      </c>
      <c r="GU117" s="563">
        <f t="shared" si="341"/>
        <v>0</v>
      </c>
      <c r="GV117" s="563">
        <f t="shared" si="416"/>
        <v>0</v>
      </c>
      <c r="GW117" s="563">
        <f t="shared" si="417"/>
        <v>0</v>
      </c>
      <c r="GX117" s="563">
        <f t="shared" si="342"/>
        <v>0</v>
      </c>
      <c r="GY117" s="563">
        <f t="shared" si="418"/>
        <v>0</v>
      </c>
      <c r="GZ117" s="563">
        <f t="shared" si="419"/>
        <v>0</v>
      </c>
      <c r="HA117" s="563">
        <f t="shared" si="343"/>
        <v>0</v>
      </c>
      <c r="HB117" s="563">
        <f t="shared" si="420"/>
        <v>0</v>
      </c>
      <c r="HC117" s="563">
        <f t="shared" si="421"/>
        <v>5.6704772727272719</v>
      </c>
      <c r="HD117" s="563">
        <f t="shared" si="344"/>
        <v>5.1867272727272722</v>
      </c>
      <c r="HE117" s="563">
        <f t="shared" si="422"/>
        <v>0.48374999999999996</v>
      </c>
      <c r="HF117" s="563">
        <f t="shared" si="423"/>
        <v>20.463365384615383</v>
      </c>
      <c r="HG117" s="563">
        <f t="shared" si="345"/>
        <v>18.044615384615383</v>
      </c>
      <c r="HH117" s="563">
        <f t="shared" si="424"/>
        <v>2.4187499999999997</v>
      </c>
      <c r="HI117" s="563">
        <f t="shared" si="425"/>
        <v>8.8504166666666659</v>
      </c>
      <c r="HJ117" s="563">
        <f t="shared" si="346"/>
        <v>7.9796666666666667</v>
      </c>
      <c r="HK117" s="563">
        <f t="shared" si="426"/>
        <v>0.87074999999999991</v>
      </c>
      <c r="HL117" s="563">
        <f t="shared" si="427"/>
        <v>11.005477272727271</v>
      </c>
      <c r="HM117" s="563">
        <f t="shared" si="347"/>
        <v>9.9412272727272715</v>
      </c>
      <c r="HN117" s="563">
        <f t="shared" si="428"/>
        <v>1.0642499999999999</v>
      </c>
      <c r="HO117" s="563">
        <f t="shared" si="429"/>
        <v>123.61896428571433</v>
      </c>
      <c r="HP117" s="563">
        <f t="shared" si="348"/>
        <v>109.97721428571433</v>
      </c>
      <c r="HQ117" s="563">
        <f t="shared" si="430"/>
        <v>13.641749999999998</v>
      </c>
      <c r="HR117" s="563">
        <f t="shared" si="431"/>
        <v>69.565821428571425</v>
      </c>
      <c r="HS117" s="563">
        <f t="shared" si="349"/>
        <v>59.987571428571428</v>
      </c>
      <c r="HT117" s="563">
        <f t="shared" si="432"/>
        <v>9.5782500000000006</v>
      </c>
      <c r="HU117" s="563">
        <f t="shared" si="433"/>
        <v>48.761999999999993</v>
      </c>
      <c r="HV117" s="563">
        <f t="shared" si="350"/>
        <v>42.956999999999994</v>
      </c>
      <c r="HW117" s="563">
        <f t="shared" si="434"/>
        <v>5.8049999999999997</v>
      </c>
      <c r="HX117" s="544"/>
      <c r="HY117" s="568">
        <f t="shared" si="435"/>
        <v>1625</v>
      </c>
      <c r="HZ117" s="568">
        <f t="shared" si="436"/>
        <v>174.27500000000001</v>
      </c>
      <c r="IA117" s="568">
        <f t="shared" si="437"/>
        <v>878.73749999999995</v>
      </c>
      <c r="IB117" s="568">
        <f t="shared" si="438"/>
        <v>529.51250000000005</v>
      </c>
      <c r="IC117" s="568">
        <f t="shared" si="439"/>
        <v>42.474999999999994</v>
      </c>
      <c r="ID117" s="568">
        <f t="shared" si="440"/>
        <v>0</v>
      </c>
      <c r="IE117" s="568">
        <f t="shared" si="441"/>
        <v>470.08644648684657</v>
      </c>
      <c r="IF117" s="568">
        <f t="shared" si="442"/>
        <v>44.032621657116223</v>
      </c>
      <c r="IG117" s="568">
        <f t="shared" si="443"/>
        <v>246.45779598212127</v>
      </c>
      <c r="IH117" s="568">
        <f t="shared" si="444"/>
        <v>159.24662654644692</v>
      </c>
      <c r="II117" s="568">
        <f t="shared" si="445"/>
        <v>18.845125672404265</v>
      </c>
      <c r="IJ117" s="568">
        <f t="shared" si="446"/>
        <v>1.504276628757909</v>
      </c>
      <c r="IK117" s="868">
        <v>3.98</v>
      </c>
      <c r="IL117" s="569" t="s">
        <v>2626</v>
      </c>
      <c r="IM117" s="570" t="s">
        <v>4659</v>
      </c>
      <c r="IN117" s="529"/>
      <c r="IO117" s="742">
        <v>0.1</v>
      </c>
      <c r="IP117" s="742">
        <v>0.53</v>
      </c>
      <c r="IQ117" s="742">
        <v>0.34</v>
      </c>
      <c r="IR117" s="742">
        <v>0.03</v>
      </c>
      <c r="IS117" s="742">
        <v>0</v>
      </c>
      <c r="IT117" s="742">
        <v>8.5900000000000004E-2</v>
      </c>
      <c r="IU117" s="742">
        <v>0.51270000000000004</v>
      </c>
      <c r="IV117" s="742">
        <v>0.35410000000000003</v>
      </c>
      <c r="IW117" s="742">
        <v>4.41E-2</v>
      </c>
      <c r="IX117" s="742">
        <v>3.2000000000000002E-3</v>
      </c>
      <c r="IY117" s="742">
        <v>0</v>
      </c>
      <c r="IZ117" s="742">
        <v>0</v>
      </c>
      <c r="JA117" s="742">
        <v>0</v>
      </c>
      <c r="JB117" s="742">
        <v>0</v>
      </c>
      <c r="JC117" s="742">
        <v>0</v>
      </c>
      <c r="JD117" s="742">
        <v>0</v>
      </c>
      <c r="JE117" s="742">
        <v>0</v>
      </c>
      <c r="JF117" s="742">
        <v>0</v>
      </c>
      <c r="JG117" s="742">
        <v>0</v>
      </c>
      <c r="JH117" s="742">
        <v>0</v>
      </c>
      <c r="JI117" s="742">
        <v>0.15459999999999999</v>
      </c>
      <c r="JJ117" s="742">
        <v>0.61470000000000002</v>
      </c>
      <c r="JK117" s="742">
        <v>0.21909999999999999</v>
      </c>
      <c r="JL117" s="742">
        <v>1.1599999999999999E-2</v>
      </c>
      <c r="JM117" s="742">
        <v>0</v>
      </c>
      <c r="JN117" s="742">
        <v>0.14050000000000001</v>
      </c>
      <c r="JO117" s="742">
        <v>0.59740000000000004</v>
      </c>
      <c r="JP117" s="742">
        <v>0.23319999999999999</v>
      </c>
      <c r="JQ117" s="742">
        <v>2.5700000000000001E-2</v>
      </c>
      <c r="JR117" s="742">
        <v>3.2000000000000002E-3</v>
      </c>
      <c r="JS117" s="742">
        <v>0.1066</v>
      </c>
      <c r="JT117" s="742">
        <v>0.53920000000000001</v>
      </c>
      <c r="JU117" s="742">
        <v>0.32950000000000002</v>
      </c>
      <c r="JV117" s="742">
        <v>2.47E-2</v>
      </c>
      <c r="JW117" s="742">
        <v>0</v>
      </c>
      <c r="JX117" s="742">
        <v>9.2499999999999999E-2</v>
      </c>
      <c r="JY117" s="742">
        <v>0.52190000000000003</v>
      </c>
      <c r="JZ117" s="742">
        <v>0.34360000000000002</v>
      </c>
      <c r="KA117" s="742">
        <v>3.8800000000000001E-2</v>
      </c>
      <c r="KB117" s="742">
        <v>3.2000000000000002E-3</v>
      </c>
      <c r="KC117" s="657"/>
      <c r="KD117" s="832" t="s">
        <v>2591</v>
      </c>
      <c r="KE117" s="832" t="s">
        <v>2591</v>
      </c>
      <c r="KF117" s="869">
        <v>4.01</v>
      </c>
      <c r="KG117" s="832" t="s">
        <v>2589</v>
      </c>
      <c r="KH117" s="833" t="s">
        <v>4595</v>
      </c>
      <c r="KI117" s="832" t="s">
        <v>2659</v>
      </c>
      <c r="KJ117" s="833" t="s">
        <v>4660</v>
      </c>
    </row>
    <row r="118" spans="1:296" ht="48" hidden="1" customHeight="1">
      <c r="A118" s="273">
        <f t="shared" si="447"/>
        <v>111</v>
      </c>
      <c r="B118" s="274" t="s">
        <v>2278</v>
      </c>
      <c r="C118" s="274" t="s">
        <v>4578</v>
      </c>
      <c r="D118" s="274" t="s">
        <v>4661</v>
      </c>
      <c r="E118" s="275" t="s">
        <v>4579</v>
      </c>
      <c r="F118" s="275" t="s">
        <v>300</v>
      </c>
      <c r="G118" s="275" t="s">
        <v>300</v>
      </c>
      <c r="H118" s="275" t="s">
        <v>2109</v>
      </c>
      <c r="I118" s="276" t="s">
        <v>4662</v>
      </c>
      <c r="J118" s="276" t="s">
        <v>4663</v>
      </c>
      <c r="K118" s="277" t="s">
        <v>2097</v>
      </c>
      <c r="L118" s="277" t="s">
        <v>2109</v>
      </c>
      <c r="M118" s="277" t="s">
        <v>2603</v>
      </c>
      <c r="N118" s="277" t="s">
        <v>2099</v>
      </c>
      <c r="O118" s="275" t="s">
        <v>2616</v>
      </c>
      <c r="P118" s="276"/>
      <c r="Q118" s="270">
        <v>1</v>
      </c>
      <c r="R118" s="278">
        <v>600</v>
      </c>
      <c r="S118" s="279">
        <v>120</v>
      </c>
      <c r="T118" s="279">
        <v>170</v>
      </c>
      <c r="U118" s="279">
        <v>230</v>
      </c>
      <c r="V118" s="279">
        <v>300</v>
      </c>
      <c r="W118" s="279">
        <v>315</v>
      </c>
      <c r="X118" s="279">
        <v>330</v>
      </c>
      <c r="Y118" s="279">
        <v>345</v>
      </c>
      <c r="Z118" s="279">
        <v>360</v>
      </c>
      <c r="AA118" s="279">
        <v>375</v>
      </c>
      <c r="AB118" s="279">
        <v>390</v>
      </c>
      <c r="AC118" s="279">
        <v>405</v>
      </c>
      <c r="AD118" s="279">
        <v>420</v>
      </c>
      <c r="AE118" s="279">
        <v>435</v>
      </c>
      <c r="AF118" s="279">
        <v>450</v>
      </c>
      <c r="AG118" s="279">
        <v>460</v>
      </c>
      <c r="AH118" s="279">
        <v>470</v>
      </c>
      <c r="AI118" s="279">
        <v>480</v>
      </c>
      <c r="AJ118" s="279">
        <v>490</v>
      </c>
      <c r="AK118" s="279">
        <v>500</v>
      </c>
      <c r="AL118" s="276" t="s">
        <v>4664</v>
      </c>
      <c r="AM118" s="276" t="s">
        <v>4665</v>
      </c>
      <c r="AN118" s="276" t="s">
        <v>4666</v>
      </c>
      <c r="AO118" s="657"/>
      <c r="AP118" s="278">
        <v>80</v>
      </c>
      <c r="AQ118" s="278">
        <v>70</v>
      </c>
      <c r="AR118" s="278">
        <v>7</v>
      </c>
      <c r="AS118" s="278">
        <v>3</v>
      </c>
      <c r="AT118" s="657"/>
      <c r="AU118" s="281" t="s">
        <v>4667</v>
      </c>
      <c r="AV118" s="296" t="s">
        <v>4668</v>
      </c>
      <c r="AW118" s="296" t="s">
        <v>3786</v>
      </c>
      <c r="AX118" s="276" t="s">
        <v>2670</v>
      </c>
      <c r="AY118" s="657"/>
      <c r="AZ118" s="947">
        <v>3</v>
      </c>
      <c r="BA118" s="947">
        <v>0</v>
      </c>
      <c r="BB118" s="947">
        <v>0.5</v>
      </c>
      <c r="BC118" s="947">
        <v>3</v>
      </c>
      <c r="BD118" s="826">
        <f t="shared" si="352"/>
        <v>2925</v>
      </c>
      <c r="BE118" s="283">
        <f t="shared" si="353"/>
        <v>1350</v>
      </c>
      <c r="BF118" s="283">
        <f t="shared" si="354"/>
        <v>0</v>
      </c>
      <c r="BG118" s="283">
        <f t="shared" si="355"/>
        <v>225</v>
      </c>
      <c r="BH118" s="283">
        <f t="shared" si="356"/>
        <v>1350</v>
      </c>
      <c r="BI118" s="826">
        <f t="shared" si="357"/>
        <v>3250</v>
      </c>
      <c r="BJ118" s="283">
        <f t="shared" si="358"/>
        <v>1500</v>
      </c>
      <c r="BK118" s="283">
        <f t="shared" si="359"/>
        <v>0</v>
      </c>
      <c r="BL118" s="283">
        <f t="shared" si="360"/>
        <v>250</v>
      </c>
      <c r="BM118" s="283">
        <f t="shared" si="361"/>
        <v>1500</v>
      </c>
      <c r="BN118" s="657"/>
      <c r="BO118" s="305">
        <v>0.55000000000000004</v>
      </c>
      <c r="BP118" s="305">
        <v>0.35</v>
      </c>
      <c r="BQ118" s="305">
        <v>0.05</v>
      </c>
      <c r="BR118" s="581">
        <v>0.05</v>
      </c>
      <c r="BS118" s="706">
        <v>0.5</v>
      </c>
      <c r="BT118" s="305">
        <v>0.37</v>
      </c>
      <c r="BU118" s="305">
        <v>0.08</v>
      </c>
      <c r="BV118" s="581">
        <v>0.05</v>
      </c>
      <c r="BW118" s="713"/>
      <c r="BX118" s="306"/>
      <c r="BY118" s="590"/>
      <c r="BZ118" s="713"/>
      <c r="CA118" s="306"/>
      <c r="CB118" s="590"/>
      <c r="CC118" s="706">
        <v>0.12</v>
      </c>
      <c r="CD118" s="305">
        <v>0.45</v>
      </c>
      <c r="CE118" s="305">
        <v>0.12</v>
      </c>
      <c r="CF118" s="581">
        <v>0.31</v>
      </c>
      <c r="CG118" s="706">
        <v>0.1</v>
      </c>
      <c r="CH118" s="305">
        <v>0.45</v>
      </c>
      <c r="CI118" s="305">
        <v>0.15</v>
      </c>
      <c r="CJ118" s="581">
        <v>0.3</v>
      </c>
      <c r="CK118" s="719">
        <v>0.6</v>
      </c>
      <c r="CL118" s="307">
        <v>0.35</v>
      </c>
      <c r="CM118" s="723">
        <v>0.05</v>
      </c>
      <c r="CN118" s="719">
        <v>0.55000000000000004</v>
      </c>
      <c r="CO118" s="307">
        <v>0.38</v>
      </c>
      <c r="CP118" s="723">
        <v>7.0000000000000007E-2</v>
      </c>
      <c r="CQ118" s="657"/>
      <c r="CR118" s="804">
        <v>12</v>
      </c>
      <c r="CS118" s="805">
        <v>13</v>
      </c>
      <c r="CT118" s="805">
        <v>9</v>
      </c>
      <c r="CU118" s="806">
        <v>11</v>
      </c>
      <c r="CV118" s="804"/>
      <c r="CW118" s="805"/>
      <c r="CX118" s="806"/>
      <c r="CY118" s="804">
        <v>10</v>
      </c>
      <c r="CZ118" s="805">
        <v>12</v>
      </c>
      <c r="DA118" s="805">
        <v>8</v>
      </c>
      <c r="DB118" s="806">
        <v>10</v>
      </c>
      <c r="DC118" s="804">
        <v>13</v>
      </c>
      <c r="DD118" s="805">
        <v>13</v>
      </c>
      <c r="DE118" s="806">
        <v>9</v>
      </c>
      <c r="DF118" s="609" t="s">
        <v>4669</v>
      </c>
      <c r="DG118" s="657"/>
      <c r="DH118" s="308">
        <f t="shared" si="362"/>
        <v>742.50000000000011</v>
      </c>
      <c r="DI118" s="308">
        <f t="shared" si="363"/>
        <v>472.49999999999994</v>
      </c>
      <c r="DJ118" s="308">
        <f t="shared" si="364"/>
        <v>67.5</v>
      </c>
      <c r="DK118" s="308">
        <f t="shared" si="365"/>
        <v>67.5</v>
      </c>
      <c r="DL118" s="287" t="s">
        <v>4670</v>
      </c>
      <c r="DM118" s="308">
        <f t="shared" si="366"/>
        <v>750</v>
      </c>
      <c r="DN118" s="308">
        <f t="shared" si="367"/>
        <v>555</v>
      </c>
      <c r="DO118" s="308">
        <f t="shared" si="368"/>
        <v>120</v>
      </c>
      <c r="DP118" s="308">
        <f t="shared" si="369"/>
        <v>75</v>
      </c>
      <c r="DQ118" s="289" t="s">
        <v>4148</v>
      </c>
      <c r="DR118" s="657"/>
      <c r="DS118" s="308">
        <f t="shared" si="370"/>
        <v>0</v>
      </c>
      <c r="DT118" s="308">
        <f t="shared" si="371"/>
        <v>0</v>
      </c>
      <c r="DU118" s="308">
        <f t="shared" si="372"/>
        <v>0</v>
      </c>
      <c r="DV118" s="289" t="s">
        <v>2613</v>
      </c>
      <c r="DW118" s="308">
        <f t="shared" si="373"/>
        <v>0</v>
      </c>
      <c r="DX118" s="308">
        <f t="shared" si="374"/>
        <v>0</v>
      </c>
      <c r="DY118" s="308">
        <f t="shared" si="375"/>
        <v>0</v>
      </c>
      <c r="DZ118" s="289" t="s">
        <v>2613</v>
      </c>
      <c r="EA118" s="657"/>
      <c r="EB118" s="308">
        <f t="shared" si="376"/>
        <v>27</v>
      </c>
      <c r="EC118" s="308">
        <f t="shared" si="377"/>
        <v>101.25</v>
      </c>
      <c r="ED118" s="308">
        <f t="shared" si="378"/>
        <v>27</v>
      </c>
      <c r="EE118" s="308">
        <f t="shared" si="379"/>
        <v>69.75</v>
      </c>
      <c r="EF118" s="289" t="s">
        <v>4671</v>
      </c>
      <c r="EG118" s="308">
        <f t="shared" si="380"/>
        <v>25</v>
      </c>
      <c r="EH118" s="308">
        <f t="shared" si="381"/>
        <v>112.5</v>
      </c>
      <c r="EI118" s="308">
        <f t="shared" si="382"/>
        <v>37.5</v>
      </c>
      <c r="EJ118" s="308">
        <f t="shared" si="383"/>
        <v>75</v>
      </c>
      <c r="EK118" s="309" t="s">
        <v>2870</v>
      </c>
      <c r="EL118" s="657"/>
      <c r="EM118" s="308">
        <f t="shared" si="384"/>
        <v>810</v>
      </c>
      <c r="EN118" s="310">
        <f t="shared" si="385"/>
        <v>472.49999999999994</v>
      </c>
      <c r="EO118" s="310">
        <f t="shared" si="386"/>
        <v>67.5</v>
      </c>
      <c r="EP118" s="289" t="s">
        <v>4672</v>
      </c>
      <c r="EQ118" s="308">
        <f t="shared" si="387"/>
        <v>825.00000000000011</v>
      </c>
      <c r="ER118" s="310">
        <f t="shared" si="388"/>
        <v>570</v>
      </c>
      <c r="ES118" s="310">
        <f t="shared" si="389"/>
        <v>105.00000000000001</v>
      </c>
      <c r="ET118" s="289" t="s">
        <v>2648</v>
      </c>
      <c r="EU118" s="657"/>
      <c r="EV118" s="728">
        <f t="shared" si="390"/>
        <v>0.57238949469557943</v>
      </c>
      <c r="EW118" s="728">
        <f t="shared" si="391"/>
        <v>0.42761050530442052</v>
      </c>
      <c r="EX118" s="311">
        <f t="shared" si="392"/>
        <v>1024.7584999999999</v>
      </c>
      <c r="EY118" s="311">
        <f t="shared" si="393"/>
        <v>586.56099999999992</v>
      </c>
      <c r="EZ118" s="311">
        <f t="shared" si="394"/>
        <v>438.19749999999999</v>
      </c>
      <c r="FA118" s="311">
        <f t="shared" si="395"/>
        <v>479.73076923076917</v>
      </c>
      <c r="FB118" s="311">
        <f t="shared" si="396"/>
        <v>277.48576923076917</v>
      </c>
      <c r="FC118" s="311">
        <f t="shared" si="397"/>
        <v>202.245</v>
      </c>
      <c r="FD118" s="311">
        <f t="shared" si="398"/>
        <v>0</v>
      </c>
      <c r="FE118" s="311">
        <f t="shared" si="399"/>
        <v>0</v>
      </c>
      <c r="FF118" s="311">
        <f t="shared" si="400"/>
        <v>0</v>
      </c>
      <c r="FG118" s="311">
        <f t="shared" si="401"/>
        <v>92.648499999999999</v>
      </c>
      <c r="FH118" s="311">
        <f t="shared" si="402"/>
        <v>58.941000000000003</v>
      </c>
      <c r="FI118" s="311">
        <f t="shared" si="403"/>
        <v>33.707499999999996</v>
      </c>
      <c r="FJ118" s="311">
        <f t="shared" si="404"/>
        <v>452.37923076923073</v>
      </c>
      <c r="FK118" s="311">
        <f t="shared" si="405"/>
        <v>250.13423076923073</v>
      </c>
      <c r="FL118" s="311">
        <f t="shared" si="406"/>
        <v>202.245</v>
      </c>
      <c r="FM118" s="657"/>
      <c r="FN118" s="293" t="s">
        <v>2649</v>
      </c>
      <c r="FO118" s="728">
        <v>3.8699999999999998E-2</v>
      </c>
      <c r="FP118" s="729">
        <v>0.74</v>
      </c>
      <c r="FQ118" s="294" t="s">
        <v>4591</v>
      </c>
      <c r="FR118" s="657"/>
      <c r="FS118" s="865">
        <v>2.61</v>
      </c>
      <c r="FT118" s="312">
        <f>RANK($FS118,$FS$8:$FS$154,0)+COUNTIF($FS$8:$FS118,$FS118)-1</f>
        <v>146</v>
      </c>
      <c r="FU118" s="865">
        <v>3.23</v>
      </c>
      <c r="FV118" s="312">
        <f>RANK($FU118,$FU$8:$FU$154,0)+COUNTIF($FU$8:$FU118,$FU118)-1</f>
        <v>145</v>
      </c>
      <c r="FW118" s="865">
        <v>1.51</v>
      </c>
      <c r="FX118" s="312">
        <f>RANK($FW118,$FW$8:$FW$154,0)+COUNTIF($FW$8:$FW118,$FW118)-1</f>
        <v>146</v>
      </c>
      <c r="FY118" s="657"/>
      <c r="FZ118" s="296" t="s">
        <v>4592</v>
      </c>
      <c r="GA118" s="296" t="s">
        <v>4673</v>
      </c>
      <c r="GB118" s="296" t="s">
        <v>2653</v>
      </c>
      <c r="GC118" s="296" t="s">
        <v>2654</v>
      </c>
      <c r="GD118" s="296" t="s">
        <v>2876</v>
      </c>
      <c r="GE118" s="296" t="s">
        <v>2656</v>
      </c>
      <c r="GF118" s="296" t="str">
        <f t="shared" si="448"/>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18" s="657"/>
      <c r="GH118" s="311">
        <f t="shared" si="407"/>
        <v>255.7825</v>
      </c>
      <c r="GI118" s="311">
        <f t="shared" si="337"/>
        <v>154.66</v>
      </c>
      <c r="GJ118" s="311">
        <f t="shared" si="408"/>
        <v>101.1225</v>
      </c>
      <c r="GK118" s="311">
        <f t="shared" si="409"/>
        <v>158.80641923076922</v>
      </c>
      <c r="GL118" s="311">
        <f t="shared" si="338"/>
        <v>83.975769230769217</v>
      </c>
      <c r="GM118" s="311">
        <f t="shared" si="410"/>
        <v>74.830650000000006</v>
      </c>
      <c r="GN118" s="311">
        <f t="shared" si="411"/>
        <v>38.379600000000003</v>
      </c>
      <c r="GO118" s="311">
        <f t="shared" si="339"/>
        <v>22.200000000000003</v>
      </c>
      <c r="GP118" s="311">
        <f t="shared" si="412"/>
        <v>16.179600000000001</v>
      </c>
      <c r="GQ118" s="311">
        <f t="shared" si="413"/>
        <v>26.762250000000002</v>
      </c>
      <c r="GR118" s="311">
        <f t="shared" si="340"/>
        <v>16.649999999999999</v>
      </c>
      <c r="GS118" s="311">
        <f t="shared" si="414"/>
        <v>10.112250000000001</v>
      </c>
      <c r="GT118" s="311">
        <f t="shared" si="415"/>
        <v>0</v>
      </c>
      <c r="GU118" s="311">
        <f t="shared" si="341"/>
        <v>0</v>
      </c>
      <c r="GV118" s="311">
        <f t="shared" si="416"/>
        <v>0</v>
      </c>
      <c r="GW118" s="311">
        <f t="shared" si="417"/>
        <v>0</v>
      </c>
      <c r="GX118" s="311">
        <f t="shared" si="342"/>
        <v>0</v>
      </c>
      <c r="GY118" s="311">
        <f t="shared" si="418"/>
        <v>0</v>
      </c>
      <c r="GZ118" s="311">
        <f t="shared" si="419"/>
        <v>0</v>
      </c>
      <c r="HA118" s="311">
        <f t="shared" si="343"/>
        <v>0</v>
      </c>
      <c r="HB118" s="311">
        <f t="shared" si="420"/>
        <v>0</v>
      </c>
      <c r="HC118" s="311">
        <f t="shared" si="421"/>
        <v>11.02975</v>
      </c>
      <c r="HD118" s="311">
        <f t="shared" si="344"/>
        <v>7.6590000000000007</v>
      </c>
      <c r="HE118" s="311">
        <f t="shared" si="422"/>
        <v>3.3707499999999997</v>
      </c>
      <c r="HF118" s="311">
        <f t="shared" si="423"/>
        <v>36.258375000000001</v>
      </c>
      <c r="HG118" s="311">
        <f t="shared" si="345"/>
        <v>21.09</v>
      </c>
      <c r="HH118" s="311">
        <f t="shared" si="424"/>
        <v>15.168374999999999</v>
      </c>
      <c r="HI118" s="311">
        <f t="shared" si="425"/>
        <v>15.462374999999998</v>
      </c>
      <c r="HJ118" s="311">
        <f t="shared" si="346"/>
        <v>10.40625</v>
      </c>
      <c r="HK118" s="311">
        <f t="shared" si="426"/>
        <v>5.0561249999999989</v>
      </c>
      <c r="HL118" s="311">
        <f t="shared" si="427"/>
        <v>29.897999999999996</v>
      </c>
      <c r="HM118" s="311">
        <f t="shared" si="347"/>
        <v>19.78575</v>
      </c>
      <c r="HN118" s="311">
        <f t="shared" si="428"/>
        <v>10.112249999999998</v>
      </c>
      <c r="HO118" s="311">
        <f t="shared" si="429"/>
        <v>255.19321153846153</v>
      </c>
      <c r="HP118" s="311">
        <f t="shared" si="348"/>
        <v>143.95846153846153</v>
      </c>
      <c r="HQ118" s="311">
        <f t="shared" si="430"/>
        <v>111.23475000000001</v>
      </c>
      <c r="HR118" s="311">
        <f t="shared" si="431"/>
        <v>160.82886923076921</v>
      </c>
      <c r="HS118" s="311">
        <f t="shared" si="349"/>
        <v>83.975769230769217</v>
      </c>
      <c r="HT118" s="311">
        <f t="shared" si="432"/>
        <v>76.853099999999998</v>
      </c>
      <c r="HU118" s="311">
        <f t="shared" si="433"/>
        <v>36.357150000000004</v>
      </c>
      <c r="HV118" s="311">
        <f t="shared" si="350"/>
        <v>22.200000000000003</v>
      </c>
      <c r="HW118" s="311">
        <f t="shared" si="434"/>
        <v>14.157150000000001</v>
      </c>
      <c r="HY118" s="313">
        <f t="shared" si="435"/>
        <v>2925</v>
      </c>
      <c r="HZ118" s="313">
        <f t="shared" si="436"/>
        <v>313.69499999999999</v>
      </c>
      <c r="IA118" s="313">
        <f t="shared" si="437"/>
        <v>1581.7275</v>
      </c>
      <c r="IB118" s="313">
        <f t="shared" si="438"/>
        <v>953.12250000000017</v>
      </c>
      <c r="IC118" s="313">
        <f t="shared" si="439"/>
        <v>76.454999999999998</v>
      </c>
      <c r="ID118" s="313">
        <f t="shared" si="440"/>
        <v>0</v>
      </c>
      <c r="IE118" s="313">
        <f t="shared" si="441"/>
        <v>586.56099999999992</v>
      </c>
      <c r="IF118" s="313">
        <f t="shared" si="442"/>
        <v>55.254654423076914</v>
      </c>
      <c r="IG118" s="313">
        <f t="shared" si="443"/>
        <v>308.02336232307687</v>
      </c>
      <c r="IH118" s="313">
        <f t="shared" si="444"/>
        <v>197.94887377692305</v>
      </c>
      <c r="II118" s="313">
        <f t="shared" si="445"/>
        <v>23.457114276923072</v>
      </c>
      <c r="IJ118" s="313">
        <f t="shared" si="446"/>
        <v>1.8769951999999996</v>
      </c>
      <c r="IK118" s="866">
        <v>3.98</v>
      </c>
      <c r="IL118" s="314" t="s">
        <v>2626</v>
      </c>
      <c r="IM118" s="299" t="s">
        <v>4674</v>
      </c>
      <c r="IN118" s="657"/>
      <c r="IO118" s="730">
        <v>0.1</v>
      </c>
      <c r="IP118" s="730">
        <v>0.53</v>
      </c>
      <c r="IQ118" s="730">
        <v>0.34</v>
      </c>
      <c r="IR118" s="730">
        <v>0.03</v>
      </c>
      <c r="IS118" s="730">
        <v>0</v>
      </c>
      <c r="IT118" s="730">
        <v>8.5900000000000004E-2</v>
      </c>
      <c r="IU118" s="730">
        <v>0.51270000000000004</v>
      </c>
      <c r="IV118" s="730">
        <v>0.35410000000000003</v>
      </c>
      <c r="IW118" s="730">
        <v>4.41E-2</v>
      </c>
      <c r="IX118" s="730">
        <v>3.2000000000000002E-3</v>
      </c>
      <c r="IY118" s="730">
        <v>0</v>
      </c>
      <c r="IZ118" s="730">
        <v>0</v>
      </c>
      <c r="JA118" s="730">
        <v>0</v>
      </c>
      <c r="JB118" s="730">
        <v>0</v>
      </c>
      <c r="JC118" s="730">
        <v>0</v>
      </c>
      <c r="JD118" s="730">
        <v>0</v>
      </c>
      <c r="JE118" s="730">
        <v>0</v>
      </c>
      <c r="JF118" s="730">
        <v>0</v>
      </c>
      <c r="JG118" s="730">
        <v>0</v>
      </c>
      <c r="JH118" s="730">
        <v>0</v>
      </c>
      <c r="JI118" s="730">
        <v>0.15459999999999999</v>
      </c>
      <c r="JJ118" s="730">
        <v>0.61470000000000002</v>
      </c>
      <c r="JK118" s="730">
        <v>0.21909999999999999</v>
      </c>
      <c r="JL118" s="730">
        <v>1.1599999999999999E-2</v>
      </c>
      <c r="JM118" s="730">
        <v>0</v>
      </c>
      <c r="JN118" s="730">
        <v>0.14050000000000001</v>
      </c>
      <c r="JO118" s="730">
        <v>0.59740000000000004</v>
      </c>
      <c r="JP118" s="730">
        <v>0.23319999999999999</v>
      </c>
      <c r="JQ118" s="730">
        <v>2.5700000000000001E-2</v>
      </c>
      <c r="JR118" s="730">
        <v>3.2000000000000002E-3</v>
      </c>
      <c r="JS118" s="730">
        <v>0.1066</v>
      </c>
      <c r="JT118" s="730">
        <v>0.53920000000000001</v>
      </c>
      <c r="JU118" s="730">
        <v>0.32950000000000002</v>
      </c>
      <c r="JV118" s="730">
        <v>2.47E-2</v>
      </c>
      <c r="JW118" s="730">
        <v>0</v>
      </c>
      <c r="JX118" s="730">
        <v>9.2499999999999999E-2</v>
      </c>
      <c r="JY118" s="730">
        <v>0.52190000000000003</v>
      </c>
      <c r="JZ118" s="730">
        <v>0.34360000000000002</v>
      </c>
      <c r="KA118" s="730">
        <v>3.8800000000000001E-2</v>
      </c>
      <c r="KB118" s="730">
        <v>3.2000000000000002E-3</v>
      </c>
      <c r="KC118" s="657"/>
      <c r="KD118" s="314" t="s">
        <v>2591</v>
      </c>
      <c r="KE118" s="314" t="s">
        <v>2591</v>
      </c>
      <c r="KF118" s="866">
        <v>4.01</v>
      </c>
      <c r="KG118" s="314" t="s">
        <v>2589</v>
      </c>
      <c r="KH118" s="315" t="s">
        <v>4595</v>
      </c>
      <c r="KI118" s="314" t="s">
        <v>2659</v>
      </c>
      <c r="KJ118" s="315" t="s">
        <v>4675</v>
      </c>
    </row>
    <row r="119" spans="1:296" ht="48" hidden="1" customHeight="1">
      <c r="A119" s="265">
        <f t="shared" si="447"/>
        <v>112</v>
      </c>
      <c r="B119" s="266" t="s">
        <v>2278</v>
      </c>
      <c r="C119" s="266" t="s">
        <v>4578</v>
      </c>
      <c r="D119" s="624" t="s">
        <v>4676</v>
      </c>
      <c r="E119" s="267" t="s">
        <v>4579</v>
      </c>
      <c r="F119" s="267" t="s">
        <v>300</v>
      </c>
      <c r="G119" s="267" t="s">
        <v>300</v>
      </c>
      <c r="H119" s="267" t="s">
        <v>2109</v>
      </c>
      <c r="I119" s="268" t="s">
        <v>4677</v>
      </c>
      <c r="J119" s="268" t="s">
        <v>4678</v>
      </c>
      <c r="K119" s="269" t="s">
        <v>2097</v>
      </c>
      <c r="L119" s="269" t="s">
        <v>2109</v>
      </c>
      <c r="M119" s="269" t="s">
        <v>2603</v>
      </c>
      <c r="N119" s="269" t="s">
        <v>2099</v>
      </c>
      <c r="O119" s="267" t="s">
        <v>2616</v>
      </c>
      <c r="P119" s="268"/>
      <c r="Q119" s="270">
        <v>1</v>
      </c>
      <c r="R119" s="271">
        <v>450</v>
      </c>
      <c r="S119" s="272">
        <v>620</v>
      </c>
      <c r="T119" s="272">
        <v>650</v>
      </c>
      <c r="U119" s="272">
        <v>680</v>
      </c>
      <c r="V119" s="272">
        <v>720</v>
      </c>
      <c r="W119" s="272">
        <v>725</v>
      </c>
      <c r="X119" s="272">
        <v>730</v>
      </c>
      <c r="Y119" s="272">
        <v>735</v>
      </c>
      <c r="Z119" s="272">
        <v>740</v>
      </c>
      <c r="AA119" s="272">
        <v>745</v>
      </c>
      <c r="AB119" s="272">
        <v>750</v>
      </c>
      <c r="AC119" s="272">
        <v>755</v>
      </c>
      <c r="AD119" s="272">
        <v>758</v>
      </c>
      <c r="AE119" s="272">
        <v>760</v>
      </c>
      <c r="AF119" s="272">
        <v>740</v>
      </c>
      <c r="AG119" s="272">
        <v>742</v>
      </c>
      <c r="AH119" s="272">
        <v>744</v>
      </c>
      <c r="AI119" s="272">
        <v>746</v>
      </c>
      <c r="AJ119" s="272">
        <v>748</v>
      </c>
      <c r="AK119" s="272">
        <v>750</v>
      </c>
      <c r="AL119" s="268" t="s">
        <v>4679</v>
      </c>
      <c r="AM119" s="268" t="s">
        <v>4680</v>
      </c>
      <c r="AN119" s="268" t="s">
        <v>4681</v>
      </c>
      <c r="AO119" s="657"/>
      <c r="AP119" s="271">
        <v>90</v>
      </c>
      <c r="AQ119" s="280">
        <v>82</v>
      </c>
      <c r="AR119" s="280">
        <v>5</v>
      </c>
      <c r="AS119" s="280">
        <v>3</v>
      </c>
      <c r="AT119" s="657"/>
      <c r="AU119" s="301" t="s">
        <v>4682</v>
      </c>
      <c r="AV119" s="572" t="s">
        <v>4683</v>
      </c>
      <c r="AW119" s="645" t="s">
        <v>3912</v>
      </c>
      <c r="AX119" s="290" t="s">
        <v>2670</v>
      </c>
      <c r="AY119" s="657"/>
      <c r="AZ119" s="948">
        <v>3</v>
      </c>
      <c r="BA119" s="948">
        <v>0</v>
      </c>
      <c r="BB119" s="948">
        <v>0.5</v>
      </c>
      <c r="BC119" s="948">
        <v>3</v>
      </c>
      <c r="BD119" s="825">
        <f t="shared" si="352"/>
        <v>4810</v>
      </c>
      <c r="BE119" s="304">
        <f t="shared" si="353"/>
        <v>2220</v>
      </c>
      <c r="BF119" s="304">
        <f t="shared" si="354"/>
        <v>0</v>
      </c>
      <c r="BG119" s="304">
        <f t="shared" si="355"/>
        <v>370</v>
      </c>
      <c r="BH119" s="304">
        <f t="shared" si="356"/>
        <v>2220</v>
      </c>
      <c r="BI119" s="825">
        <f t="shared" si="357"/>
        <v>4875</v>
      </c>
      <c r="BJ119" s="304">
        <f t="shared" si="358"/>
        <v>2250</v>
      </c>
      <c r="BK119" s="304">
        <f t="shared" si="359"/>
        <v>0</v>
      </c>
      <c r="BL119" s="304">
        <f t="shared" si="360"/>
        <v>375</v>
      </c>
      <c r="BM119" s="304">
        <f t="shared" si="361"/>
        <v>2250</v>
      </c>
      <c r="BN119" s="657"/>
      <c r="BO119" s="284">
        <v>0.1</v>
      </c>
      <c r="BP119" s="284">
        <v>0.76</v>
      </c>
      <c r="BQ119" s="284">
        <v>0.08</v>
      </c>
      <c r="BR119" s="710">
        <v>0.06</v>
      </c>
      <c r="BS119" s="707">
        <v>0.08</v>
      </c>
      <c r="BT119" s="284">
        <v>0.76</v>
      </c>
      <c r="BU119" s="284">
        <v>0.1</v>
      </c>
      <c r="BV119" s="710">
        <v>0.06</v>
      </c>
      <c r="BW119" s="714"/>
      <c r="BX119" s="285"/>
      <c r="BY119" s="717"/>
      <c r="BZ119" s="714"/>
      <c r="CA119" s="285"/>
      <c r="CB119" s="717"/>
      <c r="CC119" s="284">
        <v>0.05</v>
      </c>
      <c r="CD119" s="284">
        <v>0.55000000000000004</v>
      </c>
      <c r="CE119" s="284">
        <v>0.1</v>
      </c>
      <c r="CF119" s="710">
        <v>0.3</v>
      </c>
      <c r="CG119" s="707">
        <v>0.04</v>
      </c>
      <c r="CH119" s="284">
        <v>0.55000000000000004</v>
      </c>
      <c r="CI119" s="284">
        <v>0.12</v>
      </c>
      <c r="CJ119" s="710">
        <v>0.28999999999999998</v>
      </c>
      <c r="CK119" s="720">
        <v>0.25</v>
      </c>
      <c r="CL119" s="286">
        <v>0.55000000000000004</v>
      </c>
      <c r="CM119" s="718">
        <v>0.2</v>
      </c>
      <c r="CN119" s="720">
        <v>0.15</v>
      </c>
      <c r="CO119" s="286">
        <v>0.57999999999999996</v>
      </c>
      <c r="CP119" s="718">
        <v>0.27</v>
      </c>
      <c r="CQ119" s="657"/>
      <c r="CR119" s="807">
        <v>10</v>
      </c>
      <c r="CS119" s="808">
        <v>11</v>
      </c>
      <c r="CT119" s="808">
        <v>8</v>
      </c>
      <c r="CU119" s="809">
        <v>10</v>
      </c>
      <c r="CV119" s="807"/>
      <c r="CW119" s="808"/>
      <c r="CX119" s="809"/>
      <c r="CY119" s="807">
        <v>8</v>
      </c>
      <c r="CZ119" s="808">
        <v>10</v>
      </c>
      <c r="DA119" s="808">
        <v>7</v>
      </c>
      <c r="DB119" s="809">
        <v>9</v>
      </c>
      <c r="DC119" s="807">
        <v>10</v>
      </c>
      <c r="DD119" s="808">
        <v>11</v>
      </c>
      <c r="DE119" s="809">
        <v>8</v>
      </c>
      <c r="DF119" s="610" t="s">
        <v>4684</v>
      </c>
      <c r="DG119" s="657"/>
      <c r="DH119" s="288">
        <f t="shared" si="362"/>
        <v>222</v>
      </c>
      <c r="DI119" s="288">
        <f t="shared" si="363"/>
        <v>1687.2</v>
      </c>
      <c r="DJ119" s="288">
        <f t="shared" si="364"/>
        <v>177.6</v>
      </c>
      <c r="DK119" s="288">
        <f t="shared" si="365"/>
        <v>133.19999999999999</v>
      </c>
      <c r="DL119" s="560" t="s">
        <v>4685</v>
      </c>
      <c r="DM119" s="288">
        <f t="shared" si="366"/>
        <v>180</v>
      </c>
      <c r="DN119" s="288">
        <f t="shared" si="367"/>
        <v>1710</v>
      </c>
      <c r="DO119" s="288">
        <f t="shared" si="368"/>
        <v>225</v>
      </c>
      <c r="DP119" s="288">
        <f t="shared" si="369"/>
        <v>135</v>
      </c>
      <c r="DQ119" s="561" t="s">
        <v>2644</v>
      </c>
      <c r="DR119" s="657"/>
      <c r="DS119" s="288">
        <f t="shared" si="370"/>
        <v>0</v>
      </c>
      <c r="DT119" s="288">
        <f t="shared" si="371"/>
        <v>0</v>
      </c>
      <c r="DU119" s="288">
        <f t="shared" si="372"/>
        <v>0</v>
      </c>
      <c r="DV119" s="561" t="s">
        <v>2613</v>
      </c>
      <c r="DW119" s="288">
        <f t="shared" si="373"/>
        <v>0</v>
      </c>
      <c r="DX119" s="288">
        <f t="shared" si="374"/>
        <v>0</v>
      </c>
      <c r="DY119" s="288">
        <f t="shared" si="375"/>
        <v>0</v>
      </c>
      <c r="DZ119" s="561" t="s">
        <v>2613</v>
      </c>
      <c r="EA119" s="657"/>
      <c r="EB119" s="288">
        <f t="shared" si="376"/>
        <v>18.5</v>
      </c>
      <c r="EC119" s="288">
        <f t="shared" si="377"/>
        <v>203.50000000000003</v>
      </c>
      <c r="ED119" s="288">
        <f t="shared" si="378"/>
        <v>37</v>
      </c>
      <c r="EE119" s="288">
        <f t="shared" si="379"/>
        <v>111</v>
      </c>
      <c r="EF119" s="561" t="s">
        <v>4686</v>
      </c>
      <c r="EG119" s="288">
        <f t="shared" si="380"/>
        <v>15</v>
      </c>
      <c r="EH119" s="288">
        <f t="shared" si="381"/>
        <v>206.25000000000003</v>
      </c>
      <c r="EI119" s="288">
        <f t="shared" si="382"/>
        <v>45</v>
      </c>
      <c r="EJ119" s="288">
        <f t="shared" si="383"/>
        <v>108.74999999999999</v>
      </c>
      <c r="EK119" s="561" t="s">
        <v>2983</v>
      </c>
      <c r="EL119" s="657"/>
      <c r="EM119" s="288">
        <f t="shared" si="384"/>
        <v>555</v>
      </c>
      <c r="EN119" s="291">
        <f t="shared" si="385"/>
        <v>1221</v>
      </c>
      <c r="EO119" s="291">
        <f t="shared" si="386"/>
        <v>444</v>
      </c>
      <c r="EP119" s="561" t="s">
        <v>4687</v>
      </c>
      <c r="EQ119" s="288">
        <f t="shared" si="387"/>
        <v>337.5</v>
      </c>
      <c r="ER119" s="291">
        <f t="shared" si="388"/>
        <v>1305</v>
      </c>
      <c r="ES119" s="291">
        <f t="shared" si="389"/>
        <v>607.5</v>
      </c>
      <c r="ET119" s="561" t="s">
        <v>2985</v>
      </c>
      <c r="EU119" s="657"/>
      <c r="EV119" s="740">
        <f t="shared" si="390"/>
        <v>0.87372670218093651</v>
      </c>
      <c r="EW119" s="740">
        <f t="shared" si="391"/>
        <v>0.12627329781906352</v>
      </c>
      <c r="EX119" s="563">
        <f t="shared" si="392"/>
        <v>1988.9161393398267</v>
      </c>
      <c r="EY119" s="563">
        <f t="shared" si="393"/>
        <v>1737.7691393398268</v>
      </c>
      <c r="EZ119" s="563">
        <f t="shared" si="394"/>
        <v>251.14699999999999</v>
      </c>
      <c r="FA119" s="563">
        <f t="shared" si="395"/>
        <v>888.98863636363649</v>
      </c>
      <c r="FB119" s="563">
        <f t="shared" si="396"/>
        <v>773.0746363636365</v>
      </c>
      <c r="FC119" s="563">
        <f t="shared" si="397"/>
        <v>115.914</v>
      </c>
      <c r="FD119" s="563">
        <f t="shared" si="398"/>
        <v>0</v>
      </c>
      <c r="FE119" s="563">
        <f t="shared" si="399"/>
        <v>0</v>
      </c>
      <c r="FF119" s="563">
        <f t="shared" si="400"/>
        <v>0</v>
      </c>
      <c r="FG119" s="563">
        <f t="shared" si="401"/>
        <v>168.16350297619047</v>
      </c>
      <c r="FH119" s="563">
        <f t="shared" si="402"/>
        <v>148.84450297619048</v>
      </c>
      <c r="FI119" s="563">
        <f t="shared" si="403"/>
        <v>19.318999999999999</v>
      </c>
      <c r="FJ119" s="563">
        <f t="shared" si="404"/>
        <v>931.7639999999999</v>
      </c>
      <c r="FK119" s="563">
        <f t="shared" si="405"/>
        <v>815.84999999999991</v>
      </c>
      <c r="FL119" s="563">
        <f t="shared" si="406"/>
        <v>115.914</v>
      </c>
      <c r="FM119" s="529"/>
      <c r="FN119" s="564" t="s">
        <v>2649</v>
      </c>
      <c r="FO119" s="740">
        <v>3.8699999999999998E-2</v>
      </c>
      <c r="FP119" s="741">
        <v>0.74</v>
      </c>
      <c r="FQ119" s="565" t="s">
        <v>4591</v>
      </c>
      <c r="FR119" s="529"/>
      <c r="FS119" s="867">
        <v>2.61</v>
      </c>
      <c r="FT119" s="566">
        <f>RANK($FS119,$FS$8:$FS$154,0)+COUNTIF($FS$8:$FS119,$FS119)-1</f>
        <v>147</v>
      </c>
      <c r="FU119" s="867">
        <v>3.23</v>
      </c>
      <c r="FV119" s="566">
        <f>RANK($FU119,$FU$8:$FU$154,0)+COUNTIF($FU$8:$FU119,$FU119)-1</f>
        <v>146</v>
      </c>
      <c r="FW119" s="867">
        <v>1.51</v>
      </c>
      <c r="FX119" s="566">
        <f>RANK($FW119,$FW$8:$FW$154,0)+COUNTIF($FW$8:$FW119,$FW119)-1</f>
        <v>147</v>
      </c>
      <c r="FY119" s="529"/>
      <c r="FZ119" s="567" t="s">
        <v>4592</v>
      </c>
      <c r="GA119" s="567" t="s">
        <v>4688</v>
      </c>
      <c r="GB119" s="567" t="s">
        <v>2653</v>
      </c>
      <c r="GC119" s="567" t="s">
        <v>2654</v>
      </c>
      <c r="GD119" s="567" t="s">
        <v>2876</v>
      </c>
      <c r="GE119" s="567" t="s">
        <v>2656</v>
      </c>
      <c r="GF119" s="567" t="str">
        <f t="shared" si="448"/>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19" s="529"/>
      <c r="GH119" s="563">
        <f t="shared" si="407"/>
        <v>90.858120000000014</v>
      </c>
      <c r="GI119" s="563">
        <f t="shared" si="337"/>
        <v>81.585000000000008</v>
      </c>
      <c r="GJ119" s="563">
        <f t="shared" si="408"/>
        <v>9.2731200000000005</v>
      </c>
      <c r="GK119" s="563">
        <f t="shared" si="409"/>
        <v>647.93827636363642</v>
      </c>
      <c r="GL119" s="563">
        <f t="shared" si="338"/>
        <v>559.84363636363639</v>
      </c>
      <c r="GM119" s="563">
        <f t="shared" si="410"/>
        <v>88.094639999999998</v>
      </c>
      <c r="GN119" s="563">
        <f t="shared" si="411"/>
        <v>94.286400000000015</v>
      </c>
      <c r="GO119" s="563">
        <f t="shared" si="339"/>
        <v>82.695000000000007</v>
      </c>
      <c r="GP119" s="563">
        <f t="shared" si="412"/>
        <v>11.5914</v>
      </c>
      <c r="GQ119" s="563">
        <f t="shared" si="413"/>
        <v>55.905839999999984</v>
      </c>
      <c r="GR119" s="563">
        <f t="shared" si="340"/>
        <v>48.950999999999986</v>
      </c>
      <c r="GS119" s="563">
        <f t="shared" si="414"/>
        <v>6.9548399999999999</v>
      </c>
      <c r="GT119" s="563">
        <f t="shared" si="415"/>
        <v>0</v>
      </c>
      <c r="GU119" s="563">
        <f t="shared" si="341"/>
        <v>0</v>
      </c>
      <c r="GV119" s="563">
        <f t="shared" si="416"/>
        <v>0</v>
      </c>
      <c r="GW119" s="563">
        <f t="shared" si="417"/>
        <v>0</v>
      </c>
      <c r="GX119" s="563">
        <f t="shared" si="342"/>
        <v>0</v>
      </c>
      <c r="GY119" s="563">
        <f t="shared" si="418"/>
        <v>0</v>
      </c>
      <c r="GZ119" s="563">
        <f t="shared" si="419"/>
        <v>0</v>
      </c>
      <c r="HA119" s="563">
        <f t="shared" si="343"/>
        <v>0</v>
      </c>
      <c r="HB119" s="563">
        <f t="shared" si="420"/>
        <v>0</v>
      </c>
      <c r="HC119" s="563">
        <f t="shared" si="421"/>
        <v>9.3868224999999992</v>
      </c>
      <c r="HD119" s="563">
        <f t="shared" si="344"/>
        <v>8.6140624999999993</v>
      </c>
      <c r="HE119" s="563">
        <f t="shared" si="422"/>
        <v>0.77276</v>
      </c>
      <c r="HF119" s="563">
        <f t="shared" si="423"/>
        <v>85.41170000000001</v>
      </c>
      <c r="HG119" s="563">
        <f t="shared" si="345"/>
        <v>74.78625000000001</v>
      </c>
      <c r="HH119" s="563">
        <f t="shared" si="424"/>
        <v>10.625450000000001</v>
      </c>
      <c r="HI119" s="563">
        <f t="shared" si="425"/>
        <v>22.12913714285714</v>
      </c>
      <c r="HJ119" s="563">
        <f t="shared" si="346"/>
        <v>19.810857142857142</v>
      </c>
      <c r="HK119" s="563">
        <f t="shared" si="426"/>
        <v>2.3182799999999997</v>
      </c>
      <c r="HL119" s="563">
        <f t="shared" si="427"/>
        <v>51.235843333333335</v>
      </c>
      <c r="HM119" s="563">
        <f t="shared" si="347"/>
        <v>45.633333333333333</v>
      </c>
      <c r="HN119" s="563">
        <f t="shared" si="428"/>
        <v>5.6025099999999997</v>
      </c>
      <c r="HO119" s="563">
        <f t="shared" si="429"/>
        <v>221.34960000000001</v>
      </c>
      <c r="HP119" s="563">
        <f t="shared" si="348"/>
        <v>203.96250000000001</v>
      </c>
      <c r="HQ119" s="563">
        <f t="shared" si="430"/>
        <v>17.3871</v>
      </c>
      <c r="HR119" s="563">
        <f t="shared" si="431"/>
        <v>472.38011999999998</v>
      </c>
      <c r="HS119" s="563">
        <f t="shared" si="349"/>
        <v>405.15</v>
      </c>
      <c r="HT119" s="563">
        <f t="shared" si="432"/>
        <v>67.230119999999999</v>
      </c>
      <c r="HU119" s="563">
        <f t="shared" si="433"/>
        <v>238.03428000000002</v>
      </c>
      <c r="HV119" s="563">
        <f t="shared" si="350"/>
        <v>206.73750000000001</v>
      </c>
      <c r="HW119" s="563">
        <f t="shared" si="434"/>
        <v>31.296780000000002</v>
      </c>
      <c r="HX119" s="544"/>
      <c r="HY119" s="568">
        <f t="shared" si="435"/>
        <v>4810</v>
      </c>
      <c r="HZ119" s="568">
        <f t="shared" si="436"/>
        <v>515.85400000000004</v>
      </c>
      <c r="IA119" s="568">
        <f t="shared" si="437"/>
        <v>2601.0630000000001</v>
      </c>
      <c r="IB119" s="568">
        <f t="shared" si="438"/>
        <v>1567.357</v>
      </c>
      <c r="IC119" s="568">
        <f t="shared" si="439"/>
        <v>125.726</v>
      </c>
      <c r="ID119" s="568">
        <f t="shared" si="440"/>
        <v>0</v>
      </c>
      <c r="IE119" s="568">
        <f t="shared" si="441"/>
        <v>1737.7691393398272</v>
      </c>
      <c r="IF119" s="568">
        <f t="shared" si="442"/>
        <v>162.78588893179113</v>
      </c>
      <c r="IG119" s="568">
        <f t="shared" si="443"/>
        <v>911.06718714161264</v>
      </c>
      <c r="IH119" s="568">
        <f t="shared" si="444"/>
        <v>588.78232683041131</v>
      </c>
      <c r="II119" s="568">
        <f t="shared" si="445"/>
        <v>69.572875190124464</v>
      </c>
      <c r="IJ119" s="568">
        <f t="shared" si="446"/>
        <v>5.5608612458874465</v>
      </c>
      <c r="IK119" s="868">
        <v>3.98</v>
      </c>
      <c r="IL119" s="569" t="s">
        <v>2626</v>
      </c>
      <c r="IM119" s="570" t="s">
        <v>4689</v>
      </c>
      <c r="IN119" s="529"/>
      <c r="IO119" s="742">
        <v>0.1</v>
      </c>
      <c r="IP119" s="742">
        <v>0.53</v>
      </c>
      <c r="IQ119" s="742">
        <v>0.34</v>
      </c>
      <c r="IR119" s="742">
        <v>0.03</v>
      </c>
      <c r="IS119" s="742">
        <v>0</v>
      </c>
      <c r="IT119" s="742">
        <v>8.5900000000000004E-2</v>
      </c>
      <c r="IU119" s="742">
        <v>0.51270000000000004</v>
      </c>
      <c r="IV119" s="742">
        <v>0.35410000000000003</v>
      </c>
      <c r="IW119" s="742">
        <v>4.41E-2</v>
      </c>
      <c r="IX119" s="742">
        <v>3.2000000000000002E-3</v>
      </c>
      <c r="IY119" s="742">
        <v>0</v>
      </c>
      <c r="IZ119" s="742">
        <v>0</v>
      </c>
      <c r="JA119" s="742">
        <v>0</v>
      </c>
      <c r="JB119" s="742">
        <v>0</v>
      </c>
      <c r="JC119" s="742">
        <v>0</v>
      </c>
      <c r="JD119" s="742">
        <v>0</v>
      </c>
      <c r="JE119" s="742">
        <v>0</v>
      </c>
      <c r="JF119" s="742">
        <v>0</v>
      </c>
      <c r="JG119" s="742">
        <v>0</v>
      </c>
      <c r="JH119" s="742">
        <v>0</v>
      </c>
      <c r="JI119" s="742">
        <v>0.15459999999999999</v>
      </c>
      <c r="JJ119" s="742">
        <v>0.61470000000000002</v>
      </c>
      <c r="JK119" s="742">
        <v>0.21909999999999999</v>
      </c>
      <c r="JL119" s="742">
        <v>1.1599999999999999E-2</v>
      </c>
      <c r="JM119" s="742">
        <v>0</v>
      </c>
      <c r="JN119" s="742">
        <v>0.14050000000000001</v>
      </c>
      <c r="JO119" s="742">
        <v>0.59740000000000004</v>
      </c>
      <c r="JP119" s="742">
        <v>0.23319999999999999</v>
      </c>
      <c r="JQ119" s="742">
        <v>2.5700000000000001E-2</v>
      </c>
      <c r="JR119" s="742">
        <v>3.2000000000000002E-3</v>
      </c>
      <c r="JS119" s="742">
        <v>0.1066</v>
      </c>
      <c r="JT119" s="742">
        <v>0.53920000000000001</v>
      </c>
      <c r="JU119" s="742">
        <v>0.32950000000000002</v>
      </c>
      <c r="JV119" s="742">
        <v>2.47E-2</v>
      </c>
      <c r="JW119" s="742">
        <v>0</v>
      </c>
      <c r="JX119" s="742">
        <v>9.2499999999999999E-2</v>
      </c>
      <c r="JY119" s="742">
        <v>0.52190000000000003</v>
      </c>
      <c r="JZ119" s="742">
        <v>0.34360000000000002</v>
      </c>
      <c r="KA119" s="742">
        <v>3.8800000000000001E-2</v>
      </c>
      <c r="KB119" s="742">
        <v>3.2000000000000002E-3</v>
      </c>
      <c r="KC119" s="657"/>
      <c r="KD119" s="832" t="s">
        <v>2591</v>
      </c>
      <c r="KE119" s="832" t="s">
        <v>2591</v>
      </c>
      <c r="KF119" s="869">
        <v>4.01</v>
      </c>
      <c r="KG119" s="832" t="s">
        <v>2589</v>
      </c>
      <c r="KH119" s="833" t="s">
        <v>4595</v>
      </c>
      <c r="KI119" s="832" t="s">
        <v>2659</v>
      </c>
      <c r="KJ119" s="833" t="s">
        <v>4690</v>
      </c>
    </row>
    <row r="120" spans="1:296" ht="48" hidden="1" customHeight="1">
      <c r="A120" s="273">
        <f t="shared" si="447"/>
        <v>113</v>
      </c>
      <c r="B120" s="274" t="s">
        <v>2278</v>
      </c>
      <c r="C120" s="274" t="s">
        <v>1576</v>
      </c>
      <c r="D120" s="274" t="s">
        <v>4691</v>
      </c>
      <c r="E120" s="275" t="s">
        <v>4692</v>
      </c>
      <c r="F120" s="275" t="s">
        <v>300</v>
      </c>
      <c r="G120" s="275" t="s">
        <v>2631</v>
      </c>
      <c r="H120" s="275" t="s">
        <v>2109</v>
      </c>
      <c r="I120" s="276" t="s">
        <v>4693</v>
      </c>
      <c r="J120" s="276" t="s">
        <v>4694</v>
      </c>
      <c r="K120" s="277" t="s">
        <v>2096</v>
      </c>
      <c r="L120" s="277" t="s">
        <v>2109</v>
      </c>
      <c r="M120" s="277" t="s">
        <v>2603</v>
      </c>
      <c r="N120" s="277" t="s">
        <v>2099</v>
      </c>
      <c r="O120" s="275" t="s">
        <v>2616</v>
      </c>
      <c r="P120" s="276"/>
      <c r="Q120" s="270">
        <v>1</v>
      </c>
      <c r="R120" s="278">
        <v>520</v>
      </c>
      <c r="S120" s="279">
        <v>3800</v>
      </c>
      <c r="T120" s="279">
        <v>4050</v>
      </c>
      <c r="U120" s="279">
        <v>4300</v>
      </c>
      <c r="V120" s="279">
        <v>4580</v>
      </c>
      <c r="W120" s="279">
        <v>4680</v>
      </c>
      <c r="X120" s="279">
        <v>4820</v>
      </c>
      <c r="Y120" s="279">
        <v>4980</v>
      </c>
      <c r="Z120" s="279">
        <v>5130</v>
      </c>
      <c r="AA120" s="279">
        <v>5220</v>
      </c>
      <c r="AB120" s="279">
        <v>5290</v>
      </c>
      <c r="AC120" s="279">
        <v>5370</v>
      </c>
      <c r="AD120" s="279">
        <v>5450</v>
      </c>
      <c r="AE120" s="279">
        <v>5520</v>
      </c>
      <c r="AF120" s="279">
        <v>5560</v>
      </c>
      <c r="AG120" s="279">
        <v>5600</v>
      </c>
      <c r="AH120" s="279">
        <v>5630</v>
      </c>
      <c r="AI120" s="279">
        <v>5660</v>
      </c>
      <c r="AJ120" s="279">
        <v>5690</v>
      </c>
      <c r="AK120" s="279">
        <v>5720</v>
      </c>
      <c r="AL120" s="276" t="s">
        <v>4695</v>
      </c>
      <c r="AM120" s="276" t="s">
        <v>4696</v>
      </c>
      <c r="AN120" s="276" t="s">
        <v>4697</v>
      </c>
      <c r="AO120" s="657"/>
      <c r="AP120" s="278">
        <v>50</v>
      </c>
      <c r="AQ120" s="278">
        <v>44</v>
      </c>
      <c r="AR120" s="278">
        <v>5</v>
      </c>
      <c r="AS120" s="278">
        <v>1</v>
      </c>
      <c r="AT120" s="657"/>
      <c r="AU120" s="281" t="s">
        <v>4698</v>
      </c>
      <c r="AV120" s="296" t="s">
        <v>4699</v>
      </c>
      <c r="AW120" s="296" t="s">
        <v>4700</v>
      </c>
      <c r="AX120" s="276" t="s">
        <v>2670</v>
      </c>
      <c r="AY120" s="657"/>
      <c r="AZ120" s="947">
        <v>3</v>
      </c>
      <c r="BA120" s="947">
        <v>0</v>
      </c>
      <c r="BB120" s="947">
        <v>0.5</v>
      </c>
      <c r="BC120" s="947">
        <v>3</v>
      </c>
      <c r="BD120" s="826">
        <f t="shared" si="352"/>
        <v>36140</v>
      </c>
      <c r="BE120" s="283">
        <f t="shared" si="353"/>
        <v>16680</v>
      </c>
      <c r="BF120" s="283">
        <f t="shared" si="354"/>
        <v>0</v>
      </c>
      <c r="BG120" s="283">
        <f t="shared" si="355"/>
        <v>2780</v>
      </c>
      <c r="BH120" s="283">
        <f t="shared" si="356"/>
        <v>16680</v>
      </c>
      <c r="BI120" s="826">
        <f t="shared" si="357"/>
        <v>37180</v>
      </c>
      <c r="BJ120" s="283">
        <f t="shared" si="358"/>
        <v>17160</v>
      </c>
      <c r="BK120" s="283">
        <f t="shared" si="359"/>
        <v>0</v>
      </c>
      <c r="BL120" s="283">
        <f t="shared" si="360"/>
        <v>2860</v>
      </c>
      <c r="BM120" s="283">
        <f t="shared" si="361"/>
        <v>17160</v>
      </c>
      <c r="BN120" s="657"/>
      <c r="BO120" s="305">
        <v>0.36</v>
      </c>
      <c r="BP120" s="305">
        <v>0.5</v>
      </c>
      <c r="BQ120" s="305">
        <v>0.1</v>
      </c>
      <c r="BR120" s="581">
        <v>0.04</v>
      </c>
      <c r="BS120" s="706">
        <v>0.31</v>
      </c>
      <c r="BT120" s="305">
        <v>0.51</v>
      </c>
      <c r="BU120" s="305">
        <v>0.15</v>
      </c>
      <c r="BV120" s="581">
        <v>0.03</v>
      </c>
      <c r="BW120" s="713"/>
      <c r="BX120" s="306"/>
      <c r="BY120" s="590"/>
      <c r="BZ120" s="713"/>
      <c r="CA120" s="306"/>
      <c r="CB120" s="590"/>
      <c r="CC120" s="706">
        <v>0.12</v>
      </c>
      <c r="CD120" s="305">
        <v>0.5</v>
      </c>
      <c r="CE120" s="305">
        <v>0.15</v>
      </c>
      <c r="CF120" s="581">
        <v>0.23</v>
      </c>
      <c r="CG120" s="706">
        <v>0.1</v>
      </c>
      <c r="CH120" s="305">
        <v>0.5</v>
      </c>
      <c r="CI120" s="305">
        <v>0.18</v>
      </c>
      <c r="CJ120" s="581">
        <v>0.22</v>
      </c>
      <c r="CK120" s="719">
        <v>0.55000000000000004</v>
      </c>
      <c r="CL120" s="307">
        <v>0.3</v>
      </c>
      <c r="CM120" s="723">
        <v>0.15</v>
      </c>
      <c r="CN120" s="719">
        <v>0.47</v>
      </c>
      <c r="CO120" s="307">
        <v>0.33</v>
      </c>
      <c r="CP120" s="723">
        <v>0.2</v>
      </c>
      <c r="CQ120" s="657"/>
      <c r="CR120" s="804">
        <v>13</v>
      </c>
      <c r="CS120" s="805">
        <v>14</v>
      </c>
      <c r="CT120" s="805">
        <v>10</v>
      </c>
      <c r="CU120" s="806">
        <v>12</v>
      </c>
      <c r="CV120" s="804"/>
      <c r="CW120" s="805"/>
      <c r="CX120" s="806"/>
      <c r="CY120" s="804">
        <v>11</v>
      </c>
      <c r="CZ120" s="805">
        <v>13</v>
      </c>
      <c r="DA120" s="805">
        <v>9</v>
      </c>
      <c r="DB120" s="806">
        <v>11</v>
      </c>
      <c r="DC120" s="804">
        <v>14</v>
      </c>
      <c r="DD120" s="805">
        <v>14</v>
      </c>
      <c r="DE120" s="806">
        <v>10</v>
      </c>
      <c r="DF120" s="609" t="s">
        <v>4701</v>
      </c>
      <c r="DG120" s="657"/>
      <c r="DH120" s="308">
        <f t="shared" si="362"/>
        <v>6004.8</v>
      </c>
      <c r="DI120" s="308">
        <f t="shared" si="363"/>
        <v>8340</v>
      </c>
      <c r="DJ120" s="308">
        <f t="shared" si="364"/>
        <v>1668</v>
      </c>
      <c r="DK120" s="308">
        <f t="shared" si="365"/>
        <v>667.2</v>
      </c>
      <c r="DL120" s="287" t="s">
        <v>4702</v>
      </c>
      <c r="DM120" s="308">
        <f t="shared" si="366"/>
        <v>5319.6</v>
      </c>
      <c r="DN120" s="308">
        <f t="shared" si="367"/>
        <v>8751.6</v>
      </c>
      <c r="DO120" s="308">
        <f t="shared" si="368"/>
        <v>2574</v>
      </c>
      <c r="DP120" s="308">
        <f t="shared" si="369"/>
        <v>514.79999999999995</v>
      </c>
      <c r="DQ120" s="289" t="s">
        <v>2868</v>
      </c>
      <c r="DR120" s="657"/>
      <c r="DS120" s="308">
        <f t="shared" si="370"/>
        <v>0</v>
      </c>
      <c r="DT120" s="308">
        <f t="shared" si="371"/>
        <v>0</v>
      </c>
      <c r="DU120" s="308">
        <f t="shared" si="372"/>
        <v>0</v>
      </c>
      <c r="DV120" s="289" t="s">
        <v>2613</v>
      </c>
      <c r="DW120" s="308">
        <f t="shared" si="373"/>
        <v>0</v>
      </c>
      <c r="DX120" s="308">
        <f t="shared" si="374"/>
        <v>0</v>
      </c>
      <c r="DY120" s="308">
        <f t="shared" si="375"/>
        <v>0</v>
      </c>
      <c r="DZ120" s="289" t="s">
        <v>2613</v>
      </c>
      <c r="EA120" s="657"/>
      <c r="EB120" s="308">
        <f t="shared" si="376"/>
        <v>333.59999999999997</v>
      </c>
      <c r="EC120" s="308">
        <f t="shared" si="377"/>
        <v>1390</v>
      </c>
      <c r="ED120" s="308">
        <f t="shared" si="378"/>
        <v>417</v>
      </c>
      <c r="EE120" s="308">
        <f t="shared" si="379"/>
        <v>639.4</v>
      </c>
      <c r="EF120" s="289" t="s">
        <v>4703</v>
      </c>
      <c r="EG120" s="308">
        <f t="shared" si="380"/>
        <v>286</v>
      </c>
      <c r="EH120" s="308">
        <f t="shared" si="381"/>
        <v>1430</v>
      </c>
      <c r="EI120" s="308">
        <f t="shared" si="382"/>
        <v>514.79999999999995</v>
      </c>
      <c r="EJ120" s="308">
        <f t="shared" si="383"/>
        <v>629.20000000000005</v>
      </c>
      <c r="EK120" s="309" t="s">
        <v>2870</v>
      </c>
      <c r="EL120" s="657"/>
      <c r="EM120" s="308">
        <f t="shared" si="384"/>
        <v>9174</v>
      </c>
      <c r="EN120" s="310">
        <f t="shared" si="385"/>
        <v>5004</v>
      </c>
      <c r="EO120" s="310">
        <f t="shared" si="386"/>
        <v>2502</v>
      </c>
      <c r="EP120" s="289" t="s">
        <v>4704</v>
      </c>
      <c r="EQ120" s="308">
        <f t="shared" si="387"/>
        <v>8065.2</v>
      </c>
      <c r="ER120" s="310">
        <f t="shared" si="388"/>
        <v>5662.8</v>
      </c>
      <c r="ES120" s="310">
        <f t="shared" si="389"/>
        <v>3432</v>
      </c>
      <c r="ET120" s="289" t="s">
        <v>2872</v>
      </c>
      <c r="EU120" s="657"/>
      <c r="EV120" s="728">
        <f t="shared" si="390"/>
        <v>0.76401963015474528</v>
      </c>
      <c r="EW120" s="728">
        <f t="shared" si="391"/>
        <v>0.23598036984525469</v>
      </c>
      <c r="EX120" s="311">
        <f t="shared" si="392"/>
        <v>11283.506343116884</v>
      </c>
      <c r="EY120" s="311">
        <f t="shared" si="393"/>
        <v>8620.820343116884</v>
      </c>
      <c r="EZ120" s="311">
        <f t="shared" si="394"/>
        <v>2662.6859999999997</v>
      </c>
      <c r="FA120" s="311">
        <f t="shared" si="395"/>
        <v>5181.0116592857148</v>
      </c>
      <c r="FB120" s="311">
        <f t="shared" si="396"/>
        <v>3952.0796592857146</v>
      </c>
      <c r="FC120" s="311">
        <f t="shared" si="397"/>
        <v>1228.932</v>
      </c>
      <c r="FD120" s="311">
        <f t="shared" si="398"/>
        <v>0</v>
      </c>
      <c r="FE120" s="311">
        <f t="shared" si="399"/>
        <v>0</v>
      </c>
      <c r="FF120" s="311">
        <f t="shared" si="400"/>
        <v>0</v>
      </c>
      <c r="FG120" s="311">
        <f t="shared" si="401"/>
        <v>984.3714920454546</v>
      </c>
      <c r="FH120" s="311">
        <f t="shared" si="402"/>
        <v>779.5494920454546</v>
      </c>
      <c r="FI120" s="311">
        <f t="shared" si="403"/>
        <v>204.822</v>
      </c>
      <c r="FJ120" s="311">
        <f t="shared" si="404"/>
        <v>5118.1231917857149</v>
      </c>
      <c r="FK120" s="311">
        <f t="shared" si="405"/>
        <v>3889.1911917857146</v>
      </c>
      <c r="FL120" s="311">
        <f t="shared" si="406"/>
        <v>1228.932</v>
      </c>
      <c r="FM120" s="657"/>
      <c r="FN120" s="293" t="s">
        <v>2649</v>
      </c>
      <c r="FO120" s="728">
        <v>4.4900000000000002E-2</v>
      </c>
      <c r="FP120" s="729">
        <v>0.75465000000000004</v>
      </c>
      <c r="FQ120" s="294" t="s">
        <v>4705</v>
      </c>
      <c r="FR120" s="657"/>
      <c r="FS120" s="865">
        <v>2.92</v>
      </c>
      <c r="FT120" s="312">
        <f>RANK($FS120,$FS$8:$FS$154,0)+COUNTIF($FS$8:$FS120,$FS120)-1</f>
        <v>131</v>
      </c>
      <c r="FU120" s="865">
        <v>3.59</v>
      </c>
      <c r="FV120" s="312">
        <f>RANK($FU120,$FU$8:$FU$154,0)+COUNTIF($FU$8:$FU120,$FU120)-1</f>
        <v>126</v>
      </c>
      <c r="FW120" s="865">
        <v>1.74</v>
      </c>
      <c r="FX120" s="312">
        <f>RANK($FW120,$FW$8:$FW$154,0)+COUNTIF($FW$8:$FW120,$FW120)-1</f>
        <v>132</v>
      </c>
      <c r="FY120" s="657"/>
      <c r="FZ120" s="296" t="s">
        <v>4706</v>
      </c>
      <c r="GA120" s="296" t="s">
        <v>4707</v>
      </c>
      <c r="GB120" s="296" t="s">
        <v>2653</v>
      </c>
      <c r="GC120" s="296" t="s">
        <v>2654</v>
      </c>
      <c r="GD120" s="296" t="s">
        <v>2876</v>
      </c>
      <c r="GE120" s="296" t="s">
        <v>2656</v>
      </c>
      <c r="GF120" s="296" t="str">
        <f t="shared" si="448"/>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20" s="657"/>
      <c r="GH120" s="311">
        <f t="shared" si="407"/>
        <v>1802.8688400000001</v>
      </c>
      <c r="GI120" s="311">
        <f t="shared" si="337"/>
        <v>1421.8999200000001</v>
      </c>
      <c r="GJ120" s="311">
        <f t="shared" si="408"/>
        <v>380.96892000000003</v>
      </c>
      <c r="GK120" s="311">
        <f t="shared" si="409"/>
        <v>2418.510034285714</v>
      </c>
      <c r="GL120" s="311">
        <f t="shared" si="338"/>
        <v>1791.7547142857143</v>
      </c>
      <c r="GM120" s="311">
        <f t="shared" si="410"/>
        <v>626.75531999999998</v>
      </c>
      <c r="GN120" s="311">
        <f t="shared" si="411"/>
        <v>746.47858499999995</v>
      </c>
      <c r="GO120" s="311">
        <f t="shared" si="339"/>
        <v>562.13878499999998</v>
      </c>
      <c r="GP120" s="311">
        <f t="shared" si="412"/>
        <v>184.3398</v>
      </c>
      <c r="GQ120" s="311">
        <f t="shared" si="413"/>
        <v>213.15420000000006</v>
      </c>
      <c r="GR120" s="311">
        <f t="shared" si="340"/>
        <v>176.28624000000005</v>
      </c>
      <c r="GS120" s="311">
        <f t="shared" si="414"/>
        <v>36.867959999999997</v>
      </c>
      <c r="GT120" s="311">
        <f t="shared" si="415"/>
        <v>0</v>
      </c>
      <c r="GU120" s="311">
        <f t="shared" si="341"/>
        <v>0</v>
      </c>
      <c r="GV120" s="311">
        <f t="shared" si="416"/>
        <v>0</v>
      </c>
      <c r="GW120" s="311">
        <f t="shared" si="417"/>
        <v>0</v>
      </c>
      <c r="GX120" s="311">
        <f t="shared" si="342"/>
        <v>0</v>
      </c>
      <c r="GY120" s="311">
        <f t="shared" si="418"/>
        <v>0</v>
      </c>
      <c r="GZ120" s="311">
        <f t="shared" si="419"/>
        <v>0</v>
      </c>
      <c r="HA120" s="311">
        <f t="shared" si="343"/>
        <v>0</v>
      </c>
      <c r="HB120" s="311">
        <f t="shared" si="420"/>
        <v>0</v>
      </c>
      <c r="HC120" s="311">
        <f t="shared" si="421"/>
        <v>120.05483727272728</v>
      </c>
      <c r="HD120" s="311">
        <f t="shared" si="344"/>
        <v>99.572637272727277</v>
      </c>
      <c r="HE120" s="311">
        <f t="shared" si="422"/>
        <v>20.482200000000002</v>
      </c>
      <c r="HF120" s="311">
        <f t="shared" si="423"/>
        <v>431.55450000000002</v>
      </c>
      <c r="HG120" s="311">
        <f t="shared" si="345"/>
        <v>329.14350000000002</v>
      </c>
      <c r="HH120" s="311">
        <f t="shared" si="424"/>
        <v>102.411</v>
      </c>
      <c r="HI120" s="311">
        <f t="shared" si="425"/>
        <v>196.85376000000002</v>
      </c>
      <c r="HJ120" s="311">
        <f t="shared" si="346"/>
        <v>159.98580000000001</v>
      </c>
      <c r="HK120" s="311">
        <f t="shared" si="426"/>
        <v>36.867959999999997</v>
      </c>
      <c r="HL120" s="311">
        <f t="shared" si="427"/>
        <v>235.90839477272726</v>
      </c>
      <c r="HM120" s="311">
        <f t="shared" si="347"/>
        <v>190.84755477272728</v>
      </c>
      <c r="HN120" s="311">
        <f t="shared" si="428"/>
        <v>45.060839999999999</v>
      </c>
      <c r="HO120" s="311">
        <f t="shared" si="429"/>
        <v>2548.5282257142858</v>
      </c>
      <c r="HP120" s="311">
        <f t="shared" si="348"/>
        <v>1970.9301857142859</v>
      </c>
      <c r="HQ120" s="311">
        <f t="shared" si="430"/>
        <v>577.59803999999997</v>
      </c>
      <c r="HR120" s="311">
        <f t="shared" si="431"/>
        <v>1480.6003885714288</v>
      </c>
      <c r="HS120" s="311">
        <f t="shared" si="349"/>
        <v>1075.0528285714288</v>
      </c>
      <c r="HT120" s="311">
        <f t="shared" si="432"/>
        <v>405.54756000000003</v>
      </c>
      <c r="HU120" s="311">
        <f t="shared" si="433"/>
        <v>1088.9945775000001</v>
      </c>
      <c r="HV120" s="311">
        <f t="shared" si="350"/>
        <v>843.20817750000003</v>
      </c>
      <c r="HW120" s="311">
        <f t="shared" si="434"/>
        <v>245.78640000000001</v>
      </c>
      <c r="HY120" s="313">
        <f t="shared" si="435"/>
        <v>36140</v>
      </c>
      <c r="HZ120" s="313">
        <f t="shared" si="436"/>
        <v>3875.8760000000002</v>
      </c>
      <c r="IA120" s="313">
        <f t="shared" si="437"/>
        <v>19543.121999999999</v>
      </c>
      <c r="IB120" s="313">
        <f t="shared" si="438"/>
        <v>11776.358</v>
      </c>
      <c r="IC120" s="313">
        <f t="shared" si="439"/>
        <v>944.64400000000001</v>
      </c>
      <c r="ID120" s="313">
        <f t="shared" si="440"/>
        <v>0</v>
      </c>
      <c r="IE120" s="313">
        <f t="shared" si="441"/>
        <v>8620.820343116884</v>
      </c>
      <c r="IF120" s="313">
        <f t="shared" si="442"/>
        <v>789.7947268503508</v>
      </c>
      <c r="IG120" s="313">
        <f t="shared" si="443"/>
        <v>4499.2888579646005</v>
      </c>
      <c r="IH120" s="313">
        <f t="shared" si="444"/>
        <v>2936.5142471505005</v>
      </c>
      <c r="II120" s="313">
        <f t="shared" si="445"/>
        <v>364.18755791621106</v>
      </c>
      <c r="IJ120" s="313">
        <f t="shared" si="446"/>
        <v>31.03495323522078</v>
      </c>
      <c r="IK120" s="866">
        <v>4.03</v>
      </c>
      <c r="IL120" s="314" t="s">
        <v>2589</v>
      </c>
      <c r="IM120" s="299" t="s">
        <v>4708</v>
      </c>
      <c r="IN120" s="657"/>
      <c r="IO120" s="730">
        <v>0.1</v>
      </c>
      <c r="IP120" s="730">
        <v>0.53</v>
      </c>
      <c r="IQ120" s="730">
        <v>0.34</v>
      </c>
      <c r="IR120" s="730">
        <v>0.03</v>
      </c>
      <c r="IS120" s="730">
        <v>0</v>
      </c>
      <c r="IT120" s="730">
        <v>8.3699999999999997E-2</v>
      </c>
      <c r="IU120" s="730">
        <v>0.5101</v>
      </c>
      <c r="IV120" s="730">
        <v>0.35630000000000001</v>
      </c>
      <c r="IW120" s="730">
        <v>4.6300000000000001E-2</v>
      </c>
      <c r="IX120" s="730">
        <v>3.5999999999999999E-3</v>
      </c>
      <c r="IY120" s="730">
        <v>0</v>
      </c>
      <c r="IZ120" s="730">
        <v>0</v>
      </c>
      <c r="JA120" s="730">
        <v>0</v>
      </c>
      <c r="JB120" s="730">
        <v>0</v>
      </c>
      <c r="JC120" s="730">
        <v>0</v>
      </c>
      <c r="JD120" s="730">
        <v>0</v>
      </c>
      <c r="JE120" s="730">
        <v>0</v>
      </c>
      <c r="JF120" s="730">
        <v>0</v>
      </c>
      <c r="JG120" s="730">
        <v>0</v>
      </c>
      <c r="JH120" s="730">
        <v>0</v>
      </c>
      <c r="JI120" s="730">
        <v>0.15459999999999999</v>
      </c>
      <c r="JJ120" s="730">
        <v>0.61470000000000002</v>
      </c>
      <c r="JK120" s="730">
        <v>0.21909999999999999</v>
      </c>
      <c r="JL120" s="730">
        <v>1.1599999999999999E-2</v>
      </c>
      <c r="JM120" s="730">
        <v>0</v>
      </c>
      <c r="JN120" s="730">
        <v>0.13830000000000001</v>
      </c>
      <c r="JO120" s="730">
        <v>0.5948</v>
      </c>
      <c r="JP120" s="730">
        <v>0.2354</v>
      </c>
      <c r="JQ120" s="730">
        <v>2.7900000000000001E-2</v>
      </c>
      <c r="JR120" s="730">
        <v>3.5999999999999999E-3</v>
      </c>
      <c r="JS120" s="730">
        <v>0.1066</v>
      </c>
      <c r="JT120" s="730">
        <v>0.53920000000000001</v>
      </c>
      <c r="JU120" s="730">
        <v>0.32950000000000002</v>
      </c>
      <c r="JV120" s="730">
        <v>2.47E-2</v>
      </c>
      <c r="JW120" s="730">
        <v>0</v>
      </c>
      <c r="JX120" s="730">
        <v>9.0300000000000005E-2</v>
      </c>
      <c r="JY120" s="730">
        <v>0.51929999999999998</v>
      </c>
      <c r="JZ120" s="730">
        <v>0.3458</v>
      </c>
      <c r="KA120" s="730">
        <v>4.1000000000000002E-2</v>
      </c>
      <c r="KB120" s="730">
        <v>3.5999999999999999E-3</v>
      </c>
      <c r="KC120" s="657"/>
      <c r="KD120" s="314" t="s">
        <v>2590</v>
      </c>
      <c r="KE120" s="314" t="s">
        <v>2590</v>
      </c>
      <c r="KF120" s="866">
        <v>4.0599999999999996</v>
      </c>
      <c r="KG120" s="314" t="s">
        <v>2589</v>
      </c>
      <c r="KH120" s="315" t="s">
        <v>4709</v>
      </c>
      <c r="KI120" s="314" t="s">
        <v>2659</v>
      </c>
      <c r="KJ120" s="315" t="s">
        <v>4710</v>
      </c>
    </row>
    <row r="121" spans="1:296" ht="48" hidden="1" customHeight="1">
      <c r="A121" s="265">
        <f t="shared" si="447"/>
        <v>114</v>
      </c>
      <c r="B121" s="266" t="s">
        <v>2285</v>
      </c>
      <c r="C121" s="266" t="s">
        <v>4711</v>
      </c>
      <c r="D121" s="624" t="s">
        <v>4712</v>
      </c>
      <c r="E121" s="267" t="s">
        <v>2117</v>
      </c>
      <c r="F121" s="267" t="s">
        <v>4713</v>
      </c>
      <c r="G121" s="267" t="s">
        <v>2121</v>
      </c>
      <c r="H121" s="267" t="s">
        <v>2096</v>
      </c>
      <c r="I121" s="268" t="s">
        <v>4714</v>
      </c>
      <c r="J121" s="268" t="s">
        <v>4715</v>
      </c>
      <c r="K121" s="269" t="s">
        <v>2097</v>
      </c>
      <c r="L121" s="269" t="s">
        <v>2109</v>
      </c>
      <c r="M121" s="269" t="s">
        <v>2603</v>
      </c>
      <c r="N121" s="269" t="s">
        <v>3322</v>
      </c>
      <c r="O121" s="267" t="s">
        <v>2212</v>
      </c>
      <c r="P121" s="268"/>
      <c r="Q121" s="270">
        <v>1</v>
      </c>
      <c r="R121" s="271">
        <v>250</v>
      </c>
      <c r="S121" s="272">
        <v>320</v>
      </c>
      <c r="T121" s="272">
        <v>345</v>
      </c>
      <c r="U121" s="272">
        <v>364</v>
      </c>
      <c r="V121" s="272">
        <v>365</v>
      </c>
      <c r="W121" s="272">
        <v>365</v>
      </c>
      <c r="X121" s="272">
        <v>365</v>
      </c>
      <c r="Y121" s="272">
        <v>365</v>
      </c>
      <c r="Z121" s="272">
        <v>364</v>
      </c>
      <c r="AA121" s="272">
        <v>364</v>
      </c>
      <c r="AB121" s="272">
        <v>364</v>
      </c>
      <c r="AC121" s="272">
        <v>365</v>
      </c>
      <c r="AD121" s="272">
        <v>365</v>
      </c>
      <c r="AE121" s="272">
        <v>365</v>
      </c>
      <c r="AF121" s="272">
        <v>366</v>
      </c>
      <c r="AG121" s="272">
        <v>366</v>
      </c>
      <c r="AH121" s="272">
        <v>366</v>
      </c>
      <c r="AI121" s="272">
        <v>367</v>
      </c>
      <c r="AJ121" s="272">
        <v>367</v>
      </c>
      <c r="AK121" s="272">
        <v>368</v>
      </c>
      <c r="AL121" s="268" t="s">
        <v>2101</v>
      </c>
      <c r="AM121" s="268" t="s">
        <v>4716</v>
      </c>
      <c r="AN121" s="268" t="s">
        <v>2403</v>
      </c>
      <c r="AO121" s="657"/>
      <c r="AP121" s="271">
        <v>80</v>
      </c>
      <c r="AQ121" s="280">
        <v>66</v>
      </c>
      <c r="AR121" s="280">
        <v>8</v>
      </c>
      <c r="AS121" s="280">
        <v>6</v>
      </c>
      <c r="AT121" s="657"/>
      <c r="AU121" s="301" t="s">
        <v>4717</v>
      </c>
      <c r="AV121" s="572" t="s">
        <v>4718</v>
      </c>
      <c r="AW121" s="645" t="s">
        <v>3459</v>
      </c>
      <c r="AX121" s="290" t="s">
        <v>2609</v>
      </c>
      <c r="AY121" s="657"/>
      <c r="AZ121" s="948">
        <v>5</v>
      </c>
      <c r="BA121" s="948">
        <v>1</v>
      </c>
      <c r="BB121" s="948">
        <v>1</v>
      </c>
      <c r="BC121" s="948">
        <v>5</v>
      </c>
      <c r="BD121" s="825">
        <f t="shared" si="352"/>
        <v>4392</v>
      </c>
      <c r="BE121" s="304">
        <f t="shared" si="353"/>
        <v>1830</v>
      </c>
      <c r="BF121" s="304">
        <f t="shared" si="354"/>
        <v>366</v>
      </c>
      <c r="BG121" s="304">
        <f t="shared" si="355"/>
        <v>366</v>
      </c>
      <c r="BH121" s="304">
        <f t="shared" si="356"/>
        <v>1830</v>
      </c>
      <c r="BI121" s="825">
        <f t="shared" si="357"/>
        <v>4416</v>
      </c>
      <c r="BJ121" s="304">
        <f t="shared" si="358"/>
        <v>1840</v>
      </c>
      <c r="BK121" s="304">
        <f t="shared" si="359"/>
        <v>368</v>
      </c>
      <c r="BL121" s="304">
        <f t="shared" si="360"/>
        <v>368</v>
      </c>
      <c r="BM121" s="304">
        <f t="shared" si="361"/>
        <v>1840</v>
      </c>
      <c r="BN121" s="657"/>
      <c r="BO121" s="284">
        <v>0.12</v>
      </c>
      <c r="BP121" s="284">
        <v>0.63</v>
      </c>
      <c r="BQ121" s="284">
        <v>0.2</v>
      </c>
      <c r="BR121" s="710">
        <v>0.05</v>
      </c>
      <c r="BS121" s="707">
        <v>0.1</v>
      </c>
      <c r="BT121" s="284">
        <v>0.63</v>
      </c>
      <c r="BU121" s="284">
        <v>0.24</v>
      </c>
      <c r="BV121" s="710">
        <v>0.03</v>
      </c>
      <c r="BW121" s="714">
        <v>0.2</v>
      </c>
      <c r="BX121" s="285">
        <v>0.7</v>
      </c>
      <c r="BY121" s="717">
        <v>0.1</v>
      </c>
      <c r="BZ121" s="714">
        <v>0.15</v>
      </c>
      <c r="CA121" s="285">
        <v>0.72</v>
      </c>
      <c r="CB121" s="717">
        <v>0.13</v>
      </c>
      <c r="CC121" s="284">
        <v>0.08</v>
      </c>
      <c r="CD121" s="284">
        <v>0.55000000000000004</v>
      </c>
      <c r="CE121" s="284">
        <v>0.18</v>
      </c>
      <c r="CF121" s="710">
        <v>0.19</v>
      </c>
      <c r="CG121" s="707">
        <v>0.06</v>
      </c>
      <c r="CH121" s="284">
        <v>0.55000000000000004</v>
      </c>
      <c r="CI121" s="284">
        <v>0.21</v>
      </c>
      <c r="CJ121" s="710">
        <v>0.18</v>
      </c>
      <c r="CK121" s="720">
        <v>0.25</v>
      </c>
      <c r="CL121" s="286">
        <v>0.5</v>
      </c>
      <c r="CM121" s="718">
        <v>0.25</v>
      </c>
      <c r="CN121" s="720">
        <v>0.15</v>
      </c>
      <c r="CO121" s="286">
        <v>0.5</v>
      </c>
      <c r="CP121" s="718">
        <v>0.35</v>
      </c>
      <c r="CQ121" s="657"/>
      <c r="CR121" s="807">
        <v>9</v>
      </c>
      <c r="CS121" s="808">
        <v>11</v>
      </c>
      <c r="CT121" s="808">
        <v>8</v>
      </c>
      <c r="CU121" s="809">
        <v>9</v>
      </c>
      <c r="CV121" s="807">
        <v>10</v>
      </c>
      <c r="CW121" s="808">
        <v>10</v>
      </c>
      <c r="CX121" s="809">
        <v>8</v>
      </c>
      <c r="CY121" s="807">
        <v>8</v>
      </c>
      <c r="CZ121" s="808">
        <v>11</v>
      </c>
      <c r="DA121" s="808">
        <v>8</v>
      </c>
      <c r="DB121" s="809">
        <v>9</v>
      </c>
      <c r="DC121" s="807">
        <v>9</v>
      </c>
      <c r="DD121" s="808">
        <v>12</v>
      </c>
      <c r="DE121" s="809">
        <v>9</v>
      </c>
      <c r="DF121" s="610" t="s">
        <v>4719</v>
      </c>
      <c r="DG121" s="657"/>
      <c r="DH121" s="288">
        <f t="shared" si="362"/>
        <v>219.6</v>
      </c>
      <c r="DI121" s="288">
        <f t="shared" si="363"/>
        <v>1152.9000000000001</v>
      </c>
      <c r="DJ121" s="288">
        <f t="shared" si="364"/>
        <v>366</v>
      </c>
      <c r="DK121" s="288">
        <f t="shared" si="365"/>
        <v>91.5</v>
      </c>
      <c r="DL121" s="560" t="s">
        <v>4720</v>
      </c>
      <c r="DM121" s="288">
        <f t="shared" si="366"/>
        <v>184</v>
      </c>
      <c r="DN121" s="288">
        <f t="shared" si="367"/>
        <v>1159.2</v>
      </c>
      <c r="DO121" s="288">
        <f t="shared" si="368"/>
        <v>441.59999999999997</v>
      </c>
      <c r="DP121" s="288">
        <f t="shared" si="369"/>
        <v>55.199999999999996</v>
      </c>
      <c r="DQ121" s="561" t="s">
        <v>3962</v>
      </c>
      <c r="DR121" s="657"/>
      <c r="DS121" s="288">
        <f t="shared" si="370"/>
        <v>73.2</v>
      </c>
      <c r="DT121" s="288">
        <f t="shared" si="371"/>
        <v>256.2</v>
      </c>
      <c r="DU121" s="288">
        <f t="shared" si="372"/>
        <v>36.6</v>
      </c>
      <c r="DV121" s="561" t="s">
        <v>4721</v>
      </c>
      <c r="DW121" s="288">
        <f t="shared" si="373"/>
        <v>55.199999999999996</v>
      </c>
      <c r="DX121" s="288">
        <f t="shared" si="374"/>
        <v>264.95999999999998</v>
      </c>
      <c r="DY121" s="288">
        <f t="shared" si="375"/>
        <v>47.84</v>
      </c>
      <c r="DZ121" s="561" t="s">
        <v>3963</v>
      </c>
      <c r="EA121" s="657"/>
      <c r="EB121" s="288">
        <f t="shared" si="376"/>
        <v>29.28</v>
      </c>
      <c r="EC121" s="288">
        <f t="shared" si="377"/>
        <v>201.3</v>
      </c>
      <c r="ED121" s="288">
        <f t="shared" si="378"/>
        <v>65.88</v>
      </c>
      <c r="EE121" s="288">
        <f t="shared" si="379"/>
        <v>69.540000000000006</v>
      </c>
      <c r="EF121" s="561" t="s">
        <v>4722</v>
      </c>
      <c r="EG121" s="288">
        <f t="shared" si="380"/>
        <v>22.08</v>
      </c>
      <c r="EH121" s="288">
        <f t="shared" si="381"/>
        <v>202.4</v>
      </c>
      <c r="EI121" s="288">
        <f t="shared" si="382"/>
        <v>77.28</v>
      </c>
      <c r="EJ121" s="288">
        <f t="shared" si="383"/>
        <v>66.239999999999995</v>
      </c>
      <c r="EK121" s="561" t="s">
        <v>3965</v>
      </c>
      <c r="EL121" s="657"/>
      <c r="EM121" s="288">
        <f t="shared" si="384"/>
        <v>457.5</v>
      </c>
      <c r="EN121" s="291">
        <f t="shared" si="385"/>
        <v>915</v>
      </c>
      <c r="EO121" s="291">
        <f t="shared" si="386"/>
        <v>457.5</v>
      </c>
      <c r="EP121" s="561" t="s">
        <v>4723</v>
      </c>
      <c r="EQ121" s="288">
        <f t="shared" si="387"/>
        <v>276</v>
      </c>
      <c r="ER121" s="291">
        <f t="shared" si="388"/>
        <v>920</v>
      </c>
      <c r="ES121" s="291">
        <f t="shared" si="389"/>
        <v>644</v>
      </c>
      <c r="ET121" s="561" t="s">
        <v>3967</v>
      </c>
      <c r="EU121" s="657"/>
      <c r="EV121" s="740">
        <f t="shared" si="390"/>
        <v>0.86239270791004108</v>
      </c>
      <c r="EW121" s="740">
        <f t="shared" si="391"/>
        <v>0.13760729208995884</v>
      </c>
      <c r="EX121" s="563">
        <f t="shared" si="392"/>
        <v>2265.6055159939397</v>
      </c>
      <c r="EY121" s="563">
        <f t="shared" si="393"/>
        <v>1953.8416759939396</v>
      </c>
      <c r="EZ121" s="563">
        <f t="shared" si="394"/>
        <v>311.76383999999996</v>
      </c>
      <c r="FA121" s="563">
        <f t="shared" si="395"/>
        <v>954.87995128282842</v>
      </c>
      <c r="FB121" s="563">
        <f t="shared" si="396"/>
        <v>824.97835128282838</v>
      </c>
      <c r="FC121" s="563">
        <f t="shared" si="397"/>
        <v>129.90159999999997</v>
      </c>
      <c r="FD121" s="563">
        <f t="shared" si="398"/>
        <v>193.13559389999998</v>
      </c>
      <c r="FE121" s="563">
        <f t="shared" si="399"/>
        <v>167.15527389999997</v>
      </c>
      <c r="FF121" s="563">
        <f t="shared" si="400"/>
        <v>25.980319999999999</v>
      </c>
      <c r="FG121" s="563">
        <f t="shared" si="401"/>
        <v>194.95564858888889</v>
      </c>
      <c r="FH121" s="563">
        <f t="shared" si="402"/>
        <v>168.97532858888889</v>
      </c>
      <c r="FI121" s="563">
        <f t="shared" si="403"/>
        <v>25.980319999999999</v>
      </c>
      <c r="FJ121" s="563">
        <f t="shared" si="404"/>
        <v>922.63432222222218</v>
      </c>
      <c r="FK121" s="563">
        <f t="shared" si="405"/>
        <v>792.73272222222215</v>
      </c>
      <c r="FL121" s="563">
        <f t="shared" si="406"/>
        <v>129.90159999999997</v>
      </c>
      <c r="FM121" s="529"/>
      <c r="FN121" s="564" t="s">
        <v>2649</v>
      </c>
      <c r="FO121" s="740">
        <v>6.5519999999999995E-2</v>
      </c>
      <c r="FP121" s="741">
        <v>0.89461999999999997</v>
      </c>
      <c r="FQ121" s="565" t="s">
        <v>2962</v>
      </c>
      <c r="FR121" s="529"/>
      <c r="FS121" s="867">
        <v>3.32</v>
      </c>
      <c r="FT121" s="566">
        <f>RANK($FS121,$FS$8:$FS$154,0)+COUNTIF($FS$8:$FS121,$FS121)-1</f>
        <v>72</v>
      </c>
      <c r="FU121" s="867">
        <v>4.24</v>
      </c>
      <c r="FV121" s="566">
        <f>RANK($FU121,$FU$8:$FU$154,0)+COUNTIF($FU$8:$FU121,$FU121)-1</f>
        <v>37</v>
      </c>
      <c r="FW121" s="867">
        <v>2.19</v>
      </c>
      <c r="FX121" s="566">
        <f>RANK($FW121,$FW$8:$FW$154,0)+COUNTIF($FW$8:$FW121,$FW121)-1</f>
        <v>72</v>
      </c>
      <c r="FY121" s="529"/>
      <c r="FZ121" s="567" t="s">
        <v>4724</v>
      </c>
      <c r="GA121" s="567" t="s">
        <v>4725</v>
      </c>
      <c r="GB121" s="567" t="s">
        <v>4726</v>
      </c>
      <c r="GC121" s="567" t="s">
        <v>4727</v>
      </c>
      <c r="GD121" s="567" t="s">
        <v>4728</v>
      </c>
      <c r="GE121" s="567" t="s">
        <v>4729</v>
      </c>
      <c r="GF121" s="567" t="str">
        <f t="shared" ref="GF121:GF131" si="449">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https://www.statistiques.developpement-durable.gouv.fr/construction-de-locaux-resultats-fin-janvier-2026-france-entiere
https://www.insee.fr/fr/statistiques/8671745
https://www.insee.fr/fr/statistiques/8906564</v>
      </c>
      <c r="GG121" s="529"/>
      <c r="GH121" s="563">
        <f t="shared" si="407"/>
        <v>121.65666933333333</v>
      </c>
      <c r="GI121" s="563">
        <f t="shared" si="337"/>
        <v>108.66650933333332</v>
      </c>
      <c r="GJ121" s="563">
        <f t="shared" si="408"/>
        <v>12.990159999999998</v>
      </c>
      <c r="GK121" s="563">
        <f t="shared" si="409"/>
        <v>549.12243272727267</v>
      </c>
      <c r="GL121" s="563">
        <f t="shared" si="338"/>
        <v>467.28442472727272</v>
      </c>
      <c r="GM121" s="563">
        <f t="shared" si="410"/>
        <v>81.838007999999988</v>
      </c>
      <c r="GN121" s="563">
        <f t="shared" si="411"/>
        <v>234.92608899999999</v>
      </c>
      <c r="GO121" s="563">
        <f t="shared" si="339"/>
        <v>203.74970500000001</v>
      </c>
      <c r="GP121" s="563">
        <f t="shared" si="412"/>
        <v>31.176383999999992</v>
      </c>
      <c r="GQ121" s="563">
        <f t="shared" si="413"/>
        <v>49.174760222222226</v>
      </c>
      <c r="GR121" s="563">
        <f t="shared" si="340"/>
        <v>45.277712222222227</v>
      </c>
      <c r="GS121" s="563">
        <f t="shared" si="414"/>
        <v>3.897047999999999</v>
      </c>
      <c r="GT121" s="563">
        <f t="shared" si="415"/>
        <v>36.514893199999996</v>
      </c>
      <c r="GU121" s="563">
        <f t="shared" si="341"/>
        <v>32.617845199999998</v>
      </c>
      <c r="GV121" s="563">
        <f t="shared" si="416"/>
        <v>3.8970479999999998</v>
      </c>
      <c r="GW121" s="563">
        <f t="shared" si="417"/>
        <v>132.8682886</v>
      </c>
      <c r="GX121" s="563">
        <f t="shared" si="342"/>
        <v>114.16245819999999</v>
      </c>
      <c r="GY121" s="563">
        <f t="shared" si="418"/>
        <v>18.7058304</v>
      </c>
      <c r="GZ121" s="563">
        <f t="shared" si="419"/>
        <v>23.752412099999997</v>
      </c>
      <c r="HA121" s="563">
        <f t="shared" si="343"/>
        <v>20.374970499999996</v>
      </c>
      <c r="HB121" s="563">
        <f t="shared" si="420"/>
        <v>3.3774416</v>
      </c>
      <c r="HC121" s="563">
        <f t="shared" si="421"/>
        <v>17.858795599999997</v>
      </c>
      <c r="HD121" s="563">
        <f t="shared" si="344"/>
        <v>16.299976399999998</v>
      </c>
      <c r="HE121" s="563">
        <f t="shared" si="422"/>
        <v>1.5588191999999998</v>
      </c>
      <c r="HF121" s="563">
        <f t="shared" si="423"/>
        <v>95.878519999999995</v>
      </c>
      <c r="HG121" s="563">
        <f t="shared" si="345"/>
        <v>81.589343999999997</v>
      </c>
      <c r="HH121" s="563">
        <f t="shared" si="424"/>
        <v>14.289176000000001</v>
      </c>
      <c r="HI121" s="563">
        <f t="shared" si="425"/>
        <v>42.130814099999995</v>
      </c>
      <c r="HJ121" s="563">
        <f t="shared" si="346"/>
        <v>36.674946899999995</v>
      </c>
      <c r="HK121" s="563">
        <f t="shared" si="426"/>
        <v>5.4558671999999993</v>
      </c>
      <c r="HL121" s="563">
        <f t="shared" si="427"/>
        <v>39.087518888888887</v>
      </c>
      <c r="HM121" s="563">
        <f t="shared" si="347"/>
        <v>34.411061288888888</v>
      </c>
      <c r="HN121" s="563">
        <f t="shared" si="428"/>
        <v>4.6764576</v>
      </c>
      <c r="HO121" s="563">
        <f t="shared" si="429"/>
        <v>245.87380111111111</v>
      </c>
      <c r="HP121" s="563">
        <f t="shared" si="348"/>
        <v>226.3885611111111</v>
      </c>
      <c r="HQ121" s="563">
        <f t="shared" si="430"/>
        <v>19.485239999999994</v>
      </c>
      <c r="HR121" s="563">
        <f t="shared" si="431"/>
        <v>404.90639999999996</v>
      </c>
      <c r="HS121" s="563">
        <f t="shared" si="349"/>
        <v>339.95559999999995</v>
      </c>
      <c r="HT121" s="563">
        <f t="shared" si="432"/>
        <v>64.950799999999987</v>
      </c>
      <c r="HU121" s="563">
        <f t="shared" si="433"/>
        <v>271.85412111111111</v>
      </c>
      <c r="HV121" s="563">
        <f t="shared" si="350"/>
        <v>226.3885611111111</v>
      </c>
      <c r="HW121" s="563">
        <f t="shared" si="434"/>
        <v>45.465559999999989</v>
      </c>
      <c r="HX121" s="544"/>
      <c r="HY121" s="568">
        <f t="shared" si="435"/>
        <v>4392</v>
      </c>
      <c r="HZ121" s="568">
        <f t="shared" si="436"/>
        <v>242.58479999999997</v>
      </c>
      <c r="IA121" s="568">
        <f t="shared" si="437"/>
        <v>2187.1427999999996</v>
      </c>
      <c r="IB121" s="568">
        <f t="shared" si="438"/>
        <v>1648.9764</v>
      </c>
      <c r="IC121" s="568">
        <f t="shared" si="439"/>
        <v>181.536</v>
      </c>
      <c r="ID121" s="568">
        <f t="shared" si="440"/>
        <v>131.76</v>
      </c>
      <c r="IE121" s="568">
        <f t="shared" si="441"/>
        <v>1953.8416759939396</v>
      </c>
      <c r="IF121" s="568">
        <f t="shared" si="442"/>
        <v>35.522982923563028</v>
      </c>
      <c r="IG121" s="568">
        <f t="shared" si="443"/>
        <v>766.01850526661235</v>
      </c>
      <c r="IH121" s="568">
        <f t="shared" si="444"/>
        <v>957.2185117303377</v>
      </c>
      <c r="II121" s="568">
        <f t="shared" si="445"/>
        <v>136.46642579360829</v>
      </c>
      <c r="IJ121" s="568">
        <f t="shared" si="446"/>
        <v>58.615250279818184</v>
      </c>
      <c r="IK121" s="868">
        <v>4.12</v>
      </c>
      <c r="IL121" s="569" t="s">
        <v>2589</v>
      </c>
      <c r="IM121" s="570" t="s">
        <v>4730</v>
      </c>
      <c r="IN121" s="529"/>
      <c r="IO121" s="742">
        <v>2.9899999999999999E-2</v>
      </c>
      <c r="IP121" s="742">
        <v>0.44400000000000001</v>
      </c>
      <c r="IQ121" s="742">
        <v>0.45290000000000002</v>
      </c>
      <c r="IR121" s="742">
        <v>4.3200000000000002E-2</v>
      </c>
      <c r="IS121" s="742">
        <v>0.03</v>
      </c>
      <c r="IT121" s="742">
        <v>5.9999999999999995E-4</v>
      </c>
      <c r="IU121" s="742">
        <v>0.31680000000000003</v>
      </c>
      <c r="IV121" s="742">
        <v>0.55130000000000001</v>
      </c>
      <c r="IW121" s="742">
        <v>0.1013</v>
      </c>
      <c r="IX121" s="742">
        <v>0.03</v>
      </c>
      <c r="IY121" s="742">
        <v>3.5200000000000002E-2</v>
      </c>
      <c r="IZ121" s="742">
        <v>0.48139999999999999</v>
      </c>
      <c r="JA121" s="742">
        <v>0.41339999999999999</v>
      </c>
      <c r="JB121" s="742">
        <v>0.04</v>
      </c>
      <c r="JC121" s="742">
        <v>0.03</v>
      </c>
      <c r="JD121" s="742">
        <v>7.7000000000000002E-3</v>
      </c>
      <c r="JE121" s="742">
        <v>0.35770000000000002</v>
      </c>
      <c r="JF121" s="742">
        <v>0.52539999999999998</v>
      </c>
      <c r="JG121" s="742">
        <v>7.9200000000000007E-2</v>
      </c>
      <c r="JH121" s="742">
        <v>0.03</v>
      </c>
      <c r="JI121" s="742">
        <v>0.1351</v>
      </c>
      <c r="JJ121" s="742">
        <v>0.56789999999999996</v>
      </c>
      <c r="JK121" s="742">
        <v>0.22700000000000001</v>
      </c>
      <c r="JL121" s="742">
        <v>0.04</v>
      </c>
      <c r="JM121" s="742">
        <v>0.03</v>
      </c>
      <c r="JN121" s="742">
        <v>5.1900000000000002E-2</v>
      </c>
      <c r="JO121" s="742">
        <v>0.52680000000000005</v>
      </c>
      <c r="JP121" s="742">
        <v>0.3513</v>
      </c>
      <c r="JQ121" s="742">
        <v>0.04</v>
      </c>
      <c r="JR121" s="742">
        <v>0.03</v>
      </c>
      <c r="JS121" s="742">
        <v>6.8599999999999994E-2</v>
      </c>
      <c r="JT121" s="742">
        <v>0.5413</v>
      </c>
      <c r="JU121" s="742">
        <v>0.3201</v>
      </c>
      <c r="JV121" s="742">
        <v>0.04</v>
      </c>
      <c r="JW121" s="742">
        <v>0.03</v>
      </c>
      <c r="JX121" s="742">
        <v>3.15E-2</v>
      </c>
      <c r="JY121" s="742">
        <v>0.44890000000000002</v>
      </c>
      <c r="JZ121" s="742">
        <v>0.4481</v>
      </c>
      <c r="KA121" s="742">
        <v>4.1500000000000002E-2</v>
      </c>
      <c r="KB121" s="742">
        <v>0.03</v>
      </c>
      <c r="KC121" s="657"/>
      <c r="KD121" s="832" t="s">
        <v>2590</v>
      </c>
      <c r="KE121" s="832" t="s">
        <v>2590</v>
      </c>
      <c r="KF121" s="869">
        <v>4</v>
      </c>
      <c r="KG121" s="832" t="s">
        <v>2589</v>
      </c>
      <c r="KH121" s="833" t="s">
        <v>4731</v>
      </c>
      <c r="KI121" s="832" t="s">
        <v>4732</v>
      </c>
      <c r="KJ121" s="833" t="s">
        <v>4733</v>
      </c>
    </row>
    <row r="122" spans="1:296" ht="48" hidden="1" customHeight="1">
      <c r="A122" s="273">
        <f t="shared" si="447"/>
        <v>115</v>
      </c>
      <c r="B122" s="274" t="s">
        <v>2285</v>
      </c>
      <c r="C122" s="274" t="s">
        <v>4711</v>
      </c>
      <c r="D122" s="274" t="s">
        <v>4734</v>
      </c>
      <c r="E122" s="275" t="s">
        <v>2117</v>
      </c>
      <c r="F122" s="275" t="s">
        <v>4713</v>
      </c>
      <c r="G122" s="275" t="s">
        <v>2121</v>
      </c>
      <c r="H122" s="275" t="s">
        <v>2096</v>
      </c>
      <c r="I122" s="276" t="s">
        <v>4735</v>
      </c>
      <c r="J122" s="276" t="s">
        <v>4736</v>
      </c>
      <c r="K122" s="277" t="s">
        <v>2097</v>
      </c>
      <c r="L122" s="277" t="s">
        <v>2109</v>
      </c>
      <c r="M122" s="277" t="s">
        <v>2603</v>
      </c>
      <c r="N122" s="277" t="s">
        <v>2175</v>
      </c>
      <c r="O122" s="275" t="s">
        <v>2212</v>
      </c>
      <c r="P122" s="276"/>
      <c r="Q122" s="270">
        <v>1</v>
      </c>
      <c r="R122" s="278">
        <v>8500</v>
      </c>
      <c r="S122" s="279">
        <v>550</v>
      </c>
      <c r="T122" s="279">
        <v>590</v>
      </c>
      <c r="U122" s="279">
        <v>625</v>
      </c>
      <c r="V122" s="279">
        <v>635</v>
      </c>
      <c r="W122" s="279">
        <v>635</v>
      </c>
      <c r="X122" s="279">
        <v>636</v>
      </c>
      <c r="Y122" s="279">
        <v>636</v>
      </c>
      <c r="Z122" s="279">
        <v>637</v>
      </c>
      <c r="AA122" s="279">
        <v>638</v>
      </c>
      <c r="AB122" s="279">
        <f>AA122-8</f>
        <v>630</v>
      </c>
      <c r="AC122" s="279">
        <f>AB122-8</f>
        <v>622</v>
      </c>
      <c r="AD122" s="279">
        <f>AC122-8</f>
        <v>614</v>
      </c>
      <c r="AE122" s="279">
        <f>AD122-8</f>
        <v>606</v>
      </c>
      <c r="AF122" s="279">
        <v>598</v>
      </c>
      <c r="AG122" s="279">
        <f>AF122+1</f>
        <v>599</v>
      </c>
      <c r="AH122" s="279">
        <f>AG122+1</f>
        <v>600</v>
      </c>
      <c r="AI122" s="279">
        <f>AH122+1</f>
        <v>601</v>
      </c>
      <c r="AJ122" s="279">
        <f>AI122+1</f>
        <v>602</v>
      </c>
      <c r="AK122" s="279">
        <v>602</v>
      </c>
      <c r="AL122" s="276" t="s">
        <v>4737</v>
      </c>
      <c r="AM122" s="276" t="s">
        <v>4738</v>
      </c>
      <c r="AN122" s="276" t="s">
        <v>2400</v>
      </c>
      <c r="AO122" s="657"/>
      <c r="AP122" s="278">
        <v>600</v>
      </c>
      <c r="AQ122" s="278">
        <v>492</v>
      </c>
      <c r="AR122" s="278">
        <v>60</v>
      </c>
      <c r="AS122" s="278">
        <v>48</v>
      </c>
      <c r="AT122" s="657"/>
      <c r="AU122" s="281" t="s">
        <v>4739</v>
      </c>
      <c r="AV122" s="296" t="s">
        <v>4740</v>
      </c>
      <c r="AW122" s="296" t="s">
        <v>3086</v>
      </c>
      <c r="AX122" s="276" t="s">
        <v>2609</v>
      </c>
      <c r="AY122" s="657"/>
      <c r="AZ122" s="947">
        <v>18</v>
      </c>
      <c r="BA122" s="947">
        <v>0</v>
      </c>
      <c r="BB122" s="947">
        <v>4</v>
      </c>
      <c r="BC122" s="947">
        <v>16</v>
      </c>
      <c r="BD122" s="826">
        <f t="shared" si="352"/>
        <v>22724</v>
      </c>
      <c r="BE122" s="283">
        <f t="shared" si="353"/>
        <v>10764</v>
      </c>
      <c r="BF122" s="283">
        <f t="shared" si="354"/>
        <v>0</v>
      </c>
      <c r="BG122" s="283">
        <f t="shared" si="355"/>
        <v>2392</v>
      </c>
      <c r="BH122" s="283">
        <f t="shared" si="356"/>
        <v>9568</v>
      </c>
      <c r="BI122" s="826">
        <f t="shared" si="357"/>
        <v>22876</v>
      </c>
      <c r="BJ122" s="283">
        <f t="shared" si="358"/>
        <v>10836</v>
      </c>
      <c r="BK122" s="283">
        <f t="shared" si="359"/>
        <v>0</v>
      </c>
      <c r="BL122" s="283">
        <f t="shared" si="360"/>
        <v>2408</v>
      </c>
      <c r="BM122" s="283">
        <f t="shared" si="361"/>
        <v>9632</v>
      </c>
      <c r="BN122" s="657"/>
      <c r="BO122" s="305">
        <v>0.1</v>
      </c>
      <c r="BP122" s="305">
        <v>0.72</v>
      </c>
      <c r="BQ122" s="305">
        <v>0.14000000000000001</v>
      </c>
      <c r="BR122" s="581">
        <v>0.04</v>
      </c>
      <c r="BS122" s="706">
        <v>0.09</v>
      </c>
      <c r="BT122" s="305">
        <v>0.72</v>
      </c>
      <c r="BU122" s="305">
        <v>0.16</v>
      </c>
      <c r="BV122" s="581">
        <v>0.03</v>
      </c>
      <c r="BW122" s="713"/>
      <c r="BX122" s="306"/>
      <c r="BY122" s="590"/>
      <c r="BZ122" s="713"/>
      <c r="CA122" s="306"/>
      <c r="CB122" s="590"/>
      <c r="CC122" s="706">
        <v>0.13</v>
      </c>
      <c r="CD122" s="305">
        <v>0.6</v>
      </c>
      <c r="CE122" s="305">
        <v>0.1</v>
      </c>
      <c r="CF122" s="581">
        <v>0.17</v>
      </c>
      <c r="CG122" s="706">
        <v>0.11</v>
      </c>
      <c r="CH122" s="305">
        <v>0.6</v>
      </c>
      <c r="CI122" s="305">
        <v>0.12</v>
      </c>
      <c r="CJ122" s="581">
        <v>0.17</v>
      </c>
      <c r="CK122" s="719">
        <v>0.3</v>
      </c>
      <c r="CL122" s="307">
        <v>0.45</v>
      </c>
      <c r="CM122" s="723">
        <v>0.25</v>
      </c>
      <c r="CN122" s="719">
        <v>0.2</v>
      </c>
      <c r="CO122" s="307">
        <v>0.45</v>
      </c>
      <c r="CP122" s="723">
        <v>0.35</v>
      </c>
      <c r="CQ122" s="657"/>
      <c r="CR122" s="804">
        <v>9</v>
      </c>
      <c r="CS122" s="805">
        <v>11</v>
      </c>
      <c r="CT122" s="805">
        <v>8</v>
      </c>
      <c r="CU122" s="806">
        <v>9</v>
      </c>
      <c r="CV122" s="804"/>
      <c r="CW122" s="805"/>
      <c r="CX122" s="806"/>
      <c r="CY122" s="804">
        <v>8</v>
      </c>
      <c r="CZ122" s="805">
        <v>11</v>
      </c>
      <c r="DA122" s="805">
        <v>8</v>
      </c>
      <c r="DB122" s="806">
        <v>9</v>
      </c>
      <c r="DC122" s="804">
        <v>9</v>
      </c>
      <c r="DD122" s="805">
        <v>12</v>
      </c>
      <c r="DE122" s="806">
        <v>9</v>
      </c>
      <c r="DF122" s="609" t="s">
        <v>4741</v>
      </c>
      <c r="DG122" s="657"/>
      <c r="DH122" s="308">
        <f t="shared" si="362"/>
        <v>1076.4000000000001</v>
      </c>
      <c r="DI122" s="308">
        <f t="shared" si="363"/>
        <v>7750.08</v>
      </c>
      <c r="DJ122" s="308">
        <f t="shared" si="364"/>
        <v>1506.96</v>
      </c>
      <c r="DK122" s="308">
        <f t="shared" si="365"/>
        <v>430.56</v>
      </c>
      <c r="DL122" s="287" t="s">
        <v>4742</v>
      </c>
      <c r="DM122" s="308">
        <f t="shared" si="366"/>
        <v>975.24</v>
      </c>
      <c r="DN122" s="308">
        <f t="shared" si="367"/>
        <v>7801.92</v>
      </c>
      <c r="DO122" s="308">
        <f t="shared" si="368"/>
        <v>1733.76</v>
      </c>
      <c r="DP122" s="308">
        <f t="shared" si="369"/>
        <v>325.08</v>
      </c>
      <c r="DQ122" s="289" t="s">
        <v>3962</v>
      </c>
      <c r="DR122" s="657"/>
      <c r="DS122" s="308">
        <f t="shared" si="370"/>
        <v>0</v>
      </c>
      <c r="DT122" s="308">
        <f t="shared" si="371"/>
        <v>0</v>
      </c>
      <c r="DU122" s="308">
        <f t="shared" si="372"/>
        <v>0</v>
      </c>
      <c r="DV122" s="289" t="s">
        <v>2613</v>
      </c>
      <c r="DW122" s="308">
        <f t="shared" si="373"/>
        <v>0</v>
      </c>
      <c r="DX122" s="308">
        <f t="shared" si="374"/>
        <v>0</v>
      </c>
      <c r="DY122" s="308">
        <f t="shared" si="375"/>
        <v>0</v>
      </c>
      <c r="DZ122" s="289" t="s">
        <v>2613</v>
      </c>
      <c r="EA122" s="657"/>
      <c r="EB122" s="308">
        <f t="shared" si="376"/>
        <v>310.96000000000004</v>
      </c>
      <c r="EC122" s="308">
        <f t="shared" si="377"/>
        <v>1435.2</v>
      </c>
      <c r="ED122" s="308">
        <f t="shared" si="378"/>
        <v>239.20000000000002</v>
      </c>
      <c r="EE122" s="308">
        <f t="shared" si="379"/>
        <v>406.64000000000004</v>
      </c>
      <c r="EF122" s="289" t="s">
        <v>4743</v>
      </c>
      <c r="EG122" s="308">
        <f t="shared" si="380"/>
        <v>264.88</v>
      </c>
      <c r="EH122" s="308">
        <f t="shared" si="381"/>
        <v>1444.8</v>
      </c>
      <c r="EI122" s="308">
        <f t="shared" si="382"/>
        <v>288.95999999999998</v>
      </c>
      <c r="EJ122" s="308">
        <f t="shared" si="383"/>
        <v>409.36</v>
      </c>
      <c r="EK122" s="309" t="s">
        <v>3965</v>
      </c>
      <c r="EL122" s="657"/>
      <c r="EM122" s="308">
        <f t="shared" si="384"/>
        <v>2870.4</v>
      </c>
      <c r="EN122" s="310">
        <f t="shared" si="385"/>
        <v>4305.6000000000004</v>
      </c>
      <c r="EO122" s="310">
        <f t="shared" si="386"/>
        <v>2392</v>
      </c>
      <c r="EP122" s="289" t="s">
        <v>4744</v>
      </c>
      <c r="EQ122" s="308">
        <f t="shared" si="387"/>
        <v>1926.4</v>
      </c>
      <c r="ER122" s="310">
        <f t="shared" si="388"/>
        <v>4334.4000000000005</v>
      </c>
      <c r="ES122" s="310">
        <f t="shared" si="389"/>
        <v>3371.2</v>
      </c>
      <c r="ET122" s="289" t="s">
        <v>3967</v>
      </c>
      <c r="EU122" s="657"/>
      <c r="EV122" s="728">
        <f t="shared" si="390"/>
        <v>0.86679533862993163</v>
      </c>
      <c r="EW122" s="728">
        <f t="shared" si="391"/>
        <v>0.13320466137006839</v>
      </c>
      <c r="EX122" s="311">
        <f t="shared" si="392"/>
        <v>12318.461404599999</v>
      </c>
      <c r="EY122" s="311">
        <f t="shared" si="393"/>
        <v>10677.5849246</v>
      </c>
      <c r="EZ122" s="311">
        <f t="shared" si="394"/>
        <v>1640.8764799999999</v>
      </c>
      <c r="FA122" s="311">
        <f t="shared" si="395"/>
        <v>5815.1711439000001</v>
      </c>
      <c r="FB122" s="311">
        <f t="shared" si="396"/>
        <v>5037.9138639000003</v>
      </c>
      <c r="FC122" s="311">
        <f t="shared" si="397"/>
        <v>777.25727999999992</v>
      </c>
      <c r="FD122" s="311">
        <f t="shared" si="398"/>
        <v>0</v>
      </c>
      <c r="FE122" s="311">
        <f t="shared" si="399"/>
        <v>0</v>
      </c>
      <c r="FF122" s="311">
        <f t="shared" si="400"/>
        <v>0</v>
      </c>
      <c r="FG122" s="311">
        <f t="shared" si="401"/>
        <v>1333.3904087000001</v>
      </c>
      <c r="FH122" s="311">
        <f t="shared" si="402"/>
        <v>1160.6665687</v>
      </c>
      <c r="FI122" s="311">
        <f t="shared" si="403"/>
        <v>172.72384</v>
      </c>
      <c r="FJ122" s="311">
        <f t="shared" si="404"/>
        <v>5169.8998520000005</v>
      </c>
      <c r="FK122" s="311">
        <f t="shared" si="405"/>
        <v>4479.004492</v>
      </c>
      <c r="FL122" s="311">
        <f t="shared" si="406"/>
        <v>690.89535999999998</v>
      </c>
      <c r="FM122" s="657"/>
      <c r="FN122" s="293" t="s">
        <v>2649</v>
      </c>
      <c r="FO122" s="728">
        <v>6.5519999999999995E-2</v>
      </c>
      <c r="FP122" s="729">
        <v>0.89461999999999997</v>
      </c>
      <c r="FQ122" s="294" t="s">
        <v>2962</v>
      </c>
      <c r="FR122" s="657"/>
      <c r="FS122" s="865">
        <v>3.3</v>
      </c>
      <c r="FT122" s="312">
        <f>RANK($FS122,$FS$8:$FS$154,0)+COUNTIF($FS$8:$FS122,$FS122)-1</f>
        <v>77</v>
      </c>
      <c r="FU122" s="865">
        <v>4.22</v>
      </c>
      <c r="FV122" s="312">
        <f>RANK($FU122,$FU$8:$FU$154,0)+COUNTIF($FU$8:$FU122,$FU122)-1</f>
        <v>40</v>
      </c>
      <c r="FW122" s="865">
        <v>2.17</v>
      </c>
      <c r="FX122" s="312">
        <f>RANK($FW122,$FW$8:$FW$154,0)+COUNTIF($FW$8:$FW122,$FW122)-1</f>
        <v>75</v>
      </c>
      <c r="FY122" s="657"/>
      <c r="FZ122" s="296" t="s">
        <v>4724</v>
      </c>
      <c r="GA122" s="296" t="s">
        <v>4725</v>
      </c>
      <c r="GB122" s="296" t="s">
        <v>4726</v>
      </c>
      <c r="GC122" s="296" t="s">
        <v>4727</v>
      </c>
      <c r="GD122" s="296" t="s">
        <v>4728</v>
      </c>
      <c r="GE122" s="296" t="s">
        <v>4729</v>
      </c>
      <c r="GF122" s="296" t="str">
        <f t="shared" si="449"/>
        <v>https://www.statistiques.developpement-durable.gouv.fr/construction-de-locaux-resultats-fin-janvier-2026-france-entiere
https://www.insee.fr/fr/statistiques/8671745
https://www.insee.fr/fr/statistiques/8906564</v>
      </c>
      <c r="GG122" s="657"/>
      <c r="GH122" s="311">
        <f t="shared" si="407"/>
        <v>638.39470320000009</v>
      </c>
      <c r="GI122" s="311">
        <f t="shared" si="337"/>
        <v>568.44154800000013</v>
      </c>
      <c r="GJ122" s="311">
        <f t="shared" si="408"/>
        <v>69.953155199999983</v>
      </c>
      <c r="GK122" s="311">
        <f t="shared" si="409"/>
        <v>3910.3707743999998</v>
      </c>
      <c r="GL122" s="311">
        <f t="shared" si="338"/>
        <v>3350.7455328000001</v>
      </c>
      <c r="GM122" s="311">
        <f t="shared" si="410"/>
        <v>559.62524159999987</v>
      </c>
      <c r="GN122" s="311">
        <f t="shared" si="411"/>
        <v>1015.7113287</v>
      </c>
      <c r="GO122" s="311">
        <f t="shared" si="339"/>
        <v>891.35016389999998</v>
      </c>
      <c r="GP122" s="311">
        <f t="shared" si="412"/>
        <v>124.3611648</v>
      </c>
      <c r="GQ122" s="311">
        <f t="shared" si="413"/>
        <v>250.69433760000001</v>
      </c>
      <c r="GR122" s="311">
        <f t="shared" si="340"/>
        <v>227.37661920000002</v>
      </c>
      <c r="GS122" s="311">
        <f t="shared" si="414"/>
        <v>23.317718399999997</v>
      </c>
      <c r="GT122" s="311">
        <f t="shared" si="415"/>
        <v>0</v>
      </c>
      <c r="GU122" s="311">
        <f t="shared" si="341"/>
        <v>0</v>
      </c>
      <c r="GV122" s="311">
        <f t="shared" si="416"/>
        <v>0</v>
      </c>
      <c r="GW122" s="311">
        <f t="shared" si="417"/>
        <v>0</v>
      </c>
      <c r="GX122" s="311">
        <f t="shared" si="342"/>
        <v>0</v>
      </c>
      <c r="GY122" s="311">
        <f t="shared" si="418"/>
        <v>0</v>
      </c>
      <c r="GZ122" s="311">
        <f t="shared" si="419"/>
        <v>0</v>
      </c>
      <c r="HA122" s="311">
        <f t="shared" si="343"/>
        <v>0</v>
      </c>
      <c r="HB122" s="311">
        <f t="shared" si="420"/>
        <v>0</v>
      </c>
      <c r="HC122" s="311">
        <f t="shared" si="421"/>
        <v>202.92902130000004</v>
      </c>
      <c r="HD122" s="311">
        <f t="shared" si="344"/>
        <v>183.92939890000005</v>
      </c>
      <c r="HE122" s="311">
        <f t="shared" si="422"/>
        <v>18.9996224</v>
      </c>
      <c r="HF122" s="311">
        <f t="shared" si="423"/>
        <v>724.14273600000001</v>
      </c>
      <c r="HG122" s="311">
        <f t="shared" si="345"/>
        <v>620.50843199999997</v>
      </c>
      <c r="HH122" s="311">
        <f t="shared" si="424"/>
        <v>103.634304</v>
      </c>
      <c r="HI122" s="311">
        <f t="shared" si="425"/>
        <v>162.21101380000002</v>
      </c>
      <c r="HJ122" s="311">
        <f t="shared" si="346"/>
        <v>141.48415300000002</v>
      </c>
      <c r="HK122" s="311">
        <f t="shared" si="426"/>
        <v>20.726860799999997</v>
      </c>
      <c r="HL122" s="311">
        <f t="shared" si="427"/>
        <v>244.1076376</v>
      </c>
      <c r="HM122" s="311">
        <f t="shared" si="347"/>
        <v>214.74458480000001</v>
      </c>
      <c r="HN122" s="311">
        <f t="shared" si="428"/>
        <v>29.363052800000002</v>
      </c>
      <c r="HO122" s="311">
        <f t="shared" si="429"/>
        <v>1654.0231999999999</v>
      </c>
      <c r="HP122" s="311">
        <f t="shared" si="348"/>
        <v>1515.844128</v>
      </c>
      <c r="HQ122" s="311">
        <f t="shared" si="430"/>
        <v>138.17907199999999</v>
      </c>
      <c r="HR122" s="311">
        <f t="shared" si="431"/>
        <v>2010.8598360000003</v>
      </c>
      <c r="HS122" s="311">
        <f t="shared" si="349"/>
        <v>1699.9569240000003</v>
      </c>
      <c r="HT122" s="311">
        <f t="shared" si="432"/>
        <v>310.90291200000001</v>
      </c>
      <c r="HU122" s="311">
        <f t="shared" si="433"/>
        <v>1505.0168160000001</v>
      </c>
      <c r="HV122" s="311">
        <f t="shared" si="350"/>
        <v>1263.20344</v>
      </c>
      <c r="HW122" s="311">
        <f t="shared" si="434"/>
        <v>241.81337599999998</v>
      </c>
      <c r="HY122" s="313">
        <f t="shared" si="435"/>
        <v>22724</v>
      </c>
      <c r="HZ122" s="313">
        <f t="shared" si="436"/>
        <v>1587.3312000000001</v>
      </c>
      <c r="IA122" s="313">
        <f t="shared" si="437"/>
        <v>11737.9028</v>
      </c>
      <c r="IB122" s="313">
        <f t="shared" si="438"/>
        <v>7808.0859999999993</v>
      </c>
      <c r="IC122" s="313">
        <f t="shared" si="439"/>
        <v>908.96</v>
      </c>
      <c r="ID122" s="313">
        <f t="shared" si="440"/>
        <v>681.72</v>
      </c>
      <c r="IE122" s="313">
        <f t="shared" si="441"/>
        <v>10677.5849246</v>
      </c>
      <c r="IF122" s="313">
        <f t="shared" si="442"/>
        <v>264.26308289584</v>
      </c>
      <c r="IG122" s="313">
        <f t="shared" si="443"/>
        <v>4514.4773321909706</v>
      </c>
      <c r="IH122" s="313">
        <f t="shared" si="444"/>
        <v>4927.7301892340301</v>
      </c>
      <c r="II122" s="313">
        <f t="shared" si="445"/>
        <v>650.78677254115996</v>
      </c>
      <c r="IJ122" s="313">
        <f t="shared" si="446"/>
        <v>320.32754773799996</v>
      </c>
      <c r="IK122" s="866">
        <v>4.12</v>
      </c>
      <c r="IL122" s="314" t="s">
        <v>2589</v>
      </c>
      <c r="IM122" s="299" t="s">
        <v>4730</v>
      </c>
      <c r="IN122" s="657"/>
      <c r="IO122" s="730">
        <v>3.4200000000000001E-2</v>
      </c>
      <c r="IP122" s="730">
        <v>0.4723</v>
      </c>
      <c r="IQ122" s="730">
        <v>0.42349999999999999</v>
      </c>
      <c r="IR122" s="730">
        <v>0.04</v>
      </c>
      <c r="IS122" s="730">
        <v>0.03</v>
      </c>
      <c r="IT122" s="730">
        <v>5.7999999999999996E-3</v>
      </c>
      <c r="IU122" s="730">
        <v>0.34739999999999999</v>
      </c>
      <c r="IV122" s="730">
        <v>0.53239999999999998</v>
      </c>
      <c r="IW122" s="730">
        <v>8.4400000000000003E-2</v>
      </c>
      <c r="IX122" s="730">
        <v>0.03</v>
      </c>
      <c r="IY122" s="730">
        <v>0</v>
      </c>
      <c r="IZ122" s="730">
        <v>0</v>
      </c>
      <c r="JA122" s="730">
        <v>0</v>
      </c>
      <c r="JB122" s="730">
        <v>0</v>
      </c>
      <c r="JC122" s="730">
        <v>0</v>
      </c>
      <c r="JD122" s="730">
        <v>0</v>
      </c>
      <c r="JE122" s="730">
        <v>0</v>
      </c>
      <c r="JF122" s="730">
        <v>0</v>
      </c>
      <c r="JG122" s="730">
        <v>0</v>
      </c>
      <c r="JH122" s="730">
        <v>0</v>
      </c>
      <c r="JI122" s="730">
        <v>0.1605</v>
      </c>
      <c r="JJ122" s="730">
        <v>0.56899999999999995</v>
      </c>
      <c r="JK122" s="730">
        <v>0.20050000000000001</v>
      </c>
      <c r="JL122" s="730">
        <v>0.04</v>
      </c>
      <c r="JM122" s="730">
        <v>0.03</v>
      </c>
      <c r="JN122" s="730">
        <v>6.8599999999999994E-2</v>
      </c>
      <c r="JO122" s="730">
        <v>0.5413</v>
      </c>
      <c r="JP122" s="730">
        <v>0.3201</v>
      </c>
      <c r="JQ122" s="730">
        <v>0.04</v>
      </c>
      <c r="JR122" s="730">
        <v>0.03</v>
      </c>
      <c r="JS122" s="730">
        <v>8.7300000000000003E-2</v>
      </c>
      <c r="JT122" s="730">
        <v>0.55320000000000003</v>
      </c>
      <c r="JU122" s="730">
        <v>0.28949999999999998</v>
      </c>
      <c r="JV122" s="730">
        <v>0.04</v>
      </c>
      <c r="JW122" s="730">
        <v>0.03</v>
      </c>
      <c r="JX122" s="730">
        <v>3.4700000000000002E-2</v>
      </c>
      <c r="JY122" s="730">
        <v>0.47689999999999999</v>
      </c>
      <c r="JZ122" s="730">
        <v>0.41839999999999999</v>
      </c>
      <c r="KA122" s="730">
        <v>0.04</v>
      </c>
      <c r="KB122" s="730">
        <v>0.03</v>
      </c>
      <c r="KC122" s="657"/>
      <c r="KD122" s="314" t="s">
        <v>2590</v>
      </c>
      <c r="KE122" s="314" t="s">
        <v>2590</v>
      </c>
      <c r="KF122" s="866">
        <v>4.08</v>
      </c>
      <c r="KG122" s="314" t="s">
        <v>2589</v>
      </c>
      <c r="KH122" s="315" t="s">
        <v>4731</v>
      </c>
      <c r="KI122" s="314" t="s">
        <v>4732</v>
      </c>
      <c r="KJ122" s="315" t="s">
        <v>4745</v>
      </c>
    </row>
    <row r="123" spans="1:296" ht="48" hidden="1" customHeight="1">
      <c r="A123" s="265">
        <f t="shared" si="447"/>
        <v>116</v>
      </c>
      <c r="B123" s="266" t="s">
        <v>2285</v>
      </c>
      <c r="C123" s="266" t="s">
        <v>4711</v>
      </c>
      <c r="D123" s="624" t="s">
        <v>4746</v>
      </c>
      <c r="E123" s="267" t="s">
        <v>4747</v>
      </c>
      <c r="F123" s="267" t="s">
        <v>3009</v>
      </c>
      <c r="G123" s="267" t="s">
        <v>300</v>
      </c>
      <c r="H123" s="267" t="s">
        <v>2109</v>
      </c>
      <c r="I123" s="268" t="s">
        <v>4748</v>
      </c>
      <c r="J123" s="268" t="s">
        <v>4749</v>
      </c>
      <c r="K123" s="269" t="s">
        <v>2097</v>
      </c>
      <c r="L123" s="269" t="s">
        <v>2109</v>
      </c>
      <c r="M123" s="269" t="s">
        <v>2603</v>
      </c>
      <c r="N123" s="269" t="s">
        <v>2099</v>
      </c>
      <c r="O123" s="267" t="s">
        <v>2212</v>
      </c>
      <c r="P123" s="268"/>
      <c r="Q123" s="270">
        <v>1</v>
      </c>
      <c r="R123" s="271">
        <v>11500</v>
      </c>
      <c r="S123" s="272">
        <v>322</v>
      </c>
      <c r="T123" s="272">
        <v>348</v>
      </c>
      <c r="U123" s="272">
        <v>388</v>
      </c>
      <c r="V123" s="272">
        <v>437</v>
      </c>
      <c r="W123" s="272">
        <v>448</v>
      </c>
      <c r="X123" s="272">
        <v>456</v>
      </c>
      <c r="Y123" s="272">
        <v>465</v>
      </c>
      <c r="Z123" s="272">
        <v>474</v>
      </c>
      <c r="AA123" s="272">
        <v>479</v>
      </c>
      <c r="AB123" s="272">
        <v>488</v>
      </c>
      <c r="AC123" s="272">
        <v>494</v>
      </c>
      <c r="AD123" s="272">
        <v>500</v>
      </c>
      <c r="AE123" s="272">
        <v>507</v>
      </c>
      <c r="AF123" s="272">
        <v>513</v>
      </c>
      <c r="AG123" s="272">
        <v>516</v>
      </c>
      <c r="AH123" s="272">
        <v>521</v>
      </c>
      <c r="AI123" s="272">
        <v>526</v>
      </c>
      <c r="AJ123" s="272">
        <v>531</v>
      </c>
      <c r="AK123" s="272">
        <v>538</v>
      </c>
      <c r="AL123" s="268" t="s">
        <v>4750</v>
      </c>
      <c r="AM123" s="268" t="s">
        <v>4751</v>
      </c>
      <c r="AN123" s="268" t="s">
        <v>4752</v>
      </c>
      <c r="AO123" s="657"/>
      <c r="AP123" s="271">
        <v>50</v>
      </c>
      <c r="AQ123" s="280">
        <v>45</v>
      </c>
      <c r="AR123" s="280">
        <v>4</v>
      </c>
      <c r="AS123" s="280">
        <v>1</v>
      </c>
      <c r="AT123" s="657"/>
      <c r="AU123" s="301" t="s">
        <v>4753</v>
      </c>
      <c r="AV123" s="572" t="s">
        <v>4754</v>
      </c>
      <c r="AW123" s="645" t="s">
        <v>3017</v>
      </c>
      <c r="AX123" s="290" t="s">
        <v>2670</v>
      </c>
      <c r="AY123" s="657"/>
      <c r="AZ123" s="948">
        <v>2</v>
      </c>
      <c r="BA123" s="948">
        <v>0</v>
      </c>
      <c r="BB123" s="948">
        <v>0.5</v>
      </c>
      <c r="BC123" s="948">
        <v>2</v>
      </c>
      <c r="BD123" s="825">
        <f t="shared" si="352"/>
        <v>2308.5</v>
      </c>
      <c r="BE123" s="304">
        <f t="shared" si="353"/>
        <v>1026</v>
      </c>
      <c r="BF123" s="304">
        <f t="shared" si="354"/>
        <v>0</v>
      </c>
      <c r="BG123" s="304">
        <f t="shared" si="355"/>
        <v>256.5</v>
      </c>
      <c r="BH123" s="304">
        <f t="shared" si="356"/>
        <v>1026</v>
      </c>
      <c r="BI123" s="825">
        <f t="shared" si="357"/>
        <v>2421</v>
      </c>
      <c r="BJ123" s="304">
        <f t="shared" si="358"/>
        <v>1076</v>
      </c>
      <c r="BK123" s="304">
        <f t="shared" si="359"/>
        <v>0</v>
      </c>
      <c r="BL123" s="304">
        <f t="shared" si="360"/>
        <v>269</v>
      </c>
      <c r="BM123" s="304">
        <f t="shared" si="361"/>
        <v>1076</v>
      </c>
      <c r="BN123" s="657"/>
      <c r="BO123" s="284">
        <v>0.1</v>
      </c>
      <c r="BP123" s="284">
        <v>0.76</v>
      </c>
      <c r="BQ123" s="284">
        <v>0.08</v>
      </c>
      <c r="BR123" s="710">
        <v>0.06</v>
      </c>
      <c r="BS123" s="707">
        <v>0.08</v>
      </c>
      <c r="BT123" s="284">
        <v>0.76</v>
      </c>
      <c r="BU123" s="284">
        <v>0.1</v>
      </c>
      <c r="BV123" s="710">
        <v>0.06</v>
      </c>
      <c r="BW123" s="714"/>
      <c r="BX123" s="285"/>
      <c r="BY123" s="717"/>
      <c r="BZ123" s="714"/>
      <c r="CA123" s="285"/>
      <c r="CB123" s="717"/>
      <c r="CC123" s="284">
        <v>0.05</v>
      </c>
      <c r="CD123" s="284">
        <v>0.55000000000000004</v>
      </c>
      <c r="CE123" s="284">
        <v>0.1</v>
      </c>
      <c r="CF123" s="710">
        <v>0.3</v>
      </c>
      <c r="CG123" s="707">
        <v>0.04</v>
      </c>
      <c r="CH123" s="284">
        <v>0.55000000000000004</v>
      </c>
      <c r="CI123" s="284">
        <v>0.12</v>
      </c>
      <c r="CJ123" s="710">
        <v>0.28999999999999998</v>
      </c>
      <c r="CK123" s="720">
        <v>0.25</v>
      </c>
      <c r="CL123" s="286">
        <v>0.55000000000000004</v>
      </c>
      <c r="CM123" s="718">
        <v>0.2</v>
      </c>
      <c r="CN123" s="720">
        <v>0.15</v>
      </c>
      <c r="CO123" s="286">
        <v>0.57999999999999996</v>
      </c>
      <c r="CP123" s="718">
        <v>0.27</v>
      </c>
      <c r="CQ123" s="657"/>
      <c r="CR123" s="807">
        <v>10</v>
      </c>
      <c r="CS123" s="808">
        <v>11</v>
      </c>
      <c r="CT123" s="808">
        <v>8</v>
      </c>
      <c r="CU123" s="809">
        <v>10</v>
      </c>
      <c r="CV123" s="807"/>
      <c r="CW123" s="808"/>
      <c r="CX123" s="809"/>
      <c r="CY123" s="807">
        <v>8</v>
      </c>
      <c r="CZ123" s="808">
        <v>10</v>
      </c>
      <c r="DA123" s="808">
        <v>7</v>
      </c>
      <c r="DB123" s="809">
        <v>9</v>
      </c>
      <c r="DC123" s="807">
        <v>10</v>
      </c>
      <c r="DD123" s="808">
        <v>11</v>
      </c>
      <c r="DE123" s="809">
        <v>8</v>
      </c>
      <c r="DF123" s="610" t="s">
        <v>4755</v>
      </c>
      <c r="DG123" s="657"/>
      <c r="DH123" s="288">
        <f t="shared" si="362"/>
        <v>102.60000000000001</v>
      </c>
      <c r="DI123" s="288">
        <f t="shared" si="363"/>
        <v>779.76</v>
      </c>
      <c r="DJ123" s="288">
        <f t="shared" si="364"/>
        <v>82.08</v>
      </c>
      <c r="DK123" s="288">
        <f t="shared" si="365"/>
        <v>61.559999999999995</v>
      </c>
      <c r="DL123" s="560" t="s">
        <v>4756</v>
      </c>
      <c r="DM123" s="288">
        <f t="shared" si="366"/>
        <v>86.08</v>
      </c>
      <c r="DN123" s="288">
        <f t="shared" si="367"/>
        <v>817.76</v>
      </c>
      <c r="DO123" s="288">
        <f t="shared" si="368"/>
        <v>107.60000000000001</v>
      </c>
      <c r="DP123" s="288">
        <f t="shared" si="369"/>
        <v>64.56</v>
      </c>
      <c r="DQ123" s="561" t="s">
        <v>2644</v>
      </c>
      <c r="DR123" s="657"/>
      <c r="DS123" s="288">
        <f t="shared" si="370"/>
        <v>0</v>
      </c>
      <c r="DT123" s="288">
        <f t="shared" si="371"/>
        <v>0</v>
      </c>
      <c r="DU123" s="288">
        <f t="shared" si="372"/>
        <v>0</v>
      </c>
      <c r="DV123" s="561" t="s">
        <v>2613</v>
      </c>
      <c r="DW123" s="288">
        <f t="shared" si="373"/>
        <v>0</v>
      </c>
      <c r="DX123" s="288">
        <f t="shared" si="374"/>
        <v>0</v>
      </c>
      <c r="DY123" s="288">
        <f t="shared" si="375"/>
        <v>0</v>
      </c>
      <c r="DZ123" s="561" t="s">
        <v>2613</v>
      </c>
      <c r="EA123" s="657"/>
      <c r="EB123" s="288">
        <f t="shared" si="376"/>
        <v>12.825000000000001</v>
      </c>
      <c r="EC123" s="288">
        <f t="shared" si="377"/>
        <v>141.07500000000002</v>
      </c>
      <c r="ED123" s="288">
        <f t="shared" si="378"/>
        <v>25.650000000000002</v>
      </c>
      <c r="EE123" s="288">
        <f t="shared" si="379"/>
        <v>76.95</v>
      </c>
      <c r="EF123" s="561" t="s">
        <v>4757</v>
      </c>
      <c r="EG123" s="288">
        <f t="shared" si="380"/>
        <v>10.76</v>
      </c>
      <c r="EH123" s="288">
        <f t="shared" si="381"/>
        <v>147.95000000000002</v>
      </c>
      <c r="EI123" s="288">
        <f t="shared" si="382"/>
        <v>32.28</v>
      </c>
      <c r="EJ123" s="288">
        <f t="shared" si="383"/>
        <v>78.009999999999991</v>
      </c>
      <c r="EK123" s="561" t="s">
        <v>2983</v>
      </c>
      <c r="EL123" s="657"/>
      <c r="EM123" s="288">
        <f t="shared" si="384"/>
        <v>256.5</v>
      </c>
      <c r="EN123" s="291">
        <f t="shared" si="385"/>
        <v>564.30000000000007</v>
      </c>
      <c r="EO123" s="291">
        <f t="shared" si="386"/>
        <v>205.20000000000002</v>
      </c>
      <c r="EP123" s="561" t="s">
        <v>4758</v>
      </c>
      <c r="EQ123" s="288">
        <f t="shared" si="387"/>
        <v>161.4</v>
      </c>
      <c r="ER123" s="291">
        <f t="shared" si="388"/>
        <v>624.07999999999993</v>
      </c>
      <c r="ES123" s="291">
        <f t="shared" si="389"/>
        <v>290.52000000000004</v>
      </c>
      <c r="ET123" s="561" t="s">
        <v>2985</v>
      </c>
      <c r="EU123" s="657"/>
      <c r="EV123" s="740">
        <f t="shared" si="390"/>
        <v>0.76630433038061896</v>
      </c>
      <c r="EW123" s="740">
        <f t="shared" si="391"/>
        <v>0.23369566961938099</v>
      </c>
      <c r="EX123" s="563">
        <f t="shared" si="392"/>
        <v>1106.6873871528139</v>
      </c>
      <c r="EY123" s="563">
        <f t="shared" si="393"/>
        <v>848.0593371528139</v>
      </c>
      <c r="EZ123" s="563">
        <f t="shared" si="394"/>
        <v>258.62804999999997</v>
      </c>
      <c r="FA123" s="563">
        <f t="shared" si="395"/>
        <v>475.19803389090907</v>
      </c>
      <c r="FB123" s="563">
        <f t="shared" si="396"/>
        <v>360.25223389090911</v>
      </c>
      <c r="FC123" s="563">
        <f t="shared" si="397"/>
        <v>114.94579999999999</v>
      </c>
      <c r="FD123" s="563">
        <f t="shared" si="398"/>
        <v>0</v>
      </c>
      <c r="FE123" s="563">
        <f t="shared" si="399"/>
        <v>0</v>
      </c>
      <c r="FF123" s="563">
        <f t="shared" si="400"/>
        <v>0</v>
      </c>
      <c r="FG123" s="563">
        <f t="shared" si="401"/>
        <v>134.26438326190475</v>
      </c>
      <c r="FH123" s="563">
        <f t="shared" si="402"/>
        <v>105.52793326190476</v>
      </c>
      <c r="FI123" s="563">
        <f t="shared" si="403"/>
        <v>28.736449999999998</v>
      </c>
      <c r="FJ123" s="563">
        <f t="shared" si="404"/>
        <v>497.22496999999998</v>
      </c>
      <c r="FK123" s="563">
        <f t="shared" si="405"/>
        <v>382.27917000000002</v>
      </c>
      <c r="FL123" s="563">
        <f t="shared" si="406"/>
        <v>114.94579999999999</v>
      </c>
      <c r="FM123" s="529"/>
      <c r="FN123" s="564" t="s">
        <v>2649</v>
      </c>
      <c r="FO123" s="740">
        <v>6.3299999999999995E-2</v>
      </c>
      <c r="FP123" s="741">
        <v>0.82369999999999999</v>
      </c>
      <c r="FQ123" s="565" t="s">
        <v>4759</v>
      </c>
      <c r="FR123" s="529"/>
      <c r="FS123" s="867">
        <v>3.76</v>
      </c>
      <c r="FT123" s="566">
        <f>RANK($FS123,$FS$8:$FS$154,0)+COUNTIF($FS$8:$FS123,$FS123)-1</f>
        <v>18</v>
      </c>
      <c r="FU123" s="867">
        <v>4.62</v>
      </c>
      <c r="FV123" s="566">
        <f>RANK($FU123,$FU$8:$FU$154,0)+COUNTIF($FU$8:$FU123,$FU123)-1</f>
        <v>8</v>
      </c>
      <c r="FW123" s="867">
        <v>2.2200000000000002</v>
      </c>
      <c r="FX123" s="566">
        <f>RANK($FW123,$FW$8:$FW$154,0)+COUNTIF($FW$8:$FW123,$FW123)-1</f>
        <v>67</v>
      </c>
      <c r="FY123" s="529"/>
      <c r="FZ123" s="567" t="s">
        <v>4760</v>
      </c>
      <c r="GA123" s="567" t="s">
        <v>4761</v>
      </c>
      <c r="GB123" s="567" t="s">
        <v>2653</v>
      </c>
      <c r="GC123" s="567" t="s">
        <v>2654</v>
      </c>
      <c r="GD123" s="567" t="s">
        <v>2655</v>
      </c>
      <c r="GE123" s="567" t="s">
        <v>2656</v>
      </c>
      <c r="GF123" s="567" t="str">
        <f t="shared" si="449"/>
        <v>https://www.statistiques.developpement-durable.gouv.fr/construction-de-locaux-resultats-fin-janvier-2026-france-entiere
https://www.insee.fr/fr/statistiques/8671745
https://www.insee.fr/fr/statistiques/8906564</v>
      </c>
      <c r="GG123" s="529"/>
      <c r="GH123" s="563">
        <f t="shared" si="407"/>
        <v>47.448292000000002</v>
      </c>
      <c r="GI123" s="563">
        <f t="shared" si="337"/>
        <v>38.252628000000001</v>
      </c>
      <c r="GJ123" s="563">
        <f t="shared" si="408"/>
        <v>9.1956639999999989</v>
      </c>
      <c r="GK123" s="563">
        <f t="shared" si="409"/>
        <v>346.86923709090911</v>
      </c>
      <c r="GL123" s="563">
        <f t="shared" si="338"/>
        <v>259.5104290909091</v>
      </c>
      <c r="GM123" s="563">
        <f t="shared" si="410"/>
        <v>87.358807999999996</v>
      </c>
      <c r="GN123" s="563">
        <f t="shared" si="411"/>
        <v>51.032179999999997</v>
      </c>
      <c r="GO123" s="563">
        <f t="shared" si="339"/>
        <v>39.537599999999998</v>
      </c>
      <c r="GP123" s="563">
        <f t="shared" si="412"/>
        <v>11.494579999999999</v>
      </c>
      <c r="GQ123" s="563">
        <f t="shared" si="413"/>
        <v>29.848324799999997</v>
      </c>
      <c r="GR123" s="563">
        <f t="shared" si="340"/>
        <v>22.951576799999998</v>
      </c>
      <c r="GS123" s="563">
        <f t="shared" si="414"/>
        <v>6.8967479999999997</v>
      </c>
      <c r="GT123" s="563">
        <f t="shared" si="415"/>
        <v>0</v>
      </c>
      <c r="GU123" s="563">
        <f t="shared" si="341"/>
        <v>0</v>
      </c>
      <c r="GV123" s="563">
        <f t="shared" si="416"/>
        <v>0</v>
      </c>
      <c r="GW123" s="563">
        <f t="shared" si="417"/>
        <v>0</v>
      </c>
      <c r="GX123" s="563">
        <f t="shared" si="342"/>
        <v>0</v>
      </c>
      <c r="GY123" s="563">
        <f t="shared" si="418"/>
        <v>0</v>
      </c>
      <c r="GZ123" s="563">
        <f t="shared" si="419"/>
        <v>0</v>
      </c>
      <c r="HA123" s="563">
        <f t="shared" si="343"/>
        <v>0</v>
      </c>
      <c r="HB123" s="563">
        <f t="shared" si="420"/>
        <v>0</v>
      </c>
      <c r="HC123" s="563">
        <f t="shared" si="421"/>
        <v>7.3272080000000006</v>
      </c>
      <c r="HD123" s="563">
        <f t="shared" si="344"/>
        <v>6.1777500000000005</v>
      </c>
      <c r="HE123" s="563">
        <f t="shared" si="422"/>
        <v>1.1494579999999999</v>
      </c>
      <c r="HF123" s="563">
        <f t="shared" si="423"/>
        <v>68.402411000000001</v>
      </c>
      <c r="HG123" s="563">
        <f t="shared" si="345"/>
        <v>52.5973635</v>
      </c>
      <c r="HH123" s="563">
        <f t="shared" si="424"/>
        <v>15.805047500000001</v>
      </c>
      <c r="HI123" s="563">
        <f t="shared" si="425"/>
        <v>17.774870428571429</v>
      </c>
      <c r="HJ123" s="563">
        <f t="shared" si="346"/>
        <v>14.32649642857143</v>
      </c>
      <c r="HK123" s="563">
        <f t="shared" si="426"/>
        <v>3.4483739999999998</v>
      </c>
      <c r="HL123" s="563">
        <f t="shared" si="427"/>
        <v>40.759893833333336</v>
      </c>
      <c r="HM123" s="563">
        <f t="shared" si="347"/>
        <v>32.426323333333336</v>
      </c>
      <c r="HN123" s="563">
        <f t="shared" si="428"/>
        <v>8.3335704999999987</v>
      </c>
      <c r="HO123" s="563">
        <f t="shared" si="429"/>
        <v>112.87343999999999</v>
      </c>
      <c r="HP123" s="563">
        <f t="shared" si="348"/>
        <v>95.631569999999996</v>
      </c>
      <c r="HQ123" s="563">
        <f t="shared" si="430"/>
        <v>17.241869999999999</v>
      </c>
      <c r="HR123" s="563">
        <f t="shared" si="431"/>
        <v>254.47216400000002</v>
      </c>
      <c r="HS123" s="563">
        <f t="shared" si="349"/>
        <v>187.80360000000002</v>
      </c>
      <c r="HT123" s="563">
        <f t="shared" si="432"/>
        <v>66.668563999999989</v>
      </c>
      <c r="HU123" s="563">
        <f t="shared" si="433"/>
        <v>129.879366</v>
      </c>
      <c r="HV123" s="563">
        <f t="shared" si="350"/>
        <v>98.844000000000008</v>
      </c>
      <c r="HW123" s="563">
        <f t="shared" si="434"/>
        <v>31.035366</v>
      </c>
      <c r="HX123" s="544"/>
      <c r="HY123" s="568">
        <f t="shared" si="435"/>
        <v>2308.5000000000005</v>
      </c>
      <c r="HZ123" s="568">
        <f t="shared" si="436"/>
        <v>128.55780000000001</v>
      </c>
      <c r="IA123" s="568">
        <f t="shared" si="437"/>
        <v>1133.73</v>
      </c>
      <c r="IB123" s="568">
        <f t="shared" si="438"/>
        <v>908.77949999999998</v>
      </c>
      <c r="IC123" s="568">
        <f t="shared" si="439"/>
        <v>119.58029999999999</v>
      </c>
      <c r="ID123" s="568">
        <f t="shared" si="440"/>
        <v>17.852399999999999</v>
      </c>
      <c r="IE123" s="568">
        <f t="shared" si="441"/>
        <v>848.0593371528139</v>
      </c>
      <c r="IF123" s="568">
        <f t="shared" si="442"/>
        <v>30.172661186807016</v>
      </c>
      <c r="IG123" s="568">
        <f t="shared" si="443"/>
        <v>396.64969575809539</v>
      </c>
      <c r="IH123" s="568">
        <f t="shared" si="444"/>
        <v>349.9286225609207</v>
      </c>
      <c r="II123" s="568">
        <f t="shared" si="445"/>
        <v>60.955980217654897</v>
      </c>
      <c r="IJ123" s="568">
        <f t="shared" si="446"/>
        <v>10.352377429335846</v>
      </c>
      <c r="IK123" s="868">
        <v>4.1500000000000004</v>
      </c>
      <c r="IL123" s="569" t="s">
        <v>2589</v>
      </c>
      <c r="IM123" s="570" t="s">
        <v>4762</v>
      </c>
      <c r="IN123" s="529"/>
      <c r="IO123" s="742">
        <v>0.05</v>
      </c>
      <c r="IP123" s="742">
        <v>0.47</v>
      </c>
      <c r="IQ123" s="742">
        <v>0.41</v>
      </c>
      <c r="IR123" s="742">
        <v>0.06</v>
      </c>
      <c r="IS123" s="742">
        <v>0.01</v>
      </c>
      <c r="IT123" s="742">
        <v>2.9399999999999999E-2</v>
      </c>
      <c r="IU123" s="742">
        <v>0.44479999999999997</v>
      </c>
      <c r="IV123" s="742">
        <v>0.43059999999999998</v>
      </c>
      <c r="IW123" s="742">
        <v>8.0600000000000005E-2</v>
      </c>
      <c r="IX123" s="742">
        <v>1.46E-2</v>
      </c>
      <c r="IY123" s="742">
        <v>0</v>
      </c>
      <c r="IZ123" s="742">
        <v>0</v>
      </c>
      <c r="JA123" s="742">
        <v>0</v>
      </c>
      <c r="JB123" s="742">
        <v>0</v>
      </c>
      <c r="JC123" s="742">
        <v>0</v>
      </c>
      <c r="JD123" s="742">
        <v>0</v>
      </c>
      <c r="JE123" s="742">
        <v>0</v>
      </c>
      <c r="JF123" s="742">
        <v>0</v>
      </c>
      <c r="JG123" s="742">
        <v>0</v>
      </c>
      <c r="JH123" s="742">
        <v>0</v>
      </c>
      <c r="JI123" s="742">
        <v>8.48E-2</v>
      </c>
      <c r="JJ123" s="742">
        <v>0.59799999999999998</v>
      </c>
      <c r="JK123" s="742">
        <v>0.2898</v>
      </c>
      <c r="JL123" s="742">
        <v>2.5399999999999999E-2</v>
      </c>
      <c r="JM123" s="742">
        <v>2E-3</v>
      </c>
      <c r="JN123" s="742">
        <v>6.4199999999999993E-2</v>
      </c>
      <c r="JO123" s="742">
        <v>0.57279999999999998</v>
      </c>
      <c r="JP123" s="742">
        <v>0.31040000000000001</v>
      </c>
      <c r="JQ123" s="742">
        <v>4.5999999999999999E-2</v>
      </c>
      <c r="JR123" s="742">
        <v>6.6E-3</v>
      </c>
      <c r="JS123" s="742">
        <v>5.4100000000000002E-2</v>
      </c>
      <c r="JT123" s="742">
        <v>0.48549999999999999</v>
      </c>
      <c r="JU123" s="742">
        <v>0.40329999999999999</v>
      </c>
      <c r="JV123" s="742">
        <v>5.0200000000000002E-2</v>
      </c>
      <c r="JW123" s="742">
        <v>6.8999999999999999E-3</v>
      </c>
      <c r="JX123" s="742">
        <v>3.3500000000000002E-2</v>
      </c>
      <c r="JY123" s="742">
        <v>0.46029999999999999</v>
      </c>
      <c r="JZ123" s="742">
        <v>0.4239</v>
      </c>
      <c r="KA123" s="742">
        <v>7.0800000000000002E-2</v>
      </c>
      <c r="KB123" s="742">
        <v>1.15E-2</v>
      </c>
      <c r="KC123" s="657"/>
      <c r="KD123" s="832" t="s">
        <v>2590</v>
      </c>
      <c r="KE123" s="832" t="s">
        <v>2590</v>
      </c>
      <c r="KF123" s="869">
        <v>4.0999999999999996</v>
      </c>
      <c r="KG123" s="832" t="s">
        <v>2589</v>
      </c>
      <c r="KH123" s="833" t="s">
        <v>4763</v>
      </c>
      <c r="KI123" s="832" t="s">
        <v>4764</v>
      </c>
      <c r="KJ123" s="833" t="s">
        <v>4765</v>
      </c>
    </row>
    <row r="124" spans="1:296" ht="48" hidden="1" customHeight="1">
      <c r="A124" s="273">
        <f t="shared" si="447"/>
        <v>117</v>
      </c>
      <c r="B124" s="274" t="s">
        <v>2285</v>
      </c>
      <c r="C124" s="274" t="s">
        <v>4711</v>
      </c>
      <c r="D124" s="274" t="s">
        <v>4766</v>
      </c>
      <c r="E124" s="275" t="s">
        <v>2117</v>
      </c>
      <c r="F124" s="275" t="s">
        <v>4598</v>
      </c>
      <c r="G124" s="275" t="s">
        <v>2121</v>
      </c>
      <c r="H124" s="275" t="s">
        <v>2109</v>
      </c>
      <c r="I124" s="276" t="s">
        <v>4767</v>
      </c>
      <c r="J124" s="276" t="s">
        <v>4768</v>
      </c>
      <c r="K124" s="277" t="s">
        <v>2097</v>
      </c>
      <c r="L124" s="277" t="s">
        <v>2109</v>
      </c>
      <c r="M124" s="277" t="s">
        <v>2603</v>
      </c>
      <c r="N124" s="277" t="s">
        <v>2099</v>
      </c>
      <c r="O124" s="275" t="s">
        <v>2212</v>
      </c>
      <c r="P124" s="276"/>
      <c r="Q124" s="270">
        <v>1</v>
      </c>
      <c r="R124" s="278">
        <v>35000</v>
      </c>
      <c r="S124" s="279">
        <v>92</v>
      </c>
      <c r="T124" s="279">
        <v>86</v>
      </c>
      <c r="U124" s="279">
        <v>80</v>
      </c>
      <c r="V124" s="279">
        <v>75</v>
      </c>
      <c r="W124" s="279">
        <f>V124</f>
        <v>75</v>
      </c>
      <c r="X124" s="279">
        <f>W124-1</f>
        <v>74</v>
      </c>
      <c r="Y124" s="279">
        <f>X124-1</f>
        <v>73</v>
      </c>
      <c r="Z124" s="279">
        <f>Y124-1</f>
        <v>72</v>
      </c>
      <c r="AA124" s="279">
        <v>72</v>
      </c>
      <c r="AB124" s="279">
        <v>72</v>
      </c>
      <c r="AC124" s="279">
        <v>73</v>
      </c>
      <c r="AD124" s="279">
        <v>73</v>
      </c>
      <c r="AE124" s="279">
        <v>74</v>
      </c>
      <c r="AF124" s="279">
        <v>74</v>
      </c>
      <c r="AG124" s="279">
        <v>74</v>
      </c>
      <c r="AH124" s="279">
        <f>AG124-1</f>
        <v>73</v>
      </c>
      <c r="AI124" s="279">
        <f>AH124-1</f>
        <v>72</v>
      </c>
      <c r="AJ124" s="279">
        <f>AI124-1</f>
        <v>71</v>
      </c>
      <c r="AK124" s="279">
        <v>70</v>
      </c>
      <c r="AL124" s="276" t="s">
        <v>2124</v>
      </c>
      <c r="AM124" s="276" t="s">
        <v>4769</v>
      </c>
      <c r="AN124" s="276" t="s">
        <v>4770</v>
      </c>
      <c r="AO124" s="657"/>
      <c r="AP124" s="278">
        <v>3500</v>
      </c>
      <c r="AQ124" s="278">
        <v>2870</v>
      </c>
      <c r="AR124" s="278">
        <v>350</v>
      </c>
      <c r="AS124" s="278">
        <v>280</v>
      </c>
      <c r="AT124" s="657"/>
      <c r="AU124" s="281" t="s">
        <v>4771</v>
      </c>
      <c r="AV124" s="296" t="s">
        <v>4772</v>
      </c>
      <c r="AW124" s="296" t="s">
        <v>4773</v>
      </c>
      <c r="AX124" s="276" t="s">
        <v>2609</v>
      </c>
      <c r="AY124" s="657"/>
      <c r="AZ124" s="947">
        <v>80</v>
      </c>
      <c r="BA124" s="947">
        <v>12</v>
      </c>
      <c r="BB124" s="947">
        <v>14</v>
      </c>
      <c r="BC124" s="947">
        <v>75</v>
      </c>
      <c r="BD124" s="826">
        <f t="shared" si="352"/>
        <v>13394</v>
      </c>
      <c r="BE124" s="283">
        <f t="shared" si="353"/>
        <v>5920</v>
      </c>
      <c r="BF124" s="283">
        <f t="shared" si="354"/>
        <v>888</v>
      </c>
      <c r="BG124" s="283">
        <f t="shared" si="355"/>
        <v>1036</v>
      </c>
      <c r="BH124" s="283">
        <f t="shared" si="356"/>
        <v>5550</v>
      </c>
      <c r="BI124" s="826">
        <f t="shared" si="357"/>
        <v>12670</v>
      </c>
      <c r="BJ124" s="283">
        <f t="shared" si="358"/>
        <v>5600</v>
      </c>
      <c r="BK124" s="283">
        <f t="shared" si="359"/>
        <v>840</v>
      </c>
      <c r="BL124" s="283">
        <f t="shared" si="360"/>
        <v>980</v>
      </c>
      <c r="BM124" s="283">
        <f t="shared" si="361"/>
        <v>5250</v>
      </c>
      <c r="BN124" s="657"/>
      <c r="BO124" s="305">
        <v>0.1</v>
      </c>
      <c r="BP124" s="305">
        <v>0.47</v>
      </c>
      <c r="BQ124" s="305">
        <v>0.38</v>
      </c>
      <c r="BR124" s="581">
        <v>0.05</v>
      </c>
      <c r="BS124" s="706">
        <v>0.08</v>
      </c>
      <c r="BT124" s="305">
        <v>0.47</v>
      </c>
      <c r="BU124" s="305">
        <v>0.42</v>
      </c>
      <c r="BV124" s="581">
        <v>0.03</v>
      </c>
      <c r="BW124" s="713">
        <v>0.25</v>
      </c>
      <c r="BX124" s="306">
        <v>0.6</v>
      </c>
      <c r="BY124" s="590">
        <v>0.15</v>
      </c>
      <c r="BZ124" s="713">
        <v>0.2</v>
      </c>
      <c r="CA124" s="306">
        <v>0.62</v>
      </c>
      <c r="CB124" s="590">
        <v>0.18</v>
      </c>
      <c r="CC124" s="706">
        <v>0.04</v>
      </c>
      <c r="CD124" s="305">
        <v>0.35</v>
      </c>
      <c r="CE124" s="305">
        <v>0.38</v>
      </c>
      <c r="CF124" s="581">
        <v>0.23</v>
      </c>
      <c r="CG124" s="706">
        <v>0.03</v>
      </c>
      <c r="CH124" s="305">
        <v>0.35</v>
      </c>
      <c r="CI124" s="305">
        <v>0.41</v>
      </c>
      <c r="CJ124" s="581">
        <v>0.21</v>
      </c>
      <c r="CK124" s="719">
        <v>0.15</v>
      </c>
      <c r="CL124" s="307">
        <v>0.45</v>
      </c>
      <c r="CM124" s="723">
        <v>0.4</v>
      </c>
      <c r="CN124" s="719">
        <v>0.05</v>
      </c>
      <c r="CO124" s="307">
        <v>0.45</v>
      </c>
      <c r="CP124" s="723">
        <v>0.5</v>
      </c>
      <c r="CQ124" s="657"/>
      <c r="CR124" s="804">
        <v>9</v>
      </c>
      <c r="CS124" s="805">
        <v>11</v>
      </c>
      <c r="CT124" s="805">
        <v>8</v>
      </c>
      <c r="CU124" s="806">
        <v>9</v>
      </c>
      <c r="CV124" s="804">
        <v>10</v>
      </c>
      <c r="CW124" s="805">
        <v>10</v>
      </c>
      <c r="CX124" s="806">
        <v>8</v>
      </c>
      <c r="CY124" s="804">
        <v>8</v>
      </c>
      <c r="CZ124" s="805">
        <v>11</v>
      </c>
      <c r="DA124" s="805">
        <v>8</v>
      </c>
      <c r="DB124" s="806">
        <v>9</v>
      </c>
      <c r="DC124" s="804">
        <v>9</v>
      </c>
      <c r="DD124" s="805">
        <v>12</v>
      </c>
      <c r="DE124" s="806">
        <v>9</v>
      </c>
      <c r="DF124" s="609" t="s">
        <v>4741</v>
      </c>
      <c r="DG124" s="657"/>
      <c r="DH124" s="308">
        <f t="shared" si="362"/>
        <v>592</v>
      </c>
      <c r="DI124" s="308">
        <f t="shared" si="363"/>
        <v>2782.3999999999996</v>
      </c>
      <c r="DJ124" s="308">
        <f t="shared" si="364"/>
        <v>2249.6</v>
      </c>
      <c r="DK124" s="308">
        <f t="shared" si="365"/>
        <v>296</v>
      </c>
      <c r="DL124" s="287" t="s">
        <v>4774</v>
      </c>
      <c r="DM124" s="308">
        <f t="shared" si="366"/>
        <v>448</v>
      </c>
      <c r="DN124" s="308">
        <f t="shared" si="367"/>
        <v>2632</v>
      </c>
      <c r="DO124" s="308">
        <f t="shared" si="368"/>
        <v>2352</v>
      </c>
      <c r="DP124" s="308">
        <f t="shared" si="369"/>
        <v>168</v>
      </c>
      <c r="DQ124" s="289" t="s">
        <v>3962</v>
      </c>
      <c r="DR124" s="657"/>
      <c r="DS124" s="308">
        <f t="shared" si="370"/>
        <v>222</v>
      </c>
      <c r="DT124" s="308">
        <f t="shared" si="371"/>
        <v>532.79999999999995</v>
      </c>
      <c r="DU124" s="308">
        <f t="shared" si="372"/>
        <v>133.19999999999999</v>
      </c>
      <c r="DV124" s="289" t="s">
        <v>4775</v>
      </c>
      <c r="DW124" s="308">
        <f t="shared" si="373"/>
        <v>168</v>
      </c>
      <c r="DX124" s="308">
        <f t="shared" si="374"/>
        <v>520.79999999999995</v>
      </c>
      <c r="DY124" s="308">
        <f t="shared" si="375"/>
        <v>151.19999999999999</v>
      </c>
      <c r="DZ124" s="289" t="s">
        <v>3963</v>
      </c>
      <c r="EA124" s="657"/>
      <c r="EB124" s="308">
        <f t="shared" si="376"/>
        <v>41.44</v>
      </c>
      <c r="EC124" s="308">
        <f t="shared" si="377"/>
        <v>362.59999999999997</v>
      </c>
      <c r="ED124" s="308">
        <f t="shared" si="378"/>
        <v>393.68</v>
      </c>
      <c r="EE124" s="308">
        <f t="shared" si="379"/>
        <v>238.28</v>
      </c>
      <c r="EF124" s="289" t="s">
        <v>4776</v>
      </c>
      <c r="EG124" s="308">
        <f t="shared" si="380"/>
        <v>29.4</v>
      </c>
      <c r="EH124" s="308">
        <f t="shared" si="381"/>
        <v>343</v>
      </c>
      <c r="EI124" s="308">
        <f t="shared" si="382"/>
        <v>401.79999999999995</v>
      </c>
      <c r="EJ124" s="308">
        <f t="shared" si="383"/>
        <v>205.79999999999998</v>
      </c>
      <c r="EK124" s="309" t="s">
        <v>3965</v>
      </c>
      <c r="EL124" s="657"/>
      <c r="EM124" s="308">
        <f t="shared" si="384"/>
        <v>832.5</v>
      </c>
      <c r="EN124" s="310">
        <f t="shared" si="385"/>
        <v>2497.5</v>
      </c>
      <c r="EO124" s="310">
        <f t="shared" si="386"/>
        <v>2220</v>
      </c>
      <c r="EP124" s="289" t="s">
        <v>4777</v>
      </c>
      <c r="EQ124" s="308">
        <f t="shared" si="387"/>
        <v>262.5</v>
      </c>
      <c r="ER124" s="310">
        <f t="shared" si="388"/>
        <v>2362.5</v>
      </c>
      <c r="ES124" s="310">
        <f t="shared" si="389"/>
        <v>2625</v>
      </c>
      <c r="ET124" s="289" t="s">
        <v>3967</v>
      </c>
      <c r="EU124" s="657"/>
      <c r="EV124" s="728">
        <f t="shared" si="390"/>
        <v>0.81483922749332649</v>
      </c>
      <c r="EW124" s="728">
        <f t="shared" si="391"/>
        <v>0.18516077250667348</v>
      </c>
      <c r="EX124" s="311">
        <f t="shared" si="392"/>
        <v>7439.8744472204553</v>
      </c>
      <c r="EY124" s="311">
        <f t="shared" si="393"/>
        <v>6062.3015472204552</v>
      </c>
      <c r="EZ124" s="311">
        <f t="shared" si="394"/>
        <v>1377.5728999999999</v>
      </c>
      <c r="FA124" s="311">
        <f t="shared" si="395"/>
        <v>3366.8505727272723</v>
      </c>
      <c r="FB124" s="311">
        <f t="shared" si="396"/>
        <v>2757.9785727272724</v>
      </c>
      <c r="FC124" s="311">
        <f t="shared" si="397"/>
        <v>608.87199999999996</v>
      </c>
      <c r="FD124" s="311">
        <f t="shared" si="398"/>
        <v>493.21559669999999</v>
      </c>
      <c r="FE124" s="311">
        <f t="shared" si="399"/>
        <v>401.88479669999998</v>
      </c>
      <c r="FF124" s="311">
        <f t="shared" si="400"/>
        <v>91.330799999999996</v>
      </c>
      <c r="FG124" s="311">
        <f t="shared" si="401"/>
        <v>601.70950591818189</v>
      </c>
      <c r="FH124" s="311">
        <f t="shared" si="402"/>
        <v>495.15690591818185</v>
      </c>
      <c r="FI124" s="311">
        <f t="shared" si="403"/>
        <v>106.5526</v>
      </c>
      <c r="FJ124" s="311">
        <f t="shared" si="404"/>
        <v>2978.0987718750002</v>
      </c>
      <c r="FK124" s="311">
        <f t="shared" si="405"/>
        <v>2407.2812718750001</v>
      </c>
      <c r="FL124" s="311">
        <f t="shared" si="406"/>
        <v>570.8175</v>
      </c>
      <c r="FM124" s="657"/>
      <c r="FN124" s="293" t="s">
        <v>2649</v>
      </c>
      <c r="FO124" s="728">
        <v>0.10285</v>
      </c>
      <c r="FP124" s="729">
        <v>0.88371</v>
      </c>
      <c r="FQ124" s="294" t="s">
        <v>2900</v>
      </c>
      <c r="FR124" s="657"/>
      <c r="FS124" s="865">
        <v>3.86</v>
      </c>
      <c r="FT124" s="312">
        <f>RANK($FS124,$FS$8:$FS$154,0)+COUNTIF($FS$8:$FS124,$FS124)-1</f>
        <v>10</v>
      </c>
      <c r="FU124" s="865">
        <v>4.4800000000000004</v>
      </c>
      <c r="FV124" s="312">
        <f>RANK($FU124,$FU$8:$FU$154,0)+COUNTIF($FU$8:$FU124,$FU124)-1</f>
        <v>20</v>
      </c>
      <c r="FW124" s="865">
        <v>3.1</v>
      </c>
      <c r="FX124" s="312">
        <f>RANK($FW124,$FW$8:$FW$154,0)+COUNTIF($FW$8:$FW124,$FW124)-1</f>
        <v>8</v>
      </c>
      <c r="FY124" s="657"/>
      <c r="FZ124" s="296" t="s">
        <v>4778</v>
      </c>
      <c r="GA124" s="296" t="s">
        <v>4779</v>
      </c>
      <c r="GB124" s="296" t="s">
        <v>4780</v>
      </c>
      <c r="GC124" s="296" t="s">
        <v>4781</v>
      </c>
      <c r="GD124" s="296" t="s">
        <v>4782</v>
      </c>
      <c r="GE124" s="296" t="s">
        <v>4783</v>
      </c>
      <c r="GF124" s="296" t="str">
        <f t="shared" si="449"/>
        <v>https://www.statistiques.developpement-durable.gouv.fr/construction-de-locaux-resultats-fin-janvier-2026-france-entiere
https://www.insee.fr/fr/statistiques/8671745
https://www.insee.fr/fr/statistiques/8906564</v>
      </c>
      <c r="GG124" s="657"/>
      <c r="GH124" s="311">
        <f t="shared" si="407"/>
        <v>333.85352</v>
      </c>
      <c r="GI124" s="311">
        <f t="shared" si="337"/>
        <v>285.14375999999999</v>
      </c>
      <c r="GJ124" s="311">
        <f t="shared" si="408"/>
        <v>48.709759999999996</v>
      </c>
      <c r="GK124" s="311">
        <f t="shared" si="409"/>
        <v>1400.8012967272725</v>
      </c>
      <c r="GL124" s="311">
        <f t="shared" si="338"/>
        <v>1114.6314567272725</v>
      </c>
      <c r="GM124" s="311">
        <f t="shared" si="410"/>
        <v>286.16983999999997</v>
      </c>
      <c r="GN124" s="311">
        <f t="shared" si="411"/>
        <v>1471.357716</v>
      </c>
      <c r="GO124" s="311">
        <f t="shared" si="339"/>
        <v>1215.631476</v>
      </c>
      <c r="GP124" s="311">
        <f t="shared" si="412"/>
        <v>255.72623999999996</v>
      </c>
      <c r="GQ124" s="311">
        <f t="shared" si="413"/>
        <v>160.83803999999998</v>
      </c>
      <c r="GR124" s="311">
        <f t="shared" si="340"/>
        <v>142.57187999999999</v>
      </c>
      <c r="GS124" s="311">
        <f t="shared" si="414"/>
        <v>18.266159999999999</v>
      </c>
      <c r="GT124" s="311">
        <f t="shared" si="415"/>
        <v>115.29751799999998</v>
      </c>
      <c r="GU124" s="311">
        <f t="shared" si="341"/>
        <v>97.031357999999983</v>
      </c>
      <c r="GV124" s="311">
        <f t="shared" si="416"/>
        <v>18.266159999999999</v>
      </c>
      <c r="GW124" s="311">
        <f t="shared" si="417"/>
        <v>289.5003552</v>
      </c>
      <c r="GX124" s="311">
        <f t="shared" si="342"/>
        <v>232.87525919999999</v>
      </c>
      <c r="GY124" s="311">
        <f t="shared" si="418"/>
        <v>56.625095999999999</v>
      </c>
      <c r="GZ124" s="311">
        <f t="shared" si="419"/>
        <v>88.417723499999994</v>
      </c>
      <c r="HA124" s="311">
        <f t="shared" si="343"/>
        <v>71.978179499999996</v>
      </c>
      <c r="HB124" s="311">
        <f t="shared" si="420"/>
        <v>16.439543999999998</v>
      </c>
      <c r="HC124" s="311">
        <f t="shared" si="421"/>
        <v>25.589789399999997</v>
      </c>
      <c r="HD124" s="311">
        <f t="shared" si="344"/>
        <v>22.393211399999998</v>
      </c>
      <c r="HE124" s="311">
        <f t="shared" si="422"/>
        <v>3.1965779999999997</v>
      </c>
      <c r="HF124" s="311">
        <f t="shared" si="423"/>
        <v>182.5512328181818</v>
      </c>
      <c r="HG124" s="311">
        <f t="shared" si="345"/>
        <v>145.25782281818181</v>
      </c>
      <c r="HH124" s="311">
        <f t="shared" si="424"/>
        <v>37.293409999999994</v>
      </c>
      <c r="HI124" s="311">
        <f t="shared" si="425"/>
        <v>256.42207430000002</v>
      </c>
      <c r="HJ124" s="311">
        <f t="shared" si="346"/>
        <v>212.73550830000002</v>
      </c>
      <c r="HK124" s="311">
        <f t="shared" si="426"/>
        <v>43.686565999999999</v>
      </c>
      <c r="HL124" s="311">
        <f t="shared" si="427"/>
        <v>137.14640939999998</v>
      </c>
      <c r="HM124" s="311">
        <f t="shared" si="347"/>
        <v>114.77036339999999</v>
      </c>
      <c r="HN124" s="311">
        <f t="shared" si="428"/>
        <v>22.376045999999999</v>
      </c>
      <c r="HO124" s="311">
        <f t="shared" si="429"/>
        <v>429.52428750000001</v>
      </c>
      <c r="HP124" s="311">
        <f t="shared" si="348"/>
        <v>400.98341250000004</v>
      </c>
      <c r="HQ124" s="311">
        <f t="shared" si="430"/>
        <v>28.540875</v>
      </c>
      <c r="HR124" s="311">
        <f t="shared" si="431"/>
        <v>1193.8766343750001</v>
      </c>
      <c r="HS124" s="311">
        <f t="shared" si="349"/>
        <v>937.00875937500007</v>
      </c>
      <c r="HT124" s="311">
        <f t="shared" si="432"/>
        <v>256.86787500000003</v>
      </c>
      <c r="HU124" s="311">
        <f t="shared" si="433"/>
        <v>1354.69785</v>
      </c>
      <c r="HV124" s="311">
        <f t="shared" si="350"/>
        <v>1069.2891</v>
      </c>
      <c r="HW124" s="311">
        <f t="shared" si="434"/>
        <v>285.40875</v>
      </c>
      <c r="HY124" s="313">
        <f t="shared" si="435"/>
        <v>13394</v>
      </c>
      <c r="HZ124" s="313">
        <f t="shared" si="436"/>
        <v>0</v>
      </c>
      <c r="IA124" s="313">
        <f t="shared" si="437"/>
        <v>1165.2483999999999</v>
      </c>
      <c r="IB124" s="313">
        <f t="shared" si="438"/>
        <v>5752.3529999999992</v>
      </c>
      <c r="IC124" s="313">
        <f t="shared" si="439"/>
        <v>5687.1812000000009</v>
      </c>
      <c r="ID124" s="313">
        <f t="shared" si="440"/>
        <v>789.2174</v>
      </c>
      <c r="IE124" s="313">
        <f t="shared" si="441"/>
        <v>6062.3015472204543</v>
      </c>
      <c r="IF124" s="313">
        <f t="shared" si="442"/>
        <v>0</v>
      </c>
      <c r="IG124" s="313">
        <f t="shared" si="443"/>
        <v>301.91411645515427</v>
      </c>
      <c r="IH124" s="313">
        <f t="shared" si="444"/>
        <v>1773.9199285103678</v>
      </c>
      <c r="II124" s="313">
        <f t="shared" si="445"/>
        <v>3139.8611688122301</v>
      </c>
      <c r="IJ124" s="313">
        <f t="shared" si="446"/>
        <v>846.60633344270241</v>
      </c>
      <c r="IK124" s="866">
        <v>4.3</v>
      </c>
      <c r="IL124" s="314" t="s">
        <v>2701</v>
      </c>
      <c r="IM124" s="299" t="s">
        <v>4784</v>
      </c>
      <c r="IN124" s="657"/>
      <c r="IO124" s="730">
        <v>0</v>
      </c>
      <c r="IP124" s="730">
        <v>6.2100000000000002E-2</v>
      </c>
      <c r="IQ124" s="730">
        <v>0.36299999999999999</v>
      </c>
      <c r="IR124" s="730">
        <v>0.48320000000000002</v>
      </c>
      <c r="IS124" s="730">
        <v>9.1700000000000004E-2</v>
      </c>
      <c r="IT124" s="730">
        <v>0</v>
      </c>
      <c r="IU124" s="730">
        <v>3.9399999999999998E-2</v>
      </c>
      <c r="IV124" s="730">
        <v>0.23280000000000001</v>
      </c>
      <c r="IW124" s="730">
        <v>0.54779999999999995</v>
      </c>
      <c r="IX124" s="730">
        <v>0.18</v>
      </c>
      <c r="IY124" s="730">
        <v>0</v>
      </c>
      <c r="IZ124" s="730">
        <v>8.6999999999999994E-2</v>
      </c>
      <c r="JA124" s="730">
        <v>0.44440000000000002</v>
      </c>
      <c r="JB124" s="730">
        <v>0.41959999999999997</v>
      </c>
      <c r="JC124" s="730">
        <v>4.9000000000000002E-2</v>
      </c>
      <c r="JD124" s="730">
        <v>0</v>
      </c>
      <c r="JE124" s="730">
        <v>4.9299999999999997E-2</v>
      </c>
      <c r="JF124" s="730">
        <v>0.29749999999999999</v>
      </c>
      <c r="JG124" s="730">
        <v>0.51649999999999996</v>
      </c>
      <c r="JH124" s="730">
        <v>0.13669999999999999</v>
      </c>
      <c r="JI124" s="730">
        <v>0</v>
      </c>
      <c r="JJ124" s="730">
        <v>0.1489</v>
      </c>
      <c r="JK124" s="730">
        <v>0.5403</v>
      </c>
      <c r="JL124" s="730">
        <v>0.3009</v>
      </c>
      <c r="JM124" s="730">
        <v>9.9000000000000008E-3</v>
      </c>
      <c r="JN124" s="730">
        <v>0</v>
      </c>
      <c r="JO124" s="730">
        <v>7.85E-2</v>
      </c>
      <c r="JP124" s="730">
        <v>0.42109999999999997</v>
      </c>
      <c r="JQ124" s="730">
        <v>0.44040000000000001</v>
      </c>
      <c r="JR124" s="730">
        <v>0.06</v>
      </c>
      <c r="JS124" s="730">
        <v>0</v>
      </c>
      <c r="JT124" s="730">
        <v>0.10199999999999999</v>
      </c>
      <c r="JU124" s="730">
        <v>0.4773</v>
      </c>
      <c r="JV124" s="730">
        <v>0.38600000000000001</v>
      </c>
      <c r="JW124" s="730">
        <v>3.4700000000000002E-2</v>
      </c>
      <c r="JX124" s="730">
        <v>0</v>
      </c>
      <c r="JY124" s="730">
        <v>5.5899999999999998E-2</v>
      </c>
      <c r="JZ124" s="730">
        <v>0.33389999999999997</v>
      </c>
      <c r="KA124" s="730">
        <v>0.49990000000000001</v>
      </c>
      <c r="KB124" s="730">
        <v>0.1103</v>
      </c>
      <c r="KC124" s="657"/>
      <c r="KD124" s="314" t="s">
        <v>2590</v>
      </c>
      <c r="KE124" s="314" t="s">
        <v>2590</v>
      </c>
      <c r="KF124" s="866">
        <v>4.33</v>
      </c>
      <c r="KG124" s="314" t="s">
        <v>2589</v>
      </c>
      <c r="KH124" s="315" t="s">
        <v>4785</v>
      </c>
      <c r="KI124" s="314" t="s">
        <v>4786</v>
      </c>
      <c r="KJ124" s="315" t="s">
        <v>4787</v>
      </c>
    </row>
    <row r="125" spans="1:296" ht="48" hidden="1" customHeight="1">
      <c r="A125" s="265">
        <f t="shared" si="447"/>
        <v>118</v>
      </c>
      <c r="B125" s="266" t="s">
        <v>2285</v>
      </c>
      <c r="C125" s="266" t="s">
        <v>4711</v>
      </c>
      <c r="D125" s="624" t="s">
        <v>4788</v>
      </c>
      <c r="E125" s="267" t="s">
        <v>3108</v>
      </c>
      <c r="F125" s="267" t="s">
        <v>3009</v>
      </c>
      <c r="G125" s="267" t="s">
        <v>300</v>
      </c>
      <c r="H125" s="267" t="s">
        <v>2109</v>
      </c>
      <c r="I125" s="268" t="s">
        <v>4789</v>
      </c>
      <c r="J125" s="268" t="s">
        <v>4790</v>
      </c>
      <c r="K125" s="269" t="s">
        <v>2097</v>
      </c>
      <c r="L125" s="269" t="s">
        <v>2109</v>
      </c>
      <c r="M125" s="269" t="s">
        <v>2603</v>
      </c>
      <c r="N125" s="269" t="s">
        <v>2099</v>
      </c>
      <c r="O125" s="267" t="s">
        <v>2616</v>
      </c>
      <c r="P125" s="268"/>
      <c r="Q125" s="270">
        <v>1</v>
      </c>
      <c r="R125" s="271">
        <v>4200</v>
      </c>
      <c r="S125" s="272">
        <v>980</v>
      </c>
      <c r="T125" s="272">
        <v>1015</v>
      </c>
      <c r="U125" s="272">
        <v>1055</v>
      </c>
      <c r="V125" s="272">
        <v>1110</v>
      </c>
      <c r="W125" s="272">
        <v>1130</v>
      </c>
      <c r="X125" s="272">
        <v>1150</v>
      </c>
      <c r="Y125" s="272">
        <v>1185</v>
      </c>
      <c r="Z125" s="272">
        <v>1205</v>
      </c>
      <c r="AA125" s="272">
        <v>1200</v>
      </c>
      <c r="AB125" s="272">
        <v>1210</v>
      </c>
      <c r="AC125" s="272">
        <v>1230</v>
      </c>
      <c r="AD125" s="272">
        <v>1250</v>
      </c>
      <c r="AE125" s="272">
        <v>1270</v>
      </c>
      <c r="AF125" s="272">
        <v>1285</v>
      </c>
      <c r="AG125" s="272">
        <v>1300</v>
      </c>
      <c r="AH125" s="272">
        <v>1315</v>
      </c>
      <c r="AI125" s="272">
        <v>1328</v>
      </c>
      <c r="AJ125" s="272">
        <v>1340</v>
      </c>
      <c r="AK125" s="272">
        <v>1350</v>
      </c>
      <c r="AL125" s="268" t="s">
        <v>4791</v>
      </c>
      <c r="AM125" s="268" t="s">
        <v>4792</v>
      </c>
      <c r="AN125" s="268" t="s">
        <v>4793</v>
      </c>
      <c r="AO125" s="657"/>
      <c r="AP125" s="271">
        <v>800</v>
      </c>
      <c r="AQ125" s="280">
        <v>700</v>
      </c>
      <c r="AR125" s="280">
        <v>70</v>
      </c>
      <c r="AS125" s="280">
        <v>30</v>
      </c>
      <c r="AT125" s="657"/>
      <c r="AU125" s="301" t="s">
        <v>4794</v>
      </c>
      <c r="AV125" s="572" t="s">
        <v>4795</v>
      </c>
      <c r="AW125" s="645" t="s">
        <v>2939</v>
      </c>
      <c r="AX125" s="290" t="s">
        <v>4796</v>
      </c>
      <c r="AY125" s="657"/>
      <c r="AZ125" s="948">
        <v>22</v>
      </c>
      <c r="BA125" s="948">
        <v>2</v>
      </c>
      <c r="BB125" s="948">
        <v>4</v>
      </c>
      <c r="BC125" s="948">
        <v>20</v>
      </c>
      <c r="BD125" s="825">
        <f t="shared" si="352"/>
        <v>61680</v>
      </c>
      <c r="BE125" s="304">
        <f t="shared" si="353"/>
        <v>28270</v>
      </c>
      <c r="BF125" s="304">
        <f t="shared" si="354"/>
        <v>2570</v>
      </c>
      <c r="BG125" s="304">
        <f t="shared" si="355"/>
        <v>5140</v>
      </c>
      <c r="BH125" s="304">
        <f t="shared" si="356"/>
        <v>25700</v>
      </c>
      <c r="BI125" s="825">
        <f t="shared" si="357"/>
        <v>64800</v>
      </c>
      <c r="BJ125" s="304">
        <f t="shared" si="358"/>
        <v>29700</v>
      </c>
      <c r="BK125" s="304">
        <f t="shared" si="359"/>
        <v>2700</v>
      </c>
      <c r="BL125" s="304">
        <f t="shared" si="360"/>
        <v>5400</v>
      </c>
      <c r="BM125" s="304">
        <f t="shared" si="361"/>
        <v>27000</v>
      </c>
      <c r="BN125" s="657"/>
      <c r="BO125" s="284">
        <v>0.1</v>
      </c>
      <c r="BP125" s="284">
        <v>0.76</v>
      </c>
      <c r="BQ125" s="284">
        <v>0.08</v>
      </c>
      <c r="BR125" s="710">
        <v>0.06</v>
      </c>
      <c r="BS125" s="707">
        <v>0.08</v>
      </c>
      <c r="BT125" s="284">
        <v>0.76</v>
      </c>
      <c r="BU125" s="284">
        <v>0.1</v>
      </c>
      <c r="BV125" s="710">
        <v>0.06</v>
      </c>
      <c r="BW125" s="714">
        <v>0.15</v>
      </c>
      <c r="BX125" s="285">
        <v>0.8</v>
      </c>
      <c r="BY125" s="717">
        <v>0.05</v>
      </c>
      <c r="BZ125" s="714">
        <v>0.12</v>
      </c>
      <c r="CA125" s="285">
        <v>0.82</v>
      </c>
      <c r="CB125" s="717">
        <v>0.06</v>
      </c>
      <c r="CC125" s="284">
        <v>0.05</v>
      </c>
      <c r="CD125" s="284">
        <v>0.55000000000000004</v>
      </c>
      <c r="CE125" s="284">
        <v>0.1</v>
      </c>
      <c r="CF125" s="710">
        <v>0.3</v>
      </c>
      <c r="CG125" s="707">
        <v>0.04</v>
      </c>
      <c r="CH125" s="284">
        <v>0.55000000000000004</v>
      </c>
      <c r="CI125" s="284">
        <v>0.12</v>
      </c>
      <c r="CJ125" s="710">
        <v>0.28999999999999998</v>
      </c>
      <c r="CK125" s="720">
        <v>0.25</v>
      </c>
      <c r="CL125" s="286">
        <v>0.55000000000000004</v>
      </c>
      <c r="CM125" s="718">
        <v>0.2</v>
      </c>
      <c r="CN125" s="720">
        <v>0.15</v>
      </c>
      <c r="CO125" s="286">
        <v>0.57999999999999996</v>
      </c>
      <c r="CP125" s="718">
        <v>0.27</v>
      </c>
      <c r="CQ125" s="657"/>
      <c r="CR125" s="807">
        <v>10</v>
      </c>
      <c r="CS125" s="808">
        <v>11</v>
      </c>
      <c r="CT125" s="808">
        <v>8</v>
      </c>
      <c r="CU125" s="809">
        <v>10</v>
      </c>
      <c r="CV125" s="807">
        <v>8</v>
      </c>
      <c r="CW125" s="808">
        <v>8</v>
      </c>
      <c r="CX125" s="809">
        <v>7</v>
      </c>
      <c r="CY125" s="807">
        <v>8</v>
      </c>
      <c r="CZ125" s="808">
        <v>10</v>
      </c>
      <c r="DA125" s="808">
        <v>7</v>
      </c>
      <c r="DB125" s="809">
        <v>9</v>
      </c>
      <c r="DC125" s="807">
        <v>10</v>
      </c>
      <c r="DD125" s="808">
        <v>11</v>
      </c>
      <c r="DE125" s="809">
        <v>8</v>
      </c>
      <c r="DF125" s="610" t="s">
        <v>4797</v>
      </c>
      <c r="DG125" s="657"/>
      <c r="DH125" s="288">
        <f t="shared" si="362"/>
        <v>2827</v>
      </c>
      <c r="DI125" s="288">
        <f t="shared" si="363"/>
        <v>21485.200000000001</v>
      </c>
      <c r="DJ125" s="288">
        <f t="shared" si="364"/>
        <v>2261.6</v>
      </c>
      <c r="DK125" s="288">
        <f t="shared" si="365"/>
        <v>1696.2</v>
      </c>
      <c r="DL125" s="560" t="s">
        <v>4798</v>
      </c>
      <c r="DM125" s="288">
        <f t="shared" si="366"/>
        <v>2376</v>
      </c>
      <c r="DN125" s="288">
        <f t="shared" si="367"/>
        <v>22572</v>
      </c>
      <c r="DO125" s="288">
        <f t="shared" si="368"/>
        <v>2970</v>
      </c>
      <c r="DP125" s="288">
        <f t="shared" si="369"/>
        <v>1782</v>
      </c>
      <c r="DQ125" s="561" t="s">
        <v>2644</v>
      </c>
      <c r="DR125" s="657"/>
      <c r="DS125" s="288">
        <f t="shared" si="370"/>
        <v>385.5</v>
      </c>
      <c r="DT125" s="288">
        <f t="shared" si="371"/>
        <v>2056</v>
      </c>
      <c r="DU125" s="288">
        <f t="shared" si="372"/>
        <v>128.5</v>
      </c>
      <c r="DV125" s="561" t="s">
        <v>4799</v>
      </c>
      <c r="DW125" s="288">
        <f t="shared" si="373"/>
        <v>324</v>
      </c>
      <c r="DX125" s="288">
        <f t="shared" si="374"/>
        <v>2214</v>
      </c>
      <c r="DY125" s="288">
        <f t="shared" si="375"/>
        <v>162</v>
      </c>
      <c r="DZ125" s="561" t="s">
        <v>2981</v>
      </c>
      <c r="EA125" s="657"/>
      <c r="EB125" s="288">
        <f t="shared" si="376"/>
        <v>257</v>
      </c>
      <c r="EC125" s="288">
        <f t="shared" si="377"/>
        <v>2827.0000000000005</v>
      </c>
      <c r="ED125" s="288">
        <f t="shared" si="378"/>
        <v>514</v>
      </c>
      <c r="EE125" s="288">
        <f t="shared" si="379"/>
        <v>1542</v>
      </c>
      <c r="EF125" s="561" t="s">
        <v>4800</v>
      </c>
      <c r="EG125" s="288">
        <f t="shared" si="380"/>
        <v>216</v>
      </c>
      <c r="EH125" s="288">
        <f t="shared" si="381"/>
        <v>2970.0000000000005</v>
      </c>
      <c r="EI125" s="288">
        <f t="shared" si="382"/>
        <v>648</v>
      </c>
      <c r="EJ125" s="288">
        <f t="shared" si="383"/>
        <v>1566</v>
      </c>
      <c r="EK125" s="561" t="s">
        <v>2983</v>
      </c>
      <c r="EL125" s="657"/>
      <c r="EM125" s="288">
        <f t="shared" si="384"/>
        <v>6425</v>
      </c>
      <c r="EN125" s="291">
        <f t="shared" si="385"/>
        <v>14135.000000000002</v>
      </c>
      <c r="EO125" s="291">
        <f t="shared" si="386"/>
        <v>5140</v>
      </c>
      <c r="EP125" s="561" t="s">
        <v>4801</v>
      </c>
      <c r="EQ125" s="288">
        <f t="shared" si="387"/>
        <v>4050</v>
      </c>
      <c r="ER125" s="291">
        <f t="shared" si="388"/>
        <v>15659.999999999998</v>
      </c>
      <c r="ES125" s="291">
        <f t="shared" si="389"/>
        <v>7290.0000000000009</v>
      </c>
      <c r="ET125" s="561" t="s">
        <v>2985</v>
      </c>
      <c r="EU125" s="657"/>
      <c r="EV125" s="740">
        <f t="shared" si="390"/>
        <v>0.76661245460344929</v>
      </c>
      <c r="EW125" s="740">
        <f t="shared" si="391"/>
        <v>0.23338754539655074</v>
      </c>
      <c r="EX125" s="563">
        <f t="shared" si="392"/>
        <v>30097.338690738092</v>
      </c>
      <c r="EY125" s="563">
        <f t="shared" si="393"/>
        <v>23072.994690738095</v>
      </c>
      <c r="EZ125" s="563">
        <f t="shared" si="394"/>
        <v>7024.3439999999991</v>
      </c>
      <c r="FA125" s="563">
        <f t="shared" si="395"/>
        <v>13250.872028</v>
      </c>
      <c r="FB125" s="563">
        <f t="shared" si="396"/>
        <v>10031.381028</v>
      </c>
      <c r="FC125" s="563">
        <f t="shared" si="397"/>
        <v>3219.491</v>
      </c>
      <c r="FD125" s="563">
        <f t="shared" si="398"/>
        <v>1544.0430982142857</v>
      </c>
      <c r="FE125" s="563">
        <f t="shared" si="399"/>
        <v>1251.3620982142857</v>
      </c>
      <c r="FF125" s="563">
        <f t="shared" si="400"/>
        <v>292.68099999999998</v>
      </c>
      <c r="FG125" s="563">
        <f t="shared" si="401"/>
        <v>2713.6125645238099</v>
      </c>
      <c r="FH125" s="563">
        <f t="shared" si="402"/>
        <v>2128.2505645238098</v>
      </c>
      <c r="FI125" s="563">
        <f t="shared" si="403"/>
        <v>585.36199999999997</v>
      </c>
      <c r="FJ125" s="563">
        <f t="shared" si="404"/>
        <v>12588.811</v>
      </c>
      <c r="FK125" s="563">
        <f t="shared" si="405"/>
        <v>9662.0010000000002</v>
      </c>
      <c r="FL125" s="563">
        <f t="shared" si="406"/>
        <v>2926.81</v>
      </c>
      <c r="FM125" s="529"/>
      <c r="FN125" s="564" t="s">
        <v>2649</v>
      </c>
      <c r="FO125" s="740">
        <v>6.3299999999999995E-2</v>
      </c>
      <c r="FP125" s="741">
        <v>0.82369999999999999</v>
      </c>
      <c r="FQ125" s="565" t="s">
        <v>4759</v>
      </c>
      <c r="FR125" s="529"/>
      <c r="FS125" s="867">
        <v>3.76</v>
      </c>
      <c r="FT125" s="566">
        <f>RANK($FS125,$FS$8:$FS$154,0)+COUNTIF($FS$8:$FS125,$FS125)-1</f>
        <v>19</v>
      </c>
      <c r="FU125" s="867">
        <v>4.62</v>
      </c>
      <c r="FV125" s="566">
        <f>RANK($FU125,$FU$8:$FU$154,0)+COUNTIF($FU$8:$FU125,$FU125)-1</f>
        <v>9</v>
      </c>
      <c r="FW125" s="867">
        <v>2.2200000000000002</v>
      </c>
      <c r="FX125" s="566">
        <f>RANK($FW125,$FW$8:$FW$154,0)+COUNTIF($FW$8:$FW125,$FW125)-1</f>
        <v>68</v>
      </c>
      <c r="FY125" s="529"/>
      <c r="FZ125" s="567" t="s">
        <v>4760</v>
      </c>
      <c r="GA125" s="567" t="s">
        <v>4802</v>
      </c>
      <c r="GB125" s="567" t="s">
        <v>2653</v>
      </c>
      <c r="GC125" s="567" t="s">
        <v>2654</v>
      </c>
      <c r="GD125" s="567" t="s">
        <v>2655</v>
      </c>
      <c r="GE125" s="567" t="s">
        <v>2656</v>
      </c>
      <c r="GF125" s="567" t="str">
        <f t="shared" si="449"/>
        <v>https://www.statistiques.developpement-durable.gouv.fr/construction-de-locaux-resultats-fin-janvier-2026-france-entiere
https://www.insee.fr/fr/statistiques/8671745
https://www.insee.fr/fr/statistiques/8906564</v>
      </c>
      <c r="GG125" s="529"/>
      <c r="GH125" s="563">
        <f t="shared" si="407"/>
        <v>1321.2854600000001</v>
      </c>
      <c r="GI125" s="563">
        <f t="shared" si="337"/>
        <v>1063.7261800000001</v>
      </c>
      <c r="GJ125" s="563">
        <f t="shared" si="408"/>
        <v>257.55928</v>
      </c>
      <c r="GK125" s="563">
        <f t="shared" si="409"/>
        <v>9683.51188</v>
      </c>
      <c r="GL125" s="563">
        <f t="shared" si="338"/>
        <v>7236.6987200000003</v>
      </c>
      <c r="GM125" s="563">
        <f t="shared" si="410"/>
        <v>2446.8131600000002</v>
      </c>
      <c r="GN125" s="563">
        <f t="shared" si="411"/>
        <v>1414.6695199999999</v>
      </c>
      <c r="GO125" s="563">
        <f t="shared" si="339"/>
        <v>1092.7204199999999</v>
      </c>
      <c r="GP125" s="563">
        <f t="shared" si="412"/>
        <v>321.94910000000004</v>
      </c>
      <c r="GQ125" s="563">
        <f t="shared" si="413"/>
        <v>831.40516799999989</v>
      </c>
      <c r="GR125" s="563">
        <f t="shared" si="340"/>
        <v>638.23570799999993</v>
      </c>
      <c r="GS125" s="563">
        <f t="shared" si="414"/>
        <v>193.16945999999999</v>
      </c>
      <c r="GT125" s="563">
        <f t="shared" si="415"/>
        <v>221.38088249999998</v>
      </c>
      <c r="GU125" s="563">
        <f t="shared" si="341"/>
        <v>186.25916249999997</v>
      </c>
      <c r="GV125" s="563">
        <f t="shared" si="416"/>
        <v>35.121719999999996</v>
      </c>
      <c r="GW125" s="563">
        <f t="shared" si="417"/>
        <v>1233.3806200000001</v>
      </c>
      <c r="GX125" s="563">
        <f t="shared" si="342"/>
        <v>993.38220000000013</v>
      </c>
      <c r="GY125" s="563">
        <f t="shared" si="418"/>
        <v>239.99841999999998</v>
      </c>
      <c r="GZ125" s="563">
        <f t="shared" si="419"/>
        <v>89.281595714285714</v>
      </c>
      <c r="HA125" s="563">
        <f t="shared" si="343"/>
        <v>71.720735714285709</v>
      </c>
      <c r="HB125" s="563">
        <f t="shared" si="420"/>
        <v>17.560859999999998</v>
      </c>
      <c r="HC125" s="563">
        <f t="shared" si="421"/>
        <v>147.58725500000003</v>
      </c>
      <c r="HD125" s="563">
        <f t="shared" si="344"/>
        <v>124.17277500000002</v>
      </c>
      <c r="HE125" s="563">
        <f t="shared" si="422"/>
        <v>23.414479999999998</v>
      </c>
      <c r="HF125" s="563">
        <f t="shared" si="423"/>
        <v>1385.6752800000002</v>
      </c>
      <c r="HG125" s="563">
        <f t="shared" si="345"/>
        <v>1063.7261800000001</v>
      </c>
      <c r="HH125" s="563">
        <f t="shared" si="424"/>
        <v>321.94909999999999</v>
      </c>
      <c r="HI125" s="563">
        <f t="shared" si="425"/>
        <v>357.12638285714286</v>
      </c>
      <c r="HJ125" s="563">
        <f t="shared" si="346"/>
        <v>286.88294285714284</v>
      </c>
      <c r="HK125" s="563">
        <f t="shared" si="426"/>
        <v>70.243439999999993</v>
      </c>
      <c r="HL125" s="563">
        <f t="shared" si="427"/>
        <v>823.22364666666658</v>
      </c>
      <c r="HM125" s="563">
        <f t="shared" si="347"/>
        <v>653.46866666666665</v>
      </c>
      <c r="HN125" s="563">
        <f t="shared" si="428"/>
        <v>169.75497999999999</v>
      </c>
      <c r="HO125" s="563">
        <f t="shared" si="429"/>
        <v>2856.5809999999997</v>
      </c>
      <c r="HP125" s="563">
        <f t="shared" si="348"/>
        <v>2417.5594999999998</v>
      </c>
      <c r="HQ125" s="563">
        <f t="shared" si="430"/>
        <v>439.0215</v>
      </c>
      <c r="HR125" s="563">
        <f t="shared" si="431"/>
        <v>6458.5358000000006</v>
      </c>
      <c r="HS125" s="563">
        <f t="shared" si="349"/>
        <v>4760.9860000000008</v>
      </c>
      <c r="HT125" s="563">
        <f t="shared" si="432"/>
        <v>1697.5497999999998</v>
      </c>
      <c r="HU125" s="563">
        <f t="shared" si="433"/>
        <v>3273.6942000000004</v>
      </c>
      <c r="HV125" s="563">
        <f t="shared" si="350"/>
        <v>2483.4555000000005</v>
      </c>
      <c r="HW125" s="563">
        <f t="shared" si="434"/>
        <v>790.23869999999999</v>
      </c>
      <c r="HX125" s="544"/>
      <c r="HY125" s="568">
        <f t="shared" si="435"/>
        <v>61679.999999999993</v>
      </c>
      <c r="HZ125" s="568">
        <f t="shared" si="436"/>
        <v>3372.3540000000003</v>
      </c>
      <c r="IA125" s="568">
        <f t="shared" si="437"/>
        <v>30085.190999999999</v>
      </c>
      <c r="IB125" s="568">
        <f t="shared" si="438"/>
        <v>24481.048999999999</v>
      </c>
      <c r="IC125" s="568">
        <f t="shared" si="439"/>
        <v>3245.6530000000002</v>
      </c>
      <c r="ID125" s="568">
        <f t="shared" si="440"/>
        <v>495.75299999999993</v>
      </c>
      <c r="IE125" s="568">
        <f t="shared" si="441"/>
        <v>23072.994690738095</v>
      </c>
      <c r="IF125" s="568">
        <f t="shared" si="442"/>
        <v>794.02554701027157</v>
      </c>
      <c r="IG125" s="568">
        <f t="shared" si="443"/>
        <v>10704.190966302031</v>
      </c>
      <c r="IH125" s="568">
        <f t="shared" si="444"/>
        <v>9606.0459907983823</v>
      </c>
      <c r="II125" s="568">
        <f t="shared" si="445"/>
        <v>1678.9698079686455</v>
      </c>
      <c r="IJ125" s="568">
        <f t="shared" si="446"/>
        <v>289.76237865876431</v>
      </c>
      <c r="IK125" s="868">
        <v>4.1500000000000004</v>
      </c>
      <c r="IL125" s="569" t="s">
        <v>2589</v>
      </c>
      <c r="IM125" s="570" t="s">
        <v>4803</v>
      </c>
      <c r="IN125" s="529"/>
      <c r="IO125" s="742">
        <v>0.05</v>
      </c>
      <c r="IP125" s="742">
        <v>0.47</v>
      </c>
      <c r="IQ125" s="742">
        <v>0.41</v>
      </c>
      <c r="IR125" s="742">
        <v>0.06</v>
      </c>
      <c r="IS125" s="742">
        <v>0.01</v>
      </c>
      <c r="IT125" s="742">
        <v>2.9399999999999999E-2</v>
      </c>
      <c r="IU125" s="742">
        <v>0.44479999999999997</v>
      </c>
      <c r="IV125" s="742">
        <v>0.43059999999999998</v>
      </c>
      <c r="IW125" s="742">
        <v>8.0600000000000005E-2</v>
      </c>
      <c r="IX125" s="742">
        <v>1.46E-2</v>
      </c>
      <c r="IY125" s="742">
        <v>5.16E-2</v>
      </c>
      <c r="IZ125" s="742">
        <v>0.48530000000000001</v>
      </c>
      <c r="JA125" s="742">
        <v>0.40310000000000001</v>
      </c>
      <c r="JB125" s="742">
        <v>5.0099999999999999E-2</v>
      </c>
      <c r="JC125" s="742">
        <v>9.9000000000000008E-3</v>
      </c>
      <c r="JD125" s="742">
        <v>3.1E-2</v>
      </c>
      <c r="JE125" s="742">
        <v>0.46010000000000001</v>
      </c>
      <c r="JF125" s="742">
        <v>0.42370000000000002</v>
      </c>
      <c r="JG125" s="742">
        <v>7.0699999999999999E-2</v>
      </c>
      <c r="JH125" s="742">
        <v>1.4500000000000001E-2</v>
      </c>
      <c r="JI125" s="742">
        <v>8.48E-2</v>
      </c>
      <c r="JJ125" s="742">
        <v>0.59799999999999998</v>
      </c>
      <c r="JK125" s="742">
        <v>0.2898</v>
      </c>
      <c r="JL125" s="742">
        <v>2.5399999999999999E-2</v>
      </c>
      <c r="JM125" s="742">
        <v>2E-3</v>
      </c>
      <c r="JN125" s="742">
        <v>6.4199999999999993E-2</v>
      </c>
      <c r="JO125" s="742">
        <v>0.57279999999999998</v>
      </c>
      <c r="JP125" s="742">
        <v>0.31040000000000001</v>
      </c>
      <c r="JQ125" s="742">
        <v>4.5999999999999999E-2</v>
      </c>
      <c r="JR125" s="742">
        <v>6.6E-3</v>
      </c>
      <c r="JS125" s="742">
        <v>5.4100000000000002E-2</v>
      </c>
      <c r="JT125" s="742">
        <v>0.48549999999999999</v>
      </c>
      <c r="JU125" s="742">
        <v>0.40329999999999999</v>
      </c>
      <c r="JV125" s="742">
        <v>5.0200000000000002E-2</v>
      </c>
      <c r="JW125" s="742">
        <v>6.8999999999999999E-3</v>
      </c>
      <c r="JX125" s="742">
        <v>3.3500000000000002E-2</v>
      </c>
      <c r="JY125" s="742">
        <v>0.46029999999999999</v>
      </c>
      <c r="JZ125" s="742">
        <v>0.4239</v>
      </c>
      <c r="KA125" s="742">
        <v>7.0800000000000002E-2</v>
      </c>
      <c r="KB125" s="742">
        <v>1.15E-2</v>
      </c>
      <c r="KC125" s="657"/>
      <c r="KD125" s="832" t="s">
        <v>2590</v>
      </c>
      <c r="KE125" s="832" t="s">
        <v>2590</v>
      </c>
      <c r="KF125" s="869">
        <v>4.0999999999999996</v>
      </c>
      <c r="KG125" s="832" t="s">
        <v>2589</v>
      </c>
      <c r="KH125" s="833" t="s">
        <v>4763</v>
      </c>
      <c r="KI125" s="832" t="s">
        <v>4764</v>
      </c>
      <c r="KJ125" s="833" t="s">
        <v>4804</v>
      </c>
    </row>
    <row r="126" spans="1:296" ht="48" hidden="1" customHeight="1">
      <c r="A126" s="273">
        <f t="shared" si="447"/>
        <v>119</v>
      </c>
      <c r="B126" s="274" t="s">
        <v>2285</v>
      </c>
      <c r="C126" s="274" t="s">
        <v>4711</v>
      </c>
      <c r="D126" s="274" t="s">
        <v>664</v>
      </c>
      <c r="E126" s="275" t="s">
        <v>2117</v>
      </c>
      <c r="F126" s="275" t="s">
        <v>4713</v>
      </c>
      <c r="G126" s="275" t="s">
        <v>2121</v>
      </c>
      <c r="H126" s="275" t="s">
        <v>2096</v>
      </c>
      <c r="I126" s="276" t="s">
        <v>4805</v>
      </c>
      <c r="J126" s="276" t="s">
        <v>4806</v>
      </c>
      <c r="K126" s="277" t="s">
        <v>2097</v>
      </c>
      <c r="L126" s="277" t="s">
        <v>2109</v>
      </c>
      <c r="M126" s="277" t="s">
        <v>2603</v>
      </c>
      <c r="N126" s="277" t="s">
        <v>2099</v>
      </c>
      <c r="O126" s="275" t="s">
        <v>2616</v>
      </c>
      <c r="P126" s="276"/>
      <c r="Q126" s="270">
        <v>1</v>
      </c>
      <c r="R126" s="278">
        <v>320</v>
      </c>
      <c r="S126" s="279">
        <v>620</v>
      </c>
      <c r="T126" s="279">
        <v>635</v>
      </c>
      <c r="U126" s="279">
        <v>650</v>
      </c>
      <c r="V126" s="279">
        <v>665</v>
      </c>
      <c r="W126" s="279">
        <v>670</v>
      </c>
      <c r="X126" s="279">
        <v>675</v>
      </c>
      <c r="Y126" s="279">
        <v>680</v>
      </c>
      <c r="Z126" s="279">
        <v>685</v>
      </c>
      <c r="AA126" s="279">
        <v>687</v>
      </c>
      <c r="AB126" s="279">
        <v>690</v>
      </c>
      <c r="AC126" s="279">
        <v>693</v>
      </c>
      <c r="AD126" s="279">
        <v>696</v>
      </c>
      <c r="AE126" s="279">
        <v>699</v>
      </c>
      <c r="AF126" s="279">
        <v>702</v>
      </c>
      <c r="AG126" s="279">
        <v>704</v>
      </c>
      <c r="AH126" s="279">
        <v>706</v>
      </c>
      <c r="AI126" s="279">
        <v>708</v>
      </c>
      <c r="AJ126" s="279">
        <v>710</v>
      </c>
      <c r="AK126" s="279">
        <v>712</v>
      </c>
      <c r="AL126" s="276" t="s">
        <v>4807</v>
      </c>
      <c r="AM126" s="276" t="s">
        <v>4808</v>
      </c>
      <c r="AN126" s="276" t="s">
        <v>3130</v>
      </c>
      <c r="AO126" s="657"/>
      <c r="AP126" s="278">
        <v>80</v>
      </c>
      <c r="AQ126" s="278">
        <v>64</v>
      </c>
      <c r="AR126" s="278">
        <v>12</v>
      </c>
      <c r="AS126" s="278">
        <v>4</v>
      </c>
      <c r="AT126" s="657"/>
      <c r="AU126" s="281" t="s">
        <v>4809</v>
      </c>
      <c r="AV126" s="296" t="s">
        <v>4810</v>
      </c>
      <c r="AW126" s="296" t="s">
        <v>3459</v>
      </c>
      <c r="AX126" s="276" t="s">
        <v>4796</v>
      </c>
      <c r="AY126" s="657"/>
      <c r="AZ126" s="947">
        <v>6</v>
      </c>
      <c r="BA126" s="947">
        <v>6</v>
      </c>
      <c r="BB126" s="947">
        <v>1</v>
      </c>
      <c r="BC126" s="947">
        <v>5</v>
      </c>
      <c r="BD126" s="826">
        <f t="shared" si="352"/>
        <v>12636</v>
      </c>
      <c r="BE126" s="283">
        <f t="shared" si="353"/>
        <v>4212</v>
      </c>
      <c r="BF126" s="283">
        <f t="shared" si="354"/>
        <v>4212</v>
      </c>
      <c r="BG126" s="283">
        <f t="shared" si="355"/>
        <v>702</v>
      </c>
      <c r="BH126" s="283">
        <f t="shared" si="356"/>
        <v>3510</v>
      </c>
      <c r="BI126" s="826">
        <f t="shared" si="357"/>
        <v>12816</v>
      </c>
      <c r="BJ126" s="283">
        <f t="shared" si="358"/>
        <v>4272</v>
      </c>
      <c r="BK126" s="283">
        <f t="shared" si="359"/>
        <v>4272</v>
      </c>
      <c r="BL126" s="283">
        <f t="shared" si="360"/>
        <v>712</v>
      </c>
      <c r="BM126" s="283">
        <f t="shared" si="361"/>
        <v>3560</v>
      </c>
      <c r="BN126" s="657"/>
      <c r="BO126" s="305">
        <v>0.1</v>
      </c>
      <c r="BP126" s="305">
        <v>0.76</v>
      </c>
      <c r="BQ126" s="305">
        <v>0.08</v>
      </c>
      <c r="BR126" s="581">
        <v>0.06</v>
      </c>
      <c r="BS126" s="706">
        <v>0.08</v>
      </c>
      <c r="BT126" s="305">
        <v>0.76</v>
      </c>
      <c r="BU126" s="305">
        <v>0.1</v>
      </c>
      <c r="BV126" s="581">
        <v>0.06</v>
      </c>
      <c r="BW126" s="713">
        <v>0.15</v>
      </c>
      <c r="BX126" s="306">
        <v>0.8</v>
      </c>
      <c r="BY126" s="590">
        <v>0.05</v>
      </c>
      <c r="BZ126" s="713">
        <v>0.12</v>
      </c>
      <c r="CA126" s="306">
        <v>0.82</v>
      </c>
      <c r="CB126" s="590">
        <v>0.06</v>
      </c>
      <c r="CC126" s="706">
        <v>0.05</v>
      </c>
      <c r="CD126" s="305">
        <v>0.55000000000000004</v>
      </c>
      <c r="CE126" s="305">
        <v>0.1</v>
      </c>
      <c r="CF126" s="581">
        <v>0.3</v>
      </c>
      <c r="CG126" s="706">
        <v>0.04</v>
      </c>
      <c r="CH126" s="305">
        <v>0.55000000000000004</v>
      </c>
      <c r="CI126" s="305">
        <v>0.12</v>
      </c>
      <c r="CJ126" s="581">
        <v>0.28999999999999998</v>
      </c>
      <c r="CK126" s="719">
        <v>0.25</v>
      </c>
      <c r="CL126" s="307">
        <v>0.55000000000000004</v>
      </c>
      <c r="CM126" s="723">
        <v>0.2</v>
      </c>
      <c r="CN126" s="719">
        <v>0.15</v>
      </c>
      <c r="CO126" s="307">
        <v>0.57999999999999996</v>
      </c>
      <c r="CP126" s="723">
        <v>0.27</v>
      </c>
      <c r="CQ126" s="657"/>
      <c r="CR126" s="804">
        <v>10</v>
      </c>
      <c r="CS126" s="805">
        <v>11</v>
      </c>
      <c r="CT126" s="805">
        <v>8</v>
      </c>
      <c r="CU126" s="806">
        <v>10</v>
      </c>
      <c r="CV126" s="804">
        <v>8</v>
      </c>
      <c r="CW126" s="805">
        <v>8</v>
      </c>
      <c r="CX126" s="806">
        <v>7</v>
      </c>
      <c r="CY126" s="804">
        <v>8</v>
      </c>
      <c r="CZ126" s="805">
        <v>10</v>
      </c>
      <c r="DA126" s="805">
        <v>7</v>
      </c>
      <c r="DB126" s="806">
        <v>9</v>
      </c>
      <c r="DC126" s="804">
        <v>10</v>
      </c>
      <c r="DD126" s="805">
        <v>11</v>
      </c>
      <c r="DE126" s="806">
        <v>8</v>
      </c>
      <c r="DF126" s="609" t="s">
        <v>4811</v>
      </c>
      <c r="DG126" s="657"/>
      <c r="DH126" s="308">
        <f t="shared" si="362"/>
        <v>421.20000000000005</v>
      </c>
      <c r="DI126" s="308">
        <f t="shared" si="363"/>
        <v>3201.12</v>
      </c>
      <c r="DJ126" s="308">
        <f t="shared" si="364"/>
        <v>336.96</v>
      </c>
      <c r="DK126" s="308">
        <f t="shared" si="365"/>
        <v>252.72</v>
      </c>
      <c r="DL126" s="287" t="s">
        <v>4812</v>
      </c>
      <c r="DM126" s="308">
        <f t="shared" si="366"/>
        <v>341.76</v>
      </c>
      <c r="DN126" s="308">
        <f t="shared" si="367"/>
        <v>3246.7200000000003</v>
      </c>
      <c r="DO126" s="308">
        <f t="shared" si="368"/>
        <v>427.20000000000005</v>
      </c>
      <c r="DP126" s="308">
        <f t="shared" si="369"/>
        <v>256.32</v>
      </c>
      <c r="DQ126" s="289" t="s">
        <v>2644</v>
      </c>
      <c r="DR126" s="657"/>
      <c r="DS126" s="308">
        <f t="shared" si="370"/>
        <v>631.79999999999995</v>
      </c>
      <c r="DT126" s="308">
        <f t="shared" si="371"/>
        <v>3369.6000000000004</v>
      </c>
      <c r="DU126" s="308">
        <f t="shared" si="372"/>
        <v>210.60000000000002</v>
      </c>
      <c r="DV126" s="289" t="s">
        <v>4813</v>
      </c>
      <c r="DW126" s="308">
        <f t="shared" si="373"/>
        <v>512.64</v>
      </c>
      <c r="DX126" s="308">
        <f t="shared" si="374"/>
        <v>3503.04</v>
      </c>
      <c r="DY126" s="308">
        <f t="shared" si="375"/>
        <v>256.32</v>
      </c>
      <c r="DZ126" s="289" t="s">
        <v>2981</v>
      </c>
      <c r="EA126" s="657"/>
      <c r="EB126" s="308">
        <f t="shared" si="376"/>
        <v>35.1</v>
      </c>
      <c r="EC126" s="308">
        <f t="shared" si="377"/>
        <v>386.1</v>
      </c>
      <c r="ED126" s="308">
        <f t="shared" si="378"/>
        <v>70.2</v>
      </c>
      <c r="EE126" s="308">
        <f t="shared" si="379"/>
        <v>210.6</v>
      </c>
      <c r="EF126" s="289" t="s">
        <v>4814</v>
      </c>
      <c r="EG126" s="308">
        <f t="shared" si="380"/>
        <v>28.48</v>
      </c>
      <c r="EH126" s="308">
        <f t="shared" si="381"/>
        <v>391.6</v>
      </c>
      <c r="EI126" s="308">
        <f t="shared" si="382"/>
        <v>85.44</v>
      </c>
      <c r="EJ126" s="308">
        <f t="shared" si="383"/>
        <v>206.48</v>
      </c>
      <c r="EK126" s="309" t="s">
        <v>2983</v>
      </c>
      <c r="EL126" s="657"/>
      <c r="EM126" s="308">
        <f t="shared" si="384"/>
        <v>877.5</v>
      </c>
      <c r="EN126" s="310">
        <f t="shared" si="385"/>
        <v>1930.5000000000002</v>
      </c>
      <c r="EO126" s="310">
        <f t="shared" si="386"/>
        <v>702</v>
      </c>
      <c r="EP126" s="289" t="s">
        <v>4815</v>
      </c>
      <c r="EQ126" s="308">
        <f t="shared" si="387"/>
        <v>534</v>
      </c>
      <c r="ER126" s="310">
        <f t="shared" si="388"/>
        <v>2064.7999999999997</v>
      </c>
      <c r="ES126" s="310">
        <f t="shared" si="389"/>
        <v>961.2</v>
      </c>
      <c r="ET126" s="289" t="s">
        <v>2985</v>
      </c>
      <c r="EU126" s="657"/>
      <c r="EV126" s="728">
        <f t="shared" si="390"/>
        <v>0.84720496404669177</v>
      </c>
      <c r="EW126" s="728">
        <f t="shared" si="391"/>
        <v>0.15279503595330823</v>
      </c>
      <c r="EX126" s="311">
        <f t="shared" si="392"/>
        <v>6412.8968188431818</v>
      </c>
      <c r="EY126" s="311">
        <f t="shared" si="393"/>
        <v>5433.0380188431818</v>
      </c>
      <c r="EZ126" s="311">
        <f t="shared" si="394"/>
        <v>979.85879999999997</v>
      </c>
      <c r="FA126" s="311">
        <f t="shared" si="395"/>
        <v>1917.4338062181816</v>
      </c>
      <c r="FB126" s="311">
        <f t="shared" si="396"/>
        <v>1590.8142062181817</v>
      </c>
      <c r="FC126" s="311">
        <f t="shared" si="397"/>
        <v>326.61959999999999</v>
      </c>
      <c r="FD126" s="311">
        <f t="shared" si="398"/>
        <v>2464.3990987500001</v>
      </c>
      <c r="FE126" s="311">
        <f t="shared" si="399"/>
        <v>2137.7794987500001</v>
      </c>
      <c r="FF126" s="311">
        <f t="shared" si="400"/>
        <v>326.61959999999999</v>
      </c>
      <c r="FG126" s="311">
        <f t="shared" si="401"/>
        <v>360.444238875</v>
      </c>
      <c r="FH126" s="311">
        <f t="shared" si="402"/>
        <v>306.007638875</v>
      </c>
      <c r="FI126" s="311">
        <f t="shared" si="403"/>
        <v>54.436599999999999</v>
      </c>
      <c r="FJ126" s="311">
        <f t="shared" si="404"/>
        <v>1670.6196750000001</v>
      </c>
      <c r="FK126" s="311">
        <f t="shared" si="405"/>
        <v>1398.4366750000002</v>
      </c>
      <c r="FL126" s="311">
        <f t="shared" si="406"/>
        <v>272.18299999999999</v>
      </c>
      <c r="FM126" s="657"/>
      <c r="FN126" s="293" t="s">
        <v>2649</v>
      </c>
      <c r="FO126" s="728">
        <v>6.3299999999999995E-2</v>
      </c>
      <c r="FP126" s="729">
        <v>0.82369999999999999</v>
      </c>
      <c r="FQ126" s="294" t="s">
        <v>4759</v>
      </c>
      <c r="FR126" s="657"/>
      <c r="FS126" s="865">
        <v>3.76</v>
      </c>
      <c r="FT126" s="312">
        <f>RANK($FS126,$FS$8:$FS$154,0)+COUNTIF($FS$8:$FS126,$FS126)-1</f>
        <v>20</v>
      </c>
      <c r="FU126" s="865">
        <v>4.62</v>
      </c>
      <c r="FV126" s="312">
        <f>RANK($FU126,$FU$8:$FU$154,0)+COUNTIF($FU$8:$FU126,$FU126)-1</f>
        <v>10</v>
      </c>
      <c r="FW126" s="865">
        <v>2.2200000000000002</v>
      </c>
      <c r="FX126" s="312">
        <f>RANK($FW126,$FW$8:$FW$154,0)+COUNTIF($FW$8:$FW126,$FW126)-1</f>
        <v>69</v>
      </c>
      <c r="FY126" s="657"/>
      <c r="FZ126" s="296" t="s">
        <v>4760</v>
      </c>
      <c r="GA126" s="296" t="s">
        <v>4816</v>
      </c>
      <c r="GB126" s="296" t="s">
        <v>2653</v>
      </c>
      <c r="GC126" s="296" t="s">
        <v>2654</v>
      </c>
      <c r="GD126" s="296" t="s">
        <v>2655</v>
      </c>
      <c r="GE126" s="296" t="s">
        <v>2656</v>
      </c>
      <c r="GF126" s="296" t="str">
        <f t="shared" si="449"/>
        <v>https://www.statistiques.developpement-durable.gouv.fr/construction-de-locaux-resultats-fin-janvier-2026-france-entiere
https://www.insee.fr/fr/statistiques/8671745
https://www.insee.fr/fr/statistiques/8906564</v>
      </c>
      <c r="GG126" s="657"/>
      <c r="GH126" s="311">
        <f t="shared" si="407"/>
        <v>194.01610200000005</v>
      </c>
      <c r="GI126" s="311">
        <f t="shared" si="337"/>
        <v>167.88653400000004</v>
      </c>
      <c r="GJ126" s="311">
        <f t="shared" si="408"/>
        <v>26.129567999999999</v>
      </c>
      <c r="GK126" s="311">
        <f t="shared" si="409"/>
        <v>1400.6620778181816</v>
      </c>
      <c r="GL126" s="311">
        <f t="shared" si="338"/>
        <v>1152.4311818181816</v>
      </c>
      <c r="GM126" s="311">
        <f t="shared" si="410"/>
        <v>248.230896</v>
      </c>
      <c r="GN126" s="311">
        <f t="shared" si="411"/>
        <v>202.42652999999999</v>
      </c>
      <c r="GO126" s="311">
        <f t="shared" si="339"/>
        <v>169.76456999999999</v>
      </c>
      <c r="GP126" s="311">
        <f t="shared" si="412"/>
        <v>32.661960000000001</v>
      </c>
      <c r="GQ126" s="311">
        <f t="shared" si="413"/>
        <v>120.3290964</v>
      </c>
      <c r="GR126" s="311">
        <f t="shared" si="340"/>
        <v>100.73192039999999</v>
      </c>
      <c r="GS126" s="311">
        <f t="shared" si="414"/>
        <v>19.597175999999997</v>
      </c>
      <c r="GT126" s="311">
        <f t="shared" si="415"/>
        <v>357.50292074999993</v>
      </c>
      <c r="GU126" s="311">
        <f t="shared" si="341"/>
        <v>318.30856874999995</v>
      </c>
      <c r="GV126" s="311">
        <f t="shared" si="416"/>
        <v>39.194351999999995</v>
      </c>
      <c r="GW126" s="311">
        <f t="shared" si="417"/>
        <v>1965.4737720000003</v>
      </c>
      <c r="GX126" s="311">
        <f t="shared" si="342"/>
        <v>1697.6457000000003</v>
      </c>
      <c r="GY126" s="311">
        <f t="shared" si="418"/>
        <v>267.82807199999996</v>
      </c>
      <c r="GZ126" s="311">
        <f t="shared" si="419"/>
        <v>141.42240600000002</v>
      </c>
      <c r="HA126" s="311">
        <f t="shared" si="343"/>
        <v>121.82523000000002</v>
      </c>
      <c r="HB126" s="311">
        <f t="shared" si="420"/>
        <v>19.597175999999997</v>
      </c>
      <c r="HC126" s="311">
        <f t="shared" si="421"/>
        <v>19.861273375000003</v>
      </c>
      <c r="HD126" s="311">
        <f t="shared" si="344"/>
        <v>17.683809375000003</v>
      </c>
      <c r="HE126" s="311">
        <f t="shared" si="422"/>
        <v>2.1774640000000001</v>
      </c>
      <c r="HF126" s="311">
        <f t="shared" si="423"/>
        <v>183.83611950000002</v>
      </c>
      <c r="HG126" s="311">
        <f t="shared" si="345"/>
        <v>153.89598950000001</v>
      </c>
      <c r="HH126" s="311">
        <f t="shared" si="424"/>
        <v>29.94013</v>
      </c>
      <c r="HI126" s="311">
        <f t="shared" si="425"/>
        <v>47.140802000000001</v>
      </c>
      <c r="HJ126" s="311">
        <f t="shared" si="346"/>
        <v>40.608409999999999</v>
      </c>
      <c r="HK126" s="311">
        <f t="shared" si="426"/>
        <v>6.5323919999999998</v>
      </c>
      <c r="HL126" s="311">
        <f t="shared" si="427"/>
        <v>109.606044</v>
      </c>
      <c r="HM126" s="311">
        <f t="shared" si="347"/>
        <v>93.819429999999997</v>
      </c>
      <c r="HN126" s="311">
        <f t="shared" si="428"/>
        <v>15.786613999999998</v>
      </c>
      <c r="HO126" s="311">
        <f t="shared" si="429"/>
        <v>390.59106250000002</v>
      </c>
      <c r="HP126" s="311">
        <f t="shared" si="348"/>
        <v>349.76361250000002</v>
      </c>
      <c r="HQ126" s="311">
        <f t="shared" si="430"/>
        <v>40.827449999999999</v>
      </c>
      <c r="HR126" s="311">
        <f t="shared" si="431"/>
        <v>852.86301500000013</v>
      </c>
      <c r="HS126" s="311">
        <f t="shared" si="349"/>
        <v>694.99687500000016</v>
      </c>
      <c r="HT126" s="311">
        <f t="shared" si="432"/>
        <v>157.86613999999997</v>
      </c>
      <c r="HU126" s="311">
        <f t="shared" si="433"/>
        <v>427.16559750000005</v>
      </c>
      <c r="HV126" s="311">
        <f t="shared" si="350"/>
        <v>353.67618750000003</v>
      </c>
      <c r="HW126" s="311">
        <f t="shared" si="434"/>
        <v>73.489410000000007</v>
      </c>
      <c r="HY126" s="313">
        <f t="shared" si="435"/>
        <v>12636</v>
      </c>
      <c r="HZ126" s="313">
        <f t="shared" si="436"/>
        <v>677.35980000000006</v>
      </c>
      <c r="IA126" s="313">
        <f t="shared" si="437"/>
        <v>6147.6245999999992</v>
      </c>
      <c r="IB126" s="313">
        <f t="shared" si="438"/>
        <v>5043.7998000000007</v>
      </c>
      <c r="IC126" s="313">
        <f t="shared" si="439"/>
        <v>657.774</v>
      </c>
      <c r="ID126" s="313">
        <f t="shared" si="440"/>
        <v>109.4418</v>
      </c>
      <c r="IE126" s="313">
        <f t="shared" si="441"/>
        <v>5433.0380188431818</v>
      </c>
      <c r="IF126" s="313">
        <f t="shared" si="442"/>
        <v>179.53442115233958</v>
      </c>
      <c r="IG126" s="313">
        <f t="shared" si="443"/>
        <v>2510.1680833508221</v>
      </c>
      <c r="IH126" s="313">
        <f t="shared" si="444"/>
        <v>2278.5638484572241</v>
      </c>
      <c r="II126" s="313">
        <f t="shared" si="445"/>
        <v>392.44630356106046</v>
      </c>
      <c r="IJ126" s="313">
        <f t="shared" si="446"/>
        <v>72.325362321735454</v>
      </c>
      <c r="IK126" s="866">
        <v>4.1500000000000004</v>
      </c>
      <c r="IL126" s="314" t="s">
        <v>2589</v>
      </c>
      <c r="IM126" s="299" t="s">
        <v>4817</v>
      </c>
      <c r="IN126" s="657"/>
      <c r="IO126" s="730">
        <v>0.05</v>
      </c>
      <c r="IP126" s="730">
        <v>0.47</v>
      </c>
      <c r="IQ126" s="730">
        <v>0.41</v>
      </c>
      <c r="IR126" s="730">
        <v>0.06</v>
      </c>
      <c r="IS126" s="730">
        <v>0.01</v>
      </c>
      <c r="IT126" s="730">
        <v>2.9399999999999999E-2</v>
      </c>
      <c r="IU126" s="730">
        <v>0.44479999999999997</v>
      </c>
      <c r="IV126" s="730">
        <v>0.43059999999999998</v>
      </c>
      <c r="IW126" s="730">
        <v>8.0600000000000005E-2</v>
      </c>
      <c r="IX126" s="730">
        <v>1.46E-2</v>
      </c>
      <c r="IY126" s="730">
        <v>5.16E-2</v>
      </c>
      <c r="IZ126" s="730">
        <v>0.48530000000000001</v>
      </c>
      <c r="JA126" s="730">
        <v>0.40310000000000001</v>
      </c>
      <c r="JB126" s="730">
        <v>5.0099999999999999E-2</v>
      </c>
      <c r="JC126" s="730">
        <v>9.9000000000000008E-3</v>
      </c>
      <c r="JD126" s="730">
        <v>3.1E-2</v>
      </c>
      <c r="JE126" s="730">
        <v>0.46010000000000001</v>
      </c>
      <c r="JF126" s="730">
        <v>0.42370000000000002</v>
      </c>
      <c r="JG126" s="730">
        <v>7.0699999999999999E-2</v>
      </c>
      <c r="JH126" s="730">
        <v>1.4500000000000001E-2</v>
      </c>
      <c r="JI126" s="730">
        <v>8.48E-2</v>
      </c>
      <c r="JJ126" s="730">
        <v>0.59799999999999998</v>
      </c>
      <c r="JK126" s="730">
        <v>0.2898</v>
      </c>
      <c r="JL126" s="730">
        <v>2.5399999999999999E-2</v>
      </c>
      <c r="JM126" s="730">
        <v>2E-3</v>
      </c>
      <c r="JN126" s="730">
        <v>6.4199999999999993E-2</v>
      </c>
      <c r="JO126" s="730">
        <v>0.57279999999999998</v>
      </c>
      <c r="JP126" s="730">
        <v>0.31040000000000001</v>
      </c>
      <c r="JQ126" s="730">
        <v>4.5999999999999999E-2</v>
      </c>
      <c r="JR126" s="730">
        <v>6.6E-3</v>
      </c>
      <c r="JS126" s="730">
        <v>5.4100000000000002E-2</v>
      </c>
      <c r="JT126" s="730">
        <v>0.48549999999999999</v>
      </c>
      <c r="JU126" s="730">
        <v>0.40329999999999999</v>
      </c>
      <c r="JV126" s="730">
        <v>5.0200000000000002E-2</v>
      </c>
      <c r="JW126" s="730">
        <v>6.8999999999999999E-3</v>
      </c>
      <c r="JX126" s="730">
        <v>3.3500000000000002E-2</v>
      </c>
      <c r="JY126" s="730">
        <v>0.46029999999999999</v>
      </c>
      <c r="JZ126" s="730">
        <v>0.4239</v>
      </c>
      <c r="KA126" s="730">
        <v>7.0800000000000002E-2</v>
      </c>
      <c r="KB126" s="730">
        <v>1.15E-2</v>
      </c>
      <c r="KC126" s="657"/>
      <c r="KD126" s="314" t="s">
        <v>2590</v>
      </c>
      <c r="KE126" s="314" t="s">
        <v>2590</v>
      </c>
      <c r="KF126" s="866">
        <v>4.0999999999999996</v>
      </c>
      <c r="KG126" s="314" t="s">
        <v>2589</v>
      </c>
      <c r="KH126" s="315" t="s">
        <v>4763</v>
      </c>
      <c r="KI126" s="314" t="s">
        <v>4764</v>
      </c>
      <c r="KJ126" s="315" t="s">
        <v>4818</v>
      </c>
    </row>
    <row r="127" spans="1:296" ht="48" hidden="1" customHeight="1">
      <c r="A127" s="265">
        <f t="shared" si="447"/>
        <v>120</v>
      </c>
      <c r="B127" s="266" t="s">
        <v>2285</v>
      </c>
      <c r="C127" s="266" t="s">
        <v>4711</v>
      </c>
      <c r="D127" s="624" t="s">
        <v>1878</v>
      </c>
      <c r="E127" s="267" t="s">
        <v>2117</v>
      </c>
      <c r="F127" s="267" t="s">
        <v>4598</v>
      </c>
      <c r="G127" s="267" t="s">
        <v>2121</v>
      </c>
      <c r="H127" s="267" t="s">
        <v>2096</v>
      </c>
      <c r="I127" s="268" t="s">
        <v>4819</v>
      </c>
      <c r="J127" s="268" t="s">
        <v>4820</v>
      </c>
      <c r="K127" s="269" t="s">
        <v>2097</v>
      </c>
      <c r="L127" s="269" t="s">
        <v>2109</v>
      </c>
      <c r="M127" s="269" t="s">
        <v>2603</v>
      </c>
      <c r="N127" s="269" t="s">
        <v>2099</v>
      </c>
      <c r="O127" s="267" t="s">
        <v>2616</v>
      </c>
      <c r="P127" s="268"/>
      <c r="Q127" s="270">
        <v>1</v>
      </c>
      <c r="R127" s="271">
        <v>8000</v>
      </c>
      <c r="S127" s="272">
        <v>120</v>
      </c>
      <c r="T127" s="272">
        <v>95</v>
      </c>
      <c r="U127" s="272">
        <v>100</v>
      </c>
      <c r="V127" s="272">
        <v>105</v>
      </c>
      <c r="W127" s="272">
        <v>110</v>
      </c>
      <c r="X127" s="272">
        <v>110</v>
      </c>
      <c r="Y127" s="272">
        <v>111</v>
      </c>
      <c r="Z127" s="272">
        <v>111</v>
      </c>
      <c r="AA127" s="272">
        <v>112</v>
      </c>
      <c r="AB127" s="272">
        <f>AA127+1</f>
        <v>113</v>
      </c>
      <c r="AC127" s="272">
        <f>AB127+1</f>
        <v>114</v>
      </c>
      <c r="AD127" s="272">
        <f>AC127+1</f>
        <v>115</v>
      </c>
      <c r="AE127" s="272">
        <f>AD127+1</f>
        <v>116</v>
      </c>
      <c r="AF127" s="272">
        <v>118</v>
      </c>
      <c r="AG127" s="272">
        <f>AF127+1</f>
        <v>119</v>
      </c>
      <c r="AH127" s="272">
        <f>AG127+2</f>
        <v>121</v>
      </c>
      <c r="AI127" s="272">
        <f>AH127+1</f>
        <v>122</v>
      </c>
      <c r="AJ127" s="272">
        <f>AI127+1</f>
        <v>123</v>
      </c>
      <c r="AK127" s="272">
        <v>125</v>
      </c>
      <c r="AL127" s="268" t="s">
        <v>2124</v>
      </c>
      <c r="AM127" s="268" t="s">
        <v>4821</v>
      </c>
      <c r="AN127" s="268" t="s">
        <v>4822</v>
      </c>
      <c r="AO127" s="657"/>
      <c r="AP127" s="271">
        <v>1200</v>
      </c>
      <c r="AQ127" s="280">
        <v>984</v>
      </c>
      <c r="AR127" s="280">
        <v>120</v>
      </c>
      <c r="AS127" s="280">
        <v>96</v>
      </c>
      <c r="AT127" s="657"/>
      <c r="AU127" s="301" t="s">
        <v>4823</v>
      </c>
      <c r="AV127" s="572" t="s">
        <v>4824</v>
      </c>
      <c r="AW127" s="645" t="s">
        <v>3298</v>
      </c>
      <c r="AX127" s="290" t="s">
        <v>2609</v>
      </c>
      <c r="AY127" s="657"/>
      <c r="AZ127" s="948">
        <v>27</v>
      </c>
      <c r="BA127" s="948">
        <v>4</v>
      </c>
      <c r="BB127" s="948">
        <v>4</v>
      </c>
      <c r="BC127" s="948">
        <v>25</v>
      </c>
      <c r="BD127" s="825">
        <f t="shared" si="352"/>
        <v>7080</v>
      </c>
      <c r="BE127" s="304">
        <f t="shared" si="353"/>
        <v>3186</v>
      </c>
      <c r="BF127" s="304">
        <f t="shared" si="354"/>
        <v>472</v>
      </c>
      <c r="BG127" s="304">
        <f t="shared" si="355"/>
        <v>472</v>
      </c>
      <c r="BH127" s="304">
        <f t="shared" si="356"/>
        <v>2950</v>
      </c>
      <c r="BI127" s="825">
        <f t="shared" si="357"/>
        <v>7500</v>
      </c>
      <c r="BJ127" s="304">
        <f t="shared" si="358"/>
        <v>3375</v>
      </c>
      <c r="BK127" s="304">
        <f t="shared" si="359"/>
        <v>500</v>
      </c>
      <c r="BL127" s="304">
        <f t="shared" si="360"/>
        <v>500</v>
      </c>
      <c r="BM127" s="304">
        <f t="shared" si="361"/>
        <v>3125</v>
      </c>
      <c r="BN127" s="657"/>
      <c r="BO127" s="284">
        <v>0.12</v>
      </c>
      <c r="BP127" s="284">
        <v>0.57999999999999996</v>
      </c>
      <c r="BQ127" s="284">
        <v>0.25</v>
      </c>
      <c r="BR127" s="710">
        <v>0.05</v>
      </c>
      <c r="BS127" s="707">
        <v>0.1</v>
      </c>
      <c r="BT127" s="284">
        <v>0.57999999999999996</v>
      </c>
      <c r="BU127" s="284">
        <v>0.28999999999999998</v>
      </c>
      <c r="BV127" s="710">
        <v>0.03</v>
      </c>
      <c r="BW127" s="714">
        <v>0.35</v>
      </c>
      <c r="BX127" s="285">
        <v>0.55000000000000004</v>
      </c>
      <c r="BY127" s="717">
        <v>0.1</v>
      </c>
      <c r="BZ127" s="714">
        <v>0.3</v>
      </c>
      <c r="CA127" s="285">
        <v>0.56999999999999995</v>
      </c>
      <c r="CB127" s="717">
        <v>0.13</v>
      </c>
      <c r="CC127" s="284">
        <v>0.08</v>
      </c>
      <c r="CD127" s="284">
        <v>0.45</v>
      </c>
      <c r="CE127" s="284">
        <v>0.25</v>
      </c>
      <c r="CF127" s="710">
        <v>0.22</v>
      </c>
      <c r="CG127" s="707">
        <v>0.06</v>
      </c>
      <c r="CH127" s="284">
        <v>0.45</v>
      </c>
      <c r="CI127" s="284">
        <v>0.28000000000000003</v>
      </c>
      <c r="CJ127" s="710">
        <v>0.21</v>
      </c>
      <c r="CK127" s="720">
        <v>0.25</v>
      </c>
      <c r="CL127" s="286">
        <v>0.5</v>
      </c>
      <c r="CM127" s="718">
        <v>0.25</v>
      </c>
      <c r="CN127" s="720">
        <v>0.15</v>
      </c>
      <c r="CO127" s="286">
        <v>0.5</v>
      </c>
      <c r="CP127" s="718">
        <v>0.35</v>
      </c>
      <c r="CQ127" s="657"/>
      <c r="CR127" s="807">
        <v>9</v>
      </c>
      <c r="CS127" s="808">
        <v>11</v>
      </c>
      <c r="CT127" s="808">
        <v>8</v>
      </c>
      <c r="CU127" s="809">
        <v>9</v>
      </c>
      <c r="CV127" s="807">
        <v>10</v>
      </c>
      <c r="CW127" s="808">
        <v>10</v>
      </c>
      <c r="CX127" s="809">
        <v>8</v>
      </c>
      <c r="CY127" s="807">
        <v>8</v>
      </c>
      <c r="CZ127" s="808">
        <v>11</v>
      </c>
      <c r="DA127" s="808">
        <v>8</v>
      </c>
      <c r="DB127" s="809">
        <v>9</v>
      </c>
      <c r="DC127" s="807">
        <v>9</v>
      </c>
      <c r="DD127" s="808">
        <v>12</v>
      </c>
      <c r="DE127" s="809">
        <v>9</v>
      </c>
      <c r="DF127" s="610" t="s">
        <v>4825</v>
      </c>
      <c r="DG127" s="657"/>
      <c r="DH127" s="288">
        <f t="shared" si="362"/>
        <v>382.32</v>
      </c>
      <c r="DI127" s="288">
        <f t="shared" si="363"/>
        <v>1847.8799999999999</v>
      </c>
      <c r="DJ127" s="288">
        <f t="shared" si="364"/>
        <v>796.5</v>
      </c>
      <c r="DK127" s="288">
        <f t="shared" si="365"/>
        <v>159.30000000000001</v>
      </c>
      <c r="DL127" s="560" t="s">
        <v>4826</v>
      </c>
      <c r="DM127" s="288">
        <f t="shared" si="366"/>
        <v>337.5</v>
      </c>
      <c r="DN127" s="288">
        <f t="shared" si="367"/>
        <v>1957.4999999999998</v>
      </c>
      <c r="DO127" s="288">
        <f t="shared" si="368"/>
        <v>978.74999999999989</v>
      </c>
      <c r="DP127" s="288">
        <f t="shared" si="369"/>
        <v>101.25</v>
      </c>
      <c r="DQ127" s="561" t="s">
        <v>3962</v>
      </c>
      <c r="DR127" s="657"/>
      <c r="DS127" s="288">
        <f t="shared" si="370"/>
        <v>165.2</v>
      </c>
      <c r="DT127" s="288">
        <f t="shared" si="371"/>
        <v>259.60000000000002</v>
      </c>
      <c r="DU127" s="288">
        <f t="shared" si="372"/>
        <v>47.2</v>
      </c>
      <c r="DV127" s="561" t="s">
        <v>4827</v>
      </c>
      <c r="DW127" s="288">
        <f t="shared" si="373"/>
        <v>150</v>
      </c>
      <c r="DX127" s="288">
        <f t="shared" si="374"/>
        <v>285</v>
      </c>
      <c r="DY127" s="288">
        <f t="shared" si="375"/>
        <v>65</v>
      </c>
      <c r="DZ127" s="561" t="s">
        <v>3963</v>
      </c>
      <c r="EA127" s="657"/>
      <c r="EB127" s="288">
        <f t="shared" si="376"/>
        <v>37.76</v>
      </c>
      <c r="EC127" s="288">
        <f t="shared" si="377"/>
        <v>212.4</v>
      </c>
      <c r="ED127" s="288">
        <f t="shared" si="378"/>
        <v>118</v>
      </c>
      <c r="EE127" s="288">
        <f t="shared" si="379"/>
        <v>103.84</v>
      </c>
      <c r="EF127" s="561" t="s">
        <v>4828</v>
      </c>
      <c r="EG127" s="288">
        <f t="shared" si="380"/>
        <v>30</v>
      </c>
      <c r="EH127" s="288">
        <f t="shared" si="381"/>
        <v>225</v>
      </c>
      <c r="EI127" s="288">
        <f t="shared" si="382"/>
        <v>140</v>
      </c>
      <c r="EJ127" s="288">
        <f t="shared" si="383"/>
        <v>105</v>
      </c>
      <c r="EK127" s="561" t="s">
        <v>3965</v>
      </c>
      <c r="EL127" s="657"/>
      <c r="EM127" s="288">
        <f t="shared" si="384"/>
        <v>737.5</v>
      </c>
      <c r="EN127" s="291">
        <f t="shared" si="385"/>
        <v>1475</v>
      </c>
      <c r="EO127" s="291">
        <f t="shared" si="386"/>
        <v>737.5</v>
      </c>
      <c r="EP127" s="561" t="s">
        <v>4829</v>
      </c>
      <c r="EQ127" s="288">
        <f t="shared" si="387"/>
        <v>468.75</v>
      </c>
      <c r="ER127" s="291">
        <f t="shared" si="388"/>
        <v>1562.5</v>
      </c>
      <c r="ES127" s="291">
        <f t="shared" si="389"/>
        <v>1093.75</v>
      </c>
      <c r="ET127" s="561" t="s">
        <v>3967</v>
      </c>
      <c r="EU127" s="657"/>
      <c r="EV127" s="740">
        <f t="shared" si="390"/>
        <v>0.74938510766949917</v>
      </c>
      <c r="EW127" s="740">
        <f t="shared" si="391"/>
        <v>0.25061489233050083</v>
      </c>
      <c r="EX127" s="563">
        <f t="shared" si="392"/>
        <v>3735.3406706791666</v>
      </c>
      <c r="EY127" s="563">
        <f t="shared" si="393"/>
        <v>2799.2086706791665</v>
      </c>
      <c r="EZ127" s="563">
        <f t="shared" si="394"/>
        <v>936.13200000000006</v>
      </c>
      <c r="FA127" s="563">
        <f t="shared" si="395"/>
        <v>1711.7269163625001</v>
      </c>
      <c r="FB127" s="563">
        <f t="shared" si="396"/>
        <v>1290.4675163625</v>
      </c>
      <c r="FC127" s="563">
        <f t="shared" si="397"/>
        <v>421.25940000000003</v>
      </c>
      <c r="FD127" s="563">
        <f t="shared" si="398"/>
        <v>253.51632430000004</v>
      </c>
      <c r="FE127" s="563">
        <f t="shared" si="399"/>
        <v>191.10752430000002</v>
      </c>
      <c r="FF127" s="563">
        <f t="shared" si="400"/>
        <v>62.408800000000006</v>
      </c>
      <c r="FG127" s="563">
        <f t="shared" si="401"/>
        <v>261.11586057222223</v>
      </c>
      <c r="FH127" s="563">
        <f t="shared" si="402"/>
        <v>198.70706057222225</v>
      </c>
      <c r="FI127" s="563">
        <f t="shared" si="403"/>
        <v>62.408800000000006</v>
      </c>
      <c r="FJ127" s="563">
        <f t="shared" si="404"/>
        <v>1508.9815694444444</v>
      </c>
      <c r="FK127" s="563">
        <f t="shared" si="405"/>
        <v>1118.9265694444443</v>
      </c>
      <c r="FL127" s="563">
        <f t="shared" si="406"/>
        <v>390.05500000000001</v>
      </c>
      <c r="FM127" s="529"/>
      <c r="FN127" s="564" t="s">
        <v>2649</v>
      </c>
      <c r="FO127" s="740">
        <v>7.2900000000000006E-2</v>
      </c>
      <c r="FP127" s="741">
        <v>0.84006999999999998</v>
      </c>
      <c r="FQ127" s="565" t="s">
        <v>3968</v>
      </c>
      <c r="FR127" s="529"/>
      <c r="FS127" s="867">
        <v>3.48</v>
      </c>
      <c r="FT127" s="566">
        <f>RANK($FS127,$FS$8:$FS$154,0)+COUNTIF($FS$8:$FS127,$FS127)-1</f>
        <v>46</v>
      </c>
      <c r="FU127" s="867">
        <v>4.3099999999999996</v>
      </c>
      <c r="FV127" s="566">
        <f>RANK($FU127,$FU$8:$FU$154,0)+COUNTIF($FU$8:$FU127,$FU127)-1</f>
        <v>29</v>
      </c>
      <c r="FW127" s="867">
        <v>2.4700000000000002</v>
      </c>
      <c r="FX127" s="566">
        <f>RANK($FW127,$FW$8:$FW$154,0)+COUNTIF($FW$8:$FW127,$FW127)-1</f>
        <v>46</v>
      </c>
      <c r="FY127" s="529"/>
      <c r="FZ127" s="567" t="s">
        <v>4830</v>
      </c>
      <c r="GA127" s="567" t="s">
        <v>4831</v>
      </c>
      <c r="GB127" s="567" t="s">
        <v>4780</v>
      </c>
      <c r="GC127" s="567" t="s">
        <v>4781</v>
      </c>
      <c r="GD127" s="567" t="s">
        <v>4782</v>
      </c>
      <c r="GE127" s="567" t="s">
        <v>4832</v>
      </c>
      <c r="GF127" s="567" t="str">
        <f t="shared" si="449"/>
        <v>https://www.statistiques.developpement-durable.gouv.fr/construction-de-locaux-resultats-fin-janvier-2026-france-entiere
https://www.insee.fr/fr/statistiques/8671745
https://www.insee.fr/fr/statistiques/8906564</v>
      </c>
      <c r="GG127" s="529"/>
      <c r="GH127" s="563">
        <f t="shared" si="407"/>
        <v>210.5767764</v>
      </c>
      <c r="GI127" s="563">
        <f t="shared" si="337"/>
        <v>168.45083639999999</v>
      </c>
      <c r="GJ127" s="563">
        <f t="shared" si="408"/>
        <v>42.125940000000007</v>
      </c>
      <c r="GK127" s="563">
        <f t="shared" si="409"/>
        <v>898.51739940000004</v>
      </c>
      <c r="GL127" s="563">
        <f t="shared" si="338"/>
        <v>654.18694740000001</v>
      </c>
      <c r="GM127" s="563">
        <f t="shared" si="410"/>
        <v>244.33045200000001</v>
      </c>
      <c r="GN127" s="563">
        <f t="shared" si="411"/>
        <v>519.80711006249999</v>
      </c>
      <c r="GO127" s="563">
        <f t="shared" si="339"/>
        <v>397.64188406250003</v>
      </c>
      <c r="GP127" s="563">
        <f t="shared" si="412"/>
        <v>122.165226</v>
      </c>
      <c r="GQ127" s="563">
        <f t="shared" si="413"/>
        <v>82.825630500000003</v>
      </c>
      <c r="GR127" s="563">
        <f t="shared" si="340"/>
        <v>70.187848500000001</v>
      </c>
      <c r="GS127" s="563">
        <f t="shared" si="414"/>
        <v>12.637782</v>
      </c>
      <c r="GT127" s="563">
        <f t="shared" si="415"/>
        <v>83.878469199999998</v>
      </c>
      <c r="GU127" s="563">
        <f t="shared" si="341"/>
        <v>65.155829199999999</v>
      </c>
      <c r="GV127" s="563">
        <f t="shared" si="416"/>
        <v>18.722640000000002</v>
      </c>
      <c r="GW127" s="563">
        <f t="shared" si="417"/>
        <v>137.96074760000002</v>
      </c>
      <c r="GX127" s="563">
        <f t="shared" si="342"/>
        <v>102.38773160000001</v>
      </c>
      <c r="GY127" s="563">
        <f t="shared" si="418"/>
        <v>35.573016000000003</v>
      </c>
      <c r="GZ127" s="563">
        <f t="shared" si="419"/>
        <v>31.677107500000005</v>
      </c>
      <c r="HA127" s="563">
        <f t="shared" si="343"/>
        <v>23.563963500000003</v>
      </c>
      <c r="HB127" s="563">
        <f t="shared" si="420"/>
        <v>8.1131440000000019</v>
      </c>
      <c r="HC127" s="563">
        <f t="shared" si="421"/>
        <v>22.595698799999997</v>
      </c>
      <c r="HD127" s="563">
        <f t="shared" si="344"/>
        <v>18.851170799999998</v>
      </c>
      <c r="HE127" s="563">
        <f t="shared" si="422"/>
        <v>3.7445280000000003</v>
      </c>
      <c r="HF127" s="563">
        <f t="shared" si="423"/>
        <v>103.27786200000001</v>
      </c>
      <c r="HG127" s="563">
        <f t="shared" si="345"/>
        <v>75.193902000000008</v>
      </c>
      <c r="HH127" s="563">
        <f t="shared" si="424"/>
        <v>28.083960000000005</v>
      </c>
      <c r="HI127" s="563">
        <f t="shared" si="425"/>
        <v>76.384372750000011</v>
      </c>
      <c r="HJ127" s="563">
        <f t="shared" si="346"/>
        <v>58.90990875</v>
      </c>
      <c r="HK127" s="563">
        <f t="shared" si="426"/>
        <v>17.474464000000005</v>
      </c>
      <c r="HL127" s="563">
        <f t="shared" si="427"/>
        <v>58.857927022222221</v>
      </c>
      <c r="HM127" s="563">
        <f t="shared" si="347"/>
        <v>45.752079022222219</v>
      </c>
      <c r="HN127" s="563">
        <f t="shared" si="428"/>
        <v>13.105848000000002</v>
      </c>
      <c r="HO127" s="563">
        <f t="shared" si="429"/>
        <v>383.45199305555548</v>
      </c>
      <c r="HP127" s="563">
        <f t="shared" si="348"/>
        <v>324.9437430555555</v>
      </c>
      <c r="HQ127" s="563">
        <f t="shared" si="430"/>
        <v>58.508249999999997</v>
      </c>
      <c r="HR127" s="563">
        <f t="shared" si="431"/>
        <v>664.06658333333326</v>
      </c>
      <c r="HS127" s="563">
        <f t="shared" si="349"/>
        <v>469.03908333333328</v>
      </c>
      <c r="HT127" s="563">
        <f t="shared" si="432"/>
        <v>195.0275</v>
      </c>
      <c r="HU127" s="563">
        <f t="shared" si="433"/>
        <v>461.4629930555555</v>
      </c>
      <c r="HV127" s="563">
        <f t="shared" si="350"/>
        <v>324.9437430555555</v>
      </c>
      <c r="HW127" s="563">
        <f t="shared" si="434"/>
        <v>136.51925</v>
      </c>
      <c r="HX127" s="544"/>
      <c r="HY127" s="568">
        <f t="shared" si="435"/>
        <v>7080.0000000000009</v>
      </c>
      <c r="HZ127" s="568">
        <f t="shared" si="436"/>
        <v>0</v>
      </c>
      <c r="IA127" s="568">
        <f t="shared" si="437"/>
        <v>690.54780000000005</v>
      </c>
      <c r="IB127" s="568">
        <f t="shared" si="438"/>
        <v>3251.0770000000002</v>
      </c>
      <c r="IC127" s="568">
        <f t="shared" si="439"/>
        <v>2828.5661999999998</v>
      </c>
      <c r="ID127" s="568">
        <f t="shared" si="440"/>
        <v>309.80899999999997</v>
      </c>
      <c r="IE127" s="568">
        <f t="shared" si="441"/>
        <v>2799.2086706791665</v>
      </c>
      <c r="IF127" s="568">
        <f t="shared" si="442"/>
        <v>0</v>
      </c>
      <c r="IG127" s="568">
        <f t="shared" si="443"/>
        <v>142.12594431209223</v>
      </c>
      <c r="IH127" s="568">
        <f t="shared" si="444"/>
        <v>836.68163940544855</v>
      </c>
      <c r="II127" s="568">
        <f t="shared" si="445"/>
        <v>1430.9670883356148</v>
      </c>
      <c r="IJ127" s="568">
        <f t="shared" si="446"/>
        <v>389.43399862601109</v>
      </c>
      <c r="IK127" s="868">
        <v>4.18</v>
      </c>
      <c r="IL127" s="569" t="s">
        <v>2589</v>
      </c>
      <c r="IM127" s="570" t="s">
        <v>4833</v>
      </c>
      <c r="IN127" s="529"/>
      <c r="IO127" s="742">
        <v>0</v>
      </c>
      <c r="IP127" s="742">
        <v>7.46E-2</v>
      </c>
      <c r="IQ127" s="742">
        <v>0.40889999999999999</v>
      </c>
      <c r="IR127" s="742">
        <v>0.45029999999999998</v>
      </c>
      <c r="IS127" s="742">
        <v>6.6199999999999995E-2</v>
      </c>
      <c r="IT127" s="742">
        <v>0</v>
      </c>
      <c r="IU127" s="742">
        <v>4.2000000000000003E-2</v>
      </c>
      <c r="IV127" s="742">
        <v>0.24610000000000001</v>
      </c>
      <c r="IW127" s="742">
        <v>0.53190000000000004</v>
      </c>
      <c r="IX127" s="742">
        <v>0.18</v>
      </c>
      <c r="IY127" s="742">
        <v>0</v>
      </c>
      <c r="IZ127" s="742">
        <v>0.1062</v>
      </c>
      <c r="JA127" s="742">
        <v>0.48499999999999999</v>
      </c>
      <c r="JB127" s="742">
        <v>0.37730000000000002</v>
      </c>
      <c r="JC127" s="742">
        <v>3.15E-2</v>
      </c>
      <c r="JD127" s="742">
        <v>0</v>
      </c>
      <c r="JE127" s="742">
        <v>5.3900000000000003E-2</v>
      </c>
      <c r="JF127" s="742">
        <v>0.32350000000000001</v>
      </c>
      <c r="JG127" s="742">
        <v>0.50519999999999998</v>
      </c>
      <c r="JH127" s="742">
        <v>0.1174</v>
      </c>
      <c r="JI127" s="742">
        <v>0</v>
      </c>
      <c r="JJ127" s="742">
        <v>0.1489</v>
      </c>
      <c r="JK127" s="742">
        <v>0.5403</v>
      </c>
      <c r="JL127" s="742">
        <v>0.3009</v>
      </c>
      <c r="JM127" s="742">
        <v>9.9000000000000008E-3</v>
      </c>
      <c r="JN127" s="742">
        <v>0</v>
      </c>
      <c r="JO127" s="742">
        <v>7.2499999999999995E-2</v>
      </c>
      <c r="JP127" s="742">
        <v>0.40189999999999998</v>
      </c>
      <c r="JQ127" s="742">
        <v>0.45579999999999998</v>
      </c>
      <c r="JR127" s="742">
        <v>6.9800000000000001E-2</v>
      </c>
      <c r="JS127" s="742">
        <v>0</v>
      </c>
      <c r="JT127" s="742">
        <v>0.11269999999999999</v>
      </c>
      <c r="JU127" s="742">
        <v>0.49640000000000001</v>
      </c>
      <c r="JV127" s="742">
        <v>0.36399999999999999</v>
      </c>
      <c r="JW127" s="742">
        <v>2.69E-2</v>
      </c>
      <c r="JX127" s="742">
        <v>0</v>
      </c>
      <c r="JY127" s="742">
        <v>5.6500000000000002E-2</v>
      </c>
      <c r="JZ127" s="742">
        <v>0.33729999999999999</v>
      </c>
      <c r="KA127" s="742">
        <v>0.49819999999999998</v>
      </c>
      <c r="KB127" s="742">
        <v>0.108</v>
      </c>
      <c r="KC127" s="657"/>
      <c r="KD127" s="832" t="s">
        <v>2590</v>
      </c>
      <c r="KE127" s="832" t="s">
        <v>2590</v>
      </c>
      <c r="KF127" s="869">
        <v>4.28</v>
      </c>
      <c r="KG127" s="832" t="s">
        <v>2589</v>
      </c>
      <c r="KH127" s="833" t="s">
        <v>4785</v>
      </c>
      <c r="KI127" s="832" t="s">
        <v>4834</v>
      </c>
      <c r="KJ127" s="833" t="s">
        <v>4835</v>
      </c>
    </row>
    <row r="128" spans="1:296" ht="48" hidden="1" customHeight="1">
      <c r="A128" s="273">
        <f t="shared" si="447"/>
        <v>121</v>
      </c>
      <c r="B128" s="274" t="s">
        <v>2285</v>
      </c>
      <c r="C128" s="274" t="s">
        <v>4836</v>
      </c>
      <c r="D128" s="274" t="s">
        <v>4837</v>
      </c>
      <c r="E128" s="275" t="s">
        <v>2289</v>
      </c>
      <c r="F128" s="275" t="s">
        <v>4838</v>
      </c>
      <c r="G128" s="275" t="s">
        <v>4083</v>
      </c>
      <c r="H128" s="275" t="s">
        <v>2109</v>
      </c>
      <c r="I128" s="276" t="s">
        <v>4839</v>
      </c>
      <c r="J128" s="276" t="s">
        <v>4840</v>
      </c>
      <c r="K128" s="277" t="s">
        <v>2097</v>
      </c>
      <c r="L128" s="277" t="s">
        <v>2109</v>
      </c>
      <c r="M128" s="277" t="s">
        <v>4841</v>
      </c>
      <c r="N128" s="277" t="s">
        <v>4842</v>
      </c>
      <c r="O128" s="275" t="s">
        <v>2616</v>
      </c>
      <c r="P128" s="276"/>
      <c r="Q128" s="270">
        <v>1</v>
      </c>
      <c r="R128" s="278">
        <v>250</v>
      </c>
      <c r="S128" s="279">
        <v>520</v>
      </c>
      <c r="T128" s="279">
        <v>560</v>
      </c>
      <c r="U128" s="279">
        <v>590</v>
      </c>
      <c r="V128" s="279">
        <v>540</v>
      </c>
      <c r="W128" s="279">
        <v>545</v>
      </c>
      <c r="X128" s="279">
        <v>555</v>
      </c>
      <c r="Y128" s="279">
        <v>565</v>
      </c>
      <c r="Z128" s="279">
        <v>575</v>
      </c>
      <c r="AA128" s="279">
        <v>410</v>
      </c>
      <c r="AB128" s="279">
        <v>420</v>
      </c>
      <c r="AC128" s="279">
        <v>430</v>
      </c>
      <c r="AD128" s="279">
        <v>440</v>
      </c>
      <c r="AE128" s="279">
        <v>425</v>
      </c>
      <c r="AF128" s="279">
        <v>430</v>
      </c>
      <c r="AG128" s="279">
        <v>438</v>
      </c>
      <c r="AH128" s="279">
        <v>446</v>
      </c>
      <c r="AI128" s="279">
        <v>454</v>
      </c>
      <c r="AJ128" s="279">
        <v>462</v>
      </c>
      <c r="AK128" s="279">
        <v>470</v>
      </c>
      <c r="AL128" s="276" t="s">
        <v>4843</v>
      </c>
      <c r="AM128" s="276" t="s">
        <v>4844</v>
      </c>
      <c r="AN128" s="276" t="s">
        <v>4845</v>
      </c>
      <c r="AO128" s="657"/>
      <c r="AP128" s="278">
        <v>180</v>
      </c>
      <c r="AQ128" s="278">
        <v>170</v>
      </c>
      <c r="AR128" s="278">
        <v>8</v>
      </c>
      <c r="AS128" s="278">
        <v>2</v>
      </c>
      <c r="AT128" s="657"/>
      <c r="AU128" s="281" t="s">
        <v>4846</v>
      </c>
      <c r="AV128" s="296" t="s">
        <v>4847</v>
      </c>
      <c r="AW128" s="296" t="s">
        <v>2976</v>
      </c>
      <c r="AX128" s="276" t="s">
        <v>4848</v>
      </c>
      <c r="AY128" s="657"/>
      <c r="AZ128" s="947">
        <v>3</v>
      </c>
      <c r="BA128" s="947">
        <v>0</v>
      </c>
      <c r="BB128" s="947">
        <v>0</v>
      </c>
      <c r="BC128" s="947">
        <v>3</v>
      </c>
      <c r="BD128" s="826">
        <f t="shared" si="352"/>
        <v>2580</v>
      </c>
      <c r="BE128" s="283">
        <f t="shared" si="353"/>
        <v>1290</v>
      </c>
      <c r="BF128" s="283">
        <f t="shared" si="354"/>
        <v>0</v>
      </c>
      <c r="BG128" s="283">
        <f t="shared" si="355"/>
        <v>0</v>
      </c>
      <c r="BH128" s="283">
        <f t="shared" si="356"/>
        <v>1290</v>
      </c>
      <c r="BI128" s="826">
        <f t="shared" si="357"/>
        <v>2820</v>
      </c>
      <c r="BJ128" s="283">
        <f t="shared" si="358"/>
        <v>1410</v>
      </c>
      <c r="BK128" s="283">
        <f t="shared" si="359"/>
        <v>0</v>
      </c>
      <c r="BL128" s="283">
        <f t="shared" si="360"/>
        <v>0</v>
      </c>
      <c r="BM128" s="283">
        <f t="shared" si="361"/>
        <v>1410</v>
      </c>
      <c r="BN128" s="657"/>
      <c r="BO128" s="305">
        <v>0.1</v>
      </c>
      <c r="BP128" s="305">
        <v>0.76</v>
      </c>
      <c r="BQ128" s="305">
        <v>0.08</v>
      </c>
      <c r="BR128" s="581">
        <v>0.06</v>
      </c>
      <c r="BS128" s="706">
        <v>0.08</v>
      </c>
      <c r="BT128" s="305">
        <v>0.76</v>
      </c>
      <c r="BU128" s="305">
        <v>0.1</v>
      </c>
      <c r="BV128" s="581">
        <v>0.06</v>
      </c>
      <c r="BW128" s="713"/>
      <c r="BX128" s="306"/>
      <c r="BY128" s="590"/>
      <c r="BZ128" s="713"/>
      <c r="CA128" s="306"/>
      <c r="CB128" s="590"/>
      <c r="CC128" s="706"/>
      <c r="CD128" s="305"/>
      <c r="CE128" s="305"/>
      <c r="CF128" s="581"/>
      <c r="CG128" s="706"/>
      <c r="CH128" s="305"/>
      <c r="CI128" s="305"/>
      <c r="CJ128" s="581"/>
      <c r="CK128" s="719">
        <v>0.25</v>
      </c>
      <c r="CL128" s="307">
        <v>0.55000000000000004</v>
      </c>
      <c r="CM128" s="723">
        <v>0.2</v>
      </c>
      <c r="CN128" s="719">
        <v>0.15</v>
      </c>
      <c r="CO128" s="307">
        <v>0.57999999999999996</v>
      </c>
      <c r="CP128" s="723">
        <v>0.27</v>
      </c>
      <c r="CQ128" s="657"/>
      <c r="CR128" s="804">
        <v>10</v>
      </c>
      <c r="CS128" s="805">
        <v>11</v>
      </c>
      <c r="CT128" s="805">
        <v>8</v>
      </c>
      <c r="CU128" s="806">
        <v>10</v>
      </c>
      <c r="CV128" s="804"/>
      <c r="CW128" s="805"/>
      <c r="CX128" s="806"/>
      <c r="CY128" s="804"/>
      <c r="CZ128" s="805"/>
      <c r="DA128" s="805"/>
      <c r="DB128" s="806"/>
      <c r="DC128" s="804">
        <v>10</v>
      </c>
      <c r="DD128" s="805">
        <v>11</v>
      </c>
      <c r="DE128" s="806">
        <v>8</v>
      </c>
      <c r="DF128" s="609" t="s">
        <v>4849</v>
      </c>
      <c r="DG128" s="657"/>
      <c r="DH128" s="308">
        <f t="shared" si="362"/>
        <v>129</v>
      </c>
      <c r="DI128" s="308">
        <f t="shared" si="363"/>
        <v>980.4</v>
      </c>
      <c r="DJ128" s="308">
        <f t="shared" si="364"/>
        <v>103.2</v>
      </c>
      <c r="DK128" s="308">
        <f t="shared" si="365"/>
        <v>77.399999999999991</v>
      </c>
      <c r="DL128" s="287" t="s">
        <v>4850</v>
      </c>
      <c r="DM128" s="308">
        <f t="shared" si="366"/>
        <v>112.8</v>
      </c>
      <c r="DN128" s="308">
        <f t="shared" si="367"/>
        <v>1071.5999999999999</v>
      </c>
      <c r="DO128" s="308">
        <f t="shared" si="368"/>
        <v>141</v>
      </c>
      <c r="DP128" s="308">
        <f t="shared" si="369"/>
        <v>84.6</v>
      </c>
      <c r="DQ128" s="289" t="s">
        <v>2644</v>
      </c>
      <c r="DR128" s="657"/>
      <c r="DS128" s="308">
        <f t="shared" si="370"/>
        <v>0</v>
      </c>
      <c r="DT128" s="308">
        <f t="shared" si="371"/>
        <v>0</v>
      </c>
      <c r="DU128" s="308">
        <f t="shared" si="372"/>
        <v>0</v>
      </c>
      <c r="DV128" s="289" t="s">
        <v>2613</v>
      </c>
      <c r="DW128" s="308">
        <f t="shared" si="373"/>
        <v>0</v>
      </c>
      <c r="DX128" s="308">
        <f t="shared" si="374"/>
        <v>0</v>
      </c>
      <c r="DY128" s="308">
        <f t="shared" si="375"/>
        <v>0</v>
      </c>
      <c r="DZ128" s="289" t="s">
        <v>2613</v>
      </c>
      <c r="EA128" s="657"/>
      <c r="EB128" s="308">
        <f t="shared" si="376"/>
        <v>0</v>
      </c>
      <c r="EC128" s="308">
        <f t="shared" si="377"/>
        <v>0</v>
      </c>
      <c r="ED128" s="308">
        <f t="shared" si="378"/>
        <v>0</v>
      </c>
      <c r="EE128" s="308">
        <f t="shared" si="379"/>
        <v>0</v>
      </c>
      <c r="EF128" s="289" t="s">
        <v>3552</v>
      </c>
      <c r="EG128" s="308">
        <f t="shared" si="380"/>
        <v>0</v>
      </c>
      <c r="EH128" s="308">
        <f t="shared" si="381"/>
        <v>0</v>
      </c>
      <c r="EI128" s="308">
        <f t="shared" si="382"/>
        <v>0</v>
      </c>
      <c r="EJ128" s="308">
        <f t="shared" si="383"/>
        <v>0</v>
      </c>
      <c r="EK128" s="309" t="s">
        <v>3553</v>
      </c>
      <c r="EL128" s="657"/>
      <c r="EM128" s="308">
        <f t="shared" si="384"/>
        <v>322.5</v>
      </c>
      <c r="EN128" s="310">
        <f t="shared" si="385"/>
        <v>709.50000000000011</v>
      </c>
      <c r="EO128" s="310">
        <f t="shared" si="386"/>
        <v>258</v>
      </c>
      <c r="EP128" s="289" t="s">
        <v>4851</v>
      </c>
      <c r="EQ128" s="308">
        <f t="shared" si="387"/>
        <v>211.5</v>
      </c>
      <c r="ER128" s="310">
        <f t="shared" si="388"/>
        <v>817.8</v>
      </c>
      <c r="ES128" s="310">
        <f t="shared" si="389"/>
        <v>380.70000000000005</v>
      </c>
      <c r="ET128" s="289" t="s">
        <v>2985</v>
      </c>
      <c r="EU128" s="657"/>
      <c r="EV128" s="728">
        <f t="shared" si="390"/>
        <v>0.77022974251172693</v>
      </c>
      <c r="EW128" s="728">
        <f t="shared" si="391"/>
        <v>0.22977025748827312</v>
      </c>
      <c r="EX128" s="311">
        <f t="shared" si="392"/>
        <v>1650.8664095454544</v>
      </c>
      <c r="EY128" s="311">
        <f t="shared" si="393"/>
        <v>1271.5464095454545</v>
      </c>
      <c r="EZ128" s="311">
        <f t="shared" si="394"/>
        <v>379.32</v>
      </c>
      <c r="FA128" s="311">
        <f t="shared" si="395"/>
        <v>817.20593454545451</v>
      </c>
      <c r="FB128" s="311">
        <f t="shared" si="396"/>
        <v>627.54593454545454</v>
      </c>
      <c r="FC128" s="311">
        <f t="shared" si="397"/>
        <v>189.66</v>
      </c>
      <c r="FD128" s="311">
        <f t="shared" si="398"/>
        <v>0</v>
      </c>
      <c r="FE128" s="311">
        <f t="shared" si="399"/>
        <v>0</v>
      </c>
      <c r="FF128" s="311">
        <f t="shared" si="400"/>
        <v>0</v>
      </c>
      <c r="FG128" s="311">
        <f t="shared" si="401"/>
        <v>0</v>
      </c>
      <c r="FH128" s="311">
        <f t="shared" si="402"/>
        <v>0</v>
      </c>
      <c r="FI128" s="311">
        <f t="shared" si="403"/>
        <v>0</v>
      </c>
      <c r="FJ128" s="311">
        <f t="shared" si="404"/>
        <v>833.66047500000002</v>
      </c>
      <c r="FK128" s="311">
        <f t="shared" si="405"/>
        <v>644.00047500000005</v>
      </c>
      <c r="FL128" s="311">
        <f t="shared" si="406"/>
        <v>189.66</v>
      </c>
      <c r="FM128" s="657"/>
      <c r="FN128" s="293" t="s">
        <v>2649</v>
      </c>
      <c r="FO128" s="728">
        <v>5.3999999999999999E-2</v>
      </c>
      <c r="FP128" s="729">
        <v>0.80930000000000002</v>
      </c>
      <c r="FQ128" s="294" t="s">
        <v>4852</v>
      </c>
      <c r="FR128" s="657"/>
      <c r="FS128" s="865">
        <v>3.59</v>
      </c>
      <c r="FT128" s="312">
        <f>RANK($FS128,$FS$8:$FS$154,0)+COUNTIF($FS$8:$FS128,$FS128)-1</f>
        <v>34</v>
      </c>
      <c r="FU128" s="865">
        <v>4.22</v>
      </c>
      <c r="FV128" s="312">
        <f>RANK($FU128,$FU$8:$FU$154,0)+COUNTIF($FU$8:$FU128,$FU128)-1</f>
        <v>41</v>
      </c>
      <c r="FW128" s="865">
        <v>2.48</v>
      </c>
      <c r="FX128" s="312">
        <f>RANK($FW128,$FW$8:$FW$154,0)+COUNTIF($FW$8:$FW128,$FW128)-1</f>
        <v>42</v>
      </c>
      <c r="FY128" s="657"/>
      <c r="FZ128" s="296" t="s">
        <v>4853</v>
      </c>
      <c r="GA128" s="296" t="s">
        <v>4854</v>
      </c>
      <c r="GB128" s="296" t="s">
        <v>2653</v>
      </c>
      <c r="GC128" s="296" t="s">
        <v>2654</v>
      </c>
      <c r="GD128" s="296" t="s">
        <v>2655</v>
      </c>
      <c r="GE128" s="296" t="s">
        <v>2656</v>
      </c>
      <c r="GF128" s="296" t="str">
        <f t="shared" si="449"/>
        <v>https://www.statistiques.developpement-durable.gouv.fr/construction-de-locaux-resultats-fin-janvier-2026-france-entiere
https://www.insee.fr/fr/statistiques/8671745
https://www.insee.fr/fr/statistiques/8906564</v>
      </c>
      <c r="GG128" s="657"/>
      <c r="GH128" s="311">
        <f t="shared" si="407"/>
        <v>79.512149999999991</v>
      </c>
      <c r="GI128" s="311">
        <f t="shared" si="337"/>
        <v>64.339349999999996</v>
      </c>
      <c r="GJ128" s="311">
        <f t="shared" si="408"/>
        <v>15.172800000000001</v>
      </c>
      <c r="GK128" s="311">
        <f t="shared" si="409"/>
        <v>610.47497454545453</v>
      </c>
      <c r="GL128" s="311">
        <f t="shared" si="338"/>
        <v>466.33337454545455</v>
      </c>
      <c r="GM128" s="311">
        <f t="shared" si="410"/>
        <v>144.14160000000001</v>
      </c>
      <c r="GN128" s="311">
        <f t="shared" si="411"/>
        <v>77.235600000000005</v>
      </c>
      <c r="GO128" s="311">
        <f t="shared" si="339"/>
        <v>58.269599999999997</v>
      </c>
      <c r="GP128" s="311">
        <f t="shared" si="412"/>
        <v>18.966000000000001</v>
      </c>
      <c r="GQ128" s="311">
        <f t="shared" si="413"/>
        <v>49.98321</v>
      </c>
      <c r="GR128" s="311">
        <f t="shared" si="340"/>
        <v>38.603609999999996</v>
      </c>
      <c r="GS128" s="311">
        <f t="shared" si="414"/>
        <v>11.3796</v>
      </c>
      <c r="GT128" s="311">
        <f t="shared" si="415"/>
        <v>0</v>
      </c>
      <c r="GU128" s="311">
        <f t="shared" si="341"/>
        <v>0</v>
      </c>
      <c r="GV128" s="311">
        <f t="shared" si="416"/>
        <v>0</v>
      </c>
      <c r="GW128" s="311">
        <f t="shared" si="417"/>
        <v>0</v>
      </c>
      <c r="GX128" s="311">
        <f t="shared" si="342"/>
        <v>0</v>
      </c>
      <c r="GY128" s="311">
        <f t="shared" si="418"/>
        <v>0</v>
      </c>
      <c r="GZ128" s="311">
        <f t="shared" si="419"/>
        <v>0</v>
      </c>
      <c r="HA128" s="311">
        <f t="shared" si="343"/>
        <v>0</v>
      </c>
      <c r="HB128" s="311">
        <f t="shared" si="420"/>
        <v>0</v>
      </c>
      <c r="HC128" s="311">
        <f t="shared" si="421"/>
        <v>0</v>
      </c>
      <c r="HD128" s="311">
        <f t="shared" si="344"/>
        <v>0</v>
      </c>
      <c r="HE128" s="311">
        <f t="shared" si="422"/>
        <v>0</v>
      </c>
      <c r="HF128" s="311">
        <f t="shared" si="423"/>
        <v>0</v>
      </c>
      <c r="HG128" s="311">
        <f t="shared" si="345"/>
        <v>0</v>
      </c>
      <c r="HH128" s="311">
        <f t="shared" si="424"/>
        <v>0</v>
      </c>
      <c r="HI128" s="311">
        <f t="shared" si="425"/>
        <v>0</v>
      </c>
      <c r="HJ128" s="311">
        <f t="shared" si="346"/>
        <v>0</v>
      </c>
      <c r="HK128" s="311">
        <f t="shared" si="426"/>
        <v>0</v>
      </c>
      <c r="HL128" s="311">
        <f t="shared" si="427"/>
        <v>0</v>
      </c>
      <c r="HM128" s="311">
        <f t="shared" si="347"/>
        <v>0</v>
      </c>
      <c r="HN128" s="311">
        <f t="shared" si="428"/>
        <v>0</v>
      </c>
      <c r="HO128" s="311">
        <f t="shared" si="429"/>
        <v>189.29737499999999</v>
      </c>
      <c r="HP128" s="311">
        <f t="shared" si="348"/>
        <v>160.848375</v>
      </c>
      <c r="HQ128" s="311">
        <f t="shared" si="430"/>
        <v>28.448999999999998</v>
      </c>
      <c r="HR128" s="311">
        <f t="shared" si="431"/>
        <v>447.48090000000008</v>
      </c>
      <c r="HS128" s="311">
        <f t="shared" si="349"/>
        <v>337.4781000000001</v>
      </c>
      <c r="HT128" s="311">
        <f t="shared" si="432"/>
        <v>110.00279999999999</v>
      </c>
      <c r="HU128" s="311">
        <f t="shared" si="433"/>
        <v>196.88220000000001</v>
      </c>
      <c r="HV128" s="311">
        <f t="shared" si="350"/>
        <v>145.67400000000001</v>
      </c>
      <c r="HW128" s="311">
        <f t="shared" si="434"/>
        <v>51.208200000000005</v>
      </c>
      <c r="HY128" s="313">
        <f t="shared" si="435"/>
        <v>2580</v>
      </c>
      <c r="HZ128" s="313">
        <f t="shared" si="436"/>
        <v>213.88200000000001</v>
      </c>
      <c r="IA128" s="313">
        <f t="shared" si="437"/>
        <v>1305.3510000000001</v>
      </c>
      <c r="IB128" s="313">
        <f t="shared" si="438"/>
        <v>942.73199999999997</v>
      </c>
      <c r="IC128" s="313">
        <f t="shared" si="439"/>
        <v>117.90600000000001</v>
      </c>
      <c r="ID128" s="313">
        <f t="shared" si="440"/>
        <v>0.129</v>
      </c>
      <c r="IE128" s="313">
        <f t="shared" si="441"/>
        <v>1271.5464095454547</v>
      </c>
      <c r="IF128" s="313">
        <f t="shared" si="442"/>
        <v>73.415945998090919</v>
      </c>
      <c r="IG128" s="313">
        <f t="shared" si="443"/>
        <v>604.27318101122728</v>
      </c>
      <c r="IH128" s="313">
        <f t="shared" si="444"/>
        <v>496.59033668236361</v>
      </c>
      <c r="II128" s="313">
        <f t="shared" si="445"/>
        <v>90.081885912818194</v>
      </c>
      <c r="IJ128" s="313">
        <f t="shared" si="446"/>
        <v>7.1850599409545453</v>
      </c>
      <c r="IK128" s="866">
        <v>4.18</v>
      </c>
      <c r="IL128" s="314" t="s">
        <v>2589</v>
      </c>
      <c r="IM128" s="299" t="s">
        <v>4855</v>
      </c>
      <c r="IN128" s="657"/>
      <c r="IO128" s="730">
        <v>0.08</v>
      </c>
      <c r="IP128" s="730">
        <v>0.5</v>
      </c>
      <c r="IQ128" s="730">
        <v>0.37</v>
      </c>
      <c r="IR128" s="730">
        <v>0.05</v>
      </c>
      <c r="IS128" s="730">
        <v>0</v>
      </c>
      <c r="IT128" s="730">
        <v>5.4800000000000001E-2</v>
      </c>
      <c r="IU128" s="730">
        <v>0.46920000000000001</v>
      </c>
      <c r="IV128" s="730">
        <v>0.3952</v>
      </c>
      <c r="IW128" s="730">
        <v>7.5200000000000003E-2</v>
      </c>
      <c r="IX128" s="730">
        <v>5.5999999999999999E-3</v>
      </c>
      <c r="IY128" s="730">
        <v>0</v>
      </c>
      <c r="IZ128" s="730">
        <v>0</v>
      </c>
      <c r="JA128" s="730">
        <v>0</v>
      </c>
      <c r="JB128" s="730">
        <v>0</v>
      </c>
      <c r="JC128" s="730">
        <v>0</v>
      </c>
      <c r="JD128" s="730">
        <v>0</v>
      </c>
      <c r="JE128" s="730">
        <v>0</v>
      </c>
      <c r="JF128" s="730">
        <v>0</v>
      </c>
      <c r="JG128" s="730">
        <v>0</v>
      </c>
      <c r="JH128" s="730">
        <v>0</v>
      </c>
      <c r="JI128" s="730">
        <v>0</v>
      </c>
      <c r="JJ128" s="730">
        <v>0</v>
      </c>
      <c r="JK128" s="730">
        <v>0</v>
      </c>
      <c r="JL128" s="730">
        <v>0</v>
      </c>
      <c r="JM128" s="730">
        <v>0</v>
      </c>
      <c r="JN128" s="730">
        <v>0</v>
      </c>
      <c r="JO128" s="730">
        <v>0</v>
      </c>
      <c r="JP128" s="730">
        <v>0</v>
      </c>
      <c r="JQ128" s="730">
        <v>0</v>
      </c>
      <c r="JR128" s="730">
        <v>0</v>
      </c>
      <c r="JS128" s="730">
        <v>8.5800000000000001E-2</v>
      </c>
      <c r="JT128" s="730">
        <v>0.51190000000000002</v>
      </c>
      <c r="JU128" s="730">
        <v>0.36080000000000001</v>
      </c>
      <c r="JV128" s="730">
        <v>4.1399999999999999E-2</v>
      </c>
      <c r="JW128" s="730">
        <v>1E-4</v>
      </c>
      <c r="JX128" s="730">
        <v>6.0600000000000001E-2</v>
      </c>
      <c r="JY128" s="730">
        <v>0.48110000000000003</v>
      </c>
      <c r="JZ128" s="730">
        <v>0.38600000000000001</v>
      </c>
      <c r="KA128" s="730">
        <v>6.6600000000000006E-2</v>
      </c>
      <c r="KB128" s="730">
        <v>5.7000000000000002E-3</v>
      </c>
      <c r="KC128" s="657"/>
      <c r="KD128" s="314" t="s">
        <v>2590</v>
      </c>
      <c r="KE128" s="314" t="s">
        <v>2591</v>
      </c>
      <c r="KF128" s="866">
        <v>4.13</v>
      </c>
      <c r="KG128" s="314" t="s">
        <v>2589</v>
      </c>
      <c r="KH128" s="315" t="s">
        <v>4856</v>
      </c>
      <c r="KI128" s="314" t="s">
        <v>3028</v>
      </c>
      <c r="KJ128" s="315" t="s">
        <v>4857</v>
      </c>
    </row>
    <row r="129" spans="1:383" ht="48" hidden="1" customHeight="1">
      <c r="A129" s="265">
        <f t="shared" si="447"/>
        <v>122</v>
      </c>
      <c r="B129" s="266" t="s">
        <v>2285</v>
      </c>
      <c r="C129" s="266" t="s">
        <v>4836</v>
      </c>
      <c r="D129" s="624" t="s">
        <v>4858</v>
      </c>
      <c r="E129" s="267" t="s">
        <v>2289</v>
      </c>
      <c r="F129" s="267" t="s">
        <v>4838</v>
      </c>
      <c r="G129" s="267" t="s">
        <v>4083</v>
      </c>
      <c r="H129" s="267" t="s">
        <v>2109</v>
      </c>
      <c r="I129" s="268" t="s">
        <v>4859</v>
      </c>
      <c r="J129" s="268" t="s">
        <v>4860</v>
      </c>
      <c r="K129" s="269" t="s">
        <v>2097</v>
      </c>
      <c r="L129" s="269" t="s">
        <v>2109</v>
      </c>
      <c r="M129" s="269" t="s">
        <v>4861</v>
      </c>
      <c r="N129" s="269" t="s">
        <v>4842</v>
      </c>
      <c r="O129" s="267" t="s">
        <v>2616</v>
      </c>
      <c r="P129" s="268"/>
      <c r="Q129" s="270">
        <v>1</v>
      </c>
      <c r="R129" s="271">
        <v>450</v>
      </c>
      <c r="S129" s="272">
        <v>3100</v>
      </c>
      <c r="T129" s="272">
        <v>3250</v>
      </c>
      <c r="U129" s="272">
        <v>3400</v>
      </c>
      <c r="V129" s="272">
        <v>3500</v>
      </c>
      <c r="W129" s="272">
        <v>3520</v>
      </c>
      <c r="X129" s="272">
        <v>3540</v>
      </c>
      <c r="Y129" s="272">
        <v>3560</v>
      </c>
      <c r="Z129" s="272">
        <v>3580</v>
      </c>
      <c r="AA129" s="272">
        <v>3550</v>
      </c>
      <c r="AB129" s="272">
        <v>3580</v>
      </c>
      <c r="AC129" s="272">
        <v>3600</v>
      </c>
      <c r="AD129" s="272">
        <v>3620</v>
      </c>
      <c r="AE129" s="272">
        <v>3650</v>
      </c>
      <c r="AF129" s="272">
        <v>3670</v>
      </c>
      <c r="AG129" s="272">
        <v>3700</v>
      </c>
      <c r="AH129" s="272">
        <v>3730</v>
      </c>
      <c r="AI129" s="272">
        <v>3760</v>
      </c>
      <c r="AJ129" s="272">
        <v>3790</v>
      </c>
      <c r="AK129" s="272">
        <v>3820</v>
      </c>
      <c r="AL129" s="268" t="s">
        <v>4862</v>
      </c>
      <c r="AM129" s="268" t="s">
        <v>4863</v>
      </c>
      <c r="AN129" s="268" t="s">
        <v>4864</v>
      </c>
      <c r="AO129" s="657"/>
      <c r="AP129" s="271">
        <v>500</v>
      </c>
      <c r="AQ129" s="280">
        <v>470</v>
      </c>
      <c r="AR129" s="280">
        <v>25</v>
      </c>
      <c r="AS129" s="280">
        <v>5</v>
      </c>
      <c r="AT129" s="657"/>
      <c r="AU129" s="301" t="s">
        <v>4865</v>
      </c>
      <c r="AV129" s="572" t="s">
        <v>4866</v>
      </c>
      <c r="AW129" s="645" t="s">
        <v>2957</v>
      </c>
      <c r="AX129" s="290" t="s">
        <v>4796</v>
      </c>
      <c r="AY129" s="657"/>
      <c r="AZ129" s="948">
        <v>4</v>
      </c>
      <c r="BA129" s="948">
        <v>0</v>
      </c>
      <c r="BB129" s="948">
        <v>0</v>
      </c>
      <c r="BC129" s="948">
        <v>4</v>
      </c>
      <c r="BD129" s="825">
        <f t="shared" si="352"/>
        <v>29360</v>
      </c>
      <c r="BE129" s="304">
        <f t="shared" si="353"/>
        <v>14680</v>
      </c>
      <c r="BF129" s="304">
        <f t="shared" si="354"/>
        <v>0</v>
      </c>
      <c r="BG129" s="304">
        <f t="shared" si="355"/>
        <v>0</v>
      </c>
      <c r="BH129" s="304">
        <f t="shared" si="356"/>
        <v>14680</v>
      </c>
      <c r="BI129" s="825">
        <f t="shared" si="357"/>
        <v>30560</v>
      </c>
      <c r="BJ129" s="304">
        <f t="shared" si="358"/>
        <v>15280</v>
      </c>
      <c r="BK129" s="304">
        <f t="shared" si="359"/>
        <v>0</v>
      </c>
      <c r="BL129" s="304">
        <f t="shared" si="360"/>
        <v>0</v>
      </c>
      <c r="BM129" s="304">
        <f t="shared" si="361"/>
        <v>15280</v>
      </c>
      <c r="BN129" s="657"/>
      <c r="BO129" s="284">
        <v>0.1</v>
      </c>
      <c r="BP129" s="284">
        <v>0.76</v>
      </c>
      <c r="BQ129" s="284">
        <v>0.08</v>
      </c>
      <c r="BR129" s="710">
        <v>0.06</v>
      </c>
      <c r="BS129" s="707">
        <v>0.08</v>
      </c>
      <c r="BT129" s="284">
        <v>0.76</v>
      </c>
      <c r="BU129" s="284">
        <v>0.1</v>
      </c>
      <c r="BV129" s="710">
        <v>0.06</v>
      </c>
      <c r="BW129" s="714"/>
      <c r="BX129" s="285"/>
      <c r="BY129" s="717"/>
      <c r="BZ129" s="714"/>
      <c r="CA129" s="285"/>
      <c r="CB129" s="717"/>
      <c r="CC129" s="284"/>
      <c r="CD129" s="284"/>
      <c r="CE129" s="284"/>
      <c r="CF129" s="710"/>
      <c r="CG129" s="707"/>
      <c r="CH129" s="284"/>
      <c r="CI129" s="284"/>
      <c r="CJ129" s="710"/>
      <c r="CK129" s="720">
        <v>0.25</v>
      </c>
      <c r="CL129" s="286">
        <v>0.55000000000000004</v>
      </c>
      <c r="CM129" s="718">
        <v>0.2</v>
      </c>
      <c r="CN129" s="720">
        <v>0.15</v>
      </c>
      <c r="CO129" s="286">
        <v>0.57999999999999996</v>
      </c>
      <c r="CP129" s="718">
        <v>0.27</v>
      </c>
      <c r="CQ129" s="657"/>
      <c r="CR129" s="807">
        <v>10</v>
      </c>
      <c r="CS129" s="808">
        <v>11</v>
      </c>
      <c r="CT129" s="808">
        <v>8</v>
      </c>
      <c r="CU129" s="809">
        <v>10</v>
      </c>
      <c r="CV129" s="807"/>
      <c r="CW129" s="808"/>
      <c r="CX129" s="809"/>
      <c r="CY129" s="807"/>
      <c r="CZ129" s="808"/>
      <c r="DA129" s="808"/>
      <c r="DB129" s="809"/>
      <c r="DC129" s="807">
        <v>10</v>
      </c>
      <c r="DD129" s="808">
        <v>11</v>
      </c>
      <c r="DE129" s="809">
        <v>8</v>
      </c>
      <c r="DF129" s="610" t="s">
        <v>4867</v>
      </c>
      <c r="DG129" s="657"/>
      <c r="DH129" s="288">
        <f t="shared" si="362"/>
        <v>1468</v>
      </c>
      <c r="DI129" s="288">
        <f t="shared" si="363"/>
        <v>11156.8</v>
      </c>
      <c r="DJ129" s="288">
        <f t="shared" si="364"/>
        <v>1174.4000000000001</v>
      </c>
      <c r="DK129" s="288">
        <f t="shared" si="365"/>
        <v>880.8</v>
      </c>
      <c r="DL129" s="560" t="s">
        <v>4868</v>
      </c>
      <c r="DM129" s="288">
        <f t="shared" si="366"/>
        <v>1222.4000000000001</v>
      </c>
      <c r="DN129" s="288">
        <f t="shared" si="367"/>
        <v>11612.8</v>
      </c>
      <c r="DO129" s="288">
        <f t="shared" si="368"/>
        <v>1528</v>
      </c>
      <c r="DP129" s="288">
        <f t="shared" si="369"/>
        <v>916.8</v>
      </c>
      <c r="DQ129" s="561" t="s">
        <v>2644</v>
      </c>
      <c r="DR129" s="657"/>
      <c r="DS129" s="288">
        <f t="shared" si="370"/>
        <v>0</v>
      </c>
      <c r="DT129" s="288">
        <f t="shared" si="371"/>
        <v>0</v>
      </c>
      <c r="DU129" s="288">
        <f t="shared" si="372"/>
        <v>0</v>
      </c>
      <c r="DV129" s="561" t="s">
        <v>2613</v>
      </c>
      <c r="DW129" s="288">
        <f t="shared" si="373"/>
        <v>0</v>
      </c>
      <c r="DX129" s="288">
        <f t="shared" si="374"/>
        <v>0</v>
      </c>
      <c r="DY129" s="288">
        <f t="shared" si="375"/>
        <v>0</v>
      </c>
      <c r="DZ129" s="561" t="s">
        <v>2613</v>
      </c>
      <c r="EA129" s="657"/>
      <c r="EB129" s="288">
        <f t="shared" si="376"/>
        <v>0</v>
      </c>
      <c r="EC129" s="288">
        <f t="shared" si="377"/>
        <v>0</v>
      </c>
      <c r="ED129" s="288">
        <f t="shared" si="378"/>
        <v>0</v>
      </c>
      <c r="EE129" s="288">
        <f t="shared" si="379"/>
        <v>0</v>
      </c>
      <c r="EF129" s="561" t="s">
        <v>3552</v>
      </c>
      <c r="EG129" s="288">
        <f t="shared" si="380"/>
        <v>0</v>
      </c>
      <c r="EH129" s="288">
        <f t="shared" si="381"/>
        <v>0</v>
      </c>
      <c r="EI129" s="288">
        <f t="shared" si="382"/>
        <v>0</v>
      </c>
      <c r="EJ129" s="288">
        <f t="shared" si="383"/>
        <v>0</v>
      </c>
      <c r="EK129" s="561" t="s">
        <v>3553</v>
      </c>
      <c r="EL129" s="657"/>
      <c r="EM129" s="288">
        <f t="shared" si="384"/>
        <v>3670</v>
      </c>
      <c r="EN129" s="291">
        <f t="shared" si="385"/>
        <v>8074.0000000000009</v>
      </c>
      <c r="EO129" s="291">
        <f t="shared" si="386"/>
        <v>2936</v>
      </c>
      <c r="EP129" s="561" t="s">
        <v>4869</v>
      </c>
      <c r="EQ129" s="288">
        <f t="shared" si="387"/>
        <v>2292</v>
      </c>
      <c r="ER129" s="291">
        <f t="shared" si="388"/>
        <v>8862.4</v>
      </c>
      <c r="ES129" s="291">
        <f t="shared" si="389"/>
        <v>4125.6000000000004</v>
      </c>
      <c r="ET129" s="561" t="s">
        <v>2985</v>
      </c>
      <c r="EU129" s="657"/>
      <c r="EV129" s="740">
        <f t="shared" si="390"/>
        <v>0.80089411724005011</v>
      </c>
      <c r="EW129" s="740">
        <f t="shared" si="391"/>
        <v>0.19910588275994984</v>
      </c>
      <c r="EX129" s="563">
        <f t="shared" si="392"/>
        <v>13989.742349090911</v>
      </c>
      <c r="EY129" s="563">
        <f t="shared" si="393"/>
        <v>11204.302349090911</v>
      </c>
      <c r="EZ129" s="563">
        <f t="shared" si="394"/>
        <v>2785.44</v>
      </c>
      <c r="FA129" s="563">
        <f t="shared" si="395"/>
        <v>6849.3737490909098</v>
      </c>
      <c r="FB129" s="563">
        <f t="shared" si="396"/>
        <v>5456.6537490909095</v>
      </c>
      <c r="FC129" s="563">
        <f t="shared" si="397"/>
        <v>1392.72</v>
      </c>
      <c r="FD129" s="563">
        <f t="shared" si="398"/>
        <v>0</v>
      </c>
      <c r="FE129" s="563">
        <f t="shared" si="399"/>
        <v>0</v>
      </c>
      <c r="FF129" s="563">
        <f t="shared" si="400"/>
        <v>0</v>
      </c>
      <c r="FG129" s="563">
        <f t="shared" si="401"/>
        <v>0</v>
      </c>
      <c r="FH129" s="563">
        <f t="shared" si="402"/>
        <v>0</v>
      </c>
      <c r="FI129" s="563">
        <f t="shared" si="403"/>
        <v>0</v>
      </c>
      <c r="FJ129" s="563">
        <f t="shared" si="404"/>
        <v>7140.3686000000007</v>
      </c>
      <c r="FK129" s="563">
        <f t="shared" si="405"/>
        <v>5747.6486000000004</v>
      </c>
      <c r="FL129" s="563">
        <f t="shared" si="406"/>
        <v>1392.72</v>
      </c>
      <c r="FM129" s="529"/>
      <c r="FN129" s="564" t="s">
        <v>2649</v>
      </c>
      <c r="FO129" s="740">
        <v>5.3999999999999999E-2</v>
      </c>
      <c r="FP129" s="741">
        <v>0.80930000000000002</v>
      </c>
      <c r="FQ129" s="565" t="s">
        <v>4852</v>
      </c>
      <c r="FR129" s="529"/>
      <c r="FS129" s="867">
        <v>3.59</v>
      </c>
      <c r="FT129" s="566">
        <f>RANK($FS129,$FS$8:$FS$154,0)+COUNTIF($FS$8:$FS129,$FS129)-1</f>
        <v>35</v>
      </c>
      <c r="FU129" s="867">
        <v>4.22</v>
      </c>
      <c r="FV129" s="566">
        <f>RANK($FU129,$FU$8:$FU$154,0)+COUNTIF($FU$8:$FU129,$FU129)-1</f>
        <v>42</v>
      </c>
      <c r="FW129" s="867">
        <v>2.48</v>
      </c>
      <c r="FX129" s="566">
        <f>RANK($FW129,$FW$8:$FW$154,0)+COUNTIF($FW$8:$FW129,$FW129)-1</f>
        <v>43</v>
      </c>
      <c r="FY129" s="529"/>
      <c r="FZ129" s="567" t="s">
        <v>4853</v>
      </c>
      <c r="GA129" s="567" t="s">
        <v>4870</v>
      </c>
      <c r="GB129" s="567" t="s">
        <v>2653</v>
      </c>
      <c r="GC129" s="567" t="s">
        <v>2654</v>
      </c>
      <c r="GD129" s="567" t="s">
        <v>2655</v>
      </c>
      <c r="GE129" s="567" t="s">
        <v>2656</v>
      </c>
      <c r="GF129" s="567" t="str">
        <f t="shared" si="449"/>
        <v>https://www.statistiques.developpement-durable.gouv.fr/construction-de-locaux-resultats-fin-janvier-2026-france-entiere
https://www.insee.fr/fr/statistiques/8671745
https://www.insee.fr/fr/statistiques/8906564</v>
      </c>
      <c r="GG129" s="529"/>
      <c r="GH129" s="563">
        <f t="shared" si="407"/>
        <v>686.02059999999994</v>
      </c>
      <c r="GI129" s="563">
        <f t="shared" si="337"/>
        <v>574.60299999999995</v>
      </c>
      <c r="GJ129" s="563">
        <f t="shared" si="408"/>
        <v>111.41760000000001</v>
      </c>
      <c r="GK129" s="563">
        <f t="shared" si="409"/>
        <v>5017.268509090909</v>
      </c>
      <c r="GL129" s="563">
        <f t="shared" si="338"/>
        <v>3958.8013090909089</v>
      </c>
      <c r="GM129" s="563">
        <f t="shared" si="410"/>
        <v>1058.4672</v>
      </c>
      <c r="GN129" s="563">
        <f t="shared" si="411"/>
        <v>717.7596400000001</v>
      </c>
      <c r="GO129" s="563">
        <f t="shared" si="339"/>
        <v>578.48764000000006</v>
      </c>
      <c r="GP129" s="563">
        <f t="shared" si="412"/>
        <v>139.27200000000002</v>
      </c>
      <c r="GQ129" s="563">
        <f t="shared" si="413"/>
        <v>428.32499999999993</v>
      </c>
      <c r="GR129" s="563">
        <f t="shared" si="340"/>
        <v>344.76179999999994</v>
      </c>
      <c r="GS129" s="563">
        <f t="shared" si="414"/>
        <v>83.563199999999995</v>
      </c>
      <c r="GT129" s="563">
        <f t="shared" si="415"/>
        <v>0</v>
      </c>
      <c r="GU129" s="563">
        <f t="shared" si="341"/>
        <v>0</v>
      </c>
      <c r="GV129" s="563">
        <f t="shared" si="416"/>
        <v>0</v>
      </c>
      <c r="GW129" s="563">
        <f t="shared" si="417"/>
        <v>0</v>
      </c>
      <c r="GX129" s="563">
        <f t="shared" si="342"/>
        <v>0</v>
      </c>
      <c r="GY129" s="563">
        <f t="shared" si="418"/>
        <v>0</v>
      </c>
      <c r="GZ129" s="563">
        <f t="shared" si="419"/>
        <v>0</v>
      </c>
      <c r="HA129" s="563">
        <f t="shared" si="343"/>
        <v>0</v>
      </c>
      <c r="HB129" s="563">
        <f t="shared" si="420"/>
        <v>0</v>
      </c>
      <c r="HC129" s="563">
        <f t="shared" si="421"/>
        <v>0</v>
      </c>
      <c r="HD129" s="563">
        <f t="shared" si="344"/>
        <v>0</v>
      </c>
      <c r="HE129" s="563">
        <f t="shared" si="422"/>
        <v>0</v>
      </c>
      <c r="HF129" s="563">
        <f t="shared" si="423"/>
        <v>0</v>
      </c>
      <c r="HG129" s="563">
        <f t="shared" si="345"/>
        <v>0</v>
      </c>
      <c r="HH129" s="563">
        <f t="shared" si="424"/>
        <v>0</v>
      </c>
      <c r="HI129" s="563">
        <f t="shared" si="425"/>
        <v>0</v>
      </c>
      <c r="HJ129" s="563">
        <f t="shared" si="346"/>
        <v>0</v>
      </c>
      <c r="HK129" s="563">
        <f t="shared" si="426"/>
        <v>0</v>
      </c>
      <c r="HL129" s="563">
        <f t="shared" si="427"/>
        <v>0</v>
      </c>
      <c r="HM129" s="563">
        <f t="shared" si="347"/>
        <v>0</v>
      </c>
      <c r="HN129" s="563">
        <f t="shared" si="428"/>
        <v>0</v>
      </c>
      <c r="HO129" s="563">
        <f t="shared" si="429"/>
        <v>1645.4155000000001</v>
      </c>
      <c r="HP129" s="563">
        <f t="shared" si="348"/>
        <v>1436.5075000000002</v>
      </c>
      <c r="HQ129" s="563">
        <f t="shared" si="430"/>
        <v>208.90799999999999</v>
      </c>
      <c r="HR129" s="563">
        <f t="shared" si="431"/>
        <v>3672.6996000000004</v>
      </c>
      <c r="HS129" s="563">
        <f t="shared" si="349"/>
        <v>2864.9220000000005</v>
      </c>
      <c r="HT129" s="563">
        <f t="shared" si="432"/>
        <v>807.77760000000001</v>
      </c>
      <c r="HU129" s="563">
        <f t="shared" si="433"/>
        <v>1822.2535</v>
      </c>
      <c r="HV129" s="563">
        <f t="shared" si="350"/>
        <v>1446.2191</v>
      </c>
      <c r="HW129" s="563">
        <f t="shared" si="434"/>
        <v>376.03440000000001</v>
      </c>
      <c r="HX129" s="544"/>
      <c r="HY129" s="568">
        <f t="shared" si="435"/>
        <v>29360</v>
      </c>
      <c r="HZ129" s="568">
        <f t="shared" si="436"/>
        <v>2433.9440000000004</v>
      </c>
      <c r="IA129" s="568">
        <f t="shared" si="437"/>
        <v>14854.691999999999</v>
      </c>
      <c r="IB129" s="568">
        <f t="shared" si="438"/>
        <v>10728.144</v>
      </c>
      <c r="IC129" s="568">
        <f t="shared" si="439"/>
        <v>1341.752</v>
      </c>
      <c r="ID129" s="568">
        <f t="shared" si="440"/>
        <v>1.468</v>
      </c>
      <c r="IE129" s="568">
        <f t="shared" si="441"/>
        <v>11204.302349090909</v>
      </c>
      <c r="IF129" s="568">
        <f t="shared" si="442"/>
        <v>647.33213061018182</v>
      </c>
      <c r="IG129" s="568">
        <f t="shared" si="443"/>
        <v>5325.4556805334551</v>
      </c>
      <c r="IH129" s="568">
        <f t="shared" si="444"/>
        <v>4375.0619212407273</v>
      </c>
      <c r="II129" s="568">
        <f t="shared" si="445"/>
        <v>793.13375869163656</v>
      </c>
      <c r="IJ129" s="568">
        <f t="shared" si="446"/>
        <v>63.318858014909097</v>
      </c>
      <c r="IK129" s="868">
        <v>4.18</v>
      </c>
      <c r="IL129" s="569" t="s">
        <v>2589</v>
      </c>
      <c r="IM129" s="570" t="s">
        <v>4871</v>
      </c>
      <c r="IN129" s="529"/>
      <c r="IO129" s="742">
        <v>0.08</v>
      </c>
      <c r="IP129" s="742">
        <v>0.5</v>
      </c>
      <c r="IQ129" s="742">
        <v>0.37</v>
      </c>
      <c r="IR129" s="742">
        <v>0.05</v>
      </c>
      <c r="IS129" s="742">
        <v>0</v>
      </c>
      <c r="IT129" s="742">
        <v>5.4800000000000001E-2</v>
      </c>
      <c r="IU129" s="742">
        <v>0.46920000000000001</v>
      </c>
      <c r="IV129" s="742">
        <v>0.3952</v>
      </c>
      <c r="IW129" s="742">
        <v>7.5200000000000003E-2</v>
      </c>
      <c r="IX129" s="742">
        <v>5.5999999999999999E-3</v>
      </c>
      <c r="IY129" s="742">
        <v>0</v>
      </c>
      <c r="IZ129" s="742">
        <v>0</v>
      </c>
      <c r="JA129" s="742">
        <v>0</v>
      </c>
      <c r="JB129" s="742">
        <v>0</v>
      </c>
      <c r="JC129" s="742">
        <v>0</v>
      </c>
      <c r="JD129" s="742">
        <v>0</v>
      </c>
      <c r="JE129" s="742">
        <v>0</v>
      </c>
      <c r="JF129" s="742">
        <v>0</v>
      </c>
      <c r="JG129" s="742">
        <v>0</v>
      </c>
      <c r="JH129" s="742">
        <v>0</v>
      </c>
      <c r="JI129" s="742">
        <v>0</v>
      </c>
      <c r="JJ129" s="742">
        <v>0</v>
      </c>
      <c r="JK129" s="742">
        <v>0</v>
      </c>
      <c r="JL129" s="742">
        <v>0</v>
      </c>
      <c r="JM129" s="742">
        <v>0</v>
      </c>
      <c r="JN129" s="742">
        <v>0</v>
      </c>
      <c r="JO129" s="742">
        <v>0</v>
      </c>
      <c r="JP129" s="742">
        <v>0</v>
      </c>
      <c r="JQ129" s="742">
        <v>0</v>
      </c>
      <c r="JR129" s="742">
        <v>0</v>
      </c>
      <c r="JS129" s="742">
        <v>8.5800000000000001E-2</v>
      </c>
      <c r="JT129" s="742">
        <v>0.51190000000000002</v>
      </c>
      <c r="JU129" s="742">
        <v>0.36080000000000001</v>
      </c>
      <c r="JV129" s="742">
        <v>4.1399999999999999E-2</v>
      </c>
      <c r="JW129" s="742">
        <v>1E-4</v>
      </c>
      <c r="JX129" s="742">
        <v>6.0600000000000001E-2</v>
      </c>
      <c r="JY129" s="742">
        <v>0.48110000000000003</v>
      </c>
      <c r="JZ129" s="742">
        <v>0.38600000000000001</v>
      </c>
      <c r="KA129" s="742">
        <v>6.6600000000000006E-2</v>
      </c>
      <c r="KB129" s="742">
        <v>5.7000000000000002E-3</v>
      </c>
      <c r="KC129" s="657"/>
      <c r="KD129" s="832" t="s">
        <v>2590</v>
      </c>
      <c r="KE129" s="832" t="s">
        <v>2591</v>
      </c>
      <c r="KF129" s="869">
        <v>4.13</v>
      </c>
      <c r="KG129" s="832" t="s">
        <v>2589</v>
      </c>
      <c r="KH129" s="833" t="s">
        <v>4856</v>
      </c>
      <c r="KI129" s="832" t="s">
        <v>3028</v>
      </c>
      <c r="KJ129" s="833" t="s">
        <v>4872</v>
      </c>
    </row>
    <row r="130" spans="1:383" ht="48" hidden="1" customHeight="1">
      <c r="A130" s="273">
        <f t="shared" si="447"/>
        <v>123</v>
      </c>
      <c r="B130" s="274" t="s">
        <v>2285</v>
      </c>
      <c r="C130" s="274" t="s">
        <v>4836</v>
      </c>
      <c r="D130" s="274" t="s">
        <v>4873</v>
      </c>
      <c r="E130" s="275" t="s">
        <v>2289</v>
      </c>
      <c r="F130" s="275" t="s">
        <v>4838</v>
      </c>
      <c r="G130" s="275" t="s">
        <v>4083</v>
      </c>
      <c r="H130" s="275" t="s">
        <v>2109</v>
      </c>
      <c r="I130" s="276" t="s">
        <v>4874</v>
      </c>
      <c r="J130" s="276" t="s">
        <v>4875</v>
      </c>
      <c r="K130" s="277" t="s">
        <v>2096</v>
      </c>
      <c r="L130" s="277" t="s">
        <v>2109</v>
      </c>
      <c r="M130" s="277" t="s">
        <v>4876</v>
      </c>
      <c r="N130" s="277" t="s">
        <v>4877</v>
      </c>
      <c r="O130" s="275" t="s">
        <v>2616</v>
      </c>
      <c r="P130" s="276"/>
      <c r="Q130" s="270">
        <v>1</v>
      </c>
      <c r="R130" s="278">
        <v>2500</v>
      </c>
      <c r="S130" s="279">
        <v>95</v>
      </c>
      <c r="T130" s="279">
        <v>90</v>
      </c>
      <c r="U130" s="279">
        <v>82</v>
      </c>
      <c r="V130" s="279">
        <v>73</v>
      </c>
      <c r="W130" s="279">
        <v>74</v>
      </c>
      <c r="X130" s="279">
        <v>75</v>
      </c>
      <c r="Y130" s="279">
        <v>76</v>
      </c>
      <c r="Z130" s="279">
        <v>76</v>
      </c>
      <c r="AA130" s="279">
        <v>78</v>
      </c>
      <c r="AB130" s="279">
        <v>80</v>
      </c>
      <c r="AC130" s="279">
        <v>81</v>
      </c>
      <c r="AD130" s="279">
        <v>83</v>
      </c>
      <c r="AE130" s="279">
        <v>84</v>
      </c>
      <c r="AF130" s="279">
        <v>86</v>
      </c>
      <c r="AG130" s="279">
        <v>87</v>
      </c>
      <c r="AH130" s="279">
        <v>88</v>
      </c>
      <c r="AI130" s="279">
        <v>89</v>
      </c>
      <c r="AJ130" s="279">
        <v>90</v>
      </c>
      <c r="AK130" s="279">
        <v>91</v>
      </c>
      <c r="AL130" s="276" t="s">
        <v>4878</v>
      </c>
      <c r="AM130" s="276" t="s">
        <v>4879</v>
      </c>
      <c r="AN130" s="276" t="s">
        <v>4880</v>
      </c>
      <c r="AO130" s="657"/>
      <c r="AP130" s="278">
        <v>900</v>
      </c>
      <c r="AQ130" s="278">
        <v>800</v>
      </c>
      <c r="AR130" s="278">
        <v>80</v>
      </c>
      <c r="AS130" s="278">
        <v>20</v>
      </c>
      <c r="AT130" s="657"/>
      <c r="AU130" s="281" t="s">
        <v>4881</v>
      </c>
      <c r="AV130" s="296" t="s">
        <v>4882</v>
      </c>
      <c r="AW130" s="296" t="s">
        <v>4883</v>
      </c>
      <c r="AX130" s="276" t="s">
        <v>4796</v>
      </c>
      <c r="AY130" s="657"/>
      <c r="AZ130" s="947">
        <v>24</v>
      </c>
      <c r="BA130" s="947">
        <v>8</v>
      </c>
      <c r="BB130" s="947">
        <v>4</v>
      </c>
      <c r="BC130" s="947">
        <v>24</v>
      </c>
      <c r="BD130" s="826">
        <f t="shared" si="352"/>
        <v>5160</v>
      </c>
      <c r="BE130" s="283">
        <f t="shared" si="353"/>
        <v>2064</v>
      </c>
      <c r="BF130" s="283">
        <f t="shared" si="354"/>
        <v>688</v>
      </c>
      <c r="BG130" s="283">
        <f t="shared" si="355"/>
        <v>344</v>
      </c>
      <c r="BH130" s="283">
        <f t="shared" si="356"/>
        <v>2064</v>
      </c>
      <c r="BI130" s="826">
        <f t="shared" si="357"/>
        <v>5460</v>
      </c>
      <c r="BJ130" s="283">
        <f t="shared" si="358"/>
        <v>2184</v>
      </c>
      <c r="BK130" s="283">
        <f t="shared" si="359"/>
        <v>728</v>
      </c>
      <c r="BL130" s="283">
        <f t="shared" si="360"/>
        <v>364</v>
      </c>
      <c r="BM130" s="283">
        <f t="shared" si="361"/>
        <v>2184</v>
      </c>
      <c r="BN130" s="657"/>
      <c r="BO130" s="305">
        <v>0.1</v>
      </c>
      <c r="BP130" s="305">
        <v>0.76</v>
      </c>
      <c r="BQ130" s="305">
        <v>0.08</v>
      </c>
      <c r="BR130" s="581">
        <v>0.06</v>
      </c>
      <c r="BS130" s="706">
        <v>0.08</v>
      </c>
      <c r="BT130" s="305">
        <v>0.76</v>
      </c>
      <c r="BU130" s="305">
        <v>0.1</v>
      </c>
      <c r="BV130" s="581">
        <v>0.06</v>
      </c>
      <c r="BW130" s="713">
        <v>0.15</v>
      </c>
      <c r="BX130" s="306">
        <v>0.8</v>
      </c>
      <c r="BY130" s="590">
        <v>0.05</v>
      </c>
      <c r="BZ130" s="713">
        <v>0.12</v>
      </c>
      <c r="CA130" s="306">
        <v>0.82</v>
      </c>
      <c r="CB130" s="590">
        <v>0.06</v>
      </c>
      <c r="CC130" s="706">
        <v>0.05</v>
      </c>
      <c r="CD130" s="305">
        <v>0.55000000000000004</v>
      </c>
      <c r="CE130" s="305">
        <v>0.1</v>
      </c>
      <c r="CF130" s="581">
        <v>0.3</v>
      </c>
      <c r="CG130" s="706">
        <v>0.04</v>
      </c>
      <c r="CH130" s="305">
        <v>0.55000000000000004</v>
      </c>
      <c r="CI130" s="305">
        <v>0.12</v>
      </c>
      <c r="CJ130" s="581">
        <v>0.28999999999999998</v>
      </c>
      <c r="CK130" s="719">
        <v>0.25</v>
      </c>
      <c r="CL130" s="307">
        <v>0.55000000000000004</v>
      </c>
      <c r="CM130" s="723">
        <v>0.2</v>
      </c>
      <c r="CN130" s="719">
        <v>0.15</v>
      </c>
      <c r="CO130" s="307">
        <v>0.57999999999999996</v>
      </c>
      <c r="CP130" s="723">
        <v>0.27</v>
      </c>
      <c r="CQ130" s="657"/>
      <c r="CR130" s="804">
        <v>10</v>
      </c>
      <c r="CS130" s="805">
        <v>11</v>
      </c>
      <c r="CT130" s="805">
        <v>8</v>
      </c>
      <c r="CU130" s="806">
        <v>10</v>
      </c>
      <c r="CV130" s="804">
        <v>8</v>
      </c>
      <c r="CW130" s="805">
        <v>8</v>
      </c>
      <c r="CX130" s="806">
        <v>7</v>
      </c>
      <c r="CY130" s="804">
        <v>8</v>
      </c>
      <c r="CZ130" s="805">
        <v>10</v>
      </c>
      <c r="DA130" s="805">
        <v>7</v>
      </c>
      <c r="DB130" s="806">
        <v>9</v>
      </c>
      <c r="DC130" s="804">
        <v>10</v>
      </c>
      <c r="DD130" s="805">
        <v>11</v>
      </c>
      <c r="DE130" s="806">
        <v>8</v>
      </c>
      <c r="DF130" s="609" t="s">
        <v>4884</v>
      </c>
      <c r="DG130" s="657"/>
      <c r="DH130" s="308">
        <f t="shared" si="362"/>
        <v>206.4</v>
      </c>
      <c r="DI130" s="308">
        <f t="shared" si="363"/>
        <v>1568.64</v>
      </c>
      <c r="DJ130" s="308">
        <f t="shared" si="364"/>
        <v>165.12</v>
      </c>
      <c r="DK130" s="308">
        <f t="shared" si="365"/>
        <v>123.83999999999999</v>
      </c>
      <c r="DL130" s="287" t="s">
        <v>4885</v>
      </c>
      <c r="DM130" s="308">
        <f t="shared" si="366"/>
        <v>174.72</v>
      </c>
      <c r="DN130" s="308">
        <f t="shared" si="367"/>
        <v>1659.84</v>
      </c>
      <c r="DO130" s="308">
        <f t="shared" si="368"/>
        <v>218.4</v>
      </c>
      <c r="DP130" s="308">
        <f t="shared" si="369"/>
        <v>131.04</v>
      </c>
      <c r="DQ130" s="289" t="s">
        <v>2644</v>
      </c>
      <c r="DR130" s="657"/>
      <c r="DS130" s="308">
        <f t="shared" si="370"/>
        <v>103.2</v>
      </c>
      <c r="DT130" s="308">
        <f t="shared" si="371"/>
        <v>550.4</v>
      </c>
      <c r="DU130" s="308">
        <f t="shared" si="372"/>
        <v>34.4</v>
      </c>
      <c r="DV130" s="289" t="s">
        <v>4886</v>
      </c>
      <c r="DW130" s="308">
        <f t="shared" si="373"/>
        <v>87.36</v>
      </c>
      <c r="DX130" s="308">
        <f t="shared" si="374"/>
        <v>596.95999999999992</v>
      </c>
      <c r="DY130" s="308">
        <f t="shared" si="375"/>
        <v>43.68</v>
      </c>
      <c r="DZ130" s="289" t="s">
        <v>2981</v>
      </c>
      <c r="EA130" s="657"/>
      <c r="EB130" s="308">
        <f t="shared" si="376"/>
        <v>17.2</v>
      </c>
      <c r="EC130" s="308">
        <f t="shared" si="377"/>
        <v>189.20000000000002</v>
      </c>
      <c r="ED130" s="308">
        <f t="shared" si="378"/>
        <v>34.4</v>
      </c>
      <c r="EE130" s="308">
        <f t="shared" si="379"/>
        <v>103.2</v>
      </c>
      <c r="EF130" s="289" t="s">
        <v>4887</v>
      </c>
      <c r="EG130" s="308">
        <f t="shared" si="380"/>
        <v>14.56</v>
      </c>
      <c r="EH130" s="308">
        <f t="shared" si="381"/>
        <v>200.20000000000002</v>
      </c>
      <c r="EI130" s="308">
        <f t="shared" si="382"/>
        <v>43.68</v>
      </c>
      <c r="EJ130" s="308">
        <f t="shared" si="383"/>
        <v>105.55999999999999</v>
      </c>
      <c r="EK130" s="309" t="s">
        <v>2983</v>
      </c>
      <c r="EL130" s="657"/>
      <c r="EM130" s="308">
        <f t="shared" si="384"/>
        <v>516</v>
      </c>
      <c r="EN130" s="310">
        <f t="shared" si="385"/>
        <v>1135.2</v>
      </c>
      <c r="EO130" s="310">
        <f t="shared" si="386"/>
        <v>412.8</v>
      </c>
      <c r="EP130" s="289" t="s">
        <v>4888</v>
      </c>
      <c r="EQ130" s="308">
        <f t="shared" si="387"/>
        <v>327.59999999999997</v>
      </c>
      <c r="ER130" s="310">
        <f t="shared" si="388"/>
        <v>1266.7199999999998</v>
      </c>
      <c r="ES130" s="310">
        <f t="shared" si="389"/>
        <v>589.68000000000006</v>
      </c>
      <c r="ET130" s="289" t="s">
        <v>2985</v>
      </c>
      <c r="EU130" s="657"/>
      <c r="EV130" s="728">
        <f t="shared" si="390"/>
        <v>0.76532742815355115</v>
      </c>
      <c r="EW130" s="728">
        <f t="shared" si="391"/>
        <v>0.23467257184644877</v>
      </c>
      <c r="EX130" s="311">
        <f t="shared" si="392"/>
        <v>2465.7334065380956</v>
      </c>
      <c r="EY130" s="311">
        <f t="shared" si="393"/>
        <v>1887.0934065380952</v>
      </c>
      <c r="EZ130" s="311">
        <f t="shared" si="394"/>
        <v>578.6400000000001</v>
      </c>
      <c r="FA130" s="311">
        <f t="shared" si="395"/>
        <v>927.07848479999996</v>
      </c>
      <c r="FB130" s="311">
        <f t="shared" si="396"/>
        <v>695.62248479999994</v>
      </c>
      <c r="FC130" s="311">
        <f t="shared" si="397"/>
        <v>231.45600000000002</v>
      </c>
      <c r="FD130" s="311">
        <f t="shared" si="398"/>
        <v>396.1722792857143</v>
      </c>
      <c r="FE130" s="311">
        <f t="shared" si="399"/>
        <v>319.02027928571431</v>
      </c>
      <c r="FF130" s="311">
        <f t="shared" si="400"/>
        <v>77.152000000000001</v>
      </c>
      <c r="FG130" s="311">
        <f t="shared" si="401"/>
        <v>173.91620245238093</v>
      </c>
      <c r="FH130" s="311">
        <f t="shared" si="402"/>
        <v>135.34020245238094</v>
      </c>
      <c r="FI130" s="311">
        <f t="shared" si="403"/>
        <v>38.576000000000001</v>
      </c>
      <c r="FJ130" s="311">
        <f t="shared" si="404"/>
        <v>968.56643999999994</v>
      </c>
      <c r="FK130" s="311">
        <f t="shared" si="405"/>
        <v>737.11043999999993</v>
      </c>
      <c r="FL130" s="311">
        <f t="shared" si="406"/>
        <v>231.45600000000002</v>
      </c>
      <c r="FM130" s="657"/>
      <c r="FN130" s="293" t="s">
        <v>2649</v>
      </c>
      <c r="FO130" s="728">
        <v>5.3999999999999999E-2</v>
      </c>
      <c r="FP130" s="729">
        <v>0.80930000000000002</v>
      </c>
      <c r="FQ130" s="294" t="s">
        <v>4852</v>
      </c>
      <c r="FR130" s="657"/>
      <c r="FS130" s="865">
        <v>3.59</v>
      </c>
      <c r="FT130" s="312">
        <f>RANK($FS130,$FS$8:$FS$154,0)+COUNTIF($FS$8:$FS130,$FS130)-1</f>
        <v>36</v>
      </c>
      <c r="FU130" s="865">
        <v>4.22</v>
      </c>
      <c r="FV130" s="312">
        <f>RANK($FU130,$FU$8:$FU$154,0)+COUNTIF($FU$8:$FU130,$FU130)-1</f>
        <v>43</v>
      </c>
      <c r="FW130" s="865">
        <v>2.48</v>
      </c>
      <c r="FX130" s="312">
        <f>RANK($FW130,$FW$8:$FW$154,0)+COUNTIF($FW$8:$FW130,$FW130)-1</f>
        <v>44</v>
      </c>
      <c r="FY130" s="657"/>
      <c r="FZ130" s="296" t="s">
        <v>4853</v>
      </c>
      <c r="GA130" s="296" t="s">
        <v>4889</v>
      </c>
      <c r="GB130" s="296" t="s">
        <v>2653</v>
      </c>
      <c r="GC130" s="296" t="s">
        <v>2654</v>
      </c>
      <c r="GD130" s="296" t="s">
        <v>2655</v>
      </c>
      <c r="GE130" s="296" t="s">
        <v>2656</v>
      </c>
      <c r="GF130" s="296" t="str">
        <f t="shared" si="449"/>
        <v>https://www.statistiques.developpement-durable.gouv.fr/construction-de-locaux-resultats-fin-janvier-2026-france-entiere
https://www.insee.fr/fr/statistiques/8671745
https://www.insee.fr/fr/statistiques/8906564</v>
      </c>
      <c r="GG130" s="657"/>
      <c r="GH130" s="311">
        <f t="shared" si="407"/>
        <v>92.130408000000003</v>
      </c>
      <c r="GI130" s="311">
        <f t="shared" si="337"/>
        <v>73.613928000000001</v>
      </c>
      <c r="GJ130" s="311">
        <f t="shared" si="408"/>
        <v>18.516480000000001</v>
      </c>
      <c r="GK130" s="311">
        <f t="shared" si="409"/>
        <v>677.80204800000001</v>
      </c>
      <c r="GL130" s="311">
        <f t="shared" si="338"/>
        <v>501.895488</v>
      </c>
      <c r="GM130" s="311">
        <f t="shared" si="410"/>
        <v>175.90656000000001</v>
      </c>
      <c r="GN130" s="311">
        <f t="shared" si="411"/>
        <v>99.090311999999997</v>
      </c>
      <c r="GO130" s="311">
        <f t="shared" si="339"/>
        <v>75.944711999999996</v>
      </c>
      <c r="GP130" s="311">
        <f t="shared" si="412"/>
        <v>23.145600000000002</v>
      </c>
      <c r="GQ130" s="311">
        <f t="shared" si="413"/>
        <v>58.055716799999992</v>
      </c>
      <c r="GR130" s="311">
        <f t="shared" si="340"/>
        <v>44.168356799999991</v>
      </c>
      <c r="GS130" s="311">
        <f t="shared" si="414"/>
        <v>13.887360000000001</v>
      </c>
      <c r="GT130" s="311">
        <f t="shared" si="415"/>
        <v>56.723685000000003</v>
      </c>
      <c r="GU130" s="311">
        <f t="shared" si="341"/>
        <v>47.465445000000003</v>
      </c>
      <c r="GV130" s="311">
        <f t="shared" si="416"/>
        <v>9.2582399999999989</v>
      </c>
      <c r="GW130" s="311">
        <f t="shared" si="417"/>
        <v>316.41368</v>
      </c>
      <c r="GX130" s="311">
        <f t="shared" si="342"/>
        <v>253.14903999999999</v>
      </c>
      <c r="GY130" s="311">
        <f t="shared" si="418"/>
        <v>63.26464</v>
      </c>
      <c r="GZ130" s="311">
        <f t="shared" si="419"/>
        <v>23.034914285714287</v>
      </c>
      <c r="HA130" s="311">
        <f t="shared" si="343"/>
        <v>18.405794285714286</v>
      </c>
      <c r="HB130" s="311">
        <f t="shared" si="420"/>
        <v>4.6291199999999995</v>
      </c>
      <c r="HC130" s="311">
        <f t="shared" si="421"/>
        <v>9.4539474999999999</v>
      </c>
      <c r="HD130" s="311">
        <f t="shared" si="344"/>
        <v>7.9109074999999995</v>
      </c>
      <c r="HE130" s="311">
        <f t="shared" si="422"/>
        <v>1.54304</v>
      </c>
      <c r="HF130" s="311">
        <f t="shared" si="423"/>
        <v>88.696234000000004</v>
      </c>
      <c r="HG130" s="311">
        <f t="shared" si="345"/>
        <v>67.479433999999998</v>
      </c>
      <c r="HH130" s="311">
        <f t="shared" si="424"/>
        <v>21.216800000000003</v>
      </c>
      <c r="HI130" s="311">
        <f t="shared" si="425"/>
        <v>23.034914285714287</v>
      </c>
      <c r="HJ130" s="311">
        <f t="shared" si="346"/>
        <v>18.405794285714286</v>
      </c>
      <c r="HK130" s="311">
        <f t="shared" si="426"/>
        <v>4.6291199999999995</v>
      </c>
      <c r="HL130" s="311">
        <f t="shared" si="427"/>
        <v>52.731106666666662</v>
      </c>
      <c r="HM130" s="311">
        <f t="shared" si="347"/>
        <v>41.544066666666666</v>
      </c>
      <c r="HN130" s="311">
        <f t="shared" si="428"/>
        <v>11.18704</v>
      </c>
      <c r="HO130" s="311">
        <f t="shared" si="429"/>
        <v>218.75321999999997</v>
      </c>
      <c r="HP130" s="311">
        <f t="shared" si="348"/>
        <v>184.03481999999997</v>
      </c>
      <c r="HQ130" s="311">
        <f t="shared" si="430"/>
        <v>34.718400000000003</v>
      </c>
      <c r="HR130" s="311">
        <f t="shared" si="431"/>
        <v>497.45832000000001</v>
      </c>
      <c r="HS130" s="311">
        <f t="shared" si="349"/>
        <v>363.21384</v>
      </c>
      <c r="HT130" s="311">
        <f t="shared" si="432"/>
        <v>134.24448000000001</v>
      </c>
      <c r="HU130" s="311">
        <f t="shared" si="433"/>
        <v>252.35490000000001</v>
      </c>
      <c r="HV130" s="311">
        <f t="shared" si="350"/>
        <v>189.86178000000001</v>
      </c>
      <c r="HW130" s="311">
        <f t="shared" si="434"/>
        <v>62.493120000000012</v>
      </c>
      <c r="HY130" s="313">
        <f t="shared" si="435"/>
        <v>5160</v>
      </c>
      <c r="HZ130" s="313">
        <f t="shared" si="436"/>
        <v>443.0376</v>
      </c>
      <c r="IA130" s="313">
        <f t="shared" si="437"/>
        <v>2649.6944000000003</v>
      </c>
      <c r="IB130" s="313">
        <f t="shared" si="438"/>
        <v>1842.8767999999998</v>
      </c>
      <c r="IC130" s="313">
        <f t="shared" si="439"/>
        <v>224.1848</v>
      </c>
      <c r="ID130" s="313">
        <f t="shared" si="440"/>
        <v>0.2064</v>
      </c>
      <c r="IE130" s="313">
        <f t="shared" si="441"/>
        <v>1887.0934065380952</v>
      </c>
      <c r="IF130" s="313">
        <f t="shared" si="442"/>
        <v>114.98087170414713</v>
      </c>
      <c r="IG130" s="313">
        <f t="shared" si="443"/>
        <v>912.62923338676001</v>
      </c>
      <c r="IH130" s="313">
        <f t="shared" si="444"/>
        <v>719.99803533823615</v>
      </c>
      <c r="II130" s="313">
        <f t="shared" si="445"/>
        <v>128.84383198833856</v>
      </c>
      <c r="IJ130" s="313">
        <f t="shared" si="446"/>
        <v>10.641434120613333</v>
      </c>
      <c r="IK130" s="866">
        <v>4.18</v>
      </c>
      <c r="IL130" s="314" t="s">
        <v>2589</v>
      </c>
      <c r="IM130" s="299" t="s">
        <v>4890</v>
      </c>
      <c r="IN130" s="657"/>
      <c r="IO130" s="730">
        <v>0.08</v>
      </c>
      <c r="IP130" s="730">
        <v>0.5</v>
      </c>
      <c r="IQ130" s="730">
        <v>0.37</v>
      </c>
      <c r="IR130" s="730">
        <v>0.05</v>
      </c>
      <c r="IS130" s="730">
        <v>0</v>
      </c>
      <c r="IT130" s="730">
        <v>5.4800000000000001E-2</v>
      </c>
      <c r="IU130" s="730">
        <v>0.46920000000000001</v>
      </c>
      <c r="IV130" s="730">
        <v>0.3952</v>
      </c>
      <c r="IW130" s="730">
        <v>7.5200000000000003E-2</v>
      </c>
      <c r="IX130" s="730">
        <v>5.5999999999999999E-3</v>
      </c>
      <c r="IY130" s="730">
        <v>8.2199999999999995E-2</v>
      </c>
      <c r="IZ130" s="730">
        <v>0.51400000000000001</v>
      </c>
      <c r="JA130" s="730">
        <v>0.36220000000000002</v>
      </c>
      <c r="JB130" s="730">
        <v>4.1599999999999998E-2</v>
      </c>
      <c r="JC130" s="730">
        <v>0</v>
      </c>
      <c r="JD130" s="730">
        <v>5.7000000000000002E-2</v>
      </c>
      <c r="JE130" s="730">
        <v>0.48320000000000002</v>
      </c>
      <c r="JF130" s="730">
        <v>0.38740000000000002</v>
      </c>
      <c r="JG130" s="730">
        <v>6.6799999999999998E-2</v>
      </c>
      <c r="JH130" s="730">
        <v>5.5999999999999999E-3</v>
      </c>
      <c r="JI130" s="730">
        <v>0.12870000000000001</v>
      </c>
      <c r="JJ130" s="730">
        <v>0.60319999999999996</v>
      </c>
      <c r="JK130" s="730">
        <v>0.248</v>
      </c>
      <c r="JL130" s="730">
        <v>2.01E-2</v>
      </c>
      <c r="JM130" s="730">
        <v>0</v>
      </c>
      <c r="JN130" s="730">
        <v>0.10349999999999999</v>
      </c>
      <c r="JO130" s="730">
        <v>0.57240000000000002</v>
      </c>
      <c r="JP130" s="730">
        <v>0.2732</v>
      </c>
      <c r="JQ130" s="730">
        <v>4.53E-2</v>
      </c>
      <c r="JR130" s="730">
        <v>5.5999999999999999E-3</v>
      </c>
      <c r="JS130" s="730">
        <v>8.5800000000000001E-2</v>
      </c>
      <c r="JT130" s="730">
        <v>0.51190000000000002</v>
      </c>
      <c r="JU130" s="730">
        <v>0.36080000000000001</v>
      </c>
      <c r="JV130" s="730">
        <v>4.1399999999999999E-2</v>
      </c>
      <c r="JW130" s="730">
        <v>1E-4</v>
      </c>
      <c r="JX130" s="730">
        <v>6.0600000000000001E-2</v>
      </c>
      <c r="JY130" s="730">
        <v>0.48110000000000003</v>
      </c>
      <c r="JZ130" s="730">
        <v>0.38600000000000001</v>
      </c>
      <c r="KA130" s="730">
        <v>6.6600000000000006E-2</v>
      </c>
      <c r="KB130" s="730">
        <v>5.7000000000000002E-3</v>
      </c>
      <c r="KC130" s="657"/>
      <c r="KD130" s="314" t="s">
        <v>2590</v>
      </c>
      <c r="KE130" s="314" t="s">
        <v>2591</v>
      </c>
      <c r="KF130" s="866">
        <v>4.13</v>
      </c>
      <c r="KG130" s="314" t="s">
        <v>2589</v>
      </c>
      <c r="KH130" s="315" t="s">
        <v>4856</v>
      </c>
      <c r="KI130" s="314" t="s">
        <v>3028</v>
      </c>
      <c r="KJ130" s="315" t="s">
        <v>4891</v>
      </c>
    </row>
    <row r="131" spans="1:383" ht="48" hidden="1" customHeight="1">
      <c r="A131" s="265">
        <f t="shared" si="447"/>
        <v>124</v>
      </c>
      <c r="B131" s="266" t="s">
        <v>2285</v>
      </c>
      <c r="C131" s="266" t="s">
        <v>4836</v>
      </c>
      <c r="D131" s="624" t="s">
        <v>4892</v>
      </c>
      <c r="E131" s="267" t="s">
        <v>2289</v>
      </c>
      <c r="F131" s="267" t="s">
        <v>4838</v>
      </c>
      <c r="G131" s="267" t="s">
        <v>4083</v>
      </c>
      <c r="H131" s="267" t="s">
        <v>2109</v>
      </c>
      <c r="I131" s="268" t="s">
        <v>4893</v>
      </c>
      <c r="J131" s="268" t="s">
        <v>4894</v>
      </c>
      <c r="K131" s="269" t="s">
        <v>2097</v>
      </c>
      <c r="L131" s="269" t="s">
        <v>2096</v>
      </c>
      <c r="M131" s="269" t="s">
        <v>4895</v>
      </c>
      <c r="N131" s="269" t="s">
        <v>4896</v>
      </c>
      <c r="O131" s="267" t="s">
        <v>2616</v>
      </c>
      <c r="P131" s="268"/>
      <c r="Q131" s="270">
        <v>1</v>
      </c>
      <c r="R131" s="271">
        <v>35</v>
      </c>
      <c r="S131" s="272">
        <v>7600</v>
      </c>
      <c r="T131" s="272">
        <v>7900</v>
      </c>
      <c r="U131" s="272">
        <v>8300</v>
      </c>
      <c r="V131" s="272">
        <v>8800</v>
      </c>
      <c r="W131" s="272">
        <v>8900</v>
      </c>
      <c r="X131" s="272">
        <v>9000</v>
      </c>
      <c r="Y131" s="272">
        <v>9100</v>
      </c>
      <c r="Z131" s="272">
        <v>9250</v>
      </c>
      <c r="AA131" s="272">
        <v>8850</v>
      </c>
      <c r="AB131" s="272">
        <v>8950</v>
      </c>
      <c r="AC131" s="272">
        <v>9050</v>
      </c>
      <c r="AD131" s="272">
        <v>9200</v>
      </c>
      <c r="AE131" s="272">
        <v>9300</v>
      </c>
      <c r="AF131" s="272">
        <v>9400</v>
      </c>
      <c r="AG131" s="272">
        <v>9450</v>
      </c>
      <c r="AH131" s="272">
        <v>9500</v>
      </c>
      <c r="AI131" s="272">
        <v>9550</v>
      </c>
      <c r="AJ131" s="272">
        <v>9600</v>
      </c>
      <c r="AK131" s="272">
        <v>9650</v>
      </c>
      <c r="AL131" s="268" t="s">
        <v>4897</v>
      </c>
      <c r="AM131" s="268" t="s">
        <v>4898</v>
      </c>
      <c r="AN131" s="268" t="s">
        <v>4899</v>
      </c>
      <c r="AO131" s="657"/>
      <c r="AP131" s="271">
        <v>50</v>
      </c>
      <c r="AQ131" s="280">
        <v>49</v>
      </c>
      <c r="AR131" s="280">
        <v>1</v>
      </c>
      <c r="AS131" s="280">
        <v>0</v>
      </c>
      <c r="AT131" s="657"/>
      <c r="AU131" s="301" t="s">
        <v>4900</v>
      </c>
      <c r="AV131" s="572" t="s">
        <v>4901</v>
      </c>
      <c r="AW131" s="645" t="s">
        <v>3017</v>
      </c>
      <c r="AX131" s="290" t="s">
        <v>4796</v>
      </c>
      <c r="AY131" s="657"/>
      <c r="AZ131" s="948">
        <v>1</v>
      </c>
      <c r="BA131" s="948">
        <v>0</v>
      </c>
      <c r="BB131" s="948">
        <v>0</v>
      </c>
      <c r="BC131" s="948">
        <v>1</v>
      </c>
      <c r="BD131" s="825">
        <f t="shared" si="352"/>
        <v>18800</v>
      </c>
      <c r="BE131" s="304">
        <f t="shared" si="353"/>
        <v>9400</v>
      </c>
      <c r="BF131" s="304">
        <f t="shared" si="354"/>
        <v>0</v>
      </c>
      <c r="BG131" s="304">
        <f t="shared" si="355"/>
        <v>0</v>
      </c>
      <c r="BH131" s="304">
        <f t="shared" si="356"/>
        <v>9400</v>
      </c>
      <c r="BI131" s="825">
        <f t="shared" si="357"/>
        <v>19300</v>
      </c>
      <c r="BJ131" s="304">
        <f t="shared" si="358"/>
        <v>9650</v>
      </c>
      <c r="BK131" s="304">
        <f t="shared" si="359"/>
        <v>0</v>
      </c>
      <c r="BL131" s="304">
        <f t="shared" si="360"/>
        <v>0</v>
      </c>
      <c r="BM131" s="304">
        <f t="shared" si="361"/>
        <v>9650</v>
      </c>
      <c r="BN131" s="657"/>
      <c r="BO131" s="284">
        <v>0.1</v>
      </c>
      <c r="BP131" s="284">
        <v>0.76</v>
      </c>
      <c r="BQ131" s="284">
        <v>0.08</v>
      </c>
      <c r="BR131" s="710">
        <v>0.06</v>
      </c>
      <c r="BS131" s="707">
        <v>0.08</v>
      </c>
      <c r="BT131" s="284">
        <v>0.76</v>
      </c>
      <c r="BU131" s="284">
        <v>0.1</v>
      </c>
      <c r="BV131" s="710">
        <v>0.06</v>
      </c>
      <c r="BW131" s="714"/>
      <c r="BX131" s="285"/>
      <c r="BY131" s="717"/>
      <c r="BZ131" s="714"/>
      <c r="CA131" s="285"/>
      <c r="CB131" s="717"/>
      <c r="CC131" s="284"/>
      <c r="CD131" s="284"/>
      <c r="CE131" s="284"/>
      <c r="CF131" s="710"/>
      <c r="CG131" s="707"/>
      <c r="CH131" s="284"/>
      <c r="CI131" s="284"/>
      <c r="CJ131" s="710"/>
      <c r="CK131" s="720">
        <v>0.25</v>
      </c>
      <c r="CL131" s="286">
        <v>0.55000000000000004</v>
      </c>
      <c r="CM131" s="718">
        <v>0.2</v>
      </c>
      <c r="CN131" s="720">
        <v>0.15</v>
      </c>
      <c r="CO131" s="286">
        <v>0.57999999999999996</v>
      </c>
      <c r="CP131" s="718">
        <v>0.27</v>
      </c>
      <c r="CQ131" s="657"/>
      <c r="CR131" s="807">
        <v>10</v>
      </c>
      <c r="CS131" s="808">
        <v>11</v>
      </c>
      <c r="CT131" s="808">
        <v>8</v>
      </c>
      <c r="CU131" s="809">
        <v>10</v>
      </c>
      <c r="CV131" s="807"/>
      <c r="CW131" s="808"/>
      <c r="CX131" s="809"/>
      <c r="CY131" s="807"/>
      <c r="CZ131" s="808"/>
      <c r="DA131" s="808"/>
      <c r="DB131" s="809"/>
      <c r="DC131" s="807">
        <v>10</v>
      </c>
      <c r="DD131" s="808">
        <v>11</v>
      </c>
      <c r="DE131" s="809">
        <v>8</v>
      </c>
      <c r="DF131" s="610" t="s">
        <v>4902</v>
      </c>
      <c r="DG131" s="657"/>
      <c r="DH131" s="288">
        <f t="shared" si="362"/>
        <v>940</v>
      </c>
      <c r="DI131" s="288">
        <f t="shared" si="363"/>
        <v>7144</v>
      </c>
      <c r="DJ131" s="288">
        <f t="shared" si="364"/>
        <v>752</v>
      </c>
      <c r="DK131" s="288">
        <f t="shared" si="365"/>
        <v>564</v>
      </c>
      <c r="DL131" s="560" t="s">
        <v>4903</v>
      </c>
      <c r="DM131" s="288">
        <f t="shared" si="366"/>
        <v>772</v>
      </c>
      <c r="DN131" s="288">
        <f t="shared" si="367"/>
        <v>7334</v>
      </c>
      <c r="DO131" s="288">
        <f t="shared" si="368"/>
        <v>965</v>
      </c>
      <c r="DP131" s="288">
        <f t="shared" si="369"/>
        <v>579</v>
      </c>
      <c r="DQ131" s="561" t="s">
        <v>2644</v>
      </c>
      <c r="DR131" s="657"/>
      <c r="DS131" s="288">
        <f t="shared" si="370"/>
        <v>0</v>
      </c>
      <c r="DT131" s="288">
        <f t="shared" si="371"/>
        <v>0</v>
      </c>
      <c r="DU131" s="288">
        <f t="shared" si="372"/>
        <v>0</v>
      </c>
      <c r="DV131" s="561" t="s">
        <v>2613</v>
      </c>
      <c r="DW131" s="288">
        <f t="shared" si="373"/>
        <v>0</v>
      </c>
      <c r="DX131" s="288">
        <f t="shared" si="374"/>
        <v>0</v>
      </c>
      <c r="DY131" s="288">
        <f t="shared" si="375"/>
        <v>0</v>
      </c>
      <c r="DZ131" s="561" t="s">
        <v>2613</v>
      </c>
      <c r="EA131" s="657"/>
      <c r="EB131" s="288">
        <f t="shared" si="376"/>
        <v>0</v>
      </c>
      <c r="EC131" s="288">
        <f t="shared" si="377"/>
        <v>0</v>
      </c>
      <c r="ED131" s="288">
        <f t="shared" si="378"/>
        <v>0</v>
      </c>
      <c r="EE131" s="288">
        <f t="shared" si="379"/>
        <v>0</v>
      </c>
      <c r="EF131" s="561" t="s">
        <v>3552</v>
      </c>
      <c r="EG131" s="288">
        <f t="shared" si="380"/>
        <v>0</v>
      </c>
      <c r="EH131" s="288">
        <f t="shared" si="381"/>
        <v>0</v>
      </c>
      <c r="EI131" s="288">
        <f t="shared" si="382"/>
        <v>0</v>
      </c>
      <c r="EJ131" s="288">
        <f t="shared" si="383"/>
        <v>0</v>
      </c>
      <c r="EK131" s="561" t="s">
        <v>3553</v>
      </c>
      <c r="EL131" s="657"/>
      <c r="EM131" s="288">
        <f t="shared" si="384"/>
        <v>2350</v>
      </c>
      <c r="EN131" s="291">
        <f t="shared" si="385"/>
        <v>5170</v>
      </c>
      <c r="EO131" s="291">
        <f t="shared" si="386"/>
        <v>1880</v>
      </c>
      <c r="EP131" s="561" t="s">
        <v>4904</v>
      </c>
      <c r="EQ131" s="288">
        <f t="shared" si="387"/>
        <v>1447.5</v>
      </c>
      <c r="ER131" s="291">
        <f t="shared" si="388"/>
        <v>5597</v>
      </c>
      <c r="ES131" s="291">
        <f t="shared" si="389"/>
        <v>2605.5</v>
      </c>
      <c r="ET131" s="561" t="s">
        <v>2985</v>
      </c>
      <c r="EU131" s="657"/>
      <c r="EV131" s="740">
        <f t="shared" si="390"/>
        <v>0.82450614444176529</v>
      </c>
      <c r="EW131" s="740">
        <f t="shared" si="391"/>
        <v>0.17549385555823477</v>
      </c>
      <c r="EX131" s="563">
        <f t="shared" si="392"/>
        <v>8633.9205163636361</v>
      </c>
      <c r="EY131" s="563">
        <f t="shared" si="393"/>
        <v>7118.7205163636372</v>
      </c>
      <c r="EZ131" s="563">
        <f t="shared" si="394"/>
        <v>1515.1999999999998</v>
      </c>
      <c r="FA131" s="563">
        <f t="shared" si="395"/>
        <v>4226.3775163636365</v>
      </c>
      <c r="FB131" s="563">
        <f t="shared" si="396"/>
        <v>3468.7775163636366</v>
      </c>
      <c r="FC131" s="563">
        <f t="shared" si="397"/>
        <v>757.59999999999991</v>
      </c>
      <c r="FD131" s="563">
        <f t="shared" si="398"/>
        <v>0</v>
      </c>
      <c r="FE131" s="563">
        <f t="shared" si="399"/>
        <v>0</v>
      </c>
      <c r="FF131" s="563">
        <f t="shared" si="400"/>
        <v>0</v>
      </c>
      <c r="FG131" s="563">
        <f t="shared" si="401"/>
        <v>0</v>
      </c>
      <c r="FH131" s="563">
        <f t="shared" si="402"/>
        <v>0</v>
      </c>
      <c r="FI131" s="563">
        <f t="shared" si="403"/>
        <v>0</v>
      </c>
      <c r="FJ131" s="563">
        <f t="shared" si="404"/>
        <v>4407.5429999999997</v>
      </c>
      <c r="FK131" s="563">
        <f t="shared" si="405"/>
        <v>3649.9430000000002</v>
      </c>
      <c r="FL131" s="563">
        <f t="shared" si="406"/>
        <v>757.59999999999991</v>
      </c>
      <c r="FM131" s="529"/>
      <c r="FN131" s="564" t="s">
        <v>2649</v>
      </c>
      <c r="FO131" s="740">
        <v>5.3999999999999999E-2</v>
      </c>
      <c r="FP131" s="741">
        <v>0.80930000000000002</v>
      </c>
      <c r="FQ131" s="565" t="s">
        <v>4852</v>
      </c>
      <c r="FR131" s="529"/>
      <c r="FS131" s="867">
        <v>3.59</v>
      </c>
      <c r="FT131" s="566">
        <f>RANK($FS131,$FS$8:$FS$154,0)+COUNTIF($FS$8:$FS131,$FS131)-1</f>
        <v>37</v>
      </c>
      <c r="FU131" s="867">
        <v>4.22</v>
      </c>
      <c r="FV131" s="566">
        <f>RANK($FU131,$FU$8:$FU$154,0)+COUNTIF($FU$8:$FU131,$FU131)-1</f>
        <v>44</v>
      </c>
      <c r="FW131" s="867">
        <v>2.48</v>
      </c>
      <c r="FX131" s="566">
        <f>RANK($FW131,$FW$8:$FW$154,0)+COUNTIF($FW$8:$FW131,$FW131)-1</f>
        <v>45</v>
      </c>
      <c r="FY131" s="529"/>
      <c r="FZ131" s="567" t="s">
        <v>4853</v>
      </c>
      <c r="GA131" s="567" t="s">
        <v>4905</v>
      </c>
      <c r="GB131" s="567" t="s">
        <v>2653</v>
      </c>
      <c r="GC131" s="567" t="s">
        <v>2654</v>
      </c>
      <c r="GD131" s="567" t="s">
        <v>2655</v>
      </c>
      <c r="GE131" s="567" t="s">
        <v>2656</v>
      </c>
      <c r="GF131" s="567" t="str">
        <f t="shared" si="449"/>
        <v>https://www.statistiques.developpement-durable.gouv.fr/construction-de-locaux-resultats-fin-janvier-2026-france-entiere
https://www.insee.fr/fr/statistiques/8671745
https://www.insee.fr/fr/statistiques/8906564</v>
      </c>
      <c r="GG131" s="529"/>
      <c r="GH131" s="563">
        <f t="shared" si="407"/>
        <v>425.60229999999996</v>
      </c>
      <c r="GI131" s="563">
        <f t="shared" si="337"/>
        <v>364.99429999999995</v>
      </c>
      <c r="GJ131" s="563">
        <f t="shared" si="408"/>
        <v>60.607999999999997</v>
      </c>
      <c r="GK131" s="563">
        <f t="shared" si="409"/>
        <v>3094.7590363636364</v>
      </c>
      <c r="GL131" s="563">
        <f t="shared" si="338"/>
        <v>2518.9830363636365</v>
      </c>
      <c r="GM131" s="563">
        <f t="shared" si="410"/>
        <v>575.77599999999995</v>
      </c>
      <c r="GN131" s="563">
        <f t="shared" si="411"/>
        <v>441.56360000000001</v>
      </c>
      <c r="GO131" s="563">
        <f t="shared" si="339"/>
        <v>365.80360000000002</v>
      </c>
      <c r="GP131" s="563">
        <f t="shared" si="412"/>
        <v>75.759999999999991</v>
      </c>
      <c r="GQ131" s="563">
        <f t="shared" si="413"/>
        <v>264.45258000000001</v>
      </c>
      <c r="GR131" s="563">
        <f t="shared" si="340"/>
        <v>218.99657999999999</v>
      </c>
      <c r="GS131" s="563">
        <f t="shared" si="414"/>
        <v>45.455999999999996</v>
      </c>
      <c r="GT131" s="563">
        <f t="shared" si="415"/>
        <v>0</v>
      </c>
      <c r="GU131" s="563">
        <f t="shared" si="341"/>
        <v>0</v>
      </c>
      <c r="GV131" s="563">
        <f t="shared" si="416"/>
        <v>0</v>
      </c>
      <c r="GW131" s="563">
        <f t="shared" si="417"/>
        <v>0</v>
      </c>
      <c r="GX131" s="563">
        <f t="shared" si="342"/>
        <v>0</v>
      </c>
      <c r="GY131" s="563">
        <f t="shared" si="418"/>
        <v>0</v>
      </c>
      <c r="GZ131" s="563">
        <f t="shared" si="419"/>
        <v>0</v>
      </c>
      <c r="HA131" s="563">
        <f t="shared" si="343"/>
        <v>0</v>
      </c>
      <c r="HB131" s="563">
        <f t="shared" si="420"/>
        <v>0</v>
      </c>
      <c r="HC131" s="563">
        <f t="shared" si="421"/>
        <v>0</v>
      </c>
      <c r="HD131" s="563">
        <f t="shared" si="344"/>
        <v>0</v>
      </c>
      <c r="HE131" s="563">
        <f t="shared" si="422"/>
        <v>0</v>
      </c>
      <c r="HF131" s="563">
        <f t="shared" si="423"/>
        <v>0</v>
      </c>
      <c r="HG131" s="563">
        <f t="shared" si="345"/>
        <v>0</v>
      </c>
      <c r="HH131" s="563">
        <f t="shared" si="424"/>
        <v>0</v>
      </c>
      <c r="HI131" s="563">
        <f t="shared" si="425"/>
        <v>0</v>
      </c>
      <c r="HJ131" s="563">
        <f t="shared" si="346"/>
        <v>0</v>
      </c>
      <c r="HK131" s="563">
        <f t="shared" si="426"/>
        <v>0</v>
      </c>
      <c r="HL131" s="563">
        <f t="shared" si="427"/>
        <v>0</v>
      </c>
      <c r="HM131" s="563">
        <f t="shared" si="347"/>
        <v>0</v>
      </c>
      <c r="HN131" s="563">
        <f t="shared" si="428"/>
        <v>0</v>
      </c>
      <c r="HO131" s="563">
        <f t="shared" si="429"/>
        <v>1026.1257499999997</v>
      </c>
      <c r="HP131" s="563">
        <f t="shared" si="348"/>
        <v>912.48574999999983</v>
      </c>
      <c r="HQ131" s="563">
        <f t="shared" si="430"/>
        <v>113.63999999999999</v>
      </c>
      <c r="HR131" s="563">
        <f t="shared" si="431"/>
        <v>2262.3562499999998</v>
      </c>
      <c r="HS131" s="563">
        <f t="shared" si="349"/>
        <v>1822.9482500000001</v>
      </c>
      <c r="HT131" s="563">
        <f t="shared" si="432"/>
        <v>439.4079999999999</v>
      </c>
      <c r="HU131" s="563">
        <f t="shared" si="433"/>
        <v>1119.0609999999999</v>
      </c>
      <c r="HV131" s="563">
        <f t="shared" si="350"/>
        <v>914.50900000000001</v>
      </c>
      <c r="HW131" s="563">
        <f t="shared" si="434"/>
        <v>204.55199999999999</v>
      </c>
      <c r="HX131" s="544"/>
      <c r="HY131" s="568">
        <f t="shared" si="435"/>
        <v>18800</v>
      </c>
      <c r="HZ131" s="568">
        <f t="shared" si="436"/>
        <v>1558.52</v>
      </c>
      <c r="IA131" s="568">
        <f t="shared" si="437"/>
        <v>9511.86</v>
      </c>
      <c r="IB131" s="568">
        <f t="shared" si="438"/>
        <v>6869.52</v>
      </c>
      <c r="IC131" s="568">
        <f t="shared" si="439"/>
        <v>859.16</v>
      </c>
      <c r="ID131" s="568">
        <f t="shared" si="440"/>
        <v>0.94000000000000006</v>
      </c>
      <c r="IE131" s="568">
        <f t="shared" si="441"/>
        <v>7118.7205163636372</v>
      </c>
      <c r="IF131" s="568">
        <f t="shared" si="442"/>
        <v>411.27555369672729</v>
      </c>
      <c r="IG131" s="568">
        <f t="shared" si="443"/>
        <v>3383.5379879778184</v>
      </c>
      <c r="IH131" s="568">
        <f t="shared" si="444"/>
        <v>2779.738872466909</v>
      </c>
      <c r="II131" s="568">
        <f t="shared" si="445"/>
        <v>503.93827303054547</v>
      </c>
      <c r="IJ131" s="568">
        <f t="shared" si="446"/>
        <v>40.22982919163637</v>
      </c>
      <c r="IK131" s="868">
        <v>4.18</v>
      </c>
      <c r="IL131" s="569" t="s">
        <v>2589</v>
      </c>
      <c r="IM131" s="570" t="s">
        <v>4906</v>
      </c>
      <c r="IN131" s="529"/>
      <c r="IO131" s="742">
        <v>0.08</v>
      </c>
      <c r="IP131" s="742">
        <v>0.5</v>
      </c>
      <c r="IQ131" s="742">
        <v>0.37</v>
      </c>
      <c r="IR131" s="742">
        <v>0.05</v>
      </c>
      <c r="IS131" s="742">
        <v>0</v>
      </c>
      <c r="IT131" s="742">
        <v>5.4800000000000001E-2</v>
      </c>
      <c r="IU131" s="742">
        <v>0.46920000000000001</v>
      </c>
      <c r="IV131" s="742">
        <v>0.3952</v>
      </c>
      <c r="IW131" s="742">
        <v>7.5200000000000003E-2</v>
      </c>
      <c r="IX131" s="742">
        <v>5.5999999999999999E-3</v>
      </c>
      <c r="IY131" s="742">
        <v>0</v>
      </c>
      <c r="IZ131" s="742">
        <v>0</v>
      </c>
      <c r="JA131" s="742">
        <v>0</v>
      </c>
      <c r="JB131" s="742">
        <v>0</v>
      </c>
      <c r="JC131" s="742">
        <v>0</v>
      </c>
      <c r="JD131" s="742">
        <v>0</v>
      </c>
      <c r="JE131" s="742">
        <v>0</v>
      </c>
      <c r="JF131" s="742">
        <v>0</v>
      </c>
      <c r="JG131" s="742">
        <v>0</v>
      </c>
      <c r="JH131" s="742">
        <v>0</v>
      </c>
      <c r="JI131" s="742">
        <v>0</v>
      </c>
      <c r="JJ131" s="742">
        <v>0</v>
      </c>
      <c r="JK131" s="742">
        <v>0</v>
      </c>
      <c r="JL131" s="742">
        <v>0</v>
      </c>
      <c r="JM131" s="742">
        <v>0</v>
      </c>
      <c r="JN131" s="742">
        <v>0</v>
      </c>
      <c r="JO131" s="742">
        <v>0</v>
      </c>
      <c r="JP131" s="742">
        <v>0</v>
      </c>
      <c r="JQ131" s="742">
        <v>0</v>
      </c>
      <c r="JR131" s="742">
        <v>0</v>
      </c>
      <c r="JS131" s="742">
        <v>8.5800000000000001E-2</v>
      </c>
      <c r="JT131" s="742">
        <v>0.51190000000000002</v>
      </c>
      <c r="JU131" s="742">
        <v>0.36080000000000001</v>
      </c>
      <c r="JV131" s="742">
        <v>4.1399999999999999E-2</v>
      </c>
      <c r="JW131" s="742">
        <v>1E-4</v>
      </c>
      <c r="JX131" s="742">
        <v>6.0600000000000001E-2</v>
      </c>
      <c r="JY131" s="742">
        <v>0.48110000000000003</v>
      </c>
      <c r="JZ131" s="742">
        <v>0.38600000000000001</v>
      </c>
      <c r="KA131" s="742">
        <v>6.6600000000000006E-2</v>
      </c>
      <c r="KB131" s="742">
        <v>5.7000000000000002E-3</v>
      </c>
      <c r="KC131" s="657"/>
      <c r="KD131" s="832" t="s">
        <v>2590</v>
      </c>
      <c r="KE131" s="832" t="s">
        <v>2591</v>
      </c>
      <c r="KF131" s="869">
        <v>4.13</v>
      </c>
      <c r="KG131" s="832" t="s">
        <v>2589</v>
      </c>
      <c r="KH131" s="833" t="s">
        <v>4856</v>
      </c>
      <c r="KI131" s="832" t="s">
        <v>3028</v>
      </c>
      <c r="KJ131" s="833" t="s">
        <v>4907</v>
      </c>
    </row>
    <row r="132" spans="1:383" ht="48" hidden="1" customHeight="1">
      <c r="A132" s="273">
        <f t="shared" si="447"/>
        <v>125</v>
      </c>
      <c r="B132" s="274" t="s">
        <v>4908</v>
      </c>
      <c r="C132" s="274" t="s">
        <v>1950</v>
      </c>
      <c r="D132" s="274" t="s">
        <v>4909</v>
      </c>
      <c r="E132" s="275" t="s">
        <v>2117</v>
      </c>
      <c r="F132" s="275" t="s">
        <v>4910</v>
      </c>
      <c r="G132" s="275" t="s">
        <v>2121</v>
      </c>
      <c r="H132" s="275" t="s">
        <v>2097</v>
      </c>
      <c r="I132" s="276" t="s">
        <v>4911</v>
      </c>
      <c r="J132" s="276" t="s">
        <v>4912</v>
      </c>
      <c r="K132" s="277" t="s">
        <v>2097</v>
      </c>
      <c r="L132" s="277" t="s">
        <v>2109</v>
      </c>
      <c r="M132" s="277" t="s">
        <v>2603</v>
      </c>
      <c r="N132" s="277" t="s">
        <v>4913</v>
      </c>
      <c r="O132" s="275" t="s">
        <v>2616</v>
      </c>
      <c r="P132" s="276" t="s">
        <v>4914</v>
      </c>
      <c r="Q132" s="270">
        <v>1</v>
      </c>
      <c r="R132" s="278">
        <v>1000</v>
      </c>
      <c r="S132" s="279">
        <v>595</v>
      </c>
      <c r="T132" s="279">
        <v>586</v>
      </c>
      <c r="U132" s="279">
        <v>582</v>
      </c>
      <c r="V132" s="279">
        <v>577</v>
      </c>
      <c r="W132" s="279">
        <f>V132-1</f>
        <v>576</v>
      </c>
      <c r="X132" s="279">
        <f>W132-1</f>
        <v>575</v>
      </c>
      <c r="Y132" s="279">
        <f>X132-1</f>
        <v>574</v>
      </c>
      <c r="Z132" s="279">
        <f>Y132-1</f>
        <v>573</v>
      </c>
      <c r="AA132" s="279">
        <v>573</v>
      </c>
      <c r="AB132" s="279">
        <f t="shared" ref="AB132:AE134" si="450">AA132-1</f>
        <v>572</v>
      </c>
      <c r="AC132" s="279">
        <f t="shared" si="450"/>
        <v>571</v>
      </c>
      <c r="AD132" s="279">
        <f t="shared" si="450"/>
        <v>570</v>
      </c>
      <c r="AE132" s="279">
        <f t="shared" si="450"/>
        <v>569</v>
      </c>
      <c r="AF132" s="279">
        <v>568</v>
      </c>
      <c r="AG132" s="279">
        <f>AF132-2</f>
        <v>566</v>
      </c>
      <c r="AH132" s="279">
        <f>AG132-2</f>
        <v>564</v>
      </c>
      <c r="AI132" s="279">
        <f>AH132-2</f>
        <v>562</v>
      </c>
      <c r="AJ132" s="279">
        <f>AI132-2</f>
        <v>560</v>
      </c>
      <c r="AK132" s="279">
        <v>559</v>
      </c>
      <c r="AL132" s="276" t="s">
        <v>2177</v>
      </c>
      <c r="AM132" s="276" t="s">
        <v>4915</v>
      </c>
      <c r="AN132" s="276" t="s">
        <v>2351</v>
      </c>
      <c r="AO132" s="657"/>
      <c r="AP132" s="278">
        <v>40</v>
      </c>
      <c r="AQ132" s="278">
        <v>8</v>
      </c>
      <c r="AR132" s="278">
        <v>28</v>
      </c>
      <c r="AS132" s="278">
        <v>4</v>
      </c>
      <c r="AT132" s="657"/>
      <c r="AU132" s="281" t="s">
        <v>4916</v>
      </c>
      <c r="AV132" s="296" t="s">
        <v>4917</v>
      </c>
      <c r="AW132" s="296" t="s">
        <v>2608</v>
      </c>
      <c r="AX132" s="276" t="s">
        <v>4918</v>
      </c>
      <c r="AY132" s="657"/>
      <c r="AZ132" s="947">
        <v>4</v>
      </c>
      <c r="BA132" s="947">
        <v>1</v>
      </c>
      <c r="BB132" s="947">
        <v>1</v>
      </c>
      <c r="BC132" s="947">
        <v>4</v>
      </c>
      <c r="BD132" s="826">
        <f t="shared" si="352"/>
        <v>5680</v>
      </c>
      <c r="BE132" s="283">
        <f t="shared" si="353"/>
        <v>2272</v>
      </c>
      <c r="BF132" s="283">
        <f t="shared" si="354"/>
        <v>568</v>
      </c>
      <c r="BG132" s="283">
        <f t="shared" si="355"/>
        <v>568</v>
      </c>
      <c r="BH132" s="283">
        <f t="shared" si="356"/>
        <v>2272</v>
      </c>
      <c r="BI132" s="826">
        <f t="shared" si="357"/>
        <v>5590</v>
      </c>
      <c r="BJ132" s="283">
        <f t="shared" si="358"/>
        <v>2236</v>
      </c>
      <c r="BK132" s="283">
        <f t="shared" si="359"/>
        <v>559</v>
      </c>
      <c r="BL132" s="283">
        <f t="shared" si="360"/>
        <v>559</v>
      </c>
      <c r="BM132" s="283">
        <f t="shared" si="361"/>
        <v>2236</v>
      </c>
      <c r="BN132" s="657"/>
      <c r="BO132" s="305">
        <v>0.05</v>
      </c>
      <c r="BP132" s="305">
        <v>0.75</v>
      </c>
      <c r="BQ132" s="305">
        <v>0.02</v>
      </c>
      <c r="BR132" s="581">
        <v>0.18</v>
      </c>
      <c r="BS132" s="706">
        <v>0.05</v>
      </c>
      <c r="BT132" s="305">
        <v>0.74</v>
      </c>
      <c r="BU132" s="305">
        <v>0.03</v>
      </c>
      <c r="BV132" s="581">
        <v>0.18</v>
      </c>
      <c r="BW132" s="713">
        <v>0.3</v>
      </c>
      <c r="BX132" s="306">
        <v>0.7</v>
      </c>
      <c r="BY132" s="590"/>
      <c r="BZ132" s="713">
        <v>0.28000000000000003</v>
      </c>
      <c r="CA132" s="306">
        <v>0.72</v>
      </c>
      <c r="CB132" s="590"/>
      <c r="CC132" s="706">
        <v>0.1</v>
      </c>
      <c r="CD132" s="305">
        <v>0.78</v>
      </c>
      <c r="CE132" s="305">
        <v>0.03</v>
      </c>
      <c r="CF132" s="581">
        <v>0.09</v>
      </c>
      <c r="CG132" s="706">
        <v>0.1</v>
      </c>
      <c r="CH132" s="305">
        <v>0.77</v>
      </c>
      <c r="CI132" s="305">
        <v>0.04</v>
      </c>
      <c r="CJ132" s="581">
        <v>0.09</v>
      </c>
      <c r="CK132" s="719">
        <v>0.35</v>
      </c>
      <c r="CL132" s="307">
        <v>0.55000000000000004</v>
      </c>
      <c r="CM132" s="723">
        <v>0.1</v>
      </c>
      <c r="CN132" s="719">
        <v>0.3</v>
      </c>
      <c r="CO132" s="307">
        <v>0.57999999999999996</v>
      </c>
      <c r="CP132" s="723">
        <v>0.12</v>
      </c>
      <c r="CQ132" s="657"/>
      <c r="CR132" s="804">
        <v>11</v>
      </c>
      <c r="CS132" s="805">
        <v>12</v>
      </c>
      <c r="CT132" s="805">
        <v>9</v>
      </c>
      <c r="CU132" s="806">
        <v>10</v>
      </c>
      <c r="CV132" s="804">
        <v>11</v>
      </c>
      <c r="CW132" s="805">
        <v>11</v>
      </c>
      <c r="CX132" s="806">
        <v>8</v>
      </c>
      <c r="CY132" s="804">
        <v>10</v>
      </c>
      <c r="CZ132" s="805">
        <v>12</v>
      </c>
      <c r="DA132" s="805">
        <v>8</v>
      </c>
      <c r="DB132" s="806">
        <v>10</v>
      </c>
      <c r="DC132" s="804">
        <v>10</v>
      </c>
      <c r="DD132" s="805">
        <v>12</v>
      </c>
      <c r="DE132" s="806">
        <v>9</v>
      </c>
      <c r="DF132" s="609" t="s">
        <v>4919</v>
      </c>
      <c r="DG132" s="657"/>
      <c r="DH132" s="308">
        <f t="shared" si="362"/>
        <v>113.60000000000001</v>
      </c>
      <c r="DI132" s="308">
        <f t="shared" si="363"/>
        <v>1704</v>
      </c>
      <c r="DJ132" s="308">
        <f t="shared" si="364"/>
        <v>45.44</v>
      </c>
      <c r="DK132" s="308">
        <f t="shared" si="365"/>
        <v>408.96</v>
      </c>
      <c r="DL132" s="287" t="s">
        <v>4920</v>
      </c>
      <c r="DM132" s="308">
        <f t="shared" si="366"/>
        <v>111.80000000000001</v>
      </c>
      <c r="DN132" s="308">
        <f t="shared" si="367"/>
        <v>1654.6399999999999</v>
      </c>
      <c r="DO132" s="308">
        <f t="shared" si="368"/>
        <v>67.08</v>
      </c>
      <c r="DP132" s="308">
        <f t="shared" si="369"/>
        <v>402.47999999999996</v>
      </c>
      <c r="DQ132" s="289" t="s">
        <v>3369</v>
      </c>
      <c r="DR132" s="657"/>
      <c r="DS132" s="308">
        <f t="shared" si="370"/>
        <v>170.4</v>
      </c>
      <c r="DT132" s="308">
        <f t="shared" si="371"/>
        <v>397.59999999999997</v>
      </c>
      <c r="DU132" s="308">
        <f t="shared" si="372"/>
        <v>0</v>
      </c>
      <c r="DV132" s="289" t="s">
        <v>4921</v>
      </c>
      <c r="DW132" s="308">
        <f t="shared" si="373"/>
        <v>156.52000000000001</v>
      </c>
      <c r="DX132" s="308">
        <f t="shared" si="374"/>
        <v>402.47999999999996</v>
      </c>
      <c r="DY132" s="308">
        <f t="shared" si="375"/>
        <v>0</v>
      </c>
      <c r="DZ132" s="289" t="s">
        <v>3371</v>
      </c>
      <c r="EA132" s="657"/>
      <c r="EB132" s="308">
        <f t="shared" si="376"/>
        <v>56.800000000000004</v>
      </c>
      <c r="EC132" s="308">
        <f t="shared" si="377"/>
        <v>443.04</v>
      </c>
      <c r="ED132" s="308">
        <f t="shared" si="378"/>
        <v>17.04</v>
      </c>
      <c r="EE132" s="308">
        <f t="shared" si="379"/>
        <v>51.12</v>
      </c>
      <c r="EF132" s="289" t="s">
        <v>4922</v>
      </c>
      <c r="EG132" s="308">
        <f t="shared" si="380"/>
        <v>55.900000000000006</v>
      </c>
      <c r="EH132" s="308">
        <f t="shared" si="381"/>
        <v>430.43</v>
      </c>
      <c r="EI132" s="308">
        <f t="shared" si="382"/>
        <v>22.36</v>
      </c>
      <c r="EJ132" s="308">
        <f t="shared" si="383"/>
        <v>50.309999999999995</v>
      </c>
      <c r="EK132" s="309" t="s">
        <v>3373</v>
      </c>
      <c r="EL132" s="657"/>
      <c r="EM132" s="308">
        <f t="shared" si="384"/>
        <v>795.19999999999993</v>
      </c>
      <c r="EN132" s="310">
        <f t="shared" si="385"/>
        <v>1249.6000000000001</v>
      </c>
      <c r="EO132" s="310">
        <f t="shared" si="386"/>
        <v>227.20000000000002</v>
      </c>
      <c r="EP132" s="289" t="s">
        <v>4923</v>
      </c>
      <c r="EQ132" s="308">
        <f t="shared" si="387"/>
        <v>670.8</v>
      </c>
      <c r="ER132" s="310">
        <f t="shared" si="388"/>
        <v>1296.8799999999999</v>
      </c>
      <c r="ES132" s="310">
        <f t="shared" si="389"/>
        <v>268.32</v>
      </c>
      <c r="ET132" s="289" t="s">
        <v>3375</v>
      </c>
      <c r="EU132" s="657"/>
      <c r="EV132" s="728">
        <f t="shared" si="390"/>
        <v>0.85334309906170869</v>
      </c>
      <c r="EW132" s="728">
        <f t="shared" si="391"/>
        <v>0.14665690093829131</v>
      </c>
      <c r="EX132" s="311">
        <f t="shared" si="392"/>
        <v>2537.5798726075</v>
      </c>
      <c r="EY132" s="311">
        <f t="shared" si="393"/>
        <v>2165.4262726074999</v>
      </c>
      <c r="EZ132" s="311">
        <f t="shared" si="394"/>
        <v>372.15359999999998</v>
      </c>
      <c r="FA132" s="311">
        <f t="shared" si="395"/>
        <v>993.52592708444445</v>
      </c>
      <c r="FB132" s="311">
        <f t="shared" si="396"/>
        <v>844.66448708444443</v>
      </c>
      <c r="FC132" s="311">
        <f t="shared" si="397"/>
        <v>148.86143999999999</v>
      </c>
      <c r="FD132" s="311">
        <f t="shared" si="398"/>
        <v>256.77910999999995</v>
      </c>
      <c r="FE132" s="311">
        <f t="shared" si="399"/>
        <v>219.56374999999997</v>
      </c>
      <c r="FF132" s="311">
        <f t="shared" si="400"/>
        <v>37.215359999999997</v>
      </c>
      <c r="FG132" s="311">
        <f t="shared" si="401"/>
        <v>249.53906216749999</v>
      </c>
      <c r="FH132" s="311">
        <f t="shared" si="402"/>
        <v>212.32370216749999</v>
      </c>
      <c r="FI132" s="311">
        <f t="shared" si="403"/>
        <v>37.215359999999997</v>
      </c>
      <c r="FJ132" s="311">
        <f t="shared" si="404"/>
        <v>1037.7357733555555</v>
      </c>
      <c r="FK132" s="311">
        <f t="shared" si="405"/>
        <v>888.87433335555545</v>
      </c>
      <c r="FL132" s="311">
        <f t="shared" si="406"/>
        <v>148.86143999999999</v>
      </c>
      <c r="FM132" s="657"/>
      <c r="FN132" s="293" t="s">
        <v>2649</v>
      </c>
      <c r="FO132" s="728">
        <v>6.5519999999999995E-2</v>
      </c>
      <c r="FP132" s="729">
        <v>0.84006999999999998</v>
      </c>
      <c r="FQ132" s="294" t="s">
        <v>3154</v>
      </c>
      <c r="FR132" s="657"/>
      <c r="FS132" s="865">
        <v>2.89</v>
      </c>
      <c r="FT132" s="312">
        <f>RANK($FS132,$FS$8:$FS$154,0)+COUNTIF($FS$8:$FS132,$FS132)-1</f>
        <v>134</v>
      </c>
      <c r="FU132" s="865">
        <v>3.97</v>
      </c>
      <c r="FV132" s="312">
        <f>RANK($FU132,$FU$8:$FU$154,0)+COUNTIF($FU$8:$FU132,$FU132)-1</f>
        <v>87</v>
      </c>
      <c r="FW132" s="865">
        <v>1.56</v>
      </c>
      <c r="FX132" s="312">
        <f>RANK($FW132,$FW$8:$FW$154,0)+COUNTIF($FW$8:$FW132,$FW132)-1</f>
        <v>140</v>
      </c>
      <c r="FY132" s="657"/>
      <c r="FZ132" s="296" t="s">
        <v>4924</v>
      </c>
      <c r="GA132" s="296" t="s">
        <v>4925</v>
      </c>
      <c r="GB132" s="296" t="s">
        <v>4926</v>
      </c>
      <c r="GC132" s="296" t="s">
        <v>4927</v>
      </c>
      <c r="GD132" s="296" t="s">
        <v>4928</v>
      </c>
      <c r="GE132" s="296" t="s">
        <v>4929</v>
      </c>
      <c r="GF132" s="296" t="str">
        <f>HYPERLINK("https://www.legifrance.gouv.fr/dossierlegislatif/JORFDOLE000046266613/","https://www.legifrance.gouv.fr/dossierlegislatif/JORFDOLE000046266613/")&amp;CHAR(10)&amp;HYPERLINK("https://www.legifrance.gouv.fr/jorf/id/JORFTEXT000047046768","https://www.legifrance.gouv.fr/jorf/id/JORFTEXT000047046768")&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https://www.legifrance.gouv.fr/dossierlegislatif/JORFDOLE000046266613/
https://www.legifrance.gouv.fr/jorf/id/JORFTEXT000047046768
https://www.statistiques.developpement-durable.gouv.fr/construction-de-locaux-resultats-fin-janvier-2026-france-entiere
https://www.insee.fr/fr/statistiques/8671745
https://www.insee.fr/fr/statistiques/8906564</v>
      </c>
      <c r="GG132" s="657"/>
      <c r="GH132" s="311">
        <f t="shared" si="407"/>
        <v>51.355821999999996</v>
      </c>
      <c r="GI132" s="311">
        <f t="shared" ref="GI132:GI154" si="451">IFERROR($DH132*$FP132/MAX(0.000000001,$CR132)*(INDEX($S132:$AF132,1,MATCH(MAX(2000,MIN(2025,ROUND(2026-$CR132,0))),$S$4:$AF$4,1))+INDEX($S132:$AF132,1,MATCH(MAX(2000,MIN(2025,ROUND(2027-$CR132,0))),$S$4:$AF$4,1))+INDEX($S132:$AF132,1,MATCH(MAX(2000,MIN(2025,ROUND(2028-$CR132,0))),$S$4:$AF$4,1))+INDEX($S132:$AF132,1,MATCH(MAX(2000,MIN(2025,ROUND(2029-$CR132,0))),$S$4:$AF$4,1))+INDEX($S132:$AF132,1,MATCH(MAX(2000,MIN(2025,ROUND(2030-$CR132,0))),$S$4:$AF$4,1)))/MAX(1,$AF132),0)</f>
        <v>43.912749999999996</v>
      </c>
      <c r="GJ132" s="311">
        <f t="shared" si="408"/>
        <v>7.4430719999999999</v>
      </c>
      <c r="GK132" s="311">
        <f t="shared" si="409"/>
        <v>715.84793560000003</v>
      </c>
      <c r="GL132" s="311">
        <f t="shared" ref="GL132:GL154" si="452">IFERROR($DI132*$FP132/MAX(0.000000001,$CS132)*(INDEX($S132:$AF132,1,MATCH(MAX(2000,MIN(2025,ROUND(2026-$CS132,0))),$S$4:$AF$4,1))+INDEX($S132:$AF132,1,MATCH(MAX(2000,MIN(2025,ROUND(2027-$CS132,0))),$S$4:$AF$4,1))+INDEX($S132:$AF132,1,MATCH(MAX(2000,MIN(2025,ROUND(2028-$CS132,0))),$S$4:$AF$4,1))+INDEX($S132:$AF132,1,MATCH(MAX(2000,MIN(2025,ROUND(2029-$CS132,0))),$S$4:$AF$4,1))+INDEX($S132:$AF132,1,MATCH(MAX(2000,MIN(2025,ROUND(2030-$CS132,0))),$S$4:$AF$4,1)))/MAX(1,$AF132),0)</f>
        <v>605.69047</v>
      </c>
      <c r="GM132" s="311">
        <f t="shared" si="410"/>
        <v>110.15746559999999</v>
      </c>
      <c r="GN132" s="311">
        <f t="shared" si="411"/>
        <v>25.874560444444441</v>
      </c>
      <c r="GO132" s="311">
        <f t="shared" ref="GO132:GO154" si="453">IFERROR($DJ132*$FP132/MAX(0.000000001,$CT132)*(INDEX($S132:$AF132,1,MATCH(MAX(2000,MIN(2025,ROUND(2026-$CT132,0))),$S$4:$AF$4,1))+INDEX($S132:$AF132,1,MATCH(MAX(2000,MIN(2025,ROUND(2027-$CT132,0))),$S$4:$AF$4,1))+INDEX($S132:$AF132,1,MATCH(MAX(2000,MIN(2025,ROUND(2028-$CT132,0))),$S$4:$AF$4,1))+INDEX($S132:$AF132,1,MATCH(MAX(2000,MIN(2025,ROUND(2029-$CT132,0))),$S$4:$AF$4,1))+INDEX($S132:$AF132,1,MATCH(MAX(2000,MIN(2025,ROUND(2030-$CT132,0))),$S$4:$AF$4,1)))/MAX(1,$AF132),0)</f>
        <v>21.408717244444443</v>
      </c>
      <c r="GP132" s="311">
        <f t="shared" si="412"/>
        <v>4.4658431999999992</v>
      </c>
      <c r="GQ132" s="311">
        <f t="shared" si="413"/>
        <v>200.44760903999997</v>
      </c>
      <c r="GR132" s="311">
        <f t="shared" ref="GR132:GR154" si="454">IFERROR($DK132*$FP132/MAX(0.000000001,$CU132)*(INDEX($S132:$AF132,1,MATCH(MAX(2000,MIN(2025,ROUND(2026-$CU132,0))),$S$4:$AF$4,1))+INDEX($S132:$AF132,1,MATCH(MAX(2000,MIN(2025,ROUND(2027-$CU132,0))),$S$4:$AF$4,1))+INDEX($S132:$AF132,1,MATCH(MAX(2000,MIN(2025,ROUND(2028-$CU132,0))),$S$4:$AF$4,1))+INDEX($S132:$AF132,1,MATCH(MAX(2000,MIN(2025,ROUND(2029-$CU132,0))),$S$4:$AF$4,1))+INDEX($S132:$AF132,1,MATCH(MAX(2000,MIN(2025,ROUND(2030-$CU132,0))),$S$4:$AF$4,1)))/MAX(1,$AF132),0)</f>
        <v>173.65254983999998</v>
      </c>
      <c r="GS132" s="311">
        <f t="shared" si="414"/>
        <v>26.795059199999997</v>
      </c>
      <c r="GT132" s="311">
        <f t="shared" si="415"/>
        <v>76.289425800000004</v>
      </c>
      <c r="GU132" s="311">
        <f t="shared" ref="GU132:GU154" si="455">IFERROR($DS132*$FP132/MAX(0.000000001,$CV132)*(INDEX($S132:$AF132,1,MATCH(MAX(2000,MIN(2025,ROUND(2026-$CV132,0))),$S$4:$AF$4,1))+INDEX($S132:$AF132,1,MATCH(MAX(2000,MIN(2025,ROUND(2027-$CV132,0))),$S$4:$AF$4,1))+INDEX($S132:$AF132,1,MATCH(MAX(2000,MIN(2025,ROUND(2028-$CV132,0))),$S$4:$AF$4,1))+INDEX($S132:$AF132,1,MATCH(MAX(2000,MIN(2025,ROUND(2029-$CV132,0))),$S$4:$AF$4,1))+INDEX($S132:$AF132,1,MATCH(MAX(2000,MIN(2025,ROUND(2030-$CV132,0))),$S$4:$AF$4,1)))/MAX(1,$AF132),0)</f>
        <v>65.869124999999997</v>
      </c>
      <c r="GV132" s="311">
        <f t="shared" si="416"/>
        <v>10.4203008</v>
      </c>
      <c r="GW132" s="311">
        <f t="shared" si="417"/>
        <v>180.48968419999997</v>
      </c>
      <c r="GX132" s="311">
        <f t="shared" ref="GX132:GX154" si="456">IFERROR($DT132*$FP132/MAX(0.000000001,$CW132)*(INDEX($S132:$AF132,1,MATCH(MAX(2000,MIN(2025,ROUND(2026-$CW132,0))),$S$4:$AF$4,1))+INDEX($S132:$AF132,1,MATCH(MAX(2000,MIN(2025,ROUND(2027-$CW132,0))),$S$4:$AF$4,1))+INDEX($S132:$AF132,1,MATCH(MAX(2000,MIN(2025,ROUND(2028-$CW132,0))),$S$4:$AF$4,1))+INDEX($S132:$AF132,1,MATCH(MAX(2000,MIN(2025,ROUND(2029-$CW132,0))),$S$4:$AF$4,1))+INDEX($S132:$AF132,1,MATCH(MAX(2000,MIN(2025,ROUND(2030-$CW132,0))),$S$4:$AF$4,1)))/MAX(1,$AF132),0)</f>
        <v>153.69462499999997</v>
      </c>
      <c r="GY132" s="311">
        <f t="shared" si="418"/>
        <v>26.795059199999997</v>
      </c>
      <c r="GZ132" s="311">
        <f t="shared" si="419"/>
        <v>0</v>
      </c>
      <c r="HA132" s="311">
        <f t="shared" ref="HA132:HA154" si="457">IFERROR($DU132*$FP132/MAX(0.000000001,$CX132)*(INDEX($S132:$AF132,1,MATCH(MAX(2000,MIN(2025,ROUND(2026-$CX132,0))),$S$4:$AF$4,1))+INDEX($S132:$AF132,1,MATCH(MAX(2000,MIN(2025,ROUND(2027-$CX132,0))),$S$4:$AF$4,1))+INDEX($S132:$AF132,1,MATCH(MAX(2000,MIN(2025,ROUND(2028-$CX132,0))),$S$4:$AF$4,1))+INDEX($S132:$AF132,1,MATCH(MAX(2000,MIN(2025,ROUND(2029-$CX132,0))),$S$4:$AF$4,1))+INDEX($S132:$AF132,1,MATCH(MAX(2000,MIN(2025,ROUND(2030-$CX132,0))),$S$4:$AF$4,1)))/MAX(1,$AF132),0)</f>
        <v>0</v>
      </c>
      <c r="HB132" s="311">
        <f t="shared" si="420"/>
        <v>0</v>
      </c>
      <c r="HC132" s="311">
        <f t="shared" si="421"/>
        <v>27.839945700000005</v>
      </c>
      <c r="HD132" s="311">
        <f t="shared" ref="HD132:HD154" si="458">IFERROR($EB132*$FP132/MAX(0.000000001,$CY132)*(INDEX($S132:$AF132,1,MATCH(MAX(2000,MIN(2025,ROUND(2026-$CY132,0))),$S$4:$AF$4,1))+INDEX($S132:$AF132,1,MATCH(MAX(2000,MIN(2025,ROUND(2027-$CY132,0))),$S$4:$AF$4,1))+INDEX($S132:$AF132,1,MATCH(MAX(2000,MIN(2025,ROUND(2028-$CY132,0))),$S$4:$AF$4,1))+INDEX($S132:$AF132,1,MATCH(MAX(2000,MIN(2025,ROUND(2029-$CY132,0))),$S$4:$AF$4,1))+INDEX($S132:$AF132,1,MATCH(MAX(2000,MIN(2025,ROUND(2030-$CY132,0))),$S$4:$AF$4,1)))/MAX(1,$AF132),0)</f>
        <v>24.118409700000004</v>
      </c>
      <c r="HE132" s="311">
        <f t="shared" si="422"/>
        <v>3.721536</v>
      </c>
      <c r="HF132" s="311">
        <f t="shared" si="423"/>
        <v>186.1353494</v>
      </c>
      <c r="HG132" s="311">
        <f t="shared" ref="HG132:HG154" si="459">IFERROR($EC132*$FP132/MAX(0.000000001,$CZ132)*(INDEX($S132:$AF132,1,MATCH(MAX(2000,MIN(2025,ROUND(2026-$CZ132,0))),$S$4:$AF$4,1))+INDEX($S132:$AF132,1,MATCH(MAX(2000,MIN(2025,ROUND(2027-$CZ132,0))),$S$4:$AF$4,1))+INDEX($S132:$AF132,1,MATCH(MAX(2000,MIN(2025,ROUND(2028-$CZ132,0))),$S$4:$AF$4,1))+INDEX($S132:$AF132,1,MATCH(MAX(2000,MIN(2025,ROUND(2029-$CZ132,0))),$S$4:$AF$4,1))+INDEX($S132:$AF132,1,MATCH(MAX(2000,MIN(2025,ROUND(2030-$CZ132,0))),$S$4:$AF$4,1)))/MAX(1,$AF132),0)</f>
        <v>157.47952219999999</v>
      </c>
      <c r="HH132" s="311">
        <f t="shared" si="424"/>
        <v>28.655827199999997</v>
      </c>
      <c r="HI132" s="311">
        <f t="shared" si="425"/>
        <v>10.507815937499998</v>
      </c>
      <c r="HJ132" s="311">
        <f t="shared" ref="HJ132:HJ154" si="460">IFERROR($ED132*$FP132/MAX(0.000000001,$DA132)*(INDEX($S132:$AF132,1,MATCH(MAX(2000,MIN(2025,ROUND(2026-$DA132,0))),$S$4:$AF$4,1))+INDEX($S132:$AF132,1,MATCH(MAX(2000,MIN(2025,ROUND(2027-$DA132,0))),$S$4:$AF$4,1))+INDEX($S132:$AF132,1,MATCH(MAX(2000,MIN(2025,ROUND(2028-$DA132,0))),$S$4:$AF$4,1))+INDEX($S132:$AF132,1,MATCH(MAX(2000,MIN(2025,ROUND(2029-$DA132,0))),$S$4:$AF$4,1))+INDEX($S132:$AF132,1,MATCH(MAX(2000,MIN(2025,ROUND(2030-$DA132,0))),$S$4:$AF$4,1)))/MAX(1,$AF132),0)</f>
        <v>9.019201537499999</v>
      </c>
      <c r="HK132" s="311">
        <f t="shared" si="426"/>
        <v>1.4886143999999999</v>
      </c>
      <c r="HL132" s="311">
        <f t="shared" si="427"/>
        <v>25.055951129999997</v>
      </c>
      <c r="HM132" s="311">
        <f t="shared" ref="HM132:HM154" si="461">IFERROR($EE132*$FP132/MAX(0.000000001,$DB132)*(INDEX($S132:$AF132,1,MATCH(MAX(2000,MIN(2025,ROUND(2026-$DB132,0))),$S$4:$AF$4,1))+INDEX($S132:$AF132,1,MATCH(MAX(2000,MIN(2025,ROUND(2027-$DB132,0))),$S$4:$AF$4,1))+INDEX($S132:$AF132,1,MATCH(MAX(2000,MIN(2025,ROUND(2028-$DB132,0))),$S$4:$AF$4,1))+INDEX($S132:$AF132,1,MATCH(MAX(2000,MIN(2025,ROUND(2029-$DB132,0))),$S$4:$AF$4,1))+INDEX($S132:$AF132,1,MATCH(MAX(2000,MIN(2025,ROUND(2030-$DB132,0))),$S$4:$AF$4,1)))/MAX(1,$AF132),0)</f>
        <v>21.706568729999997</v>
      </c>
      <c r="HN132" s="311">
        <f t="shared" si="428"/>
        <v>3.3493823999999996</v>
      </c>
      <c r="HO132" s="311">
        <f t="shared" si="429"/>
        <v>382.31616779999996</v>
      </c>
      <c r="HP132" s="311">
        <f t="shared" ref="HP132:HP154" si="462">IFERROR($EM132*$FP132/MAX(0.000000001,$DC132)*(INDEX($S132:$AF132,1,MATCH(MAX(2000,MIN(2025,ROUND(2026-$DC132,0))),$S$4:$AF$4,1))+INDEX($S132:$AF132,1,MATCH(MAX(2000,MIN(2025,ROUND(2027-$DC132,0))),$S$4:$AF$4,1))+INDEX($S132:$AF132,1,MATCH(MAX(2000,MIN(2025,ROUND(2028-$DC132,0))),$S$4:$AF$4,1))+INDEX($S132:$AF132,1,MATCH(MAX(2000,MIN(2025,ROUND(2029-$DC132,0))),$S$4:$AF$4,1))+INDEX($S132:$AF132,1,MATCH(MAX(2000,MIN(2025,ROUND(2030-$DC132,0))),$S$4:$AF$4,1)))/MAX(1,$AF132),0)</f>
        <v>337.65773579999995</v>
      </c>
      <c r="HQ132" s="311">
        <f t="shared" si="430"/>
        <v>44.658431999999998</v>
      </c>
      <c r="HR132" s="311">
        <f t="shared" si="431"/>
        <v>530.5126465333334</v>
      </c>
      <c r="HS132" s="311">
        <f t="shared" ref="HS132:HS154" si="463">IFERROR($EN132*$FP132/MAX(0.000000001,$DD132)*(INDEX($S132:$AF132,1,MATCH(MAX(2000,MIN(2025,ROUND(2026-$DD132,0))),$S$4:$AF$4,1))+INDEX($S132:$AF132,1,MATCH(MAX(2000,MIN(2025,ROUND(2027-$DD132,0))),$S$4:$AF$4,1))+INDEX($S132:$AF132,1,MATCH(MAX(2000,MIN(2025,ROUND(2028-$DD132,0))),$S$4:$AF$4,1))+INDEX($S132:$AF132,1,MATCH(MAX(2000,MIN(2025,ROUND(2029-$DD132,0))),$S$4:$AF$4,1))+INDEX($S132:$AF132,1,MATCH(MAX(2000,MIN(2025,ROUND(2030-$DD132,0))),$S$4:$AF$4,1)))/MAX(1,$AF132),0)</f>
        <v>444.17301133333336</v>
      </c>
      <c r="HT132" s="311">
        <f t="shared" si="432"/>
        <v>86.339635199999989</v>
      </c>
      <c r="HU132" s="311">
        <f t="shared" si="433"/>
        <v>124.90695902222222</v>
      </c>
      <c r="HV132" s="311">
        <f t="shared" ref="HV132:HV154" si="464">IFERROR($EO132*$FP132/MAX(0.000000001,$DE132)*(INDEX($S132:$AF132,1,MATCH(MAX(2000,MIN(2025,ROUND(2026-$DE132,0))),$S$4:$AF$4,1))+INDEX($S132:$AF132,1,MATCH(MAX(2000,MIN(2025,ROUND(2027-$DE132,0))),$S$4:$AF$4,1))+INDEX($S132:$AF132,1,MATCH(MAX(2000,MIN(2025,ROUND(2028-$DE132,0))),$S$4:$AF$4,1))+INDEX($S132:$AF132,1,MATCH(MAX(2000,MIN(2025,ROUND(2029-$DE132,0))),$S$4:$AF$4,1))+INDEX($S132:$AF132,1,MATCH(MAX(2000,MIN(2025,ROUND(2030-$DE132,0))),$S$4:$AF$4,1)))/MAX(1,$AF132),0)</f>
        <v>107.04358622222223</v>
      </c>
      <c r="HW132" s="311">
        <f t="shared" si="434"/>
        <v>17.863372799999997</v>
      </c>
      <c r="HY132" s="313">
        <f t="shared" si="435"/>
        <v>5680</v>
      </c>
      <c r="HZ132" s="313">
        <f t="shared" si="436"/>
        <v>542.66719999999998</v>
      </c>
      <c r="IA132" s="313">
        <f t="shared" si="437"/>
        <v>3399.6503999999995</v>
      </c>
      <c r="IB132" s="313">
        <f t="shared" si="438"/>
        <v>1737.6824000000001</v>
      </c>
      <c r="IC132" s="313">
        <f t="shared" si="439"/>
        <v>0</v>
      </c>
      <c r="ID132" s="313">
        <f t="shared" si="440"/>
        <v>0</v>
      </c>
      <c r="IE132" s="313">
        <f t="shared" si="441"/>
        <v>2165.4262726075003</v>
      </c>
      <c r="IF132" s="313">
        <f t="shared" si="442"/>
        <v>115.09378334581029</v>
      </c>
      <c r="IG132" s="313">
        <f t="shared" si="443"/>
        <v>1131.4280761947437</v>
      </c>
      <c r="IH132" s="313">
        <f t="shared" si="444"/>
        <v>918.90441306694606</v>
      </c>
      <c r="II132" s="313">
        <f t="shared" si="445"/>
        <v>0</v>
      </c>
      <c r="IJ132" s="313">
        <f t="shared" si="446"/>
        <v>0</v>
      </c>
      <c r="IK132" s="866">
        <v>4</v>
      </c>
      <c r="IL132" s="314" t="s">
        <v>2589</v>
      </c>
      <c r="IM132" s="299" t="s">
        <v>4930</v>
      </c>
      <c r="IN132" s="657"/>
      <c r="IO132" s="730">
        <v>7.5399999999999995E-2</v>
      </c>
      <c r="IP132" s="730">
        <v>0.5827</v>
      </c>
      <c r="IQ132" s="730">
        <v>0.34189999999999998</v>
      </c>
      <c r="IR132" s="730">
        <v>0</v>
      </c>
      <c r="IS132" s="730">
        <v>0</v>
      </c>
      <c r="IT132" s="730">
        <v>4.4499999999999998E-2</v>
      </c>
      <c r="IU132" s="730">
        <v>0.4929</v>
      </c>
      <c r="IV132" s="730">
        <v>0.46260000000000001</v>
      </c>
      <c r="IW132" s="730">
        <v>0</v>
      </c>
      <c r="IX132" s="730">
        <v>0</v>
      </c>
      <c r="IY132" s="730">
        <v>7.5399999999999995E-2</v>
      </c>
      <c r="IZ132" s="730">
        <v>0.5827</v>
      </c>
      <c r="JA132" s="730">
        <v>0.34189999999999998</v>
      </c>
      <c r="JB132" s="730">
        <v>0</v>
      </c>
      <c r="JC132" s="730">
        <v>0</v>
      </c>
      <c r="JD132" s="730">
        <v>4.4499999999999998E-2</v>
      </c>
      <c r="JE132" s="730">
        <v>0.4929</v>
      </c>
      <c r="JF132" s="730">
        <v>0.46260000000000001</v>
      </c>
      <c r="JG132" s="730">
        <v>0</v>
      </c>
      <c r="JH132" s="730">
        <v>0</v>
      </c>
      <c r="JI132" s="730">
        <v>0.18959999999999999</v>
      </c>
      <c r="JJ132" s="730">
        <v>0.63900000000000001</v>
      </c>
      <c r="JK132" s="730">
        <v>0.1714</v>
      </c>
      <c r="JL132" s="730">
        <v>0</v>
      </c>
      <c r="JM132" s="730">
        <v>0</v>
      </c>
      <c r="JN132" s="730">
        <v>0.10970000000000001</v>
      </c>
      <c r="JO132" s="730">
        <v>0.61850000000000005</v>
      </c>
      <c r="JP132" s="730">
        <v>0.27179999999999999</v>
      </c>
      <c r="JQ132" s="730">
        <v>0</v>
      </c>
      <c r="JR132" s="730">
        <v>0</v>
      </c>
      <c r="JS132" s="730">
        <v>9.7199999999999995E-2</v>
      </c>
      <c r="JT132" s="730">
        <v>0.60819999999999996</v>
      </c>
      <c r="JU132" s="730">
        <v>0.29459999999999997</v>
      </c>
      <c r="JV132" s="730">
        <v>0</v>
      </c>
      <c r="JW132" s="730">
        <v>0</v>
      </c>
      <c r="JX132" s="730">
        <v>0.05</v>
      </c>
      <c r="JY132" s="730">
        <v>0.53500000000000003</v>
      </c>
      <c r="JZ132" s="730">
        <v>0.41499999999999998</v>
      </c>
      <c r="KA132" s="730">
        <v>0</v>
      </c>
      <c r="KB132" s="730">
        <v>0</v>
      </c>
      <c r="KC132" s="657"/>
      <c r="KD132" s="314" t="s">
        <v>2590</v>
      </c>
      <c r="KE132" s="314" t="s">
        <v>2590</v>
      </c>
      <c r="KF132" s="866">
        <v>4.0999999999999996</v>
      </c>
      <c r="KG132" s="314" t="s">
        <v>2589</v>
      </c>
      <c r="KH132" s="315" t="s">
        <v>4931</v>
      </c>
      <c r="KI132" s="314" t="s">
        <v>2909</v>
      </c>
      <c r="KJ132" s="315" t="s">
        <v>4932</v>
      </c>
    </row>
    <row r="133" spans="1:383" ht="48" hidden="1" customHeight="1">
      <c r="A133" s="265">
        <f t="shared" si="447"/>
        <v>126</v>
      </c>
      <c r="B133" s="266" t="s">
        <v>4908</v>
      </c>
      <c r="C133" s="266" t="s">
        <v>1950</v>
      </c>
      <c r="D133" s="624" t="s">
        <v>4933</v>
      </c>
      <c r="E133" s="267" t="s">
        <v>2158</v>
      </c>
      <c r="F133" s="267" t="s">
        <v>300</v>
      </c>
      <c r="G133" s="267" t="s">
        <v>300</v>
      </c>
      <c r="H133" s="267" t="s">
        <v>2109</v>
      </c>
      <c r="I133" s="268" t="s">
        <v>4934</v>
      </c>
      <c r="J133" s="268" t="s">
        <v>4935</v>
      </c>
      <c r="K133" s="269" t="s">
        <v>2097</v>
      </c>
      <c r="L133" s="269" t="s">
        <v>2109</v>
      </c>
      <c r="M133" s="269" t="s">
        <v>2603</v>
      </c>
      <c r="N133" s="269" t="s">
        <v>4936</v>
      </c>
      <c r="O133" s="267" t="s">
        <v>2616</v>
      </c>
      <c r="P133" s="268"/>
      <c r="Q133" s="270">
        <v>1</v>
      </c>
      <c r="R133" s="271">
        <v>250</v>
      </c>
      <c r="S133" s="272">
        <v>180</v>
      </c>
      <c r="T133" s="272">
        <v>140</v>
      </c>
      <c r="U133" s="272">
        <v>100</v>
      </c>
      <c r="V133" s="272">
        <v>75</v>
      </c>
      <c r="W133" s="272">
        <f>V133-3</f>
        <v>72</v>
      </c>
      <c r="X133" s="272">
        <f>W133-3</f>
        <v>69</v>
      </c>
      <c r="Y133" s="272">
        <f>X133-3</f>
        <v>66</v>
      </c>
      <c r="Z133" s="272">
        <f>Y133-3</f>
        <v>63</v>
      </c>
      <c r="AA133" s="272">
        <v>60</v>
      </c>
      <c r="AB133" s="272">
        <f t="shared" si="450"/>
        <v>59</v>
      </c>
      <c r="AC133" s="272">
        <f t="shared" si="450"/>
        <v>58</v>
      </c>
      <c r="AD133" s="272">
        <f t="shared" si="450"/>
        <v>57</v>
      </c>
      <c r="AE133" s="272">
        <f t="shared" si="450"/>
        <v>56</v>
      </c>
      <c r="AF133" s="272">
        <v>55</v>
      </c>
      <c r="AG133" s="272">
        <f>AF133-1</f>
        <v>54</v>
      </c>
      <c r="AH133" s="272">
        <f>AG133-1</f>
        <v>53</v>
      </c>
      <c r="AI133" s="272">
        <f>AH133-1</f>
        <v>52</v>
      </c>
      <c r="AJ133" s="272">
        <f>AI133-1</f>
        <v>51</v>
      </c>
      <c r="AK133" s="272">
        <v>50</v>
      </c>
      <c r="AL133" s="268" t="s">
        <v>2101</v>
      </c>
      <c r="AM133" s="268" t="s">
        <v>4937</v>
      </c>
      <c r="AN133" s="268" t="s">
        <v>2351</v>
      </c>
      <c r="AO133" s="657"/>
      <c r="AP133" s="271">
        <v>40</v>
      </c>
      <c r="AQ133" s="280">
        <v>14</v>
      </c>
      <c r="AR133" s="280">
        <v>22</v>
      </c>
      <c r="AS133" s="280">
        <v>4</v>
      </c>
      <c r="AT133" s="657"/>
      <c r="AU133" s="301" t="s">
        <v>4938</v>
      </c>
      <c r="AV133" s="572" t="s">
        <v>4939</v>
      </c>
      <c r="AW133" s="645" t="s">
        <v>2608</v>
      </c>
      <c r="AX133" s="290" t="s">
        <v>4918</v>
      </c>
      <c r="AY133" s="657"/>
      <c r="AZ133" s="948">
        <v>2</v>
      </c>
      <c r="BA133" s="948">
        <v>0</v>
      </c>
      <c r="BB133" s="948">
        <v>0.5</v>
      </c>
      <c r="BC133" s="948">
        <v>2</v>
      </c>
      <c r="BD133" s="825">
        <f t="shared" si="352"/>
        <v>247.5</v>
      </c>
      <c r="BE133" s="304">
        <f t="shared" si="353"/>
        <v>110</v>
      </c>
      <c r="BF133" s="304">
        <f t="shared" si="354"/>
        <v>0</v>
      </c>
      <c r="BG133" s="304">
        <f t="shared" si="355"/>
        <v>27.5</v>
      </c>
      <c r="BH133" s="304">
        <f t="shared" si="356"/>
        <v>110</v>
      </c>
      <c r="BI133" s="825">
        <f t="shared" si="357"/>
        <v>225</v>
      </c>
      <c r="BJ133" s="304">
        <f t="shared" si="358"/>
        <v>100</v>
      </c>
      <c r="BK133" s="304">
        <f t="shared" si="359"/>
        <v>0</v>
      </c>
      <c r="BL133" s="304">
        <f t="shared" si="360"/>
        <v>25</v>
      </c>
      <c r="BM133" s="304">
        <f t="shared" si="361"/>
        <v>100</v>
      </c>
      <c r="BN133" s="657"/>
      <c r="BO133" s="284">
        <v>0.12</v>
      </c>
      <c r="BP133" s="284">
        <v>0.72</v>
      </c>
      <c r="BQ133" s="284">
        <v>0.12</v>
      </c>
      <c r="BR133" s="710">
        <v>0.04</v>
      </c>
      <c r="BS133" s="707">
        <v>0.1</v>
      </c>
      <c r="BT133" s="284">
        <v>0.72</v>
      </c>
      <c r="BU133" s="284">
        <v>0.15</v>
      </c>
      <c r="BV133" s="710">
        <v>0.03</v>
      </c>
      <c r="BW133" s="714"/>
      <c r="BX133" s="285"/>
      <c r="BY133" s="717"/>
      <c r="BZ133" s="714"/>
      <c r="CA133" s="285"/>
      <c r="CB133" s="717"/>
      <c r="CC133" s="284">
        <v>0.1</v>
      </c>
      <c r="CD133" s="284">
        <v>0.6</v>
      </c>
      <c r="CE133" s="284">
        <v>0.1</v>
      </c>
      <c r="CF133" s="710">
        <v>0.2</v>
      </c>
      <c r="CG133" s="707">
        <v>0.08</v>
      </c>
      <c r="CH133" s="284">
        <v>0.6</v>
      </c>
      <c r="CI133" s="284">
        <v>0.12</v>
      </c>
      <c r="CJ133" s="710">
        <v>0.2</v>
      </c>
      <c r="CK133" s="720">
        <v>0.55000000000000004</v>
      </c>
      <c r="CL133" s="286">
        <v>0.3</v>
      </c>
      <c r="CM133" s="718">
        <v>0.15</v>
      </c>
      <c r="CN133" s="720">
        <v>0.5</v>
      </c>
      <c r="CO133" s="286">
        <v>0.33</v>
      </c>
      <c r="CP133" s="718">
        <v>0.17</v>
      </c>
      <c r="CQ133" s="657"/>
      <c r="CR133" s="807">
        <v>11</v>
      </c>
      <c r="CS133" s="808">
        <v>12</v>
      </c>
      <c r="CT133" s="808">
        <v>9</v>
      </c>
      <c r="CU133" s="809">
        <v>10</v>
      </c>
      <c r="CV133" s="807"/>
      <c r="CW133" s="808"/>
      <c r="CX133" s="809"/>
      <c r="CY133" s="807">
        <v>10</v>
      </c>
      <c r="CZ133" s="808">
        <v>12</v>
      </c>
      <c r="DA133" s="808">
        <v>8</v>
      </c>
      <c r="DB133" s="809">
        <v>10</v>
      </c>
      <c r="DC133" s="807">
        <v>10</v>
      </c>
      <c r="DD133" s="808">
        <v>12</v>
      </c>
      <c r="DE133" s="809">
        <v>9</v>
      </c>
      <c r="DF133" s="610" t="s">
        <v>4919</v>
      </c>
      <c r="DG133" s="657"/>
      <c r="DH133" s="288">
        <f t="shared" si="362"/>
        <v>13.2</v>
      </c>
      <c r="DI133" s="288">
        <f t="shared" si="363"/>
        <v>79.2</v>
      </c>
      <c r="DJ133" s="288">
        <f t="shared" si="364"/>
        <v>13.2</v>
      </c>
      <c r="DK133" s="288">
        <f t="shared" si="365"/>
        <v>4.4000000000000004</v>
      </c>
      <c r="DL133" s="560" t="s">
        <v>4940</v>
      </c>
      <c r="DM133" s="288">
        <f t="shared" si="366"/>
        <v>10</v>
      </c>
      <c r="DN133" s="288">
        <f t="shared" si="367"/>
        <v>72</v>
      </c>
      <c r="DO133" s="288">
        <f t="shared" si="368"/>
        <v>15</v>
      </c>
      <c r="DP133" s="288">
        <f t="shared" si="369"/>
        <v>3</v>
      </c>
      <c r="DQ133" s="561" t="s">
        <v>3369</v>
      </c>
      <c r="DR133" s="657"/>
      <c r="DS133" s="288">
        <f t="shared" si="370"/>
        <v>0</v>
      </c>
      <c r="DT133" s="288">
        <f t="shared" si="371"/>
        <v>0</v>
      </c>
      <c r="DU133" s="288">
        <f t="shared" si="372"/>
        <v>0</v>
      </c>
      <c r="DV133" s="561" t="s">
        <v>2613</v>
      </c>
      <c r="DW133" s="288">
        <f t="shared" si="373"/>
        <v>0</v>
      </c>
      <c r="DX133" s="288">
        <f t="shared" si="374"/>
        <v>0</v>
      </c>
      <c r="DY133" s="288">
        <f t="shared" si="375"/>
        <v>0</v>
      </c>
      <c r="DZ133" s="561" t="s">
        <v>2613</v>
      </c>
      <c r="EA133" s="657"/>
      <c r="EB133" s="288">
        <f t="shared" si="376"/>
        <v>2.75</v>
      </c>
      <c r="EC133" s="288">
        <f t="shared" si="377"/>
        <v>16.5</v>
      </c>
      <c r="ED133" s="288">
        <f t="shared" si="378"/>
        <v>2.75</v>
      </c>
      <c r="EE133" s="288">
        <f t="shared" si="379"/>
        <v>5.5</v>
      </c>
      <c r="EF133" s="561" t="s">
        <v>4941</v>
      </c>
      <c r="EG133" s="288">
        <f t="shared" si="380"/>
        <v>2</v>
      </c>
      <c r="EH133" s="288">
        <f t="shared" si="381"/>
        <v>15</v>
      </c>
      <c r="EI133" s="288">
        <f t="shared" si="382"/>
        <v>3</v>
      </c>
      <c r="EJ133" s="288">
        <f t="shared" si="383"/>
        <v>5</v>
      </c>
      <c r="EK133" s="561" t="s">
        <v>3373</v>
      </c>
      <c r="EL133" s="657"/>
      <c r="EM133" s="288">
        <f t="shared" si="384"/>
        <v>60.500000000000007</v>
      </c>
      <c r="EN133" s="291">
        <f t="shared" si="385"/>
        <v>33</v>
      </c>
      <c r="EO133" s="291">
        <f t="shared" si="386"/>
        <v>16.5</v>
      </c>
      <c r="EP133" s="561" t="s">
        <v>4942</v>
      </c>
      <c r="EQ133" s="288">
        <f t="shared" si="387"/>
        <v>50</v>
      </c>
      <c r="ER133" s="291">
        <f t="shared" si="388"/>
        <v>33</v>
      </c>
      <c r="ES133" s="291">
        <f t="shared" si="389"/>
        <v>17</v>
      </c>
      <c r="ET133" s="561" t="s">
        <v>3375</v>
      </c>
      <c r="EU133" s="657"/>
      <c r="EV133" s="740">
        <f t="shared" si="390"/>
        <v>0.88381471192448757</v>
      </c>
      <c r="EW133" s="740">
        <f t="shared" si="391"/>
        <v>0.11618528807551246</v>
      </c>
      <c r="EX133" s="563">
        <f t="shared" si="392"/>
        <v>139.57188787499999</v>
      </c>
      <c r="EY133" s="563">
        <f t="shared" si="393"/>
        <v>123.355687875</v>
      </c>
      <c r="EZ133" s="563">
        <f t="shared" si="394"/>
        <v>16.216199999999997</v>
      </c>
      <c r="FA133" s="563">
        <f t="shared" si="395"/>
        <v>61.358621333333332</v>
      </c>
      <c r="FB133" s="563">
        <f t="shared" si="396"/>
        <v>54.151421333333332</v>
      </c>
      <c r="FC133" s="563">
        <f t="shared" si="397"/>
        <v>7.2071999999999994</v>
      </c>
      <c r="FD133" s="563">
        <f t="shared" si="398"/>
        <v>0</v>
      </c>
      <c r="FE133" s="563">
        <f t="shared" si="399"/>
        <v>0</v>
      </c>
      <c r="FF133" s="563">
        <f t="shared" si="400"/>
        <v>0</v>
      </c>
      <c r="FG133" s="563">
        <f t="shared" si="401"/>
        <v>15.589448875</v>
      </c>
      <c r="FH133" s="563">
        <f t="shared" si="402"/>
        <v>13.787648875</v>
      </c>
      <c r="FI133" s="563">
        <f t="shared" si="403"/>
        <v>1.8017999999999998</v>
      </c>
      <c r="FJ133" s="563">
        <f t="shared" si="404"/>
        <v>62.623817666666667</v>
      </c>
      <c r="FK133" s="563">
        <f t="shared" si="405"/>
        <v>55.416617666666667</v>
      </c>
      <c r="FL133" s="563">
        <f t="shared" si="406"/>
        <v>7.2071999999999994</v>
      </c>
      <c r="FM133" s="529"/>
      <c r="FN133" s="564" t="s">
        <v>2649</v>
      </c>
      <c r="FO133" s="740">
        <v>6.5519999999999995E-2</v>
      </c>
      <c r="FP133" s="741">
        <v>0.84006999999999998</v>
      </c>
      <c r="FQ133" s="565" t="s">
        <v>3154</v>
      </c>
      <c r="FR133" s="529"/>
      <c r="FS133" s="867">
        <v>3</v>
      </c>
      <c r="FT133" s="566">
        <f>RANK($FS133,$FS$8:$FS$154,0)+COUNTIF($FS$8:$FS133,$FS133)-1</f>
        <v>116</v>
      </c>
      <c r="FU133" s="867">
        <v>4.01</v>
      </c>
      <c r="FV133" s="566">
        <f>RANK($FU133,$FU$8:$FU$154,0)+COUNTIF($FU$8:$FU133,$FU133)-1</f>
        <v>82</v>
      </c>
      <c r="FW133" s="867">
        <v>1.76</v>
      </c>
      <c r="FX133" s="566">
        <f>RANK($FW133,$FW$8:$FW$154,0)+COUNTIF($FW$8:$FW133,$FW133)-1</f>
        <v>131</v>
      </c>
      <c r="FY133" s="529"/>
      <c r="FZ133" s="567" t="s">
        <v>4943</v>
      </c>
      <c r="GA133" s="567" t="s">
        <v>4925</v>
      </c>
      <c r="GB133" s="567" t="s">
        <v>4926</v>
      </c>
      <c r="GC133" s="567" t="s">
        <v>4927</v>
      </c>
      <c r="GD133" s="567" t="s">
        <v>4928</v>
      </c>
      <c r="GE133" s="567" t="s">
        <v>4929</v>
      </c>
      <c r="GF133" s="567" t="str">
        <f>HYPERLINK("https://www.legifrance.gouv.fr/dossierlegislatif/JORFDOLE000046266613/","https://www.legifrance.gouv.fr/dossierlegislatif/JORFDOLE000046266613/")&amp;CHAR(10)&amp;HYPERLINK("https://www.legifrance.gouv.fr/jorf/id/JORFTEXT000047046768","https://www.legifrance.gouv.fr/jorf/id/JORFTEXT000047046768")&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https://www.legifrance.gouv.fr/dossierlegislatif/JORFDOLE000046266613/
https://www.legifrance.gouv.fr/jorf/id/JORFTEXT000047046768
https://www.statistiques.developpement-durable.gouv.fr/construction-de-locaux-resultats-fin-janvier-2026-france-entiere
https://www.insee.fr/fr/statistiques/8671745
https://www.insee.fr/fr/statistiques/8906564</v>
      </c>
      <c r="GG133" s="529"/>
      <c r="GH133" s="563">
        <f t="shared" si="407"/>
        <v>7.0441560000000001</v>
      </c>
      <c r="GI133" s="563">
        <f t="shared" si="451"/>
        <v>6.3234360000000001</v>
      </c>
      <c r="GJ133" s="563">
        <f t="shared" si="408"/>
        <v>0.72072000000000003</v>
      </c>
      <c r="GK133" s="563">
        <f t="shared" si="409"/>
        <v>43.697992800000002</v>
      </c>
      <c r="GL133" s="563">
        <f t="shared" si="452"/>
        <v>38.508808800000004</v>
      </c>
      <c r="GM133" s="563">
        <f t="shared" si="410"/>
        <v>5.1891839999999991</v>
      </c>
      <c r="GN133" s="563">
        <f t="shared" si="411"/>
        <v>8.1824717333333314</v>
      </c>
      <c r="GO133" s="563">
        <f t="shared" si="453"/>
        <v>7.1013917333333323</v>
      </c>
      <c r="GP133" s="563">
        <f t="shared" si="412"/>
        <v>1.0810799999999998</v>
      </c>
      <c r="GQ133" s="563">
        <f t="shared" si="413"/>
        <v>2.4340007999999997</v>
      </c>
      <c r="GR133" s="563">
        <f t="shared" si="454"/>
        <v>2.2177848</v>
      </c>
      <c r="GS133" s="563">
        <f t="shared" si="414"/>
        <v>0.21621599999999996</v>
      </c>
      <c r="GT133" s="563">
        <f t="shared" si="415"/>
        <v>0</v>
      </c>
      <c r="GU133" s="563">
        <f t="shared" si="455"/>
        <v>0</v>
      </c>
      <c r="GV133" s="563">
        <f t="shared" si="416"/>
        <v>0</v>
      </c>
      <c r="GW133" s="563">
        <f t="shared" si="417"/>
        <v>0</v>
      </c>
      <c r="GX133" s="563">
        <f t="shared" si="456"/>
        <v>0</v>
      </c>
      <c r="GY133" s="563">
        <f t="shared" si="418"/>
        <v>0</v>
      </c>
      <c r="GZ133" s="563">
        <f t="shared" si="419"/>
        <v>0</v>
      </c>
      <c r="HA133" s="563">
        <f t="shared" si="457"/>
        <v>0</v>
      </c>
      <c r="HB133" s="563">
        <f t="shared" si="420"/>
        <v>0</v>
      </c>
      <c r="HC133" s="563">
        <f t="shared" si="421"/>
        <v>1.5302594999999999</v>
      </c>
      <c r="HD133" s="563">
        <f t="shared" si="458"/>
        <v>1.3861154999999998</v>
      </c>
      <c r="HE133" s="563">
        <f t="shared" si="422"/>
        <v>0.14414399999999999</v>
      </c>
      <c r="HF133" s="563">
        <f t="shared" si="423"/>
        <v>9.1037485</v>
      </c>
      <c r="HG133" s="563">
        <f t="shared" si="459"/>
        <v>8.0226685</v>
      </c>
      <c r="HH133" s="563">
        <f t="shared" si="424"/>
        <v>1.0810799999999998</v>
      </c>
      <c r="HI133" s="563">
        <f t="shared" si="425"/>
        <v>1.822849875</v>
      </c>
      <c r="HJ133" s="563">
        <f t="shared" si="460"/>
        <v>1.606633875</v>
      </c>
      <c r="HK133" s="563">
        <f t="shared" si="426"/>
        <v>0.21621599999999996</v>
      </c>
      <c r="HL133" s="563">
        <f t="shared" si="427"/>
        <v>3.1325909999999997</v>
      </c>
      <c r="HM133" s="563">
        <f t="shared" si="461"/>
        <v>2.7722309999999997</v>
      </c>
      <c r="HN133" s="563">
        <f t="shared" si="428"/>
        <v>0.36036000000000001</v>
      </c>
      <c r="HO133" s="563">
        <f t="shared" si="429"/>
        <v>34.098140999999998</v>
      </c>
      <c r="HP133" s="563">
        <f t="shared" si="462"/>
        <v>30.494541000000002</v>
      </c>
      <c r="HQ133" s="563">
        <f t="shared" si="430"/>
        <v>3.6035999999999997</v>
      </c>
      <c r="HR133" s="563">
        <f t="shared" si="431"/>
        <v>18.423712999999999</v>
      </c>
      <c r="HS133" s="563">
        <f t="shared" si="463"/>
        <v>16.045337</v>
      </c>
      <c r="HT133" s="563">
        <f t="shared" si="432"/>
        <v>2.3783759999999998</v>
      </c>
      <c r="HU133" s="563">
        <f t="shared" si="433"/>
        <v>10.101963666666668</v>
      </c>
      <c r="HV133" s="563">
        <f t="shared" si="464"/>
        <v>8.8767396666666674</v>
      </c>
      <c r="HW133" s="563">
        <f t="shared" si="434"/>
        <v>1.2252240000000001</v>
      </c>
      <c r="HX133" s="544"/>
      <c r="HY133" s="568">
        <f t="shared" si="435"/>
        <v>247.49999999999994</v>
      </c>
      <c r="HZ133" s="568">
        <f t="shared" si="436"/>
        <v>20.08325</v>
      </c>
      <c r="IA133" s="568">
        <f t="shared" si="437"/>
        <v>143.31349999999998</v>
      </c>
      <c r="IB133" s="568">
        <f t="shared" si="438"/>
        <v>84.103249999999989</v>
      </c>
      <c r="IC133" s="568">
        <f t="shared" si="439"/>
        <v>0</v>
      </c>
      <c r="ID133" s="568">
        <f t="shared" si="440"/>
        <v>0</v>
      </c>
      <c r="IE133" s="568">
        <f t="shared" si="441"/>
        <v>123.355687875</v>
      </c>
      <c r="IF133" s="568">
        <f t="shared" si="442"/>
        <v>8.8412728977124999</v>
      </c>
      <c r="IG133" s="568">
        <f t="shared" si="443"/>
        <v>59.347655734966665</v>
      </c>
      <c r="IH133" s="568">
        <f t="shared" si="444"/>
        <v>54.715404650754166</v>
      </c>
      <c r="II133" s="568">
        <f t="shared" si="445"/>
        <v>0.45135459156666669</v>
      </c>
      <c r="IJ133" s="568">
        <f t="shared" si="446"/>
        <v>0</v>
      </c>
      <c r="IK133" s="868">
        <v>4</v>
      </c>
      <c r="IL133" s="569" t="s">
        <v>2589</v>
      </c>
      <c r="IM133" s="570" t="s">
        <v>4930</v>
      </c>
      <c r="IN133" s="529"/>
      <c r="IO133" s="742">
        <v>6.83E-2</v>
      </c>
      <c r="IP133" s="742">
        <v>0.5716</v>
      </c>
      <c r="IQ133" s="742">
        <v>0.36009999999999998</v>
      </c>
      <c r="IR133" s="742">
        <v>0</v>
      </c>
      <c r="IS133" s="742">
        <v>0</v>
      </c>
      <c r="IT133" s="742">
        <v>6.6699999999999995E-2</v>
      </c>
      <c r="IU133" s="742">
        <v>0.46410000000000001</v>
      </c>
      <c r="IV133" s="742">
        <v>0.46239999999999998</v>
      </c>
      <c r="IW133" s="742">
        <v>6.7999999999999996E-3</v>
      </c>
      <c r="IX133" s="742">
        <v>0</v>
      </c>
      <c r="IY133" s="742">
        <v>0</v>
      </c>
      <c r="IZ133" s="742">
        <v>0</v>
      </c>
      <c r="JA133" s="742">
        <v>0</v>
      </c>
      <c r="JB133" s="742">
        <v>0</v>
      </c>
      <c r="JC133" s="742">
        <v>0</v>
      </c>
      <c r="JD133" s="742">
        <v>0</v>
      </c>
      <c r="JE133" s="742">
        <v>0</v>
      </c>
      <c r="JF133" s="742">
        <v>0</v>
      </c>
      <c r="JG133" s="742">
        <v>0</v>
      </c>
      <c r="JH133" s="742">
        <v>0</v>
      </c>
      <c r="JI133" s="742">
        <v>0.1555</v>
      </c>
      <c r="JJ133" s="742">
        <v>0.59419999999999995</v>
      </c>
      <c r="JK133" s="742">
        <v>0.25030000000000002</v>
      </c>
      <c r="JL133" s="742">
        <v>0</v>
      </c>
      <c r="JM133" s="742">
        <v>0</v>
      </c>
      <c r="JN133" s="742">
        <v>9.1899999999999996E-2</v>
      </c>
      <c r="JO133" s="742">
        <v>0.55679999999999996</v>
      </c>
      <c r="JP133" s="742">
        <v>0.3513</v>
      </c>
      <c r="JQ133" s="742">
        <v>0</v>
      </c>
      <c r="JR133" s="742">
        <v>0</v>
      </c>
      <c r="JS133" s="742">
        <v>7.5399999999999995E-2</v>
      </c>
      <c r="JT133" s="742">
        <v>0.5827</v>
      </c>
      <c r="JU133" s="742">
        <v>0.34189999999999998</v>
      </c>
      <c r="JV133" s="742">
        <v>0</v>
      </c>
      <c r="JW133" s="742">
        <v>0</v>
      </c>
      <c r="JX133" s="742">
        <v>7.1499999999999994E-2</v>
      </c>
      <c r="JY133" s="742">
        <v>0.47889999999999999</v>
      </c>
      <c r="JZ133" s="742">
        <v>0.4481</v>
      </c>
      <c r="KA133" s="742">
        <v>1.5E-3</v>
      </c>
      <c r="KB133" s="742">
        <v>0</v>
      </c>
      <c r="KC133" s="657"/>
      <c r="KD133" s="832" t="s">
        <v>2590</v>
      </c>
      <c r="KE133" s="832" t="s">
        <v>2590</v>
      </c>
      <c r="KF133" s="869">
        <v>4</v>
      </c>
      <c r="KG133" s="832" t="s">
        <v>2589</v>
      </c>
      <c r="KH133" s="833" t="s">
        <v>4931</v>
      </c>
      <c r="KI133" s="832" t="s">
        <v>2909</v>
      </c>
      <c r="KJ133" s="833" t="s">
        <v>4944</v>
      </c>
    </row>
    <row r="134" spans="1:383" s="45" customFormat="1" ht="48" hidden="1" customHeight="1">
      <c r="A134" s="351">
        <f t="shared" si="447"/>
        <v>127</v>
      </c>
      <c r="B134" s="352" t="s">
        <v>4908</v>
      </c>
      <c r="C134" s="352" t="s">
        <v>1950</v>
      </c>
      <c r="D134" s="352" t="s">
        <v>4945</v>
      </c>
      <c r="E134" s="353" t="s">
        <v>2117</v>
      </c>
      <c r="F134" s="353" t="s">
        <v>2631</v>
      </c>
      <c r="G134" s="353" t="s">
        <v>2121</v>
      </c>
      <c r="H134" s="353" t="s">
        <v>2109</v>
      </c>
      <c r="I134" s="354" t="s">
        <v>4946</v>
      </c>
      <c r="J134" s="354" t="s">
        <v>4947</v>
      </c>
      <c r="K134" s="355" t="s">
        <v>2097</v>
      </c>
      <c r="L134" s="355" t="s">
        <v>2109</v>
      </c>
      <c r="M134" s="355" t="s">
        <v>2603</v>
      </c>
      <c r="N134" s="355" t="s">
        <v>4913</v>
      </c>
      <c r="O134" s="353" t="s">
        <v>2616</v>
      </c>
      <c r="P134" s="354" t="s">
        <v>4948</v>
      </c>
      <c r="Q134" s="356">
        <v>0</v>
      </c>
      <c r="R134" s="357">
        <v>150</v>
      </c>
      <c r="S134" s="358">
        <v>130</v>
      </c>
      <c r="T134" s="358">
        <v>120</v>
      </c>
      <c r="U134" s="358">
        <v>110</v>
      </c>
      <c r="V134" s="358">
        <v>100</v>
      </c>
      <c r="W134" s="358">
        <f>V134-1</f>
        <v>99</v>
      </c>
      <c r="X134" s="358">
        <f>W134-1</f>
        <v>98</v>
      </c>
      <c r="Y134" s="358">
        <f>X134-1</f>
        <v>97</v>
      </c>
      <c r="Z134" s="358">
        <f>Y134-1</f>
        <v>96</v>
      </c>
      <c r="AA134" s="358">
        <v>95</v>
      </c>
      <c r="AB134" s="358">
        <f t="shared" si="450"/>
        <v>94</v>
      </c>
      <c r="AC134" s="358">
        <f t="shared" si="450"/>
        <v>93</v>
      </c>
      <c r="AD134" s="358">
        <f t="shared" si="450"/>
        <v>92</v>
      </c>
      <c r="AE134" s="358">
        <f t="shared" si="450"/>
        <v>91</v>
      </c>
      <c r="AF134" s="358">
        <v>90</v>
      </c>
      <c r="AG134" s="358">
        <v>90</v>
      </c>
      <c r="AH134" s="358">
        <v>91</v>
      </c>
      <c r="AI134" s="358">
        <v>91</v>
      </c>
      <c r="AJ134" s="358">
        <v>92</v>
      </c>
      <c r="AK134" s="358">
        <v>92</v>
      </c>
      <c r="AL134" s="354" t="s">
        <v>2177</v>
      </c>
      <c r="AM134" s="354" t="s">
        <v>4949</v>
      </c>
      <c r="AN134" s="354" t="s">
        <v>2351</v>
      </c>
      <c r="AO134" s="683"/>
      <c r="AP134" s="357">
        <v>50</v>
      </c>
      <c r="AQ134" s="357">
        <v>27</v>
      </c>
      <c r="AR134" s="357">
        <v>18</v>
      </c>
      <c r="AS134" s="357">
        <v>5</v>
      </c>
      <c r="AT134" s="683"/>
      <c r="AU134" s="359" t="s">
        <v>4950</v>
      </c>
      <c r="AV134" s="374" t="s">
        <v>4951</v>
      </c>
      <c r="AW134" s="374" t="s">
        <v>4700</v>
      </c>
      <c r="AX134" s="354" t="s">
        <v>4918</v>
      </c>
      <c r="AY134" s="683"/>
      <c r="AZ134" s="950">
        <v>3</v>
      </c>
      <c r="BA134" s="950">
        <v>0</v>
      </c>
      <c r="BB134" s="950">
        <v>0.5</v>
      </c>
      <c r="BC134" s="950">
        <v>3</v>
      </c>
      <c r="BD134" s="828">
        <f t="shared" si="352"/>
        <v>585</v>
      </c>
      <c r="BE134" s="360">
        <f t="shared" si="353"/>
        <v>270</v>
      </c>
      <c r="BF134" s="360">
        <f t="shared" si="354"/>
        <v>0</v>
      </c>
      <c r="BG134" s="360">
        <f t="shared" si="355"/>
        <v>45</v>
      </c>
      <c r="BH134" s="360">
        <f t="shared" si="356"/>
        <v>270</v>
      </c>
      <c r="BI134" s="828">
        <f t="shared" si="357"/>
        <v>598</v>
      </c>
      <c r="BJ134" s="360">
        <f t="shared" si="358"/>
        <v>276</v>
      </c>
      <c r="BK134" s="360">
        <f t="shared" si="359"/>
        <v>0</v>
      </c>
      <c r="BL134" s="360">
        <f t="shared" si="360"/>
        <v>46</v>
      </c>
      <c r="BM134" s="360">
        <f t="shared" si="361"/>
        <v>276</v>
      </c>
      <c r="BN134" s="683"/>
      <c r="BO134" s="361">
        <v>0.18</v>
      </c>
      <c r="BP134" s="361">
        <v>0.64</v>
      </c>
      <c r="BQ134" s="361">
        <v>0.14000000000000001</v>
      </c>
      <c r="BR134" s="712">
        <v>0.04</v>
      </c>
      <c r="BS134" s="709">
        <v>0.16</v>
      </c>
      <c r="BT134" s="361">
        <v>0.64</v>
      </c>
      <c r="BU134" s="361">
        <v>0.17</v>
      </c>
      <c r="BV134" s="712">
        <v>0.03</v>
      </c>
      <c r="BW134" s="716"/>
      <c r="BX134" s="362"/>
      <c r="BY134" s="727"/>
      <c r="BZ134" s="716"/>
      <c r="CA134" s="362"/>
      <c r="CB134" s="727"/>
      <c r="CC134" s="709">
        <v>0.1</v>
      </c>
      <c r="CD134" s="361">
        <v>0.55000000000000004</v>
      </c>
      <c r="CE134" s="361">
        <v>0.15</v>
      </c>
      <c r="CF134" s="712">
        <v>0.2</v>
      </c>
      <c r="CG134" s="709">
        <v>0.08</v>
      </c>
      <c r="CH134" s="361">
        <v>0.55000000000000004</v>
      </c>
      <c r="CI134" s="361">
        <v>0.18</v>
      </c>
      <c r="CJ134" s="712">
        <v>0.19</v>
      </c>
      <c r="CK134" s="722">
        <v>0.45</v>
      </c>
      <c r="CL134" s="363">
        <v>0.35</v>
      </c>
      <c r="CM134" s="725">
        <v>0.2</v>
      </c>
      <c r="CN134" s="722">
        <v>0.4</v>
      </c>
      <c r="CO134" s="363">
        <v>0.38</v>
      </c>
      <c r="CP134" s="725">
        <v>0.22</v>
      </c>
      <c r="CQ134" s="683"/>
      <c r="CR134" s="813">
        <v>11</v>
      </c>
      <c r="CS134" s="814">
        <v>12</v>
      </c>
      <c r="CT134" s="814">
        <v>9</v>
      </c>
      <c r="CU134" s="815">
        <v>10</v>
      </c>
      <c r="CV134" s="813"/>
      <c r="CW134" s="814"/>
      <c r="CX134" s="815"/>
      <c r="CY134" s="813">
        <v>10</v>
      </c>
      <c r="CZ134" s="814">
        <v>12</v>
      </c>
      <c r="DA134" s="814">
        <v>8</v>
      </c>
      <c r="DB134" s="815">
        <v>10</v>
      </c>
      <c r="DC134" s="813">
        <v>10</v>
      </c>
      <c r="DD134" s="814">
        <v>12</v>
      </c>
      <c r="DE134" s="815">
        <v>9</v>
      </c>
      <c r="DF134" s="817" t="s">
        <v>4952</v>
      </c>
      <c r="DG134" s="683"/>
      <c r="DH134" s="365">
        <f t="shared" si="362"/>
        <v>48.6</v>
      </c>
      <c r="DI134" s="365">
        <f t="shared" si="363"/>
        <v>172.8</v>
      </c>
      <c r="DJ134" s="365">
        <f t="shared" si="364"/>
        <v>37.800000000000004</v>
      </c>
      <c r="DK134" s="365">
        <f t="shared" si="365"/>
        <v>10.8</v>
      </c>
      <c r="DL134" s="364" t="s">
        <v>4953</v>
      </c>
      <c r="DM134" s="365">
        <f t="shared" si="366"/>
        <v>44.160000000000004</v>
      </c>
      <c r="DN134" s="365">
        <f t="shared" si="367"/>
        <v>176.64000000000001</v>
      </c>
      <c r="DO134" s="365">
        <f t="shared" si="368"/>
        <v>46.92</v>
      </c>
      <c r="DP134" s="365">
        <f t="shared" si="369"/>
        <v>8.2799999999999994</v>
      </c>
      <c r="DQ134" s="366" t="s">
        <v>3369</v>
      </c>
      <c r="DR134" s="683"/>
      <c r="DS134" s="365">
        <f t="shared" si="370"/>
        <v>0</v>
      </c>
      <c r="DT134" s="365">
        <f t="shared" si="371"/>
        <v>0</v>
      </c>
      <c r="DU134" s="365">
        <f t="shared" si="372"/>
        <v>0</v>
      </c>
      <c r="DV134" s="366" t="s">
        <v>2613</v>
      </c>
      <c r="DW134" s="365">
        <f t="shared" si="373"/>
        <v>0</v>
      </c>
      <c r="DX134" s="365">
        <f t="shared" si="374"/>
        <v>0</v>
      </c>
      <c r="DY134" s="365">
        <f t="shared" si="375"/>
        <v>0</v>
      </c>
      <c r="DZ134" s="366" t="s">
        <v>2613</v>
      </c>
      <c r="EA134" s="683"/>
      <c r="EB134" s="365">
        <f t="shared" si="376"/>
        <v>4.5</v>
      </c>
      <c r="EC134" s="365">
        <f t="shared" si="377"/>
        <v>24.750000000000004</v>
      </c>
      <c r="ED134" s="365">
        <f t="shared" si="378"/>
        <v>6.75</v>
      </c>
      <c r="EE134" s="365">
        <f t="shared" si="379"/>
        <v>9</v>
      </c>
      <c r="EF134" s="366" t="s">
        <v>4954</v>
      </c>
      <c r="EG134" s="365">
        <f t="shared" si="380"/>
        <v>3.68</v>
      </c>
      <c r="EH134" s="365">
        <f t="shared" si="381"/>
        <v>25.3</v>
      </c>
      <c r="EI134" s="365">
        <f t="shared" si="382"/>
        <v>8.2799999999999994</v>
      </c>
      <c r="EJ134" s="365">
        <f t="shared" si="383"/>
        <v>8.74</v>
      </c>
      <c r="EK134" s="367" t="s">
        <v>3373</v>
      </c>
      <c r="EL134" s="683"/>
      <c r="EM134" s="365">
        <f t="shared" si="384"/>
        <v>121.5</v>
      </c>
      <c r="EN134" s="369">
        <f t="shared" si="385"/>
        <v>94.5</v>
      </c>
      <c r="EO134" s="369">
        <f t="shared" si="386"/>
        <v>54</v>
      </c>
      <c r="EP134" s="366" t="s">
        <v>4955</v>
      </c>
      <c r="EQ134" s="365">
        <f t="shared" si="387"/>
        <v>110.4</v>
      </c>
      <c r="ER134" s="369">
        <f t="shared" si="388"/>
        <v>104.88</v>
      </c>
      <c r="ES134" s="369">
        <f t="shared" si="389"/>
        <v>60.72</v>
      </c>
      <c r="ET134" s="366" t="s">
        <v>3375</v>
      </c>
      <c r="EU134" s="683"/>
      <c r="EV134" s="737">
        <f t="shared" si="390"/>
        <v>0.82973971555437165</v>
      </c>
      <c r="EW134" s="737">
        <f t="shared" si="391"/>
        <v>0.17026028444562827</v>
      </c>
      <c r="EX134" s="370">
        <f t="shared" si="392"/>
        <v>301.47488691875003</v>
      </c>
      <c r="EY134" s="370">
        <f t="shared" si="393"/>
        <v>250.14568691875002</v>
      </c>
      <c r="EZ134" s="370">
        <f t="shared" si="394"/>
        <v>51.3292</v>
      </c>
      <c r="FA134" s="370">
        <f t="shared" si="395"/>
        <v>135.34792220000003</v>
      </c>
      <c r="FB134" s="370">
        <f t="shared" si="396"/>
        <v>111.65752220000002</v>
      </c>
      <c r="FC134" s="370">
        <f t="shared" si="397"/>
        <v>23.6904</v>
      </c>
      <c r="FD134" s="370">
        <f t="shared" si="398"/>
        <v>0</v>
      </c>
      <c r="FE134" s="370">
        <f t="shared" si="399"/>
        <v>0</v>
      </c>
      <c r="FF134" s="370">
        <f t="shared" si="400"/>
        <v>0</v>
      </c>
      <c r="FG134" s="370">
        <f t="shared" si="401"/>
        <v>23.50365446875</v>
      </c>
      <c r="FH134" s="370">
        <f t="shared" si="402"/>
        <v>19.55525446875</v>
      </c>
      <c r="FI134" s="370">
        <f t="shared" si="403"/>
        <v>3.9483999999999999</v>
      </c>
      <c r="FJ134" s="370">
        <f t="shared" si="404"/>
        <v>142.62331025</v>
      </c>
      <c r="FK134" s="370">
        <f t="shared" si="405"/>
        <v>118.93291024999999</v>
      </c>
      <c r="FL134" s="370">
        <f t="shared" si="406"/>
        <v>23.6904</v>
      </c>
      <c r="FM134" s="683"/>
      <c r="FN134" s="371" t="s">
        <v>2649</v>
      </c>
      <c r="FO134" s="737">
        <v>6.5519999999999995E-2</v>
      </c>
      <c r="FP134" s="738">
        <v>0.84006999999999998</v>
      </c>
      <c r="FQ134" s="372" t="s">
        <v>3154</v>
      </c>
      <c r="FR134" s="683"/>
      <c r="FS134" s="872">
        <v>2.93</v>
      </c>
      <c r="FT134" s="373">
        <f>RANK($FS134,$FS$8:$FS$154,0)+COUNTIF($FS$8:$FS134,$FS134)-1</f>
        <v>130</v>
      </c>
      <c r="FU134" s="872">
        <v>4.01</v>
      </c>
      <c r="FV134" s="373">
        <f>RANK($FU134,$FU$8:$FU$154,0)+COUNTIF($FU$8:$FU134,$FU134)-1</f>
        <v>83</v>
      </c>
      <c r="FW134" s="872">
        <v>1.6</v>
      </c>
      <c r="FX134" s="373">
        <f>RANK($FW134,$FW$8:$FW$154,0)+COUNTIF($FW$8:$FW134,$FW134)-1</f>
        <v>139</v>
      </c>
      <c r="FY134" s="683"/>
      <c r="FZ134" s="374" t="s">
        <v>4956</v>
      </c>
      <c r="GA134" s="374" t="s">
        <v>4957</v>
      </c>
      <c r="GB134" s="374" t="s">
        <v>4926</v>
      </c>
      <c r="GC134" s="374" t="s">
        <v>4927</v>
      </c>
      <c r="GD134" s="374" t="s">
        <v>4928</v>
      </c>
      <c r="GE134" s="374" t="s">
        <v>4929</v>
      </c>
      <c r="GF134" s="374" t="str">
        <f>HYPERLINK("https://www.legifrance.gouv.fr/dossierlegislatif/JORFDOLE000046266613/","https://www.legifrance.gouv.fr/dossierlegislatif/JORFDOLE000046266613/")&amp;CHAR(10)&amp;HYPERLINK("https://www.legifrance.gouv.fr/jorf/id/JORFTEXT000047046768","https://www.legifrance.gouv.fr/jorf/id/JORFTEXT000047046768")&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https://www.legifrance.gouv.fr/dossierlegislatif/JORFDOLE000046266613/
https://www.legifrance.gouv.fr/jorf/id/JORFTEXT000047046768
https://www.statistiques.developpement-durable.gouv.fr/construction-de-locaux-resultats-fin-janvier-2026-france-entiere
https://www.insee.fr/fr/statistiques/8671745
https://www.insee.fr/fr/statistiques/8906564</v>
      </c>
      <c r="GG134" s="683"/>
      <c r="GH134" s="370">
        <f t="shared" si="407"/>
        <v>23.997965999999998</v>
      </c>
      <c r="GI134" s="370">
        <f t="shared" si="451"/>
        <v>20.207501999999998</v>
      </c>
      <c r="GJ134" s="370">
        <f t="shared" si="408"/>
        <v>3.7904640000000001</v>
      </c>
      <c r="GK134" s="370">
        <f t="shared" si="409"/>
        <v>82.905100800000014</v>
      </c>
      <c r="GL134" s="370">
        <f t="shared" si="452"/>
        <v>67.743244800000014</v>
      </c>
      <c r="GM134" s="370">
        <f t="shared" si="410"/>
        <v>15.161856</v>
      </c>
      <c r="GN134" s="370">
        <f t="shared" si="411"/>
        <v>22.844936000000001</v>
      </c>
      <c r="GO134" s="370">
        <f t="shared" si="453"/>
        <v>18.817568000000001</v>
      </c>
      <c r="GP134" s="370">
        <f t="shared" si="412"/>
        <v>4.0273680000000001</v>
      </c>
      <c r="GQ134" s="370">
        <f t="shared" si="413"/>
        <v>5.5999194000000001</v>
      </c>
      <c r="GR134" s="370">
        <f t="shared" si="454"/>
        <v>4.8892074000000001</v>
      </c>
      <c r="GS134" s="370">
        <f t="shared" si="414"/>
        <v>0.71071200000000001</v>
      </c>
      <c r="GT134" s="370">
        <f t="shared" si="415"/>
        <v>0</v>
      </c>
      <c r="GU134" s="370">
        <f t="shared" si="455"/>
        <v>0</v>
      </c>
      <c r="GV134" s="370">
        <f t="shared" si="416"/>
        <v>0</v>
      </c>
      <c r="GW134" s="370">
        <f t="shared" si="417"/>
        <v>0</v>
      </c>
      <c r="GX134" s="370">
        <f t="shared" si="456"/>
        <v>0</v>
      </c>
      <c r="GY134" s="370">
        <f t="shared" si="418"/>
        <v>0</v>
      </c>
      <c r="GZ134" s="370">
        <f t="shared" si="419"/>
        <v>0</v>
      </c>
      <c r="HA134" s="370">
        <f t="shared" si="457"/>
        <v>0</v>
      </c>
      <c r="HB134" s="370">
        <f t="shared" si="420"/>
        <v>0</v>
      </c>
      <c r="HC134" s="370">
        <f t="shared" si="421"/>
        <v>2.35304175</v>
      </c>
      <c r="HD134" s="370">
        <f t="shared" si="458"/>
        <v>2.0371697499999999</v>
      </c>
      <c r="HE134" s="370">
        <f t="shared" si="422"/>
        <v>0.31587199999999999</v>
      </c>
      <c r="HF134" s="370">
        <f t="shared" si="423"/>
        <v>11.874428500000002</v>
      </c>
      <c r="HG134" s="370">
        <f t="shared" si="459"/>
        <v>9.7028085000000015</v>
      </c>
      <c r="HH134" s="370">
        <f t="shared" si="424"/>
        <v>2.1716200000000003</v>
      </c>
      <c r="HI134" s="370">
        <f t="shared" si="425"/>
        <v>4.4516487187500005</v>
      </c>
      <c r="HJ134" s="370">
        <f t="shared" si="460"/>
        <v>3.74093671875</v>
      </c>
      <c r="HK134" s="370">
        <f t="shared" si="426"/>
        <v>0.71071200000000001</v>
      </c>
      <c r="HL134" s="370">
        <f t="shared" si="427"/>
        <v>4.8245354999999996</v>
      </c>
      <c r="HM134" s="370">
        <f t="shared" si="461"/>
        <v>4.0743394999999998</v>
      </c>
      <c r="HN134" s="370">
        <f t="shared" si="428"/>
        <v>0.75019599999999997</v>
      </c>
      <c r="HO134" s="370">
        <f t="shared" si="429"/>
        <v>64.479743249999984</v>
      </c>
      <c r="HP134" s="370">
        <f t="shared" si="462"/>
        <v>55.003583249999991</v>
      </c>
      <c r="HQ134" s="370">
        <f t="shared" si="430"/>
        <v>9.4761600000000001</v>
      </c>
      <c r="HR134" s="370">
        <f t="shared" si="431"/>
        <v>46.049439</v>
      </c>
      <c r="HS134" s="370">
        <f t="shared" si="463"/>
        <v>37.047086999999998</v>
      </c>
      <c r="HT134" s="370">
        <f t="shared" si="432"/>
        <v>9.0023520000000001</v>
      </c>
      <c r="HU134" s="370">
        <f t="shared" si="433"/>
        <v>32.094128000000005</v>
      </c>
      <c r="HV134" s="370">
        <f t="shared" si="464"/>
        <v>26.882240000000003</v>
      </c>
      <c r="HW134" s="370">
        <f t="shared" si="434"/>
        <v>5.2118880000000001</v>
      </c>
      <c r="HX134" s="684"/>
      <c r="HY134" s="375">
        <f t="shared" si="435"/>
        <v>585</v>
      </c>
      <c r="HZ134" s="375">
        <f t="shared" si="436"/>
        <v>42.952500000000001</v>
      </c>
      <c r="IA134" s="375">
        <f t="shared" si="437"/>
        <v>334.25099999999998</v>
      </c>
      <c r="IB134" s="375">
        <f t="shared" si="438"/>
        <v>207.79649999999998</v>
      </c>
      <c r="IC134" s="375">
        <f t="shared" si="439"/>
        <v>0</v>
      </c>
      <c r="ID134" s="375">
        <f t="shared" si="440"/>
        <v>0</v>
      </c>
      <c r="IE134" s="375">
        <f t="shared" si="441"/>
        <v>250.14568691875002</v>
      </c>
      <c r="IF134" s="375">
        <f t="shared" si="442"/>
        <v>12.14928881137125</v>
      </c>
      <c r="IG134" s="375">
        <f t="shared" si="443"/>
        <v>117.87325394698438</v>
      </c>
      <c r="IH134" s="375">
        <f t="shared" si="444"/>
        <v>120.12314416039438</v>
      </c>
      <c r="II134" s="375">
        <f t="shared" si="445"/>
        <v>0</v>
      </c>
      <c r="IJ134" s="375">
        <f t="shared" si="446"/>
        <v>0</v>
      </c>
      <c r="IK134" s="873">
        <v>4</v>
      </c>
      <c r="IL134" s="376" t="s">
        <v>2589</v>
      </c>
      <c r="IM134" s="377" t="s">
        <v>4930</v>
      </c>
      <c r="IN134" s="683"/>
      <c r="IO134" s="739">
        <v>6.3799999999999996E-2</v>
      </c>
      <c r="IP134" s="739">
        <v>0.56389999999999996</v>
      </c>
      <c r="IQ134" s="739">
        <v>0.37230000000000002</v>
      </c>
      <c r="IR134" s="739">
        <v>0</v>
      </c>
      <c r="IS134" s="739">
        <v>0</v>
      </c>
      <c r="IT134" s="739">
        <v>4.6199999999999998E-2</v>
      </c>
      <c r="IU134" s="739">
        <v>0.45550000000000002</v>
      </c>
      <c r="IV134" s="739">
        <v>0.49830000000000002</v>
      </c>
      <c r="IW134" s="739">
        <v>0</v>
      </c>
      <c r="IX134" s="739">
        <v>0</v>
      </c>
      <c r="IY134" s="739">
        <v>0</v>
      </c>
      <c r="IZ134" s="739">
        <v>0</v>
      </c>
      <c r="JA134" s="739">
        <v>0</v>
      </c>
      <c r="JB134" s="739">
        <v>0</v>
      </c>
      <c r="JC134" s="739">
        <v>0</v>
      </c>
      <c r="JD134" s="739">
        <v>0</v>
      </c>
      <c r="JE134" s="739">
        <v>0</v>
      </c>
      <c r="JF134" s="739">
        <v>0</v>
      </c>
      <c r="JG134" s="739">
        <v>0</v>
      </c>
      <c r="JH134" s="739">
        <v>0</v>
      </c>
      <c r="JI134" s="739">
        <v>0.14810000000000001</v>
      </c>
      <c r="JJ134" s="739">
        <v>0.59199999999999997</v>
      </c>
      <c r="JK134" s="739">
        <v>0.25990000000000002</v>
      </c>
      <c r="JL134" s="739">
        <v>0</v>
      </c>
      <c r="JM134" s="739">
        <v>0</v>
      </c>
      <c r="JN134" s="739">
        <v>8.3799999999999999E-2</v>
      </c>
      <c r="JO134" s="739">
        <v>0.54769999999999996</v>
      </c>
      <c r="JP134" s="739">
        <v>0.36849999999999999</v>
      </c>
      <c r="JQ134" s="739">
        <v>0</v>
      </c>
      <c r="JR134" s="739">
        <v>0</v>
      </c>
      <c r="JS134" s="739">
        <v>7.0599999999999996E-2</v>
      </c>
      <c r="JT134" s="739">
        <v>0.57540000000000002</v>
      </c>
      <c r="JU134" s="739">
        <v>0.35399999999999998</v>
      </c>
      <c r="JV134" s="739">
        <v>0</v>
      </c>
      <c r="JW134" s="739">
        <v>0</v>
      </c>
      <c r="JX134" s="739">
        <v>4.4999999999999998E-2</v>
      </c>
      <c r="JY134" s="739">
        <v>0.47339999999999999</v>
      </c>
      <c r="JZ134" s="739">
        <v>0.48159999999999997</v>
      </c>
      <c r="KA134" s="739">
        <v>0</v>
      </c>
      <c r="KB134" s="739">
        <v>0</v>
      </c>
      <c r="KC134" s="683"/>
      <c r="KD134" s="376" t="s">
        <v>2590</v>
      </c>
      <c r="KE134" s="376" t="s">
        <v>2590</v>
      </c>
      <c r="KF134" s="873">
        <v>4</v>
      </c>
      <c r="KG134" s="376" t="s">
        <v>2589</v>
      </c>
      <c r="KH134" s="378" t="s">
        <v>4931</v>
      </c>
      <c r="KI134" s="376" t="s">
        <v>2909</v>
      </c>
      <c r="KJ134" s="378" t="s">
        <v>4958</v>
      </c>
      <c r="KK134" s="834"/>
      <c r="KL134" s="834"/>
      <c r="KM134" s="834"/>
      <c r="KN134" s="834"/>
      <c r="KO134" s="834"/>
      <c r="KP134" s="834"/>
      <c r="KQ134" s="834"/>
      <c r="KR134" s="834"/>
      <c r="KS134" s="834"/>
      <c r="KT134" s="834"/>
      <c r="KU134" s="834"/>
      <c r="KV134" s="834"/>
      <c r="KW134" s="834"/>
      <c r="KX134" s="834"/>
      <c r="KY134" s="834"/>
      <c r="KZ134" s="834"/>
      <c r="LA134" s="834"/>
      <c r="LB134" s="834"/>
      <c r="LC134" s="834"/>
      <c r="LD134" s="834"/>
      <c r="LE134" s="834"/>
      <c r="LF134" s="834"/>
      <c r="LG134" s="834"/>
      <c r="LH134" s="834"/>
      <c r="LI134" s="834"/>
      <c r="LJ134" s="834"/>
      <c r="LK134" s="834"/>
      <c r="LL134" s="834"/>
      <c r="LM134" s="834"/>
      <c r="LN134" s="834"/>
      <c r="LO134" s="834"/>
      <c r="LP134" s="834"/>
      <c r="LQ134" s="834"/>
      <c r="LR134" s="834"/>
      <c r="LS134" s="834"/>
      <c r="LT134" s="834"/>
      <c r="LU134" s="834"/>
      <c r="LV134" s="834"/>
      <c r="LW134" s="834"/>
      <c r="LX134" s="834"/>
      <c r="LY134" s="834"/>
      <c r="LZ134" s="834"/>
      <c r="MA134" s="834"/>
      <c r="MB134" s="834"/>
      <c r="MC134" s="834"/>
      <c r="MD134" s="834"/>
      <c r="ME134" s="834"/>
      <c r="MF134" s="834"/>
      <c r="MG134" s="834"/>
      <c r="MH134" s="834"/>
      <c r="MI134" s="834"/>
      <c r="MJ134" s="834"/>
      <c r="MK134" s="834"/>
      <c r="ML134" s="834"/>
      <c r="MM134" s="834"/>
      <c r="MN134" s="834"/>
      <c r="MO134" s="834"/>
      <c r="MP134" s="834"/>
      <c r="MQ134" s="834"/>
      <c r="MR134" s="834"/>
      <c r="MS134" s="834"/>
      <c r="MT134" s="834"/>
      <c r="MU134" s="834"/>
      <c r="MV134" s="834"/>
      <c r="MW134" s="834"/>
      <c r="MX134" s="834"/>
      <c r="MY134" s="834"/>
      <c r="MZ134" s="834"/>
      <c r="NA134" s="834"/>
      <c r="NB134" s="834"/>
      <c r="NC134" s="834"/>
      <c r="ND134" s="834"/>
      <c r="NE134" s="834"/>
      <c r="NF134" s="834"/>
      <c r="NG134" s="834"/>
      <c r="NH134" s="834"/>
      <c r="NI134" s="834"/>
      <c r="NJ134" s="834"/>
      <c r="NK134" s="834"/>
      <c r="NL134" s="834"/>
      <c r="NM134" s="834"/>
      <c r="NN134" s="834"/>
      <c r="NO134" s="834"/>
      <c r="NP134" s="834"/>
      <c r="NQ134" s="834"/>
      <c r="NR134" s="834"/>
      <c r="NS134" s="834"/>
    </row>
    <row r="135" spans="1:383" ht="48" hidden="1" customHeight="1">
      <c r="A135" s="265">
        <f t="shared" si="447"/>
        <v>128</v>
      </c>
      <c r="B135" s="266" t="s">
        <v>4908</v>
      </c>
      <c r="C135" s="266" t="s">
        <v>1985</v>
      </c>
      <c r="D135" s="624" t="s">
        <v>4959</v>
      </c>
      <c r="E135" s="267" t="s">
        <v>2117</v>
      </c>
      <c r="F135" s="267" t="s">
        <v>4960</v>
      </c>
      <c r="G135" s="267" t="s">
        <v>2121</v>
      </c>
      <c r="H135" s="267" t="s">
        <v>2097</v>
      </c>
      <c r="I135" s="268" t="s">
        <v>4961</v>
      </c>
      <c r="J135" s="268" t="s">
        <v>4962</v>
      </c>
      <c r="K135" s="269" t="s">
        <v>2109</v>
      </c>
      <c r="L135" s="269" t="s">
        <v>2109</v>
      </c>
      <c r="M135" s="269" t="s">
        <v>4963</v>
      </c>
      <c r="N135" s="269" t="s">
        <v>2099</v>
      </c>
      <c r="O135" s="267" t="s">
        <v>2616</v>
      </c>
      <c r="P135" s="268"/>
      <c r="Q135" s="270">
        <v>1</v>
      </c>
      <c r="R135" s="271">
        <v>3200</v>
      </c>
      <c r="S135" s="272">
        <v>300</v>
      </c>
      <c r="T135" s="272">
        <v>305</v>
      </c>
      <c r="U135" s="272">
        <v>310</v>
      </c>
      <c r="V135" s="272">
        <v>314</v>
      </c>
      <c r="W135" s="272">
        <v>316</v>
      </c>
      <c r="X135" s="272">
        <v>318</v>
      </c>
      <c r="Y135" s="272">
        <v>320</v>
      </c>
      <c r="Z135" s="272">
        <v>323</v>
      </c>
      <c r="AA135" s="272">
        <v>326</v>
      </c>
      <c r="AB135" s="272">
        <v>329</v>
      </c>
      <c r="AC135" s="272">
        <v>332</v>
      </c>
      <c r="AD135" s="272">
        <v>336</v>
      </c>
      <c r="AE135" s="272">
        <v>340</v>
      </c>
      <c r="AF135" s="272">
        <v>344</v>
      </c>
      <c r="AG135" s="272">
        <v>348</v>
      </c>
      <c r="AH135" s="272">
        <v>352</v>
      </c>
      <c r="AI135" s="272">
        <v>356</v>
      </c>
      <c r="AJ135" s="272">
        <v>360</v>
      </c>
      <c r="AK135" s="272">
        <v>364</v>
      </c>
      <c r="AL135" s="268" t="s">
        <v>4964</v>
      </c>
      <c r="AM135" s="268" t="s">
        <v>4965</v>
      </c>
      <c r="AN135" s="268" t="s">
        <v>2360</v>
      </c>
      <c r="AO135" s="657"/>
      <c r="AP135" s="271">
        <v>145</v>
      </c>
      <c r="AQ135" s="280">
        <v>128</v>
      </c>
      <c r="AR135" s="280">
        <v>14</v>
      </c>
      <c r="AS135" s="280">
        <v>3</v>
      </c>
      <c r="AT135" s="657"/>
      <c r="AU135" s="301" t="s">
        <v>4966</v>
      </c>
      <c r="AV135" s="572" t="s">
        <v>4967</v>
      </c>
      <c r="AW135" s="645" t="s">
        <v>4968</v>
      </c>
      <c r="AX135" s="290" t="s">
        <v>2609</v>
      </c>
      <c r="AY135" s="657"/>
      <c r="AZ135" s="948">
        <v>12</v>
      </c>
      <c r="BA135" s="948">
        <v>12</v>
      </c>
      <c r="BB135" s="948">
        <v>3</v>
      </c>
      <c r="BC135" s="948">
        <v>10</v>
      </c>
      <c r="BD135" s="825">
        <f t="shared" si="352"/>
        <v>12728</v>
      </c>
      <c r="BE135" s="304">
        <f t="shared" si="353"/>
        <v>4128</v>
      </c>
      <c r="BF135" s="304">
        <f t="shared" si="354"/>
        <v>4128</v>
      </c>
      <c r="BG135" s="304">
        <f t="shared" si="355"/>
        <v>1032</v>
      </c>
      <c r="BH135" s="304">
        <f t="shared" si="356"/>
        <v>3440</v>
      </c>
      <c r="BI135" s="825">
        <f t="shared" si="357"/>
        <v>13468</v>
      </c>
      <c r="BJ135" s="304">
        <f t="shared" si="358"/>
        <v>4368</v>
      </c>
      <c r="BK135" s="304">
        <f t="shared" si="359"/>
        <v>4368</v>
      </c>
      <c r="BL135" s="304">
        <f t="shared" si="360"/>
        <v>1092</v>
      </c>
      <c r="BM135" s="304">
        <f t="shared" si="361"/>
        <v>3640</v>
      </c>
      <c r="BN135" s="657"/>
      <c r="BO135" s="284">
        <v>0.25</v>
      </c>
      <c r="BP135" s="284">
        <v>0.57999999999999996</v>
      </c>
      <c r="BQ135" s="284">
        <v>0.06</v>
      </c>
      <c r="BR135" s="710">
        <v>0.11</v>
      </c>
      <c r="BS135" s="707">
        <v>0.23</v>
      </c>
      <c r="BT135" s="284">
        <v>0.59</v>
      </c>
      <c r="BU135" s="284">
        <v>0.08</v>
      </c>
      <c r="BV135" s="710">
        <v>0.1</v>
      </c>
      <c r="BW135" s="714">
        <v>0.55000000000000004</v>
      </c>
      <c r="BX135" s="285">
        <v>0.4</v>
      </c>
      <c r="BY135" s="717">
        <v>0.05</v>
      </c>
      <c r="BZ135" s="714">
        <v>0.5</v>
      </c>
      <c r="CA135" s="285">
        <v>0.43</v>
      </c>
      <c r="CB135" s="717">
        <v>7.0000000000000007E-2</v>
      </c>
      <c r="CC135" s="284">
        <v>0.12</v>
      </c>
      <c r="CD135" s="284">
        <v>0.56000000000000005</v>
      </c>
      <c r="CE135" s="284">
        <v>0.08</v>
      </c>
      <c r="CF135" s="710">
        <v>0.24</v>
      </c>
      <c r="CG135" s="707">
        <v>0.1</v>
      </c>
      <c r="CH135" s="284">
        <v>0.56000000000000005</v>
      </c>
      <c r="CI135" s="284">
        <v>0.1</v>
      </c>
      <c r="CJ135" s="710">
        <v>0.24</v>
      </c>
      <c r="CK135" s="720">
        <v>0.45</v>
      </c>
      <c r="CL135" s="286">
        <v>0.5</v>
      </c>
      <c r="CM135" s="718">
        <v>0.05</v>
      </c>
      <c r="CN135" s="720">
        <v>0.4</v>
      </c>
      <c r="CO135" s="286">
        <v>0.53</v>
      </c>
      <c r="CP135" s="718">
        <v>7.0000000000000007E-2</v>
      </c>
      <c r="CQ135" s="657"/>
      <c r="CR135" s="807">
        <v>11</v>
      </c>
      <c r="CS135" s="808">
        <v>12</v>
      </c>
      <c r="CT135" s="808">
        <v>9</v>
      </c>
      <c r="CU135" s="809">
        <v>10</v>
      </c>
      <c r="CV135" s="807">
        <v>11</v>
      </c>
      <c r="CW135" s="808">
        <v>11</v>
      </c>
      <c r="CX135" s="809">
        <v>8</v>
      </c>
      <c r="CY135" s="807">
        <v>10</v>
      </c>
      <c r="CZ135" s="808">
        <v>12</v>
      </c>
      <c r="DA135" s="808">
        <v>8</v>
      </c>
      <c r="DB135" s="809">
        <v>10</v>
      </c>
      <c r="DC135" s="807">
        <v>10</v>
      </c>
      <c r="DD135" s="808">
        <v>12</v>
      </c>
      <c r="DE135" s="809">
        <v>9</v>
      </c>
      <c r="DF135" s="610" t="s">
        <v>4952</v>
      </c>
      <c r="DG135" s="657"/>
      <c r="DH135" s="288">
        <f t="shared" si="362"/>
        <v>1032</v>
      </c>
      <c r="DI135" s="288">
        <f t="shared" si="363"/>
        <v>2394.2399999999998</v>
      </c>
      <c r="DJ135" s="288">
        <f t="shared" si="364"/>
        <v>247.67999999999998</v>
      </c>
      <c r="DK135" s="288">
        <f t="shared" si="365"/>
        <v>454.08</v>
      </c>
      <c r="DL135" s="560" t="s">
        <v>4969</v>
      </c>
      <c r="DM135" s="288">
        <f t="shared" si="366"/>
        <v>1004.6400000000001</v>
      </c>
      <c r="DN135" s="288">
        <f t="shared" si="367"/>
        <v>2577.12</v>
      </c>
      <c r="DO135" s="288">
        <f t="shared" si="368"/>
        <v>349.44</v>
      </c>
      <c r="DP135" s="288">
        <f t="shared" si="369"/>
        <v>436.8</v>
      </c>
      <c r="DQ135" s="561" t="s">
        <v>3369</v>
      </c>
      <c r="DR135" s="657"/>
      <c r="DS135" s="288">
        <f t="shared" si="370"/>
        <v>2270.4</v>
      </c>
      <c r="DT135" s="288">
        <f t="shared" si="371"/>
        <v>1651.2</v>
      </c>
      <c r="DU135" s="288">
        <f t="shared" si="372"/>
        <v>206.4</v>
      </c>
      <c r="DV135" s="561" t="s">
        <v>4970</v>
      </c>
      <c r="DW135" s="288">
        <f t="shared" si="373"/>
        <v>2184</v>
      </c>
      <c r="DX135" s="288">
        <f t="shared" si="374"/>
        <v>1878.24</v>
      </c>
      <c r="DY135" s="288">
        <f t="shared" si="375"/>
        <v>305.76000000000005</v>
      </c>
      <c r="DZ135" s="561" t="s">
        <v>3371</v>
      </c>
      <c r="EA135" s="657"/>
      <c r="EB135" s="288">
        <f t="shared" si="376"/>
        <v>123.83999999999999</v>
      </c>
      <c r="EC135" s="288">
        <f t="shared" si="377"/>
        <v>577.92000000000007</v>
      </c>
      <c r="ED135" s="288">
        <f t="shared" si="378"/>
        <v>82.56</v>
      </c>
      <c r="EE135" s="288">
        <f t="shared" si="379"/>
        <v>247.67999999999998</v>
      </c>
      <c r="EF135" s="561" t="s">
        <v>4971</v>
      </c>
      <c r="EG135" s="288">
        <f t="shared" si="380"/>
        <v>109.2</v>
      </c>
      <c r="EH135" s="288">
        <f t="shared" si="381"/>
        <v>611.5200000000001</v>
      </c>
      <c r="EI135" s="288">
        <f t="shared" si="382"/>
        <v>109.2</v>
      </c>
      <c r="EJ135" s="288">
        <f t="shared" si="383"/>
        <v>262.08</v>
      </c>
      <c r="EK135" s="561" t="s">
        <v>3373</v>
      </c>
      <c r="EL135" s="657"/>
      <c r="EM135" s="288">
        <f t="shared" si="384"/>
        <v>1548</v>
      </c>
      <c r="EN135" s="291">
        <f t="shared" si="385"/>
        <v>1720</v>
      </c>
      <c r="EO135" s="291">
        <f t="shared" si="386"/>
        <v>172</v>
      </c>
      <c r="EP135" s="561" t="s">
        <v>4972</v>
      </c>
      <c r="EQ135" s="288">
        <f t="shared" si="387"/>
        <v>1456</v>
      </c>
      <c r="ER135" s="291">
        <f t="shared" si="388"/>
        <v>1929.2</v>
      </c>
      <c r="ES135" s="291">
        <f t="shared" si="389"/>
        <v>254.8</v>
      </c>
      <c r="ET135" s="561" t="s">
        <v>3375</v>
      </c>
      <c r="EU135" s="657"/>
      <c r="EV135" s="740">
        <f t="shared" si="390"/>
        <v>0.71466317612541241</v>
      </c>
      <c r="EW135" s="740">
        <f t="shared" si="391"/>
        <v>0.28533682387458764</v>
      </c>
      <c r="EX135" s="563">
        <f t="shared" si="392"/>
        <v>6397.5052894060609</v>
      </c>
      <c r="EY135" s="563">
        <f t="shared" si="393"/>
        <v>4572.061449406061</v>
      </c>
      <c r="EZ135" s="563">
        <f t="shared" si="394"/>
        <v>1825.4438400000001</v>
      </c>
      <c r="FA135" s="563">
        <f t="shared" si="395"/>
        <v>2030.2133918618181</v>
      </c>
      <c r="FB135" s="563">
        <f t="shared" si="396"/>
        <v>1438.1775518618181</v>
      </c>
      <c r="FC135" s="563">
        <f t="shared" si="397"/>
        <v>592.03584000000001</v>
      </c>
      <c r="FD135" s="563">
        <f t="shared" si="398"/>
        <v>2099.2103860909092</v>
      </c>
      <c r="FE135" s="563">
        <f t="shared" si="399"/>
        <v>1507.174546090909</v>
      </c>
      <c r="FF135" s="563">
        <f t="shared" si="400"/>
        <v>592.03584000000001</v>
      </c>
      <c r="FG135" s="563">
        <f t="shared" si="401"/>
        <v>524.94544512000004</v>
      </c>
      <c r="FH135" s="563">
        <f t="shared" si="402"/>
        <v>376.93648512000004</v>
      </c>
      <c r="FI135" s="563">
        <f t="shared" si="403"/>
        <v>148.00896</v>
      </c>
      <c r="FJ135" s="563">
        <f t="shared" si="404"/>
        <v>1743.1360663333332</v>
      </c>
      <c r="FK135" s="563">
        <f t="shared" si="405"/>
        <v>1249.7728663333332</v>
      </c>
      <c r="FL135" s="563">
        <f t="shared" si="406"/>
        <v>493.36320000000001</v>
      </c>
      <c r="FM135" s="529"/>
      <c r="FN135" s="564" t="s">
        <v>2649</v>
      </c>
      <c r="FO135" s="740">
        <v>8.5279999999999995E-2</v>
      </c>
      <c r="FP135" s="741">
        <v>0.85097999999999996</v>
      </c>
      <c r="FQ135" s="565" t="s">
        <v>2773</v>
      </c>
      <c r="FR135" s="529"/>
      <c r="FS135" s="867">
        <v>3.39</v>
      </c>
      <c r="FT135" s="566">
        <f>RANK($FS135,$FS$8:$FS$154,0)+COUNTIF($FS$8:$FS135,$FS135)-1</f>
        <v>60</v>
      </c>
      <c r="FU135" s="867">
        <v>4.12</v>
      </c>
      <c r="FV135" s="566">
        <f>RANK($FU135,$FU$8:$FU$154,0)+COUNTIF($FU$8:$FU135,$FU135)-1</f>
        <v>75</v>
      </c>
      <c r="FW135" s="867">
        <v>2.4900000000000002</v>
      </c>
      <c r="FX135" s="566">
        <f>RANK($FW135,$FW$8:$FW$154,0)+COUNTIF($FW$8:$FW135,$FW135)-1</f>
        <v>40</v>
      </c>
      <c r="FY135" s="529"/>
      <c r="FZ135" s="567" t="s">
        <v>4973</v>
      </c>
      <c r="GA135" s="567" t="s">
        <v>4974</v>
      </c>
      <c r="GB135" s="567" t="s">
        <v>3379</v>
      </c>
      <c r="GC135" s="567" t="s">
        <v>3380</v>
      </c>
      <c r="GD135" s="567" t="s">
        <v>3381</v>
      </c>
      <c r="GE135" s="567" t="s">
        <v>3382</v>
      </c>
      <c r="GF135" s="567" t="str">
        <f>HYPERLINK("https://www.defense.gouv.fr/ministere/politique-defense/loi-programmation-militaire-2024-2030","https://www.defense.gouv.fr/ministere/politique-defense/loi-programmation-militaire-2024-2030")&amp;CHAR(10)&amp;HYPERLINK("https://www.defense.gouv.fr/loi-programmation-militaire-2024-2030-grandes-orientations","https://www.defense.gouv.fr/loi-programmation-militaire-2024-2030-grandes-orientations")&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https://www.defense.gouv.fr/ministere/politique-defense/loi-programmation-militaire-2024-2030
https://www.defense.gouv.fr/loi-programmation-militaire-2024-2030-grandes-orientations
https://www.statistiques.developpement-durable.gouv.fr/construction-de-locaux-resultats-fin-janvier-2026-france-entiere
https://www.insee.fr/fr/statistiques/8671745
https://www.insee.fr/fr/statistiques/8906564</v>
      </c>
      <c r="GG135" s="529"/>
      <c r="GH135" s="563">
        <f t="shared" si="407"/>
        <v>505.41620138181815</v>
      </c>
      <c r="GI135" s="563">
        <f t="shared" si="451"/>
        <v>369.24795818181815</v>
      </c>
      <c r="GJ135" s="563">
        <f t="shared" si="408"/>
        <v>136.16824320000001</v>
      </c>
      <c r="GK135" s="563">
        <f t="shared" si="409"/>
        <v>1128.1520807999998</v>
      </c>
      <c r="GL135" s="563">
        <f t="shared" si="452"/>
        <v>778.85093519999987</v>
      </c>
      <c r="GM135" s="563">
        <f t="shared" si="410"/>
        <v>349.30114559999998</v>
      </c>
      <c r="GN135" s="563">
        <f t="shared" si="411"/>
        <v>157.37756160000001</v>
      </c>
      <c r="GO135" s="563">
        <f t="shared" si="453"/>
        <v>110.0146944</v>
      </c>
      <c r="GP135" s="563">
        <f t="shared" si="412"/>
        <v>47.362867200000004</v>
      </c>
      <c r="GQ135" s="563">
        <f t="shared" si="413"/>
        <v>239.26754808000001</v>
      </c>
      <c r="GR135" s="563">
        <f t="shared" si="454"/>
        <v>180.06396408000001</v>
      </c>
      <c r="GS135" s="563">
        <f t="shared" si="414"/>
        <v>59.203584000000006</v>
      </c>
      <c r="GT135" s="563">
        <f t="shared" si="415"/>
        <v>1108.3634280000001</v>
      </c>
      <c r="GU135" s="563">
        <f t="shared" si="455"/>
        <v>812.345508</v>
      </c>
      <c r="GV135" s="563">
        <f t="shared" si="416"/>
        <v>296.01792</v>
      </c>
      <c r="GW135" s="563">
        <f t="shared" si="417"/>
        <v>845.37214429090909</v>
      </c>
      <c r="GX135" s="563">
        <f t="shared" si="456"/>
        <v>590.79673309090913</v>
      </c>
      <c r="GY135" s="563">
        <f t="shared" si="418"/>
        <v>254.57541119999999</v>
      </c>
      <c r="GZ135" s="563">
        <f t="shared" si="419"/>
        <v>145.47481379999999</v>
      </c>
      <c r="HA135" s="563">
        <f t="shared" si="457"/>
        <v>104.03230499999999</v>
      </c>
      <c r="HB135" s="563">
        <f t="shared" si="420"/>
        <v>41.442508800000006</v>
      </c>
      <c r="HC135" s="563">
        <f t="shared" si="421"/>
        <v>63.909249839999994</v>
      </c>
      <c r="HD135" s="563">
        <f t="shared" si="458"/>
        <v>49.108353839999992</v>
      </c>
      <c r="HE135" s="563">
        <f t="shared" si="422"/>
        <v>14.800896000000002</v>
      </c>
      <c r="HF135" s="563">
        <f t="shared" si="423"/>
        <v>270.88351920000002</v>
      </c>
      <c r="HG135" s="563">
        <f t="shared" si="459"/>
        <v>187.99850160000003</v>
      </c>
      <c r="HH135" s="563">
        <f t="shared" si="424"/>
        <v>82.885017600000012</v>
      </c>
      <c r="HI135" s="563">
        <f t="shared" si="425"/>
        <v>56.413818000000006</v>
      </c>
      <c r="HJ135" s="563">
        <f t="shared" si="460"/>
        <v>41.612922000000005</v>
      </c>
      <c r="HK135" s="563">
        <f t="shared" si="426"/>
        <v>14.800896000000002</v>
      </c>
      <c r="HL135" s="563">
        <f t="shared" si="427"/>
        <v>133.73885808</v>
      </c>
      <c r="HM135" s="563">
        <f t="shared" si="461"/>
        <v>98.216707679999985</v>
      </c>
      <c r="HN135" s="563">
        <f t="shared" si="428"/>
        <v>35.522150400000001</v>
      </c>
      <c r="HO135" s="563">
        <f t="shared" si="429"/>
        <v>811.19970299999989</v>
      </c>
      <c r="HP135" s="563">
        <f t="shared" si="462"/>
        <v>613.85442299999988</v>
      </c>
      <c r="HQ135" s="563">
        <f t="shared" si="430"/>
        <v>197.34528</v>
      </c>
      <c r="HR135" s="563">
        <f t="shared" si="431"/>
        <v>821.00184600000011</v>
      </c>
      <c r="HS135" s="563">
        <f t="shared" si="463"/>
        <v>559.51935000000003</v>
      </c>
      <c r="HT135" s="563">
        <f t="shared" si="432"/>
        <v>261.48249600000003</v>
      </c>
      <c r="HU135" s="563">
        <f t="shared" si="433"/>
        <v>110.93451733333335</v>
      </c>
      <c r="HV135" s="563">
        <f t="shared" si="464"/>
        <v>76.39909333333334</v>
      </c>
      <c r="HW135" s="563">
        <f t="shared" si="434"/>
        <v>34.535424000000006</v>
      </c>
      <c r="HX135" s="544"/>
      <c r="HY135" s="568">
        <f t="shared" si="435"/>
        <v>12728</v>
      </c>
      <c r="HZ135" s="568">
        <f t="shared" si="436"/>
        <v>1007.8856</v>
      </c>
      <c r="IA135" s="568">
        <f t="shared" si="437"/>
        <v>7405.7351999999992</v>
      </c>
      <c r="IB135" s="568">
        <f t="shared" si="438"/>
        <v>4140.0056000000004</v>
      </c>
      <c r="IC135" s="568">
        <f t="shared" si="439"/>
        <v>174.37359999999998</v>
      </c>
      <c r="ID135" s="568">
        <f t="shared" si="440"/>
        <v>0</v>
      </c>
      <c r="IE135" s="568">
        <f t="shared" si="441"/>
        <v>4572.0614494060601</v>
      </c>
      <c r="IF135" s="568">
        <f t="shared" si="442"/>
        <v>154.71217377993867</v>
      </c>
      <c r="IG135" s="568">
        <f t="shared" si="443"/>
        <v>2090.5166005986648</v>
      </c>
      <c r="IH135" s="568">
        <f t="shared" si="444"/>
        <v>2157.5435873675679</v>
      </c>
      <c r="II135" s="568">
        <f t="shared" si="445"/>
        <v>168.41236901851974</v>
      </c>
      <c r="IJ135" s="568">
        <f t="shared" si="446"/>
        <v>0.87671864136921207</v>
      </c>
      <c r="IK135" s="868">
        <v>4</v>
      </c>
      <c r="IL135" s="569" t="s">
        <v>2589</v>
      </c>
      <c r="IM135" s="570" t="s">
        <v>4975</v>
      </c>
      <c r="IN135" s="529"/>
      <c r="IO135" s="742">
        <v>7.1499999999999994E-2</v>
      </c>
      <c r="IP135" s="742">
        <v>0.57299999999999995</v>
      </c>
      <c r="IQ135" s="742">
        <v>0.34050000000000002</v>
      </c>
      <c r="IR135" s="742">
        <v>1.4999999999999999E-2</v>
      </c>
      <c r="IS135" s="742">
        <v>0</v>
      </c>
      <c r="IT135" s="742">
        <v>2.9700000000000001E-2</v>
      </c>
      <c r="IU135" s="742">
        <v>0.44209999999999999</v>
      </c>
      <c r="IV135" s="742">
        <v>0.48799999999999999</v>
      </c>
      <c r="IW135" s="742">
        <v>0.04</v>
      </c>
      <c r="IX135" s="742">
        <v>2.0000000000000001E-4</v>
      </c>
      <c r="IY135" s="742">
        <v>7.1499999999999994E-2</v>
      </c>
      <c r="IZ135" s="742">
        <v>0.57299999999999995</v>
      </c>
      <c r="JA135" s="742">
        <v>0.34050000000000002</v>
      </c>
      <c r="JB135" s="742">
        <v>1.4999999999999999E-2</v>
      </c>
      <c r="JC135" s="742">
        <v>0</v>
      </c>
      <c r="JD135" s="742">
        <v>2.9700000000000001E-2</v>
      </c>
      <c r="JE135" s="742">
        <v>0.44209999999999999</v>
      </c>
      <c r="JF135" s="742">
        <v>0.48799999999999999</v>
      </c>
      <c r="JG135" s="742">
        <v>0.04</v>
      </c>
      <c r="JH135" s="742">
        <v>2.0000000000000001E-4</v>
      </c>
      <c r="JI135" s="742">
        <v>0.14130000000000001</v>
      </c>
      <c r="JJ135" s="742">
        <v>0.6391</v>
      </c>
      <c r="JK135" s="742">
        <v>0.21429999999999999</v>
      </c>
      <c r="JL135" s="742">
        <v>5.3E-3</v>
      </c>
      <c r="JM135" s="742">
        <v>0</v>
      </c>
      <c r="JN135" s="742">
        <v>6.7299999999999999E-2</v>
      </c>
      <c r="JO135" s="742">
        <v>0.56469999999999998</v>
      </c>
      <c r="JP135" s="742">
        <v>0.35170000000000001</v>
      </c>
      <c r="JQ135" s="742">
        <v>1.6199999999999999E-2</v>
      </c>
      <c r="JR135" s="742">
        <v>1E-4</v>
      </c>
      <c r="JS135" s="742">
        <v>7.9000000000000001E-2</v>
      </c>
      <c r="JT135" s="742">
        <v>0.58589999999999998</v>
      </c>
      <c r="JU135" s="742">
        <v>0.32200000000000001</v>
      </c>
      <c r="JV135" s="742">
        <v>1.3100000000000001E-2</v>
      </c>
      <c r="JW135" s="742">
        <v>0</v>
      </c>
      <c r="JX135" s="742">
        <v>3.3500000000000002E-2</v>
      </c>
      <c r="JY135" s="742">
        <v>0.46050000000000002</v>
      </c>
      <c r="JZ135" s="742">
        <v>0.47020000000000001</v>
      </c>
      <c r="KA135" s="742">
        <v>3.56E-2</v>
      </c>
      <c r="KB135" s="742">
        <v>2.0000000000000001E-4</v>
      </c>
      <c r="KC135" s="657"/>
      <c r="KD135" s="832" t="s">
        <v>2590</v>
      </c>
      <c r="KE135" s="832" t="s">
        <v>2591</v>
      </c>
      <c r="KF135" s="869">
        <v>4.08</v>
      </c>
      <c r="KG135" s="832" t="s">
        <v>2589</v>
      </c>
      <c r="KH135" s="833" t="s">
        <v>4976</v>
      </c>
      <c r="KI135" s="832" t="s">
        <v>2720</v>
      </c>
      <c r="KJ135" s="833" t="s">
        <v>4977</v>
      </c>
    </row>
    <row r="136" spans="1:383" ht="48" hidden="1" customHeight="1">
      <c r="A136" s="273">
        <f t="shared" si="447"/>
        <v>129</v>
      </c>
      <c r="B136" s="274" t="s">
        <v>4908</v>
      </c>
      <c r="C136" s="274" t="s">
        <v>1985</v>
      </c>
      <c r="D136" s="274" t="s">
        <v>4978</v>
      </c>
      <c r="E136" s="275" t="s">
        <v>2158</v>
      </c>
      <c r="F136" s="275" t="s">
        <v>300</v>
      </c>
      <c r="G136" s="275" t="s">
        <v>300</v>
      </c>
      <c r="H136" s="275" t="s">
        <v>2109</v>
      </c>
      <c r="I136" s="276" t="s">
        <v>4979</v>
      </c>
      <c r="J136" s="276" t="s">
        <v>4980</v>
      </c>
      <c r="K136" s="277" t="s">
        <v>2097</v>
      </c>
      <c r="L136" s="277" t="s">
        <v>2109</v>
      </c>
      <c r="M136" s="277" t="s">
        <v>2603</v>
      </c>
      <c r="N136" s="277" t="s">
        <v>2175</v>
      </c>
      <c r="O136" s="275" t="s">
        <v>2616</v>
      </c>
      <c r="P136" s="276"/>
      <c r="Q136" s="270">
        <v>1</v>
      </c>
      <c r="R136" s="278">
        <v>300</v>
      </c>
      <c r="S136" s="279">
        <v>95</v>
      </c>
      <c r="T136" s="279">
        <v>100</v>
      </c>
      <c r="U136" s="279">
        <v>95</v>
      </c>
      <c r="V136" s="279">
        <v>90</v>
      </c>
      <c r="W136" s="279">
        <f>V136+1</f>
        <v>91</v>
      </c>
      <c r="X136" s="279">
        <f>W136+1</f>
        <v>92</v>
      </c>
      <c r="Y136" s="279">
        <f>X136+1</f>
        <v>93</v>
      </c>
      <c r="Z136" s="279">
        <f>Y136+1</f>
        <v>94</v>
      </c>
      <c r="AA136" s="279">
        <v>95</v>
      </c>
      <c r="AB136" s="279">
        <f>AA136+1</f>
        <v>96</v>
      </c>
      <c r="AC136" s="279">
        <f>AB136+1</f>
        <v>97</v>
      </c>
      <c r="AD136" s="279">
        <f>AC136+1</f>
        <v>98</v>
      </c>
      <c r="AE136" s="279">
        <f>AD136+1</f>
        <v>99</v>
      </c>
      <c r="AF136" s="279">
        <v>100</v>
      </c>
      <c r="AG136" s="279">
        <v>100</v>
      </c>
      <c r="AH136" s="279">
        <v>101</v>
      </c>
      <c r="AI136" s="279">
        <v>101</v>
      </c>
      <c r="AJ136" s="279">
        <v>102</v>
      </c>
      <c r="AK136" s="279">
        <v>102</v>
      </c>
      <c r="AL136" s="276" t="s">
        <v>2177</v>
      </c>
      <c r="AM136" s="276" t="s">
        <v>4981</v>
      </c>
      <c r="AN136" s="276" t="s">
        <v>2362</v>
      </c>
      <c r="AO136" s="657"/>
      <c r="AP136" s="278">
        <v>35</v>
      </c>
      <c r="AQ136" s="278">
        <v>19</v>
      </c>
      <c r="AR136" s="278">
        <v>12</v>
      </c>
      <c r="AS136" s="278">
        <v>4</v>
      </c>
      <c r="AT136" s="657"/>
      <c r="AU136" s="281" t="s">
        <v>4982</v>
      </c>
      <c r="AV136" s="296" t="s">
        <v>4983</v>
      </c>
      <c r="AW136" s="296" t="s">
        <v>3868</v>
      </c>
      <c r="AX136" s="276" t="s">
        <v>2609</v>
      </c>
      <c r="AY136" s="657"/>
      <c r="AZ136" s="947">
        <v>2</v>
      </c>
      <c r="BA136" s="947">
        <v>0</v>
      </c>
      <c r="BB136" s="947">
        <v>0.5</v>
      </c>
      <c r="BC136" s="947">
        <v>2</v>
      </c>
      <c r="BD136" s="826">
        <f t="shared" ref="BD136:BD154" si="465">SUM(BE136:BH136)</f>
        <v>450</v>
      </c>
      <c r="BE136" s="283">
        <f t="shared" ref="BE136:BE154" si="466">AF136*AZ136</f>
        <v>200</v>
      </c>
      <c r="BF136" s="283">
        <f t="shared" ref="BF136:BF154" si="467">AF136*BA136</f>
        <v>0</v>
      </c>
      <c r="BG136" s="283">
        <f t="shared" ref="BG136:BG154" si="468">AF136*BB136</f>
        <v>50</v>
      </c>
      <c r="BH136" s="283">
        <f t="shared" ref="BH136:BH154" si="469">AF136*BC136</f>
        <v>200</v>
      </c>
      <c r="BI136" s="826">
        <f t="shared" ref="BI136:BI154" si="470">SUM(BJ136:BM136)</f>
        <v>459</v>
      </c>
      <c r="BJ136" s="283">
        <f t="shared" ref="BJ136:BJ154" si="471">AK136*AZ136</f>
        <v>204</v>
      </c>
      <c r="BK136" s="283">
        <f t="shared" ref="BK136:BK154" si="472">AK136*BA136</f>
        <v>0</v>
      </c>
      <c r="BL136" s="283">
        <f t="shared" ref="BL136:BL154" si="473">AK136*BB136</f>
        <v>51</v>
      </c>
      <c r="BM136" s="283">
        <f t="shared" ref="BM136:BM154" si="474">AK136*BC136</f>
        <v>204</v>
      </c>
      <c r="BN136" s="657"/>
      <c r="BO136" s="305">
        <v>0.18</v>
      </c>
      <c r="BP136" s="305">
        <v>0.64</v>
      </c>
      <c r="BQ136" s="305">
        <v>0.14000000000000001</v>
      </c>
      <c r="BR136" s="581">
        <v>0.04</v>
      </c>
      <c r="BS136" s="706">
        <v>0.16</v>
      </c>
      <c r="BT136" s="305">
        <v>0.64</v>
      </c>
      <c r="BU136" s="305">
        <v>0.17</v>
      </c>
      <c r="BV136" s="581">
        <v>0.03</v>
      </c>
      <c r="BW136" s="713"/>
      <c r="BX136" s="306"/>
      <c r="BY136" s="590"/>
      <c r="BZ136" s="713"/>
      <c r="CA136" s="306"/>
      <c r="CB136" s="590"/>
      <c r="CC136" s="706">
        <v>0.1</v>
      </c>
      <c r="CD136" s="305">
        <v>0.6</v>
      </c>
      <c r="CE136" s="305">
        <v>0.12</v>
      </c>
      <c r="CF136" s="581">
        <v>0.18</v>
      </c>
      <c r="CG136" s="706">
        <v>0.08</v>
      </c>
      <c r="CH136" s="305">
        <v>0.6</v>
      </c>
      <c r="CI136" s="305">
        <v>0.15</v>
      </c>
      <c r="CJ136" s="581">
        <v>0.17</v>
      </c>
      <c r="CK136" s="719">
        <v>0.4</v>
      </c>
      <c r="CL136" s="307">
        <v>0.45</v>
      </c>
      <c r="CM136" s="723">
        <v>0.15</v>
      </c>
      <c r="CN136" s="719">
        <v>0.35</v>
      </c>
      <c r="CO136" s="307">
        <v>0.48</v>
      </c>
      <c r="CP136" s="723">
        <v>0.17</v>
      </c>
      <c r="CQ136" s="657"/>
      <c r="CR136" s="804">
        <v>11</v>
      </c>
      <c r="CS136" s="805">
        <v>12</v>
      </c>
      <c r="CT136" s="805">
        <v>9</v>
      </c>
      <c r="CU136" s="806">
        <v>10</v>
      </c>
      <c r="CV136" s="804"/>
      <c r="CW136" s="805"/>
      <c r="CX136" s="806"/>
      <c r="CY136" s="804">
        <v>10</v>
      </c>
      <c r="CZ136" s="805">
        <v>12</v>
      </c>
      <c r="DA136" s="805">
        <v>8</v>
      </c>
      <c r="DB136" s="806">
        <v>10</v>
      </c>
      <c r="DC136" s="804">
        <v>10</v>
      </c>
      <c r="DD136" s="805">
        <v>12</v>
      </c>
      <c r="DE136" s="806">
        <v>9</v>
      </c>
      <c r="DF136" s="609" t="s">
        <v>4984</v>
      </c>
      <c r="DG136" s="657"/>
      <c r="DH136" s="308">
        <f t="shared" ref="DH136:DH154" si="475">$BE136*BO136</f>
        <v>36</v>
      </c>
      <c r="DI136" s="308">
        <f t="shared" ref="DI136:DI154" si="476">$BE136*BP136</f>
        <v>128</v>
      </c>
      <c r="DJ136" s="308">
        <f t="shared" ref="DJ136:DJ154" si="477">$BE136*BQ136</f>
        <v>28.000000000000004</v>
      </c>
      <c r="DK136" s="308">
        <f t="shared" ref="DK136:DK154" si="478">$BE136*BR136</f>
        <v>8</v>
      </c>
      <c r="DL136" s="287" t="s">
        <v>4985</v>
      </c>
      <c r="DM136" s="308">
        <f t="shared" ref="DM136:DM154" si="479">$BJ136*BS136</f>
        <v>32.64</v>
      </c>
      <c r="DN136" s="308">
        <f t="shared" ref="DN136:DN154" si="480">$BJ136*BT136</f>
        <v>130.56</v>
      </c>
      <c r="DO136" s="308">
        <f t="shared" ref="DO136:DO154" si="481">$BJ136*BU136</f>
        <v>34.68</v>
      </c>
      <c r="DP136" s="308">
        <f t="shared" ref="DP136:DP154" si="482">$BJ136*BV136</f>
        <v>6.12</v>
      </c>
      <c r="DQ136" s="289" t="s">
        <v>3369</v>
      </c>
      <c r="DR136" s="657"/>
      <c r="DS136" s="308">
        <f t="shared" ref="DS136:DS154" si="483">$BF136*BW136</f>
        <v>0</v>
      </c>
      <c r="DT136" s="308">
        <f t="shared" ref="DT136:DT154" si="484">$BF136*BX136</f>
        <v>0</v>
      </c>
      <c r="DU136" s="308">
        <f t="shared" ref="DU136:DU154" si="485">$BF136*BY136</f>
        <v>0</v>
      </c>
      <c r="DV136" s="289" t="s">
        <v>2613</v>
      </c>
      <c r="DW136" s="308">
        <f t="shared" ref="DW136:DW154" si="486">$BK136*BZ136</f>
        <v>0</v>
      </c>
      <c r="DX136" s="308">
        <f t="shared" ref="DX136:DX154" si="487">$BK136*CA136</f>
        <v>0</v>
      </c>
      <c r="DY136" s="308">
        <f t="shared" ref="DY136:DY154" si="488">$BK136*CB136</f>
        <v>0</v>
      </c>
      <c r="DZ136" s="289" t="s">
        <v>2613</v>
      </c>
      <c r="EA136" s="657"/>
      <c r="EB136" s="308">
        <f t="shared" ref="EB136:EB154" si="489">$BG136*CC136</f>
        <v>5</v>
      </c>
      <c r="EC136" s="308">
        <f t="shared" ref="EC136:EC154" si="490">$BG136*CD136</f>
        <v>30</v>
      </c>
      <c r="ED136" s="308">
        <f t="shared" ref="ED136:ED154" si="491">$BG136*CE136</f>
        <v>6</v>
      </c>
      <c r="EE136" s="308">
        <f t="shared" ref="EE136:EE154" si="492">$BG136*CF136</f>
        <v>9</v>
      </c>
      <c r="EF136" s="289" t="s">
        <v>4986</v>
      </c>
      <c r="EG136" s="308">
        <f t="shared" ref="EG136:EG154" si="493">$BL136*CG136</f>
        <v>4.08</v>
      </c>
      <c r="EH136" s="308">
        <f t="shared" ref="EH136:EH154" si="494">$BL136*CH136</f>
        <v>30.599999999999998</v>
      </c>
      <c r="EI136" s="308">
        <f t="shared" ref="EI136:EI154" si="495">$BL136*CI136</f>
        <v>7.6499999999999995</v>
      </c>
      <c r="EJ136" s="308">
        <f t="shared" ref="EJ136:EJ154" si="496">$BL136*CJ136</f>
        <v>8.67</v>
      </c>
      <c r="EK136" s="309" t="s">
        <v>3373</v>
      </c>
      <c r="EL136" s="657"/>
      <c r="EM136" s="308">
        <f t="shared" ref="EM136:EM154" si="497">$BH136*CK136</f>
        <v>80</v>
      </c>
      <c r="EN136" s="310">
        <f t="shared" ref="EN136:EN154" si="498">$BH136*CL136</f>
        <v>90</v>
      </c>
      <c r="EO136" s="310">
        <f t="shared" ref="EO136:EO154" si="499">$BH136*CM136</f>
        <v>30</v>
      </c>
      <c r="EP136" s="289" t="s">
        <v>4987</v>
      </c>
      <c r="EQ136" s="308">
        <f t="shared" ref="EQ136:EQ154" si="500">$BM136*CN136</f>
        <v>71.399999999999991</v>
      </c>
      <c r="ER136" s="310">
        <f t="shared" ref="ER136:ER154" si="501">$BM136*CO136</f>
        <v>97.92</v>
      </c>
      <c r="ES136" s="310">
        <f t="shared" ref="ES136:ES154" si="502">$BM136*CP136</f>
        <v>34.68</v>
      </c>
      <c r="ET136" s="289" t="s">
        <v>3375</v>
      </c>
      <c r="EU136" s="657"/>
      <c r="EV136" s="728">
        <f t="shared" ref="EV136:EV154" si="503">IFERROR(EY136/EX136,0)</f>
        <v>0.76862201891252502</v>
      </c>
      <c r="EW136" s="728">
        <f t="shared" ref="EW136:EW154" si="504">IFERROR(EZ136/EX136,0)</f>
        <v>0.23137798108747507</v>
      </c>
      <c r="EX136" s="311">
        <f t="shared" ref="EX136:EX154" si="505">EY136+EZ136</f>
        <v>206.70074038686872</v>
      </c>
      <c r="EY136" s="311">
        <f t="shared" ref="EY136:EY154" si="506">SUM(FB136,FE136,FH136,FK136)</f>
        <v>158.87474038686872</v>
      </c>
      <c r="EZ136" s="311">
        <f t="shared" ref="EZ136:EZ154" si="507">SUM(FC136,FF136,FI136,FL136)</f>
        <v>47.826000000000001</v>
      </c>
      <c r="FA136" s="311">
        <f t="shared" ref="FA136:FA154" si="508">FB136+FC136</f>
        <v>89.719824953535365</v>
      </c>
      <c r="FB136" s="311">
        <f t="shared" ref="FB136:FB154" si="509">SUM(GI136,GL136,GO136,GR136)</f>
        <v>68.463824953535365</v>
      </c>
      <c r="FC136" s="311">
        <f t="shared" ref="FC136:FC154" si="510">MAX(0,$BJ136-$BE136)+$BE136*$FO136</f>
        <v>21.256</v>
      </c>
      <c r="FD136" s="311">
        <f t="shared" ref="FD136:FD154" si="511">FE136+FF136</f>
        <v>0</v>
      </c>
      <c r="FE136" s="311">
        <f t="shared" ref="FE136:FE154" si="512">SUM(GU136,GX136,HA136)</f>
        <v>0</v>
      </c>
      <c r="FF136" s="311">
        <f t="shared" ref="FF136:FF154" si="513">MAX(0,$BK136-$BF136)+$BF136*$FO136</f>
        <v>0</v>
      </c>
      <c r="FG136" s="311">
        <f t="shared" ref="FG136:FG154" si="514">FH136+FI136</f>
        <v>23.221783100000003</v>
      </c>
      <c r="FH136" s="311">
        <f t="shared" ref="FH136:FH154" si="515">SUM(HD136,HG136,HJ136,HM136)</f>
        <v>17.907783100000003</v>
      </c>
      <c r="FI136" s="311">
        <f t="shared" ref="FI136:FI154" si="516">MAX(0,$BL136-$BG136)+$BG136*$FO136</f>
        <v>5.3140000000000001</v>
      </c>
      <c r="FJ136" s="311">
        <f t="shared" ref="FJ136:FJ154" si="517">FK136+FL136</f>
        <v>93.759132333333341</v>
      </c>
      <c r="FK136" s="311">
        <f t="shared" ref="FK136:FK154" si="518">SUM(HP136,HS136,HV136)</f>
        <v>72.50313233333334</v>
      </c>
      <c r="FL136" s="311">
        <f t="shared" ref="FL136:FL154" si="519">MAX(0,$BM136-$BH136)+$BH136*$FO136</f>
        <v>21.256</v>
      </c>
      <c r="FM136" s="657"/>
      <c r="FN136" s="293" t="s">
        <v>2649</v>
      </c>
      <c r="FO136" s="728">
        <v>8.6279999999999996E-2</v>
      </c>
      <c r="FP136" s="729">
        <v>0.82916000000000001</v>
      </c>
      <c r="FQ136" s="294" t="s">
        <v>4988</v>
      </c>
      <c r="FR136" s="657"/>
      <c r="FS136" s="865">
        <v>3.11</v>
      </c>
      <c r="FT136" s="312">
        <f>RANK($FS136,$FS$8:$FS$154,0)+COUNTIF($FS$8:$FS136,$FS136)-1</f>
        <v>92</v>
      </c>
      <c r="FU136" s="865">
        <v>4.13</v>
      </c>
      <c r="FV136" s="312">
        <f>RANK($FU136,$FU$8:$FU$154,0)+COUNTIF($FU$8:$FU136,$FU136)-1</f>
        <v>70</v>
      </c>
      <c r="FW136" s="865">
        <v>1.86</v>
      </c>
      <c r="FX136" s="312">
        <f>RANK($FW136,$FW$8:$FW$154,0)+COUNTIF($FW$8:$FW136,$FW136)-1</f>
        <v>115</v>
      </c>
      <c r="FY136" s="657"/>
      <c r="FZ136" s="296" t="s">
        <v>4989</v>
      </c>
      <c r="GA136" s="296" t="s">
        <v>4990</v>
      </c>
      <c r="GB136" s="296" t="s">
        <v>3379</v>
      </c>
      <c r="GC136" s="296" t="s">
        <v>3380</v>
      </c>
      <c r="GD136" s="296" t="s">
        <v>3381</v>
      </c>
      <c r="GE136" s="296" t="s">
        <v>3382</v>
      </c>
      <c r="GF136" s="296" t="str">
        <f>HYPERLINK("https://www.defense.gouv.fr/ministere/politique-defense/loi-programmation-militaire-2024-2030","https://www.defense.gouv.fr/ministere/politique-defense/loi-programmation-militaire-2024-2030")&amp;CHAR(10)&amp;HYPERLINK("https://www.defense.gouv.fr/loi-programmation-militaire-2024-2030-grandes-orientations","https://www.defense.gouv.fr/loi-programmation-militaire-2024-2030-grandes-orientations")&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https://www.defense.gouv.fr/ministere/politique-defense/loi-programmation-militaire-2024-2030
https://www.defense.gouv.fr/loi-programmation-militaire-2024-2030-grandes-orientations
https://www.statistiques.developpement-durable.gouv.fr/construction-de-locaux-resultats-fin-janvier-2026-france-entiere
https://www.insee.fr/fr/statistiques/8671745
https://www.insee.fr/fr/statistiques/8906564</v>
      </c>
      <c r="GG136" s="657"/>
      <c r="GH136" s="311">
        <f t="shared" ref="GH136:GH154" si="520">GI136+GJ136</f>
        <v>15.883586909090909</v>
      </c>
      <c r="GI136" s="311">
        <f t="shared" si="451"/>
        <v>12.482626909090909</v>
      </c>
      <c r="GJ136" s="311">
        <f t="shared" ref="GJ136:GJ154" si="521">IFERROR($FC136*$BS136,0)</f>
        <v>3.40096</v>
      </c>
      <c r="GK136" s="311">
        <f t="shared" ref="GK136:GK154" si="522">GL136+GM136</f>
        <v>54.376401066666666</v>
      </c>
      <c r="GL136" s="311">
        <f t="shared" si="452"/>
        <v>40.772561066666668</v>
      </c>
      <c r="GM136" s="311">
        <f t="shared" ref="GM136:GM154" si="523">IFERROR($FC136*$BT136,0)</f>
        <v>13.60384</v>
      </c>
      <c r="GN136" s="311">
        <f t="shared" ref="GN136:GN154" si="524">GO136+GP136</f>
        <v>15.73768177777778</v>
      </c>
      <c r="GO136" s="311">
        <f t="shared" si="453"/>
        <v>12.124161777777781</v>
      </c>
      <c r="GP136" s="311">
        <f t="shared" ref="GP136:GP154" si="525">IFERROR($FC136*$BU136,0)</f>
        <v>3.6135200000000003</v>
      </c>
      <c r="GQ136" s="311">
        <f t="shared" ref="GQ136:GQ154" si="526">GR136+GS136</f>
        <v>3.7221552</v>
      </c>
      <c r="GR136" s="311">
        <f t="shared" si="454"/>
        <v>3.0844752</v>
      </c>
      <c r="GS136" s="311">
        <f t="shared" ref="GS136:GS154" si="527">IFERROR($FC136*$BV136,0)</f>
        <v>0.63768000000000002</v>
      </c>
      <c r="GT136" s="311">
        <f t="shared" ref="GT136:GT154" si="528">GU136+GV136</f>
        <v>0</v>
      </c>
      <c r="GU136" s="311">
        <f t="shared" si="455"/>
        <v>0</v>
      </c>
      <c r="GV136" s="311">
        <f t="shared" ref="GV136:GV154" si="529">IFERROR($FF136*$BZ136,0)</f>
        <v>0</v>
      </c>
      <c r="GW136" s="311">
        <f t="shared" ref="GW136:GW154" si="530">GX136+GY136</f>
        <v>0</v>
      </c>
      <c r="GX136" s="311">
        <f t="shared" si="456"/>
        <v>0</v>
      </c>
      <c r="GY136" s="311">
        <f t="shared" ref="GY136:GY154" si="531">IFERROR($FF136*$CA136,0)</f>
        <v>0</v>
      </c>
      <c r="GZ136" s="311">
        <f t="shared" ref="GZ136:GZ154" si="532">HA136+HB136</f>
        <v>0</v>
      </c>
      <c r="HA136" s="311">
        <f t="shared" si="457"/>
        <v>0</v>
      </c>
      <c r="HB136" s="311">
        <f t="shared" ref="HB136:HB154" si="533">IFERROR($FF136*$CB136,0)</f>
        <v>0</v>
      </c>
      <c r="HC136" s="311">
        <f t="shared" ref="HC136:HC154" si="534">HD136+HE136</f>
        <v>2.3529170000000001</v>
      </c>
      <c r="HD136" s="311">
        <f t="shared" si="458"/>
        <v>1.9277970000000002</v>
      </c>
      <c r="HE136" s="311">
        <f t="shared" ref="HE136:HE154" si="535">IFERROR($FI136*$CG136,0)</f>
        <v>0.42512</v>
      </c>
      <c r="HF136" s="311">
        <f t="shared" ref="HF136:HF154" si="536">HG136+HH136</f>
        <v>12.744469</v>
      </c>
      <c r="HG136" s="311">
        <f t="shared" si="459"/>
        <v>9.5560690000000008</v>
      </c>
      <c r="HH136" s="311">
        <f t="shared" ref="HH136:HH154" si="537">IFERROR($FI136*$CH136,0)</f>
        <v>3.1884000000000001</v>
      </c>
      <c r="HI136" s="311">
        <f t="shared" ref="HI136:HI154" si="538">HJ136+HK136</f>
        <v>3.7509825000000001</v>
      </c>
      <c r="HJ136" s="311">
        <f t="shared" si="460"/>
        <v>2.9538825000000002</v>
      </c>
      <c r="HK136" s="311">
        <f t="shared" ref="HK136:HK154" si="539">IFERROR($FI136*$CI136,0)</f>
        <v>0.79710000000000003</v>
      </c>
      <c r="HL136" s="311">
        <f t="shared" ref="HL136:HL154" si="540">HM136+HN136</f>
        <v>4.3734146000000003</v>
      </c>
      <c r="HM136" s="311">
        <f t="shared" si="461"/>
        <v>3.4700346</v>
      </c>
      <c r="HN136" s="311">
        <f t="shared" ref="HN136:HN154" si="541">IFERROR($FI136*$CJ136,0)</f>
        <v>0.90338000000000007</v>
      </c>
      <c r="HO136" s="311">
        <f t="shared" ref="HO136:HO154" si="542">HP136+HQ136</f>
        <v>38.284352000000005</v>
      </c>
      <c r="HP136" s="311">
        <f t="shared" si="462"/>
        <v>30.844752000000003</v>
      </c>
      <c r="HQ136" s="311">
        <f t="shared" ref="HQ136:HQ154" si="543">IFERROR($FL136*$CN136,0)</f>
        <v>7.4395999999999995</v>
      </c>
      <c r="HR136" s="311">
        <f t="shared" ref="HR136:HR154" si="544">HS136+HT136</f>
        <v>38.871087000000003</v>
      </c>
      <c r="HS136" s="311">
        <f t="shared" si="463"/>
        <v>28.668206999999999</v>
      </c>
      <c r="HT136" s="311">
        <f t="shared" ref="HT136:HT154" si="545">IFERROR($FL136*$CO136,0)</f>
        <v>10.20288</v>
      </c>
      <c r="HU136" s="311">
        <f t="shared" ref="HU136:HU154" si="546">HV136+HW136</f>
        <v>16.603693333333336</v>
      </c>
      <c r="HV136" s="311">
        <f t="shared" si="464"/>
        <v>12.990173333333335</v>
      </c>
      <c r="HW136" s="311">
        <f t="shared" ref="HW136:HW154" si="547">IFERROR($FL136*$CP136,0)</f>
        <v>3.6135200000000003</v>
      </c>
      <c r="HY136" s="313">
        <f t="shared" ref="HY136:HY154" si="548">SUM(HZ136:ID136)</f>
        <v>450.00000000000006</v>
      </c>
      <c r="HZ136" s="313">
        <f t="shared" ref="HZ136:HZ154" si="549">IFERROR(IO136*BE136,0)+IFERROR(IY136*BF136,0)+IFERROR(JI136*BG136,0)+IFERROR(JS136*BH136,0)</f>
        <v>4.82</v>
      </c>
      <c r="IA136" s="313">
        <f t="shared" ref="IA136:IA154" si="550">IFERROR(IP136*BE136,0)+IFERROR(IZ136*BF136,0)+IFERROR(JJ136*BG136,0)+IFERROR(JT136*BH136,0)</f>
        <v>167.72</v>
      </c>
      <c r="IB136" s="313">
        <f t="shared" ref="IB136:IB154" si="551">IFERROR(IQ136*BE136,0)+IFERROR(JA136*BF136,0)+IFERROR(JK136*BG136,0)+IFERROR(JU136*BH136,0)</f>
        <v>231.94499999999999</v>
      </c>
      <c r="IC136" s="313">
        <f t="shared" ref="IC136:IC154" si="552">IFERROR(IR136*BE136,0)+IFERROR(JB136*BF136,0)+IFERROR(JL136*BG136,0)+IFERROR(JV136*BH136,0)</f>
        <v>44.980000000000004</v>
      </c>
      <c r="ID136" s="313">
        <f t="shared" ref="ID136:ID154" si="553">IFERROR(IS136*BE136,0)+IFERROR(JC136*BF136,0)+IFERROR(JM136*BG136,0)+IFERROR(JW136*BH136,0)</f>
        <v>0.53499999999999992</v>
      </c>
      <c r="IE136" s="313">
        <f t="shared" ref="IE136:IE154" si="554">SUM(IF136:IJ136)</f>
        <v>158.87474038686872</v>
      </c>
      <c r="IF136" s="313">
        <f t="shared" ref="IF136:IF154" si="555">IFERROR(IT136*FB136,0)+IFERROR(JD136*FE136,0)+IFERROR(JN136*FH136,0)+IFERROR(JX136*FK136,0)</f>
        <v>0.17191471776</v>
      </c>
      <c r="IG136" s="313">
        <f t="shared" ref="IG136:IG154" si="556">IFERROR(IU136*FB136,0)+IFERROR(JE136*FE136,0)+IFERROR(JO136*FH136,0)+IFERROR(JY136*FK136,0)</f>
        <v>36.757334099242733</v>
      </c>
      <c r="IH136" s="313">
        <f t="shared" ref="IH136:IH154" si="557">IFERROR(IV136*FB136,0)+IFERROR(JF136*FE136,0)+IFERROR(JP136*FH136,0)+IFERROR(JZ136*FK136,0)</f>
        <v>88.225952604192543</v>
      </c>
      <c r="II136" s="313">
        <f t="shared" ref="II136:II154" si="558">IFERROR(IW136*FB136,0)+IFERROR(JG136*FE136,0)+IFERROR(JQ136*FH136,0)+IFERROR(KA136*FK136,0)</f>
        <v>32.320698641172427</v>
      </c>
      <c r="IJ136" s="313">
        <f t="shared" ref="IJ136:IJ154" si="559">IFERROR(IX136*FB136,0)+IFERROR(JH136*FE136,0)+IFERROR(JR136*FH136,0)+IFERROR(KB136*FK136,0)</f>
        <v>1.3988403245010104</v>
      </c>
      <c r="IK136" s="866">
        <v>3.9</v>
      </c>
      <c r="IL136" s="314" t="s">
        <v>2589</v>
      </c>
      <c r="IM136" s="299" t="s">
        <v>4991</v>
      </c>
      <c r="IN136" s="657"/>
      <c r="IO136" s="730">
        <v>0</v>
      </c>
      <c r="IP136" s="730">
        <v>0.33119999999999999</v>
      </c>
      <c r="IQ136" s="730">
        <v>0.5504</v>
      </c>
      <c r="IR136" s="730">
        <v>0.1167</v>
      </c>
      <c r="IS136" s="730">
        <v>1.6999999999999999E-3</v>
      </c>
      <c r="IT136" s="730">
        <v>0</v>
      </c>
      <c r="IU136" s="730">
        <v>0.19500000000000001</v>
      </c>
      <c r="IV136" s="730">
        <v>0.56030000000000002</v>
      </c>
      <c r="IW136" s="730">
        <v>0.2331</v>
      </c>
      <c r="IX136" s="730">
        <v>1.1599999999999999E-2</v>
      </c>
      <c r="IY136" s="730">
        <v>0</v>
      </c>
      <c r="IZ136" s="730">
        <v>0</v>
      </c>
      <c r="JA136" s="730">
        <v>0</v>
      </c>
      <c r="JB136" s="730">
        <v>0</v>
      </c>
      <c r="JC136" s="730">
        <v>0</v>
      </c>
      <c r="JD136" s="730">
        <v>0</v>
      </c>
      <c r="JE136" s="730">
        <v>0</v>
      </c>
      <c r="JF136" s="730">
        <v>0</v>
      </c>
      <c r="JG136" s="730">
        <v>0</v>
      </c>
      <c r="JH136" s="730">
        <v>0</v>
      </c>
      <c r="JI136" s="730">
        <v>4.7199999999999999E-2</v>
      </c>
      <c r="JJ136" s="730">
        <v>0.4768</v>
      </c>
      <c r="JK136" s="730">
        <v>0.41249999999999998</v>
      </c>
      <c r="JL136" s="730">
        <v>6.3200000000000006E-2</v>
      </c>
      <c r="JM136" s="730">
        <v>2.9999999999999997E-4</v>
      </c>
      <c r="JN136" s="730">
        <v>9.5999999999999992E-3</v>
      </c>
      <c r="JO136" s="730">
        <v>0.32769999999999999</v>
      </c>
      <c r="JP136" s="730">
        <v>0.52459999999999996</v>
      </c>
      <c r="JQ136" s="730">
        <v>0.13469999999999999</v>
      </c>
      <c r="JR136" s="730">
        <v>3.3999999999999998E-3</v>
      </c>
      <c r="JS136" s="730">
        <v>1.23E-2</v>
      </c>
      <c r="JT136" s="730">
        <v>0.38819999999999999</v>
      </c>
      <c r="JU136" s="730">
        <v>0.50619999999999998</v>
      </c>
      <c r="JV136" s="730">
        <v>9.2399999999999996E-2</v>
      </c>
      <c r="JW136" s="730">
        <v>8.9999999999999998E-4</v>
      </c>
      <c r="JX136" s="730">
        <v>0</v>
      </c>
      <c r="JY136" s="730">
        <v>0.2419</v>
      </c>
      <c r="JZ136" s="730">
        <v>0.55820000000000003</v>
      </c>
      <c r="KA136" s="730">
        <v>0.19239999999999999</v>
      </c>
      <c r="KB136" s="730">
        <v>7.4999999999999997E-3</v>
      </c>
      <c r="KC136" s="657"/>
      <c r="KD136" s="314" t="s">
        <v>2591</v>
      </c>
      <c r="KE136" s="314" t="s">
        <v>2591</v>
      </c>
      <c r="KF136" s="866">
        <v>3.8</v>
      </c>
      <c r="KG136" s="314" t="s">
        <v>2626</v>
      </c>
      <c r="KH136" s="315" t="s">
        <v>3383</v>
      </c>
      <c r="KI136" s="314" t="s">
        <v>3384</v>
      </c>
      <c r="KJ136" s="315" t="s">
        <v>4992</v>
      </c>
    </row>
    <row r="137" spans="1:383" ht="48" hidden="1" customHeight="1">
      <c r="A137" s="265">
        <f t="shared" ref="A137:A154" si="560">A136+1</f>
        <v>130</v>
      </c>
      <c r="B137" s="266" t="s">
        <v>4908</v>
      </c>
      <c r="C137" s="266" t="s">
        <v>1985</v>
      </c>
      <c r="D137" s="624" t="s">
        <v>4993</v>
      </c>
      <c r="E137" s="267" t="s">
        <v>2117</v>
      </c>
      <c r="F137" s="267" t="s">
        <v>3387</v>
      </c>
      <c r="G137" s="267" t="s">
        <v>2121</v>
      </c>
      <c r="H137" s="267" t="s">
        <v>2109</v>
      </c>
      <c r="I137" s="268" t="s">
        <v>4994</v>
      </c>
      <c r="J137" s="268" t="s">
        <v>4995</v>
      </c>
      <c r="K137" s="269" t="s">
        <v>2097</v>
      </c>
      <c r="L137" s="269" t="s">
        <v>2109</v>
      </c>
      <c r="M137" s="269" t="s">
        <v>2603</v>
      </c>
      <c r="N137" s="269" t="s">
        <v>2175</v>
      </c>
      <c r="O137" s="267" t="s">
        <v>2616</v>
      </c>
      <c r="P137" s="268"/>
      <c r="Q137" s="270">
        <v>1</v>
      </c>
      <c r="R137" s="271">
        <v>600</v>
      </c>
      <c r="S137" s="272">
        <v>300</v>
      </c>
      <c r="T137" s="272">
        <v>300</v>
      </c>
      <c r="U137" s="272">
        <v>300</v>
      </c>
      <c r="V137" s="272">
        <v>300</v>
      </c>
      <c r="W137" s="272">
        <v>300</v>
      </c>
      <c r="X137" s="272">
        <v>300</v>
      </c>
      <c r="Y137" s="272">
        <v>300</v>
      </c>
      <c r="Z137" s="272">
        <v>300</v>
      </c>
      <c r="AA137" s="272">
        <v>300</v>
      </c>
      <c r="AB137" s="272">
        <v>300</v>
      </c>
      <c r="AC137" s="272">
        <v>300</v>
      </c>
      <c r="AD137" s="272">
        <v>300</v>
      </c>
      <c r="AE137" s="272">
        <v>300</v>
      </c>
      <c r="AF137" s="272">
        <v>300</v>
      </c>
      <c r="AG137" s="272">
        <v>300</v>
      </c>
      <c r="AH137" s="272">
        <v>300</v>
      </c>
      <c r="AI137" s="272">
        <v>300</v>
      </c>
      <c r="AJ137" s="272">
        <v>300</v>
      </c>
      <c r="AK137" s="272">
        <v>300</v>
      </c>
      <c r="AL137" s="268" t="s">
        <v>2177</v>
      </c>
      <c r="AM137" s="268" t="s">
        <v>4996</v>
      </c>
      <c r="AN137" s="268" t="s">
        <v>2365</v>
      </c>
      <c r="AO137" s="657"/>
      <c r="AP137" s="271">
        <v>80</v>
      </c>
      <c r="AQ137" s="280">
        <v>64</v>
      </c>
      <c r="AR137" s="280">
        <v>14</v>
      </c>
      <c r="AS137" s="280">
        <v>2</v>
      </c>
      <c r="AT137" s="657"/>
      <c r="AU137" s="301" t="s">
        <v>4997</v>
      </c>
      <c r="AV137" s="572" t="s">
        <v>4998</v>
      </c>
      <c r="AW137" s="645" t="s">
        <v>3459</v>
      </c>
      <c r="AX137" s="290" t="s">
        <v>2890</v>
      </c>
      <c r="AY137" s="657"/>
      <c r="AZ137" s="948">
        <v>4</v>
      </c>
      <c r="BA137" s="948">
        <v>0</v>
      </c>
      <c r="BB137" s="948">
        <v>1</v>
      </c>
      <c r="BC137" s="948">
        <v>3</v>
      </c>
      <c r="BD137" s="825">
        <f t="shared" si="465"/>
        <v>2400</v>
      </c>
      <c r="BE137" s="304">
        <f t="shared" si="466"/>
        <v>1200</v>
      </c>
      <c r="BF137" s="304">
        <f t="shared" si="467"/>
        <v>0</v>
      </c>
      <c r="BG137" s="304">
        <f t="shared" si="468"/>
        <v>300</v>
      </c>
      <c r="BH137" s="304">
        <f t="shared" si="469"/>
        <v>900</v>
      </c>
      <c r="BI137" s="825">
        <f t="shared" si="470"/>
        <v>2400</v>
      </c>
      <c r="BJ137" s="304">
        <f t="shared" si="471"/>
        <v>1200</v>
      </c>
      <c r="BK137" s="304">
        <f t="shared" si="472"/>
        <v>0</v>
      </c>
      <c r="BL137" s="304">
        <f t="shared" si="473"/>
        <v>300</v>
      </c>
      <c r="BM137" s="304">
        <f t="shared" si="474"/>
        <v>900</v>
      </c>
      <c r="BN137" s="657"/>
      <c r="BO137" s="284">
        <v>0.12</v>
      </c>
      <c r="BP137" s="284">
        <v>0.72</v>
      </c>
      <c r="BQ137" s="284">
        <v>0.12</v>
      </c>
      <c r="BR137" s="710">
        <v>0.04</v>
      </c>
      <c r="BS137" s="707">
        <v>0.1</v>
      </c>
      <c r="BT137" s="284">
        <v>0.72</v>
      </c>
      <c r="BU137" s="284">
        <v>0.15</v>
      </c>
      <c r="BV137" s="710">
        <v>0.03</v>
      </c>
      <c r="BW137" s="714"/>
      <c r="BX137" s="285"/>
      <c r="BY137" s="717"/>
      <c r="BZ137" s="714"/>
      <c r="CA137" s="285"/>
      <c r="CB137" s="717"/>
      <c r="CC137" s="284">
        <v>0.08</v>
      </c>
      <c r="CD137" s="284">
        <v>0.6</v>
      </c>
      <c r="CE137" s="284">
        <v>0.1</v>
      </c>
      <c r="CF137" s="710">
        <v>0.22</v>
      </c>
      <c r="CG137" s="707">
        <v>0.06</v>
      </c>
      <c r="CH137" s="284">
        <v>0.6</v>
      </c>
      <c r="CI137" s="284">
        <v>0.12</v>
      </c>
      <c r="CJ137" s="710">
        <v>0.22</v>
      </c>
      <c r="CK137" s="720">
        <v>0.4</v>
      </c>
      <c r="CL137" s="286">
        <v>0.45</v>
      </c>
      <c r="CM137" s="718">
        <v>0.15</v>
      </c>
      <c r="CN137" s="720">
        <v>0.35</v>
      </c>
      <c r="CO137" s="286">
        <v>0.48</v>
      </c>
      <c r="CP137" s="718">
        <v>0.17</v>
      </c>
      <c r="CQ137" s="657"/>
      <c r="CR137" s="807">
        <v>11</v>
      </c>
      <c r="CS137" s="808">
        <v>12</v>
      </c>
      <c r="CT137" s="808">
        <v>9</v>
      </c>
      <c r="CU137" s="809">
        <v>10</v>
      </c>
      <c r="CV137" s="807"/>
      <c r="CW137" s="808"/>
      <c r="CX137" s="809"/>
      <c r="CY137" s="807">
        <v>10</v>
      </c>
      <c r="CZ137" s="808">
        <v>12</v>
      </c>
      <c r="DA137" s="808">
        <v>8</v>
      </c>
      <c r="DB137" s="809">
        <v>10</v>
      </c>
      <c r="DC137" s="807">
        <v>10</v>
      </c>
      <c r="DD137" s="808">
        <v>12</v>
      </c>
      <c r="DE137" s="809">
        <v>9</v>
      </c>
      <c r="DF137" s="610" t="s">
        <v>4999</v>
      </c>
      <c r="DG137" s="657"/>
      <c r="DH137" s="288">
        <f t="shared" si="475"/>
        <v>144</v>
      </c>
      <c r="DI137" s="288">
        <f t="shared" si="476"/>
        <v>864</v>
      </c>
      <c r="DJ137" s="288">
        <f t="shared" si="477"/>
        <v>144</v>
      </c>
      <c r="DK137" s="288">
        <f t="shared" si="478"/>
        <v>48</v>
      </c>
      <c r="DL137" s="560" t="s">
        <v>4985</v>
      </c>
      <c r="DM137" s="288">
        <f t="shared" si="479"/>
        <v>120</v>
      </c>
      <c r="DN137" s="288">
        <f t="shared" si="480"/>
        <v>864</v>
      </c>
      <c r="DO137" s="288">
        <f t="shared" si="481"/>
        <v>180</v>
      </c>
      <c r="DP137" s="288">
        <f t="shared" si="482"/>
        <v>36</v>
      </c>
      <c r="DQ137" s="561" t="s">
        <v>3369</v>
      </c>
      <c r="DR137" s="657"/>
      <c r="DS137" s="288">
        <f t="shared" si="483"/>
        <v>0</v>
      </c>
      <c r="DT137" s="288">
        <f t="shared" si="484"/>
        <v>0</v>
      </c>
      <c r="DU137" s="288">
        <f t="shared" si="485"/>
        <v>0</v>
      </c>
      <c r="DV137" s="561" t="s">
        <v>2613</v>
      </c>
      <c r="DW137" s="288">
        <f t="shared" si="486"/>
        <v>0</v>
      </c>
      <c r="DX137" s="288">
        <f t="shared" si="487"/>
        <v>0</v>
      </c>
      <c r="DY137" s="288">
        <f t="shared" si="488"/>
        <v>0</v>
      </c>
      <c r="DZ137" s="561" t="s">
        <v>2613</v>
      </c>
      <c r="EA137" s="657"/>
      <c r="EB137" s="288">
        <f t="shared" si="489"/>
        <v>24</v>
      </c>
      <c r="EC137" s="288">
        <f t="shared" si="490"/>
        <v>180</v>
      </c>
      <c r="ED137" s="288">
        <f t="shared" si="491"/>
        <v>30</v>
      </c>
      <c r="EE137" s="288">
        <f t="shared" si="492"/>
        <v>66</v>
      </c>
      <c r="EF137" s="561" t="s">
        <v>4986</v>
      </c>
      <c r="EG137" s="288">
        <f t="shared" si="493"/>
        <v>18</v>
      </c>
      <c r="EH137" s="288">
        <f t="shared" si="494"/>
        <v>180</v>
      </c>
      <c r="EI137" s="288">
        <f t="shared" si="495"/>
        <v>36</v>
      </c>
      <c r="EJ137" s="288">
        <f t="shared" si="496"/>
        <v>66</v>
      </c>
      <c r="EK137" s="561" t="s">
        <v>3373</v>
      </c>
      <c r="EL137" s="657"/>
      <c r="EM137" s="288">
        <f t="shared" si="497"/>
        <v>360</v>
      </c>
      <c r="EN137" s="291">
        <f t="shared" si="498"/>
        <v>405</v>
      </c>
      <c r="EO137" s="291">
        <f t="shared" si="499"/>
        <v>135</v>
      </c>
      <c r="EP137" s="561" t="s">
        <v>4987</v>
      </c>
      <c r="EQ137" s="288">
        <f t="shared" si="500"/>
        <v>315</v>
      </c>
      <c r="ER137" s="291">
        <f t="shared" si="501"/>
        <v>432</v>
      </c>
      <c r="ES137" s="291">
        <f t="shared" si="502"/>
        <v>153</v>
      </c>
      <c r="ET137" s="561" t="s">
        <v>3375</v>
      </c>
      <c r="EU137" s="657"/>
      <c r="EV137" s="740">
        <f t="shared" si="503"/>
        <v>0.84344251276945681</v>
      </c>
      <c r="EW137" s="740">
        <f t="shared" si="504"/>
        <v>0.15655748723054322</v>
      </c>
      <c r="EX137" s="563">
        <f t="shared" si="505"/>
        <v>1129.9619272727273</v>
      </c>
      <c r="EY137" s="563">
        <f t="shared" si="506"/>
        <v>953.05792727272728</v>
      </c>
      <c r="EZ137" s="563">
        <f t="shared" si="507"/>
        <v>176.904</v>
      </c>
      <c r="FA137" s="563">
        <f t="shared" si="508"/>
        <v>550.55992727272724</v>
      </c>
      <c r="FB137" s="563">
        <f t="shared" si="509"/>
        <v>462.10792727272724</v>
      </c>
      <c r="FC137" s="563">
        <f t="shared" si="510"/>
        <v>88.451999999999998</v>
      </c>
      <c r="FD137" s="563">
        <f t="shared" si="511"/>
        <v>0</v>
      </c>
      <c r="FE137" s="563">
        <f t="shared" si="512"/>
        <v>0</v>
      </c>
      <c r="FF137" s="563">
        <f t="shared" si="513"/>
        <v>0</v>
      </c>
      <c r="FG137" s="563">
        <f t="shared" si="514"/>
        <v>143.214</v>
      </c>
      <c r="FH137" s="563">
        <f t="shared" si="515"/>
        <v>121.101</v>
      </c>
      <c r="FI137" s="563">
        <f t="shared" si="516"/>
        <v>22.113</v>
      </c>
      <c r="FJ137" s="563">
        <f t="shared" si="517"/>
        <v>436.18799999999999</v>
      </c>
      <c r="FK137" s="563">
        <f t="shared" si="518"/>
        <v>369.84899999999999</v>
      </c>
      <c r="FL137" s="563">
        <f t="shared" si="519"/>
        <v>66.338999999999999</v>
      </c>
      <c r="FM137" s="529"/>
      <c r="FN137" s="564" t="s">
        <v>2649</v>
      </c>
      <c r="FO137" s="740">
        <v>7.3709999999999998E-2</v>
      </c>
      <c r="FP137" s="741">
        <v>0.87280000000000002</v>
      </c>
      <c r="FQ137" s="565" t="s">
        <v>2617</v>
      </c>
      <c r="FR137" s="529"/>
      <c r="FS137" s="867">
        <v>3.09</v>
      </c>
      <c r="FT137" s="566">
        <f>RANK($FS137,$FS$8:$FS$154,0)+COUNTIF($FS$8:$FS137,$FS137)-1</f>
        <v>96</v>
      </c>
      <c r="FU137" s="867">
        <v>4.12</v>
      </c>
      <c r="FV137" s="566">
        <f>RANK($FU137,$FU$8:$FU$154,0)+COUNTIF($FU$8:$FU137,$FU137)-1</f>
        <v>76</v>
      </c>
      <c r="FW137" s="867">
        <v>1.82</v>
      </c>
      <c r="FX137" s="566">
        <f>RANK($FW137,$FW$8:$FW$154,0)+COUNTIF($FW$8:$FW137,$FW137)-1</f>
        <v>121</v>
      </c>
      <c r="FY137" s="529"/>
      <c r="FZ137" s="567" t="s">
        <v>5000</v>
      </c>
      <c r="GA137" s="567" t="s">
        <v>3378</v>
      </c>
      <c r="GB137" s="567" t="s">
        <v>3379</v>
      </c>
      <c r="GC137" s="567" t="s">
        <v>3380</v>
      </c>
      <c r="GD137" s="567" t="s">
        <v>3381</v>
      </c>
      <c r="GE137" s="567" t="s">
        <v>3382</v>
      </c>
      <c r="GF137" s="567" t="str">
        <f>HYPERLINK("https://www.defense.gouv.fr/ministere/politique-defense/loi-programmation-militaire-2024-2030","https://www.defense.gouv.fr/ministere/politique-defense/loi-programmation-militaire-2024-2030")&amp;CHAR(10)&amp;HYPERLINK("https://www.defense.gouv.fr/loi-programmation-militaire-2024-2030-grandes-orientations","https://www.defense.gouv.fr/loi-programmation-militaire-2024-2030-grandes-orientations")&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https://www.defense.gouv.fr/ministere/politique-defense/loi-programmation-militaire-2024-2030
https://www.defense.gouv.fr/loi-programmation-militaire-2024-2030-grandes-orientations
https://www.statistiques.developpement-durable.gouv.fr/construction-de-locaux-resultats-fin-janvier-2026-france-entiere
https://www.insee.fr/fr/statistiques/8671745
https://www.insee.fr/fr/statistiques/8906564</v>
      </c>
      <c r="GG137" s="529"/>
      <c r="GH137" s="563">
        <f t="shared" si="520"/>
        <v>65.973927272727281</v>
      </c>
      <c r="GI137" s="563">
        <f t="shared" si="451"/>
        <v>57.128727272727275</v>
      </c>
      <c r="GJ137" s="563">
        <f t="shared" si="521"/>
        <v>8.8452000000000002</v>
      </c>
      <c r="GK137" s="563">
        <f t="shared" si="522"/>
        <v>377.89343999999994</v>
      </c>
      <c r="GL137" s="563">
        <f t="shared" si="452"/>
        <v>314.20799999999997</v>
      </c>
      <c r="GM137" s="563">
        <f t="shared" si="523"/>
        <v>63.68544</v>
      </c>
      <c r="GN137" s="563">
        <f t="shared" si="524"/>
        <v>83.091799999999992</v>
      </c>
      <c r="GO137" s="563">
        <f t="shared" si="453"/>
        <v>69.823999999999998</v>
      </c>
      <c r="GP137" s="563">
        <f t="shared" si="525"/>
        <v>13.267799999999999</v>
      </c>
      <c r="GQ137" s="563">
        <f t="shared" si="526"/>
        <v>23.600760000000001</v>
      </c>
      <c r="GR137" s="563">
        <f t="shared" si="454"/>
        <v>20.947200000000002</v>
      </c>
      <c r="GS137" s="563">
        <f t="shared" si="527"/>
        <v>2.6535599999999997</v>
      </c>
      <c r="GT137" s="563">
        <f t="shared" si="528"/>
        <v>0</v>
      </c>
      <c r="GU137" s="563">
        <f t="shared" si="455"/>
        <v>0</v>
      </c>
      <c r="GV137" s="563">
        <f t="shared" si="529"/>
        <v>0</v>
      </c>
      <c r="GW137" s="563">
        <f t="shared" si="530"/>
        <v>0</v>
      </c>
      <c r="GX137" s="563">
        <f t="shared" si="456"/>
        <v>0</v>
      </c>
      <c r="GY137" s="563">
        <f t="shared" si="531"/>
        <v>0</v>
      </c>
      <c r="GZ137" s="563">
        <f t="shared" si="532"/>
        <v>0</v>
      </c>
      <c r="HA137" s="563">
        <f t="shared" si="457"/>
        <v>0</v>
      </c>
      <c r="HB137" s="563">
        <f t="shared" si="533"/>
        <v>0</v>
      </c>
      <c r="HC137" s="563">
        <f t="shared" si="534"/>
        <v>11.800380000000001</v>
      </c>
      <c r="HD137" s="563">
        <f t="shared" si="458"/>
        <v>10.473600000000001</v>
      </c>
      <c r="HE137" s="563">
        <f t="shared" si="535"/>
        <v>1.3267799999999998</v>
      </c>
      <c r="HF137" s="563">
        <f t="shared" si="536"/>
        <v>78.727799999999988</v>
      </c>
      <c r="HG137" s="563">
        <f t="shared" si="459"/>
        <v>65.459999999999994</v>
      </c>
      <c r="HH137" s="563">
        <f t="shared" si="537"/>
        <v>13.267799999999999</v>
      </c>
      <c r="HI137" s="563">
        <f t="shared" si="538"/>
        <v>19.018559999999997</v>
      </c>
      <c r="HJ137" s="563">
        <f t="shared" si="460"/>
        <v>16.364999999999998</v>
      </c>
      <c r="HK137" s="563">
        <f t="shared" si="539"/>
        <v>2.6535599999999997</v>
      </c>
      <c r="HL137" s="563">
        <f t="shared" si="540"/>
        <v>33.667259999999999</v>
      </c>
      <c r="HM137" s="563">
        <f t="shared" si="461"/>
        <v>28.802400000000002</v>
      </c>
      <c r="HN137" s="563">
        <f t="shared" si="541"/>
        <v>4.8648600000000002</v>
      </c>
      <c r="HO137" s="563">
        <f t="shared" si="542"/>
        <v>180.32265000000001</v>
      </c>
      <c r="HP137" s="563">
        <f t="shared" si="462"/>
        <v>157.10400000000001</v>
      </c>
      <c r="HQ137" s="563">
        <f t="shared" si="543"/>
        <v>23.218649999999997</v>
      </c>
      <c r="HR137" s="563">
        <f t="shared" si="544"/>
        <v>179.12771999999995</v>
      </c>
      <c r="HS137" s="563">
        <f t="shared" si="463"/>
        <v>147.28499999999997</v>
      </c>
      <c r="HT137" s="563">
        <f t="shared" si="545"/>
        <v>31.84272</v>
      </c>
      <c r="HU137" s="563">
        <f t="shared" si="546"/>
        <v>76.737629999999996</v>
      </c>
      <c r="HV137" s="563">
        <f t="shared" si="464"/>
        <v>65.459999999999994</v>
      </c>
      <c r="HW137" s="563">
        <f t="shared" si="547"/>
        <v>11.27763</v>
      </c>
      <c r="HX137" s="544"/>
      <c r="HY137" s="568">
        <f t="shared" si="548"/>
        <v>2400</v>
      </c>
      <c r="HZ137" s="568">
        <f t="shared" si="549"/>
        <v>17.73</v>
      </c>
      <c r="IA137" s="568">
        <f t="shared" si="550"/>
        <v>841.1099999999999</v>
      </c>
      <c r="IB137" s="568">
        <f t="shared" si="551"/>
        <v>1274.1300000000001</v>
      </c>
      <c r="IC137" s="568">
        <f t="shared" si="552"/>
        <v>263.43</v>
      </c>
      <c r="ID137" s="568">
        <f t="shared" si="553"/>
        <v>3.5999999999999996</v>
      </c>
      <c r="IE137" s="568">
        <f t="shared" si="554"/>
        <v>953.05792727272728</v>
      </c>
      <c r="IF137" s="568">
        <f t="shared" si="555"/>
        <v>0</v>
      </c>
      <c r="IG137" s="568">
        <f t="shared" si="556"/>
        <v>213.24636607454545</v>
      </c>
      <c r="IH137" s="568">
        <f t="shared" si="557"/>
        <v>558.70361723454539</v>
      </c>
      <c r="II137" s="568">
        <f t="shared" si="558"/>
        <v>176.38487404363636</v>
      </c>
      <c r="IJ137" s="568">
        <f t="shared" si="559"/>
        <v>4.7230699200000004</v>
      </c>
      <c r="IK137" s="868">
        <v>3.9</v>
      </c>
      <c r="IL137" s="569" t="s">
        <v>2589</v>
      </c>
      <c r="IM137" s="570" t="s">
        <v>5001</v>
      </c>
      <c r="IN137" s="529"/>
      <c r="IO137" s="742">
        <v>0</v>
      </c>
      <c r="IP137" s="742">
        <v>0.31019999999999998</v>
      </c>
      <c r="IQ137" s="742">
        <v>0.56069999999999998</v>
      </c>
      <c r="IR137" s="742">
        <v>0.12709999999999999</v>
      </c>
      <c r="IS137" s="742">
        <v>2E-3</v>
      </c>
      <c r="IT137" s="742">
        <v>0</v>
      </c>
      <c r="IU137" s="742">
        <v>0.18459999999999999</v>
      </c>
      <c r="IV137" s="742">
        <v>0.59489999999999998</v>
      </c>
      <c r="IW137" s="742">
        <v>0.21390000000000001</v>
      </c>
      <c r="IX137" s="742">
        <v>6.6E-3</v>
      </c>
      <c r="IY137" s="742">
        <v>0</v>
      </c>
      <c r="IZ137" s="742">
        <v>0</v>
      </c>
      <c r="JA137" s="742">
        <v>0</v>
      </c>
      <c r="JB137" s="742">
        <v>0</v>
      </c>
      <c r="JC137" s="742">
        <v>0</v>
      </c>
      <c r="JD137" s="742">
        <v>0</v>
      </c>
      <c r="JE137" s="742">
        <v>0</v>
      </c>
      <c r="JF137" s="742">
        <v>0</v>
      </c>
      <c r="JG137" s="742">
        <v>0</v>
      </c>
      <c r="JH137" s="742">
        <v>0</v>
      </c>
      <c r="JI137" s="742">
        <v>3.8399999999999997E-2</v>
      </c>
      <c r="JJ137" s="742">
        <v>0.45979999999999999</v>
      </c>
      <c r="JK137" s="742">
        <v>0.43319999999999997</v>
      </c>
      <c r="JL137" s="742">
        <v>6.8199999999999997E-2</v>
      </c>
      <c r="JM137" s="742">
        <v>4.0000000000000002E-4</v>
      </c>
      <c r="JN137" s="742">
        <v>0</v>
      </c>
      <c r="JO137" s="742">
        <v>0.3342</v>
      </c>
      <c r="JP137" s="742">
        <v>0.54890000000000005</v>
      </c>
      <c r="JQ137" s="742">
        <v>0.1153</v>
      </c>
      <c r="JR137" s="742">
        <v>1.6000000000000001E-3</v>
      </c>
      <c r="JS137" s="742">
        <v>6.8999999999999999E-3</v>
      </c>
      <c r="JT137" s="742">
        <v>0.36770000000000003</v>
      </c>
      <c r="JU137" s="742">
        <v>0.52370000000000005</v>
      </c>
      <c r="JV137" s="742">
        <v>0.10050000000000001</v>
      </c>
      <c r="JW137" s="742">
        <v>1.1999999999999999E-3</v>
      </c>
      <c r="JX137" s="742">
        <v>0</v>
      </c>
      <c r="JY137" s="742">
        <v>0.23649999999999999</v>
      </c>
      <c r="JZ137" s="742">
        <v>0.58760000000000001</v>
      </c>
      <c r="KA137" s="742">
        <v>0.1719</v>
      </c>
      <c r="KB137" s="742">
        <v>4.0000000000000001E-3</v>
      </c>
      <c r="KC137" s="657"/>
      <c r="KD137" s="832" t="s">
        <v>2591</v>
      </c>
      <c r="KE137" s="832" t="s">
        <v>2591</v>
      </c>
      <c r="KF137" s="869">
        <v>3.9</v>
      </c>
      <c r="KG137" s="832" t="s">
        <v>2626</v>
      </c>
      <c r="KH137" s="833" t="s">
        <v>3383</v>
      </c>
      <c r="KI137" s="832" t="s">
        <v>3384</v>
      </c>
      <c r="KJ137" s="833" t="s">
        <v>5002</v>
      </c>
    </row>
    <row r="138" spans="1:383" ht="48" hidden="1" customHeight="1">
      <c r="A138" s="273">
        <f t="shared" si="560"/>
        <v>131</v>
      </c>
      <c r="B138" s="274" t="s">
        <v>4908</v>
      </c>
      <c r="C138" s="274" t="s">
        <v>1985</v>
      </c>
      <c r="D138" s="274" t="s">
        <v>5003</v>
      </c>
      <c r="E138" s="275" t="s">
        <v>3663</v>
      </c>
      <c r="F138" s="275" t="s">
        <v>300</v>
      </c>
      <c r="G138" s="275" t="s">
        <v>300</v>
      </c>
      <c r="H138" s="275" t="s">
        <v>2109</v>
      </c>
      <c r="I138" s="276" t="s">
        <v>5004</v>
      </c>
      <c r="J138" s="276" t="s">
        <v>5005</v>
      </c>
      <c r="K138" s="277" t="s">
        <v>2097</v>
      </c>
      <c r="L138" s="277" t="s">
        <v>2109</v>
      </c>
      <c r="M138" s="277" t="s">
        <v>2603</v>
      </c>
      <c r="N138" s="277" t="s">
        <v>2175</v>
      </c>
      <c r="O138" s="275" t="s">
        <v>2616</v>
      </c>
      <c r="P138" s="276"/>
      <c r="Q138" s="270">
        <v>1</v>
      </c>
      <c r="R138" s="278">
        <v>500</v>
      </c>
      <c r="S138" s="279">
        <v>150</v>
      </c>
      <c r="T138" s="279">
        <v>150</v>
      </c>
      <c r="U138" s="279">
        <v>150</v>
      </c>
      <c r="V138" s="279">
        <v>150</v>
      </c>
      <c r="W138" s="279">
        <v>150</v>
      </c>
      <c r="X138" s="279">
        <v>150</v>
      </c>
      <c r="Y138" s="279">
        <v>150</v>
      </c>
      <c r="Z138" s="279">
        <v>150</v>
      </c>
      <c r="AA138" s="279">
        <v>150</v>
      </c>
      <c r="AB138" s="279">
        <v>150</v>
      </c>
      <c r="AC138" s="279">
        <v>150</v>
      </c>
      <c r="AD138" s="279">
        <v>150</v>
      </c>
      <c r="AE138" s="279">
        <v>150</v>
      </c>
      <c r="AF138" s="279">
        <v>150</v>
      </c>
      <c r="AG138" s="279">
        <v>150</v>
      </c>
      <c r="AH138" s="279">
        <v>150</v>
      </c>
      <c r="AI138" s="279">
        <v>150</v>
      </c>
      <c r="AJ138" s="279">
        <v>150</v>
      </c>
      <c r="AK138" s="279">
        <v>150</v>
      </c>
      <c r="AL138" s="276" t="s">
        <v>2177</v>
      </c>
      <c r="AM138" s="276" t="s">
        <v>5006</v>
      </c>
      <c r="AN138" s="276" t="s">
        <v>2365</v>
      </c>
      <c r="AO138" s="657"/>
      <c r="AP138" s="278">
        <v>180</v>
      </c>
      <c r="AQ138" s="278">
        <v>159</v>
      </c>
      <c r="AR138" s="278">
        <v>14</v>
      </c>
      <c r="AS138" s="278">
        <v>7</v>
      </c>
      <c r="AT138" s="657"/>
      <c r="AU138" s="281" t="s">
        <v>3723</v>
      </c>
      <c r="AV138" s="296" t="s">
        <v>5007</v>
      </c>
      <c r="AW138" s="296" t="s">
        <v>4638</v>
      </c>
      <c r="AX138" s="276" t="s">
        <v>2609</v>
      </c>
      <c r="AY138" s="657"/>
      <c r="AZ138" s="947">
        <v>12</v>
      </c>
      <c r="BA138" s="947">
        <v>1</v>
      </c>
      <c r="BB138" s="947">
        <v>3</v>
      </c>
      <c r="BC138" s="947">
        <v>10</v>
      </c>
      <c r="BD138" s="826">
        <f t="shared" si="465"/>
        <v>3900</v>
      </c>
      <c r="BE138" s="283">
        <f t="shared" si="466"/>
        <v>1800</v>
      </c>
      <c r="BF138" s="283">
        <f t="shared" si="467"/>
        <v>150</v>
      </c>
      <c r="BG138" s="283">
        <f t="shared" si="468"/>
        <v>450</v>
      </c>
      <c r="BH138" s="283">
        <f t="shared" si="469"/>
        <v>1500</v>
      </c>
      <c r="BI138" s="826">
        <f t="shared" si="470"/>
        <v>3900</v>
      </c>
      <c r="BJ138" s="283">
        <f t="shared" si="471"/>
        <v>1800</v>
      </c>
      <c r="BK138" s="283">
        <f t="shared" si="472"/>
        <v>150</v>
      </c>
      <c r="BL138" s="283">
        <f t="shared" si="473"/>
        <v>450</v>
      </c>
      <c r="BM138" s="283">
        <f t="shared" si="474"/>
        <v>1500</v>
      </c>
      <c r="BN138" s="657"/>
      <c r="BO138" s="305">
        <v>0.18</v>
      </c>
      <c r="BP138" s="305">
        <v>0.64</v>
      </c>
      <c r="BQ138" s="305">
        <v>0.14000000000000001</v>
      </c>
      <c r="BR138" s="581">
        <v>0.04</v>
      </c>
      <c r="BS138" s="706">
        <v>0.16</v>
      </c>
      <c r="BT138" s="305">
        <v>0.64</v>
      </c>
      <c r="BU138" s="305">
        <v>0.17</v>
      </c>
      <c r="BV138" s="581">
        <v>0.03</v>
      </c>
      <c r="BW138" s="713">
        <v>0.45</v>
      </c>
      <c r="BX138" s="306">
        <v>0.45</v>
      </c>
      <c r="BY138" s="590">
        <v>0.1</v>
      </c>
      <c r="BZ138" s="713">
        <v>0.4</v>
      </c>
      <c r="CA138" s="306">
        <v>0.47</v>
      </c>
      <c r="CB138" s="590">
        <v>0.13</v>
      </c>
      <c r="CC138" s="706">
        <v>0.1</v>
      </c>
      <c r="CD138" s="305">
        <v>0.55000000000000004</v>
      </c>
      <c r="CE138" s="305">
        <v>0.15</v>
      </c>
      <c r="CF138" s="581">
        <v>0.2</v>
      </c>
      <c r="CG138" s="706">
        <v>0.08</v>
      </c>
      <c r="CH138" s="305">
        <v>0.55000000000000004</v>
      </c>
      <c r="CI138" s="305">
        <v>0.18</v>
      </c>
      <c r="CJ138" s="581">
        <v>0.19</v>
      </c>
      <c r="CK138" s="719">
        <v>0.35</v>
      </c>
      <c r="CL138" s="307">
        <v>0.45</v>
      </c>
      <c r="CM138" s="723">
        <v>0.2</v>
      </c>
      <c r="CN138" s="719">
        <v>0.3</v>
      </c>
      <c r="CO138" s="307">
        <v>0.48</v>
      </c>
      <c r="CP138" s="723">
        <v>0.22</v>
      </c>
      <c r="CQ138" s="657"/>
      <c r="CR138" s="804">
        <v>11</v>
      </c>
      <c r="CS138" s="805">
        <v>12</v>
      </c>
      <c r="CT138" s="805">
        <v>9</v>
      </c>
      <c r="CU138" s="806">
        <v>10</v>
      </c>
      <c r="CV138" s="804">
        <v>11</v>
      </c>
      <c r="CW138" s="805">
        <v>11</v>
      </c>
      <c r="CX138" s="806">
        <v>8</v>
      </c>
      <c r="CY138" s="804">
        <v>10</v>
      </c>
      <c r="CZ138" s="805">
        <v>12</v>
      </c>
      <c r="DA138" s="805">
        <v>8</v>
      </c>
      <c r="DB138" s="806">
        <v>10</v>
      </c>
      <c r="DC138" s="804">
        <v>10</v>
      </c>
      <c r="DD138" s="805">
        <v>12</v>
      </c>
      <c r="DE138" s="806">
        <v>9</v>
      </c>
      <c r="DF138" s="609" t="s">
        <v>5008</v>
      </c>
      <c r="DG138" s="657"/>
      <c r="DH138" s="308">
        <f t="shared" si="475"/>
        <v>324</v>
      </c>
      <c r="DI138" s="308">
        <f t="shared" si="476"/>
        <v>1152</v>
      </c>
      <c r="DJ138" s="308">
        <f t="shared" si="477"/>
        <v>252.00000000000003</v>
      </c>
      <c r="DK138" s="308">
        <f t="shared" si="478"/>
        <v>72</v>
      </c>
      <c r="DL138" s="287" t="s">
        <v>5009</v>
      </c>
      <c r="DM138" s="308">
        <f t="shared" si="479"/>
        <v>288</v>
      </c>
      <c r="DN138" s="308">
        <f t="shared" si="480"/>
        <v>1152</v>
      </c>
      <c r="DO138" s="308">
        <f t="shared" si="481"/>
        <v>306</v>
      </c>
      <c r="DP138" s="308">
        <f t="shared" si="482"/>
        <v>54</v>
      </c>
      <c r="DQ138" s="289" t="s">
        <v>3369</v>
      </c>
      <c r="DR138" s="657"/>
      <c r="DS138" s="308">
        <f t="shared" si="483"/>
        <v>67.5</v>
      </c>
      <c r="DT138" s="308">
        <f t="shared" si="484"/>
        <v>67.5</v>
      </c>
      <c r="DU138" s="308">
        <f t="shared" si="485"/>
        <v>15</v>
      </c>
      <c r="DV138" s="289" t="s">
        <v>5010</v>
      </c>
      <c r="DW138" s="308">
        <f t="shared" si="486"/>
        <v>60</v>
      </c>
      <c r="DX138" s="308">
        <f t="shared" si="487"/>
        <v>70.5</v>
      </c>
      <c r="DY138" s="308">
        <f t="shared" si="488"/>
        <v>19.5</v>
      </c>
      <c r="DZ138" s="289" t="s">
        <v>3371</v>
      </c>
      <c r="EA138" s="657"/>
      <c r="EB138" s="308">
        <f t="shared" si="489"/>
        <v>45</v>
      </c>
      <c r="EC138" s="308">
        <f t="shared" si="490"/>
        <v>247.50000000000003</v>
      </c>
      <c r="ED138" s="308">
        <f t="shared" si="491"/>
        <v>67.5</v>
      </c>
      <c r="EE138" s="308">
        <f t="shared" si="492"/>
        <v>90</v>
      </c>
      <c r="EF138" s="289" t="s">
        <v>5011</v>
      </c>
      <c r="EG138" s="308">
        <f t="shared" si="493"/>
        <v>36</v>
      </c>
      <c r="EH138" s="308">
        <f t="shared" si="494"/>
        <v>247.50000000000003</v>
      </c>
      <c r="EI138" s="308">
        <f t="shared" si="495"/>
        <v>81</v>
      </c>
      <c r="EJ138" s="308">
        <f t="shared" si="496"/>
        <v>85.5</v>
      </c>
      <c r="EK138" s="309" t="s">
        <v>3373</v>
      </c>
      <c r="EL138" s="657"/>
      <c r="EM138" s="308">
        <f t="shared" si="497"/>
        <v>525</v>
      </c>
      <c r="EN138" s="310">
        <f t="shared" si="498"/>
        <v>675</v>
      </c>
      <c r="EO138" s="310">
        <f t="shared" si="499"/>
        <v>300</v>
      </c>
      <c r="EP138" s="289" t="s">
        <v>5012</v>
      </c>
      <c r="EQ138" s="308">
        <f t="shared" si="500"/>
        <v>450</v>
      </c>
      <c r="ER138" s="310">
        <f t="shared" si="501"/>
        <v>720</v>
      </c>
      <c r="ES138" s="310">
        <f t="shared" si="502"/>
        <v>330</v>
      </c>
      <c r="ET138" s="289" t="s">
        <v>3375</v>
      </c>
      <c r="EU138" s="657"/>
      <c r="EV138" s="728">
        <f t="shared" si="503"/>
        <v>0.82831961109089625</v>
      </c>
      <c r="EW138" s="728">
        <f t="shared" si="504"/>
        <v>0.17168038890910373</v>
      </c>
      <c r="EX138" s="311">
        <f t="shared" si="505"/>
        <v>1846.4077464772729</v>
      </c>
      <c r="EY138" s="311">
        <f t="shared" si="506"/>
        <v>1529.4157464772729</v>
      </c>
      <c r="EZ138" s="311">
        <f t="shared" si="507"/>
        <v>316.99200000000002</v>
      </c>
      <c r="FA138" s="311">
        <f t="shared" si="508"/>
        <v>829.87302545454543</v>
      </c>
      <c r="FB138" s="311">
        <f t="shared" si="509"/>
        <v>683.56902545454545</v>
      </c>
      <c r="FC138" s="311">
        <f t="shared" si="510"/>
        <v>146.304</v>
      </c>
      <c r="FD138" s="311">
        <f t="shared" si="511"/>
        <v>72.38916477272727</v>
      </c>
      <c r="FE138" s="311">
        <f t="shared" si="512"/>
        <v>60.197164772727277</v>
      </c>
      <c r="FF138" s="311">
        <f t="shared" si="513"/>
        <v>12.192</v>
      </c>
      <c r="FG138" s="311">
        <f t="shared" si="514"/>
        <v>217.67518125000004</v>
      </c>
      <c r="FH138" s="311">
        <f t="shared" si="515"/>
        <v>181.09918125000004</v>
      </c>
      <c r="FI138" s="311">
        <f t="shared" si="516"/>
        <v>36.576000000000001</v>
      </c>
      <c r="FJ138" s="311">
        <f t="shared" si="517"/>
        <v>726.47037499999999</v>
      </c>
      <c r="FK138" s="311">
        <f t="shared" si="518"/>
        <v>604.55037500000003</v>
      </c>
      <c r="FL138" s="311">
        <f t="shared" si="519"/>
        <v>121.92</v>
      </c>
      <c r="FM138" s="657"/>
      <c r="FN138" s="293" t="s">
        <v>2649</v>
      </c>
      <c r="FO138" s="728">
        <v>8.1280000000000005E-2</v>
      </c>
      <c r="FP138" s="729">
        <v>0.85097999999999996</v>
      </c>
      <c r="FQ138" s="294" t="s">
        <v>2831</v>
      </c>
      <c r="FR138" s="657"/>
      <c r="FS138" s="865">
        <v>3.09</v>
      </c>
      <c r="FT138" s="312">
        <f>RANK($FS138,$FS$8:$FS$154,0)+COUNTIF($FS$8:$FS138,$FS138)-1</f>
        <v>97</v>
      </c>
      <c r="FU138" s="865">
        <v>4.13</v>
      </c>
      <c r="FV138" s="312">
        <f>RANK($FU138,$FU$8:$FU$154,0)+COUNTIF($FU$8:$FU138,$FU138)-1</f>
        <v>71</v>
      </c>
      <c r="FW138" s="865">
        <v>1.82</v>
      </c>
      <c r="FX138" s="312">
        <f>RANK($FW138,$FW$8:$FW$154,0)+COUNTIF($FW$8:$FW138,$FW138)-1</f>
        <v>122</v>
      </c>
      <c r="FY138" s="657"/>
      <c r="FZ138" s="296" t="s">
        <v>5000</v>
      </c>
      <c r="GA138" s="296" t="s">
        <v>3378</v>
      </c>
      <c r="GB138" s="296" t="s">
        <v>3379</v>
      </c>
      <c r="GC138" s="296" t="s">
        <v>3380</v>
      </c>
      <c r="GD138" s="296" t="s">
        <v>3381</v>
      </c>
      <c r="GE138" s="296" t="s">
        <v>3382</v>
      </c>
      <c r="GF138" s="296" t="str">
        <f>HYPERLINK("https://www.defense.gouv.fr/ministere/politique-defense/loi-programmation-militaire-2024-2030","https://www.defense.gouv.fr/ministere/politique-defense/loi-programmation-militaire-2024-2030")&amp;CHAR(10)&amp;HYPERLINK("https://www.defense.gouv.fr/loi-programmation-militaire-2024-2030-grandes-orientations","https://www.defense.gouv.fr/loi-programmation-militaire-2024-2030-grandes-orientations")&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https://www.defense.gouv.fr/ministere/politique-defense/loi-programmation-militaire-2024-2030
https://www.defense.gouv.fr/loi-programmation-militaire-2024-2030-grandes-orientations
https://www.statistiques.developpement-durable.gouv.fr/construction-de-locaux-resultats-fin-janvier-2026-france-entiere
https://www.insee.fr/fr/statistiques/8671745
https://www.insee.fr/fr/statistiques/8906564</v>
      </c>
      <c r="GG138" s="657"/>
      <c r="GH138" s="311">
        <f t="shared" si="520"/>
        <v>148.73478545454546</v>
      </c>
      <c r="GI138" s="311">
        <f t="shared" si="451"/>
        <v>125.32614545454545</v>
      </c>
      <c r="GJ138" s="311">
        <f t="shared" si="521"/>
        <v>23.408640000000002</v>
      </c>
      <c r="GK138" s="311">
        <f t="shared" si="522"/>
        <v>502.10496000000001</v>
      </c>
      <c r="GL138" s="311">
        <f t="shared" si="452"/>
        <v>408.47039999999998</v>
      </c>
      <c r="GM138" s="311">
        <f t="shared" si="523"/>
        <v>93.634560000000008</v>
      </c>
      <c r="GN138" s="311">
        <f t="shared" si="524"/>
        <v>144.00888</v>
      </c>
      <c r="GO138" s="311">
        <f t="shared" si="453"/>
        <v>119.13720000000001</v>
      </c>
      <c r="GP138" s="311">
        <f t="shared" si="525"/>
        <v>24.871680000000001</v>
      </c>
      <c r="GQ138" s="311">
        <f t="shared" si="526"/>
        <v>35.0244</v>
      </c>
      <c r="GR138" s="311">
        <f t="shared" si="454"/>
        <v>30.635279999999998</v>
      </c>
      <c r="GS138" s="311">
        <f t="shared" si="527"/>
        <v>4.3891200000000001</v>
      </c>
      <c r="GT138" s="311">
        <f t="shared" si="528"/>
        <v>30.986413636363636</v>
      </c>
      <c r="GU138" s="311">
        <f t="shared" si="455"/>
        <v>26.109613636363637</v>
      </c>
      <c r="GV138" s="311">
        <f t="shared" si="529"/>
        <v>4.8768000000000002</v>
      </c>
      <c r="GW138" s="311">
        <f t="shared" si="530"/>
        <v>31.839853636363635</v>
      </c>
      <c r="GX138" s="311">
        <f t="shared" si="456"/>
        <v>26.109613636363637</v>
      </c>
      <c r="GY138" s="311">
        <f t="shared" si="531"/>
        <v>5.7302399999999993</v>
      </c>
      <c r="GZ138" s="311">
        <f t="shared" si="532"/>
        <v>9.5628975000000001</v>
      </c>
      <c r="HA138" s="311">
        <f t="shared" si="457"/>
        <v>7.9779374999999995</v>
      </c>
      <c r="HB138" s="311">
        <f t="shared" si="533"/>
        <v>1.5849600000000001</v>
      </c>
      <c r="HC138" s="311">
        <f t="shared" si="534"/>
        <v>22.073130000000003</v>
      </c>
      <c r="HD138" s="311">
        <f t="shared" si="458"/>
        <v>19.147050000000004</v>
      </c>
      <c r="HE138" s="311">
        <f t="shared" si="535"/>
        <v>2.9260800000000002</v>
      </c>
      <c r="HF138" s="311">
        <f t="shared" si="536"/>
        <v>107.87411250000002</v>
      </c>
      <c r="HG138" s="311">
        <f t="shared" si="459"/>
        <v>87.757312500000026</v>
      </c>
      <c r="HH138" s="311">
        <f t="shared" si="537"/>
        <v>20.116800000000001</v>
      </c>
      <c r="HI138" s="311">
        <f t="shared" si="538"/>
        <v>42.484398750000004</v>
      </c>
      <c r="HJ138" s="311">
        <f t="shared" si="460"/>
        <v>35.900718750000003</v>
      </c>
      <c r="HK138" s="311">
        <f t="shared" si="539"/>
        <v>6.5836800000000002</v>
      </c>
      <c r="HL138" s="311">
        <f t="shared" si="540"/>
        <v>45.24354000000001</v>
      </c>
      <c r="HM138" s="311">
        <f t="shared" si="461"/>
        <v>38.294100000000007</v>
      </c>
      <c r="HN138" s="311">
        <f t="shared" si="541"/>
        <v>6.9494400000000001</v>
      </c>
      <c r="HO138" s="311">
        <f t="shared" si="542"/>
        <v>259.95825000000002</v>
      </c>
      <c r="HP138" s="311">
        <f t="shared" si="462"/>
        <v>223.38225</v>
      </c>
      <c r="HQ138" s="311">
        <f t="shared" si="543"/>
        <v>36.576000000000001</v>
      </c>
      <c r="HR138" s="311">
        <f t="shared" si="544"/>
        <v>297.85972499999997</v>
      </c>
      <c r="HS138" s="311">
        <f t="shared" si="463"/>
        <v>239.33812499999999</v>
      </c>
      <c r="HT138" s="311">
        <f t="shared" si="545"/>
        <v>58.521599999999999</v>
      </c>
      <c r="HU138" s="311">
        <f t="shared" si="546"/>
        <v>168.6524</v>
      </c>
      <c r="HV138" s="311">
        <f t="shared" si="464"/>
        <v>141.83000000000001</v>
      </c>
      <c r="HW138" s="311">
        <f t="shared" si="547"/>
        <v>26.822400000000002</v>
      </c>
      <c r="HY138" s="313">
        <f t="shared" si="548"/>
        <v>3900.0000000000009</v>
      </c>
      <c r="HZ138" s="313">
        <f t="shared" si="549"/>
        <v>28.11</v>
      </c>
      <c r="IA138" s="313">
        <f t="shared" si="550"/>
        <v>1276.7550000000001</v>
      </c>
      <c r="IB138" s="313">
        <f t="shared" si="551"/>
        <v>2107.0800000000004</v>
      </c>
      <c r="IC138" s="313">
        <f t="shared" si="552"/>
        <v>479.92500000000001</v>
      </c>
      <c r="ID138" s="313">
        <f t="shared" si="553"/>
        <v>8.129999999999999</v>
      </c>
      <c r="IE138" s="313">
        <f t="shared" si="554"/>
        <v>1529.4157464772729</v>
      </c>
      <c r="IF138" s="313">
        <f t="shared" si="555"/>
        <v>0</v>
      </c>
      <c r="IG138" s="313">
        <f t="shared" si="556"/>
        <v>308.08536546346591</v>
      </c>
      <c r="IH138" s="313">
        <f t="shared" si="557"/>
        <v>892.01927428678414</v>
      </c>
      <c r="II138" s="313">
        <f t="shared" si="558"/>
        <v>318.70661897351135</v>
      </c>
      <c r="IJ138" s="313">
        <f t="shared" si="559"/>
        <v>10.604487753511364</v>
      </c>
      <c r="IK138" s="866">
        <v>3.9</v>
      </c>
      <c r="IL138" s="314" t="s">
        <v>2589</v>
      </c>
      <c r="IM138" s="299" t="s">
        <v>4991</v>
      </c>
      <c r="IN138" s="657"/>
      <c r="IO138" s="730">
        <v>0</v>
      </c>
      <c r="IP138" s="730">
        <v>0.2586</v>
      </c>
      <c r="IQ138" s="730">
        <v>0.58120000000000005</v>
      </c>
      <c r="IR138" s="730">
        <v>0.15690000000000001</v>
      </c>
      <c r="IS138" s="730">
        <v>3.3E-3</v>
      </c>
      <c r="IT138" s="730">
        <v>0</v>
      </c>
      <c r="IU138" s="730">
        <v>0.13850000000000001</v>
      </c>
      <c r="IV138" s="730">
        <v>0.58879999999999999</v>
      </c>
      <c r="IW138" s="730">
        <v>0.2621</v>
      </c>
      <c r="IX138" s="730">
        <v>1.06E-2</v>
      </c>
      <c r="IY138" s="730">
        <v>3.2000000000000002E-3</v>
      </c>
      <c r="IZ138" s="730">
        <v>0.35210000000000002</v>
      </c>
      <c r="JA138" s="730">
        <v>0.53620000000000001</v>
      </c>
      <c r="JB138" s="730">
        <v>0.1071</v>
      </c>
      <c r="JC138" s="730">
        <v>1.4E-3</v>
      </c>
      <c r="JD138" s="730">
        <v>0</v>
      </c>
      <c r="JE138" s="730">
        <v>0.22819999999999999</v>
      </c>
      <c r="JF138" s="730">
        <v>0.55979999999999996</v>
      </c>
      <c r="JG138" s="730">
        <v>0.20349999999999999</v>
      </c>
      <c r="JH138" s="730">
        <v>8.5000000000000006E-3</v>
      </c>
      <c r="JI138" s="730">
        <v>3.8399999999999997E-2</v>
      </c>
      <c r="JJ138" s="730">
        <v>0.45979999999999999</v>
      </c>
      <c r="JK138" s="730">
        <v>0.43319999999999997</v>
      </c>
      <c r="JL138" s="730">
        <v>6.8199999999999997E-2</v>
      </c>
      <c r="JM138" s="730">
        <v>4.0000000000000002E-4</v>
      </c>
      <c r="JN138" s="730">
        <v>0</v>
      </c>
      <c r="JO138" s="730">
        <v>0.3291</v>
      </c>
      <c r="JP138" s="730">
        <v>0.55149999999999999</v>
      </c>
      <c r="JQ138" s="730">
        <v>0.1177</v>
      </c>
      <c r="JR138" s="730">
        <v>1.6999999999999999E-3</v>
      </c>
      <c r="JS138" s="730">
        <v>6.8999999999999999E-3</v>
      </c>
      <c r="JT138" s="730">
        <v>0.36770000000000003</v>
      </c>
      <c r="JU138" s="730">
        <v>0.52370000000000005</v>
      </c>
      <c r="JV138" s="730">
        <v>0.10050000000000001</v>
      </c>
      <c r="JW138" s="730">
        <v>1.1999999999999999E-3</v>
      </c>
      <c r="JX138" s="730">
        <v>0</v>
      </c>
      <c r="JY138" s="730">
        <v>0.23169999999999999</v>
      </c>
      <c r="JZ138" s="730">
        <v>0.58879999999999999</v>
      </c>
      <c r="KA138" s="730">
        <v>0.17530000000000001</v>
      </c>
      <c r="KB138" s="730">
        <v>4.1999999999999997E-3</v>
      </c>
      <c r="KC138" s="657"/>
      <c r="KD138" s="314" t="s">
        <v>2591</v>
      </c>
      <c r="KE138" s="314" t="s">
        <v>2591</v>
      </c>
      <c r="KF138" s="866">
        <v>3.9</v>
      </c>
      <c r="KG138" s="314" t="s">
        <v>2626</v>
      </c>
      <c r="KH138" s="315" t="s">
        <v>3383</v>
      </c>
      <c r="KI138" s="314" t="s">
        <v>3384</v>
      </c>
      <c r="KJ138" s="315" t="s">
        <v>5013</v>
      </c>
    </row>
    <row r="139" spans="1:383" ht="48" hidden="1" customHeight="1">
      <c r="A139" s="265">
        <f t="shared" si="560"/>
        <v>132</v>
      </c>
      <c r="B139" s="266" t="s">
        <v>4908</v>
      </c>
      <c r="C139" s="266" t="s">
        <v>88</v>
      </c>
      <c r="D139" s="624" t="s">
        <v>2005</v>
      </c>
      <c r="E139" s="267" t="s">
        <v>2117</v>
      </c>
      <c r="F139" s="267" t="s">
        <v>5014</v>
      </c>
      <c r="G139" s="267" t="s">
        <v>2121</v>
      </c>
      <c r="H139" s="267" t="s">
        <v>2096</v>
      </c>
      <c r="I139" s="268" t="s">
        <v>5015</v>
      </c>
      <c r="J139" s="268" t="s">
        <v>5016</v>
      </c>
      <c r="K139" s="269" t="s">
        <v>2109</v>
      </c>
      <c r="L139" s="269" t="s">
        <v>2109</v>
      </c>
      <c r="M139" s="269" t="s">
        <v>2603</v>
      </c>
      <c r="N139" s="269" t="s">
        <v>2099</v>
      </c>
      <c r="O139" s="267" t="s">
        <v>2616</v>
      </c>
      <c r="P139" s="268"/>
      <c r="Q139" s="270">
        <v>1</v>
      </c>
      <c r="R139" s="271">
        <v>10000</v>
      </c>
      <c r="S139" s="272">
        <v>118</v>
      </c>
      <c r="T139" s="272">
        <v>115</v>
      </c>
      <c r="U139" s="272">
        <v>106</v>
      </c>
      <c r="V139" s="272">
        <v>91</v>
      </c>
      <c r="W139" s="272">
        <f>V139-2</f>
        <v>89</v>
      </c>
      <c r="X139" s="272">
        <f>W139-2</f>
        <v>87</v>
      </c>
      <c r="Y139" s="272">
        <f>X139-2</f>
        <v>85</v>
      </c>
      <c r="Z139" s="272">
        <f>Y139-2</f>
        <v>83</v>
      </c>
      <c r="AA139" s="272">
        <v>81</v>
      </c>
      <c r="AB139" s="272">
        <v>81</v>
      </c>
      <c r="AC139" s="272">
        <v>81</v>
      </c>
      <c r="AD139" s="272">
        <v>80</v>
      </c>
      <c r="AE139" s="272">
        <v>80</v>
      </c>
      <c r="AF139" s="272">
        <v>79</v>
      </c>
      <c r="AG139" s="272">
        <v>79</v>
      </c>
      <c r="AH139" s="272">
        <v>78</v>
      </c>
      <c r="AI139" s="272">
        <v>77</v>
      </c>
      <c r="AJ139" s="272">
        <v>76</v>
      </c>
      <c r="AK139" s="272">
        <v>75</v>
      </c>
      <c r="AL139" s="268" t="s">
        <v>5017</v>
      </c>
      <c r="AM139" s="268" t="s">
        <v>5018</v>
      </c>
      <c r="AN139" s="268" t="s">
        <v>3393</v>
      </c>
      <c r="AO139" s="657"/>
      <c r="AP139" s="271">
        <v>250</v>
      </c>
      <c r="AQ139" s="280">
        <v>188</v>
      </c>
      <c r="AR139" s="280">
        <v>50</v>
      </c>
      <c r="AS139" s="280">
        <v>12</v>
      </c>
      <c r="AT139" s="657"/>
      <c r="AU139" s="301" t="s">
        <v>5019</v>
      </c>
      <c r="AV139" s="572" t="s">
        <v>5020</v>
      </c>
      <c r="AW139" s="645" t="s">
        <v>2712</v>
      </c>
      <c r="AX139" s="290" t="s">
        <v>4918</v>
      </c>
      <c r="AY139" s="657"/>
      <c r="AZ139" s="948">
        <v>140</v>
      </c>
      <c r="BA139" s="948">
        <v>25</v>
      </c>
      <c r="BB139" s="948">
        <v>2</v>
      </c>
      <c r="BC139" s="948">
        <v>130</v>
      </c>
      <c r="BD139" s="825">
        <f t="shared" si="465"/>
        <v>23463</v>
      </c>
      <c r="BE139" s="304">
        <f t="shared" si="466"/>
        <v>11060</v>
      </c>
      <c r="BF139" s="304">
        <f t="shared" si="467"/>
        <v>1975</v>
      </c>
      <c r="BG139" s="304">
        <f t="shared" si="468"/>
        <v>158</v>
      </c>
      <c r="BH139" s="304">
        <f t="shared" si="469"/>
        <v>10270</v>
      </c>
      <c r="BI139" s="825">
        <f t="shared" si="470"/>
        <v>22275</v>
      </c>
      <c r="BJ139" s="304">
        <f t="shared" si="471"/>
        <v>10500</v>
      </c>
      <c r="BK139" s="304">
        <f t="shared" si="472"/>
        <v>1875</v>
      </c>
      <c r="BL139" s="304">
        <f t="shared" si="473"/>
        <v>150</v>
      </c>
      <c r="BM139" s="304">
        <f t="shared" si="474"/>
        <v>9750</v>
      </c>
      <c r="BN139" s="657"/>
      <c r="BO139" s="284">
        <v>0.02</v>
      </c>
      <c r="BP139" s="284">
        <v>0.7</v>
      </c>
      <c r="BQ139" s="284">
        <v>0.01</v>
      </c>
      <c r="BR139" s="710">
        <v>0.27</v>
      </c>
      <c r="BS139" s="707">
        <v>0.02</v>
      </c>
      <c r="BT139" s="284">
        <v>0.69</v>
      </c>
      <c r="BU139" s="284">
        <v>0.02</v>
      </c>
      <c r="BV139" s="710">
        <v>0.27</v>
      </c>
      <c r="BW139" s="714">
        <v>0.2</v>
      </c>
      <c r="BX139" s="285">
        <v>0.8</v>
      </c>
      <c r="BY139" s="717"/>
      <c r="BZ139" s="714">
        <v>0.18</v>
      </c>
      <c r="CA139" s="285">
        <v>0.82</v>
      </c>
      <c r="CB139" s="717"/>
      <c r="CC139" s="284">
        <v>0.1</v>
      </c>
      <c r="CD139" s="284">
        <v>0.8</v>
      </c>
      <c r="CE139" s="284">
        <v>0.03</v>
      </c>
      <c r="CF139" s="710">
        <v>7.0000000000000007E-2</v>
      </c>
      <c r="CG139" s="707">
        <v>0.1</v>
      </c>
      <c r="CH139" s="284">
        <v>0.79</v>
      </c>
      <c r="CI139" s="284">
        <v>0.04</v>
      </c>
      <c r="CJ139" s="710">
        <v>7.0000000000000007E-2</v>
      </c>
      <c r="CK139" s="720">
        <v>0.55000000000000004</v>
      </c>
      <c r="CL139" s="286">
        <v>0.4</v>
      </c>
      <c r="CM139" s="718">
        <v>0.05</v>
      </c>
      <c r="CN139" s="720">
        <v>0.5</v>
      </c>
      <c r="CO139" s="286">
        <v>0.44</v>
      </c>
      <c r="CP139" s="718">
        <v>0.06</v>
      </c>
      <c r="CQ139" s="657"/>
      <c r="CR139" s="807">
        <v>10</v>
      </c>
      <c r="CS139" s="808">
        <v>11</v>
      </c>
      <c r="CT139" s="808">
        <v>8</v>
      </c>
      <c r="CU139" s="809">
        <v>9</v>
      </c>
      <c r="CV139" s="807">
        <v>10</v>
      </c>
      <c r="CW139" s="808">
        <v>10</v>
      </c>
      <c r="CX139" s="809">
        <v>8</v>
      </c>
      <c r="CY139" s="807">
        <v>9</v>
      </c>
      <c r="CZ139" s="808">
        <v>11</v>
      </c>
      <c r="DA139" s="808">
        <v>8</v>
      </c>
      <c r="DB139" s="809">
        <v>10</v>
      </c>
      <c r="DC139" s="807">
        <v>10</v>
      </c>
      <c r="DD139" s="808">
        <v>11</v>
      </c>
      <c r="DE139" s="809">
        <v>9</v>
      </c>
      <c r="DF139" s="610" t="s">
        <v>5008</v>
      </c>
      <c r="DG139" s="657"/>
      <c r="DH139" s="288">
        <f t="shared" si="475"/>
        <v>221.20000000000002</v>
      </c>
      <c r="DI139" s="288">
        <f t="shared" si="476"/>
        <v>7741.9999999999991</v>
      </c>
      <c r="DJ139" s="288">
        <f t="shared" si="477"/>
        <v>110.60000000000001</v>
      </c>
      <c r="DK139" s="288">
        <f t="shared" si="478"/>
        <v>2986.2000000000003</v>
      </c>
      <c r="DL139" s="560" t="s">
        <v>5021</v>
      </c>
      <c r="DM139" s="288">
        <f t="shared" si="479"/>
        <v>210</v>
      </c>
      <c r="DN139" s="288">
        <f t="shared" si="480"/>
        <v>7244.9999999999991</v>
      </c>
      <c r="DO139" s="288">
        <f t="shared" si="481"/>
        <v>210</v>
      </c>
      <c r="DP139" s="288">
        <f t="shared" si="482"/>
        <v>2835</v>
      </c>
      <c r="DQ139" s="561" t="s">
        <v>3399</v>
      </c>
      <c r="DR139" s="657"/>
      <c r="DS139" s="288">
        <f t="shared" si="483"/>
        <v>395</v>
      </c>
      <c r="DT139" s="288">
        <f t="shared" si="484"/>
        <v>1580</v>
      </c>
      <c r="DU139" s="288">
        <f t="shared" si="485"/>
        <v>0</v>
      </c>
      <c r="DV139" s="561" t="s">
        <v>5022</v>
      </c>
      <c r="DW139" s="288">
        <f t="shared" si="486"/>
        <v>337.5</v>
      </c>
      <c r="DX139" s="288">
        <f t="shared" si="487"/>
        <v>1537.5</v>
      </c>
      <c r="DY139" s="288">
        <f t="shared" si="488"/>
        <v>0</v>
      </c>
      <c r="DZ139" s="561" t="s">
        <v>3401</v>
      </c>
      <c r="EA139" s="657"/>
      <c r="EB139" s="288">
        <f t="shared" si="489"/>
        <v>15.8</v>
      </c>
      <c r="EC139" s="288">
        <f t="shared" si="490"/>
        <v>126.4</v>
      </c>
      <c r="ED139" s="288">
        <f t="shared" si="491"/>
        <v>4.74</v>
      </c>
      <c r="EE139" s="288">
        <f t="shared" si="492"/>
        <v>11.06</v>
      </c>
      <c r="EF139" s="561" t="s">
        <v>5023</v>
      </c>
      <c r="EG139" s="288">
        <f t="shared" si="493"/>
        <v>15</v>
      </c>
      <c r="EH139" s="288">
        <f t="shared" si="494"/>
        <v>118.5</v>
      </c>
      <c r="EI139" s="288">
        <f t="shared" si="495"/>
        <v>6</v>
      </c>
      <c r="EJ139" s="288">
        <f t="shared" si="496"/>
        <v>10.500000000000002</v>
      </c>
      <c r="EK139" s="561" t="s">
        <v>3403</v>
      </c>
      <c r="EL139" s="657"/>
      <c r="EM139" s="288">
        <f t="shared" si="497"/>
        <v>5648.5000000000009</v>
      </c>
      <c r="EN139" s="291">
        <f t="shared" si="498"/>
        <v>4108</v>
      </c>
      <c r="EO139" s="291">
        <f t="shared" si="499"/>
        <v>513.5</v>
      </c>
      <c r="EP139" s="561" t="s">
        <v>5024</v>
      </c>
      <c r="EQ139" s="288">
        <f t="shared" si="500"/>
        <v>4875</v>
      </c>
      <c r="ER139" s="291">
        <f t="shared" si="501"/>
        <v>4290</v>
      </c>
      <c r="ES139" s="291">
        <f t="shared" si="502"/>
        <v>585</v>
      </c>
      <c r="ET139" s="561" t="s">
        <v>3405</v>
      </c>
      <c r="EU139" s="657"/>
      <c r="EV139" s="740">
        <f t="shared" si="503"/>
        <v>0.81073942012761369</v>
      </c>
      <c r="EW139" s="740">
        <f t="shared" si="504"/>
        <v>0.1892605798723864</v>
      </c>
      <c r="EX139" s="563">
        <f t="shared" si="505"/>
        <v>13718.734148181818</v>
      </c>
      <c r="EY139" s="563">
        <f t="shared" si="506"/>
        <v>11122.31856818182</v>
      </c>
      <c r="EZ139" s="563">
        <f t="shared" si="507"/>
        <v>2596.4155799999999</v>
      </c>
      <c r="FA139" s="563">
        <f t="shared" si="508"/>
        <v>6459.9011909090905</v>
      </c>
      <c r="FB139" s="563">
        <f t="shared" si="509"/>
        <v>5236.0015909090907</v>
      </c>
      <c r="FC139" s="563">
        <f t="shared" si="510"/>
        <v>1223.8996</v>
      </c>
      <c r="FD139" s="563">
        <f t="shared" si="511"/>
        <v>1174.8035</v>
      </c>
      <c r="FE139" s="563">
        <f t="shared" si="512"/>
        <v>956.24999999999989</v>
      </c>
      <c r="FF139" s="563">
        <f t="shared" si="513"/>
        <v>218.55349999999999</v>
      </c>
      <c r="FG139" s="563">
        <f t="shared" si="514"/>
        <v>90.898984545454553</v>
      </c>
      <c r="FH139" s="563">
        <f t="shared" si="515"/>
        <v>73.414704545454555</v>
      </c>
      <c r="FI139" s="563">
        <f t="shared" si="516"/>
        <v>17.484279999999998</v>
      </c>
      <c r="FJ139" s="563">
        <f t="shared" si="517"/>
        <v>5993.1304727272745</v>
      </c>
      <c r="FK139" s="563">
        <f t="shared" si="518"/>
        <v>4856.6522727272741</v>
      </c>
      <c r="FL139" s="563">
        <f t="shared" si="519"/>
        <v>1136.4782</v>
      </c>
      <c r="FM139" s="529"/>
      <c r="FN139" s="564" t="s">
        <v>2649</v>
      </c>
      <c r="FO139" s="740">
        <v>0.11065999999999999</v>
      </c>
      <c r="FP139" s="741">
        <v>0.9</v>
      </c>
      <c r="FQ139" s="565" t="s">
        <v>3406</v>
      </c>
      <c r="FR139" s="529"/>
      <c r="FS139" s="867">
        <v>3.83</v>
      </c>
      <c r="FT139" s="566">
        <f>RANK($FS139,$FS$8:$FS$154,0)+COUNTIF($FS$8:$FS139,$FS139)-1</f>
        <v>12</v>
      </c>
      <c r="FU139" s="867">
        <v>4.33</v>
      </c>
      <c r="FV139" s="566">
        <f>RANK($FU139,$FU$8:$FU$154,0)+COUNTIF($FU$8:$FU139,$FU139)-1</f>
        <v>25</v>
      </c>
      <c r="FW139" s="867">
        <v>3.21</v>
      </c>
      <c r="FX139" s="566">
        <f>RANK($FW139,$FW$8:$FW$154,0)+COUNTIF($FW$8:$FW139,$FW139)-1</f>
        <v>4</v>
      </c>
      <c r="FY139" s="529"/>
      <c r="FZ139" s="567" t="s">
        <v>5025</v>
      </c>
      <c r="GA139" s="567" t="s">
        <v>5026</v>
      </c>
      <c r="GB139" s="567" t="s">
        <v>3409</v>
      </c>
      <c r="GC139" s="567" t="s">
        <v>3410</v>
      </c>
      <c r="GD139" s="567" t="s">
        <v>3411</v>
      </c>
      <c r="GE139" s="567" t="s">
        <v>3412</v>
      </c>
      <c r="GF139" s="567" t="str">
        <f t="shared" ref="GF139:GF145" si="561">HYPERLINK("https://www.justice.gouv.fr/presentation-loi-dorientation-programmation-ministere-justice-2023-2027","https://www.justice.gouv.fr/presentation-loi-dorientation-programmation-ministere-justice-2023-2027")&amp;CHAR(10)&amp;HYPERLINK("https://www.justice.gouv.fr/ministere-justice/budget-justice","https://www.justice.gouv.fr/ministere-justice/budget-justice")&amp;CHAR(10)&amp;HYPERLINK("https://www.justice.gouv.fr/documentation/ressources/rapport-2024-loi-dorientation-programmation-du-ministere-justice-2023-2027","https://www.justice.gouv.fr/documentation/ressources/rapport-2024-loi-dorientation-programmation-du-ministere-justice-2023-2027")&amp;CHAR(10)&amp;HYPERLINK("https://www.justice.gouv.fr/plan-15-000-places-prison","https://www.justice.gouv.fr/plan-15-000-places-prison")&amp;CHAR(10)&amp;HYPERLINK("https://www.justice.gouv.fr/actualites/actualite/immobilier-penitentiaire-15000-places-plus-prisons","https://www.justice.gouv.fr/actualites/actualite/immobilier-penitentiaire-15000-places-plus-prisons")&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https://www.justice.gouv.fr/presentation-loi-dorientation-programmation-ministere-justice-2023-2027
https://www.justice.gouv.fr/ministere-justice/budget-justice
https://www.justice.gouv.fr/documentation/ressources/rapport-2024-loi-dorientation-programmation-du-ministere-justice-2023-2027
https://www.justice.gouv.fr/plan-15-000-places-prison
https://www.justice.gouv.fr/actualites/actualite/immobilier-penitentiaire-15000-places-plus-prisons
https://www.statistiques.developpement-durable.gouv.fr/construction-de-locaux-resultats-fin-janvier-2026-france-entiere
https://www.insee.fr/fr/statistiques/8671745
https://www.insee.fr/fr/statistiques/8906564</v>
      </c>
      <c r="GG139" s="529"/>
      <c r="GH139" s="563">
        <f t="shared" si="520"/>
        <v>131.57799199999999</v>
      </c>
      <c r="GI139" s="563">
        <f t="shared" si="451"/>
        <v>107.1</v>
      </c>
      <c r="GJ139" s="563">
        <f t="shared" si="521"/>
        <v>24.477992</v>
      </c>
      <c r="GK139" s="563">
        <f t="shared" si="522"/>
        <v>4332.3998149090912</v>
      </c>
      <c r="GL139" s="563">
        <f t="shared" si="452"/>
        <v>3487.909090909091</v>
      </c>
      <c r="GM139" s="563">
        <f t="shared" si="523"/>
        <v>844.49072399999989</v>
      </c>
      <c r="GN139" s="563">
        <f t="shared" si="524"/>
        <v>89.210492000000002</v>
      </c>
      <c r="GO139" s="563">
        <f t="shared" si="453"/>
        <v>64.732500000000002</v>
      </c>
      <c r="GP139" s="563">
        <f t="shared" si="525"/>
        <v>24.477992</v>
      </c>
      <c r="GQ139" s="563">
        <f t="shared" si="526"/>
        <v>1906.7128920000002</v>
      </c>
      <c r="GR139" s="563">
        <f t="shared" si="454"/>
        <v>1576.2600000000002</v>
      </c>
      <c r="GS139" s="563">
        <f t="shared" si="527"/>
        <v>330.45289200000002</v>
      </c>
      <c r="GT139" s="563">
        <f t="shared" si="528"/>
        <v>230.58962999999997</v>
      </c>
      <c r="GU139" s="563">
        <f t="shared" si="455"/>
        <v>191.24999999999997</v>
      </c>
      <c r="GV139" s="563">
        <f t="shared" si="529"/>
        <v>39.339629999999993</v>
      </c>
      <c r="GW139" s="563">
        <f t="shared" si="530"/>
        <v>944.21386999999982</v>
      </c>
      <c r="GX139" s="563">
        <f t="shared" si="456"/>
        <v>764.99999999999989</v>
      </c>
      <c r="GY139" s="563">
        <f t="shared" si="531"/>
        <v>179.21386999999999</v>
      </c>
      <c r="GZ139" s="563">
        <f t="shared" si="532"/>
        <v>0</v>
      </c>
      <c r="HA139" s="563">
        <f t="shared" si="457"/>
        <v>0</v>
      </c>
      <c r="HB139" s="563">
        <f t="shared" si="533"/>
        <v>0</v>
      </c>
      <c r="HC139" s="563">
        <f t="shared" si="534"/>
        <v>10.088428</v>
      </c>
      <c r="HD139" s="563">
        <f t="shared" si="458"/>
        <v>8.34</v>
      </c>
      <c r="HE139" s="563">
        <f t="shared" si="535"/>
        <v>1.7484279999999999</v>
      </c>
      <c r="HF139" s="563">
        <f t="shared" si="536"/>
        <v>70.758035745454549</v>
      </c>
      <c r="HG139" s="563">
        <f t="shared" si="459"/>
        <v>56.945454545454552</v>
      </c>
      <c r="HH139" s="563">
        <f t="shared" si="537"/>
        <v>13.812581199999999</v>
      </c>
      <c r="HI139" s="563">
        <f t="shared" si="538"/>
        <v>3.4736211999999997</v>
      </c>
      <c r="HJ139" s="563">
        <f t="shared" si="460"/>
        <v>2.7742499999999999</v>
      </c>
      <c r="HK139" s="563">
        <f t="shared" si="539"/>
        <v>0.69937119999999997</v>
      </c>
      <c r="HL139" s="563">
        <f t="shared" si="540"/>
        <v>6.5788996000000006</v>
      </c>
      <c r="HM139" s="563">
        <f t="shared" si="461"/>
        <v>5.3550000000000004</v>
      </c>
      <c r="HN139" s="563">
        <f t="shared" si="541"/>
        <v>1.2238996</v>
      </c>
      <c r="HO139" s="563">
        <f t="shared" si="542"/>
        <v>3303.1141000000007</v>
      </c>
      <c r="HP139" s="563">
        <f t="shared" si="462"/>
        <v>2734.8750000000005</v>
      </c>
      <c r="HQ139" s="563">
        <f t="shared" si="543"/>
        <v>568.23910000000001</v>
      </c>
      <c r="HR139" s="563">
        <f t="shared" si="544"/>
        <v>2350.777680727273</v>
      </c>
      <c r="HS139" s="563">
        <f t="shared" si="463"/>
        <v>1850.727272727273</v>
      </c>
      <c r="HT139" s="563">
        <f t="shared" si="545"/>
        <v>500.050408</v>
      </c>
      <c r="HU139" s="563">
        <f t="shared" si="546"/>
        <v>339.23869200000001</v>
      </c>
      <c r="HV139" s="563">
        <f t="shared" si="464"/>
        <v>271.05</v>
      </c>
      <c r="HW139" s="563">
        <f t="shared" si="547"/>
        <v>68.188692000000003</v>
      </c>
      <c r="HX139" s="544"/>
      <c r="HY139" s="568">
        <f t="shared" si="548"/>
        <v>23463</v>
      </c>
      <c r="HZ139" s="568">
        <f t="shared" si="549"/>
        <v>3534.9418999999998</v>
      </c>
      <c r="IA139" s="568">
        <f t="shared" si="550"/>
        <v>16013.213100000001</v>
      </c>
      <c r="IB139" s="568">
        <f t="shared" si="551"/>
        <v>3914.8449999999998</v>
      </c>
      <c r="IC139" s="568">
        <f t="shared" si="552"/>
        <v>0</v>
      </c>
      <c r="ID139" s="568">
        <f t="shared" si="553"/>
        <v>0</v>
      </c>
      <c r="IE139" s="568">
        <f t="shared" si="554"/>
        <v>11122.31856818182</v>
      </c>
      <c r="IF139" s="568">
        <f t="shared" si="555"/>
        <v>800.56844097954558</v>
      </c>
      <c r="IG139" s="568">
        <f t="shared" si="556"/>
        <v>7030.5895365681827</v>
      </c>
      <c r="IH139" s="568">
        <f t="shared" si="557"/>
        <v>3291.160590634091</v>
      </c>
      <c r="II139" s="568">
        <f t="shared" si="558"/>
        <v>0</v>
      </c>
      <c r="IJ139" s="568">
        <f t="shared" si="559"/>
        <v>0</v>
      </c>
      <c r="IK139" s="868">
        <v>4.58</v>
      </c>
      <c r="IL139" s="569" t="s">
        <v>2701</v>
      </c>
      <c r="IM139" s="570" t="s">
        <v>5027</v>
      </c>
      <c r="IN139" s="529"/>
      <c r="IO139" s="742">
        <v>0.1137</v>
      </c>
      <c r="IP139" s="742">
        <v>0.68020000000000003</v>
      </c>
      <c r="IQ139" s="742">
        <v>0.20610000000000001</v>
      </c>
      <c r="IR139" s="742">
        <v>0</v>
      </c>
      <c r="IS139" s="742">
        <v>0</v>
      </c>
      <c r="IT139" s="742">
        <v>5.0599999999999999E-2</v>
      </c>
      <c r="IU139" s="742">
        <v>0.59909999999999997</v>
      </c>
      <c r="IV139" s="742">
        <v>0.3503</v>
      </c>
      <c r="IW139" s="742">
        <v>0</v>
      </c>
      <c r="IX139" s="742">
        <v>0</v>
      </c>
      <c r="IY139" s="742">
        <v>0.21790000000000001</v>
      </c>
      <c r="IZ139" s="742">
        <v>0.67530000000000001</v>
      </c>
      <c r="JA139" s="742">
        <v>0.10680000000000001</v>
      </c>
      <c r="JB139" s="742">
        <v>0</v>
      </c>
      <c r="JC139" s="742">
        <v>0</v>
      </c>
      <c r="JD139" s="742">
        <v>0.11169999999999999</v>
      </c>
      <c r="JE139" s="742">
        <v>0.67910000000000004</v>
      </c>
      <c r="JF139" s="742">
        <v>0.2092</v>
      </c>
      <c r="JG139" s="742">
        <v>0</v>
      </c>
      <c r="JH139" s="742">
        <v>0</v>
      </c>
      <c r="JI139" s="742">
        <v>0.32829999999999998</v>
      </c>
      <c r="JJ139" s="742">
        <v>0.61319999999999997</v>
      </c>
      <c r="JK139" s="742">
        <v>5.8500000000000003E-2</v>
      </c>
      <c r="JL139" s="742">
        <v>0</v>
      </c>
      <c r="JM139" s="742">
        <v>0</v>
      </c>
      <c r="JN139" s="742">
        <v>0.21129999999999999</v>
      </c>
      <c r="JO139" s="742">
        <v>0.63600000000000001</v>
      </c>
      <c r="JP139" s="742">
        <v>0.1527</v>
      </c>
      <c r="JQ139" s="742">
        <v>0</v>
      </c>
      <c r="JR139" s="742">
        <v>0</v>
      </c>
      <c r="JS139" s="742">
        <v>0.17480000000000001</v>
      </c>
      <c r="JT139" s="742">
        <v>0.68740000000000001</v>
      </c>
      <c r="JU139" s="742">
        <v>0.13780000000000001</v>
      </c>
      <c r="JV139" s="742">
        <v>0</v>
      </c>
      <c r="JW139" s="742">
        <v>0</v>
      </c>
      <c r="JX139" s="742">
        <v>8.5099999999999995E-2</v>
      </c>
      <c r="JY139" s="742">
        <v>0.65839999999999999</v>
      </c>
      <c r="JZ139" s="742">
        <v>0.25650000000000001</v>
      </c>
      <c r="KA139" s="742">
        <v>0</v>
      </c>
      <c r="KB139" s="742">
        <v>0</v>
      </c>
      <c r="KC139" s="657"/>
      <c r="KD139" s="832" t="s">
        <v>2718</v>
      </c>
      <c r="KE139" s="832" t="s">
        <v>2718</v>
      </c>
      <c r="KF139" s="869">
        <v>4.7300000000000004</v>
      </c>
      <c r="KG139" s="832" t="s">
        <v>2719</v>
      </c>
      <c r="KH139" s="833" t="s">
        <v>5028</v>
      </c>
      <c r="KI139" s="832" t="s">
        <v>2909</v>
      </c>
      <c r="KJ139" s="833" t="s">
        <v>5029</v>
      </c>
    </row>
    <row r="140" spans="1:383" ht="48" hidden="1" customHeight="1">
      <c r="A140" s="273">
        <f t="shared" si="560"/>
        <v>133</v>
      </c>
      <c r="B140" s="274" t="s">
        <v>4908</v>
      </c>
      <c r="C140" s="274" t="s">
        <v>88</v>
      </c>
      <c r="D140" s="274" t="s">
        <v>2007</v>
      </c>
      <c r="E140" s="275" t="s">
        <v>2117</v>
      </c>
      <c r="F140" s="275" t="s">
        <v>5014</v>
      </c>
      <c r="G140" s="275" t="s">
        <v>2121</v>
      </c>
      <c r="H140" s="275" t="s">
        <v>2096</v>
      </c>
      <c r="I140" s="276" t="s">
        <v>5030</v>
      </c>
      <c r="J140" s="276" t="s">
        <v>5031</v>
      </c>
      <c r="K140" s="277" t="s">
        <v>2109</v>
      </c>
      <c r="L140" s="277" t="s">
        <v>2109</v>
      </c>
      <c r="M140" s="277" t="s">
        <v>2603</v>
      </c>
      <c r="N140" s="277" t="s">
        <v>2099</v>
      </c>
      <c r="O140" s="275" t="s">
        <v>2616</v>
      </c>
      <c r="P140" s="276"/>
      <c r="Q140" s="270">
        <v>1</v>
      </c>
      <c r="R140" s="278">
        <v>12000</v>
      </c>
      <c r="S140" s="279">
        <v>23</v>
      </c>
      <c r="T140" s="279">
        <v>34</v>
      </c>
      <c r="U140" s="279">
        <v>24</v>
      </c>
      <c r="V140" s="279">
        <v>25</v>
      </c>
      <c r="W140" s="279">
        <v>25</v>
      </c>
      <c r="X140" s="279">
        <v>25</v>
      </c>
      <c r="Y140" s="279">
        <v>25</v>
      </c>
      <c r="Z140" s="279">
        <v>25</v>
      </c>
      <c r="AA140" s="279">
        <v>25</v>
      </c>
      <c r="AB140" s="279">
        <v>25</v>
      </c>
      <c r="AC140" s="279">
        <v>25</v>
      </c>
      <c r="AD140" s="279">
        <v>25</v>
      </c>
      <c r="AE140" s="279">
        <v>25</v>
      </c>
      <c r="AF140" s="279">
        <v>25</v>
      </c>
      <c r="AG140" s="279">
        <v>25</v>
      </c>
      <c r="AH140" s="279">
        <v>25</v>
      </c>
      <c r="AI140" s="279">
        <v>24</v>
      </c>
      <c r="AJ140" s="279">
        <v>24</v>
      </c>
      <c r="AK140" s="279">
        <v>24</v>
      </c>
      <c r="AL140" s="276" t="s">
        <v>5032</v>
      </c>
      <c r="AM140" s="276" t="s">
        <v>5018</v>
      </c>
      <c r="AN140" s="276" t="s">
        <v>3393</v>
      </c>
      <c r="AO140" s="657"/>
      <c r="AP140" s="278">
        <v>350</v>
      </c>
      <c r="AQ140" s="278">
        <v>262</v>
      </c>
      <c r="AR140" s="278">
        <v>70</v>
      </c>
      <c r="AS140" s="278">
        <v>18</v>
      </c>
      <c r="AT140" s="657"/>
      <c r="AU140" s="281" t="s">
        <v>5033</v>
      </c>
      <c r="AV140" s="296" t="s">
        <v>5034</v>
      </c>
      <c r="AW140" s="296" t="s">
        <v>5035</v>
      </c>
      <c r="AX140" s="276" t="s">
        <v>4918</v>
      </c>
      <c r="AY140" s="657"/>
      <c r="AZ140" s="947">
        <v>185</v>
      </c>
      <c r="BA140" s="947">
        <v>40</v>
      </c>
      <c r="BB140" s="947">
        <v>2</v>
      </c>
      <c r="BC140" s="947">
        <v>175</v>
      </c>
      <c r="BD140" s="826">
        <f t="shared" si="465"/>
        <v>10050</v>
      </c>
      <c r="BE140" s="283">
        <f t="shared" si="466"/>
        <v>4625</v>
      </c>
      <c r="BF140" s="283">
        <f t="shared" si="467"/>
        <v>1000</v>
      </c>
      <c r="BG140" s="283">
        <f t="shared" si="468"/>
        <v>50</v>
      </c>
      <c r="BH140" s="283">
        <f t="shared" si="469"/>
        <v>4375</v>
      </c>
      <c r="BI140" s="826">
        <f t="shared" si="470"/>
        <v>9648</v>
      </c>
      <c r="BJ140" s="283">
        <f t="shared" si="471"/>
        <v>4440</v>
      </c>
      <c r="BK140" s="283">
        <f t="shared" si="472"/>
        <v>960</v>
      </c>
      <c r="BL140" s="283">
        <f t="shared" si="473"/>
        <v>48</v>
      </c>
      <c r="BM140" s="283">
        <f t="shared" si="474"/>
        <v>4200</v>
      </c>
      <c r="BN140" s="657"/>
      <c r="BO140" s="305">
        <v>0.02</v>
      </c>
      <c r="BP140" s="305">
        <v>0.7</v>
      </c>
      <c r="BQ140" s="305">
        <v>0.01</v>
      </c>
      <c r="BR140" s="581">
        <v>0.27</v>
      </c>
      <c r="BS140" s="706">
        <v>0.02</v>
      </c>
      <c r="BT140" s="305">
        <v>0.69</v>
      </c>
      <c r="BU140" s="305">
        <v>0.02</v>
      </c>
      <c r="BV140" s="581">
        <v>0.27</v>
      </c>
      <c r="BW140" s="713">
        <v>0.2</v>
      </c>
      <c r="BX140" s="306">
        <v>0.8</v>
      </c>
      <c r="BY140" s="590"/>
      <c r="BZ140" s="713">
        <v>0.18</v>
      </c>
      <c r="CA140" s="306">
        <v>0.82</v>
      </c>
      <c r="CB140" s="590"/>
      <c r="CC140" s="706">
        <v>0.1</v>
      </c>
      <c r="CD140" s="305">
        <v>0.8</v>
      </c>
      <c r="CE140" s="305">
        <v>0.03</v>
      </c>
      <c r="CF140" s="581">
        <v>7.0000000000000007E-2</v>
      </c>
      <c r="CG140" s="706">
        <v>0.1</v>
      </c>
      <c r="CH140" s="305">
        <v>0.79</v>
      </c>
      <c r="CI140" s="305">
        <v>0.04</v>
      </c>
      <c r="CJ140" s="581">
        <v>7.0000000000000007E-2</v>
      </c>
      <c r="CK140" s="719">
        <v>0.45</v>
      </c>
      <c r="CL140" s="307">
        <v>0.5</v>
      </c>
      <c r="CM140" s="723">
        <v>0.05</v>
      </c>
      <c r="CN140" s="719">
        <v>0.4</v>
      </c>
      <c r="CO140" s="307">
        <v>0.54</v>
      </c>
      <c r="CP140" s="723">
        <v>0.06</v>
      </c>
      <c r="CQ140" s="657"/>
      <c r="CR140" s="804">
        <v>10</v>
      </c>
      <c r="CS140" s="805">
        <v>11</v>
      </c>
      <c r="CT140" s="805">
        <v>8</v>
      </c>
      <c r="CU140" s="806">
        <v>9</v>
      </c>
      <c r="CV140" s="804">
        <v>10</v>
      </c>
      <c r="CW140" s="805">
        <v>10</v>
      </c>
      <c r="CX140" s="806">
        <v>8</v>
      </c>
      <c r="CY140" s="804">
        <v>9</v>
      </c>
      <c r="CZ140" s="805">
        <v>11</v>
      </c>
      <c r="DA140" s="805">
        <v>8</v>
      </c>
      <c r="DB140" s="806">
        <v>10</v>
      </c>
      <c r="DC140" s="804">
        <v>10</v>
      </c>
      <c r="DD140" s="805">
        <v>11</v>
      </c>
      <c r="DE140" s="806">
        <v>9</v>
      </c>
      <c r="DF140" s="609" t="s">
        <v>5036</v>
      </c>
      <c r="DG140" s="657"/>
      <c r="DH140" s="308">
        <f t="shared" si="475"/>
        <v>92.5</v>
      </c>
      <c r="DI140" s="308">
        <f t="shared" si="476"/>
        <v>3237.5</v>
      </c>
      <c r="DJ140" s="308">
        <f t="shared" si="477"/>
        <v>46.25</v>
      </c>
      <c r="DK140" s="308">
        <f t="shared" si="478"/>
        <v>1248.75</v>
      </c>
      <c r="DL140" s="287" t="s">
        <v>5037</v>
      </c>
      <c r="DM140" s="308">
        <f t="shared" si="479"/>
        <v>88.8</v>
      </c>
      <c r="DN140" s="308">
        <f t="shared" si="480"/>
        <v>3063.6</v>
      </c>
      <c r="DO140" s="308">
        <f t="shared" si="481"/>
        <v>88.8</v>
      </c>
      <c r="DP140" s="308">
        <f t="shared" si="482"/>
        <v>1198.8000000000002</v>
      </c>
      <c r="DQ140" s="289" t="s">
        <v>3399</v>
      </c>
      <c r="DR140" s="657"/>
      <c r="DS140" s="308">
        <f t="shared" si="483"/>
        <v>200</v>
      </c>
      <c r="DT140" s="308">
        <f t="shared" si="484"/>
        <v>800</v>
      </c>
      <c r="DU140" s="308">
        <f t="shared" si="485"/>
        <v>0</v>
      </c>
      <c r="DV140" s="289" t="s">
        <v>5038</v>
      </c>
      <c r="DW140" s="308">
        <f t="shared" si="486"/>
        <v>172.79999999999998</v>
      </c>
      <c r="DX140" s="308">
        <f t="shared" si="487"/>
        <v>787.19999999999993</v>
      </c>
      <c r="DY140" s="308">
        <f t="shared" si="488"/>
        <v>0</v>
      </c>
      <c r="DZ140" s="289" t="s">
        <v>3401</v>
      </c>
      <c r="EA140" s="657"/>
      <c r="EB140" s="308">
        <f t="shared" si="489"/>
        <v>5</v>
      </c>
      <c r="EC140" s="308">
        <f t="shared" si="490"/>
        <v>40</v>
      </c>
      <c r="ED140" s="308">
        <f t="shared" si="491"/>
        <v>1.5</v>
      </c>
      <c r="EE140" s="308">
        <f t="shared" si="492"/>
        <v>3.5000000000000004</v>
      </c>
      <c r="EF140" s="289" t="s">
        <v>5039</v>
      </c>
      <c r="EG140" s="308">
        <f t="shared" si="493"/>
        <v>4.8000000000000007</v>
      </c>
      <c r="EH140" s="308">
        <f t="shared" si="494"/>
        <v>37.92</v>
      </c>
      <c r="EI140" s="308">
        <f t="shared" si="495"/>
        <v>1.92</v>
      </c>
      <c r="EJ140" s="308">
        <f t="shared" si="496"/>
        <v>3.3600000000000003</v>
      </c>
      <c r="EK140" s="309" t="s">
        <v>3403</v>
      </c>
      <c r="EL140" s="657"/>
      <c r="EM140" s="308">
        <f t="shared" si="497"/>
        <v>1968.75</v>
      </c>
      <c r="EN140" s="310">
        <f t="shared" si="498"/>
        <v>2187.5</v>
      </c>
      <c r="EO140" s="310">
        <f t="shared" si="499"/>
        <v>218.75</v>
      </c>
      <c r="EP140" s="289" t="s">
        <v>5040</v>
      </c>
      <c r="EQ140" s="308">
        <f t="shared" si="500"/>
        <v>1680</v>
      </c>
      <c r="ER140" s="310">
        <f t="shared" si="501"/>
        <v>2268</v>
      </c>
      <c r="ES140" s="310">
        <f t="shared" si="502"/>
        <v>252</v>
      </c>
      <c r="ET140" s="289" t="s">
        <v>3405</v>
      </c>
      <c r="EU140" s="657"/>
      <c r="EV140" s="728">
        <f t="shared" si="503"/>
        <v>0.81078583830572548</v>
      </c>
      <c r="EW140" s="728">
        <f t="shared" si="504"/>
        <v>0.18921416169427455</v>
      </c>
      <c r="EX140" s="311">
        <f t="shared" si="505"/>
        <v>5399.6116931818178</v>
      </c>
      <c r="EY140" s="311">
        <f t="shared" si="506"/>
        <v>4377.9286931818178</v>
      </c>
      <c r="EZ140" s="311">
        <f t="shared" si="507"/>
        <v>1021.683</v>
      </c>
      <c r="FA140" s="311">
        <f t="shared" si="508"/>
        <v>2486.6249431818183</v>
      </c>
      <c r="FB140" s="311">
        <f t="shared" si="509"/>
        <v>2016.4474431818182</v>
      </c>
      <c r="FC140" s="311">
        <f t="shared" si="510"/>
        <v>470.17750000000001</v>
      </c>
      <c r="FD140" s="311">
        <f t="shared" si="511"/>
        <v>551.66</v>
      </c>
      <c r="FE140" s="311">
        <f t="shared" si="512"/>
        <v>450</v>
      </c>
      <c r="FF140" s="311">
        <f t="shared" si="513"/>
        <v>101.66</v>
      </c>
      <c r="FG140" s="311">
        <f t="shared" si="514"/>
        <v>26.365386363636361</v>
      </c>
      <c r="FH140" s="311">
        <f t="shared" si="515"/>
        <v>21.282386363636363</v>
      </c>
      <c r="FI140" s="311">
        <f t="shared" si="516"/>
        <v>5.0830000000000002</v>
      </c>
      <c r="FJ140" s="311">
        <f t="shared" si="517"/>
        <v>2334.9613636363633</v>
      </c>
      <c r="FK140" s="311">
        <f t="shared" si="518"/>
        <v>1890.1988636363635</v>
      </c>
      <c r="FL140" s="311">
        <f t="shared" si="519"/>
        <v>444.76249999999999</v>
      </c>
      <c r="FM140" s="657"/>
      <c r="FN140" s="293" t="s">
        <v>2649</v>
      </c>
      <c r="FO140" s="728">
        <v>0.10166</v>
      </c>
      <c r="FP140" s="729">
        <v>0.9</v>
      </c>
      <c r="FQ140" s="294" t="s">
        <v>3406</v>
      </c>
      <c r="FR140" s="657"/>
      <c r="FS140" s="865">
        <v>3.62</v>
      </c>
      <c r="FT140" s="312">
        <f>RANK($FS140,$FS$8:$FS$154,0)+COUNTIF($FS$8:$FS140,$FS140)-1</f>
        <v>26</v>
      </c>
      <c r="FU140" s="865">
        <v>4.32</v>
      </c>
      <c r="FV140" s="312">
        <f>RANK($FU140,$FU$8:$FU$154,0)+COUNTIF($FU$8:$FU140,$FU140)-1</f>
        <v>27</v>
      </c>
      <c r="FW140" s="865">
        <v>2.76</v>
      </c>
      <c r="FX140" s="312">
        <f>RANK($FW140,$FW$8:$FW$154,0)+COUNTIF($FW$8:$FW140,$FW140)-1</f>
        <v>14</v>
      </c>
      <c r="FY140" s="657"/>
      <c r="FZ140" s="296" t="s">
        <v>5025</v>
      </c>
      <c r="GA140" s="296" t="s">
        <v>5041</v>
      </c>
      <c r="GB140" s="296" t="s">
        <v>3409</v>
      </c>
      <c r="GC140" s="296" t="s">
        <v>3410</v>
      </c>
      <c r="GD140" s="296" t="s">
        <v>3411</v>
      </c>
      <c r="GE140" s="296" t="s">
        <v>3412</v>
      </c>
      <c r="GF140" s="296" t="str">
        <f t="shared" si="561"/>
        <v>https://www.justice.gouv.fr/presentation-loi-dorientation-programmation-ministere-justice-2023-2027
https://www.justice.gouv.fr/ministere-justice/budget-justice
https://www.justice.gouv.fr/documentation/ressources/rapport-2024-loi-dorientation-programmation-du-ministere-justice-2023-2027
https://www.justice.gouv.fr/plan-15-000-places-prison
https://www.justice.gouv.fr/actualites/actualite/immobilier-penitentiaire-15000-places-plus-prisons
https://www.statistiques.developpement-durable.gouv.fr/construction-de-locaux-resultats-fin-janvier-2026-france-entiere
https://www.insee.fr/fr/statistiques/8671745
https://www.insee.fr/fr/statistiques/8906564</v>
      </c>
      <c r="GG140" s="657"/>
      <c r="GH140" s="311">
        <f t="shared" si="520"/>
        <v>51.028550000000003</v>
      </c>
      <c r="GI140" s="311">
        <f t="shared" si="451"/>
        <v>41.625</v>
      </c>
      <c r="GJ140" s="311">
        <f t="shared" si="521"/>
        <v>9.403550000000001</v>
      </c>
      <c r="GK140" s="311">
        <f t="shared" si="522"/>
        <v>1648.8542931818183</v>
      </c>
      <c r="GL140" s="311">
        <f t="shared" si="452"/>
        <v>1324.4318181818182</v>
      </c>
      <c r="GM140" s="311">
        <f t="shared" si="523"/>
        <v>324.42247499999996</v>
      </c>
      <c r="GN140" s="311">
        <f t="shared" si="524"/>
        <v>35.419175000000003</v>
      </c>
      <c r="GO140" s="311">
        <f t="shared" si="453"/>
        <v>26.015625</v>
      </c>
      <c r="GP140" s="311">
        <f t="shared" si="525"/>
        <v>9.403550000000001</v>
      </c>
      <c r="GQ140" s="311">
        <f t="shared" si="526"/>
        <v>751.32292500000005</v>
      </c>
      <c r="GR140" s="311">
        <f t="shared" si="454"/>
        <v>624.375</v>
      </c>
      <c r="GS140" s="311">
        <f t="shared" si="527"/>
        <v>126.94792500000001</v>
      </c>
      <c r="GT140" s="311">
        <f t="shared" si="528"/>
        <v>108.2988</v>
      </c>
      <c r="GU140" s="311">
        <f t="shared" si="455"/>
        <v>90</v>
      </c>
      <c r="GV140" s="311">
        <f t="shared" si="529"/>
        <v>18.2988</v>
      </c>
      <c r="GW140" s="311">
        <f t="shared" si="530"/>
        <v>443.3612</v>
      </c>
      <c r="GX140" s="311">
        <f t="shared" si="456"/>
        <v>360</v>
      </c>
      <c r="GY140" s="311">
        <f t="shared" si="531"/>
        <v>83.361199999999997</v>
      </c>
      <c r="GZ140" s="311">
        <f t="shared" si="532"/>
        <v>0</v>
      </c>
      <c r="HA140" s="311">
        <f t="shared" si="457"/>
        <v>0</v>
      </c>
      <c r="HB140" s="311">
        <f t="shared" si="533"/>
        <v>0</v>
      </c>
      <c r="HC140" s="311">
        <f t="shared" si="534"/>
        <v>3.0083000000000002</v>
      </c>
      <c r="HD140" s="311">
        <f t="shared" si="458"/>
        <v>2.5</v>
      </c>
      <c r="HE140" s="311">
        <f t="shared" si="535"/>
        <v>0.50830000000000009</v>
      </c>
      <c r="HF140" s="311">
        <f t="shared" si="536"/>
        <v>20.379206363636364</v>
      </c>
      <c r="HG140" s="311">
        <f t="shared" si="459"/>
        <v>16.363636363636363</v>
      </c>
      <c r="HH140" s="311">
        <f t="shared" si="537"/>
        <v>4.0155700000000003</v>
      </c>
      <c r="HI140" s="311">
        <f t="shared" si="538"/>
        <v>1.0470699999999999</v>
      </c>
      <c r="HJ140" s="311">
        <f t="shared" si="460"/>
        <v>0.84375</v>
      </c>
      <c r="HK140" s="311">
        <f t="shared" si="539"/>
        <v>0.20332</v>
      </c>
      <c r="HL140" s="311">
        <f t="shared" si="540"/>
        <v>1.9308100000000001</v>
      </c>
      <c r="HM140" s="311">
        <f t="shared" si="461"/>
        <v>1.5750000000000002</v>
      </c>
      <c r="HN140" s="311">
        <f t="shared" si="541"/>
        <v>0.35581000000000007</v>
      </c>
      <c r="HO140" s="311">
        <f t="shared" si="542"/>
        <v>1063.8425</v>
      </c>
      <c r="HP140" s="311">
        <f t="shared" si="462"/>
        <v>885.9375</v>
      </c>
      <c r="HQ140" s="311">
        <f t="shared" si="543"/>
        <v>177.905</v>
      </c>
      <c r="HR140" s="311">
        <f t="shared" si="544"/>
        <v>1135.0581136363635</v>
      </c>
      <c r="HS140" s="311">
        <f t="shared" si="463"/>
        <v>894.88636363636351</v>
      </c>
      <c r="HT140" s="311">
        <f t="shared" si="545"/>
        <v>240.17175</v>
      </c>
      <c r="HU140" s="311">
        <f t="shared" si="546"/>
        <v>136.06074999999998</v>
      </c>
      <c r="HV140" s="311">
        <f t="shared" si="464"/>
        <v>109.375</v>
      </c>
      <c r="HW140" s="311">
        <f t="shared" si="547"/>
        <v>26.685749999999999</v>
      </c>
      <c r="HY140" s="313">
        <f t="shared" si="548"/>
        <v>10050</v>
      </c>
      <c r="HZ140" s="313">
        <f t="shared" si="549"/>
        <v>1525.5674999999999</v>
      </c>
      <c r="IA140" s="313">
        <f t="shared" si="550"/>
        <v>6857.59</v>
      </c>
      <c r="IB140" s="313">
        <f t="shared" si="551"/>
        <v>1666.8425</v>
      </c>
      <c r="IC140" s="313">
        <f t="shared" si="552"/>
        <v>0</v>
      </c>
      <c r="ID140" s="313">
        <f t="shared" si="553"/>
        <v>0</v>
      </c>
      <c r="IE140" s="313">
        <f t="shared" si="554"/>
        <v>4377.9286931818187</v>
      </c>
      <c r="IF140" s="313">
        <f t="shared" si="555"/>
        <v>317.65013215909084</v>
      </c>
      <c r="IG140" s="313">
        <f t="shared" si="556"/>
        <v>2771.6911927556821</v>
      </c>
      <c r="IH140" s="313">
        <f t="shared" si="557"/>
        <v>1288.5873682670453</v>
      </c>
      <c r="II140" s="313">
        <f t="shared" si="558"/>
        <v>0</v>
      </c>
      <c r="IJ140" s="313">
        <f t="shared" si="559"/>
        <v>0</v>
      </c>
      <c r="IK140" s="866">
        <v>4.58</v>
      </c>
      <c r="IL140" s="314" t="s">
        <v>2701</v>
      </c>
      <c r="IM140" s="299" t="s">
        <v>5027</v>
      </c>
      <c r="IN140" s="657"/>
      <c r="IO140" s="730">
        <v>0.1137</v>
      </c>
      <c r="IP140" s="730">
        <v>0.68020000000000003</v>
      </c>
      <c r="IQ140" s="730">
        <v>0.20610000000000001</v>
      </c>
      <c r="IR140" s="730">
        <v>0</v>
      </c>
      <c r="IS140" s="730">
        <v>0</v>
      </c>
      <c r="IT140" s="730">
        <v>5.0599999999999999E-2</v>
      </c>
      <c r="IU140" s="730">
        <v>0.59909999999999997</v>
      </c>
      <c r="IV140" s="730">
        <v>0.3503</v>
      </c>
      <c r="IW140" s="730">
        <v>0</v>
      </c>
      <c r="IX140" s="730">
        <v>0</v>
      </c>
      <c r="IY140" s="730">
        <v>0.21790000000000001</v>
      </c>
      <c r="IZ140" s="730">
        <v>0.67530000000000001</v>
      </c>
      <c r="JA140" s="730">
        <v>0.10680000000000001</v>
      </c>
      <c r="JB140" s="730">
        <v>0</v>
      </c>
      <c r="JC140" s="730">
        <v>0</v>
      </c>
      <c r="JD140" s="730">
        <v>0.11169999999999999</v>
      </c>
      <c r="JE140" s="730">
        <v>0.67910000000000004</v>
      </c>
      <c r="JF140" s="730">
        <v>0.2092</v>
      </c>
      <c r="JG140" s="730">
        <v>0</v>
      </c>
      <c r="JH140" s="730">
        <v>0</v>
      </c>
      <c r="JI140" s="730">
        <v>0.34110000000000001</v>
      </c>
      <c r="JJ140" s="730">
        <v>0.57979999999999998</v>
      </c>
      <c r="JK140" s="730">
        <v>7.9100000000000004E-2</v>
      </c>
      <c r="JL140" s="730">
        <v>0</v>
      </c>
      <c r="JM140" s="730">
        <v>0</v>
      </c>
      <c r="JN140" s="730">
        <v>0.21129999999999999</v>
      </c>
      <c r="JO140" s="730">
        <v>0.63600000000000001</v>
      </c>
      <c r="JP140" s="730">
        <v>0.1527</v>
      </c>
      <c r="JQ140" s="730">
        <v>0</v>
      </c>
      <c r="JR140" s="730">
        <v>0</v>
      </c>
      <c r="JS140" s="730">
        <v>0.17480000000000001</v>
      </c>
      <c r="JT140" s="730">
        <v>0.68740000000000001</v>
      </c>
      <c r="JU140" s="730">
        <v>0.13780000000000001</v>
      </c>
      <c r="JV140" s="730">
        <v>0</v>
      </c>
      <c r="JW140" s="730">
        <v>0</v>
      </c>
      <c r="JX140" s="730">
        <v>8.5099999999999995E-2</v>
      </c>
      <c r="JY140" s="730">
        <v>0.65839999999999999</v>
      </c>
      <c r="JZ140" s="730">
        <v>0.25650000000000001</v>
      </c>
      <c r="KA140" s="730">
        <v>0</v>
      </c>
      <c r="KB140" s="730">
        <v>0</v>
      </c>
      <c r="KC140" s="657"/>
      <c r="KD140" s="314" t="s">
        <v>2718</v>
      </c>
      <c r="KE140" s="314" t="s">
        <v>2718</v>
      </c>
      <c r="KF140" s="866">
        <v>4.68</v>
      </c>
      <c r="KG140" s="314" t="s">
        <v>2719</v>
      </c>
      <c r="KH140" s="315" t="s">
        <v>5028</v>
      </c>
      <c r="KI140" s="314" t="s">
        <v>2909</v>
      </c>
      <c r="KJ140" s="315" t="s">
        <v>5042</v>
      </c>
    </row>
    <row r="141" spans="1:383" ht="48" hidden="1" customHeight="1">
      <c r="A141" s="265">
        <f t="shared" si="560"/>
        <v>134</v>
      </c>
      <c r="B141" s="266" t="s">
        <v>4908</v>
      </c>
      <c r="C141" s="266" t="s">
        <v>88</v>
      </c>
      <c r="D141" s="624" t="s">
        <v>2009</v>
      </c>
      <c r="E141" s="267" t="s">
        <v>2117</v>
      </c>
      <c r="F141" s="267" t="s">
        <v>5014</v>
      </c>
      <c r="G141" s="267" t="s">
        <v>2121</v>
      </c>
      <c r="H141" s="267" t="s">
        <v>2096</v>
      </c>
      <c r="I141" s="268" t="s">
        <v>5043</v>
      </c>
      <c r="J141" s="268" t="s">
        <v>5044</v>
      </c>
      <c r="K141" s="269" t="s">
        <v>2109</v>
      </c>
      <c r="L141" s="269" t="s">
        <v>2109</v>
      </c>
      <c r="M141" s="269" t="s">
        <v>2603</v>
      </c>
      <c r="N141" s="269" t="s">
        <v>2099</v>
      </c>
      <c r="O141" s="267" t="s">
        <v>2616</v>
      </c>
      <c r="P141" s="268"/>
      <c r="Q141" s="270">
        <v>1</v>
      </c>
      <c r="R141" s="271">
        <v>14000</v>
      </c>
      <c r="S141" s="272">
        <v>6</v>
      </c>
      <c r="T141" s="272">
        <v>5</v>
      </c>
      <c r="U141" s="272">
        <v>6</v>
      </c>
      <c r="V141" s="272">
        <v>6</v>
      </c>
      <c r="W141" s="272">
        <v>6</v>
      </c>
      <c r="X141" s="272">
        <v>6</v>
      </c>
      <c r="Y141" s="272">
        <v>6</v>
      </c>
      <c r="Z141" s="272">
        <v>6</v>
      </c>
      <c r="AA141" s="272">
        <v>6</v>
      </c>
      <c r="AB141" s="272">
        <v>6</v>
      </c>
      <c r="AC141" s="272">
        <v>6</v>
      </c>
      <c r="AD141" s="272">
        <v>6</v>
      </c>
      <c r="AE141" s="272">
        <v>6</v>
      </c>
      <c r="AF141" s="272">
        <v>6</v>
      </c>
      <c r="AG141" s="272">
        <v>6</v>
      </c>
      <c r="AH141" s="272">
        <v>6</v>
      </c>
      <c r="AI141" s="272">
        <v>6</v>
      </c>
      <c r="AJ141" s="272">
        <v>6</v>
      </c>
      <c r="AK141" s="272">
        <v>6</v>
      </c>
      <c r="AL141" s="268" t="s">
        <v>5045</v>
      </c>
      <c r="AM141" s="268" t="s">
        <v>5046</v>
      </c>
      <c r="AN141" s="268" t="s">
        <v>3393</v>
      </c>
      <c r="AO141" s="657"/>
      <c r="AP141" s="271">
        <v>200</v>
      </c>
      <c r="AQ141" s="280">
        <v>150</v>
      </c>
      <c r="AR141" s="280">
        <v>40</v>
      </c>
      <c r="AS141" s="280">
        <v>10</v>
      </c>
      <c r="AT141" s="657"/>
      <c r="AU141" s="301" t="s">
        <v>5047</v>
      </c>
      <c r="AV141" s="572" t="s">
        <v>5048</v>
      </c>
      <c r="AW141" s="645" t="s">
        <v>5049</v>
      </c>
      <c r="AX141" s="290" t="s">
        <v>4918</v>
      </c>
      <c r="AY141" s="657"/>
      <c r="AZ141" s="948">
        <v>110</v>
      </c>
      <c r="BA141" s="948">
        <v>20</v>
      </c>
      <c r="BB141" s="948">
        <v>1</v>
      </c>
      <c r="BC141" s="948">
        <v>105</v>
      </c>
      <c r="BD141" s="825">
        <f t="shared" si="465"/>
        <v>1416</v>
      </c>
      <c r="BE141" s="304">
        <f t="shared" si="466"/>
        <v>660</v>
      </c>
      <c r="BF141" s="304">
        <f t="shared" si="467"/>
        <v>120</v>
      </c>
      <c r="BG141" s="304">
        <f t="shared" si="468"/>
        <v>6</v>
      </c>
      <c r="BH141" s="304">
        <f t="shared" si="469"/>
        <v>630</v>
      </c>
      <c r="BI141" s="825">
        <f t="shared" si="470"/>
        <v>1416</v>
      </c>
      <c r="BJ141" s="304">
        <f t="shared" si="471"/>
        <v>660</v>
      </c>
      <c r="BK141" s="304">
        <f t="shared" si="472"/>
        <v>120</v>
      </c>
      <c r="BL141" s="304">
        <f t="shared" si="473"/>
        <v>6</v>
      </c>
      <c r="BM141" s="304">
        <f t="shared" si="474"/>
        <v>630</v>
      </c>
      <c r="BN141" s="657"/>
      <c r="BO141" s="284">
        <v>0.02</v>
      </c>
      <c r="BP141" s="284">
        <v>0.7</v>
      </c>
      <c r="BQ141" s="284">
        <v>0.01</v>
      </c>
      <c r="BR141" s="710">
        <v>0.27</v>
      </c>
      <c r="BS141" s="707">
        <v>0.02</v>
      </c>
      <c r="BT141" s="284">
        <v>0.69</v>
      </c>
      <c r="BU141" s="284">
        <v>0.02</v>
      </c>
      <c r="BV141" s="710">
        <v>0.27</v>
      </c>
      <c r="BW141" s="714">
        <v>0.2</v>
      </c>
      <c r="BX141" s="285">
        <v>0.8</v>
      </c>
      <c r="BY141" s="717"/>
      <c r="BZ141" s="714">
        <v>0.18</v>
      </c>
      <c r="CA141" s="285">
        <v>0.82</v>
      </c>
      <c r="CB141" s="717"/>
      <c r="CC141" s="284">
        <v>0.1</v>
      </c>
      <c r="CD141" s="284">
        <v>0.8</v>
      </c>
      <c r="CE141" s="284">
        <v>0.03</v>
      </c>
      <c r="CF141" s="710">
        <v>7.0000000000000007E-2</v>
      </c>
      <c r="CG141" s="707">
        <v>0.1</v>
      </c>
      <c r="CH141" s="284">
        <v>0.79</v>
      </c>
      <c r="CI141" s="284">
        <v>0.04</v>
      </c>
      <c r="CJ141" s="710">
        <v>7.0000000000000007E-2</v>
      </c>
      <c r="CK141" s="720">
        <v>0.55000000000000004</v>
      </c>
      <c r="CL141" s="286">
        <v>0.4</v>
      </c>
      <c r="CM141" s="718">
        <v>0.05</v>
      </c>
      <c r="CN141" s="720">
        <v>0.5</v>
      </c>
      <c r="CO141" s="286">
        <v>0.44</v>
      </c>
      <c r="CP141" s="718">
        <v>0.06</v>
      </c>
      <c r="CQ141" s="657"/>
      <c r="CR141" s="807">
        <v>10</v>
      </c>
      <c r="CS141" s="808">
        <v>11</v>
      </c>
      <c r="CT141" s="808">
        <v>8</v>
      </c>
      <c r="CU141" s="809">
        <v>9</v>
      </c>
      <c r="CV141" s="807">
        <v>10</v>
      </c>
      <c r="CW141" s="808">
        <v>10</v>
      </c>
      <c r="CX141" s="809">
        <v>8</v>
      </c>
      <c r="CY141" s="807">
        <v>9</v>
      </c>
      <c r="CZ141" s="808">
        <v>11</v>
      </c>
      <c r="DA141" s="808">
        <v>8</v>
      </c>
      <c r="DB141" s="809">
        <v>10</v>
      </c>
      <c r="DC141" s="807">
        <v>10</v>
      </c>
      <c r="DD141" s="808">
        <v>11</v>
      </c>
      <c r="DE141" s="809">
        <v>9</v>
      </c>
      <c r="DF141" s="610" t="s">
        <v>5050</v>
      </c>
      <c r="DG141" s="657"/>
      <c r="DH141" s="288">
        <f t="shared" si="475"/>
        <v>13.200000000000001</v>
      </c>
      <c r="DI141" s="288">
        <f t="shared" si="476"/>
        <v>461.99999999999994</v>
      </c>
      <c r="DJ141" s="288">
        <f t="shared" si="477"/>
        <v>6.6000000000000005</v>
      </c>
      <c r="DK141" s="288">
        <f t="shared" si="478"/>
        <v>178.20000000000002</v>
      </c>
      <c r="DL141" s="560" t="s">
        <v>5021</v>
      </c>
      <c r="DM141" s="288">
        <f t="shared" si="479"/>
        <v>13.200000000000001</v>
      </c>
      <c r="DN141" s="288">
        <f t="shared" si="480"/>
        <v>455.4</v>
      </c>
      <c r="DO141" s="288">
        <f t="shared" si="481"/>
        <v>13.200000000000001</v>
      </c>
      <c r="DP141" s="288">
        <f t="shared" si="482"/>
        <v>178.20000000000002</v>
      </c>
      <c r="DQ141" s="561" t="s">
        <v>3399</v>
      </c>
      <c r="DR141" s="657"/>
      <c r="DS141" s="288">
        <f t="shared" si="483"/>
        <v>24</v>
      </c>
      <c r="DT141" s="288">
        <f t="shared" si="484"/>
        <v>96</v>
      </c>
      <c r="DU141" s="288">
        <f t="shared" si="485"/>
        <v>0</v>
      </c>
      <c r="DV141" s="561" t="s">
        <v>5022</v>
      </c>
      <c r="DW141" s="288">
        <f t="shared" si="486"/>
        <v>21.599999999999998</v>
      </c>
      <c r="DX141" s="288">
        <f t="shared" si="487"/>
        <v>98.399999999999991</v>
      </c>
      <c r="DY141" s="288">
        <f t="shared" si="488"/>
        <v>0</v>
      </c>
      <c r="DZ141" s="561" t="s">
        <v>3401</v>
      </c>
      <c r="EA141" s="657"/>
      <c r="EB141" s="288">
        <f t="shared" si="489"/>
        <v>0.60000000000000009</v>
      </c>
      <c r="EC141" s="288">
        <f t="shared" si="490"/>
        <v>4.8000000000000007</v>
      </c>
      <c r="ED141" s="288">
        <f t="shared" si="491"/>
        <v>0.18</v>
      </c>
      <c r="EE141" s="288">
        <f t="shared" si="492"/>
        <v>0.42000000000000004</v>
      </c>
      <c r="EF141" s="561" t="s">
        <v>5023</v>
      </c>
      <c r="EG141" s="288">
        <f t="shared" si="493"/>
        <v>0.60000000000000009</v>
      </c>
      <c r="EH141" s="288">
        <f t="shared" si="494"/>
        <v>4.74</v>
      </c>
      <c r="EI141" s="288">
        <f t="shared" si="495"/>
        <v>0.24</v>
      </c>
      <c r="EJ141" s="288">
        <f t="shared" si="496"/>
        <v>0.42000000000000004</v>
      </c>
      <c r="EK141" s="561" t="s">
        <v>3403</v>
      </c>
      <c r="EL141" s="657"/>
      <c r="EM141" s="288">
        <f t="shared" si="497"/>
        <v>346.5</v>
      </c>
      <c r="EN141" s="291">
        <f t="shared" si="498"/>
        <v>252</v>
      </c>
      <c r="EO141" s="291">
        <f t="shared" si="499"/>
        <v>31.5</v>
      </c>
      <c r="EP141" s="561" t="s">
        <v>5024</v>
      </c>
      <c r="EQ141" s="288">
        <f t="shared" si="500"/>
        <v>315</v>
      </c>
      <c r="ER141" s="291">
        <f t="shared" si="501"/>
        <v>277.2</v>
      </c>
      <c r="ES141" s="291">
        <f t="shared" si="502"/>
        <v>37.799999999999997</v>
      </c>
      <c r="ET141" s="561" t="s">
        <v>3405</v>
      </c>
      <c r="EU141" s="657"/>
      <c r="EV141" s="740">
        <f t="shared" si="503"/>
        <v>0.7951974898188453</v>
      </c>
      <c r="EW141" s="740">
        <f t="shared" si="504"/>
        <v>0.20480251018115472</v>
      </c>
      <c r="EX141" s="563">
        <f t="shared" si="505"/>
        <v>778.5138954545456</v>
      </c>
      <c r="EY141" s="563">
        <f t="shared" si="506"/>
        <v>619.07229545454561</v>
      </c>
      <c r="EZ141" s="563">
        <f t="shared" si="507"/>
        <v>159.44159999999999</v>
      </c>
      <c r="FA141" s="563">
        <f t="shared" si="508"/>
        <v>362.06850000000009</v>
      </c>
      <c r="FB141" s="563">
        <f t="shared" si="509"/>
        <v>287.75250000000005</v>
      </c>
      <c r="FC141" s="563">
        <f t="shared" si="510"/>
        <v>74.316000000000003</v>
      </c>
      <c r="FD141" s="563">
        <f t="shared" si="511"/>
        <v>67.512000000000015</v>
      </c>
      <c r="FE141" s="563">
        <f t="shared" si="512"/>
        <v>54.000000000000014</v>
      </c>
      <c r="FF141" s="563">
        <f t="shared" si="513"/>
        <v>13.512</v>
      </c>
      <c r="FG141" s="563">
        <f t="shared" si="514"/>
        <v>3.2294863636363642</v>
      </c>
      <c r="FH141" s="563">
        <f t="shared" si="515"/>
        <v>2.553886363636364</v>
      </c>
      <c r="FI141" s="563">
        <f t="shared" si="516"/>
        <v>0.67559999999999998</v>
      </c>
      <c r="FJ141" s="563">
        <f t="shared" si="517"/>
        <v>345.70390909090912</v>
      </c>
      <c r="FK141" s="563">
        <f t="shared" si="518"/>
        <v>274.76590909090913</v>
      </c>
      <c r="FL141" s="563">
        <f t="shared" si="519"/>
        <v>70.938000000000002</v>
      </c>
      <c r="FM141" s="529"/>
      <c r="FN141" s="564" t="s">
        <v>2649</v>
      </c>
      <c r="FO141" s="740">
        <v>0.11260000000000001</v>
      </c>
      <c r="FP141" s="741">
        <v>0.9</v>
      </c>
      <c r="FQ141" s="565" t="s">
        <v>3406</v>
      </c>
      <c r="FR141" s="529"/>
      <c r="FS141" s="867">
        <v>3.4</v>
      </c>
      <c r="FT141" s="566">
        <f>RANK($FS141,$FS$8:$FS$154,0)+COUNTIF($FS$8:$FS141,$FS141)-1</f>
        <v>57</v>
      </c>
      <c r="FU141" s="867">
        <v>4.33</v>
      </c>
      <c r="FV141" s="566">
        <f>RANK($FU141,$FU$8:$FU$154,0)+COUNTIF($FU$8:$FU141,$FU141)-1</f>
        <v>26</v>
      </c>
      <c r="FW141" s="867">
        <v>2.27</v>
      </c>
      <c r="FX141" s="566">
        <f>RANK($FW141,$FW$8:$FW$154,0)+COUNTIF($FW$8:$FW141,$FW141)-1</f>
        <v>63</v>
      </c>
      <c r="FY141" s="529"/>
      <c r="FZ141" s="567" t="s">
        <v>5051</v>
      </c>
      <c r="GA141" s="567" t="s">
        <v>5041</v>
      </c>
      <c r="GB141" s="567" t="s">
        <v>3409</v>
      </c>
      <c r="GC141" s="567" t="s">
        <v>3410</v>
      </c>
      <c r="GD141" s="567" t="s">
        <v>3411</v>
      </c>
      <c r="GE141" s="567" t="s">
        <v>3412</v>
      </c>
      <c r="GF141" s="567" t="str">
        <f t="shared" si="561"/>
        <v>https://www.justice.gouv.fr/presentation-loi-dorientation-programmation-ministere-justice-2023-2027
https://www.justice.gouv.fr/ministere-justice/budget-justice
https://www.justice.gouv.fr/documentation/ressources/rapport-2024-loi-dorientation-programmation-du-ministere-justice-2023-2027
https://www.justice.gouv.fr/plan-15-000-places-prison
https://www.justice.gouv.fr/actualites/actualite/immobilier-penitentiaire-15000-places-plus-prisons
https://www.statistiques.developpement-durable.gouv.fr/construction-de-locaux-resultats-fin-janvier-2026-france-entiere
https://www.insee.fr/fr/statistiques/8671745
https://www.insee.fr/fr/statistiques/8906564</v>
      </c>
      <c r="GG141" s="529"/>
      <c r="GH141" s="563">
        <f t="shared" si="520"/>
        <v>7.4263200000000014</v>
      </c>
      <c r="GI141" s="563">
        <f t="shared" si="451"/>
        <v>5.9400000000000013</v>
      </c>
      <c r="GJ141" s="563">
        <f t="shared" si="521"/>
        <v>1.4863200000000001</v>
      </c>
      <c r="GK141" s="563">
        <f t="shared" si="522"/>
        <v>240.27804</v>
      </c>
      <c r="GL141" s="563">
        <f t="shared" si="452"/>
        <v>189</v>
      </c>
      <c r="GM141" s="563">
        <f t="shared" si="523"/>
        <v>51.278039999999997</v>
      </c>
      <c r="GN141" s="563">
        <f t="shared" si="524"/>
        <v>5.1988200000000004</v>
      </c>
      <c r="GO141" s="563">
        <f t="shared" si="453"/>
        <v>3.7125000000000004</v>
      </c>
      <c r="GP141" s="563">
        <f t="shared" si="525"/>
        <v>1.4863200000000001</v>
      </c>
      <c r="GQ141" s="563">
        <f t="shared" si="526"/>
        <v>109.16532000000002</v>
      </c>
      <c r="GR141" s="563">
        <f t="shared" si="454"/>
        <v>89.100000000000023</v>
      </c>
      <c r="GS141" s="563">
        <f t="shared" si="527"/>
        <v>20.065320000000003</v>
      </c>
      <c r="GT141" s="563">
        <f t="shared" si="528"/>
        <v>13.232160000000002</v>
      </c>
      <c r="GU141" s="563">
        <f t="shared" si="455"/>
        <v>10.800000000000002</v>
      </c>
      <c r="GV141" s="563">
        <f t="shared" si="529"/>
        <v>2.4321600000000001</v>
      </c>
      <c r="GW141" s="563">
        <f t="shared" si="530"/>
        <v>54.279840000000007</v>
      </c>
      <c r="GX141" s="563">
        <f t="shared" si="456"/>
        <v>43.20000000000001</v>
      </c>
      <c r="GY141" s="563">
        <f t="shared" si="531"/>
        <v>11.079839999999999</v>
      </c>
      <c r="GZ141" s="563">
        <f t="shared" si="532"/>
        <v>0</v>
      </c>
      <c r="HA141" s="563">
        <f t="shared" si="457"/>
        <v>0</v>
      </c>
      <c r="HB141" s="563">
        <f t="shared" si="533"/>
        <v>0</v>
      </c>
      <c r="HC141" s="563">
        <f t="shared" si="534"/>
        <v>0.36756000000000011</v>
      </c>
      <c r="HD141" s="563">
        <f t="shared" si="458"/>
        <v>0.3000000000000001</v>
      </c>
      <c r="HE141" s="563">
        <f t="shared" si="535"/>
        <v>6.7559999999999995E-2</v>
      </c>
      <c r="HF141" s="563">
        <f t="shared" si="536"/>
        <v>2.4973603636363642</v>
      </c>
      <c r="HG141" s="563">
        <f t="shared" si="459"/>
        <v>1.9636363636363641</v>
      </c>
      <c r="HH141" s="563">
        <f t="shared" si="537"/>
        <v>0.53372399999999998</v>
      </c>
      <c r="HI141" s="563">
        <f t="shared" si="538"/>
        <v>0.128274</v>
      </c>
      <c r="HJ141" s="563">
        <f t="shared" si="460"/>
        <v>0.10125000000000001</v>
      </c>
      <c r="HK141" s="563">
        <f t="shared" si="539"/>
        <v>2.7023999999999999E-2</v>
      </c>
      <c r="HL141" s="563">
        <f t="shared" si="540"/>
        <v>0.23629200000000003</v>
      </c>
      <c r="HM141" s="563">
        <f t="shared" si="461"/>
        <v>0.18900000000000003</v>
      </c>
      <c r="HN141" s="563">
        <f t="shared" si="541"/>
        <v>4.7292000000000001E-2</v>
      </c>
      <c r="HO141" s="563">
        <f t="shared" si="542"/>
        <v>191.39400000000001</v>
      </c>
      <c r="HP141" s="563">
        <f t="shared" si="462"/>
        <v>155.92500000000001</v>
      </c>
      <c r="HQ141" s="563">
        <f t="shared" si="543"/>
        <v>35.469000000000001</v>
      </c>
      <c r="HR141" s="563">
        <f t="shared" si="544"/>
        <v>134.30362909090911</v>
      </c>
      <c r="HS141" s="563">
        <f t="shared" si="463"/>
        <v>103.09090909090911</v>
      </c>
      <c r="HT141" s="563">
        <f t="shared" si="545"/>
        <v>31.212720000000001</v>
      </c>
      <c r="HU141" s="563">
        <f t="shared" si="546"/>
        <v>20.006280000000004</v>
      </c>
      <c r="HV141" s="563">
        <f t="shared" si="464"/>
        <v>15.750000000000002</v>
      </c>
      <c r="HW141" s="563">
        <f t="shared" si="547"/>
        <v>4.2562800000000003</v>
      </c>
      <c r="HX141" s="544"/>
      <c r="HY141" s="568">
        <f t="shared" si="548"/>
        <v>1416</v>
      </c>
      <c r="HZ141" s="568">
        <f t="shared" si="549"/>
        <v>298.8288</v>
      </c>
      <c r="IA141" s="568">
        <f t="shared" si="550"/>
        <v>952.75319999999999</v>
      </c>
      <c r="IB141" s="568">
        <f t="shared" si="551"/>
        <v>164.41800000000001</v>
      </c>
      <c r="IC141" s="568">
        <f t="shared" si="552"/>
        <v>0</v>
      </c>
      <c r="ID141" s="568">
        <f t="shared" si="553"/>
        <v>0</v>
      </c>
      <c r="IE141" s="568">
        <f t="shared" si="554"/>
        <v>619.07229545454561</v>
      </c>
      <c r="IF141" s="568">
        <f t="shared" si="555"/>
        <v>66.426173700000021</v>
      </c>
      <c r="IG141" s="568">
        <f t="shared" si="556"/>
        <v>410.3378660931819</v>
      </c>
      <c r="IH141" s="568">
        <f t="shared" si="557"/>
        <v>142.30825566136366</v>
      </c>
      <c r="II141" s="568">
        <f t="shared" si="558"/>
        <v>0</v>
      </c>
      <c r="IJ141" s="568">
        <f t="shared" si="559"/>
        <v>0</v>
      </c>
      <c r="IK141" s="868">
        <v>4.58</v>
      </c>
      <c r="IL141" s="569" t="s">
        <v>2701</v>
      </c>
      <c r="IM141" s="570" t="s">
        <v>5027</v>
      </c>
      <c r="IN141" s="529"/>
      <c r="IO141" s="742">
        <v>0.16489999999999999</v>
      </c>
      <c r="IP141" s="742">
        <v>0.68869999999999998</v>
      </c>
      <c r="IQ141" s="742">
        <v>0.1464</v>
      </c>
      <c r="IR141" s="742">
        <v>0</v>
      </c>
      <c r="IS141" s="742">
        <v>0</v>
      </c>
      <c r="IT141" s="742">
        <v>7.6499999999999999E-2</v>
      </c>
      <c r="IU141" s="742">
        <v>0.64790000000000003</v>
      </c>
      <c r="IV141" s="742">
        <v>0.27560000000000001</v>
      </c>
      <c r="IW141" s="742">
        <v>0</v>
      </c>
      <c r="IX141" s="742">
        <v>0</v>
      </c>
      <c r="IY141" s="742">
        <v>0.29349999999999998</v>
      </c>
      <c r="IZ141" s="742">
        <v>0.63600000000000001</v>
      </c>
      <c r="JA141" s="742">
        <v>7.0499999999999993E-2</v>
      </c>
      <c r="JB141" s="742">
        <v>0</v>
      </c>
      <c r="JC141" s="742">
        <v>0</v>
      </c>
      <c r="JD141" s="742">
        <v>0.18229999999999999</v>
      </c>
      <c r="JE141" s="742">
        <v>0.63939999999999997</v>
      </c>
      <c r="JF141" s="742">
        <v>0.17829999999999999</v>
      </c>
      <c r="JG141" s="742">
        <v>0</v>
      </c>
      <c r="JH141" s="742">
        <v>0</v>
      </c>
      <c r="JI141" s="742">
        <v>0.4173</v>
      </c>
      <c r="JJ141" s="742">
        <v>0.50070000000000003</v>
      </c>
      <c r="JK141" s="742">
        <v>8.2000000000000003E-2</v>
      </c>
      <c r="JL141" s="742">
        <v>0</v>
      </c>
      <c r="JM141" s="742">
        <v>0</v>
      </c>
      <c r="JN141" s="742">
        <v>0.2918</v>
      </c>
      <c r="JO141" s="742">
        <v>0.56210000000000004</v>
      </c>
      <c r="JP141" s="742">
        <v>0.14610000000000001</v>
      </c>
      <c r="JQ141" s="742">
        <v>0</v>
      </c>
      <c r="JR141" s="742">
        <v>0</v>
      </c>
      <c r="JS141" s="742">
        <v>0.2417</v>
      </c>
      <c r="JT141" s="742">
        <v>0.66490000000000005</v>
      </c>
      <c r="JU141" s="742">
        <v>9.3399999999999997E-2</v>
      </c>
      <c r="JV141" s="742">
        <v>0</v>
      </c>
      <c r="JW141" s="742">
        <v>0</v>
      </c>
      <c r="JX141" s="742">
        <v>0.1231</v>
      </c>
      <c r="JY141" s="742">
        <v>0.68400000000000005</v>
      </c>
      <c r="JZ141" s="742">
        <v>0.19289999999999999</v>
      </c>
      <c r="KA141" s="742">
        <v>0</v>
      </c>
      <c r="KB141" s="742">
        <v>0</v>
      </c>
      <c r="KC141" s="657"/>
      <c r="KD141" s="832" t="s">
        <v>2718</v>
      </c>
      <c r="KE141" s="832" t="s">
        <v>2718</v>
      </c>
      <c r="KF141" s="869">
        <v>4.5999999999999996</v>
      </c>
      <c r="KG141" s="832" t="s">
        <v>2719</v>
      </c>
      <c r="KH141" s="833" t="s">
        <v>5028</v>
      </c>
      <c r="KI141" s="832" t="s">
        <v>2909</v>
      </c>
      <c r="KJ141" s="833" t="s">
        <v>5052</v>
      </c>
    </row>
    <row r="142" spans="1:383" ht="48" hidden="1" customHeight="1">
      <c r="A142" s="273">
        <f t="shared" si="560"/>
        <v>135</v>
      </c>
      <c r="B142" s="274" t="s">
        <v>4908</v>
      </c>
      <c r="C142" s="274" t="s">
        <v>88</v>
      </c>
      <c r="D142" s="274" t="s">
        <v>2010</v>
      </c>
      <c r="E142" s="275" t="s">
        <v>2117</v>
      </c>
      <c r="F142" s="275" t="s">
        <v>5014</v>
      </c>
      <c r="G142" s="275" t="s">
        <v>2121</v>
      </c>
      <c r="H142" s="275" t="s">
        <v>2096</v>
      </c>
      <c r="I142" s="276" t="s">
        <v>5053</v>
      </c>
      <c r="J142" s="276" t="s">
        <v>5054</v>
      </c>
      <c r="K142" s="277" t="s">
        <v>2109</v>
      </c>
      <c r="L142" s="277" t="s">
        <v>2109</v>
      </c>
      <c r="M142" s="277" t="s">
        <v>2603</v>
      </c>
      <c r="N142" s="277" t="s">
        <v>2099</v>
      </c>
      <c r="O142" s="275" t="s">
        <v>2616</v>
      </c>
      <c r="P142" s="276"/>
      <c r="Q142" s="270">
        <v>1</v>
      </c>
      <c r="R142" s="278">
        <v>18000</v>
      </c>
      <c r="S142" s="279">
        <v>24</v>
      </c>
      <c r="T142" s="279">
        <v>31</v>
      </c>
      <c r="U142" s="279">
        <v>37</v>
      </c>
      <c r="V142" s="279">
        <v>46</v>
      </c>
      <c r="W142" s="279">
        <v>46</v>
      </c>
      <c r="X142" s="279">
        <v>46</v>
      </c>
      <c r="Y142" s="279">
        <v>46</v>
      </c>
      <c r="Z142" s="279">
        <v>46</v>
      </c>
      <c r="AA142" s="279">
        <v>46</v>
      </c>
      <c r="AB142" s="279">
        <f>AA142+3</f>
        <v>49</v>
      </c>
      <c r="AC142" s="279">
        <f>AB142+3</f>
        <v>52</v>
      </c>
      <c r="AD142" s="279">
        <f>AC142+3</f>
        <v>55</v>
      </c>
      <c r="AE142" s="279">
        <f>AD142+3</f>
        <v>58</v>
      </c>
      <c r="AF142" s="279">
        <v>61</v>
      </c>
      <c r="AG142" s="279">
        <f>AF142+1</f>
        <v>62</v>
      </c>
      <c r="AH142" s="279">
        <f>AG142+1</f>
        <v>63</v>
      </c>
      <c r="AI142" s="279">
        <f>AH142+1</f>
        <v>64</v>
      </c>
      <c r="AJ142" s="279">
        <f>AI142+1</f>
        <v>65</v>
      </c>
      <c r="AK142" s="279">
        <v>66</v>
      </c>
      <c r="AL142" s="276" t="s">
        <v>5055</v>
      </c>
      <c r="AM142" s="276" t="s">
        <v>5056</v>
      </c>
      <c r="AN142" s="276" t="s">
        <v>3393</v>
      </c>
      <c r="AO142" s="657"/>
      <c r="AP142" s="278">
        <v>650</v>
      </c>
      <c r="AQ142" s="278">
        <v>488</v>
      </c>
      <c r="AR142" s="278">
        <v>130</v>
      </c>
      <c r="AS142" s="278">
        <v>32</v>
      </c>
      <c r="AT142" s="657"/>
      <c r="AU142" s="281" t="s">
        <v>5057</v>
      </c>
      <c r="AV142" s="296" t="s">
        <v>5058</v>
      </c>
      <c r="AW142" s="296" t="s">
        <v>5059</v>
      </c>
      <c r="AX142" s="276" t="s">
        <v>4918</v>
      </c>
      <c r="AY142" s="657"/>
      <c r="AZ142" s="947">
        <v>350</v>
      </c>
      <c r="BA142" s="947">
        <v>70</v>
      </c>
      <c r="BB142" s="947">
        <v>4</v>
      </c>
      <c r="BC142" s="947">
        <v>330</v>
      </c>
      <c r="BD142" s="826">
        <f t="shared" si="465"/>
        <v>45994</v>
      </c>
      <c r="BE142" s="283">
        <f t="shared" si="466"/>
        <v>21350</v>
      </c>
      <c r="BF142" s="283">
        <f t="shared" si="467"/>
        <v>4270</v>
      </c>
      <c r="BG142" s="283">
        <f t="shared" si="468"/>
        <v>244</v>
      </c>
      <c r="BH142" s="283">
        <f t="shared" si="469"/>
        <v>20130</v>
      </c>
      <c r="BI142" s="826">
        <f t="shared" si="470"/>
        <v>49764</v>
      </c>
      <c r="BJ142" s="283">
        <f t="shared" si="471"/>
        <v>23100</v>
      </c>
      <c r="BK142" s="283">
        <f t="shared" si="472"/>
        <v>4620</v>
      </c>
      <c r="BL142" s="283">
        <f t="shared" si="473"/>
        <v>264</v>
      </c>
      <c r="BM142" s="283">
        <f t="shared" si="474"/>
        <v>21780</v>
      </c>
      <c r="BN142" s="657"/>
      <c r="BO142" s="305">
        <v>0.02</v>
      </c>
      <c r="BP142" s="305">
        <v>0.7</v>
      </c>
      <c r="BQ142" s="305">
        <v>0.01</v>
      </c>
      <c r="BR142" s="581">
        <v>0.27</v>
      </c>
      <c r="BS142" s="706">
        <v>0.02</v>
      </c>
      <c r="BT142" s="305">
        <v>0.69</v>
      </c>
      <c r="BU142" s="305">
        <v>0.02</v>
      </c>
      <c r="BV142" s="581">
        <v>0.27</v>
      </c>
      <c r="BW142" s="713">
        <v>0.2</v>
      </c>
      <c r="BX142" s="306">
        <v>0.8</v>
      </c>
      <c r="BY142" s="590"/>
      <c r="BZ142" s="713">
        <v>0.18</v>
      </c>
      <c r="CA142" s="306">
        <v>0.82</v>
      </c>
      <c r="CB142" s="590"/>
      <c r="CC142" s="706">
        <v>0.1</v>
      </c>
      <c r="CD142" s="305">
        <v>0.8</v>
      </c>
      <c r="CE142" s="305">
        <v>0.03</v>
      </c>
      <c r="CF142" s="581">
        <v>7.0000000000000007E-2</v>
      </c>
      <c r="CG142" s="706">
        <v>0.1</v>
      </c>
      <c r="CH142" s="305">
        <v>0.79</v>
      </c>
      <c r="CI142" s="305">
        <v>0.04</v>
      </c>
      <c r="CJ142" s="581">
        <v>7.0000000000000007E-2</v>
      </c>
      <c r="CK142" s="719">
        <v>0.45</v>
      </c>
      <c r="CL142" s="307">
        <v>0.5</v>
      </c>
      <c r="CM142" s="723">
        <v>0.05</v>
      </c>
      <c r="CN142" s="719">
        <v>0.4</v>
      </c>
      <c r="CO142" s="307">
        <v>0.54</v>
      </c>
      <c r="CP142" s="723">
        <v>0.06</v>
      </c>
      <c r="CQ142" s="657"/>
      <c r="CR142" s="804">
        <v>10</v>
      </c>
      <c r="CS142" s="805">
        <v>11</v>
      </c>
      <c r="CT142" s="805">
        <v>8</v>
      </c>
      <c r="CU142" s="806">
        <v>9</v>
      </c>
      <c r="CV142" s="804">
        <v>10</v>
      </c>
      <c r="CW142" s="805">
        <v>10</v>
      </c>
      <c r="CX142" s="806">
        <v>8</v>
      </c>
      <c r="CY142" s="804">
        <v>9</v>
      </c>
      <c r="CZ142" s="805">
        <v>11</v>
      </c>
      <c r="DA142" s="805">
        <v>8</v>
      </c>
      <c r="DB142" s="806">
        <v>10</v>
      </c>
      <c r="DC142" s="804">
        <v>10</v>
      </c>
      <c r="DD142" s="805">
        <v>11</v>
      </c>
      <c r="DE142" s="806">
        <v>9</v>
      </c>
      <c r="DF142" s="609" t="s">
        <v>5060</v>
      </c>
      <c r="DG142" s="657"/>
      <c r="DH142" s="308">
        <f t="shared" si="475"/>
        <v>427</v>
      </c>
      <c r="DI142" s="308">
        <f t="shared" si="476"/>
        <v>14944.999999999998</v>
      </c>
      <c r="DJ142" s="308">
        <f t="shared" si="477"/>
        <v>213.5</v>
      </c>
      <c r="DK142" s="308">
        <f t="shared" si="478"/>
        <v>5764.5</v>
      </c>
      <c r="DL142" s="287" t="s">
        <v>5037</v>
      </c>
      <c r="DM142" s="308">
        <f t="shared" si="479"/>
        <v>462</v>
      </c>
      <c r="DN142" s="308">
        <f t="shared" si="480"/>
        <v>15938.999999999998</v>
      </c>
      <c r="DO142" s="308">
        <f t="shared" si="481"/>
        <v>462</v>
      </c>
      <c r="DP142" s="308">
        <f t="shared" si="482"/>
        <v>6237</v>
      </c>
      <c r="DQ142" s="289" t="s">
        <v>3399</v>
      </c>
      <c r="DR142" s="657"/>
      <c r="DS142" s="308">
        <f t="shared" si="483"/>
        <v>854</v>
      </c>
      <c r="DT142" s="308">
        <f t="shared" si="484"/>
        <v>3416</v>
      </c>
      <c r="DU142" s="308">
        <f t="shared" si="485"/>
        <v>0</v>
      </c>
      <c r="DV142" s="289" t="s">
        <v>5038</v>
      </c>
      <c r="DW142" s="308">
        <f t="shared" si="486"/>
        <v>831.6</v>
      </c>
      <c r="DX142" s="308">
        <f t="shared" si="487"/>
        <v>3788.3999999999996</v>
      </c>
      <c r="DY142" s="308">
        <f t="shared" si="488"/>
        <v>0</v>
      </c>
      <c r="DZ142" s="289" t="s">
        <v>3401</v>
      </c>
      <c r="EA142" s="657"/>
      <c r="EB142" s="308">
        <f t="shared" si="489"/>
        <v>24.400000000000002</v>
      </c>
      <c r="EC142" s="308">
        <f t="shared" si="490"/>
        <v>195.20000000000002</v>
      </c>
      <c r="ED142" s="308">
        <f t="shared" si="491"/>
        <v>7.3199999999999994</v>
      </c>
      <c r="EE142" s="308">
        <f t="shared" si="492"/>
        <v>17.080000000000002</v>
      </c>
      <c r="EF142" s="289" t="s">
        <v>5039</v>
      </c>
      <c r="EG142" s="308">
        <f t="shared" si="493"/>
        <v>26.400000000000002</v>
      </c>
      <c r="EH142" s="308">
        <f t="shared" si="494"/>
        <v>208.56</v>
      </c>
      <c r="EI142" s="308">
        <f t="shared" si="495"/>
        <v>10.56</v>
      </c>
      <c r="EJ142" s="308">
        <f t="shared" si="496"/>
        <v>18.48</v>
      </c>
      <c r="EK142" s="309" t="s">
        <v>3403</v>
      </c>
      <c r="EL142" s="657"/>
      <c r="EM142" s="308">
        <f t="shared" si="497"/>
        <v>9058.5</v>
      </c>
      <c r="EN142" s="310">
        <f t="shared" si="498"/>
        <v>10065</v>
      </c>
      <c r="EO142" s="310">
        <f t="shared" si="499"/>
        <v>1006.5</v>
      </c>
      <c r="EP142" s="289" t="s">
        <v>5040</v>
      </c>
      <c r="EQ142" s="308">
        <f t="shared" si="500"/>
        <v>8712</v>
      </c>
      <c r="ER142" s="310">
        <f t="shared" si="501"/>
        <v>11761.2</v>
      </c>
      <c r="ES142" s="310">
        <f t="shared" si="502"/>
        <v>1306.8</v>
      </c>
      <c r="ET142" s="289" t="s">
        <v>3405</v>
      </c>
      <c r="EU142" s="657"/>
      <c r="EV142" s="728">
        <f t="shared" si="503"/>
        <v>0.62562525061349461</v>
      </c>
      <c r="EW142" s="728">
        <f t="shared" si="504"/>
        <v>0.37437474938650545</v>
      </c>
      <c r="EX142" s="311">
        <f t="shared" si="505"/>
        <v>24203.421237272727</v>
      </c>
      <c r="EY142" s="311">
        <f t="shared" si="506"/>
        <v>15142.271477272727</v>
      </c>
      <c r="EZ142" s="311">
        <f t="shared" si="507"/>
        <v>9061.1497600000002</v>
      </c>
      <c r="FA142" s="311">
        <f t="shared" si="508"/>
        <v>11257.414795454544</v>
      </c>
      <c r="FB142" s="311">
        <f t="shared" si="509"/>
        <v>7051.3107954545449</v>
      </c>
      <c r="FC142" s="311">
        <f t="shared" si="510"/>
        <v>4206.1040000000003</v>
      </c>
      <c r="FD142" s="311">
        <f t="shared" si="511"/>
        <v>2290.2208000000001</v>
      </c>
      <c r="FE142" s="311">
        <f t="shared" si="512"/>
        <v>1449</v>
      </c>
      <c r="FF142" s="311">
        <f t="shared" si="513"/>
        <v>841.22080000000005</v>
      </c>
      <c r="FG142" s="311">
        <f t="shared" si="514"/>
        <v>126.63044181818182</v>
      </c>
      <c r="FH142" s="311">
        <f t="shared" si="515"/>
        <v>78.56068181818182</v>
      </c>
      <c r="FI142" s="311">
        <f t="shared" si="516"/>
        <v>48.069760000000002</v>
      </c>
      <c r="FJ142" s="311">
        <f t="shared" si="517"/>
        <v>10529.155200000001</v>
      </c>
      <c r="FK142" s="311">
        <f t="shared" si="518"/>
        <v>6563.4000000000005</v>
      </c>
      <c r="FL142" s="311">
        <f t="shared" si="519"/>
        <v>3965.7552000000001</v>
      </c>
      <c r="FM142" s="657"/>
      <c r="FN142" s="293" t="s">
        <v>2649</v>
      </c>
      <c r="FO142" s="728">
        <v>0.11504</v>
      </c>
      <c r="FP142" s="729">
        <v>0.9</v>
      </c>
      <c r="FQ142" s="294" t="s">
        <v>5061</v>
      </c>
      <c r="FR142" s="657"/>
      <c r="FS142" s="865">
        <v>3.99</v>
      </c>
      <c r="FT142" s="312">
        <f>RANK($FS142,$FS$8:$FS$154,0)+COUNTIF($FS$8:$FS142,$FS142)-1</f>
        <v>2</v>
      </c>
      <c r="FU142" s="865">
        <v>4.32</v>
      </c>
      <c r="FV142" s="312">
        <f>RANK($FU142,$FU$8:$FU$154,0)+COUNTIF($FU$8:$FU142,$FU142)-1</f>
        <v>28</v>
      </c>
      <c r="FW142" s="865">
        <v>3.59</v>
      </c>
      <c r="FX142" s="312">
        <f>RANK($FW142,$FW$8:$FW$154,0)+COUNTIF($FW$8:$FW142,$FW142)-1</f>
        <v>2</v>
      </c>
      <c r="FY142" s="657"/>
      <c r="FZ142" s="296" t="s">
        <v>5025</v>
      </c>
      <c r="GA142" s="296" t="s">
        <v>5062</v>
      </c>
      <c r="GB142" s="296" t="s">
        <v>3409</v>
      </c>
      <c r="GC142" s="296" t="s">
        <v>3410</v>
      </c>
      <c r="GD142" s="296" t="s">
        <v>3411</v>
      </c>
      <c r="GE142" s="296" t="s">
        <v>5063</v>
      </c>
      <c r="GF142" s="296" t="str">
        <f t="shared" si="561"/>
        <v>https://www.justice.gouv.fr/presentation-loi-dorientation-programmation-ministere-justice-2023-2027
https://www.justice.gouv.fr/ministere-justice/budget-justice
https://www.justice.gouv.fr/documentation/ressources/rapport-2024-loi-dorientation-programmation-du-ministere-justice-2023-2027
https://www.justice.gouv.fr/plan-15-000-places-prison
https://www.justice.gouv.fr/actualites/actualite/immobilier-penitentiaire-15000-places-plus-prisons
https://www.statistiques.developpement-durable.gouv.fr/construction-de-locaux-resultats-fin-janvier-2026-france-entiere
https://www.insee.fr/fr/statistiques/8671745
https://www.insee.fr/fr/statistiques/8906564</v>
      </c>
      <c r="GG142" s="657"/>
      <c r="GH142" s="311">
        <f t="shared" si="520"/>
        <v>229.02208000000002</v>
      </c>
      <c r="GI142" s="311">
        <f t="shared" si="451"/>
        <v>144.9</v>
      </c>
      <c r="GJ142" s="311">
        <f t="shared" si="521"/>
        <v>84.122080000000011</v>
      </c>
      <c r="GK142" s="311">
        <f t="shared" si="522"/>
        <v>7512.6663054545452</v>
      </c>
      <c r="GL142" s="311">
        <f t="shared" si="452"/>
        <v>4610.454545454545</v>
      </c>
      <c r="GM142" s="311">
        <f t="shared" si="523"/>
        <v>2902.2117600000001</v>
      </c>
      <c r="GN142" s="311">
        <f t="shared" si="524"/>
        <v>178.22833000000003</v>
      </c>
      <c r="GO142" s="311">
        <f t="shared" si="453"/>
        <v>94.106250000000003</v>
      </c>
      <c r="GP142" s="311">
        <f t="shared" si="525"/>
        <v>84.122080000000011</v>
      </c>
      <c r="GQ142" s="311">
        <f t="shared" si="526"/>
        <v>3337.4980800000003</v>
      </c>
      <c r="GR142" s="311">
        <f t="shared" si="454"/>
        <v>2201.85</v>
      </c>
      <c r="GS142" s="311">
        <f t="shared" si="527"/>
        <v>1135.6480800000002</v>
      </c>
      <c r="GT142" s="311">
        <f t="shared" si="528"/>
        <v>441.21974399999999</v>
      </c>
      <c r="GU142" s="311">
        <f t="shared" si="455"/>
        <v>289.8</v>
      </c>
      <c r="GV142" s="311">
        <f t="shared" si="529"/>
        <v>151.41974400000001</v>
      </c>
      <c r="GW142" s="311">
        <f t="shared" si="530"/>
        <v>1849.0010560000001</v>
      </c>
      <c r="GX142" s="311">
        <f t="shared" si="456"/>
        <v>1159.2</v>
      </c>
      <c r="GY142" s="311">
        <f t="shared" si="531"/>
        <v>689.80105600000002</v>
      </c>
      <c r="GZ142" s="311">
        <f t="shared" si="532"/>
        <v>0</v>
      </c>
      <c r="HA142" s="311">
        <f t="shared" si="457"/>
        <v>0</v>
      </c>
      <c r="HB142" s="311">
        <f t="shared" si="533"/>
        <v>0</v>
      </c>
      <c r="HC142" s="311">
        <f t="shared" si="534"/>
        <v>14.126976000000001</v>
      </c>
      <c r="HD142" s="311">
        <f t="shared" si="458"/>
        <v>9.32</v>
      </c>
      <c r="HE142" s="311">
        <f t="shared" si="535"/>
        <v>4.8069760000000006</v>
      </c>
      <c r="HF142" s="311">
        <f t="shared" si="536"/>
        <v>98.193292218181824</v>
      </c>
      <c r="HG142" s="311">
        <f t="shared" si="459"/>
        <v>60.218181818181819</v>
      </c>
      <c r="HH142" s="311">
        <f t="shared" si="537"/>
        <v>37.975110400000005</v>
      </c>
      <c r="HI142" s="311">
        <f t="shared" si="538"/>
        <v>5.1492903999999999</v>
      </c>
      <c r="HJ142" s="311">
        <f t="shared" si="460"/>
        <v>3.2264999999999993</v>
      </c>
      <c r="HK142" s="311">
        <f t="shared" si="539"/>
        <v>1.9227904000000002</v>
      </c>
      <c r="HL142" s="311">
        <f t="shared" si="540"/>
        <v>9.1608832000000007</v>
      </c>
      <c r="HM142" s="311">
        <f t="shared" si="461"/>
        <v>5.7960000000000003</v>
      </c>
      <c r="HN142" s="311">
        <f t="shared" si="541"/>
        <v>3.3648832000000004</v>
      </c>
      <c r="HO142" s="311">
        <f t="shared" si="542"/>
        <v>4660.2520800000002</v>
      </c>
      <c r="HP142" s="311">
        <f t="shared" si="462"/>
        <v>3073.9500000000003</v>
      </c>
      <c r="HQ142" s="311">
        <f t="shared" si="543"/>
        <v>1586.3020800000002</v>
      </c>
      <c r="HR142" s="311">
        <f t="shared" si="544"/>
        <v>5246.5078080000003</v>
      </c>
      <c r="HS142" s="311">
        <f t="shared" si="463"/>
        <v>3105</v>
      </c>
      <c r="HT142" s="311">
        <f t="shared" si="545"/>
        <v>2141.5078080000003</v>
      </c>
      <c r="HU142" s="311">
        <f t="shared" si="546"/>
        <v>622.39531199999999</v>
      </c>
      <c r="HV142" s="311">
        <f t="shared" si="464"/>
        <v>384.45</v>
      </c>
      <c r="HW142" s="311">
        <f t="shared" si="547"/>
        <v>237.945312</v>
      </c>
      <c r="HY142" s="313">
        <f t="shared" si="548"/>
        <v>45994</v>
      </c>
      <c r="HZ142" s="313">
        <f t="shared" si="549"/>
        <v>8746.509399999999</v>
      </c>
      <c r="IA142" s="313">
        <f t="shared" si="550"/>
        <v>31219.373</v>
      </c>
      <c r="IB142" s="313">
        <f t="shared" si="551"/>
        <v>6028.1175999999996</v>
      </c>
      <c r="IC142" s="313">
        <f t="shared" si="552"/>
        <v>0</v>
      </c>
      <c r="ID142" s="313">
        <f t="shared" si="553"/>
        <v>0</v>
      </c>
      <c r="IE142" s="313">
        <f t="shared" si="554"/>
        <v>15142.271477272727</v>
      </c>
      <c r="IF142" s="313">
        <f t="shared" si="555"/>
        <v>942.16825307954548</v>
      </c>
      <c r="IG142" s="313">
        <f t="shared" si="556"/>
        <v>9325.9960070454545</v>
      </c>
      <c r="IH142" s="313">
        <f t="shared" si="557"/>
        <v>4874.1072171477272</v>
      </c>
      <c r="II142" s="313">
        <f t="shared" si="558"/>
        <v>0</v>
      </c>
      <c r="IJ142" s="313">
        <f t="shared" si="559"/>
        <v>0</v>
      </c>
      <c r="IK142" s="866">
        <v>4.3</v>
      </c>
      <c r="IL142" s="314" t="s">
        <v>2701</v>
      </c>
      <c r="IM142" s="299" t="s">
        <v>5064</v>
      </c>
      <c r="IN142" s="657"/>
      <c r="IO142" s="730">
        <v>0.1464</v>
      </c>
      <c r="IP142" s="730">
        <v>0.68869999999999998</v>
      </c>
      <c r="IQ142" s="730">
        <v>0.16489999999999999</v>
      </c>
      <c r="IR142" s="730">
        <v>0</v>
      </c>
      <c r="IS142" s="730">
        <v>0</v>
      </c>
      <c r="IT142" s="730">
        <v>4.3099999999999999E-2</v>
      </c>
      <c r="IU142" s="730">
        <v>0.57779999999999998</v>
      </c>
      <c r="IV142" s="730">
        <v>0.37909999999999999</v>
      </c>
      <c r="IW142" s="730">
        <v>0</v>
      </c>
      <c r="IX142" s="730">
        <v>0</v>
      </c>
      <c r="IY142" s="730">
        <v>0.26700000000000002</v>
      </c>
      <c r="IZ142" s="730">
        <v>0.65169999999999995</v>
      </c>
      <c r="JA142" s="730">
        <v>8.1299999999999997E-2</v>
      </c>
      <c r="JB142" s="730">
        <v>0</v>
      </c>
      <c r="JC142" s="730">
        <v>0</v>
      </c>
      <c r="JD142" s="730">
        <v>9.7600000000000006E-2</v>
      </c>
      <c r="JE142" s="730">
        <v>0.67</v>
      </c>
      <c r="JF142" s="730">
        <v>0.2324</v>
      </c>
      <c r="JG142" s="730">
        <v>0</v>
      </c>
      <c r="JH142" s="730">
        <v>0</v>
      </c>
      <c r="JI142" s="730">
        <v>0.3871</v>
      </c>
      <c r="JJ142" s="730">
        <v>0.56999999999999995</v>
      </c>
      <c r="JK142" s="730">
        <v>4.2900000000000001E-2</v>
      </c>
      <c r="JL142" s="730">
        <v>0</v>
      </c>
      <c r="JM142" s="730">
        <v>0</v>
      </c>
      <c r="JN142" s="730">
        <v>0.16689999999999999</v>
      </c>
      <c r="JO142" s="730">
        <v>0.6885</v>
      </c>
      <c r="JP142" s="730">
        <v>0.14460000000000001</v>
      </c>
      <c r="JQ142" s="730">
        <v>0</v>
      </c>
      <c r="JR142" s="730">
        <v>0</v>
      </c>
      <c r="JS142" s="730">
        <v>0.21790000000000001</v>
      </c>
      <c r="JT142" s="730">
        <v>0.67530000000000001</v>
      </c>
      <c r="JU142" s="730">
        <v>0.10680000000000001</v>
      </c>
      <c r="JV142" s="730">
        <v>0</v>
      </c>
      <c r="JW142" s="730">
        <v>0</v>
      </c>
      <c r="JX142" s="730">
        <v>7.3700000000000002E-2</v>
      </c>
      <c r="JY142" s="730">
        <v>0.64400000000000002</v>
      </c>
      <c r="JZ142" s="730">
        <v>0.2823</v>
      </c>
      <c r="KA142" s="730">
        <v>0</v>
      </c>
      <c r="KB142" s="730">
        <v>0</v>
      </c>
      <c r="KC142" s="657"/>
      <c r="KD142" s="314" t="s">
        <v>2718</v>
      </c>
      <c r="KE142" s="314" t="s">
        <v>2590</v>
      </c>
      <c r="KF142" s="866">
        <v>4.7300000000000004</v>
      </c>
      <c r="KG142" s="314" t="s">
        <v>2719</v>
      </c>
      <c r="KH142" s="315" t="s">
        <v>5028</v>
      </c>
      <c r="KI142" s="314" t="s">
        <v>5065</v>
      </c>
      <c r="KJ142" s="315" t="s">
        <v>5066</v>
      </c>
    </row>
    <row r="143" spans="1:383" ht="48" hidden="1" customHeight="1">
      <c r="A143" s="265">
        <f t="shared" si="560"/>
        <v>136</v>
      </c>
      <c r="B143" s="266" t="s">
        <v>4908</v>
      </c>
      <c r="C143" s="266" t="s">
        <v>88</v>
      </c>
      <c r="D143" s="624" t="s">
        <v>2012</v>
      </c>
      <c r="E143" s="267" t="s">
        <v>2117</v>
      </c>
      <c r="F143" s="267" t="s">
        <v>3387</v>
      </c>
      <c r="G143" s="267" t="s">
        <v>2121</v>
      </c>
      <c r="H143" s="267" t="s">
        <v>2096</v>
      </c>
      <c r="I143" s="268" t="s">
        <v>5067</v>
      </c>
      <c r="J143" s="268" t="s">
        <v>5068</v>
      </c>
      <c r="K143" s="269" t="s">
        <v>2109</v>
      </c>
      <c r="L143" s="269" t="s">
        <v>2109</v>
      </c>
      <c r="M143" s="269" t="s">
        <v>2603</v>
      </c>
      <c r="N143" s="269" t="s">
        <v>2099</v>
      </c>
      <c r="O143" s="267" t="s">
        <v>2616</v>
      </c>
      <c r="P143" s="268"/>
      <c r="Q143" s="270">
        <v>1</v>
      </c>
      <c r="R143" s="271">
        <v>2500</v>
      </c>
      <c r="S143" s="272">
        <v>14</v>
      </c>
      <c r="T143" s="272">
        <v>13</v>
      </c>
      <c r="U143" s="272">
        <v>12</v>
      </c>
      <c r="V143" s="272">
        <v>11</v>
      </c>
      <c r="W143" s="272">
        <v>11</v>
      </c>
      <c r="X143" s="272">
        <v>11</v>
      </c>
      <c r="Y143" s="272">
        <v>11</v>
      </c>
      <c r="Z143" s="272">
        <v>11</v>
      </c>
      <c r="AA143" s="272">
        <v>11</v>
      </c>
      <c r="AB143" s="272">
        <v>10</v>
      </c>
      <c r="AC143" s="272">
        <v>10</v>
      </c>
      <c r="AD143" s="272">
        <v>9</v>
      </c>
      <c r="AE143" s="272">
        <v>9</v>
      </c>
      <c r="AF143" s="272">
        <v>8</v>
      </c>
      <c r="AG143" s="272">
        <v>8</v>
      </c>
      <c r="AH143" s="272">
        <v>7</v>
      </c>
      <c r="AI143" s="272">
        <v>7</v>
      </c>
      <c r="AJ143" s="272">
        <v>6</v>
      </c>
      <c r="AK143" s="272">
        <v>6</v>
      </c>
      <c r="AL143" s="268" t="s">
        <v>5069</v>
      </c>
      <c r="AM143" s="268" t="s">
        <v>5070</v>
      </c>
      <c r="AN143" s="268" t="s">
        <v>3393</v>
      </c>
      <c r="AO143" s="657"/>
      <c r="AP143" s="271">
        <v>60</v>
      </c>
      <c r="AQ143" s="280">
        <v>43</v>
      </c>
      <c r="AR143" s="280">
        <v>14</v>
      </c>
      <c r="AS143" s="280">
        <v>3</v>
      </c>
      <c r="AT143" s="657"/>
      <c r="AU143" s="301" t="s">
        <v>5071</v>
      </c>
      <c r="AV143" s="572" t="s">
        <v>5072</v>
      </c>
      <c r="AW143" s="645" t="s">
        <v>5073</v>
      </c>
      <c r="AX143" s="290" t="s">
        <v>4918</v>
      </c>
      <c r="AY143" s="657"/>
      <c r="AZ143" s="948">
        <v>24</v>
      </c>
      <c r="BA143" s="948">
        <v>8</v>
      </c>
      <c r="BB143" s="948">
        <v>1</v>
      </c>
      <c r="BC143" s="948">
        <v>22</v>
      </c>
      <c r="BD143" s="825">
        <f t="shared" si="465"/>
        <v>440</v>
      </c>
      <c r="BE143" s="304">
        <f t="shared" si="466"/>
        <v>192</v>
      </c>
      <c r="BF143" s="304">
        <f t="shared" si="467"/>
        <v>64</v>
      </c>
      <c r="BG143" s="304">
        <f t="shared" si="468"/>
        <v>8</v>
      </c>
      <c r="BH143" s="304">
        <f t="shared" si="469"/>
        <v>176</v>
      </c>
      <c r="BI143" s="825">
        <f t="shared" si="470"/>
        <v>330</v>
      </c>
      <c r="BJ143" s="304">
        <f t="shared" si="471"/>
        <v>144</v>
      </c>
      <c r="BK143" s="304">
        <f t="shared" si="472"/>
        <v>48</v>
      </c>
      <c r="BL143" s="304">
        <f t="shared" si="473"/>
        <v>6</v>
      </c>
      <c r="BM143" s="304">
        <f t="shared" si="474"/>
        <v>132</v>
      </c>
      <c r="BN143" s="657"/>
      <c r="BO143" s="284">
        <v>0.02</v>
      </c>
      <c r="BP143" s="284">
        <v>0.7</v>
      </c>
      <c r="BQ143" s="284">
        <v>0.01</v>
      </c>
      <c r="BR143" s="710">
        <v>0.27</v>
      </c>
      <c r="BS143" s="707">
        <v>0.02</v>
      </c>
      <c r="BT143" s="284">
        <v>0.69</v>
      </c>
      <c r="BU143" s="284">
        <v>0.02</v>
      </c>
      <c r="BV143" s="710">
        <v>0.27</v>
      </c>
      <c r="BW143" s="714">
        <v>0.25</v>
      </c>
      <c r="BX143" s="285">
        <v>0.75</v>
      </c>
      <c r="BY143" s="717"/>
      <c r="BZ143" s="714">
        <v>0.22</v>
      </c>
      <c r="CA143" s="285">
        <v>0.78</v>
      </c>
      <c r="CB143" s="717"/>
      <c r="CC143" s="284">
        <v>0.1</v>
      </c>
      <c r="CD143" s="284">
        <v>0.8</v>
      </c>
      <c r="CE143" s="284">
        <v>0.03</v>
      </c>
      <c r="CF143" s="710">
        <v>7.0000000000000007E-2</v>
      </c>
      <c r="CG143" s="707">
        <v>0.1</v>
      </c>
      <c r="CH143" s="284">
        <v>0.79</v>
      </c>
      <c r="CI143" s="284">
        <v>0.04</v>
      </c>
      <c r="CJ143" s="710">
        <v>7.0000000000000007E-2</v>
      </c>
      <c r="CK143" s="720">
        <v>0.6</v>
      </c>
      <c r="CL143" s="286">
        <v>0.35</v>
      </c>
      <c r="CM143" s="718">
        <v>0.05</v>
      </c>
      <c r="CN143" s="720">
        <v>0.55000000000000004</v>
      </c>
      <c r="CO143" s="286">
        <v>0.39</v>
      </c>
      <c r="CP143" s="718">
        <v>0.06</v>
      </c>
      <c r="CQ143" s="657"/>
      <c r="CR143" s="807">
        <v>10</v>
      </c>
      <c r="CS143" s="808">
        <v>11</v>
      </c>
      <c r="CT143" s="808">
        <v>8</v>
      </c>
      <c r="CU143" s="809">
        <v>9</v>
      </c>
      <c r="CV143" s="807">
        <v>10</v>
      </c>
      <c r="CW143" s="808">
        <v>10</v>
      </c>
      <c r="CX143" s="809">
        <v>8</v>
      </c>
      <c r="CY143" s="807">
        <v>9</v>
      </c>
      <c r="CZ143" s="808">
        <v>11</v>
      </c>
      <c r="DA143" s="808">
        <v>8</v>
      </c>
      <c r="DB143" s="809">
        <v>10</v>
      </c>
      <c r="DC143" s="807">
        <v>10</v>
      </c>
      <c r="DD143" s="808">
        <v>11</v>
      </c>
      <c r="DE143" s="809">
        <v>9</v>
      </c>
      <c r="DF143" s="610" t="s">
        <v>5074</v>
      </c>
      <c r="DG143" s="657"/>
      <c r="DH143" s="288">
        <f t="shared" si="475"/>
        <v>3.84</v>
      </c>
      <c r="DI143" s="288">
        <f t="shared" si="476"/>
        <v>134.39999999999998</v>
      </c>
      <c r="DJ143" s="288">
        <f t="shared" si="477"/>
        <v>1.92</v>
      </c>
      <c r="DK143" s="288">
        <f t="shared" si="478"/>
        <v>51.84</v>
      </c>
      <c r="DL143" s="560" t="s">
        <v>5075</v>
      </c>
      <c r="DM143" s="288">
        <f t="shared" si="479"/>
        <v>2.88</v>
      </c>
      <c r="DN143" s="288">
        <f t="shared" si="480"/>
        <v>99.359999999999985</v>
      </c>
      <c r="DO143" s="288">
        <f t="shared" si="481"/>
        <v>2.88</v>
      </c>
      <c r="DP143" s="288">
        <f t="shared" si="482"/>
        <v>38.880000000000003</v>
      </c>
      <c r="DQ143" s="561" t="s">
        <v>3399</v>
      </c>
      <c r="DR143" s="657"/>
      <c r="DS143" s="288">
        <f t="shared" si="483"/>
        <v>16</v>
      </c>
      <c r="DT143" s="288">
        <f t="shared" si="484"/>
        <v>48</v>
      </c>
      <c r="DU143" s="288">
        <f t="shared" si="485"/>
        <v>0</v>
      </c>
      <c r="DV143" s="561" t="s">
        <v>5076</v>
      </c>
      <c r="DW143" s="288">
        <f t="shared" si="486"/>
        <v>10.56</v>
      </c>
      <c r="DX143" s="288">
        <f t="shared" si="487"/>
        <v>37.44</v>
      </c>
      <c r="DY143" s="288">
        <f t="shared" si="488"/>
        <v>0</v>
      </c>
      <c r="DZ143" s="561" t="s">
        <v>3401</v>
      </c>
      <c r="EA143" s="657"/>
      <c r="EB143" s="288">
        <f t="shared" si="489"/>
        <v>0.8</v>
      </c>
      <c r="EC143" s="288">
        <f t="shared" si="490"/>
        <v>6.4</v>
      </c>
      <c r="ED143" s="288">
        <f t="shared" si="491"/>
        <v>0.24</v>
      </c>
      <c r="EE143" s="288">
        <f t="shared" si="492"/>
        <v>0.56000000000000005</v>
      </c>
      <c r="EF143" s="561" t="s">
        <v>5077</v>
      </c>
      <c r="EG143" s="288">
        <f t="shared" si="493"/>
        <v>0.60000000000000009</v>
      </c>
      <c r="EH143" s="288">
        <f t="shared" si="494"/>
        <v>4.74</v>
      </c>
      <c r="EI143" s="288">
        <f t="shared" si="495"/>
        <v>0.24</v>
      </c>
      <c r="EJ143" s="288">
        <f t="shared" si="496"/>
        <v>0.42000000000000004</v>
      </c>
      <c r="EK143" s="561" t="s">
        <v>3403</v>
      </c>
      <c r="EL143" s="657"/>
      <c r="EM143" s="288">
        <f t="shared" si="497"/>
        <v>105.6</v>
      </c>
      <c r="EN143" s="291">
        <f t="shared" si="498"/>
        <v>61.599999999999994</v>
      </c>
      <c r="EO143" s="291">
        <f t="shared" si="499"/>
        <v>8.8000000000000007</v>
      </c>
      <c r="EP143" s="561" t="s">
        <v>5078</v>
      </c>
      <c r="EQ143" s="288">
        <f t="shared" si="500"/>
        <v>72.600000000000009</v>
      </c>
      <c r="ER143" s="291">
        <f t="shared" si="501"/>
        <v>51.480000000000004</v>
      </c>
      <c r="ES143" s="291">
        <f t="shared" si="502"/>
        <v>7.92</v>
      </c>
      <c r="ET143" s="561" t="s">
        <v>3405</v>
      </c>
      <c r="EU143" s="657"/>
      <c r="EV143" s="740">
        <f t="shared" si="503"/>
        <v>0.84458102057465123</v>
      </c>
      <c r="EW143" s="740">
        <f t="shared" si="504"/>
        <v>0.15541897942534869</v>
      </c>
      <c r="EX143" s="563">
        <f t="shared" si="505"/>
        <v>313.28477500000002</v>
      </c>
      <c r="EY143" s="563">
        <f t="shared" si="506"/>
        <v>264.59437500000001</v>
      </c>
      <c r="EZ143" s="563">
        <f t="shared" si="507"/>
        <v>48.690399999999997</v>
      </c>
      <c r="FA143" s="563">
        <f t="shared" si="508"/>
        <v>135.64571999999998</v>
      </c>
      <c r="FB143" s="563">
        <f t="shared" si="509"/>
        <v>114.39899999999999</v>
      </c>
      <c r="FC143" s="563">
        <f t="shared" si="510"/>
        <v>21.24672</v>
      </c>
      <c r="FD143" s="563">
        <f t="shared" si="511"/>
        <v>46.68224</v>
      </c>
      <c r="FE143" s="563">
        <f t="shared" si="512"/>
        <v>39.6</v>
      </c>
      <c r="FF143" s="563">
        <f t="shared" si="513"/>
        <v>7.0822399999999996</v>
      </c>
      <c r="FG143" s="563">
        <f t="shared" si="514"/>
        <v>5.5506549999999999</v>
      </c>
      <c r="FH143" s="563">
        <f t="shared" si="515"/>
        <v>4.665375</v>
      </c>
      <c r="FI143" s="563">
        <f t="shared" si="516"/>
        <v>0.88527999999999996</v>
      </c>
      <c r="FJ143" s="563">
        <f t="shared" si="517"/>
        <v>125.40616</v>
      </c>
      <c r="FK143" s="563">
        <f t="shared" si="518"/>
        <v>105.93</v>
      </c>
      <c r="FL143" s="563">
        <f t="shared" si="519"/>
        <v>19.47616</v>
      </c>
      <c r="FM143" s="529"/>
      <c r="FN143" s="564" t="s">
        <v>2649</v>
      </c>
      <c r="FO143" s="740">
        <v>0.11065999999999999</v>
      </c>
      <c r="FP143" s="741">
        <v>0.9</v>
      </c>
      <c r="FQ143" s="565" t="s">
        <v>3406</v>
      </c>
      <c r="FR143" s="529"/>
      <c r="FS143" s="867">
        <v>3.56</v>
      </c>
      <c r="FT143" s="566">
        <f>RANK($FS143,$FS$8:$FS$154,0)+COUNTIF($FS$8:$FS143,$FS143)-1</f>
        <v>40</v>
      </c>
      <c r="FU143" s="867">
        <v>4.1399999999999997</v>
      </c>
      <c r="FV143" s="566">
        <f>RANK($FU143,$FU$8:$FU$154,0)+COUNTIF($FU$8:$FU143,$FU143)-1</f>
        <v>58</v>
      </c>
      <c r="FW143" s="867">
        <v>2.84</v>
      </c>
      <c r="FX143" s="566">
        <f>RANK($FW143,$FW$8:$FW$154,0)+COUNTIF($FW$8:$FW143,$FW143)-1</f>
        <v>11</v>
      </c>
      <c r="FY143" s="529"/>
      <c r="FZ143" s="567" t="s">
        <v>5079</v>
      </c>
      <c r="GA143" s="567" t="s">
        <v>5041</v>
      </c>
      <c r="GB143" s="567" t="s">
        <v>3409</v>
      </c>
      <c r="GC143" s="567" t="s">
        <v>3410</v>
      </c>
      <c r="GD143" s="567" t="s">
        <v>3411</v>
      </c>
      <c r="GE143" s="567" t="s">
        <v>3412</v>
      </c>
      <c r="GF143" s="567" t="str">
        <f t="shared" si="561"/>
        <v>https://www.justice.gouv.fr/presentation-loi-dorientation-programmation-ministere-justice-2023-2027
https://www.justice.gouv.fr/ministere-justice/budget-justice
https://www.justice.gouv.fr/documentation/ressources/rapport-2024-loi-dorientation-programmation-du-ministere-justice-2023-2027
https://www.justice.gouv.fr/plan-15-000-places-prison
https://www.justice.gouv.fr/actualites/actualite/immobilier-penitentiaire-15000-places-plus-prisons
https://www.statistiques.developpement-durable.gouv.fr/construction-de-locaux-resultats-fin-janvier-2026-france-entiere
https://www.insee.fr/fr/statistiques/8671745
https://www.insee.fr/fr/statistiques/8906564</v>
      </c>
      <c r="GG143" s="529"/>
      <c r="GH143" s="563">
        <f t="shared" si="520"/>
        <v>2.8009344000000005</v>
      </c>
      <c r="GI143" s="563">
        <f t="shared" si="451"/>
        <v>2.3760000000000003</v>
      </c>
      <c r="GJ143" s="563">
        <f t="shared" si="521"/>
        <v>0.42493439999999999</v>
      </c>
      <c r="GK143" s="563">
        <f t="shared" si="522"/>
        <v>90.260236799999973</v>
      </c>
      <c r="GL143" s="563">
        <f t="shared" si="452"/>
        <v>75.59999999999998</v>
      </c>
      <c r="GM143" s="563">
        <f t="shared" si="523"/>
        <v>14.660236799999998</v>
      </c>
      <c r="GN143" s="563">
        <f t="shared" si="524"/>
        <v>1.8559344</v>
      </c>
      <c r="GO143" s="563">
        <f t="shared" si="453"/>
        <v>1.431</v>
      </c>
      <c r="GP143" s="563">
        <f t="shared" si="525"/>
        <v>0.42493439999999999</v>
      </c>
      <c r="GQ143" s="563">
        <f t="shared" si="526"/>
        <v>40.728614400000005</v>
      </c>
      <c r="GR143" s="563">
        <f t="shared" si="454"/>
        <v>34.992000000000004</v>
      </c>
      <c r="GS143" s="563">
        <f t="shared" si="527"/>
        <v>5.7366144000000006</v>
      </c>
      <c r="GT143" s="563">
        <f t="shared" si="528"/>
        <v>11.458092799999999</v>
      </c>
      <c r="GU143" s="563">
        <f t="shared" si="455"/>
        <v>9.9</v>
      </c>
      <c r="GV143" s="563">
        <f t="shared" si="529"/>
        <v>1.5580927999999998</v>
      </c>
      <c r="GW143" s="563">
        <f t="shared" si="530"/>
        <v>35.224147200000004</v>
      </c>
      <c r="GX143" s="563">
        <f t="shared" si="456"/>
        <v>29.700000000000003</v>
      </c>
      <c r="GY143" s="563">
        <f t="shared" si="531"/>
        <v>5.5241471999999998</v>
      </c>
      <c r="GZ143" s="563">
        <f t="shared" si="532"/>
        <v>0</v>
      </c>
      <c r="HA143" s="563">
        <f t="shared" si="457"/>
        <v>0</v>
      </c>
      <c r="HB143" s="563">
        <f t="shared" si="533"/>
        <v>0</v>
      </c>
      <c r="HC143" s="563">
        <f t="shared" si="534"/>
        <v>0.6285280000000002</v>
      </c>
      <c r="HD143" s="563">
        <f t="shared" si="458"/>
        <v>0.54000000000000015</v>
      </c>
      <c r="HE143" s="563">
        <f t="shared" si="535"/>
        <v>8.8527999999999996E-2</v>
      </c>
      <c r="HF143" s="563">
        <f t="shared" si="536"/>
        <v>4.2993712000000004</v>
      </c>
      <c r="HG143" s="563">
        <f t="shared" si="459"/>
        <v>3.6</v>
      </c>
      <c r="HH143" s="563">
        <f t="shared" si="537"/>
        <v>0.69937119999999997</v>
      </c>
      <c r="HI143" s="563">
        <f t="shared" si="538"/>
        <v>0.21428620000000001</v>
      </c>
      <c r="HJ143" s="563">
        <f t="shared" si="460"/>
        <v>0.17887500000000001</v>
      </c>
      <c r="HK143" s="563">
        <f t="shared" si="539"/>
        <v>3.5411199999999997E-2</v>
      </c>
      <c r="HL143" s="563">
        <f t="shared" si="540"/>
        <v>0.4084696000000001</v>
      </c>
      <c r="HM143" s="563">
        <f t="shared" si="461"/>
        <v>0.34650000000000009</v>
      </c>
      <c r="HN143" s="563">
        <f t="shared" si="541"/>
        <v>6.19696E-2</v>
      </c>
      <c r="HO143" s="563">
        <f t="shared" si="542"/>
        <v>76.051888000000005</v>
      </c>
      <c r="HP143" s="563">
        <f t="shared" si="462"/>
        <v>65.34</v>
      </c>
      <c r="HQ143" s="563">
        <f t="shared" si="543"/>
        <v>10.711888</v>
      </c>
      <c r="HR143" s="563">
        <f t="shared" si="544"/>
        <v>42.245702399999999</v>
      </c>
      <c r="HS143" s="563">
        <f t="shared" si="463"/>
        <v>34.65</v>
      </c>
      <c r="HT143" s="563">
        <f t="shared" si="545"/>
        <v>7.5957024000000004</v>
      </c>
      <c r="HU143" s="563">
        <f t="shared" si="546"/>
        <v>7.1085696</v>
      </c>
      <c r="HV143" s="563">
        <f t="shared" si="464"/>
        <v>5.94</v>
      </c>
      <c r="HW143" s="563">
        <f t="shared" si="547"/>
        <v>1.1685695999999999</v>
      </c>
      <c r="HX143" s="544"/>
      <c r="HY143" s="568">
        <f t="shared" si="548"/>
        <v>440.00000000000006</v>
      </c>
      <c r="HZ143" s="568">
        <f t="shared" si="549"/>
        <v>26.586399999999998</v>
      </c>
      <c r="IA143" s="568">
        <f t="shared" si="550"/>
        <v>234.03120000000001</v>
      </c>
      <c r="IB143" s="568">
        <f t="shared" si="551"/>
        <v>169.56560000000002</v>
      </c>
      <c r="IC143" s="568">
        <f t="shared" si="552"/>
        <v>9.7632000000000012</v>
      </c>
      <c r="ID143" s="568">
        <f t="shared" si="553"/>
        <v>5.3600000000000009E-2</v>
      </c>
      <c r="IE143" s="568">
        <f t="shared" si="554"/>
        <v>264.59437499999996</v>
      </c>
      <c r="IF143" s="568">
        <f t="shared" si="555"/>
        <v>7.6744658250000004</v>
      </c>
      <c r="IG143" s="568">
        <f t="shared" si="556"/>
        <v>110.3310811125</v>
      </c>
      <c r="IH143" s="568">
        <f t="shared" si="557"/>
        <v>133.6142619</v>
      </c>
      <c r="II143" s="568">
        <f t="shared" si="558"/>
        <v>12.867669112499998</v>
      </c>
      <c r="IJ143" s="568">
        <f t="shared" si="559"/>
        <v>0.10689705000000001</v>
      </c>
      <c r="IK143" s="868">
        <v>4.3</v>
      </c>
      <c r="IL143" s="569" t="s">
        <v>2701</v>
      </c>
      <c r="IM143" s="570" t="s">
        <v>5080</v>
      </c>
      <c r="IN143" s="529"/>
      <c r="IO143" s="742">
        <v>5.0299999999999997E-2</v>
      </c>
      <c r="IP143" s="742">
        <v>0.5232</v>
      </c>
      <c r="IQ143" s="742">
        <v>0.40329999999999999</v>
      </c>
      <c r="IR143" s="742">
        <v>2.3099999999999999E-2</v>
      </c>
      <c r="IS143" s="742">
        <v>1E-4</v>
      </c>
      <c r="IT143" s="742">
        <v>2.2700000000000001E-2</v>
      </c>
      <c r="IU143" s="742">
        <v>0.40100000000000002</v>
      </c>
      <c r="IV143" s="742">
        <v>0.52490000000000003</v>
      </c>
      <c r="IW143" s="742">
        <v>5.0999999999999997E-2</v>
      </c>
      <c r="IX143" s="742">
        <v>4.0000000000000002E-4</v>
      </c>
      <c r="IY143" s="742">
        <v>9.0800000000000006E-2</v>
      </c>
      <c r="IZ143" s="742">
        <v>0.53949999999999998</v>
      </c>
      <c r="JA143" s="742">
        <v>0.34560000000000002</v>
      </c>
      <c r="JB143" s="742">
        <v>2.3900000000000001E-2</v>
      </c>
      <c r="JC143" s="742">
        <v>2.0000000000000001E-4</v>
      </c>
      <c r="JD143" s="742">
        <v>4.8000000000000001E-2</v>
      </c>
      <c r="JE143" s="742">
        <v>0.44929999999999998</v>
      </c>
      <c r="JF143" s="742">
        <v>0.45290000000000002</v>
      </c>
      <c r="JG143" s="742">
        <v>4.9200000000000001E-2</v>
      </c>
      <c r="JH143" s="742">
        <v>5.9999999999999995E-4</v>
      </c>
      <c r="JI143" s="742">
        <v>0.1555</v>
      </c>
      <c r="JJ143" s="742">
        <v>0.52090000000000003</v>
      </c>
      <c r="JK143" s="742">
        <v>0.2949</v>
      </c>
      <c r="JL143" s="742">
        <v>2.8199999999999999E-2</v>
      </c>
      <c r="JM143" s="742">
        <v>5.0000000000000001E-4</v>
      </c>
      <c r="JN143" s="742">
        <v>9.74E-2</v>
      </c>
      <c r="JO143" s="742">
        <v>0.46829999999999999</v>
      </c>
      <c r="JP143" s="742">
        <v>0.38080000000000003</v>
      </c>
      <c r="JQ143" s="742">
        <v>5.2299999999999999E-2</v>
      </c>
      <c r="JR143" s="742">
        <v>1.1999999999999999E-3</v>
      </c>
      <c r="JS143" s="742">
        <v>5.6099999999999997E-2</v>
      </c>
      <c r="JT143" s="742">
        <v>0.53910000000000002</v>
      </c>
      <c r="JU143" s="742">
        <v>0.38440000000000002</v>
      </c>
      <c r="JV143" s="742">
        <v>2.0299999999999999E-2</v>
      </c>
      <c r="JW143" s="742">
        <v>1E-4</v>
      </c>
      <c r="JX143" s="742">
        <v>2.5700000000000001E-2</v>
      </c>
      <c r="JY143" s="742">
        <v>0.4199</v>
      </c>
      <c r="JZ143" s="742">
        <v>0.50839999999999996</v>
      </c>
      <c r="KA143" s="742">
        <v>4.5699999999999998E-2</v>
      </c>
      <c r="KB143" s="742">
        <v>2.9999999999999997E-4</v>
      </c>
      <c r="KC143" s="657"/>
      <c r="KD143" s="832" t="s">
        <v>2590</v>
      </c>
      <c r="KE143" s="832" t="s">
        <v>2590</v>
      </c>
      <c r="KF143" s="869">
        <v>4.2</v>
      </c>
      <c r="KG143" s="832" t="s">
        <v>2589</v>
      </c>
      <c r="KH143" s="833" t="s">
        <v>3414</v>
      </c>
      <c r="KI143" s="832" t="s">
        <v>2704</v>
      </c>
      <c r="KJ143" s="833" t="s">
        <v>5081</v>
      </c>
    </row>
    <row r="144" spans="1:383" ht="48" hidden="1" customHeight="1">
      <c r="A144" s="273">
        <f t="shared" si="560"/>
        <v>137</v>
      </c>
      <c r="B144" s="274" t="s">
        <v>4908</v>
      </c>
      <c r="C144" s="274" t="s">
        <v>88</v>
      </c>
      <c r="D144" s="274" t="s">
        <v>2014</v>
      </c>
      <c r="E144" s="275" t="s">
        <v>2117</v>
      </c>
      <c r="F144" s="275" t="s">
        <v>5014</v>
      </c>
      <c r="G144" s="275" t="s">
        <v>2121</v>
      </c>
      <c r="H144" s="275" t="s">
        <v>2096</v>
      </c>
      <c r="I144" s="276" t="s">
        <v>5082</v>
      </c>
      <c r="J144" s="276" t="s">
        <v>5083</v>
      </c>
      <c r="K144" s="277" t="s">
        <v>2109</v>
      </c>
      <c r="L144" s="277" t="s">
        <v>2109</v>
      </c>
      <c r="M144" s="277" t="s">
        <v>2603</v>
      </c>
      <c r="N144" s="277" t="s">
        <v>2099</v>
      </c>
      <c r="O144" s="275" t="s">
        <v>2616</v>
      </c>
      <c r="P144" s="276"/>
      <c r="Q144" s="270">
        <v>1</v>
      </c>
      <c r="R144" s="278">
        <v>2500</v>
      </c>
      <c r="S144" s="279">
        <v>0</v>
      </c>
      <c r="T144" s="279">
        <v>20</v>
      </c>
      <c r="U144" s="279">
        <v>42</v>
      </c>
      <c r="V144" s="279">
        <v>50</v>
      </c>
      <c r="W144" s="279">
        <v>50</v>
      </c>
      <c r="X144" s="279">
        <v>50</v>
      </c>
      <c r="Y144" s="279">
        <v>50</v>
      </c>
      <c r="Z144" s="279">
        <v>51</v>
      </c>
      <c r="AA144" s="279">
        <v>51</v>
      </c>
      <c r="AB144" s="279">
        <f>AA144+1</f>
        <v>52</v>
      </c>
      <c r="AC144" s="279">
        <f>AB144+1</f>
        <v>53</v>
      </c>
      <c r="AD144" s="279">
        <f>AC144+1</f>
        <v>54</v>
      </c>
      <c r="AE144" s="279">
        <f>AD144+1</f>
        <v>55</v>
      </c>
      <c r="AF144" s="279">
        <v>55</v>
      </c>
      <c r="AG144" s="279">
        <f>AF144+4</f>
        <v>59</v>
      </c>
      <c r="AH144" s="279">
        <f>AG144+3</f>
        <v>62</v>
      </c>
      <c r="AI144" s="279">
        <f>AH144+4</f>
        <v>66</v>
      </c>
      <c r="AJ144" s="279">
        <f>AI144+3</f>
        <v>69</v>
      </c>
      <c r="AK144" s="279">
        <v>73</v>
      </c>
      <c r="AL144" s="276" t="s">
        <v>5084</v>
      </c>
      <c r="AM144" s="276" t="s">
        <v>5085</v>
      </c>
      <c r="AN144" s="276" t="s">
        <v>5086</v>
      </c>
      <c r="AO144" s="657"/>
      <c r="AP144" s="278">
        <v>12</v>
      </c>
      <c r="AQ144" s="278">
        <v>8</v>
      </c>
      <c r="AR144" s="278">
        <v>3</v>
      </c>
      <c r="AS144" s="278">
        <v>1</v>
      </c>
      <c r="AT144" s="657"/>
      <c r="AU144" s="281" t="s">
        <v>5087</v>
      </c>
      <c r="AV144" s="296" t="s">
        <v>5088</v>
      </c>
      <c r="AW144" s="296" t="s">
        <v>5089</v>
      </c>
      <c r="AX144" s="276" t="s">
        <v>4918</v>
      </c>
      <c r="AY144" s="657"/>
      <c r="AZ144" s="947">
        <v>6</v>
      </c>
      <c r="BA144" s="947">
        <v>5</v>
      </c>
      <c r="BB144" s="947">
        <v>1</v>
      </c>
      <c r="BC144" s="947">
        <v>5</v>
      </c>
      <c r="BD144" s="826">
        <f t="shared" si="465"/>
        <v>935</v>
      </c>
      <c r="BE144" s="283">
        <f t="shared" si="466"/>
        <v>330</v>
      </c>
      <c r="BF144" s="283">
        <f t="shared" si="467"/>
        <v>275</v>
      </c>
      <c r="BG144" s="283">
        <f t="shared" si="468"/>
        <v>55</v>
      </c>
      <c r="BH144" s="283">
        <f t="shared" si="469"/>
        <v>275</v>
      </c>
      <c r="BI144" s="826">
        <f t="shared" si="470"/>
        <v>1241</v>
      </c>
      <c r="BJ144" s="283">
        <f t="shared" si="471"/>
        <v>438</v>
      </c>
      <c r="BK144" s="283">
        <f t="shared" si="472"/>
        <v>365</v>
      </c>
      <c r="BL144" s="283">
        <f t="shared" si="473"/>
        <v>73</v>
      </c>
      <c r="BM144" s="283">
        <f t="shared" si="474"/>
        <v>365</v>
      </c>
      <c r="BN144" s="657"/>
      <c r="BO144" s="305">
        <v>0.02</v>
      </c>
      <c r="BP144" s="305">
        <v>0.7</v>
      </c>
      <c r="BQ144" s="305">
        <v>0.01</v>
      </c>
      <c r="BR144" s="581">
        <v>0.27</v>
      </c>
      <c r="BS144" s="706">
        <v>0.02</v>
      </c>
      <c r="BT144" s="305">
        <v>0.69</v>
      </c>
      <c r="BU144" s="305">
        <v>0.02</v>
      </c>
      <c r="BV144" s="581">
        <v>0.27</v>
      </c>
      <c r="BW144" s="713">
        <v>0.25</v>
      </c>
      <c r="BX144" s="306">
        <v>0.75</v>
      </c>
      <c r="BY144" s="590"/>
      <c r="BZ144" s="713">
        <v>0.22</v>
      </c>
      <c r="CA144" s="306">
        <v>0.78</v>
      </c>
      <c r="CB144" s="590"/>
      <c r="CC144" s="706">
        <v>0.1</v>
      </c>
      <c r="CD144" s="305">
        <v>0.8</v>
      </c>
      <c r="CE144" s="305">
        <v>0.03</v>
      </c>
      <c r="CF144" s="581">
        <v>7.0000000000000007E-2</v>
      </c>
      <c r="CG144" s="706">
        <v>0.1</v>
      </c>
      <c r="CH144" s="305">
        <v>0.79</v>
      </c>
      <c r="CI144" s="305">
        <v>0.04</v>
      </c>
      <c r="CJ144" s="581">
        <v>7.0000000000000007E-2</v>
      </c>
      <c r="CK144" s="719">
        <v>0.6</v>
      </c>
      <c r="CL144" s="307">
        <v>0.35</v>
      </c>
      <c r="CM144" s="723">
        <v>0.05</v>
      </c>
      <c r="CN144" s="719">
        <v>0.55000000000000004</v>
      </c>
      <c r="CO144" s="307">
        <v>0.39</v>
      </c>
      <c r="CP144" s="723">
        <v>0.06</v>
      </c>
      <c r="CQ144" s="657"/>
      <c r="CR144" s="804">
        <v>10</v>
      </c>
      <c r="CS144" s="805">
        <v>11</v>
      </c>
      <c r="CT144" s="805">
        <v>8</v>
      </c>
      <c r="CU144" s="806">
        <v>9</v>
      </c>
      <c r="CV144" s="804">
        <v>10</v>
      </c>
      <c r="CW144" s="805">
        <v>10</v>
      </c>
      <c r="CX144" s="806">
        <v>8</v>
      </c>
      <c r="CY144" s="804">
        <v>9</v>
      </c>
      <c r="CZ144" s="805">
        <v>11</v>
      </c>
      <c r="DA144" s="805">
        <v>8</v>
      </c>
      <c r="DB144" s="806">
        <v>10</v>
      </c>
      <c r="DC144" s="804">
        <v>10</v>
      </c>
      <c r="DD144" s="805">
        <v>11</v>
      </c>
      <c r="DE144" s="806">
        <v>9</v>
      </c>
      <c r="DF144" s="609" t="s">
        <v>5090</v>
      </c>
      <c r="DG144" s="657"/>
      <c r="DH144" s="308">
        <f t="shared" si="475"/>
        <v>6.6000000000000005</v>
      </c>
      <c r="DI144" s="308">
        <f t="shared" si="476"/>
        <v>230.99999999999997</v>
      </c>
      <c r="DJ144" s="308">
        <f t="shared" si="477"/>
        <v>3.3000000000000003</v>
      </c>
      <c r="DK144" s="308">
        <f t="shared" si="478"/>
        <v>89.100000000000009</v>
      </c>
      <c r="DL144" s="287" t="s">
        <v>5075</v>
      </c>
      <c r="DM144" s="308">
        <f t="shared" si="479"/>
        <v>8.76</v>
      </c>
      <c r="DN144" s="308">
        <f t="shared" si="480"/>
        <v>302.21999999999997</v>
      </c>
      <c r="DO144" s="308">
        <f t="shared" si="481"/>
        <v>8.76</v>
      </c>
      <c r="DP144" s="308">
        <f t="shared" si="482"/>
        <v>118.26</v>
      </c>
      <c r="DQ144" s="289" t="s">
        <v>3399</v>
      </c>
      <c r="DR144" s="657"/>
      <c r="DS144" s="308">
        <f t="shared" si="483"/>
        <v>68.75</v>
      </c>
      <c r="DT144" s="308">
        <f t="shared" si="484"/>
        <v>206.25</v>
      </c>
      <c r="DU144" s="308">
        <f t="shared" si="485"/>
        <v>0</v>
      </c>
      <c r="DV144" s="289" t="s">
        <v>5076</v>
      </c>
      <c r="DW144" s="308">
        <f t="shared" si="486"/>
        <v>80.3</v>
      </c>
      <c r="DX144" s="308">
        <f t="shared" si="487"/>
        <v>284.7</v>
      </c>
      <c r="DY144" s="308">
        <f t="shared" si="488"/>
        <v>0</v>
      </c>
      <c r="DZ144" s="289" t="s">
        <v>3401</v>
      </c>
      <c r="EA144" s="657"/>
      <c r="EB144" s="308">
        <f t="shared" si="489"/>
        <v>5.5</v>
      </c>
      <c r="EC144" s="308">
        <f t="shared" si="490"/>
        <v>44</v>
      </c>
      <c r="ED144" s="308">
        <f t="shared" si="491"/>
        <v>1.65</v>
      </c>
      <c r="EE144" s="308">
        <f t="shared" si="492"/>
        <v>3.8500000000000005</v>
      </c>
      <c r="EF144" s="289" t="s">
        <v>5077</v>
      </c>
      <c r="EG144" s="308">
        <f t="shared" si="493"/>
        <v>7.3000000000000007</v>
      </c>
      <c r="EH144" s="308">
        <f t="shared" si="494"/>
        <v>57.67</v>
      </c>
      <c r="EI144" s="308">
        <f t="shared" si="495"/>
        <v>2.92</v>
      </c>
      <c r="EJ144" s="308">
        <f t="shared" si="496"/>
        <v>5.1100000000000003</v>
      </c>
      <c r="EK144" s="309" t="s">
        <v>3403</v>
      </c>
      <c r="EL144" s="657"/>
      <c r="EM144" s="308">
        <f t="shared" si="497"/>
        <v>165</v>
      </c>
      <c r="EN144" s="310">
        <f t="shared" si="498"/>
        <v>96.25</v>
      </c>
      <c r="EO144" s="310">
        <f t="shared" si="499"/>
        <v>13.75</v>
      </c>
      <c r="EP144" s="289" t="s">
        <v>5078</v>
      </c>
      <c r="EQ144" s="308">
        <f t="shared" si="500"/>
        <v>200.75000000000003</v>
      </c>
      <c r="ER144" s="310">
        <f t="shared" si="501"/>
        <v>142.35</v>
      </c>
      <c r="ES144" s="310">
        <f t="shared" si="502"/>
        <v>21.9</v>
      </c>
      <c r="ET144" s="289" t="s">
        <v>3405</v>
      </c>
      <c r="EU144" s="657"/>
      <c r="EV144" s="728">
        <f t="shared" si="503"/>
        <v>0.50770351387061718</v>
      </c>
      <c r="EW144" s="728">
        <f t="shared" si="504"/>
        <v>0.49229648612938287</v>
      </c>
      <c r="EX144" s="311">
        <f t="shared" si="505"/>
        <v>742.57862954545453</v>
      </c>
      <c r="EY144" s="311">
        <f t="shared" si="506"/>
        <v>377.00977954545453</v>
      </c>
      <c r="EZ144" s="311">
        <f t="shared" si="507"/>
        <v>365.56885</v>
      </c>
      <c r="FA144" s="311">
        <f t="shared" si="508"/>
        <v>260.88137727272726</v>
      </c>
      <c r="FB144" s="311">
        <f t="shared" si="509"/>
        <v>131.85707727272728</v>
      </c>
      <c r="FC144" s="311">
        <f t="shared" si="510"/>
        <v>129.02430000000001</v>
      </c>
      <c r="FD144" s="311">
        <f t="shared" si="511"/>
        <v>220.92025000000001</v>
      </c>
      <c r="FE144" s="311">
        <f t="shared" si="512"/>
        <v>113.4</v>
      </c>
      <c r="FF144" s="311">
        <f t="shared" si="513"/>
        <v>107.52025</v>
      </c>
      <c r="FG144" s="311">
        <f t="shared" si="514"/>
        <v>42.928115909090906</v>
      </c>
      <c r="FH144" s="311">
        <f t="shared" si="515"/>
        <v>21.42406590909091</v>
      </c>
      <c r="FI144" s="311">
        <f t="shared" si="516"/>
        <v>21.504049999999999</v>
      </c>
      <c r="FJ144" s="311">
        <f t="shared" si="517"/>
        <v>217.84888636363635</v>
      </c>
      <c r="FK144" s="311">
        <f t="shared" si="518"/>
        <v>110.32863636363635</v>
      </c>
      <c r="FL144" s="311">
        <f t="shared" si="519"/>
        <v>107.52025</v>
      </c>
      <c r="FM144" s="657"/>
      <c r="FN144" s="293" t="s">
        <v>2649</v>
      </c>
      <c r="FO144" s="728">
        <v>6.3710000000000003E-2</v>
      </c>
      <c r="FP144" s="729">
        <v>0.9</v>
      </c>
      <c r="FQ144" s="294" t="s">
        <v>3406</v>
      </c>
      <c r="FR144" s="657"/>
      <c r="FS144" s="865">
        <v>3.77</v>
      </c>
      <c r="FT144" s="312">
        <f>RANK($FS144,$FS$8:$FS$154,0)+COUNTIF($FS$8:$FS144,$FS144)-1</f>
        <v>17</v>
      </c>
      <c r="FU144" s="865">
        <v>4.1399999999999997</v>
      </c>
      <c r="FV144" s="312">
        <f>RANK($FU144,$FU$8:$FU$154,0)+COUNTIF($FU$8:$FU144,$FU144)-1</f>
        <v>59</v>
      </c>
      <c r="FW144" s="865">
        <v>3.31</v>
      </c>
      <c r="FX144" s="312">
        <f>RANK($FW144,$FW$8:$FW$154,0)+COUNTIF($FW$8:$FW144,$FW144)-1</f>
        <v>3</v>
      </c>
      <c r="FY144" s="657"/>
      <c r="FZ144" s="296" t="s">
        <v>5091</v>
      </c>
      <c r="GA144" s="296" t="s">
        <v>5092</v>
      </c>
      <c r="GB144" s="296" t="s">
        <v>3409</v>
      </c>
      <c r="GC144" s="296" t="s">
        <v>3410</v>
      </c>
      <c r="GD144" s="296" t="s">
        <v>3411</v>
      </c>
      <c r="GE144" s="296" t="s">
        <v>3412</v>
      </c>
      <c r="GF144" s="296" t="str">
        <f t="shared" si="561"/>
        <v>https://www.justice.gouv.fr/presentation-loi-dorientation-programmation-ministere-justice-2023-2027
https://www.justice.gouv.fr/ministere-justice/budget-justice
https://www.justice.gouv.fr/documentation/ressources/rapport-2024-loi-dorientation-programmation-du-ministere-justice-2023-2027
https://www.justice.gouv.fr/plan-15-000-places-prison
https://www.justice.gouv.fr/actualites/actualite/immobilier-penitentiaire-15000-places-plus-prisons
https://www.statistiques.developpement-durable.gouv.fr/construction-de-locaux-resultats-fin-janvier-2026-france-entiere
https://www.insee.fr/fr/statistiques/8671745
https://www.insee.fr/fr/statistiques/8906564</v>
      </c>
      <c r="GG144" s="657"/>
      <c r="GH144" s="311">
        <f t="shared" si="520"/>
        <v>5.302086000000001</v>
      </c>
      <c r="GI144" s="311">
        <f t="shared" si="451"/>
        <v>2.7216000000000005</v>
      </c>
      <c r="GJ144" s="311">
        <f t="shared" si="521"/>
        <v>2.5804860000000001</v>
      </c>
      <c r="GK144" s="311">
        <f t="shared" si="522"/>
        <v>175.27949427272728</v>
      </c>
      <c r="GL144" s="311">
        <f t="shared" si="452"/>
        <v>86.25272727272727</v>
      </c>
      <c r="GM144" s="311">
        <f t="shared" si="523"/>
        <v>89.026767000000007</v>
      </c>
      <c r="GN144" s="311">
        <f t="shared" si="524"/>
        <v>4.3152360000000005</v>
      </c>
      <c r="GO144" s="311">
        <f t="shared" si="453"/>
        <v>1.7347500000000002</v>
      </c>
      <c r="GP144" s="311">
        <f t="shared" si="525"/>
        <v>2.5804860000000001</v>
      </c>
      <c r="GQ144" s="311">
        <f t="shared" si="526"/>
        <v>75.984561000000014</v>
      </c>
      <c r="GR144" s="311">
        <f t="shared" si="454"/>
        <v>41.148000000000003</v>
      </c>
      <c r="GS144" s="311">
        <f t="shared" si="527"/>
        <v>34.836561000000003</v>
      </c>
      <c r="GT144" s="311">
        <f t="shared" si="528"/>
        <v>52.004455000000007</v>
      </c>
      <c r="GU144" s="311">
        <f t="shared" si="455"/>
        <v>28.35</v>
      </c>
      <c r="GV144" s="311">
        <f t="shared" si="529"/>
        <v>23.654455000000002</v>
      </c>
      <c r="GW144" s="311">
        <f t="shared" si="530"/>
        <v>168.915795</v>
      </c>
      <c r="GX144" s="311">
        <f t="shared" si="456"/>
        <v>85.05</v>
      </c>
      <c r="GY144" s="311">
        <f t="shared" si="531"/>
        <v>83.865795000000006</v>
      </c>
      <c r="GZ144" s="311">
        <f t="shared" si="532"/>
        <v>0</v>
      </c>
      <c r="HA144" s="311">
        <f t="shared" si="457"/>
        <v>0</v>
      </c>
      <c r="HB144" s="311">
        <f t="shared" si="533"/>
        <v>0</v>
      </c>
      <c r="HC144" s="311">
        <f t="shared" si="534"/>
        <v>4.6904050000000002</v>
      </c>
      <c r="HD144" s="311">
        <f t="shared" si="458"/>
        <v>2.5400000000000005</v>
      </c>
      <c r="HE144" s="311">
        <f t="shared" si="535"/>
        <v>2.1504050000000001</v>
      </c>
      <c r="HF144" s="311">
        <f t="shared" si="536"/>
        <v>33.41729040909091</v>
      </c>
      <c r="HG144" s="311">
        <f t="shared" si="459"/>
        <v>16.42909090909091</v>
      </c>
      <c r="HH144" s="311">
        <f t="shared" si="537"/>
        <v>16.9881995</v>
      </c>
      <c r="HI144" s="311">
        <f t="shared" si="538"/>
        <v>1.7275369999999999</v>
      </c>
      <c r="HJ144" s="311">
        <f t="shared" si="460"/>
        <v>0.86737500000000001</v>
      </c>
      <c r="HK144" s="311">
        <f t="shared" si="539"/>
        <v>0.86016199999999998</v>
      </c>
      <c r="HL144" s="311">
        <f t="shared" si="540"/>
        <v>3.0928835000000006</v>
      </c>
      <c r="HM144" s="311">
        <f t="shared" si="461"/>
        <v>1.5876000000000006</v>
      </c>
      <c r="HN144" s="311">
        <f t="shared" si="541"/>
        <v>1.5052835</v>
      </c>
      <c r="HO144" s="311">
        <f t="shared" si="542"/>
        <v>127.1761375</v>
      </c>
      <c r="HP144" s="311">
        <f t="shared" si="462"/>
        <v>68.039999999999992</v>
      </c>
      <c r="HQ144" s="311">
        <f t="shared" si="543"/>
        <v>59.136137500000004</v>
      </c>
      <c r="HR144" s="311">
        <f t="shared" si="544"/>
        <v>77.871533863636358</v>
      </c>
      <c r="HS144" s="311">
        <f t="shared" si="463"/>
        <v>35.938636363636363</v>
      </c>
      <c r="HT144" s="311">
        <f t="shared" si="545"/>
        <v>41.932897500000003</v>
      </c>
      <c r="HU144" s="311">
        <f t="shared" si="546"/>
        <v>12.801214999999999</v>
      </c>
      <c r="HV144" s="311">
        <f t="shared" si="464"/>
        <v>6.35</v>
      </c>
      <c r="HW144" s="311">
        <f t="shared" si="547"/>
        <v>6.4512150000000004</v>
      </c>
      <c r="HY144" s="313">
        <f t="shared" si="548"/>
        <v>935.00000000000011</v>
      </c>
      <c r="HZ144" s="313">
        <f t="shared" si="549"/>
        <v>58.652000000000001</v>
      </c>
      <c r="IA144" s="313">
        <f t="shared" si="550"/>
        <v>510.1635</v>
      </c>
      <c r="IB144" s="313">
        <f t="shared" si="551"/>
        <v>347.96850000000001</v>
      </c>
      <c r="IC144" s="313">
        <f t="shared" si="552"/>
        <v>18.149999999999999</v>
      </c>
      <c r="ID144" s="313">
        <f t="shared" si="553"/>
        <v>6.6000000000000003E-2</v>
      </c>
      <c r="IE144" s="313">
        <f t="shared" si="554"/>
        <v>377.00977954545459</v>
      </c>
      <c r="IF144" s="313">
        <f t="shared" si="555"/>
        <v>4.4879921484090914</v>
      </c>
      <c r="IG144" s="313">
        <f t="shared" si="556"/>
        <v>112.06683527636365</v>
      </c>
      <c r="IH144" s="313">
        <f t="shared" si="557"/>
        <v>225.25744520000001</v>
      </c>
      <c r="II144" s="313">
        <f t="shared" si="558"/>
        <v>34.792587154318177</v>
      </c>
      <c r="IJ144" s="313">
        <f t="shared" si="559"/>
        <v>0.40491976636363636</v>
      </c>
      <c r="IK144" s="866">
        <v>4.3</v>
      </c>
      <c r="IL144" s="314" t="s">
        <v>2701</v>
      </c>
      <c r="IM144" s="299" t="s">
        <v>5093</v>
      </c>
      <c r="IN144" s="657"/>
      <c r="IO144" s="730">
        <v>5.0299999999999997E-2</v>
      </c>
      <c r="IP144" s="730">
        <v>0.5232</v>
      </c>
      <c r="IQ144" s="730">
        <v>0.40329999999999999</v>
      </c>
      <c r="IR144" s="730">
        <v>2.3099999999999999E-2</v>
      </c>
      <c r="IS144" s="730">
        <v>1E-4</v>
      </c>
      <c r="IT144" s="730">
        <v>8.6E-3</v>
      </c>
      <c r="IU144" s="730">
        <v>0.26679999999999998</v>
      </c>
      <c r="IV144" s="730">
        <v>0.61739999999999995</v>
      </c>
      <c r="IW144" s="730">
        <v>0.10589999999999999</v>
      </c>
      <c r="IX144" s="730">
        <v>1.2999999999999999E-3</v>
      </c>
      <c r="IY144" s="730">
        <v>7.1499999999999994E-2</v>
      </c>
      <c r="IZ144" s="730">
        <v>0.57299999999999995</v>
      </c>
      <c r="JA144" s="730">
        <v>0.34050000000000002</v>
      </c>
      <c r="JB144" s="730">
        <v>1.4999999999999999E-2</v>
      </c>
      <c r="JC144" s="730">
        <v>0</v>
      </c>
      <c r="JD144" s="730">
        <v>1.3599999999999999E-2</v>
      </c>
      <c r="JE144" s="730">
        <v>0.32640000000000002</v>
      </c>
      <c r="JF144" s="730">
        <v>0.58220000000000005</v>
      </c>
      <c r="JG144" s="730">
        <v>7.6999999999999999E-2</v>
      </c>
      <c r="JH144" s="730">
        <v>8.0000000000000004E-4</v>
      </c>
      <c r="JI144" s="730">
        <v>0.12659999999999999</v>
      </c>
      <c r="JJ144" s="730">
        <v>0.57599999999999996</v>
      </c>
      <c r="JK144" s="730">
        <v>0.28239999999999998</v>
      </c>
      <c r="JL144" s="730">
        <v>1.49E-2</v>
      </c>
      <c r="JM144" s="730">
        <v>1E-4</v>
      </c>
      <c r="JN144" s="730">
        <v>3.4099999999999998E-2</v>
      </c>
      <c r="JO144" s="730">
        <v>0.39760000000000001</v>
      </c>
      <c r="JP144" s="730">
        <v>0.49959999999999999</v>
      </c>
      <c r="JQ144" s="730">
        <v>6.7699999999999996E-2</v>
      </c>
      <c r="JR144" s="730">
        <v>1E-3</v>
      </c>
      <c r="JS144" s="730">
        <v>5.6099999999999997E-2</v>
      </c>
      <c r="JT144" s="730">
        <v>0.53910000000000002</v>
      </c>
      <c r="JU144" s="730">
        <v>0.38440000000000002</v>
      </c>
      <c r="JV144" s="730">
        <v>2.0299999999999999E-2</v>
      </c>
      <c r="JW144" s="730">
        <v>1E-4</v>
      </c>
      <c r="JX144" s="730">
        <v>9.7999999999999997E-3</v>
      </c>
      <c r="JY144" s="730">
        <v>0.28420000000000001</v>
      </c>
      <c r="JZ144" s="730">
        <v>0.60840000000000005</v>
      </c>
      <c r="KA144" s="730">
        <v>9.6500000000000002E-2</v>
      </c>
      <c r="KB144" s="730">
        <v>1.1000000000000001E-3</v>
      </c>
      <c r="KC144" s="657"/>
      <c r="KD144" s="314" t="s">
        <v>2590</v>
      </c>
      <c r="KE144" s="314" t="s">
        <v>2591</v>
      </c>
      <c r="KF144" s="866">
        <v>4.3</v>
      </c>
      <c r="KG144" s="314" t="s">
        <v>2589</v>
      </c>
      <c r="KH144" s="315" t="s">
        <v>3414</v>
      </c>
      <c r="KI144" s="314" t="s">
        <v>2720</v>
      </c>
      <c r="KJ144" s="315" t="s">
        <v>5094</v>
      </c>
    </row>
    <row r="145" spans="1:383" s="45" customFormat="1" ht="48" hidden="1" customHeight="1">
      <c r="A145" s="379">
        <f t="shared" si="560"/>
        <v>138</v>
      </c>
      <c r="B145" s="380" t="s">
        <v>4908</v>
      </c>
      <c r="C145" s="380" t="s">
        <v>88</v>
      </c>
      <c r="D145" s="835" t="s">
        <v>5095</v>
      </c>
      <c r="E145" s="381" t="s">
        <v>2117</v>
      </c>
      <c r="F145" s="381" t="s">
        <v>3387</v>
      </c>
      <c r="G145" s="381" t="s">
        <v>2121</v>
      </c>
      <c r="H145" s="381" t="s">
        <v>2096</v>
      </c>
      <c r="I145" s="382" t="s">
        <v>5096</v>
      </c>
      <c r="J145" s="382" t="s">
        <v>5097</v>
      </c>
      <c r="K145" s="383" t="s">
        <v>2109</v>
      </c>
      <c r="L145" s="383" t="s">
        <v>2109</v>
      </c>
      <c r="M145" s="383" t="s">
        <v>2603</v>
      </c>
      <c r="N145" s="383" t="s">
        <v>2099</v>
      </c>
      <c r="O145" s="381" t="s">
        <v>2616</v>
      </c>
      <c r="P145" s="382" t="s">
        <v>5098</v>
      </c>
      <c r="Q145" s="356">
        <v>0</v>
      </c>
      <c r="R145" s="384">
        <v>2200</v>
      </c>
      <c r="S145" s="385">
        <v>0</v>
      </c>
      <c r="T145" s="385">
        <v>0</v>
      </c>
      <c r="U145" s="385">
        <v>0</v>
      </c>
      <c r="V145" s="385">
        <v>2</v>
      </c>
      <c r="W145" s="385">
        <v>2</v>
      </c>
      <c r="X145" s="385">
        <v>2</v>
      </c>
      <c r="Y145" s="385">
        <v>2</v>
      </c>
      <c r="Z145" s="385">
        <v>2</v>
      </c>
      <c r="AA145" s="385">
        <v>2</v>
      </c>
      <c r="AB145" s="385">
        <v>2</v>
      </c>
      <c r="AC145" s="385">
        <v>1</v>
      </c>
      <c r="AD145" s="385">
        <v>1</v>
      </c>
      <c r="AE145" s="385">
        <v>1</v>
      </c>
      <c r="AF145" s="385">
        <v>0</v>
      </c>
      <c r="AG145" s="385">
        <v>0</v>
      </c>
      <c r="AH145" s="385">
        <v>0</v>
      </c>
      <c r="AI145" s="385">
        <v>0</v>
      </c>
      <c r="AJ145" s="385">
        <v>0</v>
      </c>
      <c r="AK145" s="385">
        <v>0</v>
      </c>
      <c r="AL145" s="382" t="s">
        <v>5099</v>
      </c>
      <c r="AM145" s="382" t="s">
        <v>5100</v>
      </c>
      <c r="AN145" s="382" t="s">
        <v>3393</v>
      </c>
      <c r="AO145" s="683"/>
      <c r="AP145" s="384">
        <v>55</v>
      </c>
      <c r="AQ145" s="386">
        <v>39</v>
      </c>
      <c r="AR145" s="386">
        <v>13</v>
      </c>
      <c r="AS145" s="386">
        <v>3</v>
      </c>
      <c r="AT145" s="683"/>
      <c r="AU145" s="387" t="s">
        <v>5101</v>
      </c>
      <c r="AV145" s="794" t="s">
        <v>5102</v>
      </c>
      <c r="AW145" s="798" t="s">
        <v>5103</v>
      </c>
      <c r="AX145" s="368" t="s">
        <v>4918</v>
      </c>
      <c r="AY145" s="683"/>
      <c r="AZ145" s="949">
        <v>22</v>
      </c>
      <c r="BA145" s="949">
        <v>8</v>
      </c>
      <c r="BB145" s="949">
        <v>1</v>
      </c>
      <c r="BC145" s="949">
        <v>20</v>
      </c>
      <c r="BD145" s="827">
        <f t="shared" si="465"/>
        <v>0</v>
      </c>
      <c r="BE145" s="388">
        <f t="shared" si="466"/>
        <v>0</v>
      </c>
      <c r="BF145" s="388">
        <f t="shared" si="467"/>
        <v>0</v>
      </c>
      <c r="BG145" s="388">
        <f t="shared" si="468"/>
        <v>0</v>
      </c>
      <c r="BH145" s="388">
        <f t="shared" si="469"/>
        <v>0</v>
      </c>
      <c r="BI145" s="827">
        <f t="shared" si="470"/>
        <v>0</v>
      </c>
      <c r="BJ145" s="388">
        <f t="shared" si="471"/>
        <v>0</v>
      </c>
      <c r="BK145" s="388">
        <f t="shared" si="472"/>
        <v>0</v>
      </c>
      <c r="BL145" s="388">
        <f t="shared" si="473"/>
        <v>0</v>
      </c>
      <c r="BM145" s="388">
        <f t="shared" si="474"/>
        <v>0</v>
      </c>
      <c r="BN145" s="683"/>
      <c r="BO145" s="389">
        <v>0.1</v>
      </c>
      <c r="BP145" s="389">
        <v>0.76</v>
      </c>
      <c r="BQ145" s="389">
        <v>0.08</v>
      </c>
      <c r="BR145" s="711">
        <v>0.06</v>
      </c>
      <c r="BS145" s="708">
        <v>0.08</v>
      </c>
      <c r="BT145" s="389">
        <v>0.76</v>
      </c>
      <c r="BU145" s="389">
        <v>0.1</v>
      </c>
      <c r="BV145" s="711">
        <v>0.06</v>
      </c>
      <c r="BW145" s="715"/>
      <c r="BX145" s="390"/>
      <c r="BY145" s="726"/>
      <c r="BZ145" s="715"/>
      <c r="CA145" s="390"/>
      <c r="CB145" s="726"/>
      <c r="CC145" s="389">
        <v>0.05</v>
      </c>
      <c r="CD145" s="389">
        <v>0.55000000000000004</v>
      </c>
      <c r="CE145" s="389">
        <v>0.1</v>
      </c>
      <c r="CF145" s="711">
        <v>0.3</v>
      </c>
      <c r="CG145" s="708">
        <v>0.04</v>
      </c>
      <c r="CH145" s="389">
        <v>0.55000000000000004</v>
      </c>
      <c r="CI145" s="389">
        <v>0.12</v>
      </c>
      <c r="CJ145" s="711">
        <v>0.28999999999999998</v>
      </c>
      <c r="CK145" s="721">
        <v>0.25</v>
      </c>
      <c r="CL145" s="391">
        <v>0.55000000000000004</v>
      </c>
      <c r="CM145" s="724">
        <v>0.2</v>
      </c>
      <c r="CN145" s="721">
        <v>0.15</v>
      </c>
      <c r="CO145" s="391">
        <v>0.57999999999999996</v>
      </c>
      <c r="CP145" s="724">
        <v>0.27</v>
      </c>
      <c r="CQ145" s="683"/>
      <c r="CR145" s="810">
        <v>10</v>
      </c>
      <c r="CS145" s="811">
        <v>11</v>
      </c>
      <c r="CT145" s="811">
        <v>8</v>
      </c>
      <c r="CU145" s="812">
        <v>10</v>
      </c>
      <c r="CV145" s="810"/>
      <c r="CW145" s="811"/>
      <c r="CX145" s="812"/>
      <c r="CY145" s="810"/>
      <c r="CZ145" s="811"/>
      <c r="DA145" s="811"/>
      <c r="DB145" s="812"/>
      <c r="DC145" s="810">
        <v>10</v>
      </c>
      <c r="DD145" s="811">
        <v>11</v>
      </c>
      <c r="DE145" s="812">
        <v>8</v>
      </c>
      <c r="DF145" s="816" t="s">
        <v>5104</v>
      </c>
      <c r="DG145" s="683"/>
      <c r="DH145" s="392">
        <f t="shared" si="475"/>
        <v>0</v>
      </c>
      <c r="DI145" s="392">
        <f t="shared" si="476"/>
        <v>0</v>
      </c>
      <c r="DJ145" s="392">
        <f t="shared" si="477"/>
        <v>0</v>
      </c>
      <c r="DK145" s="392">
        <f t="shared" si="478"/>
        <v>0</v>
      </c>
      <c r="DL145" s="393" t="s">
        <v>5105</v>
      </c>
      <c r="DM145" s="392">
        <f t="shared" si="479"/>
        <v>0</v>
      </c>
      <c r="DN145" s="392">
        <f t="shared" si="480"/>
        <v>0</v>
      </c>
      <c r="DO145" s="392">
        <f t="shared" si="481"/>
        <v>0</v>
      </c>
      <c r="DP145" s="392">
        <f t="shared" si="482"/>
        <v>0</v>
      </c>
      <c r="DQ145" s="394" t="s">
        <v>5106</v>
      </c>
      <c r="DR145" s="683"/>
      <c r="DS145" s="392">
        <f t="shared" si="483"/>
        <v>0</v>
      </c>
      <c r="DT145" s="392">
        <f t="shared" si="484"/>
        <v>0</v>
      </c>
      <c r="DU145" s="392">
        <f t="shared" si="485"/>
        <v>0</v>
      </c>
      <c r="DV145" s="394" t="s">
        <v>5107</v>
      </c>
      <c r="DW145" s="392">
        <f t="shared" si="486"/>
        <v>0</v>
      </c>
      <c r="DX145" s="392">
        <f t="shared" si="487"/>
        <v>0</v>
      </c>
      <c r="DY145" s="392">
        <f t="shared" si="488"/>
        <v>0</v>
      </c>
      <c r="DZ145" s="394" t="s">
        <v>5108</v>
      </c>
      <c r="EA145" s="683"/>
      <c r="EB145" s="392">
        <f t="shared" si="489"/>
        <v>0</v>
      </c>
      <c r="EC145" s="392">
        <f t="shared" si="490"/>
        <v>0</v>
      </c>
      <c r="ED145" s="392">
        <f t="shared" si="491"/>
        <v>0</v>
      </c>
      <c r="EE145" s="392">
        <f t="shared" si="492"/>
        <v>0</v>
      </c>
      <c r="EF145" s="394" t="s">
        <v>3552</v>
      </c>
      <c r="EG145" s="392">
        <f t="shared" si="493"/>
        <v>0</v>
      </c>
      <c r="EH145" s="392">
        <f t="shared" si="494"/>
        <v>0</v>
      </c>
      <c r="EI145" s="392">
        <f t="shared" si="495"/>
        <v>0</v>
      </c>
      <c r="EJ145" s="392">
        <f t="shared" si="496"/>
        <v>0</v>
      </c>
      <c r="EK145" s="394" t="s">
        <v>3553</v>
      </c>
      <c r="EL145" s="683"/>
      <c r="EM145" s="392">
        <f t="shared" si="497"/>
        <v>0</v>
      </c>
      <c r="EN145" s="395">
        <f t="shared" si="498"/>
        <v>0</v>
      </c>
      <c r="EO145" s="395">
        <f t="shared" si="499"/>
        <v>0</v>
      </c>
      <c r="EP145" s="394" t="s">
        <v>5109</v>
      </c>
      <c r="EQ145" s="392">
        <f t="shared" si="500"/>
        <v>0</v>
      </c>
      <c r="ER145" s="395">
        <f t="shared" si="501"/>
        <v>0</v>
      </c>
      <c r="ES145" s="395">
        <f t="shared" si="502"/>
        <v>0</v>
      </c>
      <c r="ET145" s="394" t="s">
        <v>5110</v>
      </c>
      <c r="EU145" s="683"/>
      <c r="EV145" s="734">
        <f t="shared" si="503"/>
        <v>0</v>
      </c>
      <c r="EW145" s="734">
        <f t="shared" si="504"/>
        <v>0</v>
      </c>
      <c r="EX145" s="396">
        <f t="shared" si="505"/>
        <v>0</v>
      </c>
      <c r="EY145" s="396">
        <f t="shared" si="506"/>
        <v>0</v>
      </c>
      <c r="EZ145" s="396">
        <f t="shared" si="507"/>
        <v>0</v>
      </c>
      <c r="FA145" s="396">
        <f t="shared" si="508"/>
        <v>0</v>
      </c>
      <c r="FB145" s="396">
        <f t="shared" si="509"/>
        <v>0</v>
      </c>
      <c r="FC145" s="396">
        <f t="shared" si="510"/>
        <v>0</v>
      </c>
      <c r="FD145" s="396">
        <f t="shared" si="511"/>
        <v>0</v>
      </c>
      <c r="FE145" s="396">
        <f t="shared" si="512"/>
        <v>0</v>
      </c>
      <c r="FF145" s="396">
        <f t="shared" si="513"/>
        <v>0</v>
      </c>
      <c r="FG145" s="396">
        <f t="shared" si="514"/>
        <v>0</v>
      </c>
      <c r="FH145" s="396">
        <f t="shared" si="515"/>
        <v>0</v>
      </c>
      <c r="FI145" s="396">
        <f t="shared" si="516"/>
        <v>0</v>
      </c>
      <c r="FJ145" s="396">
        <f t="shared" si="517"/>
        <v>0</v>
      </c>
      <c r="FK145" s="396">
        <f t="shared" si="518"/>
        <v>0</v>
      </c>
      <c r="FL145" s="396">
        <f t="shared" si="519"/>
        <v>0</v>
      </c>
      <c r="FM145" s="683"/>
      <c r="FN145" s="397" t="s">
        <v>2649</v>
      </c>
      <c r="FO145" s="734">
        <v>0.11466</v>
      </c>
      <c r="FP145" s="735">
        <v>0.9</v>
      </c>
      <c r="FQ145" s="398" t="s">
        <v>3406</v>
      </c>
      <c r="FR145" s="683"/>
      <c r="FS145" s="870">
        <v>2.7</v>
      </c>
      <c r="FT145" s="399">
        <f>RANK($FS145,$FS$8:$FS$154,0)+COUNTIF($FS$8:$FS145,$FS145)-1</f>
        <v>140</v>
      </c>
      <c r="FU145" s="870">
        <v>3.02</v>
      </c>
      <c r="FV145" s="399">
        <f>RANK($FU145,$FU$8:$FU$154,0)+COUNTIF($FU$8:$FU145,$FU145)-1</f>
        <v>147</v>
      </c>
      <c r="FW145" s="870">
        <v>2.2999999999999998</v>
      </c>
      <c r="FX145" s="399">
        <f>RANK($FW145,$FW$8:$FW$154,0)+COUNTIF($FW$8:$FW145,$FW145)-1</f>
        <v>62</v>
      </c>
      <c r="FY145" s="683"/>
      <c r="FZ145" s="400" t="s">
        <v>5111</v>
      </c>
      <c r="GA145" s="400" t="s">
        <v>5112</v>
      </c>
      <c r="GB145" s="400" t="s">
        <v>2653</v>
      </c>
      <c r="GC145" s="400" t="s">
        <v>2654</v>
      </c>
      <c r="GD145" s="400" t="s">
        <v>2655</v>
      </c>
      <c r="GE145" s="400" t="s">
        <v>2656</v>
      </c>
      <c r="GF145" s="400" t="str">
        <f t="shared" si="561"/>
        <v>https://www.justice.gouv.fr/presentation-loi-dorientation-programmation-ministere-justice-2023-2027
https://www.justice.gouv.fr/ministere-justice/budget-justice
https://www.justice.gouv.fr/documentation/ressources/rapport-2024-loi-dorientation-programmation-du-ministere-justice-2023-2027
https://www.justice.gouv.fr/plan-15-000-places-prison
https://www.justice.gouv.fr/actualites/actualite/immobilier-penitentiaire-15000-places-plus-prisons
https://www.statistiques.developpement-durable.gouv.fr/construction-de-locaux-resultats-fin-janvier-2026-france-entiere
https://www.insee.fr/fr/statistiques/8671745
https://www.insee.fr/fr/statistiques/8906564</v>
      </c>
      <c r="GG145" s="683"/>
      <c r="GH145" s="396">
        <f t="shared" si="520"/>
        <v>0</v>
      </c>
      <c r="GI145" s="396">
        <f t="shared" si="451"/>
        <v>0</v>
      </c>
      <c r="GJ145" s="396">
        <f t="shared" si="521"/>
        <v>0</v>
      </c>
      <c r="GK145" s="396">
        <f t="shared" si="522"/>
        <v>0</v>
      </c>
      <c r="GL145" s="396">
        <f t="shared" si="452"/>
        <v>0</v>
      </c>
      <c r="GM145" s="396">
        <f t="shared" si="523"/>
        <v>0</v>
      </c>
      <c r="GN145" s="396">
        <f t="shared" si="524"/>
        <v>0</v>
      </c>
      <c r="GO145" s="396">
        <f t="shared" si="453"/>
        <v>0</v>
      </c>
      <c r="GP145" s="396">
        <f t="shared" si="525"/>
        <v>0</v>
      </c>
      <c r="GQ145" s="396">
        <f t="shared" si="526"/>
        <v>0</v>
      </c>
      <c r="GR145" s="396">
        <f t="shared" si="454"/>
        <v>0</v>
      </c>
      <c r="GS145" s="396">
        <f t="shared" si="527"/>
        <v>0</v>
      </c>
      <c r="GT145" s="396">
        <f t="shared" si="528"/>
        <v>0</v>
      </c>
      <c r="GU145" s="396">
        <f t="shared" si="455"/>
        <v>0</v>
      </c>
      <c r="GV145" s="396">
        <f t="shared" si="529"/>
        <v>0</v>
      </c>
      <c r="GW145" s="396">
        <f t="shared" si="530"/>
        <v>0</v>
      </c>
      <c r="GX145" s="396">
        <f t="shared" si="456"/>
        <v>0</v>
      </c>
      <c r="GY145" s="396">
        <f t="shared" si="531"/>
        <v>0</v>
      </c>
      <c r="GZ145" s="396">
        <f t="shared" si="532"/>
        <v>0</v>
      </c>
      <c r="HA145" s="396">
        <f t="shared" si="457"/>
        <v>0</v>
      </c>
      <c r="HB145" s="396">
        <f t="shared" si="533"/>
        <v>0</v>
      </c>
      <c r="HC145" s="396">
        <f t="shared" si="534"/>
        <v>0</v>
      </c>
      <c r="HD145" s="396">
        <f t="shared" si="458"/>
        <v>0</v>
      </c>
      <c r="HE145" s="396">
        <f t="shared" si="535"/>
        <v>0</v>
      </c>
      <c r="HF145" s="396">
        <f t="shared" si="536"/>
        <v>0</v>
      </c>
      <c r="HG145" s="396">
        <f t="shared" si="459"/>
        <v>0</v>
      </c>
      <c r="HH145" s="396">
        <f t="shared" si="537"/>
        <v>0</v>
      </c>
      <c r="HI145" s="396">
        <f t="shared" si="538"/>
        <v>0</v>
      </c>
      <c r="HJ145" s="396">
        <f t="shared" si="460"/>
        <v>0</v>
      </c>
      <c r="HK145" s="396">
        <f t="shared" si="539"/>
        <v>0</v>
      </c>
      <c r="HL145" s="396">
        <f t="shared" si="540"/>
        <v>0</v>
      </c>
      <c r="HM145" s="396">
        <f t="shared" si="461"/>
        <v>0</v>
      </c>
      <c r="HN145" s="396">
        <f t="shared" si="541"/>
        <v>0</v>
      </c>
      <c r="HO145" s="396">
        <f t="shared" si="542"/>
        <v>0</v>
      </c>
      <c r="HP145" s="396">
        <f t="shared" si="462"/>
        <v>0</v>
      </c>
      <c r="HQ145" s="396">
        <f t="shared" si="543"/>
        <v>0</v>
      </c>
      <c r="HR145" s="396">
        <f t="shared" si="544"/>
        <v>0</v>
      </c>
      <c r="HS145" s="396">
        <f t="shared" si="463"/>
        <v>0</v>
      </c>
      <c r="HT145" s="396">
        <f t="shared" si="545"/>
        <v>0</v>
      </c>
      <c r="HU145" s="396">
        <f t="shared" si="546"/>
        <v>0</v>
      </c>
      <c r="HV145" s="396">
        <f t="shared" si="464"/>
        <v>0</v>
      </c>
      <c r="HW145" s="396">
        <f t="shared" si="547"/>
        <v>0</v>
      </c>
      <c r="HX145" s="684"/>
      <c r="HY145" s="401">
        <f t="shared" si="548"/>
        <v>0</v>
      </c>
      <c r="HZ145" s="401">
        <f t="shared" si="549"/>
        <v>0</v>
      </c>
      <c r="IA145" s="401">
        <f t="shared" si="550"/>
        <v>0</v>
      </c>
      <c r="IB145" s="401">
        <f t="shared" si="551"/>
        <v>0</v>
      </c>
      <c r="IC145" s="401">
        <f t="shared" si="552"/>
        <v>0</v>
      </c>
      <c r="ID145" s="401">
        <f t="shared" si="553"/>
        <v>0</v>
      </c>
      <c r="IE145" s="401">
        <f t="shared" si="554"/>
        <v>0</v>
      </c>
      <c r="IF145" s="401">
        <f t="shared" si="555"/>
        <v>0</v>
      </c>
      <c r="IG145" s="401">
        <f t="shared" si="556"/>
        <v>0</v>
      </c>
      <c r="IH145" s="401">
        <f t="shared" si="557"/>
        <v>0</v>
      </c>
      <c r="II145" s="401">
        <f t="shared" si="558"/>
        <v>0</v>
      </c>
      <c r="IJ145" s="401">
        <f t="shared" si="559"/>
        <v>0</v>
      </c>
      <c r="IK145" s="871">
        <v>4.3</v>
      </c>
      <c r="IL145" s="402" t="s">
        <v>2701</v>
      </c>
      <c r="IM145" s="403" t="s">
        <v>5113</v>
      </c>
      <c r="IN145" s="683"/>
      <c r="IO145" s="736">
        <v>0</v>
      </c>
      <c r="IP145" s="736">
        <v>0</v>
      </c>
      <c r="IQ145" s="736">
        <v>0</v>
      </c>
      <c r="IR145" s="736">
        <v>0</v>
      </c>
      <c r="IS145" s="736">
        <v>0</v>
      </c>
      <c r="IT145" s="736">
        <v>0</v>
      </c>
      <c r="IU145" s="736">
        <v>0</v>
      </c>
      <c r="IV145" s="736">
        <v>0</v>
      </c>
      <c r="IW145" s="736">
        <v>0</v>
      </c>
      <c r="IX145" s="736">
        <v>0</v>
      </c>
      <c r="IY145" s="736">
        <v>0</v>
      </c>
      <c r="IZ145" s="736">
        <v>0</v>
      </c>
      <c r="JA145" s="736">
        <v>0</v>
      </c>
      <c r="JB145" s="736">
        <v>0</v>
      </c>
      <c r="JC145" s="736">
        <v>0</v>
      </c>
      <c r="JD145" s="736">
        <v>0</v>
      </c>
      <c r="JE145" s="736">
        <v>0</v>
      </c>
      <c r="JF145" s="736">
        <v>0</v>
      </c>
      <c r="JG145" s="736">
        <v>0</v>
      </c>
      <c r="JH145" s="736">
        <v>0</v>
      </c>
      <c r="JI145" s="736">
        <v>0</v>
      </c>
      <c r="JJ145" s="736">
        <v>0</v>
      </c>
      <c r="JK145" s="736">
        <v>0</v>
      </c>
      <c r="JL145" s="736">
        <v>0</v>
      </c>
      <c r="JM145" s="736">
        <v>0</v>
      </c>
      <c r="JN145" s="736">
        <v>0</v>
      </c>
      <c r="JO145" s="736">
        <v>0</v>
      </c>
      <c r="JP145" s="736">
        <v>0</v>
      </c>
      <c r="JQ145" s="736">
        <v>0</v>
      </c>
      <c r="JR145" s="736">
        <v>0</v>
      </c>
      <c r="JS145" s="736">
        <v>0</v>
      </c>
      <c r="JT145" s="736">
        <v>0</v>
      </c>
      <c r="JU145" s="736">
        <v>0</v>
      </c>
      <c r="JV145" s="736">
        <v>0</v>
      </c>
      <c r="JW145" s="736">
        <v>0</v>
      </c>
      <c r="JX145" s="736">
        <v>0</v>
      </c>
      <c r="JY145" s="736">
        <v>0</v>
      </c>
      <c r="JZ145" s="736">
        <v>0</v>
      </c>
      <c r="KA145" s="736">
        <v>0</v>
      </c>
      <c r="KB145" s="736">
        <v>0</v>
      </c>
      <c r="KC145" s="683"/>
      <c r="KD145" s="402" t="s">
        <v>2590</v>
      </c>
      <c r="KE145" s="402" t="s">
        <v>2590</v>
      </c>
      <c r="KF145" s="871">
        <v>4.0999999999999996</v>
      </c>
      <c r="KG145" s="402" t="s">
        <v>2589</v>
      </c>
      <c r="KH145" s="404" t="s">
        <v>3414</v>
      </c>
      <c r="KI145" s="402" t="s">
        <v>2704</v>
      </c>
      <c r="KJ145" s="404" t="s">
        <v>5114</v>
      </c>
      <c r="KK145" s="834"/>
      <c r="KL145" s="834"/>
      <c r="KM145" s="834"/>
      <c r="KN145" s="834"/>
      <c r="KO145" s="834"/>
      <c r="KP145" s="834"/>
      <c r="KQ145" s="834"/>
      <c r="KR145" s="834"/>
      <c r="KS145" s="834"/>
      <c r="KT145" s="834"/>
      <c r="KU145" s="834"/>
      <c r="KV145" s="834"/>
      <c r="KW145" s="834"/>
      <c r="KX145" s="834"/>
      <c r="KY145" s="834"/>
      <c r="KZ145" s="834"/>
      <c r="LA145" s="834"/>
      <c r="LB145" s="834"/>
      <c r="LC145" s="834"/>
      <c r="LD145" s="834"/>
      <c r="LE145" s="834"/>
      <c r="LF145" s="834"/>
      <c r="LG145" s="834"/>
      <c r="LH145" s="834"/>
      <c r="LI145" s="834"/>
      <c r="LJ145" s="834"/>
      <c r="LK145" s="834"/>
      <c r="LL145" s="834"/>
      <c r="LM145" s="834"/>
      <c r="LN145" s="834"/>
      <c r="LO145" s="834"/>
      <c r="LP145" s="834"/>
      <c r="LQ145" s="834"/>
      <c r="LR145" s="834"/>
      <c r="LS145" s="834"/>
      <c r="LT145" s="834"/>
      <c r="LU145" s="834"/>
      <c r="LV145" s="834"/>
      <c r="LW145" s="834"/>
      <c r="LX145" s="834"/>
      <c r="LY145" s="834"/>
      <c r="LZ145" s="834"/>
      <c r="MA145" s="834"/>
      <c r="MB145" s="834"/>
      <c r="MC145" s="834"/>
      <c r="MD145" s="834"/>
      <c r="ME145" s="834"/>
      <c r="MF145" s="834"/>
      <c r="MG145" s="834"/>
      <c r="MH145" s="834"/>
      <c r="MI145" s="834"/>
      <c r="MJ145" s="834"/>
      <c r="MK145" s="834"/>
      <c r="ML145" s="834"/>
      <c r="MM145" s="834"/>
      <c r="MN145" s="834"/>
      <c r="MO145" s="834"/>
      <c r="MP145" s="834"/>
      <c r="MQ145" s="834"/>
      <c r="MR145" s="834"/>
      <c r="MS145" s="834"/>
      <c r="MT145" s="834"/>
      <c r="MU145" s="834"/>
      <c r="MV145" s="834"/>
      <c r="MW145" s="834"/>
      <c r="MX145" s="834"/>
      <c r="MY145" s="834"/>
      <c r="MZ145" s="834"/>
      <c r="NA145" s="834"/>
      <c r="NB145" s="834"/>
      <c r="NC145" s="834"/>
      <c r="ND145" s="834"/>
      <c r="NE145" s="834"/>
      <c r="NF145" s="834"/>
      <c r="NG145" s="834"/>
      <c r="NH145" s="834"/>
      <c r="NI145" s="834"/>
      <c r="NJ145" s="834"/>
      <c r="NK145" s="834"/>
      <c r="NL145" s="834"/>
      <c r="NM145" s="834"/>
      <c r="NN145" s="834"/>
      <c r="NO145" s="834"/>
      <c r="NP145" s="834"/>
      <c r="NQ145" s="834"/>
      <c r="NR145" s="834"/>
      <c r="NS145" s="834"/>
    </row>
    <row r="146" spans="1:383" ht="48" hidden="1" customHeight="1">
      <c r="A146" s="273">
        <f t="shared" si="560"/>
        <v>139</v>
      </c>
      <c r="B146" s="274" t="s">
        <v>4908</v>
      </c>
      <c r="C146" s="274" t="s">
        <v>2027</v>
      </c>
      <c r="D146" s="274" t="s">
        <v>2028</v>
      </c>
      <c r="E146" s="275" t="s">
        <v>2117</v>
      </c>
      <c r="F146" s="275" t="s">
        <v>4598</v>
      </c>
      <c r="G146" s="275" t="s">
        <v>300</v>
      </c>
      <c r="H146" s="275" t="s">
        <v>2109</v>
      </c>
      <c r="I146" s="276" t="s">
        <v>5115</v>
      </c>
      <c r="J146" s="276" t="s">
        <v>5116</v>
      </c>
      <c r="K146" s="277" t="s">
        <v>2097</v>
      </c>
      <c r="L146" s="277" t="s">
        <v>2109</v>
      </c>
      <c r="M146" s="277" t="s">
        <v>5117</v>
      </c>
      <c r="N146" s="277" t="s">
        <v>2099</v>
      </c>
      <c r="O146" s="275" t="s">
        <v>2616</v>
      </c>
      <c r="P146" s="276"/>
      <c r="Q146" s="270">
        <v>1</v>
      </c>
      <c r="R146" s="278">
        <v>4000</v>
      </c>
      <c r="S146" s="279">
        <v>181</v>
      </c>
      <c r="T146" s="279">
        <v>181</v>
      </c>
      <c r="U146" s="279">
        <v>179</v>
      </c>
      <c r="V146" s="279">
        <v>170</v>
      </c>
      <c r="W146" s="279">
        <f>V146-1</f>
        <v>169</v>
      </c>
      <c r="X146" s="279">
        <f>W146-1</f>
        <v>168</v>
      </c>
      <c r="Y146" s="279">
        <f>X146-1</f>
        <v>167</v>
      </c>
      <c r="Z146" s="279">
        <f>Y146-1</f>
        <v>166</v>
      </c>
      <c r="AA146" s="279">
        <v>165</v>
      </c>
      <c r="AB146" s="279">
        <v>164</v>
      </c>
      <c r="AC146" s="279">
        <v>163</v>
      </c>
      <c r="AD146" s="279">
        <v>162</v>
      </c>
      <c r="AE146" s="279">
        <v>163</v>
      </c>
      <c r="AF146" s="279">
        <v>164</v>
      </c>
      <c r="AG146" s="279">
        <v>163</v>
      </c>
      <c r="AH146" s="279">
        <v>162</v>
      </c>
      <c r="AI146" s="279">
        <v>162</v>
      </c>
      <c r="AJ146" s="279">
        <v>161</v>
      </c>
      <c r="AK146" s="279">
        <v>160</v>
      </c>
      <c r="AL146" s="276" t="s">
        <v>5118</v>
      </c>
      <c r="AM146" s="276" t="s">
        <v>5119</v>
      </c>
      <c r="AN146" s="276" t="s">
        <v>5120</v>
      </c>
      <c r="AO146" s="657"/>
      <c r="AP146" s="278">
        <v>600</v>
      </c>
      <c r="AQ146" s="278">
        <v>390</v>
      </c>
      <c r="AR146" s="278">
        <v>150</v>
      </c>
      <c r="AS146" s="278">
        <v>60</v>
      </c>
      <c r="AT146" s="657"/>
      <c r="AU146" s="281" t="s">
        <v>5121</v>
      </c>
      <c r="AV146" s="296" t="s">
        <v>5122</v>
      </c>
      <c r="AW146" s="296" t="s">
        <v>5123</v>
      </c>
      <c r="AX146" s="276" t="s">
        <v>4918</v>
      </c>
      <c r="AY146" s="657"/>
      <c r="AZ146" s="947">
        <v>23</v>
      </c>
      <c r="BA146" s="947">
        <v>0</v>
      </c>
      <c r="BB146" s="947">
        <v>3</v>
      </c>
      <c r="BC146" s="947">
        <v>22</v>
      </c>
      <c r="BD146" s="826">
        <f t="shared" si="465"/>
        <v>7872</v>
      </c>
      <c r="BE146" s="283">
        <f t="shared" si="466"/>
        <v>3772</v>
      </c>
      <c r="BF146" s="283">
        <f t="shared" si="467"/>
        <v>0</v>
      </c>
      <c r="BG146" s="283">
        <f t="shared" si="468"/>
        <v>492</v>
      </c>
      <c r="BH146" s="283">
        <f t="shared" si="469"/>
        <v>3608</v>
      </c>
      <c r="BI146" s="826">
        <f t="shared" si="470"/>
        <v>7680</v>
      </c>
      <c r="BJ146" s="283">
        <f t="shared" si="471"/>
        <v>3680</v>
      </c>
      <c r="BK146" s="283">
        <f t="shared" si="472"/>
        <v>0</v>
      </c>
      <c r="BL146" s="283">
        <f t="shared" si="473"/>
        <v>480</v>
      </c>
      <c r="BM146" s="283">
        <f t="shared" si="474"/>
        <v>3520</v>
      </c>
      <c r="BN146" s="657"/>
      <c r="BO146" s="305">
        <v>0.18</v>
      </c>
      <c r="BP146" s="305">
        <v>0.64</v>
      </c>
      <c r="BQ146" s="305">
        <v>0.14000000000000001</v>
      </c>
      <c r="BR146" s="581">
        <v>0.04</v>
      </c>
      <c r="BS146" s="706">
        <v>0.16</v>
      </c>
      <c r="BT146" s="305">
        <v>0.64</v>
      </c>
      <c r="BU146" s="305">
        <v>0.17</v>
      </c>
      <c r="BV146" s="581">
        <v>0.03</v>
      </c>
      <c r="BW146" s="713"/>
      <c r="BX146" s="306"/>
      <c r="BY146" s="590"/>
      <c r="BZ146" s="713"/>
      <c r="CA146" s="306"/>
      <c r="CB146" s="590"/>
      <c r="CC146" s="706">
        <v>0.1</v>
      </c>
      <c r="CD146" s="305">
        <v>0.55000000000000004</v>
      </c>
      <c r="CE146" s="305">
        <v>0.15</v>
      </c>
      <c r="CF146" s="581">
        <v>0.2</v>
      </c>
      <c r="CG146" s="706">
        <v>0.08</v>
      </c>
      <c r="CH146" s="305">
        <v>0.55000000000000004</v>
      </c>
      <c r="CI146" s="305">
        <v>0.18</v>
      </c>
      <c r="CJ146" s="581">
        <v>0.19</v>
      </c>
      <c r="CK146" s="719">
        <v>0.4</v>
      </c>
      <c r="CL146" s="307">
        <v>0.35</v>
      </c>
      <c r="CM146" s="723">
        <v>0.25</v>
      </c>
      <c r="CN146" s="719">
        <v>0.32</v>
      </c>
      <c r="CO146" s="307">
        <v>0.38</v>
      </c>
      <c r="CP146" s="723">
        <v>0.3</v>
      </c>
      <c r="CQ146" s="657"/>
      <c r="CR146" s="804">
        <v>13</v>
      </c>
      <c r="CS146" s="805">
        <v>13</v>
      </c>
      <c r="CT146" s="805">
        <v>10</v>
      </c>
      <c r="CU146" s="806">
        <v>12</v>
      </c>
      <c r="CV146" s="804"/>
      <c r="CW146" s="805"/>
      <c r="CX146" s="806"/>
      <c r="CY146" s="804">
        <v>11</v>
      </c>
      <c r="CZ146" s="805">
        <v>13</v>
      </c>
      <c r="DA146" s="805">
        <v>9</v>
      </c>
      <c r="DB146" s="806">
        <v>11</v>
      </c>
      <c r="DC146" s="804">
        <v>12</v>
      </c>
      <c r="DD146" s="805">
        <v>13</v>
      </c>
      <c r="DE146" s="806">
        <v>10</v>
      </c>
      <c r="DF146" s="609" t="s">
        <v>5124</v>
      </c>
      <c r="DG146" s="657"/>
      <c r="DH146" s="308">
        <f t="shared" si="475"/>
        <v>678.95999999999992</v>
      </c>
      <c r="DI146" s="308">
        <f t="shared" si="476"/>
        <v>2414.08</v>
      </c>
      <c r="DJ146" s="308">
        <f t="shared" si="477"/>
        <v>528.08000000000004</v>
      </c>
      <c r="DK146" s="308">
        <f t="shared" si="478"/>
        <v>150.88</v>
      </c>
      <c r="DL146" s="287" t="s">
        <v>5125</v>
      </c>
      <c r="DM146" s="308">
        <f t="shared" si="479"/>
        <v>588.80000000000007</v>
      </c>
      <c r="DN146" s="308">
        <f t="shared" si="480"/>
        <v>2355.2000000000003</v>
      </c>
      <c r="DO146" s="308">
        <f t="shared" si="481"/>
        <v>625.6</v>
      </c>
      <c r="DP146" s="308">
        <f t="shared" si="482"/>
        <v>110.39999999999999</v>
      </c>
      <c r="DQ146" s="289" t="s">
        <v>5126</v>
      </c>
      <c r="DR146" s="657"/>
      <c r="DS146" s="308">
        <f t="shared" si="483"/>
        <v>0</v>
      </c>
      <c r="DT146" s="308">
        <f t="shared" si="484"/>
        <v>0</v>
      </c>
      <c r="DU146" s="308">
        <f t="shared" si="485"/>
        <v>0</v>
      </c>
      <c r="DV146" s="289" t="s">
        <v>2613</v>
      </c>
      <c r="DW146" s="308">
        <f t="shared" si="486"/>
        <v>0</v>
      </c>
      <c r="DX146" s="308">
        <f t="shared" si="487"/>
        <v>0</v>
      </c>
      <c r="DY146" s="308">
        <f t="shared" si="488"/>
        <v>0</v>
      </c>
      <c r="DZ146" s="289" t="s">
        <v>2613</v>
      </c>
      <c r="EA146" s="657"/>
      <c r="EB146" s="308">
        <f t="shared" si="489"/>
        <v>49.2</v>
      </c>
      <c r="EC146" s="308">
        <f t="shared" si="490"/>
        <v>270.60000000000002</v>
      </c>
      <c r="ED146" s="308">
        <f t="shared" si="491"/>
        <v>73.8</v>
      </c>
      <c r="EE146" s="308">
        <f t="shared" si="492"/>
        <v>98.4</v>
      </c>
      <c r="EF146" s="289" t="s">
        <v>5127</v>
      </c>
      <c r="EG146" s="308">
        <f t="shared" si="493"/>
        <v>38.4</v>
      </c>
      <c r="EH146" s="308">
        <f t="shared" si="494"/>
        <v>264</v>
      </c>
      <c r="EI146" s="308">
        <f t="shared" si="495"/>
        <v>86.399999999999991</v>
      </c>
      <c r="EJ146" s="308">
        <f t="shared" si="496"/>
        <v>91.2</v>
      </c>
      <c r="EK146" s="309" t="s">
        <v>5128</v>
      </c>
      <c r="EL146" s="657"/>
      <c r="EM146" s="308">
        <f t="shared" si="497"/>
        <v>1443.2</v>
      </c>
      <c r="EN146" s="310">
        <f t="shared" si="498"/>
        <v>1262.8</v>
      </c>
      <c r="EO146" s="310">
        <f t="shared" si="499"/>
        <v>902</v>
      </c>
      <c r="EP146" s="289" t="s">
        <v>5129</v>
      </c>
      <c r="EQ146" s="308">
        <f t="shared" si="500"/>
        <v>1126.4000000000001</v>
      </c>
      <c r="ER146" s="310">
        <f t="shared" si="501"/>
        <v>1337.6</v>
      </c>
      <c r="ES146" s="310">
        <f t="shared" si="502"/>
        <v>1056</v>
      </c>
      <c r="ET146" s="289" t="s">
        <v>5130</v>
      </c>
      <c r="EU146" s="657"/>
      <c r="EV146" s="728">
        <f t="shared" si="503"/>
        <v>0.84728352576903965</v>
      </c>
      <c r="EW146" s="728">
        <f t="shared" si="504"/>
        <v>0.15271647423096035</v>
      </c>
      <c r="EX146" s="311">
        <f t="shared" si="505"/>
        <v>3377.3267919999998</v>
      </c>
      <c r="EY146" s="311">
        <f t="shared" si="506"/>
        <v>2861.5533519999999</v>
      </c>
      <c r="EZ146" s="311">
        <f t="shared" si="507"/>
        <v>515.77343999999994</v>
      </c>
      <c r="FA146" s="311">
        <f t="shared" si="508"/>
        <v>1582.1656058205126</v>
      </c>
      <c r="FB146" s="311">
        <f t="shared" si="509"/>
        <v>1335.0241658205127</v>
      </c>
      <c r="FC146" s="311">
        <f t="shared" si="510"/>
        <v>247.14143999999999</v>
      </c>
      <c r="FD146" s="311">
        <f t="shared" si="511"/>
        <v>0</v>
      </c>
      <c r="FE146" s="311">
        <f t="shared" si="512"/>
        <v>0</v>
      </c>
      <c r="FF146" s="311">
        <f t="shared" si="513"/>
        <v>0</v>
      </c>
      <c r="FG146" s="311">
        <f t="shared" si="514"/>
        <v>217.06445788461536</v>
      </c>
      <c r="FH146" s="311">
        <f t="shared" si="515"/>
        <v>184.82861788461537</v>
      </c>
      <c r="FI146" s="311">
        <f t="shared" si="516"/>
        <v>32.235839999999996</v>
      </c>
      <c r="FJ146" s="311">
        <f t="shared" si="517"/>
        <v>1578.0967282948718</v>
      </c>
      <c r="FK146" s="311">
        <f t="shared" si="518"/>
        <v>1341.7005682948718</v>
      </c>
      <c r="FL146" s="311">
        <f t="shared" si="519"/>
        <v>236.39615999999998</v>
      </c>
      <c r="FM146" s="657"/>
      <c r="FN146" s="293" t="s">
        <v>2616</v>
      </c>
      <c r="FO146" s="728">
        <v>6.5519999999999995E-2</v>
      </c>
      <c r="FP146" s="729">
        <v>0.84006999999999998</v>
      </c>
      <c r="FQ146" s="294" t="s">
        <v>5131</v>
      </c>
      <c r="FR146" s="657"/>
      <c r="FS146" s="865">
        <v>3.08</v>
      </c>
      <c r="FT146" s="312">
        <f>RANK($FS146,$FS$8:$FS$154,0)+COUNTIF($FS$8:$FS146,$FS146)-1</f>
        <v>98</v>
      </c>
      <c r="FU146" s="865">
        <v>3.88</v>
      </c>
      <c r="FV146" s="312">
        <f>RANK($FU146,$FU$8:$FU$154,0)+COUNTIF($FU$8:$FU146,$FU146)-1</f>
        <v>100</v>
      </c>
      <c r="FW146" s="865">
        <v>2.11</v>
      </c>
      <c r="FX146" s="312">
        <f>RANK($FW146,$FW$8:$FW$154,0)+COUNTIF($FW$8:$FW146,$FW146)-1</f>
        <v>85</v>
      </c>
      <c r="FY146" s="657"/>
      <c r="FZ146" s="296" t="s">
        <v>5132</v>
      </c>
      <c r="GA146" s="296" t="s">
        <v>5133</v>
      </c>
      <c r="GB146" s="296" t="s">
        <v>5134</v>
      </c>
      <c r="GC146" s="296" t="s">
        <v>5135</v>
      </c>
      <c r="GD146" s="296" t="s">
        <v>5136</v>
      </c>
      <c r="GE146" s="296" t="s">
        <v>5137</v>
      </c>
      <c r="GF146" s="296" t="str">
        <f>HYPERLINK("https://www.justice.gouv.fr/presentation-loi-dorientation-programmation-ministere-justice-2023-2027","https://www.justice.gouv.fr/presentation-loi-dorientation-programmation-ministere-justice-2023-2027")&amp;CHAR(10)&amp;HYPERLINK("https://www.justice.gouv.fr/ministere-justice/budget-justice","https://www.justice.gouv.fr/ministere-justice/budget-justice")&amp;CHAR(10)&amp;HYPERLINK("https://www.justice.gouv.fr/documentation/ressources/rapport-2024-loi-dorientation-programmation-du-ministere-justice-2023-2027","https://www.justice.gouv.fr/documentation/ressources/rapport-2024-loi-dorientation-programmation-du-ministere-justice-2023-2027")&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https://www.justice.gouv.fr/presentation-loi-dorientation-programmation-ministere-justice-2023-2027
https://www.justice.gouv.fr/ministere-justice/budget-justice
https://www.justice.gouv.fr/documentation/ressources/rapport-2024-loi-dorientation-programmation-du-ministere-justice-2023-2027
https://www.statistiques.developpement-durable.gouv.fr/construction-de-locaux-resultats-fin-janvier-2026-france-entiere
https://www.insee.fr/fr/statistiques/8671745
https://www.insee.fr/fr/statistiques/8906564</v>
      </c>
      <c r="GG146" s="657"/>
      <c r="GH146" s="311">
        <f t="shared" si="520"/>
        <v>270.95606709230765</v>
      </c>
      <c r="GI146" s="311">
        <f t="shared" si="451"/>
        <v>231.41343669230764</v>
      </c>
      <c r="GJ146" s="311">
        <f t="shared" si="521"/>
        <v>39.5426304</v>
      </c>
      <c r="GK146" s="311">
        <f t="shared" si="522"/>
        <v>980.97385206153854</v>
      </c>
      <c r="GL146" s="311">
        <f t="shared" si="452"/>
        <v>822.80333046153851</v>
      </c>
      <c r="GM146" s="311">
        <f t="shared" si="523"/>
        <v>158.1705216</v>
      </c>
      <c r="GN146" s="311">
        <f t="shared" si="524"/>
        <v>267.88366569999999</v>
      </c>
      <c r="GO146" s="311">
        <f t="shared" si="453"/>
        <v>225.8696209</v>
      </c>
      <c r="GP146" s="311">
        <f t="shared" si="525"/>
        <v>42.014044800000001</v>
      </c>
      <c r="GQ146" s="311">
        <f t="shared" si="526"/>
        <v>62.352020966666664</v>
      </c>
      <c r="GR146" s="311">
        <f t="shared" si="454"/>
        <v>54.937777766666663</v>
      </c>
      <c r="GS146" s="311">
        <f t="shared" si="527"/>
        <v>7.4142431999999996</v>
      </c>
      <c r="GT146" s="311">
        <f t="shared" si="528"/>
        <v>0</v>
      </c>
      <c r="GU146" s="311">
        <f t="shared" si="455"/>
        <v>0</v>
      </c>
      <c r="GV146" s="311">
        <f t="shared" si="529"/>
        <v>0</v>
      </c>
      <c r="GW146" s="311">
        <f t="shared" si="530"/>
        <v>0</v>
      </c>
      <c r="GX146" s="311">
        <f t="shared" si="456"/>
        <v>0</v>
      </c>
      <c r="GY146" s="311">
        <f t="shared" si="531"/>
        <v>0</v>
      </c>
      <c r="GZ146" s="311">
        <f t="shared" si="532"/>
        <v>0</v>
      </c>
      <c r="HA146" s="311">
        <f t="shared" si="457"/>
        <v>0</v>
      </c>
      <c r="HB146" s="311">
        <f t="shared" si="533"/>
        <v>0</v>
      </c>
      <c r="HC146" s="311">
        <f t="shared" si="534"/>
        <v>21.824107200000004</v>
      </c>
      <c r="HD146" s="311">
        <f t="shared" si="458"/>
        <v>19.245240000000003</v>
      </c>
      <c r="HE146" s="311">
        <f t="shared" si="535"/>
        <v>2.5788671999999999</v>
      </c>
      <c r="HF146" s="311">
        <f t="shared" si="536"/>
        <v>109.95970488461538</v>
      </c>
      <c r="HG146" s="311">
        <f t="shared" si="459"/>
        <v>92.229992884615385</v>
      </c>
      <c r="HH146" s="311">
        <f t="shared" si="537"/>
        <v>17.729711999999999</v>
      </c>
      <c r="HI146" s="311">
        <f t="shared" si="538"/>
        <v>40.665356199999991</v>
      </c>
      <c r="HJ146" s="311">
        <f t="shared" si="460"/>
        <v>34.862904999999991</v>
      </c>
      <c r="HK146" s="311">
        <f t="shared" si="539"/>
        <v>5.8024511999999993</v>
      </c>
      <c r="HL146" s="311">
        <f t="shared" si="540"/>
        <v>44.615289600000004</v>
      </c>
      <c r="HM146" s="311">
        <f t="shared" si="461"/>
        <v>38.490480000000005</v>
      </c>
      <c r="HN146" s="311">
        <f t="shared" si="541"/>
        <v>6.124809599999999</v>
      </c>
      <c r="HO146" s="311">
        <f t="shared" si="542"/>
        <v>601.13855853333337</v>
      </c>
      <c r="HP146" s="311">
        <f t="shared" si="462"/>
        <v>525.49178733333338</v>
      </c>
      <c r="HQ146" s="311">
        <f t="shared" si="543"/>
        <v>75.646771199999989</v>
      </c>
      <c r="HR146" s="311">
        <f t="shared" si="544"/>
        <v>520.23717426153848</v>
      </c>
      <c r="HS146" s="311">
        <f t="shared" si="463"/>
        <v>430.40663346153843</v>
      </c>
      <c r="HT146" s="311">
        <f t="shared" si="545"/>
        <v>89.830540799999994</v>
      </c>
      <c r="HU146" s="311">
        <f t="shared" si="546"/>
        <v>456.72099549999996</v>
      </c>
      <c r="HV146" s="311">
        <f t="shared" si="464"/>
        <v>385.80214749999999</v>
      </c>
      <c r="HW146" s="311">
        <f t="shared" si="547"/>
        <v>70.918847999999997</v>
      </c>
      <c r="HY146" s="313">
        <f t="shared" si="548"/>
        <v>7872</v>
      </c>
      <c r="HZ146" s="313">
        <f t="shared" si="549"/>
        <v>25.141199999999998</v>
      </c>
      <c r="IA146" s="313">
        <f t="shared" si="550"/>
        <v>2065.0223999999998</v>
      </c>
      <c r="IB146" s="313">
        <f t="shared" si="551"/>
        <v>4301.3263999999999</v>
      </c>
      <c r="IC146" s="313">
        <f t="shared" si="552"/>
        <v>1425.5864000000001</v>
      </c>
      <c r="ID146" s="313">
        <f t="shared" si="553"/>
        <v>54.923600000000008</v>
      </c>
      <c r="IE146" s="313">
        <f t="shared" si="554"/>
        <v>2861.5533519999999</v>
      </c>
      <c r="IF146" s="313">
        <f t="shared" si="555"/>
        <v>0</v>
      </c>
      <c r="IG146" s="313">
        <f t="shared" si="556"/>
        <v>459.69618830474229</v>
      </c>
      <c r="IH146" s="313">
        <f t="shared" si="557"/>
        <v>1566.6448290320063</v>
      </c>
      <c r="II146" s="313">
        <f t="shared" si="558"/>
        <v>784.16727377171787</v>
      </c>
      <c r="IJ146" s="313">
        <f t="shared" si="559"/>
        <v>51.045060891533332</v>
      </c>
      <c r="IK146" s="866">
        <v>3.9</v>
      </c>
      <c r="IL146" s="314" t="s">
        <v>2589</v>
      </c>
      <c r="IM146" s="299" t="s">
        <v>5138</v>
      </c>
      <c r="IN146" s="657"/>
      <c r="IO146" s="730">
        <v>0</v>
      </c>
      <c r="IP146" s="730">
        <v>0.20860000000000001</v>
      </c>
      <c r="IQ146" s="730">
        <v>0.56069999999999998</v>
      </c>
      <c r="IR146" s="730">
        <v>0.2205</v>
      </c>
      <c r="IS146" s="730">
        <v>1.0200000000000001E-2</v>
      </c>
      <c r="IT146" s="730">
        <v>0</v>
      </c>
      <c r="IU146" s="730">
        <v>0.1142</v>
      </c>
      <c r="IV146" s="730">
        <v>0.53420000000000001</v>
      </c>
      <c r="IW146" s="730">
        <v>0.32619999999999999</v>
      </c>
      <c r="IX146" s="730">
        <v>2.5399999999999999E-2</v>
      </c>
      <c r="IY146" s="730">
        <v>0</v>
      </c>
      <c r="IZ146" s="730">
        <v>0</v>
      </c>
      <c r="JA146" s="730">
        <v>0</v>
      </c>
      <c r="JB146" s="730">
        <v>0</v>
      </c>
      <c r="JC146" s="730">
        <v>0</v>
      </c>
      <c r="JD146" s="730">
        <v>0</v>
      </c>
      <c r="JE146" s="730">
        <v>0</v>
      </c>
      <c r="JF146" s="730">
        <v>0</v>
      </c>
      <c r="JG146" s="730">
        <v>0</v>
      </c>
      <c r="JH146" s="730">
        <v>0</v>
      </c>
      <c r="JI146" s="730">
        <v>2.9100000000000001E-2</v>
      </c>
      <c r="JJ146" s="730">
        <v>0.38619999999999999</v>
      </c>
      <c r="JK146" s="730">
        <v>0.47870000000000001</v>
      </c>
      <c r="JL146" s="730">
        <v>0.1041</v>
      </c>
      <c r="JM146" s="730">
        <v>1.9E-3</v>
      </c>
      <c r="JN146" s="730">
        <v>0</v>
      </c>
      <c r="JO146" s="730">
        <v>0.27360000000000001</v>
      </c>
      <c r="JP146" s="730">
        <v>0.55179999999999996</v>
      </c>
      <c r="JQ146" s="730">
        <v>0.16900000000000001</v>
      </c>
      <c r="JR146" s="730">
        <v>5.5999999999999999E-3</v>
      </c>
      <c r="JS146" s="730">
        <v>3.0000000000000001E-3</v>
      </c>
      <c r="JT146" s="730">
        <v>0.30159999999999998</v>
      </c>
      <c r="JU146" s="730">
        <v>0.54069999999999996</v>
      </c>
      <c r="JV146" s="730">
        <v>0.15040000000000001</v>
      </c>
      <c r="JW146" s="730">
        <v>4.3E-3</v>
      </c>
      <c r="JX146" s="730">
        <v>0</v>
      </c>
      <c r="JY146" s="730">
        <v>0.1913</v>
      </c>
      <c r="JZ146" s="730">
        <v>0.56010000000000004</v>
      </c>
      <c r="KA146" s="730">
        <v>0.2366</v>
      </c>
      <c r="KB146" s="730">
        <v>1.2E-2</v>
      </c>
      <c r="KC146" s="657"/>
      <c r="KD146" s="314" t="s">
        <v>2590</v>
      </c>
      <c r="KE146" s="314" t="s">
        <v>2590</v>
      </c>
      <c r="KF146" s="866">
        <v>4.08</v>
      </c>
      <c r="KG146" s="314" t="s">
        <v>2589</v>
      </c>
      <c r="KH146" s="315" t="s">
        <v>5139</v>
      </c>
      <c r="KI146" s="314" t="s">
        <v>3384</v>
      </c>
      <c r="KJ146" s="315" t="s">
        <v>5140</v>
      </c>
    </row>
    <row r="147" spans="1:383" ht="48" hidden="1" customHeight="1">
      <c r="A147" s="265">
        <f t="shared" si="560"/>
        <v>140</v>
      </c>
      <c r="B147" s="266" t="s">
        <v>4908</v>
      </c>
      <c r="C147" s="266" t="s">
        <v>2027</v>
      </c>
      <c r="D147" s="624" t="s">
        <v>2030</v>
      </c>
      <c r="E147" s="267" t="s">
        <v>2158</v>
      </c>
      <c r="F147" s="267" t="s">
        <v>300</v>
      </c>
      <c r="G147" s="267" t="s">
        <v>300</v>
      </c>
      <c r="H147" s="267" t="s">
        <v>2109</v>
      </c>
      <c r="I147" s="268" t="s">
        <v>5141</v>
      </c>
      <c r="J147" s="268" t="s">
        <v>5142</v>
      </c>
      <c r="K147" s="269" t="s">
        <v>2097</v>
      </c>
      <c r="L147" s="269" t="s">
        <v>2109</v>
      </c>
      <c r="M147" s="269" t="s">
        <v>2603</v>
      </c>
      <c r="N147" s="269" t="s">
        <v>5143</v>
      </c>
      <c r="O147" s="267" t="s">
        <v>2616</v>
      </c>
      <c r="P147" s="268"/>
      <c r="Q147" s="270">
        <v>1</v>
      </c>
      <c r="R147" s="271">
        <v>900</v>
      </c>
      <c r="S147" s="272">
        <v>63</v>
      </c>
      <c r="T147" s="272">
        <v>120</v>
      </c>
      <c r="U147" s="272">
        <v>130</v>
      </c>
      <c r="V147" s="272">
        <v>137</v>
      </c>
      <c r="W147" s="272">
        <f>V147+1</f>
        <v>138</v>
      </c>
      <c r="X147" s="272">
        <f>W147+2</f>
        <v>140</v>
      </c>
      <c r="Y147" s="272">
        <f>X147+1</f>
        <v>141</v>
      </c>
      <c r="Z147" s="272">
        <f>Y147+2</f>
        <v>143</v>
      </c>
      <c r="AA147" s="272">
        <v>145</v>
      </c>
      <c r="AB147" s="272">
        <f>AA147+1</f>
        <v>146</v>
      </c>
      <c r="AC147" s="272">
        <f>AB147+1</f>
        <v>147</v>
      </c>
      <c r="AD147" s="272">
        <f>AC147+1</f>
        <v>148</v>
      </c>
      <c r="AE147" s="272">
        <f>AD147+1</f>
        <v>149</v>
      </c>
      <c r="AF147" s="272">
        <v>150</v>
      </c>
      <c r="AG147" s="272">
        <f>AF147+1</f>
        <v>151</v>
      </c>
      <c r="AH147" s="272">
        <f>AG147+1</f>
        <v>152</v>
      </c>
      <c r="AI147" s="272">
        <f>AH147+1</f>
        <v>153</v>
      </c>
      <c r="AJ147" s="272">
        <f>AI147+1</f>
        <v>154</v>
      </c>
      <c r="AK147" s="272">
        <f>AJ147+1</f>
        <v>155</v>
      </c>
      <c r="AL147" s="268" t="s">
        <v>5144</v>
      </c>
      <c r="AM147" s="268" t="s">
        <v>5145</v>
      </c>
      <c r="AN147" s="268" t="s">
        <v>5120</v>
      </c>
      <c r="AO147" s="657"/>
      <c r="AP147" s="271">
        <v>80</v>
      </c>
      <c r="AQ147" s="280">
        <v>52</v>
      </c>
      <c r="AR147" s="280">
        <v>20</v>
      </c>
      <c r="AS147" s="280">
        <v>8</v>
      </c>
      <c r="AT147" s="657"/>
      <c r="AU147" s="301" t="s">
        <v>5146</v>
      </c>
      <c r="AV147" s="572" t="s">
        <v>5147</v>
      </c>
      <c r="AW147" s="645" t="s">
        <v>3843</v>
      </c>
      <c r="AX147" s="290" t="s">
        <v>4918</v>
      </c>
      <c r="AY147" s="657"/>
      <c r="AZ147" s="948">
        <v>4</v>
      </c>
      <c r="BA147" s="948">
        <v>0</v>
      </c>
      <c r="BB147" s="948">
        <v>0.5</v>
      </c>
      <c r="BC147" s="948">
        <v>4</v>
      </c>
      <c r="BD147" s="825">
        <f t="shared" si="465"/>
        <v>1275</v>
      </c>
      <c r="BE147" s="304">
        <f t="shared" si="466"/>
        <v>600</v>
      </c>
      <c r="BF147" s="304">
        <f t="shared" si="467"/>
        <v>0</v>
      </c>
      <c r="BG147" s="304">
        <f t="shared" si="468"/>
        <v>75</v>
      </c>
      <c r="BH147" s="304">
        <f t="shared" si="469"/>
        <v>600</v>
      </c>
      <c r="BI147" s="825">
        <f t="shared" si="470"/>
        <v>1317.5</v>
      </c>
      <c r="BJ147" s="304">
        <f t="shared" si="471"/>
        <v>620</v>
      </c>
      <c r="BK147" s="304">
        <f t="shared" si="472"/>
        <v>0</v>
      </c>
      <c r="BL147" s="304">
        <f t="shared" si="473"/>
        <v>77.5</v>
      </c>
      <c r="BM147" s="304">
        <f t="shared" si="474"/>
        <v>620</v>
      </c>
      <c r="BN147" s="657"/>
      <c r="BO147" s="284">
        <v>0.18</v>
      </c>
      <c r="BP147" s="284">
        <v>0.64</v>
      </c>
      <c r="BQ147" s="284">
        <v>0.14000000000000001</v>
      </c>
      <c r="BR147" s="710">
        <v>0.04</v>
      </c>
      <c r="BS147" s="707">
        <v>0.16</v>
      </c>
      <c r="BT147" s="284">
        <v>0.64</v>
      </c>
      <c r="BU147" s="284">
        <v>0.17</v>
      </c>
      <c r="BV147" s="710">
        <v>0.03</v>
      </c>
      <c r="BW147" s="714"/>
      <c r="BX147" s="285"/>
      <c r="BY147" s="717"/>
      <c r="BZ147" s="714"/>
      <c r="CA147" s="285"/>
      <c r="CB147" s="717"/>
      <c r="CC147" s="284">
        <v>0.1</v>
      </c>
      <c r="CD147" s="284">
        <v>0.55000000000000004</v>
      </c>
      <c r="CE147" s="284">
        <v>0.15</v>
      </c>
      <c r="CF147" s="710">
        <v>0.2</v>
      </c>
      <c r="CG147" s="707">
        <v>0.08</v>
      </c>
      <c r="CH147" s="284">
        <v>0.55000000000000004</v>
      </c>
      <c r="CI147" s="284">
        <v>0.18</v>
      </c>
      <c r="CJ147" s="710">
        <v>0.19</v>
      </c>
      <c r="CK147" s="720">
        <v>0.55000000000000004</v>
      </c>
      <c r="CL147" s="286">
        <v>0.25</v>
      </c>
      <c r="CM147" s="718">
        <v>0.2</v>
      </c>
      <c r="CN147" s="720">
        <v>0.47</v>
      </c>
      <c r="CO147" s="286">
        <v>0.28000000000000003</v>
      </c>
      <c r="CP147" s="718">
        <v>0.25</v>
      </c>
      <c r="CQ147" s="657"/>
      <c r="CR147" s="807">
        <v>13</v>
      </c>
      <c r="CS147" s="808">
        <v>13</v>
      </c>
      <c r="CT147" s="808">
        <v>10</v>
      </c>
      <c r="CU147" s="809">
        <v>12</v>
      </c>
      <c r="CV147" s="807"/>
      <c r="CW147" s="808"/>
      <c r="CX147" s="809"/>
      <c r="CY147" s="807">
        <v>11</v>
      </c>
      <c r="CZ147" s="808">
        <v>13</v>
      </c>
      <c r="DA147" s="808">
        <v>9</v>
      </c>
      <c r="DB147" s="809">
        <v>11</v>
      </c>
      <c r="DC147" s="807">
        <v>12</v>
      </c>
      <c r="DD147" s="808">
        <v>13</v>
      </c>
      <c r="DE147" s="809">
        <v>10</v>
      </c>
      <c r="DF147" s="610" t="s">
        <v>5148</v>
      </c>
      <c r="DG147" s="657"/>
      <c r="DH147" s="288">
        <f t="shared" si="475"/>
        <v>108</v>
      </c>
      <c r="DI147" s="288">
        <f t="shared" si="476"/>
        <v>384</v>
      </c>
      <c r="DJ147" s="288">
        <f t="shared" si="477"/>
        <v>84.000000000000014</v>
      </c>
      <c r="DK147" s="288">
        <f t="shared" si="478"/>
        <v>24</v>
      </c>
      <c r="DL147" s="560" t="s">
        <v>5149</v>
      </c>
      <c r="DM147" s="288">
        <f t="shared" si="479"/>
        <v>99.2</v>
      </c>
      <c r="DN147" s="288">
        <f t="shared" si="480"/>
        <v>396.8</v>
      </c>
      <c r="DO147" s="288">
        <f t="shared" si="481"/>
        <v>105.4</v>
      </c>
      <c r="DP147" s="288">
        <f t="shared" si="482"/>
        <v>18.599999999999998</v>
      </c>
      <c r="DQ147" s="561" t="s">
        <v>5126</v>
      </c>
      <c r="DR147" s="657"/>
      <c r="DS147" s="288">
        <f t="shared" si="483"/>
        <v>0</v>
      </c>
      <c r="DT147" s="288">
        <f t="shared" si="484"/>
        <v>0</v>
      </c>
      <c r="DU147" s="288">
        <f t="shared" si="485"/>
        <v>0</v>
      </c>
      <c r="DV147" s="561" t="s">
        <v>2613</v>
      </c>
      <c r="DW147" s="288">
        <f t="shared" si="486"/>
        <v>0</v>
      </c>
      <c r="DX147" s="288">
        <f t="shared" si="487"/>
        <v>0</v>
      </c>
      <c r="DY147" s="288">
        <f t="shared" si="488"/>
        <v>0</v>
      </c>
      <c r="DZ147" s="561" t="s">
        <v>2613</v>
      </c>
      <c r="EA147" s="657"/>
      <c r="EB147" s="288">
        <f t="shared" si="489"/>
        <v>7.5</v>
      </c>
      <c r="EC147" s="288">
        <f t="shared" si="490"/>
        <v>41.25</v>
      </c>
      <c r="ED147" s="288">
        <f t="shared" si="491"/>
        <v>11.25</v>
      </c>
      <c r="EE147" s="288">
        <f t="shared" si="492"/>
        <v>15</v>
      </c>
      <c r="EF147" s="561" t="s">
        <v>3640</v>
      </c>
      <c r="EG147" s="288">
        <f t="shared" si="493"/>
        <v>6.2</v>
      </c>
      <c r="EH147" s="288">
        <f t="shared" si="494"/>
        <v>42.625</v>
      </c>
      <c r="EI147" s="288">
        <f t="shared" si="495"/>
        <v>13.95</v>
      </c>
      <c r="EJ147" s="288">
        <f t="shared" si="496"/>
        <v>14.725</v>
      </c>
      <c r="EK147" s="561" t="s">
        <v>5128</v>
      </c>
      <c r="EL147" s="657"/>
      <c r="EM147" s="288">
        <f t="shared" si="497"/>
        <v>330</v>
      </c>
      <c r="EN147" s="291">
        <f t="shared" si="498"/>
        <v>150</v>
      </c>
      <c r="EO147" s="291">
        <f t="shared" si="499"/>
        <v>120</v>
      </c>
      <c r="EP147" s="561" t="s">
        <v>5150</v>
      </c>
      <c r="EQ147" s="288">
        <f t="shared" si="500"/>
        <v>291.39999999999998</v>
      </c>
      <c r="ER147" s="291">
        <f t="shared" si="501"/>
        <v>173.60000000000002</v>
      </c>
      <c r="ES147" s="291">
        <f t="shared" si="502"/>
        <v>155</v>
      </c>
      <c r="ET147" s="561" t="s">
        <v>5130</v>
      </c>
      <c r="EU147" s="657"/>
      <c r="EV147" s="740">
        <f t="shared" si="503"/>
        <v>0.78987014714231107</v>
      </c>
      <c r="EW147" s="740">
        <f t="shared" si="504"/>
        <v>0.2101298528576889</v>
      </c>
      <c r="EX147" s="563">
        <f t="shared" si="505"/>
        <v>500.42151826573422</v>
      </c>
      <c r="EY147" s="563">
        <f t="shared" si="506"/>
        <v>395.26801826573421</v>
      </c>
      <c r="EZ147" s="563">
        <f t="shared" si="507"/>
        <v>105.15350000000001</v>
      </c>
      <c r="FA147" s="563">
        <f t="shared" si="508"/>
        <v>228.71868323076922</v>
      </c>
      <c r="FB147" s="563">
        <f t="shared" si="509"/>
        <v>179.23468323076921</v>
      </c>
      <c r="FC147" s="563">
        <f t="shared" si="510"/>
        <v>49.484000000000002</v>
      </c>
      <c r="FD147" s="563">
        <f t="shared" si="511"/>
        <v>0</v>
      </c>
      <c r="FE147" s="563">
        <f t="shared" si="512"/>
        <v>0</v>
      </c>
      <c r="FF147" s="563">
        <f t="shared" si="513"/>
        <v>0</v>
      </c>
      <c r="FG147" s="563">
        <f t="shared" si="514"/>
        <v>30.54398234265734</v>
      </c>
      <c r="FH147" s="563">
        <f t="shared" si="515"/>
        <v>24.358482342657339</v>
      </c>
      <c r="FI147" s="563">
        <f t="shared" si="516"/>
        <v>6.1855000000000002</v>
      </c>
      <c r="FJ147" s="563">
        <f t="shared" si="517"/>
        <v>241.15885269230768</v>
      </c>
      <c r="FK147" s="563">
        <f t="shared" si="518"/>
        <v>191.67485269230767</v>
      </c>
      <c r="FL147" s="563">
        <f t="shared" si="519"/>
        <v>49.484000000000002</v>
      </c>
      <c r="FM147" s="529"/>
      <c r="FN147" s="564" t="s">
        <v>2616</v>
      </c>
      <c r="FO147" s="740">
        <v>4.9140000000000003E-2</v>
      </c>
      <c r="FP147" s="741">
        <v>0.81824999999999992</v>
      </c>
      <c r="FQ147" s="565" t="s">
        <v>4219</v>
      </c>
      <c r="FR147" s="529"/>
      <c r="FS147" s="867">
        <v>3.11</v>
      </c>
      <c r="FT147" s="566">
        <f>RANK($FS147,$FS$8:$FS$154,0)+COUNTIF($FS$8:$FS147,$FS147)-1</f>
        <v>93</v>
      </c>
      <c r="FU147" s="867">
        <v>3.88</v>
      </c>
      <c r="FV147" s="566">
        <f>RANK($FU147,$FU$8:$FU$154,0)+COUNTIF($FU$8:$FU147,$FU147)-1</f>
        <v>101</v>
      </c>
      <c r="FW147" s="867">
        <v>2.17</v>
      </c>
      <c r="FX147" s="566">
        <f>RANK($FW147,$FW$8:$FW$154,0)+COUNTIF($FW$8:$FW147,$FW147)-1</f>
        <v>76</v>
      </c>
      <c r="FY147" s="529"/>
      <c r="FZ147" s="567" t="s">
        <v>5132</v>
      </c>
      <c r="GA147" s="567" t="s">
        <v>5151</v>
      </c>
      <c r="GB147" s="567" t="s">
        <v>5134</v>
      </c>
      <c r="GC147" s="567" t="s">
        <v>5135</v>
      </c>
      <c r="GD147" s="567" t="s">
        <v>5136</v>
      </c>
      <c r="GE147" s="567" t="s">
        <v>5137</v>
      </c>
      <c r="GF147" s="567" t="str">
        <f>HYPERLINK("https://www.justice.gouv.fr/presentation-loi-dorientation-programmation-ministere-justice-2023-2027","https://www.justice.gouv.fr/presentation-loi-dorientation-programmation-ministere-justice-2023-2027")&amp;CHAR(10)&amp;HYPERLINK("https://www.justice.gouv.fr/ministere-justice/budget-justice","https://www.justice.gouv.fr/ministere-justice/budget-justice")&amp;CHAR(10)&amp;HYPERLINK("https://www.justice.gouv.fr/documentation/ressources/rapport-2024-loi-dorientation-programmation-du-ministere-justice-2023-2027","https://www.justice.gouv.fr/documentation/ressources/rapport-2024-loi-dorientation-programmation-du-ministere-justice-2023-2027")&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https://www.justice.gouv.fr/presentation-loi-dorientation-programmation-ministere-justice-2023-2027
https://www.justice.gouv.fr/ministere-justice/budget-justice
https://www.justice.gouv.fr/documentation/ressources/rapport-2024-loi-dorientation-programmation-du-ministere-justice-2023-2027
https://www.statistiques.developpement-durable.gouv.fr/construction-de-locaux-resultats-fin-janvier-2026-france-entiere
https://www.insee.fr/fr/statistiques/8671745
https://www.insee.fr/fr/statistiques/8906564</v>
      </c>
      <c r="GG147" s="529"/>
      <c r="GH147" s="563">
        <f t="shared" si="520"/>
        <v>38.507401538461536</v>
      </c>
      <c r="GI147" s="563">
        <f t="shared" si="451"/>
        <v>30.589961538461534</v>
      </c>
      <c r="GJ147" s="563">
        <f t="shared" si="521"/>
        <v>7.91744</v>
      </c>
      <c r="GK147" s="563">
        <f t="shared" si="522"/>
        <v>140.43406769230768</v>
      </c>
      <c r="GL147" s="563">
        <f t="shared" si="452"/>
        <v>108.76430769230768</v>
      </c>
      <c r="GM147" s="563">
        <f t="shared" si="523"/>
        <v>31.66976</v>
      </c>
      <c r="GN147" s="563">
        <f t="shared" si="524"/>
        <v>40.808434000000005</v>
      </c>
      <c r="GO147" s="563">
        <f t="shared" si="453"/>
        <v>32.396154000000003</v>
      </c>
      <c r="GP147" s="563">
        <f t="shared" si="525"/>
        <v>8.4122800000000009</v>
      </c>
      <c r="GQ147" s="563">
        <f t="shared" si="526"/>
        <v>8.9687799999999989</v>
      </c>
      <c r="GR147" s="563">
        <f t="shared" si="454"/>
        <v>7.484259999999999</v>
      </c>
      <c r="GS147" s="563">
        <f t="shared" si="527"/>
        <v>1.4845200000000001</v>
      </c>
      <c r="GT147" s="563">
        <f t="shared" si="528"/>
        <v>0</v>
      </c>
      <c r="GU147" s="563">
        <f t="shared" si="455"/>
        <v>0</v>
      </c>
      <c r="GV147" s="563">
        <f t="shared" si="529"/>
        <v>0</v>
      </c>
      <c r="GW147" s="563">
        <f t="shared" si="530"/>
        <v>0</v>
      </c>
      <c r="GX147" s="563">
        <f t="shared" si="456"/>
        <v>0</v>
      </c>
      <c r="GY147" s="563">
        <f t="shared" si="531"/>
        <v>0</v>
      </c>
      <c r="GZ147" s="563">
        <f t="shared" si="532"/>
        <v>0</v>
      </c>
      <c r="HA147" s="563">
        <f t="shared" si="457"/>
        <v>0</v>
      </c>
      <c r="HB147" s="563">
        <f t="shared" si="533"/>
        <v>0</v>
      </c>
      <c r="HC147" s="563">
        <f t="shared" si="534"/>
        <v>3.0946434090909087</v>
      </c>
      <c r="HD147" s="563">
        <f t="shared" si="458"/>
        <v>2.5998034090909088</v>
      </c>
      <c r="HE147" s="563">
        <f t="shared" si="535"/>
        <v>0.49484</v>
      </c>
      <c r="HF147" s="563">
        <f t="shared" si="536"/>
        <v>15.085690865384615</v>
      </c>
      <c r="HG147" s="563">
        <f t="shared" si="459"/>
        <v>11.683665865384615</v>
      </c>
      <c r="HH147" s="563">
        <f t="shared" si="537"/>
        <v>3.4020250000000005</v>
      </c>
      <c r="HI147" s="563">
        <f t="shared" si="538"/>
        <v>5.9887962499999992</v>
      </c>
      <c r="HJ147" s="563">
        <f t="shared" si="460"/>
        <v>4.8754062499999993</v>
      </c>
      <c r="HK147" s="563">
        <f t="shared" si="539"/>
        <v>1.1133900000000001</v>
      </c>
      <c r="HL147" s="563">
        <f t="shared" si="540"/>
        <v>6.3748518181818179</v>
      </c>
      <c r="HM147" s="563">
        <f t="shared" si="461"/>
        <v>5.1996068181818176</v>
      </c>
      <c r="HN147" s="563">
        <f t="shared" si="541"/>
        <v>1.1752450000000001</v>
      </c>
      <c r="HO147" s="563">
        <f t="shared" si="542"/>
        <v>126.166055</v>
      </c>
      <c r="HP147" s="563">
        <f t="shared" si="462"/>
        <v>102.908575</v>
      </c>
      <c r="HQ147" s="563">
        <f t="shared" si="543"/>
        <v>23.257480000000001</v>
      </c>
      <c r="HR147" s="563">
        <f t="shared" si="544"/>
        <v>56.341577692307695</v>
      </c>
      <c r="HS147" s="563">
        <f t="shared" si="463"/>
        <v>42.486057692307689</v>
      </c>
      <c r="HT147" s="563">
        <f t="shared" si="545"/>
        <v>13.855520000000002</v>
      </c>
      <c r="HU147" s="563">
        <f t="shared" si="546"/>
        <v>58.651219999999995</v>
      </c>
      <c r="HV147" s="563">
        <f t="shared" si="464"/>
        <v>46.280219999999993</v>
      </c>
      <c r="HW147" s="563">
        <f t="shared" si="547"/>
        <v>12.371</v>
      </c>
      <c r="HX147" s="544"/>
      <c r="HY147" s="568">
        <f t="shared" si="548"/>
        <v>1275</v>
      </c>
      <c r="HZ147" s="568">
        <f t="shared" si="549"/>
        <v>17.265000000000001</v>
      </c>
      <c r="IA147" s="568">
        <f t="shared" si="550"/>
        <v>429.76499999999999</v>
      </c>
      <c r="IB147" s="568">
        <f t="shared" si="551"/>
        <v>657.53250000000003</v>
      </c>
      <c r="IC147" s="568">
        <f t="shared" si="552"/>
        <v>166.27499999999998</v>
      </c>
      <c r="ID147" s="568">
        <f t="shared" si="553"/>
        <v>4.1624999999999996</v>
      </c>
      <c r="IE147" s="568">
        <f t="shared" si="554"/>
        <v>395.26801826573421</v>
      </c>
      <c r="IF147" s="568">
        <f t="shared" si="555"/>
        <v>0.40191495865384613</v>
      </c>
      <c r="IG147" s="568">
        <f t="shared" si="556"/>
        <v>83.215123729477625</v>
      </c>
      <c r="IH147" s="568">
        <f t="shared" si="557"/>
        <v>219.87530358555591</v>
      </c>
      <c r="II147" s="568">
        <f t="shared" si="558"/>
        <v>87.574133426813276</v>
      </c>
      <c r="IJ147" s="568">
        <f t="shared" si="559"/>
        <v>4.2015425652335656</v>
      </c>
      <c r="IK147" s="868">
        <v>3.9</v>
      </c>
      <c r="IL147" s="569" t="s">
        <v>2589</v>
      </c>
      <c r="IM147" s="570" t="s">
        <v>5138</v>
      </c>
      <c r="IN147" s="529"/>
      <c r="IO147" s="742">
        <v>4.1000000000000003E-3</v>
      </c>
      <c r="IP147" s="742">
        <v>0.30620000000000003</v>
      </c>
      <c r="IQ147" s="742">
        <v>0.53800000000000003</v>
      </c>
      <c r="IR147" s="742">
        <v>0.14749999999999999</v>
      </c>
      <c r="IS147" s="742">
        <v>4.1999999999999997E-3</v>
      </c>
      <c r="IT147" s="742">
        <v>0</v>
      </c>
      <c r="IU147" s="742">
        <v>0.1804</v>
      </c>
      <c r="IV147" s="742">
        <v>0.55900000000000005</v>
      </c>
      <c r="IW147" s="742">
        <v>0.24740000000000001</v>
      </c>
      <c r="IX147" s="742">
        <v>1.32E-2</v>
      </c>
      <c r="IY147" s="742">
        <v>0</v>
      </c>
      <c r="IZ147" s="742">
        <v>0</v>
      </c>
      <c r="JA147" s="742">
        <v>0</v>
      </c>
      <c r="JB147" s="742">
        <v>0</v>
      </c>
      <c r="JC147" s="742">
        <v>0</v>
      </c>
      <c r="JD147" s="742">
        <v>0</v>
      </c>
      <c r="JE147" s="742">
        <v>0</v>
      </c>
      <c r="JF147" s="742">
        <v>0</v>
      </c>
      <c r="JG147" s="742">
        <v>0</v>
      </c>
      <c r="JH147" s="742">
        <v>0</v>
      </c>
      <c r="JI147" s="742">
        <v>5.2600000000000001E-2</v>
      </c>
      <c r="JJ147" s="742">
        <v>0.43419999999999997</v>
      </c>
      <c r="JK147" s="742">
        <v>0.42949999999999999</v>
      </c>
      <c r="JL147" s="742">
        <v>8.2600000000000007E-2</v>
      </c>
      <c r="JM147" s="742">
        <v>1.1000000000000001E-3</v>
      </c>
      <c r="JN147" s="742">
        <v>1.6500000000000001E-2</v>
      </c>
      <c r="JO147" s="742">
        <v>0.30890000000000001</v>
      </c>
      <c r="JP147" s="742">
        <v>0.50760000000000005</v>
      </c>
      <c r="JQ147" s="742">
        <v>0.16009999999999999</v>
      </c>
      <c r="JR147" s="742">
        <v>6.8999999999999999E-3</v>
      </c>
      <c r="JS147" s="742">
        <v>1.8100000000000002E-2</v>
      </c>
      <c r="JT147" s="742">
        <v>0.35580000000000001</v>
      </c>
      <c r="JU147" s="742">
        <v>0.50419999999999998</v>
      </c>
      <c r="JV147" s="742">
        <v>0.1193</v>
      </c>
      <c r="JW147" s="742">
        <v>2.5999999999999999E-3</v>
      </c>
      <c r="JX147" s="742">
        <v>0</v>
      </c>
      <c r="JY147" s="742">
        <v>0.22620000000000001</v>
      </c>
      <c r="JZ147" s="742">
        <v>0.55989999999999995</v>
      </c>
      <c r="KA147" s="742">
        <v>0.20519999999999999</v>
      </c>
      <c r="KB147" s="742">
        <v>8.6999999999999994E-3</v>
      </c>
      <c r="KC147" s="657"/>
      <c r="KD147" s="832" t="s">
        <v>2590</v>
      </c>
      <c r="KE147" s="832" t="s">
        <v>2590</v>
      </c>
      <c r="KF147" s="869">
        <v>4</v>
      </c>
      <c r="KG147" s="832" t="s">
        <v>2589</v>
      </c>
      <c r="KH147" s="833" t="s">
        <v>5139</v>
      </c>
      <c r="KI147" s="832" t="s">
        <v>3384</v>
      </c>
      <c r="KJ147" s="833" t="s">
        <v>5152</v>
      </c>
    </row>
    <row r="148" spans="1:383" ht="48" hidden="1" customHeight="1">
      <c r="A148" s="273">
        <f t="shared" si="560"/>
        <v>141</v>
      </c>
      <c r="B148" s="274" t="s">
        <v>4908</v>
      </c>
      <c r="C148" s="274" t="s">
        <v>2027</v>
      </c>
      <c r="D148" s="274" t="s">
        <v>2031</v>
      </c>
      <c r="E148" s="275" t="s">
        <v>5153</v>
      </c>
      <c r="F148" s="275" t="s">
        <v>300</v>
      </c>
      <c r="G148" s="275" t="s">
        <v>300</v>
      </c>
      <c r="H148" s="275" t="s">
        <v>2109</v>
      </c>
      <c r="I148" s="276" t="s">
        <v>5154</v>
      </c>
      <c r="J148" s="276" t="s">
        <v>5155</v>
      </c>
      <c r="K148" s="277" t="s">
        <v>2097</v>
      </c>
      <c r="L148" s="277" t="s">
        <v>2109</v>
      </c>
      <c r="M148" s="277" t="s">
        <v>2603</v>
      </c>
      <c r="N148" s="277" t="s">
        <v>2099</v>
      </c>
      <c r="O148" s="275" t="s">
        <v>2616</v>
      </c>
      <c r="P148" s="276"/>
      <c r="Q148" s="270">
        <v>1</v>
      </c>
      <c r="R148" s="278">
        <v>1800</v>
      </c>
      <c r="S148" s="279">
        <v>191</v>
      </c>
      <c r="T148" s="279">
        <v>185</v>
      </c>
      <c r="U148" s="279">
        <v>135</v>
      </c>
      <c r="V148" s="279">
        <v>134</v>
      </c>
      <c r="W148" s="279">
        <v>134</v>
      </c>
      <c r="X148" s="279">
        <v>134</v>
      </c>
      <c r="Y148" s="279">
        <v>134</v>
      </c>
      <c r="Z148" s="279">
        <v>134</v>
      </c>
      <c r="AA148" s="279">
        <v>134</v>
      </c>
      <c r="AB148" s="279">
        <v>134</v>
      </c>
      <c r="AC148" s="279">
        <v>134</v>
      </c>
      <c r="AD148" s="279">
        <v>134</v>
      </c>
      <c r="AE148" s="279">
        <v>134</v>
      </c>
      <c r="AF148" s="279">
        <v>134</v>
      </c>
      <c r="AG148" s="279">
        <v>134</v>
      </c>
      <c r="AH148" s="279">
        <v>134</v>
      </c>
      <c r="AI148" s="279">
        <v>134</v>
      </c>
      <c r="AJ148" s="279">
        <v>134</v>
      </c>
      <c r="AK148" s="279">
        <v>134</v>
      </c>
      <c r="AL148" s="276" t="s">
        <v>5156</v>
      </c>
      <c r="AM148" s="276" t="s">
        <v>5145</v>
      </c>
      <c r="AN148" s="276" t="s">
        <v>5120</v>
      </c>
      <c r="AO148" s="657"/>
      <c r="AP148" s="278">
        <v>220</v>
      </c>
      <c r="AQ148" s="278">
        <v>143</v>
      </c>
      <c r="AR148" s="278">
        <v>55</v>
      </c>
      <c r="AS148" s="278">
        <v>22</v>
      </c>
      <c r="AT148" s="657"/>
      <c r="AU148" s="281" t="s">
        <v>5146</v>
      </c>
      <c r="AV148" s="296" t="s">
        <v>5157</v>
      </c>
      <c r="AW148" s="296" t="s">
        <v>5158</v>
      </c>
      <c r="AX148" s="276" t="s">
        <v>4918</v>
      </c>
      <c r="AY148" s="657"/>
      <c r="AZ148" s="947">
        <v>8</v>
      </c>
      <c r="BA148" s="947">
        <v>0</v>
      </c>
      <c r="BB148" s="947">
        <v>1</v>
      </c>
      <c r="BC148" s="947">
        <v>8</v>
      </c>
      <c r="BD148" s="826">
        <f t="shared" si="465"/>
        <v>2278</v>
      </c>
      <c r="BE148" s="283">
        <f t="shared" si="466"/>
        <v>1072</v>
      </c>
      <c r="BF148" s="283">
        <f t="shared" si="467"/>
        <v>0</v>
      </c>
      <c r="BG148" s="283">
        <f t="shared" si="468"/>
        <v>134</v>
      </c>
      <c r="BH148" s="283">
        <f t="shared" si="469"/>
        <v>1072</v>
      </c>
      <c r="BI148" s="826">
        <f t="shared" si="470"/>
        <v>2278</v>
      </c>
      <c r="BJ148" s="283">
        <f t="shared" si="471"/>
        <v>1072</v>
      </c>
      <c r="BK148" s="283">
        <f t="shared" si="472"/>
        <v>0</v>
      </c>
      <c r="BL148" s="283">
        <f t="shared" si="473"/>
        <v>134</v>
      </c>
      <c r="BM148" s="283">
        <f t="shared" si="474"/>
        <v>1072</v>
      </c>
      <c r="BN148" s="657"/>
      <c r="BO148" s="305">
        <v>0.18</v>
      </c>
      <c r="BP148" s="305">
        <v>0.64</v>
      </c>
      <c r="BQ148" s="305">
        <v>0.14000000000000001</v>
      </c>
      <c r="BR148" s="581">
        <v>0.04</v>
      </c>
      <c r="BS148" s="706">
        <v>0.16</v>
      </c>
      <c r="BT148" s="305">
        <v>0.64</v>
      </c>
      <c r="BU148" s="305">
        <v>0.17</v>
      </c>
      <c r="BV148" s="581">
        <v>0.03</v>
      </c>
      <c r="BW148" s="713"/>
      <c r="BX148" s="306"/>
      <c r="BY148" s="590"/>
      <c r="BZ148" s="713"/>
      <c r="CA148" s="306"/>
      <c r="CB148" s="590"/>
      <c r="CC148" s="706">
        <v>0.1</v>
      </c>
      <c r="CD148" s="305">
        <v>0.55000000000000004</v>
      </c>
      <c r="CE148" s="305">
        <v>0.15</v>
      </c>
      <c r="CF148" s="581">
        <v>0.2</v>
      </c>
      <c r="CG148" s="706">
        <v>0.08</v>
      </c>
      <c r="CH148" s="305">
        <v>0.55000000000000004</v>
      </c>
      <c r="CI148" s="305">
        <v>0.18</v>
      </c>
      <c r="CJ148" s="581">
        <v>0.19</v>
      </c>
      <c r="CK148" s="719">
        <v>0.55000000000000004</v>
      </c>
      <c r="CL148" s="307">
        <v>0.25</v>
      </c>
      <c r="CM148" s="723">
        <v>0.2</v>
      </c>
      <c r="CN148" s="719">
        <v>0.47</v>
      </c>
      <c r="CO148" s="307">
        <v>0.28000000000000003</v>
      </c>
      <c r="CP148" s="723">
        <v>0.25</v>
      </c>
      <c r="CQ148" s="657"/>
      <c r="CR148" s="804">
        <v>13</v>
      </c>
      <c r="CS148" s="805">
        <v>13</v>
      </c>
      <c r="CT148" s="805">
        <v>10</v>
      </c>
      <c r="CU148" s="806">
        <v>12</v>
      </c>
      <c r="CV148" s="804"/>
      <c r="CW148" s="805"/>
      <c r="CX148" s="806"/>
      <c r="CY148" s="804">
        <v>11</v>
      </c>
      <c r="CZ148" s="805">
        <v>13</v>
      </c>
      <c r="DA148" s="805">
        <v>9</v>
      </c>
      <c r="DB148" s="806">
        <v>11</v>
      </c>
      <c r="DC148" s="804">
        <v>12</v>
      </c>
      <c r="DD148" s="805">
        <v>13</v>
      </c>
      <c r="DE148" s="806">
        <v>10</v>
      </c>
      <c r="DF148" s="609" t="s">
        <v>5159</v>
      </c>
      <c r="DG148" s="657"/>
      <c r="DH148" s="308">
        <f t="shared" si="475"/>
        <v>192.95999999999998</v>
      </c>
      <c r="DI148" s="308">
        <f t="shared" si="476"/>
        <v>686.08</v>
      </c>
      <c r="DJ148" s="308">
        <f t="shared" si="477"/>
        <v>150.08000000000001</v>
      </c>
      <c r="DK148" s="308">
        <f t="shared" si="478"/>
        <v>42.88</v>
      </c>
      <c r="DL148" s="287" t="s">
        <v>5149</v>
      </c>
      <c r="DM148" s="308">
        <f t="shared" si="479"/>
        <v>171.52</v>
      </c>
      <c r="DN148" s="308">
        <f t="shared" si="480"/>
        <v>686.08</v>
      </c>
      <c r="DO148" s="308">
        <f t="shared" si="481"/>
        <v>182.24</v>
      </c>
      <c r="DP148" s="308">
        <f t="shared" si="482"/>
        <v>32.159999999999997</v>
      </c>
      <c r="DQ148" s="289" t="s">
        <v>5126</v>
      </c>
      <c r="DR148" s="657"/>
      <c r="DS148" s="308">
        <f t="shared" si="483"/>
        <v>0</v>
      </c>
      <c r="DT148" s="308">
        <f t="shared" si="484"/>
        <v>0</v>
      </c>
      <c r="DU148" s="308">
        <f t="shared" si="485"/>
        <v>0</v>
      </c>
      <c r="DV148" s="289" t="s">
        <v>2613</v>
      </c>
      <c r="DW148" s="308">
        <f t="shared" si="486"/>
        <v>0</v>
      </c>
      <c r="DX148" s="308">
        <f t="shared" si="487"/>
        <v>0</v>
      </c>
      <c r="DY148" s="308">
        <f t="shared" si="488"/>
        <v>0</v>
      </c>
      <c r="DZ148" s="289" t="s">
        <v>2613</v>
      </c>
      <c r="EA148" s="657"/>
      <c r="EB148" s="308">
        <f t="shared" si="489"/>
        <v>13.4</v>
      </c>
      <c r="EC148" s="308">
        <f t="shared" si="490"/>
        <v>73.7</v>
      </c>
      <c r="ED148" s="308">
        <f t="shared" si="491"/>
        <v>20.099999999999998</v>
      </c>
      <c r="EE148" s="308">
        <f t="shared" si="492"/>
        <v>26.8</v>
      </c>
      <c r="EF148" s="289" t="s">
        <v>3640</v>
      </c>
      <c r="EG148" s="308">
        <f t="shared" si="493"/>
        <v>10.72</v>
      </c>
      <c r="EH148" s="308">
        <f t="shared" si="494"/>
        <v>73.7</v>
      </c>
      <c r="EI148" s="308">
        <f t="shared" si="495"/>
        <v>24.119999999999997</v>
      </c>
      <c r="EJ148" s="308">
        <f t="shared" si="496"/>
        <v>25.46</v>
      </c>
      <c r="EK148" s="309" t="s">
        <v>5128</v>
      </c>
      <c r="EL148" s="657"/>
      <c r="EM148" s="308">
        <f t="shared" si="497"/>
        <v>589.6</v>
      </c>
      <c r="EN148" s="310">
        <f t="shared" si="498"/>
        <v>268</v>
      </c>
      <c r="EO148" s="310">
        <f t="shared" si="499"/>
        <v>214.4</v>
      </c>
      <c r="EP148" s="289" t="s">
        <v>5150</v>
      </c>
      <c r="EQ148" s="308">
        <f t="shared" si="500"/>
        <v>503.84</v>
      </c>
      <c r="ER148" s="310">
        <f t="shared" si="501"/>
        <v>300.16000000000003</v>
      </c>
      <c r="ES148" s="310">
        <f t="shared" si="502"/>
        <v>268</v>
      </c>
      <c r="ET148" s="289" t="s">
        <v>5130</v>
      </c>
      <c r="EU148" s="657"/>
      <c r="EV148" s="728">
        <f t="shared" si="503"/>
        <v>0.87371761247094182</v>
      </c>
      <c r="EW148" s="728">
        <f t="shared" si="504"/>
        <v>0.12628238752905821</v>
      </c>
      <c r="EX148" s="311">
        <f t="shared" si="505"/>
        <v>886.4333513986013</v>
      </c>
      <c r="EY148" s="311">
        <f t="shared" si="506"/>
        <v>774.4924313986013</v>
      </c>
      <c r="EZ148" s="311">
        <f t="shared" si="507"/>
        <v>111.94092000000001</v>
      </c>
      <c r="FA148" s="311">
        <f t="shared" si="508"/>
        <v>406.19061384615384</v>
      </c>
      <c r="FB148" s="311">
        <f t="shared" si="509"/>
        <v>353.51253384615381</v>
      </c>
      <c r="FC148" s="311">
        <f t="shared" si="510"/>
        <v>52.678080000000001</v>
      </c>
      <c r="FD148" s="311">
        <f t="shared" si="511"/>
        <v>0</v>
      </c>
      <c r="FE148" s="311">
        <f t="shared" si="512"/>
        <v>0</v>
      </c>
      <c r="FF148" s="311">
        <f t="shared" si="513"/>
        <v>0</v>
      </c>
      <c r="FG148" s="311">
        <f t="shared" si="514"/>
        <v>53.937021013986005</v>
      </c>
      <c r="FH148" s="311">
        <f t="shared" si="515"/>
        <v>47.352261013986002</v>
      </c>
      <c r="FI148" s="311">
        <f t="shared" si="516"/>
        <v>6.5847600000000002</v>
      </c>
      <c r="FJ148" s="311">
        <f t="shared" si="517"/>
        <v>426.30571653846152</v>
      </c>
      <c r="FK148" s="311">
        <f t="shared" si="518"/>
        <v>373.6276365384615</v>
      </c>
      <c r="FL148" s="311">
        <f t="shared" si="519"/>
        <v>52.678080000000001</v>
      </c>
      <c r="FM148" s="657"/>
      <c r="FN148" s="293" t="s">
        <v>2616</v>
      </c>
      <c r="FO148" s="728">
        <v>4.9140000000000003E-2</v>
      </c>
      <c r="FP148" s="729">
        <v>0.81824999999999992</v>
      </c>
      <c r="FQ148" s="294" t="s">
        <v>4219</v>
      </c>
      <c r="FR148" s="657"/>
      <c r="FS148" s="865">
        <v>2.86</v>
      </c>
      <c r="FT148" s="312">
        <f>RANK($FS148,$FS$8:$FS$154,0)+COUNTIF($FS$8:$FS148,$FS148)-1</f>
        <v>135</v>
      </c>
      <c r="FU148" s="865">
        <v>3.88</v>
      </c>
      <c r="FV148" s="312">
        <f>RANK($FU148,$FU$8:$FU$154,0)+COUNTIF($FU$8:$FU148,$FU148)-1</f>
        <v>102</v>
      </c>
      <c r="FW148" s="865">
        <v>1.62</v>
      </c>
      <c r="FX148" s="312">
        <f>RANK($FW148,$FW$8:$FW$154,0)+COUNTIF($FW$8:$FW148,$FW148)-1</f>
        <v>137</v>
      </c>
      <c r="FY148" s="657"/>
      <c r="FZ148" s="296" t="s">
        <v>5132</v>
      </c>
      <c r="GA148" s="296" t="s">
        <v>5133</v>
      </c>
      <c r="GB148" s="296" t="s">
        <v>5134</v>
      </c>
      <c r="GC148" s="296" t="s">
        <v>5135</v>
      </c>
      <c r="GD148" s="296" t="s">
        <v>5136</v>
      </c>
      <c r="GE148" s="296" t="s">
        <v>5137</v>
      </c>
      <c r="GF148" s="296" t="str">
        <f>HYPERLINK("https://www.justice.gouv.fr/presentation-loi-dorientation-programmation-ministere-justice-2023-2027","https://www.justice.gouv.fr/presentation-loi-dorientation-programmation-ministere-justice-2023-2027")&amp;CHAR(10)&amp;HYPERLINK("https://www.justice.gouv.fr/ministere-justice/budget-justice","https://www.justice.gouv.fr/ministere-justice/budget-justice")&amp;CHAR(10)&amp;HYPERLINK("https://www.justice.gouv.fr/documentation/ressources/rapport-2024-loi-dorientation-programmation-du-ministere-justice-2023-2027","https://www.justice.gouv.fr/documentation/ressources/rapport-2024-loi-dorientation-programmation-du-ministere-justice-2023-2027")&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https://www.justice.gouv.fr/presentation-loi-dorientation-programmation-ministere-justice-2023-2027
https://www.justice.gouv.fr/ministere-justice/budget-justice
https://www.justice.gouv.fr/documentation/ressources/rapport-2024-loi-dorientation-programmation-du-ministere-justice-2023-2027
https://www.statistiques.developpement-durable.gouv.fr/construction-de-locaux-resultats-fin-janvier-2026-france-entiere
https://www.insee.fr/fr/statistiques/8671745
https://www.insee.fr/fr/statistiques/8906564</v>
      </c>
      <c r="GG148" s="657"/>
      <c r="GH148" s="311">
        <f t="shared" si="520"/>
        <v>69.336505107692304</v>
      </c>
      <c r="GI148" s="311">
        <f t="shared" si="451"/>
        <v>60.908012307692303</v>
      </c>
      <c r="GJ148" s="311">
        <f t="shared" si="521"/>
        <v>8.4284928000000008</v>
      </c>
      <c r="GK148" s="311">
        <f t="shared" si="522"/>
        <v>250.27579273846152</v>
      </c>
      <c r="GL148" s="311">
        <f t="shared" si="452"/>
        <v>216.56182153846152</v>
      </c>
      <c r="GM148" s="311">
        <f t="shared" si="523"/>
        <v>33.713971200000003</v>
      </c>
      <c r="GN148" s="311">
        <f t="shared" si="524"/>
        <v>70.356753600000005</v>
      </c>
      <c r="GO148" s="311">
        <f t="shared" si="453"/>
        <v>61.401479999999999</v>
      </c>
      <c r="GP148" s="311">
        <f t="shared" si="525"/>
        <v>8.9552736000000017</v>
      </c>
      <c r="GQ148" s="311">
        <f t="shared" si="526"/>
        <v>16.2215624</v>
      </c>
      <c r="GR148" s="311">
        <f t="shared" si="454"/>
        <v>14.641219999999999</v>
      </c>
      <c r="GS148" s="311">
        <f t="shared" si="527"/>
        <v>1.5803423999999999</v>
      </c>
      <c r="GT148" s="311">
        <f t="shared" si="528"/>
        <v>0</v>
      </c>
      <c r="GU148" s="311">
        <f t="shared" si="455"/>
        <v>0</v>
      </c>
      <c r="GV148" s="311">
        <f t="shared" si="529"/>
        <v>0</v>
      </c>
      <c r="GW148" s="311">
        <f t="shared" si="530"/>
        <v>0</v>
      </c>
      <c r="GX148" s="311">
        <f t="shared" si="456"/>
        <v>0</v>
      </c>
      <c r="GY148" s="311">
        <f t="shared" si="531"/>
        <v>0</v>
      </c>
      <c r="GZ148" s="311">
        <f t="shared" si="532"/>
        <v>0</v>
      </c>
      <c r="HA148" s="311">
        <f t="shared" si="457"/>
        <v>0</v>
      </c>
      <c r="HB148" s="311">
        <f t="shared" si="533"/>
        <v>0</v>
      </c>
      <c r="HC148" s="311">
        <f t="shared" si="534"/>
        <v>5.5106671636363629</v>
      </c>
      <c r="HD148" s="311">
        <f t="shared" si="458"/>
        <v>4.9838863636363628</v>
      </c>
      <c r="HE148" s="311">
        <f t="shared" si="535"/>
        <v>0.52678080000000005</v>
      </c>
      <c r="HF148" s="311">
        <f t="shared" si="536"/>
        <v>26.88509492307692</v>
      </c>
      <c r="HG148" s="311">
        <f t="shared" si="459"/>
        <v>23.263476923076919</v>
      </c>
      <c r="HH148" s="311">
        <f t="shared" si="537"/>
        <v>3.6216180000000002</v>
      </c>
      <c r="HI148" s="311">
        <f t="shared" si="538"/>
        <v>10.322381799999997</v>
      </c>
      <c r="HJ148" s="311">
        <f t="shared" si="460"/>
        <v>9.1371249999999975</v>
      </c>
      <c r="HK148" s="311">
        <f t="shared" si="539"/>
        <v>1.1852567999999999</v>
      </c>
      <c r="HL148" s="311">
        <f t="shared" si="540"/>
        <v>11.218877127272727</v>
      </c>
      <c r="HM148" s="311">
        <f t="shared" si="461"/>
        <v>9.9677727272727257</v>
      </c>
      <c r="HN148" s="311">
        <f t="shared" si="541"/>
        <v>1.2511044</v>
      </c>
      <c r="HO148" s="311">
        <f t="shared" si="542"/>
        <v>226.07547259999998</v>
      </c>
      <c r="HP148" s="311">
        <f t="shared" si="462"/>
        <v>201.31677499999998</v>
      </c>
      <c r="HQ148" s="311">
        <f t="shared" si="543"/>
        <v>24.758697599999998</v>
      </c>
      <c r="HR148" s="311">
        <f t="shared" si="544"/>
        <v>99.344323938461528</v>
      </c>
      <c r="HS148" s="311">
        <f t="shared" si="463"/>
        <v>84.59446153846153</v>
      </c>
      <c r="HT148" s="311">
        <f t="shared" si="545"/>
        <v>14.749862400000001</v>
      </c>
      <c r="HU148" s="311">
        <f t="shared" si="546"/>
        <v>100.88592</v>
      </c>
      <c r="HV148" s="311">
        <f t="shared" si="464"/>
        <v>87.716399999999993</v>
      </c>
      <c r="HW148" s="311">
        <f t="shared" si="547"/>
        <v>13.16952</v>
      </c>
      <c r="HY148" s="313">
        <f t="shared" si="548"/>
        <v>2278.0000000000005</v>
      </c>
      <c r="HZ148" s="313">
        <f t="shared" si="549"/>
        <v>15.9862</v>
      </c>
      <c r="IA148" s="313">
        <f t="shared" si="550"/>
        <v>658.82439999999997</v>
      </c>
      <c r="IB148" s="313">
        <f t="shared" si="551"/>
        <v>1221.8254000000002</v>
      </c>
      <c r="IC148" s="313">
        <f t="shared" si="552"/>
        <v>368.84839999999997</v>
      </c>
      <c r="ID148" s="313">
        <f t="shared" si="553"/>
        <v>12.515599999999999</v>
      </c>
      <c r="IE148" s="313">
        <f t="shared" si="554"/>
        <v>774.4924313986013</v>
      </c>
      <c r="IF148" s="313">
        <f t="shared" si="555"/>
        <v>0.65346120199300683</v>
      </c>
      <c r="IG148" s="313">
        <f t="shared" si="556"/>
        <v>143.06810639643354</v>
      </c>
      <c r="IH148" s="313">
        <f t="shared" si="557"/>
        <v>426.62399457050344</v>
      </c>
      <c r="II148" s="313">
        <f t="shared" si="558"/>
        <v>193.03735577086013</v>
      </c>
      <c r="IJ148" s="313">
        <f t="shared" si="559"/>
        <v>11.109513458811188</v>
      </c>
      <c r="IK148" s="866">
        <v>3.9</v>
      </c>
      <c r="IL148" s="314" t="s">
        <v>2589</v>
      </c>
      <c r="IM148" s="299" t="s">
        <v>5138</v>
      </c>
      <c r="IN148" s="657"/>
      <c r="IO148" s="730">
        <v>0</v>
      </c>
      <c r="IP148" s="730">
        <v>0.23430000000000001</v>
      </c>
      <c r="IQ148" s="730">
        <v>0.55910000000000004</v>
      </c>
      <c r="IR148" s="730">
        <v>0.19850000000000001</v>
      </c>
      <c r="IS148" s="730">
        <v>8.0999999999999996E-3</v>
      </c>
      <c r="IT148" s="730">
        <v>0</v>
      </c>
      <c r="IU148" s="730">
        <v>0.13500000000000001</v>
      </c>
      <c r="IV148" s="730">
        <v>0.54579999999999995</v>
      </c>
      <c r="IW148" s="730">
        <v>0.29870000000000002</v>
      </c>
      <c r="IX148" s="730">
        <v>2.0500000000000001E-2</v>
      </c>
      <c r="IY148" s="730">
        <v>0</v>
      </c>
      <c r="IZ148" s="730">
        <v>0</v>
      </c>
      <c r="JA148" s="730">
        <v>0</v>
      </c>
      <c r="JB148" s="730">
        <v>0</v>
      </c>
      <c r="JC148" s="730">
        <v>0</v>
      </c>
      <c r="JD148" s="730">
        <v>0</v>
      </c>
      <c r="JE148" s="730">
        <v>0</v>
      </c>
      <c r="JF148" s="730">
        <v>0</v>
      </c>
      <c r="JG148" s="730">
        <v>0</v>
      </c>
      <c r="JH148" s="730">
        <v>0</v>
      </c>
      <c r="JI148" s="730">
        <v>4.0099999999999997E-2</v>
      </c>
      <c r="JJ148" s="730">
        <v>0.41099999999999998</v>
      </c>
      <c r="JK148" s="730">
        <v>0.45490000000000003</v>
      </c>
      <c r="JL148" s="730">
        <v>9.2600000000000002E-2</v>
      </c>
      <c r="JM148" s="730">
        <v>1.4E-3</v>
      </c>
      <c r="JN148" s="730">
        <v>1.38E-2</v>
      </c>
      <c r="JO148" s="730">
        <v>0.30049999999999999</v>
      </c>
      <c r="JP148" s="730">
        <v>0.51229999999999998</v>
      </c>
      <c r="JQ148" s="730">
        <v>0.16600000000000001</v>
      </c>
      <c r="JR148" s="730">
        <v>7.4000000000000003E-3</v>
      </c>
      <c r="JS148" s="730">
        <v>9.9000000000000008E-3</v>
      </c>
      <c r="JT148" s="730">
        <v>0.32890000000000003</v>
      </c>
      <c r="JU148" s="730">
        <v>0.52380000000000004</v>
      </c>
      <c r="JV148" s="730">
        <v>0.13400000000000001</v>
      </c>
      <c r="JW148" s="730">
        <v>3.3999999999999998E-3</v>
      </c>
      <c r="JX148" s="730">
        <v>0</v>
      </c>
      <c r="JY148" s="730">
        <v>0.21709999999999999</v>
      </c>
      <c r="JZ148" s="730">
        <v>0.5605</v>
      </c>
      <c r="KA148" s="730">
        <v>0.21299999999999999</v>
      </c>
      <c r="KB148" s="730">
        <v>9.4000000000000004E-3</v>
      </c>
      <c r="KC148" s="657"/>
      <c r="KD148" s="314" t="s">
        <v>2590</v>
      </c>
      <c r="KE148" s="314" t="s">
        <v>2590</v>
      </c>
      <c r="KF148" s="866">
        <v>4</v>
      </c>
      <c r="KG148" s="314" t="s">
        <v>2589</v>
      </c>
      <c r="KH148" s="315" t="s">
        <v>5139</v>
      </c>
      <c r="KI148" s="314" t="s">
        <v>3384</v>
      </c>
      <c r="KJ148" s="315" t="s">
        <v>5160</v>
      </c>
    </row>
    <row r="149" spans="1:383" ht="48" hidden="1" customHeight="1">
      <c r="A149" s="265">
        <f t="shared" si="560"/>
        <v>142</v>
      </c>
      <c r="B149" s="266" t="s">
        <v>4908</v>
      </c>
      <c r="C149" s="266" t="s">
        <v>2027</v>
      </c>
      <c r="D149" s="624" t="s">
        <v>2032</v>
      </c>
      <c r="E149" s="267" t="s">
        <v>5153</v>
      </c>
      <c r="F149" s="267" t="s">
        <v>300</v>
      </c>
      <c r="G149" s="267" t="s">
        <v>300</v>
      </c>
      <c r="H149" s="267" t="s">
        <v>2109</v>
      </c>
      <c r="I149" s="268" t="s">
        <v>5161</v>
      </c>
      <c r="J149" s="268" t="s">
        <v>5162</v>
      </c>
      <c r="K149" s="269" t="s">
        <v>2097</v>
      </c>
      <c r="L149" s="269" t="s">
        <v>2109</v>
      </c>
      <c r="M149" s="269" t="s">
        <v>2603</v>
      </c>
      <c r="N149" s="269" t="s">
        <v>2099</v>
      </c>
      <c r="O149" s="267" t="s">
        <v>2616</v>
      </c>
      <c r="P149" s="268"/>
      <c r="Q149" s="270">
        <v>1</v>
      </c>
      <c r="R149" s="271">
        <v>1500</v>
      </c>
      <c r="S149" s="272">
        <v>271</v>
      </c>
      <c r="T149" s="272">
        <v>271</v>
      </c>
      <c r="U149" s="272">
        <v>210</v>
      </c>
      <c r="V149" s="272">
        <v>210</v>
      </c>
      <c r="W149" s="272">
        <v>210</v>
      </c>
      <c r="X149" s="272">
        <v>210</v>
      </c>
      <c r="Y149" s="272">
        <v>210</v>
      </c>
      <c r="Z149" s="272">
        <v>210</v>
      </c>
      <c r="AA149" s="272">
        <v>210</v>
      </c>
      <c r="AB149" s="272">
        <v>210</v>
      </c>
      <c r="AC149" s="272">
        <v>210</v>
      </c>
      <c r="AD149" s="272">
        <v>211</v>
      </c>
      <c r="AE149" s="272">
        <v>211</v>
      </c>
      <c r="AF149" s="272">
        <v>211</v>
      </c>
      <c r="AG149" s="272">
        <v>211</v>
      </c>
      <c r="AH149" s="272">
        <v>211</v>
      </c>
      <c r="AI149" s="272">
        <v>211</v>
      </c>
      <c r="AJ149" s="272">
        <v>211</v>
      </c>
      <c r="AK149" s="272">
        <v>211</v>
      </c>
      <c r="AL149" s="268" t="s">
        <v>5163</v>
      </c>
      <c r="AM149" s="268" t="s">
        <v>5145</v>
      </c>
      <c r="AN149" s="268" t="s">
        <v>5120</v>
      </c>
      <c r="AO149" s="657"/>
      <c r="AP149" s="271">
        <v>180</v>
      </c>
      <c r="AQ149" s="280">
        <v>117</v>
      </c>
      <c r="AR149" s="280">
        <v>45</v>
      </c>
      <c r="AS149" s="280">
        <v>18</v>
      </c>
      <c r="AT149" s="657"/>
      <c r="AU149" s="301" t="s">
        <v>5146</v>
      </c>
      <c r="AV149" s="572" t="s">
        <v>5164</v>
      </c>
      <c r="AW149" s="645" t="s">
        <v>2763</v>
      </c>
      <c r="AX149" s="290" t="s">
        <v>4918</v>
      </c>
      <c r="AY149" s="657"/>
      <c r="AZ149" s="948">
        <v>7</v>
      </c>
      <c r="BA149" s="948">
        <v>0</v>
      </c>
      <c r="BB149" s="948">
        <v>1</v>
      </c>
      <c r="BC149" s="948">
        <v>7</v>
      </c>
      <c r="BD149" s="825">
        <f t="shared" si="465"/>
        <v>3165</v>
      </c>
      <c r="BE149" s="304">
        <f t="shared" si="466"/>
        <v>1477</v>
      </c>
      <c r="BF149" s="304">
        <f t="shared" si="467"/>
        <v>0</v>
      </c>
      <c r="BG149" s="304">
        <f t="shared" si="468"/>
        <v>211</v>
      </c>
      <c r="BH149" s="304">
        <f t="shared" si="469"/>
        <v>1477</v>
      </c>
      <c r="BI149" s="825">
        <f t="shared" si="470"/>
        <v>3165</v>
      </c>
      <c r="BJ149" s="304">
        <f t="shared" si="471"/>
        <v>1477</v>
      </c>
      <c r="BK149" s="304">
        <f t="shared" si="472"/>
        <v>0</v>
      </c>
      <c r="BL149" s="304">
        <f t="shared" si="473"/>
        <v>211</v>
      </c>
      <c r="BM149" s="304">
        <f t="shared" si="474"/>
        <v>1477</v>
      </c>
      <c r="BN149" s="657"/>
      <c r="BO149" s="284">
        <v>0.18</v>
      </c>
      <c r="BP149" s="284">
        <v>0.64</v>
      </c>
      <c r="BQ149" s="284">
        <v>0.14000000000000001</v>
      </c>
      <c r="BR149" s="710">
        <v>0.04</v>
      </c>
      <c r="BS149" s="707">
        <v>0.16</v>
      </c>
      <c r="BT149" s="284">
        <v>0.64</v>
      </c>
      <c r="BU149" s="284">
        <v>0.17</v>
      </c>
      <c r="BV149" s="710">
        <v>0.03</v>
      </c>
      <c r="BW149" s="714"/>
      <c r="BX149" s="285"/>
      <c r="BY149" s="717"/>
      <c r="BZ149" s="714"/>
      <c r="CA149" s="285"/>
      <c r="CB149" s="717"/>
      <c r="CC149" s="284">
        <v>0.1</v>
      </c>
      <c r="CD149" s="284">
        <v>0.55000000000000004</v>
      </c>
      <c r="CE149" s="284">
        <v>0.15</v>
      </c>
      <c r="CF149" s="710">
        <v>0.2</v>
      </c>
      <c r="CG149" s="707">
        <v>0.08</v>
      </c>
      <c r="CH149" s="284">
        <v>0.55000000000000004</v>
      </c>
      <c r="CI149" s="284">
        <v>0.18</v>
      </c>
      <c r="CJ149" s="710">
        <v>0.19</v>
      </c>
      <c r="CK149" s="720">
        <v>0.55000000000000004</v>
      </c>
      <c r="CL149" s="286">
        <v>0.25</v>
      </c>
      <c r="CM149" s="718">
        <v>0.2</v>
      </c>
      <c r="CN149" s="720">
        <v>0.47</v>
      </c>
      <c r="CO149" s="286">
        <v>0.28000000000000003</v>
      </c>
      <c r="CP149" s="718">
        <v>0.25</v>
      </c>
      <c r="CQ149" s="657"/>
      <c r="CR149" s="807">
        <v>13</v>
      </c>
      <c r="CS149" s="808">
        <v>13</v>
      </c>
      <c r="CT149" s="808">
        <v>10</v>
      </c>
      <c r="CU149" s="809">
        <v>12</v>
      </c>
      <c r="CV149" s="807"/>
      <c r="CW149" s="808"/>
      <c r="CX149" s="809"/>
      <c r="CY149" s="807">
        <v>11</v>
      </c>
      <c r="CZ149" s="808">
        <v>13</v>
      </c>
      <c r="DA149" s="808">
        <v>9</v>
      </c>
      <c r="DB149" s="809">
        <v>11</v>
      </c>
      <c r="DC149" s="807">
        <v>12</v>
      </c>
      <c r="DD149" s="808">
        <v>13</v>
      </c>
      <c r="DE149" s="809">
        <v>10</v>
      </c>
      <c r="DF149" s="610" t="s">
        <v>5165</v>
      </c>
      <c r="DG149" s="657"/>
      <c r="DH149" s="288">
        <f t="shared" si="475"/>
        <v>265.86</v>
      </c>
      <c r="DI149" s="288">
        <f t="shared" si="476"/>
        <v>945.28</v>
      </c>
      <c r="DJ149" s="288">
        <f t="shared" si="477"/>
        <v>206.78000000000003</v>
      </c>
      <c r="DK149" s="288">
        <f t="shared" si="478"/>
        <v>59.08</v>
      </c>
      <c r="DL149" s="560" t="s">
        <v>5149</v>
      </c>
      <c r="DM149" s="288">
        <f t="shared" si="479"/>
        <v>236.32</v>
      </c>
      <c r="DN149" s="288">
        <f t="shared" si="480"/>
        <v>945.28</v>
      </c>
      <c r="DO149" s="288">
        <f t="shared" si="481"/>
        <v>251.09000000000003</v>
      </c>
      <c r="DP149" s="288">
        <f t="shared" si="482"/>
        <v>44.309999999999995</v>
      </c>
      <c r="DQ149" s="561" t="s">
        <v>5126</v>
      </c>
      <c r="DR149" s="657"/>
      <c r="DS149" s="288">
        <f t="shared" si="483"/>
        <v>0</v>
      </c>
      <c r="DT149" s="288">
        <f t="shared" si="484"/>
        <v>0</v>
      </c>
      <c r="DU149" s="288">
        <f t="shared" si="485"/>
        <v>0</v>
      </c>
      <c r="DV149" s="561" t="s">
        <v>2613</v>
      </c>
      <c r="DW149" s="288">
        <f t="shared" si="486"/>
        <v>0</v>
      </c>
      <c r="DX149" s="288">
        <f t="shared" si="487"/>
        <v>0</v>
      </c>
      <c r="DY149" s="288">
        <f t="shared" si="488"/>
        <v>0</v>
      </c>
      <c r="DZ149" s="561" t="s">
        <v>2613</v>
      </c>
      <c r="EA149" s="657"/>
      <c r="EB149" s="288">
        <f t="shared" si="489"/>
        <v>21.1</v>
      </c>
      <c r="EC149" s="288">
        <f t="shared" si="490"/>
        <v>116.05000000000001</v>
      </c>
      <c r="ED149" s="288">
        <f t="shared" si="491"/>
        <v>31.65</v>
      </c>
      <c r="EE149" s="288">
        <f t="shared" si="492"/>
        <v>42.2</v>
      </c>
      <c r="EF149" s="561" t="s">
        <v>3640</v>
      </c>
      <c r="EG149" s="288">
        <f t="shared" si="493"/>
        <v>16.88</v>
      </c>
      <c r="EH149" s="288">
        <f t="shared" si="494"/>
        <v>116.05000000000001</v>
      </c>
      <c r="EI149" s="288">
        <f t="shared" si="495"/>
        <v>37.979999999999997</v>
      </c>
      <c r="EJ149" s="288">
        <f t="shared" si="496"/>
        <v>40.090000000000003</v>
      </c>
      <c r="EK149" s="561" t="s">
        <v>5128</v>
      </c>
      <c r="EL149" s="657"/>
      <c r="EM149" s="288">
        <f t="shared" si="497"/>
        <v>812.35</v>
      </c>
      <c r="EN149" s="291">
        <f t="shared" si="498"/>
        <v>369.25</v>
      </c>
      <c r="EO149" s="291">
        <f t="shared" si="499"/>
        <v>295.40000000000003</v>
      </c>
      <c r="EP149" s="561" t="s">
        <v>5150</v>
      </c>
      <c r="EQ149" s="288">
        <f t="shared" si="500"/>
        <v>694.18999999999994</v>
      </c>
      <c r="ER149" s="291">
        <f t="shared" si="501"/>
        <v>413.56000000000006</v>
      </c>
      <c r="ES149" s="291">
        <f t="shared" si="502"/>
        <v>369.25</v>
      </c>
      <c r="ET149" s="561" t="s">
        <v>5130</v>
      </c>
      <c r="EU149" s="657"/>
      <c r="EV149" s="740">
        <f t="shared" si="503"/>
        <v>0.87301899598683563</v>
      </c>
      <c r="EW149" s="740">
        <f t="shared" si="504"/>
        <v>0.12698100401316434</v>
      </c>
      <c r="EX149" s="563">
        <f t="shared" si="505"/>
        <v>1224.8139098339161</v>
      </c>
      <c r="EY149" s="563">
        <f t="shared" si="506"/>
        <v>1069.2858098339161</v>
      </c>
      <c r="EZ149" s="563">
        <f t="shared" si="507"/>
        <v>155.52809999999999</v>
      </c>
      <c r="FA149" s="563">
        <f t="shared" si="508"/>
        <v>556.17811846153836</v>
      </c>
      <c r="FB149" s="563">
        <f t="shared" si="509"/>
        <v>483.59833846153839</v>
      </c>
      <c r="FC149" s="563">
        <f t="shared" si="510"/>
        <v>72.57978</v>
      </c>
      <c r="FD149" s="563">
        <f t="shared" si="511"/>
        <v>0</v>
      </c>
      <c r="FE149" s="563">
        <f t="shared" si="512"/>
        <v>0</v>
      </c>
      <c r="FF149" s="563">
        <f t="shared" si="513"/>
        <v>0</v>
      </c>
      <c r="FG149" s="563">
        <f t="shared" si="514"/>
        <v>84.468802237762233</v>
      </c>
      <c r="FH149" s="563">
        <f t="shared" si="515"/>
        <v>74.100262237762237</v>
      </c>
      <c r="FI149" s="563">
        <f t="shared" si="516"/>
        <v>10.368540000000001</v>
      </c>
      <c r="FJ149" s="563">
        <f t="shared" si="517"/>
        <v>584.16698913461539</v>
      </c>
      <c r="FK149" s="563">
        <f t="shared" si="518"/>
        <v>511.58720913461536</v>
      </c>
      <c r="FL149" s="563">
        <f t="shared" si="519"/>
        <v>72.57978</v>
      </c>
      <c r="FM149" s="529"/>
      <c r="FN149" s="564" t="s">
        <v>2616</v>
      </c>
      <c r="FO149" s="740">
        <v>4.9140000000000003E-2</v>
      </c>
      <c r="FP149" s="741">
        <v>0.81824999999999992</v>
      </c>
      <c r="FQ149" s="565" t="s">
        <v>4219</v>
      </c>
      <c r="FR149" s="529"/>
      <c r="FS149" s="867">
        <v>2.86</v>
      </c>
      <c r="FT149" s="566">
        <f>RANK($FS149,$FS$8:$FS$154,0)+COUNTIF($FS$8:$FS149,$FS149)-1</f>
        <v>136</v>
      </c>
      <c r="FU149" s="867">
        <v>3.88</v>
      </c>
      <c r="FV149" s="566">
        <f>RANK($FU149,$FU$8:$FU$154,0)+COUNTIF($FU$8:$FU149,$FU149)-1</f>
        <v>103</v>
      </c>
      <c r="FW149" s="867">
        <v>1.62</v>
      </c>
      <c r="FX149" s="566">
        <f>RANK($FW149,$FW$8:$FW$154,0)+COUNTIF($FW$8:$FW149,$FW149)-1</f>
        <v>138</v>
      </c>
      <c r="FY149" s="529"/>
      <c r="FZ149" s="567" t="s">
        <v>5132</v>
      </c>
      <c r="GA149" s="567" t="s">
        <v>5133</v>
      </c>
      <c r="GB149" s="567" t="s">
        <v>5134</v>
      </c>
      <c r="GC149" s="567" t="s">
        <v>5135</v>
      </c>
      <c r="GD149" s="567" t="s">
        <v>5136</v>
      </c>
      <c r="GE149" s="567" t="s">
        <v>5137</v>
      </c>
      <c r="GF149" s="567" t="str">
        <f>HYPERLINK("https://www.justice.gouv.fr/presentation-loi-dorientation-programmation-ministere-justice-2023-2027","https://www.justice.gouv.fr/presentation-loi-dorientation-programmation-ministere-justice-2023-2027")&amp;CHAR(10)&amp;HYPERLINK("https://www.justice.gouv.fr/ministere-justice/budget-justice","https://www.justice.gouv.fr/ministere-justice/budget-justice")&amp;CHAR(10)&amp;HYPERLINK("https://www.justice.gouv.fr/documentation/ressources/rapport-2024-loi-dorientation-programmation-du-ministere-justice-2023-2027","https://www.justice.gouv.fr/documentation/ressources/rapport-2024-loi-dorientation-programmation-du-ministere-justice-2023-2027")&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https://www.justice.gouv.fr/presentation-loi-dorientation-programmation-ministere-justice-2023-2027
https://www.justice.gouv.fr/ministere-justice/budget-justice
https://www.justice.gouv.fr/documentation/ressources/rapport-2024-loi-dorientation-programmation-du-ministere-justice-2023-2027
https://www.statistiques.developpement-durable.gouv.fr/construction-de-locaux-resultats-fin-janvier-2026-france-entiere
https://www.insee.fr/fr/statistiques/8671745
https://www.insee.fr/fr/statistiques/8906564</v>
      </c>
      <c r="GG149" s="529"/>
      <c r="GH149" s="563">
        <f t="shared" si="520"/>
        <v>94.885437876923078</v>
      </c>
      <c r="GI149" s="563">
        <f t="shared" si="451"/>
        <v>83.272673076923084</v>
      </c>
      <c r="GJ149" s="563">
        <f t="shared" si="521"/>
        <v>11.612764800000001</v>
      </c>
      <c r="GK149" s="563">
        <f t="shared" si="522"/>
        <v>342.5316745846153</v>
      </c>
      <c r="GL149" s="563">
        <f t="shared" si="452"/>
        <v>296.08061538461533</v>
      </c>
      <c r="GM149" s="563">
        <f t="shared" si="523"/>
        <v>46.451059200000003</v>
      </c>
      <c r="GN149" s="563">
        <f t="shared" si="524"/>
        <v>96.536487599999987</v>
      </c>
      <c r="GO149" s="563">
        <f t="shared" si="453"/>
        <v>84.197924999999984</v>
      </c>
      <c r="GP149" s="563">
        <f t="shared" si="525"/>
        <v>12.338562600000001</v>
      </c>
      <c r="GQ149" s="563">
        <f t="shared" si="526"/>
        <v>22.224518399999997</v>
      </c>
      <c r="GR149" s="563">
        <f t="shared" si="454"/>
        <v>20.047124999999998</v>
      </c>
      <c r="GS149" s="563">
        <f t="shared" si="527"/>
        <v>2.1773933999999997</v>
      </c>
      <c r="GT149" s="563">
        <f t="shared" si="528"/>
        <v>0</v>
      </c>
      <c r="GU149" s="563">
        <f t="shared" si="455"/>
        <v>0</v>
      </c>
      <c r="GV149" s="563">
        <f t="shared" si="529"/>
        <v>0</v>
      </c>
      <c r="GW149" s="563">
        <f t="shared" si="530"/>
        <v>0</v>
      </c>
      <c r="GX149" s="563">
        <f t="shared" si="456"/>
        <v>0</v>
      </c>
      <c r="GY149" s="563">
        <f t="shared" si="531"/>
        <v>0</v>
      </c>
      <c r="GZ149" s="563">
        <f t="shared" si="532"/>
        <v>0</v>
      </c>
      <c r="HA149" s="563">
        <f t="shared" si="457"/>
        <v>0</v>
      </c>
      <c r="HB149" s="563">
        <f t="shared" si="533"/>
        <v>0</v>
      </c>
      <c r="HC149" s="563">
        <f t="shared" si="534"/>
        <v>8.6400513818181803</v>
      </c>
      <c r="HD149" s="563">
        <f t="shared" si="458"/>
        <v>7.8105681818181809</v>
      </c>
      <c r="HE149" s="563">
        <f t="shared" si="535"/>
        <v>0.82948320000000009</v>
      </c>
      <c r="HF149" s="563">
        <f t="shared" si="536"/>
        <v>42.051879692307693</v>
      </c>
      <c r="HG149" s="563">
        <f t="shared" si="459"/>
        <v>36.349182692307693</v>
      </c>
      <c r="HH149" s="563">
        <f t="shared" si="537"/>
        <v>5.7026970000000015</v>
      </c>
      <c r="HI149" s="563">
        <f t="shared" si="538"/>
        <v>16.185712199999998</v>
      </c>
      <c r="HJ149" s="563">
        <f t="shared" si="460"/>
        <v>14.319374999999999</v>
      </c>
      <c r="HK149" s="563">
        <f t="shared" si="539"/>
        <v>1.8663372000000003</v>
      </c>
      <c r="HL149" s="563">
        <f t="shared" si="540"/>
        <v>17.591158963636364</v>
      </c>
      <c r="HM149" s="563">
        <f t="shared" si="461"/>
        <v>15.621136363636362</v>
      </c>
      <c r="HN149" s="563">
        <f t="shared" si="541"/>
        <v>1.9700226000000003</v>
      </c>
      <c r="HO149" s="563">
        <f t="shared" si="542"/>
        <v>309.76046534999995</v>
      </c>
      <c r="HP149" s="563">
        <f t="shared" si="462"/>
        <v>275.64796874999996</v>
      </c>
      <c r="HQ149" s="563">
        <f t="shared" si="543"/>
        <v>34.1124966</v>
      </c>
      <c r="HR149" s="563">
        <f t="shared" si="544"/>
        <v>135.97882878461536</v>
      </c>
      <c r="HS149" s="563">
        <f t="shared" si="463"/>
        <v>115.65649038461537</v>
      </c>
      <c r="HT149" s="563">
        <f t="shared" si="545"/>
        <v>20.322338400000003</v>
      </c>
      <c r="HU149" s="563">
        <f t="shared" si="546"/>
        <v>138.427695</v>
      </c>
      <c r="HV149" s="563">
        <f t="shared" si="464"/>
        <v>120.28275000000001</v>
      </c>
      <c r="HW149" s="563">
        <f t="shared" si="547"/>
        <v>18.144945</v>
      </c>
      <c r="HX149" s="544"/>
      <c r="HY149" s="568">
        <f t="shared" si="548"/>
        <v>3165</v>
      </c>
      <c r="HZ149" s="568">
        <f t="shared" si="549"/>
        <v>27.767600000000002</v>
      </c>
      <c r="IA149" s="568">
        <f t="shared" si="550"/>
        <v>1012.8633</v>
      </c>
      <c r="IB149" s="568">
        <f t="shared" si="551"/>
        <v>1667.9339</v>
      </c>
      <c r="IC149" s="568">
        <f t="shared" si="552"/>
        <v>444.3449</v>
      </c>
      <c r="ID149" s="568">
        <f t="shared" si="553"/>
        <v>12.090299999999999</v>
      </c>
      <c r="IE149" s="568">
        <f t="shared" si="554"/>
        <v>1069.2858098339159</v>
      </c>
      <c r="IF149" s="568">
        <f t="shared" si="555"/>
        <v>1.2078342744755244</v>
      </c>
      <c r="IG149" s="568">
        <f t="shared" si="556"/>
        <v>225.26593634412586</v>
      </c>
      <c r="IH149" s="568">
        <f t="shared" si="557"/>
        <v>594.46604041923501</v>
      </c>
      <c r="II149" s="568">
        <f t="shared" si="558"/>
        <v>236.95204036562936</v>
      </c>
      <c r="IJ149" s="568">
        <f t="shared" si="559"/>
        <v>11.393958430450173</v>
      </c>
      <c r="IK149" s="868">
        <v>3.9</v>
      </c>
      <c r="IL149" s="569" t="s">
        <v>2589</v>
      </c>
      <c r="IM149" s="570" t="s">
        <v>5138</v>
      </c>
      <c r="IN149" s="529"/>
      <c r="IO149" s="742">
        <v>0</v>
      </c>
      <c r="IP149" s="742">
        <v>0.28799999999999998</v>
      </c>
      <c r="IQ149" s="742">
        <v>0.54790000000000005</v>
      </c>
      <c r="IR149" s="742">
        <v>0.15920000000000001</v>
      </c>
      <c r="IS149" s="742">
        <v>4.8999999999999998E-3</v>
      </c>
      <c r="IT149" s="742">
        <v>0</v>
      </c>
      <c r="IU149" s="742">
        <v>0.1799</v>
      </c>
      <c r="IV149" s="742">
        <v>0.55889999999999995</v>
      </c>
      <c r="IW149" s="742">
        <v>0.24790000000000001</v>
      </c>
      <c r="IX149" s="742">
        <v>1.3299999999999999E-2</v>
      </c>
      <c r="IY149" s="742">
        <v>0</v>
      </c>
      <c r="IZ149" s="742">
        <v>0</v>
      </c>
      <c r="JA149" s="742">
        <v>0</v>
      </c>
      <c r="JB149" s="742">
        <v>0</v>
      </c>
      <c r="JC149" s="742">
        <v>0</v>
      </c>
      <c r="JD149" s="742">
        <v>0</v>
      </c>
      <c r="JE149" s="742">
        <v>0</v>
      </c>
      <c r="JF149" s="742">
        <v>0</v>
      </c>
      <c r="JG149" s="742">
        <v>0</v>
      </c>
      <c r="JH149" s="742">
        <v>0</v>
      </c>
      <c r="JI149" s="742">
        <v>4.41E-2</v>
      </c>
      <c r="JJ149" s="742">
        <v>0.41899999999999998</v>
      </c>
      <c r="JK149" s="742">
        <v>0.44640000000000002</v>
      </c>
      <c r="JL149" s="742">
        <v>8.9200000000000002E-2</v>
      </c>
      <c r="JM149" s="742">
        <v>1.2999999999999999E-3</v>
      </c>
      <c r="JN149" s="742">
        <v>1.6299999999999999E-2</v>
      </c>
      <c r="JO149" s="742">
        <v>0.30840000000000001</v>
      </c>
      <c r="JP149" s="742">
        <v>0.50800000000000001</v>
      </c>
      <c r="JQ149" s="742">
        <v>0.16039999999999999</v>
      </c>
      <c r="JR149" s="742">
        <v>6.8999999999999999E-3</v>
      </c>
      <c r="JS149" s="742">
        <v>1.2500000000000001E-2</v>
      </c>
      <c r="JT149" s="742">
        <v>0.33789999999999998</v>
      </c>
      <c r="JU149" s="742">
        <v>0.51759999999999995</v>
      </c>
      <c r="JV149" s="742">
        <v>0.12889999999999999</v>
      </c>
      <c r="JW149" s="742">
        <v>3.0999999999999999E-3</v>
      </c>
      <c r="JX149" s="742">
        <v>0</v>
      </c>
      <c r="JY149" s="742">
        <v>0.22559999999999999</v>
      </c>
      <c r="JZ149" s="742">
        <v>0.56010000000000004</v>
      </c>
      <c r="KA149" s="742">
        <v>0.2056</v>
      </c>
      <c r="KB149" s="742">
        <v>8.6999999999999994E-3</v>
      </c>
      <c r="KC149" s="657"/>
      <c r="KD149" s="832" t="s">
        <v>2590</v>
      </c>
      <c r="KE149" s="832" t="s">
        <v>2590</v>
      </c>
      <c r="KF149" s="869">
        <v>4</v>
      </c>
      <c r="KG149" s="832" t="s">
        <v>2589</v>
      </c>
      <c r="KH149" s="833" t="s">
        <v>5139</v>
      </c>
      <c r="KI149" s="832" t="s">
        <v>3384</v>
      </c>
      <c r="KJ149" s="833" t="s">
        <v>5166</v>
      </c>
    </row>
    <row r="150" spans="1:383" ht="48" hidden="1" customHeight="1">
      <c r="A150" s="273">
        <f t="shared" si="560"/>
        <v>143</v>
      </c>
      <c r="B150" s="274" t="s">
        <v>5167</v>
      </c>
      <c r="C150" s="274" t="s">
        <v>2163</v>
      </c>
      <c r="D150" s="274" t="s">
        <v>2164</v>
      </c>
      <c r="E150" s="275" t="s">
        <v>2117</v>
      </c>
      <c r="F150" s="275" t="s">
        <v>2165</v>
      </c>
      <c r="G150" s="275" t="s">
        <v>2121</v>
      </c>
      <c r="H150" s="275" t="s">
        <v>2109</v>
      </c>
      <c r="I150" s="276" t="s">
        <v>2166</v>
      </c>
      <c r="J150" s="276" t="s">
        <v>2167</v>
      </c>
      <c r="K150" s="277" t="s">
        <v>2097</v>
      </c>
      <c r="L150" s="277" t="s">
        <v>2109</v>
      </c>
      <c r="M150" s="277" t="s">
        <v>2603</v>
      </c>
      <c r="N150" s="277" t="s">
        <v>2099</v>
      </c>
      <c r="O150" s="275" t="s">
        <v>2616</v>
      </c>
      <c r="P150" s="276"/>
      <c r="Q150" s="270">
        <v>1</v>
      </c>
      <c r="R150" s="278">
        <v>25</v>
      </c>
      <c r="S150" s="279">
        <v>10500</v>
      </c>
      <c r="T150" s="279">
        <v>11250</v>
      </c>
      <c r="U150" s="279">
        <v>12000</v>
      </c>
      <c r="V150" s="279">
        <v>12850</v>
      </c>
      <c r="W150" s="279">
        <v>13100</v>
      </c>
      <c r="X150" s="279">
        <v>13350</v>
      </c>
      <c r="Y150" s="279">
        <v>13600</v>
      </c>
      <c r="Z150" s="279">
        <v>13900</v>
      </c>
      <c r="AA150" s="279">
        <v>14200</v>
      </c>
      <c r="AB150" s="279">
        <v>14400</v>
      </c>
      <c r="AC150" s="279">
        <v>14600</v>
      </c>
      <c r="AD150" s="279">
        <v>14800</v>
      </c>
      <c r="AE150" s="279">
        <v>14900</v>
      </c>
      <c r="AF150" s="279">
        <v>15000</v>
      </c>
      <c r="AG150" s="279">
        <v>15100</v>
      </c>
      <c r="AH150" s="279">
        <v>15200</v>
      </c>
      <c r="AI150" s="279">
        <v>15300</v>
      </c>
      <c r="AJ150" s="279">
        <v>15400</v>
      </c>
      <c r="AK150" s="279">
        <v>15500</v>
      </c>
      <c r="AL150" s="276" t="s">
        <v>5168</v>
      </c>
      <c r="AM150" s="276" t="s">
        <v>5169</v>
      </c>
      <c r="AN150" s="276" t="s">
        <v>5170</v>
      </c>
      <c r="AO150" s="657"/>
      <c r="AP150" s="278">
        <v>6</v>
      </c>
      <c r="AQ150" s="278">
        <v>6</v>
      </c>
      <c r="AR150" s="278">
        <v>0</v>
      </c>
      <c r="AS150" s="278">
        <v>0</v>
      </c>
      <c r="AT150" s="657"/>
      <c r="AU150" s="281" t="s">
        <v>5171</v>
      </c>
      <c r="AV150" s="296" t="s">
        <v>5172</v>
      </c>
      <c r="AW150" s="296" t="s">
        <v>5173</v>
      </c>
      <c r="AX150" s="276" t="s">
        <v>2670</v>
      </c>
      <c r="AY150" s="657"/>
      <c r="AZ150" s="947">
        <v>1</v>
      </c>
      <c r="BA150" s="947">
        <v>0</v>
      </c>
      <c r="BB150" s="947">
        <v>0.5</v>
      </c>
      <c r="BC150" s="947">
        <v>1</v>
      </c>
      <c r="BD150" s="826">
        <f t="shared" si="465"/>
        <v>37500</v>
      </c>
      <c r="BE150" s="283">
        <f t="shared" si="466"/>
        <v>15000</v>
      </c>
      <c r="BF150" s="283">
        <f t="shared" si="467"/>
        <v>0</v>
      </c>
      <c r="BG150" s="283">
        <f t="shared" si="468"/>
        <v>7500</v>
      </c>
      <c r="BH150" s="283">
        <f t="shared" si="469"/>
        <v>15000</v>
      </c>
      <c r="BI150" s="826">
        <f t="shared" si="470"/>
        <v>38750</v>
      </c>
      <c r="BJ150" s="283">
        <f t="shared" si="471"/>
        <v>15500</v>
      </c>
      <c r="BK150" s="283">
        <f t="shared" si="472"/>
        <v>0</v>
      </c>
      <c r="BL150" s="283">
        <f t="shared" si="473"/>
        <v>7750</v>
      </c>
      <c r="BM150" s="283">
        <f t="shared" si="474"/>
        <v>15500</v>
      </c>
      <c r="BN150" s="657"/>
      <c r="BO150" s="305">
        <v>0.05</v>
      </c>
      <c r="BP150" s="305">
        <v>0.55000000000000004</v>
      </c>
      <c r="BQ150" s="305">
        <v>0.08</v>
      </c>
      <c r="BR150" s="581">
        <v>0.32</v>
      </c>
      <c r="BS150" s="706">
        <v>0.05</v>
      </c>
      <c r="BT150" s="305">
        <v>0.54</v>
      </c>
      <c r="BU150" s="305">
        <v>0.09</v>
      </c>
      <c r="BV150" s="581">
        <v>0.32</v>
      </c>
      <c r="BW150" s="713"/>
      <c r="BX150" s="306"/>
      <c r="BY150" s="590"/>
      <c r="BZ150" s="713"/>
      <c r="CA150" s="306"/>
      <c r="CB150" s="590"/>
      <c r="CC150" s="706">
        <v>0.05</v>
      </c>
      <c r="CD150" s="305">
        <v>0.72</v>
      </c>
      <c r="CE150" s="305">
        <v>0.08</v>
      </c>
      <c r="CF150" s="581">
        <v>0.15</v>
      </c>
      <c r="CG150" s="706">
        <v>0.04</v>
      </c>
      <c r="CH150" s="305">
        <v>0.72</v>
      </c>
      <c r="CI150" s="305">
        <v>0.1</v>
      </c>
      <c r="CJ150" s="581">
        <v>0.14000000000000001</v>
      </c>
      <c r="CK150" s="719">
        <v>0.1</v>
      </c>
      <c r="CL150" s="307">
        <v>0.65</v>
      </c>
      <c r="CM150" s="723">
        <v>0.25</v>
      </c>
      <c r="CN150" s="719">
        <v>0.05</v>
      </c>
      <c r="CO150" s="307">
        <v>0.65</v>
      </c>
      <c r="CP150" s="723">
        <v>0.3</v>
      </c>
      <c r="CQ150" s="657"/>
      <c r="CR150" s="804">
        <v>9</v>
      </c>
      <c r="CS150" s="805">
        <v>10</v>
      </c>
      <c r="CT150" s="805">
        <v>7</v>
      </c>
      <c r="CU150" s="806">
        <v>9</v>
      </c>
      <c r="CV150" s="804"/>
      <c r="CW150" s="805"/>
      <c r="CX150" s="806"/>
      <c r="CY150" s="804">
        <v>8</v>
      </c>
      <c r="CZ150" s="805">
        <v>9</v>
      </c>
      <c r="DA150" s="805">
        <v>6</v>
      </c>
      <c r="DB150" s="806">
        <v>8</v>
      </c>
      <c r="DC150" s="804">
        <v>9</v>
      </c>
      <c r="DD150" s="805">
        <v>10</v>
      </c>
      <c r="DE150" s="806">
        <v>7</v>
      </c>
      <c r="DF150" s="609" t="s">
        <v>5174</v>
      </c>
      <c r="DG150" s="657"/>
      <c r="DH150" s="308">
        <f t="shared" si="475"/>
        <v>750</v>
      </c>
      <c r="DI150" s="308">
        <f t="shared" si="476"/>
        <v>8250</v>
      </c>
      <c r="DJ150" s="308">
        <f t="shared" si="477"/>
        <v>1200</v>
      </c>
      <c r="DK150" s="308">
        <f t="shared" si="478"/>
        <v>4800</v>
      </c>
      <c r="DL150" s="287" t="s">
        <v>5175</v>
      </c>
      <c r="DM150" s="308">
        <f t="shared" si="479"/>
        <v>775</v>
      </c>
      <c r="DN150" s="308">
        <f t="shared" si="480"/>
        <v>8370</v>
      </c>
      <c r="DO150" s="308">
        <f t="shared" si="481"/>
        <v>1395</v>
      </c>
      <c r="DP150" s="308">
        <f t="shared" si="482"/>
        <v>4960</v>
      </c>
      <c r="DQ150" s="289" t="s">
        <v>5176</v>
      </c>
      <c r="DR150" s="657"/>
      <c r="DS150" s="308">
        <f t="shared" si="483"/>
        <v>0</v>
      </c>
      <c r="DT150" s="308">
        <f t="shared" si="484"/>
        <v>0</v>
      </c>
      <c r="DU150" s="308">
        <f t="shared" si="485"/>
        <v>0</v>
      </c>
      <c r="DV150" s="289" t="s">
        <v>2613</v>
      </c>
      <c r="DW150" s="308">
        <f t="shared" si="486"/>
        <v>0</v>
      </c>
      <c r="DX150" s="308">
        <f t="shared" si="487"/>
        <v>0</v>
      </c>
      <c r="DY150" s="308">
        <f t="shared" si="488"/>
        <v>0</v>
      </c>
      <c r="DZ150" s="289" t="s">
        <v>2613</v>
      </c>
      <c r="EA150" s="657"/>
      <c r="EB150" s="308">
        <f t="shared" si="489"/>
        <v>375</v>
      </c>
      <c r="EC150" s="308">
        <f t="shared" si="490"/>
        <v>5400</v>
      </c>
      <c r="ED150" s="308">
        <f t="shared" si="491"/>
        <v>600</v>
      </c>
      <c r="EE150" s="308">
        <f t="shared" si="492"/>
        <v>1125</v>
      </c>
      <c r="EF150" s="289" t="s">
        <v>5177</v>
      </c>
      <c r="EG150" s="308">
        <f t="shared" si="493"/>
        <v>310</v>
      </c>
      <c r="EH150" s="308">
        <f t="shared" si="494"/>
        <v>5580</v>
      </c>
      <c r="EI150" s="308">
        <f t="shared" si="495"/>
        <v>775</v>
      </c>
      <c r="EJ150" s="308">
        <f t="shared" si="496"/>
        <v>1085</v>
      </c>
      <c r="EK150" s="309" t="s">
        <v>5178</v>
      </c>
      <c r="EL150" s="657"/>
      <c r="EM150" s="308">
        <f t="shared" si="497"/>
        <v>1500</v>
      </c>
      <c r="EN150" s="310">
        <f t="shared" si="498"/>
        <v>9750</v>
      </c>
      <c r="EO150" s="310">
        <f t="shared" si="499"/>
        <v>3750</v>
      </c>
      <c r="EP150" s="289" t="s">
        <v>5179</v>
      </c>
      <c r="EQ150" s="308">
        <f t="shared" si="500"/>
        <v>775</v>
      </c>
      <c r="ER150" s="310">
        <f t="shared" si="501"/>
        <v>10075</v>
      </c>
      <c r="ES150" s="310">
        <f t="shared" si="502"/>
        <v>4650</v>
      </c>
      <c r="ET150" s="289" t="s">
        <v>5180</v>
      </c>
      <c r="EU150" s="657"/>
      <c r="EV150" s="728">
        <f t="shared" si="503"/>
        <v>0.79670161389473526</v>
      </c>
      <c r="EW150" s="728">
        <f t="shared" si="504"/>
        <v>0.20329838610526466</v>
      </c>
      <c r="EX150" s="311">
        <f t="shared" si="505"/>
        <v>19614.026832142859</v>
      </c>
      <c r="EY150" s="311">
        <f t="shared" si="506"/>
        <v>15626.526832142858</v>
      </c>
      <c r="EZ150" s="311">
        <f t="shared" si="507"/>
        <v>3987.5</v>
      </c>
      <c r="FA150" s="311">
        <f t="shared" si="508"/>
        <v>7593.7632964285713</v>
      </c>
      <c r="FB150" s="311">
        <f t="shared" si="509"/>
        <v>5998.7632964285713</v>
      </c>
      <c r="FC150" s="311">
        <f t="shared" si="510"/>
        <v>1595</v>
      </c>
      <c r="FD150" s="311">
        <f t="shared" si="511"/>
        <v>0</v>
      </c>
      <c r="FE150" s="311">
        <f t="shared" si="512"/>
        <v>0</v>
      </c>
      <c r="FF150" s="311">
        <f t="shared" si="513"/>
        <v>0</v>
      </c>
      <c r="FG150" s="311">
        <f t="shared" si="514"/>
        <v>4148.4672250000003</v>
      </c>
      <c r="FH150" s="311">
        <f t="shared" si="515"/>
        <v>3350.9672249999999</v>
      </c>
      <c r="FI150" s="311">
        <f t="shared" si="516"/>
        <v>797.5</v>
      </c>
      <c r="FJ150" s="311">
        <f t="shared" si="517"/>
        <v>7871.7963107142859</v>
      </c>
      <c r="FK150" s="311">
        <f t="shared" si="518"/>
        <v>6276.7963107142859</v>
      </c>
      <c r="FL150" s="311">
        <f t="shared" si="519"/>
        <v>1595</v>
      </c>
      <c r="FM150" s="657"/>
      <c r="FN150" s="293" t="s">
        <v>2649</v>
      </c>
      <c r="FO150" s="728">
        <v>7.2999999999999995E-2</v>
      </c>
      <c r="FP150" s="729">
        <v>0.80789999999999995</v>
      </c>
      <c r="FQ150" s="294" t="s">
        <v>5181</v>
      </c>
      <c r="FR150" s="657"/>
      <c r="FS150" s="865">
        <v>3.79</v>
      </c>
      <c r="FT150" s="312">
        <f>RANK($FS150,$FS$8:$FS$154,0)+COUNTIF($FS$8:$FS150,$FS150)-1</f>
        <v>13</v>
      </c>
      <c r="FU150" s="865">
        <v>4.7</v>
      </c>
      <c r="FV150" s="312">
        <f>RANK($FU150,$FU$8:$FU$154,0)+COUNTIF($FU$8:$FU150,$FU150)-1</f>
        <v>7</v>
      </c>
      <c r="FW150" s="865">
        <v>2.1800000000000002</v>
      </c>
      <c r="FX150" s="312">
        <f>RANK($FW150,$FW$8:$FW$154,0)+COUNTIF($FW$8:$FW150,$FW150)-1</f>
        <v>73</v>
      </c>
      <c r="FY150" s="657"/>
      <c r="FZ150" s="296" t="s">
        <v>5182</v>
      </c>
      <c r="GA150" s="296" t="s">
        <v>5183</v>
      </c>
      <c r="GB150" s="296" t="s">
        <v>2653</v>
      </c>
      <c r="GC150" s="296" t="s">
        <v>2654</v>
      </c>
      <c r="GD150" s="296" t="s">
        <v>2655</v>
      </c>
      <c r="GE150" s="296" t="s">
        <v>2656</v>
      </c>
      <c r="GF150" s="296" t="str">
        <f>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atout-france.fr/fr/catalogue/etudes-publications/investissements-touristiques-et-developpement-des-territoires-en-1","https://www.atout-france.fr/fr/catalogue/etudes-publications/investissements-touristiques-et-developpement-des-territoires-en-1")&amp;CHAR(10)&amp;HYPERLINK("https://www.atout-france.fr/fr/actualites/investissements-touristiques-vers-un-nouveau-cycle-plus-selectif-et-durable","https://www.atout-france.fr/fr/actualites/investissements-touristiques-vers-un-nouveau-cycle-plus-selectif-et-durable")&amp;CHAR(10)&amp;HYPERLINK("https://www.atout-france.fr/fr/actualites/bilan-touristique-de-lannee-2025-avec-102-millions-de-visiteurs-la-france-pays-le-plus","https://www.atout-france.fr/fr/actualites/bilan-touristique-de-lannee-2025-avec-102-millions-de-visiteurs-la-france-pays-le-plus")&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https://www.ecologie.gouv.fr/eco-energie-tertiaire-eet
https://www.collectivites-locales.gouv.fr/les-collectivites-locales-en-chiffres-2025
https://www.collectivites-locales.gouv.fr/actualites/situation-mensuelle-comptable-des-collectivites-locales-au-31-decembre-2025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
https://www.statistiques.developpement-durable.gouv.fr/construction-de-locaux-resultats-fin-janvier-2026-france-entiere
https://www.insee.fr/fr/statistiques/8671745
https://www.insee.fr/fr/statistiques/8906564</v>
      </c>
      <c r="GG150" s="657"/>
      <c r="GH150" s="311">
        <f t="shared" si="520"/>
        <v>391.46474999999992</v>
      </c>
      <c r="GI150" s="311">
        <f t="shared" si="451"/>
        <v>311.71474999999992</v>
      </c>
      <c r="GJ150" s="311">
        <f t="shared" si="521"/>
        <v>79.75</v>
      </c>
      <c r="GK150" s="311">
        <f t="shared" si="522"/>
        <v>3889.5111749999996</v>
      </c>
      <c r="GL150" s="311">
        <f t="shared" si="452"/>
        <v>3028.2111749999995</v>
      </c>
      <c r="GM150" s="311">
        <f t="shared" si="523"/>
        <v>861.30000000000007</v>
      </c>
      <c r="GN150" s="311">
        <f t="shared" si="524"/>
        <v>807.41297142857138</v>
      </c>
      <c r="GO150" s="311">
        <f t="shared" si="453"/>
        <v>663.86297142857143</v>
      </c>
      <c r="GP150" s="311">
        <f t="shared" si="525"/>
        <v>143.54999999999998</v>
      </c>
      <c r="GQ150" s="311">
        <f t="shared" si="526"/>
        <v>2505.3743999999997</v>
      </c>
      <c r="GR150" s="311">
        <f t="shared" si="454"/>
        <v>1994.9743999999998</v>
      </c>
      <c r="GS150" s="311">
        <f t="shared" si="527"/>
        <v>510.40000000000003</v>
      </c>
      <c r="GT150" s="311">
        <f t="shared" si="528"/>
        <v>0</v>
      </c>
      <c r="GU150" s="311">
        <f t="shared" si="455"/>
        <v>0</v>
      </c>
      <c r="GV150" s="311">
        <f t="shared" si="529"/>
        <v>0</v>
      </c>
      <c r="GW150" s="311">
        <f t="shared" si="530"/>
        <v>0</v>
      </c>
      <c r="GX150" s="311">
        <f t="shared" si="456"/>
        <v>0</v>
      </c>
      <c r="GY150" s="311">
        <f t="shared" si="531"/>
        <v>0</v>
      </c>
      <c r="GZ150" s="311">
        <f t="shared" si="532"/>
        <v>0</v>
      </c>
      <c r="HA150" s="311">
        <f t="shared" si="457"/>
        <v>0</v>
      </c>
      <c r="HB150" s="311">
        <f t="shared" si="533"/>
        <v>0</v>
      </c>
      <c r="HC150" s="311">
        <f t="shared" si="534"/>
        <v>210.39540625000001</v>
      </c>
      <c r="HD150" s="311">
        <f t="shared" si="458"/>
        <v>178.49540625</v>
      </c>
      <c r="HE150" s="311">
        <f t="shared" si="535"/>
        <v>31.900000000000002</v>
      </c>
      <c r="HF150" s="311">
        <f t="shared" si="536"/>
        <v>2818.5461999999998</v>
      </c>
      <c r="HG150" s="311">
        <f t="shared" si="459"/>
        <v>2244.3462</v>
      </c>
      <c r="HH150" s="311">
        <f t="shared" si="537"/>
        <v>574.19999999999993</v>
      </c>
      <c r="HI150" s="311">
        <f t="shared" si="538"/>
        <v>472.38939999999991</v>
      </c>
      <c r="HJ150" s="311">
        <f t="shared" si="460"/>
        <v>392.63939999999991</v>
      </c>
      <c r="HK150" s="311">
        <f t="shared" si="539"/>
        <v>79.75</v>
      </c>
      <c r="HL150" s="311">
        <f t="shared" si="540"/>
        <v>647.1362187499999</v>
      </c>
      <c r="HM150" s="311">
        <f t="shared" si="461"/>
        <v>535.48621874999992</v>
      </c>
      <c r="HN150" s="311">
        <f t="shared" si="541"/>
        <v>111.65</v>
      </c>
      <c r="HO150" s="311">
        <f t="shared" si="542"/>
        <v>703.17949999999985</v>
      </c>
      <c r="HP150" s="311">
        <f t="shared" si="462"/>
        <v>623.42949999999985</v>
      </c>
      <c r="HQ150" s="311">
        <f t="shared" si="543"/>
        <v>79.75</v>
      </c>
      <c r="HR150" s="311">
        <f t="shared" si="544"/>
        <v>4615.5450249999994</v>
      </c>
      <c r="HS150" s="311">
        <f t="shared" si="463"/>
        <v>3578.7950249999999</v>
      </c>
      <c r="HT150" s="311">
        <f t="shared" si="545"/>
        <v>1036.75</v>
      </c>
      <c r="HU150" s="311">
        <f t="shared" si="546"/>
        <v>2553.0717857142859</v>
      </c>
      <c r="HV150" s="311">
        <f t="shared" si="464"/>
        <v>2074.5717857142859</v>
      </c>
      <c r="HW150" s="311">
        <f t="shared" si="547"/>
        <v>478.5</v>
      </c>
      <c r="HY150" s="313">
        <f t="shared" si="548"/>
        <v>30000</v>
      </c>
      <c r="HZ150" s="313">
        <f t="shared" si="549"/>
        <v>8566.5</v>
      </c>
      <c r="IA150" s="313">
        <f t="shared" si="550"/>
        <v>17932.5</v>
      </c>
      <c r="IB150" s="313">
        <f t="shared" si="551"/>
        <v>3501</v>
      </c>
      <c r="IC150" s="313">
        <f t="shared" si="552"/>
        <v>0</v>
      </c>
      <c r="ID150" s="313">
        <f t="shared" si="553"/>
        <v>0</v>
      </c>
      <c r="IE150" s="313">
        <f t="shared" si="554"/>
        <v>12275.559607142857</v>
      </c>
      <c r="IF150" s="313">
        <f t="shared" si="555"/>
        <v>3253.9526011417861</v>
      </c>
      <c r="IG150" s="313">
        <f t="shared" si="556"/>
        <v>7027.7460787874998</v>
      </c>
      <c r="IH150" s="313">
        <f t="shared" si="557"/>
        <v>1684.5168251135715</v>
      </c>
      <c r="II150" s="313">
        <f t="shared" si="558"/>
        <v>252.87652790714287</v>
      </c>
      <c r="IJ150" s="313">
        <f t="shared" si="559"/>
        <v>56.467574192857143</v>
      </c>
      <c r="IK150" s="866">
        <v>4.09</v>
      </c>
      <c r="IL150" s="314" t="s">
        <v>2589</v>
      </c>
      <c r="IM150" s="299" t="s">
        <v>5184</v>
      </c>
      <c r="IN150" s="657"/>
      <c r="IO150" s="730">
        <v>0.28000000000000003</v>
      </c>
      <c r="IP150" s="730">
        <v>0.6</v>
      </c>
      <c r="IQ150" s="730">
        <v>0.12</v>
      </c>
      <c r="IR150" s="730">
        <v>0</v>
      </c>
      <c r="IS150" s="730">
        <v>0</v>
      </c>
      <c r="IT150" s="730">
        <v>0.25940000000000002</v>
      </c>
      <c r="IU150" s="730">
        <v>0.57479999999999998</v>
      </c>
      <c r="IV150" s="730">
        <v>0.1406</v>
      </c>
      <c r="IW150" s="730">
        <v>2.06E-2</v>
      </c>
      <c r="IX150" s="730">
        <v>4.5999999999999999E-3</v>
      </c>
      <c r="IY150" s="730">
        <v>0</v>
      </c>
      <c r="IZ150" s="730">
        <v>0</v>
      </c>
      <c r="JA150" s="730">
        <v>0</v>
      </c>
      <c r="JB150" s="730">
        <v>0</v>
      </c>
      <c r="JC150" s="730">
        <v>0</v>
      </c>
      <c r="JD150" s="730">
        <v>0</v>
      </c>
      <c r="JE150" s="730">
        <v>0</v>
      </c>
      <c r="JF150" s="730">
        <v>0</v>
      </c>
      <c r="JG150" s="730">
        <v>0</v>
      </c>
      <c r="JH150" s="730">
        <v>0</v>
      </c>
      <c r="JI150" s="730">
        <v>0</v>
      </c>
      <c r="JJ150" s="730">
        <v>0</v>
      </c>
      <c r="JK150" s="730">
        <v>0</v>
      </c>
      <c r="JL150" s="730">
        <v>0</v>
      </c>
      <c r="JM150" s="730">
        <v>0</v>
      </c>
      <c r="JN150" s="730">
        <v>0</v>
      </c>
      <c r="JO150" s="730">
        <v>0</v>
      </c>
      <c r="JP150" s="730">
        <v>0</v>
      </c>
      <c r="JQ150" s="730">
        <v>0</v>
      </c>
      <c r="JR150" s="730">
        <v>0</v>
      </c>
      <c r="JS150" s="730">
        <v>0.29110000000000003</v>
      </c>
      <c r="JT150" s="730">
        <v>0.59550000000000003</v>
      </c>
      <c r="JU150" s="730">
        <v>0.1134</v>
      </c>
      <c r="JV150" s="730">
        <v>0</v>
      </c>
      <c r="JW150" s="730">
        <v>0</v>
      </c>
      <c r="JX150" s="730">
        <v>0.27050000000000002</v>
      </c>
      <c r="JY150" s="730">
        <v>0.57030000000000003</v>
      </c>
      <c r="JZ150" s="730">
        <v>0.13400000000000001</v>
      </c>
      <c r="KA150" s="730">
        <v>2.06E-2</v>
      </c>
      <c r="KB150" s="730">
        <v>4.5999999999999999E-3</v>
      </c>
      <c r="KC150" s="657"/>
      <c r="KD150" s="314" t="s">
        <v>2590</v>
      </c>
      <c r="KE150" s="314" t="s">
        <v>2590</v>
      </c>
      <c r="KF150" s="866">
        <v>4.04</v>
      </c>
      <c r="KG150" s="314" t="s">
        <v>2589</v>
      </c>
      <c r="KH150" s="315" t="s">
        <v>5185</v>
      </c>
      <c r="KI150" s="314" t="s">
        <v>4764</v>
      </c>
      <c r="KJ150" s="315" t="s">
        <v>5186</v>
      </c>
    </row>
    <row r="151" spans="1:383" ht="48" hidden="1" customHeight="1">
      <c r="A151" s="265">
        <f t="shared" si="560"/>
        <v>144</v>
      </c>
      <c r="B151" s="266" t="s">
        <v>5167</v>
      </c>
      <c r="C151" s="266" t="s">
        <v>2163</v>
      </c>
      <c r="D151" s="624" t="s">
        <v>5187</v>
      </c>
      <c r="E151" s="267" t="s">
        <v>2117</v>
      </c>
      <c r="F151" s="267" t="s">
        <v>3125</v>
      </c>
      <c r="G151" s="267" t="s">
        <v>2121</v>
      </c>
      <c r="H151" s="267" t="s">
        <v>2109</v>
      </c>
      <c r="I151" s="268" t="s">
        <v>5188</v>
      </c>
      <c r="J151" s="268" t="s">
        <v>5189</v>
      </c>
      <c r="K151" s="269" t="s">
        <v>2097</v>
      </c>
      <c r="L151" s="269" t="s">
        <v>2109</v>
      </c>
      <c r="M151" s="269" t="s">
        <v>2603</v>
      </c>
      <c r="N151" s="269" t="s">
        <v>2099</v>
      </c>
      <c r="O151" s="267" t="s">
        <v>2616</v>
      </c>
      <c r="P151" s="268"/>
      <c r="Q151" s="270">
        <v>1</v>
      </c>
      <c r="R151" s="271">
        <v>180</v>
      </c>
      <c r="S151" s="272">
        <v>220</v>
      </c>
      <c r="T151" s="272">
        <v>210</v>
      </c>
      <c r="U151" s="272">
        <v>200</v>
      </c>
      <c r="V151" s="272">
        <v>190</v>
      </c>
      <c r="W151" s="272">
        <v>188</v>
      </c>
      <c r="X151" s="272">
        <v>186</v>
      </c>
      <c r="Y151" s="272">
        <v>184</v>
      </c>
      <c r="Z151" s="272">
        <v>182</v>
      </c>
      <c r="AA151" s="272">
        <v>180</v>
      </c>
      <c r="AB151" s="272">
        <v>178</v>
      </c>
      <c r="AC151" s="272">
        <v>176</v>
      </c>
      <c r="AD151" s="272">
        <v>174</v>
      </c>
      <c r="AE151" s="272">
        <v>172</v>
      </c>
      <c r="AF151" s="272">
        <v>170</v>
      </c>
      <c r="AG151" s="272">
        <v>169</v>
      </c>
      <c r="AH151" s="272">
        <v>168</v>
      </c>
      <c r="AI151" s="272">
        <v>167</v>
      </c>
      <c r="AJ151" s="272">
        <v>166</v>
      </c>
      <c r="AK151" s="272">
        <v>165</v>
      </c>
      <c r="AL151" s="268" t="s">
        <v>5190</v>
      </c>
      <c r="AM151" s="268" t="s">
        <v>5169</v>
      </c>
      <c r="AN151" s="268" t="s">
        <v>5191</v>
      </c>
      <c r="AO151" s="657"/>
      <c r="AP151" s="271">
        <v>30</v>
      </c>
      <c r="AQ151" s="280">
        <v>26</v>
      </c>
      <c r="AR151" s="280">
        <v>3</v>
      </c>
      <c r="AS151" s="280">
        <v>1</v>
      </c>
      <c r="AT151" s="657"/>
      <c r="AU151" s="301" t="s">
        <v>5192</v>
      </c>
      <c r="AV151" s="572" t="s">
        <v>5193</v>
      </c>
      <c r="AW151" s="645" t="s">
        <v>5194</v>
      </c>
      <c r="AX151" s="290" t="s">
        <v>5195</v>
      </c>
      <c r="AY151" s="657"/>
      <c r="AZ151" s="948">
        <v>4</v>
      </c>
      <c r="BA151" s="948">
        <v>8</v>
      </c>
      <c r="BB151" s="948">
        <v>1.5</v>
      </c>
      <c r="BC151" s="948">
        <v>3</v>
      </c>
      <c r="BD151" s="825">
        <f t="shared" si="465"/>
        <v>2805</v>
      </c>
      <c r="BE151" s="304">
        <f t="shared" si="466"/>
        <v>680</v>
      </c>
      <c r="BF151" s="304">
        <f t="shared" si="467"/>
        <v>1360</v>
      </c>
      <c r="BG151" s="304">
        <f t="shared" si="468"/>
        <v>255</v>
      </c>
      <c r="BH151" s="304">
        <f t="shared" si="469"/>
        <v>510</v>
      </c>
      <c r="BI151" s="825">
        <f t="shared" si="470"/>
        <v>2722.5</v>
      </c>
      <c r="BJ151" s="304">
        <f t="shared" si="471"/>
        <v>660</v>
      </c>
      <c r="BK151" s="304">
        <f t="shared" si="472"/>
        <v>1320</v>
      </c>
      <c r="BL151" s="304">
        <f t="shared" si="473"/>
        <v>247.5</v>
      </c>
      <c r="BM151" s="304">
        <f t="shared" si="474"/>
        <v>495</v>
      </c>
      <c r="BN151" s="657"/>
      <c r="BO151" s="284">
        <v>0.12</v>
      </c>
      <c r="BP151" s="284">
        <v>0.7</v>
      </c>
      <c r="BQ151" s="284">
        <v>0.1</v>
      </c>
      <c r="BR151" s="710">
        <v>0.08</v>
      </c>
      <c r="BS151" s="707">
        <v>0.1</v>
      </c>
      <c r="BT151" s="284">
        <v>0.68</v>
      </c>
      <c r="BU151" s="284">
        <v>0.15</v>
      </c>
      <c r="BV151" s="710">
        <v>7.0000000000000007E-2</v>
      </c>
      <c r="BW151" s="714">
        <v>0.08</v>
      </c>
      <c r="BX151" s="285">
        <v>0.82</v>
      </c>
      <c r="BY151" s="717">
        <v>0.1</v>
      </c>
      <c r="BZ151" s="714">
        <v>0.06</v>
      </c>
      <c r="CA151" s="285">
        <v>0.79</v>
      </c>
      <c r="CB151" s="717">
        <v>0.15</v>
      </c>
      <c r="CC151" s="284">
        <v>0.05</v>
      </c>
      <c r="CD151" s="284">
        <v>0.72</v>
      </c>
      <c r="CE151" s="284">
        <v>0.08</v>
      </c>
      <c r="CF151" s="710">
        <v>0.15</v>
      </c>
      <c r="CG151" s="707">
        <v>0.04</v>
      </c>
      <c r="CH151" s="284">
        <v>0.72</v>
      </c>
      <c r="CI151" s="284">
        <v>0.1</v>
      </c>
      <c r="CJ151" s="710">
        <v>0.14000000000000001</v>
      </c>
      <c r="CK151" s="720">
        <v>0.25</v>
      </c>
      <c r="CL151" s="286">
        <v>0.55000000000000004</v>
      </c>
      <c r="CM151" s="718">
        <v>0.2</v>
      </c>
      <c r="CN151" s="720">
        <v>0.2</v>
      </c>
      <c r="CO151" s="286">
        <v>0.56000000000000005</v>
      </c>
      <c r="CP151" s="718">
        <v>0.24</v>
      </c>
      <c r="CQ151" s="657"/>
      <c r="CR151" s="807">
        <v>9</v>
      </c>
      <c r="CS151" s="808">
        <v>11</v>
      </c>
      <c r="CT151" s="808">
        <v>8</v>
      </c>
      <c r="CU151" s="809">
        <v>9</v>
      </c>
      <c r="CV151" s="807">
        <v>8</v>
      </c>
      <c r="CW151" s="808">
        <v>8</v>
      </c>
      <c r="CX151" s="809">
        <v>6</v>
      </c>
      <c r="CY151" s="807">
        <v>8</v>
      </c>
      <c r="CZ151" s="808">
        <v>9</v>
      </c>
      <c r="DA151" s="808">
        <v>6</v>
      </c>
      <c r="DB151" s="809">
        <v>8</v>
      </c>
      <c r="DC151" s="807">
        <v>9</v>
      </c>
      <c r="DD151" s="808">
        <v>12</v>
      </c>
      <c r="DE151" s="809">
        <v>9</v>
      </c>
      <c r="DF151" s="610" t="s">
        <v>5196</v>
      </c>
      <c r="DG151" s="657"/>
      <c r="DH151" s="288">
        <f t="shared" si="475"/>
        <v>81.599999999999994</v>
      </c>
      <c r="DI151" s="288">
        <f t="shared" si="476"/>
        <v>475.99999999999994</v>
      </c>
      <c r="DJ151" s="288">
        <f t="shared" si="477"/>
        <v>68</v>
      </c>
      <c r="DK151" s="288">
        <f t="shared" si="478"/>
        <v>54.4</v>
      </c>
      <c r="DL151" s="560" t="s">
        <v>5197</v>
      </c>
      <c r="DM151" s="288">
        <f t="shared" si="479"/>
        <v>66</v>
      </c>
      <c r="DN151" s="288">
        <f t="shared" si="480"/>
        <v>448.8</v>
      </c>
      <c r="DO151" s="288">
        <f t="shared" si="481"/>
        <v>99</v>
      </c>
      <c r="DP151" s="288">
        <f t="shared" si="482"/>
        <v>46.2</v>
      </c>
      <c r="DQ151" s="561" t="s">
        <v>5198</v>
      </c>
      <c r="DR151" s="657"/>
      <c r="DS151" s="288">
        <f t="shared" si="483"/>
        <v>108.8</v>
      </c>
      <c r="DT151" s="288">
        <f t="shared" si="484"/>
        <v>1115.2</v>
      </c>
      <c r="DU151" s="288">
        <f t="shared" si="485"/>
        <v>136</v>
      </c>
      <c r="DV151" s="561" t="s">
        <v>5199</v>
      </c>
      <c r="DW151" s="288">
        <f t="shared" si="486"/>
        <v>79.2</v>
      </c>
      <c r="DX151" s="288">
        <f t="shared" si="487"/>
        <v>1042.8</v>
      </c>
      <c r="DY151" s="288">
        <f t="shared" si="488"/>
        <v>198</v>
      </c>
      <c r="DZ151" s="561" t="s">
        <v>5200</v>
      </c>
      <c r="EA151" s="657"/>
      <c r="EB151" s="288">
        <f t="shared" si="489"/>
        <v>12.75</v>
      </c>
      <c r="EC151" s="288">
        <f t="shared" si="490"/>
        <v>183.6</v>
      </c>
      <c r="ED151" s="288">
        <f t="shared" si="491"/>
        <v>20.400000000000002</v>
      </c>
      <c r="EE151" s="288">
        <f t="shared" si="492"/>
        <v>38.25</v>
      </c>
      <c r="EF151" s="561" t="s">
        <v>2613</v>
      </c>
      <c r="EG151" s="288">
        <f t="shared" si="493"/>
        <v>9.9</v>
      </c>
      <c r="EH151" s="288">
        <f t="shared" si="494"/>
        <v>178.2</v>
      </c>
      <c r="EI151" s="288">
        <f t="shared" si="495"/>
        <v>24.75</v>
      </c>
      <c r="EJ151" s="288">
        <f t="shared" si="496"/>
        <v>34.650000000000006</v>
      </c>
      <c r="EK151" s="561" t="s">
        <v>5201</v>
      </c>
      <c r="EL151" s="657"/>
      <c r="EM151" s="288">
        <f t="shared" si="497"/>
        <v>127.5</v>
      </c>
      <c r="EN151" s="291">
        <f t="shared" si="498"/>
        <v>280.5</v>
      </c>
      <c r="EO151" s="291">
        <f t="shared" si="499"/>
        <v>102</v>
      </c>
      <c r="EP151" s="561" t="s">
        <v>5202</v>
      </c>
      <c r="EQ151" s="288">
        <f t="shared" si="500"/>
        <v>99</v>
      </c>
      <c r="ER151" s="291">
        <f t="shared" si="501"/>
        <v>277.20000000000005</v>
      </c>
      <c r="ES151" s="291">
        <f t="shared" si="502"/>
        <v>118.8</v>
      </c>
      <c r="ET151" s="561" t="s">
        <v>5203</v>
      </c>
      <c r="EU151" s="657"/>
      <c r="EV151" s="740">
        <f t="shared" si="503"/>
        <v>0.9181220017543279</v>
      </c>
      <c r="EW151" s="740">
        <f t="shared" si="504"/>
        <v>8.1877998245672073E-2</v>
      </c>
      <c r="EX151" s="563">
        <f t="shared" si="505"/>
        <v>1683.4522454545454</v>
      </c>
      <c r="EY151" s="563">
        <f t="shared" si="506"/>
        <v>1545.6145454545454</v>
      </c>
      <c r="EZ151" s="563">
        <f t="shared" si="507"/>
        <v>137.83769999999998</v>
      </c>
      <c r="FA151" s="563">
        <f t="shared" si="508"/>
        <v>359.7697454545455</v>
      </c>
      <c r="FB151" s="563">
        <f t="shared" si="509"/>
        <v>326.35454545454547</v>
      </c>
      <c r="FC151" s="563">
        <f t="shared" si="510"/>
        <v>33.415199999999999</v>
      </c>
      <c r="FD151" s="563">
        <f t="shared" si="511"/>
        <v>901.43039999999996</v>
      </c>
      <c r="FE151" s="563">
        <f t="shared" si="512"/>
        <v>834.6</v>
      </c>
      <c r="FF151" s="563">
        <f t="shared" si="513"/>
        <v>66.830399999999997</v>
      </c>
      <c r="FG151" s="563">
        <f t="shared" si="514"/>
        <v>157.0257</v>
      </c>
      <c r="FH151" s="563">
        <f t="shared" si="515"/>
        <v>144.495</v>
      </c>
      <c r="FI151" s="563">
        <f t="shared" si="516"/>
        <v>12.530700000000001</v>
      </c>
      <c r="FJ151" s="563">
        <f t="shared" si="517"/>
        <v>265.22640000000001</v>
      </c>
      <c r="FK151" s="563">
        <f t="shared" si="518"/>
        <v>240.16499999999999</v>
      </c>
      <c r="FL151" s="563">
        <f t="shared" si="519"/>
        <v>25.061400000000003</v>
      </c>
      <c r="FM151" s="529"/>
      <c r="FN151" s="564" t="s">
        <v>2616</v>
      </c>
      <c r="FO151" s="740">
        <v>4.9140000000000003E-2</v>
      </c>
      <c r="FP151" s="741">
        <v>0.9</v>
      </c>
      <c r="FQ151" s="565" t="s">
        <v>5204</v>
      </c>
      <c r="FR151" s="529"/>
      <c r="FS151" s="867">
        <v>3.54</v>
      </c>
      <c r="FT151" s="566">
        <f>RANK($FS151,$FS$8:$FS$154,0)+COUNTIF($FS$8:$FS151,$FS151)-1</f>
        <v>44</v>
      </c>
      <c r="FU151" s="867">
        <v>4.37</v>
      </c>
      <c r="FV151" s="566">
        <f>RANK($FU151,$FU$8:$FU$154,0)+COUNTIF($FU$8:$FU151,$FU151)-1</f>
        <v>24</v>
      </c>
      <c r="FW151" s="867">
        <v>2.5299999999999998</v>
      </c>
      <c r="FX151" s="566">
        <f>RANK($FW151,$FW$8:$FW$154,0)+COUNTIF($FW$8:$FW151,$FW151)-1</f>
        <v>33</v>
      </c>
      <c r="FY151" s="529"/>
      <c r="FZ151" s="567" t="s">
        <v>5205</v>
      </c>
      <c r="GA151" s="567" t="s">
        <v>5206</v>
      </c>
      <c r="GB151" s="567" t="s">
        <v>5207</v>
      </c>
      <c r="GC151" s="567" t="s">
        <v>5208</v>
      </c>
      <c r="GD151" s="567" t="s">
        <v>5209</v>
      </c>
      <c r="GE151" s="567" t="s">
        <v>5210</v>
      </c>
      <c r="GF151" s="567" t="str">
        <f>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atout-france.fr/fr/catalogue/etudes-publications/investissements-touristiques-et-developpement-des-territoires-en-1","https://www.atout-france.fr/fr/catalogue/etudes-publications/investissements-touristiques-et-developpement-des-territoires-en-1")&amp;CHAR(10)&amp;HYPERLINK("https://www.atout-france.fr/fr/actualites/investissements-touristiques-vers-un-nouveau-cycle-plus-selectif-et-durable","https://www.atout-france.fr/fr/actualites/investissements-touristiques-vers-un-nouveau-cycle-plus-selectif-et-durable")&amp;CHAR(10)&amp;HYPERLINK("https://www.atout-france.fr/fr/actualites/bilan-touristique-de-lannee-2025-avec-102-millions-de-visiteurs-la-france-pays-le-plus","https://www.atout-france.fr/fr/actualites/bilan-touristique-de-lannee-2025-avec-102-millions-de-visiteurs-la-france-pays-le-plus")&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https://www.ecologie.gouv.fr/eco-energie-tertiaire-eet
https://www.collectivites-locales.gouv.fr/les-collectivites-locales-en-chiffres-2025
https://www.collectivites-locales.gouv.fr/actualites/situation-mensuelle-comptable-des-collectivites-locales-au-31-decembre-2025
https://www.atout-france.fr/fr/catalogue/etudes-publications/investissements-touristiques-et-developpement-des-territoires-en-1
https://www.atout-france.fr/fr/actualites/investissements-touristiques-vers-un-nouveau-cycle-plus-selectif-et-durable
https://www.atout-france.fr/fr/actualites/bilan-touristique-de-lannee-2025-avec-102-millions-de-visiteurs-la-france-pays-le-plus
https://www.statistiques.developpement-durable.gouv.fr/construction-de-locaux-resultats-fin-janvier-2026-france-entiere
https://www.insee.fr/fr/statistiques/8671745
https://www.insee.fr/fr/statistiques/8906564</v>
      </c>
      <c r="GG151" s="529"/>
      <c r="GH151" s="563">
        <f t="shared" si="520"/>
        <v>47.021520000000002</v>
      </c>
      <c r="GI151" s="563">
        <f t="shared" si="451"/>
        <v>43.68</v>
      </c>
      <c r="GJ151" s="563">
        <f t="shared" si="521"/>
        <v>3.34152</v>
      </c>
      <c r="GK151" s="563">
        <f t="shared" si="522"/>
        <v>235.77688145454547</v>
      </c>
      <c r="GL151" s="563">
        <f t="shared" si="452"/>
        <v>213.05454545454546</v>
      </c>
      <c r="GM151" s="563">
        <f t="shared" si="523"/>
        <v>22.722336000000002</v>
      </c>
      <c r="GN151" s="563">
        <f t="shared" si="524"/>
        <v>45.512279999999997</v>
      </c>
      <c r="GO151" s="563">
        <f t="shared" si="453"/>
        <v>40.5</v>
      </c>
      <c r="GP151" s="563">
        <f t="shared" si="525"/>
        <v>5.0122799999999996</v>
      </c>
      <c r="GQ151" s="563">
        <f t="shared" si="526"/>
        <v>31.459064000000005</v>
      </c>
      <c r="GR151" s="563">
        <f t="shared" si="454"/>
        <v>29.120000000000005</v>
      </c>
      <c r="GS151" s="563">
        <f t="shared" si="527"/>
        <v>2.339064</v>
      </c>
      <c r="GT151" s="563">
        <f t="shared" si="528"/>
        <v>68.809823999999992</v>
      </c>
      <c r="GU151" s="563">
        <f t="shared" si="455"/>
        <v>64.8</v>
      </c>
      <c r="GV151" s="563">
        <f t="shared" si="529"/>
        <v>4.0098240000000001</v>
      </c>
      <c r="GW151" s="563">
        <f t="shared" si="530"/>
        <v>716.99601600000005</v>
      </c>
      <c r="GX151" s="563">
        <f t="shared" si="456"/>
        <v>664.2</v>
      </c>
      <c r="GY151" s="563">
        <f t="shared" si="531"/>
        <v>52.796016000000002</v>
      </c>
      <c r="GZ151" s="563">
        <f t="shared" si="532"/>
        <v>115.62456000000002</v>
      </c>
      <c r="HA151" s="563">
        <f t="shared" si="457"/>
        <v>105.60000000000002</v>
      </c>
      <c r="HB151" s="563">
        <f t="shared" si="533"/>
        <v>10.024559999999999</v>
      </c>
      <c r="HC151" s="563">
        <f t="shared" si="534"/>
        <v>8.0949779999999993</v>
      </c>
      <c r="HD151" s="563">
        <f t="shared" si="458"/>
        <v>7.59375</v>
      </c>
      <c r="HE151" s="563">
        <f t="shared" si="535"/>
        <v>0.50122800000000001</v>
      </c>
      <c r="HF151" s="563">
        <f t="shared" si="536"/>
        <v>107.30210399999999</v>
      </c>
      <c r="HG151" s="563">
        <f t="shared" si="459"/>
        <v>98.279999999999987</v>
      </c>
      <c r="HH151" s="563">
        <f t="shared" si="537"/>
        <v>9.0221040000000006</v>
      </c>
      <c r="HI151" s="563">
        <f t="shared" si="538"/>
        <v>17.093070000000004</v>
      </c>
      <c r="HJ151" s="563">
        <f t="shared" si="460"/>
        <v>15.840000000000003</v>
      </c>
      <c r="HK151" s="563">
        <f t="shared" si="539"/>
        <v>1.2530700000000001</v>
      </c>
      <c r="HL151" s="563">
        <f t="shared" si="540"/>
        <v>24.535548000000006</v>
      </c>
      <c r="HM151" s="563">
        <f t="shared" si="461"/>
        <v>22.781250000000004</v>
      </c>
      <c r="HN151" s="563">
        <f t="shared" si="541"/>
        <v>1.7542980000000004</v>
      </c>
      <c r="HO151" s="563">
        <f t="shared" si="542"/>
        <v>73.262280000000004</v>
      </c>
      <c r="HP151" s="563">
        <f t="shared" si="462"/>
        <v>68.25</v>
      </c>
      <c r="HQ151" s="563">
        <f t="shared" si="543"/>
        <v>5.0122800000000005</v>
      </c>
      <c r="HR151" s="563">
        <f t="shared" si="544"/>
        <v>131.34938400000001</v>
      </c>
      <c r="HS151" s="563">
        <f t="shared" si="463"/>
        <v>117.31500000000001</v>
      </c>
      <c r="HT151" s="563">
        <f t="shared" si="545"/>
        <v>14.034384000000003</v>
      </c>
      <c r="HU151" s="563">
        <f t="shared" si="546"/>
        <v>60.614736000000001</v>
      </c>
      <c r="HV151" s="563">
        <f t="shared" si="464"/>
        <v>54.6</v>
      </c>
      <c r="HW151" s="563">
        <f t="shared" si="547"/>
        <v>6.0147360000000001</v>
      </c>
      <c r="HX151" s="544"/>
      <c r="HY151" s="568">
        <f t="shared" si="548"/>
        <v>1190</v>
      </c>
      <c r="HZ151" s="568">
        <f t="shared" si="549"/>
        <v>267.85199999999998</v>
      </c>
      <c r="IA151" s="568">
        <f t="shared" si="550"/>
        <v>807.14300000000003</v>
      </c>
      <c r="IB151" s="568">
        <f t="shared" si="551"/>
        <v>115.00500000000001</v>
      </c>
      <c r="IC151" s="568">
        <f t="shared" si="552"/>
        <v>0</v>
      </c>
      <c r="ID151" s="568">
        <f t="shared" si="553"/>
        <v>0</v>
      </c>
      <c r="IE151" s="568">
        <f t="shared" si="554"/>
        <v>566.51954545454555</v>
      </c>
      <c r="IF151" s="568">
        <f t="shared" si="555"/>
        <v>52.718796954545446</v>
      </c>
      <c r="IG151" s="568">
        <f t="shared" si="556"/>
        <v>382.47047077272731</v>
      </c>
      <c r="IH151" s="568">
        <f t="shared" si="557"/>
        <v>131.33027772727274</v>
      </c>
      <c r="II151" s="568">
        <f t="shared" si="558"/>
        <v>0</v>
      </c>
      <c r="IJ151" s="568">
        <f t="shared" si="559"/>
        <v>0</v>
      </c>
      <c r="IK151" s="868">
        <v>4.28</v>
      </c>
      <c r="IL151" s="569" t="s">
        <v>2701</v>
      </c>
      <c r="IM151" s="570" t="s">
        <v>5211</v>
      </c>
      <c r="IN151" s="529"/>
      <c r="IO151" s="742">
        <v>0.13830000000000001</v>
      </c>
      <c r="IP151" s="742">
        <v>0.72340000000000004</v>
      </c>
      <c r="IQ151" s="742">
        <v>0.13830000000000001</v>
      </c>
      <c r="IR151" s="742">
        <v>0</v>
      </c>
      <c r="IS151" s="742">
        <v>0</v>
      </c>
      <c r="IT151" s="742">
        <v>4.7399999999999998E-2</v>
      </c>
      <c r="IU151" s="742">
        <v>0.64070000000000005</v>
      </c>
      <c r="IV151" s="742">
        <v>0.31190000000000001</v>
      </c>
      <c r="IW151" s="742">
        <v>0</v>
      </c>
      <c r="IX151" s="742">
        <v>0</v>
      </c>
      <c r="IY151" s="742">
        <v>0</v>
      </c>
      <c r="IZ151" s="742">
        <v>0</v>
      </c>
      <c r="JA151" s="742">
        <v>0</v>
      </c>
      <c r="JB151" s="742">
        <v>0</v>
      </c>
      <c r="JC151" s="742">
        <v>0</v>
      </c>
      <c r="JD151" s="742">
        <v>0</v>
      </c>
      <c r="JE151" s="742">
        <v>0</v>
      </c>
      <c r="JF151" s="742">
        <v>0</v>
      </c>
      <c r="JG151" s="742">
        <v>0</v>
      </c>
      <c r="JH151" s="742">
        <v>0</v>
      </c>
      <c r="JI151" s="742">
        <v>0</v>
      </c>
      <c r="JJ151" s="742">
        <v>0</v>
      </c>
      <c r="JK151" s="742">
        <v>0</v>
      </c>
      <c r="JL151" s="742">
        <v>0</v>
      </c>
      <c r="JM151" s="742">
        <v>0</v>
      </c>
      <c r="JN151" s="742">
        <v>0</v>
      </c>
      <c r="JO151" s="742">
        <v>0</v>
      </c>
      <c r="JP151" s="742">
        <v>0</v>
      </c>
      <c r="JQ151" s="742">
        <v>0</v>
      </c>
      <c r="JR151" s="742">
        <v>0</v>
      </c>
      <c r="JS151" s="742">
        <v>0.34079999999999999</v>
      </c>
      <c r="JT151" s="742">
        <v>0.61809999999999998</v>
      </c>
      <c r="JU151" s="742">
        <v>4.1099999999999998E-2</v>
      </c>
      <c r="JV151" s="742">
        <v>0</v>
      </c>
      <c r="JW151" s="742">
        <v>0</v>
      </c>
      <c r="JX151" s="742">
        <v>0.15509999999999999</v>
      </c>
      <c r="JY151" s="742">
        <v>0.72189999999999999</v>
      </c>
      <c r="JZ151" s="742">
        <v>0.123</v>
      </c>
      <c r="KA151" s="742">
        <v>0</v>
      </c>
      <c r="KB151" s="742">
        <v>0</v>
      </c>
      <c r="KC151" s="657"/>
      <c r="KD151" s="832" t="s">
        <v>2590</v>
      </c>
      <c r="KE151" s="832" t="s">
        <v>2590</v>
      </c>
      <c r="KF151" s="869">
        <v>4.18</v>
      </c>
      <c r="KG151" s="832" t="s">
        <v>2589</v>
      </c>
      <c r="KH151" s="833" t="s">
        <v>5212</v>
      </c>
      <c r="KI151" s="832" t="s">
        <v>5213</v>
      </c>
      <c r="KJ151" s="833" t="s">
        <v>5214</v>
      </c>
    </row>
    <row r="152" spans="1:383" ht="48" hidden="1" customHeight="1">
      <c r="A152" s="273">
        <f t="shared" si="560"/>
        <v>145</v>
      </c>
      <c r="B152" s="274" t="s">
        <v>5215</v>
      </c>
      <c r="C152" s="274" t="s">
        <v>5216</v>
      </c>
      <c r="D152" s="274" t="s">
        <v>5217</v>
      </c>
      <c r="E152" s="275" t="s">
        <v>5218</v>
      </c>
      <c r="F152" s="275" t="s">
        <v>5219</v>
      </c>
      <c r="G152" s="275" t="s">
        <v>2121</v>
      </c>
      <c r="H152" s="275" t="s">
        <v>2109</v>
      </c>
      <c r="I152" s="276" t="s">
        <v>5220</v>
      </c>
      <c r="J152" s="276" t="s">
        <v>5221</v>
      </c>
      <c r="K152" s="277" t="s">
        <v>2097</v>
      </c>
      <c r="L152" s="277" t="s">
        <v>2109</v>
      </c>
      <c r="M152" s="277" t="s">
        <v>3168</v>
      </c>
      <c r="N152" s="277" t="s">
        <v>3169</v>
      </c>
      <c r="O152" s="275" t="s">
        <v>3170</v>
      </c>
      <c r="P152" s="276"/>
      <c r="Q152" s="270">
        <v>1</v>
      </c>
      <c r="R152" s="278">
        <v>10000</v>
      </c>
      <c r="S152" s="279">
        <v>3500</v>
      </c>
      <c r="T152" s="279">
        <v>3800</v>
      </c>
      <c r="U152" s="279">
        <v>4200</v>
      </c>
      <c r="V152" s="279">
        <v>4700</v>
      </c>
      <c r="W152" s="279">
        <v>4800</v>
      </c>
      <c r="X152" s="279">
        <v>4900</v>
      </c>
      <c r="Y152" s="279">
        <v>5000</v>
      </c>
      <c r="Z152" s="279">
        <v>5100</v>
      </c>
      <c r="AA152" s="279">
        <v>5150</v>
      </c>
      <c r="AB152" s="279">
        <v>5200</v>
      </c>
      <c r="AC152" s="279">
        <v>5300</v>
      </c>
      <c r="AD152" s="279">
        <v>5400</v>
      </c>
      <c r="AE152" s="279">
        <v>5500</v>
      </c>
      <c r="AF152" s="279">
        <v>5600</v>
      </c>
      <c r="AG152" s="279">
        <v>5700</v>
      </c>
      <c r="AH152" s="279">
        <v>5850</v>
      </c>
      <c r="AI152" s="279">
        <v>6000</v>
      </c>
      <c r="AJ152" s="279">
        <v>6150</v>
      </c>
      <c r="AK152" s="279">
        <v>6300</v>
      </c>
      <c r="AL152" s="276" t="s">
        <v>5222</v>
      </c>
      <c r="AM152" s="276" t="s">
        <v>5223</v>
      </c>
      <c r="AN152" s="276" t="s">
        <v>5224</v>
      </c>
      <c r="AO152" s="657"/>
      <c r="AP152" s="278">
        <v>40</v>
      </c>
      <c r="AQ152" s="278">
        <v>36</v>
      </c>
      <c r="AR152" s="278">
        <v>3</v>
      </c>
      <c r="AS152" s="278">
        <v>1</v>
      </c>
      <c r="AT152" s="657"/>
      <c r="AU152" s="281" t="s">
        <v>5225</v>
      </c>
      <c r="AV152" s="296" t="s">
        <v>5226</v>
      </c>
      <c r="AW152" s="296" t="s">
        <v>2608</v>
      </c>
      <c r="AX152" s="276" t="s">
        <v>2670</v>
      </c>
      <c r="AY152" s="657"/>
      <c r="AZ152" s="947">
        <v>2</v>
      </c>
      <c r="BA152" s="947">
        <v>0</v>
      </c>
      <c r="BB152" s="947">
        <v>0.2</v>
      </c>
      <c r="BC152" s="947">
        <v>2</v>
      </c>
      <c r="BD152" s="826">
        <f t="shared" si="465"/>
        <v>23520</v>
      </c>
      <c r="BE152" s="283">
        <f t="shared" si="466"/>
        <v>11200</v>
      </c>
      <c r="BF152" s="283">
        <f t="shared" si="467"/>
        <v>0</v>
      </c>
      <c r="BG152" s="283">
        <f t="shared" si="468"/>
        <v>1120</v>
      </c>
      <c r="BH152" s="283">
        <f t="shared" si="469"/>
        <v>11200</v>
      </c>
      <c r="BI152" s="826">
        <f t="shared" si="470"/>
        <v>26460</v>
      </c>
      <c r="BJ152" s="283">
        <f t="shared" si="471"/>
        <v>12600</v>
      </c>
      <c r="BK152" s="283">
        <f t="shared" si="472"/>
        <v>0</v>
      </c>
      <c r="BL152" s="283">
        <f t="shared" si="473"/>
        <v>1260</v>
      </c>
      <c r="BM152" s="283">
        <f t="shared" si="474"/>
        <v>12600</v>
      </c>
      <c r="BN152" s="657"/>
      <c r="BO152" s="305">
        <v>0.35</v>
      </c>
      <c r="BP152" s="305">
        <v>0.5</v>
      </c>
      <c r="BQ152" s="305">
        <v>0.1</v>
      </c>
      <c r="BR152" s="581">
        <v>0.05</v>
      </c>
      <c r="BS152" s="706">
        <v>0.32</v>
      </c>
      <c r="BT152" s="305">
        <v>0.5</v>
      </c>
      <c r="BU152" s="305">
        <v>0.13</v>
      </c>
      <c r="BV152" s="581">
        <v>0.05</v>
      </c>
      <c r="BW152" s="713"/>
      <c r="BX152" s="306"/>
      <c r="BY152" s="590"/>
      <c r="BZ152" s="713"/>
      <c r="CA152" s="306"/>
      <c r="CB152" s="590"/>
      <c r="CC152" s="706">
        <v>0.12</v>
      </c>
      <c r="CD152" s="305">
        <v>0.5</v>
      </c>
      <c r="CE152" s="305">
        <v>0.15</v>
      </c>
      <c r="CF152" s="581">
        <v>0.23</v>
      </c>
      <c r="CG152" s="706">
        <v>0.1</v>
      </c>
      <c r="CH152" s="305">
        <v>0.5</v>
      </c>
      <c r="CI152" s="305">
        <v>0.18</v>
      </c>
      <c r="CJ152" s="581">
        <v>0.22</v>
      </c>
      <c r="CK152" s="719">
        <v>0.6</v>
      </c>
      <c r="CL152" s="307">
        <v>0.3</v>
      </c>
      <c r="CM152" s="723">
        <v>0.1</v>
      </c>
      <c r="CN152" s="719">
        <v>0.52</v>
      </c>
      <c r="CO152" s="307">
        <v>0.33</v>
      </c>
      <c r="CP152" s="723">
        <v>0.15</v>
      </c>
      <c r="CQ152" s="657"/>
      <c r="CR152" s="804">
        <v>13</v>
      </c>
      <c r="CS152" s="805">
        <v>14</v>
      </c>
      <c r="CT152" s="805">
        <v>10</v>
      </c>
      <c r="CU152" s="806">
        <v>12</v>
      </c>
      <c r="CV152" s="804"/>
      <c r="CW152" s="805"/>
      <c r="CX152" s="806"/>
      <c r="CY152" s="804">
        <v>11</v>
      </c>
      <c r="CZ152" s="805">
        <v>13</v>
      </c>
      <c r="DA152" s="805">
        <v>9</v>
      </c>
      <c r="DB152" s="806">
        <v>11</v>
      </c>
      <c r="DC152" s="804">
        <v>14</v>
      </c>
      <c r="DD152" s="805">
        <v>14</v>
      </c>
      <c r="DE152" s="806">
        <v>10</v>
      </c>
      <c r="DF152" s="609" t="s">
        <v>5227</v>
      </c>
      <c r="DG152" s="657"/>
      <c r="DH152" s="308">
        <f t="shared" si="475"/>
        <v>3919.9999999999995</v>
      </c>
      <c r="DI152" s="308">
        <f t="shared" si="476"/>
        <v>5600</v>
      </c>
      <c r="DJ152" s="308">
        <f t="shared" si="477"/>
        <v>1120</v>
      </c>
      <c r="DK152" s="308">
        <f t="shared" si="478"/>
        <v>560</v>
      </c>
      <c r="DL152" s="287" t="s">
        <v>5228</v>
      </c>
      <c r="DM152" s="308">
        <f t="shared" si="479"/>
        <v>4032</v>
      </c>
      <c r="DN152" s="308">
        <f t="shared" si="480"/>
        <v>6300</v>
      </c>
      <c r="DO152" s="308">
        <f t="shared" si="481"/>
        <v>1638</v>
      </c>
      <c r="DP152" s="308">
        <f t="shared" si="482"/>
        <v>630</v>
      </c>
      <c r="DQ152" s="289" t="s">
        <v>3755</v>
      </c>
      <c r="DR152" s="657"/>
      <c r="DS152" s="308">
        <f t="shared" si="483"/>
        <v>0</v>
      </c>
      <c r="DT152" s="308">
        <f t="shared" si="484"/>
        <v>0</v>
      </c>
      <c r="DU152" s="308">
        <f t="shared" si="485"/>
        <v>0</v>
      </c>
      <c r="DV152" s="289" t="s">
        <v>2613</v>
      </c>
      <c r="DW152" s="308">
        <f t="shared" si="486"/>
        <v>0</v>
      </c>
      <c r="DX152" s="308">
        <f t="shared" si="487"/>
        <v>0</v>
      </c>
      <c r="DY152" s="308">
        <f t="shared" si="488"/>
        <v>0</v>
      </c>
      <c r="DZ152" s="289" t="s">
        <v>2613</v>
      </c>
      <c r="EA152" s="657"/>
      <c r="EB152" s="308">
        <f t="shared" si="489"/>
        <v>134.4</v>
      </c>
      <c r="EC152" s="308">
        <f t="shared" si="490"/>
        <v>560</v>
      </c>
      <c r="ED152" s="308">
        <f t="shared" si="491"/>
        <v>168</v>
      </c>
      <c r="EE152" s="308">
        <f t="shared" si="492"/>
        <v>257.60000000000002</v>
      </c>
      <c r="EF152" s="289" t="s">
        <v>5229</v>
      </c>
      <c r="EG152" s="308">
        <f t="shared" si="493"/>
        <v>126</v>
      </c>
      <c r="EH152" s="308">
        <f t="shared" si="494"/>
        <v>630</v>
      </c>
      <c r="EI152" s="308">
        <f t="shared" si="495"/>
        <v>226.79999999999998</v>
      </c>
      <c r="EJ152" s="308">
        <f t="shared" si="496"/>
        <v>277.2</v>
      </c>
      <c r="EK152" s="309" t="s">
        <v>5230</v>
      </c>
      <c r="EL152" s="657"/>
      <c r="EM152" s="308">
        <f t="shared" si="497"/>
        <v>6720</v>
      </c>
      <c r="EN152" s="310">
        <f t="shared" si="498"/>
        <v>3360</v>
      </c>
      <c r="EO152" s="310">
        <f t="shared" si="499"/>
        <v>1120</v>
      </c>
      <c r="EP152" s="289" t="s">
        <v>5231</v>
      </c>
      <c r="EQ152" s="308">
        <f t="shared" si="500"/>
        <v>6552</v>
      </c>
      <c r="ER152" s="310">
        <f t="shared" si="501"/>
        <v>4158</v>
      </c>
      <c r="ES152" s="310">
        <f t="shared" si="502"/>
        <v>1890</v>
      </c>
      <c r="ET152" s="289" t="s">
        <v>2872</v>
      </c>
      <c r="EU152" s="657"/>
      <c r="EV152" s="728">
        <f t="shared" si="503"/>
        <v>0.58807494180122555</v>
      </c>
      <c r="EW152" s="728">
        <f t="shared" si="504"/>
        <v>0.41192505819877451</v>
      </c>
      <c r="EX152" s="311">
        <f t="shared" si="505"/>
        <v>9409.7116037296018</v>
      </c>
      <c r="EY152" s="311">
        <f t="shared" si="506"/>
        <v>5533.6156037296023</v>
      </c>
      <c r="EZ152" s="311">
        <f t="shared" si="507"/>
        <v>3876.096</v>
      </c>
      <c r="FA152" s="311">
        <f t="shared" si="508"/>
        <v>4515.6317391941384</v>
      </c>
      <c r="FB152" s="311">
        <f t="shared" si="509"/>
        <v>2669.8717391941386</v>
      </c>
      <c r="FC152" s="311">
        <f t="shared" si="510"/>
        <v>1845.76</v>
      </c>
      <c r="FD152" s="311">
        <f t="shared" si="511"/>
        <v>0</v>
      </c>
      <c r="FE152" s="311">
        <f t="shared" si="512"/>
        <v>0</v>
      </c>
      <c r="FF152" s="311">
        <f t="shared" si="513"/>
        <v>0</v>
      </c>
      <c r="FG152" s="311">
        <f t="shared" si="514"/>
        <v>501.57712167832165</v>
      </c>
      <c r="FH152" s="311">
        <f t="shared" si="515"/>
        <v>317.00112167832162</v>
      </c>
      <c r="FI152" s="311">
        <f t="shared" si="516"/>
        <v>184.57599999999999</v>
      </c>
      <c r="FJ152" s="311">
        <f t="shared" si="517"/>
        <v>4392.502742857142</v>
      </c>
      <c r="FK152" s="311">
        <f t="shared" si="518"/>
        <v>2546.7427428571423</v>
      </c>
      <c r="FL152" s="311">
        <f t="shared" si="519"/>
        <v>1845.76</v>
      </c>
      <c r="FM152" s="657"/>
      <c r="FN152" s="293" t="s">
        <v>2649</v>
      </c>
      <c r="FO152" s="728">
        <v>3.9800000000000002E-2</v>
      </c>
      <c r="FP152" s="729">
        <v>0.76239999999999997</v>
      </c>
      <c r="FQ152" s="294" t="s">
        <v>5232</v>
      </c>
      <c r="FR152" s="657"/>
      <c r="FS152" s="865">
        <v>2.83</v>
      </c>
      <c r="FT152" s="312">
        <f>RANK($FS152,$FS$8:$FS$154,0)+COUNTIF($FS$8:$FS152,$FS152)-1</f>
        <v>137</v>
      </c>
      <c r="FU152" s="865">
        <v>3.4</v>
      </c>
      <c r="FV152" s="312">
        <f>RANK($FU152,$FU$8:$FU$154,0)+COUNTIF($FU$8:$FU152,$FU152)-1</f>
        <v>137</v>
      </c>
      <c r="FW152" s="865">
        <v>1.82</v>
      </c>
      <c r="FX152" s="312">
        <f>RANK($FW152,$FW$8:$FW$154,0)+COUNTIF($FW$8:$FW152,$FW152)-1</f>
        <v>123</v>
      </c>
      <c r="FY152" s="657"/>
      <c r="FZ152" s="296" t="s">
        <v>5233</v>
      </c>
      <c r="GA152" s="296" t="s">
        <v>5234</v>
      </c>
      <c r="GB152" s="296" t="s">
        <v>2653</v>
      </c>
      <c r="GC152" s="296" t="s">
        <v>2654</v>
      </c>
      <c r="GD152" s="296" t="s">
        <v>2876</v>
      </c>
      <c r="GE152" s="296" t="s">
        <v>2656</v>
      </c>
      <c r="GF152" s="296" t="str">
        <f>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52" s="657"/>
      <c r="GH152" s="311">
        <f t="shared" si="520"/>
        <v>1526.6358153846154</v>
      </c>
      <c r="GI152" s="311">
        <f t="shared" si="451"/>
        <v>935.99261538461531</v>
      </c>
      <c r="GJ152" s="311">
        <f t="shared" si="521"/>
        <v>590.64319999999998</v>
      </c>
      <c r="GK152" s="311">
        <f t="shared" si="522"/>
        <v>2126.3828571428571</v>
      </c>
      <c r="GL152" s="311">
        <f t="shared" si="452"/>
        <v>1203.5028571428572</v>
      </c>
      <c r="GM152" s="311">
        <f t="shared" si="523"/>
        <v>922.88</v>
      </c>
      <c r="GN152" s="311">
        <f t="shared" si="524"/>
        <v>620.38639999999987</v>
      </c>
      <c r="GO152" s="311">
        <f t="shared" si="453"/>
        <v>380.43759999999992</v>
      </c>
      <c r="GP152" s="311">
        <f t="shared" si="525"/>
        <v>239.94880000000001</v>
      </c>
      <c r="GQ152" s="311">
        <f t="shared" si="526"/>
        <v>242.22666666666666</v>
      </c>
      <c r="GR152" s="311">
        <f t="shared" si="454"/>
        <v>149.93866666666665</v>
      </c>
      <c r="GS152" s="311">
        <f t="shared" si="527"/>
        <v>92.288000000000011</v>
      </c>
      <c r="GT152" s="311">
        <f t="shared" si="528"/>
        <v>0</v>
      </c>
      <c r="GU152" s="311">
        <f t="shared" si="455"/>
        <v>0</v>
      </c>
      <c r="GV152" s="311">
        <f t="shared" si="529"/>
        <v>0</v>
      </c>
      <c r="GW152" s="311">
        <f t="shared" si="530"/>
        <v>0</v>
      </c>
      <c r="GX152" s="311">
        <f t="shared" si="456"/>
        <v>0</v>
      </c>
      <c r="GY152" s="311">
        <f t="shared" si="531"/>
        <v>0</v>
      </c>
      <c r="GZ152" s="311">
        <f t="shared" si="532"/>
        <v>0</v>
      </c>
      <c r="HA152" s="311">
        <f t="shared" si="457"/>
        <v>0</v>
      </c>
      <c r="HB152" s="311">
        <f t="shared" si="533"/>
        <v>0</v>
      </c>
      <c r="HC152" s="311">
        <f t="shared" si="534"/>
        <v>59.211345454545452</v>
      </c>
      <c r="HD152" s="311">
        <f t="shared" si="458"/>
        <v>40.753745454545452</v>
      </c>
      <c r="HE152" s="311">
        <f t="shared" si="535"/>
        <v>18.457599999999999</v>
      </c>
      <c r="HF152" s="311">
        <f t="shared" si="536"/>
        <v>226.00123076923074</v>
      </c>
      <c r="HG152" s="311">
        <f t="shared" si="459"/>
        <v>133.71323076923073</v>
      </c>
      <c r="HH152" s="311">
        <f t="shared" si="537"/>
        <v>92.287999999999997</v>
      </c>
      <c r="HI152" s="311">
        <f t="shared" si="538"/>
        <v>97.646479999999997</v>
      </c>
      <c r="HJ152" s="311">
        <f t="shared" si="460"/>
        <v>64.422800000000009</v>
      </c>
      <c r="HK152" s="311">
        <f t="shared" si="539"/>
        <v>33.223679999999995</v>
      </c>
      <c r="HL152" s="311">
        <f t="shared" si="540"/>
        <v>118.71806545454544</v>
      </c>
      <c r="HM152" s="311">
        <f t="shared" si="461"/>
        <v>78.111345454545443</v>
      </c>
      <c r="HN152" s="311">
        <f t="shared" si="541"/>
        <v>40.606719999999996</v>
      </c>
      <c r="HO152" s="311">
        <f t="shared" si="542"/>
        <v>2403.9986285714285</v>
      </c>
      <c r="HP152" s="311">
        <f t="shared" si="462"/>
        <v>1444.2034285714283</v>
      </c>
      <c r="HQ152" s="311">
        <f t="shared" si="543"/>
        <v>959.79520000000002</v>
      </c>
      <c r="HR152" s="311">
        <f t="shared" si="544"/>
        <v>1331.2025142857142</v>
      </c>
      <c r="HS152" s="311">
        <f t="shared" si="463"/>
        <v>722.10171428571414</v>
      </c>
      <c r="HT152" s="311">
        <f t="shared" si="545"/>
        <v>609.10080000000005</v>
      </c>
      <c r="HU152" s="311">
        <f t="shared" si="546"/>
        <v>657.30159999999989</v>
      </c>
      <c r="HV152" s="311">
        <f t="shared" si="464"/>
        <v>380.43759999999992</v>
      </c>
      <c r="HW152" s="311">
        <f t="shared" si="547"/>
        <v>276.86399999999998</v>
      </c>
      <c r="HY152" s="313">
        <f t="shared" si="548"/>
        <v>22400.000000000004</v>
      </c>
      <c r="HZ152" s="313">
        <f t="shared" si="549"/>
        <v>701.11999999999989</v>
      </c>
      <c r="IA152" s="313">
        <f t="shared" si="550"/>
        <v>9125.76</v>
      </c>
      <c r="IB152" s="313">
        <f t="shared" si="551"/>
        <v>11130.560000000001</v>
      </c>
      <c r="IC152" s="313">
        <f t="shared" si="552"/>
        <v>1442.56</v>
      </c>
      <c r="ID152" s="313">
        <f t="shared" si="553"/>
        <v>0</v>
      </c>
      <c r="IE152" s="313">
        <f t="shared" si="554"/>
        <v>5216.6144820512809</v>
      </c>
      <c r="IF152" s="313">
        <f t="shared" si="555"/>
        <v>76.002503742710601</v>
      </c>
      <c r="IG152" s="313">
        <f t="shared" si="556"/>
        <v>2018.4403114291572</v>
      </c>
      <c r="IH152" s="313">
        <f t="shared" si="557"/>
        <v>2679.6348978701826</v>
      </c>
      <c r="II152" s="313">
        <f t="shared" si="558"/>
        <v>423.75695687384609</v>
      </c>
      <c r="IJ152" s="313">
        <f t="shared" si="559"/>
        <v>18.77981213538461</v>
      </c>
      <c r="IK152" s="866">
        <v>4.13</v>
      </c>
      <c r="IL152" s="314" t="s">
        <v>2589</v>
      </c>
      <c r="IM152" s="299" t="s">
        <v>5235</v>
      </c>
      <c r="IN152" s="657"/>
      <c r="IO152" s="730">
        <v>0.03</v>
      </c>
      <c r="IP152" s="730">
        <v>0.4</v>
      </c>
      <c r="IQ152" s="730">
        <v>0.5</v>
      </c>
      <c r="IR152" s="730">
        <v>7.0000000000000007E-2</v>
      </c>
      <c r="IS152" s="730">
        <v>0</v>
      </c>
      <c r="IT152" s="730">
        <v>1.3299999999999999E-2</v>
      </c>
      <c r="IU152" s="730">
        <v>0.37969999999999998</v>
      </c>
      <c r="IV152" s="730">
        <v>0.51670000000000005</v>
      </c>
      <c r="IW152" s="730">
        <v>8.6699999999999999E-2</v>
      </c>
      <c r="IX152" s="730">
        <v>3.5999999999999999E-3</v>
      </c>
      <c r="IY152" s="730">
        <v>0</v>
      </c>
      <c r="IZ152" s="730">
        <v>0</v>
      </c>
      <c r="JA152" s="730">
        <v>0</v>
      </c>
      <c r="JB152" s="730">
        <v>0</v>
      </c>
      <c r="JC152" s="730">
        <v>0</v>
      </c>
      <c r="JD152" s="730">
        <v>0</v>
      </c>
      <c r="JE152" s="730">
        <v>0</v>
      </c>
      <c r="JF152" s="730">
        <v>0</v>
      </c>
      <c r="JG152" s="730">
        <v>0</v>
      </c>
      <c r="JH152" s="730">
        <v>0</v>
      </c>
      <c r="JI152" s="730">
        <v>0</v>
      </c>
      <c r="JJ152" s="730">
        <v>0</v>
      </c>
      <c r="JK152" s="730">
        <v>0</v>
      </c>
      <c r="JL152" s="730">
        <v>0</v>
      </c>
      <c r="JM152" s="730">
        <v>0</v>
      </c>
      <c r="JN152" s="730">
        <v>0</v>
      </c>
      <c r="JO152" s="730">
        <v>0</v>
      </c>
      <c r="JP152" s="730">
        <v>0</v>
      </c>
      <c r="JQ152" s="730">
        <v>0</v>
      </c>
      <c r="JR152" s="730">
        <v>0</v>
      </c>
      <c r="JS152" s="730">
        <v>3.2599999999999997E-2</v>
      </c>
      <c r="JT152" s="730">
        <v>0.4148</v>
      </c>
      <c r="JU152" s="730">
        <v>0.49380000000000002</v>
      </c>
      <c r="JV152" s="730">
        <v>5.8799999999999998E-2</v>
      </c>
      <c r="JW152" s="730">
        <v>0</v>
      </c>
      <c r="JX152" s="730">
        <v>1.5900000000000001E-2</v>
      </c>
      <c r="JY152" s="730">
        <v>0.39450000000000002</v>
      </c>
      <c r="JZ152" s="730">
        <v>0.51049999999999995</v>
      </c>
      <c r="KA152" s="730">
        <v>7.5499999999999998E-2</v>
      </c>
      <c r="KB152" s="730">
        <v>3.5999999999999999E-3</v>
      </c>
      <c r="KC152" s="657"/>
      <c r="KD152" s="314" t="s">
        <v>2590</v>
      </c>
      <c r="KE152" s="314" t="s">
        <v>2590</v>
      </c>
      <c r="KF152" s="866">
        <v>4.16</v>
      </c>
      <c r="KG152" s="314" t="s">
        <v>2589</v>
      </c>
      <c r="KH152" s="315" t="s">
        <v>5236</v>
      </c>
      <c r="KI152" s="314" t="s">
        <v>2659</v>
      </c>
      <c r="KJ152" s="315" t="s">
        <v>5237</v>
      </c>
    </row>
    <row r="153" spans="1:383" ht="48" hidden="1" customHeight="1">
      <c r="A153" s="265">
        <f t="shared" si="560"/>
        <v>146</v>
      </c>
      <c r="B153" s="266" t="s">
        <v>5215</v>
      </c>
      <c r="C153" s="266" t="s">
        <v>5216</v>
      </c>
      <c r="D153" s="624" t="s">
        <v>5238</v>
      </c>
      <c r="E153" s="267" t="s">
        <v>2117</v>
      </c>
      <c r="F153" s="267" t="s">
        <v>5239</v>
      </c>
      <c r="G153" s="267" t="s">
        <v>2121</v>
      </c>
      <c r="H153" s="267" t="s">
        <v>2109</v>
      </c>
      <c r="I153" s="268" t="s">
        <v>5240</v>
      </c>
      <c r="J153" s="268" t="s">
        <v>5241</v>
      </c>
      <c r="K153" s="269" t="s">
        <v>2097</v>
      </c>
      <c r="L153" s="269" t="s">
        <v>2109</v>
      </c>
      <c r="M153" s="269" t="s">
        <v>3168</v>
      </c>
      <c r="N153" s="269" t="s">
        <v>3169</v>
      </c>
      <c r="O153" s="267" t="s">
        <v>3170</v>
      </c>
      <c r="P153" s="268"/>
      <c r="Q153" s="270">
        <v>1</v>
      </c>
      <c r="R153" s="271">
        <v>260</v>
      </c>
      <c r="S153" s="272">
        <v>1300</v>
      </c>
      <c r="T153" s="272">
        <v>1750</v>
      </c>
      <c r="U153" s="272">
        <v>2150</v>
      </c>
      <c r="V153" s="272">
        <v>2850</v>
      </c>
      <c r="W153" s="272">
        <v>2970</v>
      </c>
      <c r="X153" s="272">
        <v>3100</v>
      </c>
      <c r="Y153" s="272">
        <v>3231</v>
      </c>
      <c r="Z153" s="272">
        <v>3415</v>
      </c>
      <c r="AA153" s="272">
        <v>3605</v>
      </c>
      <c r="AB153" s="272">
        <v>3601</v>
      </c>
      <c r="AC153" s="272">
        <v>3597</v>
      </c>
      <c r="AD153" s="272">
        <v>3700</v>
      </c>
      <c r="AE153" s="272">
        <v>3806</v>
      </c>
      <c r="AF153" s="272">
        <v>3860</v>
      </c>
      <c r="AG153" s="272">
        <v>3910</v>
      </c>
      <c r="AH153" s="272">
        <v>3960</v>
      </c>
      <c r="AI153" s="272">
        <v>4005</v>
      </c>
      <c r="AJ153" s="272">
        <v>4045</v>
      </c>
      <c r="AK153" s="272">
        <v>4080</v>
      </c>
      <c r="AL153" s="268" t="s">
        <v>5242</v>
      </c>
      <c r="AM153" s="268" t="s">
        <v>5243</v>
      </c>
      <c r="AN153" s="268" t="s">
        <v>5244</v>
      </c>
      <c r="AO153" s="657"/>
      <c r="AP153" s="271">
        <v>40</v>
      </c>
      <c r="AQ153" s="280">
        <v>30</v>
      </c>
      <c r="AR153" s="280">
        <v>8</v>
      </c>
      <c r="AS153" s="280">
        <v>2</v>
      </c>
      <c r="AT153" s="657"/>
      <c r="AU153" s="301" t="s">
        <v>5245</v>
      </c>
      <c r="AV153" s="572" t="s">
        <v>5246</v>
      </c>
      <c r="AW153" s="645" t="s">
        <v>2608</v>
      </c>
      <c r="AX153" s="290" t="s">
        <v>2670</v>
      </c>
      <c r="AY153" s="657"/>
      <c r="AZ153" s="948">
        <v>3</v>
      </c>
      <c r="BA153" s="948">
        <v>0</v>
      </c>
      <c r="BB153" s="948">
        <v>0.3</v>
      </c>
      <c r="BC153" s="948">
        <v>3</v>
      </c>
      <c r="BD153" s="825">
        <f t="shared" si="465"/>
        <v>24318</v>
      </c>
      <c r="BE153" s="304">
        <f t="shared" si="466"/>
        <v>11580</v>
      </c>
      <c r="BF153" s="304">
        <f t="shared" si="467"/>
        <v>0</v>
      </c>
      <c r="BG153" s="304">
        <f t="shared" si="468"/>
        <v>1158</v>
      </c>
      <c r="BH153" s="304">
        <f t="shared" si="469"/>
        <v>11580</v>
      </c>
      <c r="BI153" s="825">
        <f t="shared" si="470"/>
        <v>25704</v>
      </c>
      <c r="BJ153" s="304">
        <f t="shared" si="471"/>
        <v>12240</v>
      </c>
      <c r="BK153" s="304">
        <f t="shared" si="472"/>
        <v>0</v>
      </c>
      <c r="BL153" s="304">
        <f t="shared" si="473"/>
        <v>1224</v>
      </c>
      <c r="BM153" s="304">
        <f t="shared" si="474"/>
        <v>12240</v>
      </c>
      <c r="BN153" s="657"/>
      <c r="BO153" s="284">
        <v>0.35</v>
      </c>
      <c r="BP153" s="284">
        <v>0.5</v>
      </c>
      <c r="BQ153" s="284">
        <v>0.1</v>
      </c>
      <c r="BR153" s="710">
        <v>0.05</v>
      </c>
      <c r="BS153" s="707">
        <v>0.32</v>
      </c>
      <c r="BT153" s="284">
        <v>0.5</v>
      </c>
      <c r="BU153" s="284">
        <v>0.13</v>
      </c>
      <c r="BV153" s="710">
        <v>0.05</v>
      </c>
      <c r="BW153" s="714"/>
      <c r="BX153" s="285"/>
      <c r="BY153" s="717"/>
      <c r="BZ153" s="714"/>
      <c r="CA153" s="285"/>
      <c r="CB153" s="717"/>
      <c r="CC153" s="284">
        <v>0.12</v>
      </c>
      <c r="CD153" s="284">
        <v>0.5</v>
      </c>
      <c r="CE153" s="284">
        <v>0.15</v>
      </c>
      <c r="CF153" s="710">
        <v>0.23</v>
      </c>
      <c r="CG153" s="707">
        <v>0.1</v>
      </c>
      <c r="CH153" s="284">
        <v>0.5</v>
      </c>
      <c r="CI153" s="284">
        <v>0.18</v>
      </c>
      <c r="CJ153" s="710">
        <v>0.22</v>
      </c>
      <c r="CK153" s="720">
        <v>0.6</v>
      </c>
      <c r="CL153" s="286">
        <v>0.3</v>
      </c>
      <c r="CM153" s="718">
        <v>0.1</v>
      </c>
      <c r="CN153" s="720">
        <v>0.52</v>
      </c>
      <c r="CO153" s="286">
        <v>0.33</v>
      </c>
      <c r="CP153" s="718">
        <v>0.15</v>
      </c>
      <c r="CQ153" s="657"/>
      <c r="CR153" s="807">
        <v>13</v>
      </c>
      <c r="CS153" s="808">
        <v>14</v>
      </c>
      <c r="CT153" s="808">
        <v>10</v>
      </c>
      <c r="CU153" s="809">
        <v>12</v>
      </c>
      <c r="CV153" s="807"/>
      <c r="CW153" s="808"/>
      <c r="CX153" s="809"/>
      <c r="CY153" s="807">
        <v>11</v>
      </c>
      <c r="CZ153" s="808">
        <v>13</v>
      </c>
      <c r="DA153" s="808">
        <v>9</v>
      </c>
      <c r="DB153" s="809">
        <v>11</v>
      </c>
      <c r="DC153" s="807">
        <v>14</v>
      </c>
      <c r="DD153" s="808">
        <v>14</v>
      </c>
      <c r="DE153" s="809">
        <v>10</v>
      </c>
      <c r="DF153" s="610" t="s">
        <v>5247</v>
      </c>
      <c r="DG153" s="657"/>
      <c r="DH153" s="288">
        <f t="shared" si="475"/>
        <v>4052.9999999999995</v>
      </c>
      <c r="DI153" s="288">
        <f t="shared" si="476"/>
        <v>5790</v>
      </c>
      <c r="DJ153" s="288">
        <f t="shared" si="477"/>
        <v>1158</v>
      </c>
      <c r="DK153" s="288">
        <f t="shared" si="478"/>
        <v>579</v>
      </c>
      <c r="DL153" s="560" t="s">
        <v>5248</v>
      </c>
      <c r="DM153" s="288">
        <f t="shared" si="479"/>
        <v>3916.8</v>
      </c>
      <c r="DN153" s="288">
        <f t="shared" si="480"/>
        <v>6120</v>
      </c>
      <c r="DO153" s="288">
        <f t="shared" si="481"/>
        <v>1591.2</v>
      </c>
      <c r="DP153" s="288">
        <f t="shared" si="482"/>
        <v>612</v>
      </c>
      <c r="DQ153" s="561" t="s">
        <v>3755</v>
      </c>
      <c r="DR153" s="657"/>
      <c r="DS153" s="288">
        <f t="shared" si="483"/>
        <v>0</v>
      </c>
      <c r="DT153" s="288">
        <f t="shared" si="484"/>
        <v>0</v>
      </c>
      <c r="DU153" s="288">
        <f t="shared" si="485"/>
        <v>0</v>
      </c>
      <c r="DV153" s="561" t="s">
        <v>2613</v>
      </c>
      <c r="DW153" s="288">
        <f t="shared" si="486"/>
        <v>0</v>
      </c>
      <c r="DX153" s="288">
        <f t="shared" si="487"/>
        <v>0</v>
      </c>
      <c r="DY153" s="288">
        <f t="shared" si="488"/>
        <v>0</v>
      </c>
      <c r="DZ153" s="561" t="s">
        <v>2613</v>
      </c>
      <c r="EA153" s="657"/>
      <c r="EB153" s="288">
        <f t="shared" si="489"/>
        <v>138.96</v>
      </c>
      <c r="EC153" s="288">
        <f t="shared" si="490"/>
        <v>579</v>
      </c>
      <c r="ED153" s="288">
        <f t="shared" si="491"/>
        <v>173.7</v>
      </c>
      <c r="EE153" s="288">
        <f t="shared" si="492"/>
        <v>266.34000000000003</v>
      </c>
      <c r="EF153" s="561" t="s">
        <v>5249</v>
      </c>
      <c r="EG153" s="288">
        <f t="shared" si="493"/>
        <v>122.4</v>
      </c>
      <c r="EH153" s="288">
        <f t="shared" si="494"/>
        <v>612</v>
      </c>
      <c r="EI153" s="288">
        <f t="shared" si="495"/>
        <v>220.32</v>
      </c>
      <c r="EJ153" s="288">
        <f t="shared" si="496"/>
        <v>269.28000000000003</v>
      </c>
      <c r="EK153" s="561" t="s">
        <v>5250</v>
      </c>
      <c r="EL153" s="657"/>
      <c r="EM153" s="288">
        <f t="shared" si="497"/>
        <v>6948</v>
      </c>
      <c r="EN153" s="291">
        <f t="shared" si="498"/>
        <v>3474</v>
      </c>
      <c r="EO153" s="291">
        <f t="shared" si="499"/>
        <v>1158</v>
      </c>
      <c r="EP153" s="561" t="s">
        <v>5251</v>
      </c>
      <c r="EQ153" s="288">
        <f t="shared" si="500"/>
        <v>6364.8</v>
      </c>
      <c r="ER153" s="291">
        <f t="shared" si="501"/>
        <v>4039.2000000000003</v>
      </c>
      <c r="ES153" s="291">
        <f t="shared" si="502"/>
        <v>1836</v>
      </c>
      <c r="ET153" s="561" t="s">
        <v>2872</v>
      </c>
      <c r="EU153" s="657"/>
      <c r="EV153" s="740">
        <f t="shared" si="503"/>
        <v>0.6708533772092623</v>
      </c>
      <c r="EW153" s="740">
        <f t="shared" si="504"/>
        <v>0.3291466227907377</v>
      </c>
      <c r="EX153" s="563">
        <f t="shared" si="505"/>
        <v>7151.3916200699314</v>
      </c>
      <c r="EY153" s="563">
        <f t="shared" si="506"/>
        <v>4797.5352200699308</v>
      </c>
      <c r="EZ153" s="563">
        <f t="shared" si="507"/>
        <v>2353.8564000000001</v>
      </c>
      <c r="FA153" s="563">
        <f t="shared" si="508"/>
        <v>3446.8174178241757</v>
      </c>
      <c r="FB153" s="563">
        <f t="shared" si="509"/>
        <v>2325.9334178241756</v>
      </c>
      <c r="FC153" s="563">
        <f t="shared" si="510"/>
        <v>1120.884</v>
      </c>
      <c r="FD153" s="563">
        <f t="shared" si="511"/>
        <v>0</v>
      </c>
      <c r="FE153" s="563">
        <f t="shared" si="512"/>
        <v>0</v>
      </c>
      <c r="FF153" s="563">
        <f t="shared" si="513"/>
        <v>0</v>
      </c>
      <c r="FG153" s="563">
        <f t="shared" si="514"/>
        <v>406.28560453146861</v>
      </c>
      <c r="FH153" s="563">
        <f t="shared" si="515"/>
        <v>294.19720453146857</v>
      </c>
      <c r="FI153" s="563">
        <f t="shared" si="516"/>
        <v>112.08840000000001</v>
      </c>
      <c r="FJ153" s="563">
        <f t="shared" si="517"/>
        <v>3298.288597714286</v>
      </c>
      <c r="FK153" s="563">
        <f t="shared" si="518"/>
        <v>2177.404597714286</v>
      </c>
      <c r="FL153" s="563">
        <f t="shared" si="519"/>
        <v>1120.884</v>
      </c>
      <c r="FM153" s="529"/>
      <c r="FN153" s="564" t="s">
        <v>2649</v>
      </c>
      <c r="FO153" s="740">
        <v>3.9800000000000002E-2</v>
      </c>
      <c r="FP153" s="741">
        <v>0.76239999999999997</v>
      </c>
      <c r="FQ153" s="565" t="s">
        <v>5232</v>
      </c>
      <c r="FR153" s="529"/>
      <c r="FS153" s="867">
        <v>2.83</v>
      </c>
      <c r="FT153" s="566">
        <f>RANK($FS153,$FS$8:$FS$154,0)+COUNTIF($FS$8:$FS153,$FS153)-1</f>
        <v>138</v>
      </c>
      <c r="FU153" s="867">
        <v>3.4</v>
      </c>
      <c r="FV153" s="566">
        <f>RANK($FU153,$FU$8:$FU$154,0)+COUNTIF($FU$8:$FU153,$FU153)-1</f>
        <v>138</v>
      </c>
      <c r="FW153" s="867">
        <v>1.82</v>
      </c>
      <c r="FX153" s="566">
        <f>RANK($FW153,$FW$8:$FW$154,0)+COUNTIF($FW$8:$FW153,$FW153)-1</f>
        <v>124</v>
      </c>
      <c r="FY153" s="529"/>
      <c r="FZ153" s="567" t="s">
        <v>5233</v>
      </c>
      <c r="GA153" s="567" t="s">
        <v>5252</v>
      </c>
      <c r="GB153" s="567" t="s">
        <v>2653</v>
      </c>
      <c r="GC153" s="567" t="s">
        <v>2654</v>
      </c>
      <c r="GD153" s="567" t="s">
        <v>2876</v>
      </c>
      <c r="GE153" s="567" t="s">
        <v>2656</v>
      </c>
      <c r="GF153" s="567" t="str">
        <f>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53" s="529"/>
      <c r="GH153" s="563">
        <f t="shared" si="520"/>
        <v>1172.7501415384615</v>
      </c>
      <c r="GI153" s="563">
        <f t="shared" si="451"/>
        <v>814.06726153846148</v>
      </c>
      <c r="GJ153" s="563">
        <f t="shared" si="521"/>
        <v>358.68288000000001</v>
      </c>
      <c r="GK153" s="563">
        <f t="shared" si="522"/>
        <v>1562.7257142857143</v>
      </c>
      <c r="GL153" s="563">
        <f t="shared" si="452"/>
        <v>1002.2837142857142</v>
      </c>
      <c r="GM153" s="563">
        <f t="shared" si="523"/>
        <v>560.44200000000001</v>
      </c>
      <c r="GN153" s="563">
        <f t="shared" si="524"/>
        <v>519.00883199999998</v>
      </c>
      <c r="GO153" s="563">
        <f t="shared" si="453"/>
        <v>373.29391200000003</v>
      </c>
      <c r="GP153" s="563">
        <f t="shared" si="525"/>
        <v>145.71492000000001</v>
      </c>
      <c r="GQ153" s="563">
        <f t="shared" si="526"/>
        <v>192.33273000000003</v>
      </c>
      <c r="GR153" s="563">
        <f t="shared" si="454"/>
        <v>136.28853000000001</v>
      </c>
      <c r="GS153" s="563">
        <f t="shared" si="527"/>
        <v>56.044200000000004</v>
      </c>
      <c r="GT153" s="563">
        <f t="shared" si="528"/>
        <v>0</v>
      </c>
      <c r="GU153" s="563">
        <f t="shared" si="455"/>
        <v>0</v>
      </c>
      <c r="GV153" s="563">
        <f t="shared" si="529"/>
        <v>0</v>
      </c>
      <c r="GW153" s="563">
        <f t="shared" si="530"/>
        <v>0</v>
      </c>
      <c r="GX153" s="563">
        <f t="shared" si="456"/>
        <v>0</v>
      </c>
      <c r="GY153" s="563">
        <f t="shared" si="531"/>
        <v>0</v>
      </c>
      <c r="GZ153" s="563">
        <f t="shared" si="532"/>
        <v>0</v>
      </c>
      <c r="HA153" s="563">
        <f t="shared" si="457"/>
        <v>0</v>
      </c>
      <c r="HB153" s="563">
        <f t="shared" si="533"/>
        <v>0</v>
      </c>
      <c r="HC153" s="563">
        <f t="shared" si="534"/>
        <v>50.047991127272731</v>
      </c>
      <c r="HD153" s="563">
        <f t="shared" si="458"/>
        <v>38.839151127272729</v>
      </c>
      <c r="HE153" s="563">
        <f t="shared" si="535"/>
        <v>11.208840000000002</v>
      </c>
      <c r="HF153" s="563">
        <f t="shared" si="536"/>
        <v>172.33952307692309</v>
      </c>
      <c r="HG153" s="563">
        <f t="shared" si="459"/>
        <v>116.29532307692308</v>
      </c>
      <c r="HH153" s="563">
        <f t="shared" si="537"/>
        <v>56.044200000000004</v>
      </c>
      <c r="HI153" s="563">
        <f t="shared" si="538"/>
        <v>84.796935999999988</v>
      </c>
      <c r="HJ153" s="563">
        <f t="shared" si="460"/>
        <v>64.621023999999991</v>
      </c>
      <c r="HK153" s="563">
        <f t="shared" si="539"/>
        <v>20.175912</v>
      </c>
      <c r="HL153" s="563">
        <f t="shared" si="540"/>
        <v>99.101154327272738</v>
      </c>
      <c r="HM153" s="563">
        <f t="shared" si="461"/>
        <v>74.44170632727274</v>
      </c>
      <c r="HN153" s="563">
        <f t="shared" si="541"/>
        <v>24.659448000000001</v>
      </c>
      <c r="HO153" s="563">
        <f t="shared" si="542"/>
        <v>1785.6001371428572</v>
      </c>
      <c r="HP153" s="563">
        <f t="shared" si="462"/>
        <v>1202.7404571428572</v>
      </c>
      <c r="HQ153" s="563">
        <f t="shared" si="543"/>
        <v>582.85968000000003</v>
      </c>
      <c r="HR153" s="563">
        <f t="shared" si="544"/>
        <v>971.26194857142855</v>
      </c>
      <c r="HS153" s="563">
        <f t="shared" si="463"/>
        <v>601.37022857142858</v>
      </c>
      <c r="HT153" s="563">
        <f t="shared" si="545"/>
        <v>369.89172000000002</v>
      </c>
      <c r="HU153" s="563">
        <f t="shared" si="546"/>
        <v>541.426512</v>
      </c>
      <c r="HV153" s="563">
        <f t="shared" si="464"/>
        <v>373.29391200000003</v>
      </c>
      <c r="HW153" s="563">
        <f t="shared" si="547"/>
        <v>168.1326</v>
      </c>
      <c r="HX153" s="544"/>
      <c r="HY153" s="568">
        <f t="shared" si="548"/>
        <v>23160</v>
      </c>
      <c r="HZ153" s="568">
        <f t="shared" si="549"/>
        <v>724.9079999999999</v>
      </c>
      <c r="IA153" s="568">
        <f t="shared" si="550"/>
        <v>9435.384</v>
      </c>
      <c r="IB153" s="568">
        <f t="shared" si="551"/>
        <v>11508.204000000002</v>
      </c>
      <c r="IC153" s="568">
        <f t="shared" si="552"/>
        <v>1491.5039999999999</v>
      </c>
      <c r="ID153" s="568">
        <f t="shared" si="553"/>
        <v>0</v>
      </c>
      <c r="IE153" s="568">
        <f t="shared" si="554"/>
        <v>4503.3380155384611</v>
      </c>
      <c r="IF153" s="568">
        <f t="shared" si="555"/>
        <v>65.555647560718683</v>
      </c>
      <c r="IG153" s="568">
        <f t="shared" si="556"/>
        <v>1742.1430325461251</v>
      </c>
      <c r="IH153" s="568">
        <f t="shared" si="557"/>
        <v>2313.3748441228945</v>
      </c>
      <c r="II153" s="568">
        <f t="shared" si="558"/>
        <v>366.05247445278462</v>
      </c>
      <c r="IJ153" s="568">
        <f t="shared" si="559"/>
        <v>16.212016855938462</v>
      </c>
      <c r="IK153" s="868">
        <v>4.13</v>
      </c>
      <c r="IL153" s="569" t="s">
        <v>2589</v>
      </c>
      <c r="IM153" s="570" t="s">
        <v>5253</v>
      </c>
      <c r="IN153" s="529"/>
      <c r="IO153" s="742">
        <v>0.03</v>
      </c>
      <c r="IP153" s="742">
        <v>0.4</v>
      </c>
      <c r="IQ153" s="742">
        <v>0.5</v>
      </c>
      <c r="IR153" s="742">
        <v>7.0000000000000007E-2</v>
      </c>
      <c r="IS153" s="742">
        <v>0</v>
      </c>
      <c r="IT153" s="742">
        <v>1.3299999999999999E-2</v>
      </c>
      <c r="IU153" s="742">
        <v>0.37969999999999998</v>
      </c>
      <c r="IV153" s="742">
        <v>0.51670000000000005</v>
      </c>
      <c r="IW153" s="742">
        <v>8.6699999999999999E-2</v>
      </c>
      <c r="IX153" s="742">
        <v>3.5999999999999999E-3</v>
      </c>
      <c r="IY153" s="742">
        <v>0</v>
      </c>
      <c r="IZ153" s="742">
        <v>0</v>
      </c>
      <c r="JA153" s="742">
        <v>0</v>
      </c>
      <c r="JB153" s="742">
        <v>0</v>
      </c>
      <c r="JC153" s="742">
        <v>0</v>
      </c>
      <c r="JD153" s="742">
        <v>0</v>
      </c>
      <c r="JE153" s="742">
        <v>0</v>
      </c>
      <c r="JF153" s="742">
        <v>0</v>
      </c>
      <c r="JG153" s="742">
        <v>0</v>
      </c>
      <c r="JH153" s="742">
        <v>0</v>
      </c>
      <c r="JI153" s="742">
        <v>0</v>
      </c>
      <c r="JJ153" s="742">
        <v>0</v>
      </c>
      <c r="JK153" s="742">
        <v>0</v>
      </c>
      <c r="JL153" s="742">
        <v>0</v>
      </c>
      <c r="JM153" s="742">
        <v>0</v>
      </c>
      <c r="JN153" s="742">
        <v>0</v>
      </c>
      <c r="JO153" s="742">
        <v>0</v>
      </c>
      <c r="JP153" s="742">
        <v>0</v>
      </c>
      <c r="JQ153" s="742">
        <v>0</v>
      </c>
      <c r="JR153" s="742">
        <v>0</v>
      </c>
      <c r="JS153" s="742">
        <v>3.2599999999999997E-2</v>
      </c>
      <c r="JT153" s="742">
        <v>0.4148</v>
      </c>
      <c r="JU153" s="742">
        <v>0.49380000000000002</v>
      </c>
      <c r="JV153" s="742">
        <v>5.8799999999999998E-2</v>
      </c>
      <c r="JW153" s="742">
        <v>0</v>
      </c>
      <c r="JX153" s="742">
        <v>1.5900000000000001E-2</v>
      </c>
      <c r="JY153" s="742">
        <v>0.39450000000000002</v>
      </c>
      <c r="JZ153" s="742">
        <v>0.51049999999999995</v>
      </c>
      <c r="KA153" s="742">
        <v>7.5499999999999998E-2</v>
      </c>
      <c r="KB153" s="742">
        <v>3.5999999999999999E-3</v>
      </c>
      <c r="KC153" s="657"/>
      <c r="KD153" s="832" t="s">
        <v>2590</v>
      </c>
      <c r="KE153" s="832" t="s">
        <v>2590</v>
      </c>
      <c r="KF153" s="869">
        <v>4.16</v>
      </c>
      <c r="KG153" s="832" t="s">
        <v>2589</v>
      </c>
      <c r="KH153" s="833" t="s">
        <v>5236</v>
      </c>
      <c r="KI153" s="832" t="s">
        <v>2659</v>
      </c>
      <c r="KJ153" s="833" t="s">
        <v>5254</v>
      </c>
    </row>
    <row r="154" spans="1:383" ht="48" hidden="1" customHeight="1">
      <c r="A154" s="273">
        <f t="shared" si="560"/>
        <v>147</v>
      </c>
      <c r="B154" s="274" t="s">
        <v>5215</v>
      </c>
      <c r="C154" s="274" t="s">
        <v>5216</v>
      </c>
      <c r="D154" s="274" t="s">
        <v>5255</v>
      </c>
      <c r="E154" s="275" t="s">
        <v>2117</v>
      </c>
      <c r="F154" s="275" t="s">
        <v>5239</v>
      </c>
      <c r="G154" s="275" t="s">
        <v>300</v>
      </c>
      <c r="H154" s="275" t="s">
        <v>2109</v>
      </c>
      <c r="I154" s="276" t="s">
        <v>5256</v>
      </c>
      <c r="J154" s="276" t="s">
        <v>5257</v>
      </c>
      <c r="K154" s="277" t="s">
        <v>2097</v>
      </c>
      <c r="L154" s="277" t="s">
        <v>2109</v>
      </c>
      <c r="M154" s="277" t="s">
        <v>3168</v>
      </c>
      <c r="N154" s="277" t="s">
        <v>3169</v>
      </c>
      <c r="O154" s="275" t="s">
        <v>3170</v>
      </c>
      <c r="P154" s="276"/>
      <c r="Q154" s="270">
        <v>1</v>
      </c>
      <c r="R154" s="278">
        <v>900</v>
      </c>
      <c r="S154" s="279">
        <v>95</v>
      </c>
      <c r="T154" s="279">
        <v>115</v>
      </c>
      <c r="U154" s="279">
        <v>145</v>
      </c>
      <c r="V154" s="279">
        <v>172</v>
      </c>
      <c r="W154" s="279">
        <v>178</v>
      </c>
      <c r="X154" s="279">
        <v>183</v>
      </c>
      <c r="Y154" s="279">
        <v>188</v>
      </c>
      <c r="Z154" s="279">
        <v>193</v>
      </c>
      <c r="AA154" s="279">
        <v>198</v>
      </c>
      <c r="AB154" s="279">
        <v>207</v>
      </c>
      <c r="AC154" s="279">
        <v>216</v>
      </c>
      <c r="AD154" s="279">
        <v>222</v>
      </c>
      <c r="AE154" s="279">
        <v>227</v>
      </c>
      <c r="AF154" s="279">
        <v>231</v>
      </c>
      <c r="AG154" s="279">
        <v>235</v>
      </c>
      <c r="AH154" s="279">
        <v>239</v>
      </c>
      <c r="AI154" s="279">
        <v>243</v>
      </c>
      <c r="AJ154" s="279">
        <v>246</v>
      </c>
      <c r="AK154" s="279">
        <v>249</v>
      </c>
      <c r="AL154" s="276" t="s">
        <v>5258</v>
      </c>
      <c r="AM154" s="276" t="s">
        <v>5259</v>
      </c>
      <c r="AN154" s="276" t="s">
        <v>5260</v>
      </c>
      <c r="AO154" s="657"/>
      <c r="AP154" s="278">
        <v>120</v>
      </c>
      <c r="AQ154" s="278">
        <v>100</v>
      </c>
      <c r="AR154" s="278">
        <v>15</v>
      </c>
      <c r="AS154" s="278">
        <v>5</v>
      </c>
      <c r="AT154" s="657"/>
      <c r="AU154" s="281" t="s">
        <v>5261</v>
      </c>
      <c r="AV154" s="296" t="s">
        <v>5262</v>
      </c>
      <c r="AW154" s="296" t="s">
        <v>3959</v>
      </c>
      <c r="AX154" s="276" t="s">
        <v>2670</v>
      </c>
      <c r="AY154" s="657"/>
      <c r="AZ154" s="947">
        <v>5</v>
      </c>
      <c r="BA154" s="947">
        <v>0</v>
      </c>
      <c r="BB154" s="947">
        <v>1</v>
      </c>
      <c r="BC154" s="947">
        <v>5</v>
      </c>
      <c r="BD154" s="826">
        <f t="shared" si="465"/>
        <v>2541</v>
      </c>
      <c r="BE154" s="283">
        <f t="shared" si="466"/>
        <v>1155</v>
      </c>
      <c r="BF154" s="283">
        <f t="shared" si="467"/>
        <v>0</v>
      </c>
      <c r="BG154" s="283">
        <f t="shared" si="468"/>
        <v>231</v>
      </c>
      <c r="BH154" s="283">
        <f t="shared" si="469"/>
        <v>1155</v>
      </c>
      <c r="BI154" s="826">
        <f t="shared" si="470"/>
        <v>2739</v>
      </c>
      <c r="BJ154" s="283">
        <f t="shared" si="471"/>
        <v>1245</v>
      </c>
      <c r="BK154" s="283">
        <f t="shared" si="472"/>
        <v>0</v>
      </c>
      <c r="BL154" s="283">
        <f t="shared" si="473"/>
        <v>249</v>
      </c>
      <c r="BM154" s="283">
        <f t="shared" si="474"/>
        <v>1245</v>
      </c>
      <c r="BN154" s="657"/>
      <c r="BO154" s="305">
        <v>0.35</v>
      </c>
      <c r="BP154" s="305">
        <v>0.5</v>
      </c>
      <c r="BQ154" s="305">
        <v>0.1</v>
      </c>
      <c r="BR154" s="581">
        <v>0.05</v>
      </c>
      <c r="BS154" s="706">
        <v>0.32</v>
      </c>
      <c r="BT154" s="305">
        <v>0.5</v>
      </c>
      <c r="BU154" s="305">
        <v>0.13</v>
      </c>
      <c r="BV154" s="581">
        <v>0.05</v>
      </c>
      <c r="BW154" s="713"/>
      <c r="BX154" s="306"/>
      <c r="BY154" s="590"/>
      <c r="BZ154" s="713"/>
      <c r="CA154" s="306"/>
      <c r="CB154" s="590"/>
      <c r="CC154" s="706">
        <v>0.12</v>
      </c>
      <c r="CD154" s="305">
        <v>0.5</v>
      </c>
      <c r="CE154" s="305">
        <v>0.15</v>
      </c>
      <c r="CF154" s="581">
        <v>0.23</v>
      </c>
      <c r="CG154" s="706">
        <v>0.1</v>
      </c>
      <c r="CH154" s="305">
        <v>0.5</v>
      </c>
      <c r="CI154" s="305">
        <v>0.18</v>
      </c>
      <c r="CJ154" s="581">
        <v>0.22</v>
      </c>
      <c r="CK154" s="719">
        <v>0.6</v>
      </c>
      <c r="CL154" s="307">
        <v>0.3</v>
      </c>
      <c r="CM154" s="723">
        <v>0.1</v>
      </c>
      <c r="CN154" s="719">
        <v>0.52</v>
      </c>
      <c r="CO154" s="307">
        <v>0.33</v>
      </c>
      <c r="CP154" s="723">
        <v>0.15</v>
      </c>
      <c r="CQ154" s="657"/>
      <c r="CR154" s="804">
        <v>13</v>
      </c>
      <c r="CS154" s="805">
        <v>14</v>
      </c>
      <c r="CT154" s="805">
        <v>10</v>
      </c>
      <c r="CU154" s="806">
        <v>12</v>
      </c>
      <c r="CV154" s="804"/>
      <c r="CW154" s="805"/>
      <c r="CX154" s="806"/>
      <c r="CY154" s="804">
        <v>11</v>
      </c>
      <c r="CZ154" s="805">
        <v>13</v>
      </c>
      <c r="DA154" s="805">
        <v>9</v>
      </c>
      <c r="DB154" s="806">
        <v>11</v>
      </c>
      <c r="DC154" s="804">
        <v>14</v>
      </c>
      <c r="DD154" s="805">
        <v>14</v>
      </c>
      <c r="DE154" s="806">
        <v>10</v>
      </c>
      <c r="DF154" s="609" t="s">
        <v>5263</v>
      </c>
      <c r="DG154" s="657"/>
      <c r="DH154" s="308">
        <f t="shared" si="475"/>
        <v>404.25</v>
      </c>
      <c r="DI154" s="308">
        <f t="shared" si="476"/>
        <v>577.5</v>
      </c>
      <c r="DJ154" s="308">
        <f t="shared" si="477"/>
        <v>115.5</v>
      </c>
      <c r="DK154" s="308">
        <f t="shared" si="478"/>
        <v>57.75</v>
      </c>
      <c r="DL154" s="287" t="s">
        <v>5264</v>
      </c>
      <c r="DM154" s="308">
        <f t="shared" si="479"/>
        <v>398.40000000000003</v>
      </c>
      <c r="DN154" s="308">
        <f t="shared" si="480"/>
        <v>622.5</v>
      </c>
      <c r="DO154" s="308">
        <f t="shared" si="481"/>
        <v>161.85</v>
      </c>
      <c r="DP154" s="308">
        <f t="shared" si="482"/>
        <v>62.25</v>
      </c>
      <c r="DQ154" s="289" t="s">
        <v>3755</v>
      </c>
      <c r="DR154" s="657"/>
      <c r="DS154" s="308">
        <f t="shared" si="483"/>
        <v>0</v>
      </c>
      <c r="DT154" s="308">
        <f t="shared" si="484"/>
        <v>0</v>
      </c>
      <c r="DU154" s="308">
        <f t="shared" si="485"/>
        <v>0</v>
      </c>
      <c r="DV154" s="289" t="s">
        <v>2613</v>
      </c>
      <c r="DW154" s="308">
        <f t="shared" si="486"/>
        <v>0</v>
      </c>
      <c r="DX154" s="308">
        <f t="shared" si="487"/>
        <v>0</v>
      </c>
      <c r="DY154" s="308">
        <f t="shared" si="488"/>
        <v>0</v>
      </c>
      <c r="DZ154" s="289" t="s">
        <v>2613</v>
      </c>
      <c r="EA154" s="657"/>
      <c r="EB154" s="308">
        <f t="shared" si="489"/>
        <v>27.72</v>
      </c>
      <c r="EC154" s="308">
        <f t="shared" si="490"/>
        <v>115.5</v>
      </c>
      <c r="ED154" s="308">
        <f t="shared" si="491"/>
        <v>34.65</v>
      </c>
      <c r="EE154" s="308">
        <f t="shared" si="492"/>
        <v>53.13</v>
      </c>
      <c r="EF154" s="289" t="s">
        <v>5265</v>
      </c>
      <c r="EG154" s="308">
        <f t="shared" si="493"/>
        <v>24.900000000000002</v>
      </c>
      <c r="EH154" s="308">
        <f t="shared" si="494"/>
        <v>124.5</v>
      </c>
      <c r="EI154" s="308">
        <f t="shared" si="495"/>
        <v>44.82</v>
      </c>
      <c r="EJ154" s="308">
        <f t="shared" si="496"/>
        <v>54.78</v>
      </c>
      <c r="EK154" s="309" t="s">
        <v>2870</v>
      </c>
      <c r="EL154" s="657"/>
      <c r="EM154" s="308">
        <f t="shared" si="497"/>
        <v>693</v>
      </c>
      <c r="EN154" s="310">
        <f t="shared" si="498"/>
        <v>346.5</v>
      </c>
      <c r="EO154" s="310">
        <f t="shared" si="499"/>
        <v>115.5</v>
      </c>
      <c r="EP154" s="289" t="s">
        <v>5266</v>
      </c>
      <c r="EQ154" s="308">
        <f t="shared" si="500"/>
        <v>647.4</v>
      </c>
      <c r="ER154" s="310">
        <f t="shared" si="501"/>
        <v>410.85</v>
      </c>
      <c r="ES154" s="310">
        <f t="shared" si="502"/>
        <v>186.75</v>
      </c>
      <c r="ET154" s="289" t="s">
        <v>2872</v>
      </c>
      <c r="EU154" s="657"/>
      <c r="EV154" s="728">
        <f t="shared" si="503"/>
        <v>0.63823911355090646</v>
      </c>
      <c r="EW154" s="728">
        <f t="shared" si="504"/>
        <v>0.36176088644909349</v>
      </c>
      <c r="EX154" s="311">
        <f t="shared" si="505"/>
        <v>826.87712023310019</v>
      </c>
      <c r="EY154" s="311">
        <f t="shared" si="506"/>
        <v>527.74532023310019</v>
      </c>
      <c r="EZ154" s="311">
        <f t="shared" si="507"/>
        <v>299.1318</v>
      </c>
      <c r="FA154" s="311">
        <f t="shared" si="508"/>
        <v>376.8940326007326</v>
      </c>
      <c r="FB154" s="311">
        <f t="shared" si="509"/>
        <v>240.92503260073261</v>
      </c>
      <c r="FC154" s="311">
        <f t="shared" si="510"/>
        <v>135.96899999999999</v>
      </c>
      <c r="FD154" s="311">
        <f t="shared" si="511"/>
        <v>0</v>
      </c>
      <c r="FE154" s="311">
        <f t="shared" si="512"/>
        <v>0</v>
      </c>
      <c r="FF154" s="311">
        <f t="shared" si="513"/>
        <v>0</v>
      </c>
      <c r="FG154" s="311">
        <f t="shared" si="514"/>
        <v>85.811430489510485</v>
      </c>
      <c r="FH154" s="311">
        <f t="shared" si="515"/>
        <v>58.617630489510489</v>
      </c>
      <c r="FI154" s="311">
        <f t="shared" si="516"/>
        <v>27.193800000000003</v>
      </c>
      <c r="FJ154" s="311">
        <f t="shared" si="517"/>
        <v>364.17165714285716</v>
      </c>
      <c r="FK154" s="311">
        <f t="shared" si="518"/>
        <v>228.20265714285713</v>
      </c>
      <c r="FL154" s="311">
        <f t="shared" si="519"/>
        <v>135.96899999999999</v>
      </c>
      <c r="FM154" s="657"/>
      <c r="FN154" s="293" t="s">
        <v>2649</v>
      </c>
      <c r="FO154" s="728">
        <v>3.9800000000000002E-2</v>
      </c>
      <c r="FP154" s="729">
        <v>0.76239999999999997</v>
      </c>
      <c r="FQ154" s="294" t="s">
        <v>5232</v>
      </c>
      <c r="FR154" s="657"/>
      <c r="FS154" s="865">
        <v>2.83</v>
      </c>
      <c r="FT154" s="312">
        <f>RANK($FS154,$FS$8:$FS$154,0)+COUNTIF($FS$8:$FS154,$FS154)-1</f>
        <v>139</v>
      </c>
      <c r="FU154" s="865">
        <v>3.4</v>
      </c>
      <c r="FV154" s="312">
        <f>RANK($FU154,$FU$8:$FU$154,0)+COUNTIF($FU$8:$FU154,$FU154)-1</f>
        <v>139</v>
      </c>
      <c r="FW154" s="865">
        <v>1.82</v>
      </c>
      <c r="FX154" s="312">
        <f>RANK($FW154,$FW$8:$FW$154,0)+COUNTIF($FW$8:$FW154,$FW154)-1</f>
        <v>125</v>
      </c>
      <c r="FY154" s="657"/>
      <c r="FZ154" s="296" t="s">
        <v>5233</v>
      </c>
      <c r="GA154" s="296" t="s">
        <v>5267</v>
      </c>
      <c r="GB154" s="296" t="s">
        <v>2653</v>
      </c>
      <c r="GC154" s="296" t="s">
        <v>2654</v>
      </c>
      <c r="GD154" s="296" t="s">
        <v>2876</v>
      </c>
      <c r="GE154" s="296" t="s">
        <v>2656</v>
      </c>
      <c r="GF154" s="296" t="str">
        <f>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G154" s="657"/>
      <c r="GH154" s="311">
        <f t="shared" si="520"/>
        <v>127.97520307692308</v>
      </c>
      <c r="GI154" s="311">
        <f t="shared" si="451"/>
        <v>84.465123076923078</v>
      </c>
      <c r="GJ154" s="311">
        <f t="shared" si="521"/>
        <v>43.510080000000002</v>
      </c>
      <c r="GK154" s="311">
        <f t="shared" si="522"/>
        <v>174.85664285714284</v>
      </c>
      <c r="GL154" s="311">
        <f t="shared" si="452"/>
        <v>106.87214285714286</v>
      </c>
      <c r="GM154" s="311">
        <f t="shared" si="523"/>
        <v>67.984499999999997</v>
      </c>
      <c r="GN154" s="311">
        <f t="shared" si="524"/>
        <v>53.508769999999998</v>
      </c>
      <c r="GO154" s="311">
        <f t="shared" si="453"/>
        <v>35.832799999999999</v>
      </c>
      <c r="GP154" s="311">
        <f t="shared" si="525"/>
        <v>17.67597</v>
      </c>
      <c r="GQ154" s="311">
        <f t="shared" si="526"/>
        <v>20.553416666666667</v>
      </c>
      <c r="GR154" s="311">
        <f t="shared" si="454"/>
        <v>13.754966666666666</v>
      </c>
      <c r="GS154" s="311">
        <f t="shared" si="527"/>
        <v>6.7984499999999999</v>
      </c>
      <c r="GT154" s="311">
        <f t="shared" si="528"/>
        <v>0</v>
      </c>
      <c r="GU154" s="311">
        <f t="shared" si="455"/>
        <v>0</v>
      </c>
      <c r="GV154" s="311">
        <f t="shared" si="529"/>
        <v>0</v>
      </c>
      <c r="GW154" s="311">
        <f t="shared" si="530"/>
        <v>0</v>
      </c>
      <c r="GX154" s="311">
        <f t="shared" si="456"/>
        <v>0</v>
      </c>
      <c r="GY154" s="311">
        <f t="shared" si="531"/>
        <v>0</v>
      </c>
      <c r="GZ154" s="311">
        <f t="shared" si="532"/>
        <v>0</v>
      </c>
      <c r="HA154" s="311">
        <f t="shared" si="457"/>
        <v>0</v>
      </c>
      <c r="HB154" s="311">
        <f t="shared" si="533"/>
        <v>0</v>
      </c>
      <c r="HC154" s="311">
        <f t="shared" si="534"/>
        <v>10.32120109090909</v>
      </c>
      <c r="HD154" s="311">
        <f t="shared" si="458"/>
        <v>7.6018210909090902</v>
      </c>
      <c r="HE154" s="311">
        <f t="shared" si="535"/>
        <v>2.7193800000000006</v>
      </c>
      <c r="HF154" s="311">
        <f t="shared" si="536"/>
        <v>37.729792307692307</v>
      </c>
      <c r="HG154" s="311">
        <f t="shared" si="459"/>
        <v>24.132892307692305</v>
      </c>
      <c r="HH154" s="311">
        <f t="shared" si="537"/>
        <v>13.596900000000002</v>
      </c>
      <c r="HI154" s="311">
        <f t="shared" si="538"/>
        <v>17.207643999999998</v>
      </c>
      <c r="HJ154" s="311">
        <f t="shared" si="460"/>
        <v>12.312759999999999</v>
      </c>
      <c r="HK154" s="311">
        <f t="shared" si="539"/>
        <v>4.8948840000000002</v>
      </c>
      <c r="HL154" s="311">
        <f t="shared" si="540"/>
        <v>20.552793090909091</v>
      </c>
      <c r="HM154" s="311">
        <f t="shared" si="461"/>
        <v>14.570157090909092</v>
      </c>
      <c r="HN154" s="311">
        <f t="shared" si="541"/>
        <v>5.9826360000000003</v>
      </c>
      <c r="HO154" s="311">
        <f t="shared" si="542"/>
        <v>198.95045142857143</v>
      </c>
      <c r="HP154" s="311">
        <f t="shared" si="462"/>
        <v>128.24657142857143</v>
      </c>
      <c r="HQ154" s="311">
        <f t="shared" si="543"/>
        <v>70.703879999999998</v>
      </c>
      <c r="HR154" s="311">
        <f t="shared" si="544"/>
        <v>108.99305571428572</v>
      </c>
      <c r="HS154" s="311">
        <f t="shared" si="463"/>
        <v>64.123285714285714</v>
      </c>
      <c r="HT154" s="311">
        <f t="shared" si="545"/>
        <v>44.869770000000003</v>
      </c>
      <c r="HU154" s="311">
        <f t="shared" si="546"/>
        <v>56.228149999999999</v>
      </c>
      <c r="HV154" s="311">
        <f t="shared" si="464"/>
        <v>35.832799999999999</v>
      </c>
      <c r="HW154" s="311">
        <f t="shared" si="547"/>
        <v>20.395349999999997</v>
      </c>
      <c r="HY154" s="313">
        <f t="shared" si="548"/>
        <v>2541</v>
      </c>
      <c r="HZ154" s="313">
        <f t="shared" si="549"/>
        <v>84.776999999999987</v>
      </c>
      <c r="IA154" s="313">
        <f t="shared" si="550"/>
        <v>1065.7646999999999</v>
      </c>
      <c r="IB154" s="313">
        <f t="shared" si="551"/>
        <v>1234.4178000000002</v>
      </c>
      <c r="IC154" s="313">
        <f t="shared" si="552"/>
        <v>156.04050000000001</v>
      </c>
      <c r="ID154" s="313">
        <f t="shared" si="553"/>
        <v>0</v>
      </c>
      <c r="IE154" s="313">
        <f t="shared" si="554"/>
        <v>527.7453202331003</v>
      </c>
      <c r="IF154" s="313">
        <f t="shared" si="555"/>
        <v>9.0191627994199131</v>
      </c>
      <c r="IG154" s="313">
        <f t="shared" si="556"/>
        <v>211.94531863455811</v>
      </c>
      <c r="IH154" s="313">
        <f t="shared" si="557"/>
        <v>263.93222315287051</v>
      </c>
      <c r="II154" s="313">
        <f t="shared" si="558"/>
        <v>40.937008967314682</v>
      </c>
      <c r="IJ154" s="313">
        <f t="shared" si="559"/>
        <v>1.9116066789370629</v>
      </c>
      <c r="IK154" s="866">
        <v>4.13</v>
      </c>
      <c r="IL154" s="314" t="s">
        <v>2589</v>
      </c>
      <c r="IM154" s="299" t="s">
        <v>5268</v>
      </c>
      <c r="IN154" s="657"/>
      <c r="IO154" s="730">
        <v>0.03</v>
      </c>
      <c r="IP154" s="730">
        <v>0.4</v>
      </c>
      <c r="IQ154" s="730">
        <v>0.5</v>
      </c>
      <c r="IR154" s="730">
        <v>7.0000000000000007E-2</v>
      </c>
      <c r="IS154" s="730">
        <v>0</v>
      </c>
      <c r="IT154" s="730">
        <v>1.3299999999999999E-2</v>
      </c>
      <c r="IU154" s="730">
        <v>0.37969999999999998</v>
      </c>
      <c r="IV154" s="730">
        <v>0.51670000000000005</v>
      </c>
      <c r="IW154" s="730">
        <v>8.6699999999999999E-2</v>
      </c>
      <c r="IX154" s="730">
        <v>3.5999999999999999E-3</v>
      </c>
      <c r="IY154" s="730">
        <v>0</v>
      </c>
      <c r="IZ154" s="730">
        <v>0</v>
      </c>
      <c r="JA154" s="730">
        <v>0</v>
      </c>
      <c r="JB154" s="730">
        <v>0</v>
      </c>
      <c r="JC154" s="730">
        <v>0</v>
      </c>
      <c r="JD154" s="730">
        <v>0</v>
      </c>
      <c r="JE154" s="730">
        <v>0</v>
      </c>
      <c r="JF154" s="730">
        <v>0</v>
      </c>
      <c r="JG154" s="730">
        <v>0</v>
      </c>
      <c r="JH154" s="730">
        <v>0</v>
      </c>
      <c r="JI154" s="730">
        <v>5.3999999999999999E-2</v>
      </c>
      <c r="JJ154" s="730">
        <v>0.53969999999999996</v>
      </c>
      <c r="JK154" s="730">
        <v>0.37480000000000002</v>
      </c>
      <c r="JL154" s="730">
        <v>3.15E-2</v>
      </c>
      <c r="JM154" s="730">
        <v>0</v>
      </c>
      <c r="JN154" s="730">
        <v>3.73E-2</v>
      </c>
      <c r="JO154" s="730">
        <v>0.51929999999999998</v>
      </c>
      <c r="JP154" s="730">
        <v>0.39150000000000001</v>
      </c>
      <c r="JQ154" s="730">
        <v>4.8099999999999997E-2</v>
      </c>
      <c r="JR154" s="730">
        <v>3.8E-3</v>
      </c>
      <c r="JS154" s="730">
        <v>3.2599999999999997E-2</v>
      </c>
      <c r="JT154" s="730">
        <v>0.4148</v>
      </c>
      <c r="JU154" s="730">
        <v>0.49380000000000002</v>
      </c>
      <c r="JV154" s="730">
        <v>5.8799999999999998E-2</v>
      </c>
      <c r="JW154" s="730">
        <v>0</v>
      </c>
      <c r="JX154" s="730">
        <v>1.5900000000000001E-2</v>
      </c>
      <c r="JY154" s="730">
        <v>0.39450000000000002</v>
      </c>
      <c r="JZ154" s="730">
        <v>0.51049999999999995</v>
      </c>
      <c r="KA154" s="730">
        <v>7.5499999999999998E-2</v>
      </c>
      <c r="KB154" s="730">
        <v>3.5999999999999999E-3</v>
      </c>
      <c r="KC154" s="657"/>
      <c r="KD154" s="314" t="s">
        <v>2590</v>
      </c>
      <c r="KE154" s="314" t="s">
        <v>2590</v>
      </c>
      <c r="KF154" s="866">
        <v>4.16</v>
      </c>
      <c r="KG154" s="314" t="s">
        <v>2589</v>
      </c>
      <c r="KH154" s="315" t="s">
        <v>5236</v>
      </c>
      <c r="KI154" s="314" t="s">
        <v>2659</v>
      </c>
      <c r="KJ154" s="315" t="s">
        <v>5269</v>
      </c>
    </row>
  </sheetData>
  <autoFilter ref="A5:KJ154" xr:uid="{00000000-0009-0000-0000-000008000000}">
    <filterColumn colId="1">
      <filters>
        <filter val="Santé &amp; Médico-social"/>
      </filters>
    </filterColumn>
  </autoFilter>
  <conditionalFormatting sqref="T7:AK7">
    <cfRule type="colorScale" priority="1">
      <colorScale>
        <cfvo type="min"/>
        <cfvo type="formula" val="AVERAGE($T$7:$AK$7)"/>
        <cfvo type="max"/>
        <color rgb="FFF8696B"/>
        <color theme="0"/>
        <color rgb="FF63BE7B"/>
      </colorScale>
    </cfRule>
  </conditionalFormatting>
  <conditionalFormatting sqref="BO6:CP6">
    <cfRule type="colorScale" priority="2047">
      <colorScale>
        <cfvo type="min"/>
        <cfvo type="formula" val="AVERAGE($BO$8:$CP$150)"/>
        <cfvo type="max"/>
        <color rgb="FFF8696B"/>
        <color theme="0"/>
        <color rgb="FF63BE7B"/>
      </colorScale>
    </cfRule>
  </conditionalFormatting>
  <conditionalFormatting sqref="BO8:CP154">
    <cfRule type="colorScale" priority="2036">
      <colorScale>
        <cfvo type="min"/>
        <cfvo type="formula" val="AVERAGE($BO$8:$CP$150)"/>
        <cfvo type="max"/>
        <color rgb="FFF8696B"/>
        <color theme="0"/>
        <color rgb="FF63BE7B"/>
      </colorScale>
    </cfRule>
  </conditionalFormatting>
  <conditionalFormatting sqref="CR6:DE7">
    <cfRule type="colorScale" priority="2038">
      <colorScale>
        <cfvo type="min"/>
        <cfvo type="formula" val="MEDIAN($CR$6:$DE$150)"/>
        <cfvo type="max"/>
        <color rgb="FFF8696B"/>
        <color theme="0"/>
        <color rgb="FF63BE7B"/>
      </colorScale>
    </cfRule>
  </conditionalFormatting>
  <conditionalFormatting sqref="CR8:DE154">
    <cfRule type="colorScale" priority="2">
      <colorScale>
        <cfvo type="min"/>
        <cfvo type="formula" val="MEDIAN($CR$6:$DE$150)"/>
        <cfvo type="max"/>
        <color rgb="FFF8696B"/>
        <color theme="0"/>
        <color rgb="FF63BE7B"/>
      </colorScale>
    </cfRule>
  </conditionalFormatting>
  <conditionalFormatting sqref="IO6:KB6">
    <cfRule type="colorScale" priority="2048">
      <colorScale>
        <cfvo type="min"/>
        <cfvo type="formula" val="AVERAGE($IO$8:$KB$150)"/>
        <cfvo type="max"/>
        <color rgb="FFF8696B"/>
        <color theme="0"/>
        <color rgb="FF63BE7B"/>
      </colorScale>
    </cfRule>
  </conditionalFormatting>
  <conditionalFormatting sqref="IO8:KB154">
    <cfRule type="colorScale" priority="2040">
      <colorScale>
        <cfvo type="min"/>
        <cfvo type="formula" val="AVERAGE($IO$8:$KB$150)"/>
        <cfvo type="max"/>
        <color rgb="FFF8696B"/>
        <color theme="0"/>
        <color rgb="FF63BE7B"/>
      </colorScale>
    </cfRule>
  </conditionalFormatting>
  <hyperlinks>
    <hyperlink ref="AN131" r:id="rId1" display="https://www.statistiques.developpement-durable.gouv.fr/66-600-autocars-et-28-000-autobus-en-circulation-au-1er-janvier-2025"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NS154"/>
  <sheetViews>
    <sheetView zoomScale="90" zoomScaleNormal="90" workbookViewId="0">
      <pane xSplit="4" ySplit="4" topLeftCell="Q5" activePane="bottomRight" state="frozen"/>
      <selection pane="topRight" activeCell="E1" sqref="E1"/>
      <selection pane="bottomLeft" activeCell="A5" sqref="A5"/>
      <selection pane="bottomRight" activeCell="C8" sqref="C8"/>
    </sheetView>
  </sheetViews>
  <sheetFormatPr baseColWidth="10" defaultColWidth="9.140625" defaultRowHeight="15" outlineLevelCol="1"/>
  <cols>
    <col min="1" max="1" width="6" style="21" customWidth="1"/>
    <col min="2" max="2" width="13.42578125" style="26" customWidth="1" outlineLevel="1"/>
    <col min="3" max="3" width="14" style="26" customWidth="1" outlineLevel="1"/>
    <col min="4" max="4" width="35.140625" style="26" customWidth="1"/>
    <col min="5" max="5" width="20.85546875" style="44" customWidth="1" outlineLevel="1"/>
    <col min="6" max="6" width="15.28515625" style="44" customWidth="1" outlineLevel="1"/>
    <col min="7" max="7" width="12.5703125" style="23" customWidth="1" outlineLevel="1"/>
    <col min="8" max="8" width="8.85546875" style="21" customWidth="1" outlineLevel="1"/>
    <col min="9" max="9" width="27.5703125" style="17" customWidth="1" outlineLevel="1"/>
    <col min="10" max="10" width="31.28515625" style="17" customWidth="1"/>
    <col min="11" max="11" width="11.85546875" style="17" customWidth="1" outlineLevel="1"/>
    <col min="12" max="12" width="11.140625" style="17" customWidth="1" outlineLevel="1"/>
    <col min="13" max="13" width="12.7109375" style="17" customWidth="1" outlineLevel="1"/>
    <col min="14" max="14" width="20.85546875" style="17" customWidth="1" outlineLevel="1"/>
    <col min="15" max="15" width="15.85546875" style="44" customWidth="1" outlineLevel="1"/>
    <col min="16" max="16" width="13.85546875" style="17" customWidth="1" outlineLevel="1"/>
    <col min="17" max="17" width="9.140625" style="934" customWidth="1"/>
    <col min="18" max="18" width="15.140625" style="934" customWidth="1"/>
    <col min="19" max="22" width="7.7109375" style="934" customWidth="1"/>
    <col min="23" max="26" width="7.7109375" style="934" customWidth="1" outlineLevel="1"/>
    <col min="27" max="27" width="7.7109375" style="934" customWidth="1"/>
    <col min="28" max="31" width="7.7109375" style="934" customWidth="1" outlineLevel="1"/>
    <col min="32" max="32" width="7.7109375" style="934" customWidth="1"/>
    <col min="33" max="36" width="7.7109375" style="934" customWidth="1" outlineLevel="1"/>
    <col min="37" max="37" width="7.7109375" style="934" customWidth="1"/>
    <col min="38" max="38" width="58.42578125" style="17" customWidth="1" outlineLevel="1"/>
    <col min="39" max="39" width="55.42578125" style="17" customWidth="1" outlineLevel="1"/>
    <col min="40" max="40" width="29.7109375" style="17" customWidth="1" outlineLevel="1"/>
    <col min="41" max="41" width="1.7109375" style="803" customWidth="1"/>
    <col min="42" max="42" width="11.28515625" style="934" customWidth="1"/>
    <col min="43" max="43" width="11.28515625" style="933" customWidth="1" outlineLevel="1"/>
    <col min="44" max="44" width="12" style="934" customWidth="1" outlineLevel="1"/>
    <col min="45" max="45" width="11" style="934" customWidth="1" outlineLevel="1"/>
    <col min="46" max="46" width="1.7109375" style="803" customWidth="1"/>
    <col min="47" max="47" width="34.5703125" style="934" customWidth="1" outlineLevel="1"/>
    <col min="48" max="48" width="108.85546875" style="58" customWidth="1" outlineLevel="1"/>
    <col min="49" max="49" width="51.5703125" style="17" customWidth="1" outlineLevel="1"/>
    <col min="50" max="50" width="32.42578125" style="934" customWidth="1" outlineLevel="1"/>
    <col min="51" max="51" width="1.7109375" style="803" customWidth="1"/>
    <col min="52" max="55" width="5.28515625" style="934" customWidth="1" outlineLevel="1"/>
    <col min="56" max="56" width="10" style="934" customWidth="1" outlineLevel="1"/>
    <col min="57" max="60" width="9.28515625" style="934" customWidth="1" outlineLevel="1"/>
    <col min="61" max="61" width="10" style="934" customWidth="1" outlineLevel="1"/>
    <col min="62" max="65" width="9.28515625" style="934" customWidth="1" outlineLevel="1"/>
    <col min="66" max="66" width="1.7109375" style="803" customWidth="1"/>
    <col min="67" max="67" width="4.28515625" style="686" customWidth="1" outlineLevel="1"/>
    <col min="68" max="74" width="4.28515625" style="934" customWidth="1" outlineLevel="1"/>
    <col min="75" max="76" width="4.28515625" style="686" customWidth="1" outlineLevel="1"/>
    <col min="77" max="80" width="4.28515625" style="934" customWidth="1" outlineLevel="1"/>
    <col min="81" max="81" width="4.28515625" style="686" customWidth="1" outlineLevel="1"/>
    <col min="82" max="88" width="4.28515625" style="934" customWidth="1" outlineLevel="1"/>
    <col min="89" max="89" width="4.28515625" style="686" customWidth="1" outlineLevel="1"/>
    <col min="90" max="94" width="4.28515625" style="934" customWidth="1" outlineLevel="1"/>
    <col min="95" max="95" width="1.7109375" style="803" customWidth="1"/>
    <col min="96" max="109" width="4.28515625" style="934" customWidth="1" outlineLevel="1"/>
    <col min="110" max="110" width="109.85546875" style="17" customWidth="1" outlineLevel="1"/>
    <col min="111" max="111" width="1.7109375" style="803" customWidth="1"/>
    <col min="112" max="112" width="9.28515625" style="686" customWidth="1" outlineLevel="1"/>
    <col min="113" max="113" width="9.42578125" style="686" customWidth="1" outlineLevel="1"/>
    <col min="114" max="114" width="8.7109375" style="686" customWidth="1" outlineLevel="1"/>
    <col min="115" max="115" width="13" style="934" customWidth="1" outlineLevel="1"/>
    <col min="116" max="116" width="75.140625" style="128" customWidth="1" outlineLevel="1"/>
    <col min="117" max="117" width="10" style="686" customWidth="1" outlineLevel="1"/>
    <col min="118" max="118" width="9.85546875" style="934" customWidth="1" outlineLevel="1"/>
    <col min="119" max="119" width="8.7109375" style="934" customWidth="1" outlineLevel="1"/>
    <col min="120" max="120" width="13" style="934" customWidth="1" outlineLevel="1"/>
    <col min="121" max="121" width="47" style="115" customWidth="1" outlineLevel="1"/>
    <col min="122" max="122" width="1.7109375" style="803" customWidth="1"/>
    <col min="123" max="123" width="9.28515625" style="686" customWidth="1" outlineLevel="1"/>
    <col min="124" max="124" width="13" style="934" customWidth="1" outlineLevel="1"/>
    <col min="125" max="125" width="8.28515625" style="686" customWidth="1" outlineLevel="1"/>
    <col min="126" max="126" width="40.5703125" style="115" customWidth="1" outlineLevel="1"/>
    <col min="127" max="127" width="9.28515625" style="934" customWidth="1" outlineLevel="1"/>
    <col min="128" max="129" width="13" style="934" customWidth="1" outlineLevel="1"/>
    <col min="130" max="130" width="36.85546875" style="115" customWidth="1" outlineLevel="1"/>
    <col min="131" max="131" width="1.7109375" style="803" customWidth="1"/>
    <col min="132" max="132" width="8.140625" style="686" customWidth="1" outlineLevel="1"/>
    <col min="133" max="133" width="13" style="934" customWidth="1" outlineLevel="1"/>
    <col min="134" max="134" width="8.42578125" style="686" customWidth="1" outlineLevel="1"/>
    <col min="135" max="135" width="8.140625" style="686" customWidth="1" outlineLevel="1"/>
    <col min="136" max="136" width="61.85546875" style="115" customWidth="1" outlineLevel="1"/>
    <col min="137" max="137" width="8.7109375" style="934" customWidth="1" outlineLevel="1"/>
    <col min="138" max="140" width="13" style="934" customWidth="1" outlineLevel="1"/>
    <col min="141" max="141" width="43" style="115" customWidth="1" outlineLevel="1"/>
    <col min="142" max="142" width="1.7109375" style="803" customWidth="1"/>
    <col min="143" max="143" width="9.28515625" style="686" customWidth="1" outlineLevel="1"/>
    <col min="144" max="145" width="13" style="934" customWidth="1" outlineLevel="1"/>
    <col min="146" max="146" width="65.28515625" style="115" customWidth="1" outlineLevel="1"/>
    <col min="147" max="147" width="9.28515625" style="934" customWidth="1" outlineLevel="1"/>
    <col min="148" max="149" width="13" style="934" customWidth="1" outlineLevel="1"/>
    <col min="150" max="150" width="39.7109375" style="115" customWidth="1" outlineLevel="1"/>
    <col min="151" max="151" width="1.7109375" style="803" customWidth="1"/>
    <col min="152" max="153" width="6.28515625" style="934" customWidth="1" outlineLevel="1"/>
    <col min="154" max="168" width="8.7109375" style="934" customWidth="1" outlineLevel="1"/>
    <col min="169" max="169" width="1.7109375" style="803" customWidth="1"/>
    <col min="170" max="170" width="11.85546875" style="177" customWidth="1" outlineLevel="1"/>
    <col min="171" max="171" width="6.28515625" style="177" customWidth="1" outlineLevel="1"/>
    <col min="172" max="172" width="6.42578125" style="934" customWidth="1" outlineLevel="1"/>
    <col min="173" max="173" width="37.42578125" style="934" customWidth="1" outlineLevel="1"/>
    <col min="174" max="174" width="1.7109375" style="803" customWidth="1"/>
    <col min="175" max="180" width="5.7109375" style="934" customWidth="1" outlineLevel="1"/>
    <col min="181" max="181" width="1.7109375" style="803" customWidth="1" outlineLevel="1"/>
    <col min="182" max="182" width="85.28515625" style="934" customWidth="1" outlineLevel="1"/>
    <col min="183" max="183" width="65.7109375" style="934" customWidth="1" outlineLevel="1"/>
    <col min="184" max="184" width="50.28515625" style="934" customWidth="1" outlineLevel="1"/>
    <col min="185" max="185" width="52.85546875" style="934" customWidth="1" outlineLevel="1"/>
    <col min="186" max="186" width="63.7109375" style="934" customWidth="1" outlineLevel="1"/>
    <col min="187" max="187" width="65" style="934" customWidth="1" outlineLevel="1"/>
    <col min="188" max="188" width="98.85546875" style="934" customWidth="1" outlineLevel="1"/>
    <col min="189" max="189" width="3" style="803" customWidth="1"/>
    <col min="190" max="190" width="7.28515625" style="934" customWidth="1" outlineLevel="1"/>
    <col min="191" max="192" width="7.7109375" style="934" customWidth="1" outlineLevel="1"/>
    <col min="193" max="193" width="8.5703125" style="934" customWidth="1" outlineLevel="1"/>
    <col min="194" max="194" width="9.140625" style="934" customWidth="1" outlineLevel="1"/>
    <col min="195" max="222" width="7.7109375" style="934" customWidth="1" outlineLevel="1"/>
    <col min="223" max="223" width="8.85546875" style="934" customWidth="1" outlineLevel="1"/>
    <col min="224" max="231" width="7.7109375" style="934" customWidth="1" outlineLevel="1"/>
    <col min="232" max="232" width="1.7109375" style="676" customWidth="1"/>
    <col min="233" max="233" width="9.28515625" style="167" customWidth="1" outlineLevel="1"/>
    <col min="234" max="234" width="8.7109375" style="167" customWidth="1" outlineLevel="1"/>
    <col min="235" max="238" width="8.7109375" style="934" customWidth="1" outlineLevel="1"/>
    <col min="239" max="239" width="9.28515625" style="167" customWidth="1" outlineLevel="1"/>
    <col min="240" max="240" width="8.7109375" style="167" customWidth="1" outlineLevel="1"/>
    <col min="241" max="244" width="8.7109375" style="934" customWidth="1" outlineLevel="1"/>
    <col min="245" max="245" width="5.7109375" style="167" customWidth="1" outlineLevel="1"/>
    <col min="246" max="246" width="9.42578125" style="167" customWidth="1" outlineLevel="1"/>
    <col min="247" max="247" width="92.7109375" style="167" customWidth="1" outlineLevel="1"/>
    <col min="248" max="248" width="1.7109375" style="803" customWidth="1"/>
    <col min="249" max="249" width="5.7109375" style="167" customWidth="1" outlineLevel="1"/>
    <col min="250" max="253" width="5.7109375" style="934" customWidth="1" outlineLevel="1"/>
    <col min="254" max="255" width="5.7109375" style="167" customWidth="1" outlineLevel="1"/>
    <col min="256" max="288" width="5.7109375" style="934" customWidth="1" outlineLevel="1"/>
    <col min="289" max="289" width="1.7109375" style="803" customWidth="1"/>
    <col min="290" max="290" width="5.7109375" style="167" customWidth="1" outlineLevel="1"/>
    <col min="291" max="292" width="5.7109375" style="934" customWidth="1" outlineLevel="1"/>
    <col min="293" max="293" width="8.7109375" style="168" customWidth="1" outlineLevel="1"/>
    <col min="294" max="294" width="49.140625" style="167" customWidth="1" outlineLevel="1"/>
    <col min="295" max="295" width="35.85546875" style="167" customWidth="1" outlineLevel="1"/>
    <col min="296" max="296" width="99.85546875" style="167" customWidth="1" outlineLevel="1"/>
    <col min="297" max="383" width="15.7109375" style="689" customWidth="1"/>
  </cols>
  <sheetData>
    <row r="1" spans="1:327" s="933" customFormat="1">
      <c r="A1" s="690"/>
      <c r="B1" s="691"/>
      <c r="C1" s="691"/>
      <c r="D1" s="691">
        <f>BD6/EX6*5</f>
        <v>12.10942657863362</v>
      </c>
      <c r="E1" s="692"/>
      <c r="F1" s="692"/>
      <c r="G1" s="693"/>
      <c r="H1" s="690"/>
      <c r="J1" s="15" t="s">
        <v>2424</v>
      </c>
      <c r="K1" s="803"/>
      <c r="L1" s="803"/>
      <c r="M1" s="803"/>
      <c r="N1" s="803"/>
      <c r="O1" s="692"/>
      <c r="P1" s="803"/>
      <c r="Q1" s="15" t="s">
        <v>2425</v>
      </c>
      <c r="AA1" s="836" t="s">
        <v>2426</v>
      </c>
      <c r="AB1" s="703"/>
      <c r="AC1" s="703"/>
      <c r="AD1" s="703"/>
      <c r="AE1" s="703"/>
      <c r="AF1" s="836" t="s">
        <v>2427</v>
      </c>
      <c r="AG1" s="703"/>
      <c r="AH1" s="703"/>
      <c r="AI1" s="703"/>
      <c r="AJ1" s="703"/>
      <c r="AK1" s="836" t="s">
        <v>2428</v>
      </c>
      <c r="AL1" s="803"/>
      <c r="AM1" s="803"/>
      <c r="AO1" s="112" t="s">
        <v>2429</v>
      </c>
      <c r="AP1" s="15"/>
      <c r="AT1" s="112" t="s">
        <v>2430</v>
      </c>
      <c r="AU1" s="15"/>
      <c r="AV1" s="62"/>
      <c r="AY1" s="112" t="s">
        <v>2431</v>
      </c>
      <c r="AZ1" s="15"/>
      <c r="BA1" s="15"/>
      <c r="BB1" s="15"/>
      <c r="BC1" s="15"/>
      <c r="BE1" s="843">
        <f>BE6/$BD$6</f>
        <v>0.4410101922520534</v>
      </c>
      <c r="BF1" s="843">
        <f>BF6/$BD$6</f>
        <v>0.1242974314596295</v>
      </c>
      <c r="BG1" s="843">
        <f>BG6/$BD$6</f>
        <v>7.5185541513913351E-2</v>
      </c>
      <c r="BH1" s="843">
        <f>BH6/$BD$6</f>
        <v>0.35950683477440382</v>
      </c>
      <c r="BN1" s="112" t="s">
        <v>2432</v>
      </c>
      <c r="BO1" s="112"/>
      <c r="BP1" s="112"/>
      <c r="BQ1" s="112"/>
      <c r="BT1" s="854"/>
      <c r="CQ1" s="112" t="s">
        <v>2433</v>
      </c>
      <c r="CR1" s="112"/>
      <c r="CS1" s="112"/>
      <c r="CT1" s="112"/>
      <c r="CU1" s="687"/>
      <c r="CV1" s="687"/>
      <c r="CW1" s="687"/>
      <c r="CX1" s="687"/>
      <c r="CY1" s="687"/>
      <c r="CZ1" s="687"/>
      <c r="DA1" s="687"/>
      <c r="DB1" s="687"/>
      <c r="DC1" s="687"/>
      <c r="DD1" s="687"/>
      <c r="DE1" s="687"/>
      <c r="DF1" s="687"/>
      <c r="DG1" s="112" t="s">
        <v>2434</v>
      </c>
      <c r="DH1" s="112"/>
      <c r="DI1" s="112"/>
      <c r="DL1" s="127"/>
      <c r="DQ1" s="114"/>
      <c r="DR1" s="59" t="s">
        <v>2435</v>
      </c>
      <c r="DS1" s="112"/>
      <c r="DV1" s="114"/>
      <c r="DZ1" s="114"/>
      <c r="EA1" s="129" t="s">
        <v>2436</v>
      </c>
      <c r="EB1" s="59"/>
      <c r="EC1" s="59"/>
      <c r="EF1" s="114"/>
      <c r="EK1" s="114"/>
      <c r="EL1" s="130" t="s">
        <v>2437</v>
      </c>
      <c r="EM1" s="130"/>
      <c r="EN1" s="130"/>
      <c r="EP1" s="114"/>
      <c r="ET1" s="114"/>
      <c r="EU1" s="216" t="s">
        <v>2438</v>
      </c>
      <c r="EV1" s="216"/>
      <c r="EW1" s="216"/>
      <c r="EX1" s="941">
        <f>EX6/5000</f>
        <v>1167.309978982918</v>
      </c>
      <c r="EY1" s="942">
        <f>FA6/5000</f>
        <v>502.72259948796125</v>
      </c>
      <c r="EZ1" s="844">
        <f>EY1/$EX$1</f>
        <v>0.43066761060843972</v>
      </c>
      <c r="FA1" s="943">
        <f>FD6/5000</f>
        <v>172.8596503824308</v>
      </c>
      <c r="FB1" s="845">
        <f>FA1/$EX$1</f>
        <v>0.14808375966514406</v>
      </c>
      <c r="FC1" s="846">
        <f>FA1/$EY$1</f>
        <v>0.34384698551148046</v>
      </c>
      <c r="FD1" s="853" t="s">
        <v>2439</v>
      </c>
      <c r="FE1" s="944">
        <f>FG6/5000</f>
        <v>90.49488344017999</v>
      </c>
      <c r="FF1" s="847">
        <f>FE1/$EX$1</f>
        <v>7.752429523392626E-2</v>
      </c>
      <c r="FG1" s="848">
        <f>FE1/$EY$1</f>
        <v>0.1800095789056467</v>
      </c>
      <c r="FH1" s="852" t="s">
        <v>2440</v>
      </c>
      <c r="FI1" s="945">
        <f>FJ6/5000</f>
        <v>401.23284567234646</v>
      </c>
      <c r="FJ1" s="849">
        <f>FI1/$EX$1</f>
        <v>0.3437243344924904</v>
      </c>
      <c r="FK1" s="850">
        <f>FI1/$EY$1</f>
        <v>0.79811977038831095</v>
      </c>
      <c r="FL1" s="851" t="s">
        <v>2441</v>
      </c>
      <c r="FM1" s="217" t="s">
        <v>2442</v>
      </c>
      <c r="FN1" s="217"/>
      <c r="FO1" s="217"/>
      <c r="FP1" s="218"/>
      <c r="FQ1" s="218"/>
      <c r="FR1" s="217" t="s">
        <v>2443</v>
      </c>
      <c r="FS1" s="217"/>
      <c r="FT1" s="217"/>
      <c r="FU1" s="217"/>
      <c r="FV1" s="218"/>
      <c r="FW1" s="218"/>
      <c r="FX1" s="218"/>
      <c r="FZ1" s="114"/>
      <c r="GA1" s="219"/>
      <c r="GB1" s="219"/>
      <c r="GC1" s="114"/>
      <c r="GD1" s="114"/>
      <c r="GE1" s="114"/>
      <c r="GF1" s="114"/>
      <c r="GG1" s="217" t="s">
        <v>2444</v>
      </c>
      <c r="GH1" s="214"/>
      <c r="GI1" s="214"/>
      <c r="GJ1" s="214"/>
      <c r="GK1" s="687"/>
      <c r="GL1" s="687"/>
      <c r="GM1" s="687"/>
      <c r="GN1" s="687"/>
      <c r="GO1" s="687"/>
      <c r="GP1" s="687"/>
      <c r="GQ1" s="687"/>
      <c r="GR1" s="687"/>
      <c r="GS1" s="687"/>
      <c r="GT1" s="687"/>
      <c r="GU1" s="687"/>
      <c r="GV1" s="687"/>
      <c r="GW1" s="687"/>
      <c r="GX1" s="687"/>
      <c r="GY1" s="687"/>
      <c r="GZ1" s="687"/>
      <c r="HA1" s="687"/>
      <c r="HB1" s="687"/>
      <c r="HC1" s="687"/>
      <c r="HD1" s="687"/>
      <c r="HE1" s="687"/>
      <c r="HF1" s="687"/>
      <c r="HG1" s="687"/>
      <c r="HH1" s="687"/>
      <c r="HI1" s="687"/>
      <c r="HJ1" s="687"/>
      <c r="HK1" s="687"/>
      <c r="HL1" s="687"/>
      <c r="HM1" s="687"/>
      <c r="HN1" s="687"/>
      <c r="HO1" s="687"/>
      <c r="HP1" s="687"/>
      <c r="HQ1" s="687"/>
      <c r="HR1" s="687"/>
      <c r="HS1" s="687"/>
      <c r="HT1" s="687"/>
      <c r="HU1" s="687"/>
      <c r="HV1" s="687"/>
      <c r="HW1" s="687"/>
      <c r="HX1" s="244" t="s">
        <v>2445</v>
      </c>
      <c r="HY1" s="244"/>
      <c r="HZ1" s="688"/>
      <c r="IA1" s="688"/>
      <c r="IB1" s="688"/>
      <c r="IC1" s="688"/>
      <c r="ID1" s="688"/>
      <c r="IE1" s="688"/>
      <c r="IF1" s="688"/>
      <c r="IG1" s="688"/>
      <c r="IH1" s="688"/>
      <c r="II1" s="688"/>
      <c r="IJ1" s="688"/>
      <c r="IK1" s="689"/>
      <c r="IL1" s="688"/>
      <c r="IM1" s="688"/>
      <c r="IN1" s="244" t="s">
        <v>2446</v>
      </c>
      <c r="IO1" s="244"/>
      <c r="IP1" s="244"/>
      <c r="IQ1" s="244"/>
      <c r="IR1" s="244"/>
      <c r="IS1" s="688"/>
      <c r="IT1" s="688"/>
      <c r="IU1" s="688"/>
      <c r="IV1" s="688"/>
      <c r="IW1" s="688"/>
      <c r="IX1" s="688"/>
      <c r="IY1" s="688"/>
      <c r="IZ1" s="688"/>
      <c r="JA1" s="688"/>
      <c r="JB1" s="688"/>
      <c r="JC1" s="688"/>
      <c r="JD1" s="688"/>
      <c r="JE1" s="688"/>
      <c r="JF1" s="688"/>
      <c r="JG1" s="688"/>
      <c r="JH1" s="688"/>
      <c r="JI1" s="688"/>
      <c r="JJ1" s="688"/>
      <c r="JK1" s="688"/>
      <c r="JL1" s="688"/>
      <c r="JM1" s="688"/>
      <c r="JN1" s="688"/>
      <c r="JO1" s="688"/>
      <c r="JP1" s="688"/>
      <c r="JQ1" s="688"/>
      <c r="JR1" s="688"/>
      <c r="JS1" s="688"/>
      <c r="JT1" s="688"/>
      <c r="JU1" s="688"/>
      <c r="JV1" s="688"/>
      <c r="JW1" s="688"/>
      <c r="JX1" s="688"/>
      <c r="JY1" s="688"/>
      <c r="JZ1" s="688"/>
      <c r="KA1" s="688"/>
      <c r="KB1" s="688"/>
      <c r="KC1" s="244" t="s">
        <v>2447</v>
      </c>
      <c r="KD1" s="130"/>
      <c r="KE1" s="130"/>
      <c r="KF1" s="130"/>
      <c r="KG1" s="130"/>
      <c r="KH1" s="689"/>
      <c r="KI1" s="689"/>
      <c r="KJ1" s="689"/>
      <c r="KK1" s="244" t="s">
        <v>2448</v>
      </c>
      <c r="KL1" s="130"/>
      <c r="KM1" s="689"/>
      <c r="KN1" s="689"/>
      <c r="KO1" s="689"/>
    </row>
    <row r="2" spans="1:327">
      <c r="A2" s="690"/>
      <c r="B2" s="691"/>
      <c r="C2" s="691"/>
      <c r="D2" s="691"/>
      <c r="E2" s="692"/>
      <c r="F2" s="692"/>
      <c r="G2" s="693"/>
      <c r="H2" s="690"/>
      <c r="I2" s="803"/>
      <c r="J2" s="15" t="s">
        <v>2449</v>
      </c>
      <c r="K2" s="803"/>
      <c r="L2" s="803"/>
      <c r="M2" s="803"/>
      <c r="N2" s="803"/>
      <c r="O2" s="692"/>
      <c r="P2" s="803"/>
      <c r="Q2" s="15" t="s">
        <v>2406</v>
      </c>
      <c r="R2" s="933"/>
      <c r="S2" s="933"/>
      <c r="T2" s="933"/>
      <c r="U2" s="933"/>
      <c r="V2" s="933"/>
      <c r="W2" s="933"/>
      <c r="X2" s="933"/>
      <c r="Y2" s="933"/>
      <c r="Z2" s="933"/>
      <c r="AA2" s="933"/>
      <c r="AB2" s="933"/>
      <c r="AC2" s="933"/>
      <c r="AD2" s="933"/>
      <c r="AE2" s="933"/>
      <c r="AF2" s="933"/>
      <c r="AG2" s="933"/>
      <c r="AH2" s="933"/>
      <c r="AI2" s="933"/>
      <c r="AJ2" s="933"/>
      <c r="AK2" s="933"/>
      <c r="AL2" s="803"/>
      <c r="AM2" s="803"/>
      <c r="AO2" s="112" t="s">
        <v>2450</v>
      </c>
      <c r="AP2" s="112"/>
      <c r="AR2" s="933"/>
      <c r="AS2" s="933"/>
      <c r="AT2" s="933"/>
      <c r="AU2" s="933"/>
      <c r="AV2" s="62"/>
      <c r="AX2" s="933"/>
      <c r="AY2" s="933"/>
      <c r="AZ2" s="66"/>
      <c r="BA2" s="830" t="s">
        <v>2451</v>
      </c>
      <c r="BB2" s="54"/>
      <c r="BC2" s="54"/>
      <c r="BD2" s="54"/>
      <c r="BE2" s="54"/>
      <c r="BF2" s="66"/>
      <c r="BG2" s="54"/>
      <c r="BH2" s="54"/>
      <c r="BI2" s="54"/>
      <c r="BJ2" s="54"/>
      <c r="BK2" s="54"/>
      <c r="BL2" s="54"/>
      <c r="BM2" s="65"/>
      <c r="BN2" s="933"/>
      <c r="BO2" s="80"/>
      <c r="BP2" s="81" t="s">
        <v>2452</v>
      </c>
      <c r="BQ2" s="81"/>
      <c r="BR2" s="82"/>
      <c r="BS2" s="80"/>
      <c r="BT2" s="81" t="s">
        <v>2453</v>
      </c>
      <c r="BU2" s="81"/>
      <c r="BV2" s="82"/>
      <c r="BW2" s="87"/>
      <c r="BX2" s="88" t="s">
        <v>2452</v>
      </c>
      <c r="BY2" s="89"/>
      <c r="BZ2" s="87"/>
      <c r="CA2" s="88" t="s">
        <v>2453</v>
      </c>
      <c r="CB2" s="89"/>
      <c r="CC2" s="94"/>
      <c r="CD2" s="95" t="s">
        <v>2452</v>
      </c>
      <c r="CE2" s="95"/>
      <c r="CF2" s="96"/>
      <c r="CG2" s="94"/>
      <c r="CH2" s="95" t="s">
        <v>2453</v>
      </c>
      <c r="CI2" s="95"/>
      <c r="CJ2" s="96"/>
      <c r="CK2" s="101"/>
      <c r="CL2" s="102" t="s">
        <v>2452</v>
      </c>
      <c r="CM2" s="103"/>
      <c r="CN2" s="101"/>
      <c r="CO2" s="102" t="s">
        <v>2453</v>
      </c>
      <c r="CP2" s="103"/>
      <c r="CQ2" s="933"/>
      <c r="CR2" s="142" t="s">
        <v>2454</v>
      </c>
      <c r="CS2" s="112"/>
      <c r="CT2" s="112"/>
      <c r="CU2" s="112"/>
      <c r="CV2" s="112"/>
      <c r="CW2" s="112"/>
      <c r="CX2" s="112"/>
      <c r="CY2" s="112"/>
      <c r="CZ2" s="112"/>
      <c r="DA2" s="112"/>
      <c r="DB2" s="112"/>
      <c r="DC2" s="112"/>
      <c r="DD2" s="112"/>
      <c r="DE2" s="112"/>
      <c r="DF2" s="144"/>
      <c r="DG2" s="933"/>
      <c r="DH2" s="80"/>
      <c r="DI2" s="81" t="s">
        <v>2455</v>
      </c>
      <c r="DJ2" s="81"/>
      <c r="DK2" s="82"/>
      <c r="DL2" s="127"/>
      <c r="DM2" s="80"/>
      <c r="DN2" s="81" t="s">
        <v>2456</v>
      </c>
      <c r="DO2" s="81"/>
      <c r="DP2" s="82"/>
      <c r="DQ2" s="114"/>
      <c r="DR2" s="933"/>
      <c r="DS2" s="87"/>
      <c r="DT2" s="88" t="s">
        <v>2457</v>
      </c>
      <c r="DU2" s="89"/>
      <c r="DV2" s="114"/>
      <c r="DW2" s="120"/>
      <c r="DX2" s="88" t="s">
        <v>2453</v>
      </c>
      <c r="DY2" s="89"/>
      <c r="DZ2" s="114"/>
      <c r="EA2" s="933"/>
      <c r="EB2" s="94"/>
      <c r="EC2" s="95" t="s">
        <v>2457</v>
      </c>
      <c r="ED2" s="95"/>
      <c r="EE2" s="96"/>
      <c r="EF2" s="114"/>
      <c r="EG2" s="94"/>
      <c r="EH2" s="95" t="s">
        <v>2458</v>
      </c>
      <c r="EI2" s="95"/>
      <c r="EJ2" s="96"/>
      <c r="EK2" s="114"/>
      <c r="EL2" s="933"/>
      <c r="EM2" s="101"/>
      <c r="EN2" s="102" t="s">
        <v>2457</v>
      </c>
      <c r="EO2" s="103"/>
      <c r="EP2" s="114"/>
      <c r="EQ2" s="101"/>
      <c r="ER2" s="102" t="s">
        <v>2453</v>
      </c>
      <c r="ES2" s="103"/>
      <c r="ET2" s="114"/>
      <c r="EU2" s="933"/>
      <c r="EV2" s="183"/>
      <c r="EW2" s="174"/>
      <c r="EX2" s="183" t="s">
        <v>2459</v>
      </c>
      <c r="EY2" s="174"/>
      <c r="EZ2" s="174"/>
      <c r="FA2" s="173"/>
      <c r="FB2" s="179" t="s">
        <v>2459</v>
      </c>
      <c r="FC2" s="173"/>
      <c r="FD2" s="173"/>
      <c r="FE2" s="179" t="s">
        <v>2459</v>
      </c>
      <c r="FF2" s="173"/>
      <c r="FG2" s="173"/>
      <c r="FH2" s="179" t="s">
        <v>2459</v>
      </c>
      <c r="FI2" s="173"/>
      <c r="FJ2" s="173"/>
      <c r="FK2" s="179" t="s">
        <v>2459</v>
      </c>
      <c r="FL2" s="207"/>
      <c r="FM2" s="933"/>
      <c r="FN2" s="162"/>
      <c r="FO2" s="172"/>
      <c r="FP2" s="183"/>
      <c r="FQ2" s="211" t="s">
        <v>2459</v>
      </c>
      <c r="FR2" s="933"/>
      <c r="FS2" s="196" t="s">
        <v>2460</v>
      </c>
      <c r="FT2" s="197"/>
      <c r="FU2" s="174"/>
      <c r="FV2" s="172"/>
      <c r="FW2" s="174"/>
      <c r="FX2" s="175"/>
      <c r="FY2" s="933"/>
      <c r="FZ2" s="114"/>
      <c r="GA2" s="114"/>
      <c r="GB2" s="114"/>
      <c r="GC2" s="114"/>
      <c r="GD2" s="114"/>
      <c r="GE2" s="114"/>
      <c r="GF2" s="114"/>
      <c r="GG2" s="933"/>
      <c r="GH2" s="173"/>
      <c r="GI2" s="179" t="s">
        <v>2459</v>
      </c>
      <c r="GJ2" s="173"/>
      <c r="GK2" s="173"/>
      <c r="GL2" s="179" t="s">
        <v>2459</v>
      </c>
      <c r="GM2" s="173"/>
      <c r="GN2" s="173"/>
      <c r="GO2" s="179" t="s">
        <v>2459</v>
      </c>
      <c r="GP2" s="173"/>
      <c r="GQ2" s="173"/>
      <c r="GR2" s="179" t="s">
        <v>2459</v>
      </c>
      <c r="GS2" s="173"/>
      <c r="GT2" s="173"/>
      <c r="GU2" s="179" t="s">
        <v>2459</v>
      </c>
      <c r="GV2" s="173"/>
      <c r="GW2" s="173"/>
      <c r="GX2" s="179" t="s">
        <v>2459</v>
      </c>
      <c r="GY2" s="173"/>
      <c r="GZ2" s="173"/>
      <c r="HA2" s="179" t="s">
        <v>2459</v>
      </c>
      <c r="HB2" s="173"/>
      <c r="HC2" s="173"/>
      <c r="HD2" s="179" t="s">
        <v>2459</v>
      </c>
      <c r="HE2" s="173"/>
      <c r="HF2" s="173"/>
      <c r="HG2" s="179" t="s">
        <v>2459</v>
      </c>
      <c r="HH2" s="173"/>
      <c r="HI2" s="173"/>
      <c r="HJ2" s="179" t="s">
        <v>2459</v>
      </c>
      <c r="HK2" s="173"/>
      <c r="HL2" s="173"/>
      <c r="HM2" s="179" t="s">
        <v>2459</v>
      </c>
      <c r="HN2" s="173"/>
      <c r="HO2" s="173"/>
      <c r="HP2" s="179" t="s">
        <v>2459</v>
      </c>
      <c r="HQ2" s="173"/>
      <c r="HR2" s="173"/>
      <c r="HS2" s="179" t="s">
        <v>2459</v>
      </c>
      <c r="HT2" s="173"/>
      <c r="HU2" s="173"/>
      <c r="HV2" s="179" t="s">
        <v>2459</v>
      </c>
      <c r="HW2" s="173"/>
      <c r="HY2" s="688"/>
      <c r="HZ2" s="241"/>
      <c r="IA2" s="235"/>
      <c r="IB2" s="172" t="s">
        <v>2461</v>
      </c>
      <c r="IC2" s="235"/>
      <c r="ID2" s="242"/>
      <c r="IE2" s="688"/>
      <c r="IF2" s="241"/>
      <c r="IG2" s="235"/>
      <c r="IH2" s="172" t="s">
        <v>2459</v>
      </c>
      <c r="II2" s="235"/>
      <c r="IJ2" s="235"/>
      <c r="IK2" s="689"/>
      <c r="IL2" s="688"/>
      <c r="IM2" s="688"/>
      <c r="IN2" s="933"/>
      <c r="IO2" s="241"/>
      <c r="IP2" s="235"/>
      <c r="IQ2" s="179" t="s">
        <v>2461</v>
      </c>
      <c r="IR2" s="235"/>
      <c r="IS2" s="242"/>
      <c r="IT2" s="241"/>
      <c r="IU2" s="235"/>
      <c r="IV2" s="179" t="s">
        <v>2459</v>
      </c>
      <c r="IW2" s="235"/>
      <c r="IX2" s="242"/>
      <c r="IY2" s="241"/>
      <c r="IZ2" s="235"/>
      <c r="JA2" s="179" t="s">
        <v>2461</v>
      </c>
      <c r="JB2" s="235"/>
      <c r="JC2" s="242"/>
      <c r="JD2" s="241"/>
      <c r="JE2" s="235"/>
      <c r="JF2" s="179" t="s">
        <v>2459</v>
      </c>
      <c r="JG2" s="235"/>
      <c r="JH2" s="242"/>
      <c r="JI2" s="241"/>
      <c r="JJ2" s="235"/>
      <c r="JK2" s="179" t="s">
        <v>2461</v>
      </c>
      <c r="JL2" s="235"/>
      <c r="JM2" s="242"/>
      <c r="JN2" s="241"/>
      <c r="JO2" s="235"/>
      <c r="JP2" s="179" t="s">
        <v>2459</v>
      </c>
      <c r="JQ2" s="235"/>
      <c r="JR2" s="242"/>
      <c r="JS2" s="241"/>
      <c r="JT2" s="235"/>
      <c r="JU2" s="179" t="s">
        <v>2461</v>
      </c>
      <c r="JV2" s="235"/>
      <c r="JW2" s="242"/>
      <c r="JX2" s="241"/>
      <c r="JY2" s="235"/>
      <c r="JZ2" s="179" t="s">
        <v>2459</v>
      </c>
      <c r="KA2" s="235"/>
      <c r="KB2" s="242"/>
      <c r="KC2" s="933"/>
      <c r="KD2" s="248"/>
      <c r="KE2" s="248" t="s">
        <v>2462</v>
      </c>
      <c r="KF2" s="172"/>
      <c r="KG2" s="172"/>
      <c r="KH2" s="254"/>
      <c r="KI2" s="254"/>
      <c r="KJ2" s="254"/>
    </row>
    <row r="3" spans="1:327" ht="15" customHeight="1">
      <c r="A3" s="690"/>
      <c r="B3" s="691"/>
      <c r="C3" s="691"/>
      <c r="D3" s="691"/>
      <c r="E3" s="692"/>
      <c r="F3" s="692"/>
      <c r="G3" s="693"/>
      <c r="H3" s="690"/>
      <c r="I3" s="803"/>
      <c r="J3" s="803"/>
      <c r="K3" s="803"/>
      <c r="L3" s="803"/>
      <c r="M3" s="803"/>
      <c r="N3" s="803"/>
      <c r="O3" s="692"/>
      <c r="P3" s="803"/>
      <c r="Q3" s="933"/>
      <c r="R3" s="799" t="s">
        <v>2463</v>
      </c>
      <c r="S3" s="799"/>
      <c r="T3" s="800"/>
      <c r="U3" s="800"/>
      <c r="V3" s="799"/>
      <c r="W3" s="800"/>
      <c r="X3" s="800"/>
      <c r="Y3" s="800"/>
      <c r="Z3" s="800"/>
      <c r="AA3" s="800"/>
      <c r="AB3" s="800"/>
      <c r="AC3" s="800"/>
      <c r="AD3" s="800"/>
      <c r="AE3" s="800"/>
      <c r="AF3" s="800"/>
      <c r="AG3" s="800"/>
      <c r="AH3" s="800"/>
      <c r="AI3" s="800"/>
      <c r="AJ3" s="800"/>
      <c r="AK3" s="800"/>
      <c r="AL3" s="800"/>
      <c r="AM3" s="803"/>
      <c r="AN3" s="803"/>
      <c r="AP3" s="933"/>
      <c r="AR3" s="933"/>
      <c r="AS3" s="933"/>
      <c r="AU3" s="933"/>
      <c r="AV3" s="62"/>
      <c r="AW3" s="803"/>
      <c r="AX3" s="933"/>
      <c r="AZ3" s="255" t="s">
        <v>2464</v>
      </c>
      <c r="BA3" s="820"/>
      <c r="BB3" s="252"/>
      <c r="BC3" s="818"/>
      <c r="BD3" s="819"/>
      <c r="BE3" s="820"/>
      <c r="BF3" s="252" t="s">
        <v>2465</v>
      </c>
      <c r="BG3" s="820"/>
      <c r="BH3" s="821"/>
      <c r="BI3" s="819"/>
      <c r="BJ3" s="66"/>
      <c r="BK3" s="67" t="s">
        <v>2466</v>
      </c>
      <c r="BL3" s="66"/>
      <c r="BM3" s="70"/>
      <c r="BO3" s="83"/>
      <c r="BP3" s="54" t="s">
        <v>2467</v>
      </c>
      <c r="BQ3" s="50"/>
      <c r="BR3" s="84"/>
      <c r="BS3" s="83"/>
      <c r="BT3" s="54" t="s">
        <v>2467</v>
      </c>
      <c r="BU3" s="50"/>
      <c r="BV3" s="84"/>
      <c r="BW3" s="90"/>
      <c r="BX3" s="52" t="s">
        <v>2468</v>
      </c>
      <c r="BY3" s="91"/>
      <c r="BZ3" s="90"/>
      <c r="CA3" s="52" t="s">
        <v>2468</v>
      </c>
      <c r="CB3" s="91"/>
      <c r="CC3" s="97" t="s">
        <v>2469</v>
      </c>
      <c r="CD3" s="55"/>
      <c r="CE3" s="56"/>
      <c r="CF3" s="98"/>
      <c r="CG3" s="97" t="s">
        <v>2469</v>
      </c>
      <c r="CH3" s="55"/>
      <c r="CI3" s="56"/>
      <c r="CJ3" s="98"/>
      <c r="CK3" s="104"/>
      <c r="CL3" s="61" t="s">
        <v>2470</v>
      </c>
      <c r="CM3" s="105"/>
      <c r="CN3" s="104"/>
      <c r="CO3" s="61" t="s">
        <v>2470</v>
      </c>
      <c r="CP3" s="105"/>
      <c r="CR3" s="83"/>
      <c r="CS3" s="54" t="s">
        <v>2471</v>
      </c>
      <c r="CT3" s="50"/>
      <c r="CU3" s="84"/>
      <c r="CV3" s="90"/>
      <c r="CW3" s="52" t="s">
        <v>2472</v>
      </c>
      <c r="CX3" s="91"/>
      <c r="CY3" s="97" t="s">
        <v>2469</v>
      </c>
      <c r="CZ3" s="55"/>
      <c r="DA3" s="56"/>
      <c r="DB3" s="98"/>
      <c r="DC3" s="104"/>
      <c r="DD3" s="61" t="s">
        <v>2470</v>
      </c>
      <c r="DE3" s="105"/>
      <c r="DF3" s="144"/>
      <c r="DH3" s="83"/>
      <c r="DI3" s="54" t="s">
        <v>2473</v>
      </c>
      <c r="DJ3" s="50"/>
      <c r="DK3" s="84"/>
      <c r="DL3" s="127"/>
      <c r="DM3" s="83"/>
      <c r="DN3" s="54" t="s">
        <v>2473</v>
      </c>
      <c r="DO3" s="50"/>
      <c r="DP3" s="84"/>
      <c r="DQ3" s="114"/>
      <c r="DS3" s="90"/>
      <c r="DT3" s="52" t="s">
        <v>2468</v>
      </c>
      <c r="DU3" s="91"/>
      <c r="DV3" s="114"/>
      <c r="DW3" s="90"/>
      <c r="DX3" s="52" t="s">
        <v>2468</v>
      </c>
      <c r="DY3" s="91"/>
      <c r="DZ3" s="114"/>
      <c r="EB3" s="97"/>
      <c r="EC3" s="55" t="s">
        <v>2469</v>
      </c>
      <c r="ED3" s="56"/>
      <c r="EE3" s="98"/>
      <c r="EF3" s="114"/>
      <c r="EG3" s="97"/>
      <c r="EH3" s="55" t="s">
        <v>2469</v>
      </c>
      <c r="EI3" s="56"/>
      <c r="EJ3" s="98"/>
      <c r="EK3" s="114"/>
      <c r="EM3" s="104"/>
      <c r="EN3" s="61" t="s">
        <v>2470</v>
      </c>
      <c r="EO3" s="105"/>
      <c r="EP3" s="114"/>
      <c r="EQ3" s="104"/>
      <c r="ER3" s="61" t="s">
        <v>2470</v>
      </c>
      <c r="ES3" s="105"/>
      <c r="ET3" s="114"/>
      <c r="EV3" s="183"/>
      <c r="EW3" s="172"/>
      <c r="EX3" s="183" t="s">
        <v>2474</v>
      </c>
      <c r="EY3" s="174"/>
      <c r="EZ3" s="174"/>
      <c r="FA3" s="162"/>
      <c r="FB3" s="174" t="s">
        <v>2475</v>
      </c>
      <c r="FC3" s="171"/>
      <c r="FD3" s="162"/>
      <c r="FE3" s="180" t="s">
        <v>2472</v>
      </c>
      <c r="FF3" s="171"/>
      <c r="FG3" s="162"/>
      <c r="FH3" s="181" t="s">
        <v>2476</v>
      </c>
      <c r="FI3" s="171"/>
      <c r="FJ3" s="162"/>
      <c r="FK3" s="182" t="s">
        <v>2477</v>
      </c>
      <c r="FL3" s="208"/>
      <c r="FN3" s="212" t="s">
        <v>2478</v>
      </c>
      <c r="FO3" s="172"/>
      <c r="FP3" s="163"/>
      <c r="FQ3" s="213" t="s">
        <v>2479</v>
      </c>
      <c r="FS3" s="200" t="s">
        <v>2480</v>
      </c>
      <c r="FT3" s="186"/>
      <c r="FU3" s="198" t="s">
        <v>2481</v>
      </c>
      <c r="FV3" s="199"/>
      <c r="FW3" s="195" t="s">
        <v>2482</v>
      </c>
      <c r="FX3" s="186"/>
      <c r="FZ3" s="114"/>
      <c r="GA3" s="114"/>
      <c r="GB3" s="114"/>
      <c r="GC3" s="114"/>
      <c r="GD3" s="114"/>
      <c r="GE3" s="114"/>
      <c r="GF3" s="114"/>
      <c r="GH3" s="164"/>
      <c r="GI3" s="187" t="s">
        <v>2483</v>
      </c>
      <c r="GJ3" s="187"/>
      <c r="GK3" s="164"/>
      <c r="GL3" s="187" t="s">
        <v>2484</v>
      </c>
      <c r="GM3" s="164"/>
      <c r="GN3" s="164"/>
      <c r="GO3" s="187" t="s">
        <v>2485</v>
      </c>
      <c r="GP3" s="164"/>
      <c r="GQ3" s="164"/>
      <c r="GR3" s="187" t="s">
        <v>2486</v>
      </c>
      <c r="GS3" s="164"/>
      <c r="GT3" s="188"/>
      <c r="GU3" s="189" t="s">
        <v>2487</v>
      </c>
      <c r="GV3" s="188"/>
      <c r="GW3" s="188"/>
      <c r="GX3" s="189" t="s">
        <v>2488</v>
      </c>
      <c r="GY3" s="188"/>
      <c r="GZ3" s="188"/>
      <c r="HA3" s="189" t="s">
        <v>2489</v>
      </c>
      <c r="HB3" s="188"/>
      <c r="HC3" s="190"/>
      <c r="HD3" s="191" t="s">
        <v>2490</v>
      </c>
      <c r="HE3" s="190"/>
      <c r="HF3" s="795"/>
      <c r="HG3" s="191" t="s">
        <v>2491</v>
      </c>
      <c r="HH3" s="190"/>
      <c r="HI3" s="190"/>
      <c r="HJ3" s="796" t="s">
        <v>2492</v>
      </c>
      <c r="HK3" s="190"/>
      <c r="HL3" s="190"/>
      <c r="HM3" s="796" t="s">
        <v>2493</v>
      </c>
      <c r="HN3" s="190"/>
      <c r="HO3" s="192"/>
      <c r="HP3" s="193" t="s">
        <v>2494</v>
      </c>
      <c r="HQ3" s="192"/>
      <c r="HR3" s="192"/>
      <c r="HS3" s="193" t="s">
        <v>2495</v>
      </c>
      <c r="HT3" s="192"/>
      <c r="HU3" s="192"/>
      <c r="HV3" s="193" t="s">
        <v>2496</v>
      </c>
      <c r="HW3" s="192"/>
      <c r="HY3" s="688"/>
      <c r="HZ3" s="241"/>
      <c r="IA3" s="235"/>
      <c r="IB3" s="252" t="s">
        <v>2497</v>
      </c>
      <c r="IC3" s="235"/>
      <c r="ID3" s="242"/>
      <c r="IE3" s="688"/>
      <c r="IF3" s="241"/>
      <c r="IG3" s="235"/>
      <c r="IH3" s="252" t="s">
        <v>2497</v>
      </c>
      <c r="II3" s="235"/>
      <c r="IJ3" s="242"/>
      <c r="IK3" s="257" t="s">
        <v>2498</v>
      </c>
      <c r="IL3" s="258"/>
      <c r="IO3" s="241"/>
      <c r="IP3" s="235"/>
      <c r="IQ3" s="236" t="s">
        <v>2475</v>
      </c>
      <c r="IR3" s="235"/>
      <c r="IS3" s="242"/>
      <c r="IT3" s="241"/>
      <c r="IU3" s="235"/>
      <c r="IV3" s="236" t="s">
        <v>2475</v>
      </c>
      <c r="IW3" s="235"/>
      <c r="IX3" s="242"/>
      <c r="IY3" s="241"/>
      <c r="IZ3" s="235"/>
      <c r="JA3" s="243" t="s">
        <v>2468</v>
      </c>
      <c r="JB3" s="235"/>
      <c r="JC3" s="242"/>
      <c r="JD3" s="241"/>
      <c r="JE3" s="235"/>
      <c r="JF3" s="243" t="s">
        <v>2468</v>
      </c>
      <c r="JG3" s="235"/>
      <c r="JH3" s="242"/>
      <c r="JI3" s="241"/>
      <c r="JJ3" s="235"/>
      <c r="JK3" s="237" t="s">
        <v>2476</v>
      </c>
      <c r="JL3" s="235"/>
      <c r="JM3" s="242"/>
      <c r="JN3" s="241"/>
      <c r="JO3" s="235"/>
      <c r="JP3" s="237" t="s">
        <v>2476</v>
      </c>
      <c r="JQ3" s="235"/>
      <c r="JR3" s="242"/>
      <c r="JS3" s="241"/>
      <c r="JT3" s="235"/>
      <c r="JU3" s="182" t="s">
        <v>2477</v>
      </c>
      <c r="JV3" s="235"/>
      <c r="JW3" s="242"/>
      <c r="JX3" s="241"/>
      <c r="JY3" s="235"/>
      <c r="JZ3" s="182" t="s">
        <v>2477</v>
      </c>
      <c r="KA3" s="235"/>
      <c r="KB3" s="242"/>
      <c r="KD3" s="196" t="s">
        <v>2499</v>
      </c>
      <c r="KE3" s="211"/>
      <c r="KF3" s="196" t="s">
        <v>2500</v>
      </c>
      <c r="KG3" s="183"/>
      <c r="KH3" s="682"/>
      <c r="KI3" s="682"/>
      <c r="KJ3" s="682"/>
    </row>
    <row r="4" spans="1:327" ht="108" customHeight="1">
      <c r="A4" s="1" t="s">
        <v>2044</v>
      </c>
      <c r="B4" s="46" t="s">
        <v>2045</v>
      </c>
      <c r="C4" s="46" t="s">
        <v>2180</v>
      </c>
      <c r="D4" s="46" t="s">
        <v>2181</v>
      </c>
      <c r="E4" s="46" t="s">
        <v>2048</v>
      </c>
      <c r="F4" s="46" t="s">
        <v>2049</v>
      </c>
      <c r="G4" s="46" t="s">
        <v>2182</v>
      </c>
      <c r="H4" s="46" t="s">
        <v>2183</v>
      </c>
      <c r="I4" s="46" t="s">
        <v>2050</v>
      </c>
      <c r="J4" s="46" t="s">
        <v>2051</v>
      </c>
      <c r="K4" s="46" t="s">
        <v>2184</v>
      </c>
      <c r="L4" s="46" t="s">
        <v>2185</v>
      </c>
      <c r="M4" s="46" t="s">
        <v>2056</v>
      </c>
      <c r="N4" s="46" t="s">
        <v>1249</v>
      </c>
      <c r="O4" s="46" t="s">
        <v>1274</v>
      </c>
      <c r="P4" s="46" t="s">
        <v>2186</v>
      </c>
      <c r="Q4" s="48" t="s">
        <v>2501</v>
      </c>
      <c r="R4" s="46" t="s">
        <v>2502</v>
      </c>
      <c r="S4" s="801">
        <v>2000</v>
      </c>
      <c r="T4" s="801">
        <v>2005</v>
      </c>
      <c r="U4" s="801">
        <v>2010</v>
      </c>
      <c r="V4" s="801">
        <v>2015</v>
      </c>
      <c r="W4" s="801">
        <v>2016</v>
      </c>
      <c r="X4" s="801">
        <v>2017</v>
      </c>
      <c r="Y4" s="801">
        <v>2018</v>
      </c>
      <c r="Z4" s="801">
        <v>2019</v>
      </c>
      <c r="AA4" s="801">
        <v>2020</v>
      </c>
      <c r="AB4" s="801">
        <v>2021</v>
      </c>
      <c r="AC4" s="801">
        <v>2022</v>
      </c>
      <c r="AD4" s="801">
        <v>2023</v>
      </c>
      <c r="AE4" s="801">
        <v>2024</v>
      </c>
      <c r="AF4" s="801">
        <v>2025</v>
      </c>
      <c r="AG4" s="801">
        <v>2026</v>
      </c>
      <c r="AH4" s="801">
        <v>2027</v>
      </c>
      <c r="AI4" s="801">
        <v>2028</v>
      </c>
      <c r="AJ4" s="801">
        <v>2029</v>
      </c>
      <c r="AK4" s="801">
        <v>2030</v>
      </c>
      <c r="AL4" s="46" t="s">
        <v>2503</v>
      </c>
      <c r="AM4" s="46" t="s">
        <v>2504</v>
      </c>
      <c r="AN4" s="46" t="s">
        <v>2065</v>
      </c>
      <c r="AO4" s="109"/>
      <c r="AP4" s="63" t="s">
        <v>2505</v>
      </c>
      <c r="AQ4" s="63" t="s">
        <v>2506</v>
      </c>
      <c r="AR4" s="63" t="s">
        <v>2507</v>
      </c>
      <c r="AS4" s="63" t="s">
        <v>2508</v>
      </c>
      <c r="AT4" s="109"/>
      <c r="AU4" s="46" t="s">
        <v>2509</v>
      </c>
      <c r="AV4" s="46" t="s">
        <v>2510</v>
      </c>
      <c r="AW4" s="46" t="s">
        <v>2511</v>
      </c>
      <c r="AX4" s="46" t="s">
        <v>2512</v>
      </c>
      <c r="AY4" s="109"/>
      <c r="AZ4" s="72" t="s">
        <v>2475</v>
      </c>
      <c r="BA4" s="73" t="s">
        <v>2472</v>
      </c>
      <c r="BB4" s="74" t="s">
        <v>2476</v>
      </c>
      <c r="BC4" s="75" t="s">
        <v>2477</v>
      </c>
      <c r="BD4" s="823" t="s">
        <v>2513</v>
      </c>
      <c r="BE4" s="822" t="s">
        <v>2475</v>
      </c>
      <c r="BF4" s="77" t="s">
        <v>2472</v>
      </c>
      <c r="BG4" s="78" t="s">
        <v>2476</v>
      </c>
      <c r="BH4" s="79" t="s">
        <v>2477</v>
      </c>
      <c r="BI4" s="823" t="s">
        <v>2513</v>
      </c>
      <c r="BJ4" s="822" t="s">
        <v>2475</v>
      </c>
      <c r="BK4" s="77" t="s">
        <v>2472</v>
      </c>
      <c r="BL4" s="78" t="s">
        <v>2476</v>
      </c>
      <c r="BM4" s="79" t="s">
        <v>2477</v>
      </c>
      <c r="BN4" s="109"/>
      <c r="BO4" s="85" t="s">
        <v>2514</v>
      </c>
      <c r="BP4" s="51" t="s">
        <v>2515</v>
      </c>
      <c r="BQ4" s="51" t="s">
        <v>2516</v>
      </c>
      <c r="BR4" s="797" t="s">
        <v>2517</v>
      </c>
      <c r="BS4" s="85" t="s">
        <v>2514</v>
      </c>
      <c r="BT4" s="51" t="s">
        <v>2515</v>
      </c>
      <c r="BU4" s="51" t="s">
        <v>2516</v>
      </c>
      <c r="BV4" s="86" t="s">
        <v>2517</v>
      </c>
      <c r="BW4" s="92" t="s">
        <v>2514</v>
      </c>
      <c r="BX4" s="53" t="s">
        <v>2515</v>
      </c>
      <c r="BY4" s="93" t="s">
        <v>2516</v>
      </c>
      <c r="BZ4" s="92" t="s">
        <v>2514</v>
      </c>
      <c r="CA4" s="53" t="s">
        <v>2515</v>
      </c>
      <c r="CB4" s="93" t="s">
        <v>2516</v>
      </c>
      <c r="CC4" s="99" t="s">
        <v>2518</v>
      </c>
      <c r="CD4" s="57" t="s">
        <v>2519</v>
      </c>
      <c r="CE4" s="57" t="s">
        <v>2520</v>
      </c>
      <c r="CF4" s="100" t="s">
        <v>2521</v>
      </c>
      <c r="CG4" s="99" t="s">
        <v>2518</v>
      </c>
      <c r="CH4" s="57" t="s">
        <v>2519</v>
      </c>
      <c r="CI4" s="57" t="s">
        <v>2520</v>
      </c>
      <c r="CJ4" s="100" t="s">
        <v>2521</v>
      </c>
      <c r="CK4" s="106" t="s">
        <v>2518</v>
      </c>
      <c r="CL4" s="60" t="s">
        <v>2522</v>
      </c>
      <c r="CM4" s="107" t="s">
        <v>2523</v>
      </c>
      <c r="CN4" s="106" t="s">
        <v>2518</v>
      </c>
      <c r="CO4" s="60" t="s">
        <v>2522</v>
      </c>
      <c r="CP4" s="107" t="s">
        <v>2523</v>
      </c>
      <c r="CQ4" s="109"/>
      <c r="CR4" s="131" t="s">
        <v>2514</v>
      </c>
      <c r="CS4" s="132" t="s">
        <v>2515</v>
      </c>
      <c r="CT4" s="132" t="s">
        <v>2516</v>
      </c>
      <c r="CU4" s="133" t="s">
        <v>2517</v>
      </c>
      <c r="CV4" s="134" t="s">
        <v>2514</v>
      </c>
      <c r="CW4" s="135" t="s">
        <v>2515</v>
      </c>
      <c r="CX4" s="136" t="s">
        <v>2516</v>
      </c>
      <c r="CY4" s="137" t="s">
        <v>2518</v>
      </c>
      <c r="CZ4" s="138" t="s">
        <v>2519</v>
      </c>
      <c r="DA4" s="138" t="s">
        <v>2520</v>
      </c>
      <c r="DB4" s="139" t="s">
        <v>2521</v>
      </c>
      <c r="DC4" s="140" t="s">
        <v>2518</v>
      </c>
      <c r="DD4" s="60" t="s">
        <v>2522</v>
      </c>
      <c r="DE4" s="141" t="s">
        <v>2523</v>
      </c>
      <c r="DF4" s="143" t="s">
        <v>2524</v>
      </c>
      <c r="DG4" s="109"/>
      <c r="DH4" s="85" t="s">
        <v>2514</v>
      </c>
      <c r="DI4" s="51" t="s">
        <v>2515</v>
      </c>
      <c r="DJ4" s="51" t="s">
        <v>2516</v>
      </c>
      <c r="DK4" s="86" t="s">
        <v>2517</v>
      </c>
      <c r="DL4" s="116" t="s">
        <v>2525</v>
      </c>
      <c r="DM4" s="85" t="s">
        <v>2514</v>
      </c>
      <c r="DN4" s="51" t="s">
        <v>2515</v>
      </c>
      <c r="DO4" s="51" t="s">
        <v>2516</v>
      </c>
      <c r="DP4" s="86" t="s">
        <v>2517</v>
      </c>
      <c r="DQ4" s="116" t="s">
        <v>2526</v>
      </c>
      <c r="DR4" s="109"/>
      <c r="DS4" s="92" t="s">
        <v>2514</v>
      </c>
      <c r="DT4" s="53" t="s">
        <v>2515</v>
      </c>
      <c r="DU4" s="93" t="s">
        <v>2516</v>
      </c>
      <c r="DV4" s="117" t="s">
        <v>2527</v>
      </c>
      <c r="DW4" s="92" t="s">
        <v>2514</v>
      </c>
      <c r="DX4" s="53" t="s">
        <v>2515</v>
      </c>
      <c r="DY4" s="93" t="s">
        <v>2516</v>
      </c>
      <c r="DZ4" s="117" t="s">
        <v>2528</v>
      </c>
      <c r="EA4" s="109"/>
      <c r="EB4" s="99" t="s">
        <v>2518</v>
      </c>
      <c r="EC4" s="57" t="s">
        <v>2519</v>
      </c>
      <c r="ED4" s="57" t="s">
        <v>2520</v>
      </c>
      <c r="EE4" s="100" t="s">
        <v>2521</v>
      </c>
      <c r="EF4" s="118" t="s">
        <v>2529</v>
      </c>
      <c r="EG4" s="99" t="s">
        <v>2518</v>
      </c>
      <c r="EH4" s="57" t="s">
        <v>2519</v>
      </c>
      <c r="EI4" s="57" t="s">
        <v>2520</v>
      </c>
      <c r="EJ4" s="100" t="s">
        <v>2521</v>
      </c>
      <c r="EK4" s="118" t="s">
        <v>2530</v>
      </c>
      <c r="EL4" s="109"/>
      <c r="EM4" s="106" t="s">
        <v>2518</v>
      </c>
      <c r="EN4" s="60" t="s">
        <v>2519</v>
      </c>
      <c r="EO4" s="107" t="s">
        <v>2523</v>
      </c>
      <c r="EP4" s="119" t="s">
        <v>2531</v>
      </c>
      <c r="EQ4" s="106" t="s">
        <v>2518</v>
      </c>
      <c r="ER4" s="60" t="s">
        <v>2519</v>
      </c>
      <c r="ES4" s="107" t="s">
        <v>2523</v>
      </c>
      <c r="ET4" s="119" t="s">
        <v>2532</v>
      </c>
      <c r="EU4" s="109"/>
      <c r="EV4" s="169" t="s">
        <v>2533</v>
      </c>
      <c r="EW4" s="178" t="s">
        <v>2534</v>
      </c>
      <c r="EX4" s="201" t="s">
        <v>2535</v>
      </c>
      <c r="EY4" s="169" t="s">
        <v>140</v>
      </c>
      <c r="EZ4" s="178" t="s">
        <v>2536</v>
      </c>
      <c r="FA4" s="201" t="s">
        <v>2535</v>
      </c>
      <c r="FB4" s="169" t="s">
        <v>140</v>
      </c>
      <c r="FC4" s="170" t="s">
        <v>2536</v>
      </c>
      <c r="FD4" s="201" t="s">
        <v>2535</v>
      </c>
      <c r="FE4" s="169" t="s">
        <v>140</v>
      </c>
      <c r="FF4" s="170" t="s">
        <v>2536</v>
      </c>
      <c r="FG4" s="201" t="s">
        <v>2535</v>
      </c>
      <c r="FH4" s="169" t="s">
        <v>140</v>
      </c>
      <c r="FI4" s="170" t="s">
        <v>2536</v>
      </c>
      <c r="FJ4" s="201" t="s">
        <v>2535</v>
      </c>
      <c r="FK4" s="169" t="s">
        <v>140</v>
      </c>
      <c r="FL4" s="209" t="s">
        <v>2536</v>
      </c>
      <c r="FM4" s="109"/>
      <c r="FN4" s="201" t="s">
        <v>2537</v>
      </c>
      <c r="FO4" s="178" t="s">
        <v>2538</v>
      </c>
      <c r="FP4" s="185" t="s">
        <v>2539</v>
      </c>
      <c r="FQ4" s="206" t="s">
        <v>2540</v>
      </c>
      <c r="FR4" s="109"/>
      <c r="FS4" s="201" t="s">
        <v>2541</v>
      </c>
      <c r="FT4" s="204" t="s">
        <v>2542</v>
      </c>
      <c r="FU4" s="185" t="s">
        <v>2543</v>
      </c>
      <c r="FV4" s="185" t="s">
        <v>2544</v>
      </c>
      <c r="FW4" s="205" t="s">
        <v>2545</v>
      </c>
      <c r="FX4" s="194" t="s">
        <v>2544</v>
      </c>
      <c r="FY4" s="109"/>
      <c r="FZ4" s="256" t="s">
        <v>2546</v>
      </c>
      <c r="GA4" s="256" t="s">
        <v>2547</v>
      </c>
      <c r="GB4" s="256" t="s">
        <v>2548</v>
      </c>
      <c r="GC4" s="256" t="s">
        <v>2549</v>
      </c>
      <c r="GD4" s="256" t="s">
        <v>2550</v>
      </c>
      <c r="GE4" s="256" t="s">
        <v>2551</v>
      </c>
      <c r="GF4" s="256" t="s">
        <v>2552</v>
      </c>
      <c r="GG4" s="109"/>
      <c r="GH4" s="131" t="s">
        <v>2535</v>
      </c>
      <c r="GI4" s="169" t="s">
        <v>140</v>
      </c>
      <c r="GJ4" s="178" t="s">
        <v>2536</v>
      </c>
      <c r="GK4" s="131" t="s">
        <v>2535</v>
      </c>
      <c r="GL4" s="169" t="s">
        <v>140</v>
      </c>
      <c r="GM4" s="178" t="s">
        <v>2536</v>
      </c>
      <c r="GN4" s="131" t="s">
        <v>2535</v>
      </c>
      <c r="GO4" s="169" t="s">
        <v>140</v>
      </c>
      <c r="GP4" s="178" t="s">
        <v>2536</v>
      </c>
      <c r="GQ4" s="131" t="s">
        <v>2535</v>
      </c>
      <c r="GR4" s="169" t="s">
        <v>140</v>
      </c>
      <c r="GS4" s="178" t="s">
        <v>2536</v>
      </c>
      <c r="GT4" s="131" t="s">
        <v>2535</v>
      </c>
      <c r="GU4" s="169" t="s">
        <v>140</v>
      </c>
      <c r="GV4" s="178" t="s">
        <v>2536</v>
      </c>
      <c r="GW4" s="131" t="s">
        <v>2535</v>
      </c>
      <c r="GX4" s="169" t="s">
        <v>140</v>
      </c>
      <c r="GY4" s="178" t="s">
        <v>2536</v>
      </c>
      <c r="GZ4" s="131" t="s">
        <v>2535</v>
      </c>
      <c r="HA4" s="169" t="s">
        <v>140</v>
      </c>
      <c r="HB4" s="178" t="s">
        <v>2536</v>
      </c>
      <c r="HC4" s="131" t="s">
        <v>2535</v>
      </c>
      <c r="HD4" s="169" t="s">
        <v>140</v>
      </c>
      <c r="HE4" s="178" t="s">
        <v>2536</v>
      </c>
      <c r="HF4" s="131" t="s">
        <v>2535</v>
      </c>
      <c r="HG4" s="169" t="s">
        <v>140</v>
      </c>
      <c r="HH4" s="178" t="s">
        <v>2536</v>
      </c>
      <c r="HI4" s="131" t="s">
        <v>2535</v>
      </c>
      <c r="HJ4" s="169" t="s">
        <v>140</v>
      </c>
      <c r="HK4" s="178" t="s">
        <v>2536</v>
      </c>
      <c r="HL4" s="131" t="s">
        <v>2535</v>
      </c>
      <c r="HM4" s="169" t="s">
        <v>140</v>
      </c>
      <c r="HN4" s="178" t="s">
        <v>2536</v>
      </c>
      <c r="HO4" s="131" t="s">
        <v>2535</v>
      </c>
      <c r="HP4" s="169" t="s">
        <v>140</v>
      </c>
      <c r="HQ4" s="178" t="s">
        <v>2536</v>
      </c>
      <c r="HR4" s="131" t="s">
        <v>2535</v>
      </c>
      <c r="HS4" s="169" t="s">
        <v>140</v>
      </c>
      <c r="HT4" s="178" t="s">
        <v>2536</v>
      </c>
      <c r="HU4" s="131" t="s">
        <v>2535</v>
      </c>
      <c r="HV4" s="169" t="s">
        <v>140</v>
      </c>
      <c r="HW4" s="178" t="s">
        <v>2536</v>
      </c>
      <c r="HY4" s="253" t="s">
        <v>2553</v>
      </c>
      <c r="HZ4" s="234" t="s">
        <v>2554</v>
      </c>
      <c r="IA4" s="169" t="s">
        <v>2555</v>
      </c>
      <c r="IB4" s="184" t="s">
        <v>2194</v>
      </c>
      <c r="IC4" s="233" t="s">
        <v>2556</v>
      </c>
      <c r="ID4" s="232" t="s">
        <v>2557</v>
      </c>
      <c r="IE4" s="253" t="s">
        <v>2558</v>
      </c>
      <c r="IF4" s="234" t="s">
        <v>2554</v>
      </c>
      <c r="IG4" s="169" t="s">
        <v>2555</v>
      </c>
      <c r="IH4" s="184" t="s">
        <v>2194</v>
      </c>
      <c r="II4" s="233" t="s">
        <v>2556</v>
      </c>
      <c r="IJ4" s="232" t="s">
        <v>2557</v>
      </c>
      <c r="IK4" s="201" t="s">
        <v>2541</v>
      </c>
      <c r="IL4" s="201" t="s">
        <v>2559</v>
      </c>
      <c r="IM4" s="251" t="s">
        <v>2560</v>
      </c>
      <c r="IN4" s="109"/>
      <c r="IO4" s="234" t="s">
        <v>2554</v>
      </c>
      <c r="IP4" s="169" t="s">
        <v>2555</v>
      </c>
      <c r="IQ4" s="184" t="s">
        <v>2194</v>
      </c>
      <c r="IR4" s="233" t="s">
        <v>2556</v>
      </c>
      <c r="IS4" s="232" t="s">
        <v>2557</v>
      </c>
      <c r="IT4" s="234" t="s">
        <v>2554</v>
      </c>
      <c r="IU4" s="169" t="s">
        <v>2555</v>
      </c>
      <c r="IV4" s="184" t="s">
        <v>2194</v>
      </c>
      <c r="IW4" s="233" t="s">
        <v>2556</v>
      </c>
      <c r="IX4" s="232" t="s">
        <v>2557</v>
      </c>
      <c r="IY4" s="234" t="s">
        <v>2554</v>
      </c>
      <c r="IZ4" s="169" t="s">
        <v>2555</v>
      </c>
      <c r="JA4" s="184" t="s">
        <v>2194</v>
      </c>
      <c r="JB4" s="233" t="s">
        <v>2556</v>
      </c>
      <c r="JC4" s="232" t="s">
        <v>2557</v>
      </c>
      <c r="JD4" s="234" t="s">
        <v>2554</v>
      </c>
      <c r="JE4" s="169" t="s">
        <v>2555</v>
      </c>
      <c r="JF4" s="184" t="s">
        <v>2194</v>
      </c>
      <c r="JG4" s="233" t="s">
        <v>2556</v>
      </c>
      <c r="JH4" s="232" t="s">
        <v>2557</v>
      </c>
      <c r="JI4" s="234" t="s">
        <v>2554</v>
      </c>
      <c r="JJ4" s="169" t="s">
        <v>2555</v>
      </c>
      <c r="JK4" s="184" t="s">
        <v>2194</v>
      </c>
      <c r="JL4" s="233" t="s">
        <v>2556</v>
      </c>
      <c r="JM4" s="232" t="s">
        <v>2557</v>
      </c>
      <c r="JN4" s="234" t="s">
        <v>2554</v>
      </c>
      <c r="JO4" s="169" t="s">
        <v>2555</v>
      </c>
      <c r="JP4" s="184" t="s">
        <v>2194</v>
      </c>
      <c r="JQ4" s="233" t="s">
        <v>2556</v>
      </c>
      <c r="JR4" s="232" t="s">
        <v>2557</v>
      </c>
      <c r="JS4" s="234" t="s">
        <v>2554</v>
      </c>
      <c r="JT4" s="169" t="s">
        <v>2555</v>
      </c>
      <c r="JU4" s="184" t="s">
        <v>2194</v>
      </c>
      <c r="JV4" s="233" t="s">
        <v>2556</v>
      </c>
      <c r="JW4" s="232" t="s">
        <v>2557</v>
      </c>
      <c r="JX4" s="234" t="s">
        <v>2554</v>
      </c>
      <c r="JY4" s="169" t="s">
        <v>2555</v>
      </c>
      <c r="JZ4" s="184" t="s">
        <v>2194</v>
      </c>
      <c r="KA4" s="233" t="s">
        <v>2556</v>
      </c>
      <c r="KB4" s="232" t="s">
        <v>2557</v>
      </c>
      <c r="KC4" s="109"/>
      <c r="KD4" s="233" t="s">
        <v>2561</v>
      </c>
      <c r="KE4" s="232" t="s">
        <v>2562</v>
      </c>
      <c r="KF4" s="201" t="s">
        <v>2541</v>
      </c>
      <c r="KG4" s="201" t="s">
        <v>2559</v>
      </c>
      <c r="KH4" s="143" t="s">
        <v>2563</v>
      </c>
      <c r="KI4" s="143" t="s">
        <v>2564</v>
      </c>
      <c r="KJ4" s="143" t="s">
        <v>2565</v>
      </c>
    </row>
    <row r="5" spans="1:327" ht="8.1" customHeight="1">
      <c r="A5" s="829" t="s">
        <v>2090</v>
      </c>
      <c r="B5" s="829" t="s">
        <v>2090</v>
      </c>
      <c r="C5" s="829" t="s">
        <v>2090</v>
      </c>
      <c r="D5" s="829" t="s">
        <v>2090</v>
      </c>
      <c r="E5" s="829" t="s">
        <v>2090</v>
      </c>
      <c r="F5" s="829" t="s">
        <v>2090</v>
      </c>
      <c r="G5" s="829" t="s">
        <v>2090</v>
      </c>
      <c r="H5" s="829" t="s">
        <v>2090</v>
      </c>
      <c r="I5" s="829" t="s">
        <v>2090</v>
      </c>
      <c r="J5" s="829" t="s">
        <v>2090</v>
      </c>
      <c r="K5" s="829" t="s">
        <v>2090</v>
      </c>
      <c r="L5" s="829" t="s">
        <v>2090</v>
      </c>
      <c r="M5" s="829" t="s">
        <v>2090</v>
      </c>
      <c r="N5" s="829" t="s">
        <v>2090</v>
      </c>
      <c r="O5" s="829" t="s">
        <v>2090</v>
      </c>
      <c r="P5" s="829" t="s">
        <v>2090</v>
      </c>
      <c r="Q5" s="829" t="s">
        <v>2090</v>
      </c>
      <c r="R5" s="829" t="s">
        <v>2090</v>
      </c>
      <c r="S5" s="829" t="s">
        <v>2090</v>
      </c>
      <c r="T5" s="829" t="s">
        <v>2090</v>
      </c>
      <c r="U5" s="829" t="s">
        <v>2090</v>
      </c>
      <c r="V5" s="829" t="s">
        <v>2090</v>
      </c>
      <c r="W5" s="829" t="s">
        <v>2090</v>
      </c>
      <c r="X5" s="829" t="s">
        <v>2090</v>
      </c>
      <c r="Y5" s="829" t="s">
        <v>2090</v>
      </c>
      <c r="Z5" s="829" t="s">
        <v>2090</v>
      </c>
      <c r="AA5" s="829" t="s">
        <v>2090</v>
      </c>
      <c r="AB5" s="829" t="s">
        <v>2090</v>
      </c>
      <c r="AC5" s="829" t="s">
        <v>2090</v>
      </c>
      <c r="AD5" s="829" t="s">
        <v>2090</v>
      </c>
      <c r="AE5" s="829" t="s">
        <v>2090</v>
      </c>
      <c r="AF5" s="829" t="s">
        <v>2090</v>
      </c>
      <c r="AG5" s="829" t="s">
        <v>2090</v>
      </c>
      <c r="AH5" s="829" t="s">
        <v>2090</v>
      </c>
      <c r="AI5" s="829" t="s">
        <v>2090</v>
      </c>
      <c r="AJ5" s="829" t="s">
        <v>2090</v>
      </c>
      <c r="AK5" s="829" t="s">
        <v>2090</v>
      </c>
      <c r="AL5" s="829" t="s">
        <v>2090</v>
      </c>
      <c r="AM5" s="829" t="s">
        <v>2090</v>
      </c>
      <c r="AN5" s="829" t="s">
        <v>2090</v>
      </c>
      <c r="AO5" s="829"/>
      <c r="AP5" s="829" t="s">
        <v>2090</v>
      </c>
      <c r="AQ5" s="829" t="s">
        <v>2090</v>
      </c>
      <c r="AR5" s="829" t="s">
        <v>2090</v>
      </c>
      <c r="AS5" s="829" t="s">
        <v>2090</v>
      </c>
      <c r="AT5" s="109"/>
      <c r="AU5" s="829" t="s">
        <v>2090</v>
      </c>
      <c r="AV5" s="829" t="s">
        <v>2090</v>
      </c>
      <c r="AW5" s="829" t="s">
        <v>2090</v>
      </c>
      <c r="AX5" s="829" t="s">
        <v>2090</v>
      </c>
      <c r="AY5" s="109"/>
      <c r="AZ5" s="829" t="s">
        <v>2090</v>
      </c>
      <c r="BA5" s="829" t="s">
        <v>2090</v>
      </c>
      <c r="BB5" s="829" t="s">
        <v>2090</v>
      </c>
      <c r="BC5" s="829" t="s">
        <v>2090</v>
      </c>
      <c r="BD5" s="829"/>
      <c r="BE5" s="829" t="s">
        <v>2090</v>
      </c>
      <c r="BF5" s="829" t="s">
        <v>2090</v>
      </c>
      <c r="BG5" s="829" t="s">
        <v>2090</v>
      </c>
      <c r="BH5" s="829" t="s">
        <v>2090</v>
      </c>
      <c r="BI5" s="829"/>
      <c r="BJ5" s="829" t="s">
        <v>2090</v>
      </c>
      <c r="BK5" s="829" t="s">
        <v>2090</v>
      </c>
      <c r="BL5" s="829" t="s">
        <v>2090</v>
      </c>
      <c r="BM5" s="829" t="s">
        <v>2090</v>
      </c>
      <c r="BN5" s="109"/>
      <c r="BO5" s="829" t="s">
        <v>2090</v>
      </c>
      <c r="BP5" s="829" t="s">
        <v>2090</v>
      </c>
      <c r="BQ5" s="829" t="s">
        <v>2090</v>
      </c>
      <c r="BR5" s="829" t="s">
        <v>2090</v>
      </c>
      <c r="BS5" s="829" t="s">
        <v>2090</v>
      </c>
      <c r="BT5" s="829" t="s">
        <v>2090</v>
      </c>
      <c r="BU5" s="829" t="s">
        <v>2090</v>
      </c>
      <c r="BV5" s="829" t="s">
        <v>2090</v>
      </c>
      <c r="BW5" s="829" t="s">
        <v>2090</v>
      </c>
      <c r="BX5" s="829" t="s">
        <v>2090</v>
      </c>
      <c r="BY5" s="829" t="s">
        <v>2090</v>
      </c>
      <c r="BZ5" s="829" t="s">
        <v>2090</v>
      </c>
      <c r="CA5" s="829" t="s">
        <v>2090</v>
      </c>
      <c r="CB5" s="829" t="s">
        <v>2090</v>
      </c>
      <c r="CC5" s="829" t="s">
        <v>2090</v>
      </c>
      <c r="CD5" s="829" t="s">
        <v>2090</v>
      </c>
      <c r="CE5" s="829" t="s">
        <v>2090</v>
      </c>
      <c r="CF5" s="829" t="s">
        <v>2090</v>
      </c>
      <c r="CG5" s="829" t="s">
        <v>2090</v>
      </c>
      <c r="CH5" s="829" t="s">
        <v>2090</v>
      </c>
      <c r="CI5" s="829" t="s">
        <v>2090</v>
      </c>
      <c r="CJ5" s="829" t="s">
        <v>2090</v>
      </c>
      <c r="CK5" s="829" t="s">
        <v>2090</v>
      </c>
      <c r="CL5" s="829" t="s">
        <v>2090</v>
      </c>
      <c r="CM5" s="829" t="s">
        <v>2090</v>
      </c>
      <c r="CN5" s="829" t="s">
        <v>2090</v>
      </c>
      <c r="CO5" s="829" t="s">
        <v>2090</v>
      </c>
      <c r="CP5" s="829" t="s">
        <v>2090</v>
      </c>
      <c r="CQ5" s="109"/>
      <c r="CR5" s="829" t="s">
        <v>2090</v>
      </c>
      <c r="CS5" s="829" t="s">
        <v>2090</v>
      </c>
      <c r="CT5" s="829" t="s">
        <v>2090</v>
      </c>
      <c r="CU5" s="829" t="s">
        <v>2090</v>
      </c>
      <c r="CV5" s="829" t="s">
        <v>2090</v>
      </c>
      <c r="CW5" s="829" t="s">
        <v>2090</v>
      </c>
      <c r="CX5" s="829" t="s">
        <v>2090</v>
      </c>
      <c r="CY5" s="829" t="s">
        <v>2090</v>
      </c>
      <c r="CZ5" s="829" t="s">
        <v>2090</v>
      </c>
      <c r="DA5" s="829" t="s">
        <v>2090</v>
      </c>
      <c r="DB5" s="829" t="s">
        <v>2090</v>
      </c>
      <c r="DC5" s="829" t="s">
        <v>2090</v>
      </c>
      <c r="DD5" s="829" t="s">
        <v>2090</v>
      </c>
      <c r="DE5" s="829" t="s">
        <v>2090</v>
      </c>
      <c r="DF5" s="829" t="s">
        <v>2090</v>
      </c>
      <c r="DG5" s="109"/>
      <c r="DH5" s="829" t="s">
        <v>2090</v>
      </c>
      <c r="DI5" s="829" t="s">
        <v>2090</v>
      </c>
      <c r="DJ5" s="829" t="s">
        <v>2090</v>
      </c>
      <c r="DK5" s="829" t="s">
        <v>2090</v>
      </c>
      <c r="DL5" s="420" t="s">
        <v>2090</v>
      </c>
      <c r="DM5" s="829" t="s">
        <v>2090</v>
      </c>
      <c r="DN5" s="829" t="s">
        <v>2090</v>
      </c>
      <c r="DO5" s="829" t="s">
        <v>2090</v>
      </c>
      <c r="DP5" s="829" t="s">
        <v>2090</v>
      </c>
      <c r="DQ5" s="829" t="s">
        <v>2090</v>
      </c>
      <c r="DR5" s="109"/>
      <c r="DS5" s="829" t="s">
        <v>2090</v>
      </c>
      <c r="DT5" s="829" t="s">
        <v>2090</v>
      </c>
      <c r="DU5" s="829" t="s">
        <v>2090</v>
      </c>
      <c r="DV5" s="829" t="s">
        <v>2090</v>
      </c>
      <c r="DW5" s="829" t="s">
        <v>2090</v>
      </c>
      <c r="DX5" s="829" t="s">
        <v>2090</v>
      </c>
      <c r="DY5" s="829" t="s">
        <v>2090</v>
      </c>
      <c r="DZ5" s="829" t="s">
        <v>2090</v>
      </c>
      <c r="EA5" s="109"/>
      <c r="EB5" s="829" t="s">
        <v>2090</v>
      </c>
      <c r="EC5" s="829" t="s">
        <v>2090</v>
      </c>
      <c r="ED5" s="829" t="s">
        <v>2090</v>
      </c>
      <c r="EE5" s="829" t="s">
        <v>2090</v>
      </c>
      <c r="EF5" s="829" t="s">
        <v>2090</v>
      </c>
      <c r="EG5" s="829" t="s">
        <v>2090</v>
      </c>
      <c r="EH5" s="829" t="s">
        <v>2090</v>
      </c>
      <c r="EI5" s="829" t="s">
        <v>2090</v>
      </c>
      <c r="EJ5" s="829" t="s">
        <v>2090</v>
      </c>
      <c r="EK5" s="829" t="s">
        <v>2090</v>
      </c>
      <c r="EL5" s="109"/>
      <c r="EM5" s="829" t="s">
        <v>2090</v>
      </c>
      <c r="EN5" s="829" t="s">
        <v>2090</v>
      </c>
      <c r="EO5" s="829" t="s">
        <v>2090</v>
      </c>
      <c r="EP5" s="829" t="s">
        <v>2090</v>
      </c>
      <c r="EQ5" s="829" t="s">
        <v>2090</v>
      </c>
      <c r="ER5" s="829" t="s">
        <v>2090</v>
      </c>
      <c r="ES5" s="829" t="s">
        <v>2090</v>
      </c>
      <c r="ET5" s="829" t="s">
        <v>2090</v>
      </c>
      <c r="EU5" s="109"/>
      <c r="EV5" s="165" t="s">
        <v>2090</v>
      </c>
      <c r="EW5" s="165" t="s">
        <v>2090</v>
      </c>
      <c r="EX5" s="165" t="s">
        <v>2090</v>
      </c>
      <c r="EY5" s="165" t="s">
        <v>2090</v>
      </c>
      <c r="EZ5" s="165" t="s">
        <v>2090</v>
      </c>
      <c r="FA5" s="165" t="s">
        <v>2090</v>
      </c>
      <c r="FB5" s="165" t="s">
        <v>2090</v>
      </c>
      <c r="FC5" s="165" t="s">
        <v>2090</v>
      </c>
      <c r="FD5" s="165" t="s">
        <v>2090</v>
      </c>
      <c r="FE5" s="165" t="s">
        <v>2090</v>
      </c>
      <c r="FF5" s="165" t="s">
        <v>2090</v>
      </c>
      <c r="FG5" s="165" t="s">
        <v>2090</v>
      </c>
      <c r="FH5" s="165" t="s">
        <v>2090</v>
      </c>
      <c r="FI5" s="165" t="s">
        <v>2090</v>
      </c>
      <c r="FJ5" s="165" t="s">
        <v>2090</v>
      </c>
      <c r="FK5" s="165" t="s">
        <v>2090</v>
      </c>
      <c r="FL5" s="210" t="s">
        <v>2090</v>
      </c>
      <c r="FM5" s="109"/>
      <c r="FN5" s="165" t="s">
        <v>2090</v>
      </c>
      <c r="FO5" s="165" t="s">
        <v>2090</v>
      </c>
      <c r="FP5" s="165" t="s">
        <v>2090</v>
      </c>
      <c r="FQ5" s="165" t="s">
        <v>2090</v>
      </c>
      <c r="FR5" s="109"/>
      <c r="FS5" s="165" t="s">
        <v>2090</v>
      </c>
      <c r="FT5" s="165" t="s">
        <v>2090</v>
      </c>
      <c r="FU5" s="202" t="s">
        <v>2090</v>
      </c>
      <c r="FV5" s="203" t="s">
        <v>2090</v>
      </c>
      <c r="FW5" s="165" t="s">
        <v>2090</v>
      </c>
      <c r="FX5" s="165" t="s">
        <v>2090</v>
      </c>
      <c r="FY5" s="109"/>
      <c r="FZ5" s="165" t="s">
        <v>2090</v>
      </c>
      <c r="GA5" s="165" t="s">
        <v>2090</v>
      </c>
      <c r="GB5" s="165" t="s">
        <v>2090</v>
      </c>
      <c r="GC5" s="165" t="s">
        <v>2090</v>
      </c>
      <c r="GD5" s="165" t="s">
        <v>2090</v>
      </c>
      <c r="GE5" s="165" t="s">
        <v>2090</v>
      </c>
      <c r="GF5" s="165" t="s">
        <v>2090</v>
      </c>
      <c r="GG5" s="109"/>
      <c r="GH5" s="165" t="s">
        <v>2090</v>
      </c>
      <c r="GI5" s="165" t="s">
        <v>2090</v>
      </c>
      <c r="GJ5" s="165" t="s">
        <v>2090</v>
      </c>
      <c r="GK5" s="165" t="s">
        <v>2090</v>
      </c>
      <c r="GL5" s="165" t="s">
        <v>2090</v>
      </c>
      <c r="GM5" s="165" t="s">
        <v>2090</v>
      </c>
      <c r="GN5" s="165" t="s">
        <v>2090</v>
      </c>
      <c r="GO5" s="165" t="s">
        <v>2090</v>
      </c>
      <c r="GP5" s="165" t="s">
        <v>2090</v>
      </c>
      <c r="GQ5" s="165" t="s">
        <v>2090</v>
      </c>
      <c r="GR5" s="165" t="s">
        <v>2090</v>
      </c>
      <c r="GS5" s="165" t="s">
        <v>2090</v>
      </c>
      <c r="GT5" s="165" t="s">
        <v>2090</v>
      </c>
      <c r="GU5" s="165" t="s">
        <v>2090</v>
      </c>
      <c r="GV5" s="165" t="s">
        <v>2090</v>
      </c>
      <c r="GW5" s="165" t="s">
        <v>2090</v>
      </c>
      <c r="GX5" s="165" t="s">
        <v>2090</v>
      </c>
      <c r="GY5" s="165" t="s">
        <v>2090</v>
      </c>
      <c r="GZ5" s="165" t="s">
        <v>2090</v>
      </c>
      <c r="HA5" s="165" t="s">
        <v>2090</v>
      </c>
      <c r="HB5" s="165" t="s">
        <v>2090</v>
      </c>
      <c r="HC5" s="165" t="s">
        <v>2090</v>
      </c>
      <c r="HD5" s="165" t="s">
        <v>2090</v>
      </c>
      <c r="HE5" s="165" t="s">
        <v>2090</v>
      </c>
      <c r="HF5" s="165" t="s">
        <v>2090</v>
      </c>
      <c r="HG5" s="165" t="s">
        <v>2090</v>
      </c>
      <c r="HH5" s="165" t="s">
        <v>2090</v>
      </c>
      <c r="HI5" s="165" t="s">
        <v>2090</v>
      </c>
      <c r="HJ5" s="165" t="s">
        <v>2090</v>
      </c>
      <c r="HK5" s="165" t="s">
        <v>2090</v>
      </c>
      <c r="HL5" s="165" t="s">
        <v>2090</v>
      </c>
      <c r="HM5" s="165" t="s">
        <v>2090</v>
      </c>
      <c r="HN5" s="165" t="s">
        <v>2090</v>
      </c>
      <c r="HO5" s="165" t="s">
        <v>2090</v>
      </c>
      <c r="HP5" s="165" t="s">
        <v>2090</v>
      </c>
      <c r="HQ5" s="165" t="s">
        <v>2090</v>
      </c>
      <c r="HR5" s="165" t="s">
        <v>2090</v>
      </c>
      <c r="HS5" s="165" t="s">
        <v>2090</v>
      </c>
      <c r="HT5" s="165" t="s">
        <v>2090</v>
      </c>
      <c r="HU5" s="165" t="s">
        <v>2090</v>
      </c>
      <c r="HV5" s="165" t="s">
        <v>2090</v>
      </c>
      <c r="HW5" s="165" t="s">
        <v>2090</v>
      </c>
      <c r="HY5" s="165" t="s">
        <v>2090</v>
      </c>
      <c r="HZ5" s="165" t="s">
        <v>2090</v>
      </c>
      <c r="IA5" s="165" t="s">
        <v>2090</v>
      </c>
      <c r="IB5" s="165" t="s">
        <v>2090</v>
      </c>
      <c r="IC5" s="165" t="s">
        <v>2090</v>
      </c>
      <c r="ID5" s="165" t="s">
        <v>2090</v>
      </c>
      <c r="IE5" s="165" t="s">
        <v>2090</v>
      </c>
      <c r="IF5" s="165" t="s">
        <v>2090</v>
      </c>
      <c r="IG5" s="165" t="s">
        <v>2090</v>
      </c>
      <c r="IH5" s="165" t="s">
        <v>2090</v>
      </c>
      <c r="II5" s="165" t="s">
        <v>2090</v>
      </c>
      <c r="IJ5" s="165" t="s">
        <v>2090</v>
      </c>
      <c r="IK5" s="165" t="s">
        <v>2090</v>
      </c>
      <c r="IL5" s="165" t="s">
        <v>2090</v>
      </c>
      <c r="IM5" s="165" t="s">
        <v>2090</v>
      </c>
      <c r="IN5" s="109"/>
      <c r="IO5" s="165" t="s">
        <v>2090</v>
      </c>
      <c r="IP5" s="165" t="s">
        <v>2090</v>
      </c>
      <c r="IQ5" s="165" t="s">
        <v>2090</v>
      </c>
      <c r="IR5" s="165" t="s">
        <v>2090</v>
      </c>
      <c r="IS5" s="165" t="s">
        <v>2090</v>
      </c>
      <c r="IT5" s="165" t="s">
        <v>2090</v>
      </c>
      <c r="IU5" s="165" t="s">
        <v>2090</v>
      </c>
      <c r="IV5" s="165" t="s">
        <v>2090</v>
      </c>
      <c r="IW5" s="165" t="s">
        <v>2090</v>
      </c>
      <c r="IX5" s="165" t="s">
        <v>2090</v>
      </c>
      <c r="IY5" s="165" t="s">
        <v>2090</v>
      </c>
      <c r="IZ5" s="165" t="s">
        <v>2090</v>
      </c>
      <c r="JA5" s="165" t="s">
        <v>2090</v>
      </c>
      <c r="JB5" s="165" t="s">
        <v>2090</v>
      </c>
      <c r="JC5" s="165" t="s">
        <v>2090</v>
      </c>
      <c r="JD5" s="165" t="s">
        <v>2090</v>
      </c>
      <c r="JE5" s="165" t="s">
        <v>2090</v>
      </c>
      <c r="JF5" s="165" t="s">
        <v>2090</v>
      </c>
      <c r="JG5" s="165" t="s">
        <v>2090</v>
      </c>
      <c r="JH5" s="165" t="s">
        <v>2090</v>
      </c>
      <c r="JI5" s="165" t="s">
        <v>2090</v>
      </c>
      <c r="JJ5" s="165" t="s">
        <v>2090</v>
      </c>
      <c r="JK5" s="165" t="s">
        <v>2090</v>
      </c>
      <c r="JL5" s="165" t="s">
        <v>2090</v>
      </c>
      <c r="JM5" s="165" t="s">
        <v>2090</v>
      </c>
      <c r="JN5" s="165" t="s">
        <v>2090</v>
      </c>
      <c r="JO5" s="165" t="s">
        <v>2090</v>
      </c>
      <c r="JP5" s="165" t="s">
        <v>2090</v>
      </c>
      <c r="JQ5" s="165" t="s">
        <v>2090</v>
      </c>
      <c r="JR5" s="165" t="s">
        <v>2090</v>
      </c>
      <c r="JS5" s="165" t="s">
        <v>2090</v>
      </c>
      <c r="JT5" s="165" t="s">
        <v>2090</v>
      </c>
      <c r="JU5" s="165" t="s">
        <v>2090</v>
      </c>
      <c r="JV5" s="165" t="s">
        <v>2090</v>
      </c>
      <c r="JW5" s="165" t="s">
        <v>2090</v>
      </c>
      <c r="JX5" s="165" t="s">
        <v>2090</v>
      </c>
      <c r="JY5" s="165" t="s">
        <v>2090</v>
      </c>
      <c r="JZ5" s="165" t="s">
        <v>2090</v>
      </c>
      <c r="KA5" s="165" t="s">
        <v>2090</v>
      </c>
      <c r="KB5" s="165" t="s">
        <v>2090</v>
      </c>
      <c r="KC5" s="109"/>
      <c r="KD5" s="165" t="s">
        <v>2090</v>
      </c>
      <c r="KE5" s="165" t="s">
        <v>2090</v>
      </c>
      <c r="KF5" s="165" t="s">
        <v>2090</v>
      </c>
      <c r="KG5" s="165" t="s">
        <v>2090</v>
      </c>
      <c r="KH5" s="165" t="s">
        <v>2090</v>
      </c>
      <c r="KI5" s="165" t="s">
        <v>2090</v>
      </c>
      <c r="KJ5" s="165" t="s">
        <v>2090</v>
      </c>
    </row>
    <row r="6" spans="1:327" ht="46.5" customHeight="1">
      <c r="A6" s="262"/>
      <c r="B6" s="263" t="str">
        <f>'ANALYSE - ERP =&gt; SOUS-SEGMENT'!B6</f>
        <v>TOTAL</v>
      </c>
      <c r="C6" s="264"/>
      <c r="D6" s="228" t="str">
        <f>'ANALYSE - ERP =&gt; SOUS-SEGMENT'!D6</f>
        <v>TOTAL France</v>
      </c>
      <c r="E6" s="333"/>
      <c r="F6" s="333"/>
      <c r="G6" s="333"/>
      <c r="H6" s="333"/>
      <c r="I6" s="334"/>
      <c r="J6" s="334"/>
      <c r="K6" s="335"/>
      <c r="L6" s="335"/>
      <c r="M6" s="335"/>
      <c r="N6" s="335"/>
      <c r="O6" s="333"/>
      <c r="P6" s="334"/>
      <c r="Q6" s="227" t="str">
        <f>'ANALYSE - ERP =&gt; SOUS-SEGMENT'!Q6</f>
        <v>Total additionne
lignes = 1</v>
      </c>
      <c r="R6" s="225">
        <f>'ANALYSE - ERP =&gt; SOUS-SEGMENT'!R6</f>
        <v>2459.1609002073583</v>
      </c>
      <c r="S6" s="223">
        <f>'ANALYSE - ERP =&gt; SOUS-SEGMENT'!S6</f>
        <v>565272</v>
      </c>
      <c r="T6" s="223">
        <f>'ANALYSE - ERP =&gt; SOUS-SEGMENT'!T6</f>
        <v>581449</v>
      </c>
      <c r="U6" s="223">
        <f>'ANALYSE - ERP =&gt; SOUS-SEGMENT'!U6</f>
        <v>597349</v>
      </c>
      <c r="V6" s="223">
        <f>'ANALYSE - ERP =&gt; SOUS-SEGMENT'!V6</f>
        <v>614886</v>
      </c>
      <c r="W6" s="223">
        <f>'ANALYSE - ERP =&gt; SOUS-SEGMENT'!W6</f>
        <v>617900</v>
      </c>
      <c r="X6" s="223">
        <f>'ANALYSE - ERP =&gt; SOUS-SEGMENT'!X6</f>
        <v>620576</v>
      </c>
      <c r="Y6" s="223">
        <f>'ANALYSE - ERP =&gt; SOUS-SEGMENT'!Y6</f>
        <v>624783</v>
      </c>
      <c r="Z6" s="223">
        <f>'ANALYSE - ERP =&gt; SOUS-SEGMENT'!Z6</f>
        <v>628795</v>
      </c>
      <c r="AA6" s="223">
        <f>'ANALYSE - ERP =&gt; SOUS-SEGMENT'!AA6</f>
        <v>620409</v>
      </c>
      <c r="AB6" s="223">
        <f>'ANALYSE - ERP =&gt; SOUS-SEGMENT'!AB6</f>
        <v>620075</v>
      </c>
      <c r="AC6" s="223">
        <f>'ANALYSE - ERP =&gt; SOUS-SEGMENT'!AC6</f>
        <v>626768</v>
      </c>
      <c r="AD6" s="223">
        <f>'ANALYSE - ERP =&gt; SOUS-SEGMENT'!AD6</f>
        <v>631586</v>
      </c>
      <c r="AE6" s="223">
        <f>'ANALYSE - ERP =&gt; SOUS-SEGMENT'!AE6</f>
        <v>636661</v>
      </c>
      <c r="AF6" s="223">
        <f>'ANALYSE - ERP =&gt; SOUS-SEGMENT'!AF6</f>
        <v>638960</v>
      </c>
      <c r="AG6" s="223">
        <f>'ANALYSE - ERP =&gt; SOUS-SEGMENT'!AG6</f>
        <v>640919</v>
      </c>
      <c r="AH6" s="223">
        <f>'ANALYSE - ERP =&gt; SOUS-SEGMENT'!AH6</f>
        <v>643045</v>
      </c>
      <c r="AI6" s="223">
        <f>'ANALYSE - ERP =&gt; SOUS-SEGMENT'!AI6</f>
        <v>644975</v>
      </c>
      <c r="AJ6" s="223">
        <f>'ANALYSE - ERP =&gt; SOUS-SEGMENT'!AJ6</f>
        <v>646524</v>
      </c>
      <c r="AK6" s="223">
        <f>'ANALYSE - ERP =&gt; SOUS-SEGMENT'!AK6</f>
        <v>647940</v>
      </c>
      <c r="AL6" s="336"/>
      <c r="AM6" s="337"/>
      <c r="AN6" s="337"/>
      <c r="AO6" s="110"/>
      <c r="AP6" s="225">
        <f>'ANALYSE - ERP =&gt; SOUS-SEGMENT'!AP6</f>
        <v>153.69949262291891</v>
      </c>
      <c r="AQ6" s="338">
        <f>'ANALYSE - ERP =&gt; SOUS-SEGMENT'!AQ6</f>
        <v>135.28077297849782</v>
      </c>
      <c r="AR6" s="338">
        <f>'ANALYSE - ERP =&gt; SOUS-SEGMENT'!AR6</f>
        <v>18.072975795542515</v>
      </c>
      <c r="AS6" s="338">
        <f>'ANALYSE - ERP =&gt; SOUS-SEGMENT'!AS6</f>
        <v>5.5036250256318962</v>
      </c>
      <c r="AT6" s="110"/>
      <c r="AU6" s="224" t="str">
        <f>'ANALYSE - ERP =&gt; SOUS-SEGMENT'!AU6</f>
        <v>Moyenne pondérée / total France</v>
      </c>
      <c r="AV6" s="224" t="str">
        <f>'ANALYSE - ERP =&gt; SOUS-SEGMENT'!AV6</f>
        <v>Synthèse pondérée France : sanitaires collectifs &gt;5 pers., hors individuels sauf EHPAD/USLD.</v>
      </c>
      <c r="AW6" s="337" t="str">
        <f>'ANALYSE - ERP =&gt; SOUS-SEGMENT'!AW6</f>
        <v>Méthode : partir d’1 minimum sanitaire réaliste, ajusté selon taille, fréquentat° probable, puis appliquer 1 moyenne pondérée terrain (éviter qu’1 cas extrême biaise le sous-segment). Enfin, correct° selon intensité d’usage : passage court, usage quotidien, activité salissante, sport, soins, etc.</v>
      </c>
      <c r="AX6" s="224" t="str">
        <f>'ANALYSE - ERP =&gt; SOUS-SEGMENT'!AX6</f>
        <v>Références réglementaires, guides sectoriels et hypothèses de programmation utilisés pour le programme sanitaire unitaire.</v>
      </c>
      <c r="AY6" s="110"/>
      <c r="AZ6" s="946">
        <f>'ANALYSE - ERP =&gt; SOUS-SEGMENT'!AZ6</f>
        <v>9.9092185808592923</v>
      </c>
      <c r="BA6" s="946">
        <f>'ANALYSE - ERP =&gt; SOUS-SEGMENT'!BA6</f>
        <v>2.7928842439743184</v>
      </c>
      <c r="BB6" s="946">
        <f>'ANALYSE - ERP =&gt; SOUS-SEGMENT'!BB6</f>
        <v>1.6893713072187366</v>
      </c>
      <c r="BC6" s="946">
        <f>'ANALYSE - ERP =&gt; SOUS-SEGMENT'!BC6</f>
        <v>8.077889966444074</v>
      </c>
      <c r="BD6" s="223">
        <f>'ANALYSE - ERP =&gt; SOUS-SEGMENT'!BD6</f>
        <v>14135454.484999999</v>
      </c>
      <c r="BE6" s="223">
        <f>'ANALYSE - ERP =&gt; SOUS-SEGMENT'!BE6</f>
        <v>6233879.5</v>
      </c>
      <c r="BF6" s="223">
        <f>'ANALYSE - ERP =&gt; SOUS-SEGMENT'!BF6</f>
        <v>1757000.6849999998</v>
      </c>
      <c r="BG6" s="223">
        <f>'ANALYSE - ERP =&gt; SOUS-SEGMENT'!BG6</f>
        <v>1062781.8</v>
      </c>
      <c r="BH6" s="223">
        <f>'ANALYSE - ERP =&gt; SOUS-SEGMENT'!BH6</f>
        <v>5081792.5</v>
      </c>
      <c r="BI6" s="223">
        <f>'ANALYSE - ERP =&gt; SOUS-SEGMENT'!BI6</f>
        <v>14272045.810000001</v>
      </c>
      <c r="BJ6" s="223">
        <f>'ANALYSE - ERP =&gt; SOUS-SEGMENT'!BJ6</f>
        <v>6286026</v>
      </c>
      <c r="BK6" s="223">
        <f>'ANALYSE - ERP =&gt; SOUS-SEGMENT'!BK6</f>
        <v>1785842.06</v>
      </c>
      <c r="BL6" s="223">
        <f>'ANALYSE - ERP =&gt; SOUS-SEGMENT'!BL6</f>
        <v>1076541.75</v>
      </c>
      <c r="BM6" s="223">
        <f>'ANALYSE - ERP =&gt; SOUS-SEGMENT'!BM6</f>
        <v>5123636</v>
      </c>
      <c r="BN6" s="110"/>
      <c r="BO6" s="259">
        <f>'ANALYSE - ERP =&gt; SOUS-SEGMENT'!BO6</f>
        <v>0.30746742377679909</v>
      </c>
      <c r="BP6" s="260">
        <f>'ANALYSE - ERP =&gt; SOUS-SEGMENT'!BP6</f>
        <v>0.52656645191810336</v>
      </c>
      <c r="BQ6" s="260">
        <f>'ANALYSE - ERP =&gt; SOUS-SEGMENT'!BQ6</f>
        <v>0.10216087429986413</v>
      </c>
      <c r="BR6" s="710">
        <f>'ANALYSE - ERP =&gt; SOUS-SEGMENT'!BR6</f>
        <v>6.380525000523353E-2</v>
      </c>
      <c r="BS6" s="260">
        <f>'ANALYSE - ERP =&gt; SOUS-SEGMENT'!BS6</f>
        <v>0.27640190320561836</v>
      </c>
      <c r="BT6" s="260">
        <f>'ANALYSE - ERP =&gt; SOUS-SEGMENT'!BT6</f>
        <v>0.5319423909477945</v>
      </c>
      <c r="BU6" s="260">
        <f>'ANALYSE - ERP =&gt; SOUS-SEGMENT'!BU6</f>
        <v>0.13403929446044288</v>
      </c>
      <c r="BV6" s="710">
        <f>'ANALYSE - ERP =&gt; SOUS-SEGMENT'!BV6</f>
        <v>5.7616411386144421E-2</v>
      </c>
      <c r="BW6" s="261">
        <f>'ANALYSE - ERP =&gt; SOUS-SEGMENT'!BW6</f>
        <v>0.41111159839986056</v>
      </c>
      <c r="BX6" s="261">
        <f>'ANALYSE - ERP =&gt; SOUS-SEGMENT'!BX6</f>
        <v>0.52369723065873486</v>
      </c>
      <c r="BY6" s="717">
        <f>'ANALYSE - ERP =&gt; SOUS-SEGMENT'!BY6</f>
        <v>6.51911709414046E-2</v>
      </c>
      <c r="BZ6" s="261">
        <f>'ANALYSE - ERP =&gt; SOUS-SEGMENT'!BZ6</f>
        <v>0.36880188609736297</v>
      </c>
      <c r="CA6" s="261">
        <f>'ANALYSE - ERP =&gt; SOUS-SEGMENT'!CA6</f>
        <v>0.54850934286988395</v>
      </c>
      <c r="CB6" s="717">
        <f>'ANALYSE - ERP =&gt; SOUS-SEGMENT'!CB6</f>
        <v>8.2688771032753031E-2</v>
      </c>
      <c r="CC6" s="260">
        <f>'ANALYSE - ERP =&gt; SOUS-SEGMENT'!CC6</f>
        <v>9.7009137717638749E-2</v>
      </c>
      <c r="CD6" s="260">
        <f>'ANALYSE - ERP =&gt; SOUS-SEGMENT'!CD6</f>
        <v>0.55065927832034756</v>
      </c>
      <c r="CE6" s="260">
        <f>'ANALYSE - ERP =&gt; SOUS-SEGMENT'!CE6</f>
        <v>0.1291863804969185</v>
      </c>
      <c r="CF6" s="710">
        <f>'ANALYSE - ERP =&gt; SOUS-SEGMENT'!CF6</f>
        <v>0.22314520346509509</v>
      </c>
      <c r="CG6" s="260">
        <f>'ANALYSE - ERP =&gt; SOUS-SEGMENT'!CG6</f>
        <v>7.8718722706295388E-2</v>
      </c>
      <c r="CH6" s="260">
        <f>'ANALYSE - ERP =&gt; SOUS-SEGMENT'!CH6</f>
        <v>0.54543406235754455</v>
      </c>
      <c r="CI6" s="260">
        <f>'ANALYSE - ERP =&gt; SOUS-SEGMENT'!CI6</f>
        <v>0.15522352012822532</v>
      </c>
      <c r="CJ6" s="710">
        <f>'ANALYSE - ERP =&gt; SOUS-SEGMENT'!CJ6</f>
        <v>0.22062369480793478</v>
      </c>
      <c r="CK6" s="231">
        <f>'ANALYSE - ERP =&gt; SOUS-SEGMENT'!CK6</f>
        <v>0.56753679238182209</v>
      </c>
      <c r="CL6" s="231">
        <f>'ANALYSE - ERP =&gt; SOUS-SEGMENT'!CL6</f>
        <v>0.33111744527152587</v>
      </c>
      <c r="CM6" s="718">
        <f>'ANALYSE - ERP =&gt; SOUS-SEGMENT'!CM6</f>
        <v>0.1013457623466523</v>
      </c>
      <c r="CN6" s="231">
        <f>'ANALYSE - ERP =&gt; SOUS-SEGMENT'!CN6</f>
        <v>0.488089050432154</v>
      </c>
      <c r="CO6" s="231">
        <f>'ANALYSE - ERP =&gt; SOUS-SEGMENT'!CO6</f>
        <v>0.36684788302681925</v>
      </c>
      <c r="CP6" s="718">
        <f>'ANALYSE - ERP =&gt; SOUS-SEGMENT'!CP6</f>
        <v>0.14506306654102674</v>
      </c>
      <c r="CQ6" s="110"/>
      <c r="CR6" s="857">
        <f>'ANALYSE - ERP =&gt; SOUS-SEGMENT'!CR6</f>
        <v>12.451217802634448</v>
      </c>
      <c r="CS6" s="858">
        <f>'ANALYSE - ERP =&gt; SOUS-SEGMENT'!CS6</f>
        <v>12.370575213587379</v>
      </c>
      <c r="CT6" s="858">
        <f>'ANALYSE - ERP =&gt; SOUS-SEGMENT'!CT6</f>
        <v>9.0777438994664639</v>
      </c>
      <c r="CU6" s="859">
        <f>'ANALYSE - ERP =&gt; SOUS-SEGMENT'!CU6</f>
        <v>10.919469652799139</v>
      </c>
      <c r="CV6" s="858">
        <f>'ANALYSE - ERP =&gt; SOUS-SEGMENT'!CV6</f>
        <v>11.159253328409998</v>
      </c>
      <c r="CW6" s="858">
        <f>'ANALYSE - ERP =&gt; SOUS-SEGMENT'!CW6</f>
        <v>9.6708083142757371</v>
      </c>
      <c r="CX6" s="858">
        <f>'ANALYSE - ERP =&gt; SOUS-SEGMENT'!CX6</f>
        <v>8.1136961125134786</v>
      </c>
      <c r="CY6" s="857">
        <f>'ANALYSE - ERP =&gt; SOUS-SEGMENT'!CY6</f>
        <v>10.234244289160539</v>
      </c>
      <c r="CZ6" s="858">
        <f>'ANALYSE - ERP =&gt; SOUS-SEGMENT'!CZ6</f>
        <v>12.081781451288995</v>
      </c>
      <c r="DA6" s="858">
        <f>'ANALYSE - ERP =&gt; SOUS-SEGMENT'!DA6</f>
        <v>8.4232915040089491</v>
      </c>
      <c r="DB6" s="859">
        <f>'ANALYSE - ERP =&gt; SOUS-SEGMENT'!DB6</f>
        <v>10.014847434638076</v>
      </c>
      <c r="DC6" s="857">
        <f>'ANALYSE - ERP =&gt; SOUS-SEGMENT'!DC6</f>
        <v>12.484874092848468</v>
      </c>
      <c r="DD6" s="858">
        <f>'ANALYSE - ERP =&gt; SOUS-SEGMENT'!DD6</f>
        <v>12.506452490416443</v>
      </c>
      <c r="DE6" s="859">
        <f>'ANALYSE - ERP =&gt; SOUS-SEGMENT'!DE6</f>
        <v>9.1471230783416146</v>
      </c>
      <c r="DF6" s="608" t="str">
        <f>'ANALYSE - ERP =&gt; SOUS-SEGMENT'!DF6</f>
        <v>La durée de vie réelle dépend surtout de l’usage, de la maintenance, du vandalisme et du mode de rénovation, plus que de la durée théorique fabricant. Plus courte dans les sites à fort trafic ou à fortes contraintes d’hygiène, plus longue dans les environnements plus calmes. Les équipements mécaniques robustes tiennent souvent bien dans les usages intensifs, tandis que les solutions électroniques peuvent être renouvelées plus tôt pour raisons de capteurs, batteries, électrovannes ou modernisation. Part importante des remplacements se fait par lots ou lors de rénovations, pas seulement à la panne.</v>
      </c>
      <c r="DG6" s="110"/>
      <c r="DH6" s="223">
        <f>'ANALYSE - ERP =&gt; SOUS-SEGMENT'!DH6</f>
        <v>1916714.8700000003</v>
      </c>
      <c r="DI6" s="223">
        <f>'ANALYSE - ERP =&gt; SOUS-SEGMENT'!DI6</f>
        <v>3282551.81</v>
      </c>
      <c r="DJ6" s="223">
        <f>'ANALYSE - ERP =&gt; SOUS-SEGMENT'!DJ6</f>
        <v>636858.57999999984</v>
      </c>
      <c r="DK6" s="223">
        <f>'ANALYSE - ERP =&gt; SOUS-SEGMENT'!DK6</f>
        <v>397754.24000000017</v>
      </c>
      <c r="DL6" s="339" t="str">
        <f>'ANALYSE - ERP =&gt; SOUS-SEGMENT'!DL6</f>
        <v>La temporisation mécanique reste structurante dans les parcs intensifs ; la bascule 2025→2030 se fait surtout au profit de l'électronique sur les rénovations lourdes et les bâtiments tertiaires/publics.</v>
      </c>
      <c r="DM6" s="223">
        <f>'ANALYSE - ERP =&gt; SOUS-SEGMENT'!DM6</f>
        <v>1737469.5500000003</v>
      </c>
      <c r="DN6" s="223">
        <f>'ANALYSE - ERP =&gt; SOUS-SEGMENT'!DN6</f>
        <v>3343803.7000000007</v>
      </c>
      <c r="DO6" s="223">
        <f>'ANALYSE - ERP =&gt; SOUS-SEGMENT'!DO6</f>
        <v>842574.48999999987</v>
      </c>
      <c r="DP6" s="223">
        <f>'ANALYSE - ERP =&gt; SOUS-SEGMENT'!DP6</f>
        <v>362178.25999999989</v>
      </c>
      <c r="DQ6" s="340" t="str">
        <f>'ANALYSE - ERP =&gt; SOUS-SEGMENT'!DQ6</f>
        <v>Dominant, le mitigeur recule, à chaque rénovation prévue et en neuf. Le tempo méca. résiste bien (vs. électro=&gt; budget, installat°, entretien), mais électronique remplace en grande majorité le mitigeur (à nuancer en fonction du type d'ERP).</v>
      </c>
      <c r="DR6" s="110"/>
      <c r="DS6" s="223">
        <f>'ANALYSE - ERP =&gt; SOUS-SEGMENT'!DS6</f>
        <v>722323.35999999987</v>
      </c>
      <c r="DT6" s="223">
        <f>'ANALYSE - ERP =&gt; SOUS-SEGMENT'!DT6</f>
        <v>920136.39300000004</v>
      </c>
      <c r="DU6" s="223">
        <f>'ANALYSE - ERP =&gt; SOUS-SEGMENT'!DU6</f>
        <v>114540.93199999997</v>
      </c>
      <c r="DV6" s="340" t="str">
        <f>'ANALYSE - ERP =&gt; SOUS-SEGMENT'!DV6</f>
        <v xml:space="preserve">Parc dominé par le tempo. mécanique et distance en nombre les mitigeurs. Electronique 5 à 6 fois moins représenté (que mécanique) =&gt; usage plus long, détection moins fiable que lavabo, moins de confort thermique potentiel. </v>
      </c>
      <c r="DW6" s="223">
        <f>'ANALYSE - ERP =&gt; SOUS-SEGMENT'!DW6</f>
        <v>658621.92000000004</v>
      </c>
      <c r="DX6" s="223">
        <f>'ANALYSE - ERP =&gt; SOUS-SEGMENT'!DX6</f>
        <v>979551.05479999981</v>
      </c>
      <c r="DY6" s="223">
        <f>'ANALYSE - ERP =&gt; SOUS-SEGMENT'!DY6</f>
        <v>147669.0852</v>
      </c>
      <c r="DZ6" s="340" t="str">
        <f>'ANALYSE - ERP =&gt; SOUS-SEGMENT'!DZ6</f>
        <v>Hausse 'électronique plus graduelle (qu'en lavabo) et variable selon ERP (exemple : plus forte sur tertiaire, commerce, que sur univers carcéral).</v>
      </c>
      <c r="EA6" s="110"/>
      <c r="EB6" s="223">
        <f>'ANALYSE - ERP =&gt; SOUS-SEGMENT'!EB6</f>
        <v>103099.546</v>
      </c>
      <c r="EC6" s="223">
        <f>'ANALYSE - ERP =&gt; SOUS-SEGMENT'!EC6</f>
        <v>585230.65899999999</v>
      </c>
      <c r="ED6" s="223">
        <f>'ANALYSE - ERP =&gt; SOUS-SEGMENT'!ED6</f>
        <v>137296.93399999995</v>
      </c>
      <c r="EE6" s="223">
        <f>'ANALYSE - ERP =&gt; SOUS-SEGMENT'!EE6</f>
        <v>237154.66099999999</v>
      </c>
      <c r="EF6" s="340" t="str">
        <f>'ANALYSE - ERP =&gt; SOUS-SEGMENT'!EF6</f>
        <v>Parc dominé par tempo méca : robustesse, simplicité, adaptation aux usages intensifs. Electronique progresse mais reste minoritaire, freinée par contraintes maintenance/coût.</v>
      </c>
      <c r="EG6" s="223">
        <f>'ANALYSE - ERP =&gt; SOUS-SEGMENT'!EG6</f>
        <v>84743.991499999975</v>
      </c>
      <c r="EH6" s="223">
        <f>'ANALYSE - ERP =&gt; SOUS-SEGMENT'!EH6</f>
        <v>587182.54000000015</v>
      </c>
      <c r="EI6" s="223">
        <f>'ANALYSE - ERP =&gt; SOUS-SEGMENT'!EI6</f>
        <v>167104.59999999992</v>
      </c>
      <c r="EJ6" s="223">
        <f>'ANALYSE - ERP =&gt; SOUS-SEGMENT'!EJ6</f>
        <v>237510.61850000004</v>
      </c>
      <c r="EK6" s="340" t="str">
        <f>'ANALYSE - ERP =&gt; SOUS-SEGMENT'!EK6</f>
        <v>Part temporisé électro. augmente légèrement =&gt; enjeux hygiène sans contact + maîtrise de conso. eau. Mécanique recule légèrement mais reste majoritaire =&gt; fiabilité en usage intensif.</v>
      </c>
      <c r="EL6" s="110"/>
      <c r="EM6" s="223">
        <f>'ANALYSE - ERP =&gt; SOUS-SEGMENT'!EM6</f>
        <v>2884104.2150000008</v>
      </c>
      <c r="EN6" s="223">
        <f>'ANALYSE - ERP =&gt; SOUS-SEGMENT'!EN6</f>
        <v>1682670.1500000006</v>
      </c>
      <c r="EO6" s="223">
        <f>'ANALYSE - ERP =&gt; SOUS-SEGMENT'!EO6</f>
        <v>515018.13500000007</v>
      </c>
      <c r="EP6" s="340" t="str">
        <f>'ANALYSE - ERP =&gt; SOUS-SEGMENT'!EP6</f>
        <v>Parc WC repose surtout sur systèmes gravitaires, mécaniques, robustes, économiques, faciles à maintenir. Electronique secondaire mais présent dans lieux premium ou à forte exigence sanitaire.</v>
      </c>
      <c r="EQ6" s="223">
        <f>'ANALYSE - ERP =&gt; SOUS-SEGMENT'!EQ6</f>
        <v>2500790.63</v>
      </c>
      <c r="ER6" s="223">
        <f>'ANALYSE - ERP =&gt; SOUS-SEGMENT'!ER6</f>
        <v>1879595.02</v>
      </c>
      <c r="ES6" s="223">
        <f>'ANALYSE - ERP =&gt; SOUS-SEGMENT'!ES6</f>
        <v>743250.35000000009</v>
      </c>
      <c r="ET6" s="340" t="str">
        <f>'ANALYSE - ERP =&gt; SOUS-SEGMENT'!ET6</f>
        <v>Electronique gagne du terrain, surtout sur ERP récents-rénovés =&gt; exigences hygiène + automatisation =&gt; Progression faible : solutions méca conservent avantage coût/fiabilité.</v>
      </c>
      <c r="EU6" s="110"/>
      <c r="EV6" s="744">
        <f>'ANALYSE - ERP =&gt; SOUS-SEGMENT'!EV6</f>
        <v>0.79649155300432295</v>
      </c>
      <c r="EW6" s="744">
        <f>'ANALYSE - ERP =&gt; SOUS-SEGMENT'!EW6</f>
        <v>0.20350844699567697</v>
      </c>
      <c r="EX6" s="221">
        <f>'ANALYSE - ERP =&gt; SOUS-SEGMENT'!EX6</f>
        <v>5836549.8949145898</v>
      </c>
      <c r="EY6" s="221">
        <f>'ANALYSE - ERP =&gt; SOUS-SEGMENT'!EY6</f>
        <v>4648762.6899877395</v>
      </c>
      <c r="EZ6" s="221">
        <f>'ANALYSE - ERP =&gt; SOUS-SEGMENT'!EZ6</f>
        <v>1187787.2049268498</v>
      </c>
      <c r="FA6" s="222">
        <f>'ANALYSE - ERP =&gt; SOUS-SEGMENT'!FA6</f>
        <v>2513612.9974398063</v>
      </c>
      <c r="FB6" s="222">
        <f>'ANALYSE - ERP =&gt; SOUS-SEGMENT'!FB6</f>
        <v>1999994.0847848034</v>
      </c>
      <c r="FC6" s="222">
        <f>'ANALYSE - ERP =&gt; SOUS-SEGMENT'!FC6</f>
        <v>513618.91265499982</v>
      </c>
      <c r="FD6" s="222">
        <f>'ANALYSE - ERP =&gt; SOUS-SEGMENT'!FD6</f>
        <v>864298.25191215402</v>
      </c>
      <c r="FE6" s="222">
        <f>'ANALYSE - ERP =&gt; SOUS-SEGMENT'!FE6</f>
        <v>699040.64594030427</v>
      </c>
      <c r="FF6" s="222">
        <f>'ANALYSE - ERP =&gt; SOUS-SEGMENT'!FF6</f>
        <v>165257.60597184999</v>
      </c>
      <c r="FG6" s="222">
        <f>'ANALYSE - ERP =&gt; SOUS-SEGMENT'!FG6</f>
        <v>452474.41720089992</v>
      </c>
      <c r="FH6" s="222">
        <f>'ANALYSE - ERP =&gt; SOUS-SEGMENT'!FH6</f>
        <v>361251.34048089996</v>
      </c>
      <c r="FI6" s="222">
        <f>'ANALYSE - ERP =&gt; SOUS-SEGMENT'!FI6</f>
        <v>91223.076720000026</v>
      </c>
      <c r="FJ6" s="222">
        <f>'ANALYSE - ERP =&gt; SOUS-SEGMENT'!FJ6</f>
        <v>2006164.2283617323</v>
      </c>
      <c r="FK6" s="222">
        <f>'ANALYSE - ERP =&gt; SOUS-SEGMENT'!FK6</f>
        <v>1588476.6187817315</v>
      </c>
      <c r="FL6" s="222">
        <f>'ANALYSE - ERP =&gt; SOUS-SEGMENT'!FL6</f>
        <v>417687.60957999981</v>
      </c>
      <c r="FM6" s="110"/>
      <c r="FN6" s="341" t="str">
        <f>'ANALYSE - ERP =&gt; SOUS-SEGMENT'!FN6</f>
        <v>Agrégat Pondéré</v>
      </c>
      <c r="FO6" s="770">
        <f>'ANALYSE - ERP =&gt; SOUS-SEGMENT'!FO6</f>
        <v>6.0675716333995135E-2</v>
      </c>
      <c r="FP6" s="746">
        <f>'ANALYSE - ERP =&gt; SOUS-SEGMENT'!FP6</f>
        <v>0.82880686500852829</v>
      </c>
      <c r="FQ6" s="342" t="str">
        <f>'ANALYSE - ERP =&gt; SOUS-SEGMENT'!FQ6</f>
        <v>Taux moyen pondéré France de matérialisation des travaux sur 2026-2030.</v>
      </c>
      <c r="FR6" s="110"/>
      <c r="FS6" s="220">
        <f>'ANALYSE - ERP =&gt; SOUS-SEGMENT'!FS6</f>
        <v>3.19</v>
      </c>
      <c r="FT6" s="220" t="str">
        <f>'ANALYSE - ERP =&gt; SOUS-SEGMENT'!FT6</f>
        <v>-</v>
      </c>
      <c r="FU6" s="220">
        <f>'ANALYSE - ERP =&gt; SOUS-SEGMENT'!FU6</f>
        <v>3.97</v>
      </c>
      <c r="FV6" s="220" t="str">
        <f>'ANALYSE - ERP =&gt; SOUS-SEGMENT'!FV6</f>
        <v>-</v>
      </c>
      <c r="FW6" s="220">
        <f>'ANALYSE - ERP =&gt; SOUS-SEGMENT'!FW6</f>
        <v>2.2400000000000002</v>
      </c>
      <c r="FX6" s="220" t="str">
        <f>'ANALYSE - ERP =&gt; SOUS-SEGMENT'!FX6</f>
        <v>-</v>
      </c>
      <c r="FY6" s="110"/>
      <c r="FZ6" s="343" t="str">
        <f>'ANALYSE - ERP =&gt; SOUS-SEGMENT'!FZ6</f>
        <v>La rénovation domine et reste plus résiliente que le neuf, dépendant moins de créations nettes d’établissements que de cycles de remplacement incompressibles, de remises à niveau d’hygiène/usage et de travaux diffus sur un parc installé très vaste et largement assujetti à des cycles de remplacement / mise à niveau. Sous-segments phares =&gt; Restaurants, EHPAD, Bureaux &gt;50 pers., Écoles primaires, Gymnases, Salles multisports et Mairies.</v>
      </c>
      <c r="GA6" s="343" t="str">
        <f>'ANALYSE - ERP =&gt; SOUS-SEGMENT'!GA6</f>
        <v>Neuf plus sélectif, dépendant des cycles économiques, porté par créations d’établissements + programmes publics-privés (santé, sport, France services, industrie, carcéral, aéroports). Rythme plus volatil, concentré sur  projets structurants. Sous-segments phares en neuf =&gt; Bureaux, EHPAD, Hôtels, Enseignement supérieur, Santé, Equipements sportifs.</v>
      </c>
      <c r="GB6" s="343" t="str">
        <f>'ANALYSE - ERP =&gt; SOUS-SEGMENT'!GB6</f>
        <v>Fonds vert / EduRénov ; Modernisation Hôpitaux (Ségur phase 2), Plan CNSA (réhab. EHPAD ; Normes accessibilité (Ad’AP)), Réno 5000 équipements sportifs (JO héritage) ; Loi de Programmation Militaire ; Transformation tertiaire ESG, France services.</v>
      </c>
      <c r="GC6" s="343" t="str">
        <f>'ANALYSE - ERP =&gt; SOUS-SEGMENT'!GC6</f>
        <v>Prison : plan 15 000 places, Grands projets touristiques (resorts, parcs), Nouveaux hôpitaux + CHU (reconstructions), Cliniques privées + Pôles santé, Maisons de santé pluriprofessionnelles, Campus universitaires, Learning centers, Nouveaux terminaux aéroport, Logistique, entrepôts.</v>
      </c>
      <c r="GD6" s="343" t="str">
        <f>'ANALYSE - ERP =&gt; SOUS-SEGMENT'!GD6</f>
        <v>Soutenue par décret Éco Énergie Tertiaire (EET) + Age avancé du parc + Logiques d’interventions par lots (sanitaires dans projets + larges : énergie, accessibilité, mise normes). Socle Investissements publics stable + Obligations réglementaires progressives =&gt; Marché résilient, diffus, peu dépendant de cycles économiques courts</v>
      </c>
      <c r="GE6" s="343" t="str">
        <f>'ANALYSE - ERP =&gt; SOUS-SEGMENT'!GE6</f>
        <v>Dynamique positive, concentrée sur filières motrices (santé, enseignement sup, segments tertiaires). Forte dépendance : arbitrage budget public, décision invest. privé. Sensible =&gt; cycles éco, condit° financement, délais réalisat°. Ecart fréquent intentions vs. livraisons réelles =&gt; croissance + volatile - homogène, ciblée géographiquement</v>
      </c>
      <c r="GF6" s="343" t="str">
        <f>'ANALYSE - ERP =&gt; SOUS-SEGMENT'!GF6</f>
        <v>https://www.ecologie.gouv.fr/eco-energie-tertiaire-eet
https://www.info.gouv.fr/actualite/segur-de-la-sante-de-nouveaux-investissements-pour-l-hopital
https://www.cnsa.fr/budget-et-financement/financement-des-esms/investissement-immobilier
https://www.agencedusport.fr/plan-5000-equipements-generation-2024
https://www.france-services.gouv.fr/actualites/labellisation-nouvelles-maisons-france-services
https://www.justice.gouv.fr/plan-15-000-places-prison
https://www.defense.gouv.fr/ministere/politique-defense/loi-programmation-militaire-2024-2030
https://www.economie.gouv.fr/cedef/reindustrialisation-informations
https://presse.groupeadp.fr/proposition-cre2027-2034/
https://www.garesetconnexions.sncf/fr/qui-sommes-nous/notre-modele-economique</v>
      </c>
      <c r="GG6" s="110"/>
      <c r="GH6" s="238">
        <f>'ANALYSE - ERP =&gt; SOUS-SEGMENT'!GH6</f>
        <v>736675.37830756139</v>
      </c>
      <c r="GI6" s="239">
        <f>'ANALYSE - ERP =&gt; SOUS-SEGMENT'!GI6</f>
        <v>601284.93776946131</v>
      </c>
      <c r="GJ6" s="240">
        <f>'ANALYSE - ERP =&gt; SOUS-SEGMENT'!GJ6</f>
        <v>135390.44053810008</v>
      </c>
      <c r="GK6" s="238">
        <f>'ANALYSE - ERP =&gt; SOUS-SEGMENT'!GK6</f>
        <v>1258583.3989138186</v>
      </c>
      <c r="GL6" s="239">
        <f>'ANALYSE - ERP =&gt; SOUS-SEGMENT'!GL6</f>
        <v>979983.18430351908</v>
      </c>
      <c r="GM6" s="240">
        <f>'ANALYSE - ERP =&gt; SOUS-SEGMENT'!GM6</f>
        <v>278600.21461029985</v>
      </c>
      <c r="GN6" s="238">
        <f>'ANALYSE - ERP =&gt; SOUS-SEGMENT'!GN6</f>
        <v>343723.06334932707</v>
      </c>
      <c r="GO6" s="239">
        <f>'ANALYSE - ERP =&gt; SOUS-SEGMENT'!GO6</f>
        <v>274441.60734337725</v>
      </c>
      <c r="GP6" s="240">
        <f>'ANALYSE - ERP =&gt; SOUS-SEGMENT'!GP6</f>
        <v>69281.456005949993</v>
      </c>
      <c r="GQ6" s="238">
        <f>'ANALYSE - ERP =&gt; SOUS-SEGMENT'!GQ6</f>
        <v>174631.15686909587</v>
      </c>
      <c r="GR6" s="239">
        <f>'ANALYSE - ERP =&gt; SOUS-SEGMENT'!GR6</f>
        <v>144284.35536844574</v>
      </c>
      <c r="GS6" s="240">
        <f>'ANALYSE - ERP =&gt; SOUS-SEGMENT'!GS6</f>
        <v>30346.801500650006</v>
      </c>
      <c r="GT6" s="238">
        <f>'ANALYSE - ERP =&gt; SOUS-SEGMENT'!GT6</f>
        <v>329836.42809343088</v>
      </c>
      <c r="GU6" s="239">
        <f>'ANALYSE - ERP =&gt; SOUS-SEGMENT'!GU6</f>
        <v>270338.98409920098</v>
      </c>
      <c r="GV6" s="240">
        <f>'ANALYSE - ERP =&gt; SOUS-SEGMENT'!GV6</f>
        <v>59497.443994229994</v>
      </c>
      <c r="GW6" s="238">
        <f>'ANALYSE - ERP =&gt; SOUS-SEGMENT'!GW6</f>
        <v>467570.1993545423</v>
      </c>
      <c r="GX6" s="239">
        <f>'ANALYSE - ERP =&gt; SOUS-SEGMENT'!GX6</f>
        <v>375885.61720979685</v>
      </c>
      <c r="GY6" s="240">
        <f>'ANALYSE - ERP =&gt; SOUS-SEGMENT'!GY6</f>
        <v>91684.582144745553</v>
      </c>
      <c r="GZ6" s="238">
        <f>'ANALYSE - ERP =&gt; SOUS-SEGMENT'!GZ6</f>
        <v>66891.624464180321</v>
      </c>
      <c r="HA6" s="239">
        <f>'ANALYSE - ERP =&gt; SOUS-SEGMENT'!HA6</f>
        <v>52816.044631305806</v>
      </c>
      <c r="HB6" s="240">
        <f>'ANALYSE - ERP =&gt; SOUS-SEGMENT'!HB6</f>
        <v>14075.579832874497</v>
      </c>
      <c r="HC6" s="238">
        <f>'ANALYSE - ERP =&gt; SOUS-SEGMENT'!HC6</f>
        <v>43855.951099783786</v>
      </c>
      <c r="HD6" s="239">
        <f>'ANALYSE - ERP =&gt; SOUS-SEGMENT'!HD6</f>
        <v>36893.866108633752</v>
      </c>
      <c r="HE6" s="240">
        <f>'ANALYSE - ERP =&gt; SOUS-SEGMENT'!HE6</f>
        <v>6962.0849911500027</v>
      </c>
      <c r="HF6" s="238">
        <f>'ANALYSE - ERP =&gt; SOUS-SEGMENT'!HF6</f>
        <v>227003.45890675817</v>
      </c>
      <c r="HG6" s="239">
        <f>'ANALYSE - ERP =&gt; SOUS-SEGMENT'!HG6</f>
        <v>177280.22818180828</v>
      </c>
      <c r="HH6" s="240">
        <f>'ANALYSE - ERP =&gt; SOUS-SEGMENT'!HH6</f>
        <v>49723.230724950015</v>
      </c>
      <c r="HI6" s="238">
        <f>'ANALYSE - ERP =&gt; SOUS-SEGMENT'!HI6</f>
        <v>75635.799907889392</v>
      </c>
      <c r="HJ6" s="239">
        <f>'ANALYSE - ERP =&gt; SOUS-SEGMENT'!HJ6</f>
        <v>61045.788573189435</v>
      </c>
      <c r="HK6" s="240">
        <f>'ANALYSE - ERP =&gt; SOUS-SEGMENT'!HK6</f>
        <v>14590.011334700004</v>
      </c>
      <c r="HL6" s="238">
        <f>'ANALYSE - ERP =&gt; SOUS-SEGMENT'!HL6</f>
        <v>105979.2072864685</v>
      </c>
      <c r="HM6" s="239">
        <f>'ANALYSE - ERP =&gt; SOUS-SEGMENT'!HM6</f>
        <v>86031.457617268403</v>
      </c>
      <c r="HN6" s="240">
        <f>'ANALYSE - ERP =&gt; SOUS-SEGMENT'!HN6</f>
        <v>19947.749669199991</v>
      </c>
      <c r="HO6" s="238">
        <f>'ANALYSE - ERP =&gt; SOUS-SEGMENT'!HO6</f>
        <v>1059170.0962470609</v>
      </c>
      <c r="HP6" s="239">
        <f>'ANALYSE - ERP =&gt; SOUS-SEGMENT'!HP6</f>
        <v>862102.47176606103</v>
      </c>
      <c r="HQ6" s="240">
        <f>'ANALYSE - ERP =&gt; SOUS-SEGMENT'!HQ6</f>
        <v>197067.62448100006</v>
      </c>
      <c r="HR6" s="238">
        <f>'ANALYSE - ERP =&gt; SOUS-SEGMENT'!HR6</f>
        <v>659801.71360220888</v>
      </c>
      <c r="HS6" s="239">
        <f>'ANALYSE - ERP =&gt; SOUS-SEGMENT'!HS6</f>
        <v>501608.44325060886</v>
      </c>
      <c r="HT6" s="240">
        <f>'ANALYSE - ERP =&gt; SOUS-SEGMENT'!HT6</f>
        <v>158193.27035160005</v>
      </c>
      <c r="HU6" s="238">
        <f>'ANALYSE - ERP =&gt; SOUS-SEGMENT'!HU6</f>
        <v>287192.41851246147</v>
      </c>
      <c r="HV6" s="239">
        <f>'ANALYSE - ERP =&gt; SOUS-SEGMENT'!HV6</f>
        <v>224765.70376506151</v>
      </c>
      <c r="HW6" s="240">
        <f>'ANALYSE - ERP =&gt; SOUS-SEGMENT'!HW6</f>
        <v>62426.714747399987</v>
      </c>
      <c r="HY6" s="344">
        <f>'ANALYSE - ERP =&gt; SOUS-SEGMENT'!HY6</f>
        <v>14135454.484999999</v>
      </c>
      <c r="HZ6" s="344">
        <f>'ANALYSE - ERP =&gt; SOUS-SEGMENT'!HZ6</f>
        <v>865403.90359</v>
      </c>
      <c r="IA6" s="344">
        <f>'ANALYSE - ERP =&gt; SOUS-SEGMENT'!IA6</f>
        <v>5140157.6081814999</v>
      </c>
      <c r="IB6" s="344">
        <f>'ANALYSE - ERP =&gt; SOUS-SEGMENT'!IB6</f>
        <v>5839913.0291600004</v>
      </c>
      <c r="IC6" s="344">
        <f>'ANALYSE - ERP =&gt; SOUS-SEGMENT'!IC6</f>
        <v>2040655.4347815001</v>
      </c>
      <c r="ID6" s="344">
        <f>'ANALYSE - ERP =&gt; SOUS-SEGMENT'!ID6</f>
        <v>249324.50928699999</v>
      </c>
      <c r="IE6" s="344">
        <f>'ANALYSE - ERP =&gt; SOUS-SEGMENT'!IE6</f>
        <v>4648762.6899877386</v>
      </c>
      <c r="IF6" s="344">
        <f>'ANALYSE - ERP =&gt; SOUS-SEGMENT'!IF6</f>
        <v>121263.16660173074</v>
      </c>
      <c r="IG6" s="344">
        <f>'ANALYSE - ERP =&gt; SOUS-SEGMENT'!IG6</f>
        <v>1193269.1669501376</v>
      </c>
      <c r="IH6" s="344">
        <f>'ANALYSE - ERP =&gt; SOUS-SEGMENT'!IH6</f>
        <v>2112628.7012426388</v>
      </c>
      <c r="II6" s="344">
        <f>'ANALYSE - ERP =&gt; SOUS-SEGMENT'!II6</f>
        <v>1043623.5379500901</v>
      </c>
      <c r="IJ6" s="344">
        <f>'ANALYSE - ERP =&gt; SOUS-SEGMENT'!IJ6</f>
        <v>177978.11724314198</v>
      </c>
      <c r="IK6" s="345">
        <f>'ANALYSE - ERP =&gt; SOUS-SEGMENT'!IK6</f>
        <v>3.86</v>
      </c>
      <c r="IL6" s="345" t="str">
        <f>'ANALYSE - ERP =&gt; SOUS-SEGMENT'!IL6</f>
        <v>Bonne</v>
      </c>
      <c r="IM6" s="347"/>
      <c r="IN6" s="110"/>
      <c r="IO6" s="747">
        <f>'ANALYSE - ERP =&gt; SOUS-SEGMENT'!IO6</f>
        <v>5.0700000000000002E-2</v>
      </c>
      <c r="IP6" s="748">
        <f>'ANALYSE - ERP =&gt; SOUS-SEGMENT'!IP6</f>
        <v>0.34889999999999999</v>
      </c>
      <c r="IQ6" s="748">
        <f>'ANALYSE - ERP =&gt; SOUS-SEGMENT'!IQ6</f>
        <v>0.43190000000000001</v>
      </c>
      <c r="IR6" s="748">
        <f>'ANALYSE - ERP =&gt; SOUS-SEGMENT'!IR6</f>
        <v>0.1497</v>
      </c>
      <c r="IS6" s="749">
        <f>'ANALYSE - ERP =&gt; SOUS-SEGMENT'!IS6</f>
        <v>1.8800000000000001E-2</v>
      </c>
      <c r="IT6" s="750">
        <f>'ANALYSE - ERP =&gt; SOUS-SEGMENT'!IT6</f>
        <v>0.02</v>
      </c>
      <c r="IU6" s="750">
        <f>'ANALYSE - ERP =&gt; SOUS-SEGMENT'!IU6</f>
        <v>0.2326</v>
      </c>
      <c r="IV6" s="750">
        <f>'ANALYSE - ERP =&gt; SOUS-SEGMENT'!IV6</f>
        <v>0.46829999999999999</v>
      </c>
      <c r="IW6" s="750">
        <f>'ANALYSE - ERP =&gt; SOUS-SEGMENT'!IW6</f>
        <v>0.23760000000000001</v>
      </c>
      <c r="IX6" s="750">
        <f>'ANALYSE - ERP =&gt; SOUS-SEGMENT'!IX6</f>
        <v>4.1500000000000002E-2</v>
      </c>
      <c r="IY6" s="751">
        <f>'ANALYSE - ERP =&gt; SOUS-SEGMENT'!IY6</f>
        <v>7.1999999999999995E-2</v>
      </c>
      <c r="IZ6" s="750">
        <f>'ANALYSE - ERP =&gt; SOUS-SEGMENT'!IZ6</f>
        <v>0.35189999999999999</v>
      </c>
      <c r="JA6" s="750">
        <f>'ANALYSE - ERP =&gt; SOUS-SEGMENT'!JA6</f>
        <v>0.38400000000000001</v>
      </c>
      <c r="JB6" s="750">
        <f>'ANALYSE - ERP =&gt; SOUS-SEGMENT'!JB6</f>
        <v>0.16789999999999999</v>
      </c>
      <c r="JC6" s="752">
        <f>'ANALYSE - ERP =&gt; SOUS-SEGMENT'!JC6</f>
        <v>2.4199999999999999E-2</v>
      </c>
      <c r="JD6" s="750">
        <f>'ANALYSE - ERP =&gt; SOUS-SEGMENT'!JD6</f>
        <v>3.5499999999999997E-2</v>
      </c>
      <c r="JE6" s="750">
        <f>'ANALYSE - ERP =&gt; SOUS-SEGMENT'!JE6</f>
        <v>0.2767</v>
      </c>
      <c r="JF6" s="750">
        <f>'ANALYSE - ERP =&gt; SOUS-SEGMENT'!JF6</f>
        <v>0.40949999999999998</v>
      </c>
      <c r="JG6" s="750">
        <f>'ANALYSE - ERP =&gt; SOUS-SEGMENT'!JG6</f>
        <v>0.23169999999999999</v>
      </c>
      <c r="JH6" s="750">
        <f>'ANALYSE - ERP =&gt; SOUS-SEGMENT'!JH6</f>
        <v>4.6600000000000003E-2</v>
      </c>
      <c r="JI6" s="751">
        <f>'ANALYSE - ERP =&gt; SOUS-SEGMENT'!JI6</f>
        <v>0.1234</v>
      </c>
      <c r="JJ6" s="750">
        <f>'ANALYSE - ERP =&gt; SOUS-SEGMENT'!JJ6</f>
        <v>0.47060000000000002</v>
      </c>
      <c r="JK6" s="750">
        <f>'ANALYSE - ERP =&gt; SOUS-SEGMENT'!JK6</f>
        <v>0.31990000000000002</v>
      </c>
      <c r="JL6" s="750">
        <f>'ANALYSE - ERP =&gt; SOUS-SEGMENT'!JL6</f>
        <v>7.5899999999999995E-2</v>
      </c>
      <c r="JM6" s="752">
        <f>'ANALYSE - ERP =&gt; SOUS-SEGMENT'!JM6</f>
        <v>1.0200000000000001E-2</v>
      </c>
      <c r="JN6" s="750">
        <f>'ANALYSE - ERP =&gt; SOUS-SEGMENT'!JN6</f>
        <v>5.6000000000000001E-2</v>
      </c>
      <c r="JO6" s="750">
        <f>'ANALYSE - ERP =&gt; SOUS-SEGMENT'!JO6</f>
        <v>0.37409999999999999</v>
      </c>
      <c r="JP6" s="750">
        <f>'ANALYSE - ERP =&gt; SOUS-SEGMENT'!JP6</f>
        <v>0.41660000000000003</v>
      </c>
      <c r="JQ6" s="750">
        <f>'ANALYSE - ERP =&gt; SOUS-SEGMENT'!JQ6</f>
        <v>0.13270000000000001</v>
      </c>
      <c r="JR6" s="750">
        <f>'ANALYSE - ERP =&gt; SOUS-SEGMENT'!JR6</f>
        <v>2.06E-2</v>
      </c>
      <c r="JS6" s="751">
        <f>'ANALYSE - ERP =&gt; SOUS-SEGMENT'!JS6</f>
        <v>5.74E-2</v>
      </c>
      <c r="JT6" s="750">
        <f>'ANALYSE - ERP =&gt; SOUS-SEGMENT'!JT6</f>
        <v>0.3634</v>
      </c>
      <c r="JU6" s="750">
        <f>'ANALYSE - ERP =&gt; SOUS-SEGMENT'!JU6</f>
        <v>0.41970000000000002</v>
      </c>
      <c r="JV6" s="750">
        <f>'ANALYSE - ERP =&gt; SOUS-SEGMENT'!JV6</f>
        <v>0.14399999999999999</v>
      </c>
      <c r="JW6" s="752">
        <f>'ANALYSE - ERP =&gt; SOUS-SEGMENT'!JW6</f>
        <v>1.55E-2</v>
      </c>
      <c r="JX6" s="751">
        <f>'ANALYSE - ERP =&gt; SOUS-SEGMENT'!JX6</f>
        <v>2.2800000000000001E-2</v>
      </c>
      <c r="JY6" s="750">
        <f>'ANALYSE - ERP =&gt; SOUS-SEGMENT'!JY6</f>
        <v>0.2515</v>
      </c>
      <c r="JZ6" s="750">
        <f>'ANALYSE - ERP =&gt; SOUS-SEGMENT'!JZ6</f>
        <v>0.46539999999999998</v>
      </c>
      <c r="KA6" s="750">
        <f>'ANALYSE - ERP =&gt; SOUS-SEGMENT'!KA6</f>
        <v>0.22570000000000001</v>
      </c>
      <c r="KB6" s="753">
        <f>'ANALYSE - ERP =&gt; SOUS-SEGMENT'!KB6</f>
        <v>3.4599999999999999E-2</v>
      </c>
      <c r="KC6" s="110"/>
      <c r="KD6" s="345" t="str">
        <f>'ANALYSE - ERP =&gt; SOUS-SEGMENT'!KD6</f>
        <v>±4 pts</v>
      </c>
      <c r="KE6" s="348" t="str">
        <f>'ANALYSE - ERP =&gt; SOUS-SEGMENT'!KE6</f>
        <v>±5 pts</v>
      </c>
      <c r="KF6" s="345">
        <f>'ANALYSE - ERP =&gt; SOUS-SEGMENT'!KF6</f>
        <v>4.1500000000000004</v>
      </c>
      <c r="KG6" s="346" t="str">
        <f>'ANALYSE - ERP =&gt; SOUS-SEGMENT'!KG6</f>
        <v>Bonne</v>
      </c>
      <c r="KH6" s="349" t="str">
        <f>'ANALYSE - ERP =&gt; SOUS-SEGMENT'!KH6</f>
        <v>Agrégation volume × mix par sous-segment ; les gros gisements (bureaux, écoles, santé, sport, hôtels, transports) pèsent davantage dans le total que les niches.</v>
      </c>
      <c r="KI6" s="350" t="str">
        <f>'ANALYSE - ERP =&gt; SOUS-SEGMENT'!KI6</f>
        <v>Total France pondéré par volumes 2025 et ventes 2026-2030 ; forte fréquentation tire le standard, image/privé tire premium, contrainte sanitaire renforce surtout le milieu de gamme technique.</v>
      </c>
      <c r="KJ6" s="349" t="str">
        <f>'ANALYSE - ERP =&gt; SOUS-SEGMENT'!KJ6</f>
        <v>Agrégation volume × ventes 2026-2030 ; le neuf et les rénovations lourdes tirent le mix vers l’moyen/premium, mais la rénovation majoritaire garde un centre de gravité basique/moyen.</v>
      </c>
    </row>
    <row r="7" spans="1:327" s="43" customFormat="1" ht="12.75" customHeight="1">
      <c r="A7" s="329"/>
      <c r="B7" s="329"/>
      <c r="C7" s="329"/>
      <c r="D7" s="330"/>
      <c r="E7" s="331"/>
      <c r="F7" s="331"/>
      <c r="G7" s="329"/>
      <c r="H7" s="329"/>
      <c r="I7" s="328"/>
      <c r="J7" s="328"/>
      <c r="K7" s="332"/>
      <c r="L7" s="332"/>
      <c r="M7" s="328"/>
      <c r="N7" s="332"/>
      <c r="O7" s="331"/>
      <c r="P7" s="328"/>
      <c r="Q7" s="108" t="s">
        <v>2595</v>
      </c>
      <c r="R7" s="325"/>
      <c r="S7" s="837" t="s">
        <v>2596</v>
      </c>
      <c r="T7" s="326">
        <f>(T6/S6)^(1/(T4-S4))-1</f>
        <v>5.6591996441257564E-3</v>
      </c>
      <c r="U7" s="326">
        <f>(U6/T6)^(1/(U4-T4))-1</f>
        <v>5.4102364156785043E-3</v>
      </c>
      <c r="V7" s="326">
        <f>(V6/U6)^(1/(V4-U4))-1</f>
        <v>5.8038479548478961E-3</v>
      </c>
      <c r="W7" s="326">
        <f t="shared" ref="W7:AK7" si="0">W6/V6-1</f>
        <v>4.9017216199425118E-3</v>
      </c>
      <c r="X7" s="326">
        <f t="shared" si="0"/>
        <v>4.3307978637319167E-3</v>
      </c>
      <c r="Y7" s="326">
        <f t="shared" si="0"/>
        <v>6.7791857886867479E-3</v>
      </c>
      <c r="Z7" s="326">
        <f t="shared" si="0"/>
        <v>6.4214295203295357E-3</v>
      </c>
      <c r="AA7" s="326">
        <f t="shared" si="0"/>
        <v>-1.3336620043098324E-2</v>
      </c>
      <c r="AB7" s="326">
        <f t="shared" si="0"/>
        <v>-5.3835453708761527E-4</v>
      </c>
      <c r="AC7" s="326">
        <f t="shared" si="0"/>
        <v>1.0793855581985978E-2</v>
      </c>
      <c r="AD7" s="326">
        <f t="shared" si="0"/>
        <v>7.6870548592142818E-3</v>
      </c>
      <c r="AE7" s="326">
        <f t="shared" si="0"/>
        <v>8.0353269388491189E-3</v>
      </c>
      <c r="AF7" s="326">
        <f t="shared" si="0"/>
        <v>3.6110269044280496E-3</v>
      </c>
      <c r="AG7" s="326">
        <f t="shared" si="0"/>
        <v>3.0659196193814076E-3</v>
      </c>
      <c r="AH7" s="326">
        <f t="shared" si="0"/>
        <v>3.3171118347248285E-3</v>
      </c>
      <c r="AI7" s="326">
        <f t="shared" si="0"/>
        <v>3.0013451624690823E-3</v>
      </c>
      <c r="AJ7" s="326">
        <f t="shared" si="0"/>
        <v>2.4016434745532944E-3</v>
      </c>
      <c r="AK7" s="326">
        <f t="shared" si="0"/>
        <v>2.1901739146574783E-3</v>
      </c>
      <c r="AL7" s="323"/>
      <c r="AM7" s="323"/>
      <c r="AN7" s="323"/>
      <c r="AO7" s="111"/>
      <c r="AP7" s="323"/>
      <c r="AQ7" s="323"/>
      <c r="AR7" s="323"/>
      <c r="AS7" s="323"/>
      <c r="AT7" s="111"/>
      <c r="AU7" s="323"/>
      <c r="AV7" s="323"/>
      <c r="AW7" s="323"/>
      <c r="AX7" s="323"/>
      <c r="AY7" s="111"/>
      <c r="AZ7" s="323"/>
      <c r="BA7" s="323"/>
      <c r="BB7" s="323"/>
      <c r="BE7" s="323"/>
      <c r="BF7" s="323"/>
      <c r="BG7" s="323"/>
      <c r="BH7" s="837" t="s">
        <v>2596</v>
      </c>
      <c r="BI7" s="705">
        <f>(BI6/BD6)^(1/(2030-2025))-1</f>
        <v>1.9251791462295831E-3</v>
      </c>
      <c r="BJ7" s="705">
        <f>(BJ6/BE6)^(1/(2030-2025))-1</f>
        <v>1.6674331968427047E-3</v>
      </c>
      <c r="BK7" s="326">
        <f>(BK6/BF6)^(1/(2030-2025))-1</f>
        <v>3.2616771745495043E-3</v>
      </c>
      <c r="BL7" s="326">
        <f>(BL6/BG6)^(1/(2030-2025))-1</f>
        <v>2.5761144919038692E-3</v>
      </c>
      <c r="BM7" s="326">
        <f>(BM6/BH6)^(1/(2030-2025))-1</f>
        <v>1.6414035459468845E-3</v>
      </c>
      <c r="BN7" s="111"/>
      <c r="BO7" s="49"/>
      <c r="BP7" s="49"/>
      <c r="BQ7" s="49"/>
      <c r="BR7" s="49"/>
      <c r="BS7" s="49"/>
      <c r="BT7" s="49"/>
      <c r="BU7" s="49"/>
      <c r="BV7" s="49"/>
      <c r="BW7" s="49"/>
      <c r="BX7" s="49"/>
      <c r="BY7" s="49"/>
      <c r="BZ7" s="49"/>
      <c r="CA7" s="49"/>
      <c r="CB7" s="49"/>
      <c r="CC7" s="49"/>
      <c r="CD7" s="49"/>
      <c r="CE7" s="49"/>
      <c r="CF7" s="49"/>
      <c r="CG7" s="49"/>
      <c r="CH7" s="49"/>
      <c r="CI7" s="49"/>
      <c r="CJ7" s="49"/>
      <c r="CK7" s="49"/>
      <c r="CL7" s="49"/>
      <c r="CM7" s="49"/>
      <c r="CN7" s="49"/>
      <c r="CO7" s="49"/>
      <c r="CP7" s="49"/>
      <c r="CQ7" s="111"/>
      <c r="CR7" s="49"/>
      <c r="CS7" s="49"/>
      <c r="CT7" s="49"/>
      <c r="CU7" s="49"/>
      <c r="CV7" s="49"/>
      <c r="CW7" s="49"/>
      <c r="CX7" s="49"/>
      <c r="CY7" s="49"/>
      <c r="CZ7" s="49"/>
      <c r="DA7" s="49"/>
      <c r="DB7" s="49"/>
      <c r="DC7" s="49"/>
      <c r="DD7" s="49"/>
      <c r="DE7" s="49"/>
      <c r="DF7" s="681"/>
      <c r="DG7" s="111"/>
      <c r="DH7" s="754">
        <f>DH6/SUM(DH6:DK6)</f>
        <v>0.30746742377679903</v>
      </c>
      <c r="DI7" s="754">
        <f>DI6/SUM(DH6:DK6)</f>
        <v>0.52656645191810325</v>
      </c>
      <c r="DJ7" s="754">
        <f>DJ6/SUM(DH6:DK6)</f>
        <v>0.10216087429986412</v>
      </c>
      <c r="DK7" s="754">
        <f>DK6/SUM(DH6:DK6)</f>
        <v>6.3805250005233516E-2</v>
      </c>
      <c r="DL7" s="755" t="s">
        <v>2597</v>
      </c>
      <c r="DM7" s="754">
        <f>DM6/SUM(DM6:DP6)</f>
        <v>0.2764019032056183</v>
      </c>
      <c r="DN7" s="754">
        <f>DN6/SUM(DM6:DP6)</f>
        <v>0.53194239094779439</v>
      </c>
      <c r="DO7" s="754">
        <f>DO6/SUM(DM6:DP6)</f>
        <v>0.13403929446044285</v>
      </c>
      <c r="DP7" s="754">
        <f>DP6/SUM(DM6:DP6)</f>
        <v>5.7616411386144414E-2</v>
      </c>
      <c r="DQ7" s="229"/>
      <c r="DR7" s="111"/>
      <c r="DS7" s="754">
        <f>DS6/SUM(DS6:DU6)</f>
        <v>0.4111115983998605</v>
      </c>
      <c r="DT7" s="754">
        <f>DT6/SUM(DS6:DU6)</f>
        <v>0.52369723065873475</v>
      </c>
      <c r="DU7" s="754">
        <f>DU6/SUM(DS6:DU6)</f>
        <v>6.51911709414046E-2</v>
      </c>
      <c r="DV7" s="755" t="s">
        <v>2597</v>
      </c>
      <c r="DW7" s="754">
        <f>DW6/SUM(DW6:DY6)</f>
        <v>0.36880188609736297</v>
      </c>
      <c r="DX7" s="754">
        <f>DX6/SUM(DW6:DY6)</f>
        <v>0.54850934286988395</v>
      </c>
      <c r="DY7" s="754">
        <f>DY6/SUM(DW6:DY6)</f>
        <v>8.2688771032753031E-2</v>
      </c>
      <c r="DZ7" s="229"/>
      <c r="EA7" s="111"/>
      <c r="EB7" s="754">
        <f>EB6/SUM(EB6:EE6)</f>
        <v>9.7009137717638749E-2</v>
      </c>
      <c r="EC7" s="754">
        <f>EC6/SUM(EB6:EE6)</f>
        <v>0.55065927832034756</v>
      </c>
      <c r="ED7" s="754">
        <f>ED6/SUM(EB6:EE6)</f>
        <v>0.1291863804969185</v>
      </c>
      <c r="EE7" s="754">
        <f>EE6/SUM(EB6:EE6)</f>
        <v>0.22314520346509509</v>
      </c>
      <c r="EF7" s="755" t="s">
        <v>2597</v>
      </c>
      <c r="EG7" s="754">
        <f>EG6/SUM(EG6:EJ6)</f>
        <v>7.8718722706295374E-2</v>
      </c>
      <c r="EH7" s="754">
        <f>EH6/SUM(EG6:EJ6)</f>
        <v>0.54543406235754444</v>
      </c>
      <c r="EI7" s="754">
        <f>EI6/SUM(EG6:EJ6)</f>
        <v>0.1552235201282253</v>
      </c>
      <c r="EJ7" s="754">
        <f>EJ6/SUM(EG6:EJ6)</f>
        <v>0.22062369480793476</v>
      </c>
      <c r="EK7" s="229"/>
      <c r="EL7" s="111"/>
      <c r="EM7" s="754">
        <f>EM6/SUM(EL6:EO6)</f>
        <v>0.56753679238182198</v>
      </c>
      <c r="EN7" s="754">
        <f>EN6/SUM(EL6:EO6)</f>
        <v>0.33111744527152581</v>
      </c>
      <c r="EO7" s="754">
        <f>EO6/SUM(EL6:EO6)</f>
        <v>0.10134576234665228</v>
      </c>
      <c r="EP7" s="755" t="s">
        <v>2597</v>
      </c>
      <c r="EQ7" s="754">
        <f>EQ6/SUM(EQ6:ES6)</f>
        <v>0.488089050432154</v>
      </c>
      <c r="ER7" s="754">
        <f>ER6/SUM(EQ6:ES6)</f>
        <v>0.36684788302681925</v>
      </c>
      <c r="ES7" s="754">
        <f>ES6/SUM(EQ6:ES6)</f>
        <v>0.14506306654102674</v>
      </c>
      <c r="ET7" s="229"/>
      <c r="EU7" s="111"/>
      <c r="EV7" s="756"/>
      <c r="EW7" s="756"/>
      <c r="EX7" s="757" t="s">
        <v>2598</v>
      </c>
      <c r="EY7" s="758">
        <f>EY6/EX6</f>
        <v>0.79649155300432295</v>
      </c>
      <c r="EZ7" s="759">
        <f>EZ6/EX6</f>
        <v>0.20350844699567697</v>
      </c>
      <c r="FA7" s="230"/>
      <c r="FB7" s="758">
        <f>FB6/FA6</f>
        <v>0.79566507923927032</v>
      </c>
      <c r="FC7" s="759">
        <f>FC6/FA6</f>
        <v>0.2043349207607284</v>
      </c>
      <c r="FD7" s="230"/>
      <c r="FE7" s="758">
        <f>FE6/FD6</f>
        <v>0.80879562627109614</v>
      </c>
      <c r="FF7" s="759">
        <f>FF6/FD6</f>
        <v>0.19120437372890409</v>
      </c>
      <c r="FG7" s="230"/>
      <c r="FH7" s="758">
        <f>FH6/FG6</f>
        <v>0.79839064209569077</v>
      </c>
      <c r="FI7" s="759">
        <f>FI6/FG6</f>
        <v>0.20160935790430937</v>
      </c>
      <c r="FJ7" s="230"/>
      <c r="FK7" s="758">
        <f>FK6/FJ6</f>
        <v>0.7917978978614868</v>
      </c>
      <c r="FL7" s="760">
        <f>FL6/FJ6</f>
        <v>0.20820210213851265</v>
      </c>
      <c r="FM7" s="111"/>
      <c r="FN7" s="761"/>
      <c r="FO7" s="761"/>
      <c r="FP7" s="761"/>
      <c r="FQ7" s="761"/>
      <c r="FR7" s="111"/>
      <c r="FS7" s="166"/>
      <c r="FT7" s="166"/>
      <c r="FU7" s="166"/>
      <c r="FV7" s="166"/>
      <c r="FW7" s="166"/>
      <c r="FX7" s="166"/>
      <c r="FY7" s="111"/>
      <c r="FZ7" s="166"/>
      <c r="GA7" s="166"/>
      <c r="GB7" s="166"/>
      <c r="GC7" s="166"/>
      <c r="GD7" s="166"/>
      <c r="GE7" s="166"/>
      <c r="GF7" s="166"/>
      <c r="GG7" s="166"/>
      <c r="GH7" s="757" t="s">
        <v>2598</v>
      </c>
      <c r="GI7" s="758">
        <f>GI6/GH6</f>
        <v>0.81621424507339146</v>
      </c>
      <c r="GJ7" s="759">
        <f>GJ6/GH6</f>
        <v>0.18378575492660851</v>
      </c>
      <c r="GK7" s="166"/>
      <c r="GL7" s="758">
        <f>GL6/GK6</f>
        <v>0.7786398463139298</v>
      </c>
      <c r="GM7" s="759">
        <f>GM6/GK6</f>
        <v>0.22136015368607048</v>
      </c>
      <c r="GN7" s="166"/>
      <c r="GO7" s="758">
        <f>GO6/GN6</f>
        <v>0.79843815154312525</v>
      </c>
      <c r="GP7" s="759">
        <f>GP6/GN6</f>
        <v>0.20156184845687525</v>
      </c>
      <c r="GQ7" s="166"/>
      <c r="GR7" s="758">
        <f>GR6/GQ6</f>
        <v>0.82622344119613089</v>
      </c>
      <c r="GS7" s="759">
        <f>GS6/GQ6</f>
        <v>0.17377655880386841</v>
      </c>
      <c r="GT7" s="166"/>
      <c r="GU7" s="758">
        <f>GU6/GT6</f>
        <v>0.8196153034455721</v>
      </c>
      <c r="GV7" s="759">
        <f>GV6/GT6</f>
        <v>0.18038469655442815</v>
      </c>
      <c r="GW7" s="166"/>
      <c r="GX7" s="758">
        <f>GX6/GW6</f>
        <v>0.80391269103268015</v>
      </c>
      <c r="GY7" s="759">
        <f>GY6/GW6</f>
        <v>0.19608730896732002</v>
      </c>
      <c r="GZ7" s="166"/>
      <c r="HA7" s="758">
        <f>HA6/GZ6</f>
        <v>0.78957634912257479</v>
      </c>
      <c r="HB7" s="759">
        <f>HB6/GZ6</f>
        <v>0.21042365087742493</v>
      </c>
      <c r="HC7" s="166"/>
      <c r="HD7" s="758">
        <f>HD6/HC6</f>
        <v>0.84125107729827897</v>
      </c>
      <c r="HE7" s="759">
        <f>HE6/HC6</f>
        <v>0.15874892270172034</v>
      </c>
      <c r="HF7" s="166"/>
      <c r="HG7" s="758">
        <f>HG6/HF6</f>
        <v>0.7809582683699382</v>
      </c>
      <c r="HH7" s="759">
        <f>HH6/HF6</f>
        <v>0.21904173163006238</v>
      </c>
      <c r="HI7" s="166"/>
      <c r="HJ7" s="758">
        <f>HJ6/HI6</f>
        <v>0.80710177782917703</v>
      </c>
      <c r="HK7" s="759">
        <f>HK6/HI6</f>
        <v>0.19289822217082356</v>
      </c>
      <c r="HL7" s="166"/>
      <c r="HM7" s="758">
        <f>HM6/HL6</f>
        <v>0.81177676093311335</v>
      </c>
      <c r="HN7" s="759">
        <f>HN6/HL6</f>
        <v>0.18822323906688565</v>
      </c>
      <c r="HO7" s="166"/>
      <c r="HP7" s="758">
        <f>HP6/HO6</f>
        <v>0.81394147627537239</v>
      </c>
      <c r="HQ7" s="759">
        <f>HQ6/HO6</f>
        <v>0.18605852372462778</v>
      </c>
      <c r="HR7" s="166"/>
      <c r="HS7" s="758">
        <f>HS6/HR6</f>
        <v>0.7602411950585295</v>
      </c>
      <c r="HT7" s="759">
        <f>HT6/HR6</f>
        <v>0.23975880494147059</v>
      </c>
      <c r="HU7" s="166"/>
      <c r="HV7" s="758">
        <f>HV6/HU6</f>
        <v>0.78263104899932712</v>
      </c>
      <c r="HW7" s="759">
        <f>HW6/HU6</f>
        <v>0.21736895100067291</v>
      </c>
      <c r="HX7" s="250"/>
      <c r="HY7" s="757" t="s">
        <v>2598</v>
      </c>
      <c r="HZ7" s="762">
        <f>HZ6/HY6</f>
        <v>6.1222219951140119E-2</v>
      </c>
      <c r="IA7" s="763">
        <f>IA6/HY6</f>
        <v>0.36363582180085102</v>
      </c>
      <c r="IB7" s="764">
        <f>IB6/HY6</f>
        <v>0.41313938899927777</v>
      </c>
      <c r="IC7" s="765">
        <f>IC6/HY6</f>
        <v>0.14436433133062437</v>
      </c>
      <c r="ID7" s="766">
        <f>ID6/HY6</f>
        <v>1.7638237918106814E-2</v>
      </c>
      <c r="IE7" s="757"/>
      <c r="IF7" s="762">
        <f>IF6/IE6</f>
        <v>2.6085041265475003E-2</v>
      </c>
      <c r="IG7" s="763">
        <f>IG6/IE6</f>
        <v>0.25668532608045108</v>
      </c>
      <c r="IH7" s="764">
        <f>IH6/IE6</f>
        <v>0.45444967664034724</v>
      </c>
      <c r="II7" s="765">
        <f>II6/IE6</f>
        <v>0.22449490489109969</v>
      </c>
      <c r="IJ7" s="766">
        <f>IJ6/IE6</f>
        <v>3.8285051122627083E-2</v>
      </c>
      <c r="IK7" s="247"/>
      <c r="IL7" s="246"/>
      <c r="IM7" s="168"/>
      <c r="IN7" s="111"/>
      <c r="IO7" s="767"/>
      <c r="IP7" s="768"/>
      <c r="IQ7" s="768"/>
      <c r="IR7" s="768"/>
      <c r="IS7" s="769" t="s">
        <v>2599</v>
      </c>
      <c r="IT7" s="860">
        <f>(IT6-IO6)*100</f>
        <v>-3.0700000000000003</v>
      </c>
      <c r="IU7" s="861">
        <f>(IU6-IP6)*100</f>
        <v>-11.629999999999999</v>
      </c>
      <c r="IV7" s="862">
        <f>(IV6-IQ6)*100</f>
        <v>3.6399999999999988</v>
      </c>
      <c r="IW7" s="863">
        <f>(IW6-IR6)*100</f>
        <v>8.7900000000000009</v>
      </c>
      <c r="IX7" s="864">
        <f>(IX6-IS6)*100</f>
        <v>2.27</v>
      </c>
      <c r="IY7" s="767"/>
      <c r="IZ7" s="768"/>
      <c r="JA7" s="768"/>
      <c r="JB7" s="768"/>
      <c r="JC7" s="769" t="s">
        <v>2599</v>
      </c>
      <c r="JD7" s="860">
        <f>(JD6-IY6)*100</f>
        <v>-3.65</v>
      </c>
      <c r="JE7" s="861">
        <f>(JE6-IZ6)*100</f>
        <v>-7.5199999999999987</v>
      </c>
      <c r="JF7" s="862">
        <f>(JF6-JA6)*100</f>
        <v>2.5499999999999967</v>
      </c>
      <c r="JG7" s="863">
        <f>(JG6-JB6)*100</f>
        <v>6.38</v>
      </c>
      <c r="JH7" s="864">
        <f>(JH6-JC6)*100</f>
        <v>2.2400000000000002</v>
      </c>
      <c r="JI7" s="767"/>
      <c r="JJ7" s="768"/>
      <c r="JK7" s="768"/>
      <c r="JL7" s="768"/>
      <c r="JM7" s="769" t="s">
        <v>2599</v>
      </c>
      <c r="JN7" s="860">
        <f>(JN6-JI6)*100</f>
        <v>-6.7399999999999984</v>
      </c>
      <c r="JO7" s="861">
        <f>(JO6-JJ6)*100</f>
        <v>-9.6500000000000021</v>
      </c>
      <c r="JP7" s="862">
        <f>(JP6-JK6)*100</f>
        <v>9.6700000000000017</v>
      </c>
      <c r="JQ7" s="863">
        <f>(JQ6-JL6)*100</f>
        <v>5.6800000000000015</v>
      </c>
      <c r="JR7" s="864">
        <f>(JR6-JM6)*100</f>
        <v>1.04</v>
      </c>
      <c r="JS7" s="767"/>
      <c r="JT7" s="768"/>
      <c r="JU7" s="768"/>
      <c r="JV7" s="768"/>
      <c r="JW7" s="769" t="s">
        <v>2599</v>
      </c>
      <c r="JX7" s="860">
        <f>(JX6-JS6)*100</f>
        <v>-3.46</v>
      </c>
      <c r="JY7" s="861">
        <f>(JY6-JT6)*100</f>
        <v>-11.19</v>
      </c>
      <c r="JZ7" s="862">
        <f>(JZ6-JU6)*100</f>
        <v>4.5699999999999967</v>
      </c>
      <c r="KA7" s="863">
        <f>(KA6-JV6)*100</f>
        <v>8.1700000000000017</v>
      </c>
      <c r="KB7" s="864">
        <f>(KB6-JW6)*100</f>
        <v>1.91</v>
      </c>
      <c r="KC7" s="111"/>
      <c r="KD7" s="245"/>
      <c r="KE7" s="245"/>
      <c r="KF7" s="247"/>
      <c r="KG7" s="246"/>
      <c r="KH7" s="249"/>
      <c r="KI7" s="247"/>
      <c r="KJ7" s="249"/>
      <c r="KK7" s="802"/>
      <c r="KL7" s="802"/>
      <c r="KM7" s="802"/>
      <c r="KN7" s="802"/>
      <c r="KO7" s="802"/>
      <c r="KP7" s="802"/>
      <c r="KQ7" s="802"/>
      <c r="KR7" s="802"/>
      <c r="KS7" s="802"/>
      <c r="KT7" s="802"/>
      <c r="KU7" s="802"/>
      <c r="KV7" s="802"/>
      <c r="KW7" s="802"/>
      <c r="KX7" s="802"/>
      <c r="KY7" s="802"/>
      <c r="KZ7" s="802"/>
      <c r="LA7" s="802"/>
      <c r="LB7" s="802"/>
      <c r="LC7" s="802"/>
      <c r="LD7" s="802"/>
      <c r="LE7" s="802"/>
      <c r="LF7" s="802"/>
      <c r="LG7" s="802"/>
      <c r="LH7" s="802"/>
      <c r="LI7" s="802"/>
      <c r="LJ7" s="802"/>
      <c r="LK7" s="802"/>
      <c r="LL7" s="802"/>
      <c r="LM7" s="802"/>
      <c r="LN7" s="802"/>
      <c r="LO7" s="802"/>
    </row>
    <row r="8" spans="1:327" ht="135" customHeight="1">
      <c r="A8" s="951">
        <f>IF($C8="","",ROWS($A$8:A8))</f>
        <v>1</v>
      </c>
      <c r="B8" s="952" t="s">
        <v>2600</v>
      </c>
      <c r="C8" s="952" t="s">
        <v>2104</v>
      </c>
      <c r="D8" s="952" t="s">
        <v>5270</v>
      </c>
      <c r="E8" s="985" t="s">
        <v>8026</v>
      </c>
      <c r="F8" s="953" t="s">
        <v>5271</v>
      </c>
      <c r="G8" s="646" t="s">
        <v>300</v>
      </c>
      <c r="H8" s="646" t="s">
        <v>2109</v>
      </c>
      <c r="I8" s="935" t="s">
        <v>8028</v>
      </c>
      <c r="J8" s="935" t="s">
        <v>5272</v>
      </c>
      <c r="K8" s="646" t="s">
        <v>2097</v>
      </c>
      <c r="L8" s="646" t="s">
        <v>2109</v>
      </c>
      <c r="M8" s="646" t="s">
        <v>2603</v>
      </c>
      <c r="N8" s="935" t="s">
        <v>5273</v>
      </c>
      <c r="O8" s="935" t="s">
        <v>5274</v>
      </c>
      <c r="P8" s="646"/>
      <c r="Q8" s="270">
        <f>IF($C8="","",IF(SUMIFS('ANALYSE - ERP =&gt; SOUS-SEGMENT'!$Q$8:$Q$1000,'ANALYSE - ERP =&gt; SOUS-SEGMENT'!$C$8:$C$1000,$C8)&gt;0,1,0))</f>
        <v>1</v>
      </c>
      <c r="R8" s="938">
        <f>IF($C8="","",IFERROR(SUMPRODUCT(('ANALYSE - ERP =&gt; SOUS-SEGMENT'!$C$8:$C$1000=$C8)*'ANALYSE - ERP =&gt; SOUS-SEGMENT'!$Q$8:$Q$1000*'ANALYSE - ERP =&gt; SOUS-SEGMENT'!$AF$8:$AF$1000*'ANALYSE - ERP =&gt; SOUS-SEGMENT'!$R$8:$R$1000)/SUMPRODUCT(('ANALYSE - ERP =&gt; SOUS-SEGMENT'!$C$8:$C$1000=$C8)*'ANALYSE - ERP =&gt; SOUS-SEGMENT'!$Q$8:$Q$1000*'ANALYSE - ERP =&gt; SOUS-SEGMENT'!$AF$8:$AF$1000),""))</f>
        <v>299.26211926211926</v>
      </c>
      <c r="S8" s="283">
        <f>IF($C8="","",SUMPRODUCT(('ANALYSE - ERP =&gt; SOUS-SEGMENT'!$C$8:$C$1000=$C8)*'ANALYSE - ERP =&gt; SOUS-SEGMENT'!$Q$8:$Q$1000*'ANALYSE - ERP =&gt; SOUS-SEGMENT'!$S$8:$S$1000))</f>
        <v>13549</v>
      </c>
      <c r="T8" s="283">
        <f>IF($C8="","",SUMPRODUCT(('ANALYSE - ERP =&gt; SOUS-SEGMENT'!$C$8:$C$1000=$C8)*'ANALYSE - ERP =&gt; SOUS-SEGMENT'!$Q$8:$Q$1000*'ANALYSE - ERP =&gt; SOUS-SEGMENT'!$T$8:$T$1000))</f>
        <v>14690</v>
      </c>
      <c r="U8" s="283">
        <f>IF($C8="","",SUMPRODUCT(('ANALYSE - ERP =&gt; SOUS-SEGMENT'!$C$8:$C$1000=$C8)*'ANALYSE - ERP =&gt; SOUS-SEGMENT'!$Q$8:$Q$1000*'ANALYSE - ERP =&gt; SOUS-SEGMENT'!$U$8:$U$1000))</f>
        <v>16136</v>
      </c>
      <c r="V8" s="283">
        <f>IF($C8="","",SUMPRODUCT(('ANALYSE - ERP =&gt; SOUS-SEGMENT'!$C$8:$C$1000=$C8)*'ANALYSE - ERP =&gt; SOUS-SEGMENT'!$Q$8:$Q$1000*'ANALYSE - ERP =&gt; SOUS-SEGMENT'!$V$8:$V$1000))</f>
        <v>17728</v>
      </c>
      <c r="W8" s="283">
        <f>IF($C8="","",SUMPRODUCT(('ANALYSE - ERP =&gt; SOUS-SEGMENT'!$C$8:$C$1000=$C8)*'ANALYSE - ERP =&gt; SOUS-SEGMENT'!$Q$8:$Q$1000*'ANALYSE - ERP =&gt; SOUS-SEGMENT'!$W$8:$W$1000))</f>
        <v>18155</v>
      </c>
      <c r="X8" s="283">
        <f>IF($C8="","",SUMPRODUCT(('ANALYSE - ERP =&gt; SOUS-SEGMENT'!$C$8:$C$1000=$C8)*'ANALYSE - ERP =&gt; SOUS-SEGMENT'!$Q$8:$Q$1000*'ANALYSE - ERP =&gt; SOUS-SEGMENT'!$X$8:$X$1000))</f>
        <v>18602</v>
      </c>
      <c r="Y8" s="283">
        <f>IF($C8="","",SUMPRODUCT(('ANALYSE - ERP =&gt; SOUS-SEGMENT'!$C$8:$C$1000=$C8)*'ANALYSE - ERP =&gt; SOUS-SEGMENT'!$Q$8:$Q$1000*'ANALYSE - ERP =&gt; SOUS-SEGMENT'!$Y$8:$Y$1000))</f>
        <v>19044</v>
      </c>
      <c r="Z8" s="283">
        <f>IF($C8="","",SUMPRODUCT(('ANALYSE - ERP =&gt; SOUS-SEGMENT'!$C$8:$C$1000=$C8)*'ANALYSE - ERP =&gt; SOUS-SEGMENT'!$Q$8:$Q$1000*'ANALYSE - ERP =&gt; SOUS-SEGMENT'!$Z$8:$Z$1000))</f>
        <v>19502</v>
      </c>
      <c r="AA8" s="283">
        <f>IF($C8="","",SUMPRODUCT(('ANALYSE - ERP =&gt; SOUS-SEGMENT'!$C$8:$C$1000=$C8)*'ANALYSE - ERP =&gt; SOUS-SEGMENT'!$Q$8:$Q$1000*'ANALYSE - ERP =&gt; SOUS-SEGMENT'!$AA$8:$AA$1000))</f>
        <v>19711</v>
      </c>
      <c r="AB8" s="283">
        <f>IF($C8="","",SUMPRODUCT(('ANALYSE - ERP =&gt; SOUS-SEGMENT'!$C$8:$C$1000=$C8)*'ANALYSE - ERP =&gt; SOUS-SEGMENT'!$Q$8:$Q$1000*'ANALYSE - ERP =&gt; SOUS-SEGMENT'!$AB$8:$AB$1000))</f>
        <v>19931</v>
      </c>
      <c r="AC8" s="283">
        <f>IF($C8="","",SUMPRODUCT(('ANALYSE - ERP =&gt; SOUS-SEGMENT'!$C$8:$C$1000=$C8)*'ANALYSE - ERP =&gt; SOUS-SEGMENT'!$Q$8:$Q$1000*'ANALYSE - ERP =&gt; SOUS-SEGMENT'!$AC$8:$AC$1000))</f>
        <v>20184</v>
      </c>
      <c r="AD8" s="283">
        <f>IF($C8="","",SUMPRODUCT(('ANALYSE - ERP =&gt; SOUS-SEGMENT'!$C$8:$C$1000=$C8)*'ANALYSE - ERP =&gt; SOUS-SEGMENT'!$Q$8:$Q$1000*'ANALYSE - ERP =&gt; SOUS-SEGMENT'!$AD$8:$AD$1000))</f>
        <v>20453</v>
      </c>
      <c r="AE8" s="283">
        <f>IF($C8="","",SUMPRODUCT(('ANALYSE - ERP =&gt; SOUS-SEGMENT'!$C$8:$C$1000=$C8)*'ANALYSE - ERP =&gt; SOUS-SEGMENT'!$Q$8:$Q$1000*'ANALYSE - ERP =&gt; SOUS-SEGMENT'!$AE$8:$AE$1000))</f>
        <v>20715</v>
      </c>
      <c r="AF8" s="283">
        <f>IF($C8="","",SUMPRODUCT(('ANALYSE - ERP =&gt; SOUS-SEGMENT'!$C$8:$C$1000=$C8)*'ANALYSE - ERP =&gt; SOUS-SEGMENT'!$Q$8:$Q$1000*'ANALYSE - ERP =&gt; SOUS-SEGMENT'!$AF$8:$AF$1000))</f>
        <v>20979</v>
      </c>
      <c r="AG8" s="283">
        <f>IF($C8="","",SUMPRODUCT(('ANALYSE - ERP =&gt; SOUS-SEGMENT'!$C$8:$C$1000=$C8)*'ANALYSE - ERP =&gt; SOUS-SEGMENT'!$Q$8:$Q$1000*'ANALYSE - ERP =&gt; SOUS-SEGMENT'!$AG$8:$AG$1000))</f>
        <v>21050</v>
      </c>
      <c r="AH8" s="283">
        <f>IF($C8="","",SUMPRODUCT(('ANALYSE - ERP =&gt; SOUS-SEGMENT'!$C$8:$C$1000=$C8)*'ANALYSE - ERP =&gt; SOUS-SEGMENT'!$Q$8:$Q$1000*'ANALYSE - ERP =&gt; SOUS-SEGMENT'!$AH$8:$AH$1000))</f>
        <v>21096</v>
      </c>
      <c r="AI8" s="283">
        <f>IF($C8="","",SUMPRODUCT(('ANALYSE - ERP =&gt; SOUS-SEGMENT'!$C$8:$C$1000=$C8)*'ANALYSE - ERP =&gt; SOUS-SEGMENT'!$Q$8:$Q$1000*'ANALYSE - ERP =&gt; SOUS-SEGMENT'!$AI$8:$AI$1000))</f>
        <v>21102</v>
      </c>
      <c r="AJ8" s="283">
        <f>IF($C8="","",SUMPRODUCT(('ANALYSE - ERP =&gt; SOUS-SEGMENT'!$C$8:$C$1000=$C8)*'ANALYSE - ERP =&gt; SOUS-SEGMENT'!$Q$8:$Q$1000*'ANALYSE - ERP =&gt; SOUS-SEGMENT'!$AJ$8:$AJ$1000))</f>
        <v>21068</v>
      </c>
      <c r="AK8" s="283">
        <f>IF($C8="","",SUMPRODUCT(('ANALYSE - ERP =&gt; SOUS-SEGMENT'!$C$8:$C$1000=$C8)*'ANALYSE - ERP =&gt; SOUS-SEGMENT'!$Q$8:$Q$1000*'ANALYSE - ERP =&gt; SOUS-SEGMENT'!$AK$8:$AK$1000))</f>
        <v>20995</v>
      </c>
      <c r="AL8" s="935" t="s">
        <v>5275</v>
      </c>
      <c r="AM8" s="646" t="s">
        <v>5276</v>
      </c>
      <c r="AN8" s="646" t="s">
        <v>5277</v>
      </c>
      <c r="AO8" s="657"/>
      <c r="AP8" s="278">
        <f>IF($C8="","",IFERROR(SUMPRODUCT(('ANALYSE - ERP =&gt; SOUS-SEGMENT'!$C$8:$C$1000=$C8)*'ANALYSE - ERP =&gt; SOUS-SEGMENT'!$Q$8:$Q$1000*'ANALYSE - ERP =&gt; SOUS-SEGMENT'!$AF$8:$AF$1000*'ANALYSE - ERP =&gt; SOUS-SEGMENT'!$AP$8:$AP$1000)/SUMPRODUCT(('ANALYSE - ERP =&gt; SOUS-SEGMENT'!$C$8:$C$1000=$C8)*'ANALYSE - ERP =&gt; SOUS-SEGMENT'!$Q$8:$Q$1000*'ANALYSE - ERP =&gt; SOUS-SEGMENT'!$AF$8:$AF$1000),""))</f>
        <v>39.43228943228943</v>
      </c>
      <c r="AQ8" s="278">
        <f>IF($C8="","",IFERROR(SUMPRODUCT(('ANALYSE - ERP =&gt; SOUS-SEGMENT'!$C$8:$C$1000=$C8)*'ANALYSE - ERP =&gt; SOUS-SEGMENT'!$Q$8:$Q$1000*'ANALYSE - ERP =&gt; SOUS-SEGMENT'!$AF$8:$AF$1000*'ANALYSE - ERP =&gt; SOUS-SEGMENT'!$AQ$8:$AQ$1000)/SUMPRODUCT(('ANALYSE - ERP =&gt; SOUS-SEGMENT'!$C$8:$C$1000=$C8)*'ANALYSE - ERP =&gt; SOUS-SEGMENT'!$Q$8:$Q$1000*'ANALYSE - ERP =&gt; SOUS-SEGMENT'!$AF$8:$AF$1000),""))</f>
        <v>30.553267553267553</v>
      </c>
      <c r="AR8" s="278">
        <f>IF($C8="","",IFERROR(SUMPRODUCT(('ANALYSE - ERP =&gt; SOUS-SEGMENT'!$C$8:$C$1000=$C8)*'ANALYSE - ERP =&gt; SOUS-SEGMENT'!$Q$8:$Q$1000*'ANALYSE - ERP =&gt; SOUS-SEGMENT'!$AF$8:$AF$1000*'ANALYSE - ERP =&gt; SOUS-SEGMENT'!$AR$8:$AR$1000)/SUMPRODUCT(('ANALYSE - ERP =&gt; SOUS-SEGMENT'!$C$8:$C$1000=$C8)*'ANALYSE - ERP =&gt; SOUS-SEGMENT'!$Q$8:$Q$1000*'ANALYSE - ERP =&gt; SOUS-SEGMENT'!$AF$8:$AF$1000),""))</f>
        <v>7.8592878592878597</v>
      </c>
      <c r="AS8" s="278">
        <f>IF($C8="","",IFERROR(SUMPRODUCT(('ANALYSE - ERP =&gt; SOUS-SEGMENT'!$C$8:$C$1000=$C8)*'ANALYSE - ERP =&gt; SOUS-SEGMENT'!$Q$8:$Q$1000*'ANALYSE - ERP =&gt; SOUS-SEGMENT'!$AF$8:$AF$1000*'ANALYSE - ERP =&gt; SOUS-SEGMENT'!$AS$8:$AS$1000)/SUMPRODUCT(('ANALYSE - ERP =&gt; SOUS-SEGMENT'!$C$8:$C$1000=$C8)*'ANALYSE - ERP =&gt; SOUS-SEGMENT'!$Q$8:$Q$1000*'ANALYSE - ERP =&gt; SOUS-SEGMENT'!$AF$8:$AF$1000),""))</f>
        <v>1.0197340197340197</v>
      </c>
      <c r="AT8" s="657"/>
      <c r="AU8" s="646" t="s">
        <v>5278</v>
      </c>
      <c r="AV8" s="646" t="s">
        <v>5279</v>
      </c>
      <c r="AW8" s="646" t="s">
        <v>5280</v>
      </c>
      <c r="AX8" s="646" t="s">
        <v>5281</v>
      </c>
      <c r="AY8" s="657"/>
      <c r="AZ8" s="947">
        <f>IF($C8="","",IFERROR(SUMPRODUCT(('ANALYSE - ERP =&gt; SOUS-SEGMENT'!$C$8:$C$1000=$C8)*'ANALYSE - ERP =&gt; SOUS-SEGMENT'!$Q$8:$Q$1000*'ANALYSE - ERP =&gt; SOUS-SEGMENT'!$AF$8:$AF$1000*'ANALYSE - ERP =&gt; SOUS-SEGMENT'!$AZ$8:$AZ$1000)/SUMPRODUCT(('ANALYSE - ERP =&gt; SOUS-SEGMENT'!$C$8:$C$1000=$C8)*'ANALYSE - ERP =&gt; SOUS-SEGMENT'!$Q$8:$Q$1000*'ANALYSE - ERP =&gt; SOUS-SEGMENT'!$AF$8:$AF$1000),""))</f>
        <v>5.8864578864578867</v>
      </c>
      <c r="BA8" s="947">
        <f>IF($C8="","",IFERROR(SUMPRODUCT(('ANALYSE - ERP =&gt; SOUS-SEGMENT'!$C$8:$C$1000=$C8)*'ANALYSE - ERP =&gt; SOUS-SEGMENT'!$Q$8:$Q$1000*'ANALYSE - ERP =&gt; SOUS-SEGMENT'!$AF$8:$AF$1000*'ANALYSE - ERP =&gt; SOUS-SEGMENT'!$BA$8:$BA$1000)/SUMPRODUCT(('ANALYSE - ERP =&gt; SOUS-SEGMENT'!$C$8:$C$1000=$C8)*'ANALYSE - ERP =&gt; SOUS-SEGMENT'!$Q$8:$Q$1000*'ANALYSE - ERP =&gt; SOUS-SEGMENT'!$AF$8:$AF$1000),""))</f>
        <v>0.24153081653081651</v>
      </c>
      <c r="BB8" s="947">
        <f>IF($C8="","",IFERROR(SUMPRODUCT(('ANALYSE - ERP =&gt; SOUS-SEGMENT'!$C$8:$C$1000=$C8)*'ANALYSE - ERP =&gt; SOUS-SEGMENT'!$Q$8:$Q$1000*'ANALYSE - ERP =&gt; SOUS-SEGMENT'!$AF$8:$AF$1000*'ANALYSE - ERP =&gt; SOUS-SEGMENT'!$BB$8:$BB$1000)/SUMPRODUCT(('ANALYSE - ERP =&gt; SOUS-SEGMENT'!$C$8:$C$1000=$C8)*'ANALYSE - ERP =&gt; SOUS-SEGMENT'!$Q$8:$Q$1000*'ANALYSE - ERP =&gt; SOUS-SEGMENT'!$AF$8:$AF$1000),""))</f>
        <v>0</v>
      </c>
      <c r="BC8" s="947">
        <f>IF($C8="","",IFERROR(SUMPRODUCT(('ANALYSE - ERP =&gt; SOUS-SEGMENT'!$C$8:$C$1000=$C8)*'ANALYSE - ERP =&gt; SOUS-SEGMENT'!$Q$8:$Q$1000*'ANALYSE - ERP =&gt; SOUS-SEGMENT'!$AF$8:$AF$1000*'ANALYSE - ERP =&gt; SOUS-SEGMENT'!$BC$8:$BC$1000)/SUMPRODUCT(('ANALYSE - ERP =&gt; SOUS-SEGMENT'!$C$8:$C$1000=$C8)*'ANALYSE - ERP =&gt; SOUS-SEGMENT'!$Q$8:$Q$1000*'ANALYSE - ERP =&gt; SOUS-SEGMENT'!$AF$8:$AF$1000),""))</f>
        <v>5.8864578864578867</v>
      </c>
      <c r="BD8" s="824">
        <f t="shared" ref="BD8:BD43" si="1">IF($C8="","",SUM(BE8:BH8))</f>
        <v>252051.07500000001</v>
      </c>
      <c r="BE8" s="283">
        <f>IF($C8="","",SUMPRODUCT(('ANALYSE - ERP =&gt; SOUS-SEGMENT'!$C$8:$C$1000=$C8)*'ANALYSE - ERP =&gt; SOUS-SEGMENT'!$Q$8:$Q$1000*'ANALYSE - ERP =&gt; SOUS-SEGMENT'!$BE$8:$BE$1000))</f>
        <v>123492</v>
      </c>
      <c r="BF8" s="283">
        <f>IF($C8="","",SUMPRODUCT(('ANALYSE - ERP =&gt; SOUS-SEGMENT'!$C$8:$C$1000=$C8)*'ANALYSE - ERP =&gt; SOUS-SEGMENT'!$Q$8:$Q$1000*'ANALYSE - ERP =&gt; SOUS-SEGMENT'!$BF$8:$BF$1000))</f>
        <v>5067.0749999999998</v>
      </c>
      <c r="BG8" s="283">
        <f>IF($C8="","",SUMPRODUCT(('ANALYSE - ERP =&gt; SOUS-SEGMENT'!$C$8:$C$1000=$C8)*'ANALYSE - ERP =&gt; SOUS-SEGMENT'!$Q$8:$Q$1000*'ANALYSE - ERP =&gt; SOUS-SEGMENT'!$BG$8:$BG$1000))</f>
        <v>0</v>
      </c>
      <c r="BH8" s="283">
        <f>IF($C8="","",SUMPRODUCT(('ANALYSE - ERP =&gt; SOUS-SEGMENT'!$C$8:$C$1000=$C8)*'ANALYSE - ERP =&gt; SOUS-SEGMENT'!$Q$8:$Q$1000*'ANALYSE - ERP =&gt; SOUS-SEGMENT'!$BH$8:$BH$1000))</f>
        <v>123492</v>
      </c>
      <c r="BI8" s="824">
        <f t="shared" ref="BI8:BI43" si="2">IF($C8="","",SUM(BJ8:BM8))</f>
        <v>252976.1</v>
      </c>
      <c r="BJ8" s="283">
        <f>IF($C8="","",SUMPRODUCT(('ANALYSE - ERP =&gt; SOUS-SEGMENT'!$C$8:$C$1000=$C8)*'ANALYSE - ERP =&gt; SOUS-SEGMENT'!$Q$8:$Q$1000*'ANALYSE - ERP =&gt; SOUS-SEGMENT'!$BJ$8:$BJ$1000))</f>
        <v>123945</v>
      </c>
      <c r="BK8" s="283">
        <f>IF($C8="","",SUMPRODUCT(('ANALYSE - ERP =&gt; SOUS-SEGMENT'!$C$8:$C$1000=$C8)*'ANALYSE - ERP =&gt; SOUS-SEGMENT'!$Q$8:$Q$1000*'ANALYSE - ERP =&gt; SOUS-SEGMENT'!$BK$8:$BK$1000))</f>
        <v>5086.1000000000004</v>
      </c>
      <c r="BL8" s="283">
        <f>IF($C8="","",SUMPRODUCT(('ANALYSE - ERP =&gt; SOUS-SEGMENT'!$C$8:$C$1000=$C8)*'ANALYSE - ERP =&gt; SOUS-SEGMENT'!$Q$8:$Q$1000*'ANALYSE - ERP =&gt; SOUS-SEGMENT'!$BL$8:$BL$1000))</f>
        <v>0</v>
      </c>
      <c r="BM8" s="283">
        <f>IF($C8="","",SUMPRODUCT(('ANALYSE - ERP =&gt; SOUS-SEGMENT'!$C$8:$C$1000=$C8)*'ANALYSE - ERP =&gt; SOUS-SEGMENT'!$Q$8:$Q$1000*'ANALYSE - ERP =&gt; SOUS-SEGMENT'!$BM$8:$BM$1000))</f>
        <v>123945</v>
      </c>
      <c r="BN8" s="657"/>
      <c r="BO8" s="305">
        <f t="shared" ref="BO8:BO43" si="3">IF($C8="","",IFERROR(DH8/$BE8,0))</f>
        <v>0.5</v>
      </c>
      <c r="BP8" s="305">
        <f t="shared" ref="BP8:BP43" si="4">IF($C8="","",IFERROR(DI8/$BE8,0))</f>
        <v>0.42</v>
      </c>
      <c r="BQ8" s="305">
        <f t="shared" ref="BQ8:BQ43" si="5">IF($C8="","",IFERROR(DJ8/$BE8,0))</f>
        <v>0.04</v>
      </c>
      <c r="BR8" s="581">
        <f t="shared" ref="BR8:BR43" si="6">IF($C8="","",IFERROR(DK8/$BE8,0))</f>
        <v>0.04</v>
      </c>
      <c r="BS8" s="706">
        <f t="shared" ref="BS8:BS43" si="7">IF($C8="","",IFERROR(DM8/$BJ8,0))</f>
        <v>0.48000000000000004</v>
      </c>
      <c r="BT8" s="305">
        <f t="shared" ref="BT8:BT43" si="8">IF($C8="","",IFERROR(DN8/$BJ8,0))</f>
        <v>0.41999999999999993</v>
      </c>
      <c r="BU8" s="305">
        <f t="shared" ref="BU8:BU43" si="9">IF($C8="","",IFERROR(DO8/$BJ8,0))</f>
        <v>6.0000000000000005E-2</v>
      </c>
      <c r="BV8" s="581">
        <f t="shared" ref="BV8:BV43" si="10">IF($C8="","",IFERROR(DP8/$BJ8,0))</f>
        <v>3.9999999999999994E-2</v>
      </c>
      <c r="BW8" s="713">
        <f t="shared" ref="BW8:BW43" si="11">IF($C8="","",IFERROR(DS8/$BF8,0))</f>
        <v>0.90000000000000013</v>
      </c>
      <c r="BX8" s="306">
        <f t="shared" ref="BX8:BX43" si="12">IF($C8="","",IFERROR(DT8/$BF8,0))</f>
        <v>0.08</v>
      </c>
      <c r="BY8" s="590">
        <f t="shared" ref="BY8:BY43" si="13">IF($C8="","",IFERROR(DU8/$BF8,0))</f>
        <v>0.02</v>
      </c>
      <c r="BZ8" s="713">
        <f t="shared" ref="BZ8:BZ43" si="14">IF($C8="","",IFERROR(DW8/$BK8,0))</f>
        <v>0.87999999999999989</v>
      </c>
      <c r="CA8" s="306">
        <f t="shared" ref="CA8:CA43" si="15">IF($C8="","",IFERROR(DX8/$BK8,0))</f>
        <v>0.09</v>
      </c>
      <c r="CB8" s="590">
        <f t="shared" ref="CB8:CB43" si="16">IF($C8="","",IFERROR(DY8/$BK8,0))</f>
        <v>0.03</v>
      </c>
      <c r="CC8" s="706">
        <f t="shared" ref="CC8:CC43" si="17">IF($C8="","",IFERROR(EB8/$BG8,0))</f>
        <v>0</v>
      </c>
      <c r="CD8" s="305">
        <f t="shared" ref="CD8:CD43" si="18">IF($C8="","",IFERROR(EC8/$BG8,0))</f>
        <v>0</v>
      </c>
      <c r="CE8" s="305">
        <f t="shared" ref="CE8:CE43" si="19">IF($C8="","",IFERROR(ED8/$BG8,0))</f>
        <v>0</v>
      </c>
      <c r="CF8" s="581">
        <f t="shared" ref="CF8:CF43" si="20">IF($C8="","",IFERROR(EE8/$BG8,0))</f>
        <v>0</v>
      </c>
      <c r="CG8" s="706">
        <f t="shared" ref="CG8:CG43" si="21">IF($C8="","",IFERROR(EG8/$BL8,0))</f>
        <v>0</v>
      </c>
      <c r="CH8" s="305">
        <f t="shared" ref="CH8:CH43" si="22">IF($C8="","",IFERROR(EH8/$BL8,0))</f>
        <v>0</v>
      </c>
      <c r="CI8" s="305">
        <f t="shared" ref="CI8:CI43" si="23">IF($C8="","",IFERROR(EI8/$BL8,0))</f>
        <v>0</v>
      </c>
      <c r="CJ8" s="581">
        <f t="shared" ref="CJ8:CJ43" si="24">IF($C8="","",IFERROR(EJ8/$BL8,0))</f>
        <v>0</v>
      </c>
      <c r="CK8" s="719">
        <f t="shared" ref="CK8:CK43" si="25">IF($C8="","",IFERROR(EM8/$BH8,0))</f>
        <v>0.85</v>
      </c>
      <c r="CL8" s="307">
        <f t="shared" ref="CL8:CL43" si="26">IF($C8="","",IFERROR(EN8/$BH8,0))</f>
        <v>0.15</v>
      </c>
      <c r="CM8" s="723">
        <f t="shared" ref="CM8:CM43" si="27">IF($C8="","",IFERROR(EO8/$BH8,0))</f>
        <v>0</v>
      </c>
      <c r="CN8" s="719">
        <f t="shared" ref="CN8:CN43" si="28">IF($C8="","",IFERROR(EQ8/$BM8,0))</f>
        <v>0.8</v>
      </c>
      <c r="CO8" s="307">
        <f t="shared" ref="CO8:CO43" si="29">IF($C8="","",IFERROR(ER8/$BM8,0))</f>
        <v>0.18</v>
      </c>
      <c r="CP8" s="723">
        <f t="shared" ref="CP8:CP43" si="30">IF($C8="","",IFERROR(ES8/$BM8,0))</f>
        <v>1.9999999999999997E-2</v>
      </c>
      <c r="CQ8" s="657"/>
      <c r="CR8" s="804">
        <f>IF($C8="","",IFERROR(SUMPRODUCT(('ANALYSE - ERP =&gt; SOUS-SEGMENT'!$C$8:$C$1000=$C8)*'ANALYSE - ERP =&gt; SOUS-SEGMENT'!$Q$8:$Q$1000*'ANALYSE - ERP =&gt; SOUS-SEGMENT'!$DH$8:$DH$1000*'ANALYSE - ERP =&gt; SOUS-SEGMENT'!$CR$8:$CR$1000)/SUMPRODUCT(('ANALYSE - ERP =&gt; SOUS-SEGMENT'!$C$8:$C$1000=$C8)*'ANALYSE - ERP =&gt; SOUS-SEGMENT'!$Q$8:$Q$1000*'ANALYSE - ERP =&gt; SOUS-SEGMENT'!$DH$8:$DH$1000),""))</f>
        <v>14</v>
      </c>
      <c r="CS8" s="805">
        <f>IF($C8="","",IFERROR(SUMPRODUCT(('ANALYSE - ERP =&gt; SOUS-SEGMENT'!$C$8:$C$1000=$C8)*'ANALYSE - ERP =&gt; SOUS-SEGMENT'!$Q$8:$Q$1000*'ANALYSE - ERP =&gt; SOUS-SEGMENT'!$DI$8:$DI$1000*'ANALYSE - ERP =&gt; SOUS-SEGMENT'!$CS$8:$CS$1000)/SUMPRODUCT(('ANALYSE - ERP =&gt; SOUS-SEGMENT'!$C$8:$C$1000=$C8)*'ANALYSE - ERP =&gt; SOUS-SEGMENT'!$Q$8:$Q$1000*'ANALYSE - ERP =&gt; SOUS-SEGMENT'!$DI$8:$DI$1000),""))</f>
        <v>13.000000000000002</v>
      </c>
      <c r="CT8" s="805">
        <f>IF($C8="","",IFERROR(SUMPRODUCT(('ANALYSE - ERP =&gt; SOUS-SEGMENT'!$C$8:$C$1000=$C8)*'ANALYSE - ERP =&gt; SOUS-SEGMENT'!$Q$8:$Q$1000*'ANALYSE - ERP =&gt; SOUS-SEGMENT'!$DJ$8:$DJ$1000*'ANALYSE - ERP =&gt; SOUS-SEGMENT'!$CT$8:$CT$1000)/SUMPRODUCT(('ANALYSE - ERP =&gt; SOUS-SEGMENT'!$C$8:$C$1000=$C8)*'ANALYSE - ERP =&gt; SOUS-SEGMENT'!$Q$8:$Q$1000*'ANALYSE - ERP =&gt; SOUS-SEGMENT'!$DJ$8:$DJ$1000),""))</f>
        <v>10</v>
      </c>
      <c r="CU8" s="806">
        <f>IF($C8="","",IFERROR(SUMPRODUCT(('ANALYSE - ERP =&gt; SOUS-SEGMENT'!$C$8:$C$1000=$C8)*'ANALYSE - ERP =&gt; SOUS-SEGMENT'!$Q$8:$Q$1000*'ANALYSE - ERP =&gt; SOUS-SEGMENT'!$DK$8:$DK$1000*'ANALYSE - ERP =&gt; SOUS-SEGMENT'!$CU$8:$CU$1000)/SUMPRODUCT(('ANALYSE - ERP =&gt; SOUS-SEGMENT'!$C$8:$C$1000=$C8)*'ANALYSE - ERP =&gt; SOUS-SEGMENT'!$Q$8:$Q$1000*'ANALYSE - ERP =&gt; SOUS-SEGMENT'!$DK$8:$DK$1000),""))</f>
        <v>12.000000000000002</v>
      </c>
      <c r="CV8" s="804">
        <f>IF($C8="","",IFERROR(SUMPRODUCT(('ANALYSE - ERP =&gt; SOUS-SEGMENT'!$C$8:$C$1000=$C8)*'ANALYSE - ERP =&gt; SOUS-SEGMENT'!$Q$8:$Q$1000*'ANALYSE - ERP =&gt; SOUS-SEGMENT'!$DS$8:$DS$1000*'ANALYSE - ERP =&gt; SOUS-SEGMENT'!$CV$8:$CV$1000)/SUMPRODUCT(('ANALYSE - ERP =&gt; SOUS-SEGMENT'!$C$8:$C$1000=$C8)*'ANALYSE - ERP =&gt; SOUS-SEGMENT'!$Q$8:$Q$1000*'ANALYSE - ERP =&gt; SOUS-SEGMENT'!$DS$8:$DS$1000),""))</f>
        <v>12.967318423350749</v>
      </c>
      <c r="CW8" s="805">
        <f>IF($C8="","",IFERROR(SUMPRODUCT(('ANALYSE - ERP =&gt; SOUS-SEGMENT'!$C$8:$C$1000=$C8)*'ANALYSE - ERP =&gt; SOUS-SEGMENT'!$Q$8:$Q$1000*'ANALYSE - ERP =&gt; SOUS-SEGMENT'!$DT$8:$DT$1000*'ANALYSE - ERP =&gt; SOUS-SEGMENT'!$CW$8:$CW$1000)/SUMPRODUCT(('ANALYSE - ERP =&gt; SOUS-SEGMENT'!$C$8:$C$1000=$C8)*'ANALYSE - ERP =&gt; SOUS-SEGMENT'!$Q$8:$Q$1000*'ANALYSE - ERP =&gt; SOUS-SEGMENT'!$DT$8:$DT$1000),""))</f>
        <v>11.967318423350749</v>
      </c>
      <c r="CX8" s="806">
        <f>IF($C8="","",IFERROR(SUMPRODUCT(('ANALYSE - ERP =&gt; SOUS-SEGMENT'!$C$8:$C$1000=$C8)*'ANALYSE - ERP =&gt; SOUS-SEGMENT'!$Q$8:$Q$1000*'ANALYSE - ERP =&gt; SOUS-SEGMENT'!$DU$8:$DU$1000*'ANALYSE - ERP =&gt; SOUS-SEGMENT'!$CX$8:$CX$1000)/SUMPRODUCT(('ANALYSE - ERP =&gt; SOUS-SEGMENT'!$C$8:$C$1000=$C8)*'ANALYSE - ERP =&gt; SOUS-SEGMENT'!$Q$8:$Q$1000*'ANALYSE - ERP =&gt; SOUS-SEGMENT'!$DU$8:$DU$1000),""))</f>
        <v>8.9836592116753753</v>
      </c>
      <c r="CY8" s="804" t="str">
        <f>IF($C8="","",IFERROR(SUMPRODUCT(('ANALYSE - ERP =&gt; SOUS-SEGMENT'!$C$8:$C$1000=$C8)*'ANALYSE - ERP =&gt; SOUS-SEGMENT'!$Q$8:$Q$1000*'ANALYSE - ERP =&gt; SOUS-SEGMENT'!$EB$8:$EB$1000*'ANALYSE - ERP =&gt; SOUS-SEGMENT'!$CY$8:$CY$1000)/SUMPRODUCT(('ANALYSE - ERP =&gt; SOUS-SEGMENT'!$C$8:$C$1000=$C8)*'ANALYSE - ERP =&gt; SOUS-SEGMENT'!$Q$8:$Q$1000*'ANALYSE - ERP =&gt; SOUS-SEGMENT'!$EB$8:$EB$1000),""))</f>
        <v/>
      </c>
      <c r="CZ8" s="805" t="str">
        <f>IF($C8="","",IFERROR(SUMPRODUCT(('ANALYSE - ERP =&gt; SOUS-SEGMENT'!$C$8:$C$1000=$C8)*'ANALYSE - ERP =&gt; SOUS-SEGMENT'!$Q$8:$Q$1000*'ANALYSE - ERP =&gt; SOUS-SEGMENT'!$EC$8:$EC$1000*'ANALYSE - ERP =&gt; SOUS-SEGMENT'!$CZ$8:$CZ$1000)/SUMPRODUCT(('ANALYSE - ERP =&gt; SOUS-SEGMENT'!$C$8:$C$1000=$C8)*'ANALYSE - ERP =&gt; SOUS-SEGMENT'!$Q$8:$Q$1000*'ANALYSE - ERP =&gt; SOUS-SEGMENT'!$EC$8:$EC$1000),""))</f>
        <v/>
      </c>
      <c r="DA8" s="805" t="str">
        <f>IF($C8="","",IFERROR(SUMPRODUCT(('ANALYSE - ERP =&gt; SOUS-SEGMENT'!$C$8:$C$1000=$C8)*'ANALYSE - ERP =&gt; SOUS-SEGMENT'!$Q$8:$Q$1000*'ANALYSE - ERP =&gt; SOUS-SEGMENT'!$ED$8:$ED$1000*'ANALYSE - ERP =&gt; SOUS-SEGMENT'!$DA$8:$DA$1000)/SUMPRODUCT(('ANALYSE - ERP =&gt; SOUS-SEGMENT'!$C$8:$C$1000=$C8)*'ANALYSE - ERP =&gt; SOUS-SEGMENT'!$Q$8:$Q$1000*'ANALYSE - ERP =&gt; SOUS-SEGMENT'!$ED$8:$ED$1000),""))</f>
        <v/>
      </c>
      <c r="DB8" s="806" t="str">
        <f>IF($C8="","",IFERROR(SUMPRODUCT(('ANALYSE - ERP =&gt; SOUS-SEGMENT'!$C$8:$C$1000=$C8)*'ANALYSE - ERP =&gt; SOUS-SEGMENT'!$Q$8:$Q$1000*'ANALYSE - ERP =&gt; SOUS-SEGMENT'!$EE$8:$EE$1000*'ANALYSE - ERP =&gt; SOUS-SEGMENT'!$DB$8:$DB$1000)/SUMPRODUCT(('ANALYSE - ERP =&gt; SOUS-SEGMENT'!$C$8:$C$1000=$C8)*'ANALYSE - ERP =&gt; SOUS-SEGMENT'!$Q$8:$Q$1000*'ANALYSE - ERP =&gt; SOUS-SEGMENT'!$EE$8:$EE$1000),""))</f>
        <v/>
      </c>
      <c r="DC8" s="804">
        <f>IF($C8="","",IFERROR(SUMPRODUCT(('ANALYSE - ERP =&gt; SOUS-SEGMENT'!$C$8:$C$1000=$C8)*'ANALYSE - ERP =&gt; SOUS-SEGMENT'!$Q$8:$Q$1000*'ANALYSE - ERP =&gt; SOUS-SEGMENT'!$EM$8:$EM$1000*'ANALYSE - ERP =&gt; SOUS-SEGMENT'!$DC$8:$DC$1000)/SUMPRODUCT(('ANALYSE - ERP =&gt; SOUS-SEGMENT'!$C$8:$C$1000=$C8)*'ANALYSE - ERP =&gt; SOUS-SEGMENT'!$Q$8:$Q$1000*'ANALYSE - ERP =&gt; SOUS-SEGMENT'!$EM$8:$EM$1000),""))</f>
        <v>15</v>
      </c>
      <c r="DD8" s="805">
        <f>IF($C8="","",IFERROR(SUMPRODUCT(('ANALYSE - ERP =&gt; SOUS-SEGMENT'!$C$8:$C$1000=$C8)*'ANALYSE - ERP =&gt; SOUS-SEGMENT'!$Q$8:$Q$1000*'ANALYSE - ERP =&gt; SOUS-SEGMENT'!$EN$8:$EN$1000*'ANALYSE - ERP =&gt; SOUS-SEGMENT'!$DD$8:$DD$1000)/SUMPRODUCT(('ANALYSE - ERP =&gt; SOUS-SEGMENT'!$C$8:$C$1000=$C8)*'ANALYSE - ERP =&gt; SOUS-SEGMENT'!$Q$8:$Q$1000*'ANALYSE - ERP =&gt; SOUS-SEGMENT'!$EN$8:$EN$1000),""))</f>
        <v>15</v>
      </c>
      <c r="DE8" s="806" t="str">
        <f>IF($C8="","",IFERROR(SUMPRODUCT(('ANALYSE - ERP =&gt; SOUS-SEGMENT'!$C$8:$C$1000=$C8)*'ANALYSE - ERP =&gt; SOUS-SEGMENT'!$Q$8:$Q$1000*'ANALYSE - ERP =&gt; SOUS-SEGMENT'!$EO$8:$EO$1000*'ANALYSE - ERP =&gt; SOUS-SEGMENT'!$DE$8:$DE$1000)/SUMPRODUCT(('ANALYSE - ERP =&gt; SOUS-SEGMENT'!$C$8:$C$1000=$C8)*'ANALYSE - ERP =&gt; SOUS-SEGMENT'!$Q$8:$Q$1000*'ANALYSE - ERP =&gt; SOUS-SEGMENT'!$EO$8:$EO$1000),""))</f>
        <v/>
      </c>
      <c r="DF8" s="919" t="s">
        <v>5282</v>
      </c>
      <c r="DG8" s="657"/>
      <c r="DH8" s="308">
        <f>IF($C8="","",SUMPRODUCT(('ANALYSE - ERP =&gt; SOUS-SEGMENT'!$C$8:$C$1000=$C8)*'ANALYSE - ERP =&gt; SOUS-SEGMENT'!$Q$8:$Q$1000*'ANALYSE - ERP =&gt; SOUS-SEGMENT'!$DH$8:$DH$1000))</f>
        <v>61746</v>
      </c>
      <c r="DI8" s="308">
        <f>IF($C8="","",SUMPRODUCT(('ANALYSE - ERP =&gt; SOUS-SEGMENT'!$C$8:$C$1000=$C8)*'ANALYSE - ERP =&gt; SOUS-SEGMENT'!$Q$8:$Q$1000*'ANALYSE - ERP =&gt; SOUS-SEGMENT'!$DI$8:$DI$1000))</f>
        <v>51866.64</v>
      </c>
      <c r="DJ8" s="308">
        <f>IF($C8="","",SUMPRODUCT(('ANALYSE - ERP =&gt; SOUS-SEGMENT'!$C$8:$C$1000=$C8)*'ANALYSE - ERP =&gt; SOUS-SEGMENT'!$Q$8:$Q$1000*'ANALYSE - ERP =&gt; SOUS-SEGMENT'!$DJ$8:$DJ$1000))</f>
        <v>4939.68</v>
      </c>
      <c r="DK8" s="308">
        <f>IF($C8="","",SUMPRODUCT(('ANALYSE - ERP =&gt; SOUS-SEGMENT'!$C$8:$C$1000=$C8)*'ANALYSE - ERP =&gt; SOUS-SEGMENT'!$Q$8:$Q$1000*'ANALYSE - ERP =&gt; SOUS-SEGMENT'!$DK$8:$DK$1000))</f>
        <v>4939.68</v>
      </c>
      <c r="DL8" s="646" t="s">
        <v>5283</v>
      </c>
      <c r="DM8" s="308">
        <f>IF($C8="","",SUMPRODUCT(('ANALYSE - ERP =&gt; SOUS-SEGMENT'!$C$8:$C$1000=$C8)*'ANALYSE - ERP =&gt; SOUS-SEGMENT'!$Q$8:$Q$1000*'ANALYSE - ERP =&gt; SOUS-SEGMENT'!$DM$8:$DM$1000))</f>
        <v>59493.600000000006</v>
      </c>
      <c r="DN8" s="308">
        <f>IF($C8="","",SUMPRODUCT(('ANALYSE - ERP =&gt; SOUS-SEGMENT'!$C$8:$C$1000=$C8)*'ANALYSE - ERP =&gt; SOUS-SEGMENT'!$Q$8:$Q$1000*'ANALYSE - ERP =&gt; SOUS-SEGMENT'!$DN$8:$DN$1000))</f>
        <v>52056.899999999994</v>
      </c>
      <c r="DO8" s="308">
        <f>IF($C8="","",SUMPRODUCT(('ANALYSE - ERP =&gt; SOUS-SEGMENT'!$C$8:$C$1000=$C8)*'ANALYSE - ERP =&gt; SOUS-SEGMENT'!$Q$8:$Q$1000*'ANALYSE - ERP =&gt; SOUS-SEGMENT'!$DO$8:$DO$1000))</f>
        <v>7436.7000000000007</v>
      </c>
      <c r="DP8" s="308">
        <f>IF($C8="","",SUMPRODUCT(('ANALYSE - ERP =&gt; SOUS-SEGMENT'!$C$8:$C$1000=$C8)*'ANALYSE - ERP =&gt; SOUS-SEGMENT'!$Q$8:$Q$1000*'ANALYSE - ERP =&gt; SOUS-SEGMENT'!$DP$8:$DP$1000))</f>
        <v>4957.7999999999993</v>
      </c>
      <c r="DQ8" s="646" t="s">
        <v>5284</v>
      </c>
      <c r="DR8" s="657"/>
      <c r="DS8" s="308">
        <f>IF($C8="","",SUMPRODUCT(('ANALYSE - ERP =&gt; SOUS-SEGMENT'!$C$8:$C$1000=$C8)*'ANALYSE - ERP =&gt; SOUS-SEGMENT'!$Q$8:$Q$1000*'ANALYSE - ERP =&gt; SOUS-SEGMENT'!$DS$8:$DS$1000))</f>
        <v>4560.3675000000003</v>
      </c>
      <c r="DT8" s="308">
        <f>IF($C8="","",SUMPRODUCT(('ANALYSE - ERP =&gt; SOUS-SEGMENT'!$C$8:$C$1000=$C8)*'ANALYSE - ERP =&gt; SOUS-SEGMENT'!$Q$8:$Q$1000*'ANALYSE - ERP =&gt; SOUS-SEGMENT'!$DT$8:$DT$1000))</f>
        <v>405.36599999999999</v>
      </c>
      <c r="DU8" s="308">
        <f>IF($C8="","",SUMPRODUCT(('ANALYSE - ERP =&gt; SOUS-SEGMENT'!$C$8:$C$1000=$C8)*'ANALYSE - ERP =&gt; SOUS-SEGMENT'!$Q$8:$Q$1000*'ANALYSE - ERP =&gt; SOUS-SEGMENT'!$DU$8:$DU$1000))</f>
        <v>101.3415</v>
      </c>
      <c r="DV8" s="646" t="s">
        <v>5285</v>
      </c>
      <c r="DW8" s="308">
        <f>IF($C8="","",SUMPRODUCT(('ANALYSE - ERP =&gt; SOUS-SEGMENT'!$C$8:$C$1000=$C8)*'ANALYSE - ERP =&gt; SOUS-SEGMENT'!$Q$8:$Q$1000*'ANALYSE - ERP =&gt; SOUS-SEGMENT'!$DW$8:$DW$1000))</f>
        <v>4475.768</v>
      </c>
      <c r="DX8" s="308">
        <f>IF($C8="","",SUMPRODUCT(('ANALYSE - ERP =&gt; SOUS-SEGMENT'!$C$8:$C$1000=$C8)*'ANALYSE - ERP =&gt; SOUS-SEGMENT'!$Q$8:$Q$1000*'ANALYSE - ERP =&gt; SOUS-SEGMENT'!$DX$8:$DX$1000))</f>
        <v>457.74900000000002</v>
      </c>
      <c r="DY8" s="308">
        <f>IF($C8="","",SUMPRODUCT(('ANALYSE - ERP =&gt; SOUS-SEGMENT'!$C$8:$C$1000=$C8)*'ANALYSE - ERP =&gt; SOUS-SEGMENT'!$Q$8:$Q$1000*'ANALYSE - ERP =&gt; SOUS-SEGMENT'!$DY$8:$DY$1000))</f>
        <v>152.583</v>
      </c>
      <c r="DZ8" s="646" t="s">
        <v>5286</v>
      </c>
      <c r="EA8" s="657"/>
      <c r="EB8" s="308">
        <f>IF($C8="","",SUMPRODUCT(('ANALYSE - ERP =&gt; SOUS-SEGMENT'!$C$8:$C$1000=$C8)*'ANALYSE - ERP =&gt; SOUS-SEGMENT'!$Q$8:$Q$1000*'ANALYSE - ERP =&gt; SOUS-SEGMENT'!$EB$8:$EB$1000))</f>
        <v>0</v>
      </c>
      <c r="EC8" s="308">
        <f>IF($C8="","",SUMPRODUCT(('ANALYSE - ERP =&gt; SOUS-SEGMENT'!$C$8:$C$1000=$C8)*'ANALYSE - ERP =&gt; SOUS-SEGMENT'!$Q$8:$Q$1000*'ANALYSE - ERP =&gt; SOUS-SEGMENT'!$EC$8:$EC$1000))</f>
        <v>0</v>
      </c>
      <c r="ED8" s="308">
        <f>IF($C8="","",SUMPRODUCT(('ANALYSE - ERP =&gt; SOUS-SEGMENT'!$C$8:$C$1000=$C8)*'ANALYSE - ERP =&gt; SOUS-SEGMENT'!$Q$8:$Q$1000*'ANALYSE - ERP =&gt; SOUS-SEGMENT'!$ED$8:$ED$1000))</f>
        <v>0</v>
      </c>
      <c r="EE8" s="308">
        <f>IF($C8="","",SUMPRODUCT(('ANALYSE - ERP =&gt; SOUS-SEGMENT'!$C$8:$C$1000=$C8)*'ANALYSE - ERP =&gt; SOUS-SEGMENT'!$Q$8:$Q$1000*'ANALYSE - ERP =&gt; SOUS-SEGMENT'!$EE$8:$EE$1000))</f>
        <v>0</v>
      </c>
      <c r="EF8" s="646" t="s">
        <v>2613</v>
      </c>
      <c r="EG8" s="308">
        <f>IF($C8="","",SUMPRODUCT(('ANALYSE - ERP =&gt; SOUS-SEGMENT'!$C$8:$C$1000=$C8)*'ANALYSE - ERP =&gt; SOUS-SEGMENT'!$Q$8:$Q$1000*'ANALYSE - ERP =&gt; SOUS-SEGMENT'!$EG$8:$EG$1000))</f>
        <v>0</v>
      </c>
      <c r="EH8" s="308">
        <f>IF($C8="","",SUMPRODUCT(('ANALYSE - ERP =&gt; SOUS-SEGMENT'!$C$8:$C$1000=$C8)*'ANALYSE - ERP =&gt; SOUS-SEGMENT'!$Q$8:$Q$1000*'ANALYSE - ERP =&gt; SOUS-SEGMENT'!$EH$8:$EH$1000))</f>
        <v>0</v>
      </c>
      <c r="EI8" s="308">
        <f>IF($C8="","",SUMPRODUCT(('ANALYSE - ERP =&gt; SOUS-SEGMENT'!$C$8:$C$1000=$C8)*'ANALYSE - ERP =&gt; SOUS-SEGMENT'!$Q$8:$Q$1000*'ANALYSE - ERP =&gt; SOUS-SEGMENT'!$EI$8:$EI$1000))</f>
        <v>0</v>
      </c>
      <c r="EJ8" s="308">
        <f>IF($C8="","",SUMPRODUCT(('ANALYSE - ERP =&gt; SOUS-SEGMENT'!$C$8:$C$1000=$C8)*'ANALYSE - ERP =&gt; SOUS-SEGMENT'!$Q$8:$Q$1000*'ANALYSE - ERP =&gt; SOUS-SEGMENT'!$EJ$8:$EJ$1000))</f>
        <v>0</v>
      </c>
      <c r="EK8" s="936" t="s">
        <v>2613</v>
      </c>
      <c r="EL8" s="657"/>
      <c r="EM8" s="308">
        <f>IF($C8="","",SUMPRODUCT(('ANALYSE - ERP =&gt; SOUS-SEGMENT'!$C$8:$C$1000=$C8)*'ANALYSE - ERP =&gt; SOUS-SEGMENT'!$Q$8:$Q$1000*'ANALYSE - ERP =&gt; SOUS-SEGMENT'!$EM$8:$EM$1000))</f>
        <v>104968.2</v>
      </c>
      <c r="EN8" s="310">
        <f>IF($C8="","",SUMPRODUCT(('ANALYSE - ERP =&gt; SOUS-SEGMENT'!$C$8:$C$1000=$C8)*'ANALYSE - ERP =&gt; SOUS-SEGMENT'!$Q$8:$Q$1000*'ANALYSE - ERP =&gt; SOUS-SEGMENT'!$EN$8:$EN$1000))</f>
        <v>18523.8</v>
      </c>
      <c r="EO8" s="310">
        <f>IF($C8="","",SUMPRODUCT(('ANALYSE - ERP =&gt; SOUS-SEGMENT'!$C$8:$C$1000=$C8)*'ANALYSE - ERP =&gt; SOUS-SEGMENT'!$Q$8:$Q$1000*'ANALYSE - ERP =&gt; SOUS-SEGMENT'!$EO$8:$EO$1000))</f>
        <v>0</v>
      </c>
      <c r="EP8" s="646" t="s">
        <v>5287</v>
      </c>
      <c r="EQ8" s="308">
        <f>IF($C8="","",SUMPRODUCT(('ANALYSE - ERP =&gt; SOUS-SEGMENT'!$C$8:$C$1000=$C8)*'ANALYSE - ERP =&gt; SOUS-SEGMENT'!$Q$8:$Q$1000*'ANALYSE - ERP =&gt; SOUS-SEGMENT'!$EQ$8:$EQ$1000))</f>
        <v>99156</v>
      </c>
      <c r="ER8" s="310">
        <f>IF($C8="","",SUMPRODUCT(('ANALYSE - ERP =&gt; SOUS-SEGMENT'!$C$8:$C$1000=$C8)*'ANALYSE - ERP =&gt; SOUS-SEGMENT'!$Q$8:$Q$1000*'ANALYSE - ERP =&gt; SOUS-SEGMENT'!$ER$8:$ER$1000))</f>
        <v>22310.1</v>
      </c>
      <c r="ES8" s="310">
        <f>IF($C8="","",SUMPRODUCT(('ANALYSE - ERP =&gt; SOUS-SEGMENT'!$C$8:$C$1000=$C8)*'ANALYSE - ERP =&gt; SOUS-SEGMENT'!$Q$8:$Q$1000*'ANALYSE - ERP =&gt; SOUS-SEGMENT'!$ES$8:$ES$1000))</f>
        <v>2478.8999999999996</v>
      </c>
      <c r="ET8" s="646" t="s">
        <v>5288</v>
      </c>
      <c r="EU8" s="657"/>
      <c r="EV8" s="728">
        <f t="shared" ref="EV8:EV43" si="31">IF($C8="","",IFERROR(EY8/EX8,0))</f>
        <v>0.80952317574794752</v>
      </c>
      <c r="EW8" s="728">
        <f t="shared" ref="EW8:EW43" si="32">IF($C8="","",IFERROR(EZ8/EX8,0))</f>
        <v>0.19047682425205251</v>
      </c>
      <c r="EX8" s="311">
        <f t="shared" ref="EX8:EX43" si="33">IF($C8="","",EY8+EZ8)</f>
        <v>59399.977688509171</v>
      </c>
      <c r="EY8" s="311">
        <f t="shared" ref="EY8:EY43" si="34">IF($C8="","",SUM(FB8,FE8,FH8,FK8))</f>
        <v>48085.658577759168</v>
      </c>
      <c r="EZ8" s="311">
        <f t="shared" ref="EZ8:EZ43" si="35">IF($C8="","",SUM(FC8,FF8,FI8,FL8))</f>
        <v>11314.319110750001</v>
      </c>
      <c r="FA8" s="311">
        <f t="shared" ref="FA8:FA43" si="36">IF($C8="","",FB8+FC8)</f>
        <v>29085.03141326777</v>
      </c>
      <c r="FB8" s="311">
        <f>IF($C8="","",SUMPRODUCT(('ANALYSE - ERP =&gt; SOUS-SEGMENT'!$C$8:$C$1000=$C8)*'ANALYSE - ERP =&gt; SOUS-SEGMENT'!$Q$8:$Q$1000*'ANALYSE - ERP =&gt; SOUS-SEGMENT'!$FB$8:$FB$1000))</f>
        <v>23541.724713267769</v>
      </c>
      <c r="FC8" s="311">
        <f>IF($C8="","",SUMPRODUCT(('ANALYSE - ERP =&gt; SOUS-SEGMENT'!$C$8:$C$1000=$C8)*'ANALYSE - ERP =&gt; SOUS-SEGMENT'!$Q$8:$Q$1000*'ANALYSE - ERP =&gt; SOUS-SEGMENT'!$FC$8:$FC$1000))</f>
        <v>5543.3067000000001</v>
      </c>
      <c r="FD8" s="311">
        <f t="shared" ref="FD8:FD43" si="37">IF($C8="","",FE8+FF8)</f>
        <v>1196.7648160414017</v>
      </c>
      <c r="FE8" s="311">
        <f>IF($C8="","",SUMPRODUCT(('ANALYSE - ERP =&gt; SOUS-SEGMENT'!$C$8:$C$1000=$C8)*'ANALYSE - ERP =&gt; SOUS-SEGMENT'!$Q$8:$Q$1000*'ANALYSE - ERP =&gt; SOUS-SEGMENT'!$FE$8:$FE$1000))</f>
        <v>969.05910529140101</v>
      </c>
      <c r="FF8" s="311">
        <f>IF($C8="","",SUMPRODUCT(('ANALYSE - ERP =&gt; SOUS-SEGMENT'!$C$8:$C$1000=$C8)*'ANALYSE - ERP =&gt; SOUS-SEGMENT'!$Q$8:$Q$1000*'ANALYSE - ERP =&gt; SOUS-SEGMENT'!$FF$8:$FF$1000))</f>
        <v>227.70571075000072</v>
      </c>
      <c r="FG8" s="311">
        <f t="shared" ref="FG8:FG43" si="38">IF($C8="","",FH8+FI8)</f>
        <v>0</v>
      </c>
      <c r="FH8" s="311">
        <f>IF($C8="","",SUMPRODUCT(('ANALYSE - ERP =&gt; SOUS-SEGMENT'!$C$8:$C$1000=$C8)*'ANALYSE - ERP =&gt; SOUS-SEGMENT'!$Q$8:$Q$1000*'ANALYSE - ERP =&gt; SOUS-SEGMENT'!$FH$8:$FH$1000))</f>
        <v>0</v>
      </c>
      <c r="FI8" s="311">
        <f>IF($C8="","",SUMPRODUCT(('ANALYSE - ERP =&gt; SOUS-SEGMENT'!$C$8:$C$1000=$C8)*'ANALYSE - ERP =&gt; SOUS-SEGMENT'!$Q$8:$Q$1000*'ANALYSE - ERP =&gt; SOUS-SEGMENT'!$FI$8:$FI$1000))</f>
        <v>0</v>
      </c>
      <c r="FJ8" s="311">
        <f t="shared" ref="FJ8:FJ43" si="39">IF($C8="","",FK8+FL8)</f>
        <v>29118.181459200001</v>
      </c>
      <c r="FK8" s="311">
        <f>IF($C8="","",SUMPRODUCT(('ANALYSE - ERP =&gt; SOUS-SEGMENT'!$C$8:$C$1000=$C8)*'ANALYSE - ERP =&gt; SOUS-SEGMENT'!$Q$8:$Q$1000*'ANALYSE - ERP =&gt; SOUS-SEGMENT'!$FK$8:$FK$1000))</f>
        <v>23574.8747592</v>
      </c>
      <c r="FL8" s="311">
        <f>IF($C8="","",SUMPRODUCT(('ANALYSE - ERP =&gt; SOUS-SEGMENT'!$C$8:$C$1000=$C8)*'ANALYSE - ERP =&gt; SOUS-SEGMENT'!$Q$8:$Q$1000*'ANALYSE - ERP =&gt; SOUS-SEGMENT'!$FL$8:$FL$1000))</f>
        <v>5543.3067000000001</v>
      </c>
      <c r="FM8" s="657"/>
      <c r="FN8" s="954" t="s">
        <v>5289</v>
      </c>
      <c r="FO8" s="728">
        <f>IF($C8="","",IFERROR(SUMPRODUCT(('ANALYSE - ERP =&gt; SOUS-SEGMENT'!$C$8:$C$1000=$C8)*'ANALYSE - ERP =&gt; SOUS-SEGMENT'!$Q$8:$Q$1000*'ANALYSE - ERP =&gt; SOUS-SEGMENT'!$AF$8:$AF$1000*'ANALYSE - ERP =&gt; SOUS-SEGMENT'!$FO$8:$FO$1000)/SUMPRODUCT(('ANALYSE - ERP =&gt; SOUS-SEGMENT'!$C$8:$C$1000=$C8)*'ANALYSE - ERP =&gt; SOUS-SEGMENT'!$Q$8:$Q$1000*'ANALYSE - ERP =&gt; SOUS-SEGMENT'!$AF$8:$AF$1000),""))</f>
        <v>3.6266673816673811E-2</v>
      </c>
      <c r="FP8" s="729">
        <f>IF($C8="","",IFERROR(SUMPRODUCT(('ANALYSE - ERP =&gt; SOUS-SEGMENT'!$C$8:$C$1000=$C8)*'ANALYSE - ERP =&gt; SOUS-SEGMENT'!$Q$8:$Q$1000*'ANALYSE - ERP =&gt; SOUS-SEGMENT'!$AF$8:$AF$1000*'ANALYSE - ERP =&gt; SOUS-SEGMENT'!$FP$8:$FP$1000)/SUMPRODUCT(('ANALYSE - ERP =&gt; SOUS-SEGMENT'!$C$8:$C$1000=$C8)*'ANALYSE - ERP =&gt; SOUS-SEGMENT'!$Q$8:$Q$1000*'ANALYSE - ERP =&gt; SOUS-SEGMENT'!$AF$8:$AF$1000),""))</f>
        <v>0.86905002145002141</v>
      </c>
      <c r="FQ8" s="955" t="s">
        <v>5290</v>
      </c>
      <c r="FR8" s="657"/>
      <c r="FS8" s="865">
        <f>IF($C8="","",IFERROR(SUMPRODUCT(('ANALYSE - ERP =&gt; SOUS-SEGMENT'!$C$8:$C$1000=$C8)*'ANALYSE - ERP =&gt; SOUS-SEGMENT'!$Q$8:$Q$1000*'ANALYSE - ERP =&gt; SOUS-SEGMENT'!$EX$8:$EX$1000*'ANALYSE - ERP =&gt; SOUS-SEGMENT'!$FS$8:$FS$1000)/SUMPRODUCT(('ANALYSE - ERP =&gt; SOUS-SEGMENT'!$C$8:$C$1000=$C8)*'ANALYSE - ERP =&gt; SOUS-SEGMENT'!$Q$8:$Q$1000*'ANALYSE - ERP =&gt; SOUS-SEGMENT'!$EX$8:$EX$1000),""))</f>
        <v>3.406279012533088</v>
      </c>
      <c r="FT8" s="312">
        <f>IF($C8="","",RANK($FS8,$FS$8:$FS$43,0)+COUNTIF($FS$8:$FS8,$FS8)-1)</f>
        <v>15</v>
      </c>
      <c r="FU8" s="865">
        <f>IF($C8="","",IFERROR(SUMPRODUCT(('ANALYSE - ERP =&gt; SOUS-SEGMENT'!$C$8:$C$1000=$C8)*'ANALYSE - ERP =&gt; SOUS-SEGMENT'!$Q$8:$Q$1000*'ANALYSE - ERP =&gt; SOUS-SEGMENT'!$EY$8:$EY$1000*'ANALYSE - ERP =&gt; SOUS-SEGMENT'!$FU$8:$FU$1000)/SUMPRODUCT(('ANALYSE - ERP =&gt; SOUS-SEGMENT'!$C$8:$C$1000=$C8)*'ANALYSE - ERP =&gt; SOUS-SEGMENT'!$Q$8:$Q$1000*'ANALYSE - ERP =&gt; SOUS-SEGMENT'!$EY$8:$EY$1000),""))</f>
        <v>3.9209089954220531</v>
      </c>
      <c r="FV8" s="312">
        <f>IF($C8="","",RANK($FU8,$FU$8:$FU$43,0)+COUNTIF($FU$8:$FU8,$FU8)-1)</f>
        <v>23</v>
      </c>
      <c r="FW8" s="865">
        <f>IF($C8="","",IFERROR(SUMPRODUCT(('ANALYSE - ERP =&gt; SOUS-SEGMENT'!$C$8:$C$1000=$C8)*'ANALYSE - ERP =&gt; SOUS-SEGMENT'!$Q$8:$Q$1000*'ANALYSE - ERP =&gt; SOUS-SEGMENT'!$EZ$8:$EZ$1000*'ANALYSE - ERP =&gt; SOUS-SEGMENT'!$FW$8:$FW$1000)/SUMPRODUCT(('ANALYSE - ERP =&gt; SOUS-SEGMENT'!$C$8:$C$1000=$C8)*'ANALYSE - ERP =&gt; SOUS-SEGMENT'!$Q$8:$Q$1000*'ANALYSE - ERP =&gt; SOUS-SEGMENT'!$EZ$8:$EZ$1000),""))</f>
        <v>2.7896842063545733</v>
      </c>
      <c r="FX8" s="312">
        <f>IF($C8="","",RANK($FW8,$FW$8:$FW$43,0)+COUNTIF($FW$8:$FW8,$FW8)-1)</f>
        <v>4</v>
      </c>
      <c r="FY8" s="657"/>
      <c r="FZ8" s="646" t="s">
        <v>5291</v>
      </c>
      <c r="GA8" s="646" t="s">
        <v>5292</v>
      </c>
      <c r="GB8" s="646" t="s">
        <v>5293</v>
      </c>
      <c r="GC8" s="646" t="s">
        <v>5294</v>
      </c>
      <c r="GD8" s="646" t="s">
        <v>5295</v>
      </c>
      <c r="GE8" s="646" t="s">
        <v>5296</v>
      </c>
      <c r="GF8" s="276" t="s">
        <v>5297</v>
      </c>
      <c r="GG8" s="657"/>
      <c r="GH8" s="311">
        <f t="shared" ref="GH8:GH43" si="40">IF($C8="","",GI8+GJ8)</f>
        <v>14441.202209885716</v>
      </c>
      <c r="GI8" s="311">
        <f>IF($C8="","",SUMPRODUCT(('ANALYSE - ERP =&gt; SOUS-SEGMENT'!$C$8:$C$1000=$C8)*'ANALYSE - ERP =&gt; SOUS-SEGMENT'!$Q$8:$Q$1000*'ANALYSE - ERP =&gt; SOUS-SEGMENT'!$GI$8:$GI$1000))</f>
        <v>11780.414993885715</v>
      </c>
      <c r="GJ8" s="311">
        <f>IF($C8="","",SUMPRODUCT(('ANALYSE - ERP =&gt; SOUS-SEGMENT'!$C$8:$C$1000=$C8)*'ANALYSE - ERP =&gt; SOUS-SEGMENT'!$Q$8:$Q$1000*'ANALYSE - ERP =&gt; SOUS-SEGMENT'!$GJ$8:$GJ$1000))</f>
        <v>2660.7872159999997</v>
      </c>
      <c r="GK8" s="311">
        <f t="shared" ref="GK8:GK43" si="41">IF($C8="","",GL8+GM8)</f>
        <v>12211.423838479383</v>
      </c>
      <c r="GL8" s="311">
        <f>IF($C8="","",SUMPRODUCT(('ANALYSE - ERP =&gt; SOUS-SEGMENT'!$C$8:$C$1000=$C8)*'ANALYSE - ERP =&gt; SOUS-SEGMENT'!$Q$8:$Q$1000*'ANALYSE - ERP =&gt; SOUS-SEGMENT'!$GL$8:$GL$1000))</f>
        <v>9883.2350244793834</v>
      </c>
      <c r="GM8" s="311">
        <f>IF($C8="","",SUMPRODUCT(('ANALYSE - ERP =&gt; SOUS-SEGMENT'!$C$8:$C$1000=$C8)*'ANALYSE - ERP =&gt; SOUS-SEGMENT'!$Q$8:$Q$1000*'ANALYSE - ERP =&gt; SOUS-SEGMENT'!$GM$8:$GM$1000))</f>
        <v>2328.1888140000001</v>
      </c>
      <c r="GN8" s="311">
        <f t="shared" ref="GN8:GN43" si="42">IF($C8="","",GO8+GP8)</f>
        <v>1271.5340003679999</v>
      </c>
      <c r="GO8" s="311">
        <f>IF($C8="","",SUMPRODUCT(('ANALYSE - ERP =&gt; SOUS-SEGMENT'!$C$8:$C$1000=$C8)*'ANALYSE - ERP =&gt; SOUS-SEGMENT'!$Q$8:$Q$1000*'ANALYSE - ERP =&gt; SOUS-SEGMENT'!$GO$8:$GO$1000))</f>
        <v>938.935598368</v>
      </c>
      <c r="GP8" s="311">
        <f>IF($C8="","",SUMPRODUCT(('ANALYSE - ERP =&gt; SOUS-SEGMENT'!$C$8:$C$1000=$C8)*'ANALYSE - ERP =&gt; SOUS-SEGMENT'!$Q$8:$Q$1000*'ANALYSE - ERP =&gt; SOUS-SEGMENT'!$GP$8:$GP$1000))</f>
        <v>332.59840199999996</v>
      </c>
      <c r="GQ8" s="311">
        <f t="shared" ref="GQ8:GQ43" si="43">IF($C8="","",GR8+GS8)</f>
        <v>1160.8713645346668</v>
      </c>
      <c r="GR8" s="311">
        <f>IF($C8="","",SUMPRODUCT(('ANALYSE - ERP =&gt; SOUS-SEGMENT'!$C$8:$C$1000=$C8)*'ANALYSE - ERP =&gt; SOUS-SEGMENT'!$Q$8:$Q$1000*'ANALYSE - ERP =&gt; SOUS-SEGMENT'!$GR$8:$GR$1000))</f>
        <v>939.13909653466669</v>
      </c>
      <c r="GS8" s="311">
        <f>IF($C8="","",SUMPRODUCT(('ANALYSE - ERP =&gt; SOUS-SEGMENT'!$C$8:$C$1000=$C8)*'ANALYSE - ERP =&gt; SOUS-SEGMENT'!$Q$8:$Q$1000*'ANALYSE - ERP =&gt; SOUS-SEGMENT'!$GS$8:$GS$1000))</f>
        <v>221.73226800000003</v>
      </c>
      <c r="GT8" s="311">
        <f t="shared" ref="GT8:GT43" si="44">IF($C8="","",GU8+GV8)</f>
        <v>1072.4532439013349</v>
      </c>
      <c r="GU8" s="311">
        <f>IF($C8="","",SUMPRODUCT(('ANALYSE - ERP =&gt; SOUS-SEGMENT'!$C$8:$C$1000=$C8)*'ANALYSE - ERP =&gt; SOUS-SEGMENT'!$Q$8:$Q$1000*'ANALYSE - ERP =&gt; SOUS-SEGMENT'!$GU$8:$GU$1000))</f>
        <v>872.07221844133426</v>
      </c>
      <c r="GV8" s="311">
        <f>IF($C8="","",SUMPRODUCT(('ANALYSE - ERP =&gt; SOUS-SEGMENT'!$C$8:$C$1000=$C8)*'ANALYSE - ERP =&gt; SOUS-SEGMENT'!$Q$8:$Q$1000*'ANALYSE - ERP =&gt; SOUS-SEGMENT'!$GV$8:$GV$1000))</f>
        <v>200.38102546000061</v>
      </c>
      <c r="GW8" s="311">
        <f t="shared" ref="GW8:GW43" si="45">IF($C8="","",GX8+GY8)</f>
        <v>97.979530094220053</v>
      </c>
      <c r="GX8" s="311">
        <f>IF($C8="","",SUMPRODUCT(('ANALYSE - ERP =&gt; SOUS-SEGMENT'!$C$8:$C$1000=$C8)*'ANALYSE - ERP =&gt; SOUS-SEGMENT'!$Q$8:$Q$1000*'ANALYSE - ERP =&gt; SOUS-SEGMENT'!$GX$8:$GX$1000))</f>
        <v>77.486016126719989</v>
      </c>
      <c r="GY8" s="311">
        <f>IF($C8="","",SUMPRODUCT(('ANALYSE - ERP =&gt; SOUS-SEGMENT'!$C$8:$C$1000=$C8)*'ANALYSE - ERP =&gt; SOUS-SEGMENT'!$Q$8:$Q$1000*'ANALYSE - ERP =&gt; SOUS-SEGMENT'!$GY$8:$GY$1000))</f>
        <v>20.493513967500064</v>
      </c>
      <c r="GZ8" s="311">
        <f t="shared" ref="GZ8:GZ43" si="46">IF($C8="","",HA8+HB8)</f>
        <v>26.332042045846684</v>
      </c>
      <c r="HA8" s="311">
        <f>IF($C8="","",SUMPRODUCT(('ANALYSE - ERP =&gt; SOUS-SEGMENT'!$C$8:$C$1000=$C8)*'ANALYSE - ERP =&gt; SOUS-SEGMENT'!$Q$8:$Q$1000*'ANALYSE - ERP =&gt; SOUS-SEGMENT'!$HA$8:$HA$1000))</f>
        <v>19.500870723346665</v>
      </c>
      <c r="HB8" s="311">
        <f>IF($C8="","",SUMPRODUCT(('ANALYSE - ERP =&gt; SOUS-SEGMENT'!$C$8:$C$1000=$C8)*'ANALYSE - ERP =&gt; SOUS-SEGMENT'!$Q$8:$Q$1000*'ANALYSE - ERP =&gt; SOUS-SEGMENT'!$HB$8:$HB$1000))</f>
        <v>6.8311713225000208</v>
      </c>
      <c r="HC8" s="311">
        <f t="shared" ref="HC8:HC43" si="47">IF($C8="","",HD8+HE8)</f>
        <v>0</v>
      </c>
      <c r="HD8" s="311">
        <f>IF($C8="","",SUMPRODUCT(('ANALYSE - ERP =&gt; SOUS-SEGMENT'!$C$8:$C$1000=$C8)*'ANALYSE - ERP =&gt; SOUS-SEGMENT'!$Q$8:$Q$1000*'ANALYSE - ERP =&gt; SOUS-SEGMENT'!$HD$8:$HD$1000))</f>
        <v>0</v>
      </c>
      <c r="HE8" s="311">
        <f>IF($C8="","",SUMPRODUCT(('ANALYSE - ERP =&gt; SOUS-SEGMENT'!$C$8:$C$1000=$C8)*'ANALYSE - ERP =&gt; SOUS-SEGMENT'!$Q$8:$Q$1000*'ANALYSE - ERP =&gt; SOUS-SEGMENT'!$HE$8:$HE$1000))</f>
        <v>0</v>
      </c>
      <c r="HF8" s="311">
        <f t="shared" ref="HF8:HF43" si="48">IF($C8="","",HG8+HH8)</f>
        <v>0</v>
      </c>
      <c r="HG8" s="311">
        <f>IF($C8="","",SUMPRODUCT(('ANALYSE - ERP =&gt; SOUS-SEGMENT'!$C$8:$C$1000=$C8)*'ANALYSE - ERP =&gt; SOUS-SEGMENT'!$Q$8:$Q$1000*'ANALYSE - ERP =&gt; SOUS-SEGMENT'!$HG$8:$HG$1000))</f>
        <v>0</v>
      </c>
      <c r="HH8" s="311">
        <f>IF($C8="","",SUMPRODUCT(('ANALYSE - ERP =&gt; SOUS-SEGMENT'!$C$8:$C$1000=$C8)*'ANALYSE - ERP =&gt; SOUS-SEGMENT'!$Q$8:$Q$1000*'ANALYSE - ERP =&gt; SOUS-SEGMENT'!$HH$8:$HH$1000))</f>
        <v>0</v>
      </c>
      <c r="HI8" s="311">
        <f t="shared" ref="HI8:HI43" si="49">IF($C8="","",HJ8+HK8)</f>
        <v>0</v>
      </c>
      <c r="HJ8" s="311">
        <f>IF($C8="","",SUMPRODUCT(('ANALYSE - ERP =&gt; SOUS-SEGMENT'!$C$8:$C$1000=$C8)*'ANALYSE - ERP =&gt; SOUS-SEGMENT'!$Q$8:$Q$1000*'ANALYSE - ERP =&gt; SOUS-SEGMENT'!$HJ$8:$HJ$1000))</f>
        <v>0</v>
      </c>
      <c r="HK8" s="311">
        <f>IF($C8="","",SUMPRODUCT(('ANALYSE - ERP =&gt; SOUS-SEGMENT'!$C$8:$C$1000=$C8)*'ANALYSE - ERP =&gt; SOUS-SEGMENT'!$Q$8:$Q$1000*'ANALYSE - ERP =&gt; SOUS-SEGMENT'!$HK$8:$HK$1000))</f>
        <v>0</v>
      </c>
      <c r="HL8" s="311">
        <f t="shared" ref="HL8:HL43" si="50">IF($C8="","",HM8+HN8)</f>
        <v>0</v>
      </c>
      <c r="HM8" s="311">
        <f>IF($C8="","",SUMPRODUCT(('ANALYSE - ERP =&gt; SOUS-SEGMENT'!$C$8:$C$1000=$C8)*'ANALYSE - ERP =&gt; SOUS-SEGMENT'!$Q$8:$Q$1000*'ANALYSE - ERP =&gt; SOUS-SEGMENT'!$HM$8:$HM$1000))</f>
        <v>0</v>
      </c>
      <c r="HN8" s="311">
        <f>IF($C8="","",SUMPRODUCT(('ANALYSE - ERP =&gt; SOUS-SEGMENT'!$C$8:$C$1000=$C8)*'ANALYSE - ERP =&gt; SOUS-SEGMENT'!$Q$8:$Q$1000*'ANALYSE - ERP =&gt; SOUS-SEGMENT'!$HN$8:$HN$1000))</f>
        <v>0</v>
      </c>
      <c r="HO8" s="311">
        <f t="shared" ref="HO8:HO43" si="51">IF($C8="","",HP8+HQ8)</f>
        <v>24473.288905319998</v>
      </c>
      <c r="HP8" s="311">
        <f>IF($C8="","",SUMPRODUCT(('ANALYSE - ERP =&gt; SOUS-SEGMENT'!$C$8:$C$1000=$C8)*'ANALYSE - ERP =&gt; SOUS-SEGMENT'!$Q$8:$Q$1000*'ANALYSE - ERP =&gt; SOUS-SEGMENT'!$HP$8:$HP$1000))</f>
        <v>20038.643545319999</v>
      </c>
      <c r="HQ8" s="311">
        <f>IF($C8="","",SUMPRODUCT(('ANALYSE - ERP =&gt; SOUS-SEGMENT'!$C$8:$C$1000=$C8)*'ANALYSE - ERP =&gt; SOUS-SEGMENT'!$Q$8:$Q$1000*'ANALYSE - ERP =&gt; SOUS-SEGMENT'!$HQ$8:$HQ$1000))</f>
        <v>4434.6453599999995</v>
      </c>
      <c r="HR8" s="311">
        <f t="shared" ref="HR8:HR43" si="52">IF($C8="","",HS8+HT8)</f>
        <v>4534.0264198799996</v>
      </c>
      <c r="HS8" s="311">
        <f>IF($C8="","",SUMPRODUCT(('ANALYSE - ERP =&gt; SOUS-SEGMENT'!$C$8:$C$1000=$C8)*'ANALYSE - ERP =&gt; SOUS-SEGMENT'!$Q$8:$Q$1000*'ANALYSE - ERP =&gt; SOUS-SEGMENT'!$HS$8:$HS$1000))</f>
        <v>3536.2312138799998</v>
      </c>
      <c r="HT8" s="311">
        <f>IF($C8="","",SUMPRODUCT(('ANALYSE - ERP =&gt; SOUS-SEGMENT'!$C$8:$C$1000=$C8)*'ANALYSE - ERP =&gt; SOUS-SEGMENT'!$Q$8:$Q$1000*'ANALYSE - ERP =&gt; SOUS-SEGMENT'!$HT$8:$HT$1000))</f>
        <v>997.79520600000001</v>
      </c>
      <c r="HU8" s="311">
        <f t="shared" ref="HU8:HU43" si="53">IF($C8="","",HV8+HW8)</f>
        <v>110.86613400000002</v>
      </c>
      <c r="HV8" s="311">
        <f>IF($C8="","",SUMPRODUCT(('ANALYSE - ERP =&gt; SOUS-SEGMENT'!$C$8:$C$1000=$C8)*'ANALYSE - ERP =&gt; SOUS-SEGMENT'!$Q$8:$Q$1000*'ANALYSE - ERP =&gt; SOUS-SEGMENT'!$HV$8:$HV$1000))</f>
        <v>0</v>
      </c>
      <c r="HW8" s="311">
        <f>IF($C8="","",SUMPRODUCT(('ANALYSE - ERP =&gt; SOUS-SEGMENT'!$C$8:$C$1000=$C8)*'ANALYSE - ERP =&gt; SOUS-SEGMENT'!$Q$8:$Q$1000*'ANALYSE - ERP =&gt; SOUS-SEGMENT'!$HW$8:$HW$1000))</f>
        <v>110.86613400000002</v>
      </c>
      <c r="HY8" s="313">
        <f t="shared" ref="HY8:HY43" si="54">IF($C8="","",SUM(HZ8:ID8))</f>
        <v>251968.27499999999</v>
      </c>
      <c r="HZ8" s="313">
        <f>IF($C8="","",SUMPRODUCT(('ANALYSE - ERP =&gt; SOUS-SEGMENT'!$C$8:$C$1000=$C8)*'ANALYSE - ERP =&gt; SOUS-SEGMENT'!$Q$8:$Q$1000*'ANALYSE - ERP =&gt; SOUS-SEGMENT'!$HZ$8:$HZ$1000))</f>
        <v>3648.7450275000001</v>
      </c>
      <c r="IA8" s="313">
        <f>IF($C8="","",SUMPRODUCT(('ANALYSE - ERP =&gt; SOUS-SEGMENT'!$C$8:$C$1000=$C8)*'ANALYSE - ERP =&gt; SOUS-SEGMENT'!$Q$8:$Q$1000*'ANALYSE - ERP =&gt; SOUS-SEGMENT'!$IA$8:$IA$1000))</f>
        <v>85913.864264999997</v>
      </c>
      <c r="IB8" s="313">
        <f>IF($C8="","",SUMPRODUCT(('ANALYSE - ERP =&gt; SOUS-SEGMENT'!$C$8:$C$1000=$C8)*'ANALYSE - ERP =&gt; SOUS-SEGMENT'!$Q$8:$Q$1000*'ANALYSE - ERP =&gt; SOUS-SEGMENT'!$IB$8:$IB$1000))</f>
        <v>133773.86294250001</v>
      </c>
      <c r="IC8" s="313">
        <f>IF($C8="","",SUMPRODUCT(('ANALYSE - ERP =&gt; SOUS-SEGMENT'!$C$8:$C$1000=$C8)*'ANALYSE - ERP =&gt; SOUS-SEGMENT'!$Q$8:$Q$1000*'ANALYSE - ERP =&gt; SOUS-SEGMENT'!$IC$8:$IC$1000))</f>
        <v>28631.802764999997</v>
      </c>
      <c r="ID8" s="313">
        <f>IF($C8="","",SUMPRODUCT(('ANALYSE - ERP =&gt; SOUS-SEGMENT'!$C$8:$C$1000=$C8)*'ANALYSE - ERP =&gt; SOUS-SEGMENT'!$Q$8:$Q$1000*'ANALYSE - ERP =&gt; SOUS-SEGMENT'!$ID$8:$ID$1000))</f>
        <v>0</v>
      </c>
      <c r="IE8" s="313">
        <f t="shared" ref="IE8:IE43" si="55">IF($C8="","",SUM(IF8:IJ8))</f>
        <v>48055.593237256893</v>
      </c>
      <c r="IF8" s="313">
        <f>IF($C8="","",SUMPRODUCT(('ANALYSE - ERP =&gt; SOUS-SEGMENT'!$C$8:$C$1000=$C8)*'ANALYSE - ERP =&gt; SOUS-SEGMENT'!$Q$8:$Q$1000*'ANALYSE - ERP =&gt; SOUS-SEGMENT'!$IF$8:$IF$1000))</f>
        <v>338.73455419604221</v>
      </c>
      <c r="IG8" s="313">
        <f>IF($C8="","",SUMPRODUCT(('ANALYSE - ERP =&gt; SOUS-SEGMENT'!$C$8:$C$1000=$C8)*'ANALYSE - ERP =&gt; SOUS-SEGMENT'!$Q$8:$Q$1000*'ANALYSE - ERP =&gt; SOUS-SEGMENT'!$IG$8:$IG$1000))</f>
        <v>9498.0868544789701</v>
      </c>
      <c r="IH8" s="313">
        <f>IF($C8="","",SUMPRODUCT(('ANALYSE - ERP =&gt; SOUS-SEGMENT'!$C$8:$C$1000=$C8)*'ANALYSE - ERP =&gt; SOUS-SEGMENT'!$Q$8:$Q$1000*'ANALYSE - ERP =&gt; SOUS-SEGMENT'!$IH$8:$IH$1000))</f>
        <v>26291.329594596387</v>
      </c>
      <c r="II8" s="313">
        <f>IF($C8="","",SUMPRODUCT(('ANALYSE - ERP =&gt; SOUS-SEGMENT'!$C$8:$C$1000=$C8)*'ANALYSE - ERP =&gt; SOUS-SEGMENT'!$Q$8:$Q$1000*'ANALYSE - ERP =&gt; SOUS-SEGMENT'!$II$8:$II$1000))</f>
        <v>11911.083197723612</v>
      </c>
      <c r="IJ8" s="313">
        <f>IF($C8="","",SUMPRODUCT(('ANALYSE - ERP =&gt; SOUS-SEGMENT'!$C$8:$C$1000=$C8)*'ANALYSE - ERP =&gt; SOUS-SEGMENT'!$Q$8:$Q$1000*'ANALYSE - ERP =&gt; SOUS-SEGMENT'!$IJ$8:$IJ$1000))</f>
        <v>16.359036261882416</v>
      </c>
      <c r="IK8" s="866">
        <f>IF($C8="","",IFERROR(SUMPRODUCT(('ANALYSE - ERP =&gt; SOUS-SEGMENT'!$C$8:$C$1000=$C8)*'ANALYSE - ERP =&gt; SOUS-SEGMENT'!$Q$8:$Q$1000*'ANALYSE - ERP =&gt; SOUS-SEGMENT'!$IE$8:$IE$1000*'ANALYSE - ERP =&gt; SOUS-SEGMENT'!$IK$8:$IK$1000)/SUMPRODUCT(('ANALYSE - ERP =&gt; SOUS-SEGMENT'!$C$8:$C$1000=$C8)*'ANALYSE - ERP =&gt; SOUS-SEGMENT'!$Q$8:$Q$1000*'ANALYSE - ERP =&gt; SOUS-SEGMENT'!$IE$8:$IE$1000),""))</f>
        <v>4.1233225068308421</v>
      </c>
      <c r="IL8" s="920" t="s">
        <v>2589</v>
      </c>
      <c r="IM8" s="956" t="s">
        <v>5298</v>
      </c>
      <c r="IN8" s="657"/>
      <c r="IO8" s="730">
        <f>IF($C8="","",IFERROR(SUMPRODUCT(('ANALYSE - ERP =&gt; SOUS-SEGMENT'!$C$8:$C$1000=$C8)*'ANALYSE - ERP =&gt; SOUS-SEGMENT'!$Q$8:$Q$1000*'ANALYSE - ERP =&gt; SOUS-SEGMENT'!$BE$8:$BE$1000*'ANALYSE - ERP =&gt; SOUS-SEGMENT'!$IO$8:$IO$1000)/SUMPRODUCT(('ANALYSE - ERP =&gt; SOUS-SEGMENT'!$C$8:$C$1000=$C8)*'ANALYSE - ERP =&gt; SOUS-SEGMENT'!$Q$8:$Q$1000*'ANALYSE - ERP =&gt; SOUS-SEGMENT'!$BE$8:$BE$1000),""))</f>
        <v>8.7780342046448363E-3</v>
      </c>
      <c r="IP8" s="730">
        <f>IF($C8="","",IFERROR(SUMPRODUCT(('ANALYSE - ERP =&gt; SOUS-SEGMENT'!$C$8:$C$1000=$C8)*'ANALYSE - ERP =&gt; SOUS-SEGMENT'!$Q$8:$Q$1000*'ANALYSE - ERP =&gt; SOUS-SEGMENT'!$BE$8:$BE$1000*'ANALYSE - ERP =&gt; SOUS-SEGMENT'!$IP$8:$IP$1000)/SUMPRODUCT(('ANALYSE - ERP =&gt; SOUS-SEGMENT'!$C$8:$C$1000=$C8)*'ANALYSE - ERP =&gt; SOUS-SEGMENT'!$Q$8:$Q$1000*'ANALYSE - ERP =&gt; SOUS-SEGMENT'!$BE$8:$BE$1000),""))</f>
        <v>0.31598297055679719</v>
      </c>
      <c r="IQ8" s="730">
        <f>IF($C8="","",IFERROR(SUMPRODUCT(('ANALYSE - ERP =&gt; SOUS-SEGMENT'!$C$8:$C$1000=$C8)*'ANALYSE - ERP =&gt; SOUS-SEGMENT'!$Q$8:$Q$1000*'ANALYSE - ERP =&gt; SOUS-SEGMENT'!$BE$8:$BE$1000*'ANALYSE - ERP =&gt; SOUS-SEGMENT'!$IQ$8:$IQ$1000)/SUMPRODUCT(('ANALYSE - ERP =&gt; SOUS-SEGMENT'!$C$8:$C$1000=$C8)*'ANALYSE - ERP =&gt; SOUS-SEGMENT'!$Q$8:$Q$1000*'ANALYSE - ERP =&gt; SOUS-SEGMENT'!$BE$8:$BE$1000),""))</f>
        <v>0.54624518997182003</v>
      </c>
      <c r="IR8" s="730">
        <f>IF($C8="","",IFERROR(SUMPRODUCT(('ANALYSE - ERP =&gt; SOUS-SEGMENT'!$C$8:$C$1000=$C8)*'ANALYSE - ERP =&gt; SOUS-SEGMENT'!$Q$8:$Q$1000*'ANALYSE - ERP =&gt; SOUS-SEGMENT'!$BE$8:$BE$1000*'ANALYSE - ERP =&gt; SOUS-SEGMENT'!$IR$8:$IR$1000)/SUMPRODUCT(('ANALYSE - ERP =&gt; SOUS-SEGMENT'!$C$8:$C$1000=$C8)*'ANALYSE - ERP =&gt; SOUS-SEGMENT'!$Q$8:$Q$1000*'ANALYSE - ERP =&gt; SOUS-SEGMENT'!$BE$8:$BE$1000),""))</f>
        <v>0.1289938052667379</v>
      </c>
      <c r="IS8" s="730">
        <f>IF($C8="","",IFERROR(SUMPRODUCT(('ANALYSE - ERP =&gt; SOUS-SEGMENT'!$C$8:$C$1000=$C8)*'ANALYSE - ERP =&gt; SOUS-SEGMENT'!$Q$8:$Q$1000*'ANALYSE - ERP =&gt; SOUS-SEGMENT'!$BE$8:$BE$1000*'ANALYSE - ERP =&gt; SOUS-SEGMENT'!$IS$8:$IS$1000)/SUMPRODUCT(('ANALYSE - ERP =&gt; SOUS-SEGMENT'!$C$8:$C$1000=$C8)*'ANALYSE - ERP =&gt; SOUS-SEGMENT'!$Q$8:$Q$1000*'ANALYSE - ERP =&gt; SOUS-SEGMENT'!$BE$8:$BE$1000),""))</f>
        <v>0</v>
      </c>
      <c r="IT8" s="730">
        <f>IF($C8="","",IFERROR(SUMPRODUCT(('ANALYSE - ERP =&gt; SOUS-SEGMENT'!$C$8:$C$1000=$C8)*'ANALYSE - ERP =&gt; SOUS-SEGMENT'!$Q$8:$Q$1000*'ANALYSE - ERP =&gt; SOUS-SEGMENT'!$FB$8:$FB$1000*'ANALYSE - ERP =&gt; SOUS-SEGMENT'!$IT$8:$IT$1000)/SUMPRODUCT(('ANALYSE - ERP =&gt; SOUS-SEGMENT'!$C$8:$C$1000=$C8)*'ANALYSE - ERP =&gt; SOUS-SEGMENT'!$Q$8:$Q$1000*'ANALYSE - ERP =&gt; SOUS-SEGMENT'!$FB$8:$FB$1000),""))</f>
        <v>6.7527207646315467E-3</v>
      </c>
      <c r="IU8" s="730">
        <f>IF($C8="","",IFERROR(SUMPRODUCT(('ANALYSE - ERP =&gt; SOUS-SEGMENT'!$C$8:$C$1000=$C8)*'ANALYSE - ERP =&gt; SOUS-SEGMENT'!$Q$8:$Q$1000*'ANALYSE - ERP =&gt; SOUS-SEGMENT'!$FB$8:$FB$1000*'ANALYSE - ERP =&gt; SOUS-SEGMENT'!$IU$8:$IU$1000)/SUMPRODUCT(('ANALYSE - ERP =&gt; SOUS-SEGMENT'!$C$8:$C$1000=$C8)*'ANALYSE - ERP =&gt; SOUS-SEGMENT'!$Q$8:$Q$1000*'ANALYSE - ERP =&gt; SOUS-SEGMENT'!$FB$8:$FB$1000),""))</f>
        <v>0.18025454597231994</v>
      </c>
      <c r="IV8" s="730">
        <f>IF($C8="","",IFERROR(SUMPRODUCT(('ANALYSE - ERP =&gt; SOUS-SEGMENT'!$C$8:$C$1000=$C8)*'ANALYSE - ERP =&gt; SOUS-SEGMENT'!$Q$8:$Q$1000*'ANALYSE - ERP =&gt; SOUS-SEGMENT'!$FB$8:$FB$1000*'ANALYSE - ERP =&gt; SOUS-SEGMENT'!$IV$8:$IV$1000)/SUMPRODUCT(('ANALYSE - ERP =&gt; SOUS-SEGMENT'!$C$8:$C$1000=$C8)*'ANALYSE - ERP =&gt; SOUS-SEGMENT'!$Q$8:$Q$1000*'ANALYSE - ERP =&gt; SOUS-SEGMENT'!$FB$8:$FB$1000),""))</f>
        <v>0.54173719164601419</v>
      </c>
      <c r="IW8" s="730">
        <f>IF($C8="","",IFERROR(SUMPRODUCT(('ANALYSE - ERP =&gt; SOUS-SEGMENT'!$C$8:$C$1000=$C8)*'ANALYSE - ERP =&gt; SOUS-SEGMENT'!$Q$8:$Q$1000*'ANALYSE - ERP =&gt; SOUS-SEGMENT'!$FB$8:$FB$1000*'ANALYSE - ERP =&gt; SOUS-SEGMENT'!$IW$8:$IW$1000)/SUMPRODUCT(('ANALYSE - ERP =&gt; SOUS-SEGMENT'!$C$8:$C$1000=$C8)*'ANALYSE - ERP =&gt; SOUS-SEGMENT'!$Q$8:$Q$1000*'ANALYSE - ERP =&gt; SOUS-SEGMENT'!$FB$8:$FB$1000),""))</f>
        <v>0.27089926309816426</v>
      </c>
      <c r="IX8" s="730">
        <f>IF($C8="","",IFERROR(SUMPRODUCT(('ANALYSE - ERP =&gt; SOUS-SEGMENT'!$C$8:$C$1000=$C8)*'ANALYSE - ERP =&gt; SOUS-SEGMENT'!$Q$8:$Q$1000*'ANALYSE - ERP =&gt; SOUS-SEGMENT'!$FB$8:$FB$1000*'ANALYSE - ERP =&gt; SOUS-SEGMENT'!$IX$8:$IX$1000)/SUMPRODUCT(('ANALYSE - ERP =&gt; SOUS-SEGMENT'!$C$8:$C$1000=$C8)*'ANALYSE - ERP =&gt; SOUS-SEGMENT'!$Q$8:$Q$1000*'ANALYSE - ERP =&gt; SOUS-SEGMENT'!$FB$8:$FB$1000),""))</f>
        <v>3.5627851887013069E-4</v>
      </c>
      <c r="IY8" s="730">
        <f>IF($C8="","",IFERROR(SUMPRODUCT(('ANALYSE - ERP =&gt; SOUS-SEGMENT'!$C$8:$C$1000=$C8)*'ANALYSE - ERP =&gt; SOUS-SEGMENT'!$Q$8:$Q$1000*'ANALYSE - ERP =&gt; SOUS-SEGMENT'!$BF$8:$BF$1000*'ANALYSE - ERP =&gt; SOUS-SEGMENT'!$IY$8:$IY$1000)/SUMPRODUCT(('ANALYSE - ERP =&gt; SOUS-SEGMENT'!$C$8:$C$1000=$C8)*'ANALYSE - ERP =&gt; SOUS-SEGMENT'!$Q$8:$Q$1000*'ANALYSE - ERP =&gt; SOUS-SEGMENT'!$BF$8:$BF$1000),""))</f>
        <v>1.535616257900268E-2</v>
      </c>
      <c r="IZ8" s="730">
        <f>IF($C8="","",IFERROR(SUMPRODUCT(('ANALYSE - ERP =&gt; SOUS-SEGMENT'!$C$8:$C$1000=$C8)*'ANALYSE - ERP =&gt; SOUS-SEGMENT'!$Q$8:$Q$1000*'ANALYSE - ERP =&gt; SOUS-SEGMENT'!$BF$8:$BF$1000*'ANALYSE - ERP =&gt; SOUS-SEGMENT'!$IZ$8:$IZ$1000)/SUMPRODUCT(('ANALYSE - ERP =&gt; SOUS-SEGMENT'!$C$8:$C$1000=$C8)*'ANALYSE - ERP =&gt; SOUS-SEGMENT'!$Q$8:$Q$1000*'ANALYSE - ERP =&gt; SOUS-SEGMENT'!$BF$8:$BF$1000),""))</f>
        <v>0.34423170468169506</v>
      </c>
      <c r="JA8" s="730">
        <f>IF($C8="","",IFERROR(SUMPRODUCT(('ANALYSE - ERP =&gt; SOUS-SEGMENT'!$C$8:$C$1000=$C8)*'ANALYSE - ERP =&gt; SOUS-SEGMENT'!$Q$8:$Q$1000*'ANALYSE - ERP =&gt; SOUS-SEGMENT'!$BF$8:$BF$1000*'ANALYSE - ERP =&gt; SOUS-SEGMENT'!$JA$8:$JA$1000)/SUMPRODUCT(('ANALYSE - ERP =&gt; SOUS-SEGMENT'!$C$8:$C$1000=$C8)*'ANALYSE - ERP =&gt; SOUS-SEGMENT'!$Q$8:$Q$1000*'ANALYSE - ERP =&gt; SOUS-SEGMENT'!$BF$8:$BF$1000),""))</f>
        <v>0.51865996506860457</v>
      </c>
      <c r="JB8" s="730">
        <f>IF($C8="","",IFERROR(SUMPRODUCT(('ANALYSE - ERP =&gt; SOUS-SEGMENT'!$C$8:$C$1000=$C8)*'ANALYSE - ERP =&gt; SOUS-SEGMENT'!$Q$8:$Q$1000*'ANALYSE - ERP =&gt; SOUS-SEGMENT'!$BF$8:$BF$1000*'ANALYSE - ERP =&gt; SOUS-SEGMENT'!$JB$8:$JB$1000)/SUMPRODUCT(('ANALYSE - ERP =&gt; SOUS-SEGMENT'!$C$8:$C$1000=$C8)*'ANALYSE - ERP =&gt; SOUS-SEGMENT'!$Q$8:$Q$1000*'ANALYSE - ERP =&gt; SOUS-SEGMENT'!$BF$8:$BF$1000),""))</f>
        <v>0.10541137934607243</v>
      </c>
      <c r="JC8" s="730">
        <f>IF($C8="","",IFERROR(SUMPRODUCT(('ANALYSE - ERP =&gt; SOUS-SEGMENT'!$C$8:$C$1000=$C8)*'ANALYSE - ERP =&gt; SOUS-SEGMENT'!$Q$8:$Q$1000*'ANALYSE - ERP =&gt; SOUS-SEGMENT'!$BF$8:$BF$1000*'ANALYSE - ERP =&gt; SOUS-SEGMENT'!$JC$8:$JC$1000)/SUMPRODUCT(('ANALYSE - ERP =&gt; SOUS-SEGMENT'!$C$8:$C$1000=$C8)*'ANALYSE - ERP =&gt; SOUS-SEGMENT'!$Q$8:$Q$1000*'ANALYSE - ERP =&gt; SOUS-SEGMENT'!$BF$8:$BF$1000),""))</f>
        <v>0</v>
      </c>
      <c r="JD8" s="730">
        <f>IF($C8="","",IFERROR(SUMPRODUCT(('ANALYSE - ERP =&gt; SOUS-SEGMENT'!$C$8:$C$1000=$C8)*'ANALYSE - ERP =&gt; SOUS-SEGMENT'!$Q$8:$Q$1000*'ANALYSE - ERP =&gt; SOUS-SEGMENT'!$FE$8:$FE$1000*'ANALYSE - ERP =&gt; SOUS-SEGMENT'!$JD$8:$JD$1000)/SUMPRODUCT(('ANALYSE - ERP =&gt; SOUS-SEGMENT'!$C$8:$C$1000=$C8)*'ANALYSE - ERP =&gt; SOUS-SEGMENT'!$Q$8:$Q$1000*'ANALYSE - ERP =&gt; SOUS-SEGMENT'!$FE$8:$FE$1000),""))</f>
        <v>4.9538538189326164E-3</v>
      </c>
      <c r="JE8" s="730">
        <f>IF($C8="","",IFERROR(SUMPRODUCT(('ANALYSE - ERP =&gt; SOUS-SEGMENT'!$C$8:$C$1000=$C8)*'ANALYSE - ERP =&gt; SOUS-SEGMENT'!$Q$8:$Q$1000*'ANALYSE - ERP =&gt; SOUS-SEGMENT'!$FE$8:$FE$1000*'ANALYSE - ERP =&gt; SOUS-SEGMENT'!$JE$8:$JE$1000)/SUMPRODUCT(('ANALYSE - ERP =&gt; SOUS-SEGMENT'!$C$8:$C$1000=$C8)*'ANALYSE - ERP =&gt; SOUS-SEGMENT'!$Q$8:$Q$1000*'ANALYSE - ERP =&gt; SOUS-SEGMENT'!$FE$8:$FE$1000),""))</f>
        <v>0.19150081444163597</v>
      </c>
      <c r="JF8" s="730">
        <f>IF($C8="","",IFERROR(SUMPRODUCT(('ANALYSE - ERP =&gt; SOUS-SEGMENT'!$C$8:$C$1000=$C8)*'ANALYSE - ERP =&gt; SOUS-SEGMENT'!$Q$8:$Q$1000*'ANALYSE - ERP =&gt; SOUS-SEGMENT'!$FE$8:$FE$1000*'ANALYSE - ERP =&gt; SOUS-SEGMENT'!$JF$8:$JF$1000)/SUMPRODUCT(('ANALYSE - ERP =&gt; SOUS-SEGMENT'!$C$8:$C$1000=$C8)*'ANALYSE - ERP =&gt; SOUS-SEGMENT'!$Q$8:$Q$1000*'ANALYSE - ERP =&gt; SOUS-SEGMENT'!$FE$8:$FE$1000),""))</f>
        <v>0.53781536552730547</v>
      </c>
      <c r="JG8" s="730">
        <f>IF($C8="","",IFERROR(SUMPRODUCT(('ANALYSE - ERP =&gt; SOUS-SEGMENT'!$C$8:$C$1000=$C8)*'ANALYSE - ERP =&gt; SOUS-SEGMENT'!$Q$8:$Q$1000*'ANALYSE - ERP =&gt; SOUS-SEGMENT'!$FE$8:$FE$1000*'ANALYSE - ERP =&gt; SOUS-SEGMENT'!$JG$8:$JG$1000)/SUMPRODUCT(('ANALYSE - ERP =&gt; SOUS-SEGMENT'!$C$8:$C$1000=$C8)*'ANALYSE - ERP =&gt; SOUS-SEGMENT'!$Q$8:$Q$1000*'ANALYSE - ERP =&gt; SOUS-SEGMENT'!$FE$8:$FE$1000),""))</f>
        <v>0.23446201355968962</v>
      </c>
      <c r="JH8" s="831">
        <f>IF($C8="","",IFERROR(SUMPRODUCT(('ANALYSE - ERP =&gt; SOUS-SEGMENT'!$C$8:$C$1000=$C8)*'ANALYSE - ERP =&gt; SOUS-SEGMENT'!$Q$8:$Q$1000*'ANALYSE - ERP =&gt; SOUS-SEGMENT'!$FE$8:$FE$1000*'ANALYSE - ERP =&gt; SOUS-SEGMENT'!$JH$8:$JH$1000)/SUMPRODUCT(('ANALYSE - ERP =&gt; SOUS-SEGMENT'!$C$8:$C$1000=$C8)*'ANALYSE - ERP =&gt; SOUS-SEGMENT'!$Q$8:$Q$1000*'ANALYSE - ERP =&gt; SOUS-SEGMENT'!$FE$8:$FE$1000),""))</f>
        <v>2.4266189555106009E-4</v>
      </c>
      <c r="JI8" s="831" t="str">
        <f>IF($C8="","",IFERROR(SUMPRODUCT(('ANALYSE - ERP =&gt; SOUS-SEGMENT'!$C$8:$C$1000=$C8)*'ANALYSE - ERP =&gt; SOUS-SEGMENT'!$Q$8:$Q$1000*'ANALYSE - ERP =&gt; SOUS-SEGMENT'!$BG$8:$BG$1000*'ANALYSE - ERP =&gt; SOUS-SEGMENT'!$JI$8:$JI$1000)/SUMPRODUCT(('ANALYSE - ERP =&gt; SOUS-SEGMENT'!$C$8:$C$1000=$C8)*'ANALYSE - ERP =&gt; SOUS-SEGMENT'!$Q$8:$Q$1000*'ANALYSE - ERP =&gt; SOUS-SEGMENT'!$BG$8:$BG$1000),""))</f>
        <v/>
      </c>
      <c r="JJ8" s="831" t="str">
        <f>IF($C8="","",IFERROR(SUMPRODUCT(('ANALYSE - ERP =&gt; SOUS-SEGMENT'!$C$8:$C$1000=$C8)*'ANALYSE - ERP =&gt; SOUS-SEGMENT'!$Q$8:$Q$1000*'ANALYSE - ERP =&gt; SOUS-SEGMENT'!$BG$8:$BG$1000*'ANALYSE - ERP =&gt; SOUS-SEGMENT'!$JJ$8:$JJ$1000)/SUMPRODUCT(('ANALYSE - ERP =&gt; SOUS-SEGMENT'!$C$8:$C$1000=$C8)*'ANALYSE - ERP =&gt; SOUS-SEGMENT'!$Q$8:$Q$1000*'ANALYSE - ERP =&gt; SOUS-SEGMENT'!$BG$8:$BG$1000),""))</f>
        <v/>
      </c>
      <c r="JK8" s="831" t="str">
        <f>IF($C8="","",IFERROR(SUMPRODUCT(('ANALYSE - ERP =&gt; SOUS-SEGMENT'!$C$8:$C$1000=$C8)*'ANALYSE - ERP =&gt; SOUS-SEGMENT'!$Q$8:$Q$1000*'ANALYSE - ERP =&gt; SOUS-SEGMENT'!$BG$8:$BG$1000*'ANALYSE - ERP =&gt; SOUS-SEGMENT'!$JK$8:$JK$1000)/SUMPRODUCT(('ANALYSE - ERP =&gt; SOUS-SEGMENT'!$C$8:$C$1000=$C8)*'ANALYSE - ERP =&gt; SOUS-SEGMENT'!$Q$8:$Q$1000*'ANALYSE - ERP =&gt; SOUS-SEGMENT'!$BG$8:$BG$1000),""))</f>
        <v/>
      </c>
      <c r="JL8" s="831" t="str">
        <f>IF($C8="","",IFERROR(SUMPRODUCT(('ANALYSE - ERP =&gt; SOUS-SEGMENT'!$C$8:$C$1000=$C8)*'ANALYSE - ERP =&gt; SOUS-SEGMENT'!$Q$8:$Q$1000*'ANALYSE - ERP =&gt; SOUS-SEGMENT'!$BG$8:$BG$1000*'ANALYSE - ERP =&gt; SOUS-SEGMENT'!$JL$8:$JL$1000)/SUMPRODUCT(('ANALYSE - ERP =&gt; SOUS-SEGMENT'!$C$8:$C$1000=$C8)*'ANALYSE - ERP =&gt; SOUS-SEGMENT'!$Q$8:$Q$1000*'ANALYSE - ERP =&gt; SOUS-SEGMENT'!$BG$8:$BG$1000),""))</f>
        <v/>
      </c>
      <c r="JM8" s="831" t="str">
        <f>IF($C8="","",IFERROR(SUMPRODUCT(('ANALYSE - ERP =&gt; SOUS-SEGMENT'!$C$8:$C$1000=$C8)*'ANALYSE - ERP =&gt; SOUS-SEGMENT'!$Q$8:$Q$1000*'ANALYSE - ERP =&gt; SOUS-SEGMENT'!$BG$8:$BG$1000*'ANALYSE - ERP =&gt; SOUS-SEGMENT'!$JM$8:$JM$1000)/SUMPRODUCT(('ANALYSE - ERP =&gt; SOUS-SEGMENT'!$C$8:$C$1000=$C8)*'ANALYSE - ERP =&gt; SOUS-SEGMENT'!$Q$8:$Q$1000*'ANALYSE - ERP =&gt; SOUS-SEGMENT'!$BG$8:$BG$1000),""))</f>
        <v/>
      </c>
      <c r="JN8" s="831" t="str">
        <f>IF($C8="","",IFERROR(SUMPRODUCT(('ANALYSE - ERP =&gt; SOUS-SEGMENT'!$C$8:$C$1000=$C8)*'ANALYSE - ERP =&gt; SOUS-SEGMENT'!$Q$8:$Q$1000*'ANALYSE - ERP =&gt; SOUS-SEGMENT'!$FH$8:$FH$1000*'ANALYSE - ERP =&gt; SOUS-SEGMENT'!$JN$8:$JN$1000)/SUMPRODUCT(('ANALYSE - ERP =&gt; SOUS-SEGMENT'!$C$8:$C$1000=$C8)*'ANALYSE - ERP =&gt; SOUS-SEGMENT'!$Q$8:$Q$1000*'ANALYSE - ERP =&gt; SOUS-SEGMENT'!$FH$8:$FH$1000),""))</f>
        <v/>
      </c>
      <c r="JO8" s="831" t="str">
        <f>IF($C8="","",IFERROR(SUMPRODUCT(('ANALYSE - ERP =&gt; SOUS-SEGMENT'!$C$8:$C$1000=$C8)*'ANALYSE - ERP =&gt; SOUS-SEGMENT'!$Q$8:$Q$1000*'ANALYSE - ERP =&gt; SOUS-SEGMENT'!$FH$8:$FH$1000*'ANALYSE - ERP =&gt; SOUS-SEGMENT'!$JO$8:$JO$1000)/SUMPRODUCT(('ANALYSE - ERP =&gt; SOUS-SEGMENT'!$C$8:$C$1000=$C8)*'ANALYSE - ERP =&gt; SOUS-SEGMENT'!$Q$8:$Q$1000*'ANALYSE - ERP =&gt; SOUS-SEGMENT'!$FH$8:$FH$1000),""))</f>
        <v/>
      </c>
      <c r="JP8" s="831" t="str">
        <f>IF($C8="","",IFERROR(SUMPRODUCT(('ANALYSE - ERP =&gt; SOUS-SEGMENT'!$C$8:$C$1000=$C8)*'ANALYSE - ERP =&gt; SOUS-SEGMENT'!$Q$8:$Q$1000*'ANALYSE - ERP =&gt; SOUS-SEGMENT'!$FH$8:$FH$1000*'ANALYSE - ERP =&gt; SOUS-SEGMENT'!$JP$8:$JP$1000)/SUMPRODUCT(('ANALYSE - ERP =&gt; SOUS-SEGMENT'!$C$8:$C$1000=$C8)*'ANALYSE - ERP =&gt; SOUS-SEGMENT'!$Q$8:$Q$1000*'ANALYSE - ERP =&gt; SOUS-SEGMENT'!$FH$8:$FH$1000),""))</f>
        <v/>
      </c>
      <c r="JQ8" s="831" t="str">
        <f>IF($C8="","",IFERROR(SUMPRODUCT(('ANALYSE - ERP =&gt; SOUS-SEGMENT'!$C$8:$C$1000=$C8)*'ANALYSE - ERP =&gt; SOUS-SEGMENT'!$Q$8:$Q$1000*'ANALYSE - ERP =&gt; SOUS-SEGMENT'!$FH$8:$FH$1000*'ANALYSE - ERP =&gt; SOUS-SEGMENT'!$JQ$8:$JQ$1000)/SUMPRODUCT(('ANALYSE - ERP =&gt; SOUS-SEGMENT'!$C$8:$C$1000=$C8)*'ANALYSE - ERP =&gt; SOUS-SEGMENT'!$Q$8:$Q$1000*'ANALYSE - ERP =&gt; SOUS-SEGMENT'!$FH$8:$FH$1000),""))</f>
        <v/>
      </c>
      <c r="JR8" s="831" t="str">
        <f>IF($C8="","",IFERROR(SUMPRODUCT(('ANALYSE - ERP =&gt; SOUS-SEGMENT'!$C$8:$C$1000=$C8)*'ANALYSE - ERP =&gt; SOUS-SEGMENT'!$Q$8:$Q$1000*'ANALYSE - ERP =&gt; SOUS-SEGMENT'!$FH$8:$FH$1000*'ANALYSE - ERP =&gt; SOUS-SEGMENT'!$JR$8:$JR$1000)/SUMPRODUCT(('ANALYSE - ERP =&gt; SOUS-SEGMENT'!$C$8:$C$1000=$C8)*'ANALYSE - ERP =&gt; SOUS-SEGMENT'!$Q$8:$Q$1000*'ANALYSE - ERP =&gt; SOUS-SEGMENT'!$FH$8:$FH$1000),""))</f>
        <v/>
      </c>
      <c r="JS8" s="831">
        <f>IF($C8="","",IFERROR(SUMPRODUCT(('ANALYSE - ERP =&gt; SOUS-SEGMENT'!$C$8:$C$1000=$C8)*'ANALYSE - ERP =&gt; SOUS-SEGMENT'!$Q$8:$Q$1000*'ANALYSE - ERP =&gt; SOUS-SEGMENT'!$BH$8:$BH$1000*'ANALYSE - ERP =&gt; SOUS-SEGMENT'!$JS$8:$JS$1000)/SUMPRODUCT(('ANALYSE - ERP =&gt; SOUS-SEGMENT'!$C$8:$C$1000=$C8)*'ANALYSE - ERP =&gt; SOUS-SEGMENT'!$Q$8:$Q$1000*'ANALYSE - ERP =&gt; SOUS-SEGMENT'!$BH$8:$BH$1000),""))</f>
        <v>2.0138285880866781E-2</v>
      </c>
      <c r="JT8" s="730">
        <f>IF($C8="","",IFERROR(SUMPRODUCT(('ANALYSE - ERP =&gt; SOUS-SEGMENT'!$C$8:$C$1000=$C8)*'ANALYSE - ERP =&gt; SOUS-SEGMENT'!$Q$8:$Q$1000*'ANALYSE - ERP =&gt; SOUS-SEGMENT'!$BH$8:$BH$1000*'ANALYSE - ERP =&gt; SOUS-SEGMENT'!$JT$8:$JT$1000)/SUMPRODUCT(('ANALYSE - ERP =&gt; SOUS-SEGMENT'!$C$8:$C$1000=$C8)*'ANALYSE - ERP =&gt; SOUS-SEGMENT'!$Q$8:$Q$1000*'ANALYSE - ERP =&gt; SOUS-SEGMENT'!$BH$8:$BH$1000),""))</f>
        <v>0.36559653580798751</v>
      </c>
      <c r="JU8" s="730">
        <f>IF($C8="","",IFERROR(SUMPRODUCT(('ANALYSE - ERP =&gt; SOUS-SEGMENT'!$C$8:$C$1000=$C8)*'ANALYSE - ERP =&gt; SOUS-SEGMENT'!$Q$8:$Q$1000*'ANALYSE - ERP =&gt; SOUS-SEGMENT'!$BH$8:$BH$1000*'ANALYSE - ERP =&gt; SOUS-SEGMENT'!$JU$8:$JU$1000)/SUMPRODUCT(('ANALYSE - ERP =&gt; SOUS-SEGMENT'!$C$8:$C$1000=$C8)*'ANALYSE - ERP =&gt; SOUS-SEGMENT'!$Q$8:$Q$1000*'ANALYSE - ERP =&gt; SOUS-SEGMENT'!$BH$8:$BH$1000),""))</f>
        <v>0.51573270333300947</v>
      </c>
      <c r="JV8" s="730">
        <f>IF($C8="","",IFERROR(SUMPRODUCT(('ANALYSE - ERP =&gt; SOUS-SEGMENT'!$C$8:$C$1000=$C8)*'ANALYSE - ERP =&gt; SOUS-SEGMENT'!$Q$8:$Q$1000*'ANALYSE - ERP =&gt; SOUS-SEGMENT'!$BH$8:$BH$1000*'ANALYSE - ERP =&gt; SOUS-SEGMENT'!$JV$8:$JV$1000)/SUMPRODUCT(('ANALYSE - ERP =&gt; SOUS-SEGMENT'!$C$8:$C$1000=$C8)*'ANALYSE - ERP =&gt; SOUS-SEGMENT'!$Q$8:$Q$1000*'ANALYSE - ERP =&gt; SOUS-SEGMENT'!$BH$8:$BH$1000),""))</f>
        <v>9.8532474978136234E-2</v>
      </c>
      <c r="JW8" s="730">
        <f>IF($C8="","",IFERROR(SUMPRODUCT(('ANALYSE - ERP =&gt; SOUS-SEGMENT'!$C$8:$C$1000=$C8)*'ANALYSE - ERP =&gt; SOUS-SEGMENT'!$Q$8:$Q$1000*'ANALYSE - ERP =&gt; SOUS-SEGMENT'!$BH$8:$BH$1000*'ANALYSE - ERP =&gt; SOUS-SEGMENT'!$JW$8:$JW$1000)/SUMPRODUCT(('ANALYSE - ERP =&gt; SOUS-SEGMENT'!$C$8:$C$1000=$C8)*'ANALYSE - ERP =&gt; SOUS-SEGMENT'!$Q$8:$Q$1000*'ANALYSE - ERP =&gt; SOUS-SEGMENT'!$BH$8:$BH$1000),""))</f>
        <v>0</v>
      </c>
      <c r="JX8" s="730">
        <f>IF($C8="","",IFERROR(SUMPRODUCT(('ANALYSE - ERP =&gt; SOUS-SEGMENT'!$C$8:$C$1000=$C8)*'ANALYSE - ERP =&gt; SOUS-SEGMENT'!$Q$8:$Q$1000*'ANALYSE - ERP =&gt; SOUS-SEGMENT'!$FK$8:$FK$1000*'ANALYSE - ERP =&gt; SOUS-SEGMENT'!$JX$8:$JX$1000)/SUMPRODUCT(('ANALYSE - ERP =&gt; SOUS-SEGMENT'!$C$8:$C$1000=$C8)*'ANALYSE - ERP =&gt; SOUS-SEGMENT'!$Q$8:$Q$1000*'ANALYSE - ERP =&gt; SOUS-SEGMENT'!$FK$8:$FK$1000),""))</f>
        <v>7.4215997127077557E-3</v>
      </c>
      <c r="JY8" s="730">
        <f>IF($C8="","",IFERROR(SUMPRODUCT(('ANALYSE - ERP =&gt; SOUS-SEGMENT'!$C$8:$C$1000=$C8)*'ANALYSE - ERP =&gt; SOUS-SEGMENT'!$Q$8:$Q$1000*'ANALYSE - ERP =&gt; SOUS-SEGMENT'!$FK$8:$FK$1000*'ANALYSE - ERP =&gt; SOUS-SEGMENT'!$JY$8:$JY$1000)/SUMPRODUCT(('ANALYSE - ERP =&gt; SOUS-SEGMENT'!$C$8:$C$1000=$C8)*'ANALYSE - ERP =&gt; SOUS-SEGMENT'!$Q$8:$Q$1000*'ANALYSE - ERP =&gt; SOUS-SEGMENT'!$FK$8:$FK$1000),""))</f>
        <v>0.21501740300868402</v>
      </c>
      <c r="JZ8" s="730">
        <f>IF($C8="","",IFERROR(SUMPRODUCT(('ANALYSE - ERP =&gt; SOUS-SEGMENT'!$C$8:$C$1000=$C8)*'ANALYSE - ERP =&gt; SOUS-SEGMENT'!$Q$8:$Q$1000*'ANALYSE - ERP =&gt; SOUS-SEGMENT'!$FK$8:$FK$1000*'ANALYSE - ERP =&gt; SOUS-SEGMENT'!$JZ$8:$JZ$1000)/SUMPRODUCT(('ANALYSE - ERP =&gt; SOUS-SEGMENT'!$C$8:$C$1000=$C8)*'ANALYSE - ERP =&gt; SOUS-SEGMENT'!$Q$8:$Q$1000*'ANALYSE - ERP =&gt; SOUS-SEGMENT'!$FK$8:$FK$1000),""))</f>
        <v>0.55214405242672826</v>
      </c>
      <c r="KA8" s="730">
        <f>IF($C8="","",IFERROR(SUMPRODUCT(('ANALYSE - ERP =&gt; SOUS-SEGMENT'!$C$8:$C$1000=$C8)*'ANALYSE - ERP =&gt; SOUS-SEGMENT'!$Q$8:$Q$1000*'ANALYSE - ERP =&gt; SOUS-SEGMENT'!$FK$8:$FK$1000*'ANALYSE - ERP =&gt; SOUS-SEGMENT'!$KA$8:$KA$1000)/SUMPRODUCT(('ANALYSE - ERP =&gt; SOUS-SEGMENT'!$C$8:$C$1000=$C8)*'ANALYSE - ERP =&gt; SOUS-SEGMENT'!$Q$8:$Q$1000*'ANALYSE - ERP =&gt; SOUS-SEGMENT'!$FK$8:$FK$1000),""))</f>
        <v>0.22508877887818862</v>
      </c>
      <c r="KB8" s="730">
        <f>IF($C8="","",IFERROR(SUMPRODUCT(('ANALYSE - ERP =&gt; SOUS-SEGMENT'!$C$8:$C$1000=$C8)*'ANALYSE - ERP =&gt; SOUS-SEGMENT'!$Q$8:$Q$1000*'ANALYSE - ERP =&gt; SOUS-SEGMENT'!$FK$8:$FK$1000*'ANALYSE - ERP =&gt; SOUS-SEGMENT'!$KB$8:$KB$1000)/SUMPRODUCT(('ANALYSE - ERP =&gt; SOUS-SEGMENT'!$C$8:$C$1000=$C8)*'ANALYSE - ERP =&gt; SOUS-SEGMENT'!$Q$8:$Q$1000*'ANALYSE - ERP =&gt; SOUS-SEGMENT'!$FK$8:$FK$1000),""))</f>
        <v>3.2816597369115917E-4</v>
      </c>
      <c r="KC8" s="657"/>
      <c r="KD8" s="920" t="s">
        <v>5299</v>
      </c>
      <c r="KE8" s="920" t="s">
        <v>5300</v>
      </c>
      <c r="KF8" s="866">
        <f>IF($C8="","",IFERROR(SUMPRODUCT(('ANALYSE - ERP =&gt; SOUS-SEGMENT'!$C$8:$C$1000=$C8)*'ANALYSE - ERP =&gt; SOUS-SEGMENT'!$Q$8:$Q$1000*'ANALYSE - ERP =&gt; SOUS-SEGMENT'!$IE$8:$IE$1000*'ANALYSE - ERP =&gt; SOUS-SEGMENT'!$KF$8:$KF$1000)/SUMPRODUCT(('ANALYSE - ERP =&gt; SOUS-SEGMENT'!$C$8:$C$1000=$C8)*'ANALYSE - ERP =&gt; SOUS-SEGMENT'!$Q$8:$Q$1000*'ANALYSE - ERP =&gt; SOUS-SEGMENT'!$IE$8:$IE$1000),""))</f>
        <v>3.9699350409850482</v>
      </c>
      <c r="KG8" s="920" t="s">
        <v>5301</v>
      </c>
      <c r="KH8" s="937" t="s">
        <v>5302</v>
      </c>
      <c r="KI8" s="937" t="s">
        <v>5303</v>
      </c>
      <c r="KJ8" s="937" t="s">
        <v>5304</v>
      </c>
    </row>
    <row r="9" spans="1:327" ht="120" customHeight="1">
      <c r="A9" s="957">
        <f>IF($C9="","",ROWS($A$8:A9))</f>
        <v>2</v>
      </c>
      <c r="B9" s="958" t="s">
        <v>2600</v>
      </c>
      <c r="C9" s="958" t="s">
        <v>2678</v>
      </c>
      <c r="D9" s="959" t="s">
        <v>5305</v>
      </c>
      <c r="E9" s="269" t="s">
        <v>2106</v>
      </c>
      <c r="F9" s="960" t="s">
        <v>5306</v>
      </c>
      <c r="G9" s="960" t="s">
        <v>300</v>
      </c>
      <c r="H9" s="960" t="s">
        <v>2109</v>
      </c>
      <c r="I9" s="960" t="s">
        <v>5307</v>
      </c>
      <c r="J9" s="960" t="s">
        <v>5308</v>
      </c>
      <c r="K9" s="960" t="s">
        <v>5309</v>
      </c>
      <c r="L9" s="960" t="s">
        <v>2109</v>
      </c>
      <c r="M9" s="960" t="s">
        <v>2603</v>
      </c>
      <c r="N9" s="960" t="s">
        <v>5310</v>
      </c>
      <c r="O9" s="960" t="s">
        <v>5311</v>
      </c>
      <c r="P9" s="960"/>
      <c r="Q9" s="270">
        <f>IF($C9="","",IF(SUMIFS('ANALYSE - ERP =&gt; SOUS-SEGMENT'!$Q$8:$Q$1000,'ANALYSE - ERP =&gt; SOUS-SEGMENT'!$C$8:$C$1000,$C9)&gt;0,1,0))</f>
        <v>1</v>
      </c>
      <c r="R9" s="271">
        <f>IF($C9="","",IFERROR(SUMPRODUCT(('ANALYSE - ERP =&gt; SOUS-SEGMENT'!$C$8:$C$1000=$C9)*'ANALYSE - ERP =&gt; SOUS-SEGMENT'!$Q$8:$Q$1000*'ANALYSE - ERP =&gt; SOUS-SEGMENT'!$AF$8:$AF$1000*'ANALYSE - ERP =&gt; SOUS-SEGMENT'!$R$8:$R$1000)/SUMPRODUCT(('ANALYSE - ERP =&gt; SOUS-SEGMENT'!$C$8:$C$1000=$C9)*'ANALYSE - ERP =&gt; SOUS-SEGMENT'!$Q$8:$Q$1000*'ANALYSE - ERP =&gt; SOUS-SEGMENT'!$AF$8:$AF$1000),""))</f>
        <v>3003.8546341615975</v>
      </c>
      <c r="S9" s="272">
        <f>IF($C9="","",SUMPRODUCT(('ANALYSE - ERP =&gt; SOUS-SEGMENT'!$C$8:$C$1000=$C9)*'ANALYSE - ERP =&gt; SOUS-SEGMENT'!$Q$8:$Q$1000*'ANALYSE - ERP =&gt; SOUS-SEGMENT'!$S$8:$S$1000))</f>
        <v>66850</v>
      </c>
      <c r="T9" s="272">
        <f>IF($C9="","",SUMPRODUCT(('ANALYSE - ERP =&gt; SOUS-SEGMENT'!$C$8:$C$1000=$C9)*'ANALYSE - ERP =&gt; SOUS-SEGMENT'!$Q$8:$Q$1000*'ANALYSE - ERP =&gt; SOUS-SEGMENT'!$T$8:$T$1000))</f>
        <v>66130</v>
      </c>
      <c r="U9" s="272">
        <f>IF($C9="","",SUMPRODUCT(('ANALYSE - ERP =&gt; SOUS-SEGMENT'!$C$8:$C$1000=$C9)*'ANALYSE - ERP =&gt; SOUS-SEGMENT'!$Q$8:$Q$1000*'ANALYSE - ERP =&gt; SOUS-SEGMENT'!$U$8:$U$1000))</f>
        <v>65353</v>
      </c>
      <c r="V9" s="272">
        <f>IF($C9="","",SUMPRODUCT(('ANALYSE - ERP =&gt; SOUS-SEGMENT'!$C$8:$C$1000=$C9)*'ANALYSE - ERP =&gt; SOUS-SEGMENT'!$Q$8:$Q$1000*'ANALYSE - ERP =&gt; SOUS-SEGMENT'!$V$8:$V$1000))</f>
        <v>64548</v>
      </c>
      <c r="W9" s="272">
        <f>IF($C9="","",SUMPRODUCT(('ANALYSE - ERP =&gt; SOUS-SEGMENT'!$C$8:$C$1000=$C9)*'ANALYSE - ERP =&gt; SOUS-SEGMENT'!$Q$8:$Q$1000*'ANALYSE - ERP =&gt; SOUS-SEGMENT'!$W$8:$W$1000))</f>
        <v>64453</v>
      </c>
      <c r="X9" s="272">
        <f>IF($C9="","",SUMPRODUCT(('ANALYSE - ERP =&gt; SOUS-SEGMENT'!$C$8:$C$1000=$C9)*'ANALYSE - ERP =&gt; SOUS-SEGMENT'!$Q$8:$Q$1000*'ANALYSE - ERP =&gt; SOUS-SEGMENT'!$X$8:$X$1000))</f>
        <v>64370</v>
      </c>
      <c r="Y9" s="272">
        <f>IF($C9="","",SUMPRODUCT(('ANALYSE - ERP =&gt; SOUS-SEGMENT'!$C$8:$C$1000=$C9)*'ANALYSE - ERP =&gt; SOUS-SEGMENT'!$Q$8:$Q$1000*'ANALYSE - ERP =&gt; SOUS-SEGMENT'!$Y$8:$Y$1000))</f>
        <v>64289</v>
      </c>
      <c r="Z9" s="272">
        <f>IF($C9="","",SUMPRODUCT(('ANALYSE - ERP =&gt; SOUS-SEGMENT'!$C$8:$C$1000=$C9)*'ANALYSE - ERP =&gt; SOUS-SEGMENT'!$Q$8:$Q$1000*'ANALYSE - ERP =&gt; SOUS-SEGMENT'!$Z$8:$Z$1000))</f>
        <v>64223</v>
      </c>
      <c r="AA9" s="272">
        <f>IF($C9="","",SUMPRODUCT(('ANALYSE - ERP =&gt; SOUS-SEGMENT'!$C$8:$C$1000=$C9)*'ANALYSE - ERP =&gt; SOUS-SEGMENT'!$Q$8:$Q$1000*'ANALYSE - ERP =&gt; SOUS-SEGMENT'!$AA$8:$AA$1000))</f>
        <v>64159</v>
      </c>
      <c r="AB9" s="272">
        <f>IF($C9="","",SUMPRODUCT(('ANALYSE - ERP =&gt; SOUS-SEGMENT'!$C$8:$C$1000=$C9)*'ANALYSE - ERP =&gt; SOUS-SEGMENT'!$Q$8:$Q$1000*'ANALYSE - ERP =&gt; SOUS-SEGMENT'!$AB$8:$AB$1000))</f>
        <v>64109</v>
      </c>
      <c r="AC9" s="272">
        <f>IF($C9="","",SUMPRODUCT(('ANALYSE - ERP =&gt; SOUS-SEGMENT'!$C$8:$C$1000=$C9)*'ANALYSE - ERP =&gt; SOUS-SEGMENT'!$Q$8:$Q$1000*'ANALYSE - ERP =&gt; SOUS-SEGMENT'!$AC$8:$AC$1000))</f>
        <v>64072</v>
      </c>
      <c r="AD9" s="272">
        <f>IF($C9="","",SUMPRODUCT(('ANALYSE - ERP =&gt; SOUS-SEGMENT'!$C$8:$C$1000=$C9)*'ANALYSE - ERP =&gt; SOUS-SEGMENT'!$Q$8:$Q$1000*'ANALYSE - ERP =&gt; SOUS-SEGMENT'!$AD$8:$AD$1000))</f>
        <v>64053</v>
      </c>
      <c r="AE9" s="272">
        <f>IF($C9="","",SUMPRODUCT(('ANALYSE - ERP =&gt; SOUS-SEGMENT'!$C$8:$C$1000=$C9)*'ANALYSE - ERP =&gt; SOUS-SEGMENT'!$Q$8:$Q$1000*'ANALYSE - ERP =&gt; SOUS-SEGMENT'!$AE$8:$AE$1000))</f>
        <v>64034</v>
      </c>
      <c r="AF9" s="272">
        <f>IF($C9="","",SUMPRODUCT(('ANALYSE - ERP =&gt; SOUS-SEGMENT'!$C$8:$C$1000=$C9)*'ANALYSE - ERP =&gt; SOUS-SEGMENT'!$Q$8:$Q$1000*'ANALYSE - ERP =&gt; SOUS-SEGMENT'!$AF$8:$AF$1000))</f>
        <v>63949</v>
      </c>
      <c r="AG9" s="272">
        <f>IF($C9="","",SUMPRODUCT(('ANALYSE - ERP =&gt; SOUS-SEGMENT'!$C$8:$C$1000=$C9)*'ANALYSE - ERP =&gt; SOUS-SEGMENT'!$Q$8:$Q$1000*'ANALYSE - ERP =&gt; SOUS-SEGMENT'!$AG$8:$AG$1000))</f>
        <v>63848</v>
      </c>
      <c r="AH9" s="272">
        <f>IF($C9="","",SUMPRODUCT(('ANALYSE - ERP =&gt; SOUS-SEGMENT'!$C$8:$C$1000=$C9)*'ANALYSE - ERP =&gt; SOUS-SEGMENT'!$Q$8:$Q$1000*'ANALYSE - ERP =&gt; SOUS-SEGMENT'!$AH$8:$AH$1000))</f>
        <v>63743</v>
      </c>
      <c r="AI9" s="272">
        <f>IF($C9="","",SUMPRODUCT(('ANALYSE - ERP =&gt; SOUS-SEGMENT'!$C$8:$C$1000=$C9)*'ANALYSE - ERP =&gt; SOUS-SEGMENT'!$Q$8:$Q$1000*'ANALYSE - ERP =&gt; SOUS-SEGMENT'!$AI$8:$AI$1000))</f>
        <v>63638</v>
      </c>
      <c r="AJ9" s="272">
        <f>IF($C9="","",SUMPRODUCT(('ANALYSE - ERP =&gt; SOUS-SEGMENT'!$C$8:$C$1000=$C9)*'ANALYSE - ERP =&gt; SOUS-SEGMENT'!$Q$8:$Q$1000*'ANALYSE - ERP =&gt; SOUS-SEGMENT'!$AJ$8:$AJ$1000))</f>
        <v>63532</v>
      </c>
      <c r="AK9" s="272">
        <f>IF($C9="","",SUMPRODUCT(('ANALYSE - ERP =&gt; SOUS-SEGMENT'!$C$8:$C$1000=$C9)*'ANALYSE - ERP =&gt; SOUS-SEGMENT'!$Q$8:$Q$1000*'ANALYSE - ERP =&gt; SOUS-SEGMENT'!$AK$8:$AK$1000))</f>
        <v>63426</v>
      </c>
      <c r="AL9" s="960" t="s">
        <v>5312</v>
      </c>
      <c r="AM9" s="960" t="s">
        <v>5313</v>
      </c>
      <c r="AN9" s="960" t="s">
        <v>5314</v>
      </c>
      <c r="AO9" s="657"/>
      <c r="AP9" s="271">
        <f>IF($C9="","",IFERROR(SUMPRODUCT(('ANALYSE - ERP =&gt; SOUS-SEGMENT'!$C$8:$C$1000=$C9)*'ANALYSE - ERP =&gt; SOUS-SEGMENT'!$Q$8:$Q$1000*'ANALYSE - ERP =&gt; SOUS-SEGMENT'!$AF$8:$AF$1000*'ANALYSE - ERP =&gt; SOUS-SEGMENT'!$AP$8:$AP$1000)/SUMPRODUCT(('ANALYSE - ERP =&gt; SOUS-SEGMENT'!$C$8:$C$1000=$C9)*'ANALYSE - ERP =&gt; SOUS-SEGMENT'!$Q$8:$Q$1000*'ANALYSE - ERP =&gt; SOUS-SEGMENT'!$AF$8:$AF$1000),""))</f>
        <v>279.64956449670831</v>
      </c>
      <c r="AQ9" s="280">
        <f>IF($C9="","",IFERROR(SUMPRODUCT(('ANALYSE - ERP =&gt; SOUS-SEGMENT'!$C$8:$C$1000=$C9)*'ANALYSE - ERP =&gt; SOUS-SEGMENT'!$Q$8:$Q$1000*'ANALYSE - ERP =&gt; SOUS-SEGMENT'!$AF$8:$AF$1000*'ANALYSE - ERP =&gt; SOUS-SEGMENT'!$AQ$8:$AQ$1000)/SUMPRODUCT(('ANALYSE - ERP =&gt; SOUS-SEGMENT'!$C$8:$C$1000=$C9)*'ANALYSE - ERP =&gt; SOUS-SEGMENT'!$Q$8:$Q$1000*'ANALYSE - ERP =&gt; SOUS-SEGMENT'!$AF$8:$AF$1000),""))</f>
        <v>249.9629235797276</v>
      </c>
      <c r="AR9" s="280">
        <f>IF($C9="","",IFERROR(SUMPRODUCT(('ANALYSE - ERP =&gt; SOUS-SEGMENT'!$C$8:$C$1000=$C9)*'ANALYSE - ERP =&gt; SOUS-SEGMENT'!$Q$8:$Q$1000*'ANALYSE - ERP =&gt; SOUS-SEGMENT'!$AF$8:$AF$1000*'ANALYSE - ERP =&gt; SOUS-SEGMENT'!$AR$8:$AR$1000)/SUMPRODUCT(('ANALYSE - ERP =&gt; SOUS-SEGMENT'!$C$8:$C$1000=$C9)*'ANALYSE - ERP =&gt; SOUS-SEGMENT'!$Q$8:$Q$1000*'ANALYSE - ERP =&gt; SOUS-SEGMENT'!$AF$8:$AF$1000),""))</f>
        <v>23.19406089227353</v>
      </c>
      <c r="AS9" s="280">
        <f>IF($C9="","",IFERROR(SUMPRODUCT(('ANALYSE - ERP =&gt; SOUS-SEGMENT'!$C$8:$C$1000=$C9)*'ANALYSE - ERP =&gt; SOUS-SEGMENT'!$Q$8:$Q$1000*'ANALYSE - ERP =&gt; SOUS-SEGMENT'!$AF$8:$AF$1000*'ANALYSE - ERP =&gt; SOUS-SEGMENT'!$AS$8:$AS$1000)/SUMPRODUCT(('ANALYSE - ERP =&gt; SOUS-SEGMENT'!$C$8:$C$1000=$C9)*'ANALYSE - ERP =&gt; SOUS-SEGMENT'!$Q$8:$Q$1000*'ANALYSE - ERP =&gt; SOUS-SEGMENT'!$AF$8:$AF$1000),""))</f>
        <v>6.4925800247071885</v>
      </c>
      <c r="AT9" s="657"/>
      <c r="AU9" s="647" t="s">
        <v>5315</v>
      </c>
      <c r="AV9" s="647" t="s">
        <v>5316</v>
      </c>
      <c r="AW9" s="960" t="s">
        <v>5317</v>
      </c>
      <c r="AX9" s="647" t="s">
        <v>2687</v>
      </c>
      <c r="AY9" s="657"/>
      <c r="AZ9" s="948">
        <f>IF($C9="","",IFERROR(SUMPRODUCT(('ANALYSE - ERP =&gt; SOUS-SEGMENT'!$C$8:$C$1000=$C9)*'ANALYSE - ERP =&gt; SOUS-SEGMENT'!$Q$8:$Q$1000*'ANALYSE - ERP =&gt; SOUS-SEGMENT'!$AF$8:$AF$1000*'ANALYSE - ERP =&gt; SOUS-SEGMENT'!$AZ$8:$AZ$1000)/SUMPRODUCT(('ANALYSE - ERP =&gt; SOUS-SEGMENT'!$C$8:$C$1000=$C9)*'ANALYSE - ERP =&gt; SOUS-SEGMENT'!$Q$8:$Q$1000*'ANALYSE - ERP =&gt; SOUS-SEGMENT'!$AF$8:$AF$1000),""))</f>
        <v>15.681120893211778</v>
      </c>
      <c r="BA9" s="948">
        <f>IF($C9="","",IFERROR(SUMPRODUCT(('ANALYSE - ERP =&gt; SOUS-SEGMENT'!$C$8:$C$1000=$C9)*'ANALYSE - ERP =&gt; SOUS-SEGMENT'!$Q$8:$Q$1000*'ANALYSE - ERP =&gt; SOUS-SEGMENT'!$AF$8:$AF$1000*'ANALYSE - ERP =&gt; SOUS-SEGMENT'!$BA$8:$BA$1000)/SUMPRODUCT(('ANALYSE - ERP =&gt; SOUS-SEGMENT'!$C$8:$C$1000=$C9)*'ANALYSE - ERP =&gt; SOUS-SEGMENT'!$Q$8:$Q$1000*'ANALYSE - ERP =&gt; SOUS-SEGMENT'!$AF$8:$AF$1000),""))</f>
        <v>2.2932009882875417</v>
      </c>
      <c r="BB9" s="948">
        <f>IF($C9="","",IFERROR(SUMPRODUCT(('ANALYSE - ERP =&gt; SOUS-SEGMENT'!$C$8:$C$1000=$C9)*'ANALYSE - ERP =&gt; SOUS-SEGMENT'!$Q$8:$Q$1000*'ANALYSE - ERP =&gt; SOUS-SEGMENT'!$AF$8:$AF$1000*'ANALYSE - ERP =&gt; SOUS-SEGMENT'!$BB$8:$BB$1000)/SUMPRODUCT(('ANALYSE - ERP =&gt; SOUS-SEGMENT'!$C$8:$C$1000=$C9)*'ANALYSE - ERP =&gt; SOUS-SEGMENT'!$Q$8:$Q$1000*'ANALYSE - ERP =&gt; SOUS-SEGMENT'!$AF$8:$AF$1000),""))</f>
        <v>3.5978201379224068</v>
      </c>
      <c r="BC9" s="948">
        <f>IF($C9="","",IFERROR(SUMPRODUCT(('ANALYSE - ERP =&gt; SOUS-SEGMENT'!$C$8:$C$1000=$C9)*'ANALYSE - ERP =&gt; SOUS-SEGMENT'!$Q$8:$Q$1000*'ANALYSE - ERP =&gt; SOUS-SEGMENT'!$AF$8:$AF$1000*'ANALYSE - ERP =&gt; SOUS-SEGMENT'!$BC$8:$BC$1000)/SUMPRODUCT(('ANALYSE - ERP =&gt; SOUS-SEGMENT'!$C$8:$C$1000=$C9)*'ANALYSE - ERP =&gt; SOUS-SEGMENT'!$Q$8:$Q$1000*'ANALYSE - ERP =&gt; SOUS-SEGMENT'!$AF$8:$AF$1000),""))</f>
        <v>13.494863094028053</v>
      </c>
      <c r="BD9" s="825">
        <f t="shared" si="1"/>
        <v>2242499.91</v>
      </c>
      <c r="BE9" s="304">
        <f>IF($C9="","",SUMPRODUCT(('ANALYSE - ERP =&gt; SOUS-SEGMENT'!$C$8:$C$1000=$C9)*'ANALYSE - ERP =&gt; SOUS-SEGMENT'!$Q$8:$Q$1000*'ANALYSE - ERP =&gt; SOUS-SEGMENT'!$BE$8:$BE$1000))</f>
        <v>1002792</v>
      </c>
      <c r="BF9" s="304">
        <f>IF($C9="","",SUMPRODUCT(('ANALYSE - ERP =&gt; SOUS-SEGMENT'!$C$8:$C$1000=$C9)*'ANALYSE - ERP =&gt; SOUS-SEGMENT'!$Q$8:$Q$1000*'ANALYSE - ERP =&gt; SOUS-SEGMENT'!$BF$8:$BF$1000))</f>
        <v>146647.91</v>
      </c>
      <c r="BG9" s="304">
        <f>IF($C9="","",SUMPRODUCT(('ANALYSE - ERP =&gt; SOUS-SEGMENT'!$C$8:$C$1000=$C9)*'ANALYSE - ERP =&gt; SOUS-SEGMENT'!$Q$8:$Q$1000*'ANALYSE - ERP =&gt; SOUS-SEGMENT'!$BG$8:$BG$1000))</f>
        <v>230077</v>
      </c>
      <c r="BH9" s="304">
        <f>IF($C9="","",SUMPRODUCT(('ANALYSE - ERP =&gt; SOUS-SEGMENT'!$C$8:$C$1000=$C9)*'ANALYSE - ERP =&gt; SOUS-SEGMENT'!$Q$8:$Q$1000*'ANALYSE - ERP =&gt; SOUS-SEGMENT'!$BH$8:$BH$1000))</f>
        <v>862983</v>
      </c>
      <c r="BI9" s="825">
        <f t="shared" si="2"/>
        <v>2227852.46</v>
      </c>
      <c r="BJ9" s="304">
        <f>IF($C9="","",SUMPRODUCT(('ANALYSE - ERP =&gt; SOUS-SEGMENT'!$C$8:$C$1000=$C9)*'ANALYSE - ERP =&gt; SOUS-SEGMENT'!$Q$8:$Q$1000*'ANALYSE - ERP =&gt; SOUS-SEGMENT'!$BJ$8:$BJ$1000))</f>
        <v>995794</v>
      </c>
      <c r="BK9" s="304">
        <f>IF($C9="","",SUMPRODUCT(('ANALYSE - ERP =&gt; SOUS-SEGMENT'!$C$8:$C$1000=$C9)*'ANALYSE - ERP =&gt; SOUS-SEGMENT'!$Q$8:$Q$1000*'ANALYSE - ERP =&gt; SOUS-SEGMENT'!$BK$8:$BK$1000))</f>
        <v>146412.46</v>
      </c>
      <c r="BL9" s="304">
        <f>IF($C9="","",SUMPRODUCT(('ANALYSE - ERP =&gt; SOUS-SEGMENT'!$C$8:$C$1000=$C9)*'ANALYSE - ERP =&gt; SOUS-SEGMENT'!$Q$8:$Q$1000*'ANALYSE - ERP =&gt; SOUS-SEGMENT'!$BL$8:$BL$1000))</f>
        <v>228925</v>
      </c>
      <c r="BM9" s="304">
        <f>IF($C9="","",SUMPRODUCT(('ANALYSE - ERP =&gt; SOUS-SEGMENT'!$C$8:$C$1000=$C9)*'ANALYSE - ERP =&gt; SOUS-SEGMENT'!$Q$8:$Q$1000*'ANALYSE - ERP =&gt; SOUS-SEGMENT'!$BM$8:$BM$1000))</f>
        <v>856721</v>
      </c>
      <c r="BN9" s="657"/>
      <c r="BO9" s="284">
        <f t="shared" si="3"/>
        <v>0.19951678912476362</v>
      </c>
      <c r="BP9" s="284">
        <f t="shared" si="4"/>
        <v>0.71944879895332237</v>
      </c>
      <c r="BQ9" s="284">
        <f t="shared" si="5"/>
        <v>4.3289834781290636E-2</v>
      </c>
      <c r="BR9" s="710">
        <f t="shared" si="6"/>
        <v>3.7744577140623375E-2</v>
      </c>
      <c r="BS9" s="707">
        <f t="shared" si="7"/>
        <v>0.17942968123929248</v>
      </c>
      <c r="BT9" s="284">
        <f t="shared" si="8"/>
        <v>0.72753876805845386</v>
      </c>
      <c r="BU9" s="284">
        <f t="shared" si="9"/>
        <v>6.3626934888139516E-2</v>
      </c>
      <c r="BV9" s="710">
        <f t="shared" si="10"/>
        <v>2.9404615814114164E-2</v>
      </c>
      <c r="BW9" s="714">
        <f t="shared" si="11"/>
        <v>0.33449305550962161</v>
      </c>
      <c r="BX9" s="285">
        <f t="shared" si="12"/>
        <v>0.56888735748092156</v>
      </c>
      <c r="BY9" s="717">
        <f t="shared" si="13"/>
        <v>9.6619587009456873E-2</v>
      </c>
      <c r="BZ9" s="714">
        <f t="shared" si="14"/>
        <v>0.28502759942698869</v>
      </c>
      <c r="CA9" s="285">
        <f t="shared" si="15"/>
        <v>0.59679566069718393</v>
      </c>
      <c r="CB9" s="717">
        <f t="shared" si="16"/>
        <v>0.11817673987582752</v>
      </c>
      <c r="CC9" s="284">
        <f t="shared" si="17"/>
        <v>7.5675621639711921E-2</v>
      </c>
      <c r="CD9" s="284">
        <f t="shared" si="18"/>
        <v>0.63538967389178413</v>
      </c>
      <c r="CE9" s="284">
        <f t="shared" si="19"/>
        <v>6.3569587572856037E-2</v>
      </c>
      <c r="CF9" s="710">
        <f t="shared" si="20"/>
        <v>0.225365116895648</v>
      </c>
      <c r="CG9" s="707">
        <f t="shared" si="21"/>
        <v>6.1900360380037128E-2</v>
      </c>
      <c r="CH9" s="284">
        <f t="shared" si="22"/>
        <v>0.63541181609697495</v>
      </c>
      <c r="CI9" s="284">
        <f t="shared" si="23"/>
        <v>8.388970186742381E-2</v>
      </c>
      <c r="CJ9" s="710">
        <f t="shared" si="24"/>
        <v>0.21879812165556406</v>
      </c>
      <c r="CK9" s="720">
        <f t="shared" si="25"/>
        <v>0.63002469341806266</v>
      </c>
      <c r="CL9" s="286">
        <f t="shared" si="26"/>
        <v>0.35186817121542369</v>
      </c>
      <c r="CM9" s="718">
        <f t="shared" si="27"/>
        <v>1.8107135366513594E-2</v>
      </c>
      <c r="CN9" s="720">
        <f t="shared" si="28"/>
        <v>0.53096253039204133</v>
      </c>
      <c r="CO9" s="286">
        <f t="shared" si="29"/>
        <v>0.40157416475141849</v>
      </c>
      <c r="CP9" s="718">
        <f t="shared" si="30"/>
        <v>6.7463304856540229E-2</v>
      </c>
      <c r="CQ9" s="657"/>
      <c r="CR9" s="807">
        <f>IF($C9="","",IFERROR(SUMPRODUCT(('ANALYSE - ERP =&gt; SOUS-SEGMENT'!$C$8:$C$1000=$C9)*'ANALYSE - ERP =&gt; SOUS-SEGMENT'!$Q$8:$Q$1000*'ANALYSE - ERP =&gt; SOUS-SEGMENT'!$DH$8:$DH$1000*'ANALYSE - ERP =&gt; SOUS-SEGMENT'!$CR$8:$CR$1000)/SUMPRODUCT(('ANALYSE - ERP =&gt; SOUS-SEGMENT'!$C$8:$C$1000=$C9)*'ANALYSE - ERP =&gt; SOUS-SEGMENT'!$Q$8:$Q$1000*'ANALYSE - ERP =&gt; SOUS-SEGMENT'!$DH$8:$DH$1000),""))</f>
        <v>12.109294048637246</v>
      </c>
      <c r="CS9" s="808">
        <f>IF($C9="","",IFERROR(SUMPRODUCT(('ANALYSE - ERP =&gt; SOUS-SEGMENT'!$C$8:$C$1000=$C9)*'ANALYSE - ERP =&gt; SOUS-SEGMENT'!$Q$8:$Q$1000*'ANALYSE - ERP =&gt; SOUS-SEGMENT'!$DI$8:$DI$1000*'ANALYSE - ERP =&gt; SOUS-SEGMENT'!$CS$8:$CS$1000)/SUMPRODUCT(('ANALYSE - ERP =&gt; SOUS-SEGMENT'!$C$8:$C$1000=$C9)*'ANALYSE - ERP =&gt; SOUS-SEGMENT'!$Q$8:$Q$1000*'ANALYSE - ERP =&gt; SOUS-SEGMENT'!$DI$8:$DI$1000),""))</f>
        <v>13</v>
      </c>
      <c r="CT9" s="808">
        <f>IF($C9="","",IFERROR(SUMPRODUCT(('ANALYSE - ERP =&gt; SOUS-SEGMENT'!$C$8:$C$1000=$C9)*'ANALYSE - ERP =&gt; SOUS-SEGMENT'!$Q$8:$Q$1000*'ANALYSE - ERP =&gt; SOUS-SEGMENT'!$DJ$8:$DJ$1000*'ANALYSE - ERP =&gt; SOUS-SEGMENT'!$CT$8:$CT$1000)/SUMPRODUCT(('ANALYSE - ERP =&gt; SOUS-SEGMENT'!$C$8:$C$1000=$C9)*'ANALYSE - ERP =&gt; SOUS-SEGMENT'!$Q$8:$Q$1000*'ANALYSE - ERP =&gt; SOUS-SEGMENT'!$DJ$8:$DJ$1000),""))</f>
        <v>9.059966782383146</v>
      </c>
      <c r="CU9" s="809">
        <f>IF($C9="","",IFERROR(SUMPRODUCT(('ANALYSE - ERP =&gt; SOUS-SEGMENT'!$C$8:$C$1000=$C9)*'ANALYSE - ERP =&gt; SOUS-SEGMENT'!$Q$8:$Q$1000*'ANALYSE - ERP =&gt; SOUS-SEGMENT'!$DK$8:$DK$1000*'ANALYSE - ERP =&gt; SOUS-SEGMENT'!$CU$8:$CU$1000)/SUMPRODUCT(('ANALYSE - ERP =&gt; SOUS-SEGMENT'!$C$8:$C$1000=$C9)*'ANALYSE - ERP =&gt; SOUS-SEGMENT'!$Q$8:$Q$1000*'ANALYSE - ERP =&gt; SOUS-SEGMENT'!$DK$8:$DK$1000),""))</f>
        <v>11.142287072430195</v>
      </c>
      <c r="CV9" s="807">
        <f>IF($C9="","",IFERROR(SUMPRODUCT(('ANALYSE - ERP =&gt; SOUS-SEGMENT'!$C$8:$C$1000=$C9)*'ANALYSE - ERP =&gt; SOUS-SEGMENT'!$Q$8:$Q$1000*'ANALYSE - ERP =&gt; SOUS-SEGMENT'!$DS$8:$DS$1000*'ANALYSE - ERP =&gt; SOUS-SEGMENT'!$CV$8:$CV$1000)/SUMPRODUCT(('ANALYSE - ERP =&gt; SOUS-SEGMENT'!$C$8:$C$1000=$C9)*'ANALYSE - ERP =&gt; SOUS-SEGMENT'!$Q$8:$Q$1000*'ANALYSE - ERP =&gt; SOUS-SEGMENT'!$DS$8:$DS$1000),""))</f>
        <v>11.148153035181597</v>
      </c>
      <c r="CW9" s="808">
        <f>IF($C9="","",IFERROR(SUMPRODUCT(('ANALYSE - ERP =&gt; SOUS-SEGMENT'!$C$8:$C$1000=$C9)*'ANALYSE - ERP =&gt; SOUS-SEGMENT'!$Q$8:$Q$1000*'ANALYSE - ERP =&gt; SOUS-SEGMENT'!$DT$8:$DT$1000*'ANALYSE - ERP =&gt; SOUS-SEGMENT'!$CW$8:$CW$1000)/SUMPRODUCT(('ANALYSE - ERP =&gt; SOUS-SEGMENT'!$C$8:$C$1000=$C9)*'ANALYSE - ERP =&gt; SOUS-SEGMENT'!$Q$8:$Q$1000*'ANALYSE - ERP =&gt; SOUS-SEGMENT'!$DT$8:$DT$1000),""))</f>
        <v>10.251533673941196</v>
      </c>
      <c r="CX9" s="809">
        <f>IF($C9="","",IFERROR(SUMPRODUCT(('ANALYSE - ERP =&gt; SOUS-SEGMENT'!$C$8:$C$1000=$C9)*'ANALYSE - ERP =&gt; SOUS-SEGMENT'!$Q$8:$Q$1000*'ANALYSE - ERP =&gt; SOUS-SEGMENT'!$DU$8:$DU$1000*'ANALYSE - ERP =&gt; SOUS-SEGMENT'!$CX$8:$CX$1000)/SUMPRODUCT(('ANALYSE - ERP =&gt; SOUS-SEGMENT'!$C$8:$C$1000=$C9)*'ANALYSE - ERP =&gt; SOUS-SEGMENT'!$Q$8:$Q$1000*'ANALYSE - ERP =&gt; SOUS-SEGMENT'!$DU$8:$DU$1000),""))</f>
        <v>8.2080914609687774</v>
      </c>
      <c r="CY9" s="807">
        <f>IF($C9="","",IFERROR(SUMPRODUCT(('ANALYSE - ERP =&gt; SOUS-SEGMENT'!$C$8:$C$1000=$C9)*'ANALYSE - ERP =&gt; SOUS-SEGMENT'!$Q$8:$Q$1000*'ANALYSE - ERP =&gt; SOUS-SEGMENT'!$EB$8:$EB$1000*'ANALYSE - ERP =&gt; SOUS-SEGMENT'!$CY$8:$CY$1000)/SUMPRODUCT(('ANALYSE - ERP =&gt; SOUS-SEGMENT'!$C$8:$C$1000=$C9)*'ANALYSE - ERP =&gt; SOUS-SEGMENT'!$Q$8:$Q$1000*'ANALYSE - ERP =&gt; SOUS-SEGMENT'!$EB$8:$EB$1000),""))</f>
        <v>10.067280753445193</v>
      </c>
      <c r="CZ9" s="808">
        <f>IF($C9="","",IFERROR(SUMPRODUCT(('ANALYSE - ERP =&gt; SOUS-SEGMENT'!$C$8:$C$1000=$C9)*'ANALYSE - ERP =&gt; SOUS-SEGMENT'!$Q$8:$Q$1000*'ANALYSE - ERP =&gt; SOUS-SEGMENT'!$EC$8:$EC$1000*'ANALYSE - ERP =&gt; SOUS-SEGMENT'!$CZ$8:$CZ$1000)/SUMPRODUCT(('ANALYSE - ERP =&gt; SOUS-SEGMENT'!$C$8:$C$1000=$C9)*'ANALYSE - ERP =&gt; SOUS-SEGMENT'!$Q$8:$Q$1000*'ANALYSE - ERP =&gt; SOUS-SEGMENT'!$EC$8:$EC$1000),""))</f>
        <v>13.000000000000002</v>
      </c>
      <c r="DA9" s="808">
        <f>IF($C9="","",IFERROR(SUMPRODUCT(('ANALYSE - ERP =&gt; SOUS-SEGMENT'!$C$8:$C$1000=$C9)*'ANALYSE - ERP =&gt; SOUS-SEGMENT'!$Q$8:$Q$1000*'ANALYSE - ERP =&gt; SOUS-SEGMENT'!$ED$8:$ED$1000*'ANALYSE - ERP =&gt; SOUS-SEGMENT'!$DA$8:$DA$1000)/SUMPRODUCT(('ANALYSE - ERP =&gt; SOUS-SEGMENT'!$C$8:$C$1000=$C9)*'ANALYSE - ERP =&gt; SOUS-SEGMENT'!$Q$8:$Q$1000*'ANALYSE - ERP =&gt; SOUS-SEGMENT'!$ED$8:$ED$1000),""))</f>
        <v>9</v>
      </c>
      <c r="DB9" s="809">
        <f>IF($C9="","",IFERROR(SUMPRODUCT(('ANALYSE - ERP =&gt; SOUS-SEGMENT'!$C$8:$C$1000=$C9)*'ANALYSE - ERP =&gt; SOUS-SEGMENT'!$Q$8:$Q$1000*'ANALYSE - ERP =&gt; SOUS-SEGMENT'!$EE$8:$EE$1000*'ANALYSE - ERP =&gt; SOUS-SEGMENT'!$DB$8:$DB$1000)/SUMPRODUCT(('ANALYSE - ERP =&gt; SOUS-SEGMENT'!$C$8:$C$1000=$C9)*'ANALYSE - ERP =&gt; SOUS-SEGMENT'!$Q$8:$Q$1000*'ANALYSE - ERP =&gt; SOUS-SEGMENT'!$EE$8:$EE$1000),""))</f>
        <v>10.999999999999996</v>
      </c>
      <c r="DC9" s="807">
        <f>IF($C9="","",IFERROR(SUMPRODUCT(('ANALYSE - ERP =&gt; SOUS-SEGMENT'!$C$8:$C$1000=$C9)*'ANALYSE - ERP =&gt; SOUS-SEGMENT'!$Q$8:$Q$1000*'ANALYSE - ERP =&gt; SOUS-SEGMENT'!$EM$8:$EM$1000*'ANALYSE - ERP =&gt; SOUS-SEGMENT'!$DC$8:$DC$1000)/SUMPRODUCT(('ANALYSE - ERP =&gt; SOUS-SEGMENT'!$C$8:$C$1000=$C9)*'ANALYSE - ERP =&gt; SOUS-SEGMENT'!$Q$8:$Q$1000*'ANALYSE - ERP =&gt; SOUS-SEGMENT'!$EM$8:$EM$1000),""))</f>
        <v>11.070023465120327</v>
      </c>
      <c r="DD9" s="808">
        <f>IF($C9="","",IFERROR(SUMPRODUCT(('ANALYSE - ERP =&gt; SOUS-SEGMENT'!$C$8:$C$1000=$C9)*'ANALYSE - ERP =&gt; SOUS-SEGMENT'!$Q$8:$Q$1000*'ANALYSE - ERP =&gt; SOUS-SEGMENT'!$EN$8:$EN$1000*'ANALYSE - ERP =&gt; SOUS-SEGMENT'!$DD$8:$DD$1000)/SUMPRODUCT(('ANALYSE - ERP =&gt; SOUS-SEGMENT'!$C$8:$C$1000=$C9)*'ANALYSE - ERP =&gt; SOUS-SEGMENT'!$Q$8:$Q$1000*'ANALYSE - ERP =&gt; SOUS-SEGMENT'!$EN$8:$EN$1000),""))</f>
        <v>13</v>
      </c>
      <c r="DE9" s="809">
        <f>IF($C9="","",IFERROR(SUMPRODUCT(('ANALYSE - ERP =&gt; SOUS-SEGMENT'!$C$8:$C$1000=$C9)*'ANALYSE - ERP =&gt; SOUS-SEGMENT'!$Q$8:$Q$1000*'ANALYSE - ERP =&gt; SOUS-SEGMENT'!$EO$8:$EO$1000*'ANALYSE - ERP =&gt; SOUS-SEGMENT'!$DE$8:$DE$1000)/SUMPRODUCT(('ANALYSE - ERP =&gt; SOUS-SEGMENT'!$C$8:$C$1000=$C9)*'ANALYSE - ERP =&gt; SOUS-SEGMENT'!$Q$8:$Q$1000*'ANALYSE - ERP =&gt; SOUS-SEGMENT'!$EO$8:$EO$1000),""))</f>
        <v>10</v>
      </c>
      <c r="DF9" s="921" t="s">
        <v>5318</v>
      </c>
      <c r="DG9" s="657"/>
      <c r="DH9" s="288">
        <f>IF($C9="","",SUMPRODUCT(('ANALYSE - ERP =&gt; SOUS-SEGMENT'!$C$8:$C$1000=$C9)*'ANALYSE - ERP =&gt; SOUS-SEGMENT'!$Q$8:$Q$1000*'ANALYSE - ERP =&gt; SOUS-SEGMENT'!$DH$8:$DH$1000))</f>
        <v>200073.83999999997</v>
      </c>
      <c r="DI9" s="288">
        <f>IF($C9="","",SUMPRODUCT(('ANALYSE - ERP =&gt; SOUS-SEGMENT'!$C$8:$C$1000=$C9)*'ANALYSE - ERP =&gt; SOUS-SEGMENT'!$Q$8:$Q$1000*'ANALYSE - ERP =&gt; SOUS-SEGMENT'!$DI$8:$DI$1000))</f>
        <v>721457.5</v>
      </c>
      <c r="DJ9" s="288">
        <f>IF($C9="","",SUMPRODUCT(('ANALYSE - ERP =&gt; SOUS-SEGMENT'!$C$8:$C$1000=$C9)*'ANALYSE - ERP =&gt; SOUS-SEGMENT'!$Q$8:$Q$1000*'ANALYSE - ERP =&gt; SOUS-SEGMENT'!$DJ$8:$DJ$1000))</f>
        <v>43410.7</v>
      </c>
      <c r="DK9" s="288">
        <f>IF($C9="","",SUMPRODUCT(('ANALYSE - ERP =&gt; SOUS-SEGMENT'!$C$8:$C$1000=$C9)*'ANALYSE - ERP =&gt; SOUS-SEGMENT'!$Q$8:$Q$1000*'ANALYSE - ERP =&gt; SOUS-SEGMENT'!$DK$8:$DK$1000))</f>
        <v>37849.96</v>
      </c>
      <c r="DL9" s="922" t="s">
        <v>5319</v>
      </c>
      <c r="DM9" s="288">
        <f>IF($C9="","",SUMPRODUCT(('ANALYSE - ERP =&gt; SOUS-SEGMENT'!$C$8:$C$1000=$C9)*'ANALYSE - ERP =&gt; SOUS-SEGMENT'!$Q$8:$Q$1000*'ANALYSE - ERP =&gt; SOUS-SEGMENT'!$DM$8:$DM$1000))</f>
        <v>178675.00000000003</v>
      </c>
      <c r="DN9" s="288">
        <f>IF($C9="","",SUMPRODUCT(('ANALYSE - ERP =&gt; SOUS-SEGMENT'!$C$8:$C$1000=$C9)*'ANALYSE - ERP =&gt; SOUS-SEGMENT'!$Q$8:$Q$1000*'ANALYSE - ERP =&gt; SOUS-SEGMENT'!$DN$8:$DN$1000))</f>
        <v>724478.74</v>
      </c>
      <c r="DO9" s="288">
        <f>IF($C9="","",SUMPRODUCT(('ANALYSE - ERP =&gt; SOUS-SEGMENT'!$C$8:$C$1000=$C9)*'ANALYSE - ERP =&gt; SOUS-SEGMENT'!$Q$8:$Q$1000*'ANALYSE - ERP =&gt; SOUS-SEGMENT'!$DO$8:$DO$1000))</f>
        <v>63359.32</v>
      </c>
      <c r="DP9" s="288">
        <f>IF($C9="","",SUMPRODUCT(('ANALYSE - ERP =&gt; SOUS-SEGMENT'!$C$8:$C$1000=$C9)*'ANALYSE - ERP =&gt; SOUS-SEGMENT'!$Q$8:$Q$1000*'ANALYSE - ERP =&gt; SOUS-SEGMENT'!$DP$8:$DP$1000))</f>
        <v>29280.94</v>
      </c>
      <c r="DQ9" s="922" t="s">
        <v>5320</v>
      </c>
      <c r="DR9" s="657"/>
      <c r="DS9" s="288">
        <f>IF($C9="","",SUMPRODUCT(('ANALYSE - ERP =&gt; SOUS-SEGMENT'!$C$8:$C$1000=$C9)*'ANALYSE - ERP =&gt; SOUS-SEGMENT'!$Q$8:$Q$1000*'ANALYSE - ERP =&gt; SOUS-SEGMENT'!$DS$8:$DS$1000))</f>
        <v>49052.707499999997</v>
      </c>
      <c r="DT9" s="288">
        <f>IF($C9="","",SUMPRODUCT(('ANALYSE - ERP =&gt; SOUS-SEGMENT'!$C$8:$C$1000=$C9)*'ANALYSE - ERP =&gt; SOUS-SEGMENT'!$Q$8:$Q$1000*'ANALYSE - ERP =&gt; SOUS-SEGMENT'!$DT$8:$DT$1000))</f>
        <v>83426.142000000007</v>
      </c>
      <c r="DU9" s="288">
        <f>IF($C9="","",SUMPRODUCT(('ANALYSE - ERP =&gt; SOUS-SEGMENT'!$C$8:$C$1000=$C9)*'ANALYSE - ERP =&gt; SOUS-SEGMENT'!$Q$8:$Q$1000*'ANALYSE - ERP =&gt; SOUS-SEGMENT'!$DU$8:$DU$1000))</f>
        <v>14169.060500000001</v>
      </c>
      <c r="DV9" s="922" t="s">
        <v>5321</v>
      </c>
      <c r="DW9" s="288">
        <f>IF($C9="","",SUMPRODUCT(('ANALYSE - ERP =&gt; SOUS-SEGMENT'!$C$8:$C$1000=$C9)*'ANALYSE - ERP =&gt; SOUS-SEGMENT'!$Q$8:$Q$1000*'ANALYSE - ERP =&gt; SOUS-SEGMENT'!$DW$8:$DW$1000))</f>
        <v>41731.592000000004</v>
      </c>
      <c r="DX9" s="288">
        <f>IF($C9="","",SUMPRODUCT(('ANALYSE - ERP =&gt; SOUS-SEGMENT'!$C$8:$C$1000=$C9)*'ANALYSE - ERP =&gt; SOUS-SEGMENT'!$Q$8:$Q$1000*'ANALYSE - ERP =&gt; SOUS-SEGMENT'!$DX$8:$DX$1000))</f>
        <v>87378.320800000001</v>
      </c>
      <c r="DY9" s="288">
        <f>IF($C9="","",SUMPRODUCT(('ANALYSE - ERP =&gt; SOUS-SEGMENT'!$C$8:$C$1000=$C9)*'ANALYSE - ERP =&gt; SOUS-SEGMENT'!$Q$8:$Q$1000*'ANALYSE - ERP =&gt; SOUS-SEGMENT'!$DY$8:$DY$1000))</f>
        <v>17302.547200000001</v>
      </c>
      <c r="DZ9" s="922" t="s">
        <v>5322</v>
      </c>
      <c r="EA9" s="657"/>
      <c r="EB9" s="288">
        <f>IF($C9="","",SUMPRODUCT(('ANALYSE - ERP =&gt; SOUS-SEGMENT'!$C$8:$C$1000=$C9)*'ANALYSE - ERP =&gt; SOUS-SEGMENT'!$Q$8:$Q$1000*'ANALYSE - ERP =&gt; SOUS-SEGMENT'!$EB$8:$EB$1000))</f>
        <v>17411.22</v>
      </c>
      <c r="EC9" s="288">
        <f>IF($C9="","",SUMPRODUCT(('ANALYSE - ERP =&gt; SOUS-SEGMENT'!$C$8:$C$1000=$C9)*'ANALYSE - ERP =&gt; SOUS-SEGMENT'!$Q$8:$Q$1000*'ANALYSE - ERP =&gt; SOUS-SEGMENT'!$EC$8:$EC$1000))</f>
        <v>146188.55000000002</v>
      </c>
      <c r="ED9" s="288">
        <f>IF($C9="","",SUMPRODUCT(('ANALYSE - ERP =&gt; SOUS-SEGMENT'!$C$8:$C$1000=$C9)*'ANALYSE - ERP =&gt; SOUS-SEGMENT'!$Q$8:$Q$1000*'ANALYSE - ERP =&gt; SOUS-SEGMENT'!$ED$8:$ED$1000))</f>
        <v>14625.9</v>
      </c>
      <c r="EE9" s="288">
        <f>IF($C9="","",SUMPRODUCT(('ANALYSE - ERP =&gt; SOUS-SEGMENT'!$C$8:$C$1000=$C9)*'ANALYSE - ERP =&gt; SOUS-SEGMENT'!$Q$8:$Q$1000*'ANALYSE - ERP =&gt; SOUS-SEGMENT'!$EE$8:$EE$1000))</f>
        <v>51851.330000000009</v>
      </c>
      <c r="EF9" s="922" t="s">
        <v>5323</v>
      </c>
      <c r="EG9" s="288">
        <f>IF($C9="","",SUMPRODUCT(('ANALYSE - ERP =&gt; SOUS-SEGMENT'!$C$8:$C$1000=$C9)*'ANALYSE - ERP =&gt; SOUS-SEGMENT'!$Q$8:$Q$1000*'ANALYSE - ERP =&gt; SOUS-SEGMENT'!$EG$8:$EG$1000))</f>
        <v>14170.539999999999</v>
      </c>
      <c r="EH9" s="288">
        <f>IF($C9="","",SUMPRODUCT(('ANALYSE - ERP =&gt; SOUS-SEGMENT'!$C$8:$C$1000=$C9)*'ANALYSE - ERP =&gt; SOUS-SEGMENT'!$Q$8:$Q$1000*'ANALYSE - ERP =&gt; SOUS-SEGMENT'!$EH$8:$EH$1000))</f>
        <v>145461.65</v>
      </c>
      <c r="EI9" s="288">
        <f>IF($C9="","",SUMPRODUCT(('ANALYSE - ERP =&gt; SOUS-SEGMENT'!$C$8:$C$1000=$C9)*'ANALYSE - ERP =&gt; SOUS-SEGMENT'!$Q$8:$Q$1000*'ANALYSE - ERP =&gt; SOUS-SEGMENT'!$EI$8:$EI$1000))</f>
        <v>19204.449999999997</v>
      </c>
      <c r="EJ9" s="288">
        <f>IF($C9="","",SUMPRODUCT(('ANALYSE - ERP =&gt; SOUS-SEGMENT'!$C$8:$C$1000=$C9)*'ANALYSE - ERP =&gt; SOUS-SEGMENT'!$Q$8:$Q$1000*'ANALYSE - ERP =&gt; SOUS-SEGMENT'!$EJ$8:$EJ$1000))</f>
        <v>50088.36</v>
      </c>
      <c r="EK9" s="922" t="s">
        <v>5324</v>
      </c>
      <c r="EL9" s="657"/>
      <c r="EM9" s="288">
        <f>IF($C9="","",SUMPRODUCT(('ANALYSE - ERP =&gt; SOUS-SEGMENT'!$C$8:$C$1000=$C9)*'ANALYSE - ERP =&gt; SOUS-SEGMENT'!$Q$8:$Q$1000*'ANALYSE - ERP =&gt; SOUS-SEGMENT'!$EM$8:$EM$1000))</f>
        <v>543700.6</v>
      </c>
      <c r="EN9" s="291">
        <f>IF($C9="","",SUMPRODUCT(('ANALYSE - ERP =&gt; SOUS-SEGMENT'!$C$8:$C$1000=$C9)*'ANALYSE - ERP =&gt; SOUS-SEGMENT'!$Q$8:$Q$1000*'ANALYSE - ERP =&gt; SOUS-SEGMENT'!$EN$8:$EN$1000))</f>
        <v>303656.25</v>
      </c>
      <c r="EO9" s="291">
        <f>IF($C9="","",SUMPRODUCT(('ANALYSE - ERP =&gt; SOUS-SEGMENT'!$C$8:$C$1000=$C9)*'ANALYSE - ERP =&gt; SOUS-SEGMENT'!$Q$8:$Q$1000*'ANALYSE - ERP =&gt; SOUS-SEGMENT'!$EO$8:$EO$1000))</f>
        <v>15626.15</v>
      </c>
      <c r="EP9" s="922" t="s">
        <v>5325</v>
      </c>
      <c r="EQ9" s="288">
        <f>IF($C9="","",SUMPRODUCT(('ANALYSE - ERP =&gt; SOUS-SEGMENT'!$C$8:$C$1000=$C9)*'ANALYSE - ERP =&gt; SOUS-SEGMENT'!$Q$8:$Q$1000*'ANALYSE - ERP =&gt; SOUS-SEGMENT'!$EQ$8:$EQ$1000))</f>
        <v>454886.75</v>
      </c>
      <c r="ER9" s="291">
        <f>IF($C9="","",SUMPRODUCT(('ANALYSE - ERP =&gt; SOUS-SEGMENT'!$C$8:$C$1000=$C9)*'ANALYSE - ERP =&gt; SOUS-SEGMENT'!$Q$8:$Q$1000*'ANALYSE - ERP =&gt; SOUS-SEGMENT'!$ER$8:$ER$1000))</f>
        <v>344037.02</v>
      </c>
      <c r="ES9" s="291">
        <f>IF($C9="","",SUMPRODUCT(('ANALYSE - ERP =&gt; SOUS-SEGMENT'!$C$8:$C$1000=$C9)*'ANALYSE - ERP =&gt; SOUS-SEGMENT'!$Q$8:$Q$1000*'ANALYSE - ERP =&gt; SOUS-SEGMENT'!$ES$8:$ES$1000))</f>
        <v>57797.229999999996</v>
      </c>
      <c r="ET9" s="922" t="s">
        <v>5326</v>
      </c>
      <c r="EU9" s="657"/>
      <c r="EV9" s="740">
        <f t="shared" si="31"/>
        <v>0.74441103251561591</v>
      </c>
      <c r="EW9" s="740">
        <f t="shared" si="32"/>
        <v>0.25558896748438414</v>
      </c>
      <c r="EX9" s="563">
        <f t="shared" si="33"/>
        <v>640195.16437499272</v>
      </c>
      <c r="EY9" s="563">
        <f t="shared" si="34"/>
        <v>476568.3433238928</v>
      </c>
      <c r="EZ9" s="563">
        <f t="shared" si="35"/>
        <v>163626.82105109998</v>
      </c>
      <c r="FA9" s="563">
        <f t="shared" si="36"/>
        <v>285658.20756434801</v>
      </c>
      <c r="FB9" s="563">
        <f>IF($C9="","",SUMPRODUCT(('ANALYSE - ERP =&gt; SOUS-SEGMENT'!$C$8:$C$1000=$C9)*'ANALYSE - ERP =&gt; SOUS-SEGMENT'!$Q$8:$Q$1000*'ANALYSE - ERP =&gt; SOUS-SEGMENT'!$FB$8:$FB$1000))</f>
        <v>212778.37568434802</v>
      </c>
      <c r="FC9" s="563">
        <f>IF($C9="","",SUMPRODUCT(('ANALYSE - ERP =&gt; SOUS-SEGMENT'!$C$8:$C$1000=$C9)*'ANALYSE - ERP =&gt; SOUS-SEGMENT'!$Q$8:$Q$1000*'ANALYSE - ERP =&gt; SOUS-SEGMENT'!$FC$8:$FC$1000))</f>
        <v>72879.831879999998</v>
      </c>
      <c r="FD9" s="563">
        <f t="shared" si="37"/>
        <v>43472.488247576795</v>
      </c>
      <c r="FE9" s="563">
        <f>IF($C9="","",SUMPRODUCT(('ANALYSE - ERP =&gt; SOUS-SEGMENT'!$C$8:$C$1000=$C9)*'ANALYSE - ERP =&gt; SOUS-SEGMENT'!$Q$8:$Q$1000*'ANALYSE - ERP =&gt; SOUS-SEGMENT'!$FE$8:$FE$1000))</f>
        <v>31885.809996476801</v>
      </c>
      <c r="FF9" s="563">
        <f>IF($C9="","",SUMPRODUCT(('ANALYSE - ERP =&gt; SOUS-SEGMENT'!$C$8:$C$1000=$C9)*'ANALYSE - ERP =&gt; SOUS-SEGMENT'!$Q$8:$Q$1000*'ANALYSE - ERP =&gt; SOUS-SEGMENT'!$FF$8:$FF$1000))</f>
        <v>11586.678251099998</v>
      </c>
      <c r="FG9" s="563">
        <f t="shared" si="38"/>
        <v>67130.465314924004</v>
      </c>
      <c r="FH9" s="563">
        <f>IF($C9="","",SUMPRODUCT(('ANALYSE - ERP =&gt; SOUS-SEGMENT'!$C$8:$C$1000=$C9)*'ANALYSE - ERP =&gt; SOUS-SEGMENT'!$Q$8:$Q$1000*'ANALYSE - ERP =&gt; SOUS-SEGMENT'!$FH$8:$FH$1000))</f>
        <v>49594.990204924005</v>
      </c>
      <c r="FI9" s="563">
        <f>IF($C9="","",SUMPRODUCT(('ANALYSE - ERP =&gt; SOUS-SEGMENT'!$C$8:$C$1000=$C9)*'ANALYSE - ERP =&gt; SOUS-SEGMENT'!$Q$8:$Q$1000*'ANALYSE - ERP =&gt; SOUS-SEGMENT'!$FI$8:$FI$1000))</f>
        <v>17535.475109999999</v>
      </c>
      <c r="FJ9" s="563">
        <f t="shared" si="39"/>
        <v>243934.003248144</v>
      </c>
      <c r="FK9" s="563">
        <f>IF($C9="","",SUMPRODUCT(('ANALYSE - ERP =&gt; SOUS-SEGMENT'!$C$8:$C$1000=$C9)*'ANALYSE - ERP =&gt; SOUS-SEGMENT'!$Q$8:$Q$1000*'ANALYSE - ERP =&gt; SOUS-SEGMENT'!$FK$8:$FK$1000))</f>
        <v>182309.16743814401</v>
      </c>
      <c r="FL9" s="563">
        <f>IF($C9="","",SUMPRODUCT(('ANALYSE - ERP =&gt; SOUS-SEGMENT'!$C$8:$C$1000=$C9)*'ANALYSE - ERP =&gt; SOUS-SEGMENT'!$Q$8:$Q$1000*'ANALYSE - ERP =&gt; SOUS-SEGMENT'!$FL$8:$FL$1000))</f>
        <v>61624.835809999997</v>
      </c>
      <c r="FM9" s="529"/>
      <c r="FN9" s="961" t="s">
        <v>2649</v>
      </c>
      <c r="FO9" s="740">
        <f>IF($C9="","",IFERROR(SUMPRODUCT(('ANALYSE - ERP =&gt; SOUS-SEGMENT'!$C$8:$C$1000=$C9)*'ANALYSE - ERP =&gt; SOUS-SEGMENT'!$Q$8:$Q$1000*'ANALYSE - ERP =&gt; SOUS-SEGMENT'!$AF$8:$AF$1000*'ANALYSE - ERP =&gt; SOUS-SEGMENT'!$FO$8:$FO$1000)/SUMPRODUCT(('ANALYSE - ERP =&gt; SOUS-SEGMENT'!$C$8:$C$1000=$C9)*'ANALYSE - ERP =&gt; SOUS-SEGMENT'!$Q$8:$Q$1000*'ANALYSE - ERP =&gt; SOUS-SEGMENT'!$AF$8:$AF$1000),""))</f>
        <v>6.890345400240816E-2</v>
      </c>
      <c r="FP9" s="741">
        <f>IF($C9="","",IFERROR(SUMPRODUCT(('ANALYSE - ERP =&gt; SOUS-SEGMENT'!$C$8:$C$1000=$C9)*'ANALYSE - ERP =&gt; SOUS-SEGMENT'!$Q$8:$Q$1000*'ANALYSE - ERP =&gt; SOUS-SEGMENT'!$AF$8:$AF$1000*'ANALYSE - ERP =&gt; SOUS-SEGMENT'!$FP$8:$FP$1000)/SUMPRODUCT(('ANALYSE - ERP =&gt; SOUS-SEGMENT'!$C$8:$C$1000=$C9)*'ANALYSE - ERP =&gt; SOUS-SEGMENT'!$Q$8:$Q$1000*'ANALYSE - ERP =&gt; SOUS-SEGMENT'!$AF$8:$AF$1000),""))</f>
        <v>0.87452959045489376</v>
      </c>
      <c r="FQ9" s="961" t="s">
        <v>5327</v>
      </c>
      <c r="FR9" s="529"/>
      <c r="FS9" s="867">
        <f>IF($C9="","",IFERROR(SUMPRODUCT(('ANALYSE - ERP =&gt; SOUS-SEGMENT'!$C$8:$C$1000=$C9)*'ANALYSE - ERP =&gt; SOUS-SEGMENT'!$Q$8:$Q$1000*'ANALYSE - ERP =&gt; SOUS-SEGMENT'!$EX$8:$EX$1000*'ANALYSE - ERP =&gt; SOUS-SEGMENT'!$FS$8:$FS$1000)/SUMPRODUCT(('ANALYSE - ERP =&gt; SOUS-SEGMENT'!$C$8:$C$1000=$C9)*'ANALYSE - ERP =&gt; SOUS-SEGMENT'!$Q$8:$Q$1000*'ANALYSE - ERP =&gt; SOUS-SEGMENT'!$EX$8:$EX$1000),""))</f>
        <v>3.2114428821638321</v>
      </c>
      <c r="FT9" s="566">
        <f>IF($C9="","",RANK($FS9,$FS$8:$FS$43,0)+COUNTIF($FS$8:$FS9,$FS9)-1)</f>
        <v>24</v>
      </c>
      <c r="FU9" s="867">
        <f>IF($C9="","",IFERROR(SUMPRODUCT(('ANALYSE - ERP =&gt; SOUS-SEGMENT'!$C$8:$C$1000=$C9)*'ANALYSE - ERP =&gt; SOUS-SEGMENT'!$Q$8:$Q$1000*'ANALYSE - ERP =&gt; SOUS-SEGMENT'!$EY$8:$EY$1000*'ANALYSE - ERP =&gt; SOUS-SEGMENT'!$FU$8:$FU$1000)/SUMPRODUCT(('ANALYSE - ERP =&gt; SOUS-SEGMENT'!$C$8:$C$1000=$C9)*'ANALYSE - ERP =&gt; SOUS-SEGMENT'!$Q$8:$Q$1000*'ANALYSE - ERP =&gt; SOUS-SEGMENT'!$EY$8:$EY$1000),""))</f>
        <v>4.1302971078299127</v>
      </c>
      <c r="FV9" s="566">
        <f>IF($C9="","",RANK($FU9,$FU$8:$FU$43,0)+COUNTIF($FU$8:$FU9,$FU9)-1)</f>
        <v>15</v>
      </c>
      <c r="FW9" s="867">
        <f>IF($C9="","",IFERROR(SUMPRODUCT(('ANALYSE - ERP =&gt; SOUS-SEGMENT'!$C$8:$C$1000=$C9)*'ANALYSE - ERP =&gt; SOUS-SEGMENT'!$Q$8:$Q$1000*'ANALYSE - ERP =&gt; SOUS-SEGMENT'!$EZ$8:$EZ$1000*'ANALYSE - ERP =&gt; SOUS-SEGMENT'!$FW$8:$FW$1000)/SUMPRODUCT(('ANALYSE - ERP =&gt; SOUS-SEGMENT'!$C$8:$C$1000=$C9)*'ANALYSE - ERP =&gt; SOUS-SEGMENT'!$Q$8:$Q$1000*'ANALYSE - ERP =&gt; SOUS-SEGMENT'!$EZ$8:$EZ$1000),""))</f>
        <v>2.0965775550408203</v>
      </c>
      <c r="FX9" s="566">
        <f>IF($C9="","",RANK($FW9,$FW$8:$FW$43,0)+COUNTIF($FW$8:$FW9,$FW9)-1)</f>
        <v>22</v>
      </c>
      <c r="FY9" s="529"/>
      <c r="FZ9" s="922" t="s">
        <v>5328</v>
      </c>
      <c r="GA9" s="922" t="s">
        <v>5329</v>
      </c>
      <c r="GB9" s="922" t="s">
        <v>5330</v>
      </c>
      <c r="GC9" s="922" t="s">
        <v>5331</v>
      </c>
      <c r="GD9" s="922" t="s">
        <v>5332</v>
      </c>
      <c r="GE9" s="922" t="s">
        <v>5333</v>
      </c>
      <c r="GF9" s="923" t="s">
        <v>5334</v>
      </c>
      <c r="GG9" s="529"/>
      <c r="GH9" s="563">
        <f t="shared" si="40"/>
        <v>54058.075830672169</v>
      </c>
      <c r="GI9" s="563">
        <f>IF($C9="","",SUMPRODUCT(('ANALYSE - ERP =&gt; SOUS-SEGMENT'!$C$8:$C$1000=$C9)*'ANALYSE - ERP =&gt; SOUS-SEGMENT'!$Q$8:$Q$1000*'ANALYSE - ERP =&gt; SOUS-SEGMENT'!$GI$8:$GI$1000))</f>
        <v>41814.272894672169</v>
      </c>
      <c r="GJ9" s="563">
        <f>IF($C9="","",SUMPRODUCT(('ANALYSE - ERP =&gt; SOUS-SEGMENT'!$C$8:$C$1000=$C9)*'ANALYSE - ERP =&gt; SOUS-SEGMENT'!$Q$8:$Q$1000*'ANALYSE - ERP =&gt; SOUS-SEGMENT'!$GJ$8:$GJ$1000))</f>
        <v>12243.802936</v>
      </c>
      <c r="GK9" s="563">
        <f t="shared" si="41"/>
        <v>207323.71992079722</v>
      </c>
      <c r="GL9" s="563">
        <f>IF($C9="","",SUMPRODUCT(('ANALYSE - ERP =&gt; SOUS-SEGMENT'!$C$8:$C$1000=$C9)*'ANALYSE - ERP =&gt; SOUS-SEGMENT'!$Q$8:$Q$1000*'ANALYSE - ERP =&gt; SOUS-SEGMENT'!$GL$8:$GL$1000))</f>
        <v>153597.13975239723</v>
      </c>
      <c r="GM9" s="563">
        <f>IF($C9="","",SUMPRODUCT(('ANALYSE - ERP =&gt; SOUS-SEGMENT'!$C$8:$C$1000=$C9)*'ANALYSE - ERP =&gt; SOUS-SEGMENT'!$Q$8:$Q$1000*'ANALYSE - ERP =&gt; SOUS-SEGMENT'!$GM$8:$GM$1000))</f>
        <v>53726.580168400003</v>
      </c>
      <c r="GN9" s="563">
        <f t="shared" si="42"/>
        <v>14028.762438198801</v>
      </c>
      <c r="GO9" s="563">
        <f>IF($C9="","",SUMPRODUCT(('ANALYSE - ERP =&gt; SOUS-SEGMENT'!$C$8:$C$1000=$C9)*'ANALYSE - ERP =&gt; SOUS-SEGMENT'!$Q$8:$Q$1000*'ANALYSE - ERP =&gt; SOUS-SEGMENT'!$GO$8:$GO$1000))</f>
        <v>9297.5993027988006</v>
      </c>
      <c r="GP9" s="563">
        <f>IF($C9="","",SUMPRODUCT(('ANALYSE - ERP =&gt; SOUS-SEGMENT'!$C$8:$C$1000=$C9)*'ANALYSE - ERP =&gt; SOUS-SEGMENT'!$Q$8:$Q$1000*'ANALYSE - ERP =&gt; SOUS-SEGMENT'!$GP$8:$GP$1000))</f>
        <v>4731.1631354000001</v>
      </c>
      <c r="GQ9" s="563">
        <f t="shared" si="43"/>
        <v>10247.649374679841</v>
      </c>
      <c r="GR9" s="563">
        <f>IF($C9="","",SUMPRODUCT(('ANALYSE - ERP =&gt; SOUS-SEGMENT'!$C$8:$C$1000=$C9)*'ANALYSE - ERP =&gt; SOUS-SEGMENT'!$Q$8:$Q$1000*'ANALYSE - ERP =&gt; SOUS-SEGMENT'!$GR$8:$GR$1000))</f>
        <v>8069.3637344798399</v>
      </c>
      <c r="GS9" s="563">
        <f>IF($C9="","",SUMPRODUCT(('ANALYSE - ERP =&gt; SOUS-SEGMENT'!$C$8:$C$1000=$C9)*'ANALYSE - ERP =&gt; SOUS-SEGMENT'!$Q$8:$Q$1000*'ANALYSE - ERP =&gt; SOUS-SEGMENT'!$GS$8:$GS$1000))</f>
        <v>2178.2856401999998</v>
      </c>
      <c r="GT9" s="563">
        <f t="shared" si="44"/>
        <v>13767.034445842</v>
      </c>
      <c r="GU9" s="563">
        <f>IF($C9="","",SUMPRODUCT(('ANALYSE - ERP =&gt; SOUS-SEGMENT'!$C$8:$C$1000=$C9)*'ANALYSE - ERP =&gt; SOUS-SEGMENT'!$Q$8:$Q$1000*'ANALYSE - ERP =&gt; SOUS-SEGMENT'!$GU$8:$GU$1000))</f>
        <v>10551.002295472001</v>
      </c>
      <c r="GV9" s="563">
        <f>IF($C9="","",SUMPRODUCT(('ANALYSE - ERP =&gt; SOUS-SEGMENT'!$C$8:$C$1000=$C9)*'ANALYSE - ERP =&gt; SOUS-SEGMENT'!$Q$8:$Q$1000*'ANALYSE - ERP =&gt; SOUS-SEGMENT'!$GV$8:$GV$1000))</f>
        <v>3216.0321503700002</v>
      </c>
      <c r="GW9" s="563">
        <f t="shared" si="45"/>
        <v>25240.843340682361</v>
      </c>
      <c r="GX9" s="563">
        <f>IF($C9="","",SUMPRODUCT(('ANALYSE - ERP =&gt; SOUS-SEGMENT'!$C$8:$C$1000=$C9)*'ANALYSE - ERP =&gt; SOUS-SEGMENT'!$Q$8:$Q$1000*'ANALYSE - ERP =&gt; SOUS-SEGMENT'!$GX$8:$GX$1000))</f>
        <v>18247.68494420436</v>
      </c>
      <c r="GY9" s="563">
        <f>IF($C9="","",SUMPRODUCT(('ANALYSE - ERP =&gt; SOUS-SEGMENT'!$C$8:$C$1000=$C9)*'ANALYSE - ERP =&gt; SOUS-SEGMENT'!$Q$8:$Q$1000*'ANALYSE - ERP =&gt; SOUS-SEGMENT'!$GY$8:$GY$1000))</f>
        <v>6993.1583964780002</v>
      </c>
      <c r="GZ9" s="563">
        <f t="shared" si="46"/>
        <v>4464.6104610524399</v>
      </c>
      <c r="HA9" s="563">
        <f>IF($C9="","",SUMPRODUCT(('ANALYSE - ERP =&gt; SOUS-SEGMENT'!$C$8:$C$1000=$C9)*'ANALYSE - ERP =&gt; SOUS-SEGMENT'!$Q$8:$Q$1000*'ANALYSE - ERP =&gt; SOUS-SEGMENT'!$HA$8:$HA$1000))</f>
        <v>3087.1227568004397</v>
      </c>
      <c r="HB9" s="563">
        <f>IF($C9="","",SUMPRODUCT(('ANALYSE - ERP =&gt; SOUS-SEGMENT'!$C$8:$C$1000=$C9)*'ANALYSE - ERP =&gt; SOUS-SEGMENT'!$Q$8:$Q$1000*'ANALYSE - ERP =&gt; SOUS-SEGMENT'!$HB$8:$HB$1000))</f>
        <v>1377.4877042520002</v>
      </c>
      <c r="HC9" s="563">
        <f t="shared" si="47"/>
        <v>4757.4248942950799</v>
      </c>
      <c r="HD9" s="563">
        <f>IF($C9="","",SUMPRODUCT(('ANALYSE - ERP =&gt; SOUS-SEGMENT'!$C$8:$C$1000=$C9)*'ANALYSE - ERP =&gt; SOUS-SEGMENT'!$Q$8:$Q$1000*'ANALYSE - ERP =&gt; SOUS-SEGMENT'!$HD$8:$HD$1000))</f>
        <v>3707.3878532950798</v>
      </c>
      <c r="HE9" s="563">
        <f>IF($C9="","",SUMPRODUCT(('ANALYSE - ERP =&gt; SOUS-SEGMENT'!$C$8:$C$1000=$C9)*'ANALYSE - ERP =&gt; SOUS-SEGMENT'!$Q$8:$Q$1000*'ANALYSE - ERP =&gt; SOUS-SEGMENT'!$HE$8:$HE$1000))</f>
        <v>1050.037041</v>
      </c>
      <c r="HF9" s="563">
        <f t="shared" si="48"/>
        <v>42695.870529159802</v>
      </c>
      <c r="HG9" s="563">
        <f>IF($C9="","",SUMPRODUCT(('ANALYSE - ERP =&gt; SOUS-SEGMENT'!$C$8:$C$1000=$C9)*'ANALYSE - ERP =&gt; SOUS-SEGMENT'!$Q$8:$Q$1000*'ANALYSE - ERP =&gt; SOUS-SEGMENT'!$HG$8:$HG$1000))</f>
        <v>31536.343072659802</v>
      </c>
      <c r="HH9" s="563">
        <f>IF($C9="","",SUMPRODUCT(('ANALYSE - ERP =&gt; SOUS-SEGMENT'!$C$8:$C$1000=$C9)*'ANALYSE - ERP =&gt; SOUS-SEGMENT'!$Q$8:$Q$1000*'ANALYSE - ERP =&gt; SOUS-SEGMENT'!$HH$8:$HH$1000))</f>
        <v>11159.5274565</v>
      </c>
      <c r="HI9" s="563">
        <f t="shared" si="49"/>
        <v>4683.7855217812803</v>
      </c>
      <c r="HJ9" s="563">
        <f>IF($C9="","",SUMPRODUCT(('ANALYSE - ERP =&gt; SOUS-SEGMENT'!$C$8:$C$1000=$C9)*'ANALYSE - ERP =&gt; SOUS-SEGMENT'!$Q$8:$Q$1000*'ANALYSE - ERP =&gt; SOUS-SEGMENT'!$HJ$8:$HJ$1000))</f>
        <v>3182.97519028128</v>
      </c>
      <c r="HK9" s="563">
        <f>IF($C9="","",SUMPRODUCT(('ANALYSE - ERP =&gt; SOUS-SEGMENT'!$C$8:$C$1000=$C9)*'ANALYSE - ERP =&gt; SOUS-SEGMENT'!$Q$8:$Q$1000*'ANALYSE - ERP =&gt; SOUS-SEGMENT'!$HK$8:$HK$1000))</f>
        <v>1500.8103315000001</v>
      </c>
      <c r="HL9" s="563">
        <f t="shared" si="50"/>
        <v>14993.384369687839</v>
      </c>
      <c r="HM9" s="563">
        <f>IF($C9="","",SUMPRODUCT(('ANALYSE - ERP =&gt; SOUS-SEGMENT'!$C$8:$C$1000=$C9)*'ANALYSE - ERP =&gt; SOUS-SEGMENT'!$Q$8:$Q$1000*'ANALYSE - ERP =&gt; SOUS-SEGMENT'!$HM$8:$HM$1000))</f>
        <v>11168.28408868784</v>
      </c>
      <c r="HN9" s="563">
        <f>IF($C9="","",SUMPRODUCT(('ANALYSE - ERP =&gt; SOUS-SEGMENT'!$C$8:$C$1000=$C9)*'ANALYSE - ERP =&gt; SOUS-SEGMENT'!$Q$8:$Q$1000*'ANALYSE - ERP =&gt; SOUS-SEGMENT'!$HN$8:$HN$1000))</f>
        <v>3825.1002809999995</v>
      </c>
      <c r="HO9" s="563">
        <f t="shared" si="51"/>
        <v>146019.99259303839</v>
      </c>
      <c r="HP9" s="563">
        <f>IF($C9="","",SUMPRODUCT(('ANALYSE - ERP =&gt; SOUS-SEGMENT'!$C$8:$C$1000=$C9)*'ANALYSE - ERP =&gt; SOUS-SEGMENT'!$Q$8:$Q$1000*'ANALYSE - ERP =&gt; SOUS-SEGMENT'!$HP$8:$HP$1000))</f>
        <v>114165.5174975384</v>
      </c>
      <c r="HQ9" s="563">
        <f>IF($C9="","",SUMPRODUCT(('ANALYSE - ERP =&gt; SOUS-SEGMENT'!$C$8:$C$1000=$C9)*'ANALYSE - ERP =&gt; SOUS-SEGMENT'!$Q$8:$Q$1000*'ANALYSE - ERP =&gt; SOUS-SEGMENT'!$HQ$8:$HQ$1000))</f>
        <v>31854.475095500002</v>
      </c>
      <c r="HR9" s="563">
        <f t="shared" si="52"/>
        <v>90199.672029138397</v>
      </c>
      <c r="HS9" s="563">
        <f>IF($C9="","",SUMPRODUCT(('ANALYSE - ERP =&gt; SOUS-SEGMENT'!$C$8:$C$1000=$C9)*'ANALYSE - ERP =&gt; SOUS-SEGMENT'!$Q$8:$Q$1000*'ANALYSE - ERP =&gt; SOUS-SEGMENT'!$HS$8:$HS$1000))</f>
        <v>64715.81135933839</v>
      </c>
      <c r="HT9" s="563">
        <f>IF($C9="","",SUMPRODUCT(('ANALYSE - ERP =&gt; SOUS-SEGMENT'!$C$8:$C$1000=$C9)*'ANALYSE - ERP =&gt; SOUS-SEGMENT'!$Q$8:$Q$1000*'ANALYSE - ERP =&gt; SOUS-SEGMENT'!$HT$8:$HT$1000))</f>
        <v>25483.8606698</v>
      </c>
      <c r="HU9" s="563">
        <f t="shared" si="53"/>
        <v>7714.3386259672016</v>
      </c>
      <c r="HV9" s="563">
        <f>IF($C9="","",SUMPRODUCT(('ANALYSE - ERP =&gt; SOUS-SEGMENT'!$C$8:$C$1000=$C9)*'ANALYSE - ERP =&gt; SOUS-SEGMENT'!$Q$8:$Q$1000*'ANALYSE - ERP =&gt; SOUS-SEGMENT'!$HV$8:$HV$1000))</f>
        <v>3427.8385812672004</v>
      </c>
      <c r="HW9" s="563">
        <f>IF($C9="","",SUMPRODUCT(('ANALYSE - ERP =&gt; SOUS-SEGMENT'!$C$8:$C$1000=$C9)*'ANALYSE - ERP =&gt; SOUS-SEGMENT'!$Q$8:$Q$1000*'ANALYSE - ERP =&gt; SOUS-SEGMENT'!$HW$8:$HW$1000))</f>
        <v>4286.5000447000011</v>
      </c>
      <c r="HX9" s="544"/>
      <c r="HY9" s="568">
        <f t="shared" si="54"/>
        <v>2224149.9099999997</v>
      </c>
      <c r="HZ9" s="568">
        <f>IF($C9="","",SUMPRODUCT(('ANALYSE - ERP =&gt; SOUS-SEGMENT'!$C$8:$C$1000=$C9)*'ANALYSE - ERP =&gt; SOUS-SEGMENT'!$Q$8:$Q$1000*'ANALYSE - ERP =&gt; SOUS-SEGMENT'!$HZ$8:$HZ$1000))</f>
        <v>234985.37009499996</v>
      </c>
      <c r="IA9" s="568">
        <f>IF($C9="","",SUMPRODUCT(('ANALYSE - ERP =&gt; SOUS-SEGMENT'!$C$8:$C$1000=$C9)*'ANALYSE - ERP =&gt; SOUS-SEGMENT'!$Q$8:$Q$1000*'ANALYSE - ERP =&gt; SOUS-SEGMENT'!$IA$8:$IA$1000))</f>
        <v>1189430.9577939999</v>
      </c>
      <c r="IB9" s="568">
        <f>IF($C9="","",SUMPRODUCT(('ANALYSE - ERP =&gt; SOUS-SEGMENT'!$C$8:$C$1000=$C9)*'ANALYSE - ERP =&gt; SOUS-SEGMENT'!$Q$8:$Q$1000*'ANALYSE - ERP =&gt; SOUS-SEGMENT'!$IB$8:$IB$1000))</f>
        <v>732360.00865099998</v>
      </c>
      <c r="IC9" s="568">
        <f>IF($C9="","",SUMPRODUCT(('ANALYSE - ERP =&gt; SOUS-SEGMENT'!$C$8:$C$1000=$C9)*'ANALYSE - ERP =&gt; SOUS-SEGMENT'!$Q$8:$Q$1000*'ANALYSE - ERP =&gt; SOUS-SEGMENT'!$IC$8:$IC$1000))</f>
        <v>65868.849077999999</v>
      </c>
      <c r="ID9" s="568">
        <f>IF($C9="","",SUMPRODUCT(('ANALYSE - ERP =&gt; SOUS-SEGMENT'!$C$8:$C$1000=$C9)*'ANALYSE - ERP =&gt; SOUS-SEGMENT'!$Q$8:$Q$1000*'ANALYSE - ERP =&gt; SOUS-SEGMENT'!$ID$8:$ID$1000))</f>
        <v>1504.7243820000001</v>
      </c>
      <c r="IE9" s="568">
        <f t="shared" si="55"/>
        <v>472899.10521589289</v>
      </c>
      <c r="IF9" s="568">
        <f>IF($C9="","",SUMPRODUCT(('ANALYSE - ERP =&gt; SOUS-SEGMENT'!$C$8:$C$1000=$C9)*'ANALYSE - ERP =&gt; SOUS-SEGMENT'!$Q$8:$Q$1000*'ANALYSE - ERP =&gt; SOUS-SEGMENT'!$IF$8:$IF$1000))</f>
        <v>19127.016624494885</v>
      </c>
      <c r="IG9" s="568">
        <f>IF($C9="","",SUMPRODUCT(('ANALYSE - ERP =&gt; SOUS-SEGMENT'!$C$8:$C$1000=$C9)*'ANALYSE - ERP =&gt; SOUS-SEGMENT'!$Q$8:$Q$1000*'ANALYSE - ERP =&gt; SOUS-SEGMENT'!$IG$8:$IG$1000))</f>
        <v>190021.39926197246</v>
      </c>
      <c r="IH9" s="568">
        <f>IF($C9="","",SUMPRODUCT(('ANALYSE - ERP =&gt; SOUS-SEGMENT'!$C$8:$C$1000=$C9)*'ANALYSE - ERP =&gt; SOUS-SEGMENT'!$Q$8:$Q$1000*'ANALYSE - ERP =&gt; SOUS-SEGMENT'!$IH$8:$IH$1000))</f>
        <v>226830.80852461766</v>
      </c>
      <c r="II9" s="568">
        <f>IF($C9="","",SUMPRODUCT(('ANALYSE - ERP =&gt; SOUS-SEGMENT'!$C$8:$C$1000=$C9)*'ANALYSE - ERP =&gt; SOUS-SEGMENT'!$Q$8:$Q$1000*'ANALYSE - ERP =&gt; SOUS-SEGMENT'!$II$8:$II$1000))</f>
        <v>35767.813925128699</v>
      </c>
      <c r="IJ9" s="568">
        <f>IF($C9="","",SUMPRODUCT(('ANALYSE - ERP =&gt; SOUS-SEGMENT'!$C$8:$C$1000=$C9)*'ANALYSE - ERP =&gt; SOUS-SEGMENT'!$Q$8:$Q$1000*'ANALYSE - ERP =&gt; SOUS-SEGMENT'!$IJ$8:$IJ$1000))</f>
        <v>1152.0668796791524</v>
      </c>
      <c r="IK9" s="868">
        <f>IF($C9="","",IFERROR(SUMPRODUCT(('ANALYSE - ERP =&gt; SOUS-SEGMENT'!$C$8:$C$1000=$C9)*'ANALYSE - ERP =&gt; SOUS-SEGMENT'!$Q$8:$Q$1000*'ANALYSE - ERP =&gt; SOUS-SEGMENT'!$IE$8:$IE$1000*'ANALYSE - ERP =&gt; SOUS-SEGMENT'!$IK$8:$IK$1000)/SUMPRODUCT(('ANALYSE - ERP =&gt; SOUS-SEGMENT'!$C$8:$C$1000=$C9)*'ANALYSE - ERP =&gt; SOUS-SEGMENT'!$Q$8:$Q$1000*'ANALYSE - ERP =&gt; SOUS-SEGMENT'!$IE$8:$IE$1000),""))</f>
        <v>4.379189809441332</v>
      </c>
      <c r="IL9" s="962" t="s">
        <v>5335</v>
      </c>
      <c r="IM9" s="963" t="s">
        <v>5336</v>
      </c>
      <c r="IN9" s="529"/>
      <c r="IO9" s="742">
        <f>IF($C9="","",IFERROR(SUMPRODUCT(('ANALYSE - ERP =&gt; SOUS-SEGMENT'!$C$8:$C$1000=$C9)*'ANALYSE - ERP =&gt; SOUS-SEGMENT'!$Q$8:$Q$1000*'ANALYSE - ERP =&gt; SOUS-SEGMENT'!$BE$8:$BE$1000*'ANALYSE - ERP =&gt; SOUS-SEGMENT'!$IO$8:$IO$1000)/SUMPRODUCT(('ANALYSE - ERP =&gt; SOUS-SEGMENT'!$C$8:$C$1000=$C9)*'ANALYSE - ERP =&gt; SOUS-SEGMENT'!$Q$8:$Q$1000*'ANALYSE - ERP =&gt; SOUS-SEGMENT'!$BE$8:$BE$1000),""))</f>
        <v>9.5824485436660847E-2</v>
      </c>
      <c r="IP9" s="742">
        <f>IF($C9="","",IFERROR(SUMPRODUCT(('ANALYSE - ERP =&gt; SOUS-SEGMENT'!$C$8:$C$1000=$C9)*'ANALYSE - ERP =&gt; SOUS-SEGMENT'!$Q$8:$Q$1000*'ANALYSE - ERP =&gt; SOUS-SEGMENT'!$BE$8:$BE$1000*'ANALYSE - ERP =&gt; SOUS-SEGMENT'!$IP$8:$IP$1000)/SUMPRODUCT(('ANALYSE - ERP =&gt; SOUS-SEGMENT'!$C$8:$C$1000=$C9)*'ANALYSE - ERP =&gt; SOUS-SEGMENT'!$Q$8:$Q$1000*'ANALYSE - ERP =&gt; SOUS-SEGMENT'!$BE$8:$BE$1000),""))</f>
        <v>0.53014464315630749</v>
      </c>
      <c r="IQ9" s="742">
        <f>IF($C9="","",IFERROR(SUMPRODUCT(('ANALYSE - ERP =&gt; SOUS-SEGMENT'!$C$8:$C$1000=$C9)*'ANALYSE - ERP =&gt; SOUS-SEGMENT'!$Q$8:$Q$1000*'ANALYSE - ERP =&gt; SOUS-SEGMENT'!$BE$8:$BE$1000*'ANALYSE - ERP =&gt; SOUS-SEGMENT'!$IQ$8:$IQ$1000)/SUMPRODUCT(('ANALYSE - ERP =&gt; SOUS-SEGMENT'!$C$8:$C$1000=$C9)*'ANALYSE - ERP =&gt; SOUS-SEGMENT'!$Q$8:$Q$1000*'ANALYSE - ERP =&gt; SOUS-SEGMENT'!$BE$8:$BE$1000),""))</f>
        <v>0.34433724880134664</v>
      </c>
      <c r="IR9" s="742">
        <f>IF($C9="","",IFERROR(SUMPRODUCT(('ANALYSE - ERP =&gt; SOUS-SEGMENT'!$C$8:$C$1000=$C9)*'ANALYSE - ERP =&gt; SOUS-SEGMENT'!$Q$8:$Q$1000*'ANALYSE - ERP =&gt; SOUS-SEGMENT'!$BE$8:$BE$1000*'ANALYSE - ERP =&gt; SOUS-SEGMENT'!$IR$8:$IR$1000)/SUMPRODUCT(('ANALYSE - ERP =&gt; SOUS-SEGMENT'!$C$8:$C$1000=$C9)*'ANALYSE - ERP =&gt; SOUS-SEGMENT'!$Q$8:$Q$1000*'ANALYSE - ERP =&gt; SOUS-SEGMENT'!$BE$8:$BE$1000),""))</f>
        <v>2.9244411203918661E-2</v>
      </c>
      <c r="IS9" s="742">
        <f>IF($C9="","",IFERROR(SUMPRODUCT(('ANALYSE - ERP =&gt; SOUS-SEGMENT'!$C$8:$C$1000=$C9)*'ANALYSE - ERP =&gt; SOUS-SEGMENT'!$Q$8:$Q$1000*'ANALYSE - ERP =&gt; SOUS-SEGMENT'!$BE$8:$BE$1000*'ANALYSE - ERP =&gt; SOUS-SEGMENT'!$IS$8:$IS$1000)/SUMPRODUCT(('ANALYSE - ERP =&gt; SOUS-SEGMENT'!$C$8:$C$1000=$C9)*'ANALYSE - ERP =&gt; SOUS-SEGMENT'!$Q$8:$Q$1000*'ANALYSE - ERP =&gt; SOUS-SEGMENT'!$BE$8:$BE$1000),""))</f>
        <v>4.4921140176626856E-4</v>
      </c>
      <c r="IT9" s="742">
        <f>IF($C9="","",IFERROR(SUMPRODUCT(('ANALYSE - ERP =&gt; SOUS-SEGMENT'!$C$8:$C$1000=$C9)*'ANALYSE - ERP =&gt; SOUS-SEGMENT'!$Q$8:$Q$1000*'ANALYSE - ERP =&gt; SOUS-SEGMENT'!$FB$8:$FB$1000*'ANALYSE - ERP =&gt; SOUS-SEGMENT'!$IT$8:$IT$1000)/SUMPRODUCT(('ANALYSE - ERP =&gt; SOUS-SEGMENT'!$C$8:$C$1000=$C9)*'ANALYSE - ERP =&gt; SOUS-SEGMENT'!$Q$8:$Q$1000*'ANALYSE - ERP =&gt; SOUS-SEGMENT'!$FB$8:$FB$1000),""))</f>
        <v>3.5513007328225911E-2</v>
      </c>
      <c r="IU9" s="742">
        <f>IF($C9="","",IFERROR(SUMPRODUCT(('ANALYSE - ERP =&gt; SOUS-SEGMENT'!$C$8:$C$1000=$C9)*'ANALYSE - ERP =&gt; SOUS-SEGMENT'!$Q$8:$Q$1000*'ANALYSE - ERP =&gt; SOUS-SEGMENT'!$FB$8:$FB$1000*'ANALYSE - ERP =&gt; SOUS-SEGMENT'!$IU$8:$IU$1000)/SUMPRODUCT(('ANALYSE - ERP =&gt; SOUS-SEGMENT'!$C$8:$C$1000=$C9)*'ANALYSE - ERP =&gt; SOUS-SEGMENT'!$Q$8:$Q$1000*'ANALYSE - ERP =&gt; SOUS-SEGMENT'!$FB$8:$FB$1000),""))</f>
        <v>0.38871654509956083</v>
      </c>
      <c r="IV9" s="742">
        <f>IF($C9="","",IFERROR(SUMPRODUCT(('ANALYSE - ERP =&gt; SOUS-SEGMENT'!$C$8:$C$1000=$C9)*'ANALYSE - ERP =&gt; SOUS-SEGMENT'!$Q$8:$Q$1000*'ANALYSE - ERP =&gt; SOUS-SEGMENT'!$FB$8:$FB$1000*'ANALYSE - ERP =&gt; SOUS-SEGMENT'!$IV$8:$IV$1000)/SUMPRODUCT(('ANALYSE - ERP =&gt; SOUS-SEGMENT'!$C$8:$C$1000=$C9)*'ANALYSE - ERP =&gt; SOUS-SEGMENT'!$Q$8:$Q$1000*'ANALYSE - ERP =&gt; SOUS-SEGMENT'!$FB$8:$FB$1000),""))</f>
        <v>0.49574976958405864</v>
      </c>
      <c r="IW9" s="742">
        <f>IF($C9="","",IFERROR(SUMPRODUCT(('ANALYSE - ERP =&gt; SOUS-SEGMENT'!$C$8:$C$1000=$C9)*'ANALYSE - ERP =&gt; SOUS-SEGMENT'!$Q$8:$Q$1000*'ANALYSE - ERP =&gt; SOUS-SEGMENT'!$FB$8:$FB$1000*'ANALYSE - ERP =&gt; SOUS-SEGMENT'!$IW$8:$IW$1000)/SUMPRODUCT(('ANALYSE - ERP =&gt; SOUS-SEGMENT'!$C$8:$C$1000=$C9)*'ANALYSE - ERP =&gt; SOUS-SEGMENT'!$Q$8:$Q$1000*'ANALYSE - ERP =&gt; SOUS-SEGMENT'!$FB$8:$FB$1000),""))</f>
        <v>7.8078899995916398E-2</v>
      </c>
      <c r="IX9" s="742">
        <f>IF($C9="","",IFERROR(SUMPRODUCT(('ANALYSE - ERP =&gt; SOUS-SEGMENT'!$C$8:$C$1000=$C9)*'ANALYSE - ERP =&gt; SOUS-SEGMENT'!$Q$8:$Q$1000*'ANALYSE - ERP =&gt; SOUS-SEGMENT'!$FB$8:$FB$1000*'ANALYSE - ERP =&gt; SOUS-SEGMENT'!$IX$8:$IX$1000)/SUMPRODUCT(('ANALYSE - ERP =&gt; SOUS-SEGMENT'!$C$8:$C$1000=$C9)*'ANALYSE - ERP =&gt; SOUS-SEGMENT'!$Q$8:$Q$1000*'ANALYSE - ERP =&gt; SOUS-SEGMENT'!$FB$8:$FB$1000),""))</f>
        <v>1.9417779922381909E-3</v>
      </c>
      <c r="IY9" s="742">
        <f>IF($C9="","",IFERROR(SUMPRODUCT(('ANALYSE - ERP =&gt; SOUS-SEGMENT'!$C$8:$C$1000=$C9)*'ANALYSE - ERP =&gt; SOUS-SEGMENT'!$Q$8:$Q$1000*'ANALYSE - ERP =&gt; SOUS-SEGMENT'!$BF$8:$BF$1000*'ANALYSE - ERP =&gt; SOUS-SEGMENT'!$IY$8:$IY$1000)/SUMPRODUCT(('ANALYSE - ERP =&gt; SOUS-SEGMENT'!$C$8:$C$1000=$C9)*'ANALYSE - ERP =&gt; SOUS-SEGMENT'!$Q$8:$Q$1000*'ANALYSE - ERP =&gt; SOUS-SEGMENT'!$BF$8:$BF$1000),""))</f>
        <v>8.5235902748290099E-2</v>
      </c>
      <c r="IZ9" s="742">
        <f>IF($C9="","",IFERROR(SUMPRODUCT(('ANALYSE - ERP =&gt; SOUS-SEGMENT'!$C$8:$C$1000=$C9)*'ANALYSE - ERP =&gt; SOUS-SEGMENT'!$Q$8:$Q$1000*'ANALYSE - ERP =&gt; SOUS-SEGMENT'!$BF$8:$BF$1000*'ANALYSE - ERP =&gt; SOUS-SEGMENT'!$IZ$8:$IZ$1000)/SUMPRODUCT(('ANALYSE - ERP =&gt; SOUS-SEGMENT'!$C$8:$C$1000=$C9)*'ANALYSE - ERP =&gt; SOUS-SEGMENT'!$Q$8:$Q$1000*'ANALYSE - ERP =&gt; SOUS-SEGMENT'!$BF$8:$BF$1000),""))</f>
        <v>0.47442068962319345</v>
      </c>
      <c r="JA9" s="742">
        <f>IF($C9="","",IFERROR(SUMPRODUCT(('ANALYSE - ERP =&gt; SOUS-SEGMENT'!$C$8:$C$1000=$C9)*'ANALYSE - ERP =&gt; SOUS-SEGMENT'!$Q$8:$Q$1000*'ANALYSE - ERP =&gt; SOUS-SEGMENT'!$BF$8:$BF$1000*'ANALYSE - ERP =&gt; SOUS-SEGMENT'!$JA$8:$JA$1000)/SUMPRODUCT(('ANALYSE - ERP =&gt; SOUS-SEGMENT'!$C$8:$C$1000=$C9)*'ANALYSE - ERP =&gt; SOUS-SEGMENT'!$Q$8:$Q$1000*'ANALYSE - ERP =&gt; SOUS-SEGMENT'!$BF$8:$BF$1000),""))</f>
        <v>0.36621651853749565</v>
      </c>
      <c r="JB9" s="742">
        <f>IF($C9="","",IFERROR(SUMPRODUCT(('ANALYSE - ERP =&gt; SOUS-SEGMENT'!$C$8:$C$1000=$C9)*'ANALYSE - ERP =&gt; SOUS-SEGMENT'!$Q$8:$Q$1000*'ANALYSE - ERP =&gt; SOUS-SEGMENT'!$BF$8:$BF$1000*'ANALYSE - ERP =&gt; SOUS-SEGMENT'!$JB$8:$JB$1000)/SUMPRODUCT(('ANALYSE - ERP =&gt; SOUS-SEGMENT'!$C$8:$C$1000=$C9)*'ANALYSE - ERP =&gt; SOUS-SEGMENT'!$Q$8:$Q$1000*'ANALYSE - ERP =&gt; SOUS-SEGMENT'!$BF$8:$BF$1000),""))</f>
        <v>7.0145849183939957E-2</v>
      </c>
      <c r="JC9" s="742">
        <f>IF($C9="","",IFERROR(SUMPRODUCT(('ANALYSE - ERP =&gt; SOUS-SEGMENT'!$C$8:$C$1000=$C9)*'ANALYSE - ERP =&gt; SOUS-SEGMENT'!$Q$8:$Q$1000*'ANALYSE - ERP =&gt; SOUS-SEGMENT'!$BF$8:$BF$1000*'ANALYSE - ERP =&gt; SOUS-SEGMENT'!$JC$8:$JC$1000)/SUMPRODUCT(('ANALYSE - ERP =&gt; SOUS-SEGMENT'!$C$8:$C$1000=$C9)*'ANALYSE - ERP =&gt; SOUS-SEGMENT'!$Q$8:$Q$1000*'ANALYSE - ERP =&gt; SOUS-SEGMENT'!$BF$8:$BF$1000),""))</f>
        <v>3.981039907080844E-3</v>
      </c>
      <c r="JD9" s="742">
        <f>IF($C9="","",IFERROR(SUMPRODUCT(('ANALYSE - ERP =&gt; SOUS-SEGMENT'!$C$8:$C$1000=$C9)*'ANALYSE - ERP =&gt; SOUS-SEGMENT'!$Q$8:$Q$1000*'ANALYSE - ERP =&gt; SOUS-SEGMENT'!$FE$8:$FE$1000*'ANALYSE - ERP =&gt; SOUS-SEGMENT'!$JD$8:$JD$1000)/SUMPRODUCT(('ANALYSE - ERP =&gt; SOUS-SEGMENT'!$C$8:$C$1000=$C9)*'ANALYSE - ERP =&gt; SOUS-SEGMENT'!$Q$8:$Q$1000*'ANALYSE - ERP =&gt; SOUS-SEGMENT'!$FE$8:$FE$1000),""))</f>
        <v>3.134385108308059E-2</v>
      </c>
      <c r="JE9" s="742">
        <f>IF($C9="","",IFERROR(SUMPRODUCT(('ANALYSE - ERP =&gt; SOUS-SEGMENT'!$C$8:$C$1000=$C9)*'ANALYSE - ERP =&gt; SOUS-SEGMENT'!$Q$8:$Q$1000*'ANALYSE - ERP =&gt; SOUS-SEGMENT'!$FE$8:$FE$1000*'ANALYSE - ERP =&gt; SOUS-SEGMENT'!$JE$8:$JE$1000)/SUMPRODUCT(('ANALYSE - ERP =&gt; SOUS-SEGMENT'!$C$8:$C$1000=$C9)*'ANALYSE - ERP =&gt; SOUS-SEGMENT'!$Q$8:$Q$1000*'ANALYSE - ERP =&gt; SOUS-SEGMENT'!$FE$8:$FE$1000),""))</f>
        <v>0.34249938791456885</v>
      </c>
      <c r="JF9" s="742">
        <f>IF($C9="","",IFERROR(SUMPRODUCT(('ANALYSE - ERP =&gt; SOUS-SEGMENT'!$C$8:$C$1000=$C9)*'ANALYSE - ERP =&gt; SOUS-SEGMENT'!$Q$8:$Q$1000*'ANALYSE - ERP =&gt; SOUS-SEGMENT'!$FE$8:$FE$1000*'ANALYSE - ERP =&gt; SOUS-SEGMENT'!$JF$8:$JF$1000)/SUMPRODUCT(('ANALYSE - ERP =&gt; SOUS-SEGMENT'!$C$8:$C$1000=$C9)*'ANALYSE - ERP =&gt; SOUS-SEGMENT'!$Q$8:$Q$1000*'ANALYSE - ERP =&gt; SOUS-SEGMENT'!$FE$8:$FE$1000),""))</f>
        <v>0.48451712372839828</v>
      </c>
      <c r="JG9" s="742">
        <f>IF($C9="","",IFERROR(SUMPRODUCT(('ANALYSE - ERP =&gt; SOUS-SEGMENT'!$C$8:$C$1000=$C9)*'ANALYSE - ERP =&gt; SOUS-SEGMENT'!$Q$8:$Q$1000*'ANALYSE - ERP =&gt; SOUS-SEGMENT'!$FE$8:$FE$1000*'ANALYSE - ERP =&gt; SOUS-SEGMENT'!$JG$8:$JG$1000)/SUMPRODUCT(('ANALYSE - ERP =&gt; SOUS-SEGMENT'!$C$8:$C$1000=$C9)*'ANALYSE - ERP =&gt; SOUS-SEGMENT'!$Q$8:$Q$1000*'ANALYSE - ERP =&gt; SOUS-SEGMENT'!$FE$8:$FE$1000),""))</f>
        <v>0.13057171488877636</v>
      </c>
      <c r="JH9" s="742">
        <f>IF($C9="","",IFERROR(SUMPRODUCT(('ANALYSE - ERP =&gt; SOUS-SEGMENT'!$C$8:$C$1000=$C9)*'ANALYSE - ERP =&gt; SOUS-SEGMENT'!$Q$8:$Q$1000*'ANALYSE - ERP =&gt; SOUS-SEGMENT'!$FE$8:$FE$1000*'ANALYSE - ERP =&gt; SOUS-SEGMENT'!$JH$8:$JH$1000)/SUMPRODUCT(('ANALYSE - ERP =&gt; SOUS-SEGMENT'!$C$8:$C$1000=$C9)*'ANALYSE - ERP =&gt; SOUS-SEGMENT'!$Q$8:$Q$1000*'ANALYSE - ERP =&gt; SOUS-SEGMENT'!$FE$8:$FE$1000),""))</f>
        <v>1.1067922385175928E-2</v>
      </c>
      <c r="JI9" s="742">
        <f>IF($C9="","",IFERROR(SUMPRODUCT(('ANALYSE - ERP =&gt; SOUS-SEGMENT'!$C$8:$C$1000=$C9)*'ANALYSE - ERP =&gt; SOUS-SEGMENT'!$Q$8:$Q$1000*'ANALYSE - ERP =&gt; SOUS-SEGMENT'!$BG$8:$BG$1000*'ANALYSE - ERP =&gt; SOUS-SEGMENT'!$JI$8:$JI$1000)/SUMPRODUCT(('ANALYSE - ERP =&gt; SOUS-SEGMENT'!$C$8:$C$1000=$C9)*'ANALYSE - ERP =&gt; SOUS-SEGMENT'!$Q$8:$Q$1000*'ANALYSE - ERP =&gt; SOUS-SEGMENT'!$BG$8:$BG$1000),""))</f>
        <v>0.15993232917675387</v>
      </c>
      <c r="JJ9" s="742">
        <f>IF($C9="","",IFERROR(SUMPRODUCT(('ANALYSE - ERP =&gt; SOUS-SEGMENT'!$C$8:$C$1000=$C9)*'ANALYSE - ERP =&gt; SOUS-SEGMENT'!$Q$8:$Q$1000*'ANALYSE - ERP =&gt; SOUS-SEGMENT'!$BG$8:$BG$1000*'ANALYSE - ERP =&gt; SOUS-SEGMENT'!$JJ$8:$JJ$1000)/SUMPRODUCT(('ANALYSE - ERP =&gt; SOUS-SEGMENT'!$C$8:$C$1000=$C9)*'ANALYSE - ERP =&gt; SOUS-SEGMENT'!$Q$8:$Q$1000*'ANALYSE - ERP =&gt; SOUS-SEGMENT'!$BG$8:$BG$1000),""))</f>
        <v>0.53632800844934525</v>
      </c>
      <c r="JK9" s="742">
        <f>IF($C9="","",IFERROR(SUMPRODUCT(('ANALYSE - ERP =&gt; SOUS-SEGMENT'!$C$8:$C$1000=$C9)*'ANALYSE - ERP =&gt; SOUS-SEGMENT'!$Q$8:$Q$1000*'ANALYSE - ERP =&gt; SOUS-SEGMENT'!$BG$8:$BG$1000*'ANALYSE - ERP =&gt; SOUS-SEGMENT'!$JK$8:$JK$1000)/SUMPRODUCT(('ANALYSE - ERP =&gt; SOUS-SEGMENT'!$C$8:$C$1000=$C9)*'ANALYSE - ERP =&gt; SOUS-SEGMENT'!$Q$8:$Q$1000*'ANALYSE - ERP =&gt; SOUS-SEGMENT'!$BG$8:$BG$1000),""))</f>
        <v>0.21241899233734796</v>
      </c>
      <c r="JL9" s="742">
        <f>IF($C9="","",IFERROR(SUMPRODUCT(('ANALYSE - ERP =&gt; SOUS-SEGMENT'!$C$8:$C$1000=$C9)*'ANALYSE - ERP =&gt; SOUS-SEGMENT'!$Q$8:$Q$1000*'ANALYSE - ERP =&gt; SOUS-SEGMENT'!$BG$8:$BG$1000*'ANALYSE - ERP =&gt; SOUS-SEGMENT'!$JL$8:$JL$1000)/SUMPRODUCT(('ANALYSE - ERP =&gt; SOUS-SEGMENT'!$C$8:$C$1000=$C9)*'ANALYSE - ERP =&gt; SOUS-SEGMENT'!$Q$8:$Q$1000*'ANALYSE - ERP =&gt; SOUS-SEGMENT'!$BG$8:$BG$1000),""))</f>
        <v>1.1445973739226433E-2</v>
      </c>
      <c r="JM9" s="742">
        <f>IF($C9="","",IFERROR(SUMPRODUCT(('ANALYSE - ERP =&gt; SOUS-SEGMENT'!$C$8:$C$1000=$C9)*'ANALYSE - ERP =&gt; SOUS-SEGMENT'!$Q$8:$Q$1000*'ANALYSE - ERP =&gt; SOUS-SEGMENT'!$BG$8:$BG$1000*'ANALYSE - ERP =&gt; SOUS-SEGMENT'!$JM$8:$JM$1000)/SUMPRODUCT(('ANALYSE - ERP =&gt; SOUS-SEGMENT'!$C$8:$C$1000=$C9)*'ANALYSE - ERP =&gt; SOUS-SEGMENT'!$Q$8:$Q$1000*'ANALYSE - ERP =&gt; SOUS-SEGMENT'!$BG$8:$BG$1000),""))</f>
        <v>1.1878849254814692E-4</v>
      </c>
      <c r="JN9" s="742">
        <f>IF($C9="","",IFERROR(SUMPRODUCT(('ANALYSE - ERP =&gt; SOUS-SEGMENT'!$C$8:$C$1000=$C9)*'ANALYSE - ERP =&gt; SOUS-SEGMENT'!$Q$8:$Q$1000*'ANALYSE - ERP =&gt; SOUS-SEGMENT'!$FH$8:$FH$1000*'ANALYSE - ERP =&gt; SOUS-SEGMENT'!$JN$8:$JN$1000)/SUMPRODUCT(('ANALYSE - ERP =&gt; SOUS-SEGMENT'!$C$8:$C$1000=$C9)*'ANALYSE - ERP =&gt; SOUS-SEGMENT'!$Q$8:$Q$1000*'ANALYSE - ERP =&gt; SOUS-SEGMENT'!$FH$8:$FH$1000),""))</f>
        <v>6.8061426923573976E-2</v>
      </c>
      <c r="JO9" s="742">
        <f>IF($C9="","",IFERROR(SUMPRODUCT(('ANALYSE - ERP =&gt; SOUS-SEGMENT'!$C$8:$C$1000=$C9)*'ANALYSE - ERP =&gt; SOUS-SEGMENT'!$Q$8:$Q$1000*'ANALYSE - ERP =&gt; SOUS-SEGMENT'!$FH$8:$FH$1000*'ANALYSE - ERP =&gt; SOUS-SEGMENT'!$JO$8:$JO$1000)/SUMPRODUCT(('ANALYSE - ERP =&gt; SOUS-SEGMENT'!$C$8:$C$1000=$C9)*'ANALYSE - ERP =&gt; SOUS-SEGMENT'!$Q$8:$Q$1000*'ANALYSE - ERP =&gt; SOUS-SEGMENT'!$FH$8:$FH$1000),""))</f>
        <v>0.45984087577494004</v>
      </c>
      <c r="JP9" s="742">
        <f>IF($C9="","",IFERROR(SUMPRODUCT(('ANALYSE - ERP =&gt; SOUS-SEGMENT'!$C$8:$C$1000=$C9)*'ANALYSE - ERP =&gt; SOUS-SEGMENT'!$Q$8:$Q$1000*'ANALYSE - ERP =&gt; SOUS-SEGMENT'!$FH$8:$FH$1000*'ANALYSE - ERP =&gt; SOUS-SEGMENT'!$JP$8:$JP$1000)/SUMPRODUCT(('ANALYSE - ERP =&gt; SOUS-SEGMENT'!$C$8:$C$1000=$C9)*'ANALYSE - ERP =&gt; SOUS-SEGMENT'!$Q$8:$Q$1000*'ANALYSE - ERP =&gt; SOUS-SEGMENT'!$FH$8:$FH$1000),""))</f>
        <v>0.36201759021237878</v>
      </c>
      <c r="JQ9" s="742">
        <f>IF($C9="","",IFERROR(SUMPRODUCT(('ANALYSE - ERP =&gt; SOUS-SEGMENT'!$C$8:$C$1000=$C9)*'ANALYSE - ERP =&gt; SOUS-SEGMENT'!$Q$8:$Q$1000*'ANALYSE - ERP =&gt; SOUS-SEGMENT'!$FH$8:$FH$1000*'ANALYSE - ERP =&gt; SOUS-SEGMENT'!$JQ$8:$JQ$1000)/SUMPRODUCT(('ANALYSE - ERP =&gt; SOUS-SEGMENT'!$C$8:$C$1000=$C9)*'ANALYSE - ERP =&gt; SOUS-SEGMENT'!$Q$8:$Q$1000*'ANALYSE - ERP =&gt; SOUS-SEGMENT'!$FH$8:$FH$1000),""))</f>
        <v>3.5541936796383441E-2</v>
      </c>
      <c r="JR9" s="742">
        <f>IF($C9="","",IFERROR(SUMPRODUCT(('ANALYSE - ERP =&gt; SOUS-SEGMENT'!$C$8:$C$1000=$C9)*'ANALYSE - ERP =&gt; SOUS-SEGMENT'!$Q$8:$Q$1000*'ANALYSE - ERP =&gt; SOUS-SEGMENT'!$FH$8:$FH$1000*'ANALYSE - ERP =&gt; SOUS-SEGMENT'!$JR$8:$JR$1000)/SUMPRODUCT(('ANALYSE - ERP =&gt; SOUS-SEGMENT'!$C$8:$C$1000=$C9)*'ANALYSE - ERP =&gt; SOUS-SEGMENT'!$Q$8:$Q$1000*'ANALYSE - ERP =&gt; SOUS-SEGMENT'!$FH$8:$FH$1000),""))</f>
        <v>5.5412285488995016E-4</v>
      </c>
      <c r="JS9" s="742">
        <f>IF($C9="","",IFERROR(SUMPRODUCT(('ANALYSE - ERP =&gt; SOUS-SEGMENT'!$C$8:$C$1000=$C9)*'ANALYSE - ERP =&gt; SOUS-SEGMENT'!$Q$8:$Q$1000*'ANALYSE - ERP =&gt; SOUS-SEGMENT'!$BH$8:$BH$1000*'ANALYSE - ERP =&gt; SOUS-SEGMENT'!$JS$8:$JS$1000)/SUMPRODUCT(('ANALYSE - ERP =&gt; SOUS-SEGMENT'!$C$8:$C$1000=$C9)*'ANALYSE - ERP =&gt; SOUS-SEGMENT'!$Q$8:$Q$1000*'ANALYSE - ERP =&gt; SOUS-SEGMENT'!$BH$8:$BH$1000),""))</f>
        <v>0.10382235246812509</v>
      </c>
      <c r="JT9" s="742">
        <f>IF($C9="","",IFERROR(SUMPRODUCT(('ANALYSE - ERP =&gt; SOUS-SEGMENT'!$C$8:$C$1000=$C9)*'ANALYSE - ERP =&gt; SOUS-SEGMENT'!$Q$8:$Q$1000*'ANALYSE - ERP =&gt; SOUS-SEGMENT'!$BH$8:$BH$1000*'ANALYSE - ERP =&gt; SOUS-SEGMENT'!$JT$8:$JT$1000)/SUMPRODUCT(('ANALYSE - ERP =&gt; SOUS-SEGMENT'!$C$8:$C$1000=$C9)*'ANALYSE - ERP =&gt; SOUS-SEGMENT'!$Q$8:$Q$1000*'ANALYSE - ERP =&gt; SOUS-SEGMENT'!$BH$8:$BH$1000),""))</f>
        <v>0.538639357901604</v>
      </c>
      <c r="JU9" s="742">
        <f>IF($C9="","",IFERROR(SUMPRODUCT(('ANALYSE - ERP =&gt; SOUS-SEGMENT'!$C$8:$C$1000=$C9)*'ANALYSE - ERP =&gt; SOUS-SEGMENT'!$Q$8:$Q$1000*'ANALYSE - ERP =&gt; SOUS-SEGMENT'!$BH$8:$BH$1000*'ANALYSE - ERP =&gt; SOUS-SEGMENT'!$JU$8:$JU$1000)/SUMPRODUCT(('ANALYSE - ERP =&gt; SOUS-SEGMENT'!$C$8:$C$1000=$C9)*'ANALYSE - ERP =&gt; SOUS-SEGMENT'!$Q$8:$Q$1000*'ANALYSE - ERP =&gt; SOUS-SEGMENT'!$BH$8:$BH$1000),""))</f>
        <v>0.32965163705426409</v>
      </c>
      <c r="JV9" s="742">
        <f>IF($C9="","",IFERROR(SUMPRODUCT(('ANALYSE - ERP =&gt; SOUS-SEGMENT'!$C$8:$C$1000=$C9)*'ANALYSE - ERP =&gt; SOUS-SEGMENT'!$Q$8:$Q$1000*'ANALYSE - ERP =&gt; SOUS-SEGMENT'!$BH$8:$BH$1000*'ANALYSE - ERP =&gt; SOUS-SEGMENT'!$JV$8:$JV$1000)/SUMPRODUCT(('ANALYSE - ERP =&gt; SOUS-SEGMENT'!$C$8:$C$1000=$C9)*'ANALYSE - ERP =&gt; SOUS-SEGMENT'!$Q$8:$Q$1000*'ANALYSE - ERP =&gt; SOUS-SEGMENT'!$BH$8:$BH$1000),""))</f>
        <v>2.7373181163475993E-2</v>
      </c>
      <c r="JW9" s="742">
        <f>IF($C9="","",IFERROR(SUMPRODUCT(('ANALYSE - ERP =&gt; SOUS-SEGMENT'!$C$8:$C$1000=$C9)*'ANALYSE - ERP =&gt; SOUS-SEGMENT'!$Q$8:$Q$1000*'ANALYSE - ERP =&gt; SOUS-SEGMENT'!$BH$8:$BH$1000*'ANALYSE - ERP =&gt; SOUS-SEGMENT'!$JW$8:$JW$1000)/SUMPRODUCT(('ANALYSE - ERP =&gt; SOUS-SEGMENT'!$C$8:$C$1000=$C9)*'ANALYSE - ERP =&gt; SOUS-SEGMENT'!$Q$8:$Q$1000*'ANALYSE - ERP =&gt; SOUS-SEGMENT'!$BH$8:$BH$1000),""))</f>
        <v>5.1347141253072198E-4</v>
      </c>
      <c r="JX9" s="742">
        <f>IF($C9="","",IFERROR(SUMPRODUCT(('ANALYSE - ERP =&gt; SOUS-SEGMENT'!$C$8:$C$1000=$C9)*'ANALYSE - ERP =&gt; SOUS-SEGMENT'!$Q$8:$Q$1000*'ANALYSE - ERP =&gt; SOUS-SEGMENT'!$FK$8:$FK$1000*'ANALYSE - ERP =&gt; SOUS-SEGMENT'!$JX$8:$JX$1000)/SUMPRODUCT(('ANALYSE - ERP =&gt; SOUS-SEGMENT'!$C$8:$C$1000=$C9)*'ANALYSE - ERP =&gt; SOUS-SEGMENT'!$Q$8:$Q$1000*'ANALYSE - ERP =&gt; SOUS-SEGMENT'!$FK$8:$FK$1000),""))</f>
        <v>3.946969222032836E-2</v>
      </c>
      <c r="JY9" s="742">
        <f>IF($C9="","",IFERROR(SUMPRODUCT(('ANALYSE - ERP =&gt; SOUS-SEGMENT'!$C$8:$C$1000=$C9)*'ANALYSE - ERP =&gt; SOUS-SEGMENT'!$Q$8:$Q$1000*'ANALYSE - ERP =&gt; SOUS-SEGMENT'!$FK$8:$FK$1000*'ANALYSE - ERP =&gt; SOUS-SEGMENT'!$JY$8:$JY$1000)/SUMPRODUCT(('ANALYSE - ERP =&gt; SOUS-SEGMENT'!$C$8:$C$1000=$C9)*'ANALYSE - ERP =&gt; SOUS-SEGMENT'!$Q$8:$Q$1000*'ANALYSE - ERP =&gt; SOUS-SEGMENT'!$FK$8:$FK$1000),""))</f>
        <v>0.40362342218576275</v>
      </c>
      <c r="JZ9" s="742">
        <f>IF($C9="","",IFERROR(SUMPRODUCT(('ANALYSE - ERP =&gt; SOUS-SEGMENT'!$C$8:$C$1000=$C9)*'ANALYSE - ERP =&gt; SOUS-SEGMENT'!$Q$8:$Q$1000*'ANALYSE - ERP =&gt; SOUS-SEGMENT'!$FK$8:$FK$1000*'ANALYSE - ERP =&gt; SOUS-SEGMENT'!$JZ$8:$JZ$1000)/SUMPRODUCT(('ANALYSE - ERP =&gt; SOUS-SEGMENT'!$C$8:$C$1000=$C9)*'ANALYSE - ERP =&gt; SOUS-SEGMENT'!$Q$8:$Q$1000*'ANALYSE - ERP =&gt; SOUS-SEGMENT'!$FK$8:$FK$1000),""))</f>
        <v>0.48238110707534082</v>
      </c>
      <c r="KA9" s="742">
        <f>IF($C9="","",IFERROR(SUMPRODUCT(('ANALYSE - ERP =&gt; SOUS-SEGMENT'!$C$8:$C$1000=$C9)*'ANALYSE - ERP =&gt; SOUS-SEGMENT'!$Q$8:$Q$1000*'ANALYSE - ERP =&gt; SOUS-SEGMENT'!$FK$8:$FK$1000*'ANALYSE - ERP =&gt; SOUS-SEGMENT'!$KA$8:$KA$1000)/SUMPRODUCT(('ANALYSE - ERP =&gt; SOUS-SEGMENT'!$C$8:$C$1000=$C9)*'ANALYSE - ERP =&gt; SOUS-SEGMENT'!$Q$8:$Q$1000*'ANALYSE - ERP =&gt; SOUS-SEGMENT'!$FK$8:$FK$1000),""))</f>
        <v>7.2559299653029596E-2</v>
      </c>
      <c r="KB9" s="742">
        <f>IF($C9="","",IFERROR(SUMPRODUCT(('ANALYSE - ERP =&gt; SOUS-SEGMENT'!$C$8:$C$1000=$C9)*'ANALYSE - ERP =&gt; SOUS-SEGMENT'!$Q$8:$Q$1000*'ANALYSE - ERP =&gt; SOUS-SEGMENT'!$FK$8:$FK$1000*'ANALYSE - ERP =&gt; SOUS-SEGMENT'!$KB$8:$KB$1000)/SUMPRODUCT(('ANALYSE - ERP =&gt; SOUS-SEGMENT'!$C$8:$C$1000=$C9)*'ANALYSE - ERP =&gt; SOUS-SEGMENT'!$Q$8:$Q$1000*'ANALYSE - ERP =&gt; SOUS-SEGMENT'!$FK$8:$FK$1000),""))</f>
        <v>1.9664788655385118E-3</v>
      </c>
      <c r="KC9" s="657"/>
      <c r="KD9" s="924" t="s">
        <v>5337</v>
      </c>
      <c r="KE9" s="924" t="s">
        <v>5337</v>
      </c>
      <c r="KF9" s="869">
        <f>IF($C9="","",IFERROR(SUMPRODUCT(('ANALYSE - ERP =&gt; SOUS-SEGMENT'!$C$8:$C$1000=$C9)*'ANALYSE - ERP =&gt; SOUS-SEGMENT'!$Q$8:$Q$1000*'ANALYSE - ERP =&gt; SOUS-SEGMENT'!$IE$8:$IE$1000*'ANALYSE - ERP =&gt; SOUS-SEGMENT'!$KF$8:$KF$1000)/SUMPRODUCT(('ANALYSE - ERP =&gt; SOUS-SEGMENT'!$C$8:$C$1000=$C9)*'ANALYSE - ERP =&gt; SOUS-SEGMENT'!$Q$8:$Q$1000*'ANALYSE - ERP =&gt; SOUS-SEGMENT'!$IE$8:$IE$1000),""))</f>
        <v>4.5142885932861505</v>
      </c>
      <c r="KG9" s="924" t="s">
        <v>5338</v>
      </c>
      <c r="KH9" s="924" t="s">
        <v>5339</v>
      </c>
      <c r="KI9" s="924" t="s">
        <v>5340</v>
      </c>
      <c r="KJ9" s="924" t="s">
        <v>5341</v>
      </c>
    </row>
    <row r="10" spans="1:327" ht="120" customHeight="1">
      <c r="A10" s="951">
        <f>IF($C10="","",ROWS($A$8:A10))</f>
        <v>3</v>
      </c>
      <c r="B10" s="952" t="s">
        <v>2600</v>
      </c>
      <c r="C10" s="952" t="s">
        <v>1014</v>
      </c>
      <c r="D10" s="952" t="s">
        <v>5342</v>
      </c>
      <c r="E10" s="985" t="s">
        <v>8027</v>
      </c>
      <c r="F10" s="646" t="s">
        <v>5343</v>
      </c>
      <c r="G10" s="646" t="s">
        <v>5344</v>
      </c>
      <c r="H10" s="646" t="s">
        <v>5345</v>
      </c>
      <c r="I10" s="646" t="s">
        <v>5346</v>
      </c>
      <c r="J10" s="646" t="s">
        <v>5347</v>
      </c>
      <c r="K10" s="646" t="s">
        <v>5348</v>
      </c>
      <c r="L10" s="646" t="s">
        <v>2109</v>
      </c>
      <c r="M10" s="646" t="s">
        <v>2603</v>
      </c>
      <c r="N10" s="646" t="s">
        <v>2099</v>
      </c>
      <c r="O10" s="646" t="s">
        <v>5349</v>
      </c>
      <c r="P10" s="646"/>
      <c r="Q10" s="270">
        <f>IF($C10="","",IF(SUMIFS('ANALYSE - ERP =&gt; SOUS-SEGMENT'!$Q$8:$Q$1000,'ANALYSE - ERP =&gt; SOUS-SEGMENT'!$C$8:$C$1000,$C10)&gt;0,1,0))</f>
        <v>1</v>
      </c>
      <c r="R10" s="278">
        <f>IF($C10="","",IFERROR(SUMPRODUCT(('ANALYSE - ERP =&gt; SOUS-SEGMENT'!$C$8:$C$1000=$C10)*'ANALYSE - ERP =&gt; SOUS-SEGMENT'!$Q$8:$Q$1000*'ANALYSE - ERP =&gt; SOUS-SEGMENT'!$AF$8:$AF$1000*'ANALYSE - ERP =&gt; SOUS-SEGMENT'!$R$8:$R$1000)/SUMPRODUCT(('ANALYSE - ERP =&gt; SOUS-SEGMENT'!$C$8:$C$1000=$C10)*'ANALYSE - ERP =&gt; SOUS-SEGMENT'!$Q$8:$Q$1000*'ANALYSE - ERP =&gt; SOUS-SEGMENT'!$AF$8:$AF$1000),""))</f>
        <v>8250</v>
      </c>
      <c r="S10" s="279">
        <f>IF($C10="","",SUMPRODUCT(('ANALYSE - ERP =&gt; SOUS-SEGMENT'!$C$8:$C$1000=$C10)*'ANALYSE - ERP =&gt; SOUS-SEGMENT'!$Q$8:$Q$1000*'ANALYSE - ERP =&gt; SOUS-SEGMENT'!$S$8:$S$1000))</f>
        <v>709</v>
      </c>
      <c r="T10" s="279">
        <f>IF($C10="","",SUMPRODUCT(('ANALYSE - ERP =&gt; SOUS-SEGMENT'!$C$8:$C$1000=$C10)*'ANALYSE - ERP =&gt; SOUS-SEGMENT'!$Q$8:$Q$1000*'ANALYSE - ERP =&gt; SOUS-SEGMENT'!$T$8:$T$1000))</f>
        <v>800</v>
      </c>
      <c r="U10" s="279">
        <f>IF($C10="","",SUMPRODUCT(('ANALYSE - ERP =&gt; SOUS-SEGMENT'!$C$8:$C$1000=$C10)*'ANALYSE - ERP =&gt; SOUS-SEGMENT'!$Q$8:$Q$1000*'ANALYSE - ERP =&gt; SOUS-SEGMENT'!$U$8:$U$1000))</f>
        <v>903</v>
      </c>
      <c r="V10" s="279">
        <f>IF($C10="","",SUMPRODUCT(('ANALYSE - ERP =&gt; SOUS-SEGMENT'!$C$8:$C$1000=$C10)*'ANALYSE - ERP =&gt; SOUS-SEGMENT'!$Q$8:$Q$1000*'ANALYSE - ERP =&gt; SOUS-SEGMENT'!$V$8:$V$1000))</f>
        <v>1016</v>
      </c>
      <c r="W10" s="279">
        <f>IF($C10="","",SUMPRODUCT(('ANALYSE - ERP =&gt; SOUS-SEGMENT'!$C$8:$C$1000=$C10)*'ANALYSE - ERP =&gt; SOUS-SEGMENT'!$Q$8:$Q$1000*'ANALYSE - ERP =&gt; SOUS-SEGMENT'!$W$8:$W$1000))</f>
        <v>1040</v>
      </c>
      <c r="X10" s="279">
        <f>IF($C10="","",SUMPRODUCT(('ANALYSE - ERP =&gt; SOUS-SEGMENT'!$C$8:$C$1000=$C10)*'ANALYSE - ERP =&gt; SOUS-SEGMENT'!$Q$8:$Q$1000*'ANALYSE - ERP =&gt; SOUS-SEGMENT'!$X$8:$X$1000))</f>
        <v>1065</v>
      </c>
      <c r="Y10" s="279">
        <f>IF($C10="","",SUMPRODUCT(('ANALYSE - ERP =&gt; SOUS-SEGMENT'!$C$8:$C$1000=$C10)*'ANALYSE - ERP =&gt; SOUS-SEGMENT'!$Q$8:$Q$1000*'ANALYSE - ERP =&gt; SOUS-SEGMENT'!$Y$8:$Y$1000))</f>
        <v>1091</v>
      </c>
      <c r="Z10" s="279">
        <f>IF($C10="","",SUMPRODUCT(('ANALYSE - ERP =&gt; SOUS-SEGMENT'!$C$8:$C$1000=$C10)*'ANALYSE - ERP =&gt; SOUS-SEGMENT'!$Q$8:$Q$1000*'ANALYSE - ERP =&gt; SOUS-SEGMENT'!$Z$8:$Z$1000))</f>
        <v>1116</v>
      </c>
      <c r="AA10" s="279">
        <f>IF($C10="","",SUMPRODUCT(('ANALYSE - ERP =&gt; SOUS-SEGMENT'!$C$8:$C$1000=$C10)*'ANALYSE - ERP =&gt; SOUS-SEGMENT'!$Q$8:$Q$1000*'ANALYSE - ERP =&gt; SOUS-SEGMENT'!$AA$8:$AA$1000))</f>
        <v>1128</v>
      </c>
      <c r="AB10" s="279">
        <f>IF($C10="","",SUMPRODUCT(('ANALYSE - ERP =&gt; SOUS-SEGMENT'!$C$8:$C$1000=$C10)*'ANALYSE - ERP =&gt; SOUS-SEGMENT'!$Q$8:$Q$1000*'ANALYSE - ERP =&gt; SOUS-SEGMENT'!$AB$8:$AB$1000))</f>
        <v>1140</v>
      </c>
      <c r="AC10" s="279">
        <f>IF($C10="","",SUMPRODUCT(('ANALYSE - ERP =&gt; SOUS-SEGMENT'!$C$8:$C$1000=$C10)*'ANALYSE - ERP =&gt; SOUS-SEGMENT'!$Q$8:$Q$1000*'ANALYSE - ERP =&gt; SOUS-SEGMENT'!$AC$8:$AC$1000))</f>
        <v>1152</v>
      </c>
      <c r="AD10" s="279">
        <f>IF($C10="","",SUMPRODUCT(('ANALYSE - ERP =&gt; SOUS-SEGMENT'!$C$8:$C$1000=$C10)*'ANALYSE - ERP =&gt; SOUS-SEGMENT'!$Q$8:$Q$1000*'ANALYSE - ERP =&gt; SOUS-SEGMENT'!$AD$8:$AD$1000))</f>
        <v>1165</v>
      </c>
      <c r="AE10" s="279">
        <f>IF($C10="","",SUMPRODUCT(('ANALYSE - ERP =&gt; SOUS-SEGMENT'!$C$8:$C$1000=$C10)*'ANALYSE - ERP =&gt; SOUS-SEGMENT'!$Q$8:$Q$1000*'ANALYSE - ERP =&gt; SOUS-SEGMENT'!$AE$8:$AE$1000))</f>
        <v>1177</v>
      </c>
      <c r="AF10" s="279">
        <f>IF($C10="","",SUMPRODUCT(('ANALYSE - ERP =&gt; SOUS-SEGMENT'!$C$8:$C$1000=$C10)*'ANALYSE - ERP =&gt; SOUS-SEGMENT'!$Q$8:$Q$1000*'ANALYSE - ERP =&gt; SOUS-SEGMENT'!$AF$8:$AF$1000))</f>
        <v>1190</v>
      </c>
      <c r="AG10" s="279">
        <f>IF($C10="","",SUMPRODUCT(('ANALYSE - ERP =&gt; SOUS-SEGMENT'!$C$8:$C$1000=$C10)*'ANALYSE - ERP =&gt; SOUS-SEGMENT'!$Q$8:$Q$1000*'ANALYSE - ERP =&gt; SOUS-SEGMENT'!$AG$8:$AG$1000))</f>
        <v>1206</v>
      </c>
      <c r="AH10" s="279">
        <f>IF($C10="","",SUMPRODUCT(('ANALYSE - ERP =&gt; SOUS-SEGMENT'!$C$8:$C$1000=$C10)*'ANALYSE - ERP =&gt; SOUS-SEGMENT'!$Q$8:$Q$1000*'ANALYSE - ERP =&gt; SOUS-SEGMENT'!$AH$8:$AH$1000))</f>
        <v>1221</v>
      </c>
      <c r="AI10" s="279">
        <f>IF($C10="","",SUMPRODUCT(('ANALYSE - ERP =&gt; SOUS-SEGMENT'!$C$8:$C$1000=$C10)*'ANALYSE - ERP =&gt; SOUS-SEGMENT'!$Q$8:$Q$1000*'ANALYSE - ERP =&gt; SOUS-SEGMENT'!$AI$8:$AI$1000))</f>
        <v>1236</v>
      </c>
      <c r="AJ10" s="279">
        <f>IF($C10="","",SUMPRODUCT(('ANALYSE - ERP =&gt; SOUS-SEGMENT'!$C$8:$C$1000=$C10)*'ANALYSE - ERP =&gt; SOUS-SEGMENT'!$Q$8:$Q$1000*'ANALYSE - ERP =&gt; SOUS-SEGMENT'!$AJ$8:$AJ$1000))</f>
        <v>1252</v>
      </c>
      <c r="AK10" s="279">
        <f>IF($C10="","",SUMPRODUCT(('ANALYSE - ERP =&gt; SOUS-SEGMENT'!$C$8:$C$1000=$C10)*'ANALYSE - ERP =&gt; SOUS-SEGMENT'!$Q$8:$Q$1000*'ANALYSE - ERP =&gt; SOUS-SEGMENT'!$AK$8:$AK$1000))</f>
        <v>1268</v>
      </c>
      <c r="AL10" s="646" t="s">
        <v>5350</v>
      </c>
      <c r="AM10" s="646" t="s">
        <v>5351</v>
      </c>
      <c r="AN10" s="646" t="s">
        <v>5352</v>
      </c>
      <c r="AO10" s="657"/>
      <c r="AP10" s="278">
        <f>IF($C10="","",IFERROR(SUMPRODUCT(('ANALYSE - ERP =&gt; SOUS-SEGMENT'!$C$8:$C$1000=$C10)*'ANALYSE - ERP =&gt; SOUS-SEGMENT'!$Q$8:$Q$1000*'ANALYSE - ERP =&gt; SOUS-SEGMENT'!$AF$8:$AF$1000*'ANALYSE - ERP =&gt; SOUS-SEGMENT'!$AP$8:$AP$1000)/SUMPRODUCT(('ANALYSE - ERP =&gt; SOUS-SEGMENT'!$C$8:$C$1000=$C10)*'ANALYSE - ERP =&gt; SOUS-SEGMENT'!$Q$8:$Q$1000*'ANALYSE - ERP =&gt; SOUS-SEGMENT'!$AF$8:$AF$1000),""))</f>
        <v>884.31932773109247</v>
      </c>
      <c r="AQ10" s="278">
        <f>IF($C10="","",IFERROR(SUMPRODUCT(('ANALYSE - ERP =&gt; SOUS-SEGMENT'!$C$8:$C$1000=$C10)*'ANALYSE - ERP =&gt; SOUS-SEGMENT'!$Q$8:$Q$1000*'ANALYSE - ERP =&gt; SOUS-SEGMENT'!$AF$8:$AF$1000*'ANALYSE - ERP =&gt; SOUS-SEGMENT'!$AQ$8:$AQ$1000)/SUMPRODUCT(('ANALYSE - ERP =&gt; SOUS-SEGMENT'!$C$8:$C$1000=$C10)*'ANALYSE - ERP =&gt; SOUS-SEGMENT'!$Q$8:$Q$1000*'ANALYSE - ERP =&gt; SOUS-SEGMENT'!$AF$8:$AF$1000),""))</f>
        <v>766.03865546218492</v>
      </c>
      <c r="AR10" s="278">
        <f>IF($C10="","",IFERROR(SUMPRODUCT(('ANALYSE - ERP =&gt; SOUS-SEGMENT'!$C$8:$C$1000=$C10)*'ANALYSE - ERP =&gt; SOUS-SEGMENT'!$Q$8:$Q$1000*'ANALYSE - ERP =&gt; SOUS-SEGMENT'!$AF$8:$AF$1000*'ANALYSE - ERP =&gt; SOUS-SEGMENT'!$AR$8:$AR$1000)/SUMPRODUCT(('ANALYSE - ERP =&gt; SOUS-SEGMENT'!$C$8:$C$1000=$C10)*'ANALYSE - ERP =&gt; SOUS-SEGMENT'!$Q$8:$Q$1000*'ANALYSE - ERP =&gt; SOUS-SEGMENT'!$AF$8:$AF$1000),""))</f>
        <v>85.363025210084032</v>
      </c>
      <c r="AS10" s="278">
        <f>IF($C10="","",IFERROR(SUMPRODUCT(('ANALYSE - ERP =&gt; SOUS-SEGMENT'!$C$8:$C$1000=$C10)*'ANALYSE - ERP =&gt; SOUS-SEGMENT'!$Q$8:$Q$1000*'ANALYSE - ERP =&gt; SOUS-SEGMENT'!$AF$8:$AF$1000*'ANALYSE - ERP =&gt; SOUS-SEGMENT'!$AS$8:$AS$1000)/SUMPRODUCT(('ANALYSE - ERP =&gt; SOUS-SEGMENT'!$C$8:$C$1000=$C10)*'ANALYSE - ERP =&gt; SOUS-SEGMENT'!$Q$8:$Q$1000*'ANALYSE - ERP =&gt; SOUS-SEGMENT'!$AF$8:$AF$1000),""))</f>
        <v>32.917647058823526</v>
      </c>
      <c r="AT10" s="657"/>
      <c r="AU10" s="646" t="s">
        <v>5353</v>
      </c>
      <c r="AV10" s="646" t="s">
        <v>5354</v>
      </c>
      <c r="AW10" s="646" t="s">
        <v>5355</v>
      </c>
      <c r="AX10" s="646" t="s">
        <v>2687</v>
      </c>
      <c r="AY10" s="657"/>
      <c r="AZ10" s="947">
        <f>IF($C10="","",IFERROR(SUMPRODUCT(('ANALYSE - ERP =&gt; SOUS-SEGMENT'!$C$8:$C$1000=$C10)*'ANALYSE - ERP =&gt; SOUS-SEGMENT'!$Q$8:$Q$1000*'ANALYSE - ERP =&gt; SOUS-SEGMENT'!$AF$8:$AF$1000*'ANALYSE - ERP =&gt; SOUS-SEGMENT'!$AZ$8:$AZ$1000)/SUMPRODUCT(('ANALYSE - ERP =&gt; SOUS-SEGMENT'!$C$8:$C$1000=$C10)*'ANALYSE - ERP =&gt; SOUS-SEGMENT'!$Q$8:$Q$1000*'ANALYSE - ERP =&gt; SOUS-SEGMENT'!$AF$8:$AF$1000),""))</f>
        <v>37.208403361344537</v>
      </c>
      <c r="BA10" s="947">
        <f>IF($C10="","",IFERROR(SUMPRODUCT(('ANALYSE - ERP =&gt; SOUS-SEGMENT'!$C$8:$C$1000=$C10)*'ANALYSE - ERP =&gt; SOUS-SEGMENT'!$Q$8:$Q$1000*'ANALYSE - ERP =&gt; SOUS-SEGMENT'!$AF$8:$AF$1000*'ANALYSE - ERP =&gt; SOUS-SEGMENT'!$BA$8:$BA$1000)/SUMPRODUCT(('ANALYSE - ERP =&gt; SOUS-SEGMENT'!$C$8:$C$1000=$C10)*'ANALYSE - ERP =&gt; SOUS-SEGMENT'!$Q$8:$Q$1000*'ANALYSE - ERP =&gt; SOUS-SEGMENT'!$AF$8:$AF$1000),""))</f>
        <v>13.735294117647058</v>
      </c>
      <c r="BB10" s="947">
        <f>IF($C10="","",IFERROR(SUMPRODUCT(('ANALYSE - ERP =&gt; SOUS-SEGMENT'!$C$8:$C$1000=$C10)*'ANALYSE - ERP =&gt; SOUS-SEGMENT'!$Q$8:$Q$1000*'ANALYSE - ERP =&gt; SOUS-SEGMENT'!$AF$8:$AF$1000*'ANALYSE - ERP =&gt; SOUS-SEGMENT'!$BB$8:$BB$1000)/SUMPRODUCT(('ANALYSE - ERP =&gt; SOUS-SEGMENT'!$C$8:$C$1000=$C10)*'ANALYSE - ERP =&gt; SOUS-SEGMENT'!$Q$8:$Q$1000*'ANALYSE - ERP =&gt; SOUS-SEGMENT'!$AF$8:$AF$1000),""))</f>
        <v>8.6235294117647054</v>
      </c>
      <c r="BC10" s="947">
        <f>IF($C10="","",IFERROR(SUMPRODUCT(('ANALYSE - ERP =&gt; SOUS-SEGMENT'!$C$8:$C$1000=$C10)*'ANALYSE - ERP =&gt; SOUS-SEGMENT'!$Q$8:$Q$1000*'ANALYSE - ERP =&gt; SOUS-SEGMENT'!$AF$8:$AF$1000*'ANALYSE - ERP =&gt; SOUS-SEGMENT'!$BC$8:$BC$1000)/SUMPRODUCT(('ANALYSE - ERP =&gt; SOUS-SEGMENT'!$C$8:$C$1000=$C10)*'ANALYSE - ERP =&gt; SOUS-SEGMENT'!$Q$8:$Q$1000*'ANALYSE - ERP =&gt; SOUS-SEGMENT'!$AF$8:$AF$1000),""))</f>
        <v>25.116806722689077</v>
      </c>
      <c r="BD10" s="824">
        <f t="shared" si="1"/>
        <v>100774</v>
      </c>
      <c r="BE10" s="283">
        <f>IF($C10="","",SUMPRODUCT(('ANALYSE - ERP =&gt; SOUS-SEGMENT'!$C$8:$C$1000=$C10)*'ANALYSE - ERP =&gt; SOUS-SEGMENT'!$Q$8:$Q$1000*'ANALYSE - ERP =&gt; SOUS-SEGMENT'!$BE$8:$BE$1000))</f>
        <v>44278</v>
      </c>
      <c r="BF10" s="283">
        <f>IF($C10="","",SUMPRODUCT(('ANALYSE - ERP =&gt; SOUS-SEGMENT'!$C$8:$C$1000=$C10)*'ANALYSE - ERP =&gt; SOUS-SEGMENT'!$Q$8:$Q$1000*'ANALYSE - ERP =&gt; SOUS-SEGMENT'!$BF$8:$BF$1000))</f>
        <v>16345</v>
      </c>
      <c r="BG10" s="283">
        <f>IF($C10="","",SUMPRODUCT(('ANALYSE - ERP =&gt; SOUS-SEGMENT'!$C$8:$C$1000=$C10)*'ANALYSE - ERP =&gt; SOUS-SEGMENT'!$Q$8:$Q$1000*'ANALYSE - ERP =&gt; SOUS-SEGMENT'!$BG$8:$BG$1000))</f>
        <v>10262</v>
      </c>
      <c r="BH10" s="283">
        <f>IF($C10="","",SUMPRODUCT(('ANALYSE - ERP =&gt; SOUS-SEGMENT'!$C$8:$C$1000=$C10)*'ANALYSE - ERP =&gt; SOUS-SEGMENT'!$Q$8:$Q$1000*'ANALYSE - ERP =&gt; SOUS-SEGMENT'!$BH$8:$BH$1000))</f>
        <v>29889</v>
      </c>
      <c r="BI10" s="824">
        <f t="shared" si="2"/>
        <v>103344</v>
      </c>
      <c r="BJ10" s="283">
        <f>IF($C10="","",SUMPRODUCT(('ANALYSE - ERP =&gt; SOUS-SEGMENT'!$C$8:$C$1000=$C10)*'ANALYSE - ERP =&gt; SOUS-SEGMENT'!$Q$8:$Q$1000*'ANALYSE - ERP =&gt; SOUS-SEGMENT'!$BJ$8:$BJ$1000))</f>
        <v>44964</v>
      </c>
      <c r="BK10" s="283">
        <f>IF($C10="","",SUMPRODUCT(('ANALYSE - ERP =&gt; SOUS-SEGMENT'!$C$8:$C$1000=$C10)*'ANALYSE - ERP =&gt; SOUS-SEGMENT'!$Q$8:$Q$1000*'ANALYSE - ERP =&gt; SOUS-SEGMENT'!$BK$8:$BK$1000))</f>
        <v>17548</v>
      </c>
      <c r="BL10" s="283">
        <f>IF($C10="","",SUMPRODUCT(('ANALYSE - ERP =&gt; SOUS-SEGMENT'!$C$8:$C$1000=$C10)*'ANALYSE - ERP =&gt; SOUS-SEGMENT'!$Q$8:$Q$1000*'ANALYSE - ERP =&gt; SOUS-SEGMENT'!$BL$8:$BL$1000))</f>
        <v>10330</v>
      </c>
      <c r="BM10" s="283">
        <f>IF($C10="","",SUMPRODUCT(('ANALYSE - ERP =&gt; SOUS-SEGMENT'!$C$8:$C$1000=$C10)*'ANALYSE - ERP =&gt; SOUS-SEGMENT'!$Q$8:$Q$1000*'ANALYSE - ERP =&gt; SOUS-SEGMENT'!$BM$8:$BM$1000))</f>
        <v>30502</v>
      </c>
      <c r="BN10" s="657"/>
      <c r="BO10" s="305">
        <f t="shared" si="3"/>
        <v>0.27258141740819369</v>
      </c>
      <c r="BP10" s="305">
        <f t="shared" si="4"/>
        <v>0.50051266994895882</v>
      </c>
      <c r="BQ10" s="305">
        <f t="shared" si="5"/>
        <v>0.16700844663263925</v>
      </c>
      <c r="BR10" s="581">
        <f t="shared" si="6"/>
        <v>5.989746601020824E-2</v>
      </c>
      <c r="BS10" s="706">
        <f t="shared" si="7"/>
        <v>0.25703229250066723</v>
      </c>
      <c r="BT10" s="305">
        <f t="shared" si="8"/>
        <v>0.49747798238590879</v>
      </c>
      <c r="BU10" s="305">
        <f t="shared" si="9"/>
        <v>0.1949853215906058</v>
      </c>
      <c r="BV10" s="581">
        <f t="shared" si="10"/>
        <v>5.0504403522818257E-2</v>
      </c>
      <c r="BW10" s="713">
        <f t="shared" si="11"/>
        <v>0.53487610890180493</v>
      </c>
      <c r="BX10" s="306">
        <f t="shared" si="12"/>
        <v>0.36512389109819515</v>
      </c>
      <c r="BY10" s="590">
        <f t="shared" si="13"/>
        <v>0.10000000000000002</v>
      </c>
      <c r="BZ10" s="713">
        <f t="shared" si="14"/>
        <v>0.48598130841121495</v>
      </c>
      <c r="CA10" s="306">
        <f t="shared" si="15"/>
        <v>0.38401869158878504</v>
      </c>
      <c r="CB10" s="590">
        <f t="shared" si="16"/>
        <v>0.12999999999999998</v>
      </c>
      <c r="CC10" s="706">
        <f t="shared" si="17"/>
        <v>9.0676281426622485E-2</v>
      </c>
      <c r="CD10" s="305">
        <f t="shared" si="18"/>
        <v>0.45000000000000007</v>
      </c>
      <c r="CE10" s="305">
        <f t="shared" si="19"/>
        <v>0.21530208536347689</v>
      </c>
      <c r="CF10" s="581">
        <f t="shared" si="20"/>
        <v>0.24402163320990061</v>
      </c>
      <c r="CG10" s="706">
        <f t="shared" si="21"/>
        <v>7.1430784123910934E-2</v>
      </c>
      <c r="CH10" s="305">
        <f t="shared" si="22"/>
        <v>0.45</v>
      </c>
      <c r="CI10" s="305">
        <f t="shared" si="23"/>
        <v>0.24284995159728948</v>
      </c>
      <c r="CJ10" s="581">
        <f t="shared" si="24"/>
        <v>0.23571926427879961</v>
      </c>
      <c r="CK10" s="719">
        <f t="shared" si="25"/>
        <v>0.44927565325035967</v>
      </c>
      <c r="CL10" s="307">
        <f t="shared" si="26"/>
        <v>0.44043460804978418</v>
      </c>
      <c r="CM10" s="723">
        <f t="shared" si="27"/>
        <v>0.11028973869985613</v>
      </c>
      <c r="CN10" s="719">
        <f t="shared" si="28"/>
        <v>0.37581470067536554</v>
      </c>
      <c r="CO10" s="307">
        <f t="shared" si="29"/>
        <v>0.44967411972985377</v>
      </c>
      <c r="CP10" s="723">
        <f t="shared" si="30"/>
        <v>0.17451117959478069</v>
      </c>
      <c r="CQ10" s="657"/>
      <c r="CR10" s="804">
        <f>IF($C10="","",IFERROR(SUMPRODUCT(('ANALYSE - ERP =&gt; SOUS-SEGMENT'!$C$8:$C$1000=$C10)*'ANALYSE - ERP =&gt; SOUS-SEGMENT'!$Q$8:$Q$1000*'ANALYSE - ERP =&gt; SOUS-SEGMENT'!$DH$8:$DH$1000*'ANALYSE - ERP =&gt; SOUS-SEGMENT'!$CR$8:$CR$1000)/SUMPRODUCT(('ANALYSE - ERP =&gt; SOUS-SEGMENT'!$C$8:$C$1000=$C10)*'ANALYSE - ERP =&gt; SOUS-SEGMENT'!$Q$8:$Q$1000*'ANALYSE - ERP =&gt; SOUS-SEGMENT'!$DH$8:$DH$1000),""))</f>
        <v>13.508341784485671</v>
      </c>
      <c r="CS10" s="805">
        <f>IF($C10="","",IFERROR(SUMPRODUCT(('ANALYSE - ERP =&gt; SOUS-SEGMENT'!$C$8:$C$1000=$C10)*'ANALYSE - ERP =&gt; SOUS-SEGMENT'!$Q$8:$Q$1000*'ANALYSE - ERP =&gt; SOUS-SEGMENT'!$DI$8:$DI$1000*'ANALYSE - ERP =&gt; SOUS-SEGMENT'!$CS$8:$CS$1000)/SUMPRODUCT(('ANALYSE - ERP =&gt; SOUS-SEGMENT'!$C$8:$C$1000=$C10)*'ANALYSE - ERP =&gt; SOUS-SEGMENT'!$Q$8:$Q$1000*'ANALYSE - ERP =&gt; SOUS-SEGMENT'!$DI$8:$DI$1000),""))</f>
        <v>13.736337916315083</v>
      </c>
      <c r="CT10" s="805">
        <f>IF($C10="","",IFERROR(SUMPRODUCT(('ANALYSE - ERP =&gt; SOUS-SEGMENT'!$C$8:$C$1000=$C10)*'ANALYSE - ERP =&gt; SOUS-SEGMENT'!$Q$8:$Q$1000*'ANALYSE - ERP =&gt; SOUS-SEGMENT'!$DJ$8:$DJ$1000*'ANALYSE - ERP =&gt; SOUS-SEGMENT'!$CT$8:$CT$1000)/SUMPRODUCT(('ANALYSE - ERP =&gt; SOUS-SEGMENT'!$C$8:$C$1000=$C10)*'ANALYSE - ERP =&gt; SOUS-SEGMENT'!$Q$8:$Q$1000*'ANALYSE - ERP =&gt; SOUS-SEGMENT'!$DJ$8:$DJ$1000),""))</f>
        <v>10</v>
      </c>
      <c r="CU10" s="806">
        <f>IF($C10="","",IFERROR(SUMPRODUCT(('ANALYSE - ERP =&gt; SOUS-SEGMENT'!$C$8:$C$1000=$C10)*'ANALYSE - ERP =&gt; SOUS-SEGMENT'!$Q$8:$Q$1000*'ANALYSE - ERP =&gt; SOUS-SEGMENT'!$DK$8:$DK$1000*'ANALYSE - ERP =&gt; SOUS-SEGMENT'!$CU$8:$CU$1000)/SUMPRODUCT(('ANALYSE - ERP =&gt; SOUS-SEGMENT'!$C$8:$C$1000=$C10)*'ANALYSE - ERP =&gt; SOUS-SEGMENT'!$Q$8:$Q$1000*'ANALYSE - ERP =&gt; SOUS-SEGMENT'!$DK$8:$DK$1000),""))</f>
        <v>11.999999999999998</v>
      </c>
      <c r="CV10" s="804">
        <f>IF($C10="","",IFERROR(SUMPRODUCT(('ANALYSE - ERP =&gt; SOUS-SEGMENT'!$C$8:$C$1000=$C10)*'ANALYSE - ERP =&gt; SOUS-SEGMENT'!$Q$8:$Q$1000*'ANALYSE - ERP =&gt; SOUS-SEGMENT'!$DS$8:$DS$1000*'ANALYSE - ERP =&gt; SOUS-SEGMENT'!$CV$8:$CV$1000)/SUMPRODUCT(('ANALYSE - ERP =&gt; SOUS-SEGMENT'!$C$8:$C$1000=$C10)*'ANALYSE - ERP =&gt; SOUS-SEGMENT'!$Q$8:$Q$1000*'ANALYSE - ERP =&gt; SOUS-SEGMENT'!$DS$8:$DS$1000),""))</f>
        <v>13</v>
      </c>
      <c r="CW10" s="805">
        <f>IF($C10="","",IFERROR(SUMPRODUCT(('ANALYSE - ERP =&gt; SOUS-SEGMENT'!$C$8:$C$1000=$C10)*'ANALYSE - ERP =&gt; SOUS-SEGMENT'!$Q$8:$Q$1000*'ANALYSE - ERP =&gt; SOUS-SEGMENT'!$DT$8:$DT$1000*'ANALYSE - ERP =&gt; SOUS-SEGMENT'!$CW$8:$CW$1000)/SUMPRODUCT(('ANALYSE - ERP =&gt; SOUS-SEGMENT'!$C$8:$C$1000=$C10)*'ANALYSE - ERP =&gt; SOUS-SEGMENT'!$Q$8:$Q$1000*'ANALYSE - ERP =&gt; SOUS-SEGMENT'!$DT$8:$DT$1000),""))</f>
        <v>12</v>
      </c>
      <c r="CX10" s="806">
        <f>IF($C10="","",IFERROR(SUMPRODUCT(('ANALYSE - ERP =&gt; SOUS-SEGMENT'!$C$8:$C$1000=$C10)*'ANALYSE - ERP =&gt; SOUS-SEGMENT'!$Q$8:$Q$1000*'ANALYSE - ERP =&gt; SOUS-SEGMENT'!$DU$8:$DU$1000*'ANALYSE - ERP =&gt; SOUS-SEGMENT'!$CX$8:$CX$1000)/SUMPRODUCT(('ANALYSE - ERP =&gt; SOUS-SEGMENT'!$C$8:$C$1000=$C10)*'ANALYSE - ERP =&gt; SOUS-SEGMENT'!$Q$8:$Q$1000*'ANALYSE - ERP =&gt; SOUS-SEGMENT'!$DU$8:$DU$1000),""))</f>
        <v>9</v>
      </c>
      <c r="CY10" s="804">
        <f>IF($C10="","",IFERROR(SUMPRODUCT(('ANALYSE - ERP =&gt; SOUS-SEGMENT'!$C$8:$C$1000=$C10)*'ANALYSE - ERP =&gt; SOUS-SEGMENT'!$Q$8:$Q$1000*'ANALYSE - ERP =&gt; SOUS-SEGMENT'!$EB$8:$EB$1000*'ANALYSE - ERP =&gt; SOUS-SEGMENT'!$CY$8:$CY$1000)/SUMPRODUCT(('ANALYSE - ERP =&gt; SOUS-SEGMENT'!$C$8:$C$1000=$C10)*'ANALYSE - ERP =&gt; SOUS-SEGMENT'!$Q$8:$Q$1000*'ANALYSE - ERP =&gt; SOUS-SEGMENT'!$EB$8:$EB$1000),""))</f>
        <v>11.353221854446975</v>
      </c>
      <c r="CZ10" s="805">
        <f>IF($C10="","",IFERROR(SUMPRODUCT(('ANALYSE - ERP =&gt; SOUS-SEGMENT'!$C$8:$C$1000=$C10)*'ANALYSE - ERP =&gt; SOUS-SEGMENT'!$Q$8:$Q$1000*'ANALYSE - ERP =&gt; SOUS-SEGMENT'!$EC$8:$EC$1000*'ANALYSE - ERP =&gt; SOUS-SEGMENT'!$CZ$8:$CZ$1000)/SUMPRODUCT(('ANALYSE - ERP =&gt; SOUS-SEGMENT'!$C$8:$C$1000=$C10)*'ANALYSE - ERP =&gt; SOUS-SEGMENT'!$Q$8:$Q$1000*'ANALYSE - ERP =&gt; SOUS-SEGMENT'!$EC$8:$EC$1000),""))</f>
        <v>13.733092964334437</v>
      </c>
      <c r="DA10" s="805">
        <f>IF($C10="","",IFERROR(SUMPRODUCT(('ANALYSE - ERP =&gt; SOUS-SEGMENT'!$C$8:$C$1000=$C10)*'ANALYSE - ERP =&gt; SOUS-SEGMENT'!$Q$8:$Q$1000*'ANALYSE - ERP =&gt; SOUS-SEGMENT'!$ED$8:$ED$1000*'ANALYSE - ERP =&gt; SOUS-SEGMENT'!$DA$8:$DA$1000)/SUMPRODUCT(('ANALYSE - ERP =&gt; SOUS-SEGMENT'!$C$8:$C$1000=$C10)*'ANALYSE - ERP =&gt; SOUS-SEGMENT'!$Q$8:$Q$1000*'ANALYSE - ERP =&gt; SOUS-SEGMENT'!$ED$8:$ED$1000),""))</f>
        <v>9.8512376495295175</v>
      </c>
      <c r="DB10" s="806">
        <f>IF($C10="","",IFERROR(SUMPRODUCT(('ANALYSE - ERP =&gt; SOUS-SEGMENT'!$C$8:$C$1000=$C10)*'ANALYSE - ERP =&gt; SOUS-SEGMENT'!$Q$8:$Q$1000*'ANALYSE - ERP =&gt; SOUS-SEGMENT'!$EE$8:$EE$1000*'ANALYSE - ERP =&gt; SOUS-SEGMENT'!$DB$8:$DB$1000)/SUMPRODUCT(('ANALYSE - ERP =&gt; SOUS-SEGMENT'!$C$8:$C$1000=$C10)*'ANALYSE - ERP =&gt; SOUS-SEGMENT'!$Q$8:$Q$1000*'ANALYSE - ERP =&gt; SOUS-SEGMENT'!$EE$8:$EE$1000),""))</f>
        <v>11.660926861410058</v>
      </c>
      <c r="DC10" s="804">
        <f>IF($C10="","",IFERROR(SUMPRODUCT(('ANALYSE - ERP =&gt; SOUS-SEGMENT'!$C$8:$C$1000=$C10)*'ANALYSE - ERP =&gt; SOUS-SEGMENT'!$Q$8:$Q$1000*'ANALYSE - ERP =&gt; SOUS-SEGMENT'!$EM$8:$EM$1000*'ANALYSE - ERP =&gt; SOUS-SEGMENT'!$DC$8:$DC$1000)/SUMPRODUCT(('ANALYSE - ERP =&gt; SOUS-SEGMENT'!$C$8:$C$1000=$C10)*'ANALYSE - ERP =&gt; SOUS-SEGMENT'!$Q$8:$Q$1000*'ANALYSE - ERP =&gt; SOUS-SEGMENT'!$EM$8:$EM$1000),""))</f>
        <v>13.060647582735097</v>
      </c>
      <c r="DD10" s="805">
        <f>IF($C10="","",IFERROR(SUMPRODUCT(('ANALYSE - ERP =&gt; SOUS-SEGMENT'!$C$8:$C$1000=$C10)*'ANALYSE - ERP =&gt; SOUS-SEGMENT'!$Q$8:$Q$1000*'ANALYSE - ERP =&gt; SOUS-SEGMENT'!$EN$8:$EN$1000*'ANALYSE - ERP =&gt; SOUS-SEGMENT'!$DD$8:$DD$1000)/SUMPRODUCT(('ANALYSE - ERP =&gt; SOUS-SEGMENT'!$C$8:$C$1000=$C10)*'ANALYSE - ERP =&gt; SOUS-SEGMENT'!$Q$8:$Q$1000*'ANALYSE - ERP =&gt; SOUS-SEGMENT'!$EN$8:$EN$1000),""))</f>
        <v>13.684434619781758</v>
      </c>
      <c r="DE10" s="806">
        <f>IF($C10="","",IFERROR(SUMPRODUCT(('ANALYSE - ERP =&gt; SOUS-SEGMENT'!$C$8:$C$1000=$C10)*'ANALYSE - ERP =&gt; SOUS-SEGMENT'!$Q$8:$Q$1000*'ANALYSE - ERP =&gt; SOUS-SEGMENT'!$EO$8:$EO$1000*'ANALYSE - ERP =&gt; SOUS-SEGMENT'!$DE$8:$DE$1000)/SUMPRODUCT(('ANALYSE - ERP =&gt; SOUS-SEGMENT'!$C$8:$C$1000=$C10)*'ANALYSE - ERP =&gt; SOUS-SEGMENT'!$Q$8:$Q$1000*'ANALYSE - ERP =&gt; SOUS-SEGMENT'!$EO$8:$EO$1000),""))</f>
        <v>10.81997300125893</v>
      </c>
      <c r="DF10" s="919" t="s">
        <v>5356</v>
      </c>
      <c r="DG10" s="657"/>
      <c r="DH10" s="308">
        <f>IF($C10="","",SUMPRODUCT(('ANALYSE - ERP =&gt; SOUS-SEGMENT'!$C$8:$C$1000=$C10)*'ANALYSE - ERP =&gt; SOUS-SEGMENT'!$Q$8:$Q$1000*'ANALYSE - ERP =&gt; SOUS-SEGMENT'!$DH$8:$DH$1000))</f>
        <v>12069.36</v>
      </c>
      <c r="DI10" s="308">
        <f>IF($C10="","",SUMPRODUCT(('ANALYSE - ERP =&gt; SOUS-SEGMENT'!$C$8:$C$1000=$C10)*'ANALYSE - ERP =&gt; SOUS-SEGMENT'!$Q$8:$Q$1000*'ANALYSE - ERP =&gt; SOUS-SEGMENT'!$DI$8:$DI$1000))</f>
        <v>22161.7</v>
      </c>
      <c r="DJ10" s="308">
        <f>IF($C10="","",SUMPRODUCT(('ANALYSE - ERP =&gt; SOUS-SEGMENT'!$C$8:$C$1000=$C10)*'ANALYSE - ERP =&gt; SOUS-SEGMENT'!$Q$8:$Q$1000*'ANALYSE - ERP =&gt; SOUS-SEGMENT'!$DJ$8:$DJ$1000))</f>
        <v>7394.8</v>
      </c>
      <c r="DK10" s="308">
        <f>IF($C10="","",SUMPRODUCT(('ANALYSE - ERP =&gt; SOUS-SEGMENT'!$C$8:$C$1000=$C10)*'ANALYSE - ERP =&gt; SOUS-SEGMENT'!$Q$8:$Q$1000*'ANALYSE - ERP =&gt; SOUS-SEGMENT'!$DK$8:$DK$1000))</f>
        <v>2652.1400000000003</v>
      </c>
      <c r="DL10" s="646" t="s">
        <v>5357</v>
      </c>
      <c r="DM10" s="308">
        <f>IF($C10="","",SUMPRODUCT(('ANALYSE - ERP =&gt; SOUS-SEGMENT'!$C$8:$C$1000=$C10)*'ANALYSE - ERP =&gt; SOUS-SEGMENT'!$Q$8:$Q$1000*'ANALYSE - ERP =&gt; SOUS-SEGMENT'!$DM$8:$DM$1000))</f>
        <v>11557.2</v>
      </c>
      <c r="DN10" s="308">
        <f>IF($C10="","",SUMPRODUCT(('ANALYSE - ERP =&gt; SOUS-SEGMENT'!$C$8:$C$1000=$C10)*'ANALYSE - ERP =&gt; SOUS-SEGMENT'!$Q$8:$Q$1000*'ANALYSE - ERP =&gt; SOUS-SEGMENT'!$DN$8:$DN$1000))</f>
        <v>22368.600000000002</v>
      </c>
      <c r="DO10" s="308">
        <f>IF($C10="","",SUMPRODUCT(('ANALYSE - ERP =&gt; SOUS-SEGMENT'!$C$8:$C$1000=$C10)*'ANALYSE - ERP =&gt; SOUS-SEGMENT'!$Q$8:$Q$1000*'ANALYSE - ERP =&gt; SOUS-SEGMENT'!$DO$8:$DO$1000))</f>
        <v>8767.32</v>
      </c>
      <c r="DP10" s="308">
        <f>IF($C10="","",SUMPRODUCT(('ANALYSE - ERP =&gt; SOUS-SEGMENT'!$C$8:$C$1000=$C10)*'ANALYSE - ERP =&gt; SOUS-SEGMENT'!$Q$8:$Q$1000*'ANALYSE - ERP =&gt; SOUS-SEGMENT'!$DP$8:$DP$1000))</f>
        <v>2270.88</v>
      </c>
      <c r="DQ10" s="646" t="s">
        <v>5358</v>
      </c>
      <c r="DR10" s="657"/>
      <c r="DS10" s="308">
        <f>IF($C10="","",SUMPRODUCT(('ANALYSE - ERP =&gt; SOUS-SEGMENT'!$C$8:$C$1000=$C10)*'ANALYSE - ERP =&gt; SOUS-SEGMENT'!$Q$8:$Q$1000*'ANALYSE - ERP =&gt; SOUS-SEGMENT'!$DS$8:$DS$1000))</f>
        <v>8742.5500000000011</v>
      </c>
      <c r="DT10" s="308">
        <f>IF($C10="","",SUMPRODUCT(('ANALYSE - ERP =&gt; SOUS-SEGMENT'!$C$8:$C$1000=$C10)*'ANALYSE - ERP =&gt; SOUS-SEGMENT'!$Q$8:$Q$1000*'ANALYSE - ERP =&gt; SOUS-SEGMENT'!$DT$8:$DT$1000))</f>
        <v>5967.95</v>
      </c>
      <c r="DU10" s="308">
        <f>IF($C10="","",SUMPRODUCT(('ANALYSE - ERP =&gt; SOUS-SEGMENT'!$C$8:$C$1000=$C10)*'ANALYSE - ERP =&gt; SOUS-SEGMENT'!$Q$8:$Q$1000*'ANALYSE - ERP =&gt; SOUS-SEGMENT'!$DU$8:$DU$1000))</f>
        <v>1634.5000000000002</v>
      </c>
      <c r="DV10" s="646" t="s">
        <v>5359</v>
      </c>
      <c r="DW10" s="308">
        <f>IF($C10="","",SUMPRODUCT(('ANALYSE - ERP =&gt; SOUS-SEGMENT'!$C$8:$C$1000=$C10)*'ANALYSE - ERP =&gt; SOUS-SEGMENT'!$Q$8:$Q$1000*'ANALYSE - ERP =&gt; SOUS-SEGMENT'!$DW$8:$DW$1000))</f>
        <v>8528</v>
      </c>
      <c r="DX10" s="308">
        <f>IF($C10="","",SUMPRODUCT(('ANALYSE - ERP =&gt; SOUS-SEGMENT'!$C$8:$C$1000=$C10)*'ANALYSE - ERP =&gt; SOUS-SEGMENT'!$Q$8:$Q$1000*'ANALYSE - ERP =&gt; SOUS-SEGMENT'!$DX$8:$DX$1000))</f>
        <v>6738.76</v>
      </c>
      <c r="DY10" s="308">
        <f>IF($C10="","",SUMPRODUCT(('ANALYSE - ERP =&gt; SOUS-SEGMENT'!$C$8:$C$1000=$C10)*'ANALYSE - ERP =&gt; SOUS-SEGMENT'!$Q$8:$Q$1000*'ANALYSE - ERP =&gt; SOUS-SEGMENT'!$DY$8:$DY$1000))</f>
        <v>2281.2399999999998</v>
      </c>
      <c r="DZ10" s="646" t="s">
        <v>5360</v>
      </c>
      <c r="EA10" s="657"/>
      <c r="EB10" s="308">
        <f>IF($C10="","",SUMPRODUCT(('ANALYSE - ERP =&gt; SOUS-SEGMENT'!$C$8:$C$1000=$C10)*'ANALYSE - ERP =&gt; SOUS-SEGMENT'!$Q$8:$Q$1000*'ANALYSE - ERP =&gt; SOUS-SEGMENT'!$EB$8:$EB$1000))</f>
        <v>930.52</v>
      </c>
      <c r="EC10" s="308">
        <f>IF($C10="","",SUMPRODUCT(('ANALYSE - ERP =&gt; SOUS-SEGMENT'!$C$8:$C$1000=$C10)*'ANALYSE - ERP =&gt; SOUS-SEGMENT'!$Q$8:$Q$1000*'ANALYSE - ERP =&gt; SOUS-SEGMENT'!$EC$8:$EC$1000))</f>
        <v>4617.9000000000005</v>
      </c>
      <c r="ED10" s="308">
        <f>IF($C10="","",SUMPRODUCT(('ANALYSE - ERP =&gt; SOUS-SEGMENT'!$C$8:$C$1000=$C10)*'ANALYSE - ERP =&gt; SOUS-SEGMENT'!$Q$8:$Q$1000*'ANALYSE - ERP =&gt; SOUS-SEGMENT'!$ED$8:$ED$1000))</f>
        <v>2209.4299999999998</v>
      </c>
      <c r="EE10" s="308">
        <f>IF($C10="","",SUMPRODUCT(('ANALYSE - ERP =&gt; SOUS-SEGMENT'!$C$8:$C$1000=$C10)*'ANALYSE - ERP =&gt; SOUS-SEGMENT'!$Q$8:$Q$1000*'ANALYSE - ERP =&gt; SOUS-SEGMENT'!$EE$8:$EE$1000))</f>
        <v>2504.15</v>
      </c>
      <c r="EF10" s="646" t="s">
        <v>5361</v>
      </c>
      <c r="EG10" s="308">
        <f>IF($C10="","",SUMPRODUCT(('ANALYSE - ERP =&gt; SOUS-SEGMENT'!$C$8:$C$1000=$C10)*'ANALYSE - ERP =&gt; SOUS-SEGMENT'!$Q$8:$Q$1000*'ANALYSE - ERP =&gt; SOUS-SEGMENT'!$EG$8:$EG$1000))</f>
        <v>737.87999999999988</v>
      </c>
      <c r="EH10" s="308">
        <f>IF($C10="","",SUMPRODUCT(('ANALYSE - ERP =&gt; SOUS-SEGMENT'!$C$8:$C$1000=$C10)*'ANALYSE - ERP =&gt; SOUS-SEGMENT'!$Q$8:$Q$1000*'ANALYSE - ERP =&gt; SOUS-SEGMENT'!$EH$8:$EH$1000))</f>
        <v>4648.5</v>
      </c>
      <c r="EI10" s="308">
        <f>IF($C10="","",SUMPRODUCT(('ANALYSE - ERP =&gt; SOUS-SEGMENT'!$C$8:$C$1000=$C10)*'ANALYSE - ERP =&gt; SOUS-SEGMENT'!$Q$8:$Q$1000*'ANALYSE - ERP =&gt; SOUS-SEGMENT'!$EI$8:$EI$1000))</f>
        <v>2508.6400000000003</v>
      </c>
      <c r="EJ10" s="308">
        <f>IF($C10="","",SUMPRODUCT(('ANALYSE - ERP =&gt; SOUS-SEGMENT'!$C$8:$C$1000=$C10)*'ANALYSE - ERP =&gt; SOUS-SEGMENT'!$Q$8:$Q$1000*'ANALYSE - ERP =&gt; SOUS-SEGMENT'!$EJ$8:$EJ$1000))</f>
        <v>2434.98</v>
      </c>
      <c r="EK10" s="936" t="s">
        <v>5362</v>
      </c>
      <c r="EL10" s="657"/>
      <c r="EM10" s="308">
        <f>IF($C10="","",SUMPRODUCT(('ANALYSE - ERP =&gt; SOUS-SEGMENT'!$C$8:$C$1000=$C10)*'ANALYSE - ERP =&gt; SOUS-SEGMENT'!$Q$8:$Q$1000*'ANALYSE - ERP =&gt; SOUS-SEGMENT'!$EM$8:$EM$1000))</f>
        <v>13428.4</v>
      </c>
      <c r="EN10" s="310">
        <f>IF($C10="","",SUMPRODUCT(('ANALYSE - ERP =&gt; SOUS-SEGMENT'!$C$8:$C$1000=$C10)*'ANALYSE - ERP =&gt; SOUS-SEGMENT'!$Q$8:$Q$1000*'ANALYSE - ERP =&gt; SOUS-SEGMENT'!$EN$8:$EN$1000))</f>
        <v>13164.15</v>
      </c>
      <c r="EO10" s="310">
        <f>IF($C10="","",SUMPRODUCT(('ANALYSE - ERP =&gt; SOUS-SEGMENT'!$C$8:$C$1000=$C10)*'ANALYSE - ERP =&gt; SOUS-SEGMENT'!$Q$8:$Q$1000*'ANALYSE - ERP =&gt; SOUS-SEGMENT'!$EO$8:$EO$1000))</f>
        <v>3296.45</v>
      </c>
      <c r="EP10" s="646" t="s">
        <v>5363</v>
      </c>
      <c r="EQ10" s="308">
        <f>IF($C10="","",SUMPRODUCT(('ANALYSE - ERP =&gt; SOUS-SEGMENT'!$C$8:$C$1000=$C10)*'ANALYSE - ERP =&gt; SOUS-SEGMENT'!$Q$8:$Q$1000*'ANALYSE - ERP =&gt; SOUS-SEGMENT'!$EQ$8:$EQ$1000))</f>
        <v>11463.1</v>
      </c>
      <c r="ER10" s="310">
        <f>IF($C10="","",SUMPRODUCT(('ANALYSE - ERP =&gt; SOUS-SEGMENT'!$C$8:$C$1000=$C10)*'ANALYSE - ERP =&gt; SOUS-SEGMENT'!$Q$8:$Q$1000*'ANALYSE - ERP =&gt; SOUS-SEGMENT'!$ER$8:$ER$1000))</f>
        <v>13715.96</v>
      </c>
      <c r="ES10" s="310">
        <f>IF($C10="","",SUMPRODUCT(('ANALYSE - ERP =&gt; SOUS-SEGMENT'!$C$8:$C$1000=$C10)*'ANALYSE - ERP =&gt; SOUS-SEGMENT'!$Q$8:$Q$1000*'ANALYSE - ERP =&gt; SOUS-SEGMENT'!$ES$8:$ES$1000))</f>
        <v>5322.9400000000005</v>
      </c>
      <c r="ET10" s="646" t="s">
        <v>5364</v>
      </c>
      <c r="EU10" s="657"/>
      <c r="EV10" s="728">
        <f t="shared" si="31"/>
        <v>0.61820733958476282</v>
      </c>
      <c r="EW10" s="728">
        <f t="shared" si="32"/>
        <v>0.38179266041523724</v>
      </c>
      <c r="EX10" s="311">
        <f t="shared" si="33"/>
        <v>27637.882584027997</v>
      </c>
      <c r="EY10" s="311">
        <f t="shared" si="34"/>
        <v>17085.941864027998</v>
      </c>
      <c r="EZ10" s="311">
        <f t="shared" si="35"/>
        <v>10551.940720000001</v>
      </c>
      <c r="FA10" s="311">
        <f t="shared" si="36"/>
        <v>11976.744171232</v>
      </c>
      <c r="FB10" s="311">
        <f>IF($C10="","",SUMPRODUCT(('ANALYSE - ERP =&gt; SOUS-SEGMENT'!$C$8:$C$1000=$C10)*'ANALYSE - ERP =&gt; SOUS-SEGMENT'!$Q$8:$Q$1000*'ANALYSE - ERP =&gt; SOUS-SEGMENT'!$FB$8:$FB$1000))</f>
        <v>7508.566991232</v>
      </c>
      <c r="FC10" s="311">
        <f>IF($C10="","",SUMPRODUCT(('ANALYSE - ERP =&gt; SOUS-SEGMENT'!$C$8:$C$1000=$C10)*'ANALYSE - ERP =&gt; SOUS-SEGMENT'!$Q$8:$Q$1000*'ANALYSE - ERP =&gt; SOUS-SEGMENT'!$FC$8:$FC$1000))</f>
        <v>4468.1771799999997</v>
      </c>
      <c r="FD10" s="311">
        <f t="shared" si="37"/>
        <v>4771.145229404</v>
      </c>
      <c r="FE10" s="311">
        <f>IF($C10="","",SUMPRODUCT(('ANALYSE - ERP =&gt; SOUS-SEGMENT'!$C$8:$C$1000=$C10)*'ANALYSE - ERP =&gt; SOUS-SEGMENT'!$Q$8:$Q$1000*'ANALYSE - ERP =&gt; SOUS-SEGMENT'!$FE$8:$FE$1000))</f>
        <v>2780.0703194040002</v>
      </c>
      <c r="FF10" s="311">
        <f>IF($C10="","",SUMPRODUCT(('ANALYSE - ERP =&gt; SOUS-SEGMENT'!$C$8:$C$1000=$C10)*'ANALYSE - ERP =&gt; SOUS-SEGMENT'!$Q$8:$Q$1000*'ANALYSE - ERP =&gt; SOUS-SEGMENT'!$FF$8:$FF$1000))</f>
        <v>1991.07491</v>
      </c>
      <c r="FG10" s="311">
        <f t="shared" si="38"/>
        <v>2745.6987317160001</v>
      </c>
      <c r="FH10" s="311">
        <f>IF($C10="","",SUMPRODUCT(('ANALYSE - ERP =&gt; SOUS-SEGMENT'!$C$8:$C$1000=$C10)*'ANALYSE - ERP =&gt; SOUS-SEGMENT'!$Q$8:$Q$1000*'ANALYSE - ERP =&gt; SOUS-SEGMENT'!$FH$8:$FH$1000))</f>
        <v>1734.1410917159999</v>
      </c>
      <c r="FI10" s="311">
        <f>IF($C10="","",SUMPRODUCT(('ANALYSE - ERP =&gt; SOUS-SEGMENT'!$C$8:$C$1000=$C10)*'ANALYSE - ERP =&gt; SOUS-SEGMENT'!$Q$8:$Q$1000*'ANALYSE - ERP =&gt; SOUS-SEGMENT'!$FI$8:$FI$1000))</f>
        <v>1011.5576400000001</v>
      </c>
      <c r="FJ10" s="311">
        <f t="shared" si="39"/>
        <v>8144.2944516759999</v>
      </c>
      <c r="FK10" s="311">
        <f>IF($C10="","",SUMPRODUCT(('ANALYSE - ERP =&gt; SOUS-SEGMENT'!$C$8:$C$1000=$C10)*'ANALYSE - ERP =&gt; SOUS-SEGMENT'!$Q$8:$Q$1000*'ANALYSE - ERP =&gt; SOUS-SEGMENT'!$FK$8:$FK$1000))</f>
        <v>5063.1634616760002</v>
      </c>
      <c r="FL10" s="311">
        <f>IF($C10="","",SUMPRODUCT(('ANALYSE - ERP =&gt; SOUS-SEGMENT'!$C$8:$C$1000=$C10)*'ANALYSE - ERP =&gt; SOUS-SEGMENT'!$Q$8:$Q$1000*'ANALYSE - ERP =&gt; SOUS-SEGMENT'!$FL$8:$FL$1000))</f>
        <v>3081.1309900000001</v>
      </c>
      <c r="FM10" s="657"/>
      <c r="FN10" s="954" t="s">
        <v>2649</v>
      </c>
      <c r="FO10" s="728">
        <f>IF($C10="","",IFERROR(SUMPRODUCT(('ANALYSE - ERP =&gt; SOUS-SEGMENT'!$C$8:$C$1000=$C10)*'ANALYSE - ERP =&gt; SOUS-SEGMENT'!$Q$8:$Q$1000*'ANALYSE - ERP =&gt; SOUS-SEGMENT'!$AF$8:$AF$1000*'ANALYSE - ERP =&gt; SOUS-SEGMENT'!$FO$8:$FO$1000)/SUMPRODUCT(('ANALYSE - ERP =&gt; SOUS-SEGMENT'!$C$8:$C$1000=$C10)*'ANALYSE - ERP =&gt; SOUS-SEGMENT'!$Q$8:$Q$1000*'ANALYSE - ERP =&gt; SOUS-SEGMENT'!$AF$8:$AF$1000),""))</f>
        <v>4.8248806722689074E-2</v>
      </c>
      <c r="FP10" s="729">
        <f>IF($C10="","",IFERROR(SUMPRODUCT(('ANALYSE - ERP =&gt; SOUS-SEGMENT'!$C$8:$C$1000=$C10)*'ANALYSE - ERP =&gt; SOUS-SEGMENT'!$Q$8:$Q$1000*'ANALYSE - ERP =&gt; SOUS-SEGMENT'!$AF$8:$AF$1000*'ANALYSE - ERP =&gt; SOUS-SEGMENT'!$FP$8:$FP$1000)/SUMPRODUCT(('ANALYSE - ERP =&gt; SOUS-SEGMENT'!$C$8:$C$1000=$C10)*'ANALYSE - ERP =&gt; SOUS-SEGMENT'!$Q$8:$Q$1000*'ANALYSE - ERP =&gt; SOUS-SEGMENT'!$AF$8:$AF$1000),""))</f>
        <v>0.85139256302520994</v>
      </c>
      <c r="FQ10" s="954" t="s">
        <v>5365</v>
      </c>
      <c r="FR10" s="657"/>
      <c r="FS10" s="865">
        <f>IF($C10="","",IFERROR(SUMPRODUCT(('ANALYSE - ERP =&gt; SOUS-SEGMENT'!$C$8:$C$1000=$C10)*'ANALYSE - ERP =&gt; SOUS-SEGMENT'!$Q$8:$Q$1000*'ANALYSE - ERP =&gt; SOUS-SEGMENT'!$EX$8:$EX$1000*'ANALYSE - ERP =&gt; SOUS-SEGMENT'!$FS$8:$FS$1000)/SUMPRODUCT(('ANALYSE - ERP =&gt; SOUS-SEGMENT'!$C$8:$C$1000=$C10)*'ANALYSE - ERP =&gt; SOUS-SEGMENT'!$Q$8:$Q$1000*'ANALYSE - ERP =&gt; SOUS-SEGMENT'!$EX$8:$EX$1000),""))</f>
        <v>3.3194198930377254</v>
      </c>
      <c r="FT10" s="312">
        <f>IF($C10="","",RANK($FS10,$FS$8:$FS$43,0)+COUNTIF($FS$8:$FS10,$FS10)-1)</f>
        <v>18</v>
      </c>
      <c r="FU10" s="865">
        <f>IF($C10="","",IFERROR(SUMPRODUCT(('ANALYSE - ERP =&gt; SOUS-SEGMENT'!$C$8:$C$1000=$C10)*'ANALYSE - ERP =&gt; SOUS-SEGMENT'!$Q$8:$Q$1000*'ANALYSE - ERP =&gt; SOUS-SEGMENT'!$EY$8:$EY$1000*'ANALYSE - ERP =&gt; SOUS-SEGMENT'!$FU$8:$FU$1000)/SUMPRODUCT(('ANALYSE - ERP =&gt; SOUS-SEGMENT'!$C$8:$C$1000=$C10)*'ANALYSE - ERP =&gt; SOUS-SEGMENT'!$Q$8:$Q$1000*'ANALYSE - ERP =&gt; SOUS-SEGMENT'!$EY$8:$EY$1000),""))</f>
        <v>3.9167112382357887</v>
      </c>
      <c r="FV10" s="312">
        <f>IF($C10="","",RANK($FU10,$FU$8:$FU$43,0)+COUNTIF($FU$8:$FU10,$FU10)-1)</f>
        <v>24</v>
      </c>
      <c r="FW10" s="865">
        <f>IF($C10="","",IFERROR(SUMPRODUCT(('ANALYSE - ERP =&gt; SOUS-SEGMENT'!$C$8:$C$1000=$C10)*'ANALYSE - ERP =&gt; SOUS-SEGMENT'!$Q$8:$Q$1000*'ANALYSE - ERP =&gt; SOUS-SEGMENT'!$EZ$8:$EZ$1000*'ANALYSE - ERP =&gt; SOUS-SEGMENT'!$FW$8:$FW$1000)/SUMPRODUCT(('ANALYSE - ERP =&gt; SOUS-SEGMENT'!$C$8:$C$1000=$C10)*'ANALYSE - ERP =&gt; SOUS-SEGMENT'!$Q$8:$Q$1000*'ANALYSE - ERP =&gt; SOUS-SEGMENT'!$EZ$8:$EZ$1000),""))</f>
        <v>2.5935229604474124</v>
      </c>
      <c r="FX10" s="312">
        <f>IF($C10="","",RANK($FW10,$FW$8:$FW$43,0)+COUNTIF($FW$8:$FW10,$FW10)-1)</f>
        <v>8</v>
      </c>
      <c r="FY10" s="657"/>
      <c r="FZ10" s="646" t="s">
        <v>5366</v>
      </c>
      <c r="GA10" s="646" t="s">
        <v>5367</v>
      </c>
      <c r="GB10" s="646" t="s">
        <v>5368</v>
      </c>
      <c r="GC10" s="646" t="s">
        <v>5369</v>
      </c>
      <c r="GD10" s="646" t="s">
        <v>5370</v>
      </c>
      <c r="GE10" s="646" t="s">
        <v>5371</v>
      </c>
      <c r="GF10" s="276" t="s">
        <v>5372</v>
      </c>
      <c r="GG10" s="657"/>
      <c r="GH10" s="311">
        <f t="shared" si="40"/>
        <v>3249.2283881094395</v>
      </c>
      <c r="GI10" s="311">
        <f>IF($C10="","",SUMPRODUCT(('ANALYSE - ERP =&gt; SOUS-SEGMENT'!$C$8:$C$1000=$C10)*'ANALYSE - ERP =&gt; SOUS-SEGMENT'!$Q$8:$Q$1000*'ANALYSE - ERP =&gt; SOUS-SEGMENT'!$GI$8:$GI$1000))</f>
        <v>2048.1355261094395</v>
      </c>
      <c r="GJ10" s="311">
        <f>IF($C10="","",SUMPRODUCT(('ANALYSE - ERP =&gt; SOUS-SEGMENT'!$C$8:$C$1000=$C10)*'ANALYSE - ERP =&gt; SOUS-SEGMENT'!$Q$8:$Q$1000*'ANALYSE - ERP =&gt; SOUS-SEGMENT'!$GJ$8:$GJ$1000))</f>
        <v>1201.092862</v>
      </c>
      <c r="GK10" s="311">
        <f t="shared" si="41"/>
        <v>5944.0890004528001</v>
      </c>
      <c r="GL10" s="311">
        <f>IF($C10="","",SUMPRODUCT(('ANALYSE - ERP =&gt; SOUS-SEGMENT'!$C$8:$C$1000=$C10)*'ANALYSE - ERP =&gt; SOUS-SEGMENT'!$Q$8:$Q$1000*'ANALYSE - ERP =&gt; SOUS-SEGMENT'!$GL$8:$GL$1000))</f>
        <v>3757.1513034528002</v>
      </c>
      <c r="GM10" s="311">
        <f>IF($C10="","",SUMPRODUCT(('ANALYSE - ERP =&gt; SOUS-SEGMENT'!$C$8:$C$1000=$C10)*'ANALYSE - ERP =&gt; SOUS-SEGMENT'!$Q$8:$Q$1000*'ANALYSE - ERP =&gt; SOUS-SEGMENT'!$GM$8:$GM$1000))</f>
        <v>2186.9376969999998</v>
      </c>
      <c r="GN10" s="311">
        <f t="shared" si="42"/>
        <v>2100.6472871632</v>
      </c>
      <c r="GO10" s="311">
        <f>IF($C10="","",SUMPRODUCT(('ANALYSE - ERP =&gt; SOUS-SEGMENT'!$C$8:$C$1000=$C10)*'ANALYSE - ERP =&gt; SOUS-SEGMENT'!$Q$8:$Q$1000*'ANALYSE - ERP =&gt; SOUS-SEGMENT'!$GO$8:$GO$1000))</f>
        <v>1253.3397037631999</v>
      </c>
      <c r="GP10" s="311">
        <f>IF($C10="","",SUMPRODUCT(('ANALYSE - ERP =&gt; SOUS-SEGMENT'!$C$8:$C$1000=$C10)*'ANALYSE - ERP =&gt; SOUS-SEGMENT'!$Q$8:$Q$1000*'ANALYSE - ERP =&gt; SOUS-SEGMENT'!$GP$8:$GP$1000))</f>
        <v>847.30758340000011</v>
      </c>
      <c r="GQ10" s="311">
        <f t="shared" si="43"/>
        <v>682.77949550656001</v>
      </c>
      <c r="GR10" s="311">
        <f>IF($C10="","",SUMPRODUCT(('ANALYSE - ERP =&gt; SOUS-SEGMENT'!$C$8:$C$1000=$C10)*'ANALYSE - ERP =&gt; SOUS-SEGMENT'!$Q$8:$Q$1000*'ANALYSE - ERP =&gt; SOUS-SEGMENT'!$GR$8:$GR$1000))</f>
        <v>449.94045790655997</v>
      </c>
      <c r="GS10" s="311">
        <f>IF($C10="","",SUMPRODUCT(('ANALYSE - ERP =&gt; SOUS-SEGMENT'!$C$8:$C$1000=$C10)*'ANALYSE - ERP =&gt; SOUS-SEGMENT'!$Q$8:$Q$1000*'ANALYSE - ERP =&gt; SOUS-SEGMENT'!$GS$8:$GS$1000))</f>
        <v>232.83903760000001</v>
      </c>
      <c r="GT10" s="311">
        <f t="shared" si="44"/>
        <v>2459.8631860162004</v>
      </c>
      <c r="GU10" s="311">
        <f>IF($C10="","",SUMPRODUCT(('ANALYSE - ERP =&gt; SOUS-SEGMENT'!$C$8:$C$1000=$C10)*'ANALYSE - ERP =&gt; SOUS-SEGMENT'!$Q$8:$Q$1000*'ANALYSE - ERP =&gt; SOUS-SEGMENT'!$GU$8:$GU$1000))</f>
        <v>1486.7087310162001</v>
      </c>
      <c r="GV10" s="311">
        <f>IF($C10="","",SUMPRODUCT(('ANALYSE - ERP =&gt; SOUS-SEGMENT'!$C$8:$C$1000=$C10)*'ANALYSE - ERP =&gt; SOUS-SEGMENT'!$Q$8:$Q$1000*'ANALYSE - ERP =&gt; SOUS-SEGMENT'!$GV$8:$GV$1000))</f>
        <v>973.1544550000001</v>
      </c>
      <c r="GW10" s="311">
        <f t="shared" si="45"/>
        <v>1774.4352731473998</v>
      </c>
      <c r="GX10" s="311">
        <f>IF($C10="","",SUMPRODUCT(('ANALYSE - ERP =&gt; SOUS-SEGMENT'!$C$8:$C$1000=$C10)*'ANALYSE - ERP =&gt; SOUS-SEGMENT'!$Q$8:$Q$1000*'ANALYSE - ERP =&gt; SOUS-SEGMENT'!$GX$8:$GX$1000))</f>
        <v>1015.3545564473998</v>
      </c>
      <c r="GY10" s="311">
        <f>IF($C10="","",SUMPRODUCT(('ANALYSE - ERP =&gt; SOUS-SEGMENT'!$C$8:$C$1000=$C10)*'ANALYSE - ERP =&gt; SOUS-SEGMENT'!$Q$8:$Q$1000*'ANALYSE - ERP =&gt; SOUS-SEGMENT'!$GY$8:$GY$1000))</f>
        <v>759.08071670000004</v>
      </c>
      <c r="GZ10" s="311">
        <f t="shared" si="46"/>
        <v>536.84677024040002</v>
      </c>
      <c r="HA10" s="311">
        <f>IF($C10="","",SUMPRODUCT(('ANALYSE - ERP =&gt; SOUS-SEGMENT'!$C$8:$C$1000=$C10)*'ANALYSE - ERP =&gt; SOUS-SEGMENT'!$Q$8:$Q$1000*'ANALYSE - ERP =&gt; SOUS-SEGMENT'!$HA$8:$HA$1000))</f>
        <v>278.0070319404</v>
      </c>
      <c r="HB10" s="311">
        <f>IF($C10="","",SUMPRODUCT(('ANALYSE - ERP =&gt; SOUS-SEGMENT'!$C$8:$C$1000=$C10)*'ANALYSE - ERP =&gt; SOUS-SEGMENT'!$Q$8:$Q$1000*'ANALYSE - ERP =&gt; SOUS-SEGMENT'!$HB$8:$HB$1000))</f>
        <v>258.83973830000002</v>
      </c>
      <c r="HC10" s="311">
        <f t="shared" si="47"/>
        <v>231.58076042351999</v>
      </c>
      <c r="HD10" s="311">
        <f>IF($C10="","",SUMPRODUCT(('ANALYSE - ERP =&gt; SOUS-SEGMENT'!$C$8:$C$1000=$C10)*'ANALYSE - ERP =&gt; SOUS-SEGMENT'!$Q$8:$Q$1000*'ANALYSE - ERP =&gt; SOUS-SEGMENT'!$HD$8:$HD$1000))</f>
        <v>157.35931442351998</v>
      </c>
      <c r="HE10" s="311">
        <f>IF($C10="","",SUMPRODUCT(('ANALYSE - ERP =&gt; SOUS-SEGMENT'!$C$8:$C$1000=$C10)*'ANALYSE - ERP =&gt; SOUS-SEGMENT'!$Q$8:$Q$1000*'ANALYSE - ERP =&gt; SOUS-SEGMENT'!$HE$8:$HE$1000))</f>
        <v>74.221446000000014</v>
      </c>
      <c r="HF10" s="311">
        <f t="shared" si="48"/>
        <v>1235.5644292722</v>
      </c>
      <c r="HG10" s="311">
        <f>IF($C10="","",SUMPRODUCT(('ANALYSE - ERP =&gt; SOUS-SEGMENT'!$C$8:$C$1000=$C10)*'ANALYSE - ERP =&gt; SOUS-SEGMENT'!$Q$8:$Q$1000*'ANALYSE - ERP =&gt; SOUS-SEGMENT'!$HG$8:$HG$1000))</f>
        <v>780.36349127220001</v>
      </c>
      <c r="HH10" s="311">
        <f>IF($C10="","",SUMPRODUCT(('ANALYSE - ERP =&gt; SOUS-SEGMENT'!$C$8:$C$1000=$C10)*'ANALYSE - ERP =&gt; SOUS-SEGMENT'!$Q$8:$Q$1000*'ANALYSE - ERP =&gt; SOUS-SEGMENT'!$HH$8:$HH$1000))</f>
        <v>455.20093800000006</v>
      </c>
      <c r="HI10" s="311">
        <f t="shared" si="49"/>
        <v>612.26436439871998</v>
      </c>
      <c r="HJ10" s="311">
        <f>IF($C10="","",SUMPRODUCT(('ANALYSE - ERP =&gt; SOUS-SEGMENT'!$C$8:$C$1000=$C10)*'ANALYSE - ERP =&gt; SOUS-SEGMENT'!$Q$8:$Q$1000*'ANALYSE - ERP =&gt; SOUS-SEGMENT'!$HJ$8:$HJ$1000))</f>
        <v>372.99418489871999</v>
      </c>
      <c r="HK10" s="311">
        <f>IF($C10="","",SUMPRODUCT(('ANALYSE - ERP =&gt; SOUS-SEGMENT'!$C$8:$C$1000=$C10)*'ANALYSE - ERP =&gt; SOUS-SEGMENT'!$Q$8:$Q$1000*'ANALYSE - ERP =&gt; SOUS-SEGMENT'!$HK$8:$HK$1000))</f>
        <v>239.27017950000001</v>
      </c>
      <c r="HL10" s="311">
        <f t="shared" si="50"/>
        <v>666.28917762155993</v>
      </c>
      <c r="HM10" s="311">
        <f>IF($C10="","",SUMPRODUCT(('ANALYSE - ERP =&gt; SOUS-SEGMENT'!$C$8:$C$1000=$C10)*'ANALYSE - ERP =&gt; SOUS-SEGMENT'!$Q$8:$Q$1000*'ANALYSE - ERP =&gt; SOUS-SEGMENT'!$HM$8:$HM$1000))</f>
        <v>423.42410112156</v>
      </c>
      <c r="HN10" s="311">
        <f>IF($C10="","",SUMPRODUCT(('ANALYSE - ERP =&gt; SOUS-SEGMENT'!$C$8:$C$1000=$C10)*'ANALYSE - ERP =&gt; SOUS-SEGMENT'!$Q$8:$Q$1000*'ANALYSE - ERP =&gt; SOUS-SEGMENT'!$HN$8:$HN$1000))</f>
        <v>242.86507649999999</v>
      </c>
      <c r="HO10" s="311">
        <f t="shared" si="51"/>
        <v>3486.5586230056001</v>
      </c>
      <c r="HP10" s="311">
        <f>IF($C10="","",SUMPRODUCT(('ANALYSE - ERP =&gt; SOUS-SEGMENT'!$C$8:$C$1000=$C10)*'ANALYSE - ERP =&gt; SOUS-SEGMENT'!$Q$8:$Q$1000*'ANALYSE - ERP =&gt; SOUS-SEGMENT'!$HP$8:$HP$1000))</f>
        <v>2276.6162785055999</v>
      </c>
      <c r="HQ10" s="311">
        <f>IF($C10="","",SUMPRODUCT(('ANALYSE - ERP =&gt; SOUS-SEGMENT'!$C$8:$C$1000=$C10)*'ANALYSE - ERP =&gt; SOUS-SEGMENT'!$Q$8:$Q$1000*'ANALYSE - ERP =&gt; SOUS-SEGMENT'!$HQ$8:$HQ$1000))</f>
        <v>1209.9423445000002</v>
      </c>
      <c r="HR10" s="311">
        <f t="shared" si="52"/>
        <v>3593.5779468866003</v>
      </c>
      <c r="HS10" s="311">
        <f>IF($C10="","",SUMPRODUCT(('ANALYSE - ERP =&gt; SOUS-SEGMENT'!$C$8:$C$1000=$C10)*'ANALYSE - ERP =&gt; SOUS-SEGMENT'!$Q$8:$Q$1000*'ANALYSE - ERP =&gt; SOUS-SEGMENT'!$HS$8:$HS$1000))</f>
        <v>2228.8762906866</v>
      </c>
      <c r="HT10" s="311">
        <f>IF($C10="","",SUMPRODUCT(('ANALYSE - ERP =&gt; SOUS-SEGMENT'!$C$8:$C$1000=$C10)*'ANALYSE - ERP =&gt; SOUS-SEGMENT'!$Q$8:$Q$1000*'ANALYSE - ERP =&gt; SOUS-SEGMENT'!$HT$8:$HT$1000))</f>
        <v>1364.7016562000001</v>
      </c>
      <c r="HU10" s="311">
        <f t="shared" si="53"/>
        <v>1064.1578817838001</v>
      </c>
      <c r="HV10" s="311">
        <f>IF($C10="","",SUMPRODUCT(('ANALYSE - ERP =&gt; SOUS-SEGMENT'!$C$8:$C$1000=$C10)*'ANALYSE - ERP =&gt; SOUS-SEGMENT'!$Q$8:$Q$1000*'ANALYSE - ERP =&gt; SOUS-SEGMENT'!$HV$8:$HV$1000))</f>
        <v>557.6708924838</v>
      </c>
      <c r="HW10" s="311">
        <f>IF($C10="","",SUMPRODUCT(('ANALYSE - ERP =&gt; SOUS-SEGMENT'!$C$8:$C$1000=$C10)*'ANALYSE - ERP =&gt; SOUS-SEGMENT'!$Q$8:$Q$1000*'ANALYSE - ERP =&gt; SOUS-SEGMENT'!$HW$8:$HW$1000))</f>
        <v>506.48698930000006</v>
      </c>
      <c r="HY10" s="313">
        <f t="shared" si="54"/>
        <v>100774</v>
      </c>
      <c r="HZ10" s="313">
        <f>IF($C10="","",SUMPRODUCT(('ANALYSE - ERP =&gt; SOUS-SEGMENT'!$C$8:$C$1000=$C10)*'ANALYSE - ERP =&gt; SOUS-SEGMENT'!$Q$8:$Q$1000*'ANALYSE - ERP =&gt; SOUS-SEGMENT'!$HZ$8:$HZ$1000))</f>
        <v>845.03820000000007</v>
      </c>
      <c r="IA10" s="313">
        <f>IF($C10="","",SUMPRODUCT(('ANALYSE - ERP =&gt; SOUS-SEGMENT'!$C$8:$C$1000=$C10)*'ANALYSE - ERP =&gt; SOUS-SEGMENT'!$Q$8:$Q$1000*'ANALYSE - ERP =&gt; SOUS-SEGMENT'!$IA$8:$IA$1000))</f>
        <v>22584.939599999998</v>
      </c>
      <c r="IB10" s="313">
        <f>IF($C10="","",SUMPRODUCT(('ANALYSE - ERP =&gt; SOUS-SEGMENT'!$C$8:$C$1000=$C10)*'ANALYSE - ERP =&gt; SOUS-SEGMENT'!$Q$8:$Q$1000*'ANALYSE - ERP =&gt; SOUS-SEGMENT'!$IB$8:$IB$1000))</f>
        <v>51654.804000000004</v>
      </c>
      <c r="IC10" s="313">
        <f>IF($C10="","",SUMPRODUCT(('ANALYSE - ERP =&gt; SOUS-SEGMENT'!$C$8:$C$1000=$C10)*'ANALYSE - ERP =&gt; SOUS-SEGMENT'!$Q$8:$Q$1000*'ANALYSE - ERP =&gt; SOUS-SEGMENT'!$IC$8:$IC$1000))</f>
        <v>23706.014999999999</v>
      </c>
      <c r="ID10" s="313">
        <f>IF($C10="","",SUMPRODUCT(('ANALYSE - ERP =&gt; SOUS-SEGMENT'!$C$8:$C$1000=$C10)*'ANALYSE - ERP =&gt; SOUS-SEGMENT'!$Q$8:$Q$1000*'ANALYSE - ERP =&gt; SOUS-SEGMENT'!$ID$8:$ID$1000))</f>
        <v>1983.2032000000002</v>
      </c>
      <c r="IE10" s="313">
        <f t="shared" si="55"/>
        <v>17085.941864027998</v>
      </c>
      <c r="IF10" s="313">
        <f>IF($C10="","",SUMPRODUCT(('ANALYSE - ERP =&gt; SOUS-SEGMENT'!$C$8:$C$1000=$C10)*'ANALYSE - ERP =&gt; SOUS-SEGMENT'!$Q$8:$Q$1000*'ANALYSE - ERP =&gt; SOUS-SEGMENT'!$IF$8:$IF$1000))</f>
        <v>0</v>
      </c>
      <c r="IG10" s="313">
        <f>IF($C10="","",SUMPRODUCT(('ANALYSE - ERP =&gt; SOUS-SEGMENT'!$C$8:$C$1000=$C10)*'ANALYSE - ERP =&gt; SOUS-SEGMENT'!$Q$8:$Q$1000*'ANALYSE - ERP =&gt; SOUS-SEGMENT'!$IG$8:$IG$1000))</f>
        <v>1439.4709635710831</v>
      </c>
      <c r="IH10" s="313">
        <f>IF($C10="","",SUMPRODUCT(('ANALYSE - ERP =&gt; SOUS-SEGMENT'!$C$8:$C$1000=$C10)*'ANALYSE - ERP =&gt; SOUS-SEGMENT'!$Q$8:$Q$1000*'ANALYSE - ERP =&gt; SOUS-SEGMENT'!$IH$8:$IH$1000))</f>
        <v>7730.2859088376081</v>
      </c>
      <c r="II10" s="313">
        <f>IF($C10="","",SUMPRODUCT(('ANALYSE - ERP =&gt; SOUS-SEGMENT'!$C$8:$C$1000=$C10)*'ANALYSE - ERP =&gt; SOUS-SEGMENT'!$Q$8:$Q$1000*'ANALYSE - ERP =&gt; SOUS-SEGMENT'!$II$8:$II$1000))</f>
        <v>6789.2439572248604</v>
      </c>
      <c r="IJ10" s="313">
        <f>IF($C10="","",SUMPRODUCT(('ANALYSE - ERP =&gt; SOUS-SEGMENT'!$C$8:$C$1000=$C10)*'ANALYSE - ERP =&gt; SOUS-SEGMENT'!$Q$8:$Q$1000*'ANALYSE - ERP =&gt; SOUS-SEGMENT'!$IJ$8:$IJ$1000))</f>
        <v>1126.941034394448</v>
      </c>
      <c r="IK10" s="866">
        <f>IF($C10="","",IFERROR(SUMPRODUCT(('ANALYSE - ERP =&gt; SOUS-SEGMENT'!$C$8:$C$1000=$C10)*'ANALYSE - ERP =&gt; SOUS-SEGMENT'!$Q$8:$Q$1000*'ANALYSE - ERP =&gt; SOUS-SEGMENT'!$IE$8:$IE$1000*'ANALYSE - ERP =&gt; SOUS-SEGMENT'!$IK$8:$IK$1000)/SUMPRODUCT(('ANALYSE - ERP =&gt; SOUS-SEGMENT'!$C$8:$C$1000=$C10)*'ANALYSE - ERP =&gt; SOUS-SEGMENT'!$Q$8:$Q$1000*'ANALYSE - ERP =&gt; SOUS-SEGMENT'!$IE$8:$IE$1000),""))</f>
        <v>3.8895063933631029</v>
      </c>
      <c r="IL10" s="920" t="s">
        <v>5373</v>
      </c>
      <c r="IM10" s="964" t="s">
        <v>5374</v>
      </c>
      <c r="IN10" s="657"/>
      <c r="IO10" s="730">
        <f>IF($C10="","",IFERROR(SUMPRODUCT(('ANALYSE - ERP =&gt; SOUS-SEGMENT'!$C$8:$C$1000=$C10)*'ANALYSE - ERP =&gt; SOUS-SEGMENT'!$Q$8:$Q$1000*'ANALYSE - ERP =&gt; SOUS-SEGMENT'!$BE$8:$BE$1000*'ANALYSE - ERP =&gt; SOUS-SEGMENT'!$IO$8:$IO$1000)/SUMPRODUCT(('ANALYSE - ERP =&gt; SOUS-SEGMENT'!$C$8:$C$1000=$C10)*'ANALYSE - ERP =&gt; SOUS-SEGMENT'!$Q$8:$Q$1000*'ANALYSE - ERP =&gt; SOUS-SEGMENT'!$BE$8:$BE$1000),""))</f>
        <v>4.5530511766565798E-3</v>
      </c>
      <c r="IP10" s="730">
        <f>IF($C10="","",IFERROR(SUMPRODUCT(('ANALYSE - ERP =&gt; SOUS-SEGMENT'!$C$8:$C$1000=$C10)*'ANALYSE - ERP =&gt; SOUS-SEGMENT'!$Q$8:$Q$1000*'ANALYSE - ERP =&gt; SOUS-SEGMENT'!$BE$8:$BE$1000*'ANALYSE - ERP =&gt; SOUS-SEGMENT'!$IP$8:$IP$1000)/SUMPRODUCT(('ANALYSE - ERP =&gt; SOUS-SEGMENT'!$C$8:$C$1000=$C10)*'ANALYSE - ERP =&gt; SOUS-SEGMENT'!$Q$8:$Q$1000*'ANALYSE - ERP =&gt; SOUS-SEGMENT'!$BE$8:$BE$1000),""))</f>
        <v>0.21971208726681427</v>
      </c>
      <c r="IQ10" s="730">
        <f>IF($C10="","",IFERROR(SUMPRODUCT(('ANALYSE - ERP =&gt; SOUS-SEGMENT'!$C$8:$C$1000=$C10)*'ANALYSE - ERP =&gt; SOUS-SEGMENT'!$Q$8:$Q$1000*'ANALYSE - ERP =&gt; SOUS-SEGMENT'!$BE$8:$BE$1000*'ANALYSE - ERP =&gt; SOUS-SEGMENT'!$IQ$8:$IQ$1000)/SUMPRODUCT(('ANALYSE - ERP =&gt; SOUS-SEGMENT'!$C$8:$C$1000=$C10)*'ANALYSE - ERP =&gt; SOUS-SEGMENT'!$Q$8:$Q$1000*'ANALYSE - ERP =&gt; SOUS-SEGMENT'!$BE$8:$BE$1000),""))</f>
        <v>0.5182252721441799</v>
      </c>
      <c r="IR10" s="730">
        <f>IF($C10="","",IFERROR(SUMPRODUCT(('ANALYSE - ERP =&gt; SOUS-SEGMENT'!$C$8:$C$1000=$C10)*'ANALYSE - ERP =&gt; SOUS-SEGMENT'!$Q$8:$Q$1000*'ANALYSE - ERP =&gt; SOUS-SEGMENT'!$BE$8:$BE$1000*'ANALYSE - ERP =&gt; SOUS-SEGMENT'!$IR$8:$IR$1000)/SUMPRODUCT(('ANALYSE - ERP =&gt; SOUS-SEGMENT'!$C$8:$C$1000=$C10)*'ANALYSE - ERP =&gt; SOUS-SEGMENT'!$Q$8:$Q$1000*'ANALYSE - ERP =&gt; SOUS-SEGMENT'!$BE$8:$BE$1000),""))</f>
        <v>0.23565077465106826</v>
      </c>
      <c r="IS10" s="730">
        <f>IF($C10="","",IFERROR(SUMPRODUCT(('ANALYSE - ERP =&gt; SOUS-SEGMENT'!$C$8:$C$1000=$C10)*'ANALYSE - ERP =&gt; SOUS-SEGMENT'!$Q$8:$Q$1000*'ANALYSE - ERP =&gt; SOUS-SEGMENT'!$BE$8:$BE$1000*'ANALYSE - ERP =&gt; SOUS-SEGMENT'!$IS$8:$IS$1000)/SUMPRODUCT(('ANALYSE - ERP =&gt; SOUS-SEGMENT'!$C$8:$C$1000=$C10)*'ANALYSE - ERP =&gt; SOUS-SEGMENT'!$Q$8:$Q$1000*'ANALYSE - ERP =&gt; SOUS-SEGMENT'!$BE$8:$BE$1000),""))</f>
        <v>2.1858814761281001E-2</v>
      </c>
      <c r="IT10" s="730">
        <f>IF($C10="","",IFERROR(SUMPRODUCT(('ANALYSE - ERP =&gt; SOUS-SEGMENT'!$C$8:$C$1000=$C10)*'ANALYSE - ERP =&gt; SOUS-SEGMENT'!$Q$8:$Q$1000*'ANALYSE - ERP =&gt; SOUS-SEGMENT'!$FB$8:$FB$1000*'ANALYSE - ERP =&gt; SOUS-SEGMENT'!$IT$8:$IT$1000)/SUMPRODUCT(('ANALYSE - ERP =&gt; SOUS-SEGMENT'!$C$8:$C$1000=$C10)*'ANALYSE - ERP =&gt; SOUS-SEGMENT'!$Q$8:$Q$1000*'ANALYSE - ERP =&gt; SOUS-SEGMENT'!$FB$8:$FB$1000),""))</f>
        <v>0</v>
      </c>
      <c r="IU10" s="730">
        <f>IF($C10="","",IFERROR(SUMPRODUCT(('ANALYSE - ERP =&gt; SOUS-SEGMENT'!$C$8:$C$1000=$C10)*'ANALYSE - ERP =&gt; SOUS-SEGMENT'!$Q$8:$Q$1000*'ANALYSE - ERP =&gt; SOUS-SEGMENT'!$FB$8:$FB$1000*'ANALYSE - ERP =&gt; SOUS-SEGMENT'!$IU$8:$IU$1000)/SUMPRODUCT(('ANALYSE - ERP =&gt; SOUS-SEGMENT'!$C$8:$C$1000=$C10)*'ANALYSE - ERP =&gt; SOUS-SEGMENT'!$Q$8:$Q$1000*'ANALYSE - ERP =&gt; SOUS-SEGMENT'!$FB$8:$FB$1000),""))</f>
        <v>7.8162523222770716E-2</v>
      </c>
      <c r="IV10" s="730">
        <f>IF($C10="","",IFERROR(SUMPRODUCT(('ANALYSE - ERP =&gt; SOUS-SEGMENT'!$C$8:$C$1000=$C10)*'ANALYSE - ERP =&gt; SOUS-SEGMENT'!$Q$8:$Q$1000*'ANALYSE - ERP =&gt; SOUS-SEGMENT'!$FB$8:$FB$1000*'ANALYSE - ERP =&gt; SOUS-SEGMENT'!$IV$8:$IV$1000)/SUMPRODUCT(('ANALYSE - ERP =&gt; SOUS-SEGMENT'!$C$8:$C$1000=$C10)*'ANALYSE - ERP =&gt; SOUS-SEGMENT'!$Q$8:$Q$1000*'ANALYSE - ERP =&gt; SOUS-SEGMENT'!$FB$8:$FB$1000),""))</f>
        <v>0.45240729274090374</v>
      </c>
      <c r="IW10" s="730">
        <f>IF($C10="","",IFERROR(SUMPRODUCT(('ANALYSE - ERP =&gt; SOUS-SEGMENT'!$C$8:$C$1000=$C10)*'ANALYSE - ERP =&gt; SOUS-SEGMENT'!$Q$8:$Q$1000*'ANALYSE - ERP =&gt; SOUS-SEGMENT'!$FB$8:$FB$1000*'ANALYSE - ERP =&gt; SOUS-SEGMENT'!$IW$8:$IW$1000)/SUMPRODUCT(('ANALYSE - ERP =&gt; SOUS-SEGMENT'!$C$8:$C$1000=$C10)*'ANALYSE - ERP =&gt; SOUS-SEGMENT'!$Q$8:$Q$1000*'ANALYSE - ERP =&gt; SOUS-SEGMENT'!$FB$8:$FB$1000),""))</f>
        <v>0.39935956924616356</v>
      </c>
      <c r="IX10" s="730">
        <f>IF($C10="","",IFERROR(SUMPRODUCT(('ANALYSE - ERP =&gt; SOUS-SEGMENT'!$C$8:$C$1000=$C10)*'ANALYSE - ERP =&gt; SOUS-SEGMENT'!$Q$8:$Q$1000*'ANALYSE - ERP =&gt; SOUS-SEGMENT'!$FB$8:$FB$1000*'ANALYSE - ERP =&gt; SOUS-SEGMENT'!$IX$8:$IX$1000)/SUMPRODUCT(('ANALYSE - ERP =&gt; SOUS-SEGMENT'!$C$8:$C$1000=$C10)*'ANALYSE - ERP =&gt; SOUS-SEGMENT'!$Q$8:$Q$1000*'ANALYSE - ERP =&gt; SOUS-SEGMENT'!$FB$8:$FB$1000),""))</f>
        <v>7.0070614790161898E-2</v>
      </c>
      <c r="IY10" s="730">
        <f>IF($C10="","",IFERROR(SUMPRODUCT(('ANALYSE - ERP =&gt; SOUS-SEGMENT'!$C$8:$C$1000=$C10)*'ANALYSE - ERP =&gt; SOUS-SEGMENT'!$Q$8:$Q$1000*'ANALYSE - ERP =&gt; SOUS-SEGMENT'!$BF$8:$BF$1000*'ANALYSE - ERP =&gt; SOUS-SEGMENT'!$IY$8:$IY$1000)/SUMPRODUCT(('ANALYSE - ERP =&gt; SOUS-SEGMENT'!$C$8:$C$1000=$C10)*'ANALYSE - ERP =&gt; SOUS-SEGMENT'!$Q$8:$Q$1000*'ANALYSE - ERP =&gt; SOUS-SEGMENT'!$BF$8:$BF$1000),""))</f>
        <v>5.440195778525543E-4</v>
      </c>
      <c r="IZ10" s="730">
        <f>IF($C10="","",IFERROR(SUMPRODUCT(('ANALYSE - ERP =&gt; SOUS-SEGMENT'!$C$8:$C$1000=$C10)*'ANALYSE - ERP =&gt; SOUS-SEGMENT'!$Q$8:$Q$1000*'ANALYSE - ERP =&gt; SOUS-SEGMENT'!$BF$8:$BF$1000*'ANALYSE - ERP =&gt; SOUS-SEGMENT'!$IZ$8:$IZ$1000)/SUMPRODUCT(('ANALYSE - ERP =&gt; SOUS-SEGMENT'!$C$8:$C$1000=$C10)*'ANALYSE - ERP =&gt; SOUS-SEGMENT'!$Q$8:$Q$1000*'ANALYSE - ERP =&gt; SOUS-SEGMENT'!$BF$8:$BF$1000),""))</f>
        <v>0.12481911287855613</v>
      </c>
      <c r="JA10" s="730">
        <f>IF($C10="","",IFERROR(SUMPRODUCT(('ANALYSE - ERP =&gt; SOUS-SEGMENT'!$C$8:$C$1000=$C10)*'ANALYSE - ERP =&gt; SOUS-SEGMENT'!$Q$8:$Q$1000*'ANALYSE - ERP =&gt; SOUS-SEGMENT'!$BF$8:$BF$1000*'ANALYSE - ERP =&gt; SOUS-SEGMENT'!$JA$8:$JA$1000)/SUMPRODUCT(('ANALYSE - ERP =&gt; SOUS-SEGMENT'!$C$8:$C$1000=$C10)*'ANALYSE - ERP =&gt; SOUS-SEGMENT'!$Q$8:$Q$1000*'ANALYSE - ERP =&gt; SOUS-SEGMENT'!$BF$8:$BF$1000),""))</f>
        <v>0.52011962067910689</v>
      </c>
      <c r="JB10" s="730">
        <f>IF($C10="","",IFERROR(SUMPRODUCT(('ANALYSE - ERP =&gt; SOUS-SEGMENT'!$C$8:$C$1000=$C10)*'ANALYSE - ERP =&gt; SOUS-SEGMENT'!$Q$8:$Q$1000*'ANALYSE - ERP =&gt; SOUS-SEGMENT'!$BF$8:$BF$1000*'ANALYSE - ERP =&gt; SOUS-SEGMENT'!$JB$8:$JB$1000)/SUMPRODUCT(('ANALYSE - ERP =&gt; SOUS-SEGMENT'!$C$8:$C$1000=$C10)*'ANALYSE - ERP =&gt; SOUS-SEGMENT'!$Q$8:$Q$1000*'ANALYSE - ERP =&gt; SOUS-SEGMENT'!$BF$8:$BF$1000),""))</f>
        <v>0.32521564392780666</v>
      </c>
      <c r="JC10" s="730">
        <f>IF($C10="","",IFERROR(SUMPRODUCT(('ANALYSE - ERP =&gt; SOUS-SEGMENT'!$C$8:$C$1000=$C10)*'ANALYSE - ERP =&gt; SOUS-SEGMENT'!$Q$8:$Q$1000*'ANALYSE - ERP =&gt; SOUS-SEGMENT'!$BF$8:$BF$1000*'ANALYSE - ERP =&gt; SOUS-SEGMENT'!$JC$8:$JC$1000)/SUMPRODUCT(('ANALYSE - ERP =&gt; SOUS-SEGMENT'!$C$8:$C$1000=$C10)*'ANALYSE - ERP =&gt; SOUS-SEGMENT'!$Q$8:$Q$1000*'ANALYSE - ERP =&gt; SOUS-SEGMENT'!$BF$8:$BF$1000),""))</f>
        <v>2.9301602936677884E-2</v>
      </c>
      <c r="JD10" s="730">
        <f>IF($C10="","",IFERROR(SUMPRODUCT(('ANALYSE - ERP =&gt; SOUS-SEGMENT'!$C$8:$C$1000=$C10)*'ANALYSE - ERP =&gt; SOUS-SEGMENT'!$Q$8:$Q$1000*'ANALYSE - ERP =&gt; SOUS-SEGMENT'!$FE$8:$FE$1000*'ANALYSE - ERP =&gt; SOUS-SEGMENT'!$JD$8:$JD$1000)/SUMPRODUCT(('ANALYSE - ERP =&gt; SOUS-SEGMENT'!$C$8:$C$1000=$C10)*'ANALYSE - ERP =&gt; SOUS-SEGMENT'!$Q$8:$Q$1000*'ANALYSE - ERP =&gt; SOUS-SEGMENT'!$FE$8:$FE$1000),""))</f>
        <v>0</v>
      </c>
      <c r="JE10" s="730">
        <f>IF($C10="","",IFERROR(SUMPRODUCT(('ANALYSE - ERP =&gt; SOUS-SEGMENT'!$C$8:$C$1000=$C10)*'ANALYSE - ERP =&gt; SOUS-SEGMENT'!$Q$8:$Q$1000*'ANALYSE - ERP =&gt; SOUS-SEGMENT'!$FE$8:$FE$1000*'ANALYSE - ERP =&gt; SOUS-SEGMENT'!$JE$8:$JE$1000)/SUMPRODUCT(('ANALYSE - ERP =&gt; SOUS-SEGMENT'!$C$8:$C$1000=$C10)*'ANALYSE - ERP =&gt; SOUS-SEGMENT'!$Q$8:$Q$1000*'ANALYSE - ERP =&gt; SOUS-SEGMENT'!$FE$8:$FE$1000),""))</f>
        <v>2.5504640703692835E-2</v>
      </c>
      <c r="JF10" s="730">
        <f>IF($C10="","",IFERROR(SUMPRODUCT(('ANALYSE - ERP =&gt; SOUS-SEGMENT'!$C$8:$C$1000=$C10)*'ANALYSE - ERP =&gt; SOUS-SEGMENT'!$Q$8:$Q$1000*'ANALYSE - ERP =&gt; SOUS-SEGMENT'!$FE$8:$FE$1000*'ANALYSE - ERP =&gt; SOUS-SEGMENT'!$JF$8:$JF$1000)/SUMPRODUCT(('ANALYSE - ERP =&gt; SOUS-SEGMENT'!$C$8:$C$1000=$C10)*'ANALYSE - ERP =&gt; SOUS-SEGMENT'!$Q$8:$Q$1000*'ANALYSE - ERP =&gt; SOUS-SEGMENT'!$FE$8:$FE$1000),""))</f>
        <v>0.38153207186438981</v>
      </c>
      <c r="JG10" s="730">
        <f>IF($C10="","",IFERROR(SUMPRODUCT(('ANALYSE - ERP =&gt; SOUS-SEGMENT'!$C$8:$C$1000=$C10)*'ANALYSE - ERP =&gt; SOUS-SEGMENT'!$Q$8:$Q$1000*'ANALYSE - ERP =&gt; SOUS-SEGMENT'!$FE$8:$FE$1000*'ANALYSE - ERP =&gt; SOUS-SEGMENT'!$JG$8:$JG$1000)/SUMPRODUCT(('ANALYSE - ERP =&gt; SOUS-SEGMENT'!$C$8:$C$1000=$C10)*'ANALYSE - ERP =&gt; SOUS-SEGMENT'!$Q$8:$Q$1000*'ANALYSE - ERP =&gt; SOUS-SEGMENT'!$FE$8:$FE$1000),""))</f>
        <v>0.49428475151967782</v>
      </c>
      <c r="JH10" s="831">
        <f>IF($C10="","",IFERROR(SUMPRODUCT(('ANALYSE - ERP =&gt; SOUS-SEGMENT'!$C$8:$C$1000=$C10)*'ANALYSE - ERP =&gt; SOUS-SEGMENT'!$Q$8:$Q$1000*'ANALYSE - ERP =&gt; SOUS-SEGMENT'!$FE$8:$FE$1000*'ANALYSE - ERP =&gt; SOUS-SEGMENT'!$JH$8:$JH$1000)/SUMPRODUCT(('ANALYSE - ERP =&gt; SOUS-SEGMENT'!$C$8:$C$1000=$C10)*'ANALYSE - ERP =&gt; SOUS-SEGMENT'!$Q$8:$Q$1000*'ANALYSE - ERP =&gt; SOUS-SEGMENT'!$FE$8:$FE$1000),""))</f>
        <v>9.8678535912239532E-2</v>
      </c>
      <c r="JI10" s="831">
        <f>IF($C10="","",IFERROR(SUMPRODUCT(('ANALYSE - ERP =&gt; SOUS-SEGMENT'!$C$8:$C$1000=$C10)*'ANALYSE - ERP =&gt; SOUS-SEGMENT'!$Q$8:$Q$1000*'ANALYSE - ERP =&gt; SOUS-SEGMENT'!$BG$8:$BG$1000*'ANALYSE - ERP =&gt; SOUS-SEGMENT'!$JI$8:$JI$1000)/SUMPRODUCT(('ANALYSE - ERP =&gt; SOUS-SEGMENT'!$C$8:$C$1000=$C10)*'ANALYSE - ERP =&gt; SOUS-SEGMENT'!$Q$8:$Q$1000*'ANALYSE - ERP =&gt; SOUS-SEGMENT'!$BG$8:$BG$1000),""))</f>
        <v>3.3085772753849156E-2</v>
      </c>
      <c r="JJ10" s="831">
        <f>IF($C10="","",IFERROR(SUMPRODUCT(('ANALYSE - ERP =&gt; SOUS-SEGMENT'!$C$8:$C$1000=$C10)*'ANALYSE - ERP =&gt; SOUS-SEGMENT'!$Q$8:$Q$1000*'ANALYSE - ERP =&gt; SOUS-SEGMENT'!$BG$8:$BG$1000*'ANALYSE - ERP =&gt; SOUS-SEGMENT'!$JJ$8:$JJ$1000)/SUMPRODUCT(('ANALYSE - ERP =&gt; SOUS-SEGMENT'!$C$8:$C$1000=$C10)*'ANALYSE - ERP =&gt; SOUS-SEGMENT'!$Q$8:$Q$1000*'ANALYSE - ERP =&gt; SOUS-SEGMENT'!$BG$8:$BG$1000),""))</f>
        <v>0.35505444357824989</v>
      </c>
      <c r="JK10" s="831">
        <f>IF($C10="","",IFERROR(SUMPRODUCT(('ANALYSE - ERP =&gt; SOUS-SEGMENT'!$C$8:$C$1000=$C10)*'ANALYSE - ERP =&gt; SOUS-SEGMENT'!$Q$8:$Q$1000*'ANALYSE - ERP =&gt; SOUS-SEGMENT'!$BG$8:$BG$1000*'ANALYSE - ERP =&gt; SOUS-SEGMENT'!$JK$8:$JK$1000)/SUMPRODUCT(('ANALYSE - ERP =&gt; SOUS-SEGMENT'!$C$8:$C$1000=$C10)*'ANALYSE - ERP =&gt; SOUS-SEGMENT'!$Q$8:$Q$1000*'ANALYSE - ERP =&gt; SOUS-SEGMENT'!$BG$8:$BG$1000),""))</f>
        <v>0.46842952640810759</v>
      </c>
      <c r="JL10" s="831">
        <f>IF($C10="","",IFERROR(SUMPRODUCT(('ANALYSE - ERP =&gt; SOUS-SEGMENT'!$C$8:$C$1000=$C10)*'ANALYSE - ERP =&gt; SOUS-SEGMENT'!$Q$8:$Q$1000*'ANALYSE - ERP =&gt; SOUS-SEGMENT'!$BG$8:$BG$1000*'ANALYSE - ERP =&gt; SOUS-SEGMENT'!$JL$8:$JL$1000)/SUMPRODUCT(('ANALYSE - ERP =&gt; SOUS-SEGMENT'!$C$8:$C$1000=$C10)*'ANALYSE - ERP =&gt; SOUS-SEGMENT'!$Q$8:$Q$1000*'ANALYSE - ERP =&gt; SOUS-SEGMENT'!$BG$8:$BG$1000),""))</f>
        <v>0.13719996102124343</v>
      </c>
      <c r="JM10" s="831">
        <f>IF($C10="","",IFERROR(SUMPRODUCT(('ANALYSE - ERP =&gt; SOUS-SEGMENT'!$C$8:$C$1000=$C10)*'ANALYSE - ERP =&gt; SOUS-SEGMENT'!$Q$8:$Q$1000*'ANALYSE - ERP =&gt; SOUS-SEGMENT'!$BG$8:$BG$1000*'ANALYSE - ERP =&gt; SOUS-SEGMENT'!$JM$8:$JM$1000)/SUMPRODUCT(('ANALYSE - ERP =&gt; SOUS-SEGMENT'!$C$8:$C$1000=$C10)*'ANALYSE - ERP =&gt; SOUS-SEGMENT'!$Q$8:$Q$1000*'ANALYSE - ERP =&gt; SOUS-SEGMENT'!$BG$8:$BG$1000),""))</f>
        <v>6.2302962385499903E-3</v>
      </c>
      <c r="JN10" s="831">
        <f>IF($C10="","",IFERROR(SUMPRODUCT(('ANALYSE - ERP =&gt; SOUS-SEGMENT'!$C$8:$C$1000=$C10)*'ANALYSE - ERP =&gt; SOUS-SEGMENT'!$Q$8:$Q$1000*'ANALYSE - ERP =&gt; SOUS-SEGMENT'!$FH$8:$FH$1000*'ANALYSE - ERP =&gt; SOUS-SEGMENT'!$JN$8:$JN$1000)/SUMPRODUCT(('ANALYSE - ERP =&gt; SOUS-SEGMENT'!$C$8:$C$1000=$C10)*'ANALYSE - ERP =&gt; SOUS-SEGMENT'!$Q$8:$Q$1000*'ANALYSE - ERP =&gt; SOUS-SEGMENT'!$FH$8:$FH$1000),""))</f>
        <v>0</v>
      </c>
      <c r="JO10" s="831">
        <f>IF($C10="","",IFERROR(SUMPRODUCT(('ANALYSE - ERP =&gt; SOUS-SEGMENT'!$C$8:$C$1000=$C10)*'ANALYSE - ERP =&gt; SOUS-SEGMENT'!$Q$8:$Q$1000*'ANALYSE - ERP =&gt; SOUS-SEGMENT'!$FH$8:$FH$1000*'ANALYSE - ERP =&gt; SOUS-SEGMENT'!$JO$8:$JO$1000)/SUMPRODUCT(('ANALYSE - ERP =&gt; SOUS-SEGMENT'!$C$8:$C$1000=$C10)*'ANALYSE - ERP =&gt; SOUS-SEGMENT'!$Q$8:$Q$1000*'ANALYSE - ERP =&gt; SOUS-SEGMENT'!$FH$8:$FH$1000),""))</f>
        <v>0.18053795922427471</v>
      </c>
      <c r="JP10" s="831">
        <f>IF($C10="","",IFERROR(SUMPRODUCT(('ANALYSE - ERP =&gt; SOUS-SEGMENT'!$C$8:$C$1000=$C10)*'ANALYSE - ERP =&gt; SOUS-SEGMENT'!$Q$8:$Q$1000*'ANALYSE - ERP =&gt; SOUS-SEGMENT'!$FH$8:$FH$1000*'ANALYSE - ERP =&gt; SOUS-SEGMENT'!$JP$8:$JP$1000)/SUMPRODUCT(('ANALYSE - ERP =&gt; SOUS-SEGMENT'!$C$8:$C$1000=$C10)*'ANALYSE - ERP =&gt; SOUS-SEGMENT'!$Q$8:$Q$1000*'ANALYSE - ERP =&gt; SOUS-SEGMENT'!$FH$8:$FH$1000),""))</f>
        <v>0.52005746923103735</v>
      </c>
      <c r="JQ10" s="831">
        <f>IF($C10="","",IFERROR(SUMPRODUCT(('ANALYSE - ERP =&gt; SOUS-SEGMENT'!$C$8:$C$1000=$C10)*'ANALYSE - ERP =&gt; SOUS-SEGMENT'!$Q$8:$Q$1000*'ANALYSE - ERP =&gt; SOUS-SEGMENT'!$FH$8:$FH$1000*'ANALYSE - ERP =&gt; SOUS-SEGMENT'!$JQ$8:$JQ$1000)/SUMPRODUCT(('ANALYSE - ERP =&gt; SOUS-SEGMENT'!$C$8:$C$1000=$C10)*'ANALYSE - ERP =&gt; SOUS-SEGMENT'!$Q$8:$Q$1000*'ANALYSE - ERP =&gt; SOUS-SEGMENT'!$FH$8:$FH$1000),""))</f>
        <v>0.27041595853127048</v>
      </c>
      <c r="JR10" s="831">
        <f>IF($C10="","",IFERROR(SUMPRODUCT(('ANALYSE - ERP =&gt; SOUS-SEGMENT'!$C$8:$C$1000=$C10)*'ANALYSE - ERP =&gt; SOUS-SEGMENT'!$Q$8:$Q$1000*'ANALYSE - ERP =&gt; SOUS-SEGMENT'!$FH$8:$FH$1000*'ANALYSE - ERP =&gt; SOUS-SEGMENT'!$JR$8:$JR$1000)/SUMPRODUCT(('ANALYSE - ERP =&gt; SOUS-SEGMENT'!$C$8:$C$1000=$C10)*'ANALYSE - ERP =&gt; SOUS-SEGMENT'!$Q$8:$Q$1000*'ANALYSE - ERP =&gt; SOUS-SEGMENT'!$FH$8:$FH$1000),""))</f>
        <v>2.8988613013417461E-2</v>
      </c>
      <c r="JS10" s="831">
        <f>IF($C10="","",IFERROR(SUMPRODUCT(('ANALYSE - ERP =&gt; SOUS-SEGMENT'!$C$8:$C$1000=$C10)*'ANALYSE - ERP =&gt; SOUS-SEGMENT'!$Q$8:$Q$1000*'ANALYSE - ERP =&gt; SOUS-SEGMENT'!$BH$8:$BH$1000*'ANALYSE - ERP =&gt; SOUS-SEGMENT'!$JS$8:$JS$1000)/SUMPRODUCT(('ANALYSE - ERP =&gt; SOUS-SEGMENT'!$C$8:$C$1000=$C10)*'ANALYSE - ERP =&gt; SOUS-SEGMENT'!$Q$8:$Q$1000*'ANALYSE - ERP =&gt; SOUS-SEGMENT'!$BH$8:$BH$1000),""))</f>
        <v>9.8705209274314951E-3</v>
      </c>
      <c r="JT10" s="730">
        <f>IF($C10="","",IFERROR(SUMPRODUCT(('ANALYSE - ERP =&gt; SOUS-SEGMENT'!$C$8:$C$1000=$C10)*'ANALYSE - ERP =&gt; SOUS-SEGMENT'!$Q$8:$Q$1000*'ANALYSE - ERP =&gt; SOUS-SEGMENT'!$BH$8:$BH$1000*'ANALYSE - ERP =&gt; SOUS-SEGMENT'!$JT$8:$JT$1000)/SUMPRODUCT(('ANALYSE - ERP =&gt; SOUS-SEGMENT'!$C$8:$C$1000=$C10)*'ANALYSE - ERP =&gt; SOUS-SEGMENT'!$Q$8:$Q$1000*'ANALYSE - ERP =&gt; SOUS-SEGMENT'!$BH$8:$BH$1000),""))</f>
        <v>0.2399809528589113</v>
      </c>
      <c r="JU10" s="730">
        <f>IF($C10="","",IFERROR(SUMPRODUCT(('ANALYSE - ERP =&gt; SOUS-SEGMENT'!$C$8:$C$1000=$C10)*'ANALYSE - ERP =&gt; SOUS-SEGMENT'!$Q$8:$Q$1000*'ANALYSE - ERP =&gt; SOUS-SEGMENT'!$BH$8:$BH$1000*'ANALYSE - ERP =&gt; SOUS-SEGMENT'!$JU$8:$JU$1000)/SUMPRODUCT(('ANALYSE - ERP =&gt; SOUS-SEGMENT'!$C$8:$C$1000=$C10)*'ANALYSE - ERP =&gt; SOUS-SEGMENT'!$Q$8:$Q$1000*'ANALYSE - ERP =&gt; SOUS-SEGMENT'!$BH$8:$BH$1000),""))</f>
        <v>0.51525465555890126</v>
      </c>
      <c r="JV10" s="730">
        <f>IF($C10="","",IFERROR(SUMPRODUCT(('ANALYSE - ERP =&gt; SOUS-SEGMENT'!$C$8:$C$1000=$C10)*'ANALYSE - ERP =&gt; SOUS-SEGMENT'!$Q$8:$Q$1000*'ANALYSE - ERP =&gt; SOUS-SEGMENT'!$BH$8:$BH$1000*'ANALYSE - ERP =&gt; SOUS-SEGMENT'!$JV$8:$JV$1000)/SUMPRODUCT(('ANALYSE - ERP =&gt; SOUS-SEGMENT'!$C$8:$C$1000=$C10)*'ANALYSE - ERP =&gt; SOUS-SEGMENT'!$Q$8:$Q$1000*'ANALYSE - ERP =&gt; SOUS-SEGMENT'!$BH$8:$BH$1000),""))</f>
        <v>0.21908642979022386</v>
      </c>
      <c r="JW10" s="730">
        <f>IF($C10="","",IFERROR(SUMPRODUCT(('ANALYSE - ERP =&gt; SOUS-SEGMENT'!$C$8:$C$1000=$C10)*'ANALYSE - ERP =&gt; SOUS-SEGMENT'!$Q$8:$Q$1000*'ANALYSE - ERP =&gt; SOUS-SEGMENT'!$BH$8:$BH$1000*'ANALYSE - ERP =&gt; SOUS-SEGMENT'!$JW$8:$JW$1000)/SUMPRODUCT(('ANALYSE - ERP =&gt; SOUS-SEGMENT'!$C$8:$C$1000=$C10)*'ANALYSE - ERP =&gt; SOUS-SEGMENT'!$Q$8:$Q$1000*'ANALYSE - ERP =&gt; SOUS-SEGMENT'!$BH$8:$BH$1000),""))</f>
        <v>1.5807440864532105E-2</v>
      </c>
      <c r="JX10" s="730">
        <f>IF($C10="","",IFERROR(SUMPRODUCT(('ANALYSE - ERP =&gt; SOUS-SEGMENT'!$C$8:$C$1000=$C10)*'ANALYSE - ERP =&gt; SOUS-SEGMENT'!$Q$8:$Q$1000*'ANALYSE - ERP =&gt; SOUS-SEGMENT'!$FK$8:$FK$1000*'ANALYSE - ERP =&gt; SOUS-SEGMENT'!$JX$8:$JX$1000)/SUMPRODUCT(('ANALYSE - ERP =&gt; SOUS-SEGMENT'!$C$8:$C$1000=$C10)*'ANALYSE - ERP =&gt; SOUS-SEGMENT'!$Q$8:$Q$1000*'ANALYSE - ERP =&gt; SOUS-SEGMENT'!$FK$8:$FK$1000),""))</f>
        <v>0</v>
      </c>
      <c r="JY10" s="730">
        <f>IF($C10="","",IFERROR(SUMPRODUCT(('ANALYSE - ERP =&gt; SOUS-SEGMENT'!$C$8:$C$1000=$C10)*'ANALYSE - ERP =&gt; SOUS-SEGMENT'!$Q$8:$Q$1000*'ANALYSE - ERP =&gt; SOUS-SEGMENT'!$FK$8:$FK$1000*'ANALYSE - ERP =&gt; SOUS-SEGMENT'!$JY$8:$JY$1000)/SUMPRODUCT(('ANALYSE - ERP =&gt; SOUS-SEGMENT'!$C$8:$C$1000=$C10)*'ANALYSE - ERP =&gt; SOUS-SEGMENT'!$Q$8:$Q$1000*'ANALYSE - ERP =&gt; SOUS-SEGMENT'!$FK$8:$FK$1000),""))</f>
        <v>9.2550721888268919E-2</v>
      </c>
      <c r="JZ10" s="730">
        <f>IF($C10="","",IFERROR(SUMPRODUCT(('ANALYSE - ERP =&gt; SOUS-SEGMENT'!$C$8:$C$1000=$C10)*'ANALYSE - ERP =&gt; SOUS-SEGMENT'!$Q$8:$Q$1000*'ANALYSE - ERP =&gt; SOUS-SEGMENT'!$FK$8:$FK$1000*'ANALYSE - ERP =&gt; SOUS-SEGMENT'!$JZ$8:$JZ$1000)/SUMPRODUCT(('ANALYSE - ERP =&gt; SOUS-SEGMENT'!$C$8:$C$1000=$C10)*'ANALYSE - ERP =&gt; SOUS-SEGMENT'!$Q$8:$Q$1000*'ANALYSE - ERP =&gt; SOUS-SEGMENT'!$FK$8:$FK$1000),""))</f>
        <v>0.46824805194963354</v>
      </c>
      <c r="KA10" s="730">
        <f>IF($C10="","",IFERROR(SUMPRODUCT(('ANALYSE - ERP =&gt; SOUS-SEGMENT'!$C$8:$C$1000=$C10)*'ANALYSE - ERP =&gt; SOUS-SEGMENT'!$Q$8:$Q$1000*'ANALYSE - ERP =&gt; SOUS-SEGMENT'!$FK$8:$FK$1000*'ANALYSE - ERP =&gt; SOUS-SEGMENT'!$KA$8:$KA$1000)/SUMPRODUCT(('ANALYSE - ERP =&gt; SOUS-SEGMENT'!$C$8:$C$1000=$C10)*'ANALYSE - ERP =&gt; SOUS-SEGMENT'!$Q$8:$Q$1000*'ANALYSE - ERP =&gt; SOUS-SEGMENT'!$FK$8:$FK$1000),""))</f>
        <v>0.38464886628944256</v>
      </c>
      <c r="KB10" s="730">
        <f>IF($C10="","",IFERROR(SUMPRODUCT(('ANALYSE - ERP =&gt; SOUS-SEGMENT'!$C$8:$C$1000=$C10)*'ANALYSE - ERP =&gt; SOUS-SEGMENT'!$Q$8:$Q$1000*'ANALYSE - ERP =&gt; SOUS-SEGMENT'!$FK$8:$FK$1000*'ANALYSE - ERP =&gt; SOUS-SEGMENT'!$KB$8:$KB$1000)/SUMPRODUCT(('ANALYSE - ERP =&gt; SOUS-SEGMENT'!$C$8:$C$1000=$C10)*'ANALYSE - ERP =&gt; SOUS-SEGMENT'!$Q$8:$Q$1000*'ANALYSE - ERP =&gt; SOUS-SEGMENT'!$FK$8:$FK$1000),""))</f>
        <v>5.4552359872654922E-2</v>
      </c>
      <c r="KC10" s="657"/>
      <c r="KD10" s="920" t="s">
        <v>2591</v>
      </c>
      <c r="KE10" s="920" t="s">
        <v>2625</v>
      </c>
      <c r="KF10" s="866">
        <f>IF($C10="","",IFERROR(SUMPRODUCT(('ANALYSE - ERP =&gt; SOUS-SEGMENT'!$C$8:$C$1000=$C10)*'ANALYSE - ERP =&gt; SOUS-SEGMENT'!$Q$8:$Q$1000*'ANALYSE - ERP =&gt; SOUS-SEGMENT'!$IE$8:$IE$1000*'ANALYSE - ERP =&gt; SOUS-SEGMENT'!$KF$8:$KF$1000)/SUMPRODUCT(('ANALYSE - ERP =&gt; SOUS-SEGMENT'!$C$8:$C$1000=$C10)*'ANALYSE - ERP =&gt; SOUS-SEGMENT'!$Q$8:$Q$1000*'ANALYSE - ERP =&gt; SOUS-SEGMENT'!$IE$8:$IE$1000),""))</f>
        <v>3.93548126960702</v>
      </c>
      <c r="KG10" s="920" t="s">
        <v>2626</v>
      </c>
      <c r="KH10" s="920" t="s">
        <v>5375</v>
      </c>
      <c r="KI10" s="920" t="s">
        <v>5376</v>
      </c>
      <c r="KJ10" s="920" t="s">
        <v>5377</v>
      </c>
    </row>
    <row r="11" spans="1:327" ht="120" customHeight="1">
      <c r="A11" s="957">
        <f>IF($C11="","",ROWS($A$8:A11))</f>
        <v>4</v>
      </c>
      <c r="B11" s="958" t="s">
        <v>2600</v>
      </c>
      <c r="C11" s="958" t="s">
        <v>2091</v>
      </c>
      <c r="D11" s="959" t="s">
        <v>5378</v>
      </c>
      <c r="E11" s="269" t="s">
        <v>5379</v>
      </c>
      <c r="F11" s="960" t="s">
        <v>300</v>
      </c>
      <c r="G11" s="960" t="s">
        <v>2631</v>
      </c>
      <c r="H11" s="960" t="s">
        <v>2109</v>
      </c>
      <c r="I11" s="960" t="s">
        <v>5380</v>
      </c>
      <c r="J11" s="960" t="s">
        <v>5381</v>
      </c>
      <c r="K11" s="960" t="s">
        <v>2097</v>
      </c>
      <c r="L11" s="960" t="s">
        <v>2109</v>
      </c>
      <c r="M11" s="960" t="s">
        <v>2603</v>
      </c>
      <c r="N11" s="960" t="s">
        <v>5382</v>
      </c>
      <c r="O11" s="960" t="s">
        <v>2212</v>
      </c>
      <c r="P11" s="960"/>
      <c r="Q11" s="270">
        <f>IF($C11="","",IF(SUMIFS('ANALYSE - ERP =&gt; SOUS-SEGMENT'!$Q$8:$Q$1000,'ANALYSE - ERP =&gt; SOUS-SEGMENT'!$C$8:$C$1000,$C11)&gt;0,1,0))</f>
        <v>1</v>
      </c>
      <c r="R11" s="271">
        <f>IF($C11="","",IFERROR(SUMPRODUCT(('ANALYSE - ERP =&gt; SOUS-SEGMENT'!$C$8:$C$1000=$C11)*'ANALYSE - ERP =&gt; SOUS-SEGMENT'!$Q$8:$Q$1000*'ANALYSE - ERP =&gt; SOUS-SEGMENT'!$AF$8:$AF$1000*'ANALYSE - ERP =&gt; SOUS-SEGMENT'!$R$8:$R$1000)/SUMPRODUCT(('ANALYSE - ERP =&gt; SOUS-SEGMENT'!$C$8:$C$1000=$C11)*'ANALYSE - ERP =&gt; SOUS-SEGMENT'!$Q$8:$Q$1000*'ANALYSE - ERP =&gt; SOUS-SEGMENT'!$AF$8:$AF$1000),""))</f>
        <v>2704.5454545454545</v>
      </c>
      <c r="S11" s="272">
        <f>IF($C11="","",SUMPRODUCT(('ANALYSE - ERP =&gt; SOUS-SEGMENT'!$C$8:$C$1000=$C11)*'ANALYSE - ERP =&gt; SOUS-SEGMENT'!$Q$8:$Q$1000*'ANALYSE - ERP =&gt; SOUS-SEGMENT'!$S$8:$S$1000))</f>
        <v>3650</v>
      </c>
      <c r="T11" s="272">
        <f>IF($C11="","",SUMPRODUCT(('ANALYSE - ERP =&gt; SOUS-SEGMENT'!$C$8:$C$1000=$C11)*'ANALYSE - ERP =&gt; SOUS-SEGMENT'!$Q$8:$Q$1000*'ANALYSE - ERP =&gt; SOUS-SEGMENT'!$T$8:$T$1000))</f>
        <v>4000</v>
      </c>
      <c r="U11" s="272">
        <f>IF($C11="","",SUMPRODUCT(('ANALYSE - ERP =&gt; SOUS-SEGMENT'!$C$8:$C$1000=$C11)*'ANALYSE - ERP =&gt; SOUS-SEGMENT'!$Q$8:$Q$1000*'ANALYSE - ERP =&gt; SOUS-SEGMENT'!$U$8:$U$1000))</f>
        <v>4050</v>
      </c>
      <c r="V11" s="272">
        <f>IF($C11="","",SUMPRODUCT(('ANALYSE - ERP =&gt; SOUS-SEGMENT'!$C$8:$C$1000=$C11)*'ANALYSE - ERP =&gt; SOUS-SEGMENT'!$Q$8:$Q$1000*'ANALYSE - ERP =&gt; SOUS-SEGMENT'!$V$8:$V$1000))</f>
        <v>4340</v>
      </c>
      <c r="W11" s="272">
        <f>IF($C11="","",SUMPRODUCT(('ANALYSE - ERP =&gt; SOUS-SEGMENT'!$C$8:$C$1000=$C11)*'ANALYSE - ERP =&gt; SOUS-SEGMENT'!$Q$8:$Q$1000*'ANALYSE - ERP =&gt; SOUS-SEGMENT'!$W$8:$W$1000))</f>
        <v>4435</v>
      </c>
      <c r="X11" s="272">
        <f>IF($C11="","",SUMPRODUCT(('ANALYSE - ERP =&gt; SOUS-SEGMENT'!$C$8:$C$1000=$C11)*'ANALYSE - ERP =&gt; SOUS-SEGMENT'!$Q$8:$Q$1000*'ANALYSE - ERP =&gt; SOUS-SEGMENT'!$X$8:$X$1000))</f>
        <v>4530</v>
      </c>
      <c r="Y11" s="272">
        <f>IF($C11="","",SUMPRODUCT(('ANALYSE - ERP =&gt; SOUS-SEGMENT'!$C$8:$C$1000=$C11)*'ANALYSE - ERP =&gt; SOUS-SEGMENT'!$Q$8:$Q$1000*'ANALYSE - ERP =&gt; SOUS-SEGMENT'!$Y$8:$Y$1000))</f>
        <v>4615</v>
      </c>
      <c r="Z11" s="272">
        <f>IF($C11="","",SUMPRODUCT(('ANALYSE - ERP =&gt; SOUS-SEGMENT'!$C$8:$C$1000=$C11)*'ANALYSE - ERP =&gt; SOUS-SEGMENT'!$Q$8:$Q$1000*'ANALYSE - ERP =&gt; SOUS-SEGMENT'!$Z$8:$Z$1000))</f>
        <v>4710</v>
      </c>
      <c r="AA11" s="272">
        <f>IF($C11="","",SUMPRODUCT(('ANALYSE - ERP =&gt; SOUS-SEGMENT'!$C$8:$C$1000=$C11)*'ANALYSE - ERP =&gt; SOUS-SEGMENT'!$Q$8:$Q$1000*'ANALYSE - ERP =&gt; SOUS-SEGMENT'!$AA$8:$AA$1000))</f>
        <v>4755</v>
      </c>
      <c r="AB11" s="272">
        <f>IF($C11="","",SUMPRODUCT(('ANALYSE - ERP =&gt; SOUS-SEGMENT'!$C$8:$C$1000=$C11)*'ANALYSE - ERP =&gt; SOUS-SEGMENT'!$Q$8:$Q$1000*'ANALYSE - ERP =&gt; SOUS-SEGMENT'!$AB$8:$AB$1000))</f>
        <v>4805</v>
      </c>
      <c r="AC11" s="272">
        <f>IF($C11="","",SUMPRODUCT(('ANALYSE - ERP =&gt; SOUS-SEGMENT'!$C$8:$C$1000=$C11)*'ANALYSE - ERP =&gt; SOUS-SEGMENT'!$Q$8:$Q$1000*'ANALYSE - ERP =&gt; SOUS-SEGMENT'!$AC$8:$AC$1000))</f>
        <v>4875</v>
      </c>
      <c r="AD11" s="272">
        <f>IF($C11="","",SUMPRODUCT(('ANALYSE - ERP =&gt; SOUS-SEGMENT'!$C$8:$C$1000=$C11)*'ANALYSE - ERP =&gt; SOUS-SEGMENT'!$Q$8:$Q$1000*'ANALYSE - ERP =&gt; SOUS-SEGMENT'!$AD$8:$AD$1000))</f>
        <v>4959</v>
      </c>
      <c r="AE11" s="272">
        <f>IF($C11="","",SUMPRODUCT(('ANALYSE - ERP =&gt; SOUS-SEGMENT'!$C$8:$C$1000=$C11)*'ANALYSE - ERP =&gt; SOUS-SEGMENT'!$Q$8:$Q$1000*'ANALYSE - ERP =&gt; SOUS-SEGMENT'!$AE$8:$AE$1000))</f>
        <v>5199</v>
      </c>
      <c r="AF11" s="272">
        <f>IF($C11="","",SUMPRODUCT(('ANALYSE - ERP =&gt; SOUS-SEGMENT'!$C$8:$C$1000=$C11)*'ANALYSE - ERP =&gt; SOUS-SEGMENT'!$Q$8:$Q$1000*'ANALYSE - ERP =&gt; SOUS-SEGMENT'!$AF$8:$AF$1000))</f>
        <v>5280</v>
      </c>
      <c r="AG11" s="272">
        <f>IF($C11="","",SUMPRODUCT(('ANALYSE - ERP =&gt; SOUS-SEGMENT'!$C$8:$C$1000=$C11)*'ANALYSE - ERP =&gt; SOUS-SEGMENT'!$Q$8:$Q$1000*'ANALYSE - ERP =&gt; SOUS-SEGMENT'!$AG$8:$AG$1000))</f>
        <v>5360</v>
      </c>
      <c r="AH11" s="272">
        <f>IF($C11="","",SUMPRODUCT(('ANALYSE - ERP =&gt; SOUS-SEGMENT'!$C$8:$C$1000=$C11)*'ANALYSE - ERP =&gt; SOUS-SEGMENT'!$Q$8:$Q$1000*'ANALYSE - ERP =&gt; SOUS-SEGMENT'!$AH$8:$AH$1000))</f>
        <v>5440</v>
      </c>
      <c r="AI11" s="272">
        <f>IF($C11="","",SUMPRODUCT(('ANALYSE - ERP =&gt; SOUS-SEGMENT'!$C$8:$C$1000=$C11)*'ANALYSE - ERP =&gt; SOUS-SEGMENT'!$Q$8:$Q$1000*'ANALYSE - ERP =&gt; SOUS-SEGMENT'!$AI$8:$AI$1000))</f>
        <v>5522</v>
      </c>
      <c r="AJ11" s="272">
        <f>IF($C11="","",SUMPRODUCT(('ANALYSE - ERP =&gt; SOUS-SEGMENT'!$C$8:$C$1000=$C11)*'ANALYSE - ERP =&gt; SOUS-SEGMENT'!$Q$8:$Q$1000*'ANALYSE - ERP =&gt; SOUS-SEGMENT'!$AJ$8:$AJ$1000))</f>
        <v>5605</v>
      </c>
      <c r="AK11" s="272">
        <f>IF($C11="","",SUMPRODUCT(('ANALYSE - ERP =&gt; SOUS-SEGMENT'!$C$8:$C$1000=$C11)*'ANALYSE - ERP =&gt; SOUS-SEGMENT'!$Q$8:$Q$1000*'ANALYSE - ERP =&gt; SOUS-SEGMENT'!$AK$8:$AK$1000))</f>
        <v>5685</v>
      </c>
      <c r="AL11" s="960" t="s">
        <v>5383</v>
      </c>
      <c r="AM11" s="960" t="s">
        <v>5384</v>
      </c>
      <c r="AN11" s="960" t="s">
        <v>5385</v>
      </c>
      <c r="AO11" s="657"/>
      <c r="AP11" s="271">
        <f>IF($C11="","",IFERROR(SUMPRODUCT(('ANALYSE - ERP =&gt; SOUS-SEGMENT'!$C$8:$C$1000=$C11)*'ANALYSE - ERP =&gt; SOUS-SEGMENT'!$Q$8:$Q$1000*'ANALYSE - ERP =&gt; SOUS-SEGMENT'!$AF$8:$AF$1000*'ANALYSE - ERP =&gt; SOUS-SEGMENT'!$AP$8:$AP$1000)/SUMPRODUCT(('ANALYSE - ERP =&gt; SOUS-SEGMENT'!$C$8:$C$1000=$C11)*'ANALYSE - ERP =&gt; SOUS-SEGMENT'!$Q$8:$Q$1000*'ANALYSE - ERP =&gt; SOUS-SEGMENT'!$AF$8:$AF$1000),""))</f>
        <v>350.56818181818181</v>
      </c>
      <c r="AQ11" s="280">
        <f>IF($C11="","",IFERROR(SUMPRODUCT(('ANALYSE - ERP =&gt; SOUS-SEGMENT'!$C$8:$C$1000=$C11)*'ANALYSE - ERP =&gt; SOUS-SEGMENT'!$Q$8:$Q$1000*'ANALYSE - ERP =&gt; SOUS-SEGMENT'!$AF$8:$AF$1000*'ANALYSE - ERP =&gt; SOUS-SEGMENT'!$AQ$8:$AQ$1000)/SUMPRODUCT(('ANALYSE - ERP =&gt; SOUS-SEGMENT'!$C$8:$C$1000=$C11)*'ANALYSE - ERP =&gt; SOUS-SEGMENT'!$Q$8:$Q$1000*'ANALYSE - ERP =&gt; SOUS-SEGMENT'!$AF$8:$AF$1000),""))</f>
        <v>309.82954545454544</v>
      </c>
      <c r="AR11" s="280">
        <f>IF($C11="","",IFERROR(SUMPRODUCT(('ANALYSE - ERP =&gt; SOUS-SEGMENT'!$C$8:$C$1000=$C11)*'ANALYSE - ERP =&gt; SOUS-SEGMENT'!$Q$8:$Q$1000*'ANALYSE - ERP =&gt; SOUS-SEGMENT'!$AF$8:$AF$1000*'ANALYSE - ERP =&gt; SOUS-SEGMENT'!$AR$8:$AR$1000)/SUMPRODUCT(('ANALYSE - ERP =&gt; SOUS-SEGMENT'!$C$8:$C$1000=$C11)*'ANALYSE - ERP =&gt; SOUS-SEGMENT'!$Q$8:$Q$1000*'ANALYSE - ERP =&gt; SOUS-SEGMENT'!$AF$8:$AF$1000),""))</f>
        <v>32.875</v>
      </c>
      <c r="AS11" s="280">
        <f>IF($C11="","",IFERROR(SUMPRODUCT(('ANALYSE - ERP =&gt; SOUS-SEGMENT'!$C$8:$C$1000=$C11)*'ANALYSE - ERP =&gt; SOUS-SEGMENT'!$Q$8:$Q$1000*'ANALYSE - ERP =&gt; SOUS-SEGMENT'!$AF$8:$AF$1000*'ANALYSE - ERP =&gt; SOUS-SEGMENT'!$AS$8:$AS$1000)/SUMPRODUCT(('ANALYSE - ERP =&gt; SOUS-SEGMENT'!$C$8:$C$1000=$C11)*'ANALYSE - ERP =&gt; SOUS-SEGMENT'!$Q$8:$Q$1000*'ANALYSE - ERP =&gt; SOUS-SEGMENT'!$AF$8:$AF$1000),""))</f>
        <v>7.8636363636363633</v>
      </c>
      <c r="AT11" s="657"/>
      <c r="AU11" s="647" t="s">
        <v>5386</v>
      </c>
      <c r="AV11" s="647" t="s">
        <v>5387</v>
      </c>
      <c r="AW11" s="960" t="s">
        <v>5388</v>
      </c>
      <c r="AX11" s="647" t="s">
        <v>5389</v>
      </c>
      <c r="AY11" s="657"/>
      <c r="AZ11" s="948">
        <f>IF($C11="","",IFERROR(SUMPRODUCT(('ANALYSE - ERP =&gt; SOUS-SEGMENT'!$C$8:$C$1000=$C11)*'ANALYSE - ERP =&gt; SOUS-SEGMENT'!$Q$8:$Q$1000*'ANALYSE - ERP =&gt; SOUS-SEGMENT'!$AF$8:$AF$1000*'ANALYSE - ERP =&gt; SOUS-SEGMENT'!$AZ$8:$AZ$1000)/SUMPRODUCT(('ANALYSE - ERP =&gt; SOUS-SEGMENT'!$C$8:$C$1000=$C11)*'ANALYSE - ERP =&gt; SOUS-SEGMENT'!$Q$8:$Q$1000*'ANALYSE - ERP =&gt; SOUS-SEGMENT'!$AF$8:$AF$1000),""))</f>
        <v>18.602272727272727</v>
      </c>
      <c r="BA11" s="948">
        <f>IF($C11="","",IFERROR(SUMPRODUCT(('ANALYSE - ERP =&gt; SOUS-SEGMENT'!$C$8:$C$1000=$C11)*'ANALYSE - ERP =&gt; SOUS-SEGMENT'!$Q$8:$Q$1000*'ANALYSE - ERP =&gt; SOUS-SEGMENT'!$AF$8:$AF$1000*'ANALYSE - ERP =&gt; SOUS-SEGMENT'!$BA$8:$BA$1000)/SUMPRODUCT(('ANALYSE - ERP =&gt; SOUS-SEGMENT'!$C$8:$C$1000=$C11)*'ANALYSE - ERP =&gt; SOUS-SEGMENT'!$Q$8:$Q$1000*'ANALYSE - ERP =&gt; SOUS-SEGMENT'!$AF$8:$AF$1000),""))</f>
        <v>5.0113636363636367</v>
      </c>
      <c r="BB11" s="948">
        <f>IF($C11="","",IFERROR(SUMPRODUCT(('ANALYSE - ERP =&gt; SOUS-SEGMENT'!$C$8:$C$1000=$C11)*'ANALYSE - ERP =&gt; SOUS-SEGMENT'!$Q$8:$Q$1000*'ANALYSE - ERP =&gt; SOUS-SEGMENT'!$AF$8:$AF$1000*'ANALYSE - ERP =&gt; SOUS-SEGMENT'!$BB$8:$BB$1000)/SUMPRODUCT(('ANALYSE - ERP =&gt; SOUS-SEGMENT'!$C$8:$C$1000=$C11)*'ANALYSE - ERP =&gt; SOUS-SEGMENT'!$Q$8:$Q$1000*'ANALYSE - ERP =&gt; SOUS-SEGMENT'!$AF$8:$AF$1000),""))</f>
        <v>6.0113636363636367</v>
      </c>
      <c r="BC11" s="948">
        <f>IF($C11="","",IFERROR(SUMPRODUCT(('ANALYSE - ERP =&gt; SOUS-SEGMENT'!$C$8:$C$1000=$C11)*'ANALYSE - ERP =&gt; SOUS-SEGMENT'!$Q$8:$Q$1000*'ANALYSE - ERP =&gt; SOUS-SEGMENT'!$AF$8:$AF$1000*'ANALYSE - ERP =&gt; SOUS-SEGMENT'!$BC$8:$BC$1000)/SUMPRODUCT(('ANALYSE - ERP =&gt; SOUS-SEGMENT'!$C$8:$C$1000=$C11)*'ANALYSE - ERP =&gt; SOUS-SEGMENT'!$Q$8:$Q$1000*'ANALYSE - ERP =&gt; SOUS-SEGMENT'!$AF$8:$AF$1000),""))</f>
        <v>14.022727272727273</v>
      </c>
      <c r="BD11" s="825">
        <f t="shared" si="1"/>
        <v>230460</v>
      </c>
      <c r="BE11" s="304">
        <f>IF($C11="","",SUMPRODUCT(('ANALYSE - ERP =&gt; SOUS-SEGMENT'!$C$8:$C$1000=$C11)*'ANALYSE - ERP =&gt; SOUS-SEGMENT'!$Q$8:$Q$1000*'ANALYSE - ERP =&gt; SOUS-SEGMENT'!$BE$8:$BE$1000))</f>
        <v>98220</v>
      </c>
      <c r="BF11" s="304">
        <f>IF($C11="","",SUMPRODUCT(('ANALYSE - ERP =&gt; SOUS-SEGMENT'!$C$8:$C$1000=$C11)*'ANALYSE - ERP =&gt; SOUS-SEGMENT'!$Q$8:$Q$1000*'ANALYSE - ERP =&gt; SOUS-SEGMENT'!$BF$8:$BF$1000))</f>
        <v>26460</v>
      </c>
      <c r="BG11" s="304">
        <f>IF($C11="","",SUMPRODUCT(('ANALYSE - ERP =&gt; SOUS-SEGMENT'!$C$8:$C$1000=$C11)*'ANALYSE - ERP =&gt; SOUS-SEGMENT'!$Q$8:$Q$1000*'ANALYSE - ERP =&gt; SOUS-SEGMENT'!$BG$8:$BG$1000))</f>
        <v>31740</v>
      </c>
      <c r="BH11" s="304">
        <f>IF($C11="","",SUMPRODUCT(('ANALYSE - ERP =&gt; SOUS-SEGMENT'!$C$8:$C$1000=$C11)*'ANALYSE - ERP =&gt; SOUS-SEGMENT'!$Q$8:$Q$1000*'ANALYSE - ERP =&gt; SOUS-SEGMENT'!$BH$8:$BH$1000))</f>
        <v>74040</v>
      </c>
      <c r="BI11" s="825">
        <f t="shared" si="2"/>
        <v>253310</v>
      </c>
      <c r="BJ11" s="304">
        <f>IF($C11="","",SUMPRODUCT(('ANALYSE - ERP =&gt; SOUS-SEGMENT'!$C$8:$C$1000=$C11)*'ANALYSE - ERP =&gt; SOUS-SEGMENT'!$Q$8:$Q$1000*'ANALYSE - ERP =&gt; SOUS-SEGMENT'!$BJ$8:$BJ$1000))</f>
        <v>107845</v>
      </c>
      <c r="BK11" s="304">
        <f>IF($C11="","",SUMPRODUCT(('ANALYSE - ERP =&gt; SOUS-SEGMENT'!$C$8:$C$1000=$C11)*'ANALYSE - ERP =&gt; SOUS-SEGMENT'!$Q$8:$Q$1000*'ANALYSE - ERP =&gt; SOUS-SEGMENT'!$BK$8:$BK$1000))</f>
        <v>29260</v>
      </c>
      <c r="BL11" s="304">
        <f>IF($C11="","",SUMPRODUCT(('ANALYSE - ERP =&gt; SOUS-SEGMENT'!$C$8:$C$1000=$C11)*'ANALYSE - ERP =&gt; SOUS-SEGMENT'!$Q$8:$Q$1000*'ANALYSE - ERP =&gt; SOUS-SEGMENT'!$BL$8:$BL$1000))</f>
        <v>34945</v>
      </c>
      <c r="BM11" s="304">
        <f>IF($C11="","",SUMPRODUCT(('ANALYSE - ERP =&gt; SOUS-SEGMENT'!$C$8:$C$1000=$C11)*'ANALYSE - ERP =&gt; SOUS-SEGMENT'!$Q$8:$Q$1000*'ANALYSE - ERP =&gt; SOUS-SEGMENT'!$BM$8:$BM$1000))</f>
        <v>81260</v>
      </c>
      <c r="BN11" s="657"/>
      <c r="BO11" s="284">
        <f t="shared" si="3"/>
        <v>0.13832620647525962</v>
      </c>
      <c r="BP11" s="284">
        <f t="shared" si="4"/>
        <v>0.75861942577886388</v>
      </c>
      <c r="BQ11" s="284">
        <f t="shared" si="5"/>
        <v>6.3054367745876597E-2</v>
      </c>
      <c r="BR11" s="710">
        <f t="shared" si="6"/>
        <v>0.04</v>
      </c>
      <c r="BS11" s="707">
        <f t="shared" si="7"/>
        <v>0.1146529741759006</v>
      </c>
      <c r="BT11" s="284">
        <f t="shared" si="8"/>
        <v>0.77046270109879922</v>
      </c>
      <c r="BU11" s="284">
        <f t="shared" si="9"/>
        <v>8.4884324725300206E-2</v>
      </c>
      <c r="BV11" s="710">
        <f t="shared" si="10"/>
        <v>0.03</v>
      </c>
      <c r="BW11" s="714">
        <f t="shared" si="11"/>
        <v>0.25</v>
      </c>
      <c r="BX11" s="285">
        <f t="shared" si="12"/>
        <v>0.65</v>
      </c>
      <c r="BY11" s="717">
        <f t="shared" si="13"/>
        <v>0.1</v>
      </c>
      <c r="BZ11" s="714">
        <f t="shared" si="14"/>
        <v>0.2</v>
      </c>
      <c r="CA11" s="285">
        <f t="shared" si="15"/>
        <v>0.68</v>
      </c>
      <c r="CB11" s="717">
        <f t="shared" si="16"/>
        <v>0.12</v>
      </c>
      <c r="CC11" s="284">
        <f t="shared" si="17"/>
        <v>5.330812854442344E-2</v>
      </c>
      <c r="CD11" s="284">
        <f t="shared" si="18"/>
        <v>0.59527410207939513</v>
      </c>
      <c r="CE11" s="284">
        <f t="shared" si="19"/>
        <v>9.2835538752362945E-2</v>
      </c>
      <c r="CF11" s="710">
        <f t="shared" si="20"/>
        <v>0.25858223062381858</v>
      </c>
      <c r="CG11" s="707">
        <f t="shared" si="21"/>
        <v>4.2584060666762055E-2</v>
      </c>
      <c r="CH11" s="284">
        <f t="shared" si="22"/>
        <v>0.59569323222206327</v>
      </c>
      <c r="CI11" s="284">
        <f t="shared" si="23"/>
        <v>0.11301473744455573</v>
      </c>
      <c r="CJ11" s="710">
        <f t="shared" si="24"/>
        <v>0.24870796966661898</v>
      </c>
      <c r="CK11" s="720">
        <f t="shared" si="25"/>
        <v>0.50405186385737444</v>
      </c>
      <c r="CL11" s="286">
        <f t="shared" si="26"/>
        <v>0.43784440842787681</v>
      </c>
      <c r="CM11" s="718">
        <f t="shared" si="27"/>
        <v>5.8103727714748782E-2</v>
      </c>
      <c r="CN11" s="720">
        <f t="shared" si="28"/>
        <v>0.40518582328328823</v>
      </c>
      <c r="CO11" s="286">
        <f t="shared" si="29"/>
        <v>0.48740585774058576</v>
      </c>
      <c r="CP11" s="718">
        <f t="shared" si="30"/>
        <v>0.10740831897612602</v>
      </c>
      <c r="CQ11" s="657"/>
      <c r="CR11" s="807">
        <f>IF($C11="","",IFERROR(SUMPRODUCT(('ANALYSE - ERP =&gt; SOUS-SEGMENT'!$C$8:$C$1000=$C11)*'ANALYSE - ERP =&gt; SOUS-SEGMENT'!$Q$8:$Q$1000*'ANALYSE - ERP =&gt; SOUS-SEGMENT'!$DH$8:$DH$1000*'ANALYSE - ERP =&gt; SOUS-SEGMENT'!$CR$8:$CR$1000)/SUMPRODUCT(('ANALYSE - ERP =&gt; SOUS-SEGMENT'!$C$8:$C$1000=$C11)*'ANALYSE - ERP =&gt; SOUS-SEGMENT'!$Q$8:$Q$1000*'ANALYSE - ERP =&gt; SOUS-SEGMENT'!$DH$8:$DH$1000),""))</f>
        <v>12.19872813990461</v>
      </c>
      <c r="CS11" s="808">
        <f>IF($C11="","",IFERROR(SUMPRODUCT(('ANALYSE - ERP =&gt; SOUS-SEGMENT'!$C$8:$C$1000=$C11)*'ANALYSE - ERP =&gt; SOUS-SEGMENT'!$Q$8:$Q$1000*'ANALYSE - ERP =&gt; SOUS-SEGMENT'!$DI$8:$DI$1000*'ANALYSE - ERP =&gt; SOUS-SEGMENT'!$CS$8:$CS$1000)/SUMPRODUCT(('ANALYSE - ERP =&gt; SOUS-SEGMENT'!$C$8:$C$1000=$C11)*'ANALYSE - ERP =&gt; SOUS-SEGMENT'!$Q$8:$Q$1000*'ANALYSE - ERP =&gt; SOUS-SEGMENT'!$DI$8:$DI$1000),""))</f>
        <v>13.050327734205144</v>
      </c>
      <c r="CT11" s="808">
        <f>IF($C11="","",IFERROR(SUMPRODUCT(('ANALYSE - ERP =&gt; SOUS-SEGMENT'!$C$8:$C$1000=$C11)*'ANALYSE - ERP =&gt; SOUS-SEGMENT'!$Q$8:$Q$1000*'ANALYSE - ERP =&gt; SOUS-SEGMENT'!$DJ$8:$DJ$1000*'ANALYSE - ERP =&gt; SOUS-SEGMENT'!$CT$8:$CT$1000)/SUMPRODUCT(('ANALYSE - ERP =&gt; SOUS-SEGMENT'!$C$8:$C$1000=$C11)*'ANALYSE - ERP =&gt; SOUS-SEGMENT'!$Q$8:$Q$1000*'ANALYSE - ERP =&gt; SOUS-SEGMENT'!$DJ$8:$DJ$1000),""))</f>
        <v>9.1211005619066068</v>
      </c>
      <c r="CU11" s="809">
        <f>IF($C11="","",IFERROR(SUMPRODUCT(('ANALYSE - ERP =&gt; SOUS-SEGMENT'!$C$8:$C$1000=$C11)*'ANALYSE - ERP =&gt; SOUS-SEGMENT'!$Q$8:$Q$1000*'ANALYSE - ERP =&gt; SOUS-SEGMENT'!$DK$8:$DK$1000*'ANALYSE - ERP =&gt; SOUS-SEGMENT'!$CU$8:$CU$1000)/SUMPRODUCT(('ANALYSE - ERP =&gt; SOUS-SEGMENT'!$C$8:$C$1000=$C11)*'ANALYSE - ERP =&gt; SOUS-SEGMENT'!$Q$8:$Q$1000*'ANALYSE - ERP =&gt; SOUS-SEGMENT'!$DK$8:$DK$1000),""))</f>
        <v>11.076359193646915</v>
      </c>
      <c r="CV11" s="807">
        <f>IF($C11="","",IFERROR(SUMPRODUCT(('ANALYSE - ERP =&gt; SOUS-SEGMENT'!$C$8:$C$1000=$C11)*'ANALYSE - ERP =&gt; SOUS-SEGMENT'!$Q$8:$Q$1000*'ANALYSE - ERP =&gt; SOUS-SEGMENT'!$DS$8:$DS$1000*'ANALYSE - ERP =&gt; SOUS-SEGMENT'!$CV$8:$CV$1000)/SUMPRODUCT(('ANALYSE - ERP =&gt; SOUS-SEGMENT'!$C$8:$C$1000=$C11)*'ANALYSE - ERP =&gt; SOUS-SEGMENT'!$Q$8:$Q$1000*'ANALYSE - ERP =&gt; SOUS-SEGMENT'!$DS$8:$DS$1000),""))</f>
        <v>10</v>
      </c>
      <c r="CW11" s="808">
        <f>IF($C11="","",IFERROR(SUMPRODUCT(('ANALYSE - ERP =&gt; SOUS-SEGMENT'!$C$8:$C$1000=$C11)*'ANALYSE - ERP =&gt; SOUS-SEGMENT'!$Q$8:$Q$1000*'ANALYSE - ERP =&gt; SOUS-SEGMENT'!$DT$8:$DT$1000*'ANALYSE - ERP =&gt; SOUS-SEGMENT'!$CW$8:$CW$1000)/SUMPRODUCT(('ANALYSE - ERP =&gt; SOUS-SEGMENT'!$C$8:$C$1000=$C11)*'ANALYSE - ERP =&gt; SOUS-SEGMENT'!$Q$8:$Q$1000*'ANALYSE - ERP =&gt; SOUS-SEGMENT'!$DT$8:$DT$1000),""))</f>
        <v>10</v>
      </c>
      <c r="CX11" s="809">
        <f>IF($C11="","",IFERROR(SUMPRODUCT(('ANALYSE - ERP =&gt; SOUS-SEGMENT'!$C$8:$C$1000=$C11)*'ANALYSE - ERP =&gt; SOUS-SEGMENT'!$Q$8:$Q$1000*'ANALYSE - ERP =&gt; SOUS-SEGMENT'!$DU$8:$DU$1000*'ANALYSE - ERP =&gt; SOUS-SEGMENT'!$CX$8:$CX$1000)/SUMPRODUCT(('ANALYSE - ERP =&gt; SOUS-SEGMENT'!$C$8:$C$1000=$C11)*'ANALYSE - ERP =&gt; SOUS-SEGMENT'!$Q$8:$Q$1000*'ANALYSE - ERP =&gt; SOUS-SEGMENT'!$DU$8:$DU$1000),""))</f>
        <v>8</v>
      </c>
      <c r="CY11" s="807">
        <f>IF($C11="","",IFERROR(SUMPRODUCT(('ANALYSE - ERP =&gt; SOUS-SEGMENT'!$C$8:$C$1000=$C11)*'ANALYSE - ERP =&gt; SOUS-SEGMENT'!$Q$8:$Q$1000*'ANALYSE - ERP =&gt; SOUS-SEGMENT'!$EB$8:$EB$1000*'ANALYSE - ERP =&gt; SOUS-SEGMENT'!$CY$8:$CY$1000)/SUMPRODUCT(('ANALYSE - ERP =&gt; SOUS-SEGMENT'!$C$8:$C$1000=$C11)*'ANALYSE - ERP =&gt; SOUS-SEGMENT'!$Q$8:$Q$1000*'ANALYSE - ERP =&gt; SOUS-SEGMENT'!$EB$8:$EB$1000),""))</f>
        <v>10.106382978723405</v>
      </c>
      <c r="CZ11" s="808">
        <f>IF($C11="","",IFERROR(SUMPRODUCT(('ANALYSE - ERP =&gt; SOUS-SEGMENT'!$C$8:$C$1000=$C11)*'ANALYSE - ERP =&gt; SOUS-SEGMENT'!$Q$8:$Q$1000*'ANALYSE - ERP =&gt; SOUS-SEGMENT'!$EC$8:$EC$1000*'ANALYSE - ERP =&gt; SOUS-SEGMENT'!$CZ$8:$CZ$1000)/SUMPRODUCT(('ANALYSE - ERP =&gt; SOUS-SEGMENT'!$C$8:$C$1000=$C11)*'ANALYSE - ERP =&gt; SOUS-SEGMENT'!$Q$8:$Q$1000*'ANALYSE - ERP =&gt; SOUS-SEGMENT'!$EC$8:$EC$1000),""))</f>
        <v>13</v>
      </c>
      <c r="DA11" s="808">
        <f>IF($C11="","",IFERROR(SUMPRODUCT(('ANALYSE - ERP =&gt; SOUS-SEGMENT'!$C$8:$C$1000=$C11)*'ANALYSE - ERP =&gt; SOUS-SEGMENT'!$Q$8:$Q$1000*'ANALYSE - ERP =&gt; SOUS-SEGMENT'!$ED$8:$ED$1000*'ANALYSE - ERP =&gt; SOUS-SEGMENT'!$DA$8:$DA$1000)/SUMPRODUCT(('ANALYSE - ERP =&gt; SOUS-SEGMENT'!$C$8:$C$1000=$C11)*'ANALYSE - ERP =&gt; SOUS-SEGMENT'!$Q$8:$Q$1000*'ANALYSE - ERP =&gt; SOUS-SEGMENT'!$ED$8:$ED$1000),""))</f>
        <v>9</v>
      </c>
      <c r="DB11" s="809">
        <f>IF($C11="","",IFERROR(SUMPRODUCT(('ANALYSE - ERP =&gt; SOUS-SEGMENT'!$C$8:$C$1000=$C11)*'ANALYSE - ERP =&gt; SOUS-SEGMENT'!$Q$8:$Q$1000*'ANALYSE - ERP =&gt; SOUS-SEGMENT'!$EE$8:$EE$1000*'ANALYSE - ERP =&gt; SOUS-SEGMENT'!$DB$8:$DB$1000)/SUMPRODUCT(('ANALYSE - ERP =&gt; SOUS-SEGMENT'!$C$8:$C$1000=$C11)*'ANALYSE - ERP =&gt; SOUS-SEGMENT'!$Q$8:$Q$1000*'ANALYSE - ERP =&gt; SOUS-SEGMENT'!$EE$8:$EE$1000),""))</f>
        <v>11</v>
      </c>
      <c r="DC11" s="807">
        <f>IF($C11="","",IFERROR(SUMPRODUCT(('ANALYSE - ERP =&gt; SOUS-SEGMENT'!$C$8:$C$1000=$C11)*'ANALYSE - ERP =&gt; SOUS-SEGMENT'!$Q$8:$Q$1000*'ANALYSE - ERP =&gt; SOUS-SEGMENT'!$EM$8:$EM$1000*'ANALYSE - ERP =&gt; SOUS-SEGMENT'!$DC$8:$DC$1000)/SUMPRODUCT(('ANALYSE - ERP =&gt; SOUS-SEGMENT'!$C$8:$C$1000=$C11)*'ANALYSE - ERP =&gt; SOUS-SEGMENT'!$Q$8:$Q$1000*'ANALYSE - ERP =&gt; SOUS-SEGMENT'!$EM$8:$EM$1000),""))</f>
        <v>11.265273311897106</v>
      </c>
      <c r="DD11" s="808">
        <f>IF($C11="","",IFERROR(SUMPRODUCT(('ANALYSE - ERP =&gt; SOUS-SEGMENT'!$C$8:$C$1000=$C11)*'ANALYSE - ERP =&gt; SOUS-SEGMENT'!$Q$8:$Q$1000*'ANALYSE - ERP =&gt; SOUS-SEGMENT'!$EN$8:$EN$1000*'ANALYSE - ERP =&gt; SOUS-SEGMENT'!$DD$8:$DD$1000)/SUMPRODUCT(('ANALYSE - ERP =&gt; SOUS-SEGMENT'!$C$8:$C$1000=$C11)*'ANALYSE - ERP =&gt; SOUS-SEGMENT'!$Q$8:$Q$1000*'ANALYSE - ERP =&gt; SOUS-SEGMENT'!$EN$8:$EN$1000),""))</f>
        <v>13.05552470849528</v>
      </c>
      <c r="DE11" s="809">
        <f>IF($C11="","",IFERROR(SUMPRODUCT(('ANALYSE - ERP =&gt; SOUS-SEGMENT'!$C$8:$C$1000=$C11)*'ANALYSE - ERP =&gt; SOUS-SEGMENT'!$Q$8:$Q$1000*'ANALYSE - ERP =&gt; SOUS-SEGMENT'!$EO$8:$EO$1000*'ANALYSE - ERP =&gt; SOUS-SEGMENT'!$DE$8:$DE$1000)/SUMPRODUCT(('ANALYSE - ERP =&gt; SOUS-SEGMENT'!$C$8:$C$1000=$C11)*'ANALYSE - ERP =&gt; SOUS-SEGMENT'!$Q$8:$Q$1000*'ANALYSE - ERP =&gt; SOUS-SEGMENT'!$EO$8:$EO$1000),""))</f>
        <v>10</v>
      </c>
      <c r="DF11" s="921" t="s">
        <v>5390</v>
      </c>
      <c r="DG11" s="657"/>
      <c r="DH11" s="288">
        <f>IF($C11="","",SUMPRODUCT(('ANALYSE - ERP =&gt; SOUS-SEGMENT'!$C$8:$C$1000=$C11)*'ANALYSE - ERP =&gt; SOUS-SEGMENT'!$Q$8:$Q$1000*'ANALYSE - ERP =&gt; SOUS-SEGMENT'!$DH$8:$DH$1000))</f>
        <v>13586.4</v>
      </c>
      <c r="DI11" s="288">
        <f>IF($C11="","",SUMPRODUCT(('ANALYSE - ERP =&gt; SOUS-SEGMENT'!$C$8:$C$1000=$C11)*'ANALYSE - ERP =&gt; SOUS-SEGMENT'!$Q$8:$Q$1000*'ANALYSE - ERP =&gt; SOUS-SEGMENT'!$DI$8:$DI$1000))</f>
        <v>74511.600000000006</v>
      </c>
      <c r="DJ11" s="288">
        <f>IF($C11="","",SUMPRODUCT(('ANALYSE - ERP =&gt; SOUS-SEGMENT'!$C$8:$C$1000=$C11)*'ANALYSE - ERP =&gt; SOUS-SEGMENT'!$Q$8:$Q$1000*'ANALYSE - ERP =&gt; SOUS-SEGMENT'!$DJ$8:$DJ$1000))</f>
        <v>6193.2</v>
      </c>
      <c r="DK11" s="288">
        <f>IF($C11="","",SUMPRODUCT(('ANALYSE - ERP =&gt; SOUS-SEGMENT'!$C$8:$C$1000=$C11)*'ANALYSE - ERP =&gt; SOUS-SEGMENT'!$Q$8:$Q$1000*'ANALYSE - ERP =&gt; SOUS-SEGMENT'!$DK$8:$DK$1000))</f>
        <v>3928.8</v>
      </c>
      <c r="DL11" s="922" t="s">
        <v>5391</v>
      </c>
      <c r="DM11" s="288">
        <f>IF($C11="","",SUMPRODUCT(('ANALYSE - ERP =&gt; SOUS-SEGMENT'!$C$8:$C$1000=$C11)*'ANALYSE - ERP =&gt; SOUS-SEGMENT'!$Q$8:$Q$1000*'ANALYSE - ERP =&gt; SOUS-SEGMENT'!$DM$8:$DM$1000))</f>
        <v>12364.75</v>
      </c>
      <c r="DN11" s="288">
        <f>IF($C11="","",SUMPRODUCT(('ANALYSE - ERP =&gt; SOUS-SEGMENT'!$C$8:$C$1000=$C11)*'ANALYSE - ERP =&gt; SOUS-SEGMENT'!$Q$8:$Q$1000*'ANALYSE - ERP =&gt; SOUS-SEGMENT'!$DN$8:$DN$1000))</f>
        <v>83090.55</v>
      </c>
      <c r="DO11" s="288">
        <f>IF($C11="","",SUMPRODUCT(('ANALYSE - ERP =&gt; SOUS-SEGMENT'!$C$8:$C$1000=$C11)*'ANALYSE - ERP =&gt; SOUS-SEGMENT'!$Q$8:$Q$1000*'ANALYSE - ERP =&gt; SOUS-SEGMENT'!$DO$8:$DO$1000))</f>
        <v>9154.35</v>
      </c>
      <c r="DP11" s="288">
        <f>IF($C11="","",SUMPRODUCT(('ANALYSE - ERP =&gt; SOUS-SEGMENT'!$C$8:$C$1000=$C11)*'ANALYSE - ERP =&gt; SOUS-SEGMENT'!$Q$8:$Q$1000*'ANALYSE - ERP =&gt; SOUS-SEGMENT'!$DP$8:$DP$1000))</f>
        <v>3235.35</v>
      </c>
      <c r="DQ11" s="922" t="s">
        <v>5392</v>
      </c>
      <c r="DR11" s="657"/>
      <c r="DS11" s="288">
        <f>IF($C11="","",SUMPRODUCT(('ANALYSE - ERP =&gt; SOUS-SEGMENT'!$C$8:$C$1000=$C11)*'ANALYSE - ERP =&gt; SOUS-SEGMENT'!$Q$8:$Q$1000*'ANALYSE - ERP =&gt; SOUS-SEGMENT'!$DS$8:$DS$1000))</f>
        <v>6615</v>
      </c>
      <c r="DT11" s="288">
        <f>IF($C11="","",SUMPRODUCT(('ANALYSE - ERP =&gt; SOUS-SEGMENT'!$C$8:$C$1000=$C11)*'ANALYSE - ERP =&gt; SOUS-SEGMENT'!$Q$8:$Q$1000*'ANALYSE - ERP =&gt; SOUS-SEGMENT'!$DT$8:$DT$1000))</f>
        <v>17199</v>
      </c>
      <c r="DU11" s="288">
        <f>IF($C11="","",SUMPRODUCT(('ANALYSE - ERP =&gt; SOUS-SEGMENT'!$C$8:$C$1000=$C11)*'ANALYSE - ERP =&gt; SOUS-SEGMENT'!$Q$8:$Q$1000*'ANALYSE - ERP =&gt; SOUS-SEGMENT'!$DU$8:$DU$1000))</f>
        <v>2646</v>
      </c>
      <c r="DV11" s="922" t="s">
        <v>2613</v>
      </c>
      <c r="DW11" s="288">
        <f>IF($C11="","",SUMPRODUCT(('ANALYSE - ERP =&gt; SOUS-SEGMENT'!$C$8:$C$1000=$C11)*'ANALYSE - ERP =&gt; SOUS-SEGMENT'!$Q$8:$Q$1000*'ANALYSE - ERP =&gt; SOUS-SEGMENT'!$DW$8:$DW$1000))</f>
        <v>5852</v>
      </c>
      <c r="DX11" s="288">
        <f>IF($C11="","",SUMPRODUCT(('ANALYSE - ERP =&gt; SOUS-SEGMENT'!$C$8:$C$1000=$C11)*'ANALYSE - ERP =&gt; SOUS-SEGMENT'!$Q$8:$Q$1000*'ANALYSE - ERP =&gt; SOUS-SEGMENT'!$DX$8:$DX$1000))</f>
        <v>19896.800000000003</v>
      </c>
      <c r="DY11" s="288">
        <f>IF($C11="","",SUMPRODUCT(('ANALYSE - ERP =&gt; SOUS-SEGMENT'!$C$8:$C$1000=$C11)*'ANALYSE - ERP =&gt; SOUS-SEGMENT'!$Q$8:$Q$1000*'ANALYSE - ERP =&gt; SOUS-SEGMENT'!$DY$8:$DY$1000))</f>
        <v>3511.2</v>
      </c>
      <c r="DZ11" s="922" t="s">
        <v>2613</v>
      </c>
      <c r="EA11" s="657"/>
      <c r="EB11" s="288">
        <f>IF($C11="","",SUMPRODUCT(('ANALYSE - ERP =&gt; SOUS-SEGMENT'!$C$8:$C$1000=$C11)*'ANALYSE - ERP =&gt; SOUS-SEGMENT'!$Q$8:$Q$1000*'ANALYSE - ERP =&gt; SOUS-SEGMENT'!$EB$8:$EB$1000))</f>
        <v>1692</v>
      </c>
      <c r="EC11" s="288">
        <f>IF($C11="","",SUMPRODUCT(('ANALYSE - ERP =&gt; SOUS-SEGMENT'!$C$8:$C$1000=$C11)*'ANALYSE - ERP =&gt; SOUS-SEGMENT'!$Q$8:$Q$1000*'ANALYSE - ERP =&gt; SOUS-SEGMENT'!$EC$8:$EC$1000))</f>
        <v>18894</v>
      </c>
      <c r="ED11" s="288">
        <f>IF($C11="","",SUMPRODUCT(('ANALYSE - ERP =&gt; SOUS-SEGMENT'!$C$8:$C$1000=$C11)*'ANALYSE - ERP =&gt; SOUS-SEGMENT'!$Q$8:$Q$1000*'ANALYSE - ERP =&gt; SOUS-SEGMENT'!$ED$8:$ED$1000))</f>
        <v>2946.6</v>
      </c>
      <c r="EE11" s="288">
        <f>IF($C11="","",SUMPRODUCT(('ANALYSE - ERP =&gt; SOUS-SEGMENT'!$C$8:$C$1000=$C11)*'ANALYSE - ERP =&gt; SOUS-SEGMENT'!$Q$8:$Q$1000*'ANALYSE - ERP =&gt; SOUS-SEGMENT'!$EE$8:$EE$1000))</f>
        <v>8207.4000000000015</v>
      </c>
      <c r="EF11" s="922" t="s">
        <v>5393</v>
      </c>
      <c r="EG11" s="288">
        <f>IF($C11="","",SUMPRODUCT(('ANALYSE - ERP =&gt; SOUS-SEGMENT'!$C$8:$C$1000=$C11)*'ANALYSE - ERP =&gt; SOUS-SEGMENT'!$Q$8:$Q$1000*'ANALYSE - ERP =&gt; SOUS-SEGMENT'!$EG$8:$EG$1000))</f>
        <v>1488.1000000000001</v>
      </c>
      <c r="EH11" s="288">
        <f>IF($C11="","",SUMPRODUCT(('ANALYSE - ERP =&gt; SOUS-SEGMENT'!$C$8:$C$1000=$C11)*'ANALYSE - ERP =&gt; SOUS-SEGMENT'!$Q$8:$Q$1000*'ANALYSE - ERP =&gt; SOUS-SEGMENT'!$EH$8:$EH$1000))</f>
        <v>20816.5</v>
      </c>
      <c r="EI11" s="288">
        <f>IF($C11="","",SUMPRODUCT(('ANALYSE - ERP =&gt; SOUS-SEGMENT'!$C$8:$C$1000=$C11)*'ANALYSE - ERP =&gt; SOUS-SEGMENT'!$Q$8:$Q$1000*'ANALYSE - ERP =&gt; SOUS-SEGMENT'!$EI$8:$EI$1000))</f>
        <v>3949.3</v>
      </c>
      <c r="EJ11" s="288">
        <f>IF($C11="","",SUMPRODUCT(('ANALYSE - ERP =&gt; SOUS-SEGMENT'!$C$8:$C$1000=$C11)*'ANALYSE - ERP =&gt; SOUS-SEGMENT'!$Q$8:$Q$1000*'ANALYSE - ERP =&gt; SOUS-SEGMENT'!$EJ$8:$EJ$1000))</f>
        <v>8691.1</v>
      </c>
      <c r="EK11" s="922" t="s">
        <v>5394</v>
      </c>
      <c r="EL11" s="657"/>
      <c r="EM11" s="288">
        <f>IF($C11="","",SUMPRODUCT(('ANALYSE - ERP =&gt; SOUS-SEGMENT'!$C$8:$C$1000=$C11)*'ANALYSE - ERP =&gt; SOUS-SEGMENT'!$Q$8:$Q$1000*'ANALYSE - ERP =&gt; SOUS-SEGMENT'!$EM$8:$EM$1000))</f>
        <v>37320</v>
      </c>
      <c r="EN11" s="291">
        <f>IF($C11="","",SUMPRODUCT(('ANALYSE - ERP =&gt; SOUS-SEGMENT'!$C$8:$C$1000=$C11)*'ANALYSE - ERP =&gt; SOUS-SEGMENT'!$Q$8:$Q$1000*'ANALYSE - ERP =&gt; SOUS-SEGMENT'!$EN$8:$EN$1000))</f>
        <v>32418</v>
      </c>
      <c r="EO11" s="291">
        <f>IF($C11="","",SUMPRODUCT(('ANALYSE - ERP =&gt; SOUS-SEGMENT'!$C$8:$C$1000=$C11)*'ANALYSE - ERP =&gt; SOUS-SEGMENT'!$Q$8:$Q$1000*'ANALYSE - ERP =&gt; SOUS-SEGMENT'!$EO$8:$EO$1000))</f>
        <v>4302</v>
      </c>
      <c r="EP11" s="922" t="s">
        <v>5395</v>
      </c>
      <c r="EQ11" s="288">
        <f>IF($C11="","",SUMPRODUCT(('ANALYSE - ERP =&gt; SOUS-SEGMENT'!$C$8:$C$1000=$C11)*'ANALYSE - ERP =&gt; SOUS-SEGMENT'!$Q$8:$Q$1000*'ANALYSE - ERP =&gt; SOUS-SEGMENT'!$EQ$8:$EQ$1000))</f>
        <v>32925.4</v>
      </c>
      <c r="ER11" s="291">
        <f>IF($C11="","",SUMPRODUCT(('ANALYSE - ERP =&gt; SOUS-SEGMENT'!$C$8:$C$1000=$C11)*'ANALYSE - ERP =&gt; SOUS-SEGMENT'!$Q$8:$Q$1000*'ANALYSE - ERP =&gt; SOUS-SEGMENT'!$ER$8:$ER$1000))</f>
        <v>39606.6</v>
      </c>
      <c r="ES11" s="291">
        <f>IF($C11="","",SUMPRODUCT(('ANALYSE - ERP =&gt; SOUS-SEGMENT'!$C$8:$C$1000=$C11)*'ANALYSE - ERP =&gt; SOUS-SEGMENT'!$Q$8:$Q$1000*'ANALYSE - ERP =&gt; SOUS-SEGMENT'!$ES$8:$ES$1000))</f>
        <v>8728</v>
      </c>
      <c r="ET11" s="922" t="s">
        <v>5396</v>
      </c>
      <c r="EU11" s="657"/>
      <c r="EV11" s="740">
        <f t="shared" si="31"/>
        <v>0.56646374231036356</v>
      </c>
      <c r="EW11" s="740">
        <f t="shared" si="32"/>
        <v>0.43353625768963644</v>
      </c>
      <c r="EX11" s="563">
        <f t="shared" si="33"/>
        <v>88138.207871312319</v>
      </c>
      <c r="EY11" s="563">
        <f t="shared" si="34"/>
        <v>49927.099071312317</v>
      </c>
      <c r="EZ11" s="563">
        <f t="shared" si="35"/>
        <v>38211.108800000002</v>
      </c>
      <c r="FA11" s="563">
        <f t="shared" si="36"/>
        <v>37519.742181816116</v>
      </c>
      <c r="FB11" s="563">
        <f>IF($C11="","",SUMPRODUCT(('ANALYSE - ERP =&gt; SOUS-SEGMENT'!$C$8:$C$1000=$C11)*'ANALYSE - ERP =&gt; SOUS-SEGMENT'!$Q$8:$Q$1000*'ANALYSE - ERP =&gt; SOUS-SEGMENT'!$FB$8:$FB$1000))</f>
        <v>21375.630581816116</v>
      </c>
      <c r="FC11" s="563">
        <f>IF($C11="","",SUMPRODUCT(('ANALYSE - ERP =&gt; SOUS-SEGMENT'!$C$8:$C$1000=$C11)*'ANALYSE - ERP =&gt; SOUS-SEGMENT'!$Q$8:$Q$1000*'ANALYSE - ERP =&gt; SOUS-SEGMENT'!$FC$8:$FC$1000))</f>
        <v>16144.1116</v>
      </c>
      <c r="FD11" s="563">
        <f t="shared" si="37"/>
        <v>10163.174492800001</v>
      </c>
      <c r="FE11" s="563">
        <f>IF($C11="","",SUMPRODUCT(('ANALYSE - ERP =&gt; SOUS-SEGMENT'!$C$8:$C$1000=$C11)*'ANALYSE - ERP =&gt; SOUS-SEGMENT'!$Q$8:$Q$1000*'ANALYSE - ERP =&gt; SOUS-SEGMENT'!$FE$8:$FE$1000))</f>
        <v>5556.4856927999999</v>
      </c>
      <c r="FF11" s="563">
        <f>IF($C11="","",SUMPRODUCT(('ANALYSE - ERP =&gt; SOUS-SEGMENT'!$C$8:$C$1000=$C11)*'ANALYSE - ERP =&gt; SOUS-SEGMENT'!$Q$8:$Q$1000*'ANALYSE - ERP =&gt; SOUS-SEGMENT'!$FF$8:$FF$1000))</f>
        <v>4606.6887999999999</v>
      </c>
      <c r="FG11" s="563">
        <f t="shared" si="38"/>
        <v>12200.553615210491</v>
      </c>
      <c r="FH11" s="563">
        <f>IF($C11="","",SUMPRODUCT(('ANALYSE - ERP =&gt; SOUS-SEGMENT'!$C$8:$C$1000=$C11)*'ANALYSE - ERP =&gt; SOUS-SEGMENT'!$Q$8:$Q$1000*'ANALYSE - ERP =&gt; SOUS-SEGMENT'!$FH$8:$FH$1000))</f>
        <v>6865.816415210491</v>
      </c>
      <c r="FI11" s="563">
        <f>IF($C11="","",SUMPRODUCT(('ANALYSE - ERP =&gt; SOUS-SEGMENT'!$C$8:$C$1000=$C11)*'ANALYSE - ERP =&gt; SOUS-SEGMENT'!$Q$8:$Q$1000*'ANALYSE - ERP =&gt; SOUS-SEGMENT'!$FI$8:$FI$1000))</f>
        <v>5334.7371999999996</v>
      </c>
      <c r="FJ11" s="563">
        <f t="shared" si="39"/>
        <v>28254.737581485711</v>
      </c>
      <c r="FK11" s="563">
        <f>IF($C11="","",SUMPRODUCT(('ANALYSE - ERP =&gt; SOUS-SEGMENT'!$C$8:$C$1000=$C11)*'ANALYSE - ERP =&gt; SOUS-SEGMENT'!$Q$8:$Q$1000*'ANALYSE - ERP =&gt; SOUS-SEGMENT'!$FK$8:$FK$1000))</f>
        <v>16129.166381485713</v>
      </c>
      <c r="FL11" s="563">
        <f>IF($C11="","",SUMPRODUCT(('ANALYSE - ERP =&gt; SOUS-SEGMENT'!$C$8:$C$1000=$C11)*'ANALYSE - ERP =&gt; SOUS-SEGMENT'!$Q$8:$Q$1000*'ANALYSE - ERP =&gt; SOUS-SEGMENT'!$FL$8:$FL$1000))</f>
        <v>12125.571199999998</v>
      </c>
      <c r="FM11" s="529"/>
      <c r="FN11" s="961" t="s">
        <v>2649</v>
      </c>
      <c r="FO11" s="740">
        <f>IF($C11="","",IFERROR(SUMPRODUCT(('ANALYSE - ERP =&gt; SOUS-SEGMENT'!$C$8:$C$1000=$C11)*'ANALYSE - ERP =&gt; SOUS-SEGMENT'!$Q$8:$Q$1000*'ANALYSE - ERP =&gt; SOUS-SEGMENT'!$AF$8:$AF$1000*'ANALYSE - ERP =&gt; SOUS-SEGMENT'!$FO$8:$FO$1000)/SUMPRODUCT(('ANALYSE - ERP =&gt; SOUS-SEGMENT'!$C$8:$C$1000=$C11)*'ANALYSE - ERP =&gt; SOUS-SEGMENT'!$Q$8:$Q$1000*'ANALYSE - ERP =&gt; SOUS-SEGMENT'!$AF$8:$AF$1000),""))</f>
        <v>6.118340909090908E-2</v>
      </c>
      <c r="FP11" s="741">
        <f>IF($C11="","",IFERROR(SUMPRODUCT(('ANALYSE - ERP =&gt; SOUS-SEGMENT'!$C$8:$C$1000=$C11)*'ANALYSE - ERP =&gt; SOUS-SEGMENT'!$Q$8:$Q$1000*'ANALYSE - ERP =&gt; SOUS-SEGMENT'!$AF$8:$AF$1000*'ANALYSE - ERP =&gt; SOUS-SEGMENT'!$FP$8:$FP$1000)/SUMPRODUCT(('ANALYSE - ERP =&gt; SOUS-SEGMENT'!$C$8:$C$1000=$C11)*'ANALYSE - ERP =&gt; SOUS-SEGMENT'!$Q$8:$Q$1000*'ANALYSE - ERP =&gt; SOUS-SEGMENT'!$AF$8:$AF$1000),""))</f>
        <v>0.84224602272727278</v>
      </c>
      <c r="FQ11" s="961" t="s">
        <v>5397</v>
      </c>
      <c r="FR11" s="529"/>
      <c r="FS11" s="867">
        <f>IF($C11="","",IFERROR(SUMPRODUCT(('ANALYSE - ERP =&gt; SOUS-SEGMENT'!$C$8:$C$1000=$C11)*'ANALYSE - ERP =&gt; SOUS-SEGMENT'!$Q$8:$Q$1000*'ANALYSE - ERP =&gt; SOUS-SEGMENT'!$EX$8:$EX$1000*'ANALYSE - ERP =&gt; SOUS-SEGMENT'!$FS$8:$FS$1000)/SUMPRODUCT(('ANALYSE - ERP =&gt; SOUS-SEGMENT'!$C$8:$C$1000=$C11)*'ANALYSE - ERP =&gt; SOUS-SEGMENT'!$Q$8:$Q$1000*'ANALYSE - ERP =&gt; SOUS-SEGMENT'!$EX$8:$EX$1000),""))</f>
        <v>3.3431375393835747</v>
      </c>
      <c r="FT11" s="566">
        <f>IF($C11="","",RANK($FS11,$FS$8:$FS$43,0)+COUNTIF($FS$8:$FS11,$FS11)-1)</f>
        <v>17</v>
      </c>
      <c r="FU11" s="867">
        <f>IF($C11="","",IFERROR(SUMPRODUCT(('ANALYSE - ERP =&gt; SOUS-SEGMENT'!$C$8:$C$1000=$C11)*'ANALYSE - ERP =&gt; SOUS-SEGMENT'!$Q$8:$Q$1000*'ANALYSE - ERP =&gt; SOUS-SEGMENT'!$EY$8:$EY$1000*'ANALYSE - ERP =&gt; SOUS-SEGMENT'!$FU$8:$FU$1000)/SUMPRODUCT(('ANALYSE - ERP =&gt; SOUS-SEGMENT'!$C$8:$C$1000=$C11)*'ANALYSE - ERP =&gt; SOUS-SEGMENT'!$Q$8:$Q$1000*'ANALYSE - ERP =&gt; SOUS-SEGMENT'!$EY$8:$EY$1000),""))</f>
        <v>3.9668679579833017</v>
      </c>
      <c r="FV11" s="566">
        <f>IF($C11="","",RANK($FU11,$FU$8:$FU$43,0)+COUNTIF($FU$8:$FU11,$FU11)-1)</f>
        <v>19</v>
      </c>
      <c r="FW11" s="867">
        <f>IF($C11="","",IFERROR(SUMPRODUCT(('ANALYSE - ERP =&gt; SOUS-SEGMENT'!$C$8:$C$1000=$C11)*'ANALYSE - ERP =&gt; SOUS-SEGMENT'!$Q$8:$Q$1000*'ANALYSE - ERP =&gt; SOUS-SEGMENT'!$EZ$8:$EZ$1000*'ANALYSE - ERP =&gt; SOUS-SEGMENT'!$FW$8:$FW$1000)/SUMPRODUCT(('ANALYSE - ERP =&gt; SOUS-SEGMENT'!$C$8:$C$1000=$C11)*'ANALYSE - ERP =&gt; SOUS-SEGMENT'!$Q$8:$Q$1000*'ANALYSE - ERP =&gt; SOUS-SEGMENT'!$EZ$8:$EZ$1000),""))</f>
        <v>2.5664534158715644</v>
      </c>
      <c r="FX11" s="566">
        <f>IF($C11="","",RANK($FW11,$FW$8:$FW$43,0)+COUNTIF($FW$8:$FW11,$FW11)-1)</f>
        <v>9</v>
      </c>
      <c r="FY11" s="529"/>
      <c r="FZ11" s="922" t="s">
        <v>5398</v>
      </c>
      <c r="GA11" s="922" t="s">
        <v>5399</v>
      </c>
      <c r="GB11" s="922" t="s">
        <v>5400</v>
      </c>
      <c r="GC11" s="922" t="s">
        <v>5401</v>
      </c>
      <c r="GD11" s="922" t="s">
        <v>5402</v>
      </c>
      <c r="GE11" s="922" t="s">
        <v>5403</v>
      </c>
      <c r="GF11" s="923" t="s">
        <v>5404</v>
      </c>
      <c r="GG11" s="529"/>
      <c r="GH11" s="563">
        <f t="shared" si="40"/>
        <v>4811.5511884443076</v>
      </c>
      <c r="GI11" s="563">
        <f>IF($C11="","",SUMPRODUCT(('ANALYSE - ERP =&gt; SOUS-SEGMENT'!$C$8:$C$1000=$C11)*'ANALYSE - ERP =&gt; SOUS-SEGMENT'!$Q$8:$Q$1000*'ANALYSE - ERP =&gt; SOUS-SEGMENT'!$GI$8:$GI$1000))</f>
        <v>3123.6925284443078</v>
      </c>
      <c r="GJ11" s="563">
        <f>IF($C11="","",SUMPRODUCT(('ANALYSE - ERP =&gt; SOUS-SEGMENT'!$C$8:$C$1000=$C11)*'ANALYSE - ERP =&gt; SOUS-SEGMENT'!$Q$8:$Q$1000*'ANALYSE - ERP =&gt; SOUS-SEGMENT'!$GJ$8:$GJ$1000))</f>
        <v>1687.8586600000001</v>
      </c>
      <c r="GK11" s="563">
        <f t="shared" si="41"/>
        <v>28612.179054245142</v>
      </c>
      <c r="GL11" s="563">
        <f>IF($C11="","",SUMPRODUCT(('ANALYSE - ERP =&gt; SOUS-SEGMENT'!$C$8:$C$1000=$C11)*'ANALYSE - ERP =&gt; SOUS-SEGMENT'!$Q$8:$Q$1000*'ANALYSE - ERP =&gt; SOUS-SEGMENT'!$GL$8:$GL$1000))</f>
        <v>15956.260890245143</v>
      </c>
      <c r="GM11" s="563">
        <f>IF($C11="","",SUMPRODUCT(('ANALYSE - ERP =&gt; SOUS-SEGMENT'!$C$8:$C$1000=$C11)*'ANALYSE - ERP =&gt; SOUS-SEGMENT'!$Q$8:$Q$1000*'ANALYSE - ERP =&gt; SOUS-SEGMENT'!$GM$8:$GM$1000))</f>
        <v>12655.918164000001</v>
      </c>
      <c r="GN11" s="563">
        <f t="shared" si="42"/>
        <v>2750.4288508760001</v>
      </c>
      <c r="GO11" s="563">
        <f>IF($C11="","",SUMPRODUCT(('ANALYSE - ERP =&gt; SOUS-SEGMENT'!$C$8:$C$1000=$C11)*'ANALYSE - ERP =&gt; SOUS-SEGMENT'!$Q$8:$Q$1000*'ANALYSE - ERP =&gt; SOUS-SEGMENT'!$GO$8:$GO$1000))</f>
        <v>1434.4174228759998</v>
      </c>
      <c r="GP11" s="563">
        <f>IF($C11="","",SUMPRODUCT(('ANALYSE - ERP =&gt; SOUS-SEGMENT'!$C$8:$C$1000=$C11)*'ANALYSE - ERP =&gt; SOUS-SEGMENT'!$Q$8:$Q$1000*'ANALYSE - ERP =&gt; SOUS-SEGMENT'!$GP$8:$GP$1000))</f>
        <v>1316.011428</v>
      </c>
      <c r="GQ11" s="563">
        <f t="shared" si="43"/>
        <v>1345.5830882506666</v>
      </c>
      <c r="GR11" s="563">
        <f>IF($C11="","",SUMPRODUCT(('ANALYSE - ERP =&gt; SOUS-SEGMENT'!$C$8:$C$1000=$C11)*'ANALYSE - ERP =&gt; SOUS-SEGMENT'!$Q$8:$Q$1000*'ANALYSE - ERP =&gt; SOUS-SEGMENT'!$GR$8:$GR$1000))</f>
        <v>861.2597402506666</v>
      </c>
      <c r="GS11" s="563">
        <f>IF($C11="","",SUMPRODUCT(('ANALYSE - ERP =&gt; SOUS-SEGMENT'!$C$8:$C$1000=$C11)*'ANALYSE - ERP =&gt; SOUS-SEGMENT'!$Q$8:$Q$1000*'ANALYSE - ERP =&gt; SOUS-SEGMENT'!$GS$8:$GS$1000))</f>
        <v>484.32334800000001</v>
      </c>
      <c r="GT11" s="563">
        <f t="shared" si="44"/>
        <v>2310.4591832000001</v>
      </c>
      <c r="GU11" s="563">
        <f>IF($C11="","",SUMPRODUCT(('ANALYSE - ERP =&gt; SOUS-SEGMENT'!$C$8:$C$1000=$C11)*'ANALYSE - ERP =&gt; SOUS-SEGMENT'!$Q$8:$Q$1000*'ANALYSE - ERP =&gt; SOUS-SEGMENT'!$GU$8:$GU$1000))</f>
        <v>1389.1214232</v>
      </c>
      <c r="GV11" s="563">
        <f>IF($C11="","",SUMPRODUCT(('ANALYSE - ERP =&gt; SOUS-SEGMENT'!$C$8:$C$1000=$C11)*'ANALYSE - ERP =&gt; SOUS-SEGMENT'!$Q$8:$Q$1000*'ANALYSE - ERP =&gt; SOUS-SEGMENT'!$GV$8:$GV$1000))</f>
        <v>921.33776</v>
      </c>
      <c r="GW11" s="563">
        <f t="shared" si="45"/>
        <v>6744.2640843200006</v>
      </c>
      <c r="GX11" s="563">
        <f>IF($C11="","",SUMPRODUCT(('ANALYSE - ERP =&gt; SOUS-SEGMENT'!$C$8:$C$1000=$C11)*'ANALYSE - ERP =&gt; SOUS-SEGMENT'!$Q$8:$Q$1000*'ANALYSE - ERP =&gt; SOUS-SEGMENT'!$GX$8:$GX$1000))</f>
        <v>3611.71570032</v>
      </c>
      <c r="GY11" s="563">
        <f>IF($C11="","",SUMPRODUCT(('ANALYSE - ERP =&gt; SOUS-SEGMENT'!$C$8:$C$1000=$C11)*'ANALYSE - ERP =&gt; SOUS-SEGMENT'!$Q$8:$Q$1000*'ANALYSE - ERP =&gt; SOUS-SEGMENT'!$GY$8:$GY$1000))</f>
        <v>3132.5483840000002</v>
      </c>
      <c r="GZ11" s="563">
        <f t="shared" si="46"/>
        <v>1108.45122528</v>
      </c>
      <c r="HA11" s="563">
        <f>IF($C11="","",SUMPRODUCT(('ANALYSE - ERP =&gt; SOUS-SEGMENT'!$C$8:$C$1000=$C11)*'ANALYSE - ERP =&gt; SOUS-SEGMENT'!$Q$8:$Q$1000*'ANALYSE - ERP =&gt; SOUS-SEGMENT'!$HA$8:$HA$1000))</f>
        <v>555.64856928000006</v>
      </c>
      <c r="HB11" s="563">
        <f>IF($C11="","",SUMPRODUCT(('ANALYSE - ERP =&gt; SOUS-SEGMENT'!$C$8:$C$1000=$C11)*'ANALYSE - ERP =&gt; SOUS-SEGMENT'!$Q$8:$Q$1000*'ANALYSE - ERP =&gt; SOUS-SEGMENT'!$HB$8:$HB$1000))</f>
        <v>552.80265599999996</v>
      </c>
      <c r="HC11" s="563">
        <f t="shared" si="47"/>
        <v>598.96354706909096</v>
      </c>
      <c r="HD11" s="563">
        <f>IF($C11="","",SUMPRODUCT(('ANALYSE - ERP =&gt; SOUS-SEGMENT'!$C$8:$C$1000=$C11)*'ANALYSE - ERP =&gt; SOUS-SEGMENT'!$Q$8:$Q$1000*'ANALYSE - ERP =&gt; SOUS-SEGMENT'!$HD$8:$HD$1000))</f>
        <v>381.37705906909099</v>
      </c>
      <c r="HE11" s="563">
        <f>IF($C11="","",SUMPRODUCT(('ANALYSE - ERP =&gt; SOUS-SEGMENT'!$C$8:$C$1000=$C11)*'ANALYSE - ERP =&gt; SOUS-SEGMENT'!$Q$8:$Q$1000*'ANALYSE - ERP =&gt; SOUS-SEGMENT'!$HE$8:$HE$1000))</f>
        <v>217.586488</v>
      </c>
      <c r="HF11" s="563">
        <f t="shared" si="48"/>
        <v>7236.6743706123079</v>
      </c>
      <c r="HG11" s="563">
        <f>IF($C11="","",SUMPRODUCT(('ANALYSE - ERP =&gt; SOUS-SEGMENT'!$C$8:$C$1000=$C11)*'ANALYSE - ERP =&gt; SOUS-SEGMENT'!$Q$8:$Q$1000*'ANALYSE - ERP =&gt; SOUS-SEGMENT'!$HG$8:$HG$1000))</f>
        <v>4042.8270506123081</v>
      </c>
      <c r="HH11" s="563">
        <f>IF($C11="","",SUMPRODUCT(('ANALYSE - ERP =&gt; SOUS-SEGMENT'!$C$8:$C$1000=$C11)*'ANALYSE - ERP =&gt; SOUS-SEGMENT'!$Q$8:$Q$1000*'ANALYSE - ERP =&gt; SOUS-SEGMENT'!$HH$8:$HH$1000))</f>
        <v>3193.8473199999999</v>
      </c>
      <c r="HI11" s="563">
        <f t="shared" si="49"/>
        <v>1259.8546471879999</v>
      </c>
      <c r="HJ11" s="563">
        <f>IF($C11="","",SUMPRODUCT(('ANALYSE - ERP =&gt; SOUS-SEGMENT'!$C$8:$C$1000=$C11)*'ANALYSE - ERP =&gt; SOUS-SEGMENT'!$Q$8:$Q$1000*'ANALYSE - ERP =&gt; SOUS-SEGMENT'!$HJ$8:$HJ$1000))</f>
        <v>668.13705518800009</v>
      </c>
      <c r="HK11" s="563">
        <f>IF($C11="","",SUMPRODUCT(('ANALYSE - ERP =&gt; SOUS-SEGMENT'!$C$8:$C$1000=$C11)*'ANALYSE - ERP =&gt; SOUS-SEGMENT'!$Q$8:$Q$1000*'ANALYSE - ERP =&gt; SOUS-SEGMENT'!$HK$8:$HK$1000))</f>
        <v>591.71759199999997</v>
      </c>
      <c r="HL11" s="563">
        <f t="shared" si="50"/>
        <v>3105.0610503410908</v>
      </c>
      <c r="HM11" s="563">
        <f>IF($C11="","",SUMPRODUCT(('ANALYSE - ERP =&gt; SOUS-SEGMENT'!$C$8:$C$1000=$C11)*'ANALYSE - ERP =&gt; SOUS-SEGMENT'!$Q$8:$Q$1000*'ANALYSE - ERP =&gt; SOUS-SEGMENT'!$HM$8:$HM$1000))</f>
        <v>1773.4752503410912</v>
      </c>
      <c r="HN11" s="563">
        <f>IF($C11="","",SUMPRODUCT(('ANALYSE - ERP =&gt; SOUS-SEGMENT'!$C$8:$C$1000=$C11)*'ANALYSE - ERP =&gt; SOUS-SEGMENT'!$Q$8:$Q$1000*'ANALYSE - ERP =&gt; SOUS-SEGMENT'!$HN$8:$HN$1000))</f>
        <v>1331.5857999999998</v>
      </c>
      <c r="HO11" s="563">
        <f t="shared" si="51"/>
        <v>12978.902424314285</v>
      </c>
      <c r="HP11" s="563">
        <f>IF($C11="","",SUMPRODUCT(('ANALYSE - ERP =&gt; SOUS-SEGMENT'!$C$8:$C$1000=$C11)*'ANALYSE - ERP =&gt; SOUS-SEGMENT'!$Q$8:$Q$1000*'ANALYSE - ERP =&gt; SOUS-SEGMENT'!$HP$8:$HP$1000))</f>
        <v>8109.0879443142858</v>
      </c>
      <c r="HQ11" s="563">
        <f>IF($C11="","",SUMPRODUCT(('ANALYSE - ERP =&gt; SOUS-SEGMENT'!$C$8:$C$1000=$C11)*'ANALYSE - ERP =&gt; SOUS-SEGMENT'!$Q$8:$Q$1000*'ANALYSE - ERP =&gt; SOUS-SEGMENT'!$HQ$8:$HQ$1000))</f>
        <v>4869.81448</v>
      </c>
      <c r="HR11" s="563">
        <f t="shared" si="52"/>
        <v>12971.250008811428</v>
      </c>
      <c r="HS11" s="563">
        <f>IF($C11="","",SUMPRODUCT(('ANALYSE - ERP =&gt; SOUS-SEGMENT'!$C$8:$C$1000=$C11)*'ANALYSE - ERP =&gt; SOUS-SEGMENT'!$Q$8:$Q$1000*'ANALYSE - ERP =&gt; SOUS-SEGMENT'!$HS$8:$HS$1000))</f>
        <v>6956.0304088114281</v>
      </c>
      <c r="HT11" s="563">
        <f>IF($C11="","",SUMPRODUCT(('ANALYSE - ERP =&gt; SOUS-SEGMENT'!$C$8:$C$1000=$C11)*'ANALYSE - ERP =&gt; SOUS-SEGMENT'!$Q$8:$Q$1000*'ANALYSE - ERP =&gt; SOUS-SEGMENT'!$HT$8:$HT$1000))</f>
        <v>6015.2195999999994</v>
      </c>
      <c r="HU11" s="563">
        <f t="shared" si="53"/>
        <v>2304.5851483599999</v>
      </c>
      <c r="HV11" s="563">
        <f>IF($C11="","",SUMPRODUCT(('ANALYSE - ERP =&gt; SOUS-SEGMENT'!$C$8:$C$1000=$C11)*'ANALYSE - ERP =&gt; SOUS-SEGMENT'!$Q$8:$Q$1000*'ANALYSE - ERP =&gt; SOUS-SEGMENT'!$HV$8:$HV$1000))</f>
        <v>1064.04802836</v>
      </c>
      <c r="HW11" s="563">
        <f>IF($C11="","",SUMPRODUCT(('ANALYSE - ERP =&gt; SOUS-SEGMENT'!$C$8:$C$1000=$C11)*'ANALYSE - ERP =&gt; SOUS-SEGMENT'!$Q$8:$Q$1000*'ANALYSE - ERP =&gt; SOUS-SEGMENT'!$HW$8:$HW$1000))</f>
        <v>1240.53712</v>
      </c>
      <c r="HX11" s="544"/>
      <c r="HY11" s="568">
        <f t="shared" si="54"/>
        <v>230460.00000000003</v>
      </c>
      <c r="HZ11" s="568">
        <f>IF($C11="","",SUMPRODUCT(('ANALYSE - ERP =&gt; SOUS-SEGMENT'!$C$8:$C$1000=$C11)*'ANALYSE - ERP =&gt; SOUS-SEGMENT'!$Q$8:$Q$1000*'ANALYSE - ERP =&gt; SOUS-SEGMENT'!$HZ$8:$HZ$1000))</f>
        <v>7005.09</v>
      </c>
      <c r="IA11" s="568">
        <f>IF($C11="","",SUMPRODUCT(('ANALYSE - ERP =&gt; SOUS-SEGMENT'!$C$8:$C$1000=$C11)*'ANALYSE - ERP =&gt; SOUS-SEGMENT'!$Q$8:$Q$1000*'ANALYSE - ERP =&gt; SOUS-SEGMENT'!$IA$8:$IA$1000))</f>
        <v>83042.934000000008</v>
      </c>
      <c r="IB11" s="568">
        <f>IF($C11="","",SUMPRODUCT(('ANALYSE - ERP =&gt; SOUS-SEGMENT'!$C$8:$C$1000=$C11)*'ANALYSE - ERP =&gt; SOUS-SEGMENT'!$Q$8:$Q$1000*'ANALYSE - ERP =&gt; SOUS-SEGMENT'!$IB$8:$IB$1000))</f>
        <v>111374.31</v>
      </c>
      <c r="IC11" s="568">
        <f>IF($C11="","",SUMPRODUCT(('ANALYSE - ERP =&gt; SOUS-SEGMENT'!$C$8:$C$1000=$C11)*'ANALYSE - ERP =&gt; SOUS-SEGMENT'!$Q$8:$Q$1000*'ANALYSE - ERP =&gt; SOUS-SEGMENT'!$IC$8:$IC$1000))</f>
        <v>28228.745999999999</v>
      </c>
      <c r="ID11" s="568">
        <f>IF($C11="","",SUMPRODUCT(('ANALYSE - ERP =&gt; SOUS-SEGMENT'!$C$8:$C$1000=$C11)*'ANALYSE - ERP =&gt; SOUS-SEGMENT'!$Q$8:$Q$1000*'ANALYSE - ERP =&gt; SOUS-SEGMENT'!$ID$8:$ID$1000))</f>
        <v>808.92000000000007</v>
      </c>
      <c r="IE11" s="568">
        <f t="shared" si="55"/>
        <v>49927.099071312317</v>
      </c>
      <c r="IF11" s="568">
        <f>IF($C11="","",SUMPRODUCT(('ANALYSE - ERP =&gt; SOUS-SEGMENT'!$C$8:$C$1000=$C11)*'ANALYSE - ERP =&gt; SOUS-SEGMENT'!$Q$8:$Q$1000*'ANALYSE - ERP =&gt; SOUS-SEGMENT'!$IF$8:$IF$1000))</f>
        <v>78.018474226054778</v>
      </c>
      <c r="IG11" s="568">
        <f>IF($C11="","",SUMPRODUCT(('ANALYSE - ERP =&gt; SOUS-SEGMENT'!$C$8:$C$1000=$C11)*'ANALYSE - ERP =&gt; SOUS-SEGMENT'!$Q$8:$Q$1000*'ANALYSE - ERP =&gt; SOUS-SEGMENT'!$IG$8:$IG$1000))</f>
        <v>9076.2289246032451</v>
      </c>
      <c r="IH11" s="568">
        <f>IF($C11="","",SUMPRODUCT(('ANALYSE - ERP =&gt; SOUS-SEGMENT'!$C$8:$C$1000=$C11)*'ANALYSE - ERP =&gt; SOUS-SEGMENT'!$Q$8:$Q$1000*'ANALYSE - ERP =&gt; SOUS-SEGMENT'!$IH$8:$IH$1000))</f>
        <v>26315.731856033144</v>
      </c>
      <c r="II11" s="568">
        <f>IF($C11="","",SUMPRODUCT(('ANALYSE - ERP =&gt; SOUS-SEGMENT'!$C$8:$C$1000=$C11)*'ANALYSE - ERP =&gt; SOUS-SEGMENT'!$Q$8:$Q$1000*'ANALYSE - ERP =&gt; SOUS-SEGMENT'!$II$8:$II$1000))</f>
        <v>13385.106290329286</v>
      </c>
      <c r="IJ11" s="568">
        <f>IF($C11="","",SUMPRODUCT(('ANALYSE - ERP =&gt; SOUS-SEGMENT'!$C$8:$C$1000=$C11)*'ANALYSE - ERP =&gt; SOUS-SEGMENT'!$Q$8:$Q$1000*'ANALYSE - ERP =&gt; SOUS-SEGMENT'!$IJ$8:$IJ$1000))</f>
        <v>1072.0135261205869</v>
      </c>
      <c r="IK11" s="868">
        <f>IF($C11="","",IFERROR(SUMPRODUCT(('ANALYSE - ERP =&gt; SOUS-SEGMENT'!$C$8:$C$1000=$C11)*'ANALYSE - ERP =&gt; SOUS-SEGMENT'!$Q$8:$Q$1000*'ANALYSE - ERP =&gt; SOUS-SEGMENT'!$IE$8:$IE$1000*'ANALYSE - ERP =&gt; SOUS-SEGMENT'!$IK$8:$IK$1000)/SUMPRODUCT(('ANALYSE - ERP =&gt; SOUS-SEGMENT'!$C$8:$C$1000=$C11)*'ANALYSE - ERP =&gt; SOUS-SEGMENT'!$Q$8:$Q$1000*'ANALYSE - ERP =&gt; SOUS-SEGMENT'!$IE$8:$IE$1000),""))</f>
        <v>4.0293765308731944</v>
      </c>
      <c r="IL11" s="962" t="s">
        <v>2589</v>
      </c>
      <c r="IM11" s="963" t="s">
        <v>5405</v>
      </c>
      <c r="IN11" s="529"/>
      <c r="IO11" s="742">
        <f>IF($C11="","",IFERROR(SUMPRODUCT(('ANALYSE - ERP =&gt; SOUS-SEGMENT'!$C$8:$C$1000=$C11)*'ANALYSE - ERP =&gt; SOUS-SEGMENT'!$Q$8:$Q$1000*'ANALYSE - ERP =&gt; SOUS-SEGMENT'!$BE$8:$BE$1000*'ANALYSE - ERP =&gt; SOUS-SEGMENT'!$IO$8:$IO$1000)/SUMPRODUCT(('ANALYSE - ERP =&gt; SOUS-SEGMENT'!$C$8:$C$1000=$C11)*'ANALYSE - ERP =&gt; SOUS-SEGMENT'!$Q$8:$Q$1000*'ANALYSE - ERP =&gt; SOUS-SEGMENT'!$BE$8:$BE$1000),""))</f>
        <v>1.6791936469150885E-2</v>
      </c>
      <c r="IP11" s="742">
        <f>IF($C11="","",IFERROR(SUMPRODUCT(('ANALYSE - ERP =&gt; SOUS-SEGMENT'!$C$8:$C$1000=$C11)*'ANALYSE - ERP =&gt; SOUS-SEGMENT'!$Q$8:$Q$1000*'ANALYSE - ERP =&gt; SOUS-SEGMENT'!$BE$8:$BE$1000*'ANALYSE - ERP =&gt; SOUS-SEGMENT'!$IP$8:$IP$1000)/SUMPRODUCT(('ANALYSE - ERP =&gt; SOUS-SEGMENT'!$C$8:$C$1000=$C11)*'ANALYSE - ERP =&gt; SOUS-SEGMENT'!$Q$8:$Q$1000*'ANALYSE - ERP =&gt; SOUS-SEGMENT'!$BE$8:$BE$1000),""))</f>
        <v>0.32814074526573001</v>
      </c>
      <c r="IQ11" s="742">
        <f>IF($C11="","",IFERROR(SUMPRODUCT(('ANALYSE - ERP =&gt; SOUS-SEGMENT'!$C$8:$C$1000=$C11)*'ANALYSE - ERP =&gt; SOUS-SEGMENT'!$Q$8:$Q$1000*'ANALYSE - ERP =&gt; SOUS-SEGMENT'!$BE$8:$BE$1000*'ANALYSE - ERP =&gt; SOUS-SEGMENT'!$IQ$8:$IQ$1000)/SUMPRODUCT(('ANALYSE - ERP =&gt; SOUS-SEGMENT'!$C$8:$C$1000=$C11)*'ANALYSE - ERP =&gt; SOUS-SEGMENT'!$Q$8:$Q$1000*'ANALYSE - ERP =&gt; SOUS-SEGMENT'!$BE$8:$BE$1000),""))</f>
        <v>0.5099753207086134</v>
      </c>
      <c r="IR11" s="742">
        <f>IF($C11="","",IFERROR(SUMPRODUCT(('ANALYSE - ERP =&gt; SOUS-SEGMENT'!$C$8:$C$1000=$C11)*'ANALYSE - ERP =&gt; SOUS-SEGMENT'!$Q$8:$Q$1000*'ANALYSE - ERP =&gt; SOUS-SEGMENT'!$BE$8:$BE$1000*'ANALYSE - ERP =&gt; SOUS-SEGMENT'!$IR$8:$IR$1000)/SUMPRODUCT(('ANALYSE - ERP =&gt; SOUS-SEGMENT'!$C$8:$C$1000=$C11)*'ANALYSE - ERP =&gt; SOUS-SEGMENT'!$Q$8:$Q$1000*'ANALYSE - ERP =&gt; SOUS-SEGMENT'!$BE$8:$BE$1000),""))</f>
        <v>0.1404737935247404</v>
      </c>
      <c r="IS11" s="742">
        <f>IF($C11="","",IFERROR(SUMPRODUCT(('ANALYSE - ERP =&gt; SOUS-SEGMENT'!$C$8:$C$1000=$C11)*'ANALYSE - ERP =&gt; SOUS-SEGMENT'!$Q$8:$Q$1000*'ANALYSE - ERP =&gt; SOUS-SEGMENT'!$BE$8:$BE$1000*'ANALYSE - ERP =&gt; SOUS-SEGMENT'!$IS$8:$IS$1000)/SUMPRODUCT(('ANALYSE - ERP =&gt; SOUS-SEGMENT'!$C$8:$C$1000=$C11)*'ANALYSE - ERP =&gt; SOUS-SEGMENT'!$Q$8:$Q$1000*'ANALYSE - ERP =&gt; SOUS-SEGMENT'!$BE$8:$BE$1000),""))</f>
        <v>4.6182040317654244E-3</v>
      </c>
      <c r="IT11" s="742">
        <f>IF($C11="","",IFERROR(SUMPRODUCT(('ANALYSE - ERP =&gt; SOUS-SEGMENT'!$C$8:$C$1000=$C11)*'ANALYSE - ERP =&gt; SOUS-SEGMENT'!$Q$8:$Q$1000*'ANALYSE - ERP =&gt; SOUS-SEGMENT'!$FB$8:$FB$1000*'ANALYSE - ERP =&gt; SOUS-SEGMENT'!$IT$8:$IT$1000)/SUMPRODUCT(('ANALYSE - ERP =&gt; SOUS-SEGMENT'!$C$8:$C$1000=$C11)*'ANALYSE - ERP =&gt; SOUS-SEGMENT'!$Q$8:$Q$1000*'ANALYSE - ERP =&gt; SOUS-SEGMENT'!$FB$8:$FB$1000),""))</f>
        <v>1.4138854188713128E-3</v>
      </c>
      <c r="IU11" s="742">
        <f>IF($C11="","",IFERROR(SUMPRODUCT(('ANALYSE - ERP =&gt; SOUS-SEGMENT'!$C$8:$C$1000=$C11)*'ANALYSE - ERP =&gt; SOUS-SEGMENT'!$Q$8:$Q$1000*'ANALYSE - ERP =&gt; SOUS-SEGMENT'!$FB$8:$FB$1000*'ANALYSE - ERP =&gt; SOUS-SEGMENT'!$IU$8:$IU$1000)/SUMPRODUCT(('ANALYSE - ERP =&gt; SOUS-SEGMENT'!$C$8:$C$1000=$C11)*'ANALYSE - ERP =&gt; SOUS-SEGMENT'!$Q$8:$Q$1000*'ANALYSE - ERP =&gt; SOUS-SEGMENT'!$FB$8:$FB$1000),""))</f>
        <v>0.15558798858421632</v>
      </c>
      <c r="IV11" s="742">
        <f>IF($C11="","",IFERROR(SUMPRODUCT(('ANALYSE - ERP =&gt; SOUS-SEGMENT'!$C$8:$C$1000=$C11)*'ANALYSE - ERP =&gt; SOUS-SEGMENT'!$Q$8:$Q$1000*'ANALYSE - ERP =&gt; SOUS-SEGMENT'!$FB$8:$FB$1000*'ANALYSE - ERP =&gt; SOUS-SEGMENT'!$IV$8:$IV$1000)/SUMPRODUCT(('ANALYSE - ERP =&gt; SOUS-SEGMENT'!$C$8:$C$1000=$C11)*'ANALYSE - ERP =&gt; SOUS-SEGMENT'!$Q$8:$Q$1000*'ANALYSE - ERP =&gt; SOUS-SEGMENT'!$FB$8:$FB$1000),""))</f>
        <v>0.51949547083285852</v>
      </c>
      <c r="IW11" s="742">
        <f>IF($C11="","",IFERROR(SUMPRODUCT(('ANALYSE - ERP =&gt; SOUS-SEGMENT'!$C$8:$C$1000=$C11)*'ANALYSE - ERP =&gt; SOUS-SEGMENT'!$Q$8:$Q$1000*'ANALYSE - ERP =&gt; SOUS-SEGMENT'!$FB$8:$FB$1000*'ANALYSE - ERP =&gt; SOUS-SEGMENT'!$IW$8:$IW$1000)/SUMPRODUCT(('ANALYSE - ERP =&gt; SOUS-SEGMENT'!$C$8:$C$1000=$C11)*'ANALYSE - ERP =&gt; SOUS-SEGMENT'!$Q$8:$Q$1000*'ANALYSE - ERP =&gt; SOUS-SEGMENT'!$FB$8:$FB$1000),""))</f>
        <v>0.2967086739184292</v>
      </c>
      <c r="IX11" s="742">
        <f>IF($C11="","",IFERROR(SUMPRODUCT(('ANALYSE - ERP =&gt; SOUS-SEGMENT'!$C$8:$C$1000=$C11)*'ANALYSE - ERP =&gt; SOUS-SEGMENT'!$Q$8:$Q$1000*'ANALYSE - ERP =&gt; SOUS-SEGMENT'!$FB$8:$FB$1000*'ANALYSE - ERP =&gt; SOUS-SEGMENT'!$IX$8:$IX$1000)/SUMPRODUCT(('ANALYSE - ERP =&gt; SOUS-SEGMENT'!$C$8:$C$1000=$C11)*'ANALYSE - ERP =&gt; SOUS-SEGMENT'!$Q$8:$Q$1000*'ANALYSE - ERP =&gt; SOUS-SEGMENT'!$FB$8:$FB$1000),""))</f>
        <v>2.679398124562463E-2</v>
      </c>
      <c r="IY11" s="742">
        <f>IF($C11="","",IFERROR(SUMPRODUCT(('ANALYSE - ERP =&gt; SOUS-SEGMENT'!$C$8:$C$1000=$C11)*'ANALYSE - ERP =&gt; SOUS-SEGMENT'!$Q$8:$Q$1000*'ANALYSE - ERP =&gt; SOUS-SEGMENT'!$BF$8:$BF$1000*'ANALYSE - ERP =&gt; SOUS-SEGMENT'!$IY$8:$IY$1000)/SUMPRODUCT(('ANALYSE - ERP =&gt; SOUS-SEGMENT'!$C$8:$C$1000=$C11)*'ANALYSE - ERP =&gt; SOUS-SEGMENT'!$Q$8:$Q$1000*'ANALYSE - ERP =&gt; SOUS-SEGMENT'!$BF$8:$BF$1000),""))</f>
        <v>2.7300000000000001E-2</v>
      </c>
      <c r="IZ11" s="742">
        <f>IF($C11="","",IFERROR(SUMPRODUCT(('ANALYSE - ERP =&gt; SOUS-SEGMENT'!$C$8:$C$1000=$C11)*'ANALYSE - ERP =&gt; SOUS-SEGMENT'!$Q$8:$Q$1000*'ANALYSE - ERP =&gt; SOUS-SEGMENT'!$BF$8:$BF$1000*'ANALYSE - ERP =&gt; SOUS-SEGMENT'!$IZ$8:$IZ$1000)/SUMPRODUCT(('ANALYSE - ERP =&gt; SOUS-SEGMENT'!$C$8:$C$1000=$C11)*'ANALYSE - ERP =&gt; SOUS-SEGMENT'!$Q$8:$Q$1000*'ANALYSE - ERP =&gt; SOUS-SEGMENT'!$BF$8:$BF$1000),""))</f>
        <v>0.35499999999999998</v>
      </c>
      <c r="JA11" s="742">
        <f>IF($C11="","",IFERROR(SUMPRODUCT(('ANALYSE - ERP =&gt; SOUS-SEGMENT'!$C$8:$C$1000=$C11)*'ANALYSE - ERP =&gt; SOUS-SEGMENT'!$Q$8:$Q$1000*'ANALYSE - ERP =&gt; SOUS-SEGMENT'!$BF$8:$BF$1000*'ANALYSE - ERP =&gt; SOUS-SEGMENT'!$JA$8:$JA$1000)/SUMPRODUCT(('ANALYSE - ERP =&gt; SOUS-SEGMENT'!$C$8:$C$1000=$C11)*'ANALYSE - ERP =&gt; SOUS-SEGMENT'!$Q$8:$Q$1000*'ANALYSE - ERP =&gt; SOUS-SEGMENT'!$BF$8:$BF$1000),""))</f>
        <v>0.48770000000000002</v>
      </c>
      <c r="JB11" s="742">
        <f>IF($C11="","",IFERROR(SUMPRODUCT(('ANALYSE - ERP =&gt; SOUS-SEGMENT'!$C$8:$C$1000=$C11)*'ANALYSE - ERP =&gt; SOUS-SEGMENT'!$Q$8:$Q$1000*'ANALYSE - ERP =&gt; SOUS-SEGMENT'!$BF$8:$BF$1000*'ANALYSE - ERP =&gt; SOUS-SEGMENT'!$JB$8:$JB$1000)/SUMPRODUCT(('ANALYSE - ERP =&gt; SOUS-SEGMENT'!$C$8:$C$1000=$C11)*'ANALYSE - ERP =&gt; SOUS-SEGMENT'!$Q$8:$Q$1000*'ANALYSE - ERP =&gt; SOUS-SEGMENT'!$BF$8:$BF$1000),""))</f>
        <v>0.12640000000000001</v>
      </c>
      <c r="JC11" s="742">
        <f>IF($C11="","",IFERROR(SUMPRODUCT(('ANALYSE - ERP =&gt; SOUS-SEGMENT'!$C$8:$C$1000=$C11)*'ANALYSE - ERP =&gt; SOUS-SEGMENT'!$Q$8:$Q$1000*'ANALYSE - ERP =&gt; SOUS-SEGMENT'!$BF$8:$BF$1000*'ANALYSE - ERP =&gt; SOUS-SEGMENT'!$JC$8:$JC$1000)/SUMPRODUCT(('ANALYSE - ERP =&gt; SOUS-SEGMENT'!$C$8:$C$1000=$C11)*'ANALYSE - ERP =&gt; SOUS-SEGMENT'!$Q$8:$Q$1000*'ANALYSE - ERP =&gt; SOUS-SEGMENT'!$BF$8:$BF$1000),""))</f>
        <v>3.5999999999999999E-3</v>
      </c>
      <c r="JD11" s="742">
        <f>IF($C11="","",IFERROR(SUMPRODUCT(('ANALYSE - ERP =&gt; SOUS-SEGMENT'!$C$8:$C$1000=$C11)*'ANALYSE - ERP =&gt; SOUS-SEGMENT'!$Q$8:$Q$1000*'ANALYSE - ERP =&gt; SOUS-SEGMENT'!$FE$8:$FE$1000*'ANALYSE - ERP =&gt; SOUS-SEGMENT'!$JD$8:$JD$1000)/SUMPRODUCT(('ANALYSE - ERP =&gt; SOUS-SEGMENT'!$C$8:$C$1000=$C11)*'ANALYSE - ERP =&gt; SOUS-SEGMENT'!$Q$8:$Q$1000*'ANALYSE - ERP =&gt; SOUS-SEGMENT'!$FE$8:$FE$1000),""))</f>
        <v>0</v>
      </c>
      <c r="JE11" s="742">
        <f>IF($C11="","",IFERROR(SUMPRODUCT(('ANALYSE - ERP =&gt; SOUS-SEGMENT'!$C$8:$C$1000=$C11)*'ANALYSE - ERP =&gt; SOUS-SEGMENT'!$Q$8:$Q$1000*'ANALYSE - ERP =&gt; SOUS-SEGMENT'!$FE$8:$FE$1000*'ANALYSE - ERP =&gt; SOUS-SEGMENT'!$JE$8:$JE$1000)/SUMPRODUCT(('ANALYSE - ERP =&gt; SOUS-SEGMENT'!$C$8:$C$1000=$C11)*'ANALYSE - ERP =&gt; SOUS-SEGMENT'!$Q$8:$Q$1000*'ANALYSE - ERP =&gt; SOUS-SEGMENT'!$FE$8:$FE$1000),""))</f>
        <v>0.15529999999999999</v>
      </c>
      <c r="JF11" s="742">
        <f>IF($C11="","",IFERROR(SUMPRODUCT(('ANALYSE - ERP =&gt; SOUS-SEGMENT'!$C$8:$C$1000=$C11)*'ANALYSE - ERP =&gt; SOUS-SEGMENT'!$Q$8:$Q$1000*'ANALYSE - ERP =&gt; SOUS-SEGMENT'!$FE$8:$FE$1000*'ANALYSE - ERP =&gt; SOUS-SEGMENT'!$JF$8:$JF$1000)/SUMPRODUCT(('ANALYSE - ERP =&gt; SOUS-SEGMENT'!$C$8:$C$1000=$C11)*'ANALYSE - ERP =&gt; SOUS-SEGMENT'!$Q$8:$Q$1000*'ANALYSE - ERP =&gt; SOUS-SEGMENT'!$FE$8:$FE$1000),""))</f>
        <v>0.53249999999999997</v>
      </c>
      <c r="JG11" s="742">
        <f>IF($C11="","",IFERROR(SUMPRODUCT(('ANALYSE - ERP =&gt; SOUS-SEGMENT'!$C$8:$C$1000=$C11)*'ANALYSE - ERP =&gt; SOUS-SEGMENT'!$Q$8:$Q$1000*'ANALYSE - ERP =&gt; SOUS-SEGMENT'!$FE$8:$FE$1000*'ANALYSE - ERP =&gt; SOUS-SEGMENT'!$JG$8:$JG$1000)/SUMPRODUCT(('ANALYSE - ERP =&gt; SOUS-SEGMENT'!$C$8:$C$1000=$C11)*'ANALYSE - ERP =&gt; SOUS-SEGMENT'!$Q$8:$Q$1000*'ANALYSE - ERP =&gt; SOUS-SEGMENT'!$FE$8:$FE$1000),""))</f>
        <v>0.2893</v>
      </c>
      <c r="JH11" s="742">
        <f>IF($C11="","",IFERROR(SUMPRODUCT(('ANALYSE - ERP =&gt; SOUS-SEGMENT'!$C$8:$C$1000=$C11)*'ANALYSE - ERP =&gt; SOUS-SEGMENT'!$Q$8:$Q$1000*'ANALYSE - ERP =&gt; SOUS-SEGMENT'!$FE$8:$FE$1000*'ANALYSE - ERP =&gt; SOUS-SEGMENT'!$JH$8:$JH$1000)/SUMPRODUCT(('ANALYSE - ERP =&gt; SOUS-SEGMENT'!$C$8:$C$1000=$C11)*'ANALYSE - ERP =&gt; SOUS-SEGMENT'!$Q$8:$Q$1000*'ANALYSE - ERP =&gt; SOUS-SEGMENT'!$FE$8:$FE$1000),""))</f>
        <v>2.29E-2</v>
      </c>
      <c r="JI11" s="742">
        <f>IF($C11="","",IFERROR(SUMPRODUCT(('ANALYSE - ERP =&gt; SOUS-SEGMENT'!$C$8:$C$1000=$C11)*'ANALYSE - ERP =&gt; SOUS-SEGMENT'!$Q$8:$Q$1000*'ANALYSE - ERP =&gt; SOUS-SEGMENT'!$BG$8:$BG$1000*'ANALYSE - ERP =&gt; SOUS-SEGMENT'!$JI$8:$JI$1000)/SUMPRODUCT(('ANALYSE - ERP =&gt; SOUS-SEGMENT'!$C$8:$C$1000=$C11)*'ANALYSE - ERP =&gt; SOUS-SEGMENT'!$Q$8:$Q$1000*'ANALYSE - ERP =&gt; SOUS-SEGMENT'!$BG$8:$BG$1000),""))</f>
        <v>7.0577693761814747E-2</v>
      </c>
      <c r="JJ11" s="742">
        <f>IF($C11="","",IFERROR(SUMPRODUCT(('ANALYSE - ERP =&gt; SOUS-SEGMENT'!$C$8:$C$1000=$C11)*'ANALYSE - ERP =&gt; SOUS-SEGMENT'!$Q$8:$Q$1000*'ANALYSE - ERP =&gt; SOUS-SEGMENT'!$BG$8:$BG$1000*'ANALYSE - ERP =&gt; SOUS-SEGMENT'!$JJ$8:$JJ$1000)/SUMPRODUCT(('ANALYSE - ERP =&gt; SOUS-SEGMENT'!$C$8:$C$1000=$C11)*'ANALYSE - ERP =&gt; SOUS-SEGMENT'!$Q$8:$Q$1000*'ANALYSE - ERP =&gt; SOUS-SEGMENT'!$BG$8:$BG$1000),""))</f>
        <v>0.44004328922495267</v>
      </c>
      <c r="JK11" s="742">
        <f>IF($C11="","",IFERROR(SUMPRODUCT(('ANALYSE - ERP =&gt; SOUS-SEGMENT'!$C$8:$C$1000=$C11)*'ANALYSE - ERP =&gt; SOUS-SEGMENT'!$Q$8:$Q$1000*'ANALYSE - ERP =&gt; SOUS-SEGMENT'!$BG$8:$BG$1000*'ANALYSE - ERP =&gt; SOUS-SEGMENT'!$JK$8:$JK$1000)/SUMPRODUCT(('ANALYSE - ERP =&gt; SOUS-SEGMENT'!$C$8:$C$1000=$C11)*'ANALYSE - ERP =&gt; SOUS-SEGMENT'!$Q$8:$Q$1000*'ANALYSE - ERP =&gt; SOUS-SEGMENT'!$BG$8:$BG$1000),""))</f>
        <v>0.40624045368620038</v>
      </c>
      <c r="JL11" s="742">
        <f>IF($C11="","",IFERROR(SUMPRODUCT(('ANALYSE - ERP =&gt; SOUS-SEGMENT'!$C$8:$C$1000=$C11)*'ANALYSE - ERP =&gt; SOUS-SEGMENT'!$Q$8:$Q$1000*'ANALYSE - ERP =&gt; SOUS-SEGMENT'!$BG$8:$BG$1000*'ANALYSE - ERP =&gt; SOUS-SEGMENT'!$JL$8:$JL$1000)/SUMPRODUCT(('ANALYSE - ERP =&gt; SOUS-SEGMENT'!$C$8:$C$1000=$C11)*'ANALYSE - ERP =&gt; SOUS-SEGMENT'!$Q$8:$Q$1000*'ANALYSE - ERP =&gt; SOUS-SEGMENT'!$BG$8:$BG$1000),""))</f>
        <v>8.1804725897920608E-2</v>
      </c>
      <c r="JM11" s="742">
        <f>IF($C11="","",IFERROR(SUMPRODUCT(('ANALYSE - ERP =&gt; SOUS-SEGMENT'!$C$8:$C$1000=$C11)*'ANALYSE - ERP =&gt; SOUS-SEGMENT'!$Q$8:$Q$1000*'ANALYSE - ERP =&gt; SOUS-SEGMENT'!$BG$8:$BG$1000*'ANALYSE - ERP =&gt; SOUS-SEGMENT'!$JM$8:$JM$1000)/SUMPRODUCT(('ANALYSE - ERP =&gt; SOUS-SEGMENT'!$C$8:$C$1000=$C11)*'ANALYSE - ERP =&gt; SOUS-SEGMENT'!$Q$8:$Q$1000*'ANALYSE - ERP =&gt; SOUS-SEGMENT'!$BG$8:$BG$1000),""))</f>
        <v>1.3338374291115311E-3</v>
      </c>
      <c r="JN11" s="742">
        <f>IF($C11="","",IFERROR(SUMPRODUCT(('ANALYSE - ERP =&gt; SOUS-SEGMENT'!$C$8:$C$1000=$C11)*'ANALYSE - ERP =&gt; SOUS-SEGMENT'!$Q$8:$Q$1000*'ANALYSE - ERP =&gt; SOUS-SEGMENT'!$FH$8:$FH$1000*'ANALYSE - ERP =&gt; SOUS-SEGMENT'!$JN$8:$JN$1000)/SUMPRODUCT(('ANALYSE - ERP =&gt; SOUS-SEGMENT'!$C$8:$C$1000=$C11)*'ANALYSE - ERP =&gt; SOUS-SEGMENT'!$Q$8:$Q$1000*'ANALYSE - ERP =&gt; SOUS-SEGMENT'!$FH$8:$FH$1000),""))</f>
        <v>2.7782917239279701E-3</v>
      </c>
      <c r="JO11" s="742">
        <f>IF($C11="","",IFERROR(SUMPRODUCT(('ANALYSE - ERP =&gt; SOUS-SEGMENT'!$C$8:$C$1000=$C11)*'ANALYSE - ERP =&gt; SOUS-SEGMENT'!$Q$8:$Q$1000*'ANALYSE - ERP =&gt; SOUS-SEGMENT'!$FH$8:$FH$1000*'ANALYSE - ERP =&gt; SOUS-SEGMENT'!$JO$8:$JO$1000)/SUMPRODUCT(('ANALYSE - ERP =&gt; SOUS-SEGMENT'!$C$8:$C$1000=$C11)*'ANALYSE - ERP =&gt; SOUS-SEGMENT'!$Q$8:$Q$1000*'ANALYSE - ERP =&gt; SOUS-SEGMENT'!$FH$8:$FH$1000),""))</f>
        <v>0.26075733027427828</v>
      </c>
      <c r="JP11" s="742">
        <f>IF($C11="","",IFERROR(SUMPRODUCT(('ANALYSE - ERP =&gt; SOUS-SEGMENT'!$C$8:$C$1000=$C11)*'ANALYSE - ERP =&gt; SOUS-SEGMENT'!$Q$8:$Q$1000*'ANALYSE - ERP =&gt; SOUS-SEGMENT'!$FH$8:$FH$1000*'ANALYSE - ERP =&gt; SOUS-SEGMENT'!$JP$8:$JP$1000)/SUMPRODUCT(('ANALYSE - ERP =&gt; SOUS-SEGMENT'!$C$8:$C$1000=$C11)*'ANALYSE - ERP =&gt; SOUS-SEGMENT'!$Q$8:$Q$1000*'ANALYSE - ERP =&gt; SOUS-SEGMENT'!$FH$8:$FH$1000),""))</f>
        <v>0.53192402172499764</v>
      </c>
      <c r="JQ11" s="742">
        <f>IF($C11="","",IFERROR(SUMPRODUCT(('ANALYSE - ERP =&gt; SOUS-SEGMENT'!$C$8:$C$1000=$C11)*'ANALYSE - ERP =&gt; SOUS-SEGMENT'!$Q$8:$Q$1000*'ANALYSE - ERP =&gt; SOUS-SEGMENT'!$FH$8:$FH$1000*'ANALYSE - ERP =&gt; SOUS-SEGMENT'!$JQ$8:$JQ$1000)/SUMPRODUCT(('ANALYSE - ERP =&gt; SOUS-SEGMENT'!$C$8:$C$1000=$C11)*'ANALYSE - ERP =&gt; SOUS-SEGMENT'!$Q$8:$Q$1000*'ANALYSE - ERP =&gt; SOUS-SEGMENT'!$FH$8:$FH$1000),""))</f>
        <v>0.19445096124227473</v>
      </c>
      <c r="JR11" s="742">
        <f>IF($C11="","",IFERROR(SUMPRODUCT(('ANALYSE - ERP =&gt; SOUS-SEGMENT'!$C$8:$C$1000=$C11)*'ANALYSE - ERP =&gt; SOUS-SEGMENT'!$Q$8:$Q$1000*'ANALYSE - ERP =&gt; SOUS-SEGMENT'!$FH$8:$FH$1000*'ANALYSE - ERP =&gt; SOUS-SEGMENT'!$JR$8:$JR$1000)/SUMPRODUCT(('ANALYSE - ERP =&gt; SOUS-SEGMENT'!$C$8:$C$1000=$C11)*'ANALYSE - ERP =&gt; SOUS-SEGMENT'!$Q$8:$Q$1000*'ANALYSE - ERP =&gt; SOUS-SEGMENT'!$FH$8:$FH$1000),""))</f>
        <v>1.0089395034521345E-2</v>
      </c>
      <c r="JS11" s="742">
        <f>IF($C11="","",IFERROR(SUMPRODUCT(('ANALYSE - ERP =&gt; SOUS-SEGMENT'!$C$8:$C$1000=$C11)*'ANALYSE - ERP =&gt; SOUS-SEGMENT'!$Q$8:$Q$1000*'ANALYSE - ERP =&gt; SOUS-SEGMENT'!$BH$8:$BH$1000*'ANALYSE - ERP =&gt; SOUS-SEGMENT'!$JS$8:$JS$1000)/SUMPRODUCT(('ANALYSE - ERP =&gt; SOUS-SEGMENT'!$C$8:$C$1000=$C11)*'ANALYSE - ERP =&gt; SOUS-SEGMENT'!$Q$8:$Q$1000*'ANALYSE - ERP =&gt; SOUS-SEGMENT'!$BH$8:$BH$1000),""))</f>
        <v>3.2324311183144244E-2</v>
      </c>
      <c r="JT11" s="742">
        <f>IF($C11="","",IFERROR(SUMPRODUCT(('ANALYSE - ERP =&gt; SOUS-SEGMENT'!$C$8:$C$1000=$C11)*'ANALYSE - ERP =&gt; SOUS-SEGMENT'!$Q$8:$Q$1000*'ANALYSE - ERP =&gt; SOUS-SEGMENT'!$BH$8:$BH$1000*'ANALYSE - ERP =&gt; SOUS-SEGMENT'!$JT$8:$JT$1000)/SUMPRODUCT(('ANALYSE - ERP =&gt; SOUS-SEGMENT'!$C$8:$C$1000=$C11)*'ANALYSE - ERP =&gt; SOUS-SEGMENT'!$Q$8:$Q$1000*'ANALYSE - ERP =&gt; SOUS-SEGMENT'!$BH$8:$BH$1000),""))</f>
        <v>0.37078168557536467</v>
      </c>
      <c r="JU11" s="742">
        <f>IF($C11="","",IFERROR(SUMPRODUCT(('ANALYSE - ERP =&gt; SOUS-SEGMENT'!$C$8:$C$1000=$C11)*'ANALYSE - ERP =&gt; SOUS-SEGMENT'!$Q$8:$Q$1000*'ANALYSE - ERP =&gt; SOUS-SEGMENT'!$BH$8:$BH$1000*'ANALYSE - ERP =&gt; SOUS-SEGMENT'!$JU$8:$JU$1000)/SUMPRODUCT(('ANALYSE - ERP =&gt; SOUS-SEGMENT'!$C$8:$C$1000=$C11)*'ANALYSE - ERP =&gt; SOUS-SEGMENT'!$Q$8:$Q$1000*'ANALYSE - ERP =&gt; SOUS-SEGMENT'!$BH$8:$BH$1000),""))</f>
        <v>0.47928038897893027</v>
      </c>
      <c r="JV11" s="742">
        <f>IF($C11="","",IFERROR(SUMPRODUCT(('ANALYSE - ERP =&gt; SOUS-SEGMENT'!$C$8:$C$1000=$C11)*'ANALYSE - ERP =&gt; SOUS-SEGMENT'!$Q$8:$Q$1000*'ANALYSE - ERP =&gt; SOUS-SEGMENT'!$BH$8:$BH$1000*'ANALYSE - ERP =&gt; SOUS-SEGMENT'!$JV$8:$JV$1000)/SUMPRODUCT(('ANALYSE - ERP =&gt; SOUS-SEGMENT'!$C$8:$C$1000=$C11)*'ANALYSE - ERP =&gt; SOUS-SEGMENT'!$Q$8:$Q$1000*'ANALYSE - ERP =&gt; SOUS-SEGMENT'!$BH$8:$BH$1000),""))</f>
        <v>0.11467293354943274</v>
      </c>
      <c r="JW11" s="742">
        <f>IF($C11="","",IFERROR(SUMPRODUCT(('ANALYSE - ERP =&gt; SOUS-SEGMENT'!$C$8:$C$1000=$C11)*'ANALYSE - ERP =&gt; SOUS-SEGMENT'!$Q$8:$Q$1000*'ANALYSE - ERP =&gt; SOUS-SEGMENT'!$BH$8:$BH$1000*'ANALYSE - ERP =&gt; SOUS-SEGMENT'!$JW$8:$JW$1000)/SUMPRODUCT(('ANALYSE - ERP =&gt; SOUS-SEGMENT'!$C$8:$C$1000=$C11)*'ANALYSE - ERP =&gt; SOUS-SEGMENT'!$Q$8:$Q$1000*'ANALYSE - ERP =&gt; SOUS-SEGMENT'!$BH$8:$BH$1000),""))</f>
        <v>2.940680713128039E-3</v>
      </c>
      <c r="JX11" s="742">
        <f>IF($C11="","",IFERROR(SUMPRODUCT(('ANALYSE - ERP =&gt; SOUS-SEGMENT'!$C$8:$C$1000=$C11)*'ANALYSE - ERP =&gt; SOUS-SEGMENT'!$Q$8:$Q$1000*'ANALYSE - ERP =&gt; SOUS-SEGMENT'!$FK$8:$FK$1000*'ANALYSE - ERP =&gt; SOUS-SEGMENT'!$JX$8:$JX$1000)/SUMPRODUCT(('ANALYSE - ERP =&gt; SOUS-SEGMENT'!$C$8:$C$1000=$C11)*'ANALYSE - ERP =&gt; SOUS-SEGMENT'!$Q$8:$Q$1000*'ANALYSE - ERP =&gt; SOUS-SEGMENT'!$FK$8:$FK$1000),""))</f>
        <v>1.7806587286386215E-3</v>
      </c>
      <c r="JY11" s="742">
        <f>IF($C11="","",IFERROR(SUMPRODUCT(('ANALYSE - ERP =&gt; SOUS-SEGMENT'!$C$8:$C$1000=$C11)*'ANALYSE - ERP =&gt; SOUS-SEGMENT'!$Q$8:$Q$1000*'ANALYSE - ERP =&gt; SOUS-SEGMENT'!$FK$8:$FK$1000*'ANALYSE - ERP =&gt; SOUS-SEGMENT'!$JY$8:$JY$1000)/SUMPRODUCT(('ANALYSE - ERP =&gt; SOUS-SEGMENT'!$C$8:$C$1000=$C11)*'ANALYSE - ERP =&gt; SOUS-SEGMENT'!$Q$8:$Q$1000*'ANALYSE - ERP =&gt; SOUS-SEGMENT'!$FK$8:$FK$1000),""))</f>
        <v>0.19202501218779525</v>
      </c>
      <c r="JZ11" s="742">
        <f>IF($C11="","",IFERROR(SUMPRODUCT(('ANALYSE - ERP =&gt; SOUS-SEGMENT'!$C$8:$C$1000=$C11)*'ANALYSE - ERP =&gt; SOUS-SEGMENT'!$Q$8:$Q$1000*'ANALYSE - ERP =&gt; SOUS-SEGMENT'!$FK$8:$FK$1000*'ANALYSE - ERP =&gt; SOUS-SEGMENT'!$JZ$8:$JZ$1000)/SUMPRODUCT(('ANALYSE - ERP =&gt; SOUS-SEGMENT'!$C$8:$C$1000=$C11)*'ANALYSE - ERP =&gt; SOUS-SEGMENT'!$Q$8:$Q$1000*'ANALYSE - ERP =&gt; SOUS-SEGMENT'!$FK$8:$FK$1000),""))</f>
        <v>0.53321213680547708</v>
      </c>
      <c r="KA11" s="742">
        <f>IF($C11="","",IFERROR(SUMPRODUCT(('ANALYSE - ERP =&gt; SOUS-SEGMENT'!$C$8:$C$1000=$C11)*'ANALYSE - ERP =&gt; SOUS-SEGMENT'!$Q$8:$Q$1000*'ANALYSE - ERP =&gt; SOUS-SEGMENT'!$FK$8:$FK$1000*'ANALYSE - ERP =&gt; SOUS-SEGMENT'!$KA$8:$KA$1000)/SUMPRODUCT(('ANALYSE - ERP =&gt; SOUS-SEGMENT'!$C$8:$C$1000=$C11)*'ANALYSE - ERP =&gt; SOUS-SEGMENT'!$Q$8:$Q$1000*'ANALYSE - ERP =&gt; SOUS-SEGMENT'!$FK$8:$FK$1000),""))</f>
        <v>0.25421123923411421</v>
      </c>
      <c r="KB11" s="742">
        <f>IF($C11="","",IFERROR(SUMPRODUCT(('ANALYSE - ERP =&gt; SOUS-SEGMENT'!$C$8:$C$1000=$C11)*'ANALYSE - ERP =&gt; SOUS-SEGMENT'!$Q$8:$Q$1000*'ANALYSE - ERP =&gt; SOUS-SEGMENT'!$FK$8:$FK$1000*'ANALYSE - ERP =&gt; SOUS-SEGMENT'!$KB$8:$KB$1000)/SUMPRODUCT(('ANALYSE - ERP =&gt; SOUS-SEGMENT'!$C$8:$C$1000=$C11)*'ANALYSE - ERP =&gt; SOUS-SEGMENT'!$Q$8:$Q$1000*'ANALYSE - ERP =&gt; SOUS-SEGMENT'!$FK$8:$FK$1000),""))</f>
        <v>1.8770953043974827E-2</v>
      </c>
      <c r="KC11" s="657"/>
      <c r="KD11" s="924" t="s">
        <v>5406</v>
      </c>
      <c r="KE11" s="924" t="s">
        <v>5407</v>
      </c>
      <c r="KF11" s="869">
        <f>IF($C11="","",IFERROR(SUMPRODUCT(('ANALYSE - ERP =&gt; SOUS-SEGMENT'!$C$8:$C$1000=$C11)*'ANALYSE - ERP =&gt; SOUS-SEGMENT'!$Q$8:$Q$1000*'ANALYSE - ERP =&gt; SOUS-SEGMENT'!$IE$8:$IE$1000*'ANALYSE - ERP =&gt; SOUS-SEGMENT'!$KF$8:$KF$1000)/SUMPRODUCT(('ANALYSE - ERP =&gt; SOUS-SEGMENT'!$C$8:$C$1000=$C11)*'ANALYSE - ERP =&gt; SOUS-SEGMENT'!$Q$8:$Q$1000*'ANALYSE - ERP =&gt; SOUS-SEGMENT'!$IE$8:$IE$1000),""))</f>
        <v>3.8781295926195853</v>
      </c>
      <c r="KG11" s="924" t="s">
        <v>5408</v>
      </c>
      <c r="KH11" s="924" t="s">
        <v>5409</v>
      </c>
      <c r="KI11" s="924" t="s">
        <v>5410</v>
      </c>
      <c r="KJ11" s="924" t="s">
        <v>5411</v>
      </c>
    </row>
    <row r="12" spans="1:327" ht="120" customHeight="1">
      <c r="A12" s="957">
        <f>IF($C12="","",ROWS($A$8:A12))</f>
        <v>5</v>
      </c>
      <c r="B12" s="958" t="s">
        <v>2880</v>
      </c>
      <c r="C12" s="958" t="s">
        <v>2881</v>
      </c>
      <c r="D12" s="959" t="s">
        <v>5412</v>
      </c>
      <c r="E12" s="269" t="s">
        <v>5413</v>
      </c>
      <c r="F12" s="960" t="s">
        <v>5414</v>
      </c>
      <c r="G12" s="960" t="s">
        <v>300</v>
      </c>
      <c r="H12" s="960" t="s">
        <v>2109</v>
      </c>
      <c r="I12" s="960" t="s">
        <v>5415</v>
      </c>
      <c r="J12" s="960" t="s">
        <v>5416</v>
      </c>
      <c r="K12" s="960" t="s">
        <v>2097</v>
      </c>
      <c r="L12" s="960" t="s">
        <v>2109</v>
      </c>
      <c r="M12" s="960" t="s">
        <v>2603</v>
      </c>
      <c r="N12" s="960" t="s">
        <v>5417</v>
      </c>
      <c r="O12" s="960" t="s">
        <v>5418</v>
      </c>
      <c r="P12" s="960"/>
      <c r="Q12" s="270">
        <f>IF($C12="","",IF(SUMIFS('ANALYSE - ERP =&gt; SOUS-SEGMENT'!$Q$8:$Q$1000,'ANALYSE - ERP =&gt; SOUS-SEGMENT'!$C$8:$C$1000,$C12)&gt;0,1,0))</f>
        <v>1</v>
      </c>
      <c r="R12" s="271">
        <f>IF($C12="","",IFERROR(SUMPRODUCT(('ANALYSE - ERP =&gt; SOUS-SEGMENT'!$C$8:$C$1000=$C12)*'ANALYSE - ERP =&gt; SOUS-SEGMENT'!$Q$8:$Q$1000*'ANALYSE - ERP =&gt; SOUS-SEGMENT'!$AF$8:$AF$1000*'ANALYSE - ERP =&gt; SOUS-SEGMENT'!$R$8:$R$1000)/SUMPRODUCT(('ANALYSE - ERP =&gt; SOUS-SEGMENT'!$C$8:$C$1000=$C12)*'ANALYSE - ERP =&gt; SOUS-SEGMENT'!$Q$8:$Q$1000*'ANALYSE - ERP =&gt; SOUS-SEGMENT'!$AF$8:$AF$1000),""))</f>
        <v>1552.394916911046</v>
      </c>
      <c r="S12" s="272">
        <f>IF($C12="","",SUMPRODUCT(('ANALYSE - ERP =&gt; SOUS-SEGMENT'!$C$8:$C$1000=$C12)*'ANALYSE - ERP =&gt; SOUS-SEGMENT'!$Q$8:$Q$1000*'ANALYSE - ERP =&gt; SOUS-SEGMENT'!$S$8:$S$1000))</f>
        <v>23423</v>
      </c>
      <c r="T12" s="272">
        <f>IF($C12="","",SUMPRODUCT(('ANALYSE - ERP =&gt; SOUS-SEGMENT'!$C$8:$C$1000=$C12)*'ANALYSE - ERP =&gt; SOUS-SEGMENT'!$Q$8:$Q$1000*'ANALYSE - ERP =&gt; SOUS-SEGMENT'!$T$8:$T$1000))</f>
        <v>25079</v>
      </c>
      <c r="U12" s="272">
        <f>IF($C12="","",SUMPRODUCT(('ANALYSE - ERP =&gt; SOUS-SEGMENT'!$C$8:$C$1000=$C12)*'ANALYSE - ERP =&gt; SOUS-SEGMENT'!$Q$8:$Q$1000*'ANALYSE - ERP =&gt; SOUS-SEGMENT'!$U$8:$U$1000))</f>
        <v>26771</v>
      </c>
      <c r="V12" s="272">
        <f>IF($C12="","",SUMPRODUCT(('ANALYSE - ERP =&gt; SOUS-SEGMENT'!$C$8:$C$1000=$C12)*'ANALYSE - ERP =&gt; SOUS-SEGMENT'!$Q$8:$Q$1000*'ANALYSE - ERP =&gt; SOUS-SEGMENT'!$V$8:$V$1000))</f>
        <v>28021</v>
      </c>
      <c r="W12" s="272">
        <f>IF($C12="","",SUMPRODUCT(('ANALYSE - ERP =&gt; SOUS-SEGMENT'!$C$8:$C$1000=$C12)*'ANALYSE - ERP =&gt; SOUS-SEGMENT'!$Q$8:$Q$1000*'ANALYSE - ERP =&gt; SOUS-SEGMENT'!$W$8:$W$1000))</f>
        <v>28343</v>
      </c>
      <c r="X12" s="272">
        <f>IF($C12="","",SUMPRODUCT(('ANALYSE - ERP =&gt; SOUS-SEGMENT'!$C$8:$C$1000=$C12)*'ANALYSE - ERP =&gt; SOUS-SEGMENT'!$Q$8:$Q$1000*'ANALYSE - ERP =&gt; SOUS-SEGMENT'!$X$8:$X$1000))</f>
        <v>28668</v>
      </c>
      <c r="Y12" s="272">
        <f>IF($C12="","",SUMPRODUCT(('ANALYSE - ERP =&gt; SOUS-SEGMENT'!$C$8:$C$1000=$C12)*'ANALYSE - ERP =&gt; SOUS-SEGMENT'!$Q$8:$Q$1000*'ANALYSE - ERP =&gt; SOUS-SEGMENT'!$Y$8:$Y$1000))</f>
        <v>28998</v>
      </c>
      <c r="Z12" s="272">
        <f>IF($C12="","",SUMPRODUCT(('ANALYSE - ERP =&gt; SOUS-SEGMENT'!$C$8:$C$1000=$C12)*'ANALYSE - ERP =&gt; SOUS-SEGMENT'!$Q$8:$Q$1000*'ANALYSE - ERP =&gt; SOUS-SEGMENT'!$Z$8:$Z$1000))</f>
        <v>29331</v>
      </c>
      <c r="AA12" s="272">
        <f>IF($C12="","",SUMPRODUCT(('ANALYSE - ERP =&gt; SOUS-SEGMENT'!$C$8:$C$1000=$C12)*'ANALYSE - ERP =&gt; SOUS-SEGMENT'!$Q$8:$Q$1000*'ANALYSE - ERP =&gt; SOUS-SEGMENT'!$AA$8:$AA$1000))</f>
        <v>29546</v>
      </c>
      <c r="AB12" s="272">
        <f>IF($C12="","",SUMPRODUCT(('ANALYSE - ERP =&gt; SOUS-SEGMENT'!$C$8:$C$1000=$C12)*'ANALYSE - ERP =&gt; SOUS-SEGMENT'!$Q$8:$Q$1000*'ANALYSE - ERP =&gt; SOUS-SEGMENT'!$AB$8:$AB$1000))</f>
        <v>29774</v>
      </c>
      <c r="AC12" s="272">
        <f>IF($C12="","",SUMPRODUCT(('ANALYSE - ERP =&gt; SOUS-SEGMENT'!$C$8:$C$1000=$C12)*'ANALYSE - ERP =&gt; SOUS-SEGMENT'!$Q$8:$Q$1000*'ANALYSE - ERP =&gt; SOUS-SEGMENT'!$AC$8:$AC$1000))</f>
        <v>30003</v>
      </c>
      <c r="AD12" s="272">
        <f>IF($C12="","",SUMPRODUCT(('ANALYSE - ERP =&gt; SOUS-SEGMENT'!$C$8:$C$1000=$C12)*'ANALYSE - ERP =&gt; SOUS-SEGMENT'!$Q$8:$Q$1000*'ANALYSE - ERP =&gt; SOUS-SEGMENT'!$AD$8:$AD$1000))</f>
        <v>30232</v>
      </c>
      <c r="AE12" s="272">
        <f>IF($C12="","",SUMPRODUCT(('ANALYSE - ERP =&gt; SOUS-SEGMENT'!$C$8:$C$1000=$C12)*'ANALYSE - ERP =&gt; SOUS-SEGMENT'!$Q$8:$Q$1000*'ANALYSE - ERP =&gt; SOUS-SEGMENT'!$AE$8:$AE$1000))</f>
        <v>30460</v>
      </c>
      <c r="AF12" s="272">
        <f>IF($C12="","",SUMPRODUCT(('ANALYSE - ERP =&gt; SOUS-SEGMENT'!$C$8:$C$1000=$C12)*'ANALYSE - ERP =&gt; SOUS-SEGMENT'!$Q$8:$Q$1000*'ANALYSE - ERP =&gt; SOUS-SEGMENT'!$AF$8:$AF$1000))</f>
        <v>30690</v>
      </c>
      <c r="AG12" s="272">
        <f>IF($C12="","",SUMPRODUCT(('ANALYSE - ERP =&gt; SOUS-SEGMENT'!$C$8:$C$1000=$C12)*'ANALYSE - ERP =&gt; SOUS-SEGMENT'!$Q$8:$Q$1000*'ANALYSE - ERP =&gt; SOUS-SEGMENT'!$AG$8:$AG$1000))</f>
        <v>30923</v>
      </c>
      <c r="AH12" s="272">
        <f>IF($C12="","",SUMPRODUCT(('ANALYSE - ERP =&gt; SOUS-SEGMENT'!$C$8:$C$1000=$C12)*'ANALYSE - ERP =&gt; SOUS-SEGMENT'!$Q$8:$Q$1000*'ANALYSE - ERP =&gt; SOUS-SEGMENT'!$AH$8:$AH$1000))</f>
        <v>31157</v>
      </c>
      <c r="AI12" s="272">
        <f>IF($C12="","",SUMPRODUCT(('ANALYSE - ERP =&gt; SOUS-SEGMENT'!$C$8:$C$1000=$C12)*'ANALYSE - ERP =&gt; SOUS-SEGMENT'!$Q$8:$Q$1000*'ANALYSE - ERP =&gt; SOUS-SEGMENT'!$AI$8:$AI$1000))</f>
        <v>31393</v>
      </c>
      <c r="AJ12" s="272">
        <f>IF($C12="","",SUMPRODUCT(('ANALYSE - ERP =&gt; SOUS-SEGMENT'!$C$8:$C$1000=$C12)*'ANALYSE - ERP =&gt; SOUS-SEGMENT'!$Q$8:$Q$1000*'ANALYSE - ERP =&gt; SOUS-SEGMENT'!$AJ$8:$AJ$1000))</f>
        <v>31630</v>
      </c>
      <c r="AK12" s="272">
        <f>IF($C12="","",SUMPRODUCT(('ANALYSE - ERP =&gt; SOUS-SEGMENT'!$C$8:$C$1000=$C12)*'ANALYSE - ERP =&gt; SOUS-SEGMENT'!$Q$8:$Q$1000*'ANALYSE - ERP =&gt; SOUS-SEGMENT'!$AK$8:$AK$1000))</f>
        <v>31868</v>
      </c>
      <c r="AL12" s="960" t="s">
        <v>5419</v>
      </c>
      <c r="AM12" s="960" t="s">
        <v>5420</v>
      </c>
      <c r="AN12" s="960" t="s">
        <v>5421</v>
      </c>
      <c r="AO12" s="657"/>
      <c r="AP12" s="271">
        <f>IF($C12="","",IFERROR(SUMPRODUCT(('ANALYSE - ERP =&gt; SOUS-SEGMENT'!$C$8:$C$1000=$C12)*'ANALYSE - ERP =&gt; SOUS-SEGMENT'!$Q$8:$Q$1000*'ANALYSE - ERP =&gt; SOUS-SEGMENT'!$AF$8:$AF$1000*'ANALYSE - ERP =&gt; SOUS-SEGMENT'!$AP$8:$AP$1000)/SUMPRODUCT(('ANALYSE - ERP =&gt; SOUS-SEGMENT'!$C$8:$C$1000=$C12)*'ANALYSE - ERP =&gt; SOUS-SEGMENT'!$Q$8:$Q$1000*'ANALYSE - ERP =&gt; SOUS-SEGMENT'!$AF$8:$AF$1000),""))</f>
        <v>224.24242424242425</v>
      </c>
      <c r="AQ12" s="280">
        <f>IF($C12="","",IFERROR(SUMPRODUCT(('ANALYSE - ERP =&gt; SOUS-SEGMENT'!$C$8:$C$1000=$C12)*'ANALYSE - ERP =&gt; SOUS-SEGMENT'!$Q$8:$Q$1000*'ANALYSE - ERP =&gt; SOUS-SEGMENT'!$AF$8:$AF$1000*'ANALYSE - ERP =&gt; SOUS-SEGMENT'!$AQ$8:$AQ$1000)/SUMPRODUCT(('ANALYSE - ERP =&gt; SOUS-SEGMENT'!$C$8:$C$1000=$C12)*'ANALYSE - ERP =&gt; SOUS-SEGMENT'!$Q$8:$Q$1000*'ANALYSE - ERP =&gt; SOUS-SEGMENT'!$AF$8:$AF$1000),""))</f>
        <v>188.1759530791789</v>
      </c>
      <c r="AR12" s="280">
        <f>IF($C12="","",IFERROR(SUMPRODUCT(('ANALYSE - ERP =&gt; SOUS-SEGMENT'!$C$8:$C$1000=$C12)*'ANALYSE - ERP =&gt; SOUS-SEGMENT'!$Q$8:$Q$1000*'ANALYSE - ERP =&gt; SOUS-SEGMENT'!$AF$8:$AF$1000*'ANALYSE - ERP =&gt; SOUS-SEGMENT'!$AR$8:$AR$1000)/SUMPRODUCT(('ANALYSE - ERP =&gt; SOUS-SEGMENT'!$C$8:$C$1000=$C12)*'ANALYSE - ERP =&gt; SOUS-SEGMENT'!$Q$8:$Q$1000*'ANALYSE - ERP =&gt; SOUS-SEGMENT'!$AF$8:$AF$1000),""))</f>
        <v>22.630824372759857</v>
      </c>
      <c r="AS12" s="280">
        <f>IF($C12="","",IFERROR(SUMPRODUCT(('ANALYSE - ERP =&gt; SOUS-SEGMENT'!$C$8:$C$1000=$C12)*'ANALYSE - ERP =&gt; SOUS-SEGMENT'!$Q$8:$Q$1000*'ANALYSE - ERP =&gt; SOUS-SEGMENT'!$AF$8:$AF$1000*'ANALYSE - ERP =&gt; SOUS-SEGMENT'!$AS$8:$AS$1000)/SUMPRODUCT(('ANALYSE - ERP =&gt; SOUS-SEGMENT'!$C$8:$C$1000=$C12)*'ANALYSE - ERP =&gt; SOUS-SEGMENT'!$Q$8:$Q$1000*'ANALYSE - ERP =&gt; SOUS-SEGMENT'!$AF$8:$AF$1000),""))</f>
        <v>13.435646790485499</v>
      </c>
      <c r="AT12" s="657"/>
      <c r="AU12" s="647" t="s">
        <v>5422</v>
      </c>
      <c r="AV12" s="647" t="s">
        <v>5423</v>
      </c>
      <c r="AW12" s="960" t="s">
        <v>5424</v>
      </c>
      <c r="AX12" s="647" t="s">
        <v>5425</v>
      </c>
      <c r="AY12" s="657"/>
      <c r="AZ12" s="948">
        <f>IF($C12="","",IFERROR(SUMPRODUCT(('ANALYSE - ERP =&gt; SOUS-SEGMENT'!$C$8:$C$1000=$C12)*'ANALYSE - ERP =&gt; SOUS-SEGMENT'!$Q$8:$Q$1000*'ANALYSE - ERP =&gt; SOUS-SEGMENT'!$AF$8:$AF$1000*'ANALYSE - ERP =&gt; SOUS-SEGMENT'!$AZ$8:$AZ$1000)/SUMPRODUCT(('ANALYSE - ERP =&gt; SOUS-SEGMENT'!$C$8:$C$1000=$C12)*'ANALYSE - ERP =&gt; SOUS-SEGMENT'!$Q$8:$Q$1000*'ANALYSE - ERP =&gt; SOUS-SEGMENT'!$AF$8:$AF$1000),""))</f>
        <v>12.922776148582599</v>
      </c>
      <c r="BA12" s="948">
        <f>IF($C12="","",IFERROR(SUMPRODUCT(('ANALYSE - ERP =&gt; SOUS-SEGMENT'!$C$8:$C$1000=$C12)*'ANALYSE - ERP =&gt; SOUS-SEGMENT'!$Q$8:$Q$1000*'ANALYSE - ERP =&gt; SOUS-SEGMENT'!$AF$8:$AF$1000*'ANALYSE - ERP =&gt; SOUS-SEGMENT'!$BA$8:$BA$1000)/SUMPRODUCT(('ANALYSE - ERP =&gt; SOUS-SEGMENT'!$C$8:$C$1000=$C12)*'ANALYSE - ERP =&gt; SOUS-SEGMENT'!$Q$8:$Q$1000*'ANALYSE - ERP =&gt; SOUS-SEGMENT'!$AF$8:$AF$1000),""))</f>
        <v>14.338872596937113</v>
      </c>
      <c r="BB12" s="948">
        <f>IF($C12="","",IFERROR(SUMPRODUCT(('ANALYSE - ERP =&gt; SOUS-SEGMENT'!$C$8:$C$1000=$C12)*'ANALYSE - ERP =&gt; SOUS-SEGMENT'!$Q$8:$Q$1000*'ANALYSE - ERP =&gt; SOUS-SEGMENT'!$AF$8:$AF$1000*'ANALYSE - ERP =&gt; SOUS-SEGMENT'!$BB$8:$BB$1000)/SUMPRODUCT(('ANALYSE - ERP =&gt; SOUS-SEGMENT'!$C$8:$C$1000=$C12)*'ANALYSE - ERP =&gt; SOUS-SEGMENT'!$Q$8:$Q$1000*'ANALYSE - ERP =&gt; SOUS-SEGMENT'!$AF$8:$AF$1000),""))</f>
        <v>2.6405995438253504</v>
      </c>
      <c r="BC12" s="948">
        <f>IF($C12="","",IFERROR(SUMPRODUCT(('ANALYSE - ERP =&gt; SOUS-SEGMENT'!$C$8:$C$1000=$C12)*'ANALYSE - ERP =&gt; SOUS-SEGMENT'!$Q$8:$Q$1000*'ANALYSE - ERP =&gt; SOUS-SEGMENT'!$AF$8:$AF$1000*'ANALYSE - ERP =&gt; SOUS-SEGMENT'!$BC$8:$BC$1000)/SUMPRODUCT(('ANALYSE - ERP =&gt; SOUS-SEGMENT'!$C$8:$C$1000=$C12)*'ANALYSE - ERP =&gt; SOUS-SEGMENT'!$Q$8:$Q$1000*'ANALYSE - ERP =&gt; SOUS-SEGMENT'!$AF$8:$AF$1000),""))</f>
        <v>8.760508308895405</v>
      </c>
      <c r="BD12" s="825">
        <f t="shared" si="1"/>
        <v>1186560</v>
      </c>
      <c r="BE12" s="304">
        <f>IF($C12="","",SUMPRODUCT(('ANALYSE - ERP =&gt; SOUS-SEGMENT'!$C$8:$C$1000=$C12)*'ANALYSE - ERP =&gt; SOUS-SEGMENT'!$Q$8:$Q$1000*'ANALYSE - ERP =&gt; SOUS-SEGMENT'!$BE$8:$BE$1000))</f>
        <v>396600</v>
      </c>
      <c r="BF12" s="304">
        <f>IF($C12="","",SUMPRODUCT(('ANALYSE - ERP =&gt; SOUS-SEGMENT'!$C$8:$C$1000=$C12)*'ANALYSE - ERP =&gt; SOUS-SEGMENT'!$Q$8:$Q$1000*'ANALYSE - ERP =&gt; SOUS-SEGMENT'!$BF$8:$BF$1000))</f>
        <v>440060</v>
      </c>
      <c r="BG12" s="304">
        <f>IF($C12="","",SUMPRODUCT(('ANALYSE - ERP =&gt; SOUS-SEGMENT'!$C$8:$C$1000=$C12)*'ANALYSE - ERP =&gt; SOUS-SEGMENT'!$Q$8:$Q$1000*'ANALYSE - ERP =&gt; SOUS-SEGMENT'!$BG$8:$BG$1000))</f>
        <v>81040</v>
      </c>
      <c r="BH12" s="304">
        <f>IF($C12="","",SUMPRODUCT(('ANALYSE - ERP =&gt; SOUS-SEGMENT'!$C$8:$C$1000=$C12)*'ANALYSE - ERP =&gt; SOUS-SEGMENT'!$Q$8:$Q$1000*'ANALYSE - ERP =&gt; SOUS-SEGMENT'!$BH$8:$BH$1000))</f>
        <v>268860</v>
      </c>
      <c r="BI12" s="825">
        <f t="shared" si="2"/>
        <v>1225828</v>
      </c>
      <c r="BJ12" s="304">
        <f>IF($C12="","",SUMPRODUCT(('ANALYSE - ERP =&gt; SOUS-SEGMENT'!$C$8:$C$1000=$C12)*'ANALYSE - ERP =&gt; SOUS-SEGMENT'!$Q$8:$Q$1000*'ANALYSE - ERP =&gt; SOUS-SEGMENT'!$BJ$8:$BJ$1000))</f>
        <v>410324</v>
      </c>
      <c r="BK12" s="304">
        <f>IF($C12="","",SUMPRODUCT(('ANALYSE - ERP =&gt; SOUS-SEGMENT'!$C$8:$C$1000=$C12)*'ANALYSE - ERP =&gt; SOUS-SEGMENT'!$Q$8:$Q$1000*'ANALYSE - ERP =&gt; SOUS-SEGMENT'!$BK$8:$BK$1000))</f>
        <v>454086</v>
      </c>
      <c r="BL12" s="304">
        <f>IF($C12="","",SUMPRODUCT(('ANALYSE - ERP =&gt; SOUS-SEGMENT'!$C$8:$C$1000=$C12)*'ANALYSE - ERP =&gt; SOUS-SEGMENT'!$Q$8:$Q$1000*'ANALYSE - ERP =&gt; SOUS-SEGMENT'!$BL$8:$BL$1000))</f>
        <v>83638</v>
      </c>
      <c r="BM12" s="304">
        <f>IF($C12="","",SUMPRODUCT(('ANALYSE - ERP =&gt; SOUS-SEGMENT'!$C$8:$C$1000=$C12)*'ANALYSE - ERP =&gt; SOUS-SEGMENT'!$Q$8:$Q$1000*'ANALYSE - ERP =&gt; SOUS-SEGMENT'!$BM$8:$BM$1000))</f>
        <v>277780</v>
      </c>
      <c r="BN12" s="657"/>
      <c r="BO12" s="284">
        <f t="shared" si="3"/>
        <v>0.1048895612708018</v>
      </c>
      <c r="BP12" s="284">
        <f t="shared" si="4"/>
        <v>0.78008270297529003</v>
      </c>
      <c r="BQ12" s="284">
        <f t="shared" si="5"/>
        <v>6.9958648512355018E-2</v>
      </c>
      <c r="BR12" s="710">
        <f t="shared" si="6"/>
        <v>4.5069087241553209E-2</v>
      </c>
      <c r="BS12" s="707">
        <f t="shared" si="7"/>
        <v>8.4967001686472157E-2</v>
      </c>
      <c r="BT12" s="284">
        <f t="shared" si="8"/>
        <v>0.78615474600559554</v>
      </c>
      <c r="BU12" s="284">
        <f t="shared" si="9"/>
        <v>9.2518302609645053E-2</v>
      </c>
      <c r="BV12" s="710">
        <f t="shared" si="10"/>
        <v>3.6359949698287208E-2</v>
      </c>
      <c r="BW12" s="714">
        <f t="shared" si="11"/>
        <v>0.22762577830295869</v>
      </c>
      <c r="BX12" s="285">
        <f t="shared" si="12"/>
        <v>0.71273462709630508</v>
      </c>
      <c r="BY12" s="717">
        <f t="shared" si="13"/>
        <v>5.9639594600736263E-2</v>
      </c>
      <c r="BZ12" s="714">
        <f t="shared" si="14"/>
        <v>0.18313557343763076</v>
      </c>
      <c r="CA12" s="285">
        <f t="shared" si="15"/>
        <v>0.73743700532498246</v>
      </c>
      <c r="CB12" s="717">
        <f t="shared" si="16"/>
        <v>7.9427421237386747E-2</v>
      </c>
      <c r="CC12" s="284">
        <f t="shared" si="17"/>
        <v>0.05</v>
      </c>
      <c r="CD12" s="284">
        <f t="shared" si="18"/>
        <v>0.58325518262586373</v>
      </c>
      <c r="CE12" s="284">
        <f t="shared" si="19"/>
        <v>9.4175715695952622E-2</v>
      </c>
      <c r="CF12" s="710">
        <f t="shared" si="20"/>
        <v>0.2725691016781836</v>
      </c>
      <c r="CG12" s="707">
        <f t="shared" si="21"/>
        <v>0.04</v>
      </c>
      <c r="CH12" s="284">
        <f t="shared" si="22"/>
        <v>0.58324744733255218</v>
      </c>
      <c r="CI12" s="284">
        <f t="shared" si="23"/>
        <v>0.11583897271575122</v>
      </c>
      <c r="CJ12" s="710">
        <f t="shared" si="24"/>
        <v>0.26091357995169667</v>
      </c>
      <c r="CK12" s="720">
        <f t="shared" si="25"/>
        <v>0.32394182846090902</v>
      </c>
      <c r="CL12" s="286">
        <f t="shared" si="26"/>
        <v>0.54427211187978874</v>
      </c>
      <c r="CM12" s="718">
        <f t="shared" si="27"/>
        <v>0.13178605965930223</v>
      </c>
      <c r="CN12" s="720">
        <f t="shared" si="28"/>
        <v>0.22466700266397868</v>
      </c>
      <c r="CO12" s="286">
        <f t="shared" si="29"/>
        <v>0.57368745050039593</v>
      </c>
      <c r="CP12" s="718">
        <f t="shared" si="30"/>
        <v>0.2016455468356253</v>
      </c>
      <c r="CQ12" s="657"/>
      <c r="CR12" s="807">
        <f>IF($C12="","",IFERROR(SUMPRODUCT(('ANALYSE - ERP =&gt; SOUS-SEGMENT'!$C$8:$C$1000=$C12)*'ANALYSE - ERP =&gt; SOUS-SEGMENT'!$Q$8:$Q$1000*'ANALYSE - ERP =&gt; SOUS-SEGMENT'!$DH$8:$DH$1000*'ANALYSE - ERP =&gt; SOUS-SEGMENT'!$CR$8:$CR$1000)/SUMPRODUCT(('ANALYSE - ERP =&gt; SOUS-SEGMENT'!$C$8:$C$1000=$C12)*'ANALYSE - ERP =&gt; SOUS-SEGMENT'!$Q$8:$Q$1000*'ANALYSE - ERP =&gt; SOUS-SEGMENT'!$DH$8:$DH$1000),""))</f>
        <v>10</v>
      </c>
      <c r="CS12" s="808">
        <f>IF($C12="","",IFERROR(SUMPRODUCT(('ANALYSE - ERP =&gt; SOUS-SEGMENT'!$C$8:$C$1000=$C12)*'ANALYSE - ERP =&gt; SOUS-SEGMENT'!$Q$8:$Q$1000*'ANALYSE - ERP =&gt; SOUS-SEGMENT'!$DI$8:$DI$1000*'ANALYSE - ERP =&gt; SOUS-SEGMENT'!$CS$8:$CS$1000)/SUMPRODUCT(('ANALYSE - ERP =&gt; SOUS-SEGMENT'!$C$8:$C$1000=$C12)*'ANALYSE - ERP =&gt; SOUS-SEGMENT'!$Q$8:$Q$1000*'ANALYSE - ERP =&gt; SOUS-SEGMENT'!$DI$8:$DI$1000),""))</f>
        <v>10.999999999999998</v>
      </c>
      <c r="CT12" s="808">
        <f>IF($C12="","",IFERROR(SUMPRODUCT(('ANALYSE - ERP =&gt; SOUS-SEGMENT'!$C$8:$C$1000=$C12)*'ANALYSE - ERP =&gt; SOUS-SEGMENT'!$Q$8:$Q$1000*'ANALYSE - ERP =&gt; SOUS-SEGMENT'!$DJ$8:$DJ$1000*'ANALYSE - ERP =&gt; SOUS-SEGMENT'!$CT$8:$CT$1000)/SUMPRODUCT(('ANALYSE - ERP =&gt; SOUS-SEGMENT'!$C$8:$C$1000=$C12)*'ANALYSE - ERP =&gt; SOUS-SEGMENT'!$Q$8:$Q$1000*'ANALYSE - ERP =&gt; SOUS-SEGMENT'!$DJ$8:$DJ$1000),""))</f>
        <v>8</v>
      </c>
      <c r="CU12" s="809">
        <f>IF($C12="","",IFERROR(SUMPRODUCT(('ANALYSE - ERP =&gt; SOUS-SEGMENT'!$C$8:$C$1000=$C12)*'ANALYSE - ERP =&gt; SOUS-SEGMENT'!$Q$8:$Q$1000*'ANALYSE - ERP =&gt; SOUS-SEGMENT'!$DK$8:$DK$1000*'ANALYSE - ERP =&gt; SOUS-SEGMENT'!$CU$8:$CU$1000)/SUMPRODUCT(('ANALYSE - ERP =&gt; SOUS-SEGMENT'!$C$8:$C$1000=$C12)*'ANALYSE - ERP =&gt; SOUS-SEGMENT'!$Q$8:$Q$1000*'ANALYSE - ERP =&gt; SOUS-SEGMENT'!$DK$8:$DK$1000),""))</f>
        <v>9.018932104014679</v>
      </c>
      <c r="CV12" s="807">
        <f>IF($C12="","",IFERROR(SUMPRODUCT(('ANALYSE - ERP =&gt; SOUS-SEGMENT'!$C$8:$C$1000=$C12)*'ANALYSE - ERP =&gt; SOUS-SEGMENT'!$Q$8:$Q$1000*'ANALYSE - ERP =&gt; SOUS-SEGMENT'!$DS$8:$DS$1000*'ANALYSE - ERP =&gt; SOUS-SEGMENT'!$CV$8:$CV$1000)/SUMPRODUCT(('ANALYSE - ERP =&gt; SOUS-SEGMENT'!$C$8:$C$1000=$C12)*'ANALYSE - ERP =&gt; SOUS-SEGMENT'!$Q$8:$Q$1000*'ANALYSE - ERP =&gt; SOUS-SEGMENT'!$DS$8:$DS$1000),""))</f>
        <v>8.9818506723637057</v>
      </c>
      <c r="CW12" s="808">
        <f>IF($C12="","",IFERROR(SUMPRODUCT(('ANALYSE - ERP =&gt; SOUS-SEGMENT'!$C$8:$C$1000=$C12)*'ANALYSE - ERP =&gt; SOUS-SEGMENT'!$Q$8:$Q$1000*'ANALYSE - ERP =&gt; SOUS-SEGMENT'!$DT$8:$DT$1000*'ANALYSE - ERP =&gt; SOUS-SEGMENT'!$CW$8:$CW$1000)/SUMPRODUCT(('ANALYSE - ERP =&gt; SOUS-SEGMENT'!$C$8:$C$1000=$C12)*'ANALYSE - ERP =&gt; SOUS-SEGMENT'!$Q$8:$Q$1000*'ANALYSE - ERP =&gt; SOUS-SEGMENT'!$DT$8:$DT$1000),""))</f>
        <v>9.9381723344152331</v>
      </c>
      <c r="CX12" s="809">
        <f>IF($C12="","",IFERROR(SUMPRODUCT(('ANALYSE - ERP =&gt; SOUS-SEGMENT'!$C$8:$C$1000=$C12)*'ANALYSE - ERP =&gt; SOUS-SEGMENT'!$Q$8:$Q$1000*'ANALYSE - ERP =&gt; SOUS-SEGMENT'!$DU$8:$DU$1000*'ANALYSE - ERP =&gt; SOUS-SEGMENT'!$CX$8:$CX$1000)/SUMPRODUCT(('ANALYSE - ERP =&gt; SOUS-SEGMENT'!$C$8:$C$1000=$C12)*'ANALYSE - ERP =&gt; SOUS-SEGMENT'!$Q$8:$Q$1000*'ANALYSE - ERP =&gt; SOUS-SEGMENT'!$DU$8:$DU$1000),""))</f>
        <v>7.9769098875976381</v>
      </c>
      <c r="CY12" s="807">
        <f>IF($C12="","",IFERROR(SUMPRODUCT(('ANALYSE - ERP =&gt; SOUS-SEGMENT'!$C$8:$C$1000=$C12)*'ANALYSE - ERP =&gt; SOUS-SEGMENT'!$Q$8:$Q$1000*'ANALYSE - ERP =&gt; SOUS-SEGMENT'!$EB$8:$EB$1000*'ANALYSE - ERP =&gt; SOUS-SEGMENT'!$CY$8:$CY$1000)/SUMPRODUCT(('ANALYSE - ERP =&gt; SOUS-SEGMENT'!$C$8:$C$1000=$C12)*'ANALYSE - ERP =&gt; SOUS-SEGMENT'!$Q$8:$Q$1000*'ANALYSE - ERP =&gt; SOUS-SEGMENT'!$EB$8:$EB$1000),""))</f>
        <v>8</v>
      </c>
      <c r="CZ12" s="808">
        <f>IF($C12="","",IFERROR(SUMPRODUCT(('ANALYSE - ERP =&gt; SOUS-SEGMENT'!$C$8:$C$1000=$C12)*'ANALYSE - ERP =&gt; SOUS-SEGMENT'!$Q$8:$Q$1000*'ANALYSE - ERP =&gt; SOUS-SEGMENT'!$EC$8:$EC$1000*'ANALYSE - ERP =&gt; SOUS-SEGMENT'!$CZ$8:$CZ$1000)/SUMPRODUCT(('ANALYSE - ERP =&gt; SOUS-SEGMENT'!$C$8:$C$1000=$C12)*'ANALYSE - ERP =&gt; SOUS-SEGMENT'!$Q$8:$Q$1000*'ANALYSE - ERP =&gt; SOUS-SEGMENT'!$EC$8:$EC$1000),""))</f>
        <v>10.993949266930416</v>
      </c>
      <c r="DA12" s="808">
        <f>IF($C12="","",IFERROR(SUMPRODUCT(('ANALYSE - ERP =&gt; SOUS-SEGMENT'!$C$8:$C$1000=$C12)*'ANALYSE - ERP =&gt; SOUS-SEGMENT'!$Q$8:$Q$1000*'ANALYSE - ERP =&gt; SOUS-SEGMENT'!$ED$8:$ED$1000*'ANALYSE - ERP =&gt; SOUS-SEGMENT'!$DA$8:$DA$1000)/SUMPRODUCT(('ANALYSE - ERP =&gt; SOUS-SEGMENT'!$C$8:$C$1000=$C12)*'ANALYSE - ERP =&gt; SOUS-SEGMENT'!$Q$8:$Q$1000*'ANALYSE - ERP =&gt; SOUS-SEGMENT'!$ED$8:$ED$1000),""))</f>
        <v>7.9931865828092246</v>
      </c>
      <c r="DB12" s="809">
        <f>IF($C12="","",IFERROR(SUMPRODUCT(('ANALYSE - ERP =&gt; SOUS-SEGMENT'!$C$8:$C$1000=$C12)*'ANALYSE - ERP =&gt; SOUS-SEGMENT'!$Q$8:$Q$1000*'ANALYSE - ERP =&gt; SOUS-SEGMENT'!$EE$8:$EE$1000*'ANALYSE - ERP =&gt; SOUS-SEGMENT'!$DB$8:$DB$1000)/SUMPRODUCT(('ANALYSE - ERP =&gt; SOUS-SEGMENT'!$C$8:$C$1000=$C12)*'ANALYSE - ERP =&gt; SOUS-SEGMENT'!$Q$8:$Q$1000*'ANALYSE - ERP =&gt; SOUS-SEGMENT'!$EE$8:$EE$1000),""))</f>
        <v>9</v>
      </c>
      <c r="DC12" s="807">
        <f>IF($C12="","",IFERROR(SUMPRODUCT(('ANALYSE - ERP =&gt; SOUS-SEGMENT'!$C$8:$C$1000=$C12)*'ANALYSE - ERP =&gt; SOUS-SEGMENT'!$Q$8:$Q$1000*'ANALYSE - ERP =&gt; SOUS-SEGMENT'!$EM$8:$EM$1000*'ANALYSE - ERP =&gt; SOUS-SEGMENT'!$DC$8:$DC$1000)/SUMPRODUCT(('ANALYSE - ERP =&gt; SOUS-SEGMENT'!$C$8:$C$1000=$C12)*'ANALYSE - ERP =&gt; SOUS-SEGMENT'!$Q$8:$Q$1000*'ANALYSE - ERP =&gt; SOUS-SEGMENT'!$EM$8:$EM$1000),""))</f>
        <v>9.01079281244618</v>
      </c>
      <c r="DD12" s="808">
        <f>IF($C12="","",IFERROR(SUMPRODUCT(('ANALYSE - ERP =&gt; SOUS-SEGMENT'!$C$8:$C$1000=$C12)*'ANALYSE - ERP =&gt; SOUS-SEGMENT'!$Q$8:$Q$1000*'ANALYSE - ERP =&gt; SOUS-SEGMENT'!$EN$8:$EN$1000*'ANALYSE - ERP =&gt; SOUS-SEGMENT'!$DD$8:$DD$1000)/SUMPRODUCT(('ANALYSE - ERP =&gt; SOUS-SEGMENT'!$C$8:$C$1000=$C12)*'ANALYSE - ERP =&gt; SOUS-SEGMENT'!$Q$8:$Q$1000*'ANALYSE - ERP =&gt; SOUS-SEGMENT'!$EN$8:$EN$1000),""))</f>
        <v>11.985867849357287</v>
      </c>
      <c r="DE12" s="809">
        <f>IF($C12="","",IFERROR(SUMPRODUCT(('ANALYSE - ERP =&gt; SOUS-SEGMENT'!$C$8:$C$1000=$C12)*'ANALYSE - ERP =&gt; SOUS-SEGMENT'!$Q$8:$Q$1000*'ANALYSE - ERP =&gt; SOUS-SEGMENT'!$EO$8:$EO$1000*'ANALYSE - ERP =&gt; SOUS-SEGMENT'!$DE$8:$DE$1000)/SUMPRODUCT(('ANALYSE - ERP =&gt; SOUS-SEGMENT'!$C$8:$C$1000=$C12)*'ANALYSE - ERP =&gt; SOUS-SEGMENT'!$Q$8:$Q$1000*'ANALYSE - ERP =&gt; SOUS-SEGMENT'!$EO$8:$EO$1000),""))</f>
        <v>8.9787762474599226</v>
      </c>
      <c r="DF12" s="921" t="s">
        <v>5426</v>
      </c>
      <c r="DG12" s="657"/>
      <c r="DH12" s="288">
        <f>IF($C12="","",SUMPRODUCT(('ANALYSE - ERP =&gt; SOUS-SEGMENT'!$C$8:$C$1000=$C12)*'ANALYSE - ERP =&gt; SOUS-SEGMENT'!$Q$8:$Q$1000*'ANALYSE - ERP =&gt; SOUS-SEGMENT'!$DH$8:$DH$1000))</f>
        <v>41599.199999999997</v>
      </c>
      <c r="DI12" s="288">
        <f>IF($C12="","",SUMPRODUCT(('ANALYSE - ERP =&gt; SOUS-SEGMENT'!$C$8:$C$1000=$C12)*'ANALYSE - ERP =&gt; SOUS-SEGMENT'!$Q$8:$Q$1000*'ANALYSE - ERP =&gt; SOUS-SEGMENT'!$DI$8:$DI$1000))</f>
        <v>309380.80000000005</v>
      </c>
      <c r="DJ12" s="288">
        <f>IF($C12="","",SUMPRODUCT(('ANALYSE - ERP =&gt; SOUS-SEGMENT'!$C$8:$C$1000=$C12)*'ANALYSE - ERP =&gt; SOUS-SEGMENT'!$Q$8:$Q$1000*'ANALYSE - ERP =&gt; SOUS-SEGMENT'!$DJ$8:$DJ$1000))</f>
        <v>27745.600000000002</v>
      </c>
      <c r="DK12" s="288">
        <f>IF($C12="","",SUMPRODUCT(('ANALYSE - ERP =&gt; SOUS-SEGMENT'!$C$8:$C$1000=$C12)*'ANALYSE - ERP =&gt; SOUS-SEGMENT'!$Q$8:$Q$1000*'ANALYSE - ERP =&gt; SOUS-SEGMENT'!$DK$8:$DK$1000))</f>
        <v>17874.400000000001</v>
      </c>
      <c r="DL12" s="922" t="s">
        <v>5427</v>
      </c>
      <c r="DM12" s="288">
        <f>IF($C12="","",SUMPRODUCT(('ANALYSE - ERP =&gt; SOUS-SEGMENT'!$C$8:$C$1000=$C12)*'ANALYSE - ERP =&gt; SOUS-SEGMENT'!$Q$8:$Q$1000*'ANALYSE - ERP =&gt; SOUS-SEGMENT'!$DM$8:$DM$1000))</f>
        <v>34864</v>
      </c>
      <c r="DN12" s="288">
        <f>IF($C12="","",SUMPRODUCT(('ANALYSE - ERP =&gt; SOUS-SEGMENT'!$C$8:$C$1000=$C12)*'ANALYSE - ERP =&gt; SOUS-SEGMENT'!$Q$8:$Q$1000*'ANALYSE - ERP =&gt; SOUS-SEGMENT'!$DN$8:$DN$1000))</f>
        <v>322578.15999999997</v>
      </c>
      <c r="DO12" s="288">
        <f>IF($C12="","",SUMPRODUCT(('ANALYSE - ERP =&gt; SOUS-SEGMENT'!$C$8:$C$1000=$C12)*'ANALYSE - ERP =&gt; SOUS-SEGMENT'!$Q$8:$Q$1000*'ANALYSE - ERP =&gt; SOUS-SEGMENT'!$DO$8:$DO$1000))</f>
        <v>37962.479999999996</v>
      </c>
      <c r="DP12" s="288">
        <f>IF($C12="","",SUMPRODUCT(('ANALYSE - ERP =&gt; SOUS-SEGMENT'!$C$8:$C$1000=$C12)*'ANALYSE - ERP =&gt; SOUS-SEGMENT'!$Q$8:$Q$1000*'ANALYSE - ERP =&gt; SOUS-SEGMENT'!$DP$8:$DP$1000))</f>
        <v>14919.36</v>
      </c>
      <c r="DQ12" s="922" t="s">
        <v>5428</v>
      </c>
      <c r="DR12" s="657"/>
      <c r="DS12" s="288">
        <f>IF($C12="","",SUMPRODUCT(('ANALYSE - ERP =&gt; SOUS-SEGMENT'!$C$8:$C$1000=$C12)*'ANALYSE - ERP =&gt; SOUS-SEGMENT'!$Q$8:$Q$1000*'ANALYSE - ERP =&gt; SOUS-SEGMENT'!$DS$8:$DS$1000))</f>
        <v>100169</v>
      </c>
      <c r="DT12" s="288">
        <f>IF($C12="","",SUMPRODUCT(('ANALYSE - ERP =&gt; SOUS-SEGMENT'!$C$8:$C$1000=$C12)*'ANALYSE - ERP =&gt; SOUS-SEGMENT'!$Q$8:$Q$1000*'ANALYSE - ERP =&gt; SOUS-SEGMENT'!$DT$8:$DT$1000))</f>
        <v>313646</v>
      </c>
      <c r="DU12" s="288">
        <f>IF($C12="","",SUMPRODUCT(('ANALYSE - ERP =&gt; SOUS-SEGMENT'!$C$8:$C$1000=$C12)*'ANALYSE - ERP =&gt; SOUS-SEGMENT'!$Q$8:$Q$1000*'ANALYSE - ERP =&gt; SOUS-SEGMENT'!$DU$8:$DU$1000))</f>
        <v>26245</v>
      </c>
      <c r="DV12" s="922" t="s">
        <v>5429</v>
      </c>
      <c r="DW12" s="288">
        <f>IF($C12="","",SUMPRODUCT(('ANALYSE - ERP =&gt; SOUS-SEGMENT'!$C$8:$C$1000=$C12)*'ANALYSE - ERP =&gt; SOUS-SEGMENT'!$Q$8:$Q$1000*'ANALYSE - ERP =&gt; SOUS-SEGMENT'!$DW$8:$DW$1000))</f>
        <v>83159.3</v>
      </c>
      <c r="DX12" s="288">
        <f>IF($C12="","",SUMPRODUCT(('ANALYSE - ERP =&gt; SOUS-SEGMENT'!$C$8:$C$1000=$C12)*'ANALYSE - ERP =&gt; SOUS-SEGMENT'!$Q$8:$Q$1000*'ANALYSE - ERP =&gt; SOUS-SEGMENT'!$DX$8:$DX$1000))</f>
        <v>334859.82</v>
      </c>
      <c r="DY12" s="288">
        <f>IF($C12="","",SUMPRODUCT(('ANALYSE - ERP =&gt; SOUS-SEGMENT'!$C$8:$C$1000=$C12)*'ANALYSE - ERP =&gt; SOUS-SEGMENT'!$Q$8:$Q$1000*'ANALYSE - ERP =&gt; SOUS-SEGMENT'!$DY$8:$DY$1000))</f>
        <v>36066.879999999997</v>
      </c>
      <c r="DZ12" s="922" t="s">
        <v>5430</v>
      </c>
      <c r="EA12" s="657"/>
      <c r="EB12" s="288">
        <f>IF($C12="","",SUMPRODUCT(('ANALYSE - ERP =&gt; SOUS-SEGMENT'!$C$8:$C$1000=$C12)*'ANALYSE - ERP =&gt; SOUS-SEGMENT'!$Q$8:$Q$1000*'ANALYSE - ERP =&gt; SOUS-SEGMENT'!$EB$8:$EB$1000))</f>
        <v>4052</v>
      </c>
      <c r="EC12" s="288">
        <f>IF($C12="","",SUMPRODUCT(('ANALYSE - ERP =&gt; SOUS-SEGMENT'!$C$8:$C$1000=$C12)*'ANALYSE - ERP =&gt; SOUS-SEGMENT'!$Q$8:$Q$1000*'ANALYSE - ERP =&gt; SOUS-SEGMENT'!$EC$8:$EC$1000))</f>
        <v>47267</v>
      </c>
      <c r="ED12" s="288">
        <f>IF($C12="","",SUMPRODUCT(('ANALYSE - ERP =&gt; SOUS-SEGMENT'!$C$8:$C$1000=$C12)*'ANALYSE - ERP =&gt; SOUS-SEGMENT'!$Q$8:$Q$1000*'ANALYSE - ERP =&gt; SOUS-SEGMENT'!$ED$8:$ED$1000))</f>
        <v>7632</v>
      </c>
      <c r="EE12" s="288">
        <f>IF($C12="","",SUMPRODUCT(('ANALYSE - ERP =&gt; SOUS-SEGMENT'!$C$8:$C$1000=$C12)*'ANALYSE - ERP =&gt; SOUS-SEGMENT'!$Q$8:$Q$1000*'ANALYSE - ERP =&gt; SOUS-SEGMENT'!$EE$8:$EE$1000))</f>
        <v>22089</v>
      </c>
      <c r="EF12" s="922" t="s">
        <v>5431</v>
      </c>
      <c r="EG12" s="288">
        <f>IF($C12="","",SUMPRODUCT(('ANALYSE - ERP =&gt; SOUS-SEGMENT'!$C$8:$C$1000=$C12)*'ANALYSE - ERP =&gt; SOUS-SEGMENT'!$Q$8:$Q$1000*'ANALYSE - ERP =&gt; SOUS-SEGMENT'!$EG$8:$EG$1000))</f>
        <v>3345.52</v>
      </c>
      <c r="EH12" s="288">
        <f>IF($C12="","",SUMPRODUCT(('ANALYSE - ERP =&gt; SOUS-SEGMENT'!$C$8:$C$1000=$C12)*'ANALYSE - ERP =&gt; SOUS-SEGMENT'!$Q$8:$Q$1000*'ANALYSE - ERP =&gt; SOUS-SEGMENT'!$EH$8:$EH$1000))</f>
        <v>48781.65</v>
      </c>
      <c r="EI12" s="288">
        <f>IF($C12="","",SUMPRODUCT(('ANALYSE - ERP =&gt; SOUS-SEGMENT'!$C$8:$C$1000=$C12)*'ANALYSE - ERP =&gt; SOUS-SEGMENT'!$Q$8:$Q$1000*'ANALYSE - ERP =&gt; SOUS-SEGMENT'!$EI$8:$EI$1000))</f>
        <v>9688.5400000000009</v>
      </c>
      <c r="EJ12" s="288">
        <f>IF($C12="","",SUMPRODUCT(('ANALYSE - ERP =&gt; SOUS-SEGMENT'!$C$8:$C$1000=$C12)*'ANALYSE - ERP =&gt; SOUS-SEGMENT'!$Q$8:$Q$1000*'ANALYSE - ERP =&gt; SOUS-SEGMENT'!$EJ$8:$EJ$1000))</f>
        <v>21822.290000000005</v>
      </c>
      <c r="EK12" s="922" t="s">
        <v>5432</v>
      </c>
      <c r="EL12" s="657"/>
      <c r="EM12" s="288">
        <f>IF($C12="","",SUMPRODUCT(('ANALYSE - ERP =&gt; SOUS-SEGMENT'!$C$8:$C$1000=$C12)*'ANALYSE - ERP =&gt; SOUS-SEGMENT'!$Q$8:$Q$1000*'ANALYSE - ERP =&gt; SOUS-SEGMENT'!$EM$8:$EM$1000))</f>
        <v>87095</v>
      </c>
      <c r="EN12" s="291">
        <f>IF($C12="","",SUMPRODUCT(('ANALYSE - ERP =&gt; SOUS-SEGMENT'!$C$8:$C$1000=$C12)*'ANALYSE - ERP =&gt; SOUS-SEGMENT'!$Q$8:$Q$1000*'ANALYSE - ERP =&gt; SOUS-SEGMENT'!$EN$8:$EN$1000))</f>
        <v>146333</v>
      </c>
      <c r="EO12" s="291">
        <f>IF($C12="","",SUMPRODUCT(('ANALYSE - ERP =&gt; SOUS-SEGMENT'!$C$8:$C$1000=$C12)*'ANALYSE - ERP =&gt; SOUS-SEGMENT'!$Q$8:$Q$1000*'ANALYSE - ERP =&gt; SOUS-SEGMENT'!$EO$8:$EO$1000))</f>
        <v>35432</v>
      </c>
      <c r="EP12" s="922" t="s">
        <v>5433</v>
      </c>
      <c r="EQ12" s="288">
        <f>IF($C12="","",SUMPRODUCT(('ANALYSE - ERP =&gt; SOUS-SEGMENT'!$C$8:$C$1000=$C12)*'ANALYSE - ERP =&gt; SOUS-SEGMENT'!$Q$8:$Q$1000*'ANALYSE - ERP =&gt; SOUS-SEGMENT'!$EQ$8:$EQ$1000))</f>
        <v>62408</v>
      </c>
      <c r="ER12" s="291">
        <f>IF($C12="","",SUMPRODUCT(('ANALYSE - ERP =&gt; SOUS-SEGMENT'!$C$8:$C$1000=$C12)*'ANALYSE - ERP =&gt; SOUS-SEGMENT'!$Q$8:$Q$1000*'ANALYSE - ERP =&gt; SOUS-SEGMENT'!$ER$8:$ER$1000))</f>
        <v>159358.9</v>
      </c>
      <c r="ES12" s="291">
        <f>IF($C12="","",SUMPRODUCT(('ANALYSE - ERP =&gt; SOUS-SEGMENT'!$C$8:$C$1000=$C12)*'ANALYSE - ERP =&gt; SOUS-SEGMENT'!$Q$8:$Q$1000*'ANALYSE - ERP =&gt; SOUS-SEGMENT'!$ES$8:$ES$1000))</f>
        <v>56013.1</v>
      </c>
      <c r="ET12" s="922" t="s">
        <v>5434</v>
      </c>
      <c r="EU12" s="657"/>
      <c r="EV12" s="740">
        <f t="shared" si="31"/>
        <v>0.7971818067879497</v>
      </c>
      <c r="EW12" s="740">
        <f t="shared" si="32"/>
        <v>0.20281819321205033</v>
      </c>
      <c r="EX12" s="563">
        <f t="shared" si="33"/>
        <v>620118.03383192432</v>
      </c>
      <c r="EY12" s="563">
        <f t="shared" si="34"/>
        <v>494346.81463192432</v>
      </c>
      <c r="EZ12" s="563">
        <f t="shared" si="35"/>
        <v>125771.21919999999</v>
      </c>
      <c r="FA12" s="563">
        <f t="shared" si="36"/>
        <v>200057.01617084848</v>
      </c>
      <c r="FB12" s="563">
        <f>IF($C12="","",SUMPRODUCT(('ANALYSE - ERP =&gt; SOUS-SEGMENT'!$C$8:$C$1000=$C12)*'ANALYSE - ERP =&gt; SOUS-SEGMENT'!$Q$8:$Q$1000*'ANALYSE - ERP =&gt; SOUS-SEGMENT'!$FB$8:$FB$1000))</f>
        <v>157269.55057084849</v>
      </c>
      <c r="FC12" s="563">
        <f>IF($C12="","",SUMPRODUCT(('ANALYSE - ERP =&gt; SOUS-SEGMENT'!$C$8:$C$1000=$C12)*'ANALYSE - ERP =&gt; SOUS-SEGMENT'!$Q$8:$Q$1000*'ANALYSE - ERP =&gt; SOUS-SEGMENT'!$FC$8:$FC$1000))</f>
        <v>42787.465599999996</v>
      </c>
      <c r="FD12" s="563">
        <f t="shared" si="37"/>
        <v>240488.35430975002</v>
      </c>
      <c r="FE12" s="563">
        <f>IF($C12="","",SUMPRODUCT(('ANALYSE - ERP =&gt; SOUS-SEGMENT'!$C$8:$C$1000=$C12)*'ANALYSE - ERP =&gt; SOUS-SEGMENT'!$Q$8:$Q$1000*'ANALYSE - ERP =&gt; SOUS-SEGMENT'!$FE$8:$FE$1000))</f>
        <v>194473.86890975002</v>
      </c>
      <c r="FF12" s="563">
        <f>IF($C12="","",SUMPRODUCT(('ANALYSE - ERP =&gt; SOUS-SEGMENT'!$C$8:$C$1000=$C12)*'ANALYSE - ERP =&gt; SOUS-SEGMENT'!$Q$8:$Q$1000*'ANALYSE - ERP =&gt; SOUS-SEGMENT'!$FF$8:$FF$1000))</f>
        <v>46014.485400000005</v>
      </c>
      <c r="FG12" s="563">
        <f t="shared" si="38"/>
        <v>43150.489577325759</v>
      </c>
      <c r="FH12" s="563">
        <f>IF($C12="","",SUMPRODUCT(('ANALYSE - ERP =&gt; SOUS-SEGMENT'!$C$8:$C$1000=$C12)*'ANALYSE - ERP =&gt; SOUS-SEGMENT'!$Q$8:$Q$1000*'ANALYSE - ERP =&gt; SOUS-SEGMENT'!$FH$8:$FH$1000))</f>
        <v>34661.855377325759</v>
      </c>
      <c r="FI12" s="563">
        <f>IF($C12="","",SUMPRODUCT(('ANALYSE - ERP =&gt; SOUS-SEGMENT'!$C$8:$C$1000=$C12)*'ANALYSE - ERP =&gt; SOUS-SEGMENT'!$Q$8:$Q$1000*'ANALYSE - ERP =&gt; SOUS-SEGMENT'!$FI$8:$FI$1000))</f>
        <v>8488.6342000000004</v>
      </c>
      <c r="FJ12" s="563">
        <f t="shared" si="39"/>
        <v>136422.17377400002</v>
      </c>
      <c r="FK12" s="563">
        <f>IF($C12="","",SUMPRODUCT(('ANALYSE - ERP =&gt; SOUS-SEGMENT'!$C$8:$C$1000=$C12)*'ANALYSE - ERP =&gt; SOUS-SEGMENT'!$Q$8:$Q$1000*'ANALYSE - ERP =&gt; SOUS-SEGMENT'!$FK$8:$FK$1000))</f>
        <v>107941.53977400002</v>
      </c>
      <c r="FL12" s="563">
        <f>IF($C12="","",SUMPRODUCT(('ANALYSE - ERP =&gt; SOUS-SEGMENT'!$C$8:$C$1000=$C12)*'ANALYSE - ERP =&gt; SOUS-SEGMENT'!$Q$8:$Q$1000*'ANALYSE - ERP =&gt; SOUS-SEGMENT'!$FL$8:$FL$1000))</f>
        <v>28480.633999999995</v>
      </c>
      <c r="FM12" s="529"/>
      <c r="FN12" s="961" t="s">
        <v>2649</v>
      </c>
      <c r="FO12" s="740">
        <f>IF($C12="","",IFERROR(SUMPRODUCT(('ANALYSE - ERP =&gt; SOUS-SEGMENT'!$C$8:$C$1000=$C12)*'ANALYSE - ERP =&gt; SOUS-SEGMENT'!$Q$8:$Q$1000*'ANALYSE - ERP =&gt; SOUS-SEGMENT'!$AF$8:$AF$1000*'ANALYSE - ERP =&gt; SOUS-SEGMENT'!$FO$8:$FO$1000)/SUMPRODUCT(('ANALYSE - ERP =&gt; SOUS-SEGMENT'!$C$8:$C$1000=$C12)*'ANALYSE - ERP =&gt; SOUS-SEGMENT'!$Q$8:$Q$1000*'ANALYSE - ERP =&gt; SOUS-SEGMENT'!$AF$8:$AF$1000),""))</f>
        <v>7.2960596285434998E-2</v>
      </c>
      <c r="FP12" s="741">
        <f>IF($C12="","",IFERROR(SUMPRODUCT(('ANALYSE - ERP =&gt; SOUS-SEGMENT'!$C$8:$C$1000=$C12)*'ANALYSE - ERP =&gt; SOUS-SEGMENT'!$Q$8:$Q$1000*'ANALYSE - ERP =&gt; SOUS-SEGMENT'!$AF$8:$AF$1000*'ANALYSE - ERP =&gt; SOUS-SEGMENT'!$FP$8:$FP$1000)/SUMPRODUCT(('ANALYSE - ERP =&gt; SOUS-SEGMENT'!$C$8:$C$1000=$C12)*'ANALYSE - ERP =&gt; SOUS-SEGMENT'!$Q$8:$Q$1000*'ANALYSE - ERP =&gt; SOUS-SEGMENT'!$AF$8:$AF$1000),""))</f>
        <v>0.87952222222222232</v>
      </c>
      <c r="FQ12" s="961" t="s">
        <v>5435</v>
      </c>
      <c r="FR12" s="529"/>
      <c r="FS12" s="867">
        <f>IF($C12="","",IFERROR(SUMPRODUCT(('ANALYSE - ERP =&gt; SOUS-SEGMENT'!$C$8:$C$1000=$C12)*'ANALYSE - ERP =&gt; SOUS-SEGMENT'!$Q$8:$Q$1000*'ANALYSE - ERP =&gt; SOUS-SEGMENT'!$EX$8:$EX$1000*'ANALYSE - ERP =&gt; SOUS-SEGMENT'!$FS$8:$FS$1000)/SUMPRODUCT(('ANALYSE - ERP =&gt; SOUS-SEGMENT'!$C$8:$C$1000=$C12)*'ANALYSE - ERP =&gt; SOUS-SEGMENT'!$Q$8:$Q$1000*'ANALYSE - ERP =&gt; SOUS-SEGMENT'!$EX$8:$EX$1000),""))</f>
        <v>3.3979214933031603</v>
      </c>
      <c r="FT12" s="566">
        <f>IF($C12="","",RANK($FS12,$FS$8:$FS$43,0)+COUNTIF($FS$8:$FS12,$FS12)-1)</f>
        <v>16</v>
      </c>
      <c r="FU12" s="867">
        <f>IF($C12="","",IFERROR(SUMPRODUCT(('ANALYSE - ERP =&gt; SOUS-SEGMENT'!$C$8:$C$1000=$C12)*'ANALYSE - ERP =&gt; SOUS-SEGMENT'!$Q$8:$Q$1000*'ANALYSE - ERP =&gt; SOUS-SEGMENT'!$EY$8:$EY$1000*'ANALYSE - ERP =&gt; SOUS-SEGMENT'!$FU$8:$FU$1000)/SUMPRODUCT(('ANALYSE - ERP =&gt; SOUS-SEGMENT'!$C$8:$C$1000=$C12)*'ANALYSE - ERP =&gt; SOUS-SEGMENT'!$Q$8:$Q$1000*'ANALYSE - ERP =&gt; SOUS-SEGMENT'!$EY$8:$EY$1000),""))</f>
        <v>4.1987339140179465</v>
      </c>
      <c r="FV12" s="566">
        <f>IF($C12="","",RANK($FU12,$FU$8:$FU$43,0)+COUNTIF($FU$8:$FU12,$FU12)-1)</f>
        <v>11</v>
      </c>
      <c r="FW12" s="867">
        <f>IF($C12="","",IFERROR(SUMPRODUCT(('ANALYSE - ERP =&gt; SOUS-SEGMENT'!$C$8:$C$1000=$C12)*'ANALYSE - ERP =&gt; SOUS-SEGMENT'!$Q$8:$Q$1000*'ANALYSE - ERP =&gt; SOUS-SEGMENT'!$EZ$8:$EZ$1000*'ANALYSE - ERP =&gt; SOUS-SEGMENT'!$FW$8:$FW$1000)/SUMPRODUCT(('ANALYSE - ERP =&gt; SOUS-SEGMENT'!$C$8:$C$1000=$C12)*'ANALYSE - ERP =&gt; SOUS-SEGMENT'!$Q$8:$Q$1000*'ANALYSE - ERP =&gt; SOUS-SEGMENT'!$EZ$8:$EZ$1000),""))</f>
        <v>2.4286655354852438</v>
      </c>
      <c r="FX12" s="566">
        <f>IF($C12="","",RANK($FW12,$FW$8:$FW$43,0)+COUNTIF($FW$8:$FW12,$FW12)-1)</f>
        <v>12</v>
      </c>
      <c r="FY12" s="529"/>
      <c r="FZ12" s="922" t="s">
        <v>5436</v>
      </c>
      <c r="GA12" s="922" t="s">
        <v>5437</v>
      </c>
      <c r="GB12" s="922" t="s">
        <v>5438</v>
      </c>
      <c r="GC12" s="922" t="s">
        <v>5439</v>
      </c>
      <c r="GD12" s="922" t="s">
        <v>5440</v>
      </c>
      <c r="GE12" s="922" t="s">
        <v>5441</v>
      </c>
      <c r="GF12" s="923" t="s">
        <v>5442</v>
      </c>
      <c r="GG12" s="529"/>
      <c r="GH12" s="563">
        <f t="shared" si="40"/>
        <v>21048.169015200001</v>
      </c>
      <c r="GI12" s="563">
        <f>IF($C12="","",SUMPRODUCT(('ANALYSE - ERP =&gt; SOUS-SEGMENT'!$C$8:$C$1000=$C12)*'ANALYSE - ERP =&gt; SOUS-SEGMENT'!$Q$8:$Q$1000*'ANALYSE - ERP =&gt; SOUS-SEGMENT'!$GI$8:$GI$1000))</f>
        <v>17383.353335200001</v>
      </c>
      <c r="GJ12" s="563">
        <f>IF($C12="","",SUMPRODUCT(('ANALYSE - ERP =&gt; SOUS-SEGMENT'!$C$8:$C$1000=$C12)*'ANALYSE - ERP =&gt; SOUS-SEGMENT'!$Q$8:$Q$1000*'ANALYSE - ERP =&gt; SOUS-SEGMENT'!$GJ$8:$GJ$1000))</f>
        <v>3664.8156799999997</v>
      </c>
      <c r="GK12" s="563">
        <f t="shared" si="41"/>
        <v>150377.2259381818</v>
      </c>
      <c r="GL12" s="563">
        <f>IF($C12="","",SUMPRODUCT(('ANALYSE - ERP =&gt; SOUS-SEGMENT'!$C$8:$C$1000=$C12)*'ANALYSE - ERP =&gt; SOUS-SEGMENT'!$Q$8:$Q$1000*'ANALYSE - ERP =&gt; SOUS-SEGMENT'!$GL$8:$GL$1000))</f>
        <v>116788.04071418181</v>
      </c>
      <c r="GM12" s="563">
        <f>IF($C12="","",SUMPRODUCT(('ANALYSE - ERP =&gt; SOUS-SEGMENT'!$C$8:$C$1000=$C12)*'ANALYSE - ERP =&gt; SOUS-SEGMENT'!$Q$8:$Q$1000*'ANALYSE - ERP =&gt; SOUS-SEGMENT'!$GM$8:$GM$1000))</f>
        <v>33589.185223999993</v>
      </c>
      <c r="GN12" s="563">
        <f t="shared" si="42"/>
        <v>18725.212556399998</v>
      </c>
      <c r="GO12" s="563">
        <f>IF($C12="","",SUMPRODUCT(('ANALYSE - ERP =&gt; SOUS-SEGMENT'!$C$8:$C$1000=$C12)*'ANALYSE - ERP =&gt; SOUS-SEGMENT'!$Q$8:$Q$1000*'ANALYSE - ERP =&gt; SOUS-SEGMENT'!$GO$8:$GO$1000))</f>
        <v>14729.659484399999</v>
      </c>
      <c r="GP12" s="563">
        <f>IF($C12="","",SUMPRODUCT(('ANALYSE - ERP =&gt; SOUS-SEGMENT'!$C$8:$C$1000=$C12)*'ANALYSE - ERP =&gt; SOUS-SEGMENT'!$Q$8:$Q$1000*'ANALYSE - ERP =&gt; SOUS-SEGMENT'!$GP$8:$GP$1000))</f>
        <v>3995.5530720000002</v>
      </c>
      <c r="GQ12" s="563">
        <f t="shared" si="43"/>
        <v>9906.4086610666673</v>
      </c>
      <c r="GR12" s="563">
        <f>IF($C12="","",SUMPRODUCT(('ANALYSE - ERP =&gt; SOUS-SEGMENT'!$C$8:$C$1000=$C12)*'ANALYSE - ERP =&gt; SOUS-SEGMENT'!$Q$8:$Q$1000*'ANALYSE - ERP =&gt; SOUS-SEGMENT'!$GR$8:$GR$1000))</f>
        <v>8368.497037066667</v>
      </c>
      <c r="GS12" s="563">
        <f>IF($C12="","",SUMPRODUCT(('ANALYSE - ERP =&gt; SOUS-SEGMENT'!$C$8:$C$1000=$C12)*'ANALYSE - ERP =&gt; SOUS-SEGMENT'!$Q$8:$Q$1000*'ANALYSE - ERP =&gt; SOUS-SEGMENT'!$GS$8:$GS$1000))</f>
        <v>1537.9116239999998</v>
      </c>
      <c r="GT12" s="563">
        <f t="shared" si="44"/>
        <v>55740.659829750002</v>
      </c>
      <c r="GU12" s="563">
        <f>IF($C12="","",SUMPRODUCT(('ANALYSE - ERP =&gt; SOUS-SEGMENT'!$C$8:$C$1000=$C12)*'ANALYSE - ERP =&gt; SOUS-SEGMENT'!$Q$8:$Q$1000*'ANALYSE - ERP =&gt; SOUS-SEGMENT'!$GU$8:$GU$1000))</f>
        <v>46960.071369750003</v>
      </c>
      <c r="GV12" s="563">
        <f>IF($C12="","",SUMPRODUCT(('ANALYSE - ERP =&gt; SOUS-SEGMENT'!$C$8:$C$1000=$C12)*'ANALYSE - ERP =&gt; SOUS-SEGMENT'!$Q$8:$Q$1000*'ANALYSE - ERP =&gt; SOUS-SEGMENT'!$GV$8:$GV$1000))</f>
        <v>8780.588459999999</v>
      </c>
      <c r="GW12" s="563">
        <f t="shared" si="45"/>
        <v>166992.70435000001</v>
      </c>
      <c r="GX12" s="563">
        <f>IF($C12="","",SUMPRODUCT(('ANALYSE - ERP =&gt; SOUS-SEGMENT'!$C$8:$C$1000=$C12)*'ANALYSE - ERP =&gt; SOUS-SEGMENT'!$Q$8:$Q$1000*'ANALYSE - ERP =&gt; SOUS-SEGMENT'!$GX$8:$GX$1000))</f>
        <v>133524.74161200001</v>
      </c>
      <c r="GY12" s="563">
        <f>IF($C12="","",SUMPRODUCT(('ANALYSE - ERP =&gt; SOUS-SEGMENT'!$C$8:$C$1000=$C12)*'ANALYSE - ERP =&gt; SOUS-SEGMENT'!$Q$8:$Q$1000*'ANALYSE - ERP =&gt; SOUS-SEGMENT'!$GY$8:$GY$1000))</f>
        <v>33467.962738000002</v>
      </c>
      <c r="GZ12" s="563">
        <f t="shared" si="46"/>
        <v>17754.990129999998</v>
      </c>
      <c r="HA12" s="563">
        <f>IF($C12="","",SUMPRODUCT(('ANALYSE - ERP =&gt; SOUS-SEGMENT'!$C$8:$C$1000=$C12)*'ANALYSE - ERP =&gt; SOUS-SEGMENT'!$Q$8:$Q$1000*'ANALYSE - ERP =&gt; SOUS-SEGMENT'!$HA$8:$HA$1000))</f>
        <v>13989.055927999998</v>
      </c>
      <c r="HB12" s="563">
        <f>IF($C12="","",SUMPRODUCT(('ANALYSE - ERP =&gt; SOUS-SEGMENT'!$C$8:$C$1000=$C12)*'ANALYSE - ERP =&gt; SOUS-SEGMENT'!$Q$8:$Q$1000*'ANALYSE - ERP =&gt; SOUS-SEGMENT'!$HB$8:$HB$1000))</f>
        <v>3765.9342019999999</v>
      </c>
      <c r="HC12" s="563">
        <f t="shared" si="47"/>
        <v>2505.1808167499998</v>
      </c>
      <c r="HD12" s="563">
        <f>IF($C12="","",SUMPRODUCT(('ANALYSE - ERP =&gt; SOUS-SEGMENT'!$C$8:$C$1000=$C12)*'ANALYSE - ERP =&gt; SOUS-SEGMENT'!$Q$8:$Q$1000*'ANALYSE - ERP =&gt; SOUS-SEGMENT'!$HD$8:$HD$1000))</f>
        <v>2165.6354487499998</v>
      </c>
      <c r="HE12" s="563">
        <f>IF($C12="","",SUMPRODUCT(('ANALYSE - ERP =&gt; SOUS-SEGMENT'!$C$8:$C$1000=$C12)*'ANALYSE - ERP =&gt; SOUS-SEGMENT'!$Q$8:$Q$1000*'ANALYSE - ERP =&gt; SOUS-SEGMENT'!$HE$8:$HE$1000))</f>
        <v>339.545368</v>
      </c>
      <c r="HF12" s="563">
        <f t="shared" si="48"/>
        <v>22945.957897409091</v>
      </c>
      <c r="HG12" s="563">
        <f>IF($C12="","",SUMPRODUCT(('ANALYSE - ERP =&gt; SOUS-SEGMENT'!$C$8:$C$1000=$C12)*'ANALYSE - ERP =&gt; SOUS-SEGMENT'!$Q$8:$Q$1000*'ANALYSE - ERP =&gt; SOUS-SEGMENT'!$HG$8:$HG$1000))</f>
        <v>17991.060637409089</v>
      </c>
      <c r="HH12" s="563">
        <f>IF($C12="","",SUMPRODUCT(('ANALYSE - ERP =&gt; SOUS-SEGMENT'!$C$8:$C$1000=$C12)*'ANALYSE - ERP =&gt; SOUS-SEGMENT'!$Q$8:$Q$1000*'ANALYSE - ERP =&gt; SOUS-SEGMENT'!$HH$8:$HH$1000))</f>
        <v>4954.8972599999997</v>
      </c>
      <c r="HI12" s="563">
        <f t="shared" si="49"/>
        <v>5068.0841295000009</v>
      </c>
      <c r="HJ12" s="563">
        <f>IF($C12="","",SUMPRODUCT(('ANALYSE - ERP =&gt; SOUS-SEGMENT'!$C$8:$C$1000=$C12)*'ANALYSE - ERP =&gt; SOUS-SEGMENT'!$Q$8:$Q$1000*'ANALYSE - ERP =&gt; SOUS-SEGMENT'!$HJ$8:$HJ$1000))</f>
        <v>4073.2254935000005</v>
      </c>
      <c r="HK12" s="563">
        <f>IF($C12="","",SUMPRODUCT(('ANALYSE - ERP =&gt; SOUS-SEGMENT'!$C$8:$C$1000=$C12)*'ANALYSE - ERP =&gt; SOUS-SEGMENT'!$Q$8:$Q$1000*'ANALYSE - ERP =&gt; SOUS-SEGMENT'!$HK$8:$HK$1000))</f>
        <v>994.85863600000005</v>
      </c>
      <c r="HL12" s="563">
        <f t="shared" si="50"/>
        <v>12631.266733666669</v>
      </c>
      <c r="HM12" s="563">
        <f>IF($C12="","",SUMPRODUCT(('ANALYSE - ERP =&gt; SOUS-SEGMENT'!$C$8:$C$1000=$C12)*'ANALYSE - ERP =&gt; SOUS-SEGMENT'!$Q$8:$Q$1000*'ANALYSE - ERP =&gt; SOUS-SEGMENT'!$HM$8:$HM$1000))</f>
        <v>10431.933797666668</v>
      </c>
      <c r="HN12" s="563">
        <f>IF($C12="","",SUMPRODUCT(('ANALYSE - ERP =&gt; SOUS-SEGMENT'!$C$8:$C$1000=$C12)*'ANALYSE - ERP =&gt; SOUS-SEGMENT'!$Q$8:$Q$1000*'ANALYSE - ERP =&gt; SOUS-SEGMENT'!$HN$8:$HN$1000))</f>
        <v>2199.3329360000002</v>
      </c>
      <c r="HO12" s="563">
        <f t="shared" si="51"/>
        <v>47346.850017777782</v>
      </c>
      <c r="HP12" s="563">
        <f>IF($C12="","",SUMPRODUCT(('ANALYSE - ERP =&gt; SOUS-SEGMENT'!$C$8:$C$1000=$C12)*'ANALYSE - ERP =&gt; SOUS-SEGMENT'!$Q$8:$Q$1000*'ANALYSE - ERP =&gt; SOUS-SEGMENT'!$HP$8:$HP$1000))</f>
        <v>40741.400117777783</v>
      </c>
      <c r="HQ12" s="563">
        <f>IF($C12="","",SUMPRODUCT(('ANALYSE - ERP =&gt; SOUS-SEGMENT'!$C$8:$C$1000=$C12)*'ANALYSE - ERP =&gt; SOUS-SEGMENT'!$Q$8:$Q$1000*'ANALYSE - ERP =&gt; SOUS-SEGMENT'!$HQ$8:$HQ$1000))</f>
        <v>6605.4499000000005</v>
      </c>
      <c r="HR12" s="563">
        <f t="shared" si="52"/>
        <v>66648.637296000001</v>
      </c>
      <c r="HS12" s="563">
        <f>IF($C12="","",SUMPRODUCT(('ANALYSE - ERP =&gt; SOUS-SEGMENT'!$C$8:$C$1000=$C12)*'ANALYSE - ERP =&gt; SOUS-SEGMENT'!$Q$8:$Q$1000*'ANALYSE - ERP =&gt; SOUS-SEGMENT'!$HS$8:$HS$1000))</f>
        <v>50456.882976000008</v>
      </c>
      <c r="HT12" s="563">
        <f>IF($C12="","",SUMPRODUCT(('ANALYSE - ERP =&gt; SOUS-SEGMENT'!$C$8:$C$1000=$C12)*'ANALYSE - ERP =&gt; SOUS-SEGMENT'!$Q$8:$Q$1000*'ANALYSE - ERP =&gt; SOUS-SEGMENT'!$HT$8:$HT$1000))</f>
        <v>16191.75432</v>
      </c>
      <c r="HU12" s="563">
        <f t="shared" si="53"/>
        <v>22426.686460222223</v>
      </c>
      <c r="HV12" s="563">
        <f>IF($C12="","",SUMPRODUCT(('ANALYSE - ERP =&gt; SOUS-SEGMENT'!$C$8:$C$1000=$C12)*'ANALYSE - ERP =&gt; SOUS-SEGMENT'!$Q$8:$Q$1000*'ANALYSE - ERP =&gt; SOUS-SEGMENT'!$HV$8:$HV$1000))</f>
        <v>16743.256680222221</v>
      </c>
      <c r="HW12" s="563">
        <f>IF($C12="","",SUMPRODUCT(('ANALYSE - ERP =&gt; SOUS-SEGMENT'!$C$8:$C$1000=$C12)*'ANALYSE - ERP =&gt; SOUS-SEGMENT'!$Q$8:$Q$1000*'ANALYSE - ERP =&gt; SOUS-SEGMENT'!$HW$8:$HW$1000))</f>
        <v>5683.4297800000013</v>
      </c>
      <c r="HX12" s="544"/>
      <c r="HY12" s="568">
        <f t="shared" si="54"/>
        <v>1186560.3759999999</v>
      </c>
      <c r="HZ12" s="568">
        <f>IF($C12="","",SUMPRODUCT(('ANALYSE - ERP =&gt; SOUS-SEGMENT'!$C$8:$C$1000=$C12)*'ANALYSE - ERP =&gt; SOUS-SEGMENT'!$Q$8:$Q$1000*'ANALYSE - ERP =&gt; SOUS-SEGMENT'!$HZ$8:$HZ$1000))</f>
        <v>162367.027</v>
      </c>
      <c r="IA12" s="568">
        <f>IF($C12="","",SUMPRODUCT(('ANALYSE - ERP =&gt; SOUS-SEGMENT'!$C$8:$C$1000=$C12)*'ANALYSE - ERP =&gt; SOUS-SEGMENT'!$Q$8:$Q$1000*'ANALYSE - ERP =&gt; SOUS-SEGMENT'!$IA$8:$IA$1000))</f>
        <v>626926.88100000005</v>
      </c>
      <c r="IB12" s="568">
        <f>IF($C12="","",SUMPRODUCT(('ANALYSE - ERP =&gt; SOUS-SEGMENT'!$C$8:$C$1000=$C12)*'ANALYSE - ERP =&gt; SOUS-SEGMENT'!$Q$8:$Q$1000*'ANALYSE - ERP =&gt; SOUS-SEGMENT'!$IB$8:$IB$1000))</f>
        <v>328673.02400000003</v>
      </c>
      <c r="IC12" s="568">
        <f>IF($C12="","",SUMPRODUCT(('ANALYSE - ERP =&gt; SOUS-SEGMENT'!$C$8:$C$1000=$C12)*'ANALYSE - ERP =&gt; SOUS-SEGMENT'!$Q$8:$Q$1000*'ANALYSE - ERP =&gt; SOUS-SEGMENT'!$IC$8:$IC$1000))</f>
        <v>57770.284000000007</v>
      </c>
      <c r="ID12" s="568">
        <f>IF($C12="","",SUMPRODUCT(('ANALYSE - ERP =&gt; SOUS-SEGMENT'!$C$8:$C$1000=$C12)*'ANALYSE - ERP =&gt; SOUS-SEGMENT'!$Q$8:$Q$1000*'ANALYSE - ERP =&gt; SOUS-SEGMENT'!$ID$8:$ID$1000))</f>
        <v>10823.16</v>
      </c>
      <c r="IE12" s="568">
        <f t="shared" si="55"/>
        <v>494346.81463192415</v>
      </c>
      <c r="IF12" s="568">
        <f>IF($C12="","",SUMPRODUCT(('ANALYSE - ERP =&gt; SOUS-SEGMENT'!$C$8:$C$1000=$C12)*'ANALYSE - ERP =&gt; SOUS-SEGMENT'!$Q$8:$Q$1000*'ANALYSE - ERP =&gt; SOUS-SEGMENT'!$IF$8:$IF$1000))</f>
        <v>34412.336958575448</v>
      </c>
      <c r="IG12" s="568">
        <f>IF($C12="","",SUMPRODUCT(('ANALYSE - ERP =&gt; SOUS-SEGMENT'!$C$8:$C$1000=$C12)*'ANALYSE - ERP =&gt; SOUS-SEGMENT'!$Q$8:$Q$1000*'ANALYSE - ERP =&gt; SOUS-SEGMENT'!$IG$8:$IG$1000))</f>
        <v>232795.55291584789</v>
      </c>
      <c r="IH12" s="568">
        <f>IF($C12="","",SUMPRODUCT(('ANALYSE - ERP =&gt; SOUS-SEGMENT'!$C$8:$C$1000=$C12)*'ANALYSE - ERP =&gt; SOUS-SEGMENT'!$Q$8:$Q$1000*'ANALYSE - ERP =&gt; SOUS-SEGMENT'!$IH$8:$IH$1000))</f>
        <v>182273.20684088918</v>
      </c>
      <c r="II12" s="568">
        <f>IF($C12="","",SUMPRODUCT(('ANALYSE - ERP =&gt; SOUS-SEGMENT'!$C$8:$C$1000=$C12)*'ANALYSE - ERP =&gt; SOUS-SEGMENT'!$Q$8:$Q$1000*'ANALYSE - ERP =&gt; SOUS-SEGMENT'!$II$8:$II$1000))</f>
        <v>37527.343856733598</v>
      </c>
      <c r="IJ12" s="568">
        <f>IF($C12="","",SUMPRODUCT(('ANALYSE - ERP =&gt; SOUS-SEGMENT'!$C$8:$C$1000=$C12)*'ANALYSE - ERP =&gt; SOUS-SEGMENT'!$Q$8:$Q$1000*'ANALYSE - ERP =&gt; SOUS-SEGMENT'!$IJ$8:$IJ$1000))</f>
        <v>7338.3740598780751</v>
      </c>
      <c r="IK12" s="868">
        <f>IF($C12="","",IFERROR(SUMPRODUCT(('ANALYSE - ERP =&gt; SOUS-SEGMENT'!$C$8:$C$1000=$C12)*'ANALYSE - ERP =&gt; SOUS-SEGMENT'!$Q$8:$Q$1000*'ANALYSE - ERP =&gt; SOUS-SEGMENT'!$IE$8:$IE$1000*'ANALYSE - ERP =&gt; SOUS-SEGMENT'!$IK$8:$IK$1000)/SUMPRODUCT(('ANALYSE - ERP =&gt; SOUS-SEGMENT'!$C$8:$C$1000=$C12)*'ANALYSE - ERP =&gt; SOUS-SEGMENT'!$Q$8:$Q$1000*'ANALYSE - ERP =&gt; SOUS-SEGMENT'!$IE$8:$IE$1000),""))</f>
        <v>4.1085992621585428</v>
      </c>
      <c r="IL12" s="962" t="s">
        <v>5443</v>
      </c>
      <c r="IM12" s="963" t="s">
        <v>5444</v>
      </c>
      <c r="IN12" s="529"/>
      <c r="IO12" s="742">
        <f>IF($C12="","",IFERROR(SUMPRODUCT(('ANALYSE - ERP =&gt; SOUS-SEGMENT'!$C$8:$C$1000=$C12)*'ANALYSE - ERP =&gt; SOUS-SEGMENT'!$Q$8:$Q$1000*'ANALYSE - ERP =&gt; SOUS-SEGMENT'!$BE$8:$BE$1000*'ANALYSE - ERP =&gt; SOUS-SEGMENT'!$IO$8:$IO$1000)/SUMPRODUCT(('ANALYSE - ERP =&gt; SOUS-SEGMENT'!$C$8:$C$1000=$C12)*'ANALYSE - ERP =&gt; SOUS-SEGMENT'!$Q$8:$Q$1000*'ANALYSE - ERP =&gt; SOUS-SEGMENT'!$BE$8:$BE$1000),""))</f>
        <v>9.0293192133131611E-2</v>
      </c>
      <c r="IP12" s="742">
        <f>IF($C12="","",IFERROR(SUMPRODUCT(('ANALYSE - ERP =&gt; SOUS-SEGMENT'!$C$8:$C$1000=$C12)*'ANALYSE - ERP =&gt; SOUS-SEGMENT'!$Q$8:$Q$1000*'ANALYSE - ERP =&gt; SOUS-SEGMENT'!$BE$8:$BE$1000*'ANALYSE - ERP =&gt; SOUS-SEGMENT'!$IP$8:$IP$1000)/SUMPRODUCT(('ANALYSE - ERP =&gt; SOUS-SEGMENT'!$C$8:$C$1000=$C12)*'ANALYSE - ERP =&gt; SOUS-SEGMENT'!$Q$8:$Q$1000*'ANALYSE - ERP =&gt; SOUS-SEGMENT'!$BE$8:$BE$1000),""))</f>
        <v>0.49962860312657587</v>
      </c>
      <c r="IQ12" s="742">
        <f>IF($C12="","",IFERROR(SUMPRODUCT(('ANALYSE - ERP =&gt; SOUS-SEGMENT'!$C$8:$C$1000=$C12)*'ANALYSE - ERP =&gt; SOUS-SEGMENT'!$Q$8:$Q$1000*'ANALYSE - ERP =&gt; SOUS-SEGMENT'!$BE$8:$BE$1000*'ANALYSE - ERP =&gt; SOUS-SEGMENT'!$IQ$8:$IQ$1000)/SUMPRODUCT(('ANALYSE - ERP =&gt; SOUS-SEGMENT'!$C$8:$C$1000=$C12)*'ANALYSE - ERP =&gt; SOUS-SEGMENT'!$Q$8:$Q$1000*'ANALYSE - ERP =&gt; SOUS-SEGMENT'!$BE$8:$BE$1000),""))</f>
        <v>0.33349908219868885</v>
      </c>
      <c r="IR12" s="742">
        <f>IF($C12="","",IFERROR(SUMPRODUCT(('ANALYSE - ERP =&gt; SOUS-SEGMENT'!$C$8:$C$1000=$C12)*'ANALYSE - ERP =&gt; SOUS-SEGMENT'!$Q$8:$Q$1000*'ANALYSE - ERP =&gt; SOUS-SEGMENT'!$BE$8:$BE$1000*'ANALYSE - ERP =&gt; SOUS-SEGMENT'!$IR$8:$IR$1000)/SUMPRODUCT(('ANALYSE - ERP =&gt; SOUS-SEGMENT'!$C$8:$C$1000=$C12)*'ANALYSE - ERP =&gt; SOUS-SEGMENT'!$Q$8:$Q$1000*'ANALYSE - ERP =&gt; SOUS-SEGMENT'!$BE$8:$BE$1000),""))</f>
        <v>6.4697488653555221E-2</v>
      </c>
      <c r="IS12" s="742">
        <f>IF($C12="","",IFERROR(SUMPRODUCT(('ANALYSE - ERP =&gt; SOUS-SEGMENT'!$C$8:$C$1000=$C12)*'ANALYSE - ERP =&gt; SOUS-SEGMENT'!$Q$8:$Q$1000*'ANALYSE - ERP =&gt; SOUS-SEGMENT'!$BE$8:$BE$1000*'ANALYSE - ERP =&gt; SOUS-SEGMENT'!$IS$8:$IS$1000)/SUMPRODUCT(('ANALYSE - ERP =&gt; SOUS-SEGMENT'!$C$8:$C$1000=$C12)*'ANALYSE - ERP =&gt; SOUS-SEGMENT'!$Q$8:$Q$1000*'ANALYSE - ERP =&gt; SOUS-SEGMENT'!$BE$8:$BE$1000),""))</f>
        <v>1.188163388804841E-2</v>
      </c>
      <c r="IT12" s="742">
        <f>IF($C12="","",IFERROR(SUMPRODUCT(('ANALYSE - ERP =&gt; SOUS-SEGMENT'!$C$8:$C$1000=$C12)*'ANALYSE - ERP =&gt; SOUS-SEGMENT'!$Q$8:$Q$1000*'ANALYSE - ERP =&gt; SOUS-SEGMENT'!$FB$8:$FB$1000*'ANALYSE - ERP =&gt; SOUS-SEGMENT'!$IT$8:$IT$1000)/SUMPRODUCT(('ANALYSE - ERP =&gt; SOUS-SEGMENT'!$C$8:$C$1000=$C12)*'ANALYSE - ERP =&gt; SOUS-SEGMENT'!$Q$8:$Q$1000*'ANALYSE - ERP =&gt; SOUS-SEGMENT'!$FB$8:$FB$1000),""))</f>
        <v>4.2517138868673317E-2</v>
      </c>
      <c r="IU12" s="742">
        <f>IF($C12="","",IFERROR(SUMPRODUCT(('ANALYSE - ERP =&gt; SOUS-SEGMENT'!$C$8:$C$1000=$C12)*'ANALYSE - ERP =&gt; SOUS-SEGMENT'!$Q$8:$Q$1000*'ANALYSE - ERP =&gt; SOUS-SEGMENT'!$FB$8:$FB$1000*'ANALYSE - ERP =&gt; SOUS-SEGMENT'!$IU$8:$IU$1000)/SUMPRODUCT(('ANALYSE - ERP =&gt; SOUS-SEGMENT'!$C$8:$C$1000=$C12)*'ANALYSE - ERP =&gt; SOUS-SEGMENT'!$Q$8:$Q$1000*'ANALYSE - ERP =&gt; SOUS-SEGMENT'!$FB$8:$FB$1000),""))</f>
        <v>0.41749358999015884</v>
      </c>
      <c r="IV12" s="742">
        <f>IF($C12="","",IFERROR(SUMPRODUCT(('ANALYSE - ERP =&gt; SOUS-SEGMENT'!$C$8:$C$1000=$C12)*'ANALYSE - ERP =&gt; SOUS-SEGMENT'!$Q$8:$Q$1000*'ANALYSE - ERP =&gt; SOUS-SEGMENT'!$FB$8:$FB$1000*'ANALYSE - ERP =&gt; SOUS-SEGMENT'!$IV$8:$IV$1000)/SUMPRODUCT(('ANALYSE - ERP =&gt; SOUS-SEGMENT'!$C$8:$C$1000=$C12)*'ANALYSE - ERP =&gt; SOUS-SEGMENT'!$Q$8:$Q$1000*'ANALYSE - ERP =&gt; SOUS-SEGMENT'!$FB$8:$FB$1000),""))</f>
        <v>0.42177900134425772</v>
      </c>
      <c r="IW12" s="742">
        <f>IF($C12="","",IFERROR(SUMPRODUCT(('ANALYSE - ERP =&gt; SOUS-SEGMENT'!$C$8:$C$1000=$C12)*'ANALYSE - ERP =&gt; SOUS-SEGMENT'!$Q$8:$Q$1000*'ANALYSE - ERP =&gt; SOUS-SEGMENT'!$FB$8:$FB$1000*'ANALYSE - ERP =&gt; SOUS-SEGMENT'!$IW$8:$IW$1000)/SUMPRODUCT(('ANALYSE - ERP =&gt; SOUS-SEGMENT'!$C$8:$C$1000=$C12)*'ANALYSE - ERP =&gt; SOUS-SEGMENT'!$Q$8:$Q$1000*'ANALYSE - ERP =&gt; SOUS-SEGMENT'!$FB$8:$FB$1000),""))</f>
        <v>9.7425665402609371E-2</v>
      </c>
      <c r="IX12" s="742">
        <f>IF($C12="","",IFERROR(SUMPRODUCT(('ANALYSE - ERP =&gt; SOUS-SEGMENT'!$C$8:$C$1000=$C12)*'ANALYSE - ERP =&gt; SOUS-SEGMENT'!$Q$8:$Q$1000*'ANALYSE - ERP =&gt; SOUS-SEGMENT'!$FB$8:$FB$1000*'ANALYSE - ERP =&gt; SOUS-SEGMENT'!$IX$8:$IX$1000)/SUMPRODUCT(('ANALYSE - ERP =&gt; SOUS-SEGMENT'!$C$8:$C$1000=$C12)*'ANALYSE - ERP =&gt; SOUS-SEGMENT'!$Q$8:$Q$1000*'ANALYSE - ERP =&gt; SOUS-SEGMENT'!$FB$8:$FB$1000),""))</f>
        <v>2.0784604394300833E-2</v>
      </c>
      <c r="IY12" s="742">
        <f>IF($C12="","",IFERROR(SUMPRODUCT(('ANALYSE - ERP =&gt; SOUS-SEGMENT'!$C$8:$C$1000=$C12)*'ANALYSE - ERP =&gt; SOUS-SEGMENT'!$Q$8:$Q$1000*'ANALYSE - ERP =&gt; SOUS-SEGMENT'!$BF$8:$BF$1000*'ANALYSE - ERP =&gt; SOUS-SEGMENT'!$IY$8:$IY$1000)/SUMPRODUCT(('ANALYSE - ERP =&gt; SOUS-SEGMENT'!$C$8:$C$1000=$C12)*'ANALYSE - ERP =&gt; SOUS-SEGMENT'!$Q$8:$Q$1000*'ANALYSE - ERP =&gt; SOUS-SEGMENT'!$BF$8:$BF$1000),""))</f>
        <v>0.16376771803844931</v>
      </c>
      <c r="IZ12" s="742">
        <f>IF($C12="","",IFERROR(SUMPRODUCT(('ANALYSE - ERP =&gt; SOUS-SEGMENT'!$C$8:$C$1000=$C12)*'ANALYSE - ERP =&gt; SOUS-SEGMENT'!$Q$8:$Q$1000*'ANALYSE - ERP =&gt; SOUS-SEGMENT'!$BF$8:$BF$1000*'ANALYSE - ERP =&gt; SOUS-SEGMENT'!$IZ$8:$IZ$1000)/SUMPRODUCT(('ANALYSE - ERP =&gt; SOUS-SEGMENT'!$C$8:$C$1000=$C12)*'ANALYSE - ERP =&gt; SOUS-SEGMENT'!$Q$8:$Q$1000*'ANALYSE - ERP =&gt; SOUS-SEGMENT'!$BF$8:$BF$1000),""))</f>
        <v>0.5431500386310959</v>
      </c>
      <c r="JA12" s="742">
        <f>IF($C12="","",IFERROR(SUMPRODUCT(('ANALYSE - ERP =&gt; SOUS-SEGMENT'!$C$8:$C$1000=$C12)*'ANALYSE - ERP =&gt; SOUS-SEGMENT'!$Q$8:$Q$1000*'ANALYSE - ERP =&gt; SOUS-SEGMENT'!$BF$8:$BF$1000*'ANALYSE - ERP =&gt; SOUS-SEGMENT'!$JA$8:$JA$1000)/SUMPRODUCT(('ANALYSE - ERP =&gt; SOUS-SEGMENT'!$C$8:$C$1000=$C12)*'ANALYSE - ERP =&gt; SOUS-SEGMENT'!$Q$8:$Q$1000*'ANALYSE - ERP =&gt; SOUS-SEGMENT'!$BF$8:$BF$1000),""))</f>
        <v>0.24349066036449579</v>
      </c>
      <c r="JB12" s="742">
        <f>IF($C12="","",IFERROR(SUMPRODUCT(('ANALYSE - ERP =&gt; SOUS-SEGMENT'!$C$8:$C$1000=$C12)*'ANALYSE - ERP =&gt; SOUS-SEGMENT'!$Q$8:$Q$1000*'ANALYSE - ERP =&gt; SOUS-SEGMENT'!$BF$8:$BF$1000*'ANALYSE - ERP =&gt; SOUS-SEGMENT'!$JB$8:$JB$1000)/SUMPRODUCT(('ANALYSE - ERP =&gt; SOUS-SEGMENT'!$C$8:$C$1000=$C12)*'ANALYSE - ERP =&gt; SOUS-SEGMENT'!$Q$8:$Q$1000*'ANALYSE - ERP =&gt; SOUS-SEGMENT'!$BF$8:$BF$1000),""))</f>
        <v>4.1957024042176057E-2</v>
      </c>
      <c r="JC12" s="742">
        <f>IF($C12="","",IFERROR(SUMPRODUCT(('ANALYSE - ERP =&gt; SOUS-SEGMENT'!$C$8:$C$1000=$C12)*'ANALYSE - ERP =&gt; SOUS-SEGMENT'!$Q$8:$Q$1000*'ANALYSE - ERP =&gt; SOUS-SEGMENT'!$BF$8:$BF$1000*'ANALYSE - ERP =&gt; SOUS-SEGMENT'!$JC$8:$JC$1000)/SUMPRODUCT(('ANALYSE - ERP =&gt; SOUS-SEGMENT'!$C$8:$C$1000=$C12)*'ANALYSE - ERP =&gt; SOUS-SEGMENT'!$Q$8:$Q$1000*'ANALYSE - ERP =&gt; SOUS-SEGMENT'!$BF$8:$BF$1000),""))</f>
        <v>7.6345589237831208E-3</v>
      </c>
      <c r="JD12" s="742">
        <f>IF($C12="","",IFERROR(SUMPRODUCT(('ANALYSE - ERP =&gt; SOUS-SEGMENT'!$C$8:$C$1000=$C12)*'ANALYSE - ERP =&gt; SOUS-SEGMENT'!$Q$8:$Q$1000*'ANALYSE - ERP =&gt; SOUS-SEGMENT'!$FE$8:$FE$1000*'ANALYSE - ERP =&gt; SOUS-SEGMENT'!$JD$8:$JD$1000)/SUMPRODUCT(('ANALYSE - ERP =&gt; SOUS-SEGMENT'!$C$8:$C$1000=$C12)*'ANALYSE - ERP =&gt; SOUS-SEGMENT'!$Q$8:$Q$1000*'ANALYSE - ERP =&gt; SOUS-SEGMENT'!$FE$8:$FE$1000),""))</f>
        <v>8.319678556127208E-2</v>
      </c>
      <c r="JE12" s="742">
        <f>IF($C12="","",IFERROR(SUMPRODUCT(('ANALYSE - ERP =&gt; SOUS-SEGMENT'!$C$8:$C$1000=$C12)*'ANALYSE - ERP =&gt; SOUS-SEGMENT'!$Q$8:$Q$1000*'ANALYSE - ERP =&gt; SOUS-SEGMENT'!$FE$8:$FE$1000*'ANALYSE - ERP =&gt; SOUS-SEGMENT'!$JE$8:$JE$1000)/SUMPRODUCT(('ANALYSE - ERP =&gt; SOUS-SEGMENT'!$C$8:$C$1000=$C12)*'ANALYSE - ERP =&gt; SOUS-SEGMENT'!$Q$8:$Q$1000*'ANALYSE - ERP =&gt; SOUS-SEGMENT'!$FE$8:$FE$1000),""))</f>
        <v>0.49947661385992348</v>
      </c>
      <c r="JF12" s="742">
        <f>IF($C12="","",IFERROR(SUMPRODUCT(('ANALYSE - ERP =&gt; SOUS-SEGMENT'!$C$8:$C$1000=$C12)*'ANALYSE - ERP =&gt; SOUS-SEGMENT'!$Q$8:$Q$1000*'ANALYSE - ERP =&gt; SOUS-SEGMENT'!$FE$8:$FE$1000*'ANALYSE - ERP =&gt; SOUS-SEGMENT'!$JF$8:$JF$1000)/SUMPRODUCT(('ANALYSE - ERP =&gt; SOUS-SEGMENT'!$C$8:$C$1000=$C12)*'ANALYSE - ERP =&gt; SOUS-SEGMENT'!$Q$8:$Q$1000*'ANALYSE - ERP =&gt; SOUS-SEGMENT'!$FE$8:$FE$1000),""))</f>
        <v>0.33759472115745864</v>
      </c>
      <c r="JG12" s="742">
        <f>IF($C12="","",IFERROR(SUMPRODUCT(('ANALYSE - ERP =&gt; SOUS-SEGMENT'!$C$8:$C$1000=$C12)*'ANALYSE - ERP =&gt; SOUS-SEGMENT'!$Q$8:$Q$1000*'ANALYSE - ERP =&gt; SOUS-SEGMENT'!$FE$8:$FE$1000*'ANALYSE - ERP =&gt; SOUS-SEGMENT'!$JG$8:$JG$1000)/SUMPRODUCT(('ANALYSE - ERP =&gt; SOUS-SEGMENT'!$C$8:$C$1000=$C12)*'ANALYSE - ERP =&gt; SOUS-SEGMENT'!$Q$8:$Q$1000*'ANALYSE - ERP =&gt; SOUS-SEGMENT'!$FE$8:$FE$1000),""))</f>
        <v>6.7548522433093366E-2</v>
      </c>
      <c r="JH12" s="742">
        <f>IF($C12="","",IFERROR(SUMPRODUCT(('ANALYSE - ERP =&gt; SOUS-SEGMENT'!$C$8:$C$1000=$C12)*'ANALYSE - ERP =&gt; SOUS-SEGMENT'!$Q$8:$Q$1000*'ANALYSE - ERP =&gt; SOUS-SEGMENT'!$FE$8:$FE$1000*'ANALYSE - ERP =&gt; SOUS-SEGMENT'!$JH$8:$JH$1000)/SUMPRODUCT(('ANALYSE - ERP =&gt; SOUS-SEGMENT'!$C$8:$C$1000=$C12)*'ANALYSE - ERP =&gt; SOUS-SEGMENT'!$Q$8:$Q$1000*'ANALYSE - ERP =&gt; SOUS-SEGMENT'!$FE$8:$FE$1000),""))</f>
        <v>1.2183356988252396E-2</v>
      </c>
      <c r="JI12" s="742">
        <f>IF($C12="","",IFERROR(SUMPRODUCT(('ANALYSE - ERP =&gt; SOUS-SEGMENT'!$C$8:$C$1000=$C12)*'ANALYSE - ERP =&gt; SOUS-SEGMENT'!$Q$8:$Q$1000*'ANALYSE - ERP =&gt; SOUS-SEGMENT'!$BG$8:$BG$1000*'ANALYSE - ERP =&gt; SOUS-SEGMENT'!$JI$8:$JI$1000)/SUMPRODUCT(('ANALYSE - ERP =&gt; SOUS-SEGMENT'!$C$8:$C$1000=$C12)*'ANALYSE - ERP =&gt; SOUS-SEGMENT'!$Q$8:$Q$1000*'ANALYSE - ERP =&gt; SOUS-SEGMENT'!$BG$8:$BG$1000),""))</f>
        <v>0.24648244076999015</v>
      </c>
      <c r="JJ12" s="742">
        <f>IF($C12="","",IFERROR(SUMPRODUCT(('ANALYSE - ERP =&gt; SOUS-SEGMENT'!$C$8:$C$1000=$C12)*'ANALYSE - ERP =&gt; SOUS-SEGMENT'!$Q$8:$Q$1000*'ANALYSE - ERP =&gt; SOUS-SEGMENT'!$BG$8:$BG$1000*'ANALYSE - ERP =&gt; SOUS-SEGMENT'!$JJ$8:$JJ$1000)/SUMPRODUCT(('ANALYSE - ERP =&gt; SOUS-SEGMENT'!$C$8:$C$1000=$C12)*'ANALYSE - ERP =&gt; SOUS-SEGMENT'!$Q$8:$Q$1000*'ANALYSE - ERP =&gt; SOUS-SEGMENT'!$BG$8:$BG$1000),""))</f>
        <v>0.55728473593287264</v>
      </c>
      <c r="JK12" s="742">
        <f>IF($C12="","",IFERROR(SUMPRODUCT(('ANALYSE - ERP =&gt; SOUS-SEGMENT'!$C$8:$C$1000=$C12)*'ANALYSE - ERP =&gt; SOUS-SEGMENT'!$Q$8:$Q$1000*'ANALYSE - ERP =&gt; SOUS-SEGMENT'!$BG$8:$BG$1000*'ANALYSE - ERP =&gt; SOUS-SEGMENT'!$JK$8:$JK$1000)/SUMPRODUCT(('ANALYSE - ERP =&gt; SOUS-SEGMENT'!$C$8:$C$1000=$C12)*'ANALYSE - ERP =&gt; SOUS-SEGMENT'!$Q$8:$Q$1000*'ANALYSE - ERP =&gt; SOUS-SEGMENT'!$BG$8:$BG$1000),""))</f>
        <v>0.16847670286278382</v>
      </c>
      <c r="JL12" s="742">
        <f>IF($C12="","",IFERROR(SUMPRODUCT(('ANALYSE - ERP =&gt; SOUS-SEGMENT'!$C$8:$C$1000=$C12)*'ANALYSE - ERP =&gt; SOUS-SEGMENT'!$Q$8:$Q$1000*'ANALYSE - ERP =&gt; SOUS-SEGMENT'!$BG$8:$BG$1000*'ANALYSE - ERP =&gt; SOUS-SEGMENT'!$JL$8:$JL$1000)/SUMPRODUCT(('ANALYSE - ERP =&gt; SOUS-SEGMENT'!$C$8:$C$1000=$C12)*'ANALYSE - ERP =&gt; SOUS-SEGMENT'!$Q$8:$Q$1000*'ANALYSE - ERP =&gt; SOUS-SEGMENT'!$BG$8:$BG$1000),""))</f>
        <v>2.2671224086870681E-2</v>
      </c>
      <c r="JM12" s="742">
        <f>IF($C12="","",IFERROR(SUMPRODUCT(('ANALYSE - ERP =&gt; SOUS-SEGMENT'!$C$8:$C$1000=$C12)*'ANALYSE - ERP =&gt; SOUS-SEGMENT'!$Q$8:$Q$1000*'ANALYSE - ERP =&gt; SOUS-SEGMENT'!$BG$8:$BG$1000*'ANALYSE - ERP =&gt; SOUS-SEGMENT'!$JM$8:$JM$1000)/SUMPRODUCT(('ANALYSE - ERP =&gt; SOUS-SEGMENT'!$C$8:$C$1000=$C12)*'ANALYSE - ERP =&gt; SOUS-SEGMENT'!$Q$8:$Q$1000*'ANALYSE - ERP =&gt; SOUS-SEGMENT'!$BG$8:$BG$1000),""))</f>
        <v>5.0848963474827251E-3</v>
      </c>
      <c r="JN12" s="742">
        <f>IF($C12="","",IFERROR(SUMPRODUCT(('ANALYSE - ERP =&gt; SOUS-SEGMENT'!$C$8:$C$1000=$C12)*'ANALYSE - ERP =&gt; SOUS-SEGMENT'!$Q$8:$Q$1000*'ANALYSE - ERP =&gt; SOUS-SEGMENT'!$FH$8:$FH$1000*'ANALYSE - ERP =&gt; SOUS-SEGMENT'!$JN$8:$JN$1000)/SUMPRODUCT(('ANALYSE - ERP =&gt; SOUS-SEGMENT'!$C$8:$C$1000=$C12)*'ANALYSE - ERP =&gt; SOUS-SEGMENT'!$Q$8:$Q$1000*'ANALYSE - ERP =&gt; SOUS-SEGMENT'!$FH$8:$FH$1000),""))</f>
        <v>0.13891206378943274</v>
      </c>
      <c r="JO12" s="742">
        <f>IF($C12="","",IFERROR(SUMPRODUCT(('ANALYSE - ERP =&gt; SOUS-SEGMENT'!$C$8:$C$1000=$C12)*'ANALYSE - ERP =&gt; SOUS-SEGMENT'!$Q$8:$Q$1000*'ANALYSE - ERP =&gt; SOUS-SEGMENT'!$FH$8:$FH$1000*'ANALYSE - ERP =&gt; SOUS-SEGMENT'!$JO$8:$JO$1000)/SUMPRODUCT(('ANALYSE - ERP =&gt; SOUS-SEGMENT'!$C$8:$C$1000=$C12)*'ANALYSE - ERP =&gt; SOUS-SEGMENT'!$Q$8:$Q$1000*'ANALYSE - ERP =&gt; SOUS-SEGMENT'!$FH$8:$FH$1000),""))</f>
        <v>0.55857769228456355</v>
      </c>
      <c r="JP12" s="742">
        <f>IF($C12="","",IFERROR(SUMPRODUCT(('ANALYSE - ERP =&gt; SOUS-SEGMENT'!$C$8:$C$1000=$C12)*'ANALYSE - ERP =&gt; SOUS-SEGMENT'!$Q$8:$Q$1000*'ANALYSE - ERP =&gt; SOUS-SEGMENT'!$FH$8:$FH$1000*'ANALYSE - ERP =&gt; SOUS-SEGMENT'!$JP$8:$JP$1000)/SUMPRODUCT(('ANALYSE - ERP =&gt; SOUS-SEGMENT'!$C$8:$C$1000=$C12)*'ANALYSE - ERP =&gt; SOUS-SEGMENT'!$Q$8:$Q$1000*'ANALYSE - ERP =&gt; SOUS-SEGMENT'!$FH$8:$FH$1000),""))</f>
        <v>0.26025852254438475</v>
      </c>
      <c r="JQ12" s="742">
        <f>IF($C12="","",IFERROR(SUMPRODUCT(('ANALYSE - ERP =&gt; SOUS-SEGMENT'!$C$8:$C$1000=$C12)*'ANALYSE - ERP =&gt; SOUS-SEGMENT'!$Q$8:$Q$1000*'ANALYSE - ERP =&gt; SOUS-SEGMENT'!$FH$8:$FH$1000*'ANALYSE - ERP =&gt; SOUS-SEGMENT'!$JQ$8:$JQ$1000)/SUMPRODUCT(('ANALYSE - ERP =&gt; SOUS-SEGMENT'!$C$8:$C$1000=$C12)*'ANALYSE - ERP =&gt; SOUS-SEGMENT'!$Q$8:$Q$1000*'ANALYSE - ERP =&gt; SOUS-SEGMENT'!$FH$8:$FH$1000),""))</f>
        <v>3.5575075507266782E-2</v>
      </c>
      <c r="JR12" s="742">
        <f>IF($C12="","",IFERROR(SUMPRODUCT(('ANALYSE - ERP =&gt; SOUS-SEGMENT'!$C$8:$C$1000=$C12)*'ANALYSE - ERP =&gt; SOUS-SEGMENT'!$Q$8:$Q$1000*'ANALYSE - ERP =&gt; SOUS-SEGMENT'!$FH$8:$FH$1000*'ANALYSE - ERP =&gt; SOUS-SEGMENT'!$JR$8:$JR$1000)/SUMPRODUCT(('ANALYSE - ERP =&gt; SOUS-SEGMENT'!$C$8:$C$1000=$C12)*'ANALYSE - ERP =&gt; SOUS-SEGMENT'!$Q$8:$Q$1000*'ANALYSE - ERP =&gt; SOUS-SEGMENT'!$FH$8:$FH$1000),""))</f>
        <v>6.6766458743522583E-3</v>
      </c>
      <c r="JS12" s="742">
        <f>IF($C12="","",IFERROR(SUMPRODUCT(('ANALYSE - ERP =&gt; SOUS-SEGMENT'!$C$8:$C$1000=$C12)*'ANALYSE - ERP =&gt; SOUS-SEGMENT'!$Q$8:$Q$1000*'ANALYSE - ERP =&gt; SOUS-SEGMENT'!$BH$8:$BH$1000*'ANALYSE - ERP =&gt; SOUS-SEGMENT'!$JS$8:$JS$1000)/SUMPRODUCT(('ANALYSE - ERP =&gt; SOUS-SEGMENT'!$C$8:$C$1000=$C12)*'ANALYSE - ERP =&gt; SOUS-SEGMENT'!$Q$8:$Q$1000*'ANALYSE - ERP =&gt; SOUS-SEGMENT'!$BH$8:$BH$1000),""))</f>
        <v>0.12837234248307672</v>
      </c>
      <c r="JT12" s="742">
        <f>IF($C12="","",IFERROR(SUMPRODUCT(('ANALYSE - ERP =&gt; SOUS-SEGMENT'!$C$8:$C$1000=$C12)*'ANALYSE - ERP =&gt; SOUS-SEGMENT'!$Q$8:$Q$1000*'ANALYSE - ERP =&gt; SOUS-SEGMENT'!$BH$8:$BH$1000*'ANALYSE - ERP =&gt; SOUS-SEGMENT'!$JT$8:$JT$1000)/SUMPRODUCT(('ANALYSE - ERP =&gt; SOUS-SEGMENT'!$C$8:$C$1000=$C12)*'ANALYSE - ERP =&gt; SOUS-SEGMENT'!$Q$8:$Q$1000*'ANALYSE - ERP =&gt; SOUS-SEGMENT'!$BH$8:$BH$1000),""))</f>
        <v>0.53780114557762415</v>
      </c>
      <c r="JU12" s="742">
        <f>IF($C12="","",IFERROR(SUMPRODUCT(('ANALYSE - ERP =&gt; SOUS-SEGMENT'!$C$8:$C$1000=$C12)*'ANALYSE - ERP =&gt; SOUS-SEGMENT'!$Q$8:$Q$1000*'ANALYSE - ERP =&gt; SOUS-SEGMENT'!$BH$8:$BH$1000*'ANALYSE - ERP =&gt; SOUS-SEGMENT'!$JU$8:$JU$1000)/SUMPRODUCT(('ANALYSE - ERP =&gt; SOUS-SEGMENT'!$C$8:$C$1000=$C12)*'ANALYSE - ERP =&gt; SOUS-SEGMENT'!$Q$8:$Q$1000*'ANALYSE - ERP =&gt; SOUS-SEGMENT'!$BH$8:$BH$1000),""))</f>
        <v>0.28120001487763147</v>
      </c>
      <c r="JV12" s="742">
        <f>IF($C12="","",IFERROR(SUMPRODUCT(('ANALYSE - ERP =&gt; SOUS-SEGMENT'!$C$8:$C$1000=$C12)*'ANALYSE - ERP =&gt; SOUS-SEGMENT'!$Q$8:$Q$1000*'ANALYSE - ERP =&gt; SOUS-SEGMENT'!$BH$8:$BH$1000*'ANALYSE - ERP =&gt; SOUS-SEGMENT'!$JV$8:$JV$1000)/SUMPRODUCT(('ANALYSE - ERP =&gt; SOUS-SEGMENT'!$C$8:$C$1000=$C12)*'ANALYSE - ERP =&gt; SOUS-SEGMENT'!$Q$8:$Q$1000*'ANALYSE - ERP =&gt; SOUS-SEGMENT'!$BH$8:$BH$1000),""))</f>
        <v>4.3927605445213125E-2</v>
      </c>
      <c r="JW12" s="742">
        <f>IF($C12="","",IFERROR(SUMPRODUCT(('ANALYSE - ERP =&gt; SOUS-SEGMENT'!$C$8:$C$1000=$C12)*'ANALYSE - ERP =&gt; SOUS-SEGMENT'!$Q$8:$Q$1000*'ANALYSE - ERP =&gt; SOUS-SEGMENT'!$BH$8:$BH$1000*'ANALYSE - ERP =&gt; SOUS-SEGMENT'!$JW$8:$JW$1000)/SUMPRODUCT(('ANALYSE - ERP =&gt; SOUS-SEGMENT'!$C$8:$C$1000=$C12)*'ANALYSE - ERP =&gt; SOUS-SEGMENT'!$Q$8:$Q$1000*'ANALYSE - ERP =&gt; SOUS-SEGMENT'!$BH$8:$BH$1000),""))</f>
        <v>8.7002901138138813E-3</v>
      </c>
      <c r="JX12" s="742">
        <f>IF($C12="","",IFERROR(SUMPRODUCT(('ANALYSE - ERP =&gt; SOUS-SEGMENT'!$C$8:$C$1000=$C12)*'ANALYSE - ERP =&gt; SOUS-SEGMENT'!$Q$8:$Q$1000*'ANALYSE - ERP =&gt; SOUS-SEGMENT'!$FK$8:$FK$1000*'ANALYSE - ERP =&gt; SOUS-SEGMENT'!$JX$8:$JX$1000)/SUMPRODUCT(('ANALYSE - ERP =&gt; SOUS-SEGMENT'!$C$8:$C$1000=$C12)*'ANALYSE - ERP =&gt; SOUS-SEGMENT'!$Q$8:$Q$1000*'ANALYSE - ERP =&gt; SOUS-SEGMENT'!$FK$8:$FK$1000),""))</f>
        <v>6.2359078970370609E-2</v>
      </c>
      <c r="JY12" s="742">
        <f>IF($C12="","",IFERROR(SUMPRODUCT(('ANALYSE - ERP =&gt; SOUS-SEGMENT'!$C$8:$C$1000=$C12)*'ANALYSE - ERP =&gt; SOUS-SEGMENT'!$Q$8:$Q$1000*'ANALYSE - ERP =&gt; SOUS-SEGMENT'!$FK$8:$FK$1000*'ANALYSE - ERP =&gt; SOUS-SEGMENT'!$JY$8:$JY$1000)/SUMPRODUCT(('ANALYSE - ERP =&gt; SOUS-SEGMENT'!$C$8:$C$1000=$C12)*'ANALYSE - ERP =&gt; SOUS-SEGMENT'!$Q$8:$Q$1000*'ANALYSE - ERP =&gt; SOUS-SEGMENT'!$FK$8:$FK$1000),""))</f>
        <v>0.46914315882155666</v>
      </c>
      <c r="JZ12" s="742">
        <f>IF($C12="","",IFERROR(SUMPRODUCT(('ANALYSE - ERP =&gt; SOUS-SEGMENT'!$C$8:$C$1000=$C12)*'ANALYSE - ERP =&gt; SOUS-SEGMENT'!$Q$8:$Q$1000*'ANALYSE - ERP =&gt; SOUS-SEGMENT'!$FK$8:$FK$1000*'ANALYSE - ERP =&gt; SOUS-SEGMENT'!$JZ$8:$JZ$1000)/SUMPRODUCT(('ANALYSE - ERP =&gt; SOUS-SEGMENT'!$C$8:$C$1000=$C12)*'ANALYSE - ERP =&gt; SOUS-SEGMENT'!$Q$8:$Q$1000*'ANALYSE - ERP =&gt; SOUS-SEGMENT'!$FK$8:$FK$1000),""))</f>
        <v>0.38229784501413122</v>
      </c>
      <c r="KA12" s="742">
        <f>IF($C12="","",IFERROR(SUMPRODUCT(('ANALYSE - ERP =&gt; SOUS-SEGMENT'!$C$8:$C$1000=$C12)*'ANALYSE - ERP =&gt; SOUS-SEGMENT'!$Q$8:$Q$1000*'ANALYSE - ERP =&gt; SOUS-SEGMENT'!$FK$8:$FK$1000*'ANALYSE - ERP =&gt; SOUS-SEGMENT'!$KA$8:$KA$1000)/SUMPRODUCT(('ANALYSE - ERP =&gt; SOUS-SEGMENT'!$C$8:$C$1000=$C12)*'ANALYSE - ERP =&gt; SOUS-SEGMENT'!$Q$8:$Q$1000*'ANALYSE - ERP =&gt; SOUS-SEGMENT'!$FK$8:$FK$1000),""))</f>
        <v>7.2592374003874777E-2</v>
      </c>
      <c r="KB12" s="742">
        <f>IF($C12="","",IFERROR(SUMPRODUCT(('ANALYSE - ERP =&gt; SOUS-SEGMENT'!$C$8:$C$1000=$C12)*'ANALYSE - ERP =&gt; SOUS-SEGMENT'!$Q$8:$Q$1000*'ANALYSE - ERP =&gt; SOUS-SEGMENT'!$FK$8:$FK$1000*'ANALYSE - ERP =&gt; SOUS-SEGMENT'!$KB$8:$KB$1000)/SUMPRODUCT(('ANALYSE - ERP =&gt; SOUS-SEGMENT'!$C$8:$C$1000=$C12)*'ANALYSE - ERP =&gt; SOUS-SEGMENT'!$Q$8:$Q$1000*'ANALYSE - ERP =&gt; SOUS-SEGMENT'!$FK$8:$FK$1000),""))</f>
        <v>1.3607543190066627E-2</v>
      </c>
      <c r="KC12" s="657"/>
      <c r="KD12" s="924" t="s">
        <v>5445</v>
      </c>
      <c r="KE12" s="924" t="s">
        <v>5445</v>
      </c>
      <c r="KF12" s="869">
        <f>IF($C12="","",IFERROR(SUMPRODUCT(('ANALYSE - ERP =&gt; SOUS-SEGMENT'!$C$8:$C$1000=$C12)*'ANALYSE - ERP =&gt; SOUS-SEGMENT'!$Q$8:$Q$1000*'ANALYSE - ERP =&gt; SOUS-SEGMENT'!$IE$8:$IE$1000*'ANALYSE - ERP =&gt; SOUS-SEGMENT'!$KF$8:$KF$1000)/SUMPRODUCT(('ANALYSE - ERP =&gt; SOUS-SEGMENT'!$C$8:$C$1000=$C12)*'ANALYSE - ERP =&gt; SOUS-SEGMENT'!$Q$8:$Q$1000*'ANALYSE - ERP =&gt; SOUS-SEGMENT'!$IE$8:$IE$1000),""))</f>
        <v>4.3350295633968283</v>
      </c>
      <c r="KG12" s="924" t="s">
        <v>5446</v>
      </c>
      <c r="KH12" s="924" t="s">
        <v>5447</v>
      </c>
      <c r="KI12" s="924" t="s">
        <v>5448</v>
      </c>
      <c r="KJ12" s="924" t="s">
        <v>5449</v>
      </c>
    </row>
    <row r="13" spans="1:327" ht="127.5" customHeight="1">
      <c r="A13" s="957">
        <f>IF($C13="","",ROWS($A$8:A13))</f>
        <v>6</v>
      </c>
      <c r="B13" s="958" t="s">
        <v>2880</v>
      </c>
      <c r="C13" s="958" t="s">
        <v>1747</v>
      </c>
      <c r="D13" s="959" t="s">
        <v>5450</v>
      </c>
      <c r="E13" s="269" t="s">
        <v>5451</v>
      </c>
      <c r="F13" s="960" t="s">
        <v>5452</v>
      </c>
      <c r="G13" s="960" t="s">
        <v>5453</v>
      </c>
      <c r="H13" s="960" t="s">
        <v>2109</v>
      </c>
      <c r="I13" s="960" t="s">
        <v>5454</v>
      </c>
      <c r="J13" s="960" t="s">
        <v>5455</v>
      </c>
      <c r="K13" s="960" t="s">
        <v>2097</v>
      </c>
      <c r="L13" s="960" t="s">
        <v>2109</v>
      </c>
      <c r="M13" s="960" t="s">
        <v>2603</v>
      </c>
      <c r="N13" s="960" t="s">
        <v>2099</v>
      </c>
      <c r="O13" s="960" t="s">
        <v>5456</v>
      </c>
      <c r="P13" s="960"/>
      <c r="Q13" s="270">
        <f>IF($C13="","",IF(SUMIFS('ANALYSE - ERP =&gt; SOUS-SEGMENT'!$Q$8:$Q$1000,'ANALYSE - ERP =&gt; SOUS-SEGMENT'!$C$8:$C$1000,$C13)&gt;0,1,0))</f>
        <v>1</v>
      </c>
      <c r="R13" s="271">
        <f>IF($C13="","",IFERROR(SUMPRODUCT(('ANALYSE - ERP =&gt; SOUS-SEGMENT'!$C$8:$C$1000=$C13)*'ANALYSE - ERP =&gt; SOUS-SEGMENT'!$Q$8:$Q$1000*'ANALYSE - ERP =&gt; SOUS-SEGMENT'!$AF$8:$AF$1000*'ANALYSE - ERP =&gt; SOUS-SEGMENT'!$R$8:$R$1000)/SUMPRODUCT(('ANALYSE - ERP =&gt; SOUS-SEGMENT'!$C$8:$C$1000=$C13)*'ANALYSE - ERP =&gt; SOUS-SEGMENT'!$Q$8:$Q$1000*'ANALYSE - ERP =&gt; SOUS-SEGMENT'!$AF$8:$AF$1000),""))</f>
        <v>6451.9786875014452</v>
      </c>
      <c r="S13" s="272">
        <f>IF($C13="","",SUMPRODUCT(('ANALYSE - ERP =&gt; SOUS-SEGMENT'!$C$8:$C$1000=$C13)*'ANALYSE - ERP =&gt; SOUS-SEGMENT'!$Q$8:$Q$1000*'ANALYSE - ERP =&gt; SOUS-SEGMENT'!$S$8:$S$1000))</f>
        <v>37600</v>
      </c>
      <c r="T13" s="272">
        <f>IF($C13="","",SUMPRODUCT(('ANALYSE - ERP =&gt; SOUS-SEGMENT'!$C$8:$C$1000=$C13)*'ANALYSE - ERP =&gt; SOUS-SEGMENT'!$Q$8:$Q$1000*'ANALYSE - ERP =&gt; SOUS-SEGMENT'!$T$8:$T$1000))</f>
        <v>39315</v>
      </c>
      <c r="U13" s="272">
        <f>IF($C13="","",SUMPRODUCT(('ANALYSE - ERP =&gt; SOUS-SEGMENT'!$C$8:$C$1000=$C13)*'ANALYSE - ERP =&gt; SOUS-SEGMENT'!$Q$8:$Q$1000*'ANALYSE - ERP =&gt; SOUS-SEGMENT'!$U$8:$U$1000))</f>
        <v>40945</v>
      </c>
      <c r="V13" s="272">
        <f>IF($C13="","",SUMPRODUCT(('ANALYSE - ERP =&gt; SOUS-SEGMENT'!$C$8:$C$1000=$C13)*'ANALYSE - ERP =&gt; SOUS-SEGMENT'!$Q$8:$Q$1000*'ANALYSE - ERP =&gt; SOUS-SEGMENT'!$V$8:$V$1000))</f>
        <v>42220</v>
      </c>
      <c r="W13" s="272">
        <f>IF($C13="","",SUMPRODUCT(('ANALYSE - ERP =&gt; SOUS-SEGMENT'!$C$8:$C$1000=$C13)*'ANALYSE - ERP =&gt; SOUS-SEGMENT'!$Q$8:$Q$1000*'ANALYSE - ERP =&gt; SOUS-SEGMENT'!$W$8:$W$1000))</f>
        <v>42284</v>
      </c>
      <c r="X13" s="272">
        <f>IF($C13="","",SUMPRODUCT(('ANALYSE - ERP =&gt; SOUS-SEGMENT'!$C$8:$C$1000=$C13)*'ANALYSE - ERP =&gt; SOUS-SEGMENT'!$Q$8:$Q$1000*'ANALYSE - ERP =&gt; SOUS-SEGMENT'!$X$8:$X$1000))</f>
        <v>42349</v>
      </c>
      <c r="Y13" s="272">
        <f>IF($C13="","",SUMPRODUCT(('ANALYSE - ERP =&gt; SOUS-SEGMENT'!$C$8:$C$1000=$C13)*'ANALYSE - ERP =&gt; SOUS-SEGMENT'!$Q$8:$Q$1000*'ANALYSE - ERP =&gt; SOUS-SEGMENT'!$Y$8:$Y$1000))</f>
        <v>42414</v>
      </c>
      <c r="Z13" s="272">
        <f>IF($C13="","",SUMPRODUCT(('ANALYSE - ERP =&gt; SOUS-SEGMENT'!$C$8:$C$1000=$C13)*'ANALYSE - ERP =&gt; SOUS-SEGMENT'!$Q$8:$Q$1000*'ANALYSE - ERP =&gt; SOUS-SEGMENT'!$Z$8:$Z$1000))</f>
        <v>42479</v>
      </c>
      <c r="AA13" s="272">
        <f>IF($C13="","",SUMPRODUCT(('ANALYSE - ERP =&gt; SOUS-SEGMENT'!$C$8:$C$1000=$C13)*'ANALYSE - ERP =&gt; SOUS-SEGMENT'!$Q$8:$Q$1000*'ANALYSE - ERP =&gt; SOUS-SEGMENT'!$AA$8:$AA$1000))</f>
        <v>42536</v>
      </c>
      <c r="AB13" s="272">
        <f>IF($C13="","",SUMPRODUCT(('ANALYSE - ERP =&gt; SOUS-SEGMENT'!$C$8:$C$1000=$C13)*'ANALYSE - ERP =&gt; SOUS-SEGMENT'!$Q$8:$Q$1000*'ANALYSE - ERP =&gt; SOUS-SEGMENT'!$AB$8:$AB$1000))</f>
        <v>42671</v>
      </c>
      <c r="AC13" s="272">
        <f>IF($C13="","",SUMPRODUCT(('ANALYSE - ERP =&gt; SOUS-SEGMENT'!$C$8:$C$1000=$C13)*'ANALYSE - ERP =&gt; SOUS-SEGMENT'!$Q$8:$Q$1000*'ANALYSE - ERP =&gt; SOUS-SEGMENT'!$AC$8:$AC$1000))</f>
        <v>42807</v>
      </c>
      <c r="AD13" s="272">
        <f>IF($C13="","",SUMPRODUCT(('ANALYSE - ERP =&gt; SOUS-SEGMENT'!$C$8:$C$1000=$C13)*'ANALYSE - ERP =&gt; SOUS-SEGMENT'!$Q$8:$Q$1000*'ANALYSE - ERP =&gt; SOUS-SEGMENT'!$AD$8:$AD$1000))</f>
        <v>42943</v>
      </c>
      <c r="AE13" s="272">
        <f>IF($C13="","",SUMPRODUCT(('ANALYSE - ERP =&gt; SOUS-SEGMENT'!$C$8:$C$1000=$C13)*'ANALYSE - ERP =&gt; SOUS-SEGMENT'!$Q$8:$Q$1000*'ANALYSE - ERP =&gt; SOUS-SEGMENT'!$AE$8:$AE$1000))</f>
        <v>43104</v>
      </c>
      <c r="AF13" s="272">
        <f>IF($C13="","",SUMPRODUCT(('ANALYSE - ERP =&gt; SOUS-SEGMENT'!$C$8:$C$1000=$C13)*'ANALYSE - ERP =&gt; SOUS-SEGMENT'!$Q$8:$Q$1000*'ANALYSE - ERP =&gt; SOUS-SEGMENT'!$AF$8:$AF$1000))</f>
        <v>43261</v>
      </c>
      <c r="AG13" s="272">
        <f>IF($C13="","",SUMPRODUCT(('ANALYSE - ERP =&gt; SOUS-SEGMENT'!$C$8:$C$1000=$C13)*'ANALYSE - ERP =&gt; SOUS-SEGMENT'!$Q$8:$Q$1000*'ANALYSE - ERP =&gt; SOUS-SEGMENT'!$AG$8:$AG$1000))</f>
        <v>43459</v>
      </c>
      <c r="AH13" s="272">
        <f>IF($C13="","",SUMPRODUCT(('ANALYSE - ERP =&gt; SOUS-SEGMENT'!$C$8:$C$1000=$C13)*'ANALYSE - ERP =&gt; SOUS-SEGMENT'!$Q$8:$Q$1000*'ANALYSE - ERP =&gt; SOUS-SEGMENT'!$AH$8:$AH$1000))</f>
        <v>43657</v>
      </c>
      <c r="AI13" s="272">
        <f>IF($C13="","",SUMPRODUCT(('ANALYSE - ERP =&gt; SOUS-SEGMENT'!$C$8:$C$1000=$C13)*'ANALYSE - ERP =&gt; SOUS-SEGMENT'!$Q$8:$Q$1000*'ANALYSE - ERP =&gt; SOUS-SEGMENT'!$AI$8:$AI$1000))</f>
        <v>43855</v>
      </c>
      <c r="AJ13" s="272">
        <f>IF($C13="","",SUMPRODUCT(('ANALYSE - ERP =&gt; SOUS-SEGMENT'!$C$8:$C$1000=$C13)*'ANALYSE - ERP =&gt; SOUS-SEGMENT'!$Q$8:$Q$1000*'ANALYSE - ERP =&gt; SOUS-SEGMENT'!$AJ$8:$AJ$1000))</f>
        <v>44053</v>
      </c>
      <c r="AK13" s="272">
        <f>IF($C13="","",SUMPRODUCT(('ANALYSE - ERP =&gt; SOUS-SEGMENT'!$C$8:$C$1000=$C13)*'ANALYSE - ERP =&gt; SOUS-SEGMENT'!$Q$8:$Q$1000*'ANALYSE - ERP =&gt; SOUS-SEGMENT'!$AK$8:$AK$1000))</f>
        <v>44250</v>
      </c>
      <c r="AL13" s="960" t="s">
        <v>5457</v>
      </c>
      <c r="AM13" s="960" t="s">
        <v>5458</v>
      </c>
      <c r="AN13" s="960" t="s">
        <v>5459</v>
      </c>
      <c r="AO13" s="657"/>
      <c r="AP13" s="271">
        <f>IF($C13="","",IFERROR(SUMPRODUCT(('ANALYSE - ERP =&gt; SOUS-SEGMENT'!$C$8:$C$1000=$C13)*'ANALYSE - ERP =&gt; SOUS-SEGMENT'!$Q$8:$Q$1000*'ANALYSE - ERP =&gt; SOUS-SEGMENT'!$AF$8:$AF$1000*'ANALYSE - ERP =&gt; SOUS-SEGMENT'!$AP$8:$AP$1000)/SUMPRODUCT(('ANALYSE - ERP =&gt; SOUS-SEGMENT'!$C$8:$C$1000=$C13)*'ANALYSE - ERP =&gt; SOUS-SEGMENT'!$Q$8:$Q$1000*'ANALYSE - ERP =&gt; SOUS-SEGMENT'!$AF$8:$AF$1000),""))</f>
        <v>179.80629204133052</v>
      </c>
      <c r="AQ13" s="280">
        <f>IF($C13="","",IFERROR(SUMPRODUCT(('ANALYSE - ERP =&gt; SOUS-SEGMENT'!$C$8:$C$1000=$C13)*'ANALYSE - ERP =&gt; SOUS-SEGMENT'!$Q$8:$Q$1000*'ANALYSE - ERP =&gt; SOUS-SEGMENT'!$AF$8:$AF$1000*'ANALYSE - ERP =&gt; SOUS-SEGMENT'!$AQ$8:$AQ$1000)/SUMPRODUCT(('ANALYSE - ERP =&gt; SOUS-SEGMENT'!$C$8:$C$1000=$C13)*'ANALYSE - ERP =&gt; SOUS-SEGMENT'!$Q$8:$Q$1000*'ANALYSE - ERP =&gt; SOUS-SEGMENT'!$AF$8:$AF$1000),""))</f>
        <v>62.873719978733732</v>
      </c>
      <c r="AR13" s="280">
        <f>IF($C13="","",IFERROR(SUMPRODUCT(('ANALYSE - ERP =&gt; SOUS-SEGMENT'!$C$8:$C$1000=$C13)*'ANALYSE - ERP =&gt; SOUS-SEGMENT'!$Q$8:$Q$1000*'ANALYSE - ERP =&gt; SOUS-SEGMENT'!$AF$8:$AF$1000*'ANALYSE - ERP =&gt; SOUS-SEGMENT'!$AR$8:$AR$1000)/SUMPRODUCT(('ANALYSE - ERP =&gt; SOUS-SEGMENT'!$C$8:$C$1000=$C13)*'ANALYSE - ERP =&gt; SOUS-SEGMENT'!$Q$8:$Q$1000*'ANALYSE - ERP =&gt; SOUS-SEGMENT'!$AF$8:$AF$1000),""))</f>
        <v>12.09958160930168</v>
      </c>
      <c r="AS13" s="280">
        <f>IF($C13="","",IFERROR(SUMPRODUCT(('ANALYSE - ERP =&gt; SOUS-SEGMENT'!$C$8:$C$1000=$C13)*'ANALYSE - ERP =&gt; SOUS-SEGMENT'!$Q$8:$Q$1000*'ANALYSE - ERP =&gt; SOUS-SEGMENT'!$AF$8:$AF$1000*'ANALYSE - ERP =&gt; SOUS-SEGMENT'!$AS$8:$AS$1000)/SUMPRODUCT(('ANALYSE - ERP =&gt; SOUS-SEGMENT'!$C$8:$C$1000=$C13)*'ANALYSE - ERP =&gt; SOUS-SEGMENT'!$Q$8:$Q$1000*'ANALYSE - ERP =&gt; SOUS-SEGMENT'!$AF$8:$AF$1000),""))</f>
        <v>4.2897760107255962</v>
      </c>
      <c r="AT13" s="657"/>
      <c r="AU13" s="647" t="s">
        <v>5460</v>
      </c>
      <c r="AV13" s="647" t="s">
        <v>5461</v>
      </c>
      <c r="AW13" s="960" t="s">
        <v>5462</v>
      </c>
      <c r="AX13" s="647" t="s">
        <v>5463</v>
      </c>
      <c r="AY13" s="657"/>
      <c r="AZ13" s="948">
        <f>IF($C13="","",IFERROR(SUMPRODUCT(('ANALYSE - ERP =&gt; SOUS-SEGMENT'!$C$8:$C$1000=$C13)*'ANALYSE - ERP =&gt; SOUS-SEGMENT'!$Q$8:$Q$1000*'ANALYSE - ERP =&gt; SOUS-SEGMENT'!$AF$8:$AF$1000*'ANALYSE - ERP =&gt; SOUS-SEGMENT'!$AZ$8:$AZ$1000)/SUMPRODUCT(('ANALYSE - ERP =&gt; SOUS-SEGMENT'!$C$8:$C$1000=$C13)*'ANALYSE - ERP =&gt; SOUS-SEGMENT'!$Q$8:$Q$1000*'ANALYSE - ERP =&gt; SOUS-SEGMENT'!$AF$8:$AF$1000),""))</f>
        <v>7.8119784563463623</v>
      </c>
      <c r="BA13" s="948">
        <f>IF($C13="","",IFERROR(SUMPRODUCT(('ANALYSE - ERP =&gt; SOUS-SEGMENT'!$C$8:$C$1000=$C13)*'ANALYSE - ERP =&gt; SOUS-SEGMENT'!$Q$8:$Q$1000*'ANALYSE - ERP =&gt; SOUS-SEGMENT'!$AF$8:$AF$1000*'ANALYSE - ERP =&gt; SOUS-SEGMENT'!$BA$8:$BA$1000)/SUMPRODUCT(('ANALYSE - ERP =&gt; SOUS-SEGMENT'!$C$8:$C$1000=$C13)*'ANALYSE - ERP =&gt; SOUS-SEGMENT'!$Q$8:$Q$1000*'ANALYSE - ERP =&gt; SOUS-SEGMENT'!$AF$8:$AF$1000),""))</f>
        <v>7.5264094681121563</v>
      </c>
      <c r="BB13" s="948">
        <f>IF($C13="","",IFERROR(SUMPRODUCT(('ANALYSE - ERP =&gt; SOUS-SEGMENT'!$C$8:$C$1000=$C13)*'ANALYSE - ERP =&gt; SOUS-SEGMENT'!$Q$8:$Q$1000*'ANALYSE - ERP =&gt; SOUS-SEGMENT'!$AF$8:$AF$1000*'ANALYSE - ERP =&gt; SOUS-SEGMENT'!$BB$8:$BB$1000)/SUMPRODUCT(('ANALYSE - ERP =&gt; SOUS-SEGMENT'!$C$8:$C$1000=$C13)*'ANALYSE - ERP =&gt; SOUS-SEGMENT'!$Q$8:$Q$1000*'ANALYSE - ERP =&gt; SOUS-SEGMENT'!$AF$8:$AF$1000),""))</f>
        <v>2.2830031668246225</v>
      </c>
      <c r="BC13" s="948">
        <f>IF($C13="","",IFERROR(SUMPRODUCT(('ANALYSE - ERP =&gt; SOUS-SEGMENT'!$C$8:$C$1000=$C13)*'ANALYSE - ERP =&gt; SOUS-SEGMENT'!$Q$8:$Q$1000*'ANALYSE - ERP =&gt; SOUS-SEGMENT'!$AF$8:$AF$1000*'ANALYSE - ERP =&gt; SOUS-SEGMENT'!$BC$8:$BC$1000)/SUMPRODUCT(('ANALYSE - ERP =&gt; SOUS-SEGMENT'!$C$8:$C$1000=$C13)*'ANALYSE - ERP =&gt; SOUS-SEGMENT'!$Q$8:$Q$1000*'ANALYSE - ERP =&gt; SOUS-SEGMENT'!$AF$8:$AF$1000),""))</f>
        <v>7.0629435288134808</v>
      </c>
      <c r="BD13" s="825">
        <f t="shared" si="1"/>
        <v>1067869</v>
      </c>
      <c r="BE13" s="304">
        <f>IF($C13="","",SUMPRODUCT(('ANALYSE - ERP =&gt; SOUS-SEGMENT'!$C$8:$C$1000=$C13)*'ANALYSE - ERP =&gt; SOUS-SEGMENT'!$Q$8:$Q$1000*'ANALYSE - ERP =&gt; SOUS-SEGMENT'!$BE$8:$BE$1000))</f>
        <v>337954</v>
      </c>
      <c r="BF13" s="304">
        <f>IF($C13="","",SUMPRODUCT(('ANALYSE - ERP =&gt; SOUS-SEGMENT'!$C$8:$C$1000=$C13)*'ANALYSE - ERP =&gt; SOUS-SEGMENT'!$Q$8:$Q$1000*'ANALYSE - ERP =&gt; SOUS-SEGMENT'!$BF$8:$BF$1000))</f>
        <v>325600</v>
      </c>
      <c r="BG13" s="304">
        <f>IF($C13="","",SUMPRODUCT(('ANALYSE - ERP =&gt; SOUS-SEGMENT'!$C$8:$C$1000=$C13)*'ANALYSE - ERP =&gt; SOUS-SEGMENT'!$Q$8:$Q$1000*'ANALYSE - ERP =&gt; SOUS-SEGMENT'!$BG$8:$BG$1000))</f>
        <v>98765</v>
      </c>
      <c r="BH13" s="304">
        <f>IF($C13="","",SUMPRODUCT(('ANALYSE - ERP =&gt; SOUS-SEGMENT'!$C$8:$C$1000=$C13)*'ANALYSE - ERP =&gt; SOUS-SEGMENT'!$Q$8:$Q$1000*'ANALYSE - ERP =&gt; SOUS-SEGMENT'!$BH$8:$BH$1000))</f>
        <v>305550</v>
      </c>
      <c r="BI13" s="825">
        <f t="shared" si="2"/>
        <v>1086345</v>
      </c>
      <c r="BJ13" s="304">
        <f>IF($C13="","",SUMPRODUCT(('ANALYSE - ERP =&gt; SOUS-SEGMENT'!$C$8:$C$1000=$C13)*'ANALYSE - ERP =&gt; SOUS-SEGMENT'!$Q$8:$Q$1000*'ANALYSE - ERP =&gt; SOUS-SEGMENT'!$BJ$8:$BJ$1000))</f>
        <v>344035</v>
      </c>
      <c r="BK13" s="304">
        <f>IF($C13="","",SUMPRODUCT(('ANALYSE - ERP =&gt; SOUS-SEGMENT'!$C$8:$C$1000=$C13)*'ANALYSE - ERP =&gt; SOUS-SEGMENT'!$Q$8:$Q$1000*'ANALYSE - ERP =&gt; SOUS-SEGMENT'!$BK$8:$BK$1000))</f>
        <v>330110</v>
      </c>
      <c r="BL13" s="304">
        <f>IF($C13="","",SUMPRODUCT(('ANALYSE - ERP =&gt; SOUS-SEGMENT'!$C$8:$C$1000=$C13)*'ANALYSE - ERP =&gt; SOUS-SEGMENT'!$Q$8:$Q$1000*'ANALYSE - ERP =&gt; SOUS-SEGMENT'!$BL$8:$BL$1000))</f>
        <v>100750</v>
      </c>
      <c r="BM13" s="304">
        <f>IF($C13="","",SUMPRODUCT(('ANALYSE - ERP =&gt; SOUS-SEGMENT'!$C$8:$C$1000=$C13)*'ANALYSE - ERP =&gt; SOUS-SEGMENT'!$Q$8:$Q$1000*'ANALYSE - ERP =&gt; SOUS-SEGMENT'!$BM$8:$BM$1000))</f>
        <v>311450</v>
      </c>
      <c r="BN13" s="657"/>
      <c r="BO13" s="284">
        <f t="shared" si="3"/>
        <v>9.7120909946324066E-2</v>
      </c>
      <c r="BP13" s="284">
        <f t="shared" si="4"/>
        <v>0.7686372701610279</v>
      </c>
      <c r="BQ13" s="284">
        <f t="shared" si="5"/>
        <v>7.4241819892648109E-2</v>
      </c>
      <c r="BR13" s="710">
        <f t="shared" si="6"/>
        <v>6.0000000000000005E-2</v>
      </c>
      <c r="BS13" s="707">
        <f t="shared" si="7"/>
        <v>7.855319952911767E-2</v>
      </c>
      <c r="BT13" s="284">
        <f t="shared" si="8"/>
        <v>0.76868080282529383</v>
      </c>
      <c r="BU13" s="284">
        <f t="shared" si="9"/>
        <v>9.2765997645588391E-2</v>
      </c>
      <c r="BV13" s="710">
        <f t="shared" si="10"/>
        <v>0.06</v>
      </c>
      <c r="BW13" s="714">
        <f t="shared" si="11"/>
        <v>0.15536240786240788</v>
      </c>
      <c r="BX13" s="285">
        <f t="shared" si="12"/>
        <v>0.79336609336609332</v>
      </c>
      <c r="BY13" s="717">
        <f t="shared" si="13"/>
        <v>5.1271498771498773E-2</v>
      </c>
      <c r="BZ13" s="714">
        <f t="shared" si="14"/>
        <v>0.12324982581563722</v>
      </c>
      <c r="CA13" s="285">
        <f t="shared" si="15"/>
        <v>0.81412922965072254</v>
      </c>
      <c r="CB13" s="717">
        <f t="shared" si="16"/>
        <v>6.2620944533640296E-2</v>
      </c>
      <c r="CC13" s="284">
        <f t="shared" si="17"/>
        <v>4.4925327798309121E-2</v>
      </c>
      <c r="CD13" s="284">
        <f t="shared" si="18"/>
        <v>0.55000000000000004</v>
      </c>
      <c r="CE13" s="284">
        <f t="shared" si="19"/>
        <v>8.7313319495772798E-2</v>
      </c>
      <c r="CF13" s="710">
        <f t="shared" si="20"/>
        <v>0.3177613527059181</v>
      </c>
      <c r="CG13" s="707">
        <f t="shared" si="21"/>
        <v>3.4913151364764271E-2</v>
      </c>
      <c r="CH13" s="284">
        <f t="shared" si="22"/>
        <v>0.55000000000000004</v>
      </c>
      <c r="CI13" s="284">
        <f t="shared" si="23"/>
        <v>0.10728287841191067</v>
      </c>
      <c r="CJ13" s="710">
        <f t="shared" si="24"/>
        <v>0.30780397022332506</v>
      </c>
      <c r="CK13" s="720">
        <f t="shared" si="25"/>
        <v>0.24423662248404515</v>
      </c>
      <c r="CL13" s="286">
        <f t="shared" si="26"/>
        <v>0.57133529700540009</v>
      </c>
      <c r="CM13" s="718">
        <f t="shared" si="27"/>
        <v>0.18442808051055473</v>
      </c>
      <c r="CN13" s="720">
        <f t="shared" si="28"/>
        <v>0.14423262160860492</v>
      </c>
      <c r="CO13" s="286">
        <f t="shared" si="29"/>
        <v>0.60139589019104189</v>
      </c>
      <c r="CP13" s="718">
        <f t="shared" si="30"/>
        <v>0.25437148820035321</v>
      </c>
      <c r="CQ13" s="657"/>
      <c r="CR13" s="807">
        <f>IF($C13="","",IFERROR(SUMPRODUCT(('ANALYSE - ERP =&gt; SOUS-SEGMENT'!$C$8:$C$1000=$C13)*'ANALYSE - ERP =&gt; SOUS-SEGMENT'!$Q$8:$Q$1000*'ANALYSE - ERP =&gt; SOUS-SEGMENT'!$DH$8:$DH$1000*'ANALYSE - ERP =&gt; SOUS-SEGMENT'!$CR$8:$CR$1000)/SUMPRODUCT(('ANALYSE - ERP =&gt; SOUS-SEGMENT'!$C$8:$C$1000=$C13)*'ANALYSE - ERP =&gt; SOUS-SEGMENT'!$Q$8:$Q$1000*'ANALYSE - ERP =&gt; SOUS-SEGMENT'!$DH$8:$DH$1000),""))</f>
        <v>10</v>
      </c>
      <c r="CS13" s="808">
        <f>IF($C13="","",IFERROR(SUMPRODUCT(('ANALYSE - ERP =&gt; SOUS-SEGMENT'!$C$8:$C$1000=$C13)*'ANALYSE - ERP =&gt; SOUS-SEGMENT'!$Q$8:$Q$1000*'ANALYSE - ERP =&gt; SOUS-SEGMENT'!$DI$8:$DI$1000*'ANALYSE - ERP =&gt; SOUS-SEGMENT'!$CS$8:$CS$1000)/SUMPRODUCT(('ANALYSE - ERP =&gt; SOUS-SEGMENT'!$C$8:$C$1000=$C13)*'ANALYSE - ERP =&gt; SOUS-SEGMENT'!$Q$8:$Q$1000*'ANALYSE - ERP =&gt; SOUS-SEGMENT'!$DI$8:$DI$1000),""))</f>
        <v>11</v>
      </c>
      <c r="CT13" s="808">
        <f>IF($C13="","",IFERROR(SUMPRODUCT(('ANALYSE - ERP =&gt; SOUS-SEGMENT'!$C$8:$C$1000=$C13)*'ANALYSE - ERP =&gt; SOUS-SEGMENT'!$Q$8:$Q$1000*'ANALYSE - ERP =&gt; SOUS-SEGMENT'!$DJ$8:$DJ$1000*'ANALYSE - ERP =&gt; SOUS-SEGMENT'!$CT$8:$CT$1000)/SUMPRODUCT(('ANALYSE - ERP =&gt; SOUS-SEGMENT'!$C$8:$C$1000=$C13)*'ANALYSE - ERP =&gt; SOUS-SEGMENT'!$Q$8:$Q$1000*'ANALYSE - ERP =&gt; SOUS-SEGMENT'!$DJ$8:$DJ$1000),""))</f>
        <v>8</v>
      </c>
      <c r="CU13" s="809">
        <f>IF($C13="","",IFERROR(SUMPRODUCT(('ANALYSE - ERP =&gt; SOUS-SEGMENT'!$C$8:$C$1000=$C13)*'ANALYSE - ERP =&gt; SOUS-SEGMENT'!$Q$8:$Q$1000*'ANALYSE - ERP =&gt; SOUS-SEGMENT'!$DK$8:$DK$1000*'ANALYSE - ERP =&gt; SOUS-SEGMENT'!$CU$8:$CU$1000)/SUMPRODUCT(('ANALYSE - ERP =&gt; SOUS-SEGMENT'!$C$8:$C$1000=$C13)*'ANALYSE - ERP =&gt; SOUS-SEGMENT'!$Q$8:$Q$1000*'ANALYSE - ERP =&gt; SOUS-SEGMENT'!$DK$8:$DK$1000),""))</f>
        <v>9.8303023488403731</v>
      </c>
      <c r="CV13" s="807">
        <f>IF($C13="","",IFERROR(SUMPRODUCT(('ANALYSE - ERP =&gt; SOUS-SEGMENT'!$C$8:$C$1000=$C13)*'ANALYSE - ERP =&gt; SOUS-SEGMENT'!$Q$8:$Q$1000*'ANALYSE - ERP =&gt; SOUS-SEGMENT'!$DS$8:$DS$1000*'ANALYSE - ERP =&gt; SOUS-SEGMENT'!$CV$8:$CV$1000)/SUMPRODUCT(('ANALYSE - ERP =&gt; SOUS-SEGMENT'!$C$8:$C$1000=$C13)*'ANALYSE - ERP =&gt; SOUS-SEGMENT'!$Q$8:$Q$1000*'ANALYSE - ERP =&gt; SOUS-SEGMENT'!$DS$8:$DS$1000),""))</f>
        <v>8.1939568259992885</v>
      </c>
      <c r="CW13" s="808">
        <f>IF($C13="","",IFERROR(SUMPRODUCT(('ANALYSE - ERP =&gt; SOUS-SEGMENT'!$C$8:$C$1000=$C13)*'ANALYSE - ERP =&gt; SOUS-SEGMENT'!$Q$8:$Q$1000*'ANALYSE - ERP =&gt; SOUS-SEGMENT'!$DT$8:$DT$1000*'ANALYSE - ERP =&gt; SOUS-SEGMENT'!$CW$8:$CW$1000)/SUMPRODUCT(('ANALYSE - ERP =&gt; SOUS-SEGMENT'!$C$8:$C$1000=$C13)*'ANALYSE - ERP =&gt; SOUS-SEGMENT'!$Q$8:$Q$1000*'ANALYSE - ERP =&gt; SOUS-SEGMENT'!$DT$8:$DT$1000),""))</f>
        <v>8.3163208423660571</v>
      </c>
      <c r="CX13" s="809">
        <f>IF($C13="","",IFERROR(SUMPRODUCT(('ANALYSE - ERP =&gt; SOUS-SEGMENT'!$C$8:$C$1000=$C13)*'ANALYSE - ERP =&gt; SOUS-SEGMENT'!$Q$8:$Q$1000*'ANALYSE - ERP =&gt; SOUS-SEGMENT'!$DU$8:$DU$1000*'ANALYSE - ERP =&gt; SOUS-SEGMENT'!$CX$8:$CX$1000)/SUMPRODUCT(('ANALYSE - ERP =&gt; SOUS-SEGMENT'!$C$8:$C$1000=$C13)*'ANALYSE - ERP =&gt; SOUS-SEGMENT'!$Q$8:$Q$1000*'ANALYSE - ERP =&gt; SOUS-SEGMENT'!$DU$8:$DU$1000),""))</f>
        <v>7.1858452138492872</v>
      </c>
      <c r="CY13" s="807">
        <f>IF($C13="","",IFERROR(SUMPRODUCT(('ANALYSE - ERP =&gt; SOUS-SEGMENT'!$C$8:$C$1000=$C13)*'ANALYSE - ERP =&gt; SOUS-SEGMENT'!$Q$8:$Q$1000*'ANALYSE - ERP =&gt; SOUS-SEGMENT'!$EB$8:$EB$1000*'ANALYSE - ERP =&gt; SOUS-SEGMENT'!$CY$8:$CY$1000)/SUMPRODUCT(('ANALYSE - ERP =&gt; SOUS-SEGMENT'!$C$8:$C$1000=$C13)*'ANALYSE - ERP =&gt; SOUS-SEGMENT'!$Q$8:$Q$1000*'ANALYSE - ERP =&gt; SOUS-SEGMENT'!$EB$8:$EB$1000),""))</f>
        <v>8</v>
      </c>
      <c r="CZ13" s="808">
        <f>IF($C13="","",IFERROR(SUMPRODUCT(('ANALYSE - ERP =&gt; SOUS-SEGMENT'!$C$8:$C$1000=$C13)*'ANALYSE - ERP =&gt; SOUS-SEGMENT'!$Q$8:$Q$1000*'ANALYSE - ERP =&gt; SOUS-SEGMENT'!$EC$8:$EC$1000*'ANALYSE - ERP =&gt; SOUS-SEGMENT'!$CZ$8:$CZ$1000)/SUMPRODUCT(('ANALYSE - ERP =&gt; SOUS-SEGMENT'!$C$8:$C$1000=$C13)*'ANALYSE - ERP =&gt; SOUS-SEGMENT'!$Q$8:$Q$1000*'ANALYSE - ERP =&gt; SOUS-SEGMENT'!$EC$8:$EC$1000),""))</f>
        <v>10.268414924315294</v>
      </c>
      <c r="DA13" s="808">
        <f>IF($C13="","",IFERROR(SUMPRODUCT(('ANALYSE - ERP =&gt; SOUS-SEGMENT'!$C$8:$C$1000=$C13)*'ANALYSE - ERP =&gt; SOUS-SEGMENT'!$Q$8:$Q$1000*'ANALYSE - ERP =&gt; SOUS-SEGMENT'!$ED$8:$ED$1000*'ANALYSE - ERP =&gt; SOUS-SEGMENT'!$DA$8:$DA$1000)/SUMPRODUCT(('ANALYSE - ERP =&gt; SOUS-SEGMENT'!$C$8:$C$1000=$C13)*'ANALYSE - ERP =&gt; SOUS-SEGMENT'!$Q$8:$Q$1000*'ANALYSE - ERP =&gt; SOUS-SEGMENT'!$ED$8:$ED$1000),""))</f>
        <v>7.1621151504609495</v>
      </c>
      <c r="DB13" s="809">
        <f>IF($C13="","",IFERROR(SUMPRODUCT(('ANALYSE - ERP =&gt; SOUS-SEGMENT'!$C$8:$C$1000=$C13)*'ANALYSE - ERP =&gt; SOUS-SEGMENT'!$Q$8:$Q$1000*'ANALYSE - ERP =&gt; SOUS-SEGMENT'!$EE$8:$EE$1000*'ANALYSE - ERP =&gt; SOUS-SEGMENT'!$DB$8:$DB$1000)/SUMPRODUCT(('ANALYSE - ERP =&gt; SOUS-SEGMENT'!$C$8:$C$1000=$C13)*'ANALYSE - ERP =&gt; SOUS-SEGMENT'!$Q$8:$Q$1000*'ANALYSE - ERP =&gt; SOUS-SEGMENT'!$EE$8:$EE$1000),""))</f>
        <v>9</v>
      </c>
      <c r="DC13" s="807">
        <f>IF($C13="","",IFERROR(SUMPRODUCT(('ANALYSE - ERP =&gt; SOUS-SEGMENT'!$C$8:$C$1000=$C13)*'ANALYSE - ERP =&gt; SOUS-SEGMENT'!$Q$8:$Q$1000*'ANALYSE - ERP =&gt; SOUS-SEGMENT'!$EM$8:$EM$1000*'ANALYSE - ERP =&gt; SOUS-SEGMENT'!$DC$8:$DC$1000)/SUMPRODUCT(('ANALYSE - ERP =&gt; SOUS-SEGMENT'!$C$8:$C$1000=$C13)*'ANALYSE - ERP =&gt; SOUS-SEGMENT'!$Q$8:$Q$1000*'ANALYSE - ERP =&gt; SOUS-SEGMENT'!$EM$8:$EM$1000),""))</f>
        <v>9.8447736393908336</v>
      </c>
      <c r="DD13" s="808">
        <f>IF($C13="","",IFERROR(SUMPRODUCT(('ANALYSE - ERP =&gt; SOUS-SEGMENT'!$C$8:$C$1000=$C13)*'ANALYSE - ERP =&gt; SOUS-SEGMENT'!$Q$8:$Q$1000*'ANALYSE - ERP =&gt; SOUS-SEGMENT'!$EN$8:$EN$1000*'ANALYSE - ERP =&gt; SOUS-SEGMENT'!$DD$8:$DD$1000)/SUMPRODUCT(('ANALYSE - ERP =&gt; SOUS-SEGMENT'!$C$8:$C$1000=$C13)*'ANALYSE - ERP =&gt; SOUS-SEGMENT'!$Q$8:$Q$1000*'ANALYSE - ERP =&gt; SOUS-SEGMENT'!$EN$8:$EN$1000),""))</f>
        <v>11.205520374173334</v>
      </c>
      <c r="DE13" s="809">
        <f>IF($C13="","",IFERROR(SUMPRODUCT(('ANALYSE - ERP =&gt; SOUS-SEGMENT'!$C$8:$C$1000=$C13)*'ANALYSE - ERP =&gt; SOUS-SEGMENT'!$Q$8:$Q$1000*'ANALYSE - ERP =&gt; SOUS-SEGMENT'!$EO$8:$EO$1000*'ANALYSE - ERP =&gt; SOUS-SEGMENT'!$DE$8:$DE$1000)/SUMPRODUCT(('ANALYSE - ERP =&gt; SOUS-SEGMENT'!$C$8:$C$1000=$C13)*'ANALYSE - ERP =&gt; SOUS-SEGMENT'!$Q$8:$Q$1000*'ANALYSE - ERP =&gt; SOUS-SEGMENT'!$EO$8:$EO$1000),""))</f>
        <v>8.1050184554230551</v>
      </c>
      <c r="DF13" s="921" t="s">
        <v>5464</v>
      </c>
      <c r="DG13" s="657"/>
      <c r="DH13" s="288">
        <f>IF($C13="","",SUMPRODUCT(('ANALYSE - ERP =&gt; SOUS-SEGMENT'!$C$8:$C$1000=$C13)*'ANALYSE - ERP =&gt; SOUS-SEGMENT'!$Q$8:$Q$1000*'ANALYSE - ERP =&gt; SOUS-SEGMENT'!$DH$8:$DH$1000))</f>
        <v>32822.400000000001</v>
      </c>
      <c r="DI13" s="288">
        <f>IF($C13="","",SUMPRODUCT(('ANALYSE - ERP =&gt; SOUS-SEGMENT'!$C$8:$C$1000=$C13)*'ANALYSE - ERP =&gt; SOUS-SEGMENT'!$Q$8:$Q$1000*'ANALYSE - ERP =&gt; SOUS-SEGMENT'!$DI$8:$DI$1000))</f>
        <v>259764.04</v>
      </c>
      <c r="DJ13" s="288">
        <f>IF($C13="","",SUMPRODUCT(('ANALYSE - ERP =&gt; SOUS-SEGMENT'!$C$8:$C$1000=$C13)*'ANALYSE - ERP =&gt; SOUS-SEGMENT'!$Q$8:$Q$1000*'ANALYSE - ERP =&gt; SOUS-SEGMENT'!$DJ$8:$DJ$1000))</f>
        <v>25090.32</v>
      </c>
      <c r="DK13" s="288">
        <f>IF($C13="","",SUMPRODUCT(('ANALYSE - ERP =&gt; SOUS-SEGMENT'!$C$8:$C$1000=$C13)*'ANALYSE - ERP =&gt; SOUS-SEGMENT'!$Q$8:$Q$1000*'ANALYSE - ERP =&gt; SOUS-SEGMENT'!$DK$8:$DK$1000))</f>
        <v>20277.240000000002</v>
      </c>
      <c r="DL13" s="922" t="s">
        <v>5465</v>
      </c>
      <c r="DM13" s="288">
        <f>IF($C13="","",SUMPRODUCT(('ANALYSE - ERP =&gt; SOUS-SEGMENT'!$C$8:$C$1000=$C13)*'ANALYSE - ERP =&gt; SOUS-SEGMENT'!$Q$8:$Q$1000*'ANALYSE - ERP =&gt; SOUS-SEGMENT'!$DM$8:$DM$1000))</f>
        <v>27025.05</v>
      </c>
      <c r="DN13" s="288">
        <f>IF($C13="","",SUMPRODUCT(('ANALYSE - ERP =&gt; SOUS-SEGMENT'!$C$8:$C$1000=$C13)*'ANALYSE - ERP =&gt; SOUS-SEGMENT'!$Q$8:$Q$1000*'ANALYSE - ERP =&gt; SOUS-SEGMENT'!$DN$8:$DN$1000))</f>
        <v>264453.09999999998</v>
      </c>
      <c r="DO13" s="288">
        <f>IF($C13="","",SUMPRODUCT(('ANALYSE - ERP =&gt; SOUS-SEGMENT'!$C$8:$C$1000=$C13)*'ANALYSE - ERP =&gt; SOUS-SEGMENT'!$Q$8:$Q$1000*'ANALYSE - ERP =&gt; SOUS-SEGMENT'!$DO$8:$DO$1000))</f>
        <v>31914.75</v>
      </c>
      <c r="DP13" s="288">
        <f>IF($C13="","",SUMPRODUCT(('ANALYSE - ERP =&gt; SOUS-SEGMENT'!$C$8:$C$1000=$C13)*'ANALYSE - ERP =&gt; SOUS-SEGMENT'!$Q$8:$Q$1000*'ANALYSE - ERP =&gt; SOUS-SEGMENT'!$DP$8:$DP$1000))</f>
        <v>20642.099999999999</v>
      </c>
      <c r="DQ13" s="922" t="s">
        <v>5466</v>
      </c>
      <c r="DR13" s="657"/>
      <c r="DS13" s="288">
        <f>IF($C13="","",SUMPRODUCT(('ANALYSE - ERP =&gt; SOUS-SEGMENT'!$C$8:$C$1000=$C13)*'ANALYSE - ERP =&gt; SOUS-SEGMENT'!$Q$8:$Q$1000*'ANALYSE - ERP =&gt; SOUS-SEGMENT'!$DS$8:$DS$1000))</f>
        <v>50586</v>
      </c>
      <c r="DT13" s="288">
        <f>IF($C13="","",SUMPRODUCT(('ANALYSE - ERP =&gt; SOUS-SEGMENT'!$C$8:$C$1000=$C13)*'ANALYSE - ERP =&gt; SOUS-SEGMENT'!$Q$8:$Q$1000*'ANALYSE - ERP =&gt; SOUS-SEGMENT'!$DT$8:$DT$1000))</f>
        <v>258320</v>
      </c>
      <c r="DU13" s="288">
        <f>IF($C13="","",SUMPRODUCT(('ANALYSE - ERP =&gt; SOUS-SEGMENT'!$C$8:$C$1000=$C13)*'ANALYSE - ERP =&gt; SOUS-SEGMENT'!$Q$8:$Q$1000*'ANALYSE - ERP =&gt; SOUS-SEGMENT'!$DU$8:$DU$1000))</f>
        <v>16694</v>
      </c>
      <c r="DV13" s="922" t="s">
        <v>5467</v>
      </c>
      <c r="DW13" s="288">
        <f>IF($C13="","",SUMPRODUCT(('ANALYSE - ERP =&gt; SOUS-SEGMENT'!$C$8:$C$1000=$C13)*'ANALYSE - ERP =&gt; SOUS-SEGMENT'!$Q$8:$Q$1000*'ANALYSE - ERP =&gt; SOUS-SEGMENT'!$DW$8:$DW$1000))</f>
        <v>40686</v>
      </c>
      <c r="DX13" s="288">
        <f>IF($C13="","",SUMPRODUCT(('ANALYSE - ERP =&gt; SOUS-SEGMENT'!$C$8:$C$1000=$C13)*'ANALYSE - ERP =&gt; SOUS-SEGMENT'!$Q$8:$Q$1000*'ANALYSE - ERP =&gt; SOUS-SEGMENT'!$DX$8:$DX$1000))</f>
        <v>268752.2</v>
      </c>
      <c r="DY13" s="288">
        <f>IF($C13="","",SUMPRODUCT(('ANALYSE - ERP =&gt; SOUS-SEGMENT'!$C$8:$C$1000=$C13)*'ANALYSE - ERP =&gt; SOUS-SEGMENT'!$Q$8:$Q$1000*'ANALYSE - ERP =&gt; SOUS-SEGMENT'!$DY$8:$DY$1000))</f>
        <v>20671.8</v>
      </c>
      <c r="DZ13" s="922" t="s">
        <v>5468</v>
      </c>
      <c r="EA13" s="657"/>
      <c r="EB13" s="288">
        <f>IF($C13="","",SUMPRODUCT(('ANALYSE - ERP =&gt; SOUS-SEGMENT'!$C$8:$C$1000=$C13)*'ANALYSE - ERP =&gt; SOUS-SEGMENT'!$Q$8:$Q$1000*'ANALYSE - ERP =&gt; SOUS-SEGMENT'!$EB$8:$EB$1000))</f>
        <v>4437.05</v>
      </c>
      <c r="EC13" s="288">
        <f>IF($C13="","",SUMPRODUCT(('ANALYSE - ERP =&gt; SOUS-SEGMENT'!$C$8:$C$1000=$C13)*'ANALYSE - ERP =&gt; SOUS-SEGMENT'!$Q$8:$Q$1000*'ANALYSE - ERP =&gt; SOUS-SEGMENT'!$EC$8:$EC$1000))</f>
        <v>54320.750000000007</v>
      </c>
      <c r="ED13" s="288">
        <f>IF($C13="","",SUMPRODUCT(('ANALYSE - ERP =&gt; SOUS-SEGMENT'!$C$8:$C$1000=$C13)*'ANALYSE - ERP =&gt; SOUS-SEGMENT'!$Q$8:$Q$1000*'ANALYSE - ERP =&gt; SOUS-SEGMENT'!$ED$8:$ED$1000))</f>
        <v>8623.5</v>
      </c>
      <c r="EE13" s="288">
        <f>IF($C13="","",SUMPRODUCT(('ANALYSE - ERP =&gt; SOUS-SEGMENT'!$C$8:$C$1000=$C13)*'ANALYSE - ERP =&gt; SOUS-SEGMENT'!$Q$8:$Q$1000*'ANALYSE - ERP =&gt; SOUS-SEGMENT'!$EE$8:$EE$1000))</f>
        <v>31383.7</v>
      </c>
      <c r="EF13" s="922" t="s">
        <v>5469</v>
      </c>
      <c r="EG13" s="288">
        <f>IF($C13="","",SUMPRODUCT(('ANALYSE - ERP =&gt; SOUS-SEGMENT'!$C$8:$C$1000=$C13)*'ANALYSE - ERP =&gt; SOUS-SEGMENT'!$Q$8:$Q$1000*'ANALYSE - ERP =&gt; SOUS-SEGMENT'!$EG$8:$EG$1000))</f>
        <v>3517.5</v>
      </c>
      <c r="EH13" s="288">
        <f>IF($C13="","",SUMPRODUCT(('ANALYSE - ERP =&gt; SOUS-SEGMENT'!$C$8:$C$1000=$C13)*'ANALYSE - ERP =&gt; SOUS-SEGMENT'!$Q$8:$Q$1000*'ANALYSE - ERP =&gt; SOUS-SEGMENT'!$EH$8:$EH$1000))</f>
        <v>55412.5</v>
      </c>
      <c r="EI13" s="288">
        <f>IF($C13="","",SUMPRODUCT(('ANALYSE - ERP =&gt; SOUS-SEGMENT'!$C$8:$C$1000=$C13)*'ANALYSE - ERP =&gt; SOUS-SEGMENT'!$Q$8:$Q$1000*'ANALYSE - ERP =&gt; SOUS-SEGMENT'!$EI$8:$EI$1000))</f>
        <v>10808.75</v>
      </c>
      <c r="EJ13" s="288">
        <f>IF($C13="","",SUMPRODUCT(('ANALYSE - ERP =&gt; SOUS-SEGMENT'!$C$8:$C$1000=$C13)*'ANALYSE - ERP =&gt; SOUS-SEGMENT'!$Q$8:$Q$1000*'ANALYSE - ERP =&gt; SOUS-SEGMENT'!$EJ$8:$EJ$1000))</f>
        <v>31011.25</v>
      </c>
      <c r="EK13" s="922" t="s">
        <v>5470</v>
      </c>
      <c r="EL13" s="657"/>
      <c r="EM13" s="288">
        <f>IF($C13="","",SUMPRODUCT(('ANALYSE - ERP =&gt; SOUS-SEGMENT'!$C$8:$C$1000=$C13)*'ANALYSE - ERP =&gt; SOUS-SEGMENT'!$Q$8:$Q$1000*'ANALYSE - ERP =&gt; SOUS-SEGMENT'!$EM$8:$EM$1000))</f>
        <v>74626.5</v>
      </c>
      <c r="EN13" s="291">
        <f>IF($C13="","",SUMPRODUCT(('ANALYSE - ERP =&gt; SOUS-SEGMENT'!$C$8:$C$1000=$C13)*'ANALYSE - ERP =&gt; SOUS-SEGMENT'!$Q$8:$Q$1000*'ANALYSE - ERP =&gt; SOUS-SEGMENT'!$EN$8:$EN$1000))</f>
        <v>174571.5</v>
      </c>
      <c r="EO13" s="291">
        <f>IF($C13="","",SUMPRODUCT(('ANALYSE - ERP =&gt; SOUS-SEGMENT'!$C$8:$C$1000=$C13)*'ANALYSE - ERP =&gt; SOUS-SEGMENT'!$Q$8:$Q$1000*'ANALYSE - ERP =&gt; SOUS-SEGMENT'!$EO$8:$EO$1000))</f>
        <v>56352</v>
      </c>
      <c r="EP13" s="922" t="s">
        <v>5471</v>
      </c>
      <c r="EQ13" s="288">
        <f>IF($C13="","",SUMPRODUCT(('ANALYSE - ERP =&gt; SOUS-SEGMENT'!$C$8:$C$1000=$C13)*'ANALYSE - ERP =&gt; SOUS-SEGMENT'!$Q$8:$Q$1000*'ANALYSE - ERP =&gt; SOUS-SEGMENT'!$EQ$8:$EQ$1000))</f>
        <v>44921.25</v>
      </c>
      <c r="ER13" s="291">
        <f>IF($C13="","",SUMPRODUCT(('ANALYSE - ERP =&gt; SOUS-SEGMENT'!$C$8:$C$1000=$C13)*'ANALYSE - ERP =&gt; SOUS-SEGMENT'!$Q$8:$Q$1000*'ANALYSE - ERP =&gt; SOUS-SEGMENT'!$ER$8:$ER$1000))</f>
        <v>187304.75</v>
      </c>
      <c r="ES13" s="291">
        <f>IF($C13="","",SUMPRODUCT(('ANALYSE - ERP =&gt; SOUS-SEGMENT'!$C$8:$C$1000=$C13)*'ANALYSE - ERP =&gt; SOUS-SEGMENT'!$Q$8:$Q$1000*'ANALYSE - ERP =&gt; SOUS-SEGMENT'!$ES$8:$ES$1000))</f>
        <v>79224</v>
      </c>
      <c r="ET13" s="922" t="s">
        <v>5472</v>
      </c>
      <c r="EU13" s="657"/>
      <c r="EV13" s="740">
        <f t="shared" si="31"/>
        <v>0.81799383645568924</v>
      </c>
      <c r="EW13" s="740">
        <f t="shared" si="32"/>
        <v>0.18200616354431065</v>
      </c>
      <c r="EX13" s="563">
        <f t="shared" si="33"/>
        <v>549545.21513030678</v>
      </c>
      <c r="EY13" s="563">
        <f t="shared" si="34"/>
        <v>449524.59883030673</v>
      </c>
      <c r="EZ13" s="563">
        <f t="shared" si="35"/>
        <v>100020.61629999999</v>
      </c>
      <c r="FA13" s="563">
        <f t="shared" si="36"/>
        <v>159716.42421228488</v>
      </c>
      <c r="FB13" s="563">
        <f>IF($C13="","",SUMPRODUCT(('ANALYSE - ERP =&gt; SOUS-SEGMENT'!$C$8:$C$1000=$C13)*'ANALYSE - ERP =&gt; SOUS-SEGMENT'!$Q$8:$Q$1000*'ANALYSE - ERP =&gt; SOUS-SEGMENT'!$FB$8:$FB$1000))</f>
        <v>128061.19421228487</v>
      </c>
      <c r="FC13" s="563">
        <f>IF($C13="","",SUMPRODUCT(('ANALYSE - ERP =&gt; SOUS-SEGMENT'!$C$8:$C$1000=$C13)*'ANALYSE - ERP =&gt; SOUS-SEGMENT'!$Q$8:$Q$1000*'ANALYSE - ERP =&gt; SOUS-SEGMENT'!$FC$8:$FC$1000))</f>
        <v>31655.230000000003</v>
      </c>
      <c r="FD13" s="563">
        <f t="shared" si="37"/>
        <v>189404.87765012501</v>
      </c>
      <c r="FE13" s="563">
        <f>IF($C13="","",SUMPRODUCT(('ANALYSE - ERP =&gt; SOUS-SEGMENT'!$C$8:$C$1000=$C13)*'ANALYSE - ERP =&gt; SOUS-SEGMENT'!$Q$8:$Q$1000*'ANALYSE - ERP =&gt; SOUS-SEGMENT'!$FE$8:$FE$1000))</f>
        <v>159153.395750125</v>
      </c>
      <c r="FF13" s="563">
        <f>IF($C13="","",SUMPRODUCT(('ANALYSE - ERP =&gt; SOUS-SEGMENT'!$C$8:$C$1000=$C13)*'ANALYSE - ERP =&gt; SOUS-SEGMENT'!$Q$8:$Q$1000*'ANALYSE - ERP =&gt; SOUS-SEGMENT'!$FF$8:$FF$1000))</f>
        <v>30251.481899999999</v>
      </c>
      <c r="FG13" s="563">
        <f t="shared" si="38"/>
        <v>51674.90840956349</v>
      </c>
      <c r="FH13" s="563">
        <f>IF($C13="","",SUMPRODUCT(('ANALYSE - ERP =&gt; SOUS-SEGMENT'!$C$8:$C$1000=$C13)*'ANALYSE - ERP =&gt; SOUS-SEGMENT'!$Q$8:$Q$1000*'ANALYSE - ERP =&gt; SOUS-SEGMENT'!$FH$8:$FH$1000))</f>
        <v>42290.978809563494</v>
      </c>
      <c r="FI13" s="563">
        <f>IF($C13="","",SUMPRODUCT(('ANALYSE - ERP =&gt; SOUS-SEGMENT'!$C$8:$C$1000=$C13)*'ANALYSE - ERP =&gt; SOUS-SEGMENT'!$Q$8:$Q$1000*'ANALYSE - ERP =&gt; SOUS-SEGMENT'!$FI$8:$FI$1000))</f>
        <v>9383.9295999999995</v>
      </c>
      <c r="FJ13" s="563">
        <f t="shared" si="39"/>
        <v>148749.00485833333</v>
      </c>
      <c r="FK13" s="563">
        <f>IF($C13="","",SUMPRODUCT(('ANALYSE - ERP =&gt; SOUS-SEGMENT'!$C$8:$C$1000=$C13)*'ANALYSE - ERP =&gt; SOUS-SEGMENT'!$Q$8:$Q$1000*'ANALYSE - ERP =&gt; SOUS-SEGMENT'!$FK$8:$FK$1000))</f>
        <v>120019.03005833334</v>
      </c>
      <c r="FL13" s="563">
        <f>IF($C13="","",SUMPRODUCT(('ANALYSE - ERP =&gt; SOUS-SEGMENT'!$C$8:$C$1000=$C13)*'ANALYSE - ERP =&gt; SOUS-SEGMENT'!$Q$8:$Q$1000*'ANALYSE - ERP =&gt; SOUS-SEGMENT'!$FL$8:$FL$1000))</f>
        <v>28729.974799999996</v>
      </c>
      <c r="FM13" s="529"/>
      <c r="FN13" s="961" t="s">
        <v>2649</v>
      </c>
      <c r="FO13" s="740">
        <f>IF($C13="","",IFERROR(SUMPRODUCT(('ANALYSE - ERP =&gt; SOUS-SEGMENT'!$C$8:$C$1000=$C13)*'ANALYSE - ERP =&gt; SOUS-SEGMENT'!$Q$8:$Q$1000*'ANALYSE - ERP =&gt; SOUS-SEGMENT'!$AF$8:$AF$1000*'ANALYSE - ERP =&gt; SOUS-SEGMENT'!$FO$8:$FO$1000)/SUMPRODUCT(('ANALYSE - ERP =&gt; SOUS-SEGMENT'!$C$8:$C$1000=$C13)*'ANALYSE - ERP =&gt; SOUS-SEGMENT'!$Q$8:$Q$1000*'ANALYSE - ERP =&gt; SOUS-SEGMENT'!$AF$8:$AF$1000),""))</f>
        <v>6.7483747486188489E-2</v>
      </c>
      <c r="FP13" s="741">
        <f>IF($C13="","",IFERROR(SUMPRODUCT(('ANALYSE - ERP =&gt; SOUS-SEGMENT'!$C$8:$C$1000=$C13)*'ANALYSE - ERP =&gt; SOUS-SEGMENT'!$Q$8:$Q$1000*'ANALYSE - ERP =&gt; SOUS-SEGMENT'!$AF$8:$AF$1000*'ANALYSE - ERP =&gt; SOUS-SEGMENT'!$FP$8:$FP$1000)/SUMPRODUCT(('ANALYSE - ERP =&gt; SOUS-SEGMENT'!$C$8:$C$1000=$C13)*'ANALYSE - ERP =&gt; SOUS-SEGMENT'!$Q$8:$Q$1000*'ANALYSE - ERP =&gt; SOUS-SEGMENT'!$AF$8:$AF$1000),""))</f>
        <v>0.80406047479253839</v>
      </c>
      <c r="FQ13" s="961" t="s">
        <v>5473</v>
      </c>
      <c r="FR13" s="529"/>
      <c r="FS13" s="867">
        <f>IF($C13="","",IFERROR(SUMPRODUCT(('ANALYSE - ERP =&gt; SOUS-SEGMENT'!$C$8:$C$1000=$C13)*'ANALYSE - ERP =&gt; SOUS-SEGMENT'!$Q$8:$Q$1000*'ANALYSE - ERP =&gt; SOUS-SEGMENT'!$EX$8:$EX$1000*'ANALYSE - ERP =&gt; SOUS-SEGMENT'!$FS$8:$FS$1000)/SUMPRODUCT(('ANALYSE - ERP =&gt; SOUS-SEGMENT'!$C$8:$C$1000=$C13)*'ANALYSE - ERP =&gt; SOUS-SEGMENT'!$Q$8:$Q$1000*'ANALYSE - ERP =&gt; SOUS-SEGMENT'!$EX$8:$EX$1000),""))</f>
        <v>3.5846496553457459</v>
      </c>
      <c r="FT13" s="566">
        <f>IF($C13="","",RANK($FS13,$FS$8:$FS$43,0)+COUNTIF($FS$8:$FS13,$FS13)-1)</f>
        <v>10</v>
      </c>
      <c r="FU13" s="867">
        <f>IF($C13="","",IFERROR(SUMPRODUCT(('ANALYSE - ERP =&gt; SOUS-SEGMENT'!$C$8:$C$1000=$C13)*'ANALYSE - ERP =&gt; SOUS-SEGMENT'!$Q$8:$Q$1000*'ANALYSE - ERP =&gt; SOUS-SEGMENT'!$EY$8:$EY$1000*'ANALYSE - ERP =&gt; SOUS-SEGMENT'!$FU$8:$FU$1000)/SUMPRODUCT(('ANALYSE - ERP =&gt; SOUS-SEGMENT'!$C$8:$C$1000=$C13)*'ANALYSE - ERP =&gt; SOUS-SEGMENT'!$Q$8:$Q$1000*'ANALYSE - ERP =&gt; SOUS-SEGMENT'!$EY$8:$EY$1000),""))</f>
        <v>4.4590716556484695</v>
      </c>
      <c r="FV13" s="566">
        <f>IF($C13="","",RANK($FU13,$FU$8:$FU$43,0)+COUNTIF($FU$8:$FU13,$FU13)-1)</f>
        <v>4</v>
      </c>
      <c r="FW13" s="867">
        <f>IF($C13="","",IFERROR(SUMPRODUCT(('ANALYSE - ERP =&gt; SOUS-SEGMENT'!$C$8:$C$1000=$C13)*'ANALYSE - ERP =&gt; SOUS-SEGMENT'!$Q$8:$Q$1000*'ANALYSE - ERP =&gt; SOUS-SEGMENT'!$EZ$8:$EZ$1000*'ANALYSE - ERP =&gt; SOUS-SEGMENT'!$FW$8:$FW$1000)/SUMPRODUCT(('ANALYSE - ERP =&gt; SOUS-SEGMENT'!$C$8:$C$1000=$C13)*'ANALYSE - ERP =&gt; SOUS-SEGMENT'!$Q$8:$Q$1000*'ANALYSE - ERP =&gt; SOUS-SEGMENT'!$EZ$8:$EZ$1000),""))</f>
        <v>2.1214791358969056</v>
      </c>
      <c r="FX13" s="566">
        <f>IF($C13="","",RANK($FW13,$FW$8:$FW$43,0)+COUNTIF($FW$8:$FW13,$FW13)-1)</f>
        <v>20</v>
      </c>
      <c r="FY13" s="529"/>
      <c r="FZ13" s="922" t="s">
        <v>5474</v>
      </c>
      <c r="GA13" s="922" t="s">
        <v>5475</v>
      </c>
      <c r="GB13" s="922" t="s">
        <v>5476</v>
      </c>
      <c r="GC13" s="922" t="s">
        <v>5477</v>
      </c>
      <c r="GD13" s="922" t="s">
        <v>5478</v>
      </c>
      <c r="GE13" s="922" t="s">
        <v>5479</v>
      </c>
      <c r="GF13" s="923" t="s">
        <v>5480</v>
      </c>
      <c r="GG13" s="529"/>
      <c r="GH13" s="563">
        <f t="shared" si="40"/>
        <v>15574.671178000001</v>
      </c>
      <c r="GI13" s="563">
        <f>IF($C13="","",SUMPRODUCT(('ANALYSE - ERP =&gt; SOUS-SEGMENT'!$C$8:$C$1000=$C13)*'ANALYSE - ERP =&gt; SOUS-SEGMENT'!$Q$8:$Q$1000*'ANALYSE - ERP =&gt; SOUS-SEGMENT'!$GI$8:$GI$1000))</f>
        <v>13091.528948000001</v>
      </c>
      <c r="GJ13" s="563">
        <f>IF($C13="","",SUMPRODUCT(('ANALYSE - ERP =&gt; SOUS-SEGMENT'!$C$8:$C$1000=$C13)*'ANALYSE - ERP =&gt; SOUS-SEGMENT'!$Q$8:$Q$1000*'ANALYSE - ERP =&gt; SOUS-SEGMENT'!$GJ$8:$GJ$1000))</f>
        <v>2483.1422299999999</v>
      </c>
      <c r="GK13" s="563">
        <f t="shared" si="41"/>
        <v>118549.60856581817</v>
      </c>
      <c r="GL13" s="563">
        <f>IF($C13="","",SUMPRODUCT(('ANALYSE - ERP =&gt; SOUS-SEGMENT'!$C$8:$C$1000=$C13)*'ANALYSE - ERP =&gt; SOUS-SEGMENT'!$Q$8:$Q$1000*'ANALYSE - ERP =&gt; SOUS-SEGMENT'!$GL$8:$GL$1000))</f>
        <v>94195.976745818174</v>
      </c>
      <c r="GM13" s="563">
        <f>IF($C13="","",SUMPRODUCT(('ANALYSE - ERP =&gt; SOUS-SEGMENT'!$C$8:$C$1000=$C13)*'ANALYSE - ERP =&gt; SOUS-SEGMENT'!$Q$8:$Q$1000*'ANALYSE - ERP =&gt; SOUS-SEGMENT'!$GM$8:$GM$1000))</f>
        <v>24353.631819999999</v>
      </c>
      <c r="GN13" s="563">
        <f t="shared" si="42"/>
        <v>15434.606239000001</v>
      </c>
      <c r="GO13" s="563">
        <f>IF($C13="","",SUMPRODUCT(('ANALYSE - ERP =&gt; SOUS-SEGMENT'!$C$8:$C$1000=$C13)*'ANALYSE - ERP =&gt; SOUS-SEGMENT'!$Q$8:$Q$1000*'ANALYSE - ERP =&gt; SOUS-SEGMENT'!$GO$8:$GO$1000))</f>
        <v>12515.464089000001</v>
      </c>
      <c r="GP13" s="563">
        <f>IF($C13="","",SUMPRODUCT(('ANALYSE - ERP =&gt; SOUS-SEGMENT'!$C$8:$C$1000=$C13)*'ANALYSE - ERP =&gt; SOUS-SEGMENT'!$Q$8:$Q$1000*'ANALYSE - ERP =&gt; SOUS-SEGMENT'!$GP$8:$GP$1000))</f>
        <v>2919.1421500000001</v>
      </c>
      <c r="GQ13" s="563">
        <f t="shared" si="43"/>
        <v>10157.538229466667</v>
      </c>
      <c r="GR13" s="563">
        <f>IF($C13="","",SUMPRODUCT(('ANALYSE - ERP =&gt; SOUS-SEGMENT'!$C$8:$C$1000=$C13)*'ANALYSE - ERP =&gt; SOUS-SEGMENT'!$Q$8:$Q$1000*'ANALYSE - ERP =&gt; SOUS-SEGMENT'!$GR$8:$GR$1000))</f>
        <v>8258.2244294666671</v>
      </c>
      <c r="GS13" s="563">
        <f>IF($C13="","",SUMPRODUCT(('ANALYSE - ERP =&gt; SOUS-SEGMENT'!$C$8:$C$1000=$C13)*'ANALYSE - ERP =&gt; SOUS-SEGMENT'!$Q$8:$Q$1000*'ANALYSE - ERP =&gt; SOUS-SEGMENT'!$GS$8:$GS$1000))</f>
        <v>1899.3138000000001</v>
      </c>
      <c r="GT13" s="563">
        <f t="shared" si="44"/>
        <v>28495.738655999994</v>
      </c>
      <c r="GU13" s="563">
        <f>IF($C13="","",SUMPRODUCT(('ANALYSE - ERP =&gt; SOUS-SEGMENT'!$C$8:$C$1000=$C13)*'ANALYSE - ERP =&gt; SOUS-SEGMENT'!$Q$8:$Q$1000*'ANALYSE - ERP =&gt; SOUS-SEGMENT'!$GU$8:$GU$1000))</f>
        <v>24761.107835999996</v>
      </c>
      <c r="GV13" s="563">
        <f>IF($C13="","",SUMPRODUCT(('ANALYSE - ERP =&gt; SOUS-SEGMENT'!$C$8:$C$1000=$C13)*'ANALYSE - ERP =&gt; SOUS-SEGMENT'!$Q$8:$Q$1000*'ANALYSE - ERP =&gt; SOUS-SEGMENT'!$GV$8:$GV$1000))</f>
        <v>3734.6308199999994</v>
      </c>
      <c r="GW13" s="563">
        <f t="shared" si="45"/>
        <v>149664.86190599998</v>
      </c>
      <c r="GX13" s="563">
        <f>IF($C13="","",SUMPRODUCT(('ANALYSE - ERP =&gt; SOUS-SEGMENT'!$C$8:$C$1000=$C13)*'ANALYSE - ERP =&gt; SOUS-SEGMENT'!$Q$8:$Q$1000*'ANALYSE - ERP =&gt; SOUS-SEGMENT'!$GX$8:$GX$1000))</f>
        <v>125049.40532399999</v>
      </c>
      <c r="GY13" s="563">
        <f>IF($C13="","",SUMPRODUCT(('ANALYSE - ERP =&gt; SOUS-SEGMENT'!$C$8:$C$1000=$C13)*'ANALYSE - ERP =&gt; SOUS-SEGMENT'!$Q$8:$Q$1000*'ANALYSE - ERP =&gt; SOUS-SEGMENT'!$GY$8:$GY$1000))</f>
        <v>24615.456581999995</v>
      </c>
      <c r="GZ13" s="563">
        <f t="shared" si="46"/>
        <v>11244.277088124998</v>
      </c>
      <c r="HA13" s="563">
        <f>IF($C13="","",SUMPRODUCT(('ANALYSE - ERP =&gt; SOUS-SEGMENT'!$C$8:$C$1000=$C13)*'ANALYSE - ERP =&gt; SOUS-SEGMENT'!$Q$8:$Q$1000*'ANALYSE - ERP =&gt; SOUS-SEGMENT'!$HA$8:$HA$1000))</f>
        <v>9342.8825901249984</v>
      </c>
      <c r="HB13" s="563">
        <f>IF($C13="","",SUMPRODUCT(('ANALYSE - ERP =&gt; SOUS-SEGMENT'!$C$8:$C$1000=$C13)*'ANALYSE - ERP =&gt; SOUS-SEGMENT'!$Q$8:$Q$1000*'ANALYSE - ERP =&gt; SOUS-SEGMENT'!$HB$8:$HB$1000))</f>
        <v>1901.3944980000001</v>
      </c>
      <c r="HC13" s="563">
        <f t="shared" si="47"/>
        <v>2546.4637942499999</v>
      </c>
      <c r="HD13" s="563">
        <f>IF($C13="","",SUMPRODUCT(('ANALYSE - ERP =&gt; SOUS-SEGMENT'!$C$8:$C$1000=$C13)*'ANALYSE - ERP =&gt; SOUS-SEGMENT'!$Q$8:$Q$1000*'ANALYSE - ERP =&gt; SOUS-SEGMENT'!$HD$8:$HD$1000))</f>
        <v>2222.3639822499999</v>
      </c>
      <c r="HE13" s="563">
        <f>IF($C13="","",SUMPRODUCT(('ANALYSE - ERP =&gt; SOUS-SEGMENT'!$C$8:$C$1000=$C13)*'ANALYSE - ERP =&gt; SOUS-SEGMENT'!$Q$8:$Q$1000*'ANALYSE - ERP =&gt; SOUS-SEGMENT'!$HE$8:$HE$1000))</f>
        <v>324.09981199999993</v>
      </c>
      <c r="HF13" s="563">
        <f t="shared" si="48"/>
        <v>26350.598960000003</v>
      </c>
      <c r="HG13" s="563">
        <f>IF($C13="","",SUMPRODUCT(('ANALYSE - ERP =&gt; SOUS-SEGMENT'!$C$8:$C$1000=$C13)*'ANALYSE - ERP =&gt; SOUS-SEGMENT'!$Q$8:$Q$1000*'ANALYSE - ERP =&gt; SOUS-SEGMENT'!$HG$8:$HG$1000))</f>
        <v>21189.437680000003</v>
      </c>
      <c r="HH13" s="563">
        <f>IF($C13="","",SUMPRODUCT(('ANALYSE - ERP =&gt; SOUS-SEGMENT'!$C$8:$C$1000=$C13)*'ANALYSE - ERP =&gt; SOUS-SEGMENT'!$Q$8:$Q$1000*'ANALYSE - ERP =&gt; SOUS-SEGMENT'!$HH$8:$HH$1000))</f>
        <v>5161.1612799999994</v>
      </c>
      <c r="HI13" s="563">
        <f t="shared" si="49"/>
        <v>5828.9353275357153</v>
      </c>
      <c r="HJ13" s="563">
        <f>IF($C13="","",SUMPRODUCT(('ANALYSE - ERP =&gt; SOUS-SEGMENT'!$C$8:$C$1000=$C13)*'ANALYSE - ERP =&gt; SOUS-SEGMENT'!$Q$8:$Q$1000*'ANALYSE - ERP =&gt; SOUS-SEGMENT'!$HJ$8:$HJ$1000))</f>
        <v>4831.007205535715</v>
      </c>
      <c r="HK13" s="563">
        <f>IF($C13="","",SUMPRODUCT(('ANALYSE - ERP =&gt; SOUS-SEGMENT'!$C$8:$C$1000=$C13)*'ANALYSE - ERP =&gt; SOUS-SEGMENT'!$Q$8:$Q$1000*'ANALYSE - ERP =&gt; SOUS-SEGMENT'!$HK$8:$HK$1000))</f>
        <v>997.92812199999992</v>
      </c>
      <c r="HL13" s="563">
        <f t="shared" si="50"/>
        <v>16948.910327777776</v>
      </c>
      <c r="HM13" s="563">
        <f>IF($C13="","",SUMPRODUCT(('ANALYSE - ERP =&gt; SOUS-SEGMENT'!$C$8:$C$1000=$C13)*'ANALYSE - ERP =&gt; SOUS-SEGMENT'!$Q$8:$Q$1000*'ANALYSE - ERP =&gt; SOUS-SEGMENT'!$HM$8:$HM$1000))</f>
        <v>14048.169941777776</v>
      </c>
      <c r="HN13" s="563">
        <f>IF($C13="","",SUMPRODUCT(('ANALYSE - ERP =&gt; SOUS-SEGMENT'!$C$8:$C$1000=$C13)*'ANALYSE - ERP =&gt; SOUS-SEGMENT'!$Q$8:$Q$1000*'ANALYSE - ERP =&gt; SOUS-SEGMENT'!$HN$8:$HN$1000))</f>
        <v>2900.7403859999995</v>
      </c>
      <c r="HO13" s="563">
        <f t="shared" si="51"/>
        <v>34361.368201944446</v>
      </c>
      <c r="HP13" s="563">
        <f>IF($C13="","",SUMPRODUCT(('ANALYSE - ERP =&gt; SOUS-SEGMENT'!$C$8:$C$1000=$C13)*'ANALYSE - ERP =&gt; SOUS-SEGMENT'!$Q$8:$Q$1000*'ANALYSE - ERP =&gt; SOUS-SEGMENT'!$HP$8:$HP$1000))</f>
        <v>30239.529691944444</v>
      </c>
      <c r="HQ13" s="563">
        <f>IF($C13="","",SUMPRODUCT(('ANALYSE - ERP =&gt; SOUS-SEGMENT'!$C$8:$C$1000=$C13)*'ANALYSE - ERP =&gt; SOUS-SEGMENT'!$Q$8:$Q$1000*'ANALYSE - ERP =&gt; SOUS-SEGMENT'!$HQ$8:$HQ$1000))</f>
        <v>4121.8385100000005</v>
      </c>
      <c r="HR13" s="563">
        <f t="shared" si="52"/>
        <v>79376.579945666686</v>
      </c>
      <c r="HS13" s="563">
        <f>IF($C13="","",SUMPRODUCT(('ANALYSE - ERP =&gt; SOUS-SEGMENT'!$C$8:$C$1000=$C13)*'ANALYSE - ERP =&gt; SOUS-SEGMENT'!$Q$8:$Q$1000*'ANALYSE - ERP =&gt; SOUS-SEGMENT'!$HS$8:$HS$1000))</f>
        <v>62042.72027166668</v>
      </c>
      <c r="HT13" s="563">
        <f>IF($C13="","",SUMPRODUCT(('ANALYSE - ERP =&gt; SOUS-SEGMENT'!$C$8:$C$1000=$C13)*'ANALYSE - ERP =&gt; SOUS-SEGMENT'!$Q$8:$Q$1000*'ANALYSE - ERP =&gt; SOUS-SEGMENT'!$HT$8:$HT$1000))</f>
        <v>17333.859674000003</v>
      </c>
      <c r="HU13" s="563">
        <f t="shared" si="53"/>
        <v>35011.056710722223</v>
      </c>
      <c r="HV13" s="563">
        <f>IF($C13="","",SUMPRODUCT(('ANALYSE - ERP =&gt; SOUS-SEGMENT'!$C$8:$C$1000=$C13)*'ANALYSE - ERP =&gt; SOUS-SEGMENT'!$Q$8:$Q$1000*'ANALYSE - ERP =&gt; SOUS-SEGMENT'!$HV$8:$HV$1000))</f>
        <v>27736.78009472222</v>
      </c>
      <c r="HW13" s="563">
        <f>IF($C13="","",SUMPRODUCT(('ANALYSE - ERP =&gt; SOUS-SEGMENT'!$C$8:$C$1000=$C13)*'ANALYSE - ERP =&gt; SOUS-SEGMENT'!$Q$8:$Q$1000*'ANALYSE - ERP =&gt; SOUS-SEGMENT'!$HW$8:$HW$1000))</f>
        <v>7274.2766160000001</v>
      </c>
      <c r="HX13" s="544"/>
      <c r="HY13" s="568">
        <f t="shared" si="54"/>
        <v>1067871.7220000001</v>
      </c>
      <c r="HZ13" s="568">
        <f>IF($C13="","",SUMPRODUCT(('ANALYSE - ERP =&gt; SOUS-SEGMENT'!$C$8:$C$1000=$C13)*'ANALYSE - ERP =&gt; SOUS-SEGMENT'!$Q$8:$Q$1000*'ANALYSE - ERP =&gt; SOUS-SEGMENT'!$HZ$8:$HZ$1000))</f>
        <v>158917.56199999998</v>
      </c>
      <c r="IA13" s="568">
        <f>IF($C13="","",SUMPRODUCT(('ANALYSE - ERP =&gt; SOUS-SEGMENT'!$C$8:$C$1000=$C13)*'ANALYSE - ERP =&gt; SOUS-SEGMENT'!$Q$8:$Q$1000*'ANALYSE - ERP =&gt; SOUS-SEGMENT'!$IA$8:$IA$1000))</f>
        <v>595361.17099999997</v>
      </c>
      <c r="IB13" s="568">
        <f>IF($C13="","",SUMPRODUCT(('ANALYSE - ERP =&gt; SOUS-SEGMENT'!$C$8:$C$1000=$C13)*'ANALYSE - ERP =&gt; SOUS-SEGMENT'!$Q$8:$Q$1000*'ANALYSE - ERP =&gt; SOUS-SEGMENT'!$IB$8:$IB$1000))</f>
        <v>286195.84399999998</v>
      </c>
      <c r="IC13" s="568">
        <f>IF($C13="","",SUMPRODUCT(('ANALYSE - ERP =&gt; SOUS-SEGMENT'!$C$8:$C$1000=$C13)*'ANALYSE - ERP =&gt; SOUS-SEGMENT'!$Q$8:$Q$1000*'ANALYSE - ERP =&gt; SOUS-SEGMENT'!$IC$8:$IC$1000))</f>
        <v>27397.145</v>
      </c>
      <c r="ID13" s="568">
        <f>IF($C13="","",SUMPRODUCT(('ANALYSE - ERP =&gt; SOUS-SEGMENT'!$C$8:$C$1000=$C13)*'ANALYSE - ERP =&gt; SOUS-SEGMENT'!$Q$8:$Q$1000*'ANALYSE - ERP =&gt; SOUS-SEGMENT'!$ID$8:$ID$1000))</f>
        <v>0</v>
      </c>
      <c r="IE13" s="568">
        <f t="shared" si="55"/>
        <v>449524.59883030673</v>
      </c>
      <c r="IF13" s="568">
        <f>IF($C13="","",SUMPRODUCT(('ANALYSE - ERP =&gt; SOUS-SEGMENT'!$C$8:$C$1000=$C13)*'ANALYSE - ERP =&gt; SOUS-SEGMENT'!$Q$8:$Q$1000*'ANALYSE - ERP =&gt; SOUS-SEGMENT'!$IF$8:$IF$1000))</f>
        <v>54118.882546445799</v>
      </c>
      <c r="IG13" s="568">
        <f>IF($C13="","",SUMPRODUCT(('ANALYSE - ERP =&gt; SOUS-SEGMENT'!$C$8:$C$1000=$C13)*'ANALYSE - ERP =&gt; SOUS-SEGMENT'!$Q$8:$Q$1000*'ANALYSE - ERP =&gt; SOUS-SEGMENT'!$IG$8:$IG$1000))</f>
        <v>234834.1755954382</v>
      </c>
      <c r="IH13" s="568">
        <f>IF($C13="","",SUMPRODUCT(('ANALYSE - ERP =&gt; SOUS-SEGMENT'!$C$8:$C$1000=$C13)*'ANALYSE - ERP =&gt; SOUS-SEGMENT'!$Q$8:$Q$1000*'ANALYSE - ERP =&gt; SOUS-SEGMENT'!$IH$8:$IH$1000))</f>
        <v>138869.45336098108</v>
      </c>
      <c r="II13" s="568">
        <f>IF($C13="","",SUMPRODUCT(('ANALYSE - ERP =&gt; SOUS-SEGMENT'!$C$8:$C$1000=$C13)*'ANALYSE - ERP =&gt; SOUS-SEGMENT'!$Q$8:$Q$1000*'ANALYSE - ERP =&gt; SOUS-SEGMENT'!$II$8:$II$1000))</f>
        <v>20161.238640296375</v>
      </c>
      <c r="IJ13" s="568">
        <f>IF($C13="","",SUMPRODUCT(('ANALYSE - ERP =&gt; SOUS-SEGMENT'!$C$8:$C$1000=$C13)*'ANALYSE - ERP =&gt; SOUS-SEGMENT'!$Q$8:$Q$1000*'ANALYSE - ERP =&gt; SOUS-SEGMENT'!$IJ$8:$IJ$1000))</f>
        <v>1540.848687145291</v>
      </c>
      <c r="IK13" s="868">
        <f>IF($C13="","",IFERROR(SUMPRODUCT(('ANALYSE - ERP =&gt; SOUS-SEGMENT'!$C$8:$C$1000=$C13)*'ANALYSE - ERP =&gt; SOUS-SEGMENT'!$Q$8:$Q$1000*'ANALYSE - ERP =&gt; SOUS-SEGMENT'!$IE$8:$IE$1000*'ANALYSE - ERP =&gt; SOUS-SEGMENT'!$IK$8:$IK$1000)/SUMPRODUCT(('ANALYSE - ERP =&gt; SOUS-SEGMENT'!$C$8:$C$1000=$C13)*'ANALYSE - ERP =&gt; SOUS-SEGMENT'!$Q$8:$Q$1000*'ANALYSE - ERP =&gt; SOUS-SEGMENT'!$IE$8:$IE$1000),""))</f>
        <v>4.1230499380101548</v>
      </c>
      <c r="IL13" s="962" t="s">
        <v>5481</v>
      </c>
      <c r="IM13" s="963" t="s">
        <v>5482</v>
      </c>
      <c r="IN13" s="529"/>
      <c r="IO13" s="742">
        <f>IF($C13="","",IFERROR(SUMPRODUCT(('ANALYSE - ERP =&gt; SOUS-SEGMENT'!$C$8:$C$1000=$C13)*'ANALYSE - ERP =&gt; SOUS-SEGMENT'!$Q$8:$Q$1000*'ANALYSE - ERP =&gt; SOUS-SEGMENT'!$BE$8:$BE$1000*'ANALYSE - ERP =&gt; SOUS-SEGMENT'!$IO$8:$IO$1000)/SUMPRODUCT(('ANALYSE - ERP =&gt; SOUS-SEGMENT'!$C$8:$C$1000=$C13)*'ANALYSE - ERP =&gt; SOUS-SEGMENT'!$Q$8:$Q$1000*'ANALYSE - ERP =&gt; SOUS-SEGMENT'!$BE$8:$BE$1000),""))</f>
        <v>0.13584927238618272</v>
      </c>
      <c r="IP13" s="742">
        <f>IF($C13="","",IFERROR(SUMPRODUCT(('ANALYSE - ERP =&gt; SOUS-SEGMENT'!$C$8:$C$1000=$C13)*'ANALYSE - ERP =&gt; SOUS-SEGMENT'!$Q$8:$Q$1000*'ANALYSE - ERP =&gt; SOUS-SEGMENT'!$BE$8:$BE$1000*'ANALYSE - ERP =&gt; SOUS-SEGMENT'!$IP$8:$IP$1000)/SUMPRODUCT(('ANALYSE - ERP =&gt; SOUS-SEGMENT'!$C$8:$C$1000=$C13)*'ANALYSE - ERP =&gt; SOUS-SEGMENT'!$Q$8:$Q$1000*'ANALYSE - ERP =&gt; SOUS-SEGMENT'!$BE$8:$BE$1000),""))</f>
        <v>0.54839328725211123</v>
      </c>
      <c r="IQ13" s="742">
        <f>IF($C13="","",IFERROR(SUMPRODUCT(('ANALYSE - ERP =&gt; SOUS-SEGMENT'!$C$8:$C$1000=$C13)*'ANALYSE - ERP =&gt; SOUS-SEGMENT'!$Q$8:$Q$1000*'ANALYSE - ERP =&gt; SOUS-SEGMENT'!$BE$8:$BE$1000*'ANALYSE - ERP =&gt; SOUS-SEGMENT'!$IQ$8:$IQ$1000)/SUMPRODUCT(('ANALYSE - ERP =&gt; SOUS-SEGMENT'!$C$8:$C$1000=$C13)*'ANALYSE - ERP =&gt; SOUS-SEGMENT'!$Q$8:$Q$1000*'ANALYSE - ERP =&gt; SOUS-SEGMENT'!$BE$8:$BE$1000),""))</f>
        <v>0.28920138539564555</v>
      </c>
      <c r="IR13" s="742">
        <f>IF($C13="","",IFERROR(SUMPRODUCT(('ANALYSE - ERP =&gt; SOUS-SEGMENT'!$C$8:$C$1000=$C13)*'ANALYSE - ERP =&gt; SOUS-SEGMENT'!$Q$8:$Q$1000*'ANALYSE - ERP =&gt; SOUS-SEGMENT'!$BE$8:$BE$1000*'ANALYSE - ERP =&gt; SOUS-SEGMENT'!$IR$8:$IR$1000)/SUMPRODUCT(('ANALYSE - ERP =&gt; SOUS-SEGMENT'!$C$8:$C$1000=$C13)*'ANALYSE - ERP =&gt; SOUS-SEGMENT'!$Q$8:$Q$1000*'ANALYSE - ERP =&gt; SOUS-SEGMENT'!$BE$8:$BE$1000),""))</f>
        <v>2.655605496606047E-2</v>
      </c>
      <c r="IS13" s="742">
        <f>IF($C13="","",IFERROR(SUMPRODUCT(('ANALYSE - ERP =&gt; SOUS-SEGMENT'!$C$8:$C$1000=$C13)*'ANALYSE - ERP =&gt; SOUS-SEGMENT'!$Q$8:$Q$1000*'ANALYSE - ERP =&gt; SOUS-SEGMENT'!$BE$8:$BE$1000*'ANALYSE - ERP =&gt; SOUS-SEGMENT'!$IS$8:$IS$1000)/SUMPRODUCT(('ANALYSE - ERP =&gt; SOUS-SEGMENT'!$C$8:$C$1000=$C13)*'ANALYSE - ERP =&gt; SOUS-SEGMENT'!$Q$8:$Q$1000*'ANALYSE - ERP =&gt; SOUS-SEGMENT'!$BE$8:$BE$1000),""))</f>
        <v>0</v>
      </c>
      <c r="IT13" s="742">
        <f>IF($C13="","",IFERROR(SUMPRODUCT(('ANALYSE - ERP =&gt; SOUS-SEGMENT'!$C$8:$C$1000=$C13)*'ANALYSE - ERP =&gt; SOUS-SEGMENT'!$Q$8:$Q$1000*'ANALYSE - ERP =&gt; SOUS-SEGMENT'!$FB$8:$FB$1000*'ANALYSE - ERP =&gt; SOUS-SEGMENT'!$IT$8:$IT$1000)/SUMPRODUCT(('ANALYSE - ERP =&gt; SOUS-SEGMENT'!$C$8:$C$1000=$C13)*'ANALYSE - ERP =&gt; SOUS-SEGMENT'!$Q$8:$Q$1000*'ANALYSE - ERP =&gt; SOUS-SEGMENT'!$FB$8:$FB$1000),""))</f>
        <v>0.1104510668940486</v>
      </c>
      <c r="IU13" s="742">
        <f>IF($C13="","",IFERROR(SUMPRODUCT(('ANALYSE - ERP =&gt; SOUS-SEGMENT'!$C$8:$C$1000=$C13)*'ANALYSE - ERP =&gt; SOUS-SEGMENT'!$Q$8:$Q$1000*'ANALYSE - ERP =&gt; SOUS-SEGMENT'!$FB$8:$FB$1000*'ANALYSE - ERP =&gt; SOUS-SEGMENT'!$IU$8:$IU$1000)/SUMPRODUCT(('ANALYSE - ERP =&gt; SOUS-SEGMENT'!$C$8:$C$1000=$C13)*'ANALYSE - ERP =&gt; SOUS-SEGMENT'!$Q$8:$Q$1000*'ANALYSE - ERP =&gt; SOUS-SEGMENT'!$FB$8:$FB$1000),""))</f>
        <v>0.50702413376797562</v>
      </c>
      <c r="IV13" s="742">
        <f>IF($C13="","",IFERROR(SUMPRODUCT(('ANALYSE - ERP =&gt; SOUS-SEGMENT'!$C$8:$C$1000=$C13)*'ANALYSE - ERP =&gt; SOUS-SEGMENT'!$Q$8:$Q$1000*'ANALYSE - ERP =&gt; SOUS-SEGMENT'!$FB$8:$FB$1000*'ANALYSE - ERP =&gt; SOUS-SEGMENT'!$IV$8:$IV$1000)/SUMPRODUCT(('ANALYSE - ERP =&gt; SOUS-SEGMENT'!$C$8:$C$1000=$C13)*'ANALYSE - ERP =&gt; SOUS-SEGMENT'!$Q$8:$Q$1000*'ANALYSE - ERP =&gt; SOUS-SEGMENT'!$FB$8:$FB$1000),""))</f>
        <v>0.33046240369948965</v>
      </c>
      <c r="IW13" s="742">
        <f>IF($C13="","",IFERROR(SUMPRODUCT(('ANALYSE - ERP =&gt; SOUS-SEGMENT'!$C$8:$C$1000=$C13)*'ANALYSE - ERP =&gt; SOUS-SEGMENT'!$Q$8:$Q$1000*'ANALYSE - ERP =&gt; SOUS-SEGMENT'!$FB$8:$FB$1000*'ANALYSE - ERP =&gt; SOUS-SEGMENT'!$IW$8:$IW$1000)/SUMPRODUCT(('ANALYSE - ERP =&gt; SOUS-SEGMENT'!$C$8:$C$1000=$C13)*'ANALYSE - ERP =&gt; SOUS-SEGMENT'!$Q$8:$Q$1000*'ANALYSE - ERP =&gt; SOUS-SEGMENT'!$FB$8:$FB$1000),""))</f>
        <v>4.8662887594779873E-2</v>
      </c>
      <c r="IX13" s="742">
        <f>IF($C13="","",IFERROR(SUMPRODUCT(('ANALYSE - ERP =&gt; SOUS-SEGMENT'!$C$8:$C$1000=$C13)*'ANALYSE - ERP =&gt; SOUS-SEGMENT'!$Q$8:$Q$1000*'ANALYSE - ERP =&gt; SOUS-SEGMENT'!$FB$8:$FB$1000*'ANALYSE - ERP =&gt; SOUS-SEGMENT'!$IX$8:$IX$1000)/SUMPRODUCT(('ANALYSE - ERP =&gt; SOUS-SEGMENT'!$C$8:$C$1000=$C13)*'ANALYSE - ERP =&gt; SOUS-SEGMENT'!$Q$8:$Q$1000*'ANALYSE - ERP =&gt; SOUS-SEGMENT'!$FB$8:$FB$1000),""))</f>
        <v>3.3995080437061098E-3</v>
      </c>
      <c r="IY13" s="742">
        <f>IF($C13="","",IFERROR(SUMPRODUCT(('ANALYSE - ERP =&gt; SOUS-SEGMENT'!$C$8:$C$1000=$C13)*'ANALYSE - ERP =&gt; SOUS-SEGMENT'!$Q$8:$Q$1000*'ANALYSE - ERP =&gt; SOUS-SEGMENT'!$BF$8:$BF$1000*'ANALYSE - ERP =&gt; SOUS-SEGMENT'!$IY$8:$IY$1000)/SUMPRODUCT(('ANALYSE - ERP =&gt; SOUS-SEGMENT'!$C$8:$C$1000=$C13)*'ANALYSE - ERP =&gt; SOUS-SEGMENT'!$Q$8:$Q$1000*'ANALYSE - ERP =&gt; SOUS-SEGMENT'!$BF$8:$BF$1000),""))</f>
        <v>0.14839451781326782</v>
      </c>
      <c r="IZ13" s="742">
        <f>IF($C13="","",IFERROR(SUMPRODUCT(('ANALYSE - ERP =&gt; SOUS-SEGMENT'!$C$8:$C$1000=$C13)*'ANALYSE - ERP =&gt; SOUS-SEGMENT'!$Q$8:$Q$1000*'ANALYSE - ERP =&gt; SOUS-SEGMENT'!$BF$8:$BF$1000*'ANALYSE - ERP =&gt; SOUS-SEGMENT'!$IZ$8:$IZ$1000)/SUMPRODUCT(('ANALYSE - ERP =&gt; SOUS-SEGMENT'!$C$8:$C$1000=$C13)*'ANALYSE - ERP =&gt; SOUS-SEGMENT'!$Q$8:$Q$1000*'ANALYSE - ERP =&gt; SOUS-SEGMENT'!$BF$8:$BF$1000),""))</f>
        <v>0.55041161855036846</v>
      </c>
      <c r="JA13" s="742">
        <f>IF($C13="","",IFERROR(SUMPRODUCT(('ANALYSE - ERP =&gt; SOUS-SEGMENT'!$C$8:$C$1000=$C13)*'ANALYSE - ERP =&gt; SOUS-SEGMENT'!$Q$8:$Q$1000*'ANALYSE - ERP =&gt; SOUS-SEGMENT'!$BF$8:$BF$1000*'ANALYSE - ERP =&gt; SOUS-SEGMENT'!$JA$8:$JA$1000)/SUMPRODUCT(('ANALYSE - ERP =&gt; SOUS-SEGMENT'!$C$8:$C$1000=$C13)*'ANALYSE - ERP =&gt; SOUS-SEGMENT'!$Q$8:$Q$1000*'ANALYSE - ERP =&gt; SOUS-SEGMENT'!$BF$8:$BF$1000),""))</f>
        <v>0.26854129606879601</v>
      </c>
      <c r="JB13" s="742">
        <f>IF($C13="","",IFERROR(SUMPRODUCT(('ANALYSE - ERP =&gt; SOUS-SEGMENT'!$C$8:$C$1000=$C13)*'ANALYSE - ERP =&gt; SOUS-SEGMENT'!$Q$8:$Q$1000*'ANALYSE - ERP =&gt; SOUS-SEGMENT'!$BF$8:$BF$1000*'ANALYSE - ERP =&gt; SOUS-SEGMENT'!$JB$8:$JB$1000)/SUMPRODUCT(('ANALYSE - ERP =&gt; SOUS-SEGMENT'!$C$8:$C$1000=$C13)*'ANALYSE - ERP =&gt; SOUS-SEGMENT'!$Q$8:$Q$1000*'ANALYSE - ERP =&gt; SOUS-SEGMENT'!$BF$8:$BF$1000),""))</f>
        <v>3.2652567567567563E-2</v>
      </c>
      <c r="JC13" s="742">
        <f>IF($C13="","",IFERROR(SUMPRODUCT(('ANALYSE - ERP =&gt; SOUS-SEGMENT'!$C$8:$C$1000=$C13)*'ANALYSE - ERP =&gt; SOUS-SEGMENT'!$Q$8:$Q$1000*'ANALYSE - ERP =&gt; SOUS-SEGMENT'!$BF$8:$BF$1000*'ANALYSE - ERP =&gt; SOUS-SEGMENT'!$JC$8:$JC$1000)/SUMPRODUCT(('ANALYSE - ERP =&gt; SOUS-SEGMENT'!$C$8:$C$1000=$C13)*'ANALYSE - ERP =&gt; SOUS-SEGMENT'!$Q$8:$Q$1000*'ANALYSE - ERP =&gt; SOUS-SEGMENT'!$BF$8:$BF$1000),""))</f>
        <v>0</v>
      </c>
      <c r="JD13" s="742">
        <f>IF($C13="","",IFERROR(SUMPRODUCT(('ANALYSE - ERP =&gt; SOUS-SEGMENT'!$C$8:$C$1000=$C13)*'ANALYSE - ERP =&gt; SOUS-SEGMENT'!$Q$8:$Q$1000*'ANALYSE - ERP =&gt; SOUS-SEGMENT'!$FE$8:$FE$1000*'ANALYSE - ERP =&gt; SOUS-SEGMENT'!$JD$8:$JD$1000)/SUMPRODUCT(('ANALYSE - ERP =&gt; SOUS-SEGMENT'!$C$8:$C$1000=$C13)*'ANALYSE - ERP =&gt; SOUS-SEGMENT'!$Q$8:$Q$1000*'ANALYSE - ERP =&gt; SOUS-SEGMENT'!$FE$8:$FE$1000),""))</f>
        <v>0.11561467892497235</v>
      </c>
      <c r="JE13" s="742">
        <f>IF($C13="","",IFERROR(SUMPRODUCT(('ANALYSE - ERP =&gt; SOUS-SEGMENT'!$C$8:$C$1000=$C13)*'ANALYSE - ERP =&gt; SOUS-SEGMENT'!$Q$8:$Q$1000*'ANALYSE - ERP =&gt; SOUS-SEGMENT'!$FE$8:$FE$1000*'ANALYSE - ERP =&gt; SOUS-SEGMENT'!$JE$8:$JE$1000)/SUMPRODUCT(('ANALYSE - ERP =&gt; SOUS-SEGMENT'!$C$8:$C$1000=$C13)*'ANALYSE - ERP =&gt; SOUS-SEGMENT'!$Q$8:$Q$1000*'ANALYSE - ERP =&gt; SOUS-SEGMENT'!$FE$8:$FE$1000),""))</f>
        <v>0.52330234092890071</v>
      </c>
      <c r="JF13" s="742">
        <f>IF($C13="","",IFERROR(SUMPRODUCT(('ANALYSE - ERP =&gt; SOUS-SEGMENT'!$C$8:$C$1000=$C13)*'ANALYSE - ERP =&gt; SOUS-SEGMENT'!$Q$8:$Q$1000*'ANALYSE - ERP =&gt; SOUS-SEGMENT'!$FE$8:$FE$1000*'ANALYSE - ERP =&gt; SOUS-SEGMENT'!$JF$8:$JF$1000)/SUMPRODUCT(('ANALYSE - ERP =&gt; SOUS-SEGMENT'!$C$8:$C$1000=$C13)*'ANALYSE - ERP =&gt; SOUS-SEGMENT'!$Q$8:$Q$1000*'ANALYSE - ERP =&gt; SOUS-SEGMENT'!$FE$8:$FE$1000),""))</f>
        <v>0.30713403450779181</v>
      </c>
      <c r="JG13" s="742">
        <f>IF($C13="","",IFERROR(SUMPRODUCT(('ANALYSE - ERP =&gt; SOUS-SEGMENT'!$C$8:$C$1000=$C13)*'ANALYSE - ERP =&gt; SOUS-SEGMENT'!$Q$8:$Q$1000*'ANALYSE - ERP =&gt; SOUS-SEGMENT'!$FE$8:$FE$1000*'ANALYSE - ERP =&gt; SOUS-SEGMENT'!$JG$8:$JG$1000)/SUMPRODUCT(('ANALYSE - ERP =&gt; SOUS-SEGMENT'!$C$8:$C$1000=$C13)*'ANALYSE - ERP =&gt; SOUS-SEGMENT'!$Q$8:$Q$1000*'ANALYSE - ERP =&gt; SOUS-SEGMENT'!$FE$8:$FE$1000),""))</f>
        <v>5.0377745569905021E-2</v>
      </c>
      <c r="JH13" s="742">
        <f>IF($C13="","",IFERROR(SUMPRODUCT(('ANALYSE - ERP =&gt; SOUS-SEGMENT'!$C$8:$C$1000=$C13)*'ANALYSE - ERP =&gt; SOUS-SEGMENT'!$Q$8:$Q$1000*'ANALYSE - ERP =&gt; SOUS-SEGMENT'!$FE$8:$FE$1000*'ANALYSE - ERP =&gt; SOUS-SEGMENT'!$JH$8:$JH$1000)/SUMPRODUCT(('ANALYSE - ERP =&gt; SOUS-SEGMENT'!$C$8:$C$1000=$C13)*'ANALYSE - ERP =&gt; SOUS-SEGMENT'!$Q$8:$Q$1000*'ANALYSE - ERP =&gt; SOUS-SEGMENT'!$FE$8:$FE$1000),""))</f>
        <v>3.5712000684302316E-3</v>
      </c>
      <c r="JI13" s="742">
        <f>IF($C13="","",IFERROR(SUMPRODUCT(('ANALYSE - ERP =&gt; SOUS-SEGMENT'!$C$8:$C$1000=$C13)*'ANALYSE - ERP =&gt; SOUS-SEGMENT'!$Q$8:$Q$1000*'ANALYSE - ERP =&gt; SOUS-SEGMENT'!$BG$8:$BG$1000*'ANALYSE - ERP =&gt; SOUS-SEGMENT'!$JI$8:$JI$1000)/SUMPRODUCT(('ANALYSE - ERP =&gt; SOUS-SEGMENT'!$C$8:$C$1000=$C13)*'ANALYSE - ERP =&gt; SOUS-SEGMENT'!$Q$8:$Q$1000*'ANALYSE - ERP =&gt; SOUS-SEGMENT'!$BG$8:$BG$1000),""))</f>
        <v>0.1999750721409406</v>
      </c>
      <c r="JJ13" s="742">
        <f>IF($C13="","",IFERROR(SUMPRODUCT(('ANALYSE - ERP =&gt; SOUS-SEGMENT'!$C$8:$C$1000=$C13)*'ANALYSE - ERP =&gt; SOUS-SEGMENT'!$Q$8:$Q$1000*'ANALYSE - ERP =&gt; SOUS-SEGMENT'!$BG$8:$BG$1000*'ANALYSE - ERP =&gt; SOUS-SEGMENT'!$JJ$8:$JJ$1000)/SUMPRODUCT(('ANALYSE - ERP =&gt; SOUS-SEGMENT'!$C$8:$C$1000=$C13)*'ANALYSE - ERP =&gt; SOUS-SEGMENT'!$Q$8:$Q$1000*'ANALYSE - ERP =&gt; SOUS-SEGMENT'!$BG$8:$BG$1000),""))</f>
        <v>0.60063222801599758</v>
      </c>
      <c r="JK13" s="742">
        <f>IF($C13="","",IFERROR(SUMPRODUCT(('ANALYSE - ERP =&gt; SOUS-SEGMENT'!$C$8:$C$1000=$C13)*'ANALYSE - ERP =&gt; SOUS-SEGMENT'!$Q$8:$Q$1000*'ANALYSE - ERP =&gt; SOUS-SEGMENT'!$BG$8:$BG$1000*'ANALYSE - ERP =&gt; SOUS-SEGMENT'!$JK$8:$JK$1000)/SUMPRODUCT(('ANALYSE - ERP =&gt; SOUS-SEGMENT'!$C$8:$C$1000=$C13)*'ANALYSE - ERP =&gt; SOUS-SEGMENT'!$Q$8:$Q$1000*'ANALYSE - ERP =&gt; SOUS-SEGMENT'!$BG$8:$BG$1000),""))</f>
        <v>0.18685559661823523</v>
      </c>
      <c r="JL13" s="742">
        <f>IF($C13="","",IFERROR(SUMPRODUCT(('ANALYSE - ERP =&gt; SOUS-SEGMENT'!$C$8:$C$1000=$C13)*'ANALYSE - ERP =&gt; SOUS-SEGMENT'!$Q$8:$Q$1000*'ANALYSE - ERP =&gt; SOUS-SEGMENT'!$BG$8:$BG$1000*'ANALYSE - ERP =&gt; SOUS-SEGMENT'!$JL$8:$JL$1000)/SUMPRODUCT(('ANALYSE - ERP =&gt; SOUS-SEGMENT'!$C$8:$C$1000=$C13)*'ANALYSE - ERP =&gt; SOUS-SEGMENT'!$Q$8:$Q$1000*'ANALYSE - ERP =&gt; SOUS-SEGMENT'!$BG$8:$BG$1000),""))</f>
        <v>1.253710322482661E-2</v>
      </c>
      <c r="JM13" s="742">
        <f>IF($C13="","",IFERROR(SUMPRODUCT(('ANALYSE - ERP =&gt; SOUS-SEGMENT'!$C$8:$C$1000=$C13)*'ANALYSE - ERP =&gt; SOUS-SEGMENT'!$Q$8:$Q$1000*'ANALYSE - ERP =&gt; SOUS-SEGMENT'!$BG$8:$BG$1000*'ANALYSE - ERP =&gt; SOUS-SEGMENT'!$JM$8:$JM$1000)/SUMPRODUCT(('ANALYSE - ERP =&gt; SOUS-SEGMENT'!$C$8:$C$1000=$C13)*'ANALYSE - ERP =&gt; SOUS-SEGMENT'!$Q$8:$Q$1000*'ANALYSE - ERP =&gt; SOUS-SEGMENT'!$BG$8:$BG$1000),""))</f>
        <v>0</v>
      </c>
      <c r="JN13" s="742">
        <f>IF($C13="","",IFERROR(SUMPRODUCT(('ANALYSE - ERP =&gt; SOUS-SEGMENT'!$C$8:$C$1000=$C13)*'ANALYSE - ERP =&gt; SOUS-SEGMENT'!$Q$8:$Q$1000*'ANALYSE - ERP =&gt; SOUS-SEGMENT'!$FH$8:$FH$1000*'ANALYSE - ERP =&gt; SOUS-SEGMENT'!$JN$8:$JN$1000)/SUMPRODUCT(('ANALYSE - ERP =&gt; SOUS-SEGMENT'!$C$8:$C$1000=$C13)*'ANALYSE - ERP =&gt; SOUS-SEGMENT'!$Q$8:$Q$1000*'ANALYSE - ERP =&gt; SOUS-SEGMENT'!$FH$8:$FH$1000),""))</f>
        <v>0.16476127114750114</v>
      </c>
      <c r="JO13" s="742">
        <f>IF($C13="","",IFERROR(SUMPRODUCT(('ANALYSE - ERP =&gt; SOUS-SEGMENT'!$C$8:$C$1000=$C13)*'ANALYSE - ERP =&gt; SOUS-SEGMENT'!$Q$8:$Q$1000*'ANALYSE - ERP =&gt; SOUS-SEGMENT'!$FH$8:$FH$1000*'ANALYSE - ERP =&gt; SOUS-SEGMENT'!$JO$8:$JO$1000)/SUMPRODUCT(('ANALYSE - ERP =&gt; SOUS-SEGMENT'!$C$8:$C$1000=$C13)*'ANALYSE - ERP =&gt; SOUS-SEGMENT'!$Q$8:$Q$1000*'ANALYSE - ERP =&gt; SOUS-SEGMENT'!$FH$8:$FH$1000),""))</f>
        <v>0.56389123573371458</v>
      </c>
      <c r="JP13" s="742">
        <f>IF($C13="","",IFERROR(SUMPRODUCT(('ANALYSE - ERP =&gt; SOUS-SEGMENT'!$C$8:$C$1000=$C13)*'ANALYSE - ERP =&gt; SOUS-SEGMENT'!$Q$8:$Q$1000*'ANALYSE - ERP =&gt; SOUS-SEGMENT'!$FH$8:$FH$1000*'ANALYSE - ERP =&gt; SOUS-SEGMENT'!$JP$8:$JP$1000)/SUMPRODUCT(('ANALYSE - ERP =&gt; SOUS-SEGMENT'!$C$8:$C$1000=$C13)*'ANALYSE - ERP =&gt; SOUS-SEGMENT'!$Q$8:$Q$1000*'ANALYSE - ERP =&gt; SOUS-SEGMENT'!$FH$8:$FH$1000),""))</f>
        <v>0.24244231497489785</v>
      </c>
      <c r="JQ13" s="742">
        <f>IF($C13="","",IFERROR(SUMPRODUCT(('ANALYSE - ERP =&gt; SOUS-SEGMENT'!$C$8:$C$1000=$C13)*'ANALYSE - ERP =&gt; SOUS-SEGMENT'!$Q$8:$Q$1000*'ANALYSE - ERP =&gt; SOUS-SEGMENT'!$FH$8:$FH$1000*'ANALYSE - ERP =&gt; SOUS-SEGMENT'!$JQ$8:$JQ$1000)/SUMPRODUCT(('ANALYSE - ERP =&gt; SOUS-SEGMENT'!$C$8:$C$1000=$C13)*'ANALYSE - ERP =&gt; SOUS-SEGMENT'!$Q$8:$Q$1000*'ANALYSE - ERP =&gt; SOUS-SEGMENT'!$FH$8:$FH$1000),""))</f>
        <v>2.591279566415872E-2</v>
      </c>
      <c r="JR13" s="742">
        <f>IF($C13="","",IFERROR(SUMPRODUCT(('ANALYSE - ERP =&gt; SOUS-SEGMENT'!$C$8:$C$1000=$C13)*'ANALYSE - ERP =&gt; SOUS-SEGMENT'!$Q$8:$Q$1000*'ANALYSE - ERP =&gt; SOUS-SEGMENT'!$FH$8:$FH$1000*'ANALYSE - ERP =&gt; SOUS-SEGMENT'!$JR$8:$JR$1000)/SUMPRODUCT(('ANALYSE - ERP =&gt; SOUS-SEGMENT'!$C$8:$C$1000=$C13)*'ANALYSE - ERP =&gt; SOUS-SEGMENT'!$Q$8:$Q$1000*'ANALYSE - ERP =&gt; SOUS-SEGMENT'!$FH$8:$FH$1000),""))</f>
        <v>2.9923824797275732E-3</v>
      </c>
      <c r="JS13" s="742">
        <f>IF($C13="","",IFERROR(SUMPRODUCT(('ANALYSE - ERP =&gt; SOUS-SEGMENT'!$C$8:$C$1000=$C13)*'ANALYSE - ERP =&gt; SOUS-SEGMENT'!$Q$8:$Q$1000*'ANALYSE - ERP =&gt; SOUS-SEGMENT'!$BH$8:$BH$1000*'ANALYSE - ERP =&gt; SOUS-SEGMENT'!$JS$8:$JS$1000)/SUMPRODUCT(('ANALYSE - ERP =&gt; SOUS-SEGMENT'!$C$8:$C$1000=$C13)*'ANALYSE - ERP =&gt; SOUS-SEGMENT'!$Q$8:$Q$1000*'ANALYSE - ERP =&gt; SOUS-SEGMENT'!$BH$8:$BH$1000),""))</f>
        <v>0.14707564719358537</v>
      </c>
      <c r="JT13" s="742">
        <f>IF($C13="","",IFERROR(SUMPRODUCT(('ANALYSE - ERP =&gt; SOUS-SEGMENT'!$C$8:$C$1000=$C13)*'ANALYSE - ERP =&gt; SOUS-SEGMENT'!$Q$8:$Q$1000*'ANALYSE - ERP =&gt; SOUS-SEGMENT'!$BH$8:$BH$1000*'ANALYSE - ERP =&gt; SOUS-SEGMENT'!$JT$8:$JT$1000)/SUMPRODUCT(('ANALYSE - ERP =&gt; SOUS-SEGMENT'!$C$8:$C$1000=$C13)*'ANALYSE - ERP =&gt; SOUS-SEGMENT'!$Q$8:$Q$1000*'ANALYSE - ERP =&gt; SOUS-SEGMENT'!$BH$8:$BH$1000),""))</f>
        <v>0.56126329896907212</v>
      </c>
      <c r="JU13" s="742">
        <f>IF($C13="","",IFERROR(SUMPRODUCT(('ANALYSE - ERP =&gt; SOUS-SEGMENT'!$C$8:$C$1000=$C13)*'ANALYSE - ERP =&gt; SOUS-SEGMENT'!$Q$8:$Q$1000*'ANALYSE - ERP =&gt; SOUS-SEGMENT'!$BH$8:$BH$1000*'ANALYSE - ERP =&gt; SOUS-SEGMENT'!$JU$8:$JU$1000)/SUMPRODUCT(('ANALYSE - ERP =&gt; SOUS-SEGMENT'!$C$8:$C$1000=$C13)*'ANALYSE - ERP =&gt; SOUS-SEGMENT'!$Q$8:$Q$1000*'ANALYSE - ERP =&gt; SOUS-SEGMENT'!$BH$8:$BH$1000),""))</f>
        <v>0.27022497136311568</v>
      </c>
      <c r="JV13" s="742">
        <f>IF($C13="","",IFERROR(SUMPRODUCT(('ANALYSE - ERP =&gt; SOUS-SEGMENT'!$C$8:$C$1000=$C13)*'ANALYSE - ERP =&gt; SOUS-SEGMENT'!$Q$8:$Q$1000*'ANALYSE - ERP =&gt; SOUS-SEGMENT'!$BH$8:$BH$1000*'ANALYSE - ERP =&gt; SOUS-SEGMENT'!$JV$8:$JV$1000)/SUMPRODUCT(('ANALYSE - ERP =&gt; SOUS-SEGMENT'!$C$8:$C$1000=$C13)*'ANALYSE - ERP =&gt; SOUS-SEGMENT'!$Q$8:$Q$1000*'ANALYSE - ERP =&gt; SOUS-SEGMENT'!$BH$8:$BH$1000),""))</f>
        <v>2.144499099983636E-2</v>
      </c>
      <c r="JW13" s="742">
        <f>IF($C13="","",IFERROR(SUMPRODUCT(('ANALYSE - ERP =&gt; SOUS-SEGMENT'!$C$8:$C$1000=$C13)*'ANALYSE - ERP =&gt; SOUS-SEGMENT'!$Q$8:$Q$1000*'ANALYSE - ERP =&gt; SOUS-SEGMENT'!$BH$8:$BH$1000*'ANALYSE - ERP =&gt; SOUS-SEGMENT'!$JW$8:$JW$1000)/SUMPRODUCT(('ANALYSE - ERP =&gt; SOUS-SEGMENT'!$C$8:$C$1000=$C13)*'ANALYSE - ERP =&gt; SOUS-SEGMENT'!$Q$8:$Q$1000*'ANALYSE - ERP =&gt; SOUS-SEGMENT'!$BH$8:$BH$1000),""))</f>
        <v>0</v>
      </c>
      <c r="JX13" s="742">
        <f>IF($C13="","",IFERROR(SUMPRODUCT(('ANALYSE - ERP =&gt; SOUS-SEGMENT'!$C$8:$C$1000=$C13)*'ANALYSE - ERP =&gt; SOUS-SEGMENT'!$Q$8:$Q$1000*'ANALYSE - ERP =&gt; SOUS-SEGMENT'!$FK$8:$FK$1000*'ANALYSE - ERP =&gt; SOUS-SEGMENT'!$JX$8:$JX$1000)/SUMPRODUCT(('ANALYSE - ERP =&gt; SOUS-SEGMENT'!$C$8:$C$1000=$C13)*'ANALYSE - ERP =&gt; SOUS-SEGMENT'!$Q$8:$Q$1000*'ANALYSE - ERP =&gt; SOUS-SEGMENT'!$FK$8:$FK$1000),""))</f>
        <v>0.12169739111096368</v>
      </c>
      <c r="JY13" s="742">
        <f>IF($C13="","",IFERROR(SUMPRODUCT(('ANALYSE - ERP =&gt; SOUS-SEGMENT'!$C$8:$C$1000=$C13)*'ANALYSE - ERP =&gt; SOUS-SEGMENT'!$Q$8:$Q$1000*'ANALYSE - ERP =&gt; SOUS-SEGMENT'!$FK$8:$FK$1000*'ANALYSE - ERP =&gt; SOUS-SEGMENT'!$JY$8:$JY$1000)/SUMPRODUCT(('ANALYSE - ERP =&gt; SOUS-SEGMENT'!$C$8:$C$1000=$C13)*'ANALYSE - ERP =&gt; SOUS-SEGMENT'!$Q$8:$Q$1000*'ANALYSE - ERP =&gt; SOUS-SEGMENT'!$FK$8:$FK$1000),""))</f>
        <v>0.52301041456522124</v>
      </c>
      <c r="JZ13" s="742">
        <f>IF($C13="","",IFERROR(SUMPRODUCT(('ANALYSE - ERP =&gt; SOUS-SEGMENT'!$C$8:$C$1000=$C13)*'ANALYSE - ERP =&gt; SOUS-SEGMENT'!$Q$8:$Q$1000*'ANALYSE - ERP =&gt; SOUS-SEGMENT'!$FK$8:$FK$1000*'ANALYSE - ERP =&gt; SOUS-SEGMENT'!$JZ$8:$JZ$1000)/SUMPRODUCT(('ANALYSE - ERP =&gt; SOUS-SEGMENT'!$C$8:$C$1000=$C13)*'ANALYSE - ERP =&gt; SOUS-SEGMENT'!$Q$8:$Q$1000*'ANALYSE - ERP =&gt; SOUS-SEGMENT'!$FK$8:$FK$1000),""))</f>
        <v>0.31174636168348435</v>
      </c>
      <c r="KA13" s="742">
        <f>IF($C13="","",IFERROR(SUMPRODUCT(('ANALYSE - ERP =&gt; SOUS-SEGMENT'!$C$8:$C$1000=$C13)*'ANALYSE - ERP =&gt; SOUS-SEGMENT'!$Q$8:$Q$1000*'ANALYSE - ERP =&gt; SOUS-SEGMENT'!$FK$8:$FK$1000*'ANALYSE - ERP =&gt; SOUS-SEGMENT'!$KA$8:$KA$1000)/SUMPRODUCT(('ANALYSE - ERP =&gt; SOUS-SEGMENT'!$C$8:$C$1000=$C13)*'ANALYSE - ERP =&gt; SOUS-SEGMENT'!$Q$8:$Q$1000*'ANALYSE - ERP =&gt; SOUS-SEGMENT'!$FK$8:$FK$1000),""))</f>
        <v>4.0124839941919087E-2</v>
      </c>
      <c r="KB13" s="742">
        <f>IF($C13="","",IFERROR(SUMPRODUCT(('ANALYSE - ERP =&gt; SOUS-SEGMENT'!$C$8:$C$1000=$C13)*'ANALYSE - ERP =&gt; SOUS-SEGMENT'!$Q$8:$Q$1000*'ANALYSE - ERP =&gt; SOUS-SEGMENT'!$FK$8:$FK$1000*'ANALYSE - ERP =&gt; SOUS-SEGMENT'!$KB$8:$KB$1000)/SUMPRODUCT(('ANALYSE - ERP =&gt; SOUS-SEGMENT'!$C$8:$C$1000=$C13)*'ANALYSE - ERP =&gt; SOUS-SEGMENT'!$Q$8:$Q$1000*'ANALYSE - ERP =&gt; SOUS-SEGMENT'!$FK$8:$FK$1000),""))</f>
        <v>3.4209926984115941E-3</v>
      </c>
      <c r="KC13" s="657"/>
      <c r="KD13" s="924" t="s">
        <v>5483</v>
      </c>
      <c r="KE13" s="924" t="s">
        <v>5483</v>
      </c>
      <c r="KF13" s="869">
        <f>IF($C13="","",IFERROR(SUMPRODUCT(('ANALYSE - ERP =&gt; SOUS-SEGMENT'!$C$8:$C$1000=$C13)*'ANALYSE - ERP =&gt; SOUS-SEGMENT'!$Q$8:$Q$1000*'ANALYSE - ERP =&gt; SOUS-SEGMENT'!$IE$8:$IE$1000*'ANALYSE - ERP =&gt; SOUS-SEGMENT'!$KF$8:$KF$1000)/SUMPRODUCT(('ANALYSE - ERP =&gt; SOUS-SEGMENT'!$C$8:$C$1000=$C13)*'ANALYSE - ERP =&gt; SOUS-SEGMENT'!$Q$8:$Q$1000*'ANALYSE - ERP =&gt; SOUS-SEGMENT'!$IE$8:$IE$1000),""))</f>
        <v>4.0950966599997178</v>
      </c>
      <c r="KG13" s="924" t="s">
        <v>5484</v>
      </c>
      <c r="KH13" s="924" t="s">
        <v>5485</v>
      </c>
      <c r="KI13" s="924" t="s">
        <v>5486</v>
      </c>
      <c r="KJ13" s="924" t="s">
        <v>5487</v>
      </c>
    </row>
    <row r="14" spans="1:327" ht="120" customHeight="1">
      <c r="A14" s="951">
        <f>IF($C14="","",ROWS($A$8:A14))</f>
        <v>7</v>
      </c>
      <c r="B14" s="952" t="s">
        <v>2880</v>
      </c>
      <c r="C14" s="952" t="s">
        <v>3124</v>
      </c>
      <c r="D14" s="952" t="s">
        <v>5488</v>
      </c>
      <c r="E14" s="277" t="s">
        <v>5489</v>
      </c>
      <c r="F14" s="646" t="s">
        <v>5490</v>
      </c>
      <c r="G14" s="646" t="s">
        <v>5491</v>
      </c>
      <c r="H14" s="646" t="s">
        <v>2109</v>
      </c>
      <c r="I14" s="646" t="s">
        <v>5492</v>
      </c>
      <c r="J14" s="646" t="s">
        <v>5493</v>
      </c>
      <c r="K14" s="646" t="s">
        <v>2097</v>
      </c>
      <c r="L14" s="646" t="s">
        <v>2109</v>
      </c>
      <c r="M14" s="646" t="s">
        <v>5494</v>
      </c>
      <c r="N14" s="646" t="s">
        <v>5495</v>
      </c>
      <c r="O14" s="646" t="s">
        <v>5496</v>
      </c>
      <c r="P14" s="646"/>
      <c r="Q14" s="270">
        <f>IF($C14="","",IF(SUMIFS('ANALYSE - ERP =&gt; SOUS-SEGMENT'!$Q$8:$Q$1000,'ANALYSE - ERP =&gt; SOUS-SEGMENT'!$C$8:$C$1000,$C14)&gt;0,1,0))</f>
        <v>1</v>
      </c>
      <c r="R14" s="278">
        <f>IF($C14="","",IFERROR(SUMPRODUCT(('ANALYSE - ERP =&gt; SOUS-SEGMENT'!$C$8:$C$1000=$C14)*'ANALYSE - ERP =&gt; SOUS-SEGMENT'!$Q$8:$Q$1000*'ANALYSE - ERP =&gt; SOUS-SEGMENT'!$AF$8:$AF$1000*'ANALYSE - ERP =&gt; SOUS-SEGMENT'!$R$8:$R$1000)/SUMPRODUCT(('ANALYSE - ERP =&gt; SOUS-SEGMENT'!$C$8:$C$1000=$C14)*'ANALYSE - ERP =&gt; SOUS-SEGMENT'!$Q$8:$Q$1000*'ANALYSE - ERP =&gt; SOUS-SEGMENT'!$AF$8:$AF$1000),""))</f>
        <v>2385.2877990962293</v>
      </c>
      <c r="S14" s="279">
        <f>IF($C14="","",SUMPRODUCT(('ANALYSE - ERP =&gt; SOUS-SEGMENT'!$C$8:$C$1000=$C14)*'ANALYSE - ERP =&gt; SOUS-SEGMENT'!$Q$8:$Q$1000*'ANALYSE - ERP =&gt; SOUS-SEGMENT'!$S$8:$S$1000))</f>
        <v>13349</v>
      </c>
      <c r="T14" s="279">
        <f>IF($C14="","",SUMPRODUCT(('ANALYSE - ERP =&gt; SOUS-SEGMENT'!$C$8:$C$1000=$C14)*'ANALYSE - ERP =&gt; SOUS-SEGMENT'!$Q$8:$Q$1000*'ANALYSE - ERP =&gt; SOUS-SEGMENT'!$T$8:$T$1000))</f>
        <v>13373</v>
      </c>
      <c r="U14" s="279">
        <f>IF($C14="","",SUMPRODUCT(('ANALYSE - ERP =&gt; SOUS-SEGMENT'!$C$8:$C$1000=$C14)*'ANALYSE - ERP =&gt; SOUS-SEGMENT'!$Q$8:$Q$1000*'ANALYSE - ERP =&gt; SOUS-SEGMENT'!$U$8:$U$1000))</f>
        <v>13398</v>
      </c>
      <c r="V14" s="279">
        <f>IF($C14="","",SUMPRODUCT(('ANALYSE - ERP =&gt; SOUS-SEGMENT'!$C$8:$C$1000=$C14)*'ANALYSE - ERP =&gt; SOUS-SEGMENT'!$Q$8:$Q$1000*'ANALYSE - ERP =&gt; SOUS-SEGMENT'!$V$8:$V$1000))</f>
        <v>13432</v>
      </c>
      <c r="W14" s="279">
        <f>IF($C14="","",SUMPRODUCT(('ANALYSE - ERP =&gt; SOUS-SEGMENT'!$C$8:$C$1000=$C14)*'ANALYSE - ERP =&gt; SOUS-SEGMENT'!$Q$8:$Q$1000*'ANALYSE - ERP =&gt; SOUS-SEGMENT'!$W$8:$W$1000))</f>
        <v>13439</v>
      </c>
      <c r="X14" s="279">
        <f>IF($C14="","",SUMPRODUCT(('ANALYSE - ERP =&gt; SOUS-SEGMENT'!$C$8:$C$1000=$C14)*'ANALYSE - ERP =&gt; SOUS-SEGMENT'!$Q$8:$Q$1000*'ANALYSE - ERP =&gt; SOUS-SEGMENT'!$X$8:$X$1000))</f>
        <v>13445</v>
      </c>
      <c r="Y14" s="279">
        <f>IF($C14="","",SUMPRODUCT(('ANALYSE - ERP =&gt; SOUS-SEGMENT'!$C$8:$C$1000=$C14)*'ANALYSE - ERP =&gt; SOUS-SEGMENT'!$Q$8:$Q$1000*'ANALYSE - ERP =&gt; SOUS-SEGMENT'!$Y$8:$Y$1000))</f>
        <v>13451</v>
      </c>
      <c r="Z14" s="279">
        <f>IF($C14="","",SUMPRODUCT(('ANALYSE - ERP =&gt; SOUS-SEGMENT'!$C$8:$C$1000=$C14)*'ANALYSE - ERP =&gt; SOUS-SEGMENT'!$Q$8:$Q$1000*'ANALYSE - ERP =&gt; SOUS-SEGMENT'!$Z$8:$Z$1000))</f>
        <v>13455</v>
      </c>
      <c r="AA14" s="279">
        <f>IF($C14="","",SUMPRODUCT(('ANALYSE - ERP =&gt; SOUS-SEGMENT'!$C$8:$C$1000=$C14)*'ANALYSE - ERP =&gt; SOUS-SEGMENT'!$Q$8:$Q$1000*'ANALYSE - ERP =&gt; SOUS-SEGMENT'!$AA$8:$AA$1000))</f>
        <v>13445</v>
      </c>
      <c r="AB14" s="279">
        <f>IF($C14="","",SUMPRODUCT(('ANALYSE - ERP =&gt; SOUS-SEGMENT'!$C$8:$C$1000=$C14)*'ANALYSE - ERP =&gt; SOUS-SEGMENT'!$Q$8:$Q$1000*'ANALYSE - ERP =&gt; SOUS-SEGMENT'!$AB$8:$AB$1000))</f>
        <v>13455</v>
      </c>
      <c r="AC14" s="279">
        <f>IF($C14="","",SUMPRODUCT(('ANALYSE - ERP =&gt; SOUS-SEGMENT'!$C$8:$C$1000=$C14)*'ANALYSE - ERP =&gt; SOUS-SEGMENT'!$Q$8:$Q$1000*'ANALYSE - ERP =&gt; SOUS-SEGMENT'!$AC$8:$AC$1000))</f>
        <v>13466</v>
      </c>
      <c r="AD14" s="279">
        <f>IF($C14="","",SUMPRODUCT(('ANALYSE - ERP =&gt; SOUS-SEGMENT'!$C$8:$C$1000=$C14)*'ANALYSE - ERP =&gt; SOUS-SEGMENT'!$Q$8:$Q$1000*'ANALYSE - ERP =&gt; SOUS-SEGMENT'!$AD$8:$AD$1000))</f>
        <v>13477</v>
      </c>
      <c r="AE14" s="279">
        <f>IF($C14="","",SUMPRODUCT(('ANALYSE - ERP =&gt; SOUS-SEGMENT'!$C$8:$C$1000=$C14)*'ANALYSE - ERP =&gt; SOUS-SEGMENT'!$Q$8:$Q$1000*'ANALYSE - ERP =&gt; SOUS-SEGMENT'!$AE$8:$AE$1000))</f>
        <v>13489</v>
      </c>
      <c r="AF14" s="279">
        <f>IF($C14="","",SUMPRODUCT(('ANALYSE - ERP =&gt; SOUS-SEGMENT'!$C$8:$C$1000=$C14)*'ANALYSE - ERP =&gt; SOUS-SEGMENT'!$Q$8:$Q$1000*'ANALYSE - ERP =&gt; SOUS-SEGMENT'!$AF$8:$AF$1000))</f>
        <v>13499</v>
      </c>
      <c r="AG14" s="279">
        <f>IF($C14="","",SUMPRODUCT(('ANALYSE - ERP =&gt; SOUS-SEGMENT'!$C$8:$C$1000=$C14)*'ANALYSE - ERP =&gt; SOUS-SEGMENT'!$Q$8:$Q$1000*'ANALYSE - ERP =&gt; SOUS-SEGMENT'!$AG$8:$AG$1000))</f>
        <v>13506</v>
      </c>
      <c r="AH14" s="279">
        <f>IF($C14="","",SUMPRODUCT(('ANALYSE - ERP =&gt; SOUS-SEGMENT'!$C$8:$C$1000=$C14)*'ANALYSE - ERP =&gt; SOUS-SEGMENT'!$Q$8:$Q$1000*'ANALYSE - ERP =&gt; SOUS-SEGMENT'!$AH$8:$AH$1000))</f>
        <v>13511</v>
      </c>
      <c r="AI14" s="279">
        <f>IF($C14="","",SUMPRODUCT(('ANALYSE - ERP =&gt; SOUS-SEGMENT'!$C$8:$C$1000=$C14)*'ANALYSE - ERP =&gt; SOUS-SEGMENT'!$Q$8:$Q$1000*'ANALYSE - ERP =&gt; SOUS-SEGMENT'!$AI$8:$AI$1000))</f>
        <v>13517</v>
      </c>
      <c r="AJ14" s="279">
        <f>IF($C14="","",SUMPRODUCT(('ANALYSE - ERP =&gt; SOUS-SEGMENT'!$C$8:$C$1000=$C14)*'ANALYSE - ERP =&gt; SOUS-SEGMENT'!$Q$8:$Q$1000*'ANALYSE - ERP =&gt; SOUS-SEGMENT'!$AJ$8:$AJ$1000))</f>
        <v>13523</v>
      </c>
      <c r="AK14" s="279">
        <f>IF($C14="","",SUMPRODUCT(('ANALYSE - ERP =&gt; SOUS-SEGMENT'!$C$8:$C$1000=$C14)*'ANALYSE - ERP =&gt; SOUS-SEGMENT'!$Q$8:$Q$1000*'ANALYSE - ERP =&gt; SOUS-SEGMENT'!$AK$8:$AK$1000))</f>
        <v>13530</v>
      </c>
      <c r="AL14" s="646" t="s">
        <v>5497</v>
      </c>
      <c r="AM14" s="646" t="s">
        <v>5498</v>
      </c>
      <c r="AN14" s="646" t="s">
        <v>5499</v>
      </c>
      <c r="AO14" s="657"/>
      <c r="AP14" s="278">
        <f>IF($C14="","",IFERROR(SUMPRODUCT(('ANALYSE - ERP =&gt; SOUS-SEGMENT'!$C$8:$C$1000=$C14)*'ANALYSE - ERP =&gt; SOUS-SEGMENT'!$Q$8:$Q$1000*'ANALYSE - ERP =&gt; SOUS-SEGMENT'!$AF$8:$AF$1000*'ANALYSE - ERP =&gt; SOUS-SEGMENT'!$AP$8:$AP$1000)/SUMPRODUCT(('ANALYSE - ERP =&gt; SOUS-SEGMENT'!$C$8:$C$1000=$C14)*'ANALYSE - ERP =&gt; SOUS-SEGMENT'!$Q$8:$Q$1000*'ANALYSE - ERP =&gt; SOUS-SEGMENT'!$AF$8:$AF$1000),""))</f>
        <v>152.71501592710572</v>
      </c>
      <c r="AQ14" s="278">
        <f>IF($C14="","",IFERROR(SUMPRODUCT(('ANALYSE - ERP =&gt; SOUS-SEGMENT'!$C$8:$C$1000=$C14)*'ANALYSE - ERP =&gt; SOUS-SEGMENT'!$Q$8:$Q$1000*'ANALYSE - ERP =&gt; SOUS-SEGMENT'!$AF$8:$AF$1000*'ANALYSE - ERP =&gt; SOUS-SEGMENT'!$AQ$8:$AQ$1000)/SUMPRODUCT(('ANALYSE - ERP =&gt; SOUS-SEGMENT'!$C$8:$C$1000=$C14)*'ANALYSE - ERP =&gt; SOUS-SEGMENT'!$Q$8:$Q$1000*'ANALYSE - ERP =&gt; SOUS-SEGMENT'!$AF$8:$AF$1000),""))</f>
        <v>134.26624194384769</v>
      </c>
      <c r="AR14" s="278">
        <f>IF($C14="","",IFERROR(SUMPRODUCT(('ANALYSE - ERP =&gt; SOUS-SEGMENT'!$C$8:$C$1000=$C14)*'ANALYSE - ERP =&gt; SOUS-SEGMENT'!$Q$8:$Q$1000*'ANALYSE - ERP =&gt; SOUS-SEGMENT'!$AF$8:$AF$1000*'ANALYSE - ERP =&gt; SOUS-SEGMENT'!$AR$8:$AR$1000)/SUMPRODUCT(('ANALYSE - ERP =&gt; SOUS-SEGMENT'!$C$8:$C$1000=$C14)*'ANALYSE - ERP =&gt; SOUS-SEGMENT'!$Q$8:$Q$1000*'ANALYSE - ERP =&gt; SOUS-SEGMENT'!$AF$8:$AF$1000),""))</f>
        <v>14.278094673679531</v>
      </c>
      <c r="AS14" s="278">
        <f>IF($C14="","",IFERROR(SUMPRODUCT(('ANALYSE - ERP =&gt; SOUS-SEGMENT'!$C$8:$C$1000=$C14)*'ANALYSE - ERP =&gt; SOUS-SEGMENT'!$Q$8:$Q$1000*'ANALYSE - ERP =&gt; SOUS-SEGMENT'!$AF$8:$AF$1000*'ANALYSE - ERP =&gt; SOUS-SEGMENT'!$AS$8:$AS$1000)/SUMPRODUCT(('ANALYSE - ERP =&gt; SOUS-SEGMENT'!$C$8:$C$1000=$C14)*'ANALYSE - ERP =&gt; SOUS-SEGMENT'!$Q$8:$Q$1000*'ANALYSE - ERP =&gt; SOUS-SEGMENT'!$AF$8:$AF$1000),""))</f>
        <v>3.2817245721905328</v>
      </c>
      <c r="AT14" s="657"/>
      <c r="AU14" s="646" t="s">
        <v>5500</v>
      </c>
      <c r="AV14" s="646" t="s">
        <v>5501</v>
      </c>
      <c r="AW14" s="646" t="s">
        <v>5502</v>
      </c>
      <c r="AX14" s="646" t="s">
        <v>5503</v>
      </c>
      <c r="AY14" s="657"/>
      <c r="AZ14" s="947">
        <f>IF($C14="","",IFERROR(SUMPRODUCT(('ANALYSE - ERP =&gt; SOUS-SEGMENT'!$C$8:$C$1000=$C14)*'ANALYSE - ERP =&gt; SOUS-SEGMENT'!$Q$8:$Q$1000*'ANALYSE - ERP =&gt; SOUS-SEGMENT'!$AF$8:$AF$1000*'ANALYSE - ERP =&gt; SOUS-SEGMENT'!$AZ$8:$AZ$1000)/SUMPRODUCT(('ANALYSE - ERP =&gt; SOUS-SEGMENT'!$C$8:$C$1000=$C14)*'ANALYSE - ERP =&gt; SOUS-SEGMENT'!$Q$8:$Q$1000*'ANALYSE - ERP =&gt; SOUS-SEGMENT'!$AF$8:$AF$1000),""))</f>
        <v>8.4832950588932512</v>
      </c>
      <c r="BA14" s="947">
        <f>IF($C14="","",IFERROR(SUMPRODUCT(('ANALYSE - ERP =&gt; SOUS-SEGMENT'!$C$8:$C$1000=$C14)*'ANALYSE - ERP =&gt; SOUS-SEGMENT'!$Q$8:$Q$1000*'ANALYSE - ERP =&gt; SOUS-SEGMENT'!$AF$8:$AF$1000*'ANALYSE - ERP =&gt; SOUS-SEGMENT'!$BA$8:$BA$1000)/SUMPRODUCT(('ANALYSE - ERP =&gt; SOUS-SEGMENT'!$C$8:$C$1000=$C14)*'ANALYSE - ERP =&gt; SOUS-SEGMENT'!$Q$8:$Q$1000*'ANALYSE - ERP =&gt; SOUS-SEGMENT'!$AF$8:$AF$1000),""))</f>
        <v>1.3704718868064301</v>
      </c>
      <c r="BB14" s="947">
        <f>IF($C14="","",IFERROR(SUMPRODUCT(('ANALYSE - ERP =&gt; SOUS-SEGMENT'!$C$8:$C$1000=$C14)*'ANALYSE - ERP =&gt; SOUS-SEGMENT'!$Q$8:$Q$1000*'ANALYSE - ERP =&gt; SOUS-SEGMENT'!$AF$8:$AF$1000*'ANALYSE - ERP =&gt; SOUS-SEGMENT'!$BB$8:$BB$1000)/SUMPRODUCT(('ANALYSE - ERP =&gt; SOUS-SEGMENT'!$C$8:$C$1000=$C14)*'ANALYSE - ERP =&gt; SOUS-SEGMENT'!$Q$8:$Q$1000*'ANALYSE - ERP =&gt; SOUS-SEGMENT'!$AF$8:$AF$1000),""))</f>
        <v>1.7032372768353212</v>
      </c>
      <c r="BC14" s="947">
        <f>IF($C14="","",IFERROR(SUMPRODUCT(('ANALYSE - ERP =&gt; SOUS-SEGMENT'!$C$8:$C$1000=$C14)*'ANALYSE - ERP =&gt; SOUS-SEGMENT'!$Q$8:$Q$1000*'ANALYSE - ERP =&gt; SOUS-SEGMENT'!$AF$8:$AF$1000*'ANALYSE - ERP =&gt; SOUS-SEGMENT'!$BC$8:$BC$1000)/SUMPRODUCT(('ANALYSE - ERP =&gt; SOUS-SEGMENT'!$C$8:$C$1000=$C14)*'ANALYSE - ERP =&gt; SOUS-SEGMENT'!$Q$8:$Q$1000*'ANALYSE - ERP =&gt; SOUS-SEGMENT'!$AF$8:$AF$1000),""))</f>
        <v>7.5904881843099492</v>
      </c>
      <c r="BD14" s="826">
        <f t="shared" si="1"/>
        <v>258472</v>
      </c>
      <c r="BE14" s="283">
        <f>IF($C14="","",SUMPRODUCT(('ANALYSE - ERP =&gt; SOUS-SEGMENT'!$C$8:$C$1000=$C14)*'ANALYSE - ERP =&gt; SOUS-SEGMENT'!$Q$8:$Q$1000*'ANALYSE - ERP =&gt; SOUS-SEGMENT'!$BE$8:$BE$1000))</f>
        <v>114516</v>
      </c>
      <c r="BF14" s="283">
        <f>IF($C14="","",SUMPRODUCT(('ANALYSE - ERP =&gt; SOUS-SEGMENT'!$C$8:$C$1000=$C14)*'ANALYSE - ERP =&gt; SOUS-SEGMENT'!$Q$8:$Q$1000*'ANALYSE - ERP =&gt; SOUS-SEGMENT'!$BF$8:$BF$1000))</f>
        <v>18500</v>
      </c>
      <c r="BG14" s="283">
        <f>IF($C14="","",SUMPRODUCT(('ANALYSE - ERP =&gt; SOUS-SEGMENT'!$C$8:$C$1000=$C14)*'ANALYSE - ERP =&gt; SOUS-SEGMENT'!$Q$8:$Q$1000*'ANALYSE - ERP =&gt; SOUS-SEGMENT'!$BG$8:$BG$1000))</f>
        <v>22992</v>
      </c>
      <c r="BH14" s="283">
        <f>IF($C14="","",SUMPRODUCT(('ANALYSE - ERP =&gt; SOUS-SEGMENT'!$C$8:$C$1000=$C14)*'ANALYSE - ERP =&gt; SOUS-SEGMENT'!$Q$8:$Q$1000*'ANALYSE - ERP =&gt; SOUS-SEGMENT'!$BH$8:$BH$1000))</f>
        <v>102464</v>
      </c>
      <c r="BI14" s="826">
        <f t="shared" si="2"/>
        <v>260010</v>
      </c>
      <c r="BJ14" s="283">
        <f>IF($C14="","",SUMPRODUCT(('ANALYSE - ERP =&gt; SOUS-SEGMENT'!$C$8:$C$1000=$C14)*'ANALYSE - ERP =&gt; SOUS-SEGMENT'!$Q$8:$Q$1000*'ANALYSE - ERP =&gt; SOUS-SEGMENT'!$BJ$8:$BJ$1000))</f>
        <v>115074</v>
      </c>
      <c r="BK14" s="283">
        <f>IF($C14="","",SUMPRODUCT(('ANALYSE - ERP =&gt; SOUS-SEGMENT'!$C$8:$C$1000=$C14)*'ANALYSE - ERP =&gt; SOUS-SEGMENT'!$Q$8:$Q$1000*'ANALYSE - ERP =&gt; SOUS-SEGMENT'!$BK$8:$BK$1000))</f>
        <v>18775</v>
      </c>
      <c r="BL14" s="283">
        <f>IF($C14="","",SUMPRODUCT(('ANALYSE - ERP =&gt; SOUS-SEGMENT'!$C$8:$C$1000=$C14)*'ANALYSE - ERP =&gt; SOUS-SEGMENT'!$Q$8:$Q$1000*'ANALYSE - ERP =&gt; SOUS-SEGMENT'!$BL$8:$BL$1000))</f>
        <v>23140</v>
      </c>
      <c r="BM14" s="283">
        <f>IF($C14="","",SUMPRODUCT(('ANALYSE - ERP =&gt; SOUS-SEGMENT'!$C$8:$C$1000=$C14)*'ANALYSE - ERP =&gt; SOUS-SEGMENT'!$Q$8:$Q$1000*'ANALYSE - ERP =&gt; SOUS-SEGMENT'!$BM$8:$BM$1000))</f>
        <v>103021</v>
      </c>
      <c r="BN14" s="657"/>
      <c r="BO14" s="305">
        <f t="shared" si="3"/>
        <v>0.25089594467148696</v>
      </c>
      <c r="BP14" s="305">
        <f t="shared" si="4"/>
        <v>0.64263648747773228</v>
      </c>
      <c r="BQ14" s="305">
        <f t="shared" si="5"/>
        <v>4.6467567850780676E-2</v>
      </c>
      <c r="BR14" s="581">
        <f t="shared" si="6"/>
        <v>5.9999999999999991E-2</v>
      </c>
      <c r="BS14" s="706">
        <f t="shared" si="7"/>
        <v>0.22182178424318263</v>
      </c>
      <c r="BT14" s="305">
        <f t="shared" si="8"/>
        <v>0.65154804734344851</v>
      </c>
      <c r="BU14" s="305">
        <f t="shared" si="9"/>
        <v>6.6630168413368787E-2</v>
      </c>
      <c r="BV14" s="581">
        <f t="shared" si="10"/>
        <v>0.06</v>
      </c>
      <c r="BW14" s="713">
        <f t="shared" si="11"/>
        <v>0.16621621621621621</v>
      </c>
      <c r="BX14" s="306">
        <f t="shared" si="12"/>
        <v>0.78378378378378377</v>
      </c>
      <c r="BY14" s="590">
        <f t="shared" si="13"/>
        <v>0.05</v>
      </c>
      <c r="BZ14" s="713">
        <f t="shared" si="14"/>
        <v>0.12958721704394141</v>
      </c>
      <c r="CA14" s="306">
        <f t="shared" si="15"/>
        <v>0.80721704394141136</v>
      </c>
      <c r="CB14" s="590">
        <f t="shared" si="16"/>
        <v>6.3195739014647145E-2</v>
      </c>
      <c r="CC14" s="706">
        <f t="shared" si="17"/>
        <v>7.3486430062630476E-2</v>
      </c>
      <c r="CD14" s="305">
        <f t="shared" si="18"/>
        <v>0.60480167014613784</v>
      </c>
      <c r="CE14" s="305">
        <f t="shared" si="19"/>
        <v>6.0855949895615866E-2</v>
      </c>
      <c r="CF14" s="581">
        <f t="shared" si="20"/>
        <v>0.26085594989561589</v>
      </c>
      <c r="CG14" s="706">
        <f t="shared" si="21"/>
        <v>6.3336214347450306E-2</v>
      </c>
      <c r="CH14" s="305">
        <f t="shared" si="22"/>
        <v>0.61222990492653417</v>
      </c>
      <c r="CI14" s="305">
        <f t="shared" si="23"/>
        <v>8.1106309420916164E-2</v>
      </c>
      <c r="CJ14" s="581">
        <f t="shared" si="24"/>
        <v>0.24332757130509941</v>
      </c>
      <c r="CK14" s="719">
        <f t="shared" si="25"/>
        <v>0.61891005621486561</v>
      </c>
      <c r="CL14" s="307">
        <f t="shared" si="26"/>
        <v>0.34504996876951904</v>
      </c>
      <c r="CM14" s="723">
        <f t="shared" si="27"/>
        <v>3.603997501561524E-2</v>
      </c>
      <c r="CN14" s="719">
        <f t="shared" si="28"/>
        <v>0.51691548325098768</v>
      </c>
      <c r="CO14" s="307">
        <f t="shared" si="29"/>
        <v>0.39246541967171733</v>
      </c>
      <c r="CP14" s="723">
        <f t="shared" si="30"/>
        <v>9.0619097077294916E-2</v>
      </c>
      <c r="CQ14" s="657"/>
      <c r="CR14" s="804">
        <f>IF($C14="","",IFERROR(SUMPRODUCT(('ANALYSE - ERP =&gt; SOUS-SEGMENT'!$C$8:$C$1000=$C14)*'ANALYSE - ERP =&gt; SOUS-SEGMENT'!$Q$8:$Q$1000*'ANALYSE - ERP =&gt; SOUS-SEGMENT'!$DH$8:$DH$1000*'ANALYSE - ERP =&gt; SOUS-SEGMENT'!$CR$8:$CR$1000)/SUMPRODUCT(('ANALYSE - ERP =&gt; SOUS-SEGMENT'!$C$8:$C$1000=$C14)*'ANALYSE - ERP =&gt; SOUS-SEGMENT'!$Q$8:$Q$1000*'ANALYSE - ERP =&gt; SOUS-SEGMENT'!$DH$8:$DH$1000),""))</f>
        <v>12.806665831349456</v>
      </c>
      <c r="CS14" s="805">
        <f>IF($C14="","",IFERROR(SUMPRODUCT(('ANALYSE - ERP =&gt; SOUS-SEGMENT'!$C$8:$C$1000=$C14)*'ANALYSE - ERP =&gt; SOUS-SEGMENT'!$Q$8:$Q$1000*'ANALYSE - ERP =&gt; SOUS-SEGMENT'!$DI$8:$DI$1000*'ANALYSE - ERP =&gt; SOUS-SEGMENT'!$CS$8:$CS$1000)/SUMPRODUCT(('ANALYSE - ERP =&gt; SOUS-SEGMENT'!$C$8:$C$1000=$C14)*'ANALYSE - ERP =&gt; SOUS-SEGMENT'!$Q$8:$Q$1000*'ANALYSE - ERP =&gt; SOUS-SEGMENT'!$DI$8:$DI$1000),""))</f>
        <v>12.617563610036726</v>
      </c>
      <c r="CT14" s="805">
        <f>IF($C14="","",IFERROR(SUMPRODUCT(('ANALYSE - ERP =&gt; SOUS-SEGMENT'!$C$8:$C$1000=$C14)*'ANALYSE - ERP =&gt; SOUS-SEGMENT'!$Q$8:$Q$1000*'ANALYSE - ERP =&gt; SOUS-SEGMENT'!$DJ$8:$DJ$1000*'ANALYSE - ERP =&gt; SOUS-SEGMENT'!$CT$8:$CT$1000)/SUMPRODUCT(('ANALYSE - ERP =&gt; SOUS-SEGMENT'!$C$8:$C$1000=$C14)*'ANALYSE - ERP =&gt; SOUS-SEGMENT'!$Q$8:$Q$1000*'ANALYSE - ERP =&gt; SOUS-SEGMENT'!$DJ$8:$DJ$1000),""))</f>
        <v>8.7216308858019129</v>
      </c>
      <c r="CU14" s="806">
        <f>IF($C14="","",IFERROR(SUMPRODUCT(('ANALYSE - ERP =&gt; SOUS-SEGMENT'!$C$8:$C$1000=$C14)*'ANALYSE - ERP =&gt; SOUS-SEGMENT'!$Q$8:$Q$1000*'ANALYSE - ERP =&gt; SOUS-SEGMENT'!$DK$8:$DK$1000*'ANALYSE - ERP =&gt; SOUS-SEGMENT'!$CU$8:$CU$1000)/SUMPRODUCT(('ANALYSE - ERP =&gt; SOUS-SEGMENT'!$C$8:$C$1000=$C14)*'ANALYSE - ERP =&gt; SOUS-SEGMENT'!$Q$8:$Q$1000*'ANALYSE - ERP =&gt; SOUS-SEGMENT'!$DK$8:$DK$1000),""))</f>
        <v>10.838310803730485</v>
      </c>
      <c r="CV14" s="804">
        <f>IF($C14="","",IFERROR(SUMPRODUCT(('ANALYSE - ERP =&gt; SOUS-SEGMENT'!$C$8:$C$1000=$C14)*'ANALYSE - ERP =&gt; SOUS-SEGMENT'!$Q$8:$Q$1000*'ANALYSE - ERP =&gt; SOUS-SEGMENT'!$DS$8:$DS$1000*'ANALYSE - ERP =&gt; SOUS-SEGMENT'!$CV$8:$CV$1000)/SUMPRODUCT(('ANALYSE - ERP =&gt; SOUS-SEGMENT'!$C$8:$C$1000=$C14)*'ANALYSE - ERP =&gt; SOUS-SEGMENT'!$Q$8:$Q$1000*'ANALYSE - ERP =&gt; SOUS-SEGMENT'!$DS$8:$DS$1000),""))</f>
        <v>8.3902439024390247</v>
      </c>
      <c r="CW14" s="805">
        <f>IF($C14="","",IFERROR(SUMPRODUCT(('ANALYSE - ERP =&gt; SOUS-SEGMENT'!$C$8:$C$1000=$C14)*'ANALYSE - ERP =&gt; SOUS-SEGMENT'!$Q$8:$Q$1000*'ANALYSE - ERP =&gt; SOUS-SEGMENT'!$DT$8:$DT$1000*'ANALYSE - ERP =&gt; SOUS-SEGMENT'!$CW$8:$CW$1000)/SUMPRODUCT(('ANALYSE - ERP =&gt; SOUS-SEGMENT'!$C$8:$C$1000=$C14)*'ANALYSE - ERP =&gt; SOUS-SEGMENT'!$Q$8:$Q$1000*'ANALYSE - ERP =&gt; SOUS-SEGMENT'!$DT$8:$DT$1000),""))</f>
        <v>8.6206896551724146</v>
      </c>
      <c r="CX14" s="806">
        <f>IF($C14="","",IFERROR(SUMPRODUCT(('ANALYSE - ERP =&gt; SOUS-SEGMENT'!$C$8:$C$1000=$C14)*'ANALYSE - ERP =&gt; SOUS-SEGMENT'!$Q$8:$Q$1000*'ANALYSE - ERP =&gt; SOUS-SEGMENT'!$DU$8:$DU$1000*'ANALYSE - ERP =&gt; SOUS-SEGMENT'!$CX$8:$CX$1000)/SUMPRODUCT(('ANALYSE - ERP =&gt; SOUS-SEGMENT'!$C$8:$C$1000=$C14)*'ANALYSE - ERP =&gt; SOUS-SEGMENT'!$Q$8:$Q$1000*'ANALYSE - ERP =&gt; SOUS-SEGMENT'!$DU$8:$DU$1000),""))</f>
        <v>7.3243243243243246</v>
      </c>
      <c r="CY14" s="804">
        <f>IF($C14="","",IFERROR(SUMPRODUCT(('ANALYSE - ERP =&gt; SOUS-SEGMENT'!$C$8:$C$1000=$C14)*'ANALYSE - ERP =&gt; SOUS-SEGMENT'!$Q$8:$Q$1000*'ANALYSE - ERP =&gt; SOUS-SEGMENT'!$EB$8:$EB$1000*'ANALYSE - ERP =&gt; SOUS-SEGMENT'!$CY$8:$CY$1000)/SUMPRODUCT(('ANALYSE - ERP =&gt; SOUS-SEGMENT'!$C$8:$C$1000=$C14)*'ANALYSE - ERP =&gt; SOUS-SEGMENT'!$Q$8:$Q$1000*'ANALYSE - ERP =&gt; SOUS-SEGMENT'!$EB$8:$EB$1000),""))</f>
        <v>9.704545454545455</v>
      </c>
      <c r="CZ14" s="805">
        <f>IF($C14="","",IFERROR(SUMPRODUCT(('ANALYSE - ERP =&gt; SOUS-SEGMENT'!$C$8:$C$1000=$C14)*'ANALYSE - ERP =&gt; SOUS-SEGMENT'!$Q$8:$Q$1000*'ANALYSE - ERP =&gt; SOUS-SEGMENT'!$EC$8:$EC$1000*'ANALYSE - ERP =&gt; SOUS-SEGMENT'!$CZ$8:$CZ$1000)/SUMPRODUCT(('ANALYSE - ERP =&gt; SOUS-SEGMENT'!$C$8:$C$1000=$C14)*'ANALYSE - ERP =&gt; SOUS-SEGMENT'!$Q$8:$Q$1000*'ANALYSE - ERP =&gt; SOUS-SEGMENT'!$EC$8:$EC$1000),""))</f>
        <v>11.605108733172246</v>
      </c>
      <c r="DA14" s="805">
        <f>IF($C14="","",IFERROR(SUMPRODUCT(('ANALYSE - ERP =&gt; SOUS-SEGMENT'!$C$8:$C$1000=$C14)*'ANALYSE - ERP =&gt; SOUS-SEGMENT'!$Q$8:$Q$1000*'ANALYSE - ERP =&gt; SOUS-SEGMENT'!$ED$8:$ED$1000*'ANALYSE - ERP =&gt; SOUS-SEGMENT'!$DA$8:$DA$1000)/SUMPRODUCT(('ANALYSE - ERP =&gt; SOUS-SEGMENT'!$C$8:$C$1000=$C14)*'ANALYSE - ERP =&gt; SOUS-SEGMENT'!$Q$8:$Q$1000*'ANALYSE - ERP =&gt; SOUS-SEGMENT'!$ED$8:$ED$1000),""))</f>
        <v>7.6432246998284725</v>
      </c>
      <c r="DB14" s="806">
        <f>IF($C14="","",IFERROR(SUMPRODUCT(('ANALYSE - ERP =&gt; SOUS-SEGMENT'!$C$8:$C$1000=$C14)*'ANALYSE - ERP =&gt; SOUS-SEGMENT'!$Q$8:$Q$1000*'ANALYSE - ERP =&gt; SOUS-SEGMENT'!$EE$8:$EE$1000*'ANALYSE - ERP =&gt; SOUS-SEGMENT'!$DB$8:$DB$1000)/SUMPRODUCT(('ANALYSE - ERP =&gt; SOUS-SEGMENT'!$C$8:$C$1000=$C14)*'ANALYSE - ERP =&gt; SOUS-SEGMENT'!$Q$8:$Q$1000*'ANALYSE - ERP =&gt; SOUS-SEGMENT'!$EE$8:$EE$1000),""))</f>
        <v>9.7503001200480188</v>
      </c>
      <c r="DC14" s="804">
        <f>IF($C14="","",IFERROR(SUMPRODUCT(('ANALYSE - ERP =&gt; SOUS-SEGMENT'!$C$8:$C$1000=$C14)*'ANALYSE - ERP =&gt; SOUS-SEGMENT'!$Q$8:$Q$1000*'ANALYSE - ERP =&gt; SOUS-SEGMENT'!$EM$8:$EM$1000*'ANALYSE - ERP =&gt; SOUS-SEGMENT'!$DC$8:$DC$1000)/SUMPRODUCT(('ANALYSE - ERP =&gt; SOUS-SEGMENT'!$C$8:$C$1000=$C14)*'ANALYSE - ERP =&gt; SOUS-SEGMENT'!$Q$8:$Q$1000*'ANALYSE - ERP =&gt; SOUS-SEGMENT'!$EM$8:$EM$1000),""))</f>
        <v>10.927210798536647</v>
      </c>
      <c r="DD14" s="805">
        <f>IF($C14="","",IFERROR(SUMPRODUCT(('ANALYSE - ERP =&gt; SOUS-SEGMENT'!$C$8:$C$1000=$C14)*'ANALYSE - ERP =&gt; SOUS-SEGMENT'!$Q$8:$Q$1000*'ANALYSE - ERP =&gt; SOUS-SEGMENT'!$EN$8:$EN$1000*'ANALYSE - ERP =&gt; SOUS-SEGMENT'!$DD$8:$DD$1000)/SUMPRODUCT(('ANALYSE - ERP =&gt; SOUS-SEGMENT'!$C$8:$C$1000=$C14)*'ANALYSE - ERP =&gt; SOUS-SEGMENT'!$Q$8:$Q$1000*'ANALYSE - ERP =&gt; SOUS-SEGMENT'!$EN$8:$EN$1000),""))</f>
        <v>11.712766438883108</v>
      </c>
      <c r="DE14" s="806">
        <f>IF($C14="","",IFERROR(SUMPRODUCT(('ANALYSE - ERP =&gt; SOUS-SEGMENT'!$C$8:$C$1000=$C14)*'ANALYSE - ERP =&gt; SOUS-SEGMENT'!$Q$8:$Q$1000*'ANALYSE - ERP =&gt; SOUS-SEGMENT'!$EO$8:$EO$1000*'ANALYSE - ERP =&gt; SOUS-SEGMENT'!$DE$8:$DE$1000)/SUMPRODUCT(('ANALYSE - ERP =&gt; SOUS-SEGMENT'!$C$8:$C$1000=$C14)*'ANALYSE - ERP =&gt; SOUS-SEGMENT'!$Q$8:$Q$1000*'ANALYSE - ERP =&gt; SOUS-SEGMENT'!$EO$8:$EO$1000),""))</f>
        <v>8</v>
      </c>
      <c r="DF14" s="919" t="s">
        <v>5504</v>
      </c>
      <c r="DG14" s="657"/>
      <c r="DH14" s="308">
        <f>IF($C14="","",SUMPRODUCT(('ANALYSE - ERP =&gt; SOUS-SEGMENT'!$C$8:$C$1000=$C14)*'ANALYSE - ERP =&gt; SOUS-SEGMENT'!$Q$8:$Q$1000*'ANALYSE - ERP =&gt; SOUS-SEGMENT'!$DH$8:$DH$1000))</f>
        <v>28731.600000000002</v>
      </c>
      <c r="DI14" s="308">
        <f>IF($C14="","",SUMPRODUCT(('ANALYSE - ERP =&gt; SOUS-SEGMENT'!$C$8:$C$1000=$C14)*'ANALYSE - ERP =&gt; SOUS-SEGMENT'!$Q$8:$Q$1000*'ANALYSE - ERP =&gt; SOUS-SEGMENT'!$DI$8:$DI$1000))</f>
        <v>73592.159999999989</v>
      </c>
      <c r="DJ14" s="308">
        <f>IF($C14="","",SUMPRODUCT(('ANALYSE - ERP =&gt; SOUS-SEGMENT'!$C$8:$C$1000=$C14)*'ANALYSE - ERP =&gt; SOUS-SEGMENT'!$Q$8:$Q$1000*'ANALYSE - ERP =&gt; SOUS-SEGMENT'!$DJ$8:$DJ$1000))</f>
        <v>5321.28</v>
      </c>
      <c r="DK14" s="308">
        <f>IF($C14="","",SUMPRODUCT(('ANALYSE - ERP =&gt; SOUS-SEGMENT'!$C$8:$C$1000=$C14)*'ANALYSE - ERP =&gt; SOUS-SEGMENT'!$Q$8:$Q$1000*'ANALYSE - ERP =&gt; SOUS-SEGMENT'!$DK$8:$DK$1000))</f>
        <v>6870.9599999999991</v>
      </c>
      <c r="DL14" s="646" t="s">
        <v>5505</v>
      </c>
      <c r="DM14" s="308">
        <f>IF($C14="","",SUMPRODUCT(('ANALYSE - ERP =&gt; SOUS-SEGMENT'!$C$8:$C$1000=$C14)*'ANALYSE - ERP =&gt; SOUS-SEGMENT'!$Q$8:$Q$1000*'ANALYSE - ERP =&gt; SOUS-SEGMENT'!$DM$8:$DM$1000))</f>
        <v>25525.919999999998</v>
      </c>
      <c r="DN14" s="308">
        <f>IF($C14="","",SUMPRODUCT(('ANALYSE - ERP =&gt; SOUS-SEGMENT'!$C$8:$C$1000=$C14)*'ANALYSE - ERP =&gt; SOUS-SEGMENT'!$Q$8:$Q$1000*'ANALYSE - ERP =&gt; SOUS-SEGMENT'!$DN$8:$DN$1000))</f>
        <v>74976.239999999991</v>
      </c>
      <c r="DO14" s="308">
        <f>IF($C14="","",SUMPRODUCT(('ANALYSE - ERP =&gt; SOUS-SEGMENT'!$C$8:$C$1000=$C14)*'ANALYSE - ERP =&gt; SOUS-SEGMENT'!$Q$8:$Q$1000*'ANALYSE - ERP =&gt; SOUS-SEGMENT'!$DO$8:$DO$1000))</f>
        <v>7667.4</v>
      </c>
      <c r="DP14" s="308">
        <f>IF($C14="","",SUMPRODUCT(('ANALYSE - ERP =&gt; SOUS-SEGMENT'!$C$8:$C$1000=$C14)*'ANALYSE - ERP =&gt; SOUS-SEGMENT'!$Q$8:$Q$1000*'ANALYSE - ERP =&gt; SOUS-SEGMENT'!$DP$8:$DP$1000))</f>
        <v>6904.44</v>
      </c>
      <c r="DQ14" s="646" t="s">
        <v>5506</v>
      </c>
      <c r="DR14" s="657"/>
      <c r="DS14" s="308">
        <f>IF($C14="","",SUMPRODUCT(('ANALYSE - ERP =&gt; SOUS-SEGMENT'!$C$8:$C$1000=$C14)*'ANALYSE - ERP =&gt; SOUS-SEGMENT'!$Q$8:$Q$1000*'ANALYSE - ERP =&gt; SOUS-SEGMENT'!$DS$8:$DS$1000))</f>
        <v>3075</v>
      </c>
      <c r="DT14" s="308">
        <f>IF($C14="","",SUMPRODUCT(('ANALYSE - ERP =&gt; SOUS-SEGMENT'!$C$8:$C$1000=$C14)*'ANALYSE - ERP =&gt; SOUS-SEGMENT'!$Q$8:$Q$1000*'ANALYSE - ERP =&gt; SOUS-SEGMENT'!$DT$8:$DT$1000))</f>
        <v>14500</v>
      </c>
      <c r="DU14" s="308">
        <f>IF($C14="","",SUMPRODUCT(('ANALYSE - ERP =&gt; SOUS-SEGMENT'!$C$8:$C$1000=$C14)*'ANALYSE - ERP =&gt; SOUS-SEGMENT'!$Q$8:$Q$1000*'ANALYSE - ERP =&gt; SOUS-SEGMENT'!$DU$8:$DU$1000))</f>
        <v>925</v>
      </c>
      <c r="DV14" s="646" t="s">
        <v>5507</v>
      </c>
      <c r="DW14" s="308">
        <f>IF($C14="","",SUMPRODUCT(('ANALYSE - ERP =&gt; SOUS-SEGMENT'!$C$8:$C$1000=$C14)*'ANALYSE - ERP =&gt; SOUS-SEGMENT'!$Q$8:$Q$1000*'ANALYSE - ERP =&gt; SOUS-SEGMENT'!$DW$8:$DW$1000))</f>
        <v>2433</v>
      </c>
      <c r="DX14" s="308">
        <f>IF($C14="","",SUMPRODUCT(('ANALYSE - ERP =&gt; SOUS-SEGMENT'!$C$8:$C$1000=$C14)*'ANALYSE - ERP =&gt; SOUS-SEGMENT'!$Q$8:$Q$1000*'ANALYSE - ERP =&gt; SOUS-SEGMENT'!$DX$8:$DX$1000))</f>
        <v>15155.499999999998</v>
      </c>
      <c r="DY14" s="308">
        <f>IF($C14="","",SUMPRODUCT(('ANALYSE - ERP =&gt; SOUS-SEGMENT'!$C$8:$C$1000=$C14)*'ANALYSE - ERP =&gt; SOUS-SEGMENT'!$Q$8:$Q$1000*'ANALYSE - ERP =&gt; SOUS-SEGMENT'!$DY$8:$DY$1000))</f>
        <v>1186.5000000000002</v>
      </c>
      <c r="DZ14" s="646" t="s">
        <v>5508</v>
      </c>
      <c r="EA14" s="657"/>
      <c r="EB14" s="308">
        <f>IF($C14="","",SUMPRODUCT(('ANALYSE - ERP =&gt; SOUS-SEGMENT'!$C$8:$C$1000=$C14)*'ANALYSE - ERP =&gt; SOUS-SEGMENT'!$Q$8:$Q$1000*'ANALYSE - ERP =&gt; SOUS-SEGMENT'!$EB$8:$EB$1000))</f>
        <v>1689.6</v>
      </c>
      <c r="EC14" s="308">
        <f>IF($C14="","",SUMPRODUCT(('ANALYSE - ERP =&gt; SOUS-SEGMENT'!$C$8:$C$1000=$C14)*'ANALYSE - ERP =&gt; SOUS-SEGMENT'!$Q$8:$Q$1000*'ANALYSE - ERP =&gt; SOUS-SEGMENT'!$EC$8:$EC$1000))</f>
        <v>13905.6</v>
      </c>
      <c r="ED14" s="308">
        <f>IF($C14="","",SUMPRODUCT(('ANALYSE - ERP =&gt; SOUS-SEGMENT'!$C$8:$C$1000=$C14)*'ANALYSE - ERP =&gt; SOUS-SEGMENT'!$Q$8:$Q$1000*'ANALYSE - ERP =&gt; SOUS-SEGMENT'!$ED$8:$ED$1000))</f>
        <v>1399.2</v>
      </c>
      <c r="EE14" s="308">
        <f>IF($C14="","",SUMPRODUCT(('ANALYSE - ERP =&gt; SOUS-SEGMENT'!$C$8:$C$1000=$C14)*'ANALYSE - ERP =&gt; SOUS-SEGMENT'!$Q$8:$Q$1000*'ANALYSE - ERP =&gt; SOUS-SEGMENT'!$EE$8:$EE$1000))</f>
        <v>5997.6</v>
      </c>
      <c r="EF14" s="646" t="s">
        <v>5509</v>
      </c>
      <c r="EG14" s="308">
        <f>IF($C14="","",SUMPRODUCT(('ANALYSE - ERP =&gt; SOUS-SEGMENT'!$C$8:$C$1000=$C14)*'ANALYSE - ERP =&gt; SOUS-SEGMENT'!$Q$8:$Q$1000*'ANALYSE - ERP =&gt; SOUS-SEGMENT'!$EG$8:$EG$1000))</f>
        <v>1465.6000000000001</v>
      </c>
      <c r="EH14" s="308">
        <f>IF($C14="","",SUMPRODUCT(('ANALYSE - ERP =&gt; SOUS-SEGMENT'!$C$8:$C$1000=$C14)*'ANALYSE - ERP =&gt; SOUS-SEGMENT'!$Q$8:$Q$1000*'ANALYSE - ERP =&gt; SOUS-SEGMENT'!$EH$8:$EH$1000))</f>
        <v>14167</v>
      </c>
      <c r="EI14" s="308">
        <f>IF($C14="","",SUMPRODUCT(('ANALYSE - ERP =&gt; SOUS-SEGMENT'!$C$8:$C$1000=$C14)*'ANALYSE - ERP =&gt; SOUS-SEGMENT'!$Q$8:$Q$1000*'ANALYSE - ERP =&gt; SOUS-SEGMENT'!$EI$8:$EI$1000))</f>
        <v>1876.8000000000002</v>
      </c>
      <c r="EJ14" s="308">
        <f>IF($C14="","",SUMPRODUCT(('ANALYSE - ERP =&gt; SOUS-SEGMENT'!$C$8:$C$1000=$C14)*'ANALYSE - ERP =&gt; SOUS-SEGMENT'!$Q$8:$Q$1000*'ANALYSE - ERP =&gt; SOUS-SEGMENT'!$EJ$8:$EJ$1000))</f>
        <v>5630.6</v>
      </c>
      <c r="EK14" s="936" t="s">
        <v>5510</v>
      </c>
      <c r="EL14" s="657"/>
      <c r="EM14" s="308">
        <f>IF($C14="","",SUMPRODUCT(('ANALYSE - ERP =&gt; SOUS-SEGMENT'!$C$8:$C$1000=$C14)*'ANALYSE - ERP =&gt; SOUS-SEGMENT'!$Q$8:$Q$1000*'ANALYSE - ERP =&gt; SOUS-SEGMENT'!$EM$8:$EM$1000))</f>
        <v>63415.999999999993</v>
      </c>
      <c r="EN14" s="310">
        <f>IF($C14="","",SUMPRODUCT(('ANALYSE - ERP =&gt; SOUS-SEGMENT'!$C$8:$C$1000=$C14)*'ANALYSE - ERP =&gt; SOUS-SEGMENT'!$Q$8:$Q$1000*'ANALYSE - ERP =&gt; SOUS-SEGMENT'!$EN$8:$EN$1000))</f>
        <v>35355.199999999997</v>
      </c>
      <c r="EO14" s="310">
        <f>IF($C14="","",SUMPRODUCT(('ANALYSE - ERP =&gt; SOUS-SEGMENT'!$C$8:$C$1000=$C14)*'ANALYSE - ERP =&gt; SOUS-SEGMENT'!$Q$8:$Q$1000*'ANALYSE - ERP =&gt; SOUS-SEGMENT'!$EO$8:$EO$1000))</f>
        <v>3692.8</v>
      </c>
      <c r="EP14" s="646" t="s">
        <v>5511</v>
      </c>
      <c r="EQ14" s="308">
        <f>IF($C14="","",SUMPRODUCT(('ANALYSE - ERP =&gt; SOUS-SEGMENT'!$C$8:$C$1000=$C14)*'ANALYSE - ERP =&gt; SOUS-SEGMENT'!$Q$8:$Q$1000*'ANALYSE - ERP =&gt; SOUS-SEGMENT'!$EQ$8:$EQ$1000))</f>
        <v>53253.15</v>
      </c>
      <c r="ER14" s="310">
        <f>IF($C14="","",SUMPRODUCT(('ANALYSE - ERP =&gt; SOUS-SEGMENT'!$C$8:$C$1000=$C14)*'ANALYSE - ERP =&gt; SOUS-SEGMENT'!$Q$8:$Q$1000*'ANALYSE - ERP =&gt; SOUS-SEGMENT'!$ER$8:$ER$1000))</f>
        <v>40432.179999999993</v>
      </c>
      <c r="ES14" s="310">
        <f>IF($C14="","",SUMPRODUCT(('ANALYSE - ERP =&gt; SOUS-SEGMENT'!$C$8:$C$1000=$C14)*'ANALYSE - ERP =&gt; SOUS-SEGMENT'!$Q$8:$Q$1000*'ANALYSE - ERP =&gt; SOUS-SEGMENT'!$ES$8:$ES$1000))</f>
        <v>9335.67</v>
      </c>
      <c r="ET14" s="646" t="s">
        <v>5512</v>
      </c>
      <c r="EU14" s="657"/>
      <c r="EV14" s="728">
        <f t="shared" si="31"/>
        <v>0.78049516598921054</v>
      </c>
      <c r="EW14" s="728">
        <f t="shared" si="32"/>
        <v>0.21950483401078938</v>
      </c>
      <c r="EX14" s="311">
        <f t="shared" si="33"/>
        <v>81152.313935484533</v>
      </c>
      <c r="EY14" s="311">
        <f t="shared" si="34"/>
        <v>63338.988735484527</v>
      </c>
      <c r="EZ14" s="311">
        <f t="shared" si="35"/>
        <v>17813.325200000003</v>
      </c>
      <c r="FA14" s="311">
        <f t="shared" si="36"/>
        <v>33798.658396800005</v>
      </c>
      <c r="FB14" s="311">
        <f>IF($C14="","",SUMPRODUCT(('ANALYSE - ERP =&gt; SOUS-SEGMENT'!$C$8:$C$1000=$C14)*'ANALYSE - ERP =&gt; SOUS-SEGMENT'!$Q$8:$Q$1000*'ANALYSE - ERP =&gt; SOUS-SEGMENT'!$FB$8:$FB$1000))</f>
        <v>26106.1147968</v>
      </c>
      <c r="FC14" s="311">
        <f>IF($C14="","",SUMPRODUCT(('ANALYSE - ERP =&gt; SOUS-SEGMENT'!$C$8:$C$1000=$C14)*'ANALYSE - ERP =&gt; SOUS-SEGMENT'!$Q$8:$Q$1000*'ANALYSE - ERP =&gt; SOUS-SEGMENT'!$FC$8:$FC$1000))</f>
        <v>7692.5436000000009</v>
      </c>
      <c r="FD14" s="311">
        <f t="shared" si="37"/>
        <v>9025.7775740535726</v>
      </c>
      <c r="FE14" s="311">
        <f>IF($C14="","",SUMPRODUCT(('ANALYSE - ERP =&gt; SOUS-SEGMENT'!$C$8:$C$1000=$C14)*'ANALYSE - ERP =&gt; SOUS-SEGMENT'!$Q$8:$Q$1000*'ANALYSE - ERP =&gt; SOUS-SEGMENT'!$FE$8:$FE$1000))</f>
        <v>7449.5451740535718</v>
      </c>
      <c r="FF14" s="311">
        <f>IF($C14="","",SUMPRODUCT(('ANALYSE - ERP =&gt; SOUS-SEGMENT'!$C$8:$C$1000=$C14)*'ANALYSE - ERP =&gt; SOUS-SEGMENT'!$Q$8:$Q$1000*'ANALYSE - ERP =&gt; SOUS-SEGMENT'!$FF$8:$FF$1000))</f>
        <v>1576.2323999999999</v>
      </c>
      <c r="FG14" s="311">
        <f t="shared" si="38"/>
        <v>7327.942339130952</v>
      </c>
      <c r="FH14" s="311">
        <f>IF($C14="","",SUMPRODUCT(('ANALYSE - ERP =&gt; SOUS-SEGMENT'!$C$8:$C$1000=$C14)*'ANALYSE - ERP =&gt; SOUS-SEGMENT'!$Q$8:$Q$1000*'ANALYSE - ERP =&gt; SOUS-SEGMENT'!$FH$8:$FH$1000))</f>
        <v>5736.6215391309515</v>
      </c>
      <c r="FI14" s="311">
        <f>IF($C14="","",SUMPRODUCT(('ANALYSE - ERP =&gt; SOUS-SEGMENT'!$C$8:$C$1000=$C14)*'ANALYSE - ERP =&gt; SOUS-SEGMENT'!$Q$8:$Q$1000*'ANALYSE - ERP =&gt; SOUS-SEGMENT'!$FI$8:$FI$1000))</f>
        <v>1591.3208</v>
      </c>
      <c r="FJ14" s="311">
        <f t="shared" si="39"/>
        <v>30999.935625500002</v>
      </c>
      <c r="FK14" s="311">
        <f>IF($C14="","",SUMPRODUCT(('ANALYSE - ERP =&gt; SOUS-SEGMENT'!$C$8:$C$1000=$C14)*'ANALYSE - ERP =&gt; SOUS-SEGMENT'!$Q$8:$Q$1000*'ANALYSE - ERP =&gt; SOUS-SEGMENT'!$FK$8:$FK$1000))</f>
        <v>24046.707225500002</v>
      </c>
      <c r="FL14" s="311">
        <f>IF($C14="","",SUMPRODUCT(('ANALYSE - ERP =&gt; SOUS-SEGMENT'!$C$8:$C$1000=$C14)*'ANALYSE - ERP =&gt; SOUS-SEGMENT'!$Q$8:$Q$1000*'ANALYSE - ERP =&gt; SOUS-SEGMENT'!$FL$8:$FL$1000))</f>
        <v>6953.2284000000009</v>
      </c>
      <c r="FM14" s="657"/>
      <c r="FN14" s="954" t="s">
        <v>2649</v>
      </c>
      <c r="FO14" s="728">
        <f>IF($C14="","",IFERROR(SUMPRODUCT(('ANALYSE - ERP =&gt; SOUS-SEGMENT'!$C$8:$C$1000=$C14)*'ANALYSE - ERP =&gt; SOUS-SEGMENT'!$Q$8:$Q$1000*'ANALYSE - ERP =&gt; SOUS-SEGMENT'!$AF$8:$AF$1000*'ANALYSE - ERP =&gt; SOUS-SEGMENT'!$FO$8:$FO$1000)/SUMPRODUCT(('ANALYSE - ERP =&gt; SOUS-SEGMENT'!$C$8:$C$1000=$C14)*'ANALYSE - ERP =&gt; SOUS-SEGMENT'!$Q$8:$Q$1000*'ANALYSE - ERP =&gt; SOUS-SEGMENT'!$AF$8:$AF$1000),""))</f>
        <v>6.3300251870508931E-2</v>
      </c>
      <c r="FP14" s="729">
        <f>IF($C14="","",IFERROR(SUMPRODUCT(('ANALYSE - ERP =&gt; SOUS-SEGMENT'!$C$8:$C$1000=$C14)*'ANALYSE - ERP =&gt; SOUS-SEGMENT'!$Q$8:$Q$1000*'ANALYSE - ERP =&gt; SOUS-SEGMENT'!$AF$8:$AF$1000*'ANALYSE - ERP =&gt; SOUS-SEGMENT'!$FP$8:$FP$1000)/SUMPRODUCT(('ANALYSE - ERP =&gt; SOUS-SEGMENT'!$C$8:$C$1000=$C14)*'ANALYSE - ERP =&gt; SOUS-SEGMENT'!$Q$8:$Q$1000*'ANALYSE - ERP =&gt; SOUS-SEGMENT'!$AF$8:$AF$1000),""))</f>
        <v>0.83769978887324992</v>
      </c>
      <c r="FQ14" s="954" t="s">
        <v>5513</v>
      </c>
      <c r="FR14" s="657"/>
      <c r="FS14" s="865">
        <f>IF($C14="","",IFERROR(SUMPRODUCT(('ANALYSE - ERP =&gt; SOUS-SEGMENT'!$C$8:$C$1000=$C14)*'ANALYSE - ERP =&gt; SOUS-SEGMENT'!$Q$8:$Q$1000*'ANALYSE - ERP =&gt; SOUS-SEGMENT'!$EX$8:$EX$1000*'ANALYSE - ERP =&gt; SOUS-SEGMENT'!$FS$8:$FS$1000)/SUMPRODUCT(('ANALYSE - ERP =&gt; SOUS-SEGMENT'!$C$8:$C$1000=$C14)*'ANALYSE - ERP =&gt; SOUS-SEGMENT'!$Q$8:$Q$1000*'ANALYSE - ERP =&gt; SOUS-SEGMENT'!$EX$8:$EX$1000),""))</f>
        <v>3.2620233565539594</v>
      </c>
      <c r="FT14" s="312">
        <f>IF($C14="","",RANK($FS14,$FS$8:$FS$43,0)+COUNTIF($FS$8:$FS14,$FS14)-1)</f>
        <v>21</v>
      </c>
      <c r="FU14" s="865">
        <f>IF($C14="","",IFERROR(SUMPRODUCT(('ANALYSE - ERP =&gt; SOUS-SEGMENT'!$C$8:$C$1000=$C14)*'ANALYSE - ERP =&gt; SOUS-SEGMENT'!$Q$8:$Q$1000*'ANALYSE - ERP =&gt; SOUS-SEGMENT'!$EY$8:$EY$1000*'ANALYSE - ERP =&gt; SOUS-SEGMENT'!$FU$8:$FU$1000)/SUMPRODUCT(('ANALYSE - ERP =&gt; SOUS-SEGMENT'!$C$8:$C$1000=$C14)*'ANALYSE - ERP =&gt; SOUS-SEGMENT'!$Q$8:$Q$1000*'ANALYSE - ERP =&gt; SOUS-SEGMENT'!$EY$8:$EY$1000),""))</f>
        <v>4.0922810545061301</v>
      </c>
      <c r="FV14" s="312">
        <f>IF($C14="","",RANK($FU14,$FU$8:$FU$43,0)+COUNTIF($FU$8:$FU14,$FU14)-1)</f>
        <v>18</v>
      </c>
      <c r="FW14" s="865">
        <f>IF($C14="","",IFERROR(SUMPRODUCT(('ANALYSE - ERP =&gt; SOUS-SEGMENT'!$C$8:$C$1000=$C14)*'ANALYSE - ERP =&gt; SOUS-SEGMENT'!$Q$8:$Q$1000*'ANALYSE - ERP =&gt; SOUS-SEGMENT'!$EZ$8:$EZ$1000*'ANALYSE - ERP =&gt; SOUS-SEGMENT'!$FW$8:$FW$1000)/SUMPRODUCT(('ANALYSE - ERP =&gt; SOUS-SEGMENT'!$C$8:$C$1000=$C14)*'ANALYSE - ERP =&gt; SOUS-SEGMENT'!$Q$8:$Q$1000*'ANALYSE - ERP =&gt; SOUS-SEGMENT'!$EZ$8:$EZ$1000),""))</f>
        <v>2.0851583800872842</v>
      </c>
      <c r="FX14" s="312">
        <f>IF($C14="","",RANK($FW14,$FW$8:$FW$43,0)+COUNTIF($FW$8:$FW14,$FW14)-1)</f>
        <v>23</v>
      </c>
      <c r="FY14" s="657"/>
      <c r="FZ14" s="646" t="s">
        <v>5514</v>
      </c>
      <c r="GA14" s="646" t="s">
        <v>5515</v>
      </c>
      <c r="GB14" s="646" t="s">
        <v>5516</v>
      </c>
      <c r="GC14" s="646" t="s">
        <v>5517</v>
      </c>
      <c r="GD14" s="646" t="s">
        <v>5518</v>
      </c>
      <c r="GE14" s="646" t="s">
        <v>5519</v>
      </c>
      <c r="GF14" s="276" t="s">
        <v>5520</v>
      </c>
      <c r="GG14" s="657"/>
      <c r="GH14" s="311">
        <f t="shared" si="40"/>
        <v>7731.7705299600011</v>
      </c>
      <c r="GI14" s="311">
        <f>IF($C14="","",SUMPRODUCT(('ANALYSE - ERP =&gt; SOUS-SEGMENT'!$C$8:$C$1000=$C14)*'ANALYSE - ERP =&gt; SOUS-SEGMENT'!$Q$8:$Q$1000*'ANALYSE - ERP =&gt; SOUS-SEGMENT'!$GI$8:$GI$1000))</f>
        <v>6103.0582419600014</v>
      </c>
      <c r="GJ14" s="311">
        <f>IF($C14="","",SUMPRODUCT(('ANALYSE - ERP =&gt; SOUS-SEGMENT'!$C$8:$C$1000=$C14)*'ANALYSE - ERP =&gt; SOUS-SEGMENT'!$Q$8:$Q$1000*'ANALYSE - ERP =&gt; SOUS-SEGMENT'!$GJ$8:$GJ$1000))</f>
        <v>1628.7122879999999</v>
      </c>
      <c r="GK14" s="311">
        <f t="shared" si="41"/>
        <v>21990.584259840001</v>
      </c>
      <c r="GL14" s="311">
        <f>IF($C14="","",SUMPRODUCT(('ANALYSE - ERP =&gt; SOUS-SEGMENT'!$C$8:$C$1000=$C14)*'ANALYSE - ERP =&gt; SOUS-SEGMENT'!$Q$8:$Q$1000*'ANALYSE - ERP =&gt; SOUS-SEGMENT'!$GL$8:$GL$1000))</f>
        <v>16919.13432384</v>
      </c>
      <c r="GM14" s="311">
        <f>IF($C14="","",SUMPRODUCT(('ANALYSE - ERP =&gt; SOUS-SEGMENT'!$C$8:$C$1000=$C14)*'ANALYSE - ERP =&gt; SOUS-SEGMENT'!$Q$8:$Q$1000*'ANALYSE - ERP =&gt; SOUS-SEGMENT'!$GM$8:$GM$1000))</f>
        <v>5071.449936</v>
      </c>
      <c r="GN14" s="311">
        <f t="shared" si="42"/>
        <v>2026.7303212800002</v>
      </c>
      <c r="GO14" s="311">
        <f>IF($C14="","",SUMPRODUCT(('ANALYSE - ERP =&gt; SOUS-SEGMENT'!$C$8:$C$1000=$C14)*'ANALYSE - ERP =&gt; SOUS-SEGMENT'!$Q$8:$Q$1000*'ANALYSE - ERP =&gt; SOUS-SEGMENT'!$GO$8:$GO$1000))</f>
        <v>1495.9015612800001</v>
      </c>
      <c r="GP14" s="311">
        <f>IF($C14="","",SUMPRODUCT(('ANALYSE - ERP =&gt; SOUS-SEGMENT'!$C$8:$C$1000=$C14)*'ANALYSE - ERP =&gt; SOUS-SEGMENT'!$Q$8:$Q$1000*'ANALYSE - ERP =&gt; SOUS-SEGMENT'!$GP$8:$GP$1000))</f>
        <v>530.82875999999999</v>
      </c>
      <c r="GQ14" s="311">
        <f t="shared" si="43"/>
        <v>2049.5732857199996</v>
      </c>
      <c r="GR14" s="311">
        <f>IF($C14="","",SUMPRODUCT(('ANALYSE - ERP =&gt; SOUS-SEGMENT'!$C$8:$C$1000=$C14)*'ANALYSE - ERP =&gt; SOUS-SEGMENT'!$Q$8:$Q$1000*'ANALYSE - ERP =&gt; SOUS-SEGMENT'!$GR$8:$GR$1000))</f>
        <v>1588.0206697199999</v>
      </c>
      <c r="GS14" s="311">
        <f>IF($C14="","",SUMPRODUCT(('ANALYSE - ERP =&gt; SOUS-SEGMENT'!$C$8:$C$1000=$C14)*'ANALYSE - ERP =&gt; SOUS-SEGMENT'!$Q$8:$Q$1000*'ANALYSE - ERP =&gt; SOUS-SEGMENT'!$GS$8:$GS$1000))</f>
        <v>461.55261599999989</v>
      </c>
      <c r="GT14" s="311">
        <f t="shared" si="44"/>
        <v>1370.9802290250002</v>
      </c>
      <c r="GU14" s="311">
        <f>IF($C14="","",SUMPRODUCT(('ANALYSE - ERP =&gt; SOUS-SEGMENT'!$C$8:$C$1000=$C14)*'ANALYSE - ERP =&gt; SOUS-SEGMENT'!$Q$8:$Q$1000*'ANALYSE - ERP =&gt; SOUS-SEGMENT'!$GU$8:$GU$1000))</f>
        <v>1170.6561410250001</v>
      </c>
      <c r="GV14" s="311">
        <f>IF($C14="","",SUMPRODUCT(('ANALYSE - ERP =&gt; SOUS-SEGMENT'!$C$8:$C$1000=$C14)*'ANALYSE - ERP =&gt; SOUS-SEGMENT'!$Q$8:$Q$1000*'ANALYSE - ERP =&gt; SOUS-SEGMENT'!$GV$8:$GV$1000))</f>
        <v>200.32408799999999</v>
      </c>
      <c r="GW14" s="311">
        <f t="shared" si="45"/>
        <v>7141.0691195000018</v>
      </c>
      <c r="GX14" s="311">
        <f>IF($C14="","",SUMPRODUCT(('ANALYSE - ERP =&gt; SOUS-SEGMENT'!$C$8:$C$1000=$C14)*'ANALYSE - ERP =&gt; SOUS-SEGMENT'!$Q$8:$Q$1000*'ANALYSE - ERP =&gt; SOUS-SEGMENT'!$GX$8:$GX$1000))</f>
        <v>5863.4601515000013</v>
      </c>
      <c r="GY14" s="311">
        <f>IF($C14="","",SUMPRODUCT(('ANALYSE - ERP =&gt; SOUS-SEGMENT'!$C$8:$C$1000=$C14)*'ANALYSE - ERP =&gt; SOUS-SEGMENT'!$Q$8:$Q$1000*'ANALYSE - ERP =&gt; SOUS-SEGMENT'!$GY$8:$GY$1000))</f>
        <v>1277.608968</v>
      </c>
      <c r="GZ14" s="311">
        <f t="shared" si="46"/>
        <v>513.72822552857144</v>
      </c>
      <c r="HA14" s="311">
        <f>IF($C14="","",SUMPRODUCT(('ANALYSE - ERP =&gt; SOUS-SEGMENT'!$C$8:$C$1000=$C14)*'ANALYSE - ERP =&gt; SOUS-SEGMENT'!$Q$8:$Q$1000*'ANALYSE - ERP =&gt; SOUS-SEGMENT'!$HA$8:$HA$1000))</f>
        <v>415.42888152857142</v>
      </c>
      <c r="HB14" s="311">
        <f>IF($C14="","",SUMPRODUCT(('ANALYSE - ERP =&gt; SOUS-SEGMENT'!$C$8:$C$1000=$C14)*'ANALYSE - ERP =&gt; SOUS-SEGMENT'!$Q$8:$Q$1000*'ANALYSE - ERP =&gt; SOUS-SEGMENT'!$HB$8:$HB$1000))</f>
        <v>98.299344000000005</v>
      </c>
      <c r="HC14" s="311">
        <f t="shared" si="47"/>
        <v>507.99036123000008</v>
      </c>
      <c r="HD14" s="311">
        <f>IF($C14="","",SUMPRODUCT(('ANALYSE - ERP =&gt; SOUS-SEGMENT'!$C$8:$C$1000=$C14)*'ANALYSE - ERP =&gt; SOUS-SEGMENT'!$Q$8:$Q$1000*'ANALYSE - ERP =&gt; SOUS-SEGMENT'!$HD$8:$HD$1000))</f>
        <v>410.80892923000005</v>
      </c>
      <c r="HE14" s="311">
        <f>IF($C14="","",SUMPRODUCT(('ANALYSE - ERP =&gt; SOUS-SEGMENT'!$C$8:$C$1000=$C14)*'ANALYSE - ERP =&gt; SOUS-SEGMENT'!$Q$8:$Q$1000*'ANALYSE - ERP =&gt; SOUS-SEGMENT'!$HE$8:$HE$1000))</f>
        <v>97.181432000000001</v>
      </c>
      <c r="HF14" s="311">
        <f t="shared" si="48"/>
        <v>4275.1213557199999</v>
      </c>
      <c r="HG14" s="311">
        <f>IF($C14="","",SUMPRODUCT(('ANALYSE - ERP =&gt; SOUS-SEGMENT'!$C$8:$C$1000=$C14)*'ANALYSE - ERP =&gt; SOUS-SEGMENT'!$Q$8:$Q$1000*'ANALYSE - ERP =&gt; SOUS-SEGMENT'!$HG$8:$HG$1000))</f>
        <v>3310.48531572</v>
      </c>
      <c r="HH14" s="311">
        <f>IF($C14="","",SUMPRODUCT(('ANALYSE - ERP =&gt; SOUS-SEGMENT'!$C$8:$C$1000=$C14)*'ANALYSE - ERP =&gt; SOUS-SEGMENT'!$Q$8:$Q$1000*'ANALYSE - ERP =&gt; SOUS-SEGMENT'!$HH$8:$HH$1000))</f>
        <v>964.63603999999998</v>
      </c>
      <c r="HI14" s="311">
        <f t="shared" si="49"/>
        <v>596.29368201428565</v>
      </c>
      <c r="HJ14" s="311">
        <f>IF($C14="","",SUMPRODUCT(('ANALYSE - ERP =&gt; SOUS-SEGMENT'!$C$8:$C$1000=$C14)*'ANALYSE - ERP =&gt; SOUS-SEGMENT'!$Q$8:$Q$1000*'ANALYSE - ERP =&gt; SOUS-SEGMENT'!$HJ$8:$HJ$1000))</f>
        <v>461.21618601428571</v>
      </c>
      <c r="HK14" s="311">
        <f>IF($C14="","",SUMPRODUCT(('ANALYSE - ERP =&gt; SOUS-SEGMENT'!$C$8:$C$1000=$C14)*'ANALYSE - ERP =&gt; SOUS-SEGMENT'!$Q$8:$Q$1000*'ANALYSE - ERP =&gt; SOUS-SEGMENT'!$HK$8:$HK$1000))</f>
        <v>135.077496</v>
      </c>
      <c r="HL14" s="311">
        <f t="shared" si="50"/>
        <v>1948.5369401666667</v>
      </c>
      <c r="HM14" s="311">
        <f>IF($C14="","",SUMPRODUCT(('ANALYSE - ERP =&gt; SOUS-SEGMENT'!$C$8:$C$1000=$C14)*'ANALYSE - ERP =&gt; SOUS-SEGMENT'!$Q$8:$Q$1000*'ANALYSE - ERP =&gt; SOUS-SEGMENT'!$HM$8:$HM$1000))</f>
        <v>1554.1111081666668</v>
      </c>
      <c r="HN14" s="311">
        <f>IF($C14="","",SUMPRODUCT(('ANALYSE - ERP =&gt; SOUS-SEGMENT'!$C$8:$C$1000=$C14)*'ANALYSE - ERP =&gt; SOUS-SEGMENT'!$Q$8:$Q$1000*'ANALYSE - ERP =&gt; SOUS-SEGMENT'!$HN$8:$HN$1000))</f>
        <v>394.42583199999996</v>
      </c>
      <c r="HO14" s="311">
        <f t="shared" si="51"/>
        <v>16962.760978350001</v>
      </c>
      <c r="HP14" s="311">
        <f>IF($C14="","",SUMPRODUCT(('ANALYSE - ERP =&gt; SOUS-SEGMENT'!$C$8:$C$1000=$C14)*'ANALYSE - ERP =&gt; SOUS-SEGMENT'!$Q$8:$Q$1000*'ANALYSE - ERP =&gt; SOUS-SEGMENT'!$HP$8:$HP$1000))</f>
        <v>13572.77471835</v>
      </c>
      <c r="HQ14" s="311">
        <f>IF($C14="","",SUMPRODUCT(('ANALYSE - ERP =&gt; SOUS-SEGMENT'!$C$8:$C$1000=$C14)*'ANALYSE - ERP =&gt; SOUS-SEGMENT'!$Q$8:$Q$1000*'ANALYSE - ERP =&gt; SOUS-SEGMENT'!$HQ$8:$HQ$1000))</f>
        <v>3389.9862600000006</v>
      </c>
      <c r="HR14" s="311">
        <f t="shared" si="52"/>
        <v>11492.336135400001</v>
      </c>
      <c r="HS14" s="311">
        <f>IF($C14="","",SUMPRODUCT(('ANALYSE - ERP =&gt; SOUS-SEGMENT'!$C$8:$C$1000=$C14)*'ANALYSE - ERP =&gt; SOUS-SEGMENT'!$Q$8:$Q$1000*'ANALYSE - ERP =&gt; SOUS-SEGMENT'!$HS$8:$HS$1000))</f>
        <v>8659.042463400001</v>
      </c>
      <c r="HT14" s="311">
        <f>IF($C14="","",SUMPRODUCT(('ANALYSE - ERP =&gt; SOUS-SEGMENT'!$C$8:$C$1000=$C14)*'ANALYSE - ERP =&gt; SOUS-SEGMENT'!$Q$8:$Q$1000*'ANALYSE - ERP =&gt; SOUS-SEGMENT'!$HT$8:$HT$1000))</f>
        <v>2833.2936719999998</v>
      </c>
      <c r="HU14" s="311">
        <f t="shared" si="53"/>
        <v>2544.8385117500002</v>
      </c>
      <c r="HV14" s="311">
        <f>IF($C14="","",SUMPRODUCT(('ANALYSE - ERP =&gt; SOUS-SEGMENT'!$C$8:$C$1000=$C14)*'ANALYSE - ERP =&gt; SOUS-SEGMENT'!$Q$8:$Q$1000*'ANALYSE - ERP =&gt; SOUS-SEGMENT'!$HV$8:$HV$1000))</f>
        <v>1814.8900437500001</v>
      </c>
      <c r="HW14" s="311">
        <f>IF($C14="","",SUMPRODUCT(('ANALYSE - ERP =&gt; SOUS-SEGMENT'!$C$8:$C$1000=$C14)*'ANALYSE - ERP =&gt; SOUS-SEGMENT'!$Q$8:$Q$1000*'ANALYSE - ERP =&gt; SOUS-SEGMENT'!$HW$8:$HW$1000))</f>
        <v>729.94846800000005</v>
      </c>
      <c r="HY14" s="313">
        <f t="shared" si="54"/>
        <v>252473.04399999999</v>
      </c>
      <c r="HZ14" s="313">
        <f>IF($C14="","",SUMPRODUCT(('ANALYSE - ERP =&gt; SOUS-SEGMENT'!$C$8:$C$1000=$C14)*'ANALYSE - ERP =&gt; SOUS-SEGMENT'!$Q$8:$Q$1000*'ANALYSE - ERP =&gt; SOUS-SEGMENT'!$HZ$8:$HZ$1000))</f>
        <v>42497.39</v>
      </c>
      <c r="IA14" s="313">
        <f>IF($C14="","",SUMPRODUCT(('ANALYSE - ERP =&gt; SOUS-SEGMENT'!$C$8:$C$1000=$C14)*'ANALYSE - ERP =&gt; SOUS-SEGMENT'!$Q$8:$Q$1000*'ANALYSE - ERP =&gt; SOUS-SEGMENT'!$IA$8:$IA$1000))</f>
        <v>138034.50480000002</v>
      </c>
      <c r="IB14" s="313">
        <f>IF($C14="","",SUMPRODUCT(('ANALYSE - ERP =&gt; SOUS-SEGMENT'!$C$8:$C$1000=$C14)*'ANALYSE - ERP =&gt; SOUS-SEGMENT'!$Q$8:$Q$1000*'ANALYSE - ERP =&gt; SOUS-SEGMENT'!$IB$8:$IB$1000))</f>
        <v>66401.876399999994</v>
      </c>
      <c r="IC14" s="313">
        <f>IF($C14="","",SUMPRODUCT(('ANALYSE - ERP =&gt; SOUS-SEGMENT'!$C$8:$C$1000=$C14)*'ANALYSE - ERP =&gt; SOUS-SEGMENT'!$Q$8:$Q$1000*'ANALYSE - ERP =&gt; SOUS-SEGMENT'!$IC$8:$IC$1000))</f>
        <v>5359.52</v>
      </c>
      <c r="ID14" s="313">
        <f>IF($C14="","",SUMPRODUCT(('ANALYSE - ERP =&gt; SOUS-SEGMENT'!$C$8:$C$1000=$C14)*'ANALYSE - ERP =&gt; SOUS-SEGMENT'!$Q$8:$Q$1000*'ANALYSE - ERP =&gt; SOUS-SEGMENT'!$ID$8:$ID$1000))</f>
        <v>179.75280000000001</v>
      </c>
      <c r="IE14" s="313">
        <f t="shared" si="55"/>
        <v>62138.864733484523</v>
      </c>
      <c r="IF14" s="313">
        <f>IF($C14="","",SUMPRODUCT(('ANALYSE - ERP =&gt; SOUS-SEGMENT'!$C$8:$C$1000=$C14)*'ANALYSE - ERP =&gt; SOUS-SEGMENT'!$Q$8:$Q$1000*'ANALYSE - ERP =&gt; SOUS-SEGMENT'!$IF$8:$IF$1000))</f>
        <v>4802.3865067060806</v>
      </c>
      <c r="IG14" s="313">
        <f>IF($C14="","",SUMPRODUCT(('ANALYSE - ERP =&gt; SOUS-SEGMENT'!$C$8:$C$1000=$C14)*'ANALYSE - ERP =&gt; SOUS-SEGMENT'!$Q$8:$Q$1000*'ANALYSE - ERP =&gt; SOUS-SEGMENT'!$IG$8:$IG$1000))</f>
        <v>29391.982123019625</v>
      </c>
      <c r="IH14" s="313">
        <f>IF($C14="","",SUMPRODUCT(('ANALYSE - ERP =&gt; SOUS-SEGMENT'!$C$8:$C$1000=$C14)*'ANALYSE - ERP =&gt; SOUS-SEGMENT'!$Q$8:$Q$1000*'ANALYSE - ERP =&gt; SOUS-SEGMENT'!$IH$8:$IH$1000))</f>
        <v>24582.815175576223</v>
      </c>
      <c r="II14" s="313">
        <f>IF($C14="","",SUMPRODUCT(('ANALYSE - ERP =&gt; SOUS-SEGMENT'!$C$8:$C$1000=$C14)*'ANALYSE - ERP =&gt; SOUS-SEGMENT'!$Q$8:$Q$1000*'ANALYSE - ERP =&gt; SOUS-SEGMENT'!$II$8:$II$1000))</f>
        <v>3164.5484627532596</v>
      </c>
      <c r="IJ14" s="313">
        <f>IF($C14="","",SUMPRODUCT(('ANALYSE - ERP =&gt; SOUS-SEGMENT'!$C$8:$C$1000=$C14)*'ANALYSE - ERP =&gt; SOUS-SEGMENT'!$Q$8:$Q$1000*'ANALYSE - ERP =&gt; SOUS-SEGMENT'!$IJ$8:$IJ$1000))</f>
        <v>197.13246542933601</v>
      </c>
      <c r="IK14" s="866">
        <f>IF($C14="","",IFERROR(SUMPRODUCT(('ANALYSE - ERP =&gt; SOUS-SEGMENT'!$C$8:$C$1000=$C14)*'ANALYSE - ERP =&gt; SOUS-SEGMENT'!$Q$8:$Q$1000*'ANALYSE - ERP =&gt; SOUS-SEGMENT'!$IE$8:$IE$1000*'ANALYSE - ERP =&gt; SOUS-SEGMENT'!$IK$8:$IK$1000)/SUMPRODUCT(('ANALYSE - ERP =&gt; SOUS-SEGMENT'!$C$8:$C$1000=$C14)*'ANALYSE - ERP =&gt; SOUS-SEGMENT'!$Q$8:$Q$1000*'ANALYSE - ERP =&gt; SOUS-SEGMENT'!$IE$8:$IE$1000),""))</f>
        <v>3.7438291349864259</v>
      </c>
      <c r="IL14" s="920" t="s">
        <v>5521</v>
      </c>
      <c r="IM14" s="964" t="s">
        <v>5522</v>
      </c>
      <c r="IN14" s="657"/>
      <c r="IO14" s="730">
        <f>IF($C14="","",IFERROR(SUMPRODUCT(('ANALYSE - ERP =&gt; SOUS-SEGMENT'!$C$8:$C$1000=$C14)*'ANALYSE - ERP =&gt; SOUS-SEGMENT'!$Q$8:$Q$1000*'ANALYSE - ERP =&gt; SOUS-SEGMENT'!$BE$8:$BE$1000*'ANALYSE - ERP =&gt; SOUS-SEGMENT'!$IO$8:$IO$1000)/SUMPRODUCT(('ANALYSE - ERP =&gt; SOUS-SEGMENT'!$C$8:$C$1000=$C14)*'ANALYSE - ERP =&gt; SOUS-SEGMENT'!$Q$8:$Q$1000*'ANALYSE - ERP =&gt; SOUS-SEGMENT'!$BE$8:$BE$1000),""))</f>
        <v>0.16494079429948655</v>
      </c>
      <c r="IP14" s="730">
        <f>IF($C14="","",IFERROR(SUMPRODUCT(('ANALYSE - ERP =&gt; SOUS-SEGMENT'!$C$8:$C$1000=$C14)*'ANALYSE - ERP =&gt; SOUS-SEGMENT'!$Q$8:$Q$1000*'ANALYSE - ERP =&gt; SOUS-SEGMENT'!$BE$8:$BE$1000*'ANALYSE - ERP =&gt; SOUS-SEGMENT'!$IP$8:$IP$1000)/SUMPRODUCT(('ANALYSE - ERP =&gt; SOUS-SEGMENT'!$C$8:$C$1000=$C14)*'ANALYSE - ERP =&gt; SOUS-SEGMENT'!$Q$8:$Q$1000*'ANALYSE - ERP =&gt; SOUS-SEGMENT'!$BE$8:$BE$1000),""))</f>
        <v>0.55456774599182657</v>
      </c>
      <c r="IQ14" s="730">
        <f>IF($C14="","",IFERROR(SUMPRODUCT(('ANALYSE - ERP =&gt; SOUS-SEGMENT'!$C$8:$C$1000=$C14)*'ANALYSE - ERP =&gt; SOUS-SEGMENT'!$Q$8:$Q$1000*'ANALYSE - ERP =&gt; SOUS-SEGMENT'!$BE$8:$BE$1000*'ANALYSE - ERP =&gt; SOUS-SEGMENT'!$IQ$8:$IQ$1000)/SUMPRODUCT(('ANALYSE - ERP =&gt; SOUS-SEGMENT'!$C$8:$C$1000=$C14)*'ANALYSE - ERP =&gt; SOUS-SEGMENT'!$Q$8:$Q$1000*'ANALYSE - ERP =&gt; SOUS-SEGMENT'!$BE$8:$BE$1000),""))</f>
        <v>0.26342869118725765</v>
      </c>
      <c r="IR14" s="730">
        <f>IF($C14="","",IFERROR(SUMPRODUCT(('ANALYSE - ERP =&gt; SOUS-SEGMENT'!$C$8:$C$1000=$C14)*'ANALYSE - ERP =&gt; SOUS-SEGMENT'!$Q$8:$Q$1000*'ANALYSE - ERP =&gt; SOUS-SEGMENT'!$BE$8:$BE$1000*'ANALYSE - ERP =&gt; SOUS-SEGMENT'!$IR$8:$IR$1000)/SUMPRODUCT(('ANALYSE - ERP =&gt; SOUS-SEGMENT'!$C$8:$C$1000=$C14)*'ANALYSE - ERP =&gt; SOUS-SEGMENT'!$Q$8:$Q$1000*'ANALYSE - ERP =&gt; SOUS-SEGMENT'!$BE$8:$BE$1000),""))</f>
        <v>1.6218170386670856E-2</v>
      </c>
      <c r="IS14" s="730">
        <f>IF($C14="","",IFERROR(SUMPRODUCT(('ANALYSE - ERP =&gt; SOUS-SEGMENT'!$C$8:$C$1000=$C14)*'ANALYSE - ERP =&gt; SOUS-SEGMENT'!$Q$8:$Q$1000*'ANALYSE - ERP =&gt; SOUS-SEGMENT'!$BE$8:$BE$1000*'ANALYSE - ERP =&gt; SOUS-SEGMENT'!$IS$8:$IS$1000)/SUMPRODUCT(('ANALYSE - ERP =&gt; SOUS-SEGMENT'!$C$8:$C$1000=$C14)*'ANALYSE - ERP =&gt; SOUS-SEGMENT'!$Q$8:$Q$1000*'ANALYSE - ERP =&gt; SOUS-SEGMENT'!$BE$8:$BE$1000),""))</f>
        <v>8.4459813475846167E-4</v>
      </c>
      <c r="IT14" s="730">
        <f>IF($C14="","",IFERROR(SUMPRODUCT(('ANALYSE - ERP =&gt; SOUS-SEGMENT'!$C$8:$C$1000=$C14)*'ANALYSE - ERP =&gt; SOUS-SEGMENT'!$Q$8:$Q$1000*'ANALYSE - ERP =&gt; SOUS-SEGMENT'!$FB$8:$FB$1000*'ANALYSE - ERP =&gt; SOUS-SEGMENT'!$IT$8:$IT$1000)/SUMPRODUCT(('ANALYSE - ERP =&gt; SOUS-SEGMENT'!$C$8:$C$1000=$C14)*'ANALYSE - ERP =&gt; SOUS-SEGMENT'!$Q$8:$Q$1000*'ANALYSE - ERP =&gt; SOUS-SEGMENT'!$FB$8:$FB$1000),""))</f>
        <v>7.9055300557270017E-2</v>
      </c>
      <c r="IU14" s="730">
        <f>IF($C14="","",IFERROR(SUMPRODUCT(('ANALYSE - ERP =&gt; SOUS-SEGMENT'!$C$8:$C$1000=$C14)*'ANALYSE - ERP =&gt; SOUS-SEGMENT'!$Q$8:$Q$1000*'ANALYSE - ERP =&gt; SOUS-SEGMENT'!$FB$8:$FB$1000*'ANALYSE - ERP =&gt; SOUS-SEGMENT'!$IU$8:$IU$1000)/SUMPRODUCT(('ANALYSE - ERP =&gt; SOUS-SEGMENT'!$C$8:$C$1000=$C14)*'ANALYSE - ERP =&gt; SOUS-SEGMENT'!$Q$8:$Q$1000*'ANALYSE - ERP =&gt; SOUS-SEGMENT'!$FB$8:$FB$1000),""))</f>
        <v>0.47771848005984308</v>
      </c>
      <c r="IV14" s="730">
        <f>IF($C14="","",IFERROR(SUMPRODUCT(('ANALYSE - ERP =&gt; SOUS-SEGMENT'!$C$8:$C$1000=$C14)*'ANALYSE - ERP =&gt; SOUS-SEGMENT'!$Q$8:$Q$1000*'ANALYSE - ERP =&gt; SOUS-SEGMENT'!$FB$8:$FB$1000*'ANALYSE - ERP =&gt; SOUS-SEGMENT'!$IV$8:$IV$1000)/SUMPRODUCT(('ANALYSE - ERP =&gt; SOUS-SEGMENT'!$C$8:$C$1000=$C14)*'ANALYSE - ERP =&gt; SOUS-SEGMENT'!$Q$8:$Q$1000*'ANALYSE - ERP =&gt; SOUS-SEGMENT'!$FB$8:$FB$1000),""))</f>
        <v>0.39831827416222659</v>
      </c>
      <c r="IW14" s="730">
        <f>IF($C14="","",IFERROR(SUMPRODUCT(('ANALYSE - ERP =&gt; SOUS-SEGMENT'!$C$8:$C$1000=$C14)*'ANALYSE - ERP =&gt; SOUS-SEGMENT'!$Q$8:$Q$1000*'ANALYSE - ERP =&gt; SOUS-SEGMENT'!$FB$8:$FB$1000*'ANALYSE - ERP =&gt; SOUS-SEGMENT'!$IW$8:$IW$1000)/SUMPRODUCT(('ANALYSE - ERP =&gt; SOUS-SEGMENT'!$C$8:$C$1000=$C14)*'ANALYSE - ERP =&gt; SOUS-SEGMENT'!$Q$8:$Q$1000*'ANALYSE - ERP =&gt; SOUS-SEGMENT'!$FB$8:$FB$1000),""))</f>
        <v>4.1889694160797207E-2</v>
      </c>
      <c r="IX14" s="730">
        <f>IF($C14="","",IFERROR(SUMPRODUCT(('ANALYSE - ERP =&gt; SOUS-SEGMENT'!$C$8:$C$1000=$C14)*'ANALYSE - ERP =&gt; SOUS-SEGMENT'!$Q$8:$Q$1000*'ANALYSE - ERP =&gt; SOUS-SEGMENT'!$FB$8:$FB$1000*'ANALYSE - ERP =&gt; SOUS-SEGMENT'!$IX$8:$IX$1000)/SUMPRODUCT(('ANALYSE - ERP =&gt; SOUS-SEGMENT'!$C$8:$C$1000=$C14)*'ANALYSE - ERP =&gt; SOUS-SEGMENT'!$Q$8:$Q$1000*'ANALYSE - ERP =&gt; SOUS-SEGMENT'!$FB$8:$FB$1000),""))</f>
        <v>3.0182510598630902E-3</v>
      </c>
      <c r="IY14" s="730">
        <f>IF($C14="","",IFERROR(SUMPRODUCT(('ANALYSE - ERP =&gt; SOUS-SEGMENT'!$C$8:$C$1000=$C14)*'ANALYSE - ERP =&gt; SOUS-SEGMENT'!$Q$8:$Q$1000*'ANALYSE - ERP =&gt; SOUS-SEGMENT'!$BF$8:$BF$1000*'ANALYSE - ERP =&gt; SOUS-SEGMENT'!$IY$8:$IY$1000)/SUMPRODUCT(('ANALYSE - ERP =&gt; SOUS-SEGMENT'!$C$8:$C$1000=$C14)*'ANALYSE - ERP =&gt; SOUS-SEGMENT'!$Q$8:$Q$1000*'ANALYSE - ERP =&gt; SOUS-SEGMENT'!$BF$8:$BF$1000),""))</f>
        <v>2.0547978378378375E-2</v>
      </c>
      <c r="IZ14" s="730">
        <f>IF($C14="","",IFERROR(SUMPRODUCT(('ANALYSE - ERP =&gt; SOUS-SEGMENT'!$C$8:$C$1000=$C14)*'ANALYSE - ERP =&gt; SOUS-SEGMENT'!$Q$8:$Q$1000*'ANALYSE - ERP =&gt; SOUS-SEGMENT'!$BF$8:$BF$1000*'ANALYSE - ERP =&gt; SOUS-SEGMENT'!$IZ$8:$IZ$1000)/SUMPRODUCT(('ANALYSE - ERP =&gt; SOUS-SEGMENT'!$C$8:$C$1000=$C14)*'ANALYSE - ERP =&gt; SOUS-SEGMENT'!$Q$8:$Q$1000*'ANALYSE - ERP =&gt; SOUS-SEGMENT'!$BF$8:$BF$1000),""))</f>
        <v>0.24387811891891895</v>
      </c>
      <c r="JA14" s="730">
        <f>IF($C14="","",IFERROR(SUMPRODUCT(('ANALYSE - ERP =&gt; SOUS-SEGMENT'!$C$8:$C$1000=$C14)*'ANALYSE - ERP =&gt; SOUS-SEGMENT'!$Q$8:$Q$1000*'ANALYSE - ERP =&gt; SOUS-SEGMENT'!$BF$8:$BF$1000*'ANALYSE - ERP =&gt; SOUS-SEGMENT'!$JA$8:$JA$1000)/SUMPRODUCT(('ANALYSE - ERP =&gt; SOUS-SEGMENT'!$C$8:$C$1000=$C14)*'ANALYSE - ERP =&gt; SOUS-SEGMENT'!$Q$8:$Q$1000*'ANALYSE - ERP =&gt; SOUS-SEGMENT'!$BF$8:$BF$1000),""))</f>
        <v>0.31819539459459462</v>
      </c>
      <c r="JB14" s="730">
        <f>IF($C14="","",IFERROR(SUMPRODUCT(('ANALYSE - ERP =&gt; SOUS-SEGMENT'!$C$8:$C$1000=$C14)*'ANALYSE - ERP =&gt; SOUS-SEGMENT'!$Q$8:$Q$1000*'ANALYSE - ERP =&gt; SOUS-SEGMENT'!$BF$8:$BF$1000*'ANALYSE - ERP =&gt; SOUS-SEGMENT'!$JB$8:$JB$1000)/SUMPRODUCT(('ANALYSE - ERP =&gt; SOUS-SEGMENT'!$C$8:$C$1000=$C14)*'ANALYSE - ERP =&gt; SOUS-SEGMENT'!$Q$8:$Q$1000*'ANALYSE - ERP =&gt; SOUS-SEGMENT'!$BF$8:$BF$1000),""))</f>
        <v>9.2462918918918932E-2</v>
      </c>
      <c r="JC14" s="730">
        <f>IF($C14="","",IFERROR(SUMPRODUCT(('ANALYSE - ERP =&gt; SOUS-SEGMENT'!$C$8:$C$1000=$C14)*'ANALYSE - ERP =&gt; SOUS-SEGMENT'!$Q$8:$Q$1000*'ANALYSE - ERP =&gt; SOUS-SEGMENT'!$BF$8:$BF$1000*'ANALYSE - ERP =&gt; SOUS-SEGMENT'!$JC$8:$JC$1000)/SUMPRODUCT(('ANALYSE - ERP =&gt; SOUS-SEGMENT'!$C$8:$C$1000=$C14)*'ANALYSE - ERP =&gt; SOUS-SEGMENT'!$Q$8:$Q$1000*'ANALYSE - ERP =&gt; SOUS-SEGMENT'!$BF$8:$BF$1000),""))</f>
        <v>5.9126486486486482E-4</v>
      </c>
      <c r="JD14" s="730">
        <f>IF($C14="","",IFERROR(SUMPRODUCT(('ANALYSE - ERP =&gt; SOUS-SEGMENT'!$C$8:$C$1000=$C14)*'ANALYSE - ERP =&gt; SOUS-SEGMENT'!$Q$8:$Q$1000*'ANALYSE - ERP =&gt; SOUS-SEGMENT'!$FE$8:$FE$1000*'ANALYSE - ERP =&gt; SOUS-SEGMENT'!$JD$8:$JD$1000)/SUMPRODUCT(('ANALYSE - ERP =&gt; SOUS-SEGMENT'!$C$8:$C$1000=$C14)*'ANALYSE - ERP =&gt; SOUS-SEGMENT'!$Q$8:$Q$1000*'ANALYSE - ERP =&gt; SOUS-SEGMENT'!$FE$8:$FE$1000),""))</f>
        <v>6.8721245038884504E-3</v>
      </c>
      <c r="JE14" s="730">
        <f>IF($C14="","",IFERROR(SUMPRODUCT(('ANALYSE - ERP =&gt; SOUS-SEGMENT'!$C$8:$C$1000=$C14)*'ANALYSE - ERP =&gt; SOUS-SEGMENT'!$Q$8:$Q$1000*'ANALYSE - ERP =&gt; SOUS-SEGMENT'!$FE$8:$FE$1000*'ANALYSE - ERP =&gt; SOUS-SEGMENT'!$JE$8:$JE$1000)/SUMPRODUCT(('ANALYSE - ERP =&gt; SOUS-SEGMENT'!$C$8:$C$1000=$C14)*'ANALYSE - ERP =&gt; SOUS-SEGMENT'!$Q$8:$Q$1000*'ANALYSE - ERP =&gt; SOUS-SEGMENT'!$FE$8:$FE$1000),""))</f>
        <v>0.27902756118498173</v>
      </c>
      <c r="JF14" s="730">
        <f>IF($C14="","",IFERROR(SUMPRODUCT(('ANALYSE - ERP =&gt; SOUS-SEGMENT'!$C$8:$C$1000=$C14)*'ANALYSE - ERP =&gt; SOUS-SEGMENT'!$Q$8:$Q$1000*'ANALYSE - ERP =&gt; SOUS-SEGMENT'!$FE$8:$FE$1000*'ANALYSE - ERP =&gt; SOUS-SEGMENT'!$JF$8:$JF$1000)/SUMPRODUCT(('ANALYSE - ERP =&gt; SOUS-SEGMENT'!$C$8:$C$1000=$C14)*'ANALYSE - ERP =&gt; SOUS-SEGMENT'!$Q$8:$Q$1000*'ANALYSE - ERP =&gt; SOUS-SEGMENT'!$FE$8:$FE$1000),""))</f>
        <v>0.4140907684747675</v>
      </c>
      <c r="JG14" s="730">
        <f>IF($C14="","",IFERROR(SUMPRODUCT(('ANALYSE - ERP =&gt; SOUS-SEGMENT'!$C$8:$C$1000=$C14)*'ANALYSE - ERP =&gt; SOUS-SEGMENT'!$Q$8:$Q$1000*'ANALYSE - ERP =&gt; SOUS-SEGMENT'!$FE$8:$FE$1000*'ANALYSE - ERP =&gt; SOUS-SEGMENT'!$JG$8:$JG$1000)/SUMPRODUCT(('ANALYSE - ERP =&gt; SOUS-SEGMENT'!$C$8:$C$1000=$C14)*'ANALYSE - ERP =&gt; SOUS-SEGMENT'!$Q$8:$Q$1000*'ANALYSE - ERP =&gt; SOUS-SEGMENT'!$FE$8:$FE$1000),""))</f>
        <v>0.13397076691390555</v>
      </c>
      <c r="JH14" s="730">
        <f>IF($C14="","",IFERROR(SUMPRODUCT(('ANALYSE - ERP =&gt; SOUS-SEGMENT'!$C$8:$C$1000=$C14)*'ANALYSE - ERP =&gt; SOUS-SEGMENT'!$Q$8:$Q$1000*'ANALYSE - ERP =&gt; SOUS-SEGMENT'!$FE$8:$FE$1000*'ANALYSE - ERP =&gt; SOUS-SEGMENT'!$JH$8:$JH$1000)/SUMPRODUCT(('ANALYSE - ERP =&gt; SOUS-SEGMENT'!$C$8:$C$1000=$C14)*'ANALYSE - ERP =&gt; SOUS-SEGMENT'!$Q$8:$Q$1000*'ANALYSE - ERP =&gt; SOUS-SEGMENT'!$FE$8:$FE$1000),""))</f>
        <v>4.9384736071769152E-3</v>
      </c>
      <c r="JI14" s="730">
        <f>IF($C14="","",IFERROR(SUMPRODUCT(('ANALYSE - ERP =&gt; SOUS-SEGMENT'!$C$8:$C$1000=$C14)*'ANALYSE - ERP =&gt; SOUS-SEGMENT'!$Q$8:$Q$1000*'ANALYSE - ERP =&gt; SOUS-SEGMENT'!$BG$8:$BG$1000*'ANALYSE - ERP =&gt; SOUS-SEGMENT'!$JI$8:$JI$1000)/SUMPRODUCT(('ANALYSE - ERP =&gt; SOUS-SEGMENT'!$C$8:$C$1000=$C14)*'ANALYSE - ERP =&gt; SOUS-SEGMENT'!$Q$8:$Q$1000*'ANALYSE - ERP =&gt; SOUS-SEGMENT'!$BG$8:$BG$1000),""))</f>
        <v>0.24030608907446072</v>
      </c>
      <c r="JJ14" s="730">
        <f>IF($C14="","",IFERROR(SUMPRODUCT(('ANALYSE - ERP =&gt; SOUS-SEGMENT'!$C$8:$C$1000=$C14)*'ANALYSE - ERP =&gt; SOUS-SEGMENT'!$Q$8:$Q$1000*'ANALYSE - ERP =&gt; SOUS-SEGMENT'!$BG$8:$BG$1000*'ANALYSE - ERP =&gt; SOUS-SEGMENT'!$JJ$8:$JJ$1000)/SUMPRODUCT(('ANALYSE - ERP =&gt; SOUS-SEGMENT'!$C$8:$C$1000=$C14)*'ANALYSE - ERP =&gt; SOUS-SEGMENT'!$Q$8:$Q$1000*'ANALYSE - ERP =&gt; SOUS-SEGMENT'!$BG$8:$BG$1000),""))</f>
        <v>0.5688485734168407</v>
      </c>
      <c r="JK14" s="730">
        <f>IF($C14="","",IFERROR(SUMPRODUCT(('ANALYSE - ERP =&gt; SOUS-SEGMENT'!$C$8:$C$1000=$C14)*'ANALYSE - ERP =&gt; SOUS-SEGMENT'!$Q$8:$Q$1000*'ANALYSE - ERP =&gt; SOUS-SEGMENT'!$BG$8:$BG$1000*'ANALYSE - ERP =&gt; SOUS-SEGMENT'!$JK$8:$JK$1000)/SUMPRODUCT(('ANALYSE - ERP =&gt; SOUS-SEGMENT'!$C$8:$C$1000=$C14)*'ANALYSE - ERP =&gt; SOUS-SEGMENT'!$Q$8:$Q$1000*'ANALYSE - ERP =&gt; SOUS-SEGMENT'!$BG$8:$BG$1000),""))</f>
        <v>0.18072216423103687</v>
      </c>
      <c r="JL14" s="730">
        <f>IF($C14="","",IFERROR(SUMPRODUCT(('ANALYSE - ERP =&gt; SOUS-SEGMENT'!$C$8:$C$1000=$C14)*'ANALYSE - ERP =&gt; SOUS-SEGMENT'!$Q$8:$Q$1000*'ANALYSE - ERP =&gt; SOUS-SEGMENT'!$BG$8:$BG$1000*'ANALYSE - ERP =&gt; SOUS-SEGMENT'!$JL$8:$JL$1000)/SUMPRODUCT(('ANALYSE - ERP =&gt; SOUS-SEGMENT'!$C$8:$C$1000=$C14)*'ANALYSE - ERP =&gt; SOUS-SEGMENT'!$Q$8:$Q$1000*'ANALYSE - ERP =&gt; SOUS-SEGMENT'!$BG$8:$BG$1000),""))</f>
        <v>9.9295059151009047E-3</v>
      </c>
      <c r="JM14" s="730">
        <f>IF($C14="","",IFERROR(SUMPRODUCT(('ANALYSE - ERP =&gt; SOUS-SEGMENT'!$C$8:$C$1000=$C14)*'ANALYSE - ERP =&gt; SOUS-SEGMENT'!$Q$8:$Q$1000*'ANALYSE - ERP =&gt; SOUS-SEGMENT'!$BG$8:$BG$1000*'ANALYSE - ERP =&gt; SOUS-SEGMENT'!$JM$8:$JM$1000)/SUMPRODUCT(('ANALYSE - ERP =&gt; SOUS-SEGMENT'!$C$8:$C$1000=$C14)*'ANALYSE - ERP =&gt; SOUS-SEGMENT'!$Q$8:$Q$1000*'ANALYSE - ERP =&gt; SOUS-SEGMENT'!$BG$8:$BG$1000),""))</f>
        <v>1.9366736256089075E-4</v>
      </c>
      <c r="JN14" s="730">
        <f>IF($C14="","",IFERROR(SUMPRODUCT(('ANALYSE - ERP =&gt; SOUS-SEGMENT'!$C$8:$C$1000=$C14)*'ANALYSE - ERP =&gt; SOUS-SEGMENT'!$Q$8:$Q$1000*'ANALYSE - ERP =&gt; SOUS-SEGMENT'!$FH$8:$FH$1000*'ANALYSE - ERP =&gt; SOUS-SEGMENT'!$JN$8:$JN$1000)/SUMPRODUCT(('ANALYSE - ERP =&gt; SOUS-SEGMENT'!$C$8:$C$1000=$C14)*'ANALYSE - ERP =&gt; SOUS-SEGMENT'!$Q$8:$Q$1000*'ANALYSE - ERP =&gt; SOUS-SEGMENT'!$FH$8:$FH$1000),""))</f>
        <v>0.12230274251977445</v>
      </c>
      <c r="JO14" s="730">
        <f>IF($C14="","",IFERROR(SUMPRODUCT(('ANALYSE - ERP =&gt; SOUS-SEGMENT'!$C$8:$C$1000=$C14)*'ANALYSE - ERP =&gt; SOUS-SEGMENT'!$Q$8:$Q$1000*'ANALYSE - ERP =&gt; SOUS-SEGMENT'!$FH$8:$FH$1000*'ANALYSE - ERP =&gt; SOUS-SEGMENT'!$JO$8:$JO$1000)/SUMPRODUCT(('ANALYSE - ERP =&gt; SOUS-SEGMENT'!$C$8:$C$1000=$C14)*'ANALYSE - ERP =&gt; SOUS-SEGMENT'!$Q$8:$Q$1000*'ANALYSE - ERP =&gt; SOUS-SEGMENT'!$FH$8:$FH$1000),""))</f>
        <v>0.55022564582731803</v>
      </c>
      <c r="JP14" s="730">
        <f>IF($C14="","",IFERROR(SUMPRODUCT(('ANALYSE - ERP =&gt; SOUS-SEGMENT'!$C$8:$C$1000=$C14)*'ANALYSE - ERP =&gt; SOUS-SEGMENT'!$Q$8:$Q$1000*'ANALYSE - ERP =&gt; SOUS-SEGMENT'!$FH$8:$FH$1000*'ANALYSE - ERP =&gt; SOUS-SEGMENT'!$JP$8:$JP$1000)/SUMPRODUCT(('ANALYSE - ERP =&gt; SOUS-SEGMENT'!$C$8:$C$1000=$C14)*'ANALYSE - ERP =&gt; SOUS-SEGMENT'!$Q$8:$Q$1000*'ANALYSE - ERP =&gt; SOUS-SEGMENT'!$FH$8:$FH$1000),""))</f>
        <v>0.29949556674141653</v>
      </c>
      <c r="JQ14" s="730">
        <f>IF($C14="","",IFERROR(SUMPRODUCT(('ANALYSE - ERP =&gt; SOUS-SEGMENT'!$C$8:$C$1000=$C14)*'ANALYSE - ERP =&gt; SOUS-SEGMENT'!$Q$8:$Q$1000*'ANALYSE - ERP =&gt; SOUS-SEGMENT'!$FH$8:$FH$1000*'ANALYSE - ERP =&gt; SOUS-SEGMENT'!$JQ$8:$JQ$1000)/SUMPRODUCT(('ANALYSE - ERP =&gt; SOUS-SEGMENT'!$C$8:$C$1000=$C14)*'ANALYSE - ERP =&gt; SOUS-SEGMENT'!$Q$8:$Q$1000*'ANALYSE - ERP =&gt; SOUS-SEGMENT'!$FH$8:$FH$1000),""))</f>
        <v>2.5637573197313256E-2</v>
      </c>
      <c r="JR14" s="730">
        <f>IF($C14="","",IFERROR(SUMPRODUCT(('ANALYSE - ERP =&gt; SOUS-SEGMENT'!$C$8:$C$1000=$C14)*'ANALYSE - ERP =&gt; SOUS-SEGMENT'!$Q$8:$Q$1000*'ANALYSE - ERP =&gt; SOUS-SEGMENT'!$FH$8:$FH$1000*'ANALYSE - ERP =&gt; SOUS-SEGMENT'!$JR$8:$JR$1000)/SUMPRODUCT(('ANALYSE - ERP =&gt; SOUS-SEGMENT'!$C$8:$C$1000=$C14)*'ANALYSE - ERP =&gt; SOUS-SEGMENT'!$Q$8:$Q$1000*'ANALYSE - ERP =&gt; SOUS-SEGMENT'!$FH$8:$FH$1000),""))</f>
        <v>2.3384717141778605E-3</v>
      </c>
      <c r="JS14" s="730">
        <f>IF($C14="","",IFERROR(SUMPRODUCT(('ANALYSE - ERP =&gt; SOUS-SEGMENT'!$C$8:$C$1000=$C14)*'ANALYSE - ERP =&gt; SOUS-SEGMENT'!$Q$8:$Q$1000*'ANALYSE - ERP =&gt; SOUS-SEGMENT'!$BH$8:$BH$1000*'ANALYSE - ERP =&gt; SOUS-SEGMENT'!$JS$8:$JS$1000)/SUMPRODUCT(('ANALYSE - ERP =&gt; SOUS-SEGMENT'!$C$8:$C$1000=$C14)*'ANALYSE - ERP =&gt; SOUS-SEGMENT'!$Q$8:$Q$1000*'ANALYSE - ERP =&gt; SOUS-SEGMENT'!$BH$8:$BH$1000),""))</f>
        <v>0.17278043800749532</v>
      </c>
      <c r="JT14" s="730">
        <f>IF($C14="","",IFERROR(SUMPRODUCT(('ANALYSE - ERP =&gt; SOUS-SEGMENT'!$C$8:$C$1000=$C14)*'ANALYSE - ERP =&gt; SOUS-SEGMENT'!$Q$8:$Q$1000*'ANALYSE - ERP =&gt; SOUS-SEGMENT'!$BH$8:$BH$1000*'ANALYSE - ERP =&gt; SOUS-SEGMENT'!$JT$8:$JT$1000)/SUMPRODUCT(('ANALYSE - ERP =&gt; SOUS-SEGMENT'!$C$8:$C$1000=$C14)*'ANALYSE - ERP =&gt; SOUS-SEGMENT'!$Q$8:$Q$1000*'ANALYSE - ERP =&gt; SOUS-SEGMENT'!$BH$8:$BH$1000),""))</f>
        <v>0.55567724469081825</v>
      </c>
      <c r="JU14" s="730">
        <f>IF($C14="","",IFERROR(SUMPRODUCT(('ANALYSE - ERP =&gt; SOUS-SEGMENT'!$C$8:$C$1000=$C14)*'ANALYSE - ERP =&gt; SOUS-SEGMENT'!$Q$8:$Q$1000*'ANALYSE - ERP =&gt; SOUS-SEGMENT'!$BH$8:$BH$1000*'ANALYSE - ERP =&gt; SOUS-SEGMENT'!$JU$8:$JU$1000)/SUMPRODUCT(('ANALYSE - ERP =&gt; SOUS-SEGMENT'!$C$8:$C$1000=$C14)*'ANALYSE - ERP =&gt; SOUS-SEGMENT'!$Q$8:$Q$1000*'ANALYSE - ERP =&gt; SOUS-SEGMENT'!$BH$8:$BH$1000),""))</f>
        <v>0.25563415053091815</v>
      </c>
      <c r="JV14" s="730">
        <f>IF($C14="","",IFERROR(SUMPRODUCT(('ANALYSE - ERP =&gt; SOUS-SEGMENT'!$C$8:$C$1000=$C14)*'ANALYSE - ERP =&gt; SOUS-SEGMENT'!$Q$8:$Q$1000*'ANALYSE - ERP =&gt; SOUS-SEGMENT'!$BH$8:$BH$1000*'ANALYSE - ERP =&gt; SOUS-SEGMENT'!$JV$8:$JV$1000)/SUMPRODUCT(('ANALYSE - ERP =&gt; SOUS-SEGMENT'!$C$8:$C$1000=$C14)*'ANALYSE - ERP =&gt; SOUS-SEGMENT'!$Q$8:$Q$1000*'ANALYSE - ERP =&gt; SOUS-SEGMENT'!$BH$8:$BH$1000),""))</f>
        <v>1.5258205808869458E-2</v>
      </c>
      <c r="JW14" s="730">
        <f>IF($C14="","",IFERROR(SUMPRODUCT(('ANALYSE - ERP =&gt; SOUS-SEGMENT'!$C$8:$C$1000=$C14)*'ANALYSE - ERP =&gt; SOUS-SEGMENT'!$Q$8:$Q$1000*'ANALYSE - ERP =&gt; SOUS-SEGMENT'!$BH$8:$BH$1000*'ANALYSE - ERP =&gt; SOUS-SEGMENT'!$JW$8:$JW$1000)/SUMPRODUCT(('ANALYSE - ERP =&gt; SOUS-SEGMENT'!$C$8:$C$1000=$C14)*'ANALYSE - ERP =&gt; SOUS-SEGMENT'!$Q$8:$Q$1000*'ANALYSE - ERP =&gt; SOUS-SEGMENT'!$BH$8:$BH$1000),""))</f>
        <v>6.6014990630855713E-4</v>
      </c>
      <c r="JX14" s="730">
        <f>IF($C14="","",IFERROR(SUMPRODUCT(('ANALYSE - ERP =&gt; SOUS-SEGMENT'!$C$8:$C$1000=$C14)*'ANALYSE - ERP =&gt; SOUS-SEGMENT'!$Q$8:$Q$1000*'ANALYSE - ERP =&gt; SOUS-SEGMENT'!$FK$8:$FK$1000*'ANALYSE - ERP =&gt; SOUS-SEGMENT'!$JX$8:$JX$1000)/SUMPRODUCT(('ANALYSE - ERP =&gt; SOUS-SEGMENT'!$C$8:$C$1000=$C14)*'ANALYSE - ERP =&gt; SOUS-SEGMENT'!$Q$8:$Q$1000*'ANALYSE - ERP =&gt; SOUS-SEGMENT'!$FK$8:$FK$1000),""))</f>
        <v>8.2579331443330711E-2</v>
      </c>
      <c r="JY14" s="730">
        <f>IF($C14="","",IFERROR(SUMPRODUCT(('ANALYSE - ERP =&gt; SOUS-SEGMENT'!$C$8:$C$1000=$C14)*'ANALYSE - ERP =&gt; SOUS-SEGMENT'!$Q$8:$Q$1000*'ANALYSE - ERP =&gt; SOUS-SEGMENT'!$FK$8:$FK$1000*'ANALYSE - ERP =&gt; SOUS-SEGMENT'!$JY$8:$JY$1000)/SUMPRODUCT(('ANALYSE - ERP =&gt; SOUS-SEGMENT'!$C$8:$C$1000=$C14)*'ANALYSE - ERP =&gt; SOUS-SEGMENT'!$Q$8:$Q$1000*'ANALYSE - ERP =&gt; SOUS-SEGMENT'!$FK$8:$FK$1000),""))</f>
        <v>0.48595193592842617</v>
      </c>
      <c r="JZ14" s="730">
        <f>IF($C14="","",IFERROR(SUMPRODUCT(('ANALYSE - ERP =&gt; SOUS-SEGMENT'!$C$8:$C$1000=$C14)*'ANALYSE - ERP =&gt; SOUS-SEGMENT'!$Q$8:$Q$1000*'ANALYSE - ERP =&gt; SOUS-SEGMENT'!$FK$8:$FK$1000*'ANALYSE - ERP =&gt; SOUS-SEGMENT'!$JZ$8:$JZ$1000)/SUMPRODUCT(('ANALYSE - ERP =&gt; SOUS-SEGMENT'!$C$8:$C$1000=$C14)*'ANALYSE - ERP =&gt; SOUS-SEGMENT'!$Q$8:$Q$1000*'ANALYSE - ERP =&gt; SOUS-SEGMENT'!$FK$8:$FK$1000),""))</f>
        <v>0.39013208302096058</v>
      </c>
      <c r="KA14" s="730">
        <f>IF($C14="","",IFERROR(SUMPRODUCT(('ANALYSE - ERP =&gt; SOUS-SEGMENT'!$C$8:$C$1000=$C14)*'ANALYSE - ERP =&gt; SOUS-SEGMENT'!$Q$8:$Q$1000*'ANALYSE - ERP =&gt; SOUS-SEGMENT'!$FK$8:$FK$1000*'ANALYSE - ERP =&gt; SOUS-SEGMENT'!$KA$8:$KA$1000)/SUMPRODUCT(('ANALYSE - ERP =&gt; SOUS-SEGMENT'!$C$8:$C$1000=$C14)*'ANALYSE - ERP =&gt; SOUS-SEGMENT'!$Q$8:$Q$1000*'ANALYSE - ERP =&gt; SOUS-SEGMENT'!$FK$8:$FK$1000),""))</f>
        <v>3.8503274263859147E-2</v>
      </c>
      <c r="KB14" s="730">
        <f>IF($C14="","",IFERROR(SUMPRODUCT(('ANALYSE - ERP =&gt; SOUS-SEGMENT'!$C$8:$C$1000=$C14)*'ANALYSE - ERP =&gt; SOUS-SEGMENT'!$Q$8:$Q$1000*'ANALYSE - ERP =&gt; SOUS-SEGMENT'!$FK$8:$FK$1000*'ANALYSE - ERP =&gt; SOUS-SEGMENT'!$KB$8:$KB$1000)/SUMPRODUCT(('ANALYSE - ERP =&gt; SOUS-SEGMENT'!$C$8:$C$1000=$C14)*'ANALYSE - ERP =&gt; SOUS-SEGMENT'!$Q$8:$Q$1000*'ANALYSE - ERP =&gt; SOUS-SEGMENT'!$FK$8:$FK$1000),""))</f>
        <v>2.8333753434232741E-3</v>
      </c>
      <c r="KC14" s="657"/>
      <c r="KD14" s="920" t="s">
        <v>5523</v>
      </c>
      <c r="KE14" s="920" t="s">
        <v>5524</v>
      </c>
      <c r="KF14" s="866">
        <f>IF($C14="","",IFERROR(SUMPRODUCT(('ANALYSE - ERP =&gt; SOUS-SEGMENT'!$C$8:$C$1000=$C14)*'ANALYSE - ERP =&gt; SOUS-SEGMENT'!$Q$8:$Q$1000*'ANALYSE - ERP =&gt; SOUS-SEGMENT'!$IE$8:$IE$1000*'ANALYSE - ERP =&gt; SOUS-SEGMENT'!$KF$8:$KF$1000)/SUMPRODUCT(('ANALYSE - ERP =&gt; SOUS-SEGMENT'!$C$8:$C$1000=$C14)*'ANALYSE - ERP =&gt; SOUS-SEGMENT'!$Q$8:$Q$1000*'ANALYSE - ERP =&gt; SOUS-SEGMENT'!$IE$8:$IE$1000),""))</f>
        <v>3.8257450612685355</v>
      </c>
      <c r="KG14" s="920" t="s">
        <v>5525</v>
      </c>
      <c r="KH14" s="920" t="s">
        <v>5526</v>
      </c>
      <c r="KI14" s="920" t="s">
        <v>5527</v>
      </c>
      <c r="KJ14" s="920" t="s">
        <v>5528</v>
      </c>
    </row>
    <row r="15" spans="1:327" ht="120" customHeight="1">
      <c r="A15" s="957">
        <f>IF($C15="","",ROWS($A$8:A15))</f>
        <v>8</v>
      </c>
      <c r="B15" s="958" t="s">
        <v>2880</v>
      </c>
      <c r="C15" s="958" t="s">
        <v>1435</v>
      </c>
      <c r="D15" s="959" t="s">
        <v>5529</v>
      </c>
      <c r="E15" s="269" t="s">
        <v>5530</v>
      </c>
      <c r="F15" s="960" t="s">
        <v>5531</v>
      </c>
      <c r="G15" s="960" t="s">
        <v>300</v>
      </c>
      <c r="H15" s="960" t="s">
        <v>2109</v>
      </c>
      <c r="I15" s="960" t="s">
        <v>5532</v>
      </c>
      <c r="J15" s="960" t="s">
        <v>5533</v>
      </c>
      <c r="K15" s="960" t="s">
        <v>2097</v>
      </c>
      <c r="L15" s="960" t="s">
        <v>2109</v>
      </c>
      <c r="M15" s="960" t="s">
        <v>5534</v>
      </c>
      <c r="N15" s="960" t="s">
        <v>5535</v>
      </c>
      <c r="O15" s="960" t="s">
        <v>5536</v>
      </c>
      <c r="P15" s="960"/>
      <c r="Q15" s="270">
        <f>IF($C15="","",IF(SUMIFS('ANALYSE - ERP =&gt; SOUS-SEGMENT'!$Q$8:$Q$1000,'ANALYSE - ERP =&gt; SOUS-SEGMENT'!$C$8:$C$1000,$C15)&gt;0,1,0))</f>
        <v>1</v>
      </c>
      <c r="R15" s="271">
        <f>IF($C15="","",IFERROR(SUMPRODUCT(('ANALYSE - ERP =&gt; SOUS-SEGMENT'!$C$8:$C$1000=$C15)*'ANALYSE - ERP =&gt; SOUS-SEGMENT'!$Q$8:$Q$1000*'ANALYSE - ERP =&gt; SOUS-SEGMENT'!$AF$8:$AF$1000*'ANALYSE - ERP =&gt; SOUS-SEGMENT'!$R$8:$R$1000)/SUMPRODUCT(('ANALYSE - ERP =&gt; SOUS-SEGMENT'!$C$8:$C$1000=$C15)*'ANALYSE - ERP =&gt; SOUS-SEGMENT'!$Q$8:$Q$1000*'ANALYSE - ERP =&gt; SOUS-SEGMENT'!$AF$8:$AF$1000),""))</f>
        <v>1513.0541012216404</v>
      </c>
      <c r="S15" s="272">
        <f>IF($C15="","",SUMPRODUCT(('ANALYSE - ERP =&gt; SOUS-SEGMENT'!$C$8:$C$1000=$C15)*'ANALYSE - ERP =&gt; SOUS-SEGMENT'!$Q$8:$Q$1000*'ANALYSE - ERP =&gt; SOUS-SEGMENT'!$S$8:$S$1000))</f>
        <v>3922</v>
      </c>
      <c r="T15" s="272">
        <f>IF($C15="","",SUMPRODUCT(('ANALYSE - ERP =&gt; SOUS-SEGMENT'!$C$8:$C$1000=$C15)*'ANALYSE - ERP =&gt; SOUS-SEGMENT'!$Q$8:$Q$1000*'ANALYSE - ERP =&gt; SOUS-SEGMENT'!$T$8:$T$1000))</f>
        <v>3707</v>
      </c>
      <c r="U15" s="272">
        <f>IF($C15="","",SUMPRODUCT(('ANALYSE - ERP =&gt; SOUS-SEGMENT'!$C$8:$C$1000=$C15)*'ANALYSE - ERP =&gt; SOUS-SEGMENT'!$Q$8:$Q$1000*'ANALYSE - ERP =&gt; SOUS-SEGMENT'!$U$8:$U$1000))</f>
        <v>3474</v>
      </c>
      <c r="V15" s="272">
        <f>IF($C15="","",SUMPRODUCT(('ANALYSE - ERP =&gt; SOUS-SEGMENT'!$C$8:$C$1000=$C15)*'ANALYSE - ERP =&gt; SOUS-SEGMENT'!$Q$8:$Q$1000*'ANALYSE - ERP =&gt; SOUS-SEGMENT'!$V$8:$V$1000))</f>
        <v>3167</v>
      </c>
      <c r="W15" s="272">
        <f>IF($C15="","",SUMPRODUCT(('ANALYSE - ERP =&gt; SOUS-SEGMENT'!$C$8:$C$1000=$C15)*'ANALYSE - ERP =&gt; SOUS-SEGMENT'!$Q$8:$Q$1000*'ANALYSE - ERP =&gt; SOUS-SEGMENT'!$W$8:$W$1000))</f>
        <v>3056</v>
      </c>
      <c r="X15" s="272">
        <f>IF($C15="","",SUMPRODUCT(('ANALYSE - ERP =&gt; SOUS-SEGMENT'!$C$8:$C$1000=$C15)*'ANALYSE - ERP =&gt; SOUS-SEGMENT'!$Q$8:$Q$1000*'ANALYSE - ERP =&gt; SOUS-SEGMENT'!$X$8:$X$1000))</f>
        <v>2996</v>
      </c>
      <c r="Y15" s="272">
        <f>IF($C15="","",SUMPRODUCT(('ANALYSE - ERP =&gt; SOUS-SEGMENT'!$C$8:$C$1000=$C15)*'ANALYSE - ERP =&gt; SOUS-SEGMENT'!$Q$8:$Q$1000*'ANALYSE - ERP =&gt; SOUS-SEGMENT'!$Y$8:$Y$1000))</f>
        <v>2955</v>
      </c>
      <c r="Z15" s="272">
        <f>IF($C15="","",SUMPRODUCT(('ANALYSE - ERP =&gt; SOUS-SEGMENT'!$C$8:$C$1000=$C15)*'ANALYSE - ERP =&gt; SOUS-SEGMENT'!$Q$8:$Q$1000*'ANALYSE - ERP =&gt; SOUS-SEGMENT'!$Z$8:$Z$1000))</f>
        <v>2916</v>
      </c>
      <c r="AA15" s="272">
        <f>IF($C15="","",SUMPRODUCT(('ANALYSE - ERP =&gt; SOUS-SEGMENT'!$C$8:$C$1000=$C15)*'ANALYSE - ERP =&gt; SOUS-SEGMENT'!$Q$8:$Q$1000*'ANALYSE - ERP =&gt; SOUS-SEGMENT'!$AA$8:$AA$1000))</f>
        <v>2727</v>
      </c>
      <c r="AB15" s="272">
        <f>IF($C15="","",SUMPRODUCT(('ANALYSE - ERP =&gt; SOUS-SEGMENT'!$C$8:$C$1000=$C15)*'ANALYSE - ERP =&gt; SOUS-SEGMENT'!$Q$8:$Q$1000*'ANALYSE - ERP =&gt; SOUS-SEGMENT'!$AB$8:$AB$1000))</f>
        <v>2711</v>
      </c>
      <c r="AC15" s="272">
        <f>IF($C15="","",SUMPRODUCT(('ANALYSE - ERP =&gt; SOUS-SEGMENT'!$C$8:$C$1000=$C15)*'ANALYSE - ERP =&gt; SOUS-SEGMENT'!$Q$8:$Q$1000*'ANALYSE - ERP =&gt; SOUS-SEGMENT'!$AC$8:$AC$1000))</f>
        <v>2766</v>
      </c>
      <c r="AD15" s="272">
        <f>IF($C15="","",SUMPRODUCT(('ANALYSE - ERP =&gt; SOUS-SEGMENT'!$C$8:$C$1000=$C15)*'ANALYSE - ERP =&gt; SOUS-SEGMENT'!$Q$8:$Q$1000*'ANALYSE - ERP =&gt; SOUS-SEGMENT'!$AD$8:$AD$1000))</f>
        <v>2806</v>
      </c>
      <c r="AE15" s="272">
        <f>IF($C15="","",SUMPRODUCT(('ANALYSE - ERP =&gt; SOUS-SEGMENT'!$C$8:$C$1000=$C15)*'ANALYSE - ERP =&gt; SOUS-SEGMENT'!$Q$8:$Q$1000*'ANALYSE - ERP =&gt; SOUS-SEGMENT'!$AE$8:$AE$1000))</f>
        <v>2835</v>
      </c>
      <c r="AF15" s="272">
        <f>IF($C15="","",SUMPRODUCT(('ANALYSE - ERP =&gt; SOUS-SEGMENT'!$C$8:$C$1000=$C15)*'ANALYSE - ERP =&gt; SOUS-SEGMENT'!$Q$8:$Q$1000*'ANALYSE - ERP =&gt; SOUS-SEGMENT'!$AF$8:$AF$1000))</f>
        <v>2865</v>
      </c>
      <c r="AG15" s="272">
        <f>IF($C15="","",SUMPRODUCT(('ANALYSE - ERP =&gt; SOUS-SEGMENT'!$C$8:$C$1000=$C15)*'ANALYSE - ERP =&gt; SOUS-SEGMENT'!$Q$8:$Q$1000*'ANALYSE - ERP =&gt; SOUS-SEGMENT'!$AG$8:$AG$1000))</f>
        <v>2865</v>
      </c>
      <c r="AH15" s="272">
        <f>IF($C15="","",SUMPRODUCT(('ANALYSE - ERP =&gt; SOUS-SEGMENT'!$C$8:$C$1000=$C15)*'ANALYSE - ERP =&gt; SOUS-SEGMENT'!$Q$8:$Q$1000*'ANALYSE - ERP =&gt; SOUS-SEGMENT'!$AH$8:$AH$1000))</f>
        <v>2866</v>
      </c>
      <c r="AI15" s="272">
        <f>IF($C15="","",SUMPRODUCT(('ANALYSE - ERP =&gt; SOUS-SEGMENT'!$C$8:$C$1000=$C15)*'ANALYSE - ERP =&gt; SOUS-SEGMENT'!$Q$8:$Q$1000*'ANALYSE - ERP =&gt; SOUS-SEGMENT'!$AI$8:$AI$1000))</f>
        <v>2867</v>
      </c>
      <c r="AJ15" s="272">
        <f>IF($C15="","",SUMPRODUCT(('ANALYSE - ERP =&gt; SOUS-SEGMENT'!$C$8:$C$1000=$C15)*'ANALYSE - ERP =&gt; SOUS-SEGMENT'!$Q$8:$Q$1000*'ANALYSE - ERP =&gt; SOUS-SEGMENT'!$AJ$8:$AJ$1000))</f>
        <v>2867</v>
      </c>
      <c r="AK15" s="272">
        <f>IF($C15="","",SUMPRODUCT(('ANALYSE - ERP =&gt; SOUS-SEGMENT'!$C$8:$C$1000=$C15)*'ANALYSE - ERP =&gt; SOUS-SEGMENT'!$Q$8:$Q$1000*'ANALYSE - ERP =&gt; SOUS-SEGMENT'!$AK$8:$AK$1000))</f>
        <v>2867</v>
      </c>
      <c r="AL15" s="960" t="s">
        <v>5537</v>
      </c>
      <c r="AM15" s="960" t="s">
        <v>5538</v>
      </c>
      <c r="AN15" s="960" t="s">
        <v>5539</v>
      </c>
      <c r="AO15" s="657"/>
      <c r="AP15" s="271">
        <f>IF($C15="","",IFERROR(SUMPRODUCT(('ANALYSE - ERP =&gt; SOUS-SEGMENT'!$C$8:$C$1000=$C15)*'ANALYSE - ERP =&gt; SOUS-SEGMENT'!$Q$8:$Q$1000*'ANALYSE - ERP =&gt; SOUS-SEGMENT'!$AF$8:$AF$1000*'ANALYSE - ERP =&gt; SOUS-SEGMENT'!$AP$8:$AP$1000)/SUMPRODUCT(('ANALYSE - ERP =&gt; SOUS-SEGMENT'!$C$8:$C$1000=$C15)*'ANALYSE - ERP =&gt; SOUS-SEGMENT'!$Q$8:$Q$1000*'ANALYSE - ERP =&gt; SOUS-SEGMENT'!$AF$8:$AF$1000),""))</f>
        <v>432.11169284467712</v>
      </c>
      <c r="AQ15" s="280">
        <f>IF($C15="","",IFERROR(SUMPRODUCT(('ANALYSE - ERP =&gt; SOUS-SEGMENT'!$C$8:$C$1000=$C15)*'ANALYSE - ERP =&gt; SOUS-SEGMENT'!$Q$8:$Q$1000*'ANALYSE - ERP =&gt; SOUS-SEGMENT'!$AF$8:$AF$1000*'ANALYSE - ERP =&gt; SOUS-SEGMENT'!$AQ$8:$AQ$1000)/SUMPRODUCT(('ANALYSE - ERP =&gt; SOUS-SEGMENT'!$C$8:$C$1000=$C15)*'ANALYSE - ERP =&gt; SOUS-SEGMENT'!$Q$8:$Q$1000*'ANALYSE - ERP =&gt; SOUS-SEGMENT'!$AF$8:$AF$1000),""))</f>
        <v>361.5455497382199</v>
      </c>
      <c r="AR15" s="280">
        <f>IF($C15="","",IFERROR(SUMPRODUCT(('ANALYSE - ERP =&gt; SOUS-SEGMENT'!$C$8:$C$1000=$C15)*'ANALYSE - ERP =&gt; SOUS-SEGMENT'!$Q$8:$Q$1000*'ANALYSE - ERP =&gt; SOUS-SEGMENT'!$AF$8:$AF$1000*'ANALYSE - ERP =&gt; SOUS-SEGMENT'!$AR$8:$AR$1000)/SUMPRODUCT(('ANALYSE - ERP =&gt; SOUS-SEGMENT'!$C$8:$C$1000=$C15)*'ANALYSE - ERP =&gt; SOUS-SEGMENT'!$Q$8:$Q$1000*'ANALYSE - ERP =&gt; SOUS-SEGMENT'!$AF$8:$AF$1000),""))</f>
        <v>48.945200698080278</v>
      </c>
      <c r="AS15" s="280">
        <f>IF($C15="","",IFERROR(SUMPRODUCT(('ANALYSE - ERP =&gt; SOUS-SEGMENT'!$C$8:$C$1000=$C15)*'ANALYSE - ERP =&gt; SOUS-SEGMENT'!$Q$8:$Q$1000*'ANALYSE - ERP =&gt; SOUS-SEGMENT'!$AF$8:$AF$1000*'ANALYSE - ERP =&gt; SOUS-SEGMENT'!$AS$8:$AS$1000)/SUMPRODUCT(('ANALYSE - ERP =&gt; SOUS-SEGMENT'!$C$8:$C$1000=$C15)*'ANALYSE - ERP =&gt; SOUS-SEGMENT'!$Q$8:$Q$1000*'ANALYSE - ERP =&gt; SOUS-SEGMENT'!$AF$8:$AF$1000),""))</f>
        <v>21.620942408376962</v>
      </c>
      <c r="AT15" s="657"/>
      <c r="AU15" s="647" t="s">
        <v>5540</v>
      </c>
      <c r="AV15" s="647" t="s">
        <v>5541</v>
      </c>
      <c r="AW15" s="960" t="s">
        <v>5542</v>
      </c>
      <c r="AX15" s="647" t="s">
        <v>2670</v>
      </c>
      <c r="AY15" s="657"/>
      <c r="AZ15" s="948">
        <f>IF($C15="","",IFERROR(SUMPRODUCT(('ANALYSE - ERP =&gt; SOUS-SEGMENT'!$C$8:$C$1000=$C15)*'ANALYSE - ERP =&gt; SOUS-SEGMENT'!$Q$8:$Q$1000*'ANALYSE - ERP =&gt; SOUS-SEGMENT'!$AF$8:$AF$1000*'ANALYSE - ERP =&gt; SOUS-SEGMENT'!$AZ$8:$AZ$1000)/SUMPRODUCT(('ANALYSE - ERP =&gt; SOUS-SEGMENT'!$C$8:$C$1000=$C15)*'ANALYSE - ERP =&gt; SOUS-SEGMENT'!$Q$8:$Q$1000*'ANALYSE - ERP =&gt; SOUS-SEGMENT'!$AF$8:$AF$1000),""))</f>
        <v>16.35671902268761</v>
      </c>
      <c r="BA15" s="948">
        <f>IF($C15="","",IFERROR(SUMPRODUCT(('ANALYSE - ERP =&gt; SOUS-SEGMENT'!$C$8:$C$1000=$C15)*'ANALYSE - ERP =&gt; SOUS-SEGMENT'!$Q$8:$Q$1000*'ANALYSE - ERP =&gt; SOUS-SEGMENT'!$AF$8:$AF$1000*'ANALYSE - ERP =&gt; SOUS-SEGMENT'!$BA$8:$BA$1000)/SUMPRODUCT(('ANALYSE - ERP =&gt; SOUS-SEGMENT'!$C$8:$C$1000=$C15)*'ANALYSE - ERP =&gt; SOUS-SEGMENT'!$Q$8:$Q$1000*'ANALYSE - ERP =&gt; SOUS-SEGMENT'!$AF$8:$AF$1000),""))</f>
        <v>5.7591623036649213E-3</v>
      </c>
      <c r="BB15" s="948">
        <f>IF($C15="","",IFERROR(SUMPRODUCT(('ANALYSE - ERP =&gt; SOUS-SEGMENT'!$C$8:$C$1000=$C15)*'ANALYSE - ERP =&gt; SOUS-SEGMENT'!$Q$8:$Q$1000*'ANALYSE - ERP =&gt; SOUS-SEGMENT'!$AF$8:$AF$1000*'ANALYSE - ERP =&gt; SOUS-SEGMENT'!$BB$8:$BB$1000)/SUMPRODUCT(('ANALYSE - ERP =&gt; SOUS-SEGMENT'!$C$8:$C$1000=$C15)*'ANALYSE - ERP =&gt; SOUS-SEGMENT'!$Q$8:$Q$1000*'ANALYSE - ERP =&gt; SOUS-SEGMENT'!$AF$8:$AF$1000),""))</f>
        <v>5.0139616055846421</v>
      </c>
      <c r="BC15" s="948">
        <f>IF($C15="","",IFERROR(SUMPRODUCT(('ANALYSE - ERP =&gt; SOUS-SEGMENT'!$C$8:$C$1000=$C15)*'ANALYSE - ERP =&gt; SOUS-SEGMENT'!$Q$8:$Q$1000*'ANALYSE - ERP =&gt; SOUS-SEGMENT'!$AF$8:$AF$1000*'ANALYSE - ERP =&gt; SOUS-SEGMENT'!$BC$8:$BC$1000)/SUMPRODUCT(('ANALYSE - ERP =&gt; SOUS-SEGMENT'!$C$8:$C$1000=$C15)*'ANALYSE - ERP =&gt; SOUS-SEGMENT'!$Q$8:$Q$1000*'ANALYSE - ERP =&gt; SOUS-SEGMENT'!$AF$8:$AF$1000),""))</f>
        <v>14.868062827225131</v>
      </c>
      <c r="BD15" s="825">
        <f t="shared" si="1"/>
        <v>103840.5</v>
      </c>
      <c r="BE15" s="304">
        <f>IF($C15="","",SUMPRODUCT(('ANALYSE - ERP =&gt; SOUS-SEGMENT'!$C$8:$C$1000=$C15)*'ANALYSE - ERP =&gt; SOUS-SEGMENT'!$Q$8:$Q$1000*'ANALYSE - ERP =&gt; SOUS-SEGMENT'!$BE$8:$BE$1000))</f>
        <v>46862</v>
      </c>
      <c r="BF15" s="304">
        <f>IF($C15="","",SUMPRODUCT(('ANALYSE - ERP =&gt; SOUS-SEGMENT'!$C$8:$C$1000=$C15)*'ANALYSE - ERP =&gt; SOUS-SEGMENT'!$Q$8:$Q$1000*'ANALYSE - ERP =&gt; SOUS-SEGMENT'!$BF$8:$BF$1000))</f>
        <v>16.5</v>
      </c>
      <c r="BG15" s="304">
        <f>IF($C15="","",SUMPRODUCT(('ANALYSE - ERP =&gt; SOUS-SEGMENT'!$C$8:$C$1000=$C15)*'ANALYSE - ERP =&gt; SOUS-SEGMENT'!$Q$8:$Q$1000*'ANALYSE - ERP =&gt; SOUS-SEGMENT'!$BG$8:$BG$1000))</f>
        <v>14365</v>
      </c>
      <c r="BH15" s="304">
        <f>IF($C15="","",SUMPRODUCT(('ANALYSE - ERP =&gt; SOUS-SEGMENT'!$C$8:$C$1000=$C15)*'ANALYSE - ERP =&gt; SOUS-SEGMENT'!$Q$8:$Q$1000*'ANALYSE - ERP =&gt; SOUS-SEGMENT'!$BH$8:$BH$1000))</f>
        <v>42597</v>
      </c>
      <c r="BI15" s="825">
        <f t="shared" si="2"/>
        <v>102059</v>
      </c>
      <c r="BJ15" s="304">
        <f>IF($C15="","",SUMPRODUCT(('ANALYSE - ERP =&gt; SOUS-SEGMENT'!$C$8:$C$1000=$C15)*'ANALYSE - ERP =&gt; SOUS-SEGMENT'!$Q$8:$Q$1000*'ANALYSE - ERP =&gt; SOUS-SEGMENT'!$BJ$8:$BJ$1000))</f>
        <v>46094</v>
      </c>
      <c r="BK15" s="304">
        <f>IF($C15="","",SUMPRODUCT(('ANALYSE - ERP =&gt; SOUS-SEGMENT'!$C$8:$C$1000=$C15)*'ANALYSE - ERP =&gt; SOUS-SEGMENT'!$Q$8:$Q$1000*'ANALYSE - ERP =&gt; SOUS-SEGMENT'!$BK$8:$BK$1000))</f>
        <v>17</v>
      </c>
      <c r="BL15" s="304">
        <f>IF($C15="","",SUMPRODUCT(('ANALYSE - ERP =&gt; SOUS-SEGMENT'!$C$8:$C$1000=$C15)*'ANALYSE - ERP =&gt; SOUS-SEGMENT'!$Q$8:$Q$1000*'ANALYSE - ERP =&gt; SOUS-SEGMENT'!$BL$8:$BL$1000))</f>
        <v>14071</v>
      </c>
      <c r="BM15" s="304">
        <f>IF($C15="","",SUMPRODUCT(('ANALYSE - ERP =&gt; SOUS-SEGMENT'!$C$8:$C$1000=$C15)*'ANALYSE - ERP =&gt; SOUS-SEGMENT'!$Q$8:$Q$1000*'ANALYSE - ERP =&gt; SOUS-SEGMENT'!$BM$8:$BM$1000))</f>
        <v>41877</v>
      </c>
      <c r="BN15" s="657"/>
      <c r="BO15" s="284">
        <f t="shared" si="3"/>
        <v>9.9999999999999992E-2</v>
      </c>
      <c r="BP15" s="284">
        <f t="shared" si="4"/>
        <v>0.7599999999999999</v>
      </c>
      <c r="BQ15" s="284">
        <f t="shared" si="5"/>
        <v>0.08</v>
      </c>
      <c r="BR15" s="710">
        <f t="shared" si="6"/>
        <v>6.0000000000000005E-2</v>
      </c>
      <c r="BS15" s="707">
        <f t="shared" si="7"/>
        <v>0.08</v>
      </c>
      <c r="BT15" s="284">
        <f t="shared" si="8"/>
        <v>0.76</v>
      </c>
      <c r="BU15" s="284">
        <f t="shared" si="9"/>
        <v>9.9999999999999992E-2</v>
      </c>
      <c r="BV15" s="710">
        <f t="shared" si="10"/>
        <v>0.06</v>
      </c>
      <c r="BW15" s="714">
        <f t="shared" si="11"/>
        <v>0.6</v>
      </c>
      <c r="BX15" s="285">
        <f t="shared" si="12"/>
        <v>0.35</v>
      </c>
      <c r="BY15" s="717">
        <f t="shared" si="13"/>
        <v>0.05</v>
      </c>
      <c r="BZ15" s="714">
        <f t="shared" si="14"/>
        <v>0.55000000000000004</v>
      </c>
      <c r="CA15" s="285">
        <f t="shared" si="15"/>
        <v>0.38</v>
      </c>
      <c r="CB15" s="717">
        <f t="shared" si="16"/>
        <v>7.0000000000000007E-2</v>
      </c>
      <c r="CC15" s="284">
        <f t="shared" si="17"/>
        <v>0.05</v>
      </c>
      <c r="CD15" s="284">
        <f t="shared" si="18"/>
        <v>0.55000000000000004</v>
      </c>
      <c r="CE15" s="284">
        <f t="shared" si="19"/>
        <v>0.1</v>
      </c>
      <c r="CF15" s="710">
        <f t="shared" si="20"/>
        <v>0.3</v>
      </c>
      <c r="CG15" s="707">
        <f t="shared" si="21"/>
        <v>0.04</v>
      </c>
      <c r="CH15" s="284">
        <f t="shared" si="22"/>
        <v>0.55000000000000004</v>
      </c>
      <c r="CI15" s="284">
        <f t="shared" si="23"/>
        <v>0.12</v>
      </c>
      <c r="CJ15" s="710">
        <f t="shared" si="24"/>
        <v>0.29000000000000004</v>
      </c>
      <c r="CK15" s="720">
        <f t="shared" si="25"/>
        <v>0.25</v>
      </c>
      <c r="CL15" s="286">
        <f t="shared" si="26"/>
        <v>0.54999999999999993</v>
      </c>
      <c r="CM15" s="718">
        <f t="shared" si="27"/>
        <v>0.19999999999999998</v>
      </c>
      <c r="CN15" s="720">
        <f t="shared" si="28"/>
        <v>0.15</v>
      </c>
      <c r="CO15" s="286">
        <f t="shared" si="29"/>
        <v>0.57999999999999996</v>
      </c>
      <c r="CP15" s="718">
        <f t="shared" si="30"/>
        <v>0.27</v>
      </c>
      <c r="CQ15" s="657"/>
      <c r="CR15" s="807">
        <f>IF($C15="","",IFERROR(SUMPRODUCT(('ANALYSE - ERP =&gt; SOUS-SEGMENT'!$C$8:$C$1000=$C15)*'ANALYSE - ERP =&gt; SOUS-SEGMENT'!$Q$8:$Q$1000*'ANALYSE - ERP =&gt; SOUS-SEGMENT'!$DH$8:$DH$1000*'ANALYSE - ERP =&gt; SOUS-SEGMENT'!$CR$8:$CR$1000)/SUMPRODUCT(('ANALYSE - ERP =&gt; SOUS-SEGMENT'!$C$8:$C$1000=$C15)*'ANALYSE - ERP =&gt; SOUS-SEGMENT'!$Q$8:$Q$1000*'ANALYSE - ERP =&gt; SOUS-SEGMENT'!$DH$8:$DH$1000),""))</f>
        <v>10</v>
      </c>
      <c r="CS15" s="808">
        <f>IF($C15="","",IFERROR(SUMPRODUCT(('ANALYSE - ERP =&gt; SOUS-SEGMENT'!$C$8:$C$1000=$C15)*'ANALYSE - ERP =&gt; SOUS-SEGMENT'!$Q$8:$Q$1000*'ANALYSE - ERP =&gt; SOUS-SEGMENT'!$DI$8:$DI$1000*'ANALYSE - ERP =&gt; SOUS-SEGMENT'!$CS$8:$CS$1000)/SUMPRODUCT(('ANALYSE - ERP =&gt; SOUS-SEGMENT'!$C$8:$C$1000=$C15)*'ANALYSE - ERP =&gt; SOUS-SEGMENT'!$Q$8:$Q$1000*'ANALYSE - ERP =&gt; SOUS-SEGMENT'!$DI$8:$DI$1000),""))</f>
        <v>11.000000000000002</v>
      </c>
      <c r="CT15" s="808">
        <f>IF($C15="","",IFERROR(SUMPRODUCT(('ANALYSE - ERP =&gt; SOUS-SEGMENT'!$C$8:$C$1000=$C15)*'ANALYSE - ERP =&gt; SOUS-SEGMENT'!$Q$8:$Q$1000*'ANALYSE - ERP =&gt; SOUS-SEGMENT'!$DJ$8:$DJ$1000*'ANALYSE - ERP =&gt; SOUS-SEGMENT'!$CT$8:$CT$1000)/SUMPRODUCT(('ANALYSE - ERP =&gt; SOUS-SEGMENT'!$C$8:$C$1000=$C15)*'ANALYSE - ERP =&gt; SOUS-SEGMENT'!$Q$8:$Q$1000*'ANALYSE - ERP =&gt; SOUS-SEGMENT'!$DJ$8:$DJ$1000),""))</f>
        <v>8</v>
      </c>
      <c r="CU15" s="809">
        <f>IF($C15="","",IFERROR(SUMPRODUCT(('ANALYSE - ERP =&gt; SOUS-SEGMENT'!$C$8:$C$1000=$C15)*'ANALYSE - ERP =&gt; SOUS-SEGMENT'!$Q$8:$Q$1000*'ANALYSE - ERP =&gt; SOUS-SEGMENT'!$DK$8:$DK$1000*'ANALYSE - ERP =&gt; SOUS-SEGMENT'!$CU$8:$CU$1000)/SUMPRODUCT(('ANALYSE - ERP =&gt; SOUS-SEGMENT'!$C$8:$C$1000=$C15)*'ANALYSE - ERP =&gt; SOUS-SEGMENT'!$Q$8:$Q$1000*'ANALYSE - ERP =&gt; SOUS-SEGMENT'!$DK$8:$DK$1000),""))</f>
        <v>10</v>
      </c>
      <c r="CV15" s="807">
        <f>IF($C15="","",IFERROR(SUMPRODUCT(('ANALYSE - ERP =&gt; SOUS-SEGMENT'!$C$8:$C$1000=$C15)*'ANALYSE - ERP =&gt; SOUS-SEGMENT'!$Q$8:$Q$1000*'ANALYSE - ERP =&gt; SOUS-SEGMENT'!$DS$8:$DS$1000*'ANALYSE - ERP =&gt; SOUS-SEGMENT'!$CV$8:$CV$1000)/SUMPRODUCT(('ANALYSE - ERP =&gt; SOUS-SEGMENT'!$C$8:$C$1000=$C15)*'ANALYSE - ERP =&gt; SOUS-SEGMENT'!$Q$8:$Q$1000*'ANALYSE - ERP =&gt; SOUS-SEGMENT'!$DS$8:$DS$1000),""))</f>
        <v>11</v>
      </c>
      <c r="CW15" s="808">
        <f>IF($C15="","",IFERROR(SUMPRODUCT(('ANALYSE - ERP =&gt; SOUS-SEGMENT'!$C$8:$C$1000=$C15)*'ANALYSE - ERP =&gt; SOUS-SEGMENT'!$Q$8:$Q$1000*'ANALYSE - ERP =&gt; SOUS-SEGMENT'!$DT$8:$DT$1000*'ANALYSE - ERP =&gt; SOUS-SEGMENT'!$CW$8:$CW$1000)/SUMPRODUCT(('ANALYSE - ERP =&gt; SOUS-SEGMENT'!$C$8:$C$1000=$C15)*'ANALYSE - ERP =&gt; SOUS-SEGMENT'!$Q$8:$Q$1000*'ANALYSE - ERP =&gt; SOUS-SEGMENT'!$DT$8:$DT$1000),""))</f>
        <v>10</v>
      </c>
      <c r="CX15" s="809">
        <f>IF($C15="","",IFERROR(SUMPRODUCT(('ANALYSE - ERP =&gt; SOUS-SEGMENT'!$C$8:$C$1000=$C15)*'ANALYSE - ERP =&gt; SOUS-SEGMENT'!$Q$8:$Q$1000*'ANALYSE - ERP =&gt; SOUS-SEGMENT'!$DU$8:$DU$1000*'ANALYSE - ERP =&gt; SOUS-SEGMENT'!$CX$8:$CX$1000)/SUMPRODUCT(('ANALYSE - ERP =&gt; SOUS-SEGMENT'!$C$8:$C$1000=$C15)*'ANALYSE - ERP =&gt; SOUS-SEGMENT'!$Q$8:$Q$1000*'ANALYSE - ERP =&gt; SOUS-SEGMENT'!$DU$8:$DU$1000),""))</f>
        <v>8</v>
      </c>
      <c r="CY15" s="807">
        <f>IF($C15="","",IFERROR(SUMPRODUCT(('ANALYSE - ERP =&gt; SOUS-SEGMENT'!$C$8:$C$1000=$C15)*'ANALYSE - ERP =&gt; SOUS-SEGMENT'!$Q$8:$Q$1000*'ANALYSE - ERP =&gt; SOUS-SEGMENT'!$EB$8:$EB$1000*'ANALYSE - ERP =&gt; SOUS-SEGMENT'!$CY$8:$CY$1000)/SUMPRODUCT(('ANALYSE - ERP =&gt; SOUS-SEGMENT'!$C$8:$C$1000=$C15)*'ANALYSE - ERP =&gt; SOUS-SEGMENT'!$Q$8:$Q$1000*'ANALYSE - ERP =&gt; SOUS-SEGMENT'!$EB$8:$EB$1000),""))</f>
        <v>8</v>
      </c>
      <c r="CZ15" s="808">
        <f>IF($C15="","",IFERROR(SUMPRODUCT(('ANALYSE - ERP =&gt; SOUS-SEGMENT'!$C$8:$C$1000=$C15)*'ANALYSE - ERP =&gt; SOUS-SEGMENT'!$Q$8:$Q$1000*'ANALYSE - ERP =&gt; SOUS-SEGMENT'!$EC$8:$EC$1000*'ANALYSE - ERP =&gt; SOUS-SEGMENT'!$CZ$8:$CZ$1000)/SUMPRODUCT(('ANALYSE - ERP =&gt; SOUS-SEGMENT'!$C$8:$C$1000=$C15)*'ANALYSE - ERP =&gt; SOUS-SEGMENT'!$Q$8:$Q$1000*'ANALYSE - ERP =&gt; SOUS-SEGMENT'!$EC$8:$EC$1000),""))</f>
        <v>9.9999999999999982</v>
      </c>
      <c r="DA15" s="808">
        <f>IF($C15="","",IFERROR(SUMPRODUCT(('ANALYSE - ERP =&gt; SOUS-SEGMENT'!$C$8:$C$1000=$C15)*'ANALYSE - ERP =&gt; SOUS-SEGMENT'!$Q$8:$Q$1000*'ANALYSE - ERP =&gt; SOUS-SEGMENT'!$ED$8:$ED$1000*'ANALYSE - ERP =&gt; SOUS-SEGMENT'!$DA$8:$DA$1000)/SUMPRODUCT(('ANALYSE - ERP =&gt; SOUS-SEGMENT'!$C$8:$C$1000=$C15)*'ANALYSE - ERP =&gt; SOUS-SEGMENT'!$Q$8:$Q$1000*'ANALYSE - ERP =&gt; SOUS-SEGMENT'!$ED$8:$ED$1000),""))</f>
        <v>7</v>
      </c>
      <c r="DB15" s="809">
        <f>IF($C15="","",IFERROR(SUMPRODUCT(('ANALYSE - ERP =&gt; SOUS-SEGMENT'!$C$8:$C$1000=$C15)*'ANALYSE - ERP =&gt; SOUS-SEGMENT'!$Q$8:$Q$1000*'ANALYSE - ERP =&gt; SOUS-SEGMENT'!$EE$8:$EE$1000*'ANALYSE - ERP =&gt; SOUS-SEGMENT'!$DB$8:$DB$1000)/SUMPRODUCT(('ANALYSE - ERP =&gt; SOUS-SEGMENT'!$C$8:$C$1000=$C15)*'ANALYSE - ERP =&gt; SOUS-SEGMENT'!$Q$8:$Q$1000*'ANALYSE - ERP =&gt; SOUS-SEGMENT'!$EE$8:$EE$1000),""))</f>
        <v>9</v>
      </c>
      <c r="DC15" s="807">
        <f>IF($C15="","",IFERROR(SUMPRODUCT(('ANALYSE - ERP =&gt; SOUS-SEGMENT'!$C$8:$C$1000=$C15)*'ANALYSE - ERP =&gt; SOUS-SEGMENT'!$Q$8:$Q$1000*'ANALYSE - ERP =&gt; SOUS-SEGMENT'!$EM$8:$EM$1000*'ANALYSE - ERP =&gt; SOUS-SEGMENT'!$DC$8:$DC$1000)/SUMPRODUCT(('ANALYSE - ERP =&gt; SOUS-SEGMENT'!$C$8:$C$1000=$C15)*'ANALYSE - ERP =&gt; SOUS-SEGMENT'!$Q$8:$Q$1000*'ANALYSE - ERP =&gt; SOUS-SEGMENT'!$EM$8:$EM$1000),""))</f>
        <v>10</v>
      </c>
      <c r="DD15" s="808">
        <f>IF($C15="","",IFERROR(SUMPRODUCT(('ANALYSE - ERP =&gt; SOUS-SEGMENT'!$C$8:$C$1000=$C15)*'ANALYSE - ERP =&gt; SOUS-SEGMENT'!$Q$8:$Q$1000*'ANALYSE - ERP =&gt; SOUS-SEGMENT'!$EN$8:$EN$1000*'ANALYSE - ERP =&gt; SOUS-SEGMENT'!$DD$8:$DD$1000)/SUMPRODUCT(('ANALYSE - ERP =&gt; SOUS-SEGMENT'!$C$8:$C$1000=$C15)*'ANALYSE - ERP =&gt; SOUS-SEGMENT'!$Q$8:$Q$1000*'ANALYSE - ERP =&gt; SOUS-SEGMENT'!$EN$8:$EN$1000),""))</f>
        <v>11.000000000000002</v>
      </c>
      <c r="DE15" s="809">
        <f>IF($C15="","",IFERROR(SUMPRODUCT(('ANALYSE - ERP =&gt; SOUS-SEGMENT'!$C$8:$C$1000=$C15)*'ANALYSE - ERP =&gt; SOUS-SEGMENT'!$Q$8:$Q$1000*'ANALYSE - ERP =&gt; SOUS-SEGMENT'!$EO$8:$EO$1000*'ANALYSE - ERP =&gt; SOUS-SEGMENT'!$DE$8:$DE$1000)/SUMPRODUCT(('ANALYSE - ERP =&gt; SOUS-SEGMENT'!$C$8:$C$1000=$C15)*'ANALYSE - ERP =&gt; SOUS-SEGMENT'!$Q$8:$Q$1000*'ANALYSE - ERP =&gt; SOUS-SEGMENT'!$EO$8:$EO$1000),""))</f>
        <v>8</v>
      </c>
      <c r="DF15" s="921" t="s">
        <v>5543</v>
      </c>
      <c r="DG15" s="657"/>
      <c r="DH15" s="288">
        <f>IF($C15="","",SUMPRODUCT(('ANALYSE - ERP =&gt; SOUS-SEGMENT'!$C$8:$C$1000=$C15)*'ANALYSE - ERP =&gt; SOUS-SEGMENT'!$Q$8:$Q$1000*'ANALYSE - ERP =&gt; SOUS-SEGMENT'!$DH$8:$DH$1000))</f>
        <v>4686.2</v>
      </c>
      <c r="DI15" s="288">
        <f>IF($C15="","",SUMPRODUCT(('ANALYSE - ERP =&gt; SOUS-SEGMENT'!$C$8:$C$1000=$C15)*'ANALYSE - ERP =&gt; SOUS-SEGMENT'!$Q$8:$Q$1000*'ANALYSE - ERP =&gt; SOUS-SEGMENT'!$DI$8:$DI$1000))</f>
        <v>35615.119999999995</v>
      </c>
      <c r="DJ15" s="288">
        <f>IF($C15="","",SUMPRODUCT(('ANALYSE - ERP =&gt; SOUS-SEGMENT'!$C$8:$C$1000=$C15)*'ANALYSE - ERP =&gt; SOUS-SEGMENT'!$Q$8:$Q$1000*'ANALYSE - ERP =&gt; SOUS-SEGMENT'!$DJ$8:$DJ$1000))</f>
        <v>3748.96</v>
      </c>
      <c r="DK15" s="288">
        <f>IF($C15="","",SUMPRODUCT(('ANALYSE - ERP =&gt; SOUS-SEGMENT'!$C$8:$C$1000=$C15)*'ANALYSE - ERP =&gt; SOUS-SEGMENT'!$Q$8:$Q$1000*'ANALYSE - ERP =&gt; SOUS-SEGMENT'!$DK$8:$DK$1000))</f>
        <v>2811.7200000000003</v>
      </c>
      <c r="DL15" s="922" t="s">
        <v>5544</v>
      </c>
      <c r="DM15" s="288">
        <f>IF($C15="","",SUMPRODUCT(('ANALYSE - ERP =&gt; SOUS-SEGMENT'!$C$8:$C$1000=$C15)*'ANALYSE - ERP =&gt; SOUS-SEGMENT'!$Q$8:$Q$1000*'ANALYSE - ERP =&gt; SOUS-SEGMENT'!$DM$8:$DM$1000))</f>
        <v>3687.52</v>
      </c>
      <c r="DN15" s="288">
        <f>IF($C15="","",SUMPRODUCT(('ANALYSE - ERP =&gt; SOUS-SEGMENT'!$C$8:$C$1000=$C15)*'ANALYSE - ERP =&gt; SOUS-SEGMENT'!$Q$8:$Q$1000*'ANALYSE - ERP =&gt; SOUS-SEGMENT'!$DN$8:$DN$1000))</f>
        <v>35031.440000000002</v>
      </c>
      <c r="DO15" s="288">
        <f>IF($C15="","",SUMPRODUCT(('ANALYSE - ERP =&gt; SOUS-SEGMENT'!$C$8:$C$1000=$C15)*'ANALYSE - ERP =&gt; SOUS-SEGMENT'!$Q$8:$Q$1000*'ANALYSE - ERP =&gt; SOUS-SEGMENT'!$DO$8:$DO$1000))</f>
        <v>4609.3999999999996</v>
      </c>
      <c r="DP15" s="288">
        <f>IF($C15="","",SUMPRODUCT(('ANALYSE - ERP =&gt; SOUS-SEGMENT'!$C$8:$C$1000=$C15)*'ANALYSE - ERP =&gt; SOUS-SEGMENT'!$Q$8:$Q$1000*'ANALYSE - ERP =&gt; SOUS-SEGMENT'!$DP$8:$DP$1000))</f>
        <v>2765.64</v>
      </c>
      <c r="DQ15" s="922" t="s">
        <v>2644</v>
      </c>
      <c r="DR15" s="657"/>
      <c r="DS15" s="288">
        <f>IF($C15="","",SUMPRODUCT(('ANALYSE - ERP =&gt; SOUS-SEGMENT'!$C$8:$C$1000=$C15)*'ANALYSE - ERP =&gt; SOUS-SEGMENT'!$Q$8:$Q$1000*'ANALYSE - ERP =&gt; SOUS-SEGMENT'!$DS$8:$DS$1000))</f>
        <v>9.9</v>
      </c>
      <c r="DT15" s="288">
        <f>IF($C15="","",SUMPRODUCT(('ANALYSE - ERP =&gt; SOUS-SEGMENT'!$C$8:$C$1000=$C15)*'ANALYSE - ERP =&gt; SOUS-SEGMENT'!$Q$8:$Q$1000*'ANALYSE - ERP =&gt; SOUS-SEGMENT'!$DT$8:$DT$1000))</f>
        <v>5.7749999999999995</v>
      </c>
      <c r="DU15" s="288">
        <f>IF($C15="","",SUMPRODUCT(('ANALYSE - ERP =&gt; SOUS-SEGMENT'!$C$8:$C$1000=$C15)*'ANALYSE - ERP =&gt; SOUS-SEGMENT'!$Q$8:$Q$1000*'ANALYSE - ERP =&gt; SOUS-SEGMENT'!$DU$8:$DU$1000))</f>
        <v>0.82500000000000007</v>
      </c>
      <c r="DV15" s="922" t="s">
        <v>5545</v>
      </c>
      <c r="DW15" s="288">
        <f>IF($C15="","",SUMPRODUCT(('ANALYSE - ERP =&gt; SOUS-SEGMENT'!$C$8:$C$1000=$C15)*'ANALYSE - ERP =&gt; SOUS-SEGMENT'!$Q$8:$Q$1000*'ANALYSE - ERP =&gt; SOUS-SEGMENT'!$DW$8:$DW$1000))</f>
        <v>9.3500000000000014</v>
      </c>
      <c r="DX15" s="288">
        <f>IF($C15="","",SUMPRODUCT(('ANALYSE - ERP =&gt; SOUS-SEGMENT'!$C$8:$C$1000=$C15)*'ANALYSE - ERP =&gt; SOUS-SEGMENT'!$Q$8:$Q$1000*'ANALYSE - ERP =&gt; SOUS-SEGMENT'!$DX$8:$DX$1000))</f>
        <v>6.46</v>
      </c>
      <c r="DY15" s="288">
        <f>IF($C15="","",SUMPRODUCT(('ANALYSE - ERP =&gt; SOUS-SEGMENT'!$C$8:$C$1000=$C15)*'ANALYSE - ERP =&gt; SOUS-SEGMENT'!$Q$8:$Q$1000*'ANALYSE - ERP =&gt; SOUS-SEGMENT'!$DY$8:$DY$1000))</f>
        <v>1.1900000000000002</v>
      </c>
      <c r="DZ15" s="922" t="s">
        <v>5546</v>
      </c>
      <c r="EA15" s="657"/>
      <c r="EB15" s="288">
        <f>IF($C15="","",SUMPRODUCT(('ANALYSE - ERP =&gt; SOUS-SEGMENT'!$C$8:$C$1000=$C15)*'ANALYSE - ERP =&gt; SOUS-SEGMENT'!$Q$8:$Q$1000*'ANALYSE - ERP =&gt; SOUS-SEGMENT'!$EB$8:$EB$1000))</f>
        <v>718.25</v>
      </c>
      <c r="EC15" s="288">
        <f>IF($C15="","",SUMPRODUCT(('ANALYSE - ERP =&gt; SOUS-SEGMENT'!$C$8:$C$1000=$C15)*'ANALYSE - ERP =&gt; SOUS-SEGMENT'!$Q$8:$Q$1000*'ANALYSE - ERP =&gt; SOUS-SEGMENT'!$EC$8:$EC$1000))</f>
        <v>7900.7500000000009</v>
      </c>
      <c r="ED15" s="288">
        <f>IF($C15="","",SUMPRODUCT(('ANALYSE - ERP =&gt; SOUS-SEGMENT'!$C$8:$C$1000=$C15)*'ANALYSE - ERP =&gt; SOUS-SEGMENT'!$Q$8:$Q$1000*'ANALYSE - ERP =&gt; SOUS-SEGMENT'!$ED$8:$ED$1000))</f>
        <v>1436.5</v>
      </c>
      <c r="EE15" s="288">
        <f>IF($C15="","",SUMPRODUCT(('ANALYSE - ERP =&gt; SOUS-SEGMENT'!$C$8:$C$1000=$C15)*'ANALYSE - ERP =&gt; SOUS-SEGMENT'!$Q$8:$Q$1000*'ANALYSE - ERP =&gt; SOUS-SEGMENT'!$EE$8:$EE$1000))</f>
        <v>4309.5</v>
      </c>
      <c r="EF15" s="922" t="s">
        <v>5547</v>
      </c>
      <c r="EG15" s="288">
        <f>IF($C15="","",SUMPRODUCT(('ANALYSE - ERP =&gt; SOUS-SEGMENT'!$C$8:$C$1000=$C15)*'ANALYSE - ERP =&gt; SOUS-SEGMENT'!$Q$8:$Q$1000*'ANALYSE - ERP =&gt; SOUS-SEGMENT'!$EG$8:$EG$1000))</f>
        <v>562.84</v>
      </c>
      <c r="EH15" s="288">
        <f>IF($C15="","",SUMPRODUCT(('ANALYSE - ERP =&gt; SOUS-SEGMENT'!$C$8:$C$1000=$C15)*'ANALYSE - ERP =&gt; SOUS-SEGMENT'!$Q$8:$Q$1000*'ANALYSE - ERP =&gt; SOUS-SEGMENT'!$EH$8:$EH$1000))</f>
        <v>7739.0500000000011</v>
      </c>
      <c r="EI15" s="288">
        <f>IF($C15="","",SUMPRODUCT(('ANALYSE - ERP =&gt; SOUS-SEGMENT'!$C$8:$C$1000=$C15)*'ANALYSE - ERP =&gt; SOUS-SEGMENT'!$Q$8:$Q$1000*'ANALYSE - ERP =&gt; SOUS-SEGMENT'!$EI$8:$EI$1000))</f>
        <v>1688.52</v>
      </c>
      <c r="EJ15" s="288">
        <f>IF($C15="","",SUMPRODUCT(('ANALYSE - ERP =&gt; SOUS-SEGMENT'!$C$8:$C$1000=$C15)*'ANALYSE - ERP =&gt; SOUS-SEGMENT'!$Q$8:$Q$1000*'ANALYSE - ERP =&gt; SOUS-SEGMENT'!$EJ$8:$EJ$1000))</f>
        <v>4080.59</v>
      </c>
      <c r="EK15" s="922" t="s">
        <v>2983</v>
      </c>
      <c r="EL15" s="657"/>
      <c r="EM15" s="288">
        <f>IF($C15="","",SUMPRODUCT(('ANALYSE - ERP =&gt; SOUS-SEGMENT'!$C$8:$C$1000=$C15)*'ANALYSE - ERP =&gt; SOUS-SEGMENT'!$Q$8:$Q$1000*'ANALYSE - ERP =&gt; SOUS-SEGMENT'!$EM$8:$EM$1000))</f>
        <v>10649.25</v>
      </c>
      <c r="EN15" s="291">
        <f>IF($C15="","",SUMPRODUCT(('ANALYSE - ERP =&gt; SOUS-SEGMENT'!$C$8:$C$1000=$C15)*'ANALYSE - ERP =&gt; SOUS-SEGMENT'!$Q$8:$Q$1000*'ANALYSE - ERP =&gt; SOUS-SEGMENT'!$EN$8:$EN$1000))</f>
        <v>23428.35</v>
      </c>
      <c r="EO15" s="291">
        <f>IF($C15="","",SUMPRODUCT(('ANALYSE - ERP =&gt; SOUS-SEGMENT'!$C$8:$C$1000=$C15)*'ANALYSE - ERP =&gt; SOUS-SEGMENT'!$Q$8:$Q$1000*'ANALYSE - ERP =&gt; SOUS-SEGMENT'!$EO$8:$EO$1000))</f>
        <v>8519.4</v>
      </c>
      <c r="EP15" s="922" t="s">
        <v>5548</v>
      </c>
      <c r="EQ15" s="288">
        <f>IF($C15="","",SUMPRODUCT(('ANALYSE - ERP =&gt; SOUS-SEGMENT'!$C$8:$C$1000=$C15)*'ANALYSE - ERP =&gt; SOUS-SEGMENT'!$Q$8:$Q$1000*'ANALYSE - ERP =&gt; SOUS-SEGMENT'!$EQ$8:$EQ$1000))</f>
        <v>6281.55</v>
      </c>
      <c r="ER15" s="291">
        <f>IF($C15="","",SUMPRODUCT(('ANALYSE - ERP =&gt; SOUS-SEGMENT'!$C$8:$C$1000=$C15)*'ANALYSE - ERP =&gt; SOUS-SEGMENT'!$Q$8:$Q$1000*'ANALYSE - ERP =&gt; SOUS-SEGMENT'!$ER$8:$ER$1000))</f>
        <v>24288.66</v>
      </c>
      <c r="ES15" s="291">
        <f>IF($C15="","",SUMPRODUCT(('ANALYSE - ERP =&gt; SOUS-SEGMENT'!$C$8:$C$1000=$C15)*'ANALYSE - ERP =&gt; SOUS-SEGMENT'!$Q$8:$Q$1000*'ANALYSE - ERP =&gt; SOUS-SEGMENT'!$ES$8:$ES$1000))</f>
        <v>11306.79</v>
      </c>
      <c r="ET15" s="922" t="s">
        <v>2985</v>
      </c>
      <c r="EU15" s="657"/>
      <c r="EV15" s="740">
        <f t="shared" si="31"/>
        <v>0.87422474717175402</v>
      </c>
      <c r="EW15" s="740">
        <f t="shared" si="32"/>
        <v>0.12577525282824603</v>
      </c>
      <c r="EX15" s="563">
        <f t="shared" si="33"/>
        <v>51142.258952831413</v>
      </c>
      <c r="EY15" s="563">
        <f t="shared" si="34"/>
        <v>44709.828402831416</v>
      </c>
      <c r="EZ15" s="563">
        <f t="shared" si="35"/>
        <v>6432.43055</v>
      </c>
      <c r="FA15" s="563">
        <f t="shared" si="36"/>
        <v>22544.970978218182</v>
      </c>
      <c r="FB15" s="563">
        <f>IF($C15="","",SUMPRODUCT(('ANALYSE - ERP =&gt; SOUS-SEGMENT'!$C$8:$C$1000=$C15)*'ANALYSE - ERP =&gt; SOUS-SEGMENT'!$Q$8:$Q$1000*'ANALYSE - ERP =&gt; SOUS-SEGMENT'!$FB$8:$FB$1000))</f>
        <v>19624.598778218184</v>
      </c>
      <c r="FC15" s="563">
        <f>IF($C15="","",SUMPRODUCT(('ANALYSE - ERP =&gt; SOUS-SEGMENT'!$C$8:$C$1000=$C15)*'ANALYSE - ERP =&gt; SOUS-SEGMENT'!$Q$8:$Q$1000*'ANALYSE - ERP =&gt; SOUS-SEGMENT'!$FC$8:$FC$1000))</f>
        <v>2920.3721999999998</v>
      </c>
      <c r="FD15" s="563">
        <f t="shared" si="37"/>
        <v>8.2174206846590891</v>
      </c>
      <c r="FE15" s="563">
        <f>IF($C15="","",SUMPRODUCT(('ANALYSE - ERP =&gt; SOUS-SEGMENT'!$C$8:$C$1000=$C15)*'ANALYSE - ERP =&gt; SOUS-SEGMENT'!$Q$8:$Q$1000*'ANALYSE - ERP =&gt; SOUS-SEGMENT'!$FE$8:$FE$1000))</f>
        <v>6.8412706846590901</v>
      </c>
      <c r="FF15" s="563">
        <f>IF($C15="","",SUMPRODUCT(('ANALYSE - ERP =&gt; SOUS-SEGMENT'!$C$8:$C$1000=$C15)*'ANALYSE - ERP =&gt; SOUS-SEGMENT'!$Q$8:$Q$1000*'ANALYSE - ERP =&gt; SOUS-SEGMENT'!$FF$8:$FF$1000))</f>
        <v>1.37615</v>
      </c>
      <c r="FG15" s="563">
        <f t="shared" si="38"/>
        <v>7489.9249239285718</v>
      </c>
      <c r="FH15" s="563">
        <f>IF($C15="","",SUMPRODUCT(('ANALYSE - ERP =&gt; SOUS-SEGMENT'!$C$8:$C$1000=$C15)*'ANALYSE - ERP =&gt; SOUS-SEGMENT'!$Q$8:$Q$1000*'ANALYSE - ERP =&gt; SOUS-SEGMENT'!$FH$8:$FH$1000))</f>
        <v>6621.1434239285718</v>
      </c>
      <c r="FI15" s="563">
        <f>IF($C15="","",SUMPRODUCT(('ANALYSE - ERP =&gt; SOUS-SEGMENT'!$C$8:$C$1000=$C15)*'ANALYSE - ERP =&gt; SOUS-SEGMENT'!$Q$8:$Q$1000*'ANALYSE - ERP =&gt; SOUS-SEGMENT'!$FI$8:$FI$1000))</f>
        <v>868.78150000000005</v>
      </c>
      <c r="FJ15" s="563">
        <f t="shared" si="39"/>
        <v>21099.145629999999</v>
      </c>
      <c r="FK15" s="563">
        <f>IF($C15="","",SUMPRODUCT(('ANALYSE - ERP =&gt; SOUS-SEGMENT'!$C$8:$C$1000=$C15)*'ANALYSE - ERP =&gt; SOUS-SEGMENT'!$Q$8:$Q$1000*'ANALYSE - ERP =&gt; SOUS-SEGMENT'!$FK$8:$FK$1000))</f>
        <v>18457.244930000001</v>
      </c>
      <c r="FL15" s="563">
        <f>IF($C15="","",SUMPRODUCT(('ANALYSE - ERP =&gt; SOUS-SEGMENT'!$C$8:$C$1000=$C15)*'ANALYSE - ERP =&gt; SOUS-SEGMENT'!$Q$8:$Q$1000*'ANALYSE - ERP =&gt; SOUS-SEGMENT'!$FL$8:$FL$1000))</f>
        <v>2641.9007000000001</v>
      </c>
      <c r="FM15" s="529"/>
      <c r="FN15" s="961" t="s">
        <v>2649</v>
      </c>
      <c r="FO15" s="740">
        <f>IF($C15="","",IFERROR(SUMPRODUCT(('ANALYSE - ERP =&gt; SOUS-SEGMENT'!$C$8:$C$1000=$C15)*'ANALYSE - ERP =&gt; SOUS-SEGMENT'!$Q$8:$Q$1000*'ANALYSE - ERP =&gt; SOUS-SEGMENT'!$AF$8:$AF$1000*'ANALYSE - ERP =&gt; SOUS-SEGMENT'!$FO$8:$FO$1000)/SUMPRODUCT(('ANALYSE - ERP =&gt; SOUS-SEGMENT'!$C$8:$C$1000=$C15)*'ANALYSE - ERP =&gt; SOUS-SEGMENT'!$Q$8:$Q$1000*'ANALYSE - ERP =&gt; SOUS-SEGMENT'!$AF$8:$AF$1000),""))</f>
        <v>5.3100000000000008E-2</v>
      </c>
      <c r="FP15" s="741">
        <f>IF($C15="","",IFERROR(SUMPRODUCT(('ANALYSE - ERP =&gt; SOUS-SEGMENT'!$C$8:$C$1000=$C15)*'ANALYSE - ERP =&gt; SOUS-SEGMENT'!$Q$8:$Q$1000*'ANALYSE - ERP =&gt; SOUS-SEGMENT'!$AF$8:$AF$1000*'ANALYSE - ERP =&gt; SOUS-SEGMENT'!$FP$8:$FP$1000)/SUMPRODUCT(('ANALYSE - ERP =&gt; SOUS-SEGMENT'!$C$8:$C$1000=$C15)*'ANALYSE - ERP =&gt; SOUS-SEGMENT'!$Q$8:$Q$1000*'ANALYSE - ERP =&gt; SOUS-SEGMENT'!$AF$8:$AF$1000),""))</f>
        <v>0.80554999999999988</v>
      </c>
      <c r="FQ15" s="961" t="s">
        <v>3203</v>
      </c>
      <c r="FR15" s="529"/>
      <c r="FS15" s="867">
        <f>IF($C15="","",IFERROR(SUMPRODUCT(('ANALYSE - ERP =&gt; SOUS-SEGMENT'!$C$8:$C$1000=$C15)*'ANALYSE - ERP =&gt; SOUS-SEGMENT'!$Q$8:$Q$1000*'ANALYSE - ERP =&gt; SOUS-SEGMENT'!$EX$8:$EX$1000*'ANALYSE - ERP =&gt; SOUS-SEGMENT'!$FS$8:$FS$1000)/SUMPRODUCT(('ANALYSE - ERP =&gt; SOUS-SEGMENT'!$C$8:$C$1000=$C15)*'ANALYSE - ERP =&gt; SOUS-SEGMENT'!$Q$8:$Q$1000*'ANALYSE - ERP =&gt; SOUS-SEGMENT'!$EX$8:$EX$1000),""))</f>
        <v>3.6100000000000003</v>
      </c>
      <c r="FT15" s="566">
        <f>IF($C15="","",RANK($FS15,$FS$8:$FS$43,0)+COUNTIF($FS$8:$FS15,$FS15)-1)</f>
        <v>7</v>
      </c>
      <c r="FU15" s="867">
        <f>IF($C15="","",IFERROR(SUMPRODUCT(('ANALYSE - ERP =&gt; SOUS-SEGMENT'!$C$8:$C$1000=$C15)*'ANALYSE - ERP =&gt; SOUS-SEGMENT'!$Q$8:$Q$1000*'ANALYSE - ERP =&gt; SOUS-SEGMENT'!$EY$8:$EY$1000*'ANALYSE - ERP =&gt; SOUS-SEGMENT'!$FU$8:$FU$1000)/SUMPRODUCT(('ANALYSE - ERP =&gt; SOUS-SEGMENT'!$C$8:$C$1000=$C15)*'ANALYSE - ERP =&gt; SOUS-SEGMENT'!$Q$8:$Q$1000*'ANALYSE - ERP =&gt; SOUS-SEGMENT'!$EY$8:$EY$1000),""))</f>
        <v>4.1300000000000008</v>
      </c>
      <c r="FV15" s="566">
        <f>IF($C15="","",RANK($FU15,$FU$8:$FU$43,0)+COUNTIF($FU$8:$FU15,$FU15)-1)</f>
        <v>16</v>
      </c>
      <c r="FW15" s="867">
        <f>IF($C15="","",IFERROR(SUMPRODUCT(('ANALYSE - ERP =&gt; SOUS-SEGMENT'!$C$8:$C$1000=$C15)*'ANALYSE - ERP =&gt; SOUS-SEGMENT'!$Q$8:$Q$1000*'ANALYSE - ERP =&gt; SOUS-SEGMENT'!$EZ$8:$EZ$1000*'ANALYSE - ERP =&gt; SOUS-SEGMENT'!$FW$8:$FW$1000)/SUMPRODUCT(('ANALYSE - ERP =&gt; SOUS-SEGMENT'!$C$8:$C$1000=$C15)*'ANALYSE - ERP =&gt; SOUS-SEGMENT'!$Q$8:$Q$1000*'ANALYSE - ERP =&gt; SOUS-SEGMENT'!$EZ$8:$EZ$1000),""))</f>
        <v>2.6899999999999995</v>
      </c>
      <c r="FX15" s="566">
        <f>IF($C15="","",RANK($FW15,$FW$8:$FW$43,0)+COUNTIF($FW$8:$FW15,$FW15)-1)</f>
        <v>5</v>
      </c>
      <c r="FY15" s="529"/>
      <c r="FZ15" s="922" t="s">
        <v>3204</v>
      </c>
      <c r="GA15" s="922" t="s">
        <v>5549</v>
      </c>
      <c r="GB15" s="922" t="s">
        <v>2653</v>
      </c>
      <c r="GC15" s="922" t="s">
        <v>2654</v>
      </c>
      <c r="GD15" s="922" t="s">
        <v>2655</v>
      </c>
      <c r="GE15" s="922" t="s">
        <v>2656</v>
      </c>
      <c r="GF15" s="923" t="s">
        <v>5550</v>
      </c>
      <c r="GG15" s="529"/>
      <c r="GH15" s="563">
        <f t="shared" si="40"/>
        <v>2252.2414100000001</v>
      </c>
      <c r="GI15" s="563">
        <f>IF($C15="","",SUMPRODUCT(('ANALYSE - ERP =&gt; SOUS-SEGMENT'!$C$8:$C$1000=$C15)*'ANALYSE - ERP =&gt; SOUS-SEGMENT'!$Q$8:$Q$1000*'ANALYSE - ERP =&gt; SOUS-SEGMENT'!$GI$8:$GI$1000))</f>
        <v>2018.6116340000001</v>
      </c>
      <c r="GJ15" s="563">
        <f>IF($C15="","",SUMPRODUCT(('ANALYSE - ERP =&gt; SOUS-SEGMENT'!$C$8:$C$1000=$C15)*'ANALYSE - ERP =&gt; SOUS-SEGMENT'!$Q$8:$Q$1000*'ANALYSE - ERP =&gt; SOUS-SEGMENT'!$GJ$8:$GJ$1000))</f>
        <v>233.62977599999999</v>
      </c>
      <c r="GK15" s="563">
        <f t="shared" si="41"/>
        <v>16718.586109818181</v>
      </c>
      <c r="GL15" s="563">
        <f>IF($C15="","",SUMPRODUCT(('ANALYSE - ERP =&gt; SOUS-SEGMENT'!$C$8:$C$1000=$C15)*'ANALYSE - ERP =&gt; SOUS-SEGMENT'!$Q$8:$Q$1000*'ANALYSE - ERP =&gt; SOUS-SEGMENT'!$GL$8:$GL$1000))</f>
        <v>14499.103237818181</v>
      </c>
      <c r="GM15" s="563">
        <f>IF($C15="","",SUMPRODUCT(('ANALYSE - ERP =&gt; SOUS-SEGMENT'!$C$8:$C$1000=$C15)*'ANALYSE - ERP =&gt; SOUS-SEGMENT'!$Q$8:$Q$1000*'ANALYSE - ERP =&gt; SOUS-SEGMENT'!$GM$8:$GM$1000))</f>
        <v>2219.482872</v>
      </c>
      <c r="GN15" s="563">
        <f t="shared" si="42"/>
        <v>2187.7541460000002</v>
      </c>
      <c r="GO15" s="563">
        <f>IF($C15="","",SUMPRODUCT(('ANALYSE - ERP =&gt; SOUS-SEGMENT'!$C$8:$C$1000=$C15)*'ANALYSE - ERP =&gt; SOUS-SEGMENT'!$Q$8:$Q$1000*'ANALYSE - ERP =&gt; SOUS-SEGMENT'!$GO$8:$GO$1000))</f>
        <v>1895.7169260000001</v>
      </c>
      <c r="GP15" s="563">
        <f>IF($C15="","",SUMPRODUCT(('ANALYSE - ERP =&gt; SOUS-SEGMENT'!$C$8:$C$1000=$C15)*'ANALYSE - ERP =&gt; SOUS-SEGMENT'!$Q$8:$Q$1000*'ANALYSE - ERP =&gt; SOUS-SEGMENT'!$GP$8:$GP$1000))</f>
        <v>292.03722000000005</v>
      </c>
      <c r="GQ15" s="563">
        <f t="shared" si="43"/>
        <v>1386.3893124000001</v>
      </c>
      <c r="GR15" s="563">
        <f>IF($C15="","",SUMPRODUCT(('ANALYSE - ERP =&gt; SOUS-SEGMENT'!$C$8:$C$1000=$C15)*'ANALYSE - ERP =&gt; SOUS-SEGMENT'!$Q$8:$Q$1000*'ANALYSE - ERP =&gt; SOUS-SEGMENT'!$GR$8:$GR$1000))</f>
        <v>1211.1669804000001</v>
      </c>
      <c r="GS15" s="563">
        <f>IF($C15="","",SUMPRODUCT(('ANALYSE - ERP =&gt; SOUS-SEGMENT'!$C$8:$C$1000=$C15)*'ANALYSE - ERP =&gt; SOUS-SEGMENT'!$Q$8:$Q$1000*'ANALYSE - ERP =&gt; SOUS-SEGMENT'!$GS$8:$GS$1000))</f>
        <v>175.22233199999999</v>
      </c>
      <c r="GT15" s="563">
        <f t="shared" si="44"/>
        <v>4.66746159090909</v>
      </c>
      <c r="GU15" s="563">
        <f>IF($C15="","",SUMPRODUCT(('ANALYSE - ERP =&gt; SOUS-SEGMENT'!$C$8:$C$1000=$C15)*'ANALYSE - ERP =&gt; SOUS-SEGMENT'!$Q$8:$Q$1000*'ANALYSE - ERP =&gt; SOUS-SEGMENT'!$GU$8:$GU$1000))</f>
        <v>3.9105790909090903</v>
      </c>
      <c r="GV15" s="563">
        <f>IF($C15="","",SUMPRODUCT(('ANALYSE - ERP =&gt; SOUS-SEGMENT'!$C$8:$C$1000=$C15)*'ANALYSE - ERP =&gt; SOUS-SEGMENT'!$Q$8:$Q$1000*'ANALYSE - ERP =&gt; SOUS-SEGMENT'!$GV$8:$GV$1000))</f>
        <v>0.75688250000000001</v>
      </c>
      <c r="GW15" s="563">
        <f t="shared" si="45"/>
        <v>3.0181281249999996</v>
      </c>
      <c r="GX15" s="563">
        <f>IF($C15="","",SUMPRODUCT(('ANALYSE - ERP =&gt; SOUS-SEGMENT'!$C$8:$C$1000=$C15)*'ANALYSE - ERP =&gt; SOUS-SEGMENT'!$Q$8:$Q$1000*'ANALYSE - ERP =&gt; SOUS-SEGMENT'!$GX$8:$GX$1000))</f>
        <v>2.4951911249999994</v>
      </c>
      <c r="GY15" s="563">
        <f>IF($C15="","",SUMPRODUCT(('ANALYSE - ERP =&gt; SOUS-SEGMENT'!$C$8:$C$1000=$C15)*'ANALYSE - ERP =&gt; SOUS-SEGMENT'!$Q$8:$Q$1000*'ANALYSE - ERP =&gt; SOUS-SEGMENT'!$GY$8:$GY$1000))</f>
        <v>0.52293699999999999</v>
      </c>
      <c r="GZ15" s="563">
        <f t="shared" si="46"/>
        <v>0.53183096875000002</v>
      </c>
      <c r="HA15" s="563">
        <f>IF($C15="","",SUMPRODUCT(('ANALYSE - ERP =&gt; SOUS-SEGMENT'!$C$8:$C$1000=$C15)*'ANALYSE - ERP =&gt; SOUS-SEGMENT'!$Q$8:$Q$1000*'ANALYSE - ERP =&gt; SOUS-SEGMENT'!$HA$8:$HA$1000))</f>
        <v>0.43550046874999998</v>
      </c>
      <c r="HB15" s="563">
        <f>IF($C15="","",SUMPRODUCT(('ANALYSE - ERP =&gt; SOUS-SEGMENT'!$C$8:$C$1000=$C15)*'ANALYSE - ERP =&gt; SOUS-SEGMENT'!$Q$8:$Q$1000*'ANALYSE - ERP =&gt; SOUS-SEGMENT'!$HB$8:$HB$1000))</f>
        <v>9.6330500000000013E-2</v>
      </c>
      <c r="HC15" s="563">
        <f t="shared" si="47"/>
        <v>399.4640225</v>
      </c>
      <c r="HD15" s="563">
        <f>IF($C15="","",SUMPRODUCT(('ANALYSE - ERP =&gt; SOUS-SEGMENT'!$C$8:$C$1000=$C15)*'ANALYSE - ERP =&gt; SOUS-SEGMENT'!$Q$8:$Q$1000*'ANALYSE - ERP =&gt; SOUS-SEGMENT'!$HD$8:$HD$1000))</f>
        <v>364.7127625</v>
      </c>
      <c r="HE15" s="563">
        <f>IF($C15="","",SUMPRODUCT(('ANALYSE - ERP =&gt; SOUS-SEGMENT'!$C$8:$C$1000=$C15)*'ANALYSE - ERP =&gt; SOUS-SEGMENT'!$Q$8:$Q$1000*'ANALYSE - ERP =&gt; SOUS-SEGMENT'!$HE$8:$HE$1000))</f>
        <v>34.751260000000002</v>
      </c>
      <c r="HF15" s="563">
        <f t="shared" si="48"/>
        <v>3915.031120000001</v>
      </c>
      <c r="HG15" s="563">
        <f>IF($C15="","",SUMPRODUCT(('ANALYSE - ERP =&gt; SOUS-SEGMENT'!$C$8:$C$1000=$C15)*'ANALYSE - ERP =&gt; SOUS-SEGMENT'!$Q$8:$Q$1000*'ANALYSE - ERP =&gt; SOUS-SEGMENT'!$HG$8:$HG$1000))</f>
        <v>3437.2012950000008</v>
      </c>
      <c r="HH15" s="563">
        <f>IF($C15="","",SUMPRODUCT(('ANALYSE - ERP =&gt; SOUS-SEGMENT'!$C$8:$C$1000=$C15)*'ANALYSE - ERP =&gt; SOUS-SEGMENT'!$Q$8:$Q$1000*'ANALYSE - ERP =&gt; SOUS-SEGMENT'!$HH$8:$HH$1000))</f>
        <v>477.82982500000008</v>
      </c>
      <c r="HI15" s="563">
        <f t="shared" si="49"/>
        <v>919.27474642857146</v>
      </c>
      <c r="HJ15" s="563">
        <f>IF($C15="","",SUMPRODUCT(('ANALYSE - ERP =&gt; SOUS-SEGMENT'!$C$8:$C$1000=$C15)*'ANALYSE - ERP =&gt; SOUS-SEGMENT'!$Q$8:$Q$1000*'ANALYSE - ERP =&gt; SOUS-SEGMENT'!$HJ$8:$HJ$1000))</f>
        <v>815.02096642857146</v>
      </c>
      <c r="HK15" s="563">
        <f>IF($C15="","",SUMPRODUCT(('ANALYSE - ERP =&gt; SOUS-SEGMENT'!$C$8:$C$1000=$C15)*'ANALYSE - ERP =&gt; SOUS-SEGMENT'!$Q$8:$Q$1000*'ANALYSE - ERP =&gt; SOUS-SEGMENT'!$HK$8:$HK$1000))</f>
        <v>104.25378000000001</v>
      </c>
      <c r="HL15" s="563">
        <f t="shared" si="50"/>
        <v>2256.1550350000002</v>
      </c>
      <c r="HM15" s="563">
        <f>IF($C15="","",SUMPRODUCT(('ANALYSE - ERP =&gt; SOUS-SEGMENT'!$C$8:$C$1000=$C15)*'ANALYSE - ERP =&gt; SOUS-SEGMENT'!$Q$8:$Q$1000*'ANALYSE - ERP =&gt; SOUS-SEGMENT'!$HM$8:$HM$1000))</f>
        <v>2004.2084000000002</v>
      </c>
      <c r="HN15" s="563">
        <f>IF($C15="","",SUMPRODUCT(('ANALYSE - ERP =&gt; SOUS-SEGMENT'!$C$8:$C$1000=$C15)*'ANALYSE - ERP =&gt; SOUS-SEGMENT'!$Q$8:$Q$1000*'ANALYSE - ERP =&gt; SOUS-SEGMENT'!$HN$8:$HN$1000))</f>
        <v>251.94663499999999</v>
      </c>
      <c r="HO15" s="563">
        <f t="shared" si="51"/>
        <v>4989.6923150000002</v>
      </c>
      <c r="HP15" s="563">
        <f>IF($C15="","",SUMPRODUCT(('ANALYSE - ERP =&gt; SOUS-SEGMENT'!$C$8:$C$1000=$C15)*'ANALYSE - ERP =&gt; SOUS-SEGMENT'!$Q$8:$Q$1000*'ANALYSE - ERP =&gt; SOUS-SEGMENT'!$HP$8:$HP$1000))</f>
        <v>4593.4072100000003</v>
      </c>
      <c r="HQ15" s="563">
        <f>IF($C15="","",SUMPRODUCT(('ANALYSE - ERP =&gt; SOUS-SEGMENT'!$C$8:$C$1000=$C15)*'ANALYSE - ERP =&gt; SOUS-SEGMENT'!$Q$8:$Q$1000*'ANALYSE - ERP =&gt; SOUS-SEGMENT'!$HQ$8:$HQ$1000))</f>
        <v>396.28510499999999</v>
      </c>
      <c r="HR15" s="563">
        <f t="shared" si="52"/>
        <v>11084.997636</v>
      </c>
      <c r="HS15" s="563">
        <f>IF($C15="","",SUMPRODUCT(('ANALYSE - ERP =&gt; SOUS-SEGMENT'!$C$8:$C$1000=$C15)*'ANALYSE - ERP =&gt; SOUS-SEGMENT'!$Q$8:$Q$1000*'ANALYSE - ERP =&gt; SOUS-SEGMENT'!$HS$8:$HS$1000))</f>
        <v>9552.6952300000012</v>
      </c>
      <c r="HT15" s="563">
        <f>IF($C15="","",SUMPRODUCT(('ANALYSE - ERP =&gt; SOUS-SEGMENT'!$C$8:$C$1000=$C15)*'ANALYSE - ERP =&gt; SOUS-SEGMENT'!$Q$8:$Q$1000*'ANALYSE - ERP =&gt; SOUS-SEGMENT'!$HT$8:$HT$1000))</f>
        <v>1532.3024059999998</v>
      </c>
      <c r="HU15" s="563">
        <f t="shared" si="53"/>
        <v>5024.4556790000006</v>
      </c>
      <c r="HV15" s="563">
        <f>IF($C15="","",SUMPRODUCT(('ANALYSE - ERP =&gt; SOUS-SEGMENT'!$C$8:$C$1000=$C15)*'ANALYSE - ERP =&gt; SOUS-SEGMENT'!$Q$8:$Q$1000*'ANALYSE - ERP =&gt; SOUS-SEGMENT'!$HV$8:$HV$1000))</f>
        <v>4311.1424900000002</v>
      </c>
      <c r="HW15" s="563">
        <f>IF($C15="","",SUMPRODUCT(('ANALYSE - ERP =&gt; SOUS-SEGMENT'!$C$8:$C$1000=$C15)*'ANALYSE - ERP =&gt; SOUS-SEGMENT'!$Q$8:$Q$1000*'ANALYSE - ERP =&gt; SOUS-SEGMENT'!$HW$8:$HW$1000))</f>
        <v>713.31318900000008</v>
      </c>
      <c r="HX15" s="544"/>
      <c r="HY15" s="568">
        <f t="shared" si="54"/>
        <v>103824</v>
      </c>
      <c r="HZ15" s="568">
        <f>IF($C15="","",SUMPRODUCT(('ANALYSE - ERP =&gt; SOUS-SEGMENT'!$C$8:$C$1000=$C15)*'ANALYSE - ERP =&gt; SOUS-SEGMENT'!$Q$8:$Q$1000*'ANALYSE - ERP =&gt; SOUS-SEGMENT'!$HZ$8:$HZ$1000))</f>
        <v>1245.9349</v>
      </c>
      <c r="IA15" s="568">
        <f>IF($C15="","",SUMPRODUCT(('ANALYSE - ERP =&gt; SOUS-SEGMENT'!$C$8:$C$1000=$C15)*'ANALYSE - ERP =&gt; SOUS-SEGMENT'!$Q$8:$Q$1000*'ANALYSE - ERP =&gt; SOUS-SEGMENT'!$IA$8:$IA$1000))</f>
        <v>32202.485100000002</v>
      </c>
      <c r="IB15" s="568">
        <f>IF($C15="","",SUMPRODUCT(('ANALYSE - ERP =&gt; SOUS-SEGMENT'!$C$8:$C$1000=$C15)*'ANALYSE - ERP =&gt; SOUS-SEGMENT'!$Q$8:$Q$1000*'ANALYSE - ERP =&gt; SOUS-SEGMENT'!$IB$8:$IB$1000))</f>
        <v>51411.477299999999</v>
      </c>
      <c r="IC15" s="568">
        <f>IF($C15="","",SUMPRODUCT(('ANALYSE - ERP =&gt; SOUS-SEGMENT'!$C$8:$C$1000=$C15)*'ANALYSE - ERP =&gt; SOUS-SEGMENT'!$Q$8:$Q$1000*'ANALYSE - ERP =&gt; SOUS-SEGMENT'!$IC$8:$IC$1000))</f>
        <v>17347.386900000001</v>
      </c>
      <c r="ID15" s="568">
        <f>IF($C15="","",SUMPRODUCT(('ANALYSE - ERP =&gt; SOUS-SEGMENT'!$C$8:$C$1000=$C15)*'ANALYSE - ERP =&gt; SOUS-SEGMENT'!$Q$8:$Q$1000*'ANALYSE - ERP =&gt; SOUS-SEGMENT'!$ID$8:$ID$1000))</f>
        <v>1616.7157999999999</v>
      </c>
      <c r="IE15" s="568">
        <f t="shared" si="55"/>
        <v>44702.987132146758</v>
      </c>
      <c r="IF15" s="568">
        <f>IF($C15="","",SUMPRODUCT(('ANALYSE - ERP =&gt; SOUS-SEGMENT'!$C$8:$C$1000=$C15)*'ANALYSE - ERP =&gt; SOUS-SEGMENT'!$Q$8:$Q$1000*'ANALYSE - ERP =&gt; SOUS-SEGMENT'!$IF$8:$IF$1000))</f>
        <v>0</v>
      </c>
      <c r="IG15" s="568">
        <f>IF($C15="","",SUMPRODUCT(('ANALYSE - ERP =&gt; SOUS-SEGMENT'!$C$8:$C$1000=$C15)*'ANALYSE - ERP =&gt; SOUS-SEGMENT'!$Q$8:$Q$1000*'ANALYSE - ERP =&gt; SOUS-SEGMENT'!$IG$8:$IG$1000))</f>
        <v>12216.964107168726</v>
      </c>
      <c r="IH15" s="568">
        <f>IF($C15="","",SUMPRODUCT(('ANALYSE - ERP =&gt; SOUS-SEGMENT'!$C$8:$C$1000=$C15)*'ANALYSE - ERP =&gt; SOUS-SEGMENT'!$Q$8:$Q$1000*'ANALYSE - ERP =&gt; SOUS-SEGMENT'!$IH$8:$IH$1000))</f>
        <v>22992.860615293273</v>
      </c>
      <c r="II15" s="568">
        <f>IF($C15="","",SUMPRODUCT(('ANALYSE - ERP =&gt; SOUS-SEGMENT'!$C$8:$C$1000=$C15)*'ANALYSE - ERP =&gt; SOUS-SEGMENT'!$Q$8:$Q$1000*'ANALYSE - ERP =&gt; SOUS-SEGMENT'!$II$8:$II$1000))</f>
        <v>8541.3194544916914</v>
      </c>
      <c r="IJ15" s="568">
        <f>IF($C15="","",SUMPRODUCT(('ANALYSE - ERP =&gt; SOUS-SEGMENT'!$C$8:$C$1000=$C15)*'ANALYSE - ERP =&gt; SOUS-SEGMENT'!$Q$8:$Q$1000*'ANALYSE - ERP =&gt; SOUS-SEGMENT'!$IJ$8:$IJ$1000))</f>
        <v>951.84295519306488</v>
      </c>
      <c r="IK15" s="868">
        <f>IF($C15="","",IFERROR(SUMPRODUCT(('ANALYSE - ERP =&gt; SOUS-SEGMENT'!$C$8:$C$1000=$C15)*'ANALYSE - ERP =&gt; SOUS-SEGMENT'!$Q$8:$Q$1000*'ANALYSE - ERP =&gt; SOUS-SEGMENT'!$IE$8:$IE$1000*'ANALYSE - ERP =&gt; SOUS-SEGMENT'!$IK$8:$IK$1000)/SUMPRODUCT(('ANALYSE - ERP =&gt; SOUS-SEGMENT'!$C$8:$C$1000=$C15)*'ANALYSE - ERP =&gt; SOUS-SEGMENT'!$Q$8:$Q$1000*'ANALYSE - ERP =&gt; SOUS-SEGMENT'!$IE$8:$IE$1000),""))</f>
        <v>4.1500000000000004</v>
      </c>
      <c r="IL15" s="962" t="s">
        <v>2589</v>
      </c>
      <c r="IM15" s="963" t="s">
        <v>5551</v>
      </c>
      <c r="IN15" s="529"/>
      <c r="IO15" s="742">
        <f>IF($C15="","",IFERROR(SUMPRODUCT(('ANALYSE - ERP =&gt; SOUS-SEGMENT'!$C$8:$C$1000=$C15)*'ANALYSE - ERP =&gt; SOUS-SEGMENT'!$Q$8:$Q$1000*'ANALYSE - ERP =&gt; SOUS-SEGMENT'!$BE$8:$BE$1000*'ANALYSE - ERP =&gt; SOUS-SEGMENT'!$IO$8:$IO$1000)/SUMPRODUCT(('ANALYSE - ERP =&gt; SOUS-SEGMENT'!$C$8:$C$1000=$C15)*'ANALYSE - ERP =&gt; SOUS-SEGMENT'!$Q$8:$Q$1000*'ANALYSE - ERP =&gt; SOUS-SEGMENT'!$BE$8:$BE$1000),""))</f>
        <v>0.01</v>
      </c>
      <c r="IP15" s="742">
        <f>IF($C15="","",IFERROR(SUMPRODUCT(('ANALYSE - ERP =&gt; SOUS-SEGMENT'!$C$8:$C$1000=$C15)*'ANALYSE - ERP =&gt; SOUS-SEGMENT'!$Q$8:$Q$1000*'ANALYSE - ERP =&gt; SOUS-SEGMENT'!$BE$8:$BE$1000*'ANALYSE - ERP =&gt; SOUS-SEGMENT'!$IP$8:$IP$1000)/SUMPRODUCT(('ANALYSE - ERP =&gt; SOUS-SEGMENT'!$C$8:$C$1000=$C15)*'ANALYSE - ERP =&gt; SOUS-SEGMENT'!$Q$8:$Q$1000*'ANALYSE - ERP =&gt; SOUS-SEGMENT'!$BE$8:$BE$1000),""))</f>
        <v>0.28000000000000003</v>
      </c>
      <c r="IQ15" s="742">
        <f>IF($C15="","",IFERROR(SUMPRODUCT(('ANALYSE - ERP =&gt; SOUS-SEGMENT'!$C$8:$C$1000=$C15)*'ANALYSE - ERP =&gt; SOUS-SEGMENT'!$Q$8:$Q$1000*'ANALYSE - ERP =&gt; SOUS-SEGMENT'!$BE$8:$BE$1000*'ANALYSE - ERP =&gt; SOUS-SEGMENT'!$IQ$8:$IQ$1000)/SUMPRODUCT(('ANALYSE - ERP =&gt; SOUS-SEGMENT'!$C$8:$C$1000=$C15)*'ANALYSE - ERP =&gt; SOUS-SEGMENT'!$Q$8:$Q$1000*'ANALYSE - ERP =&gt; SOUS-SEGMENT'!$BE$8:$BE$1000),""))</f>
        <v>0.5</v>
      </c>
      <c r="IR15" s="742">
        <f>IF($C15="","",IFERROR(SUMPRODUCT(('ANALYSE - ERP =&gt; SOUS-SEGMENT'!$C$8:$C$1000=$C15)*'ANALYSE - ERP =&gt; SOUS-SEGMENT'!$Q$8:$Q$1000*'ANALYSE - ERP =&gt; SOUS-SEGMENT'!$BE$8:$BE$1000*'ANALYSE - ERP =&gt; SOUS-SEGMENT'!$IR$8:$IR$1000)/SUMPRODUCT(('ANALYSE - ERP =&gt; SOUS-SEGMENT'!$C$8:$C$1000=$C15)*'ANALYSE - ERP =&gt; SOUS-SEGMENT'!$Q$8:$Q$1000*'ANALYSE - ERP =&gt; SOUS-SEGMENT'!$BE$8:$BE$1000),""))</f>
        <v>0.18999999999999997</v>
      </c>
      <c r="IS15" s="742">
        <f>IF($C15="","",IFERROR(SUMPRODUCT(('ANALYSE - ERP =&gt; SOUS-SEGMENT'!$C$8:$C$1000=$C15)*'ANALYSE - ERP =&gt; SOUS-SEGMENT'!$Q$8:$Q$1000*'ANALYSE - ERP =&gt; SOUS-SEGMENT'!$BE$8:$BE$1000*'ANALYSE - ERP =&gt; SOUS-SEGMENT'!$IS$8:$IS$1000)/SUMPRODUCT(('ANALYSE - ERP =&gt; SOUS-SEGMENT'!$C$8:$C$1000=$C15)*'ANALYSE - ERP =&gt; SOUS-SEGMENT'!$Q$8:$Q$1000*'ANALYSE - ERP =&gt; SOUS-SEGMENT'!$BE$8:$BE$1000),""))</f>
        <v>0.02</v>
      </c>
      <c r="IT15" s="742">
        <f>IF($C15="","",IFERROR(SUMPRODUCT(('ANALYSE - ERP =&gt; SOUS-SEGMENT'!$C$8:$C$1000=$C15)*'ANALYSE - ERP =&gt; SOUS-SEGMENT'!$Q$8:$Q$1000*'ANALYSE - ERP =&gt; SOUS-SEGMENT'!$FB$8:$FB$1000*'ANALYSE - ERP =&gt; SOUS-SEGMENT'!$IT$8:$IT$1000)/SUMPRODUCT(('ANALYSE - ERP =&gt; SOUS-SEGMENT'!$C$8:$C$1000=$C15)*'ANALYSE - ERP =&gt; SOUS-SEGMENT'!$Q$8:$Q$1000*'ANALYSE - ERP =&gt; SOUS-SEGMENT'!$FB$8:$FB$1000),""))</f>
        <v>0</v>
      </c>
      <c r="IU15" s="742">
        <f>IF($C15="","",IFERROR(SUMPRODUCT(('ANALYSE - ERP =&gt; SOUS-SEGMENT'!$C$8:$C$1000=$C15)*'ANALYSE - ERP =&gt; SOUS-SEGMENT'!$Q$8:$Q$1000*'ANALYSE - ERP =&gt; SOUS-SEGMENT'!$FB$8:$FB$1000*'ANALYSE - ERP =&gt; SOUS-SEGMENT'!$IU$8:$IU$1000)/SUMPRODUCT(('ANALYSE - ERP =&gt; SOUS-SEGMENT'!$C$8:$C$1000=$C15)*'ANALYSE - ERP =&gt; SOUS-SEGMENT'!$Q$8:$Q$1000*'ANALYSE - ERP =&gt; SOUS-SEGMENT'!$FB$8:$FB$1000),""))</f>
        <v>0.24129999999999996</v>
      </c>
      <c r="IV15" s="742">
        <f>IF($C15="","",IFERROR(SUMPRODUCT(('ANALYSE - ERP =&gt; SOUS-SEGMENT'!$C$8:$C$1000=$C15)*'ANALYSE - ERP =&gt; SOUS-SEGMENT'!$Q$8:$Q$1000*'ANALYSE - ERP =&gt; SOUS-SEGMENT'!$FB$8:$FB$1000*'ANALYSE - ERP =&gt; SOUS-SEGMENT'!$IV$8:$IV$1000)/SUMPRODUCT(('ANALYSE - ERP =&gt; SOUS-SEGMENT'!$C$8:$C$1000=$C15)*'ANALYSE - ERP =&gt; SOUS-SEGMENT'!$Q$8:$Q$1000*'ANALYSE - ERP =&gt; SOUS-SEGMENT'!$FB$8:$FB$1000),""))</f>
        <v>0.51870000000000005</v>
      </c>
      <c r="IW15" s="742">
        <f>IF($C15="","",IFERROR(SUMPRODUCT(('ANALYSE - ERP =&gt; SOUS-SEGMENT'!$C$8:$C$1000=$C15)*'ANALYSE - ERP =&gt; SOUS-SEGMENT'!$Q$8:$Q$1000*'ANALYSE - ERP =&gt; SOUS-SEGMENT'!$FB$8:$FB$1000*'ANALYSE - ERP =&gt; SOUS-SEGMENT'!$IW$8:$IW$1000)/SUMPRODUCT(('ANALYSE - ERP =&gt; SOUS-SEGMENT'!$C$8:$C$1000=$C15)*'ANALYSE - ERP =&gt; SOUS-SEGMENT'!$Q$8:$Q$1000*'ANALYSE - ERP =&gt; SOUS-SEGMENT'!$FB$8:$FB$1000),""))</f>
        <v>0.2142</v>
      </c>
      <c r="IX15" s="742">
        <f>IF($C15="","",IFERROR(SUMPRODUCT(('ANALYSE - ERP =&gt; SOUS-SEGMENT'!$C$8:$C$1000=$C15)*'ANALYSE - ERP =&gt; SOUS-SEGMENT'!$Q$8:$Q$1000*'ANALYSE - ERP =&gt; SOUS-SEGMENT'!$FB$8:$FB$1000*'ANALYSE - ERP =&gt; SOUS-SEGMENT'!$IX$8:$IX$1000)/SUMPRODUCT(('ANALYSE - ERP =&gt; SOUS-SEGMENT'!$C$8:$C$1000=$C15)*'ANALYSE - ERP =&gt; SOUS-SEGMENT'!$Q$8:$Q$1000*'ANALYSE - ERP =&gt; SOUS-SEGMENT'!$FB$8:$FB$1000),""))</f>
        <v>2.58E-2</v>
      </c>
      <c r="IY15" s="742">
        <f>IF($C15="","",IFERROR(SUMPRODUCT(('ANALYSE - ERP =&gt; SOUS-SEGMENT'!$C$8:$C$1000=$C15)*'ANALYSE - ERP =&gt; SOUS-SEGMENT'!$Q$8:$Q$1000*'ANALYSE - ERP =&gt; SOUS-SEGMENT'!$BF$8:$BF$1000*'ANALYSE - ERP =&gt; SOUS-SEGMENT'!$IY$8:$IY$1000)/SUMPRODUCT(('ANALYSE - ERP =&gt; SOUS-SEGMENT'!$C$8:$C$1000=$C15)*'ANALYSE - ERP =&gt; SOUS-SEGMENT'!$Q$8:$Q$1000*'ANALYSE - ERP =&gt; SOUS-SEGMENT'!$BF$8:$BF$1000),""))</f>
        <v>0</v>
      </c>
      <c r="IZ15" s="742">
        <f>IF($C15="","",IFERROR(SUMPRODUCT(('ANALYSE - ERP =&gt; SOUS-SEGMENT'!$C$8:$C$1000=$C15)*'ANALYSE - ERP =&gt; SOUS-SEGMENT'!$Q$8:$Q$1000*'ANALYSE - ERP =&gt; SOUS-SEGMENT'!$BF$8:$BF$1000*'ANALYSE - ERP =&gt; SOUS-SEGMENT'!$IZ$8:$IZ$1000)/SUMPRODUCT(('ANALYSE - ERP =&gt; SOUS-SEGMENT'!$C$8:$C$1000=$C15)*'ANALYSE - ERP =&gt; SOUS-SEGMENT'!$Q$8:$Q$1000*'ANALYSE - ERP =&gt; SOUS-SEGMENT'!$BF$8:$BF$1000),""))</f>
        <v>0</v>
      </c>
      <c r="JA15" s="742">
        <f>IF($C15="","",IFERROR(SUMPRODUCT(('ANALYSE - ERP =&gt; SOUS-SEGMENT'!$C$8:$C$1000=$C15)*'ANALYSE - ERP =&gt; SOUS-SEGMENT'!$Q$8:$Q$1000*'ANALYSE - ERP =&gt; SOUS-SEGMENT'!$BF$8:$BF$1000*'ANALYSE - ERP =&gt; SOUS-SEGMENT'!$JA$8:$JA$1000)/SUMPRODUCT(('ANALYSE - ERP =&gt; SOUS-SEGMENT'!$C$8:$C$1000=$C15)*'ANALYSE - ERP =&gt; SOUS-SEGMENT'!$Q$8:$Q$1000*'ANALYSE - ERP =&gt; SOUS-SEGMENT'!$BF$8:$BF$1000),""))</f>
        <v>0</v>
      </c>
      <c r="JB15" s="742">
        <f>IF($C15="","",IFERROR(SUMPRODUCT(('ANALYSE - ERP =&gt; SOUS-SEGMENT'!$C$8:$C$1000=$C15)*'ANALYSE - ERP =&gt; SOUS-SEGMENT'!$Q$8:$Q$1000*'ANALYSE - ERP =&gt; SOUS-SEGMENT'!$BF$8:$BF$1000*'ANALYSE - ERP =&gt; SOUS-SEGMENT'!$JB$8:$JB$1000)/SUMPRODUCT(('ANALYSE - ERP =&gt; SOUS-SEGMENT'!$C$8:$C$1000=$C15)*'ANALYSE - ERP =&gt; SOUS-SEGMENT'!$Q$8:$Q$1000*'ANALYSE - ERP =&gt; SOUS-SEGMENT'!$BF$8:$BF$1000),""))</f>
        <v>0</v>
      </c>
      <c r="JC15" s="742">
        <f>IF($C15="","",IFERROR(SUMPRODUCT(('ANALYSE - ERP =&gt; SOUS-SEGMENT'!$C$8:$C$1000=$C15)*'ANALYSE - ERP =&gt; SOUS-SEGMENT'!$Q$8:$Q$1000*'ANALYSE - ERP =&gt; SOUS-SEGMENT'!$BF$8:$BF$1000*'ANALYSE - ERP =&gt; SOUS-SEGMENT'!$JC$8:$JC$1000)/SUMPRODUCT(('ANALYSE - ERP =&gt; SOUS-SEGMENT'!$C$8:$C$1000=$C15)*'ANALYSE - ERP =&gt; SOUS-SEGMENT'!$Q$8:$Q$1000*'ANALYSE - ERP =&gt; SOUS-SEGMENT'!$BF$8:$BF$1000),""))</f>
        <v>0</v>
      </c>
      <c r="JD15" s="742">
        <f>IF($C15="","",IFERROR(SUMPRODUCT(('ANALYSE - ERP =&gt; SOUS-SEGMENT'!$C$8:$C$1000=$C15)*'ANALYSE - ERP =&gt; SOUS-SEGMENT'!$Q$8:$Q$1000*'ANALYSE - ERP =&gt; SOUS-SEGMENT'!$FE$8:$FE$1000*'ANALYSE - ERP =&gt; SOUS-SEGMENT'!$JD$8:$JD$1000)/SUMPRODUCT(('ANALYSE - ERP =&gt; SOUS-SEGMENT'!$C$8:$C$1000=$C15)*'ANALYSE - ERP =&gt; SOUS-SEGMENT'!$Q$8:$Q$1000*'ANALYSE - ERP =&gt; SOUS-SEGMENT'!$FE$8:$FE$1000),""))</f>
        <v>0</v>
      </c>
      <c r="JE15" s="742">
        <f>IF($C15="","",IFERROR(SUMPRODUCT(('ANALYSE - ERP =&gt; SOUS-SEGMENT'!$C$8:$C$1000=$C15)*'ANALYSE - ERP =&gt; SOUS-SEGMENT'!$Q$8:$Q$1000*'ANALYSE - ERP =&gt; SOUS-SEGMENT'!$FE$8:$FE$1000*'ANALYSE - ERP =&gt; SOUS-SEGMENT'!$JE$8:$JE$1000)/SUMPRODUCT(('ANALYSE - ERP =&gt; SOUS-SEGMENT'!$C$8:$C$1000=$C15)*'ANALYSE - ERP =&gt; SOUS-SEGMENT'!$Q$8:$Q$1000*'ANALYSE - ERP =&gt; SOUS-SEGMENT'!$FE$8:$FE$1000),""))</f>
        <v>0</v>
      </c>
      <c r="JF15" s="742">
        <f>IF($C15="","",IFERROR(SUMPRODUCT(('ANALYSE - ERP =&gt; SOUS-SEGMENT'!$C$8:$C$1000=$C15)*'ANALYSE - ERP =&gt; SOUS-SEGMENT'!$Q$8:$Q$1000*'ANALYSE - ERP =&gt; SOUS-SEGMENT'!$FE$8:$FE$1000*'ANALYSE - ERP =&gt; SOUS-SEGMENT'!$JF$8:$JF$1000)/SUMPRODUCT(('ANALYSE - ERP =&gt; SOUS-SEGMENT'!$C$8:$C$1000=$C15)*'ANALYSE - ERP =&gt; SOUS-SEGMENT'!$Q$8:$Q$1000*'ANALYSE - ERP =&gt; SOUS-SEGMENT'!$FE$8:$FE$1000),""))</f>
        <v>0</v>
      </c>
      <c r="JG15" s="742">
        <f>IF($C15="","",IFERROR(SUMPRODUCT(('ANALYSE - ERP =&gt; SOUS-SEGMENT'!$C$8:$C$1000=$C15)*'ANALYSE - ERP =&gt; SOUS-SEGMENT'!$Q$8:$Q$1000*'ANALYSE - ERP =&gt; SOUS-SEGMENT'!$FE$8:$FE$1000*'ANALYSE - ERP =&gt; SOUS-SEGMENT'!$JG$8:$JG$1000)/SUMPRODUCT(('ANALYSE - ERP =&gt; SOUS-SEGMENT'!$C$8:$C$1000=$C15)*'ANALYSE - ERP =&gt; SOUS-SEGMENT'!$Q$8:$Q$1000*'ANALYSE - ERP =&gt; SOUS-SEGMENT'!$FE$8:$FE$1000),""))</f>
        <v>0</v>
      </c>
      <c r="JH15" s="742">
        <f>IF($C15="","",IFERROR(SUMPRODUCT(('ANALYSE - ERP =&gt; SOUS-SEGMENT'!$C$8:$C$1000=$C15)*'ANALYSE - ERP =&gt; SOUS-SEGMENT'!$Q$8:$Q$1000*'ANALYSE - ERP =&gt; SOUS-SEGMENT'!$FE$8:$FE$1000*'ANALYSE - ERP =&gt; SOUS-SEGMENT'!$JH$8:$JH$1000)/SUMPRODUCT(('ANALYSE - ERP =&gt; SOUS-SEGMENT'!$C$8:$C$1000=$C15)*'ANALYSE - ERP =&gt; SOUS-SEGMENT'!$Q$8:$Q$1000*'ANALYSE - ERP =&gt; SOUS-SEGMENT'!$FE$8:$FE$1000),""))</f>
        <v>0</v>
      </c>
      <c r="JI15" s="742">
        <f>IF($C15="","",IFERROR(SUMPRODUCT(('ANALYSE - ERP =&gt; SOUS-SEGMENT'!$C$8:$C$1000=$C15)*'ANALYSE - ERP =&gt; SOUS-SEGMENT'!$Q$8:$Q$1000*'ANALYSE - ERP =&gt; SOUS-SEGMENT'!$BG$8:$BG$1000*'ANALYSE - ERP =&gt; SOUS-SEGMENT'!$JI$8:$JI$1000)/SUMPRODUCT(('ANALYSE - ERP =&gt; SOUS-SEGMENT'!$C$8:$C$1000=$C15)*'ANALYSE - ERP =&gt; SOUS-SEGMENT'!$Q$8:$Q$1000*'ANALYSE - ERP =&gt; SOUS-SEGMENT'!$BG$8:$BG$1000),""))</f>
        <v>2.0899999999999995E-2</v>
      </c>
      <c r="JJ15" s="742">
        <f>IF($C15="","",IFERROR(SUMPRODUCT(('ANALYSE - ERP =&gt; SOUS-SEGMENT'!$C$8:$C$1000=$C15)*'ANALYSE - ERP =&gt; SOUS-SEGMENT'!$Q$8:$Q$1000*'ANALYSE - ERP =&gt; SOUS-SEGMENT'!$BG$8:$BG$1000*'ANALYSE - ERP =&gt; SOUS-SEGMENT'!$JJ$8:$JJ$1000)/SUMPRODUCT(('ANALYSE - ERP =&gt; SOUS-SEGMENT'!$C$8:$C$1000=$C15)*'ANALYSE - ERP =&gt; SOUS-SEGMENT'!$Q$8:$Q$1000*'ANALYSE - ERP =&gt; SOUS-SEGMENT'!$BG$8:$BG$1000),""))</f>
        <v>0.43930000000000002</v>
      </c>
      <c r="JK15" s="742">
        <f>IF($C15="","",IFERROR(SUMPRODUCT(('ANALYSE - ERP =&gt; SOUS-SEGMENT'!$C$8:$C$1000=$C15)*'ANALYSE - ERP =&gt; SOUS-SEGMENT'!$Q$8:$Q$1000*'ANALYSE - ERP =&gt; SOUS-SEGMENT'!$BG$8:$BG$1000*'ANALYSE - ERP =&gt; SOUS-SEGMENT'!$JK$8:$JK$1000)/SUMPRODUCT(('ANALYSE - ERP =&gt; SOUS-SEGMENT'!$C$8:$C$1000=$C15)*'ANALYSE - ERP =&gt; SOUS-SEGMENT'!$Q$8:$Q$1000*'ANALYSE - ERP =&gt; SOUS-SEGMENT'!$BG$8:$BG$1000),""))</f>
        <v>0.43579999999999997</v>
      </c>
      <c r="JL15" s="742">
        <f>IF($C15="","",IFERROR(SUMPRODUCT(('ANALYSE - ERP =&gt; SOUS-SEGMENT'!$C$8:$C$1000=$C15)*'ANALYSE - ERP =&gt; SOUS-SEGMENT'!$Q$8:$Q$1000*'ANALYSE - ERP =&gt; SOUS-SEGMENT'!$BG$8:$BG$1000*'ANALYSE - ERP =&gt; SOUS-SEGMENT'!$JL$8:$JL$1000)/SUMPRODUCT(('ANALYSE - ERP =&gt; SOUS-SEGMENT'!$C$8:$C$1000=$C15)*'ANALYSE - ERP =&gt; SOUS-SEGMENT'!$Q$8:$Q$1000*'ANALYSE - ERP =&gt; SOUS-SEGMENT'!$BG$8:$BG$1000),""))</f>
        <v>9.9399999999999988E-2</v>
      </c>
      <c r="JM15" s="742">
        <f>IF($C15="","",IFERROR(SUMPRODUCT(('ANALYSE - ERP =&gt; SOUS-SEGMENT'!$C$8:$C$1000=$C15)*'ANALYSE - ERP =&gt; SOUS-SEGMENT'!$Q$8:$Q$1000*'ANALYSE - ERP =&gt; SOUS-SEGMENT'!$BG$8:$BG$1000*'ANALYSE - ERP =&gt; SOUS-SEGMENT'!$JM$8:$JM$1000)/SUMPRODUCT(('ANALYSE - ERP =&gt; SOUS-SEGMENT'!$C$8:$C$1000=$C15)*'ANALYSE - ERP =&gt; SOUS-SEGMENT'!$Q$8:$Q$1000*'ANALYSE - ERP =&gt; SOUS-SEGMENT'!$BG$8:$BG$1000),""))</f>
        <v>4.5999999999999999E-3</v>
      </c>
      <c r="JN15" s="742">
        <f>IF($C15="","",IFERROR(SUMPRODUCT(('ANALYSE - ERP =&gt; SOUS-SEGMENT'!$C$8:$C$1000=$C15)*'ANALYSE - ERP =&gt; SOUS-SEGMENT'!$Q$8:$Q$1000*'ANALYSE - ERP =&gt; SOUS-SEGMENT'!$FH$8:$FH$1000*'ANALYSE - ERP =&gt; SOUS-SEGMENT'!$JN$8:$JN$1000)/SUMPRODUCT(('ANALYSE - ERP =&gt; SOUS-SEGMENT'!$C$8:$C$1000=$C15)*'ANALYSE - ERP =&gt; SOUS-SEGMENT'!$Q$8:$Q$1000*'ANALYSE - ERP =&gt; SOUS-SEGMENT'!$FH$8:$FH$1000),""))</f>
        <v>0</v>
      </c>
      <c r="JO15" s="742">
        <f>IF($C15="","",IFERROR(SUMPRODUCT(('ANALYSE - ERP =&gt; SOUS-SEGMENT'!$C$8:$C$1000=$C15)*'ANALYSE - ERP =&gt; SOUS-SEGMENT'!$Q$8:$Q$1000*'ANALYSE - ERP =&gt; SOUS-SEGMENT'!$FH$8:$FH$1000*'ANALYSE - ERP =&gt; SOUS-SEGMENT'!$JO$8:$JO$1000)/SUMPRODUCT(('ANALYSE - ERP =&gt; SOUS-SEGMENT'!$C$8:$C$1000=$C15)*'ANALYSE - ERP =&gt; SOUS-SEGMENT'!$Q$8:$Q$1000*'ANALYSE - ERP =&gt; SOUS-SEGMENT'!$FH$8:$FH$1000),""))</f>
        <v>0.40210000000000007</v>
      </c>
      <c r="JP15" s="742">
        <f>IF($C15="","",IFERROR(SUMPRODUCT(('ANALYSE - ERP =&gt; SOUS-SEGMENT'!$C$8:$C$1000=$C15)*'ANALYSE - ERP =&gt; SOUS-SEGMENT'!$Q$8:$Q$1000*'ANALYSE - ERP =&gt; SOUS-SEGMENT'!$FH$8:$FH$1000*'ANALYSE - ERP =&gt; SOUS-SEGMENT'!$JP$8:$JP$1000)/SUMPRODUCT(('ANALYSE - ERP =&gt; SOUS-SEGMENT'!$C$8:$C$1000=$C15)*'ANALYSE - ERP =&gt; SOUS-SEGMENT'!$Q$8:$Q$1000*'ANALYSE - ERP =&gt; SOUS-SEGMENT'!$FH$8:$FH$1000),""))</f>
        <v>0.46060000000000001</v>
      </c>
      <c r="JQ15" s="742">
        <f>IF($C15="","",IFERROR(SUMPRODUCT(('ANALYSE - ERP =&gt; SOUS-SEGMENT'!$C$8:$C$1000=$C15)*'ANALYSE - ERP =&gt; SOUS-SEGMENT'!$Q$8:$Q$1000*'ANALYSE - ERP =&gt; SOUS-SEGMENT'!$FH$8:$FH$1000*'ANALYSE - ERP =&gt; SOUS-SEGMENT'!$JQ$8:$JQ$1000)/SUMPRODUCT(('ANALYSE - ERP =&gt; SOUS-SEGMENT'!$C$8:$C$1000=$C15)*'ANALYSE - ERP =&gt; SOUS-SEGMENT'!$Q$8:$Q$1000*'ANALYSE - ERP =&gt; SOUS-SEGMENT'!$FH$8:$FH$1000),""))</f>
        <v>0.12660000000000002</v>
      </c>
      <c r="JR15" s="742">
        <f>IF($C15="","",IFERROR(SUMPRODUCT(('ANALYSE - ERP =&gt; SOUS-SEGMENT'!$C$8:$C$1000=$C15)*'ANALYSE - ERP =&gt; SOUS-SEGMENT'!$Q$8:$Q$1000*'ANALYSE - ERP =&gt; SOUS-SEGMENT'!$FH$8:$FH$1000*'ANALYSE - ERP =&gt; SOUS-SEGMENT'!$JR$8:$JR$1000)/SUMPRODUCT(('ANALYSE - ERP =&gt; SOUS-SEGMENT'!$C$8:$C$1000=$C15)*'ANALYSE - ERP =&gt; SOUS-SEGMENT'!$Q$8:$Q$1000*'ANALYSE - ERP =&gt; SOUS-SEGMENT'!$FH$8:$FH$1000),""))</f>
        <v>1.0699999999999999E-2</v>
      </c>
      <c r="JS15" s="742">
        <f>IF($C15="","",IFERROR(SUMPRODUCT(('ANALYSE - ERP =&gt; SOUS-SEGMENT'!$C$8:$C$1000=$C15)*'ANALYSE - ERP =&gt; SOUS-SEGMENT'!$Q$8:$Q$1000*'ANALYSE - ERP =&gt; SOUS-SEGMENT'!$BH$8:$BH$1000*'ANALYSE - ERP =&gt; SOUS-SEGMENT'!$JS$8:$JS$1000)/SUMPRODUCT(('ANALYSE - ERP =&gt; SOUS-SEGMENT'!$C$8:$C$1000=$C15)*'ANALYSE - ERP =&gt; SOUS-SEGMENT'!$Q$8:$Q$1000*'ANALYSE - ERP =&gt; SOUS-SEGMENT'!$BH$8:$BH$1000),""))</f>
        <v>1.12E-2</v>
      </c>
      <c r="JT15" s="742">
        <f>IF($C15="","",IFERROR(SUMPRODUCT(('ANALYSE - ERP =&gt; SOUS-SEGMENT'!$C$8:$C$1000=$C15)*'ANALYSE - ERP =&gt; SOUS-SEGMENT'!$Q$8:$Q$1000*'ANALYSE - ERP =&gt; SOUS-SEGMENT'!$BH$8:$BH$1000*'ANALYSE - ERP =&gt; SOUS-SEGMENT'!$JT$8:$JT$1000)/SUMPRODUCT(('ANALYSE - ERP =&gt; SOUS-SEGMENT'!$C$8:$C$1000=$C15)*'ANALYSE - ERP =&gt; SOUS-SEGMENT'!$Q$8:$Q$1000*'ANALYSE - ERP =&gt; SOUS-SEGMENT'!$BH$8:$BH$1000),""))</f>
        <v>0.29980000000000001</v>
      </c>
      <c r="JU15" s="742">
        <f>IF($C15="","",IFERROR(SUMPRODUCT(('ANALYSE - ERP =&gt; SOUS-SEGMENT'!$C$8:$C$1000=$C15)*'ANALYSE - ERP =&gt; SOUS-SEGMENT'!$Q$8:$Q$1000*'ANALYSE - ERP =&gt; SOUS-SEGMENT'!$BH$8:$BH$1000*'ANALYSE - ERP =&gt; SOUS-SEGMENT'!$JU$8:$JU$1000)/SUMPRODUCT(('ANALYSE - ERP =&gt; SOUS-SEGMENT'!$C$8:$C$1000=$C15)*'ANALYSE - ERP =&gt; SOUS-SEGMENT'!$Q$8:$Q$1000*'ANALYSE - ERP =&gt; SOUS-SEGMENT'!$BH$8:$BH$1000),""))</f>
        <v>0.50990000000000002</v>
      </c>
      <c r="JV15" s="742">
        <f>IF($C15="","",IFERROR(SUMPRODUCT(('ANALYSE - ERP =&gt; SOUS-SEGMENT'!$C$8:$C$1000=$C15)*'ANALYSE - ERP =&gt; SOUS-SEGMENT'!$Q$8:$Q$1000*'ANALYSE - ERP =&gt; SOUS-SEGMENT'!$BH$8:$BH$1000*'ANALYSE - ERP =&gt; SOUS-SEGMENT'!$JV$8:$JV$1000)/SUMPRODUCT(('ANALYSE - ERP =&gt; SOUS-SEGMENT'!$C$8:$C$1000=$C15)*'ANALYSE - ERP =&gt; SOUS-SEGMENT'!$Q$8:$Q$1000*'ANALYSE - ERP =&gt; SOUS-SEGMENT'!$BH$8:$BH$1000),""))</f>
        <v>0.16470000000000001</v>
      </c>
      <c r="JW15" s="742">
        <f>IF($C15="","",IFERROR(SUMPRODUCT(('ANALYSE - ERP =&gt; SOUS-SEGMENT'!$C$8:$C$1000=$C15)*'ANALYSE - ERP =&gt; SOUS-SEGMENT'!$Q$8:$Q$1000*'ANALYSE - ERP =&gt; SOUS-SEGMENT'!$BH$8:$BH$1000*'ANALYSE - ERP =&gt; SOUS-SEGMENT'!$JW$8:$JW$1000)/SUMPRODUCT(('ANALYSE - ERP =&gt; SOUS-SEGMENT'!$C$8:$C$1000=$C15)*'ANALYSE - ERP =&gt; SOUS-SEGMENT'!$Q$8:$Q$1000*'ANALYSE - ERP =&gt; SOUS-SEGMENT'!$BH$8:$BH$1000),""))</f>
        <v>1.44E-2</v>
      </c>
      <c r="JX15" s="742">
        <f>IF($C15="","",IFERROR(SUMPRODUCT(('ANALYSE - ERP =&gt; SOUS-SEGMENT'!$C$8:$C$1000=$C15)*'ANALYSE - ERP =&gt; SOUS-SEGMENT'!$Q$8:$Q$1000*'ANALYSE - ERP =&gt; SOUS-SEGMENT'!$FK$8:$FK$1000*'ANALYSE - ERP =&gt; SOUS-SEGMENT'!$JX$8:$JX$1000)/SUMPRODUCT(('ANALYSE - ERP =&gt; SOUS-SEGMENT'!$C$8:$C$1000=$C15)*'ANALYSE - ERP =&gt; SOUS-SEGMENT'!$Q$8:$Q$1000*'ANALYSE - ERP =&gt; SOUS-SEGMENT'!$FK$8:$FK$1000),""))</f>
        <v>0</v>
      </c>
      <c r="JY15" s="742">
        <f>IF($C15="","",IFERROR(SUMPRODUCT(('ANALYSE - ERP =&gt; SOUS-SEGMENT'!$C$8:$C$1000=$C15)*'ANALYSE - ERP =&gt; SOUS-SEGMENT'!$Q$8:$Q$1000*'ANALYSE - ERP =&gt; SOUS-SEGMENT'!$FK$8:$FK$1000*'ANALYSE - ERP =&gt; SOUS-SEGMENT'!$JY$8:$JY$1000)/SUMPRODUCT(('ANALYSE - ERP =&gt; SOUS-SEGMENT'!$C$8:$C$1000=$C15)*'ANALYSE - ERP =&gt; SOUS-SEGMENT'!$Q$8:$Q$1000*'ANALYSE - ERP =&gt; SOUS-SEGMENT'!$FK$8:$FK$1000),""))</f>
        <v>0.2611</v>
      </c>
      <c r="JZ15" s="742">
        <f>IF($C15="","",IFERROR(SUMPRODUCT(('ANALYSE - ERP =&gt; SOUS-SEGMENT'!$C$8:$C$1000=$C15)*'ANALYSE - ERP =&gt; SOUS-SEGMENT'!$Q$8:$Q$1000*'ANALYSE - ERP =&gt; SOUS-SEGMENT'!$FK$8:$FK$1000*'ANALYSE - ERP =&gt; SOUS-SEGMENT'!$JZ$8:$JZ$1000)/SUMPRODUCT(('ANALYSE - ERP =&gt; SOUS-SEGMENT'!$C$8:$C$1000=$C15)*'ANALYSE - ERP =&gt; SOUS-SEGMENT'!$Q$8:$Q$1000*'ANALYSE - ERP =&gt; SOUS-SEGMENT'!$FK$8:$FK$1000),""))</f>
        <v>0.52900000000000014</v>
      </c>
      <c r="KA15" s="742">
        <f>IF($C15="","",IFERROR(SUMPRODUCT(('ANALYSE - ERP =&gt; SOUS-SEGMENT'!$C$8:$C$1000=$C15)*'ANALYSE - ERP =&gt; SOUS-SEGMENT'!$Q$8:$Q$1000*'ANALYSE - ERP =&gt; SOUS-SEGMENT'!$FK$8:$FK$1000*'ANALYSE - ERP =&gt; SOUS-SEGMENT'!$KA$8:$KA$1000)/SUMPRODUCT(('ANALYSE - ERP =&gt; SOUS-SEGMENT'!$C$8:$C$1000=$C15)*'ANALYSE - ERP =&gt; SOUS-SEGMENT'!$Q$8:$Q$1000*'ANALYSE - ERP =&gt; SOUS-SEGMENT'!$FK$8:$FK$1000),""))</f>
        <v>0.18959999999999999</v>
      </c>
      <c r="KB15" s="742">
        <f>IF($C15="","",IFERROR(SUMPRODUCT(('ANALYSE - ERP =&gt; SOUS-SEGMENT'!$C$8:$C$1000=$C15)*'ANALYSE - ERP =&gt; SOUS-SEGMENT'!$Q$8:$Q$1000*'ANALYSE - ERP =&gt; SOUS-SEGMENT'!$FK$8:$FK$1000*'ANALYSE - ERP =&gt; SOUS-SEGMENT'!$KB$8:$KB$1000)/SUMPRODUCT(('ANALYSE - ERP =&gt; SOUS-SEGMENT'!$C$8:$C$1000=$C15)*'ANALYSE - ERP =&gt; SOUS-SEGMENT'!$Q$8:$Q$1000*'ANALYSE - ERP =&gt; SOUS-SEGMENT'!$FK$8:$FK$1000),""))</f>
        <v>2.0299999999999999E-2</v>
      </c>
      <c r="KC15" s="657"/>
      <c r="KD15" s="924" t="s">
        <v>2590</v>
      </c>
      <c r="KE15" s="924" t="s">
        <v>2591</v>
      </c>
      <c r="KF15" s="869">
        <f>IF($C15="","",IFERROR(SUMPRODUCT(('ANALYSE - ERP =&gt; SOUS-SEGMENT'!$C$8:$C$1000=$C15)*'ANALYSE - ERP =&gt; SOUS-SEGMENT'!$Q$8:$Q$1000*'ANALYSE - ERP =&gt; SOUS-SEGMENT'!$IE$8:$IE$1000*'ANALYSE - ERP =&gt; SOUS-SEGMENT'!$KF$8:$KF$1000)/SUMPRODUCT(('ANALYSE - ERP =&gt; SOUS-SEGMENT'!$C$8:$C$1000=$C15)*'ANALYSE - ERP =&gt; SOUS-SEGMENT'!$Q$8:$Q$1000*'ANALYSE - ERP =&gt; SOUS-SEGMENT'!$IE$8:$IE$1000),""))</f>
        <v>4.0999999999999996</v>
      </c>
      <c r="KG15" s="924" t="s">
        <v>2589</v>
      </c>
      <c r="KH15" s="924" t="s">
        <v>3207</v>
      </c>
      <c r="KI15" s="924" t="s">
        <v>3208</v>
      </c>
      <c r="KJ15" s="924" t="s">
        <v>5552</v>
      </c>
    </row>
    <row r="16" spans="1:327" ht="120" customHeight="1">
      <c r="A16" s="957">
        <f>IF($C16="","",ROWS($A$8:A16))</f>
        <v>9</v>
      </c>
      <c r="B16" s="958" t="s">
        <v>2241</v>
      </c>
      <c r="C16" s="958" t="s">
        <v>1053</v>
      </c>
      <c r="D16" s="959" t="s">
        <v>5553</v>
      </c>
      <c r="E16" s="269" t="s">
        <v>2256</v>
      </c>
      <c r="F16" s="960" t="s">
        <v>5554</v>
      </c>
      <c r="G16" s="960" t="s">
        <v>300</v>
      </c>
      <c r="H16" s="960" t="s">
        <v>5555</v>
      </c>
      <c r="I16" s="960" t="s">
        <v>5556</v>
      </c>
      <c r="J16" s="960" t="s">
        <v>5557</v>
      </c>
      <c r="K16" s="960" t="s">
        <v>5558</v>
      </c>
      <c r="L16" s="960" t="s">
        <v>2109</v>
      </c>
      <c r="M16" s="960" t="s">
        <v>5559</v>
      </c>
      <c r="N16" s="960" t="s">
        <v>5560</v>
      </c>
      <c r="O16" s="960" t="s">
        <v>5561</v>
      </c>
      <c r="P16" s="960"/>
      <c r="Q16" s="270">
        <f>IF($C16="","",IF(SUMIFS('ANALYSE - ERP =&gt; SOUS-SEGMENT'!$Q$8:$Q$1000,'ANALYSE - ERP =&gt; SOUS-SEGMENT'!$C$8:$C$1000,$C16)&gt;0,1,0))</f>
        <v>1</v>
      </c>
      <c r="R16" s="271">
        <f>IF($C16="","",IFERROR(SUMPRODUCT(('ANALYSE - ERP =&gt; SOUS-SEGMENT'!$C$8:$C$1000=$C16)*'ANALYSE - ERP =&gt; SOUS-SEGMENT'!$Q$8:$Q$1000*'ANALYSE - ERP =&gt; SOUS-SEGMENT'!$AF$8:$AF$1000*'ANALYSE - ERP =&gt; SOUS-SEGMENT'!$R$8:$R$1000)/SUMPRODUCT(('ANALYSE - ERP =&gt; SOUS-SEGMENT'!$C$8:$C$1000=$C16)*'ANALYSE - ERP =&gt; SOUS-SEGMENT'!$Q$8:$Q$1000*'ANALYSE - ERP =&gt; SOUS-SEGMENT'!$AF$8:$AF$1000),""))</f>
        <v>23060.797002724794</v>
      </c>
      <c r="S16" s="272">
        <f>IF($C16="","",SUMPRODUCT(('ANALYSE - ERP =&gt; SOUS-SEGMENT'!$C$8:$C$1000=$C16)*'ANALYSE - ERP =&gt; SOUS-SEGMENT'!$Q$8:$Q$1000*'ANALYSE - ERP =&gt; SOUS-SEGMENT'!$S$8:$S$1000))</f>
        <v>3553</v>
      </c>
      <c r="T16" s="272">
        <f>IF($C16="","",SUMPRODUCT(('ANALYSE - ERP =&gt; SOUS-SEGMENT'!$C$8:$C$1000=$C16)*'ANALYSE - ERP =&gt; SOUS-SEGMENT'!$Q$8:$Q$1000*'ANALYSE - ERP =&gt; SOUS-SEGMENT'!$T$8:$T$1000))</f>
        <v>3398</v>
      </c>
      <c r="U16" s="272">
        <f>IF($C16="","",SUMPRODUCT(('ANALYSE - ERP =&gt; SOUS-SEGMENT'!$C$8:$C$1000=$C16)*'ANALYSE - ERP =&gt; SOUS-SEGMENT'!$Q$8:$Q$1000*'ANALYSE - ERP =&gt; SOUS-SEGMENT'!$U$8:$U$1000))</f>
        <v>3257</v>
      </c>
      <c r="V16" s="272">
        <f>IF($C16="","",SUMPRODUCT(('ANALYSE - ERP =&gt; SOUS-SEGMENT'!$C$8:$C$1000=$C16)*'ANALYSE - ERP =&gt; SOUS-SEGMENT'!$Q$8:$Q$1000*'ANALYSE - ERP =&gt; SOUS-SEGMENT'!$V$8:$V$1000))</f>
        <v>3132</v>
      </c>
      <c r="W16" s="272">
        <f>IF($C16="","",SUMPRODUCT(('ANALYSE - ERP =&gt; SOUS-SEGMENT'!$C$8:$C$1000=$C16)*'ANALYSE - ERP =&gt; SOUS-SEGMENT'!$Q$8:$Q$1000*'ANALYSE - ERP =&gt; SOUS-SEGMENT'!$W$8:$W$1000))</f>
        <v>3103</v>
      </c>
      <c r="X16" s="272">
        <f>IF($C16="","",SUMPRODUCT(('ANALYSE - ERP =&gt; SOUS-SEGMENT'!$C$8:$C$1000=$C16)*'ANALYSE - ERP =&gt; SOUS-SEGMENT'!$Q$8:$Q$1000*'ANALYSE - ERP =&gt; SOUS-SEGMENT'!$X$8:$X$1000))</f>
        <v>3075</v>
      </c>
      <c r="Y16" s="272">
        <f>IF($C16="","",SUMPRODUCT(('ANALYSE - ERP =&gt; SOUS-SEGMENT'!$C$8:$C$1000=$C16)*'ANALYSE - ERP =&gt; SOUS-SEGMENT'!$Q$8:$Q$1000*'ANALYSE - ERP =&gt; SOUS-SEGMENT'!$Y$8:$Y$1000))</f>
        <v>3048</v>
      </c>
      <c r="Z16" s="272">
        <f>IF($C16="","",SUMPRODUCT(('ANALYSE - ERP =&gt; SOUS-SEGMENT'!$C$8:$C$1000=$C16)*'ANALYSE - ERP =&gt; SOUS-SEGMENT'!$Q$8:$Q$1000*'ANALYSE - ERP =&gt; SOUS-SEGMENT'!$Z$8:$Z$1000))</f>
        <v>3021</v>
      </c>
      <c r="AA16" s="272">
        <f>IF($C16="","",SUMPRODUCT(('ANALYSE - ERP =&gt; SOUS-SEGMENT'!$C$8:$C$1000=$C16)*'ANALYSE - ERP =&gt; SOUS-SEGMENT'!$Q$8:$Q$1000*'ANALYSE - ERP =&gt; SOUS-SEGMENT'!$AA$8:$AA$1000))</f>
        <v>3006</v>
      </c>
      <c r="AB16" s="272">
        <f>IF($C16="","",SUMPRODUCT(('ANALYSE - ERP =&gt; SOUS-SEGMENT'!$C$8:$C$1000=$C16)*'ANALYSE - ERP =&gt; SOUS-SEGMENT'!$Q$8:$Q$1000*'ANALYSE - ERP =&gt; SOUS-SEGMENT'!$AB$8:$AB$1000))</f>
        <v>2993</v>
      </c>
      <c r="AC16" s="272">
        <f>IF($C16="","",SUMPRODUCT(('ANALYSE - ERP =&gt; SOUS-SEGMENT'!$C$8:$C$1000=$C16)*'ANALYSE - ERP =&gt; SOUS-SEGMENT'!$Q$8:$Q$1000*'ANALYSE - ERP =&gt; SOUS-SEGMENT'!$AC$8:$AC$1000))</f>
        <v>2979</v>
      </c>
      <c r="AD16" s="272">
        <f>IF($C16="","",SUMPRODUCT(('ANALYSE - ERP =&gt; SOUS-SEGMENT'!$C$8:$C$1000=$C16)*'ANALYSE - ERP =&gt; SOUS-SEGMENT'!$Q$8:$Q$1000*'ANALYSE - ERP =&gt; SOUS-SEGMENT'!$AD$8:$AD$1000))</f>
        <v>2966</v>
      </c>
      <c r="AE16" s="272">
        <f>IF($C16="","",SUMPRODUCT(('ANALYSE - ERP =&gt; SOUS-SEGMENT'!$C$8:$C$1000=$C16)*'ANALYSE - ERP =&gt; SOUS-SEGMENT'!$Q$8:$Q$1000*'ANALYSE - ERP =&gt; SOUS-SEGMENT'!$AE$8:$AE$1000))</f>
        <v>2951</v>
      </c>
      <c r="AF16" s="272">
        <f>IF($C16="","",SUMPRODUCT(('ANALYSE - ERP =&gt; SOUS-SEGMENT'!$C$8:$C$1000=$C16)*'ANALYSE - ERP =&gt; SOUS-SEGMENT'!$Q$8:$Q$1000*'ANALYSE - ERP =&gt; SOUS-SEGMENT'!$AF$8:$AF$1000))</f>
        <v>2936</v>
      </c>
      <c r="AG16" s="272">
        <f>IF($C16="","",SUMPRODUCT(('ANALYSE - ERP =&gt; SOUS-SEGMENT'!$C$8:$C$1000=$C16)*'ANALYSE - ERP =&gt; SOUS-SEGMENT'!$Q$8:$Q$1000*'ANALYSE - ERP =&gt; SOUS-SEGMENT'!$AG$8:$AG$1000))</f>
        <v>2924</v>
      </c>
      <c r="AH16" s="272">
        <f>IF($C16="","",SUMPRODUCT(('ANALYSE - ERP =&gt; SOUS-SEGMENT'!$C$8:$C$1000=$C16)*'ANALYSE - ERP =&gt; SOUS-SEGMENT'!$Q$8:$Q$1000*'ANALYSE - ERP =&gt; SOUS-SEGMENT'!$AH$8:$AH$1000))</f>
        <v>2913</v>
      </c>
      <c r="AI16" s="272">
        <f>IF($C16="","",SUMPRODUCT(('ANALYSE - ERP =&gt; SOUS-SEGMENT'!$C$8:$C$1000=$C16)*'ANALYSE - ERP =&gt; SOUS-SEGMENT'!$Q$8:$Q$1000*'ANALYSE - ERP =&gt; SOUS-SEGMENT'!$AI$8:$AI$1000))</f>
        <v>2902</v>
      </c>
      <c r="AJ16" s="272">
        <f>IF($C16="","",SUMPRODUCT(('ANALYSE - ERP =&gt; SOUS-SEGMENT'!$C$8:$C$1000=$C16)*'ANALYSE - ERP =&gt; SOUS-SEGMENT'!$Q$8:$Q$1000*'ANALYSE - ERP =&gt; SOUS-SEGMENT'!$AJ$8:$AJ$1000))</f>
        <v>2891</v>
      </c>
      <c r="AK16" s="272">
        <f>IF($C16="","",SUMPRODUCT(('ANALYSE - ERP =&gt; SOUS-SEGMENT'!$C$8:$C$1000=$C16)*'ANALYSE - ERP =&gt; SOUS-SEGMENT'!$Q$8:$Q$1000*'ANALYSE - ERP =&gt; SOUS-SEGMENT'!$AK$8:$AK$1000))</f>
        <v>2879</v>
      </c>
      <c r="AL16" s="960" t="s">
        <v>5562</v>
      </c>
      <c r="AM16" s="960" t="s">
        <v>5563</v>
      </c>
      <c r="AN16" s="960" t="s">
        <v>5564</v>
      </c>
      <c r="AO16" s="657"/>
      <c r="AP16" s="271">
        <f>IF($C16="","",IFERROR(SUMPRODUCT(('ANALYSE - ERP =&gt; SOUS-SEGMENT'!$C$8:$C$1000=$C16)*'ANALYSE - ERP =&gt; SOUS-SEGMENT'!$Q$8:$Q$1000*'ANALYSE - ERP =&gt; SOUS-SEGMENT'!$AF$8:$AF$1000*'ANALYSE - ERP =&gt; SOUS-SEGMENT'!$AP$8:$AP$1000)/SUMPRODUCT(('ANALYSE - ERP =&gt; SOUS-SEGMENT'!$C$8:$C$1000=$C16)*'ANALYSE - ERP =&gt; SOUS-SEGMENT'!$Q$8:$Q$1000*'ANALYSE - ERP =&gt; SOUS-SEGMENT'!$AF$8:$AF$1000),""))</f>
        <v>271.00136239782017</v>
      </c>
      <c r="AQ16" s="280">
        <f>IF($C16="","",IFERROR(SUMPRODUCT(('ANALYSE - ERP =&gt; SOUS-SEGMENT'!$C$8:$C$1000=$C16)*'ANALYSE - ERP =&gt; SOUS-SEGMENT'!$Q$8:$Q$1000*'ANALYSE - ERP =&gt; SOUS-SEGMENT'!$AF$8:$AF$1000*'ANALYSE - ERP =&gt; SOUS-SEGMENT'!$AQ$8:$AQ$1000)/SUMPRODUCT(('ANALYSE - ERP =&gt; SOUS-SEGMENT'!$C$8:$C$1000=$C16)*'ANALYSE - ERP =&gt; SOUS-SEGMENT'!$Q$8:$Q$1000*'ANALYSE - ERP =&gt; SOUS-SEGMENT'!$AF$8:$AF$1000),""))</f>
        <v>154.66246594005449</v>
      </c>
      <c r="AR16" s="280">
        <f>IF($C16="","",IFERROR(SUMPRODUCT(('ANALYSE - ERP =&gt; SOUS-SEGMENT'!$C$8:$C$1000=$C16)*'ANALYSE - ERP =&gt; SOUS-SEGMENT'!$Q$8:$Q$1000*'ANALYSE - ERP =&gt; SOUS-SEGMENT'!$AF$8:$AF$1000*'ANALYSE - ERP =&gt; SOUS-SEGMENT'!$AR$8:$AR$1000)/SUMPRODUCT(('ANALYSE - ERP =&gt; SOUS-SEGMENT'!$C$8:$C$1000=$C16)*'ANALYSE - ERP =&gt; SOUS-SEGMENT'!$Q$8:$Q$1000*'ANALYSE - ERP =&gt; SOUS-SEGMENT'!$AF$8:$AF$1000),""))</f>
        <v>67.366144414168943</v>
      </c>
      <c r="AS16" s="280">
        <f>IF($C16="","",IFERROR(SUMPRODUCT(('ANALYSE - ERP =&gt; SOUS-SEGMENT'!$C$8:$C$1000=$C16)*'ANALYSE - ERP =&gt; SOUS-SEGMENT'!$Q$8:$Q$1000*'ANALYSE - ERP =&gt; SOUS-SEGMENT'!$AF$8:$AF$1000*'ANALYSE - ERP =&gt; SOUS-SEGMENT'!$AS$8:$AS$1000)/SUMPRODUCT(('ANALYSE - ERP =&gt; SOUS-SEGMENT'!$C$8:$C$1000=$C16)*'ANALYSE - ERP =&gt; SOUS-SEGMENT'!$Q$8:$Q$1000*'ANALYSE - ERP =&gt; SOUS-SEGMENT'!$AF$8:$AF$1000),""))</f>
        <v>48.972752043596728</v>
      </c>
      <c r="AT16" s="657"/>
      <c r="AU16" s="647" t="s">
        <v>5565</v>
      </c>
      <c r="AV16" s="647" t="s">
        <v>5566</v>
      </c>
      <c r="AW16" s="960" t="s">
        <v>5567</v>
      </c>
      <c r="AX16" s="647" t="s">
        <v>3299</v>
      </c>
      <c r="AY16" s="657"/>
      <c r="AZ16" s="948">
        <f>IF($C16="","",IFERROR(SUMPRODUCT(('ANALYSE - ERP =&gt; SOUS-SEGMENT'!$C$8:$C$1000=$C16)*'ANALYSE - ERP =&gt; SOUS-SEGMENT'!$Q$8:$Q$1000*'ANALYSE - ERP =&gt; SOUS-SEGMENT'!$AF$8:$AF$1000*'ANALYSE - ERP =&gt; SOUS-SEGMENT'!$AZ$8:$AZ$1000)/SUMPRODUCT(('ANALYSE - ERP =&gt; SOUS-SEGMENT'!$C$8:$C$1000=$C16)*'ANALYSE - ERP =&gt; SOUS-SEGMENT'!$Q$8:$Q$1000*'ANALYSE - ERP =&gt; SOUS-SEGMENT'!$AF$8:$AF$1000),""))</f>
        <v>87.307561307901906</v>
      </c>
      <c r="BA16" s="948">
        <f>IF($C16="","",IFERROR(SUMPRODUCT(('ANALYSE - ERP =&gt; SOUS-SEGMENT'!$C$8:$C$1000=$C16)*'ANALYSE - ERP =&gt; SOUS-SEGMENT'!$Q$8:$Q$1000*'ANALYSE - ERP =&gt; SOUS-SEGMENT'!$AF$8:$AF$1000*'ANALYSE - ERP =&gt; SOUS-SEGMENT'!$BA$8:$BA$1000)/SUMPRODUCT(('ANALYSE - ERP =&gt; SOUS-SEGMENT'!$C$8:$C$1000=$C16)*'ANALYSE - ERP =&gt; SOUS-SEGMENT'!$Q$8:$Q$1000*'ANALYSE - ERP =&gt; SOUS-SEGMENT'!$AF$8:$AF$1000),""))</f>
        <v>46.371253405994551</v>
      </c>
      <c r="BB16" s="948">
        <f>IF($C16="","",IFERROR(SUMPRODUCT(('ANALYSE - ERP =&gt; SOUS-SEGMENT'!$C$8:$C$1000=$C16)*'ANALYSE - ERP =&gt; SOUS-SEGMENT'!$Q$8:$Q$1000*'ANALYSE - ERP =&gt; SOUS-SEGMENT'!$AF$8:$AF$1000*'ANALYSE - ERP =&gt; SOUS-SEGMENT'!$BB$8:$BB$1000)/SUMPRODUCT(('ANALYSE - ERP =&gt; SOUS-SEGMENT'!$C$8:$C$1000=$C16)*'ANALYSE - ERP =&gt; SOUS-SEGMENT'!$Q$8:$Q$1000*'ANALYSE - ERP =&gt; SOUS-SEGMENT'!$AF$8:$AF$1000),""))</f>
        <v>1.4846730245231607</v>
      </c>
      <c r="BC16" s="948">
        <f>IF($C16="","",IFERROR(SUMPRODUCT(('ANALYSE - ERP =&gt; SOUS-SEGMENT'!$C$8:$C$1000=$C16)*'ANALYSE - ERP =&gt; SOUS-SEGMENT'!$Q$8:$Q$1000*'ANALYSE - ERP =&gt; SOUS-SEGMENT'!$AF$8:$AF$1000*'ANALYSE - ERP =&gt; SOUS-SEGMENT'!$BC$8:$BC$1000)/SUMPRODUCT(('ANALYSE - ERP =&gt; SOUS-SEGMENT'!$C$8:$C$1000=$C16)*'ANALYSE - ERP =&gt; SOUS-SEGMENT'!$Q$8:$Q$1000*'ANALYSE - ERP =&gt; SOUS-SEGMENT'!$AF$8:$AF$1000),""))</f>
        <v>83.597411444141684</v>
      </c>
      <c r="BD16" s="825">
        <f t="shared" si="1"/>
        <v>642282</v>
      </c>
      <c r="BE16" s="304">
        <f>IF($C16="","",SUMPRODUCT(('ANALYSE - ERP =&gt; SOUS-SEGMENT'!$C$8:$C$1000=$C16)*'ANALYSE - ERP =&gt; SOUS-SEGMENT'!$Q$8:$Q$1000*'ANALYSE - ERP =&gt; SOUS-SEGMENT'!$BE$8:$BE$1000))</f>
        <v>256335</v>
      </c>
      <c r="BF16" s="304">
        <f>IF($C16="","",SUMPRODUCT(('ANALYSE - ERP =&gt; SOUS-SEGMENT'!$C$8:$C$1000=$C16)*'ANALYSE - ERP =&gt; SOUS-SEGMENT'!$Q$8:$Q$1000*'ANALYSE - ERP =&gt; SOUS-SEGMENT'!$BF$8:$BF$1000))</f>
        <v>136146</v>
      </c>
      <c r="BG16" s="304">
        <f>IF($C16="","",SUMPRODUCT(('ANALYSE - ERP =&gt; SOUS-SEGMENT'!$C$8:$C$1000=$C16)*'ANALYSE - ERP =&gt; SOUS-SEGMENT'!$Q$8:$Q$1000*'ANALYSE - ERP =&gt; SOUS-SEGMENT'!$BG$8:$BG$1000))</f>
        <v>4359</v>
      </c>
      <c r="BH16" s="304">
        <f>IF($C16="","",SUMPRODUCT(('ANALYSE - ERP =&gt; SOUS-SEGMENT'!$C$8:$C$1000=$C16)*'ANALYSE - ERP =&gt; SOUS-SEGMENT'!$Q$8:$Q$1000*'ANALYSE - ERP =&gt; SOUS-SEGMENT'!$BH$8:$BH$1000))</f>
        <v>245442</v>
      </c>
      <c r="BI16" s="825">
        <f t="shared" si="2"/>
        <v>630154</v>
      </c>
      <c r="BJ16" s="304">
        <f>IF($C16="","",SUMPRODUCT(('ANALYSE - ERP =&gt; SOUS-SEGMENT'!$C$8:$C$1000=$C16)*'ANALYSE - ERP =&gt; SOUS-SEGMENT'!$Q$8:$Q$1000*'ANALYSE - ERP =&gt; SOUS-SEGMENT'!$BJ$8:$BJ$1000))</f>
        <v>251505</v>
      </c>
      <c r="BK16" s="304">
        <f>IF($C16="","",SUMPRODUCT(('ANALYSE - ERP =&gt; SOUS-SEGMENT'!$C$8:$C$1000=$C16)*'ANALYSE - ERP =&gt; SOUS-SEGMENT'!$Q$8:$Q$1000*'ANALYSE - ERP =&gt; SOUS-SEGMENT'!$BK$8:$BK$1000))</f>
        <v>133563</v>
      </c>
      <c r="BL16" s="304">
        <f>IF($C16="","",SUMPRODUCT(('ANALYSE - ERP =&gt; SOUS-SEGMENT'!$C$8:$C$1000=$C16)*'ANALYSE - ERP =&gt; SOUS-SEGMENT'!$Q$8:$Q$1000*'ANALYSE - ERP =&gt; SOUS-SEGMENT'!$BL$8:$BL$1000))</f>
        <v>4277</v>
      </c>
      <c r="BM16" s="304">
        <f>IF($C16="","",SUMPRODUCT(('ANALYSE - ERP =&gt; SOUS-SEGMENT'!$C$8:$C$1000=$C16)*'ANALYSE - ERP =&gt; SOUS-SEGMENT'!$Q$8:$Q$1000*'ANALYSE - ERP =&gt; SOUS-SEGMENT'!$BM$8:$BM$1000))</f>
        <v>240809</v>
      </c>
      <c r="BN16" s="657"/>
      <c r="BO16" s="284">
        <f t="shared" si="3"/>
        <v>0.47170655587414911</v>
      </c>
      <c r="BP16" s="284">
        <f t="shared" si="4"/>
        <v>0.24420621452396279</v>
      </c>
      <c r="BQ16" s="284">
        <f t="shared" si="5"/>
        <v>0.18386174342169428</v>
      </c>
      <c r="BR16" s="710">
        <f t="shared" si="6"/>
        <v>0.10022548618019389</v>
      </c>
      <c r="BS16" s="707">
        <f t="shared" si="7"/>
        <v>0.44171467764060351</v>
      </c>
      <c r="BT16" s="284">
        <f t="shared" si="8"/>
        <v>0.24420588059879528</v>
      </c>
      <c r="BU16" s="284">
        <f t="shared" si="9"/>
        <v>0.21383610663803901</v>
      </c>
      <c r="BV16" s="710">
        <f t="shared" si="10"/>
        <v>0.10024333512256219</v>
      </c>
      <c r="BW16" s="714">
        <f t="shared" si="11"/>
        <v>0.80591277011443596</v>
      </c>
      <c r="BX16" s="285">
        <f t="shared" si="12"/>
        <v>0.15371086921393209</v>
      </c>
      <c r="BY16" s="717">
        <f t="shared" si="13"/>
        <v>4.0376360671631924E-2</v>
      </c>
      <c r="BZ16" s="714">
        <f t="shared" si="14"/>
        <v>0.77580669796275936</v>
      </c>
      <c r="CA16" s="285">
        <f t="shared" si="15"/>
        <v>0.17382942880887672</v>
      </c>
      <c r="CB16" s="717">
        <f t="shared" si="16"/>
        <v>5.0363873228364144E-2</v>
      </c>
      <c r="CC16" s="284">
        <f t="shared" si="17"/>
        <v>0.2301904106446433</v>
      </c>
      <c r="CD16" s="284">
        <f t="shared" si="18"/>
        <v>0.4021105758201422</v>
      </c>
      <c r="CE16" s="284">
        <f t="shared" si="19"/>
        <v>0.2180110116999312</v>
      </c>
      <c r="CF16" s="710">
        <f t="shared" si="20"/>
        <v>0.14968800183528333</v>
      </c>
      <c r="CG16" s="707">
        <f t="shared" si="21"/>
        <v>0.20412906242693477</v>
      </c>
      <c r="CH16" s="284">
        <f t="shared" si="22"/>
        <v>0.40220247837269113</v>
      </c>
      <c r="CI16" s="284">
        <f t="shared" si="23"/>
        <v>0.24784662146364272</v>
      </c>
      <c r="CJ16" s="710">
        <f t="shared" si="24"/>
        <v>0.14582183773673138</v>
      </c>
      <c r="CK16" s="720">
        <f t="shared" si="25"/>
        <v>0.74772410589874594</v>
      </c>
      <c r="CL16" s="286">
        <f t="shared" si="26"/>
        <v>0.17902681692619846</v>
      </c>
      <c r="CM16" s="718">
        <f t="shared" si="27"/>
        <v>7.3249077175055605E-2</v>
      </c>
      <c r="CN16" s="720">
        <f t="shared" si="28"/>
        <v>0.69767284445348798</v>
      </c>
      <c r="CO16" s="286">
        <f t="shared" si="29"/>
        <v>0.19913815513539776</v>
      </c>
      <c r="CP16" s="718">
        <f t="shared" si="30"/>
        <v>0.10318900041111419</v>
      </c>
      <c r="CQ16" s="657"/>
      <c r="CR16" s="807">
        <f>IF($C16="","",IFERROR(SUMPRODUCT(('ANALYSE - ERP =&gt; SOUS-SEGMENT'!$C$8:$C$1000=$C16)*'ANALYSE - ERP =&gt; SOUS-SEGMENT'!$Q$8:$Q$1000*'ANALYSE - ERP =&gt; SOUS-SEGMENT'!$DH$8:$DH$1000*'ANALYSE - ERP =&gt; SOUS-SEGMENT'!$CR$8:$CR$1000)/SUMPRODUCT(('ANALYSE - ERP =&gt; SOUS-SEGMENT'!$C$8:$C$1000=$C16)*'ANALYSE - ERP =&gt; SOUS-SEGMENT'!$Q$8:$Q$1000*'ANALYSE - ERP =&gt; SOUS-SEGMENT'!$DH$8:$DH$1000),""))</f>
        <v>12</v>
      </c>
      <c r="CS16" s="808">
        <f>IF($C16="","",IFERROR(SUMPRODUCT(('ANALYSE - ERP =&gt; SOUS-SEGMENT'!$C$8:$C$1000=$C16)*'ANALYSE - ERP =&gt; SOUS-SEGMENT'!$Q$8:$Q$1000*'ANALYSE - ERP =&gt; SOUS-SEGMENT'!$DI$8:$DI$1000*'ANALYSE - ERP =&gt; SOUS-SEGMENT'!$CS$8:$CS$1000)/SUMPRODUCT(('ANALYSE - ERP =&gt; SOUS-SEGMENT'!$C$8:$C$1000=$C16)*'ANALYSE - ERP =&gt; SOUS-SEGMENT'!$Q$8:$Q$1000*'ANALYSE - ERP =&gt; SOUS-SEGMENT'!$DI$8:$DI$1000),""))</f>
        <v>11</v>
      </c>
      <c r="CT16" s="808">
        <f>IF($C16="","",IFERROR(SUMPRODUCT(('ANALYSE - ERP =&gt; SOUS-SEGMENT'!$C$8:$C$1000=$C16)*'ANALYSE - ERP =&gt; SOUS-SEGMENT'!$Q$8:$Q$1000*'ANALYSE - ERP =&gt; SOUS-SEGMENT'!$DJ$8:$DJ$1000*'ANALYSE - ERP =&gt; SOUS-SEGMENT'!$CT$8:$CT$1000)/SUMPRODUCT(('ANALYSE - ERP =&gt; SOUS-SEGMENT'!$C$8:$C$1000=$C16)*'ANALYSE - ERP =&gt; SOUS-SEGMENT'!$Q$8:$Q$1000*'ANALYSE - ERP =&gt; SOUS-SEGMENT'!$DJ$8:$DJ$1000),""))</f>
        <v>8</v>
      </c>
      <c r="CU16" s="809">
        <f>IF($C16="","",IFERROR(SUMPRODUCT(('ANALYSE - ERP =&gt; SOUS-SEGMENT'!$C$8:$C$1000=$C16)*'ANALYSE - ERP =&gt; SOUS-SEGMENT'!$Q$8:$Q$1000*'ANALYSE - ERP =&gt; SOUS-SEGMENT'!$DK$8:$DK$1000*'ANALYSE - ERP =&gt; SOUS-SEGMENT'!$CU$8:$CU$1000)/SUMPRODUCT(('ANALYSE - ERP =&gt; SOUS-SEGMENT'!$C$8:$C$1000=$C16)*'ANALYSE - ERP =&gt; SOUS-SEGMENT'!$Q$8:$Q$1000*'ANALYSE - ERP =&gt; SOUS-SEGMENT'!$DK$8:$DK$1000),""))</f>
        <v>10</v>
      </c>
      <c r="CV16" s="807">
        <f>IF($C16="","",IFERROR(SUMPRODUCT(('ANALYSE - ERP =&gt; SOUS-SEGMENT'!$C$8:$C$1000=$C16)*'ANALYSE - ERP =&gt; SOUS-SEGMENT'!$Q$8:$Q$1000*'ANALYSE - ERP =&gt; SOUS-SEGMENT'!$DS$8:$DS$1000*'ANALYSE - ERP =&gt; SOUS-SEGMENT'!$CV$8:$CV$1000)/SUMPRODUCT(('ANALYSE - ERP =&gt; SOUS-SEGMENT'!$C$8:$C$1000=$C16)*'ANALYSE - ERP =&gt; SOUS-SEGMENT'!$Q$8:$Q$1000*'ANALYSE - ERP =&gt; SOUS-SEGMENT'!$DS$8:$DS$1000),""))</f>
        <v>11</v>
      </c>
      <c r="CW16" s="808">
        <f>IF($C16="","",IFERROR(SUMPRODUCT(('ANALYSE - ERP =&gt; SOUS-SEGMENT'!$C$8:$C$1000=$C16)*'ANALYSE - ERP =&gt; SOUS-SEGMENT'!$Q$8:$Q$1000*'ANALYSE - ERP =&gt; SOUS-SEGMENT'!$DT$8:$DT$1000*'ANALYSE - ERP =&gt; SOUS-SEGMENT'!$CW$8:$CW$1000)/SUMPRODUCT(('ANALYSE - ERP =&gt; SOUS-SEGMENT'!$C$8:$C$1000=$C16)*'ANALYSE - ERP =&gt; SOUS-SEGMENT'!$Q$8:$Q$1000*'ANALYSE - ERP =&gt; SOUS-SEGMENT'!$DT$8:$DT$1000),""))</f>
        <v>10.000000000000002</v>
      </c>
      <c r="CX16" s="809">
        <f>IF($C16="","",IFERROR(SUMPRODUCT(('ANALYSE - ERP =&gt; SOUS-SEGMENT'!$C$8:$C$1000=$C16)*'ANALYSE - ERP =&gt; SOUS-SEGMENT'!$Q$8:$Q$1000*'ANALYSE - ERP =&gt; SOUS-SEGMENT'!$DU$8:$DU$1000*'ANALYSE - ERP =&gt; SOUS-SEGMENT'!$CX$8:$CX$1000)/SUMPRODUCT(('ANALYSE - ERP =&gt; SOUS-SEGMENT'!$C$8:$C$1000=$C16)*'ANALYSE - ERP =&gt; SOUS-SEGMENT'!$Q$8:$Q$1000*'ANALYSE - ERP =&gt; SOUS-SEGMENT'!$DU$8:$DU$1000),""))</f>
        <v>8</v>
      </c>
      <c r="CY16" s="807">
        <f>IF($C16="","",IFERROR(SUMPRODUCT(('ANALYSE - ERP =&gt; SOUS-SEGMENT'!$C$8:$C$1000=$C16)*'ANALYSE - ERP =&gt; SOUS-SEGMENT'!$Q$8:$Q$1000*'ANALYSE - ERP =&gt; SOUS-SEGMENT'!$EB$8:$EB$1000*'ANALYSE - ERP =&gt; SOUS-SEGMENT'!$CY$8:$CY$1000)/SUMPRODUCT(('ANALYSE - ERP =&gt; SOUS-SEGMENT'!$C$8:$C$1000=$C16)*'ANALYSE - ERP =&gt; SOUS-SEGMENT'!$Q$8:$Q$1000*'ANALYSE - ERP =&gt; SOUS-SEGMENT'!$EB$8:$EB$1000),""))</f>
        <v>9.9999999999999982</v>
      </c>
      <c r="CZ16" s="808">
        <f>IF($C16="","",IFERROR(SUMPRODUCT(('ANALYSE - ERP =&gt; SOUS-SEGMENT'!$C$8:$C$1000=$C16)*'ANALYSE - ERP =&gt; SOUS-SEGMENT'!$Q$8:$Q$1000*'ANALYSE - ERP =&gt; SOUS-SEGMENT'!$EC$8:$EC$1000*'ANALYSE - ERP =&gt; SOUS-SEGMENT'!$CZ$8:$CZ$1000)/SUMPRODUCT(('ANALYSE - ERP =&gt; SOUS-SEGMENT'!$C$8:$C$1000=$C16)*'ANALYSE - ERP =&gt; SOUS-SEGMENT'!$Q$8:$Q$1000*'ANALYSE - ERP =&gt; SOUS-SEGMENT'!$EC$8:$EC$1000),""))</f>
        <v>12.000000000000002</v>
      </c>
      <c r="DA16" s="808">
        <f>IF($C16="","",IFERROR(SUMPRODUCT(('ANALYSE - ERP =&gt; SOUS-SEGMENT'!$C$8:$C$1000=$C16)*'ANALYSE - ERP =&gt; SOUS-SEGMENT'!$Q$8:$Q$1000*'ANALYSE - ERP =&gt; SOUS-SEGMENT'!$ED$8:$ED$1000*'ANALYSE - ERP =&gt; SOUS-SEGMENT'!$DA$8:$DA$1000)/SUMPRODUCT(('ANALYSE - ERP =&gt; SOUS-SEGMENT'!$C$8:$C$1000=$C16)*'ANALYSE - ERP =&gt; SOUS-SEGMENT'!$Q$8:$Q$1000*'ANALYSE - ERP =&gt; SOUS-SEGMENT'!$ED$8:$ED$1000),""))</f>
        <v>8</v>
      </c>
      <c r="DB16" s="809">
        <f>IF($C16="","",IFERROR(SUMPRODUCT(('ANALYSE - ERP =&gt; SOUS-SEGMENT'!$C$8:$C$1000=$C16)*'ANALYSE - ERP =&gt; SOUS-SEGMENT'!$Q$8:$Q$1000*'ANALYSE - ERP =&gt; SOUS-SEGMENT'!$EE$8:$EE$1000*'ANALYSE - ERP =&gt; SOUS-SEGMENT'!$DB$8:$DB$1000)/SUMPRODUCT(('ANALYSE - ERP =&gt; SOUS-SEGMENT'!$C$8:$C$1000=$C16)*'ANALYSE - ERP =&gt; SOUS-SEGMENT'!$Q$8:$Q$1000*'ANALYSE - ERP =&gt; SOUS-SEGMENT'!$EE$8:$EE$1000),""))</f>
        <v>10</v>
      </c>
      <c r="DC16" s="807">
        <f>IF($C16="","",IFERROR(SUMPRODUCT(('ANALYSE - ERP =&gt; SOUS-SEGMENT'!$C$8:$C$1000=$C16)*'ANALYSE - ERP =&gt; SOUS-SEGMENT'!$Q$8:$Q$1000*'ANALYSE - ERP =&gt; SOUS-SEGMENT'!$EM$8:$EM$1000*'ANALYSE - ERP =&gt; SOUS-SEGMENT'!$DC$8:$DC$1000)/SUMPRODUCT(('ANALYSE - ERP =&gt; SOUS-SEGMENT'!$C$8:$C$1000=$C16)*'ANALYSE - ERP =&gt; SOUS-SEGMENT'!$Q$8:$Q$1000*'ANALYSE - ERP =&gt; SOUS-SEGMENT'!$EM$8:$EM$1000),""))</f>
        <v>12</v>
      </c>
      <c r="DD16" s="808">
        <f>IF($C16="","",IFERROR(SUMPRODUCT(('ANALYSE - ERP =&gt; SOUS-SEGMENT'!$C$8:$C$1000=$C16)*'ANALYSE - ERP =&gt; SOUS-SEGMENT'!$Q$8:$Q$1000*'ANALYSE - ERP =&gt; SOUS-SEGMENT'!$EN$8:$EN$1000*'ANALYSE - ERP =&gt; SOUS-SEGMENT'!$DD$8:$DD$1000)/SUMPRODUCT(('ANALYSE - ERP =&gt; SOUS-SEGMENT'!$C$8:$C$1000=$C16)*'ANALYSE - ERP =&gt; SOUS-SEGMENT'!$Q$8:$Q$1000*'ANALYSE - ERP =&gt; SOUS-SEGMENT'!$EN$8:$EN$1000),""))</f>
        <v>12</v>
      </c>
      <c r="DE16" s="809">
        <f>IF($C16="","",IFERROR(SUMPRODUCT(('ANALYSE - ERP =&gt; SOUS-SEGMENT'!$C$8:$C$1000=$C16)*'ANALYSE - ERP =&gt; SOUS-SEGMENT'!$Q$8:$Q$1000*'ANALYSE - ERP =&gt; SOUS-SEGMENT'!$EO$8:$EO$1000*'ANALYSE - ERP =&gt; SOUS-SEGMENT'!$DE$8:$DE$1000)/SUMPRODUCT(('ANALYSE - ERP =&gt; SOUS-SEGMENT'!$C$8:$C$1000=$C16)*'ANALYSE - ERP =&gt; SOUS-SEGMENT'!$Q$8:$Q$1000*'ANALYSE - ERP =&gt; SOUS-SEGMENT'!$EO$8:$EO$1000),""))</f>
        <v>9.0000000000000018</v>
      </c>
      <c r="DF16" s="921" t="s">
        <v>5568</v>
      </c>
      <c r="DG16" s="657"/>
      <c r="DH16" s="288">
        <f>IF($C16="","",SUMPRODUCT(('ANALYSE - ERP =&gt; SOUS-SEGMENT'!$C$8:$C$1000=$C16)*'ANALYSE - ERP =&gt; SOUS-SEGMENT'!$Q$8:$Q$1000*'ANALYSE - ERP =&gt; SOUS-SEGMENT'!$DH$8:$DH$1000))</f>
        <v>120914.90000000001</v>
      </c>
      <c r="DI16" s="288">
        <f>IF($C16="","",SUMPRODUCT(('ANALYSE - ERP =&gt; SOUS-SEGMENT'!$C$8:$C$1000=$C16)*'ANALYSE - ERP =&gt; SOUS-SEGMENT'!$Q$8:$Q$1000*'ANALYSE - ERP =&gt; SOUS-SEGMENT'!$DI$8:$DI$1000))</f>
        <v>62598.600000000006</v>
      </c>
      <c r="DJ16" s="288">
        <f>IF($C16="","",SUMPRODUCT(('ANALYSE - ERP =&gt; SOUS-SEGMENT'!$C$8:$C$1000=$C16)*'ANALYSE - ERP =&gt; SOUS-SEGMENT'!$Q$8:$Q$1000*'ANALYSE - ERP =&gt; SOUS-SEGMENT'!$DJ$8:$DJ$1000))</f>
        <v>47130.200000000004</v>
      </c>
      <c r="DK16" s="288">
        <f>IF($C16="","",SUMPRODUCT(('ANALYSE - ERP =&gt; SOUS-SEGMENT'!$C$8:$C$1000=$C16)*'ANALYSE - ERP =&gt; SOUS-SEGMENT'!$Q$8:$Q$1000*'ANALYSE - ERP =&gt; SOUS-SEGMENT'!$DK$8:$DK$1000))</f>
        <v>25691.3</v>
      </c>
      <c r="DL16" s="922" t="s">
        <v>5569</v>
      </c>
      <c r="DM16" s="288">
        <f>IF($C16="","",SUMPRODUCT(('ANALYSE - ERP =&gt; SOUS-SEGMENT'!$C$8:$C$1000=$C16)*'ANALYSE - ERP =&gt; SOUS-SEGMENT'!$Q$8:$Q$1000*'ANALYSE - ERP =&gt; SOUS-SEGMENT'!$DM$8:$DM$1000))</f>
        <v>111093.44999999998</v>
      </c>
      <c r="DN16" s="288">
        <f>IF($C16="","",SUMPRODUCT(('ANALYSE - ERP =&gt; SOUS-SEGMENT'!$C$8:$C$1000=$C16)*'ANALYSE - ERP =&gt; SOUS-SEGMENT'!$Q$8:$Q$1000*'ANALYSE - ERP =&gt; SOUS-SEGMENT'!$DN$8:$DN$1000))</f>
        <v>61419.000000000007</v>
      </c>
      <c r="DO16" s="288">
        <f>IF($C16="","",SUMPRODUCT(('ANALYSE - ERP =&gt; SOUS-SEGMENT'!$C$8:$C$1000=$C16)*'ANALYSE - ERP =&gt; SOUS-SEGMENT'!$Q$8:$Q$1000*'ANALYSE - ERP =&gt; SOUS-SEGMENT'!$DO$8:$DO$1000))</f>
        <v>53780.85</v>
      </c>
      <c r="DP16" s="288">
        <f>IF($C16="","",SUMPRODUCT(('ANALYSE - ERP =&gt; SOUS-SEGMENT'!$C$8:$C$1000=$C16)*'ANALYSE - ERP =&gt; SOUS-SEGMENT'!$Q$8:$Q$1000*'ANALYSE - ERP =&gt; SOUS-SEGMENT'!$DP$8:$DP$1000))</f>
        <v>25211.7</v>
      </c>
      <c r="DQ16" s="922" t="s">
        <v>5570</v>
      </c>
      <c r="DR16" s="657"/>
      <c r="DS16" s="288">
        <f>IF($C16="","",SUMPRODUCT(('ANALYSE - ERP =&gt; SOUS-SEGMENT'!$C$8:$C$1000=$C16)*'ANALYSE - ERP =&gt; SOUS-SEGMENT'!$Q$8:$Q$1000*'ANALYSE - ERP =&gt; SOUS-SEGMENT'!$DS$8:$DS$1000))</f>
        <v>109721.8</v>
      </c>
      <c r="DT16" s="288">
        <f>IF($C16="","",SUMPRODUCT(('ANALYSE - ERP =&gt; SOUS-SEGMENT'!$C$8:$C$1000=$C16)*'ANALYSE - ERP =&gt; SOUS-SEGMENT'!$Q$8:$Q$1000*'ANALYSE - ERP =&gt; SOUS-SEGMENT'!$DT$8:$DT$1000))</f>
        <v>20927.12</v>
      </c>
      <c r="DU16" s="288">
        <f>IF($C16="","",SUMPRODUCT(('ANALYSE - ERP =&gt; SOUS-SEGMENT'!$C$8:$C$1000=$C16)*'ANALYSE - ERP =&gt; SOUS-SEGMENT'!$Q$8:$Q$1000*'ANALYSE - ERP =&gt; SOUS-SEGMENT'!$DU$8:$DU$1000))</f>
        <v>5497.08</v>
      </c>
      <c r="DV16" s="922" t="s">
        <v>5571</v>
      </c>
      <c r="DW16" s="288">
        <f>IF($C16="","",SUMPRODUCT(('ANALYSE - ERP =&gt; SOUS-SEGMENT'!$C$8:$C$1000=$C16)*'ANALYSE - ERP =&gt; SOUS-SEGMENT'!$Q$8:$Q$1000*'ANALYSE - ERP =&gt; SOUS-SEGMENT'!$DW$8:$DW$1000))</f>
        <v>103619.07000000002</v>
      </c>
      <c r="DX16" s="288">
        <f>IF($C16="","",SUMPRODUCT(('ANALYSE - ERP =&gt; SOUS-SEGMENT'!$C$8:$C$1000=$C16)*'ANALYSE - ERP =&gt; SOUS-SEGMENT'!$Q$8:$Q$1000*'ANALYSE - ERP =&gt; SOUS-SEGMENT'!$DX$8:$DX$1000))</f>
        <v>23217.18</v>
      </c>
      <c r="DY16" s="288">
        <f>IF($C16="","",SUMPRODUCT(('ANALYSE - ERP =&gt; SOUS-SEGMENT'!$C$8:$C$1000=$C16)*'ANALYSE - ERP =&gt; SOUS-SEGMENT'!$Q$8:$Q$1000*'ANALYSE - ERP =&gt; SOUS-SEGMENT'!$DY$8:$DY$1000))</f>
        <v>6726.75</v>
      </c>
      <c r="DZ16" s="922" t="s">
        <v>5572</v>
      </c>
      <c r="EA16" s="657"/>
      <c r="EB16" s="288">
        <f>IF($C16="","",SUMPRODUCT(('ANALYSE - ERP =&gt; SOUS-SEGMENT'!$C$8:$C$1000=$C16)*'ANALYSE - ERP =&gt; SOUS-SEGMENT'!$Q$8:$Q$1000*'ANALYSE - ERP =&gt; SOUS-SEGMENT'!$EB$8:$EB$1000))</f>
        <v>1003.4000000000001</v>
      </c>
      <c r="EC16" s="288">
        <f>IF($C16="","",SUMPRODUCT(('ANALYSE - ERP =&gt; SOUS-SEGMENT'!$C$8:$C$1000=$C16)*'ANALYSE - ERP =&gt; SOUS-SEGMENT'!$Q$8:$Q$1000*'ANALYSE - ERP =&gt; SOUS-SEGMENT'!$EC$8:$EC$1000))</f>
        <v>1752.8</v>
      </c>
      <c r="ED16" s="288">
        <f>IF($C16="","",SUMPRODUCT(('ANALYSE - ERP =&gt; SOUS-SEGMENT'!$C$8:$C$1000=$C16)*'ANALYSE - ERP =&gt; SOUS-SEGMENT'!$Q$8:$Q$1000*'ANALYSE - ERP =&gt; SOUS-SEGMENT'!$ED$8:$ED$1000))</f>
        <v>950.31000000000006</v>
      </c>
      <c r="EE16" s="288">
        <f>IF($C16="","",SUMPRODUCT(('ANALYSE - ERP =&gt; SOUS-SEGMENT'!$C$8:$C$1000=$C16)*'ANALYSE - ERP =&gt; SOUS-SEGMENT'!$Q$8:$Q$1000*'ANALYSE - ERP =&gt; SOUS-SEGMENT'!$EE$8:$EE$1000))</f>
        <v>652.49</v>
      </c>
      <c r="EF16" s="922" t="s">
        <v>5573</v>
      </c>
      <c r="EG16" s="288">
        <f>IF($C16="","",SUMPRODUCT(('ANALYSE - ERP =&gt; SOUS-SEGMENT'!$C$8:$C$1000=$C16)*'ANALYSE - ERP =&gt; SOUS-SEGMENT'!$Q$8:$Q$1000*'ANALYSE - ERP =&gt; SOUS-SEGMENT'!$EG$8:$EG$1000))</f>
        <v>873.06</v>
      </c>
      <c r="EH16" s="288">
        <f>IF($C16="","",SUMPRODUCT(('ANALYSE - ERP =&gt; SOUS-SEGMENT'!$C$8:$C$1000=$C16)*'ANALYSE - ERP =&gt; SOUS-SEGMENT'!$Q$8:$Q$1000*'ANALYSE - ERP =&gt; SOUS-SEGMENT'!$EH$8:$EH$1000))</f>
        <v>1720.22</v>
      </c>
      <c r="EI16" s="288">
        <f>IF($C16="","",SUMPRODUCT(('ANALYSE - ERP =&gt; SOUS-SEGMENT'!$C$8:$C$1000=$C16)*'ANALYSE - ERP =&gt; SOUS-SEGMENT'!$Q$8:$Q$1000*'ANALYSE - ERP =&gt; SOUS-SEGMENT'!$EI$8:$EI$1000))</f>
        <v>1060.04</v>
      </c>
      <c r="EJ16" s="288">
        <f>IF($C16="","",SUMPRODUCT(('ANALYSE - ERP =&gt; SOUS-SEGMENT'!$C$8:$C$1000=$C16)*'ANALYSE - ERP =&gt; SOUS-SEGMENT'!$Q$8:$Q$1000*'ANALYSE - ERP =&gt; SOUS-SEGMENT'!$EJ$8:$EJ$1000))</f>
        <v>623.68000000000006</v>
      </c>
      <c r="EK16" s="922" t="s">
        <v>5574</v>
      </c>
      <c r="EL16" s="657"/>
      <c r="EM16" s="288">
        <f>IF($C16="","",SUMPRODUCT(('ANALYSE - ERP =&gt; SOUS-SEGMENT'!$C$8:$C$1000=$C16)*'ANALYSE - ERP =&gt; SOUS-SEGMENT'!$Q$8:$Q$1000*'ANALYSE - ERP =&gt; SOUS-SEGMENT'!$EM$8:$EM$1000))</f>
        <v>183522.9</v>
      </c>
      <c r="EN16" s="291">
        <f>IF($C16="","",SUMPRODUCT(('ANALYSE - ERP =&gt; SOUS-SEGMENT'!$C$8:$C$1000=$C16)*'ANALYSE - ERP =&gt; SOUS-SEGMENT'!$Q$8:$Q$1000*'ANALYSE - ERP =&gt; SOUS-SEGMENT'!$EN$8:$EN$1000))</f>
        <v>43940.700000000004</v>
      </c>
      <c r="EO16" s="291">
        <f>IF($C16="","",SUMPRODUCT(('ANALYSE - ERP =&gt; SOUS-SEGMENT'!$C$8:$C$1000=$C16)*'ANALYSE - ERP =&gt; SOUS-SEGMENT'!$Q$8:$Q$1000*'ANALYSE - ERP =&gt; SOUS-SEGMENT'!$EO$8:$EO$1000))</f>
        <v>17978.399999999998</v>
      </c>
      <c r="EP16" s="922" t="s">
        <v>5575</v>
      </c>
      <c r="EQ16" s="288">
        <f>IF($C16="","",SUMPRODUCT(('ANALYSE - ERP =&gt; SOUS-SEGMENT'!$C$8:$C$1000=$C16)*'ANALYSE - ERP =&gt; SOUS-SEGMENT'!$Q$8:$Q$1000*'ANALYSE - ERP =&gt; SOUS-SEGMENT'!$EQ$8:$EQ$1000))</f>
        <v>168005.9</v>
      </c>
      <c r="ER16" s="291">
        <f>IF($C16="","",SUMPRODUCT(('ANALYSE - ERP =&gt; SOUS-SEGMENT'!$C$8:$C$1000=$C16)*'ANALYSE - ERP =&gt; SOUS-SEGMENT'!$Q$8:$Q$1000*'ANALYSE - ERP =&gt; SOUS-SEGMENT'!$ER$8:$ER$1000))</f>
        <v>47954.26</v>
      </c>
      <c r="ES16" s="291">
        <f>IF($C16="","",SUMPRODUCT(('ANALYSE - ERP =&gt; SOUS-SEGMENT'!$C$8:$C$1000=$C16)*'ANALYSE - ERP =&gt; SOUS-SEGMENT'!$Q$8:$Q$1000*'ANALYSE - ERP =&gt; SOUS-SEGMENT'!$ES$8:$ES$1000))</f>
        <v>24848.839999999997</v>
      </c>
      <c r="ET16" s="922" t="s">
        <v>5576</v>
      </c>
      <c r="EU16" s="657"/>
      <c r="EV16" s="740">
        <f t="shared" si="31"/>
        <v>0.82070566609571372</v>
      </c>
      <c r="EW16" s="740">
        <f t="shared" si="32"/>
        <v>0.17929433390428637</v>
      </c>
      <c r="EX16" s="563">
        <f t="shared" si="33"/>
        <v>335032.89926644985</v>
      </c>
      <c r="EY16" s="563">
        <f t="shared" si="34"/>
        <v>274963.39875644987</v>
      </c>
      <c r="EZ16" s="563">
        <f t="shared" si="35"/>
        <v>60069.500509999998</v>
      </c>
      <c r="FA16" s="563">
        <f t="shared" si="36"/>
        <v>137713.90848131818</v>
      </c>
      <c r="FB16" s="563">
        <f>IF($C16="","",SUMPRODUCT(('ANALYSE - ERP =&gt; SOUS-SEGMENT'!$C$8:$C$1000=$C16)*'ANALYSE - ERP =&gt; SOUS-SEGMENT'!$Q$8:$Q$1000*'ANALYSE - ERP =&gt; SOUS-SEGMENT'!$FB$8:$FB$1000))</f>
        <v>113722.47133131819</v>
      </c>
      <c r="FC16" s="563">
        <f>IF($C16="","",SUMPRODUCT(('ANALYSE - ERP =&gt; SOUS-SEGMENT'!$C$8:$C$1000=$C16)*'ANALYSE - ERP =&gt; SOUS-SEGMENT'!$Q$8:$Q$1000*'ANALYSE - ERP =&gt; SOUS-SEGMENT'!$FC$8:$FC$1000))</f>
        <v>23991.437149999998</v>
      </c>
      <c r="FD16" s="563">
        <f t="shared" si="37"/>
        <v>72368.836263839999</v>
      </c>
      <c r="FE16" s="563">
        <f>IF($C16="","",SUMPRODUCT(('ANALYSE - ERP =&gt; SOUS-SEGMENT'!$C$8:$C$1000=$C16)*'ANALYSE - ERP =&gt; SOUS-SEGMENT'!$Q$8:$Q$1000*'ANALYSE - ERP =&gt; SOUS-SEGMENT'!$FE$8:$FE$1000))</f>
        <v>59664.116063839996</v>
      </c>
      <c r="FF16" s="563">
        <f>IF($C16="","",SUMPRODUCT(('ANALYSE - ERP =&gt; SOUS-SEGMENT'!$C$8:$C$1000=$C16)*'ANALYSE - ERP =&gt; SOUS-SEGMENT'!$Q$8:$Q$1000*'ANALYSE - ERP =&gt; SOUS-SEGMENT'!$FF$8:$FF$1000))</f>
        <v>12704.720199999998</v>
      </c>
      <c r="FG16" s="563">
        <f t="shared" si="38"/>
        <v>2421.2400842916668</v>
      </c>
      <c r="FH16" s="563">
        <f>IF($C16="","",SUMPRODUCT(('ANALYSE - ERP =&gt; SOUS-SEGMENT'!$C$8:$C$1000=$C16)*'ANALYSE - ERP =&gt; SOUS-SEGMENT'!$Q$8:$Q$1000*'ANALYSE - ERP =&gt; SOUS-SEGMENT'!$FH$8:$FH$1000))</f>
        <v>2010.5446242916669</v>
      </c>
      <c r="FI16" s="563">
        <f>IF($C16="","",SUMPRODUCT(('ANALYSE - ERP =&gt; SOUS-SEGMENT'!$C$8:$C$1000=$C16)*'ANALYSE - ERP =&gt; SOUS-SEGMENT'!$Q$8:$Q$1000*'ANALYSE - ERP =&gt; SOUS-SEGMENT'!$FI$8:$FI$1000))</f>
        <v>410.69545999999997</v>
      </c>
      <c r="FJ16" s="563">
        <f t="shared" si="39"/>
        <v>122528.914437</v>
      </c>
      <c r="FK16" s="563">
        <f>IF($C16="","",SUMPRODUCT(('ANALYSE - ERP =&gt; SOUS-SEGMENT'!$C$8:$C$1000=$C16)*'ANALYSE - ERP =&gt; SOUS-SEGMENT'!$Q$8:$Q$1000*'ANALYSE - ERP =&gt; SOUS-SEGMENT'!$FK$8:$FK$1000))</f>
        <v>99566.266736999998</v>
      </c>
      <c r="FL16" s="563">
        <f>IF($C16="","",SUMPRODUCT(('ANALYSE - ERP =&gt; SOUS-SEGMENT'!$C$8:$C$1000=$C16)*'ANALYSE - ERP =&gt; SOUS-SEGMENT'!$Q$8:$Q$1000*'ANALYSE - ERP =&gt; SOUS-SEGMENT'!$FL$8:$FL$1000))</f>
        <v>22962.647700000001</v>
      </c>
      <c r="FM16" s="529"/>
      <c r="FN16" s="961" t="s">
        <v>2649</v>
      </c>
      <c r="FO16" s="740">
        <f>IF($C16="","",IFERROR(SUMPRODUCT(('ANALYSE - ERP =&gt; SOUS-SEGMENT'!$C$8:$C$1000=$C16)*'ANALYSE - ERP =&gt; SOUS-SEGMENT'!$Q$8:$Q$1000*'ANALYSE - ERP =&gt; SOUS-SEGMENT'!$AF$8:$AF$1000*'ANALYSE - ERP =&gt; SOUS-SEGMENT'!$FO$8:$FO$1000)/SUMPRODUCT(('ANALYSE - ERP =&gt; SOUS-SEGMENT'!$C$8:$C$1000=$C16)*'ANALYSE - ERP =&gt; SOUS-SEGMENT'!$Q$8:$Q$1000*'ANALYSE - ERP =&gt; SOUS-SEGMENT'!$AF$8:$AF$1000),""))</f>
        <v>9.1781008174386919E-2</v>
      </c>
      <c r="FP16" s="741">
        <f>IF($C16="","",IFERROR(SUMPRODUCT(('ANALYSE - ERP =&gt; SOUS-SEGMENT'!$C$8:$C$1000=$C16)*'ANALYSE - ERP =&gt; SOUS-SEGMENT'!$Q$8:$Q$1000*'ANALYSE - ERP =&gt; SOUS-SEGMENT'!$AF$8:$AF$1000*'ANALYSE - ERP =&gt; SOUS-SEGMENT'!$FP$8:$FP$1000)/SUMPRODUCT(('ANALYSE - ERP =&gt; SOUS-SEGMENT'!$C$8:$C$1000=$C16)*'ANALYSE - ERP =&gt; SOUS-SEGMENT'!$Q$8:$Q$1000*'ANALYSE - ERP =&gt; SOUS-SEGMENT'!$AF$8:$AF$1000),""))</f>
        <v>0.89661610354223431</v>
      </c>
      <c r="FQ16" s="961" t="s">
        <v>5577</v>
      </c>
      <c r="FR16" s="529"/>
      <c r="FS16" s="867">
        <f>IF($C16="","",IFERROR(SUMPRODUCT(('ANALYSE - ERP =&gt; SOUS-SEGMENT'!$C$8:$C$1000=$C16)*'ANALYSE - ERP =&gt; SOUS-SEGMENT'!$Q$8:$Q$1000*'ANALYSE - ERP =&gt; SOUS-SEGMENT'!$EX$8:$EX$1000*'ANALYSE - ERP =&gt; SOUS-SEGMENT'!$FS$8:$FS$1000)/SUMPRODUCT(('ANALYSE - ERP =&gt; SOUS-SEGMENT'!$C$8:$C$1000=$C16)*'ANALYSE - ERP =&gt; SOUS-SEGMENT'!$Q$8:$Q$1000*'ANALYSE - ERP =&gt; SOUS-SEGMENT'!$EX$8:$EX$1000),""))</f>
        <v>3.6759386796387994</v>
      </c>
      <c r="FT16" s="566">
        <f>IF($C16="","",RANK($FS16,$FS$8:$FS$43,0)+COUNTIF($FS$8:$FS16,$FS16)-1)</f>
        <v>4</v>
      </c>
      <c r="FU16" s="867">
        <f>IF($C16="","",IFERROR(SUMPRODUCT(('ANALYSE - ERP =&gt; SOUS-SEGMENT'!$C$8:$C$1000=$C16)*'ANALYSE - ERP =&gt; SOUS-SEGMENT'!$Q$8:$Q$1000*'ANALYSE - ERP =&gt; SOUS-SEGMENT'!$EY$8:$EY$1000*'ANALYSE - ERP =&gt; SOUS-SEGMENT'!$FU$8:$FU$1000)/SUMPRODUCT(('ANALYSE - ERP =&gt; SOUS-SEGMENT'!$C$8:$C$1000=$C16)*'ANALYSE - ERP =&gt; SOUS-SEGMENT'!$Q$8:$Q$1000*'ANALYSE - ERP =&gt; SOUS-SEGMENT'!$EY$8:$EY$1000),""))</f>
        <v>4.3985664514291525</v>
      </c>
      <c r="FV16" s="566">
        <f>IF($C16="","",RANK($FU16,$FU$8:$FU$43,0)+COUNTIF($FU$8:$FU16,$FU16)-1)</f>
        <v>5</v>
      </c>
      <c r="FW16" s="867">
        <f>IF($C16="","",IFERROR(SUMPRODUCT(('ANALYSE - ERP =&gt; SOUS-SEGMENT'!$C$8:$C$1000=$C16)*'ANALYSE - ERP =&gt; SOUS-SEGMENT'!$Q$8:$Q$1000*'ANALYSE - ERP =&gt; SOUS-SEGMENT'!$EZ$8:$EZ$1000*'ANALYSE - ERP =&gt; SOUS-SEGMENT'!$FW$8:$FW$1000)/SUMPRODUCT(('ANALYSE - ERP =&gt; SOUS-SEGMENT'!$C$8:$C$1000=$C16)*'ANALYSE - ERP =&gt; SOUS-SEGMENT'!$Q$8:$Q$1000*'ANALYSE - ERP =&gt; SOUS-SEGMENT'!$EZ$8:$EZ$1000),""))</f>
        <v>2.7951331445622505</v>
      </c>
      <c r="FX16" s="566">
        <f>IF($C16="","",RANK($FW16,$FW$8:$FW$43,0)+COUNTIF($FW$8:$FW16,$FW16)-1)</f>
        <v>3</v>
      </c>
      <c r="FY16" s="529"/>
      <c r="FZ16" s="922" t="s">
        <v>5578</v>
      </c>
      <c r="GA16" s="922" t="s">
        <v>5579</v>
      </c>
      <c r="GB16" s="922" t="s">
        <v>5580</v>
      </c>
      <c r="GC16" s="922" t="s">
        <v>5581</v>
      </c>
      <c r="GD16" s="922" t="s">
        <v>5582</v>
      </c>
      <c r="GE16" s="922" t="s">
        <v>5583</v>
      </c>
      <c r="GF16" s="923" t="s">
        <v>5584</v>
      </c>
      <c r="GG16" s="529"/>
      <c r="GH16" s="563">
        <f t="shared" si="40"/>
        <v>58550.81502400001</v>
      </c>
      <c r="GI16" s="563">
        <f>IF($C16="","",SUMPRODUCT(('ANALYSE - ERP =&gt; SOUS-SEGMENT'!$C$8:$C$1000=$C16)*'ANALYSE - ERP =&gt; SOUS-SEGMENT'!$Q$8:$Q$1000*'ANALYSE - ERP =&gt; SOUS-SEGMENT'!$GI$8:$GI$1000))</f>
        <v>47990.648887500007</v>
      </c>
      <c r="GJ16" s="563">
        <f>IF($C16="","",SUMPRODUCT(('ANALYSE - ERP =&gt; SOUS-SEGMENT'!$C$8:$C$1000=$C16)*'ANALYSE - ERP =&gt; SOUS-SEGMENT'!$Q$8:$Q$1000*'ANALYSE - ERP =&gt; SOUS-SEGMENT'!$GJ$8:$GJ$1000))</f>
        <v>10560.1661365</v>
      </c>
      <c r="GK16" s="563">
        <f t="shared" si="41"/>
        <v>32651.535351818187</v>
      </c>
      <c r="GL16" s="563">
        <f>IF($C16="","",SUMPRODUCT(('ANALYSE - ERP =&gt; SOUS-SEGMENT'!$C$8:$C$1000=$C16)*'ANALYSE - ERP =&gt; SOUS-SEGMENT'!$Q$8:$Q$1000*'ANALYSE - ERP =&gt; SOUS-SEGMENT'!$GL$8:$GL$1000))</f>
        <v>26739.424581818184</v>
      </c>
      <c r="GM16" s="563">
        <f>IF($C16="","",SUMPRODUCT(('ANALYSE - ERP =&gt; SOUS-SEGMENT'!$C$8:$C$1000=$C16)*'ANALYSE - ERP =&gt; SOUS-SEGMENT'!$Q$8:$Q$1000*'ANALYSE - ERP =&gt; SOUS-SEGMENT'!$GM$8:$GM$1000))</f>
        <v>5912.1107700000011</v>
      </c>
      <c r="GN16" s="563">
        <f t="shared" si="42"/>
        <v>32150.208380500004</v>
      </c>
      <c r="GO16" s="563">
        <f>IF($C16="","",SUMPRODUCT(('ANALYSE - ERP =&gt; SOUS-SEGMENT'!$C$8:$C$1000=$C16)*'ANALYSE - ERP =&gt; SOUS-SEGMENT'!$Q$8:$Q$1000*'ANALYSE - ERP =&gt; SOUS-SEGMENT'!$GO$8:$GO$1000))</f>
        <v>27039.525600000004</v>
      </c>
      <c r="GP16" s="563">
        <f>IF($C16="","",SUMPRODUCT(('ANALYSE - ERP =&gt; SOUS-SEGMENT'!$C$8:$C$1000=$C16)*'ANALYSE - ERP =&gt; SOUS-SEGMENT'!$Q$8:$Q$1000*'ANALYSE - ERP =&gt; SOUS-SEGMENT'!$GP$8:$GP$1000))</f>
        <v>5110.6827804999994</v>
      </c>
      <c r="GQ16" s="563">
        <f t="shared" si="43"/>
        <v>14361.349725</v>
      </c>
      <c r="GR16" s="563">
        <f>IF($C16="","",SUMPRODUCT(('ANALYSE - ERP =&gt; SOUS-SEGMENT'!$C$8:$C$1000=$C16)*'ANALYSE - ERP =&gt; SOUS-SEGMENT'!$Q$8:$Q$1000*'ANALYSE - ERP =&gt; SOUS-SEGMENT'!$GR$8:$GR$1000))</f>
        <v>11952.872262000001</v>
      </c>
      <c r="GS16" s="563">
        <f>IF($C16="","",SUMPRODUCT(('ANALYSE - ERP =&gt; SOUS-SEGMENT'!$C$8:$C$1000=$C16)*'ANALYSE - ERP =&gt; SOUS-SEGMENT'!$Q$8:$Q$1000*'ANALYSE - ERP =&gt; SOUS-SEGMENT'!$GS$8:$GS$1000))</f>
        <v>2408.4774630000002</v>
      </c>
      <c r="GT16" s="563">
        <f t="shared" si="44"/>
        <v>56631.054004400001</v>
      </c>
      <c r="GU16" s="563">
        <f>IF($C16="","",SUMPRODUCT(('ANALYSE - ERP =&gt; SOUS-SEGMENT'!$C$8:$C$1000=$C16)*'ANALYSE - ERP =&gt; SOUS-SEGMENT'!$Q$8:$Q$1000*'ANALYSE - ERP =&gt; SOUS-SEGMENT'!$GU$8:$GU$1000))</f>
        <v>46793.909032000003</v>
      </c>
      <c r="GV16" s="563">
        <f>IF($C16="","",SUMPRODUCT(('ANALYSE - ERP =&gt; SOUS-SEGMENT'!$C$8:$C$1000=$C16)*'ANALYSE - ERP =&gt; SOUS-SEGMENT'!$Q$8:$Q$1000*'ANALYSE - ERP =&gt; SOUS-SEGMENT'!$GV$8:$GV$1000))</f>
        <v>9837.1449723999995</v>
      </c>
      <c r="GW16" s="563">
        <f t="shared" si="45"/>
        <v>11944.77142144</v>
      </c>
      <c r="GX16" s="563">
        <f>IF($C16="","",SUMPRODUCT(('ANALYSE - ERP =&gt; SOUS-SEGMENT'!$C$8:$C$1000=$C16)*'ANALYSE - ERP =&gt; SOUS-SEGMENT'!$Q$8:$Q$1000*'ANALYSE - ERP =&gt; SOUS-SEGMENT'!$GX$8:$GX$1000))</f>
        <v>9717.3582758400007</v>
      </c>
      <c r="GY16" s="563">
        <f>IF($C16="","",SUMPRODUCT(('ANALYSE - ERP =&gt; SOUS-SEGMENT'!$C$8:$C$1000=$C16)*'ANALYSE - ERP =&gt; SOUS-SEGMENT'!$Q$8:$Q$1000*'ANALYSE - ERP =&gt; SOUS-SEGMENT'!$GY$8:$GY$1000))</f>
        <v>2227.4131456000005</v>
      </c>
      <c r="GZ16" s="563">
        <f t="shared" si="46"/>
        <v>3793.0108379999997</v>
      </c>
      <c r="HA16" s="563">
        <f>IF($C16="","",SUMPRODUCT(('ANALYSE - ERP =&gt; SOUS-SEGMENT'!$C$8:$C$1000=$C16)*'ANALYSE - ERP =&gt; SOUS-SEGMENT'!$Q$8:$Q$1000*'ANALYSE - ERP =&gt; SOUS-SEGMENT'!$HA$8:$HA$1000))</f>
        <v>3152.8487559999999</v>
      </c>
      <c r="HB16" s="563">
        <f>IF($C16="","",SUMPRODUCT(('ANALYSE - ERP =&gt; SOUS-SEGMENT'!$C$8:$C$1000=$C16)*'ANALYSE - ERP =&gt; SOUS-SEGMENT'!$Q$8:$Q$1000*'ANALYSE - ERP =&gt; SOUS-SEGMENT'!$HB$8:$HB$1000))</f>
        <v>640.16208199999994</v>
      </c>
      <c r="HC16" s="563">
        <f t="shared" si="47"/>
        <v>551.21329639999999</v>
      </c>
      <c r="HD16" s="563">
        <f>IF($C16="","",SUMPRODUCT(('ANALYSE - ERP =&gt; SOUS-SEGMENT'!$C$8:$C$1000=$C16)*'ANALYSE - ERP =&gt; SOUS-SEGMENT'!$Q$8:$Q$1000*'ANALYSE - ERP =&gt; SOUS-SEGMENT'!$HD$8:$HD$1000))</f>
        <v>467.03572000000003</v>
      </c>
      <c r="HE16" s="563">
        <f>IF($C16="","",SUMPRODUCT(('ANALYSE - ERP =&gt; SOUS-SEGMENT'!$C$8:$C$1000=$C16)*'ANALYSE - ERP =&gt; SOUS-SEGMENT'!$Q$8:$Q$1000*'ANALYSE - ERP =&gt; SOUS-SEGMENT'!$HE$8:$HE$1000))</f>
        <v>84.177576399999992</v>
      </c>
      <c r="HF16" s="563">
        <f t="shared" si="48"/>
        <v>860.14436046666663</v>
      </c>
      <c r="HG16" s="563">
        <f>IF($C16="","",SUMPRODUCT(('ANALYSE - ERP =&gt; SOUS-SEGMENT'!$C$8:$C$1000=$C16)*'ANALYSE - ERP =&gt; SOUS-SEGMENT'!$Q$8:$Q$1000*'ANALYSE - ERP =&gt; SOUS-SEGMENT'!$HG$8:$HG$1000))</f>
        <v>694.59326866666663</v>
      </c>
      <c r="HH16" s="563">
        <f>IF($C16="","",SUMPRODUCT(('ANALYSE - ERP =&gt; SOUS-SEGMENT'!$C$8:$C$1000=$C16)*'ANALYSE - ERP =&gt; SOUS-SEGMENT'!$Q$8:$Q$1000*'ANALYSE - ERP =&gt; SOUS-SEGMENT'!$HH$8:$HH$1000))</f>
        <v>165.55109179999999</v>
      </c>
      <c r="HI16" s="563">
        <f t="shared" si="49"/>
        <v>646.44148562500004</v>
      </c>
      <c r="HJ16" s="563">
        <f>IF($C16="","",SUMPRODUCT(('ANALYSE - ERP =&gt; SOUS-SEGMENT'!$C$8:$C$1000=$C16)*'ANALYSE - ERP =&gt; SOUS-SEGMENT'!$Q$8:$Q$1000*'ANALYSE - ERP =&gt; SOUS-SEGMENT'!$HJ$8:$HJ$1000))</f>
        <v>545.39789562500005</v>
      </c>
      <c r="HK16" s="563">
        <f>IF($C16="","",SUMPRODUCT(('ANALYSE - ERP =&gt; SOUS-SEGMENT'!$C$8:$C$1000=$C16)*'ANALYSE - ERP =&gt; SOUS-SEGMENT'!$Q$8:$Q$1000*'ANALYSE - ERP =&gt; SOUS-SEGMENT'!$HK$8:$HK$1000))</f>
        <v>101.04358999999998</v>
      </c>
      <c r="HL16" s="563">
        <f t="shared" si="50"/>
        <v>363.44094180000002</v>
      </c>
      <c r="HM16" s="563">
        <f>IF($C16="","",SUMPRODUCT(('ANALYSE - ERP =&gt; SOUS-SEGMENT'!$C$8:$C$1000=$C16)*'ANALYSE - ERP =&gt; SOUS-SEGMENT'!$Q$8:$Q$1000*'ANALYSE - ERP =&gt; SOUS-SEGMENT'!$HM$8:$HM$1000))</f>
        <v>303.51774</v>
      </c>
      <c r="HN16" s="563">
        <f>IF($C16="","",SUMPRODUCT(('ANALYSE - ERP =&gt; SOUS-SEGMENT'!$C$8:$C$1000=$C16)*'ANALYSE - ERP =&gt; SOUS-SEGMENT'!$Q$8:$Q$1000*'ANALYSE - ERP =&gt; SOUS-SEGMENT'!$HN$8:$HN$1000))</f>
        <v>59.923201799999994</v>
      </c>
      <c r="HO16" s="563">
        <f t="shared" si="51"/>
        <v>88918.312226499984</v>
      </c>
      <c r="HP16" s="563">
        <f>IF($C16="","",SUMPRODUCT(('ANALYSE - ERP =&gt; SOUS-SEGMENT'!$C$8:$C$1000=$C16)*'ANALYSE - ERP =&gt; SOUS-SEGMENT'!$Q$8:$Q$1000*'ANALYSE - ERP =&gt; SOUS-SEGMENT'!$HP$8:$HP$1000))</f>
        <v>72907.828712499992</v>
      </c>
      <c r="HQ16" s="563">
        <f>IF($C16="","",SUMPRODUCT(('ANALYSE - ERP =&gt; SOUS-SEGMENT'!$C$8:$C$1000=$C16)*'ANALYSE - ERP =&gt; SOUS-SEGMENT'!$Q$8:$Q$1000*'ANALYSE - ERP =&gt; SOUS-SEGMENT'!$HQ$8:$HQ$1000))</f>
        <v>16010.483513999996</v>
      </c>
      <c r="HR16" s="563">
        <f t="shared" si="52"/>
        <v>22063.569946700001</v>
      </c>
      <c r="HS16" s="563">
        <f>IF($C16="","",SUMPRODUCT(('ANALYSE - ERP =&gt; SOUS-SEGMENT'!$C$8:$C$1000=$C16)*'ANALYSE - ERP =&gt; SOUS-SEGMENT'!$Q$8:$Q$1000*'ANALYSE - ERP =&gt; SOUS-SEGMENT'!$HS$8:$HS$1000))</f>
        <v>17456.098992499999</v>
      </c>
      <c r="HT16" s="563">
        <f>IF($C16="","",SUMPRODUCT(('ANALYSE - ERP =&gt; SOUS-SEGMENT'!$C$8:$C$1000=$C16)*'ANALYSE - ERP =&gt; SOUS-SEGMENT'!$Q$8:$Q$1000*'ANALYSE - ERP =&gt; SOUS-SEGMENT'!$HT$8:$HT$1000))</f>
        <v>4607.4709542000001</v>
      </c>
      <c r="HU16" s="563">
        <f t="shared" si="53"/>
        <v>11547.032263800002</v>
      </c>
      <c r="HV16" s="563">
        <f>IF($C16="","",SUMPRODUCT(('ANALYSE - ERP =&gt; SOUS-SEGMENT'!$C$8:$C$1000=$C16)*'ANALYSE - ERP =&gt; SOUS-SEGMENT'!$Q$8:$Q$1000*'ANALYSE - ERP =&gt; SOUS-SEGMENT'!$HV$8:$HV$1000))</f>
        <v>9202.3390320000017</v>
      </c>
      <c r="HW16" s="563">
        <f>IF($C16="","",SUMPRODUCT(('ANALYSE - ERP =&gt; SOUS-SEGMENT'!$C$8:$C$1000=$C16)*'ANALYSE - ERP =&gt; SOUS-SEGMENT'!$Q$8:$Q$1000*'ANALYSE - ERP =&gt; SOUS-SEGMENT'!$HW$8:$HW$1000))</f>
        <v>2344.6932317999999</v>
      </c>
      <c r="HX16" s="544"/>
      <c r="HY16" s="568">
        <f t="shared" si="54"/>
        <v>642282</v>
      </c>
      <c r="HZ16" s="568">
        <f>IF($C16="","",SUMPRODUCT(('ANALYSE - ERP =&gt; SOUS-SEGMENT'!$C$8:$C$1000=$C16)*'ANALYSE - ERP =&gt; SOUS-SEGMENT'!$Q$8:$Q$1000*'ANALYSE - ERP =&gt; SOUS-SEGMENT'!$HZ$8:$HZ$1000))</f>
        <v>91.369799999999998</v>
      </c>
      <c r="IA16" s="568">
        <f>IF($C16="","",SUMPRODUCT(('ANALYSE - ERP =&gt; SOUS-SEGMENT'!$C$8:$C$1000=$C16)*'ANALYSE - ERP =&gt; SOUS-SEGMENT'!$Q$8:$Q$1000*'ANALYSE - ERP =&gt; SOUS-SEGMENT'!$IA$8:$IA$1000))</f>
        <v>120854.3802</v>
      </c>
      <c r="IB16" s="568">
        <f>IF($C16="","",SUMPRODUCT(('ANALYSE - ERP =&gt; SOUS-SEGMENT'!$C$8:$C$1000=$C16)*'ANALYSE - ERP =&gt; SOUS-SEGMENT'!$Q$8:$Q$1000*'ANALYSE - ERP =&gt; SOUS-SEGMENT'!$IB$8:$IB$1000))</f>
        <v>362512.26699999999</v>
      </c>
      <c r="IC16" s="568">
        <f>IF($C16="","",SUMPRODUCT(('ANALYSE - ERP =&gt; SOUS-SEGMENT'!$C$8:$C$1000=$C16)*'ANALYSE - ERP =&gt; SOUS-SEGMENT'!$Q$8:$Q$1000*'ANALYSE - ERP =&gt; SOUS-SEGMENT'!$IC$8:$IC$1000))</f>
        <v>149622.7942</v>
      </c>
      <c r="ID16" s="568">
        <f>IF($C16="","",SUMPRODUCT(('ANALYSE - ERP =&gt; SOUS-SEGMENT'!$C$8:$C$1000=$C16)*'ANALYSE - ERP =&gt; SOUS-SEGMENT'!$Q$8:$Q$1000*'ANALYSE - ERP =&gt; SOUS-SEGMENT'!$ID$8:$ID$1000))</f>
        <v>9201.1887999999999</v>
      </c>
      <c r="IE16" s="568">
        <f t="shared" si="55"/>
        <v>274963.39875644981</v>
      </c>
      <c r="IF16" s="568">
        <f>IF($C16="","",SUMPRODUCT(('ANALYSE - ERP =&gt; SOUS-SEGMENT'!$C$8:$C$1000=$C16)*'ANALYSE - ERP =&gt; SOUS-SEGMENT'!$Q$8:$Q$1000*'ANALYSE - ERP =&gt; SOUS-SEGMENT'!$IF$8:$IF$1000))</f>
        <v>4.6708539801600004</v>
      </c>
      <c r="IG16" s="568">
        <f>IF($C16="","",SUMPRODUCT(('ANALYSE - ERP =&gt; SOUS-SEGMENT'!$C$8:$C$1000=$C16)*'ANALYSE - ERP =&gt; SOUS-SEGMENT'!$Q$8:$Q$1000*'ANALYSE - ERP =&gt; SOUS-SEGMENT'!$IG$8:$IG$1000))</f>
        <v>25535.791625232185</v>
      </c>
      <c r="IH16" s="568">
        <f>IF($C16="","",SUMPRODUCT(('ANALYSE - ERP =&gt; SOUS-SEGMENT'!$C$8:$C$1000=$C16)*'ANALYSE - ERP =&gt; SOUS-SEGMENT'!$Q$8:$Q$1000*'ANALYSE - ERP =&gt; SOUS-SEGMENT'!$IH$8:$IH$1000))</f>
        <v>142714.4296996273</v>
      </c>
      <c r="II16" s="568">
        <f>IF($C16="","",SUMPRODUCT(('ANALYSE - ERP =&gt; SOUS-SEGMENT'!$C$8:$C$1000=$C16)*'ANALYSE - ERP =&gt; SOUS-SEGMENT'!$Q$8:$Q$1000*'ANALYSE - ERP =&gt; SOUS-SEGMENT'!$II$8:$II$1000))</f>
        <v>96665.087944715429</v>
      </c>
      <c r="IJ16" s="568">
        <f>IF($C16="","",SUMPRODUCT(('ANALYSE - ERP =&gt; SOUS-SEGMENT'!$C$8:$C$1000=$C16)*'ANALYSE - ERP =&gt; SOUS-SEGMENT'!$Q$8:$Q$1000*'ANALYSE - ERP =&gt; SOUS-SEGMENT'!$IJ$8:$IJ$1000))</f>
        <v>10043.418632894769</v>
      </c>
      <c r="IK16" s="868">
        <f>IF($C16="","",IFERROR(SUMPRODUCT(('ANALYSE - ERP =&gt; SOUS-SEGMENT'!$C$8:$C$1000=$C16)*'ANALYSE - ERP =&gt; SOUS-SEGMENT'!$Q$8:$Q$1000*'ANALYSE - ERP =&gt; SOUS-SEGMENT'!$IE$8:$IE$1000*'ANALYSE - ERP =&gt; SOUS-SEGMENT'!$IK$8:$IK$1000)/SUMPRODUCT(('ANALYSE - ERP =&gt; SOUS-SEGMENT'!$C$8:$C$1000=$C16)*'ANALYSE - ERP =&gt; SOUS-SEGMENT'!$Q$8:$Q$1000*'ANALYSE - ERP =&gt; SOUS-SEGMENT'!$IE$8:$IE$1000),""))</f>
        <v>4.3854340012363959</v>
      </c>
      <c r="IL16" s="962" t="s">
        <v>5585</v>
      </c>
      <c r="IM16" s="963" t="s">
        <v>5586</v>
      </c>
      <c r="IN16" s="529"/>
      <c r="IO16" s="742">
        <f>IF($C16="","",IFERROR(SUMPRODUCT(('ANALYSE - ERP =&gt; SOUS-SEGMENT'!$C$8:$C$1000=$C16)*'ANALYSE - ERP =&gt; SOUS-SEGMENT'!$Q$8:$Q$1000*'ANALYSE - ERP =&gt; SOUS-SEGMENT'!$BE$8:$BE$1000*'ANALYSE - ERP =&gt; SOUS-SEGMENT'!$IO$8:$IO$1000)/SUMPRODUCT(('ANALYSE - ERP =&gt; SOUS-SEGMENT'!$C$8:$C$1000=$C16)*'ANALYSE - ERP =&gt; SOUS-SEGMENT'!$Q$8:$Q$1000*'ANALYSE - ERP =&gt; SOUS-SEGMENT'!$BE$8:$BE$1000),""))</f>
        <v>5.9820157216142936E-5</v>
      </c>
      <c r="IP16" s="742">
        <f>IF($C16="","",IFERROR(SUMPRODUCT(('ANALYSE - ERP =&gt; SOUS-SEGMENT'!$C$8:$C$1000=$C16)*'ANALYSE - ERP =&gt; SOUS-SEGMENT'!$Q$8:$Q$1000*'ANALYSE - ERP =&gt; SOUS-SEGMENT'!$BE$8:$BE$1000*'ANALYSE - ERP =&gt; SOUS-SEGMENT'!$IP$8:$IP$1000)/SUMPRODUCT(('ANALYSE - ERP =&gt; SOUS-SEGMENT'!$C$8:$C$1000=$C16)*'ANALYSE - ERP =&gt; SOUS-SEGMENT'!$Q$8:$Q$1000*'ANALYSE - ERP =&gt; SOUS-SEGMENT'!$BE$8:$BE$1000),""))</f>
        <v>0.1692431583669807</v>
      </c>
      <c r="IQ16" s="742">
        <f>IF($C16="","",IFERROR(SUMPRODUCT(('ANALYSE - ERP =&gt; SOUS-SEGMENT'!$C$8:$C$1000=$C16)*'ANALYSE - ERP =&gt; SOUS-SEGMENT'!$Q$8:$Q$1000*'ANALYSE - ERP =&gt; SOUS-SEGMENT'!$BE$8:$BE$1000*'ANALYSE - ERP =&gt; SOUS-SEGMENT'!$IQ$8:$IQ$1000)/SUMPRODUCT(('ANALYSE - ERP =&gt; SOUS-SEGMENT'!$C$8:$C$1000=$C16)*'ANALYSE - ERP =&gt; SOUS-SEGMENT'!$Q$8:$Q$1000*'ANALYSE - ERP =&gt; SOUS-SEGMENT'!$BE$8:$BE$1000),""))</f>
        <v>0.56802464548344944</v>
      </c>
      <c r="IR16" s="742">
        <f>IF($C16="","",IFERROR(SUMPRODUCT(('ANALYSE - ERP =&gt; SOUS-SEGMENT'!$C$8:$C$1000=$C16)*'ANALYSE - ERP =&gt; SOUS-SEGMENT'!$Q$8:$Q$1000*'ANALYSE - ERP =&gt; SOUS-SEGMENT'!$BE$8:$BE$1000*'ANALYSE - ERP =&gt; SOUS-SEGMENT'!$IR$8:$IR$1000)/SUMPRODUCT(('ANALYSE - ERP =&gt; SOUS-SEGMENT'!$C$8:$C$1000=$C16)*'ANALYSE - ERP =&gt; SOUS-SEGMENT'!$Q$8:$Q$1000*'ANALYSE - ERP =&gt; SOUS-SEGMENT'!$BE$8:$BE$1000),""))</f>
        <v>0.24742494977275833</v>
      </c>
      <c r="IS16" s="742">
        <f>IF($C16="","",IFERROR(SUMPRODUCT(('ANALYSE - ERP =&gt; SOUS-SEGMENT'!$C$8:$C$1000=$C16)*'ANALYSE - ERP =&gt; SOUS-SEGMENT'!$Q$8:$Q$1000*'ANALYSE - ERP =&gt; SOUS-SEGMENT'!$BE$8:$BE$1000*'ANALYSE - ERP =&gt; SOUS-SEGMENT'!$IS$8:$IS$1000)/SUMPRODUCT(('ANALYSE - ERP =&gt; SOUS-SEGMENT'!$C$8:$C$1000=$C16)*'ANALYSE - ERP =&gt; SOUS-SEGMENT'!$Q$8:$Q$1000*'ANALYSE - ERP =&gt; SOUS-SEGMENT'!$BE$8:$BE$1000),""))</f>
        <v>1.5247426219595451E-2</v>
      </c>
      <c r="IT16" s="742">
        <f>IF($C16="","",IFERROR(SUMPRODUCT(('ANALYSE - ERP =&gt; SOUS-SEGMENT'!$C$8:$C$1000=$C16)*'ANALYSE - ERP =&gt; SOUS-SEGMENT'!$Q$8:$Q$1000*'ANALYSE - ERP =&gt; SOUS-SEGMENT'!$FB$8:$FB$1000*'ANALYSE - ERP =&gt; SOUS-SEGMENT'!$IT$8:$IT$1000)/SUMPRODUCT(('ANALYSE - ERP =&gt; SOUS-SEGMENT'!$C$8:$C$1000=$C16)*'ANALYSE - ERP =&gt; SOUS-SEGMENT'!$Q$8:$Q$1000*'ANALYSE - ERP =&gt; SOUS-SEGMENT'!$FB$8:$FB$1000),""))</f>
        <v>1.4924926271212492E-5</v>
      </c>
      <c r="IU16" s="742">
        <f>IF($C16="","",IFERROR(SUMPRODUCT(('ANALYSE - ERP =&gt; SOUS-SEGMENT'!$C$8:$C$1000=$C16)*'ANALYSE - ERP =&gt; SOUS-SEGMENT'!$Q$8:$Q$1000*'ANALYSE - ERP =&gt; SOUS-SEGMENT'!$FB$8:$FB$1000*'ANALYSE - ERP =&gt; SOUS-SEGMENT'!$IU$8:$IU$1000)/SUMPRODUCT(('ANALYSE - ERP =&gt; SOUS-SEGMENT'!$C$8:$C$1000=$C16)*'ANALYSE - ERP =&gt; SOUS-SEGMENT'!$Q$8:$Q$1000*'ANALYSE - ERP =&gt; SOUS-SEGMENT'!$FB$8:$FB$1000),""))</f>
        <v>8.1367701759774855E-2</v>
      </c>
      <c r="IV16" s="742">
        <f>IF($C16="","",IFERROR(SUMPRODUCT(('ANALYSE - ERP =&gt; SOUS-SEGMENT'!$C$8:$C$1000=$C16)*'ANALYSE - ERP =&gt; SOUS-SEGMENT'!$Q$8:$Q$1000*'ANALYSE - ERP =&gt; SOUS-SEGMENT'!$FB$8:$FB$1000*'ANALYSE - ERP =&gt; SOUS-SEGMENT'!$IV$8:$IV$1000)/SUMPRODUCT(('ANALYSE - ERP =&gt; SOUS-SEGMENT'!$C$8:$C$1000=$C16)*'ANALYSE - ERP =&gt; SOUS-SEGMENT'!$Q$8:$Q$1000*'ANALYSE - ERP =&gt; SOUS-SEGMENT'!$FB$8:$FB$1000),""))</f>
        <v>0.5121878995727408</v>
      </c>
      <c r="IW16" s="742">
        <f>IF($C16="","",IFERROR(SUMPRODUCT(('ANALYSE - ERP =&gt; SOUS-SEGMENT'!$C$8:$C$1000=$C16)*'ANALYSE - ERP =&gt; SOUS-SEGMENT'!$Q$8:$Q$1000*'ANALYSE - ERP =&gt; SOUS-SEGMENT'!$FB$8:$FB$1000*'ANALYSE - ERP =&gt; SOUS-SEGMENT'!$IW$8:$IW$1000)/SUMPRODUCT(('ANALYSE - ERP =&gt; SOUS-SEGMENT'!$C$8:$C$1000=$C16)*'ANALYSE - ERP =&gt; SOUS-SEGMENT'!$Q$8:$Q$1000*'ANALYSE - ERP =&gt; SOUS-SEGMENT'!$FB$8:$FB$1000),""))</f>
        <v>0.3682798055345799</v>
      </c>
      <c r="IX16" s="742">
        <f>IF($C16="","",IFERROR(SUMPRODUCT(('ANALYSE - ERP =&gt; SOUS-SEGMENT'!$C$8:$C$1000=$C16)*'ANALYSE - ERP =&gt; SOUS-SEGMENT'!$Q$8:$Q$1000*'ANALYSE - ERP =&gt; SOUS-SEGMENT'!$FB$8:$FB$1000*'ANALYSE - ERP =&gt; SOUS-SEGMENT'!$IX$8:$IX$1000)/SUMPRODUCT(('ANALYSE - ERP =&gt; SOUS-SEGMENT'!$C$8:$C$1000=$C16)*'ANALYSE - ERP =&gt; SOUS-SEGMENT'!$Q$8:$Q$1000*'ANALYSE - ERP =&gt; SOUS-SEGMENT'!$FB$8:$FB$1000),""))</f>
        <v>3.8149668206633285E-2</v>
      </c>
      <c r="IY16" s="742">
        <f>IF($C16="","",IFERROR(SUMPRODUCT(('ANALYSE - ERP =&gt; SOUS-SEGMENT'!$C$8:$C$1000=$C16)*'ANALYSE - ERP =&gt; SOUS-SEGMENT'!$Q$8:$Q$1000*'ANALYSE - ERP =&gt; SOUS-SEGMENT'!$BF$8:$BF$1000*'ANALYSE - ERP =&gt; SOUS-SEGMENT'!$IY$8:$IY$1000)/SUMPRODUCT(('ANALYSE - ERP =&gt; SOUS-SEGMENT'!$C$8:$C$1000=$C16)*'ANALYSE - ERP =&gt; SOUS-SEGMENT'!$Q$8:$Q$1000*'ANALYSE - ERP =&gt; SOUS-SEGMENT'!$BF$8:$BF$1000),""))</f>
        <v>6.7577453615971087E-5</v>
      </c>
      <c r="IZ16" s="742">
        <f>IF($C16="","",IFERROR(SUMPRODUCT(('ANALYSE - ERP =&gt; SOUS-SEGMENT'!$C$8:$C$1000=$C16)*'ANALYSE - ERP =&gt; SOUS-SEGMENT'!$Q$8:$Q$1000*'ANALYSE - ERP =&gt; SOUS-SEGMENT'!$BF$8:$BF$1000*'ANALYSE - ERP =&gt; SOUS-SEGMENT'!$IZ$8:$IZ$1000)/SUMPRODUCT(('ANALYSE - ERP =&gt; SOUS-SEGMENT'!$C$8:$C$1000=$C16)*'ANALYSE - ERP =&gt; SOUS-SEGMENT'!$Q$8:$Q$1000*'ANALYSE - ERP =&gt; SOUS-SEGMENT'!$BF$8:$BF$1000),""))</f>
        <v>0.18310242974453897</v>
      </c>
      <c r="JA16" s="742">
        <f>IF($C16="","",IFERROR(SUMPRODUCT(('ANALYSE - ERP =&gt; SOUS-SEGMENT'!$C$8:$C$1000=$C16)*'ANALYSE - ERP =&gt; SOUS-SEGMENT'!$Q$8:$Q$1000*'ANALYSE - ERP =&gt; SOUS-SEGMENT'!$BF$8:$BF$1000*'ANALYSE - ERP =&gt; SOUS-SEGMENT'!$JA$8:$JA$1000)/SUMPRODUCT(('ANALYSE - ERP =&gt; SOUS-SEGMENT'!$C$8:$C$1000=$C16)*'ANALYSE - ERP =&gt; SOUS-SEGMENT'!$Q$8:$Q$1000*'ANALYSE - ERP =&gt; SOUS-SEGMENT'!$BF$8:$BF$1000),""))</f>
        <v>0.55724090021006878</v>
      </c>
      <c r="JB16" s="742">
        <f>IF($C16="","",IFERROR(SUMPRODUCT(('ANALYSE - ERP =&gt; SOUS-SEGMENT'!$C$8:$C$1000=$C16)*'ANALYSE - ERP =&gt; SOUS-SEGMENT'!$Q$8:$Q$1000*'ANALYSE - ERP =&gt; SOUS-SEGMENT'!$BF$8:$BF$1000*'ANALYSE - ERP =&gt; SOUS-SEGMENT'!$JB$8:$JB$1000)/SUMPRODUCT(('ANALYSE - ERP =&gt; SOUS-SEGMENT'!$C$8:$C$1000=$C16)*'ANALYSE - ERP =&gt; SOUS-SEGMENT'!$Q$8:$Q$1000*'ANALYSE - ERP =&gt; SOUS-SEGMENT'!$BF$8:$BF$1000),""))</f>
        <v>0.24269713249012087</v>
      </c>
      <c r="JC16" s="742">
        <f>IF($C16="","",IFERROR(SUMPRODUCT(('ANALYSE - ERP =&gt; SOUS-SEGMENT'!$C$8:$C$1000=$C16)*'ANALYSE - ERP =&gt; SOUS-SEGMENT'!$Q$8:$Q$1000*'ANALYSE - ERP =&gt; SOUS-SEGMENT'!$BF$8:$BF$1000*'ANALYSE - ERP =&gt; SOUS-SEGMENT'!$JC$8:$JC$1000)/SUMPRODUCT(('ANALYSE - ERP =&gt; SOUS-SEGMENT'!$C$8:$C$1000=$C16)*'ANALYSE - ERP =&gt; SOUS-SEGMENT'!$Q$8:$Q$1000*'ANALYSE - ERP =&gt; SOUS-SEGMENT'!$BF$8:$BF$1000),""))</f>
        <v>1.6891960101655577E-2</v>
      </c>
      <c r="JD16" s="742">
        <f>IF($C16="","",IFERROR(SUMPRODUCT(('ANALYSE - ERP =&gt; SOUS-SEGMENT'!$C$8:$C$1000=$C16)*'ANALYSE - ERP =&gt; SOUS-SEGMENT'!$Q$8:$Q$1000*'ANALYSE - ERP =&gt; SOUS-SEGMENT'!$FE$8:$FE$1000*'ANALYSE - ERP =&gt; SOUS-SEGMENT'!$JD$8:$JD$1000)/SUMPRODUCT(('ANALYSE - ERP =&gt; SOUS-SEGMENT'!$C$8:$C$1000=$C16)*'ANALYSE - ERP =&gt; SOUS-SEGMENT'!$Q$8:$Q$1000*'ANALYSE - ERP =&gt; SOUS-SEGMENT'!$FE$8:$FE$1000),""))</f>
        <v>1.8166497243338876E-5</v>
      </c>
      <c r="JE16" s="742">
        <f>IF($C16="","",IFERROR(SUMPRODUCT(('ANALYSE - ERP =&gt; SOUS-SEGMENT'!$C$8:$C$1000=$C16)*'ANALYSE - ERP =&gt; SOUS-SEGMENT'!$Q$8:$Q$1000*'ANALYSE - ERP =&gt; SOUS-SEGMENT'!$FE$8:$FE$1000*'ANALYSE - ERP =&gt; SOUS-SEGMENT'!$JE$8:$JE$1000)/SUMPRODUCT(('ANALYSE - ERP =&gt; SOUS-SEGMENT'!$C$8:$C$1000=$C16)*'ANALYSE - ERP =&gt; SOUS-SEGMENT'!$Q$8:$Q$1000*'ANALYSE - ERP =&gt; SOUS-SEGMENT'!$FE$8:$FE$1000),""))</f>
        <v>9.2217574149337081E-2</v>
      </c>
      <c r="JF16" s="742">
        <f>IF($C16="","",IFERROR(SUMPRODUCT(('ANALYSE - ERP =&gt; SOUS-SEGMENT'!$C$8:$C$1000=$C16)*'ANALYSE - ERP =&gt; SOUS-SEGMENT'!$Q$8:$Q$1000*'ANALYSE - ERP =&gt; SOUS-SEGMENT'!$FE$8:$FE$1000*'ANALYSE - ERP =&gt; SOUS-SEGMENT'!$JF$8:$JF$1000)/SUMPRODUCT(('ANALYSE - ERP =&gt; SOUS-SEGMENT'!$C$8:$C$1000=$C16)*'ANALYSE - ERP =&gt; SOUS-SEGMENT'!$Q$8:$Q$1000*'ANALYSE - ERP =&gt; SOUS-SEGMENT'!$FE$8:$FE$1000),""))</f>
        <v>0.5094764955795682</v>
      </c>
      <c r="JG16" s="742">
        <f>IF($C16="","",IFERROR(SUMPRODUCT(('ANALYSE - ERP =&gt; SOUS-SEGMENT'!$C$8:$C$1000=$C16)*'ANALYSE - ERP =&gt; SOUS-SEGMENT'!$Q$8:$Q$1000*'ANALYSE - ERP =&gt; SOUS-SEGMENT'!$FE$8:$FE$1000*'ANALYSE - ERP =&gt; SOUS-SEGMENT'!$JG$8:$JG$1000)/SUMPRODUCT(('ANALYSE - ERP =&gt; SOUS-SEGMENT'!$C$8:$C$1000=$C16)*'ANALYSE - ERP =&gt; SOUS-SEGMENT'!$Q$8:$Q$1000*'ANALYSE - ERP =&gt; SOUS-SEGMENT'!$FE$8:$FE$1000),""))</f>
        <v>0.3562397790422917</v>
      </c>
      <c r="JH16" s="742">
        <f>IF($C16="","",IFERROR(SUMPRODUCT(('ANALYSE - ERP =&gt; SOUS-SEGMENT'!$C$8:$C$1000=$C16)*'ANALYSE - ERP =&gt; SOUS-SEGMENT'!$Q$8:$Q$1000*'ANALYSE - ERP =&gt; SOUS-SEGMENT'!$FE$8:$FE$1000*'ANALYSE - ERP =&gt; SOUS-SEGMENT'!$JH$8:$JH$1000)/SUMPRODUCT(('ANALYSE - ERP =&gt; SOUS-SEGMENT'!$C$8:$C$1000=$C16)*'ANALYSE - ERP =&gt; SOUS-SEGMENT'!$Q$8:$Q$1000*'ANALYSE - ERP =&gt; SOUS-SEGMENT'!$FE$8:$FE$1000),""))</f>
        <v>4.2047984731559795E-2</v>
      </c>
      <c r="JI16" s="742">
        <f>IF($C16="","",IFERROR(SUMPRODUCT(('ANALYSE - ERP =&gt; SOUS-SEGMENT'!$C$8:$C$1000=$C16)*'ANALYSE - ERP =&gt; SOUS-SEGMENT'!$Q$8:$Q$1000*'ANALYSE - ERP =&gt; SOUS-SEGMENT'!$BG$8:$BG$1000*'ANALYSE - ERP =&gt; SOUS-SEGMENT'!$JI$8:$JI$1000)/SUMPRODUCT(('ANALYSE - ERP =&gt; SOUS-SEGMENT'!$C$8:$C$1000=$C16)*'ANALYSE - ERP =&gt; SOUS-SEGMENT'!$Q$8:$Q$1000*'ANALYSE - ERP =&gt; SOUS-SEGMENT'!$BG$8:$BG$1000),""))</f>
        <v>1.114099564120211E-2</v>
      </c>
      <c r="JJ16" s="742">
        <f>IF($C16="","",IFERROR(SUMPRODUCT(('ANALYSE - ERP =&gt; SOUS-SEGMENT'!$C$8:$C$1000=$C16)*'ANALYSE - ERP =&gt; SOUS-SEGMENT'!$Q$8:$Q$1000*'ANALYSE - ERP =&gt; SOUS-SEGMENT'!$BG$8:$BG$1000*'ANALYSE - ERP =&gt; SOUS-SEGMENT'!$JJ$8:$JJ$1000)/SUMPRODUCT(('ANALYSE - ERP =&gt; SOUS-SEGMENT'!$C$8:$C$1000=$C16)*'ANALYSE - ERP =&gt; SOUS-SEGMENT'!$Q$8:$Q$1000*'ANALYSE - ERP =&gt; SOUS-SEGMENT'!$BG$8:$BG$1000),""))</f>
        <v>0.32224230328056885</v>
      </c>
      <c r="JK16" s="742">
        <f>IF($C16="","",IFERROR(SUMPRODUCT(('ANALYSE - ERP =&gt; SOUS-SEGMENT'!$C$8:$C$1000=$C16)*'ANALYSE - ERP =&gt; SOUS-SEGMENT'!$Q$8:$Q$1000*'ANALYSE - ERP =&gt; SOUS-SEGMENT'!$BG$8:$BG$1000*'ANALYSE - ERP =&gt; SOUS-SEGMENT'!$JK$8:$JK$1000)/SUMPRODUCT(('ANALYSE - ERP =&gt; SOUS-SEGMENT'!$C$8:$C$1000=$C16)*'ANALYSE - ERP =&gt; SOUS-SEGMENT'!$Q$8:$Q$1000*'ANALYSE - ERP =&gt; SOUS-SEGMENT'!$BG$8:$BG$1000),""))</f>
        <v>0.53342902041752693</v>
      </c>
      <c r="JL16" s="742">
        <f>IF($C16="","",IFERROR(SUMPRODUCT(('ANALYSE - ERP =&gt; SOUS-SEGMENT'!$C$8:$C$1000=$C16)*'ANALYSE - ERP =&gt; SOUS-SEGMENT'!$Q$8:$Q$1000*'ANALYSE - ERP =&gt; SOUS-SEGMENT'!$BG$8:$BG$1000*'ANALYSE - ERP =&gt; SOUS-SEGMENT'!$JL$8:$JL$1000)/SUMPRODUCT(('ANALYSE - ERP =&gt; SOUS-SEGMENT'!$C$8:$C$1000=$C16)*'ANALYSE - ERP =&gt; SOUS-SEGMENT'!$Q$8:$Q$1000*'ANALYSE - ERP =&gt; SOUS-SEGMENT'!$BG$8:$BG$1000),""))</f>
        <v>0.12942356044964443</v>
      </c>
      <c r="JM16" s="742">
        <f>IF($C16="","",IFERROR(SUMPRODUCT(('ANALYSE - ERP =&gt; SOUS-SEGMENT'!$C$8:$C$1000=$C16)*'ANALYSE - ERP =&gt; SOUS-SEGMENT'!$Q$8:$Q$1000*'ANALYSE - ERP =&gt; SOUS-SEGMENT'!$BG$8:$BG$1000*'ANALYSE - ERP =&gt; SOUS-SEGMENT'!$JM$8:$JM$1000)/SUMPRODUCT(('ANALYSE - ERP =&gt; SOUS-SEGMENT'!$C$8:$C$1000=$C16)*'ANALYSE - ERP =&gt; SOUS-SEGMENT'!$Q$8:$Q$1000*'ANALYSE - ERP =&gt; SOUS-SEGMENT'!$BG$8:$BG$1000),""))</f>
        <v>3.764120211057583E-3</v>
      </c>
      <c r="JN16" s="742">
        <f>IF($C16="","",IFERROR(SUMPRODUCT(('ANALYSE - ERP =&gt; SOUS-SEGMENT'!$C$8:$C$1000=$C16)*'ANALYSE - ERP =&gt; SOUS-SEGMENT'!$Q$8:$Q$1000*'ANALYSE - ERP =&gt; SOUS-SEGMENT'!$FH$8:$FH$1000*'ANALYSE - ERP =&gt; SOUS-SEGMENT'!$JN$8:$JN$1000)/SUMPRODUCT(('ANALYSE - ERP =&gt; SOUS-SEGMENT'!$C$8:$C$1000=$C16)*'ANALYSE - ERP =&gt; SOUS-SEGMENT'!$Q$8:$Q$1000*'ANALYSE - ERP =&gt; SOUS-SEGMENT'!$FH$8:$FH$1000),""))</f>
        <v>2.2053625410886529E-4</v>
      </c>
      <c r="JO16" s="742">
        <f>IF($C16="","",IFERROR(SUMPRODUCT(('ANALYSE - ERP =&gt; SOUS-SEGMENT'!$C$8:$C$1000=$C16)*'ANALYSE - ERP =&gt; SOUS-SEGMENT'!$Q$8:$Q$1000*'ANALYSE - ERP =&gt; SOUS-SEGMENT'!$FH$8:$FH$1000*'ANALYSE - ERP =&gt; SOUS-SEGMENT'!$JO$8:$JO$1000)/SUMPRODUCT(('ANALYSE - ERP =&gt; SOUS-SEGMENT'!$C$8:$C$1000=$C16)*'ANALYSE - ERP =&gt; SOUS-SEGMENT'!$Q$8:$Q$1000*'ANALYSE - ERP =&gt; SOUS-SEGMENT'!$FH$8:$FH$1000),""))</f>
        <v>0.1901655341591936</v>
      </c>
      <c r="JP16" s="742">
        <f>IF($C16="","",IFERROR(SUMPRODUCT(('ANALYSE - ERP =&gt; SOUS-SEGMENT'!$C$8:$C$1000=$C16)*'ANALYSE - ERP =&gt; SOUS-SEGMENT'!$Q$8:$Q$1000*'ANALYSE - ERP =&gt; SOUS-SEGMENT'!$FH$8:$FH$1000*'ANALYSE - ERP =&gt; SOUS-SEGMENT'!$JP$8:$JP$1000)/SUMPRODUCT(('ANALYSE - ERP =&gt; SOUS-SEGMENT'!$C$8:$C$1000=$C16)*'ANALYSE - ERP =&gt; SOUS-SEGMENT'!$Q$8:$Q$1000*'ANALYSE - ERP =&gt; SOUS-SEGMENT'!$FH$8:$FH$1000),""))</f>
        <v>0.57346176160521123</v>
      </c>
      <c r="JQ16" s="742">
        <f>IF($C16="","",IFERROR(SUMPRODUCT(('ANALYSE - ERP =&gt; SOUS-SEGMENT'!$C$8:$C$1000=$C16)*'ANALYSE - ERP =&gt; SOUS-SEGMENT'!$Q$8:$Q$1000*'ANALYSE - ERP =&gt; SOUS-SEGMENT'!$FH$8:$FH$1000*'ANALYSE - ERP =&gt; SOUS-SEGMENT'!$JQ$8:$JQ$1000)/SUMPRODUCT(('ANALYSE - ERP =&gt; SOUS-SEGMENT'!$C$8:$C$1000=$C16)*'ANALYSE - ERP =&gt; SOUS-SEGMENT'!$Q$8:$Q$1000*'ANALYSE - ERP =&gt; SOUS-SEGMENT'!$FH$8:$FH$1000),""))</f>
        <v>0.22437481292128644</v>
      </c>
      <c r="JR16" s="742">
        <f>IF($C16="","",IFERROR(SUMPRODUCT(('ANALYSE - ERP =&gt; SOUS-SEGMENT'!$C$8:$C$1000=$C16)*'ANALYSE - ERP =&gt; SOUS-SEGMENT'!$Q$8:$Q$1000*'ANALYSE - ERP =&gt; SOUS-SEGMENT'!$FH$8:$FH$1000*'ANALYSE - ERP =&gt; SOUS-SEGMENT'!$JR$8:$JR$1000)/SUMPRODUCT(('ANALYSE - ERP =&gt; SOUS-SEGMENT'!$C$8:$C$1000=$C16)*'ANALYSE - ERP =&gt; SOUS-SEGMENT'!$Q$8:$Q$1000*'ANALYSE - ERP =&gt; SOUS-SEGMENT'!$FH$8:$FH$1000),""))</f>
        <v>1.17773550601999E-2</v>
      </c>
      <c r="JS16" s="742">
        <f>IF($C16="","",IFERROR(SUMPRODUCT(('ANALYSE - ERP =&gt; SOUS-SEGMENT'!$C$8:$C$1000=$C16)*'ANALYSE - ERP =&gt; SOUS-SEGMENT'!$Q$8:$Q$1000*'ANALYSE - ERP =&gt; SOUS-SEGMENT'!$BH$8:$BH$1000*'ANALYSE - ERP =&gt; SOUS-SEGMENT'!$JS$8:$JS$1000)/SUMPRODUCT(('ANALYSE - ERP =&gt; SOUS-SEGMENT'!$C$8:$C$1000=$C16)*'ANALYSE - ERP =&gt; SOUS-SEGMENT'!$Q$8:$Q$1000*'ANALYSE - ERP =&gt; SOUS-SEGMENT'!$BH$8:$BH$1000),""))</f>
        <v>7.4444471606326535E-5</v>
      </c>
      <c r="JT16" s="742">
        <f>IF($C16="","",IFERROR(SUMPRODUCT(('ANALYSE - ERP =&gt; SOUS-SEGMENT'!$C$8:$C$1000=$C16)*'ANALYSE - ERP =&gt; SOUS-SEGMENT'!$Q$8:$Q$1000*'ANALYSE - ERP =&gt; SOUS-SEGMENT'!$BH$8:$BH$1000*'ANALYSE - ERP =&gt; SOUS-SEGMENT'!$JT$8:$JT$1000)/SUMPRODUCT(('ANALYSE - ERP =&gt; SOUS-SEGMENT'!$C$8:$C$1000=$C16)*'ANALYSE - ERP =&gt; SOUS-SEGMENT'!$Q$8:$Q$1000*'ANALYSE - ERP =&gt; SOUS-SEGMENT'!$BH$8:$BH$1000),""))</f>
        <v>0.20835112816877305</v>
      </c>
      <c r="JU16" s="742">
        <f>IF($C16="","",IFERROR(SUMPRODUCT(('ANALYSE - ERP =&gt; SOUS-SEGMENT'!$C$8:$C$1000=$C16)*'ANALYSE - ERP =&gt; SOUS-SEGMENT'!$Q$8:$Q$1000*'ANALYSE - ERP =&gt; SOUS-SEGMENT'!$BH$8:$BH$1000*'ANALYSE - ERP =&gt; SOUS-SEGMENT'!$JU$8:$JU$1000)/SUMPRODUCT(('ANALYSE - ERP =&gt; SOUS-SEGMENT'!$C$8:$C$1000=$C16)*'ANALYSE - ERP =&gt; SOUS-SEGMENT'!$Q$8:$Q$1000*'ANALYSE - ERP =&gt; SOUS-SEGMENT'!$BH$8:$BH$1000),""))</f>
        <v>0.56516950155230161</v>
      </c>
      <c r="JV16" s="742">
        <f>IF($C16="","",IFERROR(SUMPRODUCT(('ANALYSE - ERP =&gt; SOUS-SEGMENT'!$C$8:$C$1000=$C16)*'ANALYSE - ERP =&gt; SOUS-SEGMENT'!$Q$8:$Q$1000*'ANALYSE - ERP =&gt; SOUS-SEGMENT'!$BH$8:$BH$1000*'ANALYSE - ERP =&gt; SOUS-SEGMENT'!$JV$8:$JV$1000)/SUMPRODUCT(('ANALYSE - ERP =&gt; SOUS-SEGMENT'!$C$8:$C$1000=$C16)*'ANALYSE - ERP =&gt; SOUS-SEGMENT'!$Q$8:$Q$1000*'ANALYSE - ERP =&gt; SOUS-SEGMENT'!$BH$8:$BH$1000),""))</f>
        <v>0.21427758329870195</v>
      </c>
      <c r="JW16" s="742">
        <f>IF($C16="","",IFERROR(SUMPRODUCT(('ANALYSE - ERP =&gt; SOUS-SEGMENT'!$C$8:$C$1000=$C16)*'ANALYSE - ERP =&gt; SOUS-SEGMENT'!$Q$8:$Q$1000*'ANALYSE - ERP =&gt; SOUS-SEGMENT'!$BH$8:$BH$1000*'ANALYSE - ERP =&gt; SOUS-SEGMENT'!$JW$8:$JW$1000)/SUMPRODUCT(('ANALYSE - ERP =&gt; SOUS-SEGMENT'!$C$8:$C$1000=$C16)*'ANALYSE - ERP =&gt; SOUS-SEGMENT'!$Q$8:$Q$1000*'ANALYSE - ERP =&gt; SOUS-SEGMENT'!$BH$8:$BH$1000),""))</f>
        <v>1.2127342508617108E-2</v>
      </c>
      <c r="JX16" s="742">
        <f>IF($C16="","",IFERROR(SUMPRODUCT(('ANALYSE - ERP =&gt; SOUS-SEGMENT'!$C$8:$C$1000=$C16)*'ANALYSE - ERP =&gt; SOUS-SEGMENT'!$Q$8:$Q$1000*'ANALYSE - ERP =&gt; SOUS-SEGMENT'!$FK$8:$FK$1000*'ANALYSE - ERP =&gt; SOUS-SEGMENT'!$JX$8:$JX$1000)/SUMPRODUCT(('ANALYSE - ERP =&gt; SOUS-SEGMENT'!$C$8:$C$1000=$C16)*'ANALYSE - ERP =&gt; SOUS-SEGMENT'!$Q$8:$Q$1000*'ANALYSE - ERP =&gt; SOUS-SEGMENT'!$FK$8:$FK$1000),""))</f>
        <v>1.4525687739405316E-5</v>
      </c>
      <c r="JY16" s="742">
        <f>IF($C16="","",IFERROR(SUMPRODUCT(('ANALYSE - ERP =&gt; SOUS-SEGMENT'!$C$8:$C$1000=$C16)*'ANALYSE - ERP =&gt; SOUS-SEGMENT'!$Q$8:$Q$1000*'ANALYSE - ERP =&gt; SOUS-SEGMENT'!$FK$8:$FK$1000*'ANALYSE - ERP =&gt; SOUS-SEGMENT'!$JY$8:$JY$1000)/SUMPRODUCT(('ANALYSE - ERP =&gt; SOUS-SEGMENT'!$C$8:$C$1000=$C16)*'ANALYSE - ERP =&gt; SOUS-SEGMENT'!$Q$8:$Q$1000*'ANALYSE - ERP =&gt; SOUS-SEGMENT'!$FK$8:$FK$1000),""))</f>
        <v>0.10443335374244545</v>
      </c>
      <c r="JZ16" s="742">
        <f>IF($C16="","",IFERROR(SUMPRODUCT(('ANALYSE - ERP =&gt; SOUS-SEGMENT'!$C$8:$C$1000=$C16)*'ANALYSE - ERP =&gt; SOUS-SEGMENT'!$Q$8:$Q$1000*'ANALYSE - ERP =&gt; SOUS-SEGMENT'!$FK$8:$FK$1000*'ANALYSE - ERP =&gt; SOUS-SEGMENT'!$JZ$8:$JZ$1000)/SUMPRODUCT(('ANALYSE - ERP =&gt; SOUS-SEGMENT'!$C$8:$C$1000=$C16)*'ANALYSE - ERP =&gt; SOUS-SEGMENT'!$Q$8:$Q$1000*'ANALYSE - ERP =&gt; SOUS-SEGMENT'!$FK$8:$FK$1000),""))</f>
        <v>0.53147237997689956</v>
      </c>
      <c r="KA16" s="742">
        <f>IF($C16="","",IFERROR(SUMPRODUCT(('ANALYSE - ERP =&gt; SOUS-SEGMENT'!$C$8:$C$1000=$C16)*'ANALYSE - ERP =&gt; SOUS-SEGMENT'!$Q$8:$Q$1000*'ANALYSE - ERP =&gt; SOUS-SEGMENT'!$FK$8:$FK$1000*'ANALYSE - ERP =&gt; SOUS-SEGMENT'!$KA$8:$KA$1000)/SUMPRODUCT(('ANALYSE - ERP =&gt; SOUS-SEGMENT'!$C$8:$C$1000=$C16)*'ANALYSE - ERP =&gt; SOUS-SEGMENT'!$Q$8:$Q$1000*'ANALYSE - ERP =&gt; SOUS-SEGMENT'!$FK$8:$FK$1000),""))</f>
        <v>0.33221644543525297</v>
      </c>
      <c r="KB16" s="742">
        <f>IF($C16="","",IFERROR(SUMPRODUCT(('ANALYSE - ERP =&gt; SOUS-SEGMENT'!$C$8:$C$1000=$C16)*'ANALYSE - ERP =&gt; SOUS-SEGMENT'!$Q$8:$Q$1000*'ANALYSE - ERP =&gt; SOUS-SEGMENT'!$FK$8:$FK$1000*'ANALYSE - ERP =&gt; SOUS-SEGMENT'!$KB$8:$KB$1000)/SUMPRODUCT(('ANALYSE - ERP =&gt; SOUS-SEGMENT'!$C$8:$C$1000=$C16)*'ANALYSE - ERP =&gt; SOUS-SEGMENT'!$Q$8:$Q$1000*'ANALYSE - ERP =&gt; SOUS-SEGMENT'!$FK$8:$FK$1000),""))</f>
        <v>3.1863295157662647E-2</v>
      </c>
      <c r="KC16" s="657"/>
      <c r="KD16" s="924" t="s">
        <v>5587</v>
      </c>
      <c r="KE16" s="924" t="s">
        <v>5588</v>
      </c>
      <c r="KF16" s="869">
        <f>IF($C16="","",IFERROR(SUMPRODUCT(('ANALYSE - ERP =&gt; SOUS-SEGMENT'!$C$8:$C$1000=$C16)*'ANALYSE - ERP =&gt; SOUS-SEGMENT'!$Q$8:$Q$1000*'ANALYSE - ERP =&gt; SOUS-SEGMENT'!$IE$8:$IE$1000*'ANALYSE - ERP =&gt; SOUS-SEGMENT'!$KF$8:$KF$1000)/SUMPRODUCT(('ANALYSE - ERP =&gt; SOUS-SEGMENT'!$C$8:$C$1000=$C16)*'ANALYSE - ERP =&gt; SOUS-SEGMENT'!$Q$8:$Q$1000*'ANALYSE - ERP =&gt; SOUS-SEGMENT'!$IE$8:$IE$1000),""))</f>
        <v>4.5436988014288433</v>
      </c>
      <c r="KG16" s="924" t="s">
        <v>5589</v>
      </c>
      <c r="KH16" s="924" t="s">
        <v>5590</v>
      </c>
      <c r="KI16" s="924" t="s">
        <v>5591</v>
      </c>
      <c r="KJ16" s="924" t="s">
        <v>5592</v>
      </c>
    </row>
    <row r="17" spans="1:296" ht="152.25" customHeight="1">
      <c r="A17" s="987">
        <f>IF($C17="","",ROWS($A$8:A17))</f>
        <v>10</v>
      </c>
      <c r="B17" s="988" t="s">
        <v>2241</v>
      </c>
      <c r="C17" s="988" t="s">
        <v>1032</v>
      </c>
      <c r="D17" s="988" t="s">
        <v>5593</v>
      </c>
      <c r="E17" s="383" t="s">
        <v>5594</v>
      </c>
      <c r="F17" s="965" t="s">
        <v>5595</v>
      </c>
      <c r="G17" s="965" t="s">
        <v>5596</v>
      </c>
      <c r="H17" s="965" t="s">
        <v>5597</v>
      </c>
      <c r="I17" s="965" t="s">
        <v>5598</v>
      </c>
      <c r="J17" s="965" t="s">
        <v>5599</v>
      </c>
      <c r="K17" s="965" t="s">
        <v>5600</v>
      </c>
      <c r="L17" s="965" t="s">
        <v>5600</v>
      </c>
      <c r="M17" s="965" t="s">
        <v>5601</v>
      </c>
      <c r="N17" s="965" t="s">
        <v>5602</v>
      </c>
      <c r="O17" s="965" t="s">
        <v>5603</v>
      </c>
      <c r="P17" s="965"/>
      <c r="Q17" s="356">
        <f>IF($C17="","",IF(SUMIFS('ANALYSE - ERP =&gt; SOUS-SEGMENT'!$Q$8:$Q$1000,'ANALYSE - ERP =&gt; SOUS-SEGMENT'!$C$8:$C$1000,$C17)&gt;0,1,0))</f>
        <v>1</v>
      </c>
      <c r="R17" s="384">
        <f>IF($C17="","",IFERROR(SUMPRODUCT(('ANALYSE - ERP =&gt; SOUS-SEGMENT'!$C$8:$C$1000=$C17)*'ANALYSE - ERP =&gt; SOUS-SEGMENT'!$Q$8:$Q$1000*'ANALYSE - ERP =&gt; SOUS-SEGMENT'!$AF$8:$AF$1000*'ANALYSE - ERP =&gt; SOUS-SEGMENT'!$R$8:$R$1000)/SUMPRODUCT(('ANALYSE - ERP =&gt; SOUS-SEGMENT'!$C$8:$C$1000=$C17)*'ANALYSE - ERP =&gt; SOUS-SEGMENT'!$Q$8:$Q$1000*'ANALYSE - ERP =&gt; SOUS-SEGMENT'!$AF$8:$AF$1000),""))</f>
        <v>4933.6071332072415</v>
      </c>
      <c r="S17" s="385">
        <f>IF($C17="","",SUMPRODUCT(('ANALYSE - ERP =&gt; SOUS-SEGMENT'!$C$8:$C$1000=$C17)*'ANALYSE - ERP =&gt; SOUS-SEGMENT'!$Q$8:$Q$1000*'ANALYSE - ERP =&gt; SOUS-SEGMENT'!$S$8:$S$1000))</f>
        <v>16848</v>
      </c>
      <c r="T17" s="385">
        <f>IF($C17="","",SUMPRODUCT(('ANALYSE - ERP =&gt; SOUS-SEGMENT'!$C$8:$C$1000=$C17)*'ANALYSE - ERP =&gt; SOUS-SEGMENT'!$Q$8:$Q$1000*'ANALYSE - ERP =&gt; SOUS-SEGMENT'!$T$8:$T$1000))</f>
        <v>17389</v>
      </c>
      <c r="U17" s="385">
        <f>IF($C17="","",SUMPRODUCT(('ANALYSE - ERP =&gt; SOUS-SEGMENT'!$C$8:$C$1000=$C17)*'ANALYSE - ERP =&gt; SOUS-SEGMENT'!$Q$8:$Q$1000*'ANALYSE - ERP =&gt; SOUS-SEGMENT'!$U$8:$U$1000))</f>
        <v>18077</v>
      </c>
      <c r="V17" s="385">
        <f>IF($C17="","",SUMPRODUCT(('ANALYSE - ERP =&gt; SOUS-SEGMENT'!$C$8:$C$1000=$C17)*'ANALYSE - ERP =&gt; SOUS-SEGMENT'!$Q$8:$Q$1000*'ANALYSE - ERP =&gt; SOUS-SEGMENT'!$V$8:$V$1000))</f>
        <v>18169</v>
      </c>
      <c r="W17" s="385">
        <f>IF($C17="","",SUMPRODUCT(('ANALYSE - ERP =&gt; SOUS-SEGMENT'!$C$8:$C$1000=$C17)*'ANALYSE - ERP =&gt; SOUS-SEGMENT'!$Q$8:$Q$1000*'ANALYSE - ERP =&gt; SOUS-SEGMENT'!$W$8:$W$1000))</f>
        <v>18178</v>
      </c>
      <c r="X17" s="385">
        <f>IF($C17="","",SUMPRODUCT(('ANALYSE - ERP =&gt; SOUS-SEGMENT'!$C$8:$C$1000=$C17)*'ANALYSE - ERP =&gt; SOUS-SEGMENT'!$Q$8:$Q$1000*'ANALYSE - ERP =&gt; SOUS-SEGMENT'!$X$8:$X$1000))</f>
        <v>18189</v>
      </c>
      <c r="Y17" s="385">
        <f>IF($C17="","",SUMPRODUCT(('ANALYSE - ERP =&gt; SOUS-SEGMENT'!$C$8:$C$1000=$C17)*'ANALYSE - ERP =&gt; SOUS-SEGMENT'!$Q$8:$Q$1000*'ANALYSE - ERP =&gt; SOUS-SEGMENT'!$Y$8:$Y$1000))</f>
        <v>18203</v>
      </c>
      <c r="Z17" s="385">
        <f>IF($C17="","",SUMPRODUCT(('ANALYSE - ERP =&gt; SOUS-SEGMENT'!$C$8:$C$1000=$C17)*'ANALYSE - ERP =&gt; SOUS-SEGMENT'!$Q$8:$Q$1000*'ANALYSE - ERP =&gt; SOUS-SEGMENT'!$Z$8:$Z$1000))</f>
        <v>18220</v>
      </c>
      <c r="AA17" s="385">
        <f>IF($C17="","",SUMPRODUCT(('ANALYSE - ERP =&gt; SOUS-SEGMENT'!$C$8:$C$1000=$C17)*'ANALYSE - ERP =&gt; SOUS-SEGMENT'!$Q$8:$Q$1000*'ANALYSE - ERP =&gt; SOUS-SEGMENT'!$AA$8:$AA$1000))</f>
        <v>18251</v>
      </c>
      <c r="AB17" s="385">
        <f>IF($C17="","",SUMPRODUCT(('ANALYSE - ERP =&gt; SOUS-SEGMENT'!$C$8:$C$1000=$C17)*'ANALYSE - ERP =&gt; SOUS-SEGMENT'!$Q$8:$Q$1000*'ANALYSE - ERP =&gt; SOUS-SEGMENT'!$AB$8:$AB$1000))</f>
        <v>18290</v>
      </c>
      <c r="AC17" s="385">
        <f>IF($C17="","",SUMPRODUCT(('ANALYSE - ERP =&gt; SOUS-SEGMENT'!$C$8:$C$1000=$C17)*'ANALYSE - ERP =&gt; SOUS-SEGMENT'!$Q$8:$Q$1000*'ANALYSE - ERP =&gt; SOUS-SEGMENT'!$AC$8:$AC$1000))</f>
        <v>18335</v>
      </c>
      <c r="AD17" s="385">
        <f>IF($C17="","",SUMPRODUCT(('ANALYSE - ERP =&gt; SOUS-SEGMENT'!$C$8:$C$1000=$C17)*'ANALYSE - ERP =&gt; SOUS-SEGMENT'!$Q$8:$Q$1000*'ANALYSE - ERP =&gt; SOUS-SEGMENT'!$AD$8:$AD$1000))</f>
        <v>18346</v>
      </c>
      <c r="AE17" s="385">
        <f>IF($C17="","",SUMPRODUCT(('ANALYSE - ERP =&gt; SOUS-SEGMENT'!$C$8:$C$1000=$C17)*'ANALYSE - ERP =&gt; SOUS-SEGMENT'!$Q$8:$Q$1000*'ANALYSE - ERP =&gt; SOUS-SEGMENT'!$AE$8:$AE$1000))</f>
        <v>18423</v>
      </c>
      <c r="AF17" s="385">
        <f>IF($C17="","",SUMPRODUCT(('ANALYSE - ERP =&gt; SOUS-SEGMENT'!$C$8:$C$1000=$C17)*'ANALYSE - ERP =&gt; SOUS-SEGMENT'!$Q$8:$Q$1000*'ANALYSE - ERP =&gt; SOUS-SEGMENT'!$AF$8:$AF$1000))</f>
        <v>18505</v>
      </c>
      <c r="AG17" s="385">
        <f>IF($C17="","",SUMPRODUCT(('ANALYSE - ERP =&gt; SOUS-SEGMENT'!$C$8:$C$1000=$C17)*'ANALYSE - ERP =&gt; SOUS-SEGMENT'!$Q$8:$Q$1000*'ANALYSE - ERP =&gt; SOUS-SEGMENT'!$AG$8:$AG$1000))</f>
        <v>18587</v>
      </c>
      <c r="AH17" s="385">
        <f>IF($C17="","",SUMPRODUCT(('ANALYSE - ERP =&gt; SOUS-SEGMENT'!$C$8:$C$1000=$C17)*'ANALYSE - ERP =&gt; SOUS-SEGMENT'!$Q$8:$Q$1000*'ANALYSE - ERP =&gt; SOUS-SEGMENT'!$AH$8:$AH$1000))</f>
        <v>18679</v>
      </c>
      <c r="AI17" s="385">
        <f>IF($C17="","",SUMPRODUCT(('ANALYSE - ERP =&gt; SOUS-SEGMENT'!$C$8:$C$1000=$C17)*'ANALYSE - ERP =&gt; SOUS-SEGMENT'!$Q$8:$Q$1000*'ANALYSE - ERP =&gt; SOUS-SEGMENT'!$AI$8:$AI$1000))</f>
        <v>18771</v>
      </c>
      <c r="AJ17" s="385">
        <f>IF($C17="","",SUMPRODUCT(('ANALYSE - ERP =&gt; SOUS-SEGMENT'!$C$8:$C$1000=$C17)*'ANALYSE - ERP =&gt; SOUS-SEGMENT'!$Q$8:$Q$1000*'ANALYSE - ERP =&gt; SOUS-SEGMENT'!$AJ$8:$AJ$1000))</f>
        <v>18863</v>
      </c>
      <c r="AK17" s="385">
        <f>IF($C17="","",SUMPRODUCT(('ANALYSE - ERP =&gt; SOUS-SEGMENT'!$C$8:$C$1000=$C17)*'ANALYSE - ERP =&gt; SOUS-SEGMENT'!$Q$8:$Q$1000*'ANALYSE - ERP =&gt; SOUS-SEGMENT'!$AK$8:$AK$1000))</f>
        <v>18965</v>
      </c>
      <c r="AL17" s="965" t="s">
        <v>5604</v>
      </c>
      <c r="AM17" s="965" t="s">
        <v>5605</v>
      </c>
      <c r="AN17" s="965" t="s">
        <v>5606</v>
      </c>
      <c r="AO17" s="683"/>
      <c r="AP17" s="384">
        <f>IF($C17="","",IFERROR(SUMPRODUCT(('ANALYSE - ERP =&gt; SOUS-SEGMENT'!$C$8:$C$1000=$C17)*'ANALYSE - ERP =&gt; SOUS-SEGMENT'!$Q$8:$Q$1000*'ANALYSE - ERP =&gt; SOUS-SEGMENT'!$AF$8:$AF$1000*'ANALYSE - ERP =&gt; SOUS-SEGMENT'!$AP$8:$AP$1000)/SUMPRODUCT(('ANALYSE - ERP =&gt; SOUS-SEGMENT'!$C$8:$C$1000=$C17)*'ANALYSE - ERP =&gt; SOUS-SEGMENT'!$Q$8:$Q$1000*'ANALYSE - ERP =&gt; SOUS-SEGMENT'!$AF$8:$AF$1000),""))</f>
        <v>74.454201567144011</v>
      </c>
      <c r="AQ17" s="386">
        <f>IF($C17="","",IFERROR(SUMPRODUCT(('ANALYSE - ERP =&gt; SOUS-SEGMENT'!$C$8:$C$1000=$C17)*'ANALYSE - ERP =&gt; SOUS-SEGMENT'!$Q$8:$Q$1000*'ANALYSE - ERP =&gt; SOUS-SEGMENT'!$AF$8:$AF$1000*'ANALYSE - ERP =&gt; SOUS-SEGMENT'!$AQ$8:$AQ$1000)/SUMPRODUCT(('ANALYSE - ERP =&gt; SOUS-SEGMENT'!$C$8:$C$1000=$C17)*'ANALYSE - ERP =&gt; SOUS-SEGMENT'!$Q$8:$Q$1000*'ANALYSE - ERP =&gt; SOUS-SEGMENT'!$AF$8:$AF$1000),""))</f>
        <v>58.217562820859229</v>
      </c>
      <c r="AR17" s="386">
        <f>IF($C17="","",IFERROR(SUMPRODUCT(('ANALYSE - ERP =&gt; SOUS-SEGMENT'!$C$8:$C$1000=$C17)*'ANALYSE - ERP =&gt; SOUS-SEGMENT'!$Q$8:$Q$1000*'ANALYSE - ERP =&gt; SOUS-SEGMENT'!$AF$8:$AF$1000*'ANALYSE - ERP =&gt; SOUS-SEGMENT'!$AR$8:$AR$1000)/SUMPRODUCT(('ANALYSE - ERP =&gt; SOUS-SEGMENT'!$C$8:$C$1000=$C17)*'ANALYSE - ERP =&gt; SOUS-SEGMENT'!$Q$8:$Q$1000*'ANALYSE - ERP =&gt; SOUS-SEGMENT'!$AF$8:$AF$1000),""))</f>
        <v>13.401080788975952</v>
      </c>
      <c r="AS17" s="386">
        <f>IF($C17="","",IFERROR(SUMPRODUCT(('ANALYSE - ERP =&gt; SOUS-SEGMENT'!$C$8:$C$1000=$C17)*'ANALYSE - ERP =&gt; SOUS-SEGMENT'!$Q$8:$Q$1000*'ANALYSE - ERP =&gt; SOUS-SEGMENT'!$AF$8:$AF$1000*'ANALYSE - ERP =&gt; SOUS-SEGMENT'!$AS$8:$AS$1000)/SUMPRODUCT(('ANALYSE - ERP =&gt; SOUS-SEGMENT'!$C$8:$C$1000=$C17)*'ANALYSE - ERP =&gt; SOUS-SEGMENT'!$Q$8:$Q$1000*'ANALYSE - ERP =&gt; SOUS-SEGMENT'!$AF$8:$AF$1000),""))</f>
        <v>2.8355579573088354</v>
      </c>
      <c r="AT17" s="683"/>
      <c r="AU17" s="966" t="s">
        <v>5607</v>
      </c>
      <c r="AV17" s="966" t="s">
        <v>5608</v>
      </c>
      <c r="AW17" s="965" t="s">
        <v>5609</v>
      </c>
      <c r="AX17" s="966" t="s">
        <v>5610</v>
      </c>
      <c r="AY17" s="683"/>
      <c r="AZ17" s="949">
        <f>IF($C17="","",IFERROR(SUMPRODUCT(('ANALYSE - ERP =&gt; SOUS-SEGMENT'!$C$8:$C$1000=$C17)*'ANALYSE - ERP =&gt; SOUS-SEGMENT'!$Q$8:$Q$1000*'ANALYSE - ERP =&gt; SOUS-SEGMENT'!$AF$8:$AF$1000*'ANALYSE - ERP =&gt; SOUS-SEGMENT'!$AZ$8:$AZ$1000)/SUMPRODUCT(('ANALYSE - ERP =&gt; SOUS-SEGMENT'!$C$8:$C$1000=$C17)*'ANALYSE - ERP =&gt; SOUS-SEGMENT'!$Q$8:$Q$1000*'ANALYSE - ERP =&gt; SOUS-SEGMENT'!$AF$8:$AF$1000),""))</f>
        <v>36.472358821940013</v>
      </c>
      <c r="BA17" s="949">
        <f>IF($C17="","",IFERROR(SUMPRODUCT(('ANALYSE - ERP =&gt; SOUS-SEGMENT'!$C$8:$C$1000=$C17)*'ANALYSE - ERP =&gt; SOUS-SEGMENT'!$Q$8:$Q$1000*'ANALYSE - ERP =&gt; SOUS-SEGMENT'!$AF$8:$AF$1000*'ANALYSE - ERP =&gt; SOUS-SEGMENT'!$BA$8:$BA$1000)/SUMPRODUCT(('ANALYSE - ERP =&gt; SOUS-SEGMENT'!$C$8:$C$1000=$C17)*'ANALYSE - ERP =&gt; SOUS-SEGMENT'!$Q$8:$Q$1000*'ANALYSE - ERP =&gt; SOUS-SEGMENT'!$AF$8:$AF$1000),""))</f>
        <v>14.515482302080519</v>
      </c>
      <c r="BB17" s="949">
        <f>IF($C17="","",IFERROR(SUMPRODUCT(('ANALYSE - ERP =&gt; SOUS-SEGMENT'!$C$8:$C$1000=$C17)*'ANALYSE - ERP =&gt; SOUS-SEGMENT'!$Q$8:$Q$1000*'ANALYSE - ERP =&gt; SOUS-SEGMENT'!$AF$8:$AF$1000*'ANALYSE - ERP =&gt; SOUS-SEGMENT'!$BB$8:$BB$1000)/SUMPRODUCT(('ANALYSE - ERP =&gt; SOUS-SEGMENT'!$C$8:$C$1000=$C17)*'ANALYSE - ERP =&gt; SOUS-SEGMENT'!$Q$8:$Q$1000*'ANALYSE - ERP =&gt; SOUS-SEGMENT'!$AF$8:$AF$1000),""))</f>
        <v>1.1323155903809781</v>
      </c>
      <c r="BC17" s="949">
        <f>IF($C17="","",IFERROR(SUMPRODUCT(('ANALYSE - ERP =&gt; SOUS-SEGMENT'!$C$8:$C$1000=$C17)*'ANALYSE - ERP =&gt; SOUS-SEGMENT'!$Q$8:$Q$1000*'ANALYSE - ERP =&gt; SOUS-SEGMENT'!$AF$8:$AF$1000*'ANALYSE - ERP =&gt; SOUS-SEGMENT'!$BC$8:$BC$1000)/SUMPRODUCT(('ANALYSE - ERP =&gt; SOUS-SEGMENT'!$C$8:$C$1000=$C17)*'ANALYSE - ERP =&gt; SOUS-SEGMENT'!$Q$8:$Q$1000*'ANALYSE - ERP =&gt; SOUS-SEGMENT'!$AF$8:$AF$1000),""))</f>
        <v>34.900621453661174</v>
      </c>
      <c r="BD17" s="827">
        <f t="shared" si="1"/>
        <v>1610319.5</v>
      </c>
      <c r="BE17" s="388">
        <f>IF($C17="","",SUMPRODUCT(('ANALYSE - ERP =&gt; SOUS-SEGMENT'!$C$8:$C$1000=$C17)*'ANALYSE - ERP =&gt; SOUS-SEGMENT'!$Q$8:$Q$1000*'ANALYSE - ERP =&gt; SOUS-SEGMENT'!$BE$8:$BE$1000))</f>
        <v>674921</v>
      </c>
      <c r="BF17" s="388">
        <f>IF($C17="","",SUMPRODUCT(('ANALYSE - ERP =&gt; SOUS-SEGMENT'!$C$8:$C$1000=$C17)*'ANALYSE - ERP =&gt; SOUS-SEGMENT'!$Q$8:$Q$1000*'ANALYSE - ERP =&gt; SOUS-SEGMENT'!$BF$8:$BF$1000))</f>
        <v>268609</v>
      </c>
      <c r="BG17" s="388">
        <f>IF($C17="","",SUMPRODUCT(('ANALYSE - ERP =&gt; SOUS-SEGMENT'!$C$8:$C$1000=$C17)*'ANALYSE - ERP =&gt; SOUS-SEGMENT'!$Q$8:$Q$1000*'ANALYSE - ERP =&gt; SOUS-SEGMENT'!$BG$8:$BG$1000))</f>
        <v>20953.5</v>
      </c>
      <c r="BH17" s="388">
        <f>IF($C17="","",SUMPRODUCT(('ANALYSE - ERP =&gt; SOUS-SEGMENT'!$C$8:$C$1000=$C17)*'ANALYSE - ERP =&gt; SOUS-SEGMENT'!$Q$8:$Q$1000*'ANALYSE - ERP =&gt; SOUS-SEGMENT'!$BH$8:$BH$1000))</f>
        <v>645836</v>
      </c>
      <c r="BI17" s="827">
        <f t="shared" si="2"/>
        <v>1609539.5</v>
      </c>
      <c r="BJ17" s="388">
        <f>IF($C17="","",SUMPRODUCT(('ANALYSE - ERP =&gt; SOUS-SEGMENT'!$C$8:$C$1000=$C17)*'ANALYSE - ERP =&gt; SOUS-SEGMENT'!$Q$8:$Q$1000*'ANALYSE - ERP =&gt; SOUS-SEGMENT'!$BJ$8:$BJ$1000))</f>
        <v>674466</v>
      </c>
      <c r="BK17" s="388">
        <f>IF($C17="","",SUMPRODUCT(('ANALYSE - ERP =&gt; SOUS-SEGMENT'!$C$8:$C$1000=$C17)*'ANALYSE - ERP =&gt; SOUS-SEGMENT'!$Q$8:$Q$1000*'ANALYSE - ERP =&gt; SOUS-SEGMENT'!$BK$8:$BK$1000))</f>
        <v>268604</v>
      </c>
      <c r="BL17" s="388">
        <f>IF($C17="","",SUMPRODUCT(('ANALYSE - ERP =&gt; SOUS-SEGMENT'!$C$8:$C$1000=$C17)*'ANALYSE - ERP =&gt; SOUS-SEGMENT'!$Q$8:$Q$1000*'ANALYSE - ERP =&gt; SOUS-SEGMENT'!$BL$8:$BL$1000))</f>
        <v>21463.5</v>
      </c>
      <c r="BM17" s="388">
        <f>IF($C17="","",SUMPRODUCT(('ANALYSE - ERP =&gt; SOUS-SEGMENT'!$C$8:$C$1000=$C17)*'ANALYSE - ERP =&gt; SOUS-SEGMENT'!$Q$8:$Q$1000*'ANALYSE - ERP =&gt; SOUS-SEGMENT'!$BM$8:$BM$1000))</f>
        <v>645006</v>
      </c>
      <c r="BN17" s="683"/>
      <c r="BO17" s="389">
        <f t="shared" si="3"/>
        <v>0.58920697385323617</v>
      </c>
      <c r="BP17" s="389">
        <f t="shared" si="4"/>
        <v>0.16175894660263943</v>
      </c>
      <c r="BQ17" s="389">
        <f t="shared" si="5"/>
        <v>9.9623007729793572E-2</v>
      </c>
      <c r="BR17" s="711">
        <f t="shared" si="6"/>
        <v>0.14941107181433083</v>
      </c>
      <c r="BS17" s="708">
        <f t="shared" si="7"/>
        <v>0.56729560867412143</v>
      </c>
      <c r="BT17" s="389">
        <f t="shared" si="8"/>
        <v>0.16206447767567234</v>
      </c>
      <c r="BU17" s="389">
        <f t="shared" si="9"/>
        <v>0.12137056575127582</v>
      </c>
      <c r="BV17" s="711">
        <f t="shared" si="10"/>
        <v>0.1492693478989304</v>
      </c>
      <c r="BW17" s="715">
        <f t="shared" si="11"/>
        <v>0.82820731993343488</v>
      </c>
      <c r="BX17" s="390">
        <f t="shared" si="12"/>
        <v>0.13812191698714488</v>
      </c>
      <c r="BY17" s="726">
        <f t="shared" si="13"/>
        <v>3.3670763079420275E-2</v>
      </c>
      <c r="BZ17" s="715">
        <f t="shared" si="14"/>
        <v>0.79534779824574453</v>
      </c>
      <c r="CA17" s="390">
        <f t="shared" si="15"/>
        <v>0.16090318833673362</v>
      </c>
      <c r="CB17" s="726">
        <f t="shared" si="16"/>
        <v>4.3749013417521708E-2</v>
      </c>
      <c r="CC17" s="709">
        <f t="shared" si="17"/>
        <v>0.24698403607989119</v>
      </c>
      <c r="CD17" s="389">
        <f t="shared" si="18"/>
        <v>0.40029493879304184</v>
      </c>
      <c r="CE17" s="389">
        <f t="shared" si="19"/>
        <v>0.20249982103228578</v>
      </c>
      <c r="CF17" s="711">
        <f t="shared" si="20"/>
        <v>0.15022120409478126</v>
      </c>
      <c r="CG17" s="708">
        <f t="shared" si="21"/>
        <v>0.21676753558366529</v>
      </c>
      <c r="CH17" s="389">
        <f t="shared" si="22"/>
        <v>0.40028793067300311</v>
      </c>
      <c r="CI17" s="389">
        <f t="shared" si="23"/>
        <v>0.23348871339716262</v>
      </c>
      <c r="CJ17" s="711">
        <f t="shared" si="24"/>
        <v>0.14945582034616905</v>
      </c>
      <c r="CK17" s="721">
        <f t="shared" si="25"/>
        <v>0.82116884162542814</v>
      </c>
      <c r="CL17" s="391">
        <f t="shared" si="26"/>
        <v>0.12968617419902267</v>
      </c>
      <c r="CM17" s="724">
        <f t="shared" si="27"/>
        <v>4.9144984175549217E-2</v>
      </c>
      <c r="CN17" s="721">
        <f t="shared" si="28"/>
        <v>0.7900164959705801</v>
      </c>
      <c r="CO17" s="391">
        <f t="shared" si="29"/>
        <v>0.14564904822590796</v>
      </c>
      <c r="CP17" s="724">
        <f t="shared" si="30"/>
        <v>6.4334455803511909E-2</v>
      </c>
      <c r="CQ17" s="683"/>
      <c r="CR17" s="810">
        <f>IF($C17="","",IFERROR(SUMPRODUCT(('ANALYSE - ERP =&gt; SOUS-SEGMENT'!$C$8:$C$1000=$C17)*'ANALYSE - ERP =&gt; SOUS-SEGMENT'!$Q$8:$Q$1000*'ANALYSE - ERP =&gt; SOUS-SEGMENT'!$DH$8:$DH$1000*'ANALYSE - ERP =&gt; SOUS-SEGMENT'!$CR$8:$CR$1000)/SUMPRODUCT(('ANALYSE - ERP =&gt; SOUS-SEGMENT'!$C$8:$C$1000=$C17)*'ANALYSE - ERP =&gt; SOUS-SEGMENT'!$Q$8:$Q$1000*'ANALYSE - ERP =&gt; SOUS-SEGMENT'!$DH$8:$DH$1000),""))</f>
        <v>13.886052934185122</v>
      </c>
      <c r="CS17" s="811">
        <f>IF($C17="","",IFERROR(SUMPRODUCT(('ANALYSE - ERP =&gt; SOUS-SEGMENT'!$C$8:$C$1000=$C17)*'ANALYSE - ERP =&gt; SOUS-SEGMENT'!$Q$8:$Q$1000*'ANALYSE - ERP =&gt; SOUS-SEGMENT'!$DI$8:$DI$1000*'ANALYSE - ERP =&gt; SOUS-SEGMENT'!$CS$8:$CS$1000)/SUMPRODUCT(('ANALYSE - ERP =&gt; SOUS-SEGMENT'!$C$8:$C$1000=$C17)*'ANALYSE - ERP =&gt; SOUS-SEGMENT'!$Q$8:$Q$1000*'ANALYSE - ERP =&gt; SOUS-SEGMENT'!$DI$8:$DI$1000),""))</f>
        <v>12.896953968467548</v>
      </c>
      <c r="CT17" s="811">
        <f>IF($C17="","",IFERROR(SUMPRODUCT(('ANALYSE - ERP =&gt; SOUS-SEGMENT'!$C$8:$C$1000=$C17)*'ANALYSE - ERP =&gt; SOUS-SEGMENT'!$Q$8:$Q$1000*'ANALYSE - ERP =&gt; SOUS-SEGMENT'!$DJ$8:$DJ$1000*'ANALYSE - ERP =&gt; SOUS-SEGMENT'!$CT$8:$CT$1000)/SUMPRODUCT(('ANALYSE - ERP =&gt; SOUS-SEGMENT'!$C$8:$C$1000=$C17)*'ANALYSE - ERP =&gt; SOUS-SEGMENT'!$Q$8:$Q$1000*'ANALYSE - ERP =&gt; SOUS-SEGMENT'!$DJ$8:$DJ$1000),""))</f>
        <v>9.9323379189579164</v>
      </c>
      <c r="CU17" s="812">
        <f>IF($C17="","",IFERROR(SUMPRODUCT(('ANALYSE - ERP =&gt; SOUS-SEGMENT'!$C$8:$C$1000=$C17)*'ANALYSE - ERP =&gt; SOUS-SEGMENT'!$Q$8:$Q$1000*'ANALYSE - ERP =&gt; SOUS-SEGMENT'!$DK$8:$DK$1000*'ANALYSE - ERP =&gt; SOUS-SEGMENT'!$CU$8:$CU$1000)/SUMPRODUCT(('ANALYSE - ERP =&gt; SOUS-SEGMENT'!$C$8:$C$1000=$C17)*'ANALYSE - ERP =&gt; SOUS-SEGMENT'!$Q$8:$Q$1000*'ANALYSE - ERP =&gt; SOUS-SEGMENT'!$DK$8:$DK$1000),""))</f>
        <v>11.865798590985168</v>
      </c>
      <c r="CV17" s="810">
        <f>IF($C17="","",IFERROR(SUMPRODUCT(('ANALYSE - ERP =&gt; SOUS-SEGMENT'!$C$8:$C$1000=$C17)*'ANALYSE - ERP =&gt; SOUS-SEGMENT'!$Q$8:$Q$1000*'ANALYSE - ERP =&gt; SOUS-SEGMENT'!$DS$8:$DS$1000*'ANALYSE - ERP =&gt; SOUS-SEGMENT'!$CV$8:$CV$1000)/SUMPRODUCT(('ANALYSE - ERP =&gt; SOUS-SEGMENT'!$C$8:$C$1000=$C17)*'ANALYSE - ERP =&gt; SOUS-SEGMENT'!$Q$8:$Q$1000*'ANALYSE - ERP =&gt; SOUS-SEGMENT'!$DS$8:$DS$1000),""))</f>
        <v>12.96066778283258</v>
      </c>
      <c r="CW17" s="811">
        <f>IF($C17="","",IFERROR(SUMPRODUCT(('ANALYSE - ERP =&gt; SOUS-SEGMENT'!$C$8:$C$1000=$C17)*'ANALYSE - ERP =&gt; SOUS-SEGMENT'!$Q$8:$Q$1000*'ANALYSE - ERP =&gt; SOUS-SEGMENT'!$DT$8:$DT$1000*'ANALYSE - ERP =&gt; SOUS-SEGMENT'!$CW$8:$CW$1000)/SUMPRODUCT(('ANALYSE - ERP =&gt; SOUS-SEGMENT'!$C$8:$C$1000=$C17)*'ANALYSE - ERP =&gt; SOUS-SEGMENT'!$Q$8:$Q$1000*'ANALYSE - ERP =&gt; SOUS-SEGMENT'!$DT$8:$DT$1000),""))</f>
        <v>11.915769987647163</v>
      </c>
      <c r="CX17" s="812">
        <f>IF($C17="","",IFERROR(SUMPRODUCT(('ANALYSE - ERP =&gt; SOUS-SEGMENT'!$C$8:$C$1000=$C17)*'ANALYSE - ERP =&gt; SOUS-SEGMENT'!$Q$8:$Q$1000*'ANALYSE - ERP =&gt; SOUS-SEGMENT'!$DU$8:$DU$1000*'ANALYSE - ERP =&gt; SOUS-SEGMENT'!$CX$8:$CX$1000)/SUMPRODUCT(('ANALYSE - ERP =&gt; SOUS-SEGMENT'!$C$8:$C$1000=$C17)*'ANALYSE - ERP =&gt; SOUS-SEGMENT'!$Q$8:$Q$1000*'ANALYSE - ERP =&gt; SOUS-SEGMENT'!$DU$8:$DU$1000),""))</f>
        <v>8.9308954730453642</v>
      </c>
      <c r="CY17" s="810">
        <f>IF($C17="","",IFERROR(SUMPRODUCT(('ANALYSE - ERP =&gt; SOUS-SEGMENT'!$C$8:$C$1000=$C17)*'ANALYSE - ERP =&gt; SOUS-SEGMENT'!$Q$8:$Q$1000*'ANALYSE - ERP =&gt; SOUS-SEGMENT'!$EB$8:$EB$1000*'ANALYSE - ERP =&gt; SOUS-SEGMENT'!$CY$8:$CY$1000)/SUMPRODUCT(('ANALYSE - ERP =&gt; SOUS-SEGMENT'!$C$8:$C$1000=$C17)*'ANALYSE - ERP =&gt; SOUS-SEGMENT'!$Q$8:$Q$1000*'ANALYSE - ERP =&gt; SOUS-SEGMENT'!$EB$8:$EB$1000),""))</f>
        <v>12.513342531081044</v>
      </c>
      <c r="CZ17" s="811">
        <f>IF($C17="","",IFERROR(SUMPRODUCT(('ANALYSE - ERP =&gt; SOUS-SEGMENT'!$C$8:$C$1000=$C17)*'ANALYSE - ERP =&gt; SOUS-SEGMENT'!$Q$8:$Q$1000*'ANALYSE - ERP =&gt; SOUS-SEGMENT'!$EC$8:$EC$1000*'ANALYSE - ERP =&gt; SOUS-SEGMENT'!$CZ$8:$CZ$1000)/SUMPRODUCT(('ANALYSE - ERP =&gt; SOUS-SEGMENT'!$C$8:$C$1000=$C17)*'ANALYSE - ERP =&gt; SOUS-SEGMENT'!$Q$8:$Q$1000*'ANALYSE - ERP =&gt; SOUS-SEGMENT'!$EC$8:$EC$1000),""))</f>
        <v>12.758359383755504</v>
      </c>
      <c r="DA17" s="811">
        <f>IF($C17="","",IFERROR(SUMPRODUCT(('ANALYSE - ERP =&gt; SOUS-SEGMENT'!$C$8:$C$1000=$C17)*'ANALYSE - ERP =&gt; SOUS-SEGMENT'!$Q$8:$Q$1000*'ANALYSE - ERP =&gt; SOUS-SEGMENT'!$ED$8:$ED$1000*'ANALYSE - ERP =&gt; SOUS-SEGMENT'!$DA$8:$DA$1000)/SUMPRODUCT(('ANALYSE - ERP =&gt; SOUS-SEGMENT'!$C$8:$C$1000=$C17)*'ANALYSE - ERP =&gt; SOUS-SEGMENT'!$Q$8:$Q$1000*'ANALYSE - ERP =&gt; SOUS-SEGMENT'!$ED$8:$ED$1000),""))</f>
        <v>8.7628656541945951</v>
      </c>
      <c r="DB17" s="812">
        <f>IF($C17="","",IFERROR(SUMPRODUCT(('ANALYSE - ERP =&gt; SOUS-SEGMENT'!$C$8:$C$1000=$C17)*'ANALYSE - ERP =&gt; SOUS-SEGMENT'!$Q$8:$Q$1000*'ANALYSE - ERP =&gt; SOUS-SEGMENT'!$EE$8:$EE$1000*'ANALYSE - ERP =&gt; SOUS-SEGMENT'!$DB$8:$DB$1000)/SUMPRODUCT(('ANALYSE - ERP =&gt; SOUS-SEGMENT'!$C$8:$C$1000=$C17)*'ANALYSE - ERP =&gt; SOUS-SEGMENT'!$Q$8:$Q$1000*'ANALYSE - ERP =&gt; SOUS-SEGMENT'!$EE$8:$EE$1000),""))</f>
        <v>10.757801033148434</v>
      </c>
      <c r="DC17" s="810">
        <f>IF($C17="","",IFERROR(SUMPRODUCT(('ANALYSE - ERP =&gt; SOUS-SEGMENT'!$C$8:$C$1000=$C17)*'ANALYSE - ERP =&gt; SOUS-SEGMENT'!$Q$8:$Q$1000*'ANALYSE - ERP =&gt; SOUS-SEGMENT'!$EM$8:$EM$1000*'ANALYSE - ERP =&gt; SOUS-SEGMENT'!$DC$8:$DC$1000)/SUMPRODUCT(('ANALYSE - ERP =&gt; SOUS-SEGMENT'!$C$8:$C$1000=$C17)*'ANALYSE - ERP =&gt; SOUS-SEGMENT'!$Q$8:$Q$1000*'ANALYSE - ERP =&gt; SOUS-SEGMENT'!$EM$8:$EM$1000),""))</f>
        <v>14.8704545231704</v>
      </c>
      <c r="DD17" s="811">
        <f>IF($C17="","",IFERROR(SUMPRODUCT(('ANALYSE - ERP =&gt; SOUS-SEGMENT'!$C$8:$C$1000=$C17)*'ANALYSE - ERP =&gt; SOUS-SEGMENT'!$Q$8:$Q$1000*'ANALYSE - ERP =&gt; SOUS-SEGMENT'!$EN$8:$EN$1000*'ANALYSE - ERP =&gt; SOUS-SEGMENT'!$DD$8:$DD$1000)/SUMPRODUCT(('ANALYSE - ERP =&gt; SOUS-SEGMENT'!$C$8:$C$1000=$C17)*'ANALYSE - ERP =&gt; SOUS-SEGMENT'!$Q$8:$Q$1000*'ANALYSE - ERP =&gt; SOUS-SEGMENT'!$EN$8:$EN$1000),""))</f>
        <v>12.883590429342375</v>
      </c>
      <c r="DE17" s="812">
        <f>IF($C17="","",IFERROR(SUMPRODUCT(('ANALYSE - ERP =&gt; SOUS-SEGMENT'!$C$8:$C$1000=$C17)*'ANALYSE - ERP =&gt; SOUS-SEGMENT'!$Q$8:$Q$1000*'ANALYSE - ERP =&gt; SOUS-SEGMENT'!$EO$8:$EO$1000*'ANALYSE - ERP =&gt; SOUS-SEGMENT'!$DE$8:$DE$1000)/SUMPRODUCT(('ANALYSE - ERP =&gt; SOUS-SEGMENT'!$C$8:$C$1000=$C17)*'ANALYSE - ERP =&gt; SOUS-SEGMENT'!$Q$8:$Q$1000*'ANALYSE - ERP =&gt; SOUS-SEGMENT'!$EO$8:$EO$1000),""))</f>
        <v>9.9987019370124379</v>
      </c>
      <c r="DF17" s="925" t="s">
        <v>5611</v>
      </c>
      <c r="DG17" s="683"/>
      <c r="DH17" s="392">
        <f>IF($C17="","",SUMPRODUCT(('ANALYSE - ERP =&gt; SOUS-SEGMENT'!$C$8:$C$1000=$C17)*'ANALYSE - ERP =&gt; SOUS-SEGMENT'!$Q$8:$Q$1000*'ANALYSE - ERP =&gt; SOUS-SEGMENT'!$DH$8:$DH$1000))</f>
        <v>397668.16000000003</v>
      </c>
      <c r="DI17" s="392">
        <f>IF($C17="","",SUMPRODUCT(('ANALYSE - ERP =&gt; SOUS-SEGMENT'!$C$8:$C$1000=$C17)*'ANALYSE - ERP =&gt; SOUS-SEGMENT'!$Q$8:$Q$1000*'ANALYSE - ERP =&gt; SOUS-SEGMENT'!$DI$8:$DI$1000))</f>
        <v>109174.51000000001</v>
      </c>
      <c r="DJ17" s="392">
        <f>IF($C17="","",SUMPRODUCT(('ANALYSE - ERP =&gt; SOUS-SEGMENT'!$C$8:$C$1000=$C17)*'ANALYSE - ERP =&gt; SOUS-SEGMENT'!$Q$8:$Q$1000*'ANALYSE - ERP =&gt; SOUS-SEGMENT'!$DJ$8:$DJ$1000))</f>
        <v>67237.66</v>
      </c>
      <c r="DK17" s="392">
        <f>IF($C17="","",SUMPRODUCT(('ANALYSE - ERP =&gt; SOUS-SEGMENT'!$C$8:$C$1000=$C17)*'ANALYSE - ERP =&gt; SOUS-SEGMENT'!$Q$8:$Q$1000*'ANALYSE - ERP =&gt; SOUS-SEGMENT'!$DK$8:$DK$1000))</f>
        <v>100840.66999999998</v>
      </c>
      <c r="DL17" s="926" t="s">
        <v>5612</v>
      </c>
      <c r="DM17" s="392">
        <f>IF($C17="","",SUMPRODUCT(('ANALYSE - ERP =&gt; SOUS-SEGMENT'!$C$8:$C$1000=$C17)*'ANALYSE - ERP =&gt; SOUS-SEGMENT'!$Q$8:$Q$1000*'ANALYSE - ERP =&gt; SOUS-SEGMENT'!$DM$8:$DM$1000))</f>
        <v>382621.6</v>
      </c>
      <c r="DN17" s="392">
        <f>IF($C17="","",SUMPRODUCT(('ANALYSE - ERP =&gt; SOUS-SEGMENT'!$C$8:$C$1000=$C17)*'ANALYSE - ERP =&gt; SOUS-SEGMENT'!$Q$8:$Q$1000*'ANALYSE - ERP =&gt; SOUS-SEGMENT'!$DN$8:$DN$1000))</f>
        <v>109306.98000000001</v>
      </c>
      <c r="DO17" s="392">
        <f>IF($C17="","",SUMPRODUCT(('ANALYSE - ERP =&gt; SOUS-SEGMENT'!$C$8:$C$1000=$C17)*'ANALYSE - ERP =&gt; SOUS-SEGMENT'!$Q$8:$Q$1000*'ANALYSE - ERP =&gt; SOUS-SEGMENT'!$DO$8:$DO$1000))</f>
        <v>81860.319999999992</v>
      </c>
      <c r="DP17" s="392">
        <f>IF($C17="","",SUMPRODUCT(('ANALYSE - ERP =&gt; SOUS-SEGMENT'!$C$8:$C$1000=$C17)*'ANALYSE - ERP =&gt; SOUS-SEGMENT'!$Q$8:$Q$1000*'ANALYSE - ERP =&gt; SOUS-SEGMENT'!$DP$8:$DP$1000))</f>
        <v>100677.09999999999</v>
      </c>
      <c r="DQ17" s="926" t="s">
        <v>5613</v>
      </c>
      <c r="DR17" s="683"/>
      <c r="DS17" s="392">
        <f>IF($C17="","",SUMPRODUCT(('ANALYSE - ERP =&gt; SOUS-SEGMENT'!$C$8:$C$1000=$C17)*'ANALYSE - ERP =&gt; SOUS-SEGMENT'!$Q$8:$Q$1000*'ANALYSE - ERP =&gt; SOUS-SEGMENT'!$DS$8:$DS$1000))</f>
        <v>222463.94</v>
      </c>
      <c r="DT17" s="392">
        <f>IF($C17="","",SUMPRODUCT(('ANALYSE - ERP =&gt; SOUS-SEGMENT'!$C$8:$C$1000=$C17)*'ANALYSE - ERP =&gt; SOUS-SEGMENT'!$Q$8:$Q$1000*'ANALYSE - ERP =&gt; SOUS-SEGMENT'!$DT$8:$DT$1000))</f>
        <v>37100.79</v>
      </c>
      <c r="DU17" s="392">
        <f>IF($C17="","",SUMPRODUCT(('ANALYSE - ERP =&gt; SOUS-SEGMENT'!$C$8:$C$1000=$C17)*'ANALYSE - ERP =&gt; SOUS-SEGMENT'!$Q$8:$Q$1000*'ANALYSE - ERP =&gt; SOUS-SEGMENT'!$DU$8:$DU$1000))</f>
        <v>9044.27</v>
      </c>
      <c r="DV17" s="926" t="s">
        <v>5614</v>
      </c>
      <c r="DW17" s="392">
        <f>IF($C17="","",SUMPRODUCT(('ANALYSE - ERP =&gt; SOUS-SEGMENT'!$C$8:$C$1000=$C17)*'ANALYSE - ERP =&gt; SOUS-SEGMENT'!$Q$8:$Q$1000*'ANALYSE - ERP =&gt; SOUS-SEGMENT'!$DW$8:$DW$1000))</f>
        <v>213633.59999999998</v>
      </c>
      <c r="DX17" s="392">
        <f>IF($C17="","",SUMPRODUCT(('ANALYSE - ERP =&gt; SOUS-SEGMENT'!$C$8:$C$1000=$C17)*'ANALYSE - ERP =&gt; SOUS-SEGMENT'!$Q$8:$Q$1000*'ANALYSE - ERP =&gt; SOUS-SEGMENT'!$DX$8:$DX$1000))</f>
        <v>43219.24</v>
      </c>
      <c r="DY17" s="392">
        <f>IF($C17="","",SUMPRODUCT(('ANALYSE - ERP =&gt; SOUS-SEGMENT'!$C$8:$C$1000=$C17)*'ANALYSE - ERP =&gt; SOUS-SEGMENT'!$Q$8:$Q$1000*'ANALYSE - ERP =&gt; SOUS-SEGMENT'!$DY$8:$DY$1000))</f>
        <v>11751.160000000002</v>
      </c>
      <c r="DZ17" s="926" t="s">
        <v>5615</v>
      </c>
      <c r="EA17" s="683"/>
      <c r="EB17" s="392">
        <f>IF($C17="","",SUMPRODUCT(('ANALYSE - ERP =&gt; SOUS-SEGMENT'!$C$8:$C$1000=$C17)*'ANALYSE - ERP =&gt; SOUS-SEGMENT'!$Q$8:$Q$1000*'ANALYSE - ERP =&gt; SOUS-SEGMENT'!$EB$8:$EB$1000))</f>
        <v>5175.18</v>
      </c>
      <c r="EC17" s="392">
        <f>IF($C17="","",SUMPRODUCT(('ANALYSE - ERP =&gt; SOUS-SEGMENT'!$C$8:$C$1000=$C17)*'ANALYSE - ERP =&gt; SOUS-SEGMENT'!$Q$8:$Q$1000*'ANALYSE - ERP =&gt; SOUS-SEGMENT'!$EC$8:$EC$1000))</f>
        <v>8387.5800000000017</v>
      </c>
      <c r="ED17" s="392">
        <f>IF($C17="","",SUMPRODUCT(('ANALYSE - ERP =&gt; SOUS-SEGMENT'!$C$8:$C$1000=$C17)*'ANALYSE - ERP =&gt; SOUS-SEGMENT'!$Q$8:$Q$1000*'ANALYSE - ERP =&gt; SOUS-SEGMENT'!$ED$8:$ED$1000))</f>
        <v>4243.08</v>
      </c>
      <c r="EE17" s="392">
        <f>IF($C17="","",SUMPRODUCT(('ANALYSE - ERP =&gt; SOUS-SEGMENT'!$C$8:$C$1000=$C17)*'ANALYSE - ERP =&gt; SOUS-SEGMENT'!$Q$8:$Q$1000*'ANALYSE - ERP =&gt; SOUS-SEGMENT'!$EE$8:$EE$1000))</f>
        <v>3147.6599999999994</v>
      </c>
      <c r="EF17" s="926" t="s">
        <v>5616</v>
      </c>
      <c r="EG17" s="392">
        <f>IF($C17="","",SUMPRODUCT(('ANALYSE - ERP =&gt; SOUS-SEGMENT'!$C$8:$C$1000=$C17)*'ANALYSE - ERP =&gt; SOUS-SEGMENT'!$Q$8:$Q$1000*'ANALYSE - ERP =&gt; SOUS-SEGMENT'!$EG$8:$EG$1000))</f>
        <v>4652.59</v>
      </c>
      <c r="EH17" s="392">
        <f>IF($C17="","",SUMPRODUCT(('ANALYSE - ERP =&gt; SOUS-SEGMENT'!$C$8:$C$1000=$C17)*'ANALYSE - ERP =&gt; SOUS-SEGMENT'!$Q$8:$Q$1000*'ANALYSE - ERP =&gt; SOUS-SEGMENT'!$EH$8:$EH$1000))</f>
        <v>8591.5800000000017</v>
      </c>
      <c r="EI17" s="392">
        <f>IF($C17="","",SUMPRODUCT(('ANALYSE - ERP =&gt; SOUS-SEGMENT'!$C$8:$C$1000=$C17)*'ANALYSE - ERP =&gt; SOUS-SEGMENT'!$Q$8:$Q$1000*'ANALYSE - ERP =&gt; SOUS-SEGMENT'!$EI$8:$EI$1000))</f>
        <v>5011.4849999999997</v>
      </c>
      <c r="EJ17" s="392">
        <f>IF($C17="","",SUMPRODUCT(('ANALYSE - ERP =&gt; SOUS-SEGMENT'!$C$8:$C$1000=$C17)*'ANALYSE - ERP =&gt; SOUS-SEGMENT'!$Q$8:$Q$1000*'ANALYSE - ERP =&gt; SOUS-SEGMENT'!$EJ$8:$EJ$1000))</f>
        <v>3207.8449999999998</v>
      </c>
      <c r="EK17" s="926" t="s">
        <v>5617</v>
      </c>
      <c r="EL17" s="683"/>
      <c r="EM17" s="392">
        <f>IF($C17="","",SUMPRODUCT(('ANALYSE - ERP =&gt; SOUS-SEGMENT'!$C$8:$C$1000=$C17)*'ANALYSE - ERP =&gt; SOUS-SEGMENT'!$Q$8:$Q$1000*'ANALYSE - ERP =&gt; SOUS-SEGMENT'!$EM$8:$EM$1000))</f>
        <v>530340.4</v>
      </c>
      <c r="EN17" s="395">
        <f>IF($C17="","",SUMPRODUCT(('ANALYSE - ERP =&gt; SOUS-SEGMENT'!$C$8:$C$1000=$C17)*'ANALYSE - ERP =&gt; SOUS-SEGMENT'!$Q$8:$Q$1000*'ANALYSE - ERP =&gt; SOUS-SEGMENT'!$EN$8:$EN$1000))</f>
        <v>83756</v>
      </c>
      <c r="EO17" s="395">
        <f>IF($C17="","",SUMPRODUCT(('ANALYSE - ERP =&gt; SOUS-SEGMENT'!$C$8:$C$1000=$C17)*'ANALYSE - ERP =&gt; SOUS-SEGMENT'!$Q$8:$Q$1000*'ANALYSE - ERP =&gt; SOUS-SEGMENT'!$EO$8:$EO$1000))</f>
        <v>31739.600000000002</v>
      </c>
      <c r="EP17" s="926" t="s">
        <v>5618</v>
      </c>
      <c r="EQ17" s="392">
        <f>IF($C17="","",SUMPRODUCT(('ANALYSE - ERP =&gt; SOUS-SEGMENT'!$C$8:$C$1000=$C17)*'ANALYSE - ERP =&gt; SOUS-SEGMENT'!$Q$8:$Q$1000*'ANALYSE - ERP =&gt; SOUS-SEGMENT'!$EQ$8:$EQ$1000))</f>
        <v>509565.38</v>
      </c>
      <c r="ER17" s="395">
        <f>IF($C17="","",SUMPRODUCT(('ANALYSE - ERP =&gt; SOUS-SEGMENT'!$C$8:$C$1000=$C17)*'ANALYSE - ERP =&gt; SOUS-SEGMENT'!$Q$8:$Q$1000*'ANALYSE - ERP =&gt; SOUS-SEGMENT'!$ER$8:$ER$1000))</f>
        <v>93944.51</v>
      </c>
      <c r="ES17" s="395">
        <f>IF($C17="","",SUMPRODUCT(('ANALYSE - ERP =&gt; SOUS-SEGMENT'!$C$8:$C$1000=$C17)*'ANALYSE - ERP =&gt; SOUS-SEGMENT'!$Q$8:$Q$1000*'ANALYSE - ERP =&gt; SOUS-SEGMENT'!$ES$8:$ES$1000))</f>
        <v>41496.11</v>
      </c>
      <c r="ET17" s="926" t="s">
        <v>5619</v>
      </c>
      <c r="EU17" s="683"/>
      <c r="EV17" s="734">
        <f t="shared" si="31"/>
        <v>0.80919678911898008</v>
      </c>
      <c r="EW17" s="734">
        <f t="shared" si="32"/>
        <v>0.19080321088101995</v>
      </c>
      <c r="EX17" s="396">
        <f t="shared" si="33"/>
        <v>679969.29580447555</v>
      </c>
      <c r="EY17" s="396">
        <f t="shared" si="34"/>
        <v>550228.97086447559</v>
      </c>
      <c r="EZ17" s="396">
        <f t="shared" si="35"/>
        <v>129740.32493999999</v>
      </c>
      <c r="FA17" s="396">
        <f t="shared" si="36"/>
        <v>292159.58099822607</v>
      </c>
      <c r="FB17" s="396">
        <f>IF($C17="","",SUMPRODUCT(('ANALYSE - ERP =&gt; SOUS-SEGMENT'!$C$8:$C$1000=$C17)*'ANALYSE - ERP =&gt; SOUS-SEGMENT'!$Q$8:$Q$1000*'ANALYSE - ERP =&gt; SOUS-SEGMENT'!$FB$8:$FB$1000))</f>
        <v>237919.91640822607</v>
      </c>
      <c r="FC17" s="396">
        <f>IF($C17="","",SUMPRODUCT(('ANALYSE - ERP =&gt; SOUS-SEGMENT'!$C$8:$C$1000=$C17)*'ANALYSE - ERP =&gt; SOUS-SEGMENT'!$Q$8:$Q$1000*'ANALYSE - ERP =&gt; SOUS-SEGMENT'!$FC$8:$FC$1000))</f>
        <v>54239.66459</v>
      </c>
      <c r="FD17" s="396">
        <f t="shared" si="37"/>
        <v>118223.41828933654</v>
      </c>
      <c r="FE17" s="396">
        <f>IF($C17="","",SUMPRODUCT(('ANALYSE - ERP =&gt; SOUS-SEGMENT'!$C$8:$C$1000=$C17)*'ANALYSE - ERP =&gt; SOUS-SEGMENT'!$Q$8:$Q$1000*'ANALYSE - ERP =&gt; SOUS-SEGMENT'!$FE$8:$FE$1000))</f>
        <v>96427.971079336538</v>
      </c>
      <c r="FF17" s="396">
        <f>IF($C17="","",SUMPRODUCT(('ANALYSE - ERP =&gt; SOUS-SEGMENT'!$C$8:$C$1000=$C17)*'ANALYSE - ERP =&gt; SOUS-SEGMENT'!$Q$8:$Q$1000*'ANALYSE - ERP =&gt; SOUS-SEGMENT'!$FF$8:$FF$1000))</f>
        <v>21795.447209999998</v>
      </c>
      <c r="FG17" s="396">
        <f t="shared" si="38"/>
        <v>10083.967749566824</v>
      </c>
      <c r="FH17" s="396">
        <f>IF($C17="","",SUMPRODUCT(('ANALYSE - ERP =&gt; SOUS-SEGMENT'!$C$8:$C$1000=$C17)*'ANALYSE - ERP =&gt; SOUS-SEGMENT'!$Q$8:$Q$1000*'ANALYSE - ERP =&gt; SOUS-SEGMENT'!$FH$8:$FH$1000))</f>
        <v>7868.9958495668234</v>
      </c>
      <c r="FI17" s="396">
        <f>IF($C17="","",SUMPRODUCT(('ANALYSE - ERP =&gt; SOUS-SEGMENT'!$C$8:$C$1000=$C17)*'ANALYSE - ERP =&gt; SOUS-SEGMENT'!$Q$8:$Q$1000*'ANALYSE - ERP =&gt; SOUS-SEGMENT'!$FI$8:$FI$1000))</f>
        <v>2214.9719</v>
      </c>
      <c r="FJ17" s="396">
        <f t="shared" si="39"/>
        <v>259502.32876734616</v>
      </c>
      <c r="FK17" s="396">
        <f>IF($C17="","",SUMPRODUCT(('ANALYSE - ERP =&gt; SOUS-SEGMENT'!$C$8:$C$1000=$C17)*'ANALYSE - ERP =&gt; SOUS-SEGMENT'!$Q$8:$Q$1000*'ANALYSE - ERP =&gt; SOUS-SEGMENT'!$FK$8:$FK$1000))</f>
        <v>208012.08752734616</v>
      </c>
      <c r="FL17" s="396">
        <f>IF($C17="","",SUMPRODUCT(('ANALYSE - ERP =&gt; SOUS-SEGMENT'!$C$8:$C$1000=$C17)*'ANALYSE - ERP =&gt; SOUS-SEGMENT'!$Q$8:$Q$1000*'ANALYSE - ERP =&gt; SOUS-SEGMENT'!$FL$8:$FL$1000))</f>
        <v>51490.241239999996</v>
      </c>
      <c r="FM17" s="683"/>
      <c r="FN17" s="967" t="s">
        <v>2649</v>
      </c>
      <c r="FO17" s="734">
        <f>IF($C17="","",IFERROR(SUMPRODUCT(('ANALYSE - ERP =&gt; SOUS-SEGMENT'!$C$8:$C$1000=$C17)*'ANALYSE - ERP =&gt; SOUS-SEGMENT'!$Q$8:$Q$1000*'ANALYSE - ERP =&gt; SOUS-SEGMENT'!$AF$8:$AF$1000*'ANALYSE - ERP =&gt; SOUS-SEGMENT'!$FO$8:$FO$1000)/SUMPRODUCT(('ANALYSE - ERP =&gt; SOUS-SEGMENT'!$C$8:$C$1000=$C17)*'ANALYSE - ERP =&gt; SOUS-SEGMENT'!$Q$8:$Q$1000*'ANALYSE - ERP =&gt; SOUS-SEGMENT'!$AF$8:$AF$1000),""))</f>
        <v>7.364201026749527E-2</v>
      </c>
      <c r="FP17" s="735">
        <f>IF($C17="","",IFERROR(SUMPRODUCT(('ANALYSE - ERP =&gt; SOUS-SEGMENT'!$C$8:$C$1000=$C17)*'ANALYSE - ERP =&gt; SOUS-SEGMENT'!$Q$8:$Q$1000*'ANALYSE - ERP =&gt; SOUS-SEGMENT'!$AF$8:$AF$1000*'ANALYSE - ERP =&gt; SOUS-SEGMENT'!$FP$8:$FP$1000)/SUMPRODUCT(('ANALYSE - ERP =&gt; SOUS-SEGMENT'!$C$8:$C$1000=$C17)*'ANALYSE - ERP =&gt; SOUS-SEGMENT'!$Q$8:$Q$1000*'ANALYSE - ERP =&gt; SOUS-SEGMENT'!$AF$8:$AF$1000),""))</f>
        <v>0.87138523372061605</v>
      </c>
      <c r="FQ17" s="967" t="s">
        <v>5620</v>
      </c>
      <c r="FR17" s="683"/>
      <c r="FS17" s="870">
        <f>IF($C17="","",IFERROR(SUMPRODUCT(('ANALYSE - ERP =&gt; SOUS-SEGMENT'!$C$8:$C$1000=$C17)*'ANALYSE - ERP =&gt; SOUS-SEGMENT'!$Q$8:$Q$1000*'ANALYSE - ERP =&gt; SOUS-SEGMENT'!$EX$8:$EX$1000*'ANALYSE - ERP =&gt; SOUS-SEGMENT'!$FS$8:$FS$1000)/SUMPRODUCT(('ANALYSE - ERP =&gt; SOUS-SEGMENT'!$C$8:$C$1000=$C17)*'ANALYSE - ERP =&gt; SOUS-SEGMENT'!$Q$8:$Q$1000*'ANALYSE - ERP =&gt; SOUS-SEGMENT'!$EX$8:$EX$1000),""))</f>
        <v>3.4979803633351554</v>
      </c>
      <c r="FT17" s="399">
        <f>IF($C17="","",RANK($FS17,$FS$8:$FS$43,0)+COUNTIF($FS$8:$FS17,$FS17)-1)</f>
        <v>13</v>
      </c>
      <c r="FU17" s="870">
        <f>IF($C17="","",IFERROR(SUMPRODUCT(('ANALYSE - ERP =&gt; SOUS-SEGMENT'!$C$8:$C$1000=$C17)*'ANALYSE - ERP =&gt; SOUS-SEGMENT'!$Q$8:$Q$1000*'ANALYSE - ERP =&gt; SOUS-SEGMENT'!$EY$8:$EY$1000*'ANALYSE - ERP =&gt; SOUS-SEGMENT'!$FU$8:$FU$1000)/SUMPRODUCT(('ANALYSE - ERP =&gt; SOUS-SEGMENT'!$C$8:$C$1000=$C17)*'ANALYSE - ERP =&gt; SOUS-SEGMENT'!$Q$8:$Q$1000*'ANALYSE - ERP =&gt; SOUS-SEGMENT'!$EY$8:$EY$1000),""))</f>
        <v>4.223460393476806</v>
      </c>
      <c r="FV17" s="399">
        <f>IF($C17="","",RANK($FU17,$FU$8:$FU$43,0)+COUNTIF($FU$8:$FU17,$FU17)-1)</f>
        <v>8</v>
      </c>
      <c r="FW17" s="870">
        <f>IF($C17="","",IFERROR(SUMPRODUCT(('ANALYSE - ERP =&gt; SOUS-SEGMENT'!$C$8:$C$1000=$C17)*'ANALYSE - ERP =&gt; SOUS-SEGMENT'!$Q$8:$Q$1000*'ANALYSE - ERP =&gt; SOUS-SEGMENT'!$EZ$8:$EZ$1000*'ANALYSE - ERP =&gt; SOUS-SEGMENT'!$FW$8:$FW$1000)/SUMPRODUCT(('ANALYSE - ERP =&gt; SOUS-SEGMENT'!$C$8:$C$1000=$C17)*'ANALYSE - ERP =&gt; SOUS-SEGMENT'!$Q$8:$Q$1000*'ANALYSE - ERP =&gt; SOUS-SEGMENT'!$EZ$8:$EZ$1000),""))</f>
        <v>2.6334264392262425</v>
      </c>
      <c r="FX17" s="399">
        <f>IF($C17="","",RANK($FW17,$FW$8:$FW$43,0)+COUNTIF($FW$8:$FW17,$FW17)-1)</f>
        <v>7</v>
      </c>
      <c r="FY17" s="683"/>
      <c r="FZ17" s="926" t="s">
        <v>5621</v>
      </c>
      <c r="GA17" s="926" t="s">
        <v>5622</v>
      </c>
      <c r="GB17" s="926" t="s">
        <v>5623</v>
      </c>
      <c r="GC17" s="926" t="s">
        <v>5624</v>
      </c>
      <c r="GD17" s="926" t="s">
        <v>5625</v>
      </c>
      <c r="GE17" s="926" t="s">
        <v>5626</v>
      </c>
      <c r="GF17" s="927" t="s">
        <v>5627</v>
      </c>
      <c r="GG17" s="683"/>
      <c r="GH17" s="396">
        <f t="shared" si="40"/>
        <v>161619.11631005717</v>
      </c>
      <c r="GI17" s="396">
        <f>IF($C17="","",SUMPRODUCT(('ANALYSE - ERP =&gt; SOUS-SEGMENT'!$C$8:$C$1000=$C17)*'ANALYSE - ERP =&gt; SOUS-SEGMENT'!$Q$8:$Q$1000*'ANALYSE - ERP =&gt; SOUS-SEGMENT'!$GI$8:$GI$1000))</f>
        <v>130988.75840185717</v>
      </c>
      <c r="GJ17" s="396">
        <f>IF($C17="","",SUMPRODUCT(('ANALYSE - ERP =&gt; SOUS-SEGMENT'!$C$8:$C$1000=$C17)*'ANALYSE - ERP =&gt; SOUS-SEGMENT'!$Q$8:$Q$1000*'ANALYSE - ERP =&gt; SOUS-SEGMENT'!$GJ$8:$GJ$1000))</f>
        <v>30630.3579082</v>
      </c>
      <c r="GK17" s="396">
        <f t="shared" si="41"/>
        <v>47069.587909546157</v>
      </c>
      <c r="GL17" s="396">
        <f>IF($C17="","",SUMPRODUCT(('ANALYSE - ERP =&gt; SOUS-SEGMENT'!$C$8:$C$1000=$C17)*'ANALYSE - ERP =&gt; SOUS-SEGMENT'!$Q$8:$Q$1000*'ANALYSE - ERP =&gt; SOUS-SEGMENT'!$GL$8:$GL$1000))</f>
        <v>38086.774523846158</v>
      </c>
      <c r="GM17" s="396">
        <f>IF($C17="","",SUMPRODUCT(('ANALYSE - ERP =&gt; SOUS-SEGMENT'!$C$8:$C$1000=$C17)*'ANALYSE - ERP =&gt; SOUS-SEGMENT'!$Q$8:$Q$1000*'ANALYSE - ERP =&gt; SOUS-SEGMENT'!$GM$8:$GM$1000))</f>
        <v>8982.8133856999993</v>
      </c>
      <c r="GN17" s="396">
        <f t="shared" si="42"/>
        <v>36957.584924000003</v>
      </c>
      <c r="GO17" s="396">
        <f>IF($C17="","",SUMPRODUCT(('ANALYSE - ERP =&gt; SOUS-SEGMENT'!$C$8:$C$1000=$C17)*'ANALYSE - ERP =&gt; SOUS-SEGMENT'!$Q$8:$Q$1000*'ANALYSE - ERP =&gt; SOUS-SEGMENT'!$GO$8:$GO$1000))</f>
        <v>30350.013796000003</v>
      </c>
      <c r="GP17" s="396">
        <f>IF($C17="","",SUMPRODUCT(('ANALYSE - ERP =&gt; SOUS-SEGMENT'!$C$8:$C$1000=$C17)*'ANALYSE - ERP =&gt; SOUS-SEGMENT'!$Q$8:$Q$1000*'ANALYSE - ERP =&gt; SOUS-SEGMENT'!$GP$8:$GP$1000))</f>
        <v>6607.5711279999996</v>
      </c>
      <c r="GQ17" s="396">
        <f t="shared" si="43"/>
        <v>46513.291854622723</v>
      </c>
      <c r="GR17" s="396">
        <f>IF($C17="","",SUMPRODUCT(('ANALYSE - ERP =&gt; SOUS-SEGMENT'!$C$8:$C$1000=$C17)*'ANALYSE - ERP =&gt; SOUS-SEGMENT'!$Q$8:$Q$1000*'ANALYSE - ERP =&gt; SOUS-SEGMENT'!$GR$8:$GR$1000))</f>
        <v>38494.369686522725</v>
      </c>
      <c r="GS17" s="396">
        <f>IF($C17="","",SUMPRODUCT(('ANALYSE - ERP =&gt; SOUS-SEGMENT'!$C$8:$C$1000=$C17)*'ANALYSE - ERP =&gt; SOUS-SEGMENT'!$Q$8:$Q$1000*'ANALYSE - ERP =&gt; SOUS-SEGMENT'!$GS$8:$GS$1000))</f>
        <v>8018.9221681000008</v>
      </c>
      <c r="GT17" s="396">
        <f t="shared" si="44"/>
        <v>95218.383887476928</v>
      </c>
      <c r="GU17" s="396">
        <f>IF($C17="","",SUMPRODUCT(('ANALYSE - ERP =&gt; SOUS-SEGMENT'!$C$8:$C$1000=$C17)*'ANALYSE - ERP =&gt; SOUS-SEGMENT'!$Q$8:$Q$1000*'ANALYSE - ERP =&gt; SOUS-SEGMENT'!$GU$8:$GU$1000))</f>
        <v>78049.228466076936</v>
      </c>
      <c r="GV17" s="396">
        <f>IF($C17="","",SUMPRODUCT(('ANALYSE - ERP =&gt; SOUS-SEGMENT'!$C$8:$C$1000=$C17)*'ANALYSE - ERP =&gt; SOUS-SEGMENT'!$Q$8:$Q$1000*'ANALYSE - ERP =&gt; SOUS-SEGMENT'!$GV$8:$GV$1000))</f>
        <v>17169.155421399999</v>
      </c>
      <c r="GW17" s="396">
        <f t="shared" si="45"/>
        <v>17534.118374240152</v>
      </c>
      <c r="GX17" s="396">
        <f>IF($C17="","",SUMPRODUCT(('ANALYSE - ERP =&gt; SOUS-SEGMENT'!$C$8:$C$1000=$C17)*'ANALYSE - ERP =&gt; SOUS-SEGMENT'!$Q$8:$Q$1000*'ANALYSE - ERP =&gt; SOUS-SEGMENT'!$GX$8:$GX$1000))</f>
        <v>13881.397874040151</v>
      </c>
      <c r="GY17" s="396">
        <f>IF($C17="","",SUMPRODUCT(('ANALYSE - ERP =&gt; SOUS-SEGMENT'!$C$8:$C$1000=$C17)*'ANALYSE - ERP =&gt; SOUS-SEGMENT'!$Q$8:$Q$1000*'ANALYSE - ERP =&gt; SOUS-SEGMENT'!$GY$8:$GY$1000))</f>
        <v>3652.7205002000001</v>
      </c>
      <c r="GZ17" s="396">
        <f t="shared" si="46"/>
        <v>5470.9160276194452</v>
      </c>
      <c r="HA17" s="396">
        <f>IF($C17="","",SUMPRODUCT(('ANALYSE - ERP =&gt; SOUS-SEGMENT'!$C$8:$C$1000=$C17)*'ANALYSE - ERP =&gt; SOUS-SEGMENT'!$Q$8:$Q$1000*'ANALYSE - ERP =&gt; SOUS-SEGMENT'!$HA$8:$HA$1000))</f>
        <v>4497.3447392194448</v>
      </c>
      <c r="HB17" s="396">
        <f>IF($C17="","",SUMPRODUCT(('ANALYSE - ERP =&gt; SOUS-SEGMENT'!$C$8:$C$1000=$C17)*'ANALYSE - ERP =&gt; SOUS-SEGMENT'!$Q$8:$Q$1000*'ANALYSE - ERP =&gt; SOUS-SEGMENT'!$HB$8:$HB$1000))</f>
        <v>973.57128840000007</v>
      </c>
      <c r="HC17" s="396">
        <f t="shared" si="47"/>
        <v>2237.9351504650349</v>
      </c>
      <c r="HD17" s="396">
        <f>IF($C17="","",SUMPRODUCT(('ANALYSE - ERP =&gt; SOUS-SEGMENT'!$C$8:$C$1000=$C17)*'ANALYSE - ERP =&gt; SOUS-SEGMENT'!$Q$8:$Q$1000*'ANALYSE - ERP =&gt; SOUS-SEGMENT'!$HD$8:$HD$1000))</f>
        <v>1771.0834684650349</v>
      </c>
      <c r="HE17" s="396">
        <f>IF($C17="","",SUMPRODUCT(('ANALYSE - ERP =&gt; SOUS-SEGMENT'!$C$8:$C$1000=$C17)*'ANALYSE - ERP =&gt; SOUS-SEGMENT'!$Q$8:$Q$1000*'ANALYSE - ERP =&gt; SOUS-SEGMENT'!$HE$8:$HE$1000))</f>
        <v>466.85168199999998</v>
      </c>
      <c r="HF17" s="396">
        <f t="shared" si="48"/>
        <v>3672.957745384615</v>
      </c>
      <c r="HG17" s="396">
        <f>IF($C17="","",SUMPRODUCT(('ANALYSE - ERP =&gt; SOUS-SEGMENT'!$C$8:$C$1000=$C17)*'ANALYSE - ERP =&gt; SOUS-SEGMENT'!$Q$8:$Q$1000*'ANALYSE - ERP =&gt; SOUS-SEGMENT'!$HG$8:$HG$1000))</f>
        <v>2786.6661653846149</v>
      </c>
      <c r="HH17" s="396">
        <f>IF($C17="","",SUMPRODUCT(('ANALYSE - ERP =&gt; SOUS-SEGMENT'!$C$8:$C$1000=$C17)*'ANALYSE - ERP =&gt; SOUS-SEGMENT'!$Q$8:$Q$1000*'ANALYSE - ERP =&gt; SOUS-SEGMENT'!$HH$8:$HH$1000))</f>
        <v>886.29158000000007</v>
      </c>
      <c r="HI17" s="396">
        <f t="shared" si="49"/>
        <v>2599.9772224444446</v>
      </c>
      <c r="HJ17" s="396">
        <f>IF($C17="","",SUMPRODUCT(('ANALYSE - ERP =&gt; SOUS-SEGMENT'!$C$8:$C$1000=$C17)*'ANALYSE - ERP =&gt; SOUS-SEGMENT'!$Q$8:$Q$1000*'ANALYSE - ERP =&gt; SOUS-SEGMENT'!$HJ$8:$HJ$1000))</f>
        <v>2065.5614204444446</v>
      </c>
      <c r="HK17" s="396">
        <f>IF($C17="","",SUMPRODUCT(('ANALYSE - ERP =&gt; SOUS-SEGMENT'!$C$8:$C$1000=$C17)*'ANALYSE - ERP =&gt; SOUS-SEGMENT'!$Q$8:$Q$1000*'ANALYSE - ERP =&gt; SOUS-SEGMENT'!$HK$8:$HK$1000))</f>
        <v>534.41580199999999</v>
      </c>
      <c r="HL17" s="396">
        <f t="shared" si="50"/>
        <v>1573.0976312727271</v>
      </c>
      <c r="HM17" s="396">
        <f>IF($C17="","",SUMPRODUCT(('ANALYSE - ERP =&gt; SOUS-SEGMENT'!$C$8:$C$1000=$C17)*'ANALYSE - ERP =&gt; SOUS-SEGMENT'!$Q$8:$Q$1000*'ANALYSE - ERP =&gt; SOUS-SEGMENT'!$HM$8:$HM$1000))</f>
        <v>1245.6847952727271</v>
      </c>
      <c r="HN17" s="396">
        <f>IF($C17="","",SUMPRODUCT(('ANALYSE - ERP =&gt; SOUS-SEGMENT'!$C$8:$C$1000=$C17)*'ANALYSE - ERP =&gt; SOUS-SEGMENT'!$Q$8:$Q$1000*'ANALYSE - ERP =&gt; SOUS-SEGMENT'!$HN$8:$HN$1000))</f>
        <v>327.41283599999997</v>
      </c>
      <c r="HO17" s="396">
        <f t="shared" si="51"/>
        <v>204876.42874956923</v>
      </c>
      <c r="HP17" s="396">
        <f>IF($C17="","",SUMPRODUCT(('ANALYSE - ERP =&gt; SOUS-SEGMENT'!$C$8:$C$1000=$C17)*'ANALYSE - ERP =&gt; SOUS-SEGMENT'!$Q$8:$Q$1000*'ANALYSE - ERP =&gt; SOUS-SEGMENT'!$HP$8:$HP$1000))</f>
        <v>164860.13150876923</v>
      </c>
      <c r="HQ17" s="396">
        <f>IF($C17="","",SUMPRODUCT(('ANALYSE - ERP =&gt; SOUS-SEGMENT'!$C$8:$C$1000=$C17)*'ANALYSE - ERP =&gt; SOUS-SEGMENT'!$Q$8:$Q$1000*'ANALYSE - ERP =&gt; SOUS-SEGMENT'!$HQ$8:$HQ$1000))</f>
        <v>40016.297240799999</v>
      </c>
      <c r="HR17" s="396">
        <f t="shared" si="52"/>
        <v>36952.360162676923</v>
      </c>
      <c r="HS17" s="396">
        <f>IF($C17="","",SUMPRODUCT(('ANALYSE - ERP =&gt; SOUS-SEGMENT'!$C$8:$C$1000=$C17)*'ANALYSE - ERP =&gt; SOUS-SEGMENT'!$Q$8:$Q$1000*'ANALYSE - ERP =&gt; SOUS-SEGMENT'!$HS$8:$HS$1000))</f>
        <v>28886.03469607692</v>
      </c>
      <c r="HT17" s="396">
        <f>IF($C17="","",SUMPRODUCT(('ANALYSE - ERP =&gt; SOUS-SEGMENT'!$C$8:$C$1000=$C17)*'ANALYSE - ERP =&gt; SOUS-SEGMENT'!$Q$8:$Q$1000*'ANALYSE - ERP =&gt; SOUS-SEGMENT'!$HT$8:$HT$1000))</f>
        <v>8066.3254665999993</v>
      </c>
      <c r="HU17" s="396">
        <f t="shared" si="53"/>
        <v>17673.539855099996</v>
      </c>
      <c r="HV17" s="396">
        <f>IF($C17="","",SUMPRODUCT(('ANALYSE - ERP =&gt; SOUS-SEGMENT'!$C$8:$C$1000=$C17)*'ANALYSE - ERP =&gt; SOUS-SEGMENT'!$Q$8:$Q$1000*'ANALYSE - ERP =&gt; SOUS-SEGMENT'!$HV$8:$HV$1000))</f>
        <v>14265.921322499997</v>
      </c>
      <c r="HW17" s="396">
        <f>IF($C17="","",SUMPRODUCT(('ANALYSE - ERP =&gt; SOUS-SEGMENT'!$C$8:$C$1000=$C17)*'ANALYSE - ERP =&gt; SOUS-SEGMENT'!$Q$8:$Q$1000*'ANALYSE - ERP =&gt; SOUS-SEGMENT'!$HW$8:$HW$1000))</f>
        <v>3407.6185326000004</v>
      </c>
      <c r="HX17" s="684"/>
      <c r="HY17" s="401">
        <f t="shared" si="54"/>
        <v>1610319.5</v>
      </c>
      <c r="HZ17" s="401">
        <f>IF($C17="","",SUMPRODUCT(('ANALYSE - ERP =&gt; SOUS-SEGMENT'!$C$8:$C$1000=$C17)*'ANALYSE - ERP =&gt; SOUS-SEGMENT'!$Q$8:$Q$1000*'ANALYSE - ERP =&gt; SOUS-SEGMENT'!$HZ$8:$HZ$1000))</f>
        <v>304.13660000000004</v>
      </c>
      <c r="IA17" s="401">
        <f>IF($C17="","",SUMPRODUCT(('ANALYSE - ERP =&gt; SOUS-SEGMENT'!$C$8:$C$1000=$C17)*'ANALYSE - ERP =&gt; SOUS-SEGMENT'!$Q$8:$Q$1000*'ANALYSE - ERP =&gt; SOUS-SEGMENT'!$IA$8:$IA$1000))</f>
        <v>220183.34239999999</v>
      </c>
      <c r="IB17" s="401">
        <f>IF($C17="","",SUMPRODUCT(('ANALYSE - ERP =&gt; SOUS-SEGMENT'!$C$8:$C$1000=$C17)*'ANALYSE - ERP =&gt; SOUS-SEGMENT'!$Q$8:$Q$1000*'ANALYSE - ERP =&gt; SOUS-SEGMENT'!$IB$8:$IB$1000))</f>
        <v>872766.40299999993</v>
      </c>
      <c r="IC17" s="401">
        <f>IF($C17="","",SUMPRODUCT(('ANALYSE - ERP =&gt; SOUS-SEGMENT'!$C$8:$C$1000=$C17)*'ANALYSE - ERP =&gt; SOUS-SEGMENT'!$Q$8:$Q$1000*'ANALYSE - ERP =&gt; SOUS-SEGMENT'!$IC$8:$IC$1000))</f>
        <v>510746.42719999998</v>
      </c>
      <c r="ID17" s="401">
        <f>IF($C17="","",SUMPRODUCT(('ANALYSE - ERP =&gt; SOUS-SEGMENT'!$C$8:$C$1000=$C17)*'ANALYSE - ERP =&gt; SOUS-SEGMENT'!$Q$8:$Q$1000*'ANALYSE - ERP =&gt; SOUS-SEGMENT'!$ID$8:$ID$1000))</f>
        <v>6319.1907999999994</v>
      </c>
      <c r="IE17" s="401">
        <f t="shared" si="55"/>
        <v>550228.97086447559</v>
      </c>
      <c r="IF17" s="401">
        <f>IF($C17="","",SUMPRODUCT(('ANALYSE - ERP =&gt; SOUS-SEGMENT'!$C$8:$C$1000=$C17)*'ANALYSE - ERP =&gt; SOUS-SEGMENT'!$Q$8:$Q$1000*'ANALYSE - ERP =&gt; SOUS-SEGMENT'!$IF$8:$IF$1000))</f>
        <v>0</v>
      </c>
      <c r="IG17" s="401">
        <f>IF($C17="","",SUMPRODUCT(('ANALYSE - ERP =&gt; SOUS-SEGMENT'!$C$8:$C$1000=$C17)*'ANALYSE - ERP =&gt; SOUS-SEGMENT'!$Q$8:$Q$1000*'ANALYSE - ERP =&gt; SOUS-SEGMENT'!$IG$8:$IG$1000))</f>
        <v>38767.182862602385</v>
      </c>
      <c r="IH17" s="401">
        <f>IF($C17="","",SUMPRODUCT(('ANALYSE - ERP =&gt; SOUS-SEGMENT'!$C$8:$C$1000=$C17)*'ANALYSE - ERP =&gt; SOUS-SEGMENT'!$Q$8:$Q$1000*'ANALYSE - ERP =&gt; SOUS-SEGMENT'!$IH$8:$IH$1000))</f>
        <v>268443.01615213475</v>
      </c>
      <c r="II17" s="401">
        <f>IF($C17="","",SUMPRODUCT(('ANALYSE - ERP =&gt; SOUS-SEGMENT'!$C$8:$C$1000=$C17)*'ANALYSE - ERP =&gt; SOUS-SEGMENT'!$Q$8:$Q$1000*'ANALYSE - ERP =&gt; SOUS-SEGMENT'!$II$8:$II$1000))</f>
        <v>229722.64933998702</v>
      </c>
      <c r="IJ17" s="401">
        <f>IF($C17="","",SUMPRODUCT(('ANALYSE - ERP =&gt; SOUS-SEGMENT'!$C$8:$C$1000=$C17)*'ANALYSE - ERP =&gt; SOUS-SEGMENT'!$Q$8:$Q$1000*'ANALYSE - ERP =&gt; SOUS-SEGMENT'!$IJ$8:$IJ$1000))</f>
        <v>13296.122509751369</v>
      </c>
      <c r="IK17" s="871">
        <f>IF($C17="","",IFERROR(SUMPRODUCT(('ANALYSE - ERP =&gt; SOUS-SEGMENT'!$C$8:$C$1000=$C17)*'ANALYSE - ERP =&gt; SOUS-SEGMENT'!$Q$8:$Q$1000*'ANALYSE - ERP =&gt; SOUS-SEGMENT'!$IE$8:$IE$1000*'ANALYSE - ERP =&gt; SOUS-SEGMENT'!$IK$8:$IK$1000)/SUMPRODUCT(('ANALYSE - ERP =&gt; SOUS-SEGMENT'!$C$8:$C$1000=$C17)*'ANALYSE - ERP =&gt; SOUS-SEGMENT'!$Q$8:$Q$1000*'ANALYSE - ERP =&gt; SOUS-SEGMENT'!$IE$8:$IE$1000),""))</f>
        <v>4.2575024275139466</v>
      </c>
      <c r="IL17" s="928" t="s">
        <v>5628</v>
      </c>
      <c r="IM17" s="968" t="s">
        <v>5629</v>
      </c>
      <c r="IN17" s="683"/>
      <c r="IO17" s="736">
        <f>IF($C17="","",IFERROR(SUMPRODUCT(('ANALYSE - ERP =&gt; SOUS-SEGMENT'!$C$8:$C$1000=$C17)*'ANALYSE - ERP =&gt; SOUS-SEGMENT'!$Q$8:$Q$1000*'ANALYSE - ERP =&gt; SOUS-SEGMENT'!$BE$8:$BE$1000*'ANALYSE - ERP =&gt; SOUS-SEGMENT'!$IO$8:$IO$1000)/SUMPRODUCT(('ANALYSE - ERP =&gt; SOUS-SEGMENT'!$C$8:$C$1000=$C17)*'ANALYSE - ERP =&gt; SOUS-SEGMENT'!$Q$8:$Q$1000*'ANALYSE - ERP =&gt; SOUS-SEGMENT'!$BE$8:$BE$1000),""))</f>
        <v>6.1044181467164305E-6</v>
      </c>
      <c r="IP17" s="736">
        <f>IF($C17="","",IFERROR(SUMPRODUCT(('ANALYSE - ERP =&gt; SOUS-SEGMENT'!$C$8:$C$1000=$C17)*'ANALYSE - ERP =&gt; SOUS-SEGMENT'!$Q$8:$Q$1000*'ANALYSE - ERP =&gt; SOUS-SEGMENT'!$BE$8:$BE$1000*'ANALYSE - ERP =&gt; SOUS-SEGMENT'!$IP$8:$IP$1000)/SUMPRODUCT(('ANALYSE - ERP =&gt; SOUS-SEGMENT'!$C$8:$C$1000=$C17)*'ANALYSE - ERP =&gt; SOUS-SEGMENT'!$Q$8:$Q$1000*'ANALYSE - ERP =&gt; SOUS-SEGMENT'!$BE$8:$BE$1000),""))</f>
        <v>0.15326013370453725</v>
      </c>
      <c r="IQ17" s="736">
        <f>IF($C17="","",IFERROR(SUMPRODUCT(('ANALYSE - ERP =&gt; SOUS-SEGMENT'!$C$8:$C$1000=$C17)*'ANALYSE - ERP =&gt; SOUS-SEGMENT'!$Q$8:$Q$1000*'ANALYSE - ERP =&gt; SOUS-SEGMENT'!$BE$8:$BE$1000*'ANALYSE - ERP =&gt; SOUS-SEGMENT'!$IQ$8:$IQ$1000)/SUMPRODUCT(('ANALYSE - ERP =&gt; SOUS-SEGMENT'!$C$8:$C$1000=$C17)*'ANALYSE - ERP =&gt; SOUS-SEGMENT'!$Q$8:$Q$1000*'ANALYSE - ERP =&gt; SOUS-SEGMENT'!$BE$8:$BE$1000),""))</f>
        <v>0.5557996881116456</v>
      </c>
      <c r="IR17" s="736">
        <f>IF($C17="","",IFERROR(SUMPRODUCT(('ANALYSE - ERP =&gt; SOUS-SEGMENT'!$C$8:$C$1000=$C17)*'ANALYSE - ERP =&gt; SOUS-SEGMENT'!$Q$8:$Q$1000*'ANALYSE - ERP =&gt; SOUS-SEGMENT'!$BE$8:$BE$1000*'ANALYSE - ERP =&gt; SOUS-SEGMENT'!$IR$8:$IR$1000)/SUMPRODUCT(('ANALYSE - ERP =&gt; SOUS-SEGMENT'!$C$8:$C$1000=$C17)*'ANALYSE - ERP =&gt; SOUS-SEGMENT'!$Q$8:$Q$1000*'ANALYSE - ERP =&gt; SOUS-SEGMENT'!$BE$8:$BE$1000),""))</f>
        <v>0.28957137620551143</v>
      </c>
      <c r="IS17" s="736">
        <f>IF($C17="","",IFERROR(SUMPRODUCT(('ANALYSE - ERP =&gt; SOUS-SEGMENT'!$C$8:$C$1000=$C17)*'ANALYSE - ERP =&gt; SOUS-SEGMENT'!$Q$8:$Q$1000*'ANALYSE - ERP =&gt; SOUS-SEGMENT'!$BE$8:$BE$1000*'ANALYSE - ERP =&gt; SOUS-SEGMENT'!$IS$8:$IS$1000)/SUMPRODUCT(('ANALYSE - ERP =&gt; SOUS-SEGMENT'!$C$8:$C$1000=$C17)*'ANALYSE - ERP =&gt; SOUS-SEGMENT'!$Q$8:$Q$1000*'ANALYSE - ERP =&gt; SOUS-SEGMENT'!$BE$8:$BE$1000),""))</f>
        <v>1.3626975601588927E-3</v>
      </c>
      <c r="IT17" s="736">
        <f>IF($C17="","",IFERROR(SUMPRODUCT(('ANALYSE - ERP =&gt; SOUS-SEGMENT'!$C$8:$C$1000=$C17)*'ANALYSE - ERP =&gt; SOUS-SEGMENT'!$Q$8:$Q$1000*'ANALYSE - ERP =&gt; SOUS-SEGMENT'!$FB$8:$FB$1000*'ANALYSE - ERP =&gt; SOUS-SEGMENT'!$IT$8:$IT$1000)/SUMPRODUCT(('ANALYSE - ERP =&gt; SOUS-SEGMENT'!$C$8:$C$1000=$C17)*'ANALYSE - ERP =&gt; SOUS-SEGMENT'!$Q$8:$Q$1000*'ANALYSE - ERP =&gt; SOUS-SEGMENT'!$FB$8:$FB$1000),""))</f>
        <v>0</v>
      </c>
      <c r="IU17" s="736">
        <f>IF($C17="","",IFERROR(SUMPRODUCT(('ANALYSE - ERP =&gt; SOUS-SEGMENT'!$C$8:$C$1000=$C17)*'ANALYSE - ERP =&gt; SOUS-SEGMENT'!$Q$8:$Q$1000*'ANALYSE - ERP =&gt; SOUS-SEGMENT'!$FB$8:$FB$1000*'ANALYSE - ERP =&gt; SOUS-SEGMENT'!$IU$8:$IU$1000)/SUMPRODUCT(('ANALYSE - ERP =&gt; SOUS-SEGMENT'!$C$8:$C$1000=$C17)*'ANALYSE - ERP =&gt; SOUS-SEGMENT'!$Q$8:$Q$1000*'ANALYSE - ERP =&gt; SOUS-SEGMENT'!$FB$8:$FB$1000),""))</f>
        <v>8.1936780297008585E-2</v>
      </c>
      <c r="IV17" s="736">
        <f>IF($C17="","",IFERROR(SUMPRODUCT(('ANALYSE - ERP =&gt; SOUS-SEGMENT'!$C$8:$C$1000=$C17)*'ANALYSE - ERP =&gt; SOUS-SEGMENT'!$Q$8:$Q$1000*'ANALYSE - ERP =&gt; SOUS-SEGMENT'!$FB$8:$FB$1000*'ANALYSE - ERP =&gt; SOUS-SEGMENT'!$IV$8:$IV$1000)/SUMPRODUCT(('ANALYSE - ERP =&gt; SOUS-SEGMENT'!$C$8:$C$1000=$C17)*'ANALYSE - ERP =&gt; SOUS-SEGMENT'!$Q$8:$Q$1000*'ANALYSE - ERP =&gt; SOUS-SEGMENT'!$FB$8:$FB$1000),""))</f>
        <v>0.51243331414044579</v>
      </c>
      <c r="IW17" s="736">
        <f>IF($C17="","",IFERROR(SUMPRODUCT(('ANALYSE - ERP =&gt; SOUS-SEGMENT'!$C$8:$C$1000=$C17)*'ANALYSE - ERP =&gt; SOUS-SEGMENT'!$Q$8:$Q$1000*'ANALYSE - ERP =&gt; SOUS-SEGMENT'!$FB$8:$FB$1000*'ANALYSE - ERP =&gt; SOUS-SEGMENT'!$IW$8:$IW$1000)/SUMPRODUCT(('ANALYSE - ERP =&gt; SOUS-SEGMENT'!$C$8:$C$1000=$C17)*'ANALYSE - ERP =&gt; SOUS-SEGMENT'!$Q$8:$Q$1000*'ANALYSE - ERP =&gt; SOUS-SEGMENT'!$FB$8:$FB$1000),""))</f>
        <v>0.39179714054515741</v>
      </c>
      <c r="IX17" s="736">
        <f>IF($C17="","",IFERROR(SUMPRODUCT(('ANALYSE - ERP =&gt; SOUS-SEGMENT'!$C$8:$C$1000=$C17)*'ANALYSE - ERP =&gt; SOUS-SEGMENT'!$Q$8:$Q$1000*'ANALYSE - ERP =&gt; SOUS-SEGMENT'!$FB$8:$FB$1000*'ANALYSE - ERP =&gt; SOUS-SEGMENT'!$IX$8:$IX$1000)/SUMPRODUCT(('ANALYSE - ERP =&gt; SOUS-SEGMENT'!$C$8:$C$1000=$C17)*'ANALYSE - ERP =&gt; SOUS-SEGMENT'!$Q$8:$Q$1000*'ANALYSE - ERP =&gt; SOUS-SEGMENT'!$FB$8:$FB$1000),""))</f>
        <v>1.3832765017388268E-2</v>
      </c>
      <c r="IY17" s="736">
        <f>IF($C17="","",IFERROR(SUMPRODUCT(('ANALYSE - ERP =&gt; SOUS-SEGMENT'!$C$8:$C$1000=$C17)*'ANALYSE - ERP =&gt; SOUS-SEGMENT'!$Q$8:$Q$1000*'ANALYSE - ERP =&gt; SOUS-SEGMENT'!$BF$8:$BF$1000*'ANALYSE - ERP =&gt; SOUS-SEGMENT'!$IY$8:$IY$1000)/SUMPRODUCT(('ANALYSE - ERP =&gt; SOUS-SEGMENT'!$C$8:$C$1000=$C17)*'ANALYSE - ERP =&gt; SOUS-SEGMENT'!$Q$8:$Q$1000*'ANALYSE - ERP =&gt; SOUS-SEGMENT'!$BF$8:$BF$1000),""))</f>
        <v>0</v>
      </c>
      <c r="IZ17" s="736">
        <f>IF($C17="","",IFERROR(SUMPRODUCT(('ANALYSE - ERP =&gt; SOUS-SEGMENT'!$C$8:$C$1000=$C17)*'ANALYSE - ERP =&gt; SOUS-SEGMENT'!$Q$8:$Q$1000*'ANALYSE - ERP =&gt; SOUS-SEGMENT'!$BF$8:$BF$1000*'ANALYSE - ERP =&gt; SOUS-SEGMENT'!$IZ$8:$IZ$1000)/SUMPRODUCT(('ANALYSE - ERP =&gt; SOUS-SEGMENT'!$C$8:$C$1000=$C17)*'ANALYSE - ERP =&gt; SOUS-SEGMENT'!$Q$8:$Q$1000*'ANALYSE - ERP =&gt; SOUS-SEGMENT'!$BF$8:$BF$1000),""))</f>
        <v>0.1024151197465461</v>
      </c>
      <c r="JA17" s="736">
        <f>IF($C17="","",IFERROR(SUMPRODUCT(('ANALYSE - ERP =&gt; SOUS-SEGMENT'!$C$8:$C$1000=$C17)*'ANALYSE - ERP =&gt; SOUS-SEGMENT'!$Q$8:$Q$1000*'ANALYSE - ERP =&gt; SOUS-SEGMENT'!$BF$8:$BF$1000*'ANALYSE - ERP =&gt; SOUS-SEGMENT'!$JA$8:$JA$1000)/SUMPRODUCT(('ANALYSE - ERP =&gt; SOUS-SEGMENT'!$C$8:$C$1000=$C17)*'ANALYSE - ERP =&gt; SOUS-SEGMENT'!$Q$8:$Q$1000*'ANALYSE - ERP =&gt; SOUS-SEGMENT'!$BF$8:$BF$1000),""))</f>
        <v>0.51057533664173582</v>
      </c>
      <c r="JB17" s="736">
        <f>IF($C17="","",IFERROR(SUMPRODUCT(('ANALYSE - ERP =&gt; SOUS-SEGMENT'!$C$8:$C$1000=$C17)*'ANALYSE - ERP =&gt; SOUS-SEGMENT'!$Q$8:$Q$1000*'ANALYSE - ERP =&gt; SOUS-SEGMENT'!$BF$8:$BF$1000*'ANALYSE - ERP =&gt; SOUS-SEGMENT'!$JB$8:$JB$1000)/SUMPRODUCT(('ANALYSE - ERP =&gt; SOUS-SEGMENT'!$C$8:$C$1000=$C17)*'ANALYSE - ERP =&gt; SOUS-SEGMENT'!$Q$8:$Q$1000*'ANALYSE - ERP =&gt; SOUS-SEGMENT'!$BF$8:$BF$1000),""))</f>
        <v>0.37247690620939722</v>
      </c>
      <c r="JC17" s="736">
        <f>IF($C17="","",IFERROR(SUMPRODUCT(('ANALYSE - ERP =&gt; SOUS-SEGMENT'!$C$8:$C$1000=$C17)*'ANALYSE - ERP =&gt; SOUS-SEGMENT'!$Q$8:$Q$1000*'ANALYSE - ERP =&gt; SOUS-SEGMENT'!$BF$8:$BF$1000*'ANALYSE - ERP =&gt; SOUS-SEGMENT'!$JC$8:$JC$1000)/SUMPRODUCT(('ANALYSE - ERP =&gt; SOUS-SEGMENT'!$C$8:$C$1000=$C17)*'ANALYSE - ERP =&gt; SOUS-SEGMENT'!$Q$8:$Q$1000*'ANALYSE - ERP =&gt; SOUS-SEGMENT'!$BF$8:$BF$1000),""))</f>
        <v>1.4532637402320844E-2</v>
      </c>
      <c r="JD17" s="736">
        <f>IF($C17="","",IFERROR(SUMPRODUCT(('ANALYSE - ERP =&gt; SOUS-SEGMENT'!$C$8:$C$1000=$C17)*'ANALYSE - ERP =&gt; SOUS-SEGMENT'!$Q$8:$Q$1000*'ANALYSE - ERP =&gt; SOUS-SEGMENT'!$FE$8:$FE$1000*'ANALYSE - ERP =&gt; SOUS-SEGMENT'!$JD$8:$JD$1000)/SUMPRODUCT(('ANALYSE - ERP =&gt; SOUS-SEGMENT'!$C$8:$C$1000=$C17)*'ANALYSE - ERP =&gt; SOUS-SEGMENT'!$Q$8:$Q$1000*'ANALYSE - ERP =&gt; SOUS-SEGMENT'!$FE$8:$FE$1000),""))</f>
        <v>0</v>
      </c>
      <c r="JE17" s="736">
        <f>IF($C17="","",IFERROR(SUMPRODUCT(('ANALYSE - ERP =&gt; SOUS-SEGMENT'!$C$8:$C$1000=$C17)*'ANALYSE - ERP =&gt; SOUS-SEGMENT'!$Q$8:$Q$1000*'ANALYSE - ERP =&gt; SOUS-SEGMENT'!$FE$8:$FE$1000*'ANALYSE - ERP =&gt; SOUS-SEGMENT'!$JE$8:$JE$1000)/SUMPRODUCT(('ANALYSE - ERP =&gt; SOUS-SEGMENT'!$C$8:$C$1000=$C17)*'ANALYSE - ERP =&gt; SOUS-SEGMENT'!$Q$8:$Q$1000*'ANALYSE - ERP =&gt; SOUS-SEGMENT'!$FE$8:$FE$1000),""))</f>
        <v>4.4605921885032436E-2</v>
      </c>
      <c r="JF17" s="736">
        <f>IF($C17="","",IFERROR(SUMPRODUCT(('ANALYSE - ERP =&gt; SOUS-SEGMENT'!$C$8:$C$1000=$C17)*'ANALYSE - ERP =&gt; SOUS-SEGMENT'!$Q$8:$Q$1000*'ANALYSE - ERP =&gt; SOUS-SEGMENT'!$FE$8:$FE$1000*'ANALYSE - ERP =&gt; SOUS-SEGMENT'!$JF$8:$JF$1000)/SUMPRODUCT(('ANALYSE - ERP =&gt; SOUS-SEGMENT'!$C$8:$C$1000=$C17)*'ANALYSE - ERP =&gt; SOUS-SEGMENT'!$Q$8:$Q$1000*'ANALYSE - ERP =&gt; SOUS-SEGMENT'!$FE$8:$FE$1000),""))</f>
        <v>0.43733678392769731</v>
      </c>
      <c r="JG17" s="736">
        <f>IF($C17="","",IFERROR(SUMPRODUCT(('ANALYSE - ERP =&gt; SOUS-SEGMENT'!$C$8:$C$1000=$C17)*'ANALYSE - ERP =&gt; SOUS-SEGMENT'!$Q$8:$Q$1000*'ANALYSE - ERP =&gt; SOUS-SEGMENT'!$FE$8:$FE$1000*'ANALYSE - ERP =&gt; SOUS-SEGMENT'!$JG$8:$JG$1000)/SUMPRODUCT(('ANALYSE - ERP =&gt; SOUS-SEGMENT'!$C$8:$C$1000=$C17)*'ANALYSE - ERP =&gt; SOUS-SEGMENT'!$Q$8:$Q$1000*'ANALYSE - ERP =&gt; SOUS-SEGMENT'!$FE$8:$FE$1000),""))</f>
        <v>0.47160289690905222</v>
      </c>
      <c r="JH17" s="736">
        <f>IF($C17="","",IFERROR(SUMPRODUCT(('ANALYSE - ERP =&gt; SOUS-SEGMENT'!$C$8:$C$1000=$C17)*'ANALYSE - ERP =&gt; SOUS-SEGMENT'!$Q$8:$Q$1000*'ANALYSE - ERP =&gt; SOUS-SEGMENT'!$FE$8:$FE$1000*'ANALYSE - ERP =&gt; SOUS-SEGMENT'!$JH$8:$JH$1000)/SUMPRODUCT(('ANALYSE - ERP =&gt; SOUS-SEGMENT'!$C$8:$C$1000=$C17)*'ANALYSE - ERP =&gt; SOUS-SEGMENT'!$Q$8:$Q$1000*'ANALYSE - ERP =&gt; SOUS-SEGMENT'!$FE$8:$FE$1000),""))</f>
        <v>4.6454397278217936E-2</v>
      </c>
      <c r="JI17" s="736">
        <f>IF($C17="","",IFERROR(SUMPRODUCT(('ANALYSE - ERP =&gt; SOUS-SEGMENT'!$C$8:$C$1000=$C17)*'ANALYSE - ERP =&gt; SOUS-SEGMENT'!$Q$8:$Q$1000*'ANALYSE - ERP =&gt; SOUS-SEGMENT'!$BG$8:$BG$1000*'ANALYSE - ERP =&gt; SOUS-SEGMENT'!$JI$8:$JI$1000)/SUMPRODUCT(('ANALYSE - ERP =&gt; SOUS-SEGMENT'!$C$8:$C$1000=$C17)*'ANALYSE - ERP =&gt; SOUS-SEGMENT'!$Q$8:$Q$1000*'ANALYSE - ERP =&gt; SOUS-SEGMENT'!$BG$8:$BG$1000),""))</f>
        <v>1.4099954661512397E-2</v>
      </c>
      <c r="JJ17" s="736">
        <f>IF($C17="","",IFERROR(SUMPRODUCT(('ANALYSE - ERP =&gt; SOUS-SEGMENT'!$C$8:$C$1000=$C17)*'ANALYSE - ERP =&gt; SOUS-SEGMENT'!$Q$8:$Q$1000*'ANALYSE - ERP =&gt; SOUS-SEGMENT'!$BG$8:$BG$1000*'ANALYSE - ERP =&gt; SOUS-SEGMENT'!$JJ$8:$JJ$1000)/SUMPRODUCT(('ANALYSE - ERP =&gt; SOUS-SEGMENT'!$C$8:$C$1000=$C17)*'ANALYSE - ERP =&gt; SOUS-SEGMENT'!$Q$8:$Q$1000*'ANALYSE - ERP =&gt; SOUS-SEGMENT'!$BG$8:$BG$1000),""))</f>
        <v>0.33167880306392716</v>
      </c>
      <c r="JK17" s="736">
        <f>IF($C17="","",IFERROR(SUMPRODUCT(('ANALYSE - ERP =&gt; SOUS-SEGMENT'!$C$8:$C$1000=$C17)*'ANALYSE - ERP =&gt; SOUS-SEGMENT'!$Q$8:$Q$1000*'ANALYSE - ERP =&gt; SOUS-SEGMENT'!$BG$8:$BG$1000*'ANALYSE - ERP =&gt; SOUS-SEGMENT'!$JK$8:$JK$1000)/SUMPRODUCT(('ANALYSE - ERP =&gt; SOUS-SEGMENT'!$C$8:$C$1000=$C17)*'ANALYSE - ERP =&gt; SOUS-SEGMENT'!$Q$8:$Q$1000*'ANALYSE - ERP =&gt; SOUS-SEGMENT'!$BG$8:$BG$1000),""))</f>
        <v>0.50858259956570506</v>
      </c>
      <c r="JL17" s="736">
        <f>IF($C17="","",IFERROR(SUMPRODUCT(('ANALYSE - ERP =&gt; SOUS-SEGMENT'!$C$8:$C$1000=$C17)*'ANALYSE - ERP =&gt; SOUS-SEGMENT'!$Q$8:$Q$1000*'ANALYSE - ERP =&gt; SOUS-SEGMENT'!$BG$8:$BG$1000*'ANALYSE - ERP =&gt; SOUS-SEGMENT'!$JL$8:$JL$1000)/SUMPRODUCT(('ANALYSE - ERP =&gt; SOUS-SEGMENT'!$C$8:$C$1000=$C17)*'ANALYSE - ERP =&gt; SOUS-SEGMENT'!$Q$8:$Q$1000*'ANALYSE - ERP =&gt; SOUS-SEGMENT'!$BG$8:$BG$1000),""))</f>
        <v>0.14221824993437854</v>
      </c>
      <c r="JM17" s="736">
        <f>IF($C17="","",IFERROR(SUMPRODUCT(('ANALYSE - ERP =&gt; SOUS-SEGMENT'!$C$8:$C$1000=$C17)*'ANALYSE - ERP =&gt; SOUS-SEGMENT'!$Q$8:$Q$1000*'ANALYSE - ERP =&gt; SOUS-SEGMENT'!$BG$8:$BG$1000*'ANALYSE - ERP =&gt; SOUS-SEGMENT'!$JM$8:$JM$1000)/SUMPRODUCT(('ANALYSE - ERP =&gt; SOUS-SEGMENT'!$C$8:$C$1000=$C17)*'ANALYSE - ERP =&gt; SOUS-SEGMENT'!$Q$8:$Q$1000*'ANALYSE - ERP =&gt; SOUS-SEGMENT'!$BG$8:$BG$1000),""))</f>
        <v>3.4203927744768177E-3</v>
      </c>
      <c r="JN17" s="736">
        <f>IF($C17="","",IFERROR(SUMPRODUCT(('ANALYSE - ERP =&gt; SOUS-SEGMENT'!$C$8:$C$1000=$C17)*'ANALYSE - ERP =&gt; SOUS-SEGMENT'!$Q$8:$Q$1000*'ANALYSE - ERP =&gt; SOUS-SEGMENT'!$FH$8:$FH$1000*'ANALYSE - ERP =&gt; SOUS-SEGMENT'!$JN$8:$JN$1000)/SUMPRODUCT(('ANALYSE - ERP =&gt; SOUS-SEGMENT'!$C$8:$C$1000=$C17)*'ANALYSE - ERP =&gt; SOUS-SEGMENT'!$Q$8:$Q$1000*'ANALYSE - ERP =&gt; SOUS-SEGMENT'!$FH$8:$FH$1000),""))</f>
        <v>0</v>
      </c>
      <c r="JO17" s="736">
        <f>IF($C17="","",IFERROR(SUMPRODUCT(('ANALYSE - ERP =&gt; SOUS-SEGMENT'!$C$8:$C$1000=$C17)*'ANALYSE - ERP =&gt; SOUS-SEGMENT'!$Q$8:$Q$1000*'ANALYSE - ERP =&gt; SOUS-SEGMENT'!$FH$8:$FH$1000*'ANALYSE - ERP =&gt; SOUS-SEGMENT'!$JO$8:$JO$1000)/SUMPRODUCT(('ANALYSE - ERP =&gt; SOUS-SEGMENT'!$C$8:$C$1000=$C17)*'ANALYSE - ERP =&gt; SOUS-SEGMENT'!$Q$8:$Q$1000*'ANALYSE - ERP =&gt; SOUS-SEGMENT'!$FH$8:$FH$1000),""))</f>
        <v>0.22293292245548366</v>
      </c>
      <c r="JP17" s="736">
        <f>IF($C17="","",IFERROR(SUMPRODUCT(('ANALYSE - ERP =&gt; SOUS-SEGMENT'!$C$8:$C$1000=$C17)*'ANALYSE - ERP =&gt; SOUS-SEGMENT'!$Q$8:$Q$1000*'ANALYSE - ERP =&gt; SOUS-SEGMENT'!$FH$8:$FH$1000*'ANALYSE - ERP =&gt; SOUS-SEGMENT'!$JP$8:$JP$1000)/SUMPRODUCT(('ANALYSE - ERP =&gt; SOUS-SEGMENT'!$C$8:$C$1000=$C17)*'ANALYSE - ERP =&gt; SOUS-SEGMENT'!$Q$8:$Q$1000*'ANALYSE - ERP =&gt; SOUS-SEGMENT'!$FH$8:$FH$1000),""))</f>
        <v>0.55138306116114522</v>
      </c>
      <c r="JQ17" s="736">
        <f>IF($C17="","",IFERROR(SUMPRODUCT(('ANALYSE - ERP =&gt; SOUS-SEGMENT'!$C$8:$C$1000=$C17)*'ANALYSE - ERP =&gt; SOUS-SEGMENT'!$Q$8:$Q$1000*'ANALYSE - ERP =&gt; SOUS-SEGMENT'!$FH$8:$FH$1000*'ANALYSE - ERP =&gt; SOUS-SEGMENT'!$JQ$8:$JQ$1000)/SUMPRODUCT(('ANALYSE - ERP =&gt; SOUS-SEGMENT'!$C$8:$C$1000=$C17)*'ANALYSE - ERP =&gt; SOUS-SEGMENT'!$Q$8:$Q$1000*'ANALYSE - ERP =&gt; SOUS-SEGMENT'!$FH$8:$FH$1000),""))</f>
        <v>0.21997844911195888</v>
      </c>
      <c r="JR17" s="736">
        <f>IF($C17="","",IFERROR(SUMPRODUCT(('ANALYSE - ERP =&gt; SOUS-SEGMENT'!$C$8:$C$1000=$C17)*'ANALYSE - ERP =&gt; SOUS-SEGMENT'!$Q$8:$Q$1000*'ANALYSE - ERP =&gt; SOUS-SEGMENT'!$FH$8:$FH$1000*'ANALYSE - ERP =&gt; SOUS-SEGMENT'!$JR$8:$JR$1000)/SUMPRODUCT(('ANALYSE - ERP =&gt; SOUS-SEGMENT'!$C$8:$C$1000=$C17)*'ANALYSE - ERP =&gt; SOUS-SEGMENT'!$Q$8:$Q$1000*'ANALYSE - ERP =&gt; SOUS-SEGMENT'!$FH$8:$FH$1000),""))</f>
        <v>5.7055672714120473E-3</v>
      </c>
      <c r="JS17" s="736">
        <f>IF($C17="","",IFERROR(SUMPRODUCT(('ANALYSE - ERP =&gt; SOUS-SEGMENT'!$C$8:$C$1000=$C17)*'ANALYSE - ERP =&gt; SOUS-SEGMENT'!$Q$8:$Q$1000*'ANALYSE - ERP =&gt; SOUS-SEGMENT'!$BH$8:$BH$1000*'ANALYSE - ERP =&gt; SOUS-SEGMENT'!$JS$8:$JS$1000)/SUMPRODUCT(('ANALYSE - ERP =&gt; SOUS-SEGMENT'!$C$8:$C$1000=$C17)*'ANALYSE - ERP =&gt; SOUS-SEGMENT'!$Q$8:$Q$1000*'ANALYSE - ERP =&gt; SOUS-SEGMENT'!$BH$8:$BH$1000),""))</f>
        <v>7.0810546330647412E-6</v>
      </c>
      <c r="JT17" s="736">
        <f>IF($C17="","",IFERROR(SUMPRODUCT(('ANALYSE - ERP =&gt; SOUS-SEGMENT'!$C$8:$C$1000=$C17)*'ANALYSE - ERP =&gt; SOUS-SEGMENT'!$Q$8:$Q$1000*'ANALYSE - ERP =&gt; SOUS-SEGMENT'!$BH$8:$BH$1000*'ANALYSE - ERP =&gt; SOUS-SEGMENT'!$JT$8:$JT$1000)/SUMPRODUCT(('ANALYSE - ERP =&gt; SOUS-SEGMENT'!$C$8:$C$1000=$C17)*'ANALYSE - ERP =&gt; SOUS-SEGMENT'!$Q$8:$Q$1000*'ANALYSE - ERP =&gt; SOUS-SEGMENT'!$BH$8:$BH$1000),""))</f>
        <v>0.12740913327841744</v>
      </c>
      <c r="JU17" s="736">
        <f>IF($C17="","",IFERROR(SUMPRODUCT(('ANALYSE - ERP =&gt; SOUS-SEGMENT'!$C$8:$C$1000=$C17)*'ANALYSE - ERP =&gt; SOUS-SEGMENT'!$Q$8:$Q$1000*'ANALYSE - ERP =&gt; SOUS-SEGMENT'!$BH$8:$BH$1000*'ANALYSE - ERP =&gt; SOUS-SEGMENT'!$JU$8:$JU$1000)/SUMPRODUCT(('ANALYSE - ERP =&gt; SOUS-SEGMENT'!$C$8:$C$1000=$C17)*'ANALYSE - ERP =&gt; SOUS-SEGMENT'!$Q$8:$Q$1000*'ANALYSE - ERP =&gt; SOUS-SEGMENT'!$BH$8:$BH$1000),""))</f>
        <v>0.54169139781616382</v>
      </c>
      <c r="JV17" s="736">
        <f>IF($C17="","",IFERROR(SUMPRODUCT(('ANALYSE - ERP =&gt; SOUS-SEGMENT'!$C$8:$C$1000=$C17)*'ANALYSE - ERP =&gt; SOUS-SEGMENT'!$Q$8:$Q$1000*'ANALYSE - ERP =&gt; SOUS-SEGMENT'!$BH$8:$BH$1000*'ANALYSE - ERP =&gt; SOUS-SEGMENT'!$JV$8:$JV$1000)/SUMPRODUCT(('ANALYSE - ERP =&gt; SOUS-SEGMENT'!$C$8:$C$1000=$C17)*'ANALYSE - ERP =&gt; SOUS-SEGMENT'!$Q$8:$Q$1000*'ANALYSE - ERP =&gt; SOUS-SEGMENT'!$BH$8:$BH$1000),""))</f>
        <v>0.32868716671105358</v>
      </c>
      <c r="JW17" s="736">
        <f>IF($C17="","",IFERROR(SUMPRODUCT(('ANALYSE - ERP =&gt; SOUS-SEGMENT'!$C$8:$C$1000=$C17)*'ANALYSE - ERP =&gt; SOUS-SEGMENT'!$Q$8:$Q$1000*'ANALYSE - ERP =&gt; SOUS-SEGMENT'!$BH$8:$BH$1000*'ANALYSE - ERP =&gt; SOUS-SEGMENT'!$JW$8:$JW$1000)/SUMPRODUCT(('ANALYSE - ERP =&gt; SOUS-SEGMENT'!$C$8:$C$1000=$C17)*'ANALYSE - ERP =&gt; SOUS-SEGMENT'!$Q$8:$Q$1000*'ANALYSE - ERP =&gt; SOUS-SEGMENT'!$BH$8:$BH$1000),""))</f>
        <v>2.2052211397320682E-3</v>
      </c>
      <c r="JX17" s="736">
        <f>IF($C17="","",IFERROR(SUMPRODUCT(('ANALYSE - ERP =&gt; SOUS-SEGMENT'!$C$8:$C$1000=$C17)*'ANALYSE - ERP =&gt; SOUS-SEGMENT'!$Q$8:$Q$1000*'ANALYSE - ERP =&gt; SOUS-SEGMENT'!$FK$8:$FK$1000*'ANALYSE - ERP =&gt; SOUS-SEGMENT'!$JX$8:$JX$1000)/SUMPRODUCT(('ANALYSE - ERP =&gt; SOUS-SEGMENT'!$C$8:$C$1000=$C17)*'ANALYSE - ERP =&gt; SOUS-SEGMENT'!$Q$8:$Q$1000*'ANALYSE - ERP =&gt; SOUS-SEGMENT'!$FK$8:$FK$1000),""))</f>
        <v>0</v>
      </c>
      <c r="JY17" s="736">
        <f>IF($C17="","",IFERROR(SUMPRODUCT(('ANALYSE - ERP =&gt; SOUS-SEGMENT'!$C$8:$C$1000=$C17)*'ANALYSE - ERP =&gt; SOUS-SEGMENT'!$Q$8:$Q$1000*'ANALYSE - ERP =&gt; SOUS-SEGMENT'!$FK$8:$FK$1000*'ANALYSE - ERP =&gt; SOUS-SEGMENT'!$JY$8:$JY$1000)/SUMPRODUCT(('ANALYSE - ERP =&gt; SOUS-SEGMENT'!$C$8:$C$1000=$C17)*'ANALYSE - ERP =&gt; SOUS-SEGMENT'!$Q$8:$Q$1000*'ANALYSE - ERP =&gt; SOUS-SEGMENT'!$FK$8:$FK$1000),""))</f>
        <v>6.3540894731948044E-2</v>
      </c>
      <c r="JZ17" s="736">
        <f>IF($C17="","",IFERROR(SUMPRODUCT(('ANALYSE - ERP =&gt; SOUS-SEGMENT'!$C$8:$C$1000=$C17)*'ANALYSE - ERP =&gt; SOUS-SEGMENT'!$Q$8:$Q$1000*'ANALYSE - ERP =&gt; SOUS-SEGMENT'!$FK$8:$FK$1000*'ANALYSE - ERP =&gt; SOUS-SEGMENT'!$JZ$8:$JZ$1000)/SUMPRODUCT(('ANALYSE - ERP =&gt; SOUS-SEGMENT'!$C$8:$C$1000=$C17)*'ANALYSE - ERP =&gt; SOUS-SEGMENT'!$Q$8:$Q$1000*'ANALYSE - ERP =&gt; SOUS-SEGMENT'!$FK$8:$FK$1000),""))</f>
        <v>0.4808114581398677</v>
      </c>
      <c r="KA17" s="736">
        <f>IF($C17="","",IFERROR(SUMPRODUCT(('ANALYSE - ERP =&gt; SOUS-SEGMENT'!$C$8:$C$1000=$C17)*'ANALYSE - ERP =&gt; SOUS-SEGMENT'!$Q$8:$Q$1000*'ANALYSE - ERP =&gt; SOUS-SEGMENT'!$FK$8:$FK$1000*'ANALYSE - ERP =&gt; SOUS-SEGMENT'!$KA$8:$KA$1000)/SUMPRODUCT(('ANALYSE - ERP =&gt; SOUS-SEGMENT'!$C$8:$C$1000=$C17)*'ANALYSE - ERP =&gt; SOUS-SEGMENT'!$Q$8:$Q$1000*'ANALYSE - ERP =&gt; SOUS-SEGMENT'!$FK$8:$FK$1000),""))</f>
        <v>0.42929998668287933</v>
      </c>
      <c r="KB17" s="736">
        <f>IF($C17="","",IFERROR(SUMPRODUCT(('ANALYSE - ERP =&gt; SOUS-SEGMENT'!$C$8:$C$1000=$C17)*'ANALYSE - ERP =&gt; SOUS-SEGMENT'!$Q$8:$Q$1000*'ANALYSE - ERP =&gt; SOUS-SEGMENT'!$FK$8:$FK$1000*'ANALYSE - ERP =&gt; SOUS-SEGMENT'!$KB$8:$KB$1000)/SUMPRODUCT(('ANALYSE - ERP =&gt; SOUS-SEGMENT'!$C$8:$C$1000=$C17)*'ANALYSE - ERP =&gt; SOUS-SEGMENT'!$Q$8:$Q$1000*'ANALYSE - ERP =&gt; SOUS-SEGMENT'!$FK$8:$FK$1000),""))</f>
        <v>2.6347660445304823E-2</v>
      </c>
      <c r="KC17" s="683"/>
      <c r="KD17" s="928" t="s">
        <v>5630</v>
      </c>
      <c r="KE17" s="928" t="s">
        <v>5631</v>
      </c>
      <c r="KF17" s="871">
        <f>IF($C17="","",IFERROR(SUMPRODUCT(('ANALYSE - ERP =&gt; SOUS-SEGMENT'!$C$8:$C$1000=$C17)*'ANALYSE - ERP =&gt; SOUS-SEGMENT'!$Q$8:$Q$1000*'ANALYSE - ERP =&gt; SOUS-SEGMENT'!$IE$8:$IE$1000*'ANALYSE - ERP =&gt; SOUS-SEGMENT'!$KF$8:$KF$1000)/SUMPRODUCT(('ANALYSE - ERP =&gt; SOUS-SEGMENT'!$C$8:$C$1000=$C17)*'ANALYSE - ERP =&gt; SOUS-SEGMENT'!$Q$8:$Q$1000*'ANALYSE - ERP =&gt; SOUS-SEGMENT'!$IE$8:$IE$1000),""))</f>
        <v>4.5022815130685911</v>
      </c>
      <c r="KG17" s="928" t="s">
        <v>5632</v>
      </c>
      <c r="KH17" s="928" t="s">
        <v>5633</v>
      </c>
      <c r="KI17" s="928" t="s">
        <v>5634</v>
      </c>
      <c r="KJ17" s="928" t="s">
        <v>5635</v>
      </c>
    </row>
    <row r="18" spans="1:296" ht="120" customHeight="1">
      <c r="A18" s="951">
        <f>IF($C18="","",ROWS($A$8:A18))</f>
        <v>11</v>
      </c>
      <c r="B18" s="952" t="s">
        <v>2241</v>
      </c>
      <c r="C18" s="952" t="s">
        <v>2242</v>
      </c>
      <c r="D18" s="952" t="s">
        <v>5636</v>
      </c>
      <c r="E18" s="277" t="s">
        <v>5637</v>
      </c>
      <c r="F18" s="646" t="s">
        <v>5638</v>
      </c>
      <c r="G18" s="646" t="s">
        <v>300</v>
      </c>
      <c r="H18" s="646" t="s">
        <v>5639</v>
      </c>
      <c r="I18" s="646" t="s">
        <v>5640</v>
      </c>
      <c r="J18" s="646" t="s">
        <v>5641</v>
      </c>
      <c r="K18" s="646" t="s">
        <v>5642</v>
      </c>
      <c r="L18" s="646" t="s">
        <v>2109</v>
      </c>
      <c r="M18" s="646" t="s">
        <v>5643</v>
      </c>
      <c r="N18" s="646" t="s">
        <v>5644</v>
      </c>
      <c r="O18" s="646" t="s">
        <v>5645</v>
      </c>
      <c r="P18" s="646"/>
      <c r="Q18" s="270">
        <f>IF($C18="","",IF(SUMIFS('ANALYSE - ERP =&gt; SOUS-SEGMENT'!$Q$8:$Q$1000,'ANALYSE - ERP =&gt; SOUS-SEGMENT'!$C$8:$C$1000,$C18)&gt;0,1,0))</f>
        <v>1</v>
      </c>
      <c r="R18" s="278">
        <f>IF($C18="","",IFERROR(SUMPRODUCT(('ANALYSE - ERP =&gt; SOUS-SEGMENT'!$C$8:$C$1000=$C18)*'ANALYSE - ERP =&gt; SOUS-SEGMENT'!$Q$8:$Q$1000*'ANALYSE - ERP =&gt; SOUS-SEGMENT'!$AF$8:$AF$1000*'ANALYSE - ERP =&gt; SOUS-SEGMENT'!$R$8:$R$1000)/SUMPRODUCT(('ANALYSE - ERP =&gt; SOUS-SEGMENT'!$C$8:$C$1000=$C18)*'ANALYSE - ERP =&gt; SOUS-SEGMENT'!$Q$8:$Q$1000*'ANALYSE - ERP =&gt; SOUS-SEGMENT'!$AF$8:$AF$1000),""))</f>
        <v>551.92253718776317</v>
      </c>
      <c r="S18" s="279">
        <f>IF($C18="","",SUMPRODUCT(('ANALYSE - ERP =&gt; SOUS-SEGMENT'!$C$8:$C$1000=$C18)*'ANALYSE - ERP =&gt; SOUS-SEGMENT'!$Q$8:$Q$1000*'ANALYSE - ERP =&gt; SOUS-SEGMENT'!$S$8:$S$1000))</f>
        <v>2603</v>
      </c>
      <c r="T18" s="279">
        <f>IF($C18="","",SUMPRODUCT(('ANALYSE - ERP =&gt; SOUS-SEGMENT'!$C$8:$C$1000=$C18)*'ANALYSE - ERP =&gt; SOUS-SEGMENT'!$Q$8:$Q$1000*'ANALYSE - ERP =&gt; SOUS-SEGMENT'!$T$8:$T$1000))</f>
        <v>3182</v>
      </c>
      <c r="U18" s="279">
        <f>IF($C18="","",SUMPRODUCT(('ANALYSE - ERP =&gt; SOUS-SEGMENT'!$C$8:$C$1000=$C18)*'ANALYSE - ERP =&gt; SOUS-SEGMENT'!$Q$8:$Q$1000*'ANALYSE - ERP =&gt; SOUS-SEGMENT'!$U$8:$U$1000))</f>
        <v>3852</v>
      </c>
      <c r="V18" s="279">
        <f>IF($C18="","",SUMPRODUCT(('ANALYSE - ERP =&gt; SOUS-SEGMENT'!$C$8:$C$1000=$C18)*'ANALYSE - ERP =&gt; SOUS-SEGMENT'!$Q$8:$Q$1000*'ANALYSE - ERP =&gt; SOUS-SEGMENT'!$V$8:$V$1000))</f>
        <v>4685</v>
      </c>
      <c r="W18" s="279">
        <f>IF($C18="","",SUMPRODUCT(('ANALYSE - ERP =&gt; SOUS-SEGMENT'!$C$8:$C$1000=$C18)*'ANALYSE - ERP =&gt; SOUS-SEGMENT'!$Q$8:$Q$1000*'ANALYSE - ERP =&gt; SOUS-SEGMENT'!$W$8:$W$1000))</f>
        <v>4908</v>
      </c>
      <c r="X18" s="279">
        <f>IF($C18="","",SUMPRODUCT(('ANALYSE - ERP =&gt; SOUS-SEGMENT'!$C$8:$C$1000=$C18)*'ANALYSE - ERP =&gt; SOUS-SEGMENT'!$Q$8:$Q$1000*'ANALYSE - ERP =&gt; SOUS-SEGMENT'!$X$8:$X$1000))</f>
        <v>5139</v>
      </c>
      <c r="Y18" s="279">
        <f>IF($C18="","",SUMPRODUCT(('ANALYSE - ERP =&gt; SOUS-SEGMENT'!$C$8:$C$1000=$C18)*'ANALYSE - ERP =&gt; SOUS-SEGMENT'!$Q$8:$Q$1000*'ANALYSE - ERP =&gt; SOUS-SEGMENT'!$Y$8:$Y$1000))</f>
        <v>5378</v>
      </c>
      <c r="Z18" s="279">
        <f>IF($C18="","",SUMPRODUCT(('ANALYSE - ERP =&gt; SOUS-SEGMENT'!$C$8:$C$1000=$C18)*'ANALYSE - ERP =&gt; SOUS-SEGMENT'!$Q$8:$Q$1000*'ANALYSE - ERP =&gt; SOUS-SEGMENT'!$Z$8:$Z$1000))</f>
        <v>5627</v>
      </c>
      <c r="AA18" s="279">
        <f>IF($C18="","",SUMPRODUCT(('ANALYSE - ERP =&gt; SOUS-SEGMENT'!$C$8:$C$1000=$C18)*'ANALYSE - ERP =&gt; SOUS-SEGMENT'!$Q$8:$Q$1000*'ANALYSE - ERP =&gt; SOUS-SEGMENT'!$AA$8:$AA$1000))</f>
        <v>5803</v>
      </c>
      <c r="AB18" s="279">
        <f>IF($C18="","",SUMPRODUCT(('ANALYSE - ERP =&gt; SOUS-SEGMENT'!$C$8:$C$1000=$C18)*'ANALYSE - ERP =&gt; SOUS-SEGMENT'!$Q$8:$Q$1000*'ANALYSE - ERP =&gt; SOUS-SEGMENT'!$AB$8:$AB$1000))</f>
        <v>6009</v>
      </c>
      <c r="AC18" s="279">
        <f>IF($C18="","",SUMPRODUCT(('ANALYSE - ERP =&gt; SOUS-SEGMENT'!$C$8:$C$1000=$C18)*'ANALYSE - ERP =&gt; SOUS-SEGMENT'!$Q$8:$Q$1000*'ANALYSE - ERP =&gt; SOUS-SEGMENT'!$AC$8:$AC$1000))</f>
        <v>6218</v>
      </c>
      <c r="AD18" s="279">
        <f>IF($C18="","",SUMPRODUCT(('ANALYSE - ERP =&gt; SOUS-SEGMENT'!$C$8:$C$1000=$C18)*'ANALYSE - ERP =&gt; SOUS-SEGMENT'!$Q$8:$Q$1000*'ANALYSE - ERP =&gt; SOUS-SEGMENT'!$AD$8:$AD$1000))</f>
        <v>6385</v>
      </c>
      <c r="AE18" s="279">
        <f>IF($C18="","",SUMPRODUCT(('ANALYSE - ERP =&gt; SOUS-SEGMENT'!$C$8:$C$1000=$C18)*'ANALYSE - ERP =&gt; SOUS-SEGMENT'!$Q$8:$Q$1000*'ANALYSE - ERP =&gt; SOUS-SEGMENT'!$AE$8:$AE$1000))</f>
        <v>6650</v>
      </c>
      <c r="AF18" s="279">
        <f>IF($C18="","",SUMPRODUCT(('ANALYSE - ERP =&gt; SOUS-SEGMENT'!$C$8:$C$1000=$C18)*'ANALYSE - ERP =&gt; SOUS-SEGMENT'!$Q$8:$Q$1000*'ANALYSE - ERP =&gt; SOUS-SEGMENT'!$AF$8:$AF$1000))</f>
        <v>7126</v>
      </c>
      <c r="AG18" s="279">
        <f>IF($C18="","",SUMPRODUCT(('ANALYSE - ERP =&gt; SOUS-SEGMENT'!$C$8:$C$1000=$C18)*'ANALYSE - ERP =&gt; SOUS-SEGMENT'!$Q$8:$Q$1000*'ANALYSE - ERP =&gt; SOUS-SEGMENT'!$AG$8:$AG$1000))</f>
        <v>7682</v>
      </c>
      <c r="AH18" s="279">
        <f>IF($C18="","",SUMPRODUCT(('ANALYSE - ERP =&gt; SOUS-SEGMENT'!$C$8:$C$1000=$C18)*'ANALYSE - ERP =&gt; SOUS-SEGMENT'!$Q$8:$Q$1000*'ANALYSE - ERP =&gt; SOUS-SEGMENT'!$AH$8:$AH$1000))</f>
        <v>8338</v>
      </c>
      <c r="AI18" s="279">
        <f>IF($C18="","",SUMPRODUCT(('ANALYSE - ERP =&gt; SOUS-SEGMENT'!$C$8:$C$1000=$C18)*'ANALYSE - ERP =&gt; SOUS-SEGMENT'!$Q$8:$Q$1000*'ANALYSE - ERP =&gt; SOUS-SEGMENT'!$AI$8:$AI$1000))</f>
        <v>8845</v>
      </c>
      <c r="AJ18" s="279">
        <f>IF($C18="","",SUMPRODUCT(('ANALYSE - ERP =&gt; SOUS-SEGMENT'!$C$8:$C$1000=$C18)*'ANALYSE - ERP =&gt; SOUS-SEGMENT'!$Q$8:$Q$1000*'ANALYSE - ERP =&gt; SOUS-SEGMENT'!$AJ$8:$AJ$1000))</f>
        <v>9153</v>
      </c>
      <c r="AK18" s="279">
        <f>IF($C18="","",SUMPRODUCT(('ANALYSE - ERP =&gt; SOUS-SEGMENT'!$C$8:$C$1000=$C18)*'ANALYSE - ERP =&gt; SOUS-SEGMENT'!$Q$8:$Q$1000*'ANALYSE - ERP =&gt; SOUS-SEGMENT'!$AK$8:$AK$1000))</f>
        <v>9412</v>
      </c>
      <c r="AL18" s="646" t="s">
        <v>5646</v>
      </c>
      <c r="AM18" s="646" t="s">
        <v>5647</v>
      </c>
      <c r="AN18" s="646" t="s">
        <v>5648</v>
      </c>
      <c r="AO18" s="657"/>
      <c r="AP18" s="278">
        <f>IF($C18="","",IFERROR(SUMPRODUCT(('ANALYSE - ERP =&gt; SOUS-SEGMENT'!$C$8:$C$1000=$C18)*'ANALYSE - ERP =&gt; SOUS-SEGMENT'!$Q$8:$Q$1000*'ANALYSE - ERP =&gt; SOUS-SEGMENT'!$AF$8:$AF$1000*'ANALYSE - ERP =&gt; SOUS-SEGMENT'!$AP$8:$AP$1000)/SUMPRODUCT(('ANALYSE - ERP =&gt; SOUS-SEGMENT'!$C$8:$C$1000=$C18)*'ANALYSE - ERP =&gt; SOUS-SEGMENT'!$Q$8:$Q$1000*'ANALYSE - ERP =&gt; SOUS-SEGMENT'!$AF$8:$AF$1000),""))</f>
        <v>21.994106090373283</v>
      </c>
      <c r="AQ18" s="278">
        <f>IF($C18="","",IFERROR(SUMPRODUCT(('ANALYSE - ERP =&gt; SOUS-SEGMENT'!$C$8:$C$1000=$C18)*'ANALYSE - ERP =&gt; SOUS-SEGMENT'!$Q$8:$Q$1000*'ANALYSE - ERP =&gt; SOUS-SEGMENT'!$AF$8:$AF$1000*'ANALYSE - ERP =&gt; SOUS-SEGMENT'!$AQ$8:$AQ$1000)/SUMPRODUCT(('ANALYSE - ERP =&gt; SOUS-SEGMENT'!$C$8:$C$1000=$C18)*'ANALYSE - ERP =&gt; SOUS-SEGMENT'!$Q$8:$Q$1000*'ANALYSE - ERP =&gt; SOUS-SEGMENT'!$AF$8:$AF$1000),""))</f>
        <v>15.234914397979232</v>
      </c>
      <c r="AR18" s="278">
        <f>IF($C18="","",IFERROR(SUMPRODUCT(('ANALYSE - ERP =&gt; SOUS-SEGMENT'!$C$8:$C$1000=$C18)*'ANALYSE - ERP =&gt; SOUS-SEGMENT'!$Q$8:$Q$1000*'ANALYSE - ERP =&gt; SOUS-SEGMENT'!$AF$8:$AF$1000*'ANALYSE - ERP =&gt; SOUS-SEGMENT'!$AR$8:$AR$1000)/SUMPRODUCT(('ANALYSE - ERP =&gt; SOUS-SEGMENT'!$C$8:$C$1000=$C18)*'ANALYSE - ERP =&gt; SOUS-SEGMENT'!$Q$8:$Q$1000*'ANALYSE - ERP =&gt; SOUS-SEGMENT'!$AF$8:$AF$1000),""))</f>
        <v>4.75919169239405</v>
      </c>
      <c r="AS18" s="278">
        <f>IF($C18="","",IFERROR(SUMPRODUCT(('ANALYSE - ERP =&gt; SOUS-SEGMENT'!$C$8:$C$1000=$C18)*'ANALYSE - ERP =&gt; SOUS-SEGMENT'!$Q$8:$Q$1000*'ANALYSE - ERP =&gt; SOUS-SEGMENT'!$AF$8:$AF$1000*'ANALYSE - ERP =&gt; SOUS-SEGMENT'!$AS$8:$AS$1000)/SUMPRODUCT(('ANALYSE - ERP =&gt; SOUS-SEGMENT'!$C$8:$C$1000=$C18)*'ANALYSE - ERP =&gt; SOUS-SEGMENT'!$Q$8:$Q$1000*'ANALYSE - ERP =&gt; SOUS-SEGMENT'!$AF$8:$AF$1000),""))</f>
        <v>2</v>
      </c>
      <c r="AT18" s="657"/>
      <c r="AU18" s="646" t="s">
        <v>5649</v>
      </c>
      <c r="AV18" s="646" t="s">
        <v>5650</v>
      </c>
      <c r="AW18" s="646" t="s">
        <v>5651</v>
      </c>
      <c r="AX18" s="646" t="s">
        <v>5652</v>
      </c>
      <c r="AY18" s="657"/>
      <c r="AZ18" s="947">
        <f>IF($C18="","",IFERROR(SUMPRODUCT(('ANALYSE - ERP =&gt; SOUS-SEGMENT'!$C$8:$C$1000=$C18)*'ANALYSE - ERP =&gt; SOUS-SEGMENT'!$Q$8:$Q$1000*'ANALYSE - ERP =&gt; SOUS-SEGMENT'!$AF$8:$AF$1000*'ANALYSE - ERP =&gt; SOUS-SEGMENT'!$AZ$8:$AZ$1000)/SUMPRODUCT(('ANALYSE - ERP =&gt; SOUS-SEGMENT'!$C$8:$C$1000=$C18)*'ANALYSE - ERP =&gt; SOUS-SEGMENT'!$Q$8:$Q$1000*'ANALYSE - ERP =&gt; SOUS-SEGMENT'!$AF$8:$AF$1000),""))</f>
        <v>2.819814762840303</v>
      </c>
      <c r="BA18" s="947">
        <f>IF($C18="","",IFERROR(SUMPRODUCT(('ANALYSE - ERP =&gt; SOUS-SEGMENT'!$C$8:$C$1000=$C18)*'ANALYSE - ERP =&gt; SOUS-SEGMENT'!$Q$8:$Q$1000*'ANALYSE - ERP =&gt; SOUS-SEGMENT'!$AF$8:$AF$1000*'ANALYSE - ERP =&gt; SOUS-SEGMENT'!$BA$8:$BA$1000)/SUMPRODUCT(('ANALYSE - ERP =&gt; SOUS-SEGMENT'!$C$8:$C$1000=$C18)*'ANALYSE - ERP =&gt; SOUS-SEGMENT'!$Q$8:$Q$1000*'ANALYSE - ERP =&gt; SOUS-SEGMENT'!$AF$8:$AF$1000),""))</f>
        <v>9.9705304518664051E-2</v>
      </c>
      <c r="BB18" s="947">
        <f>IF($C18="","",IFERROR(SUMPRODUCT(('ANALYSE - ERP =&gt; SOUS-SEGMENT'!$C$8:$C$1000=$C18)*'ANALYSE - ERP =&gt; SOUS-SEGMENT'!$Q$8:$Q$1000*'ANALYSE - ERP =&gt; SOUS-SEGMENT'!$AF$8:$AF$1000*'ANALYSE - ERP =&gt; SOUS-SEGMENT'!$BB$8:$BB$1000)/SUMPRODUCT(('ANALYSE - ERP =&gt; SOUS-SEGMENT'!$C$8:$C$1000=$C18)*'ANALYSE - ERP =&gt; SOUS-SEGMENT'!$Q$8:$Q$1000*'ANALYSE - ERP =&gt; SOUS-SEGMENT'!$AF$8:$AF$1000),""))</f>
        <v>0.6093179904574797</v>
      </c>
      <c r="BC18" s="947">
        <f>IF($C18="","",IFERROR(SUMPRODUCT(('ANALYSE - ERP =&gt; SOUS-SEGMENT'!$C$8:$C$1000=$C18)*'ANALYSE - ERP =&gt; SOUS-SEGMENT'!$Q$8:$Q$1000*'ANALYSE - ERP =&gt; SOUS-SEGMENT'!$AF$8:$AF$1000*'ANALYSE - ERP =&gt; SOUS-SEGMENT'!$BC$8:$BC$1000)/SUMPRODUCT(('ANALYSE - ERP =&gt; SOUS-SEGMENT'!$C$8:$C$1000=$C18)*'ANALYSE - ERP =&gt; SOUS-SEGMENT'!$Q$8:$Q$1000*'ANALYSE - ERP =&gt; SOUS-SEGMENT'!$AF$8:$AF$1000),""))</f>
        <v>2.819814762840303</v>
      </c>
      <c r="BD18" s="826">
        <f t="shared" si="1"/>
        <v>45240.5</v>
      </c>
      <c r="BE18" s="283">
        <f>IF($C18="","",SUMPRODUCT(('ANALYSE - ERP =&gt; SOUS-SEGMENT'!$C$8:$C$1000=$C18)*'ANALYSE - ERP =&gt; SOUS-SEGMENT'!$Q$8:$Q$1000*'ANALYSE - ERP =&gt; SOUS-SEGMENT'!$BE$8:$BE$1000))</f>
        <v>20094</v>
      </c>
      <c r="BF18" s="283">
        <f>IF($C18="","",SUMPRODUCT(('ANALYSE - ERP =&gt; SOUS-SEGMENT'!$C$8:$C$1000=$C18)*'ANALYSE - ERP =&gt; SOUS-SEGMENT'!$Q$8:$Q$1000*'ANALYSE - ERP =&gt; SOUS-SEGMENT'!$BF$8:$BF$1000))</f>
        <v>710.5</v>
      </c>
      <c r="BG18" s="283">
        <f>IF($C18="","",SUMPRODUCT(('ANALYSE - ERP =&gt; SOUS-SEGMENT'!$C$8:$C$1000=$C18)*'ANALYSE - ERP =&gt; SOUS-SEGMENT'!$Q$8:$Q$1000*'ANALYSE - ERP =&gt; SOUS-SEGMENT'!$BG$8:$BG$1000))</f>
        <v>4342</v>
      </c>
      <c r="BH18" s="283">
        <f>IF($C18="","",SUMPRODUCT(('ANALYSE - ERP =&gt; SOUS-SEGMENT'!$C$8:$C$1000=$C18)*'ANALYSE - ERP =&gt; SOUS-SEGMENT'!$Q$8:$Q$1000*'ANALYSE - ERP =&gt; SOUS-SEGMENT'!$BH$8:$BH$1000))</f>
        <v>20094</v>
      </c>
      <c r="BI18" s="826">
        <f t="shared" si="2"/>
        <v>60099.5</v>
      </c>
      <c r="BJ18" s="283">
        <f>IF($C18="","",SUMPRODUCT(('ANALYSE - ERP =&gt; SOUS-SEGMENT'!$C$8:$C$1000=$C18)*'ANALYSE - ERP =&gt; SOUS-SEGMENT'!$Q$8:$Q$1000*'ANALYSE - ERP =&gt; SOUS-SEGMENT'!$BJ$8:$BJ$1000))</f>
        <v>26886</v>
      </c>
      <c r="BK18" s="283">
        <f>IF($C18="","",SUMPRODUCT(('ANALYSE - ERP =&gt; SOUS-SEGMENT'!$C$8:$C$1000=$C18)*'ANALYSE - ERP =&gt; SOUS-SEGMENT'!$Q$8:$Q$1000*'ANALYSE - ERP =&gt; SOUS-SEGMENT'!$BK$8:$BK$1000))</f>
        <v>765.5</v>
      </c>
      <c r="BL18" s="283">
        <f>IF($C18="","",SUMPRODUCT(('ANALYSE - ERP =&gt; SOUS-SEGMENT'!$C$8:$C$1000=$C18)*'ANALYSE - ERP =&gt; SOUS-SEGMENT'!$Q$8:$Q$1000*'ANALYSE - ERP =&gt; SOUS-SEGMENT'!$BL$8:$BL$1000))</f>
        <v>5562</v>
      </c>
      <c r="BM18" s="283">
        <f>IF($C18="","",SUMPRODUCT(('ANALYSE - ERP =&gt; SOUS-SEGMENT'!$C$8:$C$1000=$C18)*'ANALYSE - ERP =&gt; SOUS-SEGMENT'!$Q$8:$Q$1000*'ANALYSE - ERP =&gt; SOUS-SEGMENT'!$BM$8:$BM$1000))</f>
        <v>26886</v>
      </c>
      <c r="BN18" s="657"/>
      <c r="BO18" s="305">
        <f t="shared" si="3"/>
        <v>0.46344879068378625</v>
      </c>
      <c r="BP18" s="305">
        <f t="shared" si="4"/>
        <v>0.27172588832487304</v>
      </c>
      <c r="BQ18" s="305">
        <f t="shared" si="5"/>
        <v>0.18081815467303672</v>
      </c>
      <c r="BR18" s="581">
        <f t="shared" si="6"/>
        <v>8.4007166318303975E-2</v>
      </c>
      <c r="BS18" s="706">
        <f t="shared" si="7"/>
        <v>0.43986163802722605</v>
      </c>
      <c r="BT18" s="305">
        <f t="shared" si="8"/>
        <v>0.2680763222494979</v>
      </c>
      <c r="BU18" s="305">
        <f t="shared" si="9"/>
        <v>0.21739120731979472</v>
      </c>
      <c r="BV18" s="581">
        <f t="shared" si="10"/>
        <v>7.4670832403481366E-2</v>
      </c>
      <c r="BW18" s="713">
        <f t="shared" si="11"/>
        <v>0.82000000000000006</v>
      </c>
      <c r="BX18" s="306">
        <f t="shared" si="12"/>
        <v>0.14000000000000001</v>
      </c>
      <c r="BY18" s="590">
        <f t="shared" si="13"/>
        <v>0.04</v>
      </c>
      <c r="BZ18" s="713">
        <f t="shared" si="14"/>
        <v>0.79</v>
      </c>
      <c r="CA18" s="306">
        <f t="shared" si="15"/>
        <v>0.16</v>
      </c>
      <c r="CB18" s="590">
        <f t="shared" si="16"/>
        <v>4.9999999999999996E-2</v>
      </c>
      <c r="CC18" s="706">
        <f t="shared" si="17"/>
        <v>0.19999999999999998</v>
      </c>
      <c r="CD18" s="305">
        <f t="shared" si="18"/>
        <v>0.39999999999999997</v>
      </c>
      <c r="CE18" s="305">
        <f t="shared" si="19"/>
        <v>0.25</v>
      </c>
      <c r="CF18" s="581">
        <f t="shared" si="20"/>
        <v>0.15</v>
      </c>
      <c r="CG18" s="706">
        <f t="shared" si="21"/>
        <v>0.18</v>
      </c>
      <c r="CH18" s="305">
        <f t="shared" si="22"/>
        <v>0.4</v>
      </c>
      <c r="CI18" s="305">
        <f t="shared" si="23"/>
        <v>0.28000000000000003</v>
      </c>
      <c r="CJ18" s="581">
        <f t="shared" si="24"/>
        <v>0.14000000000000001</v>
      </c>
      <c r="CK18" s="719">
        <f t="shared" si="25"/>
        <v>0.59361003284562552</v>
      </c>
      <c r="CL18" s="307">
        <f t="shared" si="26"/>
        <v>0.21916990146312332</v>
      </c>
      <c r="CM18" s="723">
        <f t="shared" si="27"/>
        <v>0.18722006569125113</v>
      </c>
      <c r="CN18" s="719">
        <f t="shared" si="28"/>
        <v>0.53995759875027893</v>
      </c>
      <c r="CO18" s="307">
        <f t="shared" si="29"/>
        <v>0.23807632224949787</v>
      </c>
      <c r="CP18" s="723">
        <f t="shared" si="30"/>
        <v>0.22196607900022319</v>
      </c>
      <c r="CQ18" s="657"/>
      <c r="CR18" s="804">
        <f>IF($C18="","",IFERROR(SUMPRODUCT(('ANALYSE - ERP =&gt; SOUS-SEGMENT'!$C$8:$C$1000=$C18)*'ANALYSE - ERP =&gt; SOUS-SEGMENT'!$Q$8:$Q$1000*'ANALYSE - ERP =&gt; SOUS-SEGMENT'!$DH$8:$DH$1000*'ANALYSE - ERP =&gt; SOUS-SEGMENT'!$CR$8:$CR$1000)/SUMPRODUCT(('ANALYSE - ERP =&gt; SOUS-SEGMENT'!$C$8:$C$1000=$C18)*'ANALYSE - ERP =&gt; SOUS-SEGMENT'!$Q$8:$Q$1000*'ANALYSE - ERP =&gt; SOUS-SEGMENT'!$DH$8:$DH$1000),""))</f>
        <v>11.999999999999998</v>
      </c>
      <c r="CS18" s="805">
        <f>IF($C18="","",IFERROR(SUMPRODUCT(('ANALYSE - ERP =&gt; SOUS-SEGMENT'!$C$8:$C$1000=$C18)*'ANALYSE - ERP =&gt; SOUS-SEGMENT'!$Q$8:$Q$1000*'ANALYSE - ERP =&gt; SOUS-SEGMENT'!$DI$8:$DI$1000*'ANALYSE - ERP =&gt; SOUS-SEGMENT'!$CS$8:$CS$1000)/SUMPRODUCT(('ANALYSE - ERP =&gt; SOUS-SEGMENT'!$C$8:$C$1000=$C18)*'ANALYSE - ERP =&gt; SOUS-SEGMENT'!$Q$8:$Q$1000*'ANALYSE - ERP =&gt; SOUS-SEGMENT'!$DI$8:$DI$1000),""))</f>
        <v>12.197536290809992</v>
      </c>
      <c r="CT18" s="805">
        <f>IF($C18="","",IFERROR(SUMPRODUCT(('ANALYSE - ERP =&gt; SOUS-SEGMENT'!$C$8:$C$1000=$C18)*'ANALYSE - ERP =&gt; SOUS-SEGMENT'!$Q$8:$Q$1000*'ANALYSE - ERP =&gt; SOUS-SEGMENT'!$DJ$8:$DJ$1000*'ANALYSE - ERP =&gt; SOUS-SEGMENT'!$CT$8:$CT$1000)/SUMPRODUCT(('ANALYSE - ERP =&gt; SOUS-SEGMENT'!$C$8:$C$1000=$C18)*'ANALYSE - ERP =&gt; SOUS-SEGMENT'!$Q$8:$Q$1000*'ANALYSE - ERP =&gt; SOUS-SEGMENT'!$DJ$8:$DJ$1000),""))</f>
        <v>9.0000000000000018</v>
      </c>
      <c r="CU18" s="806">
        <f>IF($C18="","",IFERROR(SUMPRODUCT(('ANALYSE - ERP =&gt; SOUS-SEGMENT'!$C$8:$C$1000=$C18)*'ANALYSE - ERP =&gt; SOUS-SEGMENT'!$Q$8:$Q$1000*'ANALYSE - ERP =&gt; SOUS-SEGMENT'!$DK$8:$DK$1000*'ANALYSE - ERP =&gt; SOUS-SEGMENT'!$CU$8:$CU$1000)/SUMPRODUCT(('ANALYSE - ERP =&gt; SOUS-SEGMENT'!$C$8:$C$1000=$C18)*'ANALYSE - ERP =&gt; SOUS-SEGMENT'!$Q$8:$Q$1000*'ANALYSE - ERP =&gt; SOUS-SEGMENT'!$DK$8:$DK$1000),""))</f>
        <v>10.121703277173525</v>
      </c>
      <c r="CV18" s="804">
        <f>IF($C18="","",IFERROR(SUMPRODUCT(('ANALYSE - ERP =&gt; SOUS-SEGMENT'!$C$8:$C$1000=$C18)*'ANALYSE - ERP =&gt; SOUS-SEGMENT'!$Q$8:$Q$1000*'ANALYSE - ERP =&gt; SOUS-SEGMENT'!$DS$8:$DS$1000*'ANALYSE - ERP =&gt; SOUS-SEGMENT'!$CV$8:$CV$1000)/SUMPRODUCT(('ANALYSE - ERP =&gt; SOUS-SEGMENT'!$C$8:$C$1000=$C18)*'ANALYSE - ERP =&gt; SOUS-SEGMENT'!$Q$8:$Q$1000*'ANALYSE - ERP =&gt; SOUS-SEGMENT'!$DS$8:$DS$1000),""))</f>
        <v>11</v>
      </c>
      <c r="CW18" s="805">
        <f>IF($C18="","",IFERROR(SUMPRODUCT(('ANALYSE - ERP =&gt; SOUS-SEGMENT'!$C$8:$C$1000=$C18)*'ANALYSE - ERP =&gt; SOUS-SEGMENT'!$Q$8:$Q$1000*'ANALYSE - ERP =&gt; SOUS-SEGMENT'!$DT$8:$DT$1000*'ANALYSE - ERP =&gt; SOUS-SEGMENT'!$CW$8:$CW$1000)/SUMPRODUCT(('ANALYSE - ERP =&gt; SOUS-SEGMENT'!$C$8:$C$1000=$C18)*'ANALYSE - ERP =&gt; SOUS-SEGMENT'!$Q$8:$Q$1000*'ANALYSE - ERP =&gt; SOUS-SEGMENT'!$DT$8:$DT$1000),""))</f>
        <v>10</v>
      </c>
      <c r="CX18" s="806">
        <f>IF($C18="","",IFERROR(SUMPRODUCT(('ANALYSE - ERP =&gt; SOUS-SEGMENT'!$C$8:$C$1000=$C18)*'ANALYSE - ERP =&gt; SOUS-SEGMENT'!$Q$8:$Q$1000*'ANALYSE - ERP =&gt; SOUS-SEGMENT'!$DU$8:$DU$1000*'ANALYSE - ERP =&gt; SOUS-SEGMENT'!$CX$8:$CX$1000)/SUMPRODUCT(('ANALYSE - ERP =&gt; SOUS-SEGMENT'!$C$8:$C$1000=$C18)*'ANALYSE - ERP =&gt; SOUS-SEGMENT'!$Q$8:$Q$1000*'ANALYSE - ERP =&gt; SOUS-SEGMENT'!$DU$8:$DU$1000),""))</f>
        <v>8</v>
      </c>
      <c r="CY18" s="804">
        <f>IF($C18="","",IFERROR(SUMPRODUCT(('ANALYSE - ERP =&gt; SOUS-SEGMENT'!$C$8:$C$1000=$C18)*'ANALYSE - ERP =&gt; SOUS-SEGMENT'!$Q$8:$Q$1000*'ANALYSE - ERP =&gt; SOUS-SEGMENT'!$EB$8:$EB$1000*'ANALYSE - ERP =&gt; SOUS-SEGMENT'!$CY$8:$CY$1000)/SUMPRODUCT(('ANALYSE - ERP =&gt; SOUS-SEGMENT'!$C$8:$C$1000=$C18)*'ANALYSE - ERP =&gt; SOUS-SEGMENT'!$Q$8:$Q$1000*'ANALYSE - ERP =&gt; SOUS-SEGMENT'!$EB$8:$EB$1000),""))</f>
        <v>11</v>
      </c>
      <c r="CZ18" s="805">
        <f>IF($C18="","",IFERROR(SUMPRODUCT(('ANALYSE - ERP =&gt; SOUS-SEGMENT'!$C$8:$C$1000=$C18)*'ANALYSE - ERP =&gt; SOUS-SEGMENT'!$Q$8:$Q$1000*'ANALYSE - ERP =&gt; SOUS-SEGMENT'!$EC$8:$EC$1000*'ANALYSE - ERP =&gt; SOUS-SEGMENT'!$CZ$8:$CZ$1000)/SUMPRODUCT(('ANALYSE - ERP =&gt; SOUS-SEGMENT'!$C$8:$C$1000=$C18)*'ANALYSE - ERP =&gt; SOUS-SEGMENT'!$Q$8:$Q$1000*'ANALYSE - ERP =&gt; SOUS-SEGMENT'!$EC$8:$EC$1000),""))</f>
        <v>12</v>
      </c>
      <c r="DA18" s="805">
        <f>IF($C18="","",IFERROR(SUMPRODUCT(('ANALYSE - ERP =&gt; SOUS-SEGMENT'!$C$8:$C$1000=$C18)*'ANALYSE - ERP =&gt; SOUS-SEGMENT'!$Q$8:$Q$1000*'ANALYSE - ERP =&gt; SOUS-SEGMENT'!$ED$8:$ED$1000*'ANALYSE - ERP =&gt; SOUS-SEGMENT'!$DA$8:$DA$1000)/SUMPRODUCT(('ANALYSE - ERP =&gt; SOUS-SEGMENT'!$C$8:$C$1000=$C18)*'ANALYSE - ERP =&gt; SOUS-SEGMENT'!$Q$8:$Q$1000*'ANALYSE - ERP =&gt; SOUS-SEGMENT'!$ED$8:$ED$1000),""))</f>
        <v>8</v>
      </c>
      <c r="DB18" s="806">
        <f>IF($C18="","",IFERROR(SUMPRODUCT(('ANALYSE - ERP =&gt; SOUS-SEGMENT'!$C$8:$C$1000=$C18)*'ANALYSE - ERP =&gt; SOUS-SEGMENT'!$Q$8:$Q$1000*'ANALYSE - ERP =&gt; SOUS-SEGMENT'!$EE$8:$EE$1000*'ANALYSE - ERP =&gt; SOUS-SEGMENT'!$DB$8:$DB$1000)/SUMPRODUCT(('ANALYSE - ERP =&gt; SOUS-SEGMENT'!$C$8:$C$1000=$C18)*'ANALYSE - ERP =&gt; SOUS-SEGMENT'!$Q$8:$Q$1000*'ANALYSE - ERP =&gt; SOUS-SEGMENT'!$EE$8:$EE$1000),""))</f>
        <v>10</v>
      </c>
      <c r="DC18" s="804">
        <f>IF($C18="","",IFERROR(SUMPRODUCT(('ANALYSE - ERP =&gt; SOUS-SEGMENT'!$C$8:$C$1000=$C18)*'ANALYSE - ERP =&gt; SOUS-SEGMENT'!$Q$8:$Q$1000*'ANALYSE - ERP =&gt; SOUS-SEGMENT'!$EM$8:$EM$1000*'ANALYSE - ERP =&gt; SOUS-SEGMENT'!$DC$8:$DC$1000)/SUMPRODUCT(('ANALYSE - ERP =&gt; SOUS-SEGMENT'!$C$8:$C$1000=$C18)*'ANALYSE - ERP =&gt; SOUS-SEGMENT'!$Q$8:$Q$1000*'ANALYSE - ERP =&gt; SOUS-SEGMENT'!$EM$8:$EM$1000),""))</f>
        <v>12.11841046277666</v>
      </c>
      <c r="DD18" s="805">
        <f>IF($C18="","",IFERROR(SUMPRODUCT(('ANALYSE - ERP =&gt; SOUS-SEGMENT'!$C$8:$C$1000=$C18)*'ANALYSE - ERP =&gt; SOUS-SEGMENT'!$Q$8:$Q$1000*'ANALYSE - ERP =&gt; SOUS-SEGMENT'!$EN$8:$EN$1000*'ANALYSE - ERP =&gt; SOUS-SEGMENT'!$DD$8:$DD$1000)/SUMPRODUCT(('ANALYSE - ERP =&gt; SOUS-SEGMENT'!$C$8:$C$1000=$C18)*'ANALYSE - ERP =&gt; SOUS-SEGMENT'!$Q$8:$Q$1000*'ANALYSE - ERP =&gt; SOUS-SEGMENT'!$EN$8:$EN$1000),""))</f>
        <v>12.204087193460492</v>
      </c>
      <c r="DE18" s="806">
        <f>IF($C18="","",IFERROR(SUMPRODUCT(('ANALYSE - ERP =&gt; SOUS-SEGMENT'!$C$8:$C$1000=$C18)*'ANALYSE - ERP =&gt; SOUS-SEGMENT'!$Q$8:$Q$1000*'ANALYSE - ERP =&gt; SOUS-SEGMENT'!$EO$8:$EO$1000*'ANALYSE - ERP =&gt; SOUS-SEGMENT'!$DE$8:$DE$1000)/SUMPRODUCT(('ANALYSE - ERP =&gt; SOUS-SEGMENT'!$C$8:$C$1000=$C18)*'ANALYSE - ERP =&gt; SOUS-SEGMENT'!$Q$8:$Q$1000*'ANALYSE - ERP =&gt; SOUS-SEGMENT'!$EO$8:$EO$1000),""))</f>
        <v>9</v>
      </c>
      <c r="DF18" s="919" t="s">
        <v>5653</v>
      </c>
      <c r="DG18" s="657"/>
      <c r="DH18" s="308">
        <f>IF($C18="","",SUMPRODUCT(('ANALYSE - ERP =&gt; SOUS-SEGMENT'!$C$8:$C$1000=$C18)*'ANALYSE - ERP =&gt; SOUS-SEGMENT'!$Q$8:$Q$1000*'ANALYSE - ERP =&gt; SOUS-SEGMENT'!$DH$8:$DH$1000))</f>
        <v>9312.5400000000009</v>
      </c>
      <c r="DI18" s="308">
        <f>IF($C18="","",SUMPRODUCT(('ANALYSE - ERP =&gt; SOUS-SEGMENT'!$C$8:$C$1000=$C18)*'ANALYSE - ERP =&gt; SOUS-SEGMENT'!$Q$8:$Q$1000*'ANALYSE - ERP =&gt; SOUS-SEGMENT'!$DI$8:$DI$1000))</f>
        <v>5460.0599999999995</v>
      </c>
      <c r="DJ18" s="308">
        <f>IF($C18="","",SUMPRODUCT(('ANALYSE - ERP =&gt; SOUS-SEGMENT'!$C$8:$C$1000=$C18)*'ANALYSE - ERP =&gt; SOUS-SEGMENT'!$Q$8:$Q$1000*'ANALYSE - ERP =&gt; SOUS-SEGMENT'!$DJ$8:$DJ$1000))</f>
        <v>3633.3599999999997</v>
      </c>
      <c r="DK18" s="308">
        <f>IF($C18="","",SUMPRODUCT(('ANALYSE - ERP =&gt; SOUS-SEGMENT'!$C$8:$C$1000=$C18)*'ANALYSE - ERP =&gt; SOUS-SEGMENT'!$Q$8:$Q$1000*'ANALYSE - ERP =&gt; SOUS-SEGMENT'!$DK$8:$DK$1000))</f>
        <v>1688.0400000000002</v>
      </c>
      <c r="DL18" s="646" t="s">
        <v>5654</v>
      </c>
      <c r="DM18" s="308">
        <f>IF($C18="","",SUMPRODUCT(('ANALYSE - ERP =&gt; SOUS-SEGMENT'!$C$8:$C$1000=$C18)*'ANALYSE - ERP =&gt; SOUS-SEGMENT'!$Q$8:$Q$1000*'ANALYSE - ERP =&gt; SOUS-SEGMENT'!$DM$8:$DM$1000))</f>
        <v>11826.119999999999</v>
      </c>
      <c r="DN18" s="308">
        <f>IF($C18="","",SUMPRODUCT(('ANALYSE - ERP =&gt; SOUS-SEGMENT'!$C$8:$C$1000=$C18)*'ANALYSE - ERP =&gt; SOUS-SEGMENT'!$Q$8:$Q$1000*'ANALYSE - ERP =&gt; SOUS-SEGMENT'!$DN$8:$DN$1000))</f>
        <v>7207.5</v>
      </c>
      <c r="DO18" s="308">
        <f>IF($C18="","",SUMPRODUCT(('ANALYSE - ERP =&gt; SOUS-SEGMENT'!$C$8:$C$1000=$C18)*'ANALYSE - ERP =&gt; SOUS-SEGMENT'!$Q$8:$Q$1000*'ANALYSE - ERP =&gt; SOUS-SEGMENT'!$DO$8:$DO$1000))</f>
        <v>5844.7800000000007</v>
      </c>
      <c r="DP18" s="308">
        <f>IF($C18="","",SUMPRODUCT(('ANALYSE - ERP =&gt; SOUS-SEGMENT'!$C$8:$C$1000=$C18)*'ANALYSE - ERP =&gt; SOUS-SEGMENT'!$Q$8:$Q$1000*'ANALYSE - ERP =&gt; SOUS-SEGMENT'!$DP$8:$DP$1000))</f>
        <v>2007.6</v>
      </c>
      <c r="DQ18" s="646" t="s">
        <v>5655</v>
      </c>
      <c r="DR18" s="657"/>
      <c r="DS18" s="308">
        <f>IF($C18="","",SUMPRODUCT(('ANALYSE - ERP =&gt; SOUS-SEGMENT'!$C$8:$C$1000=$C18)*'ANALYSE - ERP =&gt; SOUS-SEGMENT'!$Q$8:$Q$1000*'ANALYSE - ERP =&gt; SOUS-SEGMENT'!$DS$8:$DS$1000))</f>
        <v>582.61</v>
      </c>
      <c r="DT18" s="308">
        <f>IF($C18="","",SUMPRODUCT(('ANALYSE - ERP =&gt; SOUS-SEGMENT'!$C$8:$C$1000=$C18)*'ANALYSE - ERP =&gt; SOUS-SEGMENT'!$Q$8:$Q$1000*'ANALYSE - ERP =&gt; SOUS-SEGMENT'!$DT$8:$DT$1000))</f>
        <v>99.470000000000013</v>
      </c>
      <c r="DU18" s="308">
        <f>IF($C18="","",SUMPRODUCT(('ANALYSE - ERP =&gt; SOUS-SEGMENT'!$C$8:$C$1000=$C18)*'ANALYSE - ERP =&gt; SOUS-SEGMENT'!$Q$8:$Q$1000*'ANALYSE - ERP =&gt; SOUS-SEGMENT'!$DU$8:$DU$1000))</f>
        <v>28.42</v>
      </c>
      <c r="DV18" s="646" t="s">
        <v>5656</v>
      </c>
      <c r="DW18" s="308">
        <f>IF($C18="","",SUMPRODUCT(('ANALYSE - ERP =&gt; SOUS-SEGMENT'!$C$8:$C$1000=$C18)*'ANALYSE - ERP =&gt; SOUS-SEGMENT'!$Q$8:$Q$1000*'ANALYSE - ERP =&gt; SOUS-SEGMENT'!$DW$8:$DW$1000))</f>
        <v>604.745</v>
      </c>
      <c r="DX18" s="308">
        <f>IF($C18="","",SUMPRODUCT(('ANALYSE - ERP =&gt; SOUS-SEGMENT'!$C$8:$C$1000=$C18)*'ANALYSE - ERP =&gt; SOUS-SEGMENT'!$Q$8:$Q$1000*'ANALYSE - ERP =&gt; SOUS-SEGMENT'!$DX$8:$DX$1000))</f>
        <v>122.48</v>
      </c>
      <c r="DY18" s="308">
        <f>IF($C18="","",SUMPRODUCT(('ANALYSE - ERP =&gt; SOUS-SEGMENT'!$C$8:$C$1000=$C18)*'ANALYSE - ERP =&gt; SOUS-SEGMENT'!$Q$8:$Q$1000*'ANALYSE - ERP =&gt; SOUS-SEGMENT'!$DY$8:$DY$1000))</f>
        <v>38.274999999999999</v>
      </c>
      <c r="DZ18" s="646" t="s">
        <v>5657</v>
      </c>
      <c r="EA18" s="657"/>
      <c r="EB18" s="308">
        <f>IF($C18="","",SUMPRODUCT(('ANALYSE - ERP =&gt; SOUS-SEGMENT'!$C$8:$C$1000=$C18)*'ANALYSE - ERP =&gt; SOUS-SEGMENT'!$Q$8:$Q$1000*'ANALYSE - ERP =&gt; SOUS-SEGMENT'!$EB$8:$EB$1000))</f>
        <v>868.4</v>
      </c>
      <c r="EC18" s="308">
        <f>IF($C18="","",SUMPRODUCT(('ANALYSE - ERP =&gt; SOUS-SEGMENT'!$C$8:$C$1000=$C18)*'ANALYSE - ERP =&gt; SOUS-SEGMENT'!$Q$8:$Q$1000*'ANALYSE - ERP =&gt; SOUS-SEGMENT'!$EC$8:$EC$1000))</f>
        <v>1736.8</v>
      </c>
      <c r="ED18" s="308">
        <f>IF($C18="","",SUMPRODUCT(('ANALYSE - ERP =&gt; SOUS-SEGMENT'!$C$8:$C$1000=$C18)*'ANALYSE - ERP =&gt; SOUS-SEGMENT'!$Q$8:$Q$1000*'ANALYSE - ERP =&gt; SOUS-SEGMENT'!$ED$8:$ED$1000))</f>
        <v>1085.5</v>
      </c>
      <c r="EE18" s="308">
        <f>IF($C18="","",SUMPRODUCT(('ANALYSE - ERP =&gt; SOUS-SEGMENT'!$C$8:$C$1000=$C18)*'ANALYSE - ERP =&gt; SOUS-SEGMENT'!$Q$8:$Q$1000*'ANALYSE - ERP =&gt; SOUS-SEGMENT'!$EE$8:$EE$1000))</f>
        <v>651.29999999999995</v>
      </c>
      <c r="EF18" s="646" t="s">
        <v>5658</v>
      </c>
      <c r="EG18" s="308">
        <f>IF($C18="","",SUMPRODUCT(('ANALYSE - ERP =&gt; SOUS-SEGMENT'!$C$8:$C$1000=$C18)*'ANALYSE - ERP =&gt; SOUS-SEGMENT'!$Q$8:$Q$1000*'ANALYSE - ERP =&gt; SOUS-SEGMENT'!$EG$8:$EG$1000))</f>
        <v>1001.16</v>
      </c>
      <c r="EH18" s="308">
        <f>IF($C18="","",SUMPRODUCT(('ANALYSE - ERP =&gt; SOUS-SEGMENT'!$C$8:$C$1000=$C18)*'ANALYSE - ERP =&gt; SOUS-SEGMENT'!$Q$8:$Q$1000*'ANALYSE - ERP =&gt; SOUS-SEGMENT'!$EH$8:$EH$1000))</f>
        <v>2224.8000000000002</v>
      </c>
      <c r="EI18" s="308">
        <f>IF($C18="","",SUMPRODUCT(('ANALYSE - ERP =&gt; SOUS-SEGMENT'!$C$8:$C$1000=$C18)*'ANALYSE - ERP =&gt; SOUS-SEGMENT'!$Q$8:$Q$1000*'ANALYSE - ERP =&gt; SOUS-SEGMENT'!$EI$8:$EI$1000))</f>
        <v>1557.3600000000001</v>
      </c>
      <c r="EJ18" s="308">
        <f>IF($C18="","",SUMPRODUCT(('ANALYSE - ERP =&gt; SOUS-SEGMENT'!$C$8:$C$1000=$C18)*'ANALYSE - ERP =&gt; SOUS-SEGMENT'!$Q$8:$Q$1000*'ANALYSE - ERP =&gt; SOUS-SEGMENT'!$EJ$8:$EJ$1000))</f>
        <v>778.68000000000006</v>
      </c>
      <c r="EK18" s="936" t="s">
        <v>5659</v>
      </c>
      <c r="EL18" s="657"/>
      <c r="EM18" s="308">
        <f>IF($C18="","",SUMPRODUCT(('ANALYSE - ERP =&gt; SOUS-SEGMENT'!$C$8:$C$1000=$C18)*'ANALYSE - ERP =&gt; SOUS-SEGMENT'!$Q$8:$Q$1000*'ANALYSE - ERP =&gt; SOUS-SEGMENT'!$EM$8:$EM$1000))</f>
        <v>11927.999999999998</v>
      </c>
      <c r="EN18" s="310">
        <f>IF($C18="","",SUMPRODUCT(('ANALYSE - ERP =&gt; SOUS-SEGMENT'!$C$8:$C$1000=$C18)*'ANALYSE - ERP =&gt; SOUS-SEGMENT'!$Q$8:$Q$1000*'ANALYSE - ERP =&gt; SOUS-SEGMENT'!$EN$8:$EN$1000))</f>
        <v>4404</v>
      </c>
      <c r="EO18" s="310">
        <f>IF($C18="","",SUMPRODUCT(('ANALYSE - ERP =&gt; SOUS-SEGMENT'!$C$8:$C$1000=$C18)*'ANALYSE - ERP =&gt; SOUS-SEGMENT'!$Q$8:$Q$1000*'ANALYSE - ERP =&gt; SOUS-SEGMENT'!$EO$8:$EO$1000))</f>
        <v>3762</v>
      </c>
      <c r="EP18" s="646" t="s">
        <v>5660</v>
      </c>
      <c r="EQ18" s="308">
        <f>IF($C18="","",SUMPRODUCT(('ANALYSE - ERP =&gt; SOUS-SEGMENT'!$C$8:$C$1000=$C18)*'ANALYSE - ERP =&gt; SOUS-SEGMENT'!$Q$8:$Q$1000*'ANALYSE - ERP =&gt; SOUS-SEGMENT'!$EQ$8:$EQ$1000))</f>
        <v>14517.3</v>
      </c>
      <c r="ER18" s="310">
        <f>IF($C18="","",SUMPRODUCT(('ANALYSE - ERP =&gt; SOUS-SEGMENT'!$C$8:$C$1000=$C18)*'ANALYSE - ERP =&gt; SOUS-SEGMENT'!$Q$8:$Q$1000*'ANALYSE - ERP =&gt; SOUS-SEGMENT'!$ER$8:$ER$1000))</f>
        <v>6400.92</v>
      </c>
      <c r="ES18" s="310">
        <f>IF($C18="","",SUMPRODUCT(('ANALYSE - ERP =&gt; SOUS-SEGMENT'!$C$8:$C$1000=$C18)*'ANALYSE - ERP =&gt; SOUS-SEGMENT'!$Q$8:$Q$1000*'ANALYSE - ERP =&gt; SOUS-SEGMENT'!$ES$8:$ES$1000))</f>
        <v>5967.7800000000007</v>
      </c>
      <c r="ET18" s="646" t="s">
        <v>5661</v>
      </c>
      <c r="EU18" s="657"/>
      <c r="EV18" s="728">
        <f t="shared" si="31"/>
        <v>0.40462070758744767</v>
      </c>
      <c r="EW18" s="728">
        <f t="shared" si="32"/>
        <v>0.59537929241255239</v>
      </c>
      <c r="EX18" s="311">
        <f t="shared" si="33"/>
        <v>30808.46864134787</v>
      </c>
      <c r="EY18" s="311">
        <f t="shared" si="34"/>
        <v>12465.744381347868</v>
      </c>
      <c r="EZ18" s="311">
        <f t="shared" si="35"/>
        <v>18342.724260000003</v>
      </c>
      <c r="FA18" s="311">
        <f t="shared" si="36"/>
        <v>13764.078267224755</v>
      </c>
      <c r="FB18" s="311">
        <f>IF($C18="","",SUMPRODUCT(('ANALYSE - ERP =&gt; SOUS-SEGMENT'!$C$8:$C$1000=$C18)*'ANALYSE - ERP =&gt; SOUS-SEGMENT'!$Q$8:$Q$1000*'ANALYSE - ERP =&gt; SOUS-SEGMENT'!$FB$8:$FB$1000))</f>
        <v>5451.2109872247556</v>
      </c>
      <c r="FC18" s="311">
        <f>IF($C18="","",SUMPRODUCT(('ANALYSE - ERP =&gt; SOUS-SEGMENT'!$C$8:$C$1000=$C18)*'ANALYSE - ERP =&gt; SOUS-SEGMENT'!$Q$8:$Q$1000*'ANALYSE - ERP =&gt; SOUS-SEGMENT'!$FC$8:$FC$1000))</f>
        <v>8312.8672800000004</v>
      </c>
      <c r="FD18" s="311">
        <f t="shared" si="37"/>
        <v>373.92014405318184</v>
      </c>
      <c r="FE18" s="311">
        <f>IF($C18="","",SUMPRODUCT(('ANALYSE - ERP =&gt; SOUS-SEGMENT'!$C$8:$C$1000=$C18)*'ANALYSE - ERP =&gt; SOUS-SEGMENT'!$Q$8:$Q$1000*'ANALYSE - ERP =&gt; SOUS-SEGMENT'!$FE$8:$FE$1000))</f>
        <v>249.09220405318183</v>
      </c>
      <c r="FF18" s="311">
        <f>IF($C18="","",SUMPRODUCT(('ANALYSE - ERP =&gt; SOUS-SEGMENT'!$C$8:$C$1000=$C18)*'ANALYSE - ERP =&gt; SOUS-SEGMENT'!$Q$8:$Q$1000*'ANALYSE - ERP =&gt; SOUS-SEGMENT'!$FF$8:$FF$1000))</f>
        <v>124.82794</v>
      </c>
      <c r="FG18" s="311">
        <f t="shared" si="38"/>
        <v>3052.6471594545455</v>
      </c>
      <c r="FH18" s="311">
        <f>IF($C18="","",SUMPRODUCT(('ANALYSE - ERP =&gt; SOUS-SEGMENT'!$C$8:$C$1000=$C18)*'ANALYSE - ERP =&gt; SOUS-SEGMENT'!$Q$8:$Q$1000*'ANALYSE - ERP =&gt; SOUS-SEGMENT'!$FH$8:$FH$1000))</f>
        <v>1460.4853994545456</v>
      </c>
      <c r="FI18" s="311">
        <f>IF($C18="","",SUMPRODUCT(('ANALYSE - ERP =&gt; SOUS-SEGMENT'!$C$8:$C$1000=$C18)*'ANALYSE - ERP =&gt; SOUS-SEGMENT'!$Q$8:$Q$1000*'ANALYSE - ERP =&gt; SOUS-SEGMENT'!$FI$8:$FI$1000))</f>
        <v>1592.16176</v>
      </c>
      <c r="FJ18" s="311">
        <f t="shared" si="39"/>
        <v>13617.823070615384</v>
      </c>
      <c r="FK18" s="311">
        <f>IF($C18="","",SUMPRODUCT(('ANALYSE - ERP =&gt; SOUS-SEGMENT'!$C$8:$C$1000=$C18)*'ANALYSE - ERP =&gt; SOUS-SEGMENT'!$Q$8:$Q$1000*'ANALYSE - ERP =&gt; SOUS-SEGMENT'!$FK$8:$FK$1000))</f>
        <v>5304.955790615385</v>
      </c>
      <c r="FL18" s="311">
        <f>IF($C18="","",SUMPRODUCT(('ANALYSE - ERP =&gt; SOUS-SEGMENT'!$C$8:$C$1000=$C18)*'ANALYSE - ERP =&gt; SOUS-SEGMENT'!$Q$8:$Q$1000*'ANALYSE - ERP =&gt; SOUS-SEGMENT'!$FL$8:$FL$1000))</f>
        <v>8312.8672800000004</v>
      </c>
      <c r="FM18" s="657"/>
      <c r="FN18" s="954" t="s">
        <v>2649</v>
      </c>
      <c r="FO18" s="728">
        <f>IF($C18="","",IFERROR(SUMPRODUCT(('ANALYSE - ERP =&gt; SOUS-SEGMENT'!$C$8:$C$1000=$C18)*'ANALYSE - ERP =&gt; SOUS-SEGMENT'!$Q$8:$Q$1000*'ANALYSE - ERP =&gt; SOUS-SEGMENT'!$AF$8:$AF$1000*'ANALYSE - ERP =&gt; SOUS-SEGMENT'!$FO$8:$FO$1000)/SUMPRODUCT(('ANALYSE - ERP =&gt; SOUS-SEGMENT'!$C$8:$C$1000=$C18)*'ANALYSE - ERP =&gt; SOUS-SEGMENT'!$Q$8:$Q$1000*'ANALYSE - ERP =&gt; SOUS-SEGMENT'!$AF$8:$AF$1000),""))</f>
        <v>7.4084726354195912E-2</v>
      </c>
      <c r="FP18" s="729">
        <f>IF($C18="","",IFERROR(SUMPRODUCT(('ANALYSE - ERP =&gt; SOUS-SEGMENT'!$C$8:$C$1000=$C18)*'ANALYSE - ERP =&gt; SOUS-SEGMENT'!$Q$8:$Q$1000*'ANALYSE - ERP =&gt; SOUS-SEGMENT'!$AF$8:$AF$1000*'ANALYSE - ERP =&gt; SOUS-SEGMENT'!$FP$8:$FP$1000)/SUMPRODUCT(('ANALYSE - ERP =&gt; SOUS-SEGMENT'!$C$8:$C$1000=$C18)*'ANALYSE - ERP =&gt; SOUS-SEGMENT'!$Q$8:$Q$1000*'ANALYSE - ERP =&gt; SOUS-SEGMENT'!$AF$8:$AF$1000),""))</f>
        <v>0.84751470390120676</v>
      </c>
      <c r="FQ18" s="954" t="s">
        <v>5662</v>
      </c>
      <c r="FR18" s="657"/>
      <c r="FS18" s="865">
        <f>IF($C18="","",IFERROR(SUMPRODUCT(('ANALYSE - ERP =&gt; SOUS-SEGMENT'!$C$8:$C$1000=$C18)*'ANALYSE - ERP =&gt; SOUS-SEGMENT'!$Q$8:$Q$1000*'ANALYSE - ERP =&gt; SOUS-SEGMENT'!$EX$8:$EX$1000*'ANALYSE - ERP =&gt; SOUS-SEGMENT'!$FS$8:$FS$1000)/SUMPRODUCT(('ANALYSE - ERP =&gt; SOUS-SEGMENT'!$C$8:$C$1000=$C18)*'ANALYSE - ERP =&gt; SOUS-SEGMENT'!$Q$8:$Q$1000*'ANALYSE - ERP =&gt; SOUS-SEGMENT'!$EX$8:$EX$1000),""))</f>
        <v>3.8005658582179316</v>
      </c>
      <c r="FT18" s="312">
        <f>IF($C18="","",RANK($FS18,$FS$8:$FS$43,0)+COUNTIF($FS$8:$FS18,$FS18)-1)</f>
        <v>2</v>
      </c>
      <c r="FU18" s="865">
        <f>IF($C18="","",IFERROR(SUMPRODUCT(('ANALYSE - ERP =&gt; SOUS-SEGMENT'!$C$8:$C$1000=$C18)*'ANALYSE - ERP =&gt; SOUS-SEGMENT'!$Q$8:$Q$1000*'ANALYSE - ERP =&gt; SOUS-SEGMENT'!$EY$8:$EY$1000*'ANALYSE - ERP =&gt; SOUS-SEGMENT'!$FU$8:$FU$1000)/SUMPRODUCT(('ANALYSE - ERP =&gt; SOUS-SEGMENT'!$C$8:$C$1000=$C18)*'ANALYSE - ERP =&gt; SOUS-SEGMENT'!$Q$8:$Q$1000*'ANALYSE - ERP =&gt; SOUS-SEGMENT'!$EY$8:$EY$1000),""))</f>
        <v>3.9251205083432308</v>
      </c>
      <c r="FV18" s="312">
        <f>IF($C18="","",RANK($FU18,$FU$8:$FU$43,0)+COUNTIF($FU$8:$FU18,$FU18)-1)</f>
        <v>22</v>
      </c>
      <c r="FW18" s="865">
        <f>IF($C18="","",IFERROR(SUMPRODUCT(('ANALYSE - ERP =&gt; SOUS-SEGMENT'!$C$8:$C$1000=$C18)*'ANALYSE - ERP =&gt; SOUS-SEGMENT'!$Q$8:$Q$1000*'ANALYSE - ERP =&gt; SOUS-SEGMENT'!$EZ$8:$EZ$1000*'ANALYSE - ERP =&gt; SOUS-SEGMENT'!$FW$8:$FW$1000)/SUMPRODUCT(('ANALYSE - ERP =&gt; SOUS-SEGMENT'!$C$8:$C$1000=$C18)*'ANALYSE - ERP =&gt; SOUS-SEGMENT'!$Q$8:$Q$1000*'ANALYSE - ERP =&gt; SOUS-SEGMENT'!$EZ$8:$EZ$1000),""))</f>
        <v>3.8773470461579076</v>
      </c>
      <c r="FX18" s="312">
        <f>IF($C18="","",RANK($FW18,$FW$8:$FW$43,0)+COUNTIF($FW$8:$FW18,$FW18)-1)</f>
        <v>1</v>
      </c>
      <c r="FY18" s="657"/>
      <c r="FZ18" s="646" t="s">
        <v>5663</v>
      </c>
      <c r="GA18" s="646" t="s">
        <v>5664</v>
      </c>
      <c r="GB18" s="646" t="s">
        <v>5665</v>
      </c>
      <c r="GC18" s="646" t="s">
        <v>5666</v>
      </c>
      <c r="GD18" s="646" t="s">
        <v>5667</v>
      </c>
      <c r="GE18" s="646" t="s">
        <v>5668</v>
      </c>
      <c r="GF18" s="276" t="s">
        <v>5669</v>
      </c>
      <c r="GG18" s="657"/>
      <c r="GH18" s="311">
        <f t="shared" si="40"/>
        <v>6046.2294344750007</v>
      </c>
      <c r="GI18" s="311">
        <f>IF($C18="","",SUMPRODUCT(('ANALYSE - ERP =&gt; SOUS-SEGMENT'!$C$8:$C$1000=$C18)*'ANALYSE - ERP =&gt; SOUS-SEGMENT'!$Q$8:$Q$1000*'ANALYSE - ERP =&gt; SOUS-SEGMENT'!$GI$8:$GI$1000))</f>
        <v>2247.5967368750003</v>
      </c>
      <c r="GJ18" s="311">
        <f>IF($C18="","",SUMPRODUCT(('ANALYSE - ERP =&gt; SOUS-SEGMENT'!$C$8:$C$1000=$C18)*'ANALYSE - ERP =&gt; SOUS-SEGMENT'!$Q$8:$Q$1000*'ANALYSE - ERP =&gt; SOUS-SEGMENT'!$GJ$8:$GJ$1000))</f>
        <v>3798.6326976</v>
      </c>
      <c r="GK18" s="311">
        <f t="shared" si="41"/>
        <v>3391.5406342788465</v>
      </c>
      <c r="GL18" s="311">
        <f>IF($C18="","",SUMPRODUCT(('ANALYSE - ERP =&gt; SOUS-SEGMENT'!$C$8:$C$1000=$C18)*'ANALYSE - ERP =&gt; SOUS-SEGMENT'!$Q$8:$Q$1000*'ANALYSE - ERP =&gt; SOUS-SEGMENT'!$GL$8:$GL$1000))</f>
        <v>1266.9140542788462</v>
      </c>
      <c r="GM18" s="311">
        <f>IF($C18="","",SUMPRODUCT(('ANALYSE - ERP =&gt; SOUS-SEGMENT'!$C$8:$C$1000=$C18)*'ANALYSE - ERP =&gt; SOUS-SEGMENT'!$Q$8:$Q$1000*'ANALYSE - ERP =&gt; SOUS-SEGMENT'!$GM$8:$GM$1000))</f>
        <v>2124.6265800000001</v>
      </c>
      <c r="GN18" s="311">
        <f t="shared" si="42"/>
        <v>3212.0201508</v>
      </c>
      <c r="GO18" s="311">
        <f>IF($C18="","",SUMPRODUCT(('ANALYSE - ERP =&gt; SOUS-SEGMENT'!$C$8:$C$1000=$C18)*'ANALYSE - ERP =&gt; SOUS-SEGMENT'!$Q$8:$Q$1000*'ANALYSE - ERP =&gt; SOUS-SEGMENT'!$GO$8:$GO$1000))</f>
        <v>1383.6799163999997</v>
      </c>
      <c r="GP18" s="311">
        <f>IF($C18="","",SUMPRODUCT(('ANALYSE - ERP =&gt; SOUS-SEGMENT'!$C$8:$C$1000=$C18)*'ANALYSE - ERP =&gt; SOUS-SEGMENT'!$Q$8:$Q$1000*'ANALYSE - ERP =&gt; SOUS-SEGMENT'!$GP$8:$GP$1000))</f>
        <v>1828.3402344000003</v>
      </c>
      <c r="GQ18" s="311">
        <f t="shared" si="43"/>
        <v>1114.288047670909</v>
      </c>
      <c r="GR18" s="311">
        <f>IF($C18="","",SUMPRODUCT(('ANALYSE - ERP =&gt; SOUS-SEGMENT'!$C$8:$C$1000=$C18)*'ANALYSE - ERP =&gt; SOUS-SEGMENT'!$Q$8:$Q$1000*'ANALYSE - ERP =&gt; SOUS-SEGMENT'!$GR$8:$GR$1000))</f>
        <v>553.02027967090908</v>
      </c>
      <c r="GS18" s="311">
        <f>IF($C18="","",SUMPRODUCT(('ANALYSE - ERP =&gt; SOUS-SEGMENT'!$C$8:$C$1000=$C18)*'ANALYSE - ERP =&gt; SOUS-SEGMENT'!$Q$8:$Q$1000*'ANALYSE - ERP =&gt; SOUS-SEGMENT'!$GS$8:$GS$1000))</f>
        <v>561.26776799999993</v>
      </c>
      <c r="GT18" s="311">
        <f t="shared" si="44"/>
        <v>295.55632936818182</v>
      </c>
      <c r="GU18" s="311">
        <f>IF($C18="","",SUMPRODUCT(('ANALYSE - ERP =&gt; SOUS-SEGMENT'!$C$8:$C$1000=$C18)*'ANALYSE - ERP =&gt; SOUS-SEGMENT'!$Q$8:$Q$1000*'ANALYSE - ERP =&gt; SOUS-SEGMENT'!$GU$8:$GU$1000))</f>
        <v>196.94225676818181</v>
      </c>
      <c r="GV18" s="311">
        <f>IF($C18="","",SUMPRODUCT(('ANALYSE - ERP =&gt; SOUS-SEGMENT'!$C$8:$C$1000=$C18)*'ANALYSE - ERP =&gt; SOUS-SEGMENT'!$Q$8:$Q$1000*'ANALYSE - ERP =&gt; SOUS-SEGMENT'!$GV$8:$GV$1000))</f>
        <v>98.6140726</v>
      </c>
      <c r="GW18" s="311">
        <f t="shared" si="45"/>
        <v>57.948636635000014</v>
      </c>
      <c r="GX18" s="311">
        <f>IF($C18="","",SUMPRODUCT(('ANALYSE - ERP =&gt; SOUS-SEGMENT'!$C$8:$C$1000=$C18)*'ANALYSE - ERP =&gt; SOUS-SEGMENT'!$Q$8:$Q$1000*'ANALYSE - ERP =&gt; SOUS-SEGMENT'!$GX$8:$GX$1000))</f>
        <v>37.976166235000015</v>
      </c>
      <c r="GY18" s="311">
        <f>IF($C18="","",SUMPRODUCT(('ANALYSE - ERP =&gt; SOUS-SEGMENT'!$C$8:$C$1000=$C18)*'ANALYSE - ERP =&gt; SOUS-SEGMENT'!$Q$8:$Q$1000*'ANALYSE - ERP =&gt; SOUS-SEGMENT'!$GY$8:$GY$1000))</f>
        <v>19.972470399999999</v>
      </c>
      <c r="GZ18" s="311">
        <f t="shared" si="46"/>
        <v>20.415178050000002</v>
      </c>
      <c r="HA18" s="311">
        <f>IF($C18="","",SUMPRODUCT(('ANALYSE - ERP =&gt; SOUS-SEGMENT'!$C$8:$C$1000=$C18)*'ANALYSE - ERP =&gt; SOUS-SEGMENT'!$Q$8:$Q$1000*'ANALYSE - ERP =&gt; SOUS-SEGMENT'!$HA$8:$HA$1000))</f>
        <v>14.173781050000002</v>
      </c>
      <c r="HB18" s="311">
        <f>IF($C18="","",SUMPRODUCT(('ANALYSE - ERP =&gt; SOUS-SEGMENT'!$C$8:$C$1000=$C18)*'ANALYSE - ERP =&gt; SOUS-SEGMENT'!$Q$8:$Q$1000*'ANALYSE - ERP =&gt; SOUS-SEGMENT'!$HB$8:$HB$1000))</f>
        <v>6.2413970000000001</v>
      </c>
      <c r="HC18" s="311">
        <f t="shared" si="47"/>
        <v>553.97000825454541</v>
      </c>
      <c r="HD18" s="311">
        <f>IF($C18="","",SUMPRODUCT(('ANALYSE - ERP =&gt; SOUS-SEGMENT'!$C$8:$C$1000=$C18)*'ANALYSE - ERP =&gt; SOUS-SEGMENT'!$Q$8:$Q$1000*'ANALYSE - ERP =&gt; SOUS-SEGMENT'!$HD$8:$HD$1000))</f>
        <v>267.38089145454546</v>
      </c>
      <c r="HE18" s="311">
        <f>IF($C18="","",SUMPRODUCT(('ANALYSE - ERP =&gt; SOUS-SEGMENT'!$C$8:$C$1000=$C18)*'ANALYSE - ERP =&gt; SOUS-SEGMENT'!$Q$8:$Q$1000*'ANALYSE - ERP =&gt; SOUS-SEGMENT'!$HE$8:$HE$1000))</f>
        <v>286.58911679999994</v>
      </c>
      <c r="HF18" s="311">
        <f t="shared" si="48"/>
        <v>1097.04414</v>
      </c>
      <c r="HG18" s="311">
        <f>IF($C18="","",SUMPRODUCT(('ANALYSE - ERP =&gt; SOUS-SEGMENT'!$C$8:$C$1000=$C18)*'ANALYSE - ERP =&gt; SOUS-SEGMENT'!$Q$8:$Q$1000*'ANALYSE - ERP =&gt; SOUS-SEGMENT'!$HG$8:$HG$1000))</f>
        <v>460.17943600000007</v>
      </c>
      <c r="HH18" s="311">
        <f>IF($C18="","",SUMPRODUCT(('ANALYSE - ERP =&gt; SOUS-SEGMENT'!$C$8:$C$1000=$C18)*'ANALYSE - ERP =&gt; SOUS-SEGMENT'!$Q$8:$Q$1000*'ANALYSE - ERP =&gt; SOUS-SEGMENT'!$HH$8:$HH$1000))</f>
        <v>636.86470399999996</v>
      </c>
      <c r="HI18" s="311">
        <f t="shared" si="49"/>
        <v>950.45416154999998</v>
      </c>
      <c r="HJ18" s="311">
        <f>IF($C18="","",SUMPRODUCT(('ANALYSE - ERP =&gt; SOUS-SEGMENT'!$C$8:$C$1000=$C18)*'ANALYSE - ERP =&gt; SOUS-SEGMENT'!$Q$8:$Q$1000*'ANALYSE - ERP =&gt; SOUS-SEGMENT'!$HJ$8:$HJ$1000))</f>
        <v>504.64886875000002</v>
      </c>
      <c r="HK18" s="311">
        <f>IF($C18="","",SUMPRODUCT(('ANALYSE - ERP =&gt; SOUS-SEGMENT'!$C$8:$C$1000=$C18)*'ANALYSE - ERP =&gt; SOUS-SEGMENT'!$Q$8:$Q$1000*'ANALYSE - ERP =&gt; SOUS-SEGMENT'!$HK$8:$HK$1000))</f>
        <v>445.80529279999996</v>
      </c>
      <c r="HL18" s="311">
        <f t="shared" si="50"/>
        <v>451.17884964999996</v>
      </c>
      <c r="HM18" s="311">
        <f>IF($C18="","",SUMPRODUCT(('ANALYSE - ERP =&gt; SOUS-SEGMENT'!$C$8:$C$1000=$C18)*'ANALYSE - ERP =&gt; SOUS-SEGMENT'!$Q$8:$Q$1000*'ANALYSE - ERP =&gt; SOUS-SEGMENT'!$HM$8:$HM$1000))</f>
        <v>228.27620325000001</v>
      </c>
      <c r="HN18" s="311">
        <f>IF($C18="","",SUMPRODUCT(('ANALYSE - ERP =&gt; SOUS-SEGMENT'!$C$8:$C$1000=$C18)*'ANALYSE - ERP =&gt; SOUS-SEGMENT'!$Q$8:$Q$1000*'ANALYSE - ERP =&gt; SOUS-SEGMENT'!$HN$8:$HN$1000))</f>
        <v>222.90264639999998</v>
      </c>
      <c r="HO18" s="311">
        <f t="shared" si="51"/>
        <v>7402.5161816538466</v>
      </c>
      <c r="HP18" s="311">
        <f>IF($C18="","",SUMPRODUCT(('ANALYSE - ERP =&gt; SOUS-SEGMENT'!$C$8:$C$1000=$C18)*'ANALYSE - ERP =&gt; SOUS-SEGMENT'!$Q$8:$Q$1000*'ANALYSE - ERP =&gt; SOUS-SEGMENT'!$HP$8:$HP$1000))</f>
        <v>2856.2223776538458</v>
      </c>
      <c r="HQ18" s="311">
        <f>IF($C18="","",SUMPRODUCT(('ANALYSE - ERP =&gt; SOUS-SEGMENT'!$C$8:$C$1000=$C18)*'ANALYSE - ERP =&gt; SOUS-SEGMENT'!$Q$8:$Q$1000*'ANALYSE - ERP =&gt; SOUS-SEGMENT'!$HQ$8:$HQ$1000))</f>
        <v>4546.2938040000008</v>
      </c>
      <c r="HR18" s="311">
        <f t="shared" si="52"/>
        <v>2894.4076105615386</v>
      </c>
      <c r="HS18" s="311">
        <f>IF($C18="","",SUMPRODUCT(('ANALYSE - ERP =&gt; SOUS-SEGMENT'!$C$8:$C$1000=$C18)*'ANALYSE - ERP =&gt; SOUS-SEGMENT'!$Q$8:$Q$1000*'ANALYSE - ERP =&gt; SOUS-SEGMENT'!$HS$8:$HS$1000))</f>
        <v>1019.1670489615385</v>
      </c>
      <c r="HT18" s="311">
        <f>IF($C18="","",SUMPRODUCT(('ANALYSE - ERP =&gt; SOUS-SEGMENT'!$C$8:$C$1000=$C18)*'ANALYSE - ERP =&gt; SOUS-SEGMENT'!$Q$8:$Q$1000*'ANALYSE - ERP =&gt; SOUS-SEGMENT'!$HT$8:$HT$1000))</f>
        <v>1875.2405616000003</v>
      </c>
      <c r="HU18" s="311">
        <f t="shared" si="53"/>
        <v>3320.8992784000002</v>
      </c>
      <c r="HV18" s="311">
        <f>IF($C18="","",SUMPRODUCT(('ANALYSE - ERP =&gt; SOUS-SEGMENT'!$C$8:$C$1000=$C18)*'ANALYSE - ERP =&gt; SOUS-SEGMENT'!$Q$8:$Q$1000*'ANALYSE - ERP =&gt; SOUS-SEGMENT'!$HV$8:$HV$1000))</f>
        <v>1429.566364</v>
      </c>
      <c r="HW18" s="311">
        <f>IF($C18="","",SUMPRODUCT(('ANALYSE - ERP =&gt; SOUS-SEGMENT'!$C$8:$C$1000=$C18)*'ANALYSE - ERP =&gt; SOUS-SEGMENT'!$Q$8:$Q$1000*'ANALYSE - ERP =&gt; SOUS-SEGMENT'!$HW$8:$HW$1000))</f>
        <v>1891.3329144000002</v>
      </c>
      <c r="HY18" s="313">
        <f t="shared" si="54"/>
        <v>44530</v>
      </c>
      <c r="HZ18" s="313">
        <f>IF($C18="","",SUMPRODUCT(('ANALYSE - ERP =&gt; SOUS-SEGMENT'!$C$8:$C$1000=$C18)*'ANALYSE - ERP =&gt; SOUS-SEGMENT'!$Q$8:$Q$1000*'ANALYSE - ERP =&gt; SOUS-SEGMENT'!$HZ$8:$HZ$1000))</f>
        <v>105.0566</v>
      </c>
      <c r="IA18" s="313">
        <f>IF($C18="","",SUMPRODUCT(('ANALYSE - ERP =&gt; SOUS-SEGMENT'!$C$8:$C$1000=$C18)*'ANALYSE - ERP =&gt; SOUS-SEGMENT'!$Q$8:$Q$1000*'ANALYSE - ERP =&gt; SOUS-SEGMENT'!$IA$8:$IA$1000))</f>
        <v>9328.9832000000006</v>
      </c>
      <c r="IB18" s="313">
        <f>IF($C18="","",SUMPRODUCT(('ANALYSE - ERP =&gt; SOUS-SEGMENT'!$C$8:$C$1000=$C18)*'ANALYSE - ERP =&gt; SOUS-SEGMENT'!$Q$8:$Q$1000*'ANALYSE - ERP =&gt; SOUS-SEGMENT'!$IB$8:$IB$1000))</f>
        <v>24953.2068</v>
      </c>
      <c r="IC18" s="313">
        <f>IF($C18="","",SUMPRODUCT(('ANALYSE - ERP =&gt; SOUS-SEGMENT'!$C$8:$C$1000=$C18)*'ANALYSE - ERP =&gt; SOUS-SEGMENT'!$Q$8:$Q$1000*'ANALYSE - ERP =&gt; SOUS-SEGMENT'!$IC$8:$IC$1000))</f>
        <v>9641.4534000000003</v>
      </c>
      <c r="ID18" s="313">
        <f>IF($C18="","",SUMPRODUCT(('ANALYSE - ERP =&gt; SOUS-SEGMENT'!$C$8:$C$1000=$C18)*'ANALYSE - ERP =&gt; SOUS-SEGMENT'!$Q$8:$Q$1000*'ANALYSE - ERP =&gt; SOUS-SEGMENT'!$ID$8:$ID$1000))</f>
        <v>501.29999999999995</v>
      </c>
      <c r="IE18" s="313">
        <f t="shared" si="55"/>
        <v>12216.652177294685</v>
      </c>
      <c r="IF18" s="313">
        <f>IF($C18="","",SUMPRODUCT(('ANALYSE - ERP =&gt; SOUS-SEGMENT'!$C$8:$C$1000=$C18)*'ANALYSE - ERP =&gt; SOUS-SEGMENT'!$Q$8:$Q$1000*'ANALYSE - ERP =&gt; SOUS-SEGMENT'!$IF$8:$IF$1000))</f>
        <v>0</v>
      </c>
      <c r="IG18" s="313">
        <f>IF($C18="","",SUMPRODUCT(('ANALYSE - ERP =&gt; SOUS-SEGMENT'!$C$8:$C$1000=$C18)*'ANALYSE - ERP =&gt; SOUS-SEGMENT'!$Q$8:$Q$1000*'ANALYSE - ERP =&gt; SOUS-SEGMENT'!$IG$8:$IG$1000))</f>
        <v>1189.1236137975302</v>
      </c>
      <c r="IH18" s="313">
        <f>IF($C18="","",SUMPRODUCT(('ANALYSE - ERP =&gt; SOUS-SEGMENT'!$C$8:$C$1000=$C18)*'ANALYSE - ERP =&gt; SOUS-SEGMENT'!$Q$8:$Q$1000*'ANALYSE - ERP =&gt; SOUS-SEGMENT'!$IH$8:$IH$1000))</f>
        <v>5749.8340472865511</v>
      </c>
      <c r="II18" s="313">
        <f>IF($C18="","",SUMPRODUCT(('ANALYSE - ERP =&gt; SOUS-SEGMENT'!$C$8:$C$1000=$C18)*'ANALYSE - ERP =&gt; SOUS-SEGMENT'!$Q$8:$Q$1000*'ANALYSE - ERP =&gt; SOUS-SEGMENT'!$II$8:$II$1000))</f>
        <v>4854.734146457351</v>
      </c>
      <c r="IJ18" s="313">
        <f>IF($C18="","",SUMPRODUCT(('ANALYSE - ERP =&gt; SOUS-SEGMENT'!$C$8:$C$1000=$C18)*'ANALYSE - ERP =&gt; SOUS-SEGMENT'!$Q$8:$Q$1000*'ANALYSE - ERP =&gt; SOUS-SEGMENT'!$IJ$8:$IJ$1000))</f>
        <v>422.96036975325313</v>
      </c>
      <c r="IK18" s="866">
        <f>IF($C18="","",IFERROR(SUMPRODUCT(('ANALYSE - ERP =&gt; SOUS-SEGMENT'!$C$8:$C$1000=$C18)*'ANALYSE - ERP =&gt; SOUS-SEGMENT'!$Q$8:$Q$1000*'ANALYSE - ERP =&gt; SOUS-SEGMENT'!$IE$8:$IE$1000*'ANALYSE - ERP =&gt; SOUS-SEGMENT'!$IK$8:$IK$1000)/SUMPRODUCT(('ANALYSE - ERP =&gt; SOUS-SEGMENT'!$C$8:$C$1000=$C18)*'ANALYSE - ERP =&gt; SOUS-SEGMENT'!$Q$8:$Q$1000*'ANALYSE - ERP =&gt; SOUS-SEGMENT'!$IE$8:$IE$1000),""))</f>
        <v>4.063296035659608</v>
      </c>
      <c r="IL18" s="920" t="s">
        <v>2589</v>
      </c>
      <c r="IM18" s="964" t="s">
        <v>5670</v>
      </c>
      <c r="IN18" s="657"/>
      <c r="IO18" s="730">
        <f>IF($C18="","",IFERROR(SUMPRODUCT(('ANALYSE - ERP =&gt; SOUS-SEGMENT'!$C$8:$C$1000=$C18)*'ANALYSE - ERP =&gt; SOUS-SEGMENT'!$Q$8:$Q$1000*'ANALYSE - ERP =&gt; SOUS-SEGMENT'!$BE$8:$BE$1000*'ANALYSE - ERP =&gt; SOUS-SEGMENT'!$IO$8:$IO$1000)/SUMPRODUCT(('ANALYSE - ERP =&gt; SOUS-SEGMENT'!$C$8:$C$1000=$C18)*'ANALYSE - ERP =&gt; SOUS-SEGMENT'!$Q$8:$Q$1000*'ANALYSE - ERP =&gt; SOUS-SEGMENT'!$BE$8:$BE$1000),""))</f>
        <v>1.2779934308748879E-3</v>
      </c>
      <c r="IP18" s="730">
        <f>IF($C18="","",IFERROR(SUMPRODUCT(('ANALYSE - ERP =&gt; SOUS-SEGMENT'!$C$8:$C$1000=$C18)*'ANALYSE - ERP =&gt; SOUS-SEGMENT'!$Q$8:$Q$1000*'ANALYSE - ERP =&gt; SOUS-SEGMENT'!$BE$8:$BE$1000*'ANALYSE - ERP =&gt; SOUS-SEGMENT'!$IP$8:$IP$1000)/SUMPRODUCT(('ANALYSE - ERP =&gt; SOUS-SEGMENT'!$C$8:$C$1000=$C18)*'ANALYSE - ERP =&gt; SOUS-SEGMENT'!$Q$8:$Q$1000*'ANALYSE - ERP =&gt; SOUS-SEGMENT'!$BE$8:$BE$1000),""))</f>
        <v>0.17851239175873393</v>
      </c>
      <c r="IQ18" s="730">
        <f>IF($C18="","",IFERROR(SUMPRODUCT(('ANALYSE - ERP =&gt; SOUS-SEGMENT'!$C$8:$C$1000=$C18)*'ANALYSE - ERP =&gt; SOUS-SEGMENT'!$Q$8:$Q$1000*'ANALYSE - ERP =&gt; SOUS-SEGMENT'!$BE$8:$BE$1000*'ANALYSE - ERP =&gt; SOUS-SEGMENT'!$IQ$8:$IQ$1000)/SUMPRODUCT(('ANALYSE - ERP =&gt; SOUS-SEGMENT'!$C$8:$C$1000=$C18)*'ANALYSE - ERP =&gt; SOUS-SEGMENT'!$Q$8:$Q$1000*'ANALYSE - ERP =&gt; SOUS-SEGMENT'!$BE$8:$BE$1000),""))</f>
        <v>0.55928062108091969</v>
      </c>
      <c r="IR18" s="730">
        <f>IF($C18="","",IFERROR(SUMPRODUCT(('ANALYSE - ERP =&gt; SOUS-SEGMENT'!$C$8:$C$1000=$C18)*'ANALYSE - ERP =&gt; SOUS-SEGMENT'!$Q$8:$Q$1000*'ANALYSE - ERP =&gt; SOUS-SEGMENT'!$BE$8:$BE$1000*'ANALYSE - ERP =&gt; SOUS-SEGMENT'!$IR$8:$IR$1000)/SUMPRODUCT(('ANALYSE - ERP =&gt; SOUS-SEGMENT'!$C$8:$C$1000=$C18)*'ANALYSE - ERP =&gt; SOUS-SEGMENT'!$Q$8:$Q$1000*'ANALYSE - ERP =&gt; SOUS-SEGMENT'!$BE$8:$BE$1000),""))</f>
        <v>0.24659635712152878</v>
      </c>
      <c r="IS18" s="730">
        <f>IF($C18="","",IFERROR(SUMPRODUCT(('ANALYSE - ERP =&gt; SOUS-SEGMENT'!$C$8:$C$1000=$C18)*'ANALYSE - ERP =&gt; SOUS-SEGMENT'!$Q$8:$Q$1000*'ANALYSE - ERP =&gt; SOUS-SEGMENT'!$BE$8:$BE$1000*'ANALYSE - ERP =&gt; SOUS-SEGMENT'!$IS$8:$IS$1000)/SUMPRODUCT(('ANALYSE - ERP =&gt; SOUS-SEGMENT'!$C$8:$C$1000=$C18)*'ANALYSE - ERP =&gt; SOUS-SEGMENT'!$Q$8:$Q$1000*'ANALYSE - ERP =&gt; SOUS-SEGMENT'!$BE$8:$BE$1000),""))</f>
        <v>1.4332636607942669E-2</v>
      </c>
      <c r="IT18" s="730">
        <f>IF($C18="","",IFERROR(SUMPRODUCT(('ANALYSE - ERP =&gt; SOUS-SEGMENT'!$C$8:$C$1000=$C18)*'ANALYSE - ERP =&gt; SOUS-SEGMENT'!$Q$8:$Q$1000*'ANALYSE - ERP =&gt; SOUS-SEGMENT'!$FB$8:$FB$1000*'ANALYSE - ERP =&gt; SOUS-SEGMENT'!$IT$8:$IT$1000)/SUMPRODUCT(('ANALYSE - ERP =&gt; SOUS-SEGMENT'!$C$8:$C$1000=$C18)*'ANALYSE - ERP =&gt; SOUS-SEGMENT'!$Q$8:$Q$1000*'ANALYSE - ERP =&gt; SOUS-SEGMENT'!$FB$8:$FB$1000),""))</f>
        <v>0</v>
      </c>
      <c r="IU18" s="730">
        <f>IF($C18="","",IFERROR(SUMPRODUCT(('ANALYSE - ERP =&gt; SOUS-SEGMENT'!$C$8:$C$1000=$C18)*'ANALYSE - ERP =&gt; SOUS-SEGMENT'!$Q$8:$Q$1000*'ANALYSE - ERP =&gt; SOUS-SEGMENT'!$FB$8:$FB$1000*'ANALYSE - ERP =&gt; SOUS-SEGMENT'!$IU$8:$IU$1000)/SUMPRODUCT(('ANALYSE - ERP =&gt; SOUS-SEGMENT'!$C$8:$C$1000=$C18)*'ANALYSE - ERP =&gt; SOUS-SEGMENT'!$Q$8:$Q$1000*'ANALYSE - ERP =&gt; SOUS-SEGMENT'!$FB$8:$FB$1000),""))</f>
        <v>8.2165516537796426E-2</v>
      </c>
      <c r="IV18" s="730">
        <f>IF($C18="","",IFERROR(SUMPRODUCT(('ANALYSE - ERP =&gt; SOUS-SEGMENT'!$C$8:$C$1000=$C18)*'ANALYSE - ERP =&gt; SOUS-SEGMENT'!$Q$8:$Q$1000*'ANALYSE - ERP =&gt; SOUS-SEGMENT'!$FB$8:$FB$1000*'ANALYSE - ERP =&gt; SOUS-SEGMENT'!$IV$8:$IV$1000)/SUMPRODUCT(('ANALYSE - ERP =&gt; SOUS-SEGMENT'!$C$8:$C$1000=$C18)*'ANALYSE - ERP =&gt; SOUS-SEGMENT'!$Q$8:$Q$1000*'ANALYSE - ERP =&gt; SOUS-SEGMENT'!$FB$8:$FB$1000),""))</f>
        <v>0.44736426055216011</v>
      </c>
      <c r="IW18" s="730">
        <f>IF($C18="","",IFERROR(SUMPRODUCT(('ANALYSE - ERP =&gt; SOUS-SEGMENT'!$C$8:$C$1000=$C18)*'ANALYSE - ERP =&gt; SOUS-SEGMENT'!$Q$8:$Q$1000*'ANALYSE - ERP =&gt; SOUS-SEGMENT'!$FB$8:$FB$1000*'ANALYSE - ERP =&gt; SOUS-SEGMENT'!$IW$8:$IW$1000)/SUMPRODUCT(('ANALYSE - ERP =&gt; SOUS-SEGMENT'!$C$8:$C$1000=$C18)*'ANALYSE - ERP =&gt; SOUS-SEGMENT'!$Q$8:$Q$1000*'ANALYSE - ERP =&gt; SOUS-SEGMENT'!$FB$8:$FB$1000),""))</f>
        <v>0.43042000420110277</v>
      </c>
      <c r="IX18" s="730">
        <f>IF($C18="","",IFERROR(SUMPRODUCT(('ANALYSE - ERP =&gt; SOUS-SEGMENT'!$C$8:$C$1000=$C18)*'ANALYSE - ERP =&gt; SOUS-SEGMENT'!$Q$8:$Q$1000*'ANALYSE - ERP =&gt; SOUS-SEGMENT'!$FB$8:$FB$1000*'ANALYSE - ERP =&gt; SOUS-SEGMENT'!$IX$8:$IX$1000)/SUMPRODUCT(('ANALYSE - ERP =&gt; SOUS-SEGMENT'!$C$8:$C$1000=$C18)*'ANALYSE - ERP =&gt; SOUS-SEGMENT'!$Q$8:$Q$1000*'ANALYSE - ERP =&gt; SOUS-SEGMENT'!$FB$8:$FB$1000),""))</f>
        <v>4.0050218708940592E-2</v>
      </c>
      <c r="IY18" s="730">
        <f>IF($C18="","",IFERROR(SUMPRODUCT(('ANALYSE - ERP =&gt; SOUS-SEGMENT'!$C$8:$C$1000=$C18)*'ANALYSE - ERP =&gt; SOUS-SEGMENT'!$Q$8:$Q$1000*'ANALYSE - ERP =&gt; SOUS-SEGMENT'!$BF$8:$BF$1000*'ANALYSE - ERP =&gt; SOUS-SEGMENT'!$IY$8:$IY$1000)/SUMPRODUCT(('ANALYSE - ERP =&gt; SOUS-SEGMENT'!$C$8:$C$1000=$C18)*'ANALYSE - ERP =&gt; SOUS-SEGMENT'!$Q$8:$Q$1000*'ANALYSE - ERP =&gt; SOUS-SEGMENT'!$BF$8:$BF$1000),""))</f>
        <v>0</v>
      </c>
      <c r="IZ18" s="730">
        <f>IF($C18="","",IFERROR(SUMPRODUCT(('ANALYSE - ERP =&gt; SOUS-SEGMENT'!$C$8:$C$1000=$C18)*'ANALYSE - ERP =&gt; SOUS-SEGMENT'!$Q$8:$Q$1000*'ANALYSE - ERP =&gt; SOUS-SEGMENT'!$BF$8:$BF$1000*'ANALYSE - ERP =&gt; SOUS-SEGMENT'!$IZ$8:$IZ$1000)/SUMPRODUCT(('ANALYSE - ERP =&gt; SOUS-SEGMENT'!$C$8:$C$1000=$C18)*'ANALYSE - ERP =&gt; SOUS-SEGMENT'!$Q$8:$Q$1000*'ANALYSE - ERP =&gt; SOUS-SEGMENT'!$BF$8:$BF$1000),""))</f>
        <v>0</v>
      </c>
      <c r="JA18" s="730">
        <f>IF($C18="","",IFERROR(SUMPRODUCT(('ANALYSE - ERP =&gt; SOUS-SEGMENT'!$C$8:$C$1000=$C18)*'ANALYSE - ERP =&gt; SOUS-SEGMENT'!$Q$8:$Q$1000*'ANALYSE - ERP =&gt; SOUS-SEGMENT'!$BF$8:$BF$1000*'ANALYSE - ERP =&gt; SOUS-SEGMENT'!$JA$8:$JA$1000)/SUMPRODUCT(('ANALYSE - ERP =&gt; SOUS-SEGMENT'!$C$8:$C$1000=$C18)*'ANALYSE - ERP =&gt; SOUS-SEGMENT'!$Q$8:$Q$1000*'ANALYSE - ERP =&gt; SOUS-SEGMENT'!$BF$8:$BF$1000),""))</f>
        <v>0</v>
      </c>
      <c r="JB18" s="730">
        <f>IF($C18="","",IFERROR(SUMPRODUCT(('ANALYSE - ERP =&gt; SOUS-SEGMENT'!$C$8:$C$1000=$C18)*'ANALYSE - ERP =&gt; SOUS-SEGMENT'!$Q$8:$Q$1000*'ANALYSE - ERP =&gt; SOUS-SEGMENT'!$BF$8:$BF$1000*'ANALYSE - ERP =&gt; SOUS-SEGMENT'!$JB$8:$JB$1000)/SUMPRODUCT(('ANALYSE - ERP =&gt; SOUS-SEGMENT'!$C$8:$C$1000=$C18)*'ANALYSE - ERP =&gt; SOUS-SEGMENT'!$Q$8:$Q$1000*'ANALYSE - ERP =&gt; SOUS-SEGMENT'!$BF$8:$BF$1000),""))</f>
        <v>0</v>
      </c>
      <c r="JC18" s="730">
        <f>IF($C18="","",IFERROR(SUMPRODUCT(('ANALYSE - ERP =&gt; SOUS-SEGMENT'!$C$8:$C$1000=$C18)*'ANALYSE - ERP =&gt; SOUS-SEGMENT'!$Q$8:$Q$1000*'ANALYSE - ERP =&gt; SOUS-SEGMENT'!$BF$8:$BF$1000*'ANALYSE - ERP =&gt; SOUS-SEGMENT'!$JC$8:$JC$1000)/SUMPRODUCT(('ANALYSE - ERP =&gt; SOUS-SEGMENT'!$C$8:$C$1000=$C18)*'ANALYSE - ERP =&gt; SOUS-SEGMENT'!$Q$8:$Q$1000*'ANALYSE - ERP =&gt; SOUS-SEGMENT'!$BF$8:$BF$1000),""))</f>
        <v>0</v>
      </c>
      <c r="JD18" s="730">
        <f>IF($C18="","",IFERROR(SUMPRODUCT(('ANALYSE - ERP =&gt; SOUS-SEGMENT'!$C$8:$C$1000=$C18)*'ANALYSE - ERP =&gt; SOUS-SEGMENT'!$Q$8:$Q$1000*'ANALYSE - ERP =&gt; SOUS-SEGMENT'!$FE$8:$FE$1000*'ANALYSE - ERP =&gt; SOUS-SEGMENT'!$JD$8:$JD$1000)/SUMPRODUCT(('ANALYSE - ERP =&gt; SOUS-SEGMENT'!$C$8:$C$1000=$C18)*'ANALYSE - ERP =&gt; SOUS-SEGMENT'!$Q$8:$Q$1000*'ANALYSE - ERP =&gt; SOUS-SEGMENT'!$FE$8:$FE$1000),""))</f>
        <v>0</v>
      </c>
      <c r="JE18" s="730">
        <f>IF($C18="","",IFERROR(SUMPRODUCT(('ANALYSE - ERP =&gt; SOUS-SEGMENT'!$C$8:$C$1000=$C18)*'ANALYSE - ERP =&gt; SOUS-SEGMENT'!$Q$8:$Q$1000*'ANALYSE - ERP =&gt; SOUS-SEGMENT'!$FE$8:$FE$1000*'ANALYSE - ERP =&gt; SOUS-SEGMENT'!$JE$8:$JE$1000)/SUMPRODUCT(('ANALYSE - ERP =&gt; SOUS-SEGMENT'!$C$8:$C$1000=$C18)*'ANALYSE - ERP =&gt; SOUS-SEGMENT'!$Q$8:$Q$1000*'ANALYSE - ERP =&gt; SOUS-SEGMENT'!$FE$8:$FE$1000),""))</f>
        <v>0</v>
      </c>
      <c r="JF18" s="730">
        <f>IF($C18="","",IFERROR(SUMPRODUCT(('ANALYSE - ERP =&gt; SOUS-SEGMENT'!$C$8:$C$1000=$C18)*'ANALYSE - ERP =&gt; SOUS-SEGMENT'!$Q$8:$Q$1000*'ANALYSE - ERP =&gt; SOUS-SEGMENT'!$FE$8:$FE$1000*'ANALYSE - ERP =&gt; SOUS-SEGMENT'!$JF$8:$JF$1000)/SUMPRODUCT(('ANALYSE - ERP =&gt; SOUS-SEGMENT'!$C$8:$C$1000=$C18)*'ANALYSE - ERP =&gt; SOUS-SEGMENT'!$Q$8:$Q$1000*'ANALYSE - ERP =&gt; SOUS-SEGMENT'!$FE$8:$FE$1000),""))</f>
        <v>0</v>
      </c>
      <c r="JG18" s="730">
        <f>IF($C18="","",IFERROR(SUMPRODUCT(('ANALYSE - ERP =&gt; SOUS-SEGMENT'!$C$8:$C$1000=$C18)*'ANALYSE - ERP =&gt; SOUS-SEGMENT'!$Q$8:$Q$1000*'ANALYSE - ERP =&gt; SOUS-SEGMENT'!$FE$8:$FE$1000*'ANALYSE - ERP =&gt; SOUS-SEGMENT'!$JG$8:$JG$1000)/SUMPRODUCT(('ANALYSE - ERP =&gt; SOUS-SEGMENT'!$C$8:$C$1000=$C18)*'ANALYSE - ERP =&gt; SOUS-SEGMENT'!$Q$8:$Q$1000*'ANALYSE - ERP =&gt; SOUS-SEGMENT'!$FE$8:$FE$1000),""))</f>
        <v>0</v>
      </c>
      <c r="JH18" s="730">
        <f>IF($C18="","",IFERROR(SUMPRODUCT(('ANALYSE - ERP =&gt; SOUS-SEGMENT'!$C$8:$C$1000=$C18)*'ANALYSE - ERP =&gt; SOUS-SEGMENT'!$Q$8:$Q$1000*'ANALYSE - ERP =&gt; SOUS-SEGMENT'!$FE$8:$FE$1000*'ANALYSE - ERP =&gt; SOUS-SEGMENT'!$JH$8:$JH$1000)/SUMPRODUCT(('ANALYSE - ERP =&gt; SOUS-SEGMENT'!$C$8:$C$1000=$C18)*'ANALYSE - ERP =&gt; SOUS-SEGMENT'!$Q$8:$Q$1000*'ANALYSE - ERP =&gt; SOUS-SEGMENT'!$FE$8:$FE$1000),""))</f>
        <v>0</v>
      </c>
      <c r="JI18" s="730">
        <f>IF($C18="","",IFERROR(SUMPRODUCT(('ANALYSE - ERP =&gt; SOUS-SEGMENT'!$C$8:$C$1000=$C18)*'ANALYSE - ERP =&gt; SOUS-SEGMENT'!$Q$8:$Q$1000*'ANALYSE - ERP =&gt; SOUS-SEGMENT'!$BG$8:$BG$1000*'ANALYSE - ERP =&gt; SOUS-SEGMENT'!$JI$8:$JI$1000)/SUMPRODUCT(('ANALYSE - ERP =&gt; SOUS-SEGMENT'!$C$8:$C$1000=$C18)*'ANALYSE - ERP =&gt; SOUS-SEGMENT'!$Q$8:$Q$1000*'ANALYSE - ERP =&gt; SOUS-SEGMENT'!$BG$8:$BG$1000),""))</f>
        <v>1.1716213726393367E-2</v>
      </c>
      <c r="JJ18" s="730">
        <f>IF($C18="","",IFERROR(SUMPRODUCT(('ANALYSE - ERP =&gt; SOUS-SEGMENT'!$C$8:$C$1000=$C18)*'ANALYSE - ERP =&gt; SOUS-SEGMENT'!$Q$8:$Q$1000*'ANALYSE - ERP =&gt; SOUS-SEGMENT'!$BG$8:$BG$1000*'ANALYSE - ERP =&gt; SOUS-SEGMENT'!$JJ$8:$JJ$1000)/SUMPRODUCT(('ANALYSE - ERP =&gt; SOUS-SEGMENT'!$C$8:$C$1000=$C18)*'ANALYSE - ERP =&gt; SOUS-SEGMENT'!$Q$8:$Q$1000*'ANALYSE - ERP =&gt; SOUS-SEGMENT'!$BG$8:$BG$1000),""))</f>
        <v>0.31788756333486873</v>
      </c>
      <c r="JK18" s="730">
        <f>IF($C18="","",IFERROR(SUMPRODUCT(('ANALYSE - ERP =&gt; SOUS-SEGMENT'!$C$8:$C$1000=$C18)*'ANALYSE - ERP =&gt; SOUS-SEGMENT'!$Q$8:$Q$1000*'ANALYSE - ERP =&gt; SOUS-SEGMENT'!$BG$8:$BG$1000*'ANALYSE - ERP =&gt; SOUS-SEGMENT'!$JK$8:$JK$1000)/SUMPRODUCT(('ANALYSE - ERP =&gt; SOUS-SEGMENT'!$C$8:$C$1000=$C18)*'ANALYSE - ERP =&gt; SOUS-SEGMENT'!$Q$8:$Q$1000*'ANALYSE - ERP =&gt; SOUS-SEGMENT'!$BG$8:$BG$1000),""))</f>
        <v>0.53713321050207274</v>
      </c>
      <c r="JL18" s="730">
        <f>IF($C18="","",IFERROR(SUMPRODUCT(('ANALYSE - ERP =&gt; SOUS-SEGMENT'!$C$8:$C$1000=$C18)*'ANALYSE - ERP =&gt; SOUS-SEGMENT'!$Q$8:$Q$1000*'ANALYSE - ERP =&gt; SOUS-SEGMENT'!$BG$8:$BG$1000*'ANALYSE - ERP =&gt; SOUS-SEGMENT'!$JL$8:$JL$1000)/SUMPRODUCT(('ANALYSE - ERP =&gt; SOUS-SEGMENT'!$C$8:$C$1000=$C18)*'ANALYSE - ERP =&gt; SOUS-SEGMENT'!$Q$8:$Q$1000*'ANALYSE - ERP =&gt; SOUS-SEGMENT'!$BG$8:$BG$1000),""))</f>
        <v>0.12953201289728236</v>
      </c>
      <c r="JM18" s="730">
        <f>IF($C18="","",IFERROR(SUMPRODUCT(('ANALYSE - ERP =&gt; SOUS-SEGMENT'!$C$8:$C$1000=$C18)*'ANALYSE - ERP =&gt; SOUS-SEGMENT'!$Q$8:$Q$1000*'ANALYSE - ERP =&gt; SOUS-SEGMENT'!$BG$8:$BG$1000*'ANALYSE - ERP =&gt; SOUS-SEGMENT'!$JM$8:$JM$1000)/SUMPRODUCT(('ANALYSE - ERP =&gt; SOUS-SEGMENT'!$C$8:$C$1000=$C18)*'ANALYSE - ERP =&gt; SOUS-SEGMENT'!$Q$8:$Q$1000*'ANALYSE - ERP =&gt; SOUS-SEGMENT'!$BG$8:$BG$1000),""))</f>
        <v>3.7309995393827729E-3</v>
      </c>
      <c r="JN18" s="730">
        <f>IF($C18="","",IFERROR(SUMPRODUCT(('ANALYSE - ERP =&gt; SOUS-SEGMENT'!$C$8:$C$1000=$C18)*'ANALYSE - ERP =&gt; SOUS-SEGMENT'!$Q$8:$Q$1000*'ANALYSE - ERP =&gt; SOUS-SEGMENT'!$FH$8:$FH$1000*'ANALYSE - ERP =&gt; SOUS-SEGMENT'!$JN$8:$JN$1000)/SUMPRODUCT(('ANALYSE - ERP =&gt; SOUS-SEGMENT'!$C$8:$C$1000=$C18)*'ANALYSE - ERP =&gt; SOUS-SEGMENT'!$Q$8:$Q$1000*'ANALYSE - ERP =&gt; SOUS-SEGMENT'!$FH$8:$FH$1000),""))</f>
        <v>0</v>
      </c>
      <c r="JO18" s="730">
        <f>IF($C18="","",IFERROR(SUMPRODUCT(('ANALYSE - ERP =&gt; SOUS-SEGMENT'!$C$8:$C$1000=$C18)*'ANALYSE - ERP =&gt; SOUS-SEGMENT'!$Q$8:$Q$1000*'ANALYSE - ERP =&gt; SOUS-SEGMENT'!$FH$8:$FH$1000*'ANALYSE - ERP =&gt; SOUS-SEGMENT'!$JO$8:$JO$1000)/SUMPRODUCT(('ANALYSE - ERP =&gt; SOUS-SEGMENT'!$C$8:$C$1000=$C18)*'ANALYSE - ERP =&gt; SOUS-SEGMENT'!$Q$8:$Q$1000*'ANALYSE - ERP =&gt; SOUS-SEGMENT'!$FH$8:$FH$1000),""))</f>
        <v>0.15345248010537485</v>
      </c>
      <c r="JP18" s="730">
        <f>IF($C18="","",IFERROR(SUMPRODUCT(('ANALYSE - ERP =&gt; SOUS-SEGMENT'!$C$8:$C$1000=$C18)*'ANALYSE - ERP =&gt; SOUS-SEGMENT'!$Q$8:$Q$1000*'ANALYSE - ERP =&gt; SOUS-SEGMENT'!$FH$8:$FH$1000*'ANALYSE - ERP =&gt; SOUS-SEGMENT'!$JP$8:$JP$1000)/SUMPRODUCT(('ANALYSE - ERP =&gt; SOUS-SEGMENT'!$C$8:$C$1000=$C18)*'ANALYSE - ERP =&gt; SOUS-SEGMENT'!$Q$8:$Q$1000*'ANALYSE - ERP =&gt; SOUS-SEGMENT'!$FH$8:$FH$1000),""))</f>
        <v>0.53530739681015049</v>
      </c>
      <c r="JQ18" s="730">
        <f>IF($C18="","",IFERROR(SUMPRODUCT(('ANALYSE - ERP =&gt; SOUS-SEGMENT'!$C$8:$C$1000=$C18)*'ANALYSE - ERP =&gt; SOUS-SEGMENT'!$Q$8:$Q$1000*'ANALYSE - ERP =&gt; SOUS-SEGMENT'!$FH$8:$FH$1000*'ANALYSE - ERP =&gt; SOUS-SEGMENT'!$JQ$8:$JQ$1000)/SUMPRODUCT(('ANALYSE - ERP =&gt; SOUS-SEGMENT'!$C$8:$C$1000=$C18)*'ANALYSE - ERP =&gt; SOUS-SEGMENT'!$Q$8:$Q$1000*'ANALYSE - ERP =&gt; SOUS-SEGMENT'!$FH$8:$FH$1000),""))</f>
        <v>0.28843111325148885</v>
      </c>
      <c r="JR18" s="730">
        <f>IF($C18="","",IFERROR(SUMPRODUCT(('ANALYSE - ERP =&gt; SOUS-SEGMENT'!$C$8:$C$1000=$C18)*'ANALYSE - ERP =&gt; SOUS-SEGMENT'!$Q$8:$Q$1000*'ANALYSE - ERP =&gt; SOUS-SEGMENT'!$FH$8:$FH$1000*'ANALYSE - ERP =&gt; SOUS-SEGMENT'!$JR$8:$JR$1000)/SUMPRODUCT(('ANALYSE - ERP =&gt; SOUS-SEGMENT'!$C$8:$C$1000=$C18)*'ANALYSE - ERP =&gt; SOUS-SEGMENT'!$Q$8:$Q$1000*'ANALYSE - ERP =&gt; SOUS-SEGMENT'!$FH$8:$FH$1000),""))</f>
        <v>2.280900983298579E-2</v>
      </c>
      <c r="JS18" s="730">
        <f>IF($C18="","",IFERROR(SUMPRODUCT(('ANALYSE - ERP =&gt; SOUS-SEGMENT'!$C$8:$C$1000=$C18)*'ANALYSE - ERP =&gt; SOUS-SEGMENT'!$Q$8:$Q$1000*'ANALYSE - ERP =&gt; SOUS-SEGMENT'!$BH$8:$BH$1000*'ANALYSE - ERP =&gt; SOUS-SEGMENT'!$JS$8:$JS$1000)/SUMPRODUCT(('ANALYSE - ERP =&gt; SOUS-SEGMENT'!$C$8:$C$1000=$C18)*'ANALYSE - ERP =&gt; SOUS-SEGMENT'!$Q$8:$Q$1000*'ANALYSE - ERP =&gt; SOUS-SEGMENT'!$BH$8:$BH$1000),""))</f>
        <v>1.4185727082711259E-3</v>
      </c>
      <c r="JT18" s="730">
        <f>IF($C18="","",IFERROR(SUMPRODUCT(('ANALYSE - ERP =&gt; SOUS-SEGMENT'!$C$8:$C$1000=$C18)*'ANALYSE - ERP =&gt; SOUS-SEGMENT'!$Q$8:$Q$1000*'ANALYSE - ERP =&gt; SOUS-SEGMENT'!$BH$8:$BH$1000*'ANALYSE - ERP =&gt; SOUS-SEGMENT'!$JT$8:$JT$1000)/SUMPRODUCT(('ANALYSE - ERP =&gt; SOUS-SEGMENT'!$C$8:$C$1000=$C18)*'ANALYSE - ERP =&gt; SOUS-SEGMENT'!$Q$8:$Q$1000*'ANALYSE - ERP =&gt; SOUS-SEGMENT'!$BH$8:$BH$1000),""))</f>
        <v>0.21706416840848014</v>
      </c>
      <c r="JU18" s="730">
        <f>IF($C18="","",IFERROR(SUMPRODUCT(('ANALYSE - ERP =&gt; SOUS-SEGMENT'!$C$8:$C$1000=$C18)*'ANALYSE - ERP =&gt; SOUS-SEGMENT'!$Q$8:$Q$1000*'ANALYSE - ERP =&gt; SOUS-SEGMENT'!$BH$8:$BH$1000*'ANALYSE - ERP =&gt; SOUS-SEGMENT'!$JU$8:$JU$1000)/SUMPRODUCT(('ANALYSE - ERP =&gt; SOUS-SEGMENT'!$C$8:$C$1000=$C18)*'ANALYSE - ERP =&gt; SOUS-SEGMENT'!$Q$8:$Q$1000*'ANALYSE - ERP =&gt; SOUS-SEGMENT'!$BH$8:$BH$1000),""))</f>
        <v>0.56647703792176773</v>
      </c>
      <c r="JV18" s="730">
        <f>IF($C18="","",IFERROR(SUMPRODUCT(('ANALYSE - ERP =&gt; SOUS-SEGMENT'!$C$8:$C$1000=$C18)*'ANALYSE - ERP =&gt; SOUS-SEGMENT'!$Q$8:$Q$1000*'ANALYSE - ERP =&gt; SOUS-SEGMENT'!$BH$8:$BH$1000*'ANALYSE - ERP =&gt; SOUS-SEGMENT'!$JV$8:$JV$1000)/SUMPRODUCT(('ANALYSE - ERP =&gt; SOUS-SEGMENT'!$C$8:$C$1000=$C18)*'ANALYSE - ERP =&gt; SOUS-SEGMENT'!$Q$8:$Q$1000*'ANALYSE - ERP =&gt; SOUS-SEGMENT'!$BH$8:$BH$1000),""))</f>
        <v>0.20523132278292028</v>
      </c>
      <c r="JW18" s="730">
        <f>IF($C18="","",IFERROR(SUMPRODUCT(('ANALYSE - ERP =&gt; SOUS-SEGMENT'!$C$8:$C$1000=$C18)*'ANALYSE - ERP =&gt; SOUS-SEGMENT'!$Q$8:$Q$1000*'ANALYSE - ERP =&gt; SOUS-SEGMENT'!$BH$8:$BH$1000*'ANALYSE - ERP =&gt; SOUS-SEGMENT'!$JW$8:$JW$1000)/SUMPRODUCT(('ANALYSE - ERP =&gt; SOUS-SEGMENT'!$C$8:$C$1000=$C18)*'ANALYSE - ERP =&gt; SOUS-SEGMENT'!$Q$8:$Q$1000*'ANALYSE - ERP =&gt; SOUS-SEGMENT'!$BH$8:$BH$1000),""))</f>
        <v>9.8088981785607633E-3</v>
      </c>
      <c r="JX18" s="730">
        <f>IF($C18="","",IFERROR(SUMPRODUCT(('ANALYSE - ERP =&gt; SOUS-SEGMENT'!$C$8:$C$1000=$C18)*'ANALYSE - ERP =&gt; SOUS-SEGMENT'!$Q$8:$Q$1000*'ANALYSE - ERP =&gt; SOUS-SEGMENT'!$FK$8:$FK$1000*'ANALYSE - ERP =&gt; SOUS-SEGMENT'!$JX$8:$JX$1000)/SUMPRODUCT(('ANALYSE - ERP =&gt; SOUS-SEGMENT'!$C$8:$C$1000=$C18)*'ANALYSE - ERP =&gt; SOUS-SEGMENT'!$Q$8:$Q$1000*'ANALYSE - ERP =&gt; SOUS-SEGMENT'!$FK$8:$FK$1000),""))</f>
        <v>0</v>
      </c>
      <c r="JY18" s="730">
        <f>IF($C18="","",IFERROR(SUMPRODUCT(('ANALYSE - ERP =&gt; SOUS-SEGMENT'!$C$8:$C$1000=$C18)*'ANALYSE - ERP =&gt; SOUS-SEGMENT'!$Q$8:$Q$1000*'ANALYSE - ERP =&gt; SOUS-SEGMENT'!$FK$8:$FK$1000*'ANALYSE - ERP =&gt; SOUS-SEGMENT'!$JY$8:$JY$1000)/SUMPRODUCT(('ANALYSE - ERP =&gt; SOUS-SEGMENT'!$C$8:$C$1000=$C18)*'ANALYSE - ERP =&gt; SOUS-SEGMENT'!$Q$8:$Q$1000*'ANALYSE - ERP =&gt; SOUS-SEGMENT'!$FK$8:$FK$1000),""))</f>
        <v>9.7476201684184499E-2</v>
      </c>
      <c r="JZ18" s="730">
        <f>IF($C18="","",IFERROR(SUMPRODUCT(('ANALYSE - ERP =&gt; SOUS-SEGMENT'!$C$8:$C$1000=$C18)*'ANALYSE - ERP =&gt; SOUS-SEGMENT'!$Q$8:$Q$1000*'ANALYSE - ERP =&gt; SOUS-SEGMENT'!$FK$8:$FK$1000*'ANALYSE - ERP =&gt; SOUS-SEGMENT'!$JZ$8:$JZ$1000)/SUMPRODUCT(('ANALYSE - ERP =&gt; SOUS-SEGMENT'!$C$8:$C$1000=$C18)*'ANALYSE - ERP =&gt; SOUS-SEGMENT'!$Q$8:$Q$1000*'ANALYSE - ERP =&gt; SOUS-SEGMENT'!$FK$8:$FK$1000),""))</f>
        <v>0.47678972972520917</v>
      </c>
      <c r="KA18" s="730">
        <f>IF($C18="","",IFERROR(SUMPRODUCT(('ANALYSE - ERP =&gt; SOUS-SEGMENT'!$C$8:$C$1000=$C18)*'ANALYSE - ERP =&gt; SOUS-SEGMENT'!$Q$8:$Q$1000*'ANALYSE - ERP =&gt; SOUS-SEGMENT'!$FK$8:$FK$1000*'ANALYSE - ERP =&gt; SOUS-SEGMENT'!$KA$8:$KA$1000)/SUMPRODUCT(('ANALYSE - ERP =&gt; SOUS-SEGMENT'!$C$8:$C$1000=$C18)*'ANALYSE - ERP =&gt; SOUS-SEGMENT'!$Q$8:$Q$1000*'ANALYSE - ERP =&gt; SOUS-SEGMENT'!$FK$8:$FK$1000),""))</f>
        <v>0.39343861535566865</v>
      </c>
      <c r="KB18" s="730">
        <f>IF($C18="","",IFERROR(SUMPRODUCT(('ANALYSE - ERP =&gt; SOUS-SEGMENT'!$C$8:$C$1000=$C18)*'ANALYSE - ERP =&gt; SOUS-SEGMENT'!$Q$8:$Q$1000*'ANALYSE - ERP =&gt; SOUS-SEGMENT'!$FK$8:$FK$1000*'ANALYSE - ERP =&gt; SOUS-SEGMENT'!$KB$8:$KB$1000)/SUMPRODUCT(('ANALYSE - ERP =&gt; SOUS-SEGMENT'!$C$8:$C$1000=$C18)*'ANALYSE - ERP =&gt; SOUS-SEGMENT'!$Q$8:$Q$1000*'ANALYSE - ERP =&gt; SOUS-SEGMENT'!$FK$8:$FK$1000),""))</f>
        <v>3.2295453234937634E-2</v>
      </c>
      <c r="KC18" s="657"/>
      <c r="KD18" s="920" t="s">
        <v>5671</v>
      </c>
      <c r="KE18" s="920" t="s">
        <v>5672</v>
      </c>
      <c r="KF18" s="866">
        <f>IF($C18="","",IFERROR(SUMPRODUCT(('ANALYSE - ERP =&gt; SOUS-SEGMENT'!$C$8:$C$1000=$C18)*'ANALYSE - ERP =&gt; SOUS-SEGMENT'!$Q$8:$Q$1000*'ANALYSE - ERP =&gt; SOUS-SEGMENT'!$IE$8:$IE$1000*'ANALYSE - ERP =&gt; SOUS-SEGMENT'!$KF$8:$KF$1000)/SUMPRODUCT(('ANALYSE - ERP =&gt; SOUS-SEGMENT'!$C$8:$C$1000=$C18)*'ANALYSE - ERP =&gt; SOUS-SEGMENT'!$Q$8:$Q$1000*'ANALYSE - ERP =&gt; SOUS-SEGMENT'!$IE$8:$IE$1000),""))</f>
        <v>3.9086695198049273</v>
      </c>
      <c r="KG18" s="920" t="s">
        <v>5673</v>
      </c>
      <c r="KH18" s="920" t="s">
        <v>5674</v>
      </c>
      <c r="KI18" s="920" t="s">
        <v>5675</v>
      </c>
      <c r="KJ18" s="920" t="s">
        <v>5676</v>
      </c>
    </row>
    <row r="19" spans="1:296" ht="120" customHeight="1">
      <c r="A19" s="957">
        <f>IF($C19="","",ROWS($A$8:A19))</f>
        <v>12</v>
      </c>
      <c r="B19" s="958" t="s">
        <v>3662</v>
      </c>
      <c r="C19" s="958" t="s">
        <v>1114</v>
      </c>
      <c r="D19" s="959" t="s">
        <v>5677</v>
      </c>
      <c r="E19" s="269" t="s">
        <v>5678</v>
      </c>
      <c r="F19" s="960" t="s">
        <v>300</v>
      </c>
      <c r="G19" s="960" t="s">
        <v>300</v>
      </c>
      <c r="H19" s="960" t="s">
        <v>2109</v>
      </c>
      <c r="I19" s="960" t="s">
        <v>5679</v>
      </c>
      <c r="J19" s="960" t="s">
        <v>5680</v>
      </c>
      <c r="K19" s="960" t="s">
        <v>2097</v>
      </c>
      <c r="L19" s="960" t="s">
        <v>2109</v>
      </c>
      <c r="M19" s="960" t="s">
        <v>2603</v>
      </c>
      <c r="N19" s="960" t="s">
        <v>5681</v>
      </c>
      <c r="O19" s="960" t="s">
        <v>5682</v>
      </c>
      <c r="P19" s="960"/>
      <c r="Q19" s="270">
        <f>IF($C19="","",IF(SUMIFS('ANALYSE - ERP =&gt; SOUS-SEGMENT'!$Q$8:$Q$1000,'ANALYSE - ERP =&gt; SOUS-SEGMENT'!$C$8:$C$1000,$C19)&gt;0,1,0))</f>
        <v>1</v>
      </c>
      <c r="R19" s="271">
        <f>IF($C19="","",IFERROR(SUMPRODUCT(('ANALYSE - ERP =&gt; SOUS-SEGMENT'!$C$8:$C$1000=$C19)*'ANALYSE - ERP =&gt; SOUS-SEGMENT'!$Q$8:$Q$1000*'ANALYSE - ERP =&gt; SOUS-SEGMENT'!$AF$8:$AF$1000*'ANALYSE - ERP =&gt; SOUS-SEGMENT'!$R$8:$R$1000)/SUMPRODUCT(('ANALYSE - ERP =&gt; SOUS-SEGMENT'!$C$8:$C$1000=$C19)*'ANALYSE - ERP =&gt; SOUS-SEGMENT'!$Q$8:$Q$1000*'ANALYSE - ERP =&gt; SOUS-SEGMENT'!$AF$8:$AF$1000),""))</f>
        <v>918.5213217280459</v>
      </c>
      <c r="S19" s="272">
        <f>IF($C19="","",SUMPRODUCT(('ANALYSE - ERP =&gt; SOUS-SEGMENT'!$C$8:$C$1000=$C19)*'ANALYSE - ERP =&gt; SOUS-SEGMENT'!$Q$8:$Q$1000*'ANALYSE - ERP =&gt; SOUS-SEGMENT'!$S$8:$S$1000))</f>
        <v>48218</v>
      </c>
      <c r="T19" s="272">
        <f>IF($C19="","",SUMPRODUCT(('ANALYSE - ERP =&gt; SOUS-SEGMENT'!$C$8:$C$1000=$C19)*'ANALYSE - ERP =&gt; SOUS-SEGMENT'!$Q$8:$Q$1000*'ANALYSE - ERP =&gt; SOUS-SEGMENT'!$T$8:$T$1000))</f>
        <v>48943</v>
      </c>
      <c r="U19" s="272">
        <f>IF($C19="","",SUMPRODUCT(('ANALYSE - ERP =&gt; SOUS-SEGMENT'!$C$8:$C$1000=$C19)*'ANALYSE - ERP =&gt; SOUS-SEGMENT'!$Q$8:$Q$1000*'ANALYSE - ERP =&gt; SOUS-SEGMENT'!$U$8:$U$1000))</f>
        <v>49717</v>
      </c>
      <c r="V19" s="272">
        <f>IF($C19="","",SUMPRODUCT(('ANALYSE - ERP =&gt; SOUS-SEGMENT'!$C$8:$C$1000=$C19)*'ANALYSE - ERP =&gt; SOUS-SEGMENT'!$Q$8:$Q$1000*'ANALYSE - ERP =&gt; SOUS-SEGMENT'!$V$8:$V$1000))</f>
        <v>50604</v>
      </c>
      <c r="W19" s="272">
        <f>IF($C19="","",SUMPRODUCT(('ANALYSE - ERP =&gt; SOUS-SEGMENT'!$C$8:$C$1000=$C19)*'ANALYSE - ERP =&gt; SOUS-SEGMENT'!$Q$8:$Q$1000*'ANALYSE - ERP =&gt; SOUS-SEGMENT'!$W$8:$W$1000))</f>
        <v>50583</v>
      </c>
      <c r="X19" s="272">
        <f>IF($C19="","",SUMPRODUCT(('ANALYSE - ERP =&gt; SOUS-SEGMENT'!$C$8:$C$1000=$C19)*'ANALYSE - ERP =&gt; SOUS-SEGMENT'!$Q$8:$Q$1000*'ANALYSE - ERP =&gt; SOUS-SEGMENT'!$X$8:$X$1000))</f>
        <v>50464</v>
      </c>
      <c r="Y19" s="272">
        <f>IF($C19="","",SUMPRODUCT(('ANALYSE - ERP =&gt; SOUS-SEGMENT'!$C$8:$C$1000=$C19)*'ANALYSE - ERP =&gt; SOUS-SEGMENT'!$Q$8:$Q$1000*'ANALYSE - ERP =&gt; SOUS-SEGMENT'!$Y$8:$Y$1000))</f>
        <v>50446</v>
      </c>
      <c r="Z19" s="272">
        <f>IF($C19="","",SUMPRODUCT(('ANALYSE - ERP =&gt; SOUS-SEGMENT'!$C$8:$C$1000=$C19)*'ANALYSE - ERP =&gt; SOUS-SEGMENT'!$Q$8:$Q$1000*'ANALYSE - ERP =&gt; SOUS-SEGMENT'!$Z$8:$Z$1000))</f>
        <v>50428</v>
      </c>
      <c r="AA19" s="272">
        <f>IF($C19="","",SUMPRODUCT(('ANALYSE - ERP =&gt; SOUS-SEGMENT'!$C$8:$C$1000=$C19)*'ANALYSE - ERP =&gt; SOUS-SEGMENT'!$Q$8:$Q$1000*'ANALYSE - ERP =&gt; SOUS-SEGMENT'!$AA$8:$AA$1000))</f>
        <v>50167</v>
      </c>
      <c r="AB19" s="272">
        <f>IF($C19="","",SUMPRODUCT(('ANALYSE - ERP =&gt; SOUS-SEGMENT'!$C$8:$C$1000=$C19)*'ANALYSE - ERP =&gt; SOUS-SEGMENT'!$Q$8:$Q$1000*'ANALYSE - ERP =&gt; SOUS-SEGMENT'!$AB$8:$AB$1000))</f>
        <v>50093</v>
      </c>
      <c r="AC19" s="272">
        <f>IF($C19="","",SUMPRODUCT(('ANALYSE - ERP =&gt; SOUS-SEGMENT'!$C$8:$C$1000=$C19)*'ANALYSE - ERP =&gt; SOUS-SEGMENT'!$Q$8:$Q$1000*'ANALYSE - ERP =&gt; SOUS-SEGMENT'!$AC$8:$AC$1000))</f>
        <v>50151</v>
      </c>
      <c r="AD19" s="272">
        <f>IF($C19="","",SUMPRODUCT(('ANALYSE - ERP =&gt; SOUS-SEGMENT'!$C$8:$C$1000=$C19)*'ANALYSE - ERP =&gt; SOUS-SEGMENT'!$Q$8:$Q$1000*'ANALYSE - ERP =&gt; SOUS-SEGMENT'!$AD$8:$AD$1000))</f>
        <v>50186</v>
      </c>
      <c r="AE19" s="272">
        <f>IF($C19="","",SUMPRODUCT(('ANALYSE - ERP =&gt; SOUS-SEGMENT'!$C$8:$C$1000=$C19)*'ANALYSE - ERP =&gt; SOUS-SEGMENT'!$Q$8:$Q$1000*'ANALYSE - ERP =&gt; SOUS-SEGMENT'!$AE$8:$AE$1000))</f>
        <v>50169</v>
      </c>
      <c r="AF19" s="272">
        <f>IF($C19="","",SUMPRODUCT(('ANALYSE - ERP =&gt; SOUS-SEGMENT'!$C$8:$C$1000=$C19)*'ANALYSE - ERP =&gt; SOUS-SEGMENT'!$Q$8:$Q$1000*'ANALYSE - ERP =&gt; SOUS-SEGMENT'!$AF$8:$AF$1000))</f>
        <v>50207</v>
      </c>
      <c r="AG19" s="272">
        <f>IF($C19="","",SUMPRODUCT(('ANALYSE - ERP =&gt; SOUS-SEGMENT'!$C$8:$C$1000=$C19)*'ANALYSE - ERP =&gt; SOUS-SEGMENT'!$Q$8:$Q$1000*'ANALYSE - ERP =&gt; SOUS-SEGMENT'!$AG$8:$AG$1000))</f>
        <v>50293</v>
      </c>
      <c r="AH19" s="272">
        <f>IF($C19="","",SUMPRODUCT(('ANALYSE - ERP =&gt; SOUS-SEGMENT'!$C$8:$C$1000=$C19)*'ANALYSE - ERP =&gt; SOUS-SEGMENT'!$Q$8:$Q$1000*'ANALYSE - ERP =&gt; SOUS-SEGMENT'!$AH$8:$AH$1000))</f>
        <v>50386</v>
      </c>
      <c r="AI19" s="272">
        <f>IF($C19="","",SUMPRODUCT(('ANALYSE - ERP =&gt; SOUS-SEGMENT'!$C$8:$C$1000=$C19)*'ANALYSE - ERP =&gt; SOUS-SEGMENT'!$Q$8:$Q$1000*'ANALYSE - ERP =&gt; SOUS-SEGMENT'!$AI$8:$AI$1000))</f>
        <v>50478</v>
      </c>
      <c r="AJ19" s="272">
        <f>IF($C19="","",SUMPRODUCT(('ANALYSE - ERP =&gt; SOUS-SEGMENT'!$C$8:$C$1000=$C19)*'ANALYSE - ERP =&gt; SOUS-SEGMENT'!$Q$8:$Q$1000*'ANALYSE - ERP =&gt; SOUS-SEGMENT'!$AJ$8:$AJ$1000))</f>
        <v>50571</v>
      </c>
      <c r="AK19" s="272">
        <f>IF($C19="","",SUMPRODUCT(('ANALYSE - ERP =&gt; SOUS-SEGMENT'!$C$8:$C$1000=$C19)*'ANALYSE - ERP =&gt; SOUS-SEGMENT'!$Q$8:$Q$1000*'ANALYSE - ERP =&gt; SOUS-SEGMENT'!$AK$8:$AK$1000))</f>
        <v>50665</v>
      </c>
      <c r="AL19" s="960" t="s">
        <v>5683</v>
      </c>
      <c r="AM19" s="960" t="s">
        <v>5684</v>
      </c>
      <c r="AN19" s="960" t="s">
        <v>5685</v>
      </c>
      <c r="AO19" s="657"/>
      <c r="AP19" s="271">
        <f>IF($C19="","",IFERROR(SUMPRODUCT(('ANALYSE - ERP =&gt; SOUS-SEGMENT'!$C$8:$C$1000=$C19)*'ANALYSE - ERP =&gt; SOUS-SEGMENT'!$Q$8:$Q$1000*'ANALYSE - ERP =&gt; SOUS-SEGMENT'!$AF$8:$AF$1000*'ANALYSE - ERP =&gt; SOUS-SEGMENT'!$AP$8:$AP$1000)/SUMPRODUCT(('ANALYSE - ERP =&gt; SOUS-SEGMENT'!$C$8:$C$1000=$C19)*'ANALYSE - ERP =&gt; SOUS-SEGMENT'!$Q$8:$Q$1000*'ANALYSE - ERP =&gt; SOUS-SEGMENT'!$AF$8:$AF$1000),""))</f>
        <v>294.98645607186251</v>
      </c>
      <c r="AQ19" s="280">
        <f>IF($C19="","",IFERROR(SUMPRODUCT(('ANALYSE - ERP =&gt; SOUS-SEGMENT'!$C$8:$C$1000=$C19)*'ANALYSE - ERP =&gt; SOUS-SEGMENT'!$Q$8:$Q$1000*'ANALYSE - ERP =&gt; SOUS-SEGMENT'!$AF$8:$AF$1000*'ANALYSE - ERP =&gt; SOUS-SEGMENT'!$AQ$8:$AQ$1000)/SUMPRODUCT(('ANALYSE - ERP =&gt; SOUS-SEGMENT'!$C$8:$C$1000=$C19)*'ANALYSE - ERP =&gt; SOUS-SEGMENT'!$Q$8:$Q$1000*'ANALYSE - ERP =&gt; SOUS-SEGMENT'!$AF$8:$AF$1000),""))</f>
        <v>259.55920489174815</v>
      </c>
      <c r="AR19" s="280">
        <f>IF($C19="","",IFERROR(SUMPRODUCT(('ANALYSE - ERP =&gt; SOUS-SEGMENT'!$C$8:$C$1000=$C19)*'ANALYSE - ERP =&gt; SOUS-SEGMENT'!$Q$8:$Q$1000*'ANALYSE - ERP =&gt; SOUS-SEGMENT'!$AF$8:$AF$1000*'ANALYSE - ERP =&gt; SOUS-SEGMENT'!$AR$8:$AR$1000)/SUMPRODUCT(('ANALYSE - ERP =&gt; SOUS-SEGMENT'!$C$8:$C$1000=$C19)*'ANALYSE - ERP =&gt; SOUS-SEGMENT'!$Q$8:$Q$1000*'ANALYSE - ERP =&gt; SOUS-SEGMENT'!$AF$8:$AF$1000),""))</f>
        <v>25.877706295934829</v>
      </c>
      <c r="AS19" s="280">
        <f>IF($C19="","",IFERROR(SUMPRODUCT(('ANALYSE - ERP =&gt; SOUS-SEGMENT'!$C$8:$C$1000=$C19)*'ANALYSE - ERP =&gt; SOUS-SEGMENT'!$Q$8:$Q$1000*'ANALYSE - ERP =&gt; SOUS-SEGMENT'!$AF$8:$AF$1000*'ANALYSE - ERP =&gt; SOUS-SEGMENT'!$AS$8:$AS$1000)/SUMPRODUCT(('ANALYSE - ERP =&gt; SOUS-SEGMENT'!$C$8:$C$1000=$C19)*'ANALYSE - ERP =&gt; SOUS-SEGMENT'!$Q$8:$Q$1000*'ANALYSE - ERP =&gt; SOUS-SEGMENT'!$AF$8:$AF$1000),""))</f>
        <v>9.5495448841794968</v>
      </c>
      <c r="AT19" s="657"/>
      <c r="AU19" s="647" t="s">
        <v>5686</v>
      </c>
      <c r="AV19" s="647" t="s">
        <v>5687</v>
      </c>
      <c r="AW19" s="960" t="s">
        <v>5688</v>
      </c>
      <c r="AX19" s="647" t="s">
        <v>5689</v>
      </c>
      <c r="AY19" s="657"/>
      <c r="AZ19" s="948">
        <f>IF($C19="","",IFERROR(SUMPRODUCT(('ANALYSE - ERP =&gt; SOUS-SEGMENT'!$C$8:$C$1000=$C19)*'ANALYSE - ERP =&gt; SOUS-SEGMENT'!$Q$8:$Q$1000*'ANALYSE - ERP =&gt; SOUS-SEGMENT'!$AF$8:$AF$1000*'ANALYSE - ERP =&gt; SOUS-SEGMENT'!$AZ$8:$AZ$1000)/SUMPRODUCT(('ANALYSE - ERP =&gt; SOUS-SEGMENT'!$C$8:$C$1000=$C19)*'ANALYSE - ERP =&gt; SOUS-SEGMENT'!$Q$8:$Q$1000*'ANALYSE - ERP =&gt; SOUS-SEGMENT'!$AF$8:$AF$1000),""))</f>
        <v>7.7791941362758177</v>
      </c>
      <c r="BA19" s="948">
        <f>IF($C19="","",IFERROR(SUMPRODUCT(('ANALYSE - ERP =&gt; SOUS-SEGMENT'!$C$8:$C$1000=$C19)*'ANALYSE - ERP =&gt; SOUS-SEGMENT'!$Q$8:$Q$1000*'ANALYSE - ERP =&gt; SOUS-SEGMENT'!$AF$8:$AF$1000*'ANALYSE - ERP =&gt; SOUS-SEGMENT'!$BA$8:$BA$1000)/SUMPRODUCT(('ANALYSE - ERP =&gt; SOUS-SEGMENT'!$C$8:$C$1000=$C19)*'ANALYSE - ERP =&gt; SOUS-SEGMENT'!$Q$8:$Q$1000*'ANALYSE - ERP =&gt; SOUS-SEGMENT'!$AF$8:$AF$1000),""))</f>
        <v>0.17721632441691398</v>
      </c>
      <c r="BB19" s="948">
        <f>IF($C19="","",IFERROR(SUMPRODUCT(('ANALYSE - ERP =&gt; SOUS-SEGMENT'!$C$8:$C$1000=$C19)*'ANALYSE - ERP =&gt; SOUS-SEGMENT'!$Q$8:$Q$1000*'ANALYSE - ERP =&gt; SOUS-SEGMENT'!$AF$8:$AF$1000*'ANALYSE - ERP =&gt; SOUS-SEGMENT'!$BB$8:$BB$1000)/SUMPRODUCT(('ANALYSE - ERP =&gt; SOUS-SEGMENT'!$C$8:$C$1000=$C19)*'ANALYSE - ERP =&gt; SOUS-SEGMENT'!$Q$8:$Q$1000*'ANALYSE - ERP =&gt; SOUS-SEGMENT'!$AF$8:$AF$1000),""))</f>
        <v>1.4563606668392854</v>
      </c>
      <c r="BC19" s="948">
        <f>IF($C19="","",IFERROR(SUMPRODUCT(('ANALYSE - ERP =&gt; SOUS-SEGMENT'!$C$8:$C$1000=$C19)*'ANALYSE - ERP =&gt; SOUS-SEGMENT'!$Q$8:$Q$1000*'ANALYSE - ERP =&gt; SOUS-SEGMENT'!$AF$8:$AF$1000*'ANALYSE - ERP =&gt; SOUS-SEGMENT'!$BC$8:$BC$1000)/SUMPRODUCT(('ANALYSE - ERP =&gt; SOUS-SEGMENT'!$C$8:$C$1000=$C19)*'ANALYSE - ERP =&gt; SOUS-SEGMENT'!$Q$8:$Q$1000*'ANALYSE - ERP =&gt; SOUS-SEGMENT'!$AF$8:$AF$1000),""))</f>
        <v>6.4001135299858589</v>
      </c>
      <c r="BD19" s="825">
        <f t="shared" si="1"/>
        <v>793917.5</v>
      </c>
      <c r="BE19" s="304">
        <f>IF($C19="","",SUMPRODUCT(('ANALYSE - ERP =&gt; SOUS-SEGMENT'!$C$8:$C$1000=$C19)*'ANALYSE - ERP =&gt; SOUS-SEGMENT'!$Q$8:$Q$1000*'ANALYSE - ERP =&gt; SOUS-SEGMENT'!$BE$8:$BE$1000))</f>
        <v>390570</v>
      </c>
      <c r="BF19" s="304">
        <f>IF($C19="","",SUMPRODUCT(('ANALYSE - ERP =&gt; SOUS-SEGMENT'!$C$8:$C$1000=$C19)*'ANALYSE - ERP =&gt; SOUS-SEGMENT'!$Q$8:$Q$1000*'ANALYSE - ERP =&gt; SOUS-SEGMENT'!$BF$8:$BF$1000))</f>
        <v>8897.5</v>
      </c>
      <c r="BG19" s="304">
        <f>IF($C19="","",SUMPRODUCT(('ANALYSE - ERP =&gt; SOUS-SEGMENT'!$C$8:$C$1000=$C19)*'ANALYSE - ERP =&gt; SOUS-SEGMENT'!$Q$8:$Q$1000*'ANALYSE - ERP =&gt; SOUS-SEGMENT'!$BG$8:$BG$1000))</f>
        <v>73119.5</v>
      </c>
      <c r="BH19" s="304">
        <f>IF($C19="","",SUMPRODUCT(('ANALYSE - ERP =&gt; SOUS-SEGMENT'!$C$8:$C$1000=$C19)*'ANALYSE - ERP =&gt; SOUS-SEGMENT'!$Q$8:$Q$1000*'ANALYSE - ERP =&gt; SOUS-SEGMENT'!$BH$8:$BH$1000))</f>
        <v>321330.5</v>
      </c>
      <c r="BI19" s="825">
        <f t="shared" si="2"/>
        <v>808132.5</v>
      </c>
      <c r="BJ19" s="304">
        <f>IF($C19="","",SUMPRODUCT(('ANALYSE - ERP =&gt; SOUS-SEGMENT'!$C$8:$C$1000=$C19)*'ANALYSE - ERP =&gt; SOUS-SEGMENT'!$Q$8:$Q$1000*'ANALYSE - ERP =&gt; SOUS-SEGMENT'!$BJ$8:$BJ$1000))</f>
        <v>397865</v>
      </c>
      <c r="BK19" s="304">
        <f>IF($C19="","",SUMPRODUCT(('ANALYSE - ERP =&gt; SOUS-SEGMENT'!$C$8:$C$1000=$C19)*'ANALYSE - ERP =&gt; SOUS-SEGMENT'!$Q$8:$Q$1000*'ANALYSE - ERP =&gt; SOUS-SEGMENT'!$BK$8:$BK$1000))</f>
        <v>9187.5</v>
      </c>
      <c r="BL19" s="304">
        <f>IF($C19="","",SUMPRODUCT(('ANALYSE - ERP =&gt; SOUS-SEGMENT'!$C$8:$C$1000=$C19)*'ANALYSE - ERP =&gt; SOUS-SEGMENT'!$Q$8:$Q$1000*'ANALYSE - ERP =&gt; SOUS-SEGMENT'!$BL$8:$BL$1000))</f>
        <v>74390</v>
      </c>
      <c r="BM19" s="304">
        <f>IF($C19="","",SUMPRODUCT(('ANALYSE - ERP =&gt; SOUS-SEGMENT'!$C$8:$C$1000=$C19)*'ANALYSE - ERP =&gt; SOUS-SEGMENT'!$Q$8:$Q$1000*'ANALYSE - ERP =&gt; SOUS-SEGMENT'!$BM$8:$BM$1000))</f>
        <v>326690</v>
      </c>
      <c r="BN19" s="657"/>
      <c r="BO19" s="284">
        <f t="shared" si="3"/>
        <v>0.21938582072355789</v>
      </c>
      <c r="BP19" s="284">
        <f t="shared" si="4"/>
        <v>0.62225931331131423</v>
      </c>
      <c r="BQ19" s="284">
        <f t="shared" si="5"/>
        <v>0.1083548659651279</v>
      </c>
      <c r="BR19" s="710">
        <f t="shared" si="6"/>
        <v>0.05</v>
      </c>
      <c r="BS19" s="707">
        <f t="shared" si="7"/>
        <v>0.19380443115126991</v>
      </c>
      <c r="BT19" s="284">
        <f t="shared" si="8"/>
        <v>0.62466037475022929</v>
      </c>
      <c r="BU19" s="284">
        <f t="shared" si="9"/>
        <v>0.13866663315446193</v>
      </c>
      <c r="BV19" s="710">
        <f t="shared" si="10"/>
        <v>4.2868560944038812E-2</v>
      </c>
      <c r="BW19" s="714">
        <f t="shared" si="11"/>
        <v>0.42280134869345321</v>
      </c>
      <c r="BX19" s="285">
        <f t="shared" si="12"/>
        <v>0.47719865130654676</v>
      </c>
      <c r="BY19" s="717">
        <f t="shared" si="13"/>
        <v>0.1</v>
      </c>
      <c r="BZ19" s="714">
        <f t="shared" si="14"/>
        <v>0.37311564625850341</v>
      </c>
      <c r="CA19" s="285">
        <f t="shared" si="15"/>
        <v>0.49688435374149659</v>
      </c>
      <c r="CB19" s="717">
        <f t="shared" si="16"/>
        <v>0.13</v>
      </c>
      <c r="CC19" s="284">
        <f t="shared" si="17"/>
        <v>8.6747310908854666E-2</v>
      </c>
      <c r="CD19" s="284">
        <f t="shared" si="18"/>
        <v>0.54185032720409743</v>
      </c>
      <c r="CE19" s="284">
        <f t="shared" si="19"/>
        <v>0.15131011563262881</v>
      </c>
      <c r="CF19" s="710">
        <f t="shared" si="20"/>
        <v>0.22009224625441914</v>
      </c>
      <c r="CG19" s="707">
        <f t="shared" si="21"/>
        <v>6.6611103642962771E-2</v>
      </c>
      <c r="CH19" s="284">
        <f t="shared" si="22"/>
        <v>0.54158354617556126</v>
      </c>
      <c r="CI19" s="284">
        <f t="shared" si="23"/>
        <v>0.18179943540798493</v>
      </c>
      <c r="CJ19" s="710">
        <f t="shared" si="24"/>
        <v>0.21000591477349106</v>
      </c>
      <c r="CK19" s="720">
        <f t="shared" si="25"/>
        <v>0.46537451315701445</v>
      </c>
      <c r="CL19" s="286">
        <f t="shared" si="26"/>
        <v>0.39254428073276582</v>
      </c>
      <c r="CM19" s="718">
        <f t="shared" si="27"/>
        <v>0.14208120611021985</v>
      </c>
      <c r="CN19" s="720">
        <f t="shared" si="28"/>
        <v>0.37447788423275885</v>
      </c>
      <c r="CO19" s="286">
        <f t="shared" si="29"/>
        <v>0.43354562429214244</v>
      </c>
      <c r="CP19" s="718">
        <f t="shared" si="30"/>
        <v>0.19197649147509871</v>
      </c>
      <c r="CQ19" s="657"/>
      <c r="CR19" s="807">
        <f>IF($C19="","",IFERROR(SUMPRODUCT(('ANALYSE - ERP =&gt; SOUS-SEGMENT'!$C$8:$C$1000=$C19)*'ANALYSE - ERP =&gt; SOUS-SEGMENT'!$Q$8:$Q$1000*'ANALYSE - ERP =&gt; SOUS-SEGMENT'!$DH$8:$DH$1000*'ANALYSE - ERP =&gt; SOUS-SEGMENT'!$CR$8:$CR$1000)/SUMPRODUCT(('ANALYSE - ERP =&gt; SOUS-SEGMENT'!$C$8:$C$1000=$C19)*'ANALYSE - ERP =&gt; SOUS-SEGMENT'!$Q$8:$Q$1000*'ANALYSE - ERP =&gt; SOUS-SEGMENT'!$DH$8:$DH$1000),""))</f>
        <v>12.358829823288696</v>
      </c>
      <c r="CS19" s="808">
        <f>IF($C19="","",IFERROR(SUMPRODUCT(('ANALYSE - ERP =&gt; SOUS-SEGMENT'!$C$8:$C$1000=$C19)*'ANALYSE - ERP =&gt; SOUS-SEGMENT'!$Q$8:$Q$1000*'ANALYSE - ERP =&gt; SOUS-SEGMENT'!$DI$8:$DI$1000*'ANALYSE - ERP =&gt; SOUS-SEGMENT'!$CS$8:$CS$1000)/SUMPRODUCT(('ANALYSE - ERP =&gt; SOUS-SEGMENT'!$C$8:$C$1000=$C19)*'ANALYSE - ERP =&gt; SOUS-SEGMENT'!$Q$8:$Q$1000*'ANALYSE - ERP =&gt; SOUS-SEGMENT'!$DI$8:$DI$1000),""))</f>
        <v>12.999999999999998</v>
      </c>
      <c r="CT19" s="808">
        <f>IF($C19="","",IFERROR(SUMPRODUCT(('ANALYSE - ERP =&gt; SOUS-SEGMENT'!$C$8:$C$1000=$C19)*'ANALYSE - ERP =&gt; SOUS-SEGMENT'!$Q$8:$Q$1000*'ANALYSE - ERP =&gt; SOUS-SEGMENT'!$DJ$8:$DJ$1000*'ANALYSE - ERP =&gt; SOUS-SEGMENT'!$CT$8:$CT$1000)/SUMPRODUCT(('ANALYSE - ERP =&gt; SOUS-SEGMENT'!$C$8:$C$1000=$C19)*'ANALYSE - ERP =&gt; SOUS-SEGMENT'!$Q$8:$Q$1000*'ANALYSE - ERP =&gt; SOUS-SEGMENT'!$DJ$8:$DJ$1000),""))</f>
        <v>9.5845838011954569</v>
      </c>
      <c r="CU19" s="809">
        <f>IF($C19="","",IFERROR(SUMPRODUCT(('ANALYSE - ERP =&gt; SOUS-SEGMENT'!$C$8:$C$1000=$C19)*'ANALYSE - ERP =&gt; SOUS-SEGMENT'!$Q$8:$Q$1000*'ANALYSE - ERP =&gt; SOUS-SEGMENT'!$DK$8:$DK$1000*'ANALYSE - ERP =&gt; SOUS-SEGMENT'!$CU$8:$CU$1000)/SUMPRODUCT(('ANALYSE - ERP =&gt; SOUS-SEGMENT'!$C$8:$C$1000=$C19)*'ANALYSE - ERP =&gt; SOUS-SEGMENT'!$Q$8:$Q$1000*'ANALYSE - ERP =&gt; SOUS-SEGMENT'!$DK$8:$DK$1000),""))</f>
        <v>11.437345418234887</v>
      </c>
      <c r="CV19" s="807">
        <f>IF($C19="","",IFERROR(SUMPRODUCT(('ANALYSE - ERP =&gt; SOUS-SEGMENT'!$C$8:$C$1000=$C19)*'ANALYSE - ERP =&gt; SOUS-SEGMENT'!$Q$8:$Q$1000*'ANALYSE - ERP =&gt; SOUS-SEGMENT'!$DS$8:$DS$1000*'ANALYSE - ERP =&gt; SOUS-SEGMENT'!$CV$8:$CV$1000)/SUMPRODUCT(('ANALYSE - ERP =&gt; SOUS-SEGMENT'!$C$8:$C$1000=$C19)*'ANALYSE - ERP =&gt; SOUS-SEGMENT'!$Q$8:$Q$1000*'ANALYSE - ERP =&gt; SOUS-SEGMENT'!$DS$8:$DS$1000),""))</f>
        <v>11.970726034224954</v>
      </c>
      <c r="CW19" s="808">
        <f>IF($C19="","",IFERROR(SUMPRODUCT(('ANALYSE - ERP =&gt; SOUS-SEGMENT'!$C$8:$C$1000=$C19)*'ANALYSE - ERP =&gt; SOUS-SEGMENT'!$Q$8:$Q$1000*'ANALYSE - ERP =&gt; SOUS-SEGMENT'!$DT$8:$DT$1000*'ANALYSE - ERP =&gt; SOUS-SEGMENT'!$CW$8:$CW$1000)/SUMPRODUCT(('ANALYSE - ERP =&gt; SOUS-SEGMENT'!$C$8:$C$1000=$C19)*'ANALYSE - ERP =&gt; SOUS-SEGMENT'!$Q$8:$Q$1000*'ANALYSE - ERP =&gt; SOUS-SEGMENT'!$DT$8:$DT$1000),""))</f>
        <v>11.430035034003591</v>
      </c>
      <c r="CX19" s="809">
        <f>IF($C19="","",IFERROR(SUMPRODUCT(('ANALYSE - ERP =&gt; SOUS-SEGMENT'!$C$8:$C$1000=$C19)*'ANALYSE - ERP =&gt; SOUS-SEGMENT'!$Q$8:$Q$1000*'ANALYSE - ERP =&gt; SOUS-SEGMENT'!$DU$8:$DU$1000*'ANALYSE - ERP =&gt; SOUS-SEGMENT'!$CX$8:$CX$1000)/SUMPRODUCT(('ANALYSE - ERP =&gt; SOUS-SEGMENT'!$C$8:$C$1000=$C19)*'ANALYSE - ERP =&gt; SOUS-SEGMENT'!$Q$8:$Q$1000*'ANALYSE - ERP =&gt; SOUS-SEGMENT'!$DU$8:$DU$1000),""))</f>
        <v>8.456026973869065</v>
      </c>
      <c r="CY19" s="807">
        <f>IF($C19="","",IFERROR(SUMPRODUCT(('ANALYSE - ERP =&gt; SOUS-SEGMENT'!$C$8:$C$1000=$C19)*'ANALYSE - ERP =&gt; SOUS-SEGMENT'!$Q$8:$Q$1000*'ANALYSE - ERP =&gt; SOUS-SEGMENT'!$EB$8:$EB$1000*'ANALYSE - ERP =&gt; SOUS-SEGMENT'!$CY$8:$CY$1000)/SUMPRODUCT(('ANALYSE - ERP =&gt; SOUS-SEGMENT'!$C$8:$C$1000=$C19)*'ANALYSE - ERP =&gt; SOUS-SEGMENT'!$Q$8:$Q$1000*'ANALYSE - ERP =&gt; SOUS-SEGMENT'!$EB$8:$EB$1000),""))</f>
        <v>10.539221683388725</v>
      </c>
      <c r="CZ19" s="808">
        <f>IF($C19="","",IFERROR(SUMPRODUCT(('ANALYSE - ERP =&gt; SOUS-SEGMENT'!$C$8:$C$1000=$C19)*'ANALYSE - ERP =&gt; SOUS-SEGMENT'!$Q$8:$Q$1000*'ANALYSE - ERP =&gt; SOUS-SEGMENT'!$EC$8:$EC$1000*'ANALYSE - ERP =&gt; SOUS-SEGMENT'!$CZ$8:$CZ$1000)/SUMPRODUCT(('ANALYSE - ERP =&gt; SOUS-SEGMENT'!$C$8:$C$1000=$C19)*'ANALYSE - ERP =&gt; SOUS-SEGMENT'!$Q$8:$Q$1000*'ANALYSE - ERP =&gt; SOUS-SEGMENT'!$EC$8:$EC$1000),""))</f>
        <v>12.492844175863976</v>
      </c>
      <c r="DA19" s="808">
        <f>IF($C19="","",IFERROR(SUMPRODUCT(('ANALYSE - ERP =&gt; SOUS-SEGMENT'!$C$8:$C$1000=$C19)*'ANALYSE - ERP =&gt; SOUS-SEGMENT'!$Q$8:$Q$1000*'ANALYSE - ERP =&gt; SOUS-SEGMENT'!$ED$8:$ED$1000*'ANALYSE - ERP =&gt; SOUS-SEGMENT'!$DA$8:$DA$1000)/SUMPRODUCT(('ANALYSE - ERP =&gt; SOUS-SEGMENT'!$C$8:$C$1000=$C19)*'ANALYSE - ERP =&gt; SOUS-SEGMENT'!$Q$8:$Q$1000*'ANALYSE - ERP =&gt; SOUS-SEGMENT'!$ED$8:$ED$1000),""))</f>
        <v>8.6037481064235166</v>
      </c>
      <c r="DB19" s="809">
        <f>IF($C19="","",IFERROR(SUMPRODUCT(('ANALYSE - ERP =&gt; SOUS-SEGMENT'!$C$8:$C$1000=$C19)*'ANALYSE - ERP =&gt; SOUS-SEGMENT'!$Q$8:$Q$1000*'ANALYSE - ERP =&gt; SOUS-SEGMENT'!$EE$8:$EE$1000*'ANALYSE - ERP =&gt; SOUS-SEGMENT'!$DB$8:$DB$1000)/SUMPRODUCT(('ANALYSE - ERP =&gt; SOUS-SEGMENT'!$C$8:$C$1000=$C19)*'ANALYSE - ERP =&gt; SOUS-SEGMENT'!$Q$8:$Q$1000*'ANALYSE - ERP =&gt; SOUS-SEGMENT'!$EE$8:$EE$1000),""))</f>
        <v>10.432464106366513</v>
      </c>
      <c r="DC19" s="807">
        <f>IF($C19="","",IFERROR(SUMPRODUCT(('ANALYSE - ERP =&gt; SOUS-SEGMENT'!$C$8:$C$1000=$C19)*'ANALYSE - ERP =&gt; SOUS-SEGMENT'!$Q$8:$Q$1000*'ANALYSE - ERP =&gt; SOUS-SEGMENT'!$EM$8:$EM$1000*'ANALYSE - ERP =&gt; SOUS-SEGMENT'!$DC$8:$DC$1000)/SUMPRODUCT(('ANALYSE - ERP =&gt; SOUS-SEGMENT'!$C$8:$C$1000=$C19)*'ANALYSE - ERP =&gt; SOUS-SEGMENT'!$Q$8:$Q$1000*'ANALYSE - ERP =&gt; SOUS-SEGMENT'!$EM$8:$EM$1000),""))</f>
        <v>12.516487752946093</v>
      </c>
      <c r="DD19" s="808">
        <f>IF($C19="","",IFERROR(SUMPRODUCT(('ANALYSE - ERP =&gt; SOUS-SEGMENT'!$C$8:$C$1000=$C19)*'ANALYSE - ERP =&gt; SOUS-SEGMENT'!$Q$8:$Q$1000*'ANALYSE - ERP =&gt; SOUS-SEGMENT'!$EN$8:$EN$1000*'ANALYSE - ERP =&gt; SOUS-SEGMENT'!$DD$8:$DD$1000)/SUMPRODUCT(('ANALYSE - ERP =&gt; SOUS-SEGMENT'!$C$8:$C$1000=$C19)*'ANALYSE - ERP =&gt; SOUS-SEGMENT'!$Q$8:$Q$1000*'ANALYSE - ERP =&gt; SOUS-SEGMENT'!$EN$8:$EN$1000),""))</f>
        <v>13</v>
      </c>
      <c r="DE19" s="809">
        <f>IF($C19="","",IFERROR(SUMPRODUCT(('ANALYSE - ERP =&gt; SOUS-SEGMENT'!$C$8:$C$1000=$C19)*'ANALYSE - ERP =&gt; SOUS-SEGMENT'!$Q$8:$Q$1000*'ANALYSE - ERP =&gt; SOUS-SEGMENT'!$EO$8:$EO$1000*'ANALYSE - ERP =&gt; SOUS-SEGMENT'!$DE$8:$DE$1000)/SUMPRODUCT(('ANALYSE - ERP =&gt; SOUS-SEGMENT'!$C$8:$C$1000=$C19)*'ANALYSE - ERP =&gt; SOUS-SEGMENT'!$Q$8:$Q$1000*'ANALYSE - ERP =&gt; SOUS-SEGMENT'!$EO$8:$EO$1000),""))</f>
        <v>9.4360965742544209</v>
      </c>
      <c r="DF19" s="921" t="s">
        <v>5690</v>
      </c>
      <c r="DG19" s="657"/>
      <c r="DH19" s="288">
        <f>IF($C19="","",SUMPRODUCT(('ANALYSE - ERP =&gt; SOUS-SEGMENT'!$C$8:$C$1000=$C19)*'ANALYSE - ERP =&gt; SOUS-SEGMENT'!$Q$8:$Q$1000*'ANALYSE - ERP =&gt; SOUS-SEGMENT'!$DH$8:$DH$1000))</f>
        <v>85685.52</v>
      </c>
      <c r="DI19" s="288">
        <f>IF($C19="","",SUMPRODUCT(('ANALYSE - ERP =&gt; SOUS-SEGMENT'!$C$8:$C$1000=$C19)*'ANALYSE - ERP =&gt; SOUS-SEGMENT'!$Q$8:$Q$1000*'ANALYSE - ERP =&gt; SOUS-SEGMENT'!$DI$8:$DI$1000))</f>
        <v>243035.82</v>
      </c>
      <c r="DJ19" s="288">
        <f>IF($C19="","",SUMPRODUCT(('ANALYSE - ERP =&gt; SOUS-SEGMENT'!$C$8:$C$1000=$C19)*'ANALYSE - ERP =&gt; SOUS-SEGMENT'!$Q$8:$Q$1000*'ANALYSE - ERP =&gt; SOUS-SEGMENT'!$DJ$8:$DJ$1000))</f>
        <v>42320.160000000003</v>
      </c>
      <c r="DK19" s="288">
        <f>IF($C19="","",SUMPRODUCT(('ANALYSE - ERP =&gt; SOUS-SEGMENT'!$C$8:$C$1000=$C19)*'ANALYSE - ERP =&gt; SOUS-SEGMENT'!$Q$8:$Q$1000*'ANALYSE - ERP =&gt; SOUS-SEGMENT'!$DK$8:$DK$1000))</f>
        <v>19528.5</v>
      </c>
      <c r="DL19" s="922" t="s">
        <v>5691</v>
      </c>
      <c r="DM19" s="288">
        <f>IF($C19="","",SUMPRODUCT(('ANALYSE - ERP =&gt; SOUS-SEGMENT'!$C$8:$C$1000=$C19)*'ANALYSE - ERP =&gt; SOUS-SEGMENT'!$Q$8:$Q$1000*'ANALYSE - ERP =&gt; SOUS-SEGMENT'!$DM$8:$DM$1000))</f>
        <v>77108</v>
      </c>
      <c r="DN19" s="288">
        <f>IF($C19="","",SUMPRODUCT(('ANALYSE - ERP =&gt; SOUS-SEGMENT'!$C$8:$C$1000=$C19)*'ANALYSE - ERP =&gt; SOUS-SEGMENT'!$Q$8:$Q$1000*'ANALYSE - ERP =&gt; SOUS-SEGMENT'!$DN$8:$DN$1000))</f>
        <v>248530.49999999997</v>
      </c>
      <c r="DO19" s="288">
        <f>IF($C19="","",SUMPRODUCT(('ANALYSE - ERP =&gt; SOUS-SEGMENT'!$C$8:$C$1000=$C19)*'ANALYSE - ERP =&gt; SOUS-SEGMENT'!$Q$8:$Q$1000*'ANALYSE - ERP =&gt; SOUS-SEGMENT'!$DO$8:$DO$1000))</f>
        <v>55170.6</v>
      </c>
      <c r="DP19" s="288">
        <f>IF($C19="","",SUMPRODUCT(('ANALYSE - ERP =&gt; SOUS-SEGMENT'!$C$8:$C$1000=$C19)*'ANALYSE - ERP =&gt; SOUS-SEGMENT'!$Q$8:$Q$1000*'ANALYSE - ERP =&gt; SOUS-SEGMENT'!$DP$8:$DP$1000))</f>
        <v>17055.900000000001</v>
      </c>
      <c r="DQ19" s="922" t="s">
        <v>5692</v>
      </c>
      <c r="DR19" s="657"/>
      <c r="DS19" s="288">
        <f>IF($C19="","",SUMPRODUCT(('ANALYSE - ERP =&gt; SOUS-SEGMENT'!$C$8:$C$1000=$C19)*'ANALYSE - ERP =&gt; SOUS-SEGMENT'!$Q$8:$Q$1000*'ANALYSE - ERP =&gt; SOUS-SEGMENT'!$DS$8:$DS$1000))</f>
        <v>3761.875</v>
      </c>
      <c r="DT19" s="288">
        <f>IF($C19="","",SUMPRODUCT(('ANALYSE - ERP =&gt; SOUS-SEGMENT'!$C$8:$C$1000=$C19)*'ANALYSE - ERP =&gt; SOUS-SEGMENT'!$Q$8:$Q$1000*'ANALYSE - ERP =&gt; SOUS-SEGMENT'!$DT$8:$DT$1000))</f>
        <v>4245.875</v>
      </c>
      <c r="DU19" s="288">
        <f>IF($C19="","",SUMPRODUCT(('ANALYSE - ERP =&gt; SOUS-SEGMENT'!$C$8:$C$1000=$C19)*'ANALYSE - ERP =&gt; SOUS-SEGMENT'!$Q$8:$Q$1000*'ANALYSE - ERP =&gt; SOUS-SEGMENT'!$DU$8:$DU$1000))</f>
        <v>889.75</v>
      </c>
      <c r="DV19" s="922" t="s">
        <v>5693</v>
      </c>
      <c r="DW19" s="288">
        <f>IF($C19="","",SUMPRODUCT(('ANALYSE - ERP =&gt; SOUS-SEGMENT'!$C$8:$C$1000=$C19)*'ANALYSE - ERP =&gt; SOUS-SEGMENT'!$Q$8:$Q$1000*'ANALYSE - ERP =&gt; SOUS-SEGMENT'!$DW$8:$DW$1000))</f>
        <v>3428</v>
      </c>
      <c r="DX19" s="288">
        <f>IF($C19="","",SUMPRODUCT(('ANALYSE - ERP =&gt; SOUS-SEGMENT'!$C$8:$C$1000=$C19)*'ANALYSE - ERP =&gt; SOUS-SEGMENT'!$Q$8:$Q$1000*'ANALYSE - ERP =&gt; SOUS-SEGMENT'!$DX$8:$DX$1000))</f>
        <v>4565.125</v>
      </c>
      <c r="DY19" s="288">
        <f>IF($C19="","",SUMPRODUCT(('ANALYSE - ERP =&gt; SOUS-SEGMENT'!$C$8:$C$1000=$C19)*'ANALYSE - ERP =&gt; SOUS-SEGMENT'!$Q$8:$Q$1000*'ANALYSE - ERP =&gt; SOUS-SEGMENT'!$DY$8:$DY$1000))</f>
        <v>1194.375</v>
      </c>
      <c r="DZ19" s="922" t="s">
        <v>5694</v>
      </c>
      <c r="EA19" s="657"/>
      <c r="EB19" s="288">
        <f>IF($C19="","",SUMPRODUCT(('ANALYSE - ERP =&gt; SOUS-SEGMENT'!$C$8:$C$1000=$C19)*'ANALYSE - ERP =&gt; SOUS-SEGMENT'!$Q$8:$Q$1000*'ANALYSE - ERP =&gt; SOUS-SEGMENT'!$EB$8:$EB$1000))</f>
        <v>6342.9199999999992</v>
      </c>
      <c r="EC19" s="288">
        <f>IF($C19="","",SUMPRODUCT(('ANALYSE - ERP =&gt; SOUS-SEGMENT'!$C$8:$C$1000=$C19)*'ANALYSE - ERP =&gt; SOUS-SEGMENT'!$Q$8:$Q$1000*'ANALYSE - ERP =&gt; SOUS-SEGMENT'!$EC$8:$EC$1000))</f>
        <v>39619.825000000004</v>
      </c>
      <c r="ED19" s="288">
        <f>IF($C19="","",SUMPRODUCT(('ANALYSE - ERP =&gt; SOUS-SEGMENT'!$C$8:$C$1000=$C19)*'ANALYSE - ERP =&gt; SOUS-SEGMENT'!$Q$8:$Q$1000*'ANALYSE - ERP =&gt; SOUS-SEGMENT'!$ED$8:$ED$1000))</f>
        <v>11063.720000000001</v>
      </c>
      <c r="EE19" s="288">
        <f>IF($C19="","",SUMPRODUCT(('ANALYSE - ERP =&gt; SOUS-SEGMENT'!$C$8:$C$1000=$C19)*'ANALYSE - ERP =&gt; SOUS-SEGMENT'!$Q$8:$Q$1000*'ANALYSE - ERP =&gt; SOUS-SEGMENT'!$EE$8:$EE$1000))</f>
        <v>16093.035</v>
      </c>
      <c r="EF19" s="922" t="s">
        <v>5695</v>
      </c>
      <c r="EG19" s="288">
        <f>IF($C19="","",SUMPRODUCT(('ANALYSE - ERP =&gt; SOUS-SEGMENT'!$C$8:$C$1000=$C19)*'ANALYSE - ERP =&gt; SOUS-SEGMENT'!$Q$8:$Q$1000*'ANALYSE - ERP =&gt; SOUS-SEGMENT'!$EG$8:$EG$1000))</f>
        <v>4955.2000000000007</v>
      </c>
      <c r="EH19" s="288">
        <f>IF($C19="","",SUMPRODUCT(('ANALYSE - ERP =&gt; SOUS-SEGMENT'!$C$8:$C$1000=$C19)*'ANALYSE - ERP =&gt; SOUS-SEGMENT'!$Q$8:$Q$1000*'ANALYSE - ERP =&gt; SOUS-SEGMENT'!$EH$8:$EH$1000))</f>
        <v>40288.400000000001</v>
      </c>
      <c r="EI19" s="288">
        <f>IF($C19="","",SUMPRODUCT(('ANALYSE - ERP =&gt; SOUS-SEGMENT'!$C$8:$C$1000=$C19)*'ANALYSE - ERP =&gt; SOUS-SEGMENT'!$Q$8:$Q$1000*'ANALYSE - ERP =&gt; SOUS-SEGMENT'!$EI$8:$EI$1000))</f>
        <v>13524.06</v>
      </c>
      <c r="EJ19" s="288">
        <f>IF($C19="","",SUMPRODUCT(('ANALYSE - ERP =&gt; SOUS-SEGMENT'!$C$8:$C$1000=$C19)*'ANALYSE - ERP =&gt; SOUS-SEGMENT'!$Q$8:$Q$1000*'ANALYSE - ERP =&gt; SOUS-SEGMENT'!$EJ$8:$EJ$1000))</f>
        <v>15622.34</v>
      </c>
      <c r="EK19" s="922" t="s">
        <v>5696</v>
      </c>
      <c r="EL19" s="657"/>
      <c r="EM19" s="288">
        <f>IF($C19="","",SUMPRODUCT(('ANALYSE - ERP =&gt; SOUS-SEGMENT'!$C$8:$C$1000=$C19)*'ANALYSE - ERP =&gt; SOUS-SEGMENT'!$Q$8:$Q$1000*'ANALYSE - ERP =&gt; SOUS-SEGMENT'!$EM$8:$EM$1000))</f>
        <v>149539.02500000002</v>
      </c>
      <c r="EN19" s="291">
        <f>IF($C19="","",SUMPRODUCT(('ANALYSE - ERP =&gt; SOUS-SEGMENT'!$C$8:$C$1000=$C19)*'ANALYSE - ERP =&gt; SOUS-SEGMENT'!$Q$8:$Q$1000*'ANALYSE - ERP =&gt; SOUS-SEGMENT'!$EN$8:$EN$1000))</f>
        <v>126136.45</v>
      </c>
      <c r="EO19" s="291">
        <f>IF($C19="","",SUMPRODUCT(('ANALYSE - ERP =&gt; SOUS-SEGMENT'!$C$8:$C$1000=$C19)*'ANALYSE - ERP =&gt; SOUS-SEGMENT'!$Q$8:$Q$1000*'ANALYSE - ERP =&gt; SOUS-SEGMENT'!$EO$8:$EO$1000))</f>
        <v>45655.025000000001</v>
      </c>
      <c r="EP19" s="922" t="s">
        <v>5697</v>
      </c>
      <c r="EQ19" s="288">
        <f>IF($C19="","",SUMPRODUCT(('ANALYSE - ERP =&gt; SOUS-SEGMENT'!$C$8:$C$1000=$C19)*'ANALYSE - ERP =&gt; SOUS-SEGMENT'!$Q$8:$Q$1000*'ANALYSE - ERP =&gt; SOUS-SEGMENT'!$EQ$8:$EQ$1000))</f>
        <v>122338.18</v>
      </c>
      <c r="ER19" s="291">
        <f>IF($C19="","",SUMPRODUCT(('ANALYSE - ERP =&gt; SOUS-SEGMENT'!$C$8:$C$1000=$C19)*'ANALYSE - ERP =&gt; SOUS-SEGMENT'!$Q$8:$Q$1000*'ANALYSE - ERP =&gt; SOUS-SEGMENT'!$ER$8:$ER$1000))</f>
        <v>141635.02000000002</v>
      </c>
      <c r="ES19" s="291">
        <f>IF($C19="","",SUMPRODUCT(('ANALYSE - ERP =&gt; SOUS-SEGMENT'!$C$8:$C$1000=$C19)*'ANALYSE - ERP =&gt; SOUS-SEGMENT'!$Q$8:$Q$1000*'ANALYSE - ERP =&gt; SOUS-SEGMENT'!$ES$8:$ES$1000))</f>
        <v>62716.799999999996</v>
      </c>
      <c r="ET19" s="922" t="s">
        <v>5698</v>
      </c>
      <c r="EU19" s="657"/>
      <c r="EV19" s="740">
        <f t="shared" si="31"/>
        <v>0.81022827774101158</v>
      </c>
      <c r="EW19" s="740">
        <f t="shared" si="32"/>
        <v>0.18977172225898842</v>
      </c>
      <c r="EX19" s="563">
        <f t="shared" si="33"/>
        <v>311275.99895722669</v>
      </c>
      <c r="EY19" s="563">
        <f t="shared" si="34"/>
        <v>252204.61653722671</v>
      </c>
      <c r="EZ19" s="563">
        <f t="shared" si="35"/>
        <v>59071.382419999994</v>
      </c>
      <c r="FA19" s="563">
        <f t="shared" si="36"/>
        <v>150331.01981684813</v>
      </c>
      <c r="FB19" s="563">
        <f>IF($C19="","",SUMPRODUCT(('ANALYSE - ERP =&gt; SOUS-SEGMENT'!$C$8:$C$1000=$C19)*'ANALYSE - ERP =&gt; SOUS-SEGMENT'!$Q$8:$Q$1000*'ANALYSE - ERP =&gt; SOUS-SEGMENT'!$FB$8:$FB$1000))</f>
        <v>121213.22353684813</v>
      </c>
      <c r="FC19" s="563">
        <f>IF($C19="","",SUMPRODUCT(('ANALYSE - ERP =&gt; SOUS-SEGMENT'!$C$8:$C$1000=$C19)*'ANALYSE - ERP =&gt; SOUS-SEGMENT'!$Q$8:$Q$1000*'ANALYSE - ERP =&gt; SOUS-SEGMENT'!$FC$8:$FC$1000))</f>
        <v>29117.796279999995</v>
      </c>
      <c r="FD19" s="563">
        <f t="shared" si="37"/>
        <v>3697.2322308454545</v>
      </c>
      <c r="FE19" s="563">
        <f>IF($C19="","",SUMPRODUCT(('ANALYSE - ERP =&gt; SOUS-SEGMENT'!$C$8:$C$1000=$C19)*'ANALYSE - ERP =&gt; SOUS-SEGMENT'!$Q$8:$Q$1000*'ANALYSE - ERP =&gt; SOUS-SEGMENT'!$FE$8:$FE$1000))</f>
        <v>2946.8902508454544</v>
      </c>
      <c r="FF19" s="563">
        <f>IF($C19="","",SUMPRODUCT(('ANALYSE - ERP =&gt; SOUS-SEGMENT'!$C$8:$C$1000=$C19)*'ANALYSE - ERP =&gt; SOUS-SEGMENT'!$Q$8:$Q$1000*'ANALYSE - ERP =&gt; SOUS-SEGMENT'!$FF$8:$FF$1000))</f>
        <v>750.34198000000004</v>
      </c>
      <c r="FG19" s="563">
        <f t="shared" si="38"/>
        <v>31146.87783792799</v>
      </c>
      <c r="FH19" s="563">
        <f>IF($C19="","",SUMPRODUCT(('ANALYSE - ERP =&gt; SOUS-SEGMENT'!$C$8:$C$1000=$C19)*'ANALYSE - ERP =&gt; SOUS-SEGMENT'!$Q$8:$Q$1000*'ANALYSE - ERP =&gt; SOUS-SEGMENT'!$FH$8:$FH$1000))</f>
        <v>25652.25126792799</v>
      </c>
      <c r="FI19" s="563">
        <f>IF($C19="","",SUMPRODUCT(('ANALYSE - ERP =&gt; SOUS-SEGMENT'!$C$8:$C$1000=$C19)*'ANALYSE - ERP =&gt; SOUS-SEGMENT'!$Q$8:$Q$1000*'ANALYSE - ERP =&gt; SOUS-SEGMENT'!$FI$8:$FI$1000))</f>
        <v>5494.6265699999985</v>
      </c>
      <c r="FJ19" s="563">
        <f t="shared" si="39"/>
        <v>126100.86907160514</v>
      </c>
      <c r="FK19" s="563">
        <f>IF($C19="","",SUMPRODUCT(('ANALYSE - ERP =&gt; SOUS-SEGMENT'!$C$8:$C$1000=$C19)*'ANALYSE - ERP =&gt; SOUS-SEGMENT'!$Q$8:$Q$1000*'ANALYSE - ERP =&gt; SOUS-SEGMENT'!$FK$8:$FK$1000))</f>
        <v>102392.25148160514</v>
      </c>
      <c r="FL19" s="563">
        <f>IF($C19="","",SUMPRODUCT(('ANALYSE - ERP =&gt; SOUS-SEGMENT'!$C$8:$C$1000=$C19)*'ANALYSE - ERP =&gt; SOUS-SEGMENT'!$Q$8:$Q$1000*'ANALYSE - ERP =&gt; SOUS-SEGMENT'!$FL$8:$FL$1000))</f>
        <v>23708.617589999998</v>
      </c>
      <c r="FM19" s="529"/>
      <c r="FN19" s="961" t="s">
        <v>2649</v>
      </c>
      <c r="FO19" s="740">
        <f>IF($C19="","",IFERROR(SUMPRODUCT(('ANALYSE - ERP =&gt; SOUS-SEGMENT'!$C$8:$C$1000=$C19)*'ANALYSE - ERP =&gt; SOUS-SEGMENT'!$Q$8:$Q$1000*'ANALYSE - ERP =&gt; SOUS-SEGMENT'!$AF$8:$AF$1000*'ANALYSE - ERP =&gt; SOUS-SEGMENT'!$FO$8:$FO$1000)/SUMPRODUCT(('ANALYSE - ERP =&gt; SOUS-SEGMENT'!$C$8:$C$1000=$C19)*'ANALYSE - ERP =&gt; SOUS-SEGMENT'!$Q$8:$Q$1000*'ANALYSE - ERP =&gt; SOUS-SEGMENT'!$AF$8:$AF$1000),""))</f>
        <v>5.4502605214412331E-2</v>
      </c>
      <c r="FP19" s="741">
        <f>IF($C19="","",IFERROR(SUMPRODUCT(('ANALYSE - ERP =&gt; SOUS-SEGMENT'!$C$8:$C$1000=$C19)*'ANALYSE - ERP =&gt; SOUS-SEGMENT'!$Q$8:$Q$1000*'ANALYSE - ERP =&gt; SOUS-SEGMENT'!$AF$8:$AF$1000*'ANALYSE - ERP =&gt; SOUS-SEGMENT'!$FP$8:$FP$1000)/SUMPRODUCT(('ANALYSE - ERP =&gt; SOUS-SEGMENT'!$C$8:$C$1000=$C19)*'ANALYSE - ERP =&gt; SOUS-SEGMENT'!$Q$8:$Q$1000*'ANALYSE - ERP =&gt; SOUS-SEGMENT'!$AF$8:$AF$1000),""))</f>
        <v>0.80074186567610095</v>
      </c>
      <c r="FQ19" s="961" t="s">
        <v>5699</v>
      </c>
      <c r="FR19" s="529"/>
      <c r="FS19" s="867">
        <f>IF($C19="","",IFERROR(SUMPRODUCT(('ANALYSE - ERP =&gt; SOUS-SEGMENT'!$C$8:$C$1000=$C19)*'ANALYSE - ERP =&gt; SOUS-SEGMENT'!$Q$8:$Q$1000*'ANALYSE - ERP =&gt; SOUS-SEGMENT'!$EX$8:$EX$1000*'ANALYSE - ERP =&gt; SOUS-SEGMENT'!$FS$8:$FS$1000)/SUMPRODUCT(('ANALYSE - ERP =&gt; SOUS-SEGMENT'!$C$8:$C$1000=$C19)*'ANALYSE - ERP =&gt; SOUS-SEGMENT'!$Q$8:$Q$1000*'ANALYSE - ERP =&gt; SOUS-SEGMENT'!$EX$8:$EX$1000),""))</f>
        <v>3.0330548077974129</v>
      </c>
      <c r="FT19" s="566">
        <f>IF($C19="","",RANK($FS19,$FS$8:$FS$43,0)+COUNTIF($FS$8:$FS19,$FS19)-1)</f>
        <v>26</v>
      </c>
      <c r="FU19" s="867">
        <f>IF($C19="","",IFERROR(SUMPRODUCT(('ANALYSE - ERP =&gt; SOUS-SEGMENT'!$C$8:$C$1000=$C19)*'ANALYSE - ERP =&gt; SOUS-SEGMENT'!$Q$8:$Q$1000*'ANALYSE - ERP =&gt; SOUS-SEGMENT'!$EY$8:$EY$1000*'ANALYSE - ERP =&gt; SOUS-SEGMENT'!$FU$8:$FU$1000)/SUMPRODUCT(('ANALYSE - ERP =&gt; SOUS-SEGMENT'!$C$8:$C$1000=$C19)*'ANALYSE - ERP =&gt; SOUS-SEGMENT'!$Q$8:$Q$1000*'ANALYSE - ERP =&gt; SOUS-SEGMENT'!$EY$8:$EY$1000),""))</f>
        <v>3.7623601330583925</v>
      </c>
      <c r="FV19" s="566">
        <f>IF($C19="","",RANK($FU19,$FU$8:$FU$43,0)+COUNTIF($FU$8:$FU19,$FU19)-1)</f>
        <v>27</v>
      </c>
      <c r="FW19" s="867">
        <f>IF($C19="","",IFERROR(SUMPRODUCT(('ANALYSE - ERP =&gt; SOUS-SEGMENT'!$C$8:$C$1000=$C19)*'ANALYSE - ERP =&gt; SOUS-SEGMENT'!$Q$8:$Q$1000*'ANALYSE - ERP =&gt; SOUS-SEGMENT'!$EZ$8:$EZ$1000*'ANALYSE - ERP =&gt; SOUS-SEGMENT'!$FW$8:$FW$1000)/SUMPRODUCT(('ANALYSE - ERP =&gt; SOUS-SEGMENT'!$C$8:$C$1000=$C19)*'ANALYSE - ERP =&gt; SOUS-SEGMENT'!$Q$8:$Q$1000*'ANALYSE - ERP =&gt; SOUS-SEGMENT'!$EZ$8:$EZ$1000),""))</f>
        <v>1.9831824824085433</v>
      </c>
      <c r="FX19" s="566">
        <f>IF($C19="","",RANK($FW19,$FW$8:$FW$43,0)+COUNTIF($FW$8:$FW19,$FW19)-1)</f>
        <v>28</v>
      </c>
      <c r="FY19" s="529"/>
      <c r="FZ19" s="922" t="s">
        <v>5700</v>
      </c>
      <c r="GA19" s="922" t="s">
        <v>5701</v>
      </c>
      <c r="GB19" s="922" t="s">
        <v>5702</v>
      </c>
      <c r="GC19" s="922" t="s">
        <v>5703</v>
      </c>
      <c r="GD19" s="922" t="s">
        <v>5704</v>
      </c>
      <c r="GE19" s="922" t="s">
        <v>5705</v>
      </c>
      <c r="GF19" s="923" t="s">
        <v>5706</v>
      </c>
      <c r="GG19" s="529"/>
      <c r="GH19" s="563">
        <f t="shared" si="40"/>
        <v>31793.75882293846</v>
      </c>
      <c r="GI19" s="563">
        <f>IF($C19="","",SUMPRODUCT(('ANALYSE - ERP =&gt; SOUS-SEGMENT'!$C$8:$C$1000=$C19)*'ANALYSE - ERP =&gt; SOUS-SEGMENT'!$Q$8:$Q$1000*'ANALYSE - ERP =&gt; SOUS-SEGMENT'!$GI$8:$GI$1000))</f>
        <v>26272.427270138462</v>
      </c>
      <c r="GJ19" s="563">
        <f>IF($C19="","",SUMPRODUCT(('ANALYSE - ERP =&gt; SOUS-SEGMENT'!$C$8:$C$1000=$C19)*'ANALYSE - ERP =&gt; SOUS-SEGMENT'!$Q$8:$Q$1000*'ANALYSE - ERP =&gt; SOUS-SEGMENT'!$GJ$8:$GJ$1000))</f>
        <v>5521.3315527999994</v>
      </c>
      <c r="GK19" s="563">
        <f t="shared" si="41"/>
        <v>89111.059613276928</v>
      </c>
      <c r="GL19" s="563">
        <f>IF($C19="","",SUMPRODUCT(('ANALYSE - ERP =&gt; SOUS-SEGMENT'!$C$8:$C$1000=$C19)*'ANALYSE - ERP =&gt; SOUS-SEGMENT'!$Q$8:$Q$1000*'ANALYSE - ERP =&gt; SOUS-SEGMENT'!$GL$8:$GL$1000))</f>
        <v>71027.270988476928</v>
      </c>
      <c r="GM19" s="563">
        <f>IF($C19="","",SUMPRODUCT(('ANALYSE - ERP =&gt; SOUS-SEGMENT'!$C$8:$C$1000=$C19)*'ANALYSE - ERP =&gt; SOUS-SEGMENT'!$Q$8:$Q$1000*'ANALYSE - ERP =&gt; SOUS-SEGMENT'!$GM$8:$GM$1000))</f>
        <v>18083.7886248</v>
      </c>
      <c r="GN19" s="563">
        <f t="shared" si="42"/>
        <v>21609.839173959997</v>
      </c>
      <c r="GO19" s="563">
        <f>IF($C19="","",SUMPRODUCT(('ANALYSE - ERP =&gt; SOUS-SEGMENT'!$C$8:$C$1000=$C19)*'ANALYSE - ERP =&gt; SOUS-SEGMENT'!$Q$8:$Q$1000*'ANALYSE - ERP =&gt; SOUS-SEGMENT'!$GO$8:$GO$1000))</f>
        <v>17328.062611959998</v>
      </c>
      <c r="GP19" s="563">
        <f>IF($C19="","",SUMPRODUCT(('ANALYSE - ERP =&gt; SOUS-SEGMENT'!$C$8:$C$1000=$C19)*'ANALYSE - ERP =&gt; SOUS-SEGMENT'!$Q$8:$Q$1000*'ANALYSE - ERP =&gt; SOUS-SEGMENT'!$GP$8:$GP$1000))</f>
        <v>4281.7765620000009</v>
      </c>
      <c r="GQ19" s="563">
        <f t="shared" si="43"/>
        <v>7816.3622066727266</v>
      </c>
      <c r="GR19" s="563">
        <f>IF($C19="","",SUMPRODUCT(('ANALYSE - ERP =&gt; SOUS-SEGMENT'!$C$8:$C$1000=$C19)*'ANALYSE - ERP =&gt; SOUS-SEGMENT'!$Q$8:$Q$1000*'ANALYSE - ERP =&gt; SOUS-SEGMENT'!$GR$8:$GR$1000))</f>
        <v>6585.4626662727269</v>
      </c>
      <c r="GS19" s="563">
        <f>IF($C19="","",SUMPRODUCT(('ANALYSE - ERP =&gt; SOUS-SEGMENT'!$C$8:$C$1000=$C19)*'ANALYSE - ERP =&gt; SOUS-SEGMENT'!$Q$8:$Q$1000*'ANALYSE - ERP =&gt; SOUS-SEGMENT'!$GS$8:$GS$1000))</f>
        <v>1230.8995404</v>
      </c>
      <c r="GT19" s="563">
        <f t="shared" si="44"/>
        <v>1447.6081107090909</v>
      </c>
      <c r="GU19" s="563">
        <f>IF($C19="","",SUMPRODUCT(('ANALYSE - ERP =&gt; SOUS-SEGMENT'!$C$8:$C$1000=$C19)*'ANALYSE - ERP =&gt; SOUS-SEGMENT'!$Q$8:$Q$1000*'ANALYSE - ERP =&gt; SOUS-SEGMENT'!$GU$8:$GU$1000))</f>
        <v>1163.3129187090908</v>
      </c>
      <c r="GV19" s="563">
        <f>IF($C19="","",SUMPRODUCT(('ANALYSE - ERP =&gt; SOUS-SEGMENT'!$C$8:$C$1000=$C19)*'ANALYSE - ERP =&gt; SOUS-SEGMENT'!$Q$8:$Q$1000*'ANALYSE - ERP =&gt; SOUS-SEGMENT'!$GV$8:$GV$1000))</f>
        <v>284.29519200000004</v>
      </c>
      <c r="GW19" s="563">
        <f t="shared" si="45"/>
        <v>1751.2559123363637</v>
      </c>
      <c r="GX19" s="563">
        <f>IF($C19="","",SUMPRODUCT(('ANALYSE - ERP =&gt; SOUS-SEGMENT'!$C$8:$C$1000=$C19)*'ANALYSE - ERP =&gt; SOUS-SEGMENT'!$Q$8:$Q$1000*'ANALYSE - ERP =&gt; SOUS-SEGMENT'!$GX$8:$GX$1000))</f>
        <v>1382.7535817363637</v>
      </c>
      <c r="GY19" s="563">
        <f>IF($C19="","",SUMPRODUCT(('ANALYSE - ERP =&gt; SOUS-SEGMENT'!$C$8:$C$1000=$C19)*'ANALYSE - ERP =&gt; SOUS-SEGMENT'!$Q$8:$Q$1000*'ANALYSE - ERP =&gt; SOUS-SEGMENT'!$GY$8:$GY$1000))</f>
        <v>368.50233059999999</v>
      </c>
      <c r="GZ19" s="563">
        <f t="shared" si="46"/>
        <v>498.36820779999999</v>
      </c>
      <c r="HA19" s="563">
        <f>IF($C19="","",SUMPRODUCT(('ANALYSE - ERP =&gt; SOUS-SEGMENT'!$C$8:$C$1000=$C19)*'ANALYSE - ERP =&gt; SOUS-SEGMENT'!$Q$8:$Q$1000*'ANALYSE - ERP =&gt; SOUS-SEGMENT'!$HA$8:$HA$1000))</f>
        <v>400.82375039999999</v>
      </c>
      <c r="HB19" s="563">
        <f>IF($C19="","",SUMPRODUCT(('ANALYSE - ERP =&gt; SOUS-SEGMENT'!$C$8:$C$1000=$C19)*'ANALYSE - ERP =&gt; SOUS-SEGMENT'!$Q$8:$Q$1000*'ANALYSE - ERP =&gt; SOUS-SEGMENT'!$HB$8:$HB$1000))</f>
        <v>97.544457399999999</v>
      </c>
      <c r="HC19" s="563">
        <f t="shared" si="47"/>
        <v>2737.2448801090909</v>
      </c>
      <c r="HD19" s="563">
        <f>IF($C19="","",SUMPRODUCT(('ANALYSE - ERP =&gt; SOUS-SEGMENT'!$C$8:$C$1000=$C19)*'ANALYSE - ERP =&gt; SOUS-SEGMENT'!$Q$8:$Q$1000*'ANALYSE - ERP =&gt; SOUS-SEGMENT'!$HD$8:$HD$1000))</f>
        <v>2372.9381147090908</v>
      </c>
      <c r="HE19" s="563">
        <f>IF($C19="","",SUMPRODUCT(('ANALYSE - ERP =&gt; SOUS-SEGMENT'!$C$8:$C$1000=$C19)*'ANALYSE - ERP =&gt; SOUS-SEGMENT'!$Q$8:$Q$1000*'ANALYSE - ERP =&gt; SOUS-SEGMENT'!$HE$8:$HE$1000))</f>
        <v>364.30676540000002</v>
      </c>
      <c r="HF19" s="563">
        <f t="shared" si="48"/>
        <v>15143.382289564104</v>
      </c>
      <c r="HG19" s="563">
        <f>IF($C19="","",SUMPRODUCT(('ANALYSE - ERP =&gt; SOUS-SEGMENT'!$C$8:$C$1000=$C19)*'ANALYSE - ERP =&gt; SOUS-SEGMENT'!$Q$8:$Q$1000*'ANALYSE - ERP =&gt; SOUS-SEGMENT'!$HG$8:$HG$1000))</f>
        <v>12189.912424064105</v>
      </c>
      <c r="HH19" s="563">
        <f>IF($C19="","",SUMPRODUCT(('ANALYSE - ERP =&gt; SOUS-SEGMENT'!$C$8:$C$1000=$C19)*'ANALYSE - ERP =&gt; SOUS-SEGMENT'!$Q$8:$Q$1000*'ANALYSE - ERP =&gt; SOUS-SEGMENT'!$HH$8:$HH$1000))</f>
        <v>2953.4698654999997</v>
      </c>
      <c r="HI19" s="563">
        <f t="shared" si="49"/>
        <v>6126.63029898889</v>
      </c>
      <c r="HJ19" s="563">
        <f>IF($C19="","",SUMPRODUCT(('ANALYSE - ERP =&gt; SOUS-SEGMENT'!$C$8:$C$1000=$C19)*'ANALYSE - ERP =&gt; SOUS-SEGMENT'!$Q$8:$Q$1000*'ANALYSE - ERP =&gt; SOUS-SEGMENT'!$HJ$8:$HJ$1000))</f>
        <v>5072.19821188889</v>
      </c>
      <c r="HK19" s="563">
        <f>IF($C19="","",SUMPRODUCT(('ANALYSE - ERP =&gt; SOUS-SEGMENT'!$C$8:$C$1000=$C19)*'ANALYSE - ERP =&gt; SOUS-SEGMENT'!$Q$8:$Q$1000*'ANALYSE - ERP =&gt; SOUS-SEGMENT'!$HK$8:$HK$1000))</f>
        <v>1054.4320871</v>
      </c>
      <c r="HL19" s="563">
        <f t="shared" si="50"/>
        <v>7139.6203692659092</v>
      </c>
      <c r="HM19" s="563">
        <f>IF($C19="","",SUMPRODUCT(('ANALYSE - ERP =&gt; SOUS-SEGMENT'!$C$8:$C$1000=$C19)*'ANALYSE - ERP =&gt; SOUS-SEGMENT'!$Q$8:$Q$1000*'ANALYSE - ERP =&gt; SOUS-SEGMENT'!$HM$8:$HM$1000))</f>
        <v>6017.2025172659087</v>
      </c>
      <c r="HN19" s="563">
        <f>IF($C19="","",SUMPRODUCT(('ANALYSE - ERP =&gt; SOUS-SEGMENT'!$C$8:$C$1000=$C19)*'ANALYSE - ERP =&gt; SOUS-SEGMENT'!$Q$8:$Q$1000*'ANALYSE - ERP =&gt; SOUS-SEGMENT'!$HN$8:$HN$1000))</f>
        <v>1122.417852</v>
      </c>
      <c r="HO19" s="563">
        <f t="shared" si="51"/>
        <v>55225.218781184616</v>
      </c>
      <c r="HP19" s="563">
        <f>IF($C19="","",SUMPRODUCT(('ANALYSE - ERP =&gt; SOUS-SEGMENT'!$C$8:$C$1000=$C19)*'ANALYSE - ERP =&gt; SOUS-SEGMENT'!$Q$8:$Q$1000*'ANALYSE - ERP =&gt; SOUS-SEGMENT'!$HP$8:$HP$1000))</f>
        <v>46283.457587884615</v>
      </c>
      <c r="HQ19" s="563">
        <f>IF($C19="","",SUMPRODUCT(('ANALYSE - ERP =&gt; SOUS-SEGMENT'!$C$8:$C$1000=$C19)*'ANALYSE - ERP =&gt; SOUS-SEGMENT'!$Q$8:$Q$1000*'ANALYSE - ERP =&gt; SOUS-SEGMENT'!$HQ$8:$HQ$1000))</f>
        <v>8941.7611932999989</v>
      </c>
      <c r="HR19" s="563">
        <f t="shared" si="52"/>
        <v>47351.551410853848</v>
      </c>
      <c r="HS19" s="563">
        <f>IF($C19="","",SUMPRODUCT(('ANALYSE - ERP =&gt; SOUS-SEGMENT'!$C$8:$C$1000=$C19)*'ANALYSE - ERP =&gt; SOUS-SEGMENT'!$Q$8:$Q$1000*'ANALYSE - ERP =&gt; SOUS-SEGMENT'!$HS$8:$HS$1000))</f>
        <v>37095.873856153848</v>
      </c>
      <c r="HT19" s="563">
        <f>IF($C19="","",SUMPRODUCT(('ANALYSE - ERP =&gt; SOUS-SEGMENT'!$C$8:$C$1000=$C19)*'ANALYSE - ERP =&gt; SOUS-SEGMENT'!$Q$8:$Q$1000*'ANALYSE - ERP =&gt; SOUS-SEGMENT'!$HT$8:$HT$1000))</f>
        <v>10255.6775547</v>
      </c>
      <c r="HU19" s="563">
        <f t="shared" si="53"/>
        <v>23524.098879566667</v>
      </c>
      <c r="HV19" s="563">
        <f>IF($C19="","",SUMPRODUCT(('ANALYSE - ERP =&gt; SOUS-SEGMENT'!$C$8:$C$1000=$C19)*'ANALYSE - ERP =&gt; SOUS-SEGMENT'!$Q$8:$Q$1000*'ANALYSE - ERP =&gt; SOUS-SEGMENT'!$HV$8:$HV$1000))</f>
        <v>19012.920037566666</v>
      </c>
      <c r="HW19" s="563">
        <f>IF($C19="","",SUMPRODUCT(('ANALYSE - ERP =&gt; SOUS-SEGMENT'!$C$8:$C$1000=$C19)*'ANALYSE - ERP =&gt; SOUS-SEGMENT'!$Q$8:$Q$1000*'ANALYSE - ERP =&gt; SOUS-SEGMENT'!$HW$8:$HW$1000))</f>
        <v>4511.1788420000003</v>
      </c>
      <c r="HX19" s="544"/>
      <c r="HY19" s="568">
        <f t="shared" si="54"/>
        <v>792545.48399999994</v>
      </c>
      <c r="HZ19" s="568">
        <f>IF($C19="","",SUMPRODUCT(('ANALYSE - ERP =&gt; SOUS-SEGMENT'!$C$8:$C$1000=$C19)*'ANALYSE - ERP =&gt; SOUS-SEGMENT'!$Q$8:$Q$1000*'ANALYSE - ERP =&gt; SOUS-SEGMENT'!$HZ$8:$HZ$1000))</f>
        <v>20994.911100000001</v>
      </c>
      <c r="IA19" s="568">
        <f>IF($C19="","",SUMPRODUCT(('ANALYSE - ERP =&gt; SOUS-SEGMENT'!$C$8:$C$1000=$C19)*'ANALYSE - ERP =&gt; SOUS-SEGMENT'!$Q$8:$Q$1000*'ANALYSE - ERP =&gt; SOUS-SEGMENT'!$IA$8:$IA$1000))</f>
        <v>284313.85820000002</v>
      </c>
      <c r="IB19" s="568">
        <f>IF($C19="","",SUMPRODUCT(('ANALYSE - ERP =&gt; SOUS-SEGMENT'!$C$8:$C$1000=$C19)*'ANALYSE - ERP =&gt; SOUS-SEGMENT'!$Q$8:$Q$1000*'ANALYSE - ERP =&gt; SOUS-SEGMENT'!$IB$8:$IB$1000))</f>
        <v>388621.03690000001</v>
      </c>
      <c r="IC19" s="568">
        <f>IF($C19="","",SUMPRODUCT(('ANALYSE - ERP =&gt; SOUS-SEGMENT'!$C$8:$C$1000=$C19)*'ANALYSE - ERP =&gt; SOUS-SEGMENT'!$Q$8:$Q$1000*'ANALYSE - ERP =&gt; SOUS-SEGMENT'!$IC$8:$IC$1000))</f>
        <v>93885.323399999994</v>
      </c>
      <c r="ID19" s="568">
        <f>IF($C19="","",SUMPRODUCT(('ANALYSE - ERP =&gt; SOUS-SEGMENT'!$C$8:$C$1000=$C19)*'ANALYSE - ERP =&gt; SOUS-SEGMENT'!$Q$8:$Q$1000*'ANALYSE - ERP =&gt; SOUS-SEGMENT'!$ID$8:$ID$1000))</f>
        <v>4730.3544000000002</v>
      </c>
      <c r="IE19" s="568">
        <f t="shared" si="55"/>
        <v>251716.0779775237</v>
      </c>
      <c r="IF19" s="568">
        <f>IF($C19="","",SUMPRODUCT(('ANALYSE - ERP =&gt; SOUS-SEGMENT'!$C$8:$C$1000=$C19)*'ANALYSE - ERP =&gt; SOUS-SEGMENT'!$Q$8:$Q$1000*'ANALYSE - ERP =&gt; SOUS-SEGMENT'!$IF$8:$IF$1000))</f>
        <v>2440.4772721984218</v>
      </c>
      <c r="IG19" s="568">
        <f>IF($C19="","",SUMPRODUCT(('ANALYSE - ERP =&gt; SOUS-SEGMENT'!$C$8:$C$1000=$C19)*'ANALYSE - ERP =&gt; SOUS-SEGMENT'!$Q$8:$Q$1000*'ANALYSE - ERP =&gt; SOUS-SEGMENT'!$IG$8:$IG$1000))</f>
        <v>75093.473134787928</v>
      </c>
      <c r="IH19" s="568">
        <f>IF($C19="","",SUMPRODUCT(('ANALYSE - ERP =&gt; SOUS-SEGMENT'!$C$8:$C$1000=$C19)*'ANALYSE - ERP =&gt; SOUS-SEGMENT'!$Q$8:$Q$1000*'ANALYSE - ERP =&gt; SOUS-SEGMENT'!$IH$8:$IH$1000))</f>
        <v>126352.87783897265</v>
      </c>
      <c r="II19" s="568">
        <f>IF($C19="","",SUMPRODUCT(('ANALYSE - ERP =&gt; SOUS-SEGMENT'!$C$8:$C$1000=$C19)*'ANALYSE - ERP =&gt; SOUS-SEGMENT'!$Q$8:$Q$1000*'ANALYSE - ERP =&gt; SOUS-SEGMENT'!$II$8:$II$1000))</f>
        <v>43503.313340173983</v>
      </c>
      <c r="IJ19" s="568">
        <f>IF($C19="","",SUMPRODUCT(('ANALYSE - ERP =&gt; SOUS-SEGMENT'!$C$8:$C$1000=$C19)*'ANALYSE - ERP =&gt; SOUS-SEGMENT'!$Q$8:$Q$1000*'ANALYSE - ERP =&gt; SOUS-SEGMENT'!$IJ$8:$IJ$1000))</f>
        <v>4325.9363913907073</v>
      </c>
      <c r="IK19" s="868">
        <f>IF($C19="","",IFERROR(SUMPRODUCT(('ANALYSE - ERP =&gt; SOUS-SEGMENT'!$C$8:$C$1000=$C19)*'ANALYSE - ERP =&gt; SOUS-SEGMENT'!$Q$8:$Q$1000*'ANALYSE - ERP =&gt; SOUS-SEGMENT'!$IE$8:$IE$1000*'ANALYSE - ERP =&gt; SOUS-SEGMENT'!$IK$8:$IK$1000)/SUMPRODUCT(('ANALYSE - ERP =&gt; SOUS-SEGMENT'!$C$8:$C$1000=$C19)*'ANALYSE - ERP =&gt; SOUS-SEGMENT'!$Q$8:$Q$1000*'ANALYSE - ERP =&gt; SOUS-SEGMENT'!$IE$8:$IE$1000),""))</f>
        <v>3.9592443477788386</v>
      </c>
      <c r="IL19" s="962" t="s">
        <v>5707</v>
      </c>
      <c r="IM19" s="963" t="s">
        <v>5708</v>
      </c>
      <c r="IN19" s="529"/>
      <c r="IO19" s="742">
        <f>IF($C19="","",IFERROR(SUMPRODUCT(('ANALYSE - ERP =&gt; SOUS-SEGMENT'!$C$8:$C$1000=$C19)*'ANALYSE - ERP =&gt; SOUS-SEGMENT'!$Q$8:$Q$1000*'ANALYSE - ERP =&gt; SOUS-SEGMENT'!$BE$8:$BE$1000*'ANALYSE - ERP =&gt; SOUS-SEGMENT'!$IO$8:$IO$1000)/SUMPRODUCT(('ANALYSE - ERP =&gt; SOUS-SEGMENT'!$C$8:$C$1000=$C19)*'ANALYSE - ERP =&gt; SOUS-SEGMENT'!$Q$8:$Q$1000*'ANALYSE - ERP =&gt; SOUS-SEGMENT'!$BE$8:$BE$1000),""))</f>
        <v>2.0971602529636174E-2</v>
      </c>
      <c r="IP19" s="742">
        <f>IF($C19="","",IFERROR(SUMPRODUCT(('ANALYSE - ERP =&gt; SOUS-SEGMENT'!$C$8:$C$1000=$C19)*'ANALYSE - ERP =&gt; SOUS-SEGMENT'!$Q$8:$Q$1000*'ANALYSE - ERP =&gt; SOUS-SEGMENT'!$BE$8:$BE$1000*'ANALYSE - ERP =&gt; SOUS-SEGMENT'!$IP$8:$IP$1000)/SUMPRODUCT(('ANALYSE - ERP =&gt; SOUS-SEGMENT'!$C$8:$C$1000=$C19)*'ANALYSE - ERP =&gt; SOUS-SEGMENT'!$Q$8:$Q$1000*'ANALYSE - ERP =&gt; SOUS-SEGMENT'!$BE$8:$BE$1000),""))</f>
        <v>0.33681043193281618</v>
      </c>
      <c r="IQ19" s="742">
        <f>IF($C19="","",IFERROR(SUMPRODUCT(('ANALYSE - ERP =&gt; SOUS-SEGMENT'!$C$8:$C$1000=$C19)*'ANALYSE - ERP =&gt; SOUS-SEGMENT'!$Q$8:$Q$1000*'ANALYSE - ERP =&gt; SOUS-SEGMENT'!$BE$8:$BE$1000*'ANALYSE - ERP =&gt; SOUS-SEGMENT'!$IQ$8:$IQ$1000)/SUMPRODUCT(('ANALYSE - ERP =&gt; SOUS-SEGMENT'!$C$8:$C$1000=$C19)*'ANALYSE - ERP =&gt; SOUS-SEGMENT'!$Q$8:$Q$1000*'ANALYSE - ERP =&gt; SOUS-SEGMENT'!$BE$8:$BE$1000),""))</f>
        <v>0.50283985354737948</v>
      </c>
      <c r="IR19" s="742">
        <f>IF($C19="","",IFERROR(SUMPRODUCT(('ANALYSE - ERP =&gt; SOUS-SEGMENT'!$C$8:$C$1000=$C19)*'ANALYSE - ERP =&gt; SOUS-SEGMENT'!$Q$8:$Q$1000*'ANALYSE - ERP =&gt; SOUS-SEGMENT'!$BE$8:$BE$1000*'ANALYSE - ERP =&gt; SOUS-SEGMENT'!$IR$8:$IR$1000)/SUMPRODUCT(('ANALYSE - ERP =&gt; SOUS-SEGMENT'!$C$8:$C$1000=$C19)*'ANALYSE - ERP =&gt; SOUS-SEGMENT'!$Q$8:$Q$1000*'ANALYSE - ERP =&gt; SOUS-SEGMENT'!$BE$8:$BE$1000),""))</f>
        <v>0.13185291138592314</v>
      </c>
      <c r="IS19" s="742">
        <f>IF($C19="","",IFERROR(SUMPRODUCT(('ANALYSE - ERP =&gt; SOUS-SEGMENT'!$C$8:$C$1000=$C19)*'ANALYSE - ERP =&gt; SOUS-SEGMENT'!$Q$8:$Q$1000*'ANALYSE - ERP =&gt; SOUS-SEGMENT'!$BE$8:$BE$1000*'ANALYSE - ERP =&gt; SOUS-SEGMENT'!$IS$8:$IS$1000)/SUMPRODUCT(('ANALYSE - ERP =&gt; SOUS-SEGMENT'!$C$8:$C$1000=$C19)*'ANALYSE - ERP =&gt; SOUS-SEGMENT'!$Q$8:$Q$1000*'ANALYSE - ERP =&gt; SOUS-SEGMENT'!$BE$8:$BE$1000),""))</f>
        <v>7.5252006042450777E-3</v>
      </c>
      <c r="IT19" s="742">
        <f>IF($C19="","",IFERROR(SUMPRODUCT(('ANALYSE - ERP =&gt; SOUS-SEGMENT'!$C$8:$C$1000=$C19)*'ANALYSE - ERP =&gt; SOUS-SEGMENT'!$Q$8:$Q$1000*'ANALYSE - ERP =&gt; SOUS-SEGMENT'!$FB$8:$FB$1000*'ANALYSE - ERP =&gt; SOUS-SEGMENT'!$IT$8:$IT$1000)/SUMPRODUCT(('ANALYSE - ERP =&gt; SOUS-SEGMENT'!$C$8:$C$1000=$C19)*'ANALYSE - ERP =&gt; SOUS-SEGMENT'!$Q$8:$Q$1000*'ANALYSE - ERP =&gt; SOUS-SEGMENT'!$FB$8:$FB$1000),""))</f>
        <v>7.3708980522806996E-3</v>
      </c>
      <c r="IU19" s="742">
        <f>IF($C19="","",IFERROR(SUMPRODUCT(('ANALYSE - ERP =&gt; SOUS-SEGMENT'!$C$8:$C$1000=$C19)*'ANALYSE - ERP =&gt; SOUS-SEGMENT'!$Q$8:$Q$1000*'ANALYSE - ERP =&gt; SOUS-SEGMENT'!$FB$8:$FB$1000*'ANALYSE - ERP =&gt; SOUS-SEGMENT'!$IU$8:$IU$1000)/SUMPRODUCT(('ANALYSE - ERP =&gt; SOUS-SEGMENT'!$C$8:$C$1000=$C19)*'ANALYSE - ERP =&gt; SOUS-SEGMENT'!$Q$8:$Q$1000*'ANALYSE - ERP =&gt; SOUS-SEGMENT'!$FB$8:$FB$1000),""))</f>
        <v>0.27776785320634262</v>
      </c>
      <c r="IV19" s="742">
        <f>IF($C19="","",IFERROR(SUMPRODUCT(('ANALYSE - ERP =&gt; SOUS-SEGMENT'!$C$8:$C$1000=$C19)*'ANALYSE - ERP =&gt; SOUS-SEGMENT'!$Q$8:$Q$1000*'ANALYSE - ERP =&gt; SOUS-SEGMENT'!$FB$8:$FB$1000*'ANALYSE - ERP =&gt; SOUS-SEGMENT'!$IV$8:$IV$1000)/SUMPRODUCT(('ANALYSE - ERP =&gt; SOUS-SEGMENT'!$C$8:$C$1000=$C19)*'ANALYSE - ERP =&gt; SOUS-SEGMENT'!$Q$8:$Q$1000*'ANALYSE - ERP =&gt; SOUS-SEGMENT'!$FB$8:$FB$1000),""))</f>
        <v>0.50627550511973396</v>
      </c>
      <c r="IW19" s="742">
        <f>IF($C19="","",IFERROR(SUMPRODUCT(('ANALYSE - ERP =&gt; SOUS-SEGMENT'!$C$8:$C$1000=$C19)*'ANALYSE - ERP =&gt; SOUS-SEGMENT'!$Q$8:$Q$1000*'ANALYSE - ERP =&gt; SOUS-SEGMENT'!$FB$8:$FB$1000*'ANALYSE - ERP =&gt; SOUS-SEGMENT'!$IW$8:$IW$1000)/SUMPRODUCT(('ANALYSE - ERP =&gt; SOUS-SEGMENT'!$C$8:$C$1000=$C19)*'ANALYSE - ERP =&gt; SOUS-SEGMENT'!$Q$8:$Q$1000*'ANALYSE - ERP =&gt; SOUS-SEGMENT'!$FB$8:$FB$1000),""))</f>
        <v>0.18790746757391649</v>
      </c>
      <c r="IX19" s="742">
        <f>IF($C19="","",IFERROR(SUMPRODUCT(('ANALYSE - ERP =&gt; SOUS-SEGMENT'!$C$8:$C$1000=$C19)*'ANALYSE - ERP =&gt; SOUS-SEGMENT'!$Q$8:$Q$1000*'ANALYSE - ERP =&gt; SOUS-SEGMENT'!$FB$8:$FB$1000*'ANALYSE - ERP =&gt; SOUS-SEGMENT'!$IX$8:$IX$1000)/SUMPRODUCT(('ANALYSE - ERP =&gt; SOUS-SEGMENT'!$C$8:$C$1000=$C19)*'ANALYSE - ERP =&gt; SOUS-SEGMENT'!$Q$8:$Q$1000*'ANALYSE - ERP =&gt; SOUS-SEGMENT'!$FB$8:$FB$1000),""))</f>
        <v>2.067827604772611E-2</v>
      </c>
      <c r="IY19" s="742">
        <f>IF($C19="","",IFERROR(SUMPRODUCT(('ANALYSE - ERP =&gt; SOUS-SEGMENT'!$C$8:$C$1000=$C19)*'ANALYSE - ERP =&gt; SOUS-SEGMENT'!$Q$8:$Q$1000*'ANALYSE - ERP =&gt; SOUS-SEGMENT'!$BF$8:$BF$1000*'ANALYSE - ERP =&gt; SOUS-SEGMENT'!$IY$8:$IY$1000)/SUMPRODUCT(('ANALYSE - ERP =&gt; SOUS-SEGMENT'!$C$8:$C$1000=$C19)*'ANALYSE - ERP =&gt; SOUS-SEGMENT'!$Q$8:$Q$1000*'ANALYSE - ERP =&gt; SOUS-SEGMENT'!$BF$8:$BF$1000),""))</f>
        <v>1.7671211014329866E-2</v>
      </c>
      <c r="IZ19" s="742">
        <f>IF($C19="","",IFERROR(SUMPRODUCT(('ANALYSE - ERP =&gt; SOUS-SEGMENT'!$C$8:$C$1000=$C19)*'ANALYSE - ERP =&gt; SOUS-SEGMENT'!$Q$8:$Q$1000*'ANALYSE - ERP =&gt; SOUS-SEGMENT'!$BF$8:$BF$1000*'ANALYSE - ERP =&gt; SOUS-SEGMENT'!$IZ$8:$IZ$1000)/SUMPRODUCT(('ANALYSE - ERP =&gt; SOUS-SEGMENT'!$C$8:$C$1000=$C19)*'ANALYSE - ERP =&gt; SOUS-SEGMENT'!$Q$8:$Q$1000*'ANALYSE - ERP =&gt; SOUS-SEGMENT'!$BF$8:$BF$1000),""))</f>
        <v>0.29330124192188817</v>
      </c>
      <c r="JA19" s="742">
        <f>IF($C19="","",IFERROR(SUMPRODUCT(('ANALYSE - ERP =&gt; SOUS-SEGMENT'!$C$8:$C$1000=$C19)*'ANALYSE - ERP =&gt; SOUS-SEGMENT'!$Q$8:$Q$1000*'ANALYSE - ERP =&gt; SOUS-SEGMENT'!$BF$8:$BF$1000*'ANALYSE - ERP =&gt; SOUS-SEGMENT'!$JA$8:$JA$1000)/SUMPRODUCT(('ANALYSE - ERP =&gt; SOUS-SEGMENT'!$C$8:$C$1000=$C19)*'ANALYSE - ERP =&gt; SOUS-SEGMENT'!$Q$8:$Q$1000*'ANALYSE - ERP =&gt; SOUS-SEGMENT'!$BF$8:$BF$1000),""))</f>
        <v>0.42860067996628265</v>
      </c>
      <c r="JB19" s="742">
        <f>IF($C19="","",IFERROR(SUMPRODUCT(('ANALYSE - ERP =&gt; SOUS-SEGMENT'!$C$8:$C$1000=$C19)*'ANALYSE - ERP =&gt; SOUS-SEGMENT'!$Q$8:$Q$1000*'ANALYSE - ERP =&gt; SOUS-SEGMENT'!$BF$8:$BF$1000*'ANALYSE - ERP =&gt; SOUS-SEGMENT'!$JB$8:$JB$1000)/SUMPRODUCT(('ANALYSE - ERP =&gt; SOUS-SEGMENT'!$C$8:$C$1000=$C19)*'ANALYSE - ERP =&gt; SOUS-SEGMENT'!$Q$8:$Q$1000*'ANALYSE - ERP =&gt; SOUS-SEGMENT'!$BF$8:$BF$1000),""))</f>
        <v>0.10957475133464456</v>
      </c>
      <c r="JC19" s="742">
        <f>IF($C19="","",IFERROR(SUMPRODUCT(('ANALYSE - ERP =&gt; SOUS-SEGMENT'!$C$8:$C$1000=$C19)*'ANALYSE - ERP =&gt; SOUS-SEGMENT'!$Q$8:$Q$1000*'ANALYSE - ERP =&gt; SOUS-SEGMENT'!$BF$8:$BF$1000*'ANALYSE - ERP =&gt; SOUS-SEGMENT'!$JC$8:$JC$1000)/SUMPRODUCT(('ANALYSE - ERP =&gt; SOUS-SEGMENT'!$C$8:$C$1000=$C19)*'ANALYSE - ERP =&gt; SOUS-SEGMENT'!$Q$8:$Q$1000*'ANALYSE - ERP =&gt; SOUS-SEGMENT'!$BF$8:$BF$1000),""))</f>
        <v>7.0458780556336047E-3</v>
      </c>
      <c r="JD19" s="742">
        <f>IF($C19="","",IFERROR(SUMPRODUCT(('ANALYSE - ERP =&gt; SOUS-SEGMENT'!$C$8:$C$1000=$C19)*'ANALYSE - ERP =&gt; SOUS-SEGMENT'!$Q$8:$Q$1000*'ANALYSE - ERP =&gt; SOUS-SEGMENT'!$FE$8:$FE$1000*'ANALYSE - ERP =&gt; SOUS-SEGMENT'!$JD$8:$JD$1000)/SUMPRODUCT(('ANALYSE - ERP =&gt; SOUS-SEGMENT'!$C$8:$C$1000=$C19)*'ANALYSE - ERP =&gt; SOUS-SEGMENT'!$Q$8:$Q$1000*'ANALYSE - ERP =&gt; SOUS-SEGMENT'!$FE$8:$FE$1000),""))</f>
        <v>7.9431967668329891E-3</v>
      </c>
      <c r="JE19" s="742">
        <f>IF($C19="","",IFERROR(SUMPRODUCT(('ANALYSE - ERP =&gt; SOUS-SEGMENT'!$C$8:$C$1000=$C19)*'ANALYSE - ERP =&gt; SOUS-SEGMENT'!$Q$8:$Q$1000*'ANALYSE - ERP =&gt; SOUS-SEGMENT'!$FE$8:$FE$1000*'ANALYSE - ERP =&gt; SOUS-SEGMENT'!$JE$8:$JE$1000)/SUMPRODUCT(('ANALYSE - ERP =&gt; SOUS-SEGMENT'!$C$8:$C$1000=$C19)*'ANALYSE - ERP =&gt; SOUS-SEGMENT'!$Q$8:$Q$1000*'ANALYSE - ERP =&gt; SOUS-SEGMENT'!$FE$8:$FE$1000),""))</f>
        <v>0.25505391116031689</v>
      </c>
      <c r="JF19" s="742">
        <f>IF($C19="","",IFERROR(SUMPRODUCT(('ANALYSE - ERP =&gt; SOUS-SEGMENT'!$C$8:$C$1000=$C19)*'ANALYSE - ERP =&gt; SOUS-SEGMENT'!$Q$8:$Q$1000*'ANALYSE - ERP =&gt; SOUS-SEGMENT'!$FE$8:$FE$1000*'ANALYSE - ERP =&gt; SOUS-SEGMENT'!$JF$8:$JF$1000)/SUMPRODUCT(('ANALYSE - ERP =&gt; SOUS-SEGMENT'!$C$8:$C$1000=$C19)*'ANALYSE - ERP =&gt; SOUS-SEGMENT'!$Q$8:$Q$1000*'ANALYSE - ERP =&gt; SOUS-SEGMENT'!$FE$8:$FE$1000),""))</f>
        <v>0.42323187333864665</v>
      </c>
      <c r="JG19" s="742">
        <f>IF($C19="","",IFERROR(SUMPRODUCT(('ANALYSE - ERP =&gt; SOUS-SEGMENT'!$C$8:$C$1000=$C19)*'ANALYSE - ERP =&gt; SOUS-SEGMENT'!$Q$8:$Q$1000*'ANALYSE - ERP =&gt; SOUS-SEGMENT'!$FE$8:$FE$1000*'ANALYSE - ERP =&gt; SOUS-SEGMENT'!$JG$8:$JG$1000)/SUMPRODUCT(('ANALYSE - ERP =&gt; SOUS-SEGMENT'!$C$8:$C$1000=$C19)*'ANALYSE - ERP =&gt; SOUS-SEGMENT'!$Q$8:$Q$1000*'ANALYSE - ERP =&gt; SOUS-SEGMENT'!$FE$8:$FE$1000),""))</f>
        <v>0.15138991985035477</v>
      </c>
      <c r="JH19" s="742">
        <f>IF($C19="","",IFERROR(SUMPRODUCT(('ANALYSE - ERP =&gt; SOUS-SEGMENT'!$C$8:$C$1000=$C19)*'ANALYSE - ERP =&gt; SOUS-SEGMENT'!$Q$8:$Q$1000*'ANALYSE - ERP =&gt; SOUS-SEGMENT'!$FE$8:$FE$1000*'ANALYSE - ERP =&gt; SOUS-SEGMENT'!$JH$8:$JH$1000)/SUMPRODUCT(('ANALYSE - ERP =&gt; SOUS-SEGMENT'!$C$8:$C$1000=$C19)*'ANALYSE - ERP =&gt; SOUS-SEGMENT'!$Q$8:$Q$1000*'ANALYSE - ERP =&gt; SOUS-SEGMENT'!$FE$8:$FE$1000),""))</f>
        <v>2.0166755023314536E-2</v>
      </c>
      <c r="JI19" s="742">
        <f>IF($C19="","",IFERROR(SUMPRODUCT(('ANALYSE - ERP =&gt; SOUS-SEGMENT'!$C$8:$C$1000=$C19)*'ANALYSE - ERP =&gt; SOUS-SEGMENT'!$Q$8:$Q$1000*'ANALYSE - ERP =&gt; SOUS-SEGMENT'!$BG$8:$BG$1000*'ANALYSE - ERP =&gt; SOUS-SEGMENT'!$JI$8:$JI$1000)/SUMPRODUCT(('ANALYSE - ERP =&gt; SOUS-SEGMENT'!$C$8:$C$1000=$C19)*'ANALYSE - ERP =&gt; SOUS-SEGMENT'!$Q$8:$Q$1000*'ANALYSE - ERP =&gt; SOUS-SEGMENT'!$BG$8:$BG$1000),""))</f>
        <v>5.2138130047388175E-2</v>
      </c>
      <c r="JJ19" s="742">
        <f>IF($C19="","",IFERROR(SUMPRODUCT(('ANALYSE - ERP =&gt; SOUS-SEGMENT'!$C$8:$C$1000=$C19)*'ANALYSE - ERP =&gt; SOUS-SEGMENT'!$Q$8:$Q$1000*'ANALYSE - ERP =&gt; SOUS-SEGMENT'!$BG$8:$BG$1000*'ANALYSE - ERP =&gt; SOUS-SEGMENT'!$JJ$8:$JJ$1000)/SUMPRODUCT(('ANALYSE - ERP =&gt; SOUS-SEGMENT'!$C$8:$C$1000=$C19)*'ANALYSE - ERP =&gt; SOUS-SEGMENT'!$Q$8:$Q$1000*'ANALYSE - ERP =&gt; SOUS-SEGMENT'!$BG$8:$BG$1000),""))</f>
        <v>0.45474419682847939</v>
      </c>
      <c r="JK19" s="742">
        <f>IF($C19="","",IFERROR(SUMPRODUCT(('ANALYSE - ERP =&gt; SOUS-SEGMENT'!$C$8:$C$1000=$C19)*'ANALYSE - ERP =&gt; SOUS-SEGMENT'!$Q$8:$Q$1000*'ANALYSE - ERP =&gt; SOUS-SEGMENT'!$BG$8:$BG$1000*'ANALYSE - ERP =&gt; SOUS-SEGMENT'!$JK$8:$JK$1000)/SUMPRODUCT(('ANALYSE - ERP =&gt; SOUS-SEGMENT'!$C$8:$C$1000=$C19)*'ANALYSE - ERP =&gt; SOUS-SEGMENT'!$Q$8:$Q$1000*'ANALYSE - ERP =&gt; SOUS-SEGMENT'!$BG$8:$BG$1000),""))</f>
        <v>0.41031270728054758</v>
      </c>
      <c r="JL19" s="742">
        <f>IF($C19="","",IFERROR(SUMPRODUCT(('ANALYSE - ERP =&gt; SOUS-SEGMENT'!$C$8:$C$1000=$C19)*'ANALYSE - ERP =&gt; SOUS-SEGMENT'!$Q$8:$Q$1000*'ANALYSE - ERP =&gt; SOUS-SEGMENT'!$BG$8:$BG$1000*'ANALYSE - ERP =&gt; SOUS-SEGMENT'!$JL$8:$JL$1000)/SUMPRODUCT(('ANALYSE - ERP =&gt; SOUS-SEGMENT'!$C$8:$C$1000=$C19)*'ANALYSE - ERP =&gt; SOUS-SEGMENT'!$Q$8:$Q$1000*'ANALYSE - ERP =&gt; SOUS-SEGMENT'!$BG$8:$BG$1000),""))</f>
        <v>7.8819438043203252E-2</v>
      </c>
      <c r="JM19" s="742">
        <f>IF($C19="","",IFERROR(SUMPRODUCT(('ANALYSE - ERP =&gt; SOUS-SEGMENT'!$C$8:$C$1000=$C19)*'ANALYSE - ERP =&gt; SOUS-SEGMENT'!$Q$8:$Q$1000*'ANALYSE - ERP =&gt; SOUS-SEGMENT'!$BG$8:$BG$1000*'ANALYSE - ERP =&gt; SOUS-SEGMENT'!$JM$8:$JM$1000)/SUMPRODUCT(('ANALYSE - ERP =&gt; SOUS-SEGMENT'!$C$8:$C$1000=$C19)*'ANALYSE - ERP =&gt; SOUS-SEGMENT'!$Q$8:$Q$1000*'ANALYSE - ERP =&gt; SOUS-SEGMENT'!$BG$8:$BG$1000),""))</f>
        <v>2.7204753861828921E-3</v>
      </c>
      <c r="JN19" s="742">
        <f>IF($C19="","",IFERROR(SUMPRODUCT(('ANALYSE - ERP =&gt; SOUS-SEGMENT'!$C$8:$C$1000=$C19)*'ANALYSE - ERP =&gt; SOUS-SEGMENT'!$Q$8:$Q$1000*'ANALYSE - ERP =&gt; SOUS-SEGMENT'!$FH$8:$FH$1000*'ANALYSE - ERP =&gt; SOUS-SEGMENT'!$JN$8:$JN$1000)/SUMPRODUCT(('ANALYSE - ERP =&gt; SOUS-SEGMENT'!$C$8:$C$1000=$C19)*'ANALYSE - ERP =&gt; SOUS-SEGMENT'!$Q$8:$Q$1000*'ANALYSE - ERP =&gt; SOUS-SEGMENT'!$FH$8:$FH$1000),""))</f>
        <v>2.4276562501545314E-2</v>
      </c>
      <c r="JO19" s="742">
        <f>IF($C19="","",IFERROR(SUMPRODUCT(('ANALYSE - ERP =&gt; SOUS-SEGMENT'!$C$8:$C$1000=$C19)*'ANALYSE - ERP =&gt; SOUS-SEGMENT'!$Q$8:$Q$1000*'ANALYSE - ERP =&gt; SOUS-SEGMENT'!$FH$8:$FH$1000*'ANALYSE - ERP =&gt; SOUS-SEGMENT'!$JO$8:$JO$1000)/SUMPRODUCT(('ANALYSE - ERP =&gt; SOUS-SEGMENT'!$C$8:$C$1000=$C19)*'ANALYSE - ERP =&gt; SOUS-SEGMENT'!$Q$8:$Q$1000*'ANALYSE - ERP =&gt; SOUS-SEGMENT'!$FH$8:$FH$1000),""))</f>
        <v>0.39046891347603602</v>
      </c>
      <c r="JP19" s="742">
        <f>IF($C19="","",IFERROR(SUMPRODUCT(('ANALYSE - ERP =&gt; SOUS-SEGMENT'!$C$8:$C$1000=$C19)*'ANALYSE - ERP =&gt; SOUS-SEGMENT'!$Q$8:$Q$1000*'ANALYSE - ERP =&gt; SOUS-SEGMENT'!$FH$8:$FH$1000*'ANALYSE - ERP =&gt; SOUS-SEGMENT'!$JP$8:$JP$1000)/SUMPRODUCT(('ANALYSE - ERP =&gt; SOUS-SEGMENT'!$C$8:$C$1000=$C19)*'ANALYSE - ERP =&gt; SOUS-SEGMENT'!$Q$8:$Q$1000*'ANALYSE - ERP =&gt; SOUS-SEGMENT'!$FH$8:$FH$1000),""))</f>
        <v>0.44724623502475191</v>
      </c>
      <c r="JQ19" s="742">
        <f>IF($C19="","",IFERROR(SUMPRODUCT(('ANALYSE - ERP =&gt; SOUS-SEGMENT'!$C$8:$C$1000=$C19)*'ANALYSE - ERP =&gt; SOUS-SEGMENT'!$Q$8:$Q$1000*'ANALYSE - ERP =&gt; SOUS-SEGMENT'!$FH$8:$FH$1000*'ANALYSE - ERP =&gt; SOUS-SEGMENT'!$JQ$8:$JQ$1000)/SUMPRODUCT(('ANALYSE - ERP =&gt; SOUS-SEGMENT'!$C$8:$C$1000=$C19)*'ANALYSE - ERP =&gt; SOUS-SEGMENT'!$Q$8:$Q$1000*'ANALYSE - ERP =&gt; SOUS-SEGMENT'!$FH$8:$FH$1000),""))</f>
        <v>0.12571181759868788</v>
      </c>
      <c r="JR19" s="742">
        <f>IF($C19="","",IFERROR(SUMPRODUCT(('ANALYSE - ERP =&gt; SOUS-SEGMENT'!$C$8:$C$1000=$C19)*'ANALYSE - ERP =&gt; SOUS-SEGMENT'!$Q$8:$Q$1000*'ANALYSE - ERP =&gt; SOUS-SEGMENT'!$FH$8:$FH$1000*'ANALYSE - ERP =&gt; SOUS-SEGMENT'!$JR$8:$JR$1000)/SUMPRODUCT(('ANALYSE - ERP =&gt; SOUS-SEGMENT'!$C$8:$C$1000=$C19)*'ANALYSE - ERP =&gt; SOUS-SEGMENT'!$Q$8:$Q$1000*'ANALYSE - ERP =&gt; SOUS-SEGMENT'!$FH$8:$FH$1000),""))</f>
        <v>9.5891653023469116E-3</v>
      </c>
      <c r="JS19" s="742">
        <f>IF($C19="","",IFERROR(SUMPRODUCT(('ANALYSE - ERP =&gt; SOUS-SEGMENT'!$C$8:$C$1000=$C19)*'ANALYSE - ERP =&gt; SOUS-SEGMENT'!$Q$8:$Q$1000*'ANALYSE - ERP =&gt; SOUS-SEGMENT'!$BH$8:$BH$1000*'ANALYSE - ERP =&gt; SOUS-SEGMENT'!$JS$8:$JS$1000)/SUMPRODUCT(('ANALYSE - ERP =&gt; SOUS-SEGMENT'!$C$8:$C$1000=$C19)*'ANALYSE - ERP =&gt; SOUS-SEGMENT'!$Q$8:$Q$1000*'ANALYSE - ERP =&gt; SOUS-SEGMENT'!$BH$8:$BH$1000),""))</f>
        <v>2.7493464517062645E-2</v>
      </c>
      <c r="JT19" s="742">
        <f>IF($C19="","",IFERROR(SUMPRODUCT(('ANALYSE - ERP =&gt; SOUS-SEGMENT'!$C$8:$C$1000=$C19)*'ANALYSE - ERP =&gt; SOUS-SEGMENT'!$Q$8:$Q$1000*'ANALYSE - ERP =&gt; SOUS-SEGMENT'!$BH$8:$BH$1000*'ANALYSE - ERP =&gt; SOUS-SEGMENT'!$JT$8:$JT$1000)/SUMPRODUCT(('ANALYSE - ERP =&gt; SOUS-SEGMENT'!$C$8:$C$1000=$C19)*'ANALYSE - ERP =&gt; SOUS-SEGMENT'!$Q$8:$Q$1000*'ANALYSE - ERP =&gt; SOUS-SEGMENT'!$BH$8:$BH$1000),""))</f>
        <v>0.36381697878041458</v>
      </c>
      <c r="JU19" s="742">
        <f>IF($C19="","",IFERROR(SUMPRODUCT(('ANALYSE - ERP =&gt; SOUS-SEGMENT'!$C$8:$C$1000=$C19)*'ANALYSE - ERP =&gt; SOUS-SEGMENT'!$Q$8:$Q$1000*'ANALYSE - ERP =&gt; SOUS-SEGMENT'!$BH$8:$BH$1000*'ANALYSE - ERP =&gt; SOUS-SEGMENT'!$JU$8:$JU$1000)/SUMPRODUCT(('ANALYSE - ERP =&gt; SOUS-SEGMENT'!$C$8:$C$1000=$C19)*'ANALYSE - ERP =&gt; SOUS-SEGMENT'!$Q$8:$Q$1000*'ANALYSE - ERP =&gt; SOUS-SEGMENT'!$BH$8:$BH$1000),""))</f>
        <v>0.49298632015946192</v>
      </c>
      <c r="JV19" s="742">
        <f>IF($C19="","",IFERROR(SUMPRODUCT(('ANALYSE - ERP =&gt; SOUS-SEGMENT'!$C$8:$C$1000=$C19)*'ANALYSE - ERP =&gt; SOUS-SEGMENT'!$Q$8:$Q$1000*'ANALYSE - ERP =&gt; SOUS-SEGMENT'!$BH$8:$BH$1000*'ANALYSE - ERP =&gt; SOUS-SEGMENT'!$JV$8:$JV$1000)/SUMPRODUCT(('ANALYSE - ERP =&gt; SOUS-SEGMENT'!$C$8:$C$1000=$C19)*'ANALYSE - ERP =&gt; SOUS-SEGMENT'!$Q$8:$Q$1000*'ANALYSE - ERP =&gt; SOUS-SEGMENT'!$BH$8:$BH$1000),""))</f>
        <v>0.11094294674797442</v>
      </c>
      <c r="JW19" s="742">
        <f>IF($C19="","",IFERROR(SUMPRODUCT(('ANALYSE - ERP =&gt; SOUS-SEGMENT'!$C$8:$C$1000=$C19)*'ANALYSE - ERP =&gt; SOUS-SEGMENT'!$Q$8:$Q$1000*'ANALYSE - ERP =&gt; SOUS-SEGMENT'!$BH$8:$BH$1000*'ANALYSE - ERP =&gt; SOUS-SEGMENT'!$JW$8:$JW$1000)/SUMPRODUCT(('ANALYSE - ERP =&gt; SOUS-SEGMENT'!$C$8:$C$1000=$C19)*'ANALYSE - ERP =&gt; SOUS-SEGMENT'!$Q$8:$Q$1000*'ANALYSE - ERP =&gt; SOUS-SEGMENT'!$BH$8:$BH$1000),""))</f>
        <v>4.7602897950863683E-3</v>
      </c>
      <c r="JX19" s="742">
        <f>IF($C19="","",IFERROR(SUMPRODUCT(('ANALYSE - ERP =&gt; SOUS-SEGMENT'!$C$8:$C$1000=$C19)*'ANALYSE - ERP =&gt; SOUS-SEGMENT'!$Q$8:$Q$1000*'ANALYSE - ERP =&gt; SOUS-SEGMENT'!$FK$8:$FK$1000*'ANALYSE - ERP =&gt; SOUS-SEGMENT'!$JX$8:$JX$1000)/SUMPRODUCT(('ANALYSE - ERP =&gt; SOUS-SEGMENT'!$C$8:$C$1000=$C19)*'ANALYSE - ERP =&gt; SOUS-SEGMENT'!$Q$8:$Q$1000*'ANALYSE - ERP =&gt; SOUS-SEGMENT'!$FK$8:$FK$1000),""))</f>
        <v>8.7982316587492879E-3</v>
      </c>
      <c r="JY19" s="742">
        <f>IF($C19="","",IFERROR(SUMPRODUCT(('ANALYSE - ERP =&gt; SOUS-SEGMENT'!$C$8:$C$1000=$C19)*'ANALYSE - ERP =&gt; SOUS-SEGMENT'!$Q$8:$Q$1000*'ANALYSE - ERP =&gt; SOUS-SEGMENT'!$FK$8:$FK$1000*'ANALYSE - ERP =&gt; SOUS-SEGMENT'!$JY$8:$JY$1000)/SUMPRODUCT(('ANALYSE - ERP =&gt; SOUS-SEGMENT'!$C$8:$C$1000=$C19)*'ANALYSE - ERP =&gt; SOUS-SEGMENT'!$Q$8:$Q$1000*'ANALYSE - ERP =&gt; SOUS-SEGMENT'!$FK$8:$FK$1000),""))</f>
        <v>0.29940071874680962</v>
      </c>
      <c r="JZ19" s="742">
        <f>IF($C19="","",IFERROR(SUMPRODUCT(('ANALYSE - ERP =&gt; SOUS-SEGMENT'!$C$8:$C$1000=$C19)*'ANALYSE - ERP =&gt; SOUS-SEGMENT'!$Q$8:$Q$1000*'ANALYSE - ERP =&gt; SOUS-SEGMENT'!$FK$8:$FK$1000*'ANALYSE - ERP =&gt; SOUS-SEGMENT'!$JZ$8:$JZ$1000)/SUMPRODUCT(('ANALYSE - ERP =&gt; SOUS-SEGMENT'!$C$8:$C$1000=$C19)*'ANALYSE - ERP =&gt; SOUS-SEGMENT'!$Q$8:$Q$1000*'ANALYSE - ERP =&gt; SOUS-SEGMENT'!$FK$8:$FK$1000),""))</f>
        <v>0.51044390985166255</v>
      </c>
      <c r="KA19" s="742">
        <f>IF($C19="","",IFERROR(SUMPRODUCT(('ANALYSE - ERP =&gt; SOUS-SEGMENT'!$C$8:$C$1000=$C19)*'ANALYSE - ERP =&gt; SOUS-SEGMENT'!$Q$8:$Q$1000*'ANALYSE - ERP =&gt; SOUS-SEGMENT'!$FK$8:$FK$1000*'ANALYSE - ERP =&gt; SOUS-SEGMENT'!$KA$8:$KA$1000)/SUMPRODUCT(('ANALYSE - ERP =&gt; SOUS-SEGMENT'!$C$8:$C$1000=$C19)*'ANALYSE - ERP =&gt; SOUS-SEGMENT'!$Q$8:$Q$1000*'ANALYSE - ERP =&gt; SOUS-SEGMENT'!$FK$8:$FK$1000),""))</f>
        <v>0.16657044464624438</v>
      </c>
      <c r="KB19" s="742">
        <f>IF($C19="","",IFERROR(SUMPRODUCT(('ANALYSE - ERP =&gt; SOUS-SEGMENT'!$C$8:$C$1000=$C19)*'ANALYSE - ERP =&gt; SOUS-SEGMENT'!$Q$8:$Q$1000*'ANALYSE - ERP =&gt; SOUS-SEGMENT'!$FK$8:$FK$1000*'ANALYSE - ERP =&gt; SOUS-SEGMENT'!$KB$8:$KB$1000)/SUMPRODUCT(('ANALYSE - ERP =&gt; SOUS-SEGMENT'!$C$8:$C$1000=$C19)*'ANALYSE - ERP =&gt; SOUS-SEGMENT'!$Q$8:$Q$1000*'ANALYSE - ERP =&gt; SOUS-SEGMENT'!$FK$8:$FK$1000),""))</f>
        <v>1.478669509653409E-2</v>
      </c>
      <c r="KC19" s="657"/>
      <c r="KD19" s="924" t="s">
        <v>5709</v>
      </c>
      <c r="KE19" s="924" t="s">
        <v>5709</v>
      </c>
      <c r="KF19" s="869">
        <f>IF($C19="","",IFERROR(SUMPRODUCT(('ANALYSE - ERP =&gt; SOUS-SEGMENT'!$C$8:$C$1000=$C19)*'ANALYSE - ERP =&gt; SOUS-SEGMENT'!$Q$8:$Q$1000*'ANALYSE - ERP =&gt; SOUS-SEGMENT'!$IE$8:$IE$1000*'ANALYSE - ERP =&gt; SOUS-SEGMENT'!$KF$8:$KF$1000)/SUMPRODUCT(('ANALYSE - ERP =&gt; SOUS-SEGMENT'!$C$8:$C$1000=$C19)*'ANALYSE - ERP =&gt; SOUS-SEGMENT'!$Q$8:$Q$1000*'ANALYSE - ERP =&gt; SOUS-SEGMENT'!$IE$8:$IE$1000),""))</f>
        <v>3.9000974513540902</v>
      </c>
      <c r="KG19" s="924" t="s">
        <v>5710</v>
      </c>
      <c r="KH19" s="924" t="s">
        <v>5711</v>
      </c>
      <c r="KI19" s="924" t="s">
        <v>5712</v>
      </c>
      <c r="KJ19" s="924" t="s">
        <v>5713</v>
      </c>
    </row>
    <row r="20" spans="1:296" ht="120" customHeight="1">
      <c r="A20" s="951">
        <f>IF($C20="","",ROWS($A$8:A20))</f>
        <v>13</v>
      </c>
      <c r="B20" s="952" t="s">
        <v>3662</v>
      </c>
      <c r="C20" s="952" t="s">
        <v>1240</v>
      </c>
      <c r="D20" s="952" t="s">
        <v>5714</v>
      </c>
      <c r="E20" s="277" t="s">
        <v>3795</v>
      </c>
      <c r="F20" s="646" t="s">
        <v>300</v>
      </c>
      <c r="G20" s="646" t="s">
        <v>300</v>
      </c>
      <c r="H20" s="646" t="s">
        <v>2109</v>
      </c>
      <c r="I20" s="646" t="s">
        <v>5715</v>
      </c>
      <c r="J20" s="646" t="s">
        <v>5716</v>
      </c>
      <c r="K20" s="646" t="s">
        <v>2097</v>
      </c>
      <c r="L20" s="646" t="s">
        <v>2109</v>
      </c>
      <c r="M20" s="646" t="s">
        <v>2603</v>
      </c>
      <c r="N20" s="646" t="s">
        <v>2099</v>
      </c>
      <c r="O20" s="646" t="s">
        <v>2616</v>
      </c>
      <c r="P20" s="646"/>
      <c r="Q20" s="270">
        <f>IF($C20="","",IF(SUMIFS('ANALYSE - ERP =&gt; SOUS-SEGMENT'!$Q$8:$Q$1000,'ANALYSE - ERP =&gt; SOUS-SEGMENT'!$C$8:$C$1000,$C20)&gt;0,1,0))</f>
        <v>1</v>
      </c>
      <c r="R20" s="278">
        <f>IF($C20="","",IFERROR(SUMPRODUCT(('ANALYSE - ERP =&gt; SOUS-SEGMENT'!$C$8:$C$1000=$C20)*'ANALYSE - ERP =&gt; SOUS-SEGMENT'!$Q$8:$Q$1000*'ANALYSE - ERP =&gt; SOUS-SEGMENT'!$AF$8:$AF$1000*'ANALYSE - ERP =&gt; SOUS-SEGMENT'!$R$8:$R$1000)/SUMPRODUCT(('ANALYSE - ERP =&gt; SOUS-SEGMENT'!$C$8:$C$1000=$C20)*'ANALYSE - ERP =&gt; SOUS-SEGMENT'!$Q$8:$Q$1000*'ANALYSE - ERP =&gt; SOUS-SEGMENT'!$AF$8:$AF$1000),""))</f>
        <v>11150.684931506848</v>
      </c>
      <c r="S20" s="279">
        <f>IF($C20="","",SUMPRODUCT(('ANALYSE - ERP =&gt; SOUS-SEGMENT'!$C$8:$C$1000=$C20)*'ANALYSE - ERP =&gt; SOUS-SEGMENT'!$Q$8:$Q$1000*'ANALYSE - ERP =&gt; SOUS-SEGMENT'!$S$8:$S$1000))</f>
        <v>265</v>
      </c>
      <c r="T20" s="279">
        <f>IF($C20="","",SUMPRODUCT(('ANALYSE - ERP =&gt; SOUS-SEGMENT'!$C$8:$C$1000=$C20)*'ANALYSE - ERP =&gt; SOUS-SEGMENT'!$Q$8:$Q$1000*'ANALYSE - ERP =&gt; SOUS-SEGMENT'!$T$8:$T$1000))</f>
        <v>272</v>
      </c>
      <c r="U20" s="279">
        <f>IF($C20="","",SUMPRODUCT(('ANALYSE - ERP =&gt; SOUS-SEGMENT'!$C$8:$C$1000=$C20)*'ANALYSE - ERP =&gt; SOUS-SEGMENT'!$Q$8:$Q$1000*'ANALYSE - ERP =&gt; SOUS-SEGMENT'!$U$8:$U$1000))</f>
        <v>279</v>
      </c>
      <c r="V20" s="279">
        <f>IF($C20="","",SUMPRODUCT(('ANALYSE - ERP =&gt; SOUS-SEGMENT'!$C$8:$C$1000=$C20)*'ANALYSE - ERP =&gt; SOUS-SEGMENT'!$Q$8:$Q$1000*'ANALYSE - ERP =&gt; SOUS-SEGMENT'!$V$8:$V$1000))</f>
        <v>285</v>
      </c>
      <c r="W20" s="279">
        <f>IF($C20="","",SUMPRODUCT(('ANALYSE - ERP =&gt; SOUS-SEGMENT'!$C$8:$C$1000=$C20)*'ANALYSE - ERP =&gt; SOUS-SEGMENT'!$Q$8:$Q$1000*'ANALYSE - ERP =&gt; SOUS-SEGMENT'!$W$8:$W$1000))</f>
        <v>286</v>
      </c>
      <c r="X20" s="279">
        <f>IF($C20="","",SUMPRODUCT(('ANALYSE - ERP =&gt; SOUS-SEGMENT'!$C$8:$C$1000=$C20)*'ANALYSE - ERP =&gt; SOUS-SEGMENT'!$Q$8:$Q$1000*'ANALYSE - ERP =&gt; SOUS-SEGMENT'!$X$8:$X$1000))</f>
        <v>287</v>
      </c>
      <c r="Y20" s="279">
        <f>IF($C20="","",SUMPRODUCT(('ANALYSE - ERP =&gt; SOUS-SEGMENT'!$C$8:$C$1000=$C20)*'ANALYSE - ERP =&gt; SOUS-SEGMENT'!$Q$8:$Q$1000*'ANALYSE - ERP =&gt; SOUS-SEGMENT'!$Y$8:$Y$1000))</f>
        <v>288</v>
      </c>
      <c r="Z20" s="279">
        <f>IF($C20="","",SUMPRODUCT(('ANALYSE - ERP =&gt; SOUS-SEGMENT'!$C$8:$C$1000=$C20)*'ANALYSE - ERP =&gt; SOUS-SEGMENT'!$Q$8:$Q$1000*'ANALYSE - ERP =&gt; SOUS-SEGMENT'!$Z$8:$Z$1000))</f>
        <v>290</v>
      </c>
      <c r="AA20" s="279">
        <f>IF($C20="","",SUMPRODUCT(('ANALYSE - ERP =&gt; SOUS-SEGMENT'!$C$8:$C$1000=$C20)*'ANALYSE - ERP =&gt; SOUS-SEGMENT'!$Q$8:$Q$1000*'ANALYSE - ERP =&gt; SOUS-SEGMENT'!$AA$8:$AA$1000))</f>
        <v>281</v>
      </c>
      <c r="AB20" s="279">
        <f>IF($C20="","",SUMPRODUCT(('ANALYSE - ERP =&gt; SOUS-SEGMENT'!$C$8:$C$1000=$C20)*'ANALYSE - ERP =&gt; SOUS-SEGMENT'!$Q$8:$Q$1000*'ANALYSE - ERP =&gt; SOUS-SEGMENT'!$AB$8:$AB$1000))</f>
        <v>283</v>
      </c>
      <c r="AC20" s="279">
        <f>IF($C20="","",SUMPRODUCT(('ANALYSE - ERP =&gt; SOUS-SEGMENT'!$C$8:$C$1000=$C20)*'ANALYSE - ERP =&gt; SOUS-SEGMENT'!$Q$8:$Q$1000*'ANALYSE - ERP =&gt; SOUS-SEGMENT'!$AC$8:$AC$1000))</f>
        <v>285</v>
      </c>
      <c r="AD20" s="279">
        <f>IF($C20="","",SUMPRODUCT(('ANALYSE - ERP =&gt; SOUS-SEGMENT'!$C$8:$C$1000=$C20)*'ANALYSE - ERP =&gt; SOUS-SEGMENT'!$Q$8:$Q$1000*'ANALYSE - ERP =&gt; SOUS-SEGMENT'!$AD$8:$AD$1000))</f>
        <v>288</v>
      </c>
      <c r="AE20" s="279">
        <f>IF($C20="","",SUMPRODUCT(('ANALYSE - ERP =&gt; SOUS-SEGMENT'!$C$8:$C$1000=$C20)*'ANALYSE - ERP =&gt; SOUS-SEGMENT'!$Q$8:$Q$1000*'ANALYSE - ERP =&gt; SOUS-SEGMENT'!$AE$8:$AE$1000))</f>
        <v>290</v>
      </c>
      <c r="AF20" s="279">
        <f>IF($C20="","",SUMPRODUCT(('ANALYSE - ERP =&gt; SOUS-SEGMENT'!$C$8:$C$1000=$C20)*'ANALYSE - ERP =&gt; SOUS-SEGMENT'!$Q$8:$Q$1000*'ANALYSE - ERP =&gt; SOUS-SEGMENT'!$AF$8:$AF$1000))</f>
        <v>292</v>
      </c>
      <c r="AG20" s="279">
        <f>IF($C20="","",SUMPRODUCT(('ANALYSE - ERP =&gt; SOUS-SEGMENT'!$C$8:$C$1000=$C20)*'ANALYSE - ERP =&gt; SOUS-SEGMENT'!$Q$8:$Q$1000*'ANALYSE - ERP =&gt; SOUS-SEGMENT'!$AG$8:$AG$1000))</f>
        <v>293</v>
      </c>
      <c r="AH20" s="279">
        <f>IF($C20="","",SUMPRODUCT(('ANALYSE - ERP =&gt; SOUS-SEGMENT'!$C$8:$C$1000=$C20)*'ANALYSE - ERP =&gt; SOUS-SEGMENT'!$Q$8:$Q$1000*'ANALYSE - ERP =&gt; SOUS-SEGMENT'!$AH$8:$AH$1000))</f>
        <v>294</v>
      </c>
      <c r="AI20" s="279">
        <f>IF($C20="","",SUMPRODUCT(('ANALYSE - ERP =&gt; SOUS-SEGMENT'!$C$8:$C$1000=$C20)*'ANALYSE - ERP =&gt; SOUS-SEGMENT'!$Q$8:$Q$1000*'ANALYSE - ERP =&gt; SOUS-SEGMENT'!$AI$8:$AI$1000))</f>
        <v>295</v>
      </c>
      <c r="AJ20" s="279">
        <f>IF($C20="","",SUMPRODUCT(('ANALYSE - ERP =&gt; SOUS-SEGMENT'!$C$8:$C$1000=$C20)*'ANALYSE - ERP =&gt; SOUS-SEGMENT'!$Q$8:$Q$1000*'ANALYSE - ERP =&gt; SOUS-SEGMENT'!$AJ$8:$AJ$1000))</f>
        <v>297</v>
      </c>
      <c r="AK20" s="279">
        <f>IF($C20="","",SUMPRODUCT(('ANALYSE - ERP =&gt; SOUS-SEGMENT'!$C$8:$C$1000=$C20)*'ANALYSE - ERP =&gt; SOUS-SEGMENT'!$Q$8:$Q$1000*'ANALYSE - ERP =&gt; SOUS-SEGMENT'!$AK$8:$AK$1000))</f>
        <v>298</v>
      </c>
      <c r="AL20" s="646" t="s">
        <v>2124</v>
      </c>
      <c r="AM20" s="646" t="s">
        <v>5717</v>
      </c>
      <c r="AN20" s="646" t="s">
        <v>2148</v>
      </c>
      <c r="AO20" s="657"/>
      <c r="AP20" s="278">
        <f>IF($C20="","",IFERROR(SUMPRODUCT(('ANALYSE - ERP =&gt; SOUS-SEGMENT'!$C$8:$C$1000=$C20)*'ANALYSE - ERP =&gt; SOUS-SEGMENT'!$Q$8:$Q$1000*'ANALYSE - ERP =&gt; SOUS-SEGMENT'!$AF$8:$AF$1000*'ANALYSE - ERP =&gt; SOUS-SEGMENT'!$AP$8:$AP$1000)/SUMPRODUCT(('ANALYSE - ERP =&gt; SOUS-SEGMENT'!$C$8:$C$1000=$C20)*'ANALYSE - ERP =&gt; SOUS-SEGMENT'!$Q$8:$Q$1000*'ANALYSE - ERP =&gt; SOUS-SEGMENT'!$AF$8:$AF$1000),""))</f>
        <v>2351.3698630136987</v>
      </c>
      <c r="AQ20" s="278">
        <f>IF($C20="","",IFERROR(SUMPRODUCT(('ANALYSE - ERP =&gt; SOUS-SEGMENT'!$C$8:$C$1000=$C20)*'ANALYSE - ERP =&gt; SOUS-SEGMENT'!$Q$8:$Q$1000*'ANALYSE - ERP =&gt; SOUS-SEGMENT'!$AF$8:$AF$1000*'ANALYSE - ERP =&gt; SOUS-SEGMENT'!$AQ$8:$AQ$1000)/SUMPRODUCT(('ANALYSE - ERP =&gt; SOUS-SEGMENT'!$C$8:$C$1000=$C20)*'ANALYSE - ERP =&gt; SOUS-SEGMENT'!$Q$8:$Q$1000*'ANALYSE - ERP =&gt; SOUS-SEGMENT'!$AF$8:$AF$1000),""))</f>
        <v>1998.6643835616439</v>
      </c>
      <c r="AR20" s="278">
        <f>IF($C20="","",IFERROR(SUMPRODUCT(('ANALYSE - ERP =&gt; SOUS-SEGMENT'!$C$8:$C$1000=$C20)*'ANALYSE - ERP =&gt; SOUS-SEGMENT'!$Q$8:$Q$1000*'ANALYSE - ERP =&gt; SOUS-SEGMENT'!$AF$8:$AF$1000*'ANALYSE - ERP =&gt; SOUS-SEGMENT'!$AR$8:$AR$1000)/SUMPRODUCT(('ANALYSE - ERP =&gt; SOUS-SEGMENT'!$C$8:$C$1000=$C20)*'ANALYSE - ERP =&gt; SOUS-SEGMENT'!$Q$8:$Q$1000*'ANALYSE - ERP =&gt; SOUS-SEGMENT'!$AF$8:$AF$1000),""))</f>
        <v>235.13698630136986</v>
      </c>
      <c r="AS20" s="278">
        <f>IF($C20="","",IFERROR(SUMPRODUCT(('ANALYSE - ERP =&gt; SOUS-SEGMENT'!$C$8:$C$1000=$C20)*'ANALYSE - ERP =&gt; SOUS-SEGMENT'!$Q$8:$Q$1000*'ANALYSE - ERP =&gt; SOUS-SEGMENT'!$AF$8:$AF$1000*'ANALYSE - ERP =&gt; SOUS-SEGMENT'!$AS$8:$AS$1000)/SUMPRODUCT(('ANALYSE - ERP =&gt; SOUS-SEGMENT'!$C$8:$C$1000=$C20)*'ANALYSE - ERP =&gt; SOUS-SEGMENT'!$Q$8:$Q$1000*'ANALYSE - ERP =&gt; SOUS-SEGMENT'!$AF$8:$AF$1000),""))</f>
        <v>117.56849315068493</v>
      </c>
      <c r="AT20" s="657"/>
      <c r="AU20" s="646" t="s">
        <v>3799</v>
      </c>
      <c r="AV20" s="646" t="s">
        <v>5718</v>
      </c>
      <c r="AW20" s="646" t="s">
        <v>5719</v>
      </c>
      <c r="AX20" s="646" t="s">
        <v>2609</v>
      </c>
      <c r="AY20" s="657"/>
      <c r="AZ20" s="947">
        <f>IF($C20="","",IFERROR(SUMPRODUCT(('ANALYSE - ERP =&gt; SOUS-SEGMENT'!$C$8:$C$1000=$C20)*'ANALYSE - ERP =&gt; SOUS-SEGMENT'!$Q$8:$Q$1000*'ANALYSE - ERP =&gt; SOUS-SEGMENT'!$AF$8:$AF$1000*'ANALYSE - ERP =&gt; SOUS-SEGMENT'!$AZ$8:$AZ$1000)/SUMPRODUCT(('ANALYSE - ERP =&gt; SOUS-SEGMENT'!$C$8:$C$1000=$C20)*'ANALYSE - ERP =&gt; SOUS-SEGMENT'!$Q$8:$Q$1000*'ANALYSE - ERP =&gt; SOUS-SEGMENT'!$AF$8:$AF$1000),""))</f>
        <v>53.027397260273972</v>
      </c>
      <c r="BA20" s="947">
        <f>IF($C20="","",IFERROR(SUMPRODUCT(('ANALYSE - ERP =&gt; SOUS-SEGMENT'!$C$8:$C$1000=$C20)*'ANALYSE - ERP =&gt; SOUS-SEGMENT'!$Q$8:$Q$1000*'ANALYSE - ERP =&gt; SOUS-SEGMENT'!$AF$8:$AF$1000*'ANALYSE - ERP =&gt; SOUS-SEGMENT'!$BA$8:$BA$1000)/SUMPRODUCT(('ANALYSE - ERP =&gt; SOUS-SEGMENT'!$C$8:$C$1000=$C20)*'ANALYSE - ERP =&gt; SOUS-SEGMENT'!$Q$8:$Q$1000*'ANALYSE - ERP =&gt; SOUS-SEGMENT'!$AF$8:$AF$1000),""))</f>
        <v>4.5753424657534243</v>
      </c>
      <c r="BB20" s="947">
        <f>IF($C20="","",IFERROR(SUMPRODUCT(('ANALYSE - ERP =&gt; SOUS-SEGMENT'!$C$8:$C$1000=$C20)*'ANALYSE - ERP =&gt; SOUS-SEGMENT'!$Q$8:$Q$1000*'ANALYSE - ERP =&gt; SOUS-SEGMENT'!$AF$8:$AF$1000*'ANALYSE - ERP =&gt; SOUS-SEGMENT'!$BB$8:$BB$1000)/SUMPRODUCT(('ANALYSE - ERP =&gt; SOUS-SEGMENT'!$C$8:$C$1000=$C20)*'ANALYSE - ERP =&gt; SOUS-SEGMENT'!$Q$8:$Q$1000*'ANALYSE - ERP =&gt; SOUS-SEGMENT'!$AF$8:$AF$1000),""))</f>
        <v>11.363013698630137</v>
      </c>
      <c r="BC20" s="947">
        <f>IF($C20="","",IFERROR(SUMPRODUCT(('ANALYSE - ERP =&gt; SOUS-SEGMENT'!$C$8:$C$1000=$C20)*'ANALYSE - ERP =&gt; SOUS-SEGMENT'!$Q$8:$Q$1000*'ANALYSE - ERP =&gt; SOUS-SEGMENT'!$AF$8:$AF$1000*'ANALYSE - ERP =&gt; SOUS-SEGMENT'!$BC$8:$BC$1000)/SUMPRODUCT(('ANALYSE - ERP =&gt; SOUS-SEGMENT'!$C$8:$C$1000=$C20)*'ANALYSE - ERP =&gt; SOUS-SEGMENT'!$Q$8:$Q$1000*'ANALYSE - ERP =&gt; SOUS-SEGMENT'!$AF$8:$AF$1000),""))</f>
        <v>50.239726027397261</v>
      </c>
      <c r="BD20" s="826">
        <f t="shared" si="1"/>
        <v>34808</v>
      </c>
      <c r="BE20" s="283">
        <f>IF($C20="","",SUMPRODUCT(('ANALYSE - ERP =&gt; SOUS-SEGMENT'!$C$8:$C$1000=$C20)*'ANALYSE - ERP =&gt; SOUS-SEGMENT'!$Q$8:$Q$1000*'ANALYSE - ERP =&gt; SOUS-SEGMENT'!$BE$8:$BE$1000))</f>
        <v>15484</v>
      </c>
      <c r="BF20" s="283">
        <f>IF($C20="","",SUMPRODUCT(('ANALYSE - ERP =&gt; SOUS-SEGMENT'!$C$8:$C$1000=$C20)*'ANALYSE - ERP =&gt; SOUS-SEGMENT'!$Q$8:$Q$1000*'ANALYSE - ERP =&gt; SOUS-SEGMENT'!$BF$8:$BF$1000))</f>
        <v>1336</v>
      </c>
      <c r="BG20" s="283">
        <f>IF($C20="","",SUMPRODUCT(('ANALYSE - ERP =&gt; SOUS-SEGMENT'!$C$8:$C$1000=$C20)*'ANALYSE - ERP =&gt; SOUS-SEGMENT'!$Q$8:$Q$1000*'ANALYSE - ERP =&gt; SOUS-SEGMENT'!$BG$8:$BG$1000))</f>
        <v>3318</v>
      </c>
      <c r="BH20" s="283">
        <f>IF($C20="","",SUMPRODUCT(('ANALYSE - ERP =&gt; SOUS-SEGMENT'!$C$8:$C$1000=$C20)*'ANALYSE - ERP =&gt; SOUS-SEGMENT'!$Q$8:$Q$1000*'ANALYSE - ERP =&gt; SOUS-SEGMENT'!$BH$8:$BH$1000))</f>
        <v>14670</v>
      </c>
      <c r="BI20" s="826">
        <f t="shared" si="2"/>
        <v>35532</v>
      </c>
      <c r="BJ20" s="283">
        <f>IF($C20="","",SUMPRODUCT(('ANALYSE - ERP =&gt; SOUS-SEGMENT'!$C$8:$C$1000=$C20)*'ANALYSE - ERP =&gt; SOUS-SEGMENT'!$Q$8:$Q$1000*'ANALYSE - ERP =&gt; SOUS-SEGMENT'!$BJ$8:$BJ$1000))</f>
        <v>15806</v>
      </c>
      <c r="BK20" s="283">
        <f>IF($C20="","",SUMPRODUCT(('ANALYSE - ERP =&gt; SOUS-SEGMENT'!$C$8:$C$1000=$C20)*'ANALYSE - ERP =&gt; SOUS-SEGMENT'!$Q$8:$Q$1000*'ANALYSE - ERP =&gt; SOUS-SEGMENT'!$BK$8:$BK$1000))</f>
        <v>1364</v>
      </c>
      <c r="BL20" s="283">
        <f>IF($C20="","",SUMPRODUCT(('ANALYSE - ERP =&gt; SOUS-SEGMENT'!$C$8:$C$1000=$C20)*'ANALYSE - ERP =&gt; SOUS-SEGMENT'!$Q$8:$Q$1000*'ANALYSE - ERP =&gt; SOUS-SEGMENT'!$BL$8:$BL$1000))</f>
        <v>3387</v>
      </c>
      <c r="BM20" s="283">
        <f>IF($C20="","",SUMPRODUCT(('ANALYSE - ERP =&gt; SOUS-SEGMENT'!$C$8:$C$1000=$C20)*'ANALYSE - ERP =&gt; SOUS-SEGMENT'!$Q$8:$Q$1000*'ANALYSE - ERP =&gt; SOUS-SEGMENT'!$BM$8:$BM$1000))</f>
        <v>14975</v>
      </c>
      <c r="BN20" s="657"/>
      <c r="BO20" s="305">
        <f t="shared" si="3"/>
        <v>0.16</v>
      </c>
      <c r="BP20" s="305">
        <f t="shared" si="4"/>
        <v>0.56000000000000005</v>
      </c>
      <c r="BQ20" s="305">
        <f t="shared" si="5"/>
        <v>0.23</v>
      </c>
      <c r="BR20" s="581">
        <f t="shared" si="6"/>
        <v>0.05</v>
      </c>
      <c r="BS20" s="706">
        <f t="shared" si="7"/>
        <v>0.14000000000000001</v>
      </c>
      <c r="BT20" s="305">
        <f t="shared" si="8"/>
        <v>0.56000000000000005</v>
      </c>
      <c r="BU20" s="305">
        <f t="shared" si="9"/>
        <v>0.27000000000000007</v>
      </c>
      <c r="BV20" s="581">
        <f t="shared" si="10"/>
        <v>0.03</v>
      </c>
      <c r="BW20" s="713">
        <f t="shared" si="11"/>
        <v>0.25</v>
      </c>
      <c r="BX20" s="306">
        <f t="shared" si="12"/>
        <v>0.65</v>
      </c>
      <c r="BY20" s="590">
        <f t="shared" si="13"/>
        <v>9.9999999999999992E-2</v>
      </c>
      <c r="BZ20" s="713">
        <f t="shared" si="14"/>
        <v>0.2</v>
      </c>
      <c r="CA20" s="306">
        <f t="shared" si="15"/>
        <v>0.68</v>
      </c>
      <c r="CB20" s="590">
        <f t="shared" si="16"/>
        <v>0.12000000000000001</v>
      </c>
      <c r="CC20" s="706">
        <f t="shared" si="17"/>
        <v>0.08</v>
      </c>
      <c r="CD20" s="305">
        <f t="shared" si="18"/>
        <v>0.5</v>
      </c>
      <c r="CE20" s="305">
        <f t="shared" si="19"/>
        <v>0.25</v>
      </c>
      <c r="CF20" s="581">
        <f t="shared" si="20"/>
        <v>0.17</v>
      </c>
      <c r="CG20" s="706">
        <f t="shared" si="21"/>
        <v>5.9999999999999991E-2</v>
      </c>
      <c r="CH20" s="305">
        <f t="shared" si="22"/>
        <v>0.5</v>
      </c>
      <c r="CI20" s="305">
        <f t="shared" si="23"/>
        <v>0.28000000000000003</v>
      </c>
      <c r="CJ20" s="581">
        <f t="shared" si="24"/>
        <v>0.15999999999999998</v>
      </c>
      <c r="CK20" s="719">
        <f t="shared" si="25"/>
        <v>0.25</v>
      </c>
      <c r="CL20" s="307">
        <f t="shared" si="26"/>
        <v>0.55000000000000004</v>
      </c>
      <c r="CM20" s="723">
        <f t="shared" si="27"/>
        <v>0.2</v>
      </c>
      <c r="CN20" s="719">
        <f t="shared" si="28"/>
        <v>0.17000000000000004</v>
      </c>
      <c r="CO20" s="307">
        <f t="shared" si="29"/>
        <v>0.57999999999999996</v>
      </c>
      <c r="CP20" s="723">
        <f t="shared" si="30"/>
        <v>0.25</v>
      </c>
      <c r="CQ20" s="657"/>
      <c r="CR20" s="804">
        <f>IF($C20="","",IFERROR(SUMPRODUCT(('ANALYSE - ERP =&gt; SOUS-SEGMENT'!$C$8:$C$1000=$C20)*'ANALYSE - ERP =&gt; SOUS-SEGMENT'!$Q$8:$Q$1000*'ANALYSE - ERP =&gt; SOUS-SEGMENT'!$DH$8:$DH$1000*'ANALYSE - ERP =&gt; SOUS-SEGMENT'!$CR$8:$CR$1000)/SUMPRODUCT(('ANALYSE - ERP =&gt; SOUS-SEGMENT'!$C$8:$C$1000=$C20)*'ANALYSE - ERP =&gt; SOUS-SEGMENT'!$Q$8:$Q$1000*'ANALYSE - ERP =&gt; SOUS-SEGMENT'!$DH$8:$DH$1000),""))</f>
        <v>13</v>
      </c>
      <c r="CS20" s="805">
        <f>IF($C20="","",IFERROR(SUMPRODUCT(('ANALYSE - ERP =&gt; SOUS-SEGMENT'!$C$8:$C$1000=$C20)*'ANALYSE - ERP =&gt; SOUS-SEGMENT'!$Q$8:$Q$1000*'ANALYSE - ERP =&gt; SOUS-SEGMENT'!$DI$8:$DI$1000*'ANALYSE - ERP =&gt; SOUS-SEGMENT'!$CS$8:$CS$1000)/SUMPRODUCT(('ANALYSE - ERP =&gt; SOUS-SEGMENT'!$C$8:$C$1000=$C20)*'ANALYSE - ERP =&gt; SOUS-SEGMENT'!$Q$8:$Q$1000*'ANALYSE - ERP =&gt; SOUS-SEGMENT'!$DI$8:$DI$1000),""))</f>
        <v>13</v>
      </c>
      <c r="CT20" s="805">
        <f>IF($C20="","",IFERROR(SUMPRODUCT(('ANALYSE - ERP =&gt; SOUS-SEGMENT'!$C$8:$C$1000=$C20)*'ANALYSE - ERP =&gt; SOUS-SEGMENT'!$Q$8:$Q$1000*'ANALYSE - ERP =&gt; SOUS-SEGMENT'!$DJ$8:$DJ$1000*'ANALYSE - ERP =&gt; SOUS-SEGMENT'!$CT$8:$CT$1000)/SUMPRODUCT(('ANALYSE - ERP =&gt; SOUS-SEGMENT'!$C$8:$C$1000=$C20)*'ANALYSE - ERP =&gt; SOUS-SEGMENT'!$Q$8:$Q$1000*'ANALYSE - ERP =&gt; SOUS-SEGMENT'!$DJ$8:$DJ$1000),""))</f>
        <v>9.9999999999999982</v>
      </c>
      <c r="CU20" s="806">
        <f>IF($C20="","",IFERROR(SUMPRODUCT(('ANALYSE - ERP =&gt; SOUS-SEGMENT'!$C$8:$C$1000=$C20)*'ANALYSE - ERP =&gt; SOUS-SEGMENT'!$Q$8:$Q$1000*'ANALYSE - ERP =&gt; SOUS-SEGMENT'!$DK$8:$DK$1000*'ANALYSE - ERP =&gt; SOUS-SEGMENT'!$CU$8:$CU$1000)/SUMPRODUCT(('ANALYSE - ERP =&gt; SOUS-SEGMENT'!$C$8:$C$1000=$C20)*'ANALYSE - ERP =&gt; SOUS-SEGMENT'!$Q$8:$Q$1000*'ANALYSE - ERP =&gt; SOUS-SEGMENT'!$DK$8:$DK$1000),""))</f>
        <v>11.999999999999998</v>
      </c>
      <c r="CV20" s="804">
        <f>IF($C20="","",IFERROR(SUMPRODUCT(('ANALYSE - ERP =&gt; SOUS-SEGMENT'!$C$8:$C$1000=$C20)*'ANALYSE - ERP =&gt; SOUS-SEGMENT'!$Q$8:$Q$1000*'ANALYSE - ERP =&gt; SOUS-SEGMENT'!$DS$8:$DS$1000*'ANALYSE - ERP =&gt; SOUS-SEGMENT'!$CV$8:$CV$1000)/SUMPRODUCT(('ANALYSE - ERP =&gt; SOUS-SEGMENT'!$C$8:$C$1000=$C20)*'ANALYSE - ERP =&gt; SOUS-SEGMENT'!$Q$8:$Q$1000*'ANALYSE - ERP =&gt; SOUS-SEGMENT'!$DS$8:$DS$1000),""))</f>
        <v>13</v>
      </c>
      <c r="CW20" s="805">
        <f>IF($C20="","",IFERROR(SUMPRODUCT(('ANALYSE - ERP =&gt; SOUS-SEGMENT'!$C$8:$C$1000=$C20)*'ANALYSE - ERP =&gt; SOUS-SEGMENT'!$Q$8:$Q$1000*'ANALYSE - ERP =&gt; SOUS-SEGMENT'!$DT$8:$DT$1000*'ANALYSE - ERP =&gt; SOUS-SEGMENT'!$CW$8:$CW$1000)/SUMPRODUCT(('ANALYSE - ERP =&gt; SOUS-SEGMENT'!$C$8:$C$1000=$C20)*'ANALYSE - ERP =&gt; SOUS-SEGMENT'!$Q$8:$Q$1000*'ANALYSE - ERP =&gt; SOUS-SEGMENT'!$DT$8:$DT$1000),""))</f>
        <v>12</v>
      </c>
      <c r="CX20" s="806">
        <f>IF($C20="","",IFERROR(SUMPRODUCT(('ANALYSE - ERP =&gt; SOUS-SEGMENT'!$C$8:$C$1000=$C20)*'ANALYSE - ERP =&gt; SOUS-SEGMENT'!$Q$8:$Q$1000*'ANALYSE - ERP =&gt; SOUS-SEGMENT'!$DU$8:$DU$1000*'ANALYSE - ERP =&gt; SOUS-SEGMENT'!$CX$8:$CX$1000)/SUMPRODUCT(('ANALYSE - ERP =&gt; SOUS-SEGMENT'!$C$8:$C$1000=$C20)*'ANALYSE - ERP =&gt; SOUS-SEGMENT'!$Q$8:$Q$1000*'ANALYSE - ERP =&gt; SOUS-SEGMENT'!$DU$8:$DU$1000),""))</f>
        <v>9.0000000000000018</v>
      </c>
      <c r="CY20" s="804">
        <f>IF($C20="","",IFERROR(SUMPRODUCT(('ANALYSE - ERP =&gt; SOUS-SEGMENT'!$C$8:$C$1000=$C20)*'ANALYSE - ERP =&gt; SOUS-SEGMENT'!$Q$8:$Q$1000*'ANALYSE - ERP =&gt; SOUS-SEGMENT'!$EB$8:$EB$1000*'ANALYSE - ERP =&gt; SOUS-SEGMENT'!$CY$8:$CY$1000)/SUMPRODUCT(('ANALYSE - ERP =&gt; SOUS-SEGMENT'!$C$8:$C$1000=$C20)*'ANALYSE - ERP =&gt; SOUS-SEGMENT'!$Q$8:$Q$1000*'ANALYSE - ERP =&gt; SOUS-SEGMENT'!$EB$8:$EB$1000),""))</f>
        <v>11</v>
      </c>
      <c r="CZ20" s="805">
        <f>IF($C20="","",IFERROR(SUMPRODUCT(('ANALYSE - ERP =&gt; SOUS-SEGMENT'!$C$8:$C$1000=$C20)*'ANALYSE - ERP =&gt; SOUS-SEGMENT'!$Q$8:$Q$1000*'ANALYSE - ERP =&gt; SOUS-SEGMENT'!$EC$8:$EC$1000*'ANALYSE - ERP =&gt; SOUS-SEGMENT'!$CZ$8:$CZ$1000)/SUMPRODUCT(('ANALYSE - ERP =&gt; SOUS-SEGMENT'!$C$8:$C$1000=$C20)*'ANALYSE - ERP =&gt; SOUS-SEGMENT'!$Q$8:$Q$1000*'ANALYSE - ERP =&gt; SOUS-SEGMENT'!$EC$8:$EC$1000),""))</f>
        <v>13</v>
      </c>
      <c r="DA20" s="805">
        <f>IF($C20="","",IFERROR(SUMPRODUCT(('ANALYSE - ERP =&gt; SOUS-SEGMENT'!$C$8:$C$1000=$C20)*'ANALYSE - ERP =&gt; SOUS-SEGMENT'!$Q$8:$Q$1000*'ANALYSE - ERP =&gt; SOUS-SEGMENT'!$ED$8:$ED$1000*'ANALYSE - ERP =&gt; SOUS-SEGMENT'!$DA$8:$DA$1000)/SUMPRODUCT(('ANALYSE - ERP =&gt; SOUS-SEGMENT'!$C$8:$C$1000=$C20)*'ANALYSE - ERP =&gt; SOUS-SEGMENT'!$Q$8:$Q$1000*'ANALYSE - ERP =&gt; SOUS-SEGMENT'!$ED$8:$ED$1000),""))</f>
        <v>9</v>
      </c>
      <c r="DB20" s="806">
        <f>IF($C20="","",IFERROR(SUMPRODUCT(('ANALYSE - ERP =&gt; SOUS-SEGMENT'!$C$8:$C$1000=$C20)*'ANALYSE - ERP =&gt; SOUS-SEGMENT'!$Q$8:$Q$1000*'ANALYSE - ERP =&gt; SOUS-SEGMENT'!$EE$8:$EE$1000*'ANALYSE - ERP =&gt; SOUS-SEGMENT'!$DB$8:$DB$1000)/SUMPRODUCT(('ANALYSE - ERP =&gt; SOUS-SEGMENT'!$C$8:$C$1000=$C20)*'ANALYSE - ERP =&gt; SOUS-SEGMENT'!$Q$8:$Q$1000*'ANALYSE - ERP =&gt; SOUS-SEGMENT'!$EE$8:$EE$1000),""))</f>
        <v>11</v>
      </c>
      <c r="DC20" s="804">
        <f>IF($C20="","",IFERROR(SUMPRODUCT(('ANALYSE - ERP =&gt; SOUS-SEGMENT'!$C$8:$C$1000=$C20)*'ANALYSE - ERP =&gt; SOUS-SEGMENT'!$Q$8:$Q$1000*'ANALYSE - ERP =&gt; SOUS-SEGMENT'!$EM$8:$EM$1000*'ANALYSE - ERP =&gt; SOUS-SEGMENT'!$DC$8:$DC$1000)/SUMPRODUCT(('ANALYSE - ERP =&gt; SOUS-SEGMENT'!$C$8:$C$1000=$C20)*'ANALYSE - ERP =&gt; SOUS-SEGMENT'!$Q$8:$Q$1000*'ANALYSE - ERP =&gt; SOUS-SEGMENT'!$EM$8:$EM$1000),""))</f>
        <v>12</v>
      </c>
      <c r="DD20" s="805">
        <f>IF($C20="","",IFERROR(SUMPRODUCT(('ANALYSE - ERP =&gt; SOUS-SEGMENT'!$C$8:$C$1000=$C20)*'ANALYSE - ERP =&gt; SOUS-SEGMENT'!$Q$8:$Q$1000*'ANALYSE - ERP =&gt; SOUS-SEGMENT'!$EN$8:$EN$1000*'ANALYSE - ERP =&gt; SOUS-SEGMENT'!$DD$8:$DD$1000)/SUMPRODUCT(('ANALYSE - ERP =&gt; SOUS-SEGMENT'!$C$8:$C$1000=$C20)*'ANALYSE - ERP =&gt; SOUS-SEGMENT'!$Q$8:$Q$1000*'ANALYSE - ERP =&gt; SOUS-SEGMENT'!$EN$8:$EN$1000),""))</f>
        <v>13</v>
      </c>
      <c r="DE20" s="806">
        <f>IF($C20="","",IFERROR(SUMPRODUCT(('ANALYSE - ERP =&gt; SOUS-SEGMENT'!$C$8:$C$1000=$C20)*'ANALYSE - ERP =&gt; SOUS-SEGMENT'!$Q$8:$Q$1000*'ANALYSE - ERP =&gt; SOUS-SEGMENT'!$EO$8:$EO$1000*'ANALYSE - ERP =&gt; SOUS-SEGMENT'!$DE$8:$DE$1000)/SUMPRODUCT(('ANALYSE - ERP =&gt; SOUS-SEGMENT'!$C$8:$C$1000=$C20)*'ANALYSE - ERP =&gt; SOUS-SEGMENT'!$Q$8:$Q$1000*'ANALYSE - ERP =&gt; SOUS-SEGMENT'!$EO$8:$EO$1000),""))</f>
        <v>10</v>
      </c>
      <c r="DF20" s="919" t="s">
        <v>5720</v>
      </c>
      <c r="DG20" s="657"/>
      <c r="DH20" s="308">
        <f>IF($C20="","",SUMPRODUCT(('ANALYSE - ERP =&gt; SOUS-SEGMENT'!$C$8:$C$1000=$C20)*'ANALYSE - ERP =&gt; SOUS-SEGMENT'!$Q$8:$Q$1000*'ANALYSE - ERP =&gt; SOUS-SEGMENT'!$DH$8:$DH$1000))</f>
        <v>2477.44</v>
      </c>
      <c r="DI20" s="308">
        <f>IF($C20="","",SUMPRODUCT(('ANALYSE - ERP =&gt; SOUS-SEGMENT'!$C$8:$C$1000=$C20)*'ANALYSE - ERP =&gt; SOUS-SEGMENT'!$Q$8:$Q$1000*'ANALYSE - ERP =&gt; SOUS-SEGMENT'!$DI$8:$DI$1000))</f>
        <v>8671.0400000000009</v>
      </c>
      <c r="DJ20" s="308">
        <f>IF($C20="","",SUMPRODUCT(('ANALYSE - ERP =&gt; SOUS-SEGMENT'!$C$8:$C$1000=$C20)*'ANALYSE - ERP =&gt; SOUS-SEGMENT'!$Q$8:$Q$1000*'ANALYSE - ERP =&gt; SOUS-SEGMENT'!$DJ$8:$DJ$1000))</f>
        <v>3561.32</v>
      </c>
      <c r="DK20" s="308">
        <f>IF($C20="","",SUMPRODUCT(('ANALYSE - ERP =&gt; SOUS-SEGMENT'!$C$8:$C$1000=$C20)*'ANALYSE - ERP =&gt; SOUS-SEGMENT'!$Q$8:$Q$1000*'ANALYSE - ERP =&gt; SOUS-SEGMENT'!$DK$8:$DK$1000))</f>
        <v>774.2</v>
      </c>
      <c r="DL20" s="646" t="s">
        <v>3803</v>
      </c>
      <c r="DM20" s="308">
        <f>IF($C20="","",SUMPRODUCT(('ANALYSE - ERP =&gt; SOUS-SEGMENT'!$C$8:$C$1000=$C20)*'ANALYSE - ERP =&gt; SOUS-SEGMENT'!$Q$8:$Q$1000*'ANALYSE - ERP =&gt; SOUS-SEGMENT'!$DM$8:$DM$1000))</f>
        <v>2212.84</v>
      </c>
      <c r="DN20" s="308">
        <f>IF($C20="","",SUMPRODUCT(('ANALYSE - ERP =&gt; SOUS-SEGMENT'!$C$8:$C$1000=$C20)*'ANALYSE - ERP =&gt; SOUS-SEGMENT'!$Q$8:$Q$1000*'ANALYSE - ERP =&gt; SOUS-SEGMENT'!$DN$8:$DN$1000))</f>
        <v>8851.36</v>
      </c>
      <c r="DO20" s="308">
        <f>IF($C20="","",SUMPRODUCT(('ANALYSE - ERP =&gt; SOUS-SEGMENT'!$C$8:$C$1000=$C20)*'ANALYSE - ERP =&gt; SOUS-SEGMENT'!$Q$8:$Q$1000*'ANALYSE - ERP =&gt; SOUS-SEGMENT'!$DO$8:$DO$1000))</f>
        <v>4267.6200000000008</v>
      </c>
      <c r="DP20" s="308">
        <f>IF($C20="","",SUMPRODUCT(('ANALYSE - ERP =&gt; SOUS-SEGMENT'!$C$8:$C$1000=$C20)*'ANALYSE - ERP =&gt; SOUS-SEGMENT'!$Q$8:$Q$1000*'ANALYSE - ERP =&gt; SOUS-SEGMENT'!$DP$8:$DP$1000))</f>
        <v>474.18</v>
      </c>
      <c r="DQ20" s="646" t="s">
        <v>3673</v>
      </c>
      <c r="DR20" s="657"/>
      <c r="DS20" s="308">
        <f>IF($C20="","",SUMPRODUCT(('ANALYSE - ERP =&gt; SOUS-SEGMENT'!$C$8:$C$1000=$C20)*'ANALYSE - ERP =&gt; SOUS-SEGMENT'!$Q$8:$Q$1000*'ANALYSE - ERP =&gt; SOUS-SEGMENT'!$DS$8:$DS$1000))</f>
        <v>334</v>
      </c>
      <c r="DT20" s="308">
        <f>IF($C20="","",SUMPRODUCT(('ANALYSE - ERP =&gt; SOUS-SEGMENT'!$C$8:$C$1000=$C20)*'ANALYSE - ERP =&gt; SOUS-SEGMENT'!$Q$8:$Q$1000*'ANALYSE - ERP =&gt; SOUS-SEGMENT'!$DT$8:$DT$1000))</f>
        <v>868.4</v>
      </c>
      <c r="DU20" s="308">
        <f>IF($C20="","",SUMPRODUCT(('ANALYSE - ERP =&gt; SOUS-SEGMENT'!$C$8:$C$1000=$C20)*'ANALYSE - ERP =&gt; SOUS-SEGMENT'!$Q$8:$Q$1000*'ANALYSE - ERP =&gt; SOUS-SEGMENT'!$DU$8:$DU$1000))</f>
        <v>133.6</v>
      </c>
      <c r="DV20" s="646" t="s">
        <v>3804</v>
      </c>
      <c r="DW20" s="308">
        <f>IF($C20="","",SUMPRODUCT(('ANALYSE - ERP =&gt; SOUS-SEGMENT'!$C$8:$C$1000=$C20)*'ANALYSE - ERP =&gt; SOUS-SEGMENT'!$Q$8:$Q$1000*'ANALYSE - ERP =&gt; SOUS-SEGMENT'!$DW$8:$DW$1000))</f>
        <v>272.8</v>
      </c>
      <c r="DX20" s="308">
        <f>IF($C20="","",SUMPRODUCT(('ANALYSE - ERP =&gt; SOUS-SEGMENT'!$C$8:$C$1000=$C20)*'ANALYSE - ERP =&gt; SOUS-SEGMENT'!$Q$8:$Q$1000*'ANALYSE - ERP =&gt; SOUS-SEGMENT'!$DX$8:$DX$1000))</f>
        <v>927.5200000000001</v>
      </c>
      <c r="DY20" s="308">
        <f>IF($C20="","",SUMPRODUCT(('ANALYSE - ERP =&gt; SOUS-SEGMENT'!$C$8:$C$1000=$C20)*'ANALYSE - ERP =&gt; SOUS-SEGMENT'!$Q$8:$Q$1000*'ANALYSE - ERP =&gt; SOUS-SEGMENT'!$DY$8:$DY$1000))</f>
        <v>163.68</v>
      </c>
      <c r="DZ20" s="646" t="s">
        <v>3728</v>
      </c>
      <c r="EA20" s="657"/>
      <c r="EB20" s="308">
        <f>IF($C20="","",SUMPRODUCT(('ANALYSE - ERP =&gt; SOUS-SEGMENT'!$C$8:$C$1000=$C20)*'ANALYSE - ERP =&gt; SOUS-SEGMENT'!$Q$8:$Q$1000*'ANALYSE - ERP =&gt; SOUS-SEGMENT'!$EB$8:$EB$1000))</f>
        <v>265.44</v>
      </c>
      <c r="EC20" s="308">
        <f>IF($C20="","",SUMPRODUCT(('ANALYSE - ERP =&gt; SOUS-SEGMENT'!$C$8:$C$1000=$C20)*'ANALYSE - ERP =&gt; SOUS-SEGMENT'!$Q$8:$Q$1000*'ANALYSE - ERP =&gt; SOUS-SEGMENT'!$EC$8:$EC$1000))</f>
        <v>1659</v>
      </c>
      <c r="ED20" s="308">
        <f>IF($C20="","",SUMPRODUCT(('ANALYSE - ERP =&gt; SOUS-SEGMENT'!$C$8:$C$1000=$C20)*'ANALYSE - ERP =&gt; SOUS-SEGMENT'!$Q$8:$Q$1000*'ANALYSE - ERP =&gt; SOUS-SEGMENT'!$ED$8:$ED$1000))</f>
        <v>829.5</v>
      </c>
      <c r="EE20" s="308">
        <f>IF($C20="","",SUMPRODUCT(('ANALYSE - ERP =&gt; SOUS-SEGMENT'!$C$8:$C$1000=$C20)*'ANALYSE - ERP =&gt; SOUS-SEGMENT'!$Q$8:$Q$1000*'ANALYSE - ERP =&gt; SOUS-SEGMENT'!$EE$8:$EE$1000))</f>
        <v>564.06000000000006</v>
      </c>
      <c r="EF20" s="646" t="s">
        <v>3805</v>
      </c>
      <c r="EG20" s="308">
        <f>IF($C20="","",SUMPRODUCT(('ANALYSE - ERP =&gt; SOUS-SEGMENT'!$C$8:$C$1000=$C20)*'ANALYSE - ERP =&gt; SOUS-SEGMENT'!$Q$8:$Q$1000*'ANALYSE - ERP =&gt; SOUS-SEGMENT'!$EG$8:$EG$1000))</f>
        <v>203.21999999999997</v>
      </c>
      <c r="EH20" s="308">
        <f>IF($C20="","",SUMPRODUCT(('ANALYSE - ERP =&gt; SOUS-SEGMENT'!$C$8:$C$1000=$C20)*'ANALYSE - ERP =&gt; SOUS-SEGMENT'!$Q$8:$Q$1000*'ANALYSE - ERP =&gt; SOUS-SEGMENT'!$EH$8:$EH$1000))</f>
        <v>1693.5</v>
      </c>
      <c r="EI20" s="308">
        <f>IF($C20="","",SUMPRODUCT(('ANALYSE - ERP =&gt; SOUS-SEGMENT'!$C$8:$C$1000=$C20)*'ANALYSE - ERP =&gt; SOUS-SEGMENT'!$Q$8:$Q$1000*'ANALYSE - ERP =&gt; SOUS-SEGMENT'!$EI$8:$EI$1000))</f>
        <v>948.36</v>
      </c>
      <c r="EJ20" s="308">
        <f>IF($C20="","",SUMPRODUCT(('ANALYSE - ERP =&gt; SOUS-SEGMENT'!$C$8:$C$1000=$C20)*'ANALYSE - ERP =&gt; SOUS-SEGMENT'!$Q$8:$Q$1000*'ANALYSE - ERP =&gt; SOUS-SEGMENT'!$EJ$8:$EJ$1000))</f>
        <v>541.91999999999996</v>
      </c>
      <c r="EK20" s="936" t="s">
        <v>3675</v>
      </c>
      <c r="EL20" s="657"/>
      <c r="EM20" s="308">
        <f>IF($C20="","",SUMPRODUCT(('ANALYSE - ERP =&gt; SOUS-SEGMENT'!$C$8:$C$1000=$C20)*'ANALYSE - ERP =&gt; SOUS-SEGMENT'!$Q$8:$Q$1000*'ANALYSE - ERP =&gt; SOUS-SEGMENT'!$EM$8:$EM$1000))</f>
        <v>3667.5</v>
      </c>
      <c r="EN20" s="310">
        <f>IF($C20="","",SUMPRODUCT(('ANALYSE - ERP =&gt; SOUS-SEGMENT'!$C$8:$C$1000=$C20)*'ANALYSE - ERP =&gt; SOUS-SEGMENT'!$Q$8:$Q$1000*'ANALYSE - ERP =&gt; SOUS-SEGMENT'!$EN$8:$EN$1000))</f>
        <v>8068.5000000000009</v>
      </c>
      <c r="EO20" s="310">
        <f>IF($C20="","",SUMPRODUCT(('ANALYSE - ERP =&gt; SOUS-SEGMENT'!$C$8:$C$1000=$C20)*'ANALYSE - ERP =&gt; SOUS-SEGMENT'!$Q$8:$Q$1000*'ANALYSE - ERP =&gt; SOUS-SEGMENT'!$EO$8:$EO$1000))</f>
        <v>2934</v>
      </c>
      <c r="EP20" s="646" t="s">
        <v>3806</v>
      </c>
      <c r="EQ20" s="308">
        <f>IF($C20="","",SUMPRODUCT(('ANALYSE - ERP =&gt; SOUS-SEGMENT'!$C$8:$C$1000=$C20)*'ANALYSE - ERP =&gt; SOUS-SEGMENT'!$Q$8:$Q$1000*'ANALYSE - ERP =&gt; SOUS-SEGMENT'!$EQ$8:$EQ$1000))</f>
        <v>2545.7500000000005</v>
      </c>
      <c r="ER20" s="310">
        <f>IF($C20="","",SUMPRODUCT(('ANALYSE - ERP =&gt; SOUS-SEGMENT'!$C$8:$C$1000=$C20)*'ANALYSE - ERP =&gt; SOUS-SEGMENT'!$Q$8:$Q$1000*'ANALYSE - ERP =&gt; SOUS-SEGMENT'!$ER$8:$ER$1000))</f>
        <v>8685.5</v>
      </c>
      <c r="ES20" s="310">
        <f>IF($C20="","",SUMPRODUCT(('ANALYSE - ERP =&gt; SOUS-SEGMENT'!$C$8:$C$1000=$C20)*'ANALYSE - ERP =&gt; SOUS-SEGMENT'!$Q$8:$Q$1000*'ANALYSE - ERP =&gt; SOUS-SEGMENT'!$ES$8:$ES$1000))</f>
        <v>3743.75</v>
      </c>
      <c r="ET20" s="646" t="s">
        <v>3677</v>
      </c>
      <c r="EU20" s="657"/>
      <c r="EV20" s="728">
        <f t="shared" si="31"/>
        <v>0.79729961137433691</v>
      </c>
      <c r="EW20" s="728">
        <f t="shared" si="32"/>
        <v>0.20270038862566297</v>
      </c>
      <c r="EX20" s="311">
        <f t="shared" si="33"/>
        <v>14336.549523675068</v>
      </c>
      <c r="EY20" s="311">
        <f t="shared" si="34"/>
        <v>11430.525363675068</v>
      </c>
      <c r="EZ20" s="311">
        <f t="shared" si="35"/>
        <v>2906.0241599999999</v>
      </c>
      <c r="FA20" s="311">
        <f t="shared" si="36"/>
        <v>6316.6954338671794</v>
      </c>
      <c r="FB20" s="311">
        <f>IF($C20="","",SUMPRODUCT(('ANALYSE - ERP =&gt; SOUS-SEGMENT'!$C$8:$C$1000=$C20)*'ANALYSE - ERP =&gt; SOUS-SEGMENT'!$Q$8:$Q$1000*'ANALYSE - ERP =&gt; SOUS-SEGMENT'!$FB$8:$FB$1000))</f>
        <v>5024.0317538671798</v>
      </c>
      <c r="FC20" s="311">
        <f>IF($C20="","",SUMPRODUCT(('ANALYSE - ERP =&gt; SOUS-SEGMENT'!$C$8:$C$1000=$C20)*'ANALYSE - ERP =&gt; SOUS-SEGMENT'!$Q$8:$Q$1000*'ANALYSE - ERP =&gt; SOUS-SEGMENT'!$FC$8:$FC$1000))</f>
        <v>1292.6636799999999</v>
      </c>
      <c r="FD20" s="311">
        <f t="shared" si="37"/>
        <v>556.47123699786323</v>
      </c>
      <c r="FE20" s="311">
        <f>IF($C20="","",SUMPRODUCT(('ANALYSE - ERP =&gt; SOUS-SEGMENT'!$C$8:$C$1000=$C20)*'ANALYSE - ERP =&gt; SOUS-SEGMENT'!$Q$8:$Q$1000*'ANALYSE - ERP =&gt; SOUS-SEGMENT'!$FE$8:$FE$1000))</f>
        <v>444.75851699786324</v>
      </c>
      <c r="FF20" s="311">
        <f>IF($C20="","",SUMPRODUCT(('ANALYSE - ERP =&gt; SOUS-SEGMENT'!$C$8:$C$1000=$C20)*'ANALYSE - ERP =&gt; SOUS-SEGMENT'!$Q$8:$Q$1000*'ANALYSE - ERP =&gt; SOUS-SEGMENT'!$FF$8:$FF$1000))</f>
        <v>111.71272</v>
      </c>
      <c r="FG20" s="311">
        <f t="shared" si="38"/>
        <v>1440.6595276689977</v>
      </c>
      <c r="FH20" s="311">
        <f>IF($C20="","",SUMPRODUCT(('ANALYSE - ERP =&gt; SOUS-SEGMENT'!$C$8:$C$1000=$C20)*'ANALYSE - ERP =&gt; SOUS-SEGMENT'!$Q$8:$Q$1000*'ANALYSE - ERP =&gt; SOUS-SEGMENT'!$FH$8:$FH$1000))</f>
        <v>1163.6601676689977</v>
      </c>
      <c r="FI20" s="311">
        <f>IF($C20="","",SUMPRODUCT(('ANALYSE - ERP =&gt; SOUS-SEGMENT'!$C$8:$C$1000=$C20)*'ANALYSE - ERP =&gt; SOUS-SEGMENT'!$Q$8:$Q$1000*'ANALYSE - ERP =&gt; SOUS-SEGMENT'!$FI$8:$FI$1000))</f>
        <v>276.99936000000002</v>
      </c>
      <c r="FJ20" s="311">
        <f t="shared" si="39"/>
        <v>6022.7233251410262</v>
      </c>
      <c r="FK20" s="311">
        <f>IF($C20="","",SUMPRODUCT(('ANALYSE - ERP =&gt; SOUS-SEGMENT'!$C$8:$C$1000=$C20)*'ANALYSE - ERP =&gt; SOUS-SEGMENT'!$Q$8:$Q$1000*'ANALYSE - ERP =&gt; SOUS-SEGMENT'!$FK$8:$FK$1000))</f>
        <v>4798.0749251410261</v>
      </c>
      <c r="FL20" s="311">
        <f>IF($C20="","",SUMPRODUCT(('ANALYSE - ERP =&gt; SOUS-SEGMENT'!$C$8:$C$1000=$C20)*'ANALYSE - ERP =&gt; SOUS-SEGMENT'!$Q$8:$Q$1000*'ANALYSE - ERP =&gt; SOUS-SEGMENT'!$FL$8:$FL$1000))</f>
        <v>1224.6484000000003</v>
      </c>
      <c r="FM20" s="657"/>
      <c r="FN20" s="954" t="s">
        <v>2649</v>
      </c>
      <c r="FO20" s="728">
        <f>IF($C20="","",IFERROR(SUMPRODUCT(('ANALYSE - ERP =&gt; SOUS-SEGMENT'!$C$8:$C$1000=$C20)*'ANALYSE - ERP =&gt; SOUS-SEGMENT'!$Q$8:$Q$1000*'ANALYSE - ERP =&gt; SOUS-SEGMENT'!$AF$8:$AF$1000*'ANALYSE - ERP =&gt; SOUS-SEGMENT'!$FO$8:$FO$1000)/SUMPRODUCT(('ANALYSE - ERP =&gt; SOUS-SEGMENT'!$C$8:$C$1000=$C20)*'ANALYSE - ERP =&gt; SOUS-SEGMENT'!$Q$8:$Q$1000*'ANALYSE - ERP =&gt; SOUS-SEGMENT'!$AF$8:$AF$1000),""))</f>
        <v>6.2732328767123285E-2</v>
      </c>
      <c r="FP20" s="729">
        <f>IF($C20="","",IFERROR(SUMPRODUCT(('ANALYSE - ERP =&gt; SOUS-SEGMENT'!$C$8:$C$1000=$C20)*'ANALYSE - ERP =&gt; SOUS-SEGMENT'!$Q$8:$Q$1000*'ANALYSE - ERP =&gt; SOUS-SEGMENT'!$AF$8:$AF$1000*'ANALYSE - ERP =&gt; SOUS-SEGMENT'!$FP$8:$FP$1000)/SUMPRODUCT(('ANALYSE - ERP =&gt; SOUS-SEGMENT'!$C$8:$C$1000=$C20)*'ANALYSE - ERP =&gt; SOUS-SEGMENT'!$Q$8:$Q$1000*'ANALYSE - ERP =&gt; SOUS-SEGMENT'!$AF$8:$AF$1000),""))</f>
        <v>0.80733999999999995</v>
      </c>
      <c r="FQ20" s="954" t="s">
        <v>3807</v>
      </c>
      <c r="FR20" s="657"/>
      <c r="FS20" s="865">
        <f>IF($C20="","",IFERROR(SUMPRODUCT(('ANALYSE - ERP =&gt; SOUS-SEGMENT'!$C$8:$C$1000=$C20)*'ANALYSE - ERP =&gt; SOUS-SEGMENT'!$Q$8:$Q$1000*'ANALYSE - ERP =&gt; SOUS-SEGMENT'!$EX$8:$EX$1000*'ANALYSE - ERP =&gt; SOUS-SEGMENT'!$FS$8:$FS$1000)/SUMPRODUCT(('ANALYSE - ERP =&gt; SOUS-SEGMENT'!$C$8:$C$1000=$C20)*'ANALYSE - ERP =&gt; SOUS-SEGMENT'!$Q$8:$Q$1000*'ANALYSE - ERP =&gt; SOUS-SEGMENT'!$EX$8:$EX$1000),""))</f>
        <v>2.9883535958368395</v>
      </c>
      <c r="FT20" s="312">
        <f>IF($C20="","",RANK($FS20,$FS$8:$FS$43,0)+COUNTIF($FS$8:$FS20,$FS20)-1)</f>
        <v>29</v>
      </c>
      <c r="FU20" s="865">
        <f>IF($C20="","",IFERROR(SUMPRODUCT(('ANALYSE - ERP =&gt; SOUS-SEGMENT'!$C$8:$C$1000=$C20)*'ANALYSE - ERP =&gt; SOUS-SEGMENT'!$Q$8:$Q$1000*'ANALYSE - ERP =&gt; SOUS-SEGMENT'!$EY$8:$EY$1000*'ANALYSE - ERP =&gt; SOUS-SEGMENT'!$FU$8:$FU$1000)/SUMPRODUCT(('ANALYSE - ERP =&gt; SOUS-SEGMENT'!$C$8:$C$1000=$C20)*'ANALYSE - ERP =&gt; SOUS-SEGMENT'!$Q$8:$Q$1000*'ANALYSE - ERP =&gt; SOUS-SEGMENT'!$EY$8:$EY$1000),""))</f>
        <v>3.69</v>
      </c>
      <c r="FV20" s="312">
        <f>IF($C20="","",RANK($FU20,$FU$8:$FU$43,0)+COUNTIF($FU$8:$FU20,$FU20)-1)</f>
        <v>29</v>
      </c>
      <c r="FW20" s="865">
        <f>IF($C20="","",IFERROR(SUMPRODUCT(('ANALYSE - ERP =&gt; SOUS-SEGMENT'!$C$8:$C$1000=$C20)*'ANALYSE - ERP =&gt; SOUS-SEGMENT'!$Q$8:$Q$1000*'ANALYSE - ERP =&gt; SOUS-SEGMENT'!$EZ$8:$EZ$1000*'ANALYSE - ERP =&gt; SOUS-SEGMENT'!$FW$8:$FW$1000)/SUMPRODUCT(('ANALYSE - ERP =&gt; SOUS-SEGMENT'!$C$8:$C$1000=$C20)*'ANALYSE - ERP =&gt; SOUS-SEGMENT'!$Q$8:$Q$1000*'ANALYSE - ERP =&gt; SOUS-SEGMENT'!$EZ$8:$EZ$1000),""))</f>
        <v>2.1284026472787478</v>
      </c>
      <c r="FX20" s="312">
        <f>IF($C20="","",RANK($FW20,$FW$8:$FW$43,0)+COUNTIF($FW$8:$FW20,$FW20)-1)</f>
        <v>19</v>
      </c>
      <c r="FY20" s="657"/>
      <c r="FZ20" s="646" t="s">
        <v>3696</v>
      </c>
      <c r="GA20" s="646" t="s">
        <v>3808</v>
      </c>
      <c r="GB20" s="646" t="s">
        <v>3698</v>
      </c>
      <c r="GC20" s="646" t="s">
        <v>3699</v>
      </c>
      <c r="GD20" s="646" t="s">
        <v>3700</v>
      </c>
      <c r="GE20" s="646" t="s">
        <v>3701</v>
      </c>
      <c r="GF20" s="276" t="s">
        <v>5721</v>
      </c>
      <c r="GG20" s="657"/>
      <c r="GH20" s="311">
        <f t="shared" si="40"/>
        <v>927.44196332307706</v>
      </c>
      <c r="GI20" s="311">
        <f>IF($C20="","",SUMPRODUCT(('ANALYSE - ERP =&gt; SOUS-SEGMENT'!$C$8:$C$1000=$C20)*'ANALYSE - ERP =&gt; SOUS-SEGMENT'!$Q$8:$Q$1000*'ANALYSE - ERP =&gt; SOUS-SEGMENT'!$GI$8:$GI$1000))</f>
        <v>746.46904812307707</v>
      </c>
      <c r="GJ20" s="311">
        <f>IF($C20="","",SUMPRODUCT(('ANALYSE - ERP =&gt; SOUS-SEGMENT'!$C$8:$C$1000=$C20)*'ANALYSE - ERP =&gt; SOUS-SEGMENT'!$Q$8:$Q$1000*'ANALYSE - ERP =&gt; SOUS-SEGMENT'!$GJ$8:$GJ$1000))</f>
        <v>180.97291520000002</v>
      </c>
      <c r="GK20" s="311">
        <f t="shared" si="41"/>
        <v>3336.5333292307696</v>
      </c>
      <c r="GL20" s="311">
        <f>IF($C20="","",SUMPRODUCT(('ANALYSE - ERP =&gt; SOUS-SEGMENT'!$C$8:$C$1000=$C20)*'ANALYSE - ERP =&gt; SOUS-SEGMENT'!$Q$8:$Q$1000*'ANALYSE - ERP =&gt; SOUS-SEGMENT'!$GL$8:$GL$1000))</f>
        <v>2612.6416684307696</v>
      </c>
      <c r="GM20" s="311">
        <f>IF($C20="","",SUMPRODUCT(('ANALYSE - ERP =&gt; SOUS-SEGMENT'!$C$8:$C$1000=$C20)*'ANALYSE - ERP =&gt; SOUS-SEGMENT'!$Q$8:$Q$1000*'ANALYSE - ERP =&gt; SOUS-SEGMENT'!$GM$8:$GM$1000))</f>
        <v>723.89166080000007</v>
      </c>
      <c r="GN20" s="311">
        <f t="shared" si="42"/>
        <v>1759.5810360800001</v>
      </c>
      <c r="GO20" s="311">
        <f>IF($C20="","",SUMPRODUCT(('ANALYSE - ERP =&gt; SOUS-SEGMENT'!$C$8:$C$1000=$C20)*'ANALYSE - ERP =&gt; SOUS-SEGMENT'!$Q$8:$Q$1000*'ANALYSE - ERP =&gt; SOUS-SEGMENT'!$GO$8:$GO$1000))</f>
        <v>1410.56184248</v>
      </c>
      <c r="GP20" s="311">
        <f>IF($C20="","",SUMPRODUCT(('ANALYSE - ERP =&gt; SOUS-SEGMENT'!$C$8:$C$1000=$C20)*'ANALYSE - ERP =&gt; SOUS-SEGMENT'!$Q$8:$Q$1000*'ANALYSE - ERP =&gt; SOUS-SEGMENT'!$GP$8:$GP$1000))</f>
        <v>349.01919359999999</v>
      </c>
      <c r="GQ20" s="311">
        <f t="shared" si="43"/>
        <v>293.13910523333334</v>
      </c>
      <c r="GR20" s="311">
        <f>IF($C20="","",SUMPRODUCT(('ANALYSE - ERP =&gt; SOUS-SEGMENT'!$C$8:$C$1000=$C20)*'ANALYSE - ERP =&gt; SOUS-SEGMENT'!$Q$8:$Q$1000*'ANALYSE - ERP =&gt; SOUS-SEGMENT'!$GR$8:$GR$1000))</f>
        <v>254.35919483333333</v>
      </c>
      <c r="GS20" s="311">
        <f>IF($C20="","",SUMPRODUCT(('ANALYSE - ERP =&gt; SOUS-SEGMENT'!$C$8:$C$1000=$C20)*'ANALYSE - ERP =&gt; SOUS-SEGMENT'!$Q$8:$Q$1000*'ANALYSE - ERP =&gt; SOUS-SEGMENT'!$GS$8:$GS$1000))</f>
        <v>38.779910399999999</v>
      </c>
      <c r="GT20" s="311">
        <f t="shared" si="44"/>
        <v>123.01163169230769</v>
      </c>
      <c r="GU20" s="311">
        <f>IF($C20="","",SUMPRODUCT(('ANALYSE - ERP =&gt; SOUS-SEGMENT'!$C$8:$C$1000=$C20)*'ANALYSE - ERP =&gt; SOUS-SEGMENT'!$Q$8:$Q$1000*'ANALYSE - ERP =&gt; SOUS-SEGMENT'!$GU$8:$GU$1000))</f>
        <v>100.66908769230768</v>
      </c>
      <c r="GV20" s="311">
        <f>IF($C20="","",SUMPRODUCT(('ANALYSE - ERP =&gt; SOUS-SEGMENT'!$C$8:$C$1000=$C20)*'ANALYSE - ERP =&gt; SOUS-SEGMENT'!$Q$8:$Q$1000*'ANALYSE - ERP =&gt; SOUS-SEGMENT'!$GV$8:$GV$1000))</f>
        <v>22.342544000000004</v>
      </c>
      <c r="GW20" s="311">
        <f t="shared" si="45"/>
        <v>361.39634268333327</v>
      </c>
      <c r="GX20" s="311">
        <f>IF($C20="","",SUMPRODUCT(('ANALYSE - ERP =&gt; SOUS-SEGMENT'!$C$8:$C$1000=$C20)*'ANALYSE - ERP =&gt; SOUS-SEGMENT'!$Q$8:$Q$1000*'ANALYSE - ERP =&gt; SOUS-SEGMENT'!$GX$8:$GX$1000))</f>
        <v>285.4316930833333</v>
      </c>
      <c r="GY20" s="311">
        <f>IF($C20="","",SUMPRODUCT(('ANALYSE - ERP =&gt; SOUS-SEGMENT'!$C$8:$C$1000=$C20)*'ANALYSE - ERP =&gt; SOUS-SEGMENT'!$Q$8:$Q$1000*'ANALYSE - ERP =&gt; SOUS-SEGMENT'!$GY$8:$GY$1000))</f>
        <v>75.964649600000001</v>
      </c>
      <c r="GZ20" s="311">
        <f t="shared" si="46"/>
        <v>72.063262622222226</v>
      </c>
      <c r="HA20" s="311">
        <f>IF($C20="","",SUMPRODUCT(('ANALYSE - ERP =&gt; SOUS-SEGMENT'!$C$8:$C$1000=$C20)*'ANALYSE - ERP =&gt; SOUS-SEGMENT'!$Q$8:$Q$1000*'ANALYSE - ERP =&gt; SOUS-SEGMENT'!$HA$8:$HA$1000))</f>
        <v>58.657736222222219</v>
      </c>
      <c r="HB20" s="311">
        <f>IF($C20="","",SUMPRODUCT(('ANALYSE - ERP =&gt; SOUS-SEGMENT'!$C$8:$C$1000=$C20)*'ANALYSE - ERP =&gt; SOUS-SEGMENT'!$Q$8:$Q$1000*'ANALYSE - ERP =&gt; SOUS-SEGMENT'!$HB$8:$HB$1000))</f>
        <v>13.405526399999999</v>
      </c>
      <c r="HC20" s="311">
        <f t="shared" si="47"/>
        <v>112.49672421818181</v>
      </c>
      <c r="HD20" s="311">
        <f>IF($C20="","",SUMPRODUCT(('ANALYSE - ERP =&gt; SOUS-SEGMENT'!$C$8:$C$1000=$C20)*'ANALYSE - ERP =&gt; SOUS-SEGMENT'!$Q$8:$Q$1000*'ANALYSE - ERP =&gt; SOUS-SEGMENT'!$HD$8:$HD$1000))</f>
        <v>95.876762618181814</v>
      </c>
      <c r="HE20" s="311">
        <f>IF($C20="","",SUMPRODUCT(('ANALYSE - ERP =&gt; SOUS-SEGMENT'!$C$8:$C$1000=$C20)*'ANALYSE - ERP =&gt; SOUS-SEGMENT'!$Q$8:$Q$1000*'ANALYSE - ERP =&gt; SOUS-SEGMENT'!$HE$8:$HE$1000))</f>
        <v>16.6199616</v>
      </c>
      <c r="HF20" s="311">
        <f t="shared" si="48"/>
        <v>638.36734615384626</v>
      </c>
      <c r="HG20" s="311">
        <f>IF($C20="","",SUMPRODUCT(('ANALYSE - ERP =&gt; SOUS-SEGMENT'!$C$8:$C$1000=$C20)*'ANALYSE - ERP =&gt; SOUS-SEGMENT'!$Q$8:$Q$1000*'ANALYSE - ERP =&gt; SOUS-SEGMENT'!$HG$8:$HG$1000))</f>
        <v>499.86766615384619</v>
      </c>
      <c r="HH20" s="311">
        <f>IF($C20="","",SUMPRODUCT(('ANALYSE - ERP =&gt; SOUS-SEGMENT'!$C$8:$C$1000=$C20)*'ANALYSE - ERP =&gt; SOUS-SEGMENT'!$Q$8:$Q$1000*'ANALYSE - ERP =&gt; SOUS-SEGMENT'!$HH$8:$HH$1000))</f>
        <v>138.49968000000001</v>
      </c>
      <c r="HI20" s="311">
        <f t="shared" si="49"/>
        <v>441.73743913333328</v>
      </c>
      <c r="HJ20" s="311">
        <f>IF($C20="","",SUMPRODUCT(('ANALYSE - ERP =&gt; SOUS-SEGMENT'!$C$8:$C$1000=$C20)*'ANALYSE - ERP =&gt; SOUS-SEGMENT'!$Q$8:$Q$1000*'ANALYSE - ERP =&gt; SOUS-SEGMENT'!$HJ$8:$HJ$1000))</f>
        <v>364.17761833333327</v>
      </c>
      <c r="HK20" s="311">
        <f>IF($C20="","",SUMPRODUCT(('ANALYSE - ERP =&gt; SOUS-SEGMENT'!$C$8:$C$1000=$C20)*'ANALYSE - ERP =&gt; SOUS-SEGMENT'!$Q$8:$Q$1000*'ANALYSE - ERP =&gt; SOUS-SEGMENT'!$HK$8:$HK$1000))</f>
        <v>77.559820800000011</v>
      </c>
      <c r="HL20" s="311">
        <f t="shared" si="50"/>
        <v>248.05801816363635</v>
      </c>
      <c r="HM20" s="311">
        <f>IF($C20="","",SUMPRODUCT(('ANALYSE - ERP =&gt; SOUS-SEGMENT'!$C$8:$C$1000=$C20)*'ANALYSE - ERP =&gt; SOUS-SEGMENT'!$Q$8:$Q$1000*'ANALYSE - ERP =&gt; SOUS-SEGMENT'!$HM$8:$HM$1000))</f>
        <v>203.73812056363636</v>
      </c>
      <c r="HN20" s="311">
        <f>IF($C20="","",SUMPRODUCT(('ANALYSE - ERP =&gt; SOUS-SEGMENT'!$C$8:$C$1000=$C20)*'ANALYSE - ERP =&gt; SOUS-SEGMENT'!$Q$8:$Q$1000*'ANALYSE - ERP =&gt; SOUS-SEGMENT'!$HN$8:$HN$1000))</f>
        <v>44.319897600000004</v>
      </c>
      <c r="HO20" s="311">
        <f t="shared" si="51"/>
        <v>1413.1115388333333</v>
      </c>
      <c r="HP20" s="311">
        <f>IF($C20="","",SUMPRODUCT(('ANALYSE - ERP =&gt; SOUS-SEGMENT'!$C$8:$C$1000=$C20)*'ANALYSE - ERP =&gt; SOUS-SEGMENT'!$Q$8:$Q$1000*'ANALYSE - ERP =&gt; SOUS-SEGMENT'!$HP$8:$HP$1000))</f>
        <v>1204.9213108333333</v>
      </c>
      <c r="HQ20" s="311">
        <f>IF($C20="","",SUMPRODUCT(('ANALYSE - ERP =&gt; SOUS-SEGMENT'!$C$8:$C$1000=$C20)*'ANALYSE - ERP =&gt; SOUS-SEGMENT'!$Q$8:$Q$1000*'ANALYSE - ERP =&gt; SOUS-SEGMENT'!$HQ$8:$HQ$1000))</f>
        <v>208.19022800000005</v>
      </c>
      <c r="HR20" s="311">
        <f t="shared" si="52"/>
        <v>3141.3644903076924</v>
      </c>
      <c r="HS20" s="311">
        <f>IF($C20="","",SUMPRODUCT(('ANALYSE - ERP =&gt; SOUS-SEGMENT'!$C$8:$C$1000=$C20)*'ANALYSE - ERP =&gt; SOUS-SEGMENT'!$Q$8:$Q$1000*'ANALYSE - ERP =&gt; SOUS-SEGMENT'!$HS$8:$HS$1000))</f>
        <v>2431.0684183076924</v>
      </c>
      <c r="HT20" s="311">
        <f>IF($C20="","",SUMPRODUCT(('ANALYSE - ERP =&gt; SOUS-SEGMENT'!$C$8:$C$1000=$C20)*'ANALYSE - ERP =&gt; SOUS-SEGMENT'!$Q$8:$Q$1000*'ANALYSE - ERP =&gt; SOUS-SEGMENT'!$HT$8:$HT$1000))</f>
        <v>710.29607200000009</v>
      </c>
      <c r="HU20" s="311">
        <f t="shared" si="53"/>
        <v>1468.247296</v>
      </c>
      <c r="HV20" s="311">
        <f>IF($C20="","",SUMPRODUCT(('ANALYSE - ERP =&gt; SOUS-SEGMENT'!$C$8:$C$1000=$C20)*'ANALYSE - ERP =&gt; SOUS-SEGMENT'!$Q$8:$Q$1000*'ANALYSE - ERP =&gt; SOUS-SEGMENT'!$HV$8:$HV$1000))</f>
        <v>1162.085196</v>
      </c>
      <c r="HW20" s="311">
        <f>IF($C20="","",SUMPRODUCT(('ANALYSE - ERP =&gt; SOUS-SEGMENT'!$C$8:$C$1000=$C20)*'ANALYSE - ERP =&gt; SOUS-SEGMENT'!$Q$8:$Q$1000*'ANALYSE - ERP =&gt; SOUS-SEGMENT'!$HW$8:$HW$1000))</f>
        <v>306.16210000000007</v>
      </c>
      <c r="HY20" s="313">
        <f t="shared" si="54"/>
        <v>34808</v>
      </c>
      <c r="HZ20" s="313">
        <f>IF($C20="","",SUMPRODUCT(('ANALYSE - ERP =&gt; SOUS-SEGMENT'!$C$8:$C$1000=$C20)*'ANALYSE - ERP =&gt; SOUS-SEGMENT'!$Q$8:$Q$1000*'ANALYSE - ERP =&gt; SOUS-SEGMENT'!$HZ$8:$HZ$1000))</f>
        <v>14.630999999999998</v>
      </c>
      <c r="IA20" s="313">
        <f>IF($C20="","",SUMPRODUCT(('ANALYSE - ERP =&gt; SOUS-SEGMENT'!$C$8:$C$1000=$C20)*'ANALYSE - ERP =&gt; SOUS-SEGMENT'!$Q$8:$Q$1000*'ANALYSE - ERP =&gt; SOUS-SEGMENT'!$IA$8:$IA$1000))</f>
        <v>5324.2086000000008</v>
      </c>
      <c r="IB20" s="313">
        <f>IF($C20="","",SUMPRODUCT(('ANALYSE - ERP =&gt; SOUS-SEGMENT'!$C$8:$C$1000=$C20)*'ANALYSE - ERP =&gt; SOUS-SEGMENT'!$Q$8:$Q$1000*'ANALYSE - ERP =&gt; SOUS-SEGMENT'!$IB$8:$IB$1000))</f>
        <v>17020.120599999998</v>
      </c>
      <c r="IC20" s="313">
        <f>IF($C20="","",SUMPRODUCT(('ANALYSE - ERP =&gt; SOUS-SEGMENT'!$C$8:$C$1000=$C20)*'ANALYSE - ERP =&gt; SOUS-SEGMENT'!$Q$8:$Q$1000*'ANALYSE - ERP =&gt; SOUS-SEGMENT'!$IC$8:$IC$1000))</f>
        <v>11030.7156</v>
      </c>
      <c r="ID20" s="313">
        <f>IF($C20="","",SUMPRODUCT(('ANALYSE - ERP =&gt; SOUS-SEGMENT'!$C$8:$C$1000=$C20)*'ANALYSE - ERP =&gt; SOUS-SEGMENT'!$Q$8:$Q$1000*'ANALYSE - ERP =&gt; SOUS-SEGMENT'!$ID$8:$ID$1000))</f>
        <v>1418.3242</v>
      </c>
      <c r="IE20" s="313">
        <f t="shared" si="55"/>
        <v>11430.525363675068</v>
      </c>
      <c r="IF20" s="313">
        <f>IF($C20="","",SUMPRODUCT(('ANALYSE - ERP =&gt; SOUS-SEGMENT'!$C$8:$C$1000=$C20)*'ANALYSE - ERP =&gt; SOUS-SEGMENT'!$Q$8:$Q$1000*'ANALYSE - ERP =&gt; SOUS-SEGMENT'!$IF$8:$IF$1000))</f>
        <v>0</v>
      </c>
      <c r="IG20" s="313">
        <f>IF($C20="","",SUMPRODUCT(('ANALYSE - ERP =&gt; SOUS-SEGMENT'!$C$8:$C$1000=$C20)*'ANALYSE - ERP =&gt; SOUS-SEGMENT'!$Q$8:$Q$1000*'ANALYSE - ERP =&gt; SOUS-SEGMENT'!$IG$8:$IG$1000))</f>
        <v>770.51171170769874</v>
      </c>
      <c r="IH20" s="313">
        <f>IF($C20="","",SUMPRODUCT(('ANALYSE - ERP =&gt; SOUS-SEGMENT'!$C$8:$C$1000=$C20)*'ANALYSE - ERP =&gt; SOUS-SEGMENT'!$Q$8:$Q$1000*'ANALYSE - ERP =&gt; SOUS-SEGMENT'!$IH$8:$IH$1000))</f>
        <v>4705.5901831317969</v>
      </c>
      <c r="II20" s="313">
        <f>IF($C20="","",SUMPRODUCT(('ANALYSE - ERP =&gt; SOUS-SEGMENT'!$C$8:$C$1000=$C20)*'ANALYSE - ERP =&gt; SOUS-SEGMENT'!$Q$8:$Q$1000*'ANALYSE - ERP =&gt; SOUS-SEGMENT'!$II$8:$II$1000))</f>
        <v>4903.0164777645368</v>
      </c>
      <c r="IJ20" s="313">
        <f>IF($C20="","",SUMPRODUCT(('ANALYSE - ERP =&gt; SOUS-SEGMENT'!$C$8:$C$1000=$C20)*'ANALYSE - ERP =&gt; SOUS-SEGMENT'!$Q$8:$Q$1000*'ANALYSE - ERP =&gt; SOUS-SEGMENT'!$IJ$8:$IJ$1000))</f>
        <v>1051.4069910710352</v>
      </c>
      <c r="IK20" s="866">
        <f>IF($C20="","",IFERROR(SUMPRODUCT(('ANALYSE - ERP =&gt; SOUS-SEGMENT'!$C$8:$C$1000=$C20)*'ANALYSE - ERP =&gt; SOUS-SEGMENT'!$Q$8:$Q$1000*'ANALYSE - ERP =&gt; SOUS-SEGMENT'!$IE$8:$IE$1000*'ANALYSE - ERP =&gt; SOUS-SEGMENT'!$IK$8:$IK$1000)/SUMPRODUCT(('ANALYSE - ERP =&gt; SOUS-SEGMENT'!$C$8:$C$1000=$C20)*'ANALYSE - ERP =&gt; SOUS-SEGMENT'!$Q$8:$Q$1000*'ANALYSE - ERP =&gt; SOUS-SEGMENT'!$IE$8:$IE$1000),""))</f>
        <v>3.7000000000000006</v>
      </c>
      <c r="IL20" s="920" t="s">
        <v>2589</v>
      </c>
      <c r="IM20" s="964" t="s">
        <v>5722</v>
      </c>
      <c r="IN20" s="657"/>
      <c r="IO20" s="730">
        <f>IF($C20="","",IFERROR(SUMPRODUCT(('ANALYSE - ERP =&gt; SOUS-SEGMENT'!$C$8:$C$1000=$C20)*'ANALYSE - ERP =&gt; SOUS-SEGMENT'!$Q$8:$Q$1000*'ANALYSE - ERP =&gt; SOUS-SEGMENT'!$BE$8:$BE$1000*'ANALYSE - ERP =&gt; SOUS-SEGMENT'!$IO$8:$IO$1000)/SUMPRODUCT(('ANALYSE - ERP =&gt; SOUS-SEGMENT'!$C$8:$C$1000=$C20)*'ANALYSE - ERP =&gt; SOUS-SEGMENT'!$Q$8:$Q$1000*'ANALYSE - ERP =&gt; SOUS-SEGMENT'!$BE$8:$BE$1000),""))</f>
        <v>0</v>
      </c>
      <c r="IP20" s="730">
        <f>IF($C20="","",IFERROR(SUMPRODUCT(('ANALYSE - ERP =&gt; SOUS-SEGMENT'!$C$8:$C$1000=$C20)*'ANALYSE - ERP =&gt; SOUS-SEGMENT'!$Q$8:$Q$1000*'ANALYSE - ERP =&gt; SOUS-SEGMENT'!$BE$8:$BE$1000*'ANALYSE - ERP =&gt; SOUS-SEGMENT'!$IP$8:$IP$1000)/SUMPRODUCT(('ANALYSE - ERP =&gt; SOUS-SEGMENT'!$C$8:$C$1000=$C20)*'ANALYSE - ERP =&gt; SOUS-SEGMENT'!$Q$8:$Q$1000*'ANALYSE - ERP =&gt; SOUS-SEGMENT'!$BE$8:$BE$1000),""))</f>
        <v>0.1119632911392405</v>
      </c>
      <c r="IQ20" s="730">
        <f>IF($C20="","",IFERROR(SUMPRODUCT(('ANALYSE - ERP =&gt; SOUS-SEGMENT'!$C$8:$C$1000=$C20)*'ANALYSE - ERP =&gt; SOUS-SEGMENT'!$Q$8:$Q$1000*'ANALYSE - ERP =&gt; SOUS-SEGMENT'!$BE$8:$BE$1000*'ANALYSE - ERP =&gt; SOUS-SEGMENT'!$IQ$8:$IQ$1000)/SUMPRODUCT(('ANALYSE - ERP =&gt; SOUS-SEGMENT'!$C$8:$C$1000=$C20)*'ANALYSE - ERP =&gt; SOUS-SEGMENT'!$Q$8:$Q$1000*'ANALYSE - ERP =&gt; SOUS-SEGMENT'!$BE$8:$BE$1000),""))</f>
        <v>0.46823236889692588</v>
      </c>
      <c r="IR20" s="730">
        <f>IF($C20="","",IFERROR(SUMPRODUCT(('ANALYSE - ERP =&gt; SOUS-SEGMENT'!$C$8:$C$1000=$C20)*'ANALYSE - ERP =&gt; SOUS-SEGMENT'!$Q$8:$Q$1000*'ANALYSE - ERP =&gt; SOUS-SEGMENT'!$BE$8:$BE$1000*'ANALYSE - ERP =&gt; SOUS-SEGMENT'!$IR$8:$IR$1000)/SUMPRODUCT(('ANALYSE - ERP =&gt; SOUS-SEGMENT'!$C$8:$C$1000=$C20)*'ANALYSE - ERP =&gt; SOUS-SEGMENT'!$Q$8:$Q$1000*'ANALYSE - ERP =&gt; SOUS-SEGMENT'!$BE$8:$BE$1000),""))</f>
        <v>0.3645766726943942</v>
      </c>
      <c r="IS20" s="730">
        <f>IF($C20="","",IFERROR(SUMPRODUCT(('ANALYSE - ERP =&gt; SOUS-SEGMENT'!$C$8:$C$1000=$C20)*'ANALYSE - ERP =&gt; SOUS-SEGMENT'!$Q$8:$Q$1000*'ANALYSE - ERP =&gt; SOUS-SEGMENT'!$BE$8:$BE$1000*'ANALYSE - ERP =&gt; SOUS-SEGMENT'!$IS$8:$IS$1000)/SUMPRODUCT(('ANALYSE - ERP =&gt; SOUS-SEGMENT'!$C$8:$C$1000=$C20)*'ANALYSE - ERP =&gt; SOUS-SEGMENT'!$Q$8:$Q$1000*'ANALYSE - ERP =&gt; SOUS-SEGMENT'!$BE$8:$BE$1000),""))</f>
        <v>5.5227667269439416E-2</v>
      </c>
      <c r="IT20" s="730">
        <f>IF($C20="","",IFERROR(SUMPRODUCT(('ANALYSE - ERP =&gt; SOUS-SEGMENT'!$C$8:$C$1000=$C20)*'ANALYSE - ERP =&gt; SOUS-SEGMENT'!$Q$8:$Q$1000*'ANALYSE - ERP =&gt; SOUS-SEGMENT'!$FB$8:$FB$1000*'ANALYSE - ERP =&gt; SOUS-SEGMENT'!$IT$8:$IT$1000)/SUMPRODUCT(('ANALYSE - ERP =&gt; SOUS-SEGMENT'!$C$8:$C$1000=$C20)*'ANALYSE - ERP =&gt; SOUS-SEGMENT'!$Q$8:$Q$1000*'ANALYSE - ERP =&gt; SOUS-SEGMENT'!$FB$8:$FB$1000),""))</f>
        <v>0</v>
      </c>
      <c r="IU20" s="730">
        <f>IF($C20="","",IFERROR(SUMPRODUCT(('ANALYSE - ERP =&gt; SOUS-SEGMENT'!$C$8:$C$1000=$C20)*'ANALYSE - ERP =&gt; SOUS-SEGMENT'!$Q$8:$Q$1000*'ANALYSE - ERP =&gt; SOUS-SEGMENT'!$FB$8:$FB$1000*'ANALYSE - ERP =&gt; SOUS-SEGMENT'!$IU$8:$IU$1000)/SUMPRODUCT(('ANALYSE - ERP =&gt; SOUS-SEGMENT'!$C$8:$C$1000=$C20)*'ANALYSE - ERP =&gt; SOUS-SEGMENT'!$Q$8:$Q$1000*'ANALYSE - ERP =&gt; SOUS-SEGMENT'!$FB$8:$FB$1000),""))</f>
        <v>3.9283223670576614E-2</v>
      </c>
      <c r="IV20" s="730">
        <f>IF($C20="","",IFERROR(SUMPRODUCT(('ANALYSE - ERP =&gt; SOUS-SEGMENT'!$C$8:$C$1000=$C20)*'ANALYSE - ERP =&gt; SOUS-SEGMENT'!$Q$8:$Q$1000*'ANALYSE - ERP =&gt; SOUS-SEGMENT'!$FB$8:$FB$1000*'ANALYSE - ERP =&gt; SOUS-SEGMENT'!$IV$8:$IV$1000)/SUMPRODUCT(('ANALYSE - ERP =&gt; SOUS-SEGMENT'!$C$8:$C$1000=$C20)*'ANALYSE - ERP =&gt; SOUS-SEGMENT'!$Q$8:$Q$1000*'ANALYSE - ERP =&gt; SOUS-SEGMENT'!$FB$8:$FB$1000),""))</f>
        <v>0.37029976565219114</v>
      </c>
      <c r="IW20" s="730">
        <f>IF($C20="","",IFERROR(SUMPRODUCT(('ANALYSE - ERP =&gt; SOUS-SEGMENT'!$C$8:$C$1000=$C20)*'ANALYSE - ERP =&gt; SOUS-SEGMENT'!$Q$8:$Q$1000*'ANALYSE - ERP =&gt; SOUS-SEGMENT'!$FB$8:$FB$1000*'ANALYSE - ERP =&gt; SOUS-SEGMENT'!$IW$8:$IW$1000)/SUMPRODUCT(('ANALYSE - ERP =&gt; SOUS-SEGMENT'!$C$8:$C$1000=$C20)*'ANALYSE - ERP =&gt; SOUS-SEGMENT'!$Q$8:$Q$1000*'ANALYSE - ERP =&gt; SOUS-SEGMENT'!$FB$8:$FB$1000),""))</f>
        <v>0.47080017125416801</v>
      </c>
      <c r="IX20" s="730">
        <f>IF($C20="","",IFERROR(SUMPRODUCT(('ANALYSE - ERP =&gt; SOUS-SEGMENT'!$C$8:$C$1000=$C20)*'ANALYSE - ERP =&gt; SOUS-SEGMENT'!$Q$8:$Q$1000*'ANALYSE - ERP =&gt; SOUS-SEGMENT'!$FB$8:$FB$1000*'ANALYSE - ERP =&gt; SOUS-SEGMENT'!$IX$8:$IX$1000)/SUMPRODUCT(('ANALYSE - ERP =&gt; SOUS-SEGMENT'!$C$8:$C$1000=$C20)*'ANALYSE - ERP =&gt; SOUS-SEGMENT'!$Q$8:$Q$1000*'ANALYSE - ERP =&gt; SOUS-SEGMENT'!$FB$8:$FB$1000),""))</f>
        <v>0.11961683942306427</v>
      </c>
      <c r="IY20" s="730">
        <f>IF($C20="","",IFERROR(SUMPRODUCT(('ANALYSE - ERP =&gt; SOUS-SEGMENT'!$C$8:$C$1000=$C20)*'ANALYSE - ERP =&gt; SOUS-SEGMENT'!$Q$8:$Q$1000*'ANALYSE - ERP =&gt; SOUS-SEGMENT'!$BF$8:$BF$1000*'ANALYSE - ERP =&gt; SOUS-SEGMENT'!$IY$8:$IY$1000)/SUMPRODUCT(('ANALYSE - ERP =&gt; SOUS-SEGMENT'!$C$8:$C$1000=$C20)*'ANALYSE - ERP =&gt; SOUS-SEGMENT'!$Q$8:$Q$1000*'ANALYSE - ERP =&gt; SOUS-SEGMENT'!$BF$8:$BF$1000),""))</f>
        <v>0</v>
      </c>
      <c r="IZ20" s="730">
        <f>IF($C20="","",IFERROR(SUMPRODUCT(('ANALYSE - ERP =&gt; SOUS-SEGMENT'!$C$8:$C$1000=$C20)*'ANALYSE - ERP =&gt; SOUS-SEGMENT'!$Q$8:$Q$1000*'ANALYSE - ERP =&gt; SOUS-SEGMENT'!$BF$8:$BF$1000*'ANALYSE - ERP =&gt; SOUS-SEGMENT'!$IZ$8:$IZ$1000)/SUMPRODUCT(('ANALYSE - ERP =&gt; SOUS-SEGMENT'!$C$8:$C$1000=$C20)*'ANALYSE - ERP =&gt; SOUS-SEGMENT'!$Q$8:$Q$1000*'ANALYSE - ERP =&gt; SOUS-SEGMENT'!$BF$8:$BF$1000),""))</f>
        <v>0.16588637724550898</v>
      </c>
      <c r="JA20" s="730">
        <f>IF($C20="","",IFERROR(SUMPRODUCT(('ANALYSE - ERP =&gt; SOUS-SEGMENT'!$C$8:$C$1000=$C20)*'ANALYSE - ERP =&gt; SOUS-SEGMENT'!$Q$8:$Q$1000*'ANALYSE - ERP =&gt; SOUS-SEGMENT'!$BF$8:$BF$1000*'ANALYSE - ERP =&gt; SOUS-SEGMENT'!$JA$8:$JA$1000)/SUMPRODUCT(('ANALYSE - ERP =&gt; SOUS-SEGMENT'!$C$8:$C$1000=$C20)*'ANALYSE - ERP =&gt; SOUS-SEGMENT'!$Q$8:$Q$1000*'ANALYSE - ERP =&gt; SOUS-SEGMENT'!$BF$8:$BF$1000),""))</f>
        <v>0.50092544910179637</v>
      </c>
      <c r="JB20" s="730">
        <f>IF($C20="","",IFERROR(SUMPRODUCT(('ANALYSE - ERP =&gt; SOUS-SEGMENT'!$C$8:$C$1000=$C20)*'ANALYSE - ERP =&gt; SOUS-SEGMENT'!$Q$8:$Q$1000*'ANALYSE - ERP =&gt; SOUS-SEGMENT'!$BF$8:$BF$1000*'ANALYSE - ERP =&gt; SOUS-SEGMENT'!$JB$8:$JB$1000)/SUMPRODUCT(('ANALYSE - ERP =&gt; SOUS-SEGMENT'!$C$8:$C$1000=$C20)*'ANALYSE - ERP =&gt; SOUS-SEGMENT'!$Q$8:$Q$1000*'ANALYSE - ERP =&gt; SOUS-SEGMENT'!$BF$8:$BF$1000),""))</f>
        <v>0.29920598802395215</v>
      </c>
      <c r="JC20" s="730">
        <f>IF($C20="","",IFERROR(SUMPRODUCT(('ANALYSE - ERP =&gt; SOUS-SEGMENT'!$C$8:$C$1000=$C20)*'ANALYSE - ERP =&gt; SOUS-SEGMENT'!$Q$8:$Q$1000*'ANALYSE - ERP =&gt; SOUS-SEGMENT'!$BF$8:$BF$1000*'ANALYSE - ERP =&gt; SOUS-SEGMENT'!$JC$8:$JC$1000)/SUMPRODUCT(('ANALYSE - ERP =&gt; SOUS-SEGMENT'!$C$8:$C$1000=$C20)*'ANALYSE - ERP =&gt; SOUS-SEGMENT'!$Q$8:$Q$1000*'ANALYSE - ERP =&gt; SOUS-SEGMENT'!$BF$8:$BF$1000),""))</f>
        <v>3.3982185628742514E-2</v>
      </c>
      <c r="JD20" s="730">
        <f>IF($C20="","",IFERROR(SUMPRODUCT(('ANALYSE - ERP =&gt; SOUS-SEGMENT'!$C$8:$C$1000=$C20)*'ANALYSE - ERP =&gt; SOUS-SEGMENT'!$Q$8:$Q$1000*'ANALYSE - ERP =&gt; SOUS-SEGMENT'!$FE$8:$FE$1000*'ANALYSE - ERP =&gt; SOUS-SEGMENT'!$JD$8:$JD$1000)/SUMPRODUCT(('ANALYSE - ERP =&gt; SOUS-SEGMENT'!$C$8:$C$1000=$C20)*'ANALYSE - ERP =&gt; SOUS-SEGMENT'!$Q$8:$Q$1000*'ANALYSE - ERP =&gt; SOUS-SEGMENT'!$FE$8:$FE$1000),""))</f>
        <v>0</v>
      </c>
      <c r="JE20" s="730">
        <f>IF($C20="","",IFERROR(SUMPRODUCT(('ANALYSE - ERP =&gt; SOUS-SEGMENT'!$C$8:$C$1000=$C20)*'ANALYSE - ERP =&gt; SOUS-SEGMENT'!$Q$8:$Q$1000*'ANALYSE - ERP =&gt; SOUS-SEGMENT'!$FE$8:$FE$1000*'ANALYSE - ERP =&gt; SOUS-SEGMENT'!$JE$8:$JE$1000)/SUMPRODUCT(('ANALYSE - ERP =&gt; SOUS-SEGMENT'!$C$8:$C$1000=$C20)*'ANALYSE - ERP =&gt; SOUS-SEGMENT'!$Q$8:$Q$1000*'ANALYSE - ERP =&gt; SOUS-SEGMENT'!$FE$8:$FE$1000),""))</f>
        <v>7.6013218420340686E-2</v>
      </c>
      <c r="JF20" s="730">
        <f>IF($C20="","",IFERROR(SUMPRODUCT(('ANALYSE - ERP =&gt; SOUS-SEGMENT'!$C$8:$C$1000=$C20)*'ANALYSE - ERP =&gt; SOUS-SEGMENT'!$Q$8:$Q$1000*'ANALYSE - ERP =&gt; SOUS-SEGMENT'!$FE$8:$FE$1000*'ANALYSE - ERP =&gt; SOUS-SEGMENT'!$JF$8:$JF$1000)/SUMPRODUCT(('ANALYSE - ERP =&gt; SOUS-SEGMENT'!$C$8:$C$1000=$C20)*'ANALYSE - ERP =&gt; SOUS-SEGMENT'!$Q$8:$Q$1000*'ANALYSE - ERP =&gt; SOUS-SEGMENT'!$FE$8:$FE$1000),""))</f>
        <v>0.4266600955324148</v>
      </c>
      <c r="JG20" s="730">
        <f>IF($C20="","",IFERROR(SUMPRODUCT(('ANALYSE - ERP =&gt; SOUS-SEGMENT'!$C$8:$C$1000=$C20)*'ANALYSE - ERP =&gt; SOUS-SEGMENT'!$Q$8:$Q$1000*'ANALYSE - ERP =&gt; SOUS-SEGMENT'!$FE$8:$FE$1000*'ANALYSE - ERP =&gt; SOUS-SEGMENT'!$JG$8:$JG$1000)/SUMPRODUCT(('ANALYSE - ERP =&gt; SOUS-SEGMENT'!$C$8:$C$1000=$C20)*'ANALYSE - ERP =&gt; SOUS-SEGMENT'!$Q$8:$Q$1000*'ANALYSE - ERP =&gt; SOUS-SEGMENT'!$FE$8:$FE$1000),""))</f>
        <v>0.41536528736813627</v>
      </c>
      <c r="JH20" s="730">
        <f>IF($C20="","",IFERROR(SUMPRODUCT(('ANALYSE - ERP =&gt; SOUS-SEGMENT'!$C$8:$C$1000=$C20)*'ANALYSE - ERP =&gt; SOUS-SEGMENT'!$Q$8:$Q$1000*'ANALYSE - ERP =&gt; SOUS-SEGMENT'!$FE$8:$FE$1000*'ANALYSE - ERP =&gt; SOUS-SEGMENT'!$JH$8:$JH$1000)/SUMPRODUCT(('ANALYSE - ERP =&gt; SOUS-SEGMENT'!$C$8:$C$1000=$C20)*'ANALYSE - ERP =&gt; SOUS-SEGMENT'!$Q$8:$Q$1000*'ANALYSE - ERP =&gt; SOUS-SEGMENT'!$FE$8:$FE$1000),""))</f>
        <v>8.196139867910826E-2</v>
      </c>
      <c r="JI20" s="730">
        <f>IF($C20="","",IFERROR(SUMPRODUCT(('ANALYSE - ERP =&gt; SOUS-SEGMENT'!$C$8:$C$1000=$C20)*'ANALYSE - ERP =&gt; SOUS-SEGMENT'!$Q$8:$Q$1000*'ANALYSE - ERP =&gt; SOUS-SEGMENT'!$BG$8:$BG$1000*'ANALYSE - ERP =&gt; SOUS-SEGMENT'!$JI$8:$JI$1000)/SUMPRODUCT(('ANALYSE - ERP =&gt; SOUS-SEGMENT'!$C$8:$C$1000=$C20)*'ANALYSE - ERP =&gt; SOUS-SEGMENT'!$Q$8:$Q$1000*'ANALYSE - ERP =&gt; SOUS-SEGMENT'!$BG$8:$BG$1000),""))</f>
        <v>4.4095840867992763E-3</v>
      </c>
      <c r="JJ20" s="730">
        <f>IF($C20="","",IFERROR(SUMPRODUCT(('ANALYSE - ERP =&gt; SOUS-SEGMENT'!$C$8:$C$1000=$C20)*'ANALYSE - ERP =&gt; SOUS-SEGMENT'!$Q$8:$Q$1000*'ANALYSE - ERP =&gt; SOUS-SEGMENT'!$BG$8:$BG$1000*'ANALYSE - ERP =&gt; SOUS-SEGMENT'!$JJ$8:$JJ$1000)/SUMPRODUCT(('ANALYSE - ERP =&gt; SOUS-SEGMENT'!$C$8:$C$1000=$C20)*'ANALYSE - ERP =&gt; SOUS-SEGMENT'!$Q$8:$Q$1000*'ANALYSE - ERP =&gt; SOUS-SEGMENT'!$BG$8:$BG$1000),""))</f>
        <v>0.24090650994575047</v>
      </c>
      <c r="JK20" s="730">
        <f>IF($C20="","",IFERROR(SUMPRODUCT(('ANALYSE - ERP =&gt; SOUS-SEGMENT'!$C$8:$C$1000=$C20)*'ANALYSE - ERP =&gt; SOUS-SEGMENT'!$Q$8:$Q$1000*'ANALYSE - ERP =&gt; SOUS-SEGMENT'!$BG$8:$BG$1000*'ANALYSE - ERP =&gt; SOUS-SEGMENT'!$JK$8:$JK$1000)/SUMPRODUCT(('ANALYSE - ERP =&gt; SOUS-SEGMENT'!$C$8:$C$1000=$C20)*'ANALYSE - ERP =&gt; SOUS-SEGMENT'!$Q$8:$Q$1000*'ANALYSE - ERP =&gt; SOUS-SEGMENT'!$BG$8:$BG$1000),""))</f>
        <v>0.51257179023508137</v>
      </c>
      <c r="JL20" s="730">
        <f>IF($C20="","",IFERROR(SUMPRODUCT(('ANALYSE - ERP =&gt; SOUS-SEGMENT'!$C$8:$C$1000=$C20)*'ANALYSE - ERP =&gt; SOUS-SEGMENT'!$Q$8:$Q$1000*'ANALYSE - ERP =&gt; SOUS-SEGMENT'!$BG$8:$BG$1000*'ANALYSE - ERP =&gt; SOUS-SEGMENT'!$JL$8:$JL$1000)/SUMPRODUCT(('ANALYSE - ERP =&gt; SOUS-SEGMENT'!$C$8:$C$1000=$C20)*'ANALYSE - ERP =&gt; SOUS-SEGMENT'!$Q$8:$Q$1000*'ANALYSE - ERP =&gt; SOUS-SEGMENT'!$BG$8:$BG$1000),""))</f>
        <v>0.22442441229656421</v>
      </c>
      <c r="JM20" s="730">
        <f>IF($C20="","",IFERROR(SUMPRODUCT(('ANALYSE - ERP =&gt; SOUS-SEGMENT'!$C$8:$C$1000=$C20)*'ANALYSE - ERP =&gt; SOUS-SEGMENT'!$Q$8:$Q$1000*'ANALYSE - ERP =&gt; SOUS-SEGMENT'!$BG$8:$BG$1000*'ANALYSE - ERP =&gt; SOUS-SEGMENT'!$JM$8:$JM$1000)/SUMPRODUCT(('ANALYSE - ERP =&gt; SOUS-SEGMENT'!$C$8:$C$1000=$C20)*'ANALYSE - ERP =&gt; SOUS-SEGMENT'!$Q$8:$Q$1000*'ANALYSE - ERP =&gt; SOUS-SEGMENT'!$BG$8:$BG$1000),""))</f>
        <v>1.7687703435804704E-2</v>
      </c>
      <c r="JN20" s="730">
        <f>IF($C20="","",IFERROR(SUMPRODUCT(('ANALYSE - ERP =&gt; SOUS-SEGMENT'!$C$8:$C$1000=$C20)*'ANALYSE - ERP =&gt; SOUS-SEGMENT'!$Q$8:$Q$1000*'ANALYSE - ERP =&gt; SOUS-SEGMENT'!$FH$8:$FH$1000*'ANALYSE - ERP =&gt; SOUS-SEGMENT'!$JN$8:$JN$1000)/SUMPRODUCT(('ANALYSE - ERP =&gt; SOUS-SEGMENT'!$C$8:$C$1000=$C20)*'ANALYSE - ERP =&gt; SOUS-SEGMENT'!$Q$8:$Q$1000*'ANALYSE - ERP =&gt; SOUS-SEGMENT'!$FH$8:$FH$1000),""))</f>
        <v>0</v>
      </c>
      <c r="JO20" s="730">
        <f>IF($C20="","",IFERROR(SUMPRODUCT(('ANALYSE - ERP =&gt; SOUS-SEGMENT'!$C$8:$C$1000=$C20)*'ANALYSE - ERP =&gt; SOUS-SEGMENT'!$Q$8:$Q$1000*'ANALYSE - ERP =&gt; SOUS-SEGMENT'!$FH$8:$FH$1000*'ANALYSE - ERP =&gt; SOUS-SEGMENT'!$JO$8:$JO$1000)/SUMPRODUCT(('ANALYSE - ERP =&gt; SOUS-SEGMENT'!$C$8:$C$1000=$C20)*'ANALYSE - ERP =&gt; SOUS-SEGMENT'!$Q$8:$Q$1000*'ANALYSE - ERP =&gt; SOUS-SEGMENT'!$FH$8:$FH$1000),""))</f>
        <v>0.13043110653613427</v>
      </c>
      <c r="JP20" s="730">
        <f>IF($C20="","",IFERROR(SUMPRODUCT(('ANALYSE - ERP =&gt; SOUS-SEGMENT'!$C$8:$C$1000=$C20)*'ANALYSE - ERP =&gt; SOUS-SEGMENT'!$Q$8:$Q$1000*'ANALYSE - ERP =&gt; SOUS-SEGMENT'!$FH$8:$FH$1000*'ANALYSE - ERP =&gt; SOUS-SEGMENT'!$JP$8:$JP$1000)/SUMPRODUCT(('ANALYSE - ERP =&gt; SOUS-SEGMENT'!$C$8:$C$1000=$C20)*'ANALYSE - ERP =&gt; SOUS-SEGMENT'!$Q$8:$Q$1000*'ANALYSE - ERP =&gt; SOUS-SEGMENT'!$FH$8:$FH$1000),""))</f>
        <v>0.48206509077941812</v>
      </c>
      <c r="JQ20" s="730">
        <f>IF($C20="","",IFERROR(SUMPRODUCT(('ANALYSE - ERP =&gt; SOUS-SEGMENT'!$C$8:$C$1000=$C20)*'ANALYSE - ERP =&gt; SOUS-SEGMENT'!$Q$8:$Q$1000*'ANALYSE - ERP =&gt; SOUS-SEGMENT'!$FH$8:$FH$1000*'ANALYSE - ERP =&gt; SOUS-SEGMENT'!$JQ$8:$JQ$1000)/SUMPRODUCT(('ANALYSE - ERP =&gt; SOUS-SEGMENT'!$C$8:$C$1000=$C20)*'ANALYSE - ERP =&gt; SOUS-SEGMENT'!$Q$8:$Q$1000*'ANALYSE - ERP =&gt; SOUS-SEGMENT'!$FH$8:$FH$1000),""))</f>
        <v>0.34093614252364596</v>
      </c>
      <c r="JR20" s="730">
        <f>IF($C20="","",IFERROR(SUMPRODUCT(('ANALYSE - ERP =&gt; SOUS-SEGMENT'!$C$8:$C$1000=$C20)*'ANALYSE - ERP =&gt; SOUS-SEGMENT'!$Q$8:$Q$1000*'ANALYSE - ERP =&gt; SOUS-SEGMENT'!$FH$8:$FH$1000*'ANALYSE - ERP =&gt; SOUS-SEGMENT'!$JR$8:$JR$1000)/SUMPRODUCT(('ANALYSE - ERP =&gt; SOUS-SEGMENT'!$C$8:$C$1000=$C20)*'ANALYSE - ERP =&gt; SOUS-SEGMENT'!$Q$8:$Q$1000*'ANALYSE - ERP =&gt; SOUS-SEGMENT'!$FH$8:$FH$1000),""))</f>
        <v>4.656766016080164E-2</v>
      </c>
      <c r="JS20" s="730">
        <f>IF($C20="","",IFERROR(SUMPRODUCT(('ANALYSE - ERP =&gt; SOUS-SEGMENT'!$C$8:$C$1000=$C20)*'ANALYSE - ERP =&gt; SOUS-SEGMENT'!$Q$8:$Q$1000*'ANALYSE - ERP =&gt; SOUS-SEGMENT'!$BH$8:$BH$1000*'ANALYSE - ERP =&gt; SOUS-SEGMENT'!$JS$8:$JS$1000)/SUMPRODUCT(('ANALYSE - ERP =&gt; SOUS-SEGMENT'!$C$8:$C$1000=$C20)*'ANALYSE - ERP =&gt; SOUS-SEGMENT'!$Q$8:$Q$1000*'ANALYSE - ERP =&gt; SOUS-SEGMENT'!$BH$8:$BH$1000),""))</f>
        <v>0</v>
      </c>
      <c r="JT20" s="730">
        <f>IF($C20="","",IFERROR(SUMPRODUCT(('ANALYSE - ERP =&gt; SOUS-SEGMENT'!$C$8:$C$1000=$C20)*'ANALYSE - ERP =&gt; SOUS-SEGMENT'!$Q$8:$Q$1000*'ANALYSE - ERP =&gt; SOUS-SEGMENT'!$BH$8:$BH$1000*'ANALYSE - ERP =&gt; SOUS-SEGMENT'!$JT$8:$JT$1000)/SUMPRODUCT(('ANALYSE - ERP =&gt; SOUS-SEGMENT'!$C$8:$C$1000=$C20)*'ANALYSE - ERP =&gt; SOUS-SEGMENT'!$Q$8:$Q$1000*'ANALYSE - ERP =&gt; SOUS-SEGMENT'!$BH$8:$BH$1000),""))</f>
        <v>0.17516134969325153</v>
      </c>
      <c r="JU20" s="730">
        <f>IF($C20="","",IFERROR(SUMPRODUCT(('ANALYSE - ERP =&gt; SOUS-SEGMENT'!$C$8:$C$1000=$C20)*'ANALYSE - ERP =&gt; SOUS-SEGMENT'!$Q$8:$Q$1000*'ANALYSE - ERP =&gt; SOUS-SEGMENT'!$BH$8:$BH$1000*'ANALYSE - ERP =&gt; SOUS-SEGMENT'!$JU$8:$JU$1000)/SUMPRODUCT(('ANALYSE - ERP =&gt; SOUS-SEGMENT'!$C$8:$C$1000=$C20)*'ANALYSE - ERP =&gt; SOUS-SEGMENT'!$Q$8:$Q$1000*'ANALYSE - ERP =&gt; SOUS-SEGMENT'!$BH$8:$BH$1000),""))</f>
        <v>0.5044349693251533</v>
      </c>
      <c r="JV20" s="730">
        <f>IF($C20="","",IFERROR(SUMPRODUCT(('ANALYSE - ERP =&gt; SOUS-SEGMENT'!$C$8:$C$1000=$C20)*'ANALYSE - ERP =&gt; SOUS-SEGMENT'!$Q$8:$Q$1000*'ANALYSE - ERP =&gt; SOUS-SEGMENT'!$BH$8:$BH$1000*'ANALYSE - ERP =&gt; SOUS-SEGMENT'!$JV$8:$JV$1000)/SUMPRODUCT(('ANALYSE - ERP =&gt; SOUS-SEGMENT'!$C$8:$C$1000=$C20)*'ANALYSE - ERP =&gt; SOUS-SEGMENT'!$Q$8:$Q$1000*'ANALYSE - ERP =&gt; SOUS-SEGMENT'!$BH$8:$BH$1000),""))</f>
        <v>0.28910913428766188</v>
      </c>
      <c r="JW20" s="730">
        <f>IF($C20="","",IFERROR(SUMPRODUCT(('ANALYSE - ERP =&gt; SOUS-SEGMENT'!$C$8:$C$1000=$C20)*'ANALYSE - ERP =&gt; SOUS-SEGMENT'!$Q$8:$Q$1000*'ANALYSE - ERP =&gt; SOUS-SEGMENT'!$BH$8:$BH$1000*'ANALYSE - ERP =&gt; SOUS-SEGMENT'!$JW$8:$JW$1000)/SUMPRODUCT(('ANALYSE - ERP =&gt; SOUS-SEGMENT'!$C$8:$C$1000=$C20)*'ANALYSE - ERP =&gt; SOUS-SEGMENT'!$Q$8:$Q$1000*'ANALYSE - ERP =&gt; SOUS-SEGMENT'!$BH$8:$BH$1000),""))</f>
        <v>3.1294546693933195E-2</v>
      </c>
      <c r="JX20" s="730">
        <f>IF($C20="","",IFERROR(SUMPRODUCT(('ANALYSE - ERP =&gt; SOUS-SEGMENT'!$C$8:$C$1000=$C20)*'ANALYSE - ERP =&gt; SOUS-SEGMENT'!$Q$8:$Q$1000*'ANALYSE - ERP =&gt; SOUS-SEGMENT'!$FK$8:$FK$1000*'ANALYSE - ERP =&gt; SOUS-SEGMENT'!$JX$8:$JX$1000)/SUMPRODUCT(('ANALYSE - ERP =&gt; SOUS-SEGMENT'!$C$8:$C$1000=$C20)*'ANALYSE - ERP =&gt; SOUS-SEGMENT'!$Q$8:$Q$1000*'ANALYSE - ERP =&gt; SOUS-SEGMENT'!$FK$8:$FK$1000),""))</f>
        <v>0</v>
      </c>
      <c r="JY20" s="730">
        <f>IF($C20="","",IFERROR(SUMPRODUCT(('ANALYSE - ERP =&gt; SOUS-SEGMENT'!$C$8:$C$1000=$C20)*'ANALYSE - ERP =&gt; SOUS-SEGMENT'!$Q$8:$Q$1000*'ANALYSE - ERP =&gt; SOUS-SEGMENT'!$FK$8:$FK$1000*'ANALYSE - ERP =&gt; SOUS-SEGMENT'!$JY$8:$JY$1000)/SUMPRODUCT(('ANALYSE - ERP =&gt; SOUS-SEGMENT'!$C$8:$C$1000=$C20)*'ANALYSE - ERP =&gt; SOUS-SEGMENT'!$Q$8:$Q$1000*'ANALYSE - ERP =&gt; SOUS-SEGMENT'!$FK$8:$FK$1000),""))</f>
        <v>8.0775424527808379E-2</v>
      </c>
      <c r="JZ20" s="730">
        <f>IF($C20="","",IFERROR(SUMPRODUCT(('ANALYSE - ERP =&gt; SOUS-SEGMENT'!$C$8:$C$1000=$C20)*'ANALYSE - ERP =&gt; SOUS-SEGMENT'!$Q$8:$Q$1000*'ANALYSE - ERP =&gt; SOUS-SEGMENT'!$FK$8:$FK$1000*'ANALYSE - ERP =&gt; SOUS-SEGMENT'!$JZ$8:$JZ$1000)/SUMPRODUCT(('ANALYSE - ERP =&gt; SOUS-SEGMENT'!$C$8:$C$1000=$C20)*'ANALYSE - ERP =&gt; SOUS-SEGMENT'!$Q$8:$Q$1000*'ANALYSE - ERP =&gt; SOUS-SEGMENT'!$FK$8:$FK$1000),""))</f>
        <v>0.43652335134577758</v>
      </c>
      <c r="KA20" s="730">
        <f>IF($C20="","",IFERROR(SUMPRODUCT(('ANALYSE - ERP =&gt; SOUS-SEGMENT'!$C$8:$C$1000=$C20)*'ANALYSE - ERP =&gt; SOUS-SEGMENT'!$Q$8:$Q$1000*'ANALYSE - ERP =&gt; SOUS-SEGMENT'!$FK$8:$FK$1000*'ANALYSE - ERP =&gt; SOUS-SEGMENT'!$KA$8:$KA$1000)/SUMPRODUCT(('ANALYSE - ERP =&gt; SOUS-SEGMENT'!$C$8:$C$1000=$C20)*'ANALYSE - ERP =&gt; SOUS-SEGMENT'!$Q$8:$Q$1000*'ANALYSE - ERP =&gt; SOUS-SEGMENT'!$FK$8:$FK$1000),""))</f>
        <v>0.40771151767794894</v>
      </c>
      <c r="KB20" s="730">
        <f>IF($C20="","",IFERROR(SUMPRODUCT(('ANALYSE - ERP =&gt; SOUS-SEGMENT'!$C$8:$C$1000=$C20)*'ANALYSE - ERP =&gt; SOUS-SEGMENT'!$Q$8:$Q$1000*'ANALYSE - ERP =&gt; SOUS-SEGMENT'!$FK$8:$FK$1000*'ANALYSE - ERP =&gt; SOUS-SEGMENT'!$KB$8:$KB$1000)/SUMPRODUCT(('ANALYSE - ERP =&gt; SOUS-SEGMENT'!$C$8:$C$1000=$C20)*'ANALYSE - ERP =&gt; SOUS-SEGMENT'!$Q$8:$Q$1000*'ANALYSE - ERP =&gt; SOUS-SEGMENT'!$FK$8:$FK$1000),""))</f>
        <v>7.4989706448465102E-2</v>
      </c>
      <c r="KC20" s="657"/>
      <c r="KD20" s="920" t="s">
        <v>2591</v>
      </c>
      <c r="KE20" s="920" t="s">
        <v>2591</v>
      </c>
      <c r="KF20" s="866">
        <f>IF($C20="","",IFERROR(SUMPRODUCT(('ANALYSE - ERP =&gt; SOUS-SEGMENT'!$C$8:$C$1000=$C20)*'ANALYSE - ERP =&gt; SOUS-SEGMENT'!$Q$8:$Q$1000*'ANALYSE - ERP =&gt; SOUS-SEGMENT'!$IE$8:$IE$1000*'ANALYSE - ERP =&gt; SOUS-SEGMENT'!$KF$8:$KF$1000)/SUMPRODUCT(('ANALYSE - ERP =&gt; SOUS-SEGMENT'!$C$8:$C$1000=$C20)*'ANALYSE - ERP =&gt; SOUS-SEGMENT'!$Q$8:$Q$1000*'ANALYSE - ERP =&gt; SOUS-SEGMENT'!$IE$8:$IE$1000),""))</f>
        <v>3.4667290024786483</v>
      </c>
      <c r="KG20" s="920" t="s">
        <v>2616</v>
      </c>
      <c r="KH20" s="920" t="s">
        <v>3732</v>
      </c>
      <c r="KI20" s="920" t="s">
        <v>3733</v>
      </c>
      <c r="KJ20" s="920" t="s">
        <v>5722</v>
      </c>
    </row>
    <row r="21" spans="1:296" ht="120" customHeight="1">
      <c r="A21" s="951">
        <f>IF($C21="","",ROWS($A$8:A21))</f>
        <v>14</v>
      </c>
      <c r="B21" s="952" t="s">
        <v>3662</v>
      </c>
      <c r="C21" s="952" t="s">
        <v>1337</v>
      </c>
      <c r="D21" s="952" t="s">
        <v>5723</v>
      </c>
      <c r="E21" s="277" t="s">
        <v>5724</v>
      </c>
      <c r="F21" s="646" t="s">
        <v>3009</v>
      </c>
      <c r="G21" s="646" t="s">
        <v>300</v>
      </c>
      <c r="H21" s="646" t="s">
        <v>2109</v>
      </c>
      <c r="I21" s="646" t="s">
        <v>5725</v>
      </c>
      <c r="J21" s="646" t="s">
        <v>5726</v>
      </c>
      <c r="K21" s="646" t="s">
        <v>2097</v>
      </c>
      <c r="L21" s="646" t="s">
        <v>2109</v>
      </c>
      <c r="M21" s="646" t="s">
        <v>2603</v>
      </c>
      <c r="N21" s="646" t="s">
        <v>2099</v>
      </c>
      <c r="O21" s="646" t="s">
        <v>2616</v>
      </c>
      <c r="P21" s="646"/>
      <c r="Q21" s="270">
        <f>IF($C21="","",IF(SUMIFS('ANALYSE - ERP =&gt; SOUS-SEGMENT'!$Q$8:$Q$1000,'ANALYSE - ERP =&gt; SOUS-SEGMENT'!$C$8:$C$1000,$C21)&gt;0,1,0))</f>
        <v>1</v>
      </c>
      <c r="R21" s="278">
        <f>IF($C21="","",IFERROR(SUMPRODUCT(('ANALYSE - ERP =&gt; SOUS-SEGMENT'!$C$8:$C$1000=$C21)*'ANALYSE - ERP =&gt; SOUS-SEGMENT'!$Q$8:$Q$1000*'ANALYSE - ERP =&gt; SOUS-SEGMENT'!$AF$8:$AF$1000*'ANALYSE - ERP =&gt; SOUS-SEGMENT'!$R$8:$R$1000)/SUMPRODUCT(('ANALYSE - ERP =&gt; SOUS-SEGMENT'!$C$8:$C$1000=$C21)*'ANALYSE - ERP =&gt; SOUS-SEGMENT'!$Q$8:$Q$1000*'ANALYSE - ERP =&gt; SOUS-SEGMENT'!$AF$8:$AF$1000),""))</f>
        <v>460</v>
      </c>
      <c r="S21" s="279">
        <f>IF($C21="","",SUMPRODUCT(('ANALYSE - ERP =&gt; SOUS-SEGMENT'!$C$8:$C$1000=$C21)*'ANALYSE - ERP =&gt; SOUS-SEGMENT'!$Q$8:$Q$1000*'ANALYSE - ERP =&gt; SOUS-SEGMENT'!$S$8:$S$1000))</f>
        <v>470</v>
      </c>
      <c r="T21" s="279">
        <f>IF($C21="","",SUMPRODUCT(('ANALYSE - ERP =&gt; SOUS-SEGMENT'!$C$8:$C$1000=$C21)*'ANALYSE - ERP =&gt; SOUS-SEGMENT'!$Q$8:$Q$1000*'ANALYSE - ERP =&gt; SOUS-SEGMENT'!$T$8:$T$1000))</f>
        <v>545</v>
      </c>
      <c r="U21" s="279">
        <f>IF($C21="","",SUMPRODUCT(('ANALYSE - ERP =&gt; SOUS-SEGMENT'!$C$8:$C$1000=$C21)*'ANALYSE - ERP =&gt; SOUS-SEGMENT'!$Q$8:$Q$1000*'ANALYSE - ERP =&gt; SOUS-SEGMENT'!$U$8:$U$1000))</f>
        <v>620</v>
      </c>
      <c r="V21" s="279">
        <f>IF($C21="","",SUMPRODUCT(('ANALYSE - ERP =&gt; SOUS-SEGMENT'!$C$8:$C$1000=$C21)*'ANALYSE - ERP =&gt; SOUS-SEGMENT'!$Q$8:$Q$1000*'ANALYSE - ERP =&gt; SOUS-SEGMENT'!$V$8:$V$1000))</f>
        <v>700</v>
      </c>
      <c r="W21" s="279">
        <f>IF($C21="","",SUMPRODUCT(('ANALYSE - ERP =&gt; SOUS-SEGMENT'!$C$8:$C$1000=$C21)*'ANALYSE - ERP =&gt; SOUS-SEGMENT'!$Q$8:$Q$1000*'ANALYSE - ERP =&gt; SOUS-SEGMENT'!$W$8:$W$1000))</f>
        <v>702</v>
      </c>
      <c r="X21" s="279">
        <f>IF($C21="","",SUMPRODUCT(('ANALYSE - ERP =&gt; SOUS-SEGMENT'!$C$8:$C$1000=$C21)*'ANALYSE - ERP =&gt; SOUS-SEGMENT'!$Q$8:$Q$1000*'ANALYSE - ERP =&gt; SOUS-SEGMENT'!$X$8:$X$1000))</f>
        <v>705</v>
      </c>
      <c r="Y21" s="279">
        <f>IF($C21="","",SUMPRODUCT(('ANALYSE - ERP =&gt; SOUS-SEGMENT'!$C$8:$C$1000=$C21)*'ANALYSE - ERP =&gt; SOUS-SEGMENT'!$Q$8:$Q$1000*'ANALYSE - ERP =&gt; SOUS-SEGMENT'!$Y$8:$Y$1000))</f>
        <v>708</v>
      </c>
      <c r="Z21" s="279">
        <f>IF($C21="","",SUMPRODUCT(('ANALYSE - ERP =&gt; SOUS-SEGMENT'!$C$8:$C$1000=$C21)*'ANALYSE - ERP =&gt; SOUS-SEGMENT'!$Q$8:$Q$1000*'ANALYSE - ERP =&gt; SOUS-SEGMENT'!$Z$8:$Z$1000))</f>
        <v>712</v>
      </c>
      <c r="AA21" s="279">
        <f>IF($C21="","",SUMPRODUCT(('ANALYSE - ERP =&gt; SOUS-SEGMENT'!$C$8:$C$1000=$C21)*'ANALYSE - ERP =&gt; SOUS-SEGMENT'!$Q$8:$Q$1000*'ANALYSE - ERP =&gt; SOUS-SEGMENT'!$AA$8:$AA$1000))</f>
        <v>666</v>
      </c>
      <c r="AB21" s="279">
        <f>IF($C21="","",SUMPRODUCT(('ANALYSE - ERP =&gt; SOUS-SEGMENT'!$C$8:$C$1000=$C21)*'ANALYSE - ERP =&gt; SOUS-SEGMENT'!$Q$8:$Q$1000*'ANALYSE - ERP =&gt; SOUS-SEGMENT'!$AB$8:$AB$1000))</f>
        <v>693</v>
      </c>
      <c r="AC21" s="279">
        <f>IF($C21="","",SUMPRODUCT(('ANALYSE - ERP =&gt; SOUS-SEGMENT'!$C$8:$C$1000=$C21)*'ANALYSE - ERP =&gt; SOUS-SEGMENT'!$Q$8:$Q$1000*'ANALYSE - ERP =&gt; SOUS-SEGMENT'!$AC$8:$AC$1000))</f>
        <v>720</v>
      </c>
      <c r="AD21" s="279">
        <f>IF($C21="","",SUMPRODUCT(('ANALYSE - ERP =&gt; SOUS-SEGMENT'!$C$8:$C$1000=$C21)*'ANALYSE - ERP =&gt; SOUS-SEGMENT'!$Q$8:$Q$1000*'ANALYSE - ERP =&gt; SOUS-SEGMENT'!$AD$8:$AD$1000))</f>
        <v>742</v>
      </c>
      <c r="AE21" s="279">
        <f>IF($C21="","",SUMPRODUCT(('ANALYSE - ERP =&gt; SOUS-SEGMENT'!$C$8:$C$1000=$C21)*'ANALYSE - ERP =&gt; SOUS-SEGMENT'!$Q$8:$Q$1000*'ANALYSE - ERP =&gt; SOUS-SEGMENT'!$AE$8:$AE$1000))</f>
        <v>759</v>
      </c>
      <c r="AF21" s="279">
        <f>IF($C21="","",SUMPRODUCT(('ANALYSE - ERP =&gt; SOUS-SEGMENT'!$C$8:$C$1000=$C21)*'ANALYSE - ERP =&gt; SOUS-SEGMENT'!$Q$8:$Q$1000*'ANALYSE - ERP =&gt; SOUS-SEGMENT'!$AF$8:$AF$1000))</f>
        <v>775</v>
      </c>
      <c r="AG21" s="279">
        <f>IF($C21="","",SUMPRODUCT(('ANALYSE - ERP =&gt; SOUS-SEGMENT'!$C$8:$C$1000=$C21)*'ANALYSE - ERP =&gt; SOUS-SEGMENT'!$Q$8:$Q$1000*'ANALYSE - ERP =&gt; SOUS-SEGMENT'!$AG$8:$AG$1000))</f>
        <v>784</v>
      </c>
      <c r="AH21" s="279">
        <f>IF($C21="","",SUMPRODUCT(('ANALYSE - ERP =&gt; SOUS-SEGMENT'!$C$8:$C$1000=$C21)*'ANALYSE - ERP =&gt; SOUS-SEGMENT'!$Q$8:$Q$1000*'ANALYSE - ERP =&gt; SOUS-SEGMENT'!$AH$8:$AH$1000))</f>
        <v>793</v>
      </c>
      <c r="AI21" s="279">
        <f>IF($C21="","",SUMPRODUCT(('ANALYSE - ERP =&gt; SOUS-SEGMENT'!$C$8:$C$1000=$C21)*'ANALYSE - ERP =&gt; SOUS-SEGMENT'!$Q$8:$Q$1000*'ANALYSE - ERP =&gt; SOUS-SEGMENT'!$AI$8:$AI$1000))</f>
        <v>802</v>
      </c>
      <c r="AJ21" s="279">
        <f>IF($C21="","",SUMPRODUCT(('ANALYSE - ERP =&gt; SOUS-SEGMENT'!$C$8:$C$1000=$C21)*'ANALYSE - ERP =&gt; SOUS-SEGMENT'!$Q$8:$Q$1000*'ANALYSE - ERP =&gt; SOUS-SEGMENT'!$AJ$8:$AJ$1000))</f>
        <v>811</v>
      </c>
      <c r="AK21" s="279">
        <f>IF($C21="","",SUMPRODUCT(('ANALYSE - ERP =&gt; SOUS-SEGMENT'!$C$8:$C$1000=$C21)*'ANALYSE - ERP =&gt; SOUS-SEGMENT'!$Q$8:$Q$1000*'ANALYSE - ERP =&gt; SOUS-SEGMENT'!$AK$8:$AK$1000))</f>
        <v>820</v>
      </c>
      <c r="AL21" s="646" t="s">
        <v>5727</v>
      </c>
      <c r="AM21" s="646" t="s">
        <v>5728</v>
      </c>
      <c r="AN21" s="646" t="s">
        <v>5729</v>
      </c>
      <c r="AO21" s="657"/>
      <c r="AP21" s="278">
        <f>IF($C21="","",IFERROR(SUMPRODUCT(('ANALYSE - ERP =&gt; SOUS-SEGMENT'!$C$8:$C$1000=$C21)*'ANALYSE - ERP =&gt; SOUS-SEGMENT'!$Q$8:$Q$1000*'ANALYSE - ERP =&gt; SOUS-SEGMENT'!$AF$8:$AF$1000*'ANALYSE - ERP =&gt; SOUS-SEGMENT'!$AP$8:$AP$1000)/SUMPRODUCT(('ANALYSE - ERP =&gt; SOUS-SEGMENT'!$C$8:$C$1000=$C21)*'ANALYSE - ERP =&gt; SOUS-SEGMENT'!$Q$8:$Q$1000*'ANALYSE - ERP =&gt; SOUS-SEGMENT'!$AF$8:$AF$1000),""))</f>
        <v>201.93548387096774</v>
      </c>
      <c r="AQ21" s="278">
        <f>IF($C21="","",IFERROR(SUMPRODUCT(('ANALYSE - ERP =&gt; SOUS-SEGMENT'!$C$8:$C$1000=$C21)*'ANALYSE - ERP =&gt; SOUS-SEGMENT'!$Q$8:$Q$1000*'ANALYSE - ERP =&gt; SOUS-SEGMENT'!$AF$8:$AF$1000*'ANALYSE - ERP =&gt; SOUS-SEGMENT'!$AQ$8:$AQ$1000)/SUMPRODUCT(('ANALYSE - ERP =&gt; SOUS-SEGMENT'!$C$8:$C$1000=$C21)*'ANALYSE - ERP =&gt; SOUS-SEGMENT'!$Q$8:$Q$1000*'ANALYSE - ERP =&gt; SOUS-SEGMENT'!$AF$8:$AF$1000),""))</f>
        <v>178.12903225806451</v>
      </c>
      <c r="AR21" s="278">
        <f>IF($C21="","",IFERROR(SUMPRODUCT(('ANALYSE - ERP =&gt; SOUS-SEGMENT'!$C$8:$C$1000=$C21)*'ANALYSE - ERP =&gt; SOUS-SEGMENT'!$Q$8:$Q$1000*'ANALYSE - ERP =&gt; SOUS-SEGMENT'!$AF$8:$AF$1000*'ANALYSE - ERP =&gt; SOUS-SEGMENT'!$AR$8:$AR$1000)/SUMPRODUCT(('ANALYSE - ERP =&gt; SOUS-SEGMENT'!$C$8:$C$1000=$C21)*'ANALYSE - ERP =&gt; SOUS-SEGMENT'!$Q$8:$Q$1000*'ANALYSE - ERP =&gt; SOUS-SEGMENT'!$AF$8:$AF$1000),""))</f>
        <v>15.870967741935484</v>
      </c>
      <c r="AS21" s="278">
        <f>IF($C21="","",IFERROR(SUMPRODUCT(('ANALYSE - ERP =&gt; SOUS-SEGMENT'!$C$8:$C$1000=$C21)*'ANALYSE - ERP =&gt; SOUS-SEGMENT'!$Q$8:$Q$1000*'ANALYSE - ERP =&gt; SOUS-SEGMENT'!$AF$8:$AF$1000*'ANALYSE - ERP =&gt; SOUS-SEGMENT'!$AS$8:$AS$1000)/SUMPRODUCT(('ANALYSE - ERP =&gt; SOUS-SEGMENT'!$C$8:$C$1000=$C21)*'ANALYSE - ERP =&gt; SOUS-SEGMENT'!$Q$8:$Q$1000*'ANALYSE - ERP =&gt; SOUS-SEGMENT'!$AF$8:$AF$1000),""))</f>
        <v>7.935483870967742</v>
      </c>
      <c r="AT21" s="657"/>
      <c r="AU21" s="646" t="s">
        <v>5730</v>
      </c>
      <c r="AV21" s="646" t="s">
        <v>5731</v>
      </c>
      <c r="AW21" s="646" t="s">
        <v>5732</v>
      </c>
      <c r="AX21" s="646" t="s">
        <v>5733</v>
      </c>
      <c r="AY21" s="657"/>
      <c r="AZ21" s="947">
        <f>IF($C21="","",IFERROR(SUMPRODUCT(('ANALYSE - ERP =&gt; SOUS-SEGMENT'!$C$8:$C$1000=$C21)*'ANALYSE - ERP =&gt; SOUS-SEGMENT'!$Q$8:$Q$1000*'ANALYSE - ERP =&gt; SOUS-SEGMENT'!$AF$8:$AF$1000*'ANALYSE - ERP =&gt; SOUS-SEGMENT'!$AZ$8:$AZ$1000)/SUMPRODUCT(('ANALYSE - ERP =&gt; SOUS-SEGMENT'!$C$8:$C$1000=$C21)*'ANALYSE - ERP =&gt; SOUS-SEGMENT'!$Q$8:$Q$1000*'ANALYSE - ERP =&gt; SOUS-SEGMENT'!$AF$8:$AF$1000),""))</f>
        <v>5.4838709677419351</v>
      </c>
      <c r="BA21" s="947">
        <f>IF($C21="","",IFERROR(SUMPRODUCT(('ANALYSE - ERP =&gt; SOUS-SEGMENT'!$C$8:$C$1000=$C21)*'ANALYSE - ERP =&gt; SOUS-SEGMENT'!$Q$8:$Q$1000*'ANALYSE - ERP =&gt; SOUS-SEGMENT'!$AF$8:$AF$1000*'ANALYSE - ERP =&gt; SOUS-SEGMENT'!$BA$8:$BA$1000)/SUMPRODUCT(('ANALYSE - ERP =&gt; SOUS-SEGMENT'!$C$8:$C$1000=$C21)*'ANALYSE - ERP =&gt; SOUS-SEGMENT'!$Q$8:$Q$1000*'ANALYSE - ERP =&gt; SOUS-SEGMENT'!$AF$8:$AF$1000),""))</f>
        <v>0.22903225806451613</v>
      </c>
      <c r="BB21" s="947">
        <f>IF($C21="","",IFERROR(SUMPRODUCT(('ANALYSE - ERP =&gt; SOUS-SEGMENT'!$C$8:$C$1000=$C21)*'ANALYSE - ERP =&gt; SOUS-SEGMENT'!$Q$8:$Q$1000*'ANALYSE - ERP =&gt; SOUS-SEGMENT'!$AF$8:$AF$1000*'ANALYSE - ERP =&gt; SOUS-SEGMENT'!$BB$8:$BB$1000)/SUMPRODUCT(('ANALYSE - ERP =&gt; SOUS-SEGMENT'!$C$8:$C$1000=$C21)*'ANALYSE - ERP =&gt; SOUS-SEGMENT'!$Q$8:$Q$1000*'ANALYSE - ERP =&gt; SOUS-SEGMENT'!$AF$8:$AF$1000),""))</f>
        <v>1.5161290322580645</v>
      </c>
      <c r="BC21" s="947">
        <f>IF($C21="","",IFERROR(SUMPRODUCT(('ANALYSE - ERP =&gt; SOUS-SEGMENT'!$C$8:$C$1000=$C21)*'ANALYSE - ERP =&gt; SOUS-SEGMENT'!$Q$8:$Q$1000*'ANALYSE - ERP =&gt; SOUS-SEGMENT'!$AF$8:$AF$1000*'ANALYSE - ERP =&gt; SOUS-SEGMENT'!$BC$8:$BC$1000)/SUMPRODUCT(('ANALYSE - ERP =&gt; SOUS-SEGMENT'!$C$8:$C$1000=$C21)*'ANALYSE - ERP =&gt; SOUS-SEGMENT'!$Q$8:$Q$1000*'ANALYSE - ERP =&gt; SOUS-SEGMENT'!$AF$8:$AF$1000),""))</f>
        <v>4.903225806451613</v>
      </c>
      <c r="BD21" s="826">
        <f t="shared" si="1"/>
        <v>9402.5</v>
      </c>
      <c r="BE21" s="283">
        <f>IF($C21="","",SUMPRODUCT(('ANALYSE - ERP =&gt; SOUS-SEGMENT'!$C$8:$C$1000=$C21)*'ANALYSE - ERP =&gt; SOUS-SEGMENT'!$Q$8:$Q$1000*'ANALYSE - ERP =&gt; SOUS-SEGMENT'!$BE$8:$BE$1000))</f>
        <v>4250</v>
      </c>
      <c r="BF21" s="283">
        <f>IF($C21="","",SUMPRODUCT(('ANALYSE - ERP =&gt; SOUS-SEGMENT'!$C$8:$C$1000=$C21)*'ANALYSE - ERP =&gt; SOUS-SEGMENT'!$Q$8:$Q$1000*'ANALYSE - ERP =&gt; SOUS-SEGMENT'!$BF$8:$BF$1000))</f>
        <v>177.5</v>
      </c>
      <c r="BG21" s="283">
        <f>IF($C21="","",SUMPRODUCT(('ANALYSE - ERP =&gt; SOUS-SEGMENT'!$C$8:$C$1000=$C21)*'ANALYSE - ERP =&gt; SOUS-SEGMENT'!$Q$8:$Q$1000*'ANALYSE - ERP =&gt; SOUS-SEGMENT'!$BG$8:$BG$1000))</f>
        <v>1175</v>
      </c>
      <c r="BH21" s="283">
        <f>IF($C21="","",SUMPRODUCT(('ANALYSE - ERP =&gt; SOUS-SEGMENT'!$C$8:$C$1000=$C21)*'ANALYSE - ERP =&gt; SOUS-SEGMENT'!$Q$8:$Q$1000*'ANALYSE - ERP =&gt; SOUS-SEGMENT'!$BH$8:$BH$1000))</f>
        <v>3800</v>
      </c>
      <c r="BI21" s="826">
        <f t="shared" si="2"/>
        <v>10126</v>
      </c>
      <c r="BJ21" s="283">
        <f>IF($C21="","",SUMPRODUCT(('ANALYSE - ERP =&gt; SOUS-SEGMENT'!$C$8:$C$1000=$C21)*'ANALYSE - ERP =&gt; SOUS-SEGMENT'!$Q$8:$Q$1000*'ANALYSE - ERP =&gt; SOUS-SEGMENT'!$BJ$8:$BJ$1000))</f>
        <v>4580</v>
      </c>
      <c r="BK21" s="283">
        <f>IF($C21="","",SUMPRODUCT(('ANALYSE - ERP =&gt; SOUS-SEGMENT'!$C$8:$C$1000=$C21)*'ANALYSE - ERP =&gt; SOUS-SEGMENT'!$Q$8:$Q$1000*'ANALYSE - ERP =&gt; SOUS-SEGMENT'!$BK$8:$BK$1000))</f>
        <v>188.5</v>
      </c>
      <c r="BL21" s="283">
        <f>IF($C21="","",SUMPRODUCT(('ANALYSE - ERP =&gt; SOUS-SEGMENT'!$C$8:$C$1000=$C21)*'ANALYSE - ERP =&gt; SOUS-SEGMENT'!$Q$8:$Q$1000*'ANALYSE - ERP =&gt; SOUS-SEGMENT'!$BL$8:$BL$1000))</f>
        <v>1267.5</v>
      </c>
      <c r="BM21" s="283">
        <f>IF($C21="","",SUMPRODUCT(('ANALYSE - ERP =&gt; SOUS-SEGMENT'!$C$8:$C$1000=$C21)*'ANALYSE - ERP =&gt; SOUS-SEGMENT'!$Q$8:$Q$1000*'ANALYSE - ERP =&gt; SOUS-SEGMENT'!$BM$8:$BM$1000))</f>
        <v>4090</v>
      </c>
      <c r="BN21" s="657"/>
      <c r="BO21" s="305">
        <f t="shared" si="3"/>
        <v>0.21635294117647058</v>
      </c>
      <c r="BP21" s="305">
        <f t="shared" si="4"/>
        <v>0.64588235294117646</v>
      </c>
      <c r="BQ21" s="305">
        <f t="shared" si="5"/>
        <v>6.7058823529411768E-2</v>
      </c>
      <c r="BR21" s="581">
        <f t="shared" si="6"/>
        <v>7.0705882352941174E-2</v>
      </c>
      <c r="BS21" s="706">
        <f t="shared" si="7"/>
        <v>0.19237991266375545</v>
      </c>
      <c r="BT21" s="305">
        <f t="shared" si="8"/>
        <v>0.64762008733624454</v>
      </c>
      <c r="BU21" s="305">
        <f t="shared" si="9"/>
        <v>9.2423580786026208E-2</v>
      </c>
      <c r="BV21" s="581">
        <f t="shared" si="10"/>
        <v>6.7576419213973796E-2</v>
      </c>
      <c r="BW21" s="713">
        <f t="shared" si="11"/>
        <v>0.7</v>
      </c>
      <c r="BX21" s="306">
        <f t="shared" si="12"/>
        <v>0.25</v>
      </c>
      <c r="BY21" s="590">
        <f t="shared" si="13"/>
        <v>0.05</v>
      </c>
      <c r="BZ21" s="713">
        <f t="shared" si="14"/>
        <v>0.53302387267904505</v>
      </c>
      <c r="CA21" s="306">
        <f t="shared" si="15"/>
        <v>0.37358090185676396</v>
      </c>
      <c r="CB21" s="590">
        <f t="shared" si="16"/>
        <v>9.339522546419099E-2</v>
      </c>
      <c r="CC21" s="706">
        <f t="shared" si="17"/>
        <v>0.10340425531914893</v>
      </c>
      <c r="CD21" s="305">
        <f t="shared" si="18"/>
        <v>0.54297872340425535</v>
      </c>
      <c r="CE21" s="305">
        <f t="shared" si="19"/>
        <v>0.10595744680851064</v>
      </c>
      <c r="CF21" s="581">
        <f t="shared" si="20"/>
        <v>0.24765957446808512</v>
      </c>
      <c r="CG21" s="706">
        <f t="shared" si="21"/>
        <v>8.2682445759368839E-2</v>
      </c>
      <c r="CH21" s="305">
        <f t="shared" si="22"/>
        <v>0.54319526627218939</v>
      </c>
      <c r="CI21" s="305">
        <f t="shared" si="23"/>
        <v>0.13412228796844181</v>
      </c>
      <c r="CJ21" s="581">
        <f t="shared" si="24"/>
        <v>0.24</v>
      </c>
      <c r="CK21" s="719">
        <f t="shared" si="25"/>
        <v>0.5513157894736842</v>
      </c>
      <c r="CL21" s="307">
        <f t="shared" si="26"/>
        <v>0.32763157894736844</v>
      </c>
      <c r="CM21" s="723">
        <f t="shared" si="27"/>
        <v>0.12105263157894737</v>
      </c>
      <c r="CN21" s="719">
        <f t="shared" si="28"/>
        <v>0.45403422982885083</v>
      </c>
      <c r="CO21" s="307">
        <f t="shared" si="29"/>
        <v>0.37408312958435208</v>
      </c>
      <c r="CP21" s="723">
        <f t="shared" si="30"/>
        <v>0.17188264058679706</v>
      </c>
      <c r="CQ21" s="657"/>
      <c r="CR21" s="804">
        <f>IF($C21="","",IFERROR(SUMPRODUCT(('ANALYSE - ERP =&gt; SOUS-SEGMENT'!$C$8:$C$1000=$C21)*'ANALYSE - ERP =&gt; SOUS-SEGMENT'!$Q$8:$Q$1000*'ANALYSE - ERP =&gt; SOUS-SEGMENT'!$DH$8:$DH$1000*'ANALYSE - ERP =&gt; SOUS-SEGMENT'!$CR$8:$CR$1000)/SUMPRODUCT(('ANALYSE - ERP =&gt; SOUS-SEGMENT'!$C$8:$C$1000=$C21)*'ANALYSE - ERP =&gt; SOUS-SEGMENT'!$Q$8:$Q$1000*'ANALYSE - ERP =&gt; SOUS-SEGMENT'!$DH$8:$DH$1000),""))</f>
        <v>12</v>
      </c>
      <c r="CS21" s="805">
        <f>IF($C21="","",IFERROR(SUMPRODUCT(('ANALYSE - ERP =&gt; SOUS-SEGMENT'!$C$8:$C$1000=$C21)*'ANALYSE - ERP =&gt; SOUS-SEGMENT'!$Q$8:$Q$1000*'ANALYSE - ERP =&gt; SOUS-SEGMENT'!$DI$8:$DI$1000*'ANALYSE - ERP =&gt; SOUS-SEGMENT'!$CS$8:$CS$1000)/SUMPRODUCT(('ANALYSE - ERP =&gt; SOUS-SEGMENT'!$C$8:$C$1000=$C21)*'ANALYSE - ERP =&gt; SOUS-SEGMENT'!$Q$8:$Q$1000*'ANALYSE - ERP =&gt; SOUS-SEGMENT'!$DI$8:$DI$1000),""))</f>
        <v>12.711475409836066</v>
      </c>
      <c r="CT21" s="805">
        <f>IF($C21="","",IFERROR(SUMPRODUCT(('ANALYSE - ERP =&gt; SOUS-SEGMENT'!$C$8:$C$1000=$C21)*'ANALYSE - ERP =&gt; SOUS-SEGMENT'!$Q$8:$Q$1000*'ANALYSE - ERP =&gt; SOUS-SEGMENT'!$DJ$8:$DJ$1000*'ANALYSE - ERP =&gt; SOUS-SEGMENT'!$CT$8:$CT$1000)/SUMPRODUCT(('ANALYSE - ERP =&gt; SOUS-SEGMENT'!$C$8:$C$1000=$C21)*'ANALYSE - ERP =&gt; SOUS-SEGMENT'!$Q$8:$Q$1000*'ANALYSE - ERP =&gt; SOUS-SEGMENT'!$DJ$8:$DJ$1000),""))</f>
        <v>9</v>
      </c>
      <c r="CU21" s="806">
        <f>IF($C21="","",IFERROR(SUMPRODUCT(('ANALYSE - ERP =&gt; SOUS-SEGMENT'!$C$8:$C$1000=$C21)*'ANALYSE - ERP =&gt; SOUS-SEGMENT'!$Q$8:$Q$1000*'ANALYSE - ERP =&gt; SOUS-SEGMENT'!$DK$8:$DK$1000*'ANALYSE - ERP =&gt; SOUS-SEGMENT'!$CU$8:$CU$1000)/SUMPRODUCT(('ANALYSE - ERP =&gt; SOUS-SEGMENT'!$C$8:$C$1000=$C21)*'ANALYSE - ERP =&gt; SOUS-SEGMENT'!$Q$8:$Q$1000*'ANALYSE - ERP =&gt; SOUS-SEGMENT'!$DK$8:$DK$1000),""))</f>
        <v>11</v>
      </c>
      <c r="CV21" s="804">
        <f>IF($C21="","",IFERROR(SUMPRODUCT(('ANALYSE - ERP =&gt; SOUS-SEGMENT'!$C$8:$C$1000=$C21)*'ANALYSE - ERP =&gt; SOUS-SEGMENT'!$Q$8:$Q$1000*'ANALYSE - ERP =&gt; SOUS-SEGMENT'!$DS$8:$DS$1000*'ANALYSE - ERP =&gt; SOUS-SEGMENT'!$CV$8:$CV$1000)/SUMPRODUCT(('ANALYSE - ERP =&gt; SOUS-SEGMENT'!$C$8:$C$1000=$C21)*'ANALYSE - ERP =&gt; SOUS-SEGMENT'!$Q$8:$Q$1000*'ANALYSE - ERP =&gt; SOUS-SEGMENT'!$DS$8:$DS$1000),""))</f>
        <v>10</v>
      </c>
      <c r="CW21" s="805">
        <f>IF($C21="","",IFERROR(SUMPRODUCT(('ANALYSE - ERP =&gt; SOUS-SEGMENT'!$C$8:$C$1000=$C21)*'ANALYSE - ERP =&gt; SOUS-SEGMENT'!$Q$8:$Q$1000*'ANALYSE - ERP =&gt; SOUS-SEGMENT'!$DT$8:$DT$1000*'ANALYSE - ERP =&gt; SOUS-SEGMENT'!$CW$8:$CW$1000)/SUMPRODUCT(('ANALYSE - ERP =&gt; SOUS-SEGMENT'!$C$8:$C$1000=$C21)*'ANALYSE - ERP =&gt; SOUS-SEGMENT'!$Q$8:$Q$1000*'ANALYSE - ERP =&gt; SOUS-SEGMENT'!$DT$8:$DT$1000),""))</f>
        <v>10</v>
      </c>
      <c r="CX21" s="806">
        <f>IF($C21="","",IFERROR(SUMPRODUCT(('ANALYSE - ERP =&gt; SOUS-SEGMENT'!$C$8:$C$1000=$C21)*'ANALYSE - ERP =&gt; SOUS-SEGMENT'!$Q$8:$Q$1000*'ANALYSE - ERP =&gt; SOUS-SEGMENT'!$DU$8:$DU$1000*'ANALYSE - ERP =&gt; SOUS-SEGMENT'!$CX$8:$CX$1000)/SUMPRODUCT(('ANALYSE - ERP =&gt; SOUS-SEGMENT'!$C$8:$C$1000=$C21)*'ANALYSE - ERP =&gt; SOUS-SEGMENT'!$Q$8:$Q$1000*'ANALYSE - ERP =&gt; SOUS-SEGMENT'!$DU$8:$DU$1000),""))</f>
        <v>8</v>
      </c>
      <c r="CY21" s="804">
        <f>IF($C21="","",IFERROR(SUMPRODUCT(('ANALYSE - ERP =&gt; SOUS-SEGMENT'!$C$8:$C$1000=$C21)*'ANALYSE - ERP =&gt; SOUS-SEGMENT'!$Q$8:$Q$1000*'ANALYSE - ERP =&gt; SOUS-SEGMENT'!$EB$8:$EB$1000*'ANALYSE - ERP =&gt; SOUS-SEGMENT'!$CY$8:$CY$1000)/SUMPRODUCT(('ANALYSE - ERP =&gt; SOUS-SEGMENT'!$C$8:$C$1000=$C21)*'ANALYSE - ERP =&gt; SOUS-SEGMENT'!$Q$8:$Q$1000*'ANALYSE - ERP =&gt; SOUS-SEGMENT'!$EB$8:$EB$1000),""))</f>
        <v>10</v>
      </c>
      <c r="CZ21" s="805">
        <f>IF($C21="","",IFERROR(SUMPRODUCT(('ANALYSE - ERP =&gt; SOUS-SEGMENT'!$C$8:$C$1000=$C21)*'ANALYSE - ERP =&gt; SOUS-SEGMENT'!$Q$8:$Q$1000*'ANALYSE - ERP =&gt; SOUS-SEGMENT'!$EC$8:$EC$1000*'ANALYSE - ERP =&gt; SOUS-SEGMENT'!$CZ$8:$CZ$1000)/SUMPRODUCT(('ANALYSE - ERP =&gt; SOUS-SEGMENT'!$C$8:$C$1000=$C21)*'ANALYSE - ERP =&gt; SOUS-SEGMENT'!$Q$8:$Q$1000*'ANALYSE - ERP =&gt; SOUS-SEGMENT'!$EC$8:$EC$1000),""))</f>
        <v>11.775862068965518</v>
      </c>
      <c r="DA21" s="805">
        <f>IF($C21="","",IFERROR(SUMPRODUCT(('ANALYSE - ERP =&gt; SOUS-SEGMENT'!$C$8:$C$1000=$C21)*'ANALYSE - ERP =&gt; SOUS-SEGMENT'!$Q$8:$Q$1000*'ANALYSE - ERP =&gt; SOUS-SEGMENT'!$ED$8:$ED$1000*'ANALYSE - ERP =&gt; SOUS-SEGMENT'!$DA$8:$DA$1000)/SUMPRODUCT(('ANALYSE - ERP =&gt; SOUS-SEGMENT'!$C$8:$C$1000=$C21)*'ANALYSE - ERP =&gt; SOUS-SEGMENT'!$Q$8:$Q$1000*'ANALYSE - ERP =&gt; SOUS-SEGMENT'!$ED$8:$ED$1000),""))</f>
        <v>8</v>
      </c>
      <c r="DB21" s="806">
        <f>IF($C21="","",IFERROR(SUMPRODUCT(('ANALYSE - ERP =&gt; SOUS-SEGMENT'!$C$8:$C$1000=$C21)*'ANALYSE - ERP =&gt; SOUS-SEGMENT'!$Q$8:$Q$1000*'ANALYSE - ERP =&gt; SOUS-SEGMENT'!$EE$8:$EE$1000*'ANALYSE - ERP =&gt; SOUS-SEGMENT'!$DB$8:$DB$1000)/SUMPRODUCT(('ANALYSE - ERP =&gt; SOUS-SEGMENT'!$C$8:$C$1000=$C21)*'ANALYSE - ERP =&gt; SOUS-SEGMENT'!$Q$8:$Q$1000*'ANALYSE - ERP =&gt; SOUS-SEGMENT'!$EE$8:$EE$1000),""))</f>
        <v>9.7731958762886606</v>
      </c>
      <c r="DC21" s="804">
        <f>IF($C21="","",IFERROR(SUMPRODUCT(('ANALYSE - ERP =&gt; SOUS-SEGMENT'!$C$8:$C$1000=$C21)*'ANALYSE - ERP =&gt; SOUS-SEGMENT'!$Q$8:$Q$1000*'ANALYSE - ERP =&gt; SOUS-SEGMENT'!$EM$8:$EM$1000*'ANALYSE - ERP =&gt; SOUS-SEGMENT'!$DC$8:$DC$1000)/SUMPRODUCT(('ANALYSE - ERP =&gt; SOUS-SEGMENT'!$C$8:$C$1000=$C21)*'ANALYSE - ERP =&gt; SOUS-SEGMENT'!$Q$8:$Q$1000*'ANALYSE - ERP =&gt; SOUS-SEGMENT'!$EM$8:$EM$1000),""))</f>
        <v>12.159904534606206</v>
      </c>
      <c r="DD21" s="805">
        <f>IF($C21="","",IFERROR(SUMPRODUCT(('ANALYSE - ERP =&gt; SOUS-SEGMENT'!$C$8:$C$1000=$C21)*'ANALYSE - ERP =&gt; SOUS-SEGMENT'!$Q$8:$Q$1000*'ANALYSE - ERP =&gt; SOUS-SEGMENT'!$EN$8:$EN$1000*'ANALYSE - ERP =&gt; SOUS-SEGMENT'!$DD$8:$DD$1000)/SUMPRODUCT(('ANALYSE - ERP =&gt; SOUS-SEGMENT'!$C$8:$C$1000=$C21)*'ANALYSE - ERP =&gt; SOUS-SEGMENT'!$Q$8:$Q$1000*'ANALYSE - ERP =&gt; SOUS-SEGMENT'!$EN$8:$EN$1000),""))</f>
        <v>12.734939759036145</v>
      </c>
      <c r="DE21" s="806">
        <f>IF($C21="","",IFERROR(SUMPRODUCT(('ANALYSE - ERP =&gt; SOUS-SEGMENT'!$C$8:$C$1000=$C21)*'ANALYSE - ERP =&gt; SOUS-SEGMENT'!$Q$8:$Q$1000*'ANALYSE - ERP =&gt; SOUS-SEGMENT'!$EO$8:$EO$1000*'ANALYSE - ERP =&gt; SOUS-SEGMENT'!$DE$8:$DE$1000)/SUMPRODUCT(('ANALYSE - ERP =&gt; SOUS-SEGMENT'!$C$8:$C$1000=$C21)*'ANALYSE - ERP =&gt; SOUS-SEGMENT'!$Q$8:$Q$1000*'ANALYSE - ERP =&gt; SOUS-SEGMENT'!$EO$8:$EO$1000),""))</f>
        <v>9</v>
      </c>
      <c r="DF21" s="919" t="s">
        <v>5734</v>
      </c>
      <c r="DG21" s="657"/>
      <c r="DH21" s="308">
        <f>IF($C21="","",SUMPRODUCT(('ANALYSE - ERP =&gt; SOUS-SEGMENT'!$C$8:$C$1000=$C21)*'ANALYSE - ERP =&gt; SOUS-SEGMENT'!$Q$8:$Q$1000*'ANALYSE - ERP =&gt; SOUS-SEGMENT'!$DH$8:$DH$1000))</f>
        <v>919.5</v>
      </c>
      <c r="DI21" s="308">
        <f>IF($C21="","",SUMPRODUCT(('ANALYSE - ERP =&gt; SOUS-SEGMENT'!$C$8:$C$1000=$C21)*'ANALYSE - ERP =&gt; SOUS-SEGMENT'!$Q$8:$Q$1000*'ANALYSE - ERP =&gt; SOUS-SEGMENT'!$DI$8:$DI$1000))</f>
        <v>2745</v>
      </c>
      <c r="DJ21" s="308">
        <f>IF($C21="","",SUMPRODUCT(('ANALYSE - ERP =&gt; SOUS-SEGMENT'!$C$8:$C$1000=$C21)*'ANALYSE - ERP =&gt; SOUS-SEGMENT'!$Q$8:$Q$1000*'ANALYSE - ERP =&gt; SOUS-SEGMENT'!$DJ$8:$DJ$1000))</f>
        <v>285</v>
      </c>
      <c r="DK21" s="308">
        <f>IF($C21="","",SUMPRODUCT(('ANALYSE - ERP =&gt; SOUS-SEGMENT'!$C$8:$C$1000=$C21)*'ANALYSE - ERP =&gt; SOUS-SEGMENT'!$Q$8:$Q$1000*'ANALYSE - ERP =&gt; SOUS-SEGMENT'!$DK$8:$DK$1000))</f>
        <v>300.5</v>
      </c>
      <c r="DL21" s="646" t="s">
        <v>5735</v>
      </c>
      <c r="DM21" s="308">
        <f>IF($C21="","",SUMPRODUCT(('ANALYSE - ERP =&gt; SOUS-SEGMENT'!$C$8:$C$1000=$C21)*'ANALYSE - ERP =&gt; SOUS-SEGMENT'!$Q$8:$Q$1000*'ANALYSE - ERP =&gt; SOUS-SEGMENT'!$DM$8:$DM$1000))</f>
        <v>881.1</v>
      </c>
      <c r="DN21" s="308">
        <f>IF($C21="","",SUMPRODUCT(('ANALYSE - ERP =&gt; SOUS-SEGMENT'!$C$8:$C$1000=$C21)*'ANALYSE - ERP =&gt; SOUS-SEGMENT'!$Q$8:$Q$1000*'ANALYSE - ERP =&gt; SOUS-SEGMENT'!$DN$8:$DN$1000))</f>
        <v>2966.1</v>
      </c>
      <c r="DO21" s="308">
        <f>IF($C21="","",SUMPRODUCT(('ANALYSE - ERP =&gt; SOUS-SEGMENT'!$C$8:$C$1000=$C21)*'ANALYSE - ERP =&gt; SOUS-SEGMENT'!$Q$8:$Q$1000*'ANALYSE - ERP =&gt; SOUS-SEGMENT'!$DO$8:$DO$1000))</f>
        <v>423.3</v>
      </c>
      <c r="DP21" s="308">
        <f>IF($C21="","",SUMPRODUCT(('ANALYSE - ERP =&gt; SOUS-SEGMENT'!$C$8:$C$1000=$C21)*'ANALYSE - ERP =&gt; SOUS-SEGMENT'!$Q$8:$Q$1000*'ANALYSE - ERP =&gt; SOUS-SEGMENT'!$DP$8:$DP$1000))</f>
        <v>309.5</v>
      </c>
      <c r="DQ21" s="646" t="s">
        <v>5736</v>
      </c>
      <c r="DR21" s="657"/>
      <c r="DS21" s="308">
        <f>IF($C21="","",SUMPRODUCT(('ANALYSE - ERP =&gt; SOUS-SEGMENT'!$C$8:$C$1000=$C21)*'ANALYSE - ERP =&gt; SOUS-SEGMENT'!$Q$8:$Q$1000*'ANALYSE - ERP =&gt; SOUS-SEGMENT'!$DS$8:$DS$1000))</f>
        <v>124.25</v>
      </c>
      <c r="DT21" s="308">
        <f>IF($C21="","",SUMPRODUCT(('ANALYSE - ERP =&gt; SOUS-SEGMENT'!$C$8:$C$1000=$C21)*'ANALYSE - ERP =&gt; SOUS-SEGMENT'!$Q$8:$Q$1000*'ANALYSE - ERP =&gt; SOUS-SEGMENT'!$DT$8:$DT$1000))</f>
        <v>44.375</v>
      </c>
      <c r="DU21" s="308">
        <f>IF($C21="","",SUMPRODUCT(('ANALYSE - ERP =&gt; SOUS-SEGMENT'!$C$8:$C$1000=$C21)*'ANALYSE - ERP =&gt; SOUS-SEGMENT'!$Q$8:$Q$1000*'ANALYSE - ERP =&gt; SOUS-SEGMENT'!$DU$8:$DU$1000))</f>
        <v>8.875</v>
      </c>
      <c r="DV21" s="646" t="s">
        <v>5737</v>
      </c>
      <c r="DW21" s="308">
        <f>IF($C21="","",SUMPRODUCT(('ANALYSE - ERP =&gt; SOUS-SEGMENT'!$C$8:$C$1000=$C21)*'ANALYSE - ERP =&gt; SOUS-SEGMENT'!$Q$8:$Q$1000*'ANALYSE - ERP =&gt; SOUS-SEGMENT'!$DW$8:$DW$1000))</f>
        <v>100.47499999999999</v>
      </c>
      <c r="DX21" s="308">
        <f>IF($C21="","",SUMPRODUCT(('ANALYSE - ERP =&gt; SOUS-SEGMENT'!$C$8:$C$1000=$C21)*'ANALYSE - ERP =&gt; SOUS-SEGMENT'!$Q$8:$Q$1000*'ANALYSE - ERP =&gt; SOUS-SEGMENT'!$DX$8:$DX$1000))</f>
        <v>70.42</v>
      </c>
      <c r="DY21" s="308">
        <f>IF($C21="","",SUMPRODUCT(('ANALYSE - ERP =&gt; SOUS-SEGMENT'!$C$8:$C$1000=$C21)*'ANALYSE - ERP =&gt; SOUS-SEGMENT'!$Q$8:$Q$1000*'ANALYSE - ERP =&gt; SOUS-SEGMENT'!$DY$8:$DY$1000))</f>
        <v>17.605</v>
      </c>
      <c r="DZ21" s="646" t="s">
        <v>5738</v>
      </c>
      <c r="EA21" s="657"/>
      <c r="EB21" s="308">
        <f>IF($C21="","",SUMPRODUCT(('ANALYSE - ERP =&gt; SOUS-SEGMENT'!$C$8:$C$1000=$C21)*'ANALYSE - ERP =&gt; SOUS-SEGMENT'!$Q$8:$Q$1000*'ANALYSE - ERP =&gt; SOUS-SEGMENT'!$EB$8:$EB$1000))</f>
        <v>121.5</v>
      </c>
      <c r="EC21" s="308">
        <f>IF($C21="","",SUMPRODUCT(('ANALYSE - ERP =&gt; SOUS-SEGMENT'!$C$8:$C$1000=$C21)*'ANALYSE - ERP =&gt; SOUS-SEGMENT'!$Q$8:$Q$1000*'ANALYSE - ERP =&gt; SOUS-SEGMENT'!$EC$8:$EC$1000))</f>
        <v>638</v>
      </c>
      <c r="ED21" s="308">
        <f>IF($C21="","",SUMPRODUCT(('ANALYSE - ERP =&gt; SOUS-SEGMENT'!$C$8:$C$1000=$C21)*'ANALYSE - ERP =&gt; SOUS-SEGMENT'!$Q$8:$Q$1000*'ANALYSE - ERP =&gt; SOUS-SEGMENT'!$ED$8:$ED$1000))</f>
        <v>124.5</v>
      </c>
      <c r="EE21" s="308">
        <f>IF($C21="","",SUMPRODUCT(('ANALYSE - ERP =&gt; SOUS-SEGMENT'!$C$8:$C$1000=$C21)*'ANALYSE - ERP =&gt; SOUS-SEGMENT'!$Q$8:$Q$1000*'ANALYSE - ERP =&gt; SOUS-SEGMENT'!$EE$8:$EE$1000))</f>
        <v>291</v>
      </c>
      <c r="EF21" s="646" t="s">
        <v>5739</v>
      </c>
      <c r="EG21" s="308">
        <f>IF($C21="","",SUMPRODUCT(('ANALYSE - ERP =&gt; SOUS-SEGMENT'!$C$8:$C$1000=$C21)*'ANALYSE - ERP =&gt; SOUS-SEGMENT'!$Q$8:$Q$1000*'ANALYSE - ERP =&gt; SOUS-SEGMENT'!$EG$8:$EG$1000))</f>
        <v>104.8</v>
      </c>
      <c r="EH21" s="308">
        <f>IF($C21="","",SUMPRODUCT(('ANALYSE - ERP =&gt; SOUS-SEGMENT'!$C$8:$C$1000=$C21)*'ANALYSE - ERP =&gt; SOUS-SEGMENT'!$Q$8:$Q$1000*'ANALYSE - ERP =&gt; SOUS-SEGMENT'!$EH$8:$EH$1000))</f>
        <v>688.5</v>
      </c>
      <c r="EI21" s="308">
        <f>IF($C21="","",SUMPRODUCT(('ANALYSE - ERP =&gt; SOUS-SEGMENT'!$C$8:$C$1000=$C21)*'ANALYSE - ERP =&gt; SOUS-SEGMENT'!$Q$8:$Q$1000*'ANALYSE - ERP =&gt; SOUS-SEGMENT'!$EI$8:$EI$1000))</f>
        <v>170</v>
      </c>
      <c r="EJ21" s="308">
        <f>IF($C21="","",SUMPRODUCT(('ANALYSE - ERP =&gt; SOUS-SEGMENT'!$C$8:$C$1000=$C21)*'ANALYSE - ERP =&gt; SOUS-SEGMENT'!$Q$8:$Q$1000*'ANALYSE - ERP =&gt; SOUS-SEGMENT'!$EJ$8:$EJ$1000))</f>
        <v>304.2</v>
      </c>
      <c r="EK21" s="936" t="s">
        <v>5740</v>
      </c>
      <c r="EL21" s="657"/>
      <c r="EM21" s="308">
        <f>IF($C21="","",SUMPRODUCT(('ANALYSE - ERP =&gt; SOUS-SEGMENT'!$C$8:$C$1000=$C21)*'ANALYSE - ERP =&gt; SOUS-SEGMENT'!$Q$8:$Q$1000*'ANALYSE - ERP =&gt; SOUS-SEGMENT'!$EM$8:$EM$1000))</f>
        <v>2095</v>
      </c>
      <c r="EN21" s="310">
        <f>IF($C21="","",SUMPRODUCT(('ANALYSE - ERP =&gt; SOUS-SEGMENT'!$C$8:$C$1000=$C21)*'ANALYSE - ERP =&gt; SOUS-SEGMENT'!$Q$8:$Q$1000*'ANALYSE - ERP =&gt; SOUS-SEGMENT'!$EN$8:$EN$1000))</f>
        <v>1245</v>
      </c>
      <c r="EO21" s="310">
        <f>IF($C21="","",SUMPRODUCT(('ANALYSE - ERP =&gt; SOUS-SEGMENT'!$C$8:$C$1000=$C21)*'ANALYSE - ERP =&gt; SOUS-SEGMENT'!$Q$8:$Q$1000*'ANALYSE - ERP =&gt; SOUS-SEGMENT'!$EO$8:$EO$1000))</f>
        <v>460</v>
      </c>
      <c r="EP21" s="646" t="s">
        <v>5741</v>
      </c>
      <c r="EQ21" s="308">
        <f>IF($C21="","",SUMPRODUCT(('ANALYSE - ERP =&gt; SOUS-SEGMENT'!$C$8:$C$1000=$C21)*'ANALYSE - ERP =&gt; SOUS-SEGMENT'!$Q$8:$Q$1000*'ANALYSE - ERP =&gt; SOUS-SEGMENT'!$EQ$8:$EQ$1000))</f>
        <v>1857</v>
      </c>
      <c r="ER21" s="310">
        <f>IF($C21="","",SUMPRODUCT(('ANALYSE - ERP =&gt; SOUS-SEGMENT'!$C$8:$C$1000=$C21)*'ANALYSE - ERP =&gt; SOUS-SEGMENT'!$Q$8:$Q$1000*'ANALYSE - ERP =&gt; SOUS-SEGMENT'!$ER$8:$ER$1000))</f>
        <v>1530</v>
      </c>
      <c r="ES21" s="310">
        <f>IF($C21="","",SUMPRODUCT(('ANALYSE - ERP =&gt; SOUS-SEGMENT'!$C$8:$C$1000=$C21)*'ANALYSE - ERP =&gt; SOUS-SEGMENT'!$Q$8:$Q$1000*'ANALYSE - ERP =&gt; SOUS-SEGMENT'!$ES$8:$ES$1000))</f>
        <v>703</v>
      </c>
      <c r="ET21" s="646" t="s">
        <v>5742</v>
      </c>
      <c r="EU21" s="657"/>
      <c r="EV21" s="728">
        <f t="shared" si="31"/>
        <v>0.68819542721052007</v>
      </c>
      <c r="EW21" s="728">
        <f t="shared" si="32"/>
        <v>0.31180457278947998</v>
      </c>
      <c r="EX21" s="311">
        <f t="shared" si="33"/>
        <v>3843.0905271201627</v>
      </c>
      <c r="EY21" s="311">
        <f t="shared" si="34"/>
        <v>2644.7973271201631</v>
      </c>
      <c r="EZ21" s="311">
        <f t="shared" si="35"/>
        <v>1198.2931999999998</v>
      </c>
      <c r="FA21" s="311">
        <f t="shared" si="36"/>
        <v>1693.1843961707459</v>
      </c>
      <c r="FB21" s="311">
        <f>IF($C21="","",SUMPRODUCT(('ANALYSE - ERP =&gt; SOUS-SEGMENT'!$C$8:$C$1000=$C21)*'ANALYSE - ERP =&gt; SOUS-SEGMENT'!$Q$8:$Q$1000*'ANALYSE - ERP =&gt; SOUS-SEGMENT'!$FB$8:$FB$1000))</f>
        <v>1149.9923961707459</v>
      </c>
      <c r="FC21" s="311">
        <f>IF($C21="","",SUMPRODUCT(('ANALYSE - ERP =&gt; SOUS-SEGMENT'!$C$8:$C$1000=$C21)*'ANALYSE - ERP =&gt; SOUS-SEGMENT'!$Q$8:$Q$1000*'ANALYSE - ERP =&gt; SOUS-SEGMENT'!$FC$8:$FC$1000))</f>
        <v>543.19200000000001</v>
      </c>
      <c r="FD21" s="311">
        <f t="shared" si="37"/>
        <v>83.559395899999998</v>
      </c>
      <c r="FE21" s="311">
        <f>IF($C21="","",SUMPRODUCT(('ANALYSE - ERP =&gt; SOUS-SEGMENT'!$C$8:$C$1000=$C21)*'ANALYSE - ERP =&gt; SOUS-SEGMENT'!$Q$8:$Q$1000*'ANALYSE - ERP =&gt; SOUS-SEGMENT'!$FE$8:$FE$1000))</f>
        <v>62.328195899999997</v>
      </c>
      <c r="FF21" s="311">
        <f>IF($C21="","",SUMPRODUCT(('ANALYSE - ERP =&gt; SOUS-SEGMENT'!$C$8:$C$1000=$C21)*'ANALYSE - ERP =&gt; SOUS-SEGMENT'!$Q$8:$Q$1000*'ANALYSE - ERP =&gt; SOUS-SEGMENT'!$FF$8:$FF$1000))</f>
        <v>21.231200000000001</v>
      </c>
      <c r="FG21" s="311">
        <f t="shared" si="38"/>
        <v>515.70268567878782</v>
      </c>
      <c r="FH21" s="311">
        <f>IF($C21="","",SUMPRODUCT(('ANALYSE - ERP =&gt; SOUS-SEGMENT'!$C$8:$C$1000=$C21)*'ANALYSE - ERP =&gt; SOUS-SEGMENT'!$Q$8:$Q$1000*'ANALYSE - ERP =&gt; SOUS-SEGMENT'!$FH$8:$FH$1000))</f>
        <v>364.86468567878785</v>
      </c>
      <c r="FI21" s="311">
        <f>IF($C21="","",SUMPRODUCT(('ANALYSE - ERP =&gt; SOUS-SEGMENT'!$C$8:$C$1000=$C21)*'ANALYSE - ERP =&gt; SOUS-SEGMENT'!$Q$8:$Q$1000*'ANALYSE - ERP =&gt; SOUS-SEGMENT'!$FI$8:$FI$1000))</f>
        <v>150.83799999999999</v>
      </c>
      <c r="FJ21" s="311">
        <f t="shared" si="39"/>
        <v>1550.6440493706293</v>
      </c>
      <c r="FK21" s="311">
        <f>IF($C21="","",SUMPRODUCT(('ANALYSE - ERP =&gt; SOUS-SEGMENT'!$C$8:$C$1000=$C21)*'ANALYSE - ERP =&gt; SOUS-SEGMENT'!$Q$8:$Q$1000*'ANALYSE - ERP =&gt; SOUS-SEGMENT'!$FK$8:$FK$1000))</f>
        <v>1067.6120493706294</v>
      </c>
      <c r="FL21" s="311">
        <f>IF($C21="","",SUMPRODUCT(('ANALYSE - ERP =&gt; SOUS-SEGMENT'!$C$8:$C$1000=$C21)*'ANALYSE - ERP =&gt; SOUS-SEGMENT'!$Q$8:$Q$1000*'ANALYSE - ERP =&gt; SOUS-SEGMENT'!$FL$8:$FL$1000))</f>
        <v>483.03199999999998</v>
      </c>
      <c r="FM21" s="657"/>
      <c r="FN21" s="954" t="s">
        <v>2649</v>
      </c>
      <c r="FO21" s="728">
        <f>IF($C21="","",IFERROR(SUMPRODUCT(('ANALYSE - ERP =&gt; SOUS-SEGMENT'!$C$8:$C$1000=$C21)*'ANALYSE - ERP =&gt; SOUS-SEGMENT'!$Q$8:$Q$1000*'ANALYSE - ERP =&gt; SOUS-SEGMENT'!$AF$8:$AF$1000*'ANALYSE - ERP =&gt; SOUS-SEGMENT'!$FO$8:$FO$1000)/SUMPRODUCT(('ANALYSE - ERP =&gt; SOUS-SEGMENT'!$C$8:$C$1000=$C21)*'ANALYSE - ERP =&gt; SOUS-SEGMENT'!$Q$8:$Q$1000*'ANALYSE - ERP =&gt; SOUS-SEGMENT'!$AF$8:$AF$1000),""))</f>
        <v>5.9504516129032251E-2</v>
      </c>
      <c r="FP21" s="729">
        <f>IF($C21="","",IFERROR(SUMPRODUCT(('ANALYSE - ERP =&gt; SOUS-SEGMENT'!$C$8:$C$1000=$C21)*'ANALYSE - ERP =&gt; SOUS-SEGMENT'!$Q$8:$Q$1000*'ANALYSE - ERP =&gt; SOUS-SEGMENT'!$AF$8:$AF$1000*'ANALYSE - ERP =&gt; SOUS-SEGMENT'!$FP$8:$FP$1000)/SUMPRODUCT(('ANALYSE - ERP =&gt; SOUS-SEGMENT'!$C$8:$C$1000=$C21)*'ANALYSE - ERP =&gt; SOUS-SEGMENT'!$Q$8:$Q$1000*'ANALYSE - ERP =&gt; SOUS-SEGMENT'!$AF$8:$AF$1000),""))</f>
        <v>0.78189967741935484</v>
      </c>
      <c r="FQ21" s="954" t="s">
        <v>5743</v>
      </c>
      <c r="FR21" s="657"/>
      <c r="FS21" s="865">
        <f>IF($C21="","",IFERROR(SUMPRODUCT(('ANALYSE - ERP =&gt; SOUS-SEGMENT'!$C$8:$C$1000=$C21)*'ANALYSE - ERP =&gt; SOUS-SEGMENT'!$Q$8:$Q$1000*'ANALYSE - ERP =&gt; SOUS-SEGMENT'!$EX$8:$EX$1000*'ANALYSE - ERP =&gt; SOUS-SEGMENT'!$FS$8:$FS$1000)/SUMPRODUCT(('ANALYSE - ERP =&gt; SOUS-SEGMENT'!$C$8:$C$1000=$C21)*'ANALYSE - ERP =&gt; SOUS-SEGMENT'!$Q$8:$Q$1000*'ANALYSE - ERP =&gt; SOUS-SEGMENT'!$EX$8:$EX$1000),""))</f>
        <v>3.07</v>
      </c>
      <c r="FT21" s="312">
        <f>IF($C21="","",RANK($FS21,$FS$8:$FS$43,0)+COUNTIF($FS$8:$FS21,$FS21)-1)</f>
        <v>25</v>
      </c>
      <c r="FU21" s="865">
        <f>IF($C21="","",IFERROR(SUMPRODUCT(('ANALYSE - ERP =&gt; SOUS-SEGMENT'!$C$8:$C$1000=$C21)*'ANALYSE - ERP =&gt; SOUS-SEGMENT'!$Q$8:$Q$1000*'ANALYSE - ERP =&gt; SOUS-SEGMENT'!$EY$8:$EY$1000*'ANALYSE - ERP =&gt; SOUS-SEGMENT'!$FU$8:$FU$1000)/SUMPRODUCT(('ANALYSE - ERP =&gt; SOUS-SEGMENT'!$C$8:$C$1000=$C21)*'ANALYSE - ERP =&gt; SOUS-SEGMENT'!$Q$8:$Q$1000*'ANALYSE - ERP =&gt; SOUS-SEGMENT'!$EY$8:$EY$1000),""))</f>
        <v>3.705621425254003</v>
      </c>
      <c r="FV21" s="312">
        <f>IF($C21="","",RANK($FU21,$FU$8:$FU$43,0)+COUNTIF($FU$8:$FU21,$FU21)-1)</f>
        <v>28</v>
      </c>
      <c r="FW21" s="865">
        <f>IF($C21="","",IFERROR(SUMPRODUCT(('ANALYSE - ERP =&gt; SOUS-SEGMENT'!$C$8:$C$1000=$C21)*'ANALYSE - ERP =&gt; SOUS-SEGMENT'!$Q$8:$Q$1000*'ANALYSE - ERP =&gt; SOUS-SEGMENT'!$EZ$8:$EZ$1000*'ANALYSE - ERP =&gt; SOUS-SEGMENT'!$FW$8:$FW$1000)/SUMPRODUCT(('ANALYSE - ERP =&gt; SOUS-SEGMENT'!$C$8:$C$1000=$C21)*'ANALYSE - ERP =&gt; SOUS-SEGMENT'!$Q$8:$Q$1000*'ANALYSE - ERP =&gt; SOUS-SEGMENT'!$EZ$8:$EZ$1000),""))</f>
        <v>2.0478796341329484</v>
      </c>
      <c r="FX21" s="312">
        <f>IF($C21="","",RANK($FW21,$FW$8:$FW$43,0)+COUNTIF($FW$8:$FW21,$FW21)-1)</f>
        <v>26</v>
      </c>
      <c r="FY21" s="657"/>
      <c r="FZ21" s="646" t="s">
        <v>5744</v>
      </c>
      <c r="GA21" s="646" t="s">
        <v>5745</v>
      </c>
      <c r="GB21" s="646" t="s">
        <v>5746</v>
      </c>
      <c r="GC21" s="646" t="s">
        <v>5747</v>
      </c>
      <c r="GD21" s="646" t="s">
        <v>5748</v>
      </c>
      <c r="GE21" s="646" t="s">
        <v>5749</v>
      </c>
      <c r="GF21" s="276" t="s">
        <v>5750</v>
      </c>
      <c r="GG21" s="657"/>
      <c r="GH21" s="311">
        <f t="shared" si="40"/>
        <v>354.06987191666667</v>
      </c>
      <c r="GI21" s="311">
        <f>IF($C21="","",SUMPRODUCT(('ANALYSE - ERP =&gt; SOUS-SEGMENT'!$C$8:$C$1000=$C21)*'ANALYSE - ERP =&gt; SOUS-SEGMENT'!$Q$8:$Q$1000*'ANALYSE - ERP =&gt; SOUS-SEGMENT'!$GI$8:$GI$1000))</f>
        <v>247.99555191666667</v>
      </c>
      <c r="GJ21" s="311">
        <f>IF($C21="","",SUMPRODUCT(('ANALYSE - ERP =&gt; SOUS-SEGMENT'!$C$8:$C$1000=$C21)*'ANALYSE - ERP =&gt; SOUS-SEGMENT'!$Q$8:$Q$1000*'ANALYSE - ERP =&gt; SOUS-SEGMENT'!$GJ$8:$GJ$1000))</f>
        <v>106.07432</v>
      </c>
      <c r="GK21" s="311">
        <f t="shared" si="41"/>
        <v>1060.1238807692307</v>
      </c>
      <c r="GL21" s="311">
        <f>IF($C21="","",SUMPRODUCT(('ANALYSE - ERP =&gt; SOUS-SEGMENT'!$C$8:$C$1000=$C21)*'ANALYSE - ERP =&gt; SOUS-SEGMENT'!$Q$8:$Q$1000*'ANALYSE - ERP =&gt; SOUS-SEGMENT'!$GL$8:$GL$1000))</f>
        <v>709.91692076923073</v>
      </c>
      <c r="GM21" s="311">
        <f>IF($C21="","",SUMPRODUCT(('ANALYSE - ERP =&gt; SOUS-SEGMENT'!$C$8:$C$1000=$C21)*'ANALYSE - ERP =&gt; SOUS-SEGMENT'!$Q$8:$Q$1000*'ANALYSE - ERP =&gt; SOUS-SEGMENT'!$GM$8:$GM$1000))</f>
        <v>350.20695999999998</v>
      </c>
      <c r="GN21" s="311">
        <f t="shared" si="42"/>
        <v>149.40930666666668</v>
      </c>
      <c r="GO21" s="311">
        <f>IF($C21="","",SUMPRODUCT(('ANALYSE - ERP =&gt; SOUS-SEGMENT'!$C$8:$C$1000=$C21)*'ANALYSE - ERP =&gt; SOUS-SEGMENT'!$Q$8:$Q$1000*'ANALYSE - ERP =&gt; SOUS-SEGMENT'!$GO$8:$GO$1000))</f>
        <v>98.20322666666668</v>
      </c>
      <c r="GP21" s="311">
        <f>IF($C21="","",SUMPRODUCT(('ANALYSE - ERP =&gt; SOUS-SEGMENT'!$C$8:$C$1000=$C21)*'ANALYSE - ERP =&gt; SOUS-SEGMENT'!$Q$8:$Q$1000*'ANALYSE - ERP =&gt; SOUS-SEGMENT'!$GP$8:$GP$1000))</f>
        <v>51.20608</v>
      </c>
      <c r="GQ21" s="311">
        <f t="shared" si="43"/>
        <v>129.58133681818182</v>
      </c>
      <c r="GR21" s="311">
        <f>IF($C21="","",SUMPRODUCT(('ANALYSE - ERP =&gt; SOUS-SEGMENT'!$C$8:$C$1000=$C21)*'ANALYSE - ERP =&gt; SOUS-SEGMENT'!$Q$8:$Q$1000*'ANALYSE - ERP =&gt; SOUS-SEGMENT'!$GR$8:$GR$1000))</f>
        <v>93.876696818181827</v>
      </c>
      <c r="GS21" s="311">
        <f>IF($C21="","",SUMPRODUCT(('ANALYSE - ERP =&gt; SOUS-SEGMENT'!$C$8:$C$1000=$C21)*'ANALYSE - ERP =&gt; SOUS-SEGMENT'!$Q$8:$Q$1000*'ANALYSE - ERP =&gt; SOUS-SEGMENT'!$GS$8:$GS$1000))</f>
        <v>35.704639999999998</v>
      </c>
      <c r="GT21" s="311">
        <f t="shared" si="44"/>
        <v>54.183014649999997</v>
      </c>
      <c r="GU21" s="311">
        <f>IF($C21="","",SUMPRODUCT(('ANALYSE - ERP =&gt; SOUS-SEGMENT'!$C$8:$C$1000=$C21)*'ANALYSE - ERP =&gt; SOUS-SEGMENT'!$Q$8:$Q$1000*'ANALYSE - ERP =&gt; SOUS-SEGMENT'!$GU$8:$GU$1000))</f>
        <v>43.089934649999996</v>
      </c>
      <c r="GV21" s="311">
        <f>IF($C21="","",SUMPRODUCT(('ANALYSE - ERP =&gt; SOUS-SEGMENT'!$C$8:$C$1000=$C21)*'ANALYSE - ERP =&gt; SOUS-SEGMENT'!$Q$8:$Q$1000*'ANALYSE - ERP =&gt; SOUS-SEGMENT'!$GV$8:$GV$1000))</f>
        <v>11.09308</v>
      </c>
      <c r="GW21" s="311">
        <f t="shared" si="45"/>
        <v>23.499758375000003</v>
      </c>
      <c r="GX21" s="311">
        <f>IF($C21="","",SUMPRODUCT(('ANALYSE - ERP =&gt; SOUS-SEGMENT'!$C$8:$C$1000=$C21)*'ANALYSE - ERP =&gt; SOUS-SEGMENT'!$Q$8:$Q$1000*'ANALYSE - ERP =&gt; SOUS-SEGMENT'!$GX$8:$GX$1000))</f>
        <v>15.389262375000001</v>
      </c>
      <c r="GY21" s="311">
        <f>IF($C21="","",SUMPRODUCT(('ANALYSE - ERP =&gt; SOUS-SEGMENT'!$C$8:$C$1000=$C21)*'ANALYSE - ERP =&gt; SOUS-SEGMENT'!$Q$8:$Q$1000*'ANALYSE - ERP =&gt; SOUS-SEGMENT'!$GY$8:$GY$1000))</f>
        <v>8.1104960000000013</v>
      </c>
      <c r="GZ21" s="311">
        <f t="shared" si="46"/>
        <v>5.8766228750000007</v>
      </c>
      <c r="HA21" s="311">
        <f>IF($C21="","",SUMPRODUCT(('ANALYSE - ERP =&gt; SOUS-SEGMENT'!$C$8:$C$1000=$C21)*'ANALYSE - ERP =&gt; SOUS-SEGMENT'!$Q$8:$Q$1000*'ANALYSE - ERP =&gt; SOUS-SEGMENT'!$HA$8:$HA$1000))</f>
        <v>3.8489988750000004</v>
      </c>
      <c r="HB21" s="311">
        <f>IF($C21="","",SUMPRODUCT(('ANALYSE - ERP =&gt; SOUS-SEGMENT'!$C$8:$C$1000=$C21)*'ANALYSE - ERP =&gt; SOUS-SEGMENT'!$Q$8:$Q$1000*'ANALYSE - ERP =&gt; SOUS-SEGMENT'!$HB$8:$HB$1000))</f>
        <v>2.0276240000000003</v>
      </c>
      <c r="HC21" s="311">
        <f t="shared" si="47"/>
        <v>52.5739248</v>
      </c>
      <c r="HD21" s="311">
        <f>IF($C21="","",SUMPRODUCT(('ANALYSE - ERP =&gt; SOUS-SEGMENT'!$C$8:$C$1000=$C21)*'ANALYSE - ERP =&gt; SOUS-SEGMENT'!$Q$8:$Q$1000*'ANALYSE - ERP =&gt; SOUS-SEGMENT'!$HD$8:$HD$1000))</f>
        <v>40.4718448</v>
      </c>
      <c r="HE21" s="311">
        <f>IF($C21="","",SUMPRODUCT(('ANALYSE - ERP =&gt; SOUS-SEGMENT'!$C$8:$C$1000=$C21)*'ANALYSE - ERP =&gt; SOUS-SEGMENT'!$Q$8:$Q$1000*'ANALYSE - ERP =&gt; SOUS-SEGMENT'!$HE$8:$HE$1000))</f>
        <v>12.102079999999997</v>
      </c>
      <c r="HF21" s="311">
        <f t="shared" si="48"/>
        <v>261.41553037878788</v>
      </c>
      <c r="HG21" s="311">
        <f>IF($C21="","",SUMPRODUCT(('ANALYSE - ERP =&gt; SOUS-SEGMENT'!$C$8:$C$1000=$C21)*'ANALYSE - ERP =&gt; SOUS-SEGMENT'!$Q$8:$Q$1000*'ANALYSE - ERP =&gt; SOUS-SEGMENT'!$HG$8:$HG$1000))</f>
        <v>179.37017037878789</v>
      </c>
      <c r="HH21" s="311">
        <f>IF($C21="","",SUMPRODUCT(('ANALYSE - ERP =&gt; SOUS-SEGMENT'!$C$8:$C$1000=$C21)*'ANALYSE - ERP =&gt; SOUS-SEGMENT'!$Q$8:$Q$1000*'ANALYSE - ERP =&gt; SOUS-SEGMENT'!$HH$8:$HH$1000))</f>
        <v>82.045360000000002</v>
      </c>
      <c r="HI21" s="311">
        <f t="shared" si="49"/>
        <v>69.195017500000006</v>
      </c>
      <c r="HJ21" s="311">
        <f>IF($C21="","",SUMPRODUCT(('ANALYSE - ERP =&gt; SOUS-SEGMENT'!$C$8:$C$1000=$C21)*'ANALYSE - ERP =&gt; SOUS-SEGMENT'!$Q$8:$Q$1000*'ANALYSE - ERP =&gt; SOUS-SEGMENT'!$HJ$8:$HJ$1000))</f>
        <v>48.705577500000004</v>
      </c>
      <c r="HK21" s="311">
        <f>IF($C21="","",SUMPRODUCT(('ANALYSE - ERP =&gt; SOUS-SEGMENT'!$C$8:$C$1000=$C21)*'ANALYSE - ERP =&gt; SOUS-SEGMENT'!$Q$8:$Q$1000*'ANALYSE - ERP =&gt; SOUS-SEGMENT'!$HK$8:$HK$1000))</f>
        <v>20.489439999999998</v>
      </c>
      <c r="HL21" s="311">
        <f t="shared" si="50"/>
        <v>132.518213</v>
      </c>
      <c r="HM21" s="311">
        <f>IF($C21="","",SUMPRODUCT(('ANALYSE - ERP =&gt; SOUS-SEGMENT'!$C$8:$C$1000=$C21)*'ANALYSE - ERP =&gt; SOUS-SEGMENT'!$Q$8:$Q$1000*'ANALYSE - ERP =&gt; SOUS-SEGMENT'!$HM$8:$HM$1000))</f>
        <v>96.317093</v>
      </c>
      <c r="HN21" s="311">
        <f>IF($C21="","",SUMPRODUCT(('ANALYSE - ERP =&gt; SOUS-SEGMENT'!$C$8:$C$1000=$C21)*'ANALYSE - ERP =&gt; SOUS-SEGMENT'!$Q$8:$Q$1000*'ANALYSE - ERP =&gt; SOUS-SEGMENT'!$HN$8:$HN$1000))</f>
        <v>36.201119999999996</v>
      </c>
      <c r="HO21" s="311">
        <f t="shared" si="51"/>
        <v>805.75791335664348</v>
      </c>
      <c r="HP21" s="311">
        <f>IF($C21="","",SUMPRODUCT(('ANALYSE - ERP =&gt; SOUS-SEGMENT'!$C$8:$C$1000=$C21)*'ANALYSE - ERP =&gt; SOUS-SEGMENT'!$Q$8:$Q$1000*'ANALYSE - ERP =&gt; SOUS-SEGMENT'!$HP$8:$HP$1000))</f>
        <v>591.53007335664347</v>
      </c>
      <c r="HQ21" s="311">
        <f>IF($C21="","",SUMPRODUCT(('ANALYSE - ERP =&gt; SOUS-SEGMENT'!$C$8:$C$1000=$C21)*'ANALYSE - ERP =&gt; SOUS-SEGMENT'!$Q$8:$Q$1000*'ANALYSE - ERP =&gt; SOUS-SEGMENT'!$HQ$8:$HQ$1000))</f>
        <v>214.22783999999996</v>
      </c>
      <c r="HR21" s="311">
        <f t="shared" si="52"/>
        <v>501.84830601398596</v>
      </c>
      <c r="HS21" s="311">
        <f>IF($C21="","",SUMPRODUCT(('ANALYSE - ERP =&gt; SOUS-SEGMENT'!$C$8:$C$1000=$C21)*'ANALYSE - ERP =&gt; SOUS-SEGMENT'!$Q$8:$Q$1000*'ANALYSE - ERP =&gt; SOUS-SEGMENT'!$HS$8:$HS$1000))</f>
        <v>317.443346013986</v>
      </c>
      <c r="HT21" s="311">
        <f>IF($C21="","",SUMPRODUCT(('ANALYSE - ERP =&gt; SOUS-SEGMENT'!$C$8:$C$1000=$C21)*'ANALYSE - ERP =&gt; SOUS-SEGMENT'!$Q$8:$Q$1000*'ANALYSE - ERP =&gt; SOUS-SEGMENT'!$HT$8:$HT$1000))</f>
        <v>184.40495999999999</v>
      </c>
      <c r="HU21" s="311">
        <f t="shared" si="53"/>
        <v>243.03782999999999</v>
      </c>
      <c r="HV21" s="311">
        <f>IF($C21="","",SUMPRODUCT(('ANALYSE - ERP =&gt; SOUS-SEGMENT'!$C$8:$C$1000=$C21)*'ANALYSE - ERP =&gt; SOUS-SEGMENT'!$Q$8:$Q$1000*'ANALYSE - ERP =&gt; SOUS-SEGMENT'!$HV$8:$HV$1000))</f>
        <v>158.63863000000001</v>
      </c>
      <c r="HW21" s="311">
        <f>IF($C21="","",SUMPRODUCT(('ANALYSE - ERP =&gt; SOUS-SEGMENT'!$C$8:$C$1000=$C21)*'ANALYSE - ERP =&gt; SOUS-SEGMENT'!$Q$8:$Q$1000*'ANALYSE - ERP =&gt; SOUS-SEGMENT'!$HW$8:$HW$1000))</f>
        <v>84.399199999999993</v>
      </c>
      <c r="HY21" s="313">
        <f t="shared" si="54"/>
        <v>9335.0000000000018</v>
      </c>
      <c r="HZ21" s="313">
        <f>IF($C21="","",SUMPRODUCT(('ANALYSE - ERP =&gt; SOUS-SEGMENT'!$C$8:$C$1000=$C21)*'ANALYSE - ERP =&gt; SOUS-SEGMENT'!$Q$8:$Q$1000*'ANALYSE - ERP =&gt; SOUS-SEGMENT'!$HZ$8:$HZ$1000))</f>
        <v>1065.5030000000002</v>
      </c>
      <c r="IA21" s="313">
        <f>IF($C21="","",SUMPRODUCT(('ANALYSE - ERP =&gt; SOUS-SEGMENT'!$C$8:$C$1000=$C21)*'ANALYSE - ERP =&gt; SOUS-SEGMENT'!$Q$8:$Q$1000*'ANALYSE - ERP =&gt; SOUS-SEGMENT'!$IA$8:$IA$1000))</f>
        <v>4460.1895000000004</v>
      </c>
      <c r="IB21" s="313">
        <f>IF($C21="","",SUMPRODUCT(('ANALYSE - ERP =&gt; SOUS-SEGMENT'!$C$8:$C$1000=$C21)*'ANALYSE - ERP =&gt; SOUS-SEGMENT'!$Q$8:$Q$1000*'ANALYSE - ERP =&gt; SOUS-SEGMENT'!$IB$8:$IB$1000))</f>
        <v>3401.6974999999998</v>
      </c>
      <c r="IC21" s="313">
        <f>IF($C21="","",SUMPRODUCT(('ANALYSE - ERP =&gt; SOUS-SEGMENT'!$C$8:$C$1000=$C21)*'ANALYSE - ERP =&gt; SOUS-SEGMENT'!$Q$8:$Q$1000*'ANALYSE - ERP =&gt; SOUS-SEGMENT'!$IC$8:$IC$1000))</f>
        <v>407.61</v>
      </c>
      <c r="ID21" s="313">
        <f>IF($C21="","",SUMPRODUCT(('ANALYSE - ERP =&gt; SOUS-SEGMENT'!$C$8:$C$1000=$C21)*'ANALYSE - ERP =&gt; SOUS-SEGMENT'!$Q$8:$Q$1000*'ANALYSE - ERP =&gt; SOUS-SEGMENT'!$ID$8:$ID$1000))</f>
        <v>0</v>
      </c>
      <c r="IE21" s="313">
        <f t="shared" si="55"/>
        <v>2623.8414877201635</v>
      </c>
      <c r="IF21" s="313">
        <f>IF($C21="","",SUMPRODUCT(('ANALYSE - ERP =&gt; SOUS-SEGMENT'!$C$8:$C$1000=$C21)*'ANALYSE - ERP =&gt; SOUS-SEGMENT'!$Q$8:$Q$1000*'ANALYSE - ERP =&gt; SOUS-SEGMENT'!$IF$8:$IF$1000))</f>
        <v>179.17581542951953</v>
      </c>
      <c r="IG21" s="313">
        <f>IF($C21="","",SUMPRODUCT(('ANALYSE - ERP =&gt; SOUS-SEGMENT'!$C$8:$C$1000=$C21)*'ANALYSE - ERP =&gt; SOUS-SEGMENT'!$Q$8:$Q$1000*'ANALYSE - ERP =&gt; SOUS-SEGMENT'!$IG$8:$IG$1000))</f>
        <v>1284.6974235621872</v>
      </c>
      <c r="IH21" s="313">
        <f>IF($C21="","",SUMPRODUCT(('ANALYSE - ERP =&gt; SOUS-SEGMENT'!$C$8:$C$1000=$C21)*'ANALYSE - ERP =&gt; SOUS-SEGMENT'!$Q$8:$Q$1000*'ANALYSE - ERP =&gt; SOUS-SEGMENT'!$IH$8:$IH$1000))</f>
        <v>1016.6694319420302</v>
      </c>
      <c r="II21" s="313">
        <f>IF($C21="","",SUMPRODUCT(('ANALYSE - ERP =&gt; SOUS-SEGMENT'!$C$8:$C$1000=$C21)*'ANALYSE - ERP =&gt; SOUS-SEGMENT'!$Q$8:$Q$1000*'ANALYSE - ERP =&gt; SOUS-SEGMENT'!$II$8:$II$1000))</f>
        <v>136.58279650708971</v>
      </c>
      <c r="IJ21" s="313">
        <f>IF($C21="","",SUMPRODUCT(('ANALYSE - ERP =&gt; SOUS-SEGMENT'!$C$8:$C$1000=$C21)*'ANALYSE - ERP =&gt; SOUS-SEGMENT'!$Q$8:$Q$1000*'ANALYSE - ERP =&gt; SOUS-SEGMENT'!$IJ$8:$IJ$1000))</f>
        <v>6.7160202793366199</v>
      </c>
      <c r="IK21" s="866">
        <f>IF($C21="","",IFERROR(SUMPRODUCT(('ANALYSE - ERP =&gt; SOUS-SEGMENT'!$C$8:$C$1000=$C21)*'ANALYSE - ERP =&gt; SOUS-SEGMENT'!$Q$8:$Q$1000*'ANALYSE - ERP =&gt; SOUS-SEGMENT'!$IE$8:$IE$1000*'ANALYSE - ERP =&gt; SOUS-SEGMENT'!$IK$8:$IK$1000)/SUMPRODUCT(('ANALYSE - ERP =&gt; SOUS-SEGMENT'!$C$8:$C$1000=$C21)*'ANALYSE - ERP =&gt; SOUS-SEGMENT'!$Q$8:$Q$1000*'ANALYSE - ERP =&gt; SOUS-SEGMENT'!$IE$8:$IE$1000),""))</f>
        <v>3.9474136859772475</v>
      </c>
      <c r="IL21" s="920" t="s">
        <v>5751</v>
      </c>
      <c r="IM21" s="964" t="s">
        <v>5752</v>
      </c>
      <c r="IN21" s="657"/>
      <c r="IO21" s="730">
        <f>IF($C21="","",IFERROR(SUMPRODUCT(('ANALYSE - ERP =&gt; SOUS-SEGMENT'!$C$8:$C$1000=$C21)*'ANALYSE - ERP =&gt; SOUS-SEGMENT'!$Q$8:$Q$1000*'ANALYSE - ERP =&gt; SOUS-SEGMENT'!$BE$8:$BE$1000*'ANALYSE - ERP =&gt; SOUS-SEGMENT'!$IO$8:$IO$1000)/SUMPRODUCT(('ANALYSE - ERP =&gt; SOUS-SEGMENT'!$C$8:$C$1000=$C21)*'ANALYSE - ERP =&gt; SOUS-SEGMENT'!$Q$8:$Q$1000*'ANALYSE - ERP =&gt; SOUS-SEGMENT'!$BE$8:$BE$1000),""))</f>
        <v>9.8640000000000005E-2</v>
      </c>
      <c r="IP21" s="730">
        <f>IF($C21="","",IFERROR(SUMPRODUCT(('ANALYSE - ERP =&gt; SOUS-SEGMENT'!$C$8:$C$1000=$C21)*'ANALYSE - ERP =&gt; SOUS-SEGMENT'!$Q$8:$Q$1000*'ANALYSE - ERP =&gt; SOUS-SEGMENT'!$BE$8:$BE$1000*'ANALYSE - ERP =&gt; SOUS-SEGMENT'!$IP$8:$IP$1000)/SUMPRODUCT(('ANALYSE - ERP =&gt; SOUS-SEGMENT'!$C$8:$C$1000=$C21)*'ANALYSE - ERP =&gt; SOUS-SEGMENT'!$Q$8:$Q$1000*'ANALYSE - ERP =&gt; SOUS-SEGMENT'!$BE$8:$BE$1000),""))</f>
        <v>0.46061647058823529</v>
      </c>
      <c r="IQ21" s="730">
        <f>IF($C21="","",IFERROR(SUMPRODUCT(('ANALYSE - ERP =&gt; SOUS-SEGMENT'!$C$8:$C$1000=$C21)*'ANALYSE - ERP =&gt; SOUS-SEGMENT'!$Q$8:$Q$1000*'ANALYSE - ERP =&gt; SOUS-SEGMENT'!$BE$8:$BE$1000*'ANALYSE - ERP =&gt; SOUS-SEGMENT'!$IQ$8:$IQ$1000)/SUMPRODUCT(('ANALYSE - ERP =&gt; SOUS-SEGMENT'!$C$8:$C$1000=$C21)*'ANALYSE - ERP =&gt; SOUS-SEGMENT'!$Q$8:$Q$1000*'ANALYSE - ERP =&gt; SOUS-SEGMENT'!$BE$8:$BE$1000),""))</f>
        <v>0.38886117647058827</v>
      </c>
      <c r="IR21" s="730">
        <f>IF($C21="","",IFERROR(SUMPRODUCT(('ANALYSE - ERP =&gt; SOUS-SEGMENT'!$C$8:$C$1000=$C21)*'ANALYSE - ERP =&gt; SOUS-SEGMENT'!$Q$8:$Q$1000*'ANALYSE - ERP =&gt; SOUS-SEGMENT'!$BE$8:$BE$1000*'ANALYSE - ERP =&gt; SOUS-SEGMENT'!$IR$8:$IR$1000)/SUMPRODUCT(('ANALYSE - ERP =&gt; SOUS-SEGMENT'!$C$8:$C$1000=$C21)*'ANALYSE - ERP =&gt; SOUS-SEGMENT'!$Q$8:$Q$1000*'ANALYSE - ERP =&gt; SOUS-SEGMENT'!$BE$8:$BE$1000),""))</f>
        <v>5.1882352941176477E-2</v>
      </c>
      <c r="IS21" s="730">
        <f>IF($C21="","",IFERROR(SUMPRODUCT(('ANALYSE - ERP =&gt; SOUS-SEGMENT'!$C$8:$C$1000=$C21)*'ANALYSE - ERP =&gt; SOUS-SEGMENT'!$Q$8:$Q$1000*'ANALYSE - ERP =&gt; SOUS-SEGMENT'!$BE$8:$BE$1000*'ANALYSE - ERP =&gt; SOUS-SEGMENT'!$IS$8:$IS$1000)/SUMPRODUCT(('ANALYSE - ERP =&gt; SOUS-SEGMENT'!$C$8:$C$1000=$C21)*'ANALYSE - ERP =&gt; SOUS-SEGMENT'!$Q$8:$Q$1000*'ANALYSE - ERP =&gt; SOUS-SEGMENT'!$BE$8:$BE$1000),""))</f>
        <v>0</v>
      </c>
      <c r="IT21" s="730">
        <f>IF($C21="","",IFERROR(SUMPRODUCT(('ANALYSE - ERP =&gt; SOUS-SEGMENT'!$C$8:$C$1000=$C21)*'ANALYSE - ERP =&gt; SOUS-SEGMENT'!$Q$8:$Q$1000*'ANALYSE - ERP =&gt; SOUS-SEGMENT'!$FB$8:$FB$1000*'ANALYSE - ERP =&gt; SOUS-SEGMENT'!$IT$8:$IT$1000)/SUMPRODUCT(('ANALYSE - ERP =&gt; SOUS-SEGMENT'!$C$8:$C$1000=$C21)*'ANALYSE - ERP =&gt; SOUS-SEGMENT'!$Q$8:$Q$1000*'ANALYSE - ERP =&gt; SOUS-SEGMENT'!$FB$8:$FB$1000),""))</f>
        <v>5.382985133137129E-2</v>
      </c>
      <c r="IU21" s="730">
        <f>IF($C21="","",IFERROR(SUMPRODUCT(('ANALYSE - ERP =&gt; SOUS-SEGMENT'!$C$8:$C$1000=$C21)*'ANALYSE - ERP =&gt; SOUS-SEGMENT'!$Q$8:$Q$1000*'ANALYSE - ERP =&gt; SOUS-SEGMENT'!$FB$8:$FB$1000*'ANALYSE - ERP =&gt; SOUS-SEGMENT'!$IU$8:$IU$1000)/SUMPRODUCT(('ANALYSE - ERP =&gt; SOUS-SEGMENT'!$C$8:$C$1000=$C21)*'ANALYSE - ERP =&gt; SOUS-SEGMENT'!$Q$8:$Q$1000*'ANALYSE - ERP =&gt; SOUS-SEGMENT'!$FB$8:$FB$1000),""))</f>
        <v>0.46249395337971877</v>
      </c>
      <c r="IV21" s="730">
        <f>IF($C21="","",IFERROR(SUMPRODUCT(('ANALYSE - ERP =&gt; SOUS-SEGMENT'!$C$8:$C$1000=$C21)*'ANALYSE - ERP =&gt; SOUS-SEGMENT'!$Q$8:$Q$1000*'ANALYSE - ERP =&gt; SOUS-SEGMENT'!$FB$8:$FB$1000*'ANALYSE - ERP =&gt; SOUS-SEGMENT'!$IV$8:$IV$1000)/SUMPRODUCT(('ANALYSE - ERP =&gt; SOUS-SEGMENT'!$C$8:$C$1000=$C21)*'ANALYSE - ERP =&gt; SOUS-SEGMENT'!$Q$8:$Q$1000*'ANALYSE - ERP =&gt; SOUS-SEGMENT'!$FB$8:$FB$1000),""))</f>
        <v>0.41927706800039294</v>
      </c>
      <c r="IW21" s="730">
        <f>IF($C21="","",IFERROR(SUMPRODUCT(('ANALYSE - ERP =&gt; SOUS-SEGMENT'!$C$8:$C$1000=$C21)*'ANALYSE - ERP =&gt; SOUS-SEGMENT'!$Q$8:$Q$1000*'ANALYSE - ERP =&gt; SOUS-SEGMENT'!$FB$8:$FB$1000*'ANALYSE - ERP =&gt; SOUS-SEGMENT'!$IW$8:$IW$1000)/SUMPRODUCT(('ANALYSE - ERP =&gt; SOUS-SEGMENT'!$C$8:$C$1000=$C21)*'ANALYSE - ERP =&gt; SOUS-SEGMENT'!$Q$8:$Q$1000*'ANALYSE - ERP =&gt; SOUS-SEGMENT'!$FB$8:$FB$1000),""))</f>
        <v>6.1715830318162163E-2</v>
      </c>
      <c r="IX21" s="730">
        <f>IF($C21="","",IFERROR(SUMPRODUCT(('ANALYSE - ERP =&gt; SOUS-SEGMENT'!$C$8:$C$1000=$C21)*'ANALYSE - ERP =&gt; SOUS-SEGMENT'!$Q$8:$Q$1000*'ANALYSE - ERP =&gt; SOUS-SEGMENT'!$FB$8:$FB$1000*'ANALYSE - ERP =&gt; SOUS-SEGMENT'!$IX$8:$IX$1000)/SUMPRODUCT(('ANALYSE - ERP =&gt; SOUS-SEGMENT'!$C$8:$C$1000=$C21)*'ANALYSE - ERP =&gt; SOUS-SEGMENT'!$Q$8:$Q$1000*'ANALYSE - ERP =&gt; SOUS-SEGMENT'!$FB$8:$FB$1000),""))</f>
        <v>2.6832969703548767E-3</v>
      </c>
      <c r="IY21" s="730">
        <f>IF($C21="","",IFERROR(SUMPRODUCT(('ANALYSE - ERP =&gt; SOUS-SEGMENT'!$C$8:$C$1000=$C21)*'ANALYSE - ERP =&gt; SOUS-SEGMENT'!$Q$8:$Q$1000*'ANALYSE - ERP =&gt; SOUS-SEGMENT'!$BF$8:$BF$1000*'ANALYSE - ERP =&gt; SOUS-SEGMENT'!$IY$8:$IY$1000)/SUMPRODUCT(('ANALYSE - ERP =&gt; SOUS-SEGMENT'!$C$8:$C$1000=$C21)*'ANALYSE - ERP =&gt; SOUS-SEGMENT'!$Q$8:$Q$1000*'ANALYSE - ERP =&gt; SOUS-SEGMENT'!$BF$8:$BF$1000),""))</f>
        <v>0.23227042253521127</v>
      </c>
      <c r="IZ21" s="730">
        <f>IF($C21="","",IFERROR(SUMPRODUCT(('ANALYSE - ERP =&gt; SOUS-SEGMENT'!$C$8:$C$1000=$C21)*'ANALYSE - ERP =&gt; SOUS-SEGMENT'!$Q$8:$Q$1000*'ANALYSE - ERP =&gt; SOUS-SEGMENT'!$BF$8:$BF$1000*'ANALYSE - ERP =&gt; SOUS-SEGMENT'!$IZ$8:$IZ$1000)/SUMPRODUCT(('ANALYSE - ERP =&gt; SOUS-SEGMENT'!$C$8:$C$1000=$C21)*'ANALYSE - ERP =&gt; SOUS-SEGMENT'!$Q$8:$Q$1000*'ANALYSE - ERP =&gt; SOUS-SEGMENT'!$BF$8:$BF$1000),""))</f>
        <v>0.36265915492957745</v>
      </c>
      <c r="JA21" s="730">
        <f>IF($C21="","",IFERROR(SUMPRODUCT(('ANALYSE - ERP =&gt; SOUS-SEGMENT'!$C$8:$C$1000=$C21)*'ANALYSE - ERP =&gt; SOUS-SEGMENT'!$Q$8:$Q$1000*'ANALYSE - ERP =&gt; SOUS-SEGMENT'!$BF$8:$BF$1000*'ANALYSE - ERP =&gt; SOUS-SEGMENT'!$JA$8:$JA$1000)/SUMPRODUCT(('ANALYSE - ERP =&gt; SOUS-SEGMENT'!$C$8:$C$1000=$C21)*'ANALYSE - ERP =&gt; SOUS-SEGMENT'!$Q$8:$Q$1000*'ANALYSE - ERP =&gt; SOUS-SEGMENT'!$BF$8:$BF$1000),""))</f>
        <v>2.47887323943662E-2</v>
      </c>
      <c r="JB21" s="730">
        <f>IF($C21="","",IFERROR(SUMPRODUCT(('ANALYSE - ERP =&gt; SOUS-SEGMENT'!$C$8:$C$1000=$C21)*'ANALYSE - ERP =&gt; SOUS-SEGMENT'!$Q$8:$Q$1000*'ANALYSE - ERP =&gt; SOUS-SEGMENT'!$BF$8:$BF$1000*'ANALYSE - ERP =&gt; SOUS-SEGMENT'!$JB$8:$JB$1000)/SUMPRODUCT(('ANALYSE - ERP =&gt; SOUS-SEGMENT'!$C$8:$C$1000=$C21)*'ANALYSE - ERP =&gt; SOUS-SEGMENT'!$Q$8:$Q$1000*'ANALYSE - ERP =&gt; SOUS-SEGMENT'!$BF$8:$BF$1000),""))</f>
        <v>0</v>
      </c>
      <c r="JC21" s="730">
        <f>IF($C21="","",IFERROR(SUMPRODUCT(('ANALYSE - ERP =&gt; SOUS-SEGMENT'!$C$8:$C$1000=$C21)*'ANALYSE - ERP =&gt; SOUS-SEGMENT'!$Q$8:$Q$1000*'ANALYSE - ERP =&gt; SOUS-SEGMENT'!$BF$8:$BF$1000*'ANALYSE - ERP =&gt; SOUS-SEGMENT'!$JC$8:$JC$1000)/SUMPRODUCT(('ANALYSE - ERP =&gt; SOUS-SEGMENT'!$C$8:$C$1000=$C21)*'ANALYSE - ERP =&gt; SOUS-SEGMENT'!$Q$8:$Q$1000*'ANALYSE - ERP =&gt; SOUS-SEGMENT'!$BF$8:$BF$1000),""))</f>
        <v>0</v>
      </c>
      <c r="JD21" s="730">
        <f>IF($C21="","",IFERROR(SUMPRODUCT(('ANALYSE - ERP =&gt; SOUS-SEGMENT'!$C$8:$C$1000=$C21)*'ANALYSE - ERP =&gt; SOUS-SEGMENT'!$Q$8:$Q$1000*'ANALYSE - ERP =&gt; SOUS-SEGMENT'!$FE$8:$FE$1000*'ANALYSE - ERP =&gt; SOUS-SEGMENT'!$JD$8:$JD$1000)/SUMPRODUCT(('ANALYSE - ERP =&gt; SOUS-SEGMENT'!$C$8:$C$1000=$C21)*'ANALYSE - ERP =&gt; SOUS-SEGMENT'!$Q$8:$Q$1000*'ANALYSE - ERP =&gt; SOUS-SEGMENT'!$FE$8:$FE$1000),""))</f>
        <v>0.13727019049174824</v>
      </c>
      <c r="JE21" s="730">
        <f>IF($C21="","",IFERROR(SUMPRODUCT(('ANALYSE - ERP =&gt; SOUS-SEGMENT'!$C$8:$C$1000=$C21)*'ANALYSE - ERP =&gt; SOUS-SEGMENT'!$Q$8:$Q$1000*'ANALYSE - ERP =&gt; SOUS-SEGMENT'!$FE$8:$FE$1000*'ANALYSE - ERP =&gt; SOUS-SEGMENT'!$JE$8:$JE$1000)/SUMPRODUCT(('ANALYSE - ERP =&gt; SOUS-SEGMENT'!$C$8:$C$1000=$C21)*'ANALYSE - ERP =&gt; SOUS-SEGMENT'!$Q$8:$Q$1000*'ANALYSE - ERP =&gt; SOUS-SEGMENT'!$FE$8:$FE$1000),""))</f>
        <v>0.44227818145382902</v>
      </c>
      <c r="JF21" s="730">
        <f>IF($C21="","",IFERROR(SUMPRODUCT(('ANALYSE - ERP =&gt; SOUS-SEGMENT'!$C$8:$C$1000=$C21)*'ANALYSE - ERP =&gt; SOUS-SEGMENT'!$Q$8:$Q$1000*'ANALYSE - ERP =&gt; SOUS-SEGMENT'!$FE$8:$FE$1000*'ANALYSE - ERP =&gt; SOUS-SEGMENT'!$JF$8:$JF$1000)/SUMPRODUCT(('ANALYSE - ERP =&gt; SOUS-SEGMENT'!$C$8:$C$1000=$C21)*'ANALYSE - ERP =&gt; SOUS-SEGMENT'!$Q$8:$Q$1000*'ANALYSE - ERP =&gt; SOUS-SEGMENT'!$FE$8:$FE$1000),""))</f>
        <v>8.4233980529027322E-2</v>
      </c>
      <c r="JG21" s="730">
        <f>IF($C21="","",IFERROR(SUMPRODUCT(('ANALYSE - ERP =&gt; SOUS-SEGMENT'!$C$8:$C$1000=$C21)*'ANALYSE - ERP =&gt; SOUS-SEGMENT'!$Q$8:$Q$1000*'ANALYSE - ERP =&gt; SOUS-SEGMENT'!$FE$8:$FE$1000*'ANALYSE - ERP =&gt; SOUS-SEGMENT'!$JG$8:$JG$1000)/SUMPRODUCT(('ANALYSE - ERP =&gt; SOUS-SEGMENT'!$C$8:$C$1000=$C21)*'ANALYSE - ERP =&gt; SOUS-SEGMENT'!$Q$8:$Q$1000*'ANALYSE - ERP =&gt; SOUS-SEGMENT'!$FE$8:$FE$1000),""))</f>
        <v>0</v>
      </c>
      <c r="JH21" s="730">
        <f>IF($C21="","",IFERROR(SUMPRODUCT(('ANALYSE - ERP =&gt; SOUS-SEGMENT'!$C$8:$C$1000=$C21)*'ANALYSE - ERP =&gt; SOUS-SEGMENT'!$Q$8:$Q$1000*'ANALYSE - ERP =&gt; SOUS-SEGMENT'!$FE$8:$FE$1000*'ANALYSE - ERP =&gt; SOUS-SEGMENT'!$JH$8:$JH$1000)/SUMPRODUCT(('ANALYSE - ERP =&gt; SOUS-SEGMENT'!$C$8:$C$1000=$C21)*'ANALYSE - ERP =&gt; SOUS-SEGMENT'!$Q$8:$Q$1000*'ANALYSE - ERP =&gt; SOUS-SEGMENT'!$FE$8:$FE$1000),""))</f>
        <v>0</v>
      </c>
      <c r="JI21" s="730">
        <f>IF($C21="","",IFERROR(SUMPRODUCT(('ANALYSE - ERP =&gt; SOUS-SEGMENT'!$C$8:$C$1000=$C21)*'ANALYSE - ERP =&gt; SOUS-SEGMENT'!$Q$8:$Q$1000*'ANALYSE - ERP =&gt; SOUS-SEGMENT'!$BG$8:$BG$1000*'ANALYSE - ERP =&gt; SOUS-SEGMENT'!$JI$8:$JI$1000)/SUMPRODUCT(('ANALYSE - ERP =&gt; SOUS-SEGMENT'!$C$8:$C$1000=$C21)*'ANALYSE - ERP =&gt; SOUS-SEGMENT'!$Q$8:$Q$1000*'ANALYSE - ERP =&gt; SOUS-SEGMENT'!$BG$8:$BG$1000),""))</f>
        <v>0.14579148936170214</v>
      </c>
      <c r="JJ21" s="730">
        <f>IF($C21="","",IFERROR(SUMPRODUCT(('ANALYSE - ERP =&gt; SOUS-SEGMENT'!$C$8:$C$1000=$C21)*'ANALYSE - ERP =&gt; SOUS-SEGMENT'!$Q$8:$Q$1000*'ANALYSE - ERP =&gt; SOUS-SEGMENT'!$BG$8:$BG$1000*'ANALYSE - ERP =&gt; SOUS-SEGMENT'!$JJ$8:$JJ$1000)/SUMPRODUCT(('ANALYSE - ERP =&gt; SOUS-SEGMENT'!$C$8:$C$1000=$C21)*'ANALYSE - ERP =&gt; SOUS-SEGMENT'!$Q$8:$Q$1000*'ANALYSE - ERP =&gt; SOUS-SEGMENT'!$BG$8:$BG$1000),""))</f>
        <v>0.53801489361702126</v>
      </c>
      <c r="JK21" s="730">
        <f>IF($C21="","",IFERROR(SUMPRODUCT(('ANALYSE - ERP =&gt; SOUS-SEGMENT'!$C$8:$C$1000=$C21)*'ANALYSE - ERP =&gt; SOUS-SEGMENT'!$Q$8:$Q$1000*'ANALYSE - ERP =&gt; SOUS-SEGMENT'!$BG$8:$BG$1000*'ANALYSE - ERP =&gt; SOUS-SEGMENT'!$JK$8:$JK$1000)/SUMPRODUCT(('ANALYSE - ERP =&gt; SOUS-SEGMENT'!$C$8:$C$1000=$C21)*'ANALYSE - ERP =&gt; SOUS-SEGMENT'!$Q$8:$Q$1000*'ANALYSE - ERP =&gt; SOUS-SEGMENT'!$BG$8:$BG$1000),""))</f>
        <v>0.29206595744680852</v>
      </c>
      <c r="JL21" s="730">
        <f>IF($C21="","",IFERROR(SUMPRODUCT(('ANALYSE - ERP =&gt; SOUS-SEGMENT'!$C$8:$C$1000=$C21)*'ANALYSE - ERP =&gt; SOUS-SEGMENT'!$Q$8:$Q$1000*'ANALYSE - ERP =&gt; SOUS-SEGMENT'!$BG$8:$BG$1000*'ANALYSE - ERP =&gt; SOUS-SEGMENT'!$JL$8:$JL$1000)/SUMPRODUCT(('ANALYSE - ERP =&gt; SOUS-SEGMENT'!$C$8:$C$1000=$C21)*'ANALYSE - ERP =&gt; SOUS-SEGMENT'!$Q$8:$Q$1000*'ANALYSE - ERP =&gt; SOUS-SEGMENT'!$BG$8:$BG$1000),""))</f>
        <v>2.4127659574468087E-2</v>
      </c>
      <c r="JM21" s="730">
        <f>IF($C21="","",IFERROR(SUMPRODUCT(('ANALYSE - ERP =&gt; SOUS-SEGMENT'!$C$8:$C$1000=$C21)*'ANALYSE - ERP =&gt; SOUS-SEGMENT'!$Q$8:$Q$1000*'ANALYSE - ERP =&gt; SOUS-SEGMENT'!$BG$8:$BG$1000*'ANALYSE - ERP =&gt; SOUS-SEGMENT'!$JM$8:$JM$1000)/SUMPRODUCT(('ANALYSE - ERP =&gt; SOUS-SEGMENT'!$C$8:$C$1000=$C21)*'ANALYSE - ERP =&gt; SOUS-SEGMENT'!$Q$8:$Q$1000*'ANALYSE - ERP =&gt; SOUS-SEGMENT'!$BG$8:$BG$1000),""))</f>
        <v>0</v>
      </c>
      <c r="JN21" s="730">
        <f>IF($C21="","",IFERROR(SUMPRODUCT(('ANALYSE - ERP =&gt; SOUS-SEGMENT'!$C$8:$C$1000=$C21)*'ANALYSE - ERP =&gt; SOUS-SEGMENT'!$Q$8:$Q$1000*'ANALYSE - ERP =&gt; SOUS-SEGMENT'!$FH$8:$FH$1000*'ANALYSE - ERP =&gt; SOUS-SEGMENT'!$JN$8:$JN$1000)/SUMPRODUCT(('ANALYSE - ERP =&gt; SOUS-SEGMENT'!$C$8:$C$1000=$C21)*'ANALYSE - ERP =&gt; SOUS-SEGMENT'!$Q$8:$Q$1000*'ANALYSE - ERP =&gt; SOUS-SEGMENT'!$FH$8:$FH$1000),""))</f>
        <v>9.9111920171632034E-2</v>
      </c>
      <c r="JO21" s="730">
        <f>IF($C21="","",IFERROR(SUMPRODUCT(('ANALYSE - ERP =&gt; SOUS-SEGMENT'!$C$8:$C$1000=$C21)*'ANALYSE - ERP =&gt; SOUS-SEGMENT'!$Q$8:$Q$1000*'ANALYSE - ERP =&gt; SOUS-SEGMENT'!$FH$8:$FH$1000*'ANALYSE - ERP =&gt; SOUS-SEGMENT'!$JO$8:$JO$1000)/SUMPRODUCT(('ANALYSE - ERP =&gt; SOUS-SEGMENT'!$C$8:$C$1000=$C21)*'ANALYSE - ERP =&gt; SOUS-SEGMENT'!$Q$8:$Q$1000*'ANALYSE - ERP =&gt; SOUS-SEGMENT'!$FH$8:$FH$1000),""))</f>
        <v>0.55521600302415819</v>
      </c>
      <c r="JP21" s="730">
        <f>IF($C21="","",IFERROR(SUMPRODUCT(('ANALYSE - ERP =&gt; SOUS-SEGMENT'!$C$8:$C$1000=$C21)*'ANALYSE - ERP =&gt; SOUS-SEGMENT'!$Q$8:$Q$1000*'ANALYSE - ERP =&gt; SOUS-SEGMENT'!$FH$8:$FH$1000*'ANALYSE - ERP =&gt; SOUS-SEGMENT'!$JP$8:$JP$1000)/SUMPRODUCT(('ANALYSE - ERP =&gt; SOUS-SEGMENT'!$C$8:$C$1000=$C21)*'ANALYSE - ERP =&gt; SOUS-SEGMENT'!$Q$8:$Q$1000*'ANALYSE - ERP =&gt; SOUS-SEGMENT'!$FH$8:$FH$1000),""))</f>
        <v>0.30765290654148703</v>
      </c>
      <c r="JQ21" s="730">
        <f>IF($C21="","",IFERROR(SUMPRODUCT(('ANALYSE - ERP =&gt; SOUS-SEGMENT'!$C$8:$C$1000=$C21)*'ANALYSE - ERP =&gt; SOUS-SEGMENT'!$Q$8:$Q$1000*'ANALYSE - ERP =&gt; SOUS-SEGMENT'!$FH$8:$FH$1000*'ANALYSE - ERP =&gt; SOUS-SEGMENT'!$JQ$8:$JQ$1000)/SUMPRODUCT(('ANALYSE - ERP =&gt; SOUS-SEGMENT'!$C$8:$C$1000=$C21)*'ANALYSE - ERP =&gt; SOUS-SEGMENT'!$Q$8:$Q$1000*'ANALYSE - ERP =&gt; SOUS-SEGMENT'!$FH$8:$FH$1000),""))</f>
        <v>3.5277750016074839E-2</v>
      </c>
      <c r="JR21" s="730">
        <f>IF($C21="","",IFERROR(SUMPRODUCT(('ANALYSE - ERP =&gt; SOUS-SEGMENT'!$C$8:$C$1000=$C21)*'ANALYSE - ERP =&gt; SOUS-SEGMENT'!$Q$8:$Q$1000*'ANALYSE - ERP =&gt; SOUS-SEGMENT'!$FH$8:$FH$1000*'ANALYSE - ERP =&gt; SOUS-SEGMENT'!$JR$8:$JR$1000)/SUMPRODUCT(('ANALYSE - ERP =&gt; SOUS-SEGMENT'!$C$8:$C$1000=$C21)*'ANALYSE - ERP =&gt; SOUS-SEGMENT'!$Q$8:$Q$1000*'ANALYSE - ERP =&gt; SOUS-SEGMENT'!$FH$8:$FH$1000),""))</f>
        <v>2.7414202466479426E-3</v>
      </c>
      <c r="JS21" s="730">
        <f>IF($C21="","",IFERROR(SUMPRODUCT(('ANALYSE - ERP =&gt; SOUS-SEGMENT'!$C$8:$C$1000=$C21)*'ANALYSE - ERP =&gt; SOUS-SEGMENT'!$Q$8:$Q$1000*'ANALYSE - ERP =&gt; SOUS-SEGMENT'!$BH$8:$BH$1000*'ANALYSE - ERP =&gt; SOUS-SEGMENT'!$JS$8:$JS$1000)/SUMPRODUCT(('ANALYSE - ERP =&gt; SOUS-SEGMENT'!$C$8:$C$1000=$C21)*'ANALYSE - ERP =&gt; SOUS-SEGMENT'!$Q$8:$Q$1000*'ANALYSE - ERP =&gt; SOUS-SEGMENT'!$BH$8:$BH$1000),""))</f>
        <v>0.11414473684210526</v>
      </c>
      <c r="JT21" s="730">
        <f>IF($C21="","",IFERROR(SUMPRODUCT(('ANALYSE - ERP =&gt; SOUS-SEGMENT'!$C$8:$C$1000=$C21)*'ANALYSE - ERP =&gt; SOUS-SEGMENT'!$Q$8:$Q$1000*'ANALYSE - ERP =&gt; SOUS-SEGMENT'!$BH$8:$BH$1000*'ANALYSE - ERP =&gt; SOUS-SEGMENT'!$JT$8:$JT$1000)/SUMPRODUCT(('ANALYSE - ERP =&gt; SOUS-SEGMENT'!$C$8:$C$1000=$C21)*'ANALYSE - ERP =&gt; SOUS-SEGMENT'!$Q$8:$Q$1000*'ANALYSE - ERP =&gt; SOUS-SEGMENT'!$BH$8:$BH$1000),""))</f>
        <v>0.47527105263157898</v>
      </c>
      <c r="JU21" s="730">
        <f>IF($C21="","",IFERROR(SUMPRODUCT(('ANALYSE - ERP =&gt; SOUS-SEGMENT'!$C$8:$C$1000=$C21)*'ANALYSE - ERP =&gt; SOUS-SEGMENT'!$Q$8:$Q$1000*'ANALYSE - ERP =&gt; SOUS-SEGMENT'!$BH$8:$BH$1000*'ANALYSE - ERP =&gt; SOUS-SEGMENT'!$JU$8:$JU$1000)/SUMPRODUCT(('ANALYSE - ERP =&gt; SOUS-SEGMENT'!$C$8:$C$1000=$C21)*'ANALYSE - ERP =&gt; SOUS-SEGMENT'!$Q$8:$Q$1000*'ANALYSE - ERP =&gt; SOUS-SEGMENT'!$BH$8:$BH$1000),""))</f>
        <v>0.36880526315789475</v>
      </c>
      <c r="JV21" s="730">
        <f>IF($C21="","",IFERROR(SUMPRODUCT(('ANALYSE - ERP =&gt; SOUS-SEGMENT'!$C$8:$C$1000=$C21)*'ANALYSE - ERP =&gt; SOUS-SEGMENT'!$Q$8:$Q$1000*'ANALYSE - ERP =&gt; SOUS-SEGMENT'!$BH$8:$BH$1000*'ANALYSE - ERP =&gt; SOUS-SEGMENT'!$JV$8:$JV$1000)/SUMPRODUCT(('ANALYSE - ERP =&gt; SOUS-SEGMENT'!$C$8:$C$1000=$C21)*'ANALYSE - ERP =&gt; SOUS-SEGMENT'!$Q$8:$Q$1000*'ANALYSE - ERP =&gt; SOUS-SEGMENT'!$BH$8:$BH$1000),""))</f>
        <v>4.1778947368421047E-2</v>
      </c>
      <c r="JW21" s="730">
        <f>IF($C21="","",IFERROR(SUMPRODUCT(('ANALYSE - ERP =&gt; SOUS-SEGMENT'!$C$8:$C$1000=$C21)*'ANALYSE - ERP =&gt; SOUS-SEGMENT'!$Q$8:$Q$1000*'ANALYSE - ERP =&gt; SOUS-SEGMENT'!$BH$8:$BH$1000*'ANALYSE - ERP =&gt; SOUS-SEGMENT'!$JW$8:$JW$1000)/SUMPRODUCT(('ANALYSE - ERP =&gt; SOUS-SEGMENT'!$C$8:$C$1000=$C21)*'ANALYSE - ERP =&gt; SOUS-SEGMENT'!$Q$8:$Q$1000*'ANALYSE - ERP =&gt; SOUS-SEGMENT'!$BH$8:$BH$1000),""))</f>
        <v>0</v>
      </c>
      <c r="JX21" s="730">
        <f>IF($C21="","",IFERROR(SUMPRODUCT(('ANALYSE - ERP =&gt; SOUS-SEGMENT'!$C$8:$C$1000=$C21)*'ANALYSE - ERP =&gt; SOUS-SEGMENT'!$Q$8:$Q$1000*'ANALYSE - ERP =&gt; SOUS-SEGMENT'!$FK$8:$FK$1000*'ANALYSE - ERP =&gt; SOUS-SEGMENT'!$JX$8:$JX$1000)/SUMPRODUCT(('ANALYSE - ERP =&gt; SOUS-SEGMENT'!$C$8:$C$1000=$C21)*'ANALYSE - ERP =&gt; SOUS-SEGMENT'!$Q$8:$Q$1000*'ANALYSE - ERP =&gt; SOUS-SEGMENT'!$FK$8:$FK$1000),""))</f>
        <v>6.7958817839840327E-2</v>
      </c>
      <c r="JY21" s="730">
        <f>IF($C21="","",IFERROR(SUMPRODUCT(('ANALYSE - ERP =&gt; SOUS-SEGMENT'!$C$8:$C$1000=$C21)*'ANALYSE - ERP =&gt; SOUS-SEGMENT'!$Q$8:$Q$1000*'ANALYSE - ERP =&gt; SOUS-SEGMENT'!$FK$8:$FK$1000*'ANALYSE - ERP =&gt; SOUS-SEGMENT'!$JY$8:$JY$1000)/SUMPRODUCT(('ANALYSE - ERP =&gt; SOUS-SEGMENT'!$C$8:$C$1000=$C21)*'ANALYSE - ERP =&gt; SOUS-SEGMENT'!$Q$8:$Q$1000*'ANALYSE - ERP =&gt; SOUS-SEGMENT'!$FK$8:$FK$1000),""))</f>
        <v>0.48958587592328284</v>
      </c>
      <c r="JZ21" s="730">
        <f>IF($C21="","",IFERROR(SUMPRODUCT(('ANALYSE - ERP =&gt; SOUS-SEGMENT'!$C$8:$C$1000=$C21)*'ANALYSE - ERP =&gt; SOUS-SEGMENT'!$Q$8:$Q$1000*'ANALYSE - ERP =&gt; SOUS-SEGMENT'!$FK$8:$FK$1000*'ANALYSE - ERP =&gt; SOUS-SEGMENT'!$JZ$8:$JZ$1000)/SUMPRODUCT(('ANALYSE - ERP =&gt; SOUS-SEGMENT'!$C$8:$C$1000=$C21)*'ANALYSE - ERP =&gt; SOUS-SEGMENT'!$Q$8:$Q$1000*'ANALYSE - ERP =&gt; SOUS-SEGMENT'!$FK$8:$FK$1000),""))</f>
        <v>0.39059334241812504</v>
      </c>
      <c r="KA21" s="730">
        <f>IF($C21="","",IFERROR(SUMPRODUCT(('ANALYSE - ERP =&gt; SOUS-SEGMENT'!$C$8:$C$1000=$C21)*'ANALYSE - ERP =&gt; SOUS-SEGMENT'!$Q$8:$Q$1000*'ANALYSE - ERP =&gt; SOUS-SEGMENT'!$FK$8:$FK$1000*'ANALYSE - ERP =&gt; SOUS-SEGMENT'!$KA$8:$KA$1000)/SUMPRODUCT(('ANALYSE - ERP =&gt; SOUS-SEGMENT'!$C$8:$C$1000=$C21)*'ANALYSE - ERP =&gt; SOUS-SEGMENT'!$Q$8:$Q$1000*'ANALYSE - ERP =&gt; SOUS-SEGMENT'!$FK$8:$FK$1000),""))</f>
        <v>4.9398520537361122E-2</v>
      </c>
      <c r="KB21" s="730">
        <f>IF($C21="","",IFERROR(SUMPRODUCT(('ANALYSE - ERP =&gt; SOUS-SEGMENT'!$C$8:$C$1000=$C21)*'ANALYSE - ERP =&gt; SOUS-SEGMENT'!$Q$8:$Q$1000*'ANALYSE - ERP =&gt; SOUS-SEGMENT'!$FK$8:$FK$1000*'ANALYSE - ERP =&gt; SOUS-SEGMENT'!$KB$8:$KB$1000)/SUMPRODUCT(('ANALYSE - ERP =&gt; SOUS-SEGMENT'!$C$8:$C$1000=$C21)*'ANALYSE - ERP =&gt; SOUS-SEGMENT'!$Q$8:$Q$1000*'ANALYSE - ERP =&gt; SOUS-SEGMENT'!$FK$8:$FK$1000),""))</f>
        <v>2.463443281390712E-3</v>
      </c>
      <c r="KC21" s="657"/>
      <c r="KD21" s="920" t="s">
        <v>5753</v>
      </c>
      <c r="KE21" s="920" t="s">
        <v>5754</v>
      </c>
      <c r="KF21" s="866">
        <f>IF($C21="","",IFERROR(SUMPRODUCT(('ANALYSE - ERP =&gt; SOUS-SEGMENT'!$C$8:$C$1000=$C21)*'ANALYSE - ERP =&gt; SOUS-SEGMENT'!$Q$8:$Q$1000*'ANALYSE - ERP =&gt; SOUS-SEGMENT'!$IE$8:$IE$1000*'ANALYSE - ERP =&gt; SOUS-SEGMENT'!$KF$8:$KF$1000)/SUMPRODUCT(('ANALYSE - ERP =&gt; SOUS-SEGMENT'!$C$8:$C$1000=$C21)*'ANALYSE - ERP =&gt; SOUS-SEGMENT'!$Q$8:$Q$1000*'ANALYSE - ERP =&gt; SOUS-SEGMENT'!$IE$8:$IE$1000),""))</f>
        <v>3.7228080504895416</v>
      </c>
      <c r="KG21" s="920" t="s">
        <v>5755</v>
      </c>
      <c r="KH21" s="920" t="s">
        <v>5756</v>
      </c>
      <c r="KI21" s="920" t="s">
        <v>5757</v>
      </c>
      <c r="KJ21" s="920" t="s">
        <v>5758</v>
      </c>
    </row>
    <row r="22" spans="1:296" ht="120" customHeight="1">
      <c r="A22" s="951">
        <f>IF($C22="","",ROWS($A$8:A22))</f>
        <v>15</v>
      </c>
      <c r="B22" s="952" t="s">
        <v>3662</v>
      </c>
      <c r="C22" s="952" t="s">
        <v>3859</v>
      </c>
      <c r="D22" s="952" t="s">
        <v>5759</v>
      </c>
      <c r="E22" s="277" t="s">
        <v>3861</v>
      </c>
      <c r="F22" s="646" t="s">
        <v>300</v>
      </c>
      <c r="G22" s="646" t="s">
        <v>2631</v>
      </c>
      <c r="H22" s="646" t="s">
        <v>2109</v>
      </c>
      <c r="I22" s="646" t="s">
        <v>3859</v>
      </c>
      <c r="J22" s="646" t="s">
        <v>3862</v>
      </c>
      <c r="K22" s="646"/>
      <c r="L22" s="646"/>
      <c r="M22" s="646"/>
      <c r="N22" s="646"/>
      <c r="O22" s="646"/>
      <c r="P22" s="646"/>
      <c r="Q22" s="270">
        <f>IF($C22="","",IF(SUMIFS('ANALYSE - ERP =&gt; SOUS-SEGMENT'!$Q$8:$Q$1000,'ANALYSE - ERP =&gt; SOUS-SEGMENT'!$C$8:$C$1000,$C22)&gt;0,1,0))</f>
        <v>0</v>
      </c>
      <c r="R22" s="278" t="str">
        <f>IF($C22="","",IFERROR(SUMPRODUCT(('ANALYSE - ERP =&gt; SOUS-SEGMENT'!$C$8:$C$1000=$C22)*'ANALYSE - ERP =&gt; SOUS-SEGMENT'!$Q$8:$Q$1000*'ANALYSE - ERP =&gt; SOUS-SEGMENT'!$AF$8:$AF$1000*'ANALYSE - ERP =&gt; SOUS-SEGMENT'!$R$8:$R$1000)/SUMPRODUCT(('ANALYSE - ERP =&gt; SOUS-SEGMENT'!$C$8:$C$1000=$C22)*'ANALYSE - ERP =&gt; SOUS-SEGMENT'!$Q$8:$Q$1000*'ANALYSE - ERP =&gt; SOUS-SEGMENT'!$AF$8:$AF$1000),""))</f>
        <v/>
      </c>
      <c r="S22" s="279">
        <f>IF($C22="","",SUMPRODUCT(('ANALYSE - ERP =&gt; SOUS-SEGMENT'!$C$8:$C$1000=$C22)*'ANALYSE - ERP =&gt; SOUS-SEGMENT'!$Q$8:$Q$1000*'ANALYSE - ERP =&gt; SOUS-SEGMENT'!$S$8:$S$1000))</f>
        <v>0</v>
      </c>
      <c r="T22" s="279">
        <f>IF($C22="","",SUMPRODUCT(('ANALYSE - ERP =&gt; SOUS-SEGMENT'!$C$8:$C$1000=$C22)*'ANALYSE - ERP =&gt; SOUS-SEGMENT'!$Q$8:$Q$1000*'ANALYSE - ERP =&gt; SOUS-SEGMENT'!$T$8:$T$1000))</f>
        <v>0</v>
      </c>
      <c r="U22" s="279">
        <f>IF($C22="","",SUMPRODUCT(('ANALYSE - ERP =&gt; SOUS-SEGMENT'!$C$8:$C$1000=$C22)*'ANALYSE - ERP =&gt; SOUS-SEGMENT'!$Q$8:$Q$1000*'ANALYSE - ERP =&gt; SOUS-SEGMENT'!$U$8:$U$1000))</f>
        <v>0</v>
      </c>
      <c r="V22" s="279">
        <f>IF($C22="","",SUMPRODUCT(('ANALYSE - ERP =&gt; SOUS-SEGMENT'!$C$8:$C$1000=$C22)*'ANALYSE - ERP =&gt; SOUS-SEGMENT'!$Q$8:$Q$1000*'ANALYSE - ERP =&gt; SOUS-SEGMENT'!$V$8:$V$1000))</f>
        <v>0</v>
      </c>
      <c r="W22" s="279">
        <f>IF($C22="","",SUMPRODUCT(('ANALYSE - ERP =&gt; SOUS-SEGMENT'!$C$8:$C$1000=$C22)*'ANALYSE - ERP =&gt; SOUS-SEGMENT'!$Q$8:$Q$1000*'ANALYSE - ERP =&gt; SOUS-SEGMENT'!$W$8:$W$1000))</f>
        <v>0</v>
      </c>
      <c r="X22" s="279">
        <f>IF($C22="","",SUMPRODUCT(('ANALYSE - ERP =&gt; SOUS-SEGMENT'!$C$8:$C$1000=$C22)*'ANALYSE - ERP =&gt; SOUS-SEGMENT'!$Q$8:$Q$1000*'ANALYSE - ERP =&gt; SOUS-SEGMENT'!$X$8:$X$1000))</f>
        <v>0</v>
      </c>
      <c r="Y22" s="279">
        <f>IF($C22="","",SUMPRODUCT(('ANALYSE - ERP =&gt; SOUS-SEGMENT'!$C$8:$C$1000=$C22)*'ANALYSE - ERP =&gt; SOUS-SEGMENT'!$Q$8:$Q$1000*'ANALYSE - ERP =&gt; SOUS-SEGMENT'!$Y$8:$Y$1000))</f>
        <v>0</v>
      </c>
      <c r="Z22" s="279">
        <f>IF($C22="","",SUMPRODUCT(('ANALYSE - ERP =&gt; SOUS-SEGMENT'!$C$8:$C$1000=$C22)*'ANALYSE - ERP =&gt; SOUS-SEGMENT'!$Q$8:$Q$1000*'ANALYSE - ERP =&gt; SOUS-SEGMENT'!$Z$8:$Z$1000))</f>
        <v>0</v>
      </c>
      <c r="AA22" s="279">
        <f>IF($C22="","",SUMPRODUCT(('ANALYSE - ERP =&gt; SOUS-SEGMENT'!$C$8:$C$1000=$C22)*'ANALYSE - ERP =&gt; SOUS-SEGMENT'!$Q$8:$Q$1000*'ANALYSE - ERP =&gt; SOUS-SEGMENT'!$AA$8:$AA$1000))</f>
        <v>0</v>
      </c>
      <c r="AB22" s="279">
        <f>IF($C22="","",SUMPRODUCT(('ANALYSE - ERP =&gt; SOUS-SEGMENT'!$C$8:$C$1000=$C22)*'ANALYSE - ERP =&gt; SOUS-SEGMENT'!$Q$8:$Q$1000*'ANALYSE - ERP =&gt; SOUS-SEGMENT'!$AB$8:$AB$1000))</f>
        <v>0</v>
      </c>
      <c r="AC22" s="279">
        <f>IF($C22="","",SUMPRODUCT(('ANALYSE - ERP =&gt; SOUS-SEGMENT'!$C$8:$C$1000=$C22)*'ANALYSE - ERP =&gt; SOUS-SEGMENT'!$Q$8:$Q$1000*'ANALYSE - ERP =&gt; SOUS-SEGMENT'!$AC$8:$AC$1000))</f>
        <v>0</v>
      </c>
      <c r="AD22" s="279">
        <f>IF($C22="","",SUMPRODUCT(('ANALYSE - ERP =&gt; SOUS-SEGMENT'!$C$8:$C$1000=$C22)*'ANALYSE - ERP =&gt; SOUS-SEGMENT'!$Q$8:$Q$1000*'ANALYSE - ERP =&gt; SOUS-SEGMENT'!$AD$8:$AD$1000))</f>
        <v>0</v>
      </c>
      <c r="AE22" s="279">
        <f>IF($C22="","",SUMPRODUCT(('ANALYSE - ERP =&gt; SOUS-SEGMENT'!$C$8:$C$1000=$C22)*'ANALYSE - ERP =&gt; SOUS-SEGMENT'!$Q$8:$Q$1000*'ANALYSE - ERP =&gt; SOUS-SEGMENT'!$AE$8:$AE$1000))</f>
        <v>0</v>
      </c>
      <c r="AF22" s="279">
        <f>IF($C22="","",SUMPRODUCT(('ANALYSE - ERP =&gt; SOUS-SEGMENT'!$C$8:$C$1000=$C22)*'ANALYSE - ERP =&gt; SOUS-SEGMENT'!$Q$8:$Q$1000*'ANALYSE - ERP =&gt; SOUS-SEGMENT'!$AF$8:$AF$1000))</f>
        <v>0</v>
      </c>
      <c r="AG22" s="279">
        <f>IF($C22="","",SUMPRODUCT(('ANALYSE - ERP =&gt; SOUS-SEGMENT'!$C$8:$C$1000=$C22)*'ANALYSE - ERP =&gt; SOUS-SEGMENT'!$Q$8:$Q$1000*'ANALYSE - ERP =&gt; SOUS-SEGMENT'!$AG$8:$AG$1000))</f>
        <v>0</v>
      </c>
      <c r="AH22" s="279">
        <f>IF($C22="","",SUMPRODUCT(('ANALYSE - ERP =&gt; SOUS-SEGMENT'!$C$8:$C$1000=$C22)*'ANALYSE - ERP =&gt; SOUS-SEGMENT'!$Q$8:$Q$1000*'ANALYSE - ERP =&gt; SOUS-SEGMENT'!$AH$8:$AH$1000))</f>
        <v>0</v>
      </c>
      <c r="AI22" s="279">
        <f>IF($C22="","",SUMPRODUCT(('ANALYSE - ERP =&gt; SOUS-SEGMENT'!$C$8:$C$1000=$C22)*'ANALYSE - ERP =&gt; SOUS-SEGMENT'!$Q$8:$Q$1000*'ANALYSE - ERP =&gt; SOUS-SEGMENT'!$AI$8:$AI$1000))</f>
        <v>0</v>
      </c>
      <c r="AJ22" s="279">
        <f>IF($C22="","",SUMPRODUCT(('ANALYSE - ERP =&gt; SOUS-SEGMENT'!$C$8:$C$1000=$C22)*'ANALYSE - ERP =&gt; SOUS-SEGMENT'!$Q$8:$Q$1000*'ANALYSE - ERP =&gt; SOUS-SEGMENT'!$AJ$8:$AJ$1000))</f>
        <v>0</v>
      </c>
      <c r="AK22" s="279">
        <f>IF($C22="","",SUMPRODUCT(('ANALYSE - ERP =&gt; SOUS-SEGMENT'!$C$8:$C$1000=$C22)*'ANALYSE - ERP =&gt; SOUS-SEGMENT'!$Q$8:$Q$1000*'ANALYSE - ERP =&gt; SOUS-SEGMENT'!$AK$8:$AK$1000))</f>
        <v>0</v>
      </c>
      <c r="AL22" s="646" t="s">
        <v>3863</v>
      </c>
      <c r="AM22" s="646" t="s">
        <v>3864</v>
      </c>
      <c r="AN22" s="646" t="s">
        <v>3865</v>
      </c>
      <c r="AO22" s="657"/>
      <c r="AP22" s="278" t="str">
        <f>IF($C22="","",IFERROR(SUMPRODUCT(('ANALYSE - ERP =&gt; SOUS-SEGMENT'!$C$8:$C$1000=$C22)*'ANALYSE - ERP =&gt; SOUS-SEGMENT'!$Q$8:$Q$1000*'ANALYSE - ERP =&gt; SOUS-SEGMENT'!$AF$8:$AF$1000*'ANALYSE - ERP =&gt; SOUS-SEGMENT'!$AP$8:$AP$1000)/SUMPRODUCT(('ANALYSE - ERP =&gt; SOUS-SEGMENT'!$C$8:$C$1000=$C22)*'ANALYSE - ERP =&gt; SOUS-SEGMENT'!$Q$8:$Q$1000*'ANALYSE - ERP =&gt; SOUS-SEGMENT'!$AF$8:$AF$1000),""))</f>
        <v/>
      </c>
      <c r="AQ22" s="278" t="str">
        <f>IF($C22="","",IFERROR(SUMPRODUCT(('ANALYSE - ERP =&gt; SOUS-SEGMENT'!$C$8:$C$1000=$C22)*'ANALYSE - ERP =&gt; SOUS-SEGMENT'!$Q$8:$Q$1000*'ANALYSE - ERP =&gt; SOUS-SEGMENT'!$AF$8:$AF$1000*'ANALYSE - ERP =&gt; SOUS-SEGMENT'!$AQ$8:$AQ$1000)/SUMPRODUCT(('ANALYSE - ERP =&gt; SOUS-SEGMENT'!$C$8:$C$1000=$C22)*'ANALYSE - ERP =&gt; SOUS-SEGMENT'!$Q$8:$Q$1000*'ANALYSE - ERP =&gt; SOUS-SEGMENT'!$AF$8:$AF$1000),""))</f>
        <v/>
      </c>
      <c r="AR22" s="278" t="str">
        <f>IF($C22="","",IFERROR(SUMPRODUCT(('ANALYSE - ERP =&gt; SOUS-SEGMENT'!$C$8:$C$1000=$C22)*'ANALYSE - ERP =&gt; SOUS-SEGMENT'!$Q$8:$Q$1000*'ANALYSE - ERP =&gt; SOUS-SEGMENT'!$AF$8:$AF$1000*'ANALYSE - ERP =&gt; SOUS-SEGMENT'!$AR$8:$AR$1000)/SUMPRODUCT(('ANALYSE - ERP =&gt; SOUS-SEGMENT'!$C$8:$C$1000=$C22)*'ANALYSE - ERP =&gt; SOUS-SEGMENT'!$Q$8:$Q$1000*'ANALYSE - ERP =&gt; SOUS-SEGMENT'!$AF$8:$AF$1000),""))</f>
        <v/>
      </c>
      <c r="AS22" s="278" t="str">
        <f>IF($C22="","",IFERROR(SUMPRODUCT(('ANALYSE - ERP =&gt; SOUS-SEGMENT'!$C$8:$C$1000=$C22)*'ANALYSE - ERP =&gt; SOUS-SEGMENT'!$Q$8:$Q$1000*'ANALYSE - ERP =&gt; SOUS-SEGMENT'!$AF$8:$AF$1000*'ANALYSE - ERP =&gt; SOUS-SEGMENT'!$AS$8:$AS$1000)/SUMPRODUCT(('ANALYSE - ERP =&gt; SOUS-SEGMENT'!$C$8:$C$1000=$C22)*'ANALYSE - ERP =&gt; SOUS-SEGMENT'!$Q$8:$Q$1000*'ANALYSE - ERP =&gt; SOUS-SEGMENT'!$AF$8:$AF$1000),""))</f>
        <v/>
      </c>
      <c r="AT22" s="657"/>
      <c r="AU22" s="646" t="s">
        <v>3866</v>
      </c>
      <c r="AV22" s="646" t="s">
        <v>3867</v>
      </c>
      <c r="AW22" s="646" t="s">
        <v>3868</v>
      </c>
      <c r="AX22" s="646" t="s">
        <v>2670</v>
      </c>
      <c r="AY22" s="657"/>
      <c r="AZ22" s="947" t="str">
        <f>IF($C22="","",IFERROR(SUMPRODUCT(('ANALYSE - ERP =&gt; SOUS-SEGMENT'!$C$8:$C$1000=$C22)*'ANALYSE - ERP =&gt; SOUS-SEGMENT'!$Q$8:$Q$1000*'ANALYSE - ERP =&gt; SOUS-SEGMENT'!$AF$8:$AF$1000*'ANALYSE - ERP =&gt; SOUS-SEGMENT'!$AZ$8:$AZ$1000)/SUMPRODUCT(('ANALYSE - ERP =&gt; SOUS-SEGMENT'!$C$8:$C$1000=$C22)*'ANALYSE - ERP =&gt; SOUS-SEGMENT'!$Q$8:$Q$1000*'ANALYSE - ERP =&gt; SOUS-SEGMENT'!$AF$8:$AF$1000),""))</f>
        <v/>
      </c>
      <c r="BA22" s="947" t="str">
        <f>IF($C22="","",IFERROR(SUMPRODUCT(('ANALYSE - ERP =&gt; SOUS-SEGMENT'!$C$8:$C$1000=$C22)*'ANALYSE - ERP =&gt; SOUS-SEGMENT'!$Q$8:$Q$1000*'ANALYSE - ERP =&gt; SOUS-SEGMENT'!$AF$8:$AF$1000*'ANALYSE - ERP =&gt; SOUS-SEGMENT'!$BA$8:$BA$1000)/SUMPRODUCT(('ANALYSE - ERP =&gt; SOUS-SEGMENT'!$C$8:$C$1000=$C22)*'ANALYSE - ERP =&gt; SOUS-SEGMENT'!$Q$8:$Q$1000*'ANALYSE - ERP =&gt; SOUS-SEGMENT'!$AF$8:$AF$1000),""))</f>
        <v/>
      </c>
      <c r="BB22" s="947" t="str">
        <f>IF($C22="","",IFERROR(SUMPRODUCT(('ANALYSE - ERP =&gt; SOUS-SEGMENT'!$C$8:$C$1000=$C22)*'ANALYSE - ERP =&gt; SOUS-SEGMENT'!$Q$8:$Q$1000*'ANALYSE - ERP =&gt; SOUS-SEGMENT'!$AF$8:$AF$1000*'ANALYSE - ERP =&gt; SOUS-SEGMENT'!$BB$8:$BB$1000)/SUMPRODUCT(('ANALYSE - ERP =&gt; SOUS-SEGMENT'!$C$8:$C$1000=$C22)*'ANALYSE - ERP =&gt; SOUS-SEGMENT'!$Q$8:$Q$1000*'ANALYSE - ERP =&gt; SOUS-SEGMENT'!$AF$8:$AF$1000),""))</f>
        <v/>
      </c>
      <c r="BC22" s="947" t="str">
        <f>IF($C22="","",IFERROR(SUMPRODUCT(('ANALYSE - ERP =&gt; SOUS-SEGMENT'!$C$8:$C$1000=$C22)*'ANALYSE - ERP =&gt; SOUS-SEGMENT'!$Q$8:$Q$1000*'ANALYSE - ERP =&gt; SOUS-SEGMENT'!$AF$8:$AF$1000*'ANALYSE - ERP =&gt; SOUS-SEGMENT'!$BC$8:$BC$1000)/SUMPRODUCT(('ANALYSE - ERP =&gt; SOUS-SEGMENT'!$C$8:$C$1000=$C22)*'ANALYSE - ERP =&gt; SOUS-SEGMENT'!$Q$8:$Q$1000*'ANALYSE - ERP =&gt; SOUS-SEGMENT'!$AF$8:$AF$1000),""))</f>
        <v/>
      </c>
      <c r="BD22" s="826">
        <f t="shared" si="1"/>
        <v>0</v>
      </c>
      <c r="BE22" s="283">
        <f>IF($C22="","",SUMPRODUCT(('ANALYSE - ERP =&gt; SOUS-SEGMENT'!$C$8:$C$1000=$C22)*'ANALYSE - ERP =&gt; SOUS-SEGMENT'!$Q$8:$Q$1000*'ANALYSE - ERP =&gt; SOUS-SEGMENT'!$BE$8:$BE$1000))</f>
        <v>0</v>
      </c>
      <c r="BF22" s="283">
        <f>IF($C22="","",SUMPRODUCT(('ANALYSE - ERP =&gt; SOUS-SEGMENT'!$C$8:$C$1000=$C22)*'ANALYSE - ERP =&gt; SOUS-SEGMENT'!$Q$8:$Q$1000*'ANALYSE - ERP =&gt; SOUS-SEGMENT'!$BF$8:$BF$1000))</f>
        <v>0</v>
      </c>
      <c r="BG22" s="283">
        <f>IF($C22="","",SUMPRODUCT(('ANALYSE - ERP =&gt; SOUS-SEGMENT'!$C$8:$C$1000=$C22)*'ANALYSE - ERP =&gt; SOUS-SEGMENT'!$Q$8:$Q$1000*'ANALYSE - ERP =&gt; SOUS-SEGMENT'!$BG$8:$BG$1000))</f>
        <v>0</v>
      </c>
      <c r="BH22" s="283">
        <f>IF($C22="","",SUMPRODUCT(('ANALYSE - ERP =&gt; SOUS-SEGMENT'!$C$8:$C$1000=$C22)*'ANALYSE - ERP =&gt; SOUS-SEGMENT'!$Q$8:$Q$1000*'ANALYSE - ERP =&gt; SOUS-SEGMENT'!$BH$8:$BH$1000))</f>
        <v>0</v>
      </c>
      <c r="BI22" s="826">
        <f t="shared" si="2"/>
        <v>0</v>
      </c>
      <c r="BJ22" s="283">
        <f>IF($C22="","",SUMPRODUCT(('ANALYSE - ERP =&gt; SOUS-SEGMENT'!$C$8:$C$1000=$C22)*'ANALYSE - ERP =&gt; SOUS-SEGMENT'!$Q$8:$Q$1000*'ANALYSE - ERP =&gt; SOUS-SEGMENT'!$BJ$8:$BJ$1000))</f>
        <v>0</v>
      </c>
      <c r="BK22" s="283">
        <f>IF($C22="","",SUMPRODUCT(('ANALYSE - ERP =&gt; SOUS-SEGMENT'!$C$8:$C$1000=$C22)*'ANALYSE - ERP =&gt; SOUS-SEGMENT'!$Q$8:$Q$1000*'ANALYSE - ERP =&gt; SOUS-SEGMENT'!$BK$8:$BK$1000))</f>
        <v>0</v>
      </c>
      <c r="BL22" s="283">
        <f>IF($C22="","",SUMPRODUCT(('ANALYSE - ERP =&gt; SOUS-SEGMENT'!$C$8:$C$1000=$C22)*'ANALYSE - ERP =&gt; SOUS-SEGMENT'!$Q$8:$Q$1000*'ANALYSE - ERP =&gt; SOUS-SEGMENT'!$BL$8:$BL$1000))</f>
        <v>0</v>
      </c>
      <c r="BM22" s="283">
        <f>IF($C22="","",SUMPRODUCT(('ANALYSE - ERP =&gt; SOUS-SEGMENT'!$C$8:$C$1000=$C22)*'ANALYSE - ERP =&gt; SOUS-SEGMENT'!$Q$8:$Q$1000*'ANALYSE - ERP =&gt; SOUS-SEGMENT'!$BM$8:$BM$1000))</f>
        <v>0</v>
      </c>
      <c r="BN22" s="657"/>
      <c r="BO22" s="305">
        <f t="shared" si="3"/>
        <v>0</v>
      </c>
      <c r="BP22" s="305">
        <f t="shared" si="4"/>
        <v>0</v>
      </c>
      <c r="BQ22" s="305">
        <f t="shared" si="5"/>
        <v>0</v>
      </c>
      <c r="BR22" s="581">
        <f t="shared" si="6"/>
        <v>0</v>
      </c>
      <c r="BS22" s="706">
        <f t="shared" si="7"/>
        <v>0</v>
      </c>
      <c r="BT22" s="305">
        <f t="shared" si="8"/>
        <v>0</v>
      </c>
      <c r="BU22" s="305">
        <f t="shared" si="9"/>
        <v>0</v>
      </c>
      <c r="BV22" s="581">
        <f t="shared" si="10"/>
        <v>0</v>
      </c>
      <c r="BW22" s="713">
        <f t="shared" si="11"/>
        <v>0</v>
      </c>
      <c r="BX22" s="306">
        <f t="shared" si="12"/>
        <v>0</v>
      </c>
      <c r="BY22" s="590">
        <f t="shared" si="13"/>
        <v>0</v>
      </c>
      <c r="BZ22" s="713">
        <f t="shared" si="14"/>
        <v>0</v>
      </c>
      <c r="CA22" s="306">
        <f t="shared" si="15"/>
        <v>0</v>
      </c>
      <c r="CB22" s="590">
        <f t="shared" si="16"/>
        <v>0</v>
      </c>
      <c r="CC22" s="706">
        <f t="shared" si="17"/>
        <v>0</v>
      </c>
      <c r="CD22" s="305">
        <f t="shared" si="18"/>
        <v>0</v>
      </c>
      <c r="CE22" s="305">
        <f t="shared" si="19"/>
        <v>0</v>
      </c>
      <c r="CF22" s="581">
        <f t="shared" si="20"/>
        <v>0</v>
      </c>
      <c r="CG22" s="706">
        <f t="shared" si="21"/>
        <v>0</v>
      </c>
      <c r="CH22" s="305">
        <f t="shared" si="22"/>
        <v>0</v>
      </c>
      <c r="CI22" s="305">
        <f t="shared" si="23"/>
        <v>0</v>
      </c>
      <c r="CJ22" s="581">
        <f t="shared" si="24"/>
        <v>0</v>
      </c>
      <c r="CK22" s="719">
        <f t="shared" si="25"/>
        <v>0</v>
      </c>
      <c r="CL22" s="307">
        <f t="shared" si="26"/>
        <v>0</v>
      </c>
      <c r="CM22" s="723">
        <f t="shared" si="27"/>
        <v>0</v>
      </c>
      <c r="CN22" s="719">
        <f t="shared" si="28"/>
        <v>0</v>
      </c>
      <c r="CO22" s="307">
        <f t="shared" si="29"/>
        <v>0</v>
      </c>
      <c r="CP22" s="723">
        <f t="shared" si="30"/>
        <v>0</v>
      </c>
      <c r="CQ22" s="657"/>
      <c r="CR22" s="804" t="str">
        <f>IF($C22="","",IFERROR(SUMPRODUCT(('ANALYSE - ERP =&gt; SOUS-SEGMENT'!$C$8:$C$1000=$C22)*'ANALYSE - ERP =&gt; SOUS-SEGMENT'!$Q$8:$Q$1000*'ANALYSE - ERP =&gt; SOUS-SEGMENT'!$DH$8:$DH$1000*'ANALYSE - ERP =&gt; SOUS-SEGMENT'!$CR$8:$CR$1000)/SUMPRODUCT(('ANALYSE - ERP =&gt; SOUS-SEGMENT'!$C$8:$C$1000=$C22)*'ANALYSE - ERP =&gt; SOUS-SEGMENT'!$Q$8:$Q$1000*'ANALYSE - ERP =&gt; SOUS-SEGMENT'!$DH$8:$DH$1000),""))</f>
        <v/>
      </c>
      <c r="CS22" s="805" t="str">
        <f>IF($C22="","",IFERROR(SUMPRODUCT(('ANALYSE - ERP =&gt; SOUS-SEGMENT'!$C$8:$C$1000=$C22)*'ANALYSE - ERP =&gt; SOUS-SEGMENT'!$Q$8:$Q$1000*'ANALYSE - ERP =&gt; SOUS-SEGMENT'!$DI$8:$DI$1000*'ANALYSE - ERP =&gt; SOUS-SEGMENT'!$CS$8:$CS$1000)/SUMPRODUCT(('ANALYSE - ERP =&gt; SOUS-SEGMENT'!$C$8:$C$1000=$C22)*'ANALYSE - ERP =&gt; SOUS-SEGMENT'!$Q$8:$Q$1000*'ANALYSE - ERP =&gt; SOUS-SEGMENT'!$DI$8:$DI$1000),""))</f>
        <v/>
      </c>
      <c r="CT22" s="805" t="str">
        <f>IF($C22="","",IFERROR(SUMPRODUCT(('ANALYSE - ERP =&gt; SOUS-SEGMENT'!$C$8:$C$1000=$C22)*'ANALYSE - ERP =&gt; SOUS-SEGMENT'!$Q$8:$Q$1000*'ANALYSE - ERP =&gt; SOUS-SEGMENT'!$DJ$8:$DJ$1000*'ANALYSE - ERP =&gt; SOUS-SEGMENT'!$CT$8:$CT$1000)/SUMPRODUCT(('ANALYSE - ERP =&gt; SOUS-SEGMENT'!$C$8:$C$1000=$C22)*'ANALYSE - ERP =&gt; SOUS-SEGMENT'!$Q$8:$Q$1000*'ANALYSE - ERP =&gt; SOUS-SEGMENT'!$DJ$8:$DJ$1000),""))</f>
        <v/>
      </c>
      <c r="CU22" s="806" t="str">
        <f>IF($C22="","",IFERROR(SUMPRODUCT(('ANALYSE - ERP =&gt; SOUS-SEGMENT'!$C$8:$C$1000=$C22)*'ANALYSE - ERP =&gt; SOUS-SEGMENT'!$Q$8:$Q$1000*'ANALYSE - ERP =&gt; SOUS-SEGMENT'!$DK$8:$DK$1000*'ANALYSE - ERP =&gt; SOUS-SEGMENT'!$CU$8:$CU$1000)/SUMPRODUCT(('ANALYSE - ERP =&gt; SOUS-SEGMENT'!$C$8:$C$1000=$C22)*'ANALYSE - ERP =&gt; SOUS-SEGMENT'!$Q$8:$Q$1000*'ANALYSE - ERP =&gt; SOUS-SEGMENT'!$DK$8:$DK$1000),""))</f>
        <v/>
      </c>
      <c r="CV22" s="804" t="str">
        <f>IF($C22="","",IFERROR(SUMPRODUCT(('ANALYSE - ERP =&gt; SOUS-SEGMENT'!$C$8:$C$1000=$C22)*'ANALYSE - ERP =&gt; SOUS-SEGMENT'!$Q$8:$Q$1000*'ANALYSE - ERP =&gt; SOUS-SEGMENT'!$DS$8:$DS$1000*'ANALYSE - ERP =&gt; SOUS-SEGMENT'!$CV$8:$CV$1000)/SUMPRODUCT(('ANALYSE - ERP =&gt; SOUS-SEGMENT'!$C$8:$C$1000=$C22)*'ANALYSE - ERP =&gt; SOUS-SEGMENT'!$Q$8:$Q$1000*'ANALYSE - ERP =&gt; SOUS-SEGMENT'!$DS$8:$DS$1000),""))</f>
        <v/>
      </c>
      <c r="CW22" s="805" t="str">
        <f>IF($C22="","",IFERROR(SUMPRODUCT(('ANALYSE - ERP =&gt; SOUS-SEGMENT'!$C$8:$C$1000=$C22)*'ANALYSE - ERP =&gt; SOUS-SEGMENT'!$Q$8:$Q$1000*'ANALYSE - ERP =&gt; SOUS-SEGMENT'!$DT$8:$DT$1000*'ANALYSE - ERP =&gt; SOUS-SEGMENT'!$CW$8:$CW$1000)/SUMPRODUCT(('ANALYSE - ERP =&gt; SOUS-SEGMENT'!$C$8:$C$1000=$C22)*'ANALYSE - ERP =&gt; SOUS-SEGMENT'!$Q$8:$Q$1000*'ANALYSE - ERP =&gt; SOUS-SEGMENT'!$DT$8:$DT$1000),""))</f>
        <v/>
      </c>
      <c r="CX22" s="806" t="str">
        <f>IF($C22="","",IFERROR(SUMPRODUCT(('ANALYSE - ERP =&gt; SOUS-SEGMENT'!$C$8:$C$1000=$C22)*'ANALYSE - ERP =&gt; SOUS-SEGMENT'!$Q$8:$Q$1000*'ANALYSE - ERP =&gt; SOUS-SEGMENT'!$DU$8:$DU$1000*'ANALYSE - ERP =&gt; SOUS-SEGMENT'!$CX$8:$CX$1000)/SUMPRODUCT(('ANALYSE - ERP =&gt; SOUS-SEGMENT'!$C$8:$C$1000=$C22)*'ANALYSE - ERP =&gt; SOUS-SEGMENT'!$Q$8:$Q$1000*'ANALYSE - ERP =&gt; SOUS-SEGMENT'!$DU$8:$DU$1000),""))</f>
        <v/>
      </c>
      <c r="CY22" s="804" t="str">
        <f>IF($C22="","",IFERROR(SUMPRODUCT(('ANALYSE - ERP =&gt; SOUS-SEGMENT'!$C$8:$C$1000=$C22)*'ANALYSE - ERP =&gt; SOUS-SEGMENT'!$Q$8:$Q$1000*'ANALYSE - ERP =&gt; SOUS-SEGMENT'!$EB$8:$EB$1000*'ANALYSE - ERP =&gt; SOUS-SEGMENT'!$CY$8:$CY$1000)/SUMPRODUCT(('ANALYSE - ERP =&gt; SOUS-SEGMENT'!$C$8:$C$1000=$C22)*'ANALYSE - ERP =&gt; SOUS-SEGMENT'!$Q$8:$Q$1000*'ANALYSE - ERP =&gt; SOUS-SEGMENT'!$EB$8:$EB$1000),""))</f>
        <v/>
      </c>
      <c r="CZ22" s="805" t="str">
        <f>IF($C22="","",IFERROR(SUMPRODUCT(('ANALYSE - ERP =&gt; SOUS-SEGMENT'!$C$8:$C$1000=$C22)*'ANALYSE - ERP =&gt; SOUS-SEGMENT'!$Q$8:$Q$1000*'ANALYSE - ERP =&gt; SOUS-SEGMENT'!$EC$8:$EC$1000*'ANALYSE - ERP =&gt; SOUS-SEGMENT'!$CZ$8:$CZ$1000)/SUMPRODUCT(('ANALYSE - ERP =&gt; SOUS-SEGMENT'!$C$8:$C$1000=$C22)*'ANALYSE - ERP =&gt; SOUS-SEGMENT'!$Q$8:$Q$1000*'ANALYSE - ERP =&gt; SOUS-SEGMENT'!$EC$8:$EC$1000),""))</f>
        <v/>
      </c>
      <c r="DA22" s="805" t="str">
        <f>IF($C22="","",IFERROR(SUMPRODUCT(('ANALYSE - ERP =&gt; SOUS-SEGMENT'!$C$8:$C$1000=$C22)*'ANALYSE - ERP =&gt; SOUS-SEGMENT'!$Q$8:$Q$1000*'ANALYSE - ERP =&gt; SOUS-SEGMENT'!$ED$8:$ED$1000*'ANALYSE - ERP =&gt; SOUS-SEGMENT'!$DA$8:$DA$1000)/SUMPRODUCT(('ANALYSE - ERP =&gt; SOUS-SEGMENT'!$C$8:$C$1000=$C22)*'ANALYSE - ERP =&gt; SOUS-SEGMENT'!$Q$8:$Q$1000*'ANALYSE - ERP =&gt; SOUS-SEGMENT'!$ED$8:$ED$1000),""))</f>
        <v/>
      </c>
      <c r="DB22" s="806" t="str">
        <f>IF($C22="","",IFERROR(SUMPRODUCT(('ANALYSE - ERP =&gt; SOUS-SEGMENT'!$C$8:$C$1000=$C22)*'ANALYSE - ERP =&gt; SOUS-SEGMENT'!$Q$8:$Q$1000*'ANALYSE - ERP =&gt; SOUS-SEGMENT'!$EE$8:$EE$1000*'ANALYSE - ERP =&gt; SOUS-SEGMENT'!$DB$8:$DB$1000)/SUMPRODUCT(('ANALYSE - ERP =&gt; SOUS-SEGMENT'!$C$8:$C$1000=$C22)*'ANALYSE - ERP =&gt; SOUS-SEGMENT'!$Q$8:$Q$1000*'ANALYSE - ERP =&gt; SOUS-SEGMENT'!$EE$8:$EE$1000),""))</f>
        <v/>
      </c>
      <c r="DC22" s="804" t="str">
        <f>IF($C22="","",IFERROR(SUMPRODUCT(('ANALYSE - ERP =&gt; SOUS-SEGMENT'!$C$8:$C$1000=$C22)*'ANALYSE - ERP =&gt; SOUS-SEGMENT'!$Q$8:$Q$1000*'ANALYSE - ERP =&gt; SOUS-SEGMENT'!$EM$8:$EM$1000*'ANALYSE - ERP =&gt; SOUS-SEGMENT'!$DC$8:$DC$1000)/SUMPRODUCT(('ANALYSE - ERP =&gt; SOUS-SEGMENT'!$C$8:$C$1000=$C22)*'ANALYSE - ERP =&gt; SOUS-SEGMENT'!$Q$8:$Q$1000*'ANALYSE - ERP =&gt; SOUS-SEGMENT'!$EM$8:$EM$1000),""))</f>
        <v/>
      </c>
      <c r="DD22" s="805" t="str">
        <f>IF($C22="","",IFERROR(SUMPRODUCT(('ANALYSE - ERP =&gt; SOUS-SEGMENT'!$C$8:$C$1000=$C22)*'ANALYSE - ERP =&gt; SOUS-SEGMENT'!$Q$8:$Q$1000*'ANALYSE - ERP =&gt; SOUS-SEGMENT'!$EN$8:$EN$1000*'ANALYSE - ERP =&gt; SOUS-SEGMENT'!$DD$8:$DD$1000)/SUMPRODUCT(('ANALYSE - ERP =&gt; SOUS-SEGMENT'!$C$8:$C$1000=$C22)*'ANALYSE - ERP =&gt; SOUS-SEGMENT'!$Q$8:$Q$1000*'ANALYSE - ERP =&gt; SOUS-SEGMENT'!$EN$8:$EN$1000),""))</f>
        <v/>
      </c>
      <c r="DE22" s="806" t="str">
        <f>IF($C22="","",IFERROR(SUMPRODUCT(('ANALYSE - ERP =&gt; SOUS-SEGMENT'!$C$8:$C$1000=$C22)*'ANALYSE - ERP =&gt; SOUS-SEGMENT'!$Q$8:$Q$1000*'ANALYSE - ERP =&gt; SOUS-SEGMENT'!$EO$8:$EO$1000*'ANALYSE - ERP =&gt; SOUS-SEGMENT'!$DE$8:$DE$1000)/SUMPRODUCT(('ANALYSE - ERP =&gt; SOUS-SEGMENT'!$C$8:$C$1000=$C22)*'ANALYSE - ERP =&gt; SOUS-SEGMENT'!$Q$8:$Q$1000*'ANALYSE - ERP =&gt; SOUS-SEGMENT'!$EO$8:$EO$1000),""))</f>
        <v/>
      </c>
      <c r="DF22" s="919" t="s">
        <v>3869</v>
      </c>
      <c r="DG22" s="657"/>
      <c r="DH22" s="308">
        <f>IF($C22="","",SUMPRODUCT(('ANALYSE - ERP =&gt; SOUS-SEGMENT'!$C$8:$C$1000=$C22)*'ANALYSE - ERP =&gt; SOUS-SEGMENT'!$Q$8:$Q$1000*'ANALYSE - ERP =&gt; SOUS-SEGMENT'!$DH$8:$DH$1000))</f>
        <v>0</v>
      </c>
      <c r="DI22" s="308">
        <f>IF($C22="","",SUMPRODUCT(('ANALYSE - ERP =&gt; SOUS-SEGMENT'!$C$8:$C$1000=$C22)*'ANALYSE - ERP =&gt; SOUS-SEGMENT'!$Q$8:$Q$1000*'ANALYSE - ERP =&gt; SOUS-SEGMENT'!$DI$8:$DI$1000))</f>
        <v>0</v>
      </c>
      <c r="DJ22" s="308">
        <f>IF($C22="","",SUMPRODUCT(('ANALYSE - ERP =&gt; SOUS-SEGMENT'!$C$8:$C$1000=$C22)*'ANALYSE - ERP =&gt; SOUS-SEGMENT'!$Q$8:$Q$1000*'ANALYSE - ERP =&gt; SOUS-SEGMENT'!$DJ$8:$DJ$1000))</f>
        <v>0</v>
      </c>
      <c r="DK22" s="308">
        <f>IF($C22="","",SUMPRODUCT(('ANALYSE - ERP =&gt; SOUS-SEGMENT'!$C$8:$C$1000=$C22)*'ANALYSE - ERP =&gt; SOUS-SEGMENT'!$Q$8:$Q$1000*'ANALYSE - ERP =&gt; SOUS-SEGMENT'!$DK$8:$DK$1000))</f>
        <v>0</v>
      </c>
      <c r="DL22" s="646" t="s">
        <v>3870</v>
      </c>
      <c r="DM22" s="308">
        <f>IF($C22="","",SUMPRODUCT(('ANALYSE - ERP =&gt; SOUS-SEGMENT'!$C$8:$C$1000=$C22)*'ANALYSE - ERP =&gt; SOUS-SEGMENT'!$Q$8:$Q$1000*'ANALYSE - ERP =&gt; SOUS-SEGMENT'!$DM$8:$DM$1000))</f>
        <v>0</v>
      </c>
      <c r="DN22" s="308">
        <f>IF($C22="","",SUMPRODUCT(('ANALYSE - ERP =&gt; SOUS-SEGMENT'!$C$8:$C$1000=$C22)*'ANALYSE - ERP =&gt; SOUS-SEGMENT'!$Q$8:$Q$1000*'ANALYSE - ERP =&gt; SOUS-SEGMENT'!$DN$8:$DN$1000))</f>
        <v>0</v>
      </c>
      <c r="DO22" s="308">
        <f>IF($C22="","",SUMPRODUCT(('ANALYSE - ERP =&gt; SOUS-SEGMENT'!$C$8:$C$1000=$C22)*'ANALYSE - ERP =&gt; SOUS-SEGMENT'!$Q$8:$Q$1000*'ANALYSE - ERP =&gt; SOUS-SEGMENT'!$DO$8:$DO$1000))</f>
        <v>0</v>
      </c>
      <c r="DP22" s="308">
        <f>IF($C22="","",SUMPRODUCT(('ANALYSE - ERP =&gt; SOUS-SEGMENT'!$C$8:$C$1000=$C22)*'ANALYSE - ERP =&gt; SOUS-SEGMENT'!$Q$8:$Q$1000*'ANALYSE - ERP =&gt; SOUS-SEGMENT'!$DP$8:$DP$1000))</f>
        <v>0</v>
      </c>
      <c r="DQ22" s="646" t="s">
        <v>3755</v>
      </c>
      <c r="DR22" s="657"/>
      <c r="DS22" s="308">
        <f>IF($C22="","",SUMPRODUCT(('ANALYSE - ERP =&gt; SOUS-SEGMENT'!$C$8:$C$1000=$C22)*'ANALYSE - ERP =&gt; SOUS-SEGMENT'!$Q$8:$Q$1000*'ANALYSE - ERP =&gt; SOUS-SEGMENT'!$DS$8:$DS$1000))</f>
        <v>0</v>
      </c>
      <c r="DT22" s="308">
        <f>IF($C22="","",SUMPRODUCT(('ANALYSE - ERP =&gt; SOUS-SEGMENT'!$C$8:$C$1000=$C22)*'ANALYSE - ERP =&gt; SOUS-SEGMENT'!$Q$8:$Q$1000*'ANALYSE - ERP =&gt; SOUS-SEGMENT'!$DT$8:$DT$1000))</f>
        <v>0</v>
      </c>
      <c r="DU22" s="308">
        <f>IF($C22="","",SUMPRODUCT(('ANALYSE - ERP =&gt; SOUS-SEGMENT'!$C$8:$C$1000=$C22)*'ANALYSE - ERP =&gt; SOUS-SEGMENT'!$Q$8:$Q$1000*'ANALYSE - ERP =&gt; SOUS-SEGMENT'!$DU$8:$DU$1000))</f>
        <v>0</v>
      </c>
      <c r="DV22" s="646" t="s">
        <v>2613</v>
      </c>
      <c r="DW22" s="308">
        <f>IF($C22="","",SUMPRODUCT(('ANALYSE - ERP =&gt; SOUS-SEGMENT'!$C$8:$C$1000=$C22)*'ANALYSE - ERP =&gt; SOUS-SEGMENT'!$Q$8:$Q$1000*'ANALYSE - ERP =&gt; SOUS-SEGMENT'!$DW$8:$DW$1000))</f>
        <v>0</v>
      </c>
      <c r="DX22" s="308">
        <f>IF($C22="","",SUMPRODUCT(('ANALYSE - ERP =&gt; SOUS-SEGMENT'!$C$8:$C$1000=$C22)*'ANALYSE - ERP =&gt; SOUS-SEGMENT'!$Q$8:$Q$1000*'ANALYSE - ERP =&gt; SOUS-SEGMENT'!$DX$8:$DX$1000))</f>
        <v>0</v>
      </c>
      <c r="DY22" s="308">
        <f>IF($C22="","",SUMPRODUCT(('ANALYSE - ERP =&gt; SOUS-SEGMENT'!$C$8:$C$1000=$C22)*'ANALYSE - ERP =&gt; SOUS-SEGMENT'!$Q$8:$Q$1000*'ANALYSE - ERP =&gt; SOUS-SEGMENT'!$DY$8:$DY$1000))</f>
        <v>0</v>
      </c>
      <c r="DZ22" s="646" t="s">
        <v>2613</v>
      </c>
      <c r="EA22" s="657"/>
      <c r="EB22" s="308">
        <f>IF($C22="","",SUMPRODUCT(('ANALYSE - ERP =&gt; SOUS-SEGMENT'!$C$8:$C$1000=$C22)*'ANALYSE - ERP =&gt; SOUS-SEGMENT'!$Q$8:$Q$1000*'ANALYSE - ERP =&gt; SOUS-SEGMENT'!$EB$8:$EB$1000))</f>
        <v>0</v>
      </c>
      <c r="EC22" s="308">
        <f>IF($C22="","",SUMPRODUCT(('ANALYSE - ERP =&gt; SOUS-SEGMENT'!$C$8:$C$1000=$C22)*'ANALYSE - ERP =&gt; SOUS-SEGMENT'!$Q$8:$Q$1000*'ANALYSE - ERP =&gt; SOUS-SEGMENT'!$EC$8:$EC$1000))</f>
        <v>0</v>
      </c>
      <c r="ED22" s="308">
        <f>IF($C22="","",SUMPRODUCT(('ANALYSE - ERP =&gt; SOUS-SEGMENT'!$C$8:$C$1000=$C22)*'ANALYSE - ERP =&gt; SOUS-SEGMENT'!$Q$8:$Q$1000*'ANALYSE - ERP =&gt; SOUS-SEGMENT'!$ED$8:$ED$1000))</f>
        <v>0</v>
      </c>
      <c r="EE22" s="308">
        <f>IF($C22="","",SUMPRODUCT(('ANALYSE - ERP =&gt; SOUS-SEGMENT'!$C$8:$C$1000=$C22)*'ANALYSE - ERP =&gt; SOUS-SEGMENT'!$Q$8:$Q$1000*'ANALYSE - ERP =&gt; SOUS-SEGMENT'!$EE$8:$EE$1000))</f>
        <v>0</v>
      </c>
      <c r="EF22" s="646" t="s">
        <v>3871</v>
      </c>
      <c r="EG22" s="308">
        <f>IF($C22="","",SUMPRODUCT(('ANALYSE - ERP =&gt; SOUS-SEGMENT'!$C$8:$C$1000=$C22)*'ANALYSE - ERP =&gt; SOUS-SEGMENT'!$Q$8:$Q$1000*'ANALYSE - ERP =&gt; SOUS-SEGMENT'!$EG$8:$EG$1000))</f>
        <v>0</v>
      </c>
      <c r="EH22" s="308">
        <f>IF($C22="","",SUMPRODUCT(('ANALYSE - ERP =&gt; SOUS-SEGMENT'!$C$8:$C$1000=$C22)*'ANALYSE - ERP =&gt; SOUS-SEGMENT'!$Q$8:$Q$1000*'ANALYSE - ERP =&gt; SOUS-SEGMENT'!$EH$8:$EH$1000))</f>
        <v>0</v>
      </c>
      <c r="EI22" s="308">
        <f>IF($C22="","",SUMPRODUCT(('ANALYSE - ERP =&gt; SOUS-SEGMENT'!$C$8:$C$1000=$C22)*'ANALYSE - ERP =&gt; SOUS-SEGMENT'!$Q$8:$Q$1000*'ANALYSE - ERP =&gt; SOUS-SEGMENT'!$EI$8:$EI$1000))</f>
        <v>0</v>
      </c>
      <c r="EJ22" s="308">
        <f>IF($C22="","",SUMPRODUCT(('ANALYSE - ERP =&gt; SOUS-SEGMENT'!$C$8:$C$1000=$C22)*'ANALYSE - ERP =&gt; SOUS-SEGMENT'!$Q$8:$Q$1000*'ANALYSE - ERP =&gt; SOUS-SEGMENT'!$EJ$8:$EJ$1000))</f>
        <v>0</v>
      </c>
      <c r="EK22" s="936" t="s">
        <v>3872</v>
      </c>
      <c r="EL22" s="657"/>
      <c r="EM22" s="308">
        <f>IF($C22="","",SUMPRODUCT(('ANALYSE - ERP =&gt; SOUS-SEGMENT'!$C$8:$C$1000=$C22)*'ANALYSE - ERP =&gt; SOUS-SEGMENT'!$Q$8:$Q$1000*'ANALYSE - ERP =&gt; SOUS-SEGMENT'!$EM$8:$EM$1000))</f>
        <v>0</v>
      </c>
      <c r="EN22" s="310">
        <f>IF($C22="","",SUMPRODUCT(('ANALYSE - ERP =&gt; SOUS-SEGMENT'!$C$8:$C$1000=$C22)*'ANALYSE - ERP =&gt; SOUS-SEGMENT'!$Q$8:$Q$1000*'ANALYSE - ERP =&gt; SOUS-SEGMENT'!$EN$8:$EN$1000))</f>
        <v>0</v>
      </c>
      <c r="EO22" s="310">
        <f>IF($C22="","",SUMPRODUCT(('ANALYSE - ERP =&gt; SOUS-SEGMENT'!$C$8:$C$1000=$C22)*'ANALYSE - ERP =&gt; SOUS-SEGMENT'!$Q$8:$Q$1000*'ANALYSE - ERP =&gt; SOUS-SEGMENT'!$EO$8:$EO$1000))</f>
        <v>0</v>
      </c>
      <c r="EP22" s="646" t="s">
        <v>3873</v>
      </c>
      <c r="EQ22" s="308">
        <f>IF($C22="","",SUMPRODUCT(('ANALYSE - ERP =&gt; SOUS-SEGMENT'!$C$8:$C$1000=$C22)*'ANALYSE - ERP =&gt; SOUS-SEGMENT'!$Q$8:$Q$1000*'ANALYSE - ERP =&gt; SOUS-SEGMENT'!$EQ$8:$EQ$1000))</f>
        <v>0</v>
      </c>
      <c r="ER22" s="310">
        <f>IF($C22="","",SUMPRODUCT(('ANALYSE - ERP =&gt; SOUS-SEGMENT'!$C$8:$C$1000=$C22)*'ANALYSE - ERP =&gt; SOUS-SEGMENT'!$Q$8:$Q$1000*'ANALYSE - ERP =&gt; SOUS-SEGMENT'!$ER$8:$ER$1000))</f>
        <v>0</v>
      </c>
      <c r="ES22" s="310">
        <f>IF($C22="","",SUMPRODUCT(('ANALYSE - ERP =&gt; SOUS-SEGMENT'!$C$8:$C$1000=$C22)*'ANALYSE - ERP =&gt; SOUS-SEGMENT'!$Q$8:$Q$1000*'ANALYSE - ERP =&gt; SOUS-SEGMENT'!$ES$8:$ES$1000))</f>
        <v>0</v>
      </c>
      <c r="ET22" s="646" t="s">
        <v>3760</v>
      </c>
      <c r="EU22" s="657"/>
      <c r="EV22" s="728">
        <f t="shared" si="31"/>
        <v>0</v>
      </c>
      <c r="EW22" s="728">
        <f t="shared" si="32"/>
        <v>0</v>
      </c>
      <c r="EX22" s="311">
        <f t="shared" si="33"/>
        <v>0</v>
      </c>
      <c r="EY22" s="311">
        <f t="shared" si="34"/>
        <v>0</v>
      </c>
      <c r="EZ22" s="311">
        <f t="shared" si="35"/>
        <v>0</v>
      </c>
      <c r="FA22" s="311">
        <f t="shared" si="36"/>
        <v>0</v>
      </c>
      <c r="FB22" s="311">
        <f>IF($C22="","",SUMPRODUCT(('ANALYSE - ERP =&gt; SOUS-SEGMENT'!$C$8:$C$1000=$C22)*'ANALYSE - ERP =&gt; SOUS-SEGMENT'!$Q$8:$Q$1000*'ANALYSE - ERP =&gt; SOUS-SEGMENT'!$FB$8:$FB$1000))</f>
        <v>0</v>
      </c>
      <c r="FC22" s="311">
        <f>IF($C22="","",SUMPRODUCT(('ANALYSE - ERP =&gt; SOUS-SEGMENT'!$C$8:$C$1000=$C22)*'ANALYSE - ERP =&gt; SOUS-SEGMENT'!$Q$8:$Q$1000*'ANALYSE - ERP =&gt; SOUS-SEGMENT'!$FC$8:$FC$1000))</f>
        <v>0</v>
      </c>
      <c r="FD22" s="311">
        <f t="shared" si="37"/>
        <v>0</v>
      </c>
      <c r="FE22" s="311">
        <f>IF($C22="","",SUMPRODUCT(('ANALYSE - ERP =&gt; SOUS-SEGMENT'!$C$8:$C$1000=$C22)*'ANALYSE - ERP =&gt; SOUS-SEGMENT'!$Q$8:$Q$1000*'ANALYSE - ERP =&gt; SOUS-SEGMENT'!$FE$8:$FE$1000))</f>
        <v>0</v>
      </c>
      <c r="FF22" s="311">
        <f>IF($C22="","",SUMPRODUCT(('ANALYSE - ERP =&gt; SOUS-SEGMENT'!$C$8:$C$1000=$C22)*'ANALYSE - ERP =&gt; SOUS-SEGMENT'!$Q$8:$Q$1000*'ANALYSE - ERP =&gt; SOUS-SEGMENT'!$FF$8:$FF$1000))</f>
        <v>0</v>
      </c>
      <c r="FG22" s="311">
        <f t="shared" si="38"/>
        <v>0</v>
      </c>
      <c r="FH22" s="311">
        <f>IF($C22="","",SUMPRODUCT(('ANALYSE - ERP =&gt; SOUS-SEGMENT'!$C$8:$C$1000=$C22)*'ANALYSE - ERP =&gt; SOUS-SEGMENT'!$Q$8:$Q$1000*'ANALYSE - ERP =&gt; SOUS-SEGMENT'!$FH$8:$FH$1000))</f>
        <v>0</v>
      </c>
      <c r="FI22" s="311">
        <f>IF($C22="","",SUMPRODUCT(('ANALYSE - ERP =&gt; SOUS-SEGMENT'!$C$8:$C$1000=$C22)*'ANALYSE - ERP =&gt; SOUS-SEGMENT'!$Q$8:$Q$1000*'ANALYSE - ERP =&gt; SOUS-SEGMENT'!$FI$8:$FI$1000))</f>
        <v>0</v>
      </c>
      <c r="FJ22" s="311">
        <f t="shared" si="39"/>
        <v>0</v>
      </c>
      <c r="FK22" s="311">
        <f>IF($C22="","",SUMPRODUCT(('ANALYSE - ERP =&gt; SOUS-SEGMENT'!$C$8:$C$1000=$C22)*'ANALYSE - ERP =&gt; SOUS-SEGMENT'!$Q$8:$Q$1000*'ANALYSE - ERP =&gt; SOUS-SEGMENT'!$FK$8:$FK$1000))</f>
        <v>0</v>
      </c>
      <c r="FL22" s="311">
        <f>IF($C22="","",SUMPRODUCT(('ANALYSE - ERP =&gt; SOUS-SEGMENT'!$C$8:$C$1000=$C22)*'ANALYSE - ERP =&gt; SOUS-SEGMENT'!$Q$8:$Q$1000*'ANALYSE - ERP =&gt; SOUS-SEGMENT'!$FL$8:$FL$1000))</f>
        <v>0</v>
      </c>
      <c r="FM22" s="657"/>
      <c r="FN22" s="954" t="s">
        <v>2649</v>
      </c>
      <c r="FO22" s="728" t="str">
        <f>IF($C22="","",IFERROR(SUMPRODUCT(('ANALYSE - ERP =&gt; SOUS-SEGMENT'!$C$8:$C$1000=$C22)*'ANALYSE - ERP =&gt; SOUS-SEGMENT'!$Q$8:$Q$1000*'ANALYSE - ERP =&gt; SOUS-SEGMENT'!$AF$8:$AF$1000*'ANALYSE - ERP =&gt; SOUS-SEGMENT'!$FO$8:$FO$1000)/SUMPRODUCT(('ANALYSE - ERP =&gt; SOUS-SEGMENT'!$C$8:$C$1000=$C22)*'ANALYSE - ERP =&gt; SOUS-SEGMENT'!$Q$8:$Q$1000*'ANALYSE - ERP =&gt; SOUS-SEGMENT'!$AF$8:$AF$1000),""))</f>
        <v/>
      </c>
      <c r="FP22" s="729" t="str">
        <f>IF($C22="","",IFERROR(SUMPRODUCT(('ANALYSE - ERP =&gt; SOUS-SEGMENT'!$C$8:$C$1000=$C22)*'ANALYSE - ERP =&gt; SOUS-SEGMENT'!$Q$8:$Q$1000*'ANALYSE - ERP =&gt; SOUS-SEGMENT'!$AF$8:$AF$1000*'ANALYSE - ERP =&gt; SOUS-SEGMENT'!$FP$8:$FP$1000)/SUMPRODUCT(('ANALYSE - ERP =&gt; SOUS-SEGMENT'!$C$8:$C$1000=$C22)*'ANALYSE - ERP =&gt; SOUS-SEGMENT'!$Q$8:$Q$1000*'ANALYSE - ERP =&gt; SOUS-SEGMENT'!$AF$8:$AF$1000),""))</f>
        <v/>
      </c>
      <c r="FQ22" s="954" t="s">
        <v>3182</v>
      </c>
      <c r="FR22" s="657"/>
      <c r="FS22" s="865" t="str">
        <f>IF($C22="","",IFERROR(SUMPRODUCT(('ANALYSE - ERP =&gt; SOUS-SEGMENT'!$C$8:$C$1000=$C22)*'ANALYSE - ERP =&gt; SOUS-SEGMENT'!$Q$8:$Q$1000*'ANALYSE - ERP =&gt; SOUS-SEGMENT'!$EX$8:$EX$1000*'ANALYSE - ERP =&gt; SOUS-SEGMENT'!$FS$8:$FS$1000)/SUMPRODUCT(('ANALYSE - ERP =&gt; SOUS-SEGMENT'!$C$8:$C$1000=$C22)*'ANALYSE - ERP =&gt; SOUS-SEGMENT'!$Q$8:$Q$1000*'ANALYSE - ERP =&gt; SOUS-SEGMENT'!$EX$8:$EX$1000),""))</f>
        <v/>
      </c>
      <c r="FT22" s="312" t="e">
        <f>IF($C22="","",RANK($FS22,$FS$8:$FS$43,0)+COUNTIF($FS$8:$FS22,$FS22)-1)</f>
        <v>#VALUE!</v>
      </c>
      <c r="FU22" s="865" t="str">
        <f>IF($C22="","",IFERROR(SUMPRODUCT(('ANALYSE - ERP =&gt; SOUS-SEGMENT'!$C$8:$C$1000=$C22)*'ANALYSE - ERP =&gt; SOUS-SEGMENT'!$Q$8:$Q$1000*'ANALYSE - ERP =&gt; SOUS-SEGMENT'!$EY$8:$EY$1000*'ANALYSE - ERP =&gt; SOUS-SEGMENT'!$FU$8:$FU$1000)/SUMPRODUCT(('ANALYSE - ERP =&gt; SOUS-SEGMENT'!$C$8:$C$1000=$C22)*'ANALYSE - ERP =&gt; SOUS-SEGMENT'!$Q$8:$Q$1000*'ANALYSE - ERP =&gt; SOUS-SEGMENT'!$EY$8:$EY$1000),""))</f>
        <v/>
      </c>
      <c r="FV22" s="312" t="e">
        <f>IF($C22="","",RANK($FU22,$FU$8:$FU$43,0)+COUNTIF($FU$8:$FU22,$FU22)-1)</f>
        <v>#VALUE!</v>
      </c>
      <c r="FW22" s="865" t="str">
        <f>IF($C22="","",IFERROR(SUMPRODUCT(('ANALYSE - ERP =&gt; SOUS-SEGMENT'!$C$8:$C$1000=$C22)*'ANALYSE - ERP =&gt; SOUS-SEGMENT'!$Q$8:$Q$1000*'ANALYSE - ERP =&gt; SOUS-SEGMENT'!$EZ$8:$EZ$1000*'ANALYSE - ERP =&gt; SOUS-SEGMENT'!$FW$8:$FW$1000)/SUMPRODUCT(('ANALYSE - ERP =&gt; SOUS-SEGMENT'!$C$8:$C$1000=$C22)*'ANALYSE - ERP =&gt; SOUS-SEGMENT'!$Q$8:$Q$1000*'ANALYSE - ERP =&gt; SOUS-SEGMENT'!$EZ$8:$EZ$1000),""))</f>
        <v/>
      </c>
      <c r="FX22" s="312" t="e">
        <f>IF($C22="","",RANK($FW22,$FW$8:$FW$43,0)+COUNTIF($FW$8:$FW22,$FW22)-1)</f>
        <v>#VALUE!</v>
      </c>
      <c r="FY22" s="657"/>
      <c r="FZ22" s="646" t="s">
        <v>3183</v>
      </c>
      <c r="GA22" s="646" t="s">
        <v>3874</v>
      </c>
      <c r="GB22" s="646" t="s">
        <v>2653</v>
      </c>
      <c r="GC22" s="646" t="s">
        <v>2654</v>
      </c>
      <c r="GD22" s="646" t="s">
        <v>2876</v>
      </c>
      <c r="GE22" s="646" t="s">
        <v>2656</v>
      </c>
      <c r="GF22" s="276" t="s">
        <v>5760</v>
      </c>
      <c r="GG22" s="657"/>
      <c r="GH22" s="311">
        <f t="shared" si="40"/>
        <v>0</v>
      </c>
      <c r="GI22" s="311">
        <f>IF($C22="","",SUMPRODUCT(('ANALYSE - ERP =&gt; SOUS-SEGMENT'!$C$8:$C$1000=$C22)*'ANALYSE - ERP =&gt; SOUS-SEGMENT'!$Q$8:$Q$1000*'ANALYSE - ERP =&gt; SOUS-SEGMENT'!$GI$8:$GI$1000))</f>
        <v>0</v>
      </c>
      <c r="GJ22" s="311">
        <f>IF($C22="","",SUMPRODUCT(('ANALYSE - ERP =&gt; SOUS-SEGMENT'!$C$8:$C$1000=$C22)*'ANALYSE - ERP =&gt; SOUS-SEGMENT'!$Q$8:$Q$1000*'ANALYSE - ERP =&gt; SOUS-SEGMENT'!$GJ$8:$GJ$1000))</f>
        <v>0</v>
      </c>
      <c r="GK22" s="311">
        <f t="shared" si="41"/>
        <v>0</v>
      </c>
      <c r="GL22" s="311">
        <f>IF($C22="","",SUMPRODUCT(('ANALYSE - ERP =&gt; SOUS-SEGMENT'!$C$8:$C$1000=$C22)*'ANALYSE - ERP =&gt; SOUS-SEGMENT'!$Q$8:$Q$1000*'ANALYSE - ERP =&gt; SOUS-SEGMENT'!$GL$8:$GL$1000))</f>
        <v>0</v>
      </c>
      <c r="GM22" s="311">
        <f>IF($C22="","",SUMPRODUCT(('ANALYSE - ERP =&gt; SOUS-SEGMENT'!$C$8:$C$1000=$C22)*'ANALYSE - ERP =&gt; SOUS-SEGMENT'!$Q$8:$Q$1000*'ANALYSE - ERP =&gt; SOUS-SEGMENT'!$GM$8:$GM$1000))</f>
        <v>0</v>
      </c>
      <c r="GN22" s="311">
        <f t="shared" si="42"/>
        <v>0</v>
      </c>
      <c r="GO22" s="311">
        <f>IF($C22="","",SUMPRODUCT(('ANALYSE - ERP =&gt; SOUS-SEGMENT'!$C$8:$C$1000=$C22)*'ANALYSE - ERP =&gt; SOUS-SEGMENT'!$Q$8:$Q$1000*'ANALYSE - ERP =&gt; SOUS-SEGMENT'!$GO$8:$GO$1000))</f>
        <v>0</v>
      </c>
      <c r="GP22" s="311">
        <f>IF($C22="","",SUMPRODUCT(('ANALYSE - ERP =&gt; SOUS-SEGMENT'!$C$8:$C$1000=$C22)*'ANALYSE - ERP =&gt; SOUS-SEGMENT'!$Q$8:$Q$1000*'ANALYSE - ERP =&gt; SOUS-SEGMENT'!$GP$8:$GP$1000))</f>
        <v>0</v>
      </c>
      <c r="GQ22" s="311">
        <f t="shared" si="43"/>
        <v>0</v>
      </c>
      <c r="GR22" s="311">
        <f>IF($C22="","",SUMPRODUCT(('ANALYSE - ERP =&gt; SOUS-SEGMENT'!$C$8:$C$1000=$C22)*'ANALYSE - ERP =&gt; SOUS-SEGMENT'!$Q$8:$Q$1000*'ANALYSE - ERP =&gt; SOUS-SEGMENT'!$GR$8:$GR$1000))</f>
        <v>0</v>
      </c>
      <c r="GS22" s="311">
        <f>IF($C22="","",SUMPRODUCT(('ANALYSE - ERP =&gt; SOUS-SEGMENT'!$C$8:$C$1000=$C22)*'ANALYSE - ERP =&gt; SOUS-SEGMENT'!$Q$8:$Q$1000*'ANALYSE - ERP =&gt; SOUS-SEGMENT'!$GS$8:$GS$1000))</f>
        <v>0</v>
      </c>
      <c r="GT22" s="311">
        <f t="shared" si="44"/>
        <v>0</v>
      </c>
      <c r="GU22" s="311">
        <f>IF($C22="","",SUMPRODUCT(('ANALYSE - ERP =&gt; SOUS-SEGMENT'!$C$8:$C$1000=$C22)*'ANALYSE - ERP =&gt; SOUS-SEGMENT'!$Q$8:$Q$1000*'ANALYSE - ERP =&gt; SOUS-SEGMENT'!$GU$8:$GU$1000))</f>
        <v>0</v>
      </c>
      <c r="GV22" s="311">
        <f>IF($C22="","",SUMPRODUCT(('ANALYSE - ERP =&gt; SOUS-SEGMENT'!$C$8:$C$1000=$C22)*'ANALYSE - ERP =&gt; SOUS-SEGMENT'!$Q$8:$Q$1000*'ANALYSE - ERP =&gt; SOUS-SEGMENT'!$GV$8:$GV$1000))</f>
        <v>0</v>
      </c>
      <c r="GW22" s="311">
        <f t="shared" si="45"/>
        <v>0</v>
      </c>
      <c r="GX22" s="311">
        <f>IF($C22="","",SUMPRODUCT(('ANALYSE - ERP =&gt; SOUS-SEGMENT'!$C$8:$C$1000=$C22)*'ANALYSE - ERP =&gt; SOUS-SEGMENT'!$Q$8:$Q$1000*'ANALYSE - ERP =&gt; SOUS-SEGMENT'!$GX$8:$GX$1000))</f>
        <v>0</v>
      </c>
      <c r="GY22" s="311">
        <f>IF($C22="","",SUMPRODUCT(('ANALYSE - ERP =&gt; SOUS-SEGMENT'!$C$8:$C$1000=$C22)*'ANALYSE - ERP =&gt; SOUS-SEGMENT'!$Q$8:$Q$1000*'ANALYSE - ERP =&gt; SOUS-SEGMENT'!$GY$8:$GY$1000))</f>
        <v>0</v>
      </c>
      <c r="GZ22" s="311">
        <f t="shared" si="46"/>
        <v>0</v>
      </c>
      <c r="HA22" s="311">
        <f>IF($C22="","",SUMPRODUCT(('ANALYSE - ERP =&gt; SOUS-SEGMENT'!$C$8:$C$1000=$C22)*'ANALYSE - ERP =&gt; SOUS-SEGMENT'!$Q$8:$Q$1000*'ANALYSE - ERP =&gt; SOUS-SEGMENT'!$HA$8:$HA$1000))</f>
        <v>0</v>
      </c>
      <c r="HB22" s="311">
        <f>IF($C22="","",SUMPRODUCT(('ANALYSE - ERP =&gt; SOUS-SEGMENT'!$C$8:$C$1000=$C22)*'ANALYSE - ERP =&gt; SOUS-SEGMENT'!$Q$8:$Q$1000*'ANALYSE - ERP =&gt; SOUS-SEGMENT'!$HB$8:$HB$1000))</f>
        <v>0</v>
      </c>
      <c r="HC22" s="311">
        <f t="shared" si="47"/>
        <v>0</v>
      </c>
      <c r="HD22" s="311">
        <f>IF($C22="","",SUMPRODUCT(('ANALYSE - ERP =&gt; SOUS-SEGMENT'!$C$8:$C$1000=$C22)*'ANALYSE - ERP =&gt; SOUS-SEGMENT'!$Q$8:$Q$1000*'ANALYSE - ERP =&gt; SOUS-SEGMENT'!$HD$8:$HD$1000))</f>
        <v>0</v>
      </c>
      <c r="HE22" s="311">
        <f>IF($C22="","",SUMPRODUCT(('ANALYSE - ERP =&gt; SOUS-SEGMENT'!$C$8:$C$1000=$C22)*'ANALYSE - ERP =&gt; SOUS-SEGMENT'!$Q$8:$Q$1000*'ANALYSE - ERP =&gt; SOUS-SEGMENT'!$HE$8:$HE$1000))</f>
        <v>0</v>
      </c>
      <c r="HF22" s="311">
        <f t="shared" si="48"/>
        <v>0</v>
      </c>
      <c r="HG22" s="311">
        <f>IF($C22="","",SUMPRODUCT(('ANALYSE - ERP =&gt; SOUS-SEGMENT'!$C$8:$C$1000=$C22)*'ANALYSE - ERP =&gt; SOUS-SEGMENT'!$Q$8:$Q$1000*'ANALYSE - ERP =&gt; SOUS-SEGMENT'!$HG$8:$HG$1000))</f>
        <v>0</v>
      </c>
      <c r="HH22" s="311">
        <f>IF($C22="","",SUMPRODUCT(('ANALYSE - ERP =&gt; SOUS-SEGMENT'!$C$8:$C$1000=$C22)*'ANALYSE - ERP =&gt; SOUS-SEGMENT'!$Q$8:$Q$1000*'ANALYSE - ERP =&gt; SOUS-SEGMENT'!$HH$8:$HH$1000))</f>
        <v>0</v>
      </c>
      <c r="HI22" s="311">
        <f t="shared" si="49"/>
        <v>0</v>
      </c>
      <c r="HJ22" s="311">
        <f>IF($C22="","",SUMPRODUCT(('ANALYSE - ERP =&gt; SOUS-SEGMENT'!$C$8:$C$1000=$C22)*'ANALYSE - ERP =&gt; SOUS-SEGMENT'!$Q$8:$Q$1000*'ANALYSE - ERP =&gt; SOUS-SEGMENT'!$HJ$8:$HJ$1000))</f>
        <v>0</v>
      </c>
      <c r="HK22" s="311">
        <f>IF($C22="","",SUMPRODUCT(('ANALYSE - ERP =&gt; SOUS-SEGMENT'!$C$8:$C$1000=$C22)*'ANALYSE - ERP =&gt; SOUS-SEGMENT'!$Q$8:$Q$1000*'ANALYSE - ERP =&gt; SOUS-SEGMENT'!$HK$8:$HK$1000))</f>
        <v>0</v>
      </c>
      <c r="HL22" s="311">
        <f t="shared" si="50"/>
        <v>0</v>
      </c>
      <c r="HM22" s="311">
        <f>IF($C22="","",SUMPRODUCT(('ANALYSE - ERP =&gt; SOUS-SEGMENT'!$C$8:$C$1000=$C22)*'ANALYSE - ERP =&gt; SOUS-SEGMENT'!$Q$8:$Q$1000*'ANALYSE - ERP =&gt; SOUS-SEGMENT'!$HM$8:$HM$1000))</f>
        <v>0</v>
      </c>
      <c r="HN22" s="311">
        <f>IF($C22="","",SUMPRODUCT(('ANALYSE - ERP =&gt; SOUS-SEGMENT'!$C$8:$C$1000=$C22)*'ANALYSE - ERP =&gt; SOUS-SEGMENT'!$Q$8:$Q$1000*'ANALYSE - ERP =&gt; SOUS-SEGMENT'!$HN$8:$HN$1000))</f>
        <v>0</v>
      </c>
      <c r="HO22" s="311">
        <f t="shared" si="51"/>
        <v>0</v>
      </c>
      <c r="HP22" s="311">
        <f>IF($C22="","",SUMPRODUCT(('ANALYSE - ERP =&gt; SOUS-SEGMENT'!$C$8:$C$1000=$C22)*'ANALYSE - ERP =&gt; SOUS-SEGMENT'!$Q$8:$Q$1000*'ANALYSE - ERP =&gt; SOUS-SEGMENT'!$HP$8:$HP$1000))</f>
        <v>0</v>
      </c>
      <c r="HQ22" s="311">
        <f>IF($C22="","",SUMPRODUCT(('ANALYSE - ERP =&gt; SOUS-SEGMENT'!$C$8:$C$1000=$C22)*'ANALYSE - ERP =&gt; SOUS-SEGMENT'!$Q$8:$Q$1000*'ANALYSE - ERP =&gt; SOUS-SEGMENT'!$HQ$8:$HQ$1000))</f>
        <v>0</v>
      </c>
      <c r="HR22" s="311">
        <f t="shared" si="52"/>
        <v>0</v>
      </c>
      <c r="HS22" s="311">
        <f>IF($C22="","",SUMPRODUCT(('ANALYSE - ERP =&gt; SOUS-SEGMENT'!$C$8:$C$1000=$C22)*'ANALYSE - ERP =&gt; SOUS-SEGMENT'!$Q$8:$Q$1000*'ANALYSE - ERP =&gt; SOUS-SEGMENT'!$HS$8:$HS$1000))</f>
        <v>0</v>
      </c>
      <c r="HT22" s="311">
        <f>IF($C22="","",SUMPRODUCT(('ANALYSE - ERP =&gt; SOUS-SEGMENT'!$C$8:$C$1000=$C22)*'ANALYSE - ERP =&gt; SOUS-SEGMENT'!$Q$8:$Q$1000*'ANALYSE - ERP =&gt; SOUS-SEGMENT'!$HT$8:$HT$1000))</f>
        <v>0</v>
      </c>
      <c r="HU22" s="311">
        <f t="shared" si="53"/>
        <v>0</v>
      </c>
      <c r="HV22" s="311">
        <f>IF($C22="","",SUMPRODUCT(('ANALYSE - ERP =&gt; SOUS-SEGMENT'!$C$8:$C$1000=$C22)*'ANALYSE - ERP =&gt; SOUS-SEGMENT'!$Q$8:$Q$1000*'ANALYSE - ERP =&gt; SOUS-SEGMENT'!$HV$8:$HV$1000))</f>
        <v>0</v>
      </c>
      <c r="HW22" s="311">
        <f>IF($C22="","",SUMPRODUCT(('ANALYSE - ERP =&gt; SOUS-SEGMENT'!$C$8:$C$1000=$C22)*'ANALYSE - ERP =&gt; SOUS-SEGMENT'!$Q$8:$Q$1000*'ANALYSE - ERP =&gt; SOUS-SEGMENT'!$HW$8:$HW$1000))</f>
        <v>0</v>
      </c>
      <c r="HY22" s="313">
        <f t="shared" si="54"/>
        <v>0</v>
      </c>
      <c r="HZ22" s="313">
        <f>IF($C22="","",SUMPRODUCT(('ANALYSE - ERP =&gt; SOUS-SEGMENT'!$C$8:$C$1000=$C22)*'ANALYSE - ERP =&gt; SOUS-SEGMENT'!$Q$8:$Q$1000*'ANALYSE - ERP =&gt; SOUS-SEGMENT'!$HZ$8:$HZ$1000))</f>
        <v>0</v>
      </c>
      <c r="IA22" s="313">
        <f>IF($C22="","",SUMPRODUCT(('ANALYSE - ERP =&gt; SOUS-SEGMENT'!$C$8:$C$1000=$C22)*'ANALYSE - ERP =&gt; SOUS-SEGMENT'!$Q$8:$Q$1000*'ANALYSE - ERP =&gt; SOUS-SEGMENT'!$IA$8:$IA$1000))</f>
        <v>0</v>
      </c>
      <c r="IB22" s="313">
        <f>IF($C22="","",SUMPRODUCT(('ANALYSE - ERP =&gt; SOUS-SEGMENT'!$C$8:$C$1000=$C22)*'ANALYSE - ERP =&gt; SOUS-SEGMENT'!$Q$8:$Q$1000*'ANALYSE - ERP =&gt; SOUS-SEGMENT'!$IB$8:$IB$1000))</f>
        <v>0</v>
      </c>
      <c r="IC22" s="313">
        <f>IF($C22="","",SUMPRODUCT(('ANALYSE - ERP =&gt; SOUS-SEGMENT'!$C$8:$C$1000=$C22)*'ANALYSE - ERP =&gt; SOUS-SEGMENT'!$Q$8:$Q$1000*'ANALYSE - ERP =&gt; SOUS-SEGMENT'!$IC$8:$IC$1000))</f>
        <v>0</v>
      </c>
      <c r="ID22" s="313">
        <f>IF($C22="","",SUMPRODUCT(('ANALYSE - ERP =&gt; SOUS-SEGMENT'!$C$8:$C$1000=$C22)*'ANALYSE - ERP =&gt; SOUS-SEGMENT'!$Q$8:$Q$1000*'ANALYSE - ERP =&gt; SOUS-SEGMENT'!$ID$8:$ID$1000))</f>
        <v>0</v>
      </c>
      <c r="IE22" s="313">
        <f t="shared" si="55"/>
        <v>0</v>
      </c>
      <c r="IF22" s="313">
        <f>IF($C22="","",SUMPRODUCT(('ANALYSE - ERP =&gt; SOUS-SEGMENT'!$C$8:$C$1000=$C22)*'ANALYSE - ERP =&gt; SOUS-SEGMENT'!$Q$8:$Q$1000*'ANALYSE - ERP =&gt; SOUS-SEGMENT'!$IF$8:$IF$1000))</f>
        <v>0</v>
      </c>
      <c r="IG22" s="313">
        <f>IF($C22="","",SUMPRODUCT(('ANALYSE - ERP =&gt; SOUS-SEGMENT'!$C$8:$C$1000=$C22)*'ANALYSE - ERP =&gt; SOUS-SEGMENT'!$Q$8:$Q$1000*'ANALYSE - ERP =&gt; SOUS-SEGMENT'!$IG$8:$IG$1000))</f>
        <v>0</v>
      </c>
      <c r="IH22" s="313">
        <f>IF($C22="","",SUMPRODUCT(('ANALYSE - ERP =&gt; SOUS-SEGMENT'!$C$8:$C$1000=$C22)*'ANALYSE - ERP =&gt; SOUS-SEGMENT'!$Q$8:$Q$1000*'ANALYSE - ERP =&gt; SOUS-SEGMENT'!$IH$8:$IH$1000))</f>
        <v>0</v>
      </c>
      <c r="II22" s="313">
        <f>IF($C22="","",SUMPRODUCT(('ANALYSE - ERP =&gt; SOUS-SEGMENT'!$C$8:$C$1000=$C22)*'ANALYSE - ERP =&gt; SOUS-SEGMENT'!$Q$8:$Q$1000*'ANALYSE - ERP =&gt; SOUS-SEGMENT'!$II$8:$II$1000))</f>
        <v>0</v>
      </c>
      <c r="IJ22" s="313">
        <f>IF($C22="","",SUMPRODUCT(('ANALYSE - ERP =&gt; SOUS-SEGMENT'!$C$8:$C$1000=$C22)*'ANALYSE - ERP =&gt; SOUS-SEGMENT'!$Q$8:$Q$1000*'ANALYSE - ERP =&gt; SOUS-SEGMENT'!$IJ$8:$IJ$1000))</f>
        <v>0</v>
      </c>
      <c r="IK22" s="866" t="str">
        <f>IF($C22="","",IFERROR(SUMPRODUCT(('ANALYSE - ERP =&gt; SOUS-SEGMENT'!$C$8:$C$1000=$C22)*'ANALYSE - ERP =&gt; SOUS-SEGMENT'!$Q$8:$Q$1000*'ANALYSE - ERP =&gt; SOUS-SEGMENT'!$IE$8:$IE$1000*'ANALYSE - ERP =&gt; SOUS-SEGMENT'!$IK$8:$IK$1000)/SUMPRODUCT(('ANALYSE - ERP =&gt; SOUS-SEGMENT'!$C$8:$C$1000=$C22)*'ANALYSE - ERP =&gt; SOUS-SEGMENT'!$Q$8:$Q$1000*'ANALYSE - ERP =&gt; SOUS-SEGMENT'!$IE$8:$IE$1000),""))</f>
        <v/>
      </c>
      <c r="IL22" s="920" t="s">
        <v>2589</v>
      </c>
      <c r="IM22" s="964" t="s">
        <v>3875</v>
      </c>
      <c r="IN22" s="657"/>
      <c r="IO22" s="730" t="str">
        <f>IF($C22="","",IFERROR(SUMPRODUCT(('ANALYSE - ERP =&gt; SOUS-SEGMENT'!$C$8:$C$1000=$C22)*'ANALYSE - ERP =&gt; SOUS-SEGMENT'!$Q$8:$Q$1000*'ANALYSE - ERP =&gt; SOUS-SEGMENT'!$BE$8:$BE$1000*'ANALYSE - ERP =&gt; SOUS-SEGMENT'!$IO$8:$IO$1000)/SUMPRODUCT(('ANALYSE - ERP =&gt; SOUS-SEGMENT'!$C$8:$C$1000=$C22)*'ANALYSE - ERP =&gt; SOUS-SEGMENT'!$Q$8:$Q$1000*'ANALYSE - ERP =&gt; SOUS-SEGMENT'!$BE$8:$BE$1000),""))</f>
        <v/>
      </c>
      <c r="IP22" s="730" t="str">
        <f>IF($C22="","",IFERROR(SUMPRODUCT(('ANALYSE - ERP =&gt; SOUS-SEGMENT'!$C$8:$C$1000=$C22)*'ANALYSE - ERP =&gt; SOUS-SEGMENT'!$Q$8:$Q$1000*'ANALYSE - ERP =&gt; SOUS-SEGMENT'!$BE$8:$BE$1000*'ANALYSE - ERP =&gt; SOUS-SEGMENT'!$IP$8:$IP$1000)/SUMPRODUCT(('ANALYSE - ERP =&gt; SOUS-SEGMENT'!$C$8:$C$1000=$C22)*'ANALYSE - ERP =&gt; SOUS-SEGMENT'!$Q$8:$Q$1000*'ANALYSE - ERP =&gt; SOUS-SEGMENT'!$BE$8:$BE$1000),""))</f>
        <v/>
      </c>
      <c r="IQ22" s="730" t="str">
        <f>IF($C22="","",IFERROR(SUMPRODUCT(('ANALYSE - ERP =&gt; SOUS-SEGMENT'!$C$8:$C$1000=$C22)*'ANALYSE - ERP =&gt; SOUS-SEGMENT'!$Q$8:$Q$1000*'ANALYSE - ERP =&gt; SOUS-SEGMENT'!$BE$8:$BE$1000*'ANALYSE - ERP =&gt; SOUS-SEGMENT'!$IQ$8:$IQ$1000)/SUMPRODUCT(('ANALYSE - ERP =&gt; SOUS-SEGMENT'!$C$8:$C$1000=$C22)*'ANALYSE - ERP =&gt; SOUS-SEGMENT'!$Q$8:$Q$1000*'ANALYSE - ERP =&gt; SOUS-SEGMENT'!$BE$8:$BE$1000),""))</f>
        <v/>
      </c>
      <c r="IR22" s="730" t="str">
        <f>IF($C22="","",IFERROR(SUMPRODUCT(('ANALYSE - ERP =&gt; SOUS-SEGMENT'!$C$8:$C$1000=$C22)*'ANALYSE - ERP =&gt; SOUS-SEGMENT'!$Q$8:$Q$1000*'ANALYSE - ERP =&gt; SOUS-SEGMENT'!$BE$8:$BE$1000*'ANALYSE - ERP =&gt; SOUS-SEGMENT'!$IR$8:$IR$1000)/SUMPRODUCT(('ANALYSE - ERP =&gt; SOUS-SEGMENT'!$C$8:$C$1000=$C22)*'ANALYSE - ERP =&gt; SOUS-SEGMENT'!$Q$8:$Q$1000*'ANALYSE - ERP =&gt; SOUS-SEGMENT'!$BE$8:$BE$1000),""))</f>
        <v/>
      </c>
      <c r="IS22" s="730" t="str">
        <f>IF($C22="","",IFERROR(SUMPRODUCT(('ANALYSE - ERP =&gt; SOUS-SEGMENT'!$C$8:$C$1000=$C22)*'ANALYSE - ERP =&gt; SOUS-SEGMENT'!$Q$8:$Q$1000*'ANALYSE - ERP =&gt; SOUS-SEGMENT'!$BE$8:$BE$1000*'ANALYSE - ERP =&gt; SOUS-SEGMENT'!$IS$8:$IS$1000)/SUMPRODUCT(('ANALYSE - ERP =&gt; SOUS-SEGMENT'!$C$8:$C$1000=$C22)*'ANALYSE - ERP =&gt; SOUS-SEGMENT'!$Q$8:$Q$1000*'ANALYSE - ERP =&gt; SOUS-SEGMENT'!$BE$8:$BE$1000),""))</f>
        <v/>
      </c>
      <c r="IT22" s="730" t="str">
        <f>IF($C22="","",IFERROR(SUMPRODUCT(('ANALYSE - ERP =&gt; SOUS-SEGMENT'!$C$8:$C$1000=$C22)*'ANALYSE - ERP =&gt; SOUS-SEGMENT'!$Q$8:$Q$1000*'ANALYSE - ERP =&gt; SOUS-SEGMENT'!$FB$8:$FB$1000*'ANALYSE - ERP =&gt; SOUS-SEGMENT'!$IT$8:$IT$1000)/SUMPRODUCT(('ANALYSE - ERP =&gt; SOUS-SEGMENT'!$C$8:$C$1000=$C22)*'ANALYSE - ERP =&gt; SOUS-SEGMENT'!$Q$8:$Q$1000*'ANALYSE - ERP =&gt; SOUS-SEGMENT'!$FB$8:$FB$1000),""))</f>
        <v/>
      </c>
      <c r="IU22" s="730" t="str">
        <f>IF($C22="","",IFERROR(SUMPRODUCT(('ANALYSE - ERP =&gt; SOUS-SEGMENT'!$C$8:$C$1000=$C22)*'ANALYSE - ERP =&gt; SOUS-SEGMENT'!$Q$8:$Q$1000*'ANALYSE - ERP =&gt; SOUS-SEGMENT'!$FB$8:$FB$1000*'ANALYSE - ERP =&gt; SOUS-SEGMENT'!$IU$8:$IU$1000)/SUMPRODUCT(('ANALYSE - ERP =&gt; SOUS-SEGMENT'!$C$8:$C$1000=$C22)*'ANALYSE - ERP =&gt; SOUS-SEGMENT'!$Q$8:$Q$1000*'ANALYSE - ERP =&gt; SOUS-SEGMENT'!$FB$8:$FB$1000),""))</f>
        <v/>
      </c>
      <c r="IV22" s="730" t="str">
        <f>IF($C22="","",IFERROR(SUMPRODUCT(('ANALYSE - ERP =&gt; SOUS-SEGMENT'!$C$8:$C$1000=$C22)*'ANALYSE - ERP =&gt; SOUS-SEGMENT'!$Q$8:$Q$1000*'ANALYSE - ERP =&gt; SOUS-SEGMENT'!$FB$8:$FB$1000*'ANALYSE - ERP =&gt; SOUS-SEGMENT'!$IV$8:$IV$1000)/SUMPRODUCT(('ANALYSE - ERP =&gt; SOUS-SEGMENT'!$C$8:$C$1000=$C22)*'ANALYSE - ERP =&gt; SOUS-SEGMENT'!$Q$8:$Q$1000*'ANALYSE - ERP =&gt; SOUS-SEGMENT'!$FB$8:$FB$1000),""))</f>
        <v/>
      </c>
      <c r="IW22" s="730" t="str">
        <f>IF($C22="","",IFERROR(SUMPRODUCT(('ANALYSE - ERP =&gt; SOUS-SEGMENT'!$C$8:$C$1000=$C22)*'ANALYSE - ERP =&gt; SOUS-SEGMENT'!$Q$8:$Q$1000*'ANALYSE - ERP =&gt; SOUS-SEGMENT'!$FB$8:$FB$1000*'ANALYSE - ERP =&gt; SOUS-SEGMENT'!$IW$8:$IW$1000)/SUMPRODUCT(('ANALYSE - ERP =&gt; SOUS-SEGMENT'!$C$8:$C$1000=$C22)*'ANALYSE - ERP =&gt; SOUS-SEGMENT'!$Q$8:$Q$1000*'ANALYSE - ERP =&gt; SOUS-SEGMENT'!$FB$8:$FB$1000),""))</f>
        <v/>
      </c>
      <c r="IX22" s="730" t="str">
        <f>IF($C22="","",IFERROR(SUMPRODUCT(('ANALYSE - ERP =&gt; SOUS-SEGMENT'!$C$8:$C$1000=$C22)*'ANALYSE - ERP =&gt; SOUS-SEGMENT'!$Q$8:$Q$1000*'ANALYSE - ERP =&gt; SOUS-SEGMENT'!$FB$8:$FB$1000*'ANALYSE - ERP =&gt; SOUS-SEGMENT'!$IX$8:$IX$1000)/SUMPRODUCT(('ANALYSE - ERP =&gt; SOUS-SEGMENT'!$C$8:$C$1000=$C22)*'ANALYSE - ERP =&gt; SOUS-SEGMENT'!$Q$8:$Q$1000*'ANALYSE - ERP =&gt; SOUS-SEGMENT'!$FB$8:$FB$1000),""))</f>
        <v/>
      </c>
      <c r="IY22" s="730" t="str">
        <f>IF($C22="","",IFERROR(SUMPRODUCT(('ANALYSE - ERP =&gt; SOUS-SEGMENT'!$C$8:$C$1000=$C22)*'ANALYSE - ERP =&gt; SOUS-SEGMENT'!$Q$8:$Q$1000*'ANALYSE - ERP =&gt; SOUS-SEGMENT'!$BF$8:$BF$1000*'ANALYSE - ERP =&gt; SOUS-SEGMENT'!$IY$8:$IY$1000)/SUMPRODUCT(('ANALYSE - ERP =&gt; SOUS-SEGMENT'!$C$8:$C$1000=$C22)*'ANALYSE - ERP =&gt; SOUS-SEGMENT'!$Q$8:$Q$1000*'ANALYSE - ERP =&gt; SOUS-SEGMENT'!$BF$8:$BF$1000),""))</f>
        <v/>
      </c>
      <c r="IZ22" s="730" t="str">
        <f>IF($C22="","",IFERROR(SUMPRODUCT(('ANALYSE - ERP =&gt; SOUS-SEGMENT'!$C$8:$C$1000=$C22)*'ANALYSE - ERP =&gt; SOUS-SEGMENT'!$Q$8:$Q$1000*'ANALYSE - ERP =&gt; SOUS-SEGMENT'!$BF$8:$BF$1000*'ANALYSE - ERP =&gt; SOUS-SEGMENT'!$IZ$8:$IZ$1000)/SUMPRODUCT(('ANALYSE - ERP =&gt; SOUS-SEGMENT'!$C$8:$C$1000=$C22)*'ANALYSE - ERP =&gt; SOUS-SEGMENT'!$Q$8:$Q$1000*'ANALYSE - ERP =&gt; SOUS-SEGMENT'!$BF$8:$BF$1000),""))</f>
        <v/>
      </c>
      <c r="JA22" s="730" t="str">
        <f>IF($C22="","",IFERROR(SUMPRODUCT(('ANALYSE - ERP =&gt; SOUS-SEGMENT'!$C$8:$C$1000=$C22)*'ANALYSE - ERP =&gt; SOUS-SEGMENT'!$Q$8:$Q$1000*'ANALYSE - ERP =&gt; SOUS-SEGMENT'!$BF$8:$BF$1000*'ANALYSE - ERP =&gt; SOUS-SEGMENT'!$JA$8:$JA$1000)/SUMPRODUCT(('ANALYSE - ERP =&gt; SOUS-SEGMENT'!$C$8:$C$1000=$C22)*'ANALYSE - ERP =&gt; SOUS-SEGMENT'!$Q$8:$Q$1000*'ANALYSE - ERP =&gt; SOUS-SEGMENT'!$BF$8:$BF$1000),""))</f>
        <v/>
      </c>
      <c r="JB22" s="730" t="str">
        <f>IF($C22="","",IFERROR(SUMPRODUCT(('ANALYSE - ERP =&gt; SOUS-SEGMENT'!$C$8:$C$1000=$C22)*'ANALYSE - ERP =&gt; SOUS-SEGMENT'!$Q$8:$Q$1000*'ANALYSE - ERP =&gt; SOUS-SEGMENT'!$BF$8:$BF$1000*'ANALYSE - ERP =&gt; SOUS-SEGMENT'!$JB$8:$JB$1000)/SUMPRODUCT(('ANALYSE - ERP =&gt; SOUS-SEGMENT'!$C$8:$C$1000=$C22)*'ANALYSE - ERP =&gt; SOUS-SEGMENT'!$Q$8:$Q$1000*'ANALYSE - ERP =&gt; SOUS-SEGMENT'!$BF$8:$BF$1000),""))</f>
        <v/>
      </c>
      <c r="JC22" s="730" t="str">
        <f>IF($C22="","",IFERROR(SUMPRODUCT(('ANALYSE - ERP =&gt; SOUS-SEGMENT'!$C$8:$C$1000=$C22)*'ANALYSE - ERP =&gt; SOUS-SEGMENT'!$Q$8:$Q$1000*'ANALYSE - ERP =&gt; SOUS-SEGMENT'!$BF$8:$BF$1000*'ANALYSE - ERP =&gt; SOUS-SEGMENT'!$JC$8:$JC$1000)/SUMPRODUCT(('ANALYSE - ERP =&gt; SOUS-SEGMENT'!$C$8:$C$1000=$C22)*'ANALYSE - ERP =&gt; SOUS-SEGMENT'!$Q$8:$Q$1000*'ANALYSE - ERP =&gt; SOUS-SEGMENT'!$BF$8:$BF$1000),""))</f>
        <v/>
      </c>
      <c r="JD22" s="730" t="str">
        <f>IF($C22="","",IFERROR(SUMPRODUCT(('ANALYSE - ERP =&gt; SOUS-SEGMENT'!$C$8:$C$1000=$C22)*'ANALYSE - ERP =&gt; SOUS-SEGMENT'!$Q$8:$Q$1000*'ANALYSE - ERP =&gt; SOUS-SEGMENT'!$FE$8:$FE$1000*'ANALYSE - ERP =&gt; SOUS-SEGMENT'!$JD$8:$JD$1000)/SUMPRODUCT(('ANALYSE - ERP =&gt; SOUS-SEGMENT'!$C$8:$C$1000=$C22)*'ANALYSE - ERP =&gt; SOUS-SEGMENT'!$Q$8:$Q$1000*'ANALYSE - ERP =&gt; SOUS-SEGMENT'!$FE$8:$FE$1000),""))</f>
        <v/>
      </c>
      <c r="JE22" s="730" t="str">
        <f>IF($C22="","",IFERROR(SUMPRODUCT(('ANALYSE - ERP =&gt; SOUS-SEGMENT'!$C$8:$C$1000=$C22)*'ANALYSE - ERP =&gt; SOUS-SEGMENT'!$Q$8:$Q$1000*'ANALYSE - ERP =&gt; SOUS-SEGMENT'!$FE$8:$FE$1000*'ANALYSE - ERP =&gt; SOUS-SEGMENT'!$JE$8:$JE$1000)/SUMPRODUCT(('ANALYSE - ERP =&gt; SOUS-SEGMENT'!$C$8:$C$1000=$C22)*'ANALYSE - ERP =&gt; SOUS-SEGMENT'!$Q$8:$Q$1000*'ANALYSE - ERP =&gt; SOUS-SEGMENT'!$FE$8:$FE$1000),""))</f>
        <v/>
      </c>
      <c r="JF22" s="730" t="str">
        <f>IF($C22="","",IFERROR(SUMPRODUCT(('ANALYSE - ERP =&gt; SOUS-SEGMENT'!$C$8:$C$1000=$C22)*'ANALYSE - ERP =&gt; SOUS-SEGMENT'!$Q$8:$Q$1000*'ANALYSE - ERP =&gt; SOUS-SEGMENT'!$FE$8:$FE$1000*'ANALYSE - ERP =&gt; SOUS-SEGMENT'!$JF$8:$JF$1000)/SUMPRODUCT(('ANALYSE - ERP =&gt; SOUS-SEGMENT'!$C$8:$C$1000=$C22)*'ANALYSE - ERP =&gt; SOUS-SEGMENT'!$Q$8:$Q$1000*'ANALYSE - ERP =&gt; SOUS-SEGMENT'!$FE$8:$FE$1000),""))</f>
        <v/>
      </c>
      <c r="JG22" s="730" t="str">
        <f>IF($C22="","",IFERROR(SUMPRODUCT(('ANALYSE - ERP =&gt; SOUS-SEGMENT'!$C$8:$C$1000=$C22)*'ANALYSE - ERP =&gt; SOUS-SEGMENT'!$Q$8:$Q$1000*'ANALYSE - ERP =&gt; SOUS-SEGMENT'!$FE$8:$FE$1000*'ANALYSE - ERP =&gt; SOUS-SEGMENT'!$JG$8:$JG$1000)/SUMPRODUCT(('ANALYSE - ERP =&gt; SOUS-SEGMENT'!$C$8:$C$1000=$C22)*'ANALYSE - ERP =&gt; SOUS-SEGMENT'!$Q$8:$Q$1000*'ANALYSE - ERP =&gt; SOUS-SEGMENT'!$FE$8:$FE$1000),""))</f>
        <v/>
      </c>
      <c r="JH22" s="730" t="str">
        <f>IF($C22="","",IFERROR(SUMPRODUCT(('ANALYSE - ERP =&gt; SOUS-SEGMENT'!$C$8:$C$1000=$C22)*'ANALYSE - ERP =&gt; SOUS-SEGMENT'!$Q$8:$Q$1000*'ANALYSE - ERP =&gt; SOUS-SEGMENT'!$FE$8:$FE$1000*'ANALYSE - ERP =&gt; SOUS-SEGMENT'!$JH$8:$JH$1000)/SUMPRODUCT(('ANALYSE - ERP =&gt; SOUS-SEGMENT'!$C$8:$C$1000=$C22)*'ANALYSE - ERP =&gt; SOUS-SEGMENT'!$Q$8:$Q$1000*'ANALYSE - ERP =&gt; SOUS-SEGMENT'!$FE$8:$FE$1000),""))</f>
        <v/>
      </c>
      <c r="JI22" s="730" t="str">
        <f>IF($C22="","",IFERROR(SUMPRODUCT(('ANALYSE - ERP =&gt; SOUS-SEGMENT'!$C$8:$C$1000=$C22)*'ANALYSE - ERP =&gt; SOUS-SEGMENT'!$Q$8:$Q$1000*'ANALYSE - ERP =&gt; SOUS-SEGMENT'!$BG$8:$BG$1000*'ANALYSE - ERP =&gt; SOUS-SEGMENT'!$JI$8:$JI$1000)/SUMPRODUCT(('ANALYSE - ERP =&gt; SOUS-SEGMENT'!$C$8:$C$1000=$C22)*'ANALYSE - ERP =&gt; SOUS-SEGMENT'!$Q$8:$Q$1000*'ANALYSE - ERP =&gt; SOUS-SEGMENT'!$BG$8:$BG$1000),""))</f>
        <v/>
      </c>
      <c r="JJ22" s="730" t="str">
        <f>IF($C22="","",IFERROR(SUMPRODUCT(('ANALYSE - ERP =&gt; SOUS-SEGMENT'!$C$8:$C$1000=$C22)*'ANALYSE - ERP =&gt; SOUS-SEGMENT'!$Q$8:$Q$1000*'ANALYSE - ERP =&gt; SOUS-SEGMENT'!$BG$8:$BG$1000*'ANALYSE - ERP =&gt; SOUS-SEGMENT'!$JJ$8:$JJ$1000)/SUMPRODUCT(('ANALYSE - ERP =&gt; SOUS-SEGMENT'!$C$8:$C$1000=$C22)*'ANALYSE - ERP =&gt; SOUS-SEGMENT'!$Q$8:$Q$1000*'ANALYSE - ERP =&gt; SOUS-SEGMENT'!$BG$8:$BG$1000),""))</f>
        <v/>
      </c>
      <c r="JK22" s="730" t="str">
        <f>IF($C22="","",IFERROR(SUMPRODUCT(('ANALYSE - ERP =&gt; SOUS-SEGMENT'!$C$8:$C$1000=$C22)*'ANALYSE - ERP =&gt; SOUS-SEGMENT'!$Q$8:$Q$1000*'ANALYSE - ERP =&gt; SOUS-SEGMENT'!$BG$8:$BG$1000*'ANALYSE - ERP =&gt; SOUS-SEGMENT'!$JK$8:$JK$1000)/SUMPRODUCT(('ANALYSE - ERP =&gt; SOUS-SEGMENT'!$C$8:$C$1000=$C22)*'ANALYSE - ERP =&gt; SOUS-SEGMENT'!$Q$8:$Q$1000*'ANALYSE - ERP =&gt; SOUS-SEGMENT'!$BG$8:$BG$1000),""))</f>
        <v/>
      </c>
      <c r="JL22" s="730" t="str">
        <f>IF($C22="","",IFERROR(SUMPRODUCT(('ANALYSE - ERP =&gt; SOUS-SEGMENT'!$C$8:$C$1000=$C22)*'ANALYSE - ERP =&gt; SOUS-SEGMENT'!$Q$8:$Q$1000*'ANALYSE - ERP =&gt; SOUS-SEGMENT'!$BG$8:$BG$1000*'ANALYSE - ERP =&gt; SOUS-SEGMENT'!$JL$8:$JL$1000)/SUMPRODUCT(('ANALYSE - ERP =&gt; SOUS-SEGMENT'!$C$8:$C$1000=$C22)*'ANALYSE - ERP =&gt; SOUS-SEGMENT'!$Q$8:$Q$1000*'ANALYSE - ERP =&gt; SOUS-SEGMENT'!$BG$8:$BG$1000),""))</f>
        <v/>
      </c>
      <c r="JM22" s="730" t="str">
        <f>IF($C22="","",IFERROR(SUMPRODUCT(('ANALYSE - ERP =&gt; SOUS-SEGMENT'!$C$8:$C$1000=$C22)*'ANALYSE - ERP =&gt; SOUS-SEGMENT'!$Q$8:$Q$1000*'ANALYSE - ERP =&gt; SOUS-SEGMENT'!$BG$8:$BG$1000*'ANALYSE - ERP =&gt; SOUS-SEGMENT'!$JM$8:$JM$1000)/SUMPRODUCT(('ANALYSE - ERP =&gt; SOUS-SEGMENT'!$C$8:$C$1000=$C22)*'ANALYSE - ERP =&gt; SOUS-SEGMENT'!$Q$8:$Q$1000*'ANALYSE - ERP =&gt; SOUS-SEGMENT'!$BG$8:$BG$1000),""))</f>
        <v/>
      </c>
      <c r="JN22" s="730" t="str">
        <f>IF($C22="","",IFERROR(SUMPRODUCT(('ANALYSE - ERP =&gt; SOUS-SEGMENT'!$C$8:$C$1000=$C22)*'ANALYSE - ERP =&gt; SOUS-SEGMENT'!$Q$8:$Q$1000*'ANALYSE - ERP =&gt; SOUS-SEGMENT'!$FH$8:$FH$1000*'ANALYSE - ERP =&gt; SOUS-SEGMENT'!$JN$8:$JN$1000)/SUMPRODUCT(('ANALYSE - ERP =&gt; SOUS-SEGMENT'!$C$8:$C$1000=$C22)*'ANALYSE - ERP =&gt; SOUS-SEGMENT'!$Q$8:$Q$1000*'ANALYSE - ERP =&gt; SOUS-SEGMENT'!$FH$8:$FH$1000),""))</f>
        <v/>
      </c>
      <c r="JO22" s="730" t="str">
        <f>IF($C22="","",IFERROR(SUMPRODUCT(('ANALYSE - ERP =&gt; SOUS-SEGMENT'!$C$8:$C$1000=$C22)*'ANALYSE - ERP =&gt; SOUS-SEGMENT'!$Q$8:$Q$1000*'ANALYSE - ERP =&gt; SOUS-SEGMENT'!$FH$8:$FH$1000*'ANALYSE - ERP =&gt; SOUS-SEGMENT'!$JO$8:$JO$1000)/SUMPRODUCT(('ANALYSE - ERP =&gt; SOUS-SEGMENT'!$C$8:$C$1000=$C22)*'ANALYSE - ERP =&gt; SOUS-SEGMENT'!$Q$8:$Q$1000*'ANALYSE - ERP =&gt; SOUS-SEGMENT'!$FH$8:$FH$1000),""))</f>
        <v/>
      </c>
      <c r="JP22" s="730" t="str">
        <f>IF($C22="","",IFERROR(SUMPRODUCT(('ANALYSE - ERP =&gt; SOUS-SEGMENT'!$C$8:$C$1000=$C22)*'ANALYSE - ERP =&gt; SOUS-SEGMENT'!$Q$8:$Q$1000*'ANALYSE - ERP =&gt; SOUS-SEGMENT'!$FH$8:$FH$1000*'ANALYSE - ERP =&gt; SOUS-SEGMENT'!$JP$8:$JP$1000)/SUMPRODUCT(('ANALYSE - ERP =&gt; SOUS-SEGMENT'!$C$8:$C$1000=$C22)*'ANALYSE - ERP =&gt; SOUS-SEGMENT'!$Q$8:$Q$1000*'ANALYSE - ERP =&gt; SOUS-SEGMENT'!$FH$8:$FH$1000),""))</f>
        <v/>
      </c>
      <c r="JQ22" s="730" t="str">
        <f>IF($C22="","",IFERROR(SUMPRODUCT(('ANALYSE - ERP =&gt; SOUS-SEGMENT'!$C$8:$C$1000=$C22)*'ANALYSE - ERP =&gt; SOUS-SEGMENT'!$Q$8:$Q$1000*'ANALYSE - ERP =&gt; SOUS-SEGMENT'!$FH$8:$FH$1000*'ANALYSE - ERP =&gt; SOUS-SEGMENT'!$JQ$8:$JQ$1000)/SUMPRODUCT(('ANALYSE - ERP =&gt; SOUS-SEGMENT'!$C$8:$C$1000=$C22)*'ANALYSE - ERP =&gt; SOUS-SEGMENT'!$Q$8:$Q$1000*'ANALYSE - ERP =&gt; SOUS-SEGMENT'!$FH$8:$FH$1000),""))</f>
        <v/>
      </c>
      <c r="JR22" s="730" t="str">
        <f>IF($C22="","",IFERROR(SUMPRODUCT(('ANALYSE - ERP =&gt; SOUS-SEGMENT'!$C$8:$C$1000=$C22)*'ANALYSE - ERP =&gt; SOUS-SEGMENT'!$Q$8:$Q$1000*'ANALYSE - ERP =&gt; SOUS-SEGMENT'!$FH$8:$FH$1000*'ANALYSE - ERP =&gt; SOUS-SEGMENT'!$JR$8:$JR$1000)/SUMPRODUCT(('ANALYSE - ERP =&gt; SOUS-SEGMENT'!$C$8:$C$1000=$C22)*'ANALYSE - ERP =&gt; SOUS-SEGMENT'!$Q$8:$Q$1000*'ANALYSE - ERP =&gt; SOUS-SEGMENT'!$FH$8:$FH$1000),""))</f>
        <v/>
      </c>
      <c r="JS22" s="730" t="str">
        <f>IF($C22="","",IFERROR(SUMPRODUCT(('ANALYSE - ERP =&gt; SOUS-SEGMENT'!$C$8:$C$1000=$C22)*'ANALYSE - ERP =&gt; SOUS-SEGMENT'!$Q$8:$Q$1000*'ANALYSE - ERP =&gt; SOUS-SEGMENT'!$BH$8:$BH$1000*'ANALYSE - ERP =&gt; SOUS-SEGMENT'!$JS$8:$JS$1000)/SUMPRODUCT(('ANALYSE - ERP =&gt; SOUS-SEGMENT'!$C$8:$C$1000=$C22)*'ANALYSE - ERP =&gt; SOUS-SEGMENT'!$Q$8:$Q$1000*'ANALYSE - ERP =&gt; SOUS-SEGMENT'!$BH$8:$BH$1000),""))</f>
        <v/>
      </c>
      <c r="JT22" s="730" t="str">
        <f>IF($C22="","",IFERROR(SUMPRODUCT(('ANALYSE - ERP =&gt; SOUS-SEGMENT'!$C$8:$C$1000=$C22)*'ANALYSE - ERP =&gt; SOUS-SEGMENT'!$Q$8:$Q$1000*'ANALYSE - ERP =&gt; SOUS-SEGMENT'!$BH$8:$BH$1000*'ANALYSE - ERP =&gt; SOUS-SEGMENT'!$JT$8:$JT$1000)/SUMPRODUCT(('ANALYSE - ERP =&gt; SOUS-SEGMENT'!$C$8:$C$1000=$C22)*'ANALYSE - ERP =&gt; SOUS-SEGMENT'!$Q$8:$Q$1000*'ANALYSE - ERP =&gt; SOUS-SEGMENT'!$BH$8:$BH$1000),""))</f>
        <v/>
      </c>
      <c r="JU22" s="730" t="str">
        <f>IF($C22="","",IFERROR(SUMPRODUCT(('ANALYSE - ERP =&gt; SOUS-SEGMENT'!$C$8:$C$1000=$C22)*'ANALYSE - ERP =&gt; SOUS-SEGMENT'!$Q$8:$Q$1000*'ANALYSE - ERP =&gt; SOUS-SEGMENT'!$BH$8:$BH$1000*'ANALYSE - ERP =&gt; SOUS-SEGMENT'!$JU$8:$JU$1000)/SUMPRODUCT(('ANALYSE - ERP =&gt; SOUS-SEGMENT'!$C$8:$C$1000=$C22)*'ANALYSE - ERP =&gt; SOUS-SEGMENT'!$Q$8:$Q$1000*'ANALYSE - ERP =&gt; SOUS-SEGMENT'!$BH$8:$BH$1000),""))</f>
        <v/>
      </c>
      <c r="JV22" s="730" t="str">
        <f>IF($C22="","",IFERROR(SUMPRODUCT(('ANALYSE - ERP =&gt; SOUS-SEGMENT'!$C$8:$C$1000=$C22)*'ANALYSE - ERP =&gt; SOUS-SEGMENT'!$Q$8:$Q$1000*'ANALYSE - ERP =&gt; SOUS-SEGMENT'!$BH$8:$BH$1000*'ANALYSE - ERP =&gt; SOUS-SEGMENT'!$JV$8:$JV$1000)/SUMPRODUCT(('ANALYSE - ERP =&gt; SOUS-SEGMENT'!$C$8:$C$1000=$C22)*'ANALYSE - ERP =&gt; SOUS-SEGMENT'!$Q$8:$Q$1000*'ANALYSE - ERP =&gt; SOUS-SEGMENT'!$BH$8:$BH$1000),""))</f>
        <v/>
      </c>
      <c r="JW22" s="730" t="str">
        <f>IF($C22="","",IFERROR(SUMPRODUCT(('ANALYSE - ERP =&gt; SOUS-SEGMENT'!$C$8:$C$1000=$C22)*'ANALYSE - ERP =&gt; SOUS-SEGMENT'!$Q$8:$Q$1000*'ANALYSE - ERP =&gt; SOUS-SEGMENT'!$BH$8:$BH$1000*'ANALYSE - ERP =&gt; SOUS-SEGMENT'!$JW$8:$JW$1000)/SUMPRODUCT(('ANALYSE - ERP =&gt; SOUS-SEGMENT'!$C$8:$C$1000=$C22)*'ANALYSE - ERP =&gt; SOUS-SEGMENT'!$Q$8:$Q$1000*'ANALYSE - ERP =&gt; SOUS-SEGMENT'!$BH$8:$BH$1000),""))</f>
        <v/>
      </c>
      <c r="JX22" s="730" t="str">
        <f>IF($C22="","",IFERROR(SUMPRODUCT(('ANALYSE - ERP =&gt; SOUS-SEGMENT'!$C$8:$C$1000=$C22)*'ANALYSE - ERP =&gt; SOUS-SEGMENT'!$Q$8:$Q$1000*'ANALYSE - ERP =&gt; SOUS-SEGMENT'!$FK$8:$FK$1000*'ANALYSE - ERP =&gt; SOUS-SEGMENT'!$JX$8:$JX$1000)/SUMPRODUCT(('ANALYSE - ERP =&gt; SOUS-SEGMENT'!$C$8:$C$1000=$C22)*'ANALYSE - ERP =&gt; SOUS-SEGMENT'!$Q$8:$Q$1000*'ANALYSE - ERP =&gt; SOUS-SEGMENT'!$FK$8:$FK$1000),""))</f>
        <v/>
      </c>
      <c r="JY22" s="730" t="str">
        <f>IF($C22="","",IFERROR(SUMPRODUCT(('ANALYSE - ERP =&gt; SOUS-SEGMENT'!$C$8:$C$1000=$C22)*'ANALYSE - ERP =&gt; SOUS-SEGMENT'!$Q$8:$Q$1000*'ANALYSE - ERP =&gt; SOUS-SEGMENT'!$FK$8:$FK$1000*'ANALYSE - ERP =&gt; SOUS-SEGMENT'!$JY$8:$JY$1000)/SUMPRODUCT(('ANALYSE - ERP =&gt; SOUS-SEGMENT'!$C$8:$C$1000=$C22)*'ANALYSE - ERP =&gt; SOUS-SEGMENT'!$Q$8:$Q$1000*'ANALYSE - ERP =&gt; SOUS-SEGMENT'!$FK$8:$FK$1000),""))</f>
        <v/>
      </c>
      <c r="JZ22" s="730" t="str">
        <f>IF($C22="","",IFERROR(SUMPRODUCT(('ANALYSE - ERP =&gt; SOUS-SEGMENT'!$C$8:$C$1000=$C22)*'ANALYSE - ERP =&gt; SOUS-SEGMENT'!$Q$8:$Q$1000*'ANALYSE - ERP =&gt; SOUS-SEGMENT'!$FK$8:$FK$1000*'ANALYSE - ERP =&gt; SOUS-SEGMENT'!$JZ$8:$JZ$1000)/SUMPRODUCT(('ANALYSE - ERP =&gt; SOUS-SEGMENT'!$C$8:$C$1000=$C22)*'ANALYSE - ERP =&gt; SOUS-SEGMENT'!$Q$8:$Q$1000*'ANALYSE - ERP =&gt; SOUS-SEGMENT'!$FK$8:$FK$1000),""))</f>
        <v/>
      </c>
      <c r="KA22" s="730" t="str">
        <f>IF($C22="","",IFERROR(SUMPRODUCT(('ANALYSE - ERP =&gt; SOUS-SEGMENT'!$C$8:$C$1000=$C22)*'ANALYSE - ERP =&gt; SOUS-SEGMENT'!$Q$8:$Q$1000*'ANALYSE - ERP =&gt; SOUS-SEGMENT'!$FK$8:$FK$1000*'ANALYSE - ERP =&gt; SOUS-SEGMENT'!$KA$8:$KA$1000)/SUMPRODUCT(('ANALYSE - ERP =&gt; SOUS-SEGMENT'!$C$8:$C$1000=$C22)*'ANALYSE - ERP =&gt; SOUS-SEGMENT'!$Q$8:$Q$1000*'ANALYSE - ERP =&gt; SOUS-SEGMENT'!$FK$8:$FK$1000),""))</f>
        <v/>
      </c>
      <c r="KB22" s="730" t="str">
        <f>IF($C22="","",IFERROR(SUMPRODUCT(('ANALYSE - ERP =&gt; SOUS-SEGMENT'!$C$8:$C$1000=$C22)*'ANALYSE - ERP =&gt; SOUS-SEGMENT'!$Q$8:$Q$1000*'ANALYSE - ERP =&gt; SOUS-SEGMENT'!$FK$8:$FK$1000*'ANALYSE - ERP =&gt; SOUS-SEGMENT'!$KB$8:$KB$1000)/SUMPRODUCT(('ANALYSE - ERP =&gt; SOUS-SEGMENT'!$C$8:$C$1000=$C22)*'ANALYSE - ERP =&gt; SOUS-SEGMENT'!$Q$8:$Q$1000*'ANALYSE - ERP =&gt; SOUS-SEGMENT'!$FK$8:$FK$1000),""))</f>
        <v/>
      </c>
      <c r="KC22" s="657"/>
      <c r="KD22" s="920" t="s">
        <v>2590</v>
      </c>
      <c r="KE22" s="920" t="s">
        <v>2590</v>
      </c>
      <c r="KF22" s="866" t="str">
        <f>IF($C22="","",IFERROR(SUMPRODUCT(('ANALYSE - ERP =&gt; SOUS-SEGMENT'!$C$8:$C$1000=$C22)*'ANALYSE - ERP =&gt; SOUS-SEGMENT'!$Q$8:$Q$1000*'ANALYSE - ERP =&gt; SOUS-SEGMENT'!$IE$8:$IE$1000*'ANALYSE - ERP =&gt; SOUS-SEGMENT'!$KF$8:$KF$1000)/SUMPRODUCT(('ANALYSE - ERP =&gt; SOUS-SEGMENT'!$C$8:$C$1000=$C22)*'ANALYSE - ERP =&gt; SOUS-SEGMENT'!$Q$8:$Q$1000*'ANALYSE - ERP =&gt; SOUS-SEGMENT'!$IE$8:$IE$1000),""))</f>
        <v/>
      </c>
      <c r="KG22" s="920" t="s">
        <v>2589</v>
      </c>
      <c r="KH22" s="920" t="s">
        <v>3186</v>
      </c>
      <c r="KI22" s="920" t="s">
        <v>2659</v>
      </c>
      <c r="KJ22" s="920" t="s">
        <v>3876</v>
      </c>
    </row>
    <row r="23" spans="1:296" ht="120" customHeight="1">
      <c r="A23" s="951">
        <f>IF($C23="","",ROWS($A$8:A23))</f>
        <v>16</v>
      </c>
      <c r="B23" s="952" t="s">
        <v>2187</v>
      </c>
      <c r="C23" s="952" t="s">
        <v>3877</v>
      </c>
      <c r="D23" s="952" t="s">
        <v>5761</v>
      </c>
      <c r="E23" s="277" t="s">
        <v>5762</v>
      </c>
      <c r="F23" s="646" t="s">
        <v>5763</v>
      </c>
      <c r="G23" s="646" t="s">
        <v>300</v>
      </c>
      <c r="H23" s="646" t="s">
        <v>2109</v>
      </c>
      <c r="I23" s="646" t="s">
        <v>5764</v>
      </c>
      <c r="J23" s="646" t="s">
        <v>5765</v>
      </c>
      <c r="K23" s="646" t="s">
        <v>2097</v>
      </c>
      <c r="L23" s="646" t="s">
        <v>2109</v>
      </c>
      <c r="M23" s="646" t="s">
        <v>2603</v>
      </c>
      <c r="N23" s="646" t="s">
        <v>2099</v>
      </c>
      <c r="O23" s="646" t="s">
        <v>2616</v>
      </c>
      <c r="P23" s="646"/>
      <c r="Q23" s="270">
        <f>IF($C23="","",IF(SUMIFS('ANALYSE - ERP =&gt; SOUS-SEGMENT'!$Q$8:$Q$1000,'ANALYSE - ERP =&gt; SOUS-SEGMENT'!$C$8:$C$1000,$C23)&gt;0,1,0))</f>
        <v>1</v>
      </c>
      <c r="R23" s="278">
        <f>IF($C23="","",IFERROR(SUMPRODUCT(('ANALYSE - ERP =&gt; SOUS-SEGMENT'!$C$8:$C$1000=$C23)*'ANALYSE - ERP =&gt; SOUS-SEGMENT'!$Q$8:$Q$1000*'ANALYSE - ERP =&gt; SOUS-SEGMENT'!$AF$8:$AF$1000*'ANALYSE - ERP =&gt; SOUS-SEGMENT'!$R$8:$R$1000)/SUMPRODUCT(('ANALYSE - ERP =&gt; SOUS-SEGMENT'!$C$8:$C$1000=$C23)*'ANALYSE - ERP =&gt; SOUS-SEGMENT'!$Q$8:$Q$1000*'ANALYSE - ERP =&gt; SOUS-SEGMENT'!$AF$8:$AF$1000),""))</f>
        <v>219.66707141445232</v>
      </c>
      <c r="S23" s="279">
        <f>IF($C23="","",SUMPRODUCT(('ANALYSE - ERP =&gt; SOUS-SEGMENT'!$C$8:$C$1000=$C23)*'ANALYSE - ERP =&gt; SOUS-SEGMENT'!$Q$8:$Q$1000*'ANALYSE - ERP =&gt; SOUS-SEGMENT'!$S$8:$S$1000))</f>
        <v>159212</v>
      </c>
      <c r="T23" s="279">
        <f>IF($C23="","",SUMPRODUCT(('ANALYSE - ERP =&gt; SOUS-SEGMENT'!$C$8:$C$1000=$C23)*'ANALYSE - ERP =&gt; SOUS-SEGMENT'!$Q$8:$Q$1000*'ANALYSE - ERP =&gt; SOUS-SEGMENT'!$T$8:$T$1000))</f>
        <v>164155</v>
      </c>
      <c r="U23" s="279">
        <f>IF($C23="","",SUMPRODUCT(('ANALYSE - ERP =&gt; SOUS-SEGMENT'!$C$8:$C$1000=$C23)*'ANALYSE - ERP =&gt; SOUS-SEGMENT'!$Q$8:$Q$1000*'ANALYSE - ERP =&gt; SOUS-SEGMENT'!$U$8:$U$1000))</f>
        <v>167990</v>
      </c>
      <c r="V23" s="279">
        <f>IF($C23="","",SUMPRODUCT(('ANALYSE - ERP =&gt; SOUS-SEGMENT'!$C$8:$C$1000=$C23)*'ANALYSE - ERP =&gt; SOUS-SEGMENT'!$Q$8:$Q$1000*'ANALYSE - ERP =&gt; SOUS-SEGMENT'!$V$8:$V$1000))</f>
        <v>172787</v>
      </c>
      <c r="W23" s="279">
        <f>IF($C23="","",SUMPRODUCT(('ANALYSE - ERP =&gt; SOUS-SEGMENT'!$C$8:$C$1000=$C23)*'ANALYSE - ERP =&gt; SOUS-SEGMENT'!$Q$8:$Q$1000*'ANALYSE - ERP =&gt; SOUS-SEGMENT'!$W$8:$W$1000))</f>
        <v>173466</v>
      </c>
      <c r="X23" s="279">
        <f>IF($C23="","",SUMPRODUCT(('ANALYSE - ERP =&gt; SOUS-SEGMENT'!$C$8:$C$1000=$C23)*'ANALYSE - ERP =&gt; SOUS-SEGMENT'!$Q$8:$Q$1000*'ANALYSE - ERP =&gt; SOUS-SEGMENT'!$X$8:$X$1000))</f>
        <v>174289</v>
      </c>
      <c r="Y23" s="279">
        <f>IF($C23="","",SUMPRODUCT(('ANALYSE - ERP =&gt; SOUS-SEGMENT'!$C$8:$C$1000=$C23)*'ANALYSE - ERP =&gt; SOUS-SEGMENT'!$Q$8:$Q$1000*'ANALYSE - ERP =&gt; SOUS-SEGMENT'!$Y$8:$Y$1000))</f>
        <v>175155</v>
      </c>
      <c r="Z23" s="279">
        <f>IF($C23="","",SUMPRODUCT(('ANALYSE - ERP =&gt; SOUS-SEGMENT'!$C$8:$C$1000=$C23)*'ANALYSE - ERP =&gt; SOUS-SEGMENT'!$Q$8:$Q$1000*'ANALYSE - ERP =&gt; SOUS-SEGMENT'!$Z$8:$Z$1000))</f>
        <v>175967</v>
      </c>
      <c r="AA23" s="279">
        <f>IF($C23="","",SUMPRODUCT(('ANALYSE - ERP =&gt; SOUS-SEGMENT'!$C$8:$C$1000=$C23)*'ANALYSE - ERP =&gt; SOUS-SEGMENT'!$Q$8:$Q$1000*'ANALYSE - ERP =&gt; SOUS-SEGMENT'!$AA$8:$AA$1000))</f>
        <v>169431</v>
      </c>
      <c r="AB23" s="279">
        <f>IF($C23="","",SUMPRODUCT(('ANALYSE - ERP =&gt; SOUS-SEGMENT'!$C$8:$C$1000=$C23)*'ANALYSE - ERP =&gt; SOUS-SEGMENT'!$Q$8:$Q$1000*'ANALYSE - ERP =&gt; SOUS-SEGMENT'!$AB$8:$AB$1000))</f>
        <v>167703</v>
      </c>
      <c r="AC23" s="279">
        <f>IF($C23="","",SUMPRODUCT(('ANALYSE - ERP =&gt; SOUS-SEGMENT'!$C$8:$C$1000=$C23)*'ANALYSE - ERP =&gt; SOUS-SEGMENT'!$Q$8:$Q$1000*'ANALYSE - ERP =&gt; SOUS-SEGMENT'!$AC$8:$AC$1000))</f>
        <v>171695</v>
      </c>
      <c r="AD23" s="279">
        <f>IF($C23="","",SUMPRODUCT(('ANALYSE - ERP =&gt; SOUS-SEGMENT'!$C$8:$C$1000=$C23)*'ANALYSE - ERP =&gt; SOUS-SEGMENT'!$Q$8:$Q$1000*'ANALYSE - ERP =&gt; SOUS-SEGMENT'!$AD$8:$AD$1000))</f>
        <v>174104</v>
      </c>
      <c r="AE23" s="279">
        <f>IF($C23="","",SUMPRODUCT(('ANALYSE - ERP =&gt; SOUS-SEGMENT'!$C$8:$C$1000=$C23)*'ANALYSE - ERP =&gt; SOUS-SEGMENT'!$Q$8:$Q$1000*'ANALYSE - ERP =&gt; SOUS-SEGMENT'!$AE$8:$AE$1000))</f>
        <v>176914</v>
      </c>
      <c r="AF23" s="279">
        <f>IF($C23="","",SUMPRODUCT(('ANALYSE - ERP =&gt; SOUS-SEGMENT'!$C$8:$C$1000=$C23)*'ANALYSE - ERP =&gt; SOUS-SEGMENT'!$Q$8:$Q$1000*'ANALYSE - ERP =&gt; SOUS-SEGMENT'!$AF$8:$AF$1000))</f>
        <v>177065</v>
      </c>
      <c r="AG23" s="279">
        <f>IF($C23="","",SUMPRODUCT(('ANALYSE - ERP =&gt; SOUS-SEGMENT'!$C$8:$C$1000=$C23)*'ANALYSE - ERP =&gt; SOUS-SEGMENT'!$Q$8:$Q$1000*'ANALYSE - ERP =&gt; SOUS-SEGMENT'!$AG$8:$AG$1000))</f>
        <v>177128</v>
      </c>
      <c r="AH23" s="279">
        <f>IF($C23="","",SUMPRODUCT(('ANALYSE - ERP =&gt; SOUS-SEGMENT'!$C$8:$C$1000=$C23)*'ANALYSE - ERP =&gt; SOUS-SEGMENT'!$Q$8:$Q$1000*'ANALYSE - ERP =&gt; SOUS-SEGMENT'!$AH$8:$AH$1000))</f>
        <v>177205</v>
      </c>
      <c r="AI23" s="279">
        <f>IF($C23="","",SUMPRODUCT(('ANALYSE - ERP =&gt; SOUS-SEGMENT'!$C$8:$C$1000=$C23)*'ANALYSE - ERP =&gt; SOUS-SEGMENT'!$Q$8:$Q$1000*'ANALYSE - ERP =&gt; SOUS-SEGMENT'!$AI$8:$AI$1000))</f>
        <v>177296</v>
      </c>
      <c r="AJ23" s="279">
        <f>IF($C23="","",SUMPRODUCT(('ANALYSE - ERP =&gt; SOUS-SEGMENT'!$C$8:$C$1000=$C23)*'ANALYSE - ERP =&gt; SOUS-SEGMENT'!$Q$8:$Q$1000*'ANALYSE - ERP =&gt; SOUS-SEGMENT'!$AJ$8:$AJ$1000))</f>
        <v>177301</v>
      </c>
      <c r="AK23" s="279">
        <f>IF($C23="","",SUMPRODUCT(('ANALYSE - ERP =&gt; SOUS-SEGMENT'!$C$8:$C$1000=$C23)*'ANALYSE - ERP =&gt; SOUS-SEGMENT'!$Q$8:$Q$1000*'ANALYSE - ERP =&gt; SOUS-SEGMENT'!$AK$8:$AK$1000))</f>
        <v>177271</v>
      </c>
      <c r="AL23" s="646" t="s">
        <v>5766</v>
      </c>
      <c r="AM23" s="646" t="s">
        <v>5767</v>
      </c>
      <c r="AN23" s="646" t="s">
        <v>5768</v>
      </c>
      <c r="AO23" s="657"/>
      <c r="AP23" s="278">
        <f>IF($C23="","",IFERROR(SUMPRODUCT(('ANALYSE - ERP =&gt; SOUS-SEGMENT'!$C$8:$C$1000=$C23)*'ANALYSE - ERP =&gt; SOUS-SEGMENT'!$Q$8:$Q$1000*'ANALYSE - ERP =&gt; SOUS-SEGMENT'!$AF$8:$AF$1000*'ANALYSE - ERP =&gt; SOUS-SEGMENT'!$AP$8:$AP$1000)/SUMPRODUCT(('ANALYSE - ERP =&gt; SOUS-SEGMENT'!$C$8:$C$1000=$C23)*'ANALYSE - ERP =&gt; SOUS-SEGMENT'!$Q$8:$Q$1000*'ANALYSE - ERP =&gt; SOUS-SEGMENT'!$AF$8:$AF$1000),""))</f>
        <v>103.06497613870613</v>
      </c>
      <c r="AQ23" s="278">
        <f>IF($C23="","",IFERROR(SUMPRODUCT(('ANALYSE - ERP =&gt; SOUS-SEGMENT'!$C$8:$C$1000=$C23)*'ANALYSE - ERP =&gt; SOUS-SEGMENT'!$Q$8:$Q$1000*'ANALYSE - ERP =&gt; SOUS-SEGMENT'!$AF$8:$AF$1000*'ANALYSE - ERP =&gt; SOUS-SEGMENT'!$AQ$8:$AQ$1000)/SUMPRODUCT(('ANALYSE - ERP =&gt; SOUS-SEGMENT'!$C$8:$C$1000=$C23)*'ANALYSE - ERP =&gt; SOUS-SEGMENT'!$Q$8:$Q$1000*'ANALYSE - ERP =&gt; SOUS-SEGMENT'!$AF$8:$AF$1000),""))</f>
        <v>83.957275576765596</v>
      </c>
      <c r="AR23" s="278">
        <f>IF($C23="","",IFERROR(SUMPRODUCT(('ANALYSE - ERP =&gt; SOUS-SEGMENT'!$C$8:$C$1000=$C23)*'ANALYSE - ERP =&gt; SOUS-SEGMENT'!$Q$8:$Q$1000*'ANALYSE - ERP =&gt; SOUS-SEGMENT'!$AF$8:$AF$1000*'ANALYSE - ERP =&gt; SOUS-SEGMENT'!$AR$8:$AR$1000)/SUMPRODUCT(('ANALYSE - ERP =&gt; SOUS-SEGMENT'!$C$8:$C$1000=$C23)*'ANALYSE - ERP =&gt; SOUS-SEGMENT'!$Q$8:$Q$1000*'ANALYSE - ERP =&gt; SOUS-SEGMENT'!$AF$8:$AF$1000),""))</f>
        <v>15.298873295117613</v>
      </c>
      <c r="AS23" s="278">
        <f>IF($C23="","",IFERROR(SUMPRODUCT(('ANALYSE - ERP =&gt; SOUS-SEGMENT'!$C$8:$C$1000=$C23)*'ANALYSE - ERP =&gt; SOUS-SEGMENT'!$Q$8:$Q$1000*'ANALYSE - ERP =&gt; SOUS-SEGMENT'!$AF$8:$AF$1000*'ANALYSE - ERP =&gt; SOUS-SEGMENT'!$AS$8:$AS$1000)/SUMPRODUCT(('ANALYSE - ERP =&gt; SOUS-SEGMENT'!$C$8:$C$1000=$C23)*'ANALYSE - ERP =&gt; SOUS-SEGMENT'!$Q$8:$Q$1000*'ANALYSE - ERP =&gt; SOUS-SEGMENT'!$AF$8:$AF$1000),""))</f>
        <v>3.8088272668229179</v>
      </c>
      <c r="AT23" s="657"/>
      <c r="AU23" s="646" t="s">
        <v>5769</v>
      </c>
      <c r="AV23" s="646" t="s">
        <v>5770</v>
      </c>
      <c r="AW23" s="646" t="s">
        <v>5771</v>
      </c>
      <c r="AX23" s="646" t="s">
        <v>5772</v>
      </c>
      <c r="AY23" s="657"/>
      <c r="AZ23" s="947">
        <f>IF($C23="","",IFERROR(SUMPRODUCT(('ANALYSE - ERP =&gt; SOUS-SEGMENT'!$C$8:$C$1000=$C23)*'ANALYSE - ERP =&gt; SOUS-SEGMENT'!$Q$8:$Q$1000*'ANALYSE - ERP =&gt; SOUS-SEGMENT'!$AF$8:$AF$1000*'ANALYSE - ERP =&gt; SOUS-SEGMENT'!$AZ$8:$AZ$1000)/SUMPRODUCT(('ANALYSE - ERP =&gt; SOUS-SEGMENT'!$C$8:$C$1000=$C23)*'ANALYSE - ERP =&gt; SOUS-SEGMENT'!$Q$8:$Q$1000*'ANALYSE - ERP =&gt; SOUS-SEGMENT'!$AF$8:$AF$1000),""))</f>
        <v>5.1289780589049219</v>
      </c>
      <c r="BA23" s="947">
        <f>IF($C23="","",IFERROR(SUMPRODUCT(('ANALYSE - ERP =&gt; SOUS-SEGMENT'!$C$8:$C$1000=$C23)*'ANALYSE - ERP =&gt; SOUS-SEGMENT'!$Q$8:$Q$1000*'ANALYSE - ERP =&gt; SOUS-SEGMENT'!$AF$8:$AF$1000*'ANALYSE - ERP =&gt; SOUS-SEGMENT'!$BA$8:$BA$1000)/SUMPRODUCT(('ANALYSE - ERP =&gt; SOUS-SEGMENT'!$C$8:$C$1000=$C23)*'ANALYSE - ERP =&gt; SOUS-SEGMENT'!$Q$8:$Q$1000*'ANALYSE - ERP =&gt; SOUS-SEGMENT'!$AF$8:$AF$1000),""))</f>
        <v>0</v>
      </c>
      <c r="BB23" s="947">
        <f>IF($C23="","",IFERROR(SUMPRODUCT(('ANALYSE - ERP =&gt; SOUS-SEGMENT'!$C$8:$C$1000=$C23)*'ANALYSE - ERP =&gt; SOUS-SEGMENT'!$Q$8:$Q$1000*'ANALYSE - ERP =&gt; SOUS-SEGMENT'!$AF$8:$AF$1000*'ANALYSE - ERP =&gt; SOUS-SEGMENT'!$BB$8:$BB$1000)/SUMPRODUCT(('ANALYSE - ERP =&gt; SOUS-SEGMENT'!$C$8:$C$1000=$C23)*'ANALYSE - ERP =&gt; SOUS-SEGMENT'!$Q$8:$Q$1000*'ANALYSE - ERP =&gt; SOUS-SEGMENT'!$AF$8:$AF$1000),""))</f>
        <v>0.68922711998418662</v>
      </c>
      <c r="BC23" s="947">
        <f>IF($C23="","",IFERROR(SUMPRODUCT(('ANALYSE - ERP =&gt; SOUS-SEGMENT'!$C$8:$C$1000=$C23)*'ANALYSE - ERP =&gt; SOUS-SEGMENT'!$Q$8:$Q$1000*'ANALYSE - ERP =&gt; SOUS-SEGMENT'!$AF$8:$AF$1000*'ANALYSE - ERP =&gt; SOUS-SEGMENT'!$BC$8:$BC$1000)/SUMPRODUCT(('ANALYSE - ERP =&gt; SOUS-SEGMENT'!$C$8:$C$1000=$C23)*'ANALYSE - ERP =&gt; SOUS-SEGMENT'!$Q$8:$Q$1000*'ANALYSE - ERP =&gt; SOUS-SEGMENT'!$AF$8:$AF$1000),""))</f>
        <v>3.259480981560444</v>
      </c>
      <c r="BD23" s="826">
        <f t="shared" si="1"/>
        <v>1607340.5</v>
      </c>
      <c r="BE23" s="283">
        <f>IF($C23="","",SUMPRODUCT(('ANALYSE - ERP =&gt; SOUS-SEGMENT'!$C$8:$C$1000=$C23)*'ANALYSE - ERP =&gt; SOUS-SEGMENT'!$Q$8:$Q$1000*'ANALYSE - ERP =&gt; SOUS-SEGMENT'!$BE$8:$BE$1000))</f>
        <v>908162.5</v>
      </c>
      <c r="BF23" s="283">
        <f>IF($C23="","",SUMPRODUCT(('ANALYSE - ERP =&gt; SOUS-SEGMENT'!$C$8:$C$1000=$C23)*'ANALYSE - ERP =&gt; SOUS-SEGMENT'!$Q$8:$Q$1000*'ANALYSE - ERP =&gt; SOUS-SEGMENT'!$BF$8:$BF$1000))</f>
        <v>0</v>
      </c>
      <c r="BG23" s="283">
        <f>IF($C23="","",SUMPRODUCT(('ANALYSE - ERP =&gt; SOUS-SEGMENT'!$C$8:$C$1000=$C23)*'ANALYSE - ERP =&gt; SOUS-SEGMENT'!$Q$8:$Q$1000*'ANALYSE - ERP =&gt; SOUS-SEGMENT'!$BG$8:$BG$1000))</f>
        <v>122038</v>
      </c>
      <c r="BH23" s="283">
        <f>IF($C23="","",SUMPRODUCT(('ANALYSE - ERP =&gt; SOUS-SEGMENT'!$C$8:$C$1000=$C23)*'ANALYSE - ERP =&gt; SOUS-SEGMENT'!$Q$8:$Q$1000*'ANALYSE - ERP =&gt; SOUS-SEGMENT'!$BH$8:$BH$1000))</f>
        <v>577140</v>
      </c>
      <c r="BI23" s="826">
        <f t="shared" si="2"/>
        <v>1614972.25</v>
      </c>
      <c r="BJ23" s="283">
        <f>IF($C23="","",SUMPRODUCT(('ANALYSE - ERP =&gt; SOUS-SEGMENT'!$C$8:$C$1000=$C23)*'ANALYSE - ERP =&gt; SOUS-SEGMENT'!$Q$8:$Q$1000*'ANALYSE - ERP =&gt; SOUS-SEGMENT'!$BJ$8:$BJ$1000))</f>
        <v>910957</v>
      </c>
      <c r="BK23" s="283">
        <f>IF($C23="","",SUMPRODUCT(('ANALYSE - ERP =&gt; SOUS-SEGMENT'!$C$8:$C$1000=$C23)*'ANALYSE - ERP =&gt; SOUS-SEGMENT'!$Q$8:$Q$1000*'ANALYSE - ERP =&gt; SOUS-SEGMENT'!$BK$8:$BK$1000))</f>
        <v>0</v>
      </c>
      <c r="BL23" s="283">
        <f>IF($C23="","",SUMPRODUCT(('ANALYSE - ERP =&gt; SOUS-SEGMENT'!$C$8:$C$1000=$C23)*'ANALYSE - ERP =&gt; SOUS-SEGMENT'!$Q$8:$Q$1000*'ANALYSE - ERP =&gt; SOUS-SEGMENT'!$BL$8:$BL$1000))</f>
        <v>122708.25</v>
      </c>
      <c r="BM23" s="283">
        <f>IF($C23="","",SUMPRODUCT(('ANALYSE - ERP =&gt; SOUS-SEGMENT'!$C$8:$C$1000=$C23)*'ANALYSE - ERP =&gt; SOUS-SEGMENT'!$Q$8:$Q$1000*'ANALYSE - ERP =&gt; SOUS-SEGMENT'!$BM$8:$BM$1000))</f>
        <v>581307</v>
      </c>
      <c r="BN23" s="657"/>
      <c r="BO23" s="305">
        <f t="shared" si="3"/>
        <v>0.28131832133566403</v>
      </c>
      <c r="BP23" s="305">
        <f t="shared" si="4"/>
        <v>0.54903500199578825</v>
      </c>
      <c r="BQ23" s="305">
        <f t="shared" si="5"/>
        <v>0.12218986139595062</v>
      </c>
      <c r="BR23" s="581">
        <f t="shared" si="6"/>
        <v>4.7456815272597139E-2</v>
      </c>
      <c r="BS23" s="706">
        <f t="shared" si="7"/>
        <v>0.2483580673950582</v>
      </c>
      <c r="BT23" s="305">
        <f t="shared" si="8"/>
        <v>0.55078944450725997</v>
      </c>
      <c r="BU23" s="305">
        <f t="shared" si="9"/>
        <v>0.15851892021247982</v>
      </c>
      <c r="BV23" s="581">
        <f t="shared" si="10"/>
        <v>4.2333567885202046E-2</v>
      </c>
      <c r="BW23" s="713">
        <f t="shared" si="11"/>
        <v>0</v>
      </c>
      <c r="BX23" s="306">
        <f t="shared" si="12"/>
        <v>0</v>
      </c>
      <c r="BY23" s="590">
        <f t="shared" si="13"/>
        <v>0</v>
      </c>
      <c r="BZ23" s="713">
        <f t="shared" si="14"/>
        <v>0</v>
      </c>
      <c r="CA23" s="306">
        <f t="shared" si="15"/>
        <v>0</v>
      </c>
      <c r="CB23" s="590">
        <f t="shared" si="16"/>
        <v>0</v>
      </c>
      <c r="CC23" s="706">
        <f t="shared" si="17"/>
        <v>8.1132434159851843E-2</v>
      </c>
      <c r="CD23" s="305">
        <f t="shared" si="18"/>
        <v>0.50970804175748541</v>
      </c>
      <c r="CE23" s="305">
        <f t="shared" si="19"/>
        <v>0.16990158802995789</v>
      </c>
      <c r="CF23" s="581">
        <f t="shared" si="20"/>
        <v>0.2392579360527049</v>
      </c>
      <c r="CG23" s="706">
        <f t="shared" si="21"/>
        <v>6.5391540503592874E-2</v>
      </c>
      <c r="CH23" s="305">
        <f t="shared" si="22"/>
        <v>0.50809106152194339</v>
      </c>
      <c r="CI23" s="305">
        <f t="shared" si="23"/>
        <v>0.20360949650899593</v>
      </c>
      <c r="CJ23" s="581">
        <f t="shared" si="24"/>
        <v>0.22290790146546791</v>
      </c>
      <c r="CK23" s="719">
        <f t="shared" si="25"/>
        <v>0.52346917558997819</v>
      </c>
      <c r="CL23" s="307">
        <f t="shared" si="26"/>
        <v>0.33630834806112903</v>
      </c>
      <c r="CM23" s="723">
        <f t="shared" si="27"/>
        <v>0.14022247634889282</v>
      </c>
      <c r="CN23" s="719">
        <f t="shared" si="28"/>
        <v>0.4238910248801408</v>
      </c>
      <c r="CO23" s="307">
        <f t="shared" si="29"/>
        <v>0.37846956943577148</v>
      </c>
      <c r="CP23" s="723">
        <f t="shared" si="30"/>
        <v>0.19763940568408772</v>
      </c>
      <c r="CQ23" s="657"/>
      <c r="CR23" s="804">
        <f>IF($C23="","",IFERROR(SUMPRODUCT(('ANALYSE - ERP =&gt; SOUS-SEGMENT'!$C$8:$C$1000=$C23)*'ANALYSE - ERP =&gt; SOUS-SEGMENT'!$Q$8:$Q$1000*'ANALYSE - ERP =&gt; SOUS-SEGMENT'!$DH$8:$DH$1000*'ANALYSE - ERP =&gt; SOUS-SEGMENT'!$CR$8:$CR$1000)/SUMPRODUCT(('ANALYSE - ERP =&gt; SOUS-SEGMENT'!$C$8:$C$1000=$C23)*'ANALYSE - ERP =&gt; SOUS-SEGMENT'!$Q$8:$Q$1000*'ANALYSE - ERP =&gt; SOUS-SEGMENT'!$DH$8:$DH$1000),""))</f>
        <v>10.589257004631428</v>
      </c>
      <c r="CS23" s="805">
        <f>IF($C23="","",IFERROR(SUMPRODUCT(('ANALYSE - ERP =&gt; SOUS-SEGMENT'!$C$8:$C$1000=$C23)*'ANALYSE - ERP =&gt; SOUS-SEGMENT'!$Q$8:$Q$1000*'ANALYSE - ERP =&gt; SOUS-SEGMENT'!$DI$8:$DI$1000*'ANALYSE - ERP =&gt; SOUS-SEGMENT'!$CS$8:$CS$1000)/SUMPRODUCT(('ANALYSE - ERP =&gt; SOUS-SEGMENT'!$C$8:$C$1000=$C23)*'ANALYSE - ERP =&gt; SOUS-SEGMENT'!$Q$8:$Q$1000*'ANALYSE - ERP =&gt; SOUS-SEGMENT'!$DI$8:$DI$1000),""))</f>
        <v>11.516628126422697</v>
      </c>
      <c r="CT23" s="805">
        <f>IF($C23="","",IFERROR(SUMPRODUCT(('ANALYSE - ERP =&gt; SOUS-SEGMENT'!$C$8:$C$1000=$C23)*'ANALYSE - ERP =&gt; SOUS-SEGMENT'!$Q$8:$Q$1000*'ANALYSE - ERP =&gt; SOUS-SEGMENT'!$DJ$8:$DJ$1000*'ANALYSE - ERP =&gt; SOUS-SEGMENT'!$CT$8:$CT$1000)/SUMPRODUCT(('ANALYSE - ERP =&gt; SOUS-SEGMENT'!$C$8:$C$1000=$C23)*'ANALYSE - ERP =&gt; SOUS-SEGMENT'!$Q$8:$Q$1000*'ANALYSE - ERP =&gt; SOUS-SEGMENT'!$DJ$8:$DJ$1000),""))</f>
        <v>8.0012165641974171</v>
      </c>
      <c r="CU23" s="806">
        <f>IF($C23="","",IFERROR(SUMPRODUCT(('ANALYSE - ERP =&gt; SOUS-SEGMENT'!$C$8:$C$1000=$C23)*'ANALYSE - ERP =&gt; SOUS-SEGMENT'!$Q$8:$Q$1000*'ANALYSE - ERP =&gt; SOUS-SEGMENT'!$DK$8:$DK$1000*'ANALYSE - ERP =&gt; SOUS-SEGMENT'!$CU$8:$CU$1000)/SUMPRODUCT(('ANALYSE - ERP =&gt; SOUS-SEGMENT'!$C$8:$C$1000=$C23)*'ANALYSE - ERP =&gt; SOUS-SEGMENT'!$Q$8:$Q$1000*'ANALYSE - ERP =&gt; SOUS-SEGMENT'!$DK$8:$DK$1000),""))</f>
        <v>9.5548917015673407</v>
      </c>
      <c r="CV23" s="804" t="str">
        <f>IF($C23="","",IFERROR(SUMPRODUCT(('ANALYSE - ERP =&gt; SOUS-SEGMENT'!$C$8:$C$1000=$C23)*'ANALYSE - ERP =&gt; SOUS-SEGMENT'!$Q$8:$Q$1000*'ANALYSE - ERP =&gt; SOUS-SEGMENT'!$DS$8:$DS$1000*'ANALYSE - ERP =&gt; SOUS-SEGMENT'!$CV$8:$CV$1000)/SUMPRODUCT(('ANALYSE - ERP =&gt; SOUS-SEGMENT'!$C$8:$C$1000=$C23)*'ANALYSE - ERP =&gt; SOUS-SEGMENT'!$Q$8:$Q$1000*'ANALYSE - ERP =&gt; SOUS-SEGMENT'!$DS$8:$DS$1000),""))</f>
        <v/>
      </c>
      <c r="CW23" s="805" t="str">
        <f>IF($C23="","",IFERROR(SUMPRODUCT(('ANALYSE - ERP =&gt; SOUS-SEGMENT'!$C$8:$C$1000=$C23)*'ANALYSE - ERP =&gt; SOUS-SEGMENT'!$Q$8:$Q$1000*'ANALYSE - ERP =&gt; SOUS-SEGMENT'!$DT$8:$DT$1000*'ANALYSE - ERP =&gt; SOUS-SEGMENT'!$CW$8:$CW$1000)/SUMPRODUCT(('ANALYSE - ERP =&gt; SOUS-SEGMENT'!$C$8:$C$1000=$C23)*'ANALYSE - ERP =&gt; SOUS-SEGMENT'!$Q$8:$Q$1000*'ANALYSE - ERP =&gt; SOUS-SEGMENT'!$DT$8:$DT$1000),""))</f>
        <v/>
      </c>
      <c r="CX23" s="806" t="str">
        <f>IF($C23="","",IFERROR(SUMPRODUCT(('ANALYSE - ERP =&gt; SOUS-SEGMENT'!$C$8:$C$1000=$C23)*'ANALYSE - ERP =&gt; SOUS-SEGMENT'!$Q$8:$Q$1000*'ANALYSE - ERP =&gt; SOUS-SEGMENT'!$DU$8:$DU$1000*'ANALYSE - ERP =&gt; SOUS-SEGMENT'!$CX$8:$CX$1000)/SUMPRODUCT(('ANALYSE - ERP =&gt; SOUS-SEGMENT'!$C$8:$C$1000=$C23)*'ANALYSE - ERP =&gt; SOUS-SEGMENT'!$Q$8:$Q$1000*'ANALYSE - ERP =&gt; SOUS-SEGMENT'!$DU$8:$DU$1000),""))</f>
        <v/>
      </c>
      <c r="CY23" s="804">
        <f>IF($C23="","",IFERROR(SUMPRODUCT(('ANALYSE - ERP =&gt; SOUS-SEGMENT'!$C$8:$C$1000=$C23)*'ANALYSE - ERP =&gt; SOUS-SEGMENT'!$Q$8:$Q$1000*'ANALYSE - ERP =&gt; SOUS-SEGMENT'!$EB$8:$EB$1000*'ANALYSE - ERP =&gt; SOUS-SEGMENT'!$CY$8:$CY$1000)/SUMPRODUCT(('ANALYSE - ERP =&gt; SOUS-SEGMENT'!$C$8:$C$1000=$C23)*'ANALYSE - ERP =&gt; SOUS-SEGMENT'!$Q$8:$Q$1000*'ANALYSE - ERP =&gt; SOUS-SEGMENT'!$EB$8:$EB$1000),""))</f>
        <v>9.0040903967583859</v>
      </c>
      <c r="CZ23" s="805">
        <f>IF($C23="","",IFERROR(SUMPRODUCT(('ANALYSE - ERP =&gt; SOUS-SEGMENT'!$C$8:$C$1000=$C23)*'ANALYSE - ERP =&gt; SOUS-SEGMENT'!$Q$8:$Q$1000*'ANALYSE - ERP =&gt; SOUS-SEGMENT'!$EC$8:$EC$1000*'ANALYSE - ERP =&gt; SOUS-SEGMENT'!$CZ$8:$CZ$1000)/SUMPRODUCT(('ANALYSE - ERP =&gt; SOUS-SEGMENT'!$C$8:$C$1000=$C23)*'ANALYSE - ERP =&gt; SOUS-SEGMENT'!$Q$8:$Q$1000*'ANALYSE - ERP =&gt; SOUS-SEGMENT'!$EC$8:$EC$1000),""))</f>
        <v>11</v>
      </c>
      <c r="DA23" s="805">
        <f>IF($C23="","",IFERROR(SUMPRODUCT(('ANALYSE - ERP =&gt; SOUS-SEGMENT'!$C$8:$C$1000=$C23)*'ANALYSE - ERP =&gt; SOUS-SEGMENT'!$Q$8:$Q$1000*'ANALYSE - ERP =&gt; SOUS-SEGMENT'!$ED$8:$ED$1000*'ANALYSE - ERP =&gt; SOUS-SEGMENT'!$DA$8:$DA$1000)/SUMPRODUCT(('ANALYSE - ERP =&gt; SOUS-SEGMENT'!$C$8:$C$1000=$C23)*'ANALYSE - ERP =&gt; SOUS-SEGMENT'!$Q$8:$Q$1000*'ANALYSE - ERP =&gt; SOUS-SEGMENT'!$ED$8:$ED$1000),""))</f>
        <v>7.7068887768906338</v>
      </c>
      <c r="DB23" s="806">
        <f>IF($C23="","",IFERROR(SUMPRODUCT(('ANALYSE - ERP =&gt; SOUS-SEGMENT'!$C$8:$C$1000=$C23)*'ANALYSE - ERP =&gt; SOUS-SEGMENT'!$Q$8:$Q$1000*'ANALYSE - ERP =&gt; SOUS-SEGMENT'!$EE$8:$EE$1000*'ANALYSE - ERP =&gt; SOUS-SEGMENT'!$DB$8:$DB$1000)/SUMPRODUCT(('ANALYSE - ERP =&gt; SOUS-SEGMENT'!$C$8:$C$1000=$C23)*'ANALYSE - ERP =&gt; SOUS-SEGMENT'!$Q$8:$Q$1000*'ANALYSE - ERP =&gt; SOUS-SEGMENT'!$EE$8:$EE$1000),""))</f>
        <v>9</v>
      </c>
      <c r="DC23" s="804">
        <f>IF($C23="","",IFERROR(SUMPRODUCT(('ANALYSE - ERP =&gt; SOUS-SEGMENT'!$C$8:$C$1000=$C23)*'ANALYSE - ERP =&gt; SOUS-SEGMENT'!$Q$8:$Q$1000*'ANALYSE - ERP =&gt; SOUS-SEGMENT'!$EM$8:$EM$1000*'ANALYSE - ERP =&gt; SOUS-SEGMENT'!$DC$8:$DC$1000)/SUMPRODUCT(('ANALYSE - ERP =&gt; SOUS-SEGMENT'!$C$8:$C$1000=$C23)*'ANALYSE - ERP =&gt; SOUS-SEGMENT'!$Q$8:$Q$1000*'ANALYSE - ERP =&gt; SOUS-SEGMENT'!$EM$8:$EM$1000),""))</f>
        <v>10.93059927511047</v>
      </c>
      <c r="DD23" s="805">
        <f>IF($C23="","",IFERROR(SUMPRODUCT(('ANALYSE - ERP =&gt; SOUS-SEGMENT'!$C$8:$C$1000=$C23)*'ANALYSE - ERP =&gt; SOUS-SEGMENT'!$Q$8:$Q$1000*'ANALYSE - ERP =&gt; SOUS-SEGMENT'!$EN$8:$EN$1000*'ANALYSE - ERP =&gt; SOUS-SEGMENT'!$DD$8:$DD$1000)/SUMPRODUCT(('ANALYSE - ERP =&gt; SOUS-SEGMENT'!$C$8:$C$1000=$C23)*'ANALYSE - ERP =&gt; SOUS-SEGMENT'!$Q$8:$Q$1000*'ANALYSE - ERP =&gt; SOUS-SEGMENT'!$EN$8:$EN$1000),""))</f>
        <v>11.505803799131362</v>
      </c>
      <c r="DE23" s="806">
        <f>IF($C23="","",IFERROR(SUMPRODUCT(('ANALYSE - ERP =&gt; SOUS-SEGMENT'!$C$8:$C$1000=$C23)*'ANALYSE - ERP =&gt; SOUS-SEGMENT'!$Q$8:$Q$1000*'ANALYSE - ERP =&gt; SOUS-SEGMENT'!$EO$8:$EO$1000*'ANALYSE - ERP =&gt; SOUS-SEGMENT'!$DE$8:$DE$1000)/SUMPRODUCT(('ANALYSE - ERP =&gt; SOUS-SEGMENT'!$C$8:$C$1000=$C23)*'ANALYSE - ERP =&gt; SOUS-SEGMENT'!$Q$8:$Q$1000*'ANALYSE - ERP =&gt; SOUS-SEGMENT'!$EO$8:$EO$1000),""))</f>
        <v>8.4800934163701065</v>
      </c>
      <c r="DF23" s="919" t="s">
        <v>5773</v>
      </c>
      <c r="DG23" s="657"/>
      <c r="DH23" s="308">
        <f>IF($C23="","",SUMPRODUCT(('ANALYSE - ERP =&gt; SOUS-SEGMENT'!$C$8:$C$1000=$C23)*'ANALYSE - ERP =&gt; SOUS-SEGMENT'!$Q$8:$Q$1000*'ANALYSE - ERP =&gt; SOUS-SEGMENT'!$DH$8:$DH$1000))</f>
        <v>255482.75</v>
      </c>
      <c r="DI23" s="308">
        <f>IF($C23="","",SUMPRODUCT(('ANALYSE - ERP =&gt; SOUS-SEGMENT'!$C$8:$C$1000=$C23)*'ANALYSE - ERP =&gt; SOUS-SEGMENT'!$Q$8:$Q$1000*'ANALYSE - ERP =&gt; SOUS-SEGMENT'!$DI$8:$DI$1000))</f>
        <v>498613</v>
      </c>
      <c r="DJ23" s="308">
        <f>IF($C23="","",SUMPRODUCT(('ANALYSE - ERP =&gt; SOUS-SEGMENT'!$C$8:$C$1000=$C23)*'ANALYSE - ERP =&gt; SOUS-SEGMENT'!$Q$8:$Q$1000*'ANALYSE - ERP =&gt; SOUS-SEGMENT'!$DJ$8:$DJ$1000))</f>
        <v>110968.25</v>
      </c>
      <c r="DK23" s="308">
        <f>IF($C23="","",SUMPRODUCT(('ANALYSE - ERP =&gt; SOUS-SEGMENT'!$C$8:$C$1000=$C23)*'ANALYSE - ERP =&gt; SOUS-SEGMENT'!$Q$8:$Q$1000*'ANALYSE - ERP =&gt; SOUS-SEGMENT'!$DK$8:$DK$1000))</f>
        <v>43098.5</v>
      </c>
      <c r="DL23" s="646" t="s">
        <v>5774</v>
      </c>
      <c r="DM23" s="308">
        <f>IF($C23="","",SUMPRODUCT(('ANALYSE - ERP =&gt; SOUS-SEGMENT'!$C$8:$C$1000=$C23)*'ANALYSE - ERP =&gt; SOUS-SEGMENT'!$Q$8:$Q$1000*'ANALYSE - ERP =&gt; SOUS-SEGMENT'!$DM$8:$DM$1000))</f>
        <v>226243.52000000002</v>
      </c>
      <c r="DN23" s="308">
        <f>IF($C23="","",SUMPRODUCT(('ANALYSE - ERP =&gt; SOUS-SEGMENT'!$C$8:$C$1000=$C23)*'ANALYSE - ERP =&gt; SOUS-SEGMENT'!$Q$8:$Q$1000*'ANALYSE - ERP =&gt; SOUS-SEGMENT'!$DN$8:$DN$1000))</f>
        <v>501745.5</v>
      </c>
      <c r="DO23" s="308">
        <f>IF($C23="","",SUMPRODUCT(('ANALYSE - ERP =&gt; SOUS-SEGMENT'!$C$8:$C$1000=$C23)*'ANALYSE - ERP =&gt; SOUS-SEGMENT'!$Q$8:$Q$1000*'ANALYSE - ERP =&gt; SOUS-SEGMENT'!$DO$8:$DO$1000))</f>
        <v>144403.91999999998</v>
      </c>
      <c r="DP23" s="308">
        <f>IF($C23="","",SUMPRODUCT(('ANALYSE - ERP =&gt; SOUS-SEGMENT'!$C$8:$C$1000=$C23)*'ANALYSE - ERP =&gt; SOUS-SEGMENT'!$Q$8:$Q$1000*'ANALYSE - ERP =&gt; SOUS-SEGMENT'!$DP$8:$DP$1000))</f>
        <v>38564.06</v>
      </c>
      <c r="DQ23" s="646" t="s">
        <v>5775</v>
      </c>
      <c r="DR23" s="657"/>
      <c r="DS23" s="308">
        <f>IF($C23="","",SUMPRODUCT(('ANALYSE - ERP =&gt; SOUS-SEGMENT'!$C$8:$C$1000=$C23)*'ANALYSE - ERP =&gt; SOUS-SEGMENT'!$Q$8:$Q$1000*'ANALYSE - ERP =&gt; SOUS-SEGMENT'!$DS$8:$DS$1000))</f>
        <v>0</v>
      </c>
      <c r="DT23" s="308">
        <f>IF($C23="","",SUMPRODUCT(('ANALYSE - ERP =&gt; SOUS-SEGMENT'!$C$8:$C$1000=$C23)*'ANALYSE - ERP =&gt; SOUS-SEGMENT'!$Q$8:$Q$1000*'ANALYSE - ERP =&gt; SOUS-SEGMENT'!$DT$8:$DT$1000))</f>
        <v>0</v>
      </c>
      <c r="DU23" s="308">
        <f>IF($C23="","",SUMPRODUCT(('ANALYSE - ERP =&gt; SOUS-SEGMENT'!$C$8:$C$1000=$C23)*'ANALYSE - ERP =&gt; SOUS-SEGMENT'!$Q$8:$Q$1000*'ANALYSE - ERP =&gt; SOUS-SEGMENT'!$DU$8:$DU$1000))</f>
        <v>0</v>
      </c>
      <c r="DV23" s="646" t="s">
        <v>2613</v>
      </c>
      <c r="DW23" s="308">
        <f>IF($C23="","",SUMPRODUCT(('ANALYSE - ERP =&gt; SOUS-SEGMENT'!$C$8:$C$1000=$C23)*'ANALYSE - ERP =&gt; SOUS-SEGMENT'!$Q$8:$Q$1000*'ANALYSE - ERP =&gt; SOUS-SEGMENT'!$DW$8:$DW$1000))</f>
        <v>0</v>
      </c>
      <c r="DX23" s="308">
        <f>IF($C23="","",SUMPRODUCT(('ANALYSE - ERP =&gt; SOUS-SEGMENT'!$C$8:$C$1000=$C23)*'ANALYSE - ERP =&gt; SOUS-SEGMENT'!$Q$8:$Q$1000*'ANALYSE - ERP =&gt; SOUS-SEGMENT'!$DX$8:$DX$1000))</f>
        <v>0</v>
      </c>
      <c r="DY23" s="308">
        <f>IF($C23="","",SUMPRODUCT(('ANALYSE - ERP =&gt; SOUS-SEGMENT'!$C$8:$C$1000=$C23)*'ANALYSE - ERP =&gt; SOUS-SEGMENT'!$Q$8:$Q$1000*'ANALYSE - ERP =&gt; SOUS-SEGMENT'!$DY$8:$DY$1000))</f>
        <v>0</v>
      </c>
      <c r="DZ23" s="646" t="s">
        <v>5776</v>
      </c>
      <c r="EA23" s="657"/>
      <c r="EB23" s="308">
        <f>IF($C23="","",SUMPRODUCT(('ANALYSE - ERP =&gt; SOUS-SEGMENT'!$C$8:$C$1000=$C23)*'ANALYSE - ERP =&gt; SOUS-SEGMENT'!$Q$8:$Q$1000*'ANALYSE - ERP =&gt; SOUS-SEGMENT'!$EB$8:$EB$1000))</f>
        <v>9901.24</v>
      </c>
      <c r="EC23" s="308">
        <f>IF($C23="","",SUMPRODUCT(('ANALYSE - ERP =&gt; SOUS-SEGMENT'!$C$8:$C$1000=$C23)*'ANALYSE - ERP =&gt; SOUS-SEGMENT'!$Q$8:$Q$1000*'ANALYSE - ERP =&gt; SOUS-SEGMENT'!$EC$8:$EC$1000))</f>
        <v>62203.75</v>
      </c>
      <c r="ED23" s="308">
        <f>IF($C23="","",SUMPRODUCT(('ANALYSE - ERP =&gt; SOUS-SEGMENT'!$C$8:$C$1000=$C23)*'ANALYSE - ERP =&gt; SOUS-SEGMENT'!$Q$8:$Q$1000*'ANALYSE - ERP =&gt; SOUS-SEGMENT'!$ED$8:$ED$1000))</f>
        <v>20734.45</v>
      </c>
      <c r="EE23" s="308">
        <f>IF($C23="","",SUMPRODUCT(('ANALYSE - ERP =&gt; SOUS-SEGMENT'!$C$8:$C$1000=$C23)*'ANALYSE - ERP =&gt; SOUS-SEGMENT'!$Q$8:$Q$1000*'ANALYSE - ERP =&gt; SOUS-SEGMENT'!$EE$8:$EE$1000))</f>
        <v>29198.560000000001</v>
      </c>
      <c r="EF23" s="646" t="s">
        <v>5777</v>
      </c>
      <c r="EG23" s="308">
        <f>IF($C23="","",SUMPRODUCT(('ANALYSE - ERP =&gt; SOUS-SEGMENT'!$C$8:$C$1000=$C23)*'ANALYSE - ERP =&gt; SOUS-SEGMENT'!$Q$8:$Q$1000*'ANALYSE - ERP =&gt; SOUS-SEGMENT'!$EG$8:$EG$1000))</f>
        <v>8024.0815000000002</v>
      </c>
      <c r="EH23" s="308">
        <f>IF($C23="","",SUMPRODUCT(('ANALYSE - ERP =&gt; SOUS-SEGMENT'!$C$8:$C$1000=$C23)*'ANALYSE - ERP =&gt; SOUS-SEGMENT'!$Q$8:$Q$1000*'ANALYSE - ERP =&gt; SOUS-SEGMENT'!$EH$8:$EH$1000))</f>
        <v>62346.965000000004</v>
      </c>
      <c r="EI23" s="308">
        <f>IF($C23="","",SUMPRODUCT(('ANALYSE - ERP =&gt; SOUS-SEGMENT'!$C$8:$C$1000=$C23)*'ANALYSE - ERP =&gt; SOUS-SEGMENT'!$Q$8:$Q$1000*'ANALYSE - ERP =&gt; SOUS-SEGMENT'!$EI$8:$EI$1000))</f>
        <v>24984.564999999999</v>
      </c>
      <c r="EJ23" s="308">
        <f>IF($C23="","",SUMPRODUCT(('ANALYSE - ERP =&gt; SOUS-SEGMENT'!$C$8:$C$1000=$C23)*'ANALYSE - ERP =&gt; SOUS-SEGMENT'!$Q$8:$Q$1000*'ANALYSE - ERP =&gt; SOUS-SEGMENT'!$EJ$8:$EJ$1000))</f>
        <v>27352.638500000001</v>
      </c>
      <c r="EK23" s="936" t="s">
        <v>5778</v>
      </c>
      <c r="EL23" s="657"/>
      <c r="EM23" s="308">
        <f>IF($C23="","",SUMPRODUCT(('ANALYSE - ERP =&gt; SOUS-SEGMENT'!$C$8:$C$1000=$C23)*'ANALYSE - ERP =&gt; SOUS-SEGMENT'!$Q$8:$Q$1000*'ANALYSE - ERP =&gt; SOUS-SEGMENT'!$EM$8:$EM$1000))</f>
        <v>302115</v>
      </c>
      <c r="EN23" s="310">
        <f>IF($C23="","",SUMPRODUCT(('ANALYSE - ERP =&gt; SOUS-SEGMENT'!$C$8:$C$1000=$C23)*'ANALYSE - ERP =&gt; SOUS-SEGMENT'!$Q$8:$Q$1000*'ANALYSE - ERP =&gt; SOUS-SEGMENT'!$EN$8:$EN$1000))</f>
        <v>194097</v>
      </c>
      <c r="EO23" s="310">
        <f>IF($C23="","",SUMPRODUCT(('ANALYSE - ERP =&gt; SOUS-SEGMENT'!$C$8:$C$1000=$C23)*'ANALYSE - ERP =&gt; SOUS-SEGMENT'!$Q$8:$Q$1000*'ANALYSE - ERP =&gt; SOUS-SEGMENT'!$EO$8:$EO$1000))</f>
        <v>80928</v>
      </c>
      <c r="EP23" s="646" t="s">
        <v>5779</v>
      </c>
      <c r="EQ23" s="308">
        <f>IF($C23="","",SUMPRODUCT(('ANALYSE - ERP =&gt; SOUS-SEGMENT'!$C$8:$C$1000=$C23)*'ANALYSE - ERP =&gt; SOUS-SEGMENT'!$Q$8:$Q$1000*'ANALYSE - ERP =&gt; SOUS-SEGMENT'!$EQ$8:$EQ$1000))</f>
        <v>246410.82</v>
      </c>
      <c r="ER23" s="310">
        <f>IF($C23="","",SUMPRODUCT(('ANALYSE - ERP =&gt; SOUS-SEGMENT'!$C$8:$C$1000=$C23)*'ANALYSE - ERP =&gt; SOUS-SEGMENT'!$Q$8:$Q$1000*'ANALYSE - ERP =&gt; SOUS-SEGMENT'!$ER$8:$ER$1000))</f>
        <v>220007.01</v>
      </c>
      <c r="ES23" s="310">
        <f>IF($C23="","",SUMPRODUCT(('ANALYSE - ERP =&gt; SOUS-SEGMENT'!$C$8:$C$1000=$C23)*'ANALYSE - ERP =&gt; SOUS-SEGMENT'!$Q$8:$Q$1000*'ANALYSE - ERP =&gt; SOUS-SEGMENT'!$ES$8:$ES$1000))</f>
        <v>114889.16999999998</v>
      </c>
      <c r="ET23" s="646" t="s">
        <v>5780</v>
      </c>
      <c r="EU23" s="657"/>
      <c r="EV23" s="728">
        <f t="shared" si="31"/>
        <v>0.8184637139019898</v>
      </c>
      <c r="EW23" s="728">
        <f t="shared" si="32"/>
        <v>0.18153628609801015</v>
      </c>
      <c r="EX23" s="311">
        <f t="shared" si="33"/>
        <v>764499.86907890835</v>
      </c>
      <c r="EY23" s="311">
        <f t="shared" si="34"/>
        <v>625715.40212390828</v>
      </c>
      <c r="EZ23" s="311">
        <f t="shared" si="35"/>
        <v>138784.46695500001</v>
      </c>
      <c r="FA23" s="311">
        <f t="shared" si="36"/>
        <v>429245.43901845603</v>
      </c>
      <c r="FB23" s="311">
        <f>IF($C23="","",SUMPRODUCT(('ANALYSE - ERP =&gt; SOUS-SEGMENT'!$C$8:$C$1000=$C23)*'ANALYSE - ERP =&gt; SOUS-SEGMENT'!$Q$8:$Q$1000*'ANALYSE - ERP =&gt; SOUS-SEGMENT'!$FB$8:$FB$1000))</f>
        <v>352251.30139345606</v>
      </c>
      <c r="FC23" s="311">
        <f>IF($C23="","",SUMPRODUCT(('ANALYSE - ERP =&gt; SOUS-SEGMENT'!$C$8:$C$1000=$C23)*'ANALYSE - ERP =&gt; SOUS-SEGMENT'!$Q$8:$Q$1000*'ANALYSE - ERP =&gt; SOUS-SEGMENT'!$FC$8:$FC$1000))</f>
        <v>76994.137625000003</v>
      </c>
      <c r="FD23" s="311">
        <f t="shared" si="37"/>
        <v>0</v>
      </c>
      <c r="FE23" s="311">
        <f>IF($C23="","",SUMPRODUCT(('ANALYSE - ERP =&gt; SOUS-SEGMENT'!$C$8:$C$1000=$C23)*'ANALYSE - ERP =&gt; SOUS-SEGMENT'!$Q$8:$Q$1000*'ANALYSE - ERP =&gt; SOUS-SEGMENT'!$FE$8:$FE$1000))</f>
        <v>0</v>
      </c>
      <c r="FF23" s="311">
        <f>IF($C23="","",SUMPRODUCT(('ANALYSE - ERP =&gt; SOUS-SEGMENT'!$C$8:$C$1000=$C23)*'ANALYSE - ERP =&gt; SOUS-SEGMENT'!$Q$8:$Q$1000*'ANALYSE - ERP =&gt; SOUS-SEGMENT'!$FF$8:$FF$1000))</f>
        <v>0</v>
      </c>
      <c r="FG23" s="311">
        <f t="shared" si="38"/>
        <v>62500.099784944628</v>
      </c>
      <c r="FH23" s="311">
        <f>IF($C23="","",SUMPRODUCT(('ANALYSE - ERP =&gt; SOUS-SEGMENT'!$C$8:$C$1000=$C23)*'ANALYSE - ERP =&gt; SOUS-SEGMENT'!$Q$8:$Q$1000*'ANALYSE - ERP =&gt; SOUS-SEGMENT'!$FH$8:$FH$1000))</f>
        <v>51878.566054944626</v>
      </c>
      <c r="FI23" s="311">
        <f>IF($C23="","",SUMPRODUCT(('ANALYSE - ERP =&gt; SOUS-SEGMENT'!$C$8:$C$1000=$C23)*'ANALYSE - ERP =&gt; SOUS-SEGMENT'!$Q$8:$Q$1000*'ANALYSE - ERP =&gt; SOUS-SEGMENT'!$FI$8:$FI$1000))</f>
        <v>10621.533730000005</v>
      </c>
      <c r="FJ23" s="311">
        <f t="shared" si="39"/>
        <v>272754.33027550753</v>
      </c>
      <c r="FK23" s="311">
        <f>IF($C23="","",SUMPRODUCT(('ANALYSE - ERP =&gt; SOUS-SEGMENT'!$C$8:$C$1000=$C23)*'ANALYSE - ERP =&gt; SOUS-SEGMENT'!$Q$8:$Q$1000*'ANALYSE - ERP =&gt; SOUS-SEGMENT'!$FK$8:$FK$1000))</f>
        <v>221585.53467550754</v>
      </c>
      <c r="FL23" s="311">
        <f>IF($C23="","",SUMPRODUCT(('ANALYSE - ERP =&gt; SOUS-SEGMENT'!$C$8:$C$1000=$C23)*'ANALYSE - ERP =&gt; SOUS-SEGMENT'!$Q$8:$Q$1000*'ANALYSE - ERP =&gt; SOUS-SEGMENT'!$FL$8:$FL$1000))</f>
        <v>51168.795600000005</v>
      </c>
      <c r="FM23" s="657"/>
      <c r="FN23" s="954" t="s">
        <v>2649</v>
      </c>
      <c r="FO23" s="728">
        <f>IF($C23="","",IFERROR(SUMPRODUCT(('ANALYSE - ERP =&gt; SOUS-SEGMENT'!$C$8:$C$1000=$C23)*'ANALYSE - ERP =&gt; SOUS-SEGMENT'!$Q$8:$Q$1000*'ANALYSE - ERP =&gt; SOUS-SEGMENT'!$AF$8:$AF$1000*'ANALYSE - ERP =&gt; SOUS-SEGMENT'!$FO$8:$FO$1000)/SUMPRODUCT(('ANALYSE - ERP =&gt; SOUS-SEGMENT'!$C$8:$C$1000=$C23)*'ANALYSE - ERP =&gt; SOUS-SEGMENT'!$Q$8:$Q$1000*'ANALYSE - ERP =&gt; SOUS-SEGMENT'!$AF$8:$AF$1000),""))</f>
        <v>6.2941964532798697E-2</v>
      </c>
      <c r="FP23" s="729">
        <f>IF($C23="","",IFERROR(SUMPRODUCT(('ANALYSE - ERP =&gt; SOUS-SEGMENT'!$C$8:$C$1000=$C23)*'ANALYSE - ERP =&gt; SOUS-SEGMENT'!$Q$8:$Q$1000*'ANALYSE - ERP =&gt; SOUS-SEGMENT'!$AF$8:$AF$1000*'ANALYSE - ERP =&gt; SOUS-SEGMENT'!$FP$8:$FP$1000)/SUMPRODUCT(('ANALYSE - ERP =&gt; SOUS-SEGMENT'!$C$8:$C$1000=$C23)*'ANALYSE - ERP =&gt; SOUS-SEGMENT'!$Q$8:$Q$1000*'ANALYSE - ERP =&gt; SOUS-SEGMENT'!$AF$8:$AF$1000),""))</f>
        <v>0.84040674272159932</v>
      </c>
      <c r="FQ23" s="954" t="s">
        <v>5781</v>
      </c>
      <c r="FR23" s="657"/>
      <c r="FS23" s="865">
        <f>IF($C23="","",IFERROR(SUMPRODUCT(('ANALYSE - ERP =&gt; SOUS-SEGMENT'!$C$8:$C$1000=$C23)*'ANALYSE - ERP =&gt; SOUS-SEGMENT'!$Q$8:$Q$1000*'ANALYSE - ERP =&gt; SOUS-SEGMENT'!$EX$8:$EX$1000*'ANALYSE - ERP =&gt; SOUS-SEGMENT'!$FS$8:$FS$1000)/SUMPRODUCT(('ANALYSE - ERP =&gt; SOUS-SEGMENT'!$C$8:$C$1000=$C23)*'ANALYSE - ERP =&gt; SOUS-SEGMENT'!$Q$8:$Q$1000*'ANALYSE - ERP =&gt; SOUS-SEGMENT'!$EX$8:$EX$1000),""))</f>
        <v>3.5110739920280967</v>
      </c>
      <c r="FT23" s="312">
        <f>IF($C23="","",RANK($FS23,$FS$8:$FS$43,0)+COUNTIF($FS$8:$FS23,$FS23)-1)</f>
        <v>12</v>
      </c>
      <c r="FU23" s="865">
        <f>IF($C23="","",IFERROR(SUMPRODUCT(('ANALYSE - ERP =&gt; SOUS-SEGMENT'!$C$8:$C$1000=$C23)*'ANALYSE - ERP =&gt; SOUS-SEGMENT'!$Q$8:$Q$1000*'ANALYSE - ERP =&gt; SOUS-SEGMENT'!$EY$8:$EY$1000*'ANALYSE - ERP =&gt; SOUS-SEGMENT'!$FU$8:$FU$1000)/SUMPRODUCT(('ANALYSE - ERP =&gt; SOUS-SEGMENT'!$C$8:$C$1000=$C23)*'ANALYSE - ERP =&gt; SOUS-SEGMENT'!$Q$8:$Q$1000*'ANALYSE - ERP =&gt; SOUS-SEGMENT'!$EY$8:$EY$1000),""))</f>
        <v>4.1475809880760748</v>
      </c>
      <c r="FV23" s="312">
        <f>IF($C23="","",RANK($FU23,$FU$8:$FU$43,0)+COUNTIF($FU$8:$FU23,$FU23)-1)</f>
        <v>13</v>
      </c>
      <c r="FW23" s="865">
        <f>IF($C23="","",IFERROR(SUMPRODUCT(('ANALYSE - ERP =&gt; SOUS-SEGMENT'!$C$8:$C$1000=$C23)*'ANALYSE - ERP =&gt; SOUS-SEGMENT'!$Q$8:$Q$1000*'ANALYSE - ERP =&gt; SOUS-SEGMENT'!$EZ$8:$EZ$1000*'ANALYSE - ERP =&gt; SOUS-SEGMENT'!$FW$8:$FW$1000)/SUMPRODUCT(('ANALYSE - ERP =&gt; SOUS-SEGMENT'!$C$8:$C$1000=$C23)*'ANALYSE - ERP =&gt; SOUS-SEGMENT'!$Q$8:$Q$1000*'ANALYSE - ERP =&gt; SOUS-SEGMENT'!$EZ$8:$EZ$1000),""))</f>
        <v>2.6625583833053534</v>
      </c>
      <c r="FX23" s="312">
        <f>IF($C23="","",RANK($FW23,$FW$8:$FW$43,0)+COUNTIF($FW$8:$FW23,$FW23)-1)</f>
        <v>6</v>
      </c>
      <c r="FY23" s="657"/>
      <c r="FZ23" s="646" t="s">
        <v>5782</v>
      </c>
      <c r="GA23" s="646" t="s">
        <v>5783</v>
      </c>
      <c r="GB23" s="646" t="s">
        <v>5784</v>
      </c>
      <c r="GC23" s="646" t="s">
        <v>5785</v>
      </c>
      <c r="GD23" s="646" t="s">
        <v>5786</v>
      </c>
      <c r="GE23" s="646" t="s">
        <v>5787</v>
      </c>
      <c r="GF23" s="276" t="s">
        <v>5750</v>
      </c>
      <c r="GG23" s="657"/>
      <c r="GH23" s="311">
        <f t="shared" si="40"/>
        <v>117614.40288947501</v>
      </c>
      <c r="GI23" s="311">
        <f>IF($C23="","",SUMPRODUCT(('ANALYSE - ERP =&gt; SOUS-SEGMENT'!$C$8:$C$1000=$C23)*'ANALYSE - ERP =&gt; SOUS-SEGMENT'!$Q$8:$Q$1000*'ANALYSE - ERP =&gt; SOUS-SEGMENT'!$GI$8:$GI$1000))</f>
        <v>100430.014679475</v>
      </c>
      <c r="GJ23" s="311">
        <f>IF($C23="","",SUMPRODUCT(('ANALYSE - ERP =&gt; SOUS-SEGMENT'!$C$8:$C$1000=$C23)*'ANALYSE - ERP =&gt; SOUS-SEGMENT'!$Q$8:$Q$1000*'ANALYSE - ERP =&gt; SOUS-SEGMENT'!$GJ$8:$GJ$1000))</f>
        <v>17184.388210000001</v>
      </c>
      <c r="GK23" s="311">
        <f t="shared" si="41"/>
        <v>220457.85697664772</v>
      </c>
      <c r="GL23" s="311">
        <f>IF($C23="","",SUMPRODUCT(('ANALYSE - ERP =&gt; SOUS-SEGMENT'!$C$8:$C$1000=$C23)*'ANALYSE - ERP =&gt; SOUS-SEGMENT'!$Q$8:$Q$1000*'ANALYSE - ERP =&gt; SOUS-SEGMENT'!$GL$8:$GL$1000))</f>
        <v>177153.76627164771</v>
      </c>
      <c r="GM23" s="311">
        <f>IF($C23="","",SUMPRODUCT(('ANALYSE - ERP =&gt; SOUS-SEGMENT'!$C$8:$C$1000=$C23)*'ANALYSE - ERP =&gt; SOUS-SEGMENT'!$Q$8:$Q$1000*'ANALYSE - ERP =&gt; SOUS-SEGMENT'!$GM$8:$GM$1000))</f>
        <v>43304.09070500001</v>
      </c>
      <c r="GN23" s="311">
        <f t="shared" si="42"/>
        <v>69680.063981250001</v>
      </c>
      <c r="GO23" s="311">
        <f>IF($C23="","",SUMPRODUCT(('ANALYSE - ERP =&gt; SOUS-SEGMENT'!$C$8:$C$1000=$C23)*'ANALYSE - ERP =&gt; SOUS-SEGMENT'!$Q$8:$Q$1000*'ANALYSE - ERP =&gt; SOUS-SEGMENT'!$GO$8:$GO$1000))</f>
        <v>56141.655960000004</v>
      </c>
      <c r="GP23" s="311">
        <f>IF($C23="","",SUMPRODUCT(('ANALYSE - ERP =&gt; SOUS-SEGMENT'!$C$8:$C$1000=$C23)*'ANALYSE - ERP =&gt; SOUS-SEGMENT'!$Q$8:$Q$1000*'ANALYSE - ERP =&gt; SOUS-SEGMENT'!$GP$8:$GP$1000))</f>
        <v>13538.408021250001</v>
      </c>
      <c r="GQ23" s="311">
        <f t="shared" si="43"/>
        <v>21493.115171083336</v>
      </c>
      <c r="GR23" s="311">
        <f>IF($C23="","",SUMPRODUCT(('ANALYSE - ERP =&gt; SOUS-SEGMENT'!$C$8:$C$1000=$C23)*'ANALYSE - ERP =&gt; SOUS-SEGMENT'!$Q$8:$Q$1000*'ANALYSE - ERP =&gt; SOUS-SEGMENT'!$GR$8:$GR$1000))</f>
        <v>18525.864482333334</v>
      </c>
      <c r="GS23" s="311">
        <f>IF($C23="","",SUMPRODUCT(('ANALYSE - ERP =&gt; SOUS-SEGMENT'!$C$8:$C$1000=$C23)*'ANALYSE - ERP =&gt; SOUS-SEGMENT'!$Q$8:$Q$1000*'ANALYSE - ERP =&gt; SOUS-SEGMENT'!$GS$8:$GS$1000))</f>
        <v>2967.2506887500003</v>
      </c>
      <c r="GT23" s="311">
        <f t="shared" si="44"/>
        <v>0</v>
      </c>
      <c r="GU23" s="311">
        <f>IF($C23="","",SUMPRODUCT(('ANALYSE - ERP =&gt; SOUS-SEGMENT'!$C$8:$C$1000=$C23)*'ANALYSE - ERP =&gt; SOUS-SEGMENT'!$Q$8:$Q$1000*'ANALYSE - ERP =&gt; SOUS-SEGMENT'!$GU$8:$GU$1000))</f>
        <v>0</v>
      </c>
      <c r="GV23" s="311">
        <f>IF($C23="","",SUMPRODUCT(('ANALYSE - ERP =&gt; SOUS-SEGMENT'!$C$8:$C$1000=$C23)*'ANALYSE - ERP =&gt; SOUS-SEGMENT'!$Q$8:$Q$1000*'ANALYSE - ERP =&gt; SOUS-SEGMENT'!$GV$8:$GV$1000))</f>
        <v>0</v>
      </c>
      <c r="GW23" s="311">
        <f t="shared" si="45"/>
        <v>0</v>
      </c>
      <c r="GX23" s="311">
        <f>IF($C23="","",SUMPRODUCT(('ANALYSE - ERP =&gt; SOUS-SEGMENT'!$C$8:$C$1000=$C23)*'ANALYSE - ERP =&gt; SOUS-SEGMENT'!$Q$8:$Q$1000*'ANALYSE - ERP =&gt; SOUS-SEGMENT'!$GX$8:$GX$1000))</f>
        <v>0</v>
      </c>
      <c r="GY23" s="311">
        <f>IF($C23="","",SUMPRODUCT(('ANALYSE - ERP =&gt; SOUS-SEGMENT'!$C$8:$C$1000=$C23)*'ANALYSE - ERP =&gt; SOUS-SEGMENT'!$Q$8:$Q$1000*'ANALYSE - ERP =&gt; SOUS-SEGMENT'!$GY$8:$GY$1000))</f>
        <v>0</v>
      </c>
      <c r="GZ23" s="311">
        <f t="shared" si="46"/>
        <v>0</v>
      </c>
      <c r="HA23" s="311">
        <f>IF($C23="","",SUMPRODUCT(('ANALYSE - ERP =&gt; SOUS-SEGMENT'!$C$8:$C$1000=$C23)*'ANALYSE - ERP =&gt; SOUS-SEGMENT'!$Q$8:$Q$1000*'ANALYSE - ERP =&gt; SOUS-SEGMENT'!$HA$8:$HA$1000))</f>
        <v>0</v>
      </c>
      <c r="HB23" s="311">
        <f>IF($C23="","",SUMPRODUCT(('ANALYSE - ERP =&gt; SOUS-SEGMENT'!$C$8:$C$1000=$C23)*'ANALYSE - ERP =&gt; SOUS-SEGMENT'!$Q$8:$Q$1000*'ANALYSE - ERP =&gt; SOUS-SEGMENT'!$HB$8:$HB$1000))</f>
        <v>0</v>
      </c>
      <c r="HC23" s="311">
        <f t="shared" si="47"/>
        <v>5120.7494316666671</v>
      </c>
      <c r="HD23" s="311">
        <f>IF($C23="","",SUMPRODUCT(('ANALYSE - ERP =&gt; SOUS-SEGMENT'!$C$8:$C$1000=$C23)*'ANALYSE - ERP =&gt; SOUS-SEGMENT'!$Q$8:$Q$1000*'ANALYSE - ERP =&gt; SOUS-SEGMENT'!$HD$8:$HD$1000))</f>
        <v>4512.3020735666669</v>
      </c>
      <c r="HE23" s="311">
        <f>IF($C23="","",SUMPRODUCT(('ANALYSE - ERP =&gt; SOUS-SEGMENT'!$C$8:$C$1000=$C23)*'ANALYSE - ERP =&gt; SOUS-SEGMENT'!$Q$8:$Q$1000*'ANALYSE - ERP =&gt; SOUS-SEGMENT'!$HE$8:$HE$1000))</f>
        <v>608.4473581000002</v>
      </c>
      <c r="HF23" s="311">
        <f t="shared" si="48"/>
        <v>28490.049803954549</v>
      </c>
      <c r="HG23" s="311">
        <f>IF($C23="","",SUMPRODUCT(('ANALYSE - ERP =&gt; SOUS-SEGMENT'!$C$8:$C$1000=$C23)*'ANALYSE - ERP =&gt; SOUS-SEGMENT'!$Q$8:$Q$1000*'ANALYSE - ERP =&gt; SOUS-SEGMENT'!$HG$8:$HG$1000))</f>
        <v>23305.477293954547</v>
      </c>
      <c r="HH23" s="311">
        <f>IF($C23="","",SUMPRODUCT(('ANALYSE - ERP =&gt; SOUS-SEGMENT'!$C$8:$C$1000=$C23)*'ANALYSE - ERP =&gt; SOUS-SEGMENT'!$Q$8:$Q$1000*'ANALYSE - ERP =&gt; SOUS-SEGMENT'!$HH$8:$HH$1000))</f>
        <v>5184.5725100000018</v>
      </c>
      <c r="HI23" s="311">
        <f t="shared" si="49"/>
        <v>13365.768834667859</v>
      </c>
      <c r="HJ23" s="311">
        <f>IF($C23="","",SUMPRODUCT(('ANALYSE - ERP =&gt; SOUS-SEGMENT'!$C$8:$C$1000=$C23)*'ANALYSE - ERP =&gt; SOUS-SEGMENT'!$Q$8:$Q$1000*'ANALYSE - ERP =&gt; SOUS-SEGMENT'!$HJ$8:$HJ$1000))</f>
        <v>10769.652028267858</v>
      </c>
      <c r="HK23" s="311">
        <f>IF($C23="","",SUMPRODUCT(('ANALYSE - ERP =&gt; SOUS-SEGMENT'!$C$8:$C$1000=$C23)*'ANALYSE - ERP =&gt; SOUS-SEGMENT'!$Q$8:$Q$1000*'ANALYSE - ERP =&gt; SOUS-SEGMENT'!$HK$8:$HK$1000))</f>
        <v>2596.1168064000012</v>
      </c>
      <c r="HL23" s="311">
        <f t="shared" si="50"/>
        <v>15523.531714655557</v>
      </c>
      <c r="HM23" s="311">
        <f>IF($C23="","",SUMPRODUCT(('ANALYSE - ERP =&gt; SOUS-SEGMENT'!$C$8:$C$1000=$C23)*'ANALYSE - ERP =&gt; SOUS-SEGMENT'!$Q$8:$Q$1000*'ANALYSE - ERP =&gt; SOUS-SEGMENT'!$HM$8:$HM$1000))</f>
        <v>13291.134659155558</v>
      </c>
      <c r="HN23" s="311">
        <f>IF($C23="","",SUMPRODUCT(('ANALYSE - ERP =&gt; SOUS-SEGMENT'!$C$8:$C$1000=$C23)*'ANALYSE - ERP =&gt; SOUS-SEGMENT'!$Q$8:$Q$1000*'ANALYSE - ERP =&gt; SOUS-SEGMENT'!$HN$8:$HN$1000))</f>
        <v>2232.3970555000005</v>
      </c>
      <c r="HO23" s="311">
        <f t="shared" si="51"/>
        <v>135955.535859</v>
      </c>
      <c r="HP23" s="311">
        <f>IF($C23="","",SUMPRODUCT(('ANALYSE - ERP =&gt; SOUS-SEGMENT'!$C$8:$C$1000=$C23)*'ANALYSE - ERP =&gt; SOUS-SEGMENT'!$Q$8:$Q$1000*'ANALYSE - ERP =&gt; SOUS-SEGMENT'!$HP$8:$HP$1000))</f>
        <v>115102.631637</v>
      </c>
      <c r="HQ23" s="311">
        <f>IF($C23="","",SUMPRODUCT(('ANALYSE - ERP =&gt; SOUS-SEGMENT'!$C$8:$C$1000=$C23)*'ANALYSE - ERP =&gt; SOUS-SEGMENT'!$Q$8:$Q$1000*'ANALYSE - ERP =&gt; SOUS-SEGMENT'!$HQ$8:$HQ$1000))</f>
        <v>20852.904222000001</v>
      </c>
      <c r="HR23" s="311">
        <f t="shared" si="52"/>
        <v>87737.512794590904</v>
      </c>
      <c r="HS23" s="311">
        <f>IF($C23="","",SUMPRODUCT(('ANALYSE - ERP =&gt; SOUS-SEGMENT'!$C$8:$C$1000=$C23)*'ANALYSE - ERP =&gt; SOUS-SEGMENT'!$Q$8:$Q$1000*'ANALYSE - ERP =&gt; SOUS-SEGMENT'!$HS$8:$HS$1000))</f>
        <v>67822.178466590907</v>
      </c>
      <c r="HT23" s="311">
        <f>IF($C23="","",SUMPRODUCT(('ANALYSE - ERP =&gt; SOUS-SEGMENT'!$C$8:$C$1000=$C23)*'ANALYSE - ERP =&gt; SOUS-SEGMENT'!$Q$8:$Q$1000*'ANALYSE - ERP =&gt; SOUS-SEGMENT'!$HT$8:$HT$1000))</f>
        <v>19915.334328000001</v>
      </c>
      <c r="HU23" s="311">
        <f t="shared" si="53"/>
        <v>49061.281621916656</v>
      </c>
      <c r="HV23" s="311">
        <f>IF($C23="","",SUMPRODUCT(('ANALYSE - ERP =&gt; SOUS-SEGMENT'!$C$8:$C$1000=$C23)*'ANALYSE - ERP =&gt; SOUS-SEGMENT'!$Q$8:$Q$1000*'ANALYSE - ERP =&gt; SOUS-SEGMENT'!$HV$8:$HV$1000))</f>
        <v>38660.72457191666</v>
      </c>
      <c r="HW23" s="311">
        <f>IF($C23="","",SUMPRODUCT(('ANALYSE - ERP =&gt; SOUS-SEGMENT'!$C$8:$C$1000=$C23)*'ANALYSE - ERP =&gt; SOUS-SEGMENT'!$Q$8:$Q$1000*'ANALYSE - ERP =&gt; SOUS-SEGMENT'!$HW$8:$HW$1000))</f>
        <v>10400.557049999999</v>
      </c>
      <c r="HY23" s="313">
        <f t="shared" si="54"/>
        <v>1607340.5000000002</v>
      </c>
      <c r="HZ23" s="313">
        <f>IF($C23="","",SUMPRODUCT(('ANALYSE - ERP =&gt; SOUS-SEGMENT'!$C$8:$C$1000=$C23)*'ANALYSE - ERP =&gt; SOUS-SEGMENT'!$Q$8:$Q$1000*'ANALYSE - ERP =&gt; SOUS-SEGMENT'!$HZ$8:$HZ$1000))</f>
        <v>38986.151099999995</v>
      </c>
      <c r="IA23" s="313">
        <f>IF($C23="","",SUMPRODUCT(('ANALYSE - ERP =&gt; SOUS-SEGMENT'!$C$8:$C$1000=$C23)*'ANALYSE - ERP =&gt; SOUS-SEGMENT'!$Q$8:$Q$1000*'ANALYSE - ERP =&gt; SOUS-SEGMENT'!$IA$8:$IA$1000))</f>
        <v>578997.12320000003</v>
      </c>
      <c r="IB23" s="313">
        <f>IF($C23="","",SUMPRODUCT(('ANALYSE - ERP =&gt; SOUS-SEGMENT'!$C$8:$C$1000=$C23)*'ANALYSE - ERP =&gt; SOUS-SEGMENT'!$Q$8:$Q$1000*'ANALYSE - ERP =&gt; SOUS-SEGMENT'!$IB$8:$IB$1000))</f>
        <v>726478.47370000009</v>
      </c>
      <c r="IC23" s="313">
        <f>IF($C23="","",SUMPRODUCT(('ANALYSE - ERP =&gt; SOUS-SEGMENT'!$C$8:$C$1000=$C23)*'ANALYSE - ERP =&gt; SOUS-SEGMENT'!$Q$8:$Q$1000*'ANALYSE - ERP =&gt; SOUS-SEGMENT'!$IC$8:$IC$1000))</f>
        <v>221196.7598</v>
      </c>
      <c r="ID23" s="313">
        <f>IF($C23="","",SUMPRODUCT(('ANALYSE - ERP =&gt; SOUS-SEGMENT'!$C$8:$C$1000=$C23)*'ANALYSE - ERP =&gt; SOUS-SEGMENT'!$Q$8:$Q$1000*'ANALYSE - ERP =&gt; SOUS-SEGMENT'!$ID$8:$ID$1000))</f>
        <v>41681.992200000001</v>
      </c>
      <c r="IE23" s="313">
        <f t="shared" si="55"/>
        <v>625715.40212390828</v>
      </c>
      <c r="IF23" s="313">
        <f>IF($C23="","",SUMPRODUCT(('ANALYSE - ERP =&gt; SOUS-SEGMENT'!$C$8:$C$1000=$C23)*'ANALYSE - ERP =&gt; SOUS-SEGMENT'!$Q$8:$Q$1000*'ANALYSE - ERP =&gt; SOUS-SEGMENT'!$IF$8:$IF$1000))</f>
        <v>1397.3173080139309</v>
      </c>
      <c r="IG23" s="313">
        <f>IF($C23="","",SUMPRODUCT(('ANALYSE - ERP =&gt; SOUS-SEGMENT'!$C$8:$C$1000=$C23)*'ANALYSE - ERP =&gt; SOUS-SEGMENT'!$Q$8:$Q$1000*'ANALYSE - ERP =&gt; SOUS-SEGMENT'!$IG$8:$IG$1000))</f>
        <v>172719.85326666292</v>
      </c>
      <c r="IH23" s="313">
        <f>IF($C23="","",SUMPRODUCT(('ANALYSE - ERP =&gt; SOUS-SEGMENT'!$C$8:$C$1000=$C23)*'ANALYSE - ERP =&gt; SOUS-SEGMENT'!$Q$8:$Q$1000*'ANALYSE - ERP =&gt; SOUS-SEGMENT'!$IH$8:$IH$1000))</f>
        <v>318410.02661151288</v>
      </c>
      <c r="II23" s="313">
        <f>IF($C23="","",SUMPRODUCT(('ANALYSE - ERP =&gt; SOUS-SEGMENT'!$C$8:$C$1000=$C23)*'ANALYSE - ERP =&gt; SOUS-SEGMENT'!$Q$8:$Q$1000*'ANALYSE - ERP =&gt; SOUS-SEGMENT'!$II$8:$II$1000))</f>
        <v>112668.52219923971</v>
      </c>
      <c r="IJ23" s="313">
        <f>IF($C23="","",SUMPRODUCT(('ANALYSE - ERP =&gt; SOUS-SEGMENT'!$C$8:$C$1000=$C23)*'ANALYSE - ERP =&gt; SOUS-SEGMENT'!$Q$8:$Q$1000*'ANALYSE - ERP =&gt; SOUS-SEGMENT'!$IJ$8:$IJ$1000))</f>
        <v>20519.682738478878</v>
      </c>
      <c r="IK23" s="866">
        <f>IF($C23="","",IFERROR(SUMPRODUCT(('ANALYSE - ERP =&gt; SOUS-SEGMENT'!$C$8:$C$1000=$C23)*'ANALYSE - ERP =&gt; SOUS-SEGMENT'!$Q$8:$Q$1000*'ANALYSE - ERP =&gt; SOUS-SEGMENT'!$IE$8:$IE$1000*'ANALYSE - ERP =&gt; SOUS-SEGMENT'!$IK$8:$IK$1000)/SUMPRODUCT(('ANALYSE - ERP =&gt; SOUS-SEGMENT'!$C$8:$C$1000=$C23)*'ANALYSE - ERP =&gt; SOUS-SEGMENT'!$Q$8:$Q$1000*'ANALYSE - ERP =&gt; SOUS-SEGMENT'!$IE$8:$IE$1000),""))</f>
        <v>3.9315174985134629</v>
      </c>
      <c r="IL23" s="920" t="s">
        <v>5788</v>
      </c>
      <c r="IM23" s="964" t="s">
        <v>5789</v>
      </c>
      <c r="IN23" s="657"/>
      <c r="IO23" s="730">
        <f>IF($C23="","",IFERROR(SUMPRODUCT(('ANALYSE - ERP =&gt; SOUS-SEGMENT'!$C$8:$C$1000=$C23)*'ANALYSE - ERP =&gt; SOUS-SEGMENT'!$Q$8:$Q$1000*'ANALYSE - ERP =&gt; SOUS-SEGMENT'!$BE$8:$BE$1000*'ANALYSE - ERP =&gt; SOUS-SEGMENT'!$IO$8:$IO$1000)/SUMPRODUCT(('ANALYSE - ERP =&gt; SOUS-SEGMENT'!$C$8:$C$1000=$C23)*'ANALYSE - ERP =&gt; SOUS-SEGMENT'!$Q$8:$Q$1000*'ANALYSE - ERP =&gt; SOUS-SEGMENT'!$BE$8:$BE$1000),""))</f>
        <v>1.8032896095137158E-2</v>
      </c>
      <c r="IP23" s="730">
        <f>IF($C23="","",IFERROR(SUMPRODUCT(('ANALYSE - ERP =&gt; SOUS-SEGMENT'!$C$8:$C$1000=$C23)*'ANALYSE - ERP =&gt; SOUS-SEGMENT'!$Q$8:$Q$1000*'ANALYSE - ERP =&gt; SOUS-SEGMENT'!$BE$8:$BE$1000*'ANALYSE - ERP =&gt; SOUS-SEGMENT'!$IP$8:$IP$1000)/SUMPRODUCT(('ANALYSE - ERP =&gt; SOUS-SEGMENT'!$C$8:$C$1000=$C23)*'ANALYSE - ERP =&gt; SOUS-SEGMENT'!$Q$8:$Q$1000*'ANALYSE - ERP =&gt; SOUS-SEGMENT'!$BE$8:$BE$1000),""))</f>
        <v>0.33683694548057203</v>
      </c>
      <c r="IQ23" s="730">
        <f>IF($C23="","",IFERROR(SUMPRODUCT(('ANALYSE - ERP =&gt; SOUS-SEGMENT'!$C$8:$C$1000=$C23)*'ANALYSE - ERP =&gt; SOUS-SEGMENT'!$Q$8:$Q$1000*'ANALYSE - ERP =&gt; SOUS-SEGMENT'!$BE$8:$BE$1000*'ANALYSE - ERP =&gt; SOUS-SEGMENT'!$IQ$8:$IQ$1000)/SUMPRODUCT(('ANALYSE - ERP =&gt; SOUS-SEGMENT'!$C$8:$C$1000=$C23)*'ANALYSE - ERP =&gt; SOUS-SEGMENT'!$Q$8:$Q$1000*'ANALYSE - ERP =&gt; SOUS-SEGMENT'!$BE$8:$BE$1000),""))</f>
        <v>0.46618223335581466</v>
      </c>
      <c r="IR23" s="730">
        <f>IF($C23="","",IFERROR(SUMPRODUCT(('ANALYSE - ERP =&gt; SOUS-SEGMENT'!$C$8:$C$1000=$C23)*'ANALYSE - ERP =&gt; SOUS-SEGMENT'!$Q$8:$Q$1000*'ANALYSE - ERP =&gt; SOUS-SEGMENT'!$BE$8:$BE$1000*'ANALYSE - ERP =&gt; SOUS-SEGMENT'!$IR$8:$IR$1000)/SUMPRODUCT(('ANALYSE - ERP =&gt; SOUS-SEGMENT'!$C$8:$C$1000=$C23)*'ANALYSE - ERP =&gt; SOUS-SEGMENT'!$Q$8:$Q$1000*'ANALYSE - ERP =&gt; SOUS-SEGMENT'!$BE$8:$BE$1000),""))</f>
        <v>0.15106085639959807</v>
      </c>
      <c r="IS23" s="730">
        <f>IF($C23="","",IFERROR(SUMPRODUCT(('ANALYSE - ERP =&gt; SOUS-SEGMENT'!$C$8:$C$1000=$C23)*'ANALYSE - ERP =&gt; SOUS-SEGMENT'!$Q$8:$Q$1000*'ANALYSE - ERP =&gt; SOUS-SEGMENT'!$BE$8:$BE$1000*'ANALYSE - ERP =&gt; SOUS-SEGMENT'!$IS$8:$IS$1000)/SUMPRODUCT(('ANALYSE - ERP =&gt; SOUS-SEGMENT'!$C$8:$C$1000=$C23)*'ANALYSE - ERP =&gt; SOUS-SEGMENT'!$Q$8:$Q$1000*'ANALYSE - ERP =&gt; SOUS-SEGMENT'!$BE$8:$BE$1000),""))</f>
        <v>2.7887068668878093E-2</v>
      </c>
      <c r="IT23" s="730">
        <f>IF($C23="","",IFERROR(SUMPRODUCT(('ANALYSE - ERP =&gt; SOUS-SEGMENT'!$C$8:$C$1000=$C23)*'ANALYSE - ERP =&gt; SOUS-SEGMENT'!$Q$8:$Q$1000*'ANALYSE - ERP =&gt; SOUS-SEGMENT'!$FB$8:$FB$1000*'ANALYSE - ERP =&gt; SOUS-SEGMENT'!$IT$8:$IT$1000)/SUMPRODUCT(('ANALYSE - ERP =&gt; SOUS-SEGMENT'!$C$8:$C$1000=$C23)*'ANALYSE - ERP =&gt; SOUS-SEGMENT'!$Q$8:$Q$1000*'ANALYSE - ERP =&gt; SOUS-SEGMENT'!$FB$8:$FB$1000),""))</f>
        <v>0</v>
      </c>
      <c r="IU23" s="730">
        <f>IF($C23="","",IFERROR(SUMPRODUCT(('ANALYSE - ERP =&gt; SOUS-SEGMENT'!$C$8:$C$1000=$C23)*'ANALYSE - ERP =&gt; SOUS-SEGMENT'!$Q$8:$Q$1000*'ANALYSE - ERP =&gt; SOUS-SEGMENT'!$FB$8:$FB$1000*'ANALYSE - ERP =&gt; SOUS-SEGMENT'!$IU$8:$IU$1000)/SUMPRODUCT(('ANALYSE - ERP =&gt; SOUS-SEGMENT'!$C$8:$C$1000=$C23)*'ANALYSE - ERP =&gt; SOUS-SEGMENT'!$Q$8:$Q$1000*'ANALYSE - ERP =&gt; SOUS-SEGMENT'!$FB$8:$FB$1000),""))</f>
        <v>0.25046490536911953</v>
      </c>
      <c r="IV23" s="730">
        <f>IF($C23="","",IFERROR(SUMPRODUCT(('ANALYSE - ERP =&gt; SOUS-SEGMENT'!$C$8:$C$1000=$C23)*'ANALYSE - ERP =&gt; SOUS-SEGMENT'!$Q$8:$Q$1000*'ANALYSE - ERP =&gt; SOUS-SEGMENT'!$FB$8:$FB$1000*'ANALYSE - ERP =&gt; SOUS-SEGMENT'!$IV$8:$IV$1000)/SUMPRODUCT(('ANALYSE - ERP =&gt; SOUS-SEGMENT'!$C$8:$C$1000=$C23)*'ANALYSE - ERP =&gt; SOUS-SEGMENT'!$Q$8:$Q$1000*'ANALYSE - ERP =&gt; SOUS-SEGMENT'!$FB$8:$FB$1000),""))</f>
        <v>0.5161741957674485</v>
      </c>
      <c r="IW23" s="730">
        <f>IF($C23="","",IFERROR(SUMPRODUCT(('ANALYSE - ERP =&gt; SOUS-SEGMENT'!$C$8:$C$1000=$C23)*'ANALYSE - ERP =&gt; SOUS-SEGMENT'!$Q$8:$Q$1000*'ANALYSE - ERP =&gt; SOUS-SEGMENT'!$FB$8:$FB$1000*'ANALYSE - ERP =&gt; SOUS-SEGMENT'!$IW$8:$IW$1000)/SUMPRODUCT(('ANALYSE - ERP =&gt; SOUS-SEGMENT'!$C$8:$C$1000=$C23)*'ANALYSE - ERP =&gt; SOUS-SEGMENT'!$Q$8:$Q$1000*'ANALYSE - ERP =&gt; SOUS-SEGMENT'!$FB$8:$FB$1000),""))</f>
        <v>0.19787403394581116</v>
      </c>
      <c r="IX23" s="730">
        <f>IF($C23="","",IFERROR(SUMPRODUCT(('ANALYSE - ERP =&gt; SOUS-SEGMENT'!$C$8:$C$1000=$C23)*'ANALYSE - ERP =&gt; SOUS-SEGMENT'!$Q$8:$Q$1000*'ANALYSE - ERP =&gt; SOUS-SEGMENT'!$FB$8:$FB$1000*'ANALYSE - ERP =&gt; SOUS-SEGMENT'!$IX$8:$IX$1000)/SUMPRODUCT(('ANALYSE - ERP =&gt; SOUS-SEGMENT'!$C$8:$C$1000=$C23)*'ANALYSE - ERP =&gt; SOUS-SEGMENT'!$Q$8:$Q$1000*'ANALYSE - ERP =&gt; SOUS-SEGMENT'!$FB$8:$FB$1000),""))</f>
        <v>3.548686491762082E-2</v>
      </c>
      <c r="IY23" s="730" t="str">
        <f>IF($C23="","",IFERROR(SUMPRODUCT(('ANALYSE - ERP =&gt; SOUS-SEGMENT'!$C$8:$C$1000=$C23)*'ANALYSE - ERP =&gt; SOUS-SEGMENT'!$Q$8:$Q$1000*'ANALYSE - ERP =&gt; SOUS-SEGMENT'!$BF$8:$BF$1000*'ANALYSE - ERP =&gt; SOUS-SEGMENT'!$IY$8:$IY$1000)/SUMPRODUCT(('ANALYSE - ERP =&gt; SOUS-SEGMENT'!$C$8:$C$1000=$C23)*'ANALYSE - ERP =&gt; SOUS-SEGMENT'!$Q$8:$Q$1000*'ANALYSE - ERP =&gt; SOUS-SEGMENT'!$BF$8:$BF$1000),""))</f>
        <v/>
      </c>
      <c r="IZ23" s="730" t="str">
        <f>IF($C23="","",IFERROR(SUMPRODUCT(('ANALYSE - ERP =&gt; SOUS-SEGMENT'!$C$8:$C$1000=$C23)*'ANALYSE - ERP =&gt; SOUS-SEGMENT'!$Q$8:$Q$1000*'ANALYSE - ERP =&gt; SOUS-SEGMENT'!$BF$8:$BF$1000*'ANALYSE - ERP =&gt; SOUS-SEGMENT'!$IZ$8:$IZ$1000)/SUMPRODUCT(('ANALYSE - ERP =&gt; SOUS-SEGMENT'!$C$8:$C$1000=$C23)*'ANALYSE - ERP =&gt; SOUS-SEGMENT'!$Q$8:$Q$1000*'ANALYSE - ERP =&gt; SOUS-SEGMENT'!$BF$8:$BF$1000),""))</f>
        <v/>
      </c>
      <c r="JA23" s="730" t="str">
        <f>IF($C23="","",IFERROR(SUMPRODUCT(('ANALYSE - ERP =&gt; SOUS-SEGMENT'!$C$8:$C$1000=$C23)*'ANALYSE - ERP =&gt; SOUS-SEGMENT'!$Q$8:$Q$1000*'ANALYSE - ERP =&gt; SOUS-SEGMENT'!$BF$8:$BF$1000*'ANALYSE - ERP =&gt; SOUS-SEGMENT'!$JA$8:$JA$1000)/SUMPRODUCT(('ANALYSE - ERP =&gt; SOUS-SEGMENT'!$C$8:$C$1000=$C23)*'ANALYSE - ERP =&gt; SOUS-SEGMENT'!$Q$8:$Q$1000*'ANALYSE - ERP =&gt; SOUS-SEGMENT'!$BF$8:$BF$1000),""))</f>
        <v/>
      </c>
      <c r="JB23" s="730" t="str">
        <f>IF($C23="","",IFERROR(SUMPRODUCT(('ANALYSE - ERP =&gt; SOUS-SEGMENT'!$C$8:$C$1000=$C23)*'ANALYSE - ERP =&gt; SOUS-SEGMENT'!$Q$8:$Q$1000*'ANALYSE - ERP =&gt; SOUS-SEGMENT'!$BF$8:$BF$1000*'ANALYSE - ERP =&gt; SOUS-SEGMENT'!$JB$8:$JB$1000)/SUMPRODUCT(('ANALYSE - ERP =&gt; SOUS-SEGMENT'!$C$8:$C$1000=$C23)*'ANALYSE - ERP =&gt; SOUS-SEGMENT'!$Q$8:$Q$1000*'ANALYSE - ERP =&gt; SOUS-SEGMENT'!$BF$8:$BF$1000),""))</f>
        <v/>
      </c>
      <c r="JC23" s="730" t="str">
        <f>IF($C23="","",IFERROR(SUMPRODUCT(('ANALYSE - ERP =&gt; SOUS-SEGMENT'!$C$8:$C$1000=$C23)*'ANALYSE - ERP =&gt; SOUS-SEGMENT'!$Q$8:$Q$1000*'ANALYSE - ERP =&gt; SOUS-SEGMENT'!$BF$8:$BF$1000*'ANALYSE - ERP =&gt; SOUS-SEGMENT'!$JC$8:$JC$1000)/SUMPRODUCT(('ANALYSE - ERP =&gt; SOUS-SEGMENT'!$C$8:$C$1000=$C23)*'ANALYSE - ERP =&gt; SOUS-SEGMENT'!$Q$8:$Q$1000*'ANALYSE - ERP =&gt; SOUS-SEGMENT'!$BF$8:$BF$1000),""))</f>
        <v/>
      </c>
      <c r="JD23" s="730" t="str">
        <f>IF($C23="","",IFERROR(SUMPRODUCT(('ANALYSE - ERP =&gt; SOUS-SEGMENT'!$C$8:$C$1000=$C23)*'ANALYSE - ERP =&gt; SOUS-SEGMENT'!$Q$8:$Q$1000*'ANALYSE - ERP =&gt; SOUS-SEGMENT'!$FE$8:$FE$1000*'ANALYSE - ERP =&gt; SOUS-SEGMENT'!$JD$8:$JD$1000)/SUMPRODUCT(('ANALYSE - ERP =&gt; SOUS-SEGMENT'!$C$8:$C$1000=$C23)*'ANALYSE - ERP =&gt; SOUS-SEGMENT'!$Q$8:$Q$1000*'ANALYSE - ERP =&gt; SOUS-SEGMENT'!$FE$8:$FE$1000),""))</f>
        <v/>
      </c>
      <c r="JE23" s="730" t="str">
        <f>IF($C23="","",IFERROR(SUMPRODUCT(('ANALYSE - ERP =&gt; SOUS-SEGMENT'!$C$8:$C$1000=$C23)*'ANALYSE - ERP =&gt; SOUS-SEGMENT'!$Q$8:$Q$1000*'ANALYSE - ERP =&gt; SOUS-SEGMENT'!$FE$8:$FE$1000*'ANALYSE - ERP =&gt; SOUS-SEGMENT'!$JE$8:$JE$1000)/SUMPRODUCT(('ANALYSE - ERP =&gt; SOUS-SEGMENT'!$C$8:$C$1000=$C23)*'ANALYSE - ERP =&gt; SOUS-SEGMENT'!$Q$8:$Q$1000*'ANALYSE - ERP =&gt; SOUS-SEGMENT'!$FE$8:$FE$1000),""))</f>
        <v/>
      </c>
      <c r="JF23" s="730" t="str">
        <f>IF($C23="","",IFERROR(SUMPRODUCT(('ANALYSE - ERP =&gt; SOUS-SEGMENT'!$C$8:$C$1000=$C23)*'ANALYSE - ERP =&gt; SOUS-SEGMENT'!$Q$8:$Q$1000*'ANALYSE - ERP =&gt; SOUS-SEGMENT'!$FE$8:$FE$1000*'ANALYSE - ERP =&gt; SOUS-SEGMENT'!$JF$8:$JF$1000)/SUMPRODUCT(('ANALYSE - ERP =&gt; SOUS-SEGMENT'!$C$8:$C$1000=$C23)*'ANALYSE - ERP =&gt; SOUS-SEGMENT'!$Q$8:$Q$1000*'ANALYSE - ERP =&gt; SOUS-SEGMENT'!$FE$8:$FE$1000),""))</f>
        <v/>
      </c>
      <c r="JG23" s="730" t="str">
        <f>IF($C23="","",IFERROR(SUMPRODUCT(('ANALYSE - ERP =&gt; SOUS-SEGMENT'!$C$8:$C$1000=$C23)*'ANALYSE - ERP =&gt; SOUS-SEGMENT'!$Q$8:$Q$1000*'ANALYSE - ERP =&gt; SOUS-SEGMENT'!$FE$8:$FE$1000*'ANALYSE - ERP =&gt; SOUS-SEGMENT'!$JG$8:$JG$1000)/SUMPRODUCT(('ANALYSE - ERP =&gt; SOUS-SEGMENT'!$C$8:$C$1000=$C23)*'ANALYSE - ERP =&gt; SOUS-SEGMENT'!$Q$8:$Q$1000*'ANALYSE - ERP =&gt; SOUS-SEGMENT'!$FE$8:$FE$1000),""))</f>
        <v/>
      </c>
      <c r="JH23" s="730" t="str">
        <f>IF($C23="","",IFERROR(SUMPRODUCT(('ANALYSE - ERP =&gt; SOUS-SEGMENT'!$C$8:$C$1000=$C23)*'ANALYSE - ERP =&gt; SOUS-SEGMENT'!$Q$8:$Q$1000*'ANALYSE - ERP =&gt; SOUS-SEGMENT'!$FE$8:$FE$1000*'ANALYSE - ERP =&gt; SOUS-SEGMENT'!$JH$8:$JH$1000)/SUMPRODUCT(('ANALYSE - ERP =&gt; SOUS-SEGMENT'!$C$8:$C$1000=$C23)*'ANALYSE - ERP =&gt; SOUS-SEGMENT'!$Q$8:$Q$1000*'ANALYSE - ERP =&gt; SOUS-SEGMENT'!$FE$8:$FE$1000),""))</f>
        <v/>
      </c>
      <c r="JI23" s="730">
        <f>IF($C23="","",IFERROR(SUMPRODUCT(('ANALYSE - ERP =&gt; SOUS-SEGMENT'!$C$8:$C$1000=$C23)*'ANALYSE - ERP =&gt; SOUS-SEGMENT'!$Q$8:$Q$1000*'ANALYSE - ERP =&gt; SOUS-SEGMENT'!$BG$8:$BG$1000*'ANALYSE - ERP =&gt; SOUS-SEGMENT'!$JI$8:$JI$1000)/SUMPRODUCT(('ANALYSE - ERP =&gt; SOUS-SEGMENT'!$C$8:$C$1000=$C23)*'ANALYSE - ERP =&gt; SOUS-SEGMENT'!$Q$8:$Q$1000*'ANALYSE - ERP =&gt; SOUS-SEGMENT'!$BG$8:$BG$1000),""))</f>
        <v>5.6492773562333051E-2</v>
      </c>
      <c r="JJ23" s="730">
        <f>IF($C23="","",IFERROR(SUMPRODUCT(('ANALYSE - ERP =&gt; SOUS-SEGMENT'!$C$8:$C$1000=$C23)*'ANALYSE - ERP =&gt; SOUS-SEGMENT'!$Q$8:$Q$1000*'ANALYSE - ERP =&gt; SOUS-SEGMENT'!$BG$8:$BG$1000*'ANALYSE - ERP =&gt; SOUS-SEGMENT'!$JJ$8:$JJ$1000)/SUMPRODUCT(('ANALYSE - ERP =&gt; SOUS-SEGMENT'!$C$8:$C$1000=$C23)*'ANALYSE - ERP =&gt; SOUS-SEGMENT'!$Q$8:$Q$1000*'ANALYSE - ERP =&gt; SOUS-SEGMENT'!$BG$8:$BG$1000),""))</f>
        <v>0.46372161703731624</v>
      </c>
      <c r="JK23" s="730">
        <f>IF($C23="","",IFERROR(SUMPRODUCT(('ANALYSE - ERP =&gt; SOUS-SEGMENT'!$C$8:$C$1000=$C23)*'ANALYSE - ERP =&gt; SOUS-SEGMENT'!$Q$8:$Q$1000*'ANALYSE - ERP =&gt; SOUS-SEGMENT'!$BG$8:$BG$1000*'ANALYSE - ERP =&gt; SOUS-SEGMENT'!$JK$8:$JK$1000)/SUMPRODUCT(('ANALYSE - ERP =&gt; SOUS-SEGMENT'!$C$8:$C$1000=$C23)*'ANALYSE - ERP =&gt; SOUS-SEGMENT'!$Q$8:$Q$1000*'ANALYSE - ERP =&gt; SOUS-SEGMENT'!$BG$8:$BG$1000),""))</f>
        <v>0.37324670348579947</v>
      </c>
      <c r="JL23" s="730">
        <f>IF($C23="","",IFERROR(SUMPRODUCT(('ANALYSE - ERP =&gt; SOUS-SEGMENT'!$C$8:$C$1000=$C23)*'ANALYSE - ERP =&gt; SOUS-SEGMENT'!$Q$8:$Q$1000*'ANALYSE - ERP =&gt; SOUS-SEGMENT'!$BG$8:$BG$1000*'ANALYSE - ERP =&gt; SOUS-SEGMENT'!$JL$8:$JL$1000)/SUMPRODUCT(('ANALYSE - ERP =&gt; SOUS-SEGMENT'!$C$8:$C$1000=$C23)*'ANALYSE - ERP =&gt; SOUS-SEGMENT'!$Q$8:$Q$1000*'ANALYSE - ERP =&gt; SOUS-SEGMENT'!$BG$8:$BG$1000),""))</f>
        <v>8.8101466756256255E-2</v>
      </c>
      <c r="JM23" s="730">
        <f>IF($C23="","",IFERROR(SUMPRODUCT(('ANALYSE - ERP =&gt; SOUS-SEGMENT'!$C$8:$C$1000=$C23)*'ANALYSE - ERP =&gt; SOUS-SEGMENT'!$Q$8:$Q$1000*'ANALYSE - ERP =&gt; SOUS-SEGMENT'!$BG$8:$BG$1000*'ANALYSE - ERP =&gt; SOUS-SEGMENT'!$JM$8:$JM$1000)/SUMPRODUCT(('ANALYSE - ERP =&gt; SOUS-SEGMENT'!$C$8:$C$1000=$C23)*'ANALYSE - ERP =&gt; SOUS-SEGMENT'!$Q$8:$Q$1000*'ANALYSE - ERP =&gt; SOUS-SEGMENT'!$BG$8:$BG$1000),""))</f>
        <v>1.8437439158294957E-2</v>
      </c>
      <c r="JN23" s="730">
        <f>IF($C23="","",IFERROR(SUMPRODUCT(('ANALYSE - ERP =&gt; SOUS-SEGMENT'!$C$8:$C$1000=$C23)*'ANALYSE - ERP =&gt; SOUS-SEGMENT'!$Q$8:$Q$1000*'ANALYSE - ERP =&gt; SOUS-SEGMENT'!$FH$8:$FH$1000*'ANALYSE - ERP =&gt; SOUS-SEGMENT'!$JN$8:$JN$1000)/SUMPRODUCT(('ANALYSE - ERP =&gt; SOUS-SEGMENT'!$C$8:$C$1000=$C23)*'ANALYSE - ERP =&gt; SOUS-SEGMENT'!$Q$8:$Q$1000*'ANALYSE - ERP =&gt; SOUS-SEGMENT'!$FH$8:$FH$1000),""))</f>
        <v>1.4409838198788487E-2</v>
      </c>
      <c r="JO23" s="730">
        <f>IF($C23="","",IFERROR(SUMPRODUCT(('ANALYSE - ERP =&gt; SOUS-SEGMENT'!$C$8:$C$1000=$C23)*'ANALYSE - ERP =&gt; SOUS-SEGMENT'!$Q$8:$Q$1000*'ANALYSE - ERP =&gt; SOUS-SEGMENT'!$FH$8:$FH$1000*'ANALYSE - ERP =&gt; SOUS-SEGMENT'!$JO$8:$JO$1000)/SUMPRODUCT(('ANALYSE - ERP =&gt; SOUS-SEGMENT'!$C$8:$C$1000=$C23)*'ANALYSE - ERP =&gt; SOUS-SEGMENT'!$Q$8:$Q$1000*'ANALYSE - ERP =&gt; SOUS-SEGMENT'!$FH$8:$FH$1000),""))</f>
        <v>0.39683573610805556</v>
      </c>
      <c r="JP23" s="730">
        <f>IF($C23="","",IFERROR(SUMPRODUCT(('ANALYSE - ERP =&gt; SOUS-SEGMENT'!$C$8:$C$1000=$C23)*'ANALYSE - ERP =&gt; SOUS-SEGMENT'!$Q$8:$Q$1000*'ANALYSE - ERP =&gt; SOUS-SEGMENT'!$FH$8:$FH$1000*'ANALYSE - ERP =&gt; SOUS-SEGMENT'!$JP$8:$JP$1000)/SUMPRODUCT(('ANALYSE - ERP =&gt; SOUS-SEGMENT'!$C$8:$C$1000=$C23)*'ANALYSE - ERP =&gt; SOUS-SEGMENT'!$Q$8:$Q$1000*'ANALYSE - ERP =&gt; SOUS-SEGMENT'!$FH$8:$FH$1000),""))</f>
        <v>0.44948898497942946</v>
      </c>
      <c r="JQ23" s="730">
        <f>IF($C23="","",IFERROR(SUMPRODUCT(('ANALYSE - ERP =&gt; SOUS-SEGMENT'!$C$8:$C$1000=$C23)*'ANALYSE - ERP =&gt; SOUS-SEGMENT'!$Q$8:$Q$1000*'ANALYSE - ERP =&gt; SOUS-SEGMENT'!$FH$8:$FH$1000*'ANALYSE - ERP =&gt; SOUS-SEGMENT'!$JQ$8:$JQ$1000)/SUMPRODUCT(('ANALYSE - ERP =&gt; SOUS-SEGMENT'!$C$8:$C$1000=$C23)*'ANALYSE - ERP =&gt; SOUS-SEGMENT'!$Q$8:$Q$1000*'ANALYSE - ERP =&gt; SOUS-SEGMENT'!$FH$8:$FH$1000),""))</f>
        <v>0.11592915760378666</v>
      </c>
      <c r="JR23" s="730">
        <f>IF($C23="","",IFERROR(SUMPRODUCT(('ANALYSE - ERP =&gt; SOUS-SEGMENT'!$C$8:$C$1000=$C23)*'ANALYSE - ERP =&gt; SOUS-SEGMENT'!$Q$8:$Q$1000*'ANALYSE - ERP =&gt; SOUS-SEGMENT'!$FH$8:$FH$1000*'ANALYSE - ERP =&gt; SOUS-SEGMENT'!$JR$8:$JR$1000)/SUMPRODUCT(('ANALYSE - ERP =&gt; SOUS-SEGMENT'!$C$8:$C$1000=$C23)*'ANALYSE - ERP =&gt; SOUS-SEGMENT'!$Q$8:$Q$1000*'ANALYSE - ERP =&gt; SOUS-SEGMENT'!$FH$8:$FH$1000),""))</f>
        <v>2.3336283109939831E-2</v>
      </c>
      <c r="JS23" s="730">
        <f>IF($C23="","",IFERROR(SUMPRODUCT(('ANALYSE - ERP =&gt; SOUS-SEGMENT'!$C$8:$C$1000=$C23)*'ANALYSE - ERP =&gt; SOUS-SEGMENT'!$Q$8:$Q$1000*'ANALYSE - ERP =&gt; SOUS-SEGMENT'!$BH$8:$BH$1000*'ANALYSE - ERP =&gt; SOUS-SEGMENT'!$JS$8:$JS$1000)/SUMPRODUCT(('ANALYSE - ERP =&gt; SOUS-SEGMENT'!$C$8:$C$1000=$C23)*'ANALYSE - ERP =&gt; SOUS-SEGMENT'!$Q$8:$Q$1000*'ANALYSE - ERP =&gt; SOUS-SEGMENT'!$BH$8:$BH$1000),""))</f>
        <v>2.7229244204179229E-2</v>
      </c>
      <c r="JT23" s="730">
        <f>IF($C23="","",IFERROR(SUMPRODUCT(('ANALYSE - ERP =&gt; SOUS-SEGMENT'!$C$8:$C$1000=$C23)*'ANALYSE - ERP =&gt; SOUS-SEGMENT'!$Q$8:$Q$1000*'ANALYSE - ERP =&gt; SOUS-SEGMENT'!$BH$8:$BH$1000*'ANALYSE - ERP =&gt; SOUS-SEGMENT'!$JT$8:$JT$1000)/SUMPRODUCT(('ANALYSE - ERP =&gt; SOUS-SEGMENT'!$C$8:$C$1000=$C23)*'ANALYSE - ERP =&gt; SOUS-SEGMENT'!$Q$8:$Q$1000*'ANALYSE - ERP =&gt; SOUS-SEGMENT'!$BH$8:$BH$1000),""))</f>
        <v>0.37513043975465227</v>
      </c>
      <c r="JU23" s="730">
        <f>IF($C23="","",IFERROR(SUMPRODUCT(('ANALYSE - ERP =&gt; SOUS-SEGMENT'!$C$8:$C$1000=$C23)*'ANALYSE - ERP =&gt; SOUS-SEGMENT'!$Q$8:$Q$1000*'ANALYSE - ERP =&gt; SOUS-SEGMENT'!$BH$8:$BH$1000*'ANALYSE - ERP =&gt; SOUS-SEGMENT'!$JU$8:$JU$1000)/SUMPRODUCT(('ANALYSE - ERP =&gt; SOUS-SEGMENT'!$C$8:$C$1000=$C23)*'ANALYSE - ERP =&gt; SOUS-SEGMENT'!$Q$8:$Q$1000*'ANALYSE - ERP =&gt; SOUS-SEGMENT'!$BH$8:$BH$1000),""))</f>
        <v>0.44626775132550156</v>
      </c>
      <c r="JV23" s="730">
        <f>IF($C23="","",IFERROR(SUMPRODUCT(('ANALYSE - ERP =&gt; SOUS-SEGMENT'!$C$8:$C$1000=$C23)*'ANALYSE - ERP =&gt; SOUS-SEGMENT'!$Q$8:$Q$1000*'ANALYSE - ERP =&gt; SOUS-SEGMENT'!$BH$8:$BH$1000*'ANALYSE - ERP =&gt; SOUS-SEGMENT'!$JV$8:$JV$1000)/SUMPRODUCT(('ANALYSE - ERP =&gt; SOUS-SEGMENT'!$C$8:$C$1000=$C23)*'ANALYSE - ERP =&gt; SOUS-SEGMENT'!$Q$8:$Q$1000*'ANALYSE - ERP =&gt; SOUS-SEGMENT'!$BH$8:$BH$1000),""))</f>
        <v>0.12693146896766816</v>
      </c>
      <c r="JW23" s="730">
        <f>IF($C23="","",IFERROR(SUMPRODUCT(('ANALYSE - ERP =&gt; SOUS-SEGMENT'!$C$8:$C$1000=$C23)*'ANALYSE - ERP =&gt; SOUS-SEGMENT'!$Q$8:$Q$1000*'ANALYSE - ERP =&gt; SOUS-SEGMENT'!$BH$8:$BH$1000*'ANALYSE - ERP =&gt; SOUS-SEGMENT'!$JW$8:$JW$1000)/SUMPRODUCT(('ANALYSE - ERP =&gt; SOUS-SEGMENT'!$C$8:$C$1000=$C23)*'ANALYSE - ERP =&gt; SOUS-SEGMENT'!$Q$8:$Q$1000*'ANALYSE - ERP =&gt; SOUS-SEGMENT'!$BH$8:$BH$1000),""))</f>
        <v>2.4441095747998753E-2</v>
      </c>
      <c r="JX23" s="730">
        <f>IF($C23="","",IFERROR(SUMPRODUCT(('ANALYSE - ERP =&gt; SOUS-SEGMENT'!$C$8:$C$1000=$C23)*'ANALYSE - ERP =&gt; SOUS-SEGMENT'!$Q$8:$Q$1000*'ANALYSE - ERP =&gt; SOUS-SEGMENT'!$FK$8:$FK$1000*'ANALYSE - ERP =&gt; SOUS-SEGMENT'!$JX$8:$JX$1000)/SUMPRODUCT(('ANALYSE - ERP =&gt; SOUS-SEGMENT'!$C$8:$C$1000=$C23)*'ANALYSE - ERP =&gt; SOUS-SEGMENT'!$Q$8:$Q$1000*'ANALYSE - ERP =&gt; SOUS-SEGMENT'!$FK$8:$FK$1000),""))</f>
        <v>2.9323013622190087E-3</v>
      </c>
      <c r="JY23" s="730">
        <f>IF($C23="","",IFERROR(SUMPRODUCT(('ANALYSE - ERP =&gt; SOUS-SEGMENT'!$C$8:$C$1000=$C23)*'ANALYSE - ERP =&gt; SOUS-SEGMENT'!$Q$8:$Q$1000*'ANALYSE - ERP =&gt; SOUS-SEGMENT'!$FK$8:$FK$1000*'ANALYSE - ERP =&gt; SOUS-SEGMENT'!$JY$8:$JY$1000)/SUMPRODUCT(('ANALYSE - ERP =&gt; SOUS-SEGMENT'!$C$8:$C$1000=$C23)*'ANALYSE - ERP =&gt; SOUS-SEGMENT'!$Q$8:$Q$1000*'ANALYSE - ERP =&gt; SOUS-SEGMENT'!$FK$8:$FK$1000),""))</f>
        <v>0.2884032820190276</v>
      </c>
      <c r="JZ23" s="730">
        <f>IF($C23="","",IFERROR(SUMPRODUCT(('ANALYSE - ERP =&gt; SOUS-SEGMENT'!$C$8:$C$1000=$C23)*'ANALYSE - ERP =&gt; SOUS-SEGMENT'!$Q$8:$Q$1000*'ANALYSE - ERP =&gt; SOUS-SEGMENT'!$FK$8:$FK$1000*'ANALYSE - ERP =&gt; SOUS-SEGMENT'!$JZ$8:$JZ$1000)/SUMPRODUCT(('ANALYSE - ERP =&gt; SOUS-SEGMENT'!$C$8:$C$1000=$C23)*'ANALYSE - ERP =&gt; SOUS-SEGMENT'!$Q$8:$Q$1000*'ANALYSE - ERP =&gt; SOUS-SEGMENT'!$FK$8:$FK$1000),""))</f>
        <v>0.51117123044315316</v>
      </c>
      <c r="KA23" s="730">
        <f>IF($C23="","",IFERROR(SUMPRODUCT(('ANALYSE - ERP =&gt; SOUS-SEGMENT'!$C$8:$C$1000=$C23)*'ANALYSE - ERP =&gt; SOUS-SEGMENT'!$Q$8:$Q$1000*'ANALYSE - ERP =&gt; SOUS-SEGMENT'!$FK$8:$FK$1000*'ANALYSE - ERP =&gt; SOUS-SEGMENT'!$KA$8:$KA$1000)/SUMPRODUCT(('ANALYSE - ERP =&gt; SOUS-SEGMENT'!$C$8:$C$1000=$C23)*'ANALYSE - ERP =&gt; SOUS-SEGMENT'!$Q$8:$Q$1000*'ANALYSE - ERP =&gt; SOUS-SEGMENT'!$FK$8:$FK$1000),""))</f>
        <v>0.1667658397626314</v>
      </c>
      <c r="KB23" s="730">
        <f>IF($C23="","",IFERROR(SUMPRODUCT(('ANALYSE - ERP =&gt; SOUS-SEGMENT'!$C$8:$C$1000=$C23)*'ANALYSE - ERP =&gt; SOUS-SEGMENT'!$Q$8:$Q$1000*'ANALYSE - ERP =&gt; SOUS-SEGMENT'!$FK$8:$FK$1000*'ANALYSE - ERP =&gt; SOUS-SEGMENT'!$KB$8:$KB$1000)/SUMPRODUCT(('ANALYSE - ERP =&gt; SOUS-SEGMENT'!$C$8:$C$1000=$C23)*'ANALYSE - ERP =&gt; SOUS-SEGMENT'!$Q$8:$Q$1000*'ANALYSE - ERP =&gt; SOUS-SEGMENT'!$FK$8:$FK$1000),""))</f>
        <v>3.072734641296896E-2</v>
      </c>
      <c r="KC23" s="657"/>
      <c r="KD23" s="920" t="s">
        <v>5790</v>
      </c>
      <c r="KE23" s="920" t="s">
        <v>5791</v>
      </c>
      <c r="KF23" s="866">
        <f>IF($C23="","",IFERROR(SUMPRODUCT(('ANALYSE - ERP =&gt; SOUS-SEGMENT'!$C$8:$C$1000=$C23)*'ANALYSE - ERP =&gt; SOUS-SEGMENT'!$Q$8:$Q$1000*'ANALYSE - ERP =&gt; SOUS-SEGMENT'!$IE$8:$IE$1000*'ANALYSE - ERP =&gt; SOUS-SEGMENT'!$KF$8:$KF$1000)/SUMPRODUCT(('ANALYSE - ERP =&gt; SOUS-SEGMENT'!$C$8:$C$1000=$C23)*'ANALYSE - ERP =&gt; SOUS-SEGMENT'!$Q$8:$Q$1000*'ANALYSE - ERP =&gt; SOUS-SEGMENT'!$IE$8:$IE$1000),""))</f>
        <v>3.9416584249427005</v>
      </c>
      <c r="KG23" s="920" t="s">
        <v>5792</v>
      </c>
      <c r="KH23" s="920" t="s">
        <v>5793</v>
      </c>
      <c r="KI23" s="920" t="s">
        <v>5794</v>
      </c>
      <c r="KJ23" s="920" t="s">
        <v>5795</v>
      </c>
    </row>
    <row r="24" spans="1:296" ht="120" customHeight="1">
      <c r="A24" s="957">
        <f>IF($C24="","",ROWS($A$8:A24))</f>
        <v>17</v>
      </c>
      <c r="B24" s="958" t="s">
        <v>2187</v>
      </c>
      <c r="C24" s="958" t="s">
        <v>1372</v>
      </c>
      <c r="D24" s="959" t="s">
        <v>5796</v>
      </c>
      <c r="E24" s="269" t="s">
        <v>2150</v>
      </c>
      <c r="F24" s="960" t="s">
        <v>300</v>
      </c>
      <c r="G24" s="960" t="s">
        <v>300</v>
      </c>
      <c r="H24" s="960" t="s">
        <v>2109</v>
      </c>
      <c r="I24" s="960" t="s">
        <v>5797</v>
      </c>
      <c r="J24" s="960" t="s">
        <v>5798</v>
      </c>
      <c r="K24" s="960" t="s">
        <v>2097</v>
      </c>
      <c r="L24" s="960" t="s">
        <v>2109</v>
      </c>
      <c r="M24" s="960" t="s">
        <v>2603</v>
      </c>
      <c r="N24" s="960" t="s">
        <v>2099</v>
      </c>
      <c r="O24" s="960" t="s">
        <v>2616</v>
      </c>
      <c r="P24" s="960"/>
      <c r="Q24" s="270">
        <f>IF($C24="","",IF(SUMIFS('ANALYSE - ERP =&gt; SOUS-SEGMENT'!$Q$8:$Q$1000,'ANALYSE - ERP =&gt; SOUS-SEGMENT'!$C$8:$C$1000,$C24)&gt;0,1,0))</f>
        <v>1</v>
      </c>
      <c r="R24" s="271">
        <f>IF($C24="","",IFERROR(SUMPRODUCT(('ANALYSE - ERP =&gt; SOUS-SEGMENT'!$C$8:$C$1000=$C24)*'ANALYSE - ERP =&gt; SOUS-SEGMENT'!$Q$8:$Q$1000*'ANALYSE - ERP =&gt; SOUS-SEGMENT'!$AF$8:$AF$1000*'ANALYSE - ERP =&gt; SOUS-SEGMENT'!$R$8:$R$1000)/SUMPRODUCT(('ANALYSE - ERP =&gt; SOUS-SEGMENT'!$C$8:$C$1000=$C24)*'ANALYSE - ERP =&gt; SOUS-SEGMENT'!$Q$8:$Q$1000*'ANALYSE - ERP =&gt; SOUS-SEGMENT'!$AF$8:$AF$1000),""))</f>
        <v>8834.3434343434346</v>
      </c>
      <c r="S24" s="272">
        <f>IF($C24="","",SUMPRODUCT(('ANALYSE - ERP =&gt; SOUS-SEGMENT'!$C$8:$C$1000=$C24)*'ANALYSE - ERP =&gt; SOUS-SEGMENT'!$Q$8:$Q$1000*'ANALYSE - ERP =&gt; SOUS-SEGMENT'!$S$8:$S$1000))</f>
        <v>3630</v>
      </c>
      <c r="T24" s="272">
        <f>IF($C24="","",SUMPRODUCT(('ANALYSE - ERP =&gt; SOUS-SEGMENT'!$C$8:$C$1000=$C24)*'ANALYSE - ERP =&gt; SOUS-SEGMENT'!$Q$8:$Q$1000*'ANALYSE - ERP =&gt; SOUS-SEGMENT'!$T$8:$T$1000))</f>
        <v>3830</v>
      </c>
      <c r="U24" s="272">
        <f>IF($C24="","",SUMPRODUCT(('ANALYSE - ERP =&gt; SOUS-SEGMENT'!$C$8:$C$1000=$C24)*'ANALYSE - ERP =&gt; SOUS-SEGMENT'!$Q$8:$Q$1000*'ANALYSE - ERP =&gt; SOUS-SEGMENT'!$U$8:$U$1000))</f>
        <v>3970</v>
      </c>
      <c r="V24" s="272">
        <f>IF($C24="","",SUMPRODUCT(('ANALYSE - ERP =&gt; SOUS-SEGMENT'!$C$8:$C$1000=$C24)*'ANALYSE - ERP =&gt; SOUS-SEGMENT'!$Q$8:$Q$1000*'ANALYSE - ERP =&gt; SOUS-SEGMENT'!$V$8:$V$1000))</f>
        <v>4165</v>
      </c>
      <c r="W24" s="272">
        <f>IF($C24="","",SUMPRODUCT(('ANALYSE - ERP =&gt; SOUS-SEGMENT'!$C$8:$C$1000=$C24)*'ANALYSE - ERP =&gt; SOUS-SEGMENT'!$Q$8:$Q$1000*'ANALYSE - ERP =&gt; SOUS-SEGMENT'!$W$8:$W$1000))</f>
        <v>4170</v>
      </c>
      <c r="X24" s="272">
        <f>IF($C24="","",SUMPRODUCT(('ANALYSE - ERP =&gt; SOUS-SEGMENT'!$C$8:$C$1000=$C24)*'ANALYSE - ERP =&gt; SOUS-SEGMENT'!$Q$8:$Q$1000*'ANALYSE - ERP =&gt; SOUS-SEGMENT'!$X$8:$X$1000))</f>
        <v>4170</v>
      </c>
      <c r="Y24" s="272">
        <f>IF($C24="","",SUMPRODUCT(('ANALYSE - ERP =&gt; SOUS-SEGMENT'!$C$8:$C$1000=$C24)*'ANALYSE - ERP =&gt; SOUS-SEGMENT'!$Q$8:$Q$1000*'ANALYSE - ERP =&gt; SOUS-SEGMENT'!$Y$8:$Y$1000))</f>
        <v>4165</v>
      </c>
      <c r="Z24" s="272">
        <f>IF($C24="","",SUMPRODUCT(('ANALYSE - ERP =&gt; SOUS-SEGMENT'!$C$8:$C$1000=$C24)*'ANALYSE - ERP =&gt; SOUS-SEGMENT'!$Q$8:$Q$1000*'ANALYSE - ERP =&gt; SOUS-SEGMENT'!$Z$8:$Z$1000))</f>
        <v>4155</v>
      </c>
      <c r="AA24" s="272">
        <f>IF($C24="","",SUMPRODUCT(('ANALYSE - ERP =&gt; SOUS-SEGMENT'!$C$8:$C$1000=$C24)*'ANALYSE - ERP =&gt; SOUS-SEGMENT'!$Q$8:$Q$1000*'ANALYSE - ERP =&gt; SOUS-SEGMENT'!$AA$8:$AA$1000))</f>
        <v>4130</v>
      </c>
      <c r="AB24" s="272">
        <f>IF($C24="","",SUMPRODUCT(('ANALYSE - ERP =&gt; SOUS-SEGMENT'!$C$8:$C$1000=$C24)*'ANALYSE - ERP =&gt; SOUS-SEGMENT'!$Q$8:$Q$1000*'ANALYSE - ERP =&gt; SOUS-SEGMENT'!$AB$8:$AB$1000))</f>
        <v>4091</v>
      </c>
      <c r="AC24" s="272">
        <f>IF($C24="","",SUMPRODUCT(('ANALYSE - ERP =&gt; SOUS-SEGMENT'!$C$8:$C$1000=$C24)*'ANALYSE - ERP =&gt; SOUS-SEGMENT'!$Q$8:$Q$1000*'ANALYSE - ERP =&gt; SOUS-SEGMENT'!$AC$8:$AC$1000))</f>
        <v>4047</v>
      </c>
      <c r="AD24" s="272">
        <f>IF($C24="","",SUMPRODUCT(('ANALYSE - ERP =&gt; SOUS-SEGMENT'!$C$8:$C$1000=$C24)*'ANALYSE - ERP =&gt; SOUS-SEGMENT'!$Q$8:$Q$1000*'ANALYSE - ERP =&gt; SOUS-SEGMENT'!$AD$8:$AD$1000))</f>
        <v>4016</v>
      </c>
      <c r="AE24" s="272">
        <f>IF($C24="","",SUMPRODUCT(('ANALYSE - ERP =&gt; SOUS-SEGMENT'!$C$8:$C$1000=$C24)*'ANALYSE - ERP =&gt; SOUS-SEGMENT'!$Q$8:$Q$1000*'ANALYSE - ERP =&gt; SOUS-SEGMENT'!$AE$8:$AE$1000))</f>
        <v>3994</v>
      </c>
      <c r="AF24" s="272">
        <f>IF($C24="","",SUMPRODUCT(('ANALYSE - ERP =&gt; SOUS-SEGMENT'!$C$8:$C$1000=$C24)*'ANALYSE - ERP =&gt; SOUS-SEGMENT'!$Q$8:$Q$1000*'ANALYSE - ERP =&gt; SOUS-SEGMENT'!$AF$8:$AF$1000))</f>
        <v>3960</v>
      </c>
      <c r="AG24" s="272">
        <f>IF($C24="","",SUMPRODUCT(('ANALYSE - ERP =&gt; SOUS-SEGMENT'!$C$8:$C$1000=$C24)*'ANALYSE - ERP =&gt; SOUS-SEGMENT'!$Q$8:$Q$1000*'ANALYSE - ERP =&gt; SOUS-SEGMENT'!$AG$8:$AG$1000))</f>
        <v>3937</v>
      </c>
      <c r="AH24" s="272">
        <f>IF($C24="","",SUMPRODUCT(('ANALYSE - ERP =&gt; SOUS-SEGMENT'!$C$8:$C$1000=$C24)*'ANALYSE - ERP =&gt; SOUS-SEGMENT'!$Q$8:$Q$1000*'ANALYSE - ERP =&gt; SOUS-SEGMENT'!$AH$8:$AH$1000))</f>
        <v>3907</v>
      </c>
      <c r="AI24" s="272">
        <f>IF($C24="","",SUMPRODUCT(('ANALYSE - ERP =&gt; SOUS-SEGMENT'!$C$8:$C$1000=$C24)*'ANALYSE - ERP =&gt; SOUS-SEGMENT'!$Q$8:$Q$1000*'ANALYSE - ERP =&gt; SOUS-SEGMENT'!$AI$8:$AI$1000))</f>
        <v>3877</v>
      </c>
      <c r="AJ24" s="272">
        <f>IF($C24="","",SUMPRODUCT(('ANALYSE - ERP =&gt; SOUS-SEGMENT'!$C$8:$C$1000=$C24)*'ANALYSE - ERP =&gt; SOUS-SEGMENT'!$Q$8:$Q$1000*'ANALYSE - ERP =&gt; SOUS-SEGMENT'!$AJ$8:$AJ$1000))</f>
        <v>3844</v>
      </c>
      <c r="AK24" s="272">
        <f>IF($C24="","",SUMPRODUCT(('ANALYSE - ERP =&gt; SOUS-SEGMENT'!$C$8:$C$1000=$C24)*'ANALYSE - ERP =&gt; SOUS-SEGMENT'!$Q$8:$Q$1000*'ANALYSE - ERP =&gt; SOUS-SEGMENT'!$AK$8:$AK$1000))</f>
        <v>3815</v>
      </c>
      <c r="AL24" s="960" t="s">
        <v>5799</v>
      </c>
      <c r="AM24" s="960" t="s">
        <v>5800</v>
      </c>
      <c r="AN24" s="960" t="s">
        <v>5801</v>
      </c>
      <c r="AO24" s="657"/>
      <c r="AP24" s="271">
        <f>IF($C24="","",IFERROR(SUMPRODUCT(('ANALYSE - ERP =&gt; SOUS-SEGMENT'!$C$8:$C$1000=$C24)*'ANALYSE - ERP =&gt; SOUS-SEGMENT'!$Q$8:$Q$1000*'ANALYSE - ERP =&gt; SOUS-SEGMENT'!$AF$8:$AF$1000*'ANALYSE - ERP =&gt; SOUS-SEGMENT'!$AP$8:$AP$1000)/SUMPRODUCT(('ANALYSE - ERP =&gt; SOUS-SEGMENT'!$C$8:$C$1000=$C24)*'ANALYSE - ERP =&gt; SOUS-SEGMENT'!$Q$8:$Q$1000*'ANALYSE - ERP =&gt; SOUS-SEGMENT'!$AF$8:$AF$1000),""))</f>
        <v>1051.3131313131314</v>
      </c>
      <c r="AQ24" s="280">
        <f>IF($C24="","",IFERROR(SUMPRODUCT(('ANALYSE - ERP =&gt; SOUS-SEGMENT'!$C$8:$C$1000=$C24)*'ANALYSE - ERP =&gt; SOUS-SEGMENT'!$Q$8:$Q$1000*'ANALYSE - ERP =&gt; SOUS-SEGMENT'!$AF$8:$AF$1000*'ANALYSE - ERP =&gt; SOUS-SEGMENT'!$AQ$8:$AQ$1000)/SUMPRODUCT(('ANALYSE - ERP =&gt; SOUS-SEGMENT'!$C$8:$C$1000=$C24)*'ANALYSE - ERP =&gt; SOUS-SEGMENT'!$Q$8:$Q$1000*'ANALYSE - ERP =&gt; SOUS-SEGMENT'!$AF$8:$AF$1000),""))</f>
        <v>861.29292929292933</v>
      </c>
      <c r="AR24" s="280">
        <f>IF($C24="","",IFERROR(SUMPRODUCT(('ANALYSE - ERP =&gt; SOUS-SEGMENT'!$C$8:$C$1000=$C24)*'ANALYSE - ERP =&gt; SOUS-SEGMENT'!$Q$8:$Q$1000*'ANALYSE - ERP =&gt; SOUS-SEGMENT'!$AF$8:$AF$1000*'ANALYSE - ERP =&gt; SOUS-SEGMENT'!$AR$8:$AR$1000)/SUMPRODUCT(('ANALYSE - ERP =&gt; SOUS-SEGMENT'!$C$8:$C$1000=$C24)*'ANALYSE - ERP =&gt; SOUS-SEGMENT'!$Q$8:$Q$1000*'ANALYSE - ERP =&gt; SOUS-SEGMENT'!$AF$8:$AF$1000),""))</f>
        <v>138.64646464646464</v>
      </c>
      <c r="AS24" s="280">
        <f>IF($C24="","",IFERROR(SUMPRODUCT(('ANALYSE - ERP =&gt; SOUS-SEGMENT'!$C$8:$C$1000=$C24)*'ANALYSE - ERP =&gt; SOUS-SEGMENT'!$Q$8:$Q$1000*'ANALYSE - ERP =&gt; SOUS-SEGMENT'!$AF$8:$AF$1000*'ANALYSE - ERP =&gt; SOUS-SEGMENT'!$AS$8:$AS$1000)/SUMPRODUCT(('ANALYSE - ERP =&gt; SOUS-SEGMENT'!$C$8:$C$1000=$C24)*'ANALYSE - ERP =&gt; SOUS-SEGMENT'!$Q$8:$Q$1000*'ANALYSE - ERP =&gt; SOUS-SEGMENT'!$AF$8:$AF$1000),""))</f>
        <v>51.373737373737377</v>
      </c>
      <c r="AT24" s="657"/>
      <c r="AU24" s="647" t="s">
        <v>5802</v>
      </c>
      <c r="AV24" s="647" t="s">
        <v>5803</v>
      </c>
      <c r="AW24" s="960" t="s">
        <v>5804</v>
      </c>
      <c r="AX24" s="647" t="s">
        <v>5805</v>
      </c>
      <c r="AY24" s="657"/>
      <c r="AZ24" s="948">
        <f>IF($C24="","",IFERROR(SUMPRODUCT(('ANALYSE - ERP =&gt; SOUS-SEGMENT'!$C$8:$C$1000=$C24)*'ANALYSE - ERP =&gt; SOUS-SEGMENT'!$Q$8:$Q$1000*'ANALYSE - ERP =&gt; SOUS-SEGMENT'!$AF$8:$AF$1000*'ANALYSE - ERP =&gt; SOUS-SEGMENT'!$AZ$8:$AZ$1000)/SUMPRODUCT(('ANALYSE - ERP =&gt; SOUS-SEGMENT'!$C$8:$C$1000=$C24)*'ANALYSE - ERP =&gt; SOUS-SEGMENT'!$Q$8:$Q$1000*'ANALYSE - ERP =&gt; SOUS-SEGMENT'!$AF$8:$AF$1000),""))</f>
        <v>26.024242424242424</v>
      </c>
      <c r="BA24" s="948">
        <f>IF($C24="","",IFERROR(SUMPRODUCT(('ANALYSE - ERP =&gt; SOUS-SEGMENT'!$C$8:$C$1000=$C24)*'ANALYSE - ERP =&gt; SOUS-SEGMENT'!$Q$8:$Q$1000*'ANALYSE - ERP =&gt; SOUS-SEGMENT'!$AF$8:$AF$1000*'ANALYSE - ERP =&gt; SOUS-SEGMENT'!$BA$8:$BA$1000)/SUMPRODUCT(('ANALYSE - ERP =&gt; SOUS-SEGMENT'!$C$8:$C$1000=$C24)*'ANALYSE - ERP =&gt; SOUS-SEGMENT'!$Q$8:$Q$1000*'ANALYSE - ERP =&gt; SOUS-SEGMENT'!$AF$8:$AF$1000),""))</f>
        <v>1.1038383838383838</v>
      </c>
      <c r="BB24" s="948">
        <f>IF($C24="","",IFERROR(SUMPRODUCT(('ANALYSE - ERP =&gt; SOUS-SEGMENT'!$C$8:$C$1000=$C24)*'ANALYSE - ERP =&gt; SOUS-SEGMENT'!$Q$8:$Q$1000*'ANALYSE - ERP =&gt; SOUS-SEGMENT'!$AF$8:$AF$1000*'ANALYSE - ERP =&gt; SOUS-SEGMENT'!$BB$8:$BB$1000)/SUMPRODUCT(('ANALYSE - ERP =&gt; SOUS-SEGMENT'!$C$8:$C$1000=$C24)*'ANALYSE - ERP =&gt; SOUS-SEGMENT'!$Q$8:$Q$1000*'ANALYSE - ERP =&gt; SOUS-SEGMENT'!$AF$8:$AF$1000),""))</f>
        <v>6.0202020202020199</v>
      </c>
      <c r="BC24" s="948">
        <f>IF($C24="","",IFERROR(SUMPRODUCT(('ANALYSE - ERP =&gt; SOUS-SEGMENT'!$C$8:$C$1000=$C24)*'ANALYSE - ERP =&gt; SOUS-SEGMENT'!$Q$8:$Q$1000*'ANALYSE - ERP =&gt; SOUS-SEGMENT'!$AF$8:$AF$1000*'ANALYSE - ERP =&gt; SOUS-SEGMENT'!$BC$8:$BC$1000)/SUMPRODUCT(('ANALYSE - ERP =&gt; SOUS-SEGMENT'!$C$8:$C$1000=$C24)*'ANALYSE - ERP =&gt; SOUS-SEGMENT'!$Q$8:$Q$1000*'ANALYSE - ERP =&gt; SOUS-SEGMENT'!$AF$8:$AF$1000),""))</f>
        <v>24.183838383838385</v>
      </c>
      <c r="BD24" s="825">
        <f t="shared" si="1"/>
        <v>227035.2</v>
      </c>
      <c r="BE24" s="304">
        <f>IF($C24="","",SUMPRODUCT(('ANALYSE - ERP =&gt; SOUS-SEGMENT'!$C$8:$C$1000=$C24)*'ANALYSE - ERP =&gt; SOUS-SEGMENT'!$Q$8:$Q$1000*'ANALYSE - ERP =&gt; SOUS-SEGMENT'!$BE$8:$BE$1000))</f>
        <v>103056</v>
      </c>
      <c r="BF24" s="304">
        <f>IF($C24="","",SUMPRODUCT(('ANALYSE - ERP =&gt; SOUS-SEGMENT'!$C$8:$C$1000=$C24)*'ANALYSE - ERP =&gt; SOUS-SEGMENT'!$Q$8:$Q$1000*'ANALYSE - ERP =&gt; SOUS-SEGMENT'!$BF$8:$BF$1000))</f>
        <v>4371.2</v>
      </c>
      <c r="BG24" s="304">
        <f>IF($C24="","",SUMPRODUCT(('ANALYSE - ERP =&gt; SOUS-SEGMENT'!$C$8:$C$1000=$C24)*'ANALYSE - ERP =&gt; SOUS-SEGMENT'!$Q$8:$Q$1000*'ANALYSE - ERP =&gt; SOUS-SEGMENT'!$BG$8:$BG$1000))</f>
        <v>23840</v>
      </c>
      <c r="BH24" s="304">
        <f>IF($C24="","",SUMPRODUCT(('ANALYSE - ERP =&gt; SOUS-SEGMENT'!$C$8:$C$1000=$C24)*'ANALYSE - ERP =&gt; SOUS-SEGMENT'!$Q$8:$Q$1000*'ANALYSE - ERP =&gt; SOUS-SEGMENT'!$BH$8:$BH$1000))</f>
        <v>95768</v>
      </c>
      <c r="BI24" s="825">
        <f t="shared" si="2"/>
        <v>224949</v>
      </c>
      <c r="BJ24" s="304">
        <f>IF($C24="","",SUMPRODUCT(('ANALYSE - ERP =&gt; SOUS-SEGMENT'!$C$8:$C$1000=$C24)*'ANALYSE - ERP =&gt; SOUS-SEGMENT'!$Q$8:$Q$1000*'ANALYSE - ERP =&gt; SOUS-SEGMENT'!$BJ$8:$BJ$1000))</f>
        <v>102120</v>
      </c>
      <c r="BK24" s="304">
        <f>IF($C24="","",SUMPRODUCT(('ANALYSE - ERP =&gt; SOUS-SEGMENT'!$C$8:$C$1000=$C24)*'ANALYSE - ERP =&gt; SOUS-SEGMENT'!$Q$8:$Q$1000*'ANALYSE - ERP =&gt; SOUS-SEGMENT'!$BK$8:$BK$1000))</f>
        <v>4344</v>
      </c>
      <c r="BL24" s="304">
        <f>IF($C24="","",SUMPRODUCT(('ANALYSE - ERP =&gt; SOUS-SEGMENT'!$C$8:$C$1000=$C24)*'ANALYSE - ERP =&gt; SOUS-SEGMENT'!$Q$8:$Q$1000*'ANALYSE - ERP =&gt; SOUS-SEGMENT'!$BL$8:$BL$1000))</f>
        <v>23560</v>
      </c>
      <c r="BM24" s="304">
        <f>IF($C24="","",SUMPRODUCT(('ANALYSE - ERP =&gt; SOUS-SEGMENT'!$C$8:$C$1000=$C24)*'ANALYSE - ERP =&gt; SOUS-SEGMENT'!$Q$8:$Q$1000*'ANALYSE - ERP =&gt; SOUS-SEGMENT'!$BM$8:$BM$1000))</f>
        <v>94925</v>
      </c>
      <c r="BN24" s="657"/>
      <c r="BO24" s="284">
        <f t="shared" si="3"/>
        <v>0.31061481136469493</v>
      </c>
      <c r="BP24" s="284">
        <f t="shared" si="4"/>
        <v>0.47834963514982148</v>
      </c>
      <c r="BQ24" s="284">
        <f t="shared" si="5"/>
        <v>0.16103555348548362</v>
      </c>
      <c r="BR24" s="710">
        <f t="shared" si="6"/>
        <v>0.05</v>
      </c>
      <c r="BS24" s="707">
        <f t="shared" si="7"/>
        <v>0.27114766940853896</v>
      </c>
      <c r="BT24" s="284">
        <f t="shared" si="8"/>
        <v>0.46840971406188797</v>
      </c>
      <c r="BU24" s="284">
        <f t="shared" si="9"/>
        <v>0.21706227967097533</v>
      </c>
      <c r="BV24" s="710">
        <f t="shared" si="10"/>
        <v>4.3380336858597726E-2</v>
      </c>
      <c r="BW24" s="714">
        <f t="shared" si="11"/>
        <v>0.36295754026354321</v>
      </c>
      <c r="BX24" s="285">
        <f t="shared" si="12"/>
        <v>0.43806734992679358</v>
      </c>
      <c r="BY24" s="717">
        <f t="shared" si="13"/>
        <v>0.19897510980966329</v>
      </c>
      <c r="BZ24" s="714">
        <f t="shared" si="14"/>
        <v>0.31550644567219155</v>
      </c>
      <c r="CA24" s="285">
        <f t="shared" si="15"/>
        <v>0.45334254143646407</v>
      </c>
      <c r="CB24" s="717">
        <f t="shared" si="16"/>
        <v>0.2311510128913444</v>
      </c>
      <c r="CC24" s="284">
        <f t="shared" si="17"/>
        <v>0.10436241610738255</v>
      </c>
      <c r="CD24" s="284">
        <f t="shared" si="18"/>
        <v>0.49756375838926176</v>
      </c>
      <c r="CE24" s="284">
        <f t="shared" si="19"/>
        <v>0.19859060402684561</v>
      </c>
      <c r="CF24" s="710">
        <f t="shared" si="20"/>
        <v>0.19948322147651007</v>
      </c>
      <c r="CG24" s="707">
        <f t="shared" si="21"/>
        <v>8.3327674023769088E-2</v>
      </c>
      <c r="CH24" s="284">
        <f t="shared" si="22"/>
        <v>0.48258913412563664</v>
      </c>
      <c r="CI24" s="284">
        <f t="shared" si="23"/>
        <v>0.22561120543293717</v>
      </c>
      <c r="CJ24" s="710">
        <f t="shared" si="24"/>
        <v>0.20847198641765702</v>
      </c>
      <c r="CK24" s="720">
        <f t="shared" si="25"/>
        <v>0.4828961657338568</v>
      </c>
      <c r="CL24" s="286">
        <f t="shared" si="26"/>
        <v>0.35407234149193889</v>
      </c>
      <c r="CM24" s="718">
        <f t="shared" si="27"/>
        <v>0.16303149277420434</v>
      </c>
      <c r="CN24" s="720">
        <f t="shared" si="28"/>
        <v>0.41706926520937587</v>
      </c>
      <c r="CO24" s="286">
        <f t="shared" si="29"/>
        <v>0.39066894917039768</v>
      </c>
      <c r="CP24" s="718">
        <f t="shared" si="30"/>
        <v>0.1922617856202265</v>
      </c>
      <c r="CQ24" s="657"/>
      <c r="CR24" s="807">
        <f>IF($C24="","",IFERROR(SUMPRODUCT(('ANALYSE - ERP =&gt; SOUS-SEGMENT'!$C$8:$C$1000=$C24)*'ANALYSE - ERP =&gt; SOUS-SEGMENT'!$Q$8:$Q$1000*'ANALYSE - ERP =&gt; SOUS-SEGMENT'!$DH$8:$DH$1000*'ANALYSE - ERP =&gt; SOUS-SEGMENT'!$CR$8:$CR$1000)/SUMPRODUCT(('ANALYSE - ERP =&gt; SOUS-SEGMENT'!$C$8:$C$1000=$C24)*'ANALYSE - ERP =&gt; SOUS-SEGMENT'!$Q$8:$Q$1000*'ANALYSE - ERP =&gt; SOUS-SEGMENT'!$DH$8:$DH$1000),""))</f>
        <v>10.873292447030243</v>
      </c>
      <c r="CS24" s="808">
        <f>IF($C24="","",IFERROR(SUMPRODUCT(('ANALYSE - ERP =&gt; SOUS-SEGMENT'!$C$8:$C$1000=$C24)*'ANALYSE - ERP =&gt; SOUS-SEGMENT'!$Q$8:$Q$1000*'ANALYSE - ERP =&gt; SOUS-SEGMENT'!$DI$8:$DI$1000*'ANALYSE - ERP =&gt; SOUS-SEGMENT'!$CS$8:$CS$1000)/SUMPRODUCT(('ANALYSE - ERP =&gt; SOUS-SEGMENT'!$C$8:$C$1000=$C24)*'ANALYSE - ERP =&gt; SOUS-SEGMENT'!$Q$8:$Q$1000*'ANALYSE - ERP =&gt; SOUS-SEGMENT'!$DI$8:$DI$1000),""))</f>
        <v>11.95675175670632</v>
      </c>
      <c r="CT24" s="808">
        <f>IF($C24="","",IFERROR(SUMPRODUCT(('ANALYSE - ERP =&gt; SOUS-SEGMENT'!$C$8:$C$1000=$C24)*'ANALYSE - ERP =&gt; SOUS-SEGMENT'!$Q$8:$Q$1000*'ANALYSE - ERP =&gt; SOUS-SEGMENT'!$DJ$8:$DJ$1000*'ANALYSE - ERP =&gt; SOUS-SEGMENT'!$CT$8:$CT$1000)/SUMPRODUCT(('ANALYSE - ERP =&gt; SOUS-SEGMENT'!$C$8:$C$1000=$C24)*'ANALYSE - ERP =&gt; SOUS-SEGMENT'!$Q$8:$Q$1000*'ANALYSE - ERP =&gt; SOUS-SEGMENT'!$DJ$8:$DJ$1000),""))</f>
        <v>8</v>
      </c>
      <c r="CU24" s="809">
        <f>IF($C24="","",IFERROR(SUMPRODUCT(('ANALYSE - ERP =&gt; SOUS-SEGMENT'!$C$8:$C$1000=$C24)*'ANALYSE - ERP =&gt; SOUS-SEGMENT'!$Q$8:$Q$1000*'ANALYSE - ERP =&gt; SOUS-SEGMENT'!$DK$8:$DK$1000*'ANALYSE - ERP =&gt; SOUS-SEGMENT'!$CU$8:$CU$1000)/SUMPRODUCT(('ANALYSE - ERP =&gt; SOUS-SEGMENT'!$C$8:$C$1000=$C24)*'ANALYSE - ERP =&gt; SOUS-SEGMENT'!$Q$8:$Q$1000*'ANALYSE - ERP =&gt; SOUS-SEGMENT'!$DK$8:$DK$1000),""))</f>
        <v>9.9495419965843812</v>
      </c>
      <c r="CV24" s="807">
        <f>IF($C24="","",IFERROR(SUMPRODUCT(('ANALYSE - ERP =&gt; SOUS-SEGMENT'!$C$8:$C$1000=$C24)*'ANALYSE - ERP =&gt; SOUS-SEGMENT'!$Q$8:$Q$1000*'ANALYSE - ERP =&gt; SOUS-SEGMENT'!$DS$8:$DS$1000*'ANALYSE - ERP =&gt; SOUS-SEGMENT'!$CV$8:$CV$1000)/SUMPRODUCT(('ANALYSE - ERP =&gt; SOUS-SEGMENT'!$C$8:$C$1000=$C24)*'ANALYSE - ERP =&gt; SOUS-SEGMENT'!$Q$8:$Q$1000*'ANALYSE - ERP =&gt; SOUS-SEGMENT'!$DS$8:$DS$1000),""))</f>
        <v>10.65752319483663</v>
      </c>
      <c r="CW24" s="808">
        <f>IF($C24="","",IFERROR(SUMPRODUCT(('ANALYSE - ERP =&gt; SOUS-SEGMENT'!$C$8:$C$1000=$C24)*'ANALYSE - ERP =&gt; SOUS-SEGMENT'!$Q$8:$Q$1000*'ANALYSE - ERP =&gt; SOUS-SEGMENT'!$DT$8:$DT$1000*'ANALYSE - ERP =&gt; SOUS-SEGMENT'!$CW$8:$CW$1000)/SUMPRODUCT(('ANALYSE - ERP =&gt; SOUS-SEGMENT'!$C$8:$C$1000=$C24)*'ANALYSE - ERP =&gt; SOUS-SEGMENT'!$Q$8:$Q$1000*'ANALYSE - ERP =&gt; SOUS-SEGMENT'!$DT$8:$DT$1000),""))</f>
        <v>9.4358288770053491</v>
      </c>
      <c r="CX24" s="809">
        <f>IF($C24="","",IFERROR(SUMPRODUCT(('ANALYSE - ERP =&gt; SOUS-SEGMENT'!$C$8:$C$1000=$C24)*'ANALYSE - ERP =&gt; SOUS-SEGMENT'!$Q$8:$Q$1000*'ANALYSE - ERP =&gt; SOUS-SEGMENT'!$DU$8:$DU$1000*'ANALYSE - ERP =&gt; SOUS-SEGMENT'!$CX$8:$CX$1000)/SUMPRODUCT(('ANALYSE - ERP =&gt; SOUS-SEGMENT'!$C$8:$C$1000=$C24)*'ANALYSE - ERP =&gt; SOUS-SEGMENT'!$Q$8:$Q$1000*'ANALYSE - ERP =&gt; SOUS-SEGMENT'!$DU$8:$DU$1000),""))</f>
        <v>7.2398822663723319</v>
      </c>
      <c r="CY24" s="807">
        <f>IF($C24="","",IFERROR(SUMPRODUCT(('ANALYSE - ERP =&gt; SOUS-SEGMENT'!$C$8:$C$1000=$C24)*'ANALYSE - ERP =&gt; SOUS-SEGMENT'!$Q$8:$Q$1000*'ANALYSE - ERP =&gt; SOUS-SEGMENT'!$EB$8:$EB$1000*'ANALYSE - ERP =&gt; SOUS-SEGMENT'!$CY$8:$CY$1000)/SUMPRODUCT(('ANALYSE - ERP =&gt; SOUS-SEGMENT'!$C$8:$C$1000=$C24)*'ANALYSE - ERP =&gt; SOUS-SEGMENT'!$Q$8:$Q$1000*'ANALYSE - ERP =&gt; SOUS-SEGMENT'!$EB$8:$EB$1000),""))</f>
        <v>8.9163987138263661</v>
      </c>
      <c r="CZ24" s="808">
        <f>IF($C24="","",IFERROR(SUMPRODUCT(('ANALYSE - ERP =&gt; SOUS-SEGMENT'!$C$8:$C$1000=$C24)*'ANALYSE - ERP =&gt; SOUS-SEGMENT'!$Q$8:$Q$1000*'ANALYSE - ERP =&gt; SOUS-SEGMENT'!$EC$8:$EC$1000*'ANALYSE - ERP =&gt; SOUS-SEGMENT'!$CZ$8:$CZ$1000)/SUMPRODUCT(('ANALYSE - ERP =&gt; SOUS-SEGMENT'!$C$8:$C$1000=$C24)*'ANALYSE - ERP =&gt; SOUS-SEGMENT'!$Q$8:$Q$1000*'ANALYSE - ERP =&gt; SOUS-SEGMENT'!$EC$8:$EC$1000),""))</f>
        <v>11</v>
      </c>
      <c r="DA24" s="808">
        <f>IF($C24="","",IFERROR(SUMPRODUCT(('ANALYSE - ERP =&gt; SOUS-SEGMENT'!$C$8:$C$1000=$C24)*'ANALYSE - ERP =&gt; SOUS-SEGMENT'!$Q$8:$Q$1000*'ANALYSE - ERP =&gt; SOUS-SEGMENT'!$ED$8:$ED$1000*'ANALYSE - ERP =&gt; SOUS-SEGMENT'!$DA$8:$DA$1000)/SUMPRODUCT(('ANALYSE - ERP =&gt; SOUS-SEGMENT'!$C$8:$C$1000=$C24)*'ANALYSE - ERP =&gt; SOUS-SEGMENT'!$Q$8:$Q$1000*'ANALYSE - ERP =&gt; SOUS-SEGMENT'!$ED$8:$ED$1000),""))</f>
        <v>7.0439337614058815</v>
      </c>
      <c r="DB24" s="809">
        <f>IF($C24="","",IFERROR(SUMPRODUCT(('ANALYSE - ERP =&gt; SOUS-SEGMENT'!$C$8:$C$1000=$C24)*'ANALYSE - ERP =&gt; SOUS-SEGMENT'!$Q$8:$Q$1000*'ANALYSE - ERP =&gt; SOUS-SEGMENT'!$EE$8:$EE$1000*'ANALYSE - ERP =&gt; SOUS-SEGMENT'!$DB$8:$DB$1000)/SUMPRODUCT(('ANALYSE - ERP =&gt; SOUS-SEGMENT'!$C$8:$C$1000=$C24)*'ANALYSE - ERP =&gt; SOUS-SEGMENT'!$Q$8:$Q$1000*'ANALYSE - ERP =&gt; SOUS-SEGMENT'!$EE$8:$EE$1000),""))</f>
        <v>8.9999999999999982</v>
      </c>
      <c r="DC24" s="807">
        <f>IF($C24="","",IFERROR(SUMPRODUCT(('ANALYSE - ERP =&gt; SOUS-SEGMENT'!$C$8:$C$1000=$C24)*'ANALYSE - ERP =&gt; SOUS-SEGMENT'!$Q$8:$Q$1000*'ANALYSE - ERP =&gt; SOUS-SEGMENT'!$EM$8:$EM$1000*'ANALYSE - ERP =&gt; SOUS-SEGMENT'!$DC$8:$DC$1000)/SUMPRODUCT(('ANALYSE - ERP =&gt; SOUS-SEGMENT'!$C$8:$C$1000=$C24)*'ANALYSE - ERP =&gt; SOUS-SEGMENT'!$Q$8:$Q$1000*'ANALYSE - ERP =&gt; SOUS-SEGMENT'!$EM$8:$EM$1000),""))</f>
        <v>11.833023396618087</v>
      </c>
      <c r="DD24" s="808">
        <f>IF($C24="","",IFERROR(SUMPRODUCT(('ANALYSE - ERP =&gt; SOUS-SEGMENT'!$C$8:$C$1000=$C24)*'ANALYSE - ERP =&gt; SOUS-SEGMENT'!$Q$8:$Q$1000*'ANALYSE - ERP =&gt; SOUS-SEGMENT'!$EN$8:$EN$1000*'ANALYSE - ERP =&gt; SOUS-SEGMENT'!$DD$8:$DD$1000)/SUMPRODUCT(('ANALYSE - ERP =&gt; SOUS-SEGMENT'!$C$8:$C$1000=$C24)*'ANALYSE - ERP =&gt; SOUS-SEGMENT'!$Q$8:$Q$1000*'ANALYSE - ERP =&gt; SOUS-SEGMENT'!$EN$8:$EN$1000),""))</f>
        <v>11.999999999999998</v>
      </c>
      <c r="DE24" s="809">
        <f>IF($C24="","",IFERROR(SUMPRODUCT(('ANALYSE - ERP =&gt; SOUS-SEGMENT'!$C$8:$C$1000=$C24)*'ANALYSE - ERP =&gt; SOUS-SEGMENT'!$Q$8:$Q$1000*'ANALYSE - ERP =&gt; SOUS-SEGMENT'!$EO$8:$EO$1000*'ANALYSE - ERP =&gt; SOUS-SEGMENT'!$DE$8:$DE$1000)/SUMPRODUCT(('ANALYSE - ERP =&gt; SOUS-SEGMENT'!$C$8:$C$1000=$C24)*'ANALYSE - ERP =&gt; SOUS-SEGMENT'!$Q$8:$Q$1000*'ANALYSE - ERP =&gt; SOUS-SEGMENT'!$EO$8:$EO$1000),""))</f>
        <v>8.0449619552686187</v>
      </c>
      <c r="DF24" s="921" t="s">
        <v>5806</v>
      </c>
      <c r="DG24" s="657"/>
      <c r="DH24" s="288">
        <f>IF($C24="","",SUMPRODUCT(('ANALYSE - ERP =&gt; SOUS-SEGMENT'!$C$8:$C$1000=$C24)*'ANALYSE - ERP =&gt; SOUS-SEGMENT'!$Q$8:$Q$1000*'ANALYSE - ERP =&gt; SOUS-SEGMENT'!$DH$8:$DH$1000))</f>
        <v>32010.720000000001</v>
      </c>
      <c r="DI24" s="288">
        <f>IF($C24="","",SUMPRODUCT(('ANALYSE - ERP =&gt; SOUS-SEGMENT'!$C$8:$C$1000=$C24)*'ANALYSE - ERP =&gt; SOUS-SEGMENT'!$Q$8:$Q$1000*'ANALYSE - ERP =&gt; SOUS-SEGMENT'!$DI$8:$DI$1000))</f>
        <v>49296.800000000003</v>
      </c>
      <c r="DJ24" s="288">
        <f>IF($C24="","",SUMPRODUCT(('ANALYSE - ERP =&gt; SOUS-SEGMENT'!$C$8:$C$1000=$C24)*'ANALYSE - ERP =&gt; SOUS-SEGMENT'!$Q$8:$Q$1000*'ANALYSE - ERP =&gt; SOUS-SEGMENT'!$DJ$8:$DJ$1000))</f>
        <v>16595.68</v>
      </c>
      <c r="DK24" s="288">
        <f>IF($C24="","",SUMPRODUCT(('ANALYSE - ERP =&gt; SOUS-SEGMENT'!$C$8:$C$1000=$C24)*'ANALYSE - ERP =&gt; SOUS-SEGMENT'!$Q$8:$Q$1000*'ANALYSE - ERP =&gt; SOUS-SEGMENT'!$DK$8:$DK$1000))</f>
        <v>5152.8</v>
      </c>
      <c r="DL24" s="922" t="s">
        <v>5807</v>
      </c>
      <c r="DM24" s="288">
        <f>IF($C24="","",SUMPRODUCT(('ANALYSE - ERP =&gt; SOUS-SEGMENT'!$C$8:$C$1000=$C24)*'ANALYSE - ERP =&gt; SOUS-SEGMENT'!$Q$8:$Q$1000*'ANALYSE - ERP =&gt; SOUS-SEGMENT'!$DM$8:$DM$1000))</f>
        <v>27689.599999999999</v>
      </c>
      <c r="DN24" s="288">
        <f>IF($C24="","",SUMPRODUCT(('ANALYSE - ERP =&gt; SOUS-SEGMENT'!$C$8:$C$1000=$C24)*'ANALYSE - ERP =&gt; SOUS-SEGMENT'!$Q$8:$Q$1000*'ANALYSE - ERP =&gt; SOUS-SEGMENT'!$DN$8:$DN$1000))</f>
        <v>47834</v>
      </c>
      <c r="DO24" s="288">
        <f>IF($C24="","",SUMPRODUCT(('ANALYSE - ERP =&gt; SOUS-SEGMENT'!$C$8:$C$1000=$C24)*'ANALYSE - ERP =&gt; SOUS-SEGMENT'!$Q$8:$Q$1000*'ANALYSE - ERP =&gt; SOUS-SEGMENT'!$DO$8:$DO$1000))</f>
        <v>22166.400000000001</v>
      </c>
      <c r="DP24" s="288">
        <f>IF($C24="","",SUMPRODUCT(('ANALYSE - ERP =&gt; SOUS-SEGMENT'!$C$8:$C$1000=$C24)*'ANALYSE - ERP =&gt; SOUS-SEGMENT'!$Q$8:$Q$1000*'ANALYSE - ERP =&gt; SOUS-SEGMENT'!$DP$8:$DP$1000))</f>
        <v>4430</v>
      </c>
      <c r="DQ24" s="922" t="s">
        <v>5808</v>
      </c>
      <c r="DR24" s="657"/>
      <c r="DS24" s="288">
        <f>IF($C24="","",SUMPRODUCT(('ANALYSE - ERP =&gt; SOUS-SEGMENT'!$C$8:$C$1000=$C24)*'ANALYSE - ERP =&gt; SOUS-SEGMENT'!$Q$8:$Q$1000*'ANALYSE - ERP =&gt; SOUS-SEGMENT'!$DS$8:$DS$1000))</f>
        <v>1586.56</v>
      </c>
      <c r="DT24" s="288">
        <f>IF($C24="","",SUMPRODUCT(('ANALYSE - ERP =&gt; SOUS-SEGMENT'!$C$8:$C$1000=$C24)*'ANALYSE - ERP =&gt; SOUS-SEGMENT'!$Q$8:$Q$1000*'ANALYSE - ERP =&gt; SOUS-SEGMENT'!$DT$8:$DT$1000))</f>
        <v>1914.88</v>
      </c>
      <c r="DU24" s="288">
        <f>IF($C24="","",SUMPRODUCT(('ANALYSE - ERP =&gt; SOUS-SEGMENT'!$C$8:$C$1000=$C24)*'ANALYSE - ERP =&gt; SOUS-SEGMENT'!$Q$8:$Q$1000*'ANALYSE - ERP =&gt; SOUS-SEGMENT'!$DU$8:$DU$1000))</f>
        <v>869.7600000000001</v>
      </c>
      <c r="DV24" s="922" t="s">
        <v>5809</v>
      </c>
      <c r="DW24" s="288">
        <f>IF($C24="","",SUMPRODUCT(('ANALYSE - ERP =&gt; SOUS-SEGMENT'!$C$8:$C$1000=$C24)*'ANALYSE - ERP =&gt; SOUS-SEGMENT'!$Q$8:$Q$1000*'ANALYSE - ERP =&gt; SOUS-SEGMENT'!$DW$8:$DW$1000))</f>
        <v>1370.5600000000002</v>
      </c>
      <c r="DX24" s="288">
        <f>IF($C24="","",SUMPRODUCT(('ANALYSE - ERP =&gt; SOUS-SEGMENT'!$C$8:$C$1000=$C24)*'ANALYSE - ERP =&gt; SOUS-SEGMENT'!$Q$8:$Q$1000*'ANALYSE - ERP =&gt; SOUS-SEGMENT'!$DX$8:$DX$1000))</f>
        <v>1969.32</v>
      </c>
      <c r="DY24" s="288">
        <f>IF($C24="","",SUMPRODUCT(('ANALYSE - ERP =&gt; SOUS-SEGMENT'!$C$8:$C$1000=$C24)*'ANALYSE - ERP =&gt; SOUS-SEGMENT'!$Q$8:$Q$1000*'ANALYSE - ERP =&gt; SOUS-SEGMENT'!$DY$8:$DY$1000))</f>
        <v>1004.1200000000001</v>
      </c>
      <c r="DZ24" s="922" t="s">
        <v>5810</v>
      </c>
      <c r="EA24" s="657"/>
      <c r="EB24" s="288">
        <f>IF($C24="","",SUMPRODUCT(('ANALYSE - ERP =&gt; SOUS-SEGMENT'!$C$8:$C$1000=$C24)*'ANALYSE - ERP =&gt; SOUS-SEGMENT'!$Q$8:$Q$1000*'ANALYSE - ERP =&gt; SOUS-SEGMENT'!$EB$8:$EB$1000))</f>
        <v>2488</v>
      </c>
      <c r="EC24" s="288">
        <f>IF($C24="","",SUMPRODUCT(('ANALYSE - ERP =&gt; SOUS-SEGMENT'!$C$8:$C$1000=$C24)*'ANALYSE - ERP =&gt; SOUS-SEGMENT'!$Q$8:$Q$1000*'ANALYSE - ERP =&gt; SOUS-SEGMENT'!$EC$8:$EC$1000))</f>
        <v>11861.92</v>
      </c>
      <c r="ED24" s="288">
        <f>IF($C24="","",SUMPRODUCT(('ANALYSE - ERP =&gt; SOUS-SEGMENT'!$C$8:$C$1000=$C24)*'ANALYSE - ERP =&gt; SOUS-SEGMENT'!$Q$8:$Q$1000*'ANALYSE - ERP =&gt; SOUS-SEGMENT'!$ED$8:$ED$1000))</f>
        <v>4734.3999999999996</v>
      </c>
      <c r="EE24" s="288">
        <f>IF($C24="","",SUMPRODUCT(('ANALYSE - ERP =&gt; SOUS-SEGMENT'!$C$8:$C$1000=$C24)*'ANALYSE - ERP =&gt; SOUS-SEGMENT'!$Q$8:$Q$1000*'ANALYSE - ERP =&gt; SOUS-SEGMENT'!$EE$8:$EE$1000))</f>
        <v>4755.68</v>
      </c>
      <c r="EF24" s="922" t="s">
        <v>5811</v>
      </c>
      <c r="EG24" s="288">
        <f>IF($C24="","",SUMPRODUCT(('ANALYSE - ERP =&gt; SOUS-SEGMENT'!$C$8:$C$1000=$C24)*'ANALYSE - ERP =&gt; SOUS-SEGMENT'!$Q$8:$Q$1000*'ANALYSE - ERP =&gt; SOUS-SEGMENT'!$EG$8:$EG$1000))</f>
        <v>1963.1999999999998</v>
      </c>
      <c r="EH24" s="288">
        <f>IF($C24="","",SUMPRODUCT(('ANALYSE - ERP =&gt; SOUS-SEGMENT'!$C$8:$C$1000=$C24)*'ANALYSE - ERP =&gt; SOUS-SEGMENT'!$Q$8:$Q$1000*'ANALYSE - ERP =&gt; SOUS-SEGMENT'!$EH$8:$EH$1000))</f>
        <v>11369.8</v>
      </c>
      <c r="EI24" s="288">
        <f>IF($C24="","",SUMPRODUCT(('ANALYSE - ERP =&gt; SOUS-SEGMENT'!$C$8:$C$1000=$C24)*'ANALYSE - ERP =&gt; SOUS-SEGMENT'!$Q$8:$Q$1000*'ANALYSE - ERP =&gt; SOUS-SEGMENT'!$EI$8:$EI$1000))</f>
        <v>5315.4</v>
      </c>
      <c r="EJ24" s="288">
        <f>IF($C24="","",SUMPRODUCT(('ANALYSE - ERP =&gt; SOUS-SEGMENT'!$C$8:$C$1000=$C24)*'ANALYSE - ERP =&gt; SOUS-SEGMENT'!$Q$8:$Q$1000*'ANALYSE - ERP =&gt; SOUS-SEGMENT'!$EJ$8:$EJ$1000))</f>
        <v>4911.5999999999995</v>
      </c>
      <c r="EK24" s="922" t="s">
        <v>5812</v>
      </c>
      <c r="EL24" s="657"/>
      <c r="EM24" s="288">
        <f>IF($C24="","",SUMPRODUCT(('ANALYSE - ERP =&gt; SOUS-SEGMENT'!$C$8:$C$1000=$C24)*'ANALYSE - ERP =&gt; SOUS-SEGMENT'!$Q$8:$Q$1000*'ANALYSE - ERP =&gt; SOUS-SEGMENT'!$EM$8:$EM$1000))</f>
        <v>46246</v>
      </c>
      <c r="EN24" s="291">
        <f>IF($C24="","",SUMPRODUCT(('ANALYSE - ERP =&gt; SOUS-SEGMENT'!$C$8:$C$1000=$C24)*'ANALYSE - ERP =&gt; SOUS-SEGMENT'!$Q$8:$Q$1000*'ANALYSE - ERP =&gt; SOUS-SEGMENT'!$EN$8:$EN$1000))</f>
        <v>33908.800000000003</v>
      </c>
      <c r="EO24" s="291">
        <f>IF($C24="","",SUMPRODUCT(('ANALYSE - ERP =&gt; SOUS-SEGMENT'!$C$8:$C$1000=$C24)*'ANALYSE - ERP =&gt; SOUS-SEGMENT'!$Q$8:$Q$1000*'ANALYSE - ERP =&gt; SOUS-SEGMENT'!$EO$8:$EO$1000))</f>
        <v>15613.2</v>
      </c>
      <c r="EP24" s="922" t="s">
        <v>5813</v>
      </c>
      <c r="EQ24" s="288">
        <f>IF($C24="","",SUMPRODUCT(('ANALYSE - ERP =&gt; SOUS-SEGMENT'!$C$8:$C$1000=$C24)*'ANALYSE - ERP =&gt; SOUS-SEGMENT'!$Q$8:$Q$1000*'ANALYSE - ERP =&gt; SOUS-SEGMENT'!$EQ$8:$EQ$1000))</f>
        <v>39590.300000000003</v>
      </c>
      <c r="ER24" s="291">
        <f>IF($C24="","",SUMPRODUCT(('ANALYSE - ERP =&gt; SOUS-SEGMENT'!$C$8:$C$1000=$C24)*'ANALYSE - ERP =&gt; SOUS-SEGMENT'!$Q$8:$Q$1000*'ANALYSE - ERP =&gt; SOUS-SEGMENT'!$ER$8:$ER$1000))</f>
        <v>37084.25</v>
      </c>
      <c r="ES24" s="291">
        <f>IF($C24="","",SUMPRODUCT(('ANALYSE - ERP =&gt; SOUS-SEGMENT'!$C$8:$C$1000=$C24)*'ANALYSE - ERP =&gt; SOUS-SEGMENT'!$Q$8:$Q$1000*'ANALYSE - ERP =&gt; SOUS-SEGMENT'!$ES$8:$ES$1000))</f>
        <v>18250.45</v>
      </c>
      <c r="ET24" s="922" t="s">
        <v>5814</v>
      </c>
      <c r="EU24" s="657"/>
      <c r="EV24" s="740">
        <f t="shared" si="31"/>
        <v>0.85166493681080624</v>
      </c>
      <c r="EW24" s="740">
        <f t="shared" si="32"/>
        <v>0.14833506318919371</v>
      </c>
      <c r="EX24" s="563">
        <f t="shared" si="33"/>
        <v>103090.67102021519</v>
      </c>
      <c r="EY24" s="563">
        <f t="shared" si="34"/>
        <v>87798.709820215183</v>
      </c>
      <c r="EZ24" s="563">
        <f t="shared" si="35"/>
        <v>15291.9612</v>
      </c>
      <c r="FA24" s="563">
        <f t="shared" si="36"/>
        <v>46671.190011106053</v>
      </c>
      <c r="FB24" s="563">
        <f>IF($C24="","",SUMPRODUCT(('ANALYSE - ERP =&gt; SOUS-SEGMENT'!$C$8:$C$1000=$C24)*'ANALYSE - ERP =&gt; SOUS-SEGMENT'!$Q$8:$Q$1000*'ANALYSE - ERP =&gt; SOUS-SEGMENT'!$FB$8:$FB$1000))</f>
        <v>39710.458011106057</v>
      </c>
      <c r="FC24" s="563">
        <f>IF($C24="","",SUMPRODUCT(('ANALYSE - ERP =&gt; SOUS-SEGMENT'!$C$8:$C$1000=$C24)*'ANALYSE - ERP =&gt; SOUS-SEGMENT'!$Q$8:$Q$1000*'ANALYSE - ERP =&gt; SOUS-SEGMENT'!$FC$8:$FC$1000))</f>
        <v>6960.732</v>
      </c>
      <c r="FD24" s="563">
        <f t="shared" si="37"/>
        <v>2227.1270124819625</v>
      </c>
      <c r="FE24" s="563">
        <f>IF($C24="","",SUMPRODUCT(('ANALYSE - ERP =&gt; SOUS-SEGMENT'!$C$8:$C$1000=$C24)*'ANALYSE - ERP =&gt; SOUS-SEGMENT'!$Q$8:$Q$1000*'ANALYSE - ERP =&gt; SOUS-SEGMENT'!$FE$8:$FE$1000))</f>
        <v>1945.6390124819627</v>
      </c>
      <c r="FF24" s="563">
        <f>IF($C24="","",SUMPRODUCT(('ANALYSE - ERP =&gt; SOUS-SEGMENT'!$C$8:$C$1000=$C24)*'ANALYSE - ERP =&gt; SOUS-SEGMENT'!$Q$8:$Q$1000*'ANALYSE - ERP =&gt; SOUS-SEGMENT'!$FF$8:$FF$1000))</f>
        <v>281.488</v>
      </c>
      <c r="FG24" s="563">
        <f t="shared" si="38"/>
        <v>12159.989233335498</v>
      </c>
      <c r="FH24" s="563">
        <f>IF($C24="","",SUMPRODUCT(('ANALYSE - ERP =&gt; SOUS-SEGMENT'!$C$8:$C$1000=$C24)*'ANALYSE - ERP =&gt; SOUS-SEGMENT'!$Q$8:$Q$1000*'ANALYSE - ERP =&gt; SOUS-SEGMENT'!$FH$8:$FH$1000))</f>
        <v>10572.330833335498</v>
      </c>
      <c r="FI24" s="563">
        <f>IF($C24="","",SUMPRODUCT(('ANALYSE - ERP =&gt; SOUS-SEGMENT'!$C$8:$C$1000=$C24)*'ANALYSE - ERP =&gt; SOUS-SEGMENT'!$Q$8:$Q$1000*'ANALYSE - ERP =&gt; SOUS-SEGMENT'!$FI$8:$FI$1000))</f>
        <v>1587.6584</v>
      </c>
      <c r="FJ24" s="563">
        <f t="shared" si="39"/>
        <v>42032.364763291669</v>
      </c>
      <c r="FK24" s="563">
        <f>IF($C24="","",SUMPRODUCT(('ANALYSE - ERP =&gt; SOUS-SEGMENT'!$C$8:$C$1000=$C24)*'ANALYSE - ERP =&gt; SOUS-SEGMENT'!$Q$8:$Q$1000*'ANALYSE - ERP =&gt; SOUS-SEGMENT'!$FK$8:$FK$1000))</f>
        <v>35570.281963291665</v>
      </c>
      <c r="FL24" s="563">
        <f>IF($C24="","",SUMPRODUCT(('ANALYSE - ERP =&gt; SOUS-SEGMENT'!$C$8:$C$1000=$C24)*'ANALYSE - ERP =&gt; SOUS-SEGMENT'!$Q$8:$Q$1000*'ANALYSE - ERP =&gt; SOUS-SEGMENT'!$FL$8:$FL$1000))</f>
        <v>6462.0828000000001</v>
      </c>
      <c r="FM24" s="529"/>
      <c r="FN24" s="961" t="s">
        <v>2649</v>
      </c>
      <c r="FO24" s="740">
        <f>IF($C24="","",IFERROR(SUMPRODUCT(('ANALYSE - ERP =&gt; SOUS-SEGMENT'!$C$8:$C$1000=$C24)*'ANALYSE - ERP =&gt; SOUS-SEGMENT'!$Q$8:$Q$1000*'ANALYSE - ERP =&gt; SOUS-SEGMENT'!$AF$8:$AF$1000*'ANALYSE - ERP =&gt; SOUS-SEGMENT'!$FO$8:$FO$1000)/SUMPRODUCT(('ANALYSE - ERP =&gt; SOUS-SEGMENT'!$C$8:$C$1000=$C24)*'ANALYSE - ERP =&gt; SOUS-SEGMENT'!$Q$8:$Q$1000*'ANALYSE - ERP =&gt; SOUS-SEGMENT'!$AF$8:$AF$1000),""))</f>
        <v>5.5285151515151509E-2</v>
      </c>
      <c r="FP24" s="741">
        <f>IF($C24="","",IFERROR(SUMPRODUCT(('ANALYSE - ERP =&gt; SOUS-SEGMENT'!$C$8:$C$1000=$C24)*'ANALYSE - ERP =&gt; SOUS-SEGMENT'!$Q$8:$Q$1000*'ANALYSE - ERP =&gt; SOUS-SEGMENT'!$AF$8:$AF$1000*'ANALYSE - ERP =&gt; SOUS-SEGMENT'!$FP$8:$FP$1000)/SUMPRODUCT(('ANALYSE - ERP =&gt; SOUS-SEGMENT'!$C$8:$C$1000=$C24)*'ANALYSE - ERP =&gt; SOUS-SEGMENT'!$Q$8:$Q$1000*'ANALYSE - ERP =&gt; SOUS-SEGMENT'!$AF$8:$AF$1000),""))</f>
        <v>0.81672767676767677</v>
      </c>
      <c r="FQ24" s="961" t="s">
        <v>5815</v>
      </c>
      <c r="FR24" s="529"/>
      <c r="FS24" s="867">
        <f>IF($C24="","",IFERROR(SUMPRODUCT(('ANALYSE - ERP =&gt; SOUS-SEGMENT'!$C$8:$C$1000=$C24)*'ANALYSE - ERP =&gt; SOUS-SEGMENT'!$Q$8:$Q$1000*'ANALYSE - ERP =&gt; SOUS-SEGMENT'!$EX$8:$EX$1000*'ANALYSE - ERP =&gt; SOUS-SEGMENT'!$FS$8:$FS$1000)/SUMPRODUCT(('ANALYSE - ERP =&gt; SOUS-SEGMENT'!$C$8:$C$1000=$C24)*'ANALYSE - ERP =&gt; SOUS-SEGMENT'!$Q$8:$Q$1000*'ANALYSE - ERP =&gt; SOUS-SEGMENT'!$EX$8:$EX$1000),""))</f>
        <v>3.5118350843260924</v>
      </c>
      <c r="FT24" s="566">
        <f>IF($C24="","",RANK($FS24,$FS$8:$FS$43,0)+COUNTIF($FS$8:$FS24,$FS24)-1)</f>
        <v>11</v>
      </c>
      <c r="FU24" s="867">
        <f>IF($C24="","",IFERROR(SUMPRODUCT(('ANALYSE - ERP =&gt; SOUS-SEGMENT'!$C$8:$C$1000=$C24)*'ANALYSE - ERP =&gt; SOUS-SEGMENT'!$Q$8:$Q$1000*'ANALYSE - ERP =&gt; SOUS-SEGMENT'!$EY$8:$EY$1000*'ANALYSE - ERP =&gt; SOUS-SEGMENT'!$FU$8:$FU$1000)/SUMPRODUCT(('ANALYSE - ERP =&gt; SOUS-SEGMENT'!$C$8:$C$1000=$C24)*'ANALYSE - ERP =&gt; SOUS-SEGMENT'!$Q$8:$Q$1000*'ANALYSE - ERP =&gt; SOUS-SEGMENT'!$EY$8:$EY$1000),""))</f>
        <v>4.1325080827454403</v>
      </c>
      <c r="FV24" s="566">
        <f>IF($C24="","",RANK($FU24,$FU$8:$FU$43,0)+COUNTIF($FU$8:$FU24,$FU24)-1)</f>
        <v>14</v>
      </c>
      <c r="FW24" s="867">
        <f>IF($C24="","",IFERROR(SUMPRODUCT(('ANALYSE - ERP =&gt; SOUS-SEGMENT'!$C$8:$C$1000=$C24)*'ANALYSE - ERP =&gt; SOUS-SEGMENT'!$Q$8:$Q$1000*'ANALYSE - ERP =&gt; SOUS-SEGMENT'!$EZ$8:$EZ$1000*'ANALYSE - ERP =&gt; SOUS-SEGMENT'!$FW$8:$FW$1000)/SUMPRODUCT(('ANALYSE - ERP =&gt; SOUS-SEGMENT'!$C$8:$C$1000=$C24)*'ANALYSE - ERP =&gt; SOUS-SEGMENT'!$Q$8:$Q$1000*'ANALYSE - ERP =&gt; SOUS-SEGMENT'!$EZ$8:$EZ$1000),""))</f>
        <v>2.4039462530156044</v>
      </c>
      <c r="FX24" s="566">
        <f>IF($C24="","",RANK($FW24,$FW$8:$FW$43,0)+COUNTIF($FW$8:$FW24,$FW24)-1)</f>
        <v>13</v>
      </c>
      <c r="FY24" s="529"/>
      <c r="FZ24" s="922" t="s">
        <v>5816</v>
      </c>
      <c r="GA24" s="922" t="s">
        <v>5817</v>
      </c>
      <c r="GB24" s="922" t="s">
        <v>5818</v>
      </c>
      <c r="GC24" s="922" t="s">
        <v>5819</v>
      </c>
      <c r="GD24" s="922" t="s">
        <v>5820</v>
      </c>
      <c r="GE24" s="922" t="s">
        <v>5821</v>
      </c>
      <c r="GF24" s="923" t="s">
        <v>5822</v>
      </c>
      <c r="GG24" s="529"/>
      <c r="GH24" s="563">
        <f t="shared" si="40"/>
        <v>14113.695069818181</v>
      </c>
      <c r="GI24" s="563">
        <f>IF($C24="","",SUMPRODUCT(('ANALYSE - ERP =&gt; SOUS-SEGMENT'!$C$8:$C$1000=$C24)*'ANALYSE - ERP =&gt; SOUS-SEGMENT'!$Q$8:$Q$1000*'ANALYSE - ERP =&gt; SOUS-SEGMENT'!$GI$8:$GI$1000))</f>
        <v>12192.71474981818</v>
      </c>
      <c r="GJ24" s="563">
        <f>IF($C24="","",SUMPRODUCT(('ANALYSE - ERP =&gt; SOUS-SEGMENT'!$C$8:$C$1000=$C24)*'ANALYSE - ERP =&gt; SOUS-SEGMENT'!$Q$8:$Q$1000*'ANALYSE - ERP =&gt; SOUS-SEGMENT'!$GJ$8:$GJ$1000))</f>
        <v>1920.9803200000001</v>
      </c>
      <c r="GK24" s="563">
        <f t="shared" si="41"/>
        <v>20155.075225454548</v>
      </c>
      <c r="GL24" s="563">
        <f>IF($C24="","",SUMPRODUCT(('ANALYSE - ERP =&gt; SOUS-SEGMENT'!$C$8:$C$1000=$C24)*'ANALYSE - ERP =&gt; SOUS-SEGMENT'!$Q$8:$Q$1000*'ANALYSE - ERP =&gt; SOUS-SEGMENT'!$GL$8:$GL$1000))</f>
        <v>16950.783345454547</v>
      </c>
      <c r="GM24" s="563">
        <f>IF($C24="","",SUMPRODUCT(('ANALYSE - ERP =&gt; SOUS-SEGMENT'!$C$8:$C$1000=$C24)*'ANALYSE - ERP =&gt; SOUS-SEGMENT'!$Q$8:$Q$1000*'ANALYSE - ERP =&gt; SOUS-SEGMENT'!$GM$8:$GM$1000))</f>
        <v>3204.2918799999998</v>
      </c>
      <c r="GN24" s="563">
        <f t="shared" si="42"/>
        <v>9960.0118725000011</v>
      </c>
      <c r="GO24" s="563">
        <f>IF($C24="","",SUMPRODUCT(('ANALYSE - ERP =&gt; SOUS-SEGMENT'!$C$8:$C$1000=$C24)*'ANALYSE - ERP =&gt; SOUS-SEGMENT'!$Q$8:$Q$1000*'ANALYSE - ERP =&gt; SOUS-SEGMENT'!$GO$8:$GO$1000))</f>
        <v>8427.2446725000009</v>
      </c>
      <c r="GP24" s="563">
        <f>IF($C24="","",SUMPRODUCT(('ANALYSE - ERP =&gt; SOUS-SEGMENT'!$C$8:$C$1000=$C24)*'ANALYSE - ERP =&gt; SOUS-SEGMENT'!$Q$8:$Q$1000*'ANALYSE - ERP =&gt; SOUS-SEGMENT'!$GP$8:$GP$1000))</f>
        <v>1532.7672</v>
      </c>
      <c r="GQ24" s="563">
        <f t="shared" si="43"/>
        <v>2442.4078433333329</v>
      </c>
      <c r="GR24" s="563">
        <f>IF($C24="","",SUMPRODUCT(('ANALYSE - ERP =&gt; SOUS-SEGMENT'!$C$8:$C$1000=$C24)*'ANALYSE - ERP =&gt; SOUS-SEGMENT'!$Q$8:$Q$1000*'ANALYSE - ERP =&gt; SOUS-SEGMENT'!$GR$8:$GR$1000))</f>
        <v>2139.7152433333331</v>
      </c>
      <c r="GS24" s="563">
        <f>IF($C24="","",SUMPRODUCT(('ANALYSE - ERP =&gt; SOUS-SEGMENT'!$C$8:$C$1000=$C24)*'ANALYSE - ERP =&gt; SOUS-SEGMENT'!$Q$8:$Q$1000*'ANALYSE - ERP =&gt; SOUS-SEGMENT'!$GS$8:$GS$1000))</f>
        <v>302.69259999999997</v>
      </c>
      <c r="GT24" s="563">
        <f t="shared" si="44"/>
        <v>706.67314266666665</v>
      </c>
      <c r="GU24" s="563">
        <f>IF($C24="","",SUMPRODUCT(('ANALYSE - ERP =&gt; SOUS-SEGMENT'!$C$8:$C$1000=$C24)*'ANALYSE - ERP =&gt; SOUS-SEGMENT'!$Q$8:$Q$1000*'ANALYSE - ERP =&gt; SOUS-SEGMENT'!$GU$8:$GU$1000))</f>
        <v>619.09362266666665</v>
      </c>
      <c r="GV24" s="563">
        <f>IF($C24="","",SUMPRODUCT(('ANALYSE - ERP =&gt; SOUS-SEGMENT'!$C$8:$C$1000=$C24)*'ANALYSE - ERP =&gt; SOUS-SEGMENT'!$Q$8:$Q$1000*'ANALYSE - ERP =&gt; SOUS-SEGMENT'!$GV$8:$GV$1000))</f>
        <v>87.579520000000002</v>
      </c>
      <c r="GW24" s="563">
        <f t="shared" si="45"/>
        <v>963.88549454545466</v>
      </c>
      <c r="GX24" s="563">
        <f>IF($C24="","",SUMPRODUCT(('ANALYSE - ERP =&gt; SOUS-SEGMENT'!$C$8:$C$1000=$C24)*'ANALYSE - ERP =&gt; SOUS-SEGMENT'!$Q$8:$Q$1000*'ANALYSE - ERP =&gt; SOUS-SEGMENT'!$GX$8:$GX$1000))</f>
        <v>836.04405454545463</v>
      </c>
      <c r="GY24" s="563">
        <f>IF($C24="","",SUMPRODUCT(('ANALYSE - ERP =&gt; SOUS-SEGMENT'!$C$8:$C$1000=$C24)*'ANALYSE - ERP =&gt; SOUS-SEGMENT'!$Q$8:$Q$1000*'ANALYSE - ERP =&gt; SOUS-SEGMENT'!$GY$8:$GY$1000))</f>
        <v>127.84144000000001</v>
      </c>
      <c r="GZ24" s="563">
        <f t="shared" si="46"/>
        <v>556.56837526984134</v>
      </c>
      <c r="HA24" s="563">
        <f>IF($C24="","",SUMPRODUCT(('ANALYSE - ERP =&gt; SOUS-SEGMENT'!$C$8:$C$1000=$C24)*'ANALYSE - ERP =&gt; SOUS-SEGMENT'!$Q$8:$Q$1000*'ANALYSE - ERP =&gt; SOUS-SEGMENT'!$HA$8:$HA$1000))</f>
        <v>490.50133526984132</v>
      </c>
      <c r="HB24" s="563">
        <f>IF($C24="","",SUMPRODUCT(('ANALYSE - ERP =&gt; SOUS-SEGMENT'!$C$8:$C$1000=$C24)*'ANALYSE - ERP =&gt; SOUS-SEGMENT'!$Q$8:$Q$1000*'ANALYSE - ERP =&gt; SOUS-SEGMENT'!$HB$8:$HB$1000))</f>
        <v>66.067040000000006</v>
      </c>
      <c r="HC24" s="563">
        <f t="shared" si="47"/>
        <v>1291.7236636666667</v>
      </c>
      <c r="HD24" s="563">
        <f>IF($C24="","",SUMPRODUCT(('ANALYSE - ERP =&gt; SOUS-SEGMENT'!$C$8:$C$1000=$C24)*'ANALYSE - ERP =&gt; SOUS-SEGMENT'!$Q$8:$Q$1000*'ANALYSE - ERP =&gt; SOUS-SEGMENT'!$HD$8:$HD$1000))</f>
        <v>1153.7449036666667</v>
      </c>
      <c r="HE24" s="563">
        <f>IF($C24="","",SUMPRODUCT(('ANALYSE - ERP =&gt; SOUS-SEGMENT'!$C$8:$C$1000=$C24)*'ANALYSE - ERP =&gt; SOUS-SEGMENT'!$Q$8:$Q$1000*'ANALYSE - ERP =&gt; SOUS-SEGMENT'!$HE$8:$HE$1000))</f>
        <v>137.97875999999999</v>
      </c>
      <c r="HF24" s="563">
        <f t="shared" si="48"/>
        <v>5242.1900114545451</v>
      </c>
      <c r="HG24" s="563">
        <f>IF($C24="","",SUMPRODUCT(('ANALYSE - ERP =&gt; SOUS-SEGMENT'!$C$8:$C$1000=$C24)*'ANALYSE - ERP =&gt; SOUS-SEGMENT'!$Q$8:$Q$1000*'ANALYSE - ERP =&gt; SOUS-SEGMENT'!$HG$8:$HG$1000))</f>
        <v>4480.4013954545453</v>
      </c>
      <c r="HH24" s="563">
        <f>IF($C24="","",SUMPRODUCT(('ANALYSE - ERP =&gt; SOUS-SEGMENT'!$C$8:$C$1000=$C24)*'ANALYSE - ERP =&gt; SOUS-SEGMENT'!$Q$8:$Q$1000*'ANALYSE - ERP =&gt; SOUS-SEGMENT'!$HH$8:$HH$1000))</f>
        <v>761.78861600000005</v>
      </c>
      <c r="HI24" s="563">
        <f t="shared" si="49"/>
        <v>3100.1397887142857</v>
      </c>
      <c r="HJ24" s="563">
        <f>IF($C24="","",SUMPRODUCT(('ANALYSE - ERP =&gt; SOUS-SEGMENT'!$C$8:$C$1000=$C24)*'ANALYSE - ERP =&gt; SOUS-SEGMENT'!$Q$8:$Q$1000*'ANALYSE - ERP =&gt; SOUS-SEGMENT'!$HJ$8:$HJ$1000))</f>
        <v>2733.6781727142857</v>
      </c>
      <c r="HK24" s="563">
        <f>IF($C24="","",SUMPRODUCT(('ANALYSE - ERP =&gt; SOUS-SEGMENT'!$C$8:$C$1000=$C24)*'ANALYSE - ERP =&gt; SOUS-SEGMENT'!$Q$8:$Q$1000*'ANALYSE - ERP =&gt; SOUS-SEGMENT'!$HK$8:$HK$1000))</f>
        <v>366.46161600000005</v>
      </c>
      <c r="HL24" s="563">
        <f t="shared" si="50"/>
        <v>2525.9357694999994</v>
      </c>
      <c r="HM24" s="563">
        <f>IF($C24="","",SUMPRODUCT(('ANALYSE - ERP =&gt; SOUS-SEGMENT'!$C$8:$C$1000=$C24)*'ANALYSE - ERP =&gt; SOUS-SEGMENT'!$Q$8:$Q$1000*'ANALYSE - ERP =&gt; SOUS-SEGMENT'!$HM$8:$HM$1000))</f>
        <v>2204.5063614999995</v>
      </c>
      <c r="HN24" s="563">
        <f>IF($C24="","",SUMPRODUCT(('ANALYSE - ERP =&gt; SOUS-SEGMENT'!$C$8:$C$1000=$C24)*'ANALYSE - ERP =&gt; SOUS-SEGMENT'!$Q$8:$Q$1000*'ANALYSE - ERP =&gt; SOUS-SEGMENT'!$HN$8:$HN$1000))</f>
        <v>321.42940800000002</v>
      </c>
      <c r="HO24" s="563">
        <f t="shared" si="51"/>
        <v>18789.203887083335</v>
      </c>
      <c r="HP24" s="563">
        <f>IF($C24="","",SUMPRODUCT(('ANALYSE - ERP =&gt; SOUS-SEGMENT'!$C$8:$C$1000=$C24)*'ANALYSE - ERP =&gt; SOUS-SEGMENT'!$Q$8:$Q$1000*'ANALYSE - ERP =&gt; SOUS-SEGMENT'!$HP$8:$HP$1000))</f>
        <v>16070.003371083334</v>
      </c>
      <c r="HQ24" s="563">
        <f>IF($C24="","",SUMPRODUCT(('ANALYSE - ERP =&gt; SOUS-SEGMENT'!$C$8:$C$1000=$C24)*'ANALYSE - ERP =&gt; SOUS-SEGMENT'!$Q$8:$Q$1000*'ANALYSE - ERP =&gt; SOUS-SEGMENT'!$HQ$8:$HQ$1000))</f>
        <v>2719.2005159999999</v>
      </c>
      <c r="HR24" s="563">
        <f t="shared" si="52"/>
        <v>14035.559338333333</v>
      </c>
      <c r="HS24" s="563">
        <f>IF($C24="","",SUMPRODUCT(('ANALYSE - ERP =&gt; SOUS-SEGMENT'!$C$8:$C$1000=$C24)*'ANALYSE - ERP =&gt; SOUS-SEGMENT'!$Q$8:$Q$1000*'ANALYSE - ERP =&gt; SOUS-SEGMENT'!$HS$8:$HS$1000))</f>
        <v>11528.484358333331</v>
      </c>
      <c r="HT24" s="563">
        <f>IF($C24="","",SUMPRODUCT(('ANALYSE - ERP =&gt; SOUS-SEGMENT'!$C$8:$C$1000=$C24)*'ANALYSE - ERP =&gt; SOUS-SEGMENT'!$Q$8:$Q$1000*'ANALYSE - ERP =&gt; SOUS-SEGMENT'!$HT$8:$HT$1000))</f>
        <v>2507.0749800000003</v>
      </c>
      <c r="HU24" s="563">
        <f t="shared" si="53"/>
        <v>9207.6015378749998</v>
      </c>
      <c r="HV24" s="563">
        <f>IF($C24="","",SUMPRODUCT(('ANALYSE - ERP =&gt; SOUS-SEGMENT'!$C$8:$C$1000=$C24)*'ANALYSE - ERP =&gt; SOUS-SEGMENT'!$Q$8:$Q$1000*'ANALYSE - ERP =&gt; SOUS-SEGMENT'!$HV$8:$HV$1000))</f>
        <v>7971.7942338749999</v>
      </c>
      <c r="HW24" s="563">
        <f>IF($C24="","",SUMPRODUCT(('ANALYSE - ERP =&gt; SOUS-SEGMENT'!$C$8:$C$1000=$C24)*'ANALYSE - ERP =&gt; SOUS-SEGMENT'!$Q$8:$Q$1000*'ANALYSE - ERP =&gt; SOUS-SEGMENT'!$HW$8:$HW$1000))</f>
        <v>1235.8073039999999</v>
      </c>
      <c r="HX24" s="544"/>
      <c r="HY24" s="568">
        <f t="shared" si="54"/>
        <v>225992</v>
      </c>
      <c r="HZ24" s="568">
        <f>IF($C24="","",SUMPRODUCT(('ANALYSE - ERP =&gt; SOUS-SEGMENT'!$C$8:$C$1000=$C24)*'ANALYSE - ERP =&gt; SOUS-SEGMENT'!$Q$8:$Q$1000*'ANALYSE - ERP =&gt; SOUS-SEGMENT'!$HZ$8:$HZ$1000))</f>
        <v>4761.4664000000002</v>
      </c>
      <c r="IA24" s="568">
        <f>IF($C24="","",SUMPRODUCT(('ANALYSE - ERP =&gt; SOUS-SEGMENT'!$C$8:$C$1000=$C24)*'ANALYSE - ERP =&gt; SOUS-SEGMENT'!$Q$8:$Q$1000*'ANALYSE - ERP =&gt; SOUS-SEGMENT'!$IA$8:$IA$1000))</f>
        <v>71693.296000000002</v>
      </c>
      <c r="IB24" s="568">
        <f>IF($C24="","",SUMPRODUCT(('ANALYSE - ERP =&gt; SOUS-SEGMENT'!$C$8:$C$1000=$C24)*'ANALYSE - ERP =&gt; SOUS-SEGMENT'!$Q$8:$Q$1000*'ANALYSE - ERP =&gt; SOUS-SEGMENT'!$IB$8:$IB$1000))</f>
        <v>109367.73759999999</v>
      </c>
      <c r="IC24" s="568">
        <f>IF($C24="","",SUMPRODUCT(('ANALYSE - ERP =&gt; SOUS-SEGMENT'!$C$8:$C$1000=$C24)*'ANALYSE - ERP =&gt; SOUS-SEGMENT'!$Q$8:$Q$1000*'ANALYSE - ERP =&gt; SOUS-SEGMENT'!$IC$8:$IC$1000))</f>
        <v>36719.112000000001</v>
      </c>
      <c r="ID24" s="568">
        <f>IF($C24="","",SUMPRODUCT(('ANALYSE - ERP =&gt; SOUS-SEGMENT'!$C$8:$C$1000=$C24)*'ANALYSE - ERP =&gt; SOUS-SEGMENT'!$Q$8:$Q$1000*'ANALYSE - ERP =&gt; SOUS-SEGMENT'!$ID$8:$ID$1000))</f>
        <v>3450.3879999999999</v>
      </c>
      <c r="IE24" s="568">
        <f t="shared" si="55"/>
        <v>87382.633873447499</v>
      </c>
      <c r="IF24" s="568">
        <f>IF($C24="","",SUMPRODUCT(('ANALYSE - ERP =&gt; SOUS-SEGMENT'!$C$8:$C$1000=$C24)*'ANALYSE - ERP =&gt; SOUS-SEGMENT'!$Q$8:$Q$1000*'ANALYSE - ERP =&gt; SOUS-SEGMENT'!$IF$8:$IF$1000))</f>
        <v>514.27176066852576</v>
      </c>
      <c r="IG24" s="568">
        <f>IF($C24="","",SUMPRODUCT(('ANALYSE - ERP =&gt; SOUS-SEGMENT'!$C$8:$C$1000=$C24)*'ANALYSE - ERP =&gt; SOUS-SEGMENT'!$Q$8:$Q$1000*'ANALYSE - ERP =&gt; SOUS-SEGMENT'!$IG$8:$IG$1000))</f>
        <v>24529.596871435584</v>
      </c>
      <c r="IH24" s="568">
        <f>IF($C24="","",SUMPRODUCT(('ANALYSE - ERP =&gt; SOUS-SEGMENT'!$C$8:$C$1000=$C24)*'ANALYSE - ERP =&gt; SOUS-SEGMENT'!$Q$8:$Q$1000*'ANALYSE - ERP =&gt; SOUS-SEGMENT'!$IH$8:$IH$1000))</f>
        <v>44322.419713000076</v>
      </c>
      <c r="II24" s="568">
        <f>IF($C24="","",SUMPRODUCT(('ANALYSE - ERP =&gt; SOUS-SEGMENT'!$C$8:$C$1000=$C24)*'ANALYSE - ERP =&gt; SOUS-SEGMENT'!$Q$8:$Q$1000*'ANALYSE - ERP =&gt; SOUS-SEGMENT'!$II$8:$II$1000))</f>
        <v>16207.491490513121</v>
      </c>
      <c r="IJ24" s="568">
        <f>IF($C24="","",SUMPRODUCT(('ANALYSE - ERP =&gt; SOUS-SEGMENT'!$C$8:$C$1000=$C24)*'ANALYSE - ERP =&gt; SOUS-SEGMENT'!$Q$8:$Q$1000*'ANALYSE - ERP =&gt; SOUS-SEGMENT'!$IJ$8:$IJ$1000))</f>
        <v>1808.8540378302018</v>
      </c>
      <c r="IK24" s="868">
        <f>IF($C24="","",IFERROR(SUMPRODUCT(('ANALYSE - ERP =&gt; SOUS-SEGMENT'!$C$8:$C$1000=$C24)*'ANALYSE - ERP =&gt; SOUS-SEGMENT'!$Q$8:$Q$1000*'ANALYSE - ERP =&gt; SOUS-SEGMENT'!$IE$8:$IE$1000*'ANALYSE - ERP =&gt; SOUS-SEGMENT'!$IK$8:$IK$1000)/SUMPRODUCT(('ANALYSE - ERP =&gt; SOUS-SEGMENT'!$C$8:$C$1000=$C24)*'ANALYSE - ERP =&gt; SOUS-SEGMENT'!$Q$8:$Q$1000*'ANALYSE - ERP =&gt; SOUS-SEGMENT'!$IE$8:$IE$1000),""))</f>
        <v>4.1482476839553133</v>
      </c>
      <c r="IL24" s="962" t="s">
        <v>5823</v>
      </c>
      <c r="IM24" s="963" t="s">
        <v>5824</v>
      </c>
      <c r="IN24" s="529"/>
      <c r="IO24" s="742">
        <f>IF($C24="","",IFERROR(SUMPRODUCT(('ANALYSE - ERP =&gt; SOUS-SEGMENT'!$C$8:$C$1000=$C24)*'ANALYSE - ERP =&gt; SOUS-SEGMENT'!$Q$8:$Q$1000*'ANALYSE - ERP =&gt; SOUS-SEGMENT'!$BE$8:$BE$1000*'ANALYSE - ERP =&gt; SOUS-SEGMENT'!$IO$8:$IO$1000)/SUMPRODUCT(('ANALYSE - ERP =&gt; SOUS-SEGMENT'!$C$8:$C$1000=$C24)*'ANALYSE - ERP =&gt; SOUS-SEGMENT'!$Q$8:$Q$1000*'ANALYSE - ERP =&gt; SOUS-SEGMENT'!$BE$8:$BE$1000),""))</f>
        <v>1.9274181027790716E-2</v>
      </c>
      <c r="IP24" s="742">
        <f>IF($C24="","",IFERROR(SUMPRODUCT(('ANALYSE - ERP =&gt; SOUS-SEGMENT'!$C$8:$C$1000=$C24)*'ANALYSE - ERP =&gt; SOUS-SEGMENT'!$Q$8:$Q$1000*'ANALYSE - ERP =&gt; SOUS-SEGMENT'!$BE$8:$BE$1000*'ANALYSE - ERP =&gt; SOUS-SEGMENT'!$IP$8:$IP$1000)/SUMPRODUCT(('ANALYSE - ERP =&gt; SOUS-SEGMENT'!$C$8:$C$1000=$C24)*'ANALYSE - ERP =&gt; SOUS-SEGMENT'!$Q$8:$Q$1000*'ANALYSE - ERP =&gt; SOUS-SEGMENT'!$BE$8:$BE$1000),""))</f>
        <v>0.29464795839155417</v>
      </c>
      <c r="IQ24" s="742">
        <f>IF($C24="","",IFERROR(SUMPRODUCT(('ANALYSE - ERP =&gt; SOUS-SEGMENT'!$C$8:$C$1000=$C24)*'ANALYSE - ERP =&gt; SOUS-SEGMENT'!$Q$8:$Q$1000*'ANALYSE - ERP =&gt; SOUS-SEGMENT'!$BE$8:$BE$1000*'ANALYSE - ERP =&gt; SOUS-SEGMENT'!$IQ$8:$IQ$1000)/SUMPRODUCT(('ANALYSE - ERP =&gt; SOUS-SEGMENT'!$C$8:$C$1000=$C24)*'ANALYSE - ERP =&gt; SOUS-SEGMENT'!$Q$8:$Q$1000*'ANALYSE - ERP =&gt; SOUS-SEGMENT'!$BE$8:$BE$1000),""))</f>
        <v>0.48666394969725196</v>
      </c>
      <c r="IR24" s="742">
        <f>IF($C24="","",IFERROR(SUMPRODUCT(('ANALYSE - ERP =&gt; SOUS-SEGMENT'!$C$8:$C$1000=$C24)*'ANALYSE - ERP =&gt; SOUS-SEGMENT'!$Q$8:$Q$1000*'ANALYSE - ERP =&gt; SOUS-SEGMENT'!$BE$8:$BE$1000*'ANALYSE - ERP =&gt; SOUS-SEGMENT'!$IR$8:$IR$1000)/SUMPRODUCT(('ANALYSE - ERP =&gt; SOUS-SEGMENT'!$C$8:$C$1000=$C24)*'ANALYSE - ERP =&gt; SOUS-SEGMENT'!$Q$8:$Q$1000*'ANALYSE - ERP =&gt; SOUS-SEGMENT'!$BE$8:$BE$1000),""))</f>
        <v>0.18041297935103245</v>
      </c>
      <c r="IS24" s="742">
        <f>IF($C24="","",IFERROR(SUMPRODUCT(('ANALYSE - ERP =&gt; SOUS-SEGMENT'!$C$8:$C$1000=$C24)*'ANALYSE - ERP =&gt; SOUS-SEGMENT'!$Q$8:$Q$1000*'ANALYSE - ERP =&gt; SOUS-SEGMENT'!$BE$8:$BE$1000*'ANALYSE - ERP =&gt; SOUS-SEGMENT'!$IS$8:$IS$1000)/SUMPRODUCT(('ANALYSE - ERP =&gt; SOUS-SEGMENT'!$C$8:$C$1000=$C24)*'ANALYSE - ERP =&gt; SOUS-SEGMENT'!$Q$8:$Q$1000*'ANALYSE - ERP =&gt; SOUS-SEGMENT'!$BE$8:$BE$1000),""))</f>
        <v>1.9000931532370747E-2</v>
      </c>
      <c r="IT24" s="742">
        <f>IF($C24="","",IFERROR(SUMPRODUCT(('ANALYSE - ERP =&gt; SOUS-SEGMENT'!$C$8:$C$1000=$C24)*'ANALYSE - ERP =&gt; SOUS-SEGMENT'!$Q$8:$Q$1000*'ANALYSE - ERP =&gt; SOUS-SEGMENT'!$FB$8:$FB$1000*'ANALYSE - ERP =&gt; SOUS-SEGMENT'!$IT$8:$IT$1000)/SUMPRODUCT(('ANALYSE - ERP =&gt; SOUS-SEGMENT'!$C$8:$C$1000=$C24)*'ANALYSE - ERP =&gt; SOUS-SEGMENT'!$Q$8:$Q$1000*'ANALYSE - ERP =&gt; SOUS-SEGMENT'!$FB$8:$FB$1000),""))</f>
        <v>5.7264414618398186E-3</v>
      </c>
      <c r="IU24" s="742">
        <f>IF($C24="","",IFERROR(SUMPRODUCT(('ANALYSE - ERP =&gt; SOUS-SEGMENT'!$C$8:$C$1000=$C24)*'ANALYSE - ERP =&gt; SOUS-SEGMENT'!$Q$8:$Q$1000*'ANALYSE - ERP =&gt; SOUS-SEGMENT'!$FB$8:$FB$1000*'ANALYSE - ERP =&gt; SOUS-SEGMENT'!$IU$8:$IU$1000)/SUMPRODUCT(('ANALYSE - ERP =&gt; SOUS-SEGMENT'!$C$8:$C$1000=$C24)*'ANALYSE - ERP =&gt; SOUS-SEGMENT'!$Q$8:$Q$1000*'ANALYSE - ERP =&gt; SOUS-SEGMENT'!$FB$8:$FB$1000),""))</f>
        <v>0.25569867095009585</v>
      </c>
      <c r="IV24" s="742">
        <f>IF($C24="","",IFERROR(SUMPRODUCT(('ANALYSE - ERP =&gt; SOUS-SEGMENT'!$C$8:$C$1000=$C24)*'ANALYSE - ERP =&gt; SOUS-SEGMENT'!$Q$8:$Q$1000*'ANALYSE - ERP =&gt; SOUS-SEGMENT'!$FB$8:$FB$1000*'ANALYSE - ERP =&gt; SOUS-SEGMENT'!$IV$8:$IV$1000)/SUMPRODUCT(('ANALYSE - ERP =&gt; SOUS-SEGMENT'!$C$8:$C$1000=$C24)*'ANALYSE - ERP =&gt; SOUS-SEGMENT'!$Q$8:$Q$1000*'ANALYSE - ERP =&gt; SOUS-SEGMENT'!$FB$8:$FB$1000),""))</f>
        <v>0.51052850120701188</v>
      </c>
      <c r="IW24" s="742">
        <f>IF($C24="","",IFERROR(SUMPRODUCT(('ANALYSE - ERP =&gt; SOUS-SEGMENT'!$C$8:$C$1000=$C24)*'ANALYSE - ERP =&gt; SOUS-SEGMENT'!$Q$8:$Q$1000*'ANALYSE - ERP =&gt; SOUS-SEGMENT'!$FB$8:$FB$1000*'ANALYSE - ERP =&gt; SOUS-SEGMENT'!$IW$8:$IW$1000)/SUMPRODUCT(('ANALYSE - ERP =&gt; SOUS-SEGMENT'!$C$8:$C$1000=$C24)*'ANALYSE - ERP =&gt; SOUS-SEGMENT'!$Q$8:$Q$1000*'ANALYSE - ERP =&gt; SOUS-SEGMENT'!$FB$8:$FB$1000),""))</f>
        <v>0.20357811695357342</v>
      </c>
      <c r="IX24" s="742">
        <f>IF($C24="","",IFERROR(SUMPRODUCT(('ANALYSE - ERP =&gt; SOUS-SEGMENT'!$C$8:$C$1000=$C24)*'ANALYSE - ERP =&gt; SOUS-SEGMENT'!$Q$8:$Q$1000*'ANALYSE - ERP =&gt; SOUS-SEGMENT'!$FB$8:$FB$1000*'ANALYSE - ERP =&gt; SOUS-SEGMENT'!$IX$8:$IX$1000)/SUMPRODUCT(('ANALYSE - ERP =&gt; SOUS-SEGMENT'!$C$8:$C$1000=$C24)*'ANALYSE - ERP =&gt; SOUS-SEGMENT'!$Q$8:$Q$1000*'ANALYSE - ERP =&gt; SOUS-SEGMENT'!$FB$8:$FB$1000),""))</f>
        <v>2.4468269427479112E-2</v>
      </c>
      <c r="IY24" s="742">
        <f>IF($C24="","",IFERROR(SUMPRODUCT(('ANALYSE - ERP =&gt; SOUS-SEGMENT'!$C$8:$C$1000=$C24)*'ANALYSE - ERP =&gt; SOUS-SEGMENT'!$Q$8:$Q$1000*'ANALYSE - ERP =&gt; SOUS-SEGMENT'!$BF$8:$BF$1000*'ANALYSE - ERP =&gt; SOUS-SEGMENT'!$IY$8:$IY$1000)/SUMPRODUCT(('ANALYSE - ERP =&gt; SOUS-SEGMENT'!$C$8:$C$1000=$C24)*'ANALYSE - ERP =&gt; SOUS-SEGMENT'!$Q$8:$Q$1000*'ANALYSE - ERP =&gt; SOUS-SEGMENT'!$BF$8:$BF$1000),""))</f>
        <v>4.2635431918008788E-3</v>
      </c>
      <c r="IZ24" s="742">
        <f>IF($C24="","",IFERROR(SUMPRODUCT(('ANALYSE - ERP =&gt; SOUS-SEGMENT'!$C$8:$C$1000=$C24)*'ANALYSE - ERP =&gt; SOUS-SEGMENT'!$Q$8:$Q$1000*'ANALYSE - ERP =&gt; SOUS-SEGMENT'!$BF$8:$BF$1000*'ANALYSE - ERP =&gt; SOUS-SEGMENT'!$IZ$8:$IZ$1000)/SUMPRODUCT(('ANALYSE - ERP =&gt; SOUS-SEGMENT'!$C$8:$C$1000=$C24)*'ANALYSE - ERP =&gt; SOUS-SEGMENT'!$Q$8:$Q$1000*'ANALYSE - ERP =&gt; SOUS-SEGMENT'!$BF$8:$BF$1000),""))</f>
        <v>0.16955197657393853</v>
      </c>
      <c r="JA24" s="742">
        <f>IF($C24="","",IFERROR(SUMPRODUCT(('ANALYSE - ERP =&gt; SOUS-SEGMENT'!$C$8:$C$1000=$C24)*'ANALYSE - ERP =&gt; SOUS-SEGMENT'!$Q$8:$Q$1000*'ANALYSE - ERP =&gt; SOUS-SEGMENT'!$BF$8:$BF$1000*'ANALYSE - ERP =&gt; SOUS-SEGMENT'!$JA$8:$JA$1000)/SUMPRODUCT(('ANALYSE - ERP =&gt; SOUS-SEGMENT'!$C$8:$C$1000=$C24)*'ANALYSE - ERP =&gt; SOUS-SEGMENT'!$Q$8:$Q$1000*'ANALYSE - ERP =&gt; SOUS-SEGMENT'!$BF$8:$BF$1000),""))</f>
        <v>0.37404978038067349</v>
      </c>
      <c r="JB24" s="742">
        <f>IF($C24="","",IFERROR(SUMPRODUCT(('ANALYSE - ERP =&gt; SOUS-SEGMENT'!$C$8:$C$1000=$C24)*'ANALYSE - ERP =&gt; SOUS-SEGMENT'!$Q$8:$Q$1000*'ANALYSE - ERP =&gt; SOUS-SEGMENT'!$BF$8:$BF$1000*'ANALYSE - ERP =&gt; SOUS-SEGMENT'!$JB$8:$JB$1000)/SUMPRODUCT(('ANALYSE - ERP =&gt; SOUS-SEGMENT'!$C$8:$C$1000=$C24)*'ANALYSE - ERP =&gt; SOUS-SEGMENT'!$Q$8:$Q$1000*'ANALYSE - ERP =&gt; SOUS-SEGMENT'!$BF$8:$BF$1000),""))</f>
        <v>0.19627525622254757</v>
      </c>
      <c r="JC24" s="742">
        <f>IF($C24="","",IFERROR(SUMPRODUCT(('ANALYSE - ERP =&gt; SOUS-SEGMENT'!$C$8:$C$1000=$C24)*'ANALYSE - ERP =&gt; SOUS-SEGMENT'!$Q$8:$Q$1000*'ANALYSE - ERP =&gt; SOUS-SEGMENT'!$BF$8:$BF$1000*'ANALYSE - ERP =&gt; SOUS-SEGMENT'!$JC$8:$JC$1000)/SUMPRODUCT(('ANALYSE - ERP =&gt; SOUS-SEGMENT'!$C$8:$C$1000=$C24)*'ANALYSE - ERP =&gt; SOUS-SEGMENT'!$Q$8:$Q$1000*'ANALYSE - ERP =&gt; SOUS-SEGMENT'!$BF$8:$BF$1000),""))</f>
        <v>1.7206442166910689E-2</v>
      </c>
      <c r="JD24" s="742">
        <f>IF($C24="","",IFERROR(SUMPRODUCT(('ANALYSE - ERP =&gt; SOUS-SEGMENT'!$C$8:$C$1000=$C24)*'ANALYSE - ERP =&gt; SOUS-SEGMENT'!$Q$8:$Q$1000*'ANALYSE - ERP =&gt; SOUS-SEGMENT'!$FE$8:$FE$1000*'ANALYSE - ERP =&gt; SOUS-SEGMENT'!$JD$8:$JD$1000)/SUMPRODUCT(('ANALYSE - ERP =&gt; SOUS-SEGMENT'!$C$8:$C$1000=$C24)*'ANALYSE - ERP =&gt; SOUS-SEGMENT'!$Q$8:$Q$1000*'ANALYSE - ERP =&gt; SOUS-SEGMENT'!$FE$8:$FE$1000),""))</f>
        <v>0</v>
      </c>
      <c r="JE24" s="742">
        <f>IF($C24="","",IFERROR(SUMPRODUCT(('ANALYSE - ERP =&gt; SOUS-SEGMENT'!$C$8:$C$1000=$C24)*'ANALYSE - ERP =&gt; SOUS-SEGMENT'!$Q$8:$Q$1000*'ANALYSE - ERP =&gt; SOUS-SEGMENT'!$FE$8:$FE$1000*'ANALYSE - ERP =&gt; SOUS-SEGMENT'!$JE$8:$JE$1000)/SUMPRODUCT(('ANALYSE - ERP =&gt; SOUS-SEGMENT'!$C$8:$C$1000=$C24)*'ANALYSE - ERP =&gt; SOUS-SEGMENT'!$Q$8:$Q$1000*'ANALYSE - ERP =&gt; SOUS-SEGMENT'!$FE$8:$FE$1000),""))</f>
        <v>0.14480873116599444</v>
      </c>
      <c r="JF24" s="742">
        <f>IF($C24="","",IFERROR(SUMPRODUCT(('ANALYSE - ERP =&gt; SOUS-SEGMENT'!$C$8:$C$1000=$C24)*'ANALYSE - ERP =&gt; SOUS-SEGMENT'!$Q$8:$Q$1000*'ANALYSE - ERP =&gt; SOUS-SEGMENT'!$FE$8:$FE$1000*'ANALYSE - ERP =&gt; SOUS-SEGMENT'!$JF$8:$JF$1000)/SUMPRODUCT(('ANALYSE - ERP =&gt; SOUS-SEGMENT'!$C$8:$C$1000=$C24)*'ANALYSE - ERP =&gt; SOUS-SEGMENT'!$Q$8:$Q$1000*'ANALYSE - ERP =&gt; SOUS-SEGMENT'!$FE$8:$FE$1000),""))</f>
        <v>0.39936392742847543</v>
      </c>
      <c r="JG24" s="742">
        <f>IF($C24="","",IFERROR(SUMPRODUCT(('ANALYSE - ERP =&gt; SOUS-SEGMENT'!$C$8:$C$1000=$C24)*'ANALYSE - ERP =&gt; SOUS-SEGMENT'!$Q$8:$Q$1000*'ANALYSE - ERP =&gt; SOUS-SEGMENT'!$FE$8:$FE$1000*'ANALYSE - ERP =&gt; SOUS-SEGMENT'!$JG$8:$JG$1000)/SUMPRODUCT(('ANALYSE - ERP =&gt; SOUS-SEGMENT'!$C$8:$C$1000=$C24)*'ANALYSE - ERP =&gt; SOUS-SEGMENT'!$Q$8:$Q$1000*'ANALYSE - ERP =&gt; SOUS-SEGMENT'!$FE$8:$FE$1000),""))</f>
        <v>0.21980738997834989</v>
      </c>
      <c r="JH24" s="742">
        <f>IF($C24="","",IFERROR(SUMPRODUCT(('ANALYSE - ERP =&gt; SOUS-SEGMENT'!$C$8:$C$1000=$C24)*'ANALYSE - ERP =&gt; SOUS-SEGMENT'!$Q$8:$Q$1000*'ANALYSE - ERP =&gt; SOUS-SEGMENT'!$FE$8:$FE$1000*'ANALYSE - ERP =&gt; SOUS-SEGMENT'!$JH$8:$JH$1000)/SUMPRODUCT(('ANALYSE - ERP =&gt; SOUS-SEGMENT'!$C$8:$C$1000=$C24)*'ANALYSE - ERP =&gt; SOUS-SEGMENT'!$Q$8:$Q$1000*'ANALYSE - ERP =&gt; SOUS-SEGMENT'!$FE$8:$FE$1000),""))</f>
        <v>2.2169414869061037E-2</v>
      </c>
      <c r="JI24" s="742">
        <f>IF($C24="","",IFERROR(SUMPRODUCT(('ANALYSE - ERP =&gt; SOUS-SEGMENT'!$C$8:$C$1000=$C24)*'ANALYSE - ERP =&gt; SOUS-SEGMENT'!$Q$8:$Q$1000*'ANALYSE - ERP =&gt; SOUS-SEGMENT'!$BG$8:$BG$1000*'ANALYSE - ERP =&gt; SOUS-SEGMENT'!$JI$8:$JI$1000)/SUMPRODUCT(('ANALYSE - ERP =&gt; SOUS-SEGMENT'!$C$8:$C$1000=$C24)*'ANALYSE - ERP =&gt; SOUS-SEGMENT'!$Q$8:$Q$1000*'ANALYSE - ERP =&gt; SOUS-SEGMENT'!$BG$8:$BG$1000),""))</f>
        <v>3.2530201342281878E-2</v>
      </c>
      <c r="JJ24" s="742">
        <f>IF($C24="","",IFERROR(SUMPRODUCT(('ANALYSE - ERP =&gt; SOUS-SEGMENT'!$C$8:$C$1000=$C24)*'ANALYSE - ERP =&gt; SOUS-SEGMENT'!$Q$8:$Q$1000*'ANALYSE - ERP =&gt; SOUS-SEGMENT'!$BG$8:$BG$1000*'ANALYSE - ERP =&gt; SOUS-SEGMENT'!$JJ$8:$JJ$1000)/SUMPRODUCT(('ANALYSE - ERP =&gt; SOUS-SEGMENT'!$C$8:$C$1000=$C24)*'ANALYSE - ERP =&gt; SOUS-SEGMENT'!$Q$8:$Q$1000*'ANALYSE - ERP =&gt; SOUS-SEGMENT'!$BG$8:$BG$1000),""))</f>
        <v>0.44474429530201348</v>
      </c>
      <c r="JK24" s="742">
        <f>IF($C24="","",IFERROR(SUMPRODUCT(('ANALYSE - ERP =&gt; SOUS-SEGMENT'!$C$8:$C$1000=$C24)*'ANALYSE - ERP =&gt; SOUS-SEGMENT'!$Q$8:$Q$1000*'ANALYSE - ERP =&gt; SOUS-SEGMENT'!$BG$8:$BG$1000*'ANALYSE - ERP =&gt; SOUS-SEGMENT'!$JK$8:$JK$1000)/SUMPRODUCT(('ANALYSE - ERP =&gt; SOUS-SEGMENT'!$C$8:$C$1000=$C24)*'ANALYSE - ERP =&gt; SOUS-SEGMENT'!$Q$8:$Q$1000*'ANALYSE - ERP =&gt; SOUS-SEGMENT'!$BG$8:$BG$1000),""))</f>
        <v>0.42326241610738258</v>
      </c>
      <c r="JL24" s="742">
        <f>IF($C24="","",IFERROR(SUMPRODUCT(('ANALYSE - ERP =&gt; SOUS-SEGMENT'!$C$8:$C$1000=$C24)*'ANALYSE - ERP =&gt; SOUS-SEGMENT'!$Q$8:$Q$1000*'ANALYSE - ERP =&gt; SOUS-SEGMENT'!$BG$8:$BG$1000*'ANALYSE - ERP =&gt; SOUS-SEGMENT'!$JL$8:$JL$1000)/SUMPRODUCT(('ANALYSE - ERP =&gt; SOUS-SEGMENT'!$C$8:$C$1000=$C24)*'ANALYSE - ERP =&gt; SOUS-SEGMENT'!$Q$8:$Q$1000*'ANALYSE - ERP =&gt; SOUS-SEGMENT'!$BG$8:$BG$1000),""))</f>
        <v>9.5063758389261732E-2</v>
      </c>
      <c r="JM24" s="742">
        <f>IF($C24="","",IFERROR(SUMPRODUCT(('ANALYSE - ERP =&gt; SOUS-SEGMENT'!$C$8:$C$1000=$C24)*'ANALYSE - ERP =&gt; SOUS-SEGMENT'!$Q$8:$Q$1000*'ANALYSE - ERP =&gt; SOUS-SEGMENT'!$BG$8:$BG$1000*'ANALYSE - ERP =&gt; SOUS-SEGMENT'!$JM$8:$JM$1000)/SUMPRODUCT(('ANALYSE - ERP =&gt; SOUS-SEGMENT'!$C$8:$C$1000=$C24)*'ANALYSE - ERP =&gt; SOUS-SEGMENT'!$Q$8:$Q$1000*'ANALYSE - ERP =&gt; SOUS-SEGMENT'!$BG$8:$BG$1000),""))</f>
        <v>4.3993288590604028E-3</v>
      </c>
      <c r="JN24" s="742">
        <f>IF($C24="","",IFERROR(SUMPRODUCT(('ANALYSE - ERP =&gt; SOUS-SEGMENT'!$C$8:$C$1000=$C24)*'ANALYSE - ERP =&gt; SOUS-SEGMENT'!$Q$8:$Q$1000*'ANALYSE - ERP =&gt; SOUS-SEGMENT'!$FH$8:$FH$1000*'ANALYSE - ERP =&gt; SOUS-SEGMENT'!$JN$8:$JN$1000)/SUMPRODUCT(('ANALYSE - ERP =&gt; SOUS-SEGMENT'!$C$8:$C$1000=$C24)*'ANALYSE - ERP =&gt; SOUS-SEGMENT'!$Q$8:$Q$1000*'ANALYSE - ERP =&gt; SOUS-SEGMENT'!$FH$8:$FH$1000),""))</f>
        <v>6.9582999951458566E-3</v>
      </c>
      <c r="JO24" s="742">
        <f>IF($C24="","",IFERROR(SUMPRODUCT(('ANALYSE - ERP =&gt; SOUS-SEGMENT'!$C$8:$C$1000=$C24)*'ANALYSE - ERP =&gt; SOUS-SEGMENT'!$Q$8:$Q$1000*'ANALYSE - ERP =&gt; SOUS-SEGMENT'!$FH$8:$FH$1000*'ANALYSE - ERP =&gt; SOUS-SEGMENT'!$JO$8:$JO$1000)/SUMPRODUCT(('ANALYSE - ERP =&gt; SOUS-SEGMENT'!$C$8:$C$1000=$C24)*'ANALYSE - ERP =&gt; SOUS-SEGMENT'!$Q$8:$Q$1000*'ANALYSE - ERP =&gt; SOUS-SEGMENT'!$FH$8:$FH$1000),""))</f>
        <v>0.4087283103583737</v>
      </c>
      <c r="JP24" s="742">
        <f>IF($C24="","",IFERROR(SUMPRODUCT(('ANALYSE - ERP =&gt; SOUS-SEGMENT'!$C$8:$C$1000=$C24)*'ANALYSE - ERP =&gt; SOUS-SEGMENT'!$Q$8:$Q$1000*'ANALYSE - ERP =&gt; SOUS-SEGMENT'!$FH$8:$FH$1000*'ANALYSE - ERP =&gt; SOUS-SEGMENT'!$JP$8:$JP$1000)/SUMPRODUCT(('ANALYSE - ERP =&gt; SOUS-SEGMENT'!$C$8:$C$1000=$C24)*'ANALYSE - ERP =&gt; SOUS-SEGMENT'!$Q$8:$Q$1000*'ANALYSE - ERP =&gt; SOUS-SEGMENT'!$FH$8:$FH$1000),""))</f>
        <v>0.4525987697948089</v>
      </c>
      <c r="JQ24" s="742">
        <f>IF($C24="","",IFERROR(SUMPRODUCT(('ANALYSE - ERP =&gt; SOUS-SEGMENT'!$C$8:$C$1000=$C24)*'ANALYSE - ERP =&gt; SOUS-SEGMENT'!$Q$8:$Q$1000*'ANALYSE - ERP =&gt; SOUS-SEGMENT'!$FH$8:$FH$1000*'ANALYSE - ERP =&gt; SOUS-SEGMENT'!$JQ$8:$JQ$1000)/SUMPRODUCT(('ANALYSE - ERP =&gt; SOUS-SEGMENT'!$C$8:$C$1000=$C24)*'ANALYSE - ERP =&gt; SOUS-SEGMENT'!$Q$8:$Q$1000*'ANALYSE - ERP =&gt; SOUS-SEGMENT'!$FH$8:$FH$1000),""))</f>
        <v>0.12144238419563544</v>
      </c>
      <c r="JR24" s="742">
        <f>IF($C24="","",IFERROR(SUMPRODUCT(('ANALYSE - ERP =&gt; SOUS-SEGMENT'!$C$8:$C$1000=$C24)*'ANALYSE - ERP =&gt; SOUS-SEGMENT'!$Q$8:$Q$1000*'ANALYSE - ERP =&gt; SOUS-SEGMENT'!$FH$8:$FH$1000*'ANALYSE - ERP =&gt; SOUS-SEGMENT'!$JR$8:$JR$1000)/SUMPRODUCT(('ANALYSE - ERP =&gt; SOUS-SEGMENT'!$C$8:$C$1000=$C24)*'ANALYSE - ERP =&gt; SOUS-SEGMENT'!$Q$8:$Q$1000*'ANALYSE - ERP =&gt; SOUS-SEGMENT'!$FH$8:$FH$1000),""))</f>
        <v>1.0272235656036114E-2</v>
      </c>
      <c r="JS24" s="742">
        <f>IF($C24="","",IFERROR(SUMPRODUCT(('ANALYSE - ERP =&gt; SOUS-SEGMENT'!$C$8:$C$1000=$C24)*'ANALYSE - ERP =&gt; SOUS-SEGMENT'!$Q$8:$Q$1000*'ANALYSE - ERP =&gt; SOUS-SEGMENT'!$BH$8:$BH$1000*'ANALYSE - ERP =&gt; SOUS-SEGMENT'!$JS$8:$JS$1000)/SUMPRODUCT(('ANALYSE - ERP =&gt; SOUS-SEGMENT'!$C$8:$C$1000=$C24)*'ANALYSE - ERP =&gt; SOUS-SEGMENT'!$Q$8:$Q$1000*'ANALYSE - ERP =&gt; SOUS-SEGMENT'!$BH$8:$BH$1000),""))</f>
        <v>2.0685297803023975E-2</v>
      </c>
      <c r="JT24" s="742">
        <f>IF($C24="","",IFERROR(SUMPRODUCT(('ANALYSE - ERP =&gt; SOUS-SEGMENT'!$C$8:$C$1000=$C24)*'ANALYSE - ERP =&gt; SOUS-SEGMENT'!$Q$8:$Q$1000*'ANALYSE - ERP =&gt; SOUS-SEGMENT'!$BH$8:$BH$1000*'ANALYSE - ERP =&gt; SOUS-SEGMENT'!$JT$8:$JT$1000)/SUMPRODUCT(('ANALYSE - ERP =&gt; SOUS-SEGMENT'!$C$8:$C$1000=$C24)*'ANALYSE - ERP =&gt; SOUS-SEGMENT'!$Q$8:$Q$1000*'ANALYSE - ERP =&gt; SOUS-SEGMENT'!$BH$8:$BH$1000),""))</f>
        <v>0.31309212262968844</v>
      </c>
      <c r="JU24" s="742">
        <f>IF($C24="","",IFERROR(SUMPRODUCT(('ANALYSE - ERP =&gt; SOUS-SEGMENT'!$C$8:$C$1000=$C24)*'ANALYSE - ERP =&gt; SOUS-SEGMENT'!$Q$8:$Q$1000*'ANALYSE - ERP =&gt; SOUS-SEGMENT'!$BH$8:$BH$1000*'ANALYSE - ERP =&gt; SOUS-SEGMENT'!$JU$8:$JU$1000)/SUMPRODUCT(('ANALYSE - ERP =&gt; SOUS-SEGMENT'!$C$8:$C$1000=$C24)*'ANALYSE - ERP =&gt; SOUS-SEGMENT'!$Q$8:$Q$1000*'ANALYSE - ERP =&gt; SOUS-SEGMENT'!$BH$8:$BH$1000),""))</f>
        <v>0.49586996909197228</v>
      </c>
      <c r="JV24" s="742">
        <f>IF($C24="","",IFERROR(SUMPRODUCT(('ANALYSE - ERP =&gt; SOUS-SEGMENT'!$C$8:$C$1000=$C24)*'ANALYSE - ERP =&gt; SOUS-SEGMENT'!$Q$8:$Q$1000*'ANALYSE - ERP =&gt; SOUS-SEGMENT'!$BH$8:$BH$1000*'ANALYSE - ERP =&gt; SOUS-SEGMENT'!$JV$8:$JV$1000)/SUMPRODUCT(('ANALYSE - ERP =&gt; SOUS-SEGMENT'!$C$8:$C$1000=$C24)*'ANALYSE - ERP =&gt; SOUS-SEGMENT'!$Q$8:$Q$1000*'ANALYSE - ERP =&gt; SOUS-SEGMENT'!$BH$8:$BH$1000),""))</f>
        <v>0.15665142427533207</v>
      </c>
      <c r="JW24" s="742">
        <f>IF($C24="","",IFERROR(SUMPRODUCT(('ANALYSE - ERP =&gt; SOUS-SEGMENT'!$C$8:$C$1000=$C24)*'ANALYSE - ERP =&gt; SOUS-SEGMENT'!$Q$8:$Q$1000*'ANALYSE - ERP =&gt; SOUS-SEGMENT'!$BH$8:$BH$1000*'ANALYSE - ERP =&gt; SOUS-SEGMENT'!$JW$8:$JW$1000)/SUMPRODUCT(('ANALYSE - ERP =&gt; SOUS-SEGMENT'!$C$8:$C$1000=$C24)*'ANALYSE - ERP =&gt; SOUS-SEGMENT'!$Q$8:$Q$1000*'ANALYSE - ERP =&gt; SOUS-SEGMENT'!$BH$8:$BH$1000),""))</f>
        <v>1.3701186199983293E-2</v>
      </c>
      <c r="JX24" s="742">
        <f>IF($C24="","",IFERROR(SUMPRODUCT(('ANALYSE - ERP =&gt; SOUS-SEGMENT'!$C$8:$C$1000=$C24)*'ANALYSE - ERP =&gt; SOUS-SEGMENT'!$Q$8:$Q$1000*'ANALYSE - ERP =&gt; SOUS-SEGMENT'!$FK$8:$FK$1000*'ANALYSE - ERP =&gt; SOUS-SEGMENT'!$JX$8:$JX$1000)/SUMPRODUCT(('ANALYSE - ERP =&gt; SOUS-SEGMENT'!$C$8:$C$1000=$C24)*'ANALYSE - ERP =&gt; SOUS-SEGMENT'!$Q$8:$Q$1000*'ANALYSE - ERP =&gt; SOUS-SEGMENT'!$FK$8:$FK$1000),""))</f>
        <v>5.9967671349620251E-3</v>
      </c>
      <c r="JY24" s="742">
        <f>IF($C24="","",IFERROR(SUMPRODUCT(('ANALYSE - ERP =&gt; SOUS-SEGMENT'!$C$8:$C$1000=$C24)*'ANALYSE - ERP =&gt; SOUS-SEGMENT'!$Q$8:$Q$1000*'ANALYSE - ERP =&gt; SOUS-SEGMENT'!$FK$8:$FK$1000*'ANALYSE - ERP =&gt; SOUS-SEGMENT'!$JY$8:$JY$1000)/SUMPRODUCT(('ANALYSE - ERP =&gt; SOUS-SEGMENT'!$C$8:$C$1000=$C24)*'ANALYSE - ERP =&gt; SOUS-SEGMENT'!$Q$8:$Q$1000*'ANALYSE - ERP =&gt; SOUS-SEGMENT'!$FK$8:$FK$1000),""))</f>
        <v>0.27474421233146407</v>
      </c>
      <c r="JZ24" s="742">
        <f>IF($C24="","",IFERROR(SUMPRODUCT(('ANALYSE - ERP =&gt; SOUS-SEGMENT'!$C$8:$C$1000=$C24)*'ANALYSE - ERP =&gt; SOUS-SEGMENT'!$Q$8:$Q$1000*'ANALYSE - ERP =&gt; SOUS-SEGMENT'!$FK$8:$FK$1000*'ANALYSE - ERP =&gt; SOUS-SEGMENT'!$JZ$8:$JZ$1000)/SUMPRODUCT(('ANALYSE - ERP =&gt; SOUS-SEGMENT'!$C$8:$C$1000=$C24)*'ANALYSE - ERP =&gt; SOUS-SEGMENT'!$Q$8:$Q$1000*'ANALYSE - ERP =&gt; SOUS-SEGMENT'!$FK$8:$FK$1000),""))</f>
        <v>0.51973321873046807</v>
      </c>
      <c r="KA24" s="742">
        <f>IF($C24="","",IFERROR(SUMPRODUCT(('ANALYSE - ERP =&gt; SOUS-SEGMENT'!$C$8:$C$1000=$C24)*'ANALYSE - ERP =&gt; SOUS-SEGMENT'!$Q$8:$Q$1000*'ANALYSE - ERP =&gt; SOUS-SEGMENT'!$FK$8:$FK$1000*'ANALYSE - ERP =&gt; SOUS-SEGMENT'!$KA$8:$KA$1000)/SUMPRODUCT(('ANALYSE - ERP =&gt; SOUS-SEGMENT'!$C$8:$C$1000=$C24)*'ANALYSE - ERP =&gt; SOUS-SEGMENT'!$Q$8:$Q$1000*'ANALYSE - ERP =&gt; SOUS-SEGMENT'!$FK$8:$FK$1000),""))</f>
        <v>0.18025486375919245</v>
      </c>
      <c r="KB24" s="742">
        <f>IF($C24="","",IFERROR(SUMPRODUCT(('ANALYSE - ERP =&gt; SOUS-SEGMENT'!$C$8:$C$1000=$C24)*'ANALYSE - ERP =&gt; SOUS-SEGMENT'!$Q$8:$Q$1000*'ANALYSE - ERP =&gt; SOUS-SEGMENT'!$FK$8:$FK$1000*'ANALYSE - ERP =&gt; SOUS-SEGMENT'!$KB$8:$KB$1000)/SUMPRODUCT(('ANALYSE - ERP =&gt; SOUS-SEGMENT'!$C$8:$C$1000=$C24)*'ANALYSE - ERP =&gt; SOUS-SEGMENT'!$Q$8:$Q$1000*'ANALYSE - ERP =&gt; SOUS-SEGMENT'!$FK$8:$FK$1000),""))</f>
        <v>1.9270938043913308E-2</v>
      </c>
      <c r="KC24" s="657"/>
      <c r="KD24" s="924" t="s">
        <v>5825</v>
      </c>
      <c r="KE24" s="924" t="s">
        <v>2591</v>
      </c>
      <c r="KF24" s="869">
        <f>IF($C24="","",IFERROR(SUMPRODUCT(('ANALYSE - ERP =&gt; SOUS-SEGMENT'!$C$8:$C$1000=$C24)*'ANALYSE - ERP =&gt; SOUS-SEGMENT'!$Q$8:$Q$1000*'ANALYSE - ERP =&gt; SOUS-SEGMENT'!$IE$8:$IE$1000*'ANALYSE - ERP =&gt; SOUS-SEGMENT'!$KF$8:$KF$1000)/SUMPRODUCT(('ANALYSE - ERP =&gt; SOUS-SEGMENT'!$C$8:$C$1000=$C24)*'ANALYSE - ERP =&gt; SOUS-SEGMENT'!$Q$8:$Q$1000*'ANALYSE - ERP =&gt; SOUS-SEGMENT'!$IE$8:$IE$1000),""))</f>
        <v>4.0846395485075906</v>
      </c>
      <c r="KG24" s="924" t="s">
        <v>5826</v>
      </c>
      <c r="KH24" s="924" t="s">
        <v>5827</v>
      </c>
      <c r="KI24" s="924" t="s">
        <v>5828</v>
      </c>
      <c r="KJ24" s="924" t="s">
        <v>5829</v>
      </c>
    </row>
    <row r="25" spans="1:296" ht="120" customHeight="1">
      <c r="A25" s="957">
        <f>IF($C25="","",ROWS($A$8:A25))</f>
        <v>18</v>
      </c>
      <c r="B25" s="958" t="s">
        <v>2264</v>
      </c>
      <c r="C25" s="958" t="s">
        <v>4024</v>
      </c>
      <c r="D25" s="959" t="s">
        <v>5830</v>
      </c>
      <c r="E25" s="269" t="s">
        <v>4026</v>
      </c>
      <c r="F25" s="960" t="s">
        <v>4027</v>
      </c>
      <c r="G25" s="960" t="s">
        <v>2121</v>
      </c>
      <c r="H25" s="960" t="s">
        <v>2097</v>
      </c>
      <c r="I25" s="960" t="s">
        <v>4028</v>
      </c>
      <c r="J25" s="960" t="s">
        <v>4029</v>
      </c>
      <c r="K25" s="960" t="s">
        <v>2097</v>
      </c>
      <c r="L25" s="960" t="s">
        <v>2109</v>
      </c>
      <c r="M25" s="960" t="s">
        <v>2603</v>
      </c>
      <c r="N25" s="960" t="s">
        <v>4030</v>
      </c>
      <c r="O25" s="960" t="s">
        <v>2616</v>
      </c>
      <c r="P25" s="960"/>
      <c r="Q25" s="270">
        <f>IF($C25="","",IF(SUMIFS('ANALYSE - ERP =&gt; SOUS-SEGMENT'!$Q$8:$Q$1000,'ANALYSE - ERP =&gt; SOUS-SEGMENT'!$C$8:$C$1000,$C25)&gt;0,1,0))</f>
        <v>1</v>
      </c>
      <c r="R25" s="271">
        <f>IF($C25="","",IFERROR(SUMPRODUCT(('ANALYSE - ERP =&gt; SOUS-SEGMENT'!$C$8:$C$1000=$C25)*'ANALYSE - ERP =&gt; SOUS-SEGMENT'!$Q$8:$Q$1000*'ANALYSE - ERP =&gt; SOUS-SEGMENT'!$AF$8:$AF$1000*'ANALYSE - ERP =&gt; SOUS-SEGMENT'!$R$8:$R$1000)/SUMPRODUCT(('ANALYSE - ERP =&gt; SOUS-SEGMENT'!$C$8:$C$1000=$C25)*'ANALYSE - ERP =&gt; SOUS-SEGMENT'!$Q$8:$Q$1000*'ANALYSE - ERP =&gt; SOUS-SEGMENT'!$AF$8:$AF$1000),""))</f>
        <v>4200</v>
      </c>
      <c r="S25" s="272">
        <f>IF($C25="","",SUMPRODUCT(('ANALYSE - ERP =&gt; SOUS-SEGMENT'!$C$8:$C$1000=$C25)*'ANALYSE - ERP =&gt; SOUS-SEGMENT'!$Q$8:$Q$1000*'ANALYSE - ERP =&gt; SOUS-SEGMENT'!$S$8:$S$1000))</f>
        <v>18000</v>
      </c>
      <c r="T25" s="272">
        <f>IF($C25="","",SUMPRODUCT(('ANALYSE - ERP =&gt; SOUS-SEGMENT'!$C$8:$C$1000=$C25)*'ANALYSE - ERP =&gt; SOUS-SEGMENT'!$Q$8:$Q$1000*'ANALYSE - ERP =&gt; SOUS-SEGMENT'!$T$8:$T$1000))</f>
        <v>19500</v>
      </c>
      <c r="U25" s="272">
        <f>IF($C25="","",SUMPRODUCT(('ANALYSE - ERP =&gt; SOUS-SEGMENT'!$C$8:$C$1000=$C25)*'ANALYSE - ERP =&gt; SOUS-SEGMENT'!$Q$8:$Q$1000*'ANALYSE - ERP =&gt; SOUS-SEGMENT'!$U$8:$U$1000))</f>
        <v>22000</v>
      </c>
      <c r="V25" s="272">
        <f>IF($C25="","",SUMPRODUCT(('ANALYSE - ERP =&gt; SOUS-SEGMENT'!$C$8:$C$1000=$C25)*'ANALYSE - ERP =&gt; SOUS-SEGMENT'!$Q$8:$Q$1000*'ANALYSE - ERP =&gt; SOUS-SEGMENT'!$V$8:$V$1000))</f>
        <v>25500</v>
      </c>
      <c r="W25" s="272">
        <f>IF($C25="","",SUMPRODUCT(('ANALYSE - ERP =&gt; SOUS-SEGMENT'!$C$8:$C$1000=$C25)*'ANALYSE - ERP =&gt; SOUS-SEGMENT'!$Q$8:$Q$1000*'ANALYSE - ERP =&gt; SOUS-SEGMENT'!$W$8:$W$1000))</f>
        <v>26200</v>
      </c>
      <c r="X25" s="272">
        <f>IF($C25="","",SUMPRODUCT(('ANALYSE - ERP =&gt; SOUS-SEGMENT'!$C$8:$C$1000=$C25)*'ANALYSE - ERP =&gt; SOUS-SEGMENT'!$Q$8:$Q$1000*'ANALYSE - ERP =&gt; SOUS-SEGMENT'!$X$8:$X$1000))</f>
        <v>26900</v>
      </c>
      <c r="Y25" s="272">
        <f>IF($C25="","",SUMPRODUCT(('ANALYSE - ERP =&gt; SOUS-SEGMENT'!$C$8:$C$1000=$C25)*'ANALYSE - ERP =&gt; SOUS-SEGMENT'!$Q$8:$Q$1000*'ANALYSE - ERP =&gt; SOUS-SEGMENT'!$Y$8:$Y$1000))</f>
        <v>27600</v>
      </c>
      <c r="Z25" s="272">
        <f>IF($C25="","",SUMPRODUCT(('ANALYSE - ERP =&gt; SOUS-SEGMENT'!$C$8:$C$1000=$C25)*'ANALYSE - ERP =&gt; SOUS-SEGMENT'!$Q$8:$Q$1000*'ANALYSE - ERP =&gt; SOUS-SEGMENT'!$Z$8:$Z$1000))</f>
        <v>28400</v>
      </c>
      <c r="AA25" s="272">
        <f>IF($C25="","",SUMPRODUCT(('ANALYSE - ERP =&gt; SOUS-SEGMENT'!$C$8:$C$1000=$C25)*'ANALYSE - ERP =&gt; SOUS-SEGMENT'!$Q$8:$Q$1000*'ANALYSE - ERP =&gt; SOUS-SEGMENT'!$AA$8:$AA$1000))</f>
        <v>27800</v>
      </c>
      <c r="AB25" s="272">
        <f>IF($C25="","",SUMPRODUCT(('ANALYSE - ERP =&gt; SOUS-SEGMENT'!$C$8:$C$1000=$C25)*'ANALYSE - ERP =&gt; SOUS-SEGMENT'!$Q$8:$Q$1000*'ANALYSE - ERP =&gt; SOUS-SEGMENT'!$AB$8:$AB$1000))</f>
        <v>27900</v>
      </c>
      <c r="AC25" s="272">
        <f>IF($C25="","",SUMPRODUCT(('ANALYSE - ERP =&gt; SOUS-SEGMENT'!$C$8:$C$1000=$C25)*'ANALYSE - ERP =&gt; SOUS-SEGMENT'!$Q$8:$Q$1000*'ANALYSE - ERP =&gt; SOUS-SEGMENT'!$AC$8:$AC$1000))</f>
        <v>28000</v>
      </c>
      <c r="AD25" s="272">
        <f>IF($C25="","",SUMPRODUCT(('ANALYSE - ERP =&gt; SOUS-SEGMENT'!$C$8:$C$1000=$C25)*'ANALYSE - ERP =&gt; SOUS-SEGMENT'!$Q$8:$Q$1000*'ANALYSE - ERP =&gt; SOUS-SEGMENT'!$AD$8:$AD$1000))</f>
        <v>28050</v>
      </c>
      <c r="AE25" s="272">
        <f>IF($C25="","",SUMPRODUCT(('ANALYSE - ERP =&gt; SOUS-SEGMENT'!$C$8:$C$1000=$C25)*'ANALYSE - ERP =&gt; SOUS-SEGMENT'!$Q$8:$Q$1000*'ANALYSE - ERP =&gt; SOUS-SEGMENT'!$AE$8:$AE$1000))</f>
        <v>28100</v>
      </c>
      <c r="AF25" s="272">
        <f>IF($C25="","",SUMPRODUCT(('ANALYSE - ERP =&gt; SOUS-SEGMENT'!$C$8:$C$1000=$C25)*'ANALYSE - ERP =&gt; SOUS-SEGMENT'!$Q$8:$Q$1000*'ANALYSE - ERP =&gt; SOUS-SEGMENT'!$AF$8:$AF$1000))</f>
        <v>28100</v>
      </c>
      <c r="AG25" s="272">
        <f>IF($C25="","",SUMPRODUCT(('ANALYSE - ERP =&gt; SOUS-SEGMENT'!$C$8:$C$1000=$C25)*'ANALYSE - ERP =&gt; SOUS-SEGMENT'!$Q$8:$Q$1000*'ANALYSE - ERP =&gt; SOUS-SEGMENT'!$AG$8:$AG$1000))</f>
        <v>28000</v>
      </c>
      <c r="AH25" s="272">
        <f>IF($C25="","",SUMPRODUCT(('ANALYSE - ERP =&gt; SOUS-SEGMENT'!$C$8:$C$1000=$C25)*'ANALYSE - ERP =&gt; SOUS-SEGMENT'!$Q$8:$Q$1000*'ANALYSE - ERP =&gt; SOUS-SEGMENT'!$AH$8:$AH$1000))</f>
        <v>27900</v>
      </c>
      <c r="AI25" s="272">
        <f>IF($C25="","",SUMPRODUCT(('ANALYSE - ERP =&gt; SOUS-SEGMENT'!$C$8:$C$1000=$C25)*'ANALYSE - ERP =&gt; SOUS-SEGMENT'!$Q$8:$Q$1000*'ANALYSE - ERP =&gt; SOUS-SEGMENT'!$AI$8:$AI$1000))</f>
        <v>27800</v>
      </c>
      <c r="AJ25" s="272">
        <f>IF($C25="","",SUMPRODUCT(('ANALYSE - ERP =&gt; SOUS-SEGMENT'!$C$8:$C$1000=$C25)*'ANALYSE - ERP =&gt; SOUS-SEGMENT'!$Q$8:$Q$1000*'ANALYSE - ERP =&gt; SOUS-SEGMENT'!$AJ$8:$AJ$1000))</f>
        <v>27700</v>
      </c>
      <c r="AK25" s="272">
        <f>IF($C25="","",SUMPRODUCT(('ANALYSE - ERP =&gt; SOUS-SEGMENT'!$C$8:$C$1000=$C25)*'ANALYSE - ERP =&gt; SOUS-SEGMENT'!$Q$8:$Q$1000*'ANALYSE - ERP =&gt; SOUS-SEGMENT'!$AK$8:$AK$1000))</f>
        <v>27600</v>
      </c>
      <c r="AL25" s="960" t="s">
        <v>4031</v>
      </c>
      <c r="AM25" s="960" t="s">
        <v>4032</v>
      </c>
      <c r="AN25" s="960" t="s">
        <v>4033</v>
      </c>
      <c r="AO25" s="657"/>
      <c r="AP25" s="271">
        <f>IF($C25="","",IFERROR(SUMPRODUCT(('ANALYSE - ERP =&gt; SOUS-SEGMENT'!$C$8:$C$1000=$C25)*'ANALYSE - ERP =&gt; SOUS-SEGMENT'!$Q$8:$Q$1000*'ANALYSE - ERP =&gt; SOUS-SEGMENT'!$AF$8:$AF$1000*'ANALYSE - ERP =&gt; SOUS-SEGMENT'!$AP$8:$AP$1000)/SUMPRODUCT(('ANALYSE - ERP =&gt; SOUS-SEGMENT'!$C$8:$C$1000=$C25)*'ANALYSE - ERP =&gt; SOUS-SEGMENT'!$Q$8:$Q$1000*'ANALYSE - ERP =&gt; SOUS-SEGMENT'!$AF$8:$AF$1000),""))</f>
        <v>250</v>
      </c>
      <c r="AQ25" s="280">
        <f>IF($C25="","",IFERROR(SUMPRODUCT(('ANALYSE - ERP =&gt; SOUS-SEGMENT'!$C$8:$C$1000=$C25)*'ANALYSE - ERP =&gt; SOUS-SEGMENT'!$Q$8:$Q$1000*'ANALYSE - ERP =&gt; SOUS-SEGMENT'!$AF$8:$AF$1000*'ANALYSE - ERP =&gt; SOUS-SEGMENT'!$AQ$8:$AQ$1000)/SUMPRODUCT(('ANALYSE - ERP =&gt; SOUS-SEGMENT'!$C$8:$C$1000=$C25)*'ANALYSE - ERP =&gt; SOUS-SEGMENT'!$Q$8:$Q$1000*'ANALYSE - ERP =&gt; SOUS-SEGMENT'!$AF$8:$AF$1000),""))</f>
        <v>225</v>
      </c>
      <c r="AR25" s="280">
        <f>IF($C25="","",IFERROR(SUMPRODUCT(('ANALYSE - ERP =&gt; SOUS-SEGMENT'!$C$8:$C$1000=$C25)*'ANALYSE - ERP =&gt; SOUS-SEGMENT'!$Q$8:$Q$1000*'ANALYSE - ERP =&gt; SOUS-SEGMENT'!$AF$8:$AF$1000*'ANALYSE - ERP =&gt; SOUS-SEGMENT'!$AR$8:$AR$1000)/SUMPRODUCT(('ANALYSE - ERP =&gt; SOUS-SEGMENT'!$C$8:$C$1000=$C25)*'ANALYSE - ERP =&gt; SOUS-SEGMENT'!$Q$8:$Q$1000*'ANALYSE - ERP =&gt; SOUS-SEGMENT'!$AF$8:$AF$1000),""))</f>
        <v>25</v>
      </c>
      <c r="AS25" s="280">
        <f>IF($C25="","",IFERROR(SUMPRODUCT(('ANALYSE - ERP =&gt; SOUS-SEGMENT'!$C$8:$C$1000=$C25)*'ANALYSE - ERP =&gt; SOUS-SEGMENT'!$Q$8:$Q$1000*'ANALYSE - ERP =&gt; SOUS-SEGMENT'!$AF$8:$AF$1000*'ANALYSE - ERP =&gt; SOUS-SEGMENT'!$AS$8:$AS$1000)/SUMPRODUCT(('ANALYSE - ERP =&gt; SOUS-SEGMENT'!$C$8:$C$1000=$C25)*'ANALYSE - ERP =&gt; SOUS-SEGMENT'!$Q$8:$Q$1000*'ANALYSE - ERP =&gt; SOUS-SEGMENT'!$AF$8:$AF$1000),""))</f>
        <v>0</v>
      </c>
      <c r="AT25" s="657"/>
      <c r="AU25" s="647" t="s">
        <v>4034</v>
      </c>
      <c r="AV25" s="647" t="s">
        <v>4035</v>
      </c>
      <c r="AW25" s="960" t="s">
        <v>4036</v>
      </c>
      <c r="AX25" s="647" t="s">
        <v>2670</v>
      </c>
      <c r="AY25" s="657"/>
      <c r="AZ25" s="948">
        <f>IF($C25="","",IFERROR(SUMPRODUCT(('ANALYSE - ERP =&gt; SOUS-SEGMENT'!$C$8:$C$1000=$C25)*'ANALYSE - ERP =&gt; SOUS-SEGMENT'!$Q$8:$Q$1000*'ANALYSE - ERP =&gt; SOUS-SEGMENT'!$AF$8:$AF$1000*'ANALYSE - ERP =&gt; SOUS-SEGMENT'!$AZ$8:$AZ$1000)/SUMPRODUCT(('ANALYSE - ERP =&gt; SOUS-SEGMENT'!$C$8:$C$1000=$C25)*'ANALYSE - ERP =&gt; SOUS-SEGMENT'!$Q$8:$Q$1000*'ANALYSE - ERP =&gt; SOUS-SEGMENT'!$AF$8:$AF$1000),""))</f>
        <v>22</v>
      </c>
      <c r="BA25" s="948">
        <f>IF($C25="","",IFERROR(SUMPRODUCT(('ANALYSE - ERP =&gt; SOUS-SEGMENT'!$C$8:$C$1000=$C25)*'ANALYSE - ERP =&gt; SOUS-SEGMENT'!$Q$8:$Q$1000*'ANALYSE - ERP =&gt; SOUS-SEGMENT'!$AF$8:$AF$1000*'ANALYSE - ERP =&gt; SOUS-SEGMENT'!$BA$8:$BA$1000)/SUMPRODUCT(('ANALYSE - ERP =&gt; SOUS-SEGMENT'!$C$8:$C$1000=$C25)*'ANALYSE - ERP =&gt; SOUS-SEGMENT'!$Q$8:$Q$1000*'ANALYSE - ERP =&gt; SOUS-SEGMENT'!$AF$8:$AF$1000),""))</f>
        <v>0.22500000000000001</v>
      </c>
      <c r="BB25" s="948">
        <f>IF($C25="","",IFERROR(SUMPRODUCT(('ANALYSE - ERP =&gt; SOUS-SEGMENT'!$C$8:$C$1000=$C25)*'ANALYSE - ERP =&gt; SOUS-SEGMENT'!$Q$8:$Q$1000*'ANALYSE - ERP =&gt; SOUS-SEGMENT'!$AF$8:$AF$1000*'ANALYSE - ERP =&gt; SOUS-SEGMENT'!$BB$8:$BB$1000)/SUMPRODUCT(('ANALYSE - ERP =&gt; SOUS-SEGMENT'!$C$8:$C$1000=$C25)*'ANALYSE - ERP =&gt; SOUS-SEGMENT'!$Q$8:$Q$1000*'ANALYSE - ERP =&gt; SOUS-SEGMENT'!$AF$8:$AF$1000),""))</f>
        <v>4.5</v>
      </c>
      <c r="BC25" s="948">
        <f>IF($C25="","",IFERROR(SUMPRODUCT(('ANALYSE - ERP =&gt; SOUS-SEGMENT'!$C$8:$C$1000=$C25)*'ANALYSE - ERP =&gt; SOUS-SEGMENT'!$Q$8:$Q$1000*'ANALYSE - ERP =&gt; SOUS-SEGMENT'!$AF$8:$AF$1000*'ANALYSE - ERP =&gt; SOUS-SEGMENT'!$BC$8:$BC$1000)/SUMPRODUCT(('ANALYSE - ERP =&gt; SOUS-SEGMENT'!$C$8:$C$1000=$C25)*'ANALYSE - ERP =&gt; SOUS-SEGMENT'!$Q$8:$Q$1000*'ANALYSE - ERP =&gt; SOUS-SEGMENT'!$AF$8:$AF$1000),""))</f>
        <v>16</v>
      </c>
      <c r="BD25" s="825">
        <f t="shared" si="1"/>
        <v>1200572.5</v>
      </c>
      <c r="BE25" s="304">
        <f>IF($C25="","",SUMPRODUCT(('ANALYSE - ERP =&gt; SOUS-SEGMENT'!$C$8:$C$1000=$C25)*'ANALYSE - ERP =&gt; SOUS-SEGMENT'!$Q$8:$Q$1000*'ANALYSE - ERP =&gt; SOUS-SEGMENT'!$BE$8:$BE$1000))</f>
        <v>618200</v>
      </c>
      <c r="BF25" s="304">
        <f>IF($C25="","",SUMPRODUCT(('ANALYSE - ERP =&gt; SOUS-SEGMENT'!$C$8:$C$1000=$C25)*'ANALYSE - ERP =&gt; SOUS-SEGMENT'!$Q$8:$Q$1000*'ANALYSE - ERP =&gt; SOUS-SEGMENT'!$BF$8:$BF$1000))</f>
        <v>6322.5</v>
      </c>
      <c r="BG25" s="304">
        <f>IF($C25="","",SUMPRODUCT(('ANALYSE - ERP =&gt; SOUS-SEGMENT'!$C$8:$C$1000=$C25)*'ANALYSE - ERP =&gt; SOUS-SEGMENT'!$Q$8:$Q$1000*'ANALYSE - ERP =&gt; SOUS-SEGMENT'!$BG$8:$BG$1000))</f>
        <v>126450</v>
      </c>
      <c r="BH25" s="304">
        <f>IF($C25="","",SUMPRODUCT(('ANALYSE - ERP =&gt; SOUS-SEGMENT'!$C$8:$C$1000=$C25)*'ANALYSE - ERP =&gt; SOUS-SEGMENT'!$Q$8:$Q$1000*'ANALYSE - ERP =&gt; SOUS-SEGMENT'!$BH$8:$BH$1000))</f>
        <v>449600</v>
      </c>
      <c r="BI25" s="825">
        <f t="shared" si="2"/>
        <v>1179210</v>
      </c>
      <c r="BJ25" s="304">
        <f>IF($C25="","",SUMPRODUCT(('ANALYSE - ERP =&gt; SOUS-SEGMENT'!$C$8:$C$1000=$C25)*'ANALYSE - ERP =&gt; SOUS-SEGMENT'!$Q$8:$Q$1000*'ANALYSE - ERP =&gt; SOUS-SEGMENT'!$BJ$8:$BJ$1000))</f>
        <v>607200</v>
      </c>
      <c r="BK25" s="304">
        <f>IF($C25="","",SUMPRODUCT(('ANALYSE - ERP =&gt; SOUS-SEGMENT'!$C$8:$C$1000=$C25)*'ANALYSE - ERP =&gt; SOUS-SEGMENT'!$Q$8:$Q$1000*'ANALYSE - ERP =&gt; SOUS-SEGMENT'!$BK$8:$BK$1000))</f>
        <v>6210</v>
      </c>
      <c r="BL25" s="304">
        <f>IF($C25="","",SUMPRODUCT(('ANALYSE - ERP =&gt; SOUS-SEGMENT'!$C$8:$C$1000=$C25)*'ANALYSE - ERP =&gt; SOUS-SEGMENT'!$Q$8:$Q$1000*'ANALYSE - ERP =&gt; SOUS-SEGMENT'!$BL$8:$BL$1000))</f>
        <v>124200</v>
      </c>
      <c r="BM25" s="304">
        <f>IF($C25="","",SUMPRODUCT(('ANALYSE - ERP =&gt; SOUS-SEGMENT'!$C$8:$C$1000=$C25)*'ANALYSE - ERP =&gt; SOUS-SEGMENT'!$Q$8:$Q$1000*'ANALYSE - ERP =&gt; SOUS-SEGMENT'!$BM$8:$BM$1000))</f>
        <v>441600</v>
      </c>
      <c r="BN25" s="657"/>
      <c r="BO25" s="284">
        <f t="shared" si="3"/>
        <v>0.43</v>
      </c>
      <c r="BP25" s="284">
        <f t="shared" si="4"/>
        <v>0.35</v>
      </c>
      <c r="BQ25" s="284">
        <f t="shared" si="5"/>
        <v>0.17</v>
      </c>
      <c r="BR25" s="710">
        <f t="shared" si="6"/>
        <v>0.05</v>
      </c>
      <c r="BS25" s="707">
        <f t="shared" si="7"/>
        <v>0.36</v>
      </c>
      <c r="BT25" s="284">
        <f t="shared" si="8"/>
        <v>0.36</v>
      </c>
      <c r="BU25" s="284">
        <f t="shared" si="9"/>
        <v>0.24</v>
      </c>
      <c r="BV25" s="710">
        <f t="shared" si="10"/>
        <v>0.04</v>
      </c>
      <c r="BW25" s="714">
        <f t="shared" si="11"/>
        <v>0.5</v>
      </c>
      <c r="BX25" s="285">
        <f t="shared" si="12"/>
        <v>0.36</v>
      </c>
      <c r="BY25" s="717">
        <f t="shared" si="13"/>
        <v>0.14000000000000001</v>
      </c>
      <c r="BZ25" s="714">
        <f t="shared" si="14"/>
        <v>0.45</v>
      </c>
      <c r="CA25" s="285">
        <f t="shared" si="15"/>
        <v>0.36</v>
      </c>
      <c r="CB25" s="717">
        <f t="shared" si="16"/>
        <v>0.19</v>
      </c>
      <c r="CC25" s="284">
        <f t="shared" si="17"/>
        <v>0.15</v>
      </c>
      <c r="CD25" s="284">
        <f t="shared" si="18"/>
        <v>0.5</v>
      </c>
      <c r="CE25" s="284">
        <f t="shared" si="19"/>
        <v>0.2</v>
      </c>
      <c r="CF25" s="710">
        <f t="shared" si="20"/>
        <v>0.15</v>
      </c>
      <c r="CG25" s="707">
        <f t="shared" si="21"/>
        <v>0.12</v>
      </c>
      <c r="CH25" s="284">
        <f t="shared" si="22"/>
        <v>0.47</v>
      </c>
      <c r="CI25" s="284">
        <f t="shared" si="23"/>
        <v>0.23</v>
      </c>
      <c r="CJ25" s="710">
        <f t="shared" si="24"/>
        <v>0.18</v>
      </c>
      <c r="CK25" s="720">
        <f t="shared" si="25"/>
        <v>0.56000000000000005</v>
      </c>
      <c r="CL25" s="286">
        <f t="shared" si="26"/>
        <v>0.28999999999999998</v>
      </c>
      <c r="CM25" s="718">
        <f t="shared" si="27"/>
        <v>0.15</v>
      </c>
      <c r="CN25" s="720">
        <f t="shared" si="28"/>
        <v>0.49</v>
      </c>
      <c r="CO25" s="286">
        <f t="shared" si="29"/>
        <v>0.33</v>
      </c>
      <c r="CP25" s="718">
        <f t="shared" si="30"/>
        <v>0.18</v>
      </c>
      <c r="CQ25" s="657"/>
      <c r="CR25" s="807">
        <f>IF($C25="","",IFERROR(SUMPRODUCT(('ANALYSE - ERP =&gt; SOUS-SEGMENT'!$C$8:$C$1000=$C25)*'ANALYSE - ERP =&gt; SOUS-SEGMENT'!$Q$8:$Q$1000*'ANALYSE - ERP =&gt; SOUS-SEGMENT'!$DH$8:$DH$1000*'ANALYSE - ERP =&gt; SOUS-SEGMENT'!$CR$8:$CR$1000)/SUMPRODUCT(('ANALYSE - ERP =&gt; SOUS-SEGMENT'!$C$8:$C$1000=$C25)*'ANALYSE - ERP =&gt; SOUS-SEGMENT'!$Q$8:$Q$1000*'ANALYSE - ERP =&gt; SOUS-SEGMENT'!$DH$8:$DH$1000),""))</f>
        <v>13</v>
      </c>
      <c r="CS25" s="808">
        <f>IF($C25="","",IFERROR(SUMPRODUCT(('ANALYSE - ERP =&gt; SOUS-SEGMENT'!$C$8:$C$1000=$C25)*'ANALYSE - ERP =&gt; SOUS-SEGMENT'!$Q$8:$Q$1000*'ANALYSE - ERP =&gt; SOUS-SEGMENT'!$DI$8:$DI$1000*'ANALYSE - ERP =&gt; SOUS-SEGMENT'!$CS$8:$CS$1000)/SUMPRODUCT(('ANALYSE - ERP =&gt; SOUS-SEGMENT'!$C$8:$C$1000=$C25)*'ANALYSE - ERP =&gt; SOUS-SEGMENT'!$Q$8:$Q$1000*'ANALYSE - ERP =&gt; SOUS-SEGMENT'!$DI$8:$DI$1000),""))</f>
        <v>14</v>
      </c>
      <c r="CT25" s="808">
        <f>IF($C25="","",IFERROR(SUMPRODUCT(('ANALYSE - ERP =&gt; SOUS-SEGMENT'!$C$8:$C$1000=$C25)*'ANALYSE - ERP =&gt; SOUS-SEGMENT'!$Q$8:$Q$1000*'ANALYSE - ERP =&gt; SOUS-SEGMENT'!$DJ$8:$DJ$1000*'ANALYSE - ERP =&gt; SOUS-SEGMENT'!$CT$8:$CT$1000)/SUMPRODUCT(('ANALYSE - ERP =&gt; SOUS-SEGMENT'!$C$8:$C$1000=$C25)*'ANALYSE - ERP =&gt; SOUS-SEGMENT'!$Q$8:$Q$1000*'ANALYSE - ERP =&gt; SOUS-SEGMENT'!$DJ$8:$DJ$1000),""))</f>
        <v>10</v>
      </c>
      <c r="CU25" s="809">
        <f>IF($C25="","",IFERROR(SUMPRODUCT(('ANALYSE - ERP =&gt; SOUS-SEGMENT'!$C$8:$C$1000=$C25)*'ANALYSE - ERP =&gt; SOUS-SEGMENT'!$Q$8:$Q$1000*'ANALYSE - ERP =&gt; SOUS-SEGMENT'!$DK$8:$DK$1000*'ANALYSE - ERP =&gt; SOUS-SEGMENT'!$CU$8:$CU$1000)/SUMPRODUCT(('ANALYSE - ERP =&gt; SOUS-SEGMENT'!$C$8:$C$1000=$C25)*'ANALYSE - ERP =&gt; SOUS-SEGMENT'!$Q$8:$Q$1000*'ANALYSE - ERP =&gt; SOUS-SEGMENT'!$DK$8:$DK$1000),""))</f>
        <v>12</v>
      </c>
      <c r="CV25" s="807">
        <f>IF($C25="","",IFERROR(SUMPRODUCT(('ANALYSE - ERP =&gt; SOUS-SEGMENT'!$C$8:$C$1000=$C25)*'ANALYSE - ERP =&gt; SOUS-SEGMENT'!$Q$8:$Q$1000*'ANALYSE - ERP =&gt; SOUS-SEGMENT'!$DS$8:$DS$1000*'ANALYSE - ERP =&gt; SOUS-SEGMENT'!$CV$8:$CV$1000)/SUMPRODUCT(('ANALYSE - ERP =&gt; SOUS-SEGMENT'!$C$8:$C$1000=$C25)*'ANALYSE - ERP =&gt; SOUS-SEGMENT'!$Q$8:$Q$1000*'ANALYSE - ERP =&gt; SOUS-SEGMENT'!$DS$8:$DS$1000),""))</f>
        <v>12</v>
      </c>
      <c r="CW25" s="808">
        <f>IF($C25="","",IFERROR(SUMPRODUCT(('ANALYSE - ERP =&gt; SOUS-SEGMENT'!$C$8:$C$1000=$C25)*'ANALYSE - ERP =&gt; SOUS-SEGMENT'!$Q$8:$Q$1000*'ANALYSE - ERP =&gt; SOUS-SEGMENT'!$DT$8:$DT$1000*'ANALYSE - ERP =&gt; SOUS-SEGMENT'!$CW$8:$CW$1000)/SUMPRODUCT(('ANALYSE - ERP =&gt; SOUS-SEGMENT'!$C$8:$C$1000=$C25)*'ANALYSE - ERP =&gt; SOUS-SEGMENT'!$Q$8:$Q$1000*'ANALYSE - ERP =&gt; SOUS-SEGMENT'!$DT$8:$DT$1000),""))</f>
        <v>11</v>
      </c>
      <c r="CX25" s="809">
        <f>IF($C25="","",IFERROR(SUMPRODUCT(('ANALYSE - ERP =&gt; SOUS-SEGMENT'!$C$8:$C$1000=$C25)*'ANALYSE - ERP =&gt; SOUS-SEGMENT'!$Q$8:$Q$1000*'ANALYSE - ERP =&gt; SOUS-SEGMENT'!$DU$8:$DU$1000*'ANALYSE - ERP =&gt; SOUS-SEGMENT'!$CX$8:$CX$1000)/SUMPRODUCT(('ANALYSE - ERP =&gt; SOUS-SEGMENT'!$C$8:$C$1000=$C25)*'ANALYSE - ERP =&gt; SOUS-SEGMENT'!$Q$8:$Q$1000*'ANALYSE - ERP =&gt; SOUS-SEGMENT'!$DU$8:$DU$1000),""))</f>
        <v>9</v>
      </c>
      <c r="CY25" s="807">
        <f>IF($C25="","",IFERROR(SUMPRODUCT(('ANALYSE - ERP =&gt; SOUS-SEGMENT'!$C$8:$C$1000=$C25)*'ANALYSE - ERP =&gt; SOUS-SEGMENT'!$Q$8:$Q$1000*'ANALYSE - ERP =&gt; SOUS-SEGMENT'!$EB$8:$EB$1000*'ANALYSE - ERP =&gt; SOUS-SEGMENT'!$CY$8:$CY$1000)/SUMPRODUCT(('ANALYSE - ERP =&gt; SOUS-SEGMENT'!$C$8:$C$1000=$C25)*'ANALYSE - ERP =&gt; SOUS-SEGMENT'!$Q$8:$Q$1000*'ANALYSE - ERP =&gt; SOUS-SEGMENT'!$EB$8:$EB$1000),""))</f>
        <v>11</v>
      </c>
      <c r="CZ25" s="808">
        <f>IF($C25="","",IFERROR(SUMPRODUCT(('ANALYSE - ERP =&gt; SOUS-SEGMENT'!$C$8:$C$1000=$C25)*'ANALYSE - ERP =&gt; SOUS-SEGMENT'!$Q$8:$Q$1000*'ANALYSE - ERP =&gt; SOUS-SEGMENT'!$EC$8:$EC$1000*'ANALYSE - ERP =&gt; SOUS-SEGMENT'!$CZ$8:$CZ$1000)/SUMPRODUCT(('ANALYSE - ERP =&gt; SOUS-SEGMENT'!$C$8:$C$1000=$C25)*'ANALYSE - ERP =&gt; SOUS-SEGMENT'!$Q$8:$Q$1000*'ANALYSE - ERP =&gt; SOUS-SEGMENT'!$EC$8:$EC$1000),""))</f>
        <v>13</v>
      </c>
      <c r="DA25" s="808">
        <f>IF($C25="","",IFERROR(SUMPRODUCT(('ANALYSE - ERP =&gt; SOUS-SEGMENT'!$C$8:$C$1000=$C25)*'ANALYSE - ERP =&gt; SOUS-SEGMENT'!$Q$8:$Q$1000*'ANALYSE - ERP =&gt; SOUS-SEGMENT'!$ED$8:$ED$1000*'ANALYSE - ERP =&gt; SOUS-SEGMENT'!$DA$8:$DA$1000)/SUMPRODUCT(('ANALYSE - ERP =&gt; SOUS-SEGMENT'!$C$8:$C$1000=$C25)*'ANALYSE - ERP =&gt; SOUS-SEGMENT'!$Q$8:$Q$1000*'ANALYSE - ERP =&gt; SOUS-SEGMENT'!$ED$8:$ED$1000),""))</f>
        <v>9</v>
      </c>
      <c r="DB25" s="809">
        <f>IF($C25="","",IFERROR(SUMPRODUCT(('ANALYSE - ERP =&gt; SOUS-SEGMENT'!$C$8:$C$1000=$C25)*'ANALYSE - ERP =&gt; SOUS-SEGMENT'!$Q$8:$Q$1000*'ANALYSE - ERP =&gt; SOUS-SEGMENT'!$EE$8:$EE$1000*'ANALYSE - ERP =&gt; SOUS-SEGMENT'!$DB$8:$DB$1000)/SUMPRODUCT(('ANALYSE - ERP =&gt; SOUS-SEGMENT'!$C$8:$C$1000=$C25)*'ANALYSE - ERP =&gt; SOUS-SEGMENT'!$Q$8:$Q$1000*'ANALYSE - ERP =&gt; SOUS-SEGMENT'!$EE$8:$EE$1000),""))</f>
        <v>11</v>
      </c>
      <c r="DC25" s="807">
        <f>IF($C25="","",IFERROR(SUMPRODUCT(('ANALYSE - ERP =&gt; SOUS-SEGMENT'!$C$8:$C$1000=$C25)*'ANALYSE - ERP =&gt; SOUS-SEGMENT'!$Q$8:$Q$1000*'ANALYSE - ERP =&gt; SOUS-SEGMENT'!$EM$8:$EM$1000*'ANALYSE - ERP =&gt; SOUS-SEGMENT'!$DC$8:$DC$1000)/SUMPRODUCT(('ANALYSE - ERP =&gt; SOUS-SEGMENT'!$C$8:$C$1000=$C25)*'ANALYSE - ERP =&gt; SOUS-SEGMENT'!$Q$8:$Q$1000*'ANALYSE - ERP =&gt; SOUS-SEGMENT'!$EM$8:$EM$1000),""))</f>
        <v>14</v>
      </c>
      <c r="DD25" s="808">
        <f>IF($C25="","",IFERROR(SUMPRODUCT(('ANALYSE - ERP =&gt; SOUS-SEGMENT'!$C$8:$C$1000=$C25)*'ANALYSE - ERP =&gt; SOUS-SEGMENT'!$Q$8:$Q$1000*'ANALYSE - ERP =&gt; SOUS-SEGMENT'!$EN$8:$EN$1000*'ANALYSE - ERP =&gt; SOUS-SEGMENT'!$DD$8:$DD$1000)/SUMPRODUCT(('ANALYSE - ERP =&gt; SOUS-SEGMENT'!$C$8:$C$1000=$C25)*'ANALYSE - ERP =&gt; SOUS-SEGMENT'!$Q$8:$Q$1000*'ANALYSE - ERP =&gt; SOUS-SEGMENT'!$EN$8:$EN$1000),""))</f>
        <v>14</v>
      </c>
      <c r="DE25" s="809">
        <f>IF($C25="","",IFERROR(SUMPRODUCT(('ANALYSE - ERP =&gt; SOUS-SEGMENT'!$C$8:$C$1000=$C25)*'ANALYSE - ERP =&gt; SOUS-SEGMENT'!$Q$8:$Q$1000*'ANALYSE - ERP =&gt; SOUS-SEGMENT'!$EO$8:$EO$1000*'ANALYSE - ERP =&gt; SOUS-SEGMENT'!$DE$8:$DE$1000)/SUMPRODUCT(('ANALYSE - ERP =&gt; SOUS-SEGMENT'!$C$8:$C$1000=$C25)*'ANALYSE - ERP =&gt; SOUS-SEGMENT'!$Q$8:$Q$1000*'ANALYSE - ERP =&gt; SOUS-SEGMENT'!$EO$8:$EO$1000),""))</f>
        <v>10</v>
      </c>
      <c r="DF25" s="921" t="s">
        <v>4037</v>
      </c>
      <c r="DG25" s="657"/>
      <c r="DH25" s="288">
        <f>IF($C25="","",SUMPRODUCT(('ANALYSE - ERP =&gt; SOUS-SEGMENT'!$C$8:$C$1000=$C25)*'ANALYSE - ERP =&gt; SOUS-SEGMENT'!$Q$8:$Q$1000*'ANALYSE - ERP =&gt; SOUS-SEGMENT'!$DH$8:$DH$1000))</f>
        <v>265826</v>
      </c>
      <c r="DI25" s="288">
        <f>IF($C25="","",SUMPRODUCT(('ANALYSE - ERP =&gt; SOUS-SEGMENT'!$C$8:$C$1000=$C25)*'ANALYSE - ERP =&gt; SOUS-SEGMENT'!$Q$8:$Q$1000*'ANALYSE - ERP =&gt; SOUS-SEGMENT'!$DI$8:$DI$1000))</f>
        <v>216370</v>
      </c>
      <c r="DJ25" s="288">
        <f>IF($C25="","",SUMPRODUCT(('ANALYSE - ERP =&gt; SOUS-SEGMENT'!$C$8:$C$1000=$C25)*'ANALYSE - ERP =&gt; SOUS-SEGMENT'!$Q$8:$Q$1000*'ANALYSE - ERP =&gt; SOUS-SEGMENT'!$DJ$8:$DJ$1000))</f>
        <v>105094.00000000001</v>
      </c>
      <c r="DK25" s="288">
        <f>IF($C25="","",SUMPRODUCT(('ANALYSE - ERP =&gt; SOUS-SEGMENT'!$C$8:$C$1000=$C25)*'ANALYSE - ERP =&gt; SOUS-SEGMENT'!$Q$8:$Q$1000*'ANALYSE - ERP =&gt; SOUS-SEGMENT'!$DK$8:$DK$1000))</f>
        <v>30910</v>
      </c>
      <c r="DL25" s="922" t="s">
        <v>4038</v>
      </c>
      <c r="DM25" s="288">
        <f>IF($C25="","",SUMPRODUCT(('ANALYSE - ERP =&gt; SOUS-SEGMENT'!$C$8:$C$1000=$C25)*'ANALYSE - ERP =&gt; SOUS-SEGMENT'!$Q$8:$Q$1000*'ANALYSE - ERP =&gt; SOUS-SEGMENT'!$DM$8:$DM$1000))</f>
        <v>218592</v>
      </c>
      <c r="DN25" s="288">
        <f>IF($C25="","",SUMPRODUCT(('ANALYSE - ERP =&gt; SOUS-SEGMENT'!$C$8:$C$1000=$C25)*'ANALYSE - ERP =&gt; SOUS-SEGMENT'!$Q$8:$Q$1000*'ANALYSE - ERP =&gt; SOUS-SEGMENT'!$DN$8:$DN$1000))</f>
        <v>218592</v>
      </c>
      <c r="DO25" s="288">
        <f>IF($C25="","",SUMPRODUCT(('ANALYSE - ERP =&gt; SOUS-SEGMENT'!$C$8:$C$1000=$C25)*'ANALYSE - ERP =&gt; SOUS-SEGMENT'!$Q$8:$Q$1000*'ANALYSE - ERP =&gt; SOUS-SEGMENT'!$DO$8:$DO$1000))</f>
        <v>145728</v>
      </c>
      <c r="DP25" s="288">
        <f>IF($C25="","",SUMPRODUCT(('ANALYSE - ERP =&gt; SOUS-SEGMENT'!$C$8:$C$1000=$C25)*'ANALYSE - ERP =&gt; SOUS-SEGMENT'!$Q$8:$Q$1000*'ANALYSE - ERP =&gt; SOUS-SEGMENT'!$DP$8:$DP$1000))</f>
        <v>24288</v>
      </c>
      <c r="DQ25" s="922" t="s">
        <v>2868</v>
      </c>
      <c r="DR25" s="657"/>
      <c r="DS25" s="288">
        <f>IF($C25="","",SUMPRODUCT(('ANALYSE - ERP =&gt; SOUS-SEGMENT'!$C$8:$C$1000=$C25)*'ANALYSE - ERP =&gt; SOUS-SEGMENT'!$Q$8:$Q$1000*'ANALYSE - ERP =&gt; SOUS-SEGMENT'!$DS$8:$DS$1000))</f>
        <v>3161.25</v>
      </c>
      <c r="DT25" s="288">
        <f>IF($C25="","",SUMPRODUCT(('ANALYSE - ERP =&gt; SOUS-SEGMENT'!$C$8:$C$1000=$C25)*'ANALYSE - ERP =&gt; SOUS-SEGMENT'!$Q$8:$Q$1000*'ANALYSE - ERP =&gt; SOUS-SEGMENT'!$DT$8:$DT$1000))</f>
        <v>2276.1</v>
      </c>
      <c r="DU25" s="288">
        <f>IF($C25="","",SUMPRODUCT(('ANALYSE - ERP =&gt; SOUS-SEGMENT'!$C$8:$C$1000=$C25)*'ANALYSE - ERP =&gt; SOUS-SEGMENT'!$Q$8:$Q$1000*'ANALYSE - ERP =&gt; SOUS-SEGMENT'!$DU$8:$DU$1000))</f>
        <v>885.15000000000009</v>
      </c>
      <c r="DV25" s="922" t="s">
        <v>4039</v>
      </c>
      <c r="DW25" s="288">
        <f>IF($C25="","",SUMPRODUCT(('ANALYSE - ERP =&gt; SOUS-SEGMENT'!$C$8:$C$1000=$C25)*'ANALYSE - ERP =&gt; SOUS-SEGMENT'!$Q$8:$Q$1000*'ANALYSE - ERP =&gt; SOUS-SEGMENT'!$DW$8:$DW$1000))</f>
        <v>2794.5</v>
      </c>
      <c r="DX25" s="288">
        <f>IF($C25="","",SUMPRODUCT(('ANALYSE - ERP =&gt; SOUS-SEGMENT'!$C$8:$C$1000=$C25)*'ANALYSE - ERP =&gt; SOUS-SEGMENT'!$Q$8:$Q$1000*'ANALYSE - ERP =&gt; SOUS-SEGMENT'!$DX$8:$DX$1000))</f>
        <v>2235.6</v>
      </c>
      <c r="DY25" s="288">
        <f>IF($C25="","",SUMPRODUCT(('ANALYSE - ERP =&gt; SOUS-SEGMENT'!$C$8:$C$1000=$C25)*'ANALYSE - ERP =&gt; SOUS-SEGMENT'!$Q$8:$Q$1000*'ANALYSE - ERP =&gt; SOUS-SEGMENT'!$DY$8:$DY$1000))</f>
        <v>1179.9000000000001</v>
      </c>
      <c r="DZ25" s="922" t="s">
        <v>4040</v>
      </c>
      <c r="EA25" s="657"/>
      <c r="EB25" s="288">
        <f>IF($C25="","",SUMPRODUCT(('ANALYSE - ERP =&gt; SOUS-SEGMENT'!$C$8:$C$1000=$C25)*'ANALYSE - ERP =&gt; SOUS-SEGMENT'!$Q$8:$Q$1000*'ANALYSE - ERP =&gt; SOUS-SEGMENT'!$EB$8:$EB$1000))</f>
        <v>18967.5</v>
      </c>
      <c r="EC25" s="288">
        <f>IF($C25="","",SUMPRODUCT(('ANALYSE - ERP =&gt; SOUS-SEGMENT'!$C$8:$C$1000=$C25)*'ANALYSE - ERP =&gt; SOUS-SEGMENT'!$Q$8:$Q$1000*'ANALYSE - ERP =&gt; SOUS-SEGMENT'!$EC$8:$EC$1000))</f>
        <v>63225</v>
      </c>
      <c r="ED25" s="288">
        <f>IF($C25="","",SUMPRODUCT(('ANALYSE - ERP =&gt; SOUS-SEGMENT'!$C$8:$C$1000=$C25)*'ANALYSE - ERP =&gt; SOUS-SEGMENT'!$Q$8:$Q$1000*'ANALYSE - ERP =&gt; SOUS-SEGMENT'!$ED$8:$ED$1000))</f>
        <v>25290</v>
      </c>
      <c r="EE25" s="288">
        <f>IF($C25="","",SUMPRODUCT(('ANALYSE - ERP =&gt; SOUS-SEGMENT'!$C$8:$C$1000=$C25)*'ANALYSE - ERP =&gt; SOUS-SEGMENT'!$Q$8:$Q$1000*'ANALYSE - ERP =&gt; SOUS-SEGMENT'!$EE$8:$EE$1000))</f>
        <v>18967.5</v>
      </c>
      <c r="EF25" s="922" t="s">
        <v>4041</v>
      </c>
      <c r="EG25" s="288">
        <f>IF($C25="","",SUMPRODUCT(('ANALYSE - ERP =&gt; SOUS-SEGMENT'!$C$8:$C$1000=$C25)*'ANALYSE - ERP =&gt; SOUS-SEGMENT'!$Q$8:$Q$1000*'ANALYSE - ERP =&gt; SOUS-SEGMENT'!$EG$8:$EG$1000))</f>
        <v>14904</v>
      </c>
      <c r="EH25" s="288">
        <f>IF($C25="","",SUMPRODUCT(('ANALYSE - ERP =&gt; SOUS-SEGMENT'!$C$8:$C$1000=$C25)*'ANALYSE - ERP =&gt; SOUS-SEGMENT'!$Q$8:$Q$1000*'ANALYSE - ERP =&gt; SOUS-SEGMENT'!$EH$8:$EH$1000))</f>
        <v>58374</v>
      </c>
      <c r="EI25" s="288">
        <f>IF($C25="","",SUMPRODUCT(('ANALYSE - ERP =&gt; SOUS-SEGMENT'!$C$8:$C$1000=$C25)*'ANALYSE - ERP =&gt; SOUS-SEGMENT'!$Q$8:$Q$1000*'ANALYSE - ERP =&gt; SOUS-SEGMENT'!$EI$8:$EI$1000))</f>
        <v>28566</v>
      </c>
      <c r="EJ25" s="288">
        <f>IF($C25="","",SUMPRODUCT(('ANALYSE - ERP =&gt; SOUS-SEGMENT'!$C$8:$C$1000=$C25)*'ANALYSE - ERP =&gt; SOUS-SEGMENT'!$Q$8:$Q$1000*'ANALYSE - ERP =&gt; SOUS-SEGMENT'!$EJ$8:$EJ$1000))</f>
        <v>22356</v>
      </c>
      <c r="EK25" s="922" t="s">
        <v>2870</v>
      </c>
      <c r="EL25" s="657"/>
      <c r="EM25" s="288">
        <f>IF($C25="","",SUMPRODUCT(('ANALYSE - ERP =&gt; SOUS-SEGMENT'!$C$8:$C$1000=$C25)*'ANALYSE - ERP =&gt; SOUS-SEGMENT'!$Q$8:$Q$1000*'ANALYSE - ERP =&gt; SOUS-SEGMENT'!$EM$8:$EM$1000))</f>
        <v>251776.00000000003</v>
      </c>
      <c r="EN25" s="291">
        <f>IF($C25="","",SUMPRODUCT(('ANALYSE - ERP =&gt; SOUS-SEGMENT'!$C$8:$C$1000=$C25)*'ANALYSE - ERP =&gt; SOUS-SEGMENT'!$Q$8:$Q$1000*'ANALYSE - ERP =&gt; SOUS-SEGMENT'!$EN$8:$EN$1000))</f>
        <v>130383.99999999999</v>
      </c>
      <c r="EO25" s="291">
        <f>IF($C25="","",SUMPRODUCT(('ANALYSE - ERP =&gt; SOUS-SEGMENT'!$C$8:$C$1000=$C25)*'ANALYSE - ERP =&gt; SOUS-SEGMENT'!$Q$8:$Q$1000*'ANALYSE - ERP =&gt; SOUS-SEGMENT'!$EO$8:$EO$1000))</f>
        <v>67440</v>
      </c>
      <c r="EP25" s="922" t="s">
        <v>4042</v>
      </c>
      <c r="EQ25" s="288">
        <f>IF($C25="","",SUMPRODUCT(('ANALYSE - ERP =&gt; SOUS-SEGMENT'!$C$8:$C$1000=$C25)*'ANALYSE - ERP =&gt; SOUS-SEGMENT'!$Q$8:$Q$1000*'ANALYSE - ERP =&gt; SOUS-SEGMENT'!$EQ$8:$EQ$1000))</f>
        <v>216384</v>
      </c>
      <c r="ER25" s="291">
        <f>IF($C25="","",SUMPRODUCT(('ANALYSE - ERP =&gt; SOUS-SEGMENT'!$C$8:$C$1000=$C25)*'ANALYSE - ERP =&gt; SOUS-SEGMENT'!$Q$8:$Q$1000*'ANALYSE - ERP =&gt; SOUS-SEGMENT'!$ER$8:$ER$1000))</f>
        <v>145728</v>
      </c>
      <c r="ES25" s="291">
        <f>IF($C25="","",SUMPRODUCT(('ANALYSE - ERP =&gt; SOUS-SEGMENT'!$C$8:$C$1000=$C25)*'ANALYSE - ERP =&gt; SOUS-SEGMENT'!$Q$8:$Q$1000*'ANALYSE - ERP =&gt; SOUS-SEGMENT'!$ES$8:$ES$1000))</f>
        <v>79488</v>
      </c>
      <c r="ET25" s="922" t="s">
        <v>2872</v>
      </c>
      <c r="EU25" s="657"/>
      <c r="EV25" s="740">
        <f t="shared" si="31"/>
        <v>0.85760375643110587</v>
      </c>
      <c r="EW25" s="740">
        <f t="shared" si="32"/>
        <v>0.14239624356889405</v>
      </c>
      <c r="EX25" s="563">
        <f t="shared" si="33"/>
        <v>392051.22165311902</v>
      </c>
      <c r="EY25" s="563">
        <f t="shared" si="34"/>
        <v>336224.600403119</v>
      </c>
      <c r="EZ25" s="563">
        <f t="shared" si="35"/>
        <v>55826.621250000004</v>
      </c>
      <c r="FA25" s="563">
        <f t="shared" si="36"/>
        <v>203059.86842589744</v>
      </c>
      <c r="FB25" s="563">
        <f>IF($C25="","",SUMPRODUCT(('ANALYSE - ERP =&gt; SOUS-SEGMENT'!$C$8:$C$1000=$C25)*'ANALYSE - ERP =&gt; SOUS-SEGMENT'!$Q$8:$Q$1000*'ANALYSE - ERP =&gt; SOUS-SEGMENT'!$FB$8:$FB$1000))</f>
        <v>174313.56842589745</v>
      </c>
      <c r="FC25" s="563">
        <f>IF($C25="","",SUMPRODUCT(('ANALYSE - ERP =&gt; SOUS-SEGMENT'!$C$8:$C$1000=$C25)*'ANALYSE - ERP =&gt; SOUS-SEGMENT'!$Q$8:$Q$1000*'ANALYSE - ERP =&gt; SOUS-SEGMENT'!$FC$8:$FC$1000))</f>
        <v>28746.3</v>
      </c>
      <c r="FD25" s="563">
        <f t="shared" si="37"/>
        <v>2446.2677532954544</v>
      </c>
      <c r="FE25" s="563">
        <f>IF($C25="","",SUMPRODUCT(('ANALYSE - ERP =&gt; SOUS-SEGMENT'!$C$8:$C$1000=$C25)*'ANALYSE - ERP =&gt; SOUS-SEGMENT'!$Q$8:$Q$1000*'ANALYSE - ERP =&gt; SOUS-SEGMENT'!$FE$8:$FE$1000))</f>
        <v>2152.2715032954543</v>
      </c>
      <c r="FF25" s="563">
        <f>IF($C25="","",SUMPRODUCT(('ANALYSE - ERP =&gt; SOUS-SEGMENT'!$C$8:$C$1000=$C25)*'ANALYSE - ERP =&gt; SOUS-SEGMENT'!$Q$8:$Q$1000*'ANALYSE - ERP =&gt; SOUS-SEGMENT'!$FF$8:$FF$1000))</f>
        <v>293.99624999999997</v>
      </c>
      <c r="FG25" s="563">
        <f t="shared" si="38"/>
        <v>47346.916216783211</v>
      </c>
      <c r="FH25" s="563">
        <f>IF($C25="","",SUMPRODUCT(('ANALYSE - ERP =&gt; SOUS-SEGMENT'!$C$8:$C$1000=$C25)*'ANALYSE - ERP =&gt; SOUS-SEGMENT'!$Q$8:$Q$1000*'ANALYSE - ERP =&gt; SOUS-SEGMENT'!$FH$8:$FH$1000))</f>
        <v>41466.991216783208</v>
      </c>
      <c r="FI25" s="563">
        <f>IF($C25="","",SUMPRODUCT(('ANALYSE - ERP =&gt; SOUS-SEGMENT'!$C$8:$C$1000=$C25)*'ANALYSE - ERP =&gt; SOUS-SEGMENT'!$Q$8:$Q$1000*'ANALYSE - ERP =&gt; SOUS-SEGMENT'!$FI$8:$FI$1000))</f>
        <v>5879.9250000000002</v>
      </c>
      <c r="FJ25" s="563">
        <f t="shared" si="39"/>
        <v>139198.16925714284</v>
      </c>
      <c r="FK25" s="563">
        <f>IF($C25="","",SUMPRODUCT(('ANALYSE - ERP =&gt; SOUS-SEGMENT'!$C$8:$C$1000=$C25)*'ANALYSE - ERP =&gt; SOUS-SEGMENT'!$Q$8:$Q$1000*'ANALYSE - ERP =&gt; SOUS-SEGMENT'!$FK$8:$FK$1000))</f>
        <v>118291.76925714285</v>
      </c>
      <c r="FL25" s="563">
        <f>IF($C25="","",SUMPRODUCT(('ANALYSE - ERP =&gt; SOUS-SEGMENT'!$C$8:$C$1000=$C25)*'ANALYSE - ERP =&gt; SOUS-SEGMENT'!$Q$8:$Q$1000*'ANALYSE - ERP =&gt; SOUS-SEGMENT'!$FL$8:$FL$1000))</f>
        <v>20906.400000000001</v>
      </c>
      <c r="FM25" s="529"/>
      <c r="FN25" s="961" t="s">
        <v>2649</v>
      </c>
      <c r="FO25" s="740">
        <f>IF($C25="","",IFERROR(SUMPRODUCT(('ANALYSE - ERP =&gt; SOUS-SEGMENT'!$C$8:$C$1000=$C25)*'ANALYSE - ERP =&gt; SOUS-SEGMENT'!$Q$8:$Q$1000*'ANALYSE - ERP =&gt; SOUS-SEGMENT'!$AF$8:$AF$1000*'ANALYSE - ERP =&gt; SOUS-SEGMENT'!$FO$8:$FO$1000)/SUMPRODUCT(('ANALYSE - ERP =&gt; SOUS-SEGMENT'!$C$8:$C$1000=$C25)*'ANALYSE - ERP =&gt; SOUS-SEGMENT'!$Q$8:$Q$1000*'ANALYSE - ERP =&gt; SOUS-SEGMENT'!$AF$8:$AF$1000),""))</f>
        <v>4.6500000000000007E-2</v>
      </c>
      <c r="FP25" s="741">
        <f>IF($C25="","",IFERROR(SUMPRODUCT(('ANALYSE - ERP =&gt; SOUS-SEGMENT'!$C$8:$C$1000=$C25)*'ANALYSE - ERP =&gt; SOUS-SEGMENT'!$Q$8:$Q$1000*'ANALYSE - ERP =&gt; SOUS-SEGMENT'!$AF$8:$AF$1000*'ANALYSE - ERP =&gt; SOUS-SEGMENT'!$FP$8:$FP$1000)/SUMPRODUCT(('ANALYSE - ERP =&gt; SOUS-SEGMENT'!$C$8:$C$1000=$C25)*'ANALYSE - ERP =&gt; SOUS-SEGMENT'!$Q$8:$Q$1000*'ANALYSE - ERP =&gt; SOUS-SEGMENT'!$AF$8:$AF$1000),""))</f>
        <v>0.80364999999999998</v>
      </c>
      <c r="FQ25" s="961" t="s">
        <v>4043</v>
      </c>
      <c r="FR25" s="529"/>
      <c r="FS25" s="867">
        <f>IF($C25="","",IFERROR(SUMPRODUCT(('ANALYSE - ERP =&gt; SOUS-SEGMENT'!$C$8:$C$1000=$C25)*'ANALYSE - ERP =&gt; SOUS-SEGMENT'!$Q$8:$Q$1000*'ANALYSE - ERP =&gt; SOUS-SEGMENT'!$EX$8:$EX$1000*'ANALYSE - ERP =&gt; SOUS-SEGMENT'!$FS$8:$FS$1000)/SUMPRODUCT(('ANALYSE - ERP =&gt; SOUS-SEGMENT'!$C$8:$C$1000=$C25)*'ANALYSE - ERP =&gt; SOUS-SEGMENT'!$Q$8:$Q$1000*'ANALYSE - ERP =&gt; SOUS-SEGMENT'!$EX$8:$EX$1000),""))</f>
        <v>3.2399999999999998</v>
      </c>
      <c r="FT25" s="566">
        <f>IF($C25="","",RANK($FS25,$FS$8:$FS$43,0)+COUNTIF($FS$8:$FS25,$FS25)-1)</f>
        <v>22</v>
      </c>
      <c r="FU25" s="867">
        <f>IF($C25="","",IFERROR(SUMPRODUCT(('ANALYSE - ERP =&gt; SOUS-SEGMENT'!$C$8:$C$1000=$C25)*'ANALYSE - ERP =&gt; SOUS-SEGMENT'!$Q$8:$Q$1000*'ANALYSE - ERP =&gt; SOUS-SEGMENT'!$EY$8:$EY$1000*'ANALYSE - ERP =&gt; SOUS-SEGMENT'!$FU$8:$FU$1000)/SUMPRODUCT(('ANALYSE - ERP =&gt; SOUS-SEGMENT'!$C$8:$C$1000=$C25)*'ANALYSE - ERP =&gt; SOUS-SEGMENT'!$Q$8:$Q$1000*'ANALYSE - ERP =&gt; SOUS-SEGMENT'!$EY$8:$EY$1000),""))</f>
        <v>3.87</v>
      </c>
      <c r="FV25" s="566">
        <f>IF($C25="","",RANK($FU25,$FU$8:$FU$43,0)+COUNTIF($FU$8:$FU25,$FU25)-1)</f>
        <v>26</v>
      </c>
      <c r="FW25" s="867">
        <f>IF($C25="","",IFERROR(SUMPRODUCT(('ANALYSE - ERP =&gt; SOUS-SEGMENT'!$C$8:$C$1000=$C25)*'ANALYSE - ERP =&gt; SOUS-SEGMENT'!$Q$8:$Q$1000*'ANALYSE - ERP =&gt; SOUS-SEGMENT'!$EZ$8:$EZ$1000*'ANALYSE - ERP =&gt; SOUS-SEGMENT'!$FW$8:$FW$1000)/SUMPRODUCT(('ANALYSE - ERP =&gt; SOUS-SEGMENT'!$C$8:$C$1000=$C25)*'ANALYSE - ERP =&gt; SOUS-SEGMENT'!$Q$8:$Q$1000*'ANALYSE - ERP =&gt; SOUS-SEGMENT'!$EZ$8:$EZ$1000),""))</f>
        <v>2.12</v>
      </c>
      <c r="FX25" s="566">
        <f>IF($C25="","",RANK($FW25,$FW$8:$FW$43,0)+COUNTIF($FW$8:$FW25,$FW25)-1)</f>
        <v>21</v>
      </c>
      <c r="FY25" s="529"/>
      <c r="FZ25" s="922" t="s">
        <v>4044</v>
      </c>
      <c r="GA25" s="922" t="s">
        <v>4045</v>
      </c>
      <c r="GB25" s="922" t="s">
        <v>2653</v>
      </c>
      <c r="GC25" s="922" t="s">
        <v>2654</v>
      </c>
      <c r="GD25" s="922" t="s">
        <v>2876</v>
      </c>
      <c r="GE25" s="922" t="s">
        <v>2656</v>
      </c>
      <c r="GF25" s="923" t="s">
        <v>5831</v>
      </c>
      <c r="GG25" s="529"/>
      <c r="GH25" s="563">
        <f t="shared" si="40"/>
        <v>82046.364569230776</v>
      </c>
      <c r="GI25" s="563">
        <f>IF($C25="","",SUMPRODUCT(('ANALYSE - ERP =&gt; SOUS-SEGMENT'!$C$8:$C$1000=$C25)*'ANALYSE - ERP =&gt; SOUS-SEGMENT'!$Q$8:$Q$1000*'ANALYSE - ERP =&gt; SOUS-SEGMENT'!$GI$8:$GI$1000))</f>
        <v>71697.696569230771</v>
      </c>
      <c r="GJ25" s="563">
        <f>IF($C25="","",SUMPRODUCT(('ANALYSE - ERP =&gt; SOUS-SEGMENT'!$C$8:$C$1000=$C25)*'ANALYSE - ERP =&gt; SOUS-SEGMENT'!$Q$8:$Q$1000*'ANALYSE - ERP =&gt; SOUS-SEGMENT'!$GJ$8:$GJ$1000))</f>
        <v>10348.668</v>
      </c>
      <c r="GK25" s="563">
        <f t="shared" si="41"/>
        <v>62372.950749999996</v>
      </c>
      <c r="GL25" s="563">
        <f>IF($C25="","",SUMPRODUCT(('ANALYSE - ERP =&gt; SOUS-SEGMENT'!$C$8:$C$1000=$C25)*'ANALYSE - ERP =&gt; SOUS-SEGMENT'!$Q$8:$Q$1000*'ANALYSE - ERP =&gt; SOUS-SEGMENT'!$GL$8:$GL$1000))</f>
        <v>52024.282749999998</v>
      </c>
      <c r="GM25" s="563">
        <f>IF($C25="","",SUMPRODUCT(('ANALYSE - ERP =&gt; SOUS-SEGMENT'!$C$8:$C$1000=$C25)*'ANALYSE - ERP =&gt; SOUS-SEGMENT'!$Q$8:$Q$1000*'ANALYSE - ERP =&gt; SOUS-SEGMENT'!$GM$8:$GM$1000))</f>
        <v>10348.668</v>
      </c>
      <c r="GN25" s="563">
        <f t="shared" si="42"/>
        <v>48046.474190000001</v>
      </c>
      <c r="GO25" s="563">
        <f>IF($C25="","",SUMPRODUCT(('ANALYSE - ERP =&gt; SOUS-SEGMENT'!$C$8:$C$1000=$C25)*'ANALYSE - ERP =&gt; SOUS-SEGMENT'!$Q$8:$Q$1000*'ANALYSE - ERP =&gt; SOUS-SEGMENT'!$GO$8:$GO$1000))</f>
        <v>41147.36219</v>
      </c>
      <c r="GP25" s="563">
        <f>IF($C25="","",SUMPRODUCT(('ANALYSE - ERP =&gt; SOUS-SEGMENT'!$C$8:$C$1000=$C25)*'ANALYSE - ERP =&gt; SOUS-SEGMENT'!$Q$8:$Q$1000*'ANALYSE - ERP =&gt; SOUS-SEGMENT'!$GP$8:$GP$1000))</f>
        <v>6899.1119999999992</v>
      </c>
      <c r="GQ25" s="563">
        <f t="shared" si="43"/>
        <v>10594.078916666667</v>
      </c>
      <c r="GR25" s="563">
        <f>IF($C25="","",SUMPRODUCT(('ANALYSE - ERP =&gt; SOUS-SEGMENT'!$C$8:$C$1000=$C25)*'ANALYSE - ERP =&gt; SOUS-SEGMENT'!$Q$8:$Q$1000*'ANALYSE - ERP =&gt; SOUS-SEGMENT'!$GR$8:$GR$1000))</f>
        <v>9444.2269166666665</v>
      </c>
      <c r="GS25" s="563">
        <f>IF($C25="","",SUMPRODUCT(('ANALYSE - ERP =&gt; SOUS-SEGMENT'!$C$8:$C$1000=$C25)*'ANALYSE - ERP =&gt; SOUS-SEGMENT'!$Q$8:$Q$1000*'ANALYSE - ERP =&gt; SOUS-SEGMENT'!$GS$8:$GS$1000))</f>
        <v>1149.8520000000001</v>
      </c>
      <c r="GT25" s="563">
        <f t="shared" si="44"/>
        <v>1098.1851562500001</v>
      </c>
      <c r="GU25" s="563">
        <f>IF($C25="","",SUMPRODUCT(('ANALYSE - ERP =&gt; SOUS-SEGMENT'!$C$8:$C$1000=$C25)*'ANALYSE - ERP =&gt; SOUS-SEGMENT'!$Q$8:$Q$1000*'ANALYSE - ERP =&gt; SOUS-SEGMENT'!$GU$8:$GU$1000))</f>
        <v>965.88684375000003</v>
      </c>
      <c r="GV25" s="563">
        <f>IF($C25="","",SUMPRODUCT(('ANALYSE - ERP =&gt; SOUS-SEGMENT'!$C$8:$C$1000=$C25)*'ANALYSE - ERP =&gt; SOUS-SEGMENT'!$Q$8:$Q$1000*'ANALYSE - ERP =&gt; SOUS-SEGMENT'!$GV$8:$GV$1000))</f>
        <v>132.29831249999998</v>
      </c>
      <c r="GW25" s="563">
        <f t="shared" si="45"/>
        <v>902.37269454545446</v>
      </c>
      <c r="GX25" s="563">
        <f>IF($C25="","",SUMPRODUCT(('ANALYSE - ERP =&gt; SOUS-SEGMENT'!$C$8:$C$1000=$C25)*'ANALYSE - ERP =&gt; SOUS-SEGMENT'!$Q$8:$Q$1000*'ANALYSE - ERP =&gt; SOUS-SEGMENT'!$GX$8:$GX$1000))</f>
        <v>796.53404454545444</v>
      </c>
      <c r="GY25" s="563">
        <f>IF($C25="","",SUMPRODUCT(('ANALYSE - ERP =&gt; SOUS-SEGMENT'!$C$8:$C$1000=$C25)*'ANALYSE - ERP =&gt; SOUS-SEGMENT'!$Q$8:$Q$1000*'ANALYSE - ERP =&gt; SOUS-SEGMENT'!$GY$8:$GY$1000))</f>
        <v>105.83864999999999</v>
      </c>
      <c r="GZ25" s="563">
        <f t="shared" si="46"/>
        <v>445.7099025</v>
      </c>
      <c r="HA25" s="563">
        <f>IF($C25="","",SUMPRODUCT(('ANALYSE - ERP =&gt; SOUS-SEGMENT'!$C$8:$C$1000=$C25)*'ANALYSE - ERP =&gt; SOUS-SEGMENT'!$Q$8:$Q$1000*'ANALYSE - ERP =&gt; SOUS-SEGMENT'!$HA$8:$HA$1000))</f>
        <v>389.850615</v>
      </c>
      <c r="HB25" s="563">
        <f>IF($C25="","",SUMPRODUCT(('ANALYSE - ERP =&gt; SOUS-SEGMENT'!$C$8:$C$1000=$C25)*'ANALYSE - ERP =&gt; SOUS-SEGMENT'!$Q$8:$Q$1000*'ANALYSE - ERP =&gt; SOUS-SEGMENT'!$HB$8:$HB$1000))</f>
        <v>55.859287499999994</v>
      </c>
      <c r="HC25" s="563">
        <f t="shared" si="47"/>
        <v>7343.3747045454547</v>
      </c>
      <c r="HD25" s="563">
        <f>IF($C25="","",SUMPRODUCT(('ANALYSE - ERP =&gt; SOUS-SEGMENT'!$C$8:$C$1000=$C25)*'ANALYSE - ERP =&gt; SOUS-SEGMENT'!$Q$8:$Q$1000*'ANALYSE - ERP =&gt; SOUS-SEGMENT'!$HD$8:$HD$1000))</f>
        <v>6637.7837045454544</v>
      </c>
      <c r="HE25" s="563">
        <f>IF($C25="","",SUMPRODUCT(('ANALYSE - ERP =&gt; SOUS-SEGMENT'!$C$8:$C$1000=$C25)*'ANALYSE - ERP =&gt; SOUS-SEGMENT'!$Q$8:$Q$1000*'ANALYSE - ERP =&gt; SOUS-SEGMENT'!$HE$8:$HE$1000))</f>
        <v>705.59100000000001</v>
      </c>
      <c r="HF25" s="563">
        <f t="shared" si="48"/>
        <v>19816.399557692308</v>
      </c>
      <c r="HG25" s="563">
        <f>IF($C25="","",SUMPRODUCT(('ANALYSE - ERP =&gt; SOUS-SEGMENT'!$C$8:$C$1000=$C25)*'ANALYSE - ERP =&gt; SOUS-SEGMENT'!$Q$8:$Q$1000*'ANALYSE - ERP =&gt; SOUS-SEGMENT'!$HG$8:$HG$1000))</f>
        <v>17052.834807692307</v>
      </c>
      <c r="HH25" s="563">
        <f>IF($C25="","",SUMPRODUCT(('ANALYSE - ERP =&gt; SOUS-SEGMENT'!$C$8:$C$1000=$C25)*'ANALYSE - ERP =&gt; SOUS-SEGMENT'!$Q$8:$Q$1000*'ANALYSE - ERP =&gt; SOUS-SEGMENT'!$HH$8:$HH$1000))</f>
        <v>2763.56475</v>
      </c>
      <c r="HI25" s="563">
        <f t="shared" si="49"/>
        <v>12490.971750000001</v>
      </c>
      <c r="HJ25" s="563">
        <f>IF($C25="","",SUMPRODUCT(('ANALYSE - ERP =&gt; SOUS-SEGMENT'!$C$8:$C$1000=$C25)*'ANALYSE - ERP =&gt; SOUS-SEGMENT'!$Q$8:$Q$1000*'ANALYSE - ERP =&gt; SOUS-SEGMENT'!$HJ$8:$HJ$1000))</f>
        <v>11138.589</v>
      </c>
      <c r="HK25" s="563">
        <f>IF($C25="","",SUMPRODUCT(('ANALYSE - ERP =&gt; SOUS-SEGMENT'!$C$8:$C$1000=$C25)*'ANALYSE - ERP =&gt; SOUS-SEGMENT'!$Q$8:$Q$1000*'ANALYSE - ERP =&gt; SOUS-SEGMENT'!$HK$8:$HK$1000))</f>
        <v>1352.38275</v>
      </c>
      <c r="HL25" s="563">
        <f t="shared" si="50"/>
        <v>7696.1702045454549</v>
      </c>
      <c r="HM25" s="563">
        <f>IF($C25="","",SUMPRODUCT(('ANALYSE - ERP =&gt; SOUS-SEGMENT'!$C$8:$C$1000=$C25)*'ANALYSE - ERP =&gt; SOUS-SEGMENT'!$Q$8:$Q$1000*'ANALYSE - ERP =&gt; SOUS-SEGMENT'!$HM$8:$HM$1000))</f>
        <v>6637.7837045454544</v>
      </c>
      <c r="HN25" s="563">
        <f>IF($C25="","",SUMPRODUCT(('ANALYSE - ERP =&gt; SOUS-SEGMENT'!$C$8:$C$1000=$C25)*'ANALYSE - ERP =&gt; SOUS-SEGMENT'!$Q$8:$Q$1000*'ANALYSE - ERP =&gt; SOUS-SEGMENT'!$HN$8:$HN$1000))</f>
        <v>1058.3865000000001</v>
      </c>
      <c r="HO25" s="563">
        <f t="shared" si="51"/>
        <v>70781.483200000002</v>
      </c>
      <c r="HP25" s="563">
        <f>IF($C25="","",SUMPRODUCT(('ANALYSE - ERP =&gt; SOUS-SEGMENT'!$C$8:$C$1000=$C25)*'ANALYSE - ERP =&gt; SOUS-SEGMENT'!$Q$8:$Q$1000*'ANALYSE - ERP =&gt; SOUS-SEGMENT'!$HP$8:$HP$1000))</f>
        <v>60537.347200000004</v>
      </c>
      <c r="HQ25" s="563">
        <f>IF($C25="","",SUMPRODUCT(('ANALYSE - ERP =&gt; SOUS-SEGMENT'!$C$8:$C$1000=$C25)*'ANALYSE - ERP =&gt; SOUS-SEGMENT'!$Q$8:$Q$1000*'ANALYSE - ERP =&gt; SOUS-SEGMENT'!$HQ$8:$HQ$1000))</f>
        <v>10244.136</v>
      </c>
      <c r="HR25" s="563">
        <f t="shared" si="52"/>
        <v>38248.809657142854</v>
      </c>
      <c r="HS25" s="563">
        <f>IF($C25="","",SUMPRODUCT(('ANALYSE - ERP =&gt; SOUS-SEGMENT'!$C$8:$C$1000=$C25)*'ANALYSE - ERP =&gt; SOUS-SEGMENT'!$Q$8:$Q$1000*'ANALYSE - ERP =&gt; SOUS-SEGMENT'!$HS$8:$HS$1000))</f>
        <v>31349.697657142853</v>
      </c>
      <c r="HT25" s="563">
        <f>IF($C25="","",SUMPRODUCT(('ANALYSE - ERP =&gt; SOUS-SEGMENT'!$C$8:$C$1000=$C25)*'ANALYSE - ERP =&gt; SOUS-SEGMENT'!$Q$8:$Q$1000*'ANALYSE - ERP =&gt; SOUS-SEGMENT'!$HT$8:$HT$1000))</f>
        <v>6899.112000000001</v>
      </c>
      <c r="HU25" s="563">
        <f t="shared" si="53"/>
        <v>30167.876400000001</v>
      </c>
      <c r="HV25" s="563">
        <f>IF($C25="","",SUMPRODUCT(('ANALYSE - ERP =&gt; SOUS-SEGMENT'!$C$8:$C$1000=$C25)*'ANALYSE - ERP =&gt; SOUS-SEGMENT'!$Q$8:$Q$1000*'ANALYSE - ERP =&gt; SOUS-SEGMENT'!$HV$8:$HV$1000))</f>
        <v>26404.724399999999</v>
      </c>
      <c r="HW25" s="563">
        <f>IF($C25="","",SUMPRODUCT(('ANALYSE - ERP =&gt; SOUS-SEGMENT'!$C$8:$C$1000=$C25)*'ANALYSE - ERP =&gt; SOUS-SEGMENT'!$Q$8:$Q$1000*'ANALYSE - ERP =&gt; SOUS-SEGMENT'!$HW$8:$HW$1000))</f>
        <v>3763.152</v>
      </c>
      <c r="HX25" s="544"/>
      <c r="HY25" s="568">
        <f t="shared" si="54"/>
        <v>1200573.13225</v>
      </c>
      <c r="HZ25" s="568">
        <f>IF($C25="","",SUMPRODUCT(('ANALYSE - ERP =&gt; SOUS-SEGMENT'!$C$8:$C$1000=$C25)*'ANALYSE - ERP =&gt; SOUS-SEGMENT'!$Q$8:$Q$1000*'ANALYSE - ERP =&gt; SOUS-SEGMENT'!$HZ$8:$HZ$1000))</f>
        <v>40228.521999999997</v>
      </c>
      <c r="IA25" s="568">
        <f>IF($C25="","",SUMPRODUCT(('ANALYSE - ERP =&gt; SOUS-SEGMENT'!$C$8:$C$1000=$C25)*'ANALYSE - ERP =&gt; SOUS-SEGMENT'!$Q$8:$Q$1000*'ANALYSE - ERP =&gt; SOUS-SEGMENT'!$IA$8:$IA$1000))</f>
        <v>504645.51150000002</v>
      </c>
      <c r="IB25" s="568">
        <f>IF($C25="","",SUMPRODUCT(('ANALYSE - ERP =&gt; SOUS-SEGMENT'!$C$8:$C$1000=$C25)*'ANALYSE - ERP =&gt; SOUS-SEGMENT'!$Q$8:$Q$1000*'ANALYSE - ERP =&gt; SOUS-SEGMENT'!$IB$8:$IB$1000))</f>
        <v>581633.04850000003</v>
      </c>
      <c r="IC25" s="568">
        <f>IF($C25="","",SUMPRODUCT(('ANALYSE - ERP =&gt; SOUS-SEGMENT'!$C$8:$C$1000=$C25)*'ANALYSE - ERP =&gt; SOUS-SEGMENT'!$Q$8:$Q$1000*'ANALYSE - ERP =&gt; SOUS-SEGMENT'!$IC$8:$IC$1000))</f>
        <v>74066.050250000015</v>
      </c>
      <c r="ID25" s="568">
        <f>IF($C25="","",SUMPRODUCT(('ANALYSE - ERP =&gt; SOUS-SEGMENT'!$C$8:$C$1000=$C25)*'ANALYSE - ERP =&gt; SOUS-SEGMENT'!$Q$8:$Q$1000*'ANALYSE - ERP =&gt; SOUS-SEGMENT'!$ID$8:$ID$1000))</f>
        <v>0</v>
      </c>
      <c r="IE25" s="568">
        <f t="shared" si="55"/>
        <v>336224.60040311894</v>
      </c>
      <c r="IF25" s="568">
        <f>IF($C25="","",SUMPRODUCT(('ANALYSE - ERP =&gt; SOUS-SEGMENT'!$C$8:$C$1000=$C25)*'ANALYSE - ERP =&gt; SOUS-SEGMENT'!$Q$8:$Q$1000*'ANALYSE - ERP =&gt; SOUS-SEGMENT'!$IF$8:$IF$1000))</f>
        <v>3927.9009982196512</v>
      </c>
      <c r="IG25" s="568">
        <f>IF($C25="","",SUMPRODUCT(('ANALYSE - ERP =&gt; SOUS-SEGMENT'!$C$8:$C$1000=$C25)*'ANALYSE - ERP =&gt; SOUS-SEGMENT'!$Q$8:$Q$1000*'ANALYSE - ERP =&gt; SOUS-SEGMENT'!$IG$8:$IG$1000))</f>
        <v>132921.33286942382</v>
      </c>
      <c r="IH25" s="568">
        <f>IF($C25="","",SUMPRODUCT(('ANALYSE - ERP =&gt; SOUS-SEGMENT'!$C$8:$C$1000=$C25)*'ANALYSE - ERP =&gt; SOUS-SEGMENT'!$Q$8:$Q$1000*'ANALYSE - ERP =&gt; SOUS-SEGMENT'!$IH$8:$IH$1000))</f>
        <v>169639.78779465536</v>
      </c>
      <c r="II25" s="568">
        <f>IF($C25="","",SUMPRODUCT(('ANALYSE - ERP =&gt; SOUS-SEGMENT'!$C$8:$C$1000=$C25)*'ANALYSE - ERP =&gt; SOUS-SEGMENT'!$Q$8:$Q$1000*'ANALYSE - ERP =&gt; SOUS-SEGMENT'!$II$8:$II$1000))</f>
        <v>28054.670965954836</v>
      </c>
      <c r="IJ25" s="568">
        <f>IF($C25="","",SUMPRODUCT(('ANALYSE - ERP =&gt; SOUS-SEGMENT'!$C$8:$C$1000=$C25)*'ANALYSE - ERP =&gt; SOUS-SEGMENT'!$Q$8:$Q$1000*'ANALYSE - ERP =&gt; SOUS-SEGMENT'!$IJ$8:$IJ$1000))</f>
        <v>1680.9077748652653</v>
      </c>
      <c r="IK25" s="868">
        <f>IF($C25="","",IFERROR(SUMPRODUCT(('ANALYSE - ERP =&gt; SOUS-SEGMENT'!$C$8:$C$1000=$C25)*'ANALYSE - ERP =&gt; SOUS-SEGMENT'!$Q$8:$Q$1000*'ANALYSE - ERP =&gt; SOUS-SEGMENT'!$IE$8:$IE$1000*'ANALYSE - ERP =&gt; SOUS-SEGMENT'!$IK$8:$IK$1000)/SUMPRODUCT(('ANALYSE - ERP =&gt; SOUS-SEGMENT'!$C$8:$C$1000=$C25)*'ANALYSE - ERP =&gt; SOUS-SEGMENT'!$Q$8:$Q$1000*'ANALYSE - ERP =&gt; SOUS-SEGMENT'!$IE$8:$IE$1000),""))</f>
        <v>4.2</v>
      </c>
      <c r="IL25" s="962" t="s">
        <v>2589</v>
      </c>
      <c r="IM25" s="963" t="s">
        <v>4046</v>
      </c>
      <c r="IN25" s="529"/>
      <c r="IO25" s="742">
        <f>IF($C25="","",IFERROR(SUMPRODUCT(('ANALYSE - ERP =&gt; SOUS-SEGMENT'!$C$8:$C$1000=$C25)*'ANALYSE - ERP =&gt; SOUS-SEGMENT'!$Q$8:$Q$1000*'ANALYSE - ERP =&gt; SOUS-SEGMENT'!$BE$8:$BE$1000*'ANALYSE - ERP =&gt; SOUS-SEGMENT'!$IO$8:$IO$1000)/SUMPRODUCT(('ANALYSE - ERP =&gt; SOUS-SEGMENT'!$C$8:$C$1000=$C25)*'ANALYSE - ERP =&gt; SOUS-SEGMENT'!$Q$8:$Q$1000*'ANALYSE - ERP =&gt; SOUS-SEGMENT'!$BE$8:$BE$1000),""))</f>
        <v>0.03</v>
      </c>
      <c r="IP25" s="742">
        <f>IF($C25="","",IFERROR(SUMPRODUCT(('ANALYSE - ERP =&gt; SOUS-SEGMENT'!$C$8:$C$1000=$C25)*'ANALYSE - ERP =&gt; SOUS-SEGMENT'!$Q$8:$Q$1000*'ANALYSE - ERP =&gt; SOUS-SEGMENT'!$BE$8:$BE$1000*'ANALYSE - ERP =&gt; SOUS-SEGMENT'!$IP$8:$IP$1000)/SUMPRODUCT(('ANALYSE - ERP =&gt; SOUS-SEGMENT'!$C$8:$C$1000=$C25)*'ANALYSE - ERP =&gt; SOUS-SEGMENT'!$Q$8:$Q$1000*'ANALYSE - ERP =&gt; SOUS-SEGMENT'!$BE$8:$BE$1000),""))</f>
        <v>0.4</v>
      </c>
      <c r="IQ25" s="742">
        <f>IF($C25="","",IFERROR(SUMPRODUCT(('ANALYSE - ERP =&gt; SOUS-SEGMENT'!$C$8:$C$1000=$C25)*'ANALYSE - ERP =&gt; SOUS-SEGMENT'!$Q$8:$Q$1000*'ANALYSE - ERP =&gt; SOUS-SEGMENT'!$BE$8:$BE$1000*'ANALYSE - ERP =&gt; SOUS-SEGMENT'!$IQ$8:$IQ$1000)/SUMPRODUCT(('ANALYSE - ERP =&gt; SOUS-SEGMENT'!$C$8:$C$1000=$C25)*'ANALYSE - ERP =&gt; SOUS-SEGMENT'!$Q$8:$Q$1000*'ANALYSE - ERP =&gt; SOUS-SEGMENT'!$BE$8:$BE$1000),""))</f>
        <v>0.5</v>
      </c>
      <c r="IR25" s="742">
        <f>IF($C25="","",IFERROR(SUMPRODUCT(('ANALYSE - ERP =&gt; SOUS-SEGMENT'!$C$8:$C$1000=$C25)*'ANALYSE - ERP =&gt; SOUS-SEGMENT'!$Q$8:$Q$1000*'ANALYSE - ERP =&gt; SOUS-SEGMENT'!$BE$8:$BE$1000*'ANALYSE - ERP =&gt; SOUS-SEGMENT'!$IR$8:$IR$1000)/SUMPRODUCT(('ANALYSE - ERP =&gt; SOUS-SEGMENT'!$C$8:$C$1000=$C25)*'ANALYSE - ERP =&gt; SOUS-SEGMENT'!$Q$8:$Q$1000*'ANALYSE - ERP =&gt; SOUS-SEGMENT'!$BE$8:$BE$1000),""))</f>
        <v>7.0000000000000007E-2</v>
      </c>
      <c r="IS25" s="742">
        <f>IF($C25="","",IFERROR(SUMPRODUCT(('ANALYSE - ERP =&gt; SOUS-SEGMENT'!$C$8:$C$1000=$C25)*'ANALYSE - ERP =&gt; SOUS-SEGMENT'!$Q$8:$Q$1000*'ANALYSE - ERP =&gt; SOUS-SEGMENT'!$BE$8:$BE$1000*'ANALYSE - ERP =&gt; SOUS-SEGMENT'!$IS$8:$IS$1000)/SUMPRODUCT(('ANALYSE - ERP =&gt; SOUS-SEGMENT'!$C$8:$C$1000=$C25)*'ANALYSE - ERP =&gt; SOUS-SEGMENT'!$Q$8:$Q$1000*'ANALYSE - ERP =&gt; SOUS-SEGMENT'!$BE$8:$BE$1000),""))</f>
        <v>0</v>
      </c>
      <c r="IT25" s="742">
        <f>IF($C25="","",IFERROR(SUMPRODUCT(('ANALYSE - ERP =&gt; SOUS-SEGMENT'!$C$8:$C$1000=$C25)*'ANALYSE - ERP =&gt; SOUS-SEGMENT'!$Q$8:$Q$1000*'ANALYSE - ERP =&gt; SOUS-SEGMENT'!$FB$8:$FB$1000*'ANALYSE - ERP =&gt; SOUS-SEGMENT'!$IT$8:$IT$1000)/SUMPRODUCT(('ANALYSE - ERP =&gt; SOUS-SEGMENT'!$C$8:$C$1000=$C25)*'ANALYSE - ERP =&gt; SOUS-SEGMENT'!$Q$8:$Q$1000*'ANALYSE - ERP =&gt; SOUS-SEGMENT'!$FB$8:$FB$1000),""))</f>
        <v>7.8000000000000005E-3</v>
      </c>
      <c r="IU25" s="742">
        <f>IF($C25="","",IFERROR(SUMPRODUCT(('ANALYSE - ERP =&gt; SOUS-SEGMENT'!$C$8:$C$1000=$C25)*'ANALYSE - ERP =&gt; SOUS-SEGMENT'!$Q$8:$Q$1000*'ANALYSE - ERP =&gt; SOUS-SEGMENT'!$FB$8:$FB$1000*'ANALYSE - ERP =&gt; SOUS-SEGMENT'!$IU$8:$IU$1000)/SUMPRODUCT(('ANALYSE - ERP =&gt; SOUS-SEGMENT'!$C$8:$C$1000=$C25)*'ANALYSE - ERP =&gt; SOUS-SEGMENT'!$Q$8:$Q$1000*'ANALYSE - ERP =&gt; SOUS-SEGMENT'!$FB$8:$FB$1000),""))</f>
        <v>0.37280000000000002</v>
      </c>
      <c r="IV25" s="742">
        <f>IF($C25="","",IFERROR(SUMPRODUCT(('ANALYSE - ERP =&gt; SOUS-SEGMENT'!$C$8:$C$1000=$C25)*'ANALYSE - ERP =&gt; SOUS-SEGMENT'!$Q$8:$Q$1000*'ANALYSE - ERP =&gt; SOUS-SEGMENT'!$FB$8:$FB$1000*'ANALYSE - ERP =&gt; SOUS-SEGMENT'!$IV$8:$IV$1000)/SUMPRODUCT(('ANALYSE - ERP =&gt; SOUS-SEGMENT'!$C$8:$C$1000=$C25)*'ANALYSE - ERP =&gt; SOUS-SEGMENT'!$Q$8:$Q$1000*'ANALYSE - ERP =&gt; SOUS-SEGMENT'!$FB$8:$FB$1000),""))</f>
        <v>0.5222</v>
      </c>
      <c r="IW25" s="742">
        <f>IF($C25="","",IFERROR(SUMPRODUCT(('ANALYSE - ERP =&gt; SOUS-SEGMENT'!$C$8:$C$1000=$C25)*'ANALYSE - ERP =&gt; SOUS-SEGMENT'!$Q$8:$Q$1000*'ANALYSE - ERP =&gt; SOUS-SEGMENT'!$FB$8:$FB$1000*'ANALYSE - ERP =&gt; SOUS-SEGMENT'!$IW$8:$IW$1000)/SUMPRODUCT(('ANALYSE - ERP =&gt; SOUS-SEGMENT'!$C$8:$C$1000=$C25)*'ANALYSE - ERP =&gt; SOUS-SEGMENT'!$Q$8:$Q$1000*'ANALYSE - ERP =&gt; SOUS-SEGMENT'!$FB$8:$FB$1000),""))</f>
        <v>9.2200000000000004E-2</v>
      </c>
      <c r="IX25" s="742">
        <f>IF($C25="","",IFERROR(SUMPRODUCT(('ANALYSE - ERP =&gt; SOUS-SEGMENT'!$C$8:$C$1000=$C25)*'ANALYSE - ERP =&gt; SOUS-SEGMENT'!$Q$8:$Q$1000*'ANALYSE - ERP =&gt; SOUS-SEGMENT'!$FB$8:$FB$1000*'ANALYSE - ERP =&gt; SOUS-SEGMENT'!$IX$8:$IX$1000)/SUMPRODUCT(('ANALYSE - ERP =&gt; SOUS-SEGMENT'!$C$8:$C$1000=$C25)*'ANALYSE - ERP =&gt; SOUS-SEGMENT'!$Q$8:$Q$1000*'ANALYSE - ERP =&gt; SOUS-SEGMENT'!$FB$8:$FB$1000),""))</f>
        <v>5.0000000000000001E-3</v>
      </c>
      <c r="IY25" s="742">
        <f>IF($C25="","",IFERROR(SUMPRODUCT(('ANALYSE - ERP =&gt; SOUS-SEGMENT'!$C$8:$C$1000=$C25)*'ANALYSE - ERP =&gt; SOUS-SEGMENT'!$Q$8:$Q$1000*'ANALYSE - ERP =&gt; SOUS-SEGMENT'!$BF$8:$BF$1000*'ANALYSE - ERP =&gt; SOUS-SEGMENT'!$IY$8:$IY$1000)/SUMPRODUCT(('ANALYSE - ERP =&gt; SOUS-SEGMENT'!$C$8:$C$1000=$C25)*'ANALYSE - ERP =&gt; SOUS-SEGMENT'!$Q$8:$Q$1000*'ANALYSE - ERP =&gt; SOUS-SEGMENT'!$BF$8:$BF$1000),""))</f>
        <v>3.1199999999999999E-2</v>
      </c>
      <c r="IZ25" s="742">
        <f>IF($C25="","",IFERROR(SUMPRODUCT(('ANALYSE - ERP =&gt; SOUS-SEGMENT'!$C$8:$C$1000=$C25)*'ANALYSE - ERP =&gt; SOUS-SEGMENT'!$Q$8:$Q$1000*'ANALYSE - ERP =&gt; SOUS-SEGMENT'!$BF$8:$BF$1000*'ANALYSE - ERP =&gt; SOUS-SEGMENT'!$IZ$8:$IZ$1000)/SUMPRODUCT(('ANALYSE - ERP =&gt; SOUS-SEGMENT'!$C$8:$C$1000=$C25)*'ANALYSE - ERP =&gt; SOUS-SEGMENT'!$Q$8:$Q$1000*'ANALYSE - ERP =&gt; SOUS-SEGMENT'!$BF$8:$BF$1000),""))</f>
        <v>0.41539999999999999</v>
      </c>
      <c r="JA25" s="742">
        <f>IF($C25="","",IFERROR(SUMPRODUCT(('ANALYSE - ERP =&gt; SOUS-SEGMENT'!$C$8:$C$1000=$C25)*'ANALYSE - ERP =&gt; SOUS-SEGMENT'!$Q$8:$Q$1000*'ANALYSE - ERP =&gt; SOUS-SEGMENT'!$BF$8:$BF$1000*'ANALYSE - ERP =&gt; SOUS-SEGMENT'!$JA$8:$JA$1000)/SUMPRODUCT(('ANALYSE - ERP =&gt; SOUS-SEGMENT'!$C$8:$C$1000=$C25)*'ANALYSE - ERP =&gt; SOUS-SEGMENT'!$Q$8:$Q$1000*'ANALYSE - ERP =&gt; SOUS-SEGMENT'!$BF$8:$BF$1000),""))</f>
        <v>0.49459999999999998</v>
      </c>
      <c r="JB25" s="742">
        <f>IF($C25="","",IFERROR(SUMPRODUCT(('ANALYSE - ERP =&gt; SOUS-SEGMENT'!$C$8:$C$1000=$C25)*'ANALYSE - ERP =&gt; SOUS-SEGMENT'!$Q$8:$Q$1000*'ANALYSE - ERP =&gt; SOUS-SEGMENT'!$BF$8:$BF$1000*'ANALYSE - ERP =&gt; SOUS-SEGMENT'!$JB$8:$JB$1000)/SUMPRODUCT(('ANALYSE - ERP =&gt; SOUS-SEGMENT'!$C$8:$C$1000=$C25)*'ANALYSE - ERP =&gt; SOUS-SEGMENT'!$Q$8:$Q$1000*'ANALYSE - ERP =&gt; SOUS-SEGMENT'!$BF$8:$BF$1000),""))</f>
        <v>5.8900000000000008E-2</v>
      </c>
      <c r="JC25" s="742">
        <f>IF($C25="","",IFERROR(SUMPRODUCT(('ANALYSE - ERP =&gt; SOUS-SEGMENT'!$C$8:$C$1000=$C25)*'ANALYSE - ERP =&gt; SOUS-SEGMENT'!$Q$8:$Q$1000*'ANALYSE - ERP =&gt; SOUS-SEGMENT'!$BF$8:$BF$1000*'ANALYSE - ERP =&gt; SOUS-SEGMENT'!$JC$8:$JC$1000)/SUMPRODUCT(('ANALYSE - ERP =&gt; SOUS-SEGMENT'!$C$8:$C$1000=$C25)*'ANALYSE - ERP =&gt; SOUS-SEGMENT'!$Q$8:$Q$1000*'ANALYSE - ERP =&gt; SOUS-SEGMENT'!$BF$8:$BF$1000),""))</f>
        <v>0</v>
      </c>
      <c r="JD25" s="742">
        <f>IF($C25="","",IFERROR(SUMPRODUCT(('ANALYSE - ERP =&gt; SOUS-SEGMENT'!$C$8:$C$1000=$C25)*'ANALYSE - ERP =&gt; SOUS-SEGMENT'!$Q$8:$Q$1000*'ANALYSE - ERP =&gt; SOUS-SEGMENT'!$FE$8:$FE$1000*'ANALYSE - ERP =&gt; SOUS-SEGMENT'!$JD$8:$JD$1000)/SUMPRODUCT(('ANALYSE - ERP =&gt; SOUS-SEGMENT'!$C$8:$C$1000=$C25)*'ANALYSE - ERP =&gt; SOUS-SEGMENT'!$Q$8:$Q$1000*'ANALYSE - ERP =&gt; SOUS-SEGMENT'!$FE$8:$FE$1000),""))</f>
        <v>8.9999999999999993E-3</v>
      </c>
      <c r="JE25" s="742">
        <f>IF($C25="","",IFERROR(SUMPRODUCT(('ANALYSE - ERP =&gt; SOUS-SEGMENT'!$C$8:$C$1000=$C25)*'ANALYSE - ERP =&gt; SOUS-SEGMENT'!$Q$8:$Q$1000*'ANALYSE - ERP =&gt; SOUS-SEGMENT'!$FE$8:$FE$1000*'ANALYSE - ERP =&gt; SOUS-SEGMENT'!$JE$8:$JE$1000)/SUMPRODUCT(('ANALYSE - ERP =&gt; SOUS-SEGMENT'!$C$8:$C$1000=$C25)*'ANALYSE - ERP =&gt; SOUS-SEGMENT'!$Q$8:$Q$1000*'ANALYSE - ERP =&gt; SOUS-SEGMENT'!$FE$8:$FE$1000),""))</f>
        <v>0.38819999999999999</v>
      </c>
      <c r="JF25" s="742">
        <f>IF($C25="","",IFERROR(SUMPRODUCT(('ANALYSE - ERP =&gt; SOUS-SEGMENT'!$C$8:$C$1000=$C25)*'ANALYSE - ERP =&gt; SOUS-SEGMENT'!$Q$8:$Q$1000*'ANALYSE - ERP =&gt; SOUS-SEGMENT'!$FE$8:$FE$1000*'ANALYSE - ERP =&gt; SOUS-SEGMENT'!$JF$8:$JF$1000)/SUMPRODUCT(('ANALYSE - ERP =&gt; SOUS-SEGMENT'!$C$8:$C$1000=$C25)*'ANALYSE - ERP =&gt; SOUS-SEGMENT'!$Q$8:$Q$1000*'ANALYSE - ERP =&gt; SOUS-SEGMENT'!$FE$8:$FE$1000),""))</f>
        <v>0.51680000000000004</v>
      </c>
      <c r="JG25" s="742">
        <f>IF($C25="","",IFERROR(SUMPRODUCT(('ANALYSE - ERP =&gt; SOUS-SEGMENT'!$C$8:$C$1000=$C25)*'ANALYSE - ERP =&gt; SOUS-SEGMENT'!$Q$8:$Q$1000*'ANALYSE - ERP =&gt; SOUS-SEGMENT'!$FE$8:$FE$1000*'ANALYSE - ERP =&gt; SOUS-SEGMENT'!$JG$8:$JG$1000)/SUMPRODUCT(('ANALYSE - ERP =&gt; SOUS-SEGMENT'!$C$8:$C$1000=$C25)*'ANALYSE - ERP =&gt; SOUS-SEGMENT'!$Q$8:$Q$1000*'ANALYSE - ERP =&gt; SOUS-SEGMENT'!$FE$8:$FE$1000),""))</f>
        <v>8.1100000000000005E-2</v>
      </c>
      <c r="JH25" s="742">
        <f>IF($C25="","",IFERROR(SUMPRODUCT(('ANALYSE - ERP =&gt; SOUS-SEGMENT'!$C$8:$C$1000=$C25)*'ANALYSE - ERP =&gt; SOUS-SEGMENT'!$Q$8:$Q$1000*'ANALYSE - ERP =&gt; SOUS-SEGMENT'!$FE$8:$FE$1000*'ANALYSE - ERP =&gt; SOUS-SEGMENT'!$JH$8:$JH$1000)/SUMPRODUCT(('ANALYSE - ERP =&gt; SOUS-SEGMENT'!$C$8:$C$1000=$C25)*'ANALYSE - ERP =&gt; SOUS-SEGMENT'!$Q$8:$Q$1000*'ANALYSE - ERP =&gt; SOUS-SEGMENT'!$FE$8:$FE$1000),""))</f>
        <v>4.8999999999999998E-3</v>
      </c>
      <c r="JI25" s="742">
        <f>IF($C25="","",IFERROR(SUMPRODUCT(('ANALYSE - ERP =&gt; SOUS-SEGMENT'!$C$8:$C$1000=$C25)*'ANALYSE - ERP =&gt; SOUS-SEGMENT'!$Q$8:$Q$1000*'ANALYSE - ERP =&gt; SOUS-SEGMENT'!$BG$8:$BG$1000*'ANALYSE - ERP =&gt; SOUS-SEGMENT'!$JI$8:$JI$1000)/SUMPRODUCT(('ANALYSE - ERP =&gt; SOUS-SEGMENT'!$C$8:$C$1000=$C25)*'ANALYSE - ERP =&gt; SOUS-SEGMENT'!$Q$8:$Q$1000*'ANALYSE - ERP =&gt; SOUS-SEGMENT'!$BG$8:$BG$1000),""))</f>
        <v>5.3999999999999999E-2</v>
      </c>
      <c r="JJ25" s="742">
        <f>IF($C25="","",IFERROR(SUMPRODUCT(('ANALYSE - ERP =&gt; SOUS-SEGMENT'!$C$8:$C$1000=$C25)*'ANALYSE - ERP =&gt; SOUS-SEGMENT'!$Q$8:$Q$1000*'ANALYSE - ERP =&gt; SOUS-SEGMENT'!$BG$8:$BG$1000*'ANALYSE - ERP =&gt; SOUS-SEGMENT'!$JJ$8:$JJ$1000)/SUMPRODUCT(('ANALYSE - ERP =&gt; SOUS-SEGMENT'!$C$8:$C$1000=$C25)*'ANALYSE - ERP =&gt; SOUS-SEGMENT'!$Q$8:$Q$1000*'ANALYSE - ERP =&gt; SOUS-SEGMENT'!$BG$8:$BG$1000),""))</f>
        <v>0.53969999999999996</v>
      </c>
      <c r="JK25" s="742">
        <f>IF($C25="","",IFERROR(SUMPRODUCT(('ANALYSE - ERP =&gt; SOUS-SEGMENT'!$C$8:$C$1000=$C25)*'ANALYSE - ERP =&gt; SOUS-SEGMENT'!$Q$8:$Q$1000*'ANALYSE - ERP =&gt; SOUS-SEGMENT'!$BG$8:$BG$1000*'ANALYSE - ERP =&gt; SOUS-SEGMENT'!$JK$8:$JK$1000)/SUMPRODUCT(('ANALYSE - ERP =&gt; SOUS-SEGMENT'!$C$8:$C$1000=$C25)*'ANALYSE - ERP =&gt; SOUS-SEGMENT'!$Q$8:$Q$1000*'ANALYSE - ERP =&gt; SOUS-SEGMENT'!$BG$8:$BG$1000),""))</f>
        <v>0.37480000000000008</v>
      </c>
      <c r="JL25" s="742">
        <f>IF($C25="","",IFERROR(SUMPRODUCT(('ANALYSE - ERP =&gt; SOUS-SEGMENT'!$C$8:$C$1000=$C25)*'ANALYSE - ERP =&gt; SOUS-SEGMENT'!$Q$8:$Q$1000*'ANALYSE - ERP =&gt; SOUS-SEGMENT'!$BG$8:$BG$1000*'ANALYSE - ERP =&gt; SOUS-SEGMENT'!$JL$8:$JL$1000)/SUMPRODUCT(('ANALYSE - ERP =&gt; SOUS-SEGMENT'!$C$8:$C$1000=$C25)*'ANALYSE - ERP =&gt; SOUS-SEGMENT'!$Q$8:$Q$1000*'ANALYSE - ERP =&gt; SOUS-SEGMENT'!$BG$8:$BG$1000),""))</f>
        <v>3.15E-2</v>
      </c>
      <c r="JM25" s="742">
        <f>IF($C25="","",IFERROR(SUMPRODUCT(('ANALYSE - ERP =&gt; SOUS-SEGMENT'!$C$8:$C$1000=$C25)*'ANALYSE - ERP =&gt; SOUS-SEGMENT'!$Q$8:$Q$1000*'ANALYSE - ERP =&gt; SOUS-SEGMENT'!$BG$8:$BG$1000*'ANALYSE - ERP =&gt; SOUS-SEGMENT'!$JM$8:$JM$1000)/SUMPRODUCT(('ANALYSE - ERP =&gt; SOUS-SEGMENT'!$C$8:$C$1000=$C25)*'ANALYSE - ERP =&gt; SOUS-SEGMENT'!$Q$8:$Q$1000*'ANALYSE - ERP =&gt; SOUS-SEGMENT'!$BG$8:$BG$1000),""))</f>
        <v>0</v>
      </c>
      <c r="JN25" s="742">
        <f>IF($C25="","",IFERROR(SUMPRODUCT(('ANALYSE - ERP =&gt; SOUS-SEGMENT'!$C$8:$C$1000=$C25)*'ANALYSE - ERP =&gt; SOUS-SEGMENT'!$Q$8:$Q$1000*'ANALYSE - ERP =&gt; SOUS-SEGMENT'!$FH$8:$FH$1000*'ANALYSE - ERP =&gt; SOUS-SEGMENT'!$JN$8:$JN$1000)/SUMPRODUCT(('ANALYSE - ERP =&gt; SOUS-SEGMENT'!$C$8:$C$1000=$C25)*'ANALYSE - ERP =&gt; SOUS-SEGMENT'!$Q$8:$Q$1000*'ANALYSE - ERP =&gt; SOUS-SEGMENT'!$FH$8:$FH$1000),""))</f>
        <v>3.1800000000000002E-2</v>
      </c>
      <c r="JO25" s="742">
        <f>IF($C25="","",IFERROR(SUMPRODUCT(('ANALYSE - ERP =&gt; SOUS-SEGMENT'!$C$8:$C$1000=$C25)*'ANALYSE - ERP =&gt; SOUS-SEGMENT'!$Q$8:$Q$1000*'ANALYSE - ERP =&gt; SOUS-SEGMENT'!$FH$8:$FH$1000*'ANALYSE - ERP =&gt; SOUS-SEGMENT'!$JO$8:$JO$1000)/SUMPRODUCT(('ANALYSE - ERP =&gt; SOUS-SEGMENT'!$C$8:$C$1000=$C25)*'ANALYSE - ERP =&gt; SOUS-SEGMENT'!$Q$8:$Q$1000*'ANALYSE - ERP =&gt; SOUS-SEGMENT'!$FH$8:$FH$1000),""))</f>
        <v>0.51249999999999996</v>
      </c>
      <c r="JP25" s="742">
        <f>IF($C25="","",IFERROR(SUMPRODUCT(('ANALYSE - ERP =&gt; SOUS-SEGMENT'!$C$8:$C$1000=$C25)*'ANALYSE - ERP =&gt; SOUS-SEGMENT'!$Q$8:$Q$1000*'ANALYSE - ERP =&gt; SOUS-SEGMENT'!$FH$8:$FH$1000*'ANALYSE - ERP =&gt; SOUS-SEGMENT'!$JP$8:$JP$1000)/SUMPRODUCT(('ANALYSE - ERP =&gt; SOUS-SEGMENT'!$C$8:$C$1000=$C25)*'ANALYSE - ERP =&gt; SOUS-SEGMENT'!$Q$8:$Q$1000*'ANALYSE - ERP =&gt; SOUS-SEGMENT'!$FH$8:$FH$1000),""))</f>
        <v>0.39699999999999996</v>
      </c>
      <c r="JQ25" s="742">
        <f>IF($C25="","",IFERROR(SUMPRODUCT(('ANALYSE - ERP =&gt; SOUS-SEGMENT'!$C$8:$C$1000=$C25)*'ANALYSE - ERP =&gt; SOUS-SEGMENT'!$Q$8:$Q$1000*'ANALYSE - ERP =&gt; SOUS-SEGMENT'!$FH$8:$FH$1000*'ANALYSE - ERP =&gt; SOUS-SEGMENT'!$JQ$8:$JQ$1000)/SUMPRODUCT(('ANALYSE - ERP =&gt; SOUS-SEGMENT'!$C$8:$C$1000=$C25)*'ANALYSE - ERP =&gt; SOUS-SEGMENT'!$Q$8:$Q$1000*'ANALYSE - ERP =&gt; SOUS-SEGMENT'!$FH$8:$FH$1000),""))</f>
        <v>5.3699999999999998E-2</v>
      </c>
      <c r="JR25" s="742">
        <f>IF($C25="","",IFERROR(SUMPRODUCT(('ANALYSE - ERP =&gt; SOUS-SEGMENT'!$C$8:$C$1000=$C25)*'ANALYSE - ERP =&gt; SOUS-SEGMENT'!$Q$8:$Q$1000*'ANALYSE - ERP =&gt; SOUS-SEGMENT'!$FH$8:$FH$1000*'ANALYSE - ERP =&gt; SOUS-SEGMENT'!$JR$8:$JR$1000)/SUMPRODUCT(('ANALYSE - ERP =&gt; SOUS-SEGMENT'!$C$8:$C$1000=$C25)*'ANALYSE - ERP =&gt; SOUS-SEGMENT'!$Q$8:$Q$1000*'ANALYSE - ERP =&gt; SOUS-SEGMENT'!$FH$8:$FH$1000),""))</f>
        <v>5.0000000000000001E-3</v>
      </c>
      <c r="JS25" s="742">
        <f>IF($C25="","",IFERROR(SUMPRODUCT(('ANALYSE - ERP =&gt; SOUS-SEGMENT'!$C$8:$C$1000=$C25)*'ANALYSE - ERP =&gt; SOUS-SEGMENT'!$Q$8:$Q$1000*'ANALYSE - ERP =&gt; SOUS-SEGMENT'!$BH$8:$BH$1000*'ANALYSE - ERP =&gt; SOUS-SEGMENT'!$JS$8:$JS$1000)/SUMPRODUCT(('ANALYSE - ERP =&gt; SOUS-SEGMENT'!$C$8:$C$1000=$C25)*'ANALYSE - ERP =&gt; SOUS-SEGMENT'!$Q$8:$Q$1000*'ANALYSE - ERP =&gt; SOUS-SEGMENT'!$BH$8:$BH$1000),""))</f>
        <v>3.2599999999999997E-2</v>
      </c>
      <c r="JT25" s="742">
        <f>IF($C25="","",IFERROR(SUMPRODUCT(('ANALYSE - ERP =&gt; SOUS-SEGMENT'!$C$8:$C$1000=$C25)*'ANALYSE - ERP =&gt; SOUS-SEGMENT'!$Q$8:$Q$1000*'ANALYSE - ERP =&gt; SOUS-SEGMENT'!$BH$8:$BH$1000*'ANALYSE - ERP =&gt; SOUS-SEGMENT'!$JT$8:$JT$1000)/SUMPRODUCT(('ANALYSE - ERP =&gt; SOUS-SEGMENT'!$C$8:$C$1000=$C25)*'ANALYSE - ERP =&gt; SOUS-SEGMENT'!$Q$8:$Q$1000*'ANALYSE - ERP =&gt; SOUS-SEGMENT'!$BH$8:$BH$1000),""))</f>
        <v>0.41479999999999995</v>
      </c>
      <c r="JU25" s="742">
        <f>IF($C25="","",IFERROR(SUMPRODUCT(('ANALYSE - ERP =&gt; SOUS-SEGMENT'!$C$8:$C$1000=$C25)*'ANALYSE - ERP =&gt; SOUS-SEGMENT'!$Q$8:$Q$1000*'ANALYSE - ERP =&gt; SOUS-SEGMENT'!$BH$8:$BH$1000*'ANALYSE - ERP =&gt; SOUS-SEGMENT'!$JU$8:$JU$1000)/SUMPRODUCT(('ANALYSE - ERP =&gt; SOUS-SEGMENT'!$C$8:$C$1000=$C25)*'ANALYSE - ERP =&gt; SOUS-SEGMENT'!$Q$8:$Q$1000*'ANALYSE - ERP =&gt; SOUS-SEGMENT'!$BH$8:$BH$1000),""))</f>
        <v>0.49380000000000002</v>
      </c>
      <c r="JV25" s="742">
        <f>IF($C25="","",IFERROR(SUMPRODUCT(('ANALYSE - ERP =&gt; SOUS-SEGMENT'!$C$8:$C$1000=$C25)*'ANALYSE - ERP =&gt; SOUS-SEGMENT'!$Q$8:$Q$1000*'ANALYSE - ERP =&gt; SOUS-SEGMENT'!$BH$8:$BH$1000*'ANALYSE - ERP =&gt; SOUS-SEGMENT'!$JV$8:$JV$1000)/SUMPRODUCT(('ANALYSE - ERP =&gt; SOUS-SEGMENT'!$C$8:$C$1000=$C25)*'ANALYSE - ERP =&gt; SOUS-SEGMENT'!$Q$8:$Q$1000*'ANALYSE - ERP =&gt; SOUS-SEGMENT'!$BH$8:$BH$1000),""))</f>
        <v>5.8799999999999998E-2</v>
      </c>
      <c r="JW25" s="742">
        <f>IF($C25="","",IFERROR(SUMPRODUCT(('ANALYSE - ERP =&gt; SOUS-SEGMENT'!$C$8:$C$1000=$C25)*'ANALYSE - ERP =&gt; SOUS-SEGMENT'!$Q$8:$Q$1000*'ANALYSE - ERP =&gt; SOUS-SEGMENT'!$BH$8:$BH$1000*'ANALYSE - ERP =&gt; SOUS-SEGMENT'!$JW$8:$JW$1000)/SUMPRODUCT(('ANALYSE - ERP =&gt; SOUS-SEGMENT'!$C$8:$C$1000=$C25)*'ANALYSE - ERP =&gt; SOUS-SEGMENT'!$Q$8:$Q$1000*'ANALYSE - ERP =&gt; SOUS-SEGMENT'!$BH$8:$BH$1000),""))</f>
        <v>0</v>
      </c>
      <c r="JX25" s="742">
        <f>IF($C25="","",IFERROR(SUMPRODUCT(('ANALYSE - ERP =&gt; SOUS-SEGMENT'!$C$8:$C$1000=$C25)*'ANALYSE - ERP =&gt; SOUS-SEGMENT'!$Q$8:$Q$1000*'ANALYSE - ERP =&gt; SOUS-SEGMENT'!$FK$8:$FK$1000*'ANALYSE - ERP =&gt; SOUS-SEGMENT'!$JX$8:$JX$1000)/SUMPRODUCT(('ANALYSE - ERP =&gt; SOUS-SEGMENT'!$C$8:$C$1000=$C25)*'ANALYSE - ERP =&gt; SOUS-SEGMENT'!$Q$8:$Q$1000*'ANALYSE - ERP =&gt; SOUS-SEGMENT'!$FK$8:$FK$1000),""))</f>
        <v>1.0399999999999998E-2</v>
      </c>
      <c r="JY25" s="742">
        <f>IF($C25="","",IFERROR(SUMPRODUCT(('ANALYSE - ERP =&gt; SOUS-SEGMENT'!$C$8:$C$1000=$C25)*'ANALYSE - ERP =&gt; SOUS-SEGMENT'!$Q$8:$Q$1000*'ANALYSE - ERP =&gt; SOUS-SEGMENT'!$FK$8:$FK$1000*'ANALYSE - ERP =&gt; SOUS-SEGMENT'!$JY$8:$JY$1000)/SUMPRODUCT(('ANALYSE - ERP =&gt; SOUS-SEGMENT'!$C$8:$C$1000=$C25)*'ANALYSE - ERP =&gt; SOUS-SEGMENT'!$Q$8:$Q$1000*'ANALYSE - ERP =&gt; SOUS-SEGMENT'!$FK$8:$FK$1000),""))</f>
        <v>0.3876</v>
      </c>
      <c r="JZ25" s="742">
        <f>IF($C25="","",IFERROR(SUMPRODUCT(('ANALYSE - ERP =&gt; SOUS-SEGMENT'!$C$8:$C$1000=$C25)*'ANALYSE - ERP =&gt; SOUS-SEGMENT'!$Q$8:$Q$1000*'ANALYSE - ERP =&gt; SOUS-SEGMENT'!$FK$8:$FK$1000*'ANALYSE - ERP =&gt; SOUS-SEGMENT'!$JZ$8:$JZ$1000)/SUMPRODUCT(('ANALYSE - ERP =&gt; SOUS-SEGMENT'!$C$8:$C$1000=$C25)*'ANALYSE - ERP =&gt; SOUS-SEGMENT'!$Q$8:$Q$1000*'ANALYSE - ERP =&gt; SOUS-SEGMENT'!$FK$8:$FK$1000),""))</f>
        <v>0.51600000000000001</v>
      </c>
      <c r="KA25" s="742">
        <f>IF($C25="","",IFERROR(SUMPRODUCT(('ANALYSE - ERP =&gt; SOUS-SEGMENT'!$C$8:$C$1000=$C25)*'ANALYSE - ERP =&gt; SOUS-SEGMENT'!$Q$8:$Q$1000*'ANALYSE - ERP =&gt; SOUS-SEGMENT'!$FK$8:$FK$1000*'ANALYSE - ERP =&gt; SOUS-SEGMENT'!$KA$8:$KA$1000)/SUMPRODUCT(('ANALYSE - ERP =&gt; SOUS-SEGMENT'!$C$8:$C$1000=$C25)*'ANALYSE - ERP =&gt; SOUS-SEGMENT'!$Q$8:$Q$1000*'ANALYSE - ERP =&gt; SOUS-SEGMENT'!$FK$8:$FK$1000),""))</f>
        <v>8.1000000000000003E-2</v>
      </c>
      <c r="KB25" s="742">
        <f>IF($C25="","",IFERROR(SUMPRODUCT(('ANALYSE - ERP =&gt; SOUS-SEGMENT'!$C$8:$C$1000=$C25)*'ANALYSE - ERP =&gt; SOUS-SEGMENT'!$Q$8:$Q$1000*'ANALYSE - ERP =&gt; SOUS-SEGMENT'!$FK$8:$FK$1000*'ANALYSE - ERP =&gt; SOUS-SEGMENT'!$KB$8:$KB$1000)/SUMPRODUCT(('ANALYSE - ERP =&gt; SOUS-SEGMENT'!$C$8:$C$1000=$C25)*'ANALYSE - ERP =&gt; SOUS-SEGMENT'!$Q$8:$Q$1000*'ANALYSE - ERP =&gt; SOUS-SEGMENT'!$FK$8:$FK$1000),""))</f>
        <v>5.0000000000000001E-3</v>
      </c>
      <c r="KC25" s="657"/>
      <c r="KD25" s="924" t="s">
        <v>2590</v>
      </c>
      <c r="KE25" s="924" t="s">
        <v>2590</v>
      </c>
      <c r="KF25" s="869">
        <f>IF($C25="","",IFERROR(SUMPRODUCT(('ANALYSE - ERP =&gt; SOUS-SEGMENT'!$C$8:$C$1000=$C25)*'ANALYSE - ERP =&gt; SOUS-SEGMENT'!$Q$8:$Q$1000*'ANALYSE - ERP =&gt; SOUS-SEGMENT'!$IE$8:$IE$1000*'ANALYSE - ERP =&gt; SOUS-SEGMENT'!$KF$8:$KF$1000)/SUMPRODUCT(('ANALYSE - ERP =&gt; SOUS-SEGMENT'!$C$8:$C$1000=$C25)*'ANALYSE - ERP =&gt; SOUS-SEGMENT'!$Q$8:$Q$1000*'ANALYSE - ERP =&gt; SOUS-SEGMENT'!$IE$8:$IE$1000),""))</f>
        <v>4.2300000000000004</v>
      </c>
      <c r="KG25" s="924" t="s">
        <v>2589</v>
      </c>
      <c r="KH25" s="924" t="s">
        <v>4047</v>
      </c>
      <c r="KI25" s="924" t="s">
        <v>4048</v>
      </c>
      <c r="KJ25" s="924" t="s">
        <v>4049</v>
      </c>
    </row>
    <row r="26" spans="1:296" ht="120" customHeight="1">
      <c r="A26" s="951">
        <f>IF($C26="","",ROWS($A$8:A26))</f>
        <v>19</v>
      </c>
      <c r="B26" s="952" t="s">
        <v>2264</v>
      </c>
      <c r="C26" s="952" t="s">
        <v>4050</v>
      </c>
      <c r="D26" s="952" t="s">
        <v>5832</v>
      </c>
      <c r="E26" s="277" t="s">
        <v>4026</v>
      </c>
      <c r="F26" s="646" t="s">
        <v>4027</v>
      </c>
      <c r="G26" s="646" t="s">
        <v>2121</v>
      </c>
      <c r="H26" s="646" t="s">
        <v>2097</v>
      </c>
      <c r="I26" s="646" t="s">
        <v>4052</v>
      </c>
      <c r="J26" s="646" t="s">
        <v>4053</v>
      </c>
      <c r="K26" s="646" t="s">
        <v>2097</v>
      </c>
      <c r="L26" s="646" t="s">
        <v>2109</v>
      </c>
      <c r="M26" s="646" t="s">
        <v>2603</v>
      </c>
      <c r="N26" s="646" t="s">
        <v>4054</v>
      </c>
      <c r="O26" s="646" t="s">
        <v>2616</v>
      </c>
      <c r="P26" s="646" t="s">
        <v>4055</v>
      </c>
      <c r="Q26" s="270">
        <f>IF($C26="","",IF(SUMIFS('ANALYSE - ERP =&gt; SOUS-SEGMENT'!$Q$8:$Q$1000,'ANALYSE - ERP =&gt; SOUS-SEGMENT'!$C$8:$C$1000,$C26)&gt;0,1,0))</f>
        <v>1</v>
      </c>
      <c r="R26" s="278">
        <f>IF($C26="","",IFERROR(SUMPRODUCT(('ANALYSE - ERP =&gt; SOUS-SEGMENT'!$C$8:$C$1000=$C26)*'ANALYSE - ERP =&gt; SOUS-SEGMENT'!$Q$8:$Q$1000*'ANALYSE - ERP =&gt; SOUS-SEGMENT'!$AF$8:$AF$1000*'ANALYSE - ERP =&gt; SOUS-SEGMENT'!$R$8:$R$1000)/SUMPRODUCT(('ANALYSE - ERP =&gt; SOUS-SEGMENT'!$C$8:$C$1000=$C26)*'ANALYSE - ERP =&gt; SOUS-SEGMENT'!$Q$8:$Q$1000*'ANALYSE - ERP =&gt; SOUS-SEGMENT'!$AF$8:$AF$1000),""))</f>
        <v>26000</v>
      </c>
      <c r="S26" s="279">
        <f>IF($C26="","",SUMPRODUCT(('ANALYSE - ERP =&gt; SOUS-SEGMENT'!$C$8:$C$1000=$C26)*'ANALYSE - ERP =&gt; SOUS-SEGMENT'!$Q$8:$Q$1000*'ANALYSE - ERP =&gt; SOUS-SEGMENT'!$S$8:$S$1000))</f>
        <v>1500</v>
      </c>
      <c r="T26" s="279">
        <f>IF($C26="","",SUMPRODUCT(('ANALYSE - ERP =&gt; SOUS-SEGMENT'!$C$8:$C$1000=$C26)*'ANALYSE - ERP =&gt; SOUS-SEGMENT'!$Q$8:$Q$1000*'ANALYSE - ERP =&gt; SOUS-SEGMENT'!$T$8:$T$1000))</f>
        <v>1750</v>
      </c>
      <c r="U26" s="279">
        <f>IF($C26="","",SUMPRODUCT(('ANALYSE - ERP =&gt; SOUS-SEGMENT'!$C$8:$C$1000=$C26)*'ANALYSE - ERP =&gt; SOUS-SEGMENT'!$Q$8:$Q$1000*'ANALYSE - ERP =&gt; SOUS-SEGMENT'!$U$8:$U$1000))</f>
        <v>2050</v>
      </c>
      <c r="V26" s="279">
        <f>IF($C26="","",SUMPRODUCT(('ANALYSE - ERP =&gt; SOUS-SEGMENT'!$C$8:$C$1000=$C26)*'ANALYSE - ERP =&gt; SOUS-SEGMENT'!$Q$8:$Q$1000*'ANALYSE - ERP =&gt; SOUS-SEGMENT'!$V$8:$V$1000))</f>
        <v>2400</v>
      </c>
      <c r="W26" s="279">
        <f>IF($C26="","",SUMPRODUCT(('ANALYSE - ERP =&gt; SOUS-SEGMENT'!$C$8:$C$1000=$C26)*'ANALYSE - ERP =&gt; SOUS-SEGMENT'!$Q$8:$Q$1000*'ANALYSE - ERP =&gt; SOUS-SEGMENT'!$W$8:$W$1000))</f>
        <v>2480</v>
      </c>
      <c r="X26" s="279">
        <f>IF($C26="","",SUMPRODUCT(('ANALYSE - ERP =&gt; SOUS-SEGMENT'!$C$8:$C$1000=$C26)*'ANALYSE - ERP =&gt; SOUS-SEGMENT'!$Q$8:$Q$1000*'ANALYSE - ERP =&gt; SOUS-SEGMENT'!$X$8:$X$1000))</f>
        <v>2570</v>
      </c>
      <c r="Y26" s="279">
        <f>IF($C26="","",SUMPRODUCT(('ANALYSE - ERP =&gt; SOUS-SEGMENT'!$C$8:$C$1000=$C26)*'ANALYSE - ERP =&gt; SOUS-SEGMENT'!$Q$8:$Q$1000*'ANALYSE - ERP =&gt; SOUS-SEGMENT'!$Y$8:$Y$1000))</f>
        <v>2680</v>
      </c>
      <c r="Z26" s="279">
        <f>IF($C26="","",SUMPRODUCT(('ANALYSE - ERP =&gt; SOUS-SEGMENT'!$C$8:$C$1000=$C26)*'ANALYSE - ERP =&gt; SOUS-SEGMENT'!$Q$8:$Q$1000*'ANALYSE - ERP =&gt; SOUS-SEGMENT'!$Z$8:$Z$1000))</f>
        <v>2790</v>
      </c>
      <c r="AA26" s="279">
        <f>IF($C26="","",SUMPRODUCT(('ANALYSE - ERP =&gt; SOUS-SEGMENT'!$C$8:$C$1000=$C26)*'ANALYSE - ERP =&gt; SOUS-SEGMENT'!$Q$8:$Q$1000*'ANALYSE - ERP =&gt; SOUS-SEGMENT'!$AA$8:$AA$1000))</f>
        <v>2910</v>
      </c>
      <c r="AB26" s="279">
        <f>IF($C26="","",SUMPRODUCT(('ANALYSE - ERP =&gt; SOUS-SEGMENT'!$C$8:$C$1000=$C26)*'ANALYSE - ERP =&gt; SOUS-SEGMENT'!$Q$8:$Q$1000*'ANALYSE - ERP =&gt; SOUS-SEGMENT'!$AB$8:$AB$1000))</f>
        <v>3020</v>
      </c>
      <c r="AC26" s="279">
        <f>IF($C26="","",SUMPRODUCT(('ANALYSE - ERP =&gt; SOUS-SEGMENT'!$C$8:$C$1000=$C26)*'ANALYSE - ERP =&gt; SOUS-SEGMENT'!$Q$8:$Q$1000*'ANALYSE - ERP =&gt; SOUS-SEGMENT'!$AC$8:$AC$1000))</f>
        <v>3180</v>
      </c>
      <c r="AD26" s="279">
        <f>IF($C26="","",SUMPRODUCT(('ANALYSE - ERP =&gt; SOUS-SEGMENT'!$C$8:$C$1000=$C26)*'ANALYSE - ERP =&gt; SOUS-SEGMENT'!$Q$8:$Q$1000*'ANALYSE - ERP =&gt; SOUS-SEGMENT'!$AD$8:$AD$1000))</f>
        <v>3360</v>
      </c>
      <c r="AE26" s="279">
        <f>IF($C26="","",SUMPRODUCT(('ANALYSE - ERP =&gt; SOUS-SEGMENT'!$C$8:$C$1000=$C26)*'ANALYSE - ERP =&gt; SOUS-SEGMENT'!$Q$8:$Q$1000*'ANALYSE - ERP =&gt; SOUS-SEGMENT'!$AE$8:$AE$1000))</f>
        <v>3520</v>
      </c>
      <c r="AF26" s="279">
        <f>IF($C26="","",SUMPRODUCT(('ANALYSE - ERP =&gt; SOUS-SEGMENT'!$C$8:$C$1000=$C26)*'ANALYSE - ERP =&gt; SOUS-SEGMENT'!$Q$8:$Q$1000*'ANALYSE - ERP =&gt; SOUS-SEGMENT'!$AF$8:$AF$1000))</f>
        <v>3650</v>
      </c>
      <c r="AG26" s="279">
        <f>IF($C26="","",SUMPRODUCT(('ANALYSE - ERP =&gt; SOUS-SEGMENT'!$C$8:$C$1000=$C26)*'ANALYSE - ERP =&gt; SOUS-SEGMENT'!$Q$8:$Q$1000*'ANALYSE - ERP =&gt; SOUS-SEGMENT'!$AG$8:$AG$1000))</f>
        <v>3740</v>
      </c>
      <c r="AH26" s="279">
        <f>IF($C26="","",SUMPRODUCT(('ANALYSE - ERP =&gt; SOUS-SEGMENT'!$C$8:$C$1000=$C26)*'ANALYSE - ERP =&gt; SOUS-SEGMENT'!$Q$8:$Q$1000*'ANALYSE - ERP =&gt; SOUS-SEGMENT'!$AH$8:$AH$1000))</f>
        <v>3830</v>
      </c>
      <c r="AI26" s="279">
        <f>IF($C26="","",SUMPRODUCT(('ANALYSE - ERP =&gt; SOUS-SEGMENT'!$C$8:$C$1000=$C26)*'ANALYSE - ERP =&gt; SOUS-SEGMENT'!$Q$8:$Q$1000*'ANALYSE - ERP =&gt; SOUS-SEGMENT'!$AI$8:$AI$1000))</f>
        <v>3920</v>
      </c>
      <c r="AJ26" s="279">
        <f>IF($C26="","",SUMPRODUCT(('ANALYSE - ERP =&gt; SOUS-SEGMENT'!$C$8:$C$1000=$C26)*'ANALYSE - ERP =&gt; SOUS-SEGMENT'!$Q$8:$Q$1000*'ANALYSE - ERP =&gt; SOUS-SEGMENT'!$AJ$8:$AJ$1000))</f>
        <v>4010</v>
      </c>
      <c r="AK26" s="279">
        <f>IF($C26="","",SUMPRODUCT(('ANALYSE - ERP =&gt; SOUS-SEGMENT'!$C$8:$C$1000=$C26)*'ANALYSE - ERP =&gt; SOUS-SEGMENT'!$Q$8:$Q$1000*'ANALYSE - ERP =&gt; SOUS-SEGMENT'!$AK$8:$AK$1000))</f>
        <v>4100</v>
      </c>
      <c r="AL26" s="646" t="s">
        <v>4056</v>
      </c>
      <c r="AM26" s="646" t="s">
        <v>4057</v>
      </c>
      <c r="AN26" s="646"/>
      <c r="AO26" s="657"/>
      <c r="AP26" s="278">
        <f>IF($C26="","",IFERROR(SUMPRODUCT(('ANALYSE - ERP =&gt; SOUS-SEGMENT'!$C$8:$C$1000=$C26)*'ANALYSE - ERP =&gt; SOUS-SEGMENT'!$Q$8:$Q$1000*'ANALYSE - ERP =&gt; SOUS-SEGMENT'!$AF$8:$AF$1000*'ANALYSE - ERP =&gt; SOUS-SEGMENT'!$AP$8:$AP$1000)/SUMPRODUCT(('ANALYSE - ERP =&gt; SOUS-SEGMENT'!$C$8:$C$1000=$C26)*'ANALYSE - ERP =&gt; SOUS-SEGMENT'!$Q$8:$Q$1000*'ANALYSE - ERP =&gt; SOUS-SEGMENT'!$AF$8:$AF$1000),""))</f>
        <v>170</v>
      </c>
      <c r="AQ26" s="278">
        <f>IF($C26="","",IFERROR(SUMPRODUCT(('ANALYSE - ERP =&gt; SOUS-SEGMENT'!$C$8:$C$1000=$C26)*'ANALYSE - ERP =&gt; SOUS-SEGMENT'!$Q$8:$Q$1000*'ANALYSE - ERP =&gt; SOUS-SEGMENT'!$AF$8:$AF$1000*'ANALYSE - ERP =&gt; SOUS-SEGMENT'!$AQ$8:$AQ$1000)/SUMPRODUCT(('ANALYSE - ERP =&gt; SOUS-SEGMENT'!$C$8:$C$1000=$C26)*'ANALYSE - ERP =&gt; SOUS-SEGMENT'!$Q$8:$Q$1000*'ANALYSE - ERP =&gt; SOUS-SEGMENT'!$AF$8:$AF$1000),""))</f>
        <v>145</v>
      </c>
      <c r="AR26" s="278">
        <f>IF($C26="","",IFERROR(SUMPRODUCT(('ANALYSE - ERP =&gt; SOUS-SEGMENT'!$C$8:$C$1000=$C26)*'ANALYSE - ERP =&gt; SOUS-SEGMENT'!$Q$8:$Q$1000*'ANALYSE - ERP =&gt; SOUS-SEGMENT'!$AF$8:$AF$1000*'ANALYSE - ERP =&gt; SOUS-SEGMENT'!$AR$8:$AR$1000)/SUMPRODUCT(('ANALYSE - ERP =&gt; SOUS-SEGMENT'!$C$8:$C$1000=$C26)*'ANALYSE - ERP =&gt; SOUS-SEGMENT'!$Q$8:$Q$1000*'ANALYSE - ERP =&gt; SOUS-SEGMENT'!$AF$8:$AF$1000),""))</f>
        <v>17</v>
      </c>
      <c r="AS26" s="278">
        <f>IF($C26="","",IFERROR(SUMPRODUCT(('ANALYSE - ERP =&gt; SOUS-SEGMENT'!$C$8:$C$1000=$C26)*'ANALYSE - ERP =&gt; SOUS-SEGMENT'!$Q$8:$Q$1000*'ANALYSE - ERP =&gt; SOUS-SEGMENT'!$AF$8:$AF$1000*'ANALYSE - ERP =&gt; SOUS-SEGMENT'!$AS$8:$AS$1000)/SUMPRODUCT(('ANALYSE - ERP =&gt; SOUS-SEGMENT'!$C$8:$C$1000=$C26)*'ANALYSE - ERP =&gt; SOUS-SEGMENT'!$Q$8:$Q$1000*'ANALYSE - ERP =&gt; SOUS-SEGMENT'!$AF$8:$AF$1000),""))</f>
        <v>8</v>
      </c>
      <c r="AT26" s="657"/>
      <c r="AU26" s="646" t="s">
        <v>4058</v>
      </c>
      <c r="AV26" s="646" t="s">
        <v>4059</v>
      </c>
      <c r="AW26" s="646" t="s">
        <v>4060</v>
      </c>
      <c r="AX26" s="646" t="s">
        <v>4061</v>
      </c>
      <c r="AY26" s="657"/>
      <c r="AZ26" s="947">
        <f>IF($C26="","",IFERROR(SUMPRODUCT(('ANALYSE - ERP =&gt; SOUS-SEGMENT'!$C$8:$C$1000=$C26)*'ANALYSE - ERP =&gt; SOUS-SEGMENT'!$Q$8:$Q$1000*'ANALYSE - ERP =&gt; SOUS-SEGMENT'!$AF$8:$AF$1000*'ANALYSE - ERP =&gt; SOUS-SEGMENT'!$AZ$8:$AZ$1000)/SUMPRODUCT(('ANALYSE - ERP =&gt; SOUS-SEGMENT'!$C$8:$C$1000=$C26)*'ANALYSE - ERP =&gt; SOUS-SEGMENT'!$Q$8:$Q$1000*'ANALYSE - ERP =&gt; SOUS-SEGMENT'!$AF$8:$AF$1000),""))</f>
        <v>16</v>
      </c>
      <c r="BA26" s="947">
        <f>IF($C26="","",IFERROR(SUMPRODUCT(('ANALYSE - ERP =&gt; SOUS-SEGMENT'!$C$8:$C$1000=$C26)*'ANALYSE - ERP =&gt; SOUS-SEGMENT'!$Q$8:$Q$1000*'ANALYSE - ERP =&gt; SOUS-SEGMENT'!$AF$8:$AF$1000*'ANALYSE - ERP =&gt; SOUS-SEGMENT'!$BA$8:$BA$1000)/SUMPRODUCT(('ANALYSE - ERP =&gt; SOUS-SEGMENT'!$C$8:$C$1000=$C26)*'ANALYSE - ERP =&gt; SOUS-SEGMENT'!$Q$8:$Q$1000*'ANALYSE - ERP =&gt; SOUS-SEGMENT'!$AF$8:$AF$1000),""))</f>
        <v>1</v>
      </c>
      <c r="BB26" s="947">
        <f>IF($C26="","",IFERROR(SUMPRODUCT(('ANALYSE - ERP =&gt; SOUS-SEGMENT'!$C$8:$C$1000=$C26)*'ANALYSE - ERP =&gt; SOUS-SEGMENT'!$Q$8:$Q$1000*'ANALYSE - ERP =&gt; SOUS-SEGMENT'!$AF$8:$AF$1000*'ANALYSE - ERP =&gt; SOUS-SEGMENT'!$BB$8:$BB$1000)/SUMPRODUCT(('ANALYSE - ERP =&gt; SOUS-SEGMENT'!$C$8:$C$1000=$C26)*'ANALYSE - ERP =&gt; SOUS-SEGMENT'!$Q$8:$Q$1000*'ANALYSE - ERP =&gt; SOUS-SEGMENT'!$AF$8:$AF$1000),""))</f>
        <v>4</v>
      </c>
      <c r="BC26" s="947">
        <f>IF($C26="","",IFERROR(SUMPRODUCT(('ANALYSE - ERP =&gt; SOUS-SEGMENT'!$C$8:$C$1000=$C26)*'ANALYSE - ERP =&gt; SOUS-SEGMENT'!$Q$8:$Q$1000*'ANALYSE - ERP =&gt; SOUS-SEGMENT'!$AF$8:$AF$1000*'ANALYSE - ERP =&gt; SOUS-SEGMENT'!$BC$8:$BC$1000)/SUMPRODUCT(('ANALYSE - ERP =&gt; SOUS-SEGMENT'!$C$8:$C$1000=$C26)*'ANALYSE - ERP =&gt; SOUS-SEGMENT'!$Q$8:$Q$1000*'ANALYSE - ERP =&gt; SOUS-SEGMENT'!$AF$8:$AF$1000),""))</f>
        <v>12</v>
      </c>
      <c r="BD26" s="826">
        <f t="shared" si="1"/>
        <v>120450</v>
      </c>
      <c r="BE26" s="283">
        <f>IF($C26="","",SUMPRODUCT(('ANALYSE - ERP =&gt; SOUS-SEGMENT'!$C$8:$C$1000=$C26)*'ANALYSE - ERP =&gt; SOUS-SEGMENT'!$Q$8:$Q$1000*'ANALYSE - ERP =&gt; SOUS-SEGMENT'!$BE$8:$BE$1000))</f>
        <v>58400</v>
      </c>
      <c r="BF26" s="283">
        <f>IF($C26="","",SUMPRODUCT(('ANALYSE - ERP =&gt; SOUS-SEGMENT'!$C$8:$C$1000=$C26)*'ANALYSE - ERP =&gt; SOUS-SEGMENT'!$Q$8:$Q$1000*'ANALYSE - ERP =&gt; SOUS-SEGMENT'!$BF$8:$BF$1000))</f>
        <v>3650</v>
      </c>
      <c r="BG26" s="283">
        <f>IF($C26="","",SUMPRODUCT(('ANALYSE - ERP =&gt; SOUS-SEGMENT'!$C$8:$C$1000=$C26)*'ANALYSE - ERP =&gt; SOUS-SEGMENT'!$Q$8:$Q$1000*'ANALYSE - ERP =&gt; SOUS-SEGMENT'!$BG$8:$BG$1000))</f>
        <v>14600</v>
      </c>
      <c r="BH26" s="283">
        <f>IF($C26="","",SUMPRODUCT(('ANALYSE - ERP =&gt; SOUS-SEGMENT'!$C$8:$C$1000=$C26)*'ANALYSE - ERP =&gt; SOUS-SEGMENT'!$Q$8:$Q$1000*'ANALYSE - ERP =&gt; SOUS-SEGMENT'!$BH$8:$BH$1000))</f>
        <v>43800</v>
      </c>
      <c r="BI26" s="826">
        <f t="shared" si="2"/>
        <v>135300</v>
      </c>
      <c r="BJ26" s="283">
        <f>IF($C26="","",SUMPRODUCT(('ANALYSE - ERP =&gt; SOUS-SEGMENT'!$C$8:$C$1000=$C26)*'ANALYSE - ERP =&gt; SOUS-SEGMENT'!$Q$8:$Q$1000*'ANALYSE - ERP =&gt; SOUS-SEGMENT'!$BJ$8:$BJ$1000))</f>
        <v>65600</v>
      </c>
      <c r="BK26" s="283">
        <f>IF($C26="","",SUMPRODUCT(('ANALYSE - ERP =&gt; SOUS-SEGMENT'!$C$8:$C$1000=$C26)*'ANALYSE - ERP =&gt; SOUS-SEGMENT'!$Q$8:$Q$1000*'ANALYSE - ERP =&gt; SOUS-SEGMENT'!$BK$8:$BK$1000))</f>
        <v>4100</v>
      </c>
      <c r="BL26" s="283">
        <f>IF($C26="","",SUMPRODUCT(('ANALYSE - ERP =&gt; SOUS-SEGMENT'!$C$8:$C$1000=$C26)*'ANALYSE - ERP =&gt; SOUS-SEGMENT'!$Q$8:$Q$1000*'ANALYSE - ERP =&gt; SOUS-SEGMENT'!$BL$8:$BL$1000))</f>
        <v>16400</v>
      </c>
      <c r="BM26" s="283">
        <f>IF($C26="","",SUMPRODUCT(('ANALYSE - ERP =&gt; SOUS-SEGMENT'!$C$8:$C$1000=$C26)*'ANALYSE - ERP =&gt; SOUS-SEGMENT'!$Q$8:$Q$1000*'ANALYSE - ERP =&gt; SOUS-SEGMENT'!$BM$8:$BM$1000))</f>
        <v>49200</v>
      </c>
      <c r="BN26" s="657"/>
      <c r="BO26" s="305">
        <f t="shared" si="3"/>
        <v>0.42</v>
      </c>
      <c r="BP26" s="305">
        <f t="shared" si="4"/>
        <v>0.4</v>
      </c>
      <c r="BQ26" s="305">
        <f t="shared" si="5"/>
        <v>0.13</v>
      </c>
      <c r="BR26" s="581">
        <f t="shared" si="6"/>
        <v>0.05</v>
      </c>
      <c r="BS26" s="706">
        <f t="shared" si="7"/>
        <v>0.37</v>
      </c>
      <c r="BT26" s="305">
        <f t="shared" si="8"/>
        <v>0.41</v>
      </c>
      <c r="BU26" s="305">
        <f t="shared" si="9"/>
        <v>0.18</v>
      </c>
      <c r="BV26" s="581">
        <f t="shared" si="10"/>
        <v>0.04</v>
      </c>
      <c r="BW26" s="713">
        <f t="shared" si="11"/>
        <v>0.42</v>
      </c>
      <c r="BX26" s="306">
        <f t="shared" si="12"/>
        <v>0.4</v>
      </c>
      <c r="BY26" s="590">
        <f t="shared" si="13"/>
        <v>0.18</v>
      </c>
      <c r="BZ26" s="713">
        <f t="shared" si="14"/>
        <v>0.37</v>
      </c>
      <c r="CA26" s="306">
        <f t="shared" si="15"/>
        <v>0.41</v>
      </c>
      <c r="CB26" s="590">
        <f t="shared" si="16"/>
        <v>0.22</v>
      </c>
      <c r="CC26" s="706">
        <f t="shared" si="17"/>
        <v>0.16</v>
      </c>
      <c r="CD26" s="305">
        <f t="shared" si="18"/>
        <v>0.51</v>
      </c>
      <c r="CE26" s="305">
        <f t="shared" si="19"/>
        <v>0.22</v>
      </c>
      <c r="CF26" s="581">
        <f t="shared" si="20"/>
        <v>0.11</v>
      </c>
      <c r="CG26" s="706">
        <f t="shared" si="21"/>
        <v>0.13</v>
      </c>
      <c r="CH26" s="305">
        <f t="shared" si="22"/>
        <v>0.49</v>
      </c>
      <c r="CI26" s="305">
        <f t="shared" si="23"/>
        <v>0.25</v>
      </c>
      <c r="CJ26" s="581">
        <f t="shared" si="24"/>
        <v>0.13</v>
      </c>
      <c r="CK26" s="719">
        <f t="shared" si="25"/>
        <v>0.57999999999999996</v>
      </c>
      <c r="CL26" s="307">
        <f t="shared" si="26"/>
        <v>0.28999999999999998</v>
      </c>
      <c r="CM26" s="723">
        <f t="shared" si="27"/>
        <v>0.13</v>
      </c>
      <c r="CN26" s="719">
        <f t="shared" si="28"/>
        <v>0.53</v>
      </c>
      <c r="CO26" s="307">
        <f t="shared" si="29"/>
        <v>0.32</v>
      </c>
      <c r="CP26" s="723">
        <f t="shared" si="30"/>
        <v>0.15</v>
      </c>
      <c r="CQ26" s="657"/>
      <c r="CR26" s="804">
        <f>IF($C26="","",IFERROR(SUMPRODUCT(('ANALYSE - ERP =&gt; SOUS-SEGMENT'!$C$8:$C$1000=$C26)*'ANALYSE - ERP =&gt; SOUS-SEGMENT'!$Q$8:$Q$1000*'ANALYSE - ERP =&gt; SOUS-SEGMENT'!$DH$8:$DH$1000*'ANALYSE - ERP =&gt; SOUS-SEGMENT'!$CR$8:$CR$1000)/SUMPRODUCT(('ANALYSE - ERP =&gt; SOUS-SEGMENT'!$C$8:$C$1000=$C26)*'ANALYSE - ERP =&gt; SOUS-SEGMENT'!$Q$8:$Q$1000*'ANALYSE - ERP =&gt; SOUS-SEGMENT'!$DH$8:$DH$1000),""))</f>
        <v>13</v>
      </c>
      <c r="CS26" s="805">
        <f>IF($C26="","",IFERROR(SUMPRODUCT(('ANALYSE - ERP =&gt; SOUS-SEGMENT'!$C$8:$C$1000=$C26)*'ANALYSE - ERP =&gt; SOUS-SEGMENT'!$Q$8:$Q$1000*'ANALYSE - ERP =&gt; SOUS-SEGMENT'!$DI$8:$DI$1000*'ANALYSE - ERP =&gt; SOUS-SEGMENT'!$CS$8:$CS$1000)/SUMPRODUCT(('ANALYSE - ERP =&gt; SOUS-SEGMENT'!$C$8:$C$1000=$C26)*'ANALYSE - ERP =&gt; SOUS-SEGMENT'!$Q$8:$Q$1000*'ANALYSE - ERP =&gt; SOUS-SEGMENT'!$DI$8:$DI$1000),""))</f>
        <v>13</v>
      </c>
      <c r="CT26" s="805">
        <f>IF($C26="","",IFERROR(SUMPRODUCT(('ANALYSE - ERP =&gt; SOUS-SEGMENT'!$C$8:$C$1000=$C26)*'ANALYSE - ERP =&gt; SOUS-SEGMENT'!$Q$8:$Q$1000*'ANALYSE - ERP =&gt; SOUS-SEGMENT'!$DJ$8:$DJ$1000*'ANALYSE - ERP =&gt; SOUS-SEGMENT'!$CT$8:$CT$1000)/SUMPRODUCT(('ANALYSE - ERP =&gt; SOUS-SEGMENT'!$C$8:$C$1000=$C26)*'ANALYSE - ERP =&gt; SOUS-SEGMENT'!$Q$8:$Q$1000*'ANALYSE - ERP =&gt; SOUS-SEGMENT'!$DJ$8:$DJ$1000),""))</f>
        <v>10</v>
      </c>
      <c r="CU26" s="806">
        <f>IF($C26="","",IFERROR(SUMPRODUCT(('ANALYSE - ERP =&gt; SOUS-SEGMENT'!$C$8:$C$1000=$C26)*'ANALYSE - ERP =&gt; SOUS-SEGMENT'!$Q$8:$Q$1000*'ANALYSE - ERP =&gt; SOUS-SEGMENT'!$DK$8:$DK$1000*'ANALYSE - ERP =&gt; SOUS-SEGMENT'!$CU$8:$CU$1000)/SUMPRODUCT(('ANALYSE - ERP =&gt; SOUS-SEGMENT'!$C$8:$C$1000=$C26)*'ANALYSE - ERP =&gt; SOUS-SEGMENT'!$Q$8:$Q$1000*'ANALYSE - ERP =&gt; SOUS-SEGMENT'!$DK$8:$DK$1000),""))</f>
        <v>12</v>
      </c>
      <c r="CV26" s="804">
        <f>IF($C26="","",IFERROR(SUMPRODUCT(('ANALYSE - ERP =&gt; SOUS-SEGMENT'!$C$8:$C$1000=$C26)*'ANALYSE - ERP =&gt; SOUS-SEGMENT'!$Q$8:$Q$1000*'ANALYSE - ERP =&gt; SOUS-SEGMENT'!$DS$8:$DS$1000*'ANALYSE - ERP =&gt; SOUS-SEGMENT'!$CV$8:$CV$1000)/SUMPRODUCT(('ANALYSE - ERP =&gt; SOUS-SEGMENT'!$C$8:$C$1000=$C26)*'ANALYSE - ERP =&gt; SOUS-SEGMENT'!$Q$8:$Q$1000*'ANALYSE - ERP =&gt; SOUS-SEGMENT'!$DS$8:$DS$1000),""))</f>
        <v>12</v>
      </c>
      <c r="CW26" s="805">
        <f>IF($C26="","",IFERROR(SUMPRODUCT(('ANALYSE - ERP =&gt; SOUS-SEGMENT'!$C$8:$C$1000=$C26)*'ANALYSE - ERP =&gt; SOUS-SEGMENT'!$Q$8:$Q$1000*'ANALYSE - ERP =&gt; SOUS-SEGMENT'!$DT$8:$DT$1000*'ANALYSE - ERP =&gt; SOUS-SEGMENT'!$CW$8:$CW$1000)/SUMPRODUCT(('ANALYSE - ERP =&gt; SOUS-SEGMENT'!$C$8:$C$1000=$C26)*'ANALYSE - ERP =&gt; SOUS-SEGMENT'!$Q$8:$Q$1000*'ANALYSE - ERP =&gt; SOUS-SEGMENT'!$DT$8:$DT$1000),""))</f>
        <v>11</v>
      </c>
      <c r="CX26" s="806">
        <f>IF($C26="","",IFERROR(SUMPRODUCT(('ANALYSE - ERP =&gt; SOUS-SEGMENT'!$C$8:$C$1000=$C26)*'ANALYSE - ERP =&gt; SOUS-SEGMENT'!$Q$8:$Q$1000*'ANALYSE - ERP =&gt; SOUS-SEGMENT'!$DU$8:$DU$1000*'ANALYSE - ERP =&gt; SOUS-SEGMENT'!$CX$8:$CX$1000)/SUMPRODUCT(('ANALYSE - ERP =&gt; SOUS-SEGMENT'!$C$8:$C$1000=$C26)*'ANALYSE - ERP =&gt; SOUS-SEGMENT'!$Q$8:$Q$1000*'ANALYSE - ERP =&gt; SOUS-SEGMENT'!$DU$8:$DU$1000),""))</f>
        <v>9</v>
      </c>
      <c r="CY26" s="804">
        <f>IF($C26="","",IFERROR(SUMPRODUCT(('ANALYSE - ERP =&gt; SOUS-SEGMENT'!$C$8:$C$1000=$C26)*'ANALYSE - ERP =&gt; SOUS-SEGMENT'!$Q$8:$Q$1000*'ANALYSE - ERP =&gt; SOUS-SEGMENT'!$EB$8:$EB$1000*'ANALYSE - ERP =&gt; SOUS-SEGMENT'!$CY$8:$CY$1000)/SUMPRODUCT(('ANALYSE - ERP =&gt; SOUS-SEGMENT'!$C$8:$C$1000=$C26)*'ANALYSE - ERP =&gt; SOUS-SEGMENT'!$Q$8:$Q$1000*'ANALYSE - ERP =&gt; SOUS-SEGMENT'!$EB$8:$EB$1000),""))</f>
        <v>11</v>
      </c>
      <c r="CZ26" s="805">
        <f>IF($C26="","",IFERROR(SUMPRODUCT(('ANALYSE - ERP =&gt; SOUS-SEGMENT'!$C$8:$C$1000=$C26)*'ANALYSE - ERP =&gt; SOUS-SEGMENT'!$Q$8:$Q$1000*'ANALYSE - ERP =&gt; SOUS-SEGMENT'!$EC$8:$EC$1000*'ANALYSE - ERP =&gt; SOUS-SEGMENT'!$CZ$8:$CZ$1000)/SUMPRODUCT(('ANALYSE - ERP =&gt; SOUS-SEGMENT'!$C$8:$C$1000=$C26)*'ANALYSE - ERP =&gt; SOUS-SEGMENT'!$Q$8:$Q$1000*'ANALYSE - ERP =&gt; SOUS-SEGMENT'!$EC$8:$EC$1000),""))</f>
        <v>13</v>
      </c>
      <c r="DA26" s="805">
        <f>IF($C26="","",IFERROR(SUMPRODUCT(('ANALYSE - ERP =&gt; SOUS-SEGMENT'!$C$8:$C$1000=$C26)*'ANALYSE - ERP =&gt; SOUS-SEGMENT'!$Q$8:$Q$1000*'ANALYSE - ERP =&gt; SOUS-SEGMENT'!$ED$8:$ED$1000*'ANALYSE - ERP =&gt; SOUS-SEGMENT'!$DA$8:$DA$1000)/SUMPRODUCT(('ANALYSE - ERP =&gt; SOUS-SEGMENT'!$C$8:$C$1000=$C26)*'ANALYSE - ERP =&gt; SOUS-SEGMENT'!$Q$8:$Q$1000*'ANALYSE - ERP =&gt; SOUS-SEGMENT'!$ED$8:$ED$1000),""))</f>
        <v>9</v>
      </c>
      <c r="DB26" s="806">
        <f>IF($C26="","",IFERROR(SUMPRODUCT(('ANALYSE - ERP =&gt; SOUS-SEGMENT'!$C$8:$C$1000=$C26)*'ANALYSE - ERP =&gt; SOUS-SEGMENT'!$Q$8:$Q$1000*'ANALYSE - ERP =&gt; SOUS-SEGMENT'!$EE$8:$EE$1000*'ANALYSE - ERP =&gt; SOUS-SEGMENT'!$DB$8:$DB$1000)/SUMPRODUCT(('ANALYSE - ERP =&gt; SOUS-SEGMENT'!$C$8:$C$1000=$C26)*'ANALYSE - ERP =&gt; SOUS-SEGMENT'!$Q$8:$Q$1000*'ANALYSE - ERP =&gt; SOUS-SEGMENT'!$EE$8:$EE$1000),""))</f>
        <v>11</v>
      </c>
      <c r="DC26" s="804">
        <f>IF($C26="","",IFERROR(SUMPRODUCT(('ANALYSE - ERP =&gt; SOUS-SEGMENT'!$C$8:$C$1000=$C26)*'ANALYSE - ERP =&gt; SOUS-SEGMENT'!$Q$8:$Q$1000*'ANALYSE - ERP =&gt; SOUS-SEGMENT'!$EM$8:$EM$1000*'ANALYSE - ERP =&gt; SOUS-SEGMENT'!$DC$8:$DC$1000)/SUMPRODUCT(('ANALYSE - ERP =&gt; SOUS-SEGMENT'!$C$8:$C$1000=$C26)*'ANALYSE - ERP =&gt; SOUS-SEGMENT'!$Q$8:$Q$1000*'ANALYSE - ERP =&gt; SOUS-SEGMENT'!$EM$8:$EM$1000),""))</f>
        <v>12</v>
      </c>
      <c r="DD26" s="805">
        <f>IF($C26="","",IFERROR(SUMPRODUCT(('ANALYSE - ERP =&gt; SOUS-SEGMENT'!$C$8:$C$1000=$C26)*'ANALYSE - ERP =&gt; SOUS-SEGMENT'!$Q$8:$Q$1000*'ANALYSE - ERP =&gt; SOUS-SEGMENT'!$EN$8:$EN$1000*'ANALYSE - ERP =&gt; SOUS-SEGMENT'!$DD$8:$DD$1000)/SUMPRODUCT(('ANALYSE - ERP =&gt; SOUS-SEGMENT'!$C$8:$C$1000=$C26)*'ANALYSE - ERP =&gt; SOUS-SEGMENT'!$Q$8:$Q$1000*'ANALYSE - ERP =&gt; SOUS-SEGMENT'!$EN$8:$EN$1000),""))</f>
        <v>13</v>
      </c>
      <c r="DE26" s="806">
        <f>IF($C26="","",IFERROR(SUMPRODUCT(('ANALYSE - ERP =&gt; SOUS-SEGMENT'!$C$8:$C$1000=$C26)*'ANALYSE - ERP =&gt; SOUS-SEGMENT'!$Q$8:$Q$1000*'ANALYSE - ERP =&gt; SOUS-SEGMENT'!$EO$8:$EO$1000*'ANALYSE - ERP =&gt; SOUS-SEGMENT'!$DE$8:$DE$1000)/SUMPRODUCT(('ANALYSE - ERP =&gt; SOUS-SEGMENT'!$C$8:$C$1000=$C26)*'ANALYSE - ERP =&gt; SOUS-SEGMENT'!$Q$8:$Q$1000*'ANALYSE - ERP =&gt; SOUS-SEGMENT'!$EO$8:$EO$1000),""))</f>
        <v>10</v>
      </c>
      <c r="DF26" s="919" t="s">
        <v>4062</v>
      </c>
      <c r="DG26" s="657"/>
      <c r="DH26" s="308">
        <f>IF($C26="","",SUMPRODUCT(('ANALYSE - ERP =&gt; SOUS-SEGMENT'!$C$8:$C$1000=$C26)*'ANALYSE - ERP =&gt; SOUS-SEGMENT'!$Q$8:$Q$1000*'ANALYSE - ERP =&gt; SOUS-SEGMENT'!$DH$8:$DH$1000))</f>
        <v>24528</v>
      </c>
      <c r="DI26" s="308">
        <f>IF($C26="","",SUMPRODUCT(('ANALYSE - ERP =&gt; SOUS-SEGMENT'!$C$8:$C$1000=$C26)*'ANALYSE - ERP =&gt; SOUS-SEGMENT'!$Q$8:$Q$1000*'ANALYSE - ERP =&gt; SOUS-SEGMENT'!$DI$8:$DI$1000))</f>
        <v>23360</v>
      </c>
      <c r="DJ26" s="308">
        <f>IF($C26="","",SUMPRODUCT(('ANALYSE - ERP =&gt; SOUS-SEGMENT'!$C$8:$C$1000=$C26)*'ANALYSE - ERP =&gt; SOUS-SEGMENT'!$Q$8:$Q$1000*'ANALYSE - ERP =&gt; SOUS-SEGMENT'!$DJ$8:$DJ$1000))</f>
        <v>7592</v>
      </c>
      <c r="DK26" s="308">
        <f>IF($C26="","",SUMPRODUCT(('ANALYSE - ERP =&gt; SOUS-SEGMENT'!$C$8:$C$1000=$C26)*'ANALYSE - ERP =&gt; SOUS-SEGMENT'!$Q$8:$Q$1000*'ANALYSE - ERP =&gt; SOUS-SEGMENT'!$DK$8:$DK$1000))</f>
        <v>2920</v>
      </c>
      <c r="DL26" s="646" t="s">
        <v>4063</v>
      </c>
      <c r="DM26" s="308">
        <f>IF($C26="","",SUMPRODUCT(('ANALYSE - ERP =&gt; SOUS-SEGMENT'!$C$8:$C$1000=$C26)*'ANALYSE - ERP =&gt; SOUS-SEGMENT'!$Q$8:$Q$1000*'ANALYSE - ERP =&gt; SOUS-SEGMENT'!$DM$8:$DM$1000))</f>
        <v>24272</v>
      </c>
      <c r="DN26" s="308">
        <f>IF($C26="","",SUMPRODUCT(('ANALYSE - ERP =&gt; SOUS-SEGMENT'!$C$8:$C$1000=$C26)*'ANALYSE - ERP =&gt; SOUS-SEGMENT'!$Q$8:$Q$1000*'ANALYSE - ERP =&gt; SOUS-SEGMENT'!$DN$8:$DN$1000))</f>
        <v>26896</v>
      </c>
      <c r="DO26" s="308">
        <f>IF($C26="","",SUMPRODUCT(('ANALYSE - ERP =&gt; SOUS-SEGMENT'!$C$8:$C$1000=$C26)*'ANALYSE - ERP =&gt; SOUS-SEGMENT'!$Q$8:$Q$1000*'ANALYSE - ERP =&gt; SOUS-SEGMENT'!$DO$8:$DO$1000))</f>
        <v>11808</v>
      </c>
      <c r="DP26" s="308">
        <f>IF($C26="","",SUMPRODUCT(('ANALYSE - ERP =&gt; SOUS-SEGMENT'!$C$8:$C$1000=$C26)*'ANALYSE - ERP =&gt; SOUS-SEGMENT'!$Q$8:$Q$1000*'ANALYSE - ERP =&gt; SOUS-SEGMENT'!$DP$8:$DP$1000))</f>
        <v>2624</v>
      </c>
      <c r="DQ26" s="646" t="s">
        <v>4064</v>
      </c>
      <c r="DR26" s="657"/>
      <c r="DS26" s="308">
        <f>IF($C26="","",SUMPRODUCT(('ANALYSE - ERP =&gt; SOUS-SEGMENT'!$C$8:$C$1000=$C26)*'ANALYSE - ERP =&gt; SOUS-SEGMENT'!$Q$8:$Q$1000*'ANALYSE - ERP =&gt; SOUS-SEGMENT'!$DS$8:$DS$1000))</f>
        <v>1533</v>
      </c>
      <c r="DT26" s="308">
        <f>IF($C26="","",SUMPRODUCT(('ANALYSE - ERP =&gt; SOUS-SEGMENT'!$C$8:$C$1000=$C26)*'ANALYSE - ERP =&gt; SOUS-SEGMENT'!$Q$8:$Q$1000*'ANALYSE - ERP =&gt; SOUS-SEGMENT'!$DT$8:$DT$1000))</f>
        <v>1460</v>
      </c>
      <c r="DU26" s="308">
        <f>IF($C26="","",SUMPRODUCT(('ANALYSE - ERP =&gt; SOUS-SEGMENT'!$C$8:$C$1000=$C26)*'ANALYSE - ERP =&gt; SOUS-SEGMENT'!$Q$8:$Q$1000*'ANALYSE - ERP =&gt; SOUS-SEGMENT'!$DU$8:$DU$1000))</f>
        <v>657</v>
      </c>
      <c r="DV26" s="646" t="s">
        <v>4065</v>
      </c>
      <c r="DW26" s="308">
        <f>IF($C26="","",SUMPRODUCT(('ANALYSE - ERP =&gt; SOUS-SEGMENT'!$C$8:$C$1000=$C26)*'ANALYSE - ERP =&gt; SOUS-SEGMENT'!$Q$8:$Q$1000*'ANALYSE - ERP =&gt; SOUS-SEGMENT'!$DW$8:$DW$1000))</f>
        <v>1517</v>
      </c>
      <c r="DX26" s="308">
        <f>IF($C26="","",SUMPRODUCT(('ANALYSE - ERP =&gt; SOUS-SEGMENT'!$C$8:$C$1000=$C26)*'ANALYSE - ERP =&gt; SOUS-SEGMENT'!$Q$8:$Q$1000*'ANALYSE - ERP =&gt; SOUS-SEGMENT'!$DX$8:$DX$1000))</f>
        <v>1681</v>
      </c>
      <c r="DY26" s="308">
        <f>IF($C26="","",SUMPRODUCT(('ANALYSE - ERP =&gt; SOUS-SEGMENT'!$C$8:$C$1000=$C26)*'ANALYSE - ERP =&gt; SOUS-SEGMENT'!$Q$8:$Q$1000*'ANALYSE - ERP =&gt; SOUS-SEGMENT'!$DY$8:$DY$1000))</f>
        <v>902</v>
      </c>
      <c r="DZ26" s="646" t="s">
        <v>4066</v>
      </c>
      <c r="EA26" s="657"/>
      <c r="EB26" s="308">
        <f>IF($C26="","",SUMPRODUCT(('ANALYSE - ERP =&gt; SOUS-SEGMENT'!$C$8:$C$1000=$C26)*'ANALYSE - ERP =&gt; SOUS-SEGMENT'!$Q$8:$Q$1000*'ANALYSE - ERP =&gt; SOUS-SEGMENT'!$EB$8:$EB$1000))</f>
        <v>2336</v>
      </c>
      <c r="EC26" s="308">
        <f>IF($C26="","",SUMPRODUCT(('ANALYSE - ERP =&gt; SOUS-SEGMENT'!$C$8:$C$1000=$C26)*'ANALYSE - ERP =&gt; SOUS-SEGMENT'!$Q$8:$Q$1000*'ANALYSE - ERP =&gt; SOUS-SEGMENT'!$EC$8:$EC$1000))</f>
        <v>7446</v>
      </c>
      <c r="ED26" s="308">
        <f>IF($C26="","",SUMPRODUCT(('ANALYSE - ERP =&gt; SOUS-SEGMENT'!$C$8:$C$1000=$C26)*'ANALYSE - ERP =&gt; SOUS-SEGMENT'!$Q$8:$Q$1000*'ANALYSE - ERP =&gt; SOUS-SEGMENT'!$ED$8:$ED$1000))</f>
        <v>3212</v>
      </c>
      <c r="EE26" s="308">
        <f>IF($C26="","",SUMPRODUCT(('ANALYSE - ERP =&gt; SOUS-SEGMENT'!$C$8:$C$1000=$C26)*'ANALYSE - ERP =&gt; SOUS-SEGMENT'!$Q$8:$Q$1000*'ANALYSE - ERP =&gt; SOUS-SEGMENT'!$EE$8:$EE$1000))</f>
        <v>1606</v>
      </c>
      <c r="EF26" s="646" t="s">
        <v>4067</v>
      </c>
      <c r="EG26" s="308">
        <f>IF($C26="","",SUMPRODUCT(('ANALYSE - ERP =&gt; SOUS-SEGMENT'!$C$8:$C$1000=$C26)*'ANALYSE - ERP =&gt; SOUS-SEGMENT'!$Q$8:$Q$1000*'ANALYSE - ERP =&gt; SOUS-SEGMENT'!$EG$8:$EG$1000))</f>
        <v>2132</v>
      </c>
      <c r="EH26" s="308">
        <f>IF($C26="","",SUMPRODUCT(('ANALYSE - ERP =&gt; SOUS-SEGMENT'!$C$8:$C$1000=$C26)*'ANALYSE - ERP =&gt; SOUS-SEGMENT'!$Q$8:$Q$1000*'ANALYSE - ERP =&gt; SOUS-SEGMENT'!$EH$8:$EH$1000))</f>
        <v>8036</v>
      </c>
      <c r="EI26" s="308">
        <f>IF($C26="","",SUMPRODUCT(('ANALYSE - ERP =&gt; SOUS-SEGMENT'!$C$8:$C$1000=$C26)*'ANALYSE - ERP =&gt; SOUS-SEGMENT'!$Q$8:$Q$1000*'ANALYSE - ERP =&gt; SOUS-SEGMENT'!$EI$8:$EI$1000))</f>
        <v>4100</v>
      </c>
      <c r="EJ26" s="308">
        <f>IF($C26="","",SUMPRODUCT(('ANALYSE - ERP =&gt; SOUS-SEGMENT'!$C$8:$C$1000=$C26)*'ANALYSE - ERP =&gt; SOUS-SEGMENT'!$Q$8:$Q$1000*'ANALYSE - ERP =&gt; SOUS-SEGMENT'!$EJ$8:$EJ$1000))</f>
        <v>2132</v>
      </c>
      <c r="EK26" s="936" t="s">
        <v>4068</v>
      </c>
      <c r="EL26" s="657"/>
      <c r="EM26" s="308">
        <f>IF($C26="","",SUMPRODUCT(('ANALYSE - ERP =&gt; SOUS-SEGMENT'!$C$8:$C$1000=$C26)*'ANALYSE - ERP =&gt; SOUS-SEGMENT'!$Q$8:$Q$1000*'ANALYSE - ERP =&gt; SOUS-SEGMENT'!$EM$8:$EM$1000))</f>
        <v>25404</v>
      </c>
      <c r="EN26" s="310">
        <f>IF($C26="","",SUMPRODUCT(('ANALYSE - ERP =&gt; SOUS-SEGMENT'!$C$8:$C$1000=$C26)*'ANALYSE - ERP =&gt; SOUS-SEGMENT'!$Q$8:$Q$1000*'ANALYSE - ERP =&gt; SOUS-SEGMENT'!$EN$8:$EN$1000))</f>
        <v>12702</v>
      </c>
      <c r="EO26" s="310">
        <f>IF($C26="","",SUMPRODUCT(('ANALYSE - ERP =&gt; SOUS-SEGMENT'!$C$8:$C$1000=$C26)*'ANALYSE - ERP =&gt; SOUS-SEGMENT'!$Q$8:$Q$1000*'ANALYSE - ERP =&gt; SOUS-SEGMENT'!$EO$8:$EO$1000))</f>
        <v>5694</v>
      </c>
      <c r="EP26" s="646" t="s">
        <v>4069</v>
      </c>
      <c r="EQ26" s="308">
        <f>IF($C26="","",SUMPRODUCT(('ANALYSE - ERP =&gt; SOUS-SEGMENT'!$C$8:$C$1000=$C26)*'ANALYSE - ERP =&gt; SOUS-SEGMENT'!$Q$8:$Q$1000*'ANALYSE - ERP =&gt; SOUS-SEGMENT'!$EQ$8:$EQ$1000))</f>
        <v>26076</v>
      </c>
      <c r="ER26" s="310">
        <f>IF($C26="","",SUMPRODUCT(('ANALYSE - ERP =&gt; SOUS-SEGMENT'!$C$8:$C$1000=$C26)*'ANALYSE - ERP =&gt; SOUS-SEGMENT'!$Q$8:$Q$1000*'ANALYSE - ERP =&gt; SOUS-SEGMENT'!$ER$8:$ER$1000))</f>
        <v>15744</v>
      </c>
      <c r="ES26" s="310">
        <f>IF($C26="","",SUMPRODUCT(('ANALYSE - ERP =&gt; SOUS-SEGMENT'!$C$8:$C$1000=$C26)*'ANALYSE - ERP =&gt; SOUS-SEGMENT'!$Q$8:$Q$1000*'ANALYSE - ERP =&gt; SOUS-SEGMENT'!$ES$8:$ES$1000))</f>
        <v>7380</v>
      </c>
      <c r="ET26" s="646" t="s">
        <v>4070</v>
      </c>
      <c r="EU26" s="657"/>
      <c r="EV26" s="728">
        <f t="shared" si="31"/>
        <v>0.519985941036747</v>
      </c>
      <c r="EW26" s="728">
        <f t="shared" si="32"/>
        <v>0.48001405896325311</v>
      </c>
      <c r="EX26" s="311">
        <f t="shared" si="33"/>
        <v>52837.777407560527</v>
      </c>
      <c r="EY26" s="311">
        <f t="shared" si="34"/>
        <v>27474.90140756053</v>
      </c>
      <c r="EZ26" s="311">
        <f t="shared" si="35"/>
        <v>25362.876</v>
      </c>
      <c r="FA26" s="311">
        <f t="shared" si="36"/>
        <v>24951.837842707693</v>
      </c>
      <c r="FB26" s="311">
        <f>IF($C26="","",SUMPRODUCT(('ANALYSE - ERP =&gt; SOUS-SEGMENT'!$C$8:$C$1000=$C26)*'ANALYSE - ERP =&gt; SOUS-SEGMENT'!$Q$8:$Q$1000*'ANALYSE - ERP =&gt; SOUS-SEGMENT'!$FB$8:$FB$1000))</f>
        <v>12654.685842707693</v>
      </c>
      <c r="FC26" s="311">
        <f>IF($C26="","",SUMPRODUCT(('ANALYSE - ERP =&gt; SOUS-SEGMENT'!$C$8:$C$1000=$C26)*'ANALYSE - ERP =&gt; SOUS-SEGMENT'!$Q$8:$Q$1000*'ANALYSE - ERP =&gt; SOUS-SEGMENT'!$FC$8:$FC$1000))</f>
        <v>12297.152</v>
      </c>
      <c r="FD26" s="311">
        <f t="shared" si="37"/>
        <v>1743.2646556363634</v>
      </c>
      <c r="FE26" s="311">
        <f>IF($C26="","",SUMPRODUCT(('ANALYSE - ERP =&gt; SOUS-SEGMENT'!$C$8:$C$1000=$C26)*'ANALYSE - ERP =&gt; SOUS-SEGMENT'!$Q$8:$Q$1000*'ANALYSE - ERP =&gt; SOUS-SEGMENT'!$FE$8:$FE$1000))</f>
        <v>974.6926556363635</v>
      </c>
      <c r="FF26" s="311">
        <f>IF($C26="","",SUMPRODUCT(('ANALYSE - ERP =&gt; SOUS-SEGMENT'!$C$8:$C$1000=$C26)*'ANALYSE - ERP =&gt; SOUS-SEGMENT'!$Q$8:$Q$1000*'ANALYSE - ERP =&gt; SOUS-SEGMENT'!$FF$8:$FF$1000))</f>
        <v>768.572</v>
      </c>
      <c r="FG26" s="311">
        <f t="shared" si="38"/>
        <v>6761.5013154933959</v>
      </c>
      <c r="FH26" s="311">
        <f>IF($C26="","",SUMPRODUCT(('ANALYSE - ERP =&gt; SOUS-SEGMENT'!$C$8:$C$1000=$C26)*'ANALYSE - ERP =&gt; SOUS-SEGMENT'!$Q$8:$Q$1000*'ANALYSE - ERP =&gt; SOUS-SEGMENT'!$FH$8:$FH$1000))</f>
        <v>3687.2133154933958</v>
      </c>
      <c r="FI26" s="311">
        <f>IF($C26="","",SUMPRODUCT(('ANALYSE - ERP =&gt; SOUS-SEGMENT'!$C$8:$C$1000=$C26)*'ANALYSE - ERP =&gt; SOUS-SEGMENT'!$Q$8:$Q$1000*'ANALYSE - ERP =&gt; SOUS-SEGMENT'!$FI$8:$FI$1000))</f>
        <v>3074.288</v>
      </c>
      <c r="FJ26" s="311">
        <f t="shared" si="39"/>
        <v>19381.173593723077</v>
      </c>
      <c r="FK26" s="311">
        <f>IF($C26="","",SUMPRODUCT(('ANALYSE - ERP =&gt; SOUS-SEGMENT'!$C$8:$C$1000=$C26)*'ANALYSE - ERP =&gt; SOUS-SEGMENT'!$Q$8:$Q$1000*'ANALYSE - ERP =&gt; SOUS-SEGMENT'!$FK$8:$FK$1000))</f>
        <v>10158.309593723077</v>
      </c>
      <c r="FL26" s="311">
        <f>IF($C26="","",SUMPRODUCT(('ANALYSE - ERP =&gt; SOUS-SEGMENT'!$C$8:$C$1000=$C26)*'ANALYSE - ERP =&gt; SOUS-SEGMENT'!$Q$8:$Q$1000*'ANALYSE - ERP =&gt; SOUS-SEGMENT'!$FL$8:$FL$1000))</f>
        <v>9222.8639999999996</v>
      </c>
      <c r="FM26" s="657"/>
      <c r="FN26" s="954" t="s">
        <v>2649</v>
      </c>
      <c r="FO26" s="728">
        <f>IF($C26="","",IFERROR(SUMPRODUCT(('ANALYSE - ERP =&gt; SOUS-SEGMENT'!$C$8:$C$1000=$C26)*'ANALYSE - ERP =&gt; SOUS-SEGMENT'!$Q$8:$Q$1000*'ANALYSE - ERP =&gt; SOUS-SEGMENT'!$AF$8:$AF$1000*'ANALYSE - ERP =&gt; SOUS-SEGMENT'!$FO$8:$FO$1000)/SUMPRODUCT(('ANALYSE - ERP =&gt; SOUS-SEGMENT'!$C$8:$C$1000=$C26)*'ANALYSE - ERP =&gt; SOUS-SEGMENT'!$Q$8:$Q$1000*'ANALYSE - ERP =&gt; SOUS-SEGMENT'!$AF$8:$AF$1000),""))</f>
        <v>8.7279999999999996E-2</v>
      </c>
      <c r="FP26" s="729">
        <f>IF($C26="","",IFERROR(SUMPRODUCT(('ANALYSE - ERP =&gt; SOUS-SEGMENT'!$C$8:$C$1000=$C26)*'ANALYSE - ERP =&gt; SOUS-SEGMENT'!$Q$8:$Q$1000*'ANALYSE - ERP =&gt; SOUS-SEGMENT'!$AF$8:$AF$1000*'ANALYSE - ERP =&gt; SOUS-SEGMENT'!$FP$8:$FP$1000)/SUMPRODUCT(('ANALYSE - ERP =&gt; SOUS-SEGMENT'!$C$8:$C$1000=$C26)*'ANALYSE - ERP =&gt; SOUS-SEGMENT'!$Q$8:$Q$1000*'ANALYSE - ERP =&gt; SOUS-SEGMENT'!$AF$8:$AF$1000),""))</f>
        <v>0.82916000000000001</v>
      </c>
      <c r="FQ26" s="954" t="s">
        <v>4071</v>
      </c>
      <c r="FR26" s="657"/>
      <c r="FS26" s="865">
        <f>IF($C26="","",IFERROR(SUMPRODUCT(('ANALYSE - ERP =&gt; SOUS-SEGMENT'!$C$8:$C$1000=$C26)*'ANALYSE - ERP =&gt; SOUS-SEGMENT'!$Q$8:$Q$1000*'ANALYSE - ERP =&gt; SOUS-SEGMENT'!$EX$8:$EX$1000*'ANALYSE - ERP =&gt; SOUS-SEGMENT'!$FS$8:$FS$1000)/SUMPRODUCT(('ANALYSE - ERP =&gt; SOUS-SEGMENT'!$C$8:$C$1000=$C26)*'ANALYSE - ERP =&gt; SOUS-SEGMENT'!$Q$8:$Q$1000*'ANALYSE - ERP =&gt; SOUS-SEGMENT'!$EX$8:$EX$1000),""))</f>
        <v>3.2200000000000006</v>
      </c>
      <c r="FT26" s="312">
        <f>IF($C26="","",RANK($FS26,$FS$8:$FS$43,0)+COUNTIF($FS$8:$FS26,$FS26)-1)</f>
        <v>23</v>
      </c>
      <c r="FU26" s="865">
        <f>IF($C26="","",IFERROR(SUMPRODUCT(('ANALYSE - ERP =&gt; SOUS-SEGMENT'!$C$8:$C$1000=$C26)*'ANALYSE - ERP =&gt; SOUS-SEGMENT'!$Q$8:$Q$1000*'ANALYSE - ERP =&gt; SOUS-SEGMENT'!$EY$8:$EY$1000*'ANALYSE - ERP =&gt; SOUS-SEGMENT'!$FU$8:$FU$1000)/SUMPRODUCT(('ANALYSE - ERP =&gt; SOUS-SEGMENT'!$C$8:$C$1000=$C26)*'ANALYSE - ERP =&gt; SOUS-SEGMENT'!$Q$8:$Q$1000*'ANALYSE - ERP =&gt; SOUS-SEGMENT'!$EY$8:$EY$1000),""))</f>
        <v>4.22</v>
      </c>
      <c r="FV26" s="312">
        <f>IF($C26="","",RANK($FU26,$FU$8:$FU$43,0)+COUNTIF($FU$8:$FU26,$FU26)-1)</f>
        <v>9</v>
      </c>
      <c r="FW26" s="865">
        <f>IF($C26="","",IFERROR(SUMPRODUCT(('ANALYSE - ERP =&gt; SOUS-SEGMENT'!$C$8:$C$1000=$C26)*'ANALYSE - ERP =&gt; SOUS-SEGMENT'!$Q$8:$Q$1000*'ANALYSE - ERP =&gt; SOUS-SEGMENT'!$EZ$8:$EZ$1000*'ANALYSE - ERP =&gt; SOUS-SEGMENT'!$FW$8:$FW$1000)/SUMPRODUCT(('ANALYSE - ERP =&gt; SOUS-SEGMENT'!$C$8:$C$1000=$C26)*'ANALYSE - ERP =&gt; SOUS-SEGMENT'!$Q$8:$Q$1000*'ANALYSE - ERP =&gt; SOUS-SEGMENT'!$EZ$8:$EZ$1000),""))</f>
        <v>2</v>
      </c>
      <c r="FX26" s="312">
        <f>IF($C26="","",RANK($FW26,$FW$8:$FW$43,0)+COUNTIF($FW$8:$FW26,$FW26)-1)</f>
        <v>27</v>
      </c>
      <c r="FY26" s="657"/>
      <c r="FZ26" s="646" t="s">
        <v>4072</v>
      </c>
      <c r="GA26" s="646" t="s">
        <v>4073</v>
      </c>
      <c r="GB26" s="646" t="s">
        <v>4074</v>
      </c>
      <c r="GC26" s="646" t="s">
        <v>4075</v>
      </c>
      <c r="GD26" s="646" t="s">
        <v>4076</v>
      </c>
      <c r="GE26" s="646" t="s">
        <v>4077</v>
      </c>
      <c r="GF26" s="276" t="s">
        <v>5833</v>
      </c>
      <c r="GG26" s="657"/>
      <c r="GH26" s="311">
        <f t="shared" si="40"/>
        <v>9500.4141292307704</v>
      </c>
      <c r="GI26" s="311">
        <f>IF($C26="","",SUMPRODUCT(('ANALYSE - ERP =&gt; SOUS-SEGMENT'!$C$8:$C$1000=$C26)*'ANALYSE - ERP =&gt; SOUS-SEGMENT'!$Q$8:$Q$1000*'ANALYSE - ERP =&gt; SOUS-SEGMENT'!$GI$8:$GI$1000))</f>
        <v>4950.4678892307702</v>
      </c>
      <c r="GJ26" s="311">
        <f>IF($C26="","",SUMPRODUCT(('ANALYSE - ERP =&gt; SOUS-SEGMENT'!$C$8:$C$1000=$C26)*'ANALYSE - ERP =&gt; SOUS-SEGMENT'!$Q$8:$Q$1000*'ANALYSE - ERP =&gt; SOUS-SEGMENT'!$GJ$8:$GJ$1000))</f>
        <v>4549.9462400000002</v>
      </c>
      <c r="GK26" s="311">
        <f t="shared" si="41"/>
        <v>9756.5636430769227</v>
      </c>
      <c r="GL26" s="311">
        <f>IF($C26="","",SUMPRODUCT(('ANALYSE - ERP =&gt; SOUS-SEGMENT'!$C$8:$C$1000=$C26)*'ANALYSE - ERP =&gt; SOUS-SEGMENT'!$Q$8:$Q$1000*'ANALYSE - ERP =&gt; SOUS-SEGMENT'!$GL$8:$GL$1000))</f>
        <v>4714.7313230769232</v>
      </c>
      <c r="GM26" s="311">
        <f>IF($C26="","",SUMPRODUCT(('ANALYSE - ERP =&gt; SOUS-SEGMENT'!$C$8:$C$1000=$C26)*'ANALYSE - ERP =&gt; SOUS-SEGMENT'!$Q$8:$Q$1000*'ANALYSE - ERP =&gt; SOUS-SEGMENT'!$GM$8:$GM$1000))</f>
        <v>5041.8323199999995</v>
      </c>
      <c r="GN26" s="311">
        <f t="shared" si="42"/>
        <v>4529.6960704000003</v>
      </c>
      <c r="GO26" s="311">
        <f>IF($C26="","",SUMPRODUCT(('ANALYSE - ERP =&gt; SOUS-SEGMENT'!$C$8:$C$1000=$C26)*'ANALYSE - ERP =&gt; SOUS-SEGMENT'!$Q$8:$Q$1000*'ANALYSE - ERP =&gt; SOUS-SEGMENT'!$GO$8:$GO$1000))</f>
        <v>2316.2087104000002</v>
      </c>
      <c r="GP26" s="311">
        <f>IF($C26="","",SUMPRODUCT(('ANALYSE - ERP =&gt; SOUS-SEGMENT'!$C$8:$C$1000=$C26)*'ANALYSE - ERP =&gt; SOUS-SEGMENT'!$Q$8:$Q$1000*'ANALYSE - ERP =&gt; SOUS-SEGMENT'!$GP$8:$GP$1000))</f>
        <v>2213.4873600000001</v>
      </c>
      <c r="GQ26" s="311">
        <f t="shared" si="43"/>
        <v>1165.164</v>
      </c>
      <c r="GR26" s="311">
        <f>IF($C26="","",SUMPRODUCT(('ANALYSE - ERP =&gt; SOUS-SEGMENT'!$C$8:$C$1000=$C26)*'ANALYSE - ERP =&gt; SOUS-SEGMENT'!$Q$8:$Q$1000*'ANALYSE - ERP =&gt; SOUS-SEGMENT'!$GR$8:$GR$1000))</f>
        <v>673.27791999999999</v>
      </c>
      <c r="GS26" s="311">
        <f>IF($C26="","",SUMPRODUCT(('ANALYSE - ERP =&gt; SOUS-SEGMENT'!$C$8:$C$1000=$C26)*'ANALYSE - ERP =&gt; SOUS-SEGMENT'!$Q$8:$Q$1000*'ANALYSE - ERP =&gt; SOUS-SEGMENT'!$GS$8:$GS$1000))</f>
        <v>491.88607999999999</v>
      </c>
      <c r="GT26" s="311">
        <f t="shared" si="44"/>
        <v>637.84254799999997</v>
      </c>
      <c r="GU26" s="311">
        <f>IF($C26="","",SUMPRODUCT(('ANALYSE - ERP =&gt; SOUS-SEGMENT'!$C$8:$C$1000=$C26)*'ANALYSE - ERP =&gt; SOUS-SEGMENT'!$Q$8:$Q$1000*'ANALYSE - ERP =&gt; SOUS-SEGMENT'!$GU$8:$GU$1000))</f>
        <v>353.47090799999995</v>
      </c>
      <c r="GV26" s="311">
        <f>IF($C26="","",SUMPRODUCT(('ANALYSE - ERP =&gt; SOUS-SEGMENT'!$C$8:$C$1000=$C26)*'ANALYSE - ERP =&gt; SOUS-SEGMENT'!$Q$8:$Q$1000*'ANALYSE - ERP =&gt; SOUS-SEGMENT'!$GV$8:$GV$1000))</f>
        <v>284.37164000000001</v>
      </c>
      <c r="GW26" s="311">
        <f t="shared" si="45"/>
        <v>704.66896363636351</v>
      </c>
      <c r="GX26" s="311">
        <f>IF($C26="","",SUMPRODUCT(('ANALYSE - ERP =&gt; SOUS-SEGMENT'!$C$8:$C$1000=$C26)*'ANALYSE - ERP =&gt; SOUS-SEGMENT'!$Q$8:$Q$1000*'ANALYSE - ERP =&gt; SOUS-SEGMENT'!$GX$8:$GX$1000))</f>
        <v>389.5544436363636</v>
      </c>
      <c r="GY26" s="311">
        <f>IF($C26="","",SUMPRODUCT(('ANALYSE - ERP =&gt; SOUS-SEGMENT'!$C$8:$C$1000=$C26)*'ANALYSE - ERP =&gt; SOUS-SEGMENT'!$Q$8:$Q$1000*'ANALYSE - ERP =&gt; SOUS-SEGMENT'!$GY$8:$GY$1000))</f>
        <v>315.11451999999997</v>
      </c>
      <c r="GZ26" s="311">
        <f t="shared" si="46"/>
        <v>400.75314399999996</v>
      </c>
      <c r="HA26" s="311">
        <f>IF($C26="","",SUMPRODUCT(('ANALYSE - ERP =&gt; SOUS-SEGMENT'!$C$8:$C$1000=$C26)*'ANALYSE - ERP =&gt; SOUS-SEGMENT'!$Q$8:$Q$1000*'ANALYSE - ERP =&gt; SOUS-SEGMENT'!$HA$8:$HA$1000))</f>
        <v>231.66730399999997</v>
      </c>
      <c r="HB26" s="311">
        <f>IF($C26="","",SUMPRODUCT(('ANALYSE - ERP =&gt; SOUS-SEGMENT'!$C$8:$C$1000=$C26)*'ANALYSE - ERP =&gt; SOUS-SEGMENT'!$Q$8:$Q$1000*'ANALYSE - ERP =&gt; SOUS-SEGMENT'!$HB$8:$HB$1000))</f>
        <v>169.08583999999999</v>
      </c>
      <c r="HC26" s="311">
        <f t="shared" si="47"/>
        <v>1022.9445498181819</v>
      </c>
      <c r="HD26" s="311">
        <f>IF($C26="","",SUMPRODUCT(('ANALYSE - ERP =&gt; SOUS-SEGMENT'!$C$8:$C$1000=$C26)*'ANALYSE - ERP =&gt; SOUS-SEGMENT'!$Q$8:$Q$1000*'ANALYSE - ERP =&gt; SOUS-SEGMENT'!$HD$8:$HD$1000))</f>
        <v>623.28710981818188</v>
      </c>
      <c r="HE26" s="311">
        <f>IF($C26="","",SUMPRODUCT(('ANALYSE - ERP =&gt; SOUS-SEGMENT'!$C$8:$C$1000=$C26)*'ANALYSE - ERP =&gt; SOUS-SEGMENT'!$Q$8:$Q$1000*'ANALYSE - ERP =&gt; SOUS-SEGMENT'!$HE$8:$HE$1000))</f>
        <v>399.65744000000001</v>
      </c>
      <c r="HF26" s="311">
        <f t="shared" si="48"/>
        <v>3009.2217292307696</v>
      </c>
      <c r="HG26" s="311">
        <f>IF($C26="","",SUMPRODUCT(('ANALYSE - ERP =&gt; SOUS-SEGMENT'!$C$8:$C$1000=$C26)*'ANALYSE - ERP =&gt; SOUS-SEGMENT'!$Q$8:$Q$1000*'ANALYSE - ERP =&gt; SOUS-SEGMENT'!$HG$8:$HG$1000))</f>
        <v>1502.8206092307694</v>
      </c>
      <c r="HH26" s="311">
        <f>IF($C26="","",SUMPRODUCT(('ANALYSE - ERP =&gt; SOUS-SEGMENT'!$C$8:$C$1000=$C26)*'ANALYSE - ERP =&gt; SOUS-SEGMENT'!$Q$8:$Q$1000*'ANALYSE - ERP =&gt; SOUS-SEGMENT'!$HH$8:$HH$1000))</f>
        <v>1506.40112</v>
      </c>
      <c r="HI26" s="311">
        <f t="shared" si="49"/>
        <v>1901.1677084444445</v>
      </c>
      <c r="HJ26" s="311">
        <f>IF($C26="","",SUMPRODUCT(('ANALYSE - ERP =&gt; SOUS-SEGMENT'!$C$8:$C$1000=$C26)*'ANALYSE - ERP =&gt; SOUS-SEGMENT'!$Q$8:$Q$1000*'ANALYSE - ERP =&gt; SOUS-SEGMENT'!$HJ$8:$HJ$1000))</f>
        <v>1132.5957084444444</v>
      </c>
      <c r="HK26" s="311">
        <f>IF($C26="","",SUMPRODUCT(('ANALYSE - ERP =&gt; SOUS-SEGMENT'!$C$8:$C$1000=$C26)*'ANALYSE - ERP =&gt; SOUS-SEGMENT'!$Q$8:$Q$1000*'ANALYSE - ERP =&gt; SOUS-SEGMENT'!$HK$8:$HK$1000))</f>
        <v>768.572</v>
      </c>
      <c r="HL26" s="311">
        <f t="shared" si="50"/>
        <v>828.167328</v>
      </c>
      <c r="HM26" s="311">
        <f>IF($C26="","",SUMPRODUCT(('ANALYSE - ERP =&gt; SOUS-SEGMENT'!$C$8:$C$1000=$C26)*'ANALYSE - ERP =&gt; SOUS-SEGMENT'!$Q$8:$Q$1000*'ANALYSE - ERP =&gt; SOUS-SEGMENT'!$HM$8:$HM$1000))</f>
        <v>428.50988800000005</v>
      </c>
      <c r="HN26" s="311">
        <f>IF($C26="","",SUMPRODUCT(('ANALYSE - ERP =&gt; SOUS-SEGMENT'!$C$8:$C$1000=$C26)*'ANALYSE - ERP =&gt; SOUS-SEGMENT'!$Q$8:$Q$1000*'ANALYSE - ERP =&gt; SOUS-SEGMENT'!$HN$8:$HN$1000))</f>
        <v>399.65744000000001</v>
      </c>
      <c r="HO26" s="311">
        <f t="shared" si="51"/>
        <v>10745.635824000001</v>
      </c>
      <c r="HP26" s="311">
        <f>IF($C26="","",SUMPRODUCT(('ANALYSE - ERP =&gt; SOUS-SEGMENT'!$C$8:$C$1000=$C26)*'ANALYSE - ERP =&gt; SOUS-SEGMENT'!$Q$8:$Q$1000*'ANALYSE - ERP =&gt; SOUS-SEGMENT'!$HP$8:$HP$1000))</f>
        <v>5857.5179040000003</v>
      </c>
      <c r="HQ26" s="311">
        <f>IF($C26="","",SUMPRODUCT(('ANALYSE - ERP =&gt; SOUS-SEGMENT'!$C$8:$C$1000=$C26)*'ANALYSE - ERP =&gt; SOUS-SEGMENT'!$Q$8:$Q$1000*'ANALYSE - ERP =&gt; SOUS-SEGMENT'!$HQ$8:$HQ$1000))</f>
        <v>4888.1179199999997</v>
      </c>
      <c r="HR26" s="311">
        <f t="shared" si="52"/>
        <v>5514.9516369230769</v>
      </c>
      <c r="HS26" s="311">
        <f>IF($C26="","",SUMPRODUCT(('ANALYSE - ERP =&gt; SOUS-SEGMENT'!$C$8:$C$1000=$C26)*'ANALYSE - ERP =&gt; SOUS-SEGMENT'!$Q$8:$Q$1000*'ANALYSE - ERP =&gt; SOUS-SEGMENT'!$HS$8:$HS$1000))</f>
        <v>2563.6351569230769</v>
      </c>
      <c r="HT26" s="311">
        <f>IF($C26="","",SUMPRODUCT(('ANALYSE - ERP =&gt; SOUS-SEGMENT'!$C$8:$C$1000=$C26)*'ANALYSE - ERP =&gt; SOUS-SEGMENT'!$Q$8:$Q$1000*'ANALYSE - ERP =&gt; SOUS-SEGMENT'!$HT$8:$HT$1000))</f>
        <v>2951.31648</v>
      </c>
      <c r="HU26" s="311">
        <f t="shared" si="53"/>
        <v>3120.5861328000001</v>
      </c>
      <c r="HV26" s="311">
        <f>IF($C26="","",SUMPRODUCT(('ANALYSE - ERP =&gt; SOUS-SEGMENT'!$C$8:$C$1000=$C26)*'ANALYSE - ERP =&gt; SOUS-SEGMENT'!$Q$8:$Q$1000*'ANALYSE - ERP =&gt; SOUS-SEGMENT'!$HV$8:$HV$1000))</f>
        <v>1737.1565327999999</v>
      </c>
      <c r="HW26" s="311">
        <f>IF($C26="","",SUMPRODUCT(('ANALYSE - ERP =&gt; SOUS-SEGMENT'!$C$8:$C$1000=$C26)*'ANALYSE - ERP =&gt; SOUS-SEGMENT'!$Q$8:$Q$1000*'ANALYSE - ERP =&gt; SOUS-SEGMENT'!$HW$8:$HW$1000))</f>
        <v>1383.4295999999999</v>
      </c>
      <c r="HY26" s="313">
        <f t="shared" si="54"/>
        <v>116800.00000000001</v>
      </c>
      <c r="HZ26" s="313">
        <f>IF($C26="","",SUMPRODUCT(('ANALYSE - ERP =&gt; SOUS-SEGMENT'!$C$8:$C$1000=$C26)*'ANALYSE - ERP =&gt; SOUS-SEGMENT'!$Q$8:$Q$1000*'ANALYSE - ERP =&gt; SOUS-SEGMENT'!$HZ$8:$HZ$1000))</f>
        <v>0</v>
      </c>
      <c r="IA26" s="313">
        <f>IF($C26="","",SUMPRODUCT(('ANALYSE - ERP =&gt; SOUS-SEGMENT'!$C$8:$C$1000=$C26)*'ANALYSE - ERP =&gt; SOUS-SEGMENT'!$Q$8:$Q$1000*'ANALYSE - ERP =&gt; SOUS-SEGMENT'!$IA$8:$IA$1000))</f>
        <v>31381.239999999998</v>
      </c>
      <c r="IB26" s="313">
        <f>IF($C26="","",SUMPRODUCT(('ANALYSE - ERP =&gt; SOUS-SEGMENT'!$C$8:$C$1000=$C26)*'ANALYSE - ERP =&gt; SOUS-SEGMENT'!$Q$8:$Q$1000*'ANALYSE - ERP =&gt; SOUS-SEGMENT'!$IB$8:$IB$1000))</f>
        <v>61411.98</v>
      </c>
      <c r="IC26" s="313">
        <f>IF($C26="","",SUMPRODUCT(('ANALYSE - ERP =&gt; SOUS-SEGMENT'!$C$8:$C$1000=$C26)*'ANALYSE - ERP =&gt; SOUS-SEGMENT'!$Q$8:$Q$1000*'ANALYSE - ERP =&gt; SOUS-SEGMENT'!$IC$8:$IC$1000))</f>
        <v>22800.82</v>
      </c>
      <c r="ID26" s="313">
        <f>IF($C26="","",SUMPRODUCT(('ANALYSE - ERP =&gt; SOUS-SEGMENT'!$C$8:$C$1000=$C26)*'ANALYSE - ERP =&gt; SOUS-SEGMENT'!$Q$8:$Q$1000*'ANALYSE - ERP =&gt; SOUS-SEGMENT'!$ID$8:$ID$1000))</f>
        <v>1205.96</v>
      </c>
      <c r="IE26" s="313">
        <f t="shared" si="55"/>
        <v>26500.208751924165</v>
      </c>
      <c r="IF26" s="313">
        <f>IF($C26="","",SUMPRODUCT(('ANALYSE - ERP =&gt; SOUS-SEGMENT'!$C$8:$C$1000=$C26)*'ANALYSE - ERP =&gt; SOUS-SEGMENT'!$Q$8:$Q$1000*'ANALYSE - ERP =&gt; SOUS-SEGMENT'!$IF$8:$IF$1000))</f>
        <v>0</v>
      </c>
      <c r="IG26" s="313">
        <f>IF($C26="","",SUMPRODUCT(('ANALYSE - ERP =&gt; SOUS-SEGMENT'!$C$8:$C$1000=$C26)*'ANALYSE - ERP =&gt; SOUS-SEGMENT'!$Q$8:$Q$1000*'ANALYSE - ERP =&gt; SOUS-SEGMENT'!$IG$8:$IG$1000))</f>
        <v>3784.0960018718988</v>
      </c>
      <c r="IH26" s="313">
        <f>IF($C26="","",SUMPRODUCT(('ANALYSE - ERP =&gt; SOUS-SEGMENT'!$C$8:$C$1000=$C26)*'ANALYSE - ERP =&gt; SOUS-SEGMENT'!$Q$8:$Q$1000*'ANALYSE - ERP =&gt; SOUS-SEGMENT'!$IH$8:$IH$1000))</f>
        <v>13837.896748230774</v>
      </c>
      <c r="II26" s="313">
        <f>IF($C26="","",SUMPRODUCT(('ANALYSE - ERP =&gt; SOUS-SEGMENT'!$C$8:$C$1000=$C26)*'ANALYSE - ERP =&gt; SOUS-SEGMENT'!$Q$8:$Q$1000*'ANALYSE - ERP =&gt; SOUS-SEGMENT'!$II$8:$II$1000))</f>
        <v>8020.1552295868214</v>
      </c>
      <c r="IJ26" s="313">
        <f>IF($C26="","",SUMPRODUCT(('ANALYSE - ERP =&gt; SOUS-SEGMENT'!$C$8:$C$1000=$C26)*'ANALYSE - ERP =&gt; SOUS-SEGMENT'!$Q$8:$Q$1000*'ANALYSE - ERP =&gt; SOUS-SEGMENT'!$IJ$8:$IJ$1000))</f>
        <v>858.06077223467219</v>
      </c>
      <c r="IK26" s="866">
        <f>IF($C26="","",IFERROR(SUMPRODUCT(('ANALYSE - ERP =&gt; SOUS-SEGMENT'!$C$8:$C$1000=$C26)*'ANALYSE - ERP =&gt; SOUS-SEGMENT'!$Q$8:$Q$1000*'ANALYSE - ERP =&gt; SOUS-SEGMENT'!$IE$8:$IE$1000*'ANALYSE - ERP =&gt; SOUS-SEGMENT'!$IK$8:$IK$1000)/SUMPRODUCT(('ANALYSE - ERP =&gt; SOUS-SEGMENT'!$C$8:$C$1000=$C26)*'ANALYSE - ERP =&gt; SOUS-SEGMENT'!$Q$8:$Q$1000*'ANALYSE - ERP =&gt; SOUS-SEGMENT'!$IE$8:$IE$1000),""))</f>
        <v>4</v>
      </c>
      <c r="IL26" s="920" t="s">
        <v>2589</v>
      </c>
      <c r="IM26" s="964" t="s">
        <v>4078</v>
      </c>
      <c r="IN26" s="657"/>
      <c r="IO26" s="730">
        <f>IF($C26="","",IFERROR(SUMPRODUCT(('ANALYSE - ERP =&gt; SOUS-SEGMENT'!$C$8:$C$1000=$C26)*'ANALYSE - ERP =&gt; SOUS-SEGMENT'!$Q$8:$Q$1000*'ANALYSE - ERP =&gt; SOUS-SEGMENT'!$BE$8:$BE$1000*'ANALYSE - ERP =&gt; SOUS-SEGMENT'!$IO$8:$IO$1000)/SUMPRODUCT(('ANALYSE - ERP =&gt; SOUS-SEGMENT'!$C$8:$C$1000=$C26)*'ANALYSE - ERP =&gt; SOUS-SEGMENT'!$Q$8:$Q$1000*'ANALYSE - ERP =&gt; SOUS-SEGMENT'!$BE$8:$BE$1000),""))</f>
        <v>0</v>
      </c>
      <c r="IP26" s="730">
        <f>IF($C26="","",IFERROR(SUMPRODUCT(('ANALYSE - ERP =&gt; SOUS-SEGMENT'!$C$8:$C$1000=$C26)*'ANALYSE - ERP =&gt; SOUS-SEGMENT'!$Q$8:$Q$1000*'ANALYSE - ERP =&gt; SOUS-SEGMENT'!$BE$8:$BE$1000*'ANALYSE - ERP =&gt; SOUS-SEGMENT'!$IP$8:$IP$1000)/SUMPRODUCT(('ANALYSE - ERP =&gt; SOUS-SEGMENT'!$C$8:$C$1000=$C26)*'ANALYSE - ERP =&gt; SOUS-SEGMENT'!$Q$8:$Q$1000*'ANALYSE - ERP =&gt; SOUS-SEGMENT'!$BE$8:$BE$1000),""))</f>
        <v>0.23689999999999997</v>
      </c>
      <c r="IQ26" s="730">
        <f>IF($C26="","",IFERROR(SUMPRODUCT(('ANALYSE - ERP =&gt; SOUS-SEGMENT'!$C$8:$C$1000=$C26)*'ANALYSE - ERP =&gt; SOUS-SEGMENT'!$Q$8:$Q$1000*'ANALYSE - ERP =&gt; SOUS-SEGMENT'!$BE$8:$BE$1000*'ANALYSE - ERP =&gt; SOUS-SEGMENT'!$IQ$8:$IQ$1000)/SUMPRODUCT(('ANALYSE - ERP =&gt; SOUS-SEGMENT'!$C$8:$C$1000=$C26)*'ANALYSE - ERP =&gt; SOUS-SEGMENT'!$Q$8:$Q$1000*'ANALYSE - ERP =&gt; SOUS-SEGMENT'!$BE$8:$BE$1000),""))</f>
        <v>0.53590000000000004</v>
      </c>
      <c r="IR26" s="730">
        <f>IF($C26="","",IFERROR(SUMPRODUCT(('ANALYSE - ERP =&gt; SOUS-SEGMENT'!$C$8:$C$1000=$C26)*'ANALYSE - ERP =&gt; SOUS-SEGMENT'!$Q$8:$Q$1000*'ANALYSE - ERP =&gt; SOUS-SEGMENT'!$BE$8:$BE$1000*'ANALYSE - ERP =&gt; SOUS-SEGMENT'!$IR$8:$IR$1000)/SUMPRODUCT(('ANALYSE - ERP =&gt; SOUS-SEGMENT'!$C$8:$C$1000=$C26)*'ANALYSE - ERP =&gt; SOUS-SEGMENT'!$Q$8:$Q$1000*'ANALYSE - ERP =&gt; SOUS-SEGMENT'!$BE$8:$BE$1000),""))</f>
        <v>0.2142</v>
      </c>
      <c r="IS26" s="730">
        <f>IF($C26="","",IFERROR(SUMPRODUCT(('ANALYSE - ERP =&gt; SOUS-SEGMENT'!$C$8:$C$1000=$C26)*'ANALYSE - ERP =&gt; SOUS-SEGMENT'!$Q$8:$Q$1000*'ANALYSE - ERP =&gt; SOUS-SEGMENT'!$BE$8:$BE$1000*'ANALYSE - ERP =&gt; SOUS-SEGMENT'!$IS$8:$IS$1000)/SUMPRODUCT(('ANALYSE - ERP =&gt; SOUS-SEGMENT'!$C$8:$C$1000=$C26)*'ANALYSE - ERP =&gt; SOUS-SEGMENT'!$Q$8:$Q$1000*'ANALYSE - ERP =&gt; SOUS-SEGMENT'!$BE$8:$BE$1000),""))</f>
        <v>1.2999999999999999E-2</v>
      </c>
      <c r="IT26" s="730">
        <f>IF($C26="","",IFERROR(SUMPRODUCT(('ANALYSE - ERP =&gt; SOUS-SEGMENT'!$C$8:$C$1000=$C26)*'ANALYSE - ERP =&gt; SOUS-SEGMENT'!$Q$8:$Q$1000*'ANALYSE - ERP =&gt; SOUS-SEGMENT'!$FB$8:$FB$1000*'ANALYSE - ERP =&gt; SOUS-SEGMENT'!$IT$8:$IT$1000)/SUMPRODUCT(('ANALYSE - ERP =&gt; SOUS-SEGMENT'!$C$8:$C$1000=$C26)*'ANALYSE - ERP =&gt; SOUS-SEGMENT'!$Q$8:$Q$1000*'ANALYSE - ERP =&gt; SOUS-SEGMENT'!$FB$8:$FB$1000),""))</f>
        <v>0</v>
      </c>
      <c r="IU26" s="730">
        <f>IF($C26="","",IFERROR(SUMPRODUCT(('ANALYSE - ERP =&gt; SOUS-SEGMENT'!$C$8:$C$1000=$C26)*'ANALYSE - ERP =&gt; SOUS-SEGMENT'!$Q$8:$Q$1000*'ANALYSE - ERP =&gt; SOUS-SEGMENT'!$FB$8:$FB$1000*'ANALYSE - ERP =&gt; SOUS-SEGMENT'!$IU$8:$IU$1000)/SUMPRODUCT(('ANALYSE - ERP =&gt; SOUS-SEGMENT'!$C$8:$C$1000=$C26)*'ANALYSE - ERP =&gt; SOUS-SEGMENT'!$Q$8:$Q$1000*'ANALYSE - ERP =&gt; SOUS-SEGMENT'!$FB$8:$FB$1000),""))</f>
        <v>0.11550000000000001</v>
      </c>
      <c r="IV26" s="730">
        <f>IF($C26="","",IFERROR(SUMPRODUCT(('ANALYSE - ERP =&gt; SOUS-SEGMENT'!$C$8:$C$1000=$C26)*'ANALYSE - ERP =&gt; SOUS-SEGMENT'!$Q$8:$Q$1000*'ANALYSE - ERP =&gt; SOUS-SEGMENT'!$FB$8:$FB$1000*'ANALYSE - ERP =&gt; SOUS-SEGMENT'!$IV$8:$IV$1000)/SUMPRODUCT(('ANALYSE - ERP =&gt; SOUS-SEGMENT'!$C$8:$C$1000=$C26)*'ANALYSE - ERP =&gt; SOUS-SEGMENT'!$Q$8:$Q$1000*'ANALYSE - ERP =&gt; SOUS-SEGMENT'!$FB$8:$FB$1000),""))</f>
        <v>0.51119999999999999</v>
      </c>
      <c r="IW26" s="730">
        <f>IF($C26="","",IFERROR(SUMPRODUCT(('ANALYSE - ERP =&gt; SOUS-SEGMENT'!$C$8:$C$1000=$C26)*'ANALYSE - ERP =&gt; SOUS-SEGMENT'!$Q$8:$Q$1000*'ANALYSE - ERP =&gt; SOUS-SEGMENT'!$FB$8:$FB$1000*'ANALYSE - ERP =&gt; SOUS-SEGMENT'!$IW$8:$IW$1000)/SUMPRODUCT(('ANALYSE - ERP =&gt; SOUS-SEGMENT'!$C$8:$C$1000=$C26)*'ANALYSE - ERP =&gt; SOUS-SEGMENT'!$Q$8:$Q$1000*'ANALYSE - ERP =&gt; SOUS-SEGMENT'!$FB$8:$FB$1000),""))</f>
        <v>0.33310000000000001</v>
      </c>
      <c r="IX26" s="730">
        <f>IF($C26="","",IFERROR(SUMPRODUCT(('ANALYSE - ERP =&gt; SOUS-SEGMENT'!$C$8:$C$1000=$C26)*'ANALYSE - ERP =&gt; SOUS-SEGMENT'!$Q$8:$Q$1000*'ANALYSE - ERP =&gt; SOUS-SEGMENT'!$FB$8:$FB$1000*'ANALYSE - ERP =&gt; SOUS-SEGMENT'!$IX$8:$IX$1000)/SUMPRODUCT(('ANALYSE - ERP =&gt; SOUS-SEGMENT'!$C$8:$C$1000=$C26)*'ANALYSE - ERP =&gt; SOUS-SEGMENT'!$Q$8:$Q$1000*'ANALYSE - ERP =&gt; SOUS-SEGMENT'!$FB$8:$FB$1000),""))</f>
        <v>4.02E-2</v>
      </c>
      <c r="IY26" s="730">
        <f>IF($C26="","",IFERROR(SUMPRODUCT(('ANALYSE - ERP =&gt; SOUS-SEGMENT'!$C$8:$C$1000=$C26)*'ANALYSE - ERP =&gt; SOUS-SEGMENT'!$Q$8:$Q$1000*'ANALYSE - ERP =&gt; SOUS-SEGMENT'!$BF$8:$BF$1000*'ANALYSE - ERP =&gt; SOUS-SEGMENT'!$IY$8:$IY$1000)/SUMPRODUCT(('ANALYSE - ERP =&gt; SOUS-SEGMENT'!$C$8:$C$1000=$C26)*'ANALYSE - ERP =&gt; SOUS-SEGMENT'!$Q$8:$Q$1000*'ANALYSE - ERP =&gt; SOUS-SEGMENT'!$BF$8:$BF$1000),""))</f>
        <v>0</v>
      </c>
      <c r="IZ26" s="730">
        <f>IF($C26="","",IFERROR(SUMPRODUCT(('ANALYSE - ERP =&gt; SOUS-SEGMENT'!$C$8:$C$1000=$C26)*'ANALYSE - ERP =&gt; SOUS-SEGMENT'!$Q$8:$Q$1000*'ANALYSE - ERP =&gt; SOUS-SEGMENT'!$BF$8:$BF$1000*'ANALYSE - ERP =&gt; SOUS-SEGMENT'!$IZ$8:$IZ$1000)/SUMPRODUCT(('ANALYSE - ERP =&gt; SOUS-SEGMENT'!$C$8:$C$1000=$C26)*'ANALYSE - ERP =&gt; SOUS-SEGMENT'!$Q$8:$Q$1000*'ANALYSE - ERP =&gt; SOUS-SEGMENT'!$BF$8:$BF$1000),""))</f>
        <v>0</v>
      </c>
      <c r="JA26" s="730">
        <f>IF($C26="","",IFERROR(SUMPRODUCT(('ANALYSE - ERP =&gt; SOUS-SEGMENT'!$C$8:$C$1000=$C26)*'ANALYSE - ERP =&gt; SOUS-SEGMENT'!$Q$8:$Q$1000*'ANALYSE - ERP =&gt; SOUS-SEGMENT'!$BF$8:$BF$1000*'ANALYSE - ERP =&gt; SOUS-SEGMENT'!$JA$8:$JA$1000)/SUMPRODUCT(('ANALYSE - ERP =&gt; SOUS-SEGMENT'!$C$8:$C$1000=$C26)*'ANALYSE - ERP =&gt; SOUS-SEGMENT'!$Q$8:$Q$1000*'ANALYSE - ERP =&gt; SOUS-SEGMENT'!$BF$8:$BF$1000),""))</f>
        <v>0</v>
      </c>
      <c r="JB26" s="730">
        <f>IF($C26="","",IFERROR(SUMPRODUCT(('ANALYSE - ERP =&gt; SOUS-SEGMENT'!$C$8:$C$1000=$C26)*'ANALYSE - ERP =&gt; SOUS-SEGMENT'!$Q$8:$Q$1000*'ANALYSE - ERP =&gt; SOUS-SEGMENT'!$BF$8:$BF$1000*'ANALYSE - ERP =&gt; SOUS-SEGMENT'!$JB$8:$JB$1000)/SUMPRODUCT(('ANALYSE - ERP =&gt; SOUS-SEGMENT'!$C$8:$C$1000=$C26)*'ANALYSE - ERP =&gt; SOUS-SEGMENT'!$Q$8:$Q$1000*'ANALYSE - ERP =&gt; SOUS-SEGMENT'!$BF$8:$BF$1000),""))</f>
        <v>0</v>
      </c>
      <c r="JC26" s="730">
        <f>IF($C26="","",IFERROR(SUMPRODUCT(('ANALYSE - ERP =&gt; SOUS-SEGMENT'!$C$8:$C$1000=$C26)*'ANALYSE - ERP =&gt; SOUS-SEGMENT'!$Q$8:$Q$1000*'ANALYSE - ERP =&gt; SOUS-SEGMENT'!$BF$8:$BF$1000*'ANALYSE - ERP =&gt; SOUS-SEGMENT'!$JC$8:$JC$1000)/SUMPRODUCT(('ANALYSE - ERP =&gt; SOUS-SEGMENT'!$C$8:$C$1000=$C26)*'ANALYSE - ERP =&gt; SOUS-SEGMENT'!$Q$8:$Q$1000*'ANALYSE - ERP =&gt; SOUS-SEGMENT'!$BF$8:$BF$1000),""))</f>
        <v>0</v>
      </c>
      <c r="JD26" s="730">
        <f>IF($C26="","",IFERROR(SUMPRODUCT(('ANALYSE - ERP =&gt; SOUS-SEGMENT'!$C$8:$C$1000=$C26)*'ANALYSE - ERP =&gt; SOUS-SEGMENT'!$Q$8:$Q$1000*'ANALYSE - ERP =&gt; SOUS-SEGMENT'!$FE$8:$FE$1000*'ANALYSE - ERP =&gt; SOUS-SEGMENT'!$JD$8:$JD$1000)/SUMPRODUCT(('ANALYSE - ERP =&gt; SOUS-SEGMENT'!$C$8:$C$1000=$C26)*'ANALYSE - ERP =&gt; SOUS-SEGMENT'!$Q$8:$Q$1000*'ANALYSE - ERP =&gt; SOUS-SEGMENT'!$FE$8:$FE$1000),""))</f>
        <v>0</v>
      </c>
      <c r="JE26" s="730">
        <f>IF($C26="","",IFERROR(SUMPRODUCT(('ANALYSE - ERP =&gt; SOUS-SEGMENT'!$C$8:$C$1000=$C26)*'ANALYSE - ERP =&gt; SOUS-SEGMENT'!$Q$8:$Q$1000*'ANALYSE - ERP =&gt; SOUS-SEGMENT'!$FE$8:$FE$1000*'ANALYSE - ERP =&gt; SOUS-SEGMENT'!$JE$8:$JE$1000)/SUMPRODUCT(('ANALYSE - ERP =&gt; SOUS-SEGMENT'!$C$8:$C$1000=$C26)*'ANALYSE - ERP =&gt; SOUS-SEGMENT'!$Q$8:$Q$1000*'ANALYSE - ERP =&gt; SOUS-SEGMENT'!$FE$8:$FE$1000),""))</f>
        <v>0</v>
      </c>
      <c r="JF26" s="730">
        <f>IF($C26="","",IFERROR(SUMPRODUCT(('ANALYSE - ERP =&gt; SOUS-SEGMENT'!$C$8:$C$1000=$C26)*'ANALYSE - ERP =&gt; SOUS-SEGMENT'!$Q$8:$Q$1000*'ANALYSE - ERP =&gt; SOUS-SEGMENT'!$FE$8:$FE$1000*'ANALYSE - ERP =&gt; SOUS-SEGMENT'!$JF$8:$JF$1000)/SUMPRODUCT(('ANALYSE - ERP =&gt; SOUS-SEGMENT'!$C$8:$C$1000=$C26)*'ANALYSE - ERP =&gt; SOUS-SEGMENT'!$Q$8:$Q$1000*'ANALYSE - ERP =&gt; SOUS-SEGMENT'!$FE$8:$FE$1000),""))</f>
        <v>0</v>
      </c>
      <c r="JG26" s="730">
        <f>IF($C26="","",IFERROR(SUMPRODUCT(('ANALYSE - ERP =&gt; SOUS-SEGMENT'!$C$8:$C$1000=$C26)*'ANALYSE - ERP =&gt; SOUS-SEGMENT'!$Q$8:$Q$1000*'ANALYSE - ERP =&gt; SOUS-SEGMENT'!$FE$8:$FE$1000*'ANALYSE - ERP =&gt; SOUS-SEGMENT'!$JG$8:$JG$1000)/SUMPRODUCT(('ANALYSE - ERP =&gt; SOUS-SEGMENT'!$C$8:$C$1000=$C26)*'ANALYSE - ERP =&gt; SOUS-SEGMENT'!$Q$8:$Q$1000*'ANALYSE - ERP =&gt; SOUS-SEGMENT'!$FE$8:$FE$1000),""))</f>
        <v>0</v>
      </c>
      <c r="JH26" s="730">
        <f>IF($C26="","",IFERROR(SUMPRODUCT(('ANALYSE - ERP =&gt; SOUS-SEGMENT'!$C$8:$C$1000=$C26)*'ANALYSE - ERP =&gt; SOUS-SEGMENT'!$Q$8:$Q$1000*'ANALYSE - ERP =&gt; SOUS-SEGMENT'!$FE$8:$FE$1000*'ANALYSE - ERP =&gt; SOUS-SEGMENT'!$JH$8:$JH$1000)/SUMPRODUCT(('ANALYSE - ERP =&gt; SOUS-SEGMENT'!$C$8:$C$1000=$C26)*'ANALYSE - ERP =&gt; SOUS-SEGMENT'!$Q$8:$Q$1000*'ANALYSE - ERP =&gt; SOUS-SEGMENT'!$FE$8:$FE$1000),""))</f>
        <v>0</v>
      </c>
      <c r="JI26" s="730">
        <f>IF($C26="","",IFERROR(SUMPRODUCT(('ANALYSE - ERP =&gt; SOUS-SEGMENT'!$C$8:$C$1000=$C26)*'ANALYSE - ERP =&gt; SOUS-SEGMENT'!$Q$8:$Q$1000*'ANALYSE - ERP =&gt; SOUS-SEGMENT'!$BG$8:$BG$1000*'ANALYSE - ERP =&gt; SOUS-SEGMENT'!$JI$8:$JI$1000)/SUMPRODUCT(('ANALYSE - ERP =&gt; SOUS-SEGMENT'!$C$8:$C$1000=$C26)*'ANALYSE - ERP =&gt; SOUS-SEGMENT'!$Q$8:$Q$1000*'ANALYSE - ERP =&gt; SOUS-SEGMENT'!$BG$8:$BG$1000),""))</f>
        <v>0</v>
      </c>
      <c r="JJ26" s="730">
        <f>IF($C26="","",IFERROR(SUMPRODUCT(('ANALYSE - ERP =&gt; SOUS-SEGMENT'!$C$8:$C$1000=$C26)*'ANALYSE - ERP =&gt; SOUS-SEGMENT'!$Q$8:$Q$1000*'ANALYSE - ERP =&gt; SOUS-SEGMENT'!$BG$8:$BG$1000*'ANALYSE - ERP =&gt; SOUS-SEGMENT'!$JJ$8:$JJ$1000)/SUMPRODUCT(('ANALYSE - ERP =&gt; SOUS-SEGMENT'!$C$8:$C$1000=$C26)*'ANALYSE - ERP =&gt; SOUS-SEGMENT'!$Q$8:$Q$1000*'ANALYSE - ERP =&gt; SOUS-SEGMENT'!$BG$8:$BG$1000),""))</f>
        <v>0.35820000000000002</v>
      </c>
      <c r="JK26" s="730">
        <f>IF($C26="","",IFERROR(SUMPRODUCT(('ANALYSE - ERP =&gt; SOUS-SEGMENT'!$C$8:$C$1000=$C26)*'ANALYSE - ERP =&gt; SOUS-SEGMENT'!$Q$8:$Q$1000*'ANALYSE - ERP =&gt; SOUS-SEGMENT'!$BG$8:$BG$1000*'ANALYSE - ERP =&gt; SOUS-SEGMENT'!$JK$8:$JK$1000)/SUMPRODUCT(('ANALYSE - ERP =&gt; SOUS-SEGMENT'!$C$8:$C$1000=$C26)*'ANALYSE - ERP =&gt; SOUS-SEGMENT'!$Q$8:$Q$1000*'ANALYSE - ERP =&gt; SOUS-SEGMENT'!$BG$8:$BG$1000),""))</f>
        <v>0.49580000000000002</v>
      </c>
      <c r="JL26" s="730">
        <f>IF($C26="","",IFERROR(SUMPRODUCT(('ANALYSE - ERP =&gt; SOUS-SEGMENT'!$C$8:$C$1000=$C26)*'ANALYSE - ERP =&gt; SOUS-SEGMENT'!$Q$8:$Q$1000*'ANALYSE - ERP =&gt; SOUS-SEGMENT'!$BG$8:$BG$1000*'ANALYSE - ERP =&gt; SOUS-SEGMENT'!$JL$8:$JL$1000)/SUMPRODUCT(('ANALYSE - ERP =&gt; SOUS-SEGMENT'!$C$8:$C$1000=$C26)*'ANALYSE - ERP =&gt; SOUS-SEGMENT'!$Q$8:$Q$1000*'ANALYSE - ERP =&gt; SOUS-SEGMENT'!$BG$8:$BG$1000),""))</f>
        <v>0.14180000000000001</v>
      </c>
      <c r="JM26" s="730">
        <f>IF($C26="","",IFERROR(SUMPRODUCT(('ANALYSE - ERP =&gt; SOUS-SEGMENT'!$C$8:$C$1000=$C26)*'ANALYSE - ERP =&gt; SOUS-SEGMENT'!$Q$8:$Q$1000*'ANALYSE - ERP =&gt; SOUS-SEGMENT'!$BG$8:$BG$1000*'ANALYSE - ERP =&gt; SOUS-SEGMENT'!$JM$8:$JM$1000)/SUMPRODUCT(('ANALYSE - ERP =&gt; SOUS-SEGMENT'!$C$8:$C$1000=$C26)*'ANALYSE - ERP =&gt; SOUS-SEGMENT'!$Q$8:$Q$1000*'ANALYSE - ERP =&gt; SOUS-SEGMENT'!$BG$8:$BG$1000),""))</f>
        <v>4.1999999999999997E-3</v>
      </c>
      <c r="JN26" s="730">
        <f>IF($C26="","",IFERROR(SUMPRODUCT(('ANALYSE - ERP =&gt; SOUS-SEGMENT'!$C$8:$C$1000=$C26)*'ANALYSE - ERP =&gt; SOUS-SEGMENT'!$Q$8:$Q$1000*'ANALYSE - ERP =&gt; SOUS-SEGMENT'!$FH$8:$FH$1000*'ANALYSE - ERP =&gt; SOUS-SEGMENT'!$JN$8:$JN$1000)/SUMPRODUCT(('ANALYSE - ERP =&gt; SOUS-SEGMENT'!$C$8:$C$1000=$C26)*'ANALYSE - ERP =&gt; SOUS-SEGMENT'!$Q$8:$Q$1000*'ANALYSE - ERP =&gt; SOUS-SEGMENT'!$FH$8:$FH$1000),""))</f>
        <v>0</v>
      </c>
      <c r="JO26" s="730">
        <f>IF($C26="","",IFERROR(SUMPRODUCT(('ANALYSE - ERP =&gt; SOUS-SEGMENT'!$C$8:$C$1000=$C26)*'ANALYSE - ERP =&gt; SOUS-SEGMENT'!$Q$8:$Q$1000*'ANALYSE - ERP =&gt; SOUS-SEGMENT'!$FH$8:$FH$1000*'ANALYSE - ERP =&gt; SOUS-SEGMENT'!$JO$8:$JO$1000)/SUMPRODUCT(('ANALYSE - ERP =&gt; SOUS-SEGMENT'!$C$8:$C$1000=$C26)*'ANALYSE - ERP =&gt; SOUS-SEGMENT'!$Q$8:$Q$1000*'ANALYSE - ERP =&gt; SOUS-SEGMENT'!$FH$8:$FH$1000),""))</f>
        <v>0.218</v>
      </c>
      <c r="JP26" s="730">
        <f>IF($C26="","",IFERROR(SUMPRODUCT(('ANALYSE - ERP =&gt; SOUS-SEGMENT'!$C$8:$C$1000=$C26)*'ANALYSE - ERP =&gt; SOUS-SEGMENT'!$Q$8:$Q$1000*'ANALYSE - ERP =&gt; SOUS-SEGMENT'!$FH$8:$FH$1000*'ANALYSE - ERP =&gt; SOUS-SEGMENT'!$JP$8:$JP$1000)/SUMPRODUCT(('ANALYSE - ERP =&gt; SOUS-SEGMENT'!$C$8:$C$1000=$C26)*'ANALYSE - ERP =&gt; SOUS-SEGMENT'!$Q$8:$Q$1000*'ANALYSE - ERP =&gt; SOUS-SEGMENT'!$FH$8:$FH$1000),""))</f>
        <v>0.53859999999999997</v>
      </c>
      <c r="JQ26" s="730">
        <f>IF($C26="","",IFERROR(SUMPRODUCT(('ANALYSE - ERP =&gt; SOUS-SEGMENT'!$C$8:$C$1000=$C26)*'ANALYSE - ERP =&gt; SOUS-SEGMENT'!$Q$8:$Q$1000*'ANALYSE - ERP =&gt; SOUS-SEGMENT'!$FH$8:$FH$1000*'ANALYSE - ERP =&gt; SOUS-SEGMENT'!$JQ$8:$JQ$1000)/SUMPRODUCT(('ANALYSE - ERP =&gt; SOUS-SEGMENT'!$C$8:$C$1000=$C26)*'ANALYSE - ERP =&gt; SOUS-SEGMENT'!$Q$8:$Q$1000*'ANALYSE - ERP =&gt; SOUS-SEGMENT'!$FH$8:$FH$1000),""))</f>
        <v>0.22800000000000001</v>
      </c>
      <c r="JR26" s="730">
        <f>IF($C26="","",IFERROR(SUMPRODUCT(('ANALYSE - ERP =&gt; SOUS-SEGMENT'!$C$8:$C$1000=$C26)*'ANALYSE - ERP =&gt; SOUS-SEGMENT'!$Q$8:$Q$1000*'ANALYSE - ERP =&gt; SOUS-SEGMENT'!$FH$8:$FH$1000*'ANALYSE - ERP =&gt; SOUS-SEGMENT'!$JR$8:$JR$1000)/SUMPRODUCT(('ANALYSE - ERP =&gt; SOUS-SEGMENT'!$C$8:$C$1000=$C26)*'ANALYSE - ERP =&gt; SOUS-SEGMENT'!$Q$8:$Q$1000*'ANALYSE - ERP =&gt; SOUS-SEGMENT'!$FH$8:$FH$1000),""))</f>
        <v>1.54E-2</v>
      </c>
      <c r="JS26" s="730">
        <f>IF($C26="","",IFERROR(SUMPRODUCT(('ANALYSE - ERP =&gt; SOUS-SEGMENT'!$C$8:$C$1000=$C26)*'ANALYSE - ERP =&gt; SOUS-SEGMENT'!$Q$8:$Q$1000*'ANALYSE - ERP =&gt; SOUS-SEGMENT'!$BH$8:$BH$1000*'ANALYSE - ERP =&gt; SOUS-SEGMENT'!$JS$8:$JS$1000)/SUMPRODUCT(('ANALYSE - ERP =&gt; SOUS-SEGMENT'!$C$8:$C$1000=$C26)*'ANALYSE - ERP =&gt; SOUS-SEGMENT'!$Q$8:$Q$1000*'ANALYSE - ERP =&gt; SOUS-SEGMENT'!$BH$8:$BH$1000),""))</f>
        <v>0</v>
      </c>
      <c r="JT26" s="730">
        <f>IF($C26="","",IFERROR(SUMPRODUCT(('ANALYSE - ERP =&gt; SOUS-SEGMENT'!$C$8:$C$1000=$C26)*'ANALYSE - ERP =&gt; SOUS-SEGMENT'!$Q$8:$Q$1000*'ANALYSE - ERP =&gt; SOUS-SEGMENT'!$BH$8:$BH$1000*'ANALYSE - ERP =&gt; SOUS-SEGMENT'!$JT$8:$JT$1000)/SUMPRODUCT(('ANALYSE - ERP =&gt; SOUS-SEGMENT'!$C$8:$C$1000=$C26)*'ANALYSE - ERP =&gt; SOUS-SEGMENT'!$Q$8:$Q$1000*'ANALYSE - ERP =&gt; SOUS-SEGMENT'!$BH$8:$BH$1000),""))</f>
        <v>0.28120000000000001</v>
      </c>
      <c r="JU26" s="730">
        <f>IF($C26="","",IFERROR(SUMPRODUCT(('ANALYSE - ERP =&gt; SOUS-SEGMENT'!$C$8:$C$1000=$C26)*'ANALYSE - ERP =&gt; SOUS-SEGMENT'!$Q$8:$Q$1000*'ANALYSE - ERP =&gt; SOUS-SEGMENT'!$BH$8:$BH$1000*'ANALYSE - ERP =&gt; SOUS-SEGMENT'!$JU$8:$JU$1000)/SUMPRODUCT(('ANALYSE - ERP =&gt; SOUS-SEGMENT'!$C$8:$C$1000=$C26)*'ANALYSE - ERP =&gt; SOUS-SEGMENT'!$Q$8:$Q$1000*'ANALYSE - ERP =&gt; SOUS-SEGMENT'!$BH$8:$BH$1000),""))</f>
        <v>0.52229999999999999</v>
      </c>
      <c r="JV26" s="730">
        <f>IF($C26="","",IFERROR(SUMPRODUCT(('ANALYSE - ERP =&gt; SOUS-SEGMENT'!$C$8:$C$1000=$C26)*'ANALYSE - ERP =&gt; SOUS-SEGMENT'!$Q$8:$Q$1000*'ANALYSE - ERP =&gt; SOUS-SEGMENT'!$BH$8:$BH$1000*'ANALYSE - ERP =&gt; SOUS-SEGMENT'!$JV$8:$JV$1000)/SUMPRODUCT(('ANALYSE - ERP =&gt; SOUS-SEGMENT'!$C$8:$C$1000=$C26)*'ANALYSE - ERP =&gt; SOUS-SEGMENT'!$Q$8:$Q$1000*'ANALYSE - ERP =&gt; SOUS-SEGMENT'!$BH$8:$BH$1000),""))</f>
        <v>0.18770000000000001</v>
      </c>
      <c r="JW26" s="730">
        <f>IF($C26="","",IFERROR(SUMPRODUCT(('ANALYSE - ERP =&gt; SOUS-SEGMENT'!$C$8:$C$1000=$C26)*'ANALYSE - ERP =&gt; SOUS-SEGMENT'!$Q$8:$Q$1000*'ANALYSE - ERP =&gt; SOUS-SEGMENT'!$BH$8:$BH$1000*'ANALYSE - ERP =&gt; SOUS-SEGMENT'!$JW$8:$JW$1000)/SUMPRODUCT(('ANALYSE - ERP =&gt; SOUS-SEGMENT'!$C$8:$C$1000=$C26)*'ANALYSE - ERP =&gt; SOUS-SEGMENT'!$Q$8:$Q$1000*'ANALYSE - ERP =&gt; SOUS-SEGMENT'!$BH$8:$BH$1000),""))</f>
        <v>8.8000000000000005E-3</v>
      </c>
      <c r="JX26" s="730">
        <f>IF($C26="","",IFERROR(SUMPRODUCT(('ANALYSE - ERP =&gt; SOUS-SEGMENT'!$C$8:$C$1000=$C26)*'ANALYSE - ERP =&gt; SOUS-SEGMENT'!$Q$8:$Q$1000*'ANALYSE - ERP =&gt; SOUS-SEGMENT'!$FK$8:$FK$1000*'ANALYSE - ERP =&gt; SOUS-SEGMENT'!$JX$8:$JX$1000)/SUMPRODUCT(('ANALYSE - ERP =&gt; SOUS-SEGMENT'!$C$8:$C$1000=$C26)*'ANALYSE - ERP =&gt; SOUS-SEGMENT'!$Q$8:$Q$1000*'ANALYSE - ERP =&gt; SOUS-SEGMENT'!$FK$8:$FK$1000),""))</f>
        <v>0</v>
      </c>
      <c r="JY26" s="730">
        <f>IF($C26="","",IFERROR(SUMPRODUCT(('ANALYSE - ERP =&gt; SOUS-SEGMENT'!$C$8:$C$1000=$C26)*'ANALYSE - ERP =&gt; SOUS-SEGMENT'!$Q$8:$Q$1000*'ANALYSE - ERP =&gt; SOUS-SEGMENT'!$FK$8:$FK$1000*'ANALYSE - ERP =&gt; SOUS-SEGMENT'!$JY$8:$JY$1000)/SUMPRODUCT(('ANALYSE - ERP =&gt; SOUS-SEGMENT'!$C$8:$C$1000=$C26)*'ANALYSE - ERP =&gt; SOUS-SEGMENT'!$Q$8:$Q$1000*'ANALYSE - ERP =&gt; SOUS-SEGMENT'!$FK$8:$FK$1000),""))</f>
        <v>0.14949999999999999</v>
      </c>
      <c r="JZ26" s="730">
        <f>IF($C26="","",IFERROR(SUMPRODUCT(('ANALYSE - ERP =&gt; SOUS-SEGMENT'!$C$8:$C$1000=$C26)*'ANALYSE - ERP =&gt; SOUS-SEGMENT'!$Q$8:$Q$1000*'ANALYSE - ERP =&gt; SOUS-SEGMENT'!$FK$8:$FK$1000*'ANALYSE - ERP =&gt; SOUS-SEGMENT'!$JZ$8:$JZ$1000)/SUMPRODUCT(('ANALYSE - ERP =&gt; SOUS-SEGMENT'!$C$8:$C$1000=$C26)*'ANALYSE - ERP =&gt; SOUS-SEGMENT'!$Q$8:$Q$1000*'ANALYSE - ERP =&gt; SOUS-SEGMENT'!$FK$8:$FK$1000),""))</f>
        <v>0.52990000000000004</v>
      </c>
      <c r="KA26" s="730">
        <f>IF($C26="","",IFERROR(SUMPRODUCT(('ANALYSE - ERP =&gt; SOUS-SEGMENT'!$C$8:$C$1000=$C26)*'ANALYSE - ERP =&gt; SOUS-SEGMENT'!$Q$8:$Q$1000*'ANALYSE - ERP =&gt; SOUS-SEGMENT'!$FK$8:$FK$1000*'ANALYSE - ERP =&gt; SOUS-SEGMENT'!$KA$8:$KA$1000)/SUMPRODUCT(('ANALYSE - ERP =&gt; SOUS-SEGMENT'!$C$8:$C$1000=$C26)*'ANALYSE - ERP =&gt; SOUS-SEGMENT'!$Q$8:$Q$1000*'ANALYSE - ERP =&gt; SOUS-SEGMENT'!$FK$8:$FK$1000),""))</f>
        <v>0.2918</v>
      </c>
      <c r="KB26" s="730">
        <f>IF($C26="","",IFERROR(SUMPRODUCT(('ANALYSE - ERP =&gt; SOUS-SEGMENT'!$C$8:$C$1000=$C26)*'ANALYSE - ERP =&gt; SOUS-SEGMENT'!$Q$8:$Q$1000*'ANALYSE - ERP =&gt; SOUS-SEGMENT'!$FK$8:$FK$1000*'ANALYSE - ERP =&gt; SOUS-SEGMENT'!$KB$8:$KB$1000)/SUMPRODUCT(('ANALYSE - ERP =&gt; SOUS-SEGMENT'!$C$8:$C$1000=$C26)*'ANALYSE - ERP =&gt; SOUS-SEGMENT'!$Q$8:$Q$1000*'ANALYSE - ERP =&gt; SOUS-SEGMENT'!$FK$8:$FK$1000),""))</f>
        <v>2.8799999999999999E-2</v>
      </c>
      <c r="KC26" s="657"/>
      <c r="KD26" s="920" t="s">
        <v>2590</v>
      </c>
      <c r="KE26" s="920" t="s">
        <v>2591</v>
      </c>
      <c r="KF26" s="866">
        <f>IF($C26="","",IFERROR(SUMPRODUCT(('ANALYSE - ERP =&gt; SOUS-SEGMENT'!$C$8:$C$1000=$C26)*'ANALYSE - ERP =&gt; SOUS-SEGMENT'!$Q$8:$Q$1000*'ANALYSE - ERP =&gt; SOUS-SEGMENT'!$IE$8:$IE$1000*'ANALYSE - ERP =&gt; SOUS-SEGMENT'!$KF$8:$KF$1000)/SUMPRODUCT(('ANALYSE - ERP =&gt; SOUS-SEGMENT'!$C$8:$C$1000=$C26)*'ANALYSE - ERP =&gt; SOUS-SEGMENT'!$Q$8:$Q$1000*'ANALYSE - ERP =&gt; SOUS-SEGMENT'!$IE$8:$IE$1000),""))</f>
        <v>4.4000000000000004</v>
      </c>
      <c r="KG26" s="920" t="s">
        <v>2589</v>
      </c>
      <c r="KH26" s="920" t="s">
        <v>4079</v>
      </c>
      <c r="KI26" s="920" t="s">
        <v>2823</v>
      </c>
      <c r="KJ26" s="920" t="s">
        <v>4080</v>
      </c>
    </row>
    <row r="27" spans="1:296" ht="120" customHeight="1">
      <c r="A27" s="957">
        <f>IF($C27="","",ROWS($A$8:A27))</f>
        <v>20</v>
      </c>
      <c r="B27" s="958" t="s">
        <v>2264</v>
      </c>
      <c r="C27" s="958" t="s">
        <v>4081</v>
      </c>
      <c r="D27" s="959" t="s">
        <v>5834</v>
      </c>
      <c r="E27" s="269" t="s">
        <v>5835</v>
      </c>
      <c r="F27" s="960" t="s">
        <v>5836</v>
      </c>
      <c r="G27" s="960" t="s">
        <v>5837</v>
      </c>
      <c r="H27" s="960" t="s">
        <v>5838</v>
      </c>
      <c r="I27" s="960" t="s">
        <v>5839</v>
      </c>
      <c r="J27" s="960" t="s">
        <v>5840</v>
      </c>
      <c r="K27" s="960" t="s">
        <v>2097</v>
      </c>
      <c r="L27" s="960" t="s">
        <v>2109</v>
      </c>
      <c r="M27" s="960" t="s">
        <v>5841</v>
      </c>
      <c r="N27" s="960" t="s">
        <v>5842</v>
      </c>
      <c r="O27" s="960" t="s">
        <v>2616</v>
      </c>
      <c r="P27" s="960" t="s">
        <v>5843</v>
      </c>
      <c r="Q27" s="270">
        <f>IF($C27="","",IF(SUMIFS('ANALYSE - ERP =&gt; SOUS-SEGMENT'!$Q$8:$Q$1000,'ANALYSE - ERP =&gt; SOUS-SEGMENT'!$C$8:$C$1000,$C27)&gt;0,1,0))</f>
        <v>1</v>
      </c>
      <c r="R27" s="271">
        <f>IF($C27="","",IFERROR(SUMPRODUCT(('ANALYSE - ERP =&gt; SOUS-SEGMENT'!$C$8:$C$1000=$C27)*'ANALYSE - ERP =&gt; SOUS-SEGMENT'!$Q$8:$Q$1000*'ANALYSE - ERP =&gt; SOUS-SEGMENT'!$AF$8:$AF$1000*'ANALYSE - ERP =&gt; SOUS-SEGMENT'!$R$8:$R$1000)/SUMPRODUCT(('ANALYSE - ERP =&gt; SOUS-SEGMENT'!$C$8:$C$1000=$C27)*'ANALYSE - ERP =&gt; SOUS-SEGMENT'!$Q$8:$Q$1000*'ANALYSE - ERP =&gt; SOUS-SEGMENT'!$AF$8:$AF$1000),""))</f>
        <v>10478.193146417445</v>
      </c>
      <c r="S27" s="272">
        <f>IF($C27="","",SUMPRODUCT(('ANALYSE - ERP =&gt; SOUS-SEGMENT'!$C$8:$C$1000=$C27)*'ANALYSE - ERP =&gt; SOUS-SEGMENT'!$Q$8:$Q$1000*'ANALYSE - ERP =&gt; SOUS-SEGMENT'!$S$8:$S$1000))</f>
        <v>18000</v>
      </c>
      <c r="T27" s="272">
        <f>IF($C27="","",SUMPRODUCT(('ANALYSE - ERP =&gt; SOUS-SEGMENT'!$C$8:$C$1000=$C27)*'ANALYSE - ERP =&gt; SOUS-SEGMENT'!$Q$8:$Q$1000*'ANALYSE - ERP =&gt; SOUS-SEGMENT'!$T$8:$T$1000))</f>
        <v>17300</v>
      </c>
      <c r="U27" s="272">
        <f>IF($C27="","",SUMPRODUCT(('ANALYSE - ERP =&gt; SOUS-SEGMENT'!$C$8:$C$1000=$C27)*'ANALYSE - ERP =&gt; SOUS-SEGMENT'!$Q$8:$Q$1000*'ANALYSE - ERP =&gt; SOUS-SEGMENT'!$U$8:$U$1000))</f>
        <v>16350</v>
      </c>
      <c r="V27" s="272">
        <f>IF($C27="","",SUMPRODUCT(('ANALYSE - ERP =&gt; SOUS-SEGMENT'!$C$8:$C$1000=$C27)*'ANALYSE - ERP =&gt; SOUS-SEGMENT'!$Q$8:$Q$1000*'ANALYSE - ERP =&gt; SOUS-SEGMENT'!$V$8:$V$1000))</f>
        <v>15550</v>
      </c>
      <c r="W27" s="272">
        <f>IF($C27="","",SUMPRODUCT(('ANALYSE - ERP =&gt; SOUS-SEGMENT'!$C$8:$C$1000=$C27)*'ANALYSE - ERP =&gt; SOUS-SEGMENT'!$Q$8:$Q$1000*'ANALYSE - ERP =&gt; SOUS-SEGMENT'!$W$8:$W$1000))</f>
        <v>15450</v>
      </c>
      <c r="X27" s="272">
        <f>IF($C27="","",SUMPRODUCT(('ANALYSE - ERP =&gt; SOUS-SEGMENT'!$C$8:$C$1000=$C27)*'ANALYSE - ERP =&gt; SOUS-SEGMENT'!$Q$8:$Q$1000*'ANALYSE - ERP =&gt; SOUS-SEGMENT'!$X$8:$X$1000))</f>
        <v>15370</v>
      </c>
      <c r="Y27" s="272">
        <f>IF($C27="","",SUMPRODUCT(('ANALYSE - ERP =&gt; SOUS-SEGMENT'!$C$8:$C$1000=$C27)*'ANALYSE - ERP =&gt; SOUS-SEGMENT'!$Q$8:$Q$1000*'ANALYSE - ERP =&gt; SOUS-SEGMENT'!$Y$8:$Y$1000))</f>
        <v>15320</v>
      </c>
      <c r="Z27" s="272">
        <f>IF($C27="","",SUMPRODUCT(('ANALYSE - ERP =&gt; SOUS-SEGMENT'!$C$8:$C$1000=$C27)*'ANALYSE - ERP =&gt; SOUS-SEGMENT'!$Q$8:$Q$1000*'ANALYSE - ERP =&gt; SOUS-SEGMENT'!$Z$8:$Z$1000))</f>
        <v>15290</v>
      </c>
      <c r="AA27" s="272">
        <f>IF($C27="","",SUMPRODUCT(('ANALYSE - ERP =&gt; SOUS-SEGMENT'!$C$8:$C$1000=$C27)*'ANALYSE - ERP =&gt; SOUS-SEGMENT'!$Q$8:$Q$1000*'ANALYSE - ERP =&gt; SOUS-SEGMENT'!$AA$8:$AA$1000))</f>
        <v>15120</v>
      </c>
      <c r="AB27" s="272">
        <f>IF($C27="","",SUMPRODUCT(('ANALYSE - ERP =&gt; SOUS-SEGMENT'!$C$8:$C$1000=$C27)*'ANALYSE - ERP =&gt; SOUS-SEGMENT'!$Q$8:$Q$1000*'ANALYSE - ERP =&gt; SOUS-SEGMENT'!$AB$8:$AB$1000))</f>
        <v>15260</v>
      </c>
      <c r="AC27" s="272">
        <f>IF($C27="","",SUMPRODUCT(('ANALYSE - ERP =&gt; SOUS-SEGMENT'!$C$8:$C$1000=$C27)*'ANALYSE - ERP =&gt; SOUS-SEGMENT'!$Q$8:$Q$1000*'ANALYSE - ERP =&gt; SOUS-SEGMENT'!$AC$8:$AC$1000))</f>
        <v>15450</v>
      </c>
      <c r="AD27" s="272">
        <f>IF($C27="","",SUMPRODUCT(('ANALYSE - ERP =&gt; SOUS-SEGMENT'!$C$8:$C$1000=$C27)*'ANALYSE - ERP =&gt; SOUS-SEGMENT'!$Q$8:$Q$1000*'ANALYSE - ERP =&gt; SOUS-SEGMENT'!$AD$8:$AD$1000))</f>
        <v>15670</v>
      </c>
      <c r="AE27" s="272">
        <f>IF($C27="","",SUMPRODUCT(('ANALYSE - ERP =&gt; SOUS-SEGMENT'!$C$8:$C$1000=$C27)*'ANALYSE - ERP =&gt; SOUS-SEGMENT'!$Q$8:$Q$1000*'ANALYSE - ERP =&gt; SOUS-SEGMENT'!$AE$8:$AE$1000))</f>
        <v>15870</v>
      </c>
      <c r="AF27" s="272">
        <f>IF($C27="","",SUMPRODUCT(('ANALYSE - ERP =&gt; SOUS-SEGMENT'!$C$8:$C$1000=$C27)*'ANALYSE - ERP =&gt; SOUS-SEGMENT'!$Q$8:$Q$1000*'ANALYSE - ERP =&gt; SOUS-SEGMENT'!$AF$8:$AF$1000))</f>
        <v>16050</v>
      </c>
      <c r="AG27" s="272">
        <f>IF($C27="","",SUMPRODUCT(('ANALYSE - ERP =&gt; SOUS-SEGMENT'!$C$8:$C$1000=$C27)*'ANALYSE - ERP =&gt; SOUS-SEGMENT'!$Q$8:$Q$1000*'ANALYSE - ERP =&gt; SOUS-SEGMENT'!$AG$8:$AG$1000))</f>
        <v>16190</v>
      </c>
      <c r="AH27" s="272">
        <f>IF($C27="","",SUMPRODUCT(('ANALYSE - ERP =&gt; SOUS-SEGMENT'!$C$8:$C$1000=$C27)*'ANALYSE - ERP =&gt; SOUS-SEGMENT'!$Q$8:$Q$1000*'ANALYSE - ERP =&gt; SOUS-SEGMENT'!$AH$8:$AH$1000))</f>
        <v>16330</v>
      </c>
      <c r="AI27" s="272">
        <f>IF($C27="","",SUMPRODUCT(('ANALYSE - ERP =&gt; SOUS-SEGMENT'!$C$8:$C$1000=$C27)*'ANALYSE - ERP =&gt; SOUS-SEGMENT'!$Q$8:$Q$1000*'ANALYSE - ERP =&gt; SOUS-SEGMENT'!$AI$8:$AI$1000))</f>
        <v>16470</v>
      </c>
      <c r="AJ27" s="272">
        <f>IF($C27="","",SUMPRODUCT(('ANALYSE - ERP =&gt; SOUS-SEGMENT'!$C$8:$C$1000=$C27)*'ANALYSE - ERP =&gt; SOUS-SEGMENT'!$Q$8:$Q$1000*'ANALYSE - ERP =&gt; SOUS-SEGMENT'!$AJ$8:$AJ$1000))</f>
        <v>16580</v>
      </c>
      <c r="AK27" s="272">
        <f>IF($C27="","",SUMPRODUCT(('ANALYSE - ERP =&gt; SOUS-SEGMENT'!$C$8:$C$1000=$C27)*'ANALYSE - ERP =&gt; SOUS-SEGMENT'!$Q$8:$Q$1000*'ANALYSE - ERP =&gt; SOUS-SEGMENT'!$AK$8:$AK$1000))</f>
        <v>16680</v>
      </c>
      <c r="AL27" s="960" t="s">
        <v>5844</v>
      </c>
      <c r="AM27" s="960" t="s">
        <v>5845</v>
      </c>
      <c r="AN27" s="960" t="s">
        <v>5846</v>
      </c>
      <c r="AO27" s="657"/>
      <c r="AP27" s="271">
        <f>IF($C27="","",IFERROR(SUMPRODUCT(('ANALYSE - ERP =&gt; SOUS-SEGMENT'!$C$8:$C$1000=$C27)*'ANALYSE - ERP =&gt; SOUS-SEGMENT'!$Q$8:$Q$1000*'ANALYSE - ERP =&gt; SOUS-SEGMENT'!$AF$8:$AF$1000*'ANALYSE - ERP =&gt; SOUS-SEGMENT'!$AP$8:$AP$1000)/SUMPRODUCT(('ANALYSE - ERP =&gt; SOUS-SEGMENT'!$C$8:$C$1000=$C27)*'ANALYSE - ERP =&gt; SOUS-SEGMENT'!$Q$8:$Q$1000*'ANALYSE - ERP =&gt; SOUS-SEGMENT'!$AF$8:$AF$1000),""))</f>
        <v>183.86292834890966</v>
      </c>
      <c r="AQ27" s="280">
        <f>IF($C27="","",IFERROR(SUMPRODUCT(('ANALYSE - ERP =&gt; SOUS-SEGMENT'!$C$8:$C$1000=$C27)*'ANALYSE - ERP =&gt; SOUS-SEGMENT'!$Q$8:$Q$1000*'ANALYSE - ERP =&gt; SOUS-SEGMENT'!$AF$8:$AF$1000*'ANALYSE - ERP =&gt; SOUS-SEGMENT'!$AQ$8:$AQ$1000)/SUMPRODUCT(('ANALYSE - ERP =&gt; SOUS-SEGMENT'!$C$8:$C$1000=$C27)*'ANALYSE - ERP =&gt; SOUS-SEGMENT'!$Q$8:$Q$1000*'ANALYSE - ERP =&gt; SOUS-SEGMENT'!$AF$8:$AF$1000),""))</f>
        <v>162.8442367601246</v>
      </c>
      <c r="AR27" s="280">
        <f>IF($C27="","",IFERROR(SUMPRODUCT(('ANALYSE - ERP =&gt; SOUS-SEGMENT'!$C$8:$C$1000=$C27)*'ANALYSE - ERP =&gt; SOUS-SEGMENT'!$Q$8:$Q$1000*'ANALYSE - ERP =&gt; SOUS-SEGMENT'!$AF$8:$AF$1000*'ANALYSE - ERP =&gt; SOUS-SEGMENT'!$AR$8:$AR$1000)/SUMPRODUCT(('ANALYSE - ERP =&gt; SOUS-SEGMENT'!$C$8:$C$1000=$C27)*'ANALYSE - ERP =&gt; SOUS-SEGMENT'!$Q$8:$Q$1000*'ANALYSE - ERP =&gt; SOUS-SEGMENT'!$AF$8:$AF$1000),""))</f>
        <v>15.962616822429906</v>
      </c>
      <c r="AS27" s="280">
        <f>IF($C27="","",IFERROR(SUMPRODUCT(('ANALYSE - ERP =&gt; SOUS-SEGMENT'!$C$8:$C$1000=$C27)*'ANALYSE - ERP =&gt; SOUS-SEGMENT'!$Q$8:$Q$1000*'ANALYSE - ERP =&gt; SOUS-SEGMENT'!$AF$8:$AF$1000*'ANALYSE - ERP =&gt; SOUS-SEGMENT'!$AS$8:$AS$1000)/SUMPRODUCT(('ANALYSE - ERP =&gt; SOUS-SEGMENT'!$C$8:$C$1000=$C27)*'ANALYSE - ERP =&gt; SOUS-SEGMENT'!$Q$8:$Q$1000*'ANALYSE - ERP =&gt; SOUS-SEGMENT'!$AF$8:$AF$1000),""))</f>
        <v>5.05607476635514</v>
      </c>
      <c r="AT27" s="657"/>
      <c r="AU27" s="647" t="s">
        <v>5847</v>
      </c>
      <c r="AV27" s="647" t="s">
        <v>5848</v>
      </c>
      <c r="AW27" s="960" t="s">
        <v>5849</v>
      </c>
      <c r="AX27" s="647" t="s">
        <v>5850</v>
      </c>
      <c r="AY27" s="657"/>
      <c r="AZ27" s="948">
        <f>IF($C27="","",IFERROR(SUMPRODUCT(('ANALYSE - ERP =&gt; SOUS-SEGMENT'!$C$8:$C$1000=$C27)*'ANALYSE - ERP =&gt; SOUS-SEGMENT'!$Q$8:$Q$1000*'ANALYSE - ERP =&gt; SOUS-SEGMENT'!$AF$8:$AF$1000*'ANALYSE - ERP =&gt; SOUS-SEGMENT'!$AZ$8:$AZ$1000)/SUMPRODUCT(('ANALYSE - ERP =&gt; SOUS-SEGMENT'!$C$8:$C$1000=$C27)*'ANALYSE - ERP =&gt; SOUS-SEGMENT'!$Q$8:$Q$1000*'ANALYSE - ERP =&gt; SOUS-SEGMENT'!$AF$8:$AF$1000),""))</f>
        <v>18.529595015576323</v>
      </c>
      <c r="BA27" s="948">
        <f>IF($C27="","",IFERROR(SUMPRODUCT(('ANALYSE - ERP =&gt; SOUS-SEGMENT'!$C$8:$C$1000=$C27)*'ANALYSE - ERP =&gt; SOUS-SEGMENT'!$Q$8:$Q$1000*'ANALYSE - ERP =&gt; SOUS-SEGMENT'!$AF$8:$AF$1000*'ANALYSE - ERP =&gt; SOUS-SEGMENT'!$BA$8:$BA$1000)/SUMPRODUCT(('ANALYSE - ERP =&gt; SOUS-SEGMENT'!$C$8:$C$1000=$C27)*'ANALYSE - ERP =&gt; SOUS-SEGMENT'!$Q$8:$Q$1000*'ANALYSE - ERP =&gt; SOUS-SEGMENT'!$AF$8:$AF$1000),""))</f>
        <v>6.6535825545171337</v>
      </c>
      <c r="BB27" s="948">
        <f>IF($C27="","",IFERROR(SUMPRODUCT(('ANALYSE - ERP =&gt; SOUS-SEGMENT'!$C$8:$C$1000=$C27)*'ANALYSE - ERP =&gt; SOUS-SEGMENT'!$Q$8:$Q$1000*'ANALYSE - ERP =&gt; SOUS-SEGMENT'!$AF$8:$AF$1000*'ANALYSE - ERP =&gt; SOUS-SEGMENT'!$BB$8:$BB$1000)/SUMPRODUCT(('ANALYSE - ERP =&gt; SOUS-SEGMENT'!$C$8:$C$1000=$C27)*'ANALYSE - ERP =&gt; SOUS-SEGMENT'!$Q$8:$Q$1000*'ANALYSE - ERP =&gt; SOUS-SEGMENT'!$AF$8:$AF$1000),""))</f>
        <v>4.5118380062305299</v>
      </c>
      <c r="BC27" s="948">
        <f>IF($C27="","",IFERROR(SUMPRODUCT(('ANALYSE - ERP =&gt; SOUS-SEGMENT'!$C$8:$C$1000=$C27)*'ANALYSE - ERP =&gt; SOUS-SEGMENT'!$Q$8:$Q$1000*'ANALYSE - ERP =&gt; SOUS-SEGMENT'!$AF$8:$AF$1000*'ANALYSE - ERP =&gt; SOUS-SEGMENT'!$BC$8:$BC$1000)/SUMPRODUCT(('ANALYSE - ERP =&gt; SOUS-SEGMENT'!$C$8:$C$1000=$C27)*'ANALYSE - ERP =&gt; SOUS-SEGMENT'!$Q$8:$Q$1000*'ANALYSE - ERP =&gt; SOUS-SEGMENT'!$AF$8:$AF$1000),""))</f>
        <v>12.791277258566979</v>
      </c>
      <c r="BD27" s="825">
        <f t="shared" si="1"/>
        <v>681905</v>
      </c>
      <c r="BE27" s="304">
        <f>IF($C27="","",SUMPRODUCT(('ANALYSE - ERP =&gt; SOUS-SEGMENT'!$C$8:$C$1000=$C27)*'ANALYSE - ERP =&gt; SOUS-SEGMENT'!$Q$8:$Q$1000*'ANALYSE - ERP =&gt; SOUS-SEGMENT'!$BE$8:$BE$1000))</f>
        <v>297400</v>
      </c>
      <c r="BF27" s="304">
        <f>IF($C27="","",SUMPRODUCT(('ANALYSE - ERP =&gt; SOUS-SEGMENT'!$C$8:$C$1000=$C27)*'ANALYSE - ERP =&gt; SOUS-SEGMENT'!$Q$8:$Q$1000*'ANALYSE - ERP =&gt; SOUS-SEGMENT'!$BF$8:$BF$1000))</f>
        <v>106790</v>
      </c>
      <c r="BG27" s="304">
        <f>IF($C27="","",SUMPRODUCT(('ANALYSE - ERP =&gt; SOUS-SEGMENT'!$C$8:$C$1000=$C27)*'ANALYSE - ERP =&gt; SOUS-SEGMENT'!$Q$8:$Q$1000*'ANALYSE - ERP =&gt; SOUS-SEGMENT'!$BG$8:$BG$1000))</f>
        <v>72415</v>
      </c>
      <c r="BH27" s="304">
        <f>IF($C27="","",SUMPRODUCT(('ANALYSE - ERP =&gt; SOUS-SEGMENT'!$C$8:$C$1000=$C27)*'ANALYSE - ERP =&gt; SOUS-SEGMENT'!$Q$8:$Q$1000*'ANALYSE - ERP =&gt; SOUS-SEGMENT'!$BH$8:$BH$1000))</f>
        <v>205300</v>
      </c>
      <c r="BI27" s="825">
        <f t="shared" si="2"/>
        <v>708580</v>
      </c>
      <c r="BJ27" s="304">
        <f>IF($C27="","",SUMPRODUCT(('ANALYSE - ERP =&gt; SOUS-SEGMENT'!$C$8:$C$1000=$C27)*'ANALYSE - ERP =&gt; SOUS-SEGMENT'!$Q$8:$Q$1000*'ANALYSE - ERP =&gt; SOUS-SEGMENT'!$BJ$8:$BJ$1000))</f>
        <v>309070</v>
      </c>
      <c r="BK27" s="304">
        <f>IF($C27="","",SUMPRODUCT(('ANALYSE - ERP =&gt; SOUS-SEGMENT'!$C$8:$C$1000=$C27)*'ANALYSE - ERP =&gt; SOUS-SEGMENT'!$Q$8:$Q$1000*'ANALYSE - ERP =&gt; SOUS-SEGMENT'!$BK$8:$BK$1000))</f>
        <v>110930</v>
      </c>
      <c r="BL27" s="304">
        <f>IF($C27="","",SUMPRODUCT(('ANALYSE - ERP =&gt; SOUS-SEGMENT'!$C$8:$C$1000=$C27)*'ANALYSE - ERP =&gt; SOUS-SEGMENT'!$Q$8:$Q$1000*'ANALYSE - ERP =&gt; SOUS-SEGMENT'!$BL$8:$BL$1000))</f>
        <v>75230</v>
      </c>
      <c r="BM27" s="304">
        <f>IF($C27="","",SUMPRODUCT(('ANALYSE - ERP =&gt; SOUS-SEGMENT'!$C$8:$C$1000=$C27)*'ANALYSE - ERP =&gt; SOUS-SEGMENT'!$Q$8:$Q$1000*'ANALYSE - ERP =&gt; SOUS-SEGMENT'!$BM$8:$BM$1000))</f>
        <v>213350</v>
      </c>
      <c r="BN27" s="657"/>
      <c r="BO27" s="284">
        <f t="shared" si="3"/>
        <v>0.4101983860121049</v>
      </c>
      <c r="BP27" s="284">
        <f t="shared" si="4"/>
        <v>0.40538668459986549</v>
      </c>
      <c r="BQ27" s="284">
        <f t="shared" si="5"/>
        <v>0.13710154673839947</v>
      </c>
      <c r="BR27" s="710">
        <f t="shared" si="6"/>
        <v>4.7313382649630129E-2</v>
      </c>
      <c r="BS27" s="707">
        <f t="shared" si="7"/>
        <v>0.38048694470508299</v>
      </c>
      <c r="BT27" s="284">
        <f t="shared" si="8"/>
        <v>0.41269809428284854</v>
      </c>
      <c r="BU27" s="284">
        <f t="shared" si="9"/>
        <v>0.17444591840036239</v>
      </c>
      <c r="BV27" s="710">
        <f t="shared" si="10"/>
        <v>3.2369042611706082E-2</v>
      </c>
      <c r="BW27" s="714">
        <f t="shared" si="11"/>
        <v>0.3745528607547523</v>
      </c>
      <c r="BX27" s="285">
        <f t="shared" si="12"/>
        <v>0.43465212098511097</v>
      </c>
      <c r="BY27" s="717">
        <f t="shared" si="13"/>
        <v>0.19079501826013673</v>
      </c>
      <c r="BZ27" s="714">
        <f t="shared" si="14"/>
        <v>0.33435049130082034</v>
      </c>
      <c r="CA27" s="285">
        <f t="shared" si="15"/>
        <v>0.43206526638420628</v>
      </c>
      <c r="CB27" s="717">
        <f t="shared" si="16"/>
        <v>0.23358424231497343</v>
      </c>
      <c r="CC27" s="284">
        <f t="shared" si="17"/>
        <v>0.17389007802250914</v>
      </c>
      <c r="CD27" s="284">
        <f t="shared" si="18"/>
        <v>0.54018849685838566</v>
      </c>
      <c r="CE27" s="284">
        <f t="shared" si="19"/>
        <v>0.16041911206241802</v>
      </c>
      <c r="CF27" s="710">
        <f t="shared" si="20"/>
        <v>0.12550231305668716</v>
      </c>
      <c r="CG27" s="707">
        <f t="shared" si="21"/>
        <v>0.13780739066861625</v>
      </c>
      <c r="CH27" s="284">
        <f t="shared" si="22"/>
        <v>0.52723913332447159</v>
      </c>
      <c r="CI27" s="284">
        <f t="shared" si="23"/>
        <v>0.19706101289379235</v>
      </c>
      <c r="CJ27" s="710">
        <f t="shared" si="24"/>
        <v>0.13789246311311978</v>
      </c>
      <c r="CK27" s="720">
        <f t="shared" si="25"/>
        <v>0.55323916220165614</v>
      </c>
      <c r="CL27" s="286">
        <f t="shared" si="26"/>
        <v>0.30306380905991231</v>
      </c>
      <c r="CM27" s="718">
        <f t="shared" si="27"/>
        <v>0.14369702873843157</v>
      </c>
      <c r="CN27" s="720">
        <f t="shared" si="28"/>
        <v>0.49008905554253573</v>
      </c>
      <c r="CO27" s="286">
        <f t="shared" si="29"/>
        <v>0.33205999531286617</v>
      </c>
      <c r="CP27" s="718">
        <f t="shared" si="30"/>
        <v>0.17785094914459809</v>
      </c>
      <c r="CQ27" s="657"/>
      <c r="CR27" s="807">
        <f>IF($C27="","",IFERROR(SUMPRODUCT(('ANALYSE - ERP =&gt; SOUS-SEGMENT'!$C$8:$C$1000=$C27)*'ANALYSE - ERP =&gt; SOUS-SEGMENT'!$Q$8:$Q$1000*'ANALYSE - ERP =&gt; SOUS-SEGMENT'!$DH$8:$DH$1000*'ANALYSE - ERP =&gt; SOUS-SEGMENT'!$CR$8:$CR$1000)/SUMPRODUCT(('ANALYSE - ERP =&gt; SOUS-SEGMENT'!$C$8:$C$1000=$C27)*'ANALYSE - ERP =&gt; SOUS-SEGMENT'!$Q$8:$Q$1000*'ANALYSE - ERP =&gt; SOUS-SEGMENT'!$DH$8:$DH$1000),""))</f>
        <v>12.762388005869189</v>
      </c>
      <c r="CS27" s="808">
        <f>IF($C27="","",IFERROR(SUMPRODUCT(('ANALYSE - ERP =&gt; SOUS-SEGMENT'!$C$8:$C$1000=$C27)*'ANALYSE - ERP =&gt; SOUS-SEGMENT'!$Q$8:$Q$1000*'ANALYSE - ERP =&gt; SOUS-SEGMENT'!$DI$8:$DI$1000*'ANALYSE - ERP =&gt; SOUS-SEGMENT'!$CS$8:$CS$1000)/SUMPRODUCT(('ANALYSE - ERP =&gt; SOUS-SEGMENT'!$C$8:$C$1000=$C27)*'ANALYSE - ERP =&gt; SOUS-SEGMENT'!$Q$8:$Q$1000*'ANALYSE - ERP =&gt; SOUS-SEGMENT'!$DI$8:$DI$1000),""))</f>
        <v>13.70357990079793</v>
      </c>
      <c r="CT27" s="808">
        <f>IF($C27="","",IFERROR(SUMPRODUCT(('ANALYSE - ERP =&gt; SOUS-SEGMENT'!$C$8:$C$1000=$C27)*'ANALYSE - ERP =&gt; SOUS-SEGMENT'!$Q$8:$Q$1000*'ANALYSE - ERP =&gt; SOUS-SEGMENT'!$DJ$8:$DJ$1000*'ANALYSE - ERP =&gt; SOUS-SEGMENT'!$CT$8:$CT$1000)/SUMPRODUCT(('ANALYSE - ERP =&gt; SOUS-SEGMENT'!$C$8:$C$1000=$C27)*'ANALYSE - ERP =&gt; SOUS-SEGMENT'!$Q$8:$Q$1000*'ANALYSE - ERP =&gt; SOUS-SEGMENT'!$DJ$8:$DJ$1000),""))</f>
        <v>9.7919262274979175</v>
      </c>
      <c r="CU27" s="809">
        <f>IF($C27="","",IFERROR(SUMPRODUCT(('ANALYSE - ERP =&gt; SOUS-SEGMENT'!$C$8:$C$1000=$C27)*'ANALYSE - ERP =&gt; SOUS-SEGMENT'!$Q$8:$Q$1000*'ANALYSE - ERP =&gt; SOUS-SEGMENT'!$DK$8:$DK$1000*'ANALYSE - ERP =&gt; SOUS-SEGMENT'!$CU$8:$CU$1000)/SUMPRODUCT(('ANALYSE - ERP =&gt; SOUS-SEGMENT'!$C$8:$C$1000=$C27)*'ANALYSE - ERP =&gt; SOUS-SEGMENT'!$Q$8:$Q$1000*'ANALYSE - ERP =&gt; SOUS-SEGMENT'!$DK$8:$DK$1000),""))</f>
        <v>11.799019259469832</v>
      </c>
      <c r="CV27" s="807">
        <f>IF($C27="","",IFERROR(SUMPRODUCT(('ANALYSE - ERP =&gt; SOUS-SEGMENT'!$C$8:$C$1000=$C27)*'ANALYSE - ERP =&gt; SOUS-SEGMENT'!$Q$8:$Q$1000*'ANALYSE - ERP =&gt; SOUS-SEGMENT'!$DS$8:$DS$1000*'ANALYSE - ERP =&gt; SOUS-SEGMENT'!$CV$8:$CV$1000)/SUMPRODUCT(('ANALYSE - ERP =&gt; SOUS-SEGMENT'!$C$8:$C$1000=$C27)*'ANALYSE - ERP =&gt; SOUS-SEGMENT'!$Q$8:$Q$1000*'ANALYSE - ERP =&gt; SOUS-SEGMENT'!$DS$8:$DS$1000),""))</f>
        <v>11.643824143405377</v>
      </c>
      <c r="CW27" s="808">
        <f>IF($C27="","",IFERROR(SUMPRODUCT(('ANALYSE - ERP =&gt; SOUS-SEGMENT'!$C$8:$C$1000=$C27)*'ANALYSE - ERP =&gt; SOUS-SEGMENT'!$Q$8:$Q$1000*'ANALYSE - ERP =&gt; SOUS-SEGMENT'!$DT$8:$DT$1000*'ANALYSE - ERP =&gt; SOUS-SEGMENT'!$CW$8:$CW$1000)/SUMPRODUCT(('ANALYSE - ERP =&gt; SOUS-SEGMENT'!$C$8:$C$1000=$C27)*'ANALYSE - ERP =&gt; SOUS-SEGMENT'!$Q$8:$Q$1000*'ANALYSE - ERP =&gt; SOUS-SEGMENT'!$DT$8:$DT$1000),""))</f>
        <v>11</v>
      </c>
      <c r="CX27" s="809">
        <f>IF($C27="","",IFERROR(SUMPRODUCT(('ANALYSE - ERP =&gt; SOUS-SEGMENT'!$C$8:$C$1000=$C27)*'ANALYSE - ERP =&gt; SOUS-SEGMENT'!$Q$8:$Q$1000*'ANALYSE - ERP =&gt; SOUS-SEGMENT'!$DU$8:$DU$1000*'ANALYSE - ERP =&gt; SOUS-SEGMENT'!$CX$8:$CX$1000)/SUMPRODUCT(('ANALYSE - ERP =&gt; SOUS-SEGMENT'!$C$8:$C$1000=$C27)*'ANALYSE - ERP =&gt; SOUS-SEGMENT'!$Q$8:$Q$1000*'ANALYSE - ERP =&gt; SOUS-SEGMENT'!$DU$8:$DU$1000),""))</f>
        <v>8.6831901840490797</v>
      </c>
      <c r="CY27" s="807">
        <f>IF($C27="","",IFERROR(SUMPRODUCT(('ANALYSE - ERP =&gt; SOUS-SEGMENT'!$C$8:$C$1000=$C27)*'ANALYSE - ERP =&gt; SOUS-SEGMENT'!$Q$8:$Q$1000*'ANALYSE - ERP =&gt; SOUS-SEGMENT'!$EB$8:$EB$1000*'ANALYSE - ERP =&gt; SOUS-SEGMENT'!$CY$8:$CY$1000)/SUMPRODUCT(('ANALYSE - ERP =&gt; SOUS-SEGMENT'!$C$8:$C$1000=$C27)*'ANALYSE - ERP =&gt; SOUS-SEGMENT'!$Q$8:$Q$1000*'ANALYSE - ERP =&gt; SOUS-SEGMENT'!$EB$8:$EB$1000),""))</f>
        <v>10.729297782366137</v>
      </c>
      <c r="CZ27" s="808">
        <f>IF($C27="","",IFERROR(SUMPRODUCT(('ANALYSE - ERP =&gt; SOUS-SEGMENT'!$C$8:$C$1000=$C27)*'ANALYSE - ERP =&gt; SOUS-SEGMENT'!$Q$8:$Q$1000*'ANALYSE - ERP =&gt; SOUS-SEGMENT'!$EC$8:$EC$1000*'ANALYSE - ERP =&gt; SOUS-SEGMENT'!$CZ$8:$CZ$1000)/SUMPRODUCT(('ANALYSE - ERP =&gt; SOUS-SEGMENT'!$C$8:$C$1000=$C27)*'ANALYSE - ERP =&gt; SOUS-SEGMENT'!$Q$8:$Q$1000*'ANALYSE - ERP =&gt; SOUS-SEGMENT'!$EC$8:$EC$1000),""))</f>
        <v>12.657246390704987</v>
      </c>
      <c r="DA27" s="808">
        <f>IF($C27="","",IFERROR(SUMPRODUCT(('ANALYSE - ERP =&gt; SOUS-SEGMENT'!$C$8:$C$1000=$C27)*'ANALYSE - ERP =&gt; SOUS-SEGMENT'!$Q$8:$Q$1000*'ANALYSE - ERP =&gt; SOUS-SEGMENT'!$ED$8:$ED$1000*'ANALYSE - ERP =&gt; SOUS-SEGMENT'!$DA$8:$DA$1000)/SUMPRODUCT(('ANALYSE - ERP =&gt; SOUS-SEGMENT'!$C$8:$C$1000=$C27)*'ANALYSE - ERP =&gt; SOUS-SEGMENT'!$Q$8:$Q$1000*'ANALYSE - ERP =&gt; SOUS-SEGMENT'!$ED$8:$ED$1000),""))</f>
        <v>8.7065659500290522</v>
      </c>
      <c r="DB27" s="809">
        <f>IF($C27="","",IFERROR(SUMPRODUCT(('ANALYSE - ERP =&gt; SOUS-SEGMENT'!$C$8:$C$1000=$C27)*'ANALYSE - ERP =&gt; SOUS-SEGMENT'!$Q$8:$Q$1000*'ANALYSE - ERP =&gt; SOUS-SEGMENT'!$EE$8:$EE$1000*'ANALYSE - ERP =&gt; SOUS-SEGMENT'!$DB$8:$DB$1000)/SUMPRODUCT(('ANALYSE - ERP =&gt; SOUS-SEGMENT'!$C$8:$C$1000=$C27)*'ANALYSE - ERP =&gt; SOUS-SEGMENT'!$Q$8:$Q$1000*'ANALYSE - ERP =&gt; SOUS-SEGMENT'!$EE$8:$EE$1000),""))</f>
        <v>10.72494704701125</v>
      </c>
      <c r="DC27" s="807">
        <f>IF($C27="","",IFERROR(SUMPRODUCT(('ANALYSE - ERP =&gt; SOUS-SEGMENT'!$C$8:$C$1000=$C27)*'ANALYSE - ERP =&gt; SOUS-SEGMENT'!$Q$8:$Q$1000*'ANALYSE - ERP =&gt; SOUS-SEGMENT'!$EM$8:$EM$1000*'ANALYSE - ERP =&gt; SOUS-SEGMENT'!$DC$8:$DC$1000)/SUMPRODUCT(('ANALYSE - ERP =&gt; SOUS-SEGMENT'!$C$8:$C$1000=$C27)*'ANALYSE - ERP =&gt; SOUS-SEGMENT'!$Q$8:$Q$1000*'ANALYSE - ERP =&gt; SOUS-SEGMENT'!$EM$8:$EM$1000),""))</f>
        <v>13.178948758584259</v>
      </c>
      <c r="DD27" s="808">
        <f>IF($C27="","",IFERROR(SUMPRODUCT(('ANALYSE - ERP =&gt; SOUS-SEGMENT'!$C$8:$C$1000=$C27)*'ANALYSE - ERP =&gt; SOUS-SEGMENT'!$Q$8:$Q$1000*'ANALYSE - ERP =&gt; SOUS-SEGMENT'!$EN$8:$EN$1000*'ANALYSE - ERP =&gt; SOUS-SEGMENT'!$DD$8:$DD$1000)/SUMPRODUCT(('ANALYSE - ERP =&gt; SOUS-SEGMENT'!$C$8:$C$1000=$C27)*'ANALYSE - ERP =&gt; SOUS-SEGMENT'!$Q$8:$Q$1000*'ANALYSE - ERP =&gt; SOUS-SEGMENT'!$EN$8:$EN$1000),""))</f>
        <v>13.501518828653627</v>
      </c>
      <c r="DE27" s="809">
        <f>IF($C27="","",IFERROR(SUMPRODUCT(('ANALYSE - ERP =&gt; SOUS-SEGMENT'!$C$8:$C$1000=$C27)*'ANALYSE - ERP =&gt; SOUS-SEGMENT'!$Q$8:$Q$1000*'ANALYSE - ERP =&gt; SOUS-SEGMENT'!$EO$8:$EO$1000*'ANALYSE - ERP =&gt; SOUS-SEGMENT'!$DE$8:$DE$1000)/SUMPRODUCT(('ANALYSE - ERP =&gt; SOUS-SEGMENT'!$C$8:$C$1000=$C27)*'ANALYSE - ERP =&gt; SOUS-SEGMENT'!$Q$8:$Q$1000*'ANALYSE - ERP =&gt; SOUS-SEGMENT'!$EO$8:$EO$1000),""))</f>
        <v>9.7603471068777345</v>
      </c>
      <c r="DF27" s="921" t="s">
        <v>5851</v>
      </c>
      <c r="DG27" s="657"/>
      <c r="DH27" s="288">
        <f>IF($C27="","",SUMPRODUCT(('ANALYSE - ERP =&gt; SOUS-SEGMENT'!$C$8:$C$1000=$C27)*'ANALYSE - ERP =&gt; SOUS-SEGMENT'!$Q$8:$Q$1000*'ANALYSE - ERP =&gt; SOUS-SEGMENT'!$DH$8:$DH$1000))</f>
        <v>121993</v>
      </c>
      <c r="DI27" s="288">
        <f>IF($C27="","",SUMPRODUCT(('ANALYSE - ERP =&gt; SOUS-SEGMENT'!$C$8:$C$1000=$C27)*'ANALYSE - ERP =&gt; SOUS-SEGMENT'!$Q$8:$Q$1000*'ANALYSE - ERP =&gt; SOUS-SEGMENT'!$DI$8:$DI$1000))</f>
        <v>120562</v>
      </c>
      <c r="DJ27" s="288">
        <f>IF($C27="","",SUMPRODUCT(('ANALYSE - ERP =&gt; SOUS-SEGMENT'!$C$8:$C$1000=$C27)*'ANALYSE - ERP =&gt; SOUS-SEGMENT'!$Q$8:$Q$1000*'ANALYSE - ERP =&gt; SOUS-SEGMENT'!$DJ$8:$DJ$1000))</f>
        <v>40774</v>
      </c>
      <c r="DK27" s="288">
        <f>IF($C27="","",SUMPRODUCT(('ANALYSE - ERP =&gt; SOUS-SEGMENT'!$C$8:$C$1000=$C27)*'ANALYSE - ERP =&gt; SOUS-SEGMENT'!$Q$8:$Q$1000*'ANALYSE - ERP =&gt; SOUS-SEGMENT'!$DK$8:$DK$1000))</f>
        <v>14071</v>
      </c>
      <c r="DL27" s="922" t="s">
        <v>5852</v>
      </c>
      <c r="DM27" s="288">
        <f>IF($C27="","",SUMPRODUCT(('ANALYSE - ERP =&gt; SOUS-SEGMENT'!$C$8:$C$1000=$C27)*'ANALYSE - ERP =&gt; SOUS-SEGMENT'!$Q$8:$Q$1000*'ANALYSE - ERP =&gt; SOUS-SEGMENT'!$DM$8:$DM$1000))</f>
        <v>117597.1</v>
      </c>
      <c r="DN27" s="288">
        <f>IF($C27="","",SUMPRODUCT(('ANALYSE - ERP =&gt; SOUS-SEGMENT'!$C$8:$C$1000=$C27)*'ANALYSE - ERP =&gt; SOUS-SEGMENT'!$Q$8:$Q$1000*'ANALYSE - ERP =&gt; SOUS-SEGMENT'!$DN$8:$DN$1000))</f>
        <v>127552.6</v>
      </c>
      <c r="DO27" s="288">
        <f>IF($C27="","",SUMPRODUCT(('ANALYSE - ERP =&gt; SOUS-SEGMENT'!$C$8:$C$1000=$C27)*'ANALYSE - ERP =&gt; SOUS-SEGMENT'!$Q$8:$Q$1000*'ANALYSE - ERP =&gt; SOUS-SEGMENT'!$DO$8:$DO$1000))</f>
        <v>53916</v>
      </c>
      <c r="DP27" s="288">
        <f>IF($C27="","",SUMPRODUCT(('ANALYSE - ERP =&gt; SOUS-SEGMENT'!$C$8:$C$1000=$C27)*'ANALYSE - ERP =&gt; SOUS-SEGMENT'!$Q$8:$Q$1000*'ANALYSE - ERP =&gt; SOUS-SEGMENT'!$DP$8:$DP$1000))</f>
        <v>10004.299999999999</v>
      </c>
      <c r="DQ27" s="922" t="s">
        <v>5853</v>
      </c>
      <c r="DR27" s="657"/>
      <c r="DS27" s="288">
        <f>IF($C27="","",SUMPRODUCT(('ANALYSE - ERP =&gt; SOUS-SEGMENT'!$C$8:$C$1000=$C27)*'ANALYSE - ERP =&gt; SOUS-SEGMENT'!$Q$8:$Q$1000*'ANALYSE - ERP =&gt; SOUS-SEGMENT'!$DS$8:$DS$1000))</f>
        <v>39998.5</v>
      </c>
      <c r="DT27" s="288">
        <f>IF($C27="","",SUMPRODUCT(('ANALYSE - ERP =&gt; SOUS-SEGMENT'!$C$8:$C$1000=$C27)*'ANALYSE - ERP =&gt; SOUS-SEGMENT'!$Q$8:$Q$1000*'ANALYSE - ERP =&gt; SOUS-SEGMENT'!$DT$8:$DT$1000))</f>
        <v>46416.5</v>
      </c>
      <c r="DU27" s="288">
        <f>IF($C27="","",SUMPRODUCT(('ANALYSE - ERP =&gt; SOUS-SEGMENT'!$C$8:$C$1000=$C27)*'ANALYSE - ERP =&gt; SOUS-SEGMENT'!$Q$8:$Q$1000*'ANALYSE - ERP =&gt; SOUS-SEGMENT'!$DU$8:$DU$1000))</f>
        <v>20375</v>
      </c>
      <c r="DV27" s="922" t="s">
        <v>5854</v>
      </c>
      <c r="DW27" s="288">
        <f>IF($C27="","",SUMPRODUCT(('ANALYSE - ERP =&gt; SOUS-SEGMENT'!$C$8:$C$1000=$C27)*'ANALYSE - ERP =&gt; SOUS-SEGMENT'!$Q$8:$Q$1000*'ANALYSE - ERP =&gt; SOUS-SEGMENT'!$DW$8:$DW$1000))</f>
        <v>37089.5</v>
      </c>
      <c r="DX27" s="288">
        <f>IF($C27="","",SUMPRODUCT(('ANALYSE - ERP =&gt; SOUS-SEGMENT'!$C$8:$C$1000=$C27)*'ANALYSE - ERP =&gt; SOUS-SEGMENT'!$Q$8:$Q$1000*'ANALYSE - ERP =&gt; SOUS-SEGMENT'!$DX$8:$DX$1000))</f>
        <v>47929</v>
      </c>
      <c r="DY27" s="288">
        <f>IF($C27="","",SUMPRODUCT(('ANALYSE - ERP =&gt; SOUS-SEGMENT'!$C$8:$C$1000=$C27)*'ANALYSE - ERP =&gt; SOUS-SEGMENT'!$Q$8:$Q$1000*'ANALYSE - ERP =&gt; SOUS-SEGMENT'!$DY$8:$DY$1000))</f>
        <v>25911.500000000004</v>
      </c>
      <c r="DZ27" s="922" t="s">
        <v>5855</v>
      </c>
      <c r="EA27" s="657"/>
      <c r="EB27" s="288">
        <f>IF($C27="","",SUMPRODUCT(('ANALYSE - ERP =&gt; SOUS-SEGMENT'!$C$8:$C$1000=$C27)*'ANALYSE - ERP =&gt; SOUS-SEGMENT'!$Q$8:$Q$1000*'ANALYSE - ERP =&gt; SOUS-SEGMENT'!$EB$8:$EB$1000))</f>
        <v>12592.25</v>
      </c>
      <c r="EC27" s="288">
        <f>IF($C27="","",SUMPRODUCT(('ANALYSE - ERP =&gt; SOUS-SEGMENT'!$C$8:$C$1000=$C27)*'ANALYSE - ERP =&gt; SOUS-SEGMENT'!$Q$8:$Q$1000*'ANALYSE - ERP =&gt; SOUS-SEGMENT'!$EC$8:$EC$1000))</f>
        <v>39117.75</v>
      </c>
      <c r="ED27" s="288">
        <f>IF($C27="","",SUMPRODUCT(('ANALYSE - ERP =&gt; SOUS-SEGMENT'!$C$8:$C$1000=$C27)*'ANALYSE - ERP =&gt; SOUS-SEGMENT'!$Q$8:$Q$1000*'ANALYSE - ERP =&gt; SOUS-SEGMENT'!$ED$8:$ED$1000))</f>
        <v>11616.75</v>
      </c>
      <c r="EE27" s="288">
        <f>IF($C27="","",SUMPRODUCT(('ANALYSE - ERP =&gt; SOUS-SEGMENT'!$C$8:$C$1000=$C27)*'ANALYSE - ERP =&gt; SOUS-SEGMENT'!$Q$8:$Q$1000*'ANALYSE - ERP =&gt; SOUS-SEGMENT'!$EE$8:$EE$1000))</f>
        <v>9088.25</v>
      </c>
      <c r="EF27" s="922" t="s">
        <v>5856</v>
      </c>
      <c r="EG27" s="288">
        <f>IF($C27="","",SUMPRODUCT(('ANALYSE - ERP =&gt; SOUS-SEGMENT'!$C$8:$C$1000=$C27)*'ANALYSE - ERP =&gt; SOUS-SEGMENT'!$Q$8:$Q$1000*'ANALYSE - ERP =&gt; SOUS-SEGMENT'!$EG$8:$EG$1000))</f>
        <v>10367.25</v>
      </c>
      <c r="EH27" s="288">
        <f>IF($C27="","",SUMPRODUCT(('ANALYSE - ERP =&gt; SOUS-SEGMENT'!$C$8:$C$1000=$C27)*'ANALYSE - ERP =&gt; SOUS-SEGMENT'!$Q$8:$Q$1000*'ANALYSE - ERP =&gt; SOUS-SEGMENT'!$EH$8:$EH$1000))</f>
        <v>39664.199999999997</v>
      </c>
      <c r="EI27" s="288">
        <f>IF($C27="","",SUMPRODUCT(('ANALYSE - ERP =&gt; SOUS-SEGMENT'!$C$8:$C$1000=$C27)*'ANALYSE - ERP =&gt; SOUS-SEGMENT'!$Q$8:$Q$1000*'ANALYSE - ERP =&gt; SOUS-SEGMENT'!$EI$8:$EI$1000))</f>
        <v>14824.9</v>
      </c>
      <c r="EJ27" s="288">
        <f>IF($C27="","",SUMPRODUCT(('ANALYSE - ERP =&gt; SOUS-SEGMENT'!$C$8:$C$1000=$C27)*'ANALYSE - ERP =&gt; SOUS-SEGMENT'!$Q$8:$Q$1000*'ANALYSE - ERP =&gt; SOUS-SEGMENT'!$EJ$8:$EJ$1000))</f>
        <v>10373.650000000001</v>
      </c>
      <c r="EK27" s="922" t="s">
        <v>5857</v>
      </c>
      <c r="EL27" s="657"/>
      <c r="EM27" s="288">
        <f>IF($C27="","",SUMPRODUCT(('ANALYSE - ERP =&gt; SOUS-SEGMENT'!$C$8:$C$1000=$C27)*'ANALYSE - ERP =&gt; SOUS-SEGMENT'!$Q$8:$Q$1000*'ANALYSE - ERP =&gt; SOUS-SEGMENT'!$EM$8:$EM$1000))</f>
        <v>113580</v>
      </c>
      <c r="EN27" s="291">
        <f>IF($C27="","",SUMPRODUCT(('ANALYSE - ERP =&gt; SOUS-SEGMENT'!$C$8:$C$1000=$C27)*'ANALYSE - ERP =&gt; SOUS-SEGMENT'!$Q$8:$Q$1000*'ANALYSE - ERP =&gt; SOUS-SEGMENT'!$EN$8:$EN$1000))</f>
        <v>62219</v>
      </c>
      <c r="EO27" s="291">
        <f>IF($C27="","",SUMPRODUCT(('ANALYSE - ERP =&gt; SOUS-SEGMENT'!$C$8:$C$1000=$C27)*'ANALYSE - ERP =&gt; SOUS-SEGMENT'!$Q$8:$Q$1000*'ANALYSE - ERP =&gt; SOUS-SEGMENT'!$EO$8:$EO$1000))</f>
        <v>29501.000000000004</v>
      </c>
      <c r="EP27" s="922" t="s">
        <v>5858</v>
      </c>
      <c r="EQ27" s="288">
        <f>IF($C27="","",SUMPRODUCT(('ANALYSE - ERP =&gt; SOUS-SEGMENT'!$C$8:$C$1000=$C27)*'ANALYSE - ERP =&gt; SOUS-SEGMENT'!$Q$8:$Q$1000*'ANALYSE - ERP =&gt; SOUS-SEGMENT'!$EQ$8:$EQ$1000))</f>
        <v>104560.5</v>
      </c>
      <c r="ER27" s="291">
        <f>IF($C27="","",SUMPRODUCT(('ANALYSE - ERP =&gt; SOUS-SEGMENT'!$C$8:$C$1000=$C27)*'ANALYSE - ERP =&gt; SOUS-SEGMENT'!$Q$8:$Q$1000*'ANALYSE - ERP =&gt; SOUS-SEGMENT'!$ER$8:$ER$1000))</f>
        <v>70845</v>
      </c>
      <c r="ES27" s="291">
        <f>IF($C27="","",SUMPRODUCT(('ANALYSE - ERP =&gt; SOUS-SEGMENT'!$C$8:$C$1000=$C27)*'ANALYSE - ERP =&gt; SOUS-SEGMENT'!$Q$8:$Q$1000*'ANALYSE - ERP =&gt; SOUS-SEGMENT'!$ES$8:$ES$1000))</f>
        <v>37944.5</v>
      </c>
      <c r="ET27" s="922" t="s">
        <v>5859</v>
      </c>
      <c r="EU27" s="657"/>
      <c r="EV27" s="740">
        <f t="shared" si="31"/>
        <v>0.77199441702314464</v>
      </c>
      <c r="EW27" s="740">
        <f t="shared" si="32"/>
        <v>0.22800558297685533</v>
      </c>
      <c r="EX27" s="563">
        <f t="shared" si="33"/>
        <v>298889.97348331468</v>
      </c>
      <c r="EY27" s="563">
        <f t="shared" si="34"/>
        <v>230741.39083331468</v>
      </c>
      <c r="EZ27" s="563">
        <f t="shared" si="35"/>
        <v>68148.582649999997</v>
      </c>
      <c r="FA27" s="563">
        <f t="shared" si="36"/>
        <v>126601.44027594372</v>
      </c>
      <c r="FB27" s="563">
        <f>IF($C27="","",SUMPRODUCT(('ANALYSE - ERP =&gt; SOUS-SEGMENT'!$C$8:$C$1000=$C27)*'ANALYSE - ERP =&gt; SOUS-SEGMENT'!$Q$8:$Q$1000*'ANALYSE - ERP =&gt; SOUS-SEGMENT'!$FB$8:$FB$1000))</f>
        <v>97194.285275943723</v>
      </c>
      <c r="FC27" s="563">
        <f>IF($C27="","",SUMPRODUCT(('ANALYSE - ERP =&gt; SOUS-SEGMENT'!$C$8:$C$1000=$C27)*'ANALYSE - ERP =&gt; SOUS-SEGMENT'!$Q$8:$Q$1000*'ANALYSE - ERP =&gt; SOUS-SEGMENT'!$FC$8:$FC$1000))</f>
        <v>29407.154999999999</v>
      </c>
      <c r="FD27" s="563">
        <f t="shared" si="37"/>
        <v>51206.753438588377</v>
      </c>
      <c r="FE27" s="563">
        <f>IF($C27="","",SUMPRODUCT(('ANALYSE - ERP =&gt; SOUS-SEGMENT'!$C$8:$C$1000=$C27)*'ANALYSE - ERP =&gt; SOUS-SEGMENT'!$Q$8:$Q$1000*'ANALYSE - ERP =&gt; SOUS-SEGMENT'!$FE$8:$FE$1000))</f>
        <v>40259.543738588378</v>
      </c>
      <c r="FF27" s="563">
        <f>IF($C27="","",SUMPRODUCT(('ANALYSE - ERP =&gt; SOUS-SEGMENT'!$C$8:$C$1000=$C27)*'ANALYSE - ERP =&gt; SOUS-SEGMENT'!$Q$8:$Q$1000*'ANALYSE - ERP =&gt; SOUS-SEGMENT'!$FF$8:$FF$1000))</f>
        <v>10947.209699999999</v>
      </c>
      <c r="FG27" s="563">
        <f t="shared" si="38"/>
        <v>33567.243550753687</v>
      </c>
      <c r="FH27" s="563">
        <f>IF($C27="","",SUMPRODUCT(('ANALYSE - ERP =&gt; SOUS-SEGMENT'!$C$8:$C$1000=$C27)*'ANALYSE - ERP =&gt; SOUS-SEGMENT'!$Q$8:$Q$1000*'ANALYSE - ERP =&gt; SOUS-SEGMENT'!$FH$8:$FH$1000))</f>
        <v>26174.342600753684</v>
      </c>
      <c r="FI27" s="563">
        <f>IF($C27="","",SUMPRODUCT(('ANALYSE - ERP =&gt; SOUS-SEGMENT'!$C$8:$C$1000=$C27)*'ANALYSE - ERP =&gt; SOUS-SEGMENT'!$Q$8:$Q$1000*'ANALYSE - ERP =&gt; SOUS-SEGMENT'!$FI$8:$FI$1000))</f>
        <v>7392.9009499999993</v>
      </c>
      <c r="FJ27" s="563">
        <f t="shared" si="39"/>
        <v>87514.536218028908</v>
      </c>
      <c r="FK27" s="563">
        <f>IF($C27="","",SUMPRODUCT(('ANALYSE - ERP =&gt; SOUS-SEGMENT'!$C$8:$C$1000=$C27)*'ANALYSE - ERP =&gt; SOUS-SEGMENT'!$Q$8:$Q$1000*'ANALYSE - ERP =&gt; SOUS-SEGMENT'!$FK$8:$FK$1000))</f>
        <v>67113.219218028913</v>
      </c>
      <c r="FL27" s="563">
        <f>IF($C27="","",SUMPRODUCT(('ANALYSE - ERP =&gt; SOUS-SEGMENT'!$C$8:$C$1000=$C27)*'ANALYSE - ERP =&gt; SOUS-SEGMENT'!$Q$8:$Q$1000*'ANALYSE - ERP =&gt; SOUS-SEGMENT'!$FL$8:$FL$1000))</f>
        <v>20401.316999999999</v>
      </c>
      <c r="FM27" s="529"/>
      <c r="FN27" s="961" t="s">
        <v>2649</v>
      </c>
      <c r="FO27" s="740">
        <f>IF($C27="","",IFERROR(SUMPRODUCT(('ANALYSE - ERP =&gt; SOUS-SEGMENT'!$C$8:$C$1000=$C27)*'ANALYSE - ERP =&gt; SOUS-SEGMENT'!$Q$8:$Q$1000*'ANALYSE - ERP =&gt; SOUS-SEGMENT'!$AF$8:$AF$1000*'ANALYSE - ERP =&gt; SOUS-SEGMENT'!$FO$8:$FO$1000)/SUMPRODUCT(('ANALYSE - ERP =&gt; SOUS-SEGMENT'!$C$8:$C$1000=$C27)*'ANALYSE - ERP =&gt; SOUS-SEGMENT'!$Q$8:$Q$1000*'ANALYSE - ERP =&gt; SOUS-SEGMENT'!$AF$8:$AF$1000),""))</f>
        <v>6.8066510903426788E-2</v>
      </c>
      <c r="FP27" s="741">
        <f>IF($C27="","",IFERROR(SUMPRODUCT(('ANALYSE - ERP =&gt; SOUS-SEGMENT'!$C$8:$C$1000=$C27)*'ANALYSE - ERP =&gt; SOUS-SEGMENT'!$Q$8:$Q$1000*'ANALYSE - ERP =&gt; SOUS-SEGMENT'!$AF$8:$AF$1000*'ANALYSE - ERP =&gt; SOUS-SEGMENT'!$FP$8:$FP$1000)/SUMPRODUCT(('ANALYSE - ERP =&gt; SOUS-SEGMENT'!$C$8:$C$1000=$C27)*'ANALYSE - ERP =&gt; SOUS-SEGMENT'!$Q$8:$Q$1000*'ANALYSE - ERP =&gt; SOUS-SEGMENT'!$AF$8:$AF$1000),""))</f>
        <v>0.82563037383177573</v>
      </c>
      <c r="FQ27" s="961" t="s">
        <v>5860</v>
      </c>
      <c r="FR27" s="529"/>
      <c r="FS27" s="867">
        <f>IF($C27="","",IFERROR(SUMPRODUCT(('ANALYSE - ERP =&gt; SOUS-SEGMENT'!$C$8:$C$1000=$C27)*'ANALYSE - ERP =&gt; SOUS-SEGMENT'!$Q$8:$Q$1000*'ANALYSE - ERP =&gt; SOUS-SEGMENT'!$EX$8:$EX$1000*'ANALYSE - ERP =&gt; SOUS-SEGMENT'!$FS$8:$FS$1000)/SUMPRODUCT(('ANALYSE - ERP =&gt; SOUS-SEGMENT'!$C$8:$C$1000=$C27)*'ANALYSE - ERP =&gt; SOUS-SEGMENT'!$Q$8:$Q$1000*'ANALYSE - ERP =&gt; SOUS-SEGMENT'!$EX$8:$EX$1000),""))</f>
        <v>3.3049862540659118</v>
      </c>
      <c r="FT27" s="566">
        <f>IF($C27="","",RANK($FS27,$FS$8:$FS$43,0)+COUNTIF($FS$8:$FS27,$FS27)-1)</f>
        <v>19</v>
      </c>
      <c r="FU27" s="867">
        <f>IF($C27="","",IFERROR(SUMPRODUCT(('ANALYSE - ERP =&gt; SOUS-SEGMENT'!$C$8:$C$1000=$C27)*'ANALYSE - ERP =&gt; SOUS-SEGMENT'!$Q$8:$Q$1000*'ANALYSE - ERP =&gt; SOUS-SEGMENT'!$EY$8:$EY$1000*'ANALYSE - ERP =&gt; SOUS-SEGMENT'!$FU$8:$FU$1000)/SUMPRODUCT(('ANALYSE - ERP =&gt; SOUS-SEGMENT'!$C$8:$C$1000=$C27)*'ANALYSE - ERP =&gt; SOUS-SEGMENT'!$Q$8:$Q$1000*'ANALYSE - ERP =&gt; SOUS-SEGMENT'!$EY$8:$EY$1000),""))</f>
        <v>3.9330446167923911</v>
      </c>
      <c r="FV27" s="566">
        <f>IF($C27="","",RANK($FU27,$FU$8:$FU$43,0)+COUNTIF($FU$8:$FU27,$FU27)-1)</f>
        <v>21</v>
      </c>
      <c r="FW27" s="867">
        <f>IF($C27="","",IFERROR(SUMPRODUCT(('ANALYSE - ERP =&gt; SOUS-SEGMENT'!$C$8:$C$1000=$C27)*'ANALYSE - ERP =&gt; SOUS-SEGMENT'!$Q$8:$Q$1000*'ANALYSE - ERP =&gt; SOUS-SEGMENT'!$EZ$8:$EZ$1000*'ANALYSE - ERP =&gt; SOUS-SEGMENT'!$FW$8:$FW$1000)/SUMPRODUCT(('ANALYSE - ERP =&gt; SOUS-SEGMENT'!$C$8:$C$1000=$C27)*'ANALYSE - ERP =&gt; SOUS-SEGMENT'!$Q$8:$Q$1000*'ANALYSE - ERP =&gt; SOUS-SEGMENT'!$EZ$8:$EZ$1000),""))</f>
        <v>2.3239723674575936</v>
      </c>
      <c r="FX27" s="566">
        <f>IF($C27="","",RANK($FW27,$FW$8:$FW$43,0)+COUNTIF($FW$8:$FW27,$FW27)-1)</f>
        <v>17</v>
      </c>
      <c r="FY27" s="529"/>
      <c r="FZ27" s="922" t="s">
        <v>5861</v>
      </c>
      <c r="GA27" s="922" t="s">
        <v>5862</v>
      </c>
      <c r="GB27" s="922" t="s">
        <v>5863</v>
      </c>
      <c r="GC27" s="922" t="s">
        <v>5864</v>
      </c>
      <c r="GD27" s="922" t="s">
        <v>5865</v>
      </c>
      <c r="GE27" s="922" t="s">
        <v>5866</v>
      </c>
      <c r="GF27" s="923" t="s">
        <v>5750</v>
      </c>
      <c r="GG27" s="529"/>
      <c r="GH27" s="563">
        <f t="shared" si="40"/>
        <v>50458.179721525637</v>
      </c>
      <c r="GI27" s="563">
        <f>IF($C27="","",SUMPRODUCT(('ANALYSE - ERP =&gt; SOUS-SEGMENT'!$C$8:$C$1000=$C27)*'ANALYSE - ERP =&gt; SOUS-SEGMENT'!$Q$8:$Q$1000*'ANALYSE - ERP =&gt; SOUS-SEGMENT'!$GI$8:$GI$1000))</f>
        <v>39359.478041525639</v>
      </c>
      <c r="GJ27" s="563">
        <f>IF($C27="","",SUMPRODUCT(('ANALYSE - ERP =&gt; SOUS-SEGMENT'!$C$8:$C$1000=$C27)*'ANALYSE - ERP =&gt; SOUS-SEGMENT'!$Q$8:$Q$1000*'ANALYSE - ERP =&gt; SOUS-SEGMENT'!$GJ$8:$GJ$1000))</f>
        <v>11098.70168</v>
      </c>
      <c r="GK27" s="563">
        <f t="shared" si="41"/>
        <v>48907.993583736272</v>
      </c>
      <c r="GL27" s="563">
        <f>IF($C27="","",SUMPRODUCT(('ANALYSE - ERP =&gt; SOUS-SEGMENT'!$C$8:$C$1000=$C27)*'ANALYSE - ERP =&gt; SOUS-SEGMENT'!$Q$8:$Q$1000*'ANALYSE - ERP =&gt; SOUS-SEGMENT'!$GL$8:$GL$1000))</f>
        <v>36648.383033736267</v>
      </c>
      <c r="GM27" s="563">
        <f>IF($C27="","",SUMPRODUCT(('ANALYSE - ERP =&gt; SOUS-SEGMENT'!$C$8:$C$1000=$C27)*'ANALYSE - ERP =&gt; SOUS-SEGMENT'!$Q$8:$Q$1000*'ANALYSE - ERP =&gt; SOUS-SEGMENT'!$GM$8:$GM$1000))</f>
        <v>12259.610550000001</v>
      </c>
      <c r="GN27" s="563">
        <f t="shared" si="42"/>
        <v>21458.898599666663</v>
      </c>
      <c r="GO27" s="563">
        <f>IF($C27="","",SUMPRODUCT(('ANALYSE - ERP =&gt; SOUS-SEGMENT'!$C$8:$C$1000=$C27)*'ANALYSE - ERP =&gt; SOUS-SEGMENT'!$Q$8:$Q$1000*'ANALYSE - ERP =&gt; SOUS-SEGMENT'!$GO$8:$GO$1000))</f>
        <v>16385.674769666664</v>
      </c>
      <c r="GP27" s="563">
        <f>IF($C27="","",SUMPRODUCT(('ANALYSE - ERP =&gt; SOUS-SEGMENT'!$C$8:$C$1000=$C27)*'ANALYSE - ERP =&gt; SOUS-SEGMENT'!$Q$8:$Q$1000*'ANALYSE - ERP =&gt; SOUS-SEGMENT'!$GP$8:$GP$1000))</f>
        <v>5073.2238299999999</v>
      </c>
      <c r="GQ27" s="563">
        <f t="shared" si="43"/>
        <v>5776.3683710151518</v>
      </c>
      <c r="GR27" s="563">
        <f>IF($C27="","",SUMPRODUCT(('ANALYSE - ERP =&gt; SOUS-SEGMENT'!$C$8:$C$1000=$C27)*'ANALYSE - ERP =&gt; SOUS-SEGMENT'!$Q$8:$Q$1000*'ANALYSE - ERP =&gt; SOUS-SEGMENT'!$GR$8:$GR$1000))</f>
        <v>4800.7494310151515</v>
      </c>
      <c r="GS27" s="563">
        <f>IF($C27="","",SUMPRODUCT(('ANALYSE - ERP =&gt; SOUS-SEGMENT'!$C$8:$C$1000=$C27)*'ANALYSE - ERP =&gt; SOUS-SEGMENT'!$Q$8:$Q$1000*'ANALYSE - ERP =&gt; SOUS-SEGMENT'!$GS$8:$GS$1000))</f>
        <v>975.61894000000007</v>
      </c>
      <c r="GT27" s="563">
        <f t="shared" si="44"/>
        <v>17695.829407515153</v>
      </c>
      <c r="GU27" s="563">
        <f>IF($C27="","",SUMPRODUCT(('ANALYSE - ERP =&gt; SOUS-SEGMENT'!$C$8:$C$1000=$C27)*'ANALYSE - ERP =&gt; SOUS-SEGMENT'!$Q$8:$Q$1000*'ANALYSE - ERP =&gt; SOUS-SEGMENT'!$GU$8:$GU$1000))</f>
        <v>14021.123292515153</v>
      </c>
      <c r="GV27" s="563">
        <f>IF($C27="","",SUMPRODUCT(('ANALYSE - ERP =&gt; SOUS-SEGMENT'!$C$8:$C$1000=$C27)*'ANALYSE - ERP =&gt; SOUS-SEGMENT'!$Q$8:$Q$1000*'ANALYSE - ERP =&gt; SOUS-SEGMENT'!$GV$8:$GV$1000))</f>
        <v>3674.706115</v>
      </c>
      <c r="GW27" s="563">
        <f t="shared" si="45"/>
        <v>21655.775989545451</v>
      </c>
      <c r="GX27" s="563">
        <f>IF($C27="","",SUMPRODUCT(('ANALYSE - ERP =&gt; SOUS-SEGMENT'!$C$8:$C$1000=$C27)*'ANALYSE - ERP =&gt; SOUS-SEGMENT'!$Q$8:$Q$1000*'ANALYSE - ERP =&gt; SOUS-SEGMENT'!$GX$8:$GX$1000))</f>
        <v>16920.593451545454</v>
      </c>
      <c r="GY27" s="563">
        <f>IF($C27="","",SUMPRODUCT(('ANALYSE - ERP =&gt; SOUS-SEGMENT'!$C$8:$C$1000=$C27)*'ANALYSE - ERP =&gt; SOUS-SEGMENT'!$Q$8:$Q$1000*'ANALYSE - ERP =&gt; SOUS-SEGMENT'!$GY$8:$GY$1000))</f>
        <v>4735.1825379999991</v>
      </c>
      <c r="GZ27" s="563">
        <f t="shared" si="46"/>
        <v>11855.148041527778</v>
      </c>
      <c r="HA27" s="563">
        <f>IF($C27="","",SUMPRODUCT(('ANALYSE - ERP =&gt; SOUS-SEGMENT'!$C$8:$C$1000=$C27)*'ANALYSE - ERP =&gt; SOUS-SEGMENT'!$Q$8:$Q$1000*'ANALYSE - ERP =&gt; SOUS-SEGMENT'!$HA$8:$HA$1000))</f>
        <v>9317.8269945277789</v>
      </c>
      <c r="HB27" s="563">
        <f>IF($C27="","",SUMPRODUCT(('ANALYSE - ERP =&gt; SOUS-SEGMENT'!$C$8:$C$1000=$C27)*'ANALYSE - ERP =&gt; SOUS-SEGMENT'!$Q$8:$Q$1000*'ANALYSE - ERP =&gt; SOUS-SEGMENT'!$HB$8:$HB$1000))</f>
        <v>2537.3210469999999</v>
      </c>
      <c r="HC27" s="563">
        <f t="shared" si="47"/>
        <v>5685.2718974090913</v>
      </c>
      <c r="HD27" s="563">
        <f>IF($C27="","",SUMPRODUCT(('ANALYSE - ERP =&gt; SOUS-SEGMENT'!$C$8:$C$1000=$C27)*'ANALYSE - ERP =&gt; SOUS-SEGMENT'!$Q$8:$Q$1000*'ANALYSE - ERP =&gt; SOUS-SEGMENT'!$HD$8:$HD$1000))</f>
        <v>4692.8706494090911</v>
      </c>
      <c r="HE27" s="563">
        <f>IF($C27="","",SUMPRODUCT(('ANALYSE - ERP =&gt; SOUS-SEGMENT'!$C$8:$C$1000=$C27)*'ANALYSE - ERP =&gt; SOUS-SEGMENT'!$Q$8:$Q$1000*'ANALYSE - ERP =&gt; SOUS-SEGMENT'!$HE$8:$HE$1000))</f>
        <v>992.40124800000001</v>
      </c>
      <c r="HF27" s="563">
        <f t="shared" si="48"/>
        <v>16760.804124509614</v>
      </c>
      <c r="HG27" s="563">
        <f>IF($C27="","",SUMPRODUCT(('ANALYSE - ERP =&gt; SOUS-SEGMENT'!$C$8:$C$1000=$C27)*'ANALYSE - ERP =&gt; SOUS-SEGMENT'!$Q$8:$Q$1000*'ANALYSE - ERP =&gt; SOUS-SEGMENT'!$HG$8:$HG$1000))</f>
        <v>12824.723507009616</v>
      </c>
      <c r="HH27" s="563">
        <f>IF($C27="","",SUMPRODUCT(('ANALYSE - ERP =&gt; SOUS-SEGMENT'!$C$8:$C$1000=$C27)*'ANALYSE - ERP =&gt; SOUS-SEGMENT'!$Q$8:$Q$1000*'ANALYSE - ERP =&gt; SOUS-SEGMENT'!$HH$8:$HH$1000))</f>
        <v>3936.0806174999993</v>
      </c>
      <c r="HI27" s="563">
        <f t="shared" si="49"/>
        <v>6727.3555887986113</v>
      </c>
      <c r="HJ27" s="563">
        <f>IF($C27="","",SUMPRODUCT(('ANALYSE - ERP =&gt; SOUS-SEGMENT'!$C$8:$C$1000=$C27)*'ANALYSE - ERP =&gt; SOUS-SEGMENT'!$Q$8:$Q$1000*'ANALYSE - ERP =&gt; SOUS-SEGMENT'!$HJ$8:$HJ$1000))</f>
        <v>5277.5436377986107</v>
      </c>
      <c r="HK27" s="563">
        <f>IF($C27="","",SUMPRODUCT(('ANALYSE - ERP =&gt; SOUS-SEGMENT'!$C$8:$C$1000=$C27)*'ANALYSE - ERP =&gt; SOUS-SEGMENT'!$Q$8:$Q$1000*'ANALYSE - ERP =&gt; SOUS-SEGMENT'!$HK$8:$HK$1000))</f>
        <v>1449.8119510000001</v>
      </c>
      <c r="HL27" s="563">
        <f t="shared" si="50"/>
        <v>4393.811940036363</v>
      </c>
      <c r="HM27" s="563">
        <f>IF($C27="","",SUMPRODUCT(('ANALYSE - ERP =&gt; SOUS-SEGMENT'!$C$8:$C$1000=$C27)*'ANALYSE - ERP =&gt; SOUS-SEGMENT'!$Q$8:$Q$1000*'ANALYSE - ERP =&gt; SOUS-SEGMENT'!$HM$8:$HM$1000))</f>
        <v>3379.2048065363633</v>
      </c>
      <c r="HN27" s="563">
        <f>IF($C27="","",SUMPRODUCT(('ANALYSE - ERP =&gt; SOUS-SEGMENT'!$C$8:$C$1000=$C27)*'ANALYSE - ERP =&gt; SOUS-SEGMENT'!$Q$8:$Q$1000*'ANALYSE - ERP =&gt; SOUS-SEGMENT'!$HN$8:$HN$1000))</f>
        <v>1014.6071335</v>
      </c>
      <c r="HO27" s="563">
        <f t="shared" si="51"/>
        <v>45988.961986493501</v>
      </c>
      <c r="HP27" s="563">
        <f>IF($C27="","",SUMPRODUCT(('ANALYSE - ERP =&gt; SOUS-SEGMENT'!$C$8:$C$1000=$C27)*'ANALYSE - ERP =&gt; SOUS-SEGMENT'!$Q$8:$Q$1000*'ANALYSE - ERP =&gt; SOUS-SEGMENT'!$HP$8:$HP$1000))</f>
        <v>35988.755546493499</v>
      </c>
      <c r="HQ27" s="563">
        <f>IF($C27="","",SUMPRODUCT(('ANALYSE - ERP =&gt; SOUS-SEGMENT'!$C$8:$C$1000=$C27)*'ANALYSE - ERP =&gt; SOUS-SEGMENT'!$Q$8:$Q$1000*'ANALYSE - ERP =&gt; SOUS-SEGMENT'!$HQ$8:$HQ$1000))</f>
        <v>10000.20644</v>
      </c>
      <c r="HR27" s="563">
        <f t="shared" si="52"/>
        <v>25927.960720979852</v>
      </c>
      <c r="HS27" s="563">
        <f>IF($C27="","",SUMPRODUCT(('ANALYSE - ERP =&gt; SOUS-SEGMENT'!$C$8:$C$1000=$C27)*'ANALYSE - ERP =&gt; SOUS-SEGMENT'!$Q$8:$Q$1000*'ANALYSE - ERP =&gt; SOUS-SEGMENT'!$HS$8:$HS$1000))</f>
        <v>19206.148520979852</v>
      </c>
      <c r="HT27" s="563">
        <f>IF($C27="","",SUMPRODUCT(('ANALYSE - ERP =&gt; SOUS-SEGMENT'!$C$8:$C$1000=$C27)*'ANALYSE - ERP =&gt; SOUS-SEGMENT'!$Q$8:$Q$1000*'ANALYSE - ERP =&gt; SOUS-SEGMENT'!$HT$8:$HT$1000))</f>
        <v>6721.8122000000012</v>
      </c>
      <c r="HU27" s="563">
        <f t="shared" si="53"/>
        <v>15597.613510555559</v>
      </c>
      <c r="HV27" s="563">
        <f>IF($C27="","",SUMPRODUCT(('ANALYSE - ERP =&gt; SOUS-SEGMENT'!$C$8:$C$1000=$C27)*'ANALYSE - ERP =&gt; SOUS-SEGMENT'!$Q$8:$Q$1000*'ANALYSE - ERP =&gt; SOUS-SEGMENT'!$HV$8:$HV$1000))</f>
        <v>11918.315150555558</v>
      </c>
      <c r="HW27" s="563">
        <f>IF($C27="","",SUMPRODUCT(('ANALYSE - ERP =&gt; SOUS-SEGMENT'!$C$8:$C$1000=$C27)*'ANALYSE - ERP =&gt; SOUS-SEGMENT'!$Q$8:$Q$1000*'ANALYSE - ERP =&gt; SOUS-SEGMENT'!$HW$8:$HW$1000))</f>
        <v>3679.2983600000002</v>
      </c>
      <c r="HX27" s="544"/>
      <c r="HY27" s="568">
        <f t="shared" si="54"/>
        <v>680071.96</v>
      </c>
      <c r="HZ27" s="568">
        <f>IF($C27="","",SUMPRODUCT(('ANALYSE - ERP =&gt; SOUS-SEGMENT'!$C$8:$C$1000=$C27)*'ANALYSE - ERP =&gt; SOUS-SEGMENT'!$Q$8:$Q$1000*'ANALYSE - ERP =&gt; SOUS-SEGMENT'!$HZ$8:$HZ$1000))</f>
        <v>45582.85</v>
      </c>
      <c r="IA27" s="568">
        <f>IF($C27="","",SUMPRODUCT(('ANALYSE - ERP =&gt; SOUS-SEGMENT'!$C$8:$C$1000=$C27)*'ANALYSE - ERP =&gt; SOUS-SEGMENT'!$Q$8:$Q$1000*'ANALYSE - ERP =&gt; SOUS-SEGMENT'!$IA$8:$IA$1000))</f>
        <v>317244.223</v>
      </c>
      <c r="IB27" s="568">
        <f>IF($C27="","",SUMPRODUCT(('ANALYSE - ERP =&gt; SOUS-SEGMENT'!$C$8:$C$1000=$C27)*'ANALYSE - ERP =&gt; SOUS-SEGMENT'!$Q$8:$Q$1000*'ANALYSE - ERP =&gt; SOUS-SEGMENT'!$IB$8:$IB$1000))</f>
        <v>284001.92200000002</v>
      </c>
      <c r="IC27" s="568">
        <f>IF($C27="","",SUMPRODUCT(('ANALYSE - ERP =&gt; SOUS-SEGMENT'!$C$8:$C$1000=$C27)*'ANALYSE - ERP =&gt; SOUS-SEGMENT'!$Q$8:$Q$1000*'ANALYSE - ERP =&gt; SOUS-SEGMENT'!$IC$8:$IC$1000))</f>
        <v>33054.917000000001</v>
      </c>
      <c r="ID27" s="568">
        <f>IF($C27="","",SUMPRODUCT(('ANALYSE - ERP =&gt; SOUS-SEGMENT'!$C$8:$C$1000=$C27)*'ANALYSE - ERP =&gt; SOUS-SEGMENT'!$Q$8:$Q$1000*'ANALYSE - ERP =&gt; SOUS-SEGMENT'!$ID$8:$ID$1000))</f>
        <v>188.048</v>
      </c>
      <c r="IE27" s="568">
        <f t="shared" si="55"/>
        <v>230140.05385004202</v>
      </c>
      <c r="IF27" s="568">
        <f>IF($C27="","",SUMPRODUCT(('ANALYSE - ERP =&gt; SOUS-SEGMENT'!$C$8:$C$1000=$C27)*'ANALYSE - ERP =&gt; SOUS-SEGMENT'!$Q$8:$Q$1000*'ANALYSE - ERP =&gt; SOUS-SEGMENT'!$IF$8:$IF$1000))</f>
        <v>7962.5021321203922</v>
      </c>
      <c r="IG27" s="568">
        <f>IF($C27="","",SUMPRODUCT(('ANALYSE - ERP =&gt; SOUS-SEGMENT'!$C$8:$C$1000=$C27)*'ANALYSE - ERP =&gt; SOUS-SEGMENT'!$Q$8:$Q$1000*'ANALYSE - ERP =&gt; SOUS-SEGMENT'!$IG$8:$IG$1000))</f>
        <v>99451.727276746024</v>
      </c>
      <c r="IH27" s="568">
        <f>IF($C27="","",SUMPRODUCT(('ANALYSE - ERP =&gt; SOUS-SEGMENT'!$C$8:$C$1000=$C27)*'ANALYSE - ERP =&gt; SOUS-SEGMENT'!$Q$8:$Q$1000*'ANALYSE - ERP =&gt; SOUS-SEGMENT'!$IH$8:$IH$1000))</f>
        <v>107299.08683216153</v>
      </c>
      <c r="II27" s="568">
        <f>IF($C27="","",SUMPRODUCT(('ANALYSE - ERP =&gt; SOUS-SEGMENT'!$C$8:$C$1000=$C27)*'ANALYSE - ERP =&gt; SOUS-SEGMENT'!$Q$8:$Q$1000*'ANALYSE - ERP =&gt; SOUS-SEGMENT'!$II$8:$II$1000))</f>
        <v>14482.418139350244</v>
      </c>
      <c r="IJ27" s="568">
        <f>IF($C27="","",SUMPRODUCT(('ANALYSE - ERP =&gt; SOUS-SEGMENT'!$C$8:$C$1000=$C27)*'ANALYSE - ERP =&gt; SOUS-SEGMENT'!$Q$8:$Q$1000*'ANALYSE - ERP =&gt; SOUS-SEGMENT'!$IJ$8:$IJ$1000))</f>
        <v>944.31946966379633</v>
      </c>
      <c r="IK27" s="868">
        <f>IF($C27="","",IFERROR(SUMPRODUCT(('ANALYSE - ERP =&gt; SOUS-SEGMENT'!$C$8:$C$1000=$C27)*'ANALYSE - ERP =&gt; SOUS-SEGMENT'!$Q$8:$Q$1000*'ANALYSE - ERP =&gt; SOUS-SEGMENT'!$IE$8:$IE$1000*'ANALYSE - ERP =&gt; SOUS-SEGMENT'!$IK$8:$IK$1000)/SUMPRODUCT(('ANALYSE - ERP =&gt; SOUS-SEGMENT'!$C$8:$C$1000=$C27)*'ANALYSE - ERP =&gt; SOUS-SEGMENT'!$Q$8:$Q$1000*'ANALYSE - ERP =&gt; SOUS-SEGMENT'!$IE$8:$IE$1000),""))</f>
        <v>4.1894627237259048</v>
      </c>
      <c r="IL27" s="962" t="s">
        <v>2589</v>
      </c>
      <c r="IM27" s="963" t="s">
        <v>5867</v>
      </c>
      <c r="IN27" s="529"/>
      <c r="IO27" s="742">
        <f>IF($C27="","",IFERROR(SUMPRODUCT(('ANALYSE - ERP =&gt; SOUS-SEGMENT'!$C$8:$C$1000=$C27)*'ANALYSE - ERP =&gt; SOUS-SEGMENT'!$Q$8:$Q$1000*'ANALYSE - ERP =&gt; SOUS-SEGMENT'!$BE$8:$BE$1000*'ANALYSE - ERP =&gt; SOUS-SEGMENT'!$IO$8:$IO$1000)/SUMPRODUCT(('ANALYSE - ERP =&gt; SOUS-SEGMENT'!$C$8:$C$1000=$C27)*'ANALYSE - ERP =&gt; SOUS-SEGMENT'!$Q$8:$Q$1000*'ANALYSE - ERP =&gt; SOUS-SEGMENT'!$BE$8:$BE$1000),""))</f>
        <v>5.3296334902488231E-2</v>
      </c>
      <c r="IP27" s="742">
        <f>IF($C27="","",IFERROR(SUMPRODUCT(('ANALYSE - ERP =&gt; SOUS-SEGMENT'!$C$8:$C$1000=$C27)*'ANALYSE - ERP =&gt; SOUS-SEGMENT'!$Q$8:$Q$1000*'ANALYSE - ERP =&gt; SOUS-SEGMENT'!$BE$8:$BE$1000*'ANALYSE - ERP =&gt; SOUS-SEGMENT'!$IP$8:$IP$1000)/SUMPRODUCT(('ANALYSE - ERP =&gt; SOUS-SEGMENT'!$C$8:$C$1000=$C27)*'ANALYSE - ERP =&gt; SOUS-SEGMENT'!$Q$8:$Q$1000*'ANALYSE - ERP =&gt; SOUS-SEGMENT'!$BE$8:$BE$1000),""))</f>
        <v>0.4424523873570948</v>
      </c>
      <c r="IQ27" s="742">
        <f>IF($C27="","",IFERROR(SUMPRODUCT(('ANALYSE - ERP =&gt; SOUS-SEGMENT'!$C$8:$C$1000=$C27)*'ANALYSE - ERP =&gt; SOUS-SEGMENT'!$Q$8:$Q$1000*'ANALYSE - ERP =&gt; SOUS-SEGMENT'!$BE$8:$BE$1000*'ANALYSE - ERP =&gt; SOUS-SEGMENT'!$IQ$8:$IQ$1000)/SUMPRODUCT(('ANALYSE - ERP =&gt; SOUS-SEGMENT'!$C$8:$C$1000=$C27)*'ANALYSE - ERP =&gt; SOUS-SEGMENT'!$Q$8:$Q$1000*'ANALYSE - ERP =&gt; SOUS-SEGMENT'!$BE$8:$BE$1000),""))</f>
        <v>0.4460292199058507</v>
      </c>
      <c r="IR27" s="742">
        <f>IF($C27="","",IFERROR(SUMPRODUCT(('ANALYSE - ERP =&gt; SOUS-SEGMENT'!$C$8:$C$1000=$C27)*'ANALYSE - ERP =&gt; SOUS-SEGMENT'!$Q$8:$Q$1000*'ANALYSE - ERP =&gt; SOUS-SEGMENT'!$BE$8:$BE$1000*'ANALYSE - ERP =&gt; SOUS-SEGMENT'!$IR$8:$IR$1000)/SUMPRODUCT(('ANALYSE - ERP =&gt; SOUS-SEGMENT'!$C$8:$C$1000=$C27)*'ANALYSE - ERP =&gt; SOUS-SEGMENT'!$Q$8:$Q$1000*'ANALYSE - ERP =&gt; SOUS-SEGMENT'!$BE$8:$BE$1000),""))</f>
        <v>5.7819905850706128E-2</v>
      </c>
      <c r="IS27" s="742">
        <f>IF($C27="","",IFERROR(SUMPRODUCT(('ANALYSE - ERP =&gt; SOUS-SEGMENT'!$C$8:$C$1000=$C27)*'ANALYSE - ERP =&gt; SOUS-SEGMENT'!$Q$8:$Q$1000*'ANALYSE - ERP =&gt; SOUS-SEGMENT'!$BE$8:$BE$1000*'ANALYSE - ERP =&gt; SOUS-SEGMENT'!$IS$8:$IS$1000)/SUMPRODUCT(('ANALYSE - ERP =&gt; SOUS-SEGMENT'!$C$8:$C$1000=$C27)*'ANALYSE - ERP =&gt; SOUS-SEGMENT'!$Q$8:$Q$1000*'ANALYSE - ERP =&gt; SOUS-SEGMENT'!$BE$8:$BE$1000),""))</f>
        <v>4.0215198386012104E-4</v>
      </c>
      <c r="IT27" s="742">
        <f>IF($C27="","",IFERROR(SUMPRODUCT(('ANALYSE - ERP =&gt; SOUS-SEGMENT'!$C$8:$C$1000=$C27)*'ANALYSE - ERP =&gt; SOUS-SEGMENT'!$Q$8:$Q$1000*'ANALYSE - ERP =&gt; SOUS-SEGMENT'!$FB$8:$FB$1000*'ANALYSE - ERP =&gt; SOUS-SEGMENT'!$IT$8:$IT$1000)/SUMPRODUCT(('ANALYSE - ERP =&gt; SOUS-SEGMENT'!$C$8:$C$1000=$C27)*'ANALYSE - ERP =&gt; SOUS-SEGMENT'!$Q$8:$Q$1000*'ANALYSE - ERP =&gt; SOUS-SEGMENT'!$FB$8:$FB$1000),""))</f>
        <v>2.5874421034506382E-2</v>
      </c>
      <c r="IU27" s="742">
        <f>IF($C27="","",IFERROR(SUMPRODUCT(('ANALYSE - ERP =&gt; SOUS-SEGMENT'!$C$8:$C$1000=$C27)*'ANALYSE - ERP =&gt; SOUS-SEGMENT'!$Q$8:$Q$1000*'ANALYSE - ERP =&gt; SOUS-SEGMENT'!$FB$8:$FB$1000*'ANALYSE - ERP =&gt; SOUS-SEGMENT'!$IU$8:$IU$1000)/SUMPRODUCT(('ANALYSE - ERP =&gt; SOUS-SEGMENT'!$C$8:$C$1000=$C27)*'ANALYSE - ERP =&gt; SOUS-SEGMENT'!$Q$8:$Q$1000*'ANALYSE - ERP =&gt; SOUS-SEGMENT'!$FB$8:$FB$1000),""))</f>
        <v>0.40047254462520754</v>
      </c>
      <c r="IV27" s="742">
        <f>IF($C27="","",IFERROR(SUMPRODUCT(('ANALYSE - ERP =&gt; SOUS-SEGMENT'!$C$8:$C$1000=$C27)*'ANALYSE - ERP =&gt; SOUS-SEGMENT'!$Q$8:$Q$1000*'ANALYSE - ERP =&gt; SOUS-SEGMENT'!$FB$8:$FB$1000*'ANALYSE - ERP =&gt; SOUS-SEGMENT'!$IV$8:$IV$1000)/SUMPRODUCT(('ANALYSE - ERP =&gt; SOUS-SEGMENT'!$C$8:$C$1000=$C27)*'ANALYSE - ERP =&gt; SOUS-SEGMENT'!$Q$8:$Q$1000*'ANALYSE - ERP =&gt; SOUS-SEGMENT'!$FB$8:$FB$1000),""))</f>
        <v>0.49527091380383631</v>
      </c>
      <c r="IW27" s="742">
        <f>IF($C27="","",IFERROR(SUMPRODUCT(('ANALYSE - ERP =&gt; SOUS-SEGMENT'!$C$8:$C$1000=$C27)*'ANALYSE - ERP =&gt; SOUS-SEGMENT'!$Q$8:$Q$1000*'ANALYSE - ERP =&gt; SOUS-SEGMENT'!$FB$8:$FB$1000*'ANALYSE - ERP =&gt; SOUS-SEGMENT'!$IW$8:$IW$1000)/SUMPRODUCT(('ANALYSE - ERP =&gt; SOUS-SEGMENT'!$C$8:$C$1000=$C27)*'ANALYSE - ERP =&gt; SOUS-SEGMENT'!$Q$8:$Q$1000*'ANALYSE - ERP =&gt; SOUS-SEGMENT'!$FB$8:$FB$1000),""))</f>
        <v>7.3800021515659189E-2</v>
      </c>
      <c r="IX27" s="742">
        <f>IF($C27="","",IFERROR(SUMPRODUCT(('ANALYSE - ERP =&gt; SOUS-SEGMENT'!$C$8:$C$1000=$C27)*'ANALYSE - ERP =&gt; SOUS-SEGMENT'!$Q$8:$Q$1000*'ANALYSE - ERP =&gt; SOUS-SEGMENT'!$FB$8:$FB$1000*'ANALYSE - ERP =&gt; SOUS-SEGMENT'!$IX$8:$IX$1000)/SUMPRODUCT(('ANALYSE - ERP =&gt; SOUS-SEGMENT'!$C$8:$C$1000=$C27)*'ANALYSE - ERP =&gt; SOUS-SEGMENT'!$Q$8:$Q$1000*'ANALYSE - ERP =&gt; SOUS-SEGMENT'!$FB$8:$FB$1000),""))</f>
        <v>4.5820990207907208E-3</v>
      </c>
      <c r="IY27" s="742">
        <f>IF($C27="","",IFERROR(SUMPRODUCT(('ANALYSE - ERP =&gt; SOUS-SEGMENT'!$C$8:$C$1000=$C27)*'ANALYSE - ERP =&gt; SOUS-SEGMENT'!$Q$8:$Q$1000*'ANALYSE - ERP =&gt; SOUS-SEGMENT'!$BF$8:$BF$1000*'ANALYSE - ERP =&gt; SOUS-SEGMENT'!$IY$8:$IY$1000)/SUMPRODUCT(('ANALYSE - ERP =&gt; SOUS-SEGMENT'!$C$8:$C$1000=$C27)*'ANALYSE - ERP =&gt; SOUS-SEGMENT'!$Q$8:$Q$1000*'ANALYSE - ERP =&gt; SOUS-SEGMENT'!$BF$8:$BF$1000),""))</f>
        <v>7.8230499110403598E-2</v>
      </c>
      <c r="IZ27" s="742">
        <f>IF($C27="","",IFERROR(SUMPRODUCT(('ANALYSE - ERP =&gt; SOUS-SEGMENT'!$C$8:$C$1000=$C27)*'ANALYSE - ERP =&gt; SOUS-SEGMENT'!$Q$8:$Q$1000*'ANALYSE - ERP =&gt; SOUS-SEGMENT'!$BF$8:$BF$1000*'ANALYSE - ERP =&gt; SOUS-SEGMENT'!$IZ$8:$IZ$1000)/SUMPRODUCT(('ANALYSE - ERP =&gt; SOUS-SEGMENT'!$C$8:$C$1000=$C27)*'ANALYSE - ERP =&gt; SOUS-SEGMENT'!$Q$8:$Q$1000*'ANALYSE - ERP =&gt; SOUS-SEGMENT'!$BF$8:$BF$1000),""))</f>
        <v>0.47560590879295817</v>
      </c>
      <c r="JA27" s="742">
        <f>IF($C27="","",IFERROR(SUMPRODUCT(('ANALYSE - ERP =&gt; SOUS-SEGMENT'!$C$8:$C$1000=$C27)*'ANALYSE - ERP =&gt; SOUS-SEGMENT'!$Q$8:$Q$1000*'ANALYSE - ERP =&gt; SOUS-SEGMENT'!$BF$8:$BF$1000*'ANALYSE - ERP =&gt; SOUS-SEGMENT'!$JA$8:$JA$1000)/SUMPRODUCT(('ANALYSE - ERP =&gt; SOUS-SEGMENT'!$C$8:$C$1000=$C27)*'ANALYSE - ERP =&gt; SOUS-SEGMENT'!$Q$8:$Q$1000*'ANALYSE - ERP =&gt; SOUS-SEGMENT'!$BF$8:$BF$1000),""))</f>
        <v>0.39061082498361266</v>
      </c>
      <c r="JB27" s="742">
        <f>IF($C27="","",IFERROR(SUMPRODUCT(('ANALYSE - ERP =&gt; SOUS-SEGMENT'!$C$8:$C$1000=$C27)*'ANALYSE - ERP =&gt; SOUS-SEGMENT'!$Q$8:$Q$1000*'ANALYSE - ERP =&gt; SOUS-SEGMENT'!$BF$8:$BF$1000*'ANALYSE - ERP =&gt; SOUS-SEGMENT'!$JB$8:$JB$1000)/SUMPRODUCT(('ANALYSE - ERP =&gt; SOUS-SEGMENT'!$C$8:$C$1000=$C27)*'ANALYSE - ERP =&gt; SOUS-SEGMENT'!$Q$8:$Q$1000*'ANALYSE - ERP =&gt; SOUS-SEGMENT'!$BF$8:$BF$1000),""))</f>
        <v>3.8387864032212761E-2</v>
      </c>
      <c r="JC27" s="742">
        <f>IF($C27="","",IFERROR(SUMPRODUCT(('ANALYSE - ERP =&gt; SOUS-SEGMENT'!$C$8:$C$1000=$C27)*'ANALYSE - ERP =&gt; SOUS-SEGMENT'!$Q$8:$Q$1000*'ANALYSE - ERP =&gt; SOUS-SEGMENT'!$BF$8:$BF$1000*'ANALYSE - ERP =&gt; SOUS-SEGMENT'!$JC$8:$JC$1000)/SUMPRODUCT(('ANALYSE - ERP =&gt; SOUS-SEGMENT'!$C$8:$C$1000=$C27)*'ANALYSE - ERP =&gt; SOUS-SEGMENT'!$Q$8:$Q$1000*'ANALYSE - ERP =&gt; SOUS-SEGMENT'!$BF$8:$BF$1000),""))</f>
        <v>0</v>
      </c>
      <c r="JD27" s="742">
        <f>IF($C27="","",IFERROR(SUMPRODUCT(('ANALYSE - ERP =&gt; SOUS-SEGMENT'!$C$8:$C$1000=$C27)*'ANALYSE - ERP =&gt; SOUS-SEGMENT'!$Q$8:$Q$1000*'ANALYSE - ERP =&gt; SOUS-SEGMENT'!$FE$8:$FE$1000*'ANALYSE - ERP =&gt; SOUS-SEGMENT'!$JD$8:$JD$1000)/SUMPRODUCT(('ANALYSE - ERP =&gt; SOUS-SEGMENT'!$C$8:$C$1000=$C27)*'ANALYSE - ERP =&gt; SOUS-SEGMENT'!$Q$8:$Q$1000*'ANALYSE - ERP =&gt; SOUS-SEGMENT'!$FE$8:$FE$1000),""))</f>
        <v>3.8275592507027723E-2</v>
      </c>
      <c r="JE27" s="742">
        <f>IF($C27="","",IFERROR(SUMPRODUCT(('ANALYSE - ERP =&gt; SOUS-SEGMENT'!$C$8:$C$1000=$C27)*'ANALYSE - ERP =&gt; SOUS-SEGMENT'!$Q$8:$Q$1000*'ANALYSE - ERP =&gt; SOUS-SEGMENT'!$FE$8:$FE$1000*'ANALYSE - ERP =&gt; SOUS-SEGMENT'!$JE$8:$JE$1000)/SUMPRODUCT(('ANALYSE - ERP =&gt; SOUS-SEGMENT'!$C$8:$C$1000=$C27)*'ANALYSE - ERP =&gt; SOUS-SEGMENT'!$Q$8:$Q$1000*'ANALYSE - ERP =&gt; SOUS-SEGMENT'!$FE$8:$FE$1000),""))</f>
        <v>0.44274289786654336</v>
      </c>
      <c r="JF27" s="742">
        <f>IF($C27="","",IFERROR(SUMPRODUCT(('ANALYSE - ERP =&gt; SOUS-SEGMENT'!$C$8:$C$1000=$C27)*'ANALYSE - ERP =&gt; SOUS-SEGMENT'!$Q$8:$Q$1000*'ANALYSE - ERP =&gt; SOUS-SEGMENT'!$FE$8:$FE$1000*'ANALYSE - ERP =&gt; SOUS-SEGMENT'!$JF$8:$JF$1000)/SUMPRODUCT(('ANALYSE - ERP =&gt; SOUS-SEGMENT'!$C$8:$C$1000=$C27)*'ANALYSE - ERP =&gt; SOUS-SEGMENT'!$Q$8:$Q$1000*'ANALYSE - ERP =&gt; SOUS-SEGMENT'!$FE$8:$FE$1000),""))</f>
        <v>0.45047808611826179</v>
      </c>
      <c r="JG27" s="742">
        <f>IF($C27="","",IFERROR(SUMPRODUCT(('ANALYSE - ERP =&gt; SOUS-SEGMENT'!$C$8:$C$1000=$C27)*'ANALYSE - ERP =&gt; SOUS-SEGMENT'!$Q$8:$Q$1000*'ANALYSE - ERP =&gt; SOUS-SEGMENT'!$FE$8:$FE$1000*'ANALYSE - ERP =&gt; SOUS-SEGMENT'!$JG$8:$JG$1000)/SUMPRODUCT(('ANALYSE - ERP =&gt; SOUS-SEGMENT'!$C$8:$C$1000=$C27)*'ANALYSE - ERP =&gt; SOUS-SEGMENT'!$Q$8:$Q$1000*'ANALYSE - ERP =&gt; SOUS-SEGMENT'!$FE$8:$FE$1000),""))</f>
        <v>5.051484739095783E-2</v>
      </c>
      <c r="JH27" s="742">
        <f>IF($C27="","",IFERROR(SUMPRODUCT(('ANALYSE - ERP =&gt; SOUS-SEGMENT'!$C$8:$C$1000=$C27)*'ANALYSE - ERP =&gt; SOUS-SEGMENT'!$Q$8:$Q$1000*'ANALYSE - ERP =&gt; SOUS-SEGMENT'!$FE$8:$FE$1000*'ANALYSE - ERP =&gt; SOUS-SEGMENT'!$JH$8:$JH$1000)/SUMPRODUCT(('ANALYSE - ERP =&gt; SOUS-SEGMENT'!$C$8:$C$1000=$C27)*'ANALYSE - ERP =&gt; SOUS-SEGMENT'!$Q$8:$Q$1000*'ANALYSE - ERP =&gt; SOUS-SEGMENT'!$FE$8:$FE$1000),""))</f>
        <v>3.0520684613525692E-3</v>
      </c>
      <c r="JI27" s="742">
        <f>IF($C27="","",IFERROR(SUMPRODUCT(('ANALYSE - ERP =&gt; SOUS-SEGMENT'!$C$8:$C$1000=$C27)*'ANALYSE - ERP =&gt; SOUS-SEGMENT'!$Q$8:$Q$1000*'ANALYSE - ERP =&gt; SOUS-SEGMENT'!$BG$8:$BG$1000*'ANALYSE - ERP =&gt; SOUS-SEGMENT'!$JI$8:$JI$1000)/SUMPRODUCT(('ANALYSE - ERP =&gt; SOUS-SEGMENT'!$C$8:$C$1000=$C27)*'ANALYSE - ERP =&gt; SOUS-SEGMENT'!$Q$8:$Q$1000*'ANALYSE - ERP =&gt; SOUS-SEGMENT'!$BG$8:$BG$1000),""))</f>
        <v>0.11482627908582477</v>
      </c>
      <c r="JJ27" s="742">
        <f>IF($C27="","",IFERROR(SUMPRODUCT(('ANALYSE - ERP =&gt; SOUS-SEGMENT'!$C$8:$C$1000=$C27)*'ANALYSE - ERP =&gt; SOUS-SEGMENT'!$Q$8:$Q$1000*'ANALYSE - ERP =&gt; SOUS-SEGMENT'!$BG$8:$BG$1000*'ANALYSE - ERP =&gt; SOUS-SEGMENT'!$JJ$8:$JJ$1000)/SUMPRODUCT(('ANALYSE - ERP =&gt; SOUS-SEGMENT'!$C$8:$C$1000=$C27)*'ANALYSE - ERP =&gt; SOUS-SEGMENT'!$Q$8:$Q$1000*'ANALYSE - ERP =&gt; SOUS-SEGMENT'!$BG$8:$BG$1000),""))</f>
        <v>0.55909518746116127</v>
      </c>
      <c r="JK27" s="742">
        <f>IF($C27="","",IFERROR(SUMPRODUCT(('ANALYSE - ERP =&gt; SOUS-SEGMENT'!$C$8:$C$1000=$C27)*'ANALYSE - ERP =&gt; SOUS-SEGMENT'!$Q$8:$Q$1000*'ANALYSE - ERP =&gt; SOUS-SEGMENT'!$BG$8:$BG$1000*'ANALYSE - ERP =&gt; SOUS-SEGMENT'!$JK$8:$JK$1000)/SUMPRODUCT(('ANALYSE - ERP =&gt; SOUS-SEGMENT'!$C$8:$C$1000=$C27)*'ANALYSE - ERP =&gt; SOUS-SEGMENT'!$Q$8:$Q$1000*'ANALYSE - ERP =&gt; SOUS-SEGMENT'!$BG$8:$BG$1000),""))</f>
        <v>0.30155440171235243</v>
      </c>
      <c r="JL27" s="742">
        <f>IF($C27="","",IFERROR(SUMPRODUCT(('ANALYSE - ERP =&gt; SOUS-SEGMENT'!$C$8:$C$1000=$C27)*'ANALYSE - ERP =&gt; SOUS-SEGMENT'!$Q$8:$Q$1000*'ANALYSE - ERP =&gt; SOUS-SEGMENT'!$BG$8:$BG$1000*'ANALYSE - ERP =&gt; SOUS-SEGMENT'!$JL$8:$JL$1000)/SUMPRODUCT(('ANALYSE - ERP =&gt; SOUS-SEGMENT'!$C$8:$C$1000=$C27)*'ANALYSE - ERP =&gt; SOUS-SEGMENT'!$Q$8:$Q$1000*'ANALYSE - ERP =&gt; SOUS-SEGMENT'!$BG$8:$BG$1000),""))</f>
        <v>2.4417413519298489E-2</v>
      </c>
      <c r="JM27" s="742">
        <f>IF($C27="","",IFERROR(SUMPRODUCT(('ANALYSE - ERP =&gt; SOUS-SEGMENT'!$C$8:$C$1000=$C27)*'ANALYSE - ERP =&gt; SOUS-SEGMENT'!$Q$8:$Q$1000*'ANALYSE - ERP =&gt; SOUS-SEGMENT'!$BG$8:$BG$1000*'ANALYSE - ERP =&gt; SOUS-SEGMENT'!$JM$8:$JM$1000)/SUMPRODUCT(('ANALYSE - ERP =&gt; SOUS-SEGMENT'!$C$8:$C$1000=$C27)*'ANALYSE - ERP =&gt; SOUS-SEGMENT'!$Q$8:$Q$1000*'ANALYSE - ERP =&gt; SOUS-SEGMENT'!$BG$8:$BG$1000),""))</f>
        <v>1.0671822136297728E-4</v>
      </c>
      <c r="JN27" s="742">
        <f>IF($C27="","",IFERROR(SUMPRODUCT(('ANALYSE - ERP =&gt; SOUS-SEGMENT'!$C$8:$C$1000=$C27)*'ANALYSE - ERP =&gt; SOUS-SEGMENT'!$Q$8:$Q$1000*'ANALYSE - ERP =&gt; SOUS-SEGMENT'!$FH$8:$FH$1000*'ANALYSE - ERP =&gt; SOUS-SEGMENT'!$JN$8:$JN$1000)/SUMPRODUCT(('ANALYSE - ERP =&gt; SOUS-SEGMENT'!$C$8:$C$1000=$C27)*'ANALYSE - ERP =&gt; SOUS-SEGMENT'!$Q$8:$Q$1000*'ANALYSE - ERP =&gt; SOUS-SEGMENT'!$FH$8:$FH$1000),""))</f>
        <v>6.7922708795244174E-2</v>
      </c>
      <c r="JO27" s="742">
        <f>IF($C27="","",IFERROR(SUMPRODUCT(('ANALYSE - ERP =&gt; SOUS-SEGMENT'!$C$8:$C$1000=$C27)*'ANALYSE - ERP =&gt; SOUS-SEGMENT'!$Q$8:$Q$1000*'ANALYSE - ERP =&gt; SOUS-SEGMENT'!$FH$8:$FH$1000*'ANALYSE - ERP =&gt; SOUS-SEGMENT'!$JO$8:$JO$1000)/SUMPRODUCT(('ANALYSE - ERP =&gt; SOUS-SEGMENT'!$C$8:$C$1000=$C27)*'ANALYSE - ERP =&gt; SOUS-SEGMENT'!$Q$8:$Q$1000*'ANALYSE - ERP =&gt; SOUS-SEGMENT'!$FH$8:$FH$1000),""))</f>
        <v>0.53774015323449609</v>
      </c>
      <c r="JP27" s="742">
        <f>IF($C27="","",IFERROR(SUMPRODUCT(('ANALYSE - ERP =&gt; SOUS-SEGMENT'!$C$8:$C$1000=$C27)*'ANALYSE - ERP =&gt; SOUS-SEGMENT'!$Q$8:$Q$1000*'ANALYSE - ERP =&gt; SOUS-SEGMENT'!$FH$8:$FH$1000*'ANALYSE - ERP =&gt; SOUS-SEGMENT'!$JP$8:$JP$1000)/SUMPRODUCT(('ANALYSE - ERP =&gt; SOUS-SEGMENT'!$C$8:$C$1000=$C27)*'ANALYSE - ERP =&gt; SOUS-SEGMENT'!$Q$8:$Q$1000*'ANALYSE - ERP =&gt; SOUS-SEGMENT'!$FH$8:$FH$1000),""))</f>
        <v>0.35208074023109281</v>
      </c>
      <c r="JQ27" s="742">
        <f>IF($C27="","",IFERROR(SUMPRODUCT(('ANALYSE - ERP =&gt; SOUS-SEGMENT'!$C$8:$C$1000=$C27)*'ANALYSE - ERP =&gt; SOUS-SEGMENT'!$Q$8:$Q$1000*'ANALYSE - ERP =&gt; SOUS-SEGMENT'!$FH$8:$FH$1000*'ANALYSE - ERP =&gt; SOUS-SEGMENT'!$JQ$8:$JQ$1000)/SUMPRODUCT(('ANALYSE - ERP =&gt; SOUS-SEGMENT'!$C$8:$C$1000=$C27)*'ANALYSE - ERP =&gt; SOUS-SEGMENT'!$Q$8:$Q$1000*'ANALYSE - ERP =&gt; SOUS-SEGMENT'!$FH$8:$FH$1000),""))</f>
        <v>3.8775615920512096E-2</v>
      </c>
      <c r="JR27" s="742">
        <f>IF($C27="","",IFERROR(SUMPRODUCT(('ANALYSE - ERP =&gt; SOUS-SEGMENT'!$C$8:$C$1000=$C27)*'ANALYSE - ERP =&gt; SOUS-SEGMENT'!$Q$8:$Q$1000*'ANALYSE - ERP =&gt; SOUS-SEGMENT'!$FH$8:$FH$1000*'ANALYSE - ERP =&gt; SOUS-SEGMENT'!$JR$8:$JR$1000)/SUMPRODUCT(('ANALYSE - ERP =&gt; SOUS-SEGMENT'!$C$8:$C$1000=$C27)*'ANALYSE - ERP =&gt; SOUS-SEGMENT'!$Q$8:$Q$1000*'ANALYSE - ERP =&gt; SOUS-SEGMENT'!$FH$8:$FH$1000),""))</f>
        <v>3.4807818186548033E-3</v>
      </c>
      <c r="JS27" s="742">
        <f>IF($C27="","",IFERROR(SUMPRODUCT(('ANALYSE - ERP =&gt; SOUS-SEGMENT'!$C$8:$C$1000=$C27)*'ANALYSE - ERP =&gt; SOUS-SEGMENT'!$Q$8:$Q$1000*'ANALYSE - ERP =&gt; SOUS-SEGMENT'!$BH$8:$BH$1000*'ANALYSE - ERP =&gt; SOUS-SEGMENT'!$JS$8:$JS$1000)/SUMPRODUCT(('ANALYSE - ERP =&gt; SOUS-SEGMENT'!$C$8:$C$1000=$C27)*'ANALYSE - ERP =&gt; SOUS-SEGMENT'!$Q$8:$Q$1000*'ANALYSE - ERP =&gt; SOUS-SEGMENT'!$BH$8:$BH$1000),""))</f>
        <v>6.3629517778860195E-2</v>
      </c>
      <c r="JT27" s="742">
        <f>IF($C27="","",IFERROR(SUMPRODUCT(('ANALYSE - ERP =&gt; SOUS-SEGMENT'!$C$8:$C$1000=$C27)*'ANALYSE - ERP =&gt; SOUS-SEGMENT'!$Q$8:$Q$1000*'ANALYSE - ERP =&gt; SOUS-SEGMENT'!$BH$8:$BH$1000*'ANALYSE - ERP =&gt; SOUS-SEGMENT'!$JT$8:$JT$1000)/SUMPRODUCT(('ANALYSE - ERP =&gt; SOUS-SEGMENT'!$C$8:$C$1000=$C27)*'ANALYSE - ERP =&gt; SOUS-SEGMENT'!$Q$8:$Q$1000*'ANALYSE - ERP =&gt; SOUS-SEGMENT'!$BH$8:$BH$1000),""))</f>
        <v>0.45972747199220654</v>
      </c>
      <c r="JU27" s="742">
        <f>IF($C27="","",IFERROR(SUMPRODUCT(('ANALYSE - ERP =&gt; SOUS-SEGMENT'!$C$8:$C$1000=$C27)*'ANALYSE - ERP =&gt; SOUS-SEGMENT'!$Q$8:$Q$1000*'ANALYSE - ERP =&gt; SOUS-SEGMENT'!$BH$8:$BH$1000*'ANALYSE - ERP =&gt; SOUS-SEGMENT'!$JU$8:$JU$1000)/SUMPRODUCT(('ANALYSE - ERP =&gt; SOUS-SEGMENT'!$C$8:$C$1000=$C27)*'ANALYSE - ERP =&gt; SOUS-SEGMENT'!$Q$8:$Q$1000*'ANALYSE - ERP =&gt; SOUS-SEGMENT'!$BH$8:$BH$1000),""))</f>
        <v>0.42767871407696056</v>
      </c>
      <c r="JV27" s="742">
        <f>IF($C27="","",IFERROR(SUMPRODUCT(('ANALYSE - ERP =&gt; SOUS-SEGMENT'!$C$8:$C$1000=$C27)*'ANALYSE - ERP =&gt; SOUS-SEGMENT'!$Q$8:$Q$1000*'ANALYSE - ERP =&gt; SOUS-SEGMENT'!$BH$8:$BH$1000*'ANALYSE - ERP =&gt; SOUS-SEGMENT'!$JV$8:$JV$1000)/SUMPRODUCT(('ANALYSE - ERP =&gt; SOUS-SEGMENT'!$C$8:$C$1000=$C27)*'ANALYSE - ERP =&gt; SOUS-SEGMENT'!$Q$8:$Q$1000*'ANALYSE - ERP =&gt; SOUS-SEGMENT'!$BH$8:$BH$1000),""))</f>
        <v>4.8668533852898203E-2</v>
      </c>
      <c r="JW27" s="742">
        <f>IF($C27="","",IFERROR(SUMPRODUCT(('ANALYSE - ERP =&gt; SOUS-SEGMENT'!$C$8:$C$1000=$C27)*'ANALYSE - ERP =&gt; SOUS-SEGMENT'!$Q$8:$Q$1000*'ANALYSE - ERP =&gt; SOUS-SEGMENT'!$BH$8:$BH$1000*'ANALYSE - ERP =&gt; SOUS-SEGMENT'!$JW$8:$JW$1000)/SUMPRODUCT(('ANALYSE - ERP =&gt; SOUS-SEGMENT'!$C$8:$C$1000=$C27)*'ANALYSE - ERP =&gt; SOUS-SEGMENT'!$Q$8:$Q$1000*'ANALYSE - ERP =&gt; SOUS-SEGMENT'!$BH$8:$BH$1000),""))</f>
        <v>2.9576229907452511E-4</v>
      </c>
      <c r="JX27" s="742">
        <f>IF($C27="","",IFERROR(SUMPRODUCT(('ANALYSE - ERP =&gt; SOUS-SEGMENT'!$C$8:$C$1000=$C27)*'ANALYSE - ERP =&gt; SOUS-SEGMENT'!$Q$8:$Q$1000*'ANALYSE - ERP =&gt; SOUS-SEGMENT'!$FK$8:$FK$1000*'ANALYSE - ERP =&gt; SOUS-SEGMENT'!$JX$8:$JX$1000)/SUMPRODUCT(('ANALYSE - ERP =&gt; SOUS-SEGMENT'!$C$8:$C$1000=$C27)*'ANALYSE - ERP =&gt; SOUS-SEGMENT'!$Q$8:$Q$1000*'ANALYSE - ERP =&gt; SOUS-SEGMENT'!$FK$8:$FK$1000),""))</f>
        <v>3.172051879662776E-2</v>
      </c>
      <c r="JY27" s="742">
        <f>IF($C27="","",IFERROR(SUMPRODUCT(('ANALYSE - ERP =&gt; SOUS-SEGMENT'!$C$8:$C$1000=$C27)*'ANALYSE - ERP =&gt; SOUS-SEGMENT'!$Q$8:$Q$1000*'ANALYSE - ERP =&gt; SOUS-SEGMENT'!$FK$8:$FK$1000*'ANALYSE - ERP =&gt; SOUS-SEGMENT'!$JY$8:$JY$1000)/SUMPRODUCT(('ANALYSE - ERP =&gt; SOUS-SEGMENT'!$C$8:$C$1000=$C27)*'ANALYSE - ERP =&gt; SOUS-SEGMENT'!$Q$8:$Q$1000*'ANALYSE - ERP =&gt; SOUS-SEGMENT'!$FK$8:$FK$1000),""))</f>
        <v>0.42656965051411166</v>
      </c>
      <c r="JZ27" s="742">
        <f>IF($C27="","",IFERROR(SUMPRODUCT(('ANALYSE - ERP =&gt; SOUS-SEGMENT'!$C$8:$C$1000=$C27)*'ANALYSE - ERP =&gt; SOUS-SEGMENT'!$Q$8:$Q$1000*'ANALYSE - ERP =&gt; SOUS-SEGMENT'!$FK$8:$FK$1000*'ANALYSE - ERP =&gt; SOUS-SEGMENT'!$JZ$8:$JZ$1000)/SUMPRODUCT(('ANALYSE - ERP =&gt; SOUS-SEGMENT'!$C$8:$C$1000=$C27)*'ANALYSE - ERP =&gt; SOUS-SEGMENT'!$Q$8:$Q$1000*'ANALYSE - ERP =&gt; SOUS-SEGMENT'!$FK$8:$FK$1000),""))</f>
        <v>0.47397607488331489</v>
      </c>
      <c r="KA27" s="742">
        <f>IF($C27="","",IFERROR(SUMPRODUCT(('ANALYSE - ERP =&gt; SOUS-SEGMENT'!$C$8:$C$1000=$C27)*'ANALYSE - ERP =&gt; SOUS-SEGMENT'!$Q$8:$Q$1000*'ANALYSE - ERP =&gt; SOUS-SEGMENT'!$FK$8:$FK$1000*'ANALYSE - ERP =&gt; SOUS-SEGMENT'!$KA$8:$KA$1000)/SUMPRODUCT(('ANALYSE - ERP =&gt; SOUS-SEGMENT'!$C$8:$C$1000=$C27)*'ANALYSE - ERP =&gt; SOUS-SEGMENT'!$Q$8:$Q$1000*'ANALYSE - ERP =&gt; SOUS-SEGMENT'!$FK$8:$FK$1000),""))</f>
        <v>6.3487445257264075E-2</v>
      </c>
      <c r="KB27" s="742">
        <f>IF($C27="","",IFERROR(SUMPRODUCT(('ANALYSE - ERP =&gt; SOUS-SEGMENT'!$C$8:$C$1000=$C27)*'ANALYSE - ERP =&gt; SOUS-SEGMENT'!$Q$8:$Q$1000*'ANALYSE - ERP =&gt; SOUS-SEGMENT'!$FK$8:$FK$1000*'ANALYSE - ERP =&gt; SOUS-SEGMENT'!$KB$8:$KB$1000)/SUMPRODUCT(('ANALYSE - ERP =&gt; SOUS-SEGMENT'!$C$8:$C$1000=$C27)*'ANALYSE - ERP =&gt; SOUS-SEGMENT'!$Q$8:$Q$1000*'ANALYSE - ERP =&gt; SOUS-SEGMENT'!$FK$8:$FK$1000),""))</f>
        <v>4.2463105486817282E-3</v>
      </c>
      <c r="KC27" s="657"/>
      <c r="KD27" s="924" t="s">
        <v>2590</v>
      </c>
      <c r="KE27" s="924" t="s">
        <v>5868</v>
      </c>
      <c r="KF27" s="869">
        <f>IF($C27="","",IFERROR(SUMPRODUCT(('ANALYSE - ERP =&gt; SOUS-SEGMENT'!$C$8:$C$1000=$C27)*'ANALYSE - ERP =&gt; SOUS-SEGMENT'!$Q$8:$Q$1000*'ANALYSE - ERP =&gt; SOUS-SEGMENT'!$IE$8:$IE$1000*'ANALYSE - ERP =&gt; SOUS-SEGMENT'!$KF$8:$KF$1000)/SUMPRODUCT(('ANALYSE - ERP =&gt; SOUS-SEGMENT'!$C$8:$C$1000=$C27)*'ANALYSE - ERP =&gt; SOUS-SEGMENT'!$Q$8:$Q$1000*'ANALYSE - ERP =&gt; SOUS-SEGMENT'!$IE$8:$IE$1000),""))</f>
        <v>4.2701085678230646</v>
      </c>
      <c r="KG27" s="924" t="s">
        <v>2589</v>
      </c>
      <c r="KH27" s="924" t="s">
        <v>5869</v>
      </c>
      <c r="KI27" s="924" t="s">
        <v>5870</v>
      </c>
      <c r="KJ27" s="924" t="s">
        <v>5871</v>
      </c>
    </row>
    <row r="28" spans="1:296" ht="120" customHeight="1">
      <c r="A28" s="951">
        <f>IF($C28="","",ROWS($A$8:A28))</f>
        <v>21</v>
      </c>
      <c r="B28" s="952" t="s">
        <v>4135</v>
      </c>
      <c r="C28" s="952" t="s">
        <v>4135</v>
      </c>
      <c r="D28" s="952" t="s">
        <v>5872</v>
      </c>
      <c r="E28" s="277" t="s">
        <v>5873</v>
      </c>
      <c r="F28" s="646" t="s">
        <v>5874</v>
      </c>
      <c r="G28" s="646" t="s">
        <v>300</v>
      </c>
      <c r="H28" s="646" t="s">
        <v>5875</v>
      </c>
      <c r="I28" s="646" t="s">
        <v>5876</v>
      </c>
      <c r="J28" s="646" t="s">
        <v>5877</v>
      </c>
      <c r="K28" s="646" t="s">
        <v>2109</v>
      </c>
      <c r="L28" s="646" t="s">
        <v>2109</v>
      </c>
      <c r="M28" s="646" t="s">
        <v>5878</v>
      </c>
      <c r="N28" s="646" t="s">
        <v>5879</v>
      </c>
      <c r="O28" s="646" t="s">
        <v>5880</v>
      </c>
      <c r="P28" s="646"/>
      <c r="Q28" s="270">
        <f>IF($C28="","",IF(SUMIFS('ANALYSE - ERP =&gt; SOUS-SEGMENT'!$Q$8:$Q$1000,'ANALYSE - ERP =&gt; SOUS-SEGMENT'!$C$8:$C$1000,$C28)&gt;0,1,0))</f>
        <v>1</v>
      </c>
      <c r="R28" s="278">
        <f>IF($C28="","",IFERROR(SUMPRODUCT(('ANALYSE - ERP =&gt; SOUS-SEGMENT'!$C$8:$C$1000=$C28)*'ANALYSE - ERP =&gt; SOUS-SEGMENT'!$Q$8:$Q$1000*'ANALYSE - ERP =&gt; SOUS-SEGMENT'!$AF$8:$AF$1000*'ANALYSE - ERP =&gt; SOUS-SEGMENT'!$R$8:$R$1000)/SUMPRODUCT(('ANALYSE - ERP =&gt; SOUS-SEGMENT'!$C$8:$C$1000=$C28)*'ANALYSE - ERP =&gt; SOUS-SEGMENT'!$Q$8:$Q$1000*'ANALYSE - ERP =&gt; SOUS-SEGMENT'!$AF$8:$AF$1000),""))</f>
        <v>2270.4379562043796</v>
      </c>
      <c r="S28" s="279">
        <f>IF($C28="","",SUMPRODUCT(('ANALYSE - ERP =&gt; SOUS-SEGMENT'!$C$8:$C$1000=$C28)*'ANALYSE - ERP =&gt; SOUS-SEGMENT'!$Q$8:$Q$1000*'ANALYSE - ERP =&gt; SOUS-SEGMENT'!$S$8:$S$1000))</f>
        <v>22508</v>
      </c>
      <c r="T28" s="279">
        <f>IF($C28="","",SUMPRODUCT(('ANALYSE - ERP =&gt; SOUS-SEGMENT'!$C$8:$C$1000=$C28)*'ANALYSE - ERP =&gt; SOUS-SEGMENT'!$Q$8:$Q$1000*'ANALYSE - ERP =&gt; SOUS-SEGMENT'!$T$8:$T$1000))</f>
        <v>22124</v>
      </c>
      <c r="U28" s="279">
        <f>IF($C28="","",SUMPRODUCT(('ANALYSE - ERP =&gt; SOUS-SEGMENT'!$C$8:$C$1000=$C28)*'ANALYSE - ERP =&gt; SOUS-SEGMENT'!$Q$8:$Q$1000*'ANALYSE - ERP =&gt; SOUS-SEGMENT'!$U$8:$U$1000))</f>
        <v>22146</v>
      </c>
      <c r="V28" s="279">
        <f>IF($C28="","",SUMPRODUCT(('ANALYSE - ERP =&gt; SOUS-SEGMENT'!$C$8:$C$1000=$C28)*'ANALYSE - ERP =&gt; SOUS-SEGMENT'!$Q$8:$Q$1000*'ANALYSE - ERP =&gt; SOUS-SEGMENT'!$V$8:$V$1000))</f>
        <v>22272</v>
      </c>
      <c r="W28" s="279">
        <f>IF($C28="","",SUMPRODUCT(('ANALYSE - ERP =&gt; SOUS-SEGMENT'!$C$8:$C$1000=$C28)*'ANALYSE - ERP =&gt; SOUS-SEGMENT'!$Q$8:$Q$1000*'ANALYSE - ERP =&gt; SOUS-SEGMENT'!$W$8:$W$1000))</f>
        <v>22015</v>
      </c>
      <c r="X28" s="279">
        <f>IF($C28="","",SUMPRODUCT(('ANALYSE - ERP =&gt; SOUS-SEGMENT'!$C$8:$C$1000=$C28)*'ANALYSE - ERP =&gt; SOUS-SEGMENT'!$Q$8:$Q$1000*'ANALYSE - ERP =&gt; SOUS-SEGMENT'!$X$8:$X$1000))</f>
        <v>21750</v>
      </c>
      <c r="Y28" s="279">
        <f>IF($C28="","",SUMPRODUCT(('ANALYSE - ERP =&gt; SOUS-SEGMENT'!$C$8:$C$1000=$C28)*'ANALYSE - ERP =&gt; SOUS-SEGMENT'!$Q$8:$Q$1000*'ANALYSE - ERP =&gt; SOUS-SEGMENT'!$Y$8:$Y$1000))</f>
        <v>21937</v>
      </c>
      <c r="Z28" s="279">
        <f>IF($C28="","",SUMPRODUCT(('ANALYSE - ERP =&gt; SOUS-SEGMENT'!$C$8:$C$1000=$C28)*'ANALYSE - ERP =&gt; SOUS-SEGMENT'!$Q$8:$Q$1000*'ANALYSE - ERP =&gt; SOUS-SEGMENT'!$Z$8:$Z$1000))</f>
        <v>21765</v>
      </c>
      <c r="AA28" s="279">
        <f>IF($C28="","",SUMPRODUCT(('ANALYSE - ERP =&gt; SOUS-SEGMENT'!$C$8:$C$1000=$C28)*'ANALYSE - ERP =&gt; SOUS-SEGMENT'!$Q$8:$Q$1000*'ANALYSE - ERP =&gt; SOUS-SEGMENT'!$AA$8:$AA$1000))</f>
        <v>20555</v>
      </c>
      <c r="AB28" s="279">
        <f>IF($C28="","",SUMPRODUCT(('ANALYSE - ERP =&gt; SOUS-SEGMENT'!$C$8:$C$1000=$C28)*'ANALYSE - ERP =&gt; SOUS-SEGMENT'!$Q$8:$Q$1000*'ANALYSE - ERP =&gt; SOUS-SEGMENT'!$AB$8:$AB$1000))</f>
        <v>20265</v>
      </c>
      <c r="AC28" s="279">
        <f>IF($C28="","",SUMPRODUCT(('ANALYSE - ERP =&gt; SOUS-SEGMENT'!$C$8:$C$1000=$C28)*'ANALYSE - ERP =&gt; SOUS-SEGMENT'!$Q$8:$Q$1000*'ANALYSE - ERP =&gt; SOUS-SEGMENT'!$AC$8:$AC$1000))</f>
        <v>20074</v>
      </c>
      <c r="AD28" s="279">
        <f>IF($C28="","",SUMPRODUCT(('ANALYSE - ERP =&gt; SOUS-SEGMENT'!$C$8:$C$1000=$C28)*'ANALYSE - ERP =&gt; SOUS-SEGMENT'!$Q$8:$Q$1000*'ANALYSE - ERP =&gt; SOUS-SEGMENT'!$AD$8:$AD$1000))</f>
        <v>19784</v>
      </c>
      <c r="AE28" s="279">
        <f>IF($C28="","",SUMPRODUCT(('ANALYSE - ERP =&gt; SOUS-SEGMENT'!$C$8:$C$1000=$C28)*'ANALYSE - ERP =&gt; SOUS-SEGMENT'!$Q$8:$Q$1000*'ANALYSE - ERP =&gt; SOUS-SEGMENT'!$AE$8:$AE$1000))</f>
        <v>19499</v>
      </c>
      <c r="AF28" s="279">
        <f>IF($C28="","",SUMPRODUCT(('ANALYSE - ERP =&gt; SOUS-SEGMENT'!$C$8:$C$1000=$C28)*'ANALYSE - ERP =&gt; SOUS-SEGMENT'!$Q$8:$Q$1000*'ANALYSE - ERP =&gt; SOUS-SEGMENT'!$AF$8:$AF$1000))</f>
        <v>19454</v>
      </c>
      <c r="AG28" s="279">
        <f>IF($C28="","",SUMPRODUCT(('ANALYSE - ERP =&gt; SOUS-SEGMENT'!$C$8:$C$1000=$C28)*'ANALYSE - ERP =&gt; SOUS-SEGMENT'!$Q$8:$Q$1000*'ANALYSE - ERP =&gt; SOUS-SEGMENT'!$AG$8:$AG$1000))</f>
        <v>19414</v>
      </c>
      <c r="AH28" s="279">
        <f>IF($C28="","",SUMPRODUCT(('ANALYSE - ERP =&gt; SOUS-SEGMENT'!$C$8:$C$1000=$C28)*'ANALYSE - ERP =&gt; SOUS-SEGMENT'!$Q$8:$Q$1000*'ANALYSE - ERP =&gt; SOUS-SEGMENT'!$AH$8:$AH$1000))</f>
        <v>19424</v>
      </c>
      <c r="AI28" s="279">
        <f>IF($C28="","",SUMPRODUCT(('ANALYSE - ERP =&gt; SOUS-SEGMENT'!$C$8:$C$1000=$C28)*'ANALYSE - ERP =&gt; SOUS-SEGMENT'!$Q$8:$Q$1000*'ANALYSE - ERP =&gt; SOUS-SEGMENT'!$AI$8:$AI$1000))</f>
        <v>19434</v>
      </c>
      <c r="AJ28" s="279">
        <f>IF($C28="","",SUMPRODUCT(('ANALYSE - ERP =&gt; SOUS-SEGMENT'!$C$8:$C$1000=$C28)*'ANALYSE - ERP =&gt; SOUS-SEGMENT'!$Q$8:$Q$1000*'ANALYSE - ERP =&gt; SOUS-SEGMENT'!$AJ$8:$AJ$1000))</f>
        <v>19444</v>
      </c>
      <c r="AK28" s="279">
        <f>IF($C28="","",SUMPRODUCT(('ANALYSE - ERP =&gt; SOUS-SEGMENT'!$C$8:$C$1000=$C28)*'ANALYSE - ERP =&gt; SOUS-SEGMENT'!$Q$8:$Q$1000*'ANALYSE - ERP =&gt; SOUS-SEGMENT'!$AK$8:$AK$1000))</f>
        <v>19454</v>
      </c>
      <c r="AL28" s="646" t="s">
        <v>5881</v>
      </c>
      <c r="AM28" s="646" t="s">
        <v>5882</v>
      </c>
      <c r="AN28" s="646" t="s">
        <v>5883</v>
      </c>
      <c r="AO28" s="657"/>
      <c r="AP28" s="278">
        <f>IF($C28="","",IFERROR(SUMPRODUCT(('ANALYSE - ERP =&gt; SOUS-SEGMENT'!$C$8:$C$1000=$C28)*'ANALYSE - ERP =&gt; SOUS-SEGMENT'!$Q$8:$Q$1000*'ANALYSE - ERP =&gt; SOUS-SEGMENT'!$AF$8:$AF$1000*'ANALYSE - ERP =&gt; SOUS-SEGMENT'!$AP$8:$AP$1000)/SUMPRODUCT(('ANALYSE - ERP =&gt; SOUS-SEGMENT'!$C$8:$C$1000=$C28)*'ANALYSE - ERP =&gt; SOUS-SEGMENT'!$Q$8:$Q$1000*'ANALYSE - ERP =&gt; SOUS-SEGMENT'!$AF$8:$AF$1000),""))</f>
        <v>97.256348308831093</v>
      </c>
      <c r="AQ28" s="278">
        <f>IF($C28="","",IFERROR(SUMPRODUCT(('ANALYSE - ERP =&gt; SOUS-SEGMENT'!$C$8:$C$1000=$C28)*'ANALYSE - ERP =&gt; SOUS-SEGMENT'!$Q$8:$Q$1000*'ANALYSE - ERP =&gt; SOUS-SEGMENT'!$AF$8:$AF$1000*'ANALYSE - ERP =&gt; SOUS-SEGMENT'!$AQ$8:$AQ$1000)/SUMPRODUCT(('ANALYSE - ERP =&gt; SOUS-SEGMENT'!$C$8:$C$1000=$C28)*'ANALYSE - ERP =&gt; SOUS-SEGMENT'!$Q$8:$Q$1000*'ANALYSE - ERP =&gt; SOUS-SEGMENT'!$AF$8:$AF$1000),""))</f>
        <v>72.473732908399299</v>
      </c>
      <c r="AR28" s="278">
        <f>IF($C28="","",IFERROR(SUMPRODUCT(('ANALYSE - ERP =&gt; SOUS-SEGMENT'!$C$8:$C$1000=$C28)*'ANALYSE - ERP =&gt; SOUS-SEGMENT'!$Q$8:$Q$1000*'ANALYSE - ERP =&gt; SOUS-SEGMENT'!$AF$8:$AF$1000*'ANALYSE - ERP =&gt; SOUS-SEGMENT'!$AR$8:$AR$1000)/SUMPRODUCT(('ANALYSE - ERP =&gt; SOUS-SEGMENT'!$C$8:$C$1000=$C28)*'ANALYSE - ERP =&gt; SOUS-SEGMENT'!$Q$8:$Q$1000*'ANALYSE - ERP =&gt; SOUS-SEGMENT'!$AF$8:$AF$1000),""))</f>
        <v>19.624344607792743</v>
      </c>
      <c r="AS28" s="278">
        <f>IF($C28="","",IFERROR(SUMPRODUCT(('ANALYSE - ERP =&gt; SOUS-SEGMENT'!$C$8:$C$1000=$C28)*'ANALYSE - ERP =&gt; SOUS-SEGMENT'!$Q$8:$Q$1000*'ANALYSE - ERP =&gt; SOUS-SEGMENT'!$AF$8:$AF$1000*'ANALYSE - ERP =&gt; SOUS-SEGMENT'!$AS$8:$AS$1000)/SUMPRODUCT(('ANALYSE - ERP =&gt; SOUS-SEGMENT'!$C$8:$C$1000=$C28)*'ANALYSE - ERP =&gt; SOUS-SEGMENT'!$Q$8:$Q$1000*'ANALYSE - ERP =&gt; SOUS-SEGMENT'!$AF$8:$AF$1000),""))</f>
        <v>5.1582707926390459</v>
      </c>
      <c r="AT28" s="657"/>
      <c r="AU28" s="646" t="s">
        <v>5884</v>
      </c>
      <c r="AV28" s="646" t="s">
        <v>5885</v>
      </c>
      <c r="AW28" s="646" t="s">
        <v>5886</v>
      </c>
      <c r="AX28" s="646" t="s">
        <v>5887</v>
      </c>
      <c r="AY28" s="657"/>
      <c r="AZ28" s="947">
        <f>IF($C28="","",IFERROR(SUMPRODUCT(('ANALYSE - ERP =&gt; SOUS-SEGMENT'!$C$8:$C$1000=$C28)*'ANALYSE - ERP =&gt; SOUS-SEGMENT'!$Q$8:$Q$1000*'ANALYSE - ERP =&gt; SOUS-SEGMENT'!$AF$8:$AF$1000*'ANALYSE - ERP =&gt; SOUS-SEGMENT'!$AZ$8:$AZ$1000)/SUMPRODUCT(('ANALYSE - ERP =&gt; SOUS-SEGMENT'!$C$8:$C$1000=$C28)*'ANALYSE - ERP =&gt; SOUS-SEGMENT'!$Q$8:$Q$1000*'ANALYSE - ERP =&gt; SOUS-SEGMENT'!$AF$8:$AF$1000),""))</f>
        <v>4.3506219800555153</v>
      </c>
      <c r="BA28" s="947">
        <f>IF($C28="","",IFERROR(SUMPRODUCT(('ANALYSE - ERP =&gt; SOUS-SEGMENT'!$C$8:$C$1000=$C28)*'ANALYSE - ERP =&gt; SOUS-SEGMENT'!$Q$8:$Q$1000*'ANALYSE - ERP =&gt; SOUS-SEGMENT'!$AF$8:$AF$1000*'ANALYSE - ERP =&gt; SOUS-SEGMENT'!$BA$8:$BA$1000)/SUMPRODUCT(('ANALYSE - ERP =&gt; SOUS-SEGMENT'!$C$8:$C$1000=$C28)*'ANALYSE - ERP =&gt; SOUS-SEGMENT'!$Q$8:$Q$1000*'ANALYSE - ERP =&gt; SOUS-SEGMENT'!$AF$8:$AF$1000),""))</f>
        <v>0.70103834686953836</v>
      </c>
      <c r="BB28" s="947">
        <f>IF($C28="","",IFERROR(SUMPRODUCT(('ANALYSE - ERP =&gt; SOUS-SEGMENT'!$C$8:$C$1000=$C28)*'ANALYSE - ERP =&gt; SOUS-SEGMENT'!$Q$8:$Q$1000*'ANALYSE - ERP =&gt; SOUS-SEGMENT'!$AF$8:$AF$1000*'ANALYSE - ERP =&gt; SOUS-SEGMENT'!$BB$8:$BB$1000)/SUMPRODUCT(('ANALYSE - ERP =&gt; SOUS-SEGMENT'!$C$8:$C$1000=$C28)*'ANALYSE - ERP =&gt; SOUS-SEGMENT'!$Q$8:$Q$1000*'ANALYSE - ERP =&gt; SOUS-SEGMENT'!$AF$8:$AF$1000),""))</f>
        <v>0.71602241184332271</v>
      </c>
      <c r="BC28" s="947">
        <f>IF($C28="","",IFERROR(SUMPRODUCT(('ANALYSE - ERP =&gt; SOUS-SEGMENT'!$C$8:$C$1000=$C28)*'ANALYSE - ERP =&gt; SOUS-SEGMENT'!$Q$8:$Q$1000*'ANALYSE - ERP =&gt; SOUS-SEGMENT'!$AF$8:$AF$1000*'ANALYSE - ERP =&gt; SOUS-SEGMENT'!$BC$8:$BC$1000)/SUMPRODUCT(('ANALYSE - ERP =&gt; SOUS-SEGMENT'!$C$8:$C$1000=$C28)*'ANALYSE - ERP =&gt; SOUS-SEGMENT'!$Q$8:$Q$1000*'ANALYSE - ERP =&gt; SOUS-SEGMENT'!$AF$8:$AF$1000),""))</f>
        <v>3.7374318906137556</v>
      </c>
      <c r="BD28" s="826">
        <f t="shared" si="1"/>
        <v>184912.5</v>
      </c>
      <c r="BE28" s="283">
        <f>IF($C28="","",SUMPRODUCT(('ANALYSE - ERP =&gt; SOUS-SEGMENT'!$C$8:$C$1000=$C28)*'ANALYSE - ERP =&gt; SOUS-SEGMENT'!$Q$8:$Q$1000*'ANALYSE - ERP =&gt; SOUS-SEGMENT'!$BE$8:$BE$1000))</f>
        <v>84637</v>
      </c>
      <c r="BF28" s="283">
        <f>IF($C28="","",SUMPRODUCT(('ANALYSE - ERP =&gt; SOUS-SEGMENT'!$C$8:$C$1000=$C28)*'ANALYSE - ERP =&gt; SOUS-SEGMENT'!$Q$8:$Q$1000*'ANALYSE - ERP =&gt; SOUS-SEGMENT'!$BF$8:$BF$1000))</f>
        <v>13638</v>
      </c>
      <c r="BG28" s="283">
        <f>IF($C28="","",SUMPRODUCT(('ANALYSE - ERP =&gt; SOUS-SEGMENT'!$C$8:$C$1000=$C28)*'ANALYSE - ERP =&gt; SOUS-SEGMENT'!$Q$8:$Q$1000*'ANALYSE - ERP =&gt; SOUS-SEGMENT'!$BG$8:$BG$1000))</f>
        <v>13929.5</v>
      </c>
      <c r="BH28" s="283">
        <f>IF($C28="","",SUMPRODUCT(('ANALYSE - ERP =&gt; SOUS-SEGMENT'!$C$8:$C$1000=$C28)*'ANALYSE - ERP =&gt; SOUS-SEGMENT'!$Q$8:$Q$1000*'ANALYSE - ERP =&gt; SOUS-SEGMENT'!$BH$8:$BH$1000))</f>
        <v>72708</v>
      </c>
      <c r="BI28" s="826">
        <f t="shared" si="2"/>
        <v>186380</v>
      </c>
      <c r="BJ28" s="283">
        <f>IF($C28="","",SUMPRODUCT(('ANALYSE - ERP =&gt; SOUS-SEGMENT'!$C$8:$C$1000=$C28)*'ANALYSE - ERP =&gt; SOUS-SEGMENT'!$Q$8:$Q$1000*'ANALYSE - ERP =&gt; SOUS-SEGMENT'!$BJ$8:$BJ$1000))</f>
        <v>85062</v>
      </c>
      <c r="BK28" s="283">
        <f>IF($C28="","",SUMPRODUCT(('ANALYSE - ERP =&gt; SOUS-SEGMENT'!$C$8:$C$1000=$C28)*'ANALYSE - ERP =&gt; SOUS-SEGMENT'!$Q$8:$Q$1000*'ANALYSE - ERP =&gt; SOUS-SEGMENT'!$BK$8:$BK$1000))</f>
        <v>14258</v>
      </c>
      <c r="BL28" s="283">
        <f>IF($C28="","",SUMPRODUCT(('ANALYSE - ERP =&gt; SOUS-SEGMENT'!$C$8:$C$1000=$C28)*'ANALYSE - ERP =&gt; SOUS-SEGMENT'!$Q$8:$Q$1000*'ANALYSE - ERP =&gt; SOUS-SEGMENT'!$BL$8:$BL$1000))</f>
        <v>14077</v>
      </c>
      <c r="BM28" s="283">
        <f>IF($C28="","",SUMPRODUCT(('ANALYSE - ERP =&gt; SOUS-SEGMENT'!$C$8:$C$1000=$C28)*'ANALYSE - ERP =&gt; SOUS-SEGMENT'!$Q$8:$Q$1000*'ANALYSE - ERP =&gt; SOUS-SEGMENT'!$BM$8:$BM$1000))</f>
        <v>72983</v>
      </c>
      <c r="BN28" s="657"/>
      <c r="BO28" s="305">
        <f t="shared" si="3"/>
        <v>0.55547739168448795</v>
      </c>
      <c r="BP28" s="305">
        <f t="shared" si="4"/>
        <v>0.34194501222869433</v>
      </c>
      <c r="BQ28" s="305">
        <f t="shared" si="5"/>
        <v>5.0322199510852227E-2</v>
      </c>
      <c r="BR28" s="581">
        <f t="shared" si="6"/>
        <v>5.225539657596559E-2</v>
      </c>
      <c r="BS28" s="706">
        <f t="shared" si="7"/>
        <v>0.50672920928264087</v>
      </c>
      <c r="BT28" s="305">
        <f t="shared" si="8"/>
        <v>0.36091556746843478</v>
      </c>
      <c r="BU28" s="305">
        <f t="shared" si="9"/>
        <v>0.08</v>
      </c>
      <c r="BV28" s="581">
        <f t="shared" si="10"/>
        <v>5.2355223248924311E-2</v>
      </c>
      <c r="BW28" s="713">
        <f t="shared" si="11"/>
        <v>0.61333040035195774</v>
      </c>
      <c r="BX28" s="306">
        <f t="shared" si="12"/>
        <v>0.33666959964804222</v>
      </c>
      <c r="BY28" s="590">
        <f t="shared" si="13"/>
        <v>4.9999999999999996E-2</v>
      </c>
      <c r="BZ28" s="713">
        <f t="shared" si="14"/>
        <v>0.56472015710478329</v>
      </c>
      <c r="CA28" s="306">
        <f t="shared" si="15"/>
        <v>0.36661803899565154</v>
      </c>
      <c r="CB28" s="590">
        <f t="shared" si="16"/>
        <v>6.8661803899565166E-2</v>
      </c>
      <c r="CC28" s="706">
        <f t="shared" si="17"/>
        <v>0.12261028751929359</v>
      </c>
      <c r="CD28" s="305">
        <f t="shared" si="18"/>
        <v>0.4516314296995585</v>
      </c>
      <c r="CE28" s="305">
        <f t="shared" si="19"/>
        <v>0.11934742812017661</v>
      </c>
      <c r="CF28" s="581">
        <f t="shared" si="20"/>
        <v>0.30641085466097129</v>
      </c>
      <c r="CG28" s="706">
        <f t="shared" si="21"/>
        <v>0.10271080485898984</v>
      </c>
      <c r="CH28" s="305">
        <f t="shared" si="22"/>
        <v>0.45169425303686866</v>
      </c>
      <c r="CI28" s="305">
        <f t="shared" si="23"/>
        <v>0.14898344817787879</v>
      </c>
      <c r="CJ28" s="581">
        <f t="shared" si="24"/>
        <v>0.29661149392626268</v>
      </c>
      <c r="CK28" s="719">
        <f t="shared" si="25"/>
        <v>0.60375061891401216</v>
      </c>
      <c r="CL28" s="307">
        <f t="shared" si="26"/>
        <v>0.34624938108598774</v>
      </c>
      <c r="CM28" s="723">
        <f t="shared" si="27"/>
        <v>0.05</v>
      </c>
      <c r="CN28" s="719">
        <f t="shared" si="28"/>
        <v>0.55392146116218843</v>
      </c>
      <c r="CO28" s="307">
        <f t="shared" si="29"/>
        <v>0.37581710809366564</v>
      </c>
      <c r="CP28" s="723">
        <f t="shared" si="30"/>
        <v>7.0261430744145897E-2</v>
      </c>
      <c r="CQ28" s="657"/>
      <c r="CR28" s="804">
        <f>IF($C28="","",IFERROR(SUMPRODUCT(('ANALYSE - ERP =&gt; SOUS-SEGMENT'!$C$8:$C$1000=$C28)*'ANALYSE - ERP =&gt; SOUS-SEGMENT'!$Q$8:$Q$1000*'ANALYSE - ERP =&gt; SOUS-SEGMENT'!$DH$8:$DH$1000*'ANALYSE - ERP =&gt; SOUS-SEGMENT'!$CR$8:$CR$1000)/SUMPRODUCT(('ANALYSE - ERP =&gt; SOUS-SEGMENT'!$C$8:$C$1000=$C28)*'ANALYSE - ERP =&gt; SOUS-SEGMENT'!$Q$8:$Q$1000*'ANALYSE - ERP =&gt; SOUS-SEGMENT'!$DH$8:$DH$1000),""))</f>
        <v>12</v>
      </c>
      <c r="CS28" s="805">
        <f>IF($C28="","",IFERROR(SUMPRODUCT(('ANALYSE - ERP =&gt; SOUS-SEGMENT'!$C$8:$C$1000=$C28)*'ANALYSE - ERP =&gt; SOUS-SEGMENT'!$Q$8:$Q$1000*'ANALYSE - ERP =&gt; SOUS-SEGMENT'!$DI$8:$DI$1000*'ANALYSE - ERP =&gt; SOUS-SEGMENT'!$CS$8:$CS$1000)/SUMPRODUCT(('ANALYSE - ERP =&gt; SOUS-SEGMENT'!$C$8:$C$1000=$C28)*'ANALYSE - ERP =&gt; SOUS-SEGMENT'!$Q$8:$Q$1000*'ANALYSE - ERP =&gt; SOUS-SEGMENT'!$DI$8:$DI$1000),""))</f>
        <v>12.990577446685004</v>
      </c>
      <c r="CT28" s="805">
        <f>IF($C28="","",IFERROR(SUMPRODUCT(('ANALYSE - ERP =&gt; SOUS-SEGMENT'!$C$8:$C$1000=$C28)*'ANALYSE - ERP =&gt; SOUS-SEGMENT'!$Q$8:$Q$1000*'ANALYSE - ERP =&gt; SOUS-SEGMENT'!$DJ$8:$DJ$1000*'ANALYSE - ERP =&gt; SOUS-SEGMENT'!$CT$8:$CT$1000)/SUMPRODUCT(('ANALYSE - ERP =&gt; SOUS-SEGMENT'!$C$8:$C$1000=$C28)*'ANALYSE - ERP =&gt; SOUS-SEGMENT'!$Q$8:$Q$1000*'ANALYSE - ERP =&gt; SOUS-SEGMENT'!$DJ$8:$DJ$1000),""))</f>
        <v>9</v>
      </c>
      <c r="CU28" s="806">
        <f>IF($C28="","",IFERROR(SUMPRODUCT(('ANALYSE - ERP =&gt; SOUS-SEGMENT'!$C$8:$C$1000=$C28)*'ANALYSE - ERP =&gt; SOUS-SEGMENT'!$Q$8:$Q$1000*'ANALYSE - ERP =&gt; SOUS-SEGMENT'!$DK$8:$DK$1000*'ANALYSE - ERP =&gt; SOUS-SEGMENT'!$CU$8:$CU$1000)/SUMPRODUCT(('ANALYSE - ERP =&gt; SOUS-SEGMENT'!$C$8:$C$1000=$C28)*'ANALYSE - ERP =&gt; SOUS-SEGMENT'!$Q$8:$Q$1000*'ANALYSE - ERP =&gt; SOUS-SEGMENT'!$DK$8:$DK$1000),""))</f>
        <v>11</v>
      </c>
      <c r="CV28" s="804">
        <f>IF($C28="","",IFERROR(SUMPRODUCT(('ANALYSE - ERP =&gt; SOUS-SEGMENT'!$C$8:$C$1000=$C28)*'ANALYSE - ERP =&gt; SOUS-SEGMENT'!$Q$8:$Q$1000*'ANALYSE - ERP =&gt; SOUS-SEGMENT'!$DS$8:$DS$1000*'ANALYSE - ERP =&gt; SOUS-SEGMENT'!$CV$8:$CV$1000)/SUMPRODUCT(('ANALYSE - ERP =&gt; SOUS-SEGMENT'!$C$8:$C$1000=$C28)*'ANALYSE - ERP =&gt; SOUS-SEGMENT'!$Q$8:$Q$1000*'ANALYSE - ERP =&gt; SOUS-SEGMENT'!$DS$8:$DS$1000),""))</f>
        <v>11</v>
      </c>
      <c r="CW28" s="805">
        <f>IF($C28="","",IFERROR(SUMPRODUCT(('ANALYSE - ERP =&gt; SOUS-SEGMENT'!$C$8:$C$1000=$C28)*'ANALYSE - ERP =&gt; SOUS-SEGMENT'!$Q$8:$Q$1000*'ANALYSE - ERP =&gt; SOUS-SEGMENT'!$DT$8:$DT$1000*'ANALYSE - ERP =&gt; SOUS-SEGMENT'!$CW$8:$CW$1000)/SUMPRODUCT(('ANALYSE - ERP =&gt; SOUS-SEGMENT'!$C$8:$C$1000=$C28)*'ANALYSE - ERP =&gt; SOUS-SEGMENT'!$Q$8:$Q$1000*'ANALYSE - ERP =&gt; SOUS-SEGMENT'!$DT$8:$DT$1000),""))</f>
        <v>10.098987259065664</v>
      </c>
      <c r="CX28" s="806">
        <f>IF($C28="","",IFERROR(SUMPRODUCT(('ANALYSE - ERP =&gt; SOUS-SEGMENT'!$C$8:$C$1000=$C28)*'ANALYSE - ERP =&gt; SOUS-SEGMENT'!$Q$8:$Q$1000*'ANALYSE - ERP =&gt; SOUS-SEGMENT'!$DU$8:$DU$1000*'ANALYSE - ERP =&gt; SOUS-SEGMENT'!$CX$8:$CX$1000)/SUMPRODUCT(('ANALYSE - ERP =&gt; SOUS-SEGMENT'!$C$8:$C$1000=$C28)*'ANALYSE - ERP =&gt; SOUS-SEGMENT'!$Q$8:$Q$1000*'ANALYSE - ERP =&gt; SOUS-SEGMENT'!$DU$8:$DU$1000),""))</f>
        <v>8</v>
      </c>
      <c r="CY28" s="804">
        <f>IF($C28="","",IFERROR(SUMPRODUCT(('ANALYSE - ERP =&gt; SOUS-SEGMENT'!$C$8:$C$1000=$C28)*'ANALYSE - ERP =&gt; SOUS-SEGMENT'!$Q$8:$Q$1000*'ANALYSE - ERP =&gt; SOUS-SEGMENT'!$EB$8:$EB$1000*'ANALYSE - ERP =&gt; SOUS-SEGMENT'!$CY$8:$CY$1000)/SUMPRODUCT(('ANALYSE - ERP =&gt; SOUS-SEGMENT'!$C$8:$C$1000=$C28)*'ANALYSE - ERP =&gt; SOUS-SEGMENT'!$Q$8:$Q$1000*'ANALYSE - ERP =&gt; SOUS-SEGMENT'!$EB$8:$EB$1000),""))</f>
        <v>10</v>
      </c>
      <c r="CZ28" s="805">
        <f>IF($C28="","",IFERROR(SUMPRODUCT(('ANALYSE - ERP =&gt; SOUS-SEGMENT'!$C$8:$C$1000=$C28)*'ANALYSE - ERP =&gt; SOUS-SEGMENT'!$Q$8:$Q$1000*'ANALYSE - ERP =&gt; SOUS-SEGMENT'!$EC$8:$EC$1000*'ANALYSE - ERP =&gt; SOUS-SEGMENT'!$CZ$8:$CZ$1000)/SUMPRODUCT(('ANALYSE - ERP =&gt; SOUS-SEGMENT'!$C$8:$C$1000=$C28)*'ANALYSE - ERP =&gt; SOUS-SEGMENT'!$Q$8:$Q$1000*'ANALYSE - ERP =&gt; SOUS-SEGMENT'!$EC$8:$EC$1000),""))</f>
        <v>11.963876967095851</v>
      </c>
      <c r="DA28" s="805">
        <f>IF($C28="","",IFERROR(SUMPRODUCT(('ANALYSE - ERP =&gt; SOUS-SEGMENT'!$C$8:$C$1000=$C28)*'ANALYSE - ERP =&gt; SOUS-SEGMENT'!$Q$8:$Q$1000*'ANALYSE - ERP =&gt; SOUS-SEGMENT'!$ED$8:$ED$1000*'ANALYSE - ERP =&gt; SOUS-SEGMENT'!$DA$8:$DA$1000)/SUMPRODUCT(('ANALYSE - ERP =&gt; SOUS-SEGMENT'!$C$8:$C$1000=$C28)*'ANALYSE - ERP =&gt; SOUS-SEGMENT'!$Q$8:$Q$1000*'ANALYSE - ERP =&gt; SOUS-SEGMENT'!$ED$8:$ED$1000),""))</f>
        <v>8</v>
      </c>
      <c r="DB28" s="806">
        <f>IF($C28="","",IFERROR(SUMPRODUCT(('ANALYSE - ERP =&gt; SOUS-SEGMENT'!$C$8:$C$1000=$C28)*'ANALYSE - ERP =&gt; SOUS-SEGMENT'!$Q$8:$Q$1000*'ANALYSE - ERP =&gt; SOUS-SEGMENT'!$EE$8:$EE$1000*'ANALYSE - ERP =&gt; SOUS-SEGMENT'!$DB$8:$DB$1000)/SUMPRODUCT(('ANALYSE - ERP =&gt; SOUS-SEGMENT'!$C$8:$C$1000=$C28)*'ANALYSE - ERP =&gt; SOUS-SEGMENT'!$Q$8:$Q$1000*'ANALYSE - ERP =&gt; SOUS-SEGMENT'!$EE$8:$EE$1000),""))</f>
        <v>9.9787027166336717</v>
      </c>
      <c r="DC28" s="804">
        <f>IF($C28="","",IFERROR(SUMPRODUCT(('ANALYSE - ERP =&gt; SOUS-SEGMENT'!$C$8:$C$1000=$C28)*'ANALYSE - ERP =&gt; SOUS-SEGMENT'!$Q$8:$Q$1000*'ANALYSE - ERP =&gt; SOUS-SEGMENT'!$EM$8:$EM$1000*'ANALYSE - ERP =&gt; SOUS-SEGMENT'!$DC$8:$DC$1000)/SUMPRODUCT(('ANALYSE - ERP =&gt; SOUS-SEGMENT'!$C$8:$C$1000=$C28)*'ANALYSE - ERP =&gt; SOUS-SEGMENT'!$Q$8:$Q$1000*'ANALYSE - ERP =&gt; SOUS-SEGMENT'!$EM$8:$EM$1000),""))</f>
        <v>12.968939005638134</v>
      </c>
      <c r="DD28" s="805">
        <f>IF($C28="","",IFERROR(SUMPRODUCT(('ANALYSE - ERP =&gt; SOUS-SEGMENT'!$C$8:$C$1000=$C28)*'ANALYSE - ERP =&gt; SOUS-SEGMENT'!$Q$8:$Q$1000*'ANALYSE - ERP =&gt; SOUS-SEGMENT'!$EN$8:$EN$1000*'ANALYSE - ERP =&gt; SOUS-SEGMENT'!$DD$8:$DD$1000)/SUMPRODUCT(('ANALYSE - ERP =&gt; SOUS-SEGMENT'!$C$8:$C$1000=$C28)*'ANALYSE - ERP =&gt; SOUS-SEGMENT'!$Q$8:$Q$1000*'ANALYSE - ERP =&gt; SOUS-SEGMENT'!$EN$8:$EN$1000),""))</f>
        <v>12.971114315335392</v>
      </c>
      <c r="DE28" s="806">
        <f>IF($C28="","",IFERROR(SUMPRODUCT(('ANALYSE - ERP =&gt; SOUS-SEGMENT'!$C$8:$C$1000=$C28)*'ANALYSE - ERP =&gt; SOUS-SEGMENT'!$Q$8:$Q$1000*'ANALYSE - ERP =&gt; SOUS-SEGMENT'!$EO$8:$EO$1000*'ANALYSE - ERP =&gt; SOUS-SEGMENT'!$DE$8:$DE$1000)/SUMPRODUCT(('ANALYSE - ERP =&gt; SOUS-SEGMENT'!$C$8:$C$1000=$C28)*'ANALYSE - ERP =&gt; SOUS-SEGMENT'!$Q$8:$Q$1000*'ANALYSE - ERP =&gt; SOUS-SEGMENT'!$EO$8:$EO$1000),""))</f>
        <v>9</v>
      </c>
      <c r="DF28" s="919" t="s">
        <v>5888</v>
      </c>
      <c r="DG28" s="657"/>
      <c r="DH28" s="308">
        <f>IF($C28="","",SUMPRODUCT(('ANALYSE - ERP =&gt; SOUS-SEGMENT'!$C$8:$C$1000=$C28)*'ANALYSE - ERP =&gt; SOUS-SEGMENT'!$Q$8:$Q$1000*'ANALYSE - ERP =&gt; SOUS-SEGMENT'!$DH$8:$DH$1000))</f>
        <v>47013.94</v>
      </c>
      <c r="DI28" s="308">
        <f>IF($C28="","",SUMPRODUCT(('ANALYSE - ERP =&gt; SOUS-SEGMENT'!$C$8:$C$1000=$C28)*'ANALYSE - ERP =&gt; SOUS-SEGMENT'!$Q$8:$Q$1000*'ANALYSE - ERP =&gt; SOUS-SEGMENT'!$DI$8:$DI$1000))</f>
        <v>28941.200000000001</v>
      </c>
      <c r="DJ28" s="308">
        <f>IF($C28="","",SUMPRODUCT(('ANALYSE - ERP =&gt; SOUS-SEGMENT'!$C$8:$C$1000=$C28)*'ANALYSE - ERP =&gt; SOUS-SEGMENT'!$Q$8:$Q$1000*'ANALYSE - ERP =&gt; SOUS-SEGMENT'!$DJ$8:$DJ$1000))</f>
        <v>4259.12</v>
      </c>
      <c r="DK28" s="308">
        <f>IF($C28="","",SUMPRODUCT(('ANALYSE - ERP =&gt; SOUS-SEGMENT'!$C$8:$C$1000=$C28)*'ANALYSE - ERP =&gt; SOUS-SEGMENT'!$Q$8:$Q$1000*'ANALYSE - ERP =&gt; SOUS-SEGMENT'!$DK$8:$DK$1000))</f>
        <v>4422.74</v>
      </c>
      <c r="DL28" s="646" t="s">
        <v>5889</v>
      </c>
      <c r="DM28" s="308">
        <f>IF($C28="","",SUMPRODUCT(('ANALYSE - ERP =&gt; SOUS-SEGMENT'!$C$8:$C$1000=$C28)*'ANALYSE - ERP =&gt; SOUS-SEGMENT'!$Q$8:$Q$1000*'ANALYSE - ERP =&gt; SOUS-SEGMENT'!$DM$8:$DM$1000))</f>
        <v>43103.4</v>
      </c>
      <c r="DN28" s="308">
        <f>IF($C28="","",SUMPRODUCT(('ANALYSE - ERP =&gt; SOUS-SEGMENT'!$C$8:$C$1000=$C28)*'ANALYSE - ERP =&gt; SOUS-SEGMENT'!$Q$8:$Q$1000*'ANALYSE - ERP =&gt; SOUS-SEGMENT'!$DN$8:$DN$1000))</f>
        <v>30700.2</v>
      </c>
      <c r="DO28" s="308">
        <f>IF($C28="","",SUMPRODUCT(('ANALYSE - ERP =&gt; SOUS-SEGMENT'!$C$8:$C$1000=$C28)*'ANALYSE - ERP =&gt; SOUS-SEGMENT'!$Q$8:$Q$1000*'ANALYSE - ERP =&gt; SOUS-SEGMENT'!$DO$8:$DO$1000))</f>
        <v>6804.96</v>
      </c>
      <c r="DP28" s="308">
        <f>IF($C28="","",SUMPRODUCT(('ANALYSE - ERP =&gt; SOUS-SEGMENT'!$C$8:$C$1000=$C28)*'ANALYSE - ERP =&gt; SOUS-SEGMENT'!$Q$8:$Q$1000*'ANALYSE - ERP =&gt; SOUS-SEGMENT'!$DP$8:$DP$1000))</f>
        <v>4453.4399999999996</v>
      </c>
      <c r="DQ28" s="646" t="s">
        <v>5890</v>
      </c>
      <c r="DR28" s="657"/>
      <c r="DS28" s="308">
        <f>IF($C28="","",SUMPRODUCT(('ANALYSE - ERP =&gt; SOUS-SEGMENT'!$C$8:$C$1000=$C28)*'ANALYSE - ERP =&gt; SOUS-SEGMENT'!$Q$8:$Q$1000*'ANALYSE - ERP =&gt; SOUS-SEGMENT'!$DS$8:$DS$1000))</f>
        <v>8364.6</v>
      </c>
      <c r="DT28" s="308">
        <f>IF($C28="","",SUMPRODUCT(('ANALYSE - ERP =&gt; SOUS-SEGMENT'!$C$8:$C$1000=$C28)*'ANALYSE - ERP =&gt; SOUS-SEGMENT'!$Q$8:$Q$1000*'ANALYSE - ERP =&gt; SOUS-SEGMENT'!$DT$8:$DT$1000))</f>
        <v>4591.5</v>
      </c>
      <c r="DU28" s="308">
        <f>IF($C28="","",SUMPRODUCT(('ANALYSE - ERP =&gt; SOUS-SEGMENT'!$C$8:$C$1000=$C28)*'ANALYSE - ERP =&gt; SOUS-SEGMENT'!$Q$8:$Q$1000*'ANALYSE - ERP =&gt; SOUS-SEGMENT'!$DU$8:$DU$1000))</f>
        <v>681.9</v>
      </c>
      <c r="DV28" s="646" t="s">
        <v>5891</v>
      </c>
      <c r="DW28" s="308">
        <f>IF($C28="","",SUMPRODUCT(('ANALYSE - ERP =&gt; SOUS-SEGMENT'!$C$8:$C$1000=$C28)*'ANALYSE - ERP =&gt; SOUS-SEGMENT'!$Q$8:$Q$1000*'ANALYSE - ERP =&gt; SOUS-SEGMENT'!$DW$8:$DW$1000))</f>
        <v>8051.7800000000007</v>
      </c>
      <c r="DX28" s="308">
        <f>IF($C28="","",SUMPRODUCT(('ANALYSE - ERP =&gt; SOUS-SEGMENT'!$C$8:$C$1000=$C28)*'ANALYSE - ERP =&gt; SOUS-SEGMENT'!$Q$8:$Q$1000*'ANALYSE - ERP =&gt; SOUS-SEGMENT'!$DX$8:$DX$1000))</f>
        <v>5227.24</v>
      </c>
      <c r="DY28" s="308">
        <f>IF($C28="","",SUMPRODUCT(('ANALYSE - ERP =&gt; SOUS-SEGMENT'!$C$8:$C$1000=$C28)*'ANALYSE - ERP =&gt; SOUS-SEGMENT'!$Q$8:$Q$1000*'ANALYSE - ERP =&gt; SOUS-SEGMENT'!$DY$8:$DY$1000))</f>
        <v>978.98000000000013</v>
      </c>
      <c r="DZ28" s="646" t="s">
        <v>5892</v>
      </c>
      <c r="EA28" s="657"/>
      <c r="EB28" s="308">
        <f>IF($C28="","",SUMPRODUCT(('ANALYSE - ERP =&gt; SOUS-SEGMENT'!$C$8:$C$1000=$C28)*'ANALYSE - ERP =&gt; SOUS-SEGMENT'!$Q$8:$Q$1000*'ANALYSE - ERP =&gt; SOUS-SEGMENT'!$EB$8:$EB$1000))</f>
        <v>1707.9</v>
      </c>
      <c r="EC28" s="308">
        <f>IF($C28="","",SUMPRODUCT(('ANALYSE - ERP =&gt; SOUS-SEGMENT'!$C$8:$C$1000=$C28)*'ANALYSE - ERP =&gt; SOUS-SEGMENT'!$Q$8:$Q$1000*'ANALYSE - ERP =&gt; SOUS-SEGMENT'!$EC$8:$EC$1000))</f>
        <v>6291</v>
      </c>
      <c r="ED28" s="308">
        <f>IF($C28="","",SUMPRODUCT(('ANALYSE - ERP =&gt; SOUS-SEGMENT'!$C$8:$C$1000=$C28)*'ANALYSE - ERP =&gt; SOUS-SEGMENT'!$Q$8:$Q$1000*'ANALYSE - ERP =&gt; SOUS-SEGMENT'!$ED$8:$ED$1000))</f>
        <v>1662.45</v>
      </c>
      <c r="EE28" s="308">
        <f>IF($C28="","",SUMPRODUCT(('ANALYSE - ERP =&gt; SOUS-SEGMENT'!$C$8:$C$1000=$C28)*'ANALYSE - ERP =&gt; SOUS-SEGMENT'!$Q$8:$Q$1000*'ANALYSE - ERP =&gt; SOUS-SEGMENT'!$EE$8:$EE$1000))</f>
        <v>4268.1499999999996</v>
      </c>
      <c r="EF28" s="646" t="s">
        <v>5893</v>
      </c>
      <c r="EG28" s="308">
        <f>IF($C28="","",SUMPRODUCT(('ANALYSE - ERP =&gt; SOUS-SEGMENT'!$C$8:$C$1000=$C28)*'ANALYSE - ERP =&gt; SOUS-SEGMENT'!$Q$8:$Q$1000*'ANALYSE - ERP =&gt; SOUS-SEGMENT'!$EG$8:$EG$1000))</f>
        <v>1445.86</v>
      </c>
      <c r="EH28" s="308">
        <f>IF($C28="","",SUMPRODUCT(('ANALYSE - ERP =&gt; SOUS-SEGMENT'!$C$8:$C$1000=$C28)*'ANALYSE - ERP =&gt; SOUS-SEGMENT'!$Q$8:$Q$1000*'ANALYSE - ERP =&gt; SOUS-SEGMENT'!$EH$8:$EH$1000))</f>
        <v>6358.5</v>
      </c>
      <c r="EI28" s="308">
        <f>IF($C28="","",SUMPRODUCT(('ANALYSE - ERP =&gt; SOUS-SEGMENT'!$C$8:$C$1000=$C28)*'ANALYSE - ERP =&gt; SOUS-SEGMENT'!$Q$8:$Q$1000*'ANALYSE - ERP =&gt; SOUS-SEGMENT'!$EI$8:$EI$1000))</f>
        <v>2097.2399999999998</v>
      </c>
      <c r="EJ28" s="308">
        <f>IF($C28="","",SUMPRODUCT(('ANALYSE - ERP =&gt; SOUS-SEGMENT'!$C$8:$C$1000=$C28)*'ANALYSE - ERP =&gt; SOUS-SEGMENT'!$Q$8:$Q$1000*'ANALYSE - ERP =&gt; SOUS-SEGMENT'!$EJ$8:$EJ$1000))</f>
        <v>4175.3999999999996</v>
      </c>
      <c r="EK28" s="936" t="s">
        <v>5894</v>
      </c>
      <c r="EL28" s="657"/>
      <c r="EM28" s="308">
        <f>IF($C28="","",SUMPRODUCT(('ANALYSE - ERP =&gt; SOUS-SEGMENT'!$C$8:$C$1000=$C28)*'ANALYSE - ERP =&gt; SOUS-SEGMENT'!$Q$8:$Q$1000*'ANALYSE - ERP =&gt; SOUS-SEGMENT'!$EM$8:$EM$1000))</f>
        <v>43897.5</v>
      </c>
      <c r="EN28" s="310">
        <f>IF($C28="","",SUMPRODUCT(('ANALYSE - ERP =&gt; SOUS-SEGMENT'!$C$8:$C$1000=$C28)*'ANALYSE - ERP =&gt; SOUS-SEGMENT'!$Q$8:$Q$1000*'ANALYSE - ERP =&gt; SOUS-SEGMENT'!$EN$8:$EN$1000))</f>
        <v>25175.1</v>
      </c>
      <c r="EO28" s="310">
        <f>IF($C28="","",SUMPRODUCT(('ANALYSE - ERP =&gt; SOUS-SEGMENT'!$C$8:$C$1000=$C28)*'ANALYSE - ERP =&gt; SOUS-SEGMENT'!$Q$8:$Q$1000*'ANALYSE - ERP =&gt; SOUS-SEGMENT'!$EO$8:$EO$1000))</f>
        <v>3635.4</v>
      </c>
      <c r="EP28" s="646" t="s">
        <v>5895</v>
      </c>
      <c r="EQ28" s="308">
        <f>IF($C28="","",SUMPRODUCT(('ANALYSE - ERP =&gt; SOUS-SEGMENT'!$C$8:$C$1000=$C28)*'ANALYSE - ERP =&gt; SOUS-SEGMENT'!$Q$8:$Q$1000*'ANALYSE - ERP =&gt; SOUS-SEGMENT'!$EQ$8:$EQ$1000))</f>
        <v>40426.85</v>
      </c>
      <c r="ER28" s="310">
        <f>IF($C28="","",SUMPRODUCT(('ANALYSE - ERP =&gt; SOUS-SEGMENT'!$C$8:$C$1000=$C28)*'ANALYSE - ERP =&gt; SOUS-SEGMENT'!$Q$8:$Q$1000*'ANALYSE - ERP =&gt; SOUS-SEGMENT'!$ER$8:$ER$1000))</f>
        <v>27428.26</v>
      </c>
      <c r="ES28" s="310">
        <f>IF($C28="","",SUMPRODUCT(('ANALYSE - ERP =&gt; SOUS-SEGMENT'!$C$8:$C$1000=$C28)*'ANALYSE - ERP =&gt; SOUS-SEGMENT'!$Q$8:$Q$1000*'ANALYSE - ERP =&gt; SOUS-SEGMENT'!$ES$8:$ES$1000))</f>
        <v>5127.8900000000003</v>
      </c>
      <c r="ET28" s="646" t="s">
        <v>5896</v>
      </c>
      <c r="EU28" s="657"/>
      <c r="EV28" s="728">
        <f t="shared" si="31"/>
        <v>0.82584806364147256</v>
      </c>
      <c r="EW28" s="728">
        <f t="shared" si="32"/>
        <v>0.17415193635852741</v>
      </c>
      <c r="EX28" s="311">
        <f t="shared" si="33"/>
        <v>82765.62452527805</v>
      </c>
      <c r="EY28" s="311">
        <f t="shared" si="34"/>
        <v>68351.830750278052</v>
      </c>
      <c r="EZ28" s="311">
        <f t="shared" si="35"/>
        <v>14413.793774999998</v>
      </c>
      <c r="FA28" s="311">
        <f t="shared" si="36"/>
        <v>38065.019977125099</v>
      </c>
      <c r="FB28" s="311">
        <f>IF($C28="","",SUMPRODUCT(('ANALYSE - ERP =&gt; SOUS-SEGMENT'!$C$8:$C$1000=$C28)*'ANALYSE - ERP =&gt; SOUS-SEGMENT'!$Q$8:$Q$1000*'ANALYSE - ERP =&gt; SOUS-SEGMENT'!$FB$8:$FB$1000))</f>
        <v>31610.564067125099</v>
      </c>
      <c r="FC28" s="311">
        <f>IF($C28="","",SUMPRODUCT(('ANALYSE - ERP =&gt; SOUS-SEGMENT'!$C$8:$C$1000=$C28)*'ANALYSE - ERP =&gt; SOUS-SEGMENT'!$Q$8:$Q$1000*'ANALYSE - ERP =&gt; SOUS-SEGMENT'!$FC$8:$FC$1000))</f>
        <v>6454.4559099999997</v>
      </c>
      <c r="FD28" s="311">
        <f t="shared" si="37"/>
        <v>6347.6681529136367</v>
      </c>
      <c r="FE28" s="311">
        <f>IF($C28="","",SUMPRODUCT(('ANALYSE - ERP =&gt; SOUS-SEGMENT'!$C$8:$C$1000=$C28)*'ANALYSE - ERP =&gt; SOUS-SEGMENT'!$Q$8:$Q$1000*'ANALYSE - ERP =&gt; SOUS-SEGMENT'!$FE$8:$FE$1000))</f>
        <v>4983.9082129136368</v>
      </c>
      <c r="FF28" s="311">
        <f>IF($C28="","",SUMPRODUCT(('ANALYSE - ERP =&gt; SOUS-SEGMENT'!$C$8:$C$1000=$C28)*'ANALYSE - ERP =&gt; SOUS-SEGMENT'!$Q$8:$Q$1000*'ANALYSE - ERP =&gt; SOUS-SEGMENT'!$FF$8:$FF$1000))</f>
        <v>1363.7599399999999</v>
      </c>
      <c r="FG28" s="311">
        <f t="shared" si="38"/>
        <v>6914.0939699518185</v>
      </c>
      <c r="FH28" s="311">
        <f>IF($C28="","",SUMPRODUCT(('ANALYSE - ERP =&gt; SOUS-SEGMENT'!$C$8:$C$1000=$C28)*'ANALYSE - ERP =&gt; SOUS-SEGMENT'!$Q$8:$Q$1000*'ANALYSE - ERP =&gt; SOUS-SEGMENT'!$FH$8:$FH$1000))</f>
        <v>5807.6349849518183</v>
      </c>
      <c r="FI28" s="311">
        <f>IF($C28="","",SUMPRODUCT(('ANALYSE - ERP =&gt; SOUS-SEGMENT'!$C$8:$C$1000=$C28)*'ANALYSE - ERP =&gt; SOUS-SEGMENT'!$Q$8:$Q$1000*'ANALYSE - ERP =&gt; SOUS-SEGMENT'!$FI$8:$FI$1000))</f>
        <v>1106.458985</v>
      </c>
      <c r="FJ28" s="311">
        <f t="shared" si="39"/>
        <v>31438.842425287494</v>
      </c>
      <c r="FK28" s="311">
        <f>IF($C28="","",SUMPRODUCT(('ANALYSE - ERP =&gt; SOUS-SEGMENT'!$C$8:$C$1000=$C28)*'ANALYSE - ERP =&gt; SOUS-SEGMENT'!$Q$8:$Q$1000*'ANALYSE - ERP =&gt; SOUS-SEGMENT'!$FK$8:$FK$1000))</f>
        <v>25949.723485287494</v>
      </c>
      <c r="FL28" s="311">
        <f>IF($C28="","",SUMPRODUCT(('ANALYSE - ERP =&gt; SOUS-SEGMENT'!$C$8:$C$1000=$C28)*'ANALYSE - ERP =&gt; SOUS-SEGMENT'!$Q$8:$Q$1000*'ANALYSE - ERP =&gt; SOUS-SEGMENT'!$FL$8:$FL$1000))</f>
        <v>5489.1189399999994</v>
      </c>
      <c r="FM28" s="657"/>
      <c r="FN28" s="954" t="s">
        <v>2649</v>
      </c>
      <c r="FO28" s="728">
        <f>IF($C28="","",IFERROR(SUMPRODUCT(('ANALYSE - ERP =&gt; SOUS-SEGMENT'!$C$8:$C$1000=$C28)*'ANALYSE - ERP =&gt; SOUS-SEGMENT'!$Q$8:$Q$1000*'ANALYSE - ERP =&gt; SOUS-SEGMENT'!$AF$8:$AF$1000*'ANALYSE - ERP =&gt; SOUS-SEGMENT'!$FO$8:$FO$1000)/SUMPRODUCT(('ANALYSE - ERP =&gt; SOUS-SEGMENT'!$C$8:$C$1000=$C28)*'ANALYSE - ERP =&gt; SOUS-SEGMENT'!$Q$8:$Q$1000*'ANALYSE - ERP =&gt; SOUS-SEGMENT'!$AF$8:$AF$1000),""))</f>
        <v>5.8066694253109896E-2</v>
      </c>
      <c r="FP28" s="729">
        <f>IF($C28="","",IFERROR(SUMPRODUCT(('ANALYSE - ERP =&gt; SOUS-SEGMENT'!$C$8:$C$1000=$C28)*'ANALYSE - ERP =&gt; SOUS-SEGMENT'!$Q$8:$Q$1000*'ANALYSE - ERP =&gt; SOUS-SEGMENT'!$AF$8:$AF$1000*'ANALYSE - ERP =&gt; SOUS-SEGMENT'!$FP$8:$FP$1000)/SUMPRODUCT(('ANALYSE - ERP =&gt; SOUS-SEGMENT'!$C$8:$C$1000=$C28)*'ANALYSE - ERP =&gt; SOUS-SEGMENT'!$Q$8:$Q$1000*'ANALYSE - ERP =&gt; SOUS-SEGMENT'!$AF$8:$AF$1000),""))</f>
        <v>0.81215627891436215</v>
      </c>
      <c r="FQ28" s="954" t="s">
        <v>5897</v>
      </c>
      <c r="FR28" s="657"/>
      <c r="FS28" s="865">
        <f>IF($C28="","",IFERROR(SUMPRODUCT(('ANALYSE - ERP =&gt; SOUS-SEGMENT'!$C$8:$C$1000=$C28)*'ANALYSE - ERP =&gt; SOUS-SEGMENT'!$Q$8:$Q$1000*'ANALYSE - ERP =&gt; SOUS-SEGMENT'!$EX$8:$EX$1000*'ANALYSE - ERP =&gt; SOUS-SEGMENT'!$FS$8:$FS$1000)/SUMPRODUCT(('ANALYSE - ERP =&gt; SOUS-SEGMENT'!$C$8:$C$1000=$C28)*'ANALYSE - ERP =&gt; SOUS-SEGMENT'!$Q$8:$Q$1000*'ANALYSE - ERP =&gt; SOUS-SEGMENT'!$EX$8:$EX$1000),""))</f>
        <v>3.5849835179302727</v>
      </c>
      <c r="FT28" s="312">
        <f>IF($C28="","",RANK($FS28,$FS$8:$FS$43,0)+COUNTIF($FS$8:$FS28,$FS28)-1)</f>
        <v>9</v>
      </c>
      <c r="FU28" s="865">
        <f>IF($C28="","",IFERROR(SUMPRODUCT(('ANALYSE - ERP =&gt; SOUS-SEGMENT'!$C$8:$C$1000=$C28)*'ANALYSE - ERP =&gt; SOUS-SEGMENT'!$Q$8:$Q$1000*'ANALYSE - ERP =&gt; SOUS-SEGMENT'!$EY$8:$EY$1000*'ANALYSE - ERP =&gt; SOUS-SEGMENT'!$FU$8:$FU$1000)/SUMPRODUCT(('ANALYSE - ERP =&gt; SOUS-SEGMENT'!$C$8:$C$1000=$C28)*'ANALYSE - ERP =&gt; SOUS-SEGMENT'!$Q$8:$Q$1000*'ANALYSE - ERP =&gt; SOUS-SEGMENT'!$EY$8:$EY$1000),""))</f>
        <v>4.2525739863220693</v>
      </c>
      <c r="FV28" s="312">
        <f>IF($C28="","",RANK($FU28,$FU$8:$FU$43,0)+COUNTIF($FU$8:$FU28,$FU28)-1)</f>
        <v>7</v>
      </c>
      <c r="FW28" s="865">
        <f>IF($C28="","",IFERROR(SUMPRODUCT(('ANALYSE - ERP =&gt; SOUS-SEGMENT'!$C$8:$C$1000=$C28)*'ANALYSE - ERP =&gt; SOUS-SEGMENT'!$Q$8:$Q$1000*'ANALYSE - ERP =&gt; SOUS-SEGMENT'!$EZ$8:$EZ$1000*'ANALYSE - ERP =&gt; SOUS-SEGMENT'!$FW$8:$FW$1000)/SUMPRODUCT(('ANALYSE - ERP =&gt; SOUS-SEGMENT'!$C$8:$C$1000=$C28)*'ANALYSE - ERP =&gt; SOUS-SEGMENT'!$Q$8:$Q$1000*'ANALYSE - ERP =&gt; SOUS-SEGMENT'!$EZ$8:$EZ$1000),""))</f>
        <v>2.3489599187948698</v>
      </c>
      <c r="FX28" s="312">
        <f>IF($C28="","",RANK($FW28,$FW$8:$FW$43,0)+COUNTIF($FW$8:$FW28,$FW28)-1)</f>
        <v>14</v>
      </c>
      <c r="FY28" s="657"/>
      <c r="FZ28" s="646" t="s">
        <v>5898</v>
      </c>
      <c r="GA28" s="646" t="s">
        <v>5899</v>
      </c>
      <c r="GB28" s="646" t="s">
        <v>5900</v>
      </c>
      <c r="GC28" s="646" t="s">
        <v>5901</v>
      </c>
      <c r="GD28" s="646" t="s">
        <v>5902</v>
      </c>
      <c r="GE28" s="646" t="s">
        <v>5903</v>
      </c>
      <c r="GF28" s="276" t="s">
        <v>5904</v>
      </c>
      <c r="GG28" s="657"/>
      <c r="GH28" s="311">
        <f t="shared" si="40"/>
        <v>20915.546338666667</v>
      </c>
      <c r="GI28" s="311">
        <f>IF($C28="","",SUMPRODUCT(('ANALYSE - ERP =&gt; SOUS-SEGMENT'!$C$8:$C$1000=$C28)*'ANALYSE - ERP =&gt; SOUS-SEGMENT'!$Q$8:$Q$1000*'ANALYSE - ERP =&gt; SOUS-SEGMENT'!$GI$8:$GI$1000))</f>
        <v>17635.504601666667</v>
      </c>
      <c r="GJ28" s="311">
        <f>IF($C28="","",SUMPRODUCT(('ANALYSE - ERP =&gt; SOUS-SEGMENT'!$C$8:$C$1000=$C28)*'ANALYSE - ERP =&gt; SOUS-SEGMENT'!$Q$8:$Q$1000*'ANALYSE - ERP =&gt; SOUS-SEGMENT'!$GJ$8:$GJ$1000))</f>
        <v>3280.041737</v>
      </c>
      <c r="GK28" s="311">
        <f t="shared" si="41"/>
        <v>12427.743697923077</v>
      </c>
      <c r="GL28" s="311">
        <f>IF($C28="","",SUMPRODUCT(('ANALYSE - ERP =&gt; SOUS-SEGMENT'!$C$8:$C$1000=$C28)*'ANALYSE - ERP =&gt; SOUS-SEGMENT'!$Q$8:$Q$1000*'ANALYSE - ERP =&gt; SOUS-SEGMENT'!$GL$8:$GL$1000))</f>
        <v>10110.893616923076</v>
      </c>
      <c r="GM28" s="311">
        <f>IF($C28="","",SUMPRODUCT(('ANALYSE - ERP =&gt; SOUS-SEGMENT'!$C$8:$C$1000=$C28)*'ANALYSE - ERP =&gt; SOUS-SEGMENT'!$Q$8:$Q$1000*'ANALYSE - ERP =&gt; SOUS-SEGMENT'!$GM$8:$GM$1000))</f>
        <v>2316.850081</v>
      </c>
      <c r="GN28" s="311">
        <f t="shared" si="42"/>
        <v>2584.3376972444448</v>
      </c>
      <c r="GO28" s="311">
        <f>IF($C28="","",SUMPRODUCT(('ANALYSE - ERP =&gt; SOUS-SEGMENT'!$C$8:$C$1000=$C28)*'ANALYSE - ERP =&gt; SOUS-SEGMENT'!$Q$8:$Q$1000*'ANALYSE - ERP =&gt; SOUS-SEGMENT'!$GO$8:$GO$1000))</f>
        <v>2067.9812244444447</v>
      </c>
      <c r="GP28" s="311">
        <f>IF($C28="","",SUMPRODUCT(('ANALYSE - ERP =&gt; SOUS-SEGMENT'!$C$8:$C$1000=$C28)*'ANALYSE - ERP =&gt; SOUS-SEGMENT'!$Q$8:$Q$1000*'ANALYSE - ERP =&gt; SOUS-SEGMENT'!$GP$8:$GP$1000))</f>
        <v>516.35647280000001</v>
      </c>
      <c r="GQ28" s="311">
        <f t="shared" si="43"/>
        <v>2137.3922432909094</v>
      </c>
      <c r="GR28" s="311">
        <f>IF($C28="","",SUMPRODUCT(('ANALYSE - ERP =&gt; SOUS-SEGMENT'!$C$8:$C$1000=$C28)*'ANALYSE - ERP =&gt; SOUS-SEGMENT'!$Q$8:$Q$1000*'ANALYSE - ERP =&gt; SOUS-SEGMENT'!$GR$8:$GR$1000))</f>
        <v>1796.1846240909092</v>
      </c>
      <c r="GS28" s="311">
        <f>IF($C28="","",SUMPRODUCT(('ANALYSE - ERP =&gt; SOUS-SEGMENT'!$C$8:$C$1000=$C28)*'ANALYSE - ERP =&gt; SOUS-SEGMENT'!$Q$8:$Q$1000*'ANALYSE - ERP =&gt; SOUS-SEGMENT'!$GS$8:$GS$1000))</f>
        <v>341.20761919999995</v>
      </c>
      <c r="GT28" s="311">
        <f t="shared" si="44"/>
        <v>3675.7841924000004</v>
      </c>
      <c r="GU28" s="311">
        <f>IF($C28="","",SUMPRODUCT(('ANALYSE - ERP =&gt; SOUS-SEGMENT'!$C$8:$C$1000=$C28)*'ANALYSE - ERP =&gt; SOUS-SEGMENT'!$Q$8:$Q$1000*'ANALYSE - ERP =&gt; SOUS-SEGMENT'!$GU$8:$GU$1000))</f>
        <v>2906.3511720000001</v>
      </c>
      <c r="GV28" s="311">
        <f>IF($C28="","",SUMPRODUCT(('ANALYSE - ERP =&gt; SOUS-SEGMENT'!$C$8:$C$1000=$C28)*'ANALYSE - ERP =&gt; SOUS-SEGMENT'!$Q$8:$Q$1000*'ANALYSE - ERP =&gt; SOUS-SEGMENT'!$GV$8:$GV$1000))</f>
        <v>769.43302040000003</v>
      </c>
      <c r="GW28" s="311">
        <f t="shared" si="45"/>
        <v>2247.8245353636362</v>
      </c>
      <c r="GX28" s="311">
        <f>IF($C28="","",SUMPRODUCT(('ANALYSE - ERP =&gt; SOUS-SEGMENT'!$C$8:$C$1000=$C28)*'ANALYSE - ERP =&gt; SOUS-SEGMENT'!$Q$8:$Q$1000*'ANALYSE - ERP =&gt; SOUS-SEGMENT'!$GX$8:$GX$1000))</f>
        <v>1747.2003521636364</v>
      </c>
      <c r="GY28" s="311">
        <f>IF($C28="","",SUMPRODUCT(('ANALYSE - ERP =&gt; SOUS-SEGMENT'!$C$8:$C$1000=$C28)*'ANALYSE - ERP =&gt; SOUS-SEGMENT'!$Q$8:$Q$1000*'ANALYSE - ERP =&gt; SOUS-SEGMENT'!$GY$8:$GY$1000))</f>
        <v>500.6241832</v>
      </c>
      <c r="GZ28" s="311">
        <f t="shared" si="46"/>
        <v>424.05942514999998</v>
      </c>
      <c r="HA28" s="311">
        <f>IF($C28="","",SUMPRODUCT(('ANALYSE - ERP =&gt; SOUS-SEGMENT'!$C$8:$C$1000=$C28)*'ANALYSE - ERP =&gt; SOUS-SEGMENT'!$Q$8:$Q$1000*'ANALYSE - ERP =&gt; SOUS-SEGMENT'!$HA$8:$HA$1000))</f>
        <v>330.35668874999999</v>
      </c>
      <c r="HB28" s="311">
        <f>IF($C28="","",SUMPRODUCT(('ANALYSE - ERP =&gt; SOUS-SEGMENT'!$C$8:$C$1000=$C28)*'ANALYSE - ERP =&gt; SOUS-SEGMENT'!$Q$8:$Q$1000*'ANALYSE - ERP =&gt; SOUS-SEGMENT'!$HB$8:$HB$1000))</f>
        <v>93.702736400000006</v>
      </c>
      <c r="HC28" s="311">
        <f t="shared" si="47"/>
        <v>855.74489198000003</v>
      </c>
      <c r="HD28" s="311">
        <f>IF($C28="","",SUMPRODUCT(('ANALYSE - ERP =&gt; SOUS-SEGMENT'!$C$8:$C$1000=$C28)*'ANALYSE - ERP =&gt; SOUS-SEGMENT'!$Q$8:$Q$1000*'ANALYSE - ERP =&gt; SOUS-SEGMENT'!$HD$8:$HD$1000))</f>
        <v>741.57807467999999</v>
      </c>
      <c r="HE28" s="311">
        <f>IF($C28="","",SUMPRODUCT(('ANALYSE - ERP =&gt; SOUS-SEGMENT'!$C$8:$C$1000=$C28)*'ANALYSE - ERP =&gt; SOUS-SEGMENT'!$Q$8:$Q$1000*'ANALYSE - ERP =&gt; SOUS-SEGMENT'!$HE$8:$HE$1000))</f>
        <v>114.16681730000001</v>
      </c>
      <c r="HF28" s="311">
        <f t="shared" si="48"/>
        <v>2817.0314391818183</v>
      </c>
      <c r="HG28" s="311">
        <f>IF($C28="","",SUMPRODUCT(('ANALYSE - ERP =&gt; SOUS-SEGMENT'!$C$8:$C$1000=$C28)*'ANALYSE - ERP =&gt; SOUS-SEGMENT'!$Q$8:$Q$1000*'ANALYSE - ERP =&gt; SOUS-SEGMENT'!$HG$8:$HG$1000))</f>
        <v>2316.9243216818181</v>
      </c>
      <c r="HH28" s="311">
        <f>IF($C28="","",SUMPRODUCT(('ANALYSE - ERP =&gt; SOUS-SEGMENT'!$C$8:$C$1000=$C28)*'ANALYSE - ERP =&gt; SOUS-SEGMENT'!$Q$8:$Q$1000*'ANALYSE - ERP =&gt; SOUS-SEGMENT'!$HH$8:$HH$1000))</f>
        <v>500.10711749999996</v>
      </c>
      <c r="HI28" s="311">
        <f t="shared" si="49"/>
        <v>1047.9032509499998</v>
      </c>
      <c r="HJ28" s="311">
        <f>IF($C28="","",SUMPRODUCT(('ANALYSE - ERP =&gt; SOUS-SEGMENT'!$C$8:$C$1000=$C28)*'ANALYSE - ERP =&gt; SOUS-SEGMENT'!$Q$8:$Q$1000*'ANALYSE - ERP =&gt; SOUS-SEGMENT'!$HJ$8:$HJ$1000))</f>
        <v>883.25474774999986</v>
      </c>
      <c r="HK28" s="311">
        <f>IF($C28="","",SUMPRODUCT(('ANALYSE - ERP =&gt; SOUS-SEGMENT'!$C$8:$C$1000=$C28)*'ANALYSE - ERP =&gt; SOUS-SEGMENT'!$Q$8:$Q$1000*'ANALYSE - ERP =&gt; SOUS-SEGMENT'!$HK$8:$HK$1000))</f>
        <v>164.64850319999999</v>
      </c>
      <c r="HL28" s="311">
        <f t="shared" si="50"/>
        <v>2193.41438784</v>
      </c>
      <c r="HM28" s="311">
        <f>IF($C28="","",SUMPRODUCT(('ANALYSE - ERP =&gt; SOUS-SEGMENT'!$C$8:$C$1000=$C28)*'ANALYSE - ERP =&gt; SOUS-SEGMENT'!$Q$8:$Q$1000*'ANALYSE - ERP =&gt; SOUS-SEGMENT'!$HM$8:$HM$1000))</f>
        <v>1865.8778408400001</v>
      </c>
      <c r="HN28" s="311">
        <f>IF($C28="","",SUMPRODUCT(('ANALYSE - ERP =&gt; SOUS-SEGMENT'!$C$8:$C$1000=$C28)*'ANALYSE - ERP =&gt; SOUS-SEGMENT'!$Q$8:$Q$1000*'ANALYSE - ERP =&gt; SOUS-SEGMENT'!$HN$8:$HN$1000))</f>
        <v>327.53654699999998</v>
      </c>
      <c r="HO28" s="311">
        <f t="shared" si="51"/>
        <v>18387.882302615384</v>
      </c>
      <c r="HP28" s="311">
        <f>IF($C28="","",SUMPRODUCT(('ANALYSE - ERP =&gt; SOUS-SEGMENT'!$C$8:$C$1000=$C28)*'ANALYSE - ERP =&gt; SOUS-SEGMENT'!$Q$8:$Q$1000*'ANALYSE - ERP =&gt; SOUS-SEGMENT'!$HP$8:$HP$1000))</f>
        <v>15342.459994615385</v>
      </c>
      <c r="HQ28" s="311">
        <f>IF($C28="","",SUMPRODUCT(('ANALYSE - ERP =&gt; SOUS-SEGMENT'!$C$8:$C$1000=$C28)*'ANALYSE - ERP =&gt; SOUS-SEGMENT'!$Q$8:$Q$1000*'ANALYSE - ERP =&gt; SOUS-SEGMENT'!$HQ$8:$HQ$1000))</f>
        <v>3045.4223079999997</v>
      </c>
      <c r="HR28" s="311">
        <f t="shared" si="52"/>
        <v>10892.711573583216</v>
      </c>
      <c r="HS28" s="311">
        <f>IF($C28="","",SUMPRODUCT(('ANALYSE - ERP =&gt; SOUS-SEGMENT'!$C$8:$C$1000=$C28)*'ANALYSE - ERP =&gt; SOUS-SEGMENT'!$Q$8:$Q$1000*'ANALYSE - ERP =&gt; SOUS-SEGMENT'!$HS$8:$HS$1000))</f>
        <v>8835.013726783216</v>
      </c>
      <c r="HT28" s="311">
        <f>IF($C28="","",SUMPRODUCT(('ANALYSE - ERP =&gt; SOUS-SEGMENT'!$C$8:$C$1000=$C28)*'ANALYSE - ERP =&gt; SOUS-SEGMENT'!$Q$8:$Q$1000*'ANALYSE - ERP =&gt; SOUS-SEGMENT'!$HT$8:$HT$1000))</f>
        <v>2057.6978468000002</v>
      </c>
      <c r="HU28" s="311">
        <f t="shared" si="53"/>
        <v>2158.2485490888889</v>
      </c>
      <c r="HV28" s="311">
        <f>IF($C28="","",SUMPRODUCT(('ANALYSE - ERP =&gt; SOUS-SEGMENT'!$C$8:$C$1000=$C28)*'ANALYSE - ERP =&gt; SOUS-SEGMENT'!$Q$8:$Q$1000*'ANALYSE - ERP =&gt; SOUS-SEGMENT'!$HV$8:$HV$1000))</f>
        <v>1772.249763888889</v>
      </c>
      <c r="HW28" s="311">
        <f>IF($C28="","",SUMPRODUCT(('ANALYSE - ERP =&gt; SOUS-SEGMENT'!$C$8:$C$1000=$C28)*'ANALYSE - ERP =&gt; SOUS-SEGMENT'!$Q$8:$Q$1000*'ANALYSE - ERP =&gt; SOUS-SEGMENT'!$HW$8:$HW$1000))</f>
        <v>385.99878519999999</v>
      </c>
      <c r="HY28" s="313">
        <f t="shared" si="54"/>
        <v>184912.50000000003</v>
      </c>
      <c r="HZ28" s="313">
        <f>IF($C28="","",SUMPRODUCT(('ANALYSE - ERP =&gt; SOUS-SEGMENT'!$C$8:$C$1000=$C28)*'ANALYSE - ERP =&gt; SOUS-SEGMENT'!$Q$8:$Q$1000*'ANALYSE - ERP =&gt; SOUS-SEGMENT'!$HZ$8:$HZ$1000))</f>
        <v>7106.0425000000005</v>
      </c>
      <c r="IA28" s="313">
        <f>IF($C28="","",SUMPRODUCT(('ANALYSE - ERP =&gt; SOUS-SEGMENT'!$C$8:$C$1000=$C28)*'ANALYSE - ERP =&gt; SOUS-SEGMENT'!$Q$8:$Q$1000*'ANALYSE - ERP =&gt; SOUS-SEGMENT'!$IA$8:$IA$1000))</f>
        <v>67885.241300000009</v>
      </c>
      <c r="IB28" s="313">
        <f>IF($C28="","",SUMPRODUCT(('ANALYSE - ERP =&gt; SOUS-SEGMENT'!$C$8:$C$1000=$C28)*'ANALYSE - ERP =&gt; SOUS-SEGMENT'!$Q$8:$Q$1000*'ANALYSE - ERP =&gt; SOUS-SEGMENT'!$IB$8:$IB$1000))</f>
        <v>83386.619350000008</v>
      </c>
      <c r="IC28" s="313">
        <f>IF($C28="","",SUMPRODUCT(('ANALYSE - ERP =&gt; SOUS-SEGMENT'!$C$8:$C$1000=$C28)*'ANALYSE - ERP =&gt; SOUS-SEGMENT'!$Q$8:$Q$1000*'ANALYSE - ERP =&gt; SOUS-SEGMENT'!$IC$8:$IC$1000))</f>
        <v>24377.406800000001</v>
      </c>
      <c r="ID28" s="313">
        <f>IF($C28="","",SUMPRODUCT(('ANALYSE - ERP =&gt; SOUS-SEGMENT'!$C$8:$C$1000=$C28)*'ANALYSE - ERP =&gt; SOUS-SEGMENT'!$Q$8:$Q$1000*'ANALYSE - ERP =&gt; SOUS-SEGMENT'!$ID$8:$ID$1000))</f>
        <v>2157.1900499999997</v>
      </c>
      <c r="IE28" s="313">
        <f t="shared" si="55"/>
        <v>68351.830750278052</v>
      </c>
      <c r="IF28" s="313">
        <f>IF($C28="","",SUMPRODUCT(('ANALYSE - ERP =&gt; SOUS-SEGMENT'!$C$8:$C$1000=$C28)*'ANALYSE - ERP =&gt; SOUS-SEGMENT'!$Q$8:$Q$1000*'ANALYSE - ERP =&gt; SOUS-SEGMENT'!$IF$8:$IF$1000))</f>
        <v>1277.7818929939174</v>
      </c>
      <c r="IG28" s="313">
        <f>IF($C28="","",SUMPRODUCT(('ANALYSE - ERP =&gt; SOUS-SEGMENT'!$C$8:$C$1000=$C28)*'ANALYSE - ERP =&gt; SOUS-SEGMENT'!$Q$8:$Q$1000*'ANALYSE - ERP =&gt; SOUS-SEGMENT'!$IG$8:$IG$1000))</f>
        <v>21535.348064011807</v>
      </c>
      <c r="IH28" s="313">
        <f>IF($C28="","",SUMPRODUCT(('ANALYSE - ERP =&gt; SOUS-SEGMENT'!$C$8:$C$1000=$C28)*'ANALYSE - ERP =&gt; SOUS-SEGMENT'!$Q$8:$Q$1000*'ANALYSE - ERP =&gt; SOUS-SEGMENT'!$IH$8:$IH$1000))</f>
        <v>32935.114107512178</v>
      </c>
      <c r="II28" s="313">
        <f>IF($C28="","",SUMPRODUCT(('ANALYSE - ERP =&gt; SOUS-SEGMENT'!$C$8:$C$1000=$C28)*'ANALYSE - ERP =&gt; SOUS-SEGMENT'!$Q$8:$Q$1000*'ANALYSE - ERP =&gt; SOUS-SEGMENT'!$II$8:$II$1000))</f>
        <v>11364.440580778029</v>
      </c>
      <c r="IJ28" s="313">
        <f>IF($C28="","",SUMPRODUCT(('ANALYSE - ERP =&gt; SOUS-SEGMENT'!$C$8:$C$1000=$C28)*'ANALYSE - ERP =&gt; SOUS-SEGMENT'!$Q$8:$Q$1000*'ANALYSE - ERP =&gt; SOUS-SEGMENT'!$IJ$8:$IJ$1000))</f>
        <v>1239.1461049821171</v>
      </c>
      <c r="IK28" s="866">
        <f>IF($C28="","",IFERROR(SUMPRODUCT(('ANALYSE - ERP =&gt; SOUS-SEGMENT'!$C$8:$C$1000=$C28)*'ANALYSE - ERP =&gt; SOUS-SEGMENT'!$Q$8:$Q$1000*'ANALYSE - ERP =&gt; SOUS-SEGMENT'!$IE$8:$IE$1000*'ANALYSE - ERP =&gt; SOUS-SEGMENT'!$IK$8:$IK$1000)/SUMPRODUCT(('ANALYSE - ERP =&gt; SOUS-SEGMENT'!$C$8:$C$1000=$C28)*'ANALYSE - ERP =&gt; SOUS-SEGMENT'!$Q$8:$Q$1000*'ANALYSE - ERP =&gt; SOUS-SEGMENT'!$IE$8:$IE$1000),""))</f>
        <v>4.1566555169986428</v>
      </c>
      <c r="IL28" s="920" t="s">
        <v>5905</v>
      </c>
      <c r="IM28" s="964" t="s">
        <v>5906</v>
      </c>
      <c r="IN28" s="657"/>
      <c r="IO28" s="730">
        <f>IF($C28="","",IFERROR(SUMPRODUCT(('ANALYSE - ERP =&gt; SOUS-SEGMENT'!$C$8:$C$1000=$C28)*'ANALYSE - ERP =&gt; SOUS-SEGMENT'!$Q$8:$Q$1000*'ANALYSE - ERP =&gt; SOUS-SEGMENT'!$BE$8:$BE$1000*'ANALYSE - ERP =&gt; SOUS-SEGMENT'!$IO$8:$IO$1000)/SUMPRODUCT(('ANALYSE - ERP =&gt; SOUS-SEGMENT'!$C$8:$C$1000=$C28)*'ANALYSE - ERP =&gt; SOUS-SEGMENT'!$Q$8:$Q$1000*'ANALYSE - ERP =&gt; SOUS-SEGMENT'!$BE$8:$BE$1000),""))</f>
        <v>3.3073281189078062E-2</v>
      </c>
      <c r="IP28" s="730">
        <f>IF($C28="","",IFERROR(SUMPRODUCT(('ANALYSE - ERP =&gt; SOUS-SEGMENT'!$C$8:$C$1000=$C28)*'ANALYSE - ERP =&gt; SOUS-SEGMENT'!$Q$8:$Q$1000*'ANALYSE - ERP =&gt; SOUS-SEGMENT'!$BE$8:$BE$1000*'ANALYSE - ERP =&gt; SOUS-SEGMENT'!$IP$8:$IP$1000)/SUMPRODUCT(('ANALYSE - ERP =&gt; SOUS-SEGMENT'!$C$8:$C$1000=$C28)*'ANALYSE - ERP =&gt; SOUS-SEGMENT'!$Q$8:$Q$1000*'ANALYSE - ERP =&gt; SOUS-SEGMENT'!$BE$8:$BE$1000),""))</f>
        <v>0.34440569727187875</v>
      </c>
      <c r="IQ28" s="730">
        <f>IF($C28="","",IFERROR(SUMPRODUCT(('ANALYSE - ERP =&gt; SOUS-SEGMENT'!$C$8:$C$1000=$C28)*'ANALYSE - ERP =&gt; SOUS-SEGMENT'!$Q$8:$Q$1000*'ANALYSE - ERP =&gt; SOUS-SEGMENT'!$BE$8:$BE$1000*'ANALYSE - ERP =&gt; SOUS-SEGMENT'!$IQ$8:$IQ$1000)/SUMPRODUCT(('ANALYSE - ERP =&gt; SOUS-SEGMENT'!$C$8:$C$1000=$C28)*'ANALYSE - ERP =&gt; SOUS-SEGMENT'!$Q$8:$Q$1000*'ANALYSE - ERP =&gt; SOUS-SEGMENT'!$BE$8:$BE$1000),""))</f>
        <v>0.46004015383342983</v>
      </c>
      <c r="IR28" s="730">
        <f>IF($C28="","",IFERROR(SUMPRODUCT(('ANALYSE - ERP =&gt; SOUS-SEGMENT'!$C$8:$C$1000=$C28)*'ANALYSE - ERP =&gt; SOUS-SEGMENT'!$Q$8:$Q$1000*'ANALYSE - ERP =&gt; SOUS-SEGMENT'!$BE$8:$BE$1000*'ANALYSE - ERP =&gt; SOUS-SEGMENT'!$IR$8:$IR$1000)/SUMPRODUCT(('ANALYSE - ERP =&gt; SOUS-SEGMENT'!$C$8:$C$1000=$C28)*'ANALYSE - ERP =&gt; SOUS-SEGMENT'!$Q$8:$Q$1000*'ANALYSE - ERP =&gt; SOUS-SEGMENT'!$BE$8:$BE$1000),""))</f>
        <v>0.14788786110093693</v>
      </c>
      <c r="IS28" s="730">
        <f>IF($C28="","",IFERROR(SUMPRODUCT(('ANALYSE - ERP =&gt; SOUS-SEGMENT'!$C$8:$C$1000=$C28)*'ANALYSE - ERP =&gt; SOUS-SEGMENT'!$Q$8:$Q$1000*'ANALYSE - ERP =&gt; SOUS-SEGMENT'!$BE$8:$BE$1000*'ANALYSE - ERP =&gt; SOUS-SEGMENT'!$IS$8:$IS$1000)/SUMPRODUCT(('ANALYSE - ERP =&gt; SOUS-SEGMENT'!$C$8:$C$1000=$C28)*'ANALYSE - ERP =&gt; SOUS-SEGMENT'!$Q$8:$Q$1000*'ANALYSE - ERP =&gt; SOUS-SEGMENT'!$BE$8:$BE$1000),""))</f>
        <v>1.4593006604676443E-2</v>
      </c>
      <c r="IT28" s="730">
        <f>IF($C28="","",IFERROR(SUMPRODUCT(('ANALYSE - ERP =&gt; SOUS-SEGMENT'!$C$8:$C$1000=$C28)*'ANALYSE - ERP =&gt; SOUS-SEGMENT'!$Q$8:$Q$1000*'ANALYSE - ERP =&gt; SOUS-SEGMENT'!$FB$8:$FB$1000*'ANALYSE - ERP =&gt; SOUS-SEGMENT'!$IT$8:$IT$1000)/SUMPRODUCT(('ANALYSE - ERP =&gt; SOUS-SEGMENT'!$C$8:$C$1000=$C28)*'ANALYSE - ERP =&gt; SOUS-SEGMENT'!$Q$8:$Q$1000*'ANALYSE - ERP =&gt; SOUS-SEGMENT'!$FB$8:$FB$1000),""))</f>
        <v>1.4803957900663873E-2</v>
      </c>
      <c r="IU28" s="730">
        <f>IF($C28="","",IFERROR(SUMPRODUCT(('ANALYSE - ERP =&gt; SOUS-SEGMENT'!$C$8:$C$1000=$C28)*'ANALYSE - ERP =&gt; SOUS-SEGMENT'!$Q$8:$Q$1000*'ANALYSE - ERP =&gt; SOUS-SEGMENT'!$FB$8:$FB$1000*'ANALYSE - ERP =&gt; SOUS-SEGMENT'!$IU$8:$IU$1000)/SUMPRODUCT(('ANALYSE - ERP =&gt; SOUS-SEGMENT'!$C$8:$C$1000=$C28)*'ANALYSE - ERP =&gt; SOUS-SEGMENT'!$Q$8:$Q$1000*'ANALYSE - ERP =&gt; SOUS-SEGMENT'!$FB$8:$FB$1000),""))</f>
        <v>0.29062797747008057</v>
      </c>
      <c r="IV28" s="730">
        <f>IF($C28="","",IFERROR(SUMPRODUCT(('ANALYSE - ERP =&gt; SOUS-SEGMENT'!$C$8:$C$1000=$C28)*'ANALYSE - ERP =&gt; SOUS-SEGMENT'!$Q$8:$Q$1000*'ANALYSE - ERP =&gt; SOUS-SEGMENT'!$FB$8:$FB$1000*'ANALYSE - ERP =&gt; SOUS-SEGMENT'!$IV$8:$IV$1000)/SUMPRODUCT(('ANALYSE - ERP =&gt; SOUS-SEGMENT'!$C$8:$C$1000=$C28)*'ANALYSE - ERP =&gt; SOUS-SEGMENT'!$Q$8:$Q$1000*'ANALYSE - ERP =&gt; SOUS-SEGMENT'!$FB$8:$FB$1000),""))</f>
        <v>0.49023749594415583</v>
      </c>
      <c r="IW28" s="730">
        <f>IF($C28="","",IFERROR(SUMPRODUCT(('ANALYSE - ERP =&gt; SOUS-SEGMENT'!$C$8:$C$1000=$C28)*'ANALYSE - ERP =&gt; SOUS-SEGMENT'!$Q$8:$Q$1000*'ANALYSE - ERP =&gt; SOUS-SEGMENT'!$FB$8:$FB$1000*'ANALYSE - ERP =&gt; SOUS-SEGMENT'!$IW$8:$IW$1000)/SUMPRODUCT(('ANALYSE - ERP =&gt; SOUS-SEGMENT'!$C$8:$C$1000=$C28)*'ANALYSE - ERP =&gt; SOUS-SEGMENT'!$Q$8:$Q$1000*'ANALYSE - ERP =&gt; SOUS-SEGMENT'!$FB$8:$FB$1000),""))</f>
        <v>0.18293253286760866</v>
      </c>
      <c r="IX28" s="730">
        <f>IF($C28="","",IFERROR(SUMPRODUCT(('ANALYSE - ERP =&gt; SOUS-SEGMENT'!$C$8:$C$1000=$C28)*'ANALYSE - ERP =&gt; SOUS-SEGMENT'!$Q$8:$Q$1000*'ANALYSE - ERP =&gt; SOUS-SEGMENT'!$FB$8:$FB$1000*'ANALYSE - ERP =&gt; SOUS-SEGMENT'!$IX$8:$IX$1000)/SUMPRODUCT(('ANALYSE - ERP =&gt; SOUS-SEGMENT'!$C$8:$C$1000=$C28)*'ANALYSE - ERP =&gt; SOUS-SEGMENT'!$Q$8:$Q$1000*'ANALYSE - ERP =&gt; SOUS-SEGMENT'!$FB$8:$FB$1000),""))</f>
        <v>2.1398035817491137E-2</v>
      </c>
      <c r="IY28" s="730">
        <f>IF($C28="","",IFERROR(SUMPRODUCT(('ANALYSE - ERP =&gt; SOUS-SEGMENT'!$C$8:$C$1000=$C28)*'ANALYSE - ERP =&gt; SOUS-SEGMENT'!$Q$8:$Q$1000*'ANALYSE - ERP =&gt; SOUS-SEGMENT'!$BF$8:$BF$1000*'ANALYSE - ERP =&gt; SOUS-SEGMENT'!$IY$8:$IY$1000)/SUMPRODUCT(('ANALYSE - ERP =&gt; SOUS-SEGMENT'!$C$8:$C$1000=$C28)*'ANALYSE - ERP =&gt; SOUS-SEGMENT'!$Q$8:$Q$1000*'ANALYSE - ERP =&gt; SOUS-SEGMENT'!$BF$8:$BF$1000),""))</f>
        <v>6.4025164980202373E-2</v>
      </c>
      <c r="IZ28" s="730">
        <f>IF($C28="","",IFERROR(SUMPRODUCT(('ANALYSE - ERP =&gt; SOUS-SEGMENT'!$C$8:$C$1000=$C28)*'ANALYSE - ERP =&gt; SOUS-SEGMENT'!$Q$8:$Q$1000*'ANALYSE - ERP =&gt; SOUS-SEGMENT'!$BF$8:$BF$1000*'ANALYSE - ERP =&gt; SOUS-SEGMENT'!$IZ$8:$IZ$1000)/SUMPRODUCT(('ANALYSE - ERP =&gt; SOUS-SEGMENT'!$C$8:$C$1000=$C28)*'ANALYSE - ERP =&gt; SOUS-SEGMENT'!$Q$8:$Q$1000*'ANALYSE - ERP =&gt; SOUS-SEGMENT'!$BF$8:$BF$1000),""))</f>
        <v>0.42082551693796755</v>
      </c>
      <c r="JA28" s="730">
        <f>IF($C28="","",IFERROR(SUMPRODUCT(('ANALYSE - ERP =&gt; SOUS-SEGMENT'!$C$8:$C$1000=$C28)*'ANALYSE - ERP =&gt; SOUS-SEGMENT'!$Q$8:$Q$1000*'ANALYSE - ERP =&gt; SOUS-SEGMENT'!$BF$8:$BF$1000*'ANALYSE - ERP =&gt; SOUS-SEGMENT'!$JA$8:$JA$1000)/SUMPRODUCT(('ANALYSE - ERP =&gt; SOUS-SEGMENT'!$C$8:$C$1000=$C28)*'ANALYSE - ERP =&gt; SOUS-SEGMENT'!$Q$8:$Q$1000*'ANALYSE - ERP =&gt; SOUS-SEGMENT'!$BF$8:$BF$1000),""))</f>
        <v>0.40093202815662121</v>
      </c>
      <c r="JB28" s="730">
        <f>IF($C28="","",IFERROR(SUMPRODUCT(('ANALYSE - ERP =&gt; SOUS-SEGMENT'!$C$8:$C$1000=$C28)*'ANALYSE - ERP =&gt; SOUS-SEGMENT'!$Q$8:$Q$1000*'ANALYSE - ERP =&gt; SOUS-SEGMENT'!$BF$8:$BF$1000*'ANALYSE - ERP =&gt; SOUS-SEGMENT'!$JB$8:$JB$1000)/SUMPRODUCT(('ANALYSE - ERP =&gt; SOUS-SEGMENT'!$C$8:$C$1000=$C28)*'ANALYSE - ERP =&gt; SOUS-SEGMENT'!$Q$8:$Q$1000*'ANALYSE - ERP =&gt; SOUS-SEGMENT'!$BF$8:$BF$1000),""))</f>
        <v>0.10678715354157499</v>
      </c>
      <c r="JC28" s="730">
        <f>IF($C28="","",IFERROR(SUMPRODUCT(('ANALYSE - ERP =&gt; SOUS-SEGMENT'!$C$8:$C$1000=$C28)*'ANALYSE - ERP =&gt; SOUS-SEGMENT'!$Q$8:$Q$1000*'ANALYSE - ERP =&gt; SOUS-SEGMENT'!$BF$8:$BF$1000*'ANALYSE - ERP =&gt; SOUS-SEGMENT'!$JC$8:$JC$1000)/SUMPRODUCT(('ANALYSE - ERP =&gt; SOUS-SEGMENT'!$C$8:$C$1000=$C28)*'ANALYSE - ERP =&gt; SOUS-SEGMENT'!$Q$8:$Q$1000*'ANALYSE - ERP =&gt; SOUS-SEGMENT'!$BF$8:$BF$1000),""))</f>
        <v>7.4301363836339627E-3</v>
      </c>
      <c r="JD28" s="730">
        <f>IF($C28="","",IFERROR(SUMPRODUCT(('ANALYSE - ERP =&gt; SOUS-SEGMENT'!$C$8:$C$1000=$C28)*'ANALYSE - ERP =&gt; SOUS-SEGMENT'!$Q$8:$Q$1000*'ANALYSE - ERP =&gt; SOUS-SEGMENT'!$FE$8:$FE$1000*'ANALYSE - ERP =&gt; SOUS-SEGMENT'!$JD$8:$JD$1000)/SUMPRODUCT(('ANALYSE - ERP =&gt; SOUS-SEGMENT'!$C$8:$C$1000=$C28)*'ANALYSE - ERP =&gt; SOUS-SEGMENT'!$Q$8:$Q$1000*'ANALYSE - ERP =&gt; SOUS-SEGMENT'!$FE$8:$FE$1000),""))</f>
        <v>4.3428047427613151E-2</v>
      </c>
      <c r="JE28" s="730">
        <f>IF($C28="","",IFERROR(SUMPRODUCT(('ANALYSE - ERP =&gt; SOUS-SEGMENT'!$C$8:$C$1000=$C28)*'ANALYSE - ERP =&gt; SOUS-SEGMENT'!$Q$8:$Q$1000*'ANALYSE - ERP =&gt; SOUS-SEGMENT'!$FE$8:$FE$1000*'ANALYSE - ERP =&gt; SOUS-SEGMENT'!$JE$8:$JE$1000)/SUMPRODUCT(('ANALYSE - ERP =&gt; SOUS-SEGMENT'!$C$8:$C$1000=$C28)*'ANALYSE - ERP =&gt; SOUS-SEGMENT'!$Q$8:$Q$1000*'ANALYSE - ERP =&gt; SOUS-SEGMENT'!$FE$8:$FE$1000),""))</f>
        <v>0.36150183669578395</v>
      </c>
      <c r="JF28" s="730">
        <f>IF($C28="","",IFERROR(SUMPRODUCT(('ANALYSE - ERP =&gt; SOUS-SEGMENT'!$C$8:$C$1000=$C28)*'ANALYSE - ERP =&gt; SOUS-SEGMENT'!$Q$8:$Q$1000*'ANALYSE - ERP =&gt; SOUS-SEGMENT'!$FE$8:$FE$1000*'ANALYSE - ERP =&gt; SOUS-SEGMENT'!$JF$8:$JF$1000)/SUMPRODUCT(('ANALYSE - ERP =&gt; SOUS-SEGMENT'!$C$8:$C$1000=$C28)*'ANALYSE - ERP =&gt; SOUS-SEGMENT'!$Q$8:$Q$1000*'ANALYSE - ERP =&gt; SOUS-SEGMENT'!$FE$8:$FE$1000),""))</f>
        <v>0.43164952383134242</v>
      </c>
      <c r="JG28" s="730">
        <f>IF($C28="","",IFERROR(SUMPRODUCT(('ANALYSE - ERP =&gt; SOUS-SEGMENT'!$C$8:$C$1000=$C28)*'ANALYSE - ERP =&gt; SOUS-SEGMENT'!$Q$8:$Q$1000*'ANALYSE - ERP =&gt; SOUS-SEGMENT'!$FE$8:$FE$1000*'ANALYSE - ERP =&gt; SOUS-SEGMENT'!$JG$8:$JG$1000)/SUMPRODUCT(('ANALYSE - ERP =&gt; SOUS-SEGMENT'!$C$8:$C$1000=$C28)*'ANALYSE - ERP =&gt; SOUS-SEGMENT'!$Q$8:$Q$1000*'ANALYSE - ERP =&gt; SOUS-SEGMENT'!$FE$8:$FE$1000),""))</f>
        <v>0.1494888759183837</v>
      </c>
      <c r="JH28" s="730">
        <f>IF($C28="","",IFERROR(SUMPRODUCT(('ANALYSE - ERP =&gt; SOUS-SEGMENT'!$C$8:$C$1000=$C28)*'ANALYSE - ERP =&gt; SOUS-SEGMENT'!$Q$8:$Q$1000*'ANALYSE - ERP =&gt; SOUS-SEGMENT'!$FE$8:$FE$1000*'ANALYSE - ERP =&gt; SOUS-SEGMENT'!$JH$8:$JH$1000)/SUMPRODUCT(('ANALYSE - ERP =&gt; SOUS-SEGMENT'!$C$8:$C$1000=$C28)*'ANALYSE - ERP =&gt; SOUS-SEGMENT'!$Q$8:$Q$1000*'ANALYSE - ERP =&gt; SOUS-SEGMENT'!$FE$8:$FE$1000),""))</f>
        <v>1.3931716126876725E-2</v>
      </c>
      <c r="JI28" s="730">
        <f>IF($C28="","",IFERROR(SUMPRODUCT(('ANALYSE - ERP =&gt; SOUS-SEGMENT'!$C$8:$C$1000=$C28)*'ANALYSE - ERP =&gt; SOUS-SEGMENT'!$Q$8:$Q$1000*'ANALYSE - ERP =&gt; SOUS-SEGMENT'!$BG$8:$BG$1000*'ANALYSE - ERP =&gt; SOUS-SEGMENT'!$JI$8:$JI$1000)/SUMPRODUCT(('ANALYSE - ERP =&gt; SOUS-SEGMENT'!$C$8:$C$1000=$C28)*'ANALYSE - ERP =&gt; SOUS-SEGMENT'!$Q$8:$Q$1000*'ANALYSE - ERP =&gt; SOUS-SEGMENT'!$BG$8:$BG$1000),""))</f>
        <v>6.5230137478014275E-2</v>
      </c>
      <c r="JJ28" s="730">
        <f>IF($C28="","",IFERROR(SUMPRODUCT(('ANALYSE - ERP =&gt; SOUS-SEGMENT'!$C$8:$C$1000=$C28)*'ANALYSE - ERP =&gt; SOUS-SEGMENT'!$Q$8:$Q$1000*'ANALYSE - ERP =&gt; SOUS-SEGMENT'!$BG$8:$BG$1000*'ANALYSE - ERP =&gt; SOUS-SEGMENT'!$JJ$8:$JJ$1000)/SUMPRODUCT(('ANALYSE - ERP =&gt; SOUS-SEGMENT'!$C$8:$C$1000=$C28)*'ANALYSE - ERP =&gt; SOUS-SEGMENT'!$Q$8:$Q$1000*'ANALYSE - ERP =&gt; SOUS-SEGMENT'!$BG$8:$BG$1000),""))</f>
        <v>0.49538691984636923</v>
      </c>
      <c r="JK28" s="730">
        <f>IF($C28="","",IFERROR(SUMPRODUCT(('ANALYSE - ERP =&gt; SOUS-SEGMENT'!$C$8:$C$1000=$C28)*'ANALYSE - ERP =&gt; SOUS-SEGMENT'!$Q$8:$Q$1000*'ANALYSE - ERP =&gt; SOUS-SEGMENT'!$BG$8:$BG$1000*'ANALYSE - ERP =&gt; SOUS-SEGMENT'!$JK$8:$JK$1000)/SUMPRODUCT(('ANALYSE - ERP =&gt; SOUS-SEGMENT'!$C$8:$C$1000=$C28)*'ANALYSE - ERP =&gt; SOUS-SEGMENT'!$Q$8:$Q$1000*'ANALYSE - ERP =&gt; SOUS-SEGMENT'!$BG$8:$BG$1000),""))</f>
        <v>0.36601764959259131</v>
      </c>
      <c r="JL28" s="730">
        <f>IF($C28="","",IFERROR(SUMPRODUCT(('ANALYSE - ERP =&gt; SOUS-SEGMENT'!$C$8:$C$1000=$C28)*'ANALYSE - ERP =&gt; SOUS-SEGMENT'!$Q$8:$Q$1000*'ANALYSE - ERP =&gt; SOUS-SEGMENT'!$BG$8:$BG$1000*'ANALYSE - ERP =&gt; SOUS-SEGMENT'!$JL$8:$JL$1000)/SUMPRODUCT(('ANALYSE - ERP =&gt; SOUS-SEGMENT'!$C$8:$C$1000=$C28)*'ANALYSE - ERP =&gt; SOUS-SEGMENT'!$Q$8:$Q$1000*'ANALYSE - ERP =&gt; SOUS-SEGMENT'!$BG$8:$BG$1000),""))</f>
        <v>7.031255249650023E-2</v>
      </c>
      <c r="JM28" s="730">
        <f>IF($C28="","",IFERROR(SUMPRODUCT(('ANALYSE - ERP =&gt; SOUS-SEGMENT'!$C$8:$C$1000=$C28)*'ANALYSE - ERP =&gt; SOUS-SEGMENT'!$Q$8:$Q$1000*'ANALYSE - ERP =&gt; SOUS-SEGMENT'!$BG$8:$BG$1000*'ANALYSE - ERP =&gt; SOUS-SEGMENT'!$JM$8:$JM$1000)/SUMPRODUCT(('ANALYSE - ERP =&gt; SOUS-SEGMENT'!$C$8:$C$1000=$C28)*'ANALYSE - ERP =&gt; SOUS-SEGMENT'!$Q$8:$Q$1000*'ANALYSE - ERP =&gt; SOUS-SEGMENT'!$BG$8:$BG$1000),""))</f>
        <v>3.0527405865250008E-3</v>
      </c>
      <c r="JN28" s="730">
        <f>IF($C28="","",IFERROR(SUMPRODUCT(('ANALYSE - ERP =&gt; SOUS-SEGMENT'!$C$8:$C$1000=$C28)*'ANALYSE - ERP =&gt; SOUS-SEGMENT'!$Q$8:$Q$1000*'ANALYSE - ERP =&gt; SOUS-SEGMENT'!$FH$8:$FH$1000*'ANALYSE - ERP =&gt; SOUS-SEGMENT'!$JN$8:$JN$1000)/SUMPRODUCT(('ANALYSE - ERP =&gt; SOUS-SEGMENT'!$C$8:$C$1000=$C28)*'ANALYSE - ERP =&gt; SOUS-SEGMENT'!$Q$8:$Q$1000*'ANALYSE - ERP =&gt; SOUS-SEGMENT'!$FH$8:$FH$1000),""))</f>
        <v>3.4445028951961672E-2</v>
      </c>
      <c r="JO28" s="730">
        <f>IF($C28="","",IFERROR(SUMPRODUCT(('ANALYSE - ERP =&gt; SOUS-SEGMENT'!$C$8:$C$1000=$C28)*'ANALYSE - ERP =&gt; SOUS-SEGMENT'!$Q$8:$Q$1000*'ANALYSE - ERP =&gt; SOUS-SEGMENT'!$FH$8:$FH$1000*'ANALYSE - ERP =&gt; SOUS-SEGMENT'!$JO$8:$JO$1000)/SUMPRODUCT(('ANALYSE - ERP =&gt; SOUS-SEGMENT'!$C$8:$C$1000=$C28)*'ANALYSE - ERP =&gt; SOUS-SEGMENT'!$Q$8:$Q$1000*'ANALYSE - ERP =&gt; SOUS-SEGMENT'!$FH$8:$FH$1000),""))</f>
        <v>0.44947573136903624</v>
      </c>
      <c r="JP28" s="730">
        <f>IF($C28="","",IFERROR(SUMPRODUCT(('ANALYSE - ERP =&gt; SOUS-SEGMENT'!$C$8:$C$1000=$C28)*'ANALYSE - ERP =&gt; SOUS-SEGMENT'!$Q$8:$Q$1000*'ANALYSE - ERP =&gt; SOUS-SEGMENT'!$FH$8:$FH$1000*'ANALYSE - ERP =&gt; SOUS-SEGMENT'!$JP$8:$JP$1000)/SUMPRODUCT(('ANALYSE - ERP =&gt; SOUS-SEGMENT'!$C$8:$C$1000=$C28)*'ANALYSE - ERP =&gt; SOUS-SEGMENT'!$Q$8:$Q$1000*'ANALYSE - ERP =&gt; SOUS-SEGMENT'!$FH$8:$FH$1000),""))</f>
        <v>0.40609299199579635</v>
      </c>
      <c r="JQ28" s="730">
        <f>IF($C28="","",IFERROR(SUMPRODUCT(('ANALYSE - ERP =&gt; SOUS-SEGMENT'!$C$8:$C$1000=$C28)*'ANALYSE - ERP =&gt; SOUS-SEGMENT'!$Q$8:$Q$1000*'ANALYSE - ERP =&gt; SOUS-SEGMENT'!$FH$8:$FH$1000*'ANALYSE - ERP =&gt; SOUS-SEGMENT'!$JQ$8:$JQ$1000)/SUMPRODUCT(('ANALYSE - ERP =&gt; SOUS-SEGMENT'!$C$8:$C$1000=$C28)*'ANALYSE - ERP =&gt; SOUS-SEGMENT'!$Q$8:$Q$1000*'ANALYSE - ERP =&gt; SOUS-SEGMENT'!$FH$8:$FH$1000),""))</f>
        <v>0.10126414702733383</v>
      </c>
      <c r="JR28" s="730">
        <f>IF($C28="","",IFERROR(SUMPRODUCT(('ANALYSE - ERP =&gt; SOUS-SEGMENT'!$C$8:$C$1000=$C28)*'ANALYSE - ERP =&gt; SOUS-SEGMENT'!$Q$8:$Q$1000*'ANALYSE - ERP =&gt; SOUS-SEGMENT'!$FH$8:$FH$1000*'ANALYSE - ERP =&gt; SOUS-SEGMENT'!$JR$8:$JR$1000)/SUMPRODUCT(('ANALYSE - ERP =&gt; SOUS-SEGMENT'!$C$8:$C$1000=$C28)*'ANALYSE - ERP =&gt; SOUS-SEGMENT'!$Q$8:$Q$1000*'ANALYSE - ERP =&gt; SOUS-SEGMENT'!$FH$8:$FH$1000),""))</f>
        <v>8.7221006558718013E-3</v>
      </c>
      <c r="JS28" s="730">
        <f>IF($C28="","",IFERROR(SUMPRODUCT(('ANALYSE - ERP =&gt; SOUS-SEGMENT'!$C$8:$C$1000=$C28)*'ANALYSE - ERP =&gt; SOUS-SEGMENT'!$Q$8:$Q$1000*'ANALYSE - ERP =&gt; SOUS-SEGMENT'!$BH$8:$BH$1000*'ANALYSE - ERP =&gt; SOUS-SEGMENT'!$JS$8:$JS$1000)/SUMPRODUCT(('ANALYSE - ERP =&gt; SOUS-SEGMENT'!$C$8:$C$1000=$C28)*'ANALYSE - ERP =&gt; SOUS-SEGMENT'!$Q$8:$Q$1000*'ANALYSE - ERP =&gt; SOUS-SEGMENT'!$BH$8:$BH$1000),""))</f>
        <v>3.4728238983330578E-2</v>
      </c>
      <c r="JT28" s="730">
        <f>IF($C28="","",IFERROR(SUMPRODUCT(('ANALYSE - ERP =&gt; SOUS-SEGMENT'!$C$8:$C$1000=$C28)*'ANALYSE - ERP =&gt; SOUS-SEGMENT'!$Q$8:$Q$1000*'ANALYSE - ERP =&gt; SOUS-SEGMENT'!$BH$8:$BH$1000*'ANALYSE - ERP =&gt; SOUS-SEGMENT'!$JT$8:$JT$1000)/SUMPRODUCT(('ANALYSE - ERP =&gt; SOUS-SEGMENT'!$C$8:$C$1000=$C28)*'ANALYSE - ERP =&gt; SOUS-SEGMENT'!$Q$8:$Q$1000*'ANALYSE - ERP =&gt; SOUS-SEGMENT'!$BH$8:$BH$1000),""))</f>
        <v>0.35891601749463609</v>
      </c>
      <c r="JU28" s="730">
        <f>IF($C28="","",IFERROR(SUMPRODUCT(('ANALYSE - ERP =&gt; SOUS-SEGMENT'!$C$8:$C$1000=$C28)*'ANALYSE - ERP =&gt; SOUS-SEGMENT'!$Q$8:$Q$1000*'ANALYSE - ERP =&gt; SOUS-SEGMENT'!$BH$8:$BH$1000*'ANALYSE - ERP =&gt; SOUS-SEGMENT'!$JU$8:$JU$1000)/SUMPRODUCT(('ANALYSE - ERP =&gt; SOUS-SEGMENT'!$C$8:$C$1000=$C28)*'ANALYSE - ERP =&gt; SOUS-SEGMENT'!$Q$8:$Q$1000*'ANALYSE - ERP =&gt; SOUS-SEGMENT'!$BH$8:$BH$1000),""))</f>
        <v>0.46602639324420975</v>
      </c>
      <c r="JV28" s="730">
        <f>IF($C28="","",IFERROR(SUMPRODUCT(('ANALYSE - ERP =&gt; SOUS-SEGMENT'!$C$8:$C$1000=$C28)*'ANALYSE - ERP =&gt; SOUS-SEGMENT'!$Q$8:$Q$1000*'ANALYSE - ERP =&gt; SOUS-SEGMENT'!$BH$8:$BH$1000*'ANALYSE - ERP =&gt; SOUS-SEGMENT'!$JV$8:$JV$1000)/SUMPRODUCT(('ANALYSE - ERP =&gt; SOUS-SEGMENT'!$C$8:$C$1000=$C28)*'ANALYSE - ERP =&gt; SOUS-SEGMENT'!$Q$8:$Q$1000*'ANALYSE - ERP =&gt; SOUS-SEGMENT'!$BH$8:$BH$1000),""))</f>
        <v>0.12962590086372888</v>
      </c>
      <c r="JW28" s="730">
        <f>IF($C28="","",IFERROR(SUMPRODUCT(('ANALYSE - ERP =&gt; SOUS-SEGMENT'!$C$8:$C$1000=$C28)*'ANALYSE - ERP =&gt; SOUS-SEGMENT'!$Q$8:$Q$1000*'ANALYSE - ERP =&gt; SOUS-SEGMENT'!$BH$8:$BH$1000*'ANALYSE - ERP =&gt; SOUS-SEGMENT'!$JW$8:$JW$1000)/SUMPRODUCT(('ANALYSE - ERP =&gt; SOUS-SEGMENT'!$C$8:$C$1000=$C28)*'ANALYSE - ERP =&gt; SOUS-SEGMENT'!$Q$8:$Q$1000*'ANALYSE - ERP =&gt; SOUS-SEGMENT'!$BH$8:$BH$1000),""))</f>
        <v>1.0703449414094734E-2</v>
      </c>
      <c r="JX28" s="730">
        <f>IF($C28="","",IFERROR(SUMPRODUCT(('ANALYSE - ERP =&gt; SOUS-SEGMENT'!$C$8:$C$1000=$C28)*'ANALYSE - ERP =&gt; SOUS-SEGMENT'!$Q$8:$Q$1000*'ANALYSE - ERP =&gt; SOUS-SEGMENT'!$FK$8:$FK$1000*'ANALYSE - ERP =&gt; SOUS-SEGMENT'!$JX$8:$JX$1000)/SUMPRODUCT(('ANALYSE - ERP =&gt; SOUS-SEGMENT'!$C$8:$C$1000=$C28)*'ANALYSE - ERP =&gt; SOUS-SEGMENT'!$Q$8:$Q$1000*'ANALYSE - ERP =&gt; SOUS-SEGMENT'!$FK$8:$FK$1000),""))</f>
        <v>1.515757484300709E-2</v>
      </c>
      <c r="JY28" s="730">
        <f>IF($C28="","",IFERROR(SUMPRODUCT(('ANALYSE - ERP =&gt; SOUS-SEGMENT'!$C$8:$C$1000=$C28)*'ANALYSE - ERP =&gt; SOUS-SEGMENT'!$Q$8:$Q$1000*'ANALYSE - ERP =&gt; SOUS-SEGMENT'!$FK$8:$FK$1000*'ANALYSE - ERP =&gt; SOUS-SEGMENT'!$JY$8:$JY$1000)/SUMPRODUCT(('ANALYSE - ERP =&gt; SOUS-SEGMENT'!$C$8:$C$1000=$C28)*'ANALYSE - ERP =&gt; SOUS-SEGMENT'!$Q$8:$Q$1000*'ANALYSE - ERP =&gt; SOUS-SEGMENT'!$FK$8:$FK$1000),""))</f>
        <v>0.305835659933615</v>
      </c>
      <c r="JZ28" s="730">
        <f>IF($C28="","",IFERROR(SUMPRODUCT(('ANALYSE - ERP =&gt; SOUS-SEGMENT'!$C$8:$C$1000=$C28)*'ANALYSE - ERP =&gt; SOUS-SEGMENT'!$Q$8:$Q$1000*'ANALYSE - ERP =&gt; SOUS-SEGMENT'!$FK$8:$FK$1000*'ANALYSE - ERP =&gt; SOUS-SEGMENT'!$JZ$8:$JZ$1000)/SUMPRODUCT(('ANALYSE - ERP =&gt; SOUS-SEGMENT'!$C$8:$C$1000=$C28)*'ANALYSE - ERP =&gt; SOUS-SEGMENT'!$Q$8:$Q$1000*'ANALYSE - ERP =&gt; SOUS-SEGMENT'!$FK$8:$FK$1000),""))</f>
        <v>0.49822067918414242</v>
      </c>
      <c r="KA28" s="730">
        <f>IF($C28="","",IFERROR(SUMPRODUCT(('ANALYSE - ERP =&gt; SOUS-SEGMENT'!$C$8:$C$1000=$C28)*'ANALYSE - ERP =&gt; SOUS-SEGMENT'!$Q$8:$Q$1000*'ANALYSE - ERP =&gt; SOUS-SEGMENT'!$FK$8:$FK$1000*'ANALYSE - ERP =&gt; SOUS-SEGMENT'!$KA$8:$KA$1000)/SUMPRODUCT(('ANALYSE - ERP =&gt; SOUS-SEGMENT'!$C$8:$C$1000=$C28)*'ANALYSE - ERP =&gt; SOUS-SEGMENT'!$Q$8:$Q$1000*'ANALYSE - ERP =&gt; SOUS-SEGMENT'!$FK$8:$FK$1000),""))</f>
        <v>0.16372798706651956</v>
      </c>
      <c r="KB28" s="730">
        <f>IF($C28="","",IFERROR(SUMPRODUCT(('ANALYSE - ERP =&gt; SOUS-SEGMENT'!$C$8:$C$1000=$C28)*'ANALYSE - ERP =&gt; SOUS-SEGMENT'!$Q$8:$Q$1000*'ANALYSE - ERP =&gt; SOUS-SEGMENT'!$FK$8:$FK$1000*'ANALYSE - ERP =&gt; SOUS-SEGMENT'!$KB$8:$KB$1000)/SUMPRODUCT(('ANALYSE - ERP =&gt; SOUS-SEGMENT'!$C$8:$C$1000=$C28)*'ANALYSE - ERP =&gt; SOUS-SEGMENT'!$Q$8:$Q$1000*'ANALYSE - ERP =&gt; SOUS-SEGMENT'!$FK$8:$FK$1000),""))</f>
        <v>1.7058098972715791E-2</v>
      </c>
      <c r="KC28" s="657"/>
      <c r="KD28" s="920" t="s">
        <v>5907</v>
      </c>
      <c r="KE28" s="920" t="s">
        <v>5907</v>
      </c>
      <c r="KF28" s="866">
        <f>IF($C28="","",IFERROR(SUMPRODUCT(('ANALYSE - ERP =&gt; SOUS-SEGMENT'!$C$8:$C$1000=$C28)*'ANALYSE - ERP =&gt; SOUS-SEGMENT'!$Q$8:$Q$1000*'ANALYSE - ERP =&gt; SOUS-SEGMENT'!$IE$8:$IE$1000*'ANALYSE - ERP =&gt; SOUS-SEGMENT'!$KF$8:$KF$1000)/SUMPRODUCT(('ANALYSE - ERP =&gt; SOUS-SEGMENT'!$C$8:$C$1000=$C28)*'ANALYSE - ERP =&gt; SOUS-SEGMENT'!$Q$8:$Q$1000*'ANALYSE - ERP =&gt; SOUS-SEGMENT'!$IE$8:$IE$1000),""))</f>
        <v>4.1271481411135067</v>
      </c>
      <c r="KG28" s="920" t="s">
        <v>5908</v>
      </c>
      <c r="KH28" s="920" t="s">
        <v>5909</v>
      </c>
      <c r="KI28" s="920" t="s">
        <v>5910</v>
      </c>
      <c r="KJ28" s="920" t="s">
        <v>5911</v>
      </c>
    </row>
    <row r="29" spans="1:296" ht="120" customHeight="1">
      <c r="A29" s="957">
        <f>IF($C29="","",ROWS($A$8:A29))</f>
        <v>22</v>
      </c>
      <c r="B29" s="958" t="s">
        <v>4135</v>
      </c>
      <c r="C29" s="958" t="s">
        <v>4229</v>
      </c>
      <c r="D29" s="959" t="s">
        <v>5912</v>
      </c>
      <c r="E29" s="269" t="s">
        <v>5913</v>
      </c>
      <c r="F29" s="960" t="s">
        <v>3009</v>
      </c>
      <c r="G29" s="960" t="s">
        <v>300</v>
      </c>
      <c r="H29" s="960" t="s">
        <v>2109</v>
      </c>
      <c r="I29" s="960" t="s">
        <v>5914</v>
      </c>
      <c r="J29" s="960" t="s">
        <v>5915</v>
      </c>
      <c r="K29" s="960" t="s">
        <v>2109</v>
      </c>
      <c r="L29" s="960" t="s">
        <v>2109</v>
      </c>
      <c r="M29" s="960" t="s">
        <v>2603</v>
      </c>
      <c r="N29" s="960" t="s">
        <v>2099</v>
      </c>
      <c r="O29" s="960" t="s">
        <v>2616</v>
      </c>
      <c r="P29" s="960"/>
      <c r="Q29" s="270">
        <f>IF($C29="","",IF(SUMIFS('ANALYSE - ERP =&gt; SOUS-SEGMENT'!$Q$8:$Q$1000,'ANALYSE - ERP =&gt; SOUS-SEGMENT'!$C$8:$C$1000,$C29)&gt;0,1,0))</f>
        <v>1</v>
      </c>
      <c r="R29" s="271">
        <f>IF($C29="","",IFERROR(SUMPRODUCT(('ANALYSE - ERP =&gt; SOUS-SEGMENT'!$C$8:$C$1000=$C29)*'ANALYSE - ERP =&gt; SOUS-SEGMENT'!$Q$8:$Q$1000*'ANALYSE - ERP =&gt; SOUS-SEGMENT'!$AF$8:$AF$1000*'ANALYSE - ERP =&gt; SOUS-SEGMENT'!$R$8:$R$1000)/SUMPRODUCT(('ANALYSE - ERP =&gt; SOUS-SEGMENT'!$C$8:$C$1000=$C29)*'ANALYSE - ERP =&gt; SOUS-SEGMENT'!$Q$8:$Q$1000*'ANALYSE - ERP =&gt; SOUS-SEGMENT'!$AF$8:$AF$1000),""))</f>
        <v>1028.5714285714287</v>
      </c>
      <c r="S29" s="272">
        <f>IF($C29="","",SUMPRODUCT(('ANALYSE - ERP =&gt; SOUS-SEGMENT'!$C$8:$C$1000=$C29)*'ANALYSE - ERP =&gt; SOUS-SEGMENT'!$Q$8:$Q$1000*'ANALYSE - ERP =&gt; SOUS-SEGMENT'!$S$8:$S$1000))</f>
        <v>550</v>
      </c>
      <c r="T29" s="272">
        <f>IF($C29="","",SUMPRODUCT(('ANALYSE - ERP =&gt; SOUS-SEGMENT'!$C$8:$C$1000=$C29)*'ANALYSE - ERP =&gt; SOUS-SEGMENT'!$Q$8:$Q$1000*'ANALYSE - ERP =&gt; SOUS-SEGMENT'!$T$8:$T$1000))</f>
        <v>580</v>
      </c>
      <c r="U29" s="272">
        <f>IF($C29="","",SUMPRODUCT(('ANALYSE - ERP =&gt; SOUS-SEGMENT'!$C$8:$C$1000=$C29)*'ANALYSE - ERP =&gt; SOUS-SEGMENT'!$Q$8:$Q$1000*'ANALYSE - ERP =&gt; SOUS-SEGMENT'!$U$8:$U$1000))</f>
        <v>610</v>
      </c>
      <c r="V29" s="272">
        <f>IF($C29="","",SUMPRODUCT(('ANALYSE - ERP =&gt; SOUS-SEGMENT'!$C$8:$C$1000=$C29)*'ANALYSE - ERP =&gt; SOUS-SEGMENT'!$Q$8:$Q$1000*'ANALYSE - ERP =&gt; SOUS-SEGMENT'!$V$8:$V$1000))</f>
        <v>640</v>
      </c>
      <c r="W29" s="272">
        <f>IF($C29="","",SUMPRODUCT(('ANALYSE - ERP =&gt; SOUS-SEGMENT'!$C$8:$C$1000=$C29)*'ANALYSE - ERP =&gt; SOUS-SEGMENT'!$Q$8:$Q$1000*'ANALYSE - ERP =&gt; SOUS-SEGMENT'!$W$8:$W$1000))</f>
        <v>646</v>
      </c>
      <c r="X29" s="272">
        <f>IF($C29="","",SUMPRODUCT(('ANALYSE - ERP =&gt; SOUS-SEGMENT'!$C$8:$C$1000=$C29)*'ANALYSE - ERP =&gt; SOUS-SEGMENT'!$Q$8:$Q$1000*'ANALYSE - ERP =&gt; SOUS-SEGMENT'!$X$8:$X$1000))</f>
        <v>652</v>
      </c>
      <c r="Y29" s="272">
        <f>IF($C29="","",SUMPRODUCT(('ANALYSE - ERP =&gt; SOUS-SEGMENT'!$C$8:$C$1000=$C29)*'ANALYSE - ERP =&gt; SOUS-SEGMENT'!$Q$8:$Q$1000*'ANALYSE - ERP =&gt; SOUS-SEGMENT'!$Y$8:$Y$1000))</f>
        <v>658</v>
      </c>
      <c r="Z29" s="272">
        <f>IF($C29="","",SUMPRODUCT(('ANALYSE - ERP =&gt; SOUS-SEGMENT'!$C$8:$C$1000=$C29)*'ANALYSE - ERP =&gt; SOUS-SEGMENT'!$Q$8:$Q$1000*'ANALYSE - ERP =&gt; SOUS-SEGMENT'!$Z$8:$Z$1000))</f>
        <v>664</v>
      </c>
      <c r="AA29" s="272">
        <f>IF($C29="","",SUMPRODUCT(('ANALYSE - ERP =&gt; SOUS-SEGMENT'!$C$8:$C$1000=$C29)*'ANALYSE - ERP =&gt; SOUS-SEGMENT'!$Q$8:$Q$1000*'ANALYSE - ERP =&gt; SOUS-SEGMENT'!$AA$8:$AA$1000))</f>
        <v>670</v>
      </c>
      <c r="AB29" s="272">
        <f>IF($C29="","",SUMPRODUCT(('ANALYSE - ERP =&gt; SOUS-SEGMENT'!$C$8:$C$1000=$C29)*'ANALYSE - ERP =&gt; SOUS-SEGMENT'!$Q$8:$Q$1000*'ANALYSE - ERP =&gt; SOUS-SEGMENT'!$AB$8:$AB$1000))</f>
        <v>676</v>
      </c>
      <c r="AC29" s="272">
        <f>IF($C29="","",SUMPRODUCT(('ANALYSE - ERP =&gt; SOUS-SEGMENT'!$C$8:$C$1000=$C29)*'ANALYSE - ERP =&gt; SOUS-SEGMENT'!$Q$8:$Q$1000*'ANALYSE - ERP =&gt; SOUS-SEGMENT'!$AC$8:$AC$1000))</f>
        <v>682</v>
      </c>
      <c r="AD29" s="272">
        <f>IF($C29="","",SUMPRODUCT(('ANALYSE - ERP =&gt; SOUS-SEGMENT'!$C$8:$C$1000=$C29)*'ANALYSE - ERP =&gt; SOUS-SEGMENT'!$Q$8:$Q$1000*'ANALYSE - ERP =&gt; SOUS-SEGMENT'!$AD$8:$AD$1000))</f>
        <v>688</v>
      </c>
      <c r="AE29" s="272">
        <f>IF($C29="","",SUMPRODUCT(('ANALYSE - ERP =&gt; SOUS-SEGMENT'!$C$8:$C$1000=$C29)*'ANALYSE - ERP =&gt; SOUS-SEGMENT'!$Q$8:$Q$1000*'ANALYSE - ERP =&gt; SOUS-SEGMENT'!$AE$8:$AE$1000))</f>
        <v>694</v>
      </c>
      <c r="AF29" s="272">
        <f>IF($C29="","",SUMPRODUCT(('ANALYSE - ERP =&gt; SOUS-SEGMENT'!$C$8:$C$1000=$C29)*'ANALYSE - ERP =&gt; SOUS-SEGMENT'!$Q$8:$Q$1000*'ANALYSE - ERP =&gt; SOUS-SEGMENT'!$AF$8:$AF$1000))</f>
        <v>700</v>
      </c>
      <c r="AG29" s="272">
        <f>IF($C29="","",SUMPRODUCT(('ANALYSE - ERP =&gt; SOUS-SEGMENT'!$C$8:$C$1000=$C29)*'ANALYSE - ERP =&gt; SOUS-SEGMENT'!$Q$8:$Q$1000*'ANALYSE - ERP =&gt; SOUS-SEGMENT'!$AG$8:$AG$1000))</f>
        <v>706</v>
      </c>
      <c r="AH29" s="272">
        <f>IF($C29="","",SUMPRODUCT(('ANALYSE - ERP =&gt; SOUS-SEGMENT'!$C$8:$C$1000=$C29)*'ANALYSE - ERP =&gt; SOUS-SEGMENT'!$Q$8:$Q$1000*'ANALYSE - ERP =&gt; SOUS-SEGMENT'!$AH$8:$AH$1000))</f>
        <v>712</v>
      </c>
      <c r="AI29" s="272">
        <f>IF($C29="","",SUMPRODUCT(('ANALYSE - ERP =&gt; SOUS-SEGMENT'!$C$8:$C$1000=$C29)*'ANALYSE - ERP =&gt; SOUS-SEGMENT'!$Q$8:$Q$1000*'ANALYSE - ERP =&gt; SOUS-SEGMENT'!$AI$8:$AI$1000))</f>
        <v>718</v>
      </c>
      <c r="AJ29" s="272">
        <f>IF($C29="","",SUMPRODUCT(('ANALYSE - ERP =&gt; SOUS-SEGMENT'!$C$8:$C$1000=$C29)*'ANALYSE - ERP =&gt; SOUS-SEGMENT'!$Q$8:$Q$1000*'ANALYSE - ERP =&gt; SOUS-SEGMENT'!$AJ$8:$AJ$1000))</f>
        <v>724</v>
      </c>
      <c r="AK29" s="272">
        <f>IF($C29="","",SUMPRODUCT(('ANALYSE - ERP =&gt; SOUS-SEGMENT'!$C$8:$C$1000=$C29)*'ANALYSE - ERP =&gt; SOUS-SEGMENT'!$Q$8:$Q$1000*'ANALYSE - ERP =&gt; SOUS-SEGMENT'!$AK$8:$AK$1000))</f>
        <v>730</v>
      </c>
      <c r="AL29" s="960" t="s">
        <v>2124</v>
      </c>
      <c r="AM29" s="960" t="s">
        <v>5916</v>
      </c>
      <c r="AN29" s="960" t="s">
        <v>3823</v>
      </c>
      <c r="AO29" s="657"/>
      <c r="AP29" s="271">
        <f>IF($C29="","",IFERROR(SUMPRODUCT(('ANALYSE - ERP =&gt; SOUS-SEGMENT'!$C$8:$C$1000=$C29)*'ANALYSE - ERP =&gt; SOUS-SEGMENT'!$Q$8:$Q$1000*'ANALYSE - ERP =&gt; SOUS-SEGMENT'!$AF$8:$AF$1000*'ANALYSE - ERP =&gt; SOUS-SEGMENT'!$AP$8:$AP$1000)/SUMPRODUCT(('ANALYSE - ERP =&gt; SOUS-SEGMENT'!$C$8:$C$1000=$C29)*'ANALYSE - ERP =&gt; SOUS-SEGMENT'!$Q$8:$Q$1000*'ANALYSE - ERP =&gt; SOUS-SEGMENT'!$AF$8:$AF$1000),""))</f>
        <v>87.857142857142861</v>
      </c>
      <c r="AQ29" s="280">
        <f>IF($C29="","",IFERROR(SUMPRODUCT(('ANALYSE - ERP =&gt; SOUS-SEGMENT'!$C$8:$C$1000=$C29)*'ANALYSE - ERP =&gt; SOUS-SEGMENT'!$Q$8:$Q$1000*'ANALYSE - ERP =&gt; SOUS-SEGMENT'!$AF$8:$AF$1000*'ANALYSE - ERP =&gt; SOUS-SEGMENT'!$AQ$8:$AQ$1000)/SUMPRODUCT(('ANALYSE - ERP =&gt; SOUS-SEGMENT'!$C$8:$C$1000=$C29)*'ANALYSE - ERP =&gt; SOUS-SEGMENT'!$Q$8:$Q$1000*'ANALYSE - ERP =&gt; SOUS-SEGMENT'!$AF$8:$AF$1000),""))</f>
        <v>73.142857142857139</v>
      </c>
      <c r="AR29" s="280">
        <f>IF($C29="","",IFERROR(SUMPRODUCT(('ANALYSE - ERP =&gt; SOUS-SEGMENT'!$C$8:$C$1000=$C29)*'ANALYSE - ERP =&gt; SOUS-SEGMENT'!$Q$8:$Q$1000*'ANALYSE - ERP =&gt; SOUS-SEGMENT'!$AF$8:$AF$1000*'ANALYSE - ERP =&gt; SOUS-SEGMENT'!$AR$8:$AR$1000)/SUMPRODUCT(('ANALYSE - ERP =&gt; SOUS-SEGMENT'!$C$8:$C$1000=$C29)*'ANALYSE - ERP =&gt; SOUS-SEGMENT'!$Q$8:$Q$1000*'ANALYSE - ERP =&gt; SOUS-SEGMENT'!$AF$8:$AF$1000),""))</f>
        <v>12</v>
      </c>
      <c r="AS29" s="280">
        <f>IF($C29="","",IFERROR(SUMPRODUCT(('ANALYSE - ERP =&gt; SOUS-SEGMENT'!$C$8:$C$1000=$C29)*'ANALYSE - ERP =&gt; SOUS-SEGMENT'!$Q$8:$Q$1000*'ANALYSE - ERP =&gt; SOUS-SEGMENT'!$AF$8:$AF$1000*'ANALYSE - ERP =&gt; SOUS-SEGMENT'!$AS$8:$AS$1000)/SUMPRODUCT(('ANALYSE - ERP =&gt; SOUS-SEGMENT'!$C$8:$C$1000=$C29)*'ANALYSE - ERP =&gt; SOUS-SEGMENT'!$Q$8:$Q$1000*'ANALYSE - ERP =&gt; SOUS-SEGMENT'!$AF$8:$AF$1000),""))</f>
        <v>2.7142857142857144</v>
      </c>
      <c r="AT29" s="657"/>
      <c r="AU29" s="647" t="s">
        <v>5917</v>
      </c>
      <c r="AV29" s="647" t="s">
        <v>5918</v>
      </c>
      <c r="AW29" s="960" t="s">
        <v>5919</v>
      </c>
      <c r="AX29" s="647" t="s">
        <v>4197</v>
      </c>
      <c r="AY29" s="657"/>
      <c r="AZ29" s="948">
        <f>IF($C29="","",IFERROR(SUMPRODUCT(('ANALYSE - ERP =&gt; SOUS-SEGMENT'!$C$8:$C$1000=$C29)*'ANALYSE - ERP =&gt; SOUS-SEGMENT'!$Q$8:$Q$1000*'ANALYSE - ERP =&gt; SOUS-SEGMENT'!$AF$8:$AF$1000*'ANALYSE - ERP =&gt; SOUS-SEGMENT'!$AZ$8:$AZ$1000)/SUMPRODUCT(('ANALYSE - ERP =&gt; SOUS-SEGMENT'!$C$8:$C$1000=$C29)*'ANALYSE - ERP =&gt; SOUS-SEGMENT'!$Q$8:$Q$1000*'ANALYSE - ERP =&gt; SOUS-SEGMENT'!$AF$8:$AF$1000),""))</f>
        <v>4.5714285714285712</v>
      </c>
      <c r="BA29" s="948">
        <f>IF($C29="","",IFERROR(SUMPRODUCT(('ANALYSE - ERP =&gt; SOUS-SEGMENT'!$C$8:$C$1000=$C29)*'ANALYSE - ERP =&gt; SOUS-SEGMENT'!$Q$8:$Q$1000*'ANALYSE - ERP =&gt; SOUS-SEGMENT'!$AF$8:$AF$1000*'ANALYSE - ERP =&gt; SOUS-SEGMENT'!$BA$8:$BA$1000)/SUMPRODUCT(('ANALYSE - ERP =&gt; SOUS-SEGMENT'!$C$8:$C$1000=$C29)*'ANALYSE - ERP =&gt; SOUS-SEGMENT'!$Q$8:$Q$1000*'ANALYSE - ERP =&gt; SOUS-SEGMENT'!$AF$8:$AF$1000),""))</f>
        <v>4</v>
      </c>
      <c r="BB29" s="948">
        <f>IF($C29="","",IFERROR(SUMPRODUCT(('ANALYSE - ERP =&gt; SOUS-SEGMENT'!$C$8:$C$1000=$C29)*'ANALYSE - ERP =&gt; SOUS-SEGMENT'!$Q$8:$Q$1000*'ANALYSE - ERP =&gt; SOUS-SEGMENT'!$AF$8:$AF$1000*'ANALYSE - ERP =&gt; SOUS-SEGMENT'!$BB$8:$BB$1000)/SUMPRODUCT(('ANALYSE - ERP =&gt; SOUS-SEGMENT'!$C$8:$C$1000=$C29)*'ANALYSE - ERP =&gt; SOUS-SEGMENT'!$Q$8:$Q$1000*'ANALYSE - ERP =&gt; SOUS-SEGMENT'!$AF$8:$AF$1000),""))</f>
        <v>0.7857142857142857</v>
      </c>
      <c r="BC29" s="948">
        <f>IF($C29="","",IFERROR(SUMPRODUCT(('ANALYSE - ERP =&gt; SOUS-SEGMENT'!$C$8:$C$1000=$C29)*'ANALYSE - ERP =&gt; SOUS-SEGMENT'!$Q$8:$Q$1000*'ANALYSE - ERP =&gt; SOUS-SEGMENT'!$AF$8:$AF$1000*'ANALYSE - ERP =&gt; SOUS-SEGMENT'!$BC$8:$BC$1000)/SUMPRODUCT(('ANALYSE - ERP =&gt; SOUS-SEGMENT'!$C$8:$C$1000=$C29)*'ANALYSE - ERP =&gt; SOUS-SEGMENT'!$Q$8:$Q$1000*'ANALYSE - ERP =&gt; SOUS-SEGMENT'!$AF$8:$AF$1000),""))</f>
        <v>4.5714285714285712</v>
      </c>
      <c r="BD29" s="825">
        <f t="shared" si="1"/>
        <v>9750</v>
      </c>
      <c r="BE29" s="304">
        <f>IF($C29="","",SUMPRODUCT(('ANALYSE - ERP =&gt; SOUS-SEGMENT'!$C$8:$C$1000=$C29)*'ANALYSE - ERP =&gt; SOUS-SEGMENT'!$Q$8:$Q$1000*'ANALYSE - ERP =&gt; SOUS-SEGMENT'!$BE$8:$BE$1000))</f>
        <v>3200</v>
      </c>
      <c r="BF29" s="304">
        <f>IF($C29="","",SUMPRODUCT(('ANALYSE - ERP =&gt; SOUS-SEGMENT'!$C$8:$C$1000=$C29)*'ANALYSE - ERP =&gt; SOUS-SEGMENT'!$Q$8:$Q$1000*'ANALYSE - ERP =&gt; SOUS-SEGMENT'!$BF$8:$BF$1000))</f>
        <v>2800</v>
      </c>
      <c r="BG29" s="304">
        <f>IF($C29="","",SUMPRODUCT(('ANALYSE - ERP =&gt; SOUS-SEGMENT'!$C$8:$C$1000=$C29)*'ANALYSE - ERP =&gt; SOUS-SEGMENT'!$Q$8:$Q$1000*'ANALYSE - ERP =&gt; SOUS-SEGMENT'!$BG$8:$BG$1000))</f>
        <v>550</v>
      </c>
      <c r="BH29" s="304">
        <f>IF($C29="","",SUMPRODUCT(('ANALYSE - ERP =&gt; SOUS-SEGMENT'!$C$8:$C$1000=$C29)*'ANALYSE - ERP =&gt; SOUS-SEGMENT'!$Q$8:$Q$1000*'ANALYSE - ERP =&gt; SOUS-SEGMENT'!$BH$8:$BH$1000))</f>
        <v>3200</v>
      </c>
      <c r="BI29" s="825">
        <f t="shared" si="2"/>
        <v>10175</v>
      </c>
      <c r="BJ29" s="304">
        <f>IF($C29="","",SUMPRODUCT(('ANALYSE - ERP =&gt; SOUS-SEGMENT'!$C$8:$C$1000=$C29)*'ANALYSE - ERP =&gt; SOUS-SEGMENT'!$Q$8:$Q$1000*'ANALYSE - ERP =&gt; SOUS-SEGMENT'!$BJ$8:$BJ$1000))</f>
        <v>3340</v>
      </c>
      <c r="BK29" s="304">
        <f>IF($C29="","",SUMPRODUCT(('ANALYSE - ERP =&gt; SOUS-SEGMENT'!$C$8:$C$1000=$C29)*'ANALYSE - ERP =&gt; SOUS-SEGMENT'!$Q$8:$Q$1000*'ANALYSE - ERP =&gt; SOUS-SEGMENT'!$BK$8:$BK$1000))</f>
        <v>2920</v>
      </c>
      <c r="BL29" s="304">
        <f>IF($C29="","",SUMPRODUCT(('ANALYSE - ERP =&gt; SOUS-SEGMENT'!$C$8:$C$1000=$C29)*'ANALYSE - ERP =&gt; SOUS-SEGMENT'!$Q$8:$Q$1000*'ANALYSE - ERP =&gt; SOUS-SEGMENT'!$BL$8:$BL$1000))</f>
        <v>575</v>
      </c>
      <c r="BM29" s="304">
        <f>IF($C29="","",SUMPRODUCT(('ANALYSE - ERP =&gt; SOUS-SEGMENT'!$C$8:$C$1000=$C29)*'ANALYSE - ERP =&gt; SOUS-SEGMENT'!$Q$8:$Q$1000*'ANALYSE - ERP =&gt; SOUS-SEGMENT'!$BM$8:$BM$1000))</f>
        <v>3340</v>
      </c>
      <c r="BN29" s="657"/>
      <c r="BO29" s="284">
        <f t="shared" si="3"/>
        <v>0.72</v>
      </c>
      <c r="BP29" s="284">
        <f t="shared" si="4"/>
        <v>0.14249999999999999</v>
      </c>
      <c r="BQ29" s="284">
        <f t="shared" si="5"/>
        <v>4.4999999999999998E-2</v>
      </c>
      <c r="BR29" s="710">
        <f t="shared" si="6"/>
        <v>9.2499999999999999E-2</v>
      </c>
      <c r="BS29" s="707">
        <f t="shared" si="7"/>
        <v>0.7</v>
      </c>
      <c r="BT29" s="284">
        <f t="shared" si="8"/>
        <v>0.1422754491017964</v>
      </c>
      <c r="BU29" s="284">
        <f t="shared" si="9"/>
        <v>6.5149700598802388E-2</v>
      </c>
      <c r="BV29" s="710">
        <f t="shared" si="10"/>
        <v>9.2574850299401198E-2</v>
      </c>
      <c r="BW29" s="714">
        <f t="shared" si="11"/>
        <v>0.79285714285714282</v>
      </c>
      <c r="BX29" s="285">
        <f t="shared" si="12"/>
        <v>0.15428571428571428</v>
      </c>
      <c r="BY29" s="717">
        <f t="shared" si="13"/>
        <v>5.2857142857142859E-2</v>
      </c>
      <c r="BZ29" s="714">
        <f t="shared" si="14"/>
        <v>0.7509589041095891</v>
      </c>
      <c r="CA29" s="285">
        <f t="shared" si="15"/>
        <v>0.18027397260273975</v>
      </c>
      <c r="CB29" s="717">
        <f t="shared" si="16"/>
        <v>6.8767123287671234E-2</v>
      </c>
      <c r="CC29" s="284">
        <f t="shared" si="17"/>
        <v>0.17727272727272728</v>
      </c>
      <c r="CD29" s="284">
        <f t="shared" si="18"/>
        <v>0.45</v>
      </c>
      <c r="CE29" s="284">
        <f t="shared" si="19"/>
        <v>0.15909090909090909</v>
      </c>
      <c r="CF29" s="710">
        <f t="shared" si="20"/>
        <v>0.21363636363636362</v>
      </c>
      <c r="CG29" s="707">
        <f t="shared" si="21"/>
        <v>0.15695652173913044</v>
      </c>
      <c r="CH29" s="284">
        <f t="shared" si="22"/>
        <v>0.45269565217391305</v>
      </c>
      <c r="CI29" s="284">
        <f t="shared" si="23"/>
        <v>0.18417391304347827</v>
      </c>
      <c r="CJ29" s="710">
        <f t="shared" si="24"/>
        <v>0.20617391304347826</v>
      </c>
      <c r="CK29" s="720">
        <f t="shared" si="25"/>
        <v>0.6875</v>
      </c>
      <c r="CL29" s="286">
        <f t="shared" si="26"/>
        <v>0.23125000000000001</v>
      </c>
      <c r="CM29" s="718">
        <f t="shared" si="27"/>
        <v>8.1250000000000003E-2</v>
      </c>
      <c r="CN29" s="720">
        <f t="shared" si="28"/>
        <v>0.63712574850299397</v>
      </c>
      <c r="CO29" s="286">
        <f t="shared" si="29"/>
        <v>0.25143712574850297</v>
      </c>
      <c r="CP29" s="718">
        <f t="shared" si="30"/>
        <v>0.11143712574850299</v>
      </c>
      <c r="CQ29" s="657"/>
      <c r="CR29" s="807">
        <f>IF($C29="","",IFERROR(SUMPRODUCT(('ANALYSE - ERP =&gt; SOUS-SEGMENT'!$C$8:$C$1000=$C29)*'ANALYSE - ERP =&gt; SOUS-SEGMENT'!$Q$8:$Q$1000*'ANALYSE - ERP =&gt; SOUS-SEGMENT'!$DH$8:$DH$1000*'ANALYSE - ERP =&gt; SOUS-SEGMENT'!$CR$8:$CR$1000)/SUMPRODUCT(('ANALYSE - ERP =&gt; SOUS-SEGMENT'!$C$8:$C$1000=$C29)*'ANALYSE - ERP =&gt; SOUS-SEGMENT'!$Q$8:$Q$1000*'ANALYSE - ERP =&gt; SOUS-SEGMENT'!$DH$8:$DH$1000),""))</f>
        <v>12</v>
      </c>
      <c r="CS29" s="808">
        <f>IF($C29="","",IFERROR(SUMPRODUCT(('ANALYSE - ERP =&gt; SOUS-SEGMENT'!$C$8:$C$1000=$C29)*'ANALYSE - ERP =&gt; SOUS-SEGMENT'!$Q$8:$Q$1000*'ANALYSE - ERP =&gt; SOUS-SEGMENT'!$DI$8:$DI$1000*'ANALYSE - ERP =&gt; SOUS-SEGMENT'!$CS$8:$CS$1000)/SUMPRODUCT(('ANALYSE - ERP =&gt; SOUS-SEGMENT'!$C$8:$C$1000=$C29)*'ANALYSE - ERP =&gt; SOUS-SEGMENT'!$Q$8:$Q$1000*'ANALYSE - ERP =&gt; SOUS-SEGMENT'!$DI$8:$DI$1000),""))</f>
        <v>12</v>
      </c>
      <c r="CT29" s="808">
        <f>IF($C29="","",IFERROR(SUMPRODUCT(('ANALYSE - ERP =&gt; SOUS-SEGMENT'!$C$8:$C$1000=$C29)*'ANALYSE - ERP =&gt; SOUS-SEGMENT'!$Q$8:$Q$1000*'ANALYSE - ERP =&gt; SOUS-SEGMENT'!$DJ$8:$DJ$1000*'ANALYSE - ERP =&gt; SOUS-SEGMENT'!$CT$8:$CT$1000)/SUMPRODUCT(('ANALYSE - ERP =&gt; SOUS-SEGMENT'!$C$8:$C$1000=$C29)*'ANALYSE - ERP =&gt; SOUS-SEGMENT'!$Q$8:$Q$1000*'ANALYSE - ERP =&gt; SOUS-SEGMENT'!$DJ$8:$DJ$1000),""))</f>
        <v>9</v>
      </c>
      <c r="CU29" s="809">
        <f>IF($C29="","",IFERROR(SUMPRODUCT(('ANALYSE - ERP =&gt; SOUS-SEGMENT'!$C$8:$C$1000=$C29)*'ANALYSE - ERP =&gt; SOUS-SEGMENT'!$Q$8:$Q$1000*'ANALYSE - ERP =&gt; SOUS-SEGMENT'!$DK$8:$DK$1000*'ANALYSE - ERP =&gt; SOUS-SEGMENT'!$CU$8:$CU$1000)/SUMPRODUCT(('ANALYSE - ERP =&gt; SOUS-SEGMENT'!$C$8:$C$1000=$C29)*'ANALYSE - ERP =&gt; SOUS-SEGMENT'!$Q$8:$Q$1000*'ANALYSE - ERP =&gt; SOUS-SEGMENT'!$DK$8:$DK$1000),""))</f>
        <v>11</v>
      </c>
      <c r="CV29" s="807">
        <f>IF($C29="","",IFERROR(SUMPRODUCT(('ANALYSE - ERP =&gt; SOUS-SEGMENT'!$C$8:$C$1000=$C29)*'ANALYSE - ERP =&gt; SOUS-SEGMENT'!$Q$8:$Q$1000*'ANALYSE - ERP =&gt; SOUS-SEGMENT'!$DS$8:$DS$1000*'ANALYSE - ERP =&gt; SOUS-SEGMENT'!$CV$8:$CV$1000)/SUMPRODUCT(('ANALYSE - ERP =&gt; SOUS-SEGMENT'!$C$8:$C$1000=$C29)*'ANALYSE - ERP =&gt; SOUS-SEGMENT'!$Q$8:$Q$1000*'ANALYSE - ERP =&gt; SOUS-SEGMENT'!$DS$8:$DS$1000),""))</f>
        <v>10</v>
      </c>
      <c r="CW29" s="808">
        <f>IF($C29="","",IFERROR(SUMPRODUCT(('ANALYSE - ERP =&gt; SOUS-SEGMENT'!$C$8:$C$1000=$C29)*'ANALYSE - ERP =&gt; SOUS-SEGMENT'!$Q$8:$Q$1000*'ANALYSE - ERP =&gt; SOUS-SEGMENT'!$DT$8:$DT$1000*'ANALYSE - ERP =&gt; SOUS-SEGMENT'!$CW$8:$CW$1000)/SUMPRODUCT(('ANALYSE - ERP =&gt; SOUS-SEGMENT'!$C$8:$C$1000=$C29)*'ANALYSE - ERP =&gt; SOUS-SEGMENT'!$Q$8:$Q$1000*'ANALYSE - ERP =&gt; SOUS-SEGMENT'!$DT$8:$DT$1000),""))</f>
        <v>10</v>
      </c>
      <c r="CX29" s="809">
        <f>IF($C29="","",IFERROR(SUMPRODUCT(('ANALYSE - ERP =&gt; SOUS-SEGMENT'!$C$8:$C$1000=$C29)*'ANALYSE - ERP =&gt; SOUS-SEGMENT'!$Q$8:$Q$1000*'ANALYSE - ERP =&gt; SOUS-SEGMENT'!$DU$8:$DU$1000*'ANALYSE - ERP =&gt; SOUS-SEGMENT'!$CX$8:$CX$1000)/SUMPRODUCT(('ANALYSE - ERP =&gt; SOUS-SEGMENT'!$C$8:$C$1000=$C29)*'ANALYSE - ERP =&gt; SOUS-SEGMENT'!$Q$8:$Q$1000*'ANALYSE - ERP =&gt; SOUS-SEGMENT'!$DU$8:$DU$1000),""))</f>
        <v>8</v>
      </c>
      <c r="CY29" s="807">
        <f>IF($C29="","",IFERROR(SUMPRODUCT(('ANALYSE - ERP =&gt; SOUS-SEGMENT'!$C$8:$C$1000=$C29)*'ANALYSE - ERP =&gt; SOUS-SEGMENT'!$Q$8:$Q$1000*'ANALYSE - ERP =&gt; SOUS-SEGMENT'!$EB$8:$EB$1000*'ANALYSE - ERP =&gt; SOUS-SEGMENT'!$CY$8:$CY$1000)/SUMPRODUCT(('ANALYSE - ERP =&gt; SOUS-SEGMENT'!$C$8:$C$1000=$C29)*'ANALYSE - ERP =&gt; SOUS-SEGMENT'!$Q$8:$Q$1000*'ANALYSE - ERP =&gt; SOUS-SEGMENT'!$EB$8:$EB$1000),""))</f>
        <v>10</v>
      </c>
      <c r="CZ29" s="808">
        <f>IF($C29="","",IFERROR(SUMPRODUCT(('ANALYSE - ERP =&gt; SOUS-SEGMENT'!$C$8:$C$1000=$C29)*'ANALYSE - ERP =&gt; SOUS-SEGMENT'!$Q$8:$Q$1000*'ANALYSE - ERP =&gt; SOUS-SEGMENT'!$EC$8:$EC$1000*'ANALYSE - ERP =&gt; SOUS-SEGMENT'!$CZ$8:$CZ$1000)/SUMPRODUCT(('ANALYSE - ERP =&gt; SOUS-SEGMENT'!$C$8:$C$1000=$C29)*'ANALYSE - ERP =&gt; SOUS-SEGMENT'!$Q$8:$Q$1000*'ANALYSE - ERP =&gt; SOUS-SEGMENT'!$EC$8:$EC$1000),""))</f>
        <v>11</v>
      </c>
      <c r="DA29" s="808">
        <f>IF($C29="","",IFERROR(SUMPRODUCT(('ANALYSE - ERP =&gt; SOUS-SEGMENT'!$C$8:$C$1000=$C29)*'ANALYSE - ERP =&gt; SOUS-SEGMENT'!$Q$8:$Q$1000*'ANALYSE - ERP =&gt; SOUS-SEGMENT'!$ED$8:$ED$1000*'ANALYSE - ERP =&gt; SOUS-SEGMENT'!$DA$8:$DA$1000)/SUMPRODUCT(('ANALYSE - ERP =&gt; SOUS-SEGMENT'!$C$8:$C$1000=$C29)*'ANALYSE - ERP =&gt; SOUS-SEGMENT'!$Q$8:$Q$1000*'ANALYSE - ERP =&gt; SOUS-SEGMENT'!$ED$8:$ED$1000),""))</f>
        <v>8</v>
      </c>
      <c r="DB29" s="809">
        <f>IF($C29="","",IFERROR(SUMPRODUCT(('ANALYSE - ERP =&gt; SOUS-SEGMENT'!$C$8:$C$1000=$C29)*'ANALYSE - ERP =&gt; SOUS-SEGMENT'!$Q$8:$Q$1000*'ANALYSE - ERP =&gt; SOUS-SEGMENT'!$EE$8:$EE$1000*'ANALYSE - ERP =&gt; SOUS-SEGMENT'!$DB$8:$DB$1000)/SUMPRODUCT(('ANALYSE - ERP =&gt; SOUS-SEGMENT'!$C$8:$C$1000=$C29)*'ANALYSE - ERP =&gt; SOUS-SEGMENT'!$Q$8:$Q$1000*'ANALYSE - ERP =&gt; SOUS-SEGMENT'!$EE$8:$EE$1000),""))</f>
        <v>9</v>
      </c>
      <c r="DC29" s="807">
        <f>IF($C29="","",IFERROR(SUMPRODUCT(('ANALYSE - ERP =&gt; SOUS-SEGMENT'!$C$8:$C$1000=$C29)*'ANALYSE - ERP =&gt; SOUS-SEGMENT'!$Q$8:$Q$1000*'ANALYSE - ERP =&gt; SOUS-SEGMENT'!$EM$8:$EM$1000*'ANALYSE - ERP =&gt; SOUS-SEGMENT'!$DC$8:$DC$1000)/SUMPRODUCT(('ANALYSE - ERP =&gt; SOUS-SEGMENT'!$C$8:$C$1000=$C29)*'ANALYSE - ERP =&gt; SOUS-SEGMENT'!$Q$8:$Q$1000*'ANALYSE - ERP =&gt; SOUS-SEGMENT'!$EM$8:$EM$1000),""))</f>
        <v>11</v>
      </c>
      <c r="DD29" s="808">
        <f>IF($C29="","",IFERROR(SUMPRODUCT(('ANALYSE - ERP =&gt; SOUS-SEGMENT'!$C$8:$C$1000=$C29)*'ANALYSE - ERP =&gt; SOUS-SEGMENT'!$Q$8:$Q$1000*'ANALYSE - ERP =&gt; SOUS-SEGMENT'!$EN$8:$EN$1000*'ANALYSE - ERP =&gt; SOUS-SEGMENT'!$DD$8:$DD$1000)/SUMPRODUCT(('ANALYSE - ERP =&gt; SOUS-SEGMENT'!$C$8:$C$1000=$C29)*'ANALYSE - ERP =&gt; SOUS-SEGMENT'!$Q$8:$Q$1000*'ANALYSE - ERP =&gt; SOUS-SEGMENT'!$EN$8:$EN$1000),""))</f>
        <v>11</v>
      </c>
      <c r="DE29" s="809">
        <f>IF($C29="","",IFERROR(SUMPRODUCT(('ANALYSE - ERP =&gt; SOUS-SEGMENT'!$C$8:$C$1000=$C29)*'ANALYSE - ERP =&gt; SOUS-SEGMENT'!$Q$8:$Q$1000*'ANALYSE - ERP =&gt; SOUS-SEGMENT'!$EO$8:$EO$1000*'ANALYSE - ERP =&gt; SOUS-SEGMENT'!$DE$8:$DE$1000)/SUMPRODUCT(('ANALYSE - ERP =&gt; SOUS-SEGMENT'!$C$8:$C$1000=$C29)*'ANALYSE - ERP =&gt; SOUS-SEGMENT'!$Q$8:$Q$1000*'ANALYSE - ERP =&gt; SOUS-SEGMENT'!$EO$8:$EO$1000),""))</f>
        <v>9</v>
      </c>
      <c r="DF29" s="921" t="s">
        <v>4236</v>
      </c>
      <c r="DG29" s="657"/>
      <c r="DH29" s="288">
        <f>IF($C29="","",SUMPRODUCT(('ANALYSE - ERP =&gt; SOUS-SEGMENT'!$C$8:$C$1000=$C29)*'ANALYSE - ERP =&gt; SOUS-SEGMENT'!$Q$8:$Q$1000*'ANALYSE - ERP =&gt; SOUS-SEGMENT'!$DH$8:$DH$1000))</f>
        <v>2304</v>
      </c>
      <c r="DI29" s="288">
        <f>IF($C29="","",SUMPRODUCT(('ANALYSE - ERP =&gt; SOUS-SEGMENT'!$C$8:$C$1000=$C29)*'ANALYSE - ERP =&gt; SOUS-SEGMENT'!$Q$8:$Q$1000*'ANALYSE - ERP =&gt; SOUS-SEGMENT'!$DI$8:$DI$1000))</f>
        <v>456</v>
      </c>
      <c r="DJ29" s="288">
        <f>IF($C29="","",SUMPRODUCT(('ANALYSE - ERP =&gt; SOUS-SEGMENT'!$C$8:$C$1000=$C29)*'ANALYSE - ERP =&gt; SOUS-SEGMENT'!$Q$8:$Q$1000*'ANALYSE - ERP =&gt; SOUS-SEGMENT'!$DJ$8:$DJ$1000))</f>
        <v>144</v>
      </c>
      <c r="DK29" s="288">
        <f>IF($C29="","",SUMPRODUCT(('ANALYSE - ERP =&gt; SOUS-SEGMENT'!$C$8:$C$1000=$C29)*'ANALYSE - ERP =&gt; SOUS-SEGMENT'!$Q$8:$Q$1000*'ANALYSE - ERP =&gt; SOUS-SEGMENT'!$DK$8:$DK$1000))</f>
        <v>296</v>
      </c>
      <c r="DL29" s="922" t="s">
        <v>5920</v>
      </c>
      <c r="DM29" s="288">
        <f>IF($C29="","",SUMPRODUCT(('ANALYSE - ERP =&gt; SOUS-SEGMENT'!$C$8:$C$1000=$C29)*'ANALYSE - ERP =&gt; SOUS-SEGMENT'!$Q$8:$Q$1000*'ANALYSE - ERP =&gt; SOUS-SEGMENT'!$DM$8:$DM$1000))</f>
        <v>2338</v>
      </c>
      <c r="DN29" s="288">
        <f>IF($C29="","",SUMPRODUCT(('ANALYSE - ERP =&gt; SOUS-SEGMENT'!$C$8:$C$1000=$C29)*'ANALYSE - ERP =&gt; SOUS-SEGMENT'!$Q$8:$Q$1000*'ANALYSE - ERP =&gt; SOUS-SEGMENT'!$DN$8:$DN$1000))</f>
        <v>475.2</v>
      </c>
      <c r="DO29" s="288">
        <f>IF($C29="","",SUMPRODUCT(('ANALYSE - ERP =&gt; SOUS-SEGMENT'!$C$8:$C$1000=$C29)*'ANALYSE - ERP =&gt; SOUS-SEGMENT'!$Q$8:$Q$1000*'ANALYSE - ERP =&gt; SOUS-SEGMENT'!$DO$8:$DO$1000))</f>
        <v>217.6</v>
      </c>
      <c r="DP29" s="288">
        <f>IF($C29="","",SUMPRODUCT(('ANALYSE - ERP =&gt; SOUS-SEGMENT'!$C$8:$C$1000=$C29)*'ANALYSE - ERP =&gt; SOUS-SEGMENT'!$Q$8:$Q$1000*'ANALYSE - ERP =&gt; SOUS-SEGMENT'!$DP$8:$DP$1000))</f>
        <v>309.2</v>
      </c>
      <c r="DQ29" s="922" t="s">
        <v>5921</v>
      </c>
      <c r="DR29" s="657"/>
      <c r="DS29" s="288">
        <f>IF($C29="","",SUMPRODUCT(('ANALYSE - ERP =&gt; SOUS-SEGMENT'!$C$8:$C$1000=$C29)*'ANALYSE - ERP =&gt; SOUS-SEGMENT'!$Q$8:$Q$1000*'ANALYSE - ERP =&gt; SOUS-SEGMENT'!$DS$8:$DS$1000))</f>
        <v>2220</v>
      </c>
      <c r="DT29" s="288">
        <f>IF($C29="","",SUMPRODUCT(('ANALYSE - ERP =&gt; SOUS-SEGMENT'!$C$8:$C$1000=$C29)*'ANALYSE - ERP =&gt; SOUS-SEGMENT'!$Q$8:$Q$1000*'ANALYSE - ERP =&gt; SOUS-SEGMENT'!$DT$8:$DT$1000))</f>
        <v>432</v>
      </c>
      <c r="DU29" s="288">
        <f>IF($C29="","",SUMPRODUCT(('ANALYSE - ERP =&gt; SOUS-SEGMENT'!$C$8:$C$1000=$C29)*'ANALYSE - ERP =&gt; SOUS-SEGMENT'!$Q$8:$Q$1000*'ANALYSE - ERP =&gt; SOUS-SEGMENT'!$DU$8:$DU$1000))</f>
        <v>148</v>
      </c>
      <c r="DV29" s="922" t="s">
        <v>5922</v>
      </c>
      <c r="DW29" s="288">
        <f>IF($C29="","",SUMPRODUCT(('ANALYSE - ERP =&gt; SOUS-SEGMENT'!$C$8:$C$1000=$C29)*'ANALYSE - ERP =&gt; SOUS-SEGMENT'!$Q$8:$Q$1000*'ANALYSE - ERP =&gt; SOUS-SEGMENT'!$DW$8:$DW$1000))</f>
        <v>2192.8000000000002</v>
      </c>
      <c r="DX29" s="288">
        <f>IF($C29="","",SUMPRODUCT(('ANALYSE - ERP =&gt; SOUS-SEGMENT'!$C$8:$C$1000=$C29)*'ANALYSE - ERP =&gt; SOUS-SEGMENT'!$Q$8:$Q$1000*'ANALYSE - ERP =&gt; SOUS-SEGMENT'!$DX$8:$DX$1000))</f>
        <v>526.40000000000009</v>
      </c>
      <c r="DY29" s="288">
        <f>IF($C29="","",SUMPRODUCT(('ANALYSE - ERP =&gt; SOUS-SEGMENT'!$C$8:$C$1000=$C29)*'ANALYSE - ERP =&gt; SOUS-SEGMENT'!$Q$8:$Q$1000*'ANALYSE - ERP =&gt; SOUS-SEGMENT'!$DY$8:$DY$1000))</f>
        <v>200.79999999999998</v>
      </c>
      <c r="DZ29" s="922" t="s">
        <v>5923</v>
      </c>
      <c r="EA29" s="657"/>
      <c r="EB29" s="288">
        <f>IF($C29="","",SUMPRODUCT(('ANALYSE - ERP =&gt; SOUS-SEGMENT'!$C$8:$C$1000=$C29)*'ANALYSE - ERP =&gt; SOUS-SEGMENT'!$Q$8:$Q$1000*'ANALYSE - ERP =&gt; SOUS-SEGMENT'!$EB$8:$EB$1000))</f>
        <v>97.5</v>
      </c>
      <c r="EC29" s="288">
        <f>IF($C29="","",SUMPRODUCT(('ANALYSE - ERP =&gt; SOUS-SEGMENT'!$C$8:$C$1000=$C29)*'ANALYSE - ERP =&gt; SOUS-SEGMENT'!$Q$8:$Q$1000*'ANALYSE - ERP =&gt; SOUS-SEGMENT'!$EC$8:$EC$1000))</f>
        <v>247.5</v>
      </c>
      <c r="ED29" s="288">
        <f>IF($C29="","",SUMPRODUCT(('ANALYSE - ERP =&gt; SOUS-SEGMENT'!$C$8:$C$1000=$C29)*'ANALYSE - ERP =&gt; SOUS-SEGMENT'!$Q$8:$Q$1000*'ANALYSE - ERP =&gt; SOUS-SEGMENT'!$ED$8:$ED$1000))</f>
        <v>87.5</v>
      </c>
      <c r="EE29" s="288">
        <f>IF($C29="","",SUMPRODUCT(('ANALYSE - ERP =&gt; SOUS-SEGMENT'!$C$8:$C$1000=$C29)*'ANALYSE - ERP =&gt; SOUS-SEGMENT'!$Q$8:$Q$1000*'ANALYSE - ERP =&gt; SOUS-SEGMENT'!$EE$8:$EE$1000))</f>
        <v>117.5</v>
      </c>
      <c r="EF29" s="922" t="s">
        <v>5924</v>
      </c>
      <c r="EG29" s="288">
        <f>IF($C29="","",SUMPRODUCT(('ANALYSE - ERP =&gt; SOUS-SEGMENT'!$C$8:$C$1000=$C29)*'ANALYSE - ERP =&gt; SOUS-SEGMENT'!$Q$8:$Q$1000*'ANALYSE - ERP =&gt; SOUS-SEGMENT'!$EG$8:$EG$1000))</f>
        <v>90.25</v>
      </c>
      <c r="EH29" s="288">
        <f>IF($C29="","",SUMPRODUCT(('ANALYSE - ERP =&gt; SOUS-SEGMENT'!$C$8:$C$1000=$C29)*'ANALYSE - ERP =&gt; SOUS-SEGMENT'!$Q$8:$Q$1000*'ANALYSE - ERP =&gt; SOUS-SEGMENT'!$EH$8:$EH$1000))</f>
        <v>260.3</v>
      </c>
      <c r="EI29" s="288">
        <f>IF($C29="","",SUMPRODUCT(('ANALYSE - ERP =&gt; SOUS-SEGMENT'!$C$8:$C$1000=$C29)*'ANALYSE - ERP =&gt; SOUS-SEGMENT'!$Q$8:$Q$1000*'ANALYSE - ERP =&gt; SOUS-SEGMENT'!$EI$8:$EI$1000))</f>
        <v>105.9</v>
      </c>
      <c r="EJ29" s="288">
        <f>IF($C29="","",SUMPRODUCT(('ANALYSE - ERP =&gt; SOUS-SEGMENT'!$C$8:$C$1000=$C29)*'ANALYSE - ERP =&gt; SOUS-SEGMENT'!$Q$8:$Q$1000*'ANALYSE - ERP =&gt; SOUS-SEGMENT'!$EJ$8:$EJ$1000))</f>
        <v>118.55</v>
      </c>
      <c r="EK29" s="922" t="s">
        <v>5925</v>
      </c>
      <c r="EL29" s="657"/>
      <c r="EM29" s="288">
        <f>IF($C29="","",SUMPRODUCT(('ANALYSE - ERP =&gt; SOUS-SEGMENT'!$C$8:$C$1000=$C29)*'ANALYSE - ERP =&gt; SOUS-SEGMENT'!$Q$8:$Q$1000*'ANALYSE - ERP =&gt; SOUS-SEGMENT'!$EM$8:$EM$1000))</f>
        <v>2200</v>
      </c>
      <c r="EN29" s="291">
        <f>IF($C29="","",SUMPRODUCT(('ANALYSE - ERP =&gt; SOUS-SEGMENT'!$C$8:$C$1000=$C29)*'ANALYSE - ERP =&gt; SOUS-SEGMENT'!$Q$8:$Q$1000*'ANALYSE - ERP =&gt; SOUS-SEGMENT'!$EN$8:$EN$1000))</f>
        <v>740</v>
      </c>
      <c r="EO29" s="291">
        <f>IF($C29="","",SUMPRODUCT(('ANALYSE - ERP =&gt; SOUS-SEGMENT'!$C$8:$C$1000=$C29)*'ANALYSE - ERP =&gt; SOUS-SEGMENT'!$Q$8:$Q$1000*'ANALYSE - ERP =&gt; SOUS-SEGMENT'!$EO$8:$EO$1000))</f>
        <v>260</v>
      </c>
      <c r="EP29" s="922" t="s">
        <v>5926</v>
      </c>
      <c r="EQ29" s="288">
        <f>IF($C29="","",SUMPRODUCT(('ANALYSE - ERP =&gt; SOUS-SEGMENT'!$C$8:$C$1000=$C29)*'ANALYSE - ERP =&gt; SOUS-SEGMENT'!$Q$8:$Q$1000*'ANALYSE - ERP =&gt; SOUS-SEGMENT'!$EQ$8:$EQ$1000))</f>
        <v>2128</v>
      </c>
      <c r="ER29" s="291">
        <f>IF($C29="","",SUMPRODUCT(('ANALYSE - ERP =&gt; SOUS-SEGMENT'!$C$8:$C$1000=$C29)*'ANALYSE - ERP =&gt; SOUS-SEGMENT'!$Q$8:$Q$1000*'ANALYSE - ERP =&gt; SOUS-SEGMENT'!$ER$8:$ER$1000))</f>
        <v>839.8</v>
      </c>
      <c r="ES29" s="291">
        <f>IF($C29="","",SUMPRODUCT(('ANALYSE - ERP =&gt; SOUS-SEGMENT'!$C$8:$C$1000=$C29)*'ANALYSE - ERP =&gt; SOUS-SEGMENT'!$Q$8:$Q$1000*'ANALYSE - ERP =&gt; SOUS-SEGMENT'!$ES$8:$ES$1000))</f>
        <v>372.2</v>
      </c>
      <c r="ET29" s="922" t="s">
        <v>5927</v>
      </c>
      <c r="EU29" s="657"/>
      <c r="EV29" s="740">
        <f t="shared" si="31"/>
        <v>0.80275019437698858</v>
      </c>
      <c r="EW29" s="740">
        <f t="shared" si="32"/>
        <v>0.1972498056230115</v>
      </c>
      <c r="EX29" s="563">
        <f t="shared" si="33"/>
        <v>4268.0143452662878</v>
      </c>
      <c r="EY29" s="563">
        <f t="shared" si="34"/>
        <v>3426.149345266288</v>
      </c>
      <c r="EZ29" s="563">
        <f t="shared" si="35"/>
        <v>841.86500000000001</v>
      </c>
      <c r="FA29" s="563">
        <f t="shared" si="36"/>
        <v>1291.2760658181817</v>
      </c>
      <c r="FB29" s="563">
        <f>IF($C29="","",SUMPRODUCT(('ANALYSE - ERP =&gt; SOUS-SEGMENT'!$C$8:$C$1000=$C29)*'ANALYSE - ERP =&gt; SOUS-SEGMENT'!$Q$8:$Q$1000*'ANALYSE - ERP =&gt; SOUS-SEGMENT'!$FB$8:$FB$1000))</f>
        <v>1014.4280658181817</v>
      </c>
      <c r="FC29" s="563">
        <f>IF($C29="","",SUMPRODUCT(('ANALYSE - ERP =&gt; SOUS-SEGMENT'!$C$8:$C$1000=$C29)*'ANALYSE - ERP =&gt; SOUS-SEGMENT'!$Q$8:$Q$1000*'ANALYSE - ERP =&gt; SOUS-SEGMENT'!$FC$8:$FC$1000))</f>
        <v>276.84800000000001</v>
      </c>
      <c r="FD29" s="563">
        <f t="shared" si="37"/>
        <v>1319.3827387000001</v>
      </c>
      <c r="FE29" s="563">
        <f>IF($C29="","",SUMPRODUCT(('ANALYSE - ERP =&gt; SOUS-SEGMENT'!$C$8:$C$1000=$C29)*'ANALYSE - ERP =&gt; SOUS-SEGMENT'!$Q$8:$Q$1000*'ANALYSE - ERP =&gt; SOUS-SEGMENT'!$FE$8:$FE$1000))</f>
        <v>1079.7907387</v>
      </c>
      <c r="FF29" s="563">
        <f>IF($C29="","",SUMPRODUCT(('ANALYSE - ERP =&gt; SOUS-SEGMENT'!$C$8:$C$1000=$C29)*'ANALYSE - ERP =&gt; SOUS-SEGMENT'!$Q$8:$Q$1000*'ANALYSE - ERP =&gt; SOUS-SEGMENT'!$FF$8:$FF$1000))</f>
        <v>239.59199999999998</v>
      </c>
      <c r="FG29" s="563">
        <f t="shared" si="38"/>
        <v>262.95590680871209</v>
      </c>
      <c r="FH29" s="563">
        <f>IF($C29="","",SUMPRODUCT(('ANALYSE - ERP =&gt; SOUS-SEGMENT'!$C$8:$C$1000=$C29)*'ANALYSE - ERP =&gt; SOUS-SEGMENT'!$Q$8:$Q$1000*'ANALYSE - ERP =&gt; SOUS-SEGMENT'!$FH$8:$FH$1000))</f>
        <v>214.37890680871209</v>
      </c>
      <c r="FI29" s="563">
        <f>IF($C29="","",SUMPRODUCT(('ANALYSE - ERP =&gt; SOUS-SEGMENT'!$C$8:$C$1000=$C29)*'ANALYSE - ERP =&gt; SOUS-SEGMENT'!$Q$8:$Q$1000*'ANALYSE - ERP =&gt; SOUS-SEGMENT'!$FI$8:$FI$1000))</f>
        <v>48.576999999999998</v>
      </c>
      <c r="FJ29" s="563">
        <f t="shared" si="39"/>
        <v>1394.3996339393937</v>
      </c>
      <c r="FK29" s="563">
        <f>IF($C29="","",SUMPRODUCT(('ANALYSE - ERP =&gt; SOUS-SEGMENT'!$C$8:$C$1000=$C29)*'ANALYSE - ERP =&gt; SOUS-SEGMENT'!$Q$8:$Q$1000*'ANALYSE - ERP =&gt; SOUS-SEGMENT'!$FK$8:$FK$1000))</f>
        <v>1117.5516339393937</v>
      </c>
      <c r="FL29" s="563">
        <f>IF($C29="","",SUMPRODUCT(('ANALYSE - ERP =&gt; SOUS-SEGMENT'!$C$8:$C$1000=$C29)*'ANALYSE - ERP =&gt; SOUS-SEGMENT'!$Q$8:$Q$1000*'ANALYSE - ERP =&gt; SOUS-SEGMENT'!$FL$8:$FL$1000))</f>
        <v>276.84800000000001</v>
      </c>
      <c r="FM29" s="529"/>
      <c r="FN29" s="961" t="s">
        <v>2649</v>
      </c>
      <c r="FO29" s="740">
        <f>IF($C29="","",IFERROR(SUMPRODUCT(('ANALYSE - ERP =&gt; SOUS-SEGMENT'!$C$8:$C$1000=$C29)*'ANALYSE - ERP =&gt; SOUS-SEGMENT'!$Q$8:$Q$1000*'ANALYSE - ERP =&gt; SOUS-SEGMENT'!$AF$8:$AF$1000*'ANALYSE - ERP =&gt; SOUS-SEGMENT'!$FO$8:$FO$1000)/SUMPRODUCT(('ANALYSE - ERP =&gt; SOUS-SEGMENT'!$C$8:$C$1000=$C29)*'ANALYSE - ERP =&gt; SOUS-SEGMENT'!$Q$8:$Q$1000*'ANALYSE - ERP =&gt; SOUS-SEGMENT'!$AF$8:$AF$1000),""))</f>
        <v>4.2711428571428574E-2</v>
      </c>
      <c r="FP29" s="741">
        <f>IF($C29="","",IFERROR(SUMPRODUCT(('ANALYSE - ERP =&gt; SOUS-SEGMENT'!$C$8:$C$1000=$C29)*'ANALYSE - ERP =&gt; SOUS-SEGMENT'!$Q$8:$Q$1000*'ANALYSE - ERP =&gt; SOUS-SEGMENT'!$AF$8:$AF$1000*'ANALYSE - ERP =&gt; SOUS-SEGMENT'!$FP$8:$FP$1000)/SUMPRODUCT(('ANALYSE - ERP =&gt; SOUS-SEGMENT'!$C$8:$C$1000=$C29)*'ANALYSE - ERP =&gt; SOUS-SEGMENT'!$Q$8:$Q$1000*'ANALYSE - ERP =&gt; SOUS-SEGMENT'!$AF$8:$AF$1000),""))</f>
        <v>0.80889857142857136</v>
      </c>
      <c r="FQ29" s="961" t="s">
        <v>5928</v>
      </c>
      <c r="FR29" s="529"/>
      <c r="FS29" s="867">
        <f>IF($C29="","",IFERROR(SUMPRODUCT(('ANALYSE - ERP =&gt; SOUS-SEGMENT'!$C$8:$C$1000=$C29)*'ANALYSE - ERP =&gt; SOUS-SEGMENT'!$Q$8:$Q$1000*'ANALYSE - ERP =&gt; SOUS-SEGMENT'!$EX$8:$EX$1000*'ANALYSE - ERP =&gt; SOUS-SEGMENT'!$FS$8:$FS$1000)/SUMPRODUCT(('ANALYSE - ERP =&gt; SOUS-SEGMENT'!$C$8:$C$1000=$C29)*'ANALYSE - ERP =&gt; SOUS-SEGMENT'!$Q$8:$Q$1000*'ANALYSE - ERP =&gt; SOUS-SEGMENT'!$EX$8:$EX$1000),""))</f>
        <v>2.9062666754057309</v>
      </c>
      <c r="FT29" s="566">
        <f>IF($C29="","",RANK($FS29,$FS$8:$FS$43,0)+COUNTIF($FS$8:$FS29,$FS29)-1)</f>
        <v>31</v>
      </c>
      <c r="FU29" s="867">
        <f>IF($C29="","",IFERROR(SUMPRODUCT(('ANALYSE - ERP =&gt; SOUS-SEGMENT'!$C$8:$C$1000=$C29)*'ANALYSE - ERP =&gt; SOUS-SEGMENT'!$Q$8:$Q$1000*'ANALYSE - ERP =&gt; SOUS-SEGMENT'!$EY$8:$EY$1000*'ANALYSE - ERP =&gt; SOUS-SEGMENT'!$FU$8:$FU$1000)/SUMPRODUCT(('ANALYSE - ERP =&gt; SOUS-SEGMENT'!$C$8:$C$1000=$C29)*'ANALYSE - ERP =&gt; SOUS-SEGMENT'!$Q$8:$Q$1000*'ANALYSE - ERP =&gt; SOUS-SEGMENT'!$EY$8:$EY$1000),""))</f>
        <v>3.9561754052134419</v>
      </c>
      <c r="FV29" s="566">
        <f>IF($C29="","",RANK($FU29,$FU$8:$FU$43,0)+COUNTIF($FU$8:$FU29,$FU29)-1)</f>
        <v>20</v>
      </c>
      <c r="FW29" s="867">
        <f>IF($C29="","",IFERROR(SUMPRODUCT(('ANALYSE - ERP =&gt; SOUS-SEGMENT'!$C$8:$C$1000=$C29)*'ANALYSE - ERP =&gt; SOUS-SEGMENT'!$Q$8:$Q$1000*'ANALYSE - ERP =&gt; SOUS-SEGMENT'!$EZ$8:$EZ$1000*'ANALYSE - ERP =&gt; SOUS-SEGMENT'!$FW$8:$FW$1000)/SUMPRODUCT(('ANALYSE - ERP =&gt; SOUS-SEGMENT'!$C$8:$C$1000=$C29)*'ANALYSE - ERP =&gt; SOUS-SEGMENT'!$Q$8:$Q$1000*'ANALYSE - ERP =&gt; SOUS-SEGMENT'!$EZ$8:$EZ$1000),""))</f>
        <v>1.6200000000000003</v>
      </c>
      <c r="FX29" s="566">
        <f>IF($C29="","",RANK($FW29,$FW$8:$FW$43,0)+COUNTIF($FW$8:$FW29,$FW29)-1)</f>
        <v>32</v>
      </c>
      <c r="FY29" s="529"/>
      <c r="FZ29" s="922" t="s">
        <v>5929</v>
      </c>
      <c r="GA29" s="922" t="s">
        <v>4246</v>
      </c>
      <c r="GB29" s="922" t="s">
        <v>4247</v>
      </c>
      <c r="GC29" s="922" t="s">
        <v>4248</v>
      </c>
      <c r="GD29" s="922" t="s">
        <v>4249</v>
      </c>
      <c r="GE29" s="922" t="s">
        <v>4250</v>
      </c>
      <c r="GF29" s="923" t="s">
        <v>5930</v>
      </c>
      <c r="GG29" s="529"/>
      <c r="GH29" s="563">
        <f t="shared" si="40"/>
        <v>904.61326639999993</v>
      </c>
      <c r="GI29" s="563">
        <f>IF($C29="","",SUMPRODUCT(('ANALYSE - ERP =&gt; SOUS-SEGMENT'!$C$8:$C$1000=$C29)*'ANALYSE - ERP =&gt; SOUS-SEGMENT'!$Q$8:$Q$1000*'ANALYSE - ERP =&gt; SOUS-SEGMENT'!$GI$8:$GI$1000))</f>
        <v>710.81966639999996</v>
      </c>
      <c r="GJ29" s="563">
        <f>IF($C29="","",SUMPRODUCT(('ANALYSE - ERP =&gt; SOUS-SEGMENT'!$C$8:$C$1000=$C29)*'ANALYSE - ERP =&gt; SOUS-SEGMENT'!$Q$8:$Q$1000*'ANALYSE - ERP =&gt; SOUS-SEGMENT'!$GJ$8:$GJ$1000))</f>
        <v>193.79359999999997</v>
      </c>
      <c r="GK29" s="563">
        <f t="shared" si="41"/>
        <v>179.4576816</v>
      </c>
      <c r="GL29" s="563">
        <f>IF($C29="","",SUMPRODUCT(('ANALYSE - ERP =&gt; SOUS-SEGMENT'!$C$8:$C$1000=$C29)*'ANALYSE - ERP =&gt; SOUS-SEGMENT'!$Q$8:$Q$1000*'ANALYSE - ERP =&gt; SOUS-SEGMENT'!$GL$8:$GL$1000))</f>
        <v>140.80184159999999</v>
      </c>
      <c r="GM29" s="563">
        <f>IF($C29="","",SUMPRODUCT(('ANALYSE - ERP =&gt; SOUS-SEGMENT'!$C$8:$C$1000=$C29)*'ANALYSE - ERP =&gt; SOUS-SEGMENT'!$Q$8:$Q$1000*'ANALYSE - ERP =&gt; SOUS-SEGMENT'!$GM$8:$GM$1000))</f>
        <v>38.655839999999998</v>
      </c>
      <c r="GN29" s="563">
        <f t="shared" si="42"/>
        <v>79.996424000000005</v>
      </c>
      <c r="GO29" s="563">
        <f>IF($C29="","",SUMPRODUCT(('ANALYSE - ERP =&gt; SOUS-SEGMENT'!$C$8:$C$1000=$C29)*'ANALYSE - ERP =&gt; SOUS-SEGMENT'!$Q$8:$Q$1000*'ANALYSE - ERP =&gt; SOUS-SEGMENT'!$GO$8:$GO$1000))</f>
        <v>61.471304000000003</v>
      </c>
      <c r="GP29" s="563">
        <f>IF($C29="","",SUMPRODUCT(('ANALYSE - ERP =&gt; SOUS-SEGMENT'!$C$8:$C$1000=$C29)*'ANALYSE - ERP =&gt; SOUS-SEGMENT'!$Q$8:$Q$1000*'ANALYSE - ERP =&gt; SOUS-SEGMENT'!$GP$8:$GP$1000))</f>
        <v>18.525120000000001</v>
      </c>
      <c r="GQ29" s="563">
        <f t="shared" si="43"/>
        <v>127.20869381818183</v>
      </c>
      <c r="GR29" s="563">
        <f>IF($C29="","",SUMPRODUCT(('ANALYSE - ERP =&gt; SOUS-SEGMENT'!$C$8:$C$1000=$C29)*'ANALYSE - ERP =&gt; SOUS-SEGMENT'!$Q$8:$Q$1000*'ANALYSE - ERP =&gt; SOUS-SEGMENT'!$GR$8:$GR$1000))</f>
        <v>101.33525381818183</v>
      </c>
      <c r="GS29" s="563">
        <f>IF($C29="","",SUMPRODUCT(('ANALYSE - ERP =&gt; SOUS-SEGMENT'!$C$8:$C$1000=$C29)*'ANALYSE - ERP =&gt; SOUS-SEGMENT'!$Q$8:$Q$1000*'ANALYSE - ERP =&gt; SOUS-SEGMENT'!$GS$8:$GS$1000))</f>
        <v>25.873440000000002</v>
      </c>
      <c r="GT29" s="563">
        <f t="shared" si="44"/>
        <v>1022.390326</v>
      </c>
      <c r="GU29" s="563">
        <f>IF($C29="","",SUMPRODUCT(('ANALYSE - ERP =&gt; SOUS-SEGMENT'!$C$8:$C$1000=$C29)*'ANALYSE - ERP =&gt; SOUS-SEGMENT'!$Q$8:$Q$1000*'ANALYSE - ERP =&gt; SOUS-SEGMENT'!$GU$8:$GU$1000))</f>
        <v>843.8077659999999</v>
      </c>
      <c r="GV29" s="563">
        <f>IF($C29="","",SUMPRODUCT(('ANALYSE - ERP =&gt; SOUS-SEGMENT'!$C$8:$C$1000=$C29)*'ANALYSE - ERP =&gt; SOUS-SEGMENT'!$Q$8:$Q$1000*'ANALYSE - ERP =&gt; SOUS-SEGMENT'!$GV$8:$GV$1000))</f>
        <v>178.58256</v>
      </c>
      <c r="GW29" s="563">
        <f t="shared" si="45"/>
        <v>208.22155519999998</v>
      </c>
      <c r="GX29" s="563">
        <f>IF($C29="","",SUMPRODUCT(('ANALYSE - ERP =&gt; SOUS-SEGMENT'!$C$8:$C$1000=$C29)*'ANALYSE - ERP =&gt; SOUS-SEGMENT'!$Q$8:$Q$1000*'ANALYSE - ERP =&gt; SOUS-SEGMENT'!$GX$8:$GX$1000))</f>
        <v>164.24699519999999</v>
      </c>
      <c r="GY29" s="563">
        <f>IF($C29="","",SUMPRODUCT(('ANALYSE - ERP =&gt; SOUS-SEGMENT'!$C$8:$C$1000=$C29)*'ANALYSE - ERP =&gt; SOUS-SEGMENT'!$Q$8:$Q$1000*'ANALYSE - ERP =&gt; SOUS-SEGMENT'!$GY$8:$GY$1000))</f>
        <v>43.974559999999997</v>
      </c>
      <c r="GZ29" s="563">
        <f t="shared" si="46"/>
        <v>88.770857500000005</v>
      </c>
      <c r="HA29" s="563">
        <f>IF($C29="","",SUMPRODUCT(('ANALYSE - ERP =&gt; SOUS-SEGMENT'!$C$8:$C$1000=$C29)*'ANALYSE - ERP =&gt; SOUS-SEGMENT'!$Q$8:$Q$1000*'ANALYSE - ERP =&gt; SOUS-SEGMENT'!$HA$8:$HA$1000))</f>
        <v>71.735977500000004</v>
      </c>
      <c r="HB29" s="563">
        <f>IF($C29="","",SUMPRODUCT(('ANALYSE - ERP =&gt; SOUS-SEGMENT'!$C$8:$C$1000=$C29)*'ANALYSE - ERP =&gt; SOUS-SEGMENT'!$Q$8:$Q$1000*'ANALYSE - ERP =&gt; SOUS-SEGMENT'!$HB$8:$HB$1000))</f>
        <v>17.034880000000001</v>
      </c>
      <c r="HC29" s="563">
        <f t="shared" si="47"/>
        <v>44.512471249999997</v>
      </c>
      <c r="HD29" s="563">
        <f>IF($C29="","",SUMPRODUCT(('ANALYSE - ERP =&gt; SOUS-SEGMENT'!$C$8:$C$1000=$C29)*'ANALYSE - ERP =&gt; SOUS-SEGMENT'!$Q$8:$Q$1000*'ANALYSE - ERP =&gt; SOUS-SEGMENT'!$HD$8:$HD$1000))</f>
        <v>37.065361249999995</v>
      </c>
      <c r="HE29" s="563">
        <f>IF($C29="","",SUMPRODUCT(('ANALYSE - ERP =&gt; SOUS-SEGMENT'!$C$8:$C$1000=$C29)*'ANALYSE - ERP =&gt; SOUS-SEGMENT'!$Q$8:$Q$1000*'ANALYSE - ERP =&gt; SOUS-SEGMENT'!$HE$8:$HE$1000))</f>
        <v>7.4471100000000003</v>
      </c>
      <c r="HF29" s="563">
        <f t="shared" si="48"/>
        <v>106.69744045454544</v>
      </c>
      <c r="HG29" s="563">
        <f>IF($C29="","",SUMPRODUCT(('ANALYSE - ERP =&gt; SOUS-SEGMENT'!$C$8:$C$1000=$C29)*'ANALYSE - ERP =&gt; SOUS-SEGMENT'!$Q$8:$Q$1000*'ANALYSE - ERP =&gt; SOUS-SEGMENT'!$HG$8:$HG$1000))</f>
        <v>84.724580454545446</v>
      </c>
      <c r="HH29" s="563">
        <f>IF($C29="","",SUMPRODUCT(('ANALYSE - ERP =&gt; SOUS-SEGMENT'!$C$8:$C$1000=$C29)*'ANALYSE - ERP =&gt; SOUS-SEGMENT'!$Q$8:$Q$1000*'ANALYSE - ERP =&gt; SOUS-SEGMENT'!$HH$8:$HH$1000))</f>
        <v>21.972860000000001</v>
      </c>
      <c r="HI29" s="563">
        <f t="shared" si="49"/>
        <v>51.723838437499992</v>
      </c>
      <c r="HJ29" s="563">
        <f>IF($C29="","",SUMPRODUCT(('ANALYSE - ERP =&gt; SOUS-SEGMENT'!$C$8:$C$1000=$C29)*'ANALYSE - ERP =&gt; SOUS-SEGMENT'!$Q$8:$Q$1000*'ANALYSE - ERP =&gt; SOUS-SEGMENT'!$HJ$8:$HJ$1000))</f>
        <v>42.475698437499993</v>
      </c>
      <c r="HK29" s="563">
        <f>IF($C29="","",SUMPRODUCT(('ANALYSE - ERP =&gt; SOUS-SEGMENT'!$C$8:$C$1000=$C29)*'ANALYSE - ERP =&gt; SOUS-SEGMENT'!$Q$8:$Q$1000*'ANALYSE - ERP =&gt; SOUS-SEGMENT'!$HK$8:$HK$1000))</f>
        <v>9.2481399999999994</v>
      </c>
      <c r="HL29" s="563">
        <f t="shared" si="50"/>
        <v>60.02215666666666</v>
      </c>
      <c r="HM29" s="563">
        <f>IF($C29="","",SUMPRODUCT(('ANALYSE - ERP =&gt; SOUS-SEGMENT'!$C$8:$C$1000=$C29)*'ANALYSE - ERP =&gt; SOUS-SEGMENT'!$Q$8:$Q$1000*'ANALYSE - ERP =&gt; SOUS-SEGMENT'!$HM$8:$HM$1000))</f>
        <v>50.113266666666661</v>
      </c>
      <c r="HN29" s="563">
        <f>IF($C29="","",SUMPRODUCT(('ANALYSE - ERP =&gt; SOUS-SEGMENT'!$C$8:$C$1000=$C29)*'ANALYSE - ERP =&gt; SOUS-SEGMENT'!$Q$8:$Q$1000*'ANALYSE - ERP =&gt; SOUS-SEGMENT'!$HN$8:$HN$1000))</f>
        <v>9.9088899999999995</v>
      </c>
      <c r="HO29" s="563">
        <f t="shared" si="51"/>
        <v>928.4316727272726</v>
      </c>
      <c r="HP29" s="563">
        <f>IF($C29="","",SUMPRODUCT(('ANALYSE - ERP =&gt; SOUS-SEGMENT'!$C$8:$C$1000=$C29)*'ANALYSE - ERP =&gt; SOUS-SEGMENT'!$Q$8:$Q$1000*'ANALYSE - ERP =&gt; SOUS-SEGMENT'!$HP$8:$HP$1000))</f>
        <v>753.26607272727256</v>
      </c>
      <c r="HQ29" s="563">
        <f>IF($C29="","",SUMPRODUCT(('ANALYSE - ERP =&gt; SOUS-SEGMENT'!$C$8:$C$1000=$C29)*'ANALYSE - ERP =&gt; SOUS-SEGMENT'!$Q$8:$Q$1000*'ANALYSE - ERP =&gt; SOUS-SEGMENT'!$HQ$8:$HQ$1000))</f>
        <v>175.16559999999998</v>
      </c>
      <c r="HR29" s="563">
        <f t="shared" si="52"/>
        <v>323.5586945454545</v>
      </c>
      <c r="HS29" s="563">
        <f>IF($C29="","",SUMPRODUCT(('ANALYSE - ERP =&gt; SOUS-SEGMENT'!$C$8:$C$1000=$C29)*'ANALYSE - ERP =&gt; SOUS-SEGMENT'!$Q$8:$Q$1000*'ANALYSE - ERP =&gt; SOUS-SEGMENT'!$HS$8:$HS$1000))</f>
        <v>253.33813454545447</v>
      </c>
      <c r="HT29" s="563">
        <f>IF($C29="","",SUMPRODUCT(('ANALYSE - ERP =&gt; SOUS-SEGMENT'!$C$8:$C$1000=$C29)*'ANALYSE - ERP =&gt; SOUS-SEGMENT'!$Q$8:$Q$1000*'ANALYSE - ERP =&gt; SOUS-SEGMENT'!$HT$8:$HT$1000))</f>
        <v>70.220560000000006</v>
      </c>
      <c r="HU29" s="563">
        <f t="shared" si="53"/>
        <v>142.40926666666664</v>
      </c>
      <c r="HV29" s="563">
        <f>IF($C29="","",SUMPRODUCT(('ANALYSE - ERP =&gt; SOUS-SEGMENT'!$C$8:$C$1000=$C29)*'ANALYSE - ERP =&gt; SOUS-SEGMENT'!$Q$8:$Q$1000*'ANALYSE - ERP =&gt; SOUS-SEGMENT'!$HV$8:$HV$1000))</f>
        <v>110.94742666666664</v>
      </c>
      <c r="HW29" s="563">
        <f>IF($C29="","",SUMPRODUCT(('ANALYSE - ERP =&gt; SOUS-SEGMENT'!$C$8:$C$1000=$C29)*'ANALYSE - ERP =&gt; SOUS-SEGMENT'!$Q$8:$Q$1000*'ANALYSE - ERP =&gt; SOUS-SEGMENT'!$HW$8:$HW$1000))</f>
        <v>31.461840000000002</v>
      </c>
      <c r="HX29" s="544"/>
      <c r="HY29" s="568">
        <f t="shared" si="54"/>
        <v>9750</v>
      </c>
      <c r="HZ29" s="568">
        <f>IF($C29="","",SUMPRODUCT(('ANALYSE - ERP =&gt; SOUS-SEGMENT'!$C$8:$C$1000=$C29)*'ANALYSE - ERP =&gt; SOUS-SEGMENT'!$Q$8:$Q$1000*'ANALYSE - ERP =&gt; SOUS-SEGMENT'!$HZ$8:$HZ$1000))</f>
        <v>733.57500000000005</v>
      </c>
      <c r="IA29" s="568">
        <f>IF($C29="","",SUMPRODUCT(('ANALYSE - ERP =&gt; SOUS-SEGMENT'!$C$8:$C$1000=$C29)*'ANALYSE - ERP =&gt; SOUS-SEGMENT'!$Q$8:$Q$1000*'ANALYSE - ERP =&gt; SOUS-SEGMENT'!$IA$8:$IA$1000))</f>
        <v>2435.4149999999995</v>
      </c>
      <c r="IB29" s="568">
        <f>IF($C29="","",SUMPRODUCT(('ANALYSE - ERP =&gt; SOUS-SEGMENT'!$C$8:$C$1000=$C29)*'ANALYSE - ERP =&gt; SOUS-SEGMENT'!$Q$8:$Q$1000*'ANALYSE - ERP =&gt; SOUS-SEGMENT'!$IB$8:$IB$1000))</f>
        <v>2281.9300000000003</v>
      </c>
      <c r="IC29" s="568">
        <f>IF($C29="","",SUMPRODUCT(('ANALYSE - ERP =&gt; SOUS-SEGMENT'!$C$8:$C$1000=$C29)*'ANALYSE - ERP =&gt; SOUS-SEGMENT'!$Q$8:$Q$1000*'ANALYSE - ERP =&gt; SOUS-SEGMENT'!$IC$8:$IC$1000))</f>
        <v>3242.04</v>
      </c>
      <c r="ID29" s="568">
        <f>IF($C29="","",SUMPRODUCT(('ANALYSE - ERP =&gt; SOUS-SEGMENT'!$C$8:$C$1000=$C29)*'ANALYSE - ERP =&gt; SOUS-SEGMENT'!$Q$8:$Q$1000*'ANALYSE - ERP =&gt; SOUS-SEGMENT'!$ID$8:$ID$1000))</f>
        <v>1057.04</v>
      </c>
      <c r="IE29" s="568">
        <f t="shared" si="55"/>
        <v>3426.1493452662876</v>
      </c>
      <c r="IF29" s="568">
        <f>IF($C29="","",SUMPRODUCT(('ANALYSE - ERP =&gt; SOUS-SEGMENT'!$C$8:$C$1000=$C29)*'ANALYSE - ERP =&gt; SOUS-SEGMENT'!$Q$8:$Q$1000*'ANALYSE - ERP =&gt; SOUS-SEGMENT'!$IF$8:$IF$1000))</f>
        <v>156.48062784412829</v>
      </c>
      <c r="IG29" s="568">
        <f>IF($C29="","",SUMPRODUCT(('ANALYSE - ERP =&gt; SOUS-SEGMENT'!$C$8:$C$1000=$C29)*'ANALYSE - ERP =&gt; SOUS-SEGMENT'!$Q$8:$Q$1000*'ANALYSE - ERP =&gt; SOUS-SEGMENT'!$IG$8:$IG$1000))</f>
        <v>811.53200262535256</v>
      </c>
      <c r="IH29" s="568">
        <f>IF($C29="","",SUMPRODUCT(('ANALYSE - ERP =&gt; SOUS-SEGMENT'!$C$8:$C$1000=$C29)*'ANALYSE - ERP =&gt; SOUS-SEGMENT'!$Q$8:$Q$1000*'ANALYSE - ERP =&gt; SOUS-SEGMENT'!$IH$8:$IH$1000))</f>
        <v>765.43408822989795</v>
      </c>
      <c r="II29" s="568">
        <f>IF($C29="","",SUMPRODUCT(('ANALYSE - ERP =&gt; SOUS-SEGMENT'!$C$8:$C$1000=$C29)*'ANALYSE - ERP =&gt; SOUS-SEGMENT'!$Q$8:$Q$1000*'ANALYSE - ERP =&gt; SOUS-SEGMENT'!$II$8:$II$1000))</f>
        <v>1171.094337707515</v>
      </c>
      <c r="IJ29" s="568">
        <f>IF($C29="","",SUMPRODUCT(('ANALYSE - ERP =&gt; SOUS-SEGMENT'!$C$8:$C$1000=$C29)*'ANALYSE - ERP =&gt; SOUS-SEGMENT'!$Q$8:$Q$1000*'ANALYSE - ERP =&gt; SOUS-SEGMENT'!$IJ$8:$IJ$1000))</f>
        <v>521.60828885939384</v>
      </c>
      <c r="IK29" s="868">
        <f>IF($C29="","",IFERROR(SUMPRODUCT(('ANALYSE - ERP =&gt; SOUS-SEGMENT'!$C$8:$C$1000=$C29)*'ANALYSE - ERP =&gt; SOUS-SEGMENT'!$Q$8:$Q$1000*'ANALYSE - ERP =&gt; SOUS-SEGMENT'!$IE$8:$IE$1000*'ANALYSE - ERP =&gt; SOUS-SEGMENT'!$IK$8:$IK$1000)/SUMPRODUCT(('ANALYSE - ERP =&gt; SOUS-SEGMENT'!$C$8:$C$1000=$C29)*'ANALYSE - ERP =&gt; SOUS-SEGMENT'!$Q$8:$Q$1000*'ANALYSE - ERP =&gt; SOUS-SEGMENT'!$IE$8:$IE$1000),""))</f>
        <v>3.642631078201628</v>
      </c>
      <c r="IL29" s="962" t="s">
        <v>2780</v>
      </c>
      <c r="IM29" s="963" t="s">
        <v>5931</v>
      </c>
      <c r="IN29" s="529"/>
      <c r="IO29" s="742">
        <f>IF($C29="","",IFERROR(SUMPRODUCT(('ANALYSE - ERP =&gt; SOUS-SEGMENT'!$C$8:$C$1000=$C29)*'ANALYSE - ERP =&gt; SOUS-SEGMENT'!$Q$8:$Q$1000*'ANALYSE - ERP =&gt; SOUS-SEGMENT'!$BE$8:$BE$1000*'ANALYSE - ERP =&gt; SOUS-SEGMENT'!$IO$8:$IO$1000)/SUMPRODUCT(('ANALYSE - ERP =&gt; SOUS-SEGMENT'!$C$8:$C$1000=$C29)*'ANALYSE - ERP =&gt; SOUS-SEGMENT'!$Q$8:$Q$1000*'ANALYSE - ERP =&gt; SOUS-SEGMENT'!$BE$8:$BE$1000),""))</f>
        <v>6.9974999999999996E-2</v>
      </c>
      <c r="IP29" s="742">
        <f>IF($C29="","",IFERROR(SUMPRODUCT(('ANALYSE - ERP =&gt; SOUS-SEGMENT'!$C$8:$C$1000=$C29)*'ANALYSE - ERP =&gt; SOUS-SEGMENT'!$Q$8:$Q$1000*'ANALYSE - ERP =&gt; SOUS-SEGMENT'!$BE$8:$BE$1000*'ANALYSE - ERP =&gt; SOUS-SEGMENT'!$IP$8:$IP$1000)/SUMPRODUCT(('ANALYSE - ERP =&gt; SOUS-SEGMENT'!$C$8:$C$1000=$C29)*'ANALYSE - ERP =&gt; SOUS-SEGMENT'!$Q$8:$Q$1000*'ANALYSE - ERP =&gt; SOUS-SEGMENT'!$BE$8:$BE$1000),""))</f>
        <v>0.24318749999999997</v>
      </c>
      <c r="IQ29" s="742">
        <f>IF($C29="","",IFERROR(SUMPRODUCT(('ANALYSE - ERP =&gt; SOUS-SEGMENT'!$C$8:$C$1000=$C29)*'ANALYSE - ERP =&gt; SOUS-SEGMENT'!$Q$8:$Q$1000*'ANALYSE - ERP =&gt; SOUS-SEGMENT'!$BE$8:$BE$1000*'ANALYSE - ERP =&gt; SOUS-SEGMENT'!$IQ$8:$IQ$1000)/SUMPRODUCT(('ANALYSE - ERP =&gt; SOUS-SEGMENT'!$C$8:$C$1000=$C29)*'ANALYSE - ERP =&gt; SOUS-SEGMENT'!$Q$8:$Q$1000*'ANALYSE - ERP =&gt; SOUS-SEGMENT'!$BE$8:$BE$1000),""))</f>
        <v>0.23708749999999998</v>
      </c>
      <c r="IR29" s="742">
        <f>IF($C29="","",IFERROR(SUMPRODUCT(('ANALYSE - ERP =&gt; SOUS-SEGMENT'!$C$8:$C$1000=$C29)*'ANALYSE - ERP =&gt; SOUS-SEGMENT'!$Q$8:$Q$1000*'ANALYSE - ERP =&gt; SOUS-SEGMENT'!$BE$8:$BE$1000*'ANALYSE - ERP =&gt; SOUS-SEGMENT'!$IR$8:$IR$1000)/SUMPRODUCT(('ANALYSE - ERP =&gt; SOUS-SEGMENT'!$C$8:$C$1000=$C29)*'ANALYSE - ERP =&gt; SOUS-SEGMENT'!$Q$8:$Q$1000*'ANALYSE - ERP =&gt; SOUS-SEGMENT'!$BE$8:$BE$1000),""))</f>
        <v>0.33724999999999999</v>
      </c>
      <c r="IS29" s="742">
        <f>IF($C29="","",IFERROR(SUMPRODUCT(('ANALYSE - ERP =&gt; SOUS-SEGMENT'!$C$8:$C$1000=$C29)*'ANALYSE - ERP =&gt; SOUS-SEGMENT'!$Q$8:$Q$1000*'ANALYSE - ERP =&gt; SOUS-SEGMENT'!$BE$8:$BE$1000*'ANALYSE - ERP =&gt; SOUS-SEGMENT'!$IS$8:$IS$1000)/SUMPRODUCT(('ANALYSE - ERP =&gt; SOUS-SEGMENT'!$C$8:$C$1000=$C29)*'ANALYSE - ERP =&gt; SOUS-SEGMENT'!$Q$8:$Q$1000*'ANALYSE - ERP =&gt; SOUS-SEGMENT'!$BE$8:$BE$1000),""))</f>
        <v>0.1125</v>
      </c>
      <c r="IT29" s="742">
        <f>IF($C29="","",IFERROR(SUMPRODUCT(('ANALYSE - ERP =&gt; SOUS-SEGMENT'!$C$8:$C$1000=$C29)*'ANALYSE - ERP =&gt; SOUS-SEGMENT'!$Q$8:$Q$1000*'ANALYSE - ERP =&gt; SOUS-SEGMENT'!$FB$8:$FB$1000*'ANALYSE - ERP =&gt; SOUS-SEGMENT'!$IT$8:$IT$1000)/SUMPRODUCT(('ANALYSE - ERP =&gt; SOUS-SEGMENT'!$C$8:$C$1000=$C29)*'ANALYSE - ERP =&gt; SOUS-SEGMENT'!$Q$8:$Q$1000*'ANALYSE - ERP =&gt; SOUS-SEGMENT'!$FB$8:$FB$1000),""))</f>
        <v>4.2077298140666117E-2</v>
      </c>
      <c r="IU29" s="742">
        <f>IF($C29="","",IFERROR(SUMPRODUCT(('ANALYSE - ERP =&gt; SOUS-SEGMENT'!$C$8:$C$1000=$C29)*'ANALYSE - ERP =&gt; SOUS-SEGMENT'!$Q$8:$Q$1000*'ANALYSE - ERP =&gt; SOUS-SEGMENT'!$FB$8:$FB$1000*'ANALYSE - ERP =&gt; SOUS-SEGMENT'!$IU$8:$IU$1000)/SUMPRODUCT(('ANALYSE - ERP =&gt; SOUS-SEGMENT'!$C$8:$C$1000=$C29)*'ANALYSE - ERP =&gt; SOUS-SEGMENT'!$Q$8:$Q$1000*'ANALYSE - ERP =&gt; SOUS-SEGMENT'!$FB$8:$FB$1000),""))</f>
        <v>0.22928214186127366</v>
      </c>
      <c r="IV29" s="742">
        <f>IF($C29="","",IFERROR(SUMPRODUCT(('ANALYSE - ERP =&gt; SOUS-SEGMENT'!$C$8:$C$1000=$C29)*'ANALYSE - ERP =&gt; SOUS-SEGMENT'!$Q$8:$Q$1000*'ANALYSE - ERP =&gt; SOUS-SEGMENT'!$FB$8:$FB$1000*'ANALYSE - ERP =&gt; SOUS-SEGMENT'!$IV$8:$IV$1000)/SUMPRODUCT(('ANALYSE - ERP =&gt; SOUS-SEGMENT'!$C$8:$C$1000=$C29)*'ANALYSE - ERP =&gt; SOUS-SEGMENT'!$Q$8:$Q$1000*'ANALYSE - ERP =&gt; SOUS-SEGMENT'!$FB$8:$FB$1000),""))</f>
        <v>0.22409938103028129</v>
      </c>
      <c r="IW29" s="742">
        <f>IF($C29="","",IFERROR(SUMPRODUCT(('ANALYSE - ERP =&gt; SOUS-SEGMENT'!$C$8:$C$1000=$C29)*'ANALYSE - ERP =&gt; SOUS-SEGMENT'!$Q$8:$Q$1000*'ANALYSE - ERP =&gt; SOUS-SEGMENT'!$FB$8:$FB$1000*'ANALYSE - ERP =&gt; SOUS-SEGMENT'!$IW$8:$IW$1000)/SUMPRODUCT(('ANALYSE - ERP =&gt; SOUS-SEGMENT'!$C$8:$C$1000=$C29)*'ANALYSE - ERP =&gt; SOUS-SEGMENT'!$Q$8:$Q$1000*'ANALYSE - ERP =&gt; SOUS-SEGMENT'!$FB$8:$FB$1000),""))</f>
        <v>0.34771500124560478</v>
      </c>
      <c r="IX29" s="742">
        <f>IF($C29="","",IFERROR(SUMPRODUCT(('ANALYSE - ERP =&gt; SOUS-SEGMENT'!$C$8:$C$1000=$C29)*'ANALYSE - ERP =&gt; SOUS-SEGMENT'!$Q$8:$Q$1000*'ANALYSE - ERP =&gt; SOUS-SEGMENT'!$FB$8:$FB$1000*'ANALYSE - ERP =&gt; SOUS-SEGMENT'!$IX$8:$IX$1000)/SUMPRODUCT(('ANALYSE - ERP =&gt; SOUS-SEGMENT'!$C$8:$C$1000=$C29)*'ANALYSE - ERP =&gt; SOUS-SEGMENT'!$Q$8:$Q$1000*'ANALYSE - ERP =&gt; SOUS-SEGMENT'!$FB$8:$FB$1000),""))</f>
        <v>0.15682617772217425</v>
      </c>
      <c r="IY29" s="742">
        <f>IF($C29="","",IFERROR(SUMPRODUCT(('ANALYSE - ERP =&gt; SOUS-SEGMENT'!$C$8:$C$1000=$C29)*'ANALYSE - ERP =&gt; SOUS-SEGMENT'!$Q$8:$Q$1000*'ANALYSE - ERP =&gt; SOUS-SEGMENT'!$BF$8:$BF$1000*'ANALYSE - ERP =&gt; SOUS-SEGMENT'!$IY$8:$IY$1000)/SUMPRODUCT(('ANALYSE - ERP =&gt; SOUS-SEGMENT'!$C$8:$C$1000=$C29)*'ANALYSE - ERP =&gt; SOUS-SEGMENT'!$Q$8:$Q$1000*'ANALYSE - ERP =&gt; SOUS-SEGMENT'!$BF$8:$BF$1000),""))</f>
        <v>7.9971428571428568E-2</v>
      </c>
      <c r="IZ29" s="742">
        <f>IF($C29="","",IFERROR(SUMPRODUCT(('ANALYSE - ERP =&gt; SOUS-SEGMENT'!$C$8:$C$1000=$C29)*'ANALYSE - ERP =&gt; SOUS-SEGMENT'!$Q$8:$Q$1000*'ANALYSE - ERP =&gt; SOUS-SEGMENT'!$BF$8:$BF$1000*'ANALYSE - ERP =&gt; SOUS-SEGMENT'!$IZ$8:$IZ$1000)/SUMPRODUCT(('ANALYSE - ERP =&gt; SOUS-SEGMENT'!$C$8:$C$1000=$C29)*'ANALYSE - ERP =&gt; SOUS-SEGMENT'!$Q$8:$Q$1000*'ANALYSE - ERP =&gt; SOUS-SEGMENT'!$BF$8:$BF$1000),""))</f>
        <v>0.27792857142857141</v>
      </c>
      <c r="JA29" s="742">
        <f>IF($C29="","",IFERROR(SUMPRODUCT(('ANALYSE - ERP =&gt; SOUS-SEGMENT'!$C$8:$C$1000=$C29)*'ANALYSE - ERP =&gt; SOUS-SEGMENT'!$Q$8:$Q$1000*'ANALYSE - ERP =&gt; SOUS-SEGMENT'!$BF$8:$BF$1000*'ANALYSE - ERP =&gt; SOUS-SEGMENT'!$JA$8:$JA$1000)/SUMPRODUCT(('ANALYSE - ERP =&gt; SOUS-SEGMENT'!$C$8:$C$1000=$C29)*'ANALYSE - ERP =&gt; SOUS-SEGMENT'!$Q$8:$Q$1000*'ANALYSE - ERP =&gt; SOUS-SEGMENT'!$BF$8:$BF$1000),""))</f>
        <v>0.21541428571428575</v>
      </c>
      <c r="JB29" s="742">
        <f>IF($C29="","",IFERROR(SUMPRODUCT(('ANALYSE - ERP =&gt; SOUS-SEGMENT'!$C$8:$C$1000=$C29)*'ANALYSE - ERP =&gt; SOUS-SEGMENT'!$Q$8:$Q$1000*'ANALYSE - ERP =&gt; SOUS-SEGMENT'!$BF$8:$BF$1000*'ANALYSE - ERP =&gt; SOUS-SEGMENT'!$JB$8:$JB$1000)/SUMPRODUCT(('ANALYSE - ERP =&gt; SOUS-SEGMENT'!$C$8:$C$1000=$C29)*'ANALYSE - ERP =&gt; SOUS-SEGMENT'!$Q$8:$Q$1000*'ANALYSE - ERP =&gt; SOUS-SEGMENT'!$BF$8:$BF$1000),""))</f>
        <v>0.32382857142857147</v>
      </c>
      <c r="JC29" s="742">
        <f>IF($C29="","",IFERROR(SUMPRODUCT(('ANALYSE - ERP =&gt; SOUS-SEGMENT'!$C$8:$C$1000=$C29)*'ANALYSE - ERP =&gt; SOUS-SEGMENT'!$Q$8:$Q$1000*'ANALYSE - ERP =&gt; SOUS-SEGMENT'!$BF$8:$BF$1000*'ANALYSE - ERP =&gt; SOUS-SEGMENT'!$JC$8:$JC$1000)/SUMPRODUCT(('ANALYSE - ERP =&gt; SOUS-SEGMENT'!$C$8:$C$1000=$C29)*'ANALYSE - ERP =&gt; SOUS-SEGMENT'!$Q$8:$Q$1000*'ANALYSE - ERP =&gt; SOUS-SEGMENT'!$BF$8:$BF$1000),""))</f>
        <v>0.10285714285714286</v>
      </c>
      <c r="JD29" s="742">
        <f>IF($C29="","",IFERROR(SUMPRODUCT(('ANALYSE - ERP =&gt; SOUS-SEGMENT'!$C$8:$C$1000=$C29)*'ANALYSE - ERP =&gt; SOUS-SEGMENT'!$Q$8:$Q$1000*'ANALYSE - ERP =&gt; SOUS-SEGMENT'!$FE$8:$FE$1000*'ANALYSE - ERP =&gt; SOUS-SEGMENT'!$JD$8:$JD$1000)/SUMPRODUCT(('ANALYSE - ERP =&gt; SOUS-SEGMENT'!$C$8:$C$1000=$C29)*'ANALYSE - ERP =&gt; SOUS-SEGMENT'!$Q$8:$Q$1000*'ANALYSE - ERP =&gt; SOUS-SEGMENT'!$FE$8:$FE$1000),""))</f>
        <v>4.8014129601767444E-2</v>
      </c>
      <c r="JE29" s="742">
        <f>IF($C29="","",IFERROR(SUMPRODUCT(('ANALYSE - ERP =&gt; SOUS-SEGMENT'!$C$8:$C$1000=$C29)*'ANALYSE - ERP =&gt; SOUS-SEGMENT'!$Q$8:$Q$1000*'ANALYSE - ERP =&gt; SOUS-SEGMENT'!$FE$8:$FE$1000*'ANALYSE - ERP =&gt; SOUS-SEGMENT'!$JE$8:$JE$1000)/SUMPRODUCT(('ANALYSE - ERP =&gt; SOUS-SEGMENT'!$C$8:$C$1000=$C29)*'ANALYSE - ERP =&gt; SOUS-SEGMENT'!$Q$8:$Q$1000*'ANALYSE - ERP =&gt; SOUS-SEGMENT'!$FE$8:$FE$1000),""))</f>
        <v>0.26163235191326245</v>
      </c>
      <c r="JF29" s="742">
        <f>IF($C29="","",IFERROR(SUMPRODUCT(('ANALYSE - ERP =&gt; SOUS-SEGMENT'!$C$8:$C$1000=$C29)*'ANALYSE - ERP =&gt; SOUS-SEGMENT'!$Q$8:$Q$1000*'ANALYSE - ERP =&gt; SOUS-SEGMENT'!$FE$8:$FE$1000*'ANALYSE - ERP =&gt; SOUS-SEGMENT'!$JF$8:$JF$1000)/SUMPRODUCT(('ANALYSE - ERP =&gt; SOUS-SEGMENT'!$C$8:$C$1000=$C29)*'ANALYSE - ERP =&gt; SOUS-SEGMENT'!$Q$8:$Q$1000*'ANALYSE - ERP =&gt; SOUS-SEGMENT'!$FE$8:$FE$1000),""))</f>
        <v>0.22115223776648418</v>
      </c>
      <c r="JG29" s="742">
        <f>IF($C29="","",IFERROR(SUMPRODUCT(('ANALYSE - ERP =&gt; SOUS-SEGMENT'!$C$8:$C$1000=$C29)*'ANALYSE - ERP =&gt; SOUS-SEGMENT'!$Q$8:$Q$1000*'ANALYSE - ERP =&gt; SOUS-SEGMENT'!$FE$8:$FE$1000*'ANALYSE - ERP =&gt; SOUS-SEGMENT'!$JG$8:$JG$1000)/SUMPRODUCT(('ANALYSE - ERP =&gt; SOUS-SEGMENT'!$C$8:$C$1000=$C29)*'ANALYSE - ERP =&gt; SOUS-SEGMENT'!$Q$8:$Q$1000*'ANALYSE - ERP =&gt; SOUS-SEGMENT'!$FE$8:$FE$1000),""))</f>
        <v>0.32552131969494169</v>
      </c>
      <c r="JH29" s="742">
        <f>IF($C29="","",IFERROR(SUMPRODUCT(('ANALYSE - ERP =&gt; SOUS-SEGMENT'!$C$8:$C$1000=$C29)*'ANALYSE - ERP =&gt; SOUS-SEGMENT'!$Q$8:$Q$1000*'ANALYSE - ERP =&gt; SOUS-SEGMENT'!$FE$8:$FE$1000*'ANALYSE - ERP =&gt; SOUS-SEGMENT'!$JH$8:$JH$1000)/SUMPRODUCT(('ANALYSE - ERP =&gt; SOUS-SEGMENT'!$C$8:$C$1000=$C29)*'ANALYSE - ERP =&gt; SOUS-SEGMENT'!$Q$8:$Q$1000*'ANALYSE - ERP =&gt; SOUS-SEGMENT'!$FE$8:$FE$1000),""))</f>
        <v>0.14367996102354419</v>
      </c>
      <c r="JI29" s="742">
        <f>IF($C29="","",IFERROR(SUMPRODUCT(('ANALYSE - ERP =&gt; SOUS-SEGMENT'!$C$8:$C$1000=$C29)*'ANALYSE - ERP =&gt; SOUS-SEGMENT'!$Q$8:$Q$1000*'ANALYSE - ERP =&gt; SOUS-SEGMENT'!$BG$8:$BG$1000*'ANALYSE - ERP =&gt; SOUS-SEGMENT'!$JI$8:$JI$1000)/SUMPRODUCT(('ANALYSE - ERP =&gt; SOUS-SEGMENT'!$C$8:$C$1000=$C29)*'ANALYSE - ERP =&gt; SOUS-SEGMENT'!$Q$8:$Q$1000*'ANALYSE - ERP =&gt; SOUS-SEGMENT'!$BG$8:$BG$1000),""))</f>
        <v>8.2500000000000004E-2</v>
      </c>
      <c r="JJ29" s="742">
        <f>IF($C29="","",IFERROR(SUMPRODUCT(('ANALYSE - ERP =&gt; SOUS-SEGMENT'!$C$8:$C$1000=$C29)*'ANALYSE - ERP =&gt; SOUS-SEGMENT'!$Q$8:$Q$1000*'ANALYSE - ERP =&gt; SOUS-SEGMENT'!$BG$8:$BG$1000*'ANALYSE - ERP =&gt; SOUS-SEGMENT'!$JJ$8:$JJ$1000)/SUMPRODUCT(('ANALYSE - ERP =&gt; SOUS-SEGMENT'!$C$8:$C$1000=$C29)*'ANALYSE - ERP =&gt; SOUS-SEGMENT'!$Q$8:$Q$1000*'ANALYSE - ERP =&gt; SOUS-SEGMENT'!$BG$8:$BG$1000),""))</f>
        <v>0.18329999999999999</v>
      </c>
      <c r="JK29" s="742">
        <f>IF($C29="","",IFERROR(SUMPRODUCT(('ANALYSE - ERP =&gt; SOUS-SEGMENT'!$C$8:$C$1000=$C29)*'ANALYSE - ERP =&gt; SOUS-SEGMENT'!$Q$8:$Q$1000*'ANALYSE - ERP =&gt; SOUS-SEGMENT'!$BG$8:$BG$1000*'ANALYSE - ERP =&gt; SOUS-SEGMENT'!$JK$8:$JK$1000)/SUMPRODUCT(('ANALYSE - ERP =&gt; SOUS-SEGMENT'!$C$8:$C$1000=$C29)*'ANALYSE - ERP =&gt; SOUS-SEGMENT'!$Q$8:$Q$1000*'ANALYSE - ERP =&gt; SOUS-SEGMENT'!$BG$8:$BG$1000),""))</f>
        <v>0.31427272727272726</v>
      </c>
      <c r="JL29" s="742">
        <f>IF($C29="","",IFERROR(SUMPRODUCT(('ANALYSE - ERP =&gt; SOUS-SEGMENT'!$C$8:$C$1000=$C29)*'ANALYSE - ERP =&gt; SOUS-SEGMENT'!$Q$8:$Q$1000*'ANALYSE - ERP =&gt; SOUS-SEGMENT'!$BG$8:$BG$1000*'ANALYSE - ERP =&gt; SOUS-SEGMENT'!$JL$8:$JL$1000)/SUMPRODUCT(('ANALYSE - ERP =&gt; SOUS-SEGMENT'!$C$8:$C$1000=$C29)*'ANALYSE - ERP =&gt; SOUS-SEGMENT'!$Q$8:$Q$1000*'ANALYSE - ERP =&gt; SOUS-SEGMENT'!$BG$8:$BG$1000),""))</f>
        <v>0.33076363636363632</v>
      </c>
      <c r="JM29" s="742">
        <f>IF($C29="","",IFERROR(SUMPRODUCT(('ANALYSE - ERP =&gt; SOUS-SEGMENT'!$C$8:$C$1000=$C29)*'ANALYSE - ERP =&gt; SOUS-SEGMENT'!$Q$8:$Q$1000*'ANALYSE - ERP =&gt; SOUS-SEGMENT'!$BG$8:$BG$1000*'ANALYSE - ERP =&gt; SOUS-SEGMENT'!$JM$8:$JM$1000)/SUMPRODUCT(('ANALYSE - ERP =&gt; SOUS-SEGMENT'!$C$8:$C$1000=$C29)*'ANALYSE - ERP =&gt; SOUS-SEGMENT'!$Q$8:$Q$1000*'ANALYSE - ERP =&gt; SOUS-SEGMENT'!$BG$8:$BG$1000),""))</f>
        <v>8.9163636363636362E-2</v>
      </c>
      <c r="JN29" s="742">
        <f>IF($C29="","",IFERROR(SUMPRODUCT(('ANALYSE - ERP =&gt; SOUS-SEGMENT'!$C$8:$C$1000=$C29)*'ANALYSE - ERP =&gt; SOUS-SEGMENT'!$Q$8:$Q$1000*'ANALYSE - ERP =&gt; SOUS-SEGMENT'!$FH$8:$FH$1000*'ANALYSE - ERP =&gt; SOUS-SEGMENT'!$JN$8:$JN$1000)/SUMPRODUCT(('ANALYSE - ERP =&gt; SOUS-SEGMENT'!$C$8:$C$1000=$C29)*'ANALYSE - ERP =&gt; SOUS-SEGMENT'!$Q$8:$Q$1000*'ANALYSE - ERP =&gt; SOUS-SEGMENT'!$FH$8:$FH$1000),""))</f>
        <v>5.1948017496163533E-2</v>
      </c>
      <c r="JO29" s="742">
        <f>IF($C29="","",IFERROR(SUMPRODUCT(('ANALYSE - ERP =&gt; SOUS-SEGMENT'!$C$8:$C$1000=$C29)*'ANALYSE - ERP =&gt; SOUS-SEGMENT'!$Q$8:$Q$1000*'ANALYSE - ERP =&gt; SOUS-SEGMENT'!$FH$8:$FH$1000*'ANALYSE - ERP =&gt; SOUS-SEGMENT'!$JO$8:$JO$1000)/SUMPRODUCT(('ANALYSE - ERP =&gt; SOUS-SEGMENT'!$C$8:$C$1000=$C29)*'ANALYSE - ERP =&gt; SOUS-SEGMENT'!$Q$8:$Q$1000*'ANALYSE - ERP =&gt; SOUS-SEGMENT'!$FH$8:$FH$1000),""))</f>
        <v>0.17216905543184291</v>
      </c>
      <c r="JP29" s="742">
        <f>IF($C29="","",IFERROR(SUMPRODUCT(('ANALYSE - ERP =&gt; SOUS-SEGMENT'!$C$8:$C$1000=$C29)*'ANALYSE - ERP =&gt; SOUS-SEGMENT'!$Q$8:$Q$1000*'ANALYSE - ERP =&gt; SOUS-SEGMENT'!$FH$8:$FH$1000*'ANALYSE - ERP =&gt; SOUS-SEGMENT'!$JP$8:$JP$1000)/SUMPRODUCT(('ANALYSE - ERP =&gt; SOUS-SEGMENT'!$C$8:$C$1000=$C29)*'ANALYSE - ERP =&gt; SOUS-SEGMENT'!$Q$8:$Q$1000*'ANALYSE - ERP =&gt; SOUS-SEGMENT'!$FH$8:$FH$1000),""))</f>
        <v>0.25794974943553417</v>
      </c>
      <c r="JQ29" s="742">
        <f>IF($C29="","",IFERROR(SUMPRODUCT(('ANALYSE - ERP =&gt; SOUS-SEGMENT'!$C$8:$C$1000=$C29)*'ANALYSE - ERP =&gt; SOUS-SEGMENT'!$Q$8:$Q$1000*'ANALYSE - ERP =&gt; SOUS-SEGMENT'!$FH$8:$FH$1000*'ANALYSE - ERP =&gt; SOUS-SEGMENT'!$JQ$8:$JQ$1000)/SUMPRODUCT(('ANALYSE - ERP =&gt; SOUS-SEGMENT'!$C$8:$C$1000=$C29)*'ANALYSE - ERP =&gt; SOUS-SEGMENT'!$Q$8:$Q$1000*'ANALYSE - ERP =&gt; SOUS-SEGMENT'!$FH$8:$FH$1000),""))</f>
        <v>0.36852513859057112</v>
      </c>
      <c r="JR29" s="742">
        <f>IF($C29="","",IFERROR(SUMPRODUCT(('ANALYSE - ERP =&gt; SOUS-SEGMENT'!$C$8:$C$1000=$C29)*'ANALYSE - ERP =&gt; SOUS-SEGMENT'!$Q$8:$Q$1000*'ANALYSE - ERP =&gt; SOUS-SEGMENT'!$FH$8:$FH$1000*'ANALYSE - ERP =&gt; SOUS-SEGMENT'!$JR$8:$JR$1000)/SUMPRODUCT(('ANALYSE - ERP =&gt; SOUS-SEGMENT'!$C$8:$C$1000=$C29)*'ANALYSE - ERP =&gt; SOUS-SEGMENT'!$Q$8:$Q$1000*'ANALYSE - ERP =&gt; SOUS-SEGMENT'!$FH$8:$FH$1000),""))</f>
        <v>0.14940803904588831</v>
      </c>
      <c r="JS29" s="742">
        <f>IF($C29="","",IFERROR(SUMPRODUCT(('ANALYSE - ERP =&gt; SOUS-SEGMENT'!$C$8:$C$1000=$C29)*'ANALYSE - ERP =&gt; SOUS-SEGMENT'!$Q$8:$Q$1000*'ANALYSE - ERP =&gt; SOUS-SEGMENT'!$BH$8:$BH$1000*'ANALYSE - ERP =&gt; SOUS-SEGMENT'!$JS$8:$JS$1000)/SUMPRODUCT(('ANALYSE - ERP =&gt; SOUS-SEGMENT'!$C$8:$C$1000=$C29)*'ANALYSE - ERP =&gt; SOUS-SEGMENT'!$Q$8:$Q$1000*'ANALYSE - ERP =&gt; SOUS-SEGMENT'!$BH$8:$BH$1000),""))</f>
        <v>7.5112499999999999E-2</v>
      </c>
      <c r="JT29" s="742">
        <f>IF($C29="","",IFERROR(SUMPRODUCT(('ANALYSE - ERP =&gt; SOUS-SEGMENT'!$C$8:$C$1000=$C29)*'ANALYSE - ERP =&gt; SOUS-SEGMENT'!$Q$8:$Q$1000*'ANALYSE - ERP =&gt; SOUS-SEGMENT'!$BH$8:$BH$1000*'ANALYSE - ERP =&gt; SOUS-SEGMENT'!$JT$8:$JT$1000)/SUMPRODUCT(('ANALYSE - ERP =&gt; SOUS-SEGMENT'!$C$8:$C$1000=$C29)*'ANALYSE - ERP =&gt; SOUS-SEGMENT'!$Q$8:$Q$1000*'ANALYSE - ERP =&gt; SOUS-SEGMENT'!$BH$8:$BH$1000),""))</f>
        <v>0.24318749999999997</v>
      </c>
      <c r="JU29" s="742">
        <f>IF($C29="","",IFERROR(SUMPRODUCT(('ANALYSE - ERP =&gt; SOUS-SEGMENT'!$C$8:$C$1000=$C29)*'ANALYSE - ERP =&gt; SOUS-SEGMENT'!$Q$8:$Q$1000*'ANALYSE - ERP =&gt; SOUS-SEGMENT'!$BH$8:$BH$1000*'ANALYSE - ERP =&gt; SOUS-SEGMENT'!$JU$8:$JU$1000)/SUMPRODUCT(('ANALYSE - ERP =&gt; SOUS-SEGMENT'!$C$8:$C$1000=$C29)*'ANALYSE - ERP =&gt; SOUS-SEGMENT'!$Q$8:$Q$1000*'ANALYSE - ERP =&gt; SOUS-SEGMENT'!$BH$8:$BH$1000),""))</f>
        <v>0.23351250000000001</v>
      </c>
      <c r="JV29" s="742">
        <f>IF($C29="","",IFERROR(SUMPRODUCT(('ANALYSE - ERP =&gt; SOUS-SEGMENT'!$C$8:$C$1000=$C29)*'ANALYSE - ERP =&gt; SOUS-SEGMENT'!$Q$8:$Q$1000*'ANALYSE - ERP =&gt; SOUS-SEGMENT'!$BH$8:$BH$1000*'ANALYSE - ERP =&gt; SOUS-SEGMENT'!$JV$8:$JV$1000)/SUMPRODUCT(('ANALYSE - ERP =&gt; SOUS-SEGMENT'!$C$8:$C$1000=$C29)*'ANALYSE - ERP =&gt; SOUS-SEGMENT'!$Q$8:$Q$1000*'ANALYSE - ERP =&gt; SOUS-SEGMENT'!$BH$8:$BH$1000),""))</f>
        <v>0.33568750000000003</v>
      </c>
      <c r="JW29" s="742">
        <f>IF($C29="","",IFERROR(SUMPRODUCT(('ANALYSE - ERP =&gt; SOUS-SEGMENT'!$C$8:$C$1000=$C29)*'ANALYSE - ERP =&gt; SOUS-SEGMENT'!$Q$8:$Q$1000*'ANALYSE - ERP =&gt; SOUS-SEGMENT'!$BH$8:$BH$1000*'ANALYSE - ERP =&gt; SOUS-SEGMENT'!$JW$8:$JW$1000)/SUMPRODUCT(('ANALYSE - ERP =&gt; SOUS-SEGMENT'!$C$8:$C$1000=$C29)*'ANALYSE - ERP =&gt; SOUS-SEGMENT'!$Q$8:$Q$1000*'ANALYSE - ERP =&gt; SOUS-SEGMENT'!$BH$8:$BH$1000),""))</f>
        <v>0.1125</v>
      </c>
      <c r="JX29" s="742">
        <f>IF($C29="","",IFERROR(SUMPRODUCT(('ANALYSE - ERP =&gt; SOUS-SEGMENT'!$C$8:$C$1000=$C29)*'ANALYSE - ERP =&gt; SOUS-SEGMENT'!$Q$8:$Q$1000*'ANALYSE - ERP =&gt; SOUS-SEGMENT'!$FK$8:$FK$1000*'ANALYSE - ERP =&gt; SOUS-SEGMENT'!$JX$8:$JX$1000)/SUMPRODUCT(('ANALYSE - ERP =&gt; SOUS-SEGMENT'!$C$8:$C$1000=$C29)*'ANALYSE - ERP =&gt; SOUS-SEGMENT'!$Q$8:$Q$1000*'ANALYSE - ERP =&gt; SOUS-SEGMENT'!$FK$8:$FK$1000),""))</f>
        <v>4.54694552455513E-2</v>
      </c>
      <c r="JY29" s="742">
        <f>IF($C29="","",IFERROR(SUMPRODUCT(('ANALYSE - ERP =&gt; SOUS-SEGMENT'!$C$8:$C$1000=$C29)*'ANALYSE - ERP =&gt; SOUS-SEGMENT'!$Q$8:$Q$1000*'ANALYSE - ERP =&gt; SOUS-SEGMENT'!$FK$8:$FK$1000*'ANALYSE - ERP =&gt; SOUS-SEGMENT'!$JY$8:$JY$1000)/SUMPRODUCT(('ANALYSE - ERP =&gt; SOUS-SEGMENT'!$C$8:$C$1000=$C29)*'ANALYSE - ERP =&gt; SOUS-SEGMENT'!$Q$8:$Q$1000*'ANALYSE - ERP =&gt; SOUS-SEGMENT'!$FK$8:$FK$1000),""))</f>
        <v>0.23222565348997376</v>
      </c>
      <c r="JZ29" s="742">
        <f>IF($C29="","",IFERROR(SUMPRODUCT(('ANALYSE - ERP =&gt; SOUS-SEGMENT'!$C$8:$C$1000=$C29)*'ANALYSE - ERP =&gt; SOUS-SEGMENT'!$Q$8:$Q$1000*'ANALYSE - ERP =&gt; SOUS-SEGMENT'!$FK$8:$FK$1000*'ANALYSE - ERP =&gt; SOUS-SEGMENT'!$JZ$8:$JZ$1000)/SUMPRODUCT(('ANALYSE - ERP =&gt; SOUS-SEGMENT'!$C$8:$C$1000=$C29)*'ANALYSE - ERP =&gt; SOUS-SEGMENT'!$Q$8:$Q$1000*'ANALYSE - ERP =&gt; SOUS-SEGMENT'!$FK$8:$FK$1000),""))</f>
        <v>0.21833824558206461</v>
      </c>
      <c r="KA29" s="742">
        <f>IF($C29="","",IFERROR(SUMPRODUCT(('ANALYSE - ERP =&gt; SOUS-SEGMENT'!$C$8:$C$1000=$C29)*'ANALYSE - ERP =&gt; SOUS-SEGMENT'!$Q$8:$Q$1000*'ANALYSE - ERP =&gt; SOUS-SEGMENT'!$FK$8:$FK$1000*'ANALYSE - ERP =&gt; SOUS-SEGMENT'!$KA$8:$KA$1000)/SUMPRODUCT(('ANALYSE - ERP =&gt; SOUS-SEGMENT'!$C$8:$C$1000=$C29)*'ANALYSE - ERP =&gt; SOUS-SEGMENT'!$Q$8:$Q$1000*'ANALYSE - ERP =&gt; SOUS-SEGMENT'!$FK$8:$FK$1000),""))</f>
        <v>0.34706544839647935</v>
      </c>
      <c r="KB29" s="742">
        <f>IF($C29="","",IFERROR(SUMPRODUCT(('ANALYSE - ERP =&gt; SOUS-SEGMENT'!$C$8:$C$1000=$C29)*'ANALYSE - ERP =&gt; SOUS-SEGMENT'!$Q$8:$Q$1000*'ANALYSE - ERP =&gt; SOUS-SEGMENT'!$FK$8:$FK$1000*'ANALYSE - ERP =&gt; SOUS-SEGMENT'!$KB$8:$KB$1000)/SUMPRODUCT(('ANALYSE - ERP =&gt; SOUS-SEGMENT'!$C$8:$C$1000=$C29)*'ANALYSE - ERP =&gt; SOUS-SEGMENT'!$Q$8:$Q$1000*'ANALYSE - ERP =&gt; SOUS-SEGMENT'!$FK$8:$FK$1000),""))</f>
        <v>0.15690119728593099</v>
      </c>
      <c r="KC29" s="657"/>
      <c r="KD29" s="924" t="s">
        <v>2591</v>
      </c>
      <c r="KE29" s="924" t="s">
        <v>2591</v>
      </c>
      <c r="KF29" s="869">
        <f>IF($C29="","",IFERROR(SUMPRODUCT(('ANALYSE - ERP =&gt; SOUS-SEGMENT'!$C$8:$C$1000=$C29)*'ANALYSE - ERP =&gt; SOUS-SEGMENT'!$Q$8:$Q$1000*'ANALYSE - ERP =&gt; SOUS-SEGMENT'!$IE$8:$IE$1000*'ANALYSE - ERP =&gt; SOUS-SEGMENT'!$KF$8:$KF$1000)/SUMPRODUCT(('ANALYSE - ERP =&gt; SOUS-SEGMENT'!$C$8:$C$1000=$C29)*'ANALYSE - ERP =&gt; SOUS-SEGMENT'!$Q$8:$Q$1000*'ANALYSE - ERP =&gt; SOUS-SEGMENT'!$IE$8:$IE$1000),""))</f>
        <v>3.5087702606720939</v>
      </c>
      <c r="KG29" s="924" t="s">
        <v>5932</v>
      </c>
      <c r="KH29" s="924" t="s">
        <v>5933</v>
      </c>
      <c r="KI29" s="924" t="s">
        <v>5934</v>
      </c>
      <c r="KJ29" s="924" t="s">
        <v>5935</v>
      </c>
    </row>
    <row r="30" spans="1:296" ht="120" customHeight="1">
      <c r="A30" s="951">
        <f>IF($C30="","",ROWS($A$8:A30))</f>
        <v>23</v>
      </c>
      <c r="B30" s="952" t="s">
        <v>4135</v>
      </c>
      <c r="C30" s="952" t="s">
        <v>4268</v>
      </c>
      <c r="D30" s="952" t="s">
        <v>5936</v>
      </c>
      <c r="E30" s="277" t="s">
        <v>5937</v>
      </c>
      <c r="F30" s="646" t="s">
        <v>5938</v>
      </c>
      <c r="G30" s="646" t="s">
        <v>5939</v>
      </c>
      <c r="H30" s="646" t="s">
        <v>5940</v>
      </c>
      <c r="I30" s="646" t="s">
        <v>5941</v>
      </c>
      <c r="J30" s="646" t="s">
        <v>5942</v>
      </c>
      <c r="K30" s="646" t="s">
        <v>2109</v>
      </c>
      <c r="L30" s="646" t="s">
        <v>2109</v>
      </c>
      <c r="M30" s="646" t="s">
        <v>2603</v>
      </c>
      <c r="N30" s="646" t="s">
        <v>5943</v>
      </c>
      <c r="O30" s="646" t="s">
        <v>5944</v>
      </c>
      <c r="P30" s="646"/>
      <c r="Q30" s="270">
        <f>IF($C30="","",IF(SUMIFS('ANALYSE - ERP =&gt; SOUS-SEGMENT'!$Q$8:$Q$1000,'ANALYSE - ERP =&gt; SOUS-SEGMENT'!$C$8:$C$1000,$C30)&gt;0,1,0))</f>
        <v>1</v>
      </c>
      <c r="R30" s="278">
        <f>IF($C30="","",IFERROR(SUMPRODUCT(('ANALYSE - ERP =&gt; SOUS-SEGMENT'!$C$8:$C$1000=$C30)*'ANALYSE - ERP =&gt; SOUS-SEGMENT'!$Q$8:$Q$1000*'ANALYSE - ERP =&gt; SOUS-SEGMENT'!$AF$8:$AF$1000*'ANALYSE - ERP =&gt; SOUS-SEGMENT'!$R$8:$R$1000)/SUMPRODUCT(('ANALYSE - ERP =&gt; SOUS-SEGMENT'!$C$8:$C$1000=$C30)*'ANALYSE - ERP =&gt; SOUS-SEGMENT'!$Q$8:$Q$1000*'ANALYSE - ERP =&gt; SOUS-SEGMENT'!$AF$8:$AF$1000),""))</f>
        <v>16852.551984877126</v>
      </c>
      <c r="S30" s="279">
        <f>IF($C30="","",SUMPRODUCT(('ANALYSE - ERP =&gt; SOUS-SEGMENT'!$C$8:$C$1000=$C30)*'ANALYSE - ERP =&gt; SOUS-SEGMENT'!$Q$8:$Q$1000*'ANALYSE - ERP =&gt; SOUS-SEGMENT'!$S$8:$S$1000))</f>
        <v>8652</v>
      </c>
      <c r="T30" s="279">
        <f>IF($C30="","",SUMPRODUCT(('ANALYSE - ERP =&gt; SOUS-SEGMENT'!$C$8:$C$1000=$C30)*'ANALYSE - ERP =&gt; SOUS-SEGMENT'!$Q$8:$Q$1000*'ANALYSE - ERP =&gt; SOUS-SEGMENT'!$T$8:$T$1000))</f>
        <v>8650</v>
      </c>
      <c r="U30" s="279">
        <f>IF($C30="","",SUMPRODUCT(('ANALYSE - ERP =&gt; SOUS-SEGMENT'!$C$8:$C$1000=$C30)*'ANALYSE - ERP =&gt; SOUS-SEGMENT'!$Q$8:$Q$1000*'ANALYSE - ERP =&gt; SOUS-SEGMENT'!$U$8:$U$1000))</f>
        <v>8528</v>
      </c>
      <c r="V30" s="279">
        <f>IF($C30="","",SUMPRODUCT(('ANALYSE - ERP =&gt; SOUS-SEGMENT'!$C$8:$C$1000=$C30)*'ANALYSE - ERP =&gt; SOUS-SEGMENT'!$Q$8:$Q$1000*'ANALYSE - ERP =&gt; SOUS-SEGMENT'!$V$8:$V$1000))</f>
        <v>8294</v>
      </c>
      <c r="W30" s="279">
        <f>IF($C30="","",SUMPRODUCT(('ANALYSE - ERP =&gt; SOUS-SEGMENT'!$C$8:$C$1000=$C30)*'ANALYSE - ERP =&gt; SOUS-SEGMENT'!$Q$8:$Q$1000*'ANALYSE - ERP =&gt; SOUS-SEGMENT'!$W$8:$W$1000))</f>
        <v>8243</v>
      </c>
      <c r="X30" s="279">
        <f>IF($C30="","",SUMPRODUCT(('ANALYSE - ERP =&gt; SOUS-SEGMENT'!$C$8:$C$1000=$C30)*'ANALYSE - ERP =&gt; SOUS-SEGMENT'!$Q$8:$Q$1000*'ANALYSE - ERP =&gt; SOUS-SEGMENT'!$X$8:$X$1000))</f>
        <v>8188</v>
      </c>
      <c r="Y30" s="279">
        <f>IF($C30="","",SUMPRODUCT(('ANALYSE - ERP =&gt; SOUS-SEGMENT'!$C$8:$C$1000=$C30)*'ANALYSE - ERP =&gt; SOUS-SEGMENT'!$Q$8:$Q$1000*'ANALYSE - ERP =&gt; SOUS-SEGMENT'!$Y$8:$Y$1000))</f>
        <v>8134</v>
      </c>
      <c r="Z30" s="279">
        <f>IF($C30="","",SUMPRODUCT(('ANALYSE - ERP =&gt; SOUS-SEGMENT'!$C$8:$C$1000=$C30)*'ANALYSE - ERP =&gt; SOUS-SEGMENT'!$Q$8:$Q$1000*'ANALYSE - ERP =&gt; SOUS-SEGMENT'!$Z$8:$Z$1000))</f>
        <v>8081</v>
      </c>
      <c r="AA30" s="279">
        <f>IF($C30="","",SUMPRODUCT(('ANALYSE - ERP =&gt; SOUS-SEGMENT'!$C$8:$C$1000=$C30)*'ANALYSE - ERP =&gt; SOUS-SEGMENT'!$Q$8:$Q$1000*'ANALYSE - ERP =&gt; SOUS-SEGMENT'!$AA$8:$AA$1000))</f>
        <v>7549</v>
      </c>
      <c r="AB30" s="279">
        <f>IF($C30="","",SUMPRODUCT(('ANALYSE - ERP =&gt; SOUS-SEGMENT'!$C$8:$C$1000=$C30)*'ANALYSE - ERP =&gt; SOUS-SEGMENT'!$Q$8:$Q$1000*'ANALYSE - ERP =&gt; SOUS-SEGMENT'!$AB$8:$AB$1000))</f>
        <v>7423</v>
      </c>
      <c r="AC30" s="279">
        <f>IF($C30="","",SUMPRODUCT(('ANALYSE - ERP =&gt; SOUS-SEGMENT'!$C$8:$C$1000=$C30)*'ANALYSE - ERP =&gt; SOUS-SEGMENT'!$Q$8:$Q$1000*'ANALYSE - ERP =&gt; SOUS-SEGMENT'!$AC$8:$AC$1000))</f>
        <v>7772</v>
      </c>
      <c r="AD30" s="279">
        <f>IF($C30="","",SUMPRODUCT(('ANALYSE - ERP =&gt; SOUS-SEGMENT'!$C$8:$C$1000=$C30)*'ANALYSE - ERP =&gt; SOUS-SEGMENT'!$Q$8:$Q$1000*'ANALYSE - ERP =&gt; SOUS-SEGMENT'!$AD$8:$AD$1000))</f>
        <v>7982</v>
      </c>
      <c r="AE30" s="279">
        <f>IF($C30="","",SUMPRODUCT(('ANALYSE - ERP =&gt; SOUS-SEGMENT'!$C$8:$C$1000=$C30)*'ANALYSE - ERP =&gt; SOUS-SEGMENT'!$Q$8:$Q$1000*'ANALYSE - ERP =&gt; SOUS-SEGMENT'!$AE$8:$AE$1000))</f>
        <v>7956</v>
      </c>
      <c r="AF30" s="279">
        <f>IF($C30="","",SUMPRODUCT(('ANALYSE - ERP =&gt; SOUS-SEGMENT'!$C$8:$C$1000=$C30)*'ANALYSE - ERP =&gt; SOUS-SEGMENT'!$Q$8:$Q$1000*'ANALYSE - ERP =&gt; SOUS-SEGMENT'!$AF$8:$AF$1000))</f>
        <v>7935</v>
      </c>
      <c r="AG30" s="279">
        <f>IF($C30="","",SUMPRODUCT(('ANALYSE - ERP =&gt; SOUS-SEGMENT'!$C$8:$C$1000=$C30)*'ANALYSE - ERP =&gt; SOUS-SEGMENT'!$Q$8:$Q$1000*'ANALYSE - ERP =&gt; SOUS-SEGMENT'!$AG$8:$AG$1000))</f>
        <v>7908</v>
      </c>
      <c r="AH30" s="279">
        <f>IF($C30="","",SUMPRODUCT(('ANALYSE - ERP =&gt; SOUS-SEGMENT'!$C$8:$C$1000=$C30)*'ANALYSE - ERP =&gt; SOUS-SEGMENT'!$Q$8:$Q$1000*'ANALYSE - ERP =&gt; SOUS-SEGMENT'!$AH$8:$AH$1000))</f>
        <v>7885</v>
      </c>
      <c r="AI30" s="279">
        <f>IF($C30="","",SUMPRODUCT(('ANALYSE - ERP =&gt; SOUS-SEGMENT'!$C$8:$C$1000=$C30)*'ANALYSE - ERP =&gt; SOUS-SEGMENT'!$Q$8:$Q$1000*'ANALYSE - ERP =&gt; SOUS-SEGMENT'!$AI$8:$AI$1000))</f>
        <v>7860</v>
      </c>
      <c r="AJ30" s="279">
        <f>IF($C30="","",SUMPRODUCT(('ANALYSE - ERP =&gt; SOUS-SEGMENT'!$C$8:$C$1000=$C30)*'ANALYSE - ERP =&gt; SOUS-SEGMENT'!$Q$8:$Q$1000*'ANALYSE - ERP =&gt; SOUS-SEGMENT'!$AJ$8:$AJ$1000))</f>
        <v>7835</v>
      </c>
      <c r="AK30" s="279">
        <f>IF($C30="","",SUMPRODUCT(('ANALYSE - ERP =&gt; SOUS-SEGMENT'!$C$8:$C$1000=$C30)*'ANALYSE - ERP =&gt; SOUS-SEGMENT'!$Q$8:$Q$1000*'ANALYSE - ERP =&gt; SOUS-SEGMENT'!$AK$8:$AK$1000))</f>
        <v>7810</v>
      </c>
      <c r="AL30" s="646" t="s">
        <v>5945</v>
      </c>
      <c r="AM30" s="646" t="s">
        <v>4273</v>
      </c>
      <c r="AN30" s="646" t="s">
        <v>5946</v>
      </c>
      <c r="AO30" s="657"/>
      <c r="AP30" s="278">
        <f>IF($C30="","",IFERROR(SUMPRODUCT(('ANALYSE - ERP =&gt; SOUS-SEGMENT'!$C$8:$C$1000=$C30)*'ANALYSE - ERP =&gt; SOUS-SEGMENT'!$Q$8:$Q$1000*'ANALYSE - ERP =&gt; SOUS-SEGMENT'!$AF$8:$AF$1000*'ANALYSE - ERP =&gt; SOUS-SEGMENT'!$AP$8:$AP$1000)/SUMPRODUCT(('ANALYSE - ERP =&gt; SOUS-SEGMENT'!$C$8:$C$1000=$C30)*'ANALYSE - ERP =&gt; SOUS-SEGMENT'!$Q$8:$Q$1000*'ANALYSE - ERP =&gt; SOUS-SEGMENT'!$AF$8:$AF$1000),""))</f>
        <v>262.57088846880907</v>
      </c>
      <c r="AQ30" s="278">
        <f>IF($C30="","",IFERROR(SUMPRODUCT(('ANALYSE - ERP =&gt; SOUS-SEGMENT'!$C$8:$C$1000=$C30)*'ANALYSE - ERP =&gt; SOUS-SEGMENT'!$Q$8:$Q$1000*'ANALYSE - ERP =&gt; SOUS-SEGMENT'!$AF$8:$AF$1000*'ANALYSE - ERP =&gt; SOUS-SEGMENT'!$AQ$8:$AQ$1000)/SUMPRODUCT(('ANALYSE - ERP =&gt; SOUS-SEGMENT'!$C$8:$C$1000=$C30)*'ANALYSE - ERP =&gt; SOUS-SEGMENT'!$Q$8:$Q$1000*'ANALYSE - ERP =&gt; SOUS-SEGMENT'!$AF$8:$AF$1000),""))</f>
        <v>235.97353497164463</v>
      </c>
      <c r="AR30" s="278">
        <f>IF($C30="","",IFERROR(SUMPRODUCT(('ANALYSE - ERP =&gt; SOUS-SEGMENT'!$C$8:$C$1000=$C30)*'ANALYSE - ERP =&gt; SOUS-SEGMENT'!$Q$8:$Q$1000*'ANALYSE - ERP =&gt; SOUS-SEGMENT'!$AF$8:$AF$1000*'ANALYSE - ERP =&gt; SOUS-SEGMENT'!$AR$8:$AR$1000)/SUMPRODUCT(('ANALYSE - ERP =&gt; SOUS-SEGMENT'!$C$8:$C$1000=$C30)*'ANALYSE - ERP =&gt; SOUS-SEGMENT'!$Q$8:$Q$1000*'ANALYSE - ERP =&gt; SOUS-SEGMENT'!$AF$8:$AF$1000),""))</f>
        <v>21.277882797731568</v>
      </c>
      <c r="AS30" s="278">
        <f>IF($C30="","",IFERROR(SUMPRODUCT(('ANALYSE - ERP =&gt; SOUS-SEGMENT'!$C$8:$C$1000=$C30)*'ANALYSE - ERP =&gt; SOUS-SEGMENT'!$Q$8:$Q$1000*'ANALYSE - ERP =&gt; SOUS-SEGMENT'!$AF$8:$AF$1000*'ANALYSE - ERP =&gt; SOUS-SEGMENT'!$AS$8:$AS$1000)/SUMPRODUCT(('ANALYSE - ERP =&gt; SOUS-SEGMENT'!$C$8:$C$1000=$C30)*'ANALYSE - ERP =&gt; SOUS-SEGMENT'!$Q$8:$Q$1000*'ANALYSE - ERP =&gt; SOUS-SEGMENT'!$AF$8:$AF$1000),""))</f>
        <v>5.319470699432892</v>
      </c>
      <c r="AT30" s="657"/>
      <c r="AU30" s="646" t="s">
        <v>5947</v>
      </c>
      <c r="AV30" s="646" t="s">
        <v>5948</v>
      </c>
      <c r="AW30" s="646" t="s">
        <v>5949</v>
      </c>
      <c r="AX30" s="646" t="s">
        <v>5950</v>
      </c>
      <c r="AY30" s="657"/>
      <c r="AZ30" s="947">
        <f>IF($C30="","",IFERROR(SUMPRODUCT(('ANALYSE - ERP =&gt; SOUS-SEGMENT'!$C$8:$C$1000=$C30)*'ANALYSE - ERP =&gt; SOUS-SEGMENT'!$Q$8:$Q$1000*'ANALYSE - ERP =&gt; SOUS-SEGMENT'!$AF$8:$AF$1000*'ANALYSE - ERP =&gt; SOUS-SEGMENT'!$AZ$8:$AZ$1000)/SUMPRODUCT(('ANALYSE - ERP =&gt; SOUS-SEGMENT'!$C$8:$C$1000=$C30)*'ANALYSE - ERP =&gt; SOUS-SEGMENT'!$Q$8:$Q$1000*'ANALYSE - ERP =&gt; SOUS-SEGMENT'!$AF$8:$AF$1000),""))</f>
        <v>18.298676748582231</v>
      </c>
      <c r="BA30" s="947">
        <f>IF($C30="","",IFERROR(SUMPRODUCT(('ANALYSE - ERP =&gt; SOUS-SEGMENT'!$C$8:$C$1000=$C30)*'ANALYSE - ERP =&gt; SOUS-SEGMENT'!$Q$8:$Q$1000*'ANALYSE - ERP =&gt; SOUS-SEGMENT'!$AF$8:$AF$1000*'ANALYSE - ERP =&gt; SOUS-SEGMENT'!$BA$8:$BA$1000)/SUMPRODUCT(('ANALYSE - ERP =&gt; SOUS-SEGMENT'!$C$8:$C$1000=$C30)*'ANALYSE - ERP =&gt; SOUS-SEGMENT'!$Q$8:$Q$1000*'ANALYSE - ERP =&gt; SOUS-SEGMENT'!$AF$8:$AF$1000),""))</f>
        <v>14.638941398865784</v>
      </c>
      <c r="BB30" s="947">
        <f>IF($C30="","",IFERROR(SUMPRODUCT(('ANALYSE - ERP =&gt; SOUS-SEGMENT'!$C$8:$C$1000=$C30)*'ANALYSE - ERP =&gt; SOUS-SEGMENT'!$Q$8:$Q$1000*'ANALYSE - ERP =&gt; SOUS-SEGMENT'!$AF$8:$AF$1000*'ANALYSE - ERP =&gt; SOUS-SEGMENT'!$BB$8:$BB$1000)/SUMPRODUCT(('ANALYSE - ERP =&gt; SOUS-SEGMENT'!$C$8:$C$1000=$C30)*'ANALYSE - ERP =&gt; SOUS-SEGMENT'!$Q$8:$Q$1000*'ANALYSE - ERP =&gt; SOUS-SEGMENT'!$AF$8:$AF$1000),""))</f>
        <v>2.9045368620037806</v>
      </c>
      <c r="BC30" s="947">
        <f>IF($C30="","",IFERROR(SUMPRODUCT(('ANALYSE - ERP =&gt; SOUS-SEGMENT'!$C$8:$C$1000=$C30)*'ANALYSE - ERP =&gt; SOUS-SEGMENT'!$Q$8:$Q$1000*'ANALYSE - ERP =&gt; SOUS-SEGMENT'!$AF$8:$AF$1000*'ANALYSE - ERP =&gt; SOUS-SEGMENT'!$BC$8:$BC$1000)/SUMPRODUCT(('ANALYSE - ERP =&gt; SOUS-SEGMENT'!$C$8:$C$1000=$C30)*'ANALYSE - ERP =&gt; SOUS-SEGMENT'!$Q$8:$Q$1000*'ANALYSE - ERP =&gt; SOUS-SEGMENT'!$AF$8:$AF$1000),""))</f>
        <v>14.638941398865784</v>
      </c>
      <c r="BD30" s="826">
        <f t="shared" si="1"/>
        <v>400567.5</v>
      </c>
      <c r="BE30" s="283">
        <f>IF($C30="","",SUMPRODUCT(('ANALYSE - ERP =&gt; SOUS-SEGMENT'!$C$8:$C$1000=$C30)*'ANALYSE - ERP =&gt; SOUS-SEGMENT'!$Q$8:$Q$1000*'ANALYSE - ERP =&gt; SOUS-SEGMENT'!$BE$8:$BE$1000))</f>
        <v>145200</v>
      </c>
      <c r="BF30" s="283">
        <f>IF($C30="","",SUMPRODUCT(('ANALYSE - ERP =&gt; SOUS-SEGMENT'!$C$8:$C$1000=$C30)*'ANALYSE - ERP =&gt; SOUS-SEGMENT'!$Q$8:$Q$1000*'ANALYSE - ERP =&gt; SOUS-SEGMENT'!$BF$8:$BF$1000))</f>
        <v>116160</v>
      </c>
      <c r="BG30" s="283">
        <f>IF($C30="","",SUMPRODUCT(('ANALYSE - ERP =&gt; SOUS-SEGMENT'!$C$8:$C$1000=$C30)*'ANALYSE - ERP =&gt; SOUS-SEGMENT'!$Q$8:$Q$1000*'ANALYSE - ERP =&gt; SOUS-SEGMENT'!$BG$8:$BG$1000))</f>
        <v>23047.5</v>
      </c>
      <c r="BH30" s="283">
        <f>IF($C30="","",SUMPRODUCT(('ANALYSE - ERP =&gt; SOUS-SEGMENT'!$C$8:$C$1000=$C30)*'ANALYSE - ERP =&gt; SOUS-SEGMENT'!$Q$8:$Q$1000*'ANALYSE - ERP =&gt; SOUS-SEGMENT'!$BH$8:$BH$1000))</f>
        <v>116160</v>
      </c>
      <c r="BI30" s="826">
        <f t="shared" si="2"/>
        <v>394220</v>
      </c>
      <c r="BJ30" s="283">
        <f>IF($C30="","",SUMPRODUCT(('ANALYSE - ERP =&gt; SOUS-SEGMENT'!$C$8:$C$1000=$C30)*'ANALYSE - ERP =&gt; SOUS-SEGMENT'!$Q$8:$Q$1000*'ANALYSE - ERP =&gt; SOUS-SEGMENT'!$BJ$8:$BJ$1000))</f>
        <v>142900</v>
      </c>
      <c r="BK30" s="283">
        <f>IF($C30="","",SUMPRODUCT(('ANALYSE - ERP =&gt; SOUS-SEGMENT'!$C$8:$C$1000=$C30)*'ANALYSE - ERP =&gt; SOUS-SEGMENT'!$Q$8:$Q$1000*'ANALYSE - ERP =&gt; SOUS-SEGMENT'!$BK$8:$BK$1000))</f>
        <v>114320</v>
      </c>
      <c r="BL30" s="283">
        <f>IF($C30="","",SUMPRODUCT(('ANALYSE - ERP =&gt; SOUS-SEGMENT'!$C$8:$C$1000=$C30)*'ANALYSE - ERP =&gt; SOUS-SEGMENT'!$Q$8:$Q$1000*'ANALYSE - ERP =&gt; SOUS-SEGMENT'!$BL$8:$BL$1000))</f>
        <v>22680</v>
      </c>
      <c r="BM30" s="283">
        <f>IF($C30="","",SUMPRODUCT(('ANALYSE - ERP =&gt; SOUS-SEGMENT'!$C$8:$C$1000=$C30)*'ANALYSE - ERP =&gt; SOUS-SEGMENT'!$Q$8:$Q$1000*'ANALYSE - ERP =&gt; SOUS-SEGMENT'!$BM$8:$BM$1000))</f>
        <v>114320</v>
      </c>
      <c r="BN30" s="657"/>
      <c r="BO30" s="305">
        <f t="shared" si="3"/>
        <v>0.21673553719008265</v>
      </c>
      <c r="BP30" s="305">
        <f t="shared" si="4"/>
        <v>0.65582644628099174</v>
      </c>
      <c r="BQ30" s="305">
        <f t="shared" si="5"/>
        <v>4.7438016528925618E-2</v>
      </c>
      <c r="BR30" s="581">
        <f t="shared" si="6"/>
        <v>0.08</v>
      </c>
      <c r="BS30" s="706">
        <f t="shared" si="7"/>
        <v>0.19489153254023792</v>
      </c>
      <c r="BT30" s="305">
        <f t="shared" si="8"/>
        <v>0.66580125962211334</v>
      </c>
      <c r="BU30" s="305">
        <f t="shared" si="9"/>
        <v>6.930720783764871E-2</v>
      </c>
      <c r="BV30" s="581">
        <f t="shared" si="10"/>
        <v>7.0000000000000007E-2</v>
      </c>
      <c r="BW30" s="713">
        <f t="shared" si="11"/>
        <v>0.3778925619834711</v>
      </c>
      <c r="BX30" s="306">
        <f t="shared" si="12"/>
        <v>0.57024793388429751</v>
      </c>
      <c r="BY30" s="590">
        <f t="shared" si="13"/>
        <v>5.1859504132231407E-2</v>
      </c>
      <c r="BZ30" s="713">
        <f t="shared" si="14"/>
        <v>0.32792162351294613</v>
      </c>
      <c r="CA30" s="306">
        <f t="shared" si="15"/>
        <v>0.60928621413575923</v>
      </c>
      <c r="CB30" s="590">
        <f t="shared" si="16"/>
        <v>6.2792162351294603E-2</v>
      </c>
      <c r="CC30" s="706">
        <f t="shared" si="17"/>
        <v>0.15</v>
      </c>
      <c r="CD30" s="305">
        <f t="shared" si="18"/>
        <v>0.45</v>
      </c>
      <c r="CE30" s="305">
        <f t="shared" si="19"/>
        <v>0.1</v>
      </c>
      <c r="CF30" s="581">
        <f t="shared" si="20"/>
        <v>0.3</v>
      </c>
      <c r="CG30" s="706">
        <f t="shared" si="21"/>
        <v>0.13</v>
      </c>
      <c r="CH30" s="305">
        <f t="shared" si="22"/>
        <v>0.45</v>
      </c>
      <c r="CI30" s="305">
        <f t="shared" si="23"/>
        <v>0.12</v>
      </c>
      <c r="CJ30" s="581">
        <f t="shared" si="24"/>
        <v>0.3</v>
      </c>
      <c r="CK30" s="719">
        <f t="shared" si="25"/>
        <v>0.68605371900826451</v>
      </c>
      <c r="CL30" s="307">
        <f t="shared" si="26"/>
        <v>0.21394628099173554</v>
      </c>
      <c r="CM30" s="723">
        <f t="shared" si="27"/>
        <v>0.1</v>
      </c>
      <c r="CN30" s="719">
        <f t="shared" si="28"/>
        <v>0.6313855843247026</v>
      </c>
      <c r="CO30" s="307">
        <f t="shared" si="29"/>
        <v>0.23675297410776766</v>
      </c>
      <c r="CP30" s="723">
        <f t="shared" si="30"/>
        <v>0.13186144156752974</v>
      </c>
      <c r="CQ30" s="657"/>
      <c r="CR30" s="804">
        <f>IF($C30="","",IFERROR(SUMPRODUCT(('ANALYSE - ERP =&gt; SOUS-SEGMENT'!$C$8:$C$1000=$C30)*'ANALYSE - ERP =&gt; SOUS-SEGMENT'!$Q$8:$Q$1000*'ANALYSE - ERP =&gt; SOUS-SEGMENT'!$DH$8:$DH$1000*'ANALYSE - ERP =&gt; SOUS-SEGMENT'!$CR$8:$CR$1000)/SUMPRODUCT(('ANALYSE - ERP =&gt; SOUS-SEGMENT'!$C$8:$C$1000=$C30)*'ANALYSE - ERP =&gt; SOUS-SEGMENT'!$Q$8:$Q$1000*'ANALYSE - ERP =&gt; SOUS-SEGMENT'!$DH$8:$DH$1000),""))</f>
        <v>12</v>
      </c>
      <c r="CS30" s="805">
        <f>IF($C30="","",IFERROR(SUMPRODUCT(('ANALYSE - ERP =&gt; SOUS-SEGMENT'!$C$8:$C$1000=$C30)*'ANALYSE - ERP =&gt; SOUS-SEGMENT'!$Q$8:$Q$1000*'ANALYSE - ERP =&gt; SOUS-SEGMENT'!$DI$8:$DI$1000*'ANALYSE - ERP =&gt; SOUS-SEGMENT'!$CS$8:$CS$1000)/SUMPRODUCT(('ANALYSE - ERP =&gt; SOUS-SEGMENT'!$C$8:$C$1000=$C30)*'ANALYSE - ERP =&gt; SOUS-SEGMENT'!$Q$8:$Q$1000*'ANALYSE - ERP =&gt; SOUS-SEGMENT'!$DI$8:$DI$1000),""))</f>
        <v>12.059542561905362</v>
      </c>
      <c r="CT30" s="805">
        <f>IF($C30="","",IFERROR(SUMPRODUCT(('ANALYSE - ERP =&gt; SOUS-SEGMENT'!$C$8:$C$1000=$C30)*'ANALYSE - ERP =&gt; SOUS-SEGMENT'!$Q$8:$Q$1000*'ANALYSE - ERP =&gt; SOUS-SEGMENT'!$DJ$8:$DJ$1000*'ANALYSE - ERP =&gt; SOUS-SEGMENT'!$CT$8:$CT$1000)/SUMPRODUCT(('ANALYSE - ERP =&gt; SOUS-SEGMENT'!$C$8:$C$1000=$C30)*'ANALYSE - ERP =&gt; SOUS-SEGMENT'!$Q$8:$Q$1000*'ANALYSE - ERP =&gt; SOUS-SEGMENT'!$DJ$8:$DJ$1000),""))</f>
        <v>9</v>
      </c>
      <c r="CU30" s="806">
        <f>IF($C30="","",IFERROR(SUMPRODUCT(('ANALYSE - ERP =&gt; SOUS-SEGMENT'!$C$8:$C$1000=$C30)*'ANALYSE - ERP =&gt; SOUS-SEGMENT'!$Q$8:$Q$1000*'ANALYSE - ERP =&gt; SOUS-SEGMENT'!$DK$8:$DK$1000*'ANALYSE - ERP =&gt; SOUS-SEGMENT'!$CU$8:$CU$1000)/SUMPRODUCT(('ANALYSE - ERP =&gt; SOUS-SEGMENT'!$C$8:$C$1000=$C30)*'ANALYSE - ERP =&gt; SOUS-SEGMENT'!$Q$8:$Q$1000*'ANALYSE - ERP =&gt; SOUS-SEGMENT'!$DK$8:$DK$1000),""))</f>
        <v>11</v>
      </c>
      <c r="CV30" s="804">
        <f>IF($C30="","",IFERROR(SUMPRODUCT(('ANALYSE - ERP =&gt; SOUS-SEGMENT'!$C$8:$C$1000=$C30)*'ANALYSE - ERP =&gt; SOUS-SEGMENT'!$Q$8:$Q$1000*'ANALYSE - ERP =&gt; SOUS-SEGMENT'!$DS$8:$DS$1000*'ANALYSE - ERP =&gt; SOUS-SEGMENT'!$CV$8:$CV$1000)/SUMPRODUCT(('ANALYSE - ERP =&gt; SOUS-SEGMENT'!$C$8:$C$1000=$C30)*'ANALYSE - ERP =&gt; SOUS-SEGMENT'!$Q$8:$Q$1000*'ANALYSE - ERP =&gt; SOUS-SEGMENT'!$DS$8:$DS$1000),""))</f>
        <v>10.159923455440131</v>
      </c>
      <c r="CW30" s="805">
        <f>IF($C30="","",IFERROR(SUMPRODUCT(('ANALYSE - ERP =&gt; SOUS-SEGMENT'!$C$8:$C$1000=$C30)*'ANALYSE - ERP =&gt; SOUS-SEGMENT'!$Q$8:$Q$1000*'ANALYSE - ERP =&gt; SOUS-SEGMENT'!$DT$8:$DT$1000*'ANALYSE - ERP =&gt; SOUS-SEGMENT'!$CW$8:$CW$1000)/SUMPRODUCT(('ANALYSE - ERP =&gt; SOUS-SEGMENT'!$C$8:$C$1000=$C30)*'ANALYSE - ERP =&gt; SOUS-SEGMENT'!$Q$8:$Q$1000*'ANALYSE - ERP =&gt; SOUS-SEGMENT'!$DT$8:$DT$1000),""))</f>
        <v>10</v>
      </c>
      <c r="CX30" s="806">
        <f>IF($C30="","",IFERROR(SUMPRODUCT(('ANALYSE - ERP =&gt; SOUS-SEGMENT'!$C$8:$C$1000=$C30)*'ANALYSE - ERP =&gt; SOUS-SEGMENT'!$Q$8:$Q$1000*'ANALYSE - ERP =&gt; SOUS-SEGMENT'!$DU$8:$DU$1000*'ANALYSE - ERP =&gt; SOUS-SEGMENT'!$CX$8:$CX$1000)/SUMPRODUCT(('ANALYSE - ERP =&gt; SOUS-SEGMENT'!$C$8:$C$1000=$C30)*'ANALYSE - ERP =&gt; SOUS-SEGMENT'!$Q$8:$Q$1000*'ANALYSE - ERP =&gt; SOUS-SEGMENT'!$DU$8:$DU$1000),""))</f>
        <v>8</v>
      </c>
      <c r="CY30" s="804">
        <f>IF($C30="","",IFERROR(SUMPRODUCT(('ANALYSE - ERP =&gt; SOUS-SEGMENT'!$C$8:$C$1000=$C30)*'ANALYSE - ERP =&gt; SOUS-SEGMENT'!$Q$8:$Q$1000*'ANALYSE - ERP =&gt; SOUS-SEGMENT'!$EB$8:$EB$1000*'ANALYSE - ERP =&gt; SOUS-SEGMENT'!$CY$8:$CY$1000)/SUMPRODUCT(('ANALYSE - ERP =&gt; SOUS-SEGMENT'!$C$8:$C$1000=$C30)*'ANALYSE - ERP =&gt; SOUS-SEGMENT'!$Q$8:$Q$1000*'ANALYSE - ERP =&gt; SOUS-SEGMENT'!$EB$8:$EB$1000),""))</f>
        <v>10</v>
      </c>
      <c r="CZ30" s="805">
        <f>IF($C30="","",IFERROR(SUMPRODUCT(('ANALYSE - ERP =&gt; SOUS-SEGMENT'!$C$8:$C$1000=$C30)*'ANALYSE - ERP =&gt; SOUS-SEGMENT'!$Q$8:$Q$1000*'ANALYSE - ERP =&gt; SOUS-SEGMENT'!$EC$8:$EC$1000*'ANALYSE - ERP =&gt; SOUS-SEGMENT'!$CZ$8:$CZ$1000)/SUMPRODUCT(('ANALYSE - ERP =&gt; SOUS-SEGMENT'!$C$8:$C$1000=$C30)*'ANALYSE - ERP =&gt; SOUS-SEGMENT'!$Q$8:$Q$1000*'ANALYSE - ERP =&gt; SOUS-SEGMENT'!$EC$8:$EC$1000),""))</f>
        <v>11</v>
      </c>
      <c r="DA30" s="805">
        <f>IF($C30="","",IFERROR(SUMPRODUCT(('ANALYSE - ERP =&gt; SOUS-SEGMENT'!$C$8:$C$1000=$C30)*'ANALYSE - ERP =&gt; SOUS-SEGMENT'!$Q$8:$Q$1000*'ANALYSE - ERP =&gt; SOUS-SEGMENT'!$ED$8:$ED$1000*'ANALYSE - ERP =&gt; SOUS-SEGMENT'!$DA$8:$DA$1000)/SUMPRODUCT(('ANALYSE - ERP =&gt; SOUS-SEGMENT'!$C$8:$C$1000=$C30)*'ANALYSE - ERP =&gt; SOUS-SEGMENT'!$Q$8:$Q$1000*'ANALYSE - ERP =&gt; SOUS-SEGMENT'!$ED$8:$ED$1000),""))</f>
        <v>8</v>
      </c>
      <c r="DB30" s="806">
        <f>IF($C30="","",IFERROR(SUMPRODUCT(('ANALYSE - ERP =&gt; SOUS-SEGMENT'!$C$8:$C$1000=$C30)*'ANALYSE - ERP =&gt; SOUS-SEGMENT'!$Q$8:$Q$1000*'ANALYSE - ERP =&gt; SOUS-SEGMENT'!$EE$8:$EE$1000*'ANALYSE - ERP =&gt; SOUS-SEGMENT'!$DB$8:$DB$1000)/SUMPRODUCT(('ANALYSE - ERP =&gt; SOUS-SEGMENT'!$C$8:$C$1000=$C30)*'ANALYSE - ERP =&gt; SOUS-SEGMENT'!$Q$8:$Q$1000*'ANALYSE - ERP =&gt; SOUS-SEGMENT'!$EE$8:$EE$1000),""))</f>
        <v>9</v>
      </c>
      <c r="DC30" s="804">
        <f>IF($C30="","",IFERROR(SUMPRODUCT(('ANALYSE - ERP =&gt; SOUS-SEGMENT'!$C$8:$C$1000=$C30)*'ANALYSE - ERP =&gt; SOUS-SEGMENT'!$Q$8:$Q$1000*'ANALYSE - ERP =&gt; SOUS-SEGMENT'!$EM$8:$EM$1000*'ANALYSE - ERP =&gt; SOUS-SEGMENT'!$DC$8:$DC$1000)/SUMPRODUCT(('ANALYSE - ERP =&gt; SOUS-SEGMENT'!$C$8:$C$1000=$C30)*'ANALYSE - ERP =&gt; SOUS-SEGMENT'!$Q$8:$Q$1000*'ANALYSE - ERP =&gt; SOUS-SEGMENT'!$EM$8:$EM$1000),""))</f>
        <v>11.149073934648396</v>
      </c>
      <c r="DD30" s="805">
        <f>IF($C30="","",IFERROR(SUMPRODUCT(('ANALYSE - ERP =&gt; SOUS-SEGMENT'!$C$8:$C$1000=$C30)*'ANALYSE - ERP =&gt; SOUS-SEGMENT'!$Q$8:$Q$1000*'ANALYSE - ERP =&gt; SOUS-SEGMENT'!$EN$8:$EN$1000*'ANALYSE - ERP =&gt; SOUS-SEGMENT'!$DD$8:$DD$1000)/SUMPRODUCT(('ANALYSE - ERP =&gt; SOUS-SEGMENT'!$C$8:$C$1000=$C30)*'ANALYSE - ERP =&gt; SOUS-SEGMENT'!$Q$8:$Q$1000*'ANALYSE - ERP =&gt; SOUS-SEGMENT'!$EN$8:$EN$1000),""))</f>
        <v>11.30420086914534</v>
      </c>
      <c r="DE30" s="806">
        <f>IF($C30="","",IFERROR(SUMPRODUCT(('ANALYSE - ERP =&gt; SOUS-SEGMENT'!$C$8:$C$1000=$C30)*'ANALYSE - ERP =&gt; SOUS-SEGMENT'!$Q$8:$Q$1000*'ANALYSE - ERP =&gt; SOUS-SEGMENT'!$EO$8:$EO$1000*'ANALYSE - ERP =&gt; SOUS-SEGMENT'!$DE$8:$DE$1000)/SUMPRODUCT(('ANALYSE - ERP =&gt; SOUS-SEGMENT'!$C$8:$C$1000=$C30)*'ANALYSE - ERP =&gt; SOUS-SEGMENT'!$Q$8:$Q$1000*'ANALYSE - ERP =&gt; SOUS-SEGMENT'!$EO$8:$EO$1000),""))</f>
        <v>9</v>
      </c>
      <c r="DF30" s="919" t="s">
        <v>5951</v>
      </c>
      <c r="DG30" s="657"/>
      <c r="DH30" s="308">
        <f>IF($C30="","",SUMPRODUCT(('ANALYSE - ERP =&gt; SOUS-SEGMENT'!$C$8:$C$1000=$C30)*'ANALYSE - ERP =&gt; SOUS-SEGMENT'!$Q$8:$Q$1000*'ANALYSE - ERP =&gt; SOUS-SEGMENT'!$DH$8:$DH$1000))</f>
        <v>31470</v>
      </c>
      <c r="DI30" s="308">
        <f>IF($C30="","",SUMPRODUCT(('ANALYSE - ERP =&gt; SOUS-SEGMENT'!$C$8:$C$1000=$C30)*'ANALYSE - ERP =&gt; SOUS-SEGMENT'!$Q$8:$Q$1000*'ANALYSE - ERP =&gt; SOUS-SEGMENT'!$DI$8:$DI$1000))</f>
        <v>95226</v>
      </c>
      <c r="DJ30" s="308">
        <f>IF($C30="","",SUMPRODUCT(('ANALYSE - ERP =&gt; SOUS-SEGMENT'!$C$8:$C$1000=$C30)*'ANALYSE - ERP =&gt; SOUS-SEGMENT'!$Q$8:$Q$1000*'ANALYSE - ERP =&gt; SOUS-SEGMENT'!$DJ$8:$DJ$1000))</f>
        <v>6888</v>
      </c>
      <c r="DK30" s="308">
        <f>IF($C30="","",SUMPRODUCT(('ANALYSE - ERP =&gt; SOUS-SEGMENT'!$C$8:$C$1000=$C30)*'ANALYSE - ERP =&gt; SOUS-SEGMENT'!$Q$8:$Q$1000*'ANALYSE - ERP =&gt; SOUS-SEGMENT'!$DK$8:$DK$1000))</f>
        <v>11616</v>
      </c>
      <c r="DL30" s="646" t="s">
        <v>5952</v>
      </c>
      <c r="DM30" s="308">
        <f>IF($C30="","",SUMPRODUCT(('ANALYSE - ERP =&gt; SOUS-SEGMENT'!$C$8:$C$1000=$C30)*'ANALYSE - ERP =&gt; SOUS-SEGMENT'!$Q$8:$Q$1000*'ANALYSE - ERP =&gt; SOUS-SEGMENT'!$DM$8:$DM$1000))</f>
        <v>27850</v>
      </c>
      <c r="DN30" s="308">
        <f>IF($C30="","",SUMPRODUCT(('ANALYSE - ERP =&gt; SOUS-SEGMENT'!$C$8:$C$1000=$C30)*'ANALYSE - ERP =&gt; SOUS-SEGMENT'!$Q$8:$Q$1000*'ANALYSE - ERP =&gt; SOUS-SEGMENT'!$DN$8:$DN$1000))</f>
        <v>95143</v>
      </c>
      <c r="DO30" s="308">
        <f>IF($C30="","",SUMPRODUCT(('ANALYSE - ERP =&gt; SOUS-SEGMENT'!$C$8:$C$1000=$C30)*'ANALYSE - ERP =&gt; SOUS-SEGMENT'!$Q$8:$Q$1000*'ANALYSE - ERP =&gt; SOUS-SEGMENT'!$DO$8:$DO$1000))</f>
        <v>9904</v>
      </c>
      <c r="DP30" s="308">
        <f>IF($C30="","",SUMPRODUCT(('ANALYSE - ERP =&gt; SOUS-SEGMENT'!$C$8:$C$1000=$C30)*'ANALYSE - ERP =&gt; SOUS-SEGMENT'!$Q$8:$Q$1000*'ANALYSE - ERP =&gt; SOUS-SEGMENT'!$DP$8:$DP$1000))</f>
        <v>10003</v>
      </c>
      <c r="DQ30" s="646" t="s">
        <v>5953</v>
      </c>
      <c r="DR30" s="657"/>
      <c r="DS30" s="308">
        <f>IF($C30="","",SUMPRODUCT(('ANALYSE - ERP =&gt; SOUS-SEGMENT'!$C$8:$C$1000=$C30)*'ANALYSE - ERP =&gt; SOUS-SEGMENT'!$Q$8:$Q$1000*'ANALYSE - ERP =&gt; SOUS-SEGMENT'!$DS$8:$DS$1000))</f>
        <v>43896</v>
      </c>
      <c r="DT30" s="308">
        <f>IF($C30="","",SUMPRODUCT(('ANALYSE - ERP =&gt; SOUS-SEGMENT'!$C$8:$C$1000=$C30)*'ANALYSE - ERP =&gt; SOUS-SEGMENT'!$Q$8:$Q$1000*'ANALYSE - ERP =&gt; SOUS-SEGMENT'!$DT$8:$DT$1000))</f>
        <v>66240</v>
      </c>
      <c r="DU30" s="308">
        <f>IF($C30="","",SUMPRODUCT(('ANALYSE - ERP =&gt; SOUS-SEGMENT'!$C$8:$C$1000=$C30)*'ANALYSE - ERP =&gt; SOUS-SEGMENT'!$Q$8:$Q$1000*'ANALYSE - ERP =&gt; SOUS-SEGMENT'!$DU$8:$DU$1000))</f>
        <v>6024</v>
      </c>
      <c r="DV30" s="646" t="s">
        <v>5954</v>
      </c>
      <c r="DW30" s="308">
        <f>IF($C30="","",SUMPRODUCT(('ANALYSE - ERP =&gt; SOUS-SEGMENT'!$C$8:$C$1000=$C30)*'ANALYSE - ERP =&gt; SOUS-SEGMENT'!$Q$8:$Q$1000*'ANALYSE - ERP =&gt; SOUS-SEGMENT'!$DW$8:$DW$1000))</f>
        <v>37488</v>
      </c>
      <c r="DX30" s="308">
        <f>IF($C30="","",SUMPRODUCT(('ANALYSE - ERP =&gt; SOUS-SEGMENT'!$C$8:$C$1000=$C30)*'ANALYSE - ERP =&gt; SOUS-SEGMENT'!$Q$8:$Q$1000*'ANALYSE - ERP =&gt; SOUS-SEGMENT'!$DX$8:$DX$1000))</f>
        <v>69653.599999999991</v>
      </c>
      <c r="DY30" s="308">
        <f>IF($C30="","",SUMPRODUCT(('ANALYSE - ERP =&gt; SOUS-SEGMENT'!$C$8:$C$1000=$C30)*'ANALYSE - ERP =&gt; SOUS-SEGMENT'!$Q$8:$Q$1000*'ANALYSE - ERP =&gt; SOUS-SEGMENT'!$DY$8:$DY$1000))</f>
        <v>7178.4</v>
      </c>
      <c r="DZ30" s="646" t="s">
        <v>5955</v>
      </c>
      <c r="EA30" s="657"/>
      <c r="EB30" s="308">
        <f>IF($C30="","",SUMPRODUCT(('ANALYSE - ERP =&gt; SOUS-SEGMENT'!$C$8:$C$1000=$C30)*'ANALYSE - ERP =&gt; SOUS-SEGMENT'!$Q$8:$Q$1000*'ANALYSE - ERP =&gt; SOUS-SEGMENT'!$EB$8:$EB$1000))</f>
        <v>3457.125</v>
      </c>
      <c r="EC30" s="308">
        <f>IF($C30="","",SUMPRODUCT(('ANALYSE - ERP =&gt; SOUS-SEGMENT'!$C$8:$C$1000=$C30)*'ANALYSE - ERP =&gt; SOUS-SEGMENT'!$Q$8:$Q$1000*'ANALYSE - ERP =&gt; SOUS-SEGMENT'!$EC$8:$EC$1000))</f>
        <v>10371.375</v>
      </c>
      <c r="ED30" s="308">
        <f>IF($C30="","",SUMPRODUCT(('ANALYSE - ERP =&gt; SOUS-SEGMENT'!$C$8:$C$1000=$C30)*'ANALYSE - ERP =&gt; SOUS-SEGMENT'!$Q$8:$Q$1000*'ANALYSE - ERP =&gt; SOUS-SEGMENT'!$ED$8:$ED$1000))</f>
        <v>2304.75</v>
      </c>
      <c r="EE30" s="308">
        <f>IF($C30="","",SUMPRODUCT(('ANALYSE - ERP =&gt; SOUS-SEGMENT'!$C$8:$C$1000=$C30)*'ANALYSE - ERP =&gt; SOUS-SEGMENT'!$Q$8:$Q$1000*'ANALYSE - ERP =&gt; SOUS-SEGMENT'!$EE$8:$EE$1000))</f>
        <v>6914.25</v>
      </c>
      <c r="EF30" s="646" t="s">
        <v>5956</v>
      </c>
      <c r="EG30" s="308">
        <f>IF($C30="","",SUMPRODUCT(('ANALYSE - ERP =&gt; SOUS-SEGMENT'!$C$8:$C$1000=$C30)*'ANALYSE - ERP =&gt; SOUS-SEGMENT'!$Q$8:$Q$1000*'ANALYSE - ERP =&gt; SOUS-SEGMENT'!$EG$8:$EG$1000))</f>
        <v>2948.4</v>
      </c>
      <c r="EH30" s="308">
        <f>IF($C30="","",SUMPRODUCT(('ANALYSE - ERP =&gt; SOUS-SEGMENT'!$C$8:$C$1000=$C30)*'ANALYSE - ERP =&gt; SOUS-SEGMENT'!$Q$8:$Q$1000*'ANALYSE - ERP =&gt; SOUS-SEGMENT'!$EH$8:$EH$1000))</f>
        <v>10206</v>
      </c>
      <c r="EI30" s="308">
        <f>IF($C30="","",SUMPRODUCT(('ANALYSE - ERP =&gt; SOUS-SEGMENT'!$C$8:$C$1000=$C30)*'ANALYSE - ERP =&gt; SOUS-SEGMENT'!$Q$8:$Q$1000*'ANALYSE - ERP =&gt; SOUS-SEGMENT'!$EI$8:$EI$1000))</f>
        <v>2721.6</v>
      </c>
      <c r="EJ30" s="308">
        <f>IF($C30="","",SUMPRODUCT(('ANALYSE - ERP =&gt; SOUS-SEGMENT'!$C$8:$C$1000=$C30)*'ANALYSE - ERP =&gt; SOUS-SEGMENT'!$Q$8:$Q$1000*'ANALYSE - ERP =&gt; SOUS-SEGMENT'!$EJ$8:$EJ$1000))</f>
        <v>6804</v>
      </c>
      <c r="EK30" s="936" t="s">
        <v>5957</v>
      </c>
      <c r="EL30" s="657"/>
      <c r="EM30" s="308">
        <f>IF($C30="","",SUMPRODUCT(('ANALYSE - ERP =&gt; SOUS-SEGMENT'!$C$8:$C$1000=$C30)*'ANALYSE - ERP =&gt; SOUS-SEGMENT'!$Q$8:$Q$1000*'ANALYSE - ERP =&gt; SOUS-SEGMENT'!$EM$8:$EM$1000))</f>
        <v>79692</v>
      </c>
      <c r="EN30" s="310">
        <f>IF($C30="","",SUMPRODUCT(('ANALYSE - ERP =&gt; SOUS-SEGMENT'!$C$8:$C$1000=$C30)*'ANALYSE - ERP =&gt; SOUS-SEGMENT'!$Q$8:$Q$1000*'ANALYSE - ERP =&gt; SOUS-SEGMENT'!$EN$8:$EN$1000))</f>
        <v>24852</v>
      </c>
      <c r="EO30" s="310">
        <f>IF($C30="","",SUMPRODUCT(('ANALYSE - ERP =&gt; SOUS-SEGMENT'!$C$8:$C$1000=$C30)*'ANALYSE - ERP =&gt; SOUS-SEGMENT'!$Q$8:$Q$1000*'ANALYSE - ERP =&gt; SOUS-SEGMENT'!$EO$8:$EO$1000))</f>
        <v>11616</v>
      </c>
      <c r="EP30" s="646" t="s">
        <v>5958</v>
      </c>
      <c r="EQ30" s="308">
        <f>IF($C30="","",SUMPRODUCT(('ANALYSE - ERP =&gt; SOUS-SEGMENT'!$C$8:$C$1000=$C30)*'ANALYSE - ERP =&gt; SOUS-SEGMENT'!$Q$8:$Q$1000*'ANALYSE - ERP =&gt; SOUS-SEGMENT'!$EQ$8:$EQ$1000))</f>
        <v>72180</v>
      </c>
      <c r="ER30" s="310">
        <f>IF($C30="","",SUMPRODUCT(('ANALYSE - ERP =&gt; SOUS-SEGMENT'!$C$8:$C$1000=$C30)*'ANALYSE - ERP =&gt; SOUS-SEGMENT'!$Q$8:$Q$1000*'ANALYSE - ERP =&gt; SOUS-SEGMENT'!$ER$8:$ER$1000))</f>
        <v>27065.599999999999</v>
      </c>
      <c r="ES30" s="310">
        <f>IF($C30="","",SUMPRODUCT(('ANALYSE - ERP =&gt; SOUS-SEGMENT'!$C$8:$C$1000=$C30)*'ANALYSE - ERP =&gt; SOUS-SEGMENT'!$Q$8:$Q$1000*'ANALYSE - ERP =&gt; SOUS-SEGMENT'!$ES$8:$ES$1000))</f>
        <v>15074.4</v>
      </c>
      <c r="ET30" s="646" t="s">
        <v>5959</v>
      </c>
      <c r="EU30" s="657"/>
      <c r="EV30" s="728">
        <f t="shared" si="31"/>
        <v>0.86847536758413835</v>
      </c>
      <c r="EW30" s="728">
        <f t="shared" si="32"/>
        <v>0.13152463241586165</v>
      </c>
      <c r="EX30" s="311">
        <f t="shared" si="33"/>
        <v>175768.76171685098</v>
      </c>
      <c r="EY30" s="311">
        <f t="shared" si="34"/>
        <v>152650.83994185098</v>
      </c>
      <c r="EZ30" s="311">
        <f t="shared" si="35"/>
        <v>23117.921774999999</v>
      </c>
      <c r="FA30" s="311">
        <f t="shared" si="36"/>
        <v>60132.687082976699</v>
      </c>
      <c r="FB30" s="311">
        <f>IF($C30="","",SUMPRODUCT(('ANALYSE - ERP =&gt; SOUS-SEGMENT'!$C$8:$C$1000=$C30)*'ANALYSE - ERP =&gt; SOUS-SEGMENT'!$Q$8:$Q$1000*'ANALYSE - ERP =&gt; SOUS-SEGMENT'!$FB$8:$FB$1000))</f>
        <v>51749.376082976698</v>
      </c>
      <c r="FC30" s="311">
        <f>IF($C30="","",SUMPRODUCT(('ANALYSE - ERP =&gt; SOUS-SEGMENT'!$C$8:$C$1000=$C30)*'ANALYSE - ERP =&gt; SOUS-SEGMENT'!$Q$8:$Q$1000*'ANALYSE - ERP =&gt; SOUS-SEGMENT'!$FC$8:$FC$1000))</f>
        <v>8383.3109999999997</v>
      </c>
      <c r="FD30" s="311">
        <f t="shared" si="37"/>
        <v>54176.684560272726</v>
      </c>
      <c r="FE30" s="311">
        <f>IF($C30="","",SUMPRODUCT(('ANALYSE - ERP =&gt; SOUS-SEGMENT'!$C$8:$C$1000=$C30)*'ANALYSE - ERP =&gt; SOUS-SEGMENT'!$Q$8:$Q$1000*'ANALYSE - ERP =&gt; SOUS-SEGMENT'!$FE$8:$FE$1000))</f>
        <v>47470.035760272724</v>
      </c>
      <c r="FF30" s="311">
        <f>IF($C30="","",SUMPRODUCT(('ANALYSE - ERP =&gt; SOUS-SEGMENT'!$C$8:$C$1000=$C30)*'ANALYSE - ERP =&gt; SOUS-SEGMENT'!$Q$8:$Q$1000*'ANALYSE - ERP =&gt; SOUS-SEGMENT'!$FF$8:$FF$1000))</f>
        <v>6706.6487999999999</v>
      </c>
      <c r="FG30" s="311">
        <f t="shared" si="38"/>
        <v>10856.921145676135</v>
      </c>
      <c r="FH30" s="311">
        <f>IF($C30="","",SUMPRODUCT(('ANALYSE - ERP =&gt; SOUS-SEGMENT'!$C$8:$C$1000=$C30)*'ANALYSE - ERP =&gt; SOUS-SEGMENT'!$Q$8:$Q$1000*'ANALYSE - ERP =&gt; SOUS-SEGMENT'!$FH$8:$FH$1000))</f>
        <v>9535.6079706761357</v>
      </c>
      <c r="FI30" s="311">
        <f>IF($C30="","",SUMPRODUCT(('ANALYSE - ERP =&gt; SOUS-SEGMENT'!$C$8:$C$1000=$C30)*'ANALYSE - ERP =&gt; SOUS-SEGMENT'!$Q$8:$Q$1000*'ANALYSE - ERP =&gt; SOUS-SEGMENT'!$FI$8:$FI$1000))</f>
        <v>1321.313175</v>
      </c>
      <c r="FJ30" s="311">
        <f t="shared" si="39"/>
        <v>50602.468927925409</v>
      </c>
      <c r="FK30" s="311">
        <f>IF($C30="","",SUMPRODUCT(('ANALYSE - ERP =&gt; SOUS-SEGMENT'!$C$8:$C$1000=$C30)*'ANALYSE - ERP =&gt; SOUS-SEGMENT'!$Q$8:$Q$1000*'ANALYSE - ERP =&gt; SOUS-SEGMENT'!$FK$8:$FK$1000))</f>
        <v>43895.820127925406</v>
      </c>
      <c r="FL30" s="311">
        <f>IF($C30="","",SUMPRODUCT(('ANALYSE - ERP =&gt; SOUS-SEGMENT'!$C$8:$C$1000=$C30)*'ANALYSE - ERP =&gt; SOUS-SEGMENT'!$Q$8:$Q$1000*'ANALYSE - ERP =&gt; SOUS-SEGMENT'!$FL$8:$FL$1000))</f>
        <v>6706.6487999999999</v>
      </c>
      <c r="FM30" s="657"/>
      <c r="FN30" s="954" t="s">
        <v>2649</v>
      </c>
      <c r="FO30" s="728">
        <f>IF($C30="","",IFERROR(SUMPRODUCT(('ANALYSE - ERP =&gt; SOUS-SEGMENT'!$C$8:$C$1000=$C30)*'ANALYSE - ERP =&gt; SOUS-SEGMENT'!$Q$8:$Q$1000*'ANALYSE - ERP =&gt; SOUS-SEGMENT'!$AF$8:$AF$1000*'ANALYSE - ERP =&gt; SOUS-SEGMENT'!$FO$8:$FO$1000)/SUMPRODUCT(('ANALYSE - ERP =&gt; SOUS-SEGMENT'!$C$8:$C$1000=$C30)*'ANALYSE - ERP =&gt; SOUS-SEGMENT'!$Q$8:$Q$1000*'ANALYSE - ERP =&gt; SOUS-SEGMENT'!$AF$8:$AF$1000),""))</f>
        <v>5.8073478260869567E-2</v>
      </c>
      <c r="FP30" s="729">
        <f>IF($C30="","",IFERROR(SUMPRODUCT(('ANALYSE - ERP =&gt; SOUS-SEGMENT'!$C$8:$C$1000=$C30)*'ANALYSE - ERP =&gt; SOUS-SEGMENT'!$Q$8:$Q$1000*'ANALYSE - ERP =&gt; SOUS-SEGMENT'!$AF$8:$AF$1000*'ANALYSE - ERP =&gt; SOUS-SEGMENT'!$FP$8:$FP$1000)/SUMPRODUCT(('ANALYSE - ERP =&gt; SOUS-SEGMENT'!$C$8:$C$1000=$C30)*'ANALYSE - ERP =&gt; SOUS-SEGMENT'!$Q$8:$Q$1000*'ANALYSE - ERP =&gt; SOUS-SEGMENT'!$AF$8:$AF$1000),""))</f>
        <v>0.80055911153119086</v>
      </c>
      <c r="FQ30" s="954" t="s">
        <v>5960</v>
      </c>
      <c r="FR30" s="657"/>
      <c r="FS30" s="865">
        <f>IF($C30="","",IFERROR(SUMPRODUCT(('ANALYSE - ERP =&gt; SOUS-SEGMENT'!$C$8:$C$1000=$C30)*'ANALYSE - ERP =&gt; SOUS-SEGMENT'!$Q$8:$Q$1000*'ANALYSE - ERP =&gt; SOUS-SEGMENT'!$EX$8:$EX$1000*'ANALYSE - ERP =&gt; SOUS-SEGMENT'!$FS$8:$FS$1000)/SUMPRODUCT(('ANALYSE - ERP =&gt; SOUS-SEGMENT'!$C$8:$C$1000=$C30)*'ANALYSE - ERP =&gt; SOUS-SEGMENT'!$Q$8:$Q$1000*'ANALYSE - ERP =&gt; SOUS-SEGMENT'!$EX$8:$EX$1000),""))</f>
        <v>3.4380311928969904</v>
      </c>
      <c r="FT30" s="312">
        <f>IF($C30="","",RANK($FS30,$FS$8:$FS$43,0)+COUNTIF($FS$8:$FS30,$FS30)-1)</f>
        <v>14</v>
      </c>
      <c r="FU30" s="865">
        <f>IF($C30="","",IFERROR(SUMPRODUCT(('ANALYSE - ERP =&gt; SOUS-SEGMENT'!$C$8:$C$1000=$C30)*'ANALYSE - ERP =&gt; SOUS-SEGMENT'!$Q$8:$Q$1000*'ANALYSE - ERP =&gt; SOUS-SEGMENT'!$EY$8:$EY$1000*'ANALYSE - ERP =&gt; SOUS-SEGMENT'!$FU$8:$FU$1000)/SUMPRODUCT(('ANALYSE - ERP =&gt; SOUS-SEGMENT'!$C$8:$C$1000=$C30)*'ANALYSE - ERP =&gt; SOUS-SEGMENT'!$Q$8:$Q$1000*'ANALYSE - ERP =&gt; SOUS-SEGMENT'!$EY$8:$EY$1000),""))</f>
        <v>4.1703767313032651</v>
      </c>
      <c r="FV30" s="312">
        <f>IF($C30="","",RANK($FU30,$FU$8:$FU$43,0)+COUNTIF($FU$8:$FU30,$FU30)-1)</f>
        <v>12</v>
      </c>
      <c r="FW30" s="865">
        <f>IF($C30="","",IFERROR(SUMPRODUCT(('ANALYSE - ERP =&gt; SOUS-SEGMENT'!$C$8:$C$1000=$C30)*'ANALYSE - ERP =&gt; SOUS-SEGMENT'!$Q$8:$Q$1000*'ANALYSE - ERP =&gt; SOUS-SEGMENT'!$EZ$8:$EZ$1000*'ANALYSE - ERP =&gt; SOUS-SEGMENT'!$FW$8:$FW$1000)/SUMPRODUCT(('ANALYSE - ERP =&gt; SOUS-SEGMENT'!$C$8:$C$1000=$C30)*'ANALYSE - ERP =&gt; SOUS-SEGMENT'!$Q$8:$Q$1000*'ANALYSE - ERP =&gt; SOUS-SEGMENT'!$EZ$8:$EZ$1000),""))</f>
        <v>2.5184311341606311</v>
      </c>
      <c r="FX30" s="312">
        <f>IF($C30="","",RANK($FW30,$FW$8:$FW$43,0)+COUNTIF($FW$8:$FW30,$FW30)-1)</f>
        <v>10</v>
      </c>
      <c r="FY30" s="657"/>
      <c r="FZ30" s="646" t="s">
        <v>5961</v>
      </c>
      <c r="GA30" s="646" t="s">
        <v>5962</v>
      </c>
      <c r="GB30" s="646" t="s">
        <v>5963</v>
      </c>
      <c r="GC30" s="646" t="s">
        <v>5964</v>
      </c>
      <c r="GD30" s="646" t="s">
        <v>5965</v>
      </c>
      <c r="GE30" s="646" t="s">
        <v>5966</v>
      </c>
      <c r="GF30" s="276" t="s">
        <v>5967</v>
      </c>
      <c r="GG30" s="657"/>
      <c r="GH30" s="311">
        <f t="shared" si="40"/>
        <v>12595.042825</v>
      </c>
      <c r="GI30" s="311">
        <f>IF($C30="","",SUMPRODUCT(('ANALYSE - ERP =&gt; SOUS-SEGMENT'!$C$8:$C$1000=$C30)*'ANALYSE - ERP =&gt; SOUS-SEGMENT'!$Q$8:$Q$1000*'ANALYSE - ERP =&gt; SOUS-SEGMENT'!$GI$8:$GI$1000))</f>
        <v>10952.774845</v>
      </c>
      <c r="GJ30" s="311">
        <f>IF($C30="","",SUMPRODUCT(('ANALYSE - ERP =&gt; SOUS-SEGMENT'!$C$8:$C$1000=$C30)*'ANALYSE - ERP =&gt; SOUS-SEGMENT'!$Q$8:$Q$1000*'ANALYSE - ERP =&gt; SOUS-SEGMENT'!$GJ$8:$GJ$1000))</f>
        <v>1642.2679799999999</v>
      </c>
      <c r="GK30" s="311">
        <f t="shared" si="41"/>
        <v>38940.566143128206</v>
      </c>
      <c r="GL30" s="311">
        <f>IF($C30="","",SUMPRODUCT(('ANALYSE - ERP =&gt; SOUS-SEGMENT'!$C$8:$C$1000=$C30)*'ANALYSE - ERP =&gt; SOUS-SEGMENT'!$Q$8:$Q$1000*'ANALYSE - ERP =&gt; SOUS-SEGMENT'!$GL$8:$GL$1000))</f>
        <v>33372.648553128209</v>
      </c>
      <c r="GM30" s="311">
        <f>IF($C30="","",SUMPRODUCT(('ANALYSE - ERP =&gt; SOUS-SEGMENT'!$C$8:$C$1000=$C30)*'ANALYSE - ERP =&gt; SOUS-SEGMENT'!$Q$8:$Q$1000*'ANALYSE - ERP =&gt; SOUS-SEGMENT'!$GM$8:$GM$1000))</f>
        <v>5567.9175899999991</v>
      </c>
      <c r="GN30" s="311">
        <f t="shared" si="42"/>
        <v>3625.2987666666668</v>
      </c>
      <c r="GO30" s="311">
        <f>IF($C30="","",SUMPRODUCT(('ANALYSE - ERP =&gt; SOUS-SEGMENT'!$C$8:$C$1000=$C30)*'ANALYSE - ERP =&gt; SOUS-SEGMENT'!$Q$8:$Q$1000*'ANALYSE - ERP =&gt; SOUS-SEGMENT'!$GO$8:$GO$1000))</f>
        <v>3039.0051066666665</v>
      </c>
      <c r="GP30" s="311">
        <f>IF($C30="","",SUMPRODUCT(('ANALYSE - ERP =&gt; SOUS-SEGMENT'!$C$8:$C$1000=$C30)*'ANALYSE - ERP =&gt; SOUS-SEGMENT'!$Q$8:$Q$1000*'ANALYSE - ERP =&gt; SOUS-SEGMENT'!$GP$8:$GP$1000))</f>
        <v>586.29366000000005</v>
      </c>
      <c r="GQ30" s="311">
        <f t="shared" si="43"/>
        <v>4971.779348181818</v>
      </c>
      <c r="GR30" s="311">
        <f>IF($C30="","",SUMPRODUCT(('ANALYSE - ERP =&gt; SOUS-SEGMENT'!$C$8:$C$1000=$C30)*'ANALYSE - ERP =&gt; SOUS-SEGMENT'!$Q$8:$Q$1000*'ANALYSE - ERP =&gt; SOUS-SEGMENT'!$GR$8:$GR$1000))</f>
        <v>4384.9475781818182</v>
      </c>
      <c r="GS30" s="311">
        <f>IF($C30="","",SUMPRODUCT(('ANALYSE - ERP =&gt; SOUS-SEGMENT'!$C$8:$C$1000=$C30)*'ANALYSE - ERP =&gt; SOUS-SEGMENT'!$Q$8:$Q$1000*'ANALYSE - ERP =&gt; SOUS-SEGMENT'!$GS$8:$GS$1000))</f>
        <v>586.83177000000012</v>
      </c>
      <c r="GT30" s="311">
        <f t="shared" si="44"/>
        <v>19735.781167272726</v>
      </c>
      <c r="GU30" s="311">
        <f>IF($C30="","",SUMPRODUCT(('ANALYSE - ERP =&gt; SOUS-SEGMENT'!$C$8:$C$1000=$C30)*'ANALYSE - ERP =&gt; SOUS-SEGMENT'!$Q$8:$Q$1000*'ANALYSE - ERP =&gt; SOUS-SEGMENT'!$GU$8:$GU$1000))</f>
        <v>17523.878527272725</v>
      </c>
      <c r="GV30" s="311">
        <f>IF($C30="","",SUMPRODUCT(('ANALYSE - ERP =&gt; SOUS-SEGMENT'!$C$8:$C$1000=$C30)*'ANALYSE - ERP =&gt; SOUS-SEGMENT'!$Q$8:$Q$1000*'ANALYSE - ERP =&gt; SOUS-SEGMENT'!$GV$8:$GV$1000))</f>
        <v>2211.9026399999998</v>
      </c>
      <c r="GW30" s="311">
        <f t="shared" si="45"/>
        <v>31061.516607999998</v>
      </c>
      <c r="GX30" s="311">
        <f>IF($C30="","",SUMPRODUCT(('ANALYSE - ERP =&gt; SOUS-SEGMENT'!$C$8:$C$1000=$C30)*'ANALYSE - ERP =&gt; SOUS-SEGMENT'!$Q$8:$Q$1000*'ANALYSE - ERP =&gt; SOUS-SEGMENT'!$GX$8:$GX$1000))</f>
        <v>26989.160175999998</v>
      </c>
      <c r="GY30" s="311">
        <f>IF($C30="","",SUMPRODUCT(('ANALYSE - ERP =&gt; SOUS-SEGMENT'!$C$8:$C$1000=$C30)*'ANALYSE - ERP =&gt; SOUS-SEGMENT'!$Q$8:$Q$1000*'ANALYSE - ERP =&gt; SOUS-SEGMENT'!$GY$8:$GY$1000))</f>
        <v>4072.3564320000005</v>
      </c>
      <c r="GZ30" s="311">
        <f t="shared" si="46"/>
        <v>3379.3867850000001</v>
      </c>
      <c r="HA30" s="311">
        <f>IF($C30="","",SUMPRODUCT(('ANALYSE - ERP =&gt; SOUS-SEGMENT'!$C$8:$C$1000=$C30)*'ANALYSE - ERP =&gt; SOUS-SEGMENT'!$Q$8:$Q$1000*'ANALYSE - ERP =&gt; SOUS-SEGMENT'!$HA$8:$HA$1000))</f>
        <v>2956.997057</v>
      </c>
      <c r="HB30" s="311">
        <f>IF($C30="","",SUMPRODUCT(('ANALYSE - ERP =&gt; SOUS-SEGMENT'!$C$8:$C$1000=$C30)*'ANALYSE - ERP =&gt; SOUS-SEGMENT'!$Q$8:$Q$1000*'ANALYSE - ERP =&gt; SOUS-SEGMENT'!$HB$8:$HB$1000))</f>
        <v>422.38972799999999</v>
      </c>
      <c r="HC30" s="311">
        <f t="shared" si="47"/>
        <v>1582.945119</v>
      </c>
      <c r="HD30" s="311">
        <f>IF($C30="","",SUMPRODUCT(('ANALYSE - ERP =&gt; SOUS-SEGMENT'!$C$8:$C$1000=$C30)*'ANALYSE - ERP =&gt; SOUS-SEGMENT'!$Q$8:$Q$1000*'ANALYSE - ERP =&gt; SOUS-SEGMENT'!$HD$8:$HD$1000))</f>
        <v>1411.1744062499999</v>
      </c>
      <c r="HE30" s="311">
        <f>IF($C30="","",SUMPRODUCT(('ANALYSE - ERP =&gt; SOUS-SEGMENT'!$C$8:$C$1000=$C30)*'ANALYSE - ERP =&gt; SOUS-SEGMENT'!$Q$8:$Q$1000*'ANALYSE - ERP =&gt; SOUS-SEGMENT'!$HE$8:$HE$1000))</f>
        <v>171.77071275</v>
      </c>
      <c r="HF30" s="311">
        <f t="shared" si="48"/>
        <v>4536.7565226136367</v>
      </c>
      <c r="HG30" s="311">
        <f>IF($C30="","",SUMPRODUCT(('ANALYSE - ERP =&gt; SOUS-SEGMENT'!$C$8:$C$1000=$C30)*'ANALYSE - ERP =&gt; SOUS-SEGMENT'!$Q$8:$Q$1000*'ANALYSE - ERP =&gt; SOUS-SEGMENT'!$HG$8:$HG$1000))</f>
        <v>3942.1655938636363</v>
      </c>
      <c r="HH30" s="311">
        <f>IF($C30="","",SUMPRODUCT(('ANALYSE - ERP =&gt; SOUS-SEGMENT'!$C$8:$C$1000=$C30)*'ANALYSE - ERP =&gt; SOUS-SEGMENT'!$Q$8:$Q$1000*'ANALYSE - ERP =&gt; SOUS-SEGMENT'!$HH$8:$HH$1000))</f>
        <v>594.59092874999999</v>
      </c>
      <c r="HI30" s="311">
        <f t="shared" si="49"/>
        <v>1287.1138240625</v>
      </c>
      <c r="HJ30" s="311">
        <f>IF($C30="","",SUMPRODUCT(('ANALYSE - ERP =&gt; SOUS-SEGMENT'!$C$8:$C$1000=$C30)*'ANALYSE - ERP =&gt; SOUS-SEGMENT'!$Q$8:$Q$1000*'ANALYSE - ERP =&gt; SOUS-SEGMENT'!$HJ$8:$HJ$1000))</f>
        <v>1128.5562430625</v>
      </c>
      <c r="HK30" s="311">
        <f>IF($C30="","",SUMPRODUCT(('ANALYSE - ERP =&gt; SOUS-SEGMENT'!$C$8:$C$1000=$C30)*'ANALYSE - ERP =&gt; SOUS-SEGMENT'!$Q$8:$Q$1000*'ANALYSE - ERP =&gt; SOUS-SEGMENT'!$HK$8:$HK$1000))</f>
        <v>158.557581</v>
      </c>
      <c r="HL30" s="311">
        <f t="shared" si="50"/>
        <v>3450.1056799999997</v>
      </c>
      <c r="HM30" s="311">
        <f>IF($C30="","",SUMPRODUCT(('ANALYSE - ERP =&gt; SOUS-SEGMENT'!$C$8:$C$1000=$C30)*'ANALYSE - ERP =&gt; SOUS-SEGMENT'!$Q$8:$Q$1000*'ANALYSE - ERP =&gt; SOUS-SEGMENT'!$HM$8:$HM$1000))</f>
        <v>3053.7117274999996</v>
      </c>
      <c r="HN30" s="311">
        <f>IF($C30="","",SUMPRODUCT(('ANALYSE - ERP =&gt; SOUS-SEGMENT'!$C$8:$C$1000=$C30)*'ANALYSE - ERP =&gt; SOUS-SEGMENT'!$Q$8:$Q$1000*'ANALYSE - ERP =&gt; SOUS-SEGMENT'!$HN$8:$HN$1000))</f>
        <v>396.39395250000001</v>
      </c>
      <c r="HO30" s="311">
        <f t="shared" si="51"/>
        <v>33924.490707132871</v>
      </c>
      <c r="HP30" s="311">
        <f>IF($C30="","",SUMPRODUCT(('ANALYSE - ERP =&gt; SOUS-SEGMENT'!$C$8:$C$1000=$C30)*'ANALYSE - ERP =&gt; SOUS-SEGMENT'!$Q$8:$Q$1000*'ANALYSE - ERP =&gt; SOUS-SEGMENT'!$HP$8:$HP$1000))</f>
        <v>29698.440987132868</v>
      </c>
      <c r="HQ30" s="311">
        <f>IF($C30="","",SUMPRODUCT(('ANALYSE - ERP =&gt; SOUS-SEGMENT'!$C$8:$C$1000=$C30)*'ANALYSE - ERP =&gt; SOUS-SEGMENT'!$Q$8:$Q$1000*'ANALYSE - ERP =&gt; SOUS-SEGMENT'!$HQ$8:$HQ$1000))</f>
        <v>4226.04972</v>
      </c>
      <c r="HR30" s="311">
        <f t="shared" si="52"/>
        <v>10664.599930125876</v>
      </c>
      <c r="HS30" s="311">
        <f>IF($C30="","",SUMPRODUCT(('ANALYSE - ERP =&gt; SOUS-SEGMENT'!$C$8:$C$1000=$C30)*'ANALYSE - ERP =&gt; SOUS-SEGMENT'!$Q$8:$Q$1000*'ANALYSE - ERP =&gt; SOUS-SEGMENT'!$HS$8:$HS$1000))</f>
        <v>9069.1923941258756</v>
      </c>
      <c r="HT30" s="311">
        <f>IF($C30="","",SUMPRODUCT(('ANALYSE - ERP =&gt; SOUS-SEGMENT'!$C$8:$C$1000=$C30)*'ANALYSE - ERP =&gt; SOUS-SEGMENT'!$Q$8:$Q$1000*'ANALYSE - ERP =&gt; SOUS-SEGMENT'!$HT$8:$HT$1000))</f>
        <v>1595.4075360000002</v>
      </c>
      <c r="HU30" s="311">
        <f t="shared" si="53"/>
        <v>6013.3782906666665</v>
      </c>
      <c r="HV30" s="311">
        <f>IF($C30="","",SUMPRODUCT(('ANALYSE - ERP =&gt; SOUS-SEGMENT'!$C$8:$C$1000=$C30)*'ANALYSE - ERP =&gt; SOUS-SEGMENT'!$Q$8:$Q$1000*'ANALYSE - ERP =&gt; SOUS-SEGMENT'!$HV$8:$HV$1000))</f>
        <v>5128.1867466666663</v>
      </c>
      <c r="HW30" s="311">
        <f>IF($C30="","",SUMPRODUCT(('ANALYSE - ERP =&gt; SOUS-SEGMENT'!$C$8:$C$1000=$C30)*'ANALYSE - ERP =&gt; SOUS-SEGMENT'!$Q$8:$Q$1000*'ANALYSE - ERP =&gt; SOUS-SEGMENT'!$HW$8:$HW$1000))</f>
        <v>885.19154400000002</v>
      </c>
      <c r="HY30" s="313">
        <f t="shared" si="54"/>
        <v>400567.50000000006</v>
      </c>
      <c r="HZ30" s="313">
        <f>IF($C30="","",SUMPRODUCT(('ANALYSE - ERP =&gt; SOUS-SEGMENT'!$C$8:$C$1000=$C30)*'ANALYSE - ERP =&gt; SOUS-SEGMENT'!$Q$8:$Q$1000*'ANALYSE - ERP =&gt; SOUS-SEGMENT'!$HZ$8:$HZ$1000))</f>
        <v>43743.527249999999</v>
      </c>
      <c r="IA30" s="313">
        <f>IF($C30="","",SUMPRODUCT(('ANALYSE - ERP =&gt; SOUS-SEGMENT'!$C$8:$C$1000=$C30)*'ANALYSE - ERP =&gt; SOUS-SEGMENT'!$Q$8:$Q$1000*'ANALYSE - ERP =&gt; SOUS-SEGMENT'!$IA$8:$IA$1000))</f>
        <v>205190.11125000002</v>
      </c>
      <c r="IB30" s="313">
        <f>IF($C30="","",SUMPRODUCT(('ANALYSE - ERP =&gt; SOUS-SEGMENT'!$C$8:$C$1000=$C30)*'ANALYSE - ERP =&gt; SOUS-SEGMENT'!$Q$8:$Q$1000*'ANALYSE - ERP =&gt; SOUS-SEGMENT'!$IB$8:$IB$1000))</f>
        <v>134540.217</v>
      </c>
      <c r="IC30" s="313">
        <f>IF($C30="","",SUMPRODUCT(('ANALYSE - ERP =&gt; SOUS-SEGMENT'!$C$8:$C$1000=$C30)*'ANALYSE - ERP =&gt; SOUS-SEGMENT'!$Q$8:$Q$1000*'ANALYSE - ERP =&gt; SOUS-SEGMENT'!$IC$8:$IC$1000))</f>
        <v>16332.18375</v>
      </c>
      <c r="ID30" s="313">
        <f>IF($C30="","",SUMPRODUCT(('ANALYSE - ERP =&gt; SOUS-SEGMENT'!$C$8:$C$1000=$C30)*'ANALYSE - ERP =&gt; SOUS-SEGMENT'!$Q$8:$Q$1000*'ANALYSE - ERP =&gt; SOUS-SEGMENT'!$ID$8:$ID$1000))</f>
        <v>761.46074999999996</v>
      </c>
      <c r="IE30" s="313">
        <f t="shared" si="55"/>
        <v>152650.83994185095</v>
      </c>
      <c r="IF30" s="313">
        <f>IF($C30="","",SUMPRODUCT(('ANALYSE - ERP =&gt; SOUS-SEGMENT'!$C$8:$C$1000=$C30)*'ANALYSE - ERP =&gt; SOUS-SEGMENT'!$Q$8:$Q$1000*'ANALYSE - ERP =&gt; SOUS-SEGMENT'!$IF$8:$IF$1000))</f>
        <v>7196.8802605665514</v>
      </c>
      <c r="IG30" s="313">
        <f>IF($C30="","",SUMPRODUCT(('ANALYSE - ERP =&gt; SOUS-SEGMENT'!$C$8:$C$1000=$C30)*'ANALYSE - ERP =&gt; SOUS-SEGMENT'!$Q$8:$Q$1000*'ANALYSE - ERP =&gt; SOUS-SEGMENT'!$IG$8:$IG$1000))</f>
        <v>61966.565486225634</v>
      </c>
      <c r="IH30" s="313">
        <f>IF($C30="","",SUMPRODUCT(('ANALYSE - ERP =&gt; SOUS-SEGMENT'!$C$8:$C$1000=$C30)*'ANALYSE - ERP =&gt; SOUS-SEGMENT'!$Q$8:$Q$1000*'ANALYSE - ERP =&gt; SOUS-SEGMENT'!$IH$8:$IH$1000))</f>
        <v>70975.063162168037</v>
      </c>
      <c r="II30" s="313">
        <f>IF($C30="","",SUMPRODUCT(('ANALYSE - ERP =&gt; SOUS-SEGMENT'!$C$8:$C$1000=$C30)*'ANALYSE - ERP =&gt; SOUS-SEGMENT'!$Q$8:$Q$1000*'ANALYSE - ERP =&gt; SOUS-SEGMENT'!$II$8:$II$1000))</f>
        <v>12048.445478365507</v>
      </c>
      <c r="IJ30" s="313">
        <f>IF($C30="","",SUMPRODUCT(('ANALYSE - ERP =&gt; SOUS-SEGMENT'!$C$8:$C$1000=$C30)*'ANALYSE - ERP =&gt; SOUS-SEGMENT'!$Q$8:$Q$1000*'ANALYSE - ERP =&gt; SOUS-SEGMENT'!$IJ$8:$IJ$1000))</f>
        <v>463.88555452523946</v>
      </c>
      <c r="IK30" s="866">
        <f>IF($C30="","",IFERROR(SUMPRODUCT(('ANALYSE - ERP =&gt; SOUS-SEGMENT'!$C$8:$C$1000=$C30)*'ANALYSE - ERP =&gt; SOUS-SEGMENT'!$Q$8:$Q$1000*'ANALYSE - ERP =&gt; SOUS-SEGMENT'!$IE$8:$IE$1000*'ANALYSE - ERP =&gt; SOUS-SEGMENT'!$IK$8:$IK$1000)/SUMPRODUCT(('ANALYSE - ERP =&gt; SOUS-SEGMENT'!$C$8:$C$1000=$C30)*'ANALYSE - ERP =&gt; SOUS-SEGMENT'!$Q$8:$Q$1000*'ANALYSE - ERP =&gt; SOUS-SEGMENT'!$IE$8:$IE$1000),""))</f>
        <v>3.6445269313663915</v>
      </c>
      <c r="IL30" s="920" t="s">
        <v>2589</v>
      </c>
      <c r="IM30" s="964" t="s">
        <v>5968</v>
      </c>
      <c r="IN30" s="657"/>
      <c r="IO30" s="730">
        <f>IF($C30="","",IFERROR(SUMPRODUCT(('ANALYSE - ERP =&gt; SOUS-SEGMENT'!$C$8:$C$1000=$C30)*'ANALYSE - ERP =&gt; SOUS-SEGMENT'!$Q$8:$Q$1000*'ANALYSE - ERP =&gt; SOUS-SEGMENT'!$BE$8:$BE$1000*'ANALYSE - ERP =&gt; SOUS-SEGMENT'!$IO$8:$IO$1000)/SUMPRODUCT(('ANALYSE - ERP =&gt; SOUS-SEGMENT'!$C$8:$C$1000=$C30)*'ANALYSE - ERP =&gt; SOUS-SEGMENT'!$Q$8:$Q$1000*'ANALYSE - ERP =&gt; SOUS-SEGMENT'!$BE$8:$BE$1000),""))</f>
        <v>0.11176818181818182</v>
      </c>
      <c r="IP30" s="730">
        <f>IF($C30="","",IFERROR(SUMPRODUCT(('ANALYSE - ERP =&gt; SOUS-SEGMENT'!$C$8:$C$1000=$C30)*'ANALYSE - ERP =&gt; SOUS-SEGMENT'!$Q$8:$Q$1000*'ANALYSE - ERP =&gt; SOUS-SEGMENT'!$BE$8:$BE$1000*'ANALYSE - ERP =&gt; SOUS-SEGMENT'!$IP$8:$IP$1000)/SUMPRODUCT(('ANALYSE - ERP =&gt; SOUS-SEGMENT'!$C$8:$C$1000=$C30)*'ANALYSE - ERP =&gt; SOUS-SEGMENT'!$Q$8:$Q$1000*'ANALYSE - ERP =&gt; SOUS-SEGMENT'!$BE$8:$BE$1000),""))</f>
        <v>0.51754979338842988</v>
      </c>
      <c r="IQ30" s="730">
        <f>IF($C30="","",IFERROR(SUMPRODUCT(('ANALYSE - ERP =&gt; SOUS-SEGMENT'!$C$8:$C$1000=$C30)*'ANALYSE - ERP =&gt; SOUS-SEGMENT'!$Q$8:$Q$1000*'ANALYSE - ERP =&gt; SOUS-SEGMENT'!$BE$8:$BE$1000*'ANALYSE - ERP =&gt; SOUS-SEGMENT'!$IQ$8:$IQ$1000)/SUMPRODUCT(('ANALYSE - ERP =&gt; SOUS-SEGMENT'!$C$8:$C$1000=$C30)*'ANALYSE - ERP =&gt; SOUS-SEGMENT'!$Q$8:$Q$1000*'ANALYSE - ERP =&gt; SOUS-SEGMENT'!$BE$8:$BE$1000),""))</f>
        <v>0.32975144628099173</v>
      </c>
      <c r="IR30" s="730">
        <f>IF($C30="","",IFERROR(SUMPRODUCT(('ANALYSE - ERP =&gt; SOUS-SEGMENT'!$C$8:$C$1000=$C30)*'ANALYSE - ERP =&gt; SOUS-SEGMENT'!$Q$8:$Q$1000*'ANALYSE - ERP =&gt; SOUS-SEGMENT'!$BE$8:$BE$1000*'ANALYSE - ERP =&gt; SOUS-SEGMENT'!$IR$8:$IR$1000)/SUMPRODUCT(('ANALYSE - ERP =&gt; SOUS-SEGMENT'!$C$8:$C$1000=$C30)*'ANALYSE - ERP =&gt; SOUS-SEGMENT'!$Q$8:$Q$1000*'ANALYSE - ERP =&gt; SOUS-SEGMENT'!$BE$8:$BE$1000),""))</f>
        <v>3.888966942148761E-2</v>
      </c>
      <c r="IS30" s="730">
        <f>IF($C30="","",IFERROR(SUMPRODUCT(('ANALYSE - ERP =&gt; SOUS-SEGMENT'!$C$8:$C$1000=$C30)*'ANALYSE - ERP =&gt; SOUS-SEGMENT'!$Q$8:$Q$1000*'ANALYSE - ERP =&gt; SOUS-SEGMENT'!$BE$8:$BE$1000*'ANALYSE - ERP =&gt; SOUS-SEGMENT'!$IS$8:$IS$1000)/SUMPRODUCT(('ANALYSE - ERP =&gt; SOUS-SEGMENT'!$C$8:$C$1000=$C30)*'ANALYSE - ERP =&gt; SOUS-SEGMENT'!$Q$8:$Q$1000*'ANALYSE - ERP =&gt; SOUS-SEGMENT'!$BE$8:$BE$1000),""))</f>
        <v>2.0409090909090906E-3</v>
      </c>
      <c r="IT30" s="730">
        <f>IF($C30="","",IFERROR(SUMPRODUCT(('ANALYSE - ERP =&gt; SOUS-SEGMENT'!$C$8:$C$1000=$C30)*'ANALYSE - ERP =&gt; SOUS-SEGMENT'!$Q$8:$Q$1000*'ANALYSE - ERP =&gt; SOUS-SEGMENT'!$FB$8:$FB$1000*'ANALYSE - ERP =&gt; SOUS-SEGMENT'!$IT$8:$IT$1000)/SUMPRODUCT(('ANALYSE - ERP =&gt; SOUS-SEGMENT'!$C$8:$C$1000=$C30)*'ANALYSE - ERP =&gt; SOUS-SEGMENT'!$Q$8:$Q$1000*'ANALYSE - ERP =&gt; SOUS-SEGMENT'!$FB$8:$FB$1000),""))</f>
        <v>4.7967430293667054E-2</v>
      </c>
      <c r="IU30" s="730">
        <f>IF($C30="","",IFERROR(SUMPRODUCT(('ANALYSE - ERP =&gt; SOUS-SEGMENT'!$C$8:$C$1000=$C30)*'ANALYSE - ERP =&gt; SOUS-SEGMENT'!$Q$8:$Q$1000*'ANALYSE - ERP =&gt; SOUS-SEGMENT'!$FB$8:$FB$1000*'ANALYSE - ERP =&gt; SOUS-SEGMENT'!$IU$8:$IU$1000)/SUMPRODUCT(('ANALYSE - ERP =&gt; SOUS-SEGMENT'!$C$8:$C$1000=$C30)*'ANALYSE - ERP =&gt; SOUS-SEGMENT'!$Q$8:$Q$1000*'ANALYSE - ERP =&gt; SOUS-SEGMENT'!$FB$8:$FB$1000),""))</f>
        <v>0.41295789847776554</v>
      </c>
      <c r="IV30" s="730">
        <f>IF($C30="","",IFERROR(SUMPRODUCT(('ANALYSE - ERP =&gt; SOUS-SEGMENT'!$C$8:$C$1000=$C30)*'ANALYSE - ERP =&gt; SOUS-SEGMENT'!$Q$8:$Q$1000*'ANALYSE - ERP =&gt; SOUS-SEGMENT'!$FB$8:$FB$1000*'ANALYSE - ERP =&gt; SOUS-SEGMENT'!$IV$8:$IV$1000)/SUMPRODUCT(('ANALYSE - ERP =&gt; SOUS-SEGMENT'!$C$8:$C$1000=$C30)*'ANALYSE - ERP =&gt; SOUS-SEGMENT'!$Q$8:$Q$1000*'ANALYSE - ERP =&gt; SOUS-SEGMENT'!$FB$8:$FB$1000),""))</f>
        <v>0.46059411320434174</v>
      </c>
      <c r="IW30" s="730">
        <f>IF($C30="","",IFERROR(SUMPRODUCT(('ANALYSE - ERP =&gt; SOUS-SEGMENT'!$C$8:$C$1000=$C30)*'ANALYSE - ERP =&gt; SOUS-SEGMENT'!$Q$8:$Q$1000*'ANALYSE - ERP =&gt; SOUS-SEGMENT'!$FB$8:$FB$1000*'ANALYSE - ERP =&gt; SOUS-SEGMENT'!$IW$8:$IW$1000)/SUMPRODUCT(('ANALYSE - ERP =&gt; SOUS-SEGMENT'!$C$8:$C$1000=$C30)*'ANALYSE - ERP =&gt; SOUS-SEGMENT'!$Q$8:$Q$1000*'ANALYSE - ERP =&gt; SOUS-SEGMENT'!$FB$8:$FB$1000),""))</f>
        <v>7.5350960360647048E-2</v>
      </c>
      <c r="IX30" s="730">
        <f>IF($C30="","",IFERROR(SUMPRODUCT(('ANALYSE - ERP =&gt; SOUS-SEGMENT'!$C$8:$C$1000=$C30)*'ANALYSE - ERP =&gt; SOUS-SEGMENT'!$Q$8:$Q$1000*'ANALYSE - ERP =&gt; SOUS-SEGMENT'!$FB$8:$FB$1000*'ANALYSE - ERP =&gt; SOUS-SEGMENT'!$IX$8:$IX$1000)/SUMPRODUCT(('ANALYSE - ERP =&gt; SOUS-SEGMENT'!$C$8:$C$1000=$C30)*'ANALYSE - ERP =&gt; SOUS-SEGMENT'!$Q$8:$Q$1000*'ANALYSE - ERP =&gt; SOUS-SEGMENT'!$FB$8:$FB$1000),""))</f>
        <v>3.1295976635785307E-3</v>
      </c>
      <c r="IY30" s="730">
        <f>IF($C30="","",IFERROR(SUMPRODUCT(('ANALYSE - ERP =&gt; SOUS-SEGMENT'!$C$8:$C$1000=$C30)*'ANALYSE - ERP =&gt; SOUS-SEGMENT'!$Q$8:$Q$1000*'ANALYSE - ERP =&gt; SOUS-SEGMENT'!$BF$8:$BF$1000*'ANALYSE - ERP =&gt; SOUS-SEGMENT'!$IY$8:$IY$1000)/SUMPRODUCT(('ANALYSE - ERP =&gt; SOUS-SEGMENT'!$C$8:$C$1000=$C30)*'ANALYSE - ERP =&gt; SOUS-SEGMENT'!$Q$8:$Q$1000*'ANALYSE - ERP =&gt; SOUS-SEGMENT'!$BF$8:$BF$1000),""))</f>
        <v>0.1031051652892562</v>
      </c>
      <c r="IZ30" s="730">
        <f>IF($C30="","",IFERROR(SUMPRODUCT(('ANALYSE - ERP =&gt; SOUS-SEGMENT'!$C$8:$C$1000=$C30)*'ANALYSE - ERP =&gt; SOUS-SEGMENT'!$Q$8:$Q$1000*'ANALYSE - ERP =&gt; SOUS-SEGMENT'!$BF$8:$BF$1000*'ANALYSE - ERP =&gt; SOUS-SEGMENT'!$IZ$8:$IZ$1000)/SUMPRODUCT(('ANALYSE - ERP =&gt; SOUS-SEGMENT'!$C$8:$C$1000=$C30)*'ANALYSE - ERP =&gt; SOUS-SEGMENT'!$Q$8:$Q$1000*'ANALYSE - ERP =&gt; SOUS-SEGMENT'!$BF$8:$BF$1000),""))</f>
        <v>0.50469400826446287</v>
      </c>
      <c r="JA30" s="730">
        <f>IF($C30="","",IFERROR(SUMPRODUCT(('ANALYSE - ERP =&gt; SOUS-SEGMENT'!$C$8:$C$1000=$C30)*'ANALYSE - ERP =&gt; SOUS-SEGMENT'!$Q$8:$Q$1000*'ANALYSE - ERP =&gt; SOUS-SEGMENT'!$BF$8:$BF$1000*'ANALYSE - ERP =&gt; SOUS-SEGMENT'!$JA$8:$JA$1000)/SUMPRODUCT(('ANALYSE - ERP =&gt; SOUS-SEGMENT'!$C$8:$C$1000=$C30)*'ANALYSE - ERP =&gt; SOUS-SEGMENT'!$Q$8:$Q$1000*'ANALYSE - ERP =&gt; SOUS-SEGMENT'!$BF$8:$BF$1000),""))</f>
        <v>0.34227582644628102</v>
      </c>
      <c r="JB30" s="730">
        <f>IF($C30="","",IFERROR(SUMPRODUCT(('ANALYSE - ERP =&gt; SOUS-SEGMENT'!$C$8:$C$1000=$C30)*'ANALYSE - ERP =&gt; SOUS-SEGMENT'!$Q$8:$Q$1000*'ANALYSE - ERP =&gt; SOUS-SEGMENT'!$BF$8:$BF$1000*'ANALYSE - ERP =&gt; SOUS-SEGMENT'!$JB$8:$JB$1000)/SUMPRODUCT(('ANALYSE - ERP =&gt; SOUS-SEGMENT'!$C$8:$C$1000=$C30)*'ANALYSE - ERP =&gt; SOUS-SEGMENT'!$Q$8:$Q$1000*'ANALYSE - ERP =&gt; SOUS-SEGMENT'!$BF$8:$BF$1000),""))</f>
        <v>4.7551652892561976E-2</v>
      </c>
      <c r="JC30" s="730">
        <f>IF($C30="","",IFERROR(SUMPRODUCT(('ANALYSE - ERP =&gt; SOUS-SEGMENT'!$C$8:$C$1000=$C30)*'ANALYSE - ERP =&gt; SOUS-SEGMENT'!$Q$8:$Q$1000*'ANALYSE - ERP =&gt; SOUS-SEGMENT'!$BF$8:$BF$1000*'ANALYSE - ERP =&gt; SOUS-SEGMENT'!$JC$8:$JC$1000)/SUMPRODUCT(('ANALYSE - ERP =&gt; SOUS-SEGMENT'!$C$8:$C$1000=$C30)*'ANALYSE - ERP =&gt; SOUS-SEGMENT'!$Q$8:$Q$1000*'ANALYSE - ERP =&gt; SOUS-SEGMENT'!$BF$8:$BF$1000),""))</f>
        <v>2.3733471074380164E-3</v>
      </c>
      <c r="JD30" s="730">
        <f>IF($C30="","",IFERROR(SUMPRODUCT(('ANALYSE - ERP =&gt; SOUS-SEGMENT'!$C$8:$C$1000=$C30)*'ANALYSE - ERP =&gt; SOUS-SEGMENT'!$Q$8:$Q$1000*'ANALYSE - ERP =&gt; SOUS-SEGMENT'!$FE$8:$FE$1000*'ANALYSE - ERP =&gt; SOUS-SEGMENT'!$JD$8:$JD$1000)/SUMPRODUCT(('ANALYSE - ERP =&gt; SOUS-SEGMENT'!$C$8:$C$1000=$C30)*'ANALYSE - ERP =&gt; SOUS-SEGMENT'!$Q$8:$Q$1000*'ANALYSE - ERP =&gt; SOUS-SEGMENT'!$FE$8:$FE$1000),""))</f>
        <v>4.3555337056972156E-2</v>
      </c>
      <c r="JE30" s="730">
        <f>IF($C30="","",IFERROR(SUMPRODUCT(('ANALYSE - ERP =&gt; SOUS-SEGMENT'!$C$8:$C$1000=$C30)*'ANALYSE - ERP =&gt; SOUS-SEGMENT'!$Q$8:$Q$1000*'ANALYSE - ERP =&gt; SOUS-SEGMENT'!$FE$8:$FE$1000*'ANALYSE - ERP =&gt; SOUS-SEGMENT'!$JE$8:$JE$1000)/SUMPRODUCT(('ANALYSE - ERP =&gt; SOUS-SEGMENT'!$C$8:$C$1000=$C30)*'ANALYSE - ERP =&gt; SOUS-SEGMENT'!$Q$8:$Q$1000*'ANALYSE - ERP =&gt; SOUS-SEGMENT'!$FE$8:$FE$1000),""))</f>
        <v>0.39480941000842529</v>
      </c>
      <c r="JF30" s="730">
        <f>IF($C30="","",IFERROR(SUMPRODUCT(('ANALYSE - ERP =&gt; SOUS-SEGMENT'!$C$8:$C$1000=$C30)*'ANALYSE - ERP =&gt; SOUS-SEGMENT'!$Q$8:$Q$1000*'ANALYSE - ERP =&gt; SOUS-SEGMENT'!$FE$8:$FE$1000*'ANALYSE - ERP =&gt; SOUS-SEGMENT'!$JF$8:$JF$1000)/SUMPRODUCT(('ANALYSE - ERP =&gt; SOUS-SEGMENT'!$C$8:$C$1000=$C30)*'ANALYSE - ERP =&gt; SOUS-SEGMENT'!$Q$8:$Q$1000*'ANALYSE - ERP =&gt; SOUS-SEGMENT'!$FE$8:$FE$1000),""))</f>
        <v>0.47153089889425825</v>
      </c>
      <c r="JG30" s="730">
        <f>IF($C30="","",IFERROR(SUMPRODUCT(('ANALYSE - ERP =&gt; SOUS-SEGMENT'!$C$8:$C$1000=$C30)*'ANALYSE - ERP =&gt; SOUS-SEGMENT'!$Q$8:$Q$1000*'ANALYSE - ERP =&gt; SOUS-SEGMENT'!$FE$8:$FE$1000*'ANALYSE - ERP =&gt; SOUS-SEGMENT'!$JG$8:$JG$1000)/SUMPRODUCT(('ANALYSE - ERP =&gt; SOUS-SEGMENT'!$C$8:$C$1000=$C30)*'ANALYSE - ERP =&gt; SOUS-SEGMENT'!$Q$8:$Q$1000*'ANALYSE - ERP =&gt; SOUS-SEGMENT'!$FE$8:$FE$1000),""))</f>
        <v>8.6544101219240513E-2</v>
      </c>
      <c r="JH30" s="730">
        <f>IF($C30="","",IFERROR(SUMPRODUCT(('ANALYSE - ERP =&gt; SOUS-SEGMENT'!$C$8:$C$1000=$C30)*'ANALYSE - ERP =&gt; SOUS-SEGMENT'!$Q$8:$Q$1000*'ANALYSE - ERP =&gt; SOUS-SEGMENT'!$FE$8:$FE$1000*'ANALYSE - ERP =&gt; SOUS-SEGMENT'!$JH$8:$JH$1000)/SUMPRODUCT(('ANALYSE - ERP =&gt; SOUS-SEGMENT'!$C$8:$C$1000=$C30)*'ANALYSE - ERP =&gt; SOUS-SEGMENT'!$Q$8:$Q$1000*'ANALYSE - ERP =&gt; SOUS-SEGMENT'!$FE$8:$FE$1000),""))</f>
        <v>3.5602528211037972E-3</v>
      </c>
      <c r="JI30" s="730">
        <f>IF($C30="","",IFERROR(SUMPRODUCT(('ANALYSE - ERP =&gt; SOUS-SEGMENT'!$C$8:$C$1000=$C30)*'ANALYSE - ERP =&gt; SOUS-SEGMENT'!$Q$8:$Q$1000*'ANALYSE - ERP =&gt; SOUS-SEGMENT'!$BG$8:$BG$1000*'ANALYSE - ERP =&gt; SOUS-SEGMENT'!$JI$8:$JI$1000)/SUMPRODUCT(('ANALYSE - ERP =&gt; SOUS-SEGMENT'!$C$8:$C$1000=$C30)*'ANALYSE - ERP =&gt; SOUS-SEGMENT'!$Q$8:$Q$1000*'ANALYSE - ERP =&gt; SOUS-SEGMENT'!$BG$8:$BG$1000),""))</f>
        <v>0.2031</v>
      </c>
      <c r="JJ30" s="730">
        <f>IF($C30="","",IFERROR(SUMPRODUCT(('ANALYSE - ERP =&gt; SOUS-SEGMENT'!$C$8:$C$1000=$C30)*'ANALYSE - ERP =&gt; SOUS-SEGMENT'!$Q$8:$Q$1000*'ANALYSE - ERP =&gt; SOUS-SEGMENT'!$BG$8:$BG$1000*'ANALYSE - ERP =&gt; SOUS-SEGMENT'!$JJ$8:$JJ$1000)/SUMPRODUCT(('ANALYSE - ERP =&gt; SOUS-SEGMENT'!$C$8:$C$1000=$C30)*'ANALYSE - ERP =&gt; SOUS-SEGMENT'!$Q$8:$Q$1000*'ANALYSE - ERP =&gt; SOUS-SEGMENT'!$BG$8:$BG$1000),""))</f>
        <v>0.57509999999999994</v>
      </c>
      <c r="JK30" s="730">
        <f>IF($C30="","",IFERROR(SUMPRODUCT(('ANALYSE - ERP =&gt; SOUS-SEGMENT'!$C$8:$C$1000=$C30)*'ANALYSE - ERP =&gt; SOUS-SEGMENT'!$Q$8:$Q$1000*'ANALYSE - ERP =&gt; SOUS-SEGMENT'!$BG$8:$BG$1000*'ANALYSE - ERP =&gt; SOUS-SEGMENT'!$JK$8:$JK$1000)/SUMPRODUCT(('ANALYSE - ERP =&gt; SOUS-SEGMENT'!$C$8:$C$1000=$C30)*'ANALYSE - ERP =&gt; SOUS-SEGMENT'!$Q$8:$Q$1000*'ANALYSE - ERP =&gt; SOUS-SEGMENT'!$BG$8:$BG$1000),""))</f>
        <v>0.21160000000000004</v>
      </c>
      <c r="JL30" s="730">
        <f>IF($C30="","",IFERROR(SUMPRODUCT(('ANALYSE - ERP =&gt; SOUS-SEGMENT'!$C$8:$C$1000=$C30)*'ANALYSE - ERP =&gt; SOUS-SEGMENT'!$Q$8:$Q$1000*'ANALYSE - ERP =&gt; SOUS-SEGMENT'!$BG$8:$BG$1000*'ANALYSE - ERP =&gt; SOUS-SEGMENT'!$JL$8:$JL$1000)/SUMPRODUCT(('ANALYSE - ERP =&gt; SOUS-SEGMENT'!$C$8:$C$1000=$C30)*'ANALYSE - ERP =&gt; SOUS-SEGMENT'!$Q$8:$Q$1000*'ANALYSE - ERP =&gt; SOUS-SEGMENT'!$BG$8:$BG$1000),""))</f>
        <v>1.01E-2</v>
      </c>
      <c r="JM30" s="730">
        <f>IF($C30="","",IFERROR(SUMPRODUCT(('ANALYSE - ERP =&gt; SOUS-SEGMENT'!$C$8:$C$1000=$C30)*'ANALYSE - ERP =&gt; SOUS-SEGMENT'!$Q$8:$Q$1000*'ANALYSE - ERP =&gt; SOUS-SEGMENT'!$BG$8:$BG$1000*'ANALYSE - ERP =&gt; SOUS-SEGMENT'!$JM$8:$JM$1000)/SUMPRODUCT(('ANALYSE - ERP =&gt; SOUS-SEGMENT'!$C$8:$C$1000=$C30)*'ANALYSE - ERP =&gt; SOUS-SEGMENT'!$Q$8:$Q$1000*'ANALYSE - ERP =&gt; SOUS-SEGMENT'!$BG$8:$BG$1000),""))</f>
        <v>1.0000000000000002E-4</v>
      </c>
      <c r="JN30" s="730">
        <f>IF($C30="","",IFERROR(SUMPRODUCT(('ANALYSE - ERP =&gt; SOUS-SEGMENT'!$C$8:$C$1000=$C30)*'ANALYSE - ERP =&gt; SOUS-SEGMENT'!$Q$8:$Q$1000*'ANALYSE - ERP =&gt; SOUS-SEGMENT'!$FH$8:$FH$1000*'ANALYSE - ERP =&gt; SOUS-SEGMENT'!$JN$8:$JN$1000)/SUMPRODUCT(('ANALYSE - ERP =&gt; SOUS-SEGMENT'!$C$8:$C$1000=$C30)*'ANALYSE - ERP =&gt; SOUS-SEGMENT'!$Q$8:$Q$1000*'ANALYSE - ERP =&gt; SOUS-SEGMENT'!$FH$8:$FH$1000),""))</f>
        <v>9.9199999999999997E-2</v>
      </c>
      <c r="JO30" s="730">
        <f>IF($C30="","",IFERROR(SUMPRODUCT(('ANALYSE - ERP =&gt; SOUS-SEGMENT'!$C$8:$C$1000=$C30)*'ANALYSE - ERP =&gt; SOUS-SEGMENT'!$Q$8:$Q$1000*'ANALYSE - ERP =&gt; SOUS-SEGMENT'!$FH$8:$FH$1000*'ANALYSE - ERP =&gt; SOUS-SEGMENT'!$JO$8:$JO$1000)/SUMPRODUCT(('ANALYSE - ERP =&gt; SOUS-SEGMENT'!$C$8:$C$1000=$C30)*'ANALYSE - ERP =&gt; SOUS-SEGMENT'!$Q$8:$Q$1000*'ANALYSE - ERP =&gt; SOUS-SEGMENT'!$FH$8:$FH$1000),""))</f>
        <v>0.51790000000000003</v>
      </c>
      <c r="JP30" s="730">
        <f>IF($C30="","",IFERROR(SUMPRODUCT(('ANALYSE - ERP =&gt; SOUS-SEGMENT'!$C$8:$C$1000=$C30)*'ANALYSE - ERP =&gt; SOUS-SEGMENT'!$Q$8:$Q$1000*'ANALYSE - ERP =&gt; SOUS-SEGMENT'!$FH$8:$FH$1000*'ANALYSE - ERP =&gt; SOUS-SEGMENT'!$JP$8:$JP$1000)/SUMPRODUCT(('ANALYSE - ERP =&gt; SOUS-SEGMENT'!$C$8:$C$1000=$C30)*'ANALYSE - ERP =&gt; SOUS-SEGMENT'!$Q$8:$Q$1000*'ANALYSE - ERP =&gt; SOUS-SEGMENT'!$FH$8:$FH$1000),""))</f>
        <v>0.35149999999999998</v>
      </c>
      <c r="JQ30" s="730">
        <f>IF($C30="","",IFERROR(SUMPRODUCT(('ANALYSE - ERP =&gt; SOUS-SEGMENT'!$C$8:$C$1000=$C30)*'ANALYSE - ERP =&gt; SOUS-SEGMENT'!$Q$8:$Q$1000*'ANALYSE - ERP =&gt; SOUS-SEGMENT'!$FH$8:$FH$1000*'ANALYSE - ERP =&gt; SOUS-SEGMENT'!$JQ$8:$JQ$1000)/SUMPRODUCT(('ANALYSE - ERP =&gt; SOUS-SEGMENT'!$C$8:$C$1000=$C30)*'ANALYSE - ERP =&gt; SOUS-SEGMENT'!$Q$8:$Q$1000*'ANALYSE - ERP =&gt; SOUS-SEGMENT'!$FH$8:$FH$1000),""))</f>
        <v>3.1E-2</v>
      </c>
      <c r="JR30" s="730">
        <f>IF($C30="","",IFERROR(SUMPRODUCT(('ANALYSE - ERP =&gt; SOUS-SEGMENT'!$C$8:$C$1000=$C30)*'ANALYSE - ERP =&gt; SOUS-SEGMENT'!$Q$8:$Q$1000*'ANALYSE - ERP =&gt; SOUS-SEGMENT'!$FH$8:$FH$1000*'ANALYSE - ERP =&gt; SOUS-SEGMENT'!$JR$8:$JR$1000)/SUMPRODUCT(('ANALYSE - ERP =&gt; SOUS-SEGMENT'!$C$8:$C$1000=$C30)*'ANALYSE - ERP =&gt; SOUS-SEGMENT'!$Q$8:$Q$1000*'ANALYSE - ERP =&gt; SOUS-SEGMENT'!$FH$8:$FH$1000),""))</f>
        <v>4.0000000000000002E-4</v>
      </c>
      <c r="JS30" s="730">
        <f>IF($C30="","",IFERROR(SUMPRODUCT(('ANALYSE - ERP =&gt; SOUS-SEGMENT'!$C$8:$C$1000=$C30)*'ANALYSE - ERP =&gt; SOUS-SEGMENT'!$Q$8:$Q$1000*'ANALYSE - ERP =&gt; SOUS-SEGMENT'!$BH$8:$BH$1000*'ANALYSE - ERP =&gt; SOUS-SEGMENT'!$JS$8:$JS$1000)/SUMPRODUCT(('ANALYSE - ERP =&gt; SOUS-SEGMENT'!$C$8:$C$1000=$C30)*'ANALYSE - ERP =&gt; SOUS-SEGMENT'!$Q$8:$Q$1000*'ANALYSE - ERP =&gt; SOUS-SEGMENT'!$BH$8:$BH$1000),""))</f>
        <v>9.3467148760330576E-2</v>
      </c>
      <c r="JT30" s="730">
        <f>IF($C30="","",IFERROR(SUMPRODUCT(('ANALYSE - ERP =&gt; SOUS-SEGMENT'!$C$8:$C$1000=$C30)*'ANALYSE - ERP =&gt; SOUS-SEGMENT'!$Q$8:$Q$1000*'ANALYSE - ERP =&gt; SOUS-SEGMENT'!$BH$8:$BH$1000*'ANALYSE - ERP =&gt; SOUS-SEGMENT'!$JT$8:$JT$1000)/SUMPRODUCT(('ANALYSE - ERP =&gt; SOUS-SEGMENT'!$C$8:$C$1000=$C30)*'ANALYSE - ERP =&gt; SOUS-SEGMENT'!$Q$8:$Q$1000*'ANALYSE - ERP =&gt; SOUS-SEGMENT'!$BH$8:$BH$1000),""))</f>
        <v>0.5007059917355372</v>
      </c>
      <c r="JU30" s="730">
        <f>IF($C30="","",IFERROR(SUMPRODUCT(('ANALYSE - ERP =&gt; SOUS-SEGMENT'!$C$8:$C$1000=$C30)*'ANALYSE - ERP =&gt; SOUS-SEGMENT'!$Q$8:$Q$1000*'ANALYSE - ERP =&gt; SOUS-SEGMENT'!$BH$8:$BH$1000*'ANALYSE - ERP =&gt; SOUS-SEGMENT'!$JU$8:$JU$1000)/SUMPRODUCT(('ANALYSE - ERP =&gt; SOUS-SEGMENT'!$C$8:$C$1000=$C30)*'ANALYSE - ERP =&gt; SOUS-SEGMENT'!$Q$8:$Q$1000*'ANALYSE - ERP =&gt; SOUS-SEGMENT'!$BH$8:$BH$1000),""))</f>
        <v>0.36178285123966947</v>
      </c>
      <c r="JV30" s="730">
        <f>IF($C30="","",IFERROR(SUMPRODUCT(('ANALYSE - ERP =&gt; SOUS-SEGMENT'!$C$8:$C$1000=$C30)*'ANALYSE - ERP =&gt; SOUS-SEGMENT'!$Q$8:$Q$1000*'ANALYSE - ERP =&gt; SOUS-SEGMENT'!$BH$8:$BH$1000*'ANALYSE - ERP =&gt; SOUS-SEGMENT'!$JV$8:$JV$1000)/SUMPRODUCT(('ANALYSE - ERP =&gt; SOUS-SEGMENT'!$C$8:$C$1000=$C30)*'ANALYSE - ERP =&gt; SOUS-SEGMENT'!$Q$8:$Q$1000*'ANALYSE - ERP =&gt; SOUS-SEGMENT'!$BH$8:$BH$1000),""))</f>
        <v>4.2433057851239672E-2</v>
      </c>
      <c r="JW30" s="730">
        <f>IF($C30="","",IFERROR(SUMPRODUCT(('ANALYSE - ERP =&gt; SOUS-SEGMENT'!$C$8:$C$1000=$C30)*'ANALYSE - ERP =&gt; SOUS-SEGMENT'!$Q$8:$Q$1000*'ANALYSE - ERP =&gt; SOUS-SEGMENT'!$BH$8:$BH$1000*'ANALYSE - ERP =&gt; SOUS-SEGMENT'!$JW$8:$JW$1000)/SUMPRODUCT(('ANALYSE - ERP =&gt; SOUS-SEGMENT'!$C$8:$C$1000=$C30)*'ANALYSE - ERP =&gt; SOUS-SEGMENT'!$Q$8:$Q$1000*'ANALYSE - ERP =&gt; SOUS-SEGMENT'!$BH$8:$BH$1000),""))</f>
        <v>1.6109504132231403E-3</v>
      </c>
      <c r="JX30" s="730">
        <f>IF($C30="","",IFERROR(SUMPRODUCT(('ANALYSE - ERP =&gt; SOUS-SEGMENT'!$C$8:$C$1000=$C30)*'ANALYSE - ERP =&gt; SOUS-SEGMENT'!$Q$8:$Q$1000*'ANALYSE - ERP =&gt; SOUS-SEGMENT'!$FK$8:$FK$1000*'ANALYSE - ERP =&gt; SOUS-SEGMENT'!$JX$8:$JX$1000)/SUMPRODUCT(('ANALYSE - ERP =&gt; SOUS-SEGMENT'!$C$8:$C$1000=$C30)*'ANALYSE - ERP =&gt; SOUS-SEGMENT'!$Q$8:$Q$1000*'ANALYSE - ERP =&gt; SOUS-SEGMENT'!$FK$8:$FK$1000),""))</f>
        <v>3.8752891443236598E-2</v>
      </c>
      <c r="JY30" s="730">
        <f>IF($C30="","",IFERROR(SUMPRODUCT(('ANALYSE - ERP =&gt; SOUS-SEGMENT'!$C$8:$C$1000=$C30)*'ANALYSE - ERP =&gt; SOUS-SEGMENT'!$Q$8:$Q$1000*'ANALYSE - ERP =&gt; SOUS-SEGMENT'!$FK$8:$FK$1000*'ANALYSE - ERP =&gt; SOUS-SEGMENT'!$JY$8:$JY$1000)/SUMPRODUCT(('ANALYSE - ERP =&gt; SOUS-SEGMENT'!$C$8:$C$1000=$C30)*'ANALYSE - ERP =&gt; SOUS-SEGMENT'!$Q$8:$Q$1000*'ANALYSE - ERP =&gt; SOUS-SEGMENT'!$FK$8:$FK$1000),""))</f>
        <v>0.38537026219262094</v>
      </c>
      <c r="JZ30" s="730">
        <f>IF($C30="","",IFERROR(SUMPRODUCT(('ANALYSE - ERP =&gt; SOUS-SEGMENT'!$C$8:$C$1000=$C30)*'ANALYSE - ERP =&gt; SOUS-SEGMENT'!$Q$8:$Q$1000*'ANALYSE - ERP =&gt; SOUS-SEGMENT'!$FK$8:$FK$1000*'ANALYSE - ERP =&gt; SOUS-SEGMENT'!$JZ$8:$JZ$1000)/SUMPRODUCT(('ANALYSE - ERP =&gt; SOUS-SEGMENT'!$C$8:$C$1000=$C30)*'ANALYSE - ERP =&gt; SOUS-SEGMENT'!$Q$8:$Q$1000*'ANALYSE - ERP =&gt; SOUS-SEGMENT'!$FK$8:$FK$1000),""))</f>
        <v>0.48761477242471929</v>
      </c>
      <c r="KA30" s="730">
        <f>IF($C30="","",IFERROR(SUMPRODUCT(('ANALYSE - ERP =&gt; SOUS-SEGMENT'!$C$8:$C$1000=$C30)*'ANALYSE - ERP =&gt; SOUS-SEGMENT'!$Q$8:$Q$1000*'ANALYSE - ERP =&gt; SOUS-SEGMENT'!$FK$8:$FK$1000*'ANALYSE - ERP =&gt; SOUS-SEGMENT'!$KA$8:$KA$1000)/SUMPRODUCT(('ANALYSE - ERP =&gt; SOUS-SEGMENT'!$C$8:$C$1000=$C30)*'ANALYSE - ERP =&gt; SOUS-SEGMENT'!$Q$8:$Q$1000*'ANALYSE - ERP =&gt; SOUS-SEGMENT'!$FK$8:$FK$1000),""))</f>
        <v>8.5320762995776164E-2</v>
      </c>
      <c r="KB30" s="730">
        <f>IF($C30="","",IFERROR(SUMPRODUCT(('ANALYSE - ERP =&gt; SOUS-SEGMENT'!$C$8:$C$1000=$C30)*'ANALYSE - ERP =&gt; SOUS-SEGMENT'!$Q$8:$Q$1000*'ANALYSE - ERP =&gt; SOUS-SEGMENT'!$FK$8:$FK$1000*'ANALYSE - ERP =&gt; SOUS-SEGMENT'!$KB$8:$KB$1000)/SUMPRODUCT(('ANALYSE - ERP =&gt; SOUS-SEGMENT'!$C$8:$C$1000=$C30)*'ANALYSE - ERP =&gt; SOUS-SEGMENT'!$Q$8:$Q$1000*'ANALYSE - ERP =&gt; SOUS-SEGMENT'!$FK$8:$FK$1000),""))</f>
        <v>2.9413109436470485E-3</v>
      </c>
      <c r="KC30" s="657"/>
      <c r="KD30" s="920" t="s">
        <v>5969</v>
      </c>
      <c r="KE30" s="920" t="s">
        <v>5969</v>
      </c>
      <c r="KF30" s="866">
        <f>IF($C30="","",IFERROR(SUMPRODUCT(('ANALYSE - ERP =&gt; SOUS-SEGMENT'!$C$8:$C$1000=$C30)*'ANALYSE - ERP =&gt; SOUS-SEGMENT'!$Q$8:$Q$1000*'ANALYSE - ERP =&gt; SOUS-SEGMENT'!$IE$8:$IE$1000*'ANALYSE - ERP =&gt; SOUS-SEGMENT'!$KF$8:$KF$1000)/SUMPRODUCT(('ANALYSE - ERP =&gt; SOUS-SEGMENT'!$C$8:$C$1000=$C30)*'ANALYSE - ERP =&gt; SOUS-SEGMENT'!$Q$8:$Q$1000*'ANALYSE - ERP =&gt; SOUS-SEGMENT'!$IE$8:$IE$1000),""))</f>
        <v>3.5020738688861193</v>
      </c>
      <c r="KG30" s="920" t="s">
        <v>5970</v>
      </c>
      <c r="KH30" s="920" t="s">
        <v>5971</v>
      </c>
      <c r="KI30" s="920" t="s">
        <v>5972</v>
      </c>
      <c r="KJ30" s="920" t="s">
        <v>5973</v>
      </c>
    </row>
    <row r="31" spans="1:296" ht="130.5" customHeight="1">
      <c r="A31" s="951">
        <f>IF($C31="","",ROWS($A$8:A31))</f>
        <v>24</v>
      </c>
      <c r="B31" s="952" t="s">
        <v>4306</v>
      </c>
      <c r="C31" s="952" t="s">
        <v>4307</v>
      </c>
      <c r="D31" s="952" t="s">
        <v>5974</v>
      </c>
      <c r="E31" s="277" t="s">
        <v>5975</v>
      </c>
      <c r="F31" s="646" t="s">
        <v>2631</v>
      </c>
      <c r="G31" s="646" t="s">
        <v>2121</v>
      </c>
      <c r="H31" s="646" t="s">
        <v>2109</v>
      </c>
      <c r="I31" s="646" t="s">
        <v>5976</v>
      </c>
      <c r="J31" s="646" t="s">
        <v>5977</v>
      </c>
      <c r="K31" s="646" t="s">
        <v>5978</v>
      </c>
      <c r="L31" s="646" t="s">
        <v>2109</v>
      </c>
      <c r="M31" s="646" t="s">
        <v>3168</v>
      </c>
      <c r="N31" s="646" t="s">
        <v>3169</v>
      </c>
      <c r="O31" s="646" t="s">
        <v>5979</v>
      </c>
      <c r="P31" s="646"/>
      <c r="Q31" s="270">
        <f>IF($C31="","",IF(SUMIFS('ANALYSE - ERP =&gt; SOUS-SEGMENT'!$Q$8:$Q$1000,'ANALYSE - ERP =&gt; SOUS-SEGMENT'!$C$8:$C$1000,$C31)&gt;0,1,0))</f>
        <v>1</v>
      </c>
      <c r="R31" s="278">
        <f>IF($C31="","",IFERROR(SUMPRODUCT(('ANALYSE - ERP =&gt; SOUS-SEGMENT'!$C$8:$C$1000=$C31)*'ANALYSE - ERP =&gt; SOUS-SEGMENT'!$Q$8:$Q$1000*'ANALYSE - ERP =&gt; SOUS-SEGMENT'!$AF$8:$AF$1000*'ANALYSE - ERP =&gt; SOUS-SEGMENT'!$R$8:$R$1000)/SUMPRODUCT(('ANALYSE - ERP =&gt; SOUS-SEGMENT'!$C$8:$C$1000=$C31)*'ANALYSE - ERP =&gt; SOUS-SEGMENT'!$Q$8:$Q$1000*'ANALYSE - ERP =&gt; SOUS-SEGMENT'!$AF$8:$AF$1000),""))</f>
        <v>1765.4586981347545</v>
      </c>
      <c r="S31" s="279">
        <f>IF($C31="","",SUMPRODUCT(('ANALYSE - ERP =&gt; SOUS-SEGMENT'!$C$8:$C$1000=$C31)*'ANALYSE - ERP =&gt; SOUS-SEGMENT'!$Q$8:$Q$1000*'ANALYSE - ERP =&gt; SOUS-SEGMENT'!$S$8:$S$1000))</f>
        <v>6820</v>
      </c>
      <c r="T31" s="279">
        <f>IF($C31="","",SUMPRODUCT(('ANALYSE - ERP =&gt; SOUS-SEGMENT'!$C$8:$C$1000=$C31)*'ANALYSE - ERP =&gt; SOUS-SEGMENT'!$Q$8:$Q$1000*'ANALYSE - ERP =&gt; SOUS-SEGMENT'!$T$8:$T$1000))</f>
        <v>7820</v>
      </c>
      <c r="U31" s="279">
        <f>IF($C31="","",SUMPRODUCT(('ANALYSE - ERP =&gt; SOUS-SEGMENT'!$C$8:$C$1000=$C31)*'ANALYSE - ERP =&gt; SOUS-SEGMENT'!$Q$8:$Q$1000*'ANALYSE - ERP =&gt; SOUS-SEGMENT'!$U$8:$U$1000))</f>
        <v>9150</v>
      </c>
      <c r="V31" s="279">
        <f>IF($C31="","",SUMPRODUCT(('ANALYSE - ERP =&gt; SOUS-SEGMENT'!$C$8:$C$1000=$C31)*'ANALYSE - ERP =&gt; SOUS-SEGMENT'!$Q$8:$Q$1000*'ANALYSE - ERP =&gt; SOUS-SEGMENT'!$V$8:$V$1000))</f>
        <v>10555</v>
      </c>
      <c r="W31" s="279">
        <f>IF($C31="","",SUMPRODUCT(('ANALYSE - ERP =&gt; SOUS-SEGMENT'!$C$8:$C$1000=$C31)*'ANALYSE - ERP =&gt; SOUS-SEGMENT'!$Q$8:$Q$1000*'ANALYSE - ERP =&gt; SOUS-SEGMENT'!$W$8:$W$1000))</f>
        <v>10865</v>
      </c>
      <c r="X31" s="279">
        <f>IF($C31="","",SUMPRODUCT(('ANALYSE - ERP =&gt; SOUS-SEGMENT'!$C$8:$C$1000=$C31)*'ANALYSE - ERP =&gt; SOUS-SEGMENT'!$Q$8:$Q$1000*'ANALYSE - ERP =&gt; SOUS-SEGMENT'!$X$8:$X$1000))</f>
        <v>11202</v>
      </c>
      <c r="Y31" s="279">
        <f>IF($C31="","",SUMPRODUCT(('ANALYSE - ERP =&gt; SOUS-SEGMENT'!$C$8:$C$1000=$C31)*'ANALYSE - ERP =&gt; SOUS-SEGMENT'!$Q$8:$Q$1000*'ANALYSE - ERP =&gt; SOUS-SEGMENT'!$Y$8:$Y$1000))</f>
        <v>11565</v>
      </c>
      <c r="Z31" s="279">
        <f>IF($C31="","",SUMPRODUCT(('ANALYSE - ERP =&gt; SOUS-SEGMENT'!$C$8:$C$1000=$C31)*'ANALYSE - ERP =&gt; SOUS-SEGMENT'!$Q$8:$Q$1000*'ANALYSE - ERP =&gt; SOUS-SEGMENT'!$Z$8:$Z$1000))</f>
        <v>11917</v>
      </c>
      <c r="AA31" s="279">
        <f>IF($C31="","",SUMPRODUCT(('ANALYSE - ERP =&gt; SOUS-SEGMENT'!$C$8:$C$1000=$C31)*'ANALYSE - ERP =&gt; SOUS-SEGMENT'!$Q$8:$Q$1000*'ANALYSE - ERP =&gt; SOUS-SEGMENT'!$AA$8:$AA$1000))</f>
        <v>12198</v>
      </c>
      <c r="AB31" s="279">
        <f>IF($C31="","",SUMPRODUCT(('ANALYSE - ERP =&gt; SOUS-SEGMENT'!$C$8:$C$1000=$C31)*'ANALYSE - ERP =&gt; SOUS-SEGMENT'!$Q$8:$Q$1000*'ANALYSE - ERP =&gt; SOUS-SEGMENT'!$AB$8:$AB$1000))</f>
        <v>12235</v>
      </c>
      <c r="AC31" s="279">
        <f>IF($C31="","",SUMPRODUCT(('ANALYSE - ERP =&gt; SOUS-SEGMENT'!$C$8:$C$1000=$C31)*'ANALYSE - ERP =&gt; SOUS-SEGMENT'!$Q$8:$Q$1000*'ANALYSE - ERP =&gt; SOUS-SEGMENT'!$AC$8:$AC$1000))</f>
        <v>12487</v>
      </c>
      <c r="AD31" s="279">
        <f>IF($C31="","",SUMPRODUCT(('ANALYSE - ERP =&gt; SOUS-SEGMENT'!$C$8:$C$1000=$C31)*'ANALYSE - ERP =&gt; SOUS-SEGMENT'!$Q$8:$Q$1000*'ANALYSE - ERP =&gt; SOUS-SEGMENT'!$AD$8:$AD$1000))</f>
        <v>12700</v>
      </c>
      <c r="AE31" s="279">
        <f>IF($C31="","",SUMPRODUCT(('ANALYSE - ERP =&gt; SOUS-SEGMENT'!$C$8:$C$1000=$C31)*'ANALYSE - ERP =&gt; SOUS-SEGMENT'!$Q$8:$Q$1000*'ANALYSE - ERP =&gt; SOUS-SEGMENT'!$AE$8:$AE$1000))</f>
        <v>12928</v>
      </c>
      <c r="AF31" s="279">
        <f>IF($C31="","",SUMPRODUCT(('ANALYSE - ERP =&gt; SOUS-SEGMENT'!$C$8:$C$1000=$C31)*'ANALYSE - ERP =&gt; SOUS-SEGMENT'!$Q$8:$Q$1000*'ANALYSE - ERP =&gt; SOUS-SEGMENT'!$AF$8:$AF$1000))</f>
        <v>13135</v>
      </c>
      <c r="AG31" s="279">
        <f>IF($C31="","",SUMPRODUCT(('ANALYSE - ERP =&gt; SOUS-SEGMENT'!$C$8:$C$1000=$C31)*'ANALYSE - ERP =&gt; SOUS-SEGMENT'!$Q$8:$Q$1000*'ANALYSE - ERP =&gt; SOUS-SEGMENT'!$AG$8:$AG$1000))</f>
        <v>13297</v>
      </c>
      <c r="AH31" s="279">
        <f>IF($C31="","",SUMPRODUCT(('ANALYSE - ERP =&gt; SOUS-SEGMENT'!$C$8:$C$1000=$C31)*'ANALYSE - ERP =&gt; SOUS-SEGMENT'!$Q$8:$Q$1000*'ANALYSE - ERP =&gt; SOUS-SEGMENT'!$AH$8:$AH$1000))</f>
        <v>13444</v>
      </c>
      <c r="AI31" s="279">
        <f>IF($C31="","",SUMPRODUCT(('ANALYSE - ERP =&gt; SOUS-SEGMENT'!$C$8:$C$1000=$C31)*'ANALYSE - ERP =&gt; SOUS-SEGMENT'!$Q$8:$Q$1000*'ANALYSE - ERP =&gt; SOUS-SEGMENT'!$AI$8:$AI$1000))</f>
        <v>13576</v>
      </c>
      <c r="AJ31" s="279">
        <f>IF($C31="","",SUMPRODUCT(('ANALYSE - ERP =&gt; SOUS-SEGMENT'!$C$8:$C$1000=$C31)*'ANALYSE - ERP =&gt; SOUS-SEGMENT'!$Q$8:$Q$1000*'ANALYSE - ERP =&gt; SOUS-SEGMENT'!$AJ$8:$AJ$1000))</f>
        <v>13703</v>
      </c>
      <c r="AK31" s="279">
        <f>IF($C31="","",SUMPRODUCT(('ANALYSE - ERP =&gt; SOUS-SEGMENT'!$C$8:$C$1000=$C31)*'ANALYSE - ERP =&gt; SOUS-SEGMENT'!$Q$8:$Q$1000*'ANALYSE - ERP =&gt; SOUS-SEGMENT'!$AK$8:$AK$1000))</f>
        <v>13820</v>
      </c>
      <c r="AL31" s="646" t="s">
        <v>5980</v>
      </c>
      <c r="AM31" s="646" t="s">
        <v>5981</v>
      </c>
      <c r="AN31" s="646" t="s">
        <v>5982</v>
      </c>
      <c r="AO31" s="657"/>
      <c r="AP31" s="278">
        <f>IF($C31="","",IFERROR(SUMPRODUCT(('ANALYSE - ERP =&gt; SOUS-SEGMENT'!$C$8:$C$1000=$C31)*'ANALYSE - ERP =&gt; SOUS-SEGMENT'!$Q$8:$Q$1000*'ANALYSE - ERP =&gt; SOUS-SEGMENT'!$AF$8:$AF$1000*'ANALYSE - ERP =&gt; SOUS-SEGMENT'!$AP$8:$AP$1000)/SUMPRODUCT(('ANALYSE - ERP =&gt; SOUS-SEGMENT'!$C$8:$C$1000=$C31)*'ANALYSE - ERP =&gt; SOUS-SEGMENT'!$Q$8:$Q$1000*'ANALYSE - ERP =&gt; SOUS-SEGMENT'!$AF$8:$AF$1000),""))</f>
        <v>85.98781880472022</v>
      </c>
      <c r="AQ31" s="278">
        <f>IF($C31="","",IFERROR(SUMPRODUCT(('ANALYSE - ERP =&gt; SOUS-SEGMENT'!$C$8:$C$1000=$C31)*'ANALYSE - ERP =&gt; SOUS-SEGMENT'!$Q$8:$Q$1000*'ANALYSE - ERP =&gt; SOUS-SEGMENT'!$AF$8:$AF$1000*'ANALYSE - ERP =&gt; SOUS-SEGMENT'!$AQ$8:$AQ$1000)/SUMPRODUCT(('ANALYSE - ERP =&gt; SOUS-SEGMENT'!$C$8:$C$1000=$C31)*'ANALYSE - ERP =&gt; SOUS-SEGMENT'!$Q$8:$Q$1000*'ANALYSE - ERP =&gt; SOUS-SEGMENT'!$AF$8:$AF$1000),""))</f>
        <v>75.58736200989722</v>
      </c>
      <c r="AR31" s="278">
        <f>IF($C31="","",IFERROR(SUMPRODUCT(('ANALYSE - ERP =&gt; SOUS-SEGMENT'!$C$8:$C$1000=$C31)*'ANALYSE - ERP =&gt; SOUS-SEGMENT'!$Q$8:$Q$1000*'ANALYSE - ERP =&gt; SOUS-SEGMENT'!$AF$8:$AF$1000*'ANALYSE - ERP =&gt; SOUS-SEGMENT'!$AR$8:$AR$1000)/SUMPRODUCT(('ANALYSE - ERP =&gt; SOUS-SEGMENT'!$C$8:$C$1000=$C31)*'ANALYSE - ERP =&gt; SOUS-SEGMENT'!$Q$8:$Q$1000*'ANALYSE - ERP =&gt; SOUS-SEGMENT'!$AF$8:$AF$1000),""))</f>
        <v>8.1339931480776553</v>
      </c>
      <c r="AS31" s="278">
        <f>IF($C31="","",IFERROR(SUMPRODUCT(('ANALYSE - ERP =&gt; SOUS-SEGMENT'!$C$8:$C$1000=$C31)*'ANALYSE - ERP =&gt; SOUS-SEGMENT'!$Q$8:$Q$1000*'ANALYSE - ERP =&gt; SOUS-SEGMENT'!$AF$8:$AF$1000*'ANALYSE - ERP =&gt; SOUS-SEGMENT'!$AS$8:$AS$1000)/SUMPRODUCT(('ANALYSE - ERP =&gt; SOUS-SEGMENT'!$C$8:$C$1000=$C31)*'ANALYSE - ERP =&gt; SOUS-SEGMENT'!$Q$8:$Q$1000*'ANALYSE - ERP =&gt; SOUS-SEGMENT'!$AF$8:$AF$1000),""))</f>
        <v>2.2664636467453367</v>
      </c>
      <c r="AT31" s="657"/>
      <c r="AU31" s="646" t="s">
        <v>5983</v>
      </c>
      <c r="AV31" s="646" t="s">
        <v>5984</v>
      </c>
      <c r="AW31" s="646" t="s">
        <v>5985</v>
      </c>
      <c r="AX31" s="646" t="s">
        <v>2670</v>
      </c>
      <c r="AY31" s="657"/>
      <c r="AZ31" s="947">
        <f>IF($C31="","",IFERROR(SUMPRODUCT(('ANALYSE - ERP =&gt; SOUS-SEGMENT'!$C$8:$C$1000=$C31)*'ANALYSE - ERP =&gt; SOUS-SEGMENT'!$Q$8:$Q$1000*'ANALYSE - ERP =&gt; SOUS-SEGMENT'!$AF$8:$AF$1000*'ANALYSE - ERP =&gt; SOUS-SEGMENT'!$AZ$8:$AZ$1000)/SUMPRODUCT(('ANALYSE - ERP =&gt; SOUS-SEGMENT'!$C$8:$C$1000=$C31)*'ANALYSE - ERP =&gt; SOUS-SEGMENT'!$Q$8:$Q$1000*'ANALYSE - ERP =&gt; SOUS-SEGMENT'!$AF$8:$AF$1000),""))</f>
        <v>7.8922725542443857</v>
      </c>
      <c r="BA31" s="947">
        <f>IF($C31="","",IFERROR(SUMPRODUCT(('ANALYSE - ERP =&gt; SOUS-SEGMENT'!$C$8:$C$1000=$C31)*'ANALYSE - ERP =&gt; SOUS-SEGMENT'!$Q$8:$Q$1000*'ANALYSE - ERP =&gt; SOUS-SEGMENT'!$AF$8:$AF$1000*'ANALYSE - ERP =&gt; SOUS-SEGMENT'!$BA$8:$BA$1000)/SUMPRODUCT(('ANALYSE - ERP =&gt; SOUS-SEGMENT'!$C$8:$C$1000=$C31)*'ANALYSE - ERP =&gt; SOUS-SEGMENT'!$Q$8:$Q$1000*'ANALYSE - ERP =&gt; SOUS-SEGMENT'!$AF$8:$AF$1000),""))</f>
        <v>6.5588123334602209</v>
      </c>
      <c r="BB31" s="947">
        <f>IF($C31="","",IFERROR(SUMPRODUCT(('ANALYSE - ERP =&gt; SOUS-SEGMENT'!$C$8:$C$1000=$C31)*'ANALYSE - ERP =&gt; SOUS-SEGMENT'!$Q$8:$Q$1000*'ANALYSE - ERP =&gt; SOUS-SEGMENT'!$AF$8:$AF$1000*'ANALYSE - ERP =&gt; SOUS-SEGMENT'!$BB$8:$BB$1000)/SUMPRODUCT(('ANALYSE - ERP =&gt; SOUS-SEGMENT'!$C$8:$C$1000=$C31)*'ANALYSE - ERP =&gt; SOUS-SEGMENT'!$Q$8:$Q$1000*'ANALYSE - ERP =&gt; SOUS-SEGMENT'!$AF$8:$AF$1000),""))</f>
        <v>1.0519223448800914</v>
      </c>
      <c r="BC31" s="947">
        <f>IF($C31="","",IFERROR(SUMPRODUCT(('ANALYSE - ERP =&gt; SOUS-SEGMENT'!$C$8:$C$1000=$C31)*'ANALYSE - ERP =&gt; SOUS-SEGMENT'!$Q$8:$Q$1000*'ANALYSE - ERP =&gt; SOUS-SEGMENT'!$AF$8:$AF$1000*'ANALYSE - ERP =&gt; SOUS-SEGMENT'!$BC$8:$BC$1000)/SUMPRODUCT(('ANALYSE - ERP =&gt; SOUS-SEGMENT'!$C$8:$C$1000=$C31)*'ANALYSE - ERP =&gt; SOUS-SEGMENT'!$Q$8:$Q$1000*'ANALYSE - ERP =&gt; SOUS-SEGMENT'!$AF$8:$AF$1000),""))</f>
        <v>7.6471259992386749</v>
      </c>
      <c r="BD31" s="826">
        <f t="shared" si="1"/>
        <v>304077</v>
      </c>
      <c r="BE31" s="283">
        <f>IF($C31="","",SUMPRODUCT(('ANALYSE - ERP =&gt; SOUS-SEGMENT'!$C$8:$C$1000=$C31)*'ANALYSE - ERP =&gt; SOUS-SEGMENT'!$Q$8:$Q$1000*'ANALYSE - ERP =&gt; SOUS-SEGMENT'!$BE$8:$BE$1000))</f>
        <v>103665</v>
      </c>
      <c r="BF31" s="283">
        <f>IF($C31="","",SUMPRODUCT(('ANALYSE - ERP =&gt; SOUS-SEGMENT'!$C$8:$C$1000=$C31)*'ANALYSE - ERP =&gt; SOUS-SEGMENT'!$Q$8:$Q$1000*'ANALYSE - ERP =&gt; SOUS-SEGMENT'!$BF$8:$BF$1000))</f>
        <v>86150</v>
      </c>
      <c r="BG31" s="283">
        <f>IF($C31="","",SUMPRODUCT(('ANALYSE - ERP =&gt; SOUS-SEGMENT'!$C$8:$C$1000=$C31)*'ANALYSE - ERP =&gt; SOUS-SEGMENT'!$Q$8:$Q$1000*'ANALYSE - ERP =&gt; SOUS-SEGMENT'!$BG$8:$BG$1000))</f>
        <v>13817</v>
      </c>
      <c r="BH31" s="283">
        <f>IF($C31="","",SUMPRODUCT(('ANALYSE - ERP =&gt; SOUS-SEGMENT'!$C$8:$C$1000=$C31)*'ANALYSE - ERP =&gt; SOUS-SEGMENT'!$Q$8:$Q$1000*'ANALYSE - ERP =&gt; SOUS-SEGMENT'!$BH$8:$BH$1000))</f>
        <v>100445</v>
      </c>
      <c r="BI31" s="826">
        <f t="shared" si="2"/>
        <v>319815</v>
      </c>
      <c r="BJ31" s="283">
        <f>IF($C31="","",SUMPRODUCT(('ANALYSE - ERP =&gt; SOUS-SEGMENT'!$C$8:$C$1000=$C31)*'ANALYSE - ERP =&gt; SOUS-SEGMENT'!$Q$8:$Q$1000*'ANALYSE - ERP =&gt; SOUS-SEGMENT'!$BJ$8:$BJ$1000))</f>
        <v>109060</v>
      </c>
      <c r="BK31" s="283">
        <f>IF($C31="","",SUMPRODUCT(('ANALYSE - ERP =&gt; SOUS-SEGMENT'!$C$8:$C$1000=$C31)*'ANALYSE - ERP =&gt; SOUS-SEGMENT'!$Q$8:$Q$1000*'ANALYSE - ERP =&gt; SOUS-SEGMENT'!$BK$8:$BK$1000))</f>
        <v>90570</v>
      </c>
      <c r="BL31" s="283">
        <f>IF($C31="","",SUMPRODUCT(('ANALYSE - ERP =&gt; SOUS-SEGMENT'!$C$8:$C$1000=$C31)*'ANALYSE - ERP =&gt; SOUS-SEGMENT'!$Q$8:$Q$1000*'ANALYSE - ERP =&gt; SOUS-SEGMENT'!$BL$8:$BL$1000))</f>
        <v>14535</v>
      </c>
      <c r="BM31" s="283">
        <f>IF($C31="","",SUMPRODUCT(('ANALYSE - ERP =&gt; SOUS-SEGMENT'!$C$8:$C$1000=$C31)*'ANALYSE - ERP =&gt; SOUS-SEGMENT'!$Q$8:$Q$1000*'ANALYSE - ERP =&gt; SOUS-SEGMENT'!$BM$8:$BM$1000))</f>
        <v>105650</v>
      </c>
      <c r="BN31" s="657"/>
      <c r="BO31" s="305">
        <f t="shared" si="3"/>
        <v>0.37999999999999995</v>
      </c>
      <c r="BP31" s="305">
        <f t="shared" si="4"/>
        <v>0.42000000000000004</v>
      </c>
      <c r="BQ31" s="305">
        <f t="shared" si="5"/>
        <v>0.12</v>
      </c>
      <c r="BR31" s="581">
        <f t="shared" si="6"/>
        <v>0.08</v>
      </c>
      <c r="BS31" s="706">
        <f t="shared" si="7"/>
        <v>0.34</v>
      </c>
      <c r="BT31" s="305">
        <f t="shared" si="8"/>
        <v>0.42999999999999994</v>
      </c>
      <c r="BU31" s="305">
        <f t="shared" si="9"/>
        <v>0.15999999999999998</v>
      </c>
      <c r="BV31" s="581">
        <f t="shared" si="10"/>
        <v>7.0000000000000007E-2</v>
      </c>
      <c r="BW31" s="713">
        <f t="shared" si="11"/>
        <v>0.65</v>
      </c>
      <c r="BX31" s="306">
        <f t="shared" si="12"/>
        <v>0.28000000000000003</v>
      </c>
      <c r="BY31" s="590">
        <f t="shared" si="13"/>
        <v>7.0000000000000007E-2</v>
      </c>
      <c r="BZ31" s="713">
        <f t="shared" si="14"/>
        <v>0.6</v>
      </c>
      <c r="CA31" s="306">
        <f t="shared" si="15"/>
        <v>0.30999999999999994</v>
      </c>
      <c r="CB31" s="590">
        <f t="shared" si="16"/>
        <v>0.09</v>
      </c>
      <c r="CC31" s="706">
        <f t="shared" si="17"/>
        <v>0.12000000000000001</v>
      </c>
      <c r="CD31" s="305">
        <f t="shared" si="18"/>
        <v>0.51999999999999991</v>
      </c>
      <c r="CE31" s="305">
        <f t="shared" si="19"/>
        <v>0.12000000000000001</v>
      </c>
      <c r="CF31" s="581">
        <f t="shared" si="20"/>
        <v>0.24000000000000002</v>
      </c>
      <c r="CG31" s="706">
        <f t="shared" si="21"/>
        <v>0.1</v>
      </c>
      <c r="CH31" s="305">
        <f t="shared" si="22"/>
        <v>0.52</v>
      </c>
      <c r="CI31" s="305">
        <f t="shared" si="23"/>
        <v>0.15</v>
      </c>
      <c r="CJ31" s="581">
        <f t="shared" si="24"/>
        <v>0.23</v>
      </c>
      <c r="CK31" s="719">
        <f t="shared" si="25"/>
        <v>0.55000000000000004</v>
      </c>
      <c r="CL31" s="307">
        <f t="shared" si="26"/>
        <v>0.35</v>
      </c>
      <c r="CM31" s="723">
        <f t="shared" si="27"/>
        <v>0.1</v>
      </c>
      <c r="CN31" s="719">
        <f t="shared" si="28"/>
        <v>0.45</v>
      </c>
      <c r="CO31" s="307">
        <f t="shared" si="29"/>
        <v>0.4</v>
      </c>
      <c r="CP31" s="723">
        <f t="shared" si="30"/>
        <v>0.15</v>
      </c>
      <c r="CQ31" s="657"/>
      <c r="CR31" s="804">
        <f>IF($C31="","",IFERROR(SUMPRODUCT(('ANALYSE - ERP =&gt; SOUS-SEGMENT'!$C$8:$C$1000=$C31)*'ANALYSE - ERP =&gt; SOUS-SEGMENT'!$Q$8:$Q$1000*'ANALYSE - ERP =&gt; SOUS-SEGMENT'!$DH$8:$DH$1000*'ANALYSE - ERP =&gt; SOUS-SEGMENT'!$CR$8:$CR$1000)/SUMPRODUCT(('ANALYSE - ERP =&gt; SOUS-SEGMENT'!$C$8:$C$1000=$C31)*'ANALYSE - ERP =&gt; SOUS-SEGMENT'!$Q$8:$Q$1000*'ANALYSE - ERP =&gt; SOUS-SEGMENT'!$DH$8:$DH$1000),""))</f>
        <v>12.000000000000002</v>
      </c>
      <c r="CS31" s="805">
        <f>IF($C31="","",IFERROR(SUMPRODUCT(('ANALYSE - ERP =&gt; SOUS-SEGMENT'!$C$8:$C$1000=$C31)*'ANALYSE - ERP =&gt; SOUS-SEGMENT'!$Q$8:$Q$1000*'ANALYSE - ERP =&gt; SOUS-SEGMENT'!$DI$8:$DI$1000*'ANALYSE - ERP =&gt; SOUS-SEGMENT'!$CS$8:$CS$1000)/SUMPRODUCT(('ANALYSE - ERP =&gt; SOUS-SEGMENT'!$C$8:$C$1000=$C31)*'ANALYSE - ERP =&gt; SOUS-SEGMENT'!$Q$8:$Q$1000*'ANALYSE - ERP =&gt; SOUS-SEGMENT'!$DI$8:$DI$1000),""))</f>
        <v>12.999999999999996</v>
      </c>
      <c r="CT31" s="805">
        <f>IF($C31="","",IFERROR(SUMPRODUCT(('ANALYSE - ERP =&gt; SOUS-SEGMENT'!$C$8:$C$1000=$C31)*'ANALYSE - ERP =&gt; SOUS-SEGMENT'!$Q$8:$Q$1000*'ANALYSE - ERP =&gt; SOUS-SEGMENT'!$DJ$8:$DJ$1000*'ANALYSE - ERP =&gt; SOUS-SEGMENT'!$CT$8:$CT$1000)/SUMPRODUCT(('ANALYSE - ERP =&gt; SOUS-SEGMENT'!$C$8:$C$1000=$C31)*'ANALYSE - ERP =&gt; SOUS-SEGMENT'!$Q$8:$Q$1000*'ANALYSE - ERP =&gt; SOUS-SEGMENT'!$DJ$8:$DJ$1000),""))</f>
        <v>9</v>
      </c>
      <c r="CU31" s="806">
        <f>IF($C31="","",IFERROR(SUMPRODUCT(('ANALYSE - ERP =&gt; SOUS-SEGMENT'!$C$8:$C$1000=$C31)*'ANALYSE - ERP =&gt; SOUS-SEGMENT'!$Q$8:$Q$1000*'ANALYSE - ERP =&gt; SOUS-SEGMENT'!$DK$8:$DK$1000*'ANALYSE - ERP =&gt; SOUS-SEGMENT'!$CU$8:$CU$1000)/SUMPRODUCT(('ANALYSE - ERP =&gt; SOUS-SEGMENT'!$C$8:$C$1000=$C31)*'ANALYSE - ERP =&gt; SOUS-SEGMENT'!$Q$8:$Q$1000*'ANALYSE - ERP =&gt; SOUS-SEGMENT'!$DK$8:$DK$1000),""))</f>
        <v>11</v>
      </c>
      <c r="CV31" s="804">
        <f>IF($C31="","",IFERROR(SUMPRODUCT(('ANALYSE - ERP =&gt; SOUS-SEGMENT'!$C$8:$C$1000=$C31)*'ANALYSE - ERP =&gt; SOUS-SEGMENT'!$Q$8:$Q$1000*'ANALYSE - ERP =&gt; SOUS-SEGMENT'!$DS$8:$DS$1000*'ANALYSE - ERP =&gt; SOUS-SEGMENT'!$CV$8:$CV$1000)/SUMPRODUCT(('ANALYSE - ERP =&gt; SOUS-SEGMENT'!$C$8:$C$1000=$C31)*'ANALYSE - ERP =&gt; SOUS-SEGMENT'!$Q$8:$Q$1000*'ANALYSE - ERP =&gt; SOUS-SEGMENT'!$DS$8:$DS$1000),""))</f>
        <v>11</v>
      </c>
      <c r="CW31" s="805">
        <f>IF($C31="","",IFERROR(SUMPRODUCT(('ANALYSE - ERP =&gt; SOUS-SEGMENT'!$C$8:$C$1000=$C31)*'ANALYSE - ERP =&gt; SOUS-SEGMENT'!$Q$8:$Q$1000*'ANALYSE - ERP =&gt; SOUS-SEGMENT'!$DT$8:$DT$1000*'ANALYSE - ERP =&gt; SOUS-SEGMENT'!$CW$8:$CW$1000)/SUMPRODUCT(('ANALYSE - ERP =&gt; SOUS-SEGMENT'!$C$8:$C$1000=$C31)*'ANALYSE - ERP =&gt; SOUS-SEGMENT'!$Q$8:$Q$1000*'ANALYSE - ERP =&gt; SOUS-SEGMENT'!$DT$8:$DT$1000),""))</f>
        <v>10</v>
      </c>
      <c r="CX31" s="806">
        <f>IF($C31="","",IFERROR(SUMPRODUCT(('ANALYSE - ERP =&gt; SOUS-SEGMENT'!$C$8:$C$1000=$C31)*'ANALYSE - ERP =&gt; SOUS-SEGMENT'!$Q$8:$Q$1000*'ANALYSE - ERP =&gt; SOUS-SEGMENT'!$DU$8:$DU$1000*'ANALYSE - ERP =&gt; SOUS-SEGMENT'!$CX$8:$CX$1000)/SUMPRODUCT(('ANALYSE - ERP =&gt; SOUS-SEGMENT'!$C$8:$C$1000=$C31)*'ANALYSE - ERP =&gt; SOUS-SEGMENT'!$Q$8:$Q$1000*'ANALYSE - ERP =&gt; SOUS-SEGMENT'!$DU$8:$DU$1000),""))</f>
        <v>8</v>
      </c>
      <c r="CY31" s="804">
        <f>IF($C31="","",IFERROR(SUMPRODUCT(('ANALYSE - ERP =&gt; SOUS-SEGMENT'!$C$8:$C$1000=$C31)*'ANALYSE - ERP =&gt; SOUS-SEGMENT'!$Q$8:$Q$1000*'ANALYSE - ERP =&gt; SOUS-SEGMENT'!$EB$8:$EB$1000*'ANALYSE - ERP =&gt; SOUS-SEGMENT'!$CY$8:$CY$1000)/SUMPRODUCT(('ANALYSE - ERP =&gt; SOUS-SEGMENT'!$C$8:$C$1000=$C31)*'ANALYSE - ERP =&gt; SOUS-SEGMENT'!$Q$8:$Q$1000*'ANALYSE - ERP =&gt; SOUS-SEGMENT'!$EB$8:$EB$1000),""))</f>
        <v>10</v>
      </c>
      <c r="CZ31" s="805">
        <f>IF($C31="","",IFERROR(SUMPRODUCT(('ANALYSE - ERP =&gt; SOUS-SEGMENT'!$C$8:$C$1000=$C31)*'ANALYSE - ERP =&gt; SOUS-SEGMENT'!$Q$8:$Q$1000*'ANALYSE - ERP =&gt; SOUS-SEGMENT'!$EC$8:$EC$1000*'ANALYSE - ERP =&gt; SOUS-SEGMENT'!$CZ$8:$CZ$1000)/SUMPRODUCT(('ANALYSE - ERP =&gt; SOUS-SEGMENT'!$C$8:$C$1000=$C31)*'ANALYSE - ERP =&gt; SOUS-SEGMENT'!$Q$8:$Q$1000*'ANALYSE - ERP =&gt; SOUS-SEGMENT'!$EC$8:$EC$1000),""))</f>
        <v>12.000000000000002</v>
      </c>
      <c r="DA31" s="805">
        <f>IF($C31="","",IFERROR(SUMPRODUCT(('ANALYSE - ERP =&gt; SOUS-SEGMENT'!$C$8:$C$1000=$C31)*'ANALYSE - ERP =&gt; SOUS-SEGMENT'!$Q$8:$Q$1000*'ANALYSE - ERP =&gt; SOUS-SEGMENT'!$ED$8:$ED$1000*'ANALYSE - ERP =&gt; SOUS-SEGMENT'!$DA$8:$DA$1000)/SUMPRODUCT(('ANALYSE - ERP =&gt; SOUS-SEGMENT'!$C$8:$C$1000=$C31)*'ANALYSE - ERP =&gt; SOUS-SEGMENT'!$Q$8:$Q$1000*'ANALYSE - ERP =&gt; SOUS-SEGMENT'!$ED$8:$ED$1000),""))</f>
        <v>8</v>
      </c>
      <c r="DB31" s="806">
        <f>IF($C31="","",IFERROR(SUMPRODUCT(('ANALYSE - ERP =&gt; SOUS-SEGMENT'!$C$8:$C$1000=$C31)*'ANALYSE - ERP =&gt; SOUS-SEGMENT'!$Q$8:$Q$1000*'ANALYSE - ERP =&gt; SOUS-SEGMENT'!$EE$8:$EE$1000*'ANALYSE - ERP =&gt; SOUS-SEGMENT'!$DB$8:$DB$1000)/SUMPRODUCT(('ANALYSE - ERP =&gt; SOUS-SEGMENT'!$C$8:$C$1000=$C31)*'ANALYSE - ERP =&gt; SOUS-SEGMENT'!$Q$8:$Q$1000*'ANALYSE - ERP =&gt; SOUS-SEGMENT'!$EE$8:$EE$1000),""))</f>
        <v>10</v>
      </c>
      <c r="DC31" s="804">
        <f>IF($C31="","",IFERROR(SUMPRODUCT(('ANALYSE - ERP =&gt; SOUS-SEGMENT'!$C$8:$C$1000=$C31)*'ANALYSE - ERP =&gt; SOUS-SEGMENT'!$Q$8:$Q$1000*'ANALYSE - ERP =&gt; SOUS-SEGMENT'!$EM$8:$EM$1000*'ANALYSE - ERP =&gt; SOUS-SEGMENT'!$DC$8:$DC$1000)/SUMPRODUCT(('ANALYSE - ERP =&gt; SOUS-SEGMENT'!$C$8:$C$1000=$C31)*'ANALYSE - ERP =&gt; SOUS-SEGMENT'!$Q$8:$Q$1000*'ANALYSE - ERP =&gt; SOUS-SEGMENT'!$EM$8:$EM$1000),""))</f>
        <v>13</v>
      </c>
      <c r="DD31" s="805">
        <f>IF($C31="","",IFERROR(SUMPRODUCT(('ANALYSE - ERP =&gt; SOUS-SEGMENT'!$C$8:$C$1000=$C31)*'ANALYSE - ERP =&gt; SOUS-SEGMENT'!$Q$8:$Q$1000*'ANALYSE - ERP =&gt; SOUS-SEGMENT'!$EN$8:$EN$1000*'ANALYSE - ERP =&gt; SOUS-SEGMENT'!$DD$8:$DD$1000)/SUMPRODUCT(('ANALYSE - ERP =&gt; SOUS-SEGMENT'!$C$8:$C$1000=$C31)*'ANALYSE - ERP =&gt; SOUS-SEGMENT'!$Q$8:$Q$1000*'ANALYSE - ERP =&gt; SOUS-SEGMENT'!$EN$8:$EN$1000),""))</f>
        <v>13</v>
      </c>
      <c r="DE31" s="806">
        <f>IF($C31="","",IFERROR(SUMPRODUCT(('ANALYSE - ERP =&gt; SOUS-SEGMENT'!$C$8:$C$1000=$C31)*'ANALYSE - ERP =&gt; SOUS-SEGMENT'!$Q$8:$Q$1000*'ANALYSE - ERP =&gt; SOUS-SEGMENT'!$EO$8:$EO$1000*'ANALYSE - ERP =&gt; SOUS-SEGMENT'!$DE$8:$DE$1000)/SUMPRODUCT(('ANALYSE - ERP =&gt; SOUS-SEGMENT'!$C$8:$C$1000=$C31)*'ANALYSE - ERP =&gt; SOUS-SEGMENT'!$Q$8:$Q$1000*'ANALYSE - ERP =&gt; SOUS-SEGMENT'!$EO$8:$EO$1000),""))</f>
        <v>9</v>
      </c>
      <c r="DF31" s="919" t="s">
        <v>5986</v>
      </c>
      <c r="DG31" s="657"/>
      <c r="DH31" s="308">
        <f>IF($C31="","",SUMPRODUCT(('ANALYSE - ERP =&gt; SOUS-SEGMENT'!$C$8:$C$1000=$C31)*'ANALYSE - ERP =&gt; SOUS-SEGMENT'!$Q$8:$Q$1000*'ANALYSE - ERP =&gt; SOUS-SEGMENT'!$DH$8:$DH$1000))</f>
        <v>39392.699999999997</v>
      </c>
      <c r="DI31" s="308">
        <f>IF($C31="","",SUMPRODUCT(('ANALYSE - ERP =&gt; SOUS-SEGMENT'!$C$8:$C$1000=$C31)*'ANALYSE - ERP =&gt; SOUS-SEGMENT'!$Q$8:$Q$1000*'ANALYSE - ERP =&gt; SOUS-SEGMENT'!$DI$8:$DI$1000))</f>
        <v>43539.3</v>
      </c>
      <c r="DJ31" s="308">
        <f>IF($C31="","",SUMPRODUCT(('ANALYSE - ERP =&gt; SOUS-SEGMENT'!$C$8:$C$1000=$C31)*'ANALYSE - ERP =&gt; SOUS-SEGMENT'!$Q$8:$Q$1000*'ANALYSE - ERP =&gt; SOUS-SEGMENT'!$DJ$8:$DJ$1000))</f>
        <v>12439.8</v>
      </c>
      <c r="DK31" s="308">
        <f>IF($C31="","",SUMPRODUCT(('ANALYSE - ERP =&gt; SOUS-SEGMENT'!$C$8:$C$1000=$C31)*'ANALYSE - ERP =&gt; SOUS-SEGMENT'!$Q$8:$Q$1000*'ANALYSE - ERP =&gt; SOUS-SEGMENT'!$DK$8:$DK$1000))</f>
        <v>8293.2000000000007</v>
      </c>
      <c r="DL31" s="646" t="s">
        <v>5987</v>
      </c>
      <c r="DM31" s="308">
        <f>IF($C31="","",SUMPRODUCT(('ANALYSE - ERP =&gt; SOUS-SEGMENT'!$C$8:$C$1000=$C31)*'ANALYSE - ERP =&gt; SOUS-SEGMENT'!$Q$8:$Q$1000*'ANALYSE - ERP =&gt; SOUS-SEGMENT'!$DM$8:$DM$1000))</f>
        <v>37080.400000000001</v>
      </c>
      <c r="DN31" s="308">
        <f>IF($C31="","",SUMPRODUCT(('ANALYSE - ERP =&gt; SOUS-SEGMENT'!$C$8:$C$1000=$C31)*'ANALYSE - ERP =&gt; SOUS-SEGMENT'!$Q$8:$Q$1000*'ANALYSE - ERP =&gt; SOUS-SEGMENT'!$DN$8:$DN$1000))</f>
        <v>46895.799999999996</v>
      </c>
      <c r="DO31" s="308">
        <f>IF($C31="","",SUMPRODUCT(('ANALYSE - ERP =&gt; SOUS-SEGMENT'!$C$8:$C$1000=$C31)*'ANALYSE - ERP =&gt; SOUS-SEGMENT'!$Q$8:$Q$1000*'ANALYSE - ERP =&gt; SOUS-SEGMENT'!$DO$8:$DO$1000))</f>
        <v>17449.599999999999</v>
      </c>
      <c r="DP31" s="308">
        <f>IF($C31="","",SUMPRODUCT(('ANALYSE - ERP =&gt; SOUS-SEGMENT'!$C$8:$C$1000=$C31)*'ANALYSE - ERP =&gt; SOUS-SEGMENT'!$Q$8:$Q$1000*'ANALYSE - ERP =&gt; SOUS-SEGMENT'!$DP$8:$DP$1000))</f>
        <v>7634.2000000000007</v>
      </c>
      <c r="DQ31" s="646" t="s">
        <v>3551</v>
      </c>
      <c r="DR31" s="657"/>
      <c r="DS31" s="308">
        <f>IF($C31="","",SUMPRODUCT(('ANALYSE - ERP =&gt; SOUS-SEGMENT'!$C$8:$C$1000=$C31)*'ANALYSE - ERP =&gt; SOUS-SEGMENT'!$Q$8:$Q$1000*'ANALYSE - ERP =&gt; SOUS-SEGMENT'!$DS$8:$DS$1000))</f>
        <v>55997.5</v>
      </c>
      <c r="DT31" s="308">
        <f>IF($C31="","",SUMPRODUCT(('ANALYSE - ERP =&gt; SOUS-SEGMENT'!$C$8:$C$1000=$C31)*'ANALYSE - ERP =&gt; SOUS-SEGMENT'!$Q$8:$Q$1000*'ANALYSE - ERP =&gt; SOUS-SEGMENT'!$DT$8:$DT$1000))</f>
        <v>24122</v>
      </c>
      <c r="DU31" s="308">
        <f>IF($C31="","",SUMPRODUCT(('ANALYSE - ERP =&gt; SOUS-SEGMENT'!$C$8:$C$1000=$C31)*'ANALYSE - ERP =&gt; SOUS-SEGMENT'!$Q$8:$Q$1000*'ANALYSE - ERP =&gt; SOUS-SEGMENT'!$DU$8:$DU$1000))</f>
        <v>6030.5</v>
      </c>
      <c r="DV31" s="646" t="s">
        <v>5988</v>
      </c>
      <c r="DW31" s="308">
        <f>IF($C31="","",SUMPRODUCT(('ANALYSE - ERP =&gt; SOUS-SEGMENT'!$C$8:$C$1000=$C31)*'ANALYSE - ERP =&gt; SOUS-SEGMENT'!$Q$8:$Q$1000*'ANALYSE - ERP =&gt; SOUS-SEGMENT'!$DW$8:$DW$1000))</f>
        <v>54342</v>
      </c>
      <c r="DX31" s="308">
        <f>IF($C31="","",SUMPRODUCT(('ANALYSE - ERP =&gt; SOUS-SEGMENT'!$C$8:$C$1000=$C31)*'ANALYSE - ERP =&gt; SOUS-SEGMENT'!$Q$8:$Q$1000*'ANALYSE - ERP =&gt; SOUS-SEGMENT'!$DX$8:$DX$1000))</f>
        <v>28076.699999999997</v>
      </c>
      <c r="DY31" s="308">
        <f>IF($C31="","",SUMPRODUCT(('ANALYSE - ERP =&gt; SOUS-SEGMENT'!$C$8:$C$1000=$C31)*'ANALYSE - ERP =&gt; SOUS-SEGMENT'!$Q$8:$Q$1000*'ANALYSE - ERP =&gt; SOUS-SEGMENT'!$DY$8:$DY$1000))</f>
        <v>8151.2999999999993</v>
      </c>
      <c r="DZ31" s="646" t="s">
        <v>4150</v>
      </c>
      <c r="EA31" s="657"/>
      <c r="EB31" s="308">
        <f>IF($C31="","",SUMPRODUCT(('ANALYSE - ERP =&gt; SOUS-SEGMENT'!$C$8:$C$1000=$C31)*'ANALYSE - ERP =&gt; SOUS-SEGMENT'!$Q$8:$Q$1000*'ANALYSE - ERP =&gt; SOUS-SEGMENT'!$EB$8:$EB$1000))</f>
        <v>1658.0400000000002</v>
      </c>
      <c r="EC31" s="308">
        <f>IF($C31="","",SUMPRODUCT(('ANALYSE - ERP =&gt; SOUS-SEGMENT'!$C$8:$C$1000=$C31)*'ANALYSE - ERP =&gt; SOUS-SEGMENT'!$Q$8:$Q$1000*'ANALYSE - ERP =&gt; SOUS-SEGMENT'!$EC$8:$EC$1000))</f>
        <v>7184.8399999999992</v>
      </c>
      <c r="ED31" s="308">
        <f>IF($C31="","",SUMPRODUCT(('ANALYSE - ERP =&gt; SOUS-SEGMENT'!$C$8:$C$1000=$C31)*'ANALYSE - ERP =&gt; SOUS-SEGMENT'!$Q$8:$Q$1000*'ANALYSE - ERP =&gt; SOUS-SEGMENT'!$ED$8:$ED$1000))</f>
        <v>1658.0400000000002</v>
      </c>
      <c r="EE31" s="308">
        <f>IF($C31="","",SUMPRODUCT(('ANALYSE - ERP =&gt; SOUS-SEGMENT'!$C$8:$C$1000=$C31)*'ANALYSE - ERP =&gt; SOUS-SEGMENT'!$Q$8:$Q$1000*'ANALYSE - ERP =&gt; SOUS-SEGMENT'!$EE$8:$EE$1000))</f>
        <v>3316.0800000000004</v>
      </c>
      <c r="EF31" s="646" t="s">
        <v>5989</v>
      </c>
      <c r="EG31" s="308">
        <f>IF($C31="","",SUMPRODUCT(('ANALYSE - ERP =&gt; SOUS-SEGMENT'!$C$8:$C$1000=$C31)*'ANALYSE - ERP =&gt; SOUS-SEGMENT'!$Q$8:$Q$1000*'ANALYSE - ERP =&gt; SOUS-SEGMENT'!$EG$8:$EG$1000))</f>
        <v>1453.5</v>
      </c>
      <c r="EH31" s="308">
        <f>IF($C31="","",SUMPRODUCT(('ANALYSE - ERP =&gt; SOUS-SEGMENT'!$C$8:$C$1000=$C31)*'ANALYSE - ERP =&gt; SOUS-SEGMENT'!$Q$8:$Q$1000*'ANALYSE - ERP =&gt; SOUS-SEGMENT'!$EH$8:$EH$1000))</f>
        <v>7558.2000000000007</v>
      </c>
      <c r="EI31" s="308">
        <f>IF($C31="","",SUMPRODUCT(('ANALYSE - ERP =&gt; SOUS-SEGMENT'!$C$8:$C$1000=$C31)*'ANALYSE - ERP =&gt; SOUS-SEGMENT'!$Q$8:$Q$1000*'ANALYSE - ERP =&gt; SOUS-SEGMENT'!$EI$8:$EI$1000))</f>
        <v>2180.25</v>
      </c>
      <c r="EJ31" s="308">
        <f>IF($C31="","",SUMPRODUCT(('ANALYSE - ERP =&gt; SOUS-SEGMENT'!$C$8:$C$1000=$C31)*'ANALYSE - ERP =&gt; SOUS-SEGMENT'!$Q$8:$Q$1000*'ANALYSE - ERP =&gt; SOUS-SEGMENT'!$EJ$8:$EJ$1000))</f>
        <v>3343.05</v>
      </c>
      <c r="EK31" s="936" t="s">
        <v>5990</v>
      </c>
      <c r="EL31" s="657"/>
      <c r="EM31" s="308">
        <f>IF($C31="","",SUMPRODUCT(('ANALYSE - ERP =&gt; SOUS-SEGMENT'!$C$8:$C$1000=$C31)*'ANALYSE - ERP =&gt; SOUS-SEGMENT'!$Q$8:$Q$1000*'ANALYSE - ERP =&gt; SOUS-SEGMENT'!$EM$8:$EM$1000))</f>
        <v>55244.75</v>
      </c>
      <c r="EN31" s="310">
        <f>IF($C31="","",SUMPRODUCT(('ANALYSE - ERP =&gt; SOUS-SEGMENT'!$C$8:$C$1000=$C31)*'ANALYSE - ERP =&gt; SOUS-SEGMENT'!$Q$8:$Q$1000*'ANALYSE - ERP =&gt; SOUS-SEGMENT'!$EN$8:$EN$1000))</f>
        <v>35155.75</v>
      </c>
      <c r="EO31" s="310">
        <f>IF($C31="","",SUMPRODUCT(('ANALYSE - ERP =&gt; SOUS-SEGMENT'!$C$8:$C$1000=$C31)*'ANALYSE - ERP =&gt; SOUS-SEGMENT'!$Q$8:$Q$1000*'ANALYSE - ERP =&gt; SOUS-SEGMENT'!$EO$8:$EO$1000))</f>
        <v>10044.5</v>
      </c>
      <c r="EP31" s="646" t="s">
        <v>5991</v>
      </c>
      <c r="EQ31" s="308">
        <f>IF($C31="","",SUMPRODUCT(('ANALYSE - ERP =&gt; SOUS-SEGMENT'!$C$8:$C$1000=$C31)*'ANALYSE - ERP =&gt; SOUS-SEGMENT'!$Q$8:$Q$1000*'ANALYSE - ERP =&gt; SOUS-SEGMENT'!$EQ$8:$EQ$1000))</f>
        <v>47542.5</v>
      </c>
      <c r="ER31" s="310">
        <f>IF($C31="","",SUMPRODUCT(('ANALYSE - ERP =&gt; SOUS-SEGMENT'!$C$8:$C$1000=$C31)*'ANALYSE - ERP =&gt; SOUS-SEGMENT'!$Q$8:$Q$1000*'ANALYSE - ERP =&gt; SOUS-SEGMENT'!$ER$8:$ER$1000))</f>
        <v>42260</v>
      </c>
      <c r="ES31" s="310">
        <f>IF($C31="","",SUMPRODUCT(('ANALYSE - ERP =&gt; SOUS-SEGMENT'!$C$8:$C$1000=$C31)*'ANALYSE - ERP =&gt; SOUS-SEGMENT'!$Q$8:$Q$1000*'ANALYSE - ERP =&gt; SOUS-SEGMENT'!$ES$8:$ES$1000))</f>
        <v>15847.5</v>
      </c>
      <c r="ET31" s="646" t="s">
        <v>3555</v>
      </c>
      <c r="EU31" s="657"/>
      <c r="EV31" s="728">
        <f t="shared" si="31"/>
        <v>0.70749885520992217</v>
      </c>
      <c r="EW31" s="728">
        <f t="shared" si="32"/>
        <v>0.29250114479007788</v>
      </c>
      <c r="EX31" s="311">
        <f t="shared" si="33"/>
        <v>121793.14999114643</v>
      </c>
      <c r="EY31" s="311">
        <f t="shared" si="34"/>
        <v>86168.514191146445</v>
      </c>
      <c r="EZ31" s="311">
        <f t="shared" si="35"/>
        <v>35624.635799999996</v>
      </c>
      <c r="FA31" s="311">
        <f t="shared" si="36"/>
        <v>40272.679122512243</v>
      </c>
      <c r="FB31" s="311">
        <f>IF($C31="","",SUMPRODUCT(('ANALYSE - ERP =&gt; SOUS-SEGMENT'!$C$8:$C$1000=$C31)*'ANALYSE - ERP =&gt; SOUS-SEGMENT'!$Q$8:$Q$1000*'ANALYSE - ERP =&gt; SOUS-SEGMENT'!$FB$8:$FB$1000))</f>
        <v>28097.988122512241</v>
      </c>
      <c r="FC31" s="311">
        <f>IF($C31="","",SUMPRODUCT(('ANALYSE - ERP =&gt; SOUS-SEGMENT'!$C$8:$C$1000=$C31)*'ANALYSE - ERP =&gt; SOUS-SEGMENT'!$Q$8:$Q$1000*'ANALYSE - ERP =&gt; SOUS-SEGMENT'!$FC$8:$FC$1000))</f>
        <v>12174.691000000001</v>
      </c>
      <c r="FD31" s="311">
        <f t="shared" si="37"/>
        <v>38445.578106843182</v>
      </c>
      <c r="FE31" s="311">
        <f>IF($C31="","",SUMPRODUCT(('ANALYSE - ERP =&gt; SOUS-SEGMENT'!$C$8:$C$1000=$C31)*'ANALYSE - ERP =&gt; SOUS-SEGMENT'!$Q$8:$Q$1000*'ANALYSE - ERP =&gt; SOUS-SEGMENT'!$FE$8:$FE$1000))</f>
        <v>28391.368106843183</v>
      </c>
      <c r="FF31" s="311">
        <f>IF($C31="","",SUMPRODUCT(('ANALYSE - ERP =&gt; SOUS-SEGMENT'!$C$8:$C$1000=$C31)*'ANALYSE - ERP =&gt; SOUS-SEGMENT'!$Q$8:$Q$1000*'ANALYSE - ERP =&gt; SOUS-SEGMENT'!$FF$8:$FF$1000))</f>
        <v>10054.209999999999</v>
      </c>
      <c r="FG31" s="311">
        <f t="shared" si="38"/>
        <v>6009.4253761500004</v>
      </c>
      <c r="FH31" s="311">
        <f>IF($C31="","",SUMPRODUCT(('ANALYSE - ERP =&gt; SOUS-SEGMENT'!$C$8:$C$1000=$C31)*'ANALYSE - ERP =&gt; SOUS-SEGMENT'!$Q$8:$Q$1000*'ANALYSE - ERP =&gt; SOUS-SEGMENT'!$FH$8:$FH$1000))</f>
        <v>4387.7935761500003</v>
      </c>
      <c r="FI31" s="311">
        <f>IF($C31="","",SUMPRODUCT(('ANALYSE - ERP =&gt; SOUS-SEGMENT'!$C$8:$C$1000=$C31)*'ANALYSE - ERP =&gt; SOUS-SEGMENT'!$Q$8:$Q$1000*'ANALYSE - ERP =&gt; SOUS-SEGMENT'!$FI$8:$FI$1000))</f>
        <v>1621.6317999999999</v>
      </c>
      <c r="FJ31" s="311">
        <f t="shared" si="39"/>
        <v>37065.467385641023</v>
      </c>
      <c r="FK31" s="311">
        <f>IF($C31="","",SUMPRODUCT(('ANALYSE - ERP =&gt; SOUS-SEGMENT'!$C$8:$C$1000=$C31)*'ANALYSE - ERP =&gt; SOUS-SEGMENT'!$Q$8:$Q$1000*'ANALYSE - ERP =&gt; SOUS-SEGMENT'!$FK$8:$FK$1000))</f>
        <v>25291.364385641024</v>
      </c>
      <c r="FL31" s="311">
        <f>IF($C31="","",SUMPRODUCT(('ANALYSE - ERP =&gt; SOUS-SEGMENT'!$C$8:$C$1000=$C31)*'ANALYSE - ERP =&gt; SOUS-SEGMENT'!$Q$8:$Q$1000*'ANALYSE - ERP =&gt; SOUS-SEGMENT'!$FL$8:$FL$1000))</f>
        <v>11774.103000000001</v>
      </c>
      <c r="FM31" s="657"/>
      <c r="FN31" s="954" t="s">
        <v>2649</v>
      </c>
      <c r="FO31" s="728">
        <f>IF($C31="","",IFERROR(SUMPRODUCT(('ANALYSE - ERP =&gt; SOUS-SEGMENT'!$C$8:$C$1000=$C31)*'ANALYSE - ERP =&gt; SOUS-SEGMENT'!$Q$8:$Q$1000*'ANALYSE - ERP =&gt; SOUS-SEGMENT'!$AF$8:$AF$1000*'ANALYSE - ERP =&gt; SOUS-SEGMENT'!$FO$8:$FO$1000)/SUMPRODUCT(('ANALYSE - ERP =&gt; SOUS-SEGMENT'!$C$8:$C$1000=$C31)*'ANALYSE - ERP =&gt; SOUS-SEGMENT'!$Q$8:$Q$1000*'ANALYSE - ERP =&gt; SOUS-SEGMENT'!$AF$8:$AF$1000),""))</f>
        <v>6.5400000000000014E-2</v>
      </c>
      <c r="FP31" s="729">
        <f>IF($C31="","",IFERROR(SUMPRODUCT(('ANALYSE - ERP =&gt; SOUS-SEGMENT'!$C$8:$C$1000=$C31)*'ANALYSE - ERP =&gt; SOUS-SEGMENT'!$Q$8:$Q$1000*'ANALYSE - ERP =&gt; SOUS-SEGMENT'!$AF$8:$AF$1000*'ANALYSE - ERP =&gt; SOUS-SEGMENT'!$FP$8:$FP$1000)/SUMPRODUCT(('ANALYSE - ERP =&gt; SOUS-SEGMENT'!$C$8:$C$1000=$C31)*'ANALYSE - ERP =&gt; SOUS-SEGMENT'!$Q$8:$Q$1000*'ANALYSE - ERP =&gt; SOUS-SEGMENT'!$AF$8:$AF$1000),""))</f>
        <v>0.79215000000000002</v>
      </c>
      <c r="FQ31" s="954" t="s">
        <v>4320</v>
      </c>
      <c r="FR31" s="657"/>
      <c r="FS31" s="865">
        <f>IF($C31="","",IFERROR(SUMPRODUCT(('ANALYSE - ERP =&gt; SOUS-SEGMENT'!$C$8:$C$1000=$C31)*'ANALYSE - ERP =&gt; SOUS-SEGMENT'!$Q$8:$Q$1000*'ANALYSE - ERP =&gt; SOUS-SEGMENT'!$EX$8:$EX$1000*'ANALYSE - ERP =&gt; SOUS-SEGMENT'!$FS$8:$FS$1000)/SUMPRODUCT(('ANALYSE - ERP =&gt; SOUS-SEGMENT'!$C$8:$C$1000=$C31)*'ANALYSE - ERP =&gt; SOUS-SEGMENT'!$Q$8:$Q$1000*'ANALYSE - ERP =&gt; SOUS-SEGMENT'!$EX$8:$EX$1000),""))</f>
        <v>3.62</v>
      </c>
      <c r="FT31" s="312">
        <f>IF($C31="","",RANK($FS31,$FS$8:$FS$43,0)+COUNTIF($FS$8:$FS31,$FS31)-1)</f>
        <v>6</v>
      </c>
      <c r="FU31" s="865">
        <f>IF($C31="","",IFERROR(SUMPRODUCT(('ANALYSE - ERP =&gt; SOUS-SEGMENT'!$C$8:$C$1000=$C31)*'ANALYSE - ERP =&gt; SOUS-SEGMENT'!$Q$8:$Q$1000*'ANALYSE - ERP =&gt; SOUS-SEGMENT'!$EY$8:$EY$1000*'ANALYSE - ERP =&gt; SOUS-SEGMENT'!$FU$8:$FU$1000)/SUMPRODUCT(('ANALYSE - ERP =&gt; SOUS-SEGMENT'!$C$8:$C$1000=$C31)*'ANALYSE - ERP =&gt; SOUS-SEGMENT'!$Q$8:$Q$1000*'ANALYSE - ERP =&gt; SOUS-SEGMENT'!$EY$8:$EY$1000),""))</f>
        <v>4.49</v>
      </c>
      <c r="FV31" s="312">
        <f>IF($C31="","",RANK($FU31,$FU$8:$FU$43,0)+COUNTIF($FU$8:$FU31,$FU31)-1)</f>
        <v>2</v>
      </c>
      <c r="FW31" s="865">
        <f>IF($C31="","",IFERROR(SUMPRODUCT(('ANALYSE - ERP =&gt; SOUS-SEGMENT'!$C$8:$C$1000=$C31)*'ANALYSE - ERP =&gt; SOUS-SEGMENT'!$Q$8:$Q$1000*'ANALYSE - ERP =&gt; SOUS-SEGMENT'!$EZ$8:$EZ$1000*'ANALYSE - ERP =&gt; SOUS-SEGMENT'!$FW$8:$FW$1000)/SUMPRODUCT(('ANALYSE - ERP =&gt; SOUS-SEGMENT'!$C$8:$C$1000=$C31)*'ANALYSE - ERP =&gt; SOUS-SEGMENT'!$Q$8:$Q$1000*'ANALYSE - ERP =&gt; SOUS-SEGMENT'!$EZ$8:$EZ$1000),""))</f>
        <v>2.0699999999999994</v>
      </c>
      <c r="FX31" s="312">
        <f>IF($C31="","",RANK($FW31,$FW$8:$FW$43,0)+COUNTIF($FW$8:$FW31,$FW31)-1)</f>
        <v>25</v>
      </c>
      <c r="FY31" s="657"/>
      <c r="FZ31" s="646" t="s">
        <v>4321</v>
      </c>
      <c r="GA31" s="646" t="s">
        <v>5992</v>
      </c>
      <c r="GB31" s="646" t="s">
        <v>2653</v>
      </c>
      <c r="GC31" s="646" t="s">
        <v>2654</v>
      </c>
      <c r="GD31" s="646" t="s">
        <v>2655</v>
      </c>
      <c r="GE31" s="646" t="s">
        <v>2656</v>
      </c>
      <c r="GF31" s="276" t="s">
        <v>5967</v>
      </c>
      <c r="GG31" s="657"/>
      <c r="GH31" s="311">
        <f t="shared" si="40"/>
        <v>14612.70450575</v>
      </c>
      <c r="GI31" s="311">
        <f>IF($C31="","",SUMPRODUCT(('ANALYSE - ERP =&gt; SOUS-SEGMENT'!$C$8:$C$1000=$C31)*'ANALYSE - ERP =&gt; SOUS-SEGMENT'!$Q$8:$Q$1000*'ANALYSE - ERP =&gt; SOUS-SEGMENT'!$GI$8:$GI$1000))</f>
        <v>10473.30956575</v>
      </c>
      <c r="GJ31" s="311">
        <f>IF($C31="","",SUMPRODUCT(('ANALYSE - ERP =&gt; SOUS-SEGMENT'!$C$8:$C$1000=$C31)*'ANALYSE - ERP =&gt; SOUS-SEGMENT'!$Q$8:$Q$1000*'ANALYSE - ERP =&gt; SOUS-SEGMENT'!$GJ$8:$GJ$1000))</f>
        <v>4139.3949400000001</v>
      </c>
      <c r="GK31" s="311">
        <f t="shared" si="41"/>
        <v>15417.031779307692</v>
      </c>
      <c r="GL31" s="311">
        <f>IF($C31="","",SUMPRODUCT(('ANALYSE - ERP =&gt; SOUS-SEGMENT'!$C$8:$C$1000=$C31)*'ANALYSE - ERP =&gt; SOUS-SEGMENT'!$Q$8:$Q$1000*'ANALYSE - ERP =&gt; SOUS-SEGMENT'!$GL$8:$GL$1000))</f>
        <v>10181.914649307691</v>
      </c>
      <c r="GM31" s="311">
        <f>IF($C31="","",SUMPRODUCT(('ANALYSE - ERP =&gt; SOUS-SEGMENT'!$C$8:$C$1000=$C31)*'ANALYSE - ERP =&gt; SOUS-SEGMENT'!$Q$8:$Q$1000*'ANALYSE - ERP =&gt; SOUS-SEGMENT'!$GM$8:$GM$1000))</f>
        <v>5235.1171300000005</v>
      </c>
      <c r="GN31" s="311">
        <f t="shared" si="42"/>
        <v>6855.5521740000004</v>
      </c>
      <c r="GO31" s="311">
        <f>IF($C31="","",SUMPRODUCT(('ANALYSE - ERP =&gt; SOUS-SEGMENT'!$C$8:$C$1000=$C31)*'ANALYSE - ERP =&gt; SOUS-SEGMENT'!$Q$8:$Q$1000*'ANALYSE - ERP =&gt; SOUS-SEGMENT'!$GO$8:$GO$1000))</f>
        <v>4907.6016140000002</v>
      </c>
      <c r="GP31" s="311">
        <f>IF($C31="","",SUMPRODUCT(('ANALYSE - ERP =&gt; SOUS-SEGMENT'!$C$8:$C$1000=$C31)*'ANALYSE - ERP =&gt; SOUS-SEGMENT'!$Q$8:$Q$1000*'ANALYSE - ERP =&gt; SOUS-SEGMENT'!$GP$8:$GP$1000))</f>
        <v>1947.9505600000002</v>
      </c>
      <c r="GQ31" s="311">
        <f t="shared" si="43"/>
        <v>3387.3906634545456</v>
      </c>
      <c r="GR31" s="311">
        <f>IF($C31="","",SUMPRODUCT(('ANALYSE - ERP =&gt; SOUS-SEGMENT'!$C$8:$C$1000=$C31)*'ANALYSE - ERP =&gt; SOUS-SEGMENT'!$Q$8:$Q$1000*'ANALYSE - ERP =&gt; SOUS-SEGMENT'!$GR$8:$GR$1000))</f>
        <v>2535.1622934545458</v>
      </c>
      <c r="GS31" s="311">
        <f>IF($C31="","",SUMPRODUCT(('ANALYSE - ERP =&gt; SOUS-SEGMENT'!$C$8:$C$1000=$C31)*'ANALYSE - ERP =&gt; SOUS-SEGMENT'!$Q$8:$Q$1000*'ANALYSE - ERP =&gt; SOUS-SEGMENT'!$GS$8:$GS$1000))</f>
        <v>852.22837000000004</v>
      </c>
      <c r="GT31" s="311">
        <f t="shared" si="44"/>
        <v>23265.864471818186</v>
      </c>
      <c r="GU31" s="311">
        <f>IF($C31="","",SUMPRODUCT(('ANALYSE - ERP =&gt; SOUS-SEGMENT'!$C$8:$C$1000=$C31)*'ANALYSE - ERP =&gt; SOUS-SEGMENT'!$Q$8:$Q$1000*'ANALYSE - ERP =&gt; SOUS-SEGMENT'!$GU$8:$GU$1000))</f>
        <v>17233.338471818184</v>
      </c>
      <c r="GV31" s="311">
        <f>IF($C31="","",SUMPRODUCT(('ANALYSE - ERP =&gt; SOUS-SEGMENT'!$C$8:$C$1000=$C31)*'ANALYSE - ERP =&gt; SOUS-SEGMENT'!$Q$8:$Q$1000*'ANALYSE - ERP =&gt; SOUS-SEGMENT'!$GV$8:$GV$1000))</f>
        <v>6032.5260000000007</v>
      </c>
      <c r="GW31" s="311">
        <f t="shared" si="45"/>
        <v>11525.585082400001</v>
      </c>
      <c r="GX31" s="311">
        <f>IF($C31="","",SUMPRODUCT(('ANALYSE - ERP =&gt; SOUS-SEGMENT'!$C$8:$C$1000=$C31)*'ANALYSE - ERP =&gt; SOUS-SEGMENT'!$Q$8:$Q$1000*'ANALYSE - ERP =&gt; SOUS-SEGMENT'!$GX$8:$GX$1000))</f>
        <v>8408.7799824000012</v>
      </c>
      <c r="GY31" s="311">
        <f>IF($C31="","",SUMPRODUCT(('ANALYSE - ERP =&gt; SOUS-SEGMENT'!$C$8:$C$1000=$C31)*'ANALYSE - ERP =&gt; SOUS-SEGMENT'!$Q$8:$Q$1000*'ANALYSE - ERP =&gt; SOUS-SEGMENT'!$GY$8:$GY$1000))</f>
        <v>3116.8051</v>
      </c>
      <c r="GZ31" s="311">
        <f t="shared" si="46"/>
        <v>3654.1285526250003</v>
      </c>
      <c r="HA31" s="311">
        <f>IF($C31="","",SUMPRODUCT(('ANALYSE - ERP =&gt; SOUS-SEGMENT'!$C$8:$C$1000=$C31)*'ANALYSE - ERP =&gt; SOUS-SEGMENT'!$Q$8:$Q$1000*'ANALYSE - ERP =&gt; SOUS-SEGMENT'!$HA$8:$HA$1000))</f>
        <v>2749.2496526250002</v>
      </c>
      <c r="HB31" s="311">
        <f>IF($C31="","",SUMPRODUCT(('ANALYSE - ERP =&gt; SOUS-SEGMENT'!$C$8:$C$1000=$C31)*'ANALYSE - ERP =&gt; SOUS-SEGMENT'!$Q$8:$Q$1000*'ANALYSE - ERP =&gt; SOUS-SEGMENT'!$HB$8:$HB$1000))</f>
        <v>904.87889999999993</v>
      </c>
      <c r="HC31" s="311">
        <f t="shared" si="47"/>
        <v>736.51312180000002</v>
      </c>
      <c r="HD31" s="311">
        <f>IF($C31="","",SUMPRODUCT(('ANALYSE - ERP =&gt; SOUS-SEGMENT'!$C$8:$C$1000=$C31)*'ANALYSE - ERP =&gt; SOUS-SEGMENT'!$Q$8:$Q$1000*'ANALYSE - ERP =&gt; SOUS-SEGMENT'!$HD$8:$HD$1000))</f>
        <v>574.34994180000001</v>
      </c>
      <c r="HE31" s="311">
        <f>IF($C31="","",SUMPRODUCT(('ANALYSE - ERP =&gt; SOUS-SEGMENT'!$C$8:$C$1000=$C31)*'ANALYSE - ERP =&gt; SOUS-SEGMENT'!$Q$8:$Q$1000*'ANALYSE - ERP =&gt; SOUS-SEGMENT'!$HE$8:$HE$1000))</f>
        <v>162.16318000000001</v>
      </c>
      <c r="HF31" s="311">
        <f t="shared" si="48"/>
        <v>2756.0240955000004</v>
      </c>
      <c r="HG31" s="311">
        <f>IF($C31="","",SUMPRODUCT(('ANALYSE - ERP =&gt; SOUS-SEGMENT'!$C$8:$C$1000=$C31)*'ANALYSE - ERP =&gt; SOUS-SEGMENT'!$Q$8:$Q$1000*'ANALYSE - ERP =&gt; SOUS-SEGMENT'!$HG$8:$HG$1000))</f>
        <v>1912.7755595000003</v>
      </c>
      <c r="HH31" s="311">
        <f>IF($C31="","",SUMPRODUCT(('ANALYSE - ERP =&gt; SOUS-SEGMENT'!$C$8:$C$1000=$C31)*'ANALYSE - ERP =&gt; SOUS-SEGMENT'!$Q$8:$Q$1000*'ANALYSE - ERP =&gt; SOUS-SEGMENT'!$HH$8:$HH$1000))</f>
        <v>843.24853600000006</v>
      </c>
      <c r="HI31" s="311">
        <f t="shared" si="49"/>
        <v>995.21296124999992</v>
      </c>
      <c r="HJ31" s="311">
        <f>IF($C31="","",SUMPRODUCT(('ANALYSE - ERP =&gt; SOUS-SEGMENT'!$C$8:$C$1000=$C31)*'ANALYSE - ERP =&gt; SOUS-SEGMENT'!$Q$8:$Q$1000*'ANALYSE - ERP =&gt; SOUS-SEGMENT'!$HJ$8:$HJ$1000))</f>
        <v>751.9681912499999</v>
      </c>
      <c r="HK31" s="311">
        <f>IF($C31="","",SUMPRODUCT(('ANALYSE - ERP =&gt; SOUS-SEGMENT'!$C$8:$C$1000=$C31)*'ANALYSE - ERP =&gt; SOUS-SEGMENT'!$Q$8:$Q$1000*'ANALYSE - ERP =&gt; SOUS-SEGMENT'!$HK$8:$HK$1000))</f>
        <v>243.24476999999999</v>
      </c>
      <c r="HL31" s="311">
        <f t="shared" si="50"/>
        <v>1521.6751976</v>
      </c>
      <c r="HM31" s="311">
        <f>IF($C31="","",SUMPRODUCT(('ANALYSE - ERP =&gt; SOUS-SEGMENT'!$C$8:$C$1000=$C31)*'ANALYSE - ERP =&gt; SOUS-SEGMENT'!$Q$8:$Q$1000*'ANALYSE - ERP =&gt; SOUS-SEGMENT'!$HM$8:$HM$1000))</f>
        <v>1148.6998836</v>
      </c>
      <c r="HN31" s="311">
        <f>IF($C31="","",SUMPRODUCT(('ANALYSE - ERP =&gt; SOUS-SEGMENT'!$C$8:$C$1000=$C31)*'ANALYSE - ERP =&gt; SOUS-SEGMENT'!$Q$8:$Q$1000*'ANALYSE - ERP =&gt; SOUS-SEGMENT'!$HN$8:$HN$1000))</f>
        <v>372.97531400000003</v>
      </c>
      <c r="HO31" s="311">
        <f t="shared" si="51"/>
        <v>18323.141715576923</v>
      </c>
      <c r="HP31" s="311">
        <f>IF($C31="","",SUMPRODUCT(('ANALYSE - ERP =&gt; SOUS-SEGMENT'!$C$8:$C$1000=$C31)*'ANALYSE - ERP =&gt; SOUS-SEGMENT'!$Q$8:$Q$1000*'ANALYSE - ERP =&gt; SOUS-SEGMENT'!$HP$8:$HP$1000))</f>
        <v>13024.795365576922</v>
      </c>
      <c r="HQ31" s="311">
        <f>IF($C31="","",SUMPRODUCT(('ANALYSE - ERP =&gt; SOUS-SEGMENT'!$C$8:$C$1000=$C31)*'ANALYSE - ERP =&gt; SOUS-SEGMENT'!$Q$8:$Q$1000*'ANALYSE - ERP =&gt; SOUS-SEGMENT'!$HQ$8:$HQ$1000))</f>
        <v>5298.3463499999998</v>
      </c>
      <c r="HR31" s="311">
        <f t="shared" si="52"/>
        <v>12998.14734173077</v>
      </c>
      <c r="HS31" s="311">
        <f>IF($C31="","",SUMPRODUCT(('ANALYSE - ERP =&gt; SOUS-SEGMENT'!$C$8:$C$1000=$C31)*'ANALYSE - ERP =&gt; SOUS-SEGMENT'!$Q$8:$Q$1000*'ANALYSE - ERP =&gt; SOUS-SEGMENT'!$HS$8:$HS$1000))</f>
        <v>8288.5061417307697</v>
      </c>
      <c r="HT31" s="311">
        <f>IF($C31="","",SUMPRODUCT(('ANALYSE - ERP =&gt; SOUS-SEGMENT'!$C$8:$C$1000=$C31)*'ANALYSE - ERP =&gt; SOUS-SEGMENT'!$Q$8:$Q$1000*'ANALYSE - ERP =&gt; SOUS-SEGMENT'!$HT$8:$HT$1000))</f>
        <v>4709.6412</v>
      </c>
      <c r="HU31" s="311">
        <f t="shared" si="53"/>
        <v>5744.1783283333325</v>
      </c>
      <c r="HV31" s="311">
        <f>IF($C31="","",SUMPRODUCT(('ANALYSE - ERP =&gt; SOUS-SEGMENT'!$C$8:$C$1000=$C31)*'ANALYSE - ERP =&gt; SOUS-SEGMENT'!$Q$8:$Q$1000*'ANALYSE - ERP =&gt; SOUS-SEGMENT'!$HV$8:$HV$1000))</f>
        <v>3978.0628783333323</v>
      </c>
      <c r="HW31" s="311">
        <f>IF($C31="","",SUMPRODUCT(('ANALYSE - ERP =&gt; SOUS-SEGMENT'!$C$8:$C$1000=$C31)*'ANALYSE - ERP =&gt; SOUS-SEGMENT'!$Q$8:$Q$1000*'ANALYSE - ERP =&gt; SOUS-SEGMENT'!$HW$8:$HW$1000))</f>
        <v>1766.11545</v>
      </c>
      <c r="HY31" s="313">
        <f t="shared" si="54"/>
        <v>303305.00000000006</v>
      </c>
      <c r="HZ31" s="313">
        <f>IF($C31="","",SUMPRODUCT(('ANALYSE - ERP =&gt; SOUS-SEGMENT'!$C$8:$C$1000=$C31)*'ANALYSE - ERP =&gt; SOUS-SEGMENT'!$Q$8:$Q$1000*'ANALYSE - ERP =&gt; SOUS-SEGMENT'!$HZ$8:$HZ$1000))</f>
        <v>31895.224000000002</v>
      </c>
      <c r="IA31" s="313">
        <f>IF($C31="","",SUMPRODUCT(('ANALYSE - ERP =&gt; SOUS-SEGMENT'!$C$8:$C$1000=$C31)*'ANALYSE - ERP =&gt; SOUS-SEGMENT'!$Q$8:$Q$1000*'ANALYSE - ERP =&gt; SOUS-SEGMENT'!$IA$8:$IA$1000))</f>
        <v>163805.84050000002</v>
      </c>
      <c r="IB31" s="313">
        <f>IF($C31="","",SUMPRODUCT(('ANALYSE - ERP =&gt; SOUS-SEGMENT'!$C$8:$C$1000=$C31)*'ANALYSE - ERP =&gt; SOUS-SEGMENT'!$Q$8:$Q$1000*'ANALYSE - ERP =&gt; SOUS-SEGMENT'!$IB$8:$IB$1000))</f>
        <v>99725.152000000002</v>
      </c>
      <c r="IC31" s="313">
        <f>IF($C31="","",SUMPRODUCT(('ANALYSE - ERP =&gt; SOUS-SEGMENT'!$C$8:$C$1000=$C31)*'ANALYSE - ERP =&gt; SOUS-SEGMENT'!$Q$8:$Q$1000*'ANALYSE - ERP =&gt; SOUS-SEGMENT'!$IC$8:$IC$1000))</f>
        <v>7878.7835000000005</v>
      </c>
      <c r="ID31" s="313">
        <f>IF($C31="","",SUMPRODUCT(('ANALYSE - ERP =&gt; SOUS-SEGMENT'!$C$8:$C$1000=$C31)*'ANALYSE - ERP =&gt; SOUS-SEGMENT'!$Q$8:$Q$1000*'ANALYSE - ERP =&gt; SOUS-SEGMENT'!$ID$8:$ID$1000))</f>
        <v>0</v>
      </c>
      <c r="IE31" s="313">
        <f t="shared" si="55"/>
        <v>85936.553659546465</v>
      </c>
      <c r="IF31" s="313">
        <f>IF($C31="","",SUMPRODUCT(('ANALYSE - ERP =&gt; SOUS-SEGMENT'!$C$8:$C$1000=$C31)*'ANALYSE - ERP =&gt; SOUS-SEGMENT'!$Q$8:$Q$1000*'ANALYSE - ERP =&gt; SOUS-SEGMENT'!$IF$8:$IF$1000))</f>
        <v>7339.8104471423867</v>
      </c>
      <c r="IG31" s="313">
        <f>IF($C31="","",SUMPRODUCT(('ANALYSE - ERP =&gt; SOUS-SEGMENT'!$C$8:$C$1000=$C31)*'ANALYSE - ERP =&gt; SOUS-SEGMENT'!$Q$8:$Q$1000*'ANALYSE - ERP =&gt; SOUS-SEGMENT'!$IG$8:$IG$1000))</f>
        <v>44380.652077325358</v>
      </c>
      <c r="IH31" s="313">
        <f>IF($C31="","",SUMPRODUCT(('ANALYSE - ERP =&gt; SOUS-SEGMENT'!$C$8:$C$1000=$C31)*'ANALYSE - ERP =&gt; SOUS-SEGMENT'!$Q$8:$Q$1000*'ANALYSE - ERP =&gt; SOUS-SEGMENT'!$IH$8:$IH$1000))</f>
        <v>29907.882944784542</v>
      </c>
      <c r="II31" s="313">
        <f>IF($C31="","",SUMPRODUCT(('ANALYSE - ERP =&gt; SOUS-SEGMENT'!$C$8:$C$1000=$C31)*'ANALYSE - ERP =&gt; SOUS-SEGMENT'!$Q$8:$Q$1000*'ANALYSE - ERP =&gt; SOUS-SEGMENT'!$II$8:$II$1000))</f>
        <v>3930.087354192166</v>
      </c>
      <c r="IJ31" s="313">
        <f>IF($C31="","",SUMPRODUCT(('ANALYSE - ERP =&gt; SOUS-SEGMENT'!$C$8:$C$1000=$C31)*'ANALYSE - ERP =&gt; SOUS-SEGMENT'!$Q$8:$Q$1000*'ANALYSE - ERP =&gt; SOUS-SEGMENT'!$IJ$8:$IJ$1000))</f>
        <v>378.12083610200438</v>
      </c>
      <c r="IK31" s="866">
        <f>IF($C31="","",IFERROR(SUMPRODUCT(('ANALYSE - ERP =&gt; SOUS-SEGMENT'!$C$8:$C$1000=$C31)*'ANALYSE - ERP =&gt; SOUS-SEGMENT'!$Q$8:$Q$1000*'ANALYSE - ERP =&gt; SOUS-SEGMENT'!$IE$8:$IE$1000*'ANALYSE - ERP =&gt; SOUS-SEGMENT'!$IK$8:$IK$1000)/SUMPRODUCT(('ANALYSE - ERP =&gt; SOUS-SEGMENT'!$C$8:$C$1000=$C31)*'ANALYSE - ERP =&gt; SOUS-SEGMENT'!$Q$8:$Q$1000*'ANALYSE - ERP =&gt; SOUS-SEGMENT'!$IE$8:$IE$1000),""))</f>
        <v>4.1199999999999992</v>
      </c>
      <c r="IL31" s="920" t="s">
        <v>2589</v>
      </c>
      <c r="IM31" s="964" t="s">
        <v>5993</v>
      </c>
      <c r="IN31" s="657"/>
      <c r="IO31" s="730">
        <f>IF($C31="","",IFERROR(SUMPRODUCT(('ANALYSE - ERP =&gt; SOUS-SEGMENT'!$C$8:$C$1000=$C31)*'ANALYSE - ERP =&gt; SOUS-SEGMENT'!$Q$8:$Q$1000*'ANALYSE - ERP =&gt; SOUS-SEGMENT'!$BE$8:$BE$1000*'ANALYSE - ERP =&gt; SOUS-SEGMENT'!$IO$8:$IO$1000)/SUMPRODUCT(('ANALYSE - ERP =&gt; SOUS-SEGMENT'!$C$8:$C$1000=$C31)*'ANALYSE - ERP =&gt; SOUS-SEGMENT'!$Q$8:$Q$1000*'ANALYSE - ERP =&gt; SOUS-SEGMENT'!$BE$8:$BE$1000),""))</f>
        <v>0.1</v>
      </c>
      <c r="IP31" s="730">
        <f>IF($C31="","",IFERROR(SUMPRODUCT(('ANALYSE - ERP =&gt; SOUS-SEGMENT'!$C$8:$C$1000=$C31)*'ANALYSE - ERP =&gt; SOUS-SEGMENT'!$Q$8:$Q$1000*'ANALYSE - ERP =&gt; SOUS-SEGMENT'!$BE$8:$BE$1000*'ANALYSE - ERP =&gt; SOUS-SEGMENT'!$IP$8:$IP$1000)/SUMPRODUCT(('ANALYSE - ERP =&gt; SOUS-SEGMENT'!$C$8:$C$1000=$C31)*'ANALYSE - ERP =&gt; SOUS-SEGMENT'!$Q$8:$Q$1000*'ANALYSE - ERP =&gt; SOUS-SEGMENT'!$BE$8:$BE$1000),""))</f>
        <v>0.53</v>
      </c>
      <c r="IQ31" s="730">
        <f>IF($C31="","",IFERROR(SUMPRODUCT(('ANALYSE - ERP =&gt; SOUS-SEGMENT'!$C$8:$C$1000=$C31)*'ANALYSE - ERP =&gt; SOUS-SEGMENT'!$Q$8:$Q$1000*'ANALYSE - ERP =&gt; SOUS-SEGMENT'!$BE$8:$BE$1000*'ANALYSE - ERP =&gt; SOUS-SEGMENT'!$IQ$8:$IQ$1000)/SUMPRODUCT(('ANALYSE - ERP =&gt; SOUS-SEGMENT'!$C$8:$C$1000=$C31)*'ANALYSE - ERP =&gt; SOUS-SEGMENT'!$Q$8:$Q$1000*'ANALYSE - ERP =&gt; SOUS-SEGMENT'!$BE$8:$BE$1000),""))</f>
        <v>0.34000000000000008</v>
      </c>
      <c r="IR31" s="730">
        <f>IF($C31="","",IFERROR(SUMPRODUCT(('ANALYSE - ERP =&gt; SOUS-SEGMENT'!$C$8:$C$1000=$C31)*'ANALYSE - ERP =&gt; SOUS-SEGMENT'!$Q$8:$Q$1000*'ANALYSE - ERP =&gt; SOUS-SEGMENT'!$BE$8:$BE$1000*'ANALYSE - ERP =&gt; SOUS-SEGMENT'!$IR$8:$IR$1000)/SUMPRODUCT(('ANALYSE - ERP =&gt; SOUS-SEGMENT'!$C$8:$C$1000=$C31)*'ANALYSE - ERP =&gt; SOUS-SEGMENT'!$Q$8:$Q$1000*'ANALYSE - ERP =&gt; SOUS-SEGMENT'!$BE$8:$BE$1000),""))</f>
        <v>0.03</v>
      </c>
      <c r="IS31" s="730">
        <f>IF($C31="","",IFERROR(SUMPRODUCT(('ANALYSE - ERP =&gt; SOUS-SEGMENT'!$C$8:$C$1000=$C31)*'ANALYSE - ERP =&gt; SOUS-SEGMENT'!$Q$8:$Q$1000*'ANALYSE - ERP =&gt; SOUS-SEGMENT'!$BE$8:$BE$1000*'ANALYSE - ERP =&gt; SOUS-SEGMENT'!$IS$8:$IS$1000)/SUMPRODUCT(('ANALYSE - ERP =&gt; SOUS-SEGMENT'!$C$8:$C$1000=$C31)*'ANALYSE - ERP =&gt; SOUS-SEGMENT'!$Q$8:$Q$1000*'ANALYSE - ERP =&gt; SOUS-SEGMENT'!$BE$8:$BE$1000),""))</f>
        <v>0</v>
      </c>
      <c r="IT31" s="730">
        <f>IF($C31="","",IFERROR(SUMPRODUCT(('ANALYSE - ERP =&gt; SOUS-SEGMENT'!$C$8:$C$1000=$C31)*'ANALYSE - ERP =&gt; SOUS-SEGMENT'!$Q$8:$Q$1000*'ANALYSE - ERP =&gt; SOUS-SEGMENT'!$FB$8:$FB$1000*'ANALYSE - ERP =&gt; SOUS-SEGMENT'!$IT$8:$IT$1000)/SUMPRODUCT(('ANALYSE - ERP =&gt; SOUS-SEGMENT'!$C$8:$C$1000=$C31)*'ANALYSE - ERP =&gt; SOUS-SEGMENT'!$Q$8:$Q$1000*'ANALYSE - ERP =&gt; SOUS-SEGMENT'!$FB$8:$FB$1000),""))</f>
        <v>8.0099999999999991E-2</v>
      </c>
      <c r="IU31" s="730">
        <f>IF($C31="","",IFERROR(SUMPRODUCT(('ANALYSE - ERP =&gt; SOUS-SEGMENT'!$C$8:$C$1000=$C31)*'ANALYSE - ERP =&gt; SOUS-SEGMENT'!$Q$8:$Q$1000*'ANALYSE - ERP =&gt; SOUS-SEGMENT'!$FB$8:$FB$1000*'ANALYSE - ERP =&gt; SOUS-SEGMENT'!$IU$8:$IU$1000)/SUMPRODUCT(('ANALYSE - ERP =&gt; SOUS-SEGMENT'!$C$8:$C$1000=$C31)*'ANALYSE - ERP =&gt; SOUS-SEGMENT'!$Q$8:$Q$1000*'ANALYSE - ERP =&gt; SOUS-SEGMENT'!$FB$8:$FB$1000),""))</f>
        <v>0.50569999999999993</v>
      </c>
      <c r="IV31" s="730">
        <f>IF($C31="","",IFERROR(SUMPRODUCT(('ANALYSE - ERP =&gt; SOUS-SEGMENT'!$C$8:$C$1000=$C31)*'ANALYSE - ERP =&gt; SOUS-SEGMENT'!$Q$8:$Q$1000*'ANALYSE - ERP =&gt; SOUS-SEGMENT'!$FB$8:$FB$1000*'ANALYSE - ERP =&gt; SOUS-SEGMENT'!$IV$8:$IV$1000)/SUMPRODUCT(('ANALYSE - ERP =&gt; SOUS-SEGMENT'!$C$8:$C$1000=$C31)*'ANALYSE - ERP =&gt; SOUS-SEGMENT'!$Q$8:$Q$1000*'ANALYSE - ERP =&gt; SOUS-SEGMENT'!$FB$8:$FB$1000),""))</f>
        <v>0.35989999999999994</v>
      </c>
      <c r="IW31" s="730">
        <f>IF($C31="","",IFERROR(SUMPRODUCT(('ANALYSE - ERP =&gt; SOUS-SEGMENT'!$C$8:$C$1000=$C31)*'ANALYSE - ERP =&gt; SOUS-SEGMENT'!$Q$8:$Q$1000*'ANALYSE - ERP =&gt; SOUS-SEGMENT'!$FB$8:$FB$1000*'ANALYSE - ERP =&gt; SOUS-SEGMENT'!$IW$8:$IW$1000)/SUMPRODUCT(('ANALYSE - ERP =&gt; SOUS-SEGMENT'!$C$8:$C$1000=$C31)*'ANALYSE - ERP =&gt; SOUS-SEGMENT'!$Q$8:$Q$1000*'ANALYSE - ERP =&gt; SOUS-SEGMENT'!$FB$8:$FB$1000),""))</f>
        <v>4.99E-2</v>
      </c>
      <c r="IX31" s="730">
        <f>IF($C31="","",IFERROR(SUMPRODUCT(('ANALYSE - ERP =&gt; SOUS-SEGMENT'!$C$8:$C$1000=$C31)*'ANALYSE - ERP =&gt; SOUS-SEGMENT'!$Q$8:$Q$1000*'ANALYSE - ERP =&gt; SOUS-SEGMENT'!$FB$8:$FB$1000*'ANALYSE - ERP =&gt; SOUS-SEGMENT'!$IX$8:$IX$1000)/SUMPRODUCT(('ANALYSE - ERP =&gt; SOUS-SEGMENT'!$C$8:$C$1000=$C31)*'ANALYSE - ERP =&gt; SOUS-SEGMENT'!$Q$8:$Q$1000*'ANALYSE - ERP =&gt; SOUS-SEGMENT'!$FB$8:$FB$1000),""))</f>
        <v>4.4000000000000003E-3</v>
      </c>
      <c r="IY31" s="730">
        <f>IF($C31="","",IFERROR(SUMPRODUCT(('ANALYSE - ERP =&gt; SOUS-SEGMENT'!$C$8:$C$1000=$C31)*'ANALYSE - ERP =&gt; SOUS-SEGMENT'!$Q$8:$Q$1000*'ANALYSE - ERP =&gt; SOUS-SEGMENT'!$BF$8:$BF$1000*'ANALYSE - ERP =&gt; SOUS-SEGMENT'!$IY$8:$IY$1000)/SUMPRODUCT(('ANALYSE - ERP =&gt; SOUS-SEGMENT'!$C$8:$C$1000=$C31)*'ANALYSE - ERP =&gt; SOUS-SEGMENT'!$Q$8:$Q$1000*'ANALYSE - ERP =&gt; SOUS-SEGMENT'!$BF$8:$BF$1000),""))</f>
        <v>0.10220000000000001</v>
      </c>
      <c r="IZ31" s="730">
        <f>IF($C31="","",IFERROR(SUMPRODUCT(('ANALYSE - ERP =&gt; SOUS-SEGMENT'!$C$8:$C$1000=$C31)*'ANALYSE - ERP =&gt; SOUS-SEGMENT'!$Q$8:$Q$1000*'ANALYSE - ERP =&gt; SOUS-SEGMENT'!$BF$8:$BF$1000*'ANALYSE - ERP =&gt; SOUS-SEGMENT'!$IZ$8:$IZ$1000)/SUMPRODUCT(('ANALYSE - ERP =&gt; SOUS-SEGMENT'!$C$8:$C$1000=$C31)*'ANALYSE - ERP =&gt; SOUS-SEGMENT'!$Q$8:$Q$1000*'ANALYSE - ERP =&gt; SOUS-SEGMENT'!$BF$8:$BF$1000),""))</f>
        <v>0.54189999999999994</v>
      </c>
      <c r="JA31" s="730">
        <f>IF($C31="","",IFERROR(SUMPRODUCT(('ANALYSE - ERP =&gt; SOUS-SEGMENT'!$C$8:$C$1000=$C31)*'ANALYSE - ERP =&gt; SOUS-SEGMENT'!$Q$8:$Q$1000*'ANALYSE - ERP =&gt; SOUS-SEGMENT'!$BF$8:$BF$1000*'ANALYSE - ERP =&gt; SOUS-SEGMENT'!$JA$8:$JA$1000)/SUMPRODUCT(('ANALYSE - ERP =&gt; SOUS-SEGMENT'!$C$8:$C$1000=$C31)*'ANALYSE - ERP =&gt; SOUS-SEGMENT'!$Q$8:$Q$1000*'ANALYSE - ERP =&gt; SOUS-SEGMENT'!$BF$8:$BF$1000),""))</f>
        <v>0.33110000000000001</v>
      </c>
      <c r="JB31" s="730">
        <f>IF($C31="","",IFERROR(SUMPRODUCT(('ANALYSE - ERP =&gt; SOUS-SEGMENT'!$C$8:$C$1000=$C31)*'ANALYSE - ERP =&gt; SOUS-SEGMENT'!$Q$8:$Q$1000*'ANALYSE - ERP =&gt; SOUS-SEGMENT'!$BF$8:$BF$1000*'ANALYSE - ERP =&gt; SOUS-SEGMENT'!$JB$8:$JB$1000)/SUMPRODUCT(('ANALYSE - ERP =&gt; SOUS-SEGMENT'!$C$8:$C$1000=$C31)*'ANALYSE - ERP =&gt; SOUS-SEGMENT'!$Q$8:$Q$1000*'ANALYSE - ERP =&gt; SOUS-SEGMENT'!$BF$8:$BF$1000),""))</f>
        <v>2.4799999999999996E-2</v>
      </c>
      <c r="JC31" s="730">
        <f>IF($C31="","",IFERROR(SUMPRODUCT(('ANALYSE - ERP =&gt; SOUS-SEGMENT'!$C$8:$C$1000=$C31)*'ANALYSE - ERP =&gt; SOUS-SEGMENT'!$Q$8:$Q$1000*'ANALYSE - ERP =&gt; SOUS-SEGMENT'!$BF$8:$BF$1000*'ANALYSE - ERP =&gt; SOUS-SEGMENT'!$JC$8:$JC$1000)/SUMPRODUCT(('ANALYSE - ERP =&gt; SOUS-SEGMENT'!$C$8:$C$1000=$C31)*'ANALYSE - ERP =&gt; SOUS-SEGMENT'!$Q$8:$Q$1000*'ANALYSE - ERP =&gt; SOUS-SEGMENT'!$BF$8:$BF$1000),""))</f>
        <v>0</v>
      </c>
      <c r="JD31" s="730">
        <f>IF($C31="","",IFERROR(SUMPRODUCT(('ANALYSE - ERP =&gt; SOUS-SEGMENT'!$C$8:$C$1000=$C31)*'ANALYSE - ERP =&gt; SOUS-SEGMENT'!$Q$8:$Q$1000*'ANALYSE - ERP =&gt; SOUS-SEGMENT'!$FE$8:$FE$1000*'ANALYSE - ERP =&gt; SOUS-SEGMENT'!$JD$8:$JD$1000)/SUMPRODUCT(('ANALYSE - ERP =&gt; SOUS-SEGMENT'!$C$8:$C$1000=$C31)*'ANALYSE - ERP =&gt; SOUS-SEGMENT'!$Q$8:$Q$1000*'ANALYSE - ERP =&gt; SOUS-SEGMENT'!$FE$8:$FE$1000),""))</f>
        <v>8.2299999999999998E-2</v>
      </c>
      <c r="JE31" s="730">
        <f>IF($C31="","",IFERROR(SUMPRODUCT(('ANALYSE - ERP =&gt; SOUS-SEGMENT'!$C$8:$C$1000=$C31)*'ANALYSE - ERP =&gt; SOUS-SEGMENT'!$Q$8:$Q$1000*'ANALYSE - ERP =&gt; SOUS-SEGMENT'!$FE$8:$FE$1000*'ANALYSE - ERP =&gt; SOUS-SEGMENT'!$JE$8:$JE$1000)/SUMPRODUCT(('ANALYSE - ERP =&gt; SOUS-SEGMENT'!$C$8:$C$1000=$C31)*'ANALYSE - ERP =&gt; SOUS-SEGMENT'!$Q$8:$Q$1000*'ANALYSE - ERP =&gt; SOUS-SEGMENT'!$FE$8:$FE$1000),""))</f>
        <v>0.51759999999999995</v>
      </c>
      <c r="JF31" s="730">
        <f>IF($C31="","",IFERROR(SUMPRODUCT(('ANALYSE - ERP =&gt; SOUS-SEGMENT'!$C$8:$C$1000=$C31)*'ANALYSE - ERP =&gt; SOUS-SEGMENT'!$Q$8:$Q$1000*'ANALYSE - ERP =&gt; SOUS-SEGMENT'!$FE$8:$FE$1000*'ANALYSE - ERP =&gt; SOUS-SEGMENT'!$JF$8:$JF$1000)/SUMPRODUCT(('ANALYSE - ERP =&gt; SOUS-SEGMENT'!$C$8:$C$1000=$C31)*'ANALYSE - ERP =&gt; SOUS-SEGMENT'!$Q$8:$Q$1000*'ANALYSE - ERP =&gt; SOUS-SEGMENT'!$FE$8:$FE$1000),""))</f>
        <v>0.35100000000000003</v>
      </c>
      <c r="JG31" s="730">
        <f>IF($C31="","",IFERROR(SUMPRODUCT(('ANALYSE - ERP =&gt; SOUS-SEGMENT'!$C$8:$C$1000=$C31)*'ANALYSE - ERP =&gt; SOUS-SEGMENT'!$Q$8:$Q$1000*'ANALYSE - ERP =&gt; SOUS-SEGMENT'!$FE$8:$FE$1000*'ANALYSE - ERP =&gt; SOUS-SEGMENT'!$JG$8:$JG$1000)/SUMPRODUCT(('ANALYSE - ERP =&gt; SOUS-SEGMENT'!$C$8:$C$1000=$C31)*'ANALYSE - ERP =&gt; SOUS-SEGMENT'!$Q$8:$Q$1000*'ANALYSE - ERP =&gt; SOUS-SEGMENT'!$FE$8:$FE$1000),""))</f>
        <v>4.4700000000000004E-2</v>
      </c>
      <c r="JH31" s="730">
        <f>IF($C31="","",IFERROR(SUMPRODUCT(('ANALYSE - ERP =&gt; SOUS-SEGMENT'!$C$8:$C$1000=$C31)*'ANALYSE - ERP =&gt; SOUS-SEGMENT'!$Q$8:$Q$1000*'ANALYSE - ERP =&gt; SOUS-SEGMENT'!$FE$8:$FE$1000*'ANALYSE - ERP =&gt; SOUS-SEGMENT'!$JH$8:$JH$1000)/SUMPRODUCT(('ANALYSE - ERP =&gt; SOUS-SEGMENT'!$C$8:$C$1000=$C31)*'ANALYSE - ERP =&gt; SOUS-SEGMENT'!$Q$8:$Q$1000*'ANALYSE - ERP =&gt; SOUS-SEGMENT'!$FE$8:$FE$1000),""))</f>
        <v>4.4000000000000003E-3</v>
      </c>
      <c r="JI31" s="730">
        <f>IF($C31="","",IFERROR(SUMPRODUCT(('ANALYSE - ERP =&gt; SOUS-SEGMENT'!$C$8:$C$1000=$C31)*'ANALYSE - ERP =&gt; SOUS-SEGMENT'!$Q$8:$Q$1000*'ANALYSE - ERP =&gt; SOUS-SEGMENT'!$BG$8:$BG$1000*'ANALYSE - ERP =&gt; SOUS-SEGMENT'!$JI$8:$JI$1000)/SUMPRODUCT(('ANALYSE - ERP =&gt; SOUS-SEGMENT'!$C$8:$C$1000=$C31)*'ANALYSE - ERP =&gt; SOUS-SEGMENT'!$Q$8:$Q$1000*'ANALYSE - ERP =&gt; SOUS-SEGMENT'!$BG$8:$BG$1000),""))</f>
        <v>0.14596200332923209</v>
      </c>
      <c r="JJ31" s="730">
        <f>IF($C31="","",IFERROR(SUMPRODUCT(('ANALYSE - ERP =&gt; SOUS-SEGMENT'!$C$8:$C$1000=$C31)*'ANALYSE - ERP =&gt; SOUS-SEGMENT'!$Q$8:$Q$1000*'ANALYSE - ERP =&gt; SOUS-SEGMENT'!$BG$8:$BG$1000*'ANALYSE - ERP =&gt; SOUS-SEGMENT'!$JJ$8:$JJ$1000)/SUMPRODUCT(('ANALYSE - ERP =&gt; SOUS-SEGMENT'!$C$8:$C$1000=$C31)*'ANALYSE - ERP =&gt; SOUS-SEGMENT'!$Q$8:$Q$1000*'ANALYSE - ERP =&gt; SOUS-SEGMENT'!$BG$8:$BG$1000),""))</f>
        <v>0.58035474415575017</v>
      </c>
      <c r="JK31" s="730">
        <f>IF($C31="","",IFERROR(SUMPRODUCT(('ANALYSE - ERP =&gt; SOUS-SEGMENT'!$C$8:$C$1000=$C31)*'ANALYSE - ERP =&gt; SOUS-SEGMENT'!$Q$8:$Q$1000*'ANALYSE - ERP =&gt; SOUS-SEGMENT'!$BG$8:$BG$1000*'ANALYSE - ERP =&gt; SOUS-SEGMENT'!$JK$8:$JK$1000)/SUMPRODUCT(('ANALYSE - ERP =&gt; SOUS-SEGMENT'!$C$8:$C$1000=$C31)*'ANALYSE - ERP =&gt; SOUS-SEGMENT'!$Q$8:$Q$1000*'ANALYSE - ERP =&gt; SOUS-SEGMENT'!$BG$8:$BG$1000),""))</f>
        <v>0.20685818194977201</v>
      </c>
      <c r="JL31" s="730">
        <f>IF($C31="","",IFERROR(SUMPRODUCT(('ANALYSE - ERP =&gt; SOUS-SEGMENT'!$C$8:$C$1000=$C31)*'ANALYSE - ERP =&gt; SOUS-SEGMENT'!$Q$8:$Q$1000*'ANALYSE - ERP =&gt; SOUS-SEGMENT'!$BG$8:$BG$1000*'ANALYSE - ERP =&gt; SOUS-SEGMENT'!$JL$8:$JL$1000)/SUMPRODUCT(('ANALYSE - ERP =&gt; SOUS-SEGMENT'!$C$8:$C$1000=$C31)*'ANALYSE - ERP =&gt; SOUS-SEGMENT'!$Q$8:$Q$1000*'ANALYSE - ERP =&gt; SOUS-SEGMENT'!$BG$8:$BG$1000),""))</f>
        <v>1.0951870883693999E-2</v>
      </c>
      <c r="JM31" s="730">
        <f>IF($C31="","",IFERROR(SUMPRODUCT(('ANALYSE - ERP =&gt; SOUS-SEGMENT'!$C$8:$C$1000=$C31)*'ANALYSE - ERP =&gt; SOUS-SEGMENT'!$Q$8:$Q$1000*'ANALYSE - ERP =&gt; SOUS-SEGMENT'!$BG$8:$BG$1000*'ANALYSE - ERP =&gt; SOUS-SEGMENT'!$JM$8:$JM$1000)/SUMPRODUCT(('ANALYSE - ERP =&gt; SOUS-SEGMENT'!$C$8:$C$1000=$C31)*'ANALYSE - ERP =&gt; SOUS-SEGMENT'!$Q$8:$Q$1000*'ANALYSE - ERP =&gt; SOUS-SEGMENT'!$BG$8:$BG$1000),""))</f>
        <v>0</v>
      </c>
      <c r="JN31" s="730">
        <f>IF($C31="","",IFERROR(SUMPRODUCT(('ANALYSE - ERP =&gt; SOUS-SEGMENT'!$C$8:$C$1000=$C31)*'ANALYSE - ERP =&gt; SOUS-SEGMENT'!$Q$8:$Q$1000*'ANALYSE - ERP =&gt; SOUS-SEGMENT'!$FH$8:$FH$1000*'ANALYSE - ERP =&gt; SOUS-SEGMENT'!$JN$8:$JN$1000)/SUMPRODUCT(('ANALYSE - ERP =&gt; SOUS-SEGMENT'!$C$8:$C$1000=$C31)*'ANALYSE - ERP =&gt; SOUS-SEGMENT'!$Q$8:$Q$1000*'ANALYSE - ERP =&gt; SOUS-SEGMENT'!$FH$8:$FH$1000),""))</f>
        <v>0.12757908989694644</v>
      </c>
      <c r="JO31" s="730">
        <f>IF($C31="","",IFERROR(SUMPRODUCT(('ANALYSE - ERP =&gt; SOUS-SEGMENT'!$C$8:$C$1000=$C31)*'ANALYSE - ERP =&gt; SOUS-SEGMENT'!$Q$8:$Q$1000*'ANALYSE - ERP =&gt; SOUS-SEGMENT'!$FH$8:$FH$1000*'ANALYSE - ERP =&gt; SOUS-SEGMENT'!$JO$8:$JO$1000)/SUMPRODUCT(('ANALYSE - ERP =&gt; SOUS-SEGMENT'!$C$8:$C$1000=$C31)*'ANALYSE - ERP =&gt; SOUS-SEGMENT'!$Q$8:$Q$1000*'ANALYSE - ERP =&gt; SOUS-SEGMENT'!$FH$8:$FH$1000),""))</f>
        <v>0.55918852765521299</v>
      </c>
      <c r="JP31" s="730">
        <f>IF($C31="","",IFERROR(SUMPRODUCT(('ANALYSE - ERP =&gt; SOUS-SEGMENT'!$C$8:$C$1000=$C31)*'ANALYSE - ERP =&gt; SOUS-SEGMENT'!$Q$8:$Q$1000*'ANALYSE - ERP =&gt; SOUS-SEGMENT'!$FH$8:$FH$1000*'ANALYSE - ERP =&gt; SOUS-SEGMENT'!$JP$8:$JP$1000)/SUMPRODUCT(('ANALYSE - ERP =&gt; SOUS-SEGMENT'!$C$8:$C$1000=$C31)*'ANALYSE - ERP =&gt; SOUS-SEGMENT'!$Q$8:$Q$1000*'ANALYSE - ERP =&gt; SOUS-SEGMENT'!$FH$8:$FH$1000),""))</f>
        <v>0.22636527457587377</v>
      </c>
      <c r="JQ31" s="730">
        <f>IF($C31="","",IFERROR(SUMPRODUCT(('ANALYSE - ERP =&gt; SOUS-SEGMENT'!$C$8:$C$1000=$C31)*'ANALYSE - ERP =&gt; SOUS-SEGMENT'!$Q$8:$Q$1000*'ANALYSE - ERP =&gt; SOUS-SEGMENT'!$FH$8:$FH$1000*'ANALYSE - ERP =&gt; SOUS-SEGMENT'!$JQ$8:$JQ$1000)/SUMPRODUCT(('ANALYSE - ERP =&gt; SOUS-SEGMENT'!$C$8:$C$1000=$C31)*'ANALYSE - ERP =&gt; SOUS-SEGMENT'!$Q$8:$Q$1000*'ANALYSE - ERP =&gt; SOUS-SEGMENT'!$FH$8:$FH$1000),""))</f>
        <v>2.9834753762092152E-2</v>
      </c>
      <c r="JR31" s="730">
        <f>IF($C31="","",IFERROR(SUMPRODUCT(('ANALYSE - ERP =&gt; SOUS-SEGMENT'!$C$8:$C$1000=$C31)*'ANALYSE - ERP =&gt; SOUS-SEGMENT'!$Q$8:$Q$1000*'ANALYSE - ERP =&gt; SOUS-SEGMENT'!$FH$8:$FH$1000*'ANALYSE - ERP =&gt; SOUS-SEGMENT'!$JR$8:$JR$1000)/SUMPRODUCT(('ANALYSE - ERP =&gt; SOUS-SEGMENT'!$C$8:$C$1000=$C31)*'ANALYSE - ERP =&gt; SOUS-SEGMENT'!$Q$8:$Q$1000*'ANALYSE - ERP =&gt; SOUS-SEGMENT'!$FH$8:$FH$1000),""))</f>
        <v>4.1673941762922374E-3</v>
      </c>
      <c r="JS31" s="730">
        <f>IF($C31="","",IFERROR(SUMPRODUCT(('ANALYSE - ERP =&gt; SOUS-SEGMENT'!$C$8:$C$1000=$C31)*'ANALYSE - ERP =&gt; SOUS-SEGMENT'!$Q$8:$Q$1000*'ANALYSE - ERP =&gt; SOUS-SEGMENT'!$BH$8:$BH$1000*'ANALYSE - ERP =&gt; SOUS-SEGMENT'!$JS$8:$JS$1000)/SUMPRODUCT(('ANALYSE - ERP =&gt; SOUS-SEGMENT'!$C$8:$C$1000=$C31)*'ANALYSE - ERP =&gt; SOUS-SEGMENT'!$Q$8:$Q$1000*'ANALYSE - ERP =&gt; SOUS-SEGMENT'!$BH$8:$BH$1000),""))</f>
        <v>0.1066</v>
      </c>
      <c r="JT31" s="730">
        <f>IF($C31="","",IFERROR(SUMPRODUCT(('ANALYSE - ERP =&gt; SOUS-SEGMENT'!$C$8:$C$1000=$C31)*'ANALYSE - ERP =&gt; SOUS-SEGMENT'!$Q$8:$Q$1000*'ANALYSE - ERP =&gt; SOUS-SEGMENT'!$BH$8:$BH$1000*'ANALYSE - ERP =&gt; SOUS-SEGMENT'!$JT$8:$JT$1000)/SUMPRODUCT(('ANALYSE - ERP =&gt; SOUS-SEGMENT'!$C$8:$C$1000=$C31)*'ANALYSE - ERP =&gt; SOUS-SEGMENT'!$Q$8:$Q$1000*'ANALYSE - ERP =&gt; SOUS-SEGMENT'!$BH$8:$BH$1000),""))</f>
        <v>0.53920000000000001</v>
      </c>
      <c r="JU31" s="730">
        <f>IF($C31="","",IFERROR(SUMPRODUCT(('ANALYSE - ERP =&gt; SOUS-SEGMENT'!$C$8:$C$1000=$C31)*'ANALYSE - ERP =&gt; SOUS-SEGMENT'!$Q$8:$Q$1000*'ANALYSE - ERP =&gt; SOUS-SEGMENT'!$BH$8:$BH$1000*'ANALYSE - ERP =&gt; SOUS-SEGMENT'!$JU$8:$JU$1000)/SUMPRODUCT(('ANALYSE - ERP =&gt; SOUS-SEGMENT'!$C$8:$C$1000=$C31)*'ANALYSE - ERP =&gt; SOUS-SEGMENT'!$Q$8:$Q$1000*'ANALYSE - ERP =&gt; SOUS-SEGMENT'!$BH$8:$BH$1000),""))</f>
        <v>0.32950000000000002</v>
      </c>
      <c r="JV31" s="730">
        <f>IF($C31="","",IFERROR(SUMPRODUCT(('ANALYSE - ERP =&gt; SOUS-SEGMENT'!$C$8:$C$1000=$C31)*'ANALYSE - ERP =&gt; SOUS-SEGMENT'!$Q$8:$Q$1000*'ANALYSE - ERP =&gt; SOUS-SEGMENT'!$BH$8:$BH$1000*'ANALYSE - ERP =&gt; SOUS-SEGMENT'!$JV$8:$JV$1000)/SUMPRODUCT(('ANALYSE - ERP =&gt; SOUS-SEGMENT'!$C$8:$C$1000=$C31)*'ANALYSE - ERP =&gt; SOUS-SEGMENT'!$Q$8:$Q$1000*'ANALYSE - ERP =&gt; SOUS-SEGMENT'!$BH$8:$BH$1000),""))</f>
        <v>2.47E-2</v>
      </c>
      <c r="JW31" s="730">
        <f>IF($C31="","",IFERROR(SUMPRODUCT(('ANALYSE - ERP =&gt; SOUS-SEGMENT'!$C$8:$C$1000=$C31)*'ANALYSE - ERP =&gt; SOUS-SEGMENT'!$Q$8:$Q$1000*'ANALYSE - ERP =&gt; SOUS-SEGMENT'!$BH$8:$BH$1000*'ANALYSE - ERP =&gt; SOUS-SEGMENT'!$JW$8:$JW$1000)/SUMPRODUCT(('ANALYSE - ERP =&gt; SOUS-SEGMENT'!$C$8:$C$1000=$C31)*'ANALYSE - ERP =&gt; SOUS-SEGMENT'!$Q$8:$Q$1000*'ANALYSE - ERP =&gt; SOUS-SEGMENT'!$BH$8:$BH$1000),""))</f>
        <v>0</v>
      </c>
      <c r="JX31" s="730">
        <f>IF($C31="","",IFERROR(SUMPRODUCT(('ANALYSE - ERP =&gt; SOUS-SEGMENT'!$C$8:$C$1000=$C31)*'ANALYSE - ERP =&gt; SOUS-SEGMENT'!$Q$8:$Q$1000*'ANALYSE - ERP =&gt; SOUS-SEGMENT'!$FK$8:$FK$1000*'ANALYSE - ERP =&gt; SOUS-SEGMENT'!$JX$8:$JX$1000)/SUMPRODUCT(('ANALYSE - ERP =&gt; SOUS-SEGMENT'!$C$8:$C$1000=$C31)*'ANALYSE - ERP =&gt; SOUS-SEGMENT'!$Q$8:$Q$1000*'ANALYSE - ERP =&gt; SOUS-SEGMENT'!$FK$8:$FK$1000),""))</f>
        <v>8.6699999999999999E-2</v>
      </c>
      <c r="JY31" s="730">
        <f>IF($C31="","",IFERROR(SUMPRODUCT(('ANALYSE - ERP =&gt; SOUS-SEGMENT'!$C$8:$C$1000=$C31)*'ANALYSE - ERP =&gt; SOUS-SEGMENT'!$Q$8:$Q$1000*'ANALYSE - ERP =&gt; SOUS-SEGMENT'!$FK$8:$FK$1000*'ANALYSE - ERP =&gt; SOUS-SEGMENT'!$JY$8:$JY$1000)/SUMPRODUCT(('ANALYSE - ERP =&gt; SOUS-SEGMENT'!$C$8:$C$1000=$C31)*'ANALYSE - ERP =&gt; SOUS-SEGMENT'!$Q$8:$Q$1000*'ANALYSE - ERP =&gt; SOUS-SEGMENT'!$FK$8:$FK$1000),""))</f>
        <v>0.51490000000000002</v>
      </c>
      <c r="JZ31" s="730">
        <f>IF($C31="","",IFERROR(SUMPRODUCT(('ANALYSE - ERP =&gt; SOUS-SEGMENT'!$C$8:$C$1000=$C31)*'ANALYSE - ERP =&gt; SOUS-SEGMENT'!$Q$8:$Q$1000*'ANALYSE - ERP =&gt; SOUS-SEGMENT'!$FK$8:$FK$1000*'ANALYSE - ERP =&gt; SOUS-SEGMENT'!$JZ$8:$JZ$1000)/SUMPRODUCT(('ANALYSE - ERP =&gt; SOUS-SEGMENT'!$C$8:$C$1000=$C31)*'ANALYSE - ERP =&gt; SOUS-SEGMENT'!$Q$8:$Q$1000*'ANALYSE - ERP =&gt; SOUS-SEGMENT'!$FK$8:$FK$1000),""))</f>
        <v>0.34940000000000004</v>
      </c>
      <c r="KA31" s="730">
        <f>IF($C31="","",IFERROR(SUMPRODUCT(('ANALYSE - ERP =&gt; SOUS-SEGMENT'!$C$8:$C$1000=$C31)*'ANALYSE - ERP =&gt; SOUS-SEGMENT'!$Q$8:$Q$1000*'ANALYSE - ERP =&gt; SOUS-SEGMENT'!$FK$8:$FK$1000*'ANALYSE - ERP =&gt; SOUS-SEGMENT'!$KA$8:$KA$1000)/SUMPRODUCT(('ANALYSE - ERP =&gt; SOUS-SEGMENT'!$C$8:$C$1000=$C31)*'ANALYSE - ERP =&gt; SOUS-SEGMENT'!$Q$8:$Q$1000*'ANALYSE - ERP =&gt; SOUS-SEGMENT'!$FK$8:$FK$1000),""))</f>
        <v>4.4600000000000008E-2</v>
      </c>
      <c r="KB31" s="730">
        <f>IF($C31="","",IFERROR(SUMPRODUCT(('ANALYSE - ERP =&gt; SOUS-SEGMENT'!$C$8:$C$1000=$C31)*'ANALYSE - ERP =&gt; SOUS-SEGMENT'!$Q$8:$Q$1000*'ANALYSE - ERP =&gt; SOUS-SEGMENT'!$FK$8:$FK$1000*'ANALYSE - ERP =&gt; SOUS-SEGMENT'!$KB$8:$KB$1000)/SUMPRODUCT(('ANALYSE - ERP =&gt; SOUS-SEGMENT'!$C$8:$C$1000=$C31)*'ANALYSE - ERP =&gt; SOUS-SEGMENT'!$Q$8:$Q$1000*'ANALYSE - ERP =&gt; SOUS-SEGMENT'!$FK$8:$FK$1000),""))</f>
        <v>4.4000000000000003E-3</v>
      </c>
      <c r="KC31" s="657"/>
      <c r="KD31" s="920" t="s">
        <v>2590</v>
      </c>
      <c r="KE31" s="920" t="s">
        <v>2590</v>
      </c>
      <c r="KF31" s="866">
        <f>IF($C31="","",IFERROR(SUMPRODUCT(('ANALYSE - ERP =&gt; SOUS-SEGMENT'!$C$8:$C$1000=$C31)*'ANALYSE - ERP =&gt; SOUS-SEGMENT'!$Q$8:$Q$1000*'ANALYSE - ERP =&gt; SOUS-SEGMENT'!$IE$8:$IE$1000*'ANALYSE - ERP =&gt; SOUS-SEGMENT'!$KF$8:$KF$1000)/SUMPRODUCT(('ANALYSE - ERP =&gt; SOUS-SEGMENT'!$C$8:$C$1000=$C31)*'ANALYSE - ERP =&gt; SOUS-SEGMENT'!$Q$8:$Q$1000*'ANALYSE - ERP =&gt; SOUS-SEGMENT'!$IE$8:$IE$1000),""))</f>
        <v>4.1500000000000004</v>
      </c>
      <c r="KG31" s="920" t="s">
        <v>2589</v>
      </c>
      <c r="KH31" s="920" t="s">
        <v>4324</v>
      </c>
      <c r="KI31" s="920" t="s">
        <v>3028</v>
      </c>
      <c r="KJ31" s="920" t="s">
        <v>5994</v>
      </c>
    </row>
    <row r="32" spans="1:296" ht="251.25" customHeight="1">
      <c r="A32" s="951">
        <f>IF($C32="","",ROWS($A$8:A32))</f>
        <v>25</v>
      </c>
      <c r="B32" s="952" t="s">
        <v>2278</v>
      </c>
      <c r="C32" s="952" t="s">
        <v>1527</v>
      </c>
      <c r="D32" s="952" t="s">
        <v>5995</v>
      </c>
      <c r="E32" s="277" t="s">
        <v>5996</v>
      </c>
      <c r="F32" s="646" t="s">
        <v>5997</v>
      </c>
      <c r="G32" s="646" t="s">
        <v>5998</v>
      </c>
      <c r="H32" s="646" t="s">
        <v>5999</v>
      </c>
      <c r="I32" s="646" t="s">
        <v>6000</v>
      </c>
      <c r="J32" s="646" t="s">
        <v>6001</v>
      </c>
      <c r="K32" s="646" t="s">
        <v>6002</v>
      </c>
      <c r="L32" s="646" t="s">
        <v>6003</v>
      </c>
      <c r="M32" s="646" t="s">
        <v>6004</v>
      </c>
      <c r="N32" s="646" t="s">
        <v>6005</v>
      </c>
      <c r="O32" s="646" t="s">
        <v>6006</v>
      </c>
      <c r="P32" s="646"/>
      <c r="Q32" s="270">
        <f>IF($C32="","",IF(SUMIFS('ANALYSE - ERP =&gt; SOUS-SEGMENT'!$Q$8:$Q$1000,'ANALYSE - ERP =&gt; SOUS-SEGMENT'!$C$8:$C$1000,$C32)&gt;0,1,0))</f>
        <v>1</v>
      </c>
      <c r="R32" s="278">
        <f>IF($C32="","",IFERROR(SUMPRODUCT(('ANALYSE - ERP =&gt; SOUS-SEGMENT'!$C$8:$C$1000=$C32)*'ANALYSE - ERP =&gt; SOUS-SEGMENT'!$Q$8:$Q$1000*'ANALYSE - ERP =&gt; SOUS-SEGMENT'!$AF$8:$AF$1000*'ANALYSE - ERP =&gt; SOUS-SEGMENT'!$R$8:$R$1000)/SUMPRODUCT(('ANALYSE - ERP =&gt; SOUS-SEGMENT'!$C$8:$C$1000=$C32)*'ANALYSE - ERP =&gt; SOUS-SEGMENT'!$Q$8:$Q$1000*'ANALYSE - ERP =&gt; SOUS-SEGMENT'!$AF$8:$AF$1000),""))</f>
        <v>381.26122658455222</v>
      </c>
      <c r="S32" s="279">
        <f>IF($C32="","",SUMPRODUCT(('ANALYSE - ERP =&gt; SOUS-SEGMENT'!$C$8:$C$1000=$C32)*'ANALYSE - ERP =&gt; SOUS-SEGMENT'!$Q$8:$Q$1000*'ANALYSE - ERP =&gt; SOUS-SEGMENT'!$S$8:$S$1000))</f>
        <v>46296</v>
      </c>
      <c r="T32" s="279">
        <f>IF($C32="","",SUMPRODUCT(('ANALYSE - ERP =&gt; SOUS-SEGMENT'!$C$8:$C$1000=$C32)*'ANALYSE - ERP =&gt; SOUS-SEGMENT'!$Q$8:$Q$1000*'ANALYSE - ERP =&gt; SOUS-SEGMENT'!$T$8:$T$1000))</f>
        <v>47157</v>
      </c>
      <c r="U32" s="279">
        <f>IF($C32="","",SUMPRODUCT(('ANALYSE - ERP =&gt; SOUS-SEGMENT'!$C$8:$C$1000=$C32)*'ANALYSE - ERP =&gt; SOUS-SEGMENT'!$Q$8:$Q$1000*'ANALYSE - ERP =&gt; SOUS-SEGMENT'!$U$8:$U$1000))</f>
        <v>47216</v>
      </c>
      <c r="V32" s="279">
        <f>IF($C32="","",SUMPRODUCT(('ANALYSE - ERP =&gt; SOUS-SEGMENT'!$C$8:$C$1000=$C32)*'ANALYSE - ERP =&gt; SOUS-SEGMENT'!$Q$8:$Q$1000*'ANALYSE - ERP =&gt; SOUS-SEGMENT'!$V$8:$V$1000))</f>
        <v>46808</v>
      </c>
      <c r="W32" s="279">
        <f>IF($C32="","",SUMPRODUCT(('ANALYSE - ERP =&gt; SOUS-SEGMENT'!$C$8:$C$1000=$C32)*'ANALYSE - ERP =&gt; SOUS-SEGMENT'!$Q$8:$Q$1000*'ANALYSE - ERP =&gt; SOUS-SEGMENT'!$W$8:$W$1000))</f>
        <v>46733</v>
      </c>
      <c r="X32" s="279">
        <f>IF($C32="","",SUMPRODUCT(('ANALYSE - ERP =&gt; SOUS-SEGMENT'!$C$8:$C$1000=$C32)*'ANALYSE - ERP =&gt; SOUS-SEGMENT'!$Q$8:$Q$1000*'ANALYSE - ERP =&gt; SOUS-SEGMENT'!$X$8:$X$1000))</f>
        <v>46088</v>
      </c>
      <c r="Y32" s="279">
        <f>IF($C32="","",SUMPRODUCT(('ANALYSE - ERP =&gt; SOUS-SEGMENT'!$C$8:$C$1000=$C32)*'ANALYSE - ERP =&gt; SOUS-SEGMENT'!$Q$8:$Q$1000*'ANALYSE - ERP =&gt; SOUS-SEGMENT'!$Y$8:$Y$1000))</f>
        <v>46246</v>
      </c>
      <c r="Z32" s="279">
        <f>IF($C32="","",SUMPRODUCT(('ANALYSE - ERP =&gt; SOUS-SEGMENT'!$C$8:$C$1000=$C32)*'ANALYSE - ERP =&gt; SOUS-SEGMENT'!$Q$8:$Q$1000*'ANALYSE - ERP =&gt; SOUS-SEGMENT'!$Z$8:$Z$1000))</f>
        <v>46300</v>
      </c>
      <c r="AA32" s="279">
        <f>IF($C32="","",SUMPRODUCT(('ANALYSE - ERP =&gt; SOUS-SEGMENT'!$C$8:$C$1000=$C32)*'ANALYSE - ERP =&gt; SOUS-SEGMENT'!$Q$8:$Q$1000*'ANALYSE - ERP =&gt; SOUS-SEGMENT'!$AA$8:$AA$1000))</f>
        <v>46309</v>
      </c>
      <c r="AB32" s="279">
        <f>IF($C32="","",SUMPRODUCT(('ANALYSE - ERP =&gt; SOUS-SEGMENT'!$C$8:$C$1000=$C32)*'ANALYSE - ERP =&gt; SOUS-SEGMENT'!$Q$8:$Q$1000*'ANALYSE - ERP =&gt; SOUS-SEGMENT'!$AB$8:$AB$1000))</f>
        <v>46424</v>
      </c>
      <c r="AC32" s="279">
        <f>IF($C32="","",SUMPRODUCT(('ANALYSE - ERP =&gt; SOUS-SEGMENT'!$C$8:$C$1000=$C32)*'ANALYSE - ERP =&gt; SOUS-SEGMENT'!$Q$8:$Q$1000*'ANALYSE - ERP =&gt; SOUS-SEGMENT'!$AC$8:$AC$1000))</f>
        <v>46623</v>
      </c>
      <c r="AD32" s="279">
        <f>IF($C32="","",SUMPRODUCT(('ANALYSE - ERP =&gt; SOUS-SEGMENT'!$C$8:$C$1000=$C32)*'ANALYSE - ERP =&gt; SOUS-SEGMENT'!$Q$8:$Q$1000*'ANALYSE - ERP =&gt; SOUS-SEGMENT'!$AD$8:$AD$1000))</f>
        <v>46711</v>
      </c>
      <c r="AE32" s="279">
        <f>IF($C32="","",SUMPRODUCT(('ANALYSE - ERP =&gt; SOUS-SEGMENT'!$C$8:$C$1000=$C32)*'ANALYSE - ERP =&gt; SOUS-SEGMENT'!$Q$8:$Q$1000*'ANALYSE - ERP =&gt; SOUS-SEGMENT'!$AE$8:$AE$1000))</f>
        <v>46806</v>
      </c>
      <c r="AF32" s="279">
        <f>IF($C32="","",SUMPRODUCT(('ANALYSE - ERP =&gt; SOUS-SEGMENT'!$C$8:$C$1000=$C32)*'ANALYSE - ERP =&gt; SOUS-SEGMENT'!$Q$8:$Q$1000*'ANALYSE - ERP =&gt; SOUS-SEGMENT'!$AF$8:$AF$1000))</f>
        <v>46764</v>
      </c>
      <c r="AG32" s="279">
        <f>IF($C32="","",SUMPRODUCT(('ANALYSE - ERP =&gt; SOUS-SEGMENT'!$C$8:$C$1000=$C32)*'ANALYSE - ERP =&gt; SOUS-SEGMENT'!$Q$8:$Q$1000*'ANALYSE - ERP =&gt; SOUS-SEGMENT'!$AG$8:$AG$1000))</f>
        <v>46789</v>
      </c>
      <c r="AH32" s="279">
        <f>IF($C32="","",SUMPRODUCT(('ANALYSE - ERP =&gt; SOUS-SEGMENT'!$C$8:$C$1000=$C32)*'ANALYSE - ERP =&gt; SOUS-SEGMENT'!$Q$8:$Q$1000*'ANALYSE - ERP =&gt; SOUS-SEGMENT'!$AH$8:$AH$1000))</f>
        <v>46809</v>
      </c>
      <c r="AI32" s="279">
        <f>IF($C32="","",SUMPRODUCT(('ANALYSE - ERP =&gt; SOUS-SEGMENT'!$C$8:$C$1000=$C32)*'ANALYSE - ERP =&gt; SOUS-SEGMENT'!$Q$8:$Q$1000*'ANALYSE - ERP =&gt; SOUS-SEGMENT'!$AI$8:$AI$1000))</f>
        <v>46827</v>
      </c>
      <c r="AJ32" s="279">
        <f>IF($C32="","",SUMPRODUCT(('ANALYSE - ERP =&gt; SOUS-SEGMENT'!$C$8:$C$1000=$C32)*'ANALYSE - ERP =&gt; SOUS-SEGMENT'!$Q$8:$Q$1000*'ANALYSE - ERP =&gt; SOUS-SEGMENT'!$AJ$8:$AJ$1000))</f>
        <v>46833</v>
      </c>
      <c r="AK32" s="279">
        <f>IF($C32="","",SUMPRODUCT(('ANALYSE - ERP =&gt; SOUS-SEGMENT'!$C$8:$C$1000=$C32)*'ANALYSE - ERP =&gt; SOUS-SEGMENT'!$Q$8:$Q$1000*'ANALYSE - ERP =&gt; SOUS-SEGMENT'!$AK$8:$AK$1000))</f>
        <v>46840</v>
      </c>
      <c r="AL32" s="646" t="s">
        <v>6007</v>
      </c>
      <c r="AM32" s="646" t="s">
        <v>6008</v>
      </c>
      <c r="AN32" s="646" t="s">
        <v>6009</v>
      </c>
      <c r="AO32" s="657"/>
      <c r="AP32" s="278">
        <f>IF($C32="","",IFERROR(SUMPRODUCT(('ANALYSE - ERP =&gt; SOUS-SEGMENT'!$C$8:$C$1000=$C32)*'ANALYSE - ERP =&gt; SOUS-SEGMENT'!$Q$8:$Q$1000*'ANALYSE - ERP =&gt; SOUS-SEGMENT'!$AF$8:$AF$1000*'ANALYSE - ERP =&gt; SOUS-SEGMENT'!$AP$8:$AP$1000)/SUMPRODUCT(('ANALYSE - ERP =&gt; SOUS-SEGMENT'!$C$8:$C$1000=$C32)*'ANALYSE - ERP =&gt; SOUS-SEGMENT'!$Q$8:$Q$1000*'ANALYSE - ERP =&gt; SOUS-SEGMENT'!$AF$8:$AF$1000),""))</f>
        <v>46.844795141561882</v>
      </c>
      <c r="AQ32" s="278">
        <f>IF($C32="","",IFERROR(SUMPRODUCT(('ANALYSE - ERP =&gt; SOUS-SEGMENT'!$C$8:$C$1000=$C32)*'ANALYSE - ERP =&gt; SOUS-SEGMENT'!$Q$8:$Q$1000*'ANALYSE - ERP =&gt; SOUS-SEGMENT'!$AF$8:$AF$1000*'ANALYSE - ERP =&gt; SOUS-SEGMENT'!$AQ$8:$AQ$1000)/SUMPRODUCT(('ANALYSE - ERP =&gt; SOUS-SEGMENT'!$C$8:$C$1000=$C32)*'ANALYSE - ERP =&gt; SOUS-SEGMENT'!$Q$8:$Q$1000*'ANALYSE - ERP =&gt; SOUS-SEGMENT'!$AF$8:$AF$1000),""))</f>
        <v>30.557394577025061</v>
      </c>
      <c r="AR32" s="278">
        <f>IF($C32="","",IFERROR(SUMPRODUCT(('ANALYSE - ERP =&gt; SOUS-SEGMENT'!$C$8:$C$1000=$C32)*'ANALYSE - ERP =&gt; SOUS-SEGMENT'!$Q$8:$Q$1000*'ANALYSE - ERP =&gt; SOUS-SEGMENT'!$AF$8:$AF$1000*'ANALYSE - ERP =&gt; SOUS-SEGMENT'!$AR$8:$AR$1000)/SUMPRODUCT(('ANALYSE - ERP =&gt; SOUS-SEGMENT'!$C$8:$C$1000=$C32)*'ANALYSE - ERP =&gt; SOUS-SEGMENT'!$Q$8:$Q$1000*'ANALYSE - ERP =&gt; SOUS-SEGMENT'!$AF$8:$AF$1000),""))</f>
        <v>13.183880762980071</v>
      </c>
      <c r="AS32" s="278">
        <f>IF($C32="","",IFERROR(SUMPRODUCT(('ANALYSE - ERP =&gt; SOUS-SEGMENT'!$C$8:$C$1000=$C32)*'ANALYSE - ERP =&gt; SOUS-SEGMENT'!$Q$8:$Q$1000*'ANALYSE - ERP =&gt; SOUS-SEGMENT'!$AF$8:$AF$1000*'ANALYSE - ERP =&gt; SOUS-SEGMENT'!$AS$8:$AS$1000)/SUMPRODUCT(('ANALYSE - ERP =&gt; SOUS-SEGMENT'!$C$8:$C$1000=$C32)*'ANALYSE - ERP =&gt; SOUS-SEGMENT'!$Q$8:$Q$1000*'ANALYSE - ERP =&gt; SOUS-SEGMENT'!$AF$8:$AF$1000),""))</f>
        <v>3.1035198015567529</v>
      </c>
      <c r="AT32" s="657"/>
      <c r="AU32" s="646" t="s">
        <v>6010</v>
      </c>
      <c r="AV32" s="646" t="s">
        <v>6011</v>
      </c>
      <c r="AW32" s="646" t="s">
        <v>6012</v>
      </c>
      <c r="AX32" s="646" t="s">
        <v>6013</v>
      </c>
      <c r="AY32" s="657"/>
      <c r="AZ32" s="947">
        <f>IF($C32="","",IFERROR(SUMPRODUCT(('ANALYSE - ERP =&gt; SOUS-SEGMENT'!$C$8:$C$1000=$C32)*'ANALYSE - ERP =&gt; SOUS-SEGMENT'!$Q$8:$Q$1000*'ANALYSE - ERP =&gt; SOUS-SEGMENT'!$AF$8:$AF$1000*'ANALYSE - ERP =&gt; SOUS-SEGMENT'!$AZ$8:$AZ$1000)/SUMPRODUCT(('ANALYSE - ERP =&gt; SOUS-SEGMENT'!$C$8:$C$1000=$C32)*'ANALYSE - ERP =&gt; SOUS-SEGMENT'!$Q$8:$Q$1000*'ANALYSE - ERP =&gt; SOUS-SEGMENT'!$AF$8:$AF$1000),""))</f>
        <v>3.5356470789496193</v>
      </c>
      <c r="BA32" s="947">
        <f>IF($C32="","",IFERROR(SUMPRODUCT(('ANALYSE - ERP =&gt; SOUS-SEGMENT'!$C$8:$C$1000=$C32)*'ANALYSE - ERP =&gt; SOUS-SEGMENT'!$Q$8:$Q$1000*'ANALYSE - ERP =&gt; SOUS-SEGMENT'!$AF$8:$AF$1000*'ANALYSE - ERP =&gt; SOUS-SEGMENT'!$BA$8:$BA$1000)/SUMPRODUCT(('ANALYSE - ERP =&gt; SOUS-SEGMENT'!$C$8:$C$1000=$C32)*'ANALYSE - ERP =&gt; SOUS-SEGMENT'!$Q$8:$Q$1000*'ANALYSE - ERP =&gt; SOUS-SEGMENT'!$AF$8:$AF$1000),""))</f>
        <v>0</v>
      </c>
      <c r="BB32" s="947">
        <f>IF($C32="","",IFERROR(SUMPRODUCT(('ANALYSE - ERP =&gt; SOUS-SEGMENT'!$C$8:$C$1000=$C32)*'ANALYSE - ERP =&gt; SOUS-SEGMENT'!$Q$8:$Q$1000*'ANALYSE - ERP =&gt; SOUS-SEGMENT'!$AF$8:$AF$1000*'ANALYSE - ERP =&gt; SOUS-SEGMENT'!$BB$8:$BB$1000)/SUMPRODUCT(('ANALYSE - ERP =&gt; SOUS-SEGMENT'!$C$8:$C$1000=$C32)*'ANALYSE - ERP =&gt; SOUS-SEGMENT'!$Q$8:$Q$1000*'ANALYSE - ERP =&gt; SOUS-SEGMENT'!$AF$8:$AF$1000),""))</f>
        <v>0.47724317851338632</v>
      </c>
      <c r="BC32" s="947">
        <f>IF($C32="","",IFERROR(SUMPRODUCT(('ANALYSE - ERP =&gt; SOUS-SEGMENT'!$C$8:$C$1000=$C32)*'ANALYSE - ERP =&gt; SOUS-SEGMENT'!$Q$8:$Q$1000*'ANALYSE - ERP =&gt; SOUS-SEGMENT'!$AF$8:$AF$1000*'ANALYSE - ERP =&gt; SOUS-SEGMENT'!$BC$8:$BC$1000)/SUMPRODUCT(('ANALYSE - ERP =&gt; SOUS-SEGMENT'!$C$8:$C$1000=$C32)*'ANALYSE - ERP =&gt; SOUS-SEGMENT'!$Q$8:$Q$1000*'ANALYSE - ERP =&gt; SOUS-SEGMENT'!$AF$8:$AF$1000),""))</f>
        <v>3.2841715849798989</v>
      </c>
      <c r="BD32" s="826">
        <f t="shared" si="1"/>
        <v>341239.8</v>
      </c>
      <c r="BE32" s="283">
        <f>IF($C32="","",SUMPRODUCT(('ANALYSE - ERP =&gt; SOUS-SEGMENT'!$C$8:$C$1000=$C32)*'ANALYSE - ERP =&gt; SOUS-SEGMENT'!$Q$8:$Q$1000*'ANALYSE - ERP =&gt; SOUS-SEGMENT'!$BE$8:$BE$1000))</f>
        <v>165341</v>
      </c>
      <c r="BF32" s="283">
        <f>IF($C32="","",SUMPRODUCT(('ANALYSE - ERP =&gt; SOUS-SEGMENT'!$C$8:$C$1000=$C32)*'ANALYSE - ERP =&gt; SOUS-SEGMENT'!$Q$8:$Q$1000*'ANALYSE - ERP =&gt; SOUS-SEGMENT'!$BF$8:$BF$1000))</f>
        <v>0</v>
      </c>
      <c r="BG32" s="283">
        <f>IF($C32="","",SUMPRODUCT(('ANALYSE - ERP =&gt; SOUS-SEGMENT'!$C$8:$C$1000=$C32)*'ANALYSE - ERP =&gt; SOUS-SEGMENT'!$Q$8:$Q$1000*'ANALYSE - ERP =&gt; SOUS-SEGMENT'!$BG$8:$BG$1000))</f>
        <v>22317.8</v>
      </c>
      <c r="BH32" s="283">
        <f>IF($C32="","",SUMPRODUCT(('ANALYSE - ERP =&gt; SOUS-SEGMENT'!$C$8:$C$1000=$C32)*'ANALYSE - ERP =&gt; SOUS-SEGMENT'!$Q$8:$Q$1000*'ANALYSE - ERP =&gt; SOUS-SEGMENT'!$BH$8:$BH$1000))</f>
        <v>153581</v>
      </c>
      <c r="BI32" s="826">
        <f t="shared" si="2"/>
        <v>341128</v>
      </c>
      <c r="BJ32" s="283">
        <f>IF($C32="","",SUMPRODUCT(('ANALYSE - ERP =&gt; SOUS-SEGMENT'!$C$8:$C$1000=$C32)*'ANALYSE - ERP =&gt; SOUS-SEGMENT'!$Q$8:$Q$1000*'ANALYSE - ERP =&gt; SOUS-SEGMENT'!$BJ$8:$BJ$1000))</f>
        <v>165301</v>
      </c>
      <c r="BK32" s="283">
        <f>IF($C32="","",SUMPRODUCT(('ANALYSE - ERP =&gt; SOUS-SEGMENT'!$C$8:$C$1000=$C32)*'ANALYSE - ERP =&gt; SOUS-SEGMENT'!$Q$8:$Q$1000*'ANALYSE - ERP =&gt; SOUS-SEGMENT'!$BK$8:$BK$1000))</f>
        <v>0</v>
      </c>
      <c r="BL32" s="283">
        <f>IF($C32="","",SUMPRODUCT(('ANALYSE - ERP =&gt; SOUS-SEGMENT'!$C$8:$C$1000=$C32)*'ANALYSE - ERP =&gt; SOUS-SEGMENT'!$Q$8:$Q$1000*'ANALYSE - ERP =&gt; SOUS-SEGMENT'!$BL$8:$BL$1000))</f>
        <v>22262</v>
      </c>
      <c r="BM32" s="283">
        <f>IF($C32="","",SUMPRODUCT(('ANALYSE - ERP =&gt; SOUS-SEGMENT'!$C$8:$C$1000=$C32)*'ANALYSE - ERP =&gt; SOUS-SEGMENT'!$Q$8:$Q$1000*'ANALYSE - ERP =&gt; SOUS-SEGMENT'!$BM$8:$BM$1000))</f>
        <v>153565</v>
      </c>
      <c r="BN32" s="657"/>
      <c r="BO32" s="305">
        <f t="shared" si="3"/>
        <v>0.32992397529953255</v>
      </c>
      <c r="BP32" s="305">
        <f t="shared" si="4"/>
        <v>0.47953417482657057</v>
      </c>
      <c r="BQ32" s="305">
        <f t="shared" si="5"/>
        <v>0.15054184987389702</v>
      </c>
      <c r="BR32" s="581">
        <f t="shared" si="6"/>
        <v>3.9999999999999994E-2</v>
      </c>
      <c r="BS32" s="706">
        <f t="shared" si="7"/>
        <v>0.28830956860515061</v>
      </c>
      <c r="BT32" s="305">
        <f t="shared" si="8"/>
        <v>0.48208522634466827</v>
      </c>
      <c r="BU32" s="305">
        <f t="shared" si="9"/>
        <v>0.1996052050501812</v>
      </c>
      <c r="BV32" s="581">
        <f t="shared" si="10"/>
        <v>0.03</v>
      </c>
      <c r="BW32" s="713">
        <f t="shared" si="11"/>
        <v>0</v>
      </c>
      <c r="BX32" s="306">
        <f t="shared" si="12"/>
        <v>0</v>
      </c>
      <c r="BY32" s="590">
        <f t="shared" si="13"/>
        <v>0</v>
      </c>
      <c r="BZ32" s="713">
        <f t="shared" si="14"/>
        <v>0</v>
      </c>
      <c r="CA32" s="306">
        <f t="shared" si="15"/>
        <v>0</v>
      </c>
      <c r="CB32" s="590">
        <f t="shared" si="16"/>
        <v>0</v>
      </c>
      <c r="CC32" s="706">
        <f t="shared" si="17"/>
        <v>0.11914955775210814</v>
      </c>
      <c r="CD32" s="305">
        <f t="shared" si="18"/>
        <v>0.4927673874665065</v>
      </c>
      <c r="CE32" s="305">
        <f t="shared" si="19"/>
        <v>0.22281828854098523</v>
      </c>
      <c r="CF32" s="581">
        <f t="shared" si="20"/>
        <v>0.16526476624040004</v>
      </c>
      <c r="CG32" s="706">
        <f t="shared" si="21"/>
        <v>9.9168987512352882E-2</v>
      </c>
      <c r="CH32" s="305">
        <f t="shared" si="22"/>
        <v>0.48716287844757883</v>
      </c>
      <c r="CI32" s="305">
        <f t="shared" si="23"/>
        <v>0.24764980684574617</v>
      </c>
      <c r="CJ32" s="581">
        <f t="shared" si="24"/>
        <v>0.16601832719432216</v>
      </c>
      <c r="CK32" s="719">
        <f t="shared" si="25"/>
        <v>0.49809930915933609</v>
      </c>
      <c r="CL32" s="307">
        <f t="shared" si="26"/>
        <v>0.33641205617882419</v>
      </c>
      <c r="CM32" s="723">
        <f t="shared" si="27"/>
        <v>0.16548863466183969</v>
      </c>
      <c r="CN32" s="719">
        <f t="shared" si="28"/>
        <v>0.42573340279360522</v>
      </c>
      <c r="CO32" s="307">
        <f t="shared" si="29"/>
        <v>0.36599023214925286</v>
      </c>
      <c r="CP32" s="723">
        <f t="shared" si="30"/>
        <v>0.20827636505714192</v>
      </c>
      <c r="CQ32" s="657"/>
      <c r="CR32" s="804">
        <f>IF($C32="","",IFERROR(SUMPRODUCT(('ANALYSE - ERP =&gt; SOUS-SEGMENT'!$C$8:$C$1000=$C32)*'ANALYSE - ERP =&gt; SOUS-SEGMENT'!$Q$8:$Q$1000*'ANALYSE - ERP =&gt; SOUS-SEGMENT'!$DH$8:$DH$1000*'ANALYSE - ERP =&gt; SOUS-SEGMENT'!$CR$8:$CR$1000)/SUMPRODUCT(('ANALYSE - ERP =&gt; SOUS-SEGMENT'!$C$8:$C$1000=$C32)*'ANALYSE - ERP =&gt; SOUS-SEGMENT'!$Q$8:$Q$1000*'ANALYSE - ERP =&gt; SOUS-SEGMENT'!$DH$8:$DH$1000),""))</f>
        <v>13</v>
      </c>
      <c r="CS32" s="805">
        <f>IF($C32="","",IFERROR(SUMPRODUCT(('ANALYSE - ERP =&gt; SOUS-SEGMENT'!$C$8:$C$1000=$C32)*'ANALYSE - ERP =&gt; SOUS-SEGMENT'!$Q$8:$Q$1000*'ANALYSE - ERP =&gt; SOUS-SEGMENT'!$DI$8:$DI$1000*'ANALYSE - ERP =&gt; SOUS-SEGMENT'!$CS$8:$CS$1000)/SUMPRODUCT(('ANALYSE - ERP =&gt; SOUS-SEGMENT'!$C$8:$C$1000=$C32)*'ANALYSE - ERP =&gt; SOUS-SEGMENT'!$Q$8:$Q$1000*'ANALYSE - ERP =&gt; SOUS-SEGMENT'!$DI$8:$DI$1000),""))</f>
        <v>13.928693174866995</v>
      </c>
      <c r="CT32" s="805">
        <f>IF($C32="","",IFERROR(SUMPRODUCT(('ANALYSE - ERP =&gt; SOUS-SEGMENT'!$C$8:$C$1000=$C32)*'ANALYSE - ERP =&gt; SOUS-SEGMENT'!$Q$8:$Q$1000*'ANALYSE - ERP =&gt; SOUS-SEGMENT'!$DJ$8:$DJ$1000*'ANALYSE - ERP =&gt; SOUS-SEGMENT'!$CT$8:$CT$1000)/SUMPRODUCT(('ANALYSE - ERP =&gt; SOUS-SEGMENT'!$C$8:$C$1000=$C32)*'ANALYSE - ERP =&gt; SOUS-SEGMENT'!$Q$8:$Q$1000*'ANALYSE - ERP =&gt; SOUS-SEGMENT'!$DJ$8:$DJ$1000),""))</f>
        <v>9.9999999999999982</v>
      </c>
      <c r="CU32" s="806">
        <f>IF($C32="","",IFERROR(SUMPRODUCT(('ANALYSE - ERP =&gt; SOUS-SEGMENT'!$C$8:$C$1000=$C32)*'ANALYSE - ERP =&gt; SOUS-SEGMENT'!$Q$8:$Q$1000*'ANALYSE - ERP =&gt; SOUS-SEGMENT'!$DK$8:$DK$1000*'ANALYSE - ERP =&gt; SOUS-SEGMENT'!$CU$8:$CU$1000)/SUMPRODUCT(('ANALYSE - ERP =&gt; SOUS-SEGMENT'!$C$8:$C$1000=$C32)*'ANALYSE - ERP =&gt; SOUS-SEGMENT'!$Q$8:$Q$1000*'ANALYSE - ERP =&gt; SOUS-SEGMENT'!$DK$8:$DK$1000),""))</f>
        <v>11.999999999999998</v>
      </c>
      <c r="CV32" s="804" t="str">
        <f>IF($C32="","",IFERROR(SUMPRODUCT(('ANALYSE - ERP =&gt; SOUS-SEGMENT'!$C$8:$C$1000=$C32)*'ANALYSE - ERP =&gt; SOUS-SEGMENT'!$Q$8:$Q$1000*'ANALYSE - ERP =&gt; SOUS-SEGMENT'!$DS$8:$DS$1000*'ANALYSE - ERP =&gt; SOUS-SEGMENT'!$CV$8:$CV$1000)/SUMPRODUCT(('ANALYSE - ERP =&gt; SOUS-SEGMENT'!$C$8:$C$1000=$C32)*'ANALYSE - ERP =&gt; SOUS-SEGMENT'!$Q$8:$Q$1000*'ANALYSE - ERP =&gt; SOUS-SEGMENT'!$DS$8:$DS$1000),""))</f>
        <v/>
      </c>
      <c r="CW32" s="805" t="str">
        <f>IF($C32="","",IFERROR(SUMPRODUCT(('ANALYSE - ERP =&gt; SOUS-SEGMENT'!$C$8:$C$1000=$C32)*'ANALYSE - ERP =&gt; SOUS-SEGMENT'!$Q$8:$Q$1000*'ANALYSE - ERP =&gt; SOUS-SEGMENT'!$DT$8:$DT$1000*'ANALYSE - ERP =&gt; SOUS-SEGMENT'!$CW$8:$CW$1000)/SUMPRODUCT(('ANALYSE - ERP =&gt; SOUS-SEGMENT'!$C$8:$C$1000=$C32)*'ANALYSE - ERP =&gt; SOUS-SEGMENT'!$Q$8:$Q$1000*'ANALYSE - ERP =&gt; SOUS-SEGMENT'!$DT$8:$DT$1000),""))</f>
        <v/>
      </c>
      <c r="CX32" s="806" t="str">
        <f>IF($C32="","",IFERROR(SUMPRODUCT(('ANALYSE - ERP =&gt; SOUS-SEGMENT'!$C$8:$C$1000=$C32)*'ANALYSE - ERP =&gt; SOUS-SEGMENT'!$Q$8:$Q$1000*'ANALYSE - ERP =&gt; SOUS-SEGMENT'!$DU$8:$DU$1000*'ANALYSE - ERP =&gt; SOUS-SEGMENT'!$CX$8:$CX$1000)/SUMPRODUCT(('ANALYSE - ERP =&gt; SOUS-SEGMENT'!$C$8:$C$1000=$C32)*'ANALYSE - ERP =&gt; SOUS-SEGMENT'!$Q$8:$Q$1000*'ANALYSE - ERP =&gt; SOUS-SEGMENT'!$DU$8:$DU$1000),""))</f>
        <v/>
      </c>
      <c r="CY32" s="804">
        <f>IF($C32="","",IFERROR(SUMPRODUCT(('ANALYSE - ERP =&gt; SOUS-SEGMENT'!$C$8:$C$1000=$C32)*'ANALYSE - ERP =&gt; SOUS-SEGMENT'!$Q$8:$Q$1000*'ANALYSE - ERP =&gt; SOUS-SEGMENT'!$EB$8:$EB$1000*'ANALYSE - ERP =&gt; SOUS-SEGMENT'!$CY$8:$CY$1000)/SUMPRODUCT(('ANALYSE - ERP =&gt; SOUS-SEGMENT'!$C$8:$C$1000=$C32)*'ANALYSE - ERP =&gt; SOUS-SEGMENT'!$Q$8:$Q$1000*'ANALYSE - ERP =&gt; SOUS-SEGMENT'!$EB$8:$EB$1000),""))</f>
        <v>11.000000000000004</v>
      </c>
      <c r="CZ32" s="805">
        <f>IF($C32="","",IFERROR(SUMPRODUCT(('ANALYSE - ERP =&gt; SOUS-SEGMENT'!$C$8:$C$1000=$C32)*'ANALYSE - ERP =&gt; SOUS-SEGMENT'!$Q$8:$Q$1000*'ANALYSE - ERP =&gt; SOUS-SEGMENT'!$EC$8:$EC$1000*'ANALYSE - ERP =&gt; SOUS-SEGMENT'!$CZ$8:$CZ$1000)/SUMPRODUCT(('ANALYSE - ERP =&gt; SOUS-SEGMENT'!$C$8:$C$1000=$C32)*'ANALYSE - ERP =&gt; SOUS-SEGMENT'!$Q$8:$Q$1000*'ANALYSE - ERP =&gt; SOUS-SEGMENT'!$EC$8:$EC$1000),""))</f>
        <v>13</v>
      </c>
      <c r="DA32" s="805">
        <f>IF($C32="","",IFERROR(SUMPRODUCT(('ANALYSE - ERP =&gt; SOUS-SEGMENT'!$C$8:$C$1000=$C32)*'ANALYSE - ERP =&gt; SOUS-SEGMENT'!$Q$8:$Q$1000*'ANALYSE - ERP =&gt; SOUS-SEGMENT'!$ED$8:$ED$1000*'ANALYSE - ERP =&gt; SOUS-SEGMENT'!$DA$8:$DA$1000)/SUMPRODUCT(('ANALYSE - ERP =&gt; SOUS-SEGMENT'!$C$8:$C$1000=$C32)*'ANALYSE - ERP =&gt; SOUS-SEGMENT'!$Q$8:$Q$1000*'ANALYSE - ERP =&gt; SOUS-SEGMENT'!$ED$8:$ED$1000),""))</f>
        <v>9</v>
      </c>
      <c r="DB32" s="806">
        <f>IF($C32="","",IFERROR(SUMPRODUCT(('ANALYSE - ERP =&gt; SOUS-SEGMENT'!$C$8:$C$1000=$C32)*'ANALYSE - ERP =&gt; SOUS-SEGMENT'!$Q$8:$Q$1000*'ANALYSE - ERP =&gt; SOUS-SEGMENT'!$EE$8:$EE$1000*'ANALYSE - ERP =&gt; SOUS-SEGMENT'!$DB$8:$DB$1000)/SUMPRODUCT(('ANALYSE - ERP =&gt; SOUS-SEGMENT'!$C$8:$C$1000=$C32)*'ANALYSE - ERP =&gt; SOUS-SEGMENT'!$Q$8:$Q$1000*'ANALYSE - ERP =&gt; SOUS-SEGMENT'!$EE$8:$EE$1000),""))</f>
        <v>11.000000000000002</v>
      </c>
      <c r="DC32" s="804">
        <f>IF($C32="","",IFERROR(SUMPRODUCT(('ANALYSE - ERP =&gt; SOUS-SEGMENT'!$C$8:$C$1000=$C32)*'ANALYSE - ERP =&gt; SOUS-SEGMENT'!$Q$8:$Q$1000*'ANALYSE - ERP =&gt; SOUS-SEGMENT'!$EM$8:$EM$1000*'ANALYSE - ERP =&gt; SOUS-SEGMENT'!$DC$8:$DC$1000)/SUMPRODUCT(('ANALYSE - ERP =&gt; SOUS-SEGMENT'!$C$8:$C$1000=$C32)*'ANALYSE - ERP =&gt; SOUS-SEGMENT'!$Q$8:$Q$1000*'ANALYSE - ERP =&gt; SOUS-SEGMENT'!$EM$8:$EM$1000),""))</f>
        <v>13.895030745011118</v>
      </c>
      <c r="DD32" s="805">
        <f>IF($C32="","",IFERROR(SUMPRODUCT(('ANALYSE - ERP =&gt; SOUS-SEGMENT'!$C$8:$C$1000=$C32)*'ANALYSE - ERP =&gt; SOUS-SEGMENT'!$Q$8:$Q$1000*'ANALYSE - ERP =&gt; SOUS-SEGMENT'!$EN$8:$EN$1000*'ANALYSE - ERP =&gt; SOUS-SEGMENT'!$DD$8:$DD$1000)/SUMPRODUCT(('ANALYSE - ERP =&gt; SOUS-SEGMENT'!$C$8:$C$1000=$C32)*'ANALYSE - ERP =&gt; SOUS-SEGMENT'!$Q$8:$Q$1000*'ANALYSE - ERP =&gt; SOUS-SEGMENT'!$EN$8:$EN$1000),""))</f>
        <v>13.960365033435592</v>
      </c>
      <c r="DE32" s="806">
        <f>IF($C32="","",IFERROR(SUMPRODUCT(('ANALYSE - ERP =&gt; SOUS-SEGMENT'!$C$8:$C$1000=$C32)*'ANALYSE - ERP =&gt; SOUS-SEGMENT'!$Q$8:$Q$1000*'ANALYSE - ERP =&gt; SOUS-SEGMENT'!$EO$8:$EO$1000*'ANALYSE - ERP =&gt; SOUS-SEGMENT'!$DE$8:$DE$1000)/SUMPRODUCT(('ANALYSE - ERP =&gt; SOUS-SEGMENT'!$C$8:$C$1000=$C32)*'ANALYSE - ERP =&gt; SOUS-SEGMENT'!$Q$8:$Q$1000*'ANALYSE - ERP =&gt; SOUS-SEGMENT'!$EO$8:$EO$1000),""))</f>
        <v>10</v>
      </c>
      <c r="DF32" s="919" t="s">
        <v>6014</v>
      </c>
      <c r="DG32" s="657"/>
      <c r="DH32" s="308">
        <f>IF($C32="","",SUMPRODUCT(('ANALYSE - ERP =&gt; SOUS-SEGMENT'!$C$8:$C$1000=$C32)*'ANALYSE - ERP =&gt; SOUS-SEGMENT'!$Q$8:$Q$1000*'ANALYSE - ERP =&gt; SOUS-SEGMENT'!$DH$8:$DH$1000))</f>
        <v>54549.960000000006</v>
      </c>
      <c r="DI32" s="308">
        <f>IF($C32="","",SUMPRODUCT(('ANALYSE - ERP =&gt; SOUS-SEGMENT'!$C$8:$C$1000=$C32)*'ANALYSE - ERP =&gt; SOUS-SEGMENT'!$Q$8:$Q$1000*'ANALYSE - ERP =&gt; SOUS-SEGMENT'!$DI$8:$DI$1000))</f>
        <v>79286.66</v>
      </c>
      <c r="DJ32" s="308">
        <f>IF($C32="","",SUMPRODUCT(('ANALYSE - ERP =&gt; SOUS-SEGMENT'!$C$8:$C$1000=$C32)*'ANALYSE - ERP =&gt; SOUS-SEGMENT'!$Q$8:$Q$1000*'ANALYSE - ERP =&gt; SOUS-SEGMENT'!$DJ$8:$DJ$1000))</f>
        <v>24890.740000000005</v>
      </c>
      <c r="DK32" s="308">
        <f>IF($C32="","",SUMPRODUCT(('ANALYSE - ERP =&gt; SOUS-SEGMENT'!$C$8:$C$1000=$C32)*'ANALYSE - ERP =&gt; SOUS-SEGMENT'!$Q$8:$Q$1000*'ANALYSE - ERP =&gt; SOUS-SEGMENT'!$DK$8:$DK$1000))</f>
        <v>6613.6399999999994</v>
      </c>
      <c r="DL32" s="646" t="s">
        <v>6015</v>
      </c>
      <c r="DM32" s="308">
        <f>IF($C32="","",SUMPRODUCT(('ANALYSE - ERP =&gt; SOUS-SEGMENT'!$C$8:$C$1000=$C32)*'ANALYSE - ERP =&gt; SOUS-SEGMENT'!$Q$8:$Q$1000*'ANALYSE - ERP =&gt; SOUS-SEGMENT'!$DM$8:$DM$1000))</f>
        <v>47657.86</v>
      </c>
      <c r="DN32" s="308">
        <f>IF($C32="","",SUMPRODUCT(('ANALYSE - ERP =&gt; SOUS-SEGMENT'!$C$8:$C$1000=$C32)*'ANALYSE - ERP =&gt; SOUS-SEGMENT'!$Q$8:$Q$1000*'ANALYSE - ERP =&gt; SOUS-SEGMENT'!$DN$8:$DN$1000))</f>
        <v>79689.170000000013</v>
      </c>
      <c r="DO32" s="308">
        <f>IF($C32="","",SUMPRODUCT(('ANALYSE - ERP =&gt; SOUS-SEGMENT'!$C$8:$C$1000=$C32)*'ANALYSE - ERP =&gt; SOUS-SEGMENT'!$Q$8:$Q$1000*'ANALYSE - ERP =&gt; SOUS-SEGMENT'!$DO$8:$DO$1000))</f>
        <v>32994.94</v>
      </c>
      <c r="DP32" s="308">
        <f>IF($C32="","",SUMPRODUCT(('ANALYSE - ERP =&gt; SOUS-SEGMENT'!$C$8:$C$1000=$C32)*'ANALYSE - ERP =&gt; SOUS-SEGMENT'!$Q$8:$Q$1000*'ANALYSE - ERP =&gt; SOUS-SEGMENT'!$DP$8:$DP$1000))</f>
        <v>4959.03</v>
      </c>
      <c r="DQ32" s="646" t="s">
        <v>6016</v>
      </c>
      <c r="DR32" s="657"/>
      <c r="DS32" s="308">
        <f>IF($C32="","",SUMPRODUCT(('ANALYSE - ERP =&gt; SOUS-SEGMENT'!$C$8:$C$1000=$C32)*'ANALYSE - ERP =&gt; SOUS-SEGMENT'!$Q$8:$Q$1000*'ANALYSE - ERP =&gt; SOUS-SEGMENT'!$DS$8:$DS$1000))</f>
        <v>0</v>
      </c>
      <c r="DT32" s="308">
        <f>IF($C32="","",SUMPRODUCT(('ANALYSE - ERP =&gt; SOUS-SEGMENT'!$C$8:$C$1000=$C32)*'ANALYSE - ERP =&gt; SOUS-SEGMENT'!$Q$8:$Q$1000*'ANALYSE - ERP =&gt; SOUS-SEGMENT'!$DT$8:$DT$1000))</f>
        <v>0</v>
      </c>
      <c r="DU32" s="308">
        <f>IF($C32="","",SUMPRODUCT(('ANALYSE - ERP =&gt; SOUS-SEGMENT'!$C$8:$C$1000=$C32)*'ANALYSE - ERP =&gt; SOUS-SEGMENT'!$Q$8:$Q$1000*'ANALYSE - ERP =&gt; SOUS-SEGMENT'!$DU$8:$DU$1000))</f>
        <v>0</v>
      </c>
      <c r="DV32" s="646" t="s">
        <v>2613</v>
      </c>
      <c r="DW32" s="308">
        <f>IF($C32="","",SUMPRODUCT(('ANALYSE - ERP =&gt; SOUS-SEGMENT'!$C$8:$C$1000=$C32)*'ANALYSE - ERP =&gt; SOUS-SEGMENT'!$Q$8:$Q$1000*'ANALYSE - ERP =&gt; SOUS-SEGMENT'!$DW$8:$DW$1000))</f>
        <v>0</v>
      </c>
      <c r="DX32" s="308">
        <f>IF($C32="","",SUMPRODUCT(('ANALYSE - ERP =&gt; SOUS-SEGMENT'!$C$8:$C$1000=$C32)*'ANALYSE - ERP =&gt; SOUS-SEGMENT'!$Q$8:$Q$1000*'ANALYSE - ERP =&gt; SOUS-SEGMENT'!$DX$8:$DX$1000))</f>
        <v>0</v>
      </c>
      <c r="DY32" s="308">
        <f>IF($C32="","",SUMPRODUCT(('ANALYSE - ERP =&gt; SOUS-SEGMENT'!$C$8:$C$1000=$C32)*'ANALYSE - ERP =&gt; SOUS-SEGMENT'!$Q$8:$Q$1000*'ANALYSE - ERP =&gt; SOUS-SEGMENT'!$DY$8:$DY$1000))</f>
        <v>0</v>
      </c>
      <c r="DZ32" s="646" t="s">
        <v>2613</v>
      </c>
      <c r="EA32" s="657"/>
      <c r="EB32" s="308">
        <f>IF($C32="","",SUMPRODUCT(('ANALYSE - ERP =&gt; SOUS-SEGMENT'!$C$8:$C$1000=$C32)*'ANALYSE - ERP =&gt; SOUS-SEGMENT'!$Q$8:$Q$1000*'ANALYSE - ERP =&gt; SOUS-SEGMENT'!$EB$8:$EB$1000))</f>
        <v>2659.155999999999</v>
      </c>
      <c r="EC32" s="308">
        <f>IF($C32="","",SUMPRODUCT(('ANALYSE - ERP =&gt; SOUS-SEGMENT'!$C$8:$C$1000=$C32)*'ANALYSE - ERP =&gt; SOUS-SEGMENT'!$Q$8:$Q$1000*'ANALYSE - ERP =&gt; SOUS-SEGMENT'!$EC$8:$EC$1000))</f>
        <v>10997.483999999999</v>
      </c>
      <c r="ED32" s="308">
        <f>IF($C32="","",SUMPRODUCT(('ANALYSE - ERP =&gt; SOUS-SEGMENT'!$C$8:$C$1000=$C32)*'ANALYSE - ERP =&gt; SOUS-SEGMENT'!$Q$8:$Q$1000*'ANALYSE - ERP =&gt; SOUS-SEGMENT'!$ED$8:$ED$1000))</f>
        <v>4972.8140000000003</v>
      </c>
      <c r="EE32" s="308">
        <f>IF($C32="","",SUMPRODUCT(('ANALYSE - ERP =&gt; SOUS-SEGMENT'!$C$8:$C$1000=$C32)*'ANALYSE - ERP =&gt; SOUS-SEGMENT'!$Q$8:$Q$1000*'ANALYSE - ERP =&gt; SOUS-SEGMENT'!$EE$8:$EE$1000))</f>
        <v>3688.346</v>
      </c>
      <c r="EF32" s="646" t="s">
        <v>6017</v>
      </c>
      <c r="EG32" s="308">
        <f>IF($C32="","",SUMPRODUCT(('ANALYSE - ERP =&gt; SOUS-SEGMENT'!$C$8:$C$1000=$C32)*'ANALYSE - ERP =&gt; SOUS-SEGMENT'!$Q$8:$Q$1000*'ANALYSE - ERP =&gt; SOUS-SEGMENT'!$EG$8:$EG$1000))</f>
        <v>2207.6999999999998</v>
      </c>
      <c r="EH32" s="308">
        <f>IF($C32="","",SUMPRODUCT(('ANALYSE - ERP =&gt; SOUS-SEGMENT'!$C$8:$C$1000=$C32)*'ANALYSE - ERP =&gt; SOUS-SEGMENT'!$Q$8:$Q$1000*'ANALYSE - ERP =&gt; SOUS-SEGMENT'!$EH$8:$EH$1000))</f>
        <v>10845.22</v>
      </c>
      <c r="EI32" s="308">
        <f>IF($C32="","",SUMPRODUCT(('ANALYSE - ERP =&gt; SOUS-SEGMENT'!$C$8:$C$1000=$C32)*'ANALYSE - ERP =&gt; SOUS-SEGMENT'!$Q$8:$Q$1000*'ANALYSE - ERP =&gt; SOUS-SEGMENT'!$EI$8:$EI$1000))</f>
        <v>5513.1800000000012</v>
      </c>
      <c r="EJ32" s="308">
        <f>IF($C32="","",SUMPRODUCT(('ANALYSE - ERP =&gt; SOUS-SEGMENT'!$C$8:$C$1000=$C32)*'ANALYSE - ERP =&gt; SOUS-SEGMENT'!$Q$8:$Q$1000*'ANALYSE - ERP =&gt; SOUS-SEGMENT'!$EJ$8:$EJ$1000))</f>
        <v>3695.9</v>
      </c>
      <c r="EK32" s="936" t="s">
        <v>6018</v>
      </c>
      <c r="EL32" s="657"/>
      <c r="EM32" s="308">
        <f>IF($C32="","",SUMPRODUCT(('ANALYSE - ERP =&gt; SOUS-SEGMENT'!$C$8:$C$1000=$C32)*'ANALYSE - ERP =&gt; SOUS-SEGMENT'!$Q$8:$Q$1000*'ANALYSE - ERP =&gt; SOUS-SEGMENT'!$EM$8:$EM$1000))</f>
        <v>76498.59</v>
      </c>
      <c r="EN32" s="310">
        <f>IF($C32="","",SUMPRODUCT(('ANALYSE - ERP =&gt; SOUS-SEGMENT'!$C$8:$C$1000=$C32)*'ANALYSE - ERP =&gt; SOUS-SEGMENT'!$Q$8:$Q$1000*'ANALYSE - ERP =&gt; SOUS-SEGMENT'!$EN$8:$EN$1000))</f>
        <v>51666.5</v>
      </c>
      <c r="EO32" s="310">
        <f>IF($C32="","",SUMPRODUCT(('ANALYSE - ERP =&gt; SOUS-SEGMENT'!$C$8:$C$1000=$C32)*'ANALYSE - ERP =&gt; SOUS-SEGMENT'!$Q$8:$Q$1000*'ANALYSE - ERP =&gt; SOUS-SEGMENT'!$EO$8:$EO$1000))</f>
        <v>25415.910000000003</v>
      </c>
      <c r="EP32" s="646" t="s">
        <v>6019</v>
      </c>
      <c r="EQ32" s="308">
        <f>IF($C32="","",SUMPRODUCT(('ANALYSE - ERP =&gt; SOUS-SEGMENT'!$C$8:$C$1000=$C32)*'ANALYSE - ERP =&gt; SOUS-SEGMENT'!$Q$8:$Q$1000*'ANALYSE - ERP =&gt; SOUS-SEGMENT'!$EQ$8:$EQ$1000))</f>
        <v>65377.749999999985</v>
      </c>
      <c r="ER32" s="310">
        <f>IF($C32="","",SUMPRODUCT(('ANALYSE - ERP =&gt; SOUS-SEGMENT'!$C$8:$C$1000=$C32)*'ANALYSE - ERP =&gt; SOUS-SEGMENT'!$Q$8:$Q$1000*'ANALYSE - ERP =&gt; SOUS-SEGMENT'!$ER$8:$ER$1000))</f>
        <v>56203.290000000015</v>
      </c>
      <c r="ES32" s="310">
        <f>IF($C32="","",SUMPRODUCT(('ANALYSE - ERP =&gt; SOUS-SEGMENT'!$C$8:$C$1000=$C32)*'ANALYSE - ERP =&gt; SOUS-SEGMENT'!$Q$8:$Q$1000*'ANALYSE - ERP =&gt; SOUS-SEGMENT'!$ES$8:$ES$1000))</f>
        <v>31983.96</v>
      </c>
      <c r="ET32" s="646" t="s">
        <v>6020</v>
      </c>
      <c r="EU32" s="657"/>
      <c r="EV32" s="728">
        <f t="shared" si="31"/>
        <v>0.86866326704475416</v>
      </c>
      <c r="EW32" s="728">
        <f t="shared" si="32"/>
        <v>0.13133673295524592</v>
      </c>
      <c r="EX32" s="311">
        <f t="shared" si="33"/>
        <v>124993.09881260674</v>
      </c>
      <c r="EY32" s="311">
        <f t="shared" si="34"/>
        <v>108576.91357260675</v>
      </c>
      <c r="EZ32" s="311">
        <f t="shared" si="35"/>
        <v>16416.185239999999</v>
      </c>
      <c r="FA32" s="311">
        <f t="shared" si="36"/>
        <v>60811.153781151217</v>
      </c>
      <c r="FB32" s="311">
        <f>IF($C32="","",SUMPRODUCT(('ANALYSE - ERP =&gt; SOUS-SEGMENT'!$C$8:$C$1000=$C32)*'ANALYSE - ERP =&gt; SOUS-SEGMENT'!$Q$8:$Q$1000*'ANALYSE - ERP =&gt; SOUS-SEGMENT'!$FB$8:$FB$1000))</f>
        <v>52826.961981151217</v>
      </c>
      <c r="FC32" s="311">
        <f>IF($C32="","",SUMPRODUCT(('ANALYSE - ERP =&gt; SOUS-SEGMENT'!$C$8:$C$1000=$C32)*'ANALYSE - ERP =&gt; SOUS-SEGMENT'!$Q$8:$Q$1000*'ANALYSE - ERP =&gt; SOUS-SEGMENT'!$FC$8:$FC$1000))</f>
        <v>7984.1918000000005</v>
      </c>
      <c r="FD32" s="311">
        <f t="shared" si="37"/>
        <v>0</v>
      </c>
      <c r="FE32" s="311">
        <f>IF($C32="","",SUMPRODUCT(('ANALYSE - ERP =&gt; SOUS-SEGMENT'!$C$8:$C$1000=$C32)*'ANALYSE - ERP =&gt; SOUS-SEGMENT'!$Q$8:$Q$1000*'ANALYSE - ERP =&gt; SOUS-SEGMENT'!$FE$8:$FE$1000))</f>
        <v>0</v>
      </c>
      <c r="FF32" s="311">
        <f>IF($C32="","",SUMPRODUCT(('ANALYSE - ERP =&gt; SOUS-SEGMENT'!$C$8:$C$1000=$C32)*'ANALYSE - ERP =&gt; SOUS-SEGMENT'!$Q$8:$Q$1000*'ANALYSE - ERP =&gt; SOUS-SEGMENT'!$FF$8:$FF$1000))</f>
        <v>0</v>
      </c>
      <c r="FG32" s="311">
        <f t="shared" si="38"/>
        <v>9458.0374944641426</v>
      </c>
      <c r="FH32" s="311">
        <f>IF($C32="","",SUMPRODUCT(('ANALYSE - ERP =&gt; SOUS-SEGMENT'!$C$8:$C$1000=$C32)*'ANALYSE - ERP =&gt; SOUS-SEGMENT'!$Q$8:$Q$1000*'ANALYSE - ERP =&gt; SOUS-SEGMENT'!$FH$8:$FH$1000))</f>
        <v>8352.0352544641428</v>
      </c>
      <c r="FI32" s="311">
        <f>IF($C32="","",SUMPRODUCT(('ANALYSE - ERP =&gt; SOUS-SEGMENT'!$C$8:$C$1000=$C32)*'ANALYSE - ERP =&gt; SOUS-SEGMENT'!$Q$8:$Q$1000*'ANALYSE - ERP =&gt; SOUS-SEGMENT'!$FI$8:$FI$1000))</f>
        <v>1106.0022399999998</v>
      </c>
      <c r="FJ32" s="311">
        <f t="shared" si="39"/>
        <v>54723.907536991384</v>
      </c>
      <c r="FK32" s="311">
        <f>IF($C32="","",SUMPRODUCT(('ANALYSE - ERP =&gt; SOUS-SEGMENT'!$C$8:$C$1000=$C32)*'ANALYSE - ERP =&gt; SOUS-SEGMENT'!$Q$8:$Q$1000*'ANALYSE - ERP =&gt; SOUS-SEGMENT'!$FK$8:$FK$1000))</f>
        <v>47397.916336991388</v>
      </c>
      <c r="FL32" s="311">
        <f>IF($C32="","",SUMPRODUCT(('ANALYSE - ERP =&gt; SOUS-SEGMENT'!$C$8:$C$1000=$C32)*'ANALYSE - ERP =&gt; SOUS-SEGMENT'!$Q$8:$Q$1000*'ANALYSE - ERP =&gt; SOUS-SEGMENT'!$FL$8:$FL$1000))</f>
        <v>7325.9911999999986</v>
      </c>
      <c r="FM32" s="657"/>
      <c r="FN32" s="954" t="s">
        <v>2649</v>
      </c>
      <c r="FO32" s="728">
        <f>IF($C32="","",IFERROR(SUMPRODUCT(('ANALYSE - ERP =&gt; SOUS-SEGMENT'!$C$8:$C$1000=$C32)*'ANALYSE - ERP =&gt; SOUS-SEGMENT'!$Q$8:$Q$1000*'ANALYSE - ERP =&gt; SOUS-SEGMENT'!$AF$8:$AF$1000*'ANALYSE - ERP =&gt; SOUS-SEGMENT'!$FO$8:$FO$1000)/SUMPRODUCT(('ANALYSE - ERP =&gt; SOUS-SEGMENT'!$C$8:$C$1000=$C32)*'ANALYSE - ERP =&gt; SOUS-SEGMENT'!$Q$8:$Q$1000*'ANALYSE - ERP =&gt; SOUS-SEGMENT'!$AF$8:$AF$1000),""))</f>
        <v>4.3663287999315709E-2</v>
      </c>
      <c r="FP32" s="729">
        <f>IF($C32="","",IFERROR(SUMPRODUCT(('ANALYSE - ERP =&gt; SOUS-SEGMENT'!$C$8:$C$1000=$C32)*'ANALYSE - ERP =&gt; SOUS-SEGMENT'!$Q$8:$Q$1000*'ANALYSE - ERP =&gt; SOUS-SEGMENT'!$AF$8:$AF$1000*'ANALYSE - ERP =&gt; SOUS-SEGMENT'!$FP$8:$FP$1000)/SUMPRODUCT(('ANALYSE - ERP =&gt; SOUS-SEGMENT'!$C$8:$C$1000=$C32)*'ANALYSE - ERP =&gt; SOUS-SEGMENT'!$Q$8:$Q$1000*'ANALYSE - ERP =&gt; SOUS-SEGMENT'!$AF$8:$AF$1000),""))</f>
        <v>0.77630188093405172</v>
      </c>
      <c r="FQ32" s="954" t="s">
        <v>6021</v>
      </c>
      <c r="FR32" s="657"/>
      <c r="FS32" s="865">
        <f>IF($C32="","",IFERROR(SUMPRODUCT(('ANALYSE - ERP =&gt; SOUS-SEGMENT'!$C$8:$C$1000=$C32)*'ANALYSE - ERP =&gt; SOUS-SEGMENT'!$Q$8:$Q$1000*'ANALYSE - ERP =&gt; SOUS-SEGMENT'!$EX$8:$EX$1000*'ANALYSE - ERP =&gt; SOUS-SEGMENT'!$FS$8:$FS$1000)/SUMPRODUCT(('ANALYSE - ERP =&gt; SOUS-SEGMENT'!$C$8:$C$1000=$C32)*'ANALYSE - ERP =&gt; SOUS-SEGMENT'!$Q$8:$Q$1000*'ANALYSE - ERP =&gt; SOUS-SEGMENT'!$EX$8:$EX$1000),""))</f>
        <v>3.0281635626366223</v>
      </c>
      <c r="FT32" s="312">
        <f>IF($C32="","",RANK($FS32,$FS$8:$FS$43,0)+COUNTIF($FS$8:$FS32,$FS32)-1)</f>
        <v>27</v>
      </c>
      <c r="FU32" s="865">
        <f>IF($C32="","",IFERROR(SUMPRODUCT(('ANALYSE - ERP =&gt; SOUS-SEGMENT'!$C$8:$C$1000=$C32)*'ANALYSE - ERP =&gt; SOUS-SEGMENT'!$Q$8:$Q$1000*'ANALYSE - ERP =&gt; SOUS-SEGMENT'!$EY$8:$EY$1000*'ANALYSE - ERP =&gt; SOUS-SEGMENT'!$FU$8:$FU$1000)/SUMPRODUCT(('ANALYSE - ERP =&gt; SOUS-SEGMENT'!$C$8:$C$1000=$C32)*'ANALYSE - ERP =&gt; SOUS-SEGMENT'!$Q$8:$Q$1000*'ANALYSE - ERP =&gt; SOUS-SEGMENT'!$EY$8:$EY$1000),""))</f>
        <v>3.5874980346430281</v>
      </c>
      <c r="FV32" s="312">
        <f>IF($C32="","",RANK($FU32,$FU$8:$FU$43,0)+COUNTIF($FU$8:$FU32,$FU32)-1)</f>
        <v>31</v>
      </c>
      <c r="FW32" s="865">
        <f>IF($C32="","",IFERROR(SUMPRODUCT(('ANALYSE - ERP =&gt; SOUS-SEGMENT'!$C$8:$C$1000=$C32)*'ANALYSE - ERP =&gt; SOUS-SEGMENT'!$Q$8:$Q$1000*'ANALYSE - ERP =&gt; SOUS-SEGMENT'!$EZ$8:$EZ$1000*'ANALYSE - ERP =&gt; SOUS-SEGMENT'!$FW$8:$FW$1000)/SUMPRODUCT(('ANALYSE - ERP =&gt; SOUS-SEGMENT'!$C$8:$C$1000=$C32)*'ANALYSE - ERP =&gt; SOUS-SEGMENT'!$Q$8:$Q$1000*'ANALYSE - ERP =&gt; SOUS-SEGMENT'!$EZ$8:$EZ$1000),""))</f>
        <v>2.0784338450605833</v>
      </c>
      <c r="FX32" s="312">
        <f>IF($C32="","",RANK($FW32,$FW$8:$FW$43,0)+COUNTIF($FW$8:$FW32,$FW32)-1)</f>
        <v>24</v>
      </c>
      <c r="FY32" s="657"/>
      <c r="FZ32" s="646" t="s">
        <v>6022</v>
      </c>
      <c r="GA32" s="646" t="s">
        <v>6023</v>
      </c>
      <c r="GB32" s="646" t="s">
        <v>6024</v>
      </c>
      <c r="GC32" s="646" t="s">
        <v>6025</v>
      </c>
      <c r="GD32" s="646" t="s">
        <v>6026</v>
      </c>
      <c r="GE32" s="646" t="s">
        <v>6027</v>
      </c>
      <c r="GF32" s="276" t="s">
        <v>6028</v>
      </c>
      <c r="GG32" s="657"/>
      <c r="GH32" s="311">
        <f t="shared" si="40"/>
        <v>19582.336215361538</v>
      </c>
      <c r="GI32" s="311">
        <f>IF($C32="","",SUMPRODUCT(('ANALYSE - ERP =&gt; SOUS-SEGMENT'!$C$8:$C$1000=$C32)*'ANALYSE - ERP =&gt; SOUS-SEGMENT'!$Q$8:$Q$1000*'ANALYSE - ERP =&gt; SOUS-SEGMENT'!$GI$8:$GI$1000))</f>
        <v>17330.43854536154</v>
      </c>
      <c r="GJ32" s="311">
        <f>IF($C32="","",SUMPRODUCT(('ANALYSE - ERP =&gt; SOUS-SEGMENT'!$C$8:$C$1000=$C32)*'ANALYSE - ERP =&gt; SOUS-SEGMENT'!$Q$8:$Q$1000*'ANALYSE - ERP =&gt; SOUS-SEGMENT'!$GJ$8:$GJ$1000))</f>
        <v>2251.8976699999998</v>
      </c>
      <c r="GK32" s="311">
        <f t="shared" si="41"/>
        <v>27454.68006052967</v>
      </c>
      <c r="GL32" s="311">
        <f>IF($C32="","",SUMPRODUCT(('ANALYSE - ERP =&gt; SOUS-SEGMENT'!$C$8:$C$1000=$C32)*'ANALYSE - ERP =&gt; SOUS-SEGMENT'!$Q$8:$Q$1000*'ANALYSE - ERP =&gt; SOUS-SEGMENT'!$GL$8:$GL$1000))</f>
        <v>23511.660418529671</v>
      </c>
      <c r="GM32" s="311">
        <f>IF($C32="","",SUMPRODUCT(('ANALYSE - ERP =&gt; SOUS-SEGMENT'!$C$8:$C$1000=$C32)*'ANALYSE - ERP =&gt; SOUS-SEGMENT'!$Q$8:$Q$1000*'ANALYSE - ERP =&gt; SOUS-SEGMENT'!$GM$8:$GM$1000))</f>
        <v>3943.0196420000002</v>
      </c>
      <c r="GN32" s="311">
        <f t="shared" si="42"/>
        <v>11312.020346259997</v>
      </c>
      <c r="GO32" s="311">
        <f>IF($C32="","",SUMPRODUCT(('ANALYSE - ERP =&gt; SOUS-SEGMENT'!$C$8:$C$1000=$C32)*'ANALYSE - ERP =&gt; SOUS-SEGMENT'!$Q$8:$Q$1000*'ANALYSE - ERP =&gt; SOUS-SEGMENT'!$GO$8:$GO$1000))</f>
        <v>9762.2716122599977</v>
      </c>
      <c r="GP32" s="311">
        <f>IF($C32="","",SUMPRODUCT(('ANALYSE - ERP =&gt; SOUS-SEGMENT'!$C$8:$C$1000=$C32)*'ANALYSE - ERP =&gt; SOUS-SEGMENT'!$Q$8:$Q$1000*'ANALYSE - ERP =&gt; SOUS-SEGMENT'!$GP$8:$GP$1000))</f>
        <v>1549.7487339999993</v>
      </c>
      <c r="GQ32" s="311">
        <f t="shared" si="43"/>
        <v>2462.1171590000004</v>
      </c>
      <c r="GR32" s="311">
        <f>IF($C32="","",SUMPRODUCT(('ANALYSE - ERP =&gt; SOUS-SEGMENT'!$C$8:$C$1000=$C32)*'ANALYSE - ERP =&gt; SOUS-SEGMENT'!$Q$8:$Q$1000*'ANALYSE - ERP =&gt; SOUS-SEGMENT'!$GR$8:$GR$1000))</f>
        <v>2222.5914050000001</v>
      </c>
      <c r="GS32" s="311">
        <f>IF($C32="","",SUMPRODUCT(('ANALYSE - ERP =&gt; SOUS-SEGMENT'!$C$8:$C$1000=$C32)*'ANALYSE - ERP =&gt; SOUS-SEGMENT'!$Q$8:$Q$1000*'ANALYSE - ERP =&gt; SOUS-SEGMENT'!$GS$8:$GS$1000))</f>
        <v>239.52575400000001</v>
      </c>
      <c r="GT32" s="311">
        <f t="shared" si="44"/>
        <v>0</v>
      </c>
      <c r="GU32" s="311">
        <f>IF($C32="","",SUMPRODUCT(('ANALYSE - ERP =&gt; SOUS-SEGMENT'!$C$8:$C$1000=$C32)*'ANALYSE - ERP =&gt; SOUS-SEGMENT'!$Q$8:$Q$1000*'ANALYSE - ERP =&gt; SOUS-SEGMENT'!$GU$8:$GU$1000))</f>
        <v>0</v>
      </c>
      <c r="GV32" s="311">
        <f>IF($C32="","",SUMPRODUCT(('ANALYSE - ERP =&gt; SOUS-SEGMENT'!$C$8:$C$1000=$C32)*'ANALYSE - ERP =&gt; SOUS-SEGMENT'!$Q$8:$Q$1000*'ANALYSE - ERP =&gt; SOUS-SEGMENT'!$GV$8:$GV$1000))</f>
        <v>0</v>
      </c>
      <c r="GW32" s="311">
        <f t="shared" si="45"/>
        <v>0</v>
      </c>
      <c r="GX32" s="311">
        <f>IF($C32="","",SUMPRODUCT(('ANALYSE - ERP =&gt; SOUS-SEGMENT'!$C$8:$C$1000=$C32)*'ANALYSE - ERP =&gt; SOUS-SEGMENT'!$Q$8:$Q$1000*'ANALYSE - ERP =&gt; SOUS-SEGMENT'!$GX$8:$GX$1000))</f>
        <v>0</v>
      </c>
      <c r="GY32" s="311">
        <f>IF($C32="","",SUMPRODUCT(('ANALYSE - ERP =&gt; SOUS-SEGMENT'!$C$8:$C$1000=$C32)*'ANALYSE - ERP =&gt; SOUS-SEGMENT'!$Q$8:$Q$1000*'ANALYSE - ERP =&gt; SOUS-SEGMENT'!$GY$8:$GY$1000))</f>
        <v>0</v>
      </c>
      <c r="GZ32" s="311">
        <f t="shared" si="46"/>
        <v>0</v>
      </c>
      <c r="HA32" s="311">
        <f>IF($C32="","",SUMPRODUCT(('ANALYSE - ERP =&gt; SOUS-SEGMENT'!$C$8:$C$1000=$C32)*'ANALYSE - ERP =&gt; SOUS-SEGMENT'!$Q$8:$Q$1000*'ANALYSE - ERP =&gt; SOUS-SEGMENT'!$HA$8:$HA$1000))</f>
        <v>0</v>
      </c>
      <c r="HB32" s="311">
        <f>IF($C32="","",SUMPRODUCT(('ANALYSE - ERP =&gt; SOUS-SEGMENT'!$C$8:$C$1000=$C32)*'ANALYSE - ERP =&gt; SOUS-SEGMENT'!$Q$8:$Q$1000*'ANALYSE - ERP =&gt; SOUS-SEGMENT'!$HB$8:$HB$1000))</f>
        <v>0</v>
      </c>
      <c r="HC32" s="311">
        <f t="shared" si="47"/>
        <v>1110.4221624181816</v>
      </c>
      <c r="HD32" s="311">
        <f>IF($C32="","",SUMPRODUCT(('ANALYSE - ERP =&gt; SOUS-SEGMENT'!$C$8:$C$1000=$C32)*'ANALYSE - ERP =&gt; SOUS-SEGMENT'!$Q$8:$Q$1000*'ANALYSE - ERP =&gt; SOUS-SEGMENT'!$HD$8:$HD$1000))</f>
        <v>1001.0512004181817</v>
      </c>
      <c r="HE32" s="311">
        <f>IF($C32="","",SUMPRODUCT(('ANALYSE - ERP =&gt; SOUS-SEGMENT'!$C$8:$C$1000=$C32)*'ANALYSE - ERP =&gt; SOUS-SEGMENT'!$Q$8:$Q$1000*'ANALYSE - ERP =&gt; SOUS-SEGMENT'!$HE$8:$HE$1000))</f>
        <v>109.37096199999999</v>
      </c>
      <c r="HF32" s="311">
        <f t="shared" si="48"/>
        <v>4281.1392240000005</v>
      </c>
      <c r="HG32" s="311">
        <f>IF($C32="","",SUMPRODUCT(('ANALYSE - ERP =&gt; SOUS-SEGMENT'!$C$8:$C$1000=$C32)*'ANALYSE - ERP =&gt; SOUS-SEGMENT'!$Q$8:$Q$1000*'ANALYSE - ERP =&gt; SOUS-SEGMENT'!$HG$8:$HG$1000))</f>
        <v>3735.7779912000001</v>
      </c>
      <c r="HH32" s="311">
        <f>IF($C32="","",SUMPRODUCT(('ANALYSE - ERP =&gt; SOUS-SEGMENT'!$C$8:$C$1000=$C32)*'ANALYSE - ERP =&gt; SOUS-SEGMENT'!$Q$8:$Q$1000*'ANALYSE - ERP =&gt; SOUS-SEGMENT'!$HH$8:$HH$1000))</f>
        <v>545.36123279999993</v>
      </c>
      <c r="HI32" s="311">
        <f t="shared" si="49"/>
        <v>2451.7520729277785</v>
      </c>
      <c r="HJ32" s="311">
        <f>IF($C32="","",SUMPRODUCT(('ANALYSE - ERP =&gt; SOUS-SEGMENT'!$C$8:$C$1000=$C32)*'ANALYSE - ERP =&gt; SOUS-SEGMENT'!$Q$8:$Q$1000*'ANALYSE - ERP =&gt; SOUS-SEGMENT'!$HJ$8:$HJ$1000))</f>
        <v>2186.6842049277784</v>
      </c>
      <c r="HK32" s="311">
        <f>IF($C32="","",SUMPRODUCT(('ANALYSE - ERP =&gt; SOUS-SEGMENT'!$C$8:$C$1000=$C32)*'ANALYSE - ERP =&gt; SOUS-SEGMENT'!$Q$8:$Q$1000*'ANALYSE - ERP =&gt; SOUS-SEGMENT'!$HK$8:$HK$1000))</f>
        <v>265.06786799999998</v>
      </c>
      <c r="HL32" s="311">
        <f t="shared" si="50"/>
        <v>1614.724035118182</v>
      </c>
      <c r="HM32" s="311">
        <f>IF($C32="","",SUMPRODUCT(('ANALYSE - ERP =&gt; SOUS-SEGMENT'!$C$8:$C$1000=$C32)*'ANALYSE - ERP =&gt; SOUS-SEGMENT'!$Q$8:$Q$1000*'ANALYSE - ERP =&gt; SOUS-SEGMENT'!$HM$8:$HM$1000))</f>
        <v>1428.5218579181819</v>
      </c>
      <c r="HN32" s="311">
        <f>IF($C32="","",SUMPRODUCT(('ANALYSE - ERP =&gt; SOUS-SEGMENT'!$C$8:$C$1000=$C32)*'ANALYSE - ERP =&gt; SOUS-SEGMENT'!$Q$8:$Q$1000*'ANALYSE - ERP =&gt; SOUS-SEGMENT'!$HN$8:$HN$1000))</f>
        <v>186.20217719999997</v>
      </c>
      <c r="HO32" s="311">
        <f t="shared" si="51"/>
        <v>25580.409448238101</v>
      </c>
      <c r="HP32" s="311">
        <f>IF($C32="","",SUMPRODUCT(('ANALYSE - ERP =&gt; SOUS-SEGMENT'!$C$8:$C$1000=$C32)*'ANALYSE - ERP =&gt; SOUS-SEGMENT'!$Q$8:$Q$1000*'ANALYSE - ERP =&gt; SOUS-SEGMENT'!$HP$8:$HP$1000))</f>
        <v>22417.3838282381</v>
      </c>
      <c r="HQ32" s="311">
        <f>IF($C32="","",SUMPRODUCT(('ANALYSE - ERP =&gt; SOUS-SEGMENT'!$C$8:$C$1000=$C32)*'ANALYSE - ERP =&gt; SOUS-SEGMENT'!$Q$8:$Q$1000*'ANALYSE - ERP =&gt; SOUS-SEGMENT'!$HQ$8:$HQ$1000))</f>
        <v>3163.0256199999994</v>
      </c>
      <c r="HR32" s="311">
        <f t="shared" si="52"/>
        <v>17639.243778203298</v>
      </c>
      <c r="HS32" s="311">
        <f>IF($C32="","",SUMPRODUCT(('ANALYSE - ERP =&gt; SOUS-SEGMENT'!$C$8:$C$1000=$C32)*'ANALYSE - ERP =&gt; SOUS-SEGMENT'!$Q$8:$Q$1000*'ANALYSE - ERP =&gt; SOUS-SEGMENT'!$HS$8:$HS$1000))</f>
        <v>14998.775326203298</v>
      </c>
      <c r="HT32" s="311">
        <f>IF($C32="","",SUMPRODUCT(('ANALYSE - ERP =&gt; SOUS-SEGMENT'!$C$8:$C$1000=$C32)*'ANALYSE - ERP =&gt; SOUS-SEGMENT'!$Q$8:$Q$1000*'ANALYSE - ERP =&gt; SOUS-SEGMENT'!$HT$8:$HT$1000))</f>
        <v>2640.4684519999996</v>
      </c>
      <c r="HU32" s="311">
        <f t="shared" si="53"/>
        <v>11504.254310549999</v>
      </c>
      <c r="HV32" s="311">
        <f>IF($C32="","",SUMPRODUCT(('ANALYSE - ERP =&gt; SOUS-SEGMENT'!$C$8:$C$1000=$C32)*'ANALYSE - ERP =&gt; SOUS-SEGMENT'!$Q$8:$Q$1000*'ANALYSE - ERP =&gt; SOUS-SEGMENT'!$HV$8:$HV$1000))</f>
        <v>9981.7571825499999</v>
      </c>
      <c r="HW32" s="311">
        <f>IF($C32="","",SUMPRODUCT(('ANALYSE - ERP =&gt; SOUS-SEGMENT'!$C$8:$C$1000=$C32)*'ANALYSE - ERP =&gt; SOUS-SEGMENT'!$Q$8:$Q$1000*'ANALYSE - ERP =&gt; SOUS-SEGMENT'!$HW$8:$HW$1000))</f>
        <v>1522.4971279999997</v>
      </c>
      <c r="HY32" s="313">
        <f t="shared" si="54"/>
        <v>341239.8</v>
      </c>
      <c r="HZ32" s="313">
        <f>IF($C32="","",SUMPRODUCT(('ANALYSE - ERP =&gt; SOUS-SEGMENT'!$C$8:$C$1000=$C32)*'ANALYSE - ERP =&gt; SOUS-SEGMENT'!$Q$8:$Q$1000*'ANALYSE - ERP =&gt; SOUS-SEGMENT'!$HZ$8:$HZ$1000))</f>
        <v>12099.078199999996</v>
      </c>
      <c r="IA32" s="313">
        <f>IF($C32="","",SUMPRODUCT(('ANALYSE - ERP =&gt; SOUS-SEGMENT'!$C$8:$C$1000=$C32)*'ANALYSE - ERP =&gt; SOUS-SEGMENT'!$Q$8:$Q$1000*'ANALYSE - ERP =&gt; SOUS-SEGMENT'!$IA$8:$IA$1000))</f>
        <v>143168.36405999999</v>
      </c>
      <c r="IB32" s="313">
        <f>IF($C32="","",SUMPRODUCT(('ANALYSE - ERP =&gt; SOUS-SEGMENT'!$C$8:$C$1000=$C32)*'ANALYSE - ERP =&gt; SOUS-SEGMENT'!$Q$8:$Q$1000*'ANALYSE - ERP =&gt; SOUS-SEGMENT'!$IB$8:$IB$1000))</f>
        <v>164521.97484000001</v>
      </c>
      <c r="IC32" s="313">
        <f>IF($C32="","",SUMPRODUCT(('ANALYSE - ERP =&gt; SOUS-SEGMENT'!$C$8:$C$1000=$C32)*'ANALYSE - ERP =&gt; SOUS-SEGMENT'!$Q$8:$Q$1000*'ANALYSE - ERP =&gt; SOUS-SEGMENT'!$IC$8:$IC$1000))</f>
        <v>21425.277100000003</v>
      </c>
      <c r="ID32" s="313">
        <f>IF($C32="","",SUMPRODUCT(('ANALYSE - ERP =&gt; SOUS-SEGMENT'!$C$8:$C$1000=$C32)*'ANALYSE - ERP =&gt; SOUS-SEGMENT'!$Q$8:$Q$1000*'ANALYSE - ERP =&gt; SOUS-SEGMENT'!$ID$8:$ID$1000))</f>
        <v>25.105800000000002</v>
      </c>
      <c r="IE32" s="313">
        <f t="shared" si="55"/>
        <v>108576.91357260672</v>
      </c>
      <c r="IF32" s="313">
        <f>IF($C32="","",SUMPRODUCT(('ANALYSE - ERP =&gt; SOUS-SEGMENT'!$C$8:$C$1000=$C32)*'ANALYSE - ERP =&gt; SOUS-SEGMENT'!$Q$8:$Q$1000*'ANALYSE - ERP =&gt; SOUS-SEGMENT'!$IF$8:$IF$1000))</f>
        <v>1725.1953444856131</v>
      </c>
      <c r="IG32" s="313">
        <f>IF($C32="","",SUMPRODUCT(('ANALYSE - ERP =&gt; SOUS-SEGMENT'!$C$8:$C$1000=$C32)*'ANALYSE - ERP =&gt; SOUS-SEGMENT'!$Q$8:$Q$1000*'ANALYSE - ERP =&gt; SOUS-SEGMENT'!$IG$8:$IG$1000))</f>
        <v>42571.707154448595</v>
      </c>
      <c r="IH32" s="313">
        <f>IF($C32="","",SUMPRODUCT(('ANALYSE - ERP =&gt; SOUS-SEGMENT'!$C$8:$C$1000=$C32)*'ANALYSE - ERP =&gt; SOUS-SEGMENT'!$Q$8:$Q$1000*'ANALYSE - ERP =&gt; SOUS-SEGMENT'!$IH$8:$IH$1000))</f>
        <v>54674.197989615452</v>
      </c>
      <c r="II32" s="313">
        <f>IF($C32="","",SUMPRODUCT(('ANALYSE - ERP =&gt; SOUS-SEGMENT'!$C$8:$C$1000=$C32)*'ANALYSE - ERP =&gt; SOUS-SEGMENT'!$Q$8:$Q$1000*'ANALYSE - ERP =&gt; SOUS-SEGMENT'!$II$8:$II$1000))</f>
        <v>9137.4836140903935</v>
      </c>
      <c r="IJ32" s="313">
        <f>IF($C32="","",SUMPRODUCT(('ANALYSE - ERP =&gt; SOUS-SEGMENT'!$C$8:$C$1000=$C32)*'ANALYSE - ERP =&gt; SOUS-SEGMENT'!$Q$8:$Q$1000*'ANALYSE - ERP =&gt; SOUS-SEGMENT'!$IJ$8:$IJ$1000))</f>
        <v>468.32946996667567</v>
      </c>
      <c r="IK32" s="866">
        <f>IF($C32="","",IFERROR(SUMPRODUCT(('ANALYSE - ERP =&gt; SOUS-SEGMENT'!$C$8:$C$1000=$C32)*'ANALYSE - ERP =&gt; SOUS-SEGMENT'!$Q$8:$Q$1000*'ANALYSE - ERP =&gt; SOUS-SEGMENT'!$IE$8:$IE$1000*'ANALYSE - ERP =&gt; SOUS-SEGMENT'!$IK$8:$IK$1000)/SUMPRODUCT(('ANALYSE - ERP =&gt; SOUS-SEGMENT'!$C$8:$C$1000=$C32)*'ANALYSE - ERP =&gt; SOUS-SEGMENT'!$Q$8:$Q$1000*'ANALYSE - ERP =&gt; SOUS-SEGMENT'!$IE$8:$IE$1000),""))</f>
        <v>4.1241535810678673</v>
      </c>
      <c r="IL32" s="920" t="s">
        <v>2589</v>
      </c>
      <c r="IM32" s="964" t="s">
        <v>6029</v>
      </c>
      <c r="IN32" s="657"/>
      <c r="IO32" s="730">
        <f>IF($C32="","",IFERROR(SUMPRODUCT(('ANALYSE - ERP =&gt; SOUS-SEGMENT'!$C$8:$C$1000=$C32)*'ANALYSE - ERP =&gt; SOUS-SEGMENT'!$Q$8:$Q$1000*'ANALYSE - ERP =&gt; SOUS-SEGMENT'!$BE$8:$BE$1000*'ANALYSE - ERP =&gt; SOUS-SEGMENT'!$IO$8:$IO$1000)/SUMPRODUCT(('ANALYSE - ERP =&gt; SOUS-SEGMENT'!$C$8:$C$1000=$C32)*'ANALYSE - ERP =&gt; SOUS-SEGMENT'!$Q$8:$Q$1000*'ANALYSE - ERP =&gt; SOUS-SEGMENT'!$BE$8:$BE$1000),""))</f>
        <v>3.2153767063220852E-2</v>
      </c>
      <c r="IP32" s="730">
        <f>IF($C32="","",IFERROR(SUMPRODUCT(('ANALYSE - ERP =&gt; SOUS-SEGMENT'!$C$8:$C$1000=$C32)*'ANALYSE - ERP =&gt; SOUS-SEGMENT'!$Q$8:$Q$1000*'ANALYSE - ERP =&gt; SOUS-SEGMENT'!$BE$8:$BE$1000*'ANALYSE - ERP =&gt; SOUS-SEGMENT'!$IP$8:$IP$1000)/SUMPRODUCT(('ANALYSE - ERP =&gt; SOUS-SEGMENT'!$C$8:$C$1000=$C32)*'ANALYSE - ERP =&gt; SOUS-SEGMENT'!$Q$8:$Q$1000*'ANALYSE - ERP =&gt; SOUS-SEGMENT'!$BE$8:$BE$1000),""))</f>
        <v>0.40351786429258324</v>
      </c>
      <c r="IQ32" s="730">
        <f>IF($C32="","",IFERROR(SUMPRODUCT(('ANALYSE - ERP =&gt; SOUS-SEGMENT'!$C$8:$C$1000=$C32)*'ANALYSE - ERP =&gt; SOUS-SEGMENT'!$Q$8:$Q$1000*'ANALYSE - ERP =&gt; SOUS-SEGMENT'!$BE$8:$BE$1000*'ANALYSE - ERP =&gt; SOUS-SEGMENT'!$IQ$8:$IQ$1000)/SUMPRODUCT(('ANALYSE - ERP =&gt; SOUS-SEGMENT'!$C$8:$C$1000=$C32)*'ANALYSE - ERP =&gt; SOUS-SEGMENT'!$Q$8:$Q$1000*'ANALYSE - ERP =&gt; SOUS-SEGMENT'!$BE$8:$BE$1000),""))</f>
        <v>0.49380507919995648</v>
      </c>
      <c r="IR32" s="730">
        <f>IF($C32="","",IFERROR(SUMPRODUCT(('ANALYSE - ERP =&gt; SOUS-SEGMENT'!$C$8:$C$1000=$C32)*'ANALYSE - ERP =&gt; SOUS-SEGMENT'!$Q$8:$Q$1000*'ANALYSE - ERP =&gt; SOUS-SEGMENT'!$BE$8:$BE$1000*'ANALYSE - ERP =&gt; SOUS-SEGMENT'!$IR$8:$IR$1000)/SUMPRODUCT(('ANALYSE - ERP =&gt; SOUS-SEGMENT'!$C$8:$C$1000=$C32)*'ANALYSE - ERP =&gt; SOUS-SEGMENT'!$Q$8:$Q$1000*'ANALYSE - ERP =&gt; SOUS-SEGMENT'!$BE$8:$BE$1000),""))</f>
        <v>7.0425585910330768E-2</v>
      </c>
      <c r="IS32" s="730">
        <f>IF($C32="","",IFERROR(SUMPRODUCT(('ANALYSE - ERP =&gt; SOUS-SEGMENT'!$C$8:$C$1000=$C32)*'ANALYSE - ERP =&gt; SOUS-SEGMENT'!$Q$8:$Q$1000*'ANALYSE - ERP =&gt; SOUS-SEGMENT'!$BE$8:$BE$1000*'ANALYSE - ERP =&gt; SOUS-SEGMENT'!$IS$8:$IS$1000)/SUMPRODUCT(('ANALYSE - ERP =&gt; SOUS-SEGMENT'!$C$8:$C$1000=$C32)*'ANALYSE - ERP =&gt; SOUS-SEGMENT'!$Q$8:$Q$1000*'ANALYSE - ERP =&gt; SOUS-SEGMENT'!$BE$8:$BE$1000),""))</f>
        <v>9.7703533908709869E-5</v>
      </c>
      <c r="IT32" s="730">
        <f>IF($C32="","",IFERROR(SUMPRODUCT(('ANALYSE - ERP =&gt; SOUS-SEGMENT'!$C$8:$C$1000=$C32)*'ANALYSE - ERP =&gt; SOUS-SEGMENT'!$Q$8:$Q$1000*'ANALYSE - ERP =&gt; SOUS-SEGMENT'!$FB$8:$FB$1000*'ANALYSE - ERP =&gt; SOUS-SEGMENT'!$IT$8:$IT$1000)/SUMPRODUCT(('ANALYSE - ERP =&gt; SOUS-SEGMENT'!$C$8:$C$1000=$C32)*'ANALYSE - ERP =&gt; SOUS-SEGMENT'!$Q$8:$Q$1000*'ANALYSE - ERP =&gt; SOUS-SEGMENT'!$FB$8:$FB$1000),""))</f>
        <v>1.2886821711665563E-2</v>
      </c>
      <c r="IU32" s="730">
        <f>IF($C32="","",IFERROR(SUMPRODUCT(('ANALYSE - ERP =&gt; SOUS-SEGMENT'!$C$8:$C$1000=$C32)*'ANALYSE - ERP =&gt; SOUS-SEGMENT'!$Q$8:$Q$1000*'ANALYSE - ERP =&gt; SOUS-SEGMENT'!$FB$8:$FB$1000*'ANALYSE - ERP =&gt; SOUS-SEGMENT'!$IU$8:$IU$1000)/SUMPRODUCT(('ANALYSE - ERP =&gt; SOUS-SEGMENT'!$C$8:$C$1000=$C32)*'ANALYSE - ERP =&gt; SOUS-SEGMENT'!$Q$8:$Q$1000*'ANALYSE - ERP =&gt; SOUS-SEGMENT'!$FB$8:$FB$1000),""))</f>
        <v>0.37479557086923737</v>
      </c>
      <c r="IV32" s="730">
        <f>IF($C32="","",IFERROR(SUMPRODUCT(('ANALYSE - ERP =&gt; SOUS-SEGMENT'!$C$8:$C$1000=$C32)*'ANALYSE - ERP =&gt; SOUS-SEGMENT'!$Q$8:$Q$1000*'ANALYSE - ERP =&gt; SOUS-SEGMENT'!$FB$8:$FB$1000*'ANALYSE - ERP =&gt; SOUS-SEGMENT'!$IV$8:$IV$1000)/SUMPRODUCT(('ANALYSE - ERP =&gt; SOUS-SEGMENT'!$C$8:$C$1000=$C32)*'ANALYSE - ERP =&gt; SOUS-SEGMENT'!$Q$8:$Q$1000*'ANALYSE - ERP =&gt; SOUS-SEGMENT'!$FB$8:$FB$1000),""))</f>
        <v>0.51554459955115928</v>
      </c>
      <c r="IW32" s="730">
        <f>IF($C32="","",IFERROR(SUMPRODUCT(('ANALYSE - ERP =&gt; SOUS-SEGMENT'!$C$8:$C$1000=$C32)*'ANALYSE - ERP =&gt; SOUS-SEGMENT'!$Q$8:$Q$1000*'ANALYSE - ERP =&gt; SOUS-SEGMENT'!$FB$8:$FB$1000*'ANALYSE - ERP =&gt; SOUS-SEGMENT'!$IW$8:$IW$1000)/SUMPRODUCT(('ANALYSE - ERP =&gt; SOUS-SEGMENT'!$C$8:$C$1000=$C32)*'ANALYSE - ERP =&gt; SOUS-SEGMENT'!$Q$8:$Q$1000*'ANALYSE - ERP =&gt; SOUS-SEGMENT'!$FB$8:$FB$1000),""))</f>
        <v>9.239679303409741E-2</v>
      </c>
      <c r="IX32" s="730">
        <f>IF($C32="","",IFERROR(SUMPRODUCT(('ANALYSE - ERP =&gt; SOUS-SEGMENT'!$C$8:$C$1000=$C32)*'ANALYSE - ERP =&gt; SOUS-SEGMENT'!$Q$8:$Q$1000*'ANALYSE - ERP =&gt; SOUS-SEGMENT'!$FB$8:$FB$1000*'ANALYSE - ERP =&gt; SOUS-SEGMENT'!$IX$8:$IX$1000)/SUMPRODUCT(('ANALYSE - ERP =&gt; SOUS-SEGMENT'!$C$8:$C$1000=$C32)*'ANALYSE - ERP =&gt; SOUS-SEGMENT'!$Q$8:$Q$1000*'ANALYSE - ERP =&gt; SOUS-SEGMENT'!$FB$8:$FB$1000),""))</f>
        <v>4.376214833840316E-3</v>
      </c>
      <c r="IY32" s="730" t="str">
        <f>IF($C32="","",IFERROR(SUMPRODUCT(('ANALYSE - ERP =&gt; SOUS-SEGMENT'!$C$8:$C$1000=$C32)*'ANALYSE - ERP =&gt; SOUS-SEGMENT'!$Q$8:$Q$1000*'ANALYSE - ERP =&gt; SOUS-SEGMENT'!$BF$8:$BF$1000*'ANALYSE - ERP =&gt; SOUS-SEGMENT'!$IY$8:$IY$1000)/SUMPRODUCT(('ANALYSE - ERP =&gt; SOUS-SEGMENT'!$C$8:$C$1000=$C32)*'ANALYSE - ERP =&gt; SOUS-SEGMENT'!$Q$8:$Q$1000*'ANALYSE - ERP =&gt; SOUS-SEGMENT'!$BF$8:$BF$1000),""))</f>
        <v/>
      </c>
      <c r="IZ32" s="730" t="str">
        <f>IF($C32="","",IFERROR(SUMPRODUCT(('ANALYSE - ERP =&gt; SOUS-SEGMENT'!$C$8:$C$1000=$C32)*'ANALYSE - ERP =&gt; SOUS-SEGMENT'!$Q$8:$Q$1000*'ANALYSE - ERP =&gt; SOUS-SEGMENT'!$BF$8:$BF$1000*'ANALYSE - ERP =&gt; SOUS-SEGMENT'!$IZ$8:$IZ$1000)/SUMPRODUCT(('ANALYSE - ERP =&gt; SOUS-SEGMENT'!$C$8:$C$1000=$C32)*'ANALYSE - ERP =&gt; SOUS-SEGMENT'!$Q$8:$Q$1000*'ANALYSE - ERP =&gt; SOUS-SEGMENT'!$BF$8:$BF$1000),""))</f>
        <v/>
      </c>
      <c r="JA32" s="730" t="str">
        <f>IF($C32="","",IFERROR(SUMPRODUCT(('ANALYSE - ERP =&gt; SOUS-SEGMENT'!$C$8:$C$1000=$C32)*'ANALYSE - ERP =&gt; SOUS-SEGMENT'!$Q$8:$Q$1000*'ANALYSE - ERP =&gt; SOUS-SEGMENT'!$BF$8:$BF$1000*'ANALYSE - ERP =&gt; SOUS-SEGMENT'!$JA$8:$JA$1000)/SUMPRODUCT(('ANALYSE - ERP =&gt; SOUS-SEGMENT'!$C$8:$C$1000=$C32)*'ANALYSE - ERP =&gt; SOUS-SEGMENT'!$Q$8:$Q$1000*'ANALYSE - ERP =&gt; SOUS-SEGMENT'!$BF$8:$BF$1000),""))</f>
        <v/>
      </c>
      <c r="JB32" s="730" t="str">
        <f>IF($C32="","",IFERROR(SUMPRODUCT(('ANALYSE - ERP =&gt; SOUS-SEGMENT'!$C$8:$C$1000=$C32)*'ANALYSE - ERP =&gt; SOUS-SEGMENT'!$Q$8:$Q$1000*'ANALYSE - ERP =&gt; SOUS-SEGMENT'!$BF$8:$BF$1000*'ANALYSE - ERP =&gt; SOUS-SEGMENT'!$JB$8:$JB$1000)/SUMPRODUCT(('ANALYSE - ERP =&gt; SOUS-SEGMENT'!$C$8:$C$1000=$C32)*'ANALYSE - ERP =&gt; SOUS-SEGMENT'!$Q$8:$Q$1000*'ANALYSE - ERP =&gt; SOUS-SEGMENT'!$BF$8:$BF$1000),""))</f>
        <v/>
      </c>
      <c r="JC32" s="730" t="str">
        <f>IF($C32="","",IFERROR(SUMPRODUCT(('ANALYSE - ERP =&gt; SOUS-SEGMENT'!$C$8:$C$1000=$C32)*'ANALYSE - ERP =&gt; SOUS-SEGMENT'!$Q$8:$Q$1000*'ANALYSE - ERP =&gt; SOUS-SEGMENT'!$BF$8:$BF$1000*'ANALYSE - ERP =&gt; SOUS-SEGMENT'!$JC$8:$JC$1000)/SUMPRODUCT(('ANALYSE - ERP =&gt; SOUS-SEGMENT'!$C$8:$C$1000=$C32)*'ANALYSE - ERP =&gt; SOUS-SEGMENT'!$Q$8:$Q$1000*'ANALYSE - ERP =&gt; SOUS-SEGMENT'!$BF$8:$BF$1000),""))</f>
        <v/>
      </c>
      <c r="JD32" s="730" t="str">
        <f>IF($C32="","",IFERROR(SUMPRODUCT(('ANALYSE - ERP =&gt; SOUS-SEGMENT'!$C$8:$C$1000=$C32)*'ANALYSE - ERP =&gt; SOUS-SEGMENT'!$Q$8:$Q$1000*'ANALYSE - ERP =&gt; SOUS-SEGMENT'!$FE$8:$FE$1000*'ANALYSE - ERP =&gt; SOUS-SEGMENT'!$JD$8:$JD$1000)/SUMPRODUCT(('ANALYSE - ERP =&gt; SOUS-SEGMENT'!$C$8:$C$1000=$C32)*'ANALYSE - ERP =&gt; SOUS-SEGMENT'!$Q$8:$Q$1000*'ANALYSE - ERP =&gt; SOUS-SEGMENT'!$FE$8:$FE$1000),""))</f>
        <v/>
      </c>
      <c r="JE32" s="730" t="str">
        <f>IF($C32="","",IFERROR(SUMPRODUCT(('ANALYSE - ERP =&gt; SOUS-SEGMENT'!$C$8:$C$1000=$C32)*'ANALYSE - ERP =&gt; SOUS-SEGMENT'!$Q$8:$Q$1000*'ANALYSE - ERP =&gt; SOUS-SEGMENT'!$FE$8:$FE$1000*'ANALYSE - ERP =&gt; SOUS-SEGMENT'!$JE$8:$JE$1000)/SUMPRODUCT(('ANALYSE - ERP =&gt; SOUS-SEGMENT'!$C$8:$C$1000=$C32)*'ANALYSE - ERP =&gt; SOUS-SEGMENT'!$Q$8:$Q$1000*'ANALYSE - ERP =&gt; SOUS-SEGMENT'!$FE$8:$FE$1000),""))</f>
        <v/>
      </c>
      <c r="JF32" s="730" t="str">
        <f>IF($C32="","",IFERROR(SUMPRODUCT(('ANALYSE - ERP =&gt; SOUS-SEGMENT'!$C$8:$C$1000=$C32)*'ANALYSE - ERP =&gt; SOUS-SEGMENT'!$Q$8:$Q$1000*'ANALYSE - ERP =&gt; SOUS-SEGMENT'!$FE$8:$FE$1000*'ANALYSE - ERP =&gt; SOUS-SEGMENT'!$JF$8:$JF$1000)/SUMPRODUCT(('ANALYSE - ERP =&gt; SOUS-SEGMENT'!$C$8:$C$1000=$C32)*'ANALYSE - ERP =&gt; SOUS-SEGMENT'!$Q$8:$Q$1000*'ANALYSE - ERP =&gt; SOUS-SEGMENT'!$FE$8:$FE$1000),""))</f>
        <v/>
      </c>
      <c r="JG32" s="730" t="str">
        <f>IF($C32="","",IFERROR(SUMPRODUCT(('ANALYSE - ERP =&gt; SOUS-SEGMENT'!$C$8:$C$1000=$C32)*'ANALYSE - ERP =&gt; SOUS-SEGMENT'!$Q$8:$Q$1000*'ANALYSE - ERP =&gt; SOUS-SEGMENT'!$FE$8:$FE$1000*'ANALYSE - ERP =&gt; SOUS-SEGMENT'!$JG$8:$JG$1000)/SUMPRODUCT(('ANALYSE - ERP =&gt; SOUS-SEGMENT'!$C$8:$C$1000=$C32)*'ANALYSE - ERP =&gt; SOUS-SEGMENT'!$Q$8:$Q$1000*'ANALYSE - ERP =&gt; SOUS-SEGMENT'!$FE$8:$FE$1000),""))</f>
        <v/>
      </c>
      <c r="JH32" s="730" t="str">
        <f>IF($C32="","",IFERROR(SUMPRODUCT(('ANALYSE - ERP =&gt; SOUS-SEGMENT'!$C$8:$C$1000=$C32)*'ANALYSE - ERP =&gt; SOUS-SEGMENT'!$Q$8:$Q$1000*'ANALYSE - ERP =&gt; SOUS-SEGMENT'!$FE$8:$FE$1000*'ANALYSE - ERP =&gt; SOUS-SEGMENT'!$JH$8:$JH$1000)/SUMPRODUCT(('ANALYSE - ERP =&gt; SOUS-SEGMENT'!$C$8:$C$1000=$C32)*'ANALYSE - ERP =&gt; SOUS-SEGMENT'!$Q$8:$Q$1000*'ANALYSE - ERP =&gt; SOUS-SEGMENT'!$FE$8:$FE$1000),""))</f>
        <v/>
      </c>
      <c r="JI32" s="730">
        <f>IF($C32="","",IFERROR(SUMPRODUCT(('ANALYSE - ERP =&gt; SOUS-SEGMENT'!$C$8:$C$1000=$C32)*'ANALYSE - ERP =&gt; SOUS-SEGMENT'!$Q$8:$Q$1000*'ANALYSE - ERP =&gt; SOUS-SEGMENT'!$BG$8:$BG$1000*'ANALYSE - ERP =&gt; SOUS-SEGMENT'!$JI$8:$JI$1000)/SUMPRODUCT(('ANALYSE - ERP =&gt; SOUS-SEGMENT'!$C$8:$C$1000=$C32)*'ANALYSE - ERP =&gt; SOUS-SEGMENT'!$Q$8:$Q$1000*'ANALYSE - ERP =&gt; SOUS-SEGMENT'!$BG$8:$BG$1000),""))</f>
        <v>6.1871277634892329E-2</v>
      </c>
      <c r="JJ32" s="730">
        <f>IF($C32="","",IFERROR(SUMPRODUCT(('ANALYSE - ERP =&gt; SOUS-SEGMENT'!$C$8:$C$1000=$C32)*'ANALYSE - ERP =&gt; SOUS-SEGMENT'!$Q$8:$Q$1000*'ANALYSE - ERP =&gt; SOUS-SEGMENT'!$BG$8:$BG$1000*'ANALYSE - ERP =&gt; SOUS-SEGMENT'!$JJ$8:$JJ$1000)/SUMPRODUCT(('ANALYSE - ERP =&gt; SOUS-SEGMENT'!$C$8:$C$1000=$C32)*'ANALYSE - ERP =&gt; SOUS-SEGMENT'!$Q$8:$Q$1000*'ANALYSE - ERP =&gt; SOUS-SEGMENT'!$BG$8:$BG$1000),""))</f>
        <v>0.54091898215773948</v>
      </c>
      <c r="JK32" s="730">
        <f>IF($C32="","",IFERROR(SUMPRODUCT(('ANALYSE - ERP =&gt; SOUS-SEGMENT'!$C$8:$C$1000=$C32)*'ANALYSE - ERP =&gt; SOUS-SEGMENT'!$Q$8:$Q$1000*'ANALYSE - ERP =&gt; SOUS-SEGMENT'!$BG$8:$BG$1000*'ANALYSE - ERP =&gt; SOUS-SEGMENT'!$JK$8:$JK$1000)/SUMPRODUCT(('ANALYSE - ERP =&gt; SOUS-SEGMENT'!$C$8:$C$1000=$C32)*'ANALYSE - ERP =&gt; SOUS-SEGMENT'!$Q$8:$Q$1000*'ANALYSE - ERP =&gt; SOUS-SEGMENT'!$BG$8:$BG$1000),""))</f>
        <v>0.36486032852700534</v>
      </c>
      <c r="JL32" s="730">
        <f>IF($C32="","",IFERROR(SUMPRODUCT(('ANALYSE - ERP =&gt; SOUS-SEGMENT'!$C$8:$C$1000=$C32)*'ANALYSE - ERP =&gt; SOUS-SEGMENT'!$Q$8:$Q$1000*'ANALYSE - ERP =&gt; SOUS-SEGMENT'!$BG$8:$BG$1000*'ANALYSE - ERP =&gt; SOUS-SEGMENT'!$JL$8:$JL$1000)/SUMPRODUCT(('ANALYSE - ERP =&gt; SOUS-SEGMENT'!$C$8:$C$1000=$C32)*'ANALYSE - ERP =&gt; SOUS-SEGMENT'!$Q$8:$Q$1000*'ANALYSE - ERP =&gt; SOUS-SEGMENT'!$BG$8:$BG$1000),""))</f>
        <v>3.2319686528242027E-2</v>
      </c>
      <c r="JM32" s="730">
        <f>IF($C32="","",IFERROR(SUMPRODUCT(('ANALYSE - ERP =&gt; SOUS-SEGMENT'!$C$8:$C$1000=$C32)*'ANALYSE - ERP =&gt; SOUS-SEGMENT'!$Q$8:$Q$1000*'ANALYSE - ERP =&gt; SOUS-SEGMENT'!$BG$8:$BG$1000*'ANALYSE - ERP =&gt; SOUS-SEGMENT'!$JM$8:$JM$1000)/SUMPRODUCT(('ANALYSE - ERP =&gt; SOUS-SEGMENT'!$C$8:$C$1000=$C32)*'ANALYSE - ERP =&gt; SOUS-SEGMENT'!$Q$8:$Q$1000*'ANALYSE - ERP =&gt; SOUS-SEGMENT'!$BG$8:$BG$1000),""))</f>
        <v>2.9725152120728748E-5</v>
      </c>
      <c r="JN32" s="730">
        <f>IF($C32="","",IFERROR(SUMPRODUCT(('ANALYSE - ERP =&gt; SOUS-SEGMENT'!$C$8:$C$1000=$C32)*'ANALYSE - ERP =&gt; SOUS-SEGMENT'!$Q$8:$Q$1000*'ANALYSE - ERP =&gt; SOUS-SEGMENT'!$FH$8:$FH$1000*'ANALYSE - ERP =&gt; SOUS-SEGMENT'!$JN$8:$JN$1000)/SUMPRODUCT(('ANALYSE - ERP =&gt; SOUS-SEGMENT'!$C$8:$C$1000=$C32)*'ANALYSE - ERP =&gt; SOUS-SEGMENT'!$Q$8:$Q$1000*'ANALYSE - ERP =&gt; SOUS-SEGMENT'!$FH$8:$FH$1000),""))</f>
        <v>3.9632421728576991E-2</v>
      </c>
      <c r="JO32" s="730">
        <f>IF($C32="","",IFERROR(SUMPRODUCT(('ANALYSE - ERP =&gt; SOUS-SEGMENT'!$C$8:$C$1000=$C32)*'ANALYSE - ERP =&gt; SOUS-SEGMENT'!$Q$8:$Q$1000*'ANALYSE - ERP =&gt; SOUS-SEGMENT'!$FH$8:$FH$1000*'ANALYSE - ERP =&gt; SOUS-SEGMENT'!$JO$8:$JO$1000)/SUMPRODUCT(('ANALYSE - ERP =&gt; SOUS-SEGMENT'!$C$8:$C$1000=$C32)*'ANALYSE - ERP =&gt; SOUS-SEGMENT'!$Q$8:$Q$1000*'ANALYSE - ERP =&gt; SOUS-SEGMENT'!$FH$8:$FH$1000),""))</f>
        <v>0.51176213854770636</v>
      </c>
      <c r="JP32" s="730">
        <f>IF($C32="","",IFERROR(SUMPRODUCT(('ANALYSE - ERP =&gt; SOUS-SEGMENT'!$C$8:$C$1000=$C32)*'ANALYSE - ERP =&gt; SOUS-SEGMENT'!$Q$8:$Q$1000*'ANALYSE - ERP =&gt; SOUS-SEGMENT'!$FH$8:$FH$1000*'ANALYSE - ERP =&gt; SOUS-SEGMENT'!$JP$8:$JP$1000)/SUMPRODUCT(('ANALYSE - ERP =&gt; SOUS-SEGMENT'!$C$8:$C$1000=$C32)*'ANALYSE - ERP =&gt; SOUS-SEGMENT'!$Q$8:$Q$1000*'ANALYSE - ERP =&gt; SOUS-SEGMENT'!$FH$8:$FH$1000),""))</f>
        <v>0.39200417147161126</v>
      </c>
      <c r="JQ32" s="730">
        <f>IF($C32="","",IFERROR(SUMPRODUCT(('ANALYSE - ERP =&gt; SOUS-SEGMENT'!$C$8:$C$1000=$C32)*'ANALYSE - ERP =&gt; SOUS-SEGMENT'!$Q$8:$Q$1000*'ANALYSE - ERP =&gt; SOUS-SEGMENT'!$FH$8:$FH$1000*'ANALYSE - ERP =&gt; SOUS-SEGMENT'!$JQ$8:$JQ$1000)/SUMPRODUCT(('ANALYSE - ERP =&gt; SOUS-SEGMENT'!$C$8:$C$1000=$C32)*'ANALYSE - ERP =&gt; SOUS-SEGMENT'!$Q$8:$Q$1000*'ANALYSE - ERP =&gt; SOUS-SEGMENT'!$FH$8:$FH$1000),""))</f>
        <v>5.2658721517146116E-2</v>
      </c>
      <c r="JR32" s="730">
        <f>IF($C32="","",IFERROR(SUMPRODUCT(('ANALYSE - ERP =&gt; SOUS-SEGMENT'!$C$8:$C$1000=$C32)*'ANALYSE - ERP =&gt; SOUS-SEGMENT'!$Q$8:$Q$1000*'ANALYSE - ERP =&gt; SOUS-SEGMENT'!$FH$8:$FH$1000*'ANALYSE - ERP =&gt; SOUS-SEGMENT'!$JR$8:$JR$1000)/SUMPRODUCT(('ANALYSE - ERP =&gt; SOUS-SEGMENT'!$C$8:$C$1000=$C32)*'ANALYSE - ERP =&gt; SOUS-SEGMENT'!$Q$8:$Q$1000*'ANALYSE - ERP =&gt; SOUS-SEGMENT'!$FH$8:$FH$1000),""))</f>
        <v>3.942546734959195E-3</v>
      </c>
      <c r="JS32" s="730">
        <f>IF($C32="","",IFERROR(SUMPRODUCT(('ANALYSE - ERP =&gt; SOUS-SEGMENT'!$C$8:$C$1000=$C32)*'ANALYSE - ERP =&gt; SOUS-SEGMENT'!$Q$8:$Q$1000*'ANALYSE - ERP =&gt; SOUS-SEGMENT'!$BH$8:$BH$1000*'ANALYSE - ERP =&gt; SOUS-SEGMENT'!$JS$8:$JS$1000)/SUMPRODUCT(('ANALYSE - ERP =&gt; SOUS-SEGMENT'!$C$8:$C$1000=$C32)*'ANALYSE - ERP =&gt; SOUS-SEGMENT'!$Q$8:$Q$1000*'ANALYSE - ERP =&gt; SOUS-SEGMENT'!$BH$8:$BH$1000),""))</f>
        <v>3.5173044842786536E-2</v>
      </c>
      <c r="JT32" s="730">
        <f>IF($C32="","",IFERROR(SUMPRODUCT(('ANALYSE - ERP =&gt; SOUS-SEGMENT'!$C$8:$C$1000=$C32)*'ANALYSE - ERP =&gt; SOUS-SEGMENT'!$Q$8:$Q$1000*'ANALYSE - ERP =&gt; SOUS-SEGMENT'!$BH$8:$BH$1000*'ANALYSE - ERP =&gt; SOUS-SEGMENT'!$JT$8:$JT$1000)/SUMPRODUCT(('ANALYSE - ERP =&gt; SOUS-SEGMENT'!$C$8:$C$1000=$C32)*'ANALYSE - ERP =&gt; SOUS-SEGMENT'!$Q$8:$Q$1000*'ANALYSE - ERP =&gt; SOUS-SEGMENT'!$BH$8:$BH$1000),""))</f>
        <v>0.41918072678260981</v>
      </c>
      <c r="JU32" s="730">
        <f>IF($C32="","",IFERROR(SUMPRODUCT(('ANALYSE - ERP =&gt; SOUS-SEGMENT'!$C$8:$C$1000=$C32)*'ANALYSE - ERP =&gt; SOUS-SEGMENT'!$Q$8:$Q$1000*'ANALYSE - ERP =&gt; SOUS-SEGMENT'!$BH$8:$BH$1000*'ANALYSE - ERP =&gt; SOUS-SEGMENT'!$JU$8:$JU$1000)/SUMPRODUCT(('ANALYSE - ERP =&gt; SOUS-SEGMENT'!$C$8:$C$1000=$C32)*'ANALYSE - ERP =&gt; SOUS-SEGMENT'!$Q$8:$Q$1000*'ANALYSE - ERP =&gt; SOUS-SEGMENT'!$BH$8:$BH$1000),""))</f>
        <v>0.48660231018159816</v>
      </c>
      <c r="JV32" s="730">
        <f>IF($C32="","",IFERROR(SUMPRODUCT(('ANALYSE - ERP =&gt; SOUS-SEGMENT'!$C$8:$C$1000=$C32)*'ANALYSE - ERP =&gt; SOUS-SEGMENT'!$Q$8:$Q$1000*'ANALYSE - ERP =&gt; SOUS-SEGMENT'!$BH$8:$BH$1000*'ANALYSE - ERP =&gt; SOUS-SEGMENT'!$JV$8:$JV$1000)/SUMPRODUCT(('ANALYSE - ERP =&gt; SOUS-SEGMENT'!$C$8:$C$1000=$C32)*'ANALYSE - ERP =&gt; SOUS-SEGMENT'!$Q$8:$Q$1000*'ANALYSE - ERP =&gt; SOUS-SEGMENT'!$BH$8:$BH$1000),""))</f>
        <v>5.8989953184313167E-2</v>
      </c>
      <c r="JW32" s="730">
        <f>IF($C32="","",IFERROR(SUMPRODUCT(('ANALYSE - ERP =&gt; SOUS-SEGMENT'!$C$8:$C$1000=$C32)*'ANALYSE - ERP =&gt; SOUS-SEGMENT'!$Q$8:$Q$1000*'ANALYSE - ERP =&gt; SOUS-SEGMENT'!$BH$8:$BH$1000*'ANALYSE - ERP =&gt; SOUS-SEGMENT'!$JW$8:$JW$1000)/SUMPRODUCT(('ANALYSE - ERP =&gt; SOUS-SEGMENT'!$C$8:$C$1000=$C32)*'ANALYSE - ERP =&gt; SOUS-SEGMENT'!$Q$8:$Q$1000*'ANALYSE - ERP =&gt; SOUS-SEGMENT'!$BH$8:$BH$1000),""))</f>
        <v>5.3965008692481491E-5</v>
      </c>
      <c r="JX32" s="730">
        <f>IF($C32="","",IFERROR(SUMPRODUCT(('ANALYSE - ERP =&gt; SOUS-SEGMENT'!$C$8:$C$1000=$C32)*'ANALYSE - ERP =&gt; SOUS-SEGMENT'!$Q$8:$Q$1000*'ANALYSE - ERP =&gt; SOUS-SEGMENT'!$FK$8:$FK$1000*'ANALYSE - ERP =&gt; SOUS-SEGMENT'!$JX$8:$JX$1000)/SUMPRODUCT(('ANALYSE - ERP =&gt; SOUS-SEGMENT'!$C$8:$C$1000=$C32)*'ANALYSE - ERP =&gt; SOUS-SEGMENT'!$Q$8:$Q$1000*'ANALYSE - ERP =&gt; SOUS-SEGMENT'!$FK$8:$FK$1000),""))</f>
        <v>1.5051554488101804E-2</v>
      </c>
      <c r="JY32" s="730">
        <f>IF($C32="","",IFERROR(SUMPRODUCT(('ANALYSE - ERP =&gt; SOUS-SEGMENT'!$C$8:$C$1000=$C32)*'ANALYSE - ERP =&gt; SOUS-SEGMENT'!$Q$8:$Q$1000*'ANALYSE - ERP =&gt; SOUS-SEGMENT'!$FK$8:$FK$1000*'ANALYSE - ERP =&gt; SOUS-SEGMENT'!$JY$8:$JY$1000)/SUMPRODUCT(('ANALYSE - ERP =&gt; SOUS-SEGMENT'!$C$8:$C$1000=$C32)*'ANALYSE - ERP =&gt; SOUS-SEGMENT'!$Q$8:$Q$1000*'ANALYSE - ERP =&gt; SOUS-SEGMENT'!$FK$8:$FK$1000),""))</f>
        <v>0.39027328178028731</v>
      </c>
      <c r="JZ32" s="730">
        <f>IF($C32="","",IFERROR(SUMPRODUCT(('ANALYSE - ERP =&gt; SOUS-SEGMENT'!$C$8:$C$1000=$C32)*'ANALYSE - ERP =&gt; SOUS-SEGMENT'!$Q$8:$Q$1000*'ANALYSE - ERP =&gt; SOUS-SEGMENT'!$FK$8:$FK$1000*'ANALYSE - ERP =&gt; SOUS-SEGMENT'!$JZ$8:$JZ$1000)/SUMPRODUCT(('ANALYSE - ERP =&gt; SOUS-SEGMENT'!$C$8:$C$1000=$C32)*'ANALYSE - ERP =&gt; SOUS-SEGMENT'!$Q$8:$Q$1000*'ANALYSE - ERP =&gt; SOUS-SEGMENT'!$FK$8:$FK$1000),""))</f>
        <v>0.50984330614235951</v>
      </c>
      <c r="KA32" s="730">
        <f>IF($C32="","",IFERROR(SUMPRODUCT(('ANALYSE - ERP =&gt; SOUS-SEGMENT'!$C$8:$C$1000=$C32)*'ANALYSE - ERP =&gt; SOUS-SEGMENT'!$Q$8:$Q$1000*'ANALYSE - ERP =&gt; SOUS-SEGMENT'!$FK$8:$FK$1000*'ANALYSE - ERP =&gt; SOUS-SEGMENT'!$KA$8:$KA$1000)/SUMPRODUCT(('ANALYSE - ERP =&gt; SOUS-SEGMENT'!$C$8:$C$1000=$C32)*'ANALYSE - ERP =&gt; SOUS-SEGMENT'!$Q$8:$Q$1000*'ANALYSE - ERP =&gt; SOUS-SEGMENT'!$FK$8:$FK$1000),""))</f>
        <v>8.0523249494681925E-2</v>
      </c>
      <c r="KB32" s="730">
        <f>IF($C32="","",IFERROR(SUMPRODUCT(('ANALYSE - ERP =&gt; SOUS-SEGMENT'!$C$8:$C$1000=$C32)*'ANALYSE - ERP =&gt; SOUS-SEGMENT'!$Q$8:$Q$1000*'ANALYSE - ERP =&gt; SOUS-SEGMENT'!$FK$8:$FK$1000*'ANALYSE - ERP =&gt; SOUS-SEGMENT'!$KB$8:$KB$1000)/SUMPRODUCT(('ANALYSE - ERP =&gt; SOUS-SEGMENT'!$C$8:$C$1000=$C32)*'ANALYSE - ERP =&gt; SOUS-SEGMENT'!$Q$8:$Q$1000*'ANALYSE - ERP =&gt; SOUS-SEGMENT'!$FK$8:$FK$1000),""))</f>
        <v>4.3086080945695538E-3</v>
      </c>
      <c r="KC32" s="657"/>
      <c r="KD32" s="920" t="s">
        <v>2590</v>
      </c>
      <c r="KE32" s="920" t="s">
        <v>6030</v>
      </c>
      <c r="KF32" s="866">
        <f>IF($C32="","",IFERROR(SUMPRODUCT(('ANALYSE - ERP =&gt; SOUS-SEGMENT'!$C$8:$C$1000=$C32)*'ANALYSE - ERP =&gt; SOUS-SEGMENT'!$Q$8:$Q$1000*'ANALYSE - ERP =&gt; SOUS-SEGMENT'!$IE$8:$IE$1000*'ANALYSE - ERP =&gt; SOUS-SEGMENT'!$KF$8:$KF$1000)/SUMPRODUCT(('ANALYSE - ERP =&gt; SOUS-SEGMENT'!$C$8:$C$1000=$C32)*'ANALYSE - ERP =&gt; SOUS-SEGMENT'!$Q$8:$Q$1000*'ANALYSE - ERP =&gt; SOUS-SEGMENT'!$IE$8:$IE$1000),""))</f>
        <v>4.1562612725409531</v>
      </c>
      <c r="KG32" s="920" t="s">
        <v>2589</v>
      </c>
      <c r="KH32" s="920" t="s">
        <v>6031</v>
      </c>
      <c r="KI32" s="920" t="s">
        <v>6032</v>
      </c>
      <c r="KJ32" s="920" t="s">
        <v>6033</v>
      </c>
    </row>
    <row r="33" spans="1:296" ht="200.25" customHeight="1">
      <c r="A33" s="957">
        <f>IF($C33="","",ROWS($A$8:A33))</f>
        <v>26</v>
      </c>
      <c r="B33" s="958" t="s">
        <v>2278</v>
      </c>
      <c r="C33" s="958" t="s">
        <v>4578</v>
      </c>
      <c r="D33" s="959" t="s">
        <v>6034</v>
      </c>
      <c r="E33" s="269" t="s">
        <v>6035</v>
      </c>
      <c r="F33" s="960" t="s">
        <v>6036</v>
      </c>
      <c r="G33" s="960" t="s">
        <v>6037</v>
      </c>
      <c r="H33" s="960" t="s">
        <v>6038</v>
      </c>
      <c r="I33" s="960" t="s">
        <v>6039</v>
      </c>
      <c r="J33" s="960" t="s">
        <v>6040</v>
      </c>
      <c r="K33" s="960" t="s">
        <v>6041</v>
      </c>
      <c r="L33" s="960" t="s">
        <v>2109</v>
      </c>
      <c r="M33" s="960" t="s">
        <v>2603</v>
      </c>
      <c r="N33" s="960" t="s">
        <v>2099</v>
      </c>
      <c r="O33" s="960" t="s">
        <v>2616</v>
      </c>
      <c r="P33" s="960"/>
      <c r="Q33" s="270">
        <f>IF($C33="","",IF(SUMIFS('ANALYSE - ERP =&gt; SOUS-SEGMENT'!$Q$8:$Q$1000,'ANALYSE - ERP =&gt; SOUS-SEGMENT'!$C$8:$C$1000,$C33)&gt;0,1,0))</f>
        <v>1</v>
      </c>
      <c r="R33" s="271">
        <f>IF($C33="","",IFERROR(SUMPRODUCT(('ANALYSE - ERP =&gt; SOUS-SEGMENT'!$C$8:$C$1000=$C33)*'ANALYSE - ERP =&gt; SOUS-SEGMENT'!$Q$8:$Q$1000*'ANALYSE - ERP =&gt; SOUS-SEGMENT'!$AF$8:$AF$1000*'ANALYSE - ERP =&gt; SOUS-SEGMENT'!$R$8:$R$1000)/SUMPRODUCT(('ANALYSE - ERP =&gt; SOUS-SEGMENT'!$C$8:$C$1000=$C33)*'ANALYSE - ERP =&gt; SOUS-SEGMENT'!$Q$8:$Q$1000*'ANALYSE - ERP =&gt; SOUS-SEGMENT'!$AF$8:$AF$1000),""))</f>
        <v>708.07984790874525</v>
      </c>
      <c r="S33" s="272">
        <f>IF($C33="","",SUMPRODUCT(('ANALYSE - ERP =&gt; SOUS-SEGMENT'!$C$8:$C$1000=$C33)*'ANALYSE - ERP =&gt; SOUS-SEGMENT'!$Q$8:$Q$1000*'ANALYSE - ERP =&gt; SOUS-SEGMENT'!$S$8:$S$1000))</f>
        <v>8850</v>
      </c>
      <c r="T33" s="272">
        <f>IF($C33="","",SUMPRODUCT(('ANALYSE - ERP =&gt; SOUS-SEGMENT'!$C$8:$C$1000=$C33)*'ANALYSE - ERP =&gt; SOUS-SEGMENT'!$Q$8:$Q$1000*'ANALYSE - ERP =&gt; SOUS-SEGMENT'!$T$8:$T$1000))</f>
        <v>9115</v>
      </c>
      <c r="U33" s="272">
        <f>IF($C33="","",SUMPRODUCT(('ANALYSE - ERP =&gt; SOUS-SEGMENT'!$C$8:$C$1000=$C33)*'ANALYSE - ERP =&gt; SOUS-SEGMENT'!$Q$8:$Q$1000*'ANALYSE - ERP =&gt; SOUS-SEGMENT'!$U$8:$U$1000))</f>
        <v>9460</v>
      </c>
      <c r="V33" s="272">
        <f>IF($C33="","",SUMPRODUCT(('ANALYSE - ERP =&gt; SOUS-SEGMENT'!$C$8:$C$1000=$C33)*'ANALYSE - ERP =&gt; SOUS-SEGMENT'!$Q$8:$Q$1000*'ANALYSE - ERP =&gt; SOUS-SEGMENT'!$V$8:$V$1000))</f>
        <v>9835</v>
      </c>
      <c r="W33" s="272">
        <f>IF($C33="","",SUMPRODUCT(('ANALYSE - ERP =&gt; SOUS-SEGMENT'!$C$8:$C$1000=$C33)*'ANALYSE - ERP =&gt; SOUS-SEGMENT'!$Q$8:$Q$1000*'ANALYSE - ERP =&gt; SOUS-SEGMENT'!$W$8:$W$1000))</f>
        <v>9896</v>
      </c>
      <c r="X33" s="272">
        <f>IF($C33="","",SUMPRODUCT(('ANALYSE - ERP =&gt; SOUS-SEGMENT'!$C$8:$C$1000=$C33)*'ANALYSE - ERP =&gt; SOUS-SEGMENT'!$Q$8:$Q$1000*'ANALYSE - ERP =&gt; SOUS-SEGMENT'!$X$8:$X$1000))</f>
        <v>9957</v>
      </c>
      <c r="Y33" s="272">
        <f>IF($C33="","",SUMPRODUCT(('ANALYSE - ERP =&gt; SOUS-SEGMENT'!$C$8:$C$1000=$C33)*'ANALYSE - ERP =&gt; SOUS-SEGMENT'!$Q$8:$Q$1000*'ANALYSE - ERP =&gt; SOUS-SEGMENT'!$Y$8:$Y$1000))</f>
        <v>10018</v>
      </c>
      <c r="Z33" s="272">
        <f>IF($C33="","",SUMPRODUCT(('ANALYSE - ERP =&gt; SOUS-SEGMENT'!$C$8:$C$1000=$C33)*'ANALYSE - ERP =&gt; SOUS-SEGMENT'!$Q$8:$Q$1000*'ANALYSE - ERP =&gt; SOUS-SEGMENT'!$Z$8:$Z$1000))</f>
        <v>10109</v>
      </c>
      <c r="AA33" s="272">
        <f>IF($C33="","",SUMPRODUCT(('ANALYSE - ERP =&gt; SOUS-SEGMENT'!$C$8:$C$1000=$C33)*'ANALYSE - ERP =&gt; SOUS-SEGMENT'!$Q$8:$Q$1000*'ANALYSE - ERP =&gt; SOUS-SEGMENT'!$AA$8:$AA$1000))</f>
        <v>10185</v>
      </c>
      <c r="AB33" s="272">
        <f>IF($C33="","",SUMPRODUCT(('ANALYSE - ERP =&gt; SOUS-SEGMENT'!$C$8:$C$1000=$C33)*'ANALYSE - ERP =&gt; SOUS-SEGMENT'!$Q$8:$Q$1000*'ANALYSE - ERP =&gt; SOUS-SEGMENT'!$AB$8:$AB$1000))</f>
        <v>10265</v>
      </c>
      <c r="AC33" s="272">
        <f>IF($C33="","",SUMPRODUCT(('ANALYSE - ERP =&gt; SOUS-SEGMENT'!$C$8:$C$1000=$C33)*'ANALYSE - ERP =&gt; SOUS-SEGMENT'!$Q$8:$Q$1000*'ANALYSE - ERP =&gt; SOUS-SEGMENT'!$AC$8:$AC$1000))</f>
        <v>10345</v>
      </c>
      <c r="AD33" s="272">
        <f>IF($C33="","",SUMPRODUCT(('ANALYSE - ERP =&gt; SOUS-SEGMENT'!$C$8:$C$1000=$C33)*'ANALYSE - ERP =&gt; SOUS-SEGMENT'!$Q$8:$Q$1000*'ANALYSE - ERP =&gt; SOUS-SEGMENT'!$AD$8:$AD$1000))</f>
        <v>10423</v>
      </c>
      <c r="AE33" s="272">
        <f>IF($C33="","",SUMPRODUCT(('ANALYSE - ERP =&gt; SOUS-SEGMENT'!$C$8:$C$1000=$C33)*'ANALYSE - ERP =&gt; SOUS-SEGMENT'!$Q$8:$Q$1000*'ANALYSE - ERP =&gt; SOUS-SEGMENT'!$AE$8:$AE$1000))</f>
        <v>10500</v>
      </c>
      <c r="AF33" s="272">
        <f>IF($C33="","",SUMPRODUCT(('ANALYSE - ERP =&gt; SOUS-SEGMENT'!$C$8:$C$1000=$C33)*'ANALYSE - ERP =&gt; SOUS-SEGMENT'!$Q$8:$Q$1000*'ANALYSE - ERP =&gt; SOUS-SEGMENT'!$AF$8:$AF$1000))</f>
        <v>10520</v>
      </c>
      <c r="AG33" s="272">
        <f>IF($C33="","",SUMPRODUCT(('ANALYSE - ERP =&gt; SOUS-SEGMENT'!$C$8:$C$1000=$C33)*'ANALYSE - ERP =&gt; SOUS-SEGMENT'!$Q$8:$Q$1000*'ANALYSE - ERP =&gt; SOUS-SEGMENT'!$AG$8:$AG$1000))</f>
        <v>10547</v>
      </c>
      <c r="AH33" s="272">
        <f>IF($C33="","",SUMPRODUCT(('ANALYSE - ERP =&gt; SOUS-SEGMENT'!$C$8:$C$1000=$C33)*'ANALYSE - ERP =&gt; SOUS-SEGMENT'!$Q$8:$Q$1000*'ANALYSE - ERP =&gt; SOUS-SEGMENT'!$AH$8:$AH$1000))</f>
        <v>10572</v>
      </c>
      <c r="AI33" s="272">
        <f>IF($C33="","",SUMPRODUCT(('ANALYSE - ERP =&gt; SOUS-SEGMENT'!$C$8:$C$1000=$C33)*'ANALYSE - ERP =&gt; SOUS-SEGMENT'!$Q$8:$Q$1000*'ANALYSE - ERP =&gt; SOUS-SEGMENT'!$AI$8:$AI$1000))</f>
        <v>10597</v>
      </c>
      <c r="AJ33" s="272">
        <f>IF($C33="","",SUMPRODUCT(('ANALYSE - ERP =&gt; SOUS-SEGMENT'!$C$8:$C$1000=$C33)*'ANALYSE - ERP =&gt; SOUS-SEGMENT'!$Q$8:$Q$1000*'ANALYSE - ERP =&gt; SOUS-SEGMENT'!$AJ$8:$AJ$1000))</f>
        <v>10622</v>
      </c>
      <c r="AK33" s="272">
        <f>IF($C33="","",SUMPRODUCT(('ANALYSE - ERP =&gt; SOUS-SEGMENT'!$C$8:$C$1000=$C33)*'ANALYSE - ERP =&gt; SOUS-SEGMENT'!$Q$8:$Q$1000*'ANALYSE - ERP =&gt; SOUS-SEGMENT'!$AK$8:$AK$1000))</f>
        <v>10647</v>
      </c>
      <c r="AL33" s="960" t="s">
        <v>6042</v>
      </c>
      <c r="AM33" s="960" t="s">
        <v>6043</v>
      </c>
      <c r="AN33" s="960" t="s">
        <v>6044</v>
      </c>
      <c r="AO33" s="657"/>
      <c r="AP33" s="271">
        <f>IF($C33="","",IFERROR(SUMPRODUCT(('ANALYSE - ERP =&gt; SOUS-SEGMENT'!$C$8:$C$1000=$C33)*'ANALYSE - ERP =&gt; SOUS-SEGMENT'!$Q$8:$Q$1000*'ANALYSE - ERP =&gt; SOUS-SEGMENT'!$AF$8:$AF$1000*'ANALYSE - ERP =&gt; SOUS-SEGMENT'!$AP$8:$AP$1000)/SUMPRODUCT(('ANALYSE - ERP =&gt; SOUS-SEGMENT'!$C$8:$C$1000=$C33)*'ANALYSE - ERP =&gt; SOUS-SEGMENT'!$Q$8:$Q$1000*'ANALYSE - ERP =&gt; SOUS-SEGMENT'!$AF$8:$AF$1000),""))</f>
        <v>120.81749049429658</v>
      </c>
      <c r="AQ33" s="280">
        <f>IF($C33="","",IFERROR(SUMPRODUCT(('ANALYSE - ERP =&gt; SOUS-SEGMENT'!$C$8:$C$1000=$C33)*'ANALYSE - ERP =&gt; SOUS-SEGMENT'!$Q$8:$Q$1000*'ANALYSE - ERP =&gt; SOUS-SEGMENT'!$AF$8:$AF$1000*'ANALYSE - ERP =&gt; SOUS-SEGMENT'!$AQ$8:$AQ$1000)/SUMPRODUCT(('ANALYSE - ERP =&gt; SOUS-SEGMENT'!$C$8:$C$1000=$C33)*'ANALYSE - ERP =&gt; SOUS-SEGMENT'!$Q$8:$Q$1000*'ANALYSE - ERP =&gt; SOUS-SEGMENT'!$AF$8:$AF$1000),""))</f>
        <v>110.11216730038022</v>
      </c>
      <c r="AR33" s="280">
        <f>IF($C33="","",IFERROR(SUMPRODUCT(('ANALYSE - ERP =&gt; SOUS-SEGMENT'!$C$8:$C$1000=$C33)*'ANALYSE - ERP =&gt; SOUS-SEGMENT'!$Q$8:$Q$1000*'ANALYSE - ERP =&gt; SOUS-SEGMENT'!$AF$8:$AF$1000*'ANALYSE - ERP =&gt; SOUS-SEGMENT'!$AR$8:$AR$1000)/SUMPRODUCT(('ANALYSE - ERP =&gt; SOUS-SEGMENT'!$C$8:$C$1000=$C33)*'ANALYSE - ERP =&gt; SOUS-SEGMENT'!$Q$8:$Q$1000*'ANALYSE - ERP =&gt; SOUS-SEGMENT'!$AF$8:$AF$1000),""))</f>
        <v>6.4543726235741445</v>
      </c>
      <c r="AS33" s="280">
        <f>IF($C33="","",IFERROR(SUMPRODUCT(('ANALYSE - ERP =&gt; SOUS-SEGMENT'!$C$8:$C$1000=$C33)*'ANALYSE - ERP =&gt; SOUS-SEGMENT'!$Q$8:$Q$1000*'ANALYSE - ERP =&gt; SOUS-SEGMENT'!$AF$8:$AF$1000*'ANALYSE - ERP =&gt; SOUS-SEGMENT'!$AS$8:$AS$1000)/SUMPRODUCT(('ANALYSE - ERP =&gt; SOUS-SEGMENT'!$C$8:$C$1000=$C33)*'ANALYSE - ERP =&gt; SOUS-SEGMENT'!$Q$8:$Q$1000*'ANALYSE - ERP =&gt; SOUS-SEGMENT'!$AF$8:$AF$1000),""))</f>
        <v>4.250950570342205</v>
      </c>
      <c r="AT33" s="657"/>
      <c r="AU33" s="647" t="s">
        <v>6045</v>
      </c>
      <c r="AV33" s="647" t="s">
        <v>6046</v>
      </c>
      <c r="AW33" s="960" t="s">
        <v>6047</v>
      </c>
      <c r="AX33" s="647" t="s">
        <v>2670</v>
      </c>
      <c r="AY33" s="657"/>
      <c r="AZ33" s="948">
        <f>IF($C33="","",IFERROR(SUMPRODUCT(('ANALYSE - ERP =&gt; SOUS-SEGMENT'!$C$8:$C$1000=$C33)*'ANALYSE - ERP =&gt; SOUS-SEGMENT'!$Q$8:$Q$1000*'ANALYSE - ERP =&gt; SOUS-SEGMENT'!$AF$8:$AF$1000*'ANALYSE - ERP =&gt; SOUS-SEGMENT'!$AZ$8:$AZ$1000)/SUMPRODUCT(('ANALYSE - ERP =&gt; SOUS-SEGMENT'!$C$8:$C$1000=$C33)*'ANALYSE - ERP =&gt; SOUS-SEGMENT'!$Q$8:$Q$1000*'ANALYSE - ERP =&gt; SOUS-SEGMENT'!$AF$8:$AF$1000),""))</f>
        <v>4.8555133079847907</v>
      </c>
      <c r="BA33" s="948">
        <f>IF($C33="","",IFERROR(SUMPRODUCT(('ANALYSE - ERP =&gt; SOUS-SEGMENT'!$C$8:$C$1000=$C33)*'ANALYSE - ERP =&gt; SOUS-SEGMENT'!$Q$8:$Q$1000*'ANALYSE - ERP =&gt; SOUS-SEGMENT'!$AF$8:$AF$1000*'ANALYSE - ERP =&gt; SOUS-SEGMENT'!$BA$8:$BA$1000)/SUMPRODUCT(('ANALYSE - ERP =&gt; SOUS-SEGMENT'!$C$8:$C$1000=$C33)*'ANALYSE - ERP =&gt; SOUS-SEGMENT'!$Q$8:$Q$1000*'ANALYSE - ERP =&gt; SOUS-SEGMENT'!$AF$8:$AF$1000),""))</f>
        <v>7.6045627376425853E-2</v>
      </c>
      <c r="BB33" s="948">
        <f>IF($C33="","",IFERROR(SUMPRODUCT(('ANALYSE - ERP =&gt; SOUS-SEGMENT'!$C$8:$C$1000=$C33)*'ANALYSE - ERP =&gt; SOUS-SEGMENT'!$Q$8:$Q$1000*'ANALYSE - ERP =&gt; SOUS-SEGMENT'!$AF$8:$AF$1000*'ANALYSE - ERP =&gt; SOUS-SEGMENT'!$BB$8:$BB$1000)/SUMPRODUCT(('ANALYSE - ERP =&gt; SOUS-SEGMENT'!$C$8:$C$1000=$C33)*'ANALYSE - ERP =&gt; SOUS-SEGMENT'!$Q$8:$Q$1000*'ANALYSE - ERP =&gt; SOUS-SEGMENT'!$AF$8:$AF$1000),""))</f>
        <v>0.80038022813688214</v>
      </c>
      <c r="BC33" s="948">
        <f>IF($C33="","",IFERROR(SUMPRODUCT(('ANALYSE - ERP =&gt; SOUS-SEGMENT'!$C$8:$C$1000=$C33)*'ANALYSE - ERP =&gt; SOUS-SEGMENT'!$Q$8:$Q$1000*'ANALYSE - ERP =&gt; SOUS-SEGMENT'!$AF$8:$AF$1000*'ANALYSE - ERP =&gt; SOUS-SEGMENT'!$BC$8:$BC$1000)/SUMPRODUCT(('ANALYSE - ERP =&gt; SOUS-SEGMENT'!$C$8:$C$1000=$C33)*'ANALYSE - ERP =&gt; SOUS-SEGMENT'!$Q$8:$Q$1000*'ANALYSE - ERP =&gt; SOUS-SEGMENT'!$AF$8:$AF$1000),""))</f>
        <v>4.0646387832699622</v>
      </c>
      <c r="BD33" s="825">
        <f t="shared" si="1"/>
        <v>103060</v>
      </c>
      <c r="BE33" s="304">
        <f>IF($C33="","",SUMPRODUCT(('ANALYSE - ERP =&gt; SOUS-SEGMENT'!$C$8:$C$1000=$C33)*'ANALYSE - ERP =&gt; SOUS-SEGMENT'!$Q$8:$Q$1000*'ANALYSE - ERP =&gt; SOUS-SEGMENT'!$BE$8:$BE$1000))</f>
        <v>51080</v>
      </c>
      <c r="BF33" s="304">
        <f>IF($C33="","",SUMPRODUCT(('ANALYSE - ERP =&gt; SOUS-SEGMENT'!$C$8:$C$1000=$C33)*'ANALYSE - ERP =&gt; SOUS-SEGMENT'!$Q$8:$Q$1000*'ANALYSE - ERP =&gt; SOUS-SEGMENT'!$BF$8:$BF$1000))</f>
        <v>800</v>
      </c>
      <c r="BG33" s="304">
        <f>IF($C33="","",SUMPRODUCT(('ANALYSE - ERP =&gt; SOUS-SEGMENT'!$C$8:$C$1000=$C33)*'ANALYSE - ERP =&gt; SOUS-SEGMENT'!$Q$8:$Q$1000*'ANALYSE - ERP =&gt; SOUS-SEGMENT'!$BG$8:$BG$1000))</f>
        <v>8420</v>
      </c>
      <c r="BH33" s="304">
        <f>IF($C33="","",SUMPRODUCT(('ANALYSE - ERP =&gt; SOUS-SEGMENT'!$C$8:$C$1000=$C33)*'ANALYSE - ERP =&gt; SOUS-SEGMENT'!$Q$8:$Q$1000*'ANALYSE - ERP =&gt; SOUS-SEGMENT'!$BH$8:$BH$1000))</f>
        <v>42760</v>
      </c>
      <c r="BI33" s="825">
        <f t="shared" si="2"/>
        <v>105283</v>
      </c>
      <c r="BJ33" s="304">
        <f>IF($C33="","",SUMPRODUCT(('ANALYSE - ERP =&gt; SOUS-SEGMENT'!$C$8:$C$1000=$C33)*'ANALYSE - ERP =&gt; SOUS-SEGMENT'!$Q$8:$Q$1000*'ANALYSE - ERP =&gt; SOUS-SEGMENT'!$BJ$8:$BJ$1000))</f>
        <v>52311</v>
      </c>
      <c r="BK33" s="304">
        <f>IF($C33="","",SUMPRODUCT(('ANALYSE - ERP =&gt; SOUS-SEGMENT'!$C$8:$C$1000=$C33)*'ANALYSE - ERP =&gt; SOUS-SEGMENT'!$Q$8:$Q$1000*'ANALYSE - ERP =&gt; SOUS-SEGMENT'!$BK$8:$BK$1000))</f>
        <v>750</v>
      </c>
      <c r="BL33" s="304">
        <f>IF($C33="","",SUMPRODUCT(('ANALYSE - ERP =&gt; SOUS-SEGMENT'!$C$8:$C$1000=$C33)*'ANALYSE - ERP =&gt; SOUS-SEGMENT'!$Q$8:$Q$1000*'ANALYSE - ERP =&gt; SOUS-SEGMENT'!$BL$8:$BL$1000))</f>
        <v>8631</v>
      </c>
      <c r="BM33" s="304">
        <f>IF($C33="","",SUMPRODUCT(('ANALYSE - ERP =&gt; SOUS-SEGMENT'!$C$8:$C$1000=$C33)*'ANALYSE - ERP =&gt; SOUS-SEGMENT'!$Q$8:$Q$1000*'ANALYSE - ERP =&gt; SOUS-SEGMENT'!$BM$8:$BM$1000))</f>
        <v>43591</v>
      </c>
      <c r="BN33" s="657"/>
      <c r="BO33" s="284">
        <f t="shared" si="3"/>
        <v>0.21649373531714958</v>
      </c>
      <c r="BP33" s="284">
        <f t="shared" si="4"/>
        <v>0.64456342991386051</v>
      </c>
      <c r="BQ33" s="284">
        <f t="shared" si="5"/>
        <v>8.7253328112764303E-2</v>
      </c>
      <c r="BR33" s="710">
        <f t="shared" si="6"/>
        <v>5.1689506656225521E-2</v>
      </c>
      <c r="BS33" s="707">
        <f t="shared" si="7"/>
        <v>0.18229167861444054</v>
      </c>
      <c r="BT33" s="284">
        <f t="shared" si="8"/>
        <v>0.65072088088547342</v>
      </c>
      <c r="BU33" s="284">
        <f t="shared" si="9"/>
        <v>0.11904570740379652</v>
      </c>
      <c r="BV33" s="710">
        <f t="shared" si="10"/>
        <v>4.7941733096289504E-2</v>
      </c>
      <c r="BW33" s="714">
        <f t="shared" si="11"/>
        <v>0.15</v>
      </c>
      <c r="BX33" s="285">
        <f t="shared" si="12"/>
        <v>0.8</v>
      </c>
      <c r="BY33" s="717">
        <f t="shared" si="13"/>
        <v>0.05</v>
      </c>
      <c r="BZ33" s="714">
        <f t="shared" si="14"/>
        <v>0.12</v>
      </c>
      <c r="CA33" s="285">
        <f t="shared" si="15"/>
        <v>0.82</v>
      </c>
      <c r="CB33" s="717">
        <f t="shared" si="16"/>
        <v>0.06</v>
      </c>
      <c r="CC33" s="284">
        <f t="shared" si="17"/>
        <v>8.0344418052256533E-2</v>
      </c>
      <c r="CD33" s="284">
        <f t="shared" si="18"/>
        <v>0.52698931116389547</v>
      </c>
      <c r="CE33" s="284">
        <f t="shared" si="19"/>
        <v>0.1208729216152019</v>
      </c>
      <c r="CF33" s="710">
        <f t="shared" si="20"/>
        <v>0.27179334916864606</v>
      </c>
      <c r="CG33" s="707">
        <f t="shared" si="21"/>
        <v>6.5519638512339246E-2</v>
      </c>
      <c r="CH33" s="284">
        <f t="shared" si="22"/>
        <v>0.52728536670142512</v>
      </c>
      <c r="CI33" s="284">
        <f t="shared" si="23"/>
        <v>0.14465067778936389</v>
      </c>
      <c r="CJ33" s="710">
        <f t="shared" si="24"/>
        <v>0.2625443169968717</v>
      </c>
      <c r="CK33" s="720">
        <f t="shared" si="25"/>
        <v>0.40522684752104771</v>
      </c>
      <c r="CL33" s="286">
        <f t="shared" si="26"/>
        <v>0.42353835360149672</v>
      </c>
      <c r="CM33" s="718">
        <f t="shared" si="27"/>
        <v>0.17123479887745557</v>
      </c>
      <c r="CN33" s="720">
        <f t="shared" si="28"/>
        <v>0.31444495423367208</v>
      </c>
      <c r="CO33" s="286">
        <f t="shared" si="29"/>
        <v>0.455398591452364</v>
      </c>
      <c r="CP33" s="718">
        <f t="shared" si="30"/>
        <v>0.23015645431396389</v>
      </c>
      <c r="CQ33" s="657"/>
      <c r="CR33" s="807">
        <f>IF($C33="","",IFERROR(SUMPRODUCT(('ANALYSE - ERP =&gt; SOUS-SEGMENT'!$C$8:$C$1000=$C33)*'ANALYSE - ERP =&gt; SOUS-SEGMENT'!$Q$8:$Q$1000*'ANALYSE - ERP =&gt; SOUS-SEGMENT'!$DH$8:$DH$1000*'ANALYSE - ERP =&gt; SOUS-SEGMENT'!$CR$8:$CR$1000)/SUMPRODUCT(('ANALYSE - ERP =&gt; SOUS-SEGMENT'!$C$8:$C$1000=$C33)*'ANALYSE - ERP =&gt; SOUS-SEGMENT'!$Q$8:$Q$1000*'ANALYSE - ERP =&gt; SOUS-SEGMENT'!$DH$8:$DH$1000),""))</f>
        <v>12.141248813130172</v>
      </c>
      <c r="CS33" s="808">
        <f>IF($C33="","",IFERROR(SUMPRODUCT(('ANALYSE - ERP =&gt; SOUS-SEGMENT'!$C$8:$C$1000=$C33)*'ANALYSE - ERP =&gt; SOUS-SEGMENT'!$Q$8:$Q$1000*'ANALYSE - ERP =&gt; SOUS-SEGMENT'!$DI$8:$DI$1000*'ANALYSE - ERP =&gt; SOUS-SEGMENT'!$CS$8:$CS$1000)/SUMPRODUCT(('ANALYSE - ERP =&gt; SOUS-SEGMENT'!$C$8:$C$1000=$C33)*'ANALYSE - ERP =&gt; SOUS-SEGMENT'!$Q$8:$Q$1000*'ANALYSE - ERP =&gt; SOUS-SEGMENT'!$DI$8:$DI$1000),""))</f>
        <v>11.964940788414637</v>
      </c>
      <c r="CT33" s="808">
        <f>IF($C33="","",IFERROR(SUMPRODUCT(('ANALYSE - ERP =&gt; SOUS-SEGMENT'!$C$8:$C$1000=$C33)*'ANALYSE - ERP =&gt; SOUS-SEGMENT'!$Q$8:$Q$1000*'ANALYSE - ERP =&gt; SOUS-SEGMENT'!$DJ$8:$DJ$1000*'ANALYSE - ERP =&gt; SOUS-SEGMENT'!$CT$8:$CT$1000)/SUMPRODUCT(('ANALYSE - ERP =&gt; SOUS-SEGMENT'!$C$8:$C$1000=$C33)*'ANALYSE - ERP =&gt; SOUS-SEGMENT'!$Q$8:$Q$1000*'ANALYSE - ERP =&gt; SOUS-SEGMENT'!$DJ$8:$DJ$1000),""))</f>
        <v>8.9373106868002417</v>
      </c>
      <c r="CU33" s="809">
        <f>IF($C33="","",IFERROR(SUMPRODUCT(('ANALYSE - ERP =&gt; SOUS-SEGMENT'!$C$8:$C$1000=$C33)*'ANALYSE - ERP =&gt; SOUS-SEGMENT'!$Q$8:$Q$1000*'ANALYSE - ERP =&gt; SOUS-SEGMENT'!$DK$8:$DK$1000*'ANALYSE - ERP =&gt; SOUS-SEGMENT'!$CU$8:$CU$1000)/SUMPRODUCT(('ANALYSE - ERP =&gt; SOUS-SEGMENT'!$C$8:$C$1000=$C33)*'ANALYSE - ERP =&gt; SOUS-SEGMENT'!$Q$8:$Q$1000*'ANALYSE - ERP =&gt; SOUS-SEGMENT'!$DK$8:$DK$1000),""))</f>
        <v>10.648221792978072</v>
      </c>
      <c r="CV33" s="807">
        <f>IF($C33="","",IFERROR(SUMPRODUCT(('ANALYSE - ERP =&gt; SOUS-SEGMENT'!$C$8:$C$1000=$C33)*'ANALYSE - ERP =&gt; SOUS-SEGMENT'!$Q$8:$Q$1000*'ANALYSE - ERP =&gt; SOUS-SEGMENT'!$DS$8:$DS$1000*'ANALYSE - ERP =&gt; SOUS-SEGMENT'!$CV$8:$CV$1000)/SUMPRODUCT(('ANALYSE - ERP =&gt; SOUS-SEGMENT'!$C$8:$C$1000=$C33)*'ANALYSE - ERP =&gt; SOUS-SEGMENT'!$Q$8:$Q$1000*'ANALYSE - ERP =&gt; SOUS-SEGMENT'!$DS$8:$DS$1000),""))</f>
        <v>8</v>
      </c>
      <c r="CW33" s="808">
        <f>IF($C33="","",IFERROR(SUMPRODUCT(('ANALYSE - ERP =&gt; SOUS-SEGMENT'!$C$8:$C$1000=$C33)*'ANALYSE - ERP =&gt; SOUS-SEGMENT'!$Q$8:$Q$1000*'ANALYSE - ERP =&gt; SOUS-SEGMENT'!$DT$8:$DT$1000*'ANALYSE - ERP =&gt; SOUS-SEGMENT'!$CW$8:$CW$1000)/SUMPRODUCT(('ANALYSE - ERP =&gt; SOUS-SEGMENT'!$C$8:$C$1000=$C33)*'ANALYSE - ERP =&gt; SOUS-SEGMENT'!$Q$8:$Q$1000*'ANALYSE - ERP =&gt; SOUS-SEGMENT'!$DT$8:$DT$1000),""))</f>
        <v>8</v>
      </c>
      <c r="CX33" s="809">
        <f>IF($C33="","",IFERROR(SUMPRODUCT(('ANALYSE - ERP =&gt; SOUS-SEGMENT'!$C$8:$C$1000=$C33)*'ANALYSE - ERP =&gt; SOUS-SEGMENT'!$Q$8:$Q$1000*'ANALYSE - ERP =&gt; SOUS-SEGMENT'!$DU$8:$DU$1000*'ANALYSE - ERP =&gt; SOUS-SEGMENT'!$CX$8:$CX$1000)/SUMPRODUCT(('ANALYSE - ERP =&gt; SOUS-SEGMENT'!$C$8:$C$1000=$C33)*'ANALYSE - ERP =&gt; SOUS-SEGMENT'!$Q$8:$Q$1000*'ANALYSE - ERP =&gt; SOUS-SEGMENT'!$DU$8:$DU$1000),""))</f>
        <v>7</v>
      </c>
      <c r="CY33" s="807">
        <f>IF($C33="","",IFERROR(SUMPRODUCT(('ANALYSE - ERP =&gt; SOUS-SEGMENT'!$C$8:$C$1000=$C33)*'ANALYSE - ERP =&gt; SOUS-SEGMENT'!$Q$8:$Q$1000*'ANALYSE - ERP =&gt; SOUS-SEGMENT'!$EB$8:$EB$1000*'ANALYSE - ERP =&gt; SOUS-SEGMENT'!$CY$8:$CY$1000)/SUMPRODUCT(('ANALYSE - ERP =&gt; SOUS-SEGMENT'!$C$8:$C$1000=$C33)*'ANALYSE - ERP =&gt; SOUS-SEGMENT'!$Q$8:$Q$1000*'ANALYSE - ERP =&gt; SOUS-SEGMENT'!$EB$8:$EB$1000),""))</f>
        <v>9.9024390243902438</v>
      </c>
      <c r="CZ33" s="808">
        <f>IF($C33="","",IFERROR(SUMPRODUCT(('ANALYSE - ERP =&gt; SOUS-SEGMENT'!$C$8:$C$1000=$C33)*'ANALYSE - ERP =&gt; SOUS-SEGMENT'!$Q$8:$Q$1000*'ANALYSE - ERP =&gt; SOUS-SEGMENT'!$EC$8:$EC$1000*'ANALYSE - ERP =&gt; SOUS-SEGMENT'!$CZ$8:$CZ$1000)/SUMPRODUCT(('ANALYSE - ERP =&gt; SOUS-SEGMENT'!$C$8:$C$1000=$C33)*'ANALYSE - ERP =&gt; SOUS-SEGMENT'!$Q$8:$Q$1000*'ANALYSE - ERP =&gt; SOUS-SEGMENT'!$EC$8:$EC$1000),""))</f>
        <v>11.203448081582062</v>
      </c>
      <c r="DA33" s="808">
        <f>IF($C33="","",IFERROR(SUMPRODUCT(('ANALYSE - ERP =&gt; SOUS-SEGMENT'!$C$8:$C$1000=$C33)*'ANALYSE - ERP =&gt; SOUS-SEGMENT'!$Q$8:$Q$1000*'ANALYSE - ERP =&gt; SOUS-SEGMENT'!$ED$8:$ED$1000*'ANALYSE - ERP =&gt; SOUS-SEGMENT'!$DA$8:$DA$1000)/SUMPRODUCT(('ANALYSE - ERP =&gt; SOUS-SEGMENT'!$C$8:$C$1000=$C33)*'ANALYSE - ERP =&gt; SOUS-SEGMENT'!$Q$8:$Q$1000*'ANALYSE - ERP =&gt; SOUS-SEGMENT'!$ED$8:$ED$1000),""))</f>
        <v>8.0361090641120114</v>
      </c>
      <c r="DB33" s="809">
        <f>IF($C33="","",IFERROR(SUMPRODUCT(('ANALYSE - ERP =&gt; SOUS-SEGMENT'!$C$8:$C$1000=$C33)*'ANALYSE - ERP =&gt; SOUS-SEGMENT'!$Q$8:$Q$1000*'ANALYSE - ERP =&gt; SOUS-SEGMENT'!$EE$8:$EE$1000*'ANALYSE - ERP =&gt; SOUS-SEGMENT'!$DB$8:$DB$1000)/SUMPRODUCT(('ANALYSE - ERP =&gt; SOUS-SEGMENT'!$C$8:$C$1000=$C33)*'ANALYSE - ERP =&gt; SOUS-SEGMENT'!$Q$8:$Q$1000*'ANALYSE - ERP =&gt; SOUS-SEGMENT'!$EE$8:$EE$1000),""))</f>
        <v>9.7189206904085648</v>
      </c>
      <c r="DC33" s="807">
        <f>IF($C33="","",IFERROR(SUMPRODUCT(('ANALYSE - ERP =&gt; SOUS-SEGMENT'!$C$8:$C$1000=$C33)*'ANALYSE - ERP =&gt; SOUS-SEGMENT'!$Q$8:$Q$1000*'ANALYSE - ERP =&gt; SOUS-SEGMENT'!$EM$8:$EM$1000*'ANALYSE - ERP =&gt; SOUS-SEGMENT'!$DC$8:$DC$1000)/SUMPRODUCT(('ANALYSE - ERP =&gt; SOUS-SEGMENT'!$C$8:$C$1000=$C33)*'ANALYSE - ERP =&gt; SOUS-SEGMENT'!$Q$8:$Q$1000*'ANALYSE - ERP =&gt; SOUS-SEGMENT'!$EM$8:$EM$1000),""))</f>
        <v>12.749386812869716</v>
      </c>
      <c r="DD33" s="808">
        <f>IF($C33="","",IFERROR(SUMPRODUCT(('ANALYSE - ERP =&gt; SOUS-SEGMENT'!$C$8:$C$1000=$C33)*'ANALYSE - ERP =&gt; SOUS-SEGMENT'!$Q$8:$Q$1000*'ANALYSE - ERP =&gt; SOUS-SEGMENT'!$EN$8:$EN$1000*'ANALYSE - ERP =&gt; SOUS-SEGMENT'!$DD$8:$DD$1000)/SUMPRODUCT(('ANALYSE - ERP =&gt; SOUS-SEGMENT'!$C$8:$C$1000=$C33)*'ANALYSE - ERP =&gt; SOUS-SEGMENT'!$Q$8:$Q$1000*'ANALYSE - ERP =&gt; SOUS-SEGMENT'!$EN$8:$EN$1000),""))</f>
        <v>12.073410452499932</v>
      </c>
      <c r="DE33" s="809">
        <f>IF($C33="","",IFERROR(SUMPRODUCT(('ANALYSE - ERP =&gt; SOUS-SEGMENT'!$C$8:$C$1000=$C33)*'ANALYSE - ERP =&gt; SOUS-SEGMENT'!$Q$8:$Q$1000*'ANALYSE - ERP =&gt; SOUS-SEGMENT'!$EO$8:$EO$1000*'ANALYSE - ERP =&gt; SOUS-SEGMENT'!$DE$8:$DE$1000)/SUMPRODUCT(('ANALYSE - ERP =&gt; SOUS-SEGMENT'!$C$8:$C$1000=$C33)*'ANALYSE - ERP =&gt; SOUS-SEGMENT'!$Q$8:$Q$1000*'ANALYSE - ERP =&gt; SOUS-SEGMENT'!$EO$8:$EO$1000),""))</f>
        <v>8.8512018574160063</v>
      </c>
      <c r="DF33" s="921" t="s">
        <v>6048</v>
      </c>
      <c r="DG33" s="657"/>
      <c r="DH33" s="288">
        <f>IF($C33="","",SUMPRODUCT(('ANALYSE - ERP =&gt; SOUS-SEGMENT'!$C$8:$C$1000=$C33)*'ANALYSE - ERP =&gt; SOUS-SEGMENT'!$Q$8:$Q$1000*'ANALYSE - ERP =&gt; SOUS-SEGMENT'!$DH$8:$DH$1000))</f>
        <v>11058.5</v>
      </c>
      <c r="DI33" s="288">
        <f>IF($C33="","",SUMPRODUCT(('ANALYSE - ERP =&gt; SOUS-SEGMENT'!$C$8:$C$1000=$C33)*'ANALYSE - ERP =&gt; SOUS-SEGMENT'!$Q$8:$Q$1000*'ANALYSE - ERP =&gt; SOUS-SEGMENT'!$DI$8:$DI$1000))</f>
        <v>32924.299999999996</v>
      </c>
      <c r="DJ33" s="288">
        <f>IF($C33="","",SUMPRODUCT(('ANALYSE - ERP =&gt; SOUS-SEGMENT'!$C$8:$C$1000=$C33)*'ANALYSE - ERP =&gt; SOUS-SEGMENT'!$Q$8:$Q$1000*'ANALYSE - ERP =&gt; SOUS-SEGMENT'!$DJ$8:$DJ$1000))</f>
        <v>4456.9000000000005</v>
      </c>
      <c r="DK33" s="288">
        <f>IF($C33="","",SUMPRODUCT(('ANALYSE - ERP =&gt; SOUS-SEGMENT'!$C$8:$C$1000=$C33)*'ANALYSE - ERP =&gt; SOUS-SEGMENT'!$Q$8:$Q$1000*'ANALYSE - ERP =&gt; SOUS-SEGMENT'!$DK$8:$DK$1000))</f>
        <v>2640.2999999999997</v>
      </c>
      <c r="DL33" s="922" t="s">
        <v>6049</v>
      </c>
      <c r="DM33" s="288">
        <f>IF($C33="","",SUMPRODUCT(('ANALYSE - ERP =&gt; SOUS-SEGMENT'!$C$8:$C$1000=$C33)*'ANALYSE - ERP =&gt; SOUS-SEGMENT'!$Q$8:$Q$1000*'ANALYSE - ERP =&gt; SOUS-SEGMENT'!$DM$8:$DM$1000))</f>
        <v>9535.8599999999988</v>
      </c>
      <c r="DN33" s="288">
        <f>IF($C33="","",SUMPRODUCT(('ANALYSE - ERP =&gt; SOUS-SEGMENT'!$C$8:$C$1000=$C33)*'ANALYSE - ERP =&gt; SOUS-SEGMENT'!$Q$8:$Q$1000*'ANALYSE - ERP =&gt; SOUS-SEGMENT'!$DN$8:$DN$1000))</f>
        <v>34039.86</v>
      </c>
      <c r="DO33" s="288">
        <f>IF($C33="","",SUMPRODUCT(('ANALYSE - ERP =&gt; SOUS-SEGMENT'!$C$8:$C$1000=$C33)*'ANALYSE - ERP =&gt; SOUS-SEGMENT'!$Q$8:$Q$1000*'ANALYSE - ERP =&gt; SOUS-SEGMENT'!$DO$8:$DO$1000))</f>
        <v>6227.4</v>
      </c>
      <c r="DP33" s="288">
        <f>IF($C33="","",SUMPRODUCT(('ANALYSE - ERP =&gt; SOUS-SEGMENT'!$C$8:$C$1000=$C33)*'ANALYSE - ERP =&gt; SOUS-SEGMENT'!$Q$8:$Q$1000*'ANALYSE - ERP =&gt; SOUS-SEGMENT'!$DP$8:$DP$1000))</f>
        <v>2507.88</v>
      </c>
      <c r="DQ33" s="922" t="s">
        <v>6050</v>
      </c>
      <c r="DR33" s="657"/>
      <c r="DS33" s="288">
        <f>IF($C33="","",SUMPRODUCT(('ANALYSE - ERP =&gt; SOUS-SEGMENT'!$C$8:$C$1000=$C33)*'ANALYSE - ERP =&gt; SOUS-SEGMENT'!$Q$8:$Q$1000*'ANALYSE - ERP =&gt; SOUS-SEGMENT'!$DS$8:$DS$1000))</f>
        <v>120</v>
      </c>
      <c r="DT33" s="288">
        <f>IF($C33="","",SUMPRODUCT(('ANALYSE - ERP =&gt; SOUS-SEGMENT'!$C$8:$C$1000=$C33)*'ANALYSE - ERP =&gt; SOUS-SEGMENT'!$Q$8:$Q$1000*'ANALYSE - ERP =&gt; SOUS-SEGMENT'!$DT$8:$DT$1000))</f>
        <v>640</v>
      </c>
      <c r="DU33" s="288">
        <f>IF($C33="","",SUMPRODUCT(('ANALYSE - ERP =&gt; SOUS-SEGMENT'!$C$8:$C$1000=$C33)*'ANALYSE - ERP =&gt; SOUS-SEGMENT'!$Q$8:$Q$1000*'ANALYSE - ERP =&gt; SOUS-SEGMENT'!$DU$8:$DU$1000))</f>
        <v>40</v>
      </c>
      <c r="DV33" s="922" t="s">
        <v>6051</v>
      </c>
      <c r="DW33" s="288">
        <f>IF($C33="","",SUMPRODUCT(('ANALYSE - ERP =&gt; SOUS-SEGMENT'!$C$8:$C$1000=$C33)*'ANALYSE - ERP =&gt; SOUS-SEGMENT'!$Q$8:$Q$1000*'ANALYSE - ERP =&gt; SOUS-SEGMENT'!$DW$8:$DW$1000))</f>
        <v>90</v>
      </c>
      <c r="DX33" s="288">
        <f>IF($C33="","",SUMPRODUCT(('ANALYSE - ERP =&gt; SOUS-SEGMENT'!$C$8:$C$1000=$C33)*'ANALYSE - ERP =&gt; SOUS-SEGMENT'!$Q$8:$Q$1000*'ANALYSE - ERP =&gt; SOUS-SEGMENT'!$DX$8:$DX$1000))</f>
        <v>615</v>
      </c>
      <c r="DY33" s="288">
        <f>IF($C33="","",SUMPRODUCT(('ANALYSE - ERP =&gt; SOUS-SEGMENT'!$C$8:$C$1000=$C33)*'ANALYSE - ERP =&gt; SOUS-SEGMENT'!$Q$8:$Q$1000*'ANALYSE - ERP =&gt; SOUS-SEGMENT'!$DY$8:$DY$1000))</f>
        <v>45</v>
      </c>
      <c r="DZ33" s="922" t="s">
        <v>6052</v>
      </c>
      <c r="EA33" s="657"/>
      <c r="EB33" s="288">
        <f>IF($C33="","",SUMPRODUCT(('ANALYSE - ERP =&gt; SOUS-SEGMENT'!$C$8:$C$1000=$C33)*'ANALYSE - ERP =&gt; SOUS-SEGMENT'!$Q$8:$Q$1000*'ANALYSE - ERP =&gt; SOUS-SEGMENT'!$EB$8:$EB$1000))</f>
        <v>676.5</v>
      </c>
      <c r="EC33" s="288">
        <f>IF($C33="","",SUMPRODUCT(('ANALYSE - ERP =&gt; SOUS-SEGMENT'!$C$8:$C$1000=$C33)*'ANALYSE - ERP =&gt; SOUS-SEGMENT'!$Q$8:$Q$1000*'ANALYSE - ERP =&gt; SOUS-SEGMENT'!$EC$8:$EC$1000))</f>
        <v>4437.25</v>
      </c>
      <c r="ED33" s="288">
        <f>IF($C33="","",SUMPRODUCT(('ANALYSE - ERP =&gt; SOUS-SEGMENT'!$C$8:$C$1000=$C33)*'ANALYSE - ERP =&gt; SOUS-SEGMENT'!$Q$8:$Q$1000*'ANALYSE - ERP =&gt; SOUS-SEGMENT'!$ED$8:$ED$1000))</f>
        <v>1017.75</v>
      </c>
      <c r="EE33" s="288">
        <f>IF($C33="","",SUMPRODUCT(('ANALYSE - ERP =&gt; SOUS-SEGMENT'!$C$8:$C$1000=$C33)*'ANALYSE - ERP =&gt; SOUS-SEGMENT'!$Q$8:$Q$1000*'ANALYSE - ERP =&gt; SOUS-SEGMENT'!$EE$8:$EE$1000))</f>
        <v>2288.5</v>
      </c>
      <c r="EF33" s="922" t="s">
        <v>6053</v>
      </c>
      <c r="EG33" s="288">
        <f>IF($C33="","",SUMPRODUCT(('ANALYSE - ERP =&gt; SOUS-SEGMENT'!$C$8:$C$1000=$C33)*'ANALYSE - ERP =&gt; SOUS-SEGMENT'!$Q$8:$Q$1000*'ANALYSE - ERP =&gt; SOUS-SEGMENT'!$EG$8:$EG$1000))</f>
        <v>565.5</v>
      </c>
      <c r="EH33" s="288">
        <f>IF($C33="","",SUMPRODUCT(('ANALYSE - ERP =&gt; SOUS-SEGMENT'!$C$8:$C$1000=$C33)*'ANALYSE - ERP =&gt; SOUS-SEGMENT'!$Q$8:$Q$1000*'ANALYSE - ERP =&gt; SOUS-SEGMENT'!$EH$8:$EH$1000))</f>
        <v>4551</v>
      </c>
      <c r="EI33" s="288">
        <f>IF($C33="","",SUMPRODUCT(('ANALYSE - ERP =&gt; SOUS-SEGMENT'!$C$8:$C$1000=$C33)*'ANALYSE - ERP =&gt; SOUS-SEGMENT'!$Q$8:$Q$1000*'ANALYSE - ERP =&gt; SOUS-SEGMENT'!$EI$8:$EI$1000))</f>
        <v>1248.4799999999998</v>
      </c>
      <c r="EJ33" s="288">
        <f>IF($C33="","",SUMPRODUCT(('ANALYSE - ERP =&gt; SOUS-SEGMENT'!$C$8:$C$1000=$C33)*'ANALYSE - ERP =&gt; SOUS-SEGMENT'!$Q$8:$Q$1000*'ANALYSE - ERP =&gt; SOUS-SEGMENT'!$EJ$8:$EJ$1000))</f>
        <v>2266.0199999999995</v>
      </c>
      <c r="EK33" s="922" t="s">
        <v>6054</v>
      </c>
      <c r="EL33" s="657"/>
      <c r="EM33" s="288">
        <f>IF($C33="","",SUMPRODUCT(('ANALYSE - ERP =&gt; SOUS-SEGMENT'!$C$8:$C$1000=$C33)*'ANALYSE - ERP =&gt; SOUS-SEGMENT'!$Q$8:$Q$1000*'ANALYSE - ERP =&gt; SOUS-SEGMENT'!$EM$8:$EM$1000))</f>
        <v>17327.5</v>
      </c>
      <c r="EN33" s="291">
        <f>IF($C33="","",SUMPRODUCT(('ANALYSE - ERP =&gt; SOUS-SEGMENT'!$C$8:$C$1000=$C33)*'ANALYSE - ERP =&gt; SOUS-SEGMENT'!$Q$8:$Q$1000*'ANALYSE - ERP =&gt; SOUS-SEGMENT'!$EN$8:$EN$1000))</f>
        <v>18110.5</v>
      </c>
      <c r="EO33" s="291">
        <f>IF($C33="","",SUMPRODUCT(('ANALYSE - ERP =&gt; SOUS-SEGMENT'!$C$8:$C$1000=$C33)*'ANALYSE - ERP =&gt; SOUS-SEGMENT'!$Q$8:$Q$1000*'ANALYSE - ERP =&gt; SOUS-SEGMENT'!$EO$8:$EO$1000))</f>
        <v>7322</v>
      </c>
      <c r="EP33" s="922" t="s">
        <v>6055</v>
      </c>
      <c r="EQ33" s="288">
        <f>IF($C33="","",SUMPRODUCT(('ANALYSE - ERP =&gt; SOUS-SEGMENT'!$C$8:$C$1000=$C33)*'ANALYSE - ERP =&gt; SOUS-SEGMENT'!$Q$8:$Q$1000*'ANALYSE - ERP =&gt; SOUS-SEGMENT'!$EQ$8:$EQ$1000))</f>
        <v>13706.97</v>
      </c>
      <c r="ER33" s="291">
        <f>IF($C33="","",SUMPRODUCT(('ANALYSE - ERP =&gt; SOUS-SEGMENT'!$C$8:$C$1000=$C33)*'ANALYSE - ERP =&gt; SOUS-SEGMENT'!$Q$8:$Q$1000*'ANALYSE - ERP =&gt; SOUS-SEGMENT'!$ER$8:$ER$1000))</f>
        <v>19851.28</v>
      </c>
      <c r="ES33" s="291">
        <f>IF($C33="","",SUMPRODUCT(('ANALYSE - ERP =&gt; SOUS-SEGMENT'!$C$8:$C$1000=$C33)*'ANALYSE - ERP =&gt; SOUS-SEGMENT'!$Q$8:$Q$1000*'ANALYSE - ERP =&gt; SOUS-SEGMENT'!$ES$8:$ES$1000))</f>
        <v>10032.75</v>
      </c>
      <c r="ET33" s="922" t="s">
        <v>6056</v>
      </c>
      <c r="EU33" s="657"/>
      <c r="EV33" s="740">
        <f t="shared" si="31"/>
        <v>0.80421154978546394</v>
      </c>
      <c r="EW33" s="740">
        <f t="shared" si="32"/>
        <v>0.195788450214536</v>
      </c>
      <c r="EX33" s="563">
        <f t="shared" si="33"/>
        <v>38579.507584453051</v>
      </c>
      <c r="EY33" s="563">
        <f t="shared" si="34"/>
        <v>31026.085584453049</v>
      </c>
      <c r="EZ33" s="563">
        <f t="shared" si="35"/>
        <v>7553.4220000000005</v>
      </c>
      <c r="FA33" s="563">
        <f t="shared" si="36"/>
        <v>18797.159994605394</v>
      </c>
      <c r="FB33" s="563">
        <f>IF($C33="","",SUMPRODUCT(('ANALYSE - ERP =&gt; SOUS-SEGMENT'!$C$8:$C$1000=$C33)*'ANALYSE - ERP =&gt; SOUS-SEGMENT'!$Q$8:$Q$1000*'ANALYSE - ERP =&gt; SOUS-SEGMENT'!$FB$8:$FB$1000))</f>
        <v>14990.363994605394</v>
      </c>
      <c r="FC33" s="563">
        <f>IF($C33="","",SUMPRODUCT(('ANALYSE - ERP =&gt; SOUS-SEGMENT'!$C$8:$C$1000=$C33)*'ANALYSE - ERP =&gt; SOUS-SEGMENT'!$Q$8:$Q$1000*'ANALYSE - ERP =&gt; SOUS-SEGMENT'!$FC$8:$FC$1000))</f>
        <v>3806.7960000000003</v>
      </c>
      <c r="FD33" s="563">
        <f t="shared" si="37"/>
        <v>426.62874999999997</v>
      </c>
      <c r="FE33" s="563">
        <f>IF($C33="","",SUMPRODUCT(('ANALYSE - ERP =&gt; SOUS-SEGMENT'!$C$8:$C$1000=$C33)*'ANALYSE - ERP =&gt; SOUS-SEGMENT'!$Q$8:$Q$1000*'ANALYSE - ERP =&gt; SOUS-SEGMENT'!$FE$8:$FE$1000))</f>
        <v>395.66874999999999</v>
      </c>
      <c r="FF33" s="563">
        <f>IF($C33="","",SUMPRODUCT(('ANALYSE - ERP =&gt; SOUS-SEGMENT'!$C$8:$C$1000=$C33)*'ANALYSE - ERP =&gt; SOUS-SEGMENT'!$Q$8:$Q$1000*'ANALYSE - ERP =&gt; SOUS-SEGMENT'!$FF$8:$FF$1000))</f>
        <v>30.959999999999997</v>
      </c>
      <c r="FG33" s="563">
        <f t="shared" si="38"/>
        <v>3494.1054662212782</v>
      </c>
      <c r="FH33" s="563">
        <f>IF($C33="","",SUMPRODUCT(('ANALYSE - ERP =&gt; SOUS-SEGMENT'!$C$8:$C$1000=$C33)*'ANALYSE - ERP =&gt; SOUS-SEGMENT'!$Q$8:$Q$1000*'ANALYSE - ERP =&gt; SOUS-SEGMENT'!$FH$8:$FH$1000))</f>
        <v>2863.2514662212784</v>
      </c>
      <c r="FI33" s="563">
        <f>IF($C33="","",SUMPRODUCT(('ANALYSE - ERP =&gt; SOUS-SEGMENT'!$C$8:$C$1000=$C33)*'ANALYSE - ERP =&gt; SOUS-SEGMENT'!$Q$8:$Q$1000*'ANALYSE - ERP =&gt; SOUS-SEGMENT'!$FI$8:$FI$1000))</f>
        <v>630.85399999999993</v>
      </c>
      <c r="FJ33" s="563">
        <f t="shared" si="39"/>
        <v>15861.613373626375</v>
      </c>
      <c r="FK33" s="563">
        <f>IF($C33="","",SUMPRODUCT(('ANALYSE - ERP =&gt; SOUS-SEGMENT'!$C$8:$C$1000=$C33)*'ANALYSE - ERP =&gt; SOUS-SEGMENT'!$Q$8:$Q$1000*'ANALYSE - ERP =&gt; SOUS-SEGMENT'!$FK$8:$FK$1000))</f>
        <v>12776.801373626375</v>
      </c>
      <c r="FL33" s="563">
        <f>IF($C33="","",SUMPRODUCT(('ANALYSE - ERP =&gt; SOUS-SEGMENT'!$C$8:$C$1000=$C33)*'ANALYSE - ERP =&gt; SOUS-SEGMENT'!$Q$8:$Q$1000*'ANALYSE - ERP =&gt; SOUS-SEGMENT'!$FL$8:$FL$1000))</f>
        <v>3084.8119999999999</v>
      </c>
      <c r="FM33" s="529"/>
      <c r="FN33" s="961" t="s">
        <v>2649</v>
      </c>
      <c r="FO33" s="740">
        <f>IF($C33="","",IFERROR(SUMPRODUCT(('ANALYSE - ERP =&gt; SOUS-SEGMENT'!$C$8:$C$1000=$C33)*'ANALYSE - ERP =&gt; SOUS-SEGMENT'!$Q$8:$Q$1000*'ANALYSE - ERP =&gt; SOUS-SEGMENT'!$AF$8:$AF$1000*'ANALYSE - ERP =&gt; SOUS-SEGMENT'!$FO$8:$FO$1000)/SUMPRODUCT(('ANALYSE - ERP =&gt; SOUS-SEGMENT'!$C$8:$C$1000=$C33)*'ANALYSE - ERP =&gt; SOUS-SEGMENT'!$Q$8:$Q$1000*'ANALYSE - ERP =&gt; SOUS-SEGMENT'!$AF$8:$AF$1000),""))</f>
        <v>3.8699999999999998E-2</v>
      </c>
      <c r="FP33" s="741">
        <f>IF($C33="","",IFERROR(SUMPRODUCT(('ANALYSE - ERP =&gt; SOUS-SEGMENT'!$C$8:$C$1000=$C33)*'ANALYSE - ERP =&gt; SOUS-SEGMENT'!$Q$8:$Q$1000*'ANALYSE - ERP =&gt; SOUS-SEGMENT'!$AF$8:$AF$1000*'ANALYSE - ERP =&gt; SOUS-SEGMENT'!$FP$8:$FP$1000)/SUMPRODUCT(('ANALYSE - ERP =&gt; SOUS-SEGMENT'!$C$8:$C$1000=$C33)*'ANALYSE - ERP =&gt; SOUS-SEGMENT'!$Q$8:$Q$1000*'ANALYSE - ERP =&gt; SOUS-SEGMENT'!$AF$8:$AF$1000),""))</f>
        <v>0.74</v>
      </c>
      <c r="FQ33" s="961" t="s">
        <v>4591</v>
      </c>
      <c r="FR33" s="529"/>
      <c r="FS33" s="867">
        <f>IF($C33="","",IFERROR(SUMPRODUCT(('ANALYSE - ERP =&gt; SOUS-SEGMENT'!$C$8:$C$1000=$C33)*'ANALYSE - ERP =&gt; SOUS-SEGMENT'!$Q$8:$Q$1000*'ANALYSE - ERP =&gt; SOUS-SEGMENT'!$EX$8:$EX$1000*'ANALYSE - ERP =&gt; SOUS-SEGMENT'!$FS$8:$FS$1000)/SUMPRODUCT(('ANALYSE - ERP =&gt; SOUS-SEGMENT'!$C$8:$C$1000=$C33)*'ANALYSE - ERP =&gt; SOUS-SEGMENT'!$Q$8:$Q$1000*'ANALYSE - ERP =&gt; SOUS-SEGMENT'!$EX$8:$EX$1000),""))</f>
        <v>2.61</v>
      </c>
      <c r="FT33" s="566">
        <f>IF($C33="","",RANK($FS33,$FS$8:$FS$43,0)+COUNTIF($FS$8:$FS33,$FS33)-1)</f>
        <v>33</v>
      </c>
      <c r="FU33" s="867">
        <f>IF($C33="","",IFERROR(SUMPRODUCT(('ANALYSE - ERP =&gt; SOUS-SEGMENT'!$C$8:$C$1000=$C33)*'ANALYSE - ERP =&gt; SOUS-SEGMENT'!$Q$8:$Q$1000*'ANALYSE - ERP =&gt; SOUS-SEGMENT'!$EY$8:$EY$1000*'ANALYSE - ERP =&gt; SOUS-SEGMENT'!$FU$8:$FU$1000)/SUMPRODUCT(('ANALYSE - ERP =&gt; SOUS-SEGMENT'!$C$8:$C$1000=$C33)*'ANALYSE - ERP =&gt; SOUS-SEGMENT'!$Q$8:$Q$1000*'ANALYSE - ERP =&gt; SOUS-SEGMENT'!$EY$8:$EY$1000),""))</f>
        <v>3.2299999999999991</v>
      </c>
      <c r="FV33" s="566">
        <f>IF($C33="","",RANK($FU33,$FU$8:$FU$43,0)+COUNTIF($FU$8:$FU33,$FU33)-1)</f>
        <v>33</v>
      </c>
      <c r="FW33" s="867">
        <f>IF($C33="","",IFERROR(SUMPRODUCT(('ANALYSE - ERP =&gt; SOUS-SEGMENT'!$C$8:$C$1000=$C33)*'ANALYSE - ERP =&gt; SOUS-SEGMENT'!$Q$8:$Q$1000*'ANALYSE - ERP =&gt; SOUS-SEGMENT'!$EZ$8:$EZ$1000*'ANALYSE - ERP =&gt; SOUS-SEGMENT'!$FW$8:$FW$1000)/SUMPRODUCT(('ANALYSE - ERP =&gt; SOUS-SEGMENT'!$C$8:$C$1000=$C33)*'ANALYSE - ERP =&gt; SOUS-SEGMENT'!$Q$8:$Q$1000*'ANALYSE - ERP =&gt; SOUS-SEGMENT'!$EZ$8:$EZ$1000),""))</f>
        <v>1.51</v>
      </c>
      <c r="FX33" s="566">
        <f>IF($C33="","",RANK($FW33,$FW$8:$FW$43,0)+COUNTIF($FW$8:$FW33,$FW33)-1)</f>
        <v>33</v>
      </c>
      <c r="FY33" s="529"/>
      <c r="FZ33" s="922" t="s">
        <v>4592</v>
      </c>
      <c r="GA33" s="922" t="s">
        <v>6057</v>
      </c>
      <c r="GB33" s="922" t="s">
        <v>2653</v>
      </c>
      <c r="GC33" s="922" t="s">
        <v>2654</v>
      </c>
      <c r="GD33" s="922" t="s">
        <v>2876</v>
      </c>
      <c r="GE33" s="922" t="s">
        <v>2656</v>
      </c>
      <c r="GF33" s="923" t="s">
        <v>5833</v>
      </c>
      <c r="GG33" s="529"/>
      <c r="GH33" s="563">
        <f t="shared" si="40"/>
        <v>3833.6551761538458</v>
      </c>
      <c r="GI33" s="563">
        <f>IF($C33="","",SUMPRODUCT(('ANALYSE - ERP =&gt; SOUS-SEGMENT'!$C$8:$C$1000=$C33)*'ANALYSE - ERP =&gt; SOUS-SEGMENT'!$Q$8:$Q$1000*'ANALYSE - ERP =&gt; SOUS-SEGMENT'!$GI$8:$GI$1000))</f>
        <v>3157.7530461538458</v>
      </c>
      <c r="GJ33" s="563">
        <f>IF($C33="","",SUMPRODUCT(('ANALYSE - ERP =&gt; SOUS-SEGMENT'!$C$8:$C$1000=$C33)*'ANALYSE - ERP =&gt; SOUS-SEGMENT'!$Q$8:$Q$1000*'ANALYSE - ERP =&gt; SOUS-SEGMENT'!$GJ$8:$GJ$1000))</f>
        <v>675.90213000000006</v>
      </c>
      <c r="GK33" s="563">
        <f t="shared" si="41"/>
        <v>11731.474708451547</v>
      </c>
      <c r="GL33" s="563">
        <f>IF($C33="","",SUMPRODUCT(('ANALYSE - ERP =&gt; SOUS-SEGMENT'!$C$8:$C$1000=$C33)*'ANALYSE - ERP =&gt; SOUS-SEGMENT'!$Q$8:$Q$1000*'ANALYSE - ERP =&gt; SOUS-SEGMENT'!$GL$8:$GL$1000))</f>
        <v>9228.5065484515471</v>
      </c>
      <c r="GM33" s="563">
        <f>IF($C33="","",SUMPRODUCT(('ANALYSE - ERP =&gt; SOUS-SEGMENT'!$C$8:$C$1000=$C33)*'ANALYSE - ERP =&gt; SOUS-SEGMENT'!$Q$8:$Q$1000*'ANALYSE - ERP =&gt; SOUS-SEGMENT'!$GM$8:$GM$1000))</f>
        <v>2502.9681599999999</v>
      </c>
      <c r="GN33" s="563">
        <f t="shared" si="42"/>
        <v>2202.8369499999999</v>
      </c>
      <c r="GO33" s="563">
        <f>IF($C33="","",SUMPRODUCT(('ANALYSE - ERP =&gt; SOUS-SEGMENT'!$C$8:$C$1000=$C33)*'ANALYSE - ERP =&gt; SOUS-SEGMENT'!$Q$8:$Q$1000*'ANALYSE - ERP =&gt; SOUS-SEGMENT'!$GO$8:$GO$1000))</f>
        <v>1763.9380000000001</v>
      </c>
      <c r="GP33" s="563">
        <f>IF($C33="","",SUMPRODUCT(('ANALYSE - ERP =&gt; SOUS-SEGMENT'!$C$8:$C$1000=$C33)*'ANALYSE - ERP =&gt; SOUS-SEGMENT'!$Q$8:$Q$1000*'ANALYSE - ERP =&gt; SOUS-SEGMENT'!$GP$8:$GP$1000))</f>
        <v>438.89895000000001</v>
      </c>
      <c r="GQ33" s="563">
        <f t="shared" si="43"/>
        <v>1029.1931599999998</v>
      </c>
      <c r="GR33" s="563">
        <f>IF($C33="","",SUMPRODUCT(('ANALYSE - ERP =&gt; SOUS-SEGMENT'!$C$8:$C$1000=$C33)*'ANALYSE - ERP =&gt; SOUS-SEGMENT'!$Q$8:$Q$1000*'ANALYSE - ERP =&gt; SOUS-SEGMENT'!$GR$8:$GR$1000))</f>
        <v>840.16639999999995</v>
      </c>
      <c r="GS33" s="563">
        <f>IF($C33="","",SUMPRODUCT(('ANALYSE - ERP =&gt; SOUS-SEGMENT'!$C$8:$C$1000=$C33)*'ANALYSE - ERP =&gt; SOUS-SEGMENT'!$Q$8:$Q$1000*'ANALYSE - ERP =&gt; SOUS-SEGMENT'!$GS$8:$GS$1000))</f>
        <v>189.02675999999997</v>
      </c>
      <c r="GT33" s="563">
        <f t="shared" si="44"/>
        <v>62.683949999999996</v>
      </c>
      <c r="GU33" s="563">
        <f>IF($C33="","",SUMPRODUCT(('ANALYSE - ERP =&gt; SOUS-SEGMENT'!$C$8:$C$1000=$C33)*'ANALYSE - ERP =&gt; SOUS-SEGMENT'!$Q$8:$Q$1000*'ANALYSE - ERP =&gt; SOUS-SEGMENT'!$GU$8:$GU$1000))</f>
        <v>58.96875</v>
      </c>
      <c r="GV33" s="563">
        <f>IF($C33="","",SUMPRODUCT(('ANALYSE - ERP =&gt; SOUS-SEGMENT'!$C$8:$C$1000=$C33)*'ANALYSE - ERP =&gt; SOUS-SEGMENT'!$Q$8:$Q$1000*'ANALYSE - ERP =&gt; SOUS-SEGMENT'!$GV$8:$GV$1000))</f>
        <v>3.7151999999999994</v>
      </c>
      <c r="GW33" s="563">
        <f t="shared" si="45"/>
        <v>339.88720000000001</v>
      </c>
      <c r="GX33" s="563">
        <f>IF($C33="","",SUMPRODUCT(('ANALYSE - ERP =&gt; SOUS-SEGMENT'!$C$8:$C$1000=$C33)*'ANALYSE - ERP =&gt; SOUS-SEGMENT'!$Q$8:$Q$1000*'ANALYSE - ERP =&gt; SOUS-SEGMENT'!$GX$8:$GX$1000))</f>
        <v>314.5</v>
      </c>
      <c r="GY33" s="563">
        <f>IF($C33="","",SUMPRODUCT(('ANALYSE - ERP =&gt; SOUS-SEGMENT'!$C$8:$C$1000=$C33)*'ANALYSE - ERP =&gt; SOUS-SEGMENT'!$Q$8:$Q$1000*'ANALYSE - ERP =&gt; SOUS-SEGMENT'!$GY$8:$GY$1000))</f>
        <v>25.387199999999996</v>
      </c>
      <c r="GZ33" s="563">
        <f t="shared" si="46"/>
        <v>24.057600000000001</v>
      </c>
      <c r="HA33" s="563">
        <f>IF($C33="","",SUMPRODUCT(('ANALYSE - ERP =&gt; SOUS-SEGMENT'!$C$8:$C$1000=$C33)*'ANALYSE - ERP =&gt; SOUS-SEGMENT'!$Q$8:$Q$1000*'ANALYSE - ERP =&gt; SOUS-SEGMENT'!$HA$8:$HA$1000))</f>
        <v>22.2</v>
      </c>
      <c r="HB33" s="563">
        <f>IF($C33="","",SUMPRODUCT(('ANALYSE - ERP =&gt; SOUS-SEGMENT'!$C$8:$C$1000=$C33)*'ANALYSE - ERP =&gt; SOUS-SEGMENT'!$Q$8:$Q$1000*'ANALYSE - ERP =&gt; SOUS-SEGMENT'!$HB$8:$HB$1000))</f>
        <v>1.8575999999999997</v>
      </c>
      <c r="HC33" s="563">
        <f t="shared" si="47"/>
        <v>284.10812477272725</v>
      </c>
      <c r="HD33" s="563">
        <f>IF($C33="","",SUMPRODUCT(('ANALYSE - ERP =&gt; SOUS-SEGMENT'!$C$8:$C$1000=$C33)*'ANALYSE - ERP =&gt; SOUS-SEGMENT'!$Q$8:$Q$1000*'ANALYSE - ERP =&gt; SOUS-SEGMENT'!$HD$8:$HD$1000))</f>
        <v>244.39866477272724</v>
      </c>
      <c r="HE33" s="563">
        <f>IF($C33="","",SUMPRODUCT(('ANALYSE - ERP =&gt; SOUS-SEGMENT'!$C$8:$C$1000=$C33)*'ANALYSE - ERP =&gt; SOUS-SEGMENT'!$Q$8:$Q$1000*'ANALYSE - ERP =&gt; SOUS-SEGMENT'!$HE$8:$HE$1000))</f>
        <v>39.70946</v>
      </c>
      <c r="HF33" s="563">
        <f t="shared" si="48"/>
        <v>1687.4578634615384</v>
      </c>
      <c r="HG33" s="563">
        <f>IF($C33="","",SUMPRODUCT(('ANALYSE - ERP =&gt; SOUS-SEGMENT'!$C$8:$C$1000=$C33)*'ANALYSE - ERP =&gt; SOUS-SEGMENT'!$Q$8:$Q$1000*'ANALYSE - ERP =&gt; SOUS-SEGMENT'!$HG$8:$HG$1000))</f>
        <v>1354.2362884615384</v>
      </c>
      <c r="HH33" s="563">
        <f>IF($C33="","",SUMPRODUCT(('ANALYSE - ERP =&gt; SOUS-SEGMENT'!$C$8:$C$1000=$C33)*'ANALYSE - ERP =&gt; SOUS-SEGMENT'!$Q$8:$Q$1000*'ANALYSE - ERP =&gt; SOUS-SEGMENT'!$HH$8:$HH$1000))</f>
        <v>333.22157500000003</v>
      </c>
      <c r="HI33" s="563">
        <f t="shared" si="49"/>
        <v>543.39309071428568</v>
      </c>
      <c r="HJ33" s="563">
        <f>IF($C33="","",SUMPRODUCT(('ANALYSE - ERP =&gt; SOUS-SEGMENT'!$C$8:$C$1000=$C33)*'ANALYSE - ERP =&gt; SOUS-SEGMENT'!$Q$8:$Q$1000*'ANALYSE - ERP =&gt; SOUS-SEGMENT'!$HJ$8:$HJ$1000))</f>
        <v>454.22653571428566</v>
      </c>
      <c r="HK33" s="563">
        <f>IF($C33="","",SUMPRODUCT(('ANALYSE - ERP =&gt; SOUS-SEGMENT'!$C$8:$C$1000=$C33)*'ANALYSE - ERP =&gt; SOUS-SEGMENT'!$Q$8:$Q$1000*'ANALYSE - ERP =&gt; SOUS-SEGMENT'!$HK$8:$HK$1000))</f>
        <v>89.166554999999988</v>
      </c>
      <c r="HL33" s="563">
        <f t="shared" si="50"/>
        <v>979.14638727272722</v>
      </c>
      <c r="HM33" s="563">
        <f>IF($C33="","",SUMPRODUCT(('ANALYSE - ERP =&gt; SOUS-SEGMENT'!$C$8:$C$1000=$C33)*'ANALYSE - ERP =&gt; SOUS-SEGMENT'!$Q$8:$Q$1000*'ANALYSE - ERP =&gt; SOUS-SEGMENT'!$HM$8:$HM$1000))</f>
        <v>810.38997727272726</v>
      </c>
      <c r="HN33" s="563">
        <f>IF($C33="","",SUMPRODUCT(('ANALYSE - ERP =&gt; SOUS-SEGMENT'!$C$8:$C$1000=$C33)*'ANALYSE - ERP =&gt; SOUS-SEGMENT'!$Q$8:$Q$1000*'ANALYSE - ERP =&gt; SOUS-SEGMENT'!$HN$8:$HN$1000))</f>
        <v>168.75640999999996</v>
      </c>
      <c r="HO33" s="563">
        <f t="shared" si="51"/>
        <v>5708.7913186813194</v>
      </c>
      <c r="HP33" s="563">
        <f>IF($C33="","",SUMPRODUCT(('ANALYSE - ERP =&gt; SOUS-SEGMENT'!$C$8:$C$1000=$C33)*'ANALYSE - ERP =&gt; SOUS-SEGMENT'!$Q$8:$Q$1000*'ANALYSE - ERP =&gt; SOUS-SEGMENT'!$HP$8:$HP$1000))</f>
        <v>4766.6803186813195</v>
      </c>
      <c r="HQ33" s="563">
        <f>IF($C33="","",SUMPRODUCT(('ANALYSE - ERP =&gt; SOUS-SEGMENT'!$C$8:$C$1000=$C33)*'ANALYSE - ERP =&gt; SOUS-SEGMENT'!$Q$8:$Q$1000*'ANALYSE - ERP =&gt; SOUS-SEGMENT'!$HQ$8:$HQ$1000))</f>
        <v>942.11099999999988</v>
      </c>
      <c r="HR33" s="563">
        <f t="shared" si="52"/>
        <v>6512.2947649450543</v>
      </c>
      <c r="HS33" s="563">
        <f>IF($C33="","",SUMPRODUCT(('ANALYSE - ERP =&gt; SOUS-SEGMENT'!$C$8:$C$1000=$C33)*'ANALYSE - ERP =&gt; SOUS-SEGMENT'!$Q$8:$Q$1000*'ANALYSE - ERP =&gt; SOUS-SEGMENT'!$HS$8:$HS$1000))</f>
        <v>5074.8740549450549</v>
      </c>
      <c r="HT33" s="563">
        <f>IF($C33="","",SUMPRODUCT(('ANALYSE - ERP =&gt; SOUS-SEGMENT'!$C$8:$C$1000=$C33)*'ANALYSE - ERP =&gt; SOUS-SEGMENT'!$Q$8:$Q$1000*'ANALYSE - ERP =&gt; SOUS-SEGMENT'!$HT$8:$HT$1000))</f>
        <v>1437.4207099999999</v>
      </c>
      <c r="HU33" s="563">
        <f t="shared" si="53"/>
        <v>3640.52729</v>
      </c>
      <c r="HV33" s="563">
        <f>IF($C33="","",SUMPRODUCT(('ANALYSE - ERP =&gt; SOUS-SEGMENT'!$C$8:$C$1000=$C33)*'ANALYSE - ERP =&gt; SOUS-SEGMENT'!$Q$8:$Q$1000*'ANALYSE - ERP =&gt; SOUS-SEGMENT'!$HV$8:$HV$1000))</f>
        <v>2935.2469999999998</v>
      </c>
      <c r="HW33" s="563">
        <f>IF($C33="","",SUMPRODUCT(('ANALYSE - ERP =&gt; SOUS-SEGMENT'!$C$8:$C$1000=$C33)*'ANALYSE - ERP =&gt; SOUS-SEGMENT'!$Q$8:$Q$1000*'ANALYSE - ERP =&gt; SOUS-SEGMENT'!$HW$8:$HW$1000))</f>
        <v>705.28028999999992</v>
      </c>
      <c r="HX33" s="544"/>
      <c r="HY33" s="568">
        <f t="shared" si="54"/>
        <v>102820.00000000001</v>
      </c>
      <c r="HZ33" s="568">
        <f>IF($C33="","",SUMPRODUCT(('ANALYSE - ERP =&gt; SOUS-SEGMENT'!$C$8:$C$1000=$C33)*'ANALYSE - ERP =&gt; SOUS-SEGMENT'!$Q$8:$Q$1000*'ANALYSE - ERP =&gt; SOUS-SEGMENT'!$HZ$8:$HZ$1000))</f>
        <v>11012.603999999998</v>
      </c>
      <c r="IA33" s="568">
        <f>IF($C33="","",SUMPRODUCT(('ANALYSE - ERP =&gt; SOUS-SEGMENT'!$C$8:$C$1000=$C33)*'ANALYSE - ERP =&gt; SOUS-SEGMENT'!$Q$8:$Q$1000*'ANALYSE - ERP =&gt; SOUS-SEGMENT'!$IA$8:$IA$1000))</f>
        <v>55590.358000000007</v>
      </c>
      <c r="IB33" s="568">
        <f>IF($C33="","",SUMPRODUCT(('ANALYSE - ERP =&gt; SOUS-SEGMENT'!$C$8:$C$1000=$C33)*'ANALYSE - ERP =&gt; SOUS-SEGMENT'!$Q$8:$Q$1000*'ANALYSE - ERP =&gt; SOUS-SEGMENT'!$IB$8:$IB$1000))</f>
        <v>33513.738000000005</v>
      </c>
      <c r="IC33" s="568">
        <f>IF($C33="","",SUMPRODUCT(('ANALYSE - ERP =&gt; SOUS-SEGMENT'!$C$8:$C$1000=$C33)*'ANALYSE - ERP =&gt; SOUS-SEGMENT'!$Q$8:$Q$1000*'ANALYSE - ERP =&gt; SOUS-SEGMENT'!$IC$8:$IC$1000))</f>
        <v>2703.2999999999997</v>
      </c>
      <c r="ID33" s="568">
        <f>IF($C33="","",SUMPRODUCT(('ANALYSE - ERP =&gt; SOUS-SEGMENT'!$C$8:$C$1000=$C33)*'ANALYSE - ERP =&gt; SOUS-SEGMENT'!$Q$8:$Q$1000*'ANALYSE - ERP =&gt; SOUS-SEGMENT'!$ID$8:$ID$1000))</f>
        <v>0</v>
      </c>
      <c r="IE33" s="568">
        <f t="shared" si="55"/>
        <v>30921.935209453048</v>
      </c>
      <c r="IF33" s="568">
        <f>IF($C33="","",SUMPRODUCT(('ANALYSE - ERP =&gt; SOUS-SEGMENT'!$C$8:$C$1000=$C33)*'ANALYSE - ERP =&gt; SOUS-SEGMENT'!$Q$8:$Q$1000*'ANALYSE - ERP =&gt; SOUS-SEGMENT'!$IF$8:$IF$1000))</f>
        <v>2892.0385143886328</v>
      </c>
      <c r="IG33" s="568">
        <f>IF($C33="","",SUMPRODUCT(('ANALYSE - ERP =&gt; SOUS-SEGMENT'!$C$8:$C$1000=$C33)*'ANALYSE - ERP =&gt; SOUS-SEGMENT'!$Q$8:$Q$1000*'ANALYSE - ERP =&gt; SOUS-SEGMENT'!$IG$8:$IG$1000))</f>
        <v>16209.627075075383</v>
      </c>
      <c r="IH33" s="568">
        <f>IF($C33="","",SUMPRODUCT(('ANALYSE - ERP =&gt; SOUS-SEGMENT'!$C$8:$C$1000=$C33)*'ANALYSE - ERP =&gt; SOUS-SEGMENT'!$Q$8:$Q$1000*'ANALYSE - ERP =&gt; SOUS-SEGMENT'!$IH$8:$IH$1000))</f>
        <v>10478.204069440593</v>
      </c>
      <c r="II33" s="568">
        <f>IF($C33="","",SUMPRODUCT(('ANALYSE - ERP =&gt; SOUS-SEGMENT'!$C$8:$C$1000=$C33)*'ANALYSE - ERP =&gt; SOUS-SEGMENT'!$Q$8:$Q$1000*'ANALYSE - ERP =&gt; SOUS-SEGMENT'!$II$8:$II$1000))</f>
        <v>1243.115357878188</v>
      </c>
      <c r="IJ33" s="568">
        <f>IF($C33="","",SUMPRODUCT(('ANALYSE - ERP =&gt; SOUS-SEGMENT'!$C$8:$C$1000=$C33)*'ANALYSE - ERP =&gt; SOUS-SEGMENT'!$Q$8:$Q$1000*'ANALYSE - ERP =&gt; SOUS-SEGMENT'!$IJ$8:$IJ$1000))</f>
        <v>98.950192670249763</v>
      </c>
      <c r="IK33" s="868">
        <f>IF($C33="","",IFERROR(SUMPRODUCT(('ANALYSE - ERP =&gt; SOUS-SEGMENT'!$C$8:$C$1000=$C33)*'ANALYSE - ERP =&gt; SOUS-SEGMENT'!$Q$8:$Q$1000*'ANALYSE - ERP =&gt; SOUS-SEGMENT'!$IE$8:$IE$1000*'ANALYSE - ERP =&gt; SOUS-SEGMENT'!$IK$8:$IK$1000)/SUMPRODUCT(('ANALYSE - ERP =&gt; SOUS-SEGMENT'!$C$8:$C$1000=$C33)*'ANALYSE - ERP =&gt; SOUS-SEGMENT'!$Q$8:$Q$1000*'ANALYSE - ERP =&gt; SOUS-SEGMENT'!$IE$8:$IE$1000),""))</f>
        <v>3.9799999999999995</v>
      </c>
      <c r="IL33" s="962" t="s">
        <v>2626</v>
      </c>
      <c r="IM33" s="963" t="s">
        <v>6058</v>
      </c>
      <c r="IN33" s="529"/>
      <c r="IO33" s="742">
        <f>IF($C33="","",IFERROR(SUMPRODUCT(('ANALYSE - ERP =&gt; SOUS-SEGMENT'!$C$8:$C$1000=$C33)*'ANALYSE - ERP =&gt; SOUS-SEGMENT'!$Q$8:$Q$1000*'ANALYSE - ERP =&gt; SOUS-SEGMENT'!$BE$8:$BE$1000*'ANALYSE - ERP =&gt; SOUS-SEGMENT'!$IO$8:$IO$1000)/SUMPRODUCT(('ANALYSE - ERP =&gt; SOUS-SEGMENT'!$C$8:$C$1000=$C33)*'ANALYSE - ERP =&gt; SOUS-SEGMENT'!$Q$8:$Q$1000*'ANALYSE - ERP =&gt; SOUS-SEGMENT'!$BE$8:$BE$1000),""))</f>
        <v>0.1</v>
      </c>
      <c r="IP33" s="742">
        <f>IF($C33="","",IFERROR(SUMPRODUCT(('ANALYSE - ERP =&gt; SOUS-SEGMENT'!$C$8:$C$1000=$C33)*'ANALYSE - ERP =&gt; SOUS-SEGMENT'!$Q$8:$Q$1000*'ANALYSE - ERP =&gt; SOUS-SEGMENT'!$BE$8:$BE$1000*'ANALYSE - ERP =&gt; SOUS-SEGMENT'!$IP$8:$IP$1000)/SUMPRODUCT(('ANALYSE - ERP =&gt; SOUS-SEGMENT'!$C$8:$C$1000=$C33)*'ANALYSE - ERP =&gt; SOUS-SEGMENT'!$Q$8:$Q$1000*'ANALYSE - ERP =&gt; SOUS-SEGMENT'!$BE$8:$BE$1000),""))</f>
        <v>0.53</v>
      </c>
      <c r="IQ33" s="742">
        <f>IF($C33="","",IFERROR(SUMPRODUCT(('ANALYSE - ERP =&gt; SOUS-SEGMENT'!$C$8:$C$1000=$C33)*'ANALYSE - ERP =&gt; SOUS-SEGMENT'!$Q$8:$Q$1000*'ANALYSE - ERP =&gt; SOUS-SEGMENT'!$BE$8:$BE$1000*'ANALYSE - ERP =&gt; SOUS-SEGMENT'!$IQ$8:$IQ$1000)/SUMPRODUCT(('ANALYSE - ERP =&gt; SOUS-SEGMENT'!$C$8:$C$1000=$C33)*'ANALYSE - ERP =&gt; SOUS-SEGMENT'!$Q$8:$Q$1000*'ANALYSE - ERP =&gt; SOUS-SEGMENT'!$BE$8:$BE$1000),""))</f>
        <v>0.34</v>
      </c>
      <c r="IR33" s="742">
        <f>IF($C33="","",IFERROR(SUMPRODUCT(('ANALYSE - ERP =&gt; SOUS-SEGMENT'!$C$8:$C$1000=$C33)*'ANALYSE - ERP =&gt; SOUS-SEGMENT'!$Q$8:$Q$1000*'ANALYSE - ERP =&gt; SOUS-SEGMENT'!$BE$8:$BE$1000*'ANALYSE - ERP =&gt; SOUS-SEGMENT'!$IR$8:$IR$1000)/SUMPRODUCT(('ANALYSE - ERP =&gt; SOUS-SEGMENT'!$C$8:$C$1000=$C33)*'ANALYSE - ERP =&gt; SOUS-SEGMENT'!$Q$8:$Q$1000*'ANALYSE - ERP =&gt; SOUS-SEGMENT'!$BE$8:$BE$1000),""))</f>
        <v>0.03</v>
      </c>
      <c r="IS33" s="742">
        <f>IF($C33="","",IFERROR(SUMPRODUCT(('ANALYSE - ERP =&gt; SOUS-SEGMENT'!$C$8:$C$1000=$C33)*'ANALYSE - ERP =&gt; SOUS-SEGMENT'!$Q$8:$Q$1000*'ANALYSE - ERP =&gt; SOUS-SEGMENT'!$BE$8:$BE$1000*'ANALYSE - ERP =&gt; SOUS-SEGMENT'!$IS$8:$IS$1000)/SUMPRODUCT(('ANALYSE - ERP =&gt; SOUS-SEGMENT'!$C$8:$C$1000=$C33)*'ANALYSE - ERP =&gt; SOUS-SEGMENT'!$Q$8:$Q$1000*'ANALYSE - ERP =&gt; SOUS-SEGMENT'!$BE$8:$BE$1000),""))</f>
        <v>0</v>
      </c>
      <c r="IT33" s="742">
        <f>IF($C33="","",IFERROR(SUMPRODUCT(('ANALYSE - ERP =&gt; SOUS-SEGMENT'!$C$8:$C$1000=$C33)*'ANALYSE - ERP =&gt; SOUS-SEGMENT'!$Q$8:$Q$1000*'ANALYSE - ERP =&gt; SOUS-SEGMENT'!$FB$8:$FB$1000*'ANALYSE - ERP =&gt; SOUS-SEGMENT'!$IT$8:$IT$1000)/SUMPRODUCT(('ANALYSE - ERP =&gt; SOUS-SEGMENT'!$C$8:$C$1000=$C33)*'ANALYSE - ERP =&gt; SOUS-SEGMENT'!$Q$8:$Q$1000*'ANALYSE - ERP =&gt; SOUS-SEGMENT'!$FB$8:$FB$1000),""))</f>
        <v>8.5900000000000018E-2</v>
      </c>
      <c r="IU33" s="742">
        <f>IF($C33="","",IFERROR(SUMPRODUCT(('ANALYSE - ERP =&gt; SOUS-SEGMENT'!$C$8:$C$1000=$C33)*'ANALYSE - ERP =&gt; SOUS-SEGMENT'!$Q$8:$Q$1000*'ANALYSE - ERP =&gt; SOUS-SEGMENT'!$FB$8:$FB$1000*'ANALYSE - ERP =&gt; SOUS-SEGMENT'!$IU$8:$IU$1000)/SUMPRODUCT(('ANALYSE - ERP =&gt; SOUS-SEGMENT'!$C$8:$C$1000=$C33)*'ANALYSE - ERP =&gt; SOUS-SEGMENT'!$Q$8:$Q$1000*'ANALYSE - ERP =&gt; SOUS-SEGMENT'!$FB$8:$FB$1000),""))</f>
        <v>0.51270000000000016</v>
      </c>
      <c r="IV33" s="742">
        <f>IF($C33="","",IFERROR(SUMPRODUCT(('ANALYSE - ERP =&gt; SOUS-SEGMENT'!$C$8:$C$1000=$C33)*'ANALYSE - ERP =&gt; SOUS-SEGMENT'!$Q$8:$Q$1000*'ANALYSE - ERP =&gt; SOUS-SEGMENT'!$FB$8:$FB$1000*'ANALYSE - ERP =&gt; SOUS-SEGMENT'!$IV$8:$IV$1000)/SUMPRODUCT(('ANALYSE - ERP =&gt; SOUS-SEGMENT'!$C$8:$C$1000=$C33)*'ANALYSE - ERP =&gt; SOUS-SEGMENT'!$Q$8:$Q$1000*'ANALYSE - ERP =&gt; SOUS-SEGMENT'!$FB$8:$FB$1000),""))</f>
        <v>0.35410000000000008</v>
      </c>
      <c r="IW33" s="742">
        <f>IF($C33="","",IFERROR(SUMPRODUCT(('ANALYSE - ERP =&gt; SOUS-SEGMENT'!$C$8:$C$1000=$C33)*'ANALYSE - ERP =&gt; SOUS-SEGMENT'!$Q$8:$Q$1000*'ANALYSE - ERP =&gt; SOUS-SEGMENT'!$FB$8:$FB$1000*'ANALYSE - ERP =&gt; SOUS-SEGMENT'!$IW$8:$IW$1000)/SUMPRODUCT(('ANALYSE - ERP =&gt; SOUS-SEGMENT'!$C$8:$C$1000=$C33)*'ANALYSE - ERP =&gt; SOUS-SEGMENT'!$Q$8:$Q$1000*'ANALYSE - ERP =&gt; SOUS-SEGMENT'!$FB$8:$FB$1000),""))</f>
        <v>4.41E-2</v>
      </c>
      <c r="IX33" s="742">
        <f>IF($C33="","",IFERROR(SUMPRODUCT(('ANALYSE - ERP =&gt; SOUS-SEGMENT'!$C$8:$C$1000=$C33)*'ANALYSE - ERP =&gt; SOUS-SEGMENT'!$Q$8:$Q$1000*'ANALYSE - ERP =&gt; SOUS-SEGMENT'!$FB$8:$FB$1000*'ANALYSE - ERP =&gt; SOUS-SEGMENT'!$IX$8:$IX$1000)/SUMPRODUCT(('ANALYSE - ERP =&gt; SOUS-SEGMENT'!$C$8:$C$1000=$C33)*'ANALYSE - ERP =&gt; SOUS-SEGMENT'!$Q$8:$Q$1000*'ANALYSE - ERP =&gt; SOUS-SEGMENT'!$FB$8:$FB$1000),""))</f>
        <v>3.2000000000000006E-3</v>
      </c>
      <c r="IY33" s="742">
        <f>IF($C33="","",IFERROR(SUMPRODUCT(('ANALYSE - ERP =&gt; SOUS-SEGMENT'!$C$8:$C$1000=$C33)*'ANALYSE - ERP =&gt; SOUS-SEGMENT'!$Q$8:$Q$1000*'ANALYSE - ERP =&gt; SOUS-SEGMENT'!$BF$8:$BF$1000*'ANALYSE - ERP =&gt; SOUS-SEGMENT'!$IY$8:$IY$1000)/SUMPRODUCT(('ANALYSE - ERP =&gt; SOUS-SEGMENT'!$C$8:$C$1000=$C33)*'ANALYSE - ERP =&gt; SOUS-SEGMENT'!$Q$8:$Q$1000*'ANALYSE - ERP =&gt; SOUS-SEGMENT'!$BF$8:$BF$1000),""))</f>
        <v>0.10220000000000001</v>
      </c>
      <c r="IZ33" s="742">
        <f>IF($C33="","",IFERROR(SUMPRODUCT(('ANALYSE - ERP =&gt; SOUS-SEGMENT'!$C$8:$C$1000=$C33)*'ANALYSE - ERP =&gt; SOUS-SEGMENT'!$Q$8:$Q$1000*'ANALYSE - ERP =&gt; SOUS-SEGMENT'!$BF$8:$BF$1000*'ANALYSE - ERP =&gt; SOUS-SEGMENT'!$IZ$8:$IZ$1000)/SUMPRODUCT(('ANALYSE - ERP =&gt; SOUS-SEGMENT'!$C$8:$C$1000=$C33)*'ANALYSE - ERP =&gt; SOUS-SEGMENT'!$Q$8:$Q$1000*'ANALYSE - ERP =&gt; SOUS-SEGMENT'!$BF$8:$BF$1000),""))</f>
        <v>0.54190000000000005</v>
      </c>
      <c r="JA33" s="742">
        <f>IF($C33="","",IFERROR(SUMPRODUCT(('ANALYSE - ERP =&gt; SOUS-SEGMENT'!$C$8:$C$1000=$C33)*'ANALYSE - ERP =&gt; SOUS-SEGMENT'!$Q$8:$Q$1000*'ANALYSE - ERP =&gt; SOUS-SEGMENT'!$BF$8:$BF$1000*'ANALYSE - ERP =&gt; SOUS-SEGMENT'!$JA$8:$JA$1000)/SUMPRODUCT(('ANALYSE - ERP =&gt; SOUS-SEGMENT'!$C$8:$C$1000=$C33)*'ANALYSE - ERP =&gt; SOUS-SEGMENT'!$Q$8:$Q$1000*'ANALYSE - ERP =&gt; SOUS-SEGMENT'!$BF$8:$BF$1000),""))</f>
        <v>0.33110000000000001</v>
      </c>
      <c r="JB33" s="742">
        <f>IF($C33="","",IFERROR(SUMPRODUCT(('ANALYSE - ERP =&gt; SOUS-SEGMENT'!$C$8:$C$1000=$C33)*'ANALYSE - ERP =&gt; SOUS-SEGMENT'!$Q$8:$Q$1000*'ANALYSE - ERP =&gt; SOUS-SEGMENT'!$BF$8:$BF$1000*'ANALYSE - ERP =&gt; SOUS-SEGMENT'!$JB$8:$JB$1000)/SUMPRODUCT(('ANALYSE - ERP =&gt; SOUS-SEGMENT'!$C$8:$C$1000=$C33)*'ANALYSE - ERP =&gt; SOUS-SEGMENT'!$Q$8:$Q$1000*'ANALYSE - ERP =&gt; SOUS-SEGMENT'!$BF$8:$BF$1000),""))</f>
        <v>2.4799999999999999E-2</v>
      </c>
      <c r="JC33" s="742">
        <f>IF($C33="","",IFERROR(SUMPRODUCT(('ANALYSE - ERP =&gt; SOUS-SEGMENT'!$C$8:$C$1000=$C33)*'ANALYSE - ERP =&gt; SOUS-SEGMENT'!$Q$8:$Q$1000*'ANALYSE - ERP =&gt; SOUS-SEGMENT'!$BF$8:$BF$1000*'ANALYSE - ERP =&gt; SOUS-SEGMENT'!$JC$8:$JC$1000)/SUMPRODUCT(('ANALYSE - ERP =&gt; SOUS-SEGMENT'!$C$8:$C$1000=$C33)*'ANALYSE - ERP =&gt; SOUS-SEGMENT'!$Q$8:$Q$1000*'ANALYSE - ERP =&gt; SOUS-SEGMENT'!$BF$8:$BF$1000),""))</f>
        <v>0</v>
      </c>
      <c r="JD33" s="742">
        <f>IF($C33="","",IFERROR(SUMPRODUCT(('ANALYSE - ERP =&gt; SOUS-SEGMENT'!$C$8:$C$1000=$C33)*'ANALYSE - ERP =&gt; SOUS-SEGMENT'!$Q$8:$Q$1000*'ANALYSE - ERP =&gt; SOUS-SEGMENT'!$FE$8:$FE$1000*'ANALYSE - ERP =&gt; SOUS-SEGMENT'!$JD$8:$JD$1000)/SUMPRODUCT(('ANALYSE - ERP =&gt; SOUS-SEGMENT'!$C$8:$C$1000=$C33)*'ANALYSE - ERP =&gt; SOUS-SEGMENT'!$Q$8:$Q$1000*'ANALYSE - ERP =&gt; SOUS-SEGMENT'!$FE$8:$FE$1000),""))</f>
        <v>8.8099999999999998E-2</v>
      </c>
      <c r="JE33" s="742">
        <f>IF($C33="","",IFERROR(SUMPRODUCT(('ANALYSE - ERP =&gt; SOUS-SEGMENT'!$C$8:$C$1000=$C33)*'ANALYSE - ERP =&gt; SOUS-SEGMENT'!$Q$8:$Q$1000*'ANALYSE - ERP =&gt; SOUS-SEGMENT'!$FE$8:$FE$1000*'ANALYSE - ERP =&gt; SOUS-SEGMENT'!$JE$8:$JE$1000)/SUMPRODUCT(('ANALYSE - ERP =&gt; SOUS-SEGMENT'!$C$8:$C$1000=$C33)*'ANALYSE - ERP =&gt; SOUS-SEGMENT'!$Q$8:$Q$1000*'ANALYSE - ERP =&gt; SOUS-SEGMENT'!$FE$8:$FE$1000),""))</f>
        <v>0.52459999999999996</v>
      </c>
      <c r="JF33" s="742">
        <f>IF($C33="","",IFERROR(SUMPRODUCT(('ANALYSE - ERP =&gt; SOUS-SEGMENT'!$C$8:$C$1000=$C33)*'ANALYSE - ERP =&gt; SOUS-SEGMENT'!$Q$8:$Q$1000*'ANALYSE - ERP =&gt; SOUS-SEGMENT'!$FE$8:$FE$1000*'ANALYSE - ERP =&gt; SOUS-SEGMENT'!$JF$8:$JF$1000)/SUMPRODUCT(('ANALYSE - ERP =&gt; SOUS-SEGMENT'!$C$8:$C$1000=$C33)*'ANALYSE - ERP =&gt; SOUS-SEGMENT'!$Q$8:$Q$1000*'ANALYSE - ERP =&gt; SOUS-SEGMENT'!$FE$8:$FE$1000),""))</f>
        <v>0.34520000000000006</v>
      </c>
      <c r="JG33" s="742">
        <f>IF($C33="","",IFERROR(SUMPRODUCT(('ANALYSE - ERP =&gt; SOUS-SEGMENT'!$C$8:$C$1000=$C33)*'ANALYSE - ERP =&gt; SOUS-SEGMENT'!$Q$8:$Q$1000*'ANALYSE - ERP =&gt; SOUS-SEGMENT'!$FE$8:$FE$1000*'ANALYSE - ERP =&gt; SOUS-SEGMENT'!$JG$8:$JG$1000)/SUMPRODUCT(('ANALYSE - ERP =&gt; SOUS-SEGMENT'!$C$8:$C$1000=$C33)*'ANALYSE - ERP =&gt; SOUS-SEGMENT'!$Q$8:$Q$1000*'ANALYSE - ERP =&gt; SOUS-SEGMENT'!$FE$8:$FE$1000),""))</f>
        <v>3.8899999999999997E-2</v>
      </c>
      <c r="JH33" s="742">
        <f>IF($C33="","",IFERROR(SUMPRODUCT(('ANALYSE - ERP =&gt; SOUS-SEGMENT'!$C$8:$C$1000=$C33)*'ANALYSE - ERP =&gt; SOUS-SEGMENT'!$Q$8:$Q$1000*'ANALYSE - ERP =&gt; SOUS-SEGMENT'!$FE$8:$FE$1000*'ANALYSE - ERP =&gt; SOUS-SEGMENT'!$JH$8:$JH$1000)/SUMPRODUCT(('ANALYSE - ERP =&gt; SOUS-SEGMENT'!$C$8:$C$1000=$C33)*'ANALYSE - ERP =&gt; SOUS-SEGMENT'!$Q$8:$Q$1000*'ANALYSE - ERP =&gt; SOUS-SEGMENT'!$FE$8:$FE$1000),""))</f>
        <v>3.2000000000000002E-3</v>
      </c>
      <c r="JI33" s="742">
        <f>IF($C33="","",IFERROR(SUMPRODUCT(('ANALYSE - ERP =&gt; SOUS-SEGMENT'!$C$8:$C$1000=$C33)*'ANALYSE - ERP =&gt; SOUS-SEGMENT'!$Q$8:$Q$1000*'ANALYSE - ERP =&gt; SOUS-SEGMENT'!$BG$8:$BG$1000*'ANALYSE - ERP =&gt; SOUS-SEGMENT'!$JI$8:$JI$1000)/SUMPRODUCT(('ANALYSE - ERP =&gt; SOUS-SEGMENT'!$C$8:$C$1000=$C33)*'ANALYSE - ERP =&gt; SOUS-SEGMENT'!$Q$8:$Q$1000*'ANALYSE - ERP =&gt; SOUS-SEGMENT'!$BG$8:$BG$1000),""))</f>
        <v>0.15019334916864607</v>
      </c>
      <c r="JJ33" s="742">
        <f>IF($C33="","",IFERROR(SUMPRODUCT(('ANALYSE - ERP =&gt; SOUS-SEGMENT'!$C$8:$C$1000=$C33)*'ANALYSE - ERP =&gt; SOUS-SEGMENT'!$Q$8:$Q$1000*'ANALYSE - ERP =&gt; SOUS-SEGMENT'!$BG$8:$BG$1000*'ANALYSE - ERP =&gt; SOUS-SEGMENT'!$JJ$8:$JJ$1000)/SUMPRODUCT(('ANALYSE - ERP =&gt; SOUS-SEGMENT'!$C$8:$C$1000=$C33)*'ANALYSE - ERP =&gt; SOUS-SEGMENT'!$Q$8:$Q$1000*'ANALYSE - ERP =&gt; SOUS-SEGMENT'!$BG$8:$BG$1000),""))</f>
        <v>0.5971788598574822</v>
      </c>
      <c r="JK33" s="742">
        <f>IF($C33="","",IFERROR(SUMPRODUCT(('ANALYSE - ERP =&gt; SOUS-SEGMENT'!$C$8:$C$1000=$C33)*'ANALYSE - ERP =&gt; SOUS-SEGMENT'!$Q$8:$Q$1000*'ANALYSE - ERP =&gt; SOUS-SEGMENT'!$BG$8:$BG$1000*'ANALYSE - ERP =&gt; SOUS-SEGMENT'!$JK$8:$JK$1000)/SUMPRODUCT(('ANALYSE - ERP =&gt; SOUS-SEGMENT'!$C$8:$C$1000=$C33)*'ANALYSE - ERP =&gt; SOUS-SEGMENT'!$Q$8:$Q$1000*'ANALYSE - ERP =&gt; SOUS-SEGMENT'!$BG$8:$BG$1000),""))</f>
        <v>0.21285486935866982</v>
      </c>
      <c r="JL33" s="742">
        <f>IF($C33="","",IFERROR(SUMPRODUCT(('ANALYSE - ERP =&gt; SOUS-SEGMENT'!$C$8:$C$1000=$C33)*'ANALYSE - ERP =&gt; SOUS-SEGMENT'!$Q$8:$Q$1000*'ANALYSE - ERP =&gt; SOUS-SEGMENT'!$BG$8:$BG$1000*'ANALYSE - ERP =&gt; SOUS-SEGMENT'!$JL$8:$JL$1000)/SUMPRODUCT(('ANALYSE - ERP =&gt; SOUS-SEGMENT'!$C$8:$C$1000=$C33)*'ANALYSE - ERP =&gt; SOUS-SEGMENT'!$Q$8:$Q$1000*'ANALYSE - ERP =&gt; SOUS-SEGMENT'!$BG$8:$BG$1000),""))</f>
        <v>1.126935866983373E-2</v>
      </c>
      <c r="JM33" s="742">
        <f>IF($C33="","",IFERROR(SUMPRODUCT(('ANALYSE - ERP =&gt; SOUS-SEGMENT'!$C$8:$C$1000=$C33)*'ANALYSE - ERP =&gt; SOUS-SEGMENT'!$Q$8:$Q$1000*'ANALYSE - ERP =&gt; SOUS-SEGMENT'!$BG$8:$BG$1000*'ANALYSE - ERP =&gt; SOUS-SEGMENT'!$JM$8:$JM$1000)/SUMPRODUCT(('ANALYSE - ERP =&gt; SOUS-SEGMENT'!$C$8:$C$1000=$C33)*'ANALYSE - ERP =&gt; SOUS-SEGMENT'!$Q$8:$Q$1000*'ANALYSE - ERP =&gt; SOUS-SEGMENT'!$BG$8:$BG$1000),""))</f>
        <v>0</v>
      </c>
      <c r="JN33" s="742">
        <f>IF($C33="","",IFERROR(SUMPRODUCT(('ANALYSE - ERP =&gt; SOUS-SEGMENT'!$C$8:$C$1000=$C33)*'ANALYSE - ERP =&gt; SOUS-SEGMENT'!$Q$8:$Q$1000*'ANALYSE - ERP =&gt; SOUS-SEGMENT'!$FH$8:$FH$1000*'ANALYSE - ERP =&gt; SOUS-SEGMENT'!$JN$8:$JN$1000)/SUMPRODUCT(('ANALYSE - ERP =&gt; SOUS-SEGMENT'!$C$8:$C$1000=$C33)*'ANALYSE - ERP =&gt; SOUS-SEGMENT'!$Q$8:$Q$1000*'ANALYSE - ERP =&gt; SOUS-SEGMENT'!$FH$8:$FH$1000),""))</f>
        <v>0.13538933198493677</v>
      </c>
      <c r="JO33" s="742">
        <f>IF($C33="","",IFERROR(SUMPRODUCT(('ANALYSE - ERP =&gt; SOUS-SEGMENT'!$C$8:$C$1000=$C33)*'ANALYSE - ERP =&gt; SOUS-SEGMENT'!$Q$8:$Q$1000*'ANALYSE - ERP =&gt; SOUS-SEGMENT'!$FH$8:$FH$1000*'ANALYSE - ERP =&gt; SOUS-SEGMENT'!$JO$8:$JO$1000)/SUMPRODUCT(('ANALYSE - ERP =&gt; SOUS-SEGMENT'!$C$8:$C$1000=$C33)*'ANALYSE - ERP =&gt; SOUS-SEGMENT'!$Q$8:$Q$1000*'ANALYSE - ERP =&gt; SOUS-SEGMENT'!$FH$8:$FH$1000),""))</f>
        <v>0.57566965784911905</v>
      </c>
      <c r="JP33" s="742">
        <f>IF($C33="","",IFERROR(SUMPRODUCT(('ANALYSE - ERP =&gt; SOUS-SEGMENT'!$C$8:$C$1000=$C33)*'ANALYSE - ERP =&gt; SOUS-SEGMENT'!$Q$8:$Q$1000*'ANALYSE - ERP =&gt; SOUS-SEGMENT'!$FH$8:$FH$1000*'ANALYSE - ERP =&gt; SOUS-SEGMENT'!$JP$8:$JP$1000)/SUMPRODUCT(('ANALYSE - ERP =&gt; SOUS-SEGMENT'!$C$8:$C$1000=$C33)*'ANALYSE - ERP =&gt; SOUS-SEGMENT'!$Q$8:$Q$1000*'ANALYSE - ERP =&gt; SOUS-SEGMENT'!$FH$8:$FH$1000),""))</f>
        <v>0.22471738234083452</v>
      </c>
      <c r="JQ33" s="742">
        <f>IF($C33="","",IFERROR(SUMPRODUCT(('ANALYSE - ERP =&gt; SOUS-SEGMENT'!$C$8:$C$1000=$C33)*'ANALYSE - ERP =&gt; SOUS-SEGMENT'!$Q$8:$Q$1000*'ANALYSE - ERP =&gt; SOUS-SEGMENT'!$FH$8:$FH$1000*'ANALYSE - ERP =&gt; SOUS-SEGMENT'!$JQ$8:$JQ$1000)/SUMPRODUCT(('ANALYSE - ERP =&gt; SOUS-SEGMENT'!$C$8:$C$1000=$C33)*'ANALYSE - ERP =&gt; SOUS-SEGMENT'!$Q$8:$Q$1000*'ANALYSE - ERP =&gt; SOUS-SEGMENT'!$FH$8:$FH$1000),""))</f>
        <v>2.476516606414858E-2</v>
      </c>
      <c r="JR33" s="742">
        <f>IF($C33="","",IFERROR(SUMPRODUCT(('ANALYSE - ERP =&gt; SOUS-SEGMENT'!$C$8:$C$1000=$C33)*'ANALYSE - ERP =&gt; SOUS-SEGMENT'!$Q$8:$Q$1000*'ANALYSE - ERP =&gt; SOUS-SEGMENT'!$FH$8:$FH$1000*'ANALYSE - ERP =&gt; SOUS-SEGMENT'!$JR$8:$JR$1000)/SUMPRODUCT(('ANALYSE - ERP =&gt; SOUS-SEGMENT'!$C$8:$C$1000=$C33)*'ANALYSE - ERP =&gt; SOUS-SEGMENT'!$Q$8:$Q$1000*'ANALYSE - ERP =&gt; SOUS-SEGMENT'!$FH$8:$FH$1000),""))</f>
        <v>3.0836004437850362E-3</v>
      </c>
      <c r="JS33" s="742">
        <f>IF($C33="","",IFERROR(SUMPRODUCT(('ANALYSE - ERP =&gt; SOUS-SEGMENT'!$C$8:$C$1000=$C33)*'ANALYSE - ERP =&gt; SOUS-SEGMENT'!$Q$8:$Q$1000*'ANALYSE - ERP =&gt; SOUS-SEGMENT'!$BH$8:$BH$1000*'ANALYSE - ERP =&gt; SOUS-SEGMENT'!$JS$8:$JS$1000)/SUMPRODUCT(('ANALYSE - ERP =&gt; SOUS-SEGMENT'!$C$8:$C$1000=$C33)*'ANALYSE - ERP =&gt; SOUS-SEGMENT'!$Q$8:$Q$1000*'ANALYSE - ERP =&gt; SOUS-SEGMENT'!$BH$8:$BH$1000),""))</f>
        <v>0.10659999999999999</v>
      </c>
      <c r="JT33" s="742">
        <f>IF($C33="","",IFERROR(SUMPRODUCT(('ANALYSE - ERP =&gt; SOUS-SEGMENT'!$C$8:$C$1000=$C33)*'ANALYSE - ERP =&gt; SOUS-SEGMENT'!$Q$8:$Q$1000*'ANALYSE - ERP =&gt; SOUS-SEGMENT'!$BH$8:$BH$1000*'ANALYSE - ERP =&gt; SOUS-SEGMENT'!$JT$8:$JT$1000)/SUMPRODUCT(('ANALYSE - ERP =&gt; SOUS-SEGMENT'!$C$8:$C$1000=$C33)*'ANALYSE - ERP =&gt; SOUS-SEGMENT'!$Q$8:$Q$1000*'ANALYSE - ERP =&gt; SOUS-SEGMENT'!$BH$8:$BH$1000),""))</f>
        <v>0.53920000000000001</v>
      </c>
      <c r="JU33" s="742">
        <f>IF($C33="","",IFERROR(SUMPRODUCT(('ANALYSE - ERP =&gt; SOUS-SEGMENT'!$C$8:$C$1000=$C33)*'ANALYSE - ERP =&gt; SOUS-SEGMENT'!$Q$8:$Q$1000*'ANALYSE - ERP =&gt; SOUS-SEGMENT'!$BH$8:$BH$1000*'ANALYSE - ERP =&gt; SOUS-SEGMENT'!$JU$8:$JU$1000)/SUMPRODUCT(('ANALYSE - ERP =&gt; SOUS-SEGMENT'!$C$8:$C$1000=$C33)*'ANALYSE - ERP =&gt; SOUS-SEGMENT'!$Q$8:$Q$1000*'ANALYSE - ERP =&gt; SOUS-SEGMENT'!$BH$8:$BH$1000),""))</f>
        <v>0.32950000000000002</v>
      </c>
      <c r="JV33" s="742">
        <f>IF($C33="","",IFERROR(SUMPRODUCT(('ANALYSE - ERP =&gt; SOUS-SEGMENT'!$C$8:$C$1000=$C33)*'ANALYSE - ERP =&gt; SOUS-SEGMENT'!$Q$8:$Q$1000*'ANALYSE - ERP =&gt; SOUS-SEGMENT'!$BH$8:$BH$1000*'ANALYSE - ERP =&gt; SOUS-SEGMENT'!$JV$8:$JV$1000)/SUMPRODUCT(('ANALYSE - ERP =&gt; SOUS-SEGMENT'!$C$8:$C$1000=$C33)*'ANALYSE - ERP =&gt; SOUS-SEGMENT'!$Q$8:$Q$1000*'ANALYSE - ERP =&gt; SOUS-SEGMENT'!$BH$8:$BH$1000),""))</f>
        <v>2.47E-2</v>
      </c>
      <c r="JW33" s="742">
        <f>IF($C33="","",IFERROR(SUMPRODUCT(('ANALYSE - ERP =&gt; SOUS-SEGMENT'!$C$8:$C$1000=$C33)*'ANALYSE - ERP =&gt; SOUS-SEGMENT'!$Q$8:$Q$1000*'ANALYSE - ERP =&gt; SOUS-SEGMENT'!$BH$8:$BH$1000*'ANALYSE - ERP =&gt; SOUS-SEGMENT'!$JW$8:$JW$1000)/SUMPRODUCT(('ANALYSE - ERP =&gt; SOUS-SEGMENT'!$C$8:$C$1000=$C33)*'ANALYSE - ERP =&gt; SOUS-SEGMENT'!$Q$8:$Q$1000*'ANALYSE - ERP =&gt; SOUS-SEGMENT'!$BH$8:$BH$1000),""))</f>
        <v>0</v>
      </c>
      <c r="JX33" s="742">
        <f>IF($C33="","",IFERROR(SUMPRODUCT(('ANALYSE - ERP =&gt; SOUS-SEGMENT'!$C$8:$C$1000=$C33)*'ANALYSE - ERP =&gt; SOUS-SEGMENT'!$Q$8:$Q$1000*'ANALYSE - ERP =&gt; SOUS-SEGMENT'!$FK$8:$FK$1000*'ANALYSE - ERP =&gt; SOUS-SEGMENT'!$JX$8:$JX$1000)/SUMPRODUCT(('ANALYSE - ERP =&gt; SOUS-SEGMENT'!$C$8:$C$1000=$C33)*'ANALYSE - ERP =&gt; SOUS-SEGMENT'!$Q$8:$Q$1000*'ANALYSE - ERP =&gt; SOUS-SEGMENT'!$FK$8:$FK$1000),""))</f>
        <v>9.2499999999999999E-2</v>
      </c>
      <c r="JY33" s="742">
        <f>IF($C33="","",IFERROR(SUMPRODUCT(('ANALYSE - ERP =&gt; SOUS-SEGMENT'!$C$8:$C$1000=$C33)*'ANALYSE - ERP =&gt; SOUS-SEGMENT'!$Q$8:$Q$1000*'ANALYSE - ERP =&gt; SOUS-SEGMENT'!$FK$8:$FK$1000*'ANALYSE - ERP =&gt; SOUS-SEGMENT'!$JY$8:$JY$1000)/SUMPRODUCT(('ANALYSE - ERP =&gt; SOUS-SEGMENT'!$C$8:$C$1000=$C33)*'ANALYSE - ERP =&gt; SOUS-SEGMENT'!$Q$8:$Q$1000*'ANALYSE - ERP =&gt; SOUS-SEGMENT'!$FK$8:$FK$1000),""))</f>
        <v>0.52190000000000003</v>
      </c>
      <c r="JZ33" s="742">
        <f>IF($C33="","",IFERROR(SUMPRODUCT(('ANALYSE - ERP =&gt; SOUS-SEGMENT'!$C$8:$C$1000=$C33)*'ANALYSE - ERP =&gt; SOUS-SEGMENT'!$Q$8:$Q$1000*'ANALYSE - ERP =&gt; SOUS-SEGMENT'!$FK$8:$FK$1000*'ANALYSE - ERP =&gt; SOUS-SEGMENT'!$JZ$8:$JZ$1000)/SUMPRODUCT(('ANALYSE - ERP =&gt; SOUS-SEGMENT'!$C$8:$C$1000=$C33)*'ANALYSE - ERP =&gt; SOUS-SEGMENT'!$Q$8:$Q$1000*'ANALYSE - ERP =&gt; SOUS-SEGMENT'!$FK$8:$FK$1000),""))</f>
        <v>0.34360000000000002</v>
      </c>
      <c r="KA33" s="742">
        <f>IF($C33="","",IFERROR(SUMPRODUCT(('ANALYSE - ERP =&gt; SOUS-SEGMENT'!$C$8:$C$1000=$C33)*'ANALYSE - ERP =&gt; SOUS-SEGMENT'!$Q$8:$Q$1000*'ANALYSE - ERP =&gt; SOUS-SEGMENT'!$FK$8:$FK$1000*'ANALYSE - ERP =&gt; SOUS-SEGMENT'!$KA$8:$KA$1000)/SUMPRODUCT(('ANALYSE - ERP =&gt; SOUS-SEGMENT'!$C$8:$C$1000=$C33)*'ANALYSE - ERP =&gt; SOUS-SEGMENT'!$Q$8:$Q$1000*'ANALYSE - ERP =&gt; SOUS-SEGMENT'!$FK$8:$FK$1000),""))</f>
        <v>3.8800000000000008E-2</v>
      </c>
      <c r="KB33" s="742">
        <f>IF($C33="","",IFERROR(SUMPRODUCT(('ANALYSE - ERP =&gt; SOUS-SEGMENT'!$C$8:$C$1000=$C33)*'ANALYSE - ERP =&gt; SOUS-SEGMENT'!$Q$8:$Q$1000*'ANALYSE - ERP =&gt; SOUS-SEGMENT'!$FK$8:$FK$1000*'ANALYSE - ERP =&gt; SOUS-SEGMENT'!$KB$8:$KB$1000)/SUMPRODUCT(('ANALYSE - ERP =&gt; SOUS-SEGMENT'!$C$8:$C$1000=$C33)*'ANALYSE - ERP =&gt; SOUS-SEGMENT'!$Q$8:$Q$1000*'ANALYSE - ERP =&gt; SOUS-SEGMENT'!$FK$8:$FK$1000),""))</f>
        <v>3.2000000000000006E-3</v>
      </c>
      <c r="KC33" s="657"/>
      <c r="KD33" s="924" t="s">
        <v>2591</v>
      </c>
      <c r="KE33" s="924" t="s">
        <v>2591</v>
      </c>
      <c r="KF33" s="869">
        <f>IF($C33="","",IFERROR(SUMPRODUCT(('ANALYSE - ERP =&gt; SOUS-SEGMENT'!$C$8:$C$1000=$C33)*'ANALYSE - ERP =&gt; SOUS-SEGMENT'!$Q$8:$Q$1000*'ANALYSE - ERP =&gt; SOUS-SEGMENT'!$IE$8:$IE$1000*'ANALYSE - ERP =&gt; SOUS-SEGMENT'!$KF$8:$KF$1000)/SUMPRODUCT(('ANALYSE - ERP =&gt; SOUS-SEGMENT'!$C$8:$C$1000=$C33)*'ANALYSE - ERP =&gt; SOUS-SEGMENT'!$Q$8:$Q$1000*'ANALYSE - ERP =&gt; SOUS-SEGMENT'!$IE$8:$IE$1000),""))</f>
        <v>4.01</v>
      </c>
      <c r="KG33" s="924" t="s">
        <v>2589</v>
      </c>
      <c r="KH33" s="924" t="s">
        <v>4595</v>
      </c>
      <c r="KI33" s="924" t="s">
        <v>2659</v>
      </c>
      <c r="KJ33" s="924" t="s">
        <v>6059</v>
      </c>
    </row>
    <row r="34" spans="1:296" ht="120" customHeight="1">
      <c r="A34" s="957">
        <f>IF($C34="","",ROWS($A$8:A34))</f>
        <v>27</v>
      </c>
      <c r="B34" s="958" t="s">
        <v>2278</v>
      </c>
      <c r="C34" s="958" t="s">
        <v>1576</v>
      </c>
      <c r="D34" s="959" t="s">
        <v>6060</v>
      </c>
      <c r="E34" s="269" t="s">
        <v>4692</v>
      </c>
      <c r="F34" s="960" t="s">
        <v>300</v>
      </c>
      <c r="G34" s="960" t="s">
        <v>2631</v>
      </c>
      <c r="H34" s="960" t="s">
        <v>2109</v>
      </c>
      <c r="I34" s="960" t="s">
        <v>4693</v>
      </c>
      <c r="J34" s="960" t="s">
        <v>6061</v>
      </c>
      <c r="K34" s="960" t="s">
        <v>2096</v>
      </c>
      <c r="L34" s="960" t="s">
        <v>2109</v>
      </c>
      <c r="M34" s="960" t="s">
        <v>2603</v>
      </c>
      <c r="N34" s="960" t="s">
        <v>2099</v>
      </c>
      <c r="O34" s="960" t="s">
        <v>2616</v>
      </c>
      <c r="P34" s="960"/>
      <c r="Q34" s="270">
        <f>IF($C34="","",IF(SUMIFS('ANALYSE - ERP =&gt; SOUS-SEGMENT'!$Q$8:$Q$1000,'ANALYSE - ERP =&gt; SOUS-SEGMENT'!$C$8:$C$1000,$C34)&gt;0,1,0))</f>
        <v>1</v>
      </c>
      <c r="R34" s="271">
        <f>IF($C34="","",IFERROR(SUMPRODUCT(('ANALYSE - ERP =&gt; SOUS-SEGMENT'!$C$8:$C$1000=$C34)*'ANALYSE - ERP =&gt; SOUS-SEGMENT'!$Q$8:$Q$1000*'ANALYSE - ERP =&gt; SOUS-SEGMENT'!$AF$8:$AF$1000*'ANALYSE - ERP =&gt; SOUS-SEGMENT'!$R$8:$R$1000)/SUMPRODUCT(('ANALYSE - ERP =&gt; SOUS-SEGMENT'!$C$8:$C$1000=$C34)*'ANALYSE - ERP =&gt; SOUS-SEGMENT'!$Q$8:$Q$1000*'ANALYSE - ERP =&gt; SOUS-SEGMENT'!$AF$8:$AF$1000),""))</f>
        <v>520</v>
      </c>
      <c r="S34" s="272">
        <f>IF($C34="","",SUMPRODUCT(('ANALYSE - ERP =&gt; SOUS-SEGMENT'!$C$8:$C$1000=$C34)*'ANALYSE - ERP =&gt; SOUS-SEGMENT'!$Q$8:$Q$1000*'ANALYSE - ERP =&gt; SOUS-SEGMENT'!$S$8:$S$1000))</f>
        <v>3800</v>
      </c>
      <c r="T34" s="272">
        <f>IF($C34="","",SUMPRODUCT(('ANALYSE - ERP =&gt; SOUS-SEGMENT'!$C$8:$C$1000=$C34)*'ANALYSE - ERP =&gt; SOUS-SEGMENT'!$Q$8:$Q$1000*'ANALYSE - ERP =&gt; SOUS-SEGMENT'!$T$8:$T$1000))</f>
        <v>4050</v>
      </c>
      <c r="U34" s="272">
        <f>IF($C34="","",SUMPRODUCT(('ANALYSE - ERP =&gt; SOUS-SEGMENT'!$C$8:$C$1000=$C34)*'ANALYSE - ERP =&gt; SOUS-SEGMENT'!$Q$8:$Q$1000*'ANALYSE - ERP =&gt; SOUS-SEGMENT'!$U$8:$U$1000))</f>
        <v>4300</v>
      </c>
      <c r="V34" s="272">
        <f>IF($C34="","",SUMPRODUCT(('ANALYSE - ERP =&gt; SOUS-SEGMENT'!$C$8:$C$1000=$C34)*'ANALYSE - ERP =&gt; SOUS-SEGMENT'!$Q$8:$Q$1000*'ANALYSE - ERP =&gt; SOUS-SEGMENT'!$V$8:$V$1000))</f>
        <v>4580</v>
      </c>
      <c r="W34" s="272">
        <f>IF($C34="","",SUMPRODUCT(('ANALYSE - ERP =&gt; SOUS-SEGMENT'!$C$8:$C$1000=$C34)*'ANALYSE - ERP =&gt; SOUS-SEGMENT'!$Q$8:$Q$1000*'ANALYSE - ERP =&gt; SOUS-SEGMENT'!$W$8:$W$1000))</f>
        <v>4680</v>
      </c>
      <c r="X34" s="272">
        <f>IF($C34="","",SUMPRODUCT(('ANALYSE - ERP =&gt; SOUS-SEGMENT'!$C$8:$C$1000=$C34)*'ANALYSE - ERP =&gt; SOUS-SEGMENT'!$Q$8:$Q$1000*'ANALYSE - ERP =&gt; SOUS-SEGMENT'!$X$8:$X$1000))</f>
        <v>4820</v>
      </c>
      <c r="Y34" s="272">
        <f>IF($C34="","",SUMPRODUCT(('ANALYSE - ERP =&gt; SOUS-SEGMENT'!$C$8:$C$1000=$C34)*'ANALYSE - ERP =&gt; SOUS-SEGMENT'!$Q$8:$Q$1000*'ANALYSE - ERP =&gt; SOUS-SEGMENT'!$Y$8:$Y$1000))</f>
        <v>4980</v>
      </c>
      <c r="Z34" s="272">
        <f>IF($C34="","",SUMPRODUCT(('ANALYSE - ERP =&gt; SOUS-SEGMENT'!$C$8:$C$1000=$C34)*'ANALYSE - ERP =&gt; SOUS-SEGMENT'!$Q$8:$Q$1000*'ANALYSE - ERP =&gt; SOUS-SEGMENT'!$Z$8:$Z$1000))</f>
        <v>5130</v>
      </c>
      <c r="AA34" s="272">
        <f>IF($C34="","",SUMPRODUCT(('ANALYSE - ERP =&gt; SOUS-SEGMENT'!$C$8:$C$1000=$C34)*'ANALYSE - ERP =&gt; SOUS-SEGMENT'!$Q$8:$Q$1000*'ANALYSE - ERP =&gt; SOUS-SEGMENT'!$AA$8:$AA$1000))</f>
        <v>5220</v>
      </c>
      <c r="AB34" s="272">
        <f>IF($C34="","",SUMPRODUCT(('ANALYSE - ERP =&gt; SOUS-SEGMENT'!$C$8:$C$1000=$C34)*'ANALYSE - ERP =&gt; SOUS-SEGMENT'!$Q$8:$Q$1000*'ANALYSE - ERP =&gt; SOUS-SEGMENT'!$AB$8:$AB$1000))</f>
        <v>5290</v>
      </c>
      <c r="AC34" s="272">
        <f>IF($C34="","",SUMPRODUCT(('ANALYSE - ERP =&gt; SOUS-SEGMENT'!$C$8:$C$1000=$C34)*'ANALYSE - ERP =&gt; SOUS-SEGMENT'!$Q$8:$Q$1000*'ANALYSE - ERP =&gt; SOUS-SEGMENT'!$AC$8:$AC$1000))</f>
        <v>5370</v>
      </c>
      <c r="AD34" s="272">
        <f>IF($C34="","",SUMPRODUCT(('ANALYSE - ERP =&gt; SOUS-SEGMENT'!$C$8:$C$1000=$C34)*'ANALYSE - ERP =&gt; SOUS-SEGMENT'!$Q$8:$Q$1000*'ANALYSE - ERP =&gt; SOUS-SEGMENT'!$AD$8:$AD$1000))</f>
        <v>5450</v>
      </c>
      <c r="AE34" s="272">
        <f>IF($C34="","",SUMPRODUCT(('ANALYSE - ERP =&gt; SOUS-SEGMENT'!$C$8:$C$1000=$C34)*'ANALYSE - ERP =&gt; SOUS-SEGMENT'!$Q$8:$Q$1000*'ANALYSE - ERP =&gt; SOUS-SEGMENT'!$AE$8:$AE$1000))</f>
        <v>5520</v>
      </c>
      <c r="AF34" s="272">
        <f>IF($C34="","",SUMPRODUCT(('ANALYSE - ERP =&gt; SOUS-SEGMENT'!$C$8:$C$1000=$C34)*'ANALYSE - ERP =&gt; SOUS-SEGMENT'!$Q$8:$Q$1000*'ANALYSE - ERP =&gt; SOUS-SEGMENT'!$AF$8:$AF$1000))</f>
        <v>5560</v>
      </c>
      <c r="AG34" s="272">
        <f>IF($C34="","",SUMPRODUCT(('ANALYSE - ERP =&gt; SOUS-SEGMENT'!$C$8:$C$1000=$C34)*'ANALYSE - ERP =&gt; SOUS-SEGMENT'!$Q$8:$Q$1000*'ANALYSE - ERP =&gt; SOUS-SEGMENT'!$AG$8:$AG$1000))</f>
        <v>5600</v>
      </c>
      <c r="AH34" s="272">
        <f>IF($C34="","",SUMPRODUCT(('ANALYSE - ERP =&gt; SOUS-SEGMENT'!$C$8:$C$1000=$C34)*'ANALYSE - ERP =&gt; SOUS-SEGMENT'!$Q$8:$Q$1000*'ANALYSE - ERP =&gt; SOUS-SEGMENT'!$AH$8:$AH$1000))</f>
        <v>5630</v>
      </c>
      <c r="AI34" s="272">
        <f>IF($C34="","",SUMPRODUCT(('ANALYSE - ERP =&gt; SOUS-SEGMENT'!$C$8:$C$1000=$C34)*'ANALYSE - ERP =&gt; SOUS-SEGMENT'!$Q$8:$Q$1000*'ANALYSE - ERP =&gt; SOUS-SEGMENT'!$AI$8:$AI$1000))</f>
        <v>5660</v>
      </c>
      <c r="AJ34" s="272">
        <f>IF($C34="","",SUMPRODUCT(('ANALYSE - ERP =&gt; SOUS-SEGMENT'!$C$8:$C$1000=$C34)*'ANALYSE - ERP =&gt; SOUS-SEGMENT'!$Q$8:$Q$1000*'ANALYSE - ERP =&gt; SOUS-SEGMENT'!$AJ$8:$AJ$1000))</f>
        <v>5690</v>
      </c>
      <c r="AK34" s="272">
        <f>IF($C34="","",SUMPRODUCT(('ANALYSE - ERP =&gt; SOUS-SEGMENT'!$C$8:$C$1000=$C34)*'ANALYSE - ERP =&gt; SOUS-SEGMENT'!$Q$8:$Q$1000*'ANALYSE - ERP =&gt; SOUS-SEGMENT'!$AK$8:$AK$1000))</f>
        <v>5720</v>
      </c>
      <c r="AL34" s="960" t="s">
        <v>4695</v>
      </c>
      <c r="AM34" s="960" t="s">
        <v>6062</v>
      </c>
      <c r="AN34" s="960" t="s">
        <v>4697</v>
      </c>
      <c r="AO34" s="657"/>
      <c r="AP34" s="271">
        <f>IF($C34="","",IFERROR(SUMPRODUCT(('ANALYSE - ERP =&gt; SOUS-SEGMENT'!$C$8:$C$1000=$C34)*'ANALYSE - ERP =&gt; SOUS-SEGMENT'!$Q$8:$Q$1000*'ANALYSE - ERP =&gt; SOUS-SEGMENT'!$AF$8:$AF$1000*'ANALYSE - ERP =&gt; SOUS-SEGMENT'!$AP$8:$AP$1000)/SUMPRODUCT(('ANALYSE - ERP =&gt; SOUS-SEGMENT'!$C$8:$C$1000=$C34)*'ANALYSE - ERP =&gt; SOUS-SEGMENT'!$Q$8:$Q$1000*'ANALYSE - ERP =&gt; SOUS-SEGMENT'!$AF$8:$AF$1000),""))</f>
        <v>50</v>
      </c>
      <c r="AQ34" s="280">
        <f>IF($C34="","",IFERROR(SUMPRODUCT(('ANALYSE - ERP =&gt; SOUS-SEGMENT'!$C$8:$C$1000=$C34)*'ANALYSE - ERP =&gt; SOUS-SEGMENT'!$Q$8:$Q$1000*'ANALYSE - ERP =&gt; SOUS-SEGMENT'!$AF$8:$AF$1000*'ANALYSE - ERP =&gt; SOUS-SEGMENT'!$AQ$8:$AQ$1000)/SUMPRODUCT(('ANALYSE - ERP =&gt; SOUS-SEGMENT'!$C$8:$C$1000=$C34)*'ANALYSE - ERP =&gt; SOUS-SEGMENT'!$Q$8:$Q$1000*'ANALYSE - ERP =&gt; SOUS-SEGMENT'!$AF$8:$AF$1000),""))</f>
        <v>44</v>
      </c>
      <c r="AR34" s="280">
        <f>IF($C34="","",IFERROR(SUMPRODUCT(('ANALYSE - ERP =&gt; SOUS-SEGMENT'!$C$8:$C$1000=$C34)*'ANALYSE - ERP =&gt; SOUS-SEGMENT'!$Q$8:$Q$1000*'ANALYSE - ERP =&gt; SOUS-SEGMENT'!$AF$8:$AF$1000*'ANALYSE - ERP =&gt; SOUS-SEGMENT'!$AR$8:$AR$1000)/SUMPRODUCT(('ANALYSE - ERP =&gt; SOUS-SEGMENT'!$C$8:$C$1000=$C34)*'ANALYSE - ERP =&gt; SOUS-SEGMENT'!$Q$8:$Q$1000*'ANALYSE - ERP =&gt; SOUS-SEGMENT'!$AF$8:$AF$1000),""))</f>
        <v>5</v>
      </c>
      <c r="AS34" s="280">
        <f>IF($C34="","",IFERROR(SUMPRODUCT(('ANALYSE - ERP =&gt; SOUS-SEGMENT'!$C$8:$C$1000=$C34)*'ANALYSE - ERP =&gt; SOUS-SEGMENT'!$Q$8:$Q$1000*'ANALYSE - ERP =&gt; SOUS-SEGMENT'!$AF$8:$AF$1000*'ANALYSE - ERP =&gt; SOUS-SEGMENT'!$AS$8:$AS$1000)/SUMPRODUCT(('ANALYSE - ERP =&gt; SOUS-SEGMENT'!$C$8:$C$1000=$C34)*'ANALYSE - ERP =&gt; SOUS-SEGMENT'!$Q$8:$Q$1000*'ANALYSE - ERP =&gt; SOUS-SEGMENT'!$AF$8:$AF$1000),""))</f>
        <v>1</v>
      </c>
      <c r="AT34" s="657"/>
      <c r="AU34" s="647" t="s">
        <v>4698</v>
      </c>
      <c r="AV34" s="647" t="s">
        <v>4699</v>
      </c>
      <c r="AW34" s="960" t="s">
        <v>4700</v>
      </c>
      <c r="AX34" s="647" t="s">
        <v>2670</v>
      </c>
      <c r="AY34" s="657"/>
      <c r="AZ34" s="948">
        <f>IF($C34="","",IFERROR(SUMPRODUCT(('ANALYSE - ERP =&gt; SOUS-SEGMENT'!$C$8:$C$1000=$C34)*'ANALYSE - ERP =&gt; SOUS-SEGMENT'!$Q$8:$Q$1000*'ANALYSE - ERP =&gt; SOUS-SEGMENT'!$AF$8:$AF$1000*'ANALYSE - ERP =&gt; SOUS-SEGMENT'!$AZ$8:$AZ$1000)/SUMPRODUCT(('ANALYSE - ERP =&gt; SOUS-SEGMENT'!$C$8:$C$1000=$C34)*'ANALYSE - ERP =&gt; SOUS-SEGMENT'!$Q$8:$Q$1000*'ANALYSE - ERP =&gt; SOUS-SEGMENT'!$AF$8:$AF$1000),""))</f>
        <v>3</v>
      </c>
      <c r="BA34" s="948">
        <f>IF($C34="","",IFERROR(SUMPRODUCT(('ANALYSE - ERP =&gt; SOUS-SEGMENT'!$C$8:$C$1000=$C34)*'ANALYSE - ERP =&gt; SOUS-SEGMENT'!$Q$8:$Q$1000*'ANALYSE - ERP =&gt; SOUS-SEGMENT'!$AF$8:$AF$1000*'ANALYSE - ERP =&gt; SOUS-SEGMENT'!$BA$8:$BA$1000)/SUMPRODUCT(('ANALYSE - ERP =&gt; SOUS-SEGMENT'!$C$8:$C$1000=$C34)*'ANALYSE - ERP =&gt; SOUS-SEGMENT'!$Q$8:$Q$1000*'ANALYSE - ERP =&gt; SOUS-SEGMENT'!$AF$8:$AF$1000),""))</f>
        <v>0</v>
      </c>
      <c r="BB34" s="948">
        <f>IF($C34="","",IFERROR(SUMPRODUCT(('ANALYSE - ERP =&gt; SOUS-SEGMENT'!$C$8:$C$1000=$C34)*'ANALYSE - ERP =&gt; SOUS-SEGMENT'!$Q$8:$Q$1000*'ANALYSE - ERP =&gt; SOUS-SEGMENT'!$AF$8:$AF$1000*'ANALYSE - ERP =&gt; SOUS-SEGMENT'!$BB$8:$BB$1000)/SUMPRODUCT(('ANALYSE - ERP =&gt; SOUS-SEGMENT'!$C$8:$C$1000=$C34)*'ANALYSE - ERP =&gt; SOUS-SEGMENT'!$Q$8:$Q$1000*'ANALYSE - ERP =&gt; SOUS-SEGMENT'!$AF$8:$AF$1000),""))</f>
        <v>0.5</v>
      </c>
      <c r="BC34" s="948">
        <f>IF($C34="","",IFERROR(SUMPRODUCT(('ANALYSE - ERP =&gt; SOUS-SEGMENT'!$C$8:$C$1000=$C34)*'ANALYSE - ERP =&gt; SOUS-SEGMENT'!$Q$8:$Q$1000*'ANALYSE - ERP =&gt; SOUS-SEGMENT'!$AF$8:$AF$1000*'ANALYSE - ERP =&gt; SOUS-SEGMENT'!$BC$8:$BC$1000)/SUMPRODUCT(('ANALYSE - ERP =&gt; SOUS-SEGMENT'!$C$8:$C$1000=$C34)*'ANALYSE - ERP =&gt; SOUS-SEGMENT'!$Q$8:$Q$1000*'ANALYSE - ERP =&gt; SOUS-SEGMENT'!$AF$8:$AF$1000),""))</f>
        <v>3</v>
      </c>
      <c r="BD34" s="825">
        <f t="shared" si="1"/>
        <v>36140</v>
      </c>
      <c r="BE34" s="304">
        <f>IF($C34="","",SUMPRODUCT(('ANALYSE - ERP =&gt; SOUS-SEGMENT'!$C$8:$C$1000=$C34)*'ANALYSE - ERP =&gt; SOUS-SEGMENT'!$Q$8:$Q$1000*'ANALYSE - ERP =&gt; SOUS-SEGMENT'!$BE$8:$BE$1000))</f>
        <v>16680</v>
      </c>
      <c r="BF34" s="304">
        <f>IF($C34="","",SUMPRODUCT(('ANALYSE - ERP =&gt; SOUS-SEGMENT'!$C$8:$C$1000=$C34)*'ANALYSE - ERP =&gt; SOUS-SEGMENT'!$Q$8:$Q$1000*'ANALYSE - ERP =&gt; SOUS-SEGMENT'!$BF$8:$BF$1000))</f>
        <v>0</v>
      </c>
      <c r="BG34" s="304">
        <f>IF($C34="","",SUMPRODUCT(('ANALYSE - ERP =&gt; SOUS-SEGMENT'!$C$8:$C$1000=$C34)*'ANALYSE - ERP =&gt; SOUS-SEGMENT'!$Q$8:$Q$1000*'ANALYSE - ERP =&gt; SOUS-SEGMENT'!$BG$8:$BG$1000))</f>
        <v>2780</v>
      </c>
      <c r="BH34" s="304">
        <f>IF($C34="","",SUMPRODUCT(('ANALYSE - ERP =&gt; SOUS-SEGMENT'!$C$8:$C$1000=$C34)*'ANALYSE - ERP =&gt; SOUS-SEGMENT'!$Q$8:$Q$1000*'ANALYSE - ERP =&gt; SOUS-SEGMENT'!$BH$8:$BH$1000))</f>
        <v>16680</v>
      </c>
      <c r="BI34" s="825">
        <f t="shared" si="2"/>
        <v>37180</v>
      </c>
      <c r="BJ34" s="304">
        <f>IF($C34="","",SUMPRODUCT(('ANALYSE - ERP =&gt; SOUS-SEGMENT'!$C$8:$C$1000=$C34)*'ANALYSE - ERP =&gt; SOUS-SEGMENT'!$Q$8:$Q$1000*'ANALYSE - ERP =&gt; SOUS-SEGMENT'!$BJ$8:$BJ$1000))</f>
        <v>17160</v>
      </c>
      <c r="BK34" s="304">
        <f>IF($C34="","",SUMPRODUCT(('ANALYSE - ERP =&gt; SOUS-SEGMENT'!$C$8:$C$1000=$C34)*'ANALYSE - ERP =&gt; SOUS-SEGMENT'!$Q$8:$Q$1000*'ANALYSE - ERP =&gt; SOUS-SEGMENT'!$BK$8:$BK$1000))</f>
        <v>0</v>
      </c>
      <c r="BL34" s="304">
        <f>IF($C34="","",SUMPRODUCT(('ANALYSE - ERP =&gt; SOUS-SEGMENT'!$C$8:$C$1000=$C34)*'ANALYSE - ERP =&gt; SOUS-SEGMENT'!$Q$8:$Q$1000*'ANALYSE - ERP =&gt; SOUS-SEGMENT'!$BL$8:$BL$1000))</f>
        <v>2860</v>
      </c>
      <c r="BM34" s="304">
        <f>IF($C34="","",SUMPRODUCT(('ANALYSE - ERP =&gt; SOUS-SEGMENT'!$C$8:$C$1000=$C34)*'ANALYSE - ERP =&gt; SOUS-SEGMENT'!$Q$8:$Q$1000*'ANALYSE - ERP =&gt; SOUS-SEGMENT'!$BM$8:$BM$1000))</f>
        <v>17160</v>
      </c>
      <c r="BN34" s="657"/>
      <c r="BO34" s="284">
        <f t="shared" si="3"/>
        <v>0.36</v>
      </c>
      <c r="BP34" s="284">
        <f t="shared" si="4"/>
        <v>0.5</v>
      </c>
      <c r="BQ34" s="284">
        <f t="shared" si="5"/>
        <v>0.1</v>
      </c>
      <c r="BR34" s="710">
        <f t="shared" si="6"/>
        <v>0.04</v>
      </c>
      <c r="BS34" s="707">
        <f t="shared" si="7"/>
        <v>0.31</v>
      </c>
      <c r="BT34" s="284">
        <f t="shared" si="8"/>
        <v>0.51</v>
      </c>
      <c r="BU34" s="284">
        <f t="shared" si="9"/>
        <v>0.15</v>
      </c>
      <c r="BV34" s="710">
        <f t="shared" si="10"/>
        <v>0.03</v>
      </c>
      <c r="BW34" s="714">
        <f t="shared" si="11"/>
        <v>0</v>
      </c>
      <c r="BX34" s="285">
        <f t="shared" si="12"/>
        <v>0</v>
      </c>
      <c r="BY34" s="717">
        <f t="shared" si="13"/>
        <v>0</v>
      </c>
      <c r="BZ34" s="714">
        <f t="shared" si="14"/>
        <v>0</v>
      </c>
      <c r="CA34" s="285">
        <f t="shared" si="15"/>
        <v>0</v>
      </c>
      <c r="CB34" s="717">
        <f t="shared" si="16"/>
        <v>0</v>
      </c>
      <c r="CC34" s="284">
        <f t="shared" si="17"/>
        <v>0.11999999999999998</v>
      </c>
      <c r="CD34" s="284">
        <f t="shared" si="18"/>
        <v>0.5</v>
      </c>
      <c r="CE34" s="284">
        <f t="shared" si="19"/>
        <v>0.15</v>
      </c>
      <c r="CF34" s="710">
        <f t="shared" si="20"/>
        <v>0.22999999999999998</v>
      </c>
      <c r="CG34" s="707">
        <f t="shared" si="21"/>
        <v>0.1</v>
      </c>
      <c r="CH34" s="284">
        <f t="shared" si="22"/>
        <v>0.5</v>
      </c>
      <c r="CI34" s="284">
        <f t="shared" si="23"/>
        <v>0.18</v>
      </c>
      <c r="CJ34" s="710">
        <f t="shared" si="24"/>
        <v>0.22000000000000003</v>
      </c>
      <c r="CK34" s="720">
        <f t="shared" si="25"/>
        <v>0.55000000000000004</v>
      </c>
      <c r="CL34" s="286">
        <f t="shared" si="26"/>
        <v>0.3</v>
      </c>
      <c r="CM34" s="718">
        <f t="shared" si="27"/>
        <v>0.15</v>
      </c>
      <c r="CN34" s="720">
        <f t="shared" si="28"/>
        <v>0.47</v>
      </c>
      <c r="CO34" s="286">
        <f t="shared" si="29"/>
        <v>0.33</v>
      </c>
      <c r="CP34" s="718">
        <f t="shared" si="30"/>
        <v>0.2</v>
      </c>
      <c r="CQ34" s="657"/>
      <c r="CR34" s="807">
        <f>IF($C34="","",IFERROR(SUMPRODUCT(('ANALYSE - ERP =&gt; SOUS-SEGMENT'!$C$8:$C$1000=$C34)*'ANALYSE - ERP =&gt; SOUS-SEGMENT'!$Q$8:$Q$1000*'ANALYSE - ERP =&gt; SOUS-SEGMENT'!$DH$8:$DH$1000*'ANALYSE - ERP =&gt; SOUS-SEGMENT'!$CR$8:$CR$1000)/SUMPRODUCT(('ANALYSE - ERP =&gt; SOUS-SEGMENT'!$C$8:$C$1000=$C34)*'ANALYSE - ERP =&gt; SOUS-SEGMENT'!$Q$8:$Q$1000*'ANALYSE - ERP =&gt; SOUS-SEGMENT'!$DH$8:$DH$1000),""))</f>
        <v>13.000000000000002</v>
      </c>
      <c r="CS34" s="808">
        <f>IF($C34="","",IFERROR(SUMPRODUCT(('ANALYSE - ERP =&gt; SOUS-SEGMENT'!$C$8:$C$1000=$C34)*'ANALYSE - ERP =&gt; SOUS-SEGMENT'!$Q$8:$Q$1000*'ANALYSE - ERP =&gt; SOUS-SEGMENT'!$DI$8:$DI$1000*'ANALYSE - ERP =&gt; SOUS-SEGMENT'!$CS$8:$CS$1000)/SUMPRODUCT(('ANALYSE - ERP =&gt; SOUS-SEGMENT'!$C$8:$C$1000=$C34)*'ANALYSE - ERP =&gt; SOUS-SEGMENT'!$Q$8:$Q$1000*'ANALYSE - ERP =&gt; SOUS-SEGMENT'!$DI$8:$DI$1000),""))</f>
        <v>14</v>
      </c>
      <c r="CT34" s="808">
        <f>IF($C34="","",IFERROR(SUMPRODUCT(('ANALYSE - ERP =&gt; SOUS-SEGMENT'!$C$8:$C$1000=$C34)*'ANALYSE - ERP =&gt; SOUS-SEGMENT'!$Q$8:$Q$1000*'ANALYSE - ERP =&gt; SOUS-SEGMENT'!$DJ$8:$DJ$1000*'ANALYSE - ERP =&gt; SOUS-SEGMENT'!$CT$8:$CT$1000)/SUMPRODUCT(('ANALYSE - ERP =&gt; SOUS-SEGMENT'!$C$8:$C$1000=$C34)*'ANALYSE - ERP =&gt; SOUS-SEGMENT'!$Q$8:$Q$1000*'ANALYSE - ERP =&gt; SOUS-SEGMENT'!$DJ$8:$DJ$1000),""))</f>
        <v>10</v>
      </c>
      <c r="CU34" s="809">
        <f>IF($C34="","",IFERROR(SUMPRODUCT(('ANALYSE - ERP =&gt; SOUS-SEGMENT'!$C$8:$C$1000=$C34)*'ANALYSE - ERP =&gt; SOUS-SEGMENT'!$Q$8:$Q$1000*'ANALYSE - ERP =&gt; SOUS-SEGMENT'!$DK$8:$DK$1000*'ANALYSE - ERP =&gt; SOUS-SEGMENT'!$CU$8:$CU$1000)/SUMPRODUCT(('ANALYSE - ERP =&gt; SOUS-SEGMENT'!$C$8:$C$1000=$C34)*'ANALYSE - ERP =&gt; SOUS-SEGMENT'!$Q$8:$Q$1000*'ANALYSE - ERP =&gt; SOUS-SEGMENT'!$DK$8:$DK$1000),""))</f>
        <v>12</v>
      </c>
      <c r="CV34" s="807" t="str">
        <f>IF($C34="","",IFERROR(SUMPRODUCT(('ANALYSE - ERP =&gt; SOUS-SEGMENT'!$C$8:$C$1000=$C34)*'ANALYSE - ERP =&gt; SOUS-SEGMENT'!$Q$8:$Q$1000*'ANALYSE - ERP =&gt; SOUS-SEGMENT'!$DS$8:$DS$1000*'ANALYSE - ERP =&gt; SOUS-SEGMENT'!$CV$8:$CV$1000)/SUMPRODUCT(('ANALYSE - ERP =&gt; SOUS-SEGMENT'!$C$8:$C$1000=$C34)*'ANALYSE - ERP =&gt; SOUS-SEGMENT'!$Q$8:$Q$1000*'ANALYSE - ERP =&gt; SOUS-SEGMENT'!$DS$8:$DS$1000),""))</f>
        <v/>
      </c>
      <c r="CW34" s="808" t="str">
        <f>IF($C34="","",IFERROR(SUMPRODUCT(('ANALYSE - ERP =&gt; SOUS-SEGMENT'!$C$8:$C$1000=$C34)*'ANALYSE - ERP =&gt; SOUS-SEGMENT'!$Q$8:$Q$1000*'ANALYSE - ERP =&gt; SOUS-SEGMENT'!$DT$8:$DT$1000*'ANALYSE - ERP =&gt; SOUS-SEGMENT'!$CW$8:$CW$1000)/SUMPRODUCT(('ANALYSE - ERP =&gt; SOUS-SEGMENT'!$C$8:$C$1000=$C34)*'ANALYSE - ERP =&gt; SOUS-SEGMENT'!$Q$8:$Q$1000*'ANALYSE - ERP =&gt; SOUS-SEGMENT'!$DT$8:$DT$1000),""))</f>
        <v/>
      </c>
      <c r="CX34" s="809" t="str">
        <f>IF($C34="","",IFERROR(SUMPRODUCT(('ANALYSE - ERP =&gt; SOUS-SEGMENT'!$C$8:$C$1000=$C34)*'ANALYSE - ERP =&gt; SOUS-SEGMENT'!$Q$8:$Q$1000*'ANALYSE - ERP =&gt; SOUS-SEGMENT'!$DU$8:$DU$1000*'ANALYSE - ERP =&gt; SOUS-SEGMENT'!$CX$8:$CX$1000)/SUMPRODUCT(('ANALYSE - ERP =&gt; SOUS-SEGMENT'!$C$8:$C$1000=$C34)*'ANALYSE - ERP =&gt; SOUS-SEGMENT'!$Q$8:$Q$1000*'ANALYSE - ERP =&gt; SOUS-SEGMENT'!$DU$8:$DU$1000),""))</f>
        <v/>
      </c>
      <c r="CY34" s="807">
        <f>IF($C34="","",IFERROR(SUMPRODUCT(('ANALYSE - ERP =&gt; SOUS-SEGMENT'!$C$8:$C$1000=$C34)*'ANALYSE - ERP =&gt; SOUS-SEGMENT'!$Q$8:$Q$1000*'ANALYSE - ERP =&gt; SOUS-SEGMENT'!$EB$8:$EB$1000*'ANALYSE - ERP =&gt; SOUS-SEGMENT'!$CY$8:$CY$1000)/SUMPRODUCT(('ANALYSE - ERP =&gt; SOUS-SEGMENT'!$C$8:$C$1000=$C34)*'ANALYSE - ERP =&gt; SOUS-SEGMENT'!$Q$8:$Q$1000*'ANALYSE - ERP =&gt; SOUS-SEGMENT'!$EB$8:$EB$1000),""))</f>
        <v>11</v>
      </c>
      <c r="CZ34" s="808">
        <f>IF($C34="","",IFERROR(SUMPRODUCT(('ANALYSE - ERP =&gt; SOUS-SEGMENT'!$C$8:$C$1000=$C34)*'ANALYSE - ERP =&gt; SOUS-SEGMENT'!$Q$8:$Q$1000*'ANALYSE - ERP =&gt; SOUS-SEGMENT'!$EC$8:$EC$1000*'ANALYSE - ERP =&gt; SOUS-SEGMENT'!$CZ$8:$CZ$1000)/SUMPRODUCT(('ANALYSE - ERP =&gt; SOUS-SEGMENT'!$C$8:$C$1000=$C34)*'ANALYSE - ERP =&gt; SOUS-SEGMENT'!$Q$8:$Q$1000*'ANALYSE - ERP =&gt; SOUS-SEGMENT'!$EC$8:$EC$1000),""))</f>
        <v>13</v>
      </c>
      <c r="DA34" s="808">
        <f>IF($C34="","",IFERROR(SUMPRODUCT(('ANALYSE - ERP =&gt; SOUS-SEGMENT'!$C$8:$C$1000=$C34)*'ANALYSE - ERP =&gt; SOUS-SEGMENT'!$Q$8:$Q$1000*'ANALYSE - ERP =&gt; SOUS-SEGMENT'!$ED$8:$ED$1000*'ANALYSE - ERP =&gt; SOUS-SEGMENT'!$DA$8:$DA$1000)/SUMPRODUCT(('ANALYSE - ERP =&gt; SOUS-SEGMENT'!$C$8:$C$1000=$C34)*'ANALYSE - ERP =&gt; SOUS-SEGMENT'!$Q$8:$Q$1000*'ANALYSE - ERP =&gt; SOUS-SEGMENT'!$ED$8:$ED$1000),""))</f>
        <v>9</v>
      </c>
      <c r="DB34" s="809">
        <f>IF($C34="","",IFERROR(SUMPRODUCT(('ANALYSE - ERP =&gt; SOUS-SEGMENT'!$C$8:$C$1000=$C34)*'ANALYSE - ERP =&gt; SOUS-SEGMENT'!$Q$8:$Q$1000*'ANALYSE - ERP =&gt; SOUS-SEGMENT'!$EE$8:$EE$1000*'ANALYSE - ERP =&gt; SOUS-SEGMENT'!$DB$8:$DB$1000)/SUMPRODUCT(('ANALYSE - ERP =&gt; SOUS-SEGMENT'!$C$8:$C$1000=$C34)*'ANALYSE - ERP =&gt; SOUS-SEGMENT'!$Q$8:$Q$1000*'ANALYSE - ERP =&gt; SOUS-SEGMENT'!$EE$8:$EE$1000),""))</f>
        <v>11</v>
      </c>
      <c r="DC34" s="807">
        <f>IF($C34="","",IFERROR(SUMPRODUCT(('ANALYSE - ERP =&gt; SOUS-SEGMENT'!$C$8:$C$1000=$C34)*'ANALYSE - ERP =&gt; SOUS-SEGMENT'!$Q$8:$Q$1000*'ANALYSE - ERP =&gt; SOUS-SEGMENT'!$EM$8:$EM$1000*'ANALYSE - ERP =&gt; SOUS-SEGMENT'!$DC$8:$DC$1000)/SUMPRODUCT(('ANALYSE - ERP =&gt; SOUS-SEGMENT'!$C$8:$C$1000=$C34)*'ANALYSE - ERP =&gt; SOUS-SEGMENT'!$Q$8:$Q$1000*'ANALYSE - ERP =&gt; SOUS-SEGMENT'!$EM$8:$EM$1000),""))</f>
        <v>14</v>
      </c>
      <c r="DD34" s="808">
        <f>IF($C34="","",IFERROR(SUMPRODUCT(('ANALYSE - ERP =&gt; SOUS-SEGMENT'!$C$8:$C$1000=$C34)*'ANALYSE - ERP =&gt; SOUS-SEGMENT'!$Q$8:$Q$1000*'ANALYSE - ERP =&gt; SOUS-SEGMENT'!$EN$8:$EN$1000*'ANALYSE - ERP =&gt; SOUS-SEGMENT'!$DD$8:$DD$1000)/SUMPRODUCT(('ANALYSE - ERP =&gt; SOUS-SEGMENT'!$C$8:$C$1000=$C34)*'ANALYSE - ERP =&gt; SOUS-SEGMENT'!$Q$8:$Q$1000*'ANALYSE - ERP =&gt; SOUS-SEGMENT'!$EN$8:$EN$1000),""))</f>
        <v>14</v>
      </c>
      <c r="DE34" s="809">
        <f>IF($C34="","",IFERROR(SUMPRODUCT(('ANALYSE - ERP =&gt; SOUS-SEGMENT'!$C$8:$C$1000=$C34)*'ANALYSE - ERP =&gt; SOUS-SEGMENT'!$Q$8:$Q$1000*'ANALYSE - ERP =&gt; SOUS-SEGMENT'!$EO$8:$EO$1000*'ANALYSE - ERP =&gt; SOUS-SEGMENT'!$DE$8:$DE$1000)/SUMPRODUCT(('ANALYSE - ERP =&gt; SOUS-SEGMENT'!$C$8:$C$1000=$C34)*'ANALYSE - ERP =&gt; SOUS-SEGMENT'!$Q$8:$Q$1000*'ANALYSE - ERP =&gt; SOUS-SEGMENT'!$EO$8:$EO$1000),""))</f>
        <v>10</v>
      </c>
      <c r="DF34" s="921" t="s">
        <v>4701</v>
      </c>
      <c r="DG34" s="657"/>
      <c r="DH34" s="288">
        <f>IF($C34="","",SUMPRODUCT(('ANALYSE - ERP =&gt; SOUS-SEGMENT'!$C$8:$C$1000=$C34)*'ANALYSE - ERP =&gt; SOUS-SEGMENT'!$Q$8:$Q$1000*'ANALYSE - ERP =&gt; SOUS-SEGMENT'!$DH$8:$DH$1000))</f>
        <v>6004.8</v>
      </c>
      <c r="DI34" s="288">
        <f>IF($C34="","",SUMPRODUCT(('ANALYSE - ERP =&gt; SOUS-SEGMENT'!$C$8:$C$1000=$C34)*'ANALYSE - ERP =&gt; SOUS-SEGMENT'!$Q$8:$Q$1000*'ANALYSE - ERP =&gt; SOUS-SEGMENT'!$DI$8:$DI$1000))</f>
        <v>8340</v>
      </c>
      <c r="DJ34" s="288">
        <f>IF($C34="","",SUMPRODUCT(('ANALYSE - ERP =&gt; SOUS-SEGMENT'!$C$8:$C$1000=$C34)*'ANALYSE - ERP =&gt; SOUS-SEGMENT'!$Q$8:$Q$1000*'ANALYSE - ERP =&gt; SOUS-SEGMENT'!$DJ$8:$DJ$1000))</f>
        <v>1668</v>
      </c>
      <c r="DK34" s="288">
        <f>IF($C34="","",SUMPRODUCT(('ANALYSE - ERP =&gt; SOUS-SEGMENT'!$C$8:$C$1000=$C34)*'ANALYSE - ERP =&gt; SOUS-SEGMENT'!$Q$8:$Q$1000*'ANALYSE - ERP =&gt; SOUS-SEGMENT'!$DK$8:$DK$1000))</f>
        <v>667.2</v>
      </c>
      <c r="DL34" s="922" t="s">
        <v>4702</v>
      </c>
      <c r="DM34" s="288">
        <f>IF($C34="","",SUMPRODUCT(('ANALYSE - ERP =&gt; SOUS-SEGMENT'!$C$8:$C$1000=$C34)*'ANALYSE - ERP =&gt; SOUS-SEGMENT'!$Q$8:$Q$1000*'ANALYSE - ERP =&gt; SOUS-SEGMENT'!$DM$8:$DM$1000))</f>
        <v>5319.6</v>
      </c>
      <c r="DN34" s="288">
        <f>IF($C34="","",SUMPRODUCT(('ANALYSE - ERP =&gt; SOUS-SEGMENT'!$C$8:$C$1000=$C34)*'ANALYSE - ERP =&gt; SOUS-SEGMENT'!$Q$8:$Q$1000*'ANALYSE - ERP =&gt; SOUS-SEGMENT'!$DN$8:$DN$1000))</f>
        <v>8751.6</v>
      </c>
      <c r="DO34" s="288">
        <f>IF($C34="","",SUMPRODUCT(('ANALYSE - ERP =&gt; SOUS-SEGMENT'!$C$8:$C$1000=$C34)*'ANALYSE - ERP =&gt; SOUS-SEGMENT'!$Q$8:$Q$1000*'ANALYSE - ERP =&gt; SOUS-SEGMENT'!$DO$8:$DO$1000))</f>
        <v>2574</v>
      </c>
      <c r="DP34" s="288">
        <f>IF($C34="","",SUMPRODUCT(('ANALYSE - ERP =&gt; SOUS-SEGMENT'!$C$8:$C$1000=$C34)*'ANALYSE - ERP =&gt; SOUS-SEGMENT'!$Q$8:$Q$1000*'ANALYSE - ERP =&gt; SOUS-SEGMENT'!$DP$8:$DP$1000))</f>
        <v>514.79999999999995</v>
      </c>
      <c r="DQ34" s="922" t="s">
        <v>2868</v>
      </c>
      <c r="DR34" s="657"/>
      <c r="DS34" s="288">
        <f>IF($C34="","",SUMPRODUCT(('ANALYSE - ERP =&gt; SOUS-SEGMENT'!$C$8:$C$1000=$C34)*'ANALYSE - ERP =&gt; SOUS-SEGMENT'!$Q$8:$Q$1000*'ANALYSE - ERP =&gt; SOUS-SEGMENT'!$DS$8:$DS$1000))</f>
        <v>0</v>
      </c>
      <c r="DT34" s="288">
        <f>IF($C34="","",SUMPRODUCT(('ANALYSE - ERP =&gt; SOUS-SEGMENT'!$C$8:$C$1000=$C34)*'ANALYSE - ERP =&gt; SOUS-SEGMENT'!$Q$8:$Q$1000*'ANALYSE - ERP =&gt; SOUS-SEGMENT'!$DT$8:$DT$1000))</f>
        <v>0</v>
      </c>
      <c r="DU34" s="288">
        <f>IF($C34="","",SUMPRODUCT(('ANALYSE - ERP =&gt; SOUS-SEGMENT'!$C$8:$C$1000=$C34)*'ANALYSE - ERP =&gt; SOUS-SEGMENT'!$Q$8:$Q$1000*'ANALYSE - ERP =&gt; SOUS-SEGMENT'!$DU$8:$DU$1000))</f>
        <v>0</v>
      </c>
      <c r="DV34" s="922" t="s">
        <v>2613</v>
      </c>
      <c r="DW34" s="288">
        <f>IF($C34="","",SUMPRODUCT(('ANALYSE - ERP =&gt; SOUS-SEGMENT'!$C$8:$C$1000=$C34)*'ANALYSE - ERP =&gt; SOUS-SEGMENT'!$Q$8:$Q$1000*'ANALYSE - ERP =&gt; SOUS-SEGMENT'!$DW$8:$DW$1000))</f>
        <v>0</v>
      </c>
      <c r="DX34" s="288">
        <f>IF($C34="","",SUMPRODUCT(('ANALYSE - ERP =&gt; SOUS-SEGMENT'!$C$8:$C$1000=$C34)*'ANALYSE - ERP =&gt; SOUS-SEGMENT'!$Q$8:$Q$1000*'ANALYSE - ERP =&gt; SOUS-SEGMENT'!$DX$8:$DX$1000))</f>
        <v>0</v>
      </c>
      <c r="DY34" s="288">
        <f>IF($C34="","",SUMPRODUCT(('ANALYSE - ERP =&gt; SOUS-SEGMENT'!$C$8:$C$1000=$C34)*'ANALYSE - ERP =&gt; SOUS-SEGMENT'!$Q$8:$Q$1000*'ANALYSE - ERP =&gt; SOUS-SEGMENT'!$DY$8:$DY$1000))</f>
        <v>0</v>
      </c>
      <c r="DZ34" s="922" t="s">
        <v>2613</v>
      </c>
      <c r="EA34" s="657"/>
      <c r="EB34" s="288">
        <f>IF($C34="","",SUMPRODUCT(('ANALYSE - ERP =&gt; SOUS-SEGMENT'!$C$8:$C$1000=$C34)*'ANALYSE - ERP =&gt; SOUS-SEGMENT'!$Q$8:$Q$1000*'ANALYSE - ERP =&gt; SOUS-SEGMENT'!$EB$8:$EB$1000))</f>
        <v>333.59999999999997</v>
      </c>
      <c r="EC34" s="288">
        <f>IF($C34="","",SUMPRODUCT(('ANALYSE - ERP =&gt; SOUS-SEGMENT'!$C$8:$C$1000=$C34)*'ANALYSE - ERP =&gt; SOUS-SEGMENT'!$Q$8:$Q$1000*'ANALYSE - ERP =&gt; SOUS-SEGMENT'!$EC$8:$EC$1000))</f>
        <v>1390</v>
      </c>
      <c r="ED34" s="288">
        <f>IF($C34="","",SUMPRODUCT(('ANALYSE - ERP =&gt; SOUS-SEGMENT'!$C$8:$C$1000=$C34)*'ANALYSE - ERP =&gt; SOUS-SEGMENT'!$Q$8:$Q$1000*'ANALYSE - ERP =&gt; SOUS-SEGMENT'!$ED$8:$ED$1000))</f>
        <v>417</v>
      </c>
      <c r="EE34" s="288">
        <f>IF($C34="","",SUMPRODUCT(('ANALYSE - ERP =&gt; SOUS-SEGMENT'!$C$8:$C$1000=$C34)*'ANALYSE - ERP =&gt; SOUS-SEGMENT'!$Q$8:$Q$1000*'ANALYSE - ERP =&gt; SOUS-SEGMENT'!$EE$8:$EE$1000))</f>
        <v>639.4</v>
      </c>
      <c r="EF34" s="922" t="s">
        <v>4703</v>
      </c>
      <c r="EG34" s="288">
        <f>IF($C34="","",SUMPRODUCT(('ANALYSE - ERP =&gt; SOUS-SEGMENT'!$C$8:$C$1000=$C34)*'ANALYSE - ERP =&gt; SOUS-SEGMENT'!$Q$8:$Q$1000*'ANALYSE - ERP =&gt; SOUS-SEGMENT'!$EG$8:$EG$1000))</f>
        <v>286</v>
      </c>
      <c r="EH34" s="288">
        <f>IF($C34="","",SUMPRODUCT(('ANALYSE - ERP =&gt; SOUS-SEGMENT'!$C$8:$C$1000=$C34)*'ANALYSE - ERP =&gt; SOUS-SEGMENT'!$Q$8:$Q$1000*'ANALYSE - ERP =&gt; SOUS-SEGMENT'!$EH$8:$EH$1000))</f>
        <v>1430</v>
      </c>
      <c r="EI34" s="288">
        <f>IF($C34="","",SUMPRODUCT(('ANALYSE - ERP =&gt; SOUS-SEGMENT'!$C$8:$C$1000=$C34)*'ANALYSE - ERP =&gt; SOUS-SEGMENT'!$Q$8:$Q$1000*'ANALYSE - ERP =&gt; SOUS-SEGMENT'!$EI$8:$EI$1000))</f>
        <v>514.79999999999995</v>
      </c>
      <c r="EJ34" s="288">
        <f>IF($C34="","",SUMPRODUCT(('ANALYSE - ERP =&gt; SOUS-SEGMENT'!$C$8:$C$1000=$C34)*'ANALYSE - ERP =&gt; SOUS-SEGMENT'!$Q$8:$Q$1000*'ANALYSE - ERP =&gt; SOUS-SEGMENT'!$EJ$8:$EJ$1000))</f>
        <v>629.20000000000005</v>
      </c>
      <c r="EK34" s="922" t="s">
        <v>2870</v>
      </c>
      <c r="EL34" s="657"/>
      <c r="EM34" s="288">
        <f>IF($C34="","",SUMPRODUCT(('ANALYSE - ERP =&gt; SOUS-SEGMENT'!$C$8:$C$1000=$C34)*'ANALYSE - ERP =&gt; SOUS-SEGMENT'!$Q$8:$Q$1000*'ANALYSE - ERP =&gt; SOUS-SEGMENT'!$EM$8:$EM$1000))</f>
        <v>9174</v>
      </c>
      <c r="EN34" s="291">
        <f>IF($C34="","",SUMPRODUCT(('ANALYSE - ERP =&gt; SOUS-SEGMENT'!$C$8:$C$1000=$C34)*'ANALYSE - ERP =&gt; SOUS-SEGMENT'!$Q$8:$Q$1000*'ANALYSE - ERP =&gt; SOUS-SEGMENT'!$EN$8:$EN$1000))</f>
        <v>5004</v>
      </c>
      <c r="EO34" s="291">
        <f>IF($C34="","",SUMPRODUCT(('ANALYSE - ERP =&gt; SOUS-SEGMENT'!$C$8:$C$1000=$C34)*'ANALYSE - ERP =&gt; SOUS-SEGMENT'!$Q$8:$Q$1000*'ANALYSE - ERP =&gt; SOUS-SEGMENT'!$EO$8:$EO$1000))</f>
        <v>2502</v>
      </c>
      <c r="EP34" s="922" t="s">
        <v>4704</v>
      </c>
      <c r="EQ34" s="288">
        <f>IF($C34="","",SUMPRODUCT(('ANALYSE - ERP =&gt; SOUS-SEGMENT'!$C$8:$C$1000=$C34)*'ANALYSE - ERP =&gt; SOUS-SEGMENT'!$Q$8:$Q$1000*'ANALYSE - ERP =&gt; SOUS-SEGMENT'!$EQ$8:$EQ$1000))</f>
        <v>8065.2</v>
      </c>
      <c r="ER34" s="291">
        <f>IF($C34="","",SUMPRODUCT(('ANALYSE - ERP =&gt; SOUS-SEGMENT'!$C$8:$C$1000=$C34)*'ANALYSE - ERP =&gt; SOUS-SEGMENT'!$Q$8:$Q$1000*'ANALYSE - ERP =&gt; SOUS-SEGMENT'!$ER$8:$ER$1000))</f>
        <v>5662.8</v>
      </c>
      <c r="ES34" s="291">
        <f>IF($C34="","",SUMPRODUCT(('ANALYSE - ERP =&gt; SOUS-SEGMENT'!$C$8:$C$1000=$C34)*'ANALYSE - ERP =&gt; SOUS-SEGMENT'!$Q$8:$Q$1000*'ANALYSE - ERP =&gt; SOUS-SEGMENT'!$ES$8:$ES$1000))</f>
        <v>3432</v>
      </c>
      <c r="ET34" s="922" t="s">
        <v>2872</v>
      </c>
      <c r="EU34" s="657"/>
      <c r="EV34" s="740">
        <f t="shared" si="31"/>
        <v>0.76401963015474528</v>
      </c>
      <c r="EW34" s="740">
        <f t="shared" si="32"/>
        <v>0.23598036984525469</v>
      </c>
      <c r="EX34" s="563">
        <f t="shared" si="33"/>
        <v>11283.506343116884</v>
      </c>
      <c r="EY34" s="563">
        <f t="shared" si="34"/>
        <v>8620.820343116884</v>
      </c>
      <c r="EZ34" s="563">
        <f t="shared" si="35"/>
        <v>2662.6859999999997</v>
      </c>
      <c r="FA34" s="563">
        <f t="shared" si="36"/>
        <v>5181.0116592857148</v>
      </c>
      <c r="FB34" s="563">
        <f>IF($C34="","",SUMPRODUCT(('ANALYSE - ERP =&gt; SOUS-SEGMENT'!$C$8:$C$1000=$C34)*'ANALYSE - ERP =&gt; SOUS-SEGMENT'!$Q$8:$Q$1000*'ANALYSE - ERP =&gt; SOUS-SEGMENT'!$FB$8:$FB$1000))</f>
        <v>3952.0796592857146</v>
      </c>
      <c r="FC34" s="563">
        <f>IF($C34="","",SUMPRODUCT(('ANALYSE - ERP =&gt; SOUS-SEGMENT'!$C$8:$C$1000=$C34)*'ANALYSE - ERP =&gt; SOUS-SEGMENT'!$Q$8:$Q$1000*'ANALYSE - ERP =&gt; SOUS-SEGMENT'!$FC$8:$FC$1000))</f>
        <v>1228.932</v>
      </c>
      <c r="FD34" s="563">
        <f t="shared" si="37"/>
        <v>0</v>
      </c>
      <c r="FE34" s="563">
        <f>IF($C34="","",SUMPRODUCT(('ANALYSE - ERP =&gt; SOUS-SEGMENT'!$C$8:$C$1000=$C34)*'ANALYSE - ERP =&gt; SOUS-SEGMENT'!$Q$8:$Q$1000*'ANALYSE - ERP =&gt; SOUS-SEGMENT'!$FE$8:$FE$1000))</f>
        <v>0</v>
      </c>
      <c r="FF34" s="563">
        <f>IF($C34="","",SUMPRODUCT(('ANALYSE - ERP =&gt; SOUS-SEGMENT'!$C$8:$C$1000=$C34)*'ANALYSE - ERP =&gt; SOUS-SEGMENT'!$Q$8:$Q$1000*'ANALYSE - ERP =&gt; SOUS-SEGMENT'!$FF$8:$FF$1000))</f>
        <v>0</v>
      </c>
      <c r="FG34" s="563">
        <f t="shared" si="38"/>
        <v>984.3714920454546</v>
      </c>
      <c r="FH34" s="563">
        <f>IF($C34="","",SUMPRODUCT(('ANALYSE - ERP =&gt; SOUS-SEGMENT'!$C$8:$C$1000=$C34)*'ANALYSE - ERP =&gt; SOUS-SEGMENT'!$Q$8:$Q$1000*'ANALYSE - ERP =&gt; SOUS-SEGMENT'!$FH$8:$FH$1000))</f>
        <v>779.5494920454546</v>
      </c>
      <c r="FI34" s="563">
        <f>IF($C34="","",SUMPRODUCT(('ANALYSE - ERP =&gt; SOUS-SEGMENT'!$C$8:$C$1000=$C34)*'ANALYSE - ERP =&gt; SOUS-SEGMENT'!$Q$8:$Q$1000*'ANALYSE - ERP =&gt; SOUS-SEGMENT'!$FI$8:$FI$1000))</f>
        <v>204.822</v>
      </c>
      <c r="FJ34" s="563">
        <f t="shared" si="39"/>
        <v>5118.1231917857149</v>
      </c>
      <c r="FK34" s="563">
        <f>IF($C34="","",SUMPRODUCT(('ANALYSE - ERP =&gt; SOUS-SEGMENT'!$C$8:$C$1000=$C34)*'ANALYSE - ERP =&gt; SOUS-SEGMENT'!$Q$8:$Q$1000*'ANALYSE - ERP =&gt; SOUS-SEGMENT'!$FK$8:$FK$1000))</f>
        <v>3889.1911917857146</v>
      </c>
      <c r="FL34" s="563">
        <f>IF($C34="","",SUMPRODUCT(('ANALYSE - ERP =&gt; SOUS-SEGMENT'!$C$8:$C$1000=$C34)*'ANALYSE - ERP =&gt; SOUS-SEGMENT'!$Q$8:$Q$1000*'ANALYSE - ERP =&gt; SOUS-SEGMENT'!$FL$8:$FL$1000))</f>
        <v>1228.932</v>
      </c>
      <c r="FM34" s="529"/>
      <c r="FN34" s="961" t="s">
        <v>2649</v>
      </c>
      <c r="FO34" s="740">
        <f>IF($C34="","",IFERROR(SUMPRODUCT(('ANALYSE - ERP =&gt; SOUS-SEGMENT'!$C$8:$C$1000=$C34)*'ANALYSE - ERP =&gt; SOUS-SEGMENT'!$Q$8:$Q$1000*'ANALYSE - ERP =&gt; SOUS-SEGMENT'!$AF$8:$AF$1000*'ANALYSE - ERP =&gt; SOUS-SEGMENT'!$FO$8:$FO$1000)/SUMPRODUCT(('ANALYSE - ERP =&gt; SOUS-SEGMENT'!$C$8:$C$1000=$C34)*'ANALYSE - ERP =&gt; SOUS-SEGMENT'!$Q$8:$Q$1000*'ANALYSE - ERP =&gt; SOUS-SEGMENT'!$AF$8:$AF$1000),""))</f>
        <v>4.4900000000000002E-2</v>
      </c>
      <c r="FP34" s="741">
        <f>IF($C34="","",IFERROR(SUMPRODUCT(('ANALYSE - ERP =&gt; SOUS-SEGMENT'!$C$8:$C$1000=$C34)*'ANALYSE - ERP =&gt; SOUS-SEGMENT'!$Q$8:$Q$1000*'ANALYSE - ERP =&gt; SOUS-SEGMENT'!$AF$8:$AF$1000*'ANALYSE - ERP =&gt; SOUS-SEGMENT'!$FP$8:$FP$1000)/SUMPRODUCT(('ANALYSE - ERP =&gt; SOUS-SEGMENT'!$C$8:$C$1000=$C34)*'ANALYSE - ERP =&gt; SOUS-SEGMENT'!$Q$8:$Q$1000*'ANALYSE - ERP =&gt; SOUS-SEGMENT'!$AF$8:$AF$1000),""))</f>
        <v>0.75465000000000004</v>
      </c>
      <c r="FQ34" s="961" t="s">
        <v>4705</v>
      </c>
      <c r="FR34" s="529"/>
      <c r="FS34" s="867">
        <f>IF($C34="","",IFERROR(SUMPRODUCT(('ANALYSE - ERP =&gt; SOUS-SEGMENT'!$C$8:$C$1000=$C34)*'ANALYSE - ERP =&gt; SOUS-SEGMENT'!$Q$8:$Q$1000*'ANALYSE - ERP =&gt; SOUS-SEGMENT'!$EX$8:$EX$1000*'ANALYSE - ERP =&gt; SOUS-SEGMENT'!$FS$8:$FS$1000)/SUMPRODUCT(('ANALYSE - ERP =&gt; SOUS-SEGMENT'!$C$8:$C$1000=$C34)*'ANALYSE - ERP =&gt; SOUS-SEGMENT'!$Q$8:$Q$1000*'ANALYSE - ERP =&gt; SOUS-SEGMENT'!$EX$8:$EX$1000),""))</f>
        <v>2.92</v>
      </c>
      <c r="FT34" s="566">
        <f>IF($C34="","",RANK($FS34,$FS$8:$FS$43,0)+COUNTIF($FS$8:$FS34,$FS34)-1)</f>
        <v>30</v>
      </c>
      <c r="FU34" s="867">
        <f>IF($C34="","",IFERROR(SUMPRODUCT(('ANALYSE - ERP =&gt; SOUS-SEGMENT'!$C$8:$C$1000=$C34)*'ANALYSE - ERP =&gt; SOUS-SEGMENT'!$Q$8:$Q$1000*'ANALYSE - ERP =&gt; SOUS-SEGMENT'!$EY$8:$EY$1000*'ANALYSE - ERP =&gt; SOUS-SEGMENT'!$FU$8:$FU$1000)/SUMPRODUCT(('ANALYSE - ERP =&gt; SOUS-SEGMENT'!$C$8:$C$1000=$C34)*'ANALYSE - ERP =&gt; SOUS-SEGMENT'!$Q$8:$Q$1000*'ANALYSE - ERP =&gt; SOUS-SEGMENT'!$EY$8:$EY$1000),""))</f>
        <v>3.59</v>
      </c>
      <c r="FV34" s="566">
        <f>IF($C34="","",RANK($FU34,$FU$8:$FU$43,0)+COUNTIF($FU$8:$FU34,$FU34)-1)</f>
        <v>30</v>
      </c>
      <c r="FW34" s="867">
        <f>IF($C34="","",IFERROR(SUMPRODUCT(('ANALYSE - ERP =&gt; SOUS-SEGMENT'!$C$8:$C$1000=$C34)*'ANALYSE - ERP =&gt; SOUS-SEGMENT'!$Q$8:$Q$1000*'ANALYSE - ERP =&gt; SOUS-SEGMENT'!$EZ$8:$EZ$1000*'ANALYSE - ERP =&gt; SOUS-SEGMENT'!$FW$8:$FW$1000)/SUMPRODUCT(('ANALYSE - ERP =&gt; SOUS-SEGMENT'!$C$8:$C$1000=$C34)*'ANALYSE - ERP =&gt; SOUS-SEGMENT'!$Q$8:$Q$1000*'ANALYSE - ERP =&gt; SOUS-SEGMENT'!$EZ$8:$EZ$1000),""))</f>
        <v>1.74</v>
      </c>
      <c r="FX34" s="566">
        <f>IF($C34="","",RANK($FW34,$FW$8:$FW$43,0)+COUNTIF($FW$8:$FW34,$FW34)-1)</f>
        <v>31</v>
      </c>
      <c r="FY34" s="529"/>
      <c r="FZ34" s="922" t="s">
        <v>4706</v>
      </c>
      <c r="GA34" s="922" t="s">
        <v>4707</v>
      </c>
      <c r="GB34" s="922" t="s">
        <v>2653</v>
      </c>
      <c r="GC34" s="922" t="s">
        <v>2654</v>
      </c>
      <c r="GD34" s="922" t="s">
        <v>2876</v>
      </c>
      <c r="GE34" s="922" t="s">
        <v>2656</v>
      </c>
      <c r="GF34" s="923" t="s">
        <v>5750</v>
      </c>
      <c r="GG34" s="529"/>
      <c r="GH34" s="563">
        <f t="shared" si="40"/>
        <v>1802.8688400000001</v>
      </c>
      <c r="GI34" s="563">
        <f>IF($C34="","",SUMPRODUCT(('ANALYSE - ERP =&gt; SOUS-SEGMENT'!$C$8:$C$1000=$C34)*'ANALYSE - ERP =&gt; SOUS-SEGMENT'!$Q$8:$Q$1000*'ANALYSE - ERP =&gt; SOUS-SEGMENT'!$GI$8:$GI$1000))</f>
        <v>1421.8999200000001</v>
      </c>
      <c r="GJ34" s="563">
        <f>IF($C34="","",SUMPRODUCT(('ANALYSE - ERP =&gt; SOUS-SEGMENT'!$C$8:$C$1000=$C34)*'ANALYSE - ERP =&gt; SOUS-SEGMENT'!$Q$8:$Q$1000*'ANALYSE - ERP =&gt; SOUS-SEGMENT'!$GJ$8:$GJ$1000))</f>
        <v>380.96892000000003</v>
      </c>
      <c r="GK34" s="563">
        <f t="shared" si="41"/>
        <v>2418.510034285714</v>
      </c>
      <c r="GL34" s="563">
        <f>IF($C34="","",SUMPRODUCT(('ANALYSE - ERP =&gt; SOUS-SEGMENT'!$C$8:$C$1000=$C34)*'ANALYSE - ERP =&gt; SOUS-SEGMENT'!$Q$8:$Q$1000*'ANALYSE - ERP =&gt; SOUS-SEGMENT'!$GL$8:$GL$1000))</f>
        <v>1791.7547142857143</v>
      </c>
      <c r="GM34" s="563">
        <f>IF($C34="","",SUMPRODUCT(('ANALYSE - ERP =&gt; SOUS-SEGMENT'!$C$8:$C$1000=$C34)*'ANALYSE - ERP =&gt; SOUS-SEGMENT'!$Q$8:$Q$1000*'ANALYSE - ERP =&gt; SOUS-SEGMENT'!$GM$8:$GM$1000))</f>
        <v>626.75531999999998</v>
      </c>
      <c r="GN34" s="563">
        <f t="shared" si="42"/>
        <v>746.47858499999995</v>
      </c>
      <c r="GO34" s="563">
        <f>IF($C34="","",SUMPRODUCT(('ANALYSE - ERP =&gt; SOUS-SEGMENT'!$C$8:$C$1000=$C34)*'ANALYSE - ERP =&gt; SOUS-SEGMENT'!$Q$8:$Q$1000*'ANALYSE - ERP =&gt; SOUS-SEGMENT'!$GO$8:$GO$1000))</f>
        <v>562.13878499999998</v>
      </c>
      <c r="GP34" s="563">
        <f>IF($C34="","",SUMPRODUCT(('ANALYSE - ERP =&gt; SOUS-SEGMENT'!$C$8:$C$1000=$C34)*'ANALYSE - ERP =&gt; SOUS-SEGMENT'!$Q$8:$Q$1000*'ANALYSE - ERP =&gt; SOUS-SEGMENT'!$GP$8:$GP$1000))</f>
        <v>184.3398</v>
      </c>
      <c r="GQ34" s="563">
        <f t="shared" si="43"/>
        <v>213.15420000000006</v>
      </c>
      <c r="GR34" s="563">
        <f>IF($C34="","",SUMPRODUCT(('ANALYSE - ERP =&gt; SOUS-SEGMENT'!$C$8:$C$1000=$C34)*'ANALYSE - ERP =&gt; SOUS-SEGMENT'!$Q$8:$Q$1000*'ANALYSE - ERP =&gt; SOUS-SEGMENT'!$GR$8:$GR$1000))</f>
        <v>176.28624000000005</v>
      </c>
      <c r="GS34" s="563">
        <f>IF($C34="","",SUMPRODUCT(('ANALYSE - ERP =&gt; SOUS-SEGMENT'!$C$8:$C$1000=$C34)*'ANALYSE - ERP =&gt; SOUS-SEGMENT'!$Q$8:$Q$1000*'ANALYSE - ERP =&gt; SOUS-SEGMENT'!$GS$8:$GS$1000))</f>
        <v>36.867959999999997</v>
      </c>
      <c r="GT34" s="563">
        <f t="shared" si="44"/>
        <v>0</v>
      </c>
      <c r="GU34" s="563">
        <f>IF($C34="","",SUMPRODUCT(('ANALYSE - ERP =&gt; SOUS-SEGMENT'!$C$8:$C$1000=$C34)*'ANALYSE - ERP =&gt; SOUS-SEGMENT'!$Q$8:$Q$1000*'ANALYSE - ERP =&gt; SOUS-SEGMENT'!$GU$8:$GU$1000))</f>
        <v>0</v>
      </c>
      <c r="GV34" s="563">
        <f>IF($C34="","",SUMPRODUCT(('ANALYSE - ERP =&gt; SOUS-SEGMENT'!$C$8:$C$1000=$C34)*'ANALYSE - ERP =&gt; SOUS-SEGMENT'!$Q$8:$Q$1000*'ANALYSE - ERP =&gt; SOUS-SEGMENT'!$GV$8:$GV$1000))</f>
        <v>0</v>
      </c>
      <c r="GW34" s="563">
        <f t="shared" si="45"/>
        <v>0</v>
      </c>
      <c r="GX34" s="563">
        <f>IF($C34="","",SUMPRODUCT(('ANALYSE - ERP =&gt; SOUS-SEGMENT'!$C$8:$C$1000=$C34)*'ANALYSE - ERP =&gt; SOUS-SEGMENT'!$Q$8:$Q$1000*'ANALYSE - ERP =&gt; SOUS-SEGMENT'!$GX$8:$GX$1000))</f>
        <v>0</v>
      </c>
      <c r="GY34" s="563">
        <f>IF($C34="","",SUMPRODUCT(('ANALYSE - ERP =&gt; SOUS-SEGMENT'!$C$8:$C$1000=$C34)*'ANALYSE - ERP =&gt; SOUS-SEGMENT'!$Q$8:$Q$1000*'ANALYSE - ERP =&gt; SOUS-SEGMENT'!$GY$8:$GY$1000))</f>
        <v>0</v>
      </c>
      <c r="GZ34" s="563">
        <f t="shared" si="46"/>
        <v>0</v>
      </c>
      <c r="HA34" s="563">
        <f>IF($C34="","",SUMPRODUCT(('ANALYSE - ERP =&gt; SOUS-SEGMENT'!$C$8:$C$1000=$C34)*'ANALYSE - ERP =&gt; SOUS-SEGMENT'!$Q$8:$Q$1000*'ANALYSE - ERP =&gt; SOUS-SEGMENT'!$HA$8:$HA$1000))</f>
        <v>0</v>
      </c>
      <c r="HB34" s="563">
        <f>IF($C34="","",SUMPRODUCT(('ANALYSE - ERP =&gt; SOUS-SEGMENT'!$C$8:$C$1000=$C34)*'ANALYSE - ERP =&gt; SOUS-SEGMENT'!$Q$8:$Q$1000*'ANALYSE - ERP =&gt; SOUS-SEGMENT'!$HB$8:$HB$1000))</f>
        <v>0</v>
      </c>
      <c r="HC34" s="563">
        <f t="shared" si="47"/>
        <v>120.05483727272728</v>
      </c>
      <c r="HD34" s="563">
        <f>IF($C34="","",SUMPRODUCT(('ANALYSE - ERP =&gt; SOUS-SEGMENT'!$C$8:$C$1000=$C34)*'ANALYSE - ERP =&gt; SOUS-SEGMENT'!$Q$8:$Q$1000*'ANALYSE - ERP =&gt; SOUS-SEGMENT'!$HD$8:$HD$1000))</f>
        <v>99.572637272727277</v>
      </c>
      <c r="HE34" s="563">
        <f>IF($C34="","",SUMPRODUCT(('ANALYSE - ERP =&gt; SOUS-SEGMENT'!$C$8:$C$1000=$C34)*'ANALYSE - ERP =&gt; SOUS-SEGMENT'!$Q$8:$Q$1000*'ANALYSE - ERP =&gt; SOUS-SEGMENT'!$HE$8:$HE$1000))</f>
        <v>20.482200000000002</v>
      </c>
      <c r="HF34" s="563">
        <f t="shared" si="48"/>
        <v>431.55450000000002</v>
      </c>
      <c r="HG34" s="563">
        <f>IF($C34="","",SUMPRODUCT(('ANALYSE - ERP =&gt; SOUS-SEGMENT'!$C$8:$C$1000=$C34)*'ANALYSE - ERP =&gt; SOUS-SEGMENT'!$Q$8:$Q$1000*'ANALYSE - ERP =&gt; SOUS-SEGMENT'!$HG$8:$HG$1000))</f>
        <v>329.14350000000002</v>
      </c>
      <c r="HH34" s="563">
        <f>IF($C34="","",SUMPRODUCT(('ANALYSE - ERP =&gt; SOUS-SEGMENT'!$C$8:$C$1000=$C34)*'ANALYSE - ERP =&gt; SOUS-SEGMENT'!$Q$8:$Q$1000*'ANALYSE - ERP =&gt; SOUS-SEGMENT'!$HH$8:$HH$1000))</f>
        <v>102.411</v>
      </c>
      <c r="HI34" s="563">
        <f t="shared" si="49"/>
        <v>196.85376000000002</v>
      </c>
      <c r="HJ34" s="563">
        <f>IF($C34="","",SUMPRODUCT(('ANALYSE - ERP =&gt; SOUS-SEGMENT'!$C$8:$C$1000=$C34)*'ANALYSE - ERP =&gt; SOUS-SEGMENT'!$Q$8:$Q$1000*'ANALYSE - ERP =&gt; SOUS-SEGMENT'!$HJ$8:$HJ$1000))</f>
        <v>159.98580000000001</v>
      </c>
      <c r="HK34" s="563">
        <f>IF($C34="","",SUMPRODUCT(('ANALYSE - ERP =&gt; SOUS-SEGMENT'!$C$8:$C$1000=$C34)*'ANALYSE - ERP =&gt; SOUS-SEGMENT'!$Q$8:$Q$1000*'ANALYSE - ERP =&gt; SOUS-SEGMENT'!$HK$8:$HK$1000))</f>
        <v>36.867959999999997</v>
      </c>
      <c r="HL34" s="563">
        <f t="shared" si="50"/>
        <v>235.90839477272726</v>
      </c>
      <c r="HM34" s="563">
        <f>IF($C34="","",SUMPRODUCT(('ANALYSE - ERP =&gt; SOUS-SEGMENT'!$C$8:$C$1000=$C34)*'ANALYSE - ERP =&gt; SOUS-SEGMENT'!$Q$8:$Q$1000*'ANALYSE - ERP =&gt; SOUS-SEGMENT'!$HM$8:$HM$1000))</f>
        <v>190.84755477272728</v>
      </c>
      <c r="HN34" s="563">
        <f>IF($C34="","",SUMPRODUCT(('ANALYSE - ERP =&gt; SOUS-SEGMENT'!$C$8:$C$1000=$C34)*'ANALYSE - ERP =&gt; SOUS-SEGMENT'!$Q$8:$Q$1000*'ANALYSE - ERP =&gt; SOUS-SEGMENT'!$HN$8:$HN$1000))</f>
        <v>45.060839999999999</v>
      </c>
      <c r="HO34" s="563">
        <f t="shared" si="51"/>
        <v>2548.5282257142858</v>
      </c>
      <c r="HP34" s="563">
        <f>IF($C34="","",SUMPRODUCT(('ANALYSE - ERP =&gt; SOUS-SEGMENT'!$C$8:$C$1000=$C34)*'ANALYSE - ERP =&gt; SOUS-SEGMENT'!$Q$8:$Q$1000*'ANALYSE - ERP =&gt; SOUS-SEGMENT'!$HP$8:$HP$1000))</f>
        <v>1970.9301857142859</v>
      </c>
      <c r="HQ34" s="563">
        <f>IF($C34="","",SUMPRODUCT(('ANALYSE - ERP =&gt; SOUS-SEGMENT'!$C$8:$C$1000=$C34)*'ANALYSE - ERP =&gt; SOUS-SEGMENT'!$Q$8:$Q$1000*'ANALYSE - ERP =&gt; SOUS-SEGMENT'!$HQ$8:$HQ$1000))</f>
        <v>577.59803999999997</v>
      </c>
      <c r="HR34" s="563">
        <f t="shared" si="52"/>
        <v>1480.6003885714288</v>
      </c>
      <c r="HS34" s="563">
        <f>IF($C34="","",SUMPRODUCT(('ANALYSE - ERP =&gt; SOUS-SEGMENT'!$C$8:$C$1000=$C34)*'ANALYSE - ERP =&gt; SOUS-SEGMENT'!$Q$8:$Q$1000*'ANALYSE - ERP =&gt; SOUS-SEGMENT'!$HS$8:$HS$1000))</f>
        <v>1075.0528285714288</v>
      </c>
      <c r="HT34" s="563">
        <f>IF($C34="","",SUMPRODUCT(('ANALYSE - ERP =&gt; SOUS-SEGMENT'!$C$8:$C$1000=$C34)*'ANALYSE - ERP =&gt; SOUS-SEGMENT'!$Q$8:$Q$1000*'ANALYSE - ERP =&gt; SOUS-SEGMENT'!$HT$8:$HT$1000))</f>
        <v>405.54756000000003</v>
      </c>
      <c r="HU34" s="563">
        <f t="shared" si="53"/>
        <v>1088.9945775000001</v>
      </c>
      <c r="HV34" s="563">
        <f>IF($C34="","",SUMPRODUCT(('ANALYSE - ERP =&gt; SOUS-SEGMENT'!$C$8:$C$1000=$C34)*'ANALYSE - ERP =&gt; SOUS-SEGMENT'!$Q$8:$Q$1000*'ANALYSE - ERP =&gt; SOUS-SEGMENT'!$HV$8:$HV$1000))</f>
        <v>843.20817750000003</v>
      </c>
      <c r="HW34" s="563">
        <f>IF($C34="","",SUMPRODUCT(('ANALYSE - ERP =&gt; SOUS-SEGMENT'!$C$8:$C$1000=$C34)*'ANALYSE - ERP =&gt; SOUS-SEGMENT'!$Q$8:$Q$1000*'ANALYSE - ERP =&gt; SOUS-SEGMENT'!$HW$8:$HW$1000))</f>
        <v>245.78640000000001</v>
      </c>
      <c r="HX34" s="544"/>
      <c r="HY34" s="568">
        <f t="shared" si="54"/>
        <v>36140</v>
      </c>
      <c r="HZ34" s="568">
        <f>IF($C34="","",SUMPRODUCT(('ANALYSE - ERP =&gt; SOUS-SEGMENT'!$C$8:$C$1000=$C34)*'ANALYSE - ERP =&gt; SOUS-SEGMENT'!$Q$8:$Q$1000*'ANALYSE - ERP =&gt; SOUS-SEGMENT'!$HZ$8:$HZ$1000))</f>
        <v>3875.8760000000002</v>
      </c>
      <c r="IA34" s="568">
        <f>IF($C34="","",SUMPRODUCT(('ANALYSE - ERP =&gt; SOUS-SEGMENT'!$C$8:$C$1000=$C34)*'ANALYSE - ERP =&gt; SOUS-SEGMENT'!$Q$8:$Q$1000*'ANALYSE - ERP =&gt; SOUS-SEGMENT'!$IA$8:$IA$1000))</f>
        <v>19543.121999999999</v>
      </c>
      <c r="IB34" s="568">
        <f>IF($C34="","",SUMPRODUCT(('ANALYSE - ERP =&gt; SOUS-SEGMENT'!$C$8:$C$1000=$C34)*'ANALYSE - ERP =&gt; SOUS-SEGMENT'!$Q$8:$Q$1000*'ANALYSE - ERP =&gt; SOUS-SEGMENT'!$IB$8:$IB$1000))</f>
        <v>11776.358</v>
      </c>
      <c r="IC34" s="568">
        <f>IF($C34="","",SUMPRODUCT(('ANALYSE - ERP =&gt; SOUS-SEGMENT'!$C$8:$C$1000=$C34)*'ANALYSE - ERP =&gt; SOUS-SEGMENT'!$Q$8:$Q$1000*'ANALYSE - ERP =&gt; SOUS-SEGMENT'!$IC$8:$IC$1000))</f>
        <v>944.64400000000001</v>
      </c>
      <c r="ID34" s="568">
        <f>IF($C34="","",SUMPRODUCT(('ANALYSE - ERP =&gt; SOUS-SEGMENT'!$C$8:$C$1000=$C34)*'ANALYSE - ERP =&gt; SOUS-SEGMENT'!$Q$8:$Q$1000*'ANALYSE - ERP =&gt; SOUS-SEGMENT'!$ID$8:$ID$1000))</f>
        <v>0</v>
      </c>
      <c r="IE34" s="568">
        <f t="shared" si="55"/>
        <v>8620.820343116884</v>
      </c>
      <c r="IF34" s="568">
        <f>IF($C34="","",SUMPRODUCT(('ANALYSE - ERP =&gt; SOUS-SEGMENT'!$C$8:$C$1000=$C34)*'ANALYSE - ERP =&gt; SOUS-SEGMENT'!$Q$8:$Q$1000*'ANALYSE - ERP =&gt; SOUS-SEGMENT'!$IF$8:$IF$1000))</f>
        <v>789.7947268503508</v>
      </c>
      <c r="IG34" s="568">
        <f>IF($C34="","",SUMPRODUCT(('ANALYSE - ERP =&gt; SOUS-SEGMENT'!$C$8:$C$1000=$C34)*'ANALYSE - ERP =&gt; SOUS-SEGMENT'!$Q$8:$Q$1000*'ANALYSE - ERP =&gt; SOUS-SEGMENT'!$IG$8:$IG$1000))</f>
        <v>4499.2888579646005</v>
      </c>
      <c r="IH34" s="568">
        <f>IF($C34="","",SUMPRODUCT(('ANALYSE - ERP =&gt; SOUS-SEGMENT'!$C$8:$C$1000=$C34)*'ANALYSE - ERP =&gt; SOUS-SEGMENT'!$Q$8:$Q$1000*'ANALYSE - ERP =&gt; SOUS-SEGMENT'!$IH$8:$IH$1000))</f>
        <v>2936.5142471505005</v>
      </c>
      <c r="II34" s="568">
        <f>IF($C34="","",SUMPRODUCT(('ANALYSE - ERP =&gt; SOUS-SEGMENT'!$C$8:$C$1000=$C34)*'ANALYSE - ERP =&gt; SOUS-SEGMENT'!$Q$8:$Q$1000*'ANALYSE - ERP =&gt; SOUS-SEGMENT'!$II$8:$II$1000))</f>
        <v>364.18755791621106</v>
      </c>
      <c r="IJ34" s="568">
        <f>IF($C34="","",SUMPRODUCT(('ANALYSE - ERP =&gt; SOUS-SEGMENT'!$C$8:$C$1000=$C34)*'ANALYSE - ERP =&gt; SOUS-SEGMENT'!$Q$8:$Q$1000*'ANALYSE - ERP =&gt; SOUS-SEGMENT'!$IJ$8:$IJ$1000))</f>
        <v>31.03495323522078</v>
      </c>
      <c r="IK34" s="868">
        <f>IF($C34="","",IFERROR(SUMPRODUCT(('ANALYSE - ERP =&gt; SOUS-SEGMENT'!$C$8:$C$1000=$C34)*'ANALYSE - ERP =&gt; SOUS-SEGMENT'!$Q$8:$Q$1000*'ANALYSE - ERP =&gt; SOUS-SEGMENT'!$IE$8:$IE$1000*'ANALYSE - ERP =&gt; SOUS-SEGMENT'!$IK$8:$IK$1000)/SUMPRODUCT(('ANALYSE - ERP =&gt; SOUS-SEGMENT'!$C$8:$C$1000=$C34)*'ANALYSE - ERP =&gt; SOUS-SEGMENT'!$Q$8:$Q$1000*'ANALYSE - ERP =&gt; SOUS-SEGMENT'!$IE$8:$IE$1000),""))</f>
        <v>4.03</v>
      </c>
      <c r="IL34" s="962" t="s">
        <v>2589</v>
      </c>
      <c r="IM34" s="963" t="s">
        <v>4708</v>
      </c>
      <c r="IN34" s="529"/>
      <c r="IO34" s="742">
        <f>IF($C34="","",IFERROR(SUMPRODUCT(('ANALYSE - ERP =&gt; SOUS-SEGMENT'!$C$8:$C$1000=$C34)*'ANALYSE - ERP =&gt; SOUS-SEGMENT'!$Q$8:$Q$1000*'ANALYSE - ERP =&gt; SOUS-SEGMENT'!$BE$8:$BE$1000*'ANALYSE - ERP =&gt; SOUS-SEGMENT'!$IO$8:$IO$1000)/SUMPRODUCT(('ANALYSE - ERP =&gt; SOUS-SEGMENT'!$C$8:$C$1000=$C34)*'ANALYSE - ERP =&gt; SOUS-SEGMENT'!$Q$8:$Q$1000*'ANALYSE - ERP =&gt; SOUS-SEGMENT'!$BE$8:$BE$1000),""))</f>
        <v>0.1</v>
      </c>
      <c r="IP34" s="742">
        <f>IF($C34="","",IFERROR(SUMPRODUCT(('ANALYSE - ERP =&gt; SOUS-SEGMENT'!$C$8:$C$1000=$C34)*'ANALYSE - ERP =&gt; SOUS-SEGMENT'!$Q$8:$Q$1000*'ANALYSE - ERP =&gt; SOUS-SEGMENT'!$BE$8:$BE$1000*'ANALYSE - ERP =&gt; SOUS-SEGMENT'!$IP$8:$IP$1000)/SUMPRODUCT(('ANALYSE - ERP =&gt; SOUS-SEGMENT'!$C$8:$C$1000=$C34)*'ANALYSE - ERP =&gt; SOUS-SEGMENT'!$Q$8:$Q$1000*'ANALYSE - ERP =&gt; SOUS-SEGMENT'!$BE$8:$BE$1000),""))</f>
        <v>0.53</v>
      </c>
      <c r="IQ34" s="742">
        <f>IF($C34="","",IFERROR(SUMPRODUCT(('ANALYSE - ERP =&gt; SOUS-SEGMENT'!$C$8:$C$1000=$C34)*'ANALYSE - ERP =&gt; SOUS-SEGMENT'!$Q$8:$Q$1000*'ANALYSE - ERP =&gt; SOUS-SEGMENT'!$BE$8:$BE$1000*'ANALYSE - ERP =&gt; SOUS-SEGMENT'!$IQ$8:$IQ$1000)/SUMPRODUCT(('ANALYSE - ERP =&gt; SOUS-SEGMENT'!$C$8:$C$1000=$C34)*'ANALYSE - ERP =&gt; SOUS-SEGMENT'!$Q$8:$Q$1000*'ANALYSE - ERP =&gt; SOUS-SEGMENT'!$BE$8:$BE$1000),""))</f>
        <v>0.34</v>
      </c>
      <c r="IR34" s="742">
        <f>IF($C34="","",IFERROR(SUMPRODUCT(('ANALYSE - ERP =&gt; SOUS-SEGMENT'!$C$8:$C$1000=$C34)*'ANALYSE - ERP =&gt; SOUS-SEGMENT'!$Q$8:$Q$1000*'ANALYSE - ERP =&gt; SOUS-SEGMENT'!$BE$8:$BE$1000*'ANALYSE - ERP =&gt; SOUS-SEGMENT'!$IR$8:$IR$1000)/SUMPRODUCT(('ANALYSE - ERP =&gt; SOUS-SEGMENT'!$C$8:$C$1000=$C34)*'ANALYSE - ERP =&gt; SOUS-SEGMENT'!$Q$8:$Q$1000*'ANALYSE - ERP =&gt; SOUS-SEGMENT'!$BE$8:$BE$1000),""))</f>
        <v>0.03</v>
      </c>
      <c r="IS34" s="742">
        <f>IF($C34="","",IFERROR(SUMPRODUCT(('ANALYSE - ERP =&gt; SOUS-SEGMENT'!$C$8:$C$1000=$C34)*'ANALYSE - ERP =&gt; SOUS-SEGMENT'!$Q$8:$Q$1000*'ANALYSE - ERP =&gt; SOUS-SEGMENT'!$BE$8:$BE$1000*'ANALYSE - ERP =&gt; SOUS-SEGMENT'!$IS$8:$IS$1000)/SUMPRODUCT(('ANALYSE - ERP =&gt; SOUS-SEGMENT'!$C$8:$C$1000=$C34)*'ANALYSE - ERP =&gt; SOUS-SEGMENT'!$Q$8:$Q$1000*'ANALYSE - ERP =&gt; SOUS-SEGMENT'!$BE$8:$BE$1000),""))</f>
        <v>0</v>
      </c>
      <c r="IT34" s="742">
        <f>IF($C34="","",IFERROR(SUMPRODUCT(('ANALYSE - ERP =&gt; SOUS-SEGMENT'!$C$8:$C$1000=$C34)*'ANALYSE - ERP =&gt; SOUS-SEGMENT'!$Q$8:$Q$1000*'ANALYSE - ERP =&gt; SOUS-SEGMENT'!$FB$8:$FB$1000*'ANALYSE - ERP =&gt; SOUS-SEGMENT'!$IT$8:$IT$1000)/SUMPRODUCT(('ANALYSE - ERP =&gt; SOUS-SEGMENT'!$C$8:$C$1000=$C34)*'ANALYSE - ERP =&gt; SOUS-SEGMENT'!$Q$8:$Q$1000*'ANALYSE - ERP =&gt; SOUS-SEGMENT'!$FB$8:$FB$1000),""))</f>
        <v>8.3699999999999997E-2</v>
      </c>
      <c r="IU34" s="742">
        <f>IF($C34="","",IFERROR(SUMPRODUCT(('ANALYSE - ERP =&gt; SOUS-SEGMENT'!$C$8:$C$1000=$C34)*'ANALYSE - ERP =&gt; SOUS-SEGMENT'!$Q$8:$Q$1000*'ANALYSE - ERP =&gt; SOUS-SEGMENT'!$FB$8:$FB$1000*'ANALYSE - ERP =&gt; SOUS-SEGMENT'!$IU$8:$IU$1000)/SUMPRODUCT(('ANALYSE - ERP =&gt; SOUS-SEGMENT'!$C$8:$C$1000=$C34)*'ANALYSE - ERP =&gt; SOUS-SEGMENT'!$Q$8:$Q$1000*'ANALYSE - ERP =&gt; SOUS-SEGMENT'!$FB$8:$FB$1000),""))</f>
        <v>0.5101</v>
      </c>
      <c r="IV34" s="742">
        <f>IF($C34="","",IFERROR(SUMPRODUCT(('ANALYSE - ERP =&gt; SOUS-SEGMENT'!$C$8:$C$1000=$C34)*'ANALYSE - ERP =&gt; SOUS-SEGMENT'!$Q$8:$Q$1000*'ANALYSE - ERP =&gt; SOUS-SEGMENT'!$FB$8:$FB$1000*'ANALYSE - ERP =&gt; SOUS-SEGMENT'!$IV$8:$IV$1000)/SUMPRODUCT(('ANALYSE - ERP =&gt; SOUS-SEGMENT'!$C$8:$C$1000=$C34)*'ANALYSE - ERP =&gt; SOUS-SEGMENT'!$Q$8:$Q$1000*'ANALYSE - ERP =&gt; SOUS-SEGMENT'!$FB$8:$FB$1000),""))</f>
        <v>0.35630000000000006</v>
      </c>
      <c r="IW34" s="742">
        <f>IF($C34="","",IFERROR(SUMPRODUCT(('ANALYSE - ERP =&gt; SOUS-SEGMENT'!$C$8:$C$1000=$C34)*'ANALYSE - ERP =&gt; SOUS-SEGMENT'!$Q$8:$Q$1000*'ANALYSE - ERP =&gt; SOUS-SEGMENT'!$FB$8:$FB$1000*'ANALYSE - ERP =&gt; SOUS-SEGMENT'!$IW$8:$IW$1000)/SUMPRODUCT(('ANALYSE - ERP =&gt; SOUS-SEGMENT'!$C$8:$C$1000=$C34)*'ANALYSE - ERP =&gt; SOUS-SEGMENT'!$Q$8:$Q$1000*'ANALYSE - ERP =&gt; SOUS-SEGMENT'!$FB$8:$FB$1000),""))</f>
        <v>4.6300000000000001E-2</v>
      </c>
      <c r="IX34" s="742">
        <f>IF($C34="","",IFERROR(SUMPRODUCT(('ANALYSE - ERP =&gt; SOUS-SEGMENT'!$C$8:$C$1000=$C34)*'ANALYSE - ERP =&gt; SOUS-SEGMENT'!$Q$8:$Q$1000*'ANALYSE - ERP =&gt; SOUS-SEGMENT'!$FB$8:$FB$1000*'ANALYSE - ERP =&gt; SOUS-SEGMENT'!$IX$8:$IX$1000)/SUMPRODUCT(('ANALYSE - ERP =&gt; SOUS-SEGMENT'!$C$8:$C$1000=$C34)*'ANALYSE - ERP =&gt; SOUS-SEGMENT'!$Q$8:$Q$1000*'ANALYSE - ERP =&gt; SOUS-SEGMENT'!$FB$8:$FB$1000),""))</f>
        <v>3.5999999999999999E-3</v>
      </c>
      <c r="IY34" s="742" t="str">
        <f>IF($C34="","",IFERROR(SUMPRODUCT(('ANALYSE - ERP =&gt; SOUS-SEGMENT'!$C$8:$C$1000=$C34)*'ANALYSE - ERP =&gt; SOUS-SEGMENT'!$Q$8:$Q$1000*'ANALYSE - ERP =&gt; SOUS-SEGMENT'!$BF$8:$BF$1000*'ANALYSE - ERP =&gt; SOUS-SEGMENT'!$IY$8:$IY$1000)/SUMPRODUCT(('ANALYSE - ERP =&gt; SOUS-SEGMENT'!$C$8:$C$1000=$C34)*'ANALYSE - ERP =&gt; SOUS-SEGMENT'!$Q$8:$Q$1000*'ANALYSE - ERP =&gt; SOUS-SEGMENT'!$BF$8:$BF$1000),""))</f>
        <v/>
      </c>
      <c r="IZ34" s="742" t="str">
        <f>IF($C34="","",IFERROR(SUMPRODUCT(('ANALYSE - ERP =&gt; SOUS-SEGMENT'!$C$8:$C$1000=$C34)*'ANALYSE - ERP =&gt; SOUS-SEGMENT'!$Q$8:$Q$1000*'ANALYSE - ERP =&gt; SOUS-SEGMENT'!$BF$8:$BF$1000*'ANALYSE - ERP =&gt; SOUS-SEGMENT'!$IZ$8:$IZ$1000)/SUMPRODUCT(('ANALYSE - ERP =&gt; SOUS-SEGMENT'!$C$8:$C$1000=$C34)*'ANALYSE - ERP =&gt; SOUS-SEGMENT'!$Q$8:$Q$1000*'ANALYSE - ERP =&gt; SOUS-SEGMENT'!$BF$8:$BF$1000),""))</f>
        <v/>
      </c>
      <c r="JA34" s="742" t="str">
        <f>IF($C34="","",IFERROR(SUMPRODUCT(('ANALYSE - ERP =&gt; SOUS-SEGMENT'!$C$8:$C$1000=$C34)*'ANALYSE - ERP =&gt; SOUS-SEGMENT'!$Q$8:$Q$1000*'ANALYSE - ERP =&gt; SOUS-SEGMENT'!$BF$8:$BF$1000*'ANALYSE - ERP =&gt; SOUS-SEGMENT'!$JA$8:$JA$1000)/SUMPRODUCT(('ANALYSE - ERP =&gt; SOUS-SEGMENT'!$C$8:$C$1000=$C34)*'ANALYSE - ERP =&gt; SOUS-SEGMENT'!$Q$8:$Q$1000*'ANALYSE - ERP =&gt; SOUS-SEGMENT'!$BF$8:$BF$1000),""))</f>
        <v/>
      </c>
      <c r="JB34" s="742" t="str">
        <f>IF($C34="","",IFERROR(SUMPRODUCT(('ANALYSE - ERP =&gt; SOUS-SEGMENT'!$C$8:$C$1000=$C34)*'ANALYSE - ERP =&gt; SOUS-SEGMENT'!$Q$8:$Q$1000*'ANALYSE - ERP =&gt; SOUS-SEGMENT'!$BF$8:$BF$1000*'ANALYSE - ERP =&gt; SOUS-SEGMENT'!$JB$8:$JB$1000)/SUMPRODUCT(('ANALYSE - ERP =&gt; SOUS-SEGMENT'!$C$8:$C$1000=$C34)*'ANALYSE - ERP =&gt; SOUS-SEGMENT'!$Q$8:$Q$1000*'ANALYSE - ERP =&gt; SOUS-SEGMENT'!$BF$8:$BF$1000),""))</f>
        <v/>
      </c>
      <c r="JC34" s="742" t="str">
        <f>IF($C34="","",IFERROR(SUMPRODUCT(('ANALYSE - ERP =&gt; SOUS-SEGMENT'!$C$8:$C$1000=$C34)*'ANALYSE - ERP =&gt; SOUS-SEGMENT'!$Q$8:$Q$1000*'ANALYSE - ERP =&gt; SOUS-SEGMENT'!$BF$8:$BF$1000*'ANALYSE - ERP =&gt; SOUS-SEGMENT'!$JC$8:$JC$1000)/SUMPRODUCT(('ANALYSE - ERP =&gt; SOUS-SEGMENT'!$C$8:$C$1000=$C34)*'ANALYSE - ERP =&gt; SOUS-SEGMENT'!$Q$8:$Q$1000*'ANALYSE - ERP =&gt; SOUS-SEGMENT'!$BF$8:$BF$1000),""))</f>
        <v/>
      </c>
      <c r="JD34" s="742" t="str">
        <f>IF($C34="","",IFERROR(SUMPRODUCT(('ANALYSE - ERP =&gt; SOUS-SEGMENT'!$C$8:$C$1000=$C34)*'ANALYSE - ERP =&gt; SOUS-SEGMENT'!$Q$8:$Q$1000*'ANALYSE - ERP =&gt; SOUS-SEGMENT'!$FE$8:$FE$1000*'ANALYSE - ERP =&gt; SOUS-SEGMENT'!$JD$8:$JD$1000)/SUMPRODUCT(('ANALYSE - ERP =&gt; SOUS-SEGMENT'!$C$8:$C$1000=$C34)*'ANALYSE - ERP =&gt; SOUS-SEGMENT'!$Q$8:$Q$1000*'ANALYSE - ERP =&gt; SOUS-SEGMENT'!$FE$8:$FE$1000),""))</f>
        <v/>
      </c>
      <c r="JE34" s="742" t="str">
        <f>IF($C34="","",IFERROR(SUMPRODUCT(('ANALYSE - ERP =&gt; SOUS-SEGMENT'!$C$8:$C$1000=$C34)*'ANALYSE - ERP =&gt; SOUS-SEGMENT'!$Q$8:$Q$1000*'ANALYSE - ERP =&gt; SOUS-SEGMENT'!$FE$8:$FE$1000*'ANALYSE - ERP =&gt; SOUS-SEGMENT'!$JE$8:$JE$1000)/SUMPRODUCT(('ANALYSE - ERP =&gt; SOUS-SEGMENT'!$C$8:$C$1000=$C34)*'ANALYSE - ERP =&gt; SOUS-SEGMENT'!$Q$8:$Q$1000*'ANALYSE - ERP =&gt; SOUS-SEGMENT'!$FE$8:$FE$1000),""))</f>
        <v/>
      </c>
      <c r="JF34" s="742" t="str">
        <f>IF($C34="","",IFERROR(SUMPRODUCT(('ANALYSE - ERP =&gt; SOUS-SEGMENT'!$C$8:$C$1000=$C34)*'ANALYSE - ERP =&gt; SOUS-SEGMENT'!$Q$8:$Q$1000*'ANALYSE - ERP =&gt; SOUS-SEGMENT'!$FE$8:$FE$1000*'ANALYSE - ERP =&gt; SOUS-SEGMENT'!$JF$8:$JF$1000)/SUMPRODUCT(('ANALYSE - ERP =&gt; SOUS-SEGMENT'!$C$8:$C$1000=$C34)*'ANALYSE - ERP =&gt; SOUS-SEGMENT'!$Q$8:$Q$1000*'ANALYSE - ERP =&gt; SOUS-SEGMENT'!$FE$8:$FE$1000),""))</f>
        <v/>
      </c>
      <c r="JG34" s="742" t="str">
        <f>IF($C34="","",IFERROR(SUMPRODUCT(('ANALYSE - ERP =&gt; SOUS-SEGMENT'!$C$8:$C$1000=$C34)*'ANALYSE - ERP =&gt; SOUS-SEGMENT'!$Q$8:$Q$1000*'ANALYSE - ERP =&gt; SOUS-SEGMENT'!$FE$8:$FE$1000*'ANALYSE - ERP =&gt; SOUS-SEGMENT'!$JG$8:$JG$1000)/SUMPRODUCT(('ANALYSE - ERP =&gt; SOUS-SEGMENT'!$C$8:$C$1000=$C34)*'ANALYSE - ERP =&gt; SOUS-SEGMENT'!$Q$8:$Q$1000*'ANALYSE - ERP =&gt; SOUS-SEGMENT'!$FE$8:$FE$1000),""))</f>
        <v/>
      </c>
      <c r="JH34" s="742" t="str">
        <f>IF($C34="","",IFERROR(SUMPRODUCT(('ANALYSE - ERP =&gt; SOUS-SEGMENT'!$C$8:$C$1000=$C34)*'ANALYSE - ERP =&gt; SOUS-SEGMENT'!$Q$8:$Q$1000*'ANALYSE - ERP =&gt; SOUS-SEGMENT'!$FE$8:$FE$1000*'ANALYSE - ERP =&gt; SOUS-SEGMENT'!$JH$8:$JH$1000)/SUMPRODUCT(('ANALYSE - ERP =&gt; SOUS-SEGMENT'!$C$8:$C$1000=$C34)*'ANALYSE - ERP =&gt; SOUS-SEGMENT'!$Q$8:$Q$1000*'ANALYSE - ERP =&gt; SOUS-SEGMENT'!$FE$8:$FE$1000),""))</f>
        <v/>
      </c>
      <c r="JI34" s="742">
        <f>IF($C34="","",IFERROR(SUMPRODUCT(('ANALYSE - ERP =&gt; SOUS-SEGMENT'!$C$8:$C$1000=$C34)*'ANALYSE - ERP =&gt; SOUS-SEGMENT'!$Q$8:$Q$1000*'ANALYSE - ERP =&gt; SOUS-SEGMENT'!$BG$8:$BG$1000*'ANALYSE - ERP =&gt; SOUS-SEGMENT'!$JI$8:$JI$1000)/SUMPRODUCT(('ANALYSE - ERP =&gt; SOUS-SEGMENT'!$C$8:$C$1000=$C34)*'ANALYSE - ERP =&gt; SOUS-SEGMENT'!$Q$8:$Q$1000*'ANALYSE - ERP =&gt; SOUS-SEGMENT'!$BG$8:$BG$1000),""))</f>
        <v>0.15459999999999999</v>
      </c>
      <c r="JJ34" s="742">
        <f>IF($C34="","",IFERROR(SUMPRODUCT(('ANALYSE - ERP =&gt; SOUS-SEGMENT'!$C$8:$C$1000=$C34)*'ANALYSE - ERP =&gt; SOUS-SEGMENT'!$Q$8:$Q$1000*'ANALYSE - ERP =&gt; SOUS-SEGMENT'!$BG$8:$BG$1000*'ANALYSE - ERP =&gt; SOUS-SEGMENT'!$JJ$8:$JJ$1000)/SUMPRODUCT(('ANALYSE - ERP =&gt; SOUS-SEGMENT'!$C$8:$C$1000=$C34)*'ANALYSE - ERP =&gt; SOUS-SEGMENT'!$Q$8:$Q$1000*'ANALYSE - ERP =&gt; SOUS-SEGMENT'!$BG$8:$BG$1000),""))</f>
        <v>0.61470000000000002</v>
      </c>
      <c r="JK34" s="742">
        <f>IF($C34="","",IFERROR(SUMPRODUCT(('ANALYSE - ERP =&gt; SOUS-SEGMENT'!$C$8:$C$1000=$C34)*'ANALYSE - ERP =&gt; SOUS-SEGMENT'!$Q$8:$Q$1000*'ANALYSE - ERP =&gt; SOUS-SEGMENT'!$BG$8:$BG$1000*'ANALYSE - ERP =&gt; SOUS-SEGMENT'!$JK$8:$JK$1000)/SUMPRODUCT(('ANALYSE - ERP =&gt; SOUS-SEGMENT'!$C$8:$C$1000=$C34)*'ANALYSE - ERP =&gt; SOUS-SEGMENT'!$Q$8:$Q$1000*'ANALYSE - ERP =&gt; SOUS-SEGMENT'!$BG$8:$BG$1000),""))</f>
        <v>0.21909999999999999</v>
      </c>
      <c r="JL34" s="742">
        <f>IF($C34="","",IFERROR(SUMPRODUCT(('ANALYSE - ERP =&gt; SOUS-SEGMENT'!$C$8:$C$1000=$C34)*'ANALYSE - ERP =&gt; SOUS-SEGMENT'!$Q$8:$Q$1000*'ANALYSE - ERP =&gt; SOUS-SEGMENT'!$BG$8:$BG$1000*'ANALYSE - ERP =&gt; SOUS-SEGMENT'!$JL$8:$JL$1000)/SUMPRODUCT(('ANALYSE - ERP =&gt; SOUS-SEGMENT'!$C$8:$C$1000=$C34)*'ANALYSE - ERP =&gt; SOUS-SEGMENT'!$Q$8:$Q$1000*'ANALYSE - ERP =&gt; SOUS-SEGMENT'!$BG$8:$BG$1000),""))</f>
        <v>1.1599999999999999E-2</v>
      </c>
      <c r="JM34" s="742">
        <f>IF($C34="","",IFERROR(SUMPRODUCT(('ANALYSE - ERP =&gt; SOUS-SEGMENT'!$C$8:$C$1000=$C34)*'ANALYSE - ERP =&gt; SOUS-SEGMENT'!$Q$8:$Q$1000*'ANALYSE - ERP =&gt; SOUS-SEGMENT'!$BG$8:$BG$1000*'ANALYSE - ERP =&gt; SOUS-SEGMENT'!$JM$8:$JM$1000)/SUMPRODUCT(('ANALYSE - ERP =&gt; SOUS-SEGMENT'!$C$8:$C$1000=$C34)*'ANALYSE - ERP =&gt; SOUS-SEGMENT'!$Q$8:$Q$1000*'ANALYSE - ERP =&gt; SOUS-SEGMENT'!$BG$8:$BG$1000),""))</f>
        <v>0</v>
      </c>
      <c r="JN34" s="742">
        <f>IF($C34="","",IFERROR(SUMPRODUCT(('ANALYSE - ERP =&gt; SOUS-SEGMENT'!$C$8:$C$1000=$C34)*'ANALYSE - ERP =&gt; SOUS-SEGMENT'!$Q$8:$Q$1000*'ANALYSE - ERP =&gt; SOUS-SEGMENT'!$FH$8:$FH$1000*'ANALYSE - ERP =&gt; SOUS-SEGMENT'!$JN$8:$JN$1000)/SUMPRODUCT(('ANALYSE - ERP =&gt; SOUS-SEGMENT'!$C$8:$C$1000=$C34)*'ANALYSE - ERP =&gt; SOUS-SEGMENT'!$Q$8:$Q$1000*'ANALYSE - ERP =&gt; SOUS-SEGMENT'!$FH$8:$FH$1000),""))</f>
        <v>0.13830000000000001</v>
      </c>
      <c r="JO34" s="742">
        <f>IF($C34="","",IFERROR(SUMPRODUCT(('ANALYSE - ERP =&gt; SOUS-SEGMENT'!$C$8:$C$1000=$C34)*'ANALYSE - ERP =&gt; SOUS-SEGMENT'!$Q$8:$Q$1000*'ANALYSE - ERP =&gt; SOUS-SEGMENT'!$FH$8:$FH$1000*'ANALYSE - ERP =&gt; SOUS-SEGMENT'!$JO$8:$JO$1000)/SUMPRODUCT(('ANALYSE - ERP =&gt; SOUS-SEGMENT'!$C$8:$C$1000=$C34)*'ANALYSE - ERP =&gt; SOUS-SEGMENT'!$Q$8:$Q$1000*'ANALYSE - ERP =&gt; SOUS-SEGMENT'!$FH$8:$FH$1000),""))</f>
        <v>0.5948</v>
      </c>
      <c r="JP34" s="742">
        <f>IF($C34="","",IFERROR(SUMPRODUCT(('ANALYSE - ERP =&gt; SOUS-SEGMENT'!$C$8:$C$1000=$C34)*'ANALYSE - ERP =&gt; SOUS-SEGMENT'!$Q$8:$Q$1000*'ANALYSE - ERP =&gt; SOUS-SEGMENT'!$FH$8:$FH$1000*'ANALYSE - ERP =&gt; SOUS-SEGMENT'!$JP$8:$JP$1000)/SUMPRODUCT(('ANALYSE - ERP =&gt; SOUS-SEGMENT'!$C$8:$C$1000=$C34)*'ANALYSE - ERP =&gt; SOUS-SEGMENT'!$Q$8:$Q$1000*'ANALYSE - ERP =&gt; SOUS-SEGMENT'!$FH$8:$FH$1000),""))</f>
        <v>0.2354</v>
      </c>
      <c r="JQ34" s="742">
        <f>IF($C34="","",IFERROR(SUMPRODUCT(('ANALYSE - ERP =&gt; SOUS-SEGMENT'!$C$8:$C$1000=$C34)*'ANALYSE - ERP =&gt; SOUS-SEGMENT'!$Q$8:$Q$1000*'ANALYSE - ERP =&gt; SOUS-SEGMENT'!$FH$8:$FH$1000*'ANALYSE - ERP =&gt; SOUS-SEGMENT'!$JQ$8:$JQ$1000)/SUMPRODUCT(('ANALYSE - ERP =&gt; SOUS-SEGMENT'!$C$8:$C$1000=$C34)*'ANALYSE - ERP =&gt; SOUS-SEGMENT'!$Q$8:$Q$1000*'ANALYSE - ERP =&gt; SOUS-SEGMENT'!$FH$8:$FH$1000),""))</f>
        <v>2.7900000000000001E-2</v>
      </c>
      <c r="JR34" s="742">
        <f>IF($C34="","",IFERROR(SUMPRODUCT(('ANALYSE - ERP =&gt; SOUS-SEGMENT'!$C$8:$C$1000=$C34)*'ANALYSE - ERP =&gt; SOUS-SEGMENT'!$Q$8:$Q$1000*'ANALYSE - ERP =&gt; SOUS-SEGMENT'!$FH$8:$FH$1000*'ANALYSE - ERP =&gt; SOUS-SEGMENT'!$JR$8:$JR$1000)/SUMPRODUCT(('ANALYSE - ERP =&gt; SOUS-SEGMENT'!$C$8:$C$1000=$C34)*'ANALYSE - ERP =&gt; SOUS-SEGMENT'!$Q$8:$Q$1000*'ANALYSE - ERP =&gt; SOUS-SEGMENT'!$FH$8:$FH$1000),""))</f>
        <v>3.6000000000000003E-3</v>
      </c>
      <c r="JS34" s="742">
        <f>IF($C34="","",IFERROR(SUMPRODUCT(('ANALYSE - ERP =&gt; SOUS-SEGMENT'!$C$8:$C$1000=$C34)*'ANALYSE - ERP =&gt; SOUS-SEGMENT'!$Q$8:$Q$1000*'ANALYSE - ERP =&gt; SOUS-SEGMENT'!$BH$8:$BH$1000*'ANALYSE - ERP =&gt; SOUS-SEGMENT'!$JS$8:$JS$1000)/SUMPRODUCT(('ANALYSE - ERP =&gt; SOUS-SEGMENT'!$C$8:$C$1000=$C34)*'ANALYSE - ERP =&gt; SOUS-SEGMENT'!$Q$8:$Q$1000*'ANALYSE - ERP =&gt; SOUS-SEGMENT'!$BH$8:$BH$1000),""))</f>
        <v>0.1066</v>
      </c>
      <c r="JT34" s="742">
        <f>IF($C34="","",IFERROR(SUMPRODUCT(('ANALYSE - ERP =&gt; SOUS-SEGMENT'!$C$8:$C$1000=$C34)*'ANALYSE - ERP =&gt; SOUS-SEGMENT'!$Q$8:$Q$1000*'ANALYSE - ERP =&gt; SOUS-SEGMENT'!$BH$8:$BH$1000*'ANALYSE - ERP =&gt; SOUS-SEGMENT'!$JT$8:$JT$1000)/SUMPRODUCT(('ANALYSE - ERP =&gt; SOUS-SEGMENT'!$C$8:$C$1000=$C34)*'ANALYSE - ERP =&gt; SOUS-SEGMENT'!$Q$8:$Q$1000*'ANALYSE - ERP =&gt; SOUS-SEGMENT'!$BH$8:$BH$1000),""))</f>
        <v>0.53920000000000001</v>
      </c>
      <c r="JU34" s="742">
        <f>IF($C34="","",IFERROR(SUMPRODUCT(('ANALYSE - ERP =&gt; SOUS-SEGMENT'!$C$8:$C$1000=$C34)*'ANALYSE - ERP =&gt; SOUS-SEGMENT'!$Q$8:$Q$1000*'ANALYSE - ERP =&gt; SOUS-SEGMENT'!$BH$8:$BH$1000*'ANALYSE - ERP =&gt; SOUS-SEGMENT'!$JU$8:$JU$1000)/SUMPRODUCT(('ANALYSE - ERP =&gt; SOUS-SEGMENT'!$C$8:$C$1000=$C34)*'ANALYSE - ERP =&gt; SOUS-SEGMENT'!$Q$8:$Q$1000*'ANALYSE - ERP =&gt; SOUS-SEGMENT'!$BH$8:$BH$1000),""))</f>
        <v>0.32950000000000002</v>
      </c>
      <c r="JV34" s="742">
        <f>IF($C34="","",IFERROR(SUMPRODUCT(('ANALYSE - ERP =&gt; SOUS-SEGMENT'!$C$8:$C$1000=$C34)*'ANALYSE - ERP =&gt; SOUS-SEGMENT'!$Q$8:$Q$1000*'ANALYSE - ERP =&gt; SOUS-SEGMENT'!$BH$8:$BH$1000*'ANALYSE - ERP =&gt; SOUS-SEGMENT'!$JV$8:$JV$1000)/SUMPRODUCT(('ANALYSE - ERP =&gt; SOUS-SEGMENT'!$C$8:$C$1000=$C34)*'ANALYSE - ERP =&gt; SOUS-SEGMENT'!$Q$8:$Q$1000*'ANALYSE - ERP =&gt; SOUS-SEGMENT'!$BH$8:$BH$1000),""))</f>
        <v>2.47E-2</v>
      </c>
      <c r="JW34" s="742">
        <f>IF($C34="","",IFERROR(SUMPRODUCT(('ANALYSE - ERP =&gt; SOUS-SEGMENT'!$C$8:$C$1000=$C34)*'ANALYSE - ERP =&gt; SOUS-SEGMENT'!$Q$8:$Q$1000*'ANALYSE - ERP =&gt; SOUS-SEGMENT'!$BH$8:$BH$1000*'ANALYSE - ERP =&gt; SOUS-SEGMENT'!$JW$8:$JW$1000)/SUMPRODUCT(('ANALYSE - ERP =&gt; SOUS-SEGMENT'!$C$8:$C$1000=$C34)*'ANALYSE - ERP =&gt; SOUS-SEGMENT'!$Q$8:$Q$1000*'ANALYSE - ERP =&gt; SOUS-SEGMENT'!$BH$8:$BH$1000),""))</f>
        <v>0</v>
      </c>
      <c r="JX34" s="742">
        <f>IF($C34="","",IFERROR(SUMPRODUCT(('ANALYSE - ERP =&gt; SOUS-SEGMENT'!$C$8:$C$1000=$C34)*'ANALYSE - ERP =&gt; SOUS-SEGMENT'!$Q$8:$Q$1000*'ANALYSE - ERP =&gt; SOUS-SEGMENT'!$FK$8:$FK$1000*'ANALYSE - ERP =&gt; SOUS-SEGMENT'!$JX$8:$JX$1000)/SUMPRODUCT(('ANALYSE - ERP =&gt; SOUS-SEGMENT'!$C$8:$C$1000=$C34)*'ANALYSE - ERP =&gt; SOUS-SEGMENT'!$Q$8:$Q$1000*'ANALYSE - ERP =&gt; SOUS-SEGMENT'!$FK$8:$FK$1000),""))</f>
        <v>9.0300000000000005E-2</v>
      </c>
      <c r="JY34" s="742">
        <f>IF($C34="","",IFERROR(SUMPRODUCT(('ANALYSE - ERP =&gt; SOUS-SEGMENT'!$C$8:$C$1000=$C34)*'ANALYSE - ERP =&gt; SOUS-SEGMENT'!$Q$8:$Q$1000*'ANALYSE - ERP =&gt; SOUS-SEGMENT'!$FK$8:$FK$1000*'ANALYSE - ERP =&gt; SOUS-SEGMENT'!$JY$8:$JY$1000)/SUMPRODUCT(('ANALYSE - ERP =&gt; SOUS-SEGMENT'!$C$8:$C$1000=$C34)*'ANALYSE - ERP =&gt; SOUS-SEGMENT'!$Q$8:$Q$1000*'ANALYSE - ERP =&gt; SOUS-SEGMENT'!$FK$8:$FK$1000),""))</f>
        <v>0.51929999999999998</v>
      </c>
      <c r="JZ34" s="742">
        <f>IF($C34="","",IFERROR(SUMPRODUCT(('ANALYSE - ERP =&gt; SOUS-SEGMENT'!$C$8:$C$1000=$C34)*'ANALYSE - ERP =&gt; SOUS-SEGMENT'!$Q$8:$Q$1000*'ANALYSE - ERP =&gt; SOUS-SEGMENT'!$FK$8:$FK$1000*'ANALYSE - ERP =&gt; SOUS-SEGMENT'!$JZ$8:$JZ$1000)/SUMPRODUCT(('ANALYSE - ERP =&gt; SOUS-SEGMENT'!$C$8:$C$1000=$C34)*'ANALYSE - ERP =&gt; SOUS-SEGMENT'!$Q$8:$Q$1000*'ANALYSE - ERP =&gt; SOUS-SEGMENT'!$FK$8:$FK$1000),""))</f>
        <v>0.3458</v>
      </c>
      <c r="KA34" s="742">
        <f>IF($C34="","",IFERROR(SUMPRODUCT(('ANALYSE - ERP =&gt; SOUS-SEGMENT'!$C$8:$C$1000=$C34)*'ANALYSE - ERP =&gt; SOUS-SEGMENT'!$Q$8:$Q$1000*'ANALYSE - ERP =&gt; SOUS-SEGMENT'!$FK$8:$FK$1000*'ANALYSE - ERP =&gt; SOUS-SEGMENT'!$KA$8:$KA$1000)/SUMPRODUCT(('ANALYSE - ERP =&gt; SOUS-SEGMENT'!$C$8:$C$1000=$C34)*'ANALYSE - ERP =&gt; SOUS-SEGMENT'!$Q$8:$Q$1000*'ANALYSE - ERP =&gt; SOUS-SEGMENT'!$FK$8:$FK$1000),""))</f>
        <v>4.1000000000000002E-2</v>
      </c>
      <c r="KB34" s="742">
        <f>IF($C34="","",IFERROR(SUMPRODUCT(('ANALYSE - ERP =&gt; SOUS-SEGMENT'!$C$8:$C$1000=$C34)*'ANALYSE - ERP =&gt; SOUS-SEGMENT'!$Q$8:$Q$1000*'ANALYSE - ERP =&gt; SOUS-SEGMENT'!$FK$8:$FK$1000*'ANALYSE - ERP =&gt; SOUS-SEGMENT'!$KB$8:$KB$1000)/SUMPRODUCT(('ANALYSE - ERP =&gt; SOUS-SEGMENT'!$C$8:$C$1000=$C34)*'ANALYSE - ERP =&gt; SOUS-SEGMENT'!$Q$8:$Q$1000*'ANALYSE - ERP =&gt; SOUS-SEGMENT'!$FK$8:$FK$1000),""))</f>
        <v>3.5999999999999999E-3</v>
      </c>
      <c r="KC34" s="657"/>
      <c r="KD34" s="924" t="s">
        <v>2590</v>
      </c>
      <c r="KE34" s="924" t="s">
        <v>2590</v>
      </c>
      <c r="KF34" s="869">
        <f>IF($C34="","",IFERROR(SUMPRODUCT(('ANALYSE - ERP =&gt; SOUS-SEGMENT'!$C$8:$C$1000=$C34)*'ANALYSE - ERP =&gt; SOUS-SEGMENT'!$Q$8:$Q$1000*'ANALYSE - ERP =&gt; SOUS-SEGMENT'!$IE$8:$IE$1000*'ANALYSE - ERP =&gt; SOUS-SEGMENT'!$KF$8:$KF$1000)/SUMPRODUCT(('ANALYSE - ERP =&gt; SOUS-SEGMENT'!$C$8:$C$1000=$C34)*'ANALYSE - ERP =&gt; SOUS-SEGMENT'!$Q$8:$Q$1000*'ANALYSE - ERP =&gt; SOUS-SEGMENT'!$IE$8:$IE$1000),""))</f>
        <v>4.0599999999999996</v>
      </c>
      <c r="KG34" s="924" t="s">
        <v>2589</v>
      </c>
      <c r="KH34" s="924" t="s">
        <v>4709</v>
      </c>
      <c r="KI34" s="924" t="s">
        <v>2659</v>
      </c>
      <c r="KJ34" s="924" t="s">
        <v>4710</v>
      </c>
    </row>
    <row r="35" spans="1:296" ht="120" customHeight="1">
      <c r="A35" s="951">
        <f>IF($C35="","",ROWS($A$8:A35))</f>
        <v>28</v>
      </c>
      <c r="B35" s="952" t="s">
        <v>2285</v>
      </c>
      <c r="C35" s="952" t="s">
        <v>4711</v>
      </c>
      <c r="D35" s="952" t="s">
        <v>6063</v>
      </c>
      <c r="E35" s="277" t="s">
        <v>6064</v>
      </c>
      <c r="F35" s="646" t="s">
        <v>6065</v>
      </c>
      <c r="G35" s="646" t="s">
        <v>6066</v>
      </c>
      <c r="H35" s="646" t="s">
        <v>6067</v>
      </c>
      <c r="I35" s="646" t="s">
        <v>6068</v>
      </c>
      <c r="J35" s="646" t="s">
        <v>6069</v>
      </c>
      <c r="K35" s="646" t="s">
        <v>2097</v>
      </c>
      <c r="L35" s="646" t="s">
        <v>2109</v>
      </c>
      <c r="M35" s="646" t="s">
        <v>2603</v>
      </c>
      <c r="N35" s="646" t="s">
        <v>6070</v>
      </c>
      <c r="O35" s="646" t="s">
        <v>6071</v>
      </c>
      <c r="P35" s="646"/>
      <c r="Q35" s="270">
        <f>IF($C35="","",IF(SUMIFS('ANALYSE - ERP =&gt; SOUS-SEGMENT'!$Q$8:$Q$1000,'ANALYSE - ERP =&gt; SOUS-SEGMENT'!$C$8:$C$1000,$C35)&gt;0,1,0))</f>
        <v>1</v>
      </c>
      <c r="R35" s="278">
        <f>IF($C35="","",IFERROR(SUMPRODUCT(('ANALYSE - ERP =&gt; SOUS-SEGMENT'!$C$8:$C$1000=$C35)*'ANALYSE - ERP =&gt; SOUS-SEGMENT'!$Q$8:$Q$1000*'ANALYSE - ERP =&gt; SOUS-SEGMENT'!$AF$8:$AF$1000*'ANALYSE - ERP =&gt; SOUS-SEGMENT'!$R$8:$R$1000)/SUMPRODUCT(('ANALYSE - ERP =&gt; SOUS-SEGMENT'!$C$8:$C$1000=$C35)*'ANALYSE - ERP =&gt; SOUS-SEGMENT'!$Q$8:$Q$1000*'ANALYSE - ERP =&gt; SOUS-SEGMENT'!$AF$8:$AF$1000),""))</f>
        <v>5533.2713347921226</v>
      </c>
      <c r="S35" s="279">
        <f>IF($C35="","",SUMPRODUCT(('ANALYSE - ERP =&gt; SOUS-SEGMENT'!$C$8:$C$1000=$C35)*'ANALYSE - ERP =&gt; SOUS-SEGMENT'!$Q$8:$Q$1000*'ANALYSE - ERP =&gt; SOUS-SEGMENT'!$S$8:$S$1000))</f>
        <v>3004</v>
      </c>
      <c r="T35" s="279">
        <f>IF($C35="","",SUMPRODUCT(('ANALYSE - ERP =&gt; SOUS-SEGMENT'!$C$8:$C$1000=$C35)*'ANALYSE - ERP =&gt; SOUS-SEGMENT'!$Q$8:$Q$1000*'ANALYSE - ERP =&gt; SOUS-SEGMENT'!$T$8:$T$1000))</f>
        <v>3114</v>
      </c>
      <c r="U35" s="279">
        <f>IF($C35="","",SUMPRODUCT(('ANALYSE - ERP =&gt; SOUS-SEGMENT'!$C$8:$C$1000=$C35)*'ANALYSE - ERP =&gt; SOUS-SEGMENT'!$Q$8:$Q$1000*'ANALYSE - ERP =&gt; SOUS-SEGMENT'!$U$8:$U$1000))</f>
        <v>3262</v>
      </c>
      <c r="V35" s="279">
        <f>IF($C35="","",SUMPRODUCT(('ANALYSE - ERP =&gt; SOUS-SEGMENT'!$C$8:$C$1000=$C35)*'ANALYSE - ERP =&gt; SOUS-SEGMENT'!$Q$8:$Q$1000*'ANALYSE - ERP =&gt; SOUS-SEGMENT'!$V$8:$V$1000))</f>
        <v>3392</v>
      </c>
      <c r="W35" s="279">
        <f>IF($C35="","",SUMPRODUCT(('ANALYSE - ERP =&gt; SOUS-SEGMENT'!$C$8:$C$1000=$C35)*'ANALYSE - ERP =&gt; SOUS-SEGMENT'!$Q$8:$Q$1000*'ANALYSE - ERP =&gt; SOUS-SEGMENT'!$W$8:$W$1000))</f>
        <v>3433</v>
      </c>
      <c r="X35" s="279">
        <f>IF($C35="","",SUMPRODUCT(('ANALYSE - ERP =&gt; SOUS-SEGMENT'!$C$8:$C$1000=$C35)*'ANALYSE - ERP =&gt; SOUS-SEGMENT'!$Q$8:$Q$1000*'ANALYSE - ERP =&gt; SOUS-SEGMENT'!$X$8:$X$1000))</f>
        <v>3466</v>
      </c>
      <c r="Y35" s="279">
        <f>IF($C35="","",SUMPRODUCT(('ANALYSE - ERP =&gt; SOUS-SEGMENT'!$C$8:$C$1000=$C35)*'ANALYSE - ERP =&gt; SOUS-SEGMENT'!$Q$8:$Q$1000*'ANALYSE - ERP =&gt; SOUS-SEGMENT'!$Y$8:$Y$1000))</f>
        <v>3515</v>
      </c>
      <c r="Z35" s="279">
        <f>IF($C35="","",SUMPRODUCT(('ANALYSE - ERP =&gt; SOUS-SEGMENT'!$C$8:$C$1000=$C35)*'ANALYSE - ERP =&gt; SOUS-SEGMENT'!$Q$8:$Q$1000*'ANALYSE - ERP =&gt; SOUS-SEGMENT'!$Z$8:$Z$1000))</f>
        <v>3548</v>
      </c>
      <c r="AA35" s="279">
        <f>IF($C35="","",SUMPRODUCT(('ANALYSE - ERP =&gt; SOUS-SEGMENT'!$C$8:$C$1000=$C35)*'ANALYSE - ERP =&gt; SOUS-SEGMENT'!$Q$8:$Q$1000*'ANALYSE - ERP =&gt; SOUS-SEGMENT'!$AA$8:$AA$1000))</f>
        <v>3552</v>
      </c>
      <c r="AB35" s="279">
        <f>IF($C35="","",SUMPRODUCT(('ANALYSE - ERP =&gt; SOUS-SEGMENT'!$C$8:$C$1000=$C35)*'ANALYSE - ERP =&gt; SOUS-SEGMENT'!$Q$8:$Q$1000*'ANALYSE - ERP =&gt; SOUS-SEGMENT'!$AB$8:$AB$1000))</f>
        <v>3567</v>
      </c>
      <c r="AC35" s="279">
        <f>IF($C35="","",SUMPRODUCT(('ANALYSE - ERP =&gt; SOUS-SEGMENT'!$C$8:$C$1000=$C35)*'ANALYSE - ERP =&gt; SOUS-SEGMENT'!$Q$8:$Q$1000*'ANALYSE - ERP =&gt; SOUS-SEGMENT'!$AC$8:$AC$1000))</f>
        <v>3591</v>
      </c>
      <c r="AD35" s="279">
        <f>IF($C35="","",SUMPRODUCT(('ANALYSE - ERP =&gt; SOUS-SEGMENT'!$C$8:$C$1000=$C35)*'ANALYSE - ERP =&gt; SOUS-SEGMENT'!$Q$8:$Q$1000*'ANALYSE - ERP =&gt; SOUS-SEGMENT'!$AD$8:$AD$1000))</f>
        <v>3613</v>
      </c>
      <c r="AE35" s="279">
        <f>IF($C35="","",SUMPRODUCT(('ANALYSE - ERP =&gt; SOUS-SEGMENT'!$C$8:$C$1000=$C35)*'ANALYSE - ERP =&gt; SOUS-SEGMENT'!$Q$8:$Q$1000*'ANALYSE - ERP =&gt; SOUS-SEGMENT'!$AE$8:$AE$1000))</f>
        <v>3637</v>
      </c>
      <c r="AF35" s="279">
        <f>IF($C35="","",SUMPRODUCT(('ANALYSE - ERP =&gt; SOUS-SEGMENT'!$C$8:$C$1000=$C35)*'ANALYSE - ERP =&gt; SOUS-SEGMENT'!$Q$8:$Q$1000*'ANALYSE - ERP =&gt; SOUS-SEGMENT'!$AF$8:$AF$1000))</f>
        <v>3656</v>
      </c>
      <c r="AG35" s="279">
        <f>IF($C35="","",SUMPRODUCT(('ANALYSE - ERP =&gt; SOUS-SEGMENT'!$C$8:$C$1000=$C35)*'ANALYSE - ERP =&gt; SOUS-SEGMENT'!$Q$8:$Q$1000*'ANALYSE - ERP =&gt; SOUS-SEGMENT'!$AG$8:$AG$1000))</f>
        <v>3678</v>
      </c>
      <c r="AH35" s="279">
        <f>IF($C35="","",SUMPRODUCT(('ANALYSE - ERP =&gt; SOUS-SEGMENT'!$C$8:$C$1000=$C35)*'ANALYSE - ERP =&gt; SOUS-SEGMENT'!$Q$8:$Q$1000*'ANALYSE - ERP =&gt; SOUS-SEGMENT'!$AH$8:$AH$1000))</f>
        <v>3702</v>
      </c>
      <c r="AI35" s="279">
        <f>IF($C35="","",SUMPRODUCT(('ANALYSE - ERP =&gt; SOUS-SEGMENT'!$C$8:$C$1000=$C35)*'ANALYSE - ERP =&gt; SOUS-SEGMENT'!$Q$8:$Q$1000*'ANALYSE - ERP =&gt; SOUS-SEGMENT'!$AI$8:$AI$1000))</f>
        <v>3724</v>
      </c>
      <c r="AJ35" s="279">
        <f>IF($C35="","",SUMPRODUCT(('ANALYSE - ERP =&gt; SOUS-SEGMENT'!$C$8:$C$1000=$C35)*'ANALYSE - ERP =&gt; SOUS-SEGMENT'!$Q$8:$Q$1000*'ANALYSE - ERP =&gt; SOUS-SEGMENT'!$AJ$8:$AJ$1000))</f>
        <v>3744</v>
      </c>
      <c r="AK35" s="279">
        <f>IF($C35="","",SUMPRODUCT(('ANALYSE - ERP =&gt; SOUS-SEGMENT'!$C$8:$C$1000=$C35)*'ANALYSE - ERP =&gt; SOUS-SEGMENT'!$Q$8:$Q$1000*'ANALYSE - ERP =&gt; SOUS-SEGMENT'!$AK$8:$AK$1000))</f>
        <v>3765</v>
      </c>
      <c r="AL35" s="646" t="s">
        <v>6072</v>
      </c>
      <c r="AM35" s="646" t="s">
        <v>6073</v>
      </c>
      <c r="AN35" s="646" t="s">
        <v>6074</v>
      </c>
      <c r="AO35" s="657"/>
      <c r="AP35" s="278">
        <f>IF($C35="","",IFERROR(SUMPRODUCT(('ANALYSE - ERP =&gt; SOUS-SEGMENT'!$C$8:$C$1000=$C35)*'ANALYSE - ERP =&gt; SOUS-SEGMENT'!$Q$8:$Q$1000*'ANALYSE - ERP =&gt; SOUS-SEGMENT'!$AF$8:$AF$1000*'ANALYSE - ERP =&gt; SOUS-SEGMENT'!$AP$8:$AP$1000)/SUMPRODUCT(('ANALYSE - ERP =&gt; SOUS-SEGMENT'!$C$8:$C$1000=$C35)*'ANALYSE - ERP =&gt; SOUS-SEGMENT'!$Q$8:$Q$1000*'ANALYSE - ERP =&gt; SOUS-SEGMENT'!$AF$8:$AF$1000),""))</f>
        <v>519.28063457330416</v>
      </c>
      <c r="AQ35" s="278">
        <f>IF($C35="","",IFERROR(SUMPRODUCT(('ANALYSE - ERP =&gt; SOUS-SEGMENT'!$C$8:$C$1000=$C35)*'ANALYSE - ERP =&gt; SOUS-SEGMENT'!$Q$8:$Q$1000*'ANALYSE - ERP =&gt; SOUS-SEGMENT'!$AF$8:$AF$1000*'ANALYSE - ERP =&gt; SOUS-SEGMENT'!$AQ$8:$AQ$1000)/SUMPRODUCT(('ANALYSE - ERP =&gt; SOUS-SEGMENT'!$C$8:$C$1000=$C35)*'ANALYSE - ERP =&gt; SOUS-SEGMENT'!$Q$8:$Q$1000*'ANALYSE - ERP =&gt; SOUS-SEGMENT'!$AF$8:$AF$1000),""))</f>
        <v>441.56920131291031</v>
      </c>
      <c r="AR35" s="278">
        <f>IF($C35="","",IFERROR(SUMPRODUCT(('ANALYSE - ERP =&gt; SOUS-SEGMENT'!$C$8:$C$1000=$C35)*'ANALYSE - ERP =&gt; SOUS-SEGMENT'!$Q$8:$Q$1000*'ANALYSE - ERP =&gt; SOUS-SEGMENT'!$AF$8:$AF$1000*'ANALYSE - ERP =&gt; SOUS-SEGMENT'!$AR$8:$AR$1000)/SUMPRODUCT(('ANALYSE - ERP =&gt; SOUS-SEGMENT'!$C$8:$C$1000=$C35)*'ANALYSE - ERP =&gt; SOUS-SEGMENT'!$Q$8:$Q$1000*'ANALYSE - ERP =&gt; SOUS-SEGMENT'!$AF$8:$AF$1000),""))</f>
        <v>49.041028446389497</v>
      </c>
      <c r="AS35" s="278">
        <f>IF($C35="","",IFERROR(SUMPRODUCT(('ANALYSE - ERP =&gt; SOUS-SEGMENT'!$C$8:$C$1000=$C35)*'ANALYSE - ERP =&gt; SOUS-SEGMENT'!$Q$8:$Q$1000*'ANALYSE - ERP =&gt; SOUS-SEGMENT'!$AF$8:$AF$1000*'ANALYSE - ERP =&gt; SOUS-SEGMENT'!$AS$8:$AS$1000)/SUMPRODUCT(('ANALYSE - ERP =&gt; SOUS-SEGMENT'!$C$8:$C$1000=$C35)*'ANALYSE - ERP =&gt; SOUS-SEGMENT'!$Q$8:$Q$1000*'ANALYSE - ERP =&gt; SOUS-SEGMENT'!$AF$8:$AF$1000),""))</f>
        <v>28.670404814004378</v>
      </c>
      <c r="AT35" s="657"/>
      <c r="AU35" s="646" t="s">
        <v>6075</v>
      </c>
      <c r="AV35" s="646" t="s">
        <v>6076</v>
      </c>
      <c r="AW35" s="646" t="s">
        <v>6077</v>
      </c>
      <c r="AX35" s="646" t="s">
        <v>6078</v>
      </c>
      <c r="AY35" s="657"/>
      <c r="AZ35" s="947">
        <f>IF($C35="","",IFERROR(SUMPRODUCT(('ANALYSE - ERP =&gt; SOUS-SEGMENT'!$C$8:$C$1000=$C35)*'ANALYSE - ERP =&gt; SOUS-SEGMENT'!$Q$8:$Q$1000*'ANALYSE - ERP =&gt; SOUS-SEGMENT'!$AF$8:$AF$1000*'ANALYSE - ERP =&gt; SOUS-SEGMENT'!$AZ$8:$AZ$1000)/SUMPRODUCT(('ANALYSE - ERP =&gt; SOUS-SEGMENT'!$C$8:$C$1000=$C35)*'ANALYSE - ERP =&gt; SOUS-SEGMENT'!$Q$8:$Q$1000*'ANALYSE - ERP =&gt; SOUS-SEGMENT'!$AF$8:$AF$1000),""))</f>
        <v>15.100656455142232</v>
      </c>
      <c r="BA35" s="947">
        <f>IF($C35="","",IFERROR(SUMPRODUCT(('ANALYSE - ERP =&gt; SOUS-SEGMENT'!$C$8:$C$1000=$C35)*'ANALYSE - ERP =&gt; SOUS-SEGMENT'!$Q$8:$Q$1000*'ANALYSE - ERP =&gt; SOUS-SEGMENT'!$AF$8:$AF$1000*'ANALYSE - ERP =&gt; SOUS-SEGMENT'!$BA$8:$BA$1000)/SUMPRODUCT(('ANALYSE - ERP =&gt; SOUS-SEGMENT'!$C$8:$C$1000=$C35)*'ANALYSE - ERP =&gt; SOUS-SEGMENT'!$Q$8:$Q$1000*'ANALYSE - ERP =&gt; SOUS-SEGMENT'!$AF$8:$AF$1000),""))</f>
        <v>2.3271334792122538</v>
      </c>
      <c r="BB35" s="947">
        <f>IF($C35="","",IFERROR(SUMPRODUCT(('ANALYSE - ERP =&gt; SOUS-SEGMENT'!$C$8:$C$1000=$C35)*'ANALYSE - ERP =&gt; SOUS-SEGMENT'!$Q$8:$Q$1000*'ANALYSE - ERP =&gt; SOUS-SEGMENT'!$AF$8:$AF$1000*'ANALYSE - ERP =&gt; SOUS-SEGMENT'!$BB$8:$BB$1000)/SUMPRODUCT(('ANALYSE - ERP =&gt; SOUS-SEGMENT'!$C$8:$C$1000=$C35)*'ANALYSE - ERP =&gt; SOUS-SEGMENT'!$Q$8:$Q$1000*'ANALYSE - ERP =&gt; SOUS-SEGMENT'!$AF$8:$AF$1000),""))</f>
        <v>2.8349288840262581</v>
      </c>
      <c r="BC35" s="947">
        <f>IF($C35="","",IFERROR(SUMPRODUCT(('ANALYSE - ERP =&gt; SOUS-SEGMENT'!$C$8:$C$1000=$C35)*'ANALYSE - ERP =&gt; SOUS-SEGMENT'!$Q$8:$Q$1000*'ANALYSE - ERP =&gt; SOUS-SEGMENT'!$AF$8:$AF$1000*'ANALYSE - ERP =&gt; SOUS-SEGMENT'!$BC$8:$BC$1000)/SUMPRODUCT(('ANALYSE - ERP =&gt; SOUS-SEGMENT'!$C$8:$C$1000=$C35)*'ANALYSE - ERP =&gt; SOUS-SEGMENT'!$Q$8:$Q$1000*'ANALYSE - ERP =&gt; SOUS-SEGMENT'!$AF$8:$AF$1000),""))</f>
        <v>13.712800875273523</v>
      </c>
      <c r="BD35" s="826">
        <f t="shared" si="1"/>
        <v>124214.5</v>
      </c>
      <c r="BE35" s="283">
        <f>IF($C35="","",SUMPRODUCT(('ANALYSE - ERP =&gt; SOUS-SEGMENT'!$C$8:$C$1000=$C35)*'ANALYSE - ERP =&gt; SOUS-SEGMENT'!$Q$8:$Q$1000*'ANALYSE - ERP =&gt; SOUS-SEGMENT'!$BE$8:$BE$1000))</f>
        <v>55208</v>
      </c>
      <c r="BF35" s="283">
        <f>IF($C35="","",SUMPRODUCT(('ANALYSE - ERP =&gt; SOUS-SEGMENT'!$C$8:$C$1000=$C35)*'ANALYSE - ERP =&gt; SOUS-SEGMENT'!$Q$8:$Q$1000*'ANALYSE - ERP =&gt; SOUS-SEGMENT'!$BF$8:$BF$1000))</f>
        <v>8508</v>
      </c>
      <c r="BG35" s="283">
        <f>IF($C35="","",SUMPRODUCT(('ANALYSE - ERP =&gt; SOUS-SEGMENT'!$C$8:$C$1000=$C35)*'ANALYSE - ERP =&gt; SOUS-SEGMENT'!$Q$8:$Q$1000*'ANALYSE - ERP =&gt; SOUS-SEGMENT'!$BG$8:$BG$1000))</f>
        <v>10364.5</v>
      </c>
      <c r="BH35" s="283">
        <f>IF($C35="","",SUMPRODUCT(('ANALYSE - ERP =&gt; SOUS-SEGMENT'!$C$8:$C$1000=$C35)*'ANALYSE - ERP =&gt; SOUS-SEGMENT'!$Q$8:$Q$1000*'ANALYSE - ERP =&gt; SOUS-SEGMENT'!$BH$8:$BH$1000))</f>
        <v>50134</v>
      </c>
      <c r="BI35" s="826">
        <f t="shared" si="2"/>
        <v>127499</v>
      </c>
      <c r="BJ35" s="283">
        <f>IF($C35="","",SUMPRODUCT(('ANALYSE - ERP =&gt; SOUS-SEGMENT'!$C$8:$C$1000=$C35)*'ANALYSE - ERP =&gt; SOUS-SEGMENT'!$Q$8:$Q$1000*'ANALYSE - ERP =&gt; SOUS-SEGMENT'!$BJ$8:$BJ$1000))</f>
        <v>56699</v>
      </c>
      <c r="BK35" s="283">
        <f>IF($C35="","",SUMPRODUCT(('ANALYSE - ERP =&gt; SOUS-SEGMENT'!$C$8:$C$1000=$C35)*'ANALYSE - ERP =&gt; SOUS-SEGMENT'!$Q$8:$Q$1000*'ANALYSE - ERP =&gt; SOUS-SEGMENT'!$BK$8:$BK$1000))</f>
        <v>8680</v>
      </c>
      <c r="BL35" s="283">
        <f>IF($C35="","",SUMPRODUCT(('ANALYSE - ERP =&gt; SOUS-SEGMENT'!$C$8:$C$1000=$C35)*'ANALYSE - ERP =&gt; SOUS-SEGMENT'!$Q$8:$Q$1000*'ANALYSE - ERP =&gt; SOUS-SEGMENT'!$BL$8:$BL$1000))</f>
        <v>10637</v>
      </c>
      <c r="BM35" s="283">
        <f>IF($C35="","",SUMPRODUCT(('ANALYSE - ERP =&gt; SOUS-SEGMENT'!$C$8:$C$1000=$C35)*'ANALYSE - ERP =&gt; SOUS-SEGMENT'!$Q$8:$Q$1000*'ANALYSE - ERP =&gt; SOUS-SEGMENT'!$BM$8:$BM$1000))</f>
        <v>51483</v>
      </c>
      <c r="BN35" s="657"/>
      <c r="BO35" s="305">
        <f t="shared" si="3"/>
        <v>0.10181712795247065</v>
      </c>
      <c r="BP35" s="305">
        <f t="shared" si="4"/>
        <v>0.70640740472395303</v>
      </c>
      <c r="BQ35" s="305">
        <f t="shared" si="5"/>
        <v>0.1376557745254311</v>
      </c>
      <c r="BR35" s="581">
        <f t="shared" si="6"/>
        <v>5.4119692798145193E-2</v>
      </c>
      <c r="BS35" s="706">
        <f t="shared" si="7"/>
        <v>8.3750683433570255E-2</v>
      </c>
      <c r="BT35" s="305">
        <f t="shared" si="8"/>
        <v>0.70877969629093995</v>
      </c>
      <c r="BU35" s="305">
        <f t="shared" si="9"/>
        <v>0.15892537787262562</v>
      </c>
      <c r="BV35" s="581">
        <f t="shared" si="10"/>
        <v>4.854424240286425E-2</v>
      </c>
      <c r="BW35" s="713">
        <f t="shared" si="11"/>
        <v>0.1736835919134932</v>
      </c>
      <c r="BX35" s="306">
        <f t="shared" si="12"/>
        <v>0.76095439586271751</v>
      </c>
      <c r="BY35" s="590">
        <f t="shared" si="13"/>
        <v>6.5362012223789373E-2</v>
      </c>
      <c r="BZ35" s="713">
        <f t="shared" si="14"/>
        <v>0.13938248847926268</v>
      </c>
      <c r="CA35" s="306">
        <f t="shared" si="15"/>
        <v>0.7820046082949309</v>
      </c>
      <c r="CB35" s="590">
        <f t="shared" si="16"/>
        <v>7.8612903225806441E-2</v>
      </c>
      <c r="CC35" s="706">
        <f t="shared" si="17"/>
        <v>6.9889044334024791E-2</v>
      </c>
      <c r="CD35" s="305">
        <f t="shared" si="18"/>
        <v>0.53699406628395008</v>
      </c>
      <c r="CE35" s="305">
        <f t="shared" si="19"/>
        <v>0.13764388055381352</v>
      </c>
      <c r="CF35" s="581">
        <f t="shared" si="20"/>
        <v>0.25547300882821167</v>
      </c>
      <c r="CG35" s="706">
        <f t="shared" si="21"/>
        <v>5.6557299990598844E-2</v>
      </c>
      <c r="CH35" s="305">
        <f t="shared" si="22"/>
        <v>0.53819215944345222</v>
      </c>
      <c r="CI35" s="305">
        <f t="shared" si="23"/>
        <v>0.15735263702171665</v>
      </c>
      <c r="CJ35" s="581">
        <f t="shared" si="24"/>
        <v>0.24789790354423238</v>
      </c>
      <c r="CK35" s="719">
        <f t="shared" si="25"/>
        <v>0.2484720947859736</v>
      </c>
      <c r="CL35" s="307">
        <f t="shared" si="26"/>
        <v>0.51507759205329717</v>
      </c>
      <c r="CM35" s="723">
        <f t="shared" si="27"/>
        <v>0.23645031316072926</v>
      </c>
      <c r="CN35" s="719">
        <f t="shared" si="28"/>
        <v>0.14915700328263698</v>
      </c>
      <c r="CO35" s="307">
        <f t="shared" si="29"/>
        <v>0.5347062137016102</v>
      </c>
      <c r="CP35" s="723">
        <f t="shared" si="30"/>
        <v>0.31613678301575282</v>
      </c>
      <c r="CQ35" s="657"/>
      <c r="CR35" s="804">
        <f>IF($C35="","",IFERROR(SUMPRODUCT(('ANALYSE - ERP =&gt; SOUS-SEGMENT'!$C$8:$C$1000=$C35)*'ANALYSE - ERP =&gt; SOUS-SEGMENT'!$Q$8:$Q$1000*'ANALYSE - ERP =&gt; SOUS-SEGMENT'!$DH$8:$DH$1000*'ANALYSE - ERP =&gt; SOUS-SEGMENT'!$CR$8:$CR$1000)/SUMPRODUCT(('ANALYSE - ERP =&gt; SOUS-SEGMENT'!$C$8:$C$1000=$C35)*'ANALYSE - ERP =&gt; SOUS-SEGMENT'!$Q$8:$Q$1000*'ANALYSE - ERP =&gt; SOUS-SEGMENT'!$DH$8:$DH$1000),""))</f>
        <v>9.5961089604918595</v>
      </c>
      <c r="CS35" s="805">
        <f>IF($C35="","",IFERROR(SUMPRODUCT(('ANALYSE - ERP =&gt; SOUS-SEGMENT'!$C$8:$C$1000=$C35)*'ANALYSE - ERP =&gt; SOUS-SEGMENT'!$Q$8:$Q$1000*'ANALYSE - ERP =&gt; SOUS-SEGMENT'!$DI$8:$DI$1000*'ANALYSE - ERP =&gt; SOUS-SEGMENT'!$CS$8:$CS$1000)/SUMPRODUCT(('ANALYSE - ERP =&gt; SOUS-SEGMENT'!$C$8:$C$1000=$C35)*'ANALYSE - ERP =&gt; SOUS-SEGMENT'!$Q$8:$Q$1000*'ANALYSE - ERP =&gt; SOUS-SEGMENT'!$DI$8:$DI$1000),""))</f>
        <v>11</v>
      </c>
      <c r="CT35" s="805">
        <f>IF($C35="","",IFERROR(SUMPRODUCT(('ANALYSE - ERP =&gt; SOUS-SEGMENT'!$C$8:$C$1000=$C35)*'ANALYSE - ERP =&gt; SOUS-SEGMENT'!$Q$8:$Q$1000*'ANALYSE - ERP =&gt; SOUS-SEGMENT'!$DJ$8:$DJ$1000*'ANALYSE - ERP =&gt; SOUS-SEGMENT'!$CT$8:$CT$1000)/SUMPRODUCT(('ANALYSE - ERP =&gt; SOUS-SEGMENT'!$C$8:$C$1000=$C35)*'ANALYSE - ERP =&gt; SOUS-SEGMENT'!$Q$8:$Q$1000*'ANALYSE - ERP =&gt; SOUS-SEGMENT'!$DJ$8:$DJ$1000),""))</f>
        <v>8</v>
      </c>
      <c r="CU35" s="806">
        <f>IF($C35="","",IFERROR(SUMPRODUCT(('ANALYSE - ERP =&gt; SOUS-SEGMENT'!$C$8:$C$1000=$C35)*'ANALYSE - ERP =&gt; SOUS-SEGMENT'!$Q$8:$Q$1000*'ANALYSE - ERP =&gt; SOUS-SEGMENT'!$DK$8:$DK$1000*'ANALYSE - ERP =&gt; SOUS-SEGMENT'!$CU$8:$CU$1000)/SUMPRODUCT(('ANALYSE - ERP =&gt; SOUS-SEGMENT'!$C$8:$C$1000=$C35)*'ANALYSE - ERP =&gt; SOUS-SEGMENT'!$Q$8:$Q$1000*'ANALYSE - ERP =&gt; SOUS-SEGMENT'!$DK$8:$DK$1000),""))</f>
        <v>9.6728874370782911</v>
      </c>
      <c r="CV35" s="804">
        <f>IF($C35="","",IFERROR(SUMPRODUCT(('ANALYSE - ERP =&gt; SOUS-SEGMENT'!$C$8:$C$1000=$C35)*'ANALYSE - ERP =&gt; SOUS-SEGMENT'!$Q$8:$Q$1000*'ANALYSE - ERP =&gt; SOUS-SEGMENT'!$DS$8:$DS$1000*'ANALYSE - ERP =&gt; SOUS-SEGMENT'!$CV$8:$CV$1000)/SUMPRODUCT(('ANALYSE - ERP =&gt; SOUS-SEGMENT'!$C$8:$C$1000=$C35)*'ANALYSE - ERP =&gt; SOUS-SEGMENT'!$Q$8:$Q$1000*'ANALYSE - ERP =&gt; SOUS-SEGMENT'!$DS$8:$DS$1000),""))</f>
        <v>8.6231305407051497</v>
      </c>
      <c r="CW35" s="805">
        <f>IF($C35="","",IFERROR(SUMPRODUCT(('ANALYSE - ERP =&gt; SOUS-SEGMENT'!$C$8:$C$1000=$C35)*'ANALYSE - ERP =&gt; SOUS-SEGMENT'!$Q$8:$Q$1000*'ANALYSE - ERP =&gt; SOUS-SEGMENT'!$DT$8:$DT$1000*'ANALYSE - ERP =&gt; SOUS-SEGMENT'!$CW$8:$CW$1000)/SUMPRODUCT(('ANALYSE - ERP =&gt; SOUS-SEGMENT'!$C$8:$C$1000=$C35)*'ANALYSE - ERP =&gt; SOUS-SEGMENT'!$Q$8:$Q$1000*'ANALYSE - ERP =&gt; SOUS-SEGMENT'!$DT$8:$DT$1000),""))</f>
        <v>8.3239319143677974</v>
      </c>
      <c r="CX35" s="806">
        <f>IF($C35="","",IFERROR(SUMPRODUCT(('ANALYSE - ERP =&gt; SOUS-SEGMENT'!$C$8:$C$1000=$C35)*'ANALYSE - ERP =&gt; SOUS-SEGMENT'!$Q$8:$Q$1000*'ANALYSE - ERP =&gt; SOUS-SEGMENT'!$DU$8:$DU$1000*'ANALYSE - ERP =&gt; SOUS-SEGMENT'!$CX$8:$CX$1000)/SUMPRODUCT(('ANALYSE - ERP =&gt; SOUS-SEGMENT'!$C$8:$C$1000=$C35)*'ANALYSE - ERP =&gt; SOUS-SEGMENT'!$Q$8:$Q$1000*'ANALYSE - ERP =&gt; SOUS-SEGMENT'!$DU$8:$DU$1000),""))</f>
        <v>7.3902175867649698</v>
      </c>
      <c r="CY35" s="804">
        <f>IF($C35="","",IFERROR(SUMPRODUCT(('ANALYSE - ERP =&gt; SOUS-SEGMENT'!$C$8:$C$1000=$C35)*'ANALYSE - ERP =&gt; SOUS-SEGMENT'!$Q$8:$Q$1000*'ANALYSE - ERP =&gt; SOUS-SEGMENT'!$EB$8:$EB$1000*'ANALYSE - ERP =&gt; SOUS-SEGMENT'!$CY$8:$CY$1000)/SUMPRODUCT(('ANALYSE - ERP =&gt; SOUS-SEGMENT'!$C$8:$C$1000=$C35)*'ANALYSE - ERP =&gt; SOUS-SEGMENT'!$Q$8:$Q$1000*'ANALYSE - ERP =&gt; SOUS-SEGMENT'!$EB$8:$EB$1000),""))</f>
        <v>8</v>
      </c>
      <c r="CZ35" s="805">
        <f>IF($C35="","",IFERROR(SUMPRODUCT(('ANALYSE - ERP =&gt; SOUS-SEGMENT'!$C$8:$C$1000=$C35)*'ANALYSE - ERP =&gt; SOUS-SEGMENT'!$Q$8:$Q$1000*'ANALYSE - ERP =&gt; SOUS-SEGMENT'!$EC$8:$EC$1000*'ANALYSE - ERP =&gt; SOUS-SEGMENT'!$CZ$8:$CZ$1000)/SUMPRODUCT(('ANALYSE - ERP =&gt; SOUS-SEGMENT'!$C$8:$C$1000=$C35)*'ANALYSE - ERP =&gt; SOUS-SEGMENT'!$Q$8:$Q$1000*'ANALYSE - ERP =&gt; SOUS-SEGMENT'!$EC$8:$EC$1000),""))</f>
        <v>10.397346233835069</v>
      </c>
      <c r="DA35" s="805">
        <f>IF($C35="","",IFERROR(SUMPRODUCT(('ANALYSE - ERP =&gt; SOUS-SEGMENT'!$C$8:$C$1000=$C35)*'ANALYSE - ERP =&gt; SOUS-SEGMENT'!$Q$8:$Q$1000*'ANALYSE - ERP =&gt; SOUS-SEGMENT'!$ED$8:$ED$1000*'ANALYSE - ERP =&gt; SOUS-SEGMENT'!$DA$8:$DA$1000)/SUMPRODUCT(('ANALYSE - ERP =&gt; SOUS-SEGMENT'!$C$8:$C$1000=$C35)*'ANALYSE - ERP =&gt; SOUS-SEGMENT'!$Q$8:$Q$1000*'ANALYSE - ERP =&gt; SOUS-SEGMENT'!$ED$8:$ED$1000),""))</f>
        <v>7.5725180673064116</v>
      </c>
      <c r="DB35" s="806">
        <f>IF($C35="","",IFERROR(SUMPRODUCT(('ANALYSE - ERP =&gt; SOUS-SEGMENT'!$C$8:$C$1000=$C35)*'ANALYSE - ERP =&gt; SOUS-SEGMENT'!$Q$8:$Q$1000*'ANALYSE - ERP =&gt; SOUS-SEGMENT'!$EE$8:$EE$1000*'ANALYSE - ERP =&gt; SOUS-SEGMENT'!$DB$8:$DB$1000)/SUMPRODUCT(('ANALYSE - ERP =&gt; SOUS-SEGMENT'!$C$8:$C$1000=$C35)*'ANALYSE - ERP =&gt; SOUS-SEGMENT'!$Q$8:$Q$1000*'ANALYSE - ERP =&gt; SOUS-SEGMENT'!$EE$8:$EE$1000),""))</f>
        <v>9.0000000000000018</v>
      </c>
      <c r="DC35" s="804">
        <f>IF($C35="","",IFERROR(SUMPRODUCT(('ANALYSE - ERP =&gt; SOUS-SEGMENT'!$C$8:$C$1000=$C35)*'ANALYSE - ERP =&gt; SOUS-SEGMENT'!$Q$8:$Q$1000*'ANALYSE - ERP =&gt; SOUS-SEGMENT'!$EM$8:$EM$1000*'ANALYSE - ERP =&gt; SOUS-SEGMENT'!$DC$8:$DC$1000)/SUMPRODUCT(('ANALYSE - ERP =&gt; SOUS-SEGMENT'!$C$8:$C$1000=$C35)*'ANALYSE - ERP =&gt; SOUS-SEGMENT'!$Q$8:$Q$1000*'ANALYSE - ERP =&gt; SOUS-SEGMENT'!$EM$8:$EM$1000),""))</f>
        <v>9.6068122887716854</v>
      </c>
      <c r="DD35" s="805">
        <f>IF($C35="","",IFERROR(SUMPRODUCT(('ANALYSE - ERP =&gt; SOUS-SEGMENT'!$C$8:$C$1000=$C35)*'ANALYSE - ERP =&gt; SOUS-SEGMENT'!$Q$8:$Q$1000*'ANALYSE - ERP =&gt; SOUS-SEGMENT'!$EN$8:$EN$1000*'ANALYSE - ERP =&gt; SOUS-SEGMENT'!$DD$8:$DD$1000)/SUMPRODUCT(('ANALYSE - ERP =&gt; SOUS-SEGMENT'!$C$8:$C$1000=$C35)*'ANALYSE - ERP =&gt; SOUS-SEGMENT'!$Q$8:$Q$1000*'ANALYSE - ERP =&gt; SOUS-SEGMENT'!$EN$8:$EN$1000),""))</f>
        <v>11.356005715856858</v>
      </c>
      <c r="DE35" s="806">
        <f>IF($C35="","",IFERROR(SUMPRODUCT(('ANALYSE - ERP =&gt; SOUS-SEGMENT'!$C$8:$C$1000=$C35)*'ANALYSE - ERP =&gt; SOUS-SEGMENT'!$Q$8:$Q$1000*'ANALYSE - ERP =&gt; SOUS-SEGMENT'!$EO$8:$EO$1000*'ANALYSE - ERP =&gt; SOUS-SEGMENT'!$DE$8:$DE$1000)/SUMPRODUCT(('ANALYSE - ERP =&gt; SOUS-SEGMENT'!$C$8:$C$1000=$C35)*'ANALYSE - ERP =&gt; SOUS-SEGMENT'!$Q$8:$Q$1000*'ANALYSE - ERP =&gt; SOUS-SEGMENT'!$EO$8:$EO$1000),""))</f>
        <v>8.4898685697896106</v>
      </c>
      <c r="DF35" s="919" t="s">
        <v>6079</v>
      </c>
      <c r="DG35" s="657"/>
      <c r="DH35" s="308">
        <f>IF($C35="","",SUMPRODUCT(('ANALYSE - ERP =&gt; SOUS-SEGMENT'!$C$8:$C$1000=$C35)*'ANALYSE - ERP =&gt; SOUS-SEGMENT'!$Q$8:$Q$1000*'ANALYSE - ERP =&gt; SOUS-SEGMENT'!$DH$8:$DH$1000))</f>
        <v>5621.12</v>
      </c>
      <c r="DI35" s="308">
        <f>IF($C35="","",SUMPRODUCT(('ANALYSE - ERP =&gt; SOUS-SEGMENT'!$C$8:$C$1000=$C35)*'ANALYSE - ERP =&gt; SOUS-SEGMENT'!$Q$8:$Q$1000*'ANALYSE - ERP =&gt; SOUS-SEGMENT'!$DI$8:$DI$1000))</f>
        <v>38999.339999999997</v>
      </c>
      <c r="DJ35" s="308">
        <f>IF($C35="","",SUMPRODUCT(('ANALYSE - ERP =&gt; SOUS-SEGMENT'!$C$8:$C$1000=$C35)*'ANALYSE - ERP =&gt; SOUS-SEGMENT'!$Q$8:$Q$1000*'ANALYSE - ERP =&gt; SOUS-SEGMENT'!$DJ$8:$DJ$1000))</f>
        <v>7599.7</v>
      </c>
      <c r="DK35" s="308">
        <f>IF($C35="","",SUMPRODUCT(('ANALYSE - ERP =&gt; SOUS-SEGMENT'!$C$8:$C$1000=$C35)*'ANALYSE - ERP =&gt; SOUS-SEGMENT'!$Q$8:$Q$1000*'ANALYSE - ERP =&gt; SOUS-SEGMENT'!$DK$8:$DK$1000))</f>
        <v>2987.8399999999997</v>
      </c>
      <c r="DL35" s="646" t="s">
        <v>6080</v>
      </c>
      <c r="DM35" s="308">
        <f>IF($C35="","",SUMPRODUCT(('ANALYSE - ERP =&gt; SOUS-SEGMENT'!$C$8:$C$1000=$C35)*'ANALYSE - ERP =&gt; SOUS-SEGMENT'!$Q$8:$Q$1000*'ANALYSE - ERP =&gt; SOUS-SEGMENT'!$DM$8:$DM$1000))</f>
        <v>4748.58</v>
      </c>
      <c r="DN35" s="308">
        <f>IF($C35="","",SUMPRODUCT(('ANALYSE - ERP =&gt; SOUS-SEGMENT'!$C$8:$C$1000=$C35)*'ANALYSE - ERP =&gt; SOUS-SEGMENT'!$Q$8:$Q$1000*'ANALYSE - ERP =&gt; SOUS-SEGMENT'!$DN$8:$DN$1000))</f>
        <v>40187.100000000006</v>
      </c>
      <c r="DO35" s="308">
        <f>IF($C35="","",SUMPRODUCT(('ANALYSE - ERP =&gt; SOUS-SEGMENT'!$C$8:$C$1000=$C35)*'ANALYSE - ERP =&gt; SOUS-SEGMENT'!$Q$8:$Q$1000*'ANALYSE - ERP =&gt; SOUS-SEGMENT'!$DO$8:$DO$1000))</f>
        <v>9010.91</v>
      </c>
      <c r="DP35" s="308">
        <f>IF($C35="","",SUMPRODUCT(('ANALYSE - ERP =&gt; SOUS-SEGMENT'!$C$8:$C$1000=$C35)*'ANALYSE - ERP =&gt; SOUS-SEGMENT'!$Q$8:$Q$1000*'ANALYSE - ERP =&gt; SOUS-SEGMENT'!$DP$8:$DP$1000))</f>
        <v>2752.4100000000003</v>
      </c>
      <c r="DQ35" s="646" t="s">
        <v>6081</v>
      </c>
      <c r="DR35" s="657"/>
      <c r="DS35" s="308">
        <f>IF($C35="","",SUMPRODUCT(('ANALYSE - ERP =&gt; SOUS-SEGMENT'!$C$8:$C$1000=$C35)*'ANALYSE - ERP =&gt; SOUS-SEGMENT'!$Q$8:$Q$1000*'ANALYSE - ERP =&gt; SOUS-SEGMENT'!$DS$8:$DS$1000))</f>
        <v>1477.7</v>
      </c>
      <c r="DT35" s="308">
        <f>IF($C35="","",SUMPRODUCT(('ANALYSE - ERP =&gt; SOUS-SEGMENT'!$C$8:$C$1000=$C35)*'ANALYSE - ERP =&gt; SOUS-SEGMENT'!$Q$8:$Q$1000*'ANALYSE - ERP =&gt; SOUS-SEGMENT'!$DT$8:$DT$1000))</f>
        <v>6474.2000000000007</v>
      </c>
      <c r="DU35" s="308">
        <f>IF($C35="","",SUMPRODUCT(('ANALYSE - ERP =&gt; SOUS-SEGMENT'!$C$8:$C$1000=$C35)*'ANALYSE - ERP =&gt; SOUS-SEGMENT'!$Q$8:$Q$1000*'ANALYSE - ERP =&gt; SOUS-SEGMENT'!$DU$8:$DU$1000))</f>
        <v>556.1</v>
      </c>
      <c r="DV35" s="646" t="s">
        <v>6082</v>
      </c>
      <c r="DW35" s="308">
        <f>IF($C35="","",SUMPRODUCT(('ANALYSE - ERP =&gt; SOUS-SEGMENT'!$C$8:$C$1000=$C35)*'ANALYSE - ERP =&gt; SOUS-SEGMENT'!$Q$8:$Q$1000*'ANALYSE - ERP =&gt; SOUS-SEGMENT'!$DW$8:$DW$1000))</f>
        <v>1209.8400000000001</v>
      </c>
      <c r="DX35" s="308">
        <f>IF($C35="","",SUMPRODUCT(('ANALYSE - ERP =&gt; SOUS-SEGMENT'!$C$8:$C$1000=$C35)*'ANALYSE - ERP =&gt; SOUS-SEGMENT'!$Q$8:$Q$1000*'ANALYSE - ERP =&gt; SOUS-SEGMENT'!$DX$8:$DX$1000))</f>
        <v>6787.8</v>
      </c>
      <c r="DY35" s="308">
        <f>IF($C35="","",SUMPRODUCT(('ANALYSE - ERP =&gt; SOUS-SEGMENT'!$C$8:$C$1000=$C35)*'ANALYSE - ERP =&gt; SOUS-SEGMENT'!$Q$8:$Q$1000*'ANALYSE - ERP =&gt; SOUS-SEGMENT'!$DY$8:$DY$1000))</f>
        <v>682.3599999999999</v>
      </c>
      <c r="DZ35" s="646" t="s">
        <v>6083</v>
      </c>
      <c r="EA35" s="657"/>
      <c r="EB35" s="308">
        <f>IF($C35="","",SUMPRODUCT(('ANALYSE - ERP =&gt; SOUS-SEGMENT'!$C$8:$C$1000=$C35)*'ANALYSE - ERP =&gt; SOUS-SEGMENT'!$Q$8:$Q$1000*'ANALYSE - ERP =&gt; SOUS-SEGMENT'!$EB$8:$EB$1000))</f>
        <v>724.36500000000001</v>
      </c>
      <c r="EC35" s="308">
        <f>IF($C35="","",SUMPRODUCT(('ANALYSE - ERP =&gt; SOUS-SEGMENT'!$C$8:$C$1000=$C35)*'ANALYSE - ERP =&gt; SOUS-SEGMENT'!$Q$8:$Q$1000*'ANALYSE - ERP =&gt; SOUS-SEGMENT'!$EC$8:$EC$1000))</f>
        <v>5565.6750000000011</v>
      </c>
      <c r="ED35" s="308">
        <f>IF($C35="","",SUMPRODUCT(('ANALYSE - ERP =&gt; SOUS-SEGMENT'!$C$8:$C$1000=$C35)*'ANALYSE - ERP =&gt; SOUS-SEGMENT'!$Q$8:$Q$1000*'ANALYSE - ERP =&gt; SOUS-SEGMENT'!$ED$8:$ED$1000))</f>
        <v>1426.6100000000001</v>
      </c>
      <c r="EE35" s="308">
        <f>IF($C35="","",SUMPRODUCT(('ANALYSE - ERP =&gt; SOUS-SEGMENT'!$C$8:$C$1000=$C35)*'ANALYSE - ERP =&gt; SOUS-SEGMENT'!$Q$8:$Q$1000*'ANALYSE - ERP =&gt; SOUS-SEGMENT'!$EE$8:$EE$1000))</f>
        <v>2647.85</v>
      </c>
      <c r="EF35" s="646" t="s">
        <v>6084</v>
      </c>
      <c r="EG35" s="308">
        <f>IF($C35="","",SUMPRODUCT(('ANALYSE - ERP =&gt; SOUS-SEGMENT'!$C$8:$C$1000=$C35)*'ANALYSE - ERP =&gt; SOUS-SEGMENT'!$Q$8:$Q$1000*'ANALYSE - ERP =&gt; SOUS-SEGMENT'!$EG$8:$EG$1000))</f>
        <v>601.59999999999991</v>
      </c>
      <c r="EH35" s="308">
        <f>IF($C35="","",SUMPRODUCT(('ANALYSE - ERP =&gt; SOUS-SEGMENT'!$C$8:$C$1000=$C35)*'ANALYSE - ERP =&gt; SOUS-SEGMENT'!$Q$8:$Q$1000*'ANALYSE - ERP =&gt; SOUS-SEGMENT'!$EH$8:$EH$1000))</f>
        <v>5724.7500000000009</v>
      </c>
      <c r="EI35" s="308">
        <f>IF($C35="","",SUMPRODUCT(('ANALYSE - ERP =&gt; SOUS-SEGMENT'!$C$8:$C$1000=$C35)*'ANALYSE - ERP =&gt; SOUS-SEGMENT'!$Q$8:$Q$1000*'ANALYSE - ERP =&gt; SOUS-SEGMENT'!$EI$8:$EI$1000))</f>
        <v>1673.76</v>
      </c>
      <c r="EJ35" s="308">
        <f>IF($C35="","",SUMPRODUCT(('ANALYSE - ERP =&gt; SOUS-SEGMENT'!$C$8:$C$1000=$C35)*'ANALYSE - ERP =&gt; SOUS-SEGMENT'!$Q$8:$Q$1000*'ANALYSE - ERP =&gt; SOUS-SEGMENT'!$EJ$8:$EJ$1000))</f>
        <v>2636.89</v>
      </c>
      <c r="EK35" s="936" t="s">
        <v>6085</v>
      </c>
      <c r="EL35" s="657"/>
      <c r="EM35" s="308">
        <f>IF($C35="","",SUMPRODUCT(('ANALYSE - ERP =&gt; SOUS-SEGMENT'!$C$8:$C$1000=$C35)*'ANALYSE - ERP =&gt; SOUS-SEGMENT'!$Q$8:$Q$1000*'ANALYSE - ERP =&gt; SOUS-SEGMENT'!$EM$8:$EM$1000))</f>
        <v>12456.9</v>
      </c>
      <c r="EN35" s="310">
        <f>IF($C35="","",SUMPRODUCT(('ANALYSE - ERP =&gt; SOUS-SEGMENT'!$C$8:$C$1000=$C35)*'ANALYSE - ERP =&gt; SOUS-SEGMENT'!$Q$8:$Q$1000*'ANALYSE - ERP =&gt; SOUS-SEGMENT'!$EN$8:$EN$1000))</f>
        <v>25822.9</v>
      </c>
      <c r="EO35" s="310">
        <f>IF($C35="","",SUMPRODUCT(('ANALYSE - ERP =&gt; SOUS-SEGMENT'!$C$8:$C$1000=$C35)*'ANALYSE - ERP =&gt; SOUS-SEGMENT'!$Q$8:$Q$1000*'ANALYSE - ERP =&gt; SOUS-SEGMENT'!$EO$8:$EO$1000))</f>
        <v>11854.2</v>
      </c>
      <c r="EP35" s="646" t="s">
        <v>6086</v>
      </c>
      <c r="EQ35" s="308">
        <f>IF($C35="","",SUMPRODUCT(('ANALYSE - ERP =&gt; SOUS-SEGMENT'!$C$8:$C$1000=$C35)*'ANALYSE - ERP =&gt; SOUS-SEGMENT'!$Q$8:$Q$1000*'ANALYSE - ERP =&gt; SOUS-SEGMENT'!$EQ$8:$EQ$1000))</f>
        <v>7679.05</v>
      </c>
      <c r="ER35" s="310">
        <f>IF($C35="","",SUMPRODUCT(('ANALYSE - ERP =&gt; SOUS-SEGMENT'!$C$8:$C$1000=$C35)*'ANALYSE - ERP =&gt; SOUS-SEGMENT'!$Q$8:$Q$1000*'ANALYSE - ERP =&gt; SOUS-SEGMENT'!$ER$8:$ER$1000))</f>
        <v>27528.279999999995</v>
      </c>
      <c r="ES35" s="310">
        <f>IF($C35="","",SUMPRODUCT(('ANALYSE - ERP =&gt; SOUS-SEGMENT'!$C$8:$C$1000=$C35)*'ANALYSE - ERP =&gt; SOUS-SEGMENT'!$Q$8:$Q$1000*'ANALYSE - ERP =&gt; SOUS-SEGMENT'!$ES$8:$ES$1000))</f>
        <v>16275.670000000002</v>
      </c>
      <c r="ET35" s="646" t="s">
        <v>6087</v>
      </c>
      <c r="EU35" s="657"/>
      <c r="EV35" s="728">
        <f t="shared" si="31"/>
        <v>0.80230472804729802</v>
      </c>
      <c r="EW35" s="728">
        <f t="shared" si="32"/>
        <v>0.19769527195270192</v>
      </c>
      <c r="EX35" s="311">
        <f t="shared" si="33"/>
        <v>63376.204935227652</v>
      </c>
      <c r="EY35" s="311">
        <f t="shared" si="34"/>
        <v>50847.02886522765</v>
      </c>
      <c r="EZ35" s="311">
        <f t="shared" si="35"/>
        <v>12529.17607</v>
      </c>
      <c r="FA35" s="311">
        <f t="shared" si="36"/>
        <v>27492.132452381691</v>
      </c>
      <c r="FB35" s="311">
        <f>IF($C35="","",SUMPRODUCT(('ANALYSE - ERP =&gt; SOUS-SEGMENT'!$C$8:$C$1000=$C35)*'ANALYSE - ERP =&gt; SOUS-SEGMENT'!$Q$8:$Q$1000*'ANALYSE - ERP =&gt; SOUS-SEGMENT'!$FB$8:$FB$1000))</f>
        <v>21893.785772381692</v>
      </c>
      <c r="FC35" s="311">
        <f>IF($C35="","",SUMPRODUCT(('ANALYSE - ERP =&gt; SOUS-SEGMENT'!$C$8:$C$1000=$C35)*'ANALYSE - ERP =&gt; SOUS-SEGMENT'!$Q$8:$Q$1000*'ANALYSE - ERP =&gt; SOUS-SEGMENT'!$FC$8:$FC$1000))</f>
        <v>5598.3466799999997</v>
      </c>
      <c r="FD35" s="311">
        <f t="shared" si="37"/>
        <v>4948.3097118642854</v>
      </c>
      <c r="FE35" s="311">
        <f>IF($C35="","",SUMPRODUCT(('ANALYSE - ERP =&gt; SOUS-SEGMENT'!$C$8:$C$1000=$C35)*'ANALYSE - ERP =&gt; SOUS-SEGMENT'!$Q$8:$Q$1000*'ANALYSE - ERP =&gt; SOUS-SEGMENT'!$FE$8:$FE$1000))</f>
        <v>4149.2891918642854</v>
      </c>
      <c r="FF35" s="311">
        <f>IF($C35="","",SUMPRODUCT(('ANALYSE - ERP =&gt; SOUS-SEGMENT'!$C$8:$C$1000=$C35)*'ANALYSE - ERP =&gt; SOUS-SEGMENT'!$Q$8:$Q$1000*'ANALYSE - ERP =&gt; SOUS-SEGMENT'!$FF$8:$FF$1000))</f>
        <v>799.02052000000003</v>
      </c>
      <c r="FG35" s="311">
        <f t="shared" si="38"/>
        <v>5599.4926104400074</v>
      </c>
      <c r="FH35" s="311">
        <f>IF($C35="","",SUMPRODUCT(('ANALYSE - ERP =&gt; SOUS-SEGMENT'!$C$8:$C$1000=$C35)*'ANALYSE - ERP =&gt; SOUS-SEGMENT'!$Q$8:$Q$1000*'ANALYSE - ERP =&gt; SOUS-SEGMENT'!$FH$8:$FH$1000))</f>
        <v>4563.2920004400075</v>
      </c>
      <c r="FI35" s="311">
        <f>IF($C35="","",SUMPRODUCT(('ANALYSE - ERP =&gt; SOUS-SEGMENT'!$C$8:$C$1000=$C35)*'ANALYSE - ERP =&gt; SOUS-SEGMENT'!$Q$8:$Q$1000*'ANALYSE - ERP =&gt; SOUS-SEGMENT'!$FI$8:$FI$1000))</f>
        <v>1036.2006099999999</v>
      </c>
      <c r="FJ35" s="311">
        <f t="shared" si="39"/>
        <v>25336.270160541666</v>
      </c>
      <c r="FK35" s="311">
        <f>IF($C35="","",SUMPRODUCT(('ANALYSE - ERP =&gt; SOUS-SEGMENT'!$C$8:$C$1000=$C35)*'ANALYSE - ERP =&gt; SOUS-SEGMENT'!$Q$8:$Q$1000*'ANALYSE - ERP =&gt; SOUS-SEGMENT'!$FK$8:$FK$1000))</f>
        <v>20240.661900541665</v>
      </c>
      <c r="FL35" s="311">
        <f>IF($C35="","",SUMPRODUCT(('ANALYSE - ERP =&gt; SOUS-SEGMENT'!$C$8:$C$1000=$C35)*'ANALYSE - ERP =&gt; SOUS-SEGMENT'!$Q$8:$Q$1000*'ANALYSE - ERP =&gt; SOUS-SEGMENT'!$FL$8:$FL$1000))</f>
        <v>5095.60826</v>
      </c>
      <c r="FM35" s="657"/>
      <c r="FN35" s="954" t="s">
        <v>2649</v>
      </c>
      <c r="FO35" s="728">
        <f>IF($C35="","",IFERROR(SUMPRODUCT(('ANALYSE - ERP =&gt; SOUS-SEGMENT'!$C$8:$C$1000=$C35)*'ANALYSE - ERP =&gt; SOUS-SEGMENT'!$Q$8:$Q$1000*'ANALYSE - ERP =&gt; SOUS-SEGMENT'!$AF$8:$AF$1000*'ANALYSE - ERP =&gt; SOUS-SEGMENT'!$FO$8:$FO$1000)/SUMPRODUCT(('ANALYSE - ERP =&gt; SOUS-SEGMENT'!$C$8:$C$1000=$C35)*'ANALYSE - ERP =&gt; SOUS-SEGMENT'!$Q$8:$Q$1000*'ANALYSE - ERP =&gt; SOUS-SEGMENT'!$AF$8:$AF$1000),""))</f>
        <v>6.4995727571115977E-2</v>
      </c>
      <c r="FP35" s="729">
        <f>IF($C35="","",IFERROR(SUMPRODUCT(('ANALYSE - ERP =&gt; SOUS-SEGMENT'!$C$8:$C$1000=$C35)*'ANALYSE - ERP =&gt; SOUS-SEGMENT'!$Q$8:$Q$1000*'ANALYSE - ERP =&gt; SOUS-SEGMENT'!$AF$8:$AF$1000*'ANALYSE - ERP =&gt; SOUS-SEGMENT'!$FP$8:$FP$1000)/SUMPRODUCT(('ANALYSE - ERP =&gt; SOUS-SEGMENT'!$C$8:$C$1000=$C35)*'ANALYSE - ERP =&gt; SOUS-SEGMENT'!$Q$8:$Q$1000*'ANALYSE - ERP =&gt; SOUS-SEGMENT'!$AF$8:$AF$1000),""))</f>
        <v>0.84414291028446387</v>
      </c>
      <c r="FQ35" s="954" t="s">
        <v>6088</v>
      </c>
      <c r="FR35" s="657"/>
      <c r="FS35" s="865">
        <f>IF($C35="","",IFERROR(SUMPRODUCT(('ANALYSE - ERP =&gt; SOUS-SEGMENT'!$C$8:$C$1000=$C35)*'ANALYSE - ERP =&gt; SOUS-SEGMENT'!$Q$8:$Q$1000*'ANALYSE - ERP =&gt; SOUS-SEGMENT'!$EX$8:$EX$1000*'ANALYSE - ERP =&gt; SOUS-SEGMENT'!$FS$8:$FS$1000)/SUMPRODUCT(('ANALYSE - ERP =&gt; SOUS-SEGMENT'!$C$8:$C$1000=$C35)*'ANALYSE - ERP =&gt; SOUS-SEGMENT'!$Q$8:$Q$1000*'ANALYSE - ERP =&gt; SOUS-SEGMENT'!$EX$8:$EX$1000),""))</f>
        <v>3.6500965019388563</v>
      </c>
      <c r="FT35" s="312">
        <f>IF($C35="","",RANK($FS35,$FS$8:$FS$43,0)+COUNTIF($FS$8:$FS35,$FS35)-1)</f>
        <v>5</v>
      </c>
      <c r="FU35" s="865">
        <f>IF($C35="","",IFERROR(SUMPRODUCT(('ANALYSE - ERP =&gt; SOUS-SEGMENT'!$C$8:$C$1000=$C35)*'ANALYSE - ERP =&gt; SOUS-SEGMENT'!$Q$8:$Q$1000*'ANALYSE - ERP =&gt; SOUS-SEGMENT'!$EY$8:$EY$1000*'ANALYSE - ERP =&gt; SOUS-SEGMENT'!$FU$8:$FU$1000)/SUMPRODUCT(('ANALYSE - ERP =&gt; SOUS-SEGMENT'!$C$8:$C$1000=$C35)*'ANALYSE - ERP =&gt; SOUS-SEGMENT'!$Q$8:$Q$1000*'ANALYSE - ERP =&gt; SOUS-SEGMENT'!$EY$8:$EY$1000),""))</f>
        <v>4.4876427932676819</v>
      </c>
      <c r="FV35" s="312">
        <f>IF($C35="","",RANK($FU35,$FU$8:$FU$43,0)+COUNTIF($FU$8:$FU35,$FU35)-1)</f>
        <v>3</v>
      </c>
      <c r="FW35" s="865">
        <f>IF($C35="","",IFERROR(SUMPRODUCT(('ANALYSE - ERP =&gt; SOUS-SEGMENT'!$C$8:$C$1000=$C35)*'ANALYSE - ERP =&gt; SOUS-SEGMENT'!$Q$8:$Q$1000*'ANALYSE - ERP =&gt; SOUS-SEGMENT'!$EZ$8:$EZ$1000*'ANALYSE - ERP =&gt; SOUS-SEGMENT'!$FW$8:$FW$1000)/SUMPRODUCT(('ANALYSE - ERP =&gt; SOUS-SEGMENT'!$C$8:$C$1000=$C35)*'ANALYSE - ERP =&gt; SOUS-SEGMENT'!$Q$8:$Q$1000*'ANALYSE - ERP =&gt; SOUS-SEGMENT'!$EZ$8:$EZ$1000),""))</f>
        <v>2.3281396258804437</v>
      </c>
      <c r="FX35" s="312">
        <f>IF($C35="","",RANK($FW35,$FW$8:$FW$43,0)+COUNTIF($FW$8:$FW35,$FW35)-1)</f>
        <v>16</v>
      </c>
      <c r="FY35" s="657"/>
      <c r="FZ35" s="646" t="s">
        <v>6089</v>
      </c>
      <c r="GA35" s="646" t="s">
        <v>6090</v>
      </c>
      <c r="GB35" s="646" t="s">
        <v>6091</v>
      </c>
      <c r="GC35" s="646" t="s">
        <v>6092</v>
      </c>
      <c r="GD35" s="646" t="s">
        <v>6093</v>
      </c>
      <c r="GE35" s="646" t="s">
        <v>6094</v>
      </c>
      <c r="GF35" s="276" t="s">
        <v>5750</v>
      </c>
      <c r="GG35" s="657"/>
      <c r="GH35" s="311">
        <f t="shared" si="40"/>
        <v>2867.2315229333335</v>
      </c>
      <c r="GI35" s="311">
        <f>IF($C35="","",SUMPRODUCT(('ANALYSE - ERP =&gt; SOUS-SEGMENT'!$C$8:$C$1000=$C35)*'ANALYSE - ERP =&gt; SOUS-SEGMENT'!$Q$8:$Q$1000*'ANALYSE - ERP =&gt; SOUS-SEGMENT'!$GI$8:$GI$1000))</f>
        <v>2400.5679957333336</v>
      </c>
      <c r="GJ35" s="311">
        <f>IF($C35="","",SUMPRODUCT(('ANALYSE - ERP =&gt; SOUS-SEGMENT'!$C$8:$C$1000=$C35)*'ANALYSE - ERP =&gt; SOUS-SEGMENT'!$Q$8:$Q$1000*'ANALYSE - ERP =&gt; SOUS-SEGMENT'!$GJ$8:$GJ$1000))</f>
        <v>466.66352720000003</v>
      </c>
      <c r="GK35" s="311">
        <f t="shared" si="41"/>
        <v>18189.855098163636</v>
      </c>
      <c r="GL35" s="311">
        <f>IF($C35="","",SUMPRODUCT(('ANALYSE - ERP =&gt; SOUS-SEGMENT'!$C$8:$C$1000=$C35)*'ANALYSE - ERP =&gt; SOUS-SEGMENT'!$Q$8:$Q$1000*'ANALYSE - ERP =&gt; SOUS-SEGMENT'!$GL$8:$GL$1000))</f>
        <v>14235.488692563637</v>
      </c>
      <c r="GM35" s="311">
        <f>IF($C35="","",SUMPRODUCT(('ANALYSE - ERP =&gt; SOUS-SEGMENT'!$C$8:$C$1000=$C35)*'ANALYSE - ERP =&gt; SOUS-SEGMENT'!$Q$8:$Q$1000*'ANALYSE - ERP =&gt; SOUS-SEGMENT'!$GM$8:$GM$1000))</f>
        <v>3954.3664055999998</v>
      </c>
      <c r="GN35" s="311">
        <f t="shared" si="42"/>
        <v>4909.9304737624998</v>
      </c>
      <c r="GO35" s="311">
        <f>IF($C35="","",SUMPRODUCT(('ANALYSE - ERP =&gt; SOUS-SEGMENT'!$C$8:$C$1000=$C35)*'ANALYSE - ERP =&gt; SOUS-SEGMENT'!$Q$8:$Q$1000*'ANALYSE - ERP =&gt; SOUS-SEGMENT'!$GO$8:$GO$1000))</f>
        <v>4010.3958189624996</v>
      </c>
      <c r="GP35" s="311">
        <f>IF($C35="","",SUMPRODUCT(('ANALYSE - ERP =&gt; SOUS-SEGMENT'!$C$8:$C$1000=$C35)*'ANALYSE - ERP =&gt; SOUS-SEGMENT'!$Q$8:$Q$1000*'ANALYSE - ERP =&gt; SOUS-SEGMENT'!$GP$8:$GP$1000))</f>
        <v>899.5346548</v>
      </c>
      <c r="GQ35" s="311">
        <f t="shared" si="43"/>
        <v>1525.1153575222222</v>
      </c>
      <c r="GR35" s="311">
        <f>IF($C35="","",SUMPRODUCT(('ANALYSE - ERP =&gt; SOUS-SEGMENT'!$C$8:$C$1000=$C35)*'ANALYSE - ERP =&gt; SOUS-SEGMENT'!$Q$8:$Q$1000*'ANALYSE - ERP =&gt; SOUS-SEGMENT'!$GR$8:$GR$1000))</f>
        <v>1247.3332651222222</v>
      </c>
      <c r="GS35" s="311">
        <f>IF($C35="","",SUMPRODUCT(('ANALYSE - ERP =&gt; SOUS-SEGMENT'!$C$8:$C$1000=$C35)*'ANALYSE - ERP =&gt; SOUS-SEGMENT'!$Q$8:$Q$1000*'ANALYSE - ERP =&gt; SOUS-SEGMENT'!$GS$8:$GS$1000))</f>
        <v>277.78209240000001</v>
      </c>
      <c r="GT35" s="311">
        <f t="shared" si="44"/>
        <v>814.57468364999988</v>
      </c>
      <c r="GU35" s="311">
        <f>IF($C35="","",SUMPRODUCT(('ANALYSE - ERP =&gt; SOUS-SEGMENT'!$C$8:$C$1000=$C35)*'ANALYSE - ERP =&gt; SOUS-SEGMENT'!$Q$8:$Q$1000*'ANALYSE - ERP =&gt; SOUS-SEGMENT'!$GU$8:$GU$1000))</f>
        <v>699.37276364999991</v>
      </c>
      <c r="GV35" s="311">
        <f>IF($C35="","",SUMPRODUCT(('ANALYSE - ERP =&gt; SOUS-SEGMENT'!$C$8:$C$1000=$C35)*'ANALYSE - ERP =&gt; SOUS-SEGMENT'!$Q$8:$Q$1000*'ANALYSE - ERP =&gt; SOUS-SEGMENT'!$GV$8:$GV$1000))</f>
        <v>115.20191999999999</v>
      </c>
      <c r="GW35" s="311">
        <f t="shared" si="45"/>
        <v>3759.1837834000003</v>
      </c>
      <c r="GX35" s="311">
        <f>IF($C35="","",SUMPRODUCT(('ANALYSE - ERP =&gt; SOUS-SEGMENT'!$C$8:$C$1000=$C35)*'ANALYSE - ERP =&gt; SOUS-SEGMENT'!$Q$8:$Q$1000*'ANALYSE - ERP =&gt; SOUS-SEGMENT'!$GX$8:$GX$1000))</f>
        <v>3140.4533490000003</v>
      </c>
      <c r="GY35" s="311">
        <f>IF($C35="","",SUMPRODUCT(('ANALYSE - ERP =&gt; SOUS-SEGMENT'!$C$8:$C$1000=$C35)*'ANALYSE - ERP =&gt; SOUS-SEGMENT'!$Q$8:$Q$1000*'ANALYSE - ERP =&gt; SOUS-SEGMENT'!$GY$8:$GY$1000))</f>
        <v>618.73043439999992</v>
      </c>
      <c r="GZ35" s="311">
        <f t="shared" si="46"/>
        <v>374.55124481428572</v>
      </c>
      <c r="HA35" s="311">
        <f>IF($C35="","",SUMPRODUCT(('ANALYSE - ERP =&gt; SOUS-SEGMENT'!$C$8:$C$1000=$C35)*'ANALYSE - ERP =&gt; SOUS-SEGMENT'!$Q$8:$Q$1000*'ANALYSE - ERP =&gt; SOUS-SEGMENT'!$HA$8:$HA$1000))</f>
        <v>309.46307921428576</v>
      </c>
      <c r="HB35" s="311">
        <f>IF($C35="","",SUMPRODUCT(('ANALYSE - ERP =&gt; SOUS-SEGMENT'!$C$8:$C$1000=$C35)*'ANALYSE - ERP =&gt; SOUS-SEGMENT'!$Q$8:$Q$1000*'ANALYSE - ERP =&gt; SOUS-SEGMENT'!$HB$8:$HB$1000))</f>
        <v>65.088165599999996</v>
      </c>
      <c r="HC35" s="311">
        <f t="shared" si="47"/>
        <v>443.74904147500001</v>
      </c>
      <c r="HD35" s="311">
        <f>IF($C35="","",SUMPRODUCT(('ANALYSE - ERP =&gt; SOUS-SEGMENT'!$C$8:$C$1000=$C35)*'ANALYSE - ERP =&gt; SOUS-SEGMENT'!$Q$8:$Q$1000*'ANALYSE - ERP =&gt; SOUS-SEGMENT'!$HD$8:$HD$1000))</f>
        <v>389.50809187500005</v>
      </c>
      <c r="HE35" s="311">
        <f>IF($C35="","",SUMPRODUCT(('ANALYSE - ERP =&gt; SOUS-SEGMENT'!$C$8:$C$1000=$C35)*'ANALYSE - ERP =&gt; SOUS-SEGMENT'!$Q$8:$Q$1000*'ANALYSE - ERP =&gt; SOUS-SEGMENT'!$HE$8:$HE$1000))</f>
        <v>54.240949599999993</v>
      </c>
      <c r="HF35" s="311">
        <f t="shared" si="48"/>
        <v>2743.7641613181818</v>
      </c>
      <c r="HG35" s="311">
        <f>IF($C35="","",SUMPRODUCT(('ANALYSE - ERP =&gt; SOUS-SEGMENT'!$C$8:$C$1000=$C35)*'ANALYSE - ERP =&gt; SOUS-SEGMENT'!$Q$8:$Q$1000*'ANALYSE - ERP =&gt; SOUS-SEGMENT'!$HG$8:$HG$1000))</f>
        <v>2192.7690338181819</v>
      </c>
      <c r="HH35" s="311">
        <f>IF($C35="","",SUMPRODUCT(('ANALYSE - ERP =&gt; SOUS-SEGMENT'!$C$8:$C$1000=$C35)*'ANALYSE - ERP =&gt; SOUS-SEGMENT'!$Q$8:$Q$1000*'ANALYSE - ERP =&gt; SOUS-SEGMENT'!$HH$8:$HH$1000))</f>
        <v>550.99512749999997</v>
      </c>
      <c r="HI35" s="311">
        <f t="shared" si="49"/>
        <v>959.19033023571433</v>
      </c>
      <c r="HJ35" s="311">
        <f>IF($C35="","",SUMPRODUCT(('ANALYSE - ERP =&gt; SOUS-SEGMENT'!$C$8:$C$1000=$C35)*'ANALYSE - ERP =&gt; SOUS-SEGMENT'!$Q$8:$Q$1000*'ANALYSE - ERP =&gt; SOUS-SEGMENT'!$HJ$8:$HJ$1000))</f>
        <v>791.62236623571437</v>
      </c>
      <c r="HK35" s="311">
        <f>IF($C35="","",SUMPRODUCT(('ANALYSE - ERP =&gt; SOUS-SEGMENT'!$C$8:$C$1000=$C35)*'ANALYSE - ERP =&gt; SOUS-SEGMENT'!$Q$8:$Q$1000*'ANALYSE - ERP =&gt; SOUS-SEGMENT'!$HK$8:$HK$1000))</f>
        <v>167.56796399999999</v>
      </c>
      <c r="HL35" s="311">
        <f t="shared" si="50"/>
        <v>1452.7890774111111</v>
      </c>
      <c r="HM35" s="311">
        <f>IF($C35="","",SUMPRODUCT(('ANALYSE - ERP =&gt; SOUS-SEGMENT'!$C$8:$C$1000=$C35)*'ANALYSE - ERP =&gt; SOUS-SEGMENT'!$Q$8:$Q$1000*'ANALYSE - ERP =&gt; SOUS-SEGMENT'!$HM$8:$HM$1000))</f>
        <v>1189.3925085111111</v>
      </c>
      <c r="HN35" s="311">
        <f>IF($C35="","",SUMPRODUCT(('ANALYSE - ERP =&gt; SOUS-SEGMENT'!$C$8:$C$1000=$C35)*'ANALYSE - ERP =&gt; SOUS-SEGMENT'!$Q$8:$Q$1000*'ANALYSE - ERP =&gt; SOUS-SEGMENT'!$HN$8:$HN$1000))</f>
        <v>263.39656889999998</v>
      </c>
      <c r="HO35" s="311">
        <f t="shared" si="51"/>
        <v>6072.9187841666662</v>
      </c>
      <c r="HP35" s="311">
        <f>IF($C35="","",SUMPRODUCT(('ANALYSE - ERP =&gt; SOUS-SEGMENT'!$C$8:$C$1000=$C35)*'ANALYSE - ERP =&gt; SOUS-SEGMENT'!$Q$8:$Q$1000*'ANALYSE - ERP =&gt; SOUS-SEGMENT'!$HP$8:$HP$1000))</f>
        <v>5331.1145271666664</v>
      </c>
      <c r="HQ35" s="311">
        <f>IF($C35="","",SUMPRODUCT(('ANALYSE - ERP =&gt; SOUS-SEGMENT'!$C$8:$C$1000=$C35)*'ANALYSE - ERP =&gt; SOUS-SEGMENT'!$Q$8:$Q$1000*'ANALYSE - ERP =&gt; SOUS-SEGMENT'!$HQ$8:$HQ$1000))</f>
        <v>741.80425700000001</v>
      </c>
      <c r="HR35" s="311">
        <f t="shared" si="52"/>
        <v>11839.580432708335</v>
      </c>
      <c r="HS35" s="311">
        <f>IF($C35="","",SUMPRODUCT(('ANALYSE - ERP =&gt; SOUS-SEGMENT'!$C$8:$C$1000=$C35)*'ANALYSE - ERP =&gt; SOUS-SEGMENT'!$Q$8:$Q$1000*'ANALYSE - ERP =&gt; SOUS-SEGMENT'!$HS$8:$HS$1000))</f>
        <v>9089.7468417083346</v>
      </c>
      <c r="HT35" s="311">
        <f>IF($C35="","",SUMPRODUCT(('ANALYSE - ERP =&gt; SOUS-SEGMENT'!$C$8:$C$1000=$C35)*'ANALYSE - ERP =&gt; SOUS-SEGMENT'!$Q$8:$Q$1000*'ANALYSE - ERP =&gt; SOUS-SEGMENT'!$HT$8:$HT$1000))</f>
        <v>2749.8335910000001</v>
      </c>
      <c r="HU35" s="311">
        <f t="shared" si="53"/>
        <v>7423.7709436666664</v>
      </c>
      <c r="HV35" s="311">
        <f>IF($C35="","",SUMPRODUCT(('ANALYSE - ERP =&gt; SOUS-SEGMENT'!$C$8:$C$1000=$C35)*'ANALYSE - ERP =&gt; SOUS-SEGMENT'!$Q$8:$Q$1000*'ANALYSE - ERP =&gt; SOUS-SEGMENT'!$HV$8:$HV$1000))</f>
        <v>5819.8005316666668</v>
      </c>
      <c r="HW35" s="311">
        <f>IF($C35="","",SUMPRODUCT(('ANALYSE - ERP =&gt; SOUS-SEGMENT'!$C$8:$C$1000=$C35)*'ANALYSE - ERP =&gt; SOUS-SEGMENT'!$Q$8:$Q$1000*'ANALYSE - ERP =&gt; SOUS-SEGMENT'!$HW$8:$HW$1000))</f>
        <v>1603.9704120000001</v>
      </c>
      <c r="HY35" s="313">
        <f t="shared" si="54"/>
        <v>124214.5</v>
      </c>
      <c r="HZ35" s="313">
        <f>IF($C35="","",SUMPRODUCT(('ANALYSE - ERP =&gt; SOUS-SEGMENT'!$C$8:$C$1000=$C35)*'ANALYSE - ERP =&gt; SOUS-SEGMENT'!$Q$8:$Q$1000*'ANALYSE - ERP =&gt; SOUS-SEGMENT'!$HZ$8:$HZ$1000))</f>
        <v>6008.1876000000011</v>
      </c>
      <c r="IA35" s="313">
        <f>IF($C35="","",SUMPRODUCT(('ANALYSE - ERP =&gt; SOUS-SEGMENT'!$C$8:$C$1000=$C35)*'ANALYSE - ERP =&gt; SOUS-SEGMENT'!$Q$8:$Q$1000*'ANALYSE - ERP =&gt; SOUS-SEGMENT'!$IA$8:$IA$1000))</f>
        <v>53147.387399999992</v>
      </c>
      <c r="IB35" s="313">
        <f>IF($C35="","",SUMPRODUCT(('ANALYSE - ERP =&gt; SOUS-SEGMENT'!$C$8:$C$1000=$C35)*'ANALYSE - ERP =&gt; SOUS-SEGMENT'!$Q$8:$Q$1000*'ANALYSE - ERP =&gt; SOUS-SEGMENT'!$IB$8:$IB$1000))</f>
        <v>48894.120699999999</v>
      </c>
      <c r="IC35" s="313">
        <f>IF($C35="","",SUMPRODUCT(('ANALYSE - ERP =&gt; SOUS-SEGMENT'!$C$8:$C$1000=$C35)*'ANALYSE - ERP =&gt; SOUS-SEGMENT'!$Q$8:$Q$1000*'ANALYSE - ERP =&gt; SOUS-SEGMENT'!$IC$8:$IC$1000))</f>
        <v>13629.250700000001</v>
      </c>
      <c r="ID35" s="313">
        <f>IF($C35="","",SUMPRODUCT(('ANALYSE - ERP =&gt; SOUS-SEGMENT'!$C$8:$C$1000=$C35)*'ANALYSE - ERP =&gt; SOUS-SEGMENT'!$Q$8:$Q$1000*'ANALYSE - ERP =&gt; SOUS-SEGMENT'!$ID$8:$ID$1000))</f>
        <v>2535.5536000000002</v>
      </c>
      <c r="IE35" s="313">
        <f t="shared" si="55"/>
        <v>50847.028865227643</v>
      </c>
      <c r="IF35" s="313">
        <f>IF($C35="","",SUMPRODUCT(('ANALYSE - ERP =&gt; SOUS-SEGMENT'!$C$8:$C$1000=$C35)*'ANALYSE - ERP =&gt; SOUS-SEGMENT'!$Q$8:$Q$1000*'ANALYSE - ERP =&gt; SOUS-SEGMENT'!$IF$8:$IF$1000))</f>
        <v>1303.5186951688211</v>
      </c>
      <c r="IG35" s="313">
        <f>IF($C35="","",SUMPRODUCT(('ANALYSE - ERP =&gt; SOUS-SEGMENT'!$C$8:$C$1000=$C35)*'ANALYSE - ERP =&gt; SOUS-SEGMENT'!$Q$8:$Q$1000*'ANALYSE - ERP =&gt; SOUS-SEGMENT'!$IG$8:$IG$1000))</f>
        <v>19335.544643635778</v>
      </c>
      <c r="IH35" s="313">
        <f>IF($C35="","",SUMPRODUCT(('ANALYSE - ERP =&gt; SOUS-SEGMENT'!$C$8:$C$1000=$C35)*'ANALYSE - ERP =&gt; SOUS-SEGMENT'!$Q$8:$Q$1000*'ANALYSE - ERP =&gt; SOUS-SEGMENT'!$IH$8:$IH$1000))</f>
        <v>20730.088730696709</v>
      </c>
      <c r="II35" s="313">
        <f>IF($C35="","",SUMPRODUCT(('ANALYSE - ERP =&gt; SOUS-SEGMENT'!$C$8:$C$1000=$C35)*'ANALYSE - ERP =&gt; SOUS-SEGMENT'!$Q$8:$Q$1000*'ANALYSE - ERP =&gt; SOUS-SEGMENT'!$II$8:$II$1000))</f>
        <v>7490.453547229974</v>
      </c>
      <c r="IJ35" s="313">
        <f>IF($C35="","",SUMPRODUCT(('ANALYSE - ERP =&gt; SOUS-SEGMENT'!$C$8:$C$1000=$C35)*'ANALYSE - ERP =&gt; SOUS-SEGMENT'!$Q$8:$Q$1000*'ANALYSE - ERP =&gt; SOUS-SEGMENT'!$IJ$8:$IJ$1000))</f>
        <v>1987.423248496367</v>
      </c>
      <c r="IK35" s="866">
        <f>IF($C35="","",IFERROR(SUMPRODUCT(('ANALYSE - ERP =&gt; SOUS-SEGMENT'!$C$8:$C$1000=$C35)*'ANALYSE - ERP =&gt; SOUS-SEGMENT'!$Q$8:$Q$1000*'ANALYSE - ERP =&gt; SOUS-SEGMENT'!$IE$8:$IE$1000*'ANALYSE - ERP =&gt; SOUS-SEGMENT'!$IK$8:$IK$1000)/SUMPRODUCT(('ANALYSE - ERP =&gt; SOUS-SEGMENT'!$C$8:$C$1000=$C35)*'ANALYSE - ERP =&gt; SOUS-SEGMENT'!$Q$8:$Q$1000*'ANALYSE - ERP =&gt; SOUS-SEGMENT'!$IE$8:$IE$1000),""))</f>
        <v>4.1620828828723511</v>
      </c>
      <c r="IL35" s="920" t="s">
        <v>6095</v>
      </c>
      <c r="IM35" s="964" t="s">
        <v>6096</v>
      </c>
      <c r="IN35" s="657"/>
      <c r="IO35" s="730">
        <f>IF($C35="","",IFERROR(SUMPRODUCT(('ANALYSE - ERP =&gt; SOUS-SEGMENT'!$C$8:$C$1000=$C35)*'ANALYSE - ERP =&gt; SOUS-SEGMENT'!$Q$8:$Q$1000*'ANALYSE - ERP =&gt; SOUS-SEGMENT'!$BE$8:$BE$1000*'ANALYSE - ERP =&gt; SOUS-SEGMENT'!$IO$8:$IO$1000)/SUMPRODUCT(('ANALYSE - ERP =&gt; SOUS-SEGMENT'!$C$8:$C$1000=$C35)*'ANALYSE - ERP =&gt; SOUS-SEGMENT'!$Q$8:$Q$1000*'ANALYSE - ERP =&gt; SOUS-SEGMENT'!$BE$8:$BE$1000),""))</f>
        <v>3.8006191131720046E-2</v>
      </c>
      <c r="IP35" s="730">
        <f>IF($C35="","",IFERROR(SUMPRODUCT(('ANALYSE - ERP =&gt; SOUS-SEGMENT'!$C$8:$C$1000=$C35)*'ANALYSE - ERP =&gt; SOUS-SEGMENT'!$Q$8:$Q$1000*'ANALYSE - ERP =&gt; SOUS-SEGMENT'!$BE$8:$BE$1000*'ANALYSE - ERP =&gt; SOUS-SEGMENT'!$IP$8:$IP$1000)/SUMPRODUCT(('ANALYSE - ERP =&gt; SOUS-SEGMENT'!$C$8:$C$1000=$C35)*'ANALYSE - ERP =&gt; SOUS-SEGMENT'!$Q$8:$Q$1000*'ANALYSE - ERP =&gt; SOUS-SEGMENT'!$BE$8:$BE$1000),""))</f>
        <v>0.4030289957977104</v>
      </c>
      <c r="IQ35" s="730">
        <f>IF($C35="","",IFERROR(SUMPRODUCT(('ANALYSE - ERP =&gt; SOUS-SEGMENT'!$C$8:$C$1000=$C35)*'ANALYSE - ERP =&gt; SOUS-SEGMENT'!$Q$8:$Q$1000*'ANALYSE - ERP =&gt; SOUS-SEGMENT'!$BE$8:$BE$1000*'ANALYSE - ERP =&gt; SOUS-SEGMENT'!$IQ$8:$IQ$1000)/SUMPRODUCT(('ANALYSE - ERP =&gt; SOUS-SEGMENT'!$C$8:$C$1000=$C35)*'ANALYSE - ERP =&gt; SOUS-SEGMENT'!$Q$8:$Q$1000*'ANALYSE - ERP =&gt; SOUS-SEGMENT'!$BE$8:$BE$1000),""))</f>
        <v>0.40895081147659756</v>
      </c>
      <c r="IR35" s="730">
        <f>IF($C35="","",IFERROR(SUMPRODUCT(('ANALYSE - ERP =&gt; SOUS-SEGMENT'!$C$8:$C$1000=$C35)*'ANALYSE - ERP =&gt; SOUS-SEGMENT'!$Q$8:$Q$1000*'ANALYSE - ERP =&gt; SOUS-SEGMENT'!$BE$8:$BE$1000*'ANALYSE - ERP =&gt; SOUS-SEGMENT'!$IR$8:$IR$1000)/SUMPRODUCT(('ANALYSE - ERP =&gt; SOUS-SEGMENT'!$C$8:$C$1000=$C35)*'ANALYSE - ERP =&gt; SOUS-SEGMENT'!$Q$8:$Q$1000*'ANALYSE - ERP =&gt; SOUS-SEGMENT'!$BE$8:$BE$1000),""))</f>
        <v>0.12344761266483119</v>
      </c>
      <c r="IS35" s="730">
        <f>IF($C35="","",IFERROR(SUMPRODUCT(('ANALYSE - ERP =&gt; SOUS-SEGMENT'!$C$8:$C$1000=$C35)*'ANALYSE - ERP =&gt; SOUS-SEGMENT'!$Q$8:$Q$1000*'ANALYSE - ERP =&gt; SOUS-SEGMENT'!$BE$8:$BE$1000*'ANALYSE - ERP =&gt; SOUS-SEGMENT'!$IS$8:$IS$1000)/SUMPRODUCT(('ANALYSE - ERP =&gt; SOUS-SEGMENT'!$C$8:$C$1000=$C35)*'ANALYSE - ERP =&gt; SOUS-SEGMENT'!$Q$8:$Q$1000*'ANALYSE - ERP =&gt; SOUS-SEGMENT'!$BE$8:$BE$1000),""))</f>
        <v>2.6566388929140702E-2</v>
      </c>
      <c r="IT35" s="730">
        <f>IF($C35="","",IFERROR(SUMPRODUCT(('ANALYSE - ERP =&gt; SOUS-SEGMENT'!$C$8:$C$1000=$C35)*'ANALYSE - ERP =&gt; SOUS-SEGMENT'!$Q$8:$Q$1000*'ANALYSE - ERP =&gt; SOUS-SEGMENT'!$FB$8:$FB$1000*'ANALYSE - ERP =&gt; SOUS-SEGMENT'!$IT$8:$IT$1000)/SUMPRODUCT(('ANALYSE - ERP =&gt; SOUS-SEGMENT'!$C$8:$C$1000=$C35)*'ANALYSE - ERP =&gt; SOUS-SEGMENT'!$Q$8:$Q$1000*'ANALYSE - ERP =&gt; SOUS-SEGMENT'!$FB$8:$FB$1000),""))</f>
        <v>1.7447820443446387E-2</v>
      </c>
      <c r="IU35" s="730">
        <f>IF($C35="","",IFERROR(SUMPRODUCT(('ANALYSE - ERP =&gt; SOUS-SEGMENT'!$C$8:$C$1000=$C35)*'ANALYSE - ERP =&gt; SOUS-SEGMENT'!$Q$8:$Q$1000*'ANALYSE - ERP =&gt; SOUS-SEGMENT'!$FB$8:$FB$1000*'ANALYSE - ERP =&gt; SOUS-SEGMENT'!$IU$8:$IU$1000)/SUMPRODUCT(('ANALYSE - ERP =&gt; SOUS-SEGMENT'!$C$8:$C$1000=$C35)*'ANALYSE - ERP =&gt; SOUS-SEGMENT'!$Q$8:$Q$1000*'ANALYSE - ERP =&gt; SOUS-SEGMENT'!$FB$8:$FB$1000),""))</f>
        <v>0.34275392667535581</v>
      </c>
      <c r="IV35" s="730">
        <f>IF($C35="","",IFERROR(SUMPRODUCT(('ANALYSE - ERP =&gt; SOUS-SEGMENT'!$C$8:$C$1000=$C35)*'ANALYSE - ERP =&gt; SOUS-SEGMENT'!$Q$8:$Q$1000*'ANALYSE - ERP =&gt; SOUS-SEGMENT'!$FB$8:$FB$1000*'ANALYSE - ERP =&gt; SOUS-SEGMENT'!$IV$8:$IV$1000)/SUMPRODUCT(('ANALYSE - ERP =&gt; SOUS-SEGMENT'!$C$8:$C$1000=$C35)*'ANALYSE - ERP =&gt; SOUS-SEGMENT'!$Q$8:$Q$1000*'ANALYSE - ERP =&gt; SOUS-SEGMENT'!$FB$8:$FB$1000),""))</f>
        <v>0.42278111925049416</v>
      </c>
      <c r="IW35" s="730">
        <f>IF($C35="","",IFERROR(SUMPRODUCT(('ANALYSE - ERP =&gt; SOUS-SEGMENT'!$C$8:$C$1000=$C35)*'ANALYSE - ERP =&gt; SOUS-SEGMENT'!$Q$8:$Q$1000*'ANALYSE - ERP =&gt; SOUS-SEGMENT'!$FB$8:$FB$1000*'ANALYSE - ERP =&gt; SOUS-SEGMENT'!$IW$8:$IW$1000)/SUMPRODUCT(('ANALYSE - ERP =&gt; SOUS-SEGMENT'!$C$8:$C$1000=$C35)*'ANALYSE - ERP =&gt; SOUS-SEGMENT'!$Q$8:$Q$1000*'ANALYSE - ERP =&gt; SOUS-SEGMENT'!$FB$8:$FB$1000),""))</f>
        <v>0.16770858522571022</v>
      </c>
      <c r="IX35" s="730">
        <f>IF($C35="","",IFERROR(SUMPRODUCT(('ANALYSE - ERP =&gt; SOUS-SEGMENT'!$C$8:$C$1000=$C35)*'ANALYSE - ERP =&gt; SOUS-SEGMENT'!$Q$8:$Q$1000*'ANALYSE - ERP =&gt; SOUS-SEGMENT'!$FB$8:$FB$1000*'ANALYSE - ERP =&gt; SOUS-SEGMENT'!$IX$8:$IX$1000)/SUMPRODUCT(('ANALYSE - ERP =&gt; SOUS-SEGMENT'!$C$8:$C$1000=$C35)*'ANALYSE - ERP =&gt; SOUS-SEGMENT'!$Q$8:$Q$1000*'ANALYSE - ERP =&gt; SOUS-SEGMENT'!$FB$8:$FB$1000),""))</f>
        <v>4.9308548404993317E-2</v>
      </c>
      <c r="IY35" s="730">
        <f>IF($C35="","",IFERROR(SUMPRODUCT(('ANALYSE - ERP =&gt; SOUS-SEGMENT'!$C$8:$C$1000=$C35)*'ANALYSE - ERP =&gt; SOUS-SEGMENT'!$Q$8:$Q$1000*'ANALYSE - ERP =&gt; SOUS-SEGMENT'!$BF$8:$BF$1000*'ANALYSE - ERP =&gt; SOUS-SEGMENT'!$IY$8:$IY$1000)/SUMPRODUCT(('ANALYSE - ERP =&gt; SOUS-SEGMENT'!$C$8:$C$1000=$C35)*'ANALYSE - ERP =&gt; SOUS-SEGMENT'!$Q$8:$Q$1000*'ANALYSE - ERP =&gt; SOUS-SEGMENT'!$BF$8:$BF$1000),""))</f>
        <v>4.2646262341325805E-2</v>
      </c>
      <c r="IZ35" s="730">
        <f>IF($C35="","",IFERROR(SUMPRODUCT(('ANALYSE - ERP =&gt; SOUS-SEGMENT'!$C$8:$C$1000=$C35)*'ANALYSE - ERP =&gt; SOUS-SEGMENT'!$Q$8:$Q$1000*'ANALYSE - ERP =&gt; SOUS-SEGMENT'!$BF$8:$BF$1000*'ANALYSE - ERP =&gt; SOUS-SEGMENT'!$IZ$8:$IZ$1000)/SUMPRODUCT(('ANALYSE - ERP =&gt; SOUS-SEGMENT'!$C$8:$C$1000=$C35)*'ANALYSE - ERP =&gt; SOUS-SEGMENT'!$Q$8:$Q$1000*'ANALYSE - ERP =&gt; SOUS-SEGMENT'!$BF$8:$BF$1000),""))</f>
        <v>0.42252931358721202</v>
      </c>
      <c r="JA35" s="730">
        <f>IF($C35="","",IFERROR(SUMPRODUCT(('ANALYSE - ERP =&gt; SOUS-SEGMENT'!$C$8:$C$1000=$C35)*'ANALYSE - ERP =&gt; SOUS-SEGMENT'!$Q$8:$Q$1000*'ANALYSE - ERP =&gt; SOUS-SEGMENT'!$BF$8:$BF$1000*'ANALYSE - ERP =&gt; SOUS-SEGMENT'!$JA$8:$JA$1000)/SUMPRODUCT(('ANALYSE - ERP =&gt; SOUS-SEGMENT'!$C$8:$C$1000=$C35)*'ANALYSE - ERP =&gt; SOUS-SEGMENT'!$Q$8:$Q$1000*'ANALYSE - ERP =&gt; SOUS-SEGMENT'!$BF$8:$BF$1000),""))</f>
        <v>0.41239724964739066</v>
      </c>
      <c r="JB35" s="730">
        <f>IF($C35="","",IFERROR(SUMPRODUCT(('ANALYSE - ERP =&gt; SOUS-SEGMENT'!$C$8:$C$1000=$C35)*'ANALYSE - ERP =&gt; SOUS-SEGMENT'!$Q$8:$Q$1000*'ANALYSE - ERP =&gt; SOUS-SEGMENT'!$BF$8:$BF$1000*'ANALYSE - ERP =&gt; SOUS-SEGMENT'!$JB$8:$JB$1000)/SUMPRODUCT(('ANALYSE - ERP =&gt; SOUS-SEGMENT'!$C$8:$C$1000=$C35)*'ANALYSE - ERP =&gt; SOUS-SEGMENT'!$Q$8:$Q$1000*'ANALYSE - ERP =&gt; SOUS-SEGMENT'!$BF$8:$BF$1000),""))</f>
        <v>0.10638323930418429</v>
      </c>
      <c r="JC35" s="730">
        <f>IF($C35="","",IFERROR(SUMPRODUCT(('ANALYSE - ERP =&gt; SOUS-SEGMENT'!$C$8:$C$1000=$C35)*'ANALYSE - ERP =&gt; SOUS-SEGMENT'!$Q$8:$Q$1000*'ANALYSE - ERP =&gt; SOUS-SEGMENT'!$BF$8:$BF$1000*'ANALYSE - ERP =&gt; SOUS-SEGMENT'!$JC$8:$JC$1000)/SUMPRODUCT(('ANALYSE - ERP =&gt; SOUS-SEGMENT'!$C$8:$C$1000=$C35)*'ANALYSE - ERP =&gt; SOUS-SEGMENT'!$Q$8:$Q$1000*'ANALYSE - ERP =&gt; SOUS-SEGMENT'!$BF$8:$BF$1000),""))</f>
        <v>1.6043935119887165E-2</v>
      </c>
      <c r="JD35" s="730">
        <f>IF($C35="","",IFERROR(SUMPRODUCT(('ANALYSE - ERP =&gt; SOUS-SEGMENT'!$C$8:$C$1000=$C35)*'ANALYSE - ERP =&gt; SOUS-SEGMENT'!$Q$8:$Q$1000*'ANALYSE - ERP =&gt; SOUS-SEGMENT'!$FE$8:$FE$1000*'ANALYSE - ERP =&gt; SOUS-SEGMENT'!$JD$8:$JD$1000)/SUMPRODUCT(('ANALYSE - ERP =&gt; SOUS-SEGMENT'!$C$8:$C$1000=$C35)*'ANALYSE - ERP =&gt; SOUS-SEGMENT'!$Q$8:$Q$1000*'ANALYSE - ERP =&gt; SOUS-SEGMENT'!$FE$8:$FE$1000),""))</f>
        <v>2.5631012975294531E-2</v>
      </c>
      <c r="JE35" s="730">
        <f>IF($C35="","",IFERROR(SUMPRODUCT(('ANALYSE - ERP =&gt; SOUS-SEGMENT'!$C$8:$C$1000=$C35)*'ANALYSE - ERP =&gt; SOUS-SEGMENT'!$Q$8:$Q$1000*'ANALYSE - ERP =&gt; SOUS-SEGMENT'!$FE$8:$FE$1000*'ANALYSE - ERP =&gt; SOUS-SEGMENT'!$JE$8:$JE$1000)/SUMPRODUCT(('ANALYSE - ERP =&gt; SOUS-SEGMENT'!$C$8:$C$1000=$C35)*'ANALYSE - ERP =&gt; SOUS-SEGMENT'!$Q$8:$Q$1000*'ANALYSE - ERP =&gt; SOUS-SEGMENT'!$FE$8:$FE$1000),""))</f>
        <v>0.39747750277520821</v>
      </c>
      <c r="JF35" s="730">
        <f>IF($C35="","",IFERROR(SUMPRODUCT(('ANALYSE - ERP =&gt; SOUS-SEGMENT'!$C$8:$C$1000=$C35)*'ANALYSE - ERP =&gt; SOUS-SEGMENT'!$Q$8:$Q$1000*'ANALYSE - ERP =&gt; SOUS-SEGMENT'!$FE$8:$FE$1000*'ANALYSE - ERP =&gt; SOUS-SEGMENT'!$JF$8:$JF$1000)/SUMPRODUCT(('ANALYSE - ERP =&gt; SOUS-SEGMENT'!$C$8:$C$1000=$C35)*'ANALYSE - ERP =&gt; SOUS-SEGMENT'!$Q$8:$Q$1000*'ANALYSE - ERP =&gt; SOUS-SEGMENT'!$FE$8:$FE$1000),""))</f>
        <v>0.4109587468652634</v>
      </c>
      <c r="JG35" s="730">
        <f>IF($C35="","",IFERROR(SUMPRODUCT(('ANALYSE - ERP =&gt; SOUS-SEGMENT'!$C$8:$C$1000=$C35)*'ANALYSE - ERP =&gt; SOUS-SEGMENT'!$Q$8:$Q$1000*'ANALYSE - ERP =&gt; SOUS-SEGMENT'!$FE$8:$FE$1000*'ANALYSE - ERP =&gt; SOUS-SEGMENT'!$JG$8:$JG$1000)/SUMPRODUCT(('ANALYSE - ERP =&gt; SOUS-SEGMENT'!$C$8:$C$1000=$C35)*'ANALYSE - ERP =&gt; SOUS-SEGMENT'!$Q$8:$Q$1000*'ANALYSE - ERP =&gt; SOUS-SEGMENT'!$FE$8:$FE$1000),""))</f>
        <v>0.13423311840067628</v>
      </c>
      <c r="JH35" s="730">
        <f>IF($C35="","",IFERROR(SUMPRODUCT(('ANALYSE - ERP =&gt; SOUS-SEGMENT'!$C$8:$C$1000=$C35)*'ANALYSE - ERP =&gt; SOUS-SEGMENT'!$Q$8:$Q$1000*'ANALYSE - ERP =&gt; SOUS-SEGMENT'!$FE$8:$FE$1000*'ANALYSE - ERP =&gt; SOUS-SEGMENT'!$JH$8:$JH$1000)/SUMPRODUCT(('ANALYSE - ERP =&gt; SOUS-SEGMENT'!$C$8:$C$1000=$C35)*'ANALYSE - ERP =&gt; SOUS-SEGMENT'!$Q$8:$Q$1000*'ANALYSE - ERP =&gt; SOUS-SEGMENT'!$FE$8:$FE$1000),""))</f>
        <v>3.1699618983557762E-2</v>
      </c>
      <c r="JI35" s="730">
        <f>IF($C35="","",IFERROR(SUMPRODUCT(('ANALYSE - ERP =&gt; SOUS-SEGMENT'!$C$8:$C$1000=$C35)*'ANALYSE - ERP =&gt; SOUS-SEGMENT'!$Q$8:$Q$1000*'ANALYSE - ERP =&gt; SOUS-SEGMENT'!$BG$8:$BG$1000*'ANALYSE - ERP =&gt; SOUS-SEGMENT'!$JI$8:$JI$1000)/SUMPRODUCT(('ANALYSE - ERP =&gt; SOUS-SEGMENT'!$C$8:$C$1000=$C35)*'ANALYSE - ERP =&gt; SOUS-SEGMENT'!$Q$8:$Q$1000*'ANALYSE - ERP =&gt; SOUS-SEGMENT'!$BG$8:$BG$1000),""))</f>
        <v>9.170875584929325E-2</v>
      </c>
      <c r="JJ35" s="730">
        <f>IF($C35="","",IFERROR(SUMPRODUCT(('ANALYSE - ERP =&gt; SOUS-SEGMENT'!$C$8:$C$1000=$C35)*'ANALYSE - ERP =&gt; SOUS-SEGMENT'!$Q$8:$Q$1000*'ANALYSE - ERP =&gt; SOUS-SEGMENT'!$BG$8:$BG$1000*'ANALYSE - ERP =&gt; SOUS-SEGMENT'!$JJ$8:$JJ$1000)/SUMPRODUCT(('ANALYSE - ERP =&gt; SOUS-SEGMENT'!$C$8:$C$1000=$C35)*'ANALYSE - ERP =&gt; SOUS-SEGMENT'!$Q$8:$Q$1000*'ANALYSE - ERP =&gt; SOUS-SEGMENT'!$BG$8:$BG$1000),""))</f>
        <v>0.52490169327994596</v>
      </c>
      <c r="JK35" s="730">
        <f>IF($C35="","",IFERROR(SUMPRODUCT(('ANALYSE - ERP =&gt; SOUS-SEGMENT'!$C$8:$C$1000=$C35)*'ANALYSE - ERP =&gt; SOUS-SEGMENT'!$Q$8:$Q$1000*'ANALYSE - ERP =&gt; SOUS-SEGMENT'!$BG$8:$BG$1000*'ANALYSE - ERP =&gt; SOUS-SEGMENT'!$JK$8:$JK$1000)/SUMPRODUCT(('ANALYSE - ERP =&gt; SOUS-SEGMENT'!$C$8:$C$1000=$C35)*'ANALYSE - ERP =&gt; SOUS-SEGMENT'!$Q$8:$Q$1000*'ANALYSE - ERP =&gt; SOUS-SEGMENT'!$BG$8:$BG$1000),""))</f>
        <v>0.30341991412996289</v>
      </c>
      <c r="JL35" s="730">
        <f>IF($C35="","",IFERROR(SUMPRODUCT(('ANALYSE - ERP =&gt; SOUS-SEGMENT'!$C$8:$C$1000=$C35)*'ANALYSE - ERP =&gt; SOUS-SEGMENT'!$Q$8:$Q$1000*'ANALYSE - ERP =&gt; SOUS-SEGMENT'!$BG$8:$BG$1000*'ANALYSE - ERP =&gt; SOUS-SEGMENT'!$JL$8:$JL$1000)/SUMPRODUCT(('ANALYSE - ERP =&gt; SOUS-SEGMENT'!$C$8:$C$1000=$C35)*'ANALYSE - ERP =&gt; SOUS-SEGMENT'!$Q$8:$Q$1000*'ANALYSE - ERP =&gt; SOUS-SEGMENT'!$BG$8:$BG$1000),""))</f>
        <v>6.9369395532828393E-2</v>
      </c>
      <c r="JM35" s="730">
        <f>IF($C35="","",IFERROR(SUMPRODUCT(('ANALYSE - ERP =&gt; SOUS-SEGMENT'!$C$8:$C$1000=$C35)*'ANALYSE - ERP =&gt; SOUS-SEGMENT'!$Q$8:$Q$1000*'ANALYSE - ERP =&gt; SOUS-SEGMENT'!$BG$8:$BG$1000*'ANALYSE - ERP =&gt; SOUS-SEGMENT'!$JM$8:$JM$1000)/SUMPRODUCT(('ANALYSE - ERP =&gt; SOUS-SEGMENT'!$C$8:$C$1000=$C35)*'ANALYSE - ERP =&gt; SOUS-SEGMENT'!$Q$8:$Q$1000*'ANALYSE - ERP =&gt; SOUS-SEGMENT'!$BG$8:$BG$1000),""))</f>
        <v>1.0600241207969511E-2</v>
      </c>
      <c r="JN35" s="730">
        <f>IF($C35="","",IFERROR(SUMPRODUCT(('ANALYSE - ERP =&gt; SOUS-SEGMENT'!$C$8:$C$1000=$C35)*'ANALYSE - ERP =&gt; SOUS-SEGMENT'!$Q$8:$Q$1000*'ANALYSE - ERP =&gt; SOUS-SEGMENT'!$FH$8:$FH$1000*'ANALYSE - ERP =&gt; SOUS-SEGMENT'!$JN$8:$JN$1000)/SUMPRODUCT(('ANALYSE - ERP =&gt; SOUS-SEGMENT'!$C$8:$C$1000=$C35)*'ANALYSE - ERP =&gt; SOUS-SEGMENT'!$Q$8:$Q$1000*'ANALYSE - ERP =&gt; SOUS-SEGMENT'!$FH$8:$FH$1000),""))</f>
        <v>5.5101846674715529E-2</v>
      </c>
      <c r="JO35" s="730">
        <f>IF($C35="","",IFERROR(SUMPRODUCT(('ANALYSE - ERP =&gt; SOUS-SEGMENT'!$C$8:$C$1000=$C35)*'ANALYSE - ERP =&gt; SOUS-SEGMENT'!$Q$8:$Q$1000*'ANALYSE - ERP =&gt; SOUS-SEGMENT'!$FH$8:$FH$1000*'ANALYSE - ERP =&gt; SOUS-SEGMENT'!$JO$8:$JO$1000)/SUMPRODUCT(('ANALYSE - ERP =&gt; SOUS-SEGMENT'!$C$8:$C$1000=$C35)*'ANALYSE - ERP =&gt; SOUS-SEGMENT'!$Q$8:$Q$1000*'ANALYSE - ERP =&gt; SOUS-SEGMENT'!$FH$8:$FH$1000),""))</f>
        <v>0.48766342250477984</v>
      </c>
      <c r="JP35" s="730">
        <f>IF($C35="","",IFERROR(SUMPRODUCT(('ANALYSE - ERP =&gt; SOUS-SEGMENT'!$C$8:$C$1000=$C35)*'ANALYSE - ERP =&gt; SOUS-SEGMENT'!$Q$8:$Q$1000*'ANALYSE - ERP =&gt; SOUS-SEGMENT'!$FH$8:$FH$1000*'ANALYSE - ERP =&gt; SOUS-SEGMENT'!$JP$8:$JP$1000)/SUMPRODUCT(('ANALYSE - ERP =&gt; SOUS-SEGMENT'!$C$8:$C$1000=$C35)*'ANALYSE - ERP =&gt; SOUS-SEGMENT'!$Q$8:$Q$1000*'ANALYSE - ERP =&gt; SOUS-SEGMENT'!$FH$8:$FH$1000),""))</f>
        <v>0.33037792869147675</v>
      </c>
      <c r="JQ35" s="730">
        <f>IF($C35="","",IFERROR(SUMPRODUCT(('ANALYSE - ERP =&gt; SOUS-SEGMENT'!$C$8:$C$1000=$C35)*'ANALYSE - ERP =&gt; SOUS-SEGMENT'!$Q$8:$Q$1000*'ANALYSE - ERP =&gt; SOUS-SEGMENT'!$FH$8:$FH$1000*'ANALYSE - ERP =&gt; SOUS-SEGMENT'!$JQ$8:$JQ$1000)/SUMPRODUCT(('ANALYSE - ERP =&gt; SOUS-SEGMENT'!$C$8:$C$1000=$C35)*'ANALYSE - ERP =&gt; SOUS-SEGMENT'!$Q$8:$Q$1000*'ANALYSE - ERP =&gt; SOUS-SEGMENT'!$FH$8:$FH$1000),""))</f>
        <v>0.10489217383130013</v>
      </c>
      <c r="JR35" s="730">
        <f>IF($C35="","",IFERROR(SUMPRODUCT(('ANALYSE - ERP =&gt; SOUS-SEGMENT'!$C$8:$C$1000=$C35)*'ANALYSE - ERP =&gt; SOUS-SEGMENT'!$Q$8:$Q$1000*'ANALYSE - ERP =&gt; SOUS-SEGMENT'!$FH$8:$FH$1000*'ANALYSE - ERP =&gt; SOUS-SEGMENT'!$JR$8:$JR$1000)/SUMPRODUCT(('ANALYSE - ERP =&gt; SOUS-SEGMENT'!$C$8:$C$1000=$C35)*'ANALYSE - ERP =&gt; SOUS-SEGMENT'!$Q$8:$Q$1000*'ANALYSE - ERP =&gt; SOUS-SEGMENT'!$FH$8:$FH$1000),""))</f>
        <v>2.1964628297727783E-2</v>
      </c>
      <c r="JS35" s="730">
        <f>IF($C35="","",IFERROR(SUMPRODUCT(('ANALYSE - ERP =&gt; SOUS-SEGMENT'!$C$8:$C$1000=$C35)*'ANALYSE - ERP =&gt; SOUS-SEGMENT'!$Q$8:$Q$1000*'ANALYSE - ERP =&gt; SOUS-SEGMENT'!$BH$8:$BH$1000*'ANALYSE - ERP =&gt; SOUS-SEGMENT'!$JS$8:$JS$1000)/SUMPRODUCT(('ANALYSE - ERP =&gt; SOUS-SEGMENT'!$C$8:$C$1000=$C35)*'ANALYSE - ERP =&gt; SOUS-SEGMENT'!$Q$8:$Q$1000*'ANALYSE - ERP =&gt; SOUS-SEGMENT'!$BH$8:$BH$1000),""))</f>
        <v>5.1793034667092196E-2</v>
      </c>
      <c r="JT35" s="730">
        <f>IF($C35="","",IFERROR(SUMPRODUCT(('ANALYSE - ERP =&gt; SOUS-SEGMENT'!$C$8:$C$1000=$C35)*'ANALYSE - ERP =&gt; SOUS-SEGMENT'!$Q$8:$Q$1000*'ANALYSE - ERP =&gt; SOUS-SEGMENT'!$BH$8:$BH$1000*'ANALYSE - ERP =&gt; SOUS-SEGMENT'!$JT$8:$JT$1000)/SUMPRODUCT(('ANALYSE - ERP =&gt; SOUS-SEGMENT'!$C$8:$C$1000=$C35)*'ANALYSE - ERP =&gt; SOUS-SEGMENT'!$Q$8:$Q$1000*'ANALYSE - ERP =&gt; SOUS-SEGMENT'!$BH$8:$BH$1000),""))</f>
        <v>0.43606613475884631</v>
      </c>
      <c r="JU35" s="730">
        <f>IF($C35="","",IFERROR(SUMPRODUCT(('ANALYSE - ERP =&gt; SOUS-SEGMENT'!$C$8:$C$1000=$C35)*'ANALYSE - ERP =&gt; SOUS-SEGMENT'!$Q$8:$Q$1000*'ANALYSE - ERP =&gt; SOUS-SEGMENT'!$BH$8:$BH$1000*'ANALYSE - ERP =&gt; SOUS-SEGMENT'!$JU$8:$JU$1000)/SUMPRODUCT(('ANALYSE - ERP =&gt; SOUS-SEGMENT'!$C$8:$C$1000=$C35)*'ANALYSE - ERP =&gt; SOUS-SEGMENT'!$Q$8:$Q$1000*'ANALYSE - ERP =&gt; SOUS-SEGMENT'!$BH$8:$BH$1000),""))</f>
        <v>0.39221472054892886</v>
      </c>
      <c r="JV35" s="730">
        <f>IF($C35="","",IFERROR(SUMPRODUCT(('ANALYSE - ERP =&gt; SOUS-SEGMENT'!$C$8:$C$1000=$C35)*'ANALYSE - ERP =&gt; SOUS-SEGMENT'!$Q$8:$Q$1000*'ANALYSE - ERP =&gt; SOUS-SEGMENT'!$BH$8:$BH$1000*'ANALYSE - ERP =&gt; SOUS-SEGMENT'!$JV$8:$JV$1000)/SUMPRODUCT(('ANALYSE - ERP =&gt; SOUS-SEGMENT'!$C$8:$C$1000=$C35)*'ANALYSE - ERP =&gt; SOUS-SEGMENT'!$Q$8:$Q$1000*'ANALYSE - ERP =&gt; SOUS-SEGMENT'!$BH$8:$BH$1000),""))</f>
        <v>0.10351991063948619</v>
      </c>
      <c r="JW35" s="730">
        <f>IF($C35="","",IFERROR(SUMPRODUCT(('ANALYSE - ERP =&gt; SOUS-SEGMENT'!$C$8:$C$1000=$C35)*'ANALYSE - ERP =&gt; SOUS-SEGMENT'!$Q$8:$Q$1000*'ANALYSE - ERP =&gt; SOUS-SEGMENT'!$BH$8:$BH$1000*'ANALYSE - ERP =&gt; SOUS-SEGMENT'!$JW$8:$JW$1000)/SUMPRODUCT(('ANALYSE - ERP =&gt; SOUS-SEGMENT'!$C$8:$C$1000=$C35)*'ANALYSE - ERP =&gt; SOUS-SEGMENT'!$Q$8:$Q$1000*'ANALYSE - ERP =&gt; SOUS-SEGMENT'!$BH$8:$BH$1000),""))</f>
        <v>1.6406199385646466E-2</v>
      </c>
      <c r="JX35" s="730">
        <f>IF($C35="","",IFERROR(SUMPRODUCT(('ANALYSE - ERP =&gt; SOUS-SEGMENT'!$C$8:$C$1000=$C35)*'ANALYSE - ERP =&gt; SOUS-SEGMENT'!$Q$8:$Q$1000*'ANALYSE - ERP =&gt; SOUS-SEGMENT'!$FK$8:$FK$1000*'ANALYSE - ERP =&gt; SOUS-SEGMENT'!$JX$8:$JX$1000)/SUMPRODUCT(('ANALYSE - ERP =&gt; SOUS-SEGMENT'!$C$8:$C$1000=$C35)*'ANALYSE - ERP =&gt; SOUS-SEGMENT'!$Q$8:$Q$1000*'ANALYSE - ERP =&gt; SOUS-SEGMENT'!$FK$8:$FK$1000),""))</f>
        <v>2.7851043295911884E-2</v>
      </c>
      <c r="JY35" s="730">
        <f>IF($C35="","",IFERROR(SUMPRODUCT(('ANALYSE - ERP =&gt; SOUS-SEGMENT'!$C$8:$C$1000=$C35)*'ANALYSE - ERP =&gt; SOUS-SEGMENT'!$Q$8:$Q$1000*'ANALYSE - ERP =&gt; SOUS-SEGMENT'!$FK$8:$FK$1000*'ANALYSE - ERP =&gt; SOUS-SEGMENT'!$JY$8:$JY$1000)/SUMPRODUCT(('ANALYSE - ERP =&gt; SOUS-SEGMENT'!$C$8:$C$1000=$C35)*'ANALYSE - ERP =&gt; SOUS-SEGMENT'!$Q$8:$Q$1000*'ANALYSE - ERP =&gt; SOUS-SEGMENT'!$FK$8:$FK$1000),""))</f>
        <v>0.39310789036263422</v>
      </c>
      <c r="JZ35" s="730">
        <f>IF($C35="","",IFERROR(SUMPRODUCT(('ANALYSE - ERP =&gt; SOUS-SEGMENT'!$C$8:$C$1000=$C35)*'ANALYSE - ERP =&gt; SOUS-SEGMENT'!$Q$8:$Q$1000*'ANALYSE - ERP =&gt; SOUS-SEGMENT'!$FK$8:$FK$1000*'ANALYSE - ERP =&gt; SOUS-SEGMENT'!$JZ$8:$JZ$1000)/SUMPRODUCT(('ANALYSE - ERP =&gt; SOUS-SEGMENT'!$C$8:$C$1000=$C35)*'ANALYSE - ERP =&gt; SOUS-SEGMENT'!$Q$8:$Q$1000*'ANALYSE - ERP =&gt; SOUS-SEGMENT'!$FK$8:$FK$1000),""))</f>
        <v>0.4081394112515499</v>
      </c>
      <c r="KA35" s="730">
        <f>IF($C35="","",IFERROR(SUMPRODUCT(('ANALYSE - ERP =&gt; SOUS-SEGMENT'!$C$8:$C$1000=$C35)*'ANALYSE - ERP =&gt; SOUS-SEGMENT'!$Q$8:$Q$1000*'ANALYSE - ERP =&gt; SOUS-SEGMENT'!$FK$8:$FK$1000*'ANALYSE - ERP =&gt; SOUS-SEGMENT'!$KA$8:$KA$1000)/SUMPRODUCT(('ANALYSE - ERP =&gt; SOUS-SEGMENT'!$C$8:$C$1000=$C35)*'ANALYSE - ERP =&gt; SOUS-SEGMENT'!$Q$8:$Q$1000*'ANALYSE - ERP =&gt; SOUS-SEGMENT'!$FK$8:$FK$1000),""))</f>
        <v>0.1374980758367037</v>
      </c>
      <c r="KB35" s="730">
        <f>IF($C35="","",IFERROR(SUMPRODUCT(('ANALYSE - ERP =&gt; SOUS-SEGMENT'!$C$8:$C$1000=$C35)*'ANALYSE - ERP =&gt; SOUS-SEGMENT'!$Q$8:$Q$1000*'ANALYSE - ERP =&gt; SOUS-SEGMENT'!$FK$8:$FK$1000*'ANALYSE - ERP =&gt; SOUS-SEGMENT'!$KB$8:$KB$1000)/SUMPRODUCT(('ANALYSE - ERP =&gt; SOUS-SEGMENT'!$C$8:$C$1000=$C35)*'ANALYSE - ERP =&gt; SOUS-SEGMENT'!$Q$8:$Q$1000*'ANALYSE - ERP =&gt; SOUS-SEGMENT'!$FK$8:$FK$1000),""))</f>
        <v>3.3403579253200484E-2</v>
      </c>
      <c r="KC35" s="657"/>
      <c r="KD35" s="920" t="s">
        <v>2590</v>
      </c>
      <c r="KE35" s="920" t="s">
        <v>2590</v>
      </c>
      <c r="KF35" s="866">
        <f>IF($C35="","",IFERROR(SUMPRODUCT(('ANALYSE - ERP =&gt; SOUS-SEGMENT'!$C$8:$C$1000=$C35)*'ANALYSE - ERP =&gt; SOUS-SEGMENT'!$Q$8:$Q$1000*'ANALYSE - ERP =&gt; SOUS-SEGMENT'!$IE$8:$IE$1000*'ANALYSE - ERP =&gt; SOUS-SEGMENT'!$KF$8:$KF$1000)/SUMPRODUCT(('ANALYSE - ERP =&gt; SOUS-SEGMENT'!$C$8:$C$1000=$C35)*'ANALYSE - ERP =&gt; SOUS-SEGMENT'!$Q$8:$Q$1000*'ANALYSE - ERP =&gt; SOUS-SEGMENT'!$IE$8:$IE$1000),""))</f>
        <v>4.1292888509658816</v>
      </c>
      <c r="KG35" s="920" t="s">
        <v>2589</v>
      </c>
      <c r="KH35" s="920" t="s">
        <v>6097</v>
      </c>
      <c r="KI35" s="920" t="s">
        <v>6098</v>
      </c>
      <c r="KJ35" s="920" t="s">
        <v>6099</v>
      </c>
    </row>
    <row r="36" spans="1:296" ht="120" customHeight="1">
      <c r="A36" s="957">
        <f>IF($C36="","",ROWS($A$8:A36))</f>
        <v>29</v>
      </c>
      <c r="B36" s="958" t="s">
        <v>2285</v>
      </c>
      <c r="C36" s="958" t="s">
        <v>4836</v>
      </c>
      <c r="D36" s="959" t="s">
        <v>6100</v>
      </c>
      <c r="E36" s="269" t="s">
        <v>2289</v>
      </c>
      <c r="F36" s="960" t="s">
        <v>4838</v>
      </c>
      <c r="G36" s="960" t="s">
        <v>4083</v>
      </c>
      <c r="H36" s="960" t="s">
        <v>2109</v>
      </c>
      <c r="I36" s="960" t="s">
        <v>6101</v>
      </c>
      <c r="J36" s="960" t="s">
        <v>6102</v>
      </c>
      <c r="K36" s="960" t="s">
        <v>6103</v>
      </c>
      <c r="L36" s="960" t="s">
        <v>6104</v>
      </c>
      <c r="M36" s="960" t="s">
        <v>6105</v>
      </c>
      <c r="N36" s="960" t="s">
        <v>6106</v>
      </c>
      <c r="O36" s="960" t="s">
        <v>2616</v>
      </c>
      <c r="P36" s="960"/>
      <c r="Q36" s="270">
        <f>IF($C36="","",IF(SUMIFS('ANALYSE - ERP =&gt; SOUS-SEGMENT'!$Q$8:$Q$1000,'ANALYSE - ERP =&gt; SOUS-SEGMENT'!$C$8:$C$1000,$C36)&gt;0,1,0))</f>
        <v>1</v>
      </c>
      <c r="R36" s="271">
        <f>IF($C36="","",IFERROR(SUMPRODUCT(('ANALYSE - ERP =&gt; SOUS-SEGMENT'!$C$8:$C$1000=$C36)*'ANALYSE - ERP =&gt; SOUS-SEGMENT'!$Q$8:$Q$1000*'ANALYSE - ERP =&gt; SOUS-SEGMENT'!$AF$8:$AF$1000*'ANALYSE - ERP =&gt; SOUS-SEGMENT'!$R$8:$R$1000)/SUMPRODUCT(('ANALYSE - ERP =&gt; SOUS-SEGMENT'!$C$8:$C$1000=$C36)*'ANALYSE - ERP =&gt; SOUS-SEGMENT'!$Q$8:$Q$1000*'ANALYSE - ERP =&gt; SOUS-SEGMENT'!$AF$8:$AF$1000),""))</f>
        <v>169.51273369645224</v>
      </c>
      <c r="S36" s="272">
        <f>IF($C36="","",SUMPRODUCT(('ANALYSE - ERP =&gt; SOUS-SEGMENT'!$C$8:$C$1000=$C36)*'ANALYSE - ERP =&gt; SOUS-SEGMENT'!$Q$8:$Q$1000*'ANALYSE - ERP =&gt; SOUS-SEGMENT'!$S$8:$S$1000))</f>
        <v>11315</v>
      </c>
      <c r="T36" s="272">
        <f>IF($C36="","",SUMPRODUCT(('ANALYSE - ERP =&gt; SOUS-SEGMENT'!$C$8:$C$1000=$C36)*'ANALYSE - ERP =&gt; SOUS-SEGMENT'!$Q$8:$Q$1000*'ANALYSE - ERP =&gt; SOUS-SEGMENT'!$T$8:$T$1000))</f>
        <v>11800</v>
      </c>
      <c r="U36" s="272">
        <f>IF($C36="","",SUMPRODUCT(('ANALYSE - ERP =&gt; SOUS-SEGMENT'!$C$8:$C$1000=$C36)*'ANALYSE - ERP =&gt; SOUS-SEGMENT'!$Q$8:$Q$1000*'ANALYSE - ERP =&gt; SOUS-SEGMENT'!$U$8:$U$1000))</f>
        <v>12372</v>
      </c>
      <c r="V36" s="272">
        <f>IF($C36="","",SUMPRODUCT(('ANALYSE - ERP =&gt; SOUS-SEGMENT'!$C$8:$C$1000=$C36)*'ANALYSE - ERP =&gt; SOUS-SEGMENT'!$Q$8:$Q$1000*'ANALYSE - ERP =&gt; SOUS-SEGMENT'!$V$8:$V$1000))</f>
        <v>12913</v>
      </c>
      <c r="W36" s="272">
        <f>IF($C36="","",SUMPRODUCT(('ANALYSE - ERP =&gt; SOUS-SEGMENT'!$C$8:$C$1000=$C36)*'ANALYSE - ERP =&gt; SOUS-SEGMENT'!$Q$8:$Q$1000*'ANALYSE - ERP =&gt; SOUS-SEGMENT'!$W$8:$W$1000))</f>
        <v>13039</v>
      </c>
      <c r="X36" s="272">
        <f>IF($C36="","",SUMPRODUCT(('ANALYSE - ERP =&gt; SOUS-SEGMENT'!$C$8:$C$1000=$C36)*'ANALYSE - ERP =&gt; SOUS-SEGMENT'!$Q$8:$Q$1000*'ANALYSE - ERP =&gt; SOUS-SEGMENT'!$X$8:$X$1000))</f>
        <v>13170</v>
      </c>
      <c r="Y36" s="272">
        <f>IF($C36="","",SUMPRODUCT(('ANALYSE - ERP =&gt; SOUS-SEGMENT'!$C$8:$C$1000=$C36)*'ANALYSE - ERP =&gt; SOUS-SEGMENT'!$Q$8:$Q$1000*'ANALYSE - ERP =&gt; SOUS-SEGMENT'!$Y$8:$Y$1000))</f>
        <v>13301</v>
      </c>
      <c r="Z36" s="272">
        <f>IF($C36="","",SUMPRODUCT(('ANALYSE - ERP =&gt; SOUS-SEGMENT'!$C$8:$C$1000=$C36)*'ANALYSE - ERP =&gt; SOUS-SEGMENT'!$Q$8:$Q$1000*'ANALYSE - ERP =&gt; SOUS-SEGMENT'!$Z$8:$Z$1000))</f>
        <v>13481</v>
      </c>
      <c r="AA36" s="272">
        <f>IF($C36="","",SUMPRODUCT(('ANALYSE - ERP =&gt; SOUS-SEGMENT'!$C$8:$C$1000=$C36)*'ANALYSE - ERP =&gt; SOUS-SEGMENT'!$Q$8:$Q$1000*'ANALYSE - ERP =&gt; SOUS-SEGMENT'!$AA$8:$AA$1000))</f>
        <v>12888</v>
      </c>
      <c r="AB36" s="272">
        <f>IF($C36="","",SUMPRODUCT(('ANALYSE - ERP =&gt; SOUS-SEGMENT'!$C$8:$C$1000=$C36)*'ANALYSE - ERP =&gt; SOUS-SEGMENT'!$Q$8:$Q$1000*'ANALYSE - ERP =&gt; SOUS-SEGMENT'!$AB$8:$AB$1000))</f>
        <v>13030</v>
      </c>
      <c r="AC36" s="272">
        <f>IF($C36="","",SUMPRODUCT(('ANALYSE - ERP =&gt; SOUS-SEGMENT'!$C$8:$C$1000=$C36)*'ANALYSE - ERP =&gt; SOUS-SEGMENT'!$Q$8:$Q$1000*'ANALYSE - ERP =&gt; SOUS-SEGMENT'!$AC$8:$AC$1000))</f>
        <v>13161</v>
      </c>
      <c r="AD36" s="272">
        <f>IF($C36="","",SUMPRODUCT(('ANALYSE - ERP =&gt; SOUS-SEGMENT'!$C$8:$C$1000=$C36)*'ANALYSE - ERP =&gt; SOUS-SEGMENT'!$Q$8:$Q$1000*'ANALYSE - ERP =&gt; SOUS-SEGMENT'!$AD$8:$AD$1000))</f>
        <v>13343</v>
      </c>
      <c r="AE36" s="272">
        <f>IF($C36="","",SUMPRODUCT(('ANALYSE - ERP =&gt; SOUS-SEGMENT'!$C$8:$C$1000=$C36)*'ANALYSE - ERP =&gt; SOUS-SEGMENT'!$Q$8:$Q$1000*'ANALYSE - ERP =&gt; SOUS-SEGMENT'!$AE$8:$AE$1000))</f>
        <v>13459</v>
      </c>
      <c r="AF36" s="272">
        <f>IF($C36="","",SUMPRODUCT(('ANALYSE - ERP =&gt; SOUS-SEGMENT'!$C$8:$C$1000=$C36)*'ANALYSE - ERP =&gt; SOUS-SEGMENT'!$Q$8:$Q$1000*'ANALYSE - ERP =&gt; SOUS-SEGMENT'!$AF$8:$AF$1000))</f>
        <v>13586</v>
      </c>
      <c r="AG36" s="272">
        <f>IF($C36="","",SUMPRODUCT(('ANALYSE - ERP =&gt; SOUS-SEGMENT'!$C$8:$C$1000=$C36)*'ANALYSE - ERP =&gt; SOUS-SEGMENT'!$Q$8:$Q$1000*'ANALYSE - ERP =&gt; SOUS-SEGMENT'!$AG$8:$AG$1000))</f>
        <v>13675</v>
      </c>
      <c r="AH36" s="272">
        <f>IF($C36="","",SUMPRODUCT(('ANALYSE - ERP =&gt; SOUS-SEGMENT'!$C$8:$C$1000=$C36)*'ANALYSE - ERP =&gt; SOUS-SEGMENT'!$Q$8:$Q$1000*'ANALYSE - ERP =&gt; SOUS-SEGMENT'!$AH$8:$AH$1000))</f>
        <v>13764</v>
      </c>
      <c r="AI36" s="272">
        <f>IF($C36="","",SUMPRODUCT(('ANALYSE - ERP =&gt; SOUS-SEGMENT'!$C$8:$C$1000=$C36)*'ANALYSE - ERP =&gt; SOUS-SEGMENT'!$Q$8:$Q$1000*'ANALYSE - ERP =&gt; SOUS-SEGMENT'!$AI$8:$AI$1000))</f>
        <v>13853</v>
      </c>
      <c r="AJ36" s="272">
        <f>IF($C36="","",SUMPRODUCT(('ANALYSE - ERP =&gt; SOUS-SEGMENT'!$C$8:$C$1000=$C36)*'ANALYSE - ERP =&gt; SOUS-SEGMENT'!$Q$8:$Q$1000*'ANALYSE - ERP =&gt; SOUS-SEGMENT'!$AJ$8:$AJ$1000))</f>
        <v>13942</v>
      </c>
      <c r="AK36" s="272">
        <f>IF($C36="","",SUMPRODUCT(('ANALYSE - ERP =&gt; SOUS-SEGMENT'!$C$8:$C$1000=$C36)*'ANALYSE - ERP =&gt; SOUS-SEGMENT'!$Q$8:$Q$1000*'ANALYSE - ERP =&gt; SOUS-SEGMENT'!$AK$8:$AK$1000))</f>
        <v>14031</v>
      </c>
      <c r="AL36" s="960" t="s">
        <v>6107</v>
      </c>
      <c r="AM36" s="960" t="s">
        <v>6108</v>
      </c>
      <c r="AN36" s="960" t="s">
        <v>6109</v>
      </c>
      <c r="AO36" s="657"/>
      <c r="AP36" s="271">
        <f>IF($C36="","",IFERROR(SUMPRODUCT(('ANALYSE - ERP =&gt; SOUS-SEGMENT'!$C$8:$C$1000=$C36)*'ANALYSE - ERP =&gt; SOUS-SEGMENT'!$Q$8:$Q$1000*'ANALYSE - ERP =&gt; SOUS-SEGMENT'!$AF$8:$AF$1000*'ANALYSE - ERP =&gt; SOUS-SEGMENT'!$AP$8:$AP$1000)/SUMPRODUCT(('ANALYSE - ERP =&gt; SOUS-SEGMENT'!$C$8:$C$1000=$C36)*'ANALYSE - ERP =&gt; SOUS-SEGMENT'!$Q$8:$Q$1000*'ANALYSE - ERP =&gt; SOUS-SEGMENT'!$AF$8:$AF$1000),""))</f>
        <v>181.05402620344472</v>
      </c>
      <c r="AQ36" s="280">
        <f>IF($C36="","",IFERROR(SUMPRODUCT(('ANALYSE - ERP =&gt; SOUS-SEGMENT'!$C$8:$C$1000=$C36)*'ANALYSE - ERP =&gt; SOUS-SEGMENT'!$Q$8:$Q$1000*'ANALYSE - ERP =&gt; SOUS-SEGMENT'!$AF$8:$AF$1000*'ANALYSE - ERP =&gt; SOUS-SEGMENT'!$AQ$8:$AQ$1000)/SUMPRODUCT(('ANALYSE - ERP =&gt; SOUS-SEGMENT'!$C$8:$C$1000=$C36)*'ANALYSE - ERP =&gt; SOUS-SEGMENT'!$Q$8:$Q$1000*'ANALYSE - ERP =&gt; SOUS-SEGMENT'!$AF$8:$AF$1000),""))</f>
        <v>171.30870013248932</v>
      </c>
      <c r="AR36" s="280">
        <f>IF($C36="","",IFERROR(SUMPRODUCT(('ANALYSE - ERP =&gt; SOUS-SEGMENT'!$C$8:$C$1000=$C36)*'ANALYSE - ERP =&gt; SOUS-SEGMENT'!$Q$8:$Q$1000*'ANALYSE - ERP =&gt; SOUS-SEGMENT'!$AF$8:$AF$1000*'ANALYSE - ERP =&gt; SOUS-SEGMENT'!$AR$8:$AR$1000)/SUMPRODUCT(('ANALYSE - ERP =&gt; SOUS-SEGMENT'!$C$8:$C$1000=$C36)*'ANALYSE - ERP =&gt; SOUS-SEGMENT'!$Q$8:$Q$1000*'ANALYSE - ERP =&gt; SOUS-SEGMENT'!$AF$8:$AF$1000),""))</f>
        <v>8.2047696157809504</v>
      </c>
      <c r="AS36" s="280">
        <f>IF($C36="","",IFERROR(SUMPRODUCT(('ANALYSE - ERP =&gt; SOUS-SEGMENT'!$C$8:$C$1000=$C36)*'ANALYSE - ERP =&gt; SOUS-SEGMENT'!$Q$8:$Q$1000*'ANALYSE - ERP =&gt; SOUS-SEGMENT'!$AF$8:$AF$1000*'ANALYSE - ERP =&gt; SOUS-SEGMENT'!$AS$8:$AS$1000)/SUMPRODUCT(('ANALYSE - ERP =&gt; SOUS-SEGMENT'!$C$8:$C$1000=$C36)*'ANALYSE - ERP =&gt; SOUS-SEGMENT'!$Q$8:$Q$1000*'ANALYSE - ERP =&gt; SOUS-SEGMENT'!$AF$8:$AF$1000),""))</f>
        <v>1.5405564551744442</v>
      </c>
      <c r="AT36" s="657"/>
      <c r="AU36" s="647" t="s">
        <v>6110</v>
      </c>
      <c r="AV36" s="647" t="s">
        <v>6111</v>
      </c>
      <c r="AW36" s="960" t="s">
        <v>6112</v>
      </c>
      <c r="AX36" s="647" t="s">
        <v>6113</v>
      </c>
      <c r="AY36" s="657"/>
      <c r="AZ36" s="948">
        <f>IF($C36="","",IFERROR(SUMPRODUCT(('ANALYSE - ERP =&gt; SOUS-SEGMENT'!$C$8:$C$1000=$C36)*'ANALYSE - ERP =&gt; SOUS-SEGMENT'!$Q$8:$Q$1000*'ANALYSE - ERP =&gt; SOUS-SEGMENT'!$AF$8:$AF$1000*'ANALYSE - ERP =&gt; SOUS-SEGMENT'!$AZ$8:$AZ$1000)/SUMPRODUCT(('ANALYSE - ERP =&gt; SOUS-SEGMENT'!$C$8:$C$1000=$C36)*'ANALYSE - ERP =&gt; SOUS-SEGMENT'!$Q$8:$Q$1000*'ANALYSE - ERP =&gt; SOUS-SEGMENT'!$AF$8:$AF$1000),""))</f>
        <v>2.0192845576328575</v>
      </c>
      <c r="BA36" s="948">
        <f>IF($C36="","",IFERROR(SUMPRODUCT(('ANALYSE - ERP =&gt; SOUS-SEGMENT'!$C$8:$C$1000=$C36)*'ANALYSE - ERP =&gt; SOUS-SEGMENT'!$Q$8:$Q$1000*'ANALYSE - ERP =&gt; SOUS-SEGMENT'!$AF$8:$AF$1000*'ANALYSE - ERP =&gt; SOUS-SEGMENT'!$BA$8:$BA$1000)/SUMPRODUCT(('ANALYSE - ERP =&gt; SOUS-SEGMENT'!$C$8:$C$1000=$C36)*'ANALYSE - ERP =&gt; SOUS-SEGMENT'!$Q$8:$Q$1000*'ANALYSE - ERP =&gt; SOUS-SEGMENT'!$AF$8:$AF$1000),""))</f>
        <v>5.0640365081701749E-2</v>
      </c>
      <c r="BB36" s="948">
        <f>IF($C36="","",IFERROR(SUMPRODUCT(('ANALYSE - ERP =&gt; SOUS-SEGMENT'!$C$8:$C$1000=$C36)*'ANALYSE - ERP =&gt; SOUS-SEGMENT'!$Q$8:$Q$1000*'ANALYSE - ERP =&gt; SOUS-SEGMENT'!$AF$8:$AF$1000*'ANALYSE - ERP =&gt; SOUS-SEGMENT'!$BB$8:$BB$1000)/SUMPRODUCT(('ANALYSE - ERP =&gt; SOUS-SEGMENT'!$C$8:$C$1000=$C36)*'ANALYSE - ERP =&gt; SOUS-SEGMENT'!$Q$8:$Q$1000*'ANALYSE - ERP =&gt; SOUS-SEGMENT'!$AF$8:$AF$1000),""))</f>
        <v>2.5320182540850875E-2</v>
      </c>
      <c r="BC36" s="948">
        <f>IF($C36="","",IFERROR(SUMPRODUCT(('ANALYSE - ERP =&gt; SOUS-SEGMENT'!$C$8:$C$1000=$C36)*'ANALYSE - ERP =&gt; SOUS-SEGMENT'!$Q$8:$Q$1000*'ANALYSE - ERP =&gt; SOUS-SEGMENT'!$AF$8:$AF$1000*'ANALYSE - ERP =&gt; SOUS-SEGMENT'!$BC$8:$BC$1000)/SUMPRODUCT(('ANALYSE - ERP =&gt; SOUS-SEGMENT'!$C$8:$C$1000=$C36)*'ANALYSE - ERP =&gt; SOUS-SEGMENT'!$Q$8:$Q$1000*'ANALYSE - ERP =&gt; SOUS-SEGMENT'!$AF$8:$AF$1000),""))</f>
        <v>2.0192845576328575</v>
      </c>
      <c r="BD36" s="825">
        <f t="shared" si="1"/>
        <v>55900</v>
      </c>
      <c r="BE36" s="304">
        <f>IF($C36="","",SUMPRODUCT(('ANALYSE - ERP =&gt; SOUS-SEGMENT'!$C$8:$C$1000=$C36)*'ANALYSE - ERP =&gt; SOUS-SEGMENT'!$Q$8:$Q$1000*'ANALYSE - ERP =&gt; SOUS-SEGMENT'!$BE$8:$BE$1000))</f>
        <v>27434</v>
      </c>
      <c r="BF36" s="304">
        <f>IF($C36="","",SUMPRODUCT(('ANALYSE - ERP =&gt; SOUS-SEGMENT'!$C$8:$C$1000=$C36)*'ANALYSE - ERP =&gt; SOUS-SEGMENT'!$Q$8:$Q$1000*'ANALYSE - ERP =&gt; SOUS-SEGMENT'!$BF$8:$BF$1000))</f>
        <v>688</v>
      </c>
      <c r="BG36" s="304">
        <f>IF($C36="","",SUMPRODUCT(('ANALYSE - ERP =&gt; SOUS-SEGMENT'!$C$8:$C$1000=$C36)*'ANALYSE - ERP =&gt; SOUS-SEGMENT'!$Q$8:$Q$1000*'ANALYSE - ERP =&gt; SOUS-SEGMENT'!$BG$8:$BG$1000))</f>
        <v>344</v>
      </c>
      <c r="BH36" s="304">
        <f>IF($C36="","",SUMPRODUCT(('ANALYSE - ERP =&gt; SOUS-SEGMENT'!$C$8:$C$1000=$C36)*'ANALYSE - ERP =&gt; SOUS-SEGMENT'!$Q$8:$Q$1000*'ANALYSE - ERP =&gt; SOUS-SEGMENT'!$BH$8:$BH$1000))</f>
        <v>27434</v>
      </c>
      <c r="BI36" s="825">
        <f t="shared" si="2"/>
        <v>58140</v>
      </c>
      <c r="BJ36" s="304">
        <f>IF($C36="","",SUMPRODUCT(('ANALYSE - ERP =&gt; SOUS-SEGMENT'!$C$8:$C$1000=$C36)*'ANALYSE - ERP =&gt; SOUS-SEGMENT'!$Q$8:$Q$1000*'ANALYSE - ERP =&gt; SOUS-SEGMENT'!$BJ$8:$BJ$1000))</f>
        <v>28524</v>
      </c>
      <c r="BK36" s="304">
        <f>IF($C36="","",SUMPRODUCT(('ANALYSE - ERP =&gt; SOUS-SEGMENT'!$C$8:$C$1000=$C36)*'ANALYSE - ERP =&gt; SOUS-SEGMENT'!$Q$8:$Q$1000*'ANALYSE - ERP =&gt; SOUS-SEGMENT'!$BK$8:$BK$1000))</f>
        <v>728</v>
      </c>
      <c r="BL36" s="304">
        <f>IF($C36="","",SUMPRODUCT(('ANALYSE - ERP =&gt; SOUS-SEGMENT'!$C$8:$C$1000=$C36)*'ANALYSE - ERP =&gt; SOUS-SEGMENT'!$Q$8:$Q$1000*'ANALYSE - ERP =&gt; SOUS-SEGMENT'!$BL$8:$BL$1000))</f>
        <v>364</v>
      </c>
      <c r="BM36" s="304">
        <f>IF($C36="","",SUMPRODUCT(('ANALYSE - ERP =&gt; SOUS-SEGMENT'!$C$8:$C$1000=$C36)*'ANALYSE - ERP =&gt; SOUS-SEGMENT'!$Q$8:$Q$1000*'ANALYSE - ERP =&gt; SOUS-SEGMENT'!$BM$8:$BM$1000))</f>
        <v>28524</v>
      </c>
      <c r="BN36" s="657"/>
      <c r="BO36" s="284">
        <f t="shared" si="3"/>
        <v>0.1</v>
      </c>
      <c r="BP36" s="284">
        <f t="shared" si="4"/>
        <v>0.7599999999999999</v>
      </c>
      <c r="BQ36" s="284">
        <f t="shared" si="5"/>
        <v>8.0000000000000016E-2</v>
      </c>
      <c r="BR36" s="710">
        <f t="shared" si="6"/>
        <v>0.06</v>
      </c>
      <c r="BS36" s="707">
        <f t="shared" si="7"/>
        <v>0.08</v>
      </c>
      <c r="BT36" s="284">
        <f t="shared" si="8"/>
        <v>0.7599999999999999</v>
      </c>
      <c r="BU36" s="284">
        <f t="shared" si="9"/>
        <v>0.1</v>
      </c>
      <c r="BV36" s="710">
        <f t="shared" si="10"/>
        <v>6.0000000000000005E-2</v>
      </c>
      <c r="BW36" s="714">
        <f t="shared" si="11"/>
        <v>0.15</v>
      </c>
      <c r="BX36" s="285">
        <f t="shared" si="12"/>
        <v>0.79999999999999993</v>
      </c>
      <c r="BY36" s="717">
        <f t="shared" si="13"/>
        <v>4.9999999999999996E-2</v>
      </c>
      <c r="BZ36" s="714">
        <f t="shared" si="14"/>
        <v>0.12</v>
      </c>
      <c r="CA36" s="285">
        <f t="shared" si="15"/>
        <v>0.81999999999999984</v>
      </c>
      <c r="CB36" s="717">
        <f t="shared" si="16"/>
        <v>0.06</v>
      </c>
      <c r="CC36" s="284">
        <f t="shared" si="17"/>
        <v>4.9999999999999996E-2</v>
      </c>
      <c r="CD36" s="284">
        <f t="shared" si="18"/>
        <v>0.55000000000000004</v>
      </c>
      <c r="CE36" s="284">
        <f t="shared" si="19"/>
        <v>9.9999999999999992E-2</v>
      </c>
      <c r="CF36" s="710">
        <f t="shared" si="20"/>
        <v>0.3</v>
      </c>
      <c r="CG36" s="707">
        <f t="shared" si="21"/>
        <v>0.04</v>
      </c>
      <c r="CH36" s="284">
        <f t="shared" si="22"/>
        <v>0.55000000000000004</v>
      </c>
      <c r="CI36" s="284">
        <f t="shared" si="23"/>
        <v>0.12</v>
      </c>
      <c r="CJ36" s="710">
        <f t="shared" si="24"/>
        <v>0.28999999999999998</v>
      </c>
      <c r="CK36" s="720">
        <f t="shared" si="25"/>
        <v>0.25</v>
      </c>
      <c r="CL36" s="286">
        <f t="shared" si="26"/>
        <v>0.55000000000000004</v>
      </c>
      <c r="CM36" s="718">
        <f t="shared" si="27"/>
        <v>0.2</v>
      </c>
      <c r="CN36" s="720">
        <f t="shared" si="28"/>
        <v>0.15000000000000002</v>
      </c>
      <c r="CO36" s="286">
        <f t="shared" si="29"/>
        <v>0.57999999999999996</v>
      </c>
      <c r="CP36" s="718">
        <f t="shared" si="30"/>
        <v>0.27</v>
      </c>
      <c r="CQ36" s="657"/>
      <c r="CR36" s="807">
        <f>IF($C36="","",IFERROR(SUMPRODUCT(('ANALYSE - ERP =&gt; SOUS-SEGMENT'!$C$8:$C$1000=$C36)*'ANALYSE - ERP =&gt; SOUS-SEGMENT'!$Q$8:$Q$1000*'ANALYSE - ERP =&gt; SOUS-SEGMENT'!$DH$8:$DH$1000*'ANALYSE - ERP =&gt; SOUS-SEGMENT'!$CR$8:$CR$1000)/SUMPRODUCT(('ANALYSE - ERP =&gt; SOUS-SEGMENT'!$C$8:$C$1000=$C36)*'ANALYSE - ERP =&gt; SOUS-SEGMENT'!$Q$8:$Q$1000*'ANALYSE - ERP =&gt; SOUS-SEGMENT'!$DH$8:$DH$1000),""))</f>
        <v>10</v>
      </c>
      <c r="CS36" s="808">
        <f>IF($C36="","",IFERROR(SUMPRODUCT(('ANALYSE - ERP =&gt; SOUS-SEGMENT'!$C$8:$C$1000=$C36)*'ANALYSE - ERP =&gt; SOUS-SEGMENT'!$Q$8:$Q$1000*'ANALYSE - ERP =&gt; SOUS-SEGMENT'!$DI$8:$DI$1000*'ANALYSE - ERP =&gt; SOUS-SEGMENT'!$CS$8:$CS$1000)/SUMPRODUCT(('ANALYSE - ERP =&gt; SOUS-SEGMENT'!$C$8:$C$1000=$C36)*'ANALYSE - ERP =&gt; SOUS-SEGMENT'!$Q$8:$Q$1000*'ANALYSE - ERP =&gt; SOUS-SEGMENT'!$DI$8:$DI$1000),""))</f>
        <v>11.000000000000002</v>
      </c>
      <c r="CT36" s="808">
        <f>IF($C36="","",IFERROR(SUMPRODUCT(('ANALYSE - ERP =&gt; SOUS-SEGMENT'!$C$8:$C$1000=$C36)*'ANALYSE - ERP =&gt; SOUS-SEGMENT'!$Q$8:$Q$1000*'ANALYSE - ERP =&gt; SOUS-SEGMENT'!$DJ$8:$DJ$1000*'ANALYSE - ERP =&gt; SOUS-SEGMENT'!$CT$8:$CT$1000)/SUMPRODUCT(('ANALYSE - ERP =&gt; SOUS-SEGMENT'!$C$8:$C$1000=$C36)*'ANALYSE - ERP =&gt; SOUS-SEGMENT'!$Q$8:$Q$1000*'ANALYSE - ERP =&gt; SOUS-SEGMENT'!$DJ$8:$DJ$1000),""))</f>
        <v>8</v>
      </c>
      <c r="CU36" s="809">
        <f>IF($C36="","",IFERROR(SUMPRODUCT(('ANALYSE - ERP =&gt; SOUS-SEGMENT'!$C$8:$C$1000=$C36)*'ANALYSE - ERP =&gt; SOUS-SEGMENT'!$Q$8:$Q$1000*'ANALYSE - ERP =&gt; SOUS-SEGMENT'!$DK$8:$DK$1000*'ANALYSE - ERP =&gt; SOUS-SEGMENT'!$CU$8:$CU$1000)/SUMPRODUCT(('ANALYSE - ERP =&gt; SOUS-SEGMENT'!$C$8:$C$1000=$C36)*'ANALYSE - ERP =&gt; SOUS-SEGMENT'!$Q$8:$Q$1000*'ANALYSE - ERP =&gt; SOUS-SEGMENT'!$DK$8:$DK$1000),""))</f>
        <v>10.000000000000002</v>
      </c>
      <c r="CV36" s="807">
        <f>IF($C36="","",IFERROR(SUMPRODUCT(('ANALYSE - ERP =&gt; SOUS-SEGMENT'!$C$8:$C$1000=$C36)*'ANALYSE - ERP =&gt; SOUS-SEGMENT'!$Q$8:$Q$1000*'ANALYSE - ERP =&gt; SOUS-SEGMENT'!$DS$8:$DS$1000*'ANALYSE - ERP =&gt; SOUS-SEGMENT'!$CV$8:$CV$1000)/SUMPRODUCT(('ANALYSE - ERP =&gt; SOUS-SEGMENT'!$C$8:$C$1000=$C36)*'ANALYSE - ERP =&gt; SOUS-SEGMENT'!$Q$8:$Q$1000*'ANALYSE - ERP =&gt; SOUS-SEGMENT'!$DS$8:$DS$1000),""))</f>
        <v>8</v>
      </c>
      <c r="CW36" s="808">
        <f>IF($C36="","",IFERROR(SUMPRODUCT(('ANALYSE - ERP =&gt; SOUS-SEGMENT'!$C$8:$C$1000=$C36)*'ANALYSE - ERP =&gt; SOUS-SEGMENT'!$Q$8:$Q$1000*'ANALYSE - ERP =&gt; SOUS-SEGMENT'!$DT$8:$DT$1000*'ANALYSE - ERP =&gt; SOUS-SEGMENT'!$CW$8:$CW$1000)/SUMPRODUCT(('ANALYSE - ERP =&gt; SOUS-SEGMENT'!$C$8:$C$1000=$C36)*'ANALYSE - ERP =&gt; SOUS-SEGMENT'!$Q$8:$Q$1000*'ANALYSE - ERP =&gt; SOUS-SEGMENT'!$DT$8:$DT$1000),""))</f>
        <v>8</v>
      </c>
      <c r="CX36" s="809">
        <f>IF($C36="","",IFERROR(SUMPRODUCT(('ANALYSE - ERP =&gt; SOUS-SEGMENT'!$C$8:$C$1000=$C36)*'ANALYSE - ERP =&gt; SOUS-SEGMENT'!$Q$8:$Q$1000*'ANALYSE - ERP =&gt; SOUS-SEGMENT'!$DU$8:$DU$1000*'ANALYSE - ERP =&gt; SOUS-SEGMENT'!$CX$8:$CX$1000)/SUMPRODUCT(('ANALYSE - ERP =&gt; SOUS-SEGMENT'!$C$8:$C$1000=$C36)*'ANALYSE - ERP =&gt; SOUS-SEGMENT'!$Q$8:$Q$1000*'ANALYSE - ERP =&gt; SOUS-SEGMENT'!$DU$8:$DU$1000),""))</f>
        <v>7</v>
      </c>
      <c r="CY36" s="807">
        <f>IF($C36="","",IFERROR(SUMPRODUCT(('ANALYSE - ERP =&gt; SOUS-SEGMENT'!$C$8:$C$1000=$C36)*'ANALYSE - ERP =&gt; SOUS-SEGMENT'!$Q$8:$Q$1000*'ANALYSE - ERP =&gt; SOUS-SEGMENT'!$EB$8:$EB$1000*'ANALYSE - ERP =&gt; SOUS-SEGMENT'!$CY$8:$CY$1000)/SUMPRODUCT(('ANALYSE - ERP =&gt; SOUS-SEGMENT'!$C$8:$C$1000=$C36)*'ANALYSE - ERP =&gt; SOUS-SEGMENT'!$Q$8:$Q$1000*'ANALYSE - ERP =&gt; SOUS-SEGMENT'!$EB$8:$EB$1000),""))</f>
        <v>8</v>
      </c>
      <c r="CZ36" s="808">
        <f>IF($C36="","",IFERROR(SUMPRODUCT(('ANALYSE - ERP =&gt; SOUS-SEGMENT'!$C$8:$C$1000=$C36)*'ANALYSE - ERP =&gt; SOUS-SEGMENT'!$Q$8:$Q$1000*'ANALYSE - ERP =&gt; SOUS-SEGMENT'!$EC$8:$EC$1000*'ANALYSE - ERP =&gt; SOUS-SEGMENT'!$CZ$8:$CZ$1000)/SUMPRODUCT(('ANALYSE - ERP =&gt; SOUS-SEGMENT'!$C$8:$C$1000=$C36)*'ANALYSE - ERP =&gt; SOUS-SEGMENT'!$Q$8:$Q$1000*'ANALYSE - ERP =&gt; SOUS-SEGMENT'!$EC$8:$EC$1000),""))</f>
        <v>10</v>
      </c>
      <c r="DA36" s="808">
        <f>IF($C36="","",IFERROR(SUMPRODUCT(('ANALYSE - ERP =&gt; SOUS-SEGMENT'!$C$8:$C$1000=$C36)*'ANALYSE - ERP =&gt; SOUS-SEGMENT'!$Q$8:$Q$1000*'ANALYSE - ERP =&gt; SOUS-SEGMENT'!$ED$8:$ED$1000*'ANALYSE - ERP =&gt; SOUS-SEGMENT'!$DA$8:$DA$1000)/SUMPRODUCT(('ANALYSE - ERP =&gt; SOUS-SEGMENT'!$C$8:$C$1000=$C36)*'ANALYSE - ERP =&gt; SOUS-SEGMENT'!$Q$8:$Q$1000*'ANALYSE - ERP =&gt; SOUS-SEGMENT'!$ED$8:$ED$1000),""))</f>
        <v>7</v>
      </c>
      <c r="DB36" s="809">
        <f>IF($C36="","",IFERROR(SUMPRODUCT(('ANALYSE - ERP =&gt; SOUS-SEGMENT'!$C$8:$C$1000=$C36)*'ANALYSE - ERP =&gt; SOUS-SEGMENT'!$Q$8:$Q$1000*'ANALYSE - ERP =&gt; SOUS-SEGMENT'!$EE$8:$EE$1000*'ANALYSE - ERP =&gt; SOUS-SEGMENT'!$DB$8:$DB$1000)/SUMPRODUCT(('ANALYSE - ERP =&gt; SOUS-SEGMENT'!$C$8:$C$1000=$C36)*'ANALYSE - ERP =&gt; SOUS-SEGMENT'!$Q$8:$Q$1000*'ANALYSE - ERP =&gt; SOUS-SEGMENT'!$EE$8:$EE$1000),""))</f>
        <v>9</v>
      </c>
      <c r="DC36" s="807">
        <f>IF($C36="","",IFERROR(SUMPRODUCT(('ANALYSE - ERP =&gt; SOUS-SEGMENT'!$C$8:$C$1000=$C36)*'ANALYSE - ERP =&gt; SOUS-SEGMENT'!$Q$8:$Q$1000*'ANALYSE - ERP =&gt; SOUS-SEGMENT'!$EM$8:$EM$1000*'ANALYSE - ERP =&gt; SOUS-SEGMENT'!$DC$8:$DC$1000)/SUMPRODUCT(('ANALYSE - ERP =&gt; SOUS-SEGMENT'!$C$8:$C$1000=$C36)*'ANALYSE - ERP =&gt; SOUS-SEGMENT'!$Q$8:$Q$1000*'ANALYSE - ERP =&gt; SOUS-SEGMENT'!$EM$8:$EM$1000),""))</f>
        <v>10</v>
      </c>
      <c r="DD36" s="808">
        <f>IF($C36="","",IFERROR(SUMPRODUCT(('ANALYSE - ERP =&gt; SOUS-SEGMENT'!$C$8:$C$1000=$C36)*'ANALYSE - ERP =&gt; SOUS-SEGMENT'!$Q$8:$Q$1000*'ANALYSE - ERP =&gt; SOUS-SEGMENT'!$EN$8:$EN$1000*'ANALYSE - ERP =&gt; SOUS-SEGMENT'!$DD$8:$DD$1000)/SUMPRODUCT(('ANALYSE - ERP =&gt; SOUS-SEGMENT'!$C$8:$C$1000=$C36)*'ANALYSE - ERP =&gt; SOUS-SEGMENT'!$Q$8:$Q$1000*'ANALYSE - ERP =&gt; SOUS-SEGMENT'!$EN$8:$EN$1000),""))</f>
        <v>10.999999999999998</v>
      </c>
      <c r="DE36" s="809">
        <f>IF($C36="","",IFERROR(SUMPRODUCT(('ANALYSE - ERP =&gt; SOUS-SEGMENT'!$C$8:$C$1000=$C36)*'ANALYSE - ERP =&gt; SOUS-SEGMENT'!$Q$8:$Q$1000*'ANALYSE - ERP =&gt; SOUS-SEGMENT'!$EO$8:$EO$1000*'ANALYSE - ERP =&gt; SOUS-SEGMENT'!$DE$8:$DE$1000)/SUMPRODUCT(('ANALYSE - ERP =&gt; SOUS-SEGMENT'!$C$8:$C$1000=$C36)*'ANALYSE - ERP =&gt; SOUS-SEGMENT'!$Q$8:$Q$1000*'ANALYSE - ERP =&gt; SOUS-SEGMENT'!$EO$8:$EO$1000),""))</f>
        <v>8</v>
      </c>
      <c r="DF36" s="921" t="s">
        <v>6114</v>
      </c>
      <c r="DG36" s="657"/>
      <c r="DH36" s="288">
        <f>IF($C36="","",SUMPRODUCT(('ANALYSE - ERP =&gt; SOUS-SEGMENT'!$C$8:$C$1000=$C36)*'ANALYSE - ERP =&gt; SOUS-SEGMENT'!$Q$8:$Q$1000*'ANALYSE - ERP =&gt; SOUS-SEGMENT'!$DH$8:$DH$1000))</f>
        <v>2743.4</v>
      </c>
      <c r="DI36" s="288">
        <f>IF($C36="","",SUMPRODUCT(('ANALYSE - ERP =&gt; SOUS-SEGMENT'!$C$8:$C$1000=$C36)*'ANALYSE - ERP =&gt; SOUS-SEGMENT'!$Q$8:$Q$1000*'ANALYSE - ERP =&gt; SOUS-SEGMENT'!$DI$8:$DI$1000))</f>
        <v>20849.839999999997</v>
      </c>
      <c r="DJ36" s="288">
        <f>IF($C36="","",SUMPRODUCT(('ANALYSE - ERP =&gt; SOUS-SEGMENT'!$C$8:$C$1000=$C36)*'ANALYSE - ERP =&gt; SOUS-SEGMENT'!$Q$8:$Q$1000*'ANALYSE - ERP =&gt; SOUS-SEGMENT'!$DJ$8:$DJ$1000))</f>
        <v>2194.7200000000003</v>
      </c>
      <c r="DK36" s="288">
        <f>IF($C36="","",SUMPRODUCT(('ANALYSE - ERP =&gt; SOUS-SEGMENT'!$C$8:$C$1000=$C36)*'ANALYSE - ERP =&gt; SOUS-SEGMENT'!$Q$8:$Q$1000*'ANALYSE - ERP =&gt; SOUS-SEGMENT'!$DK$8:$DK$1000))</f>
        <v>1646.04</v>
      </c>
      <c r="DL36" s="922" t="s">
        <v>6115</v>
      </c>
      <c r="DM36" s="288">
        <f>IF($C36="","",SUMPRODUCT(('ANALYSE - ERP =&gt; SOUS-SEGMENT'!$C$8:$C$1000=$C36)*'ANALYSE - ERP =&gt; SOUS-SEGMENT'!$Q$8:$Q$1000*'ANALYSE - ERP =&gt; SOUS-SEGMENT'!$DM$8:$DM$1000))</f>
        <v>2281.92</v>
      </c>
      <c r="DN36" s="288">
        <f>IF($C36="","",SUMPRODUCT(('ANALYSE - ERP =&gt; SOUS-SEGMENT'!$C$8:$C$1000=$C36)*'ANALYSE - ERP =&gt; SOUS-SEGMENT'!$Q$8:$Q$1000*'ANALYSE - ERP =&gt; SOUS-SEGMENT'!$DN$8:$DN$1000))</f>
        <v>21678.239999999998</v>
      </c>
      <c r="DO36" s="288">
        <f>IF($C36="","",SUMPRODUCT(('ANALYSE - ERP =&gt; SOUS-SEGMENT'!$C$8:$C$1000=$C36)*'ANALYSE - ERP =&gt; SOUS-SEGMENT'!$Q$8:$Q$1000*'ANALYSE - ERP =&gt; SOUS-SEGMENT'!$DO$8:$DO$1000))</f>
        <v>2852.4</v>
      </c>
      <c r="DP36" s="288">
        <f>IF($C36="","",SUMPRODUCT(('ANALYSE - ERP =&gt; SOUS-SEGMENT'!$C$8:$C$1000=$C36)*'ANALYSE - ERP =&gt; SOUS-SEGMENT'!$Q$8:$Q$1000*'ANALYSE - ERP =&gt; SOUS-SEGMENT'!$DP$8:$DP$1000))</f>
        <v>1711.44</v>
      </c>
      <c r="DQ36" s="922" t="s">
        <v>2644</v>
      </c>
      <c r="DR36" s="657"/>
      <c r="DS36" s="288">
        <f>IF($C36="","",SUMPRODUCT(('ANALYSE - ERP =&gt; SOUS-SEGMENT'!$C$8:$C$1000=$C36)*'ANALYSE - ERP =&gt; SOUS-SEGMENT'!$Q$8:$Q$1000*'ANALYSE - ERP =&gt; SOUS-SEGMENT'!$DS$8:$DS$1000))</f>
        <v>103.2</v>
      </c>
      <c r="DT36" s="288">
        <f>IF($C36="","",SUMPRODUCT(('ANALYSE - ERP =&gt; SOUS-SEGMENT'!$C$8:$C$1000=$C36)*'ANALYSE - ERP =&gt; SOUS-SEGMENT'!$Q$8:$Q$1000*'ANALYSE - ERP =&gt; SOUS-SEGMENT'!$DT$8:$DT$1000))</f>
        <v>550.4</v>
      </c>
      <c r="DU36" s="288">
        <f>IF($C36="","",SUMPRODUCT(('ANALYSE - ERP =&gt; SOUS-SEGMENT'!$C$8:$C$1000=$C36)*'ANALYSE - ERP =&gt; SOUS-SEGMENT'!$Q$8:$Q$1000*'ANALYSE - ERP =&gt; SOUS-SEGMENT'!$DU$8:$DU$1000))</f>
        <v>34.4</v>
      </c>
      <c r="DV36" s="922" t="s">
        <v>6116</v>
      </c>
      <c r="DW36" s="288">
        <f>IF($C36="","",SUMPRODUCT(('ANALYSE - ERP =&gt; SOUS-SEGMENT'!$C$8:$C$1000=$C36)*'ANALYSE - ERP =&gt; SOUS-SEGMENT'!$Q$8:$Q$1000*'ANALYSE - ERP =&gt; SOUS-SEGMENT'!$DW$8:$DW$1000))</f>
        <v>87.36</v>
      </c>
      <c r="DX36" s="288">
        <f>IF($C36="","",SUMPRODUCT(('ANALYSE - ERP =&gt; SOUS-SEGMENT'!$C$8:$C$1000=$C36)*'ANALYSE - ERP =&gt; SOUS-SEGMENT'!$Q$8:$Q$1000*'ANALYSE - ERP =&gt; SOUS-SEGMENT'!$DX$8:$DX$1000))</f>
        <v>596.95999999999992</v>
      </c>
      <c r="DY36" s="288">
        <f>IF($C36="","",SUMPRODUCT(('ANALYSE - ERP =&gt; SOUS-SEGMENT'!$C$8:$C$1000=$C36)*'ANALYSE - ERP =&gt; SOUS-SEGMENT'!$Q$8:$Q$1000*'ANALYSE - ERP =&gt; SOUS-SEGMENT'!$DY$8:$DY$1000))</f>
        <v>43.68</v>
      </c>
      <c r="DZ36" s="922" t="s">
        <v>6117</v>
      </c>
      <c r="EA36" s="657"/>
      <c r="EB36" s="288">
        <f>IF($C36="","",SUMPRODUCT(('ANALYSE - ERP =&gt; SOUS-SEGMENT'!$C$8:$C$1000=$C36)*'ANALYSE - ERP =&gt; SOUS-SEGMENT'!$Q$8:$Q$1000*'ANALYSE - ERP =&gt; SOUS-SEGMENT'!$EB$8:$EB$1000))</f>
        <v>17.2</v>
      </c>
      <c r="EC36" s="288">
        <f>IF($C36="","",SUMPRODUCT(('ANALYSE - ERP =&gt; SOUS-SEGMENT'!$C$8:$C$1000=$C36)*'ANALYSE - ERP =&gt; SOUS-SEGMENT'!$Q$8:$Q$1000*'ANALYSE - ERP =&gt; SOUS-SEGMENT'!$EC$8:$EC$1000))</f>
        <v>189.20000000000002</v>
      </c>
      <c r="ED36" s="288">
        <f>IF($C36="","",SUMPRODUCT(('ANALYSE - ERP =&gt; SOUS-SEGMENT'!$C$8:$C$1000=$C36)*'ANALYSE - ERP =&gt; SOUS-SEGMENT'!$Q$8:$Q$1000*'ANALYSE - ERP =&gt; SOUS-SEGMENT'!$ED$8:$ED$1000))</f>
        <v>34.4</v>
      </c>
      <c r="EE36" s="288">
        <f>IF($C36="","",SUMPRODUCT(('ANALYSE - ERP =&gt; SOUS-SEGMENT'!$C$8:$C$1000=$C36)*'ANALYSE - ERP =&gt; SOUS-SEGMENT'!$Q$8:$Q$1000*'ANALYSE - ERP =&gt; SOUS-SEGMENT'!$EE$8:$EE$1000))</f>
        <v>103.2</v>
      </c>
      <c r="EF36" s="922" t="s">
        <v>6118</v>
      </c>
      <c r="EG36" s="288">
        <f>IF($C36="","",SUMPRODUCT(('ANALYSE - ERP =&gt; SOUS-SEGMENT'!$C$8:$C$1000=$C36)*'ANALYSE - ERP =&gt; SOUS-SEGMENT'!$Q$8:$Q$1000*'ANALYSE - ERP =&gt; SOUS-SEGMENT'!$EG$8:$EG$1000))</f>
        <v>14.56</v>
      </c>
      <c r="EH36" s="288">
        <f>IF($C36="","",SUMPRODUCT(('ANALYSE - ERP =&gt; SOUS-SEGMENT'!$C$8:$C$1000=$C36)*'ANALYSE - ERP =&gt; SOUS-SEGMENT'!$Q$8:$Q$1000*'ANALYSE - ERP =&gt; SOUS-SEGMENT'!$EH$8:$EH$1000))</f>
        <v>200.20000000000002</v>
      </c>
      <c r="EI36" s="288">
        <f>IF($C36="","",SUMPRODUCT(('ANALYSE - ERP =&gt; SOUS-SEGMENT'!$C$8:$C$1000=$C36)*'ANALYSE - ERP =&gt; SOUS-SEGMENT'!$Q$8:$Q$1000*'ANALYSE - ERP =&gt; SOUS-SEGMENT'!$EI$8:$EI$1000))</f>
        <v>43.68</v>
      </c>
      <c r="EJ36" s="288">
        <f>IF($C36="","",SUMPRODUCT(('ANALYSE - ERP =&gt; SOUS-SEGMENT'!$C$8:$C$1000=$C36)*'ANALYSE - ERP =&gt; SOUS-SEGMENT'!$Q$8:$Q$1000*'ANALYSE - ERP =&gt; SOUS-SEGMENT'!$EJ$8:$EJ$1000))</f>
        <v>105.55999999999999</v>
      </c>
      <c r="EK36" s="922" t="s">
        <v>6119</v>
      </c>
      <c r="EL36" s="657"/>
      <c r="EM36" s="288">
        <f>IF($C36="","",SUMPRODUCT(('ANALYSE - ERP =&gt; SOUS-SEGMENT'!$C$8:$C$1000=$C36)*'ANALYSE - ERP =&gt; SOUS-SEGMENT'!$Q$8:$Q$1000*'ANALYSE - ERP =&gt; SOUS-SEGMENT'!$EM$8:$EM$1000))</f>
        <v>6858.5</v>
      </c>
      <c r="EN36" s="291">
        <f>IF($C36="","",SUMPRODUCT(('ANALYSE - ERP =&gt; SOUS-SEGMENT'!$C$8:$C$1000=$C36)*'ANALYSE - ERP =&gt; SOUS-SEGMENT'!$Q$8:$Q$1000*'ANALYSE - ERP =&gt; SOUS-SEGMENT'!$EN$8:$EN$1000))</f>
        <v>15088.700000000003</v>
      </c>
      <c r="EO36" s="291">
        <f>IF($C36="","",SUMPRODUCT(('ANALYSE - ERP =&gt; SOUS-SEGMENT'!$C$8:$C$1000=$C36)*'ANALYSE - ERP =&gt; SOUS-SEGMENT'!$Q$8:$Q$1000*'ANALYSE - ERP =&gt; SOUS-SEGMENT'!$EO$8:$EO$1000))</f>
        <v>5486.8</v>
      </c>
      <c r="EP36" s="922" t="s">
        <v>6120</v>
      </c>
      <c r="EQ36" s="288">
        <f>IF($C36="","",SUMPRODUCT(('ANALYSE - ERP =&gt; SOUS-SEGMENT'!$C$8:$C$1000=$C36)*'ANALYSE - ERP =&gt; SOUS-SEGMENT'!$Q$8:$Q$1000*'ANALYSE - ERP =&gt; SOUS-SEGMENT'!$EQ$8:$EQ$1000))</f>
        <v>4278.6000000000004</v>
      </c>
      <c r="ER36" s="291">
        <f>IF($C36="","",SUMPRODUCT(('ANALYSE - ERP =&gt; SOUS-SEGMENT'!$C$8:$C$1000=$C36)*'ANALYSE - ERP =&gt; SOUS-SEGMENT'!$Q$8:$Q$1000*'ANALYSE - ERP =&gt; SOUS-SEGMENT'!$ER$8:$ER$1000))</f>
        <v>16543.919999999998</v>
      </c>
      <c r="ES36" s="291">
        <f>IF($C36="","",SUMPRODUCT(('ANALYSE - ERP =&gt; SOUS-SEGMENT'!$C$8:$C$1000=$C36)*'ANALYSE - ERP =&gt; SOUS-SEGMENT'!$Q$8:$Q$1000*'ANALYSE - ERP =&gt; SOUS-SEGMENT'!$ES$8:$ES$1000))</f>
        <v>7701.4800000000005</v>
      </c>
      <c r="ET36" s="922" t="s">
        <v>2985</v>
      </c>
      <c r="EU36" s="657"/>
      <c r="EV36" s="740">
        <f t="shared" si="31"/>
        <v>0.80334523775525135</v>
      </c>
      <c r="EW36" s="740">
        <f t="shared" si="32"/>
        <v>0.1966547622447487</v>
      </c>
      <c r="EX36" s="563">
        <f t="shared" si="33"/>
        <v>26740.262681538094</v>
      </c>
      <c r="EY36" s="563">
        <f t="shared" si="34"/>
        <v>21481.662681538095</v>
      </c>
      <c r="EZ36" s="563">
        <f t="shared" si="35"/>
        <v>5258.6</v>
      </c>
      <c r="FA36" s="563">
        <f t="shared" si="36"/>
        <v>12820.035684800001</v>
      </c>
      <c r="FB36" s="563">
        <f>IF($C36="","",SUMPRODUCT(('ANALYSE - ERP =&gt; SOUS-SEGMENT'!$C$8:$C$1000=$C36)*'ANALYSE - ERP =&gt; SOUS-SEGMENT'!$Q$8:$Q$1000*'ANALYSE - ERP =&gt; SOUS-SEGMENT'!$FB$8:$FB$1000))</f>
        <v>10248.599684800001</v>
      </c>
      <c r="FC36" s="563">
        <f>IF($C36="","",SUMPRODUCT(('ANALYSE - ERP =&gt; SOUS-SEGMENT'!$C$8:$C$1000=$C36)*'ANALYSE - ERP =&gt; SOUS-SEGMENT'!$Q$8:$Q$1000*'ANALYSE - ERP =&gt; SOUS-SEGMENT'!$FC$8:$FC$1000))</f>
        <v>2571.4360000000001</v>
      </c>
      <c r="FD36" s="563">
        <f t="shared" si="37"/>
        <v>396.1722792857143</v>
      </c>
      <c r="FE36" s="563">
        <f>IF($C36="","",SUMPRODUCT(('ANALYSE - ERP =&gt; SOUS-SEGMENT'!$C$8:$C$1000=$C36)*'ANALYSE - ERP =&gt; SOUS-SEGMENT'!$Q$8:$Q$1000*'ANALYSE - ERP =&gt; SOUS-SEGMENT'!$FE$8:$FE$1000))</f>
        <v>319.02027928571431</v>
      </c>
      <c r="FF36" s="563">
        <f>IF($C36="","",SUMPRODUCT(('ANALYSE - ERP =&gt; SOUS-SEGMENT'!$C$8:$C$1000=$C36)*'ANALYSE - ERP =&gt; SOUS-SEGMENT'!$Q$8:$Q$1000*'ANALYSE - ERP =&gt; SOUS-SEGMENT'!$FF$8:$FF$1000))</f>
        <v>77.152000000000001</v>
      </c>
      <c r="FG36" s="563">
        <f t="shared" si="38"/>
        <v>173.91620245238093</v>
      </c>
      <c r="FH36" s="563">
        <f>IF($C36="","",SUMPRODUCT(('ANALYSE - ERP =&gt; SOUS-SEGMENT'!$C$8:$C$1000=$C36)*'ANALYSE - ERP =&gt; SOUS-SEGMENT'!$Q$8:$Q$1000*'ANALYSE - ERP =&gt; SOUS-SEGMENT'!$FH$8:$FH$1000))</f>
        <v>135.34020245238094</v>
      </c>
      <c r="FI36" s="563">
        <f>IF($C36="","",SUMPRODUCT(('ANALYSE - ERP =&gt; SOUS-SEGMENT'!$C$8:$C$1000=$C36)*'ANALYSE - ERP =&gt; SOUS-SEGMENT'!$Q$8:$Q$1000*'ANALYSE - ERP =&gt; SOUS-SEGMENT'!$FI$8:$FI$1000))</f>
        <v>38.576000000000001</v>
      </c>
      <c r="FJ36" s="563">
        <f t="shared" si="39"/>
        <v>13350.138515000001</v>
      </c>
      <c r="FK36" s="563">
        <f>IF($C36="","",SUMPRODUCT(('ANALYSE - ERP =&gt; SOUS-SEGMENT'!$C$8:$C$1000=$C36)*'ANALYSE - ERP =&gt; SOUS-SEGMENT'!$Q$8:$Q$1000*'ANALYSE - ERP =&gt; SOUS-SEGMENT'!$FK$8:$FK$1000))</f>
        <v>10778.702515000001</v>
      </c>
      <c r="FL36" s="563">
        <f>IF($C36="","",SUMPRODUCT(('ANALYSE - ERP =&gt; SOUS-SEGMENT'!$C$8:$C$1000=$C36)*'ANALYSE - ERP =&gt; SOUS-SEGMENT'!$Q$8:$Q$1000*'ANALYSE - ERP =&gt; SOUS-SEGMENT'!$FL$8:$FL$1000))</f>
        <v>2571.4360000000001</v>
      </c>
      <c r="FM36" s="529"/>
      <c r="FN36" s="961" t="s">
        <v>2649</v>
      </c>
      <c r="FO36" s="740">
        <f>IF($C36="","",IFERROR(SUMPRODUCT(('ANALYSE - ERP =&gt; SOUS-SEGMENT'!$C$8:$C$1000=$C36)*'ANALYSE - ERP =&gt; SOUS-SEGMENT'!$Q$8:$Q$1000*'ANALYSE - ERP =&gt; SOUS-SEGMENT'!$AF$8:$AF$1000*'ANALYSE - ERP =&gt; SOUS-SEGMENT'!$FO$8:$FO$1000)/SUMPRODUCT(('ANALYSE - ERP =&gt; SOUS-SEGMENT'!$C$8:$C$1000=$C36)*'ANALYSE - ERP =&gt; SOUS-SEGMENT'!$Q$8:$Q$1000*'ANALYSE - ERP =&gt; SOUS-SEGMENT'!$AF$8:$AF$1000),""))</f>
        <v>5.3999999999999999E-2</v>
      </c>
      <c r="FP36" s="741">
        <f>IF($C36="","",IFERROR(SUMPRODUCT(('ANALYSE - ERP =&gt; SOUS-SEGMENT'!$C$8:$C$1000=$C36)*'ANALYSE - ERP =&gt; SOUS-SEGMENT'!$Q$8:$Q$1000*'ANALYSE - ERP =&gt; SOUS-SEGMENT'!$AF$8:$AF$1000*'ANALYSE - ERP =&gt; SOUS-SEGMENT'!$FP$8:$FP$1000)/SUMPRODUCT(('ANALYSE - ERP =&gt; SOUS-SEGMENT'!$C$8:$C$1000=$C36)*'ANALYSE - ERP =&gt; SOUS-SEGMENT'!$Q$8:$Q$1000*'ANALYSE - ERP =&gt; SOUS-SEGMENT'!$AF$8:$AF$1000),""))</f>
        <v>0.80929999999999991</v>
      </c>
      <c r="FQ36" s="961" t="s">
        <v>4852</v>
      </c>
      <c r="FR36" s="529"/>
      <c r="FS36" s="867">
        <f>IF($C36="","",IFERROR(SUMPRODUCT(('ANALYSE - ERP =&gt; SOUS-SEGMENT'!$C$8:$C$1000=$C36)*'ANALYSE - ERP =&gt; SOUS-SEGMENT'!$Q$8:$Q$1000*'ANALYSE - ERP =&gt; SOUS-SEGMENT'!$EX$8:$EX$1000*'ANALYSE - ERP =&gt; SOUS-SEGMENT'!$FS$8:$FS$1000)/SUMPRODUCT(('ANALYSE - ERP =&gt; SOUS-SEGMENT'!$C$8:$C$1000=$C36)*'ANALYSE - ERP =&gt; SOUS-SEGMENT'!$Q$8:$Q$1000*'ANALYSE - ERP =&gt; SOUS-SEGMENT'!$EX$8:$EX$1000),""))</f>
        <v>3.59</v>
      </c>
      <c r="FT36" s="566">
        <f>IF($C36="","",RANK($FS36,$FS$8:$FS$43,0)+COUNTIF($FS$8:$FS36,$FS36)-1)</f>
        <v>8</v>
      </c>
      <c r="FU36" s="867">
        <f>IF($C36="","",IFERROR(SUMPRODUCT(('ANALYSE - ERP =&gt; SOUS-SEGMENT'!$C$8:$C$1000=$C36)*'ANALYSE - ERP =&gt; SOUS-SEGMENT'!$Q$8:$Q$1000*'ANALYSE - ERP =&gt; SOUS-SEGMENT'!$EY$8:$EY$1000*'ANALYSE - ERP =&gt; SOUS-SEGMENT'!$FU$8:$FU$1000)/SUMPRODUCT(('ANALYSE - ERP =&gt; SOUS-SEGMENT'!$C$8:$C$1000=$C36)*'ANALYSE - ERP =&gt; SOUS-SEGMENT'!$Q$8:$Q$1000*'ANALYSE - ERP =&gt; SOUS-SEGMENT'!$EY$8:$EY$1000),""))</f>
        <v>4.2199999999999989</v>
      </c>
      <c r="FV36" s="566">
        <f>IF($C36="","",RANK($FU36,$FU$8:$FU$43,0)+COUNTIF($FU$8:$FU36,$FU36)-1)</f>
        <v>11</v>
      </c>
      <c r="FW36" s="867">
        <f>IF($C36="","",IFERROR(SUMPRODUCT(('ANALYSE - ERP =&gt; SOUS-SEGMENT'!$C$8:$C$1000=$C36)*'ANALYSE - ERP =&gt; SOUS-SEGMENT'!$Q$8:$Q$1000*'ANALYSE - ERP =&gt; SOUS-SEGMENT'!$EZ$8:$EZ$1000*'ANALYSE - ERP =&gt; SOUS-SEGMENT'!$FW$8:$FW$1000)/SUMPRODUCT(('ANALYSE - ERP =&gt; SOUS-SEGMENT'!$C$8:$C$1000=$C36)*'ANALYSE - ERP =&gt; SOUS-SEGMENT'!$Q$8:$Q$1000*'ANALYSE - ERP =&gt; SOUS-SEGMENT'!$EZ$8:$EZ$1000),""))</f>
        <v>2.4799999999999995</v>
      </c>
      <c r="FX36" s="566">
        <f>IF($C36="","",RANK($FW36,$FW$8:$FW$43,0)+COUNTIF($FW$8:$FW36,$FW36)-1)</f>
        <v>11</v>
      </c>
      <c r="FY36" s="529"/>
      <c r="FZ36" s="922" t="s">
        <v>4853</v>
      </c>
      <c r="GA36" s="922" t="s">
        <v>6121</v>
      </c>
      <c r="GB36" s="922" t="s">
        <v>2653</v>
      </c>
      <c r="GC36" s="922" t="s">
        <v>2654</v>
      </c>
      <c r="GD36" s="922" t="s">
        <v>2655</v>
      </c>
      <c r="GE36" s="922" t="s">
        <v>2656</v>
      </c>
      <c r="GF36" s="923" t="s">
        <v>5831</v>
      </c>
      <c r="GG36" s="529"/>
      <c r="GH36" s="563">
        <f t="shared" si="40"/>
        <v>1283.2654579999999</v>
      </c>
      <c r="GI36" s="563">
        <f>IF($C36="","",SUMPRODUCT(('ANALYSE - ERP =&gt; SOUS-SEGMENT'!$C$8:$C$1000=$C36)*'ANALYSE - ERP =&gt; SOUS-SEGMENT'!$Q$8:$Q$1000*'ANALYSE - ERP =&gt; SOUS-SEGMENT'!$GI$8:$GI$1000))</f>
        <v>1077.5505779999999</v>
      </c>
      <c r="GJ36" s="563">
        <f>IF($C36="","",SUMPRODUCT(('ANALYSE - ERP =&gt; SOUS-SEGMENT'!$C$8:$C$1000=$C36)*'ANALYSE - ERP =&gt; SOUS-SEGMENT'!$Q$8:$Q$1000*'ANALYSE - ERP =&gt; SOUS-SEGMENT'!$GJ$8:$GJ$1000))</f>
        <v>205.71487999999999</v>
      </c>
      <c r="GK36" s="563">
        <f t="shared" si="41"/>
        <v>9400.3045679999996</v>
      </c>
      <c r="GL36" s="563">
        <f>IF($C36="","",SUMPRODUCT(('ANALYSE - ERP =&gt; SOUS-SEGMENT'!$C$8:$C$1000=$C36)*'ANALYSE - ERP =&gt; SOUS-SEGMENT'!$Q$8:$Q$1000*'ANALYSE - ERP =&gt; SOUS-SEGMENT'!$GL$8:$GL$1000))</f>
        <v>7446.0132080000003</v>
      </c>
      <c r="GM36" s="563">
        <f>IF($C36="","",SUMPRODUCT(('ANALYSE - ERP =&gt; SOUS-SEGMENT'!$C$8:$C$1000=$C36)*'ANALYSE - ERP =&gt; SOUS-SEGMENT'!$Q$8:$Q$1000*'ANALYSE - ERP =&gt; SOUS-SEGMENT'!$GM$8:$GM$1000))</f>
        <v>1954.2913599999997</v>
      </c>
      <c r="GN36" s="563">
        <f t="shared" si="42"/>
        <v>1335.649152</v>
      </c>
      <c r="GO36" s="563">
        <f>IF($C36="","",SUMPRODUCT(('ANALYSE - ERP =&gt; SOUS-SEGMENT'!$C$8:$C$1000=$C36)*'ANALYSE - ERP =&gt; SOUS-SEGMENT'!$Q$8:$Q$1000*'ANALYSE - ERP =&gt; SOUS-SEGMENT'!$GO$8:$GO$1000))</f>
        <v>1078.5055520000001</v>
      </c>
      <c r="GP36" s="563">
        <f>IF($C36="","",SUMPRODUCT(('ANALYSE - ERP =&gt; SOUS-SEGMENT'!$C$8:$C$1000=$C36)*'ANALYSE - ERP =&gt; SOUS-SEGMENT'!$Q$8:$Q$1000*'ANALYSE - ERP =&gt; SOUS-SEGMENT'!$GP$8:$GP$1000))</f>
        <v>257.14359999999999</v>
      </c>
      <c r="GQ36" s="563">
        <f t="shared" si="43"/>
        <v>800.81650679999996</v>
      </c>
      <c r="GR36" s="563">
        <f>IF($C36="","",SUMPRODUCT(('ANALYSE - ERP =&gt; SOUS-SEGMENT'!$C$8:$C$1000=$C36)*'ANALYSE - ERP =&gt; SOUS-SEGMENT'!$Q$8:$Q$1000*'ANALYSE - ERP =&gt; SOUS-SEGMENT'!$GR$8:$GR$1000))</f>
        <v>646.53034679999996</v>
      </c>
      <c r="GS36" s="563">
        <f>IF($C36="","",SUMPRODUCT(('ANALYSE - ERP =&gt; SOUS-SEGMENT'!$C$8:$C$1000=$C36)*'ANALYSE - ERP =&gt; SOUS-SEGMENT'!$Q$8:$Q$1000*'ANALYSE - ERP =&gt; SOUS-SEGMENT'!$GS$8:$GS$1000))</f>
        <v>154.28616</v>
      </c>
      <c r="GT36" s="563">
        <f t="shared" si="44"/>
        <v>56.723685000000003</v>
      </c>
      <c r="GU36" s="563">
        <f>IF($C36="","",SUMPRODUCT(('ANALYSE - ERP =&gt; SOUS-SEGMENT'!$C$8:$C$1000=$C36)*'ANALYSE - ERP =&gt; SOUS-SEGMENT'!$Q$8:$Q$1000*'ANALYSE - ERP =&gt; SOUS-SEGMENT'!$GU$8:$GU$1000))</f>
        <v>47.465445000000003</v>
      </c>
      <c r="GV36" s="563">
        <f>IF($C36="","",SUMPRODUCT(('ANALYSE - ERP =&gt; SOUS-SEGMENT'!$C$8:$C$1000=$C36)*'ANALYSE - ERP =&gt; SOUS-SEGMENT'!$Q$8:$Q$1000*'ANALYSE - ERP =&gt; SOUS-SEGMENT'!$GV$8:$GV$1000))</f>
        <v>9.2582399999999989</v>
      </c>
      <c r="GW36" s="563">
        <f t="shared" si="45"/>
        <v>316.41368</v>
      </c>
      <c r="GX36" s="563">
        <f>IF($C36="","",SUMPRODUCT(('ANALYSE - ERP =&gt; SOUS-SEGMENT'!$C$8:$C$1000=$C36)*'ANALYSE - ERP =&gt; SOUS-SEGMENT'!$Q$8:$Q$1000*'ANALYSE - ERP =&gt; SOUS-SEGMENT'!$GX$8:$GX$1000))</f>
        <v>253.14903999999999</v>
      </c>
      <c r="GY36" s="563">
        <f>IF($C36="","",SUMPRODUCT(('ANALYSE - ERP =&gt; SOUS-SEGMENT'!$C$8:$C$1000=$C36)*'ANALYSE - ERP =&gt; SOUS-SEGMENT'!$Q$8:$Q$1000*'ANALYSE - ERP =&gt; SOUS-SEGMENT'!$GY$8:$GY$1000))</f>
        <v>63.26464</v>
      </c>
      <c r="GZ36" s="563">
        <f t="shared" si="46"/>
        <v>23.034914285714287</v>
      </c>
      <c r="HA36" s="563">
        <f>IF($C36="","",SUMPRODUCT(('ANALYSE - ERP =&gt; SOUS-SEGMENT'!$C$8:$C$1000=$C36)*'ANALYSE - ERP =&gt; SOUS-SEGMENT'!$Q$8:$Q$1000*'ANALYSE - ERP =&gt; SOUS-SEGMENT'!$HA$8:$HA$1000))</f>
        <v>18.405794285714286</v>
      </c>
      <c r="HB36" s="563">
        <f>IF($C36="","",SUMPRODUCT(('ANALYSE - ERP =&gt; SOUS-SEGMENT'!$C$8:$C$1000=$C36)*'ANALYSE - ERP =&gt; SOUS-SEGMENT'!$Q$8:$Q$1000*'ANALYSE - ERP =&gt; SOUS-SEGMENT'!$HB$8:$HB$1000))</f>
        <v>4.6291199999999995</v>
      </c>
      <c r="HC36" s="563">
        <f t="shared" si="47"/>
        <v>9.4539474999999999</v>
      </c>
      <c r="HD36" s="563">
        <f>IF($C36="","",SUMPRODUCT(('ANALYSE - ERP =&gt; SOUS-SEGMENT'!$C$8:$C$1000=$C36)*'ANALYSE - ERP =&gt; SOUS-SEGMENT'!$Q$8:$Q$1000*'ANALYSE - ERP =&gt; SOUS-SEGMENT'!$HD$8:$HD$1000))</f>
        <v>7.9109074999999995</v>
      </c>
      <c r="HE36" s="563">
        <f>IF($C36="","",SUMPRODUCT(('ANALYSE - ERP =&gt; SOUS-SEGMENT'!$C$8:$C$1000=$C36)*'ANALYSE - ERP =&gt; SOUS-SEGMENT'!$Q$8:$Q$1000*'ANALYSE - ERP =&gt; SOUS-SEGMENT'!$HE$8:$HE$1000))</f>
        <v>1.54304</v>
      </c>
      <c r="HF36" s="563">
        <f t="shared" si="48"/>
        <v>88.696234000000004</v>
      </c>
      <c r="HG36" s="563">
        <f>IF($C36="","",SUMPRODUCT(('ANALYSE - ERP =&gt; SOUS-SEGMENT'!$C$8:$C$1000=$C36)*'ANALYSE - ERP =&gt; SOUS-SEGMENT'!$Q$8:$Q$1000*'ANALYSE - ERP =&gt; SOUS-SEGMENT'!$HG$8:$HG$1000))</f>
        <v>67.479433999999998</v>
      </c>
      <c r="HH36" s="563">
        <f>IF($C36="","",SUMPRODUCT(('ANALYSE - ERP =&gt; SOUS-SEGMENT'!$C$8:$C$1000=$C36)*'ANALYSE - ERP =&gt; SOUS-SEGMENT'!$Q$8:$Q$1000*'ANALYSE - ERP =&gt; SOUS-SEGMENT'!$HH$8:$HH$1000))</f>
        <v>21.216800000000003</v>
      </c>
      <c r="HI36" s="563">
        <f t="shared" si="49"/>
        <v>23.034914285714287</v>
      </c>
      <c r="HJ36" s="563">
        <f>IF($C36="","",SUMPRODUCT(('ANALYSE - ERP =&gt; SOUS-SEGMENT'!$C$8:$C$1000=$C36)*'ANALYSE - ERP =&gt; SOUS-SEGMENT'!$Q$8:$Q$1000*'ANALYSE - ERP =&gt; SOUS-SEGMENT'!$HJ$8:$HJ$1000))</f>
        <v>18.405794285714286</v>
      </c>
      <c r="HK36" s="563">
        <f>IF($C36="","",SUMPRODUCT(('ANALYSE - ERP =&gt; SOUS-SEGMENT'!$C$8:$C$1000=$C36)*'ANALYSE - ERP =&gt; SOUS-SEGMENT'!$Q$8:$Q$1000*'ANALYSE - ERP =&gt; SOUS-SEGMENT'!$HK$8:$HK$1000))</f>
        <v>4.6291199999999995</v>
      </c>
      <c r="HL36" s="563">
        <f t="shared" si="50"/>
        <v>52.731106666666662</v>
      </c>
      <c r="HM36" s="563">
        <f>IF($C36="","",SUMPRODUCT(('ANALYSE - ERP =&gt; SOUS-SEGMENT'!$C$8:$C$1000=$C36)*'ANALYSE - ERP =&gt; SOUS-SEGMENT'!$Q$8:$Q$1000*'ANALYSE - ERP =&gt; SOUS-SEGMENT'!$HM$8:$HM$1000))</f>
        <v>41.544066666666666</v>
      </c>
      <c r="HN36" s="563">
        <f>IF($C36="","",SUMPRODUCT(('ANALYSE - ERP =&gt; SOUS-SEGMENT'!$C$8:$C$1000=$C36)*'ANALYSE - ERP =&gt; SOUS-SEGMENT'!$Q$8:$Q$1000*'ANALYSE - ERP =&gt; SOUS-SEGMENT'!$HN$8:$HN$1000))</f>
        <v>11.18704</v>
      </c>
      <c r="HO36" s="563">
        <f t="shared" si="51"/>
        <v>3079.5918449999999</v>
      </c>
      <c r="HP36" s="563">
        <f>IF($C36="","",SUMPRODUCT(('ANALYSE - ERP =&gt; SOUS-SEGMENT'!$C$8:$C$1000=$C36)*'ANALYSE - ERP =&gt; SOUS-SEGMENT'!$Q$8:$Q$1000*'ANALYSE - ERP =&gt; SOUS-SEGMENT'!$HP$8:$HP$1000))</f>
        <v>2693.8764449999999</v>
      </c>
      <c r="HQ36" s="563">
        <f>IF($C36="","",SUMPRODUCT(('ANALYSE - ERP =&gt; SOUS-SEGMENT'!$C$8:$C$1000=$C36)*'ANALYSE - ERP =&gt; SOUS-SEGMENT'!$Q$8:$Q$1000*'ANALYSE - ERP =&gt; SOUS-SEGMENT'!$HQ$8:$HQ$1000))</f>
        <v>385.71539999999993</v>
      </c>
      <c r="HR36" s="563">
        <f t="shared" si="52"/>
        <v>6879.9950700000009</v>
      </c>
      <c r="HS36" s="563">
        <f>IF($C36="","",SUMPRODUCT(('ANALYSE - ERP =&gt; SOUS-SEGMENT'!$C$8:$C$1000=$C36)*'ANALYSE - ERP =&gt; SOUS-SEGMENT'!$Q$8:$Q$1000*'ANALYSE - ERP =&gt; SOUS-SEGMENT'!$HS$8:$HS$1000))</f>
        <v>5388.5621900000006</v>
      </c>
      <c r="HT36" s="563">
        <f>IF($C36="","",SUMPRODUCT(('ANALYSE - ERP =&gt; SOUS-SEGMENT'!$C$8:$C$1000=$C36)*'ANALYSE - ERP =&gt; SOUS-SEGMENT'!$Q$8:$Q$1000*'ANALYSE - ERP =&gt; SOUS-SEGMENT'!$HT$8:$HT$1000))</f>
        <v>1491.4328799999998</v>
      </c>
      <c r="HU36" s="563">
        <f t="shared" si="53"/>
        <v>3390.5515999999998</v>
      </c>
      <c r="HV36" s="563">
        <f>IF($C36="","",SUMPRODUCT(('ANALYSE - ERP =&gt; SOUS-SEGMENT'!$C$8:$C$1000=$C36)*'ANALYSE - ERP =&gt; SOUS-SEGMENT'!$Q$8:$Q$1000*'ANALYSE - ERP =&gt; SOUS-SEGMENT'!$HV$8:$HV$1000))</f>
        <v>2696.26388</v>
      </c>
      <c r="HW36" s="563">
        <f>IF($C36="","",SUMPRODUCT(('ANALYSE - ERP =&gt; SOUS-SEGMENT'!$C$8:$C$1000=$C36)*'ANALYSE - ERP =&gt; SOUS-SEGMENT'!$Q$8:$Q$1000*'ANALYSE - ERP =&gt; SOUS-SEGMENT'!$HW$8:$HW$1000))</f>
        <v>694.28772000000004</v>
      </c>
      <c r="HX36" s="544"/>
      <c r="HY36" s="568">
        <f t="shared" si="54"/>
        <v>55900</v>
      </c>
      <c r="HZ36" s="568">
        <f>IF($C36="","",SUMPRODUCT(('ANALYSE - ERP =&gt; SOUS-SEGMENT'!$C$8:$C$1000=$C36)*'ANALYSE - ERP =&gt; SOUS-SEGMENT'!$Q$8:$Q$1000*'ANALYSE - ERP =&gt; SOUS-SEGMENT'!$HZ$8:$HZ$1000))</f>
        <v>4649.383600000001</v>
      </c>
      <c r="IA36" s="568">
        <f>IF($C36="","",SUMPRODUCT(('ANALYSE - ERP =&gt; SOUS-SEGMENT'!$C$8:$C$1000=$C36)*'ANALYSE - ERP =&gt; SOUS-SEGMENT'!$Q$8:$Q$1000*'ANALYSE - ERP =&gt; SOUS-SEGMENT'!$IA$8:$IA$1000))</f>
        <v>28321.597399999999</v>
      </c>
      <c r="IB36" s="568">
        <f>IF($C36="","",SUMPRODUCT(('ANALYSE - ERP =&gt; SOUS-SEGMENT'!$C$8:$C$1000=$C36)*'ANALYSE - ERP =&gt; SOUS-SEGMENT'!$Q$8:$Q$1000*'ANALYSE - ERP =&gt; SOUS-SEGMENT'!$IB$8:$IB$1000))</f>
        <v>20383.272799999999</v>
      </c>
      <c r="IC36" s="568">
        <f>IF($C36="","",SUMPRODUCT(('ANALYSE - ERP =&gt; SOUS-SEGMENT'!$C$8:$C$1000=$C36)*'ANALYSE - ERP =&gt; SOUS-SEGMENT'!$Q$8:$Q$1000*'ANALYSE - ERP =&gt; SOUS-SEGMENT'!$IC$8:$IC$1000))</f>
        <v>2543.0027999999998</v>
      </c>
      <c r="ID36" s="568">
        <f>IF($C36="","",SUMPRODUCT(('ANALYSE - ERP =&gt; SOUS-SEGMENT'!$C$8:$C$1000=$C36)*'ANALYSE - ERP =&gt; SOUS-SEGMENT'!$Q$8:$Q$1000*'ANALYSE - ERP =&gt; SOUS-SEGMENT'!$ID$8:$ID$1000))</f>
        <v>2.7433999999999998</v>
      </c>
      <c r="IE36" s="568">
        <f t="shared" si="55"/>
        <v>21481.662681538102</v>
      </c>
      <c r="IF36" s="568">
        <f>IF($C36="","",SUMPRODUCT(('ANALYSE - ERP =&gt; SOUS-SEGMENT'!$C$8:$C$1000=$C36)*'ANALYSE - ERP =&gt; SOUS-SEGMENT'!$Q$8:$Q$1000*'ANALYSE - ERP =&gt; SOUS-SEGMENT'!$IF$8:$IF$1000))</f>
        <v>1247.0045020091472</v>
      </c>
      <c r="IG36" s="568">
        <f>IF($C36="","",SUMPRODUCT(('ANALYSE - ERP =&gt; SOUS-SEGMENT'!$C$8:$C$1000=$C36)*'ANALYSE - ERP =&gt; SOUS-SEGMENT'!$Q$8:$Q$1000*'ANALYSE - ERP =&gt; SOUS-SEGMENT'!$IG$8:$IG$1000))</f>
        <v>10225.896082909261</v>
      </c>
      <c r="IH36" s="568">
        <f>IF($C36="","",SUMPRODUCT(('ANALYSE - ERP =&gt; SOUS-SEGMENT'!$C$8:$C$1000=$C36)*'ANALYSE - ERP =&gt; SOUS-SEGMENT'!$Q$8:$Q$1000*'ANALYSE - ERP =&gt; SOUS-SEGMENT'!$IH$8:$IH$1000))</f>
        <v>8371.3891657282365</v>
      </c>
      <c r="II36" s="568">
        <f>IF($C36="","",SUMPRODUCT(('ANALYSE - ERP =&gt; SOUS-SEGMENT'!$C$8:$C$1000=$C36)*'ANALYSE - ERP =&gt; SOUS-SEGMENT'!$Q$8:$Q$1000*'ANALYSE - ERP =&gt; SOUS-SEGMENT'!$II$8:$II$1000))</f>
        <v>1515.9977496233387</v>
      </c>
      <c r="IJ36" s="568">
        <f>IF($C36="","",SUMPRODUCT(('ANALYSE - ERP =&gt; SOUS-SEGMENT'!$C$8:$C$1000=$C36)*'ANALYSE - ERP =&gt; SOUS-SEGMENT'!$Q$8:$Q$1000*'ANALYSE - ERP =&gt; SOUS-SEGMENT'!$IJ$8:$IJ$1000))</f>
        <v>121.37518126811334</v>
      </c>
      <c r="IK36" s="868">
        <f>IF($C36="","",IFERROR(SUMPRODUCT(('ANALYSE - ERP =&gt; SOUS-SEGMENT'!$C$8:$C$1000=$C36)*'ANALYSE - ERP =&gt; SOUS-SEGMENT'!$Q$8:$Q$1000*'ANALYSE - ERP =&gt; SOUS-SEGMENT'!$IE$8:$IE$1000*'ANALYSE - ERP =&gt; SOUS-SEGMENT'!$IK$8:$IK$1000)/SUMPRODUCT(('ANALYSE - ERP =&gt; SOUS-SEGMENT'!$C$8:$C$1000=$C36)*'ANALYSE - ERP =&gt; SOUS-SEGMENT'!$Q$8:$Q$1000*'ANALYSE - ERP =&gt; SOUS-SEGMENT'!$IE$8:$IE$1000),""))</f>
        <v>4.18</v>
      </c>
      <c r="IL36" s="962" t="s">
        <v>2589</v>
      </c>
      <c r="IM36" s="963" t="s">
        <v>6122</v>
      </c>
      <c r="IN36" s="529"/>
      <c r="IO36" s="742">
        <f>IF($C36="","",IFERROR(SUMPRODUCT(('ANALYSE - ERP =&gt; SOUS-SEGMENT'!$C$8:$C$1000=$C36)*'ANALYSE - ERP =&gt; SOUS-SEGMENT'!$Q$8:$Q$1000*'ANALYSE - ERP =&gt; SOUS-SEGMENT'!$BE$8:$BE$1000*'ANALYSE - ERP =&gt; SOUS-SEGMENT'!$IO$8:$IO$1000)/SUMPRODUCT(('ANALYSE - ERP =&gt; SOUS-SEGMENT'!$C$8:$C$1000=$C36)*'ANALYSE - ERP =&gt; SOUS-SEGMENT'!$Q$8:$Q$1000*'ANALYSE - ERP =&gt; SOUS-SEGMENT'!$BE$8:$BE$1000),""))</f>
        <v>8.0000000000000016E-2</v>
      </c>
      <c r="IP36" s="742">
        <f>IF($C36="","",IFERROR(SUMPRODUCT(('ANALYSE - ERP =&gt; SOUS-SEGMENT'!$C$8:$C$1000=$C36)*'ANALYSE - ERP =&gt; SOUS-SEGMENT'!$Q$8:$Q$1000*'ANALYSE - ERP =&gt; SOUS-SEGMENT'!$BE$8:$BE$1000*'ANALYSE - ERP =&gt; SOUS-SEGMENT'!$IP$8:$IP$1000)/SUMPRODUCT(('ANALYSE - ERP =&gt; SOUS-SEGMENT'!$C$8:$C$1000=$C36)*'ANALYSE - ERP =&gt; SOUS-SEGMENT'!$Q$8:$Q$1000*'ANALYSE - ERP =&gt; SOUS-SEGMENT'!$BE$8:$BE$1000),""))</f>
        <v>0.5</v>
      </c>
      <c r="IQ36" s="742">
        <f>IF($C36="","",IFERROR(SUMPRODUCT(('ANALYSE - ERP =&gt; SOUS-SEGMENT'!$C$8:$C$1000=$C36)*'ANALYSE - ERP =&gt; SOUS-SEGMENT'!$Q$8:$Q$1000*'ANALYSE - ERP =&gt; SOUS-SEGMENT'!$BE$8:$BE$1000*'ANALYSE - ERP =&gt; SOUS-SEGMENT'!$IQ$8:$IQ$1000)/SUMPRODUCT(('ANALYSE - ERP =&gt; SOUS-SEGMENT'!$C$8:$C$1000=$C36)*'ANALYSE - ERP =&gt; SOUS-SEGMENT'!$Q$8:$Q$1000*'ANALYSE - ERP =&gt; SOUS-SEGMENT'!$BE$8:$BE$1000),""))</f>
        <v>0.37000000000000005</v>
      </c>
      <c r="IR36" s="742">
        <f>IF($C36="","",IFERROR(SUMPRODUCT(('ANALYSE - ERP =&gt; SOUS-SEGMENT'!$C$8:$C$1000=$C36)*'ANALYSE - ERP =&gt; SOUS-SEGMENT'!$Q$8:$Q$1000*'ANALYSE - ERP =&gt; SOUS-SEGMENT'!$BE$8:$BE$1000*'ANALYSE - ERP =&gt; SOUS-SEGMENT'!$IR$8:$IR$1000)/SUMPRODUCT(('ANALYSE - ERP =&gt; SOUS-SEGMENT'!$C$8:$C$1000=$C36)*'ANALYSE - ERP =&gt; SOUS-SEGMENT'!$Q$8:$Q$1000*'ANALYSE - ERP =&gt; SOUS-SEGMENT'!$BE$8:$BE$1000),""))</f>
        <v>0.05</v>
      </c>
      <c r="IS36" s="742">
        <f>IF($C36="","",IFERROR(SUMPRODUCT(('ANALYSE - ERP =&gt; SOUS-SEGMENT'!$C$8:$C$1000=$C36)*'ANALYSE - ERP =&gt; SOUS-SEGMENT'!$Q$8:$Q$1000*'ANALYSE - ERP =&gt; SOUS-SEGMENT'!$BE$8:$BE$1000*'ANALYSE - ERP =&gt; SOUS-SEGMENT'!$IS$8:$IS$1000)/SUMPRODUCT(('ANALYSE - ERP =&gt; SOUS-SEGMENT'!$C$8:$C$1000=$C36)*'ANALYSE - ERP =&gt; SOUS-SEGMENT'!$Q$8:$Q$1000*'ANALYSE - ERP =&gt; SOUS-SEGMENT'!$BE$8:$BE$1000),""))</f>
        <v>0</v>
      </c>
      <c r="IT36" s="742">
        <f>IF($C36="","",IFERROR(SUMPRODUCT(('ANALYSE - ERP =&gt; SOUS-SEGMENT'!$C$8:$C$1000=$C36)*'ANALYSE - ERP =&gt; SOUS-SEGMENT'!$Q$8:$Q$1000*'ANALYSE - ERP =&gt; SOUS-SEGMENT'!$FB$8:$FB$1000*'ANALYSE - ERP =&gt; SOUS-SEGMENT'!$IT$8:$IT$1000)/SUMPRODUCT(('ANALYSE - ERP =&gt; SOUS-SEGMENT'!$C$8:$C$1000=$C36)*'ANALYSE - ERP =&gt; SOUS-SEGMENT'!$Q$8:$Q$1000*'ANALYSE - ERP =&gt; SOUS-SEGMENT'!$FB$8:$FB$1000),""))</f>
        <v>5.4800000000000008E-2</v>
      </c>
      <c r="IU36" s="742">
        <f>IF($C36="","",IFERROR(SUMPRODUCT(('ANALYSE - ERP =&gt; SOUS-SEGMENT'!$C$8:$C$1000=$C36)*'ANALYSE - ERP =&gt; SOUS-SEGMENT'!$Q$8:$Q$1000*'ANALYSE - ERP =&gt; SOUS-SEGMENT'!$FB$8:$FB$1000*'ANALYSE - ERP =&gt; SOUS-SEGMENT'!$IU$8:$IU$1000)/SUMPRODUCT(('ANALYSE - ERP =&gt; SOUS-SEGMENT'!$C$8:$C$1000=$C36)*'ANALYSE - ERP =&gt; SOUS-SEGMENT'!$Q$8:$Q$1000*'ANALYSE - ERP =&gt; SOUS-SEGMENT'!$FB$8:$FB$1000),""))</f>
        <v>0.46919999999999995</v>
      </c>
      <c r="IV36" s="742">
        <f>IF($C36="","",IFERROR(SUMPRODUCT(('ANALYSE - ERP =&gt; SOUS-SEGMENT'!$C$8:$C$1000=$C36)*'ANALYSE - ERP =&gt; SOUS-SEGMENT'!$Q$8:$Q$1000*'ANALYSE - ERP =&gt; SOUS-SEGMENT'!$FB$8:$FB$1000*'ANALYSE - ERP =&gt; SOUS-SEGMENT'!$IV$8:$IV$1000)/SUMPRODUCT(('ANALYSE - ERP =&gt; SOUS-SEGMENT'!$C$8:$C$1000=$C36)*'ANALYSE - ERP =&gt; SOUS-SEGMENT'!$Q$8:$Q$1000*'ANALYSE - ERP =&gt; SOUS-SEGMENT'!$FB$8:$FB$1000),""))</f>
        <v>0.3952</v>
      </c>
      <c r="IW36" s="742">
        <f>IF($C36="","",IFERROR(SUMPRODUCT(('ANALYSE - ERP =&gt; SOUS-SEGMENT'!$C$8:$C$1000=$C36)*'ANALYSE - ERP =&gt; SOUS-SEGMENT'!$Q$8:$Q$1000*'ANALYSE - ERP =&gt; SOUS-SEGMENT'!$FB$8:$FB$1000*'ANALYSE - ERP =&gt; SOUS-SEGMENT'!$IW$8:$IW$1000)/SUMPRODUCT(('ANALYSE - ERP =&gt; SOUS-SEGMENT'!$C$8:$C$1000=$C36)*'ANALYSE - ERP =&gt; SOUS-SEGMENT'!$Q$8:$Q$1000*'ANALYSE - ERP =&gt; SOUS-SEGMENT'!$FB$8:$FB$1000),""))</f>
        <v>7.5199999999999989E-2</v>
      </c>
      <c r="IX36" s="742">
        <f>IF($C36="","",IFERROR(SUMPRODUCT(('ANALYSE - ERP =&gt; SOUS-SEGMENT'!$C$8:$C$1000=$C36)*'ANALYSE - ERP =&gt; SOUS-SEGMENT'!$Q$8:$Q$1000*'ANALYSE - ERP =&gt; SOUS-SEGMENT'!$FB$8:$FB$1000*'ANALYSE - ERP =&gt; SOUS-SEGMENT'!$IX$8:$IX$1000)/SUMPRODUCT(('ANALYSE - ERP =&gt; SOUS-SEGMENT'!$C$8:$C$1000=$C36)*'ANALYSE - ERP =&gt; SOUS-SEGMENT'!$Q$8:$Q$1000*'ANALYSE - ERP =&gt; SOUS-SEGMENT'!$FB$8:$FB$1000),""))</f>
        <v>5.5999999999999991E-3</v>
      </c>
      <c r="IY36" s="742">
        <f>IF($C36="","",IFERROR(SUMPRODUCT(('ANALYSE - ERP =&gt; SOUS-SEGMENT'!$C$8:$C$1000=$C36)*'ANALYSE - ERP =&gt; SOUS-SEGMENT'!$Q$8:$Q$1000*'ANALYSE - ERP =&gt; SOUS-SEGMENT'!$BF$8:$BF$1000*'ANALYSE - ERP =&gt; SOUS-SEGMENT'!$IY$8:$IY$1000)/SUMPRODUCT(('ANALYSE - ERP =&gt; SOUS-SEGMENT'!$C$8:$C$1000=$C36)*'ANALYSE - ERP =&gt; SOUS-SEGMENT'!$Q$8:$Q$1000*'ANALYSE - ERP =&gt; SOUS-SEGMENT'!$BF$8:$BF$1000),""))</f>
        <v>8.2199999999999995E-2</v>
      </c>
      <c r="IZ36" s="742">
        <f>IF($C36="","",IFERROR(SUMPRODUCT(('ANALYSE - ERP =&gt; SOUS-SEGMENT'!$C$8:$C$1000=$C36)*'ANALYSE - ERP =&gt; SOUS-SEGMENT'!$Q$8:$Q$1000*'ANALYSE - ERP =&gt; SOUS-SEGMENT'!$BF$8:$BF$1000*'ANALYSE - ERP =&gt; SOUS-SEGMENT'!$IZ$8:$IZ$1000)/SUMPRODUCT(('ANALYSE - ERP =&gt; SOUS-SEGMENT'!$C$8:$C$1000=$C36)*'ANALYSE - ERP =&gt; SOUS-SEGMENT'!$Q$8:$Q$1000*'ANALYSE - ERP =&gt; SOUS-SEGMENT'!$BF$8:$BF$1000),""))</f>
        <v>0.51400000000000001</v>
      </c>
      <c r="JA36" s="742">
        <f>IF($C36="","",IFERROR(SUMPRODUCT(('ANALYSE - ERP =&gt; SOUS-SEGMENT'!$C$8:$C$1000=$C36)*'ANALYSE - ERP =&gt; SOUS-SEGMENT'!$Q$8:$Q$1000*'ANALYSE - ERP =&gt; SOUS-SEGMENT'!$BF$8:$BF$1000*'ANALYSE - ERP =&gt; SOUS-SEGMENT'!$JA$8:$JA$1000)/SUMPRODUCT(('ANALYSE - ERP =&gt; SOUS-SEGMENT'!$C$8:$C$1000=$C36)*'ANALYSE - ERP =&gt; SOUS-SEGMENT'!$Q$8:$Q$1000*'ANALYSE - ERP =&gt; SOUS-SEGMENT'!$BF$8:$BF$1000),""))</f>
        <v>0.36220000000000002</v>
      </c>
      <c r="JB36" s="742">
        <f>IF($C36="","",IFERROR(SUMPRODUCT(('ANALYSE - ERP =&gt; SOUS-SEGMENT'!$C$8:$C$1000=$C36)*'ANALYSE - ERP =&gt; SOUS-SEGMENT'!$Q$8:$Q$1000*'ANALYSE - ERP =&gt; SOUS-SEGMENT'!$BF$8:$BF$1000*'ANALYSE - ERP =&gt; SOUS-SEGMENT'!$JB$8:$JB$1000)/SUMPRODUCT(('ANALYSE - ERP =&gt; SOUS-SEGMENT'!$C$8:$C$1000=$C36)*'ANALYSE - ERP =&gt; SOUS-SEGMENT'!$Q$8:$Q$1000*'ANALYSE - ERP =&gt; SOUS-SEGMENT'!$BF$8:$BF$1000),""))</f>
        <v>4.1599999999999998E-2</v>
      </c>
      <c r="JC36" s="742">
        <f>IF($C36="","",IFERROR(SUMPRODUCT(('ANALYSE - ERP =&gt; SOUS-SEGMENT'!$C$8:$C$1000=$C36)*'ANALYSE - ERP =&gt; SOUS-SEGMENT'!$Q$8:$Q$1000*'ANALYSE - ERP =&gt; SOUS-SEGMENT'!$BF$8:$BF$1000*'ANALYSE - ERP =&gt; SOUS-SEGMENT'!$JC$8:$JC$1000)/SUMPRODUCT(('ANALYSE - ERP =&gt; SOUS-SEGMENT'!$C$8:$C$1000=$C36)*'ANALYSE - ERP =&gt; SOUS-SEGMENT'!$Q$8:$Q$1000*'ANALYSE - ERP =&gt; SOUS-SEGMENT'!$BF$8:$BF$1000),""))</f>
        <v>0</v>
      </c>
      <c r="JD36" s="742">
        <f>IF($C36="","",IFERROR(SUMPRODUCT(('ANALYSE - ERP =&gt; SOUS-SEGMENT'!$C$8:$C$1000=$C36)*'ANALYSE - ERP =&gt; SOUS-SEGMENT'!$Q$8:$Q$1000*'ANALYSE - ERP =&gt; SOUS-SEGMENT'!$FE$8:$FE$1000*'ANALYSE - ERP =&gt; SOUS-SEGMENT'!$JD$8:$JD$1000)/SUMPRODUCT(('ANALYSE - ERP =&gt; SOUS-SEGMENT'!$C$8:$C$1000=$C36)*'ANALYSE - ERP =&gt; SOUS-SEGMENT'!$Q$8:$Q$1000*'ANALYSE - ERP =&gt; SOUS-SEGMENT'!$FE$8:$FE$1000),""))</f>
        <v>5.6999999999999995E-2</v>
      </c>
      <c r="JE36" s="742">
        <f>IF($C36="","",IFERROR(SUMPRODUCT(('ANALYSE - ERP =&gt; SOUS-SEGMENT'!$C$8:$C$1000=$C36)*'ANALYSE - ERP =&gt; SOUS-SEGMENT'!$Q$8:$Q$1000*'ANALYSE - ERP =&gt; SOUS-SEGMENT'!$FE$8:$FE$1000*'ANALYSE - ERP =&gt; SOUS-SEGMENT'!$JE$8:$JE$1000)/SUMPRODUCT(('ANALYSE - ERP =&gt; SOUS-SEGMENT'!$C$8:$C$1000=$C36)*'ANALYSE - ERP =&gt; SOUS-SEGMENT'!$Q$8:$Q$1000*'ANALYSE - ERP =&gt; SOUS-SEGMENT'!$FE$8:$FE$1000),""))</f>
        <v>0.48320000000000002</v>
      </c>
      <c r="JF36" s="742">
        <f>IF($C36="","",IFERROR(SUMPRODUCT(('ANALYSE - ERP =&gt; SOUS-SEGMENT'!$C$8:$C$1000=$C36)*'ANALYSE - ERP =&gt; SOUS-SEGMENT'!$Q$8:$Q$1000*'ANALYSE - ERP =&gt; SOUS-SEGMENT'!$FE$8:$FE$1000*'ANALYSE - ERP =&gt; SOUS-SEGMENT'!$JF$8:$JF$1000)/SUMPRODUCT(('ANALYSE - ERP =&gt; SOUS-SEGMENT'!$C$8:$C$1000=$C36)*'ANALYSE - ERP =&gt; SOUS-SEGMENT'!$Q$8:$Q$1000*'ANALYSE - ERP =&gt; SOUS-SEGMENT'!$FE$8:$FE$1000),""))</f>
        <v>0.38740000000000002</v>
      </c>
      <c r="JG36" s="742">
        <f>IF($C36="","",IFERROR(SUMPRODUCT(('ANALYSE - ERP =&gt; SOUS-SEGMENT'!$C$8:$C$1000=$C36)*'ANALYSE - ERP =&gt; SOUS-SEGMENT'!$Q$8:$Q$1000*'ANALYSE - ERP =&gt; SOUS-SEGMENT'!$FE$8:$FE$1000*'ANALYSE - ERP =&gt; SOUS-SEGMENT'!$JG$8:$JG$1000)/SUMPRODUCT(('ANALYSE - ERP =&gt; SOUS-SEGMENT'!$C$8:$C$1000=$C36)*'ANALYSE - ERP =&gt; SOUS-SEGMENT'!$Q$8:$Q$1000*'ANALYSE - ERP =&gt; SOUS-SEGMENT'!$FE$8:$FE$1000),""))</f>
        <v>6.6799999999999998E-2</v>
      </c>
      <c r="JH36" s="742">
        <f>IF($C36="","",IFERROR(SUMPRODUCT(('ANALYSE - ERP =&gt; SOUS-SEGMENT'!$C$8:$C$1000=$C36)*'ANALYSE - ERP =&gt; SOUS-SEGMENT'!$Q$8:$Q$1000*'ANALYSE - ERP =&gt; SOUS-SEGMENT'!$FE$8:$FE$1000*'ANALYSE - ERP =&gt; SOUS-SEGMENT'!$JH$8:$JH$1000)/SUMPRODUCT(('ANALYSE - ERP =&gt; SOUS-SEGMENT'!$C$8:$C$1000=$C36)*'ANALYSE - ERP =&gt; SOUS-SEGMENT'!$Q$8:$Q$1000*'ANALYSE - ERP =&gt; SOUS-SEGMENT'!$FE$8:$FE$1000),""))</f>
        <v>5.5999999999999999E-3</v>
      </c>
      <c r="JI36" s="742">
        <f>IF($C36="","",IFERROR(SUMPRODUCT(('ANALYSE - ERP =&gt; SOUS-SEGMENT'!$C$8:$C$1000=$C36)*'ANALYSE - ERP =&gt; SOUS-SEGMENT'!$Q$8:$Q$1000*'ANALYSE - ERP =&gt; SOUS-SEGMENT'!$BG$8:$BG$1000*'ANALYSE - ERP =&gt; SOUS-SEGMENT'!$JI$8:$JI$1000)/SUMPRODUCT(('ANALYSE - ERP =&gt; SOUS-SEGMENT'!$C$8:$C$1000=$C36)*'ANALYSE - ERP =&gt; SOUS-SEGMENT'!$Q$8:$Q$1000*'ANALYSE - ERP =&gt; SOUS-SEGMENT'!$BG$8:$BG$1000),""))</f>
        <v>0.12870000000000001</v>
      </c>
      <c r="JJ36" s="742">
        <f>IF($C36="","",IFERROR(SUMPRODUCT(('ANALYSE - ERP =&gt; SOUS-SEGMENT'!$C$8:$C$1000=$C36)*'ANALYSE - ERP =&gt; SOUS-SEGMENT'!$Q$8:$Q$1000*'ANALYSE - ERP =&gt; SOUS-SEGMENT'!$BG$8:$BG$1000*'ANALYSE - ERP =&gt; SOUS-SEGMENT'!$JJ$8:$JJ$1000)/SUMPRODUCT(('ANALYSE - ERP =&gt; SOUS-SEGMENT'!$C$8:$C$1000=$C36)*'ANALYSE - ERP =&gt; SOUS-SEGMENT'!$Q$8:$Q$1000*'ANALYSE - ERP =&gt; SOUS-SEGMENT'!$BG$8:$BG$1000),""))</f>
        <v>0.60319999999999996</v>
      </c>
      <c r="JK36" s="742">
        <f>IF($C36="","",IFERROR(SUMPRODUCT(('ANALYSE - ERP =&gt; SOUS-SEGMENT'!$C$8:$C$1000=$C36)*'ANALYSE - ERP =&gt; SOUS-SEGMENT'!$Q$8:$Q$1000*'ANALYSE - ERP =&gt; SOUS-SEGMENT'!$BG$8:$BG$1000*'ANALYSE - ERP =&gt; SOUS-SEGMENT'!$JK$8:$JK$1000)/SUMPRODUCT(('ANALYSE - ERP =&gt; SOUS-SEGMENT'!$C$8:$C$1000=$C36)*'ANALYSE - ERP =&gt; SOUS-SEGMENT'!$Q$8:$Q$1000*'ANALYSE - ERP =&gt; SOUS-SEGMENT'!$BG$8:$BG$1000),""))</f>
        <v>0.248</v>
      </c>
      <c r="JL36" s="742">
        <f>IF($C36="","",IFERROR(SUMPRODUCT(('ANALYSE - ERP =&gt; SOUS-SEGMENT'!$C$8:$C$1000=$C36)*'ANALYSE - ERP =&gt; SOUS-SEGMENT'!$Q$8:$Q$1000*'ANALYSE - ERP =&gt; SOUS-SEGMENT'!$BG$8:$BG$1000*'ANALYSE - ERP =&gt; SOUS-SEGMENT'!$JL$8:$JL$1000)/SUMPRODUCT(('ANALYSE - ERP =&gt; SOUS-SEGMENT'!$C$8:$C$1000=$C36)*'ANALYSE - ERP =&gt; SOUS-SEGMENT'!$Q$8:$Q$1000*'ANALYSE - ERP =&gt; SOUS-SEGMENT'!$BG$8:$BG$1000),""))</f>
        <v>2.01E-2</v>
      </c>
      <c r="JM36" s="742">
        <f>IF($C36="","",IFERROR(SUMPRODUCT(('ANALYSE - ERP =&gt; SOUS-SEGMENT'!$C$8:$C$1000=$C36)*'ANALYSE - ERP =&gt; SOUS-SEGMENT'!$Q$8:$Q$1000*'ANALYSE - ERP =&gt; SOUS-SEGMENT'!$BG$8:$BG$1000*'ANALYSE - ERP =&gt; SOUS-SEGMENT'!$JM$8:$JM$1000)/SUMPRODUCT(('ANALYSE - ERP =&gt; SOUS-SEGMENT'!$C$8:$C$1000=$C36)*'ANALYSE - ERP =&gt; SOUS-SEGMENT'!$Q$8:$Q$1000*'ANALYSE - ERP =&gt; SOUS-SEGMENT'!$BG$8:$BG$1000),""))</f>
        <v>0</v>
      </c>
      <c r="JN36" s="742">
        <f>IF($C36="","",IFERROR(SUMPRODUCT(('ANALYSE - ERP =&gt; SOUS-SEGMENT'!$C$8:$C$1000=$C36)*'ANALYSE - ERP =&gt; SOUS-SEGMENT'!$Q$8:$Q$1000*'ANALYSE - ERP =&gt; SOUS-SEGMENT'!$FH$8:$FH$1000*'ANALYSE - ERP =&gt; SOUS-SEGMENT'!$JN$8:$JN$1000)/SUMPRODUCT(('ANALYSE - ERP =&gt; SOUS-SEGMENT'!$C$8:$C$1000=$C36)*'ANALYSE - ERP =&gt; SOUS-SEGMENT'!$Q$8:$Q$1000*'ANALYSE - ERP =&gt; SOUS-SEGMENT'!$FH$8:$FH$1000),""))</f>
        <v>0.10349999999999999</v>
      </c>
      <c r="JO36" s="742">
        <f>IF($C36="","",IFERROR(SUMPRODUCT(('ANALYSE - ERP =&gt; SOUS-SEGMENT'!$C$8:$C$1000=$C36)*'ANALYSE - ERP =&gt; SOUS-SEGMENT'!$Q$8:$Q$1000*'ANALYSE - ERP =&gt; SOUS-SEGMENT'!$FH$8:$FH$1000*'ANALYSE - ERP =&gt; SOUS-SEGMENT'!$JO$8:$JO$1000)/SUMPRODUCT(('ANALYSE - ERP =&gt; SOUS-SEGMENT'!$C$8:$C$1000=$C36)*'ANALYSE - ERP =&gt; SOUS-SEGMENT'!$Q$8:$Q$1000*'ANALYSE - ERP =&gt; SOUS-SEGMENT'!$FH$8:$FH$1000),""))</f>
        <v>0.57240000000000002</v>
      </c>
      <c r="JP36" s="742">
        <f>IF($C36="","",IFERROR(SUMPRODUCT(('ANALYSE - ERP =&gt; SOUS-SEGMENT'!$C$8:$C$1000=$C36)*'ANALYSE - ERP =&gt; SOUS-SEGMENT'!$Q$8:$Q$1000*'ANALYSE - ERP =&gt; SOUS-SEGMENT'!$FH$8:$FH$1000*'ANALYSE - ERP =&gt; SOUS-SEGMENT'!$JP$8:$JP$1000)/SUMPRODUCT(('ANALYSE - ERP =&gt; SOUS-SEGMENT'!$C$8:$C$1000=$C36)*'ANALYSE - ERP =&gt; SOUS-SEGMENT'!$Q$8:$Q$1000*'ANALYSE - ERP =&gt; SOUS-SEGMENT'!$FH$8:$FH$1000),""))</f>
        <v>0.2732</v>
      </c>
      <c r="JQ36" s="742">
        <f>IF($C36="","",IFERROR(SUMPRODUCT(('ANALYSE - ERP =&gt; SOUS-SEGMENT'!$C$8:$C$1000=$C36)*'ANALYSE - ERP =&gt; SOUS-SEGMENT'!$Q$8:$Q$1000*'ANALYSE - ERP =&gt; SOUS-SEGMENT'!$FH$8:$FH$1000*'ANALYSE - ERP =&gt; SOUS-SEGMENT'!$JQ$8:$JQ$1000)/SUMPRODUCT(('ANALYSE - ERP =&gt; SOUS-SEGMENT'!$C$8:$C$1000=$C36)*'ANALYSE - ERP =&gt; SOUS-SEGMENT'!$Q$8:$Q$1000*'ANALYSE - ERP =&gt; SOUS-SEGMENT'!$FH$8:$FH$1000),""))</f>
        <v>4.53E-2</v>
      </c>
      <c r="JR36" s="742">
        <f>IF($C36="","",IFERROR(SUMPRODUCT(('ANALYSE - ERP =&gt; SOUS-SEGMENT'!$C$8:$C$1000=$C36)*'ANALYSE - ERP =&gt; SOUS-SEGMENT'!$Q$8:$Q$1000*'ANALYSE - ERP =&gt; SOUS-SEGMENT'!$FH$8:$FH$1000*'ANALYSE - ERP =&gt; SOUS-SEGMENT'!$JR$8:$JR$1000)/SUMPRODUCT(('ANALYSE - ERP =&gt; SOUS-SEGMENT'!$C$8:$C$1000=$C36)*'ANALYSE - ERP =&gt; SOUS-SEGMENT'!$Q$8:$Q$1000*'ANALYSE - ERP =&gt; SOUS-SEGMENT'!$FH$8:$FH$1000),""))</f>
        <v>5.5999999999999999E-3</v>
      </c>
      <c r="JS36" s="742">
        <f>IF($C36="","",IFERROR(SUMPRODUCT(('ANALYSE - ERP =&gt; SOUS-SEGMENT'!$C$8:$C$1000=$C36)*'ANALYSE - ERP =&gt; SOUS-SEGMENT'!$Q$8:$Q$1000*'ANALYSE - ERP =&gt; SOUS-SEGMENT'!$BH$8:$BH$1000*'ANALYSE - ERP =&gt; SOUS-SEGMENT'!$JS$8:$JS$1000)/SUMPRODUCT(('ANALYSE - ERP =&gt; SOUS-SEGMENT'!$C$8:$C$1000=$C36)*'ANALYSE - ERP =&gt; SOUS-SEGMENT'!$Q$8:$Q$1000*'ANALYSE - ERP =&gt; SOUS-SEGMENT'!$BH$8:$BH$1000),""))</f>
        <v>8.5800000000000001E-2</v>
      </c>
      <c r="JT36" s="742">
        <f>IF($C36="","",IFERROR(SUMPRODUCT(('ANALYSE - ERP =&gt; SOUS-SEGMENT'!$C$8:$C$1000=$C36)*'ANALYSE - ERP =&gt; SOUS-SEGMENT'!$Q$8:$Q$1000*'ANALYSE - ERP =&gt; SOUS-SEGMENT'!$BH$8:$BH$1000*'ANALYSE - ERP =&gt; SOUS-SEGMENT'!$JT$8:$JT$1000)/SUMPRODUCT(('ANALYSE - ERP =&gt; SOUS-SEGMENT'!$C$8:$C$1000=$C36)*'ANALYSE - ERP =&gt; SOUS-SEGMENT'!$Q$8:$Q$1000*'ANALYSE - ERP =&gt; SOUS-SEGMENT'!$BH$8:$BH$1000),""))</f>
        <v>0.51190000000000002</v>
      </c>
      <c r="JU36" s="742">
        <f>IF($C36="","",IFERROR(SUMPRODUCT(('ANALYSE - ERP =&gt; SOUS-SEGMENT'!$C$8:$C$1000=$C36)*'ANALYSE - ERP =&gt; SOUS-SEGMENT'!$Q$8:$Q$1000*'ANALYSE - ERP =&gt; SOUS-SEGMENT'!$BH$8:$BH$1000*'ANALYSE - ERP =&gt; SOUS-SEGMENT'!$JU$8:$JU$1000)/SUMPRODUCT(('ANALYSE - ERP =&gt; SOUS-SEGMENT'!$C$8:$C$1000=$C36)*'ANALYSE - ERP =&gt; SOUS-SEGMENT'!$Q$8:$Q$1000*'ANALYSE - ERP =&gt; SOUS-SEGMENT'!$BH$8:$BH$1000),""))</f>
        <v>0.36080000000000001</v>
      </c>
      <c r="JV36" s="742">
        <f>IF($C36="","",IFERROR(SUMPRODUCT(('ANALYSE - ERP =&gt; SOUS-SEGMENT'!$C$8:$C$1000=$C36)*'ANALYSE - ERP =&gt; SOUS-SEGMENT'!$Q$8:$Q$1000*'ANALYSE - ERP =&gt; SOUS-SEGMENT'!$BH$8:$BH$1000*'ANALYSE - ERP =&gt; SOUS-SEGMENT'!$JV$8:$JV$1000)/SUMPRODUCT(('ANALYSE - ERP =&gt; SOUS-SEGMENT'!$C$8:$C$1000=$C36)*'ANALYSE - ERP =&gt; SOUS-SEGMENT'!$Q$8:$Q$1000*'ANALYSE - ERP =&gt; SOUS-SEGMENT'!$BH$8:$BH$1000),""))</f>
        <v>4.1399999999999999E-2</v>
      </c>
      <c r="JW36" s="742">
        <f>IF($C36="","",IFERROR(SUMPRODUCT(('ANALYSE - ERP =&gt; SOUS-SEGMENT'!$C$8:$C$1000=$C36)*'ANALYSE - ERP =&gt; SOUS-SEGMENT'!$Q$8:$Q$1000*'ANALYSE - ERP =&gt; SOUS-SEGMENT'!$BH$8:$BH$1000*'ANALYSE - ERP =&gt; SOUS-SEGMENT'!$JW$8:$JW$1000)/SUMPRODUCT(('ANALYSE - ERP =&gt; SOUS-SEGMENT'!$C$8:$C$1000=$C36)*'ANALYSE - ERP =&gt; SOUS-SEGMENT'!$Q$8:$Q$1000*'ANALYSE - ERP =&gt; SOUS-SEGMENT'!$BH$8:$BH$1000),""))</f>
        <v>9.9999999999999991E-5</v>
      </c>
      <c r="JX36" s="742">
        <f>IF($C36="","",IFERROR(SUMPRODUCT(('ANALYSE - ERP =&gt; SOUS-SEGMENT'!$C$8:$C$1000=$C36)*'ANALYSE - ERP =&gt; SOUS-SEGMENT'!$Q$8:$Q$1000*'ANALYSE - ERP =&gt; SOUS-SEGMENT'!$FK$8:$FK$1000*'ANALYSE - ERP =&gt; SOUS-SEGMENT'!$JX$8:$JX$1000)/SUMPRODUCT(('ANALYSE - ERP =&gt; SOUS-SEGMENT'!$C$8:$C$1000=$C36)*'ANALYSE - ERP =&gt; SOUS-SEGMENT'!$Q$8:$Q$1000*'ANALYSE - ERP =&gt; SOUS-SEGMENT'!$FK$8:$FK$1000),""))</f>
        <v>6.0600000000000001E-2</v>
      </c>
      <c r="JY36" s="742">
        <f>IF($C36="","",IFERROR(SUMPRODUCT(('ANALYSE - ERP =&gt; SOUS-SEGMENT'!$C$8:$C$1000=$C36)*'ANALYSE - ERP =&gt; SOUS-SEGMENT'!$Q$8:$Q$1000*'ANALYSE - ERP =&gt; SOUS-SEGMENT'!$FK$8:$FK$1000*'ANALYSE - ERP =&gt; SOUS-SEGMENT'!$JY$8:$JY$1000)/SUMPRODUCT(('ANALYSE - ERP =&gt; SOUS-SEGMENT'!$C$8:$C$1000=$C36)*'ANALYSE - ERP =&gt; SOUS-SEGMENT'!$Q$8:$Q$1000*'ANALYSE - ERP =&gt; SOUS-SEGMENT'!$FK$8:$FK$1000),""))</f>
        <v>0.48109999999999992</v>
      </c>
      <c r="JZ36" s="742">
        <f>IF($C36="","",IFERROR(SUMPRODUCT(('ANALYSE - ERP =&gt; SOUS-SEGMENT'!$C$8:$C$1000=$C36)*'ANALYSE - ERP =&gt; SOUS-SEGMENT'!$Q$8:$Q$1000*'ANALYSE - ERP =&gt; SOUS-SEGMENT'!$FK$8:$FK$1000*'ANALYSE - ERP =&gt; SOUS-SEGMENT'!$JZ$8:$JZ$1000)/SUMPRODUCT(('ANALYSE - ERP =&gt; SOUS-SEGMENT'!$C$8:$C$1000=$C36)*'ANALYSE - ERP =&gt; SOUS-SEGMENT'!$Q$8:$Q$1000*'ANALYSE - ERP =&gt; SOUS-SEGMENT'!$FK$8:$FK$1000),""))</f>
        <v>0.38599999999999995</v>
      </c>
      <c r="KA36" s="742">
        <f>IF($C36="","",IFERROR(SUMPRODUCT(('ANALYSE - ERP =&gt; SOUS-SEGMENT'!$C$8:$C$1000=$C36)*'ANALYSE - ERP =&gt; SOUS-SEGMENT'!$Q$8:$Q$1000*'ANALYSE - ERP =&gt; SOUS-SEGMENT'!$FK$8:$FK$1000*'ANALYSE - ERP =&gt; SOUS-SEGMENT'!$KA$8:$KA$1000)/SUMPRODUCT(('ANALYSE - ERP =&gt; SOUS-SEGMENT'!$C$8:$C$1000=$C36)*'ANALYSE - ERP =&gt; SOUS-SEGMENT'!$Q$8:$Q$1000*'ANALYSE - ERP =&gt; SOUS-SEGMENT'!$FK$8:$FK$1000),""))</f>
        <v>6.6600000000000006E-2</v>
      </c>
      <c r="KB36" s="742">
        <f>IF($C36="","",IFERROR(SUMPRODUCT(('ANALYSE - ERP =&gt; SOUS-SEGMENT'!$C$8:$C$1000=$C36)*'ANALYSE - ERP =&gt; SOUS-SEGMENT'!$Q$8:$Q$1000*'ANALYSE - ERP =&gt; SOUS-SEGMENT'!$FK$8:$FK$1000*'ANALYSE - ERP =&gt; SOUS-SEGMENT'!$KB$8:$KB$1000)/SUMPRODUCT(('ANALYSE - ERP =&gt; SOUS-SEGMENT'!$C$8:$C$1000=$C36)*'ANALYSE - ERP =&gt; SOUS-SEGMENT'!$Q$8:$Q$1000*'ANALYSE - ERP =&gt; SOUS-SEGMENT'!$FK$8:$FK$1000),""))</f>
        <v>5.7000000000000002E-3</v>
      </c>
      <c r="KC36" s="657"/>
      <c r="KD36" s="924" t="s">
        <v>2590</v>
      </c>
      <c r="KE36" s="924" t="s">
        <v>2591</v>
      </c>
      <c r="KF36" s="869">
        <f>IF($C36="","",IFERROR(SUMPRODUCT(('ANALYSE - ERP =&gt; SOUS-SEGMENT'!$C$8:$C$1000=$C36)*'ANALYSE - ERP =&gt; SOUS-SEGMENT'!$Q$8:$Q$1000*'ANALYSE - ERP =&gt; SOUS-SEGMENT'!$IE$8:$IE$1000*'ANALYSE - ERP =&gt; SOUS-SEGMENT'!$KF$8:$KF$1000)/SUMPRODUCT(('ANALYSE - ERP =&gt; SOUS-SEGMENT'!$C$8:$C$1000=$C36)*'ANALYSE - ERP =&gt; SOUS-SEGMENT'!$Q$8:$Q$1000*'ANALYSE - ERP =&gt; SOUS-SEGMENT'!$IE$8:$IE$1000),""))</f>
        <v>4.1300000000000008</v>
      </c>
      <c r="KG36" s="924" t="s">
        <v>2589</v>
      </c>
      <c r="KH36" s="924" t="s">
        <v>4856</v>
      </c>
      <c r="KI36" s="924" t="s">
        <v>3028</v>
      </c>
      <c r="KJ36" s="924" t="s">
        <v>6123</v>
      </c>
    </row>
    <row r="37" spans="1:296" ht="120" customHeight="1">
      <c r="A37" s="951">
        <f>IF($C37="","",ROWS($A$8:A37))</f>
        <v>30</v>
      </c>
      <c r="B37" s="952" t="s">
        <v>4908</v>
      </c>
      <c r="C37" s="952" t="s">
        <v>6124</v>
      </c>
      <c r="D37" s="952" t="s">
        <v>6125</v>
      </c>
      <c r="E37" s="277" t="s">
        <v>6126</v>
      </c>
      <c r="F37" s="646" t="s">
        <v>6127</v>
      </c>
      <c r="G37" s="646" t="s">
        <v>6128</v>
      </c>
      <c r="H37" s="646" t="s">
        <v>6129</v>
      </c>
      <c r="I37" s="646" t="s">
        <v>6130</v>
      </c>
      <c r="J37" s="646" t="s">
        <v>6131</v>
      </c>
      <c r="K37" s="646" t="s">
        <v>2097</v>
      </c>
      <c r="L37" s="646" t="s">
        <v>2109</v>
      </c>
      <c r="M37" s="646" t="s">
        <v>2603</v>
      </c>
      <c r="N37" s="646" t="s">
        <v>6132</v>
      </c>
      <c r="O37" s="646" t="s">
        <v>2616</v>
      </c>
      <c r="P37" s="646" t="s">
        <v>6133</v>
      </c>
      <c r="Q37" s="270">
        <f>IF($C37="","",IF(SUMIFS('ANALYSE - ERP =&gt; SOUS-SEGMENT'!$Q$8:$Q$1000,'ANALYSE - ERP =&gt; SOUS-SEGMENT'!$C$8:$C$1000,$C37)&gt;0,1,0))</f>
        <v>0</v>
      </c>
      <c r="R37" s="278" t="str">
        <f>IF($C37="","",IFERROR(SUMPRODUCT(('ANALYSE - ERP =&gt; SOUS-SEGMENT'!$C$8:$C$1000=$C37)*'ANALYSE - ERP =&gt; SOUS-SEGMENT'!$Q$8:$Q$1000*'ANALYSE - ERP =&gt; SOUS-SEGMENT'!$AF$8:$AF$1000*'ANALYSE - ERP =&gt; SOUS-SEGMENT'!$R$8:$R$1000)/SUMPRODUCT(('ANALYSE - ERP =&gt; SOUS-SEGMENT'!$C$8:$C$1000=$C37)*'ANALYSE - ERP =&gt; SOUS-SEGMENT'!$Q$8:$Q$1000*'ANALYSE - ERP =&gt; SOUS-SEGMENT'!$AF$8:$AF$1000),""))</f>
        <v/>
      </c>
      <c r="S37" s="279">
        <f>IF($C37="","",SUMPRODUCT(('ANALYSE - ERP =&gt; SOUS-SEGMENT'!$C$8:$C$1000=$C37)*'ANALYSE - ERP =&gt; SOUS-SEGMENT'!$Q$8:$Q$1000*'ANALYSE - ERP =&gt; SOUS-SEGMENT'!$S$8:$S$1000))</f>
        <v>0</v>
      </c>
      <c r="T37" s="279">
        <f>IF($C37="","",SUMPRODUCT(('ANALYSE - ERP =&gt; SOUS-SEGMENT'!$C$8:$C$1000=$C37)*'ANALYSE - ERP =&gt; SOUS-SEGMENT'!$Q$8:$Q$1000*'ANALYSE - ERP =&gt; SOUS-SEGMENT'!$T$8:$T$1000))</f>
        <v>0</v>
      </c>
      <c r="U37" s="279">
        <f>IF($C37="","",SUMPRODUCT(('ANALYSE - ERP =&gt; SOUS-SEGMENT'!$C$8:$C$1000=$C37)*'ANALYSE - ERP =&gt; SOUS-SEGMENT'!$Q$8:$Q$1000*'ANALYSE - ERP =&gt; SOUS-SEGMENT'!$U$8:$U$1000))</f>
        <v>0</v>
      </c>
      <c r="V37" s="279">
        <f>IF($C37="","",SUMPRODUCT(('ANALYSE - ERP =&gt; SOUS-SEGMENT'!$C$8:$C$1000=$C37)*'ANALYSE - ERP =&gt; SOUS-SEGMENT'!$Q$8:$Q$1000*'ANALYSE - ERP =&gt; SOUS-SEGMENT'!$V$8:$V$1000))</f>
        <v>0</v>
      </c>
      <c r="W37" s="279">
        <f>IF($C37="","",SUMPRODUCT(('ANALYSE - ERP =&gt; SOUS-SEGMENT'!$C$8:$C$1000=$C37)*'ANALYSE - ERP =&gt; SOUS-SEGMENT'!$Q$8:$Q$1000*'ANALYSE - ERP =&gt; SOUS-SEGMENT'!$W$8:$W$1000))</f>
        <v>0</v>
      </c>
      <c r="X37" s="279">
        <f>IF($C37="","",SUMPRODUCT(('ANALYSE - ERP =&gt; SOUS-SEGMENT'!$C$8:$C$1000=$C37)*'ANALYSE - ERP =&gt; SOUS-SEGMENT'!$Q$8:$Q$1000*'ANALYSE - ERP =&gt; SOUS-SEGMENT'!$X$8:$X$1000))</f>
        <v>0</v>
      </c>
      <c r="Y37" s="279">
        <f>IF($C37="","",SUMPRODUCT(('ANALYSE - ERP =&gt; SOUS-SEGMENT'!$C$8:$C$1000=$C37)*'ANALYSE - ERP =&gt; SOUS-SEGMENT'!$Q$8:$Q$1000*'ANALYSE - ERP =&gt; SOUS-SEGMENT'!$Y$8:$Y$1000))</f>
        <v>0</v>
      </c>
      <c r="Z37" s="279">
        <f>IF($C37="","",SUMPRODUCT(('ANALYSE - ERP =&gt; SOUS-SEGMENT'!$C$8:$C$1000=$C37)*'ANALYSE - ERP =&gt; SOUS-SEGMENT'!$Q$8:$Q$1000*'ANALYSE - ERP =&gt; SOUS-SEGMENT'!$Z$8:$Z$1000))</f>
        <v>0</v>
      </c>
      <c r="AA37" s="279">
        <f>IF($C37="","",SUMPRODUCT(('ANALYSE - ERP =&gt; SOUS-SEGMENT'!$C$8:$C$1000=$C37)*'ANALYSE - ERP =&gt; SOUS-SEGMENT'!$Q$8:$Q$1000*'ANALYSE - ERP =&gt; SOUS-SEGMENT'!$AA$8:$AA$1000))</f>
        <v>0</v>
      </c>
      <c r="AB37" s="279">
        <f>IF($C37="","",SUMPRODUCT(('ANALYSE - ERP =&gt; SOUS-SEGMENT'!$C$8:$C$1000=$C37)*'ANALYSE - ERP =&gt; SOUS-SEGMENT'!$Q$8:$Q$1000*'ANALYSE - ERP =&gt; SOUS-SEGMENT'!$AB$8:$AB$1000))</f>
        <v>0</v>
      </c>
      <c r="AC37" s="279">
        <f>IF($C37="","",SUMPRODUCT(('ANALYSE - ERP =&gt; SOUS-SEGMENT'!$C$8:$C$1000=$C37)*'ANALYSE - ERP =&gt; SOUS-SEGMENT'!$Q$8:$Q$1000*'ANALYSE - ERP =&gt; SOUS-SEGMENT'!$AC$8:$AC$1000))</f>
        <v>0</v>
      </c>
      <c r="AD37" s="279">
        <f>IF($C37="","",SUMPRODUCT(('ANALYSE - ERP =&gt; SOUS-SEGMENT'!$C$8:$C$1000=$C37)*'ANALYSE - ERP =&gt; SOUS-SEGMENT'!$Q$8:$Q$1000*'ANALYSE - ERP =&gt; SOUS-SEGMENT'!$AD$8:$AD$1000))</f>
        <v>0</v>
      </c>
      <c r="AE37" s="279">
        <f>IF($C37="","",SUMPRODUCT(('ANALYSE - ERP =&gt; SOUS-SEGMENT'!$C$8:$C$1000=$C37)*'ANALYSE - ERP =&gt; SOUS-SEGMENT'!$Q$8:$Q$1000*'ANALYSE - ERP =&gt; SOUS-SEGMENT'!$AE$8:$AE$1000))</f>
        <v>0</v>
      </c>
      <c r="AF37" s="279">
        <f>IF($C37="","",SUMPRODUCT(('ANALYSE - ERP =&gt; SOUS-SEGMENT'!$C$8:$C$1000=$C37)*'ANALYSE - ERP =&gt; SOUS-SEGMENT'!$Q$8:$Q$1000*'ANALYSE - ERP =&gt; SOUS-SEGMENT'!$AF$8:$AF$1000))</f>
        <v>0</v>
      </c>
      <c r="AG37" s="279">
        <f>IF($C37="","",SUMPRODUCT(('ANALYSE - ERP =&gt; SOUS-SEGMENT'!$C$8:$C$1000=$C37)*'ANALYSE - ERP =&gt; SOUS-SEGMENT'!$Q$8:$Q$1000*'ANALYSE - ERP =&gt; SOUS-SEGMENT'!$AG$8:$AG$1000))</f>
        <v>0</v>
      </c>
      <c r="AH37" s="279">
        <f>IF($C37="","",SUMPRODUCT(('ANALYSE - ERP =&gt; SOUS-SEGMENT'!$C$8:$C$1000=$C37)*'ANALYSE - ERP =&gt; SOUS-SEGMENT'!$Q$8:$Q$1000*'ANALYSE - ERP =&gt; SOUS-SEGMENT'!$AH$8:$AH$1000))</f>
        <v>0</v>
      </c>
      <c r="AI37" s="279">
        <f>IF($C37="","",SUMPRODUCT(('ANALYSE - ERP =&gt; SOUS-SEGMENT'!$C$8:$C$1000=$C37)*'ANALYSE - ERP =&gt; SOUS-SEGMENT'!$Q$8:$Q$1000*'ANALYSE - ERP =&gt; SOUS-SEGMENT'!$AI$8:$AI$1000))</f>
        <v>0</v>
      </c>
      <c r="AJ37" s="279">
        <f>IF($C37="","",SUMPRODUCT(('ANALYSE - ERP =&gt; SOUS-SEGMENT'!$C$8:$C$1000=$C37)*'ANALYSE - ERP =&gt; SOUS-SEGMENT'!$Q$8:$Q$1000*'ANALYSE - ERP =&gt; SOUS-SEGMENT'!$AJ$8:$AJ$1000))</f>
        <v>0</v>
      </c>
      <c r="AK37" s="279">
        <f>IF($C37="","",SUMPRODUCT(('ANALYSE - ERP =&gt; SOUS-SEGMENT'!$C$8:$C$1000=$C37)*'ANALYSE - ERP =&gt; SOUS-SEGMENT'!$Q$8:$Q$1000*'ANALYSE - ERP =&gt; SOUS-SEGMENT'!$AK$8:$AK$1000))</f>
        <v>0</v>
      </c>
      <c r="AL37" s="646" t="s">
        <v>6134</v>
      </c>
      <c r="AM37" s="646" t="s">
        <v>6135</v>
      </c>
      <c r="AN37" s="646" t="s">
        <v>2351</v>
      </c>
      <c r="AO37" s="657"/>
      <c r="AP37" s="278" t="str">
        <f>IF($C37="","",IFERROR(SUMPRODUCT(('ANALYSE - ERP =&gt; SOUS-SEGMENT'!$C$8:$C$1000=$C37)*'ANALYSE - ERP =&gt; SOUS-SEGMENT'!$Q$8:$Q$1000*'ANALYSE - ERP =&gt; SOUS-SEGMENT'!$AF$8:$AF$1000*'ANALYSE - ERP =&gt; SOUS-SEGMENT'!$AP$8:$AP$1000)/SUMPRODUCT(('ANALYSE - ERP =&gt; SOUS-SEGMENT'!$C$8:$C$1000=$C37)*'ANALYSE - ERP =&gt; SOUS-SEGMENT'!$Q$8:$Q$1000*'ANALYSE - ERP =&gt; SOUS-SEGMENT'!$AF$8:$AF$1000),""))</f>
        <v/>
      </c>
      <c r="AQ37" s="278" t="str">
        <f>IF($C37="","",IFERROR(SUMPRODUCT(('ANALYSE - ERP =&gt; SOUS-SEGMENT'!$C$8:$C$1000=$C37)*'ANALYSE - ERP =&gt; SOUS-SEGMENT'!$Q$8:$Q$1000*'ANALYSE - ERP =&gt; SOUS-SEGMENT'!$AF$8:$AF$1000*'ANALYSE - ERP =&gt; SOUS-SEGMENT'!$AQ$8:$AQ$1000)/SUMPRODUCT(('ANALYSE - ERP =&gt; SOUS-SEGMENT'!$C$8:$C$1000=$C37)*'ANALYSE - ERP =&gt; SOUS-SEGMENT'!$Q$8:$Q$1000*'ANALYSE - ERP =&gt; SOUS-SEGMENT'!$AF$8:$AF$1000),""))</f>
        <v/>
      </c>
      <c r="AR37" s="278" t="str">
        <f>IF($C37="","",IFERROR(SUMPRODUCT(('ANALYSE - ERP =&gt; SOUS-SEGMENT'!$C$8:$C$1000=$C37)*'ANALYSE - ERP =&gt; SOUS-SEGMENT'!$Q$8:$Q$1000*'ANALYSE - ERP =&gt; SOUS-SEGMENT'!$AF$8:$AF$1000*'ANALYSE - ERP =&gt; SOUS-SEGMENT'!$AR$8:$AR$1000)/SUMPRODUCT(('ANALYSE - ERP =&gt; SOUS-SEGMENT'!$C$8:$C$1000=$C37)*'ANALYSE - ERP =&gt; SOUS-SEGMENT'!$Q$8:$Q$1000*'ANALYSE - ERP =&gt; SOUS-SEGMENT'!$AF$8:$AF$1000),""))</f>
        <v/>
      </c>
      <c r="AS37" s="278" t="str">
        <f>IF($C37="","",IFERROR(SUMPRODUCT(('ANALYSE - ERP =&gt; SOUS-SEGMENT'!$C$8:$C$1000=$C37)*'ANALYSE - ERP =&gt; SOUS-SEGMENT'!$Q$8:$Q$1000*'ANALYSE - ERP =&gt; SOUS-SEGMENT'!$AF$8:$AF$1000*'ANALYSE - ERP =&gt; SOUS-SEGMENT'!$AS$8:$AS$1000)/SUMPRODUCT(('ANALYSE - ERP =&gt; SOUS-SEGMENT'!$C$8:$C$1000=$C37)*'ANALYSE - ERP =&gt; SOUS-SEGMENT'!$Q$8:$Q$1000*'ANALYSE - ERP =&gt; SOUS-SEGMENT'!$AF$8:$AF$1000),""))</f>
        <v/>
      </c>
      <c r="AT37" s="657"/>
      <c r="AU37" s="646" t="s">
        <v>6136</v>
      </c>
      <c r="AV37" s="646" t="s">
        <v>6137</v>
      </c>
      <c r="AW37" s="646" t="s">
        <v>2608</v>
      </c>
      <c r="AX37" s="646" t="s">
        <v>4918</v>
      </c>
      <c r="AY37" s="657"/>
      <c r="AZ37" s="947" t="str">
        <f>IF($C37="","",IFERROR(SUMPRODUCT(('ANALYSE - ERP =&gt; SOUS-SEGMENT'!$C$8:$C$1000=$C37)*'ANALYSE - ERP =&gt; SOUS-SEGMENT'!$Q$8:$Q$1000*'ANALYSE - ERP =&gt; SOUS-SEGMENT'!$AF$8:$AF$1000*'ANALYSE - ERP =&gt; SOUS-SEGMENT'!$AZ$8:$AZ$1000)/SUMPRODUCT(('ANALYSE - ERP =&gt; SOUS-SEGMENT'!$C$8:$C$1000=$C37)*'ANALYSE - ERP =&gt; SOUS-SEGMENT'!$Q$8:$Q$1000*'ANALYSE - ERP =&gt; SOUS-SEGMENT'!$AF$8:$AF$1000),""))</f>
        <v/>
      </c>
      <c r="BA37" s="947" t="str">
        <f>IF($C37="","",IFERROR(SUMPRODUCT(('ANALYSE - ERP =&gt; SOUS-SEGMENT'!$C$8:$C$1000=$C37)*'ANALYSE - ERP =&gt; SOUS-SEGMENT'!$Q$8:$Q$1000*'ANALYSE - ERP =&gt; SOUS-SEGMENT'!$AF$8:$AF$1000*'ANALYSE - ERP =&gt; SOUS-SEGMENT'!$BA$8:$BA$1000)/SUMPRODUCT(('ANALYSE - ERP =&gt; SOUS-SEGMENT'!$C$8:$C$1000=$C37)*'ANALYSE - ERP =&gt; SOUS-SEGMENT'!$Q$8:$Q$1000*'ANALYSE - ERP =&gt; SOUS-SEGMENT'!$AF$8:$AF$1000),""))</f>
        <v/>
      </c>
      <c r="BB37" s="947" t="str">
        <f>IF($C37="","",IFERROR(SUMPRODUCT(('ANALYSE - ERP =&gt; SOUS-SEGMENT'!$C$8:$C$1000=$C37)*'ANALYSE - ERP =&gt; SOUS-SEGMENT'!$Q$8:$Q$1000*'ANALYSE - ERP =&gt; SOUS-SEGMENT'!$AF$8:$AF$1000*'ANALYSE - ERP =&gt; SOUS-SEGMENT'!$BB$8:$BB$1000)/SUMPRODUCT(('ANALYSE - ERP =&gt; SOUS-SEGMENT'!$C$8:$C$1000=$C37)*'ANALYSE - ERP =&gt; SOUS-SEGMENT'!$Q$8:$Q$1000*'ANALYSE - ERP =&gt; SOUS-SEGMENT'!$AF$8:$AF$1000),""))</f>
        <v/>
      </c>
      <c r="BC37" s="947" t="str">
        <f>IF($C37="","",IFERROR(SUMPRODUCT(('ANALYSE - ERP =&gt; SOUS-SEGMENT'!$C$8:$C$1000=$C37)*'ANALYSE - ERP =&gt; SOUS-SEGMENT'!$Q$8:$Q$1000*'ANALYSE - ERP =&gt; SOUS-SEGMENT'!$AF$8:$AF$1000*'ANALYSE - ERP =&gt; SOUS-SEGMENT'!$BC$8:$BC$1000)/SUMPRODUCT(('ANALYSE - ERP =&gt; SOUS-SEGMENT'!$C$8:$C$1000=$C37)*'ANALYSE - ERP =&gt; SOUS-SEGMENT'!$Q$8:$Q$1000*'ANALYSE - ERP =&gt; SOUS-SEGMENT'!$AF$8:$AF$1000),""))</f>
        <v/>
      </c>
      <c r="BD37" s="826">
        <f t="shared" si="1"/>
        <v>0</v>
      </c>
      <c r="BE37" s="283">
        <f>IF($C37="","",SUMPRODUCT(('ANALYSE - ERP =&gt; SOUS-SEGMENT'!$C$8:$C$1000=$C37)*'ANALYSE - ERP =&gt; SOUS-SEGMENT'!$Q$8:$Q$1000*'ANALYSE - ERP =&gt; SOUS-SEGMENT'!$BE$8:$BE$1000))</f>
        <v>0</v>
      </c>
      <c r="BF37" s="283">
        <f>IF($C37="","",SUMPRODUCT(('ANALYSE - ERP =&gt; SOUS-SEGMENT'!$C$8:$C$1000=$C37)*'ANALYSE - ERP =&gt; SOUS-SEGMENT'!$Q$8:$Q$1000*'ANALYSE - ERP =&gt; SOUS-SEGMENT'!$BF$8:$BF$1000))</f>
        <v>0</v>
      </c>
      <c r="BG37" s="283">
        <f>IF($C37="","",SUMPRODUCT(('ANALYSE - ERP =&gt; SOUS-SEGMENT'!$C$8:$C$1000=$C37)*'ANALYSE - ERP =&gt; SOUS-SEGMENT'!$Q$8:$Q$1000*'ANALYSE - ERP =&gt; SOUS-SEGMENT'!$BG$8:$BG$1000))</f>
        <v>0</v>
      </c>
      <c r="BH37" s="283">
        <f>IF($C37="","",SUMPRODUCT(('ANALYSE - ERP =&gt; SOUS-SEGMENT'!$C$8:$C$1000=$C37)*'ANALYSE - ERP =&gt; SOUS-SEGMENT'!$Q$8:$Q$1000*'ANALYSE - ERP =&gt; SOUS-SEGMENT'!$BH$8:$BH$1000))</f>
        <v>0</v>
      </c>
      <c r="BI37" s="826">
        <f t="shared" si="2"/>
        <v>0</v>
      </c>
      <c r="BJ37" s="283">
        <f>IF($C37="","",SUMPRODUCT(('ANALYSE - ERP =&gt; SOUS-SEGMENT'!$C$8:$C$1000=$C37)*'ANALYSE - ERP =&gt; SOUS-SEGMENT'!$Q$8:$Q$1000*'ANALYSE - ERP =&gt; SOUS-SEGMENT'!$BJ$8:$BJ$1000))</f>
        <v>0</v>
      </c>
      <c r="BK37" s="283">
        <f>IF($C37="","",SUMPRODUCT(('ANALYSE - ERP =&gt; SOUS-SEGMENT'!$C$8:$C$1000=$C37)*'ANALYSE - ERP =&gt; SOUS-SEGMENT'!$Q$8:$Q$1000*'ANALYSE - ERP =&gt; SOUS-SEGMENT'!$BK$8:$BK$1000))</f>
        <v>0</v>
      </c>
      <c r="BL37" s="283">
        <f>IF($C37="","",SUMPRODUCT(('ANALYSE - ERP =&gt; SOUS-SEGMENT'!$C$8:$C$1000=$C37)*'ANALYSE - ERP =&gt; SOUS-SEGMENT'!$Q$8:$Q$1000*'ANALYSE - ERP =&gt; SOUS-SEGMENT'!$BL$8:$BL$1000))</f>
        <v>0</v>
      </c>
      <c r="BM37" s="283">
        <f>IF($C37="","",SUMPRODUCT(('ANALYSE - ERP =&gt; SOUS-SEGMENT'!$C$8:$C$1000=$C37)*'ANALYSE - ERP =&gt; SOUS-SEGMENT'!$Q$8:$Q$1000*'ANALYSE - ERP =&gt; SOUS-SEGMENT'!$BM$8:$BM$1000))</f>
        <v>0</v>
      </c>
      <c r="BN37" s="657"/>
      <c r="BO37" s="305">
        <f t="shared" si="3"/>
        <v>0</v>
      </c>
      <c r="BP37" s="305">
        <f t="shared" si="4"/>
        <v>0</v>
      </c>
      <c r="BQ37" s="305">
        <f t="shared" si="5"/>
        <v>0</v>
      </c>
      <c r="BR37" s="581">
        <f t="shared" si="6"/>
        <v>0</v>
      </c>
      <c r="BS37" s="706">
        <f t="shared" si="7"/>
        <v>0</v>
      </c>
      <c r="BT37" s="305">
        <f t="shared" si="8"/>
        <v>0</v>
      </c>
      <c r="BU37" s="305">
        <f t="shared" si="9"/>
        <v>0</v>
      </c>
      <c r="BV37" s="581">
        <f t="shared" si="10"/>
        <v>0</v>
      </c>
      <c r="BW37" s="713">
        <f t="shared" si="11"/>
        <v>0</v>
      </c>
      <c r="BX37" s="306">
        <f t="shared" si="12"/>
        <v>0</v>
      </c>
      <c r="BY37" s="590">
        <f t="shared" si="13"/>
        <v>0</v>
      </c>
      <c r="BZ37" s="713">
        <f t="shared" si="14"/>
        <v>0</v>
      </c>
      <c r="CA37" s="306">
        <f t="shared" si="15"/>
        <v>0</v>
      </c>
      <c r="CB37" s="590">
        <f t="shared" si="16"/>
        <v>0</v>
      </c>
      <c r="CC37" s="706">
        <f t="shared" si="17"/>
        <v>0</v>
      </c>
      <c r="CD37" s="305">
        <f t="shared" si="18"/>
        <v>0</v>
      </c>
      <c r="CE37" s="305">
        <f t="shared" si="19"/>
        <v>0</v>
      </c>
      <c r="CF37" s="581">
        <f t="shared" si="20"/>
        <v>0</v>
      </c>
      <c r="CG37" s="706">
        <f t="shared" si="21"/>
        <v>0</v>
      </c>
      <c r="CH37" s="305">
        <f t="shared" si="22"/>
        <v>0</v>
      </c>
      <c r="CI37" s="305">
        <f t="shared" si="23"/>
        <v>0</v>
      </c>
      <c r="CJ37" s="581">
        <f t="shared" si="24"/>
        <v>0</v>
      </c>
      <c r="CK37" s="719">
        <f t="shared" si="25"/>
        <v>0</v>
      </c>
      <c r="CL37" s="307">
        <f t="shared" si="26"/>
        <v>0</v>
      </c>
      <c r="CM37" s="723">
        <f t="shared" si="27"/>
        <v>0</v>
      </c>
      <c r="CN37" s="719">
        <f t="shared" si="28"/>
        <v>0</v>
      </c>
      <c r="CO37" s="307">
        <f t="shared" si="29"/>
        <v>0</v>
      </c>
      <c r="CP37" s="723">
        <f t="shared" si="30"/>
        <v>0</v>
      </c>
      <c r="CQ37" s="657"/>
      <c r="CR37" s="804" t="str">
        <f>IF($C37="","",IFERROR(SUMPRODUCT(('ANALYSE - ERP =&gt; SOUS-SEGMENT'!$C$8:$C$1000=$C37)*'ANALYSE - ERP =&gt; SOUS-SEGMENT'!$Q$8:$Q$1000*'ANALYSE - ERP =&gt; SOUS-SEGMENT'!$DH$8:$DH$1000*'ANALYSE - ERP =&gt; SOUS-SEGMENT'!$CR$8:$CR$1000)/SUMPRODUCT(('ANALYSE - ERP =&gt; SOUS-SEGMENT'!$C$8:$C$1000=$C37)*'ANALYSE - ERP =&gt; SOUS-SEGMENT'!$Q$8:$Q$1000*'ANALYSE - ERP =&gt; SOUS-SEGMENT'!$DH$8:$DH$1000),""))</f>
        <v/>
      </c>
      <c r="CS37" s="805" t="str">
        <f>IF($C37="","",IFERROR(SUMPRODUCT(('ANALYSE - ERP =&gt; SOUS-SEGMENT'!$C$8:$C$1000=$C37)*'ANALYSE - ERP =&gt; SOUS-SEGMENT'!$Q$8:$Q$1000*'ANALYSE - ERP =&gt; SOUS-SEGMENT'!$DI$8:$DI$1000*'ANALYSE - ERP =&gt; SOUS-SEGMENT'!$CS$8:$CS$1000)/SUMPRODUCT(('ANALYSE - ERP =&gt; SOUS-SEGMENT'!$C$8:$C$1000=$C37)*'ANALYSE - ERP =&gt; SOUS-SEGMENT'!$Q$8:$Q$1000*'ANALYSE - ERP =&gt; SOUS-SEGMENT'!$DI$8:$DI$1000),""))</f>
        <v/>
      </c>
      <c r="CT37" s="805" t="str">
        <f>IF($C37="","",IFERROR(SUMPRODUCT(('ANALYSE - ERP =&gt; SOUS-SEGMENT'!$C$8:$C$1000=$C37)*'ANALYSE - ERP =&gt; SOUS-SEGMENT'!$Q$8:$Q$1000*'ANALYSE - ERP =&gt; SOUS-SEGMENT'!$DJ$8:$DJ$1000*'ANALYSE - ERP =&gt; SOUS-SEGMENT'!$CT$8:$CT$1000)/SUMPRODUCT(('ANALYSE - ERP =&gt; SOUS-SEGMENT'!$C$8:$C$1000=$C37)*'ANALYSE - ERP =&gt; SOUS-SEGMENT'!$Q$8:$Q$1000*'ANALYSE - ERP =&gt; SOUS-SEGMENT'!$DJ$8:$DJ$1000),""))</f>
        <v/>
      </c>
      <c r="CU37" s="806" t="str">
        <f>IF($C37="","",IFERROR(SUMPRODUCT(('ANALYSE - ERP =&gt; SOUS-SEGMENT'!$C$8:$C$1000=$C37)*'ANALYSE - ERP =&gt; SOUS-SEGMENT'!$Q$8:$Q$1000*'ANALYSE - ERP =&gt; SOUS-SEGMENT'!$DK$8:$DK$1000*'ANALYSE - ERP =&gt; SOUS-SEGMENT'!$CU$8:$CU$1000)/SUMPRODUCT(('ANALYSE - ERP =&gt; SOUS-SEGMENT'!$C$8:$C$1000=$C37)*'ANALYSE - ERP =&gt; SOUS-SEGMENT'!$Q$8:$Q$1000*'ANALYSE - ERP =&gt; SOUS-SEGMENT'!$DK$8:$DK$1000),""))</f>
        <v/>
      </c>
      <c r="CV37" s="804" t="str">
        <f>IF($C37="","",IFERROR(SUMPRODUCT(('ANALYSE - ERP =&gt; SOUS-SEGMENT'!$C$8:$C$1000=$C37)*'ANALYSE - ERP =&gt; SOUS-SEGMENT'!$Q$8:$Q$1000*'ANALYSE - ERP =&gt; SOUS-SEGMENT'!$DS$8:$DS$1000*'ANALYSE - ERP =&gt; SOUS-SEGMENT'!$CV$8:$CV$1000)/SUMPRODUCT(('ANALYSE - ERP =&gt; SOUS-SEGMENT'!$C$8:$C$1000=$C37)*'ANALYSE - ERP =&gt; SOUS-SEGMENT'!$Q$8:$Q$1000*'ANALYSE - ERP =&gt; SOUS-SEGMENT'!$DS$8:$DS$1000),""))</f>
        <v/>
      </c>
      <c r="CW37" s="805" t="str">
        <f>IF($C37="","",IFERROR(SUMPRODUCT(('ANALYSE - ERP =&gt; SOUS-SEGMENT'!$C$8:$C$1000=$C37)*'ANALYSE - ERP =&gt; SOUS-SEGMENT'!$Q$8:$Q$1000*'ANALYSE - ERP =&gt; SOUS-SEGMENT'!$DT$8:$DT$1000*'ANALYSE - ERP =&gt; SOUS-SEGMENT'!$CW$8:$CW$1000)/SUMPRODUCT(('ANALYSE - ERP =&gt; SOUS-SEGMENT'!$C$8:$C$1000=$C37)*'ANALYSE - ERP =&gt; SOUS-SEGMENT'!$Q$8:$Q$1000*'ANALYSE - ERP =&gt; SOUS-SEGMENT'!$DT$8:$DT$1000),""))</f>
        <v/>
      </c>
      <c r="CX37" s="806" t="str">
        <f>IF($C37="","",IFERROR(SUMPRODUCT(('ANALYSE - ERP =&gt; SOUS-SEGMENT'!$C$8:$C$1000=$C37)*'ANALYSE - ERP =&gt; SOUS-SEGMENT'!$Q$8:$Q$1000*'ANALYSE - ERP =&gt; SOUS-SEGMENT'!$DU$8:$DU$1000*'ANALYSE - ERP =&gt; SOUS-SEGMENT'!$CX$8:$CX$1000)/SUMPRODUCT(('ANALYSE - ERP =&gt; SOUS-SEGMENT'!$C$8:$C$1000=$C37)*'ANALYSE - ERP =&gt; SOUS-SEGMENT'!$Q$8:$Q$1000*'ANALYSE - ERP =&gt; SOUS-SEGMENT'!$DU$8:$DU$1000),""))</f>
        <v/>
      </c>
      <c r="CY37" s="804" t="str">
        <f>IF($C37="","",IFERROR(SUMPRODUCT(('ANALYSE - ERP =&gt; SOUS-SEGMENT'!$C$8:$C$1000=$C37)*'ANALYSE - ERP =&gt; SOUS-SEGMENT'!$Q$8:$Q$1000*'ANALYSE - ERP =&gt; SOUS-SEGMENT'!$EB$8:$EB$1000*'ANALYSE - ERP =&gt; SOUS-SEGMENT'!$CY$8:$CY$1000)/SUMPRODUCT(('ANALYSE - ERP =&gt; SOUS-SEGMENT'!$C$8:$C$1000=$C37)*'ANALYSE - ERP =&gt; SOUS-SEGMENT'!$Q$8:$Q$1000*'ANALYSE - ERP =&gt; SOUS-SEGMENT'!$EB$8:$EB$1000),""))</f>
        <v/>
      </c>
      <c r="CZ37" s="805" t="str">
        <f>IF($C37="","",IFERROR(SUMPRODUCT(('ANALYSE - ERP =&gt; SOUS-SEGMENT'!$C$8:$C$1000=$C37)*'ANALYSE - ERP =&gt; SOUS-SEGMENT'!$Q$8:$Q$1000*'ANALYSE - ERP =&gt; SOUS-SEGMENT'!$EC$8:$EC$1000*'ANALYSE - ERP =&gt; SOUS-SEGMENT'!$CZ$8:$CZ$1000)/SUMPRODUCT(('ANALYSE - ERP =&gt; SOUS-SEGMENT'!$C$8:$C$1000=$C37)*'ANALYSE - ERP =&gt; SOUS-SEGMENT'!$Q$8:$Q$1000*'ANALYSE - ERP =&gt; SOUS-SEGMENT'!$EC$8:$EC$1000),""))</f>
        <v/>
      </c>
      <c r="DA37" s="805" t="str">
        <f>IF($C37="","",IFERROR(SUMPRODUCT(('ANALYSE - ERP =&gt; SOUS-SEGMENT'!$C$8:$C$1000=$C37)*'ANALYSE - ERP =&gt; SOUS-SEGMENT'!$Q$8:$Q$1000*'ANALYSE - ERP =&gt; SOUS-SEGMENT'!$ED$8:$ED$1000*'ANALYSE - ERP =&gt; SOUS-SEGMENT'!$DA$8:$DA$1000)/SUMPRODUCT(('ANALYSE - ERP =&gt; SOUS-SEGMENT'!$C$8:$C$1000=$C37)*'ANALYSE - ERP =&gt; SOUS-SEGMENT'!$Q$8:$Q$1000*'ANALYSE - ERP =&gt; SOUS-SEGMENT'!$ED$8:$ED$1000),""))</f>
        <v/>
      </c>
      <c r="DB37" s="806" t="str">
        <f>IF($C37="","",IFERROR(SUMPRODUCT(('ANALYSE - ERP =&gt; SOUS-SEGMENT'!$C$8:$C$1000=$C37)*'ANALYSE - ERP =&gt; SOUS-SEGMENT'!$Q$8:$Q$1000*'ANALYSE - ERP =&gt; SOUS-SEGMENT'!$EE$8:$EE$1000*'ANALYSE - ERP =&gt; SOUS-SEGMENT'!$DB$8:$DB$1000)/SUMPRODUCT(('ANALYSE - ERP =&gt; SOUS-SEGMENT'!$C$8:$C$1000=$C37)*'ANALYSE - ERP =&gt; SOUS-SEGMENT'!$Q$8:$Q$1000*'ANALYSE - ERP =&gt; SOUS-SEGMENT'!$EE$8:$EE$1000),""))</f>
        <v/>
      </c>
      <c r="DC37" s="804" t="str">
        <f>IF($C37="","",IFERROR(SUMPRODUCT(('ANALYSE - ERP =&gt; SOUS-SEGMENT'!$C$8:$C$1000=$C37)*'ANALYSE - ERP =&gt; SOUS-SEGMENT'!$Q$8:$Q$1000*'ANALYSE - ERP =&gt; SOUS-SEGMENT'!$EM$8:$EM$1000*'ANALYSE - ERP =&gt; SOUS-SEGMENT'!$DC$8:$DC$1000)/SUMPRODUCT(('ANALYSE - ERP =&gt; SOUS-SEGMENT'!$C$8:$C$1000=$C37)*'ANALYSE - ERP =&gt; SOUS-SEGMENT'!$Q$8:$Q$1000*'ANALYSE - ERP =&gt; SOUS-SEGMENT'!$EM$8:$EM$1000),""))</f>
        <v/>
      </c>
      <c r="DD37" s="805" t="str">
        <f>IF($C37="","",IFERROR(SUMPRODUCT(('ANALYSE - ERP =&gt; SOUS-SEGMENT'!$C$8:$C$1000=$C37)*'ANALYSE - ERP =&gt; SOUS-SEGMENT'!$Q$8:$Q$1000*'ANALYSE - ERP =&gt; SOUS-SEGMENT'!$EN$8:$EN$1000*'ANALYSE - ERP =&gt; SOUS-SEGMENT'!$DD$8:$DD$1000)/SUMPRODUCT(('ANALYSE - ERP =&gt; SOUS-SEGMENT'!$C$8:$C$1000=$C37)*'ANALYSE - ERP =&gt; SOUS-SEGMENT'!$Q$8:$Q$1000*'ANALYSE - ERP =&gt; SOUS-SEGMENT'!$EN$8:$EN$1000),""))</f>
        <v/>
      </c>
      <c r="DE37" s="806" t="str">
        <f>IF($C37="","",IFERROR(SUMPRODUCT(('ANALYSE - ERP =&gt; SOUS-SEGMENT'!$C$8:$C$1000=$C37)*'ANALYSE - ERP =&gt; SOUS-SEGMENT'!$Q$8:$Q$1000*'ANALYSE - ERP =&gt; SOUS-SEGMENT'!$EO$8:$EO$1000*'ANALYSE - ERP =&gt; SOUS-SEGMENT'!$DE$8:$DE$1000)/SUMPRODUCT(('ANALYSE - ERP =&gt; SOUS-SEGMENT'!$C$8:$C$1000=$C37)*'ANALYSE - ERP =&gt; SOUS-SEGMENT'!$Q$8:$Q$1000*'ANALYSE - ERP =&gt; SOUS-SEGMENT'!$EO$8:$EO$1000),""))</f>
        <v/>
      </c>
      <c r="DF37" s="919" t="s">
        <v>4919</v>
      </c>
      <c r="DG37" s="657"/>
      <c r="DH37" s="308">
        <f>IF($C37="","",SUMPRODUCT(('ANALYSE - ERP =&gt; SOUS-SEGMENT'!$C$8:$C$1000=$C37)*'ANALYSE - ERP =&gt; SOUS-SEGMENT'!$Q$8:$Q$1000*'ANALYSE - ERP =&gt; SOUS-SEGMENT'!$DH$8:$DH$1000))</f>
        <v>0</v>
      </c>
      <c r="DI37" s="308">
        <f>IF($C37="","",SUMPRODUCT(('ANALYSE - ERP =&gt; SOUS-SEGMENT'!$C$8:$C$1000=$C37)*'ANALYSE - ERP =&gt; SOUS-SEGMENT'!$Q$8:$Q$1000*'ANALYSE - ERP =&gt; SOUS-SEGMENT'!$DI$8:$DI$1000))</f>
        <v>0</v>
      </c>
      <c r="DJ37" s="308">
        <f>IF($C37="","",SUMPRODUCT(('ANALYSE - ERP =&gt; SOUS-SEGMENT'!$C$8:$C$1000=$C37)*'ANALYSE - ERP =&gt; SOUS-SEGMENT'!$Q$8:$Q$1000*'ANALYSE - ERP =&gt; SOUS-SEGMENT'!$DJ$8:$DJ$1000))</f>
        <v>0</v>
      </c>
      <c r="DK37" s="308">
        <f>IF($C37="","",SUMPRODUCT(('ANALYSE - ERP =&gt; SOUS-SEGMENT'!$C$8:$C$1000=$C37)*'ANALYSE - ERP =&gt; SOUS-SEGMENT'!$Q$8:$Q$1000*'ANALYSE - ERP =&gt; SOUS-SEGMENT'!$DK$8:$DK$1000))</f>
        <v>0</v>
      </c>
      <c r="DL37" s="646" t="s">
        <v>6138</v>
      </c>
      <c r="DM37" s="308">
        <f>IF($C37="","",SUMPRODUCT(('ANALYSE - ERP =&gt; SOUS-SEGMENT'!$C$8:$C$1000=$C37)*'ANALYSE - ERP =&gt; SOUS-SEGMENT'!$Q$8:$Q$1000*'ANALYSE - ERP =&gt; SOUS-SEGMENT'!$DM$8:$DM$1000))</f>
        <v>0</v>
      </c>
      <c r="DN37" s="308">
        <f>IF($C37="","",SUMPRODUCT(('ANALYSE - ERP =&gt; SOUS-SEGMENT'!$C$8:$C$1000=$C37)*'ANALYSE - ERP =&gt; SOUS-SEGMENT'!$Q$8:$Q$1000*'ANALYSE - ERP =&gt; SOUS-SEGMENT'!$DN$8:$DN$1000))</f>
        <v>0</v>
      </c>
      <c r="DO37" s="308">
        <f>IF($C37="","",SUMPRODUCT(('ANALYSE - ERP =&gt; SOUS-SEGMENT'!$C$8:$C$1000=$C37)*'ANALYSE - ERP =&gt; SOUS-SEGMENT'!$Q$8:$Q$1000*'ANALYSE - ERP =&gt; SOUS-SEGMENT'!$DO$8:$DO$1000))</f>
        <v>0</v>
      </c>
      <c r="DP37" s="308">
        <f>IF($C37="","",SUMPRODUCT(('ANALYSE - ERP =&gt; SOUS-SEGMENT'!$C$8:$C$1000=$C37)*'ANALYSE - ERP =&gt; SOUS-SEGMENT'!$Q$8:$Q$1000*'ANALYSE - ERP =&gt; SOUS-SEGMENT'!$DP$8:$DP$1000))</f>
        <v>0</v>
      </c>
      <c r="DQ37" s="646" t="s">
        <v>3369</v>
      </c>
      <c r="DR37" s="657"/>
      <c r="DS37" s="308">
        <f>IF($C37="","",SUMPRODUCT(('ANALYSE - ERP =&gt; SOUS-SEGMENT'!$C$8:$C$1000=$C37)*'ANALYSE - ERP =&gt; SOUS-SEGMENT'!$Q$8:$Q$1000*'ANALYSE - ERP =&gt; SOUS-SEGMENT'!$DS$8:$DS$1000))</f>
        <v>0</v>
      </c>
      <c r="DT37" s="308">
        <f>IF($C37="","",SUMPRODUCT(('ANALYSE - ERP =&gt; SOUS-SEGMENT'!$C$8:$C$1000=$C37)*'ANALYSE - ERP =&gt; SOUS-SEGMENT'!$Q$8:$Q$1000*'ANALYSE - ERP =&gt; SOUS-SEGMENT'!$DT$8:$DT$1000))</f>
        <v>0</v>
      </c>
      <c r="DU37" s="308">
        <f>IF($C37="","",SUMPRODUCT(('ANALYSE - ERP =&gt; SOUS-SEGMENT'!$C$8:$C$1000=$C37)*'ANALYSE - ERP =&gt; SOUS-SEGMENT'!$Q$8:$Q$1000*'ANALYSE - ERP =&gt; SOUS-SEGMENT'!$DU$8:$DU$1000))</f>
        <v>0</v>
      </c>
      <c r="DV37" s="646" t="s">
        <v>6139</v>
      </c>
      <c r="DW37" s="308">
        <f>IF($C37="","",SUMPRODUCT(('ANALYSE - ERP =&gt; SOUS-SEGMENT'!$C$8:$C$1000=$C37)*'ANALYSE - ERP =&gt; SOUS-SEGMENT'!$Q$8:$Q$1000*'ANALYSE - ERP =&gt; SOUS-SEGMENT'!$DW$8:$DW$1000))</f>
        <v>0</v>
      </c>
      <c r="DX37" s="308">
        <f>IF($C37="","",SUMPRODUCT(('ANALYSE - ERP =&gt; SOUS-SEGMENT'!$C$8:$C$1000=$C37)*'ANALYSE - ERP =&gt; SOUS-SEGMENT'!$Q$8:$Q$1000*'ANALYSE - ERP =&gt; SOUS-SEGMENT'!$DX$8:$DX$1000))</f>
        <v>0</v>
      </c>
      <c r="DY37" s="308">
        <f>IF($C37="","",SUMPRODUCT(('ANALYSE - ERP =&gt; SOUS-SEGMENT'!$C$8:$C$1000=$C37)*'ANALYSE - ERP =&gt; SOUS-SEGMENT'!$Q$8:$Q$1000*'ANALYSE - ERP =&gt; SOUS-SEGMENT'!$DY$8:$DY$1000))</f>
        <v>0</v>
      </c>
      <c r="DZ37" s="646" t="s">
        <v>6140</v>
      </c>
      <c r="EA37" s="657"/>
      <c r="EB37" s="308">
        <f>IF($C37="","",SUMPRODUCT(('ANALYSE - ERP =&gt; SOUS-SEGMENT'!$C$8:$C$1000=$C37)*'ANALYSE - ERP =&gt; SOUS-SEGMENT'!$Q$8:$Q$1000*'ANALYSE - ERP =&gt; SOUS-SEGMENT'!$EB$8:$EB$1000))</f>
        <v>0</v>
      </c>
      <c r="EC37" s="308">
        <f>IF($C37="","",SUMPRODUCT(('ANALYSE - ERP =&gt; SOUS-SEGMENT'!$C$8:$C$1000=$C37)*'ANALYSE - ERP =&gt; SOUS-SEGMENT'!$Q$8:$Q$1000*'ANALYSE - ERP =&gt; SOUS-SEGMENT'!$EC$8:$EC$1000))</f>
        <v>0</v>
      </c>
      <c r="ED37" s="308">
        <f>IF($C37="","",SUMPRODUCT(('ANALYSE - ERP =&gt; SOUS-SEGMENT'!$C$8:$C$1000=$C37)*'ANALYSE - ERP =&gt; SOUS-SEGMENT'!$Q$8:$Q$1000*'ANALYSE - ERP =&gt; SOUS-SEGMENT'!$ED$8:$ED$1000))</f>
        <v>0</v>
      </c>
      <c r="EE37" s="308">
        <f>IF($C37="","",SUMPRODUCT(('ANALYSE - ERP =&gt; SOUS-SEGMENT'!$C$8:$C$1000=$C37)*'ANALYSE - ERP =&gt; SOUS-SEGMENT'!$Q$8:$Q$1000*'ANALYSE - ERP =&gt; SOUS-SEGMENT'!$EE$8:$EE$1000))</f>
        <v>0</v>
      </c>
      <c r="EF37" s="646" t="s">
        <v>6141</v>
      </c>
      <c r="EG37" s="308">
        <f>IF($C37="","",SUMPRODUCT(('ANALYSE - ERP =&gt; SOUS-SEGMENT'!$C$8:$C$1000=$C37)*'ANALYSE - ERP =&gt; SOUS-SEGMENT'!$Q$8:$Q$1000*'ANALYSE - ERP =&gt; SOUS-SEGMENT'!$EG$8:$EG$1000))</f>
        <v>0</v>
      </c>
      <c r="EH37" s="308">
        <f>IF($C37="","",SUMPRODUCT(('ANALYSE - ERP =&gt; SOUS-SEGMENT'!$C$8:$C$1000=$C37)*'ANALYSE - ERP =&gt; SOUS-SEGMENT'!$Q$8:$Q$1000*'ANALYSE - ERP =&gt; SOUS-SEGMENT'!$EH$8:$EH$1000))</f>
        <v>0</v>
      </c>
      <c r="EI37" s="308">
        <f>IF($C37="","",SUMPRODUCT(('ANALYSE - ERP =&gt; SOUS-SEGMENT'!$C$8:$C$1000=$C37)*'ANALYSE - ERP =&gt; SOUS-SEGMENT'!$Q$8:$Q$1000*'ANALYSE - ERP =&gt; SOUS-SEGMENT'!$EI$8:$EI$1000))</f>
        <v>0</v>
      </c>
      <c r="EJ37" s="308">
        <f>IF($C37="","",SUMPRODUCT(('ANALYSE - ERP =&gt; SOUS-SEGMENT'!$C$8:$C$1000=$C37)*'ANALYSE - ERP =&gt; SOUS-SEGMENT'!$Q$8:$Q$1000*'ANALYSE - ERP =&gt; SOUS-SEGMENT'!$EJ$8:$EJ$1000))</f>
        <v>0</v>
      </c>
      <c r="EK37" s="936" t="s">
        <v>3373</v>
      </c>
      <c r="EL37" s="657"/>
      <c r="EM37" s="308">
        <f>IF($C37="","",SUMPRODUCT(('ANALYSE - ERP =&gt; SOUS-SEGMENT'!$C$8:$C$1000=$C37)*'ANALYSE - ERP =&gt; SOUS-SEGMENT'!$Q$8:$Q$1000*'ANALYSE - ERP =&gt; SOUS-SEGMENT'!$EM$8:$EM$1000))</f>
        <v>0</v>
      </c>
      <c r="EN37" s="310">
        <f>IF($C37="","",SUMPRODUCT(('ANALYSE - ERP =&gt; SOUS-SEGMENT'!$C$8:$C$1000=$C37)*'ANALYSE - ERP =&gt; SOUS-SEGMENT'!$Q$8:$Q$1000*'ANALYSE - ERP =&gt; SOUS-SEGMENT'!$EN$8:$EN$1000))</f>
        <v>0</v>
      </c>
      <c r="EO37" s="310">
        <f>IF($C37="","",SUMPRODUCT(('ANALYSE - ERP =&gt; SOUS-SEGMENT'!$C$8:$C$1000=$C37)*'ANALYSE - ERP =&gt; SOUS-SEGMENT'!$Q$8:$Q$1000*'ANALYSE - ERP =&gt; SOUS-SEGMENT'!$EO$8:$EO$1000))</f>
        <v>0</v>
      </c>
      <c r="EP37" s="646" t="s">
        <v>6142</v>
      </c>
      <c r="EQ37" s="308">
        <f>IF($C37="","",SUMPRODUCT(('ANALYSE - ERP =&gt; SOUS-SEGMENT'!$C$8:$C$1000=$C37)*'ANALYSE - ERP =&gt; SOUS-SEGMENT'!$Q$8:$Q$1000*'ANALYSE - ERP =&gt; SOUS-SEGMENT'!$EQ$8:$EQ$1000))</f>
        <v>0</v>
      </c>
      <c r="ER37" s="310">
        <f>IF($C37="","",SUMPRODUCT(('ANALYSE - ERP =&gt; SOUS-SEGMENT'!$C$8:$C$1000=$C37)*'ANALYSE - ERP =&gt; SOUS-SEGMENT'!$Q$8:$Q$1000*'ANALYSE - ERP =&gt; SOUS-SEGMENT'!$ER$8:$ER$1000))</f>
        <v>0</v>
      </c>
      <c r="ES37" s="310">
        <f>IF($C37="","",SUMPRODUCT(('ANALYSE - ERP =&gt; SOUS-SEGMENT'!$C$8:$C$1000=$C37)*'ANALYSE - ERP =&gt; SOUS-SEGMENT'!$Q$8:$Q$1000*'ANALYSE - ERP =&gt; SOUS-SEGMENT'!$ES$8:$ES$1000))</f>
        <v>0</v>
      </c>
      <c r="ET37" s="646" t="s">
        <v>3375</v>
      </c>
      <c r="EU37" s="657"/>
      <c r="EV37" s="728">
        <f t="shared" si="31"/>
        <v>0</v>
      </c>
      <c r="EW37" s="728">
        <f t="shared" si="32"/>
        <v>0</v>
      </c>
      <c r="EX37" s="311">
        <f t="shared" si="33"/>
        <v>0</v>
      </c>
      <c r="EY37" s="311">
        <f t="shared" si="34"/>
        <v>0</v>
      </c>
      <c r="EZ37" s="311">
        <f t="shared" si="35"/>
        <v>0</v>
      </c>
      <c r="FA37" s="311">
        <f t="shared" si="36"/>
        <v>0</v>
      </c>
      <c r="FB37" s="311">
        <f>IF($C37="","",SUMPRODUCT(('ANALYSE - ERP =&gt; SOUS-SEGMENT'!$C$8:$C$1000=$C37)*'ANALYSE - ERP =&gt; SOUS-SEGMENT'!$Q$8:$Q$1000*'ANALYSE - ERP =&gt; SOUS-SEGMENT'!$FB$8:$FB$1000))</f>
        <v>0</v>
      </c>
      <c r="FC37" s="311">
        <f>IF($C37="","",SUMPRODUCT(('ANALYSE - ERP =&gt; SOUS-SEGMENT'!$C$8:$C$1000=$C37)*'ANALYSE - ERP =&gt; SOUS-SEGMENT'!$Q$8:$Q$1000*'ANALYSE - ERP =&gt; SOUS-SEGMENT'!$FC$8:$FC$1000))</f>
        <v>0</v>
      </c>
      <c r="FD37" s="311">
        <f t="shared" si="37"/>
        <v>0</v>
      </c>
      <c r="FE37" s="311">
        <f>IF($C37="","",SUMPRODUCT(('ANALYSE - ERP =&gt; SOUS-SEGMENT'!$C$8:$C$1000=$C37)*'ANALYSE - ERP =&gt; SOUS-SEGMENT'!$Q$8:$Q$1000*'ANALYSE - ERP =&gt; SOUS-SEGMENT'!$FE$8:$FE$1000))</f>
        <v>0</v>
      </c>
      <c r="FF37" s="311">
        <f>IF($C37="","",SUMPRODUCT(('ANALYSE - ERP =&gt; SOUS-SEGMENT'!$C$8:$C$1000=$C37)*'ANALYSE - ERP =&gt; SOUS-SEGMENT'!$Q$8:$Q$1000*'ANALYSE - ERP =&gt; SOUS-SEGMENT'!$FF$8:$FF$1000))</f>
        <v>0</v>
      </c>
      <c r="FG37" s="311">
        <f t="shared" si="38"/>
        <v>0</v>
      </c>
      <c r="FH37" s="311">
        <f>IF($C37="","",SUMPRODUCT(('ANALYSE - ERP =&gt; SOUS-SEGMENT'!$C$8:$C$1000=$C37)*'ANALYSE - ERP =&gt; SOUS-SEGMENT'!$Q$8:$Q$1000*'ANALYSE - ERP =&gt; SOUS-SEGMENT'!$FH$8:$FH$1000))</f>
        <v>0</v>
      </c>
      <c r="FI37" s="311">
        <f>IF($C37="","",SUMPRODUCT(('ANALYSE - ERP =&gt; SOUS-SEGMENT'!$C$8:$C$1000=$C37)*'ANALYSE - ERP =&gt; SOUS-SEGMENT'!$Q$8:$Q$1000*'ANALYSE - ERP =&gt; SOUS-SEGMENT'!$FI$8:$FI$1000))</f>
        <v>0</v>
      </c>
      <c r="FJ37" s="311">
        <f t="shared" si="39"/>
        <v>0</v>
      </c>
      <c r="FK37" s="311">
        <f>IF($C37="","",SUMPRODUCT(('ANALYSE - ERP =&gt; SOUS-SEGMENT'!$C$8:$C$1000=$C37)*'ANALYSE - ERP =&gt; SOUS-SEGMENT'!$Q$8:$Q$1000*'ANALYSE - ERP =&gt; SOUS-SEGMENT'!$FK$8:$FK$1000))</f>
        <v>0</v>
      </c>
      <c r="FL37" s="311">
        <f>IF($C37="","",SUMPRODUCT(('ANALYSE - ERP =&gt; SOUS-SEGMENT'!$C$8:$C$1000=$C37)*'ANALYSE - ERP =&gt; SOUS-SEGMENT'!$Q$8:$Q$1000*'ANALYSE - ERP =&gt; SOUS-SEGMENT'!$FL$8:$FL$1000))</f>
        <v>0</v>
      </c>
      <c r="FM37" s="657"/>
      <c r="FN37" s="954" t="s">
        <v>2649</v>
      </c>
      <c r="FO37" s="728" t="str">
        <f>IF($C37="","",IFERROR(SUMPRODUCT(('ANALYSE - ERP =&gt; SOUS-SEGMENT'!$C$8:$C$1000=$C37)*'ANALYSE - ERP =&gt; SOUS-SEGMENT'!$Q$8:$Q$1000*'ANALYSE - ERP =&gt; SOUS-SEGMENT'!$AF$8:$AF$1000*'ANALYSE - ERP =&gt; SOUS-SEGMENT'!$FO$8:$FO$1000)/SUMPRODUCT(('ANALYSE - ERP =&gt; SOUS-SEGMENT'!$C$8:$C$1000=$C37)*'ANALYSE - ERP =&gt; SOUS-SEGMENT'!$Q$8:$Q$1000*'ANALYSE - ERP =&gt; SOUS-SEGMENT'!$AF$8:$AF$1000),""))</f>
        <v/>
      </c>
      <c r="FP37" s="729" t="str">
        <f>IF($C37="","",IFERROR(SUMPRODUCT(('ANALYSE - ERP =&gt; SOUS-SEGMENT'!$C$8:$C$1000=$C37)*'ANALYSE - ERP =&gt; SOUS-SEGMENT'!$Q$8:$Q$1000*'ANALYSE - ERP =&gt; SOUS-SEGMENT'!$AF$8:$AF$1000*'ANALYSE - ERP =&gt; SOUS-SEGMENT'!$FP$8:$FP$1000)/SUMPRODUCT(('ANALYSE - ERP =&gt; SOUS-SEGMENT'!$C$8:$C$1000=$C37)*'ANALYSE - ERP =&gt; SOUS-SEGMENT'!$Q$8:$Q$1000*'ANALYSE - ERP =&gt; SOUS-SEGMENT'!$AF$8:$AF$1000),""))</f>
        <v/>
      </c>
      <c r="FQ37" s="954" t="s">
        <v>3154</v>
      </c>
      <c r="FR37" s="657"/>
      <c r="FS37" s="865" t="str">
        <f>IF($C37="","",IFERROR(SUMPRODUCT(('ANALYSE - ERP =&gt; SOUS-SEGMENT'!$C$8:$C$1000=$C37)*'ANALYSE - ERP =&gt; SOUS-SEGMENT'!$Q$8:$Q$1000*'ANALYSE - ERP =&gt; SOUS-SEGMENT'!$EX$8:$EX$1000*'ANALYSE - ERP =&gt; SOUS-SEGMENT'!$FS$8:$FS$1000)/SUMPRODUCT(('ANALYSE - ERP =&gt; SOUS-SEGMENT'!$C$8:$C$1000=$C37)*'ANALYSE - ERP =&gt; SOUS-SEGMENT'!$Q$8:$Q$1000*'ANALYSE - ERP =&gt; SOUS-SEGMENT'!$EX$8:$EX$1000),""))</f>
        <v/>
      </c>
      <c r="FT37" s="312" t="e">
        <f>IF($C37="","",RANK($FS37,$FS$8:$FS$43,0)+COUNTIF($FS$8:$FS37,$FS37)-1)</f>
        <v>#VALUE!</v>
      </c>
      <c r="FU37" s="865" t="str">
        <f>IF($C37="","",IFERROR(SUMPRODUCT(('ANALYSE - ERP =&gt; SOUS-SEGMENT'!$C$8:$C$1000=$C37)*'ANALYSE - ERP =&gt; SOUS-SEGMENT'!$Q$8:$Q$1000*'ANALYSE - ERP =&gt; SOUS-SEGMENT'!$EY$8:$EY$1000*'ANALYSE - ERP =&gt; SOUS-SEGMENT'!$FU$8:$FU$1000)/SUMPRODUCT(('ANALYSE - ERP =&gt; SOUS-SEGMENT'!$C$8:$C$1000=$C37)*'ANALYSE - ERP =&gt; SOUS-SEGMENT'!$Q$8:$Q$1000*'ANALYSE - ERP =&gt; SOUS-SEGMENT'!$EY$8:$EY$1000),""))</f>
        <v/>
      </c>
      <c r="FV37" s="312" t="e">
        <f>IF($C37="","",RANK($FU37,$FU$8:$FU$43,0)+COUNTIF($FU$8:$FU37,$FU37)-1)</f>
        <v>#VALUE!</v>
      </c>
      <c r="FW37" s="865" t="str">
        <f>IF($C37="","",IFERROR(SUMPRODUCT(('ANALYSE - ERP =&gt; SOUS-SEGMENT'!$C$8:$C$1000=$C37)*'ANALYSE - ERP =&gt; SOUS-SEGMENT'!$Q$8:$Q$1000*'ANALYSE - ERP =&gt; SOUS-SEGMENT'!$EZ$8:$EZ$1000*'ANALYSE - ERP =&gt; SOUS-SEGMENT'!$FW$8:$FW$1000)/SUMPRODUCT(('ANALYSE - ERP =&gt; SOUS-SEGMENT'!$C$8:$C$1000=$C37)*'ANALYSE - ERP =&gt; SOUS-SEGMENT'!$Q$8:$Q$1000*'ANALYSE - ERP =&gt; SOUS-SEGMENT'!$EZ$8:$EZ$1000),""))</f>
        <v/>
      </c>
      <c r="FX37" s="312" t="e">
        <f>IF($C37="","",RANK($FW37,$FW$8:$FW$43,0)+COUNTIF($FW$8:$FW37,$FW37)-1)</f>
        <v>#VALUE!</v>
      </c>
      <c r="FY37" s="657"/>
      <c r="FZ37" s="646" t="s">
        <v>6143</v>
      </c>
      <c r="GA37" s="646" t="s">
        <v>4925</v>
      </c>
      <c r="GB37" s="646" t="s">
        <v>4926</v>
      </c>
      <c r="GC37" s="646" t="s">
        <v>4927</v>
      </c>
      <c r="GD37" s="646" t="s">
        <v>4928</v>
      </c>
      <c r="GE37" s="646" t="s">
        <v>4929</v>
      </c>
      <c r="GF37" s="276" t="s">
        <v>5831</v>
      </c>
      <c r="GG37" s="657"/>
      <c r="GH37" s="311">
        <f t="shared" si="40"/>
        <v>0</v>
      </c>
      <c r="GI37" s="311">
        <f>IF($C37="","",SUMPRODUCT(('ANALYSE - ERP =&gt; SOUS-SEGMENT'!$C$8:$C$1000=$C37)*'ANALYSE - ERP =&gt; SOUS-SEGMENT'!$Q$8:$Q$1000*'ANALYSE - ERP =&gt; SOUS-SEGMENT'!$GI$8:$GI$1000))</f>
        <v>0</v>
      </c>
      <c r="GJ37" s="311">
        <f>IF($C37="","",SUMPRODUCT(('ANALYSE - ERP =&gt; SOUS-SEGMENT'!$C$8:$C$1000=$C37)*'ANALYSE - ERP =&gt; SOUS-SEGMENT'!$Q$8:$Q$1000*'ANALYSE - ERP =&gt; SOUS-SEGMENT'!$GJ$8:$GJ$1000))</f>
        <v>0</v>
      </c>
      <c r="GK37" s="311">
        <f t="shared" si="41"/>
        <v>0</v>
      </c>
      <c r="GL37" s="311">
        <f>IF($C37="","",SUMPRODUCT(('ANALYSE - ERP =&gt; SOUS-SEGMENT'!$C$8:$C$1000=$C37)*'ANALYSE - ERP =&gt; SOUS-SEGMENT'!$Q$8:$Q$1000*'ANALYSE - ERP =&gt; SOUS-SEGMENT'!$GL$8:$GL$1000))</f>
        <v>0</v>
      </c>
      <c r="GM37" s="311">
        <f>IF($C37="","",SUMPRODUCT(('ANALYSE - ERP =&gt; SOUS-SEGMENT'!$C$8:$C$1000=$C37)*'ANALYSE - ERP =&gt; SOUS-SEGMENT'!$Q$8:$Q$1000*'ANALYSE - ERP =&gt; SOUS-SEGMENT'!$GM$8:$GM$1000))</f>
        <v>0</v>
      </c>
      <c r="GN37" s="311">
        <f t="shared" si="42"/>
        <v>0</v>
      </c>
      <c r="GO37" s="311">
        <f>IF($C37="","",SUMPRODUCT(('ANALYSE - ERP =&gt; SOUS-SEGMENT'!$C$8:$C$1000=$C37)*'ANALYSE - ERP =&gt; SOUS-SEGMENT'!$Q$8:$Q$1000*'ANALYSE - ERP =&gt; SOUS-SEGMENT'!$GO$8:$GO$1000))</f>
        <v>0</v>
      </c>
      <c r="GP37" s="311">
        <f>IF($C37="","",SUMPRODUCT(('ANALYSE - ERP =&gt; SOUS-SEGMENT'!$C$8:$C$1000=$C37)*'ANALYSE - ERP =&gt; SOUS-SEGMENT'!$Q$8:$Q$1000*'ANALYSE - ERP =&gt; SOUS-SEGMENT'!$GP$8:$GP$1000))</f>
        <v>0</v>
      </c>
      <c r="GQ37" s="311">
        <f t="shared" si="43"/>
        <v>0</v>
      </c>
      <c r="GR37" s="311">
        <f>IF($C37="","",SUMPRODUCT(('ANALYSE - ERP =&gt; SOUS-SEGMENT'!$C$8:$C$1000=$C37)*'ANALYSE - ERP =&gt; SOUS-SEGMENT'!$Q$8:$Q$1000*'ANALYSE - ERP =&gt; SOUS-SEGMENT'!$GR$8:$GR$1000))</f>
        <v>0</v>
      </c>
      <c r="GS37" s="311">
        <f>IF($C37="","",SUMPRODUCT(('ANALYSE - ERP =&gt; SOUS-SEGMENT'!$C$8:$C$1000=$C37)*'ANALYSE - ERP =&gt; SOUS-SEGMENT'!$Q$8:$Q$1000*'ANALYSE - ERP =&gt; SOUS-SEGMENT'!$GS$8:$GS$1000))</f>
        <v>0</v>
      </c>
      <c r="GT37" s="311">
        <f t="shared" si="44"/>
        <v>0</v>
      </c>
      <c r="GU37" s="311">
        <f>IF($C37="","",SUMPRODUCT(('ANALYSE - ERP =&gt; SOUS-SEGMENT'!$C$8:$C$1000=$C37)*'ANALYSE - ERP =&gt; SOUS-SEGMENT'!$Q$8:$Q$1000*'ANALYSE - ERP =&gt; SOUS-SEGMENT'!$GU$8:$GU$1000))</f>
        <v>0</v>
      </c>
      <c r="GV37" s="311">
        <f>IF($C37="","",SUMPRODUCT(('ANALYSE - ERP =&gt; SOUS-SEGMENT'!$C$8:$C$1000=$C37)*'ANALYSE - ERP =&gt; SOUS-SEGMENT'!$Q$8:$Q$1000*'ANALYSE - ERP =&gt; SOUS-SEGMENT'!$GV$8:$GV$1000))</f>
        <v>0</v>
      </c>
      <c r="GW37" s="311">
        <f t="shared" si="45"/>
        <v>0</v>
      </c>
      <c r="GX37" s="311">
        <f>IF($C37="","",SUMPRODUCT(('ANALYSE - ERP =&gt; SOUS-SEGMENT'!$C$8:$C$1000=$C37)*'ANALYSE - ERP =&gt; SOUS-SEGMENT'!$Q$8:$Q$1000*'ANALYSE - ERP =&gt; SOUS-SEGMENT'!$GX$8:$GX$1000))</f>
        <v>0</v>
      </c>
      <c r="GY37" s="311">
        <f>IF($C37="","",SUMPRODUCT(('ANALYSE - ERP =&gt; SOUS-SEGMENT'!$C$8:$C$1000=$C37)*'ANALYSE - ERP =&gt; SOUS-SEGMENT'!$Q$8:$Q$1000*'ANALYSE - ERP =&gt; SOUS-SEGMENT'!$GY$8:$GY$1000))</f>
        <v>0</v>
      </c>
      <c r="GZ37" s="311">
        <f t="shared" si="46"/>
        <v>0</v>
      </c>
      <c r="HA37" s="311">
        <f>IF($C37="","",SUMPRODUCT(('ANALYSE - ERP =&gt; SOUS-SEGMENT'!$C$8:$C$1000=$C37)*'ANALYSE - ERP =&gt; SOUS-SEGMENT'!$Q$8:$Q$1000*'ANALYSE - ERP =&gt; SOUS-SEGMENT'!$HA$8:$HA$1000))</f>
        <v>0</v>
      </c>
      <c r="HB37" s="311">
        <f>IF($C37="","",SUMPRODUCT(('ANALYSE - ERP =&gt; SOUS-SEGMENT'!$C$8:$C$1000=$C37)*'ANALYSE - ERP =&gt; SOUS-SEGMENT'!$Q$8:$Q$1000*'ANALYSE - ERP =&gt; SOUS-SEGMENT'!$HB$8:$HB$1000))</f>
        <v>0</v>
      </c>
      <c r="HC37" s="311">
        <f t="shared" si="47"/>
        <v>0</v>
      </c>
      <c r="HD37" s="311">
        <f>IF($C37="","",SUMPRODUCT(('ANALYSE - ERP =&gt; SOUS-SEGMENT'!$C$8:$C$1000=$C37)*'ANALYSE - ERP =&gt; SOUS-SEGMENT'!$Q$8:$Q$1000*'ANALYSE - ERP =&gt; SOUS-SEGMENT'!$HD$8:$HD$1000))</f>
        <v>0</v>
      </c>
      <c r="HE37" s="311">
        <f>IF($C37="","",SUMPRODUCT(('ANALYSE - ERP =&gt; SOUS-SEGMENT'!$C$8:$C$1000=$C37)*'ANALYSE - ERP =&gt; SOUS-SEGMENT'!$Q$8:$Q$1000*'ANALYSE - ERP =&gt; SOUS-SEGMENT'!$HE$8:$HE$1000))</f>
        <v>0</v>
      </c>
      <c r="HF37" s="311">
        <f t="shared" si="48"/>
        <v>0</v>
      </c>
      <c r="HG37" s="311">
        <f>IF($C37="","",SUMPRODUCT(('ANALYSE - ERP =&gt; SOUS-SEGMENT'!$C$8:$C$1000=$C37)*'ANALYSE - ERP =&gt; SOUS-SEGMENT'!$Q$8:$Q$1000*'ANALYSE - ERP =&gt; SOUS-SEGMENT'!$HG$8:$HG$1000))</f>
        <v>0</v>
      </c>
      <c r="HH37" s="311">
        <f>IF($C37="","",SUMPRODUCT(('ANALYSE - ERP =&gt; SOUS-SEGMENT'!$C$8:$C$1000=$C37)*'ANALYSE - ERP =&gt; SOUS-SEGMENT'!$Q$8:$Q$1000*'ANALYSE - ERP =&gt; SOUS-SEGMENT'!$HH$8:$HH$1000))</f>
        <v>0</v>
      </c>
      <c r="HI37" s="311">
        <f t="shared" si="49"/>
        <v>0</v>
      </c>
      <c r="HJ37" s="311">
        <f>IF($C37="","",SUMPRODUCT(('ANALYSE - ERP =&gt; SOUS-SEGMENT'!$C$8:$C$1000=$C37)*'ANALYSE - ERP =&gt; SOUS-SEGMENT'!$Q$8:$Q$1000*'ANALYSE - ERP =&gt; SOUS-SEGMENT'!$HJ$8:$HJ$1000))</f>
        <v>0</v>
      </c>
      <c r="HK37" s="311">
        <f>IF($C37="","",SUMPRODUCT(('ANALYSE - ERP =&gt; SOUS-SEGMENT'!$C$8:$C$1000=$C37)*'ANALYSE - ERP =&gt; SOUS-SEGMENT'!$Q$8:$Q$1000*'ANALYSE - ERP =&gt; SOUS-SEGMENT'!$HK$8:$HK$1000))</f>
        <v>0</v>
      </c>
      <c r="HL37" s="311">
        <f t="shared" si="50"/>
        <v>0</v>
      </c>
      <c r="HM37" s="311">
        <f>IF($C37="","",SUMPRODUCT(('ANALYSE - ERP =&gt; SOUS-SEGMENT'!$C$8:$C$1000=$C37)*'ANALYSE - ERP =&gt; SOUS-SEGMENT'!$Q$8:$Q$1000*'ANALYSE - ERP =&gt; SOUS-SEGMENT'!$HM$8:$HM$1000))</f>
        <v>0</v>
      </c>
      <c r="HN37" s="311">
        <f>IF($C37="","",SUMPRODUCT(('ANALYSE - ERP =&gt; SOUS-SEGMENT'!$C$8:$C$1000=$C37)*'ANALYSE - ERP =&gt; SOUS-SEGMENT'!$Q$8:$Q$1000*'ANALYSE - ERP =&gt; SOUS-SEGMENT'!$HN$8:$HN$1000))</f>
        <v>0</v>
      </c>
      <c r="HO37" s="311">
        <f t="shared" si="51"/>
        <v>0</v>
      </c>
      <c r="HP37" s="311">
        <f>IF($C37="","",SUMPRODUCT(('ANALYSE - ERP =&gt; SOUS-SEGMENT'!$C$8:$C$1000=$C37)*'ANALYSE - ERP =&gt; SOUS-SEGMENT'!$Q$8:$Q$1000*'ANALYSE - ERP =&gt; SOUS-SEGMENT'!$HP$8:$HP$1000))</f>
        <v>0</v>
      </c>
      <c r="HQ37" s="311">
        <f>IF($C37="","",SUMPRODUCT(('ANALYSE - ERP =&gt; SOUS-SEGMENT'!$C$8:$C$1000=$C37)*'ANALYSE - ERP =&gt; SOUS-SEGMENT'!$Q$8:$Q$1000*'ANALYSE - ERP =&gt; SOUS-SEGMENT'!$HQ$8:$HQ$1000))</f>
        <v>0</v>
      </c>
      <c r="HR37" s="311">
        <f t="shared" si="52"/>
        <v>0</v>
      </c>
      <c r="HS37" s="311">
        <f>IF($C37="","",SUMPRODUCT(('ANALYSE - ERP =&gt; SOUS-SEGMENT'!$C$8:$C$1000=$C37)*'ANALYSE - ERP =&gt; SOUS-SEGMENT'!$Q$8:$Q$1000*'ANALYSE - ERP =&gt; SOUS-SEGMENT'!$HS$8:$HS$1000))</f>
        <v>0</v>
      </c>
      <c r="HT37" s="311">
        <f>IF($C37="","",SUMPRODUCT(('ANALYSE - ERP =&gt; SOUS-SEGMENT'!$C$8:$C$1000=$C37)*'ANALYSE - ERP =&gt; SOUS-SEGMENT'!$Q$8:$Q$1000*'ANALYSE - ERP =&gt; SOUS-SEGMENT'!$HT$8:$HT$1000))</f>
        <v>0</v>
      </c>
      <c r="HU37" s="311">
        <f t="shared" si="53"/>
        <v>0</v>
      </c>
      <c r="HV37" s="311">
        <f>IF($C37="","",SUMPRODUCT(('ANALYSE - ERP =&gt; SOUS-SEGMENT'!$C$8:$C$1000=$C37)*'ANALYSE - ERP =&gt; SOUS-SEGMENT'!$Q$8:$Q$1000*'ANALYSE - ERP =&gt; SOUS-SEGMENT'!$HV$8:$HV$1000))</f>
        <v>0</v>
      </c>
      <c r="HW37" s="311">
        <f>IF($C37="","",SUMPRODUCT(('ANALYSE - ERP =&gt; SOUS-SEGMENT'!$C$8:$C$1000=$C37)*'ANALYSE - ERP =&gt; SOUS-SEGMENT'!$Q$8:$Q$1000*'ANALYSE - ERP =&gt; SOUS-SEGMENT'!$HW$8:$HW$1000))</f>
        <v>0</v>
      </c>
      <c r="HY37" s="313">
        <f t="shared" si="54"/>
        <v>0</v>
      </c>
      <c r="HZ37" s="313">
        <f>IF($C37="","",SUMPRODUCT(('ANALYSE - ERP =&gt; SOUS-SEGMENT'!$C$8:$C$1000=$C37)*'ANALYSE - ERP =&gt; SOUS-SEGMENT'!$Q$8:$Q$1000*'ANALYSE - ERP =&gt; SOUS-SEGMENT'!$HZ$8:$HZ$1000))</f>
        <v>0</v>
      </c>
      <c r="IA37" s="313">
        <f>IF($C37="","",SUMPRODUCT(('ANALYSE - ERP =&gt; SOUS-SEGMENT'!$C$8:$C$1000=$C37)*'ANALYSE - ERP =&gt; SOUS-SEGMENT'!$Q$8:$Q$1000*'ANALYSE - ERP =&gt; SOUS-SEGMENT'!$IA$8:$IA$1000))</f>
        <v>0</v>
      </c>
      <c r="IB37" s="313">
        <f>IF($C37="","",SUMPRODUCT(('ANALYSE - ERP =&gt; SOUS-SEGMENT'!$C$8:$C$1000=$C37)*'ANALYSE - ERP =&gt; SOUS-SEGMENT'!$Q$8:$Q$1000*'ANALYSE - ERP =&gt; SOUS-SEGMENT'!$IB$8:$IB$1000))</f>
        <v>0</v>
      </c>
      <c r="IC37" s="313">
        <f>IF($C37="","",SUMPRODUCT(('ANALYSE - ERP =&gt; SOUS-SEGMENT'!$C$8:$C$1000=$C37)*'ANALYSE - ERP =&gt; SOUS-SEGMENT'!$Q$8:$Q$1000*'ANALYSE - ERP =&gt; SOUS-SEGMENT'!$IC$8:$IC$1000))</f>
        <v>0</v>
      </c>
      <c r="ID37" s="313">
        <f>IF($C37="","",SUMPRODUCT(('ANALYSE - ERP =&gt; SOUS-SEGMENT'!$C$8:$C$1000=$C37)*'ANALYSE - ERP =&gt; SOUS-SEGMENT'!$Q$8:$Q$1000*'ANALYSE - ERP =&gt; SOUS-SEGMENT'!$ID$8:$ID$1000))</f>
        <v>0</v>
      </c>
      <c r="IE37" s="313">
        <f t="shared" si="55"/>
        <v>0</v>
      </c>
      <c r="IF37" s="313">
        <f>IF($C37="","",SUMPRODUCT(('ANALYSE - ERP =&gt; SOUS-SEGMENT'!$C$8:$C$1000=$C37)*'ANALYSE - ERP =&gt; SOUS-SEGMENT'!$Q$8:$Q$1000*'ANALYSE - ERP =&gt; SOUS-SEGMENT'!$IF$8:$IF$1000))</f>
        <v>0</v>
      </c>
      <c r="IG37" s="313">
        <f>IF($C37="","",SUMPRODUCT(('ANALYSE - ERP =&gt; SOUS-SEGMENT'!$C$8:$C$1000=$C37)*'ANALYSE - ERP =&gt; SOUS-SEGMENT'!$Q$8:$Q$1000*'ANALYSE - ERP =&gt; SOUS-SEGMENT'!$IG$8:$IG$1000))</f>
        <v>0</v>
      </c>
      <c r="IH37" s="313">
        <f>IF($C37="","",SUMPRODUCT(('ANALYSE - ERP =&gt; SOUS-SEGMENT'!$C$8:$C$1000=$C37)*'ANALYSE - ERP =&gt; SOUS-SEGMENT'!$Q$8:$Q$1000*'ANALYSE - ERP =&gt; SOUS-SEGMENT'!$IH$8:$IH$1000))</f>
        <v>0</v>
      </c>
      <c r="II37" s="313">
        <f>IF($C37="","",SUMPRODUCT(('ANALYSE - ERP =&gt; SOUS-SEGMENT'!$C$8:$C$1000=$C37)*'ANALYSE - ERP =&gt; SOUS-SEGMENT'!$Q$8:$Q$1000*'ANALYSE - ERP =&gt; SOUS-SEGMENT'!$II$8:$II$1000))</f>
        <v>0</v>
      </c>
      <c r="IJ37" s="313">
        <f>IF($C37="","",SUMPRODUCT(('ANALYSE - ERP =&gt; SOUS-SEGMENT'!$C$8:$C$1000=$C37)*'ANALYSE - ERP =&gt; SOUS-SEGMENT'!$Q$8:$Q$1000*'ANALYSE - ERP =&gt; SOUS-SEGMENT'!$IJ$8:$IJ$1000))</f>
        <v>0</v>
      </c>
      <c r="IK37" s="866" t="str">
        <f>IF($C37="","",IFERROR(SUMPRODUCT(('ANALYSE - ERP =&gt; SOUS-SEGMENT'!$C$8:$C$1000=$C37)*'ANALYSE - ERP =&gt; SOUS-SEGMENT'!$Q$8:$Q$1000*'ANALYSE - ERP =&gt; SOUS-SEGMENT'!$IE$8:$IE$1000*'ANALYSE - ERP =&gt; SOUS-SEGMENT'!$IK$8:$IK$1000)/SUMPRODUCT(('ANALYSE - ERP =&gt; SOUS-SEGMENT'!$C$8:$C$1000=$C37)*'ANALYSE - ERP =&gt; SOUS-SEGMENT'!$Q$8:$Q$1000*'ANALYSE - ERP =&gt; SOUS-SEGMENT'!$IE$8:$IE$1000),""))</f>
        <v/>
      </c>
      <c r="IL37" s="920" t="s">
        <v>2589</v>
      </c>
      <c r="IM37" s="964" t="s">
        <v>4930</v>
      </c>
      <c r="IN37" s="657"/>
      <c r="IO37" s="730" t="str">
        <f>IF($C37="","",IFERROR(SUMPRODUCT(('ANALYSE - ERP =&gt; SOUS-SEGMENT'!$C$8:$C$1000=$C37)*'ANALYSE - ERP =&gt; SOUS-SEGMENT'!$Q$8:$Q$1000*'ANALYSE - ERP =&gt; SOUS-SEGMENT'!$BE$8:$BE$1000*'ANALYSE - ERP =&gt; SOUS-SEGMENT'!$IO$8:$IO$1000)/SUMPRODUCT(('ANALYSE - ERP =&gt; SOUS-SEGMENT'!$C$8:$C$1000=$C37)*'ANALYSE - ERP =&gt; SOUS-SEGMENT'!$Q$8:$Q$1000*'ANALYSE - ERP =&gt; SOUS-SEGMENT'!$BE$8:$BE$1000),""))</f>
        <v/>
      </c>
      <c r="IP37" s="730" t="str">
        <f>IF($C37="","",IFERROR(SUMPRODUCT(('ANALYSE - ERP =&gt; SOUS-SEGMENT'!$C$8:$C$1000=$C37)*'ANALYSE - ERP =&gt; SOUS-SEGMENT'!$Q$8:$Q$1000*'ANALYSE - ERP =&gt; SOUS-SEGMENT'!$BE$8:$BE$1000*'ANALYSE - ERP =&gt; SOUS-SEGMENT'!$IP$8:$IP$1000)/SUMPRODUCT(('ANALYSE - ERP =&gt; SOUS-SEGMENT'!$C$8:$C$1000=$C37)*'ANALYSE - ERP =&gt; SOUS-SEGMENT'!$Q$8:$Q$1000*'ANALYSE - ERP =&gt; SOUS-SEGMENT'!$BE$8:$BE$1000),""))</f>
        <v/>
      </c>
      <c r="IQ37" s="730" t="str">
        <f>IF($C37="","",IFERROR(SUMPRODUCT(('ANALYSE - ERP =&gt; SOUS-SEGMENT'!$C$8:$C$1000=$C37)*'ANALYSE - ERP =&gt; SOUS-SEGMENT'!$Q$8:$Q$1000*'ANALYSE - ERP =&gt; SOUS-SEGMENT'!$BE$8:$BE$1000*'ANALYSE - ERP =&gt; SOUS-SEGMENT'!$IQ$8:$IQ$1000)/SUMPRODUCT(('ANALYSE - ERP =&gt; SOUS-SEGMENT'!$C$8:$C$1000=$C37)*'ANALYSE - ERP =&gt; SOUS-SEGMENT'!$Q$8:$Q$1000*'ANALYSE - ERP =&gt; SOUS-SEGMENT'!$BE$8:$BE$1000),""))</f>
        <v/>
      </c>
      <c r="IR37" s="730" t="str">
        <f>IF($C37="","",IFERROR(SUMPRODUCT(('ANALYSE - ERP =&gt; SOUS-SEGMENT'!$C$8:$C$1000=$C37)*'ANALYSE - ERP =&gt; SOUS-SEGMENT'!$Q$8:$Q$1000*'ANALYSE - ERP =&gt; SOUS-SEGMENT'!$BE$8:$BE$1000*'ANALYSE - ERP =&gt; SOUS-SEGMENT'!$IR$8:$IR$1000)/SUMPRODUCT(('ANALYSE - ERP =&gt; SOUS-SEGMENT'!$C$8:$C$1000=$C37)*'ANALYSE - ERP =&gt; SOUS-SEGMENT'!$Q$8:$Q$1000*'ANALYSE - ERP =&gt; SOUS-SEGMENT'!$BE$8:$BE$1000),""))</f>
        <v/>
      </c>
      <c r="IS37" s="730" t="str">
        <f>IF($C37="","",IFERROR(SUMPRODUCT(('ANALYSE - ERP =&gt; SOUS-SEGMENT'!$C$8:$C$1000=$C37)*'ANALYSE - ERP =&gt; SOUS-SEGMENT'!$Q$8:$Q$1000*'ANALYSE - ERP =&gt; SOUS-SEGMENT'!$BE$8:$BE$1000*'ANALYSE - ERP =&gt; SOUS-SEGMENT'!$IS$8:$IS$1000)/SUMPRODUCT(('ANALYSE - ERP =&gt; SOUS-SEGMENT'!$C$8:$C$1000=$C37)*'ANALYSE - ERP =&gt; SOUS-SEGMENT'!$Q$8:$Q$1000*'ANALYSE - ERP =&gt; SOUS-SEGMENT'!$BE$8:$BE$1000),""))</f>
        <v/>
      </c>
      <c r="IT37" s="730" t="str">
        <f>IF($C37="","",IFERROR(SUMPRODUCT(('ANALYSE - ERP =&gt; SOUS-SEGMENT'!$C$8:$C$1000=$C37)*'ANALYSE - ERP =&gt; SOUS-SEGMENT'!$Q$8:$Q$1000*'ANALYSE - ERP =&gt; SOUS-SEGMENT'!$FB$8:$FB$1000*'ANALYSE - ERP =&gt; SOUS-SEGMENT'!$IT$8:$IT$1000)/SUMPRODUCT(('ANALYSE - ERP =&gt; SOUS-SEGMENT'!$C$8:$C$1000=$C37)*'ANALYSE - ERP =&gt; SOUS-SEGMENT'!$Q$8:$Q$1000*'ANALYSE - ERP =&gt; SOUS-SEGMENT'!$FB$8:$FB$1000),""))</f>
        <v/>
      </c>
      <c r="IU37" s="730" t="str">
        <f>IF($C37="","",IFERROR(SUMPRODUCT(('ANALYSE - ERP =&gt; SOUS-SEGMENT'!$C$8:$C$1000=$C37)*'ANALYSE - ERP =&gt; SOUS-SEGMENT'!$Q$8:$Q$1000*'ANALYSE - ERP =&gt; SOUS-SEGMENT'!$FB$8:$FB$1000*'ANALYSE - ERP =&gt; SOUS-SEGMENT'!$IU$8:$IU$1000)/SUMPRODUCT(('ANALYSE - ERP =&gt; SOUS-SEGMENT'!$C$8:$C$1000=$C37)*'ANALYSE - ERP =&gt; SOUS-SEGMENT'!$Q$8:$Q$1000*'ANALYSE - ERP =&gt; SOUS-SEGMENT'!$FB$8:$FB$1000),""))</f>
        <v/>
      </c>
      <c r="IV37" s="730" t="str">
        <f>IF($C37="","",IFERROR(SUMPRODUCT(('ANALYSE - ERP =&gt; SOUS-SEGMENT'!$C$8:$C$1000=$C37)*'ANALYSE - ERP =&gt; SOUS-SEGMENT'!$Q$8:$Q$1000*'ANALYSE - ERP =&gt; SOUS-SEGMENT'!$FB$8:$FB$1000*'ANALYSE - ERP =&gt; SOUS-SEGMENT'!$IV$8:$IV$1000)/SUMPRODUCT(('ANALYSE - ERP =&gt; SOUS-SEGMENT'!$C$8:$C$1000=$C37)*'ANALYSE - ERP =&gt; SOUS-SEGMENT'!$Q$8:$Q$1000*'ANALYSE - ERP =&gt; SOUS-SEGMENT'!$FB$8:$FB$1000),""))</f>
        <v/>
      </c>
      <c r="IW37" s="730" t="str">
        <f>IF($C37="","",IFERROR(SUMPRODUCT(('ANALYSE - ERP =&gt; SOUS-SEGMENT'!$C$8:$C$1000=$C37)*'ANALYSE - ERP =&gt; SOUS-SEGMENT'!$Q$8:$Q$1000*'ANALYSE - ERP =&gt; SOUS-SEGMENT'!$FB$8:$FB$1000*'ANALYSE - ERP =&gt; SOUS-SEGMENT'!$IW$8:$IW$1000)/SUMPRODUCT(('ANALYSE - ERP =&gt; SOUS-SEGMENT'!$C$8:$C$1000=$C37)*'ANALYSE - ERP =&gt; SOUS-SEGMENT'!$Q$8:$Q$1000*'ANALYSE - ERP =&gt; SOUS-SEGMENT'!$FB$8:$FB$1000),""))</f>
        <v/>
      </c>
      <c r="IX37" s="730" t="str">
        <f>IF($C37="","",IFERROR(SUMPRODUCT(('ANALYSE - ERP =&gt; SOUS-SEGMENT'!$C$8:$C$1000=$C37)*'ANALYSE - ERP =&gt; SOUS-SEGMENT'!$Q$8:$Q$1000*'ANALYSE - ERP =&gt; SOUS-SEGMENT'!$FB$8:$FB$1000*'ANALYSE - ERP =&gt; SOUS-SEGMENT'!$IX$8:$IX$1000)/SUMPRODUCT(('ANALYSE - ERP =&gt; SOUS-SEGMENT'!$C$8:$C$1000=$C37)*'ANALYSE - ERP =&gt; SOUS-SEGMENT'!$Q$8:$Q$1000*'ANALYSE - ERP =&gt; SOUS-SEGMENT'!$FB$8:$FB$1000),""))</f>
        <v/>
      </c>
      <c r="IY37" s="730" t="str">
        <f>IF($C37="","",IFERROR(SUMPRODUCT(('ANALYSE - ERP =&gt; SOUS-SEGMENT'!$C$8:$C$1000=$C37)*'ANALYSE - ERP =&gt; SOUS-SEGMENT'!$Q$8:$Q$1000*'ANALYSE - ERP =&gt; SOUS-SEGMENT'!$BF$8:$BF$1000*'ANALYSE - ERP =&gt; SOUS-SEGMENT'!$IY$8:$IY$1000)/SUMPRODUCT(('ANALYSE - ERP =&gt; SOUS-SEGMENT'!$C$8:$C$1000=$C37)*'ANALYSE - ERP =&gt; SOUS-SEGMENT'!$Q$8:$Q$1000*'ANALYSE - ERP =&gt; SOUS-SEGMENT'!$BF$8:$BF$1000),""))</f>
        <v/>
      </c>
      <c r="IZ37" s="730" t="str">
        <f>IF($C37="","",IFERROR(SUMPRODUCT(('ANALYSE - ERP =&gt; SOUS-SEGMENT'!$C$8:$C$1000=$C37)*'ANALYSE - ERP =&gt; SOUS-SEGMENT'!$Q$8:$Q$1000*'ANALYSE - ERP =&gt; SOUS-SEGMENT'!$BF$8:$BF$1000*'ANALYSE - ERP =&gt; SOUS-SEGMENT'!$IZ$8:$IZ$1000)/SUMPRODUCT(('ANALYSE - ERP =&gt; SOUS-SEGMENT'!$C$8:$C$1000=$C37)*'ANALYSE - ERP =&gt; SOUS-SEGMENT'!$Q$8:$Q$1000*'ANALYSE - ERP =&gt; SOUS-SEGMENT'!$BF$8:$BF$1000),""))</f>
        <v/>
      </c>
      <c r="JA37" s="730" t="str">
        <f>IF($C37="","",IFERROR(SUMPRODUCT(('ANALYSE - ERP =&gt; SOUS-SEGMENT'!$C$8:$C$1000=$C37)*'ANALYSE - ERP =&gt; SOUS-SEGMENT'!$Q$8:$Q$1000*'ANALYSE - ERP =&gt; SOUS-SEGMENT'!$BF$8:$BF$1000*'ANALYSE - ERP =&gt; SOUS-SEGMENT'!$JA$8:$JA$1000)/SUMPRODUCT(('ANALYSE - ERP =&gt; SOUS-SEGMENT'!$C$8:$C$1000=$C37)*'ANALYSE - ERP =&gt; SOUS-SEGMENT'!$Q$8:$Q$1000*'ANALYSE - ERP =&gt; SOUS-SEGMENT'!$BF$8:$BF$1000),""))</f>
        <v/>
      </c>
      <c r="JB37" s="730" t="str">
        <f>IF($C37="","",IFERROR(SUMPRODUCT(('ANALYSE - ERP =&gt; SOUS-SEGMENT'!$C$8:$C$1000=$C37)*'ANALYSE - ERP =&gt; SOUS-SEGMENT'!$Q$8:$Q$1000*'ANALYSE - ERP =&gt; SOUS-SEGMENT'!$BF$8:$BF$1000*'ANALYSE - ERP =&gt; SOUS-SEGMENT'!$JB$8:$JB$1000)/SUMPRODUCT(('ANALYSE - ERP =&gt; SOUS-SEGMENT'!$C$8:$C$1000=$C37)*'ANALYSE - ERP =&gt; SOUS-SEGMENT'!$Q$8:$Q$1000*'ANALYSE - ERP =&gt; SOUS-SEGMENT'!$BF$8:$BF$1000),""))</f>
        <v/>
      </c>
      <c r="JC37" s="730" t="str">
        <f>IF($C37="","",IFERROR(SUMPRODUCT(('ANALYSE - ERP =&gt; SOUS-SEGMENT'!$C$8:$C$1000=$C37)*'ANALYSE - ERP =&gt; SOUS-SEGMENT'!$Q$8:$Q$1000*'ANALYSE - ERP =&gt; SOUS-SEGMENT'!$BF$8:$BF$1000*'ANALYSE - ERP =&gt; SOUS-SEGMENT'!$JC$8:$JC$1000)/SUMPRODUCT(('ANALYSE - ERP =&gt; SOUS-SEGMENT'!$C$8:$C$1000=$C37)*'ANALYSE - ERP =&gt; SOUS-SEGMENT'!$Q$8:$Q$1000*'ANALYSE - ERP =&gt; SOUS-SEGMENT'!$BF$8:$BF$1000),""))</f>
        <v/>
      </c>
      <c r="JD37" s="730" t="str">
        <f>IF($C37="","",IFERROR(SUMPRODUCT(('ANALYSE - ERP =&gt; SOUS-SEGMENT'!$C$8:$C$1000=$C37)*'ANALYSE - ERP =&gt; SOUS-SEGMENT'!$Q$8:$Q$1000*'ANALYSE - ERP =&gt; SOUS-SEGMENT'!$FE$8:$FE$1000*'ANALYSE - ERP =&gt; SOUS-SEGMENT'!$JD$8:$JD$1000)/SUMPRODUCT(('ANALYSE - ERP =&gt; SOUS-SEGMENT'!$C$8:$C$1000=$C37)*'ANALYSE - ERP =&gt; SOUS-SEGMENT'!$Q$8:$Q$1000*'ANALYSE - ERP =&gt; SOUS-SEGMENT'!$FE$8:$FE$1000),""))</f>
        <v/>
      </c>
      <c r="JE37" s="730" t="str">
        <f>IF($C37="","",IFERROR(SUMPRODUCT(('ANALYSE - ERP =&gt; SOUS-SEGMENT'!$C$8:$C$1000=$C37)*'ANALYSE - ERP =&gt; SOUS-SEGMENT'!$Q$8:$Q$1000*'ANALYSE - ERP =&gt; SOUS-SEGMENT'!$FE$8:$FE$1000*'ANALYSE - ERP =&gt; SOUS-SEGMENT'!$JE$8:$JE$1000)/SUMPRODUCT(('ANALYSE - ERP =&gt; SOUS-SEGMENT'!$C$8:$C$1000=$C37)*'ANALYSE - ERP =&gt; SOUS-SEGMENT'!$Q$8:$Q$1000*'ANALYSE - ERP =&gt; SOUS-SEGMENT'!$FE$8:$FE$1000),""))</f>
        <v/>
      </c>
      <c r="JF37" s="730" t="str">
        <f>IF($C37="","",IFERROR(SUMPRODUCT(('ANALYSE - ERP =&gt; SOUS-SEGMENT'!$C$8:$C$1000=$C37)*'ANALYSE - ERP =&gt; SOUS-SEGMENT'!$Q$8:$Q$1000*'ANALYSE - ERP =&gt; SOUS-SEGMENT'!$FE$8:$FE$1000*'ANALYSE - ERP =&gt; SOUS-SEGMENT'!$JF$8:$JF$1000)/SUMPRODUCT(('ANALYSE - ERP =&gt; SOUS-SEGMENT'!$C$8:$C$1000=$C37)*'ANALYSE - ERP =&gt; SOUS-SEGMENT'!$Q$8:$Q$1000*'ANALYSE - ERP =&gt; SOUS-SEGMENT'!$FE$8:$FE$1000),""))</f>
        <v/>
      </c>
      <c r="JG37" s="730" t="str">
        <f>IF($C37="","",IFERROR(SUMPRODUCT(('ANALYSE - ERP =&gt; SOUS-SEGMENT'!$C$8:$C$1000=$C37)*'ANALYSE - ERP =&gt; SOUS-SEGMENT'!$Q$8:$Q$1000*'ANALYSE - ERP =&gt; SOUS-SEGMENT'!$FE$8:$FE$1000*'ANALYSE - ERP =&gt; SOUS-SEGMENT'!$JG$8:$JG$1000)/SUMPRODUCT(('ANALYSE - ERP =&gt; SOUS-SEGMENT'!$C$8:$C$1000=$C37)*'ANALYSE - ERP =&gt; SOUS-SEGMENT'!$Q$8:$Q$1000*'ANALYSE - ERP =&gt; SOUS-SEGMENT'!$FE$8:$FE$1000),""))</f>
        <v/>
      </c>
      <c r="JH37" s="730" t="str">
        <f>IF($C37="","",IFERROR(SUMPRODUCT(('ANALYSE - ERP =&gt; SOUS-SEGMENT'!$C$8:$C$1000=$C37)*'ANALYSE - ERP =&gt; SOUS-SEGMENT'!$Q$8:$Q$1000*'ANALYSE - ERP =&gt; SOUS-SEGMENT'!$FE$8:$FE$1000*'ANALYSE - ERP =&gt; SOUS-SEGMENT'!$JH$8:$JH$1000)/SUMPRODUCT(('ANALYSE - ERP =&gt; SOUS-SEGMENT'!$C$8:$C$1000=$C37)*'ANALYSE - ERP =&gt; SOUS-SEGMENT'!$Q$8:$Q$1000*'ANALYSE - ERP =&gt; SOUS-SEGMENT'!$FE$8:$FE$1000),""))</f>
        <v/>
      </c>
      <c r="JI37" s="730" t="str">
        <f>IF($C37="","",IFERROR(SUMPRODUCT(('ANALYSE - ERP =&gt; SOUS-SEGMENT'!$C$8:$C$1000=$C37)*'ANALYSE - ERP =&gt; SOUS-SEGMENT'!$Q$8:$Q$1000*'ANALYSE - ERP =&gt; SOUS-SEGMENT'!$BG$8:$BG$1000*'ANALYSE - ERP =&gt; SOUS-SEGMENT'!$JI$8:$JI$1000)/SUMPRODUCT(('ANALYSE - ERP =&gt; SOUS-SEGMENT'!$C$8:$C$1000=$C37)*'ANALYSE - ERP =&gt; SOUS-SEGMENT'!$Q$8:$Q$1000*'ANALYSE - ERP =&gt; SOUS-SEGMENT'!$BG$8:$BG$1000),""))</f>
        <v/>
      </c>
      <c r="JJ37" s="730" t="str">
        <f>IF($C37="","",IFERROR(SUMPRODUCT(('ANALYSE - ERP =&gt; SOUS-SEGMENT'!$C$8:$C$1000=$C37)*'ANALYSE - ERP =&gt; SOUS-SEGMENT'!$Q$8:$Q$1000*'ANALYSE - ERP =&gt; SOUS-SEGMENT'!$BG$8:$BG$1000*'ANALYSE - ERP =&gt; SOUS-SEGMENT'!$JJ$8:$JJ$1000)/SUMPRODUCT(('ANALYSE - ERP =&gt; SOUS-SEGMENT'!$C$8:$C$1000=$C37)*'ANALYSE - ERP =&gt; SOUS-SEGMENT'!$Q$8:$Q$1000*'ANALYSE - ERP =&gt; SOUS-SEGMENT'!$BG$8:$BG$1000),""))</f>
        <v/>
      </c>
      <c r="JK37" s="730" t="str">
        <f>IF($C37="","",IFERROR(SUMPRODUCT(('ANALYSE - ERP =&gt; SOUS-SEGMENT'!$C$8:$C$1000=$C37)*'ANALYSE - ERP =&gt; SOUS-SEGMENT'!$Q$8:$Q$1000*'ANALYSE - ERP =&gt; SOUS-SEGMENT'!$BG$8:$BG$1000*'ANALYSE - ERP =&gt; SOUS-SEGMENT'!$JK$8:$JK$1000)/SUMPRODUCT(('ANALYSE - ERP =&gt; SOUS-SEGMENT'!$C$8:$C$1000=$C37)*'ANALYSE - ERP =&gt; SOUS-SEGMENT'!$Q$8:$Q$1000*'ANALYSE - ERP =&gt; SOUS-SEGMENT'!$BG$8:$BG$1000),""))</f>
        <v/>
      </c>
      <c r="JL37" s="730" t="str">
        <f>IF($C37="","",IFERROR(SUMPRODUCT(('ANALYSE - ERP =&gt; SOUS-SEGMENT'!$C$8:$C$1000=$C37)*'ANALYSE - ERP =&gt; SOUS-SEGMENT'!$Q$8:$Q$1000*'ANALYSE - ERP =&gt; SOUS-SEGMENT'!$BG$8:$BG$1000*'ANALYSE - ERP =&gt; SOUS-SEGMENT'!$JL$8:$JL$1000)/SUMPRODUCT(('ANALYSE - ERP =&gt; SOUS-SEGMENT'!$C$8:$C$1000=$C37)*'ANALYSE - ERP =&gt; SOUS-SEGMENT'!$Q$8:$Q$1000*'ANALYSE - ERP =&gt; SOUS-SEGMENT'!$BG$8:$BG$1000),""))</f>
        <v/>
      </c>
      <c r="JM37" s="730" t="str">
        <f>IF($C37="","",IFERROR(SUMPRODUCT(('ANALYSE - ERP =&gt; SOUS-SEGMENT'!$C$8:$C$1000=$C37)*'ANALYSE - ERP =&gt; SOUS-SEGMENT'!$Q$8:$Q$1000*'ANALYSE - ERP =&gt; SOUS-SEGMENT'!$BG$8:$BG$1000*'ANALYSE - ERP =&gt; SOUS-SEGMENT'!$JM$8:$JM$1000)/SUMPRODUCT(('ANALYSE - ERP =&gt; SOUS-SEGMENT'!$C$8:$C$1000=$C37)*'ANALYSE - ERP =&gt; SOUS-SEGMENT'!$Q$8:$Q$1000*'ANALYSE - ERP =&gt; SOUS-SEGMENT'!$BG$8:$BG$1000),""))</f>
        <v/>
      </c>
      <c r="JN37" s="730" t="str">
        <f>IF($C37="","",IFERROR(SUMPRODUCT(('ANALYSE - ERP =&gt; SOUS-SEGMENT'!$C$8:$C$1000=$C37)*'ANALYSE - ERP =&gt; SOUS-SEGMENT'!$Q$8:$Q$1000*'ANALYSE - ERP =&gt; SOUS-SEGMENT'!$FH$8:$FH$1000*'ANALYSE - ERP =&gt; SOUS-SEGMENT'!$JN$8:$JN$1000)/SUMPRODUCT(('ANALYSE - ERP =&gt; SOUS-SEGMENT'!$C$8:$C$1000=$C37)*'ANALYSE - ERP =&gt; SOUS-SEGMENT'!$Q$8:$Q$1000*'ANALYSE - ERP =&gt; SOUS-SEGMENT'!$FH$8:$FH$1000),""))</f>
        <v/>
      </c>
      <c r="JO37" s="730" t="str">
        <f>IF($C37="","",IFERROR(SUMPRODUCT(('ANALYSE - ERP =&gt; SOUS-SEGMENT'!$C$8:$C$1000=$C37)*'ANALYSE - ERP =&gt; SOUS-SEGMENT'!$Q$8:$Q$1000*'ANALYSE - ERP =&gt; SOUS-SEGMENT'!$FH$8:$FH$1000*'ANALYSE - ERP =&gt; SOUS-SEGMENT'!$JO$8:$JO$1000)/SUMPRODUCT(('ANALYSE - ERP =&gt; SOUS-SEGMENT'!$C$8:$C$1000=$C37)*'ANALYSE - ERP =&gt; SOUS-SEGMENT'!$Q$8:$Q$1000*'ANALYSE - ERP =&gt; SOUS-SEGMENT'!$FH$8:$FH$1000),""))</f>
        <v/>
      </c>
      <c r="JP37" s="730" t="str">
        <f>IF($C37="","",IFERROR(SUMPRODUCT(('ANALYSE - ERP =&gt; SOUS-SEGMENT'!$C$8:$C$1000=$C37)*'ANALYSE - ERP =&gt; SOUS-SEGMENT'!$Q$8:$Q$1000*'ANALYSE - ERP =&gt; SOUS-SEGMENT'!$FH$8:$FH$1000*'ANALYSE - ERP =&gt; SOUS-SEGMENT'!$JP$8:$JP$1000)/SUMPRODUCT(('ANALYSE - ERP =&gt; SOUS-SEGMENT'!$C$8:$C$1000=$C37)*'ANALYSE - ERP =&gt; SOUS-SEGMENT'!$Q$8:$Q$1000*'ANALYSE - ERP =&gt; SOUS-SEGMENT'!$FH$8:$FH$1000),""))</f>
        <v/>
      </c>
      <c r="JQ37" s="730" t="str">
        <f>IF($C37="","",IFERROR(SUMPRODUCT(('ANALYSE - ERP =&gt; SOUS-SEGMENT'!$C$8:$C$1000=$C37)*'ANALYSE - ERP =&gt; SOUS-SEGMENT'!$Q$8:$Q$1000*'ANALYSE - ERP =&gt; SOUS-SEGMENT'!$FH$8:$FH$1000*'ANALYSE - ERP =&gt; SOUS-SEGMENT'!$JQ$8:$JQ$1000)/SUMPRODUCT(('ANALYSE - ERP =&gt; SOUS-SEGMENT'!$C$8:$C$1000=$C37)*'ANALYSE - ERP =&gt; SOUS-SEGMENT'!$Q$8:$Q$1000*'ANALYSE - ERP =&gt; SOUS-SEGMENT'!$FH$8:$FH$1000),""))</f>
        <v/>
      </c>
      <c r="JR37" s="730" t="str">
        <f>IF($C37="","",IFERROR(SUMPRODUCT(('ANALYSE - ERP =&gt; SOUS-SEGMENT'!$C$8:$C$1000=$C37)*'ANALYSE - ERP =&gt; SOUS-SEGMENT'!$Q$8:$Q$1000*'ANALYSE - ERP =&gt; SOUS-SEGMENT'!$FH$8:$FH$1000*'ANALYSE - ERP =&gt; SOUS-SEGMENT'!$JR$8:$JR$1000)/SUMPRODUCT(('ANALYSE - ERP =&gt; SOUS-SEGMENT'!$C$8:$C$1000=$C37)*'ANALYSE - ERP =&gt; SOUS-SEGMENT'!$Q$8:$Q$1000*'ANALYSE - ERP =&gt; SOUS-SEGMENT'!$FH$8:$FH$1000),""))</f>
        <v/>
      </c>
      <c r="JS37" s="730" t="str">
        <f>IF($C37="","",IFERROR(SUMPRODUCT(('ANALYSE - ERP =&gt; SOUS-SEGMENT'!$C$8:$C$1000=$C37)*'ANALYSE - ERP =&gt; SOUS-SEGMENT'!$Q$8:$Q$1000*'ANALYSE - ERP =&gt; SOUS-SEGMENT'!$BH$8:$BH$1000*'ANALYSE - ERP =&gt; SOUS-SEGMENT'!$JS$8:$JS$1000)/SUMPRODUCT(('ANALYSE - ERP =&gt; SOUS-SEGMENT'!$C$8:$C$1000=$C37)*'ANALYSE - ERP =&gt; SOUS-SEGMENT'!$Q$8:$Q$1000*'ANALYSE - ERP =&gt; SOUS-SEGMENT'!$BH$8:$BH$1000),""))</f>
        <v/>
      </c>
      <c r="JT37" s="730" t="str">
        <f>IF($C37="","",IFERROR(SUMPRODUCT(('ANALYSE - ERP =&gt; SOUS-SEGMENT'!$C$8:$C$1000=$C37)*'ANALYSE - ERP =&gt; SOUS-SEGMENT'!$Q$8:$Q$1000*'ANALYSE - ERP =&gt; SOUS-SEGMENT'!$BH$8:$BH$1000*'ANALYSE - ERP =&gt; SOUS-SEGMENT'!$JT$8:$JT$1000)/SUMPRODUCT(('ANALYSE - ERP =&gt; SOUS-SEGMENT'!$C$8:$C$1000=$C37)*'ANALYSE - ERP =&gt; SOUS-SEGMENT'!$Q$8:$Q$1000*'ANALYSE - ERP =&gt; SOUS-SEGMENT'!$BH$8:$BH$1000),""))</f>
        <v/>
      </c>
      <c r="JU37" s="730" t="str">
        <f>IF($C37="","",IFERROR(SUMPRODUCT(('ANALYSE - ERP =&gt; SOUS-SEGMENT'!$C$8:$C$1000=$C37)*'ANALYSE - ERP =&gt; SOUS-SEGMENT'!$Q$8:$Q$1000*'ANALYSE - ERP =&gt; SOUS-SEGMENT'!$BH$8:$BH$1000*'ANALYSE - ERP =&gt; SOUS-SEGMENT'!$JU$8:$JU$1000)/SUMPRODUCT(('ANALYSE - ERP =&gt; SOUS-SEGMENT'!$C$8:$C$1000=$C37)*'ANALYSE - ERP =&gt; SOUS-SEGMENT'!$Q$8:$Q$1000*'ANALYSE - ERP =&gt; SOUS-SEGMENT'!$BH$8:$BH$1000),""))</f>
        <v/>
      </c>
      <c r="JV37" s="730" t="str">
        <f>IF($C37="","",IFERROR(SUMPRODUCT(('ANALYSE - ERP =&gt; SOUS-SEGMENT'!$C$8:$C$1000=$C37)*'ANALYSE - ERP =&gt; SOUS-SEGMENT'!$Q$8:$Q$1000*'ANALYSE - ERP =&gt; SOUS-SEGMENT'!$BH$8:$BH$1000*'ANALYSE - ERP =&gt; SOUS-SEGMENT'!$JV$8:$JV$1000)/SUMPRODUCT(('ANALYSE - ERP =&gt; SOUS-SEGMENT'!$C$8:$C$1000=$C37)*'ANALYSE - ERP =&gt; SOUS-SEGMENT'!$Q$8:$Q$1000*'ANALYSE - ERP =&gt; SOUS-SEGMENT'!$BH$8:$BH$1000),""))</f>
        <v/>
      </c>
      <c r="JW37" s="730" t="str">
        <f>IF($C37="","",IFERROR(SUMPRODUCT(('ANALYSE - ERP =&gt; SOUS-SEGMENT'!$C$8:$C$1000=$C37)*'ANALYSE - ERP =&gt; SOUS-SEGMENT'!$Q$8:$Q$1000*'ANALYSE - ERP =&gt; SOUS-SEGMENT'!$BH$8:$BH$1000*'ANALYSE - ERP =&gt; SOUS-SEGMENT'!$JW$8:$JW$1000)/SUMPRODUCT(('ANALYSE - ERP =&gt; SOUS-SEGMENT'!$C$8:$C$1000=$C37)*'ANALYSE - ERP =&gt; SOUS-SEGMENT'!$Q$8:$Q$1000*'ANALYSE - ERP =&gt; SOUS-SEGMENT'!$BH$8:$BH$1000),""))</f>
        <v/>
      </c>
      <c r="JX37" s="730" t="str">
        <f>IF($C37="","",IFERROR(SUMPRODUCT(('ANALYSE - ERP =&gt; SOUS-SEGMENT'!$C$8:$C$1000=$C37)*'ANALYSE - ERP =&gt; SOUS-SEGMENT'!$Q$8:$Q$1000*'ANALYSE - ERP =&gt; SOUS-SEGMENT'!$FK$8:$FK$1000*'ANALYSE - ERP =&gt; SOUS-SEGMENT'!$JX$8:$JX$1000)/SUMPRODUCT(('ANALYSE - ERP =&gt; SOUS-SEGMENT'!$C$8:$C$1000=$C37)*'ANALYSE - ERP =&gt; SOUS-SEGMENT'!$Q$8:$Q$1000*'ANALYSE - ERP =&gt; SOUS-SEGMENT'!$FK$8:$FK$1000),""))</f>
        <v/>
      </c>
      <c r="JY37" s="730" t="str">
        <f>IF($C37="","",IFERROR(SUMPRODUCT(('ANALYSE - ERP =&gt; SOUS-SEGMENT'!$C$8:$C$1000=$C37)*'ANALYSE - ERP =&gt; SOUS-SEGMENT'!$Q$8:$Q$1000*'ANALYSE - ERP =&gt; SOUS-SEGMENT'!$FK$8:$FK$1000*'ANALYSE - ERP =&gt; SOUS-SEGMENT'!$JY$8:$JY$1000)/SUMPRODUCT(('ANALYSE - ERP =&gt; SOUS-SEGMENT'!$C$8:$C$1000=$C37)*'ANALYSE - ERP =&gt; SOUS-SEGMENT'!$Q$8:$Q$1000*'ANALYSE - ERP =&gt; SOUS-SEGMENT'!$FK$8:$FK$1000),""))</f>
        <v/>
      </c>
      <c r="JZ37" s="730" t="str">
        <f>IF($C37="","",IFERROR(SUMPRODUCT(('ANALYSE - ERP =&gt; SOUS-SEGMENT'!$C$8:$C$1000=$C37)*'ANALYSE - ERP =&gt; SOUS-SEGMENT'!$Q$8:$Q$1000*'ANALYSE - ERP =&gt; SOUS-SEGMENT'!$FK$8:$FK$1000*'ANALYSE - ERP =&gt; SOUS-SEGMENT'!$JZ$8:$JZ$1000)/SUMPRODUCT(('ANALYSE - ERP =&gt; SOUS-SEGMENT'!$C$8:$C$1000=$C37)*'ANALYSE - ERP =&gt; SOUS-SEGMENT'!$Q$8:$Q$1000*'ANALYSE - ERP =&gt; SOUS-SEGMENT'!$FK$8:$FK$1000),""))</f>
        <v/>
      </c>
      <c r="KA37" s="730" t="str">
        <f>IF($C37="","",IFERROR(SUMPRODUCT(('ANALYSE - ERP =&gt; SOUS-SEGMENT'!$C$8:$C$1000=$C37)*'ANALYSE - ERP =&gt; SOUS-SEGMENT'!$Q$8:$Q$1000*'ANALYSE - ERP =&gt; SOUS-SEGMENT'!$FK$8:$FK$1000*'ANALYSE - ERP =&gt; SOUS-SEGMENT'!$KA$8:$KA$1000)/SUMPRODUCT(('ANALYSE - ERP =&gt; SOUS-SEGMENT'!$C$8:$C$1000=$C37)*'ANALYSE - ERP =&gt; SOUS-SEGMENT'!$Q$8:$Q$1000*'ANALYSE - ERP =&gt; SOUS-SEGMENT'!$FK$8:$FK$1000),""))</f>
        <v/>
      </c>
      <c r="KB37" s="730" t="str">
        <f>IF($C37="","",IFERROR(SUMPRODUCT(('ANALYSE - ERP =&gt; SOUS-SEGMENT'!$C$8:$C$1000=$C37)*'ANALYSE - ERP =&gt; SOUS-SEGMENT'!$Q$8:$Q$1000*'ANALYSE - ERP =&gt; SOUS-SEGMENT'!$FK$8:$FK$1000*'ANALYSE - ERP =&gt; SOUS-SEGMENT'!$KB$8:$KB$1000)/SUMPRODUCT(('ANALYSE - ERP =&gt; SOUS-SEGMENT'!$C$8:$C$1000=$C37)*'ANALYSE - ERP =&gt; SOUS-SEGMENT'!$Q$8:$Q$1000*'ANALYSE - ERP =&gt; SOUS-SEGMENT'!$FK$8:$FK$1000),""))</f>
        <v/>
      </c>
      <c r="KC37" s="657"/>
      <c r="KD37" s="920" t="s">
        <v>2590</v>
      </c>
      <c r="KE37" s="920" t="s">
        <v>2590</v>
      </c>
      <c r="KF37" s="866" t="str">
        <f>IF($C37="","",IFERROR(SUMPRODUCT(('ANALYSE - ERP =&gt; SOUS-SEGMENT'!$C$8:$C$1000=$C37)*'ANALYSE - ERP =&gt; SOUS-SEGMENT'!$Q$8:$Q$1000*'ANALYSE - ERP =&gt; SOUS-SEGMENT'!$IE$8:$IE$1000*'ANALYSE - ERP =&gt; SOUS-SEGMENT'!$KF$8:$KF$1000)/SUMPRODUCT(('ANALYSE - ERP =&gt; SOUS-SEGMENT'!$C$8:$C$1000=$C37)*'ANALYSE - ERP =&gt; SOUS-SEGMENT'!$Q$8:$Q$1000*'ANALYSE - ERP =&gt; SOUS-SEGMENT'!$IE$8:$IE$1000),""))</f>
        <v/>
      </c>
      <c r="KG37" s="920" t="s">
        <v>2589</v>
      </c>
      <c r="KH37" s="920" t="s">
        <v>4931</v>
      </c>
      <c r="KI37" s="920" t="s">
        <v>2909</v>
      </c>
      <c r="KJ37" s="920" t="s">
        <v>6144</v>
      </c>
    </row>
    <row r="38" spans="1:296" ht="120" customHeight="1">
      <c r="A38" s="951">
        <f>IF($C38="","",ROWS($A$8:A38))</f>
        <v>31</v>
      </c>
      <c r="B38" s="952" t="s">
        <v>4908</v>
      </c>
      <c r="C38" s="952" t="s">
        <v>1985</v>
      </c>
      <c r="D38" s="952" t="s">
        <v>6145</v>
      </c>
      <c r="E38" s="277" t="s">
        <v>6146</v>
      </c>
      <c r="F38" s="646" t="s">
        <v>6147</v>
      </c>
      <c r="G38" s="646" t="s">
        <v>6148</v>
      </c>
      <c r="H38" s="646" t="s">
        <v>6149</v>
      </c>
      <c r="I38" s="646" t="s">
        <v>6150</v>
      </c>
      <c r="J38" s="646" t="s">
        <v>6151</v>
      </c>
      <c r="K38" s="646" t="s">
        <v>6152</v>
      </c>
      <c r="L38" s="646" t="s">
        <v>2109</v>
      </c>
      <c r="M38" s="646" t="s">
        <v>6153</v>
      </c>
      <c r="N38" s="646" t="s">
        <v>6154</v>
      </c>
      <c r="O38" s="646" t="s">
        <v>2616</v>
      </c>
      <c r="P38" s="646"/>
      <c r="Q38" s="270">
        <f>IF($C38="","",IF(SUMIFS('ANALYSE - ERP =&gt; SOUS-SEGMENT'!$Q$8:$Q$1000,'ANALYSE - ERP =&gt; SOUS-SEGMENT'!$C$8:$C$1000,$C38)&gt;0,1,0))</f>
        <v>1</v>
      </c>
      <c r="R38" s="278">
        <f>IF($C38="","",IFERROR(SUMPRODUCT(('ANALYSE - ERP =&gt; SOUS-SEGMENT'!$C$8:$C$1000=$C38)*'ANALYSE - ERP =&gt; SOUS-SEGMENT'!$Q$8:$Q$1000*'ANALYSE - ERP =&gt; SOUS-SEGMENT'!$AF$8:$AF$1000*'ANALYSE - ERP =&gt; SOUS-SEGMENT'!$R$8:$R$1000)/SUMPRODUCT(('ANALYSE - ERP =&gt; SOUS-SEGMENT'!$C$8:$C$1000=$C38)*'ANALYSE - ERP =&gt; SOUS-SEGMENT'!$Q$8:$Q$1000*'ANALYSE - ERP =&gt; SOUS-SEGMENT'!$AF$8:$AF$1000),""))</f>
        <v>1550.1118568232662</v>
      </c>
      <c r="S38" s="279">
        <f>IF($C38="","",SUMPRODUCT(('ANALYSE - ERP =&gt; SOUS-SEGMENT'!$C$8:$C$1000=$C38)*'ANALYSE - ERP =&gt; SOUS-SEGMENT'!$Q$8:$Q$1000*'ANALYSE - ERP =&gt; SOUS-SEGMENT'!$S$8:$S$1000))</f>
        <v>845</v>
      </c>
      <c r="T38" s="279">
        <f>IF($C38="","",SUMPRODUCT(('ANALYSE - ERP =&gt; SOUS-SEGMENT'!$C$8:$C$1000=$C38)*'ANALYSE - ERP =&gt; SOUS-SEGMENT'!$Q$8:$Q$1000*'ANALYSE - ERP =&gt; SOUS-SEGMENT'!$T$8:$T$1000))</f>
        <v>855</v>
      </c>
      <c r="U38" s="279">
        <f>IF($C38="","",SUMPRODUCT(('ANALYSE - ERP =&gt; SOUS-SEGMENT'!$C$8:$C$1000=$C38)*'ANALYSE - ERP =&gt; SOUS-SEGMENT'!$Q$8:$Q$1000*'ANALYSE - ERP =&gt; SOUS-SEGMENT'!$U$8:$U$1000))</f>
        <v>855</v>
      </c>
      <c r="V38" s="279">
        <f>IF($C38="","",SUMPRODUCT(('ANALYSE - ERP =&gt; SOUS-SEGMENT'!$C$8:$C$1000=$C38)*'ANALYSE - ERP =&gt; SOUS-SEGMENT'!$Q$8:$Q$1000*'ANALYSE - ERP =&gt; SOUS-SEGMENT'!$V$8:$V$1000))</f>
        <v>854</v>
      </c>
      <c r="W38" s="279">
        <f>IF($C38="","",SUMPRODUCT(('ANALYSE - ERP =&gt; SOUS-SEGMENT'!$C$8:$C$1000=$C38)*'ANALYSE - ERP =&gt; SOUS-SEGMENT'!$Q$8:$Q$1000*'ANALYSE - ERP =&gt; SOUS-SEGMENT'!$W$8:$W$1000))</f>
        <v>857</v>
      </c>
      <c r="X38" s="279">
        <f>IF($C38="","",SUMPRODUCT(('ANALYSE - ERP =&gt; SOUS-SEGMENT'!$C$8:$C$1000=$C38)*'ANALYSE - ERP =&gt; SOUS-SEGMENT'!$Q$8:$Q$1000*'ANALYSE - ERP =&gt; SOUS-SEGMENT'!$X$8:$X$1000))</f>
        <v>860</v>
      </c>
      <c r="Y38" s="279">
        <f>IF($C38="","",SUMPRODUCT(('ANALYSE - ERP =&gt; SOUS-SEGMENT'!$C$8:$C$1000=$C38)*'ANALYSE - ERP =&gt; SOUS-SEGMENT'!$Q$8:$Q$1000*'ANALYSE - ERP =&gt; SOUS-SEGMENT'!$Y$8:$Y$1000))</f>
        <v>863</v>
      </c>
      <c r="Z38" s="279">
        <f>IF($C38="","",SUMPRODUCT(('ANALYSE - ERP =&gt; SOUS-SEGMENT'!$C$8:$C$1000=$C38)*'ANALYSE - ERP =&gt; SOUS-SEGMENT'!$Q$8:$Q$1000*'ANALYSE - ERP =&gt; SOUS-SEGMENT'!$Z$8:$Z$1000))</f>
        <v>867</v>
      </c>
      <c r="AA38" s="279">
        <f>IF($C38="","",SUMPRODUCT(('ANALYSE - ERP =&gt; SOUS-SEGMENT'!$C$8:$C$1000=$C38)*'ANALYSE - ERP =&gt; SOUS-SEGMENT'!$Q$8:$Q$1000*'ANALYSE - ERP =&gt; SOUS-SEGMENT'!$AA$8:$AA$1000))</f>
        <v>871</v>
      </c>
      <c r="AB38" s="279">
        <f>IF($C38="","",SUMPRODUCT(('ANALYSE - ERP =&gt; SOUS-SEGMENT'!$C$8:$C$1000=$C38)*'ANALYSE - ERP =&gt; SOUS-SEGMENT'!$Q$8:$Q$1000*'ANALYSE - ERP =&gt; SOUS-SEGMENT'!$AB$8:$AB$1000))</f>
        <v>875</v>
      </c>
      <c r="AC38" s="279">
        <f>IF($C38="","",SUMPRODUCT(('ANALYSE - ERP =&gt; SOUS-SEGMENT'!$C$8:$C$1000=$C38)*'ANALYSE - ERP =&gt; SOUS-SEGMENT'!$Q$8:$Q$1000*'ANALYSE - ERP =&gt; SOUS-SEGMENT'!$AC$8:$AC$1000))</f>
        <v>879</v>
      </c>
      <c r="AD38" s="279">
        <f>IF($C38="","",SUMPRODUCT(('ANALYSE - ERP =&gt; SOUS-SEGMENT'!$C$8:$C$1000=$C38)*'ANALYSE - ERP =&gt; SOUS-SEGMENT'!$Q$8:$Q$1000*'ANALYSE - ERP =&gt; SOUS-SEGMENT'!$AD$8:$AD$1000))</f>
        <v>884</v>
      </c>
      <c r="AE38" s="279">
        <f>IF($C38="","",SUMPRODUCT(('ANALYSE - ERP =&gt; SOUS-SEGMENT'!$C$8:$C$1000=$C38)*'ANALYSE - ERP =&gt; SOUS-SEGMENT'!$Q$8:$Q$1000*'ANALYSE - ERP =&gt; SOUS-SEGMENT'!$AE$8:$AE$1000))</f>
        <v>889</v>
      </c>
      <c r="AF38" s="279">
        <f>IF($C38="","",SUMPRODUCT(('ANALYSE - ERP =&gt; SOUS-SEGMENT'!$C$8:$C$1000=$C38)*'ANALYSE - ERP =&gt; SOUS-SEGMENT'!$Q$8:$Q$1000*'ANALYSE - ERP =&gt; SOUS-SEGMENT'!$AF$8:$AF$1000))</f>
        <v>894</v>
      </c>
      <c r="AG38" s="279">
        <f>IF($C38="","",SUMPRODUCT(('ANALYSE - ERP =&gt; SOUS-SEGMENT'!$C$8:$C$1000=$C38)*'ANALYSE - ERP =&gt; SOUS-SEGMENT'!$Q$8:$Q$1000*'ANALYSE - ERP =&gt; SOUS-SEGMENT'!$AG$8:$AG$1000))</f>
        <v>898</v>
      </c>
      <c r="AH38" s="279">
        <f>IF($C38="","",SUMPRODUCT(('ANALYSE - ERP =&gt; SOUS-SEGMENT'!$C$8:$C$1000=$C38)*'ANALYSE - ERP =&gt; SOUS-SEGMENT'!$Q$8:$Q$1000*'ANALYSE - ERP =&gt; SOUS-SEGMENT'!$AH$8:$AH$1000))</f>
        <v>903</v>
      </c>
      <c r="AI38" s="279">
        <f>IF($C38="","",SUMPRODUCT(('ANALYSE - ERP =&gt; SOUS-SEGMENT'!$C$8:$C$1000=$C38)*'ANALYSE - ERP =&gt; SOUS-SEGMENT'!$Q$8:$Q$1000*'ANALYSE - ERP =&gt; SOUS-SEGMENT'!$AI$8:$AI$1000))</f>
        <v>907</v>
      </c>
      <c r="AJ38" s="279">
        <f>IF($C38="","",SUMPRODUCT(('ANALYSE - ERP =&gt; SOUS-SEGMENT'!$C$8:$C$1000=$C38)*'ANALYSE - ERP =&gt; SOUS-SEGMENT'!$Q$8:$Q$1000*'ANALYSE - ERP =&gt; SOUS-SEGMENT'!$AJ$8:$AJ$1000))</f>
        <v>912</v>
      </c>
      <c r="AK38" s="279">
        <f>IF($C38="","",SUMPRODUCT(('ANALYSE - ERP =&gt; SOUS-SEGMENT'!$C$8:$C$1000=$C38)*'ANALYSE - ERP =&gt; SOUS-SEGMENT'!$Q$8:$Q$1000*'ANALYSE - ERP =&gt; SOUS-SEGMENT'!$AK$8:$AK$1000))</f>
        <v>916</v>
      </c>
      <c r="AL38" s="646" t="s">
        <v>6155</v>
      </c>
      <c r="AM38" s="646" t="s">
        <v>6156</v>
      </c>
      <c r="AN38" s="646" t="s">
        <v>6157</v>
      </c>
      <c r="AO38" s="657"/>
      <c r="AP38" s="278">
        <f>IF($C38="","",IFERROR(SUMPRODUCT(('ANALYSE - ERP =&gt; SOUS-SEGMENT'!$C$8:$C$1000=$C38)*'ANALYSE - ERP =&gt; SOUS-SEGMENT'!$Q$8:$Q$1000*'ANALYSE - ERP =&gt; SOUS-SEGMENT'!$AF$8:$AF$1000*'ANALYSE - ERP =&gt; SOUS-SEGMENT'!$AP$8:$AP$1000)/SUMPRODUCT(('ANALYSE - ERP =&gt; SOUS-SEGMENT'!$C$8:$C$1000=$C38)*'ANALYSE - ERP =&gt; SOUS-SEGMENT'!$Q$8:$Q$1000*'ANALYSE - ERP =&gt; SOUS-SEGMENT'!$AF$8:$AF$1000),""))</f>
        <v>116.75615212527964</v>
      </c>
      <c r="AQ38" s="278">
        <f>IF($C38="","",IFERROR(SUMPRODUCT(('ANALYSE - ERP =&gt; SOUS-SEGMENT'!$C$8:$C$1000=$C38)*'ANALYSE - ERP =&gt; SOUS-SEGMENT'!$Q$8:$Q$1000*'ANALYSE - ERP =&gt; SOUS-SEGMENT'!$AF$8:$AF$1000*'ANALYSE - ERP =&gt; SOUS-SEGMENT'!$AQ$8:$AQ$1000)/SUMPRODUCT(('ANALYSE - ERP =&gt; SOUS-SEGMENT'!$C$8:$C$1000=$C38)*'ANALYSE - ERP =&gt; SOUS-SEGMENT'!$Q$8:$Q$1000*'ANALYSE - ERP =&gt; SOUS-SEGMENT'!$AF$8:$AF$1000),""))</f>
        <v>99.53243847874721</v>
      </c>
      <c r="AR38" s="278">
        <f>IF($C38="","",IFERROR(SUMPRODUCT(('ANALYSE - ERP =&gt; SOUS-SEGMENT'!$C$8:$C$1000=$C38)*'ANALYSE - ERP =&gt; SOUS-SEGMENT'!$Q$8:$Q$1000*'ANALYSE - ERP =&gt; SOUS-SEGMENT'!$AF$8:$AF$1000*'ANALYSE - ERP =&gt; SOUS-SEGMENT'!$AR$8:$AR$1000)/SUMPRODUCT(('ANALYSE - ERP =&gt; SOUS-SEGMENT'!$C$8:$C$1000=$C38)*'ANALYSE - ERP =&gt; SOUS-SEGMENT'!$Q$8:$Q$1000*'ANALYSE - ERP =&gt; SOUS-SEGMENT'!$AF$8:$AF$1000),""))</f>
        <v>13.776286353467562</v>
      </c>
      <c r="AS38" s="278">
        <f>IF($C38="","",IFERROR(SUMPRODUCT(('ANALYSE - ERP =&gt; SOUS-SEGMENT'!$C$8:$C$1000=$C38)*'ANALYSE - ERP =&gt; SOUS-SEGMENT'!$Q$8:$Q$1000*'ANALYSE - ERP =&gt; SOUS-SEGMENT'!$AF$8:$AF$1000*'ANALYSE - ERP =&gt; SOUS-SEGMENT'!$AS$8:$AS$1000)/SUMPRODUCT(('ANALYSE - ERP =&gt; SOUS-SEGMENT'!$C$8:$C$1000=$C38)*'ANALYSE - ERP =&gt; SOUS-SEGMENT'!$Q$8:$Q$1000*'ANALYSE - ERP =&gt; SOUS-SEGMENT'!$AF$8:$AF$1000),""))</f>
        <v>3.4474272930648771</v>
      </c>
      <c r="AT38" s="657"/>
      <c r="AU38" s="646" t="s">
        <v>6158</v>
      </c>
      <c r="AV38" s="646" t="s">
        <v>6159</v>
      </c>
      <c r="AW38" s="646" t="s">
        <v>6160</v>
      </c>
      <c r="AX38" s="646" t="s">
        <v>6161</v>
      </c>
      <c r="AY38" s="657"/>
      <c r="AZ38" s="947">
        <f>IF($C38="","",IFERROR(SUMPRODUCT(('ANALYSE - ERP =&gt; SOUS-SEGMENT'!$C$8:$C$1000=$C38)*'ANALYSE - ERP =&gt; SOUS-SEGMENT'!$Q$8:$Q$1000*'ANALYSE - ERP =&gt; SOUS-SEGMENT'!$AF$8:$AF$1000*'ANALYSE - ERP =&gt; SOUS-SEGMENT'!$AZ$8:$AZ$1000)/SUMPRODUCT(('ANALYSE - ERP =&gt; SOUS-SEGMENT'!$C$8:$C$1000=$C38)*'ANALYSE - ERP =&gt; SOUS-SEGMENT'!$Q$8:$Q$1000*'ANALYSE - ERP =&gt; SOUS-SEGMENT'!$AF$8:$AF$1000),""))</f>
        <v>8.1968680089485453</v>
      </c>
      <c r="BA38" s="947">
        <f>IF($C38="","",IFERROR(SUMPRODUCT(('ANALYSE - ERP =&gt; SOUS-SEGMENT'!$C$8:$C$1000=$C38)*'ANALYSE - ERP =&gt; SOUS-SEGMENT'!$Q$8:$Q$1000*'ANALYSE - ERP =&gt; SOUS-SEGMENT'!$AF$8:$AF$1000*'ANALYSE - ERP =&gt; SOUS-SEGMENT'!$BA$8:$BA$1000)/SUMPRODUCT(('ANALYSE - ERP =&gt; SOUS-SEGMENT'!$C$8:$C$1000=$C38)*'ANALYSE - ERP =&gt; SOUS-SEGMENT'!$Q$8:$Q$1000*'ANALYSE - ERP =&gt; SOUS-SEGMENT'!$AF$8:$AF$1000),""))</f>
        <v>4.7852348993288594</v>
      </c>
      <c r="BB38" s="947">
        <f>IF($C38="","",IFERROR(SUMPRODUCT(('ANALYSE - ERP =&gt; SOUS-SEGMENT'!$C$8:$C$1000=$C38)*'ANALYSE - ERP =&gt; SOUS-SEGMENT'!$Q$8:$Q$1000*'ANALYSE - ERP =&gt; SOUS-SEGMENT'!$AF$8:$AF$1000*'ANALYSE - ERP =&gt; SOUS-SEGMENT'!$BB$8:$BB$1000)/SUMPRODUCT(('ANALYSE - ERP =&gt; SOUS-SEGMENT'!$C$8:$C$1000=$C38)*'ANALYSE - ERP =&gt; SOUS-SEGMENT'!$Q$8:$Q$1000*'ANALYSE - ERP =&gt; SOUS-SEGMENT'!$AF$8:$AF$1000),""))</f>
        <v>2.0492170022371363</v>
      </c>
      <c r="BC38" s="947">
        <f>IF($C38="","",IFERROR(SUMPRODUCT(('ANALYSE - ERP =&gt; SOUS-SEGMENT'!$C$8:$C$1000=$C38)*'ANALYSE - ERP =&gt; SOUS-SEGMENT'!$Q$8:$Q$1000*'ANALYSE - ERP =&gt; SOUS-SEGMENT'!$AF$8:$AF$1000*'ANALYSE - ERP =&gt; SOUS-SEGMENT'!$BC$8:$BC$1000)/SUMPRODUCT(('ANALYSE - ERP =&gt; SOUS-SEGMENT'!$C$8:$C$1000=$C38)*'ANALYSE - ERP =&gt; SOUS-SEGMENT'!$Q$8:$Q$1000*'ANALYSE - ERP =&gt; SOUS-SEGMENT'!$AF$8:$AF$1000),""))</f>
        <v>6.7561521252796419</v>
      </c>
      <c r="BD38" s="826">
        <f t="shared" si="1"/>
        <v>19478</v>
      </c>
      <c r="BE38" s="283">
        <f>IF($C38="","",SUMPRODUCT(('ANALYSE - ERP =&gt; SOUS-SEGMENT'!$C$8:$C$1000=$C38)*'ANALYSE - ERP =&gt; SOUS-SEGMENT'!$Q$8:$Q$1000*'ANALYSE - ERP =&gt; SOUS-SEGMENT'!$BE$8:$BE$1000))</f>
        <v>7328</v>
      </c>
      <c r="BF38" s="283">
        <f>IF($C38="","",SUMPRODUCT(('ANALYSE - ERP =&gt; SOUS-SEGMENT'!$C$8:$C$1000=$C38)*'ANALYSE - ERP =&gt; SOUS-SEGMENT'!$Q$8:$Q$1000*'ANALYSE - ERP =&gt; SOUS-SEGMENT'!$BF$8:$BF$1000))</f>
        <v>4278</v>
      </c>
      <c r="BG38" s="283">
        <f>IF($C38="","",SUMPRODUCT(('ANALYSE - ERP =&gt; SOUS-SEGMENT'!$C$8:$C$1000=$C38)*'ANALYSE - ERP =&gt; SOUS-SEGMENT'!$Q$8:$Q$1000*'ANALYSE - ERP =&gt; SOUS-SEGMENT'!$BG$8:$BG$1000))</f>
        <v>1832</v>
      </c>
      <c r="BH38" s="283">
        <f>IF($C38="","",SUMPRODUCT(('ANALYSE - ERP =&gt; SOUS-SEGMENT'!$C$8:$C$1000=$C38)*'ANALYSE - ERP =&gt; SOUS-SEGMENT'!$Q$8:$Q$1000*'ANALYSE - ERP =&gt; SOUS-SEGMENT'!$BH$8:$BH$1000))</f>
        <v>6040</v>
      </c>
      <c r="BI38" s="826">
        <f t="shared" si="2"/>
        <v>20227</v>
      </c>
      <c r="BJ38" s="283">
        <f>IF($C38="","",SUMPRODUCT(('ANALYSE - ERP =&gt; SOUS-SEGMENT'!$C$8:$C$1000=$C38)*'ANALYSE - ERP =&gt; SOUS-SEGMENT'!$Q$8:$Q$1000*'ANALYSE - ERP =&gt; SOUS-SEGMENT'!$BJ$8:$BJ$1000))</f>
        <v>7572</v>
      </c>
      <c r="BK38" s="283">
        <f>IF($C38="","",SUMPRODUCT(('ANALYSE - ERP =&gt; SOUS-SEGMENT'!$C$8:$C$1000=$C38)*'ANALYSE - ERP =&gt; SOUS-SEGMENT'!$Q$8:$Q$1000*'ANALYSE - ERP =&gt; SOUS-SEGMENT'!$BK$8:$BK$1000))</f>
        <v>4518</v>
      </c>
      <c r="BL38" s="283">
        <f>IF($C38="","",SUMPRODUCT(('ANALYSE - ERP =&gt; SOUS-SEGMENT'!$C$8:$C$1000=$C38)*'ANALYSE - ERP =&gt; SOUS-SEGMENT'!$Q$8:$Q$1000*'ANALYSE - ERP =&gt; SOUS-SEGMENT'!$BL$8:$BL$1000))</f>
        <v>1893</v>
      </c>
      <c r="BM38" s="283">
        <f>IF($C38="","",SUMPRODUCT(('ANALYSE - ERP =&gt; SOUS-SEGMENT'!$C$8:$C$1000=$C38)*'ANALYSE - ERP =&gt; SOUS-SEGMENT'!$Q$8:$Q$1000*'ANALYSE - ERP =&gt; SOUS-SEGMENT'!$BM$8:$BM$1000))</f>
        <v>6244</v>
      </c>
      <c r="BN38" s="657"/>
      <c r="BO38" s="305">
        <f t="shared" si="3"/>
        <v>0.20960698689956331</v>
      </c>
      <c r="BP38" s="305">
        <f t="shared" si="4"/>
        <v>0.61930131004366806</v>
      </c>
      <c r="BQ38" s="305">
        <f t="shared" si="5"/>
        <v>9.1659388646288212E-2</v>
      </c>
      <c r="BR38" s="581">
        <f t="shared" si="6"/>
        <v>7.9432314410480334E-2</v>
      </c>
      <c r="BS38" s="706">
        <f t="shared" si="7"/>
        <v>0.19087163232963553</v>
      </c>
      <c r="BT38" s="305">
        <f t="shared" si="8"/>
        <v>0.62383518225039625</v>
      </c>
      <c r="BU38" s="305">
        <f t="shared" si="9"/>
        <v>0.11491283676703645</v>
      </c>
      <c r="BV38" s="581">
        <f t="shared" si="10"/>
        <v>7.0380348652931871E-2</v>
      </c>
      <c r="BW38" s="713">
        <f t="shared" si="11"/>
        <v>0.54649368863955117</v>
      </c>
      <c r="BX38" s="306">
        <f t="shared" si="12"/>
        <v>0.40175315568022441</v>
      </c>
      <c r="BY38" s="590">
        <f t="shared" si="13"/>
        <v>5.1753155680224407E-2</v>
      </c>
      <c r="BZ38" s="713">
        <f t="shared" si="14"/>
        <v>0.49667994687915007</v>
      </c>
      <c r="CA38" s="306">
        <f t="shared" si="15"/>
        <v>0.43132802124833997</v>
      </c>
      <c r="CB38" s="590">
        <f t="shared" si="16"/>
        <v>7.1992031872509965E-2</v>
      </c>
      <c r="CC38" s="706">
        <f t="shared" si="17"/>
        <v>0.10799126637554583</v>
      </c>
      <c r="CD38" s="305">
        <f t="shared" si="18"/>
        <v>0.5651855895196507</v>
      </c>
      <c r="CE38" s="305">
        <f t="shared" si="19"/>
        <v>0.10156113537117904</v>
      </c>
      <c r="CF38" s="581">
        <f t="shared" si="20"/>
        <v>0.22526200873362442</v>
      </c>
      <c r="CG38" s="706">
        <f t="shared" si="21"/>
        <v>8.83676703645008E-2</v>
      </c>
      <c r="CH38" s="305">
        <f t="shared" si="22"/>
        <v>0.56503961965134708</v>
      </c>
      <c r="CI38" s="305">
        <f t="shared" si="23"/>
        <v>0.12353407290015848</v>
      </c>
      <c r="CJ38" s="581">
        <f t="shared" si="24"/>
        <v>0.22305863708399365</v>
      </c>
      <c r="CK38" s="719">
        <f t="shared" si="25"/>
        <v>0.4160596026490066</v>
      </c>
      <c r="CL38" s="307">
        <f t="shared" si="26"/>
        <v>0.47847682119205298</v>
      </c>
      <c r="CM38" s="723">
        <f t="shared" si="27"/>
        <v>0.10546357615894039</v>
      </c>
      <c r="CN38" s="719">
        <f t="shared" si="28"/>
        <v>0.36713645099295322</v>
      </c>
      <c r="CO38" s="307">
        <f t="shared" si="29"/>
        <v>0.50914798206278022</v>
      </c>
      <c r="CP38" s="723">
        <f t="shared" si="30"/>
        <v>0.1237155669442665</v>
      </c>
      <c r="CQ38" s="657"/>
      <c r="CR38" s="804">
        <f>IF($C38="","",IFERROR(SUMPRODUCT(('ANALYSE - ERP =&gt; SOUS-SEGMENT'!$C$8:$C$1000=$C38)*'ANALYSE - ERP =&gt; SOUS-SEGMENT'!$Q$8:$Q$1000*'ANALYSE - ERP =&gt; SOUS-SEGMENT'!$DH$8:$DH$1000*'ANALYSE - ERP =&gt; SOUS-SEGMENT'!$CR$8:$CR$1000)/SUMPRODUCT(('ANALYSE - ERP =&gt; SOUS-SEGMENT'!$C$8:$C$1000=$C38)*'ANALYSE - ERP =&gt; SOUS-SEGMENT'!$Q$8:$Q$1000*'ANALYSE - ERP =&gt; SOUS-SEGMENT'!$DH$8:$DH$1000),""))</f>
        <v>11</v>
      </c>
      <c r="CS38" s="805">
        <f>IF($C38="","",IFERROR(SUMPRODUCT(('ANALYSE - ERP =&gt; SOUS-SEGMENT'!$C$8:$C$1000=$C38)*'ANALYSE - ERP =&gt; SOUS-SEGMENT'!$Q$8:$Q$1000*'ANALYSE - ERP =&gt; SOUS-SEGMENT'!$DI$8:$DI$1000*'ANALYSE - ERP =&gt; SOUS-SEGMENT'!$CS$8:$CS$1000)/SUMPRODUCT(('ANALYSE - ERP =&gt; SOUS-SEGMENT'!$C$8:$C$1000=$C38)*'ANALYSE - ERP =&gt; SOUS-SEGMENT'!$Q$8:$Q$1000*'ANALYSE - ERP =&gt; SOUS-SEGMENT'!$DI$8:$DI$1000),""))</f>
        <v>12</v>
      </c>
      <c r="CT38" s="805">
        <f>IF($C38="","",IFERROR(SUMPRODUCT(('ANALYSE - ERP =&gt; SOUS-SEGMENT'!$C$8:$C$1000=$C38)*'ANALYSE - ERP =&gt; SOUS-SEGMENT'!$Q$8:$Q$1000*'ANALYSE - ERP =&gt; SOUS-SEGMENT'!$DJ$8:$DJ$1000*'ANALYSE - ERP =&gt; SOUS-SEGMENT'!$CT$8:$CT$1000)/SUMPRODUCT(('ANALYSE - ERP =&gt; SOUS-SEGMENT'!$C$8:$C$1000=$C38)*'ANALYSE - ERP =&gt; SOUS-SEGMENT'!$Q$8:$Q$1000*'ANALYSE - ERP =&gt; SOUS-SEGMENT'!$DJ$8:$DJ$1000),""))</f>
        <v>9</v>
      </c>
      <c r="CU38" s="806">
        <f>IF($C38="","",IFERROR(SUMPRODUCT(('ANALYSE - ERP =&gt; SOUS-SEGMENT'!$C$8:$C$1000=$C38)*'ANALYSE - ERP =&gt; SOUS-SEGMENT'!$Q$8:$Q$1000*'ANALYSE - ERP =&gt; SOUS-SEGMENT'!$DK$8:$DK$1000*'ANALYSE - ERP =&gt; SOUS-SEGMENT'!$CU$8:$CU$1000)/SUMPRODUCT(('ANALYSE - ERP =&gt; SOUS-SEGMENT'!$C$8:$C$1000=$C38)*'ANALYSE - ERP =&gt; SOUS-SEGMENT'!$Q$8:$Q$1000*'ANALYSE - ERP =&gt; SOUS-SEGMENT'!$DK$8:$DK$1000),""))</f>
        <v>10.000000000000002</v>
      </c>
      <c r="CV38" s="804">
        <f>IF($C38="","",IFERROR(SUMPRODUCT(('ANALYSE - ERP =&gt; SOUS-SEGMENT'!$C$8:$C$1000=$C38)*'ANALYSE - ERP =&gt; SOUS-SEGMENT'!$Q$8:$Q$1000*'ANALYSE - ERP =&gt; SOUS-SEGMENT'!$DS$8:$DS$1000*'ANALYSE - ERP =&gt; SOUS-SEGMENT'!$CV$8:$CV$1000)/SUMPRODUCT(('ANALYSE - ERP =&gt; SOUS-SEGMENT'!$C$8:$C$1000=$C38)*'ANALYSE - ERP =&gt; SOUS-SEGMENT'!$Q$8:$Q$1000*'ANALYSE - ERP =&gt; SOUS-SEGMENT'!$DS$8:$DS$1000),""))</f>
        <v>11</v>
      </c>
      <c r="CW38" s="805">
        <f>IF($C38="","",IFERROR(SUMPRODUCT(('ANALYSE - ERP =&gt; SOUS-SEGMENT'!$C$8:$C$1000=$C38)*'ANALYSE - ERP =&gt; SOUS-SEGMENT'!$Q$8:$Q$1000*'ANALYSE - ERP =&gt; SOUS-SEGMENT'!$DT$8:$DT$1000*'ANALYSE - ERP =&gt; SOUS-SEGMENT'!$CW$8:$CW$1000)/SUMPRODUCT(('ANALYSE - ERP =&gt; SOUS-SEGMENT'!$C$8:$C$1000=$C38)*'ANALYSE - ERP =&gt; SOUS-SEGMENT'!$Q$8:$Q$1000*'ANALYSE - ERP =&gt; SOUS-SEGMENT'!$DT$8:$DT$1000),""))</f>
        <v>11</v>
      </c>
      <c r="CX38" s="806">
        <f>IF($C38="","",IFERROR(SUMPRODUCT(('ANALYSE - ERP =&gt; SOUS-SEGMENT'!$C$8:$C$1000=$C38)*'ANALYSE - ERP =&gt; SOUS-SEGMENT'!$Q$8:$Q$1000*'ANALYSE - ERP =&gt; SOUS-SEGMENT'!$DU$8:$DU$1000*'ANALYSE - ERP =&gt; SOUS-SEGMENT'!$CX$8:$CX$1000)/SUMPRODUCT(('ANALYSE - ERP =&gt; SOUS-SEGMENT'!$C$8:$C$1000=$C38)*'ANALYSE - ERP =&gt; SOUS-SEGMENT'!$Q$8:$Q$1000*'ANALYSE - ERP =&gt; SOUS-SEGMENT'!$DU$8:$DU$1000),""))</f>
        <v>8</v>
      </c>
      <c r="CY38" s="804">
        <f>IF($C38="","",IFERROR(SUMPRODUCT(('ANALYSE - ERP =&gt; SOUS-SEGMENT'!$C$8:$C$1000=$C38)*'ANALYSE - ERP =&gt; SOUS-SEGMENT'!$Q$8:$Q$1000*'ANALYSE - ERP =&gt; SOUS-SEGMENT'!$EB$8:$EB$1000*'ANALYSE - ERP =&gt; SOUS-SEGMENT'!$CY$8:$CY$1000)/SUMPRODUCT(('ANALYSE - ERP =&gt; SOUS-SEGMENT'!$C$8:$C$1000=$C38)*'ANALYSE - ERP =&gt; SOUS-SEGMENT'!$Q$8:$Q$1000*'ANALYSE - ERP =&gt; SOUS-SEGMENT'!$EB$8:$EB$1000),""))</f>
        <v>10</v>
      </c>
      <c r="CZ38" s="805">
        <f>IF($C38="","",IFERROR(SUMPRODUCT(('ANALYSE - ERP =&gt; SOUS-SEGMENT'!$C$8:$C$1000=$C38)*'ANALYSE - ERP =&gt; SOUS-SEGMENT'!$Q$8:$Q$1000*'ANALYSE - ERP =&gt; SOUS-SEGMENT'!$EC$8:$EC$1000*'ANALYSE - ERP =&gt; SOUS-SEGMENT'!$CZ$8:$CZ$1000)/SUMPRODUCT(('ANALYSE - ERP =&gt; SOUS-SEGMENT'!$C$8:$C$1000=$C38)*'ANALYSE - ERP =&gt; SOUS-SEGMENT'!$Q$8:$Q$1000*'ANALYSE - ERP =&gt; SOUS-SEGMENT'!$EC$8:$EC$1000),""))</f>
        <v>12</v>
      </c>
      <c r="DA38" s="805">
        <f>IF($C38="","",IFERROR(SUMPRODUCT(('ANALYSE - ERP =&gt; SOUS-SEGMENT'!$C$8:$C$1000=$C38)*'ANALYSE - ERP =&gt; SOUS-SEGMENT'!$Q$8:$Q$1000*'ANALYSE - ERP =&gt; SOUS-SEGMENT'!$ED$8:$ED$1000*'ANALYSE - ERP =&gt; SOUS-SEGMENT'!$DA$8:$DA$1000)/SUMPRODUCT(('ANALYSE - ERP =&gt; SOUS-SEGMENT'!$C$8:$C$1000=$C38)*'ANALYSE - ERP =&gt; SOUS-SEGMENT'!$Q$8:$Q$1000*'ANALYSE - ERP =&gt; SOUS-SEGMENT'!$ED$8:$ED$1000),""))</f>
        <v>8</v>
      </c>
      <c r="DB38" s="806">
        <f>IF($C38="","",IFERROR(SUMPRODUCT(('ANALYSE - ERP =&gt; SOUS-SEGMENT'!$C$8:$C$1000=$C38)*'ANALYSE - ERP =&gt; SOUS-SEGMENT'!$Q$8:$Q$1000*'ANALYSE - ERP =&gt; SOUS-SEGMENT'!$EE$8:$EE$1000*'ANALYSE - ERP =&gt; SOUS-SEGMENT'!$DB$8:$DB$1000)/SUMPRODUCT(('ANALYSE - ERP =&gt; SOUS-SEGMENT'!$C$8:$C$1000=$C38)*'ANALYSE - ERP =&gt; SOUS-SEGMENT'!$Q$8:$Q$1000*'ANALYSE - ERP =&gt; SOUS-SEGMENT'!$EE$8:$EE$1000),""))</f>
        <v>10</v>
      </c>
      <c r="DC38" s="804">
        <f>IF($C38="","",IFERROR(SUMPRODUCT(('ANALYSE - ERP =&gt; SOUS-SEGMENT'!$C$8:$C$1000=$C38)*'ANALYSE - ERP =&gt; SOUS-SEGMENT'!$Q$8:$Q$1000*'ANALYSE - ERP =&gt; SOUS-SEGMENT'!$EM$8:$EM$1000*'ANALYSE - ERP =&gt; SOUS-SEGMENT'!$DC$8:$DC$1000)/SUMPRODUCT(('ANALYSE - ERP =&gt; SOUS-SEGMENT'!$C$8:$C$1000=$C38)*'ANALYSE - ERP =&gt; SOUS-SEGMENT'!$Q$8:$Q$1000*'ANALYSE - ERP =&gt; SOUS-SEGMENT'!$EM$8:$EM$1000),""))</f>
        <v>10</v>
      </c>
      <c r="DD38" s="805">
        <f>IF($C38="","",IFERROR(SUMPRODUCT(('ANALYSE - ERP =&gt; SOUS-SEGMENT'!$C$8:$C$1000=$C38)*'ANALYSE - ERP =&gt; SOUS-SEGMENT'!$Q$8:$Q$1000*'ANALYSE - ERP =&gt; SOUS-SEGMENT'!$EN$8:$EN$1000*'ANALYSE - ERP =&gt; SOUS-SEGMENT'!$DD$8:$DD$1000)/SUMPRODUCT(('ANALYSE - ERP =&gt; SOUS-SEGMENT'!$C$8:$C$1000=$C38)*'ANALYSE - ERP =&gt; SOUS-SEGMENT'!$Q$8:$Q$1000*'ANALYSE - ERP =&gt; SOUS-SEGMENT'!$EN$8:$EN$1000),""))</f>
        <v>12</v>
      </c>
      <c r="DE38" s="806">
        <f>IF($C38="","",IFERROR(SUMPRODUCT(('ANALYSE - ERP =&gt; SOUS-SEGMENT'!$C$8:$C$1000=$C38)*'ANALYSE - ERP =&gt; SOUS-SEGMENT'!$Q$8:$Q$1000*'ANALYSE - ERP =&gt; SOUS-SEGMENT'!$EO$8:$EO$1000*'ANALYSE - ERP =&gt; SOUS-SEGMENT'!$DE$8:$DE$1000)/SUMPRODUCT(('ANALYSE - ERP =&gt; SOUS-SEGMENT'!$C$8:$C$1000=$C38)*'ANALYSE - ERP =&gt; SOUS-SEGMENT'!$Q$8:$Q$1000*'ANALYSE - ERP =&gt; SOUS-SEGMENT'!$EO$8:$EO$1000),""))</f>
        <v>9</v>
      </c>
      <c r="DF38" s="919" t="s">
        <v>6162</v>
      </c>
      <c r="DG38" s="657"/>
      <c r="DH38" s="308">
        <f>IF($C38="","",SUMPRODUCT(('ANALYSE - ERP =&gt; SOUS-SEGMENT'!$C$8:$C$1000=$C38)*'ANALYSE - ERP =&gt; SOUS-SEGMENT'!$Q$8:$Q$1000*'ANALYSE - ERP =&gt; SOUS-SEGMENT'!$DH$8:$DH$1000))</f>
        <v>1536</v>
      </c>
      <c r="DI38" s="308">
        <f>IF($C38="","",SUMPRODUCT(('ANALYSE - ERP =&gt; SOUS-SEGMENT'!$C$8:$C$1000=$C38)*'ANALYSE - ERP =&gt; SOUS-SEGMENT'!$Q$8:$Q$1000*'ANALYSE - ERP =&gt; SOUS-SEGMENT'!$DI$8:$DI$1000))</f>
        <v>4538.24</v>
      </c>
      <c r="DJ38" s="308">
        <f>IF($C38="","",SUMPRODUCT(('ANALYSE - ERP =&gt; SOUS-SEGMENT'!$C$8:$C$1000=$C38)*'ANALYSE - ERP =&gt; SOUS-SEGMENT'!$Q$8:$Q$1000*'ANALYSE - ERP =&gt; SOUS-SEGMENT'!$DJ$8:$DJ$1000))</f>
        <v>671.68000000000006</v>
      </c>
      <c r="DK38" s="308">
        <f>IF($C38="","",SUMPRODUCT(('ANALYSE - ERP =&gt; SOUS-SEGMENT'!$C$8:$C$1000=$C38)*'ANALYSE - ERP =&gt; SOUS-SEGMENT'!$Q$8:$Q$1000*'ANALYSE - ERP =&gt; SOUS-SEGMENT'!$DK$8:$DK$1000))</f>
        <v>582.07999999999993</v>
      </c>
      <c r="DL38" s="646" t="s">
        <v>6163</v>
      </c>
      <c r="DM38" s="308">
        <f>IF($C38="","",SUMPRODUCT(('ANALYSE - ERP =&gt; SOUS-SEGMENT'!$C$8:$C$1000=$C38)*'ANALYSE - ERP =&gt; SOUS-SEGMENT'!$Q$8:$Q$1000*'ANALYSE - ERP =&gt; SOUS-SEGMENT'!$DM$8:$DM$1000))</f>
        <v>1445.2800000000002</v>
      </c>
      <c r="DN38" s="308">
        <f>IF($C38="","",SUMPRODUCT(('ANALYSE - ERP =&gt; SOUS-SEGMENT'!$C$8:$C$1000=$C38)*'ANALYSE - ERP =&gt; SOUS-SEGMENT'!$Q$8:$Q$1000*'ANALYSE - ERP =&gt; SOUS-SEGMENT'!$DN$8:$DN$1000))</f>
        <v>4723.68</v>
      </c>
      <c r="DO38" s="308">
        <f>IF($C38="","",SUMPRODUCT(('ANALYSE - ERP =&gt; SOUS-SEGMENT'!$C$8:$C$1000=$C38)*'ANALYSE - ERP =&gt; SOUS-SEGMENT'!$Q$8:$Q$1000*'ANALYSE - ERP =&gt; SOUS-SEGMENT'!$DO$8:$DO$1000))</f>
        <v>870.12</v>
      </c>
      <c r="DP38" s="308">
        <f>IF($C38="","",SUMPRODUCT(('ANALYSE - ERP =&gt; SOUS-SEGMENT'!$C$8:$C$1000=$C38)*'ANALYSE - ERP =&gt; SOUS-SEGMENT'!$Q$8:$Q$1000*'ANALYSE - ERP =&gt; SOUS-SEGMENT'!$DP$8:$DP$1000))</f>
        <v>532.92000000000007</v>
      </c>
      <c r="DQ38" s="646" t="s">
        <v>3369</v>
      </c>
      <c r="DR38" s="657"/>
      <c r="DS38" s="308">
        <f>IF($C38="","",SUMPRODUCT(('ANALYSE - ERP =&gt; SOUS-SEGMENT'!$C$8:$C$1000=$C38)*'ANALYSE - ERP =&gt; SOUS-SEGMENT'!$Q$8:$Q$1000*'ANALYSE - ERP =&gt; SOUS-SEGMENT'!$DS$8:$DS$1000))</f>
        <v>2337.9</v>
      </c>
      <c r="DT38" s="308">
        <f>IF($C38="","",SUMPRODUCT(('ANALYSE - ERP =&gt; SOUS-SEGMENT'!$C$8:$C$1000=$C38)*'ANALYSE - ERP =&gt; SOUS-SEGMENT'!$Q$8:$Q$1000*'ANALYSE - ERP =&gt; SOUS-SEGMENT'!$DT$8:$DT$1000))</f>
        <v>1718.7</v>
      </c>
      <c r="DU38" s="308">
        <f>IF($C38="","",SUMPRODUCT(('ANALYSE - ERP =&gt; SOUS-SEGMENT'!$C$8:$C$1000=$C38)*'ANALYSE - ERP =&gt; SOUS-SEGMENT'!$Q$8:$Q$1000*'ANALYSE - ERP =&gt; SOUS-SEGMENT'!$DU$8:$DU$1000))</f>
        <v>221.4</v>
      </c>
      <c r="DV38" s="646" t="s">
        <v>6164</v>
      </c>
      <c r="DW38" s="308">
        <f>IF($C38="","",SUMPRODUCT(('ANALYSE - ERP =&gt; SOUS-SEGMENT'!$C$8:$C$1000=$C38)*'ANALYSE - ERP =&gt; SOUS-SEGMENT'!$Q$8:$Q$1000*'ANALYSE - ERP =&gt; SOUS-SEGMENT'!$DW$8:$DW$1000))</f>
        <v>2244</v>
      </c>
      <c r="DX38" s="308">
        <f>IF($C38="","",SUMPRODUCT(('ANALYSE - ERP =&gt; SOUS-SEGMENT'!$C$8:$C$1000=$C38)*'ANALYSE - ERP =&gt; SOUS-SEGMENT'!$Q$8:$Q$1000*'ANALYSE - ERP =&gt; SOUS-SEGMENT'!$DX$8:$DX$1000))</f>
        <v>1948.74</v>
      </c>
      <c r="DY38" s="308">
        <f>IF($C38="","",SUMPRODUCT(('ANALYSE - ERP =&gt; SOUS-SEGMENT'!$C$8:$C$1000=$C38)*'ANALYSE - ERP =&gt; SOUS-SEGMENT'!$Q$8:$Q$1000*'ANALYSE - ERP =&gt; SOUS-SEGMENT'!$DY$8:$DY$1000))</f>
        <v>325.26000000000005</v>
      </c>
      <c r="DZ38" s="646" t="s">
        <v>6165</v>
      </c>
      <c r="EA38" s="657"/>
      <c r="EB38" s="308">
        <f>IF($C38="","",SUMPRODUCT(('ANALYSE - ERP =&gt; SOUS-SEGMENT'!$C$8:$C$1000=$C38)*'ANALYSE - ERP =&gt; SOUS-SEGMENT'!$Q$8:$Q$1000*'ANALYSE - ERP =&gt; SOUS-SEGMENT'!$EB$8:$EB$1000))</f>
        <v>197.83999999999997</v>
      </c>
      <c r="EC38" s="308">
        <f>IF($C38="","",SUMPRODUCT(('ANALYSE - ERP =&gt; SOUS-SEGMENT'!$C$8:$C$1000=$C38)*'ANALYSE - ERP =&gt; SOUS-SEGMENT'!$Q$8:$Q$1000*'ANALYSE - ERP =&gt; SOUS-SEGMENT'!$EC$8:$EC$1000))</f>
        <v>1035.42</v>
      </c>
      <c r="ED38" s="308">
        <f>IF($C38="","",SUMPRODUCT(('ANALYSE - ERP =&gt; SOUS-SEGMENT'!$C$8:$C$1000=$C38)*'ANALYSE - ERP =&gt; SOUS-SEGMENT'!$Q$8:$Q$1000*'ANALYSE - ERP =&gt; SOUS-SEGMENT'!$ED$8:$ED$1000))</f>
        <v>186.06</v>
      </c>
      <c r="EE38" s="308">
        <f>IF($C38="","",SUMPRODUCT(('ANALYSE - ERP =&gt; SOUS-SEGMENT'!$C$8:$C$1000=$C38)*'ANALYSE - ERP =&gt; SOUS-SEGMENT'!$Q$8:$Q$1000*'ANALYSE - ERP =&gt; SOUS-SEGMENT'!$EE$8:$EE$1000))</f>
        <v>412.67999999999995</v>
      </c>
      <c r="EF38" s="646" t="s">
        <v>6166</v>
      </c>
      <c r="EG38" s="308">
        <f>IF($C38="","",SUMPRODUCT(('ANALYSE - ERP =&gt; SOUS-SEGMENT'!$C$8:$C$1000=$C38)*'ANALYSE - ERP =&gt; SOUS-SEGMENT'!$Q$8:$Q$1000*'ANALYSE - ERP =&gt; SOUS-SEGMENT'!$EG$8:$EG$1000))</f>
        <v>167.28</v>
      </c>
      <c r="EH38" s="308">
        <f>IF($C38="","",SUMPRODUCT(('ANALYSE - ERP =&gt; SOUS-SEGMENT'!$C$8:$C$1000=$C38)*'ANALYSE - ERP =&gt; SOUS-SEGMENT'!$Q$8:$Q$1000*'ANALYSE - ERP =&gt; SOUS-SEGMENT'!$EH$8:$EH$1000))</f>
        <v>1069.6200000000001</v>
      </c>
      <c r="EI38" s="308">
        <f>IF($C38="","",SUMPRODUCT(('ANALYSE - ERP =&gt; SOUS-SEGMENT'!$C$8:$C$1000=$C38)*'ANALYSE - ERP =&gt; SOUS-SEGMENT'!$Q$8:$Q$1000*'ANALYSE - ERP =&gt; SOUS-SEGMENT'!$EI$8:$EI$1000))</f>
        <v>233.85000000000002</v>
      </c>
      <c r="EJ38" s="308">
        <f>IF($C38="","",SUMPRODUCT(('ANALYSE - ERP =&gt; SOUS-SEGMENT'!$C$8:$C$1000=$C38)*'ANALYSE - ERP =&gt; SOUS-SEGMENT'!$Q$8:$Q$1000*'ANALYSE - ERP =&gt; SOUS-SEGMENT'!$EJ$8:$EJ$1000))</f>
        <v>422.25</v>
      </c>
      <c r="EK38" s="936" t="s">
        <v>3373</v>
      </c>
      <c r="EL38" s="657"/>
      <c r="EM38" s="308">
        <f>IF($C38="","",SUMPRODUCT(('ANALYSE - ERP =&gt; SOUS-SEGMENT'!$C$8:$C$1000=$C38)*'ANALYSE - ERP =&gt; SOUS-SEGMENT'!$Q$8:$Q$1000*'ANALYSE - ERP =&gt; SOUS-SEGMENT'!$EM$8:$EM$1000))</f>
        <v>2513</v>
      </c>
      <c r="EN38" s="310">
        <f>IF($C38="","",SUMPRODUCT(('ANALYSE - ERP =&gt; SOUS-SEGMENT'!$C$8:$C$1000=$C38)*'ANALYSE - ERP =&gt; SOUS-SEGMENT'!$Q$8:$Q$1000*'ANALYSE - ERP =&gt; SOUS-SEGMENT'!$EN$8:$EN$1000))</f>
        <v>2890</v>
      </c>
      <c r="EO38" s="310">
        <f>IF($C38="","",SUMPRODUCT(('ANALYSE - ERP =&gt; SOUS-SEGMENT'!$C$8:$C$1000=$C38)*'ANALYSE - ERP =&gt; SOUS-SEGMENT'!$Q$8:$Q$1000*'ANALYSE - ERP =&gt; SOUS-SEGMENT'!$EO$8:$EO$1000))</f>
        <v>637</v>
      </c>
      <c r="EP38" s="646" t="s">
        <v>6167</v>
      </c>
      <c r="EQ38" s="308">
        <f>IF($C38="","",SUMPRODUCT(('ANALYSE - ERP =&gt; SOUS-SEGMENT'!$C$8:$C$1000=$C38)*'ANALYSE - ERP =&gt; SOUS-SEGMENT'!$Q$8:$Q$1000*'ANALYSE - ERP =&gt; SOUS-SEGMENT'!$EQ$8:$EQ$1000))</f>
        <v>2292.4</v>
      </c>
      <c r="ER38" s="310">
        <f>IF($C38="","",SUMPRODUCT(('ANALYSE - ERP =&gt; SOUS-SEGMENT'!$C$8:$C$1000=$C38)*'ANALYSE - ERP =&gt; SOUS-SEGMENT'!$Q$8:$Q$1000*'ANALYSE - ERP =&gt; SOUS-SEGMENT'!$ER$8:$ER$1000))</f>
        <v>3179.12</v>
      </c>
      <c r="ES38" s="310">
        <f>IF($C38="","",SUMPRODUCT(('ANALYSE - ERP =&gt; SOUS-SEGMENT'!$C$8:$C$1000=$C38)*'ANALYSE - ERP =&gt; SOUS-SEGMENT'!$Q$8:$Q$1000*'ANALYSE - ERP =&gt; SOUS-SEGMENT'!$ES$8:$ES$1000))</f>
        <v>772.48</v>
      </c>
      <c r="ET38" s="646" t="s">
        <v>3375</v>
      </c>
      <c r="EU38" s="657"/>
      <c r="EV38" s="728">
        <f t="shared" si="31"/>
        <v>0.75292029276230088</v>
      </c>
      <c r="EW38" s="728">
        <f t="shared" si="32"/>
        <v>0.24707970723769912</v>
      </c>
      <c r="EX38" s="311">
        <f t="shared" si="33"/>
        <v>9580.5757035429287</v>
      </c>
      <c r="EY38" s="311">
        <f t="shared" si="34"/>
        <v>7213.4098635429291</v>
      </c>
      <c r="EZ38" s="311">
        <f t="shared" si="35"/>
        <v>2367.1658400000001</v>
      </c>
      <c r="FA38" s="311">
        <f t="shared" si="36"/>
        <v>3500.3661695426263</v>
      </c>
      <c r="FB38" s="311">
        <f>IF($C38="","",SUMPRODUCT(('ANALYSE - ERP =&gt; SOUS-SEGMENT'!$C$8:$C$1000=$C38)*'ANALYSE - ERP =&gt; SOUS-SEGMENT'!$Q$8:$Q$1000*'ANALYSE - ERP =&gt; SOUS-SEGMENT'!$FB$8:$FB$1000))</f>
        <v>2652.3183295426261</v>
      </c>
      <c r="FC38" s="311">
        <f>IF($C38="","",SUMPRODUCT(('ANALYSE - ERP =&gt; SOUS-SEGMENT'!$C$8:$C$1000=$C38)*'ANALYSE - ERP =&gt; SOUS-SEGMENT'!$Q$8:$Q$1000*'ANALYSE - ERP =&gt; SOUS-SEGMENT'!$FC$8:$FC$1000))</f>
        <v>848.04783999999995</v>
      </c>
      <c r="FD38" s="311">
        <f t="shared" si="37"/>
        <v>2171.5995508636361</v>
      </c>
      <c r="FE38" s="311">
        <f>IF($C38="","",SUMPRODUCT(('ANALYSE - ERP =&gt; SOUS-SEGMENT'!$C$8:$C$1000=$C38)*'ANALYSE - ERP =&gt; SOUS-SEGMENT'!$Q$8:$Q$1000*'ANALYSE - ERP =&gt; SOUS-SEGMENT'!$FE$8:$FE$1000))</f>
        <v>1567.3717108636363</v>
      </c>
      <c r="FF38" s="311">
        <f>IF($C38="","",SUMPRODUCT(('ANALYSE - ERP =&gt; SOUS-SEGMENT'!$C$8:$C$1000=$C38)*'ANALYSE - ERP =&gt; SOUS-SEGMENT'!$Q$8:$Q$1000*'ANALYSE - ERP =&gt; SOUS-SEGMENT'!$FF$8:$FF$1000))</f>
        <v>604.22784000000001</v>
      </c>
      <c r="FG38" s="311">
        <f t="shared" si="38"/>
        <v>909.05640947000006</v>
      </c>
      <c r="FH38" s="311">
        <f>IF($C38="","",SUMPRODUCT(('ANALYSE - ERP =&gt; SOUS-SEGMENT'!$C$8:$C$1000=$C38)*'ANALYSE - ERP =&gt; SOUS-SEGMENT'!$Q$8:$Q$1000*'ANALYSE - ERP =&gt; SOUS-SEGMENT'!$FH$8:$FH$1000))</f>
        <v>697.04444947000013</v>
      </c>
      <c r="FI38" s="311">
        <f>IF($C38="","",SUMPRODUCT(('ANALYSE - ERP =&gt; SOUS-SEGMENT'!$C$8:$C$1000=$C38)*'ANALYSE - ERP =&gt; SOUS-SEGMENT'!$Q$8:$Q$1000*'ANALYSE - ERP =&gt; SOUS-SEGMENT'!$FI$8:$FI$1000))</f>
        <v>212.01195999999999</v>
      </c>
      <c r="FJ38" s="311">
        <f t="shared" si="39"/>
        <v>2999.5535736666666</v>
      </c>
      <c r="FK38" s="311">
        <f>IF($C38="","",SUMPRODUCT(('ANALYSE - ERP =&gt; SOUS-SEGMENT'!$C$8:$C$1000=$C38)*'ANALYSE - ERP =&gt; SOUS-SEGMENT'!$Q$8:$Q$1000*'ANALYSE - ERP =&gt; SOUS-SEGMENT'!$FK$8:$FK$1000))</f>
        <v>2296.6753736666665</v>
      </c>
      <c r="FL38" s="311">
        <f>IF($C38="","",SUMPRODUCT(('ANALYSE - ERP =&gt; SOUS-SEGMENT'!$C$8:$C$1000=$C38)*'ANALYSE - ERP =&gt; SOUS-SEGMENT'!$Q$8:$Q$1000*'ANALYSE - ERP =&gt; SOUS-SEGMENT'!$FL$8:$FL$1000))</f>
        <v>702.87819999999999</v>
      </c>
      <c r="FM38" s="657"/>
      <c r="FN38" s="954" t="s">
        <v>2649</v>
      </c>
      <c r="FO38" s="728">
        <f>IF($C38="","",IFERROR(SUMPRODUCT(('ANALYSE - ERP =&gt; SOUS-SEGMENT'!$C$8:$C$1000=$C38)*'ANALYSE - ERP =&gt; SOUS-SEGMENT'!$Q$8:$Q$1000*'ANALYSE - ERP =&gt; SOUS-SEGMENT'!$AF$8:$AF$1000*'ANALYSE - ERP =&gt; SOUS-SEGMENT'!$FO$8:$FO$1000)/SUMPRODUCT(('ANALYSE - ERP =&gt; SOUS-SEGMENT'!$C$8:$C$1000=$C38)*'ANALYSE - ERP =&gt; SOUS-SEGMENT'!$Q$8:$Q$1000*'ANALYSE - ERP =&gt; SOUS-SEGMENT'!$AF$8:$AF$1000),""))</f>
        <v>8.0838165548098431E-2</v>
      </c>
      <c r="FP38" s="729">
        <f>IF($C38="","",IFERROR(SUMPRODUCT(('ANALYSE - ERP =&gt; SOUS-SEGMENT'!$C$8:$C$1000=$C38)*'ANALYSE - ERP =&gt; SOUS-SEGMENT'!$Q$8:$Q$1000*'ANALYSE - ERP =&gt; SOUS-SEGMENT'!$AF$8:$AF$1000*'ANALYSE - ERP =&gt; SOUS-SEGMENT'!$FP$8:$FP$1000)/SUMPRODUCT(('ANALYSE - ERP =&gt; SOUS-SEGMENT'!$C$8:$C$1000=$C38)*'ANALYSE - ERP =&gt; SOUS-SEGMENT'!$Q$8:$Q$1000*'ANALYSE - ERP =&gt; SOUS-SEGMENT'!$AF$8:$AF$1000),""))</f>
        <v>0.85586143176733787</v>
      </c>
      <c r="FQ38" s="954" t="s">
        <v>6168</v>
      </c>
      <c r="FR38" s="657"/>
      <c r="FS38" s="865">
        <f>IF($C38="","",IFERROR(SUMPRODUCT(('ANALYSE - ERP =&gt; SOUS-SEGMENT'!$C$8:$C$1000=$C38)*'ANALYSE - ERP =&gt; SOUS-SEGMENT'!$Q$8:$Q$1000*'ANALYSE - ERP =&gt; SOUS-SEGMENT'!$EX$8:$EX$1000*'ANALYSE - ERP =&gt; SOUS-SEGMENT'!$FS$8:$FS$1000)/SUMPRODUCT(('ANALYSE - ERP =&gt; SOUS-SEGMENT'!$C$8:$C$1000=$C38)*'ANALYSE - ERP =&gt; SOUS-SEGMENT'!$Q$8:$Q$1000*'ANALYSE - ERP =&gt; SOUS-SEGMENT'!$EX$8:$EX$1000),""))</f>
        <v>3.29075887516011</v>
      </c>
      <c r="FT38" s="312">
        <f>IF($C38="","",RANK($FS38,$FS$8:$FS$43,0)+COUNTIF($FS$8:$FS38,$FS38)-1)</f>
        <v>20</v>
      </c>
      <c r="FU38" s="865">
        <f>IF($C38="","",IFERROR(SUMPRODUCT(('ANALYSE - ERP =&gt; SOUS-SEGMENT'!$C$8:$C$1000=$C38)*'ANALYSE - ERP =&gt; SOUS-SEGMENT'!$Q$8:$Q$1000*'ANALYSE - ERP =&gt; SOUS-SEGMENT'!$EY$8:$EY$1000*'ANALYSE - ERP =&gt; SOUS-SEGMENT'!$FU$8:$FU$1000)/SUMPRODUCT(('ANALYSE - ERP =&gt; SOUS-SEGMENT'!$C$8:$C$1000=$C38)*'ANALYSE - ERP =&gt; SOUS-SEGMENT'!$Q$8:$Q$1000*'ANALYSE - ERP =&gt; SOUS-SEGMENT'!$EY$8:$EY$1000),""))</f>
        <v>4.1223404887824238</v>
      </c>
      <c r="FV38" s="312">
        <f>IF($C38="","",RANK($FU38,$FU$8:$FU$43,0)+COUNTIF($FU$8:$FU38,$FU38)-1)</f>
        <v>17</v>
      </c>
      <c r="FW38" s="865">
        <f>IF($C38="","",IFERROR(SUMPRODUCT(('ANALYSE - ERP =&gt; SOUS-SEGMENT'!$C$8:$C$1000=$C38)*'ANALYSE - ERP =&gt; SOUS-SEGMENT'!$Q$8:$Q$1000*'ANALYSE - ERP =&gt; SOUS-SEGMENT'!$EZ$8:$EZ$1000*'ANALYSE - ERP =&gt; SOUS-SEGMENT'!$FW$8:$FW$1000)/SUMPRODUCT(('ANALYSE - ERP =&gt; SOUS-SEGMENT'!$C$8:$C$1000=$C38)*'ANALYSE - ERP =&gt; SOUS-SEGMENT'!$Q$8:$Q$1000*'ANALYSE - ERP =&gt; SOUS-SEGMENT'!$EZ$8:$EZ$1000),""))</f>
        <v>2.3374797608603544</v>
      </c>
      <c r="FX38" s="312">
        <f>IF($C38="","",RANK($FW38,$FW$8:$FW$43,0)+COUNTIF($FW$8:$FW38,$FW38)-1)</f>
        <v>15</v>
      </c>
      <c r="FY38" s="657"/>
      <c r="FZ38" s="646" t="s">
        <v>6169</v>
      </c>
      <c r="GA38" s="646" t="s">
        <v>6170</v>
      </c>
      <c r="GB38" s="646" t="s">
        <v>3379</v>
      </c>
      <c r="GC38" s="646" t="s">
        <v>3380</v>
      </c>
      <c r="GD38" s="646" t="s">
        <v>3381</v>
      </c>
      <c r="GE38" s="646" t="s">
        <v>3382</v>
      </c>
      <c r="GF38" s="276" t="s">
        <v>6171</v>
      </c>
      <c r="GG38" s="657"/>
      <c r="GH38" s="311">
        <f t="shared" si="40"/>
        <v>736.00850101818185</v>
      </c>
      <c r="GI38" s="311">
        <f>IF($C38="","",SUMPRODUCT(('ANALYSE - ERP =&gt; SOUS-SEGMENT'!$C$8:$C$1000=$C38)*'ANALYSE - ERP =&gt; SOUS-SEGMENT'!$Q$8:$Q$1000*'ANALYSE - ERP =&gt; SOUS-SEGMENT'!$GI$8:$GI$1000))</f>
        <v>564.18545781818182</v>
      </c>
      <c r="GJ38" s="311">
        <f>IF($C38="","",SUMPRODUCT(('ANALYSE - ERP =&gt; SOUS-SEGMENT'!$C$8:$C$1000=$C38)*'ANALYSE - ERP =&gt; SOUS-SEGMENT'!$Q$8:$Q$1000*'ANALYSE - ERP =&gt; SOUS-SEGMENT'!$GJ$8:$GJ$1000))</f>
        <v>171.8230432</v>
      </c>
      <c r="GK38" s="311">
        <f t="shared" si="41"/>
        <v>2062.5268818666664</v>
      </c>
      <c r="GL38" s="311">
        <f>IF($C38="","",SUMPRODUCT(('ANALYSE - ERP =&gt; SOUS-SEGMENT'!$C$8:$C$1000=$C38)*'ANALYSE - ERP =&gt; SOUS-SEGMENT'!$Q$8:$Q$1000*'ANALYSE - ERP =&gt; SOUS-SEGMENT'!$GL$8:$GL$1000))</f>
        <v>1542.3018962666663</v>
      </c>
      <c r="GM38" s="311">
        <f>IF($C38="","",SUMPRODUCT(('ANALYSE - ERP =&gt; SOUS-SEGMENT'!$C$8:$C$1000=$C38)*'ANALYSE - ERP =&gt; SOUS-SEGMENT'!$Q$8:$Q$1000*'ANALYSE - ERP =&gt; SOUS-SEGMENT'!$GM$8:$GM$1000))</f>
        <v>520.22498559999997</v>
      </c>
      <c r="GN38" s="311">
        <f t="shared" si="42"/>
        <v>400.21592337777781</v>
      </c>
      <c r="GO38" s="311">
        <f>IF($C38="","",SUMPRODUCT(('ANALYSE - ERP =&gt; SOUS-SEGMENT'!$C$8:$C$1000=$C38)*'ANALYSE - ERP =&gt; SOUS-SEGMENT'!$Q$8:$Q$1000*'ANALYSE - ERP =&gt; SOUS-SEGMENT'!$GO$8:$GO$1000))</f>
        <v>311.10005617777779</v>
      </c>
      <c r="GP38" s="311">
        <f>IF($C38="","",SUMPRODUCT(('ANALYSE - ERP =&gt; SOUS-SEGMENT'!$C$8:$C$1000=$C38)*'ANALYSE - ERP =&gt; SOUS-SEGMENT'!$Q$8:$Q$1000*'ANALYSE - ERP =&gt; SOUS-SEGMENT'!$GP$8:$GP$1000))</f>
        <v>89.115867199999997</v>
      </c>
      <c r="GQ38" s="311">
        <f t="shared" si="43"/>
        <v>301.61486328000001</v>
      </c>
      <c r="GR38" s="311">
        <f>IF($C38="","",SUMPRODUCT(('ANALYSE - ERP =&gt; SOUS-SEGMENT'!$C$8:$C$1000=$C38)*'ANALYSE - ERP =&gt; SOUS-SEGMENT'!$Q$8:$Q$1000*'ANALYSE - ERP =&gt; SOUS-SEGMENT'!$GR$8:$GR$1000))</f>
        <v>234.73091927999999</v>
      </c>
      <c r="GS38" s="311">
        <f>IF($C38="","",SUMPRODUCT(('ANALYSE - ERP =&gt; SOUS-SEGMENT'!$C$8:$C$1000=$C38)*'ANALYSE - ERP =&gt; SOUS-SEGMENT'!$Q$8:$Q$1000*'ANALYSE - ERP =&gt; SOUS-SEGMENT'!$GS$8:$GS$1000))</f>
        <v>66.883944000000014</v>
      </c>
      <c r="GT38" s="311">
        <f t="shared" si="44"/>
        <v>1139.3498416363636</v>
      </c>
      <c r="GU38" s="311">
        <f>IF($C38="","",SUMPRODUCT(('ANALYSE - ERP =&gt; SOUS-SEGMENT'!$C$8:$C$1000=$C38)*'ANALYSE - ERP =&gt; SOUS-SEGMENT'!$Q$8:$Q$1000*'ANALYSE - ERP =&gt; SOUS-SEGMENT'!$GU$8:$GU$1000))</f>
        <v>838.45512163636363</v>
      </c>
      <c r="GV38" s="311">
        <f>IF($C38="","",SUMPRODUCT(('ANALYSE - ERP =&gt; SOUS-SEGMENT'!$C$8:$C$1000=$C38)*'ANALYSE - ERP =&gt; SOUS-SEGMENT'!$Q$8:$Q$1000*'ANALYSE - ERP =&gt; SOUS-SEGMENT'!$GV$8:$GV$1000))</f>
        <v>300.89472000000001</v>
      </c>
      <c r="GW38" s="311">
        <f t="shared" si="45"/>
        <v>877.21199792727271</v>
      </c>
      <c r="GX38" s="311">
        <f>IF($C38="","",SUMPRODUCT(('ANALYSE - ERP =&gt; SOUS-SEGMENT'!$C$8:$C$1000=$C38)*'ANALYSE - ERP =&gt; SOUS-SEGMENT'!$Q$8:$Q$1000*'ANALYSE - ERP =&gt; SOUS-SEGMENT'!$GX$8:$GX$1000))</f>
        <v>616.90634672727276</v>
      </c>
      <c r="GY38" s="311">
        <f>IF($C38="","",SUMPRODUCT(('ANALYSE - ERP =&gt; SOUS-SEGMENT'!$C$8:$C$1000=$C38)*'ANALYSE - ERP =&gt; SOUS-SEGMENT'!$Q$8:$Q$1000*'ANALYSE - ERP =&gt; SOUS-SEGMENT'!$GY$8:$GY$1000))</f>
        <v>260.3056512</v>
      </c>
      <c r="GZ38" s="311">
        <f t="shared" si="46"/>
        <v>155.03771130000001</v>
      </c>
      <c r="HA38" s="311">
        <f>IF($C38="","",SUMPRODUCT(('ANALYSE - ERP =&gt; SOUS-SEGMENT'!$C$8:$C$1000=$C38)*'ANALYSE - ERP =&gt; SOUS-SEGMENT'!$Q$8:$Q$1000*'ANALYSE - ERP =&gt; SOUS-SEGMENT'!$HA$8:$HA$1000))</f>
        <v>112.01024249999999</v>
      </c>
      <c r="HB38" s="311">
        <f>IF($C38="","",SUMPRODUCT(('ANALYSE - ERP =&gt; SOUS-SEGMENT'!$C$8:$C$1000=$C38)*'ANALYSE - ERP =&gt; SOUS-SEGMENT'!$Q$8:$Q$1000*'ANALYSE - ERP =&gt; SOUS-SEGMENT'!$HB$8:$HB$1000))</f>
        <v>43.027468800000008</v>
      </c>
      <c r="HC38" s="311">
        <f t="shared" si="47"/>
        <v>100.13567684</v>
      </c>
      <c r="HD38" s="311">
        <f>IF($C38="","",SUMPRODUCT(('ANALYSE - ERP =&gt; SOUS-SEGMENT'!$C$8:$C$1000=$C38)*'ANALYSE - ERP =&gt; SOUS-SEGMENT'!$Q$8:$Q$1000*'ANALYSE - ERP =&gt; SOUS-SEGMENT'!$HD$8:$HD$1000))</f>
        <v>80.656800840000002</v>
      </c>
      <c r="HE38" s="311">
        <f>IF($C38="","",SUMPRODUCT(('ANALYSE - ERP =&gt; SOUS-SEGMENT'!$C$8:$C$1000=$C38)*'ANALYSE - ERP =&gt; SOUS-SEGMENT'!$Q$8:$Q$1000*'ANALYSE - ERP =&gt; SOUS-SEGMENT'!$HE$8:$HE$1000))</f>
        <v>19.478876</v>
      </c>
      <c r="HF38" s="311">
        <f t="shared" si="48"/>
        <v>470.22990070000003</v>
      </c>
      <c r="HG38" s="311">
        <f>IF($C38="","",SUMPRODUCT(('ANALYSE - ERP =&gt; SOUS-SEGMENT'!$C$8:$C$1000=$C38)*'ANALYSE - ERP =&gt; SOUS-SEGMENT'!$Q$8:$Q$1000*'ANALYSE - ERP =&gt; SOUS-SEGMENT'!$HG$8:$HG$1000))</f>
        <v>350.77188310000003</v>
      </c>
      <c r="HH38" s="311">
        <f>IF($C38="","",SUMPRODUCT(('ANALYSE - ERP =&gt; SOUS-SEGMENT'!$C$8:$C$1000=$C38)*'ANALYSE - ERP =&gt; SOUS-SEGMENT'!$Q$8:$Q$1000*'ANALYSE - ERP =&gt; SOUS-SEGMENT'!$HH$8:$HH$1000))</f>
        <v>119.45801760000001</v>
      </c>
      <c r="HI38" s="311">
        <f t="shared" si="49"/>
        <v>121.66775925000002</v>
      </c>
      <c r="HJ38" s="311">
        <f>IF($C38="","",SUMPRODUCT(('ANALYSE - ERP =&gt; SOUS-SEGMENT'!$C$8:$C$1000=$C38)*'ANALYSE - ERP =&gt; SOUS-SEGMENT'!$Q$8:$Q$1000*'ANALYSE - ERP =&gt; SOUS-SEGMENT'!$HJ$8:$HJ$1000))</f>
        <v>96.832523250000008</v>
      </c>
      <c r="HK38" s="311">
        <f>IF($C38="","",SUMPRODUCT(('ANALYSE - ERP =&gt; SOUS-SEGMENT'!$C$8:$C$1000=$C38)*'ANALYSE - ERP =&gt; SOUS-SEGMENT'!$Q$8:$Q$1000*'ANALYSE - ERP =&gt; SOUS-SEGMENT'!$HK$8:$HK$1000))</f>
        <v>24.835236000000002</v>
      </c>
      <c r="HL38" s="311">
        <f t="shared" si="50"/>
        <v>217.02307267999998</v>
      </c>
      <c r="HM38" s="311">
        <f>IF($C38="","",SUMPRODUCT(('ANALYSE - ERP =&gt; SOUS-SEGMENT'!$C$8:$C$1000=$C38)*'ANALYSE - ERP =&gt; SOUS-SEGMENT'!$Q$8:$Q$1000*'ANALYSE - ERP =&gt; SOUS-SEGMENT'!$HM$8:$HM$1000))</f>
        <v>168.78324228</v>
      </c>
      <c r="HN38" s="311">
        <f>IF($C38="","",SUMPRODUCT(('ANALYSE - ERP =&gt; SOUS-SEGMENT'!$C$8:$C$1000=$C38)*'ANALYSE - ERP =&gt; SOUS-SEGMENT'!$Q$8:$Q$1000*'ANALYSE - ERP =&gt; SOUS-SEGMENT'!$HN$8:$HN$1000))</f>
        <v>48.239830400000002</v>
      </c>
      <c r="HO38" s="311">
        <f t="shared" si="51"/>
        <v>1289.7649549999999</v>
      </c>
      <c r="HP38" s="311">
        <f>IF($C38="","",SUMPRODUCT(('ANALYSE - ERP =&gt; SOUS-SEGMENT'!$C$8:$C$1000=$C38)*'ANALYSE - ERP =&gt; SOUS-SEGMENT'!$Q$8:$Q$1000*'ANALYSE - ERP =&gt; SOUS-SEGMENT'!$HP$8:$HP$1000))</f>
        <v>1025.1854249999999</v>
      </c>
      <c r="HQ38" s="311">
        <f>IF($C38="","",SUMPRODUCT(('ANALYSE - ERP =&gt; SOUS-SEGMENT'!$C$8:$C$1000=$C38)*'ANALYSE - ERP =&gt; SOUS-SEGMENT'!$Q$8:$Q$1000*'ANALYSE - ERP =&gt; SOUS-SEGMENT'!$HQ$8:$HQ$1000))</f>
        <v>264.57953000000003</v>
      </c>
      <c r="HR38" s="311">
        <f t="shared" si="52"/>
        <v>1336.8603780000001</v>
      </c>
      <c r="HS38" s="311">
        <f>IF($C38="","",SUMPRODUCT(('ANALYSE - ERP =&gt; SOUS-SEGMENT'!$C$8:$C$1000=$C38)*'ANALYSE - ERP =&gt; SOUS-SEGMENT'!$Q$8:$Q$1000*'ANALYSE - ERP =&gt; SOUS-SEGMENT'!$HS$8:$HS$1000))</f>
        <v>974.81068200000004</v>
      </c>
      <c r="HT38" s="311">
        <f>IF($C38="","",SUMPRODUCT(('ANALYSE - ERP =&gt; SOUS-SEGMENT'!$C$8:$C$1000=$C38)*'ANALYSE - ERP =&gt; SOUS-SEGMENT'!$Q$8:$Q$1000*'ANALYSE - ERP =&gt; SOUS-SEGMENT'!$HT$8:$HT$1000))</f>
        <v>362.04969599999998</v>
      </c>
      <c r="HU38" s="311">
        <f t="shared" si="53"/>
        <v>372.92824066666662</v>
      </c>
      <c r="HV38" s="311">
        <f>IF($C38="","",SUMPRODUCT(('ANALYSE - ERP =&gt; SOUS-SEGMENT'!$C$8:$C$1000=$C38)*'ANALYSE - ERP =&gt; SOUS-SEGMENT'!$Q$8:$Q$1000*'ANALYSE - ERP =&gt; SOUS-SEGMENT'!$HV$8:$HV$1000))</f>
        <v>296.67926666666665</v>
      </c>
      <c r="HW38" s="311">
        <f>IF($C38="","",SUMPRODUCT(('ANALYSE - ERP =&gt; SOUS-SEGMENT'!$C$8:$C$1000=$C38)*'ANALYSE - ERP =&gt; SOUS-SEGMENT'!$Q$8:$Q$1000*'ANALYSE - ERP =&gt; SOUS-SEGMENT'!$HW$8:$HW$1000))</f>
        <v>76.248974000000004</v>
      </c>
      <c r="HY38" s="313">
        <f t="shared" si="54"/>
        <v>19478</v>
      </c>
      <c r="HZ38" s="313">
        <f>IF($C38="","",SUMPRODUCT(('ANALYSE - ERP =&gt; SOUS-SEGMENT'!$C$8:$C$1000=$C38)*'ANALYSE - ERP =&gt; SOUS-SEGMENT'!$Q$8:$Q$1000*'ANALYSE - ERP =&gt; SOUS-SEGMENT'!$HZ$8:$HZ$1000))</f>
        <v>1058.5455999999999</v>
      </c>
      <c r="IA38" s="313">
        <f>IF($C38="","",SUMPRODUCT(('ANALYSE - ERP =&gt; SOUS-SEGMENT'!$C$8:$C$1000=$C38)*'ANALYSE - ERP =&gt; SOUS-SEGMENT'!$Q$8:$Q$1000*'ANALYSE - ERP =&gt; SOUS-SEGMENT'!$IA$8:$IA$1000))</f>
        <v>9691.3201999999983</v>
      </c>
      <c r="IB38" s="313">
        <f>IF($C38="","",SUMPRODUCT(('ANALYSE - ERP =&gt; SOUS-SEGMENT'!$C$8:$C$1000=$C38)*'ANALYSE - ERP =&gt; SOUS-SEGMENT'!$Q$8:$Q$1000*'ANALYSE - ERP =&gt; SOUS-SEGMENT'!$IB$8:$IB$1000))</f>
        <v>7753.1606000000011</v>
      </c>
      <c r="IC38" s="313">
        <f>IF($C38="","",SUMPRODUCT(('ANALYSE - ERP =&gt; SOUS-SEGMENT'!$C$8:$C$1000=$C38)*'ANALYSE - ERP =&gt; SOUS-SEGMENT'!$Q$8:$Q$1000*'ANALYSE - ERP =&gt; SOUS-SEGMENT'!$IC$8:$IC$1000))</f>
        <v>962.70859999999993</v>
      </c>
      <c r="ID38" s="313">
        <f>IF($C38="","",SUMPRODUCT(('ANALYSE - ERP =&gt; SOUS-SEGMENT'!$C$8:$C$1000=$C38)*'ANALYSE - ERP =&gt; SOUS-SEGMENT'!$Q$8:$Q$1000*'ANALYSE - ERP =&gt; SOUS-SEGMENT'!$ID$8:$ID$1000))</f>
        <v>12.264999999999999</v>
      </c>
      <c r="IE38" s="313">
        <f t="shared" si="55"/>
        <v>7213.4098635429282</v>
      </c>
      <c r="IF38" s="313">
        <f>IF($C38="","",SUMPRODUCT(('ANALYSE - ERP =&gt; SOUS-SEGMENT'!$C$8:$C$1000=$C38)*'ANALYSE - ERP =&gt; SOUS-SEGMENT'!$Q$8:$Q$1000*'ANALYSE - ERP =&gt; SOUS-SEGMENT'!$IF$8:$IF$1000))</f>
        <v>154.88408849769866</v>
      </c>
      <c r="IG38" s="313">
        <f>IF($C38="","",SUMPRODUCT(('ANALYSE - ERP =&gt; SOUS-SEGMENT'!$C$8:$C$1000=$C38)*'ANALYSE - ERP =&gt; SOUS-SEGMENT'!$Q$8:$Q$1000*'ANALYSE - ERP =&gt; SOUS-SEGMENT'!$IG$8:$IG$1000))</f>
        <v>2648.6056662359188</v>
      </c>
      <c r="IH38" s="313">
        <f>IF($C38="","",SUMPRODUCT(('ANALYSE - ERP =&gt; SOUS-SEGMENT'!$C$8:$C$1000=$C38)*'ANALYSE - ERP =&gt; SOUS-SEGMENT'!$Q$8:$Q$1000*'ANALYSE - ERP =&gt; SOUS-SEGMENT'!$IH$8:$IH$1000))</f>
        <v>3696.4924314930895</v>
      </c>
      <c r="II38" s="313">
        <f>IF($C38="","",SUMPRODUCT(('ANALYSE - ERP =&gt; SOUS-SEGMENT'!$C$8:$C$1000=$C38)*'ANALYSE - ERP =&gt; SOUS-SEGMENT'!$Q$8:$Q$1000*'ANALYSE - ERP =&gt; SOUS-SEGMENT'!$II$8:$II$1000))</f>
        <v>695.82456067683984</v>
      </c>
      <c r="IJ38" s="313">
        <f>IF($C38="","",SUMPRODUCT(('ANALYSE - ERP =&gt; SOUS-SEGMENT'!$C$8:$C$1000=$C38)*'ANALYSE - ERP =&gt; SOUS-SEGMENT'!$Q$8:$Q$1000*'ANALYSE - ERP =&gt; SOUS-SEGMENT'!$IJ$8:$IJ$1000))</f>
        <v>17.603116639381586</v>
      </c>
      <c r="IK38" s="866">
        <f>IF($C38="","",IFERROR(SUMPRODUCT(('ANALYSE - ERP =&gt; SOUS-SEGMENT'!$C$8:$C$1000=$C38)*'ANALYSE - ERP =&gt; SOUS-SEGMENT'!$Q$8:$Q$1000*'ANALYSE - ERP =&gt; SOUS-SEGMENT'!$IE$8:$IE$1000*'ANALYSE - ERP =&gt; SOUS-SEGMENT'!$IK$8:$IK$1000)/SUMPRODUCT(('ANALYSE - ERP =&gt; SOUS-SEGMENT'!$C$8:$C$1000=$C38)*'ANALYSE - ERP =&gt; SOUS-SEGMENT'!$Q$8:$Q$1000*'ANALYSE - ERP =&gt; SOUS-SEGMENT'!$IE$8:$IE$1000),""))</f>
        <v>3.9633828041924191</v>
      </c>
      <c r="IL38" s="920" t="s">
        <v>2589</v>
      </c>
      <c r="IM38" s="964" t="s">
        <v>6172</v>
      </c>
      <c r="IN38" s="657"/>
      <c r="IO38" s="730">
        <f>IF($C38="","",IFERROR(SUMPRODUCT(('ANALYSE - ERP =&gt; SOUS-SEGMENT'!$C$8:$C$1000=$C38)*'ANALYSE - ERP =&gt; SOUS-SEGMENT'!$Q$8:$Q$1000*'ANALYSE - ERP =&gt; SOUS-SEGMENT'!$BE$8:$BE$1000*'ANALYSE - ERP =&gt; SOUS-SEGMENT'!$IO$8:$IO$1000)/SUMPRODUCT(('ANALYSE - ERP =&gt; SOUS-SEGMENT'!$C$8:$C$1000=$C38)*'ANALYSE - ERP =&gt; SOUS-SEGMENT'!$Q$8:$Q$1000*'ANALYSE - ERP =&gt; SOUS-SEGMENT'!$BE$8:$BE$1000),""))</f>
        <v>4.027729257641921E-2</v>
      </c>
      <c r="IP38" s="730">
        <f>IF($C38="","",IFERROR(SUMPRODUCT(('ANALYSE - ERP =&gt; SOUS-SEGMENT'!$C$8:$C$1000=$C38)*'ANALYSE - ERP =&gt; SOUS-SEGMENT'!$Q$8:$Q$1000*'ANALYSE - ERP =&gt; SOUS-SEGMENT'!$BE$8:$BE$1000*'ANALYSE - ERP =&gt; SOUS-SEGMENT'!$IP$8:$IP$1000)/SUMPRODUCT(('ANALYSE - ERP =&gt; SOUS-SEGMENT'!$C$8:$C$1000=$C38)*'ANALYSE - ERP =&gt; SOUS-SEGMENT'!$Q$8:$Q$1000*'ANALYSE - ERP =&gt; SOUS-SEGMENT'!$BE$8:$BE$1000),""))</f>
        <v>0.44613864628820948</v>
      </c>
      <c r="IQ38" s="730">
        <f>IF($C38="","",IFERROR(SUMPRODUCT(('ANALYSE - ERP =&gt; SOUS-SEGMENT'!$C$8:$C$1000=$C38)*'ANALYSE - ERP =&gt; SOUS-SEGMENT'!$Q$8:$Q$1000*'ANALYSE - ERP =&gt; SOUS-SEGMENT'!$BE$8:$BE$1000*'ANALYSE - ERP =&gt; SOUS-SEGMENT'!$IQ$8:$IQ$1000)/SUMPRODUCT(('ANALYSE - ERP =&gt; SOUS-SEGMENT'!$C$8:$C$1000=$C38)*'ANALYSE - ERP =&gt; SOUS-SEGMENT'!$Q$8:$Q$1000*'ANALYSE - ERP =&gt; SOUS-SEGMENT'!$BE$8:$BE$1000),""))</f>
        <v>0.44141157205240172</v>
      </c>
      <c r="IR38" s="730">
        <f>IF($C38="","",IFERROR(SUMPRODUCT(('ANALYSE - ERP =&gt; SOUS-SEGMENT'!$C$8:$C$1000=$C38)*'ANALYSE - ERP =&gt; SOUS-SEGMENT'!$Q$8:$Q$1000*'ANALYSE - ERP =&gt; SOUS-SEGMENT'!$BE$8:$BE$1000*'ANALYSE - ERP =&gt; SOUS-SEGMENT'!$IR$8:$IR$1000)/SUMPRODUCT(('ANALYSE - ERP =&gt; SOUS-SEGMENT'!$C$8:$C$1000=$C38)*'ANALYSE - ERP =&gt; SOUS-SEGMENT'!$Q$8:$Q$1000*'ANALYSE - ERP =&gt; SOUS-SEGMENT'!$BE$8:$BE$1000),""))</f>
        <v>7.0987991266375547E-2</v>
      </c>
      <c r="IS38" s="730">
        <f>IF($C38="","",IFERROR(SUMPRODUCT(('ANALYSE - ERP =&gt; SOUS-SEGMENT'!$C$8:$C$1000=$C38)*'ANALYSE - ERP =&gt; SOUS-SEGMENT'!$Q$8:$Q$1000*'ANALYSE - ERP =&gt; SOUS-SEGMENT'!$BE$8:$BE$1000*'ANALYSE - ERP =&gt; SOUS-SEGMENT'!$IS$8:$IS$1000)/SUMPRODUCT(('ANALYSE - ERP =&gt; SOUS-SEGMENT'!$C$8:$C$1000=$C38)*'ANALYSE - ERP =&gt; SOUS-SEGMENT'!$Q$8:$Q$1000*'ANALYSE - ERP =&gt; SOUS-SEGMENT'!$BE$8:$BE$1000),""))</f>
        <v>1.1844978165938863E-3</v>
      </c>
      <c r="IT38" s="730">
        <f>IF($C38="","",IFERROR(SUMPRODUCT(('ANALYSE - ERP =&gt; SOUS-SEGMENT'!$C$8:$C$1000=$C38)*'ANALYSE - ERP =&gt; SOUS-SEGMENT'!$Q$8:$Q$1000*'ANALYSE - ERP =&gt; SOUS-SEGMENT'!$FB$8:$FB$1000*'ANALYSE - ERP =&gt; SOUS-SEGMENT'!$IT$8:$IT$1000)/SUMPRODUCT(('ANALYSE - ERP =&gt; SOUS-SEGMENT'!$C$8:$C$1000=$C38)*'ANALYSE - ERP =&gt; SOUS-SEGMENT'!$Q$8:$Q$1000*'ANALYSE - ERP =&gt; SOUS-SEGMENT'!$FB$8:$FB$1000),""))</f>
        <v>1.6104353996475872E-2</v>
      </c>
      <c r="IU38" s="730">
        <f>IF($C38="","",IFERROR(SUMPRODUCT(('ANALYSE - ERP =&gt; SOUS-SEGMENT'!$C$8:$C$1000=$C38)*'ANALYSE - ERP =&gt; SOUS-SEGMENT'!$Q$8:$Q$1000*'ANALYSE - ERP =&gt; SOUS-SEGMENT'!$FB$8:$FB$1000*'ANALYSE - ERP =&gt; SOUS-SEGMENT'!$IU$8:$IU$1000)/SUMPRODUCT(('ANALYSE - ERP =&gt; SOUS-SEGMENT'!$C$8:$C$1000=$C38)*'ANALYSE - ERP =&gt; SOUS-SEGMENT'!$Q$8:$Q$1000*'ANALYSE - ERP =&gt; SOUS-SEGMENT'!$FB$8:$FB$1000),""))</f>
        <v>0.31261261731242873</v>
      </c>
      <c r="IV38" s="730">
        <f>IF($C38="","",IFERROR(SUMPRODUCT(('ANALYSE - ERP =&gt; SOUS-SEGMENT'!$C$8:$C$1000=$C38)*'ANALYSE - ERP =&gt; SOUS-SEGMENT'!$Q$8:$Q$1000*'ANALYSE - ERP =&gt; SOUS-SEGMENT'!$FB$8:$FB$1000*'ANALYSE - ERP =&gt; SOUS-SEGMENT'!$IV$8:$IV$1000)/SUMPRODUCT(('ANALYSE - ERP =&gt; SOUS-SEGMENT'!$C$8:$C$1000=$C38)*'ANALYSE - ERP =&gt; SOUS-SEGMENT'!$Q$8:$Q$1000*'ANALYSE - ERP =&gt; SOUS-SEGMENT'!$FB$8:$FB$1000),""))</f>
        <v>0.53446992344869382</v>
      </c>
      <c r="IW38" s="730">
        <f>IF($C38="","",IFERROR(SUMPRODUCT(('ANALYSE - ERP =&gt; SOUS-SEGMENT'!$C$8:$C$1000=$C38)*'ANALYSE - ERP =&gt; SOUS-SEGMENT'!$Q$8:$Q$1000*'ANALYSE - ERP =&gt; SOUS-SEGMENT'!$FB$8:$FB$1000*'ANALYSE - ERP =&gt; SOUS-SEGMENT'!$IW$8:$IW$1000)/SUMPRODUCT(('ANALYSE - ERP =&gt; SOUS-SEGMENT'!$C$8:$C$1000=$C38)*'ANALYSE - ERP =&gt; SOUS-SEGMENT'!$Q$8:$Q$1000*'ANALYSE - ERP =&gt; SOUS-SEGMENT'!$FB$8:$FB$1000),""))</f>
        <v>0.13252343920083956</v>
      </c>
      <c r="IX38" s="730">
        <f>IF($C38="","",IFERROR(SUMPRODUCT(('ANALYSE - ERP =&gt; SOUS-SEGMENT'!$C$8:$C$1000=$C38)*'ANALYSE - ERP =&gt; SOUS-SEGMENT'!$Q$8:$Q$1000*'ANALYSE - ERP =&gt; SOUS-SEGMENT'!$FB$8:$FB$1000*'ANALYSE - ERP =&gt; SOUS-SEGMENT'!$IX$8:$IX$1000)/SUMPRODUCT(('ANALYSE - ERP =&gt; SOUS-SEGMENT'!$C$8:$C$1000=$C38)*'ANALYSE - ERP =&gt; SOUS-SEGMENT'!$Q$8:$Q$1000*'ANALYSE - ERP =&gt; SOUS-SEGMENT'!$FB$8:$FB$1000),""))</f>
        <v>4.2896660415620387E-3</v>
      </c>
      <c r="IY38" s="730">
        <f>IF($C38="","",IFERROR(SUMPRODUCT(('ANALYSE - ERP =&gt; SOUS-SEGMENT'!$C$8:$C$1000=$C38)*'ANALYSE - ERP =&gt; SOUS-SEGMENT'!$Q$8:$Q$1000*'ANALYSE - ERP =&gt; SOUS-SEGMENT'!$BF$8:$BF$1000*'ANALYSE - ERP =&gt; SOUS-SEGMENT'!$IY$8:$IY$1000)/SUMPRODUCT(('ANALYSE - ERP =&gt; SOUS-SEGMENT'!$C$8:$C$1000=$C38)*'ANALYSE - ERP =&gt; SOUS-SEGMENT'!$Q$8:$Q$1000*'ANALYSE - ERP =&gt; SOUS-SEGMENT'!$BF$8:$BF$1000),""))</f>
        <v>6.9105189340813472E-2</v>
      </c>
      <c r="IZ38" s="730">
        <f>IF($C38="","",IFERROR(SUMPRODUCT(('ANALYSE - ERP =&gt; SOUS-SEGMENT'!$C$8:$C$1000=$C38)*'ANALYSE - ERP =&gt; SOUS-SEGMENT'!$Q$8:$Q$1000*'ANALYSE - ERP =&gt; SOUS-SEGMENT'!$BF$8:$BF$1000*'ANALYSE - ERP =&gt; SOUS-SEGMENT'!$IZ$8:$IZ$1000)/SUMPRODUCT(('ANALYSE - ERP =&gt; SOUS-SEGMENT'!$C$8:$C$1000=$C38)*'ANALYSE - ERP =&gt; SOUS-SEGMENT'!$Q$8:$Q$1000*'ANALYSE - ERP =&gt; SOUS-SEGMENT'!$BF$8:$BF$1000),""))</f>
        <v>0.56525455820476855</v>
      </c>
      <c r="JA38" s="730">
        <f>IF($C38="","",IFERROR(SUMPRODUCT(('ANALYSE - ERP =&gt; SOUS-SEGMENT'!$C$8:$C$1000=$C38)*'ANALYSE - ERP =&gt; SOUS-SEGMENT'!$Q$8:$Q$1000*'ANALYSE - ERP =&gt; SOUS-SEGMENT'!$BF$8:$BF$1000*'ANALYSE - ERP =&gt; SOUS-SEGMENT'!$JA$8:$JA$1000)/SUMPRODUCT(('ANALYSE - ERP =&gt; SOUS-SEGMENT'!$C$8:$C$1000=$C38)*'ANALYSE - ERP =&gt; SOUS-SEGMENT'!$Q$8:$Q$1000*'ANALYSE - ERP =&gt; SOUS-SEGMENT'!$BF$8:$BF$1000),""))</f>
        <v>0.34736185133239833</v>
      </c>
      <c r="JB38" s="730">
        <f>IF($C38="","",IFERROR(SUMPRODUCT(('ANALYSE - ERP =&gt; SOUS-SEGMENT'!$C$8:$C$1000=$C38)*'ANALYSE - ERP =&gt; SOUS-SEGMENT'!$Q$8:$Q$1000*'ANALYSE - ERP =&gt; SOUS-SEGMENT'!$BF$8:$BF$1000*'ANALYSE - ERP =&gt; SOUS-SEGMENT'!$JB$8:$JB$1000)/SUMPRODUCT(('ANALYSE - ERP =&gt; SOUS-SEGMENT'!$C$8:$C$1000=$C38)*'ANALYSE - ERP =&gt; SOUS-SEGMENT'!$Q$8:$Q$1000*'ANALYSE - ERP =&gt; SOUS-SEGMENT'!$BF$8:$BF$1000),""))</f>
        <v>1.8229312762973352E-2</v>
      </c>
      <c r="JC38" s="730">
        <f>IF($C38="","",IFERROR(SUMPRODUCT(('ANALYSE - ERP =&gt; SOUS-SEGMENT'!$C$8:$C$1000=$C38)*'ANALYSE - ERP =&gt; SOUS-SEGMENT'!$Q$8:$Q$1000*'ANALYSE - ERP =&gt; SOUS-SEGMENT'!$BF$8:$BF$1000*'ANALYSE - ERP =&gt; SOUS-SEGMENT'!$JC$8:$JC$1000)/SUMPRODUCT(('ANALYSE - ERP =&gt; SOUS-SEGMENT'!$C$8:$C$1000=$C38)*'ANALYSE - ERP =&gt; SOUS-SEGMENT'!$Q$8:$Q$1000*'ANALYSE - ERP =&gt; SOUS-SEGMENT'!$BF$8:$BF$1000),""))</f>
        <v>4.9088359046283307E-5</v>
      </c>
      <c r="JD38" s="730">
        <f>IF($C38="","",IFERROR(SUMPRODUCT(('ANALYSE - ERP =&gt; SOUS-SEGMENT'!$C$8:$C$1000=$C38)*'ANALYSE - ERP =&gt; SOUS-SEGMENT'!$Q$8:$Q$1000*'ANALYSE - ERP =&gt; SOUS-SEGMENT'!$FE$8:$FE$1000*'ANALYSE - ERP =&gt; SOUS-SEGMENT'!$JD$8:$JD$1000)/SUMPRODUCT(('ANALYSE - ERP =&gt; SOUS-SEGMENT'!$C$8:$C$1000=$C38)*'ANALYSE - ERP =&gt; SOUS-SEGMENT'!$Q$8:$Q$1000*'ANALYSE - ERP =&gt; SOUS-SEGMENT'!$FE$8:$FE$1000),""))</f>
        <v>2.8559328785023895E-2</v>
      </c>
      <c r="JE38" s="730">
        <f>IF($C38="","",IFERROR(SUMPRODUCT(('ANALYSE - ERP =&gt; SOUS-SEGMENT'!$C$8:$C$1000=$C38)*'ANALYSE - ERP =&gt; SOUS-SEGMENT'!$Q$8:$Q$1000*'ANALYSE - ERP =&gt; SOUS-SEGMENT'!$FE$8:$FE$1000*'ANALYSE - ERP =&gt; SOUS-SEGMENT'!$JE$8:$JE$1000)/SUMPRODUCT(('ANALYSE - ERP =&gt; SOUS-SEGMENT'!$C$8:$C$1000=$C38)*'ANALYSE - ERP =&gt; SOUS-SEGMENT'!$Q$8:$Q$1000*'ANALYSE - ERP =&gt; SOUS-SEGMENT'!$FE$8:$FE$1000),""))</f>
        <v>0.43388486286587913</v>
      </c>
      <c r="JF38" s="730">
        <f>IF($C38="","",IFERROR(SUMPRODUCT(('ANALYSE - ERP =&gt; SOUS-SEGMENT'!$C$8:$C$1000=$C38)*'ANALYSE - ERP =&gt; SOUS-SEGMENT'!$Q$8:$Q$1000*'ANALYSE - ERP =&gt; SOUS-SEGMENT'!$FE$8:$FE$1000*'ANALYSE - ERP =&gt; SOUS-SEGMENT'!$JF$8:$JF$1000)/SUMPRODUCT(('ANALYSE - ERP =&gt; SOUS-SEGMENT'!$C$8:$C$1000=$C38)*'ANALYSE - ERP =&gt; SOUS-SEGMENT'!$Q$8:$Q$1000*'ANALYSE - ERP =&gt; SOUS-SEGMENT'!$FE$8:$FE$1000),""))</f>
        <v>0.49075758226381422</v>
      </c>
      <c r="JG38" s="730">
        <f>IF($C38="","",IFERROR(SUMPRODUCT(('ANALYSE - ERP =&gt; SOUS-SEGMENT'!$C$8:$C$1000=$C38)*'ANALYSE - ERP =&gt; SOUS-SEGMENT'!$Q$8:$Q$1000*'ANALYSE - ERP =&gt; SOUS-SEGMENT'!$FE$8:$FE$1000*'ANALYSE - ERP =&gt; SOUS-SEGMENT'!$JG$8:$JG$1000)/SUMPRODUCT(('ANALYSE - ERP =&gt; SOUS-SEGMENT'!$C$8:$C$1000=$C38)*'ANALYSE - ERP =&gt; SOUS-SEGMENT'!$Q$8:$Q$1000*'ANALYSE - ERP =&gt; SOUS-SEGMENT'!$FE$8:$FE$1000),""))</f>
        <v>4.627945264810078E-2</v>
      </c>
      <c r="JH38" s="730">
        <f>IF($C38="","",IFERROR(SUMPRODUCT(('ANALYSE - ERP =&gt; SOUS-SEGMENT'!$C$8:$C$1000=$C38)*'ANALYSE - ERP =&gt; SOUS-SEGMENT'!$Q$8:$Q$1000*'ANALYSE - ERP =&gt; SOUS-SEGMENT'!$FE$8:$FE$1000*'ANALYSE - ERP =&gt; SOUS-SEGMENT'!$JH$8:$JH$1000)/SUMPRODUCT(('ANALYSE - ERP =&gt; SOUS-SEGMENT'!$C$8:$C$1000=$C38)*'ANALYSE - ERP =&gt; SOUS-SEGMENT'!$Q$8:$Q$1000*'ANALYSE - ERP =&gt; SOUS-SEGMENT'!$FE$8:$FE$1000),""))</f>
        <v>5.1877343718187451E-4</v>
      </c>
      <c r="JI38" s="730">
        <f>IF($C38="","",IFERROR(SUMPRODUCT(('ANALYSE - ERP =&gt; SOUS-SEGMENT'!$C$8:$C$1000=$C38)*'ANALYSE - ERP =&gt; SOUS-SEGMENT'!$Q$8:$Q$1000*'ANALYSE - ERP =&gt; SOUS-SEGMENT'!$BG$8:$BG$1000*'ANALYSE - ERP =&gt; SOUS-SEGMENT'!$JI$8:$JI$1000)/SUMPRODUCT(('ANALYSE - ERP =&gt; SOUS-SEGMENT'!$C$8:$C$1000=$C38)*'ANALYSE - ERP =&gt; SOUS-SEGMENT'!$Q$8:$Q$1000*'ANALYSE - ERP =&gt; SOUS-SEGMENT'!$BG$8:$BG$1000),""))</f>
        <v>9.6605676855895217E-2</v>
      </c>
      <c r="JJ38" s="730">
        <f>IF($C38="","",IFERROR(SUMPRODUCT(('ANALYSE - ERP =&gt; SOUS-SEGMENT'!$C$8:$C$1000=$C38)*'ANALYSE - ERP =&gt; SOUS-SEGMENT'!$Q$8:$Q$1000*'ANALYSE - ERP =&gt; SOUS-SEGMENT'!$BG$8:$BG$1000*'ANALYSE - ERP =&gt; SOUS-SEGMENT'!$JJ$8:$JJ$1000)/SUMPRODUCT(('ANALYSE - ERP =&gt; SOUS-SEGMENT'!$C$8:$C$1000=$C38)*'ANALYSE - ERP =&gt; SOUS-SEGMENT'!$Q$8:$Q$1000*'ANALYSE - ERP =&gt; SOUS-SEGMENT'!$BG$8:$BG$1000),""))</f>
        <v>0.56126703056768568</v>
      </c>
      <c r="JK38" s="730">
        <f>IF($C38="","",IFERROR(SUMPRODUCT(('ANALYSE - ERP =&gt; SOUS-SEGMENT'!$C$8:$C$1000=$C38)*'ANALYSE - ERP =&gt; SOUS-SEGMENT'!$Q$8:$Q$1000*'ANALYSE - ERP =&gt; SOUS-SEGMENT'!$BG$8:$BG$1000*'ANALYSE - ERP =&gt; SOUS-SEGMENT'!$JK$8:$JK$1000)/SUMPRODUCT(('ANALYSE - ERP =&gt; SOUS-SEGMENT'!$C$8:$C$1000=$C38)*'ANALYSE - ERP =&gt; SOUS-SEGMENT'!$Q$8:$Q$1000*'ANALYSE - ERP =&gt; SOUS-SEGMENT'!$BG$8:$BG$1000),""))</f>
        <v>0.30932456331877728</v>
      </c>
      <c r="JL38" s="730">
        <f>IF($C38="","",IFERROR(SUMPRODUCT(('ANALYSE - ERP =&gt; SOUS-SEGMENT'!$C$8:$C$1000=$C38)*'ANALYSE - ERP =&gt; SOUS-SEGMENT'!$Q$8:$Q$1000*'ANALYSE - ERP =&gt; SOUS-SEGMENT'!$BG$8:$BG$1000*'ANALYSE - ERP =&gt; SOUS-SEGMENT'!$JL$8:$JL$1000)/SUMPRODUCT(('ANALYSE - ERP =&gt; SOUS-SEGMENT'!$C$8:$C$1000=$C38)*'ANALYSE - ERP =&gt; SOUS-SEGMENT'!$Q$8:$Q$1000*'ANALYSE - ERP =&gt; SOUS-SEGMENT'!$BG$8:$BG$1000),""))</f>
        <v>3.263078602620087E-2</v>
      </c>
      <c r="JM38" s="730">
        <f>IF($C38="","",IFERROR(SUMPRODUCT(('ANALYSE - ERP =&gt; SOUS-SEGMENT'!$C$8:$C$1000=$C38)*'ANALYSE - ERP =&gt; SOUS-SEGMENT'!$Q$8:$Q$1000*'ANALYSE - ERP =&gt; SOUS-SEGMENT'!$BG$8:$BG$1000*'ANALYSE - ERP =&gt; SOUS-SEGMENT'!$JM$8:$JM$1000)/SUMPRODUCT(('ANALYSE - ERP =&gt; SOUS-SEGMENT'!$C$8:$C$1000=$C38)*'ANALYSE - ERP =&gt; SOUS-SEGMENT'!$Q$8:$Q$1000*'ANALYSE - ERP =&gt; SOUS-SEGMENT'!$BG$8:$BG$1000),""))</f>
        <v>1.7194323144104808E-4</v>
      </c>
      <c r="JN38" s="730">
        <f>IF($C38="","",IFERROR(SUMPRODUCT(('ANALYSE - ERP =&gt; SOUS-SEGMENT'!$C$8:$C$1000=$C38)*'ANALYSE - ERP =&gt; SOUS-SEGMENT'!$Q$8:$Q$1000*'ANALYSE - ERP =&gt; SOUS-SEGMENT'!$FH$8:$FH$1000*'ANALYSE - ERP =&gt; SOUS-SEGMENT'!$JN$8:$JN$1000)/SUMPRODUCT(('ANALYSE - ERP =&gt; SOUS-SEGMENT'!$C$8:$C$1000=$C38)*'ANALYSE - ERP =&gt; SOUS-SEGMENT'!$Q$8:$Q$1000*'ANALYSE - ERP =&gt; SOUS-SEGMENT'!$FH$8:$FH$1000),""))</f>
        <v>3.6640045244969992E-2</v>
      </c>
      <c r="JO38" s="730">
        <f>IF($C38="","",IFERROR(SUMPRODUCT(('ANALYSE - ERP =&gt; SOUS-SEGMENT'!$C$8:$C$1000=$C38)*'ANALYSE - ERP =&gt; SOUS-SEGMENT'!$Q$8:$Q$1000*'ANALYSE - ERP =&gt; SOUS-SEGMENT'!$FH$8:$FH$1000*'ANALYSE - ERP =&gt; SOUS-SEGMENT'!$JO$8:$JO$1000)/SUMPRODUCT(('ANALYSE - ERP =&gt; SOUS-SEGMENT'!$C$8:$C$1000=$C38)*'ANALYSE - ERP =&gt; SOUS-SEGMENT'!$Q$8:$Q$1000*'ANALYSE - ERP =&gt; SOUS-SEGMENT'!$FH$8:$FH$1000),""))</f>
        <v>0.45735405921517142</v>
      </c>
      <c r="JP38" s="730">
        <f>IF($C38="","",IFERROR(SUMPRODUCT(('ANALYSE - ERP =&gt; SOUS-SEGMENT'!$C$8:$C$1000=$C38)*'ANALYSE - ERP =&gt; SOUS-SEGMENT'!$Q$8:$Q$1000*'ANALYSE - ERP =&gt; SOUS-SEGMENT'!$FH$8:$FH$1000*'ANALYSE - ERP =&gt; SOUS-SEGMENT'!$JP$8:$JP$1000)/SUMPRODUCT(('ANALYSE - ERP =&gt; SOUS-SEGMENT'!$C$8:$C$1000=$C38)*'ANALYSE - ERP =&gt; SOUS-SEGMENT'!$Q$8:$Q$1000*'ANALYSE - ERP =&gt; SOUS-SEGMENT'!$FH$8:$FH$1000),""))</f>
        <v>0.44231257048924882</v>
      </c>
      <c r="JQ38" s="730">
        <f>IF($C38="","",IFERROR(SUMPRODUCT(('ANALYSE - ERP =&gt; SOUS-SEGMENT'!$C$8:$C$1000=$C38)*'ANALYSE - ERP =&gt; SOUS-SEGMENT'!$Q$8:$Q$1000*'ANALYSE - ERP =&gt; SOUS-SEGMENT'!$FH$8:$FH$1000*'ANALYSE - ERP =&gt; SOUS-SEGMENT'!$JQ$8:$JQ$1000)/SUMPRODUCT(('ANALYSE - ERP =&gt; SOUS-SEGMENT'!$C$8:$C$1000=$C38)*'ANALYSE - ERP =&gt; SOUS-SEGMENT'!$Q$8:$Q$1000*'ANALYSE - ERP =&gt; SOUS-SEGMENT'!$FH$8:$FH$1000),""))</f>
        <v>6.2832246076903839E-2</v>
      </c>
      <c r="JR38" s="730">
        <f>IF($C38="","",IFERROR(SUMPRODUCT(('ANALYSE - ERP =&gt; SOUS-SEGMENT'!$C$8:$C$1000=$C38)*'ANALYSE - ERP =&gt; SOUS-SEGMENT'!$Q$8:$Q$1000*'ANALYSE - ERP =&gt; SOUS-SEGMENT'!$FH$8:$FH$1000*'ANALYSE - ERP =&gt; SOUS-SEGMENT'!$JR$8:$JR$1000)/SUMPRODUCT(('ANALYSE - ERP =&gt; SOUS-SEGMENT'!$C$8:$C$1000=$C38)*'ANALYSE - ERP =&gt; SOUS-SEGMENT'!$Q$8:$Q$1000*'ANALYSE - ERP =&gt; SOUS-SEGMENT'!$FH$8:$FH$1000),""))</f>
        <v>8.610789737058689E-4</v>
      </c>
      <c r="JS38" s="730">
        <f>IF($C38="","",IFERROR(SUMPRODUCT(('ANALYSE - ERP =&gt; SOUS-SEGMENT'!$C$8:$C$1000=$C38)*'ANALYSE - ERP =&gt; SOUS-SEGMENT'!$Q$8:$Q$1000*'ANALYSE - ERP =&gt; SOUS-SEGMENT'!$BH$8:$BH$1000*'ANALYSE - ERP =&gt; SOUS-SEGMENT'!$JS$8:$JS$1000)/SUMPRODUCT(('ANALYSE - ERP =&gt; SOUS-SEGMENT'!$C$8:$C$1000=$C38)*'ANALYSE - ERP =&gt; SOUS-SEGMENT'!$Q$8:$Q$1000*'ANALYSE - ERP =&gt; SOUS-SEGMENT'!$BH$8:$BH$1000),""))</f>
        <v>4.8142384105960258E-2</v>
      </c>
      <c r="JT38" s="730">
        <f>IF($C38="","",IFERROR(SUMPRODUCT(('ANALYSE - ERP =&gt; SOUS-SEGMENT'!$C$8:$C$1000=$C38)*'ANALYSE - ERP =&gt; SOUS-SEGMENT'!$Q$8:$Q$1000*'ANALYSE - ERP =&gt; SOUS-SEGMENT'!$BH$8:$BH$1000*'ANALYSE - ERP =&gt; SOUS-SEGMENT'!$JT$8:$JT$1000)/SUMPRODUCT(('ANALYSE - ERP =&gt; SOUS-SEGMENT'!$C$8:$C$1000=$C38)*'ANALYSE - ERP =&gt; SOUS-SEGMENT'!$Q$8:$Q$1000*'ANALYSE - ERP =&gt; SOUS-SEGMENT'!$BH$8:$BH$1000),""))</f>
        <v>0.4926516556291391</v>
      </c>
      <c r="JU38" s="730">
        <f>IF($C38="","",IFERROR(SUMPRODUCT(('ANALYSE - ERP =&gt; SOUS-SEGMENT'!$C$8:$C$1000=$C38)*'ANALYSE - ERP =&gt; SOUS-SEGMENT'!$Q$8:$Q$1000*'ANALYSE - ERP =&gt; SOUS-SEGMENT'!$BH$8:$BH$1000*'ANALYSE - ERP =&gt; SOUS-SEGMENT'!$JU$8:$JU$1000)/SUMPRODUCT(('ANALYSE - ERP =&gt; SOUS-SEGMENT'!$C$8:$C$1000=$C38)*'ANALYSE - ERP =&gt; SOUS-SEGMENT'!$Q$8:$Q$1000*'ANALYSE - ERP =&gt; SOUS-SEGMENT'!$BH$8:$BH$1000),""))</f>
        <v>0.40824503311258281</v>
      </c>
      <c r="JV38" s="730">
        <f>IF($C38="","",IFERROR(SUMPRODUCT(('ANALYSE - ERP =&gt; SOUS-SEGMENT'!$C$8:$C$1000=$C38)*'ANALYSE - ERP =&gt; SOUS-SEGMENT'!$Q$8:$Q$1000*'ANALYSE - ERP =&gt; SOUS-SEGMENT'!$BH$8:$BH$1000*'ANALYSE - ERP =&gt; SOUS-SEGMENT'!$JV$8:$JV$1000)/SUMPRODUCT(('ANALYSE - ERP =&gt; SOUS-SEGMENT'!$C$8:$C$1000=$C38)*'ANALYSE - ERP =&gt; SOUS-SEGMENT'!$Q$8:$Q$1000*'ANALYSE - ERP =&gt; SOUS-SEGMENT'!$BH$8:$BH$1000),""))</f>
        <v>5.0454304635761595E-2</v>
      </c>
      <c r="JW38" s="730">
        <f>IF($C38="","",IFERROR(SUMPRODUCT(('ANALYSE - ERP =&gt; SOUS-SEGMENT'!$C$8:$C$1000=$C38)*'ANALYSE - ERP =&gt; SOUS-SEGMENT'!$Q$8:$Q$1000*'ANALYSE - ERP =&gt; SOUS-SEGMENT'!$BH$8:$BH$1000*'ANALYSE - ERP =&gt; SOUS-SEGMENT'!$JW$8:$JW$1000)/SUMPRODUCT(('ANALYSE - ERP =&gt; SOUS-SEGMENT'!$C$8:$C$1000=$C38)*'ANALYSE - ERP =&gt; SOUS-SEGMENT'!$Q$8:$Q$1000*'ANALYSE - ERP =&gt; SOUS-SEGMENT'!$BH$8:$BH$1000),""))</f>
        <v>5.0662251655629131E-4</v>
      </c>
      <c r="JX38" s="730">
        <f>IF($C38="","",IFERROR(SUMPRODUCT(('ANALYSE - ERP =&gt; SOUS-SEGMENT'!$C$8:$C$1000=$C38)*'ANALYSE - ERP =&gt; SOUS-SEGMENT'!$Q$8:$Q$1000*'ANALYSE - ERP =&gt; SOUS-SEGMENT'!$FK$8:$FK$1000*'ANALYSE - ERP =&gt; SOUS-SEGMENT'!$JX$8:$JX$1000)/SUMPRODUCT(('ANALYSE - ERP =&gt; SOUS-SEGMENT'!$C$8:$C$1000=$C38)*'ANALYSE - ERP =&gt; SOUS-SEGMENT'!$Q$8:$Q$1000*'ANALYSE - ERP =&gt; SOUS-SEGMENT'!$FK$8:$FK$1000),""))</f>
        <v>1.8229564135276519E-2</v>
      </c>
      <c r="JY38" s="730">
        <f>IF($C38="","",IFERROR(SUMPRODUCT(('ANALYSE - ERP =&gt; SOUS-SEGMENT'!$C$8:$C$1000=$C38)*'ANALYSE - ERP =&gt; SOUS-SEGMENT'!$Q$8:$Q$1000*'ANALYSE - ERP =&gt; SOUS-SEGMENT'!$FK$8:$FK$1000*'ANALYSE - ERP =&gt; SOUS-SEGMENT'!$JY$8:$JY$1000)/SUMPRODUCT(('ANALYSE - ERP =&gt; SOUS-SEGMENT'!$C$8:$C$1000=$C38)*'ANALYSE - ERP =&gt; SOUS-SEGMENT'!$Q$8:$Q$1000*'ANALYSE - ERP =&gt; SOUS-SEGMENT'!$FK$8:$FK$1000),""))</f>
        <v>0.35730017940468994</v>
      </c>
      <c r="JZ38" s="730">
        <f>IF($C38="","",IFERROR(SUMPRODUCT(('ANALYSE - ERP =&gt; SOUS-SEGMENT'!$C$8:$C$1000=$C38)*'ANALYSE - ERP =&gt; SOUS-SEGMENT'!$Q$8:$Q$1000*'ANALYSE - ERP =&gt; SOUS-SEGMENT'!$FK$8:$FK$1000*'ANALYSE - ERP =&gt; SOUS-SEGMENT'!$JZ$8:$JZ$1000)/SUMPRODUCT(('ANALYSE - ERP =&gt; SOUS-SEGMENT'!$C$8:$C$1000=$C38)*'ANALYSE - ERP =&gt; SOUS-SEGMENT'!$Q$8:$Q$1000*'ANALYSE - ERP =&gt; SOUS-SEGMENT'!$FK$8:$FK$1000),""))</f>
        <v>0.5231026540334941</v>
      </c>
      <c r="KA38" s="730">
        <f>IF($C38="","",IFERROR(SUMPRODUCT(('ANALYSE - ERP =&gt; SOUS-SEGMENT'!$C$8:$C$1000=$C38)*'ANALYSE - ERP =&gt; SOUS-SEGMENT'!$Q$8:$Q$1000*'ANALYSE - ERP =&gt; SOUS-SEGMENT'!$FK$8:$FK$1000*'ANALYSE - ERP =&gt; SOUS-SEGMENT'!$KA$8:$KA$1000)/SUMPRODUCT(('ANALYSE - ERP =&gt; SOUS-SEGMENT'!$C$8:$C$1000=$C38)*'ANALYSE - ERP =&gt; SOUS-SEGMENT'!$Q$8:$Q$1000*'ANALYSE - ERP =&gt; SOUS-SEGMENT'!$FK$8:$FK$1000),""))</f>
        <v>9.9272297319016226E-2</v>
      </c>
      <c r="KB38" s="730">
        <f>IF($C38="","",IFERROR(SUMPRODUCT(('ANALYSE - ERP =&gt; SOUS-SEGMENT'!$C$8:$C$1000=$C38)*'ANALYSE - ERP =&gt; SOUS-SEGMENT'!$Q$8:$Q$1000*'ANALYSE - ERP =&gt; SOUS-SEGMENT'!$FK$8:$FK$1000*'ANALYSE - ERP =&gt; SOUS-SEGMENT'!$KB$8:$KB$1000)/SUMPRODUCT(('ANALYSE - ERP =&gt; SOUS-SEGMENT'!$C$8:$C$1000=$C38)*'ANALYSE - ERP =&gt; SOUS-SEGMENT'!$Q$8:$Q$1000*'ANALYSE - ERP =&gt; SOUS-SEGMENT'!$FK$8:$FK$1000),""))</f>
        <v>2.0953051075232642E-3</v>
      </c>
      <c r="KC38" s="657"/>
      <c r="KD38" s="920" t="s">
        <v>6173</v>
      </c>
      <c r="KE38" s="920" t="s">
        <v>2591</v>
      </c>
      <c r="KF38" s="866">
        <f>IF($C38="","",IFERROR(SUMPRODUCT(('ANALYSE - ERP =&gt; SOUS-SEGMENT'!$C$8:$C$1000=$C38)*'ANALYSE - ERP =&gt; SOUS-SEGMENT'!$Q$8:$Q$1000*'ANALYSE - ERP =&gt; SOUS-SEGMENT'!$IE$8:$IE$1000*'ANALYSE - ERP =&gt; SOUS-SEGMENT'!$KF$8:$KF$1000)/SUMPRODUCT(('ANALYSE - ERP =&gt; SOUS-SEGMENT'!$C$8:$C$1000=$C38)*'ANALYSE - ERP =&gt; SOUS-SEGMENT'!$Q$8:$Q$1000*'ANALYSE - ERP =&gt; SOUS-SEGMENT'!$IE$8:$IE$1000),""))</f>
        <v>4.0118865560285792</v>
      </c>
      <c r="KG38" s="920" t="s">
        <v>6174</v>
      </c>
      <c r="KH38" s="920" t="s">
        <v>6175</v>
      </c>
      <c r="KI38" s="920" t="s">
        <v>6176</v>
      </c>
      <c r="KJ38" s="920" t="s">
        <v>6177</v>
      </c>
    </row>
    <row r="39" spans="1:296" ht="120" customHeight="1">
      <c r="A39" s="957">
        <f>IF($C39="","",ROWS($A$8:A39))</f>
        <v>32</v>
      </c>
      <c r="B39" s="958" t="s">
        <v>4908</v>
      </c>
      <c r="C39" s="958" t="s">
        <v>88</v>
      </c>
      <c r="D39" s="959" t="s">
        <v>6178</v>
      </c>
      <c r="E39" s="269" t="s">
        <v>2117</v>
      </c>
      <c r="F39" s="960" t="s">
        <v>6179</v>
      </c>
      <c r="G39" s="960" t="s">
        <v>2121</v>
      </c>
      <c r="H39" s="960" t="s">
        <v>2096</v>
      </c>
      <c r="I39" s="960" t="s">
        <v>6180</v>
      </c>
      <c r="J39" s="960" t="s">
        <v>6181</v>
      </c>
      <c r="K39" s="960" t="s">
        <v>2109</v>
      </c>
      <c r="L39" s="960" t="s">
        <v>2109</v>
      </c>
      <c r="M39" s="960" t="s">
        <v>2603</v>
      </c>
      <c r="N39" s="960" t="s">
        <v>2099</v>
      </c>
      <c r="O39" s="960" t="s">
        <v>2616</v>
      </c>
      <c r="P39" s="960"/>
      <c r="Q39" s="270">
        <f>IF($C39="","",IF(SUMIFS('ANALYSE - ERP =&gt; SOUS-SEGMENT'!$Q$8:$Q$1000,'ANALYSE - ERP =&gt; SOUS-SEGMENT'!$C$8:$C$1000,$C39)&gt;0,1,0))</f>
        <v>1</v>
      </c>
      <c r="R39" s="271">
        <f>IF($C39="","",IFERROR(SUMPRODUCT(('ANALYSE - ERP =&gt; SOUS-SEGMENT'!$C$8:$C$1000=$C39)*'ANALYSE - ERP =&gt; SOUS-SEGMENT'!$Q$8:$Q$1000*'ANALYSE - ERP =&gt; SOUS-SEGMENT'!$AF$8:$AF$1000*'ANALYSE - ERP =&gt; SOUS-SEGMENT'!$R$8:$R$1000)/SUMPRODUCT(('ANALYSE - ERP =&gt; SOUS-SEGMENT'!$C$8:$C$1000=$C39)*'ANALYSE - ERP =&gt; SOUS-SEGMENT'!$Q$8:$Q$1000*'ANALYSE - ERP =&gt; SOUS-SEGMENT'!$AF$8:$AF$1000),""))</f>
        <v>10382.478632478633</v>
      </c>
      <c r="S39" s="272">
        <f>IF($C39="","",SUMPRODUCT(('ANALYSE - ERP =&gt; SOUS-SEGMENT'!$C$8:$C$1000=$C39)*'ANALYSE - ERP =&gt; SOUS-SEGMENT'!$Q$8:$Q$1000*'ANALYSE - ERP =&gt; SOUS-SEGMENT'!$S$8:$S$1000))</f>
        <v>185</v>
      </c>
      <c r="T39" s="272">
        <f>IF($C39="","",SUMPRODUCT(('ANALYSE - ERP =&gt; SOUS-SEGMENT'!$C$8:$C$1000=$C39)*'ANALYSE - ERP =&gt; SOUS-SEGMENT'!$Q$8:$Q$1000*'ANALYSE - ERP =&gt; SOUS-SEGMENT'!$T$8:$T$1000))</f>
        <v>218</v>
      </c>
      <c r="U39" s="272">
        <f>IF($C39="","",SUMPRODUCT(('ANALYSE - ERP =&gt; SOUS-SEGMENT'!$C$8:$C$1000=$C39)*'ANALYSE - ERP =&gt; SOUS-SEGMENT'!$Q$8:$Q$1000*'ANALYSE - ERP =&gt; SOUS-SEGMENT'!$U$8:$U$1000))</f>
        <v>227</v>
      </c>
      <c r="V39" s="272">
        <f>IF($C39="","",SUMPRODUCT(('ANALYSE - ERP =&gt; SOUS-SEGMENT'!$C$8:$C$1000=$C39)*'ANALYSE - ERP =&gt; SOUS-SEGMENT'!$Q$8:$Q$1000*'ANALYSE - ERP =&gt; SOUS-SEGMENT'!$V$8:$V$1000))</f>
        <v>229</v>
      </c>
      <c r="W39" s="272">
        <f>IF($C39="","",SUMPRODUCT(('ANALYSE - ERP =&gt; SOUS-SEGMENT'!$C$8:$C$1000=$C39)*'ANALYSE - ERP =&gt; SOUS-SEGMENT'!$Q$8:$Q$1000*'ANALYSE - ERP =&gt; SOUS-SEGMENT'!$W$8:$W$1000))</f>
        <v>227</v>
      </c>
      <c r="X39" s="272">
        <f>IF($C39="","",SUMPRODUCT(('ANALYSE - ERP =&gt; SOUS-SEGMENT'!$C$8:$C$1000=$C39)*'ANALYSE - ERP =&gt; SOUS-SEGMENT'!$Q$8:$Q$1000*'ANALYSE - ERP =&gt; SOUS-SEGMENT'!$X$8:$X$1000))</f>
        <v>225</v>
      </c>
      <c r="Y39" s="272">
        <f>IF($C39="","",SUMPRODUCT(('ANALYSE - ERP =&gt; SOUS-SEGMENT'!$C$8:$C$1000=$C39)*'ANALYSE - ERP =&gt; SOUS-SEGMENT'!$Q$8:$Q$1000*'ANALYSE - ERP =&gt; SOUS-SEGMENT'!$Y$8:$Y$1000))</f>
        <v>223</v>
      </c>
      <c r="Z39" s="272">
        <f>IF($C39="","",SUMPRODUCT(('ANALYSE - ERP =&gt; SOUS-SEGMENT'!$C$8:$C$1000=$C39)*'ANALYSE - ERP =&gt; SOUS-SEGMENT'!$Q$8:$Q$1000*'ANALYSE - ERP =&gt; SOUS-SEGMENT'!$Z$8:$Z$1000))</f>
        <v>222</v>
      </c>
      <c r="AA39" s="272">
        <f>IF($C39="","",SUMPRODUCT(('ANALYSE - ERP =&gt; SOUS-SEGMENT'!$C$8:$C$1000=$C39)*'ANALYSE - ERP =&gt; SOUS-SEGMENT'!$Q$8:$Q$1000*'ANALYSE - ERP =&gt; SOUS-SEGMENT'!$AA$8:$AA$1000))</f>
        <v>220</v>
      </c>
      <c r="AB39" s="272">
        <f>IF($C39="","",SUMPRODUCT(('ANALYSE - ERP =&gt; SOUS-SEGMENT'!$C$8:$C$1000=$C39)*'ANALYSE - ERP =&gt; SOUS-SEGMENT'!$Q$8:$Q$1000*'ANALYSE - ERP =&gt; SOUS-SEGMENT'!$AB$8:$AB$1000))</f>
        <v>223</v>
      </c>
      <c r="AC39" s="272">
        <f>IF($C39="","",SUMPRODUCT(('ANALYSE - ERP =&gt; SOUS-SEGMENT'!$C$8:$C$1000=$C39)*'ANALYSE - ERP =&gt; SOUS-SEGMENT'!$Q$8:$Q$1000*'ANALYSE - ERP =&gt; SOUS-SEGMENT'!$AC$8:$AC$1000))</f>
        <v>227</v>
      </c>
      <c r="AD39" s="272">
        <f>IF($C39="","",SUMPRODUCT(('ANALYSE - ERP =&gt; SOUS-SEGMENT'!$C$8:$C$1000=$C39)*'ANALYSE - ERP =&gt; SOUS-SEGMENT'!$Q$8:$Q$1000*'ANALYSE - ERP =&gt; SOUS-SEGMENT'!$AD$8:$AD$1000))</f>
        <v>229</v>
      </c>
      <c r="AE39" s="272">
        <f>IF($C39="","",SUMPRODUCT(('ANALYSE - ERP =&gt; SOUS-SEGMENT'!$C$8:$C$1000=$C39)*'ANALYSE - ERP =&gt; SOUS-SEGMENT'!$Q$8:$Q$1000*'ANALYSE - ERP =&gt; SOUS-SEGMENT'!$AE$8:$AE$1000))</f>
        <v>233</v>
      </c>
      <c r="AF39" s="272">
        <f>IF($C39="","",SUMPRODUCT(('ANALYSE - ERP =&gt; SOUS-SEGMENT'!$C$8:$C$1000=$C39)*'ANALYSE - ERP =&gt; SOUS-SEGMENT'!$Q$8:$Q$1000*'ANALYSE - ERP =&gt; SOUS-SEGMENT'!$AF$8:$AF$1000))</f>
        <v>234</v>
      </c>
      <c r="AG39" s="272">
        <f>IF($C39="","",SUMPRODUCT(('ANALYSE - ERP =&gt; SOUS-SEGMENT'!$C$8:$C$1000=$C39)*'ANALYSE - ERP =&gt; SOUS-SEGMENT'!$Q$8:$Q$1000*'ANALYSE - ERP =&gt; SOUS-SEGMENT'!$AG$8:$AG$1000))</f>
        <v>239</v>
      </c>
      <c r="AH39" s="272">
        <f>IF($C39="","",SUMPRODUCT(('ANALYSE - ERP =&gt; SOUS-SEGMENT'!$C$8:$C$1000=$C39)*'ANALYSE - ERP =&gt; SOUS-SEGMENT'!$Q$8:$Q$1000*'ANALYSE - ERP =&gt; SOUS-SEGMENT'!$AH$8:$AH$1000))</f>
        <v>241</v>
      </c>
      <c r="AI39" s="272">
        <f>IF($C39="","",SUMPRODUCT(('ANALYSE - ERP =&gt; SOUS-SEGMENT'!$C$8:$C$1000=$C39)*'ANALYSE - ERP =&gt; SOUS-SEGMENT'!$Q$8:$Q$1000*'ANALYSE - ERP =&gt; SOUS-SEGMENT'!$AI$8:$AI$1000))</f>
        <v>244</v>
      </c>
      <c r="AJ39" s="272">
        <f>IF($C39="","",SUMPRODUCT(('ANALYSE - ERP =&gt; SOUS-SEGMENT'!$C$8:$C$1000=$C39)*'ANALYSE - ERP =&gt; SOUS-SEGMENT'!$Q$8:$Q$1000*'ANALYSE - ERP =&gt; SOUS-SEGMENT'!$AJ$8:$AJ$1000))</f>
        <v>246</v>
      </c>
      <c r="AK39" s="272">
        <f>IF($C39="","",SUMPRODUCT(('ANALYSE - ERP =&gt; SOUS-SEGMENT'!$C$8:$C$1000=$C39)*'ANALYSE - ERP =&gt; SOUS-SEGMENT'!$Q$8:$Q$1000*'ANALYSE - ERP =&gt; SOUS-SEGMENT'!$AK$8:$AK$1000))</f>
        <v>250</v>
      </c>
      <c r="AL39" s="960" t="s">
        <v>6182</v>
      </c>
      <c r="AM39" s="960" t="s">
        <v>6183</v>
      </c>
      <c r="AN39" s="960" t="s">
        <v>6184</v>
      </c>
      <c r="AO39" s="657"/>
      <c r="AP39" s="271">
        <f>IF($C39="","",IFERROR(SUMPRODUCT(('ANALYSE - ERP =&gt; SOUS-SEGMENT'!$C$8:$C$1000=$C39)*'ANALYSE - ERP =&gt; SOUS-SEGMENT'!$Q$8:$Q$1000*'ANALYSE - ERP =&gt; SOUS-SEGMENT'!$AF$8:$AF$1000*'ANALYSE - ERP =&gt; SOUS-SEGMENT'!$AP$8:$AP$1000)/SUMPRODUCT(('ANALYSE - ERP =&gt; SOUS-SEGMENT'!$C$8:$C$1000=$C39)*'ANALYSE - ERP =&gt; SOUS-SEGMENT'!$Q$8:$Q$1000*'ANALYSE - ERP =&gt; SOUS-SEGMENT'!$AF$8:$AF$1000),""))</f>
        <v>301.23931623931622</v>
      </c>
      <c r="AQ39" s="280">
        <f>IF($C39="","",IFERROR(SUMPRODUCT(('ANALYSE - ERP =&gt; SOUS-SEGMENT'!$C$8:$C$1000=$C39)*'ANALYSE - ERP =&gt; SOUS-SEGMENT'!$Q$8:$Q$1000*'ANALYSE - ERP =&gt; SOUS-SEGMENT'!$AF$8:$AF$1000*'ANALYSE - ERP =&gt; SOUS-SEGMENT'!$AQ$8:$AQ$1000)/SUMPRODUCT(('ANALYSE - ERP =&gt; SOUS-SEGMENT'!$C$8:$C$1000=$C39)*'ANALYSE - ERP =&gt; SOUS-SEGMENT'!$Q$8:$Q$1000*'ANALYSE - ERP =&gt; SOUS-SEGMENT'!$AF$8:$AF$1000),""))</f>
        <v>225.87179487179486</v>
      </c>
      <c r="AR39" s="280">
        <f>IF($C39="","",IFERROR(SUMPRODUCT(('ANALYSE - ERP =&gt; SOUS-SEGMENT'!$C$8:$C$1000=$C39)*'ANALYSE - ERP =&gt; SOUS-SEGMENT'!$Q$8:$Q$1000*'ANALYSE - ERP =&gt; SOUS-SEGMENT'!$AF$8:$AF$1000*'ANALYSE - ERP =&gt; SOUS-SEGMENT'!$AR$8:$AR$1000)/SUMPRODUCT(('ANALYSE - ERP =&gt; SOUS-SEGMENT'!$C$8:$C$1000=$C39)*'ANALYSE - ERP =&gt; SOUS-SEGMENT'!$Q$8:$Q$1000*'ANALYSE - ERP =&gt; SOUS-SEGMENT'!$AF$8:$AF$1000),""))</f>
        <v>60.457264957264954</v>
      </c>
      <c r="AS39" s="280">
        <f>IF($C39="","",IFERROR(SUMPRODUCT(('ANALYSE - ERP =&gt; SOUS-SEGMENT'!$C$8:$C$1000=$C39)*'ANALYSE - ERP =&gt; SOUS-SEGMENT'!$Q$8:$Q$1000*'ANALYSE - ERP =&gt; SOUS-SEGMENT'!$AF$8:$AF$1000*'ANALYSE - ERP =&gt; SOUS-SEGMENT'!$AS$8:$AS$1000)/SUMPRODUCT(('ANALYSE - ERP =&gt; SOUS-SEGMENT'!$C$8:$C$1000=$C39)*'ANALYSE - ERP =&gt; SOUS-SEGMENT'!$Q$8:$Q$1000*'ANALYSE - ERP =&gt; SOUS-SEGMENT'!$AF$8:$AF$1000),""))</f>
        <v>14.910256410256411</v>
      </c>
      <c r="AT39" s="657"/>
      <c r="AU39" s="647" t="s">
        <v>6185</v>
      </c>
      <c r="AV39" s="647" t="s">
        <v>6186</v>
      </c>
      <c r="AW39" s="960" t="s">
        <v>6187</v>
      </c>
      <c r="AX39" s="647" t="s">
        <v>4918</v>
      </c>
      <c r="AY39" s="657"/>
      <c r="AZ39" s="948">
        <f>IF($C39="","",IFERROR(SUMPRODUCT(('ANALYSE - ERP =&gt; SOUS-SEGMENT'!$C$8:$C$1000=$C39)*'ANALYSE - ERP =&gt; SOUS-SEGMENT'!$Q$8:$Q$1000*'ANALYSE - ERP =&gt; SOUS-SEGMENT'!$AF$8:$AF$1000*'ANALYSE - ERP =&gt; SOUS-SEGMENT'!$AZ$8:$AZ$1000)/SUMPRODUCT(('ANALYSE - ERP =&gt; SOUS-SEGMENT'!$C$8:$C$1000=$C39)*'ANALYSE - ERP =&gt; SOUS-SEGMENT'!$Q$8:$Q$1000*'ANALYSE - ERP =&gt; SOUS-SEGMENT'!$AF$8:$AF$1000),""))</f>
        <v>163.32051282051282</v>
      </c>
      <c r="BA39" s="948">
        <f>IF($C39="","",IFERROR(SUMPRODUCT(('ANALYSE - ERP =&gt; SOUS-SEGMENT'!$C$8:$C$1000=$C39)*'ANALYSE - ERP =&gt; SOUS-SEGMENT'!$Q$8:$Q$1000*'ANALYSE - ERP =&gt; SOUS-SEGMENT'!$AF$8:$AF$1000*'ANALYSE - ERP =&gt; SOUS-SEGMENT'!$BA$8:$BA$1000)/SUMPRODUCT(('ANALYSE - ERP =&gt; SOUS-SEGMENT'!$C$8:$C$1000=$C39)*'ANALYSE - ERP =&gt; SOUS-SEGMENT'!$Q$8:$Q$1000*'ANALYSE - ERP =&gt; SOUS-SEGMENT'!$AF$8:$AF$1000),""))</f>
        <v>32.92307692307692</v>
      </c>
      <c r="BB39" s="948">
        <f>IF($C39="","",IFERROR(SUMPRODUCT(('ANALYSE - ERP =&gt; SOUS-SEGMENT'!$C$8:$C$1000=$C39)*'ANALYSE - ERP =&gt; SOUS-SEGMENT'!$Q$8:$Q$1000*'ANALYSE - ERP =&gt; SOUS-SEGMENT'!$AF$8:$AF$1000*'ANALYSE - ERP =&gt; SOUS-SEGMENT'!$BB$8:$BB$1000)/SUMPRODUCT(('ANALYSE - ERP =&gt; SOUS-SEGMENT'!$C$8:$C$1000=$C39)*'ANALYSE - ERP =&gt; SOUS-SEGMENT'!$Q$8:$Q$1000*'ANALYSE - ERP =&gt; SOUS-SEGMENT'!$AF$8:$AF$1000),""))</f>
        <v>2.2264957264957266</v>
      </c>
      <c r="BC39" s="948">
        <f>IF($C39="","",IFERROR(SUMPRODUCT(('ANALYSE - ERP =&gt; SOUS-SEGMENT'!$C$8:$C$1000=$C39)*'ANALYSE - ERP =&gt; SOUS-SEGMENT'!$Q$8:$Q$1000*'ANALYSE - ERP =&gt; SOUS-SEGMENT'!$AF$8:$AF$1000*'ANALYSE - ERP =&gt; SOUS-SEGMENT'!$BC$8:$BC$1000)/SUMPRODUCT(('ANALYSE - ERP =&gt; SOUS-SEGMENT'!$C$8:$C$1000=$C39)*'ANALYSE - ERP =&gt; SOUS-SEGMENT'!$Q$8:$Q$1000*'ANALYSE - ERP =&gt; SOUS-SEGMENT'!$AF$8:$AF$1000),""))</f>
        <v>153.23076923076923</v>
      </c>
      <c r="BD39" s="825">
        <f t="shared" si="1"/>
        <v>82298</v>
      </c>
      <c r="BE39" s="304">
        <f>IF($C39="","",SUMPRODUCT(('ANALYSE - ERP =&gt; SOUS-SEGMENT'!$C$8:$C$1000=$C39)*'ANALYSE - ERP =&gt; SOUS-SEGMENT'!$Q$8:$Q$1000*'ANALYSE - ERP =&gt; SOUS-SEGMENT'!$BE$8:$BE$1000))</f>
        <v>38217</v>
      </c>
      <c r="BF39" s="304">
        <f>IF($C39="","",SUMPRODUCT(('ANALYSE - ERP =&gt; SOUS-SEGMENT'!$C$8:$C$1000=$C39)*'ANALYSE - ERP =&gt; SOUS-SEGMENT'!$Q$8:$Q$1000*'ANALYSE - ERP =&gt; SOUS-SEGMENT'!$BF$8:$BF$1000))</f>
        <v>7704</v>
      </c>
      <c r="BG39" s="304">
        <f>IF($C39="","",SUMPRODUCT(('ANALYSE - ERP =&gt; SOUS-SEGMENT'!$C$8:$C$1000=$C39)*'ANALYSE - ERP =&gt; SOUS-SEGMENT'!$Q$8:$Q$1000*'ANALYSE - ERP =&gt; SOUS-SEGMENT'!$BG$8:$BG$1000))</f>
        <v>521</v>
      </c>
      <c r="BH39" s="304">
        <f>IF($C39="","",SUMPRODUCT(('ANALYSE - ERP =&gt; SOUS-SEGMENT'!$C$8:$C$1000=$C39)*'ANALYSE - ERP =&gt; SOUS-SEGMENT'!$Q$8:$Q$1000*'ANALYSE - ERP =&gt; SOUS-SEGMENT'!$BH$8:$BH$1000))</f>
        <v>35856</v>
      </c>
      <c r="BI39" s="825">
        <f t="shared" si="2"/>
        <v>84674</v>
      </c>
      <c r="BJ39" s="304">
        <f>IF($C39="","",SUMPRODUCT(('ANALYSE - ERP =&gt; SOUS-SEGMENT'!$C$8:$C$1000=$C39)*'ANALYSE - ERP =&gt; SOUS-SEGMENT'!$Q$8:$Q$1000*'ANALYSE - ERP =&gt; SOUS-SEGMENT'!$BJ$8:$BJ$1000))</f>
        <v>39282</v>
      </c>
      <c r="BK39" s="304">
        <f>IF($C39="","",SUMPRODUCT(('ANALYSE - ERP =&gt; SOUS-SEGMENT'!$C$8:$C$1000=$C39)*'ANALYSE - ERP =&gt; SOUS-SEGMENT'!$Q$8:$Q$1000*'ANALYSE - ERP =&gt; SOUS-SEGMENT'!$BK$8:$BK$1000))</f>
        <v>7988</v>
      </c>
      <c r="BL39" s="304">
        <f>IF($C39="","",SUMPRODUCT(('ANALYSE - ERP =&gt; SOUS-SEGMENT'!$C$8:$C$1000=$C39)*'ANALYSE - ERP =&gt; SOUS-SEGMENT'!$Q$8:$Q$1000*'ANALYSE - ERP =&gt; SOUS-SEGMENT'!$BL$8:$BL$1000))</f>
        <v>547</v>
      </c>
      <c r="BM39" s="304">
        <f>IF($C39="","",SUMPRODUCT(('ANALYSE - ERP =&gt; SOUS-SEGMENT'!$C$8:$C$1000=$C39)*'ANALYSE - ERP =&gt; SOUS-SEGMENT'!$Q$8:$Q$1000*'ANALYSE - ERP =&gt; SOUS-SEGMENT'!$BM$8:$BM$1000))</f>
        <v>36857</v>
      </c>
      <c r="BN39" s="657"/>
      <c r="BO39" s="284">
        <f t="shared" si="3"/>
        <v>2.0000000000000004E-2</v>
      </c>
      <c r="BP39" s="284">
        <f t="shared" si="4"/>
        <v>0.70000000000000007</v>
      </c>
      <c r="BQ39" s="284">
        <f t="shared" si="5"/>
        <v>1.0000000000000002E-2</v>
      </c>
      <c r="BR39" s="710">
        <f t="shared" si="6"/>
        <v>0.27000000000000007</v>
      </c>
      <c r="BS39" s="707">
        <f t="shared" si="7"/>
        <v>0.02</v>
      </c>
      <c r="BT39" s="284">
        <f t="shared" si="8"/>
        <v>0.69</v>
      </c>
      <c r="BU39" s="284">
        <f t="shared" si="9"/>
        <v>0.02</v>
      </c>
      <c r="BV39" s="710">
        <f t="shared" si="10"/>
        <v>0.26999999999999996</v>
      </c>
      <c r="BW39" s="714">
        <f t="shared" si="11"/>
        <v>0.20220015576323988</v>
      </c>
      <c r="BX39" s="285">
        <f t="shared" si="12"/>
        <v>0.79779984423676009</v>
      </c>
      <c r="BY39" s="717">
        <f t="shared" si="13"/>
        <v>0</v>
      </c>
      <c r="BZ39" s="714">
        <f t="shared" si="14"/>
        <v>0.18206810215322983</v>
      </c>
      <c r="CA39" s="285">
        <f t="shared" si="15"/>
        <v>0.81793189784677012</v>
      </c>
      <c r="CB39" s="717">
        <f t="shared" si="16"/>
        <v>0</v>
      </c>
      <c r="CC39" s="284">
        <f t="shared" si="17"/>
        <v>0.1</v>
      </c>
      <c r="CD39" s="284">
        <f t="shared" si="18"/>
        <v>0.8</v>
      </c>
      <c r="CE39" s="284">
        <f t="shared" si="19"/>
        <v>0.03</v>
      </c>
      <c r="CF39" s="710">
        <f t="shared" si="20"/>
        <v>7.0000000000000007E-2</v>
      </c>
      <c r="CG39" s="707">
        <f t="shared" si="21"/>
        <v>0.1</v>
      </c>
      <c r="CH39" s="284">
        <f t="shared" si="22"/>
        <v>0.79000000000000015</v>
      </c>
      <c r="CI39" s="284">
        <f t="shared" si="23"/>
        <v>3.9999999999999994E-2</v>
      </c>
      <c r="CJ39" s="710">
        <f t="shared" si="24"/>
        <v>7.0000000000000007E-2</v>
      </c>
      <c r="CK39" s="720">
        <f t="shared" si="25"/>
        <v>0.48228608879964296</v>
      </c>
      <c r="CL39" s="286">
        <f t="shared" si="26"/>
        <v>0.46771391120035694</v>
      </c>
      <c r="CM39" s="718">
        <f t="shared" si="27"/>
        <v>4.9999999999999996E-2</v>
      </c>
      <c r="CN39" s="720">
        <f t="shared" si="28"/>
        <v>0.43018558211465935</v>
      </c>
      <c r="CO39" s="286">
        <f t="shared" si="29"/>
        <v>0.50981441788534065</v>
      </c>
      <c r="CP39" s="718">
        <f t="shared" si="30"/>
        <v>6.0000000000000005E-2</v>
      </c>
      <c r="CQ39" s="657"/>
      <c r="CR39" s="807">
        <f>IF($C39="","",IFERROR(SUMPRODUCT(('ANALYSE - ERP =&gt; SOUS-SEGMENT'!$C$8:$C$1000=$C39)*'ANALYSE - ERP =&gt; SOUS-SEGMENT'!$Q$8:$Q$1000*'ANALYSE - ERP =&gt; SOUS-SEGMENT'!$DH$8:$DH$1000*'ANALYSE - ERP =&gt; SOUS-SEGMENT'!$CR$8:$CR$1000)/SUMPRODUCT(('ANALYSE - ERP =&gt; SOUS-SEGMENT'!$C$8:$C$1000=$C39)*'ANALYSE - ERP =&gt; SOUS-SEGMENT'!$Q$8:$Q$1000*'ANALYSE - ERP =&gt; SOUS-SEGMENT'!$DH$8:$DH$1000),""))</f>
        <v>9.9999999999999982</v>
      </c>
      <c r="CS39" s="808">
        <f>IF($C39="","",IFERROR(SUMPRODUCT(('ANALYSE - ERP =&gt; SOUS-SEGMENT'!$C$8:$C$1000=$C39)*'ANALYSE - ERP =&gt; SOUS-SEGMENT'!$Q$8:$Q$1000*'ANALYSE - ERP =&gt; SOUS-SEGMENT'!$DI$8:$DI$1000*'ANALYSE - ERP =&gt; SOUS-SEGMENT'!$CS$8:$CS$1000)/SUMPRODUCT(('ANALYSE - ERP =&gt; SOUS-SEGMENT'!$C$8:$C$1000=$C39)*'ANALYSE - ERP =&gt; SOUS-SEGMENT'!$Q$8:$Q$1000*'ANALYSE - ERP =&gt; SOUS-SEGMENT'!$DI$8:$DI$1000),""))</f>
        <v>10.999999999999998</v>
      </c>
      <c r="CT39" s="808">
        <f>IF($C39="","",IFERROR(SUMPRODUCT(('ANALYSE - ERP =&gt; SOUS-SEGMENT'!$C$8:$C$1000=$C39)*'ANALYSE - ERP =&gt; SOUS-SEGMENT'!$Q$8:$Q$1000*'ANALYSE - ERP =&gt; SOUS-SEGMENT'!$DJ$8:$DJ$1000*'ANALYSE - ERP =&gt; SOUS-SEGMENT'!$CT$8:$CT$1000)/SUMPRODUCT(('ANALYSE - ERP =&gt; SOUS-SEGMENT'!$C$8:$C$1000=$C39)*'ANALYSE - ERP =&gt; SOUS-SEGMENT'!$Q$8:$Q$1000*'ANALYSE - ERP =&gt; SOUS-SEGMENT'!$DJ$8:$DJ$1000),""))</f>
        <v>8</v>
      </c>
      <c r="CU39" s="809">
        <f>IF($C39="","",IFERROR(SUMPRODUCT(('ANALYSE - ERP =&gt; SOUS-SEGMENT'!$C$8:$C$1000=$C39)*'ANALYSE - ERP =&gt; SOUS-SEGMENT'!$Q$8:$Q$1000*'ANALYSE - ERP =&gt; SOUS-SEGMENT'!$DK$8:$DK$1000*'ANALYSE - ERP =&gt; SOUS-SEGMENT'!$CU$8:$CU$1000)/SUMPRODUCT(('ANALYSE - ERP =&gt; SOUS-SEGMENT'!$C$8:$C$1000=$C39)*'ANALYSE - ERP =&gt; SOUS-SEGMENT'!$Q$8:$Q$1000*'ANALYSE - ERP =&gt; SOUS-SEGMENT'!$DK$8:$DK$1000),""))</f>
        <v>8.9999999999999982</v>
      </c>
      <c r="CV39" s="807">
        <f>IF($C39="","",IFERROR(SUMPRODUCT(('ANALYSE - ERP =&gt; SOUS-SEGMENT'!$C$8:$C$1000=$C39)*'ANALYSE - ERP =&gt; SOUS-SEGMENT'!$Q$8:$Q$1000*'ANALYSE - ERP =&gt; SOUS-SEGMENT'!$DS$8:$DS$1000*'ANALYSE - ERP =&gt; SOUS-SEGMENT'!$CV$8:$CV$1000)/SUMPRODUCT(('ANALYSE - ERP =&gt; SOUS-SEGMENT'!$C$8:$C$1000=$C39)*'ANALYSE - ERP =&gt; SOUS-SEGMENT'!$Q$8:$Q$1000*'ANALYSE - ERP =&gt; SOUS-SEGMENT'!$DS$8:$DS$1000),""))</f>
        <v>10</v>
      </c>
      <c r="CW39" s="808">
        <f>IF($C39="","",IFERROR(SUMPRODUCT(('ANALYSE - ERP =&gt; SOUS-SEGMENT'!$C$8:$C$1000=$C39)*'ANALYSE - ERP =&gt; SOUS-SEGMENT'!$Q$8:$Q$1000*'ANALYSE - ERP =&gt; SOUS-SEGMENT'!$DT$8:$DT$1000*'ANALYSE - ERP =&gt; SOUS-SEGMENT'!$CW$8:$CW$1000)/SUMPRODUCT(('ANALYSE - ERP =&gt; SOUS-SEGMENT'!$C$8:$C$1000=$C39)*'ANALYSE - ERP =&gt; SOUS-SEGMENT'!$Q$8:$Q$1000*'ANALYSE - ERP =&gt; SOUS-SEGMENT'!$DT$8:$DT$1000),""))</f>
        <v>10</v>
      </c>
      <c r="CX39" s="809" t="str">
        <f>IF($C39="","",IFERROR(SUMPRODUCT(('ANALYSE - ERP =&gt; SOUS-SEGMENT'!$C$8:$C$1000=$C39)*'ANALYSE - ERP =&gt; SOUS-SEGMENT'!$Q$8:$Q$1000*'ANALYSE - ERP =&gt; SOUS-SEGMENT'!$DU$8:$DU$1000*'ANALYSE - ERP =&gt; SOUS-SEGMENT'!$CX$8:$CX$1000)/SUMPRODUCT(('ANALYSE - ERP =&gt; SOUS-SEGMENT'!$C$8:$C$1000=$C39)*'ANALYSE - ERP =&gt; SOUS-SEGMENT'!$Q$8:$Q$1000*'ANALYSE - ERP =&gt; SOUS-SEGMENT'!$DU$8:$DU$1000),""))</f>
        <v/>
      </c>
      <c r="CY39" s="807">
        <f>IF($C39="","",IFERROR(SUMPRODUCT(('ANALYSE - ERP =&gt; SOUS-SEGMENT'!$C$8:$C$1000=$C39)*'ANALYSE - ERP =&gt; SOUS-SEGMENT'!$Q$8:$Q$1000*'ANALYSE - ERP =&gt; SOUS-SEGMENT'!$EB$8:$EB$1000*'ANALYSE - ERP =&gt; SOUS-SEGMENT'!$CY$8:$CY$1000)/SUMPRODUCT(('ANALYSE - ERP =&gt; SOUS-SEGMENT'!$C$8:$C$1000=$C39)*'ANALYSE - ERP =&gt; SOUS-SEGMENT'!$Q$8:$Q$1000*'ANALYSE - ERP =&gt; SOUS-SEGMENT'!$EB$8:$EB$1000),""))</f>
        <v>9</v>
      </c>
      <c r="CZ39" s="808">
        <f>IF($C39="","",IFERROR(SUMPRODUCT(('ANALYSE - ERP =&gt; SOUS-SEGMENT'!$C$8:$C$1000=$C39)*'ANALYSE - ERP =&gt; SOUS-SEGMENT'!$Q$8:$Q$1000*'ANALYSE - ERP =&gt; SOUS-SEGMENT'!$EC$8:$EC$1000*'ANALYSE - ERP =&gt; SOUS-SEGMENT'!$CZ$8:$CZ$1000)/SUMPRODUCT(('ANALYSE - ERP =&gt; SOUS-SEGMENT'!$C$8:$C$1000=$C39)*'ANALYSE - ERP =&gt; SOUS-SEGMENT'!$Q$8:$Q$1000*'ANALYSE - ERP =&gt; SOUS-SEGMENT'!$EC$8:$EC$1000),""))</f>
        <v>11</v>
      </c>
      <c r="DA39" s="808">
        <f>IF($C39="","",IFERROR(SUMPRODUCT(('ANALYSE - ERP =&gt; SOUS-SEGMENT'!$C$8:$C$1000=$C39)*'ANALYSE - ERP =&gt; SOUS-SEGMENT'!$Q$8:$Q$1000*'ANALYSE - ERP =&gt; SOUS-SEGMENT'!$ED$8:$ED$1000*'ANALYSE - ERP =&gt; SOUS-SEGMENT'!$DA$8:$DA$1000)/SUMPRODUCT(('ANALYSE - ERP =&gt; SOUS-SEGMENT'!$C$8:$C$1000=$C39)*'ANALYSE - ERP =&gt; SOUS-SEGMENT'!$Q$8:$Q$1000*'ANALYSE - ERP =&gt; SOUS-SEGMENT'!$ED$8:$ED$1000),""))</f>
        <v>8</v>
      </c>
      <c r="DB39" s="809">
        <f>IF($C39="","",IFERROR(SUMPRODUCT(('ANALYSE - ERP =&gt; SOUS-SEGMENT'!$C$8:$C$1000=$C39)*'ANALYSE - ERP =&gt; SOUS-SEGMENT'!$Q$8:$Q$1000*'ANALYSE - ERP =&gt; SOUS-SEGMENT'!$EE$8:$EE$1000*'ANALYSE - ERP =&gt; SOUS-SEGMENT'!$DB$8:$DB$1000)/SUMPRODUCT(('ANALYSE - ERP =&gt; SOUS-SEGMENT'!$C$8:$C$1000=$C39)*'ANALYSE - ERP =&gt; SOUS-SEGMENT'!$Q$8:$Q$1000*'ANALYSE - ERP =&gt; SOUS-SEGMENT'!$EE$8:$EE$1000),""))</f>
        <v>10</v>
      </c>
      <c r="DC39" s="807">
        <f>IF($C39="","",IFERROR(SUMPRODUCT(('ANALYSE - ERP =&gt; SOUS-SEGMENT'!$C$8:$C$1000=$C39)*'ANALYSE - ERP =&gt; SOUS-SEGMENT'!$Q$8:$Q$1000*'ANALYSE - ERP =&gt; SOUS-SEGMENT'!$EM$8:$EM$1000*'ANALYSE - ERP =&gt; SOUS-SEGMENT'!$DC$8:$DC$1000)/SUMPRODUCT(('ANALYSE - ERP =&gt; SOUS-SEGMENT'!$C$8:$C$1000=$C39)*'ANALYSE - ERP =&gt; SOUS-SEGMENT'!$Q$8:$Q$1000*'ANALYSE - ERP =&gt; SOUS-SEGMENT'!$EM$8:$EM$1000),""))</f>
        <v>10</v>
      </c>
      <c r="DD39" s="808">
        <f>IF($C39="","",IFERROR(SUMPRODUCT(('ANALYSE - ERP =&gt; SOUS-SEGMENT'!$C$8:$C$1000=$C39)*'ANALYSE - ERP =&gt; SOUS-SEGMENT'!$Q$8:$Q$1000*'ANALYSE - ERP =&gt; SOUS-SEGMENT'!$EN$8:$EN$1000*'ANALYSE - ERP =&gt; SOUS-SEGMENT'!$DD$8:$DD$1000)/SUMPRODUCT(('ANALYSE - ERP =&gt; SOUS-SEGMENT'!$C$8:$C$1000=$C39)*'ANALYSE - ERP =&gt; SOUS-SEGMENT'!$Q$8:$Q$1000*'ANALYSE - ERP =&gt; SOUS-SEGMENT'!$EN$8:$EN$1000),""))</f>
        <v>11.000000000000002</v>
      </c>
      <c r="DE39" s="809">
        <f>IF($C39="","",IFERROR(SUMPRODUCT(('ANALYSE - ERP =&gt; SOUS-SEGMENT'!$C$8:$C$1000=$C39)*'ANALYSE - ERP =&gt; SOUS-SEGMENT'!$Q$8:$Q$1000*'ANALYSE - ERP =&gt; SOUS-SEGMENT'!$EO$8:$EO$1000*'ANALYSE - ERP =&gt; SOUS-SEGMENT'!$DE$8:$DE$1000)/SUMPRODUCT(('ANALYSE - ERP =&gt; SOUS-SEGMENT'!$C$8:$C$1000=$C39)*'ANALYSE - ERP =&gt; SOUS-SEGMENT'!$Q$8:$Q$1000*'ANALYSE - ERP =&gt; SOUS-SEGMENT'!$EO$8:$EO$1000),""))</f>
        <v>9</v>
      </c>
      <c r="DF39" s="921" t="s">
        <v>6188</v>
      </c>
      <c r="DG39" s="657"/>
      <c r="DH39" s="288">
        <f>IF($C39="","",SUMPRODUCT(('ANALYSE - ERP =&gt; SOUS-SEGMENT'!$C$8:$C$1000=$C39)*'ANALYSE - ERP =&gt; SOUS-SEGMENT'!$Q$8:$Q$1000*'ANALYSE - ERP =&gt; SOUS-SEGMENT'!$DH$8:$DH$1000))</f>
        <v>764.34000000000015</v>
      </c>
      <c r="DI39" s="288">
        <f>IF($C39="","",SUMPRODUCT(('ANALYSE - ERP =&gt; SOUS-SEGMENT'!$C$8:$C$1000=$C39)*'ANALYSE - ERP =&gt; SOUS-SEGMENT'!$Q$8:$Q$1000*'ANALYSE - ERP =&gt; SOUS-SEGMENT'!$DI$8:$DI$1000))</f>
        <v>26751.9</v>
      </c>
      <c r="DJ39" s="288">
        <f>IF($C39="","",SUMPRODUCT(('ANALYSE - ERP =&gt; SOUS-SEGMENT'!$C$8:$C$1000=$C39)*'ANALYSE - ERP =&gt; SOUS-SEGMENT'!$Q$8:$Q$1000*'ANALYSE - ERP =&gt; SOUS-SEGMENT'!$DJ$8:$DJ$1000))</f>
        <v>382.17000000000007</v>
      </c>
      <c r="DK39" s="288">
        <f>IF($C39="","",SUMPRODUCT(('ANALYSE - ERP =&gt; SOUS-SEGMENT'!$C$8:$C$1000=$C39)*'ANALYSE - ERP =&gt; SOUS-SEGMENT'!$Q$8:$Q$1000*'ANALYSE - ERP =&gt; SOUS-SEGMENT'!$DK$8:$DK$1000))</f>
        <v>10318.590000000002</v>
      </c>
      <c r="DL39" s="922" t="s">
        <v>6189</v>
      </c>
      <c r="DM39" s="288">
        <f>IF($C39="","",SUMPRODUCT(('ANALYSE - ERP =&gt; SOUS-SEGMENT'!$C$8:$C$1000=$C39)*'ANALYSE - ERP =&gt; SOUS-SEGMENT'!$Q$8:$Q$1000*'ANALYSE - ERP =&gt; SOUS-SEGMENT'!$DM$8:$DM$1000))</f>
        <v>785.64</v>
      </c>
      <c r="DN39" s="288">
        <f>IF($C39="","",SUMPRODUCT(('ANALYSE - ERP =&gt; SOUS-SEGMENT'!$C$8:$C$1000=$C39)*'ANALYSE - ERP =&gt; SOUS-SEGMENT'!$Q$8:$Q$1000*'ANALYSE - ERP =&gt; SOUS-SEGMENT'!$DN$8:$DN$1000))</f>
        <v>27104.579999999998</v>
      </c>
      <c r="DO39" s="288">
        <f>IF($C39="","",SUMPRODUCT(('ANALYSE - ERP =&gt; SOUS-SEGMENT'!$C$8:$C$1000=$C39)*'ANALYSE - ERP =&gt; SOUS-SEGMENT'!$Q$8:$Q$1000*'ANALYSE - ERP =&gt; SOUS-SEGMENT'!$DO$8:$DO$1000))</f>
        <v>785.64</v>
      </c>
      <c r="DP39" s="288">
        <f>IF($C39="","",SUMPRODUCT(('ANALYSE - ERP =&gt; SOUS-SEGMENT'!$C$8:$C$1000=$C39)*'ANALYSE - ERP =&gt; SOUS-SEGMENT'!$Q$8:$Q$1000*'ANALYSE - ERP =&gt; SOUS-SEGMENT'!$DP$8:$DP$1000))</f>
        <v>10606.14</v>
      </c>
      <c r="DQ39" s="922" t="s">
        <v>3399</v>
      </c>
      <c r="DR39" s="657"/>
      <c r="DS39" s="288">
        <f>IF($C39="","",SUMPRODUCT(('ANALYSE - ERP =&gt; SOUS-SEGMENT'!$C$8:$C$1000=$C39)*'ANALYSE - ERP =&gt; SOUS-SEGMENT'!$Q$8:$Q$1000*'ANALYSE - ERP =&gt; SOUS-SEGMENT'!$DS$8:$DS$1000))</f>
        <v>1557.75</v>
      </c>
      <c r="DT39" s="288">
        <f>IF($C39="","",SUMPRODUCT(('ANALYSE - ERP =&gt; SOUS-SEGMENT'!$C$8:$C$1000=$C39)*'ANALYSE - ERP =&gt; SOUS-SEGMENT'!$Q$8:$Q$1000*'ANALYSE - ERP =&gt; SOUS-SEGMENT'!$DT$8:$DT$1000))</f>
        <v>6146.25</v>
      </c>
      <c r="DU39" s="288">
        <f>IF($C39="","",SUMPRODUCT(('ANALYSE - ERP =&gt; SOUS-SEGMENT'!$C$8:$C$1000=$C39)*'ANALYSE - ERP =&gt; SOUS-SEGMENT'!$Q$8:$Q$1000*'ANALYSE - ERP =&gt; SOUS-SEGMENT'!$DU$8:$DU$1000))</f>
        <v>0</v>
      </c>
      <c r="DV39" s="922" t="s">
        <v>6190</v>
      </c>
      <c r="DW39" s="288">
        <f>IF($C39="","",SUMPRODUCT(('ANALYSE - ERP =&gt; SOUS-SEGMENT'!$C$8:$C$1000=$C39)*'ANALYSE - ERP =&gt; SOUS-SEGMENT'!$Q$8:$Q$1000*'ANALYSE - ERP =&gt; SOUS-SEGMENT'!$DW$8:$DW$1000))</f>
        <v>1454.36</v>
      </c>
      <c r="DX39" s="288">
        <f>IF($C39="","",SUMPRODUCT(('ANALYSE - ERP =&gt; SOUS-SEGMENT'!$C$8:$C$1000=$C39)*'ANALYSE - ERP =&gt; SOUS-SEGMENT'!$Q$8:$Q$1000*'ANALYSE - ERP =&gt; SOUS-SEGMENT'!$DX$8:$DX$1000))</f>
        <v>6533.6399999999994</v>
      </c>
      <c r="DY39" s="288">
        <f>IF($C39="","",SUMPRODUCT(('ANALYSE - ERP =&gt; SOUS-SEGMENT'!$C$8:$C$1000=$C39)*'ANALYSE - ERP =&gt; SOUS-SEGMENT'!$Q$8:$Q$1000*'ANALYSE - ERP =&gt; SOUS-SEGMENT'!$DY$8:$DY$1000))</f>
        <v>0</v>
      </c>
      <c r="DZ39" s="922" t="s">
        <v>3401</v>
      </c>
      <c r="EA39" s="657"/>
      <c r="EB39" s="288">
        <f>IF($C39="","",SUMPRODUCT(('ANALYSE - ERP =&gt; SOUS-SEGMENT'!$C$8:$C$1000=$C39)*'ANALYSE - ERP =&gt; SOUS-SEGMENT'!$Q$8:$Q$1000*'ANALYSE - ERP =&gt; SOUS-SEGMENT'!$EB$8:$EB$1000))</f>
        <v>52.1</v>
      </c>
      <c r="EC39" s="288">
        <f>IF($C39="","",SUMPRODUCT(('ANALYSE - ERP =&gt; SOUS-SEGMENT'!$C$8:$C$1000=$C39)*'ANALYSE - ERP =&gt; SOUS-SEGMENT'!$Q$8:$Q$1000*'ANALYSE - ERP =&gt; SOUS-SEGMENT'!$EC$8:$EC$1000))</f>
        <v>416.8</v>
      </c>
      <c r="ED39" s="288">
        <f>IF($C39="","",SUMPRODUCT(('ANALYSE - ERP =&gt; SOUS-SEGMENT'!$C$8:$C$1000=$C39)*'ANALYSE - ERP =&gt; SOUS-SEGMENT'!$Q$8:$Q$1000*'ANALYSE - ERP =&gt; SOUS-SEGMENT'!$ED$8:$ED$1000))</f>
        <v>15.629999999999999</v>
      </c>
      <c r="EE39" s="288">
        <f>IF($C39="","",SUMPRODUCT(('ANALYSE - ERP =&gt; SOUS-SEGMENT'!$C$8:$C$1000=$C39)*'ANALYSE - ERP =&gt; SOUS-SEGMENT'!$Q$8:$Q$1000*'ANALYSE - ERP =&gt; SOUS-SEGMENT'!$EE$8:$EE$1000))</f>
        <v>36.470000000000006</v>
      </c>
      <c r="EF39" s="922" t="s">
        <v>6191</v>
      </c>
      <c r="EG39" s="288">
        <f>IF($C39="","",SUMPRODUCT(('ANALYSE - ERP =&gt; SOUS-SEGMENT'!$C$8:$C$1000=$C39)*'ANALYSE - ERP =&gt; SOUS-SEGMENT'!$Q$8:$Q$1000*'ANALYSE - ERP =&gt; SOUS-SEGMENT'!$EG$8:$EG$1000))</f>
        <v>54.7</v>
      </c>
      <c r="EH39" s="288">
        <f>IF($C39="","",SUMPRODUCT(('ANALYSE - ERP =&gt; SOUS-SEGMENT'!$C$8:$C$1000=$C39)*'ANALYSE - ERP =&gt; SOUS-SEGMENT'!$Q$8:$Q$1000*'ANALYSE - ERP =&gt; SOUS-SEGMENT'!$EH$8:$EH$1000))</f>
        <v>432.13000000000005</v>
      </c>
      <c r="EI39" s="288">
        <f>IF($C39="","",SUMPRODUCT(('ANALYSE - ERP =&gt; SOUS-SEGMENT'!$C$8:$C$1000=$C39)*'ANALYSE - ERP =&gt; SOUS-SEGMENT'!$Q$8:$Q$1000*'ANALYSE - ERP =&gt; SOUS-SEGMENT'!$EI$8:$EI$1000))</f>
        <v>21.879999999999995</v>
      </c>
      <c r="EJ39" s="288">
        <f>IF($C39="","",SUMPRODUCT(('ANALYSE - ERP =&gt; SOUS-SEGMENT'!$C$8:$C$1000=$C39)*'ANALYSE - ERP =&gt; SOUS-SEGMENT'!$Q$8:$Q$1000*'ANALYSE - ERP =&gt; SOUS-SEGMENT'!$EJ$8:$EJ$1000))</f>
        <v>38.290000000000006</v>
      </c>
      <c r="EK39" s="922" t="s">
        <v>3403</v>
      </c>
      <c r="EL39" s="657"/>
      <c r="EM39" s="288">
        <f>IF($C39="","",SUMPRODUCT(('ANALYSE - ERP =&gt; SOUS-SEGMENT'!$C$8:$C$1000=$C39)*'ANALYSE - ERP =&gt; SOUS-SEGMENT'!$Q$8:$Q$1000*'ANALYSE - ERP =&gt; SOUS-SEGMENT'!$EM$8:$EM$1000))</f>
        <v>17292.849999999999</v>
      </c>
      <c r="EN39" s="291">
        <f>IF($C39="","",SUMPRODUCT(('ANALYSE - ERP =&gt; SOUS-SEGMENT'!$C$8:$C$1000=$C39)*'ANALYSE - ERP =&gt; SOUS-SEGMENT'!$Q$8:$Q$1000*'ANALYSE - ERP =&gt; SOUS-SEGMENT'!$EN$8:$EN$1000))</f>
        <v>16770.349999999999</v>
      </c>
      <c r="EO39" s="291">
        <f>IF($C39="","",SUMPRODUCT(('ANALYSE - ERP =&gt; SOUS-SEGMENT'!$C$8:$C$1000=$C39)*'ANALYSE - ERP =&gt; SOUS-SEGMENT'!$Q$8:$Q$1000*'ANALYSE - ERP =&gt; SOUS-SEGMENT'!$EO$8:$EO$1000))</f>
        <v>1792.8</v>
      </c>
      <c r="EP39" s="922" t="s">
        <v>6192</v>
      </c>
      <c r="EQ39" s="288">
        <f>IF($C39="","",SUMPRODUCT(('ANALYSE - ERP =&gt; SOUS-SEGMENT'!$C$8:$C$1000=$C39)*'ANALYSE - ERP =&gt; SOUS-SEGMENT'!$Q$8:$Q$1000*'ANALYSE - ERP =&gt; SOUS-SEGMENT'!$EQ$8:$EQ$1000))</f>
        <v>15855.35</v>
      </c>
      <c r="ER39" s="291">
        <f>IF($C39="","",SUMPRODUCT(('ANALYSE - ERP =&gt; SOUS-SEGMENT'!$C$8:$C$1000=$C39)*'ANALYSE - ERP =&gt; SOUS-SEGMENT'!$Q$8:$Q$1000*'ANALYSE - ERP =&gt; SOUS-SEGMENT'!$ER$8:$ER$1000))</f>
        <v>18790.23</v>
      </c>
      <c r="ES39" s="291">
        <f>IF($C39="","",SUMPRODUCT(('ANALYSE - ERP =&gt; SOUS-SEGMENT'!$C$8:$C$1000=$C39)*'ANALYSE - ERP =&gt; SOUS-SEGMENT'!$Q$8:$Q$1000*'ANALYSE - ERP =&gt; SOUS-SEGMENT'!$ES$8:$ES$1000))</f>
        <v>2211.42</v>
      </c>
      <c r="ET39" s="922" t="s">
        <v>3405</v>
      </c>
      <c r="EU39" s="657"/>
      <c r="EV39" s="740">
        <f t="shared" si="31"/>
        <v>0.70650839719898562</v>
      </c>
      <c r="EW39" s="740">
        <f t="shared" si="32"/>
        <v>0.29349160280101433</v>
      </c>
      <c r="EX39" s="563">
        <f t="shared" si="33"/>
        <v>45156.144378636367</v>
      </c>
      <c r="EY39" s="563">
        <f t="shared" si="34"/>
        <v>31903.195188636364</v>
      </c>
      <c r="EZ39" s="563">
        <f t="shared" si="35"/>
        <v>13252.949189999999</v>
      </c>
      <c r="FA39" s="563">
        <f t="shared" si="36"/>
        <v>20962.536526818181</v>
      </c>
      <c r="FB39" s="563">
        <f>IF($C39="","",SUMPRODUCT(('ANALYSE - ERP =&gt; SOUS-SEGMENT'!$C$8:$C$1000=$C39)*'ANALYSE - ERP =&gt; SOUS-SEGMENT'!$Q$8:$Q$1000*'ANALYSE - ERP =&gt; SOUS-SEGMENT'!$FB$8:$FB$1000))</f>
        <v>14837.768406818181</v>
      </c>
      <c r="FC39" s="563">
        <f>IF($C39="","",SUMPRODUCT(('ANALYSE - ERP =&gt; SOUS-SEGMENT'!$C$8:$C$1000=$C39)*'ANALYSE - ERP =&gt; SOUS-SEGMENT'!$Q$8:$Q$1000*'ANALYSE - ERP =&gt; SOUS-SEGMENT'!$FC$8:$FC$1000))</f>
        <v>6124.7681200000006</v>
      </c>
      <c r="FD39" s="563">
        <f t="shared" si="37"/>
        <v>4351.7987899999998</v>
      </c>
      <c r="FE39" s="563">
        <f>IF($C39="","",SUMPRODUCT(('ANALYSE - ERP =&gt; SOUS-SEGMENT'!$C$8:$C$1000=$C39)*'ANALYSE - ERP =&gt; SOUS-SEGMENT'!$Q$8:$Q$1000*'ANALYSE - ERP =&gt; SOUS-SEGMENT'!$FE$8:$FE$1000))</f>
        <v>3062.25</v>
      </c>
      <c r="FF39" s="563">
        <f>IF($C39="","",SUMPRODUCT(('ANALYSE - ERP =&gt; SOUS-SEGMENT'!$C$8:$C$1000=$C39)*'ANALYSE - ERP =&gt; SOUS-SEGMENT'!$Q$8:$Q$1000*'ANALYSE - ERP =&gt; SOUS-SEGMENT'!$FF$8:$FF$1000))</f>
        <v>1289.5487900000001</v>
      </c>
      <c r="FG39" s="563">
        <f t="shared" si="38"/>
        <v>295.60307</v>
      </c>
      <c r="FH39" s="563">
        <f>IF($C39="","",SUMPRODUCT(('ANALYSE - ERP =&gt; SOUS-SEGMENT'!$C$8:$C$1000=$C39)*'ANALYSE - ERP =&gt; SOUS-SEGMENT'!$Q$8:$Q$1000*'ANALYSE - ERP =&gt; SOUS-SEGMENT'!$FH$8:$FH$1000))</f>
        <v>201.90110000000001</v>
      </c>
      <c r="FI39" s="563">
        <f>IF($C39="","",SUMPRODUCT(('ANALYSE - ERP =&gt; SOUS-SEGMENT'!$C$8:$C$1000=$C39)*'ANALYSE - ERP =&gt; SOUS-SEGMENT'!$Q$8:$Q$1000*'ANALYSE - ERP =&gt; SOUS-SEGMENT'!$FI$8:$FI$1000))</f>
        <v>93.701969999999989</v>
      </c>
      <c r="FJ39" s="563">
        <f t="shared" si="39"/>
        <v>19546.205991818184</v>
      </c>
      <c r="FK39" s="563">
        <f>IF($C39="","",SUMPRODUCT(('ANALYSE - ERP =&gt; SOUS-SEGMENT'!$C$8:$C$1000=$C39)*'ANALYSE - ERP =&gt; SOUS-SEGMENT'!$Q$8:$Q$1000*'ANALYSE - ERP =&gt; SOUS-SEGMENT'!$FK$8:$FK$1000))</f>
        <v>13801.275681818184</v>
      </c>
      <c r="FL39" s="563">
        <f>IF($C39="","",SUMPRODUCT(('ANALYSE - ERP =&gt; SOUS-SEGMENT'!$C$8:$C$1000=$C39)*'ANALYSE - ERP =&gt; SOUS-SEGMENT'!$Q$8:$Q$1000*'ANALYSE - ERP =&gt; SOUS-SEGMENT'!$FL$8:$FL$1000))</f>
        <v>5744.9303099999997</v>
      </c>
      <c r="FM39" s="529"/>
      <c r="FN39" s="961" t="s">
        <v>2649</v>
      </c>
      <c r="FO39" s="740">
        <f>IF($C39="","",IFERROR(SUMPRODUCT(('ANALYSE - ERP =&gt; SOUS-SEGMENT'!$C$8:$C$1000=$C39)*'ANALYSE - ERP =&gt; SOUS-SEGMENT'!$Q$8:$Q$1000*'ANALYSE - ERP =&gt; SOUS-SEGMENT'!$AF$8:$AF$1000*'ANALYSE - ERP =&gt; SOUS-SEGMENT'!$FO$8:$FO$1000)/SUMPRODUCT(('ANALYSE - ERP =&gt; SOUS-SEGMENT'!$C$8:$C$1000=$C39)*'ANALYSE - ERP =&gt; SOUS-SEGMENT'!$Q$8:$Q$1000*'ANALYSE - ERP =&gt; SOUS-SEGMENT'!$AF$8:$AF$1000),""))</f>
        <v>9.9854743589743583E-2</v>
      </c>
      <c r="FP39" s="741">
        <f>IF($C39="","",IFERROR(SUMPRODUCT(('ANALYSE - ERP =&gt; SOUS-SEGMENT'!$C$8:$C$1000=$C39)*'ANALYSE - ERP =&gt; SOUS-SEGMENT'!$Q$8:$Q$1000*'ANALYSE - ERP =&gt; SOUS-SEGMENT'!$AF$8:$AF$1000*'ANALYSE - ERP =&gt; SOUS-SEGMENT'!$FP$8:$FP$1000)/SUMPRODUCT(('ANALYSE - ERP =&gt; SOUS-SEGMENT'!$C$8:$C$1000=$C39)*'ANALYSE - ERP =&gt; SOUS-SEGMENT'!$Q$8:$Q$1000*'ANALYSE - ERP =&gt; SOUS-SEGMENT'!$AF$8:$AF$1000),""))</f>
        <v>0.9</v>
      </c>
      <c r="FQ39" s="961" t="s">
        <v>6193</v>
      </c>
      <c r="FR39" s="529"/>
      <c r="FS39" s="867">
        <f>IF($C39="","",IFERROR(SUMPRODUCT(('ANALYSE - ERP =&gt; SOUS-SEGMENT'!$C$8:$C$1000=$C39)*'ANALYSE - ERP =&gt; SOUS-SEGMENT'!$Q$8:$Q$1000*'ANALYSE - ERP =&gt; SOUS-SEGMENT'!$EX$8:$EX$1000*'ANALYSE - ERP =&gt; SOUS-SEGMENT'!$FS$8:$FS$1000)/SUMPRODUCT(('ANALYSE - ERP =&gt; SOUS-SEGMENT'!$C$8:$C$1000=$C39)*'ANALYSE - ERP =&gt; SOUS-SEGMENT'!$Q$8:$Q$1000*'ANALYSE - ERP =&gt; SOUS-SEGMENT'!$EX$8:$EX$1000),""))</f>
        <v>3.8803746808242439</v>
      </c>
      <c r="FT39" s="566">
        <f>IF($C39="","",RANK($FS39,$FS$8:$FS$43,0)+COUNTIF($FS$8:$FS39,$FS39)-1)</f>
        <v>1</v>
      </c>
      <c r="FU39" s="867">
        <f>IF($C39="","",IFERROR(SUMPRODUCT(('ANALYSE - ERP =&gt; SOUS-SEGMENT'!$C$8:$C$1000=$C39)*'ANALYSE - ERP =&gt; SOUS-SEGMENT'!$Q$8:$Q$1000*'ANALYSE - ERP =&gt; SOUS-SEGMENT'!$EY$8:$EY$1000*'ANALYSE - ERP =&gt; SOUS-SEGMENT'!$FU$8:$FU$1000)/SUMPRODUCT(('ANALYSE - ERP =&gt; SOUS-SEGMENT'!$C$8:$C$1000=$C39)*'ANALYSE - ERP =&gt; SOUS-SEGMENT'!$Q$8:$Q$1000*'ANALYSE - ERP =&gt; SOUS-SEGMENT'!$EY$8:$EY$1000),""))</f>
        <v>4.3200603438247116</v>
      </c>
      <c r="FV39" s="566">
        <f>IF($C39="","",RANK($FU39,$FU$8:$FU$43,0)+COUNTIF($FU$8:$FU39,$FU39)-1)</f>
        <v>6</v>
      </c>
      <c r="FW39" s="867">
        <f>IF($C39="","",IFERROR(SUMPRODUCT(('ANALYSE - ERP =&gt; SOUS-SEGMENT'!$C$8:$C$1000=$C39)*'ANALYSE - ERP =&gt; SOUS-SEGMENT'!$Q$8:$Q$1000*'ANALYSE - ERP =&gt; SOUS-SEGMENT'!$EZ$8:$EZ$1000*'ANALYSE - ERP =&gt; SOUS-SEGMENT'!$FW$8:$FW$1000)/SUMPRODUCT(('ANALYSE - ERP =&gt; SOUS-SEGMENT'!$C$8:$C$1000=$C39)*'ANALYSE - ERP =&gt; SOUS-SEGMENT'!$Q$8:$Q$1000*'ANALYSE - ERP =&gt; SOUS-SEGMENT'!$EZ$8:$EZ$1000),""))</f>
        <v>3.425208392555529</v>
      </c>
      <c r="FX39" s="566">
        <f>IF($C39="","",RANK($FW39,$FW$8:$FW$43,0)+COUNTIF($FW$8:$FW39,$FW39)-1)</f>
        <v>2</v>
      </c>
      <c r="FY39" s="529"/>
      <c r="FZ39" s="922" t="s">
        <v>6194</v>
      </c>
      <c r="GA39" s="922" t="s">
        <v>6195</v>
      </c>
      <c r="GB39" s="922" t="s">
        <v>3409</v>
      </c>
      <c r="GC39" s="922" t="s">
        <v>3410</v>
      </c>
      <c r="GD39" s="922" t="s">
        <v>3411</v>
      </c>
      <c r="GE39" s="922" t="s">
        <v>6196</v>
      </c>
      <c r="GF39" s="923" t="s">
        <v>6197</v>
      </c>
      <c r="GG39" s="529"/>
      <c r="GH39" s="563">
        <f t="shared" si="40"/>
        <v>427.15796239999997</v>
      </c>
      <c r="GI39" s="563">
        <f>IF($C39="","",SUMPRODUCT(('ANALYSE - ERP =&gt; SOUS-SEGMENT'!$C$8:$C$1000=$C39)*'ANALYSE - ERP =&gt; SOUS-SEGMENT'!$Q$8:$Q$1000*'ANALYSE - ERP =&gt; SOUS-SEGMENT'!$GI$8:$GI$1000))</f>
        <v>304.6626</v>
      </c>
      <c r="GJ39" s="563">
        <f>IF($C39="","",SUMPRODUCT(('ANALYSE - ERP =&gt; SOUS-SEGMENT'!$C$8:$C$1000=$C39)*'ANALYSE - ERP =&gt; SOUS-SEGMENT'!$Q$8:$Q$1000*'ANALYSE - ERP =&gt; SOUS-SEGMENT'!$GJ$8:$GJ$1000))</f>
        <v>122.4953624</v>
      </c>
      <c r="GK39" s="563">
        <f t="shared" si="41"/>
        <v>13999.738184618182</v>
      </c>
      <c r="GL39" s="563">
        <f>IF($C39="","",SUMPRODUCT(('ANALYSE - ERP =&gt; SOUS-SEGMENT'!$C$8:$C$1000=$C39)*'ANALYSE - ERP =&gt; SOUS-SEGMENT'!$Q$8:$Q$1000*'ANALYSE - ERP =&gt; SOUS-SEGMENT'!$GL$8:$GL$1000))</f>
        <v>9773.6481818181819</v>
      </c>
      <c r="GM39" s="563">
        <f>IF($C39="","",SUMPRODUCT(('ANALYSE - ERP =&gt; SOUS-SEGMENT'!$C$8:$C$1000=$C39)*'ANALYSE - ERP =&gt; SOUS-SEGMENT'!$Q$8:$Q$1000*'ANALYSE - ERP =&gt; SOUS-SEGMENT'!$GM$8:$GM$1000))</f>
        <v>4226.0900028000005</v>
      </c>
      <c r="GN39" s="563">
        <f t="shared" si="42"/>
        <v>314.22798740000002</v>
      </c>
      <c r="GO39" s="563">
        <f>IF($C39="","",SUMPRODUCT(('ANALYSE - ERP =&gt; SOUS-SEGMENT'!$C$8:$C$1000=$C39)*'ANALYSE - ERP =&gt; SOUS-SEGMENT'!$Q$8:$Q$1000*'ANALYSE - ERP =&gt; SOUS-SEGMENT'!$GO$8:$GO$1000))</f>
        <v>191.73262500000001</v>
      </c>
      <c r="GP39" s="563">
        <f>IF($C39="","",SUMPRODUCT(('ANALYSE - ERP =&gt; SOUS-SEGMENT'!$C$8:$C$1000=$C39)*'ANALYSE - ERP =&gt; SOUS-SEGMENT'!$Q$8:$Q$1000*'ANALYSE - ERP =&gt; SOUS-SEGMENT'!$GP$8:$GP$1000))</f>
        <v>122.4953624</v>
      </c>
      <c r="GQ39" s="563">
        <f t="shared" si="43"/>
        <v>6221.4123924000005</v>
      </c>
      <c r="GR39" s="563">
        <f>IF($C39="","",SUMPRODUCT(('ANALYSE - ERP =&gt; SOUS-SEGMENT'!$C$8:$C$1000=$C39)*'ANALYSE - ERP =&gt; SOUS-SEGMENT'!$Q$8:$Q$1000*'ANALYSE - ERP =&gt; SOUS-SEGMENT'!$GR$8:$GR$1000))</f>
        <v>4567.7250000000004</v>
      </c>
      <c r="GS39" s="563">
        <f>IF($C39="","",SUMPRODUCT(('ANALYSE - ERP =&gt; SOUS-SEGMENT'!$C$8:$C$1000=$C39)*'ANALYSE - ERP =&gt; SOUS-SEGMENT'!$Q$8:$Q$1000*'ANALYSE - ERP =&gt; SOUS-SEGMENT'!$GS$8:$GS$1000))</f>
        <v>1653.6873924000004</v>
      </c>
      <c r="GT39" s="563">
        <f t="shared" si="44"/>
        <v>856.80288180000002</v>
      </c>
      <c r="GU39" s="563">
        <f>IF($C39="","",SUMPRODUCT(('ANALYSE - ERP =&gt; SOUS-SEGMENT'!$C$8:$C$1000=$C39)*'ANALYSE - ERP =&gt; SOUS-SEGMENT'!$Q$8:$Q$1000*'ANALYSE - ERP =&gt; SOUS-SEGMENT'!$GU$8:$GU$1000))</f>
        <v>620.1</v>
      </c>
      <c r="GV39" s="563">
        <f>IF($C39="","",SUMPRODUCT(('ANALYSE - ERP =&gt; SOUS-SEGMENT'!$C$8:$C$1000=$C39)*'ANALYSE - ERP =&gt; SOUS-SEGMENT'!$Q$8:$Q$1000*'ANALYSE - ERP =&gt; SOUS-SEGMENT'!$GV$8:$GV$1000))</f>
        <v>236.70288180000003</v>
      </c>
      <c r="GW39" s="563">
        <f t="shared" si="45"/>
        <v>3494.9959082</v>
      </c>
      <c r="GX39" s="563">
        <f>IF($C39="","",SUMPRODUCT(('ANALYSE - ERP =&gt; SOUS-SEGMENT'!$C$8:$C$1000=$C39)*'ANALYSE - ERP =&gt; SOUS-SEGMENT'!$Q$8:$Q$1000*'ANALYSE - ERP =&gt; SOUS-SEGMENT'!$GX$8:$GX$1000))</f>
        <v>2442.15</v>
      </c>
      <c r="GY39" s="563">
        <f>IF($C39="","",SUMPRODUCT(('ANALYSE - ERP =&gt; SOUS-SEGMENT'!$C$8:$C$1000=$C39)*'ANALYSE - ERP =&gt; SOUS-SEGMENT'!$Q$8:$Q$1000*'ANALYSE - ERP =&gt; SOUS-SEGMENT'!$GY$8:$GY$1000))</f>
        <v>1052.8459081999999</v>
      </c>
      <c r="GZ39" s="563">
        <f t="shared" si="46"/>
        <v>0</v>
      </c>
      <c r="HA39" s="563">
        <f>IF($C39="","",SUMPRODUCT(('ANALYSE - ERP =&gt; SOUS-SEGMENT'!$C$8:$C$1000=$C39)*'ANALYSE - ERP =&gt; SOUS-SEGMENT'!$Q$8:$Q$1000*'ANALYSE - ERP =&gt; SOUS-SEGMENT'!$HA$8:$HA$1000))</f>
        <v>0</v>
      </c>
      <c r="HB39" s="563">
        <f>IF($C39="","",SUMPRODUCT(('ANALYSE - ERP =&gt; SOUS-SEGMENT'!$C$8:$C$1000=$C39)*'ANALYSE - ERP =&gt; SOUS-SEGMENT'!$Q$8:$Q$1000*'ANALYSE - ERP =&gt; SOUS-SEGMENT'!$HB$8:$HB$1000))</f>
        <v>0</v>
      </c>
      <c r="HC39" s="563">
        <f t="shared" si="47"/>
        <v>32.910196999999997</v>
      </c>
      <c r="HD39" s="563">
        <f>IF($C39="","",SUMPRODUCT(('ANALYSE - ERP =&gt; SOUS-SEGMENT'!$C$8:$C$1000=$C39)*'ANALYSE - ERP =&gt; SOUS-SEGMENT'!$Q$8:$Q$1000*'ANALYSE - ERP =&gt; SOUS-SEGMENT'!$HD$8:$HD$1000))</f>
        <v>23.54</v>
      </c>
      <c r="HE39" s="563">
        <f>IF($C39="","",SUMPRODUCT(('ANALYSE - ERP =&gt; SOUS-SEGMENT'!$C$8:$C$1000=$C39)*'ANALYSE - ERP =&gt; SOUS-SEGMENT'!$Q$8:$Q$1000*'ANALYSE - ERP =&gt; SOUS-SEGMENT'!$HE$8:$HE$1000))</f>
        <v>9.370197000000001</v>
      </c>
      <c r="HF39" s="563">
        <f t="shared" si="48"/>
        <v>229.54455630000001</v>
      </c>
      <c r="HG39" s="563">
        <f>IF($C39="","",SUMPRODUCT(('ANALYSE - ERP =&gt; SOUS-SEGMENT'!$C$8:$C$1000=$C39)*'ANALYSE - ERP =&gt; SOUS-SEGMENT'!$Q$8:$Q$1000*'ANALYSE - ERP =&gt; SOUS-SEGMENT'!$HG$8:$HG$1000))</f>
        <v>155.52000000000001</v>
      </c>
      <c r="HH39" s="563">
        <f>IF($C39="","",SUMPRODUCT(('ANALYSE - ERP =&gt; SOUS-SEGMENT'!$C$8:$C$1000=$C39)*'ANALYSE - ERP =&gt; SOUS-SEGMENT'!$Q$8:$Q$1000*'ANALYSE - ERP =&gt; SOUS-SEGMENT'!$HH$8:$HH$1000))</f>
        <v>74.0245563</v>
      </c>
      <c r="HI39" s="563">
        <f t="shared" si="49"/>
        <v>11.740078799999999</v>
      </c>
      <c r="HJ39" s="563">
        <f>IF($C39="","",SUMPRODUCT(('ANALYSE - ERP =&gt; SOUS-SEGMENT'!$C$8:$C$1000=$C39)*'ANALYSE - ERP =&gt; SOUS-SEGMENT'!$Q$8:$Q$1000*'ANALYSE - ERP =&gt; SOUS-SEGMENT'!$HJ$8:$HJ$1000))</f>
        <v>7.9919999999999982</v>
      </c>
      <c r="HK39" s="563">
        <f>IF($C39="","",SUMPRODUCT(('ANALYSE - ERP =&gt; SOUS-SEGMENT'!$C$8:$C$1000=$C39)*'ANALYSE - ERP =&gt; SOUS-SEGMENT'!$Q$8:$Q$1000*'ANALYSE - ERP =&gt; SOUS-SEGMENT'!$HK$8:$HK$1000))</f>
        <v>3.7480788</v>
      </c>
      <c r="HL39" s="563">
        <f t="shared" si="50"/>
        <v>21.408237900000003</v>
      </c>
      <c r="HM39" s="563">
        <f>IF($C39="","",SUMPRODUCT(('ANALYSE - ERP =&gt; SOUS-SEGMENT'!$C$8:$C$1000=$C39)*'ANALYSE - ERP =&gt; SOUS-SEGMENT'!$Q$8:$Q$1000*'ANALYSE - ERP =&gt; SOUS-SEGMENT'!$HM$8:$HM$1000))</f>
        <v>14.849100000000002</v>
      </c>
      <c r="HN39" s="563">
        <f>IF($C39="","",SUMPRODUCT(('ANALYSE - ERP =&gt; SOUS-SEGMENT'!$C$8:$C$1000=$C39)*'ANALYSE - ERP =&gt; SOUS-SEGMENT'!$Q$8:$Q$1000*'ANALYSE - ERP =&gt; SOUS-SEGMENT'!$HN$8:$HN$1000))</f>
        <v>6.5591379000000014</v>
      </c>
      <c r="HO39" s="563">
        <f t="shared" si="51"/>
        <v>9421.8307055000005</v>
      </c>
      <c r="HP39" s="563">
        <f>IF($C39="","",SUMPRODUCT(('ANALYSE - ERP =&gt; SOUS-SEGMENT'!$C$8:$C$1000=$C39)*'ANALYSE - ERP =&gt; SOUS-SEGMENT'!$Q$8:$Q$1000*'ANALYSE - ERP =&gt; SOUS-SEGMENT'!$HP$8:$HP$1000))</f>
        <v>6984.067500000001</v>
      </c>
      <c r="HQ39" s="563">
        <f>IF($C39="","",SUMPRODUCT(('ANALYSE - ERP =&gt; SOUS-SEGMENT'!$C$8:$C$1000=$C39)*'ANALYSE - ERP =&gt; SOUS-SEGMENT'!$Q$8:$Q$1000*'ANALYSE - ERP =&gt; SOUS-SEGMENT'!$HQ$8:$HQ$1000))</f>
        <v>2437.7632054999999</v>
      </c>
      <c r="HR39" s="563">
        <f t="shared" si="52"/>
        <v>8986.7644677181815</v>
      </c>
      <c r="HS39" s="563">
        <f>IF($C39="","",SUMPRODUCT(('ANALYSE - ERP =&gt; SOUS-SEGMENT'!$C$8:$C$1000=$C39)*'ANALYSE - ERP =&gt; SOUS-SEGMENT'!$Q$8:$Q$1000*'ANALYSE - ERP =&gt; SOUS-SEGMENT'!$HS$8:$HS$1000))</f>
        <v>6024.2931818181823</v>
      </c>
      <c r="HT39" s="563">
        <f>IF($C39="","",SUMPRODUCT(('ANALYSE - ERP =&gt; SOUS-SEGMENT'!$C$8:$C$1000=$C39)*'ANALYSE - ERP =&gt; SOUS-SEGMENT'!$Q$8:$Q$1000*'ANALYSE - ERP =&gt; SOUS-SEGMENT'!$HT$8:$HT$1000))</f>
        <v>2962.4712859000001</v>
      </c>
      <c r="HU39" s="563">
        <f t="shared" si="53"/>
        <v>1137.6108186000001</v>
      </c>
      <c r="HV39" s="563">
        <f>IF($C39="","",SUMPRODUCT(('ANALYSE - ERP =&gt; SOUS-SEGMENT'!$C$8:$C$1000=$C39)*'ANALYSE - ERP =&gt; SOUS-SEGMENT'!$Q$8:$Q$1000*'ANALYSE - ERP =&gt; SOUS-SEGMENT'!$HV$8:$HV$1000))</f>
        <v>792.91500000000008</v>
      </c>
      <c r="HW39" s="563">
        <f>IF($C39="","",SUMPRODUCT(('ANALYSE - ERP =&gt; SOUS-SEGMENT'!$C$8:$C$1000=$C39)*'ANALYSE - ERP =&gt; SOUS-SEGMENT'!$Q$8:$Q$1000*'ANALYSE - ERP =&gt; SOUS-SEGMENT'!$HW$8:$HW$1000))</f>
        <v>344.6958186</v>
      </c>
      <c r="HX39" s="544"/>
      <c r="HY39" s="568">
        <f t="shared" si="54"/>
        <v>82298.000000000015</v>
      </c>
      <c r="HZ39" s="568">
        <f>IF($C39="","",SUMPRODUCT(('ANALYSE - ERP =&gt; SOUS-SEGMENT'!$C$8:$C$1000=$C39)*'ANALYSE - ERP =&gt; SOUS-SEGMENT'!$Q$8:$Q$1000*'ANALYSE - ERP =&gt; SOUS-SEGMENT'!$HZ$8:$HZ$1000))</f>
        <v>14191.085999999999</v>
      </c>
      <c r="IA39" s="568">
        <f>IF($C39="","",SUMPRODUCT(('ANALYSE - ERP =&gt; SOUS-SEGMENT'!$C$8:$C$1000=$C39)*'ANALYSE - ERP =&gt; SOUS-SEGMENT'!$Q$8:$Q$1000*'ANALYSE - ERP =&gt; SOUS-SEGMENT'!$IA$8:$IA$1000))</f>
        <v>55787.124000000003</v>
      </c>
      <c r="IB39" s="568">
        <f>IF($C39="","",SUMPRODUCT(('ANALYSE - ERP =&gt; SOUS-SEGMENT'!$C$8:$C$1000=$C39)*'ANALYSE - ERP =&gt; SOUS-SEGMENT'!$Q$8:$Q$1000*'ANALYSE - ERP =&gt; SOUS-SEGMENT'!$IB$8:$IB$1000))</f>
        <v>12291.7572</v>
      </c>
      <c r="IC39" s="568">
        <f>IF($C39="","",SUMPRODUCT(('ANALYSE - ERP =&gt; SOUS-SEGMENT'!$C$8:$C$1000=$C39)*'ANALYSE - ERP =&gt; SOUS-SEGMENT'!$Q$8:$Q$1000*'ANALYSE - ERP =&gt; SOUS-SEGMENT'!$IC$8:$IC$1000))</f>
        <v>27.9132</v>
      </c>
      <c r="ID39" s="568">
        <f>IF($C39="","",SUMPRODUCT(('ANALYSE - ERP =&gt; SOUS-SEGMENT'!$C$8:$C$1000=$C39)*'ANALYSE - ERP =&gt; SOUS-SEGMENT'!$Q$8:$Q$1000*'ANALYSE - ERP =&gt; SOUS-SEGMENT'!$ID$8:$ID$1000))</f>
        <v>0.11960000000000001</v>
      </c>
      <c r="IE39" s="568">
        <f t="shared" si="55"/>
        <v>31903.195188636371</v>
      </c>
      <c r="IF39" s="568">
        <f>IF($C39="","",SUMPRODUCT(('ANALYSE - ERP =&gt; SOUS-SEGMENT'!$C$8:$C$1000=$C39)*'ANALYSE - ERP =&gt; SOUS-SEGMENT'!$Q$8:$Q$1000*'ANALYSE - ERP =&gt; SOUS-SEGMENT'!$IF$8:$IF$1000))</f>
        <v>2138.9754578915908</v>
      </c>
      <c r="IG39" s="568">
        <f>IF($C39="","",SUMPRODUCT(('ANALYSE - ERP =&gt; SOUS-SEGMENT'!$C$8:$C$1000=$C39)*'ANALYSE - ERP =&gt; SOUS-SEGMENT'!$Q$8:$Q$1000*'ANALYSE - ERP =&gt; SOUS-SEGMENT'!$IG$8:$IG$1000))</f>
        <v>19761.012518851367</v>
      </c>
      <c r="IH39" s="568">
        <f>IF($C39="","",SUMPRODUCT(('ANALYSE - ERP =&gt; SOUS-SEGMENT'!$C$8:$C$1000=$C39)*'ANALYSE - ERP =&gt; SOUS-SEGMENT'!$Q$8:$Q$1000*'ANALYSE - ERP =&gt; SOUS-SEGMENT'!$IH$8:$IH$1000))</f>
        <v>9955.0351388102281</v>
      </c>
      <c r="II39" s="568">
        <f>IF($C39="","",SUMPRODUCT(('ANALYSE - ERP =&gt; SOUS-SEGMENT'!$C$8:$C$1000=$C39)*'ANALYSE - ERP =&gt; SOUS-SEGMENT'!$Q$8:$Q$1000*'ANALYSE - ERP =&gt; SOUS-SEGMENT'!$II$8:$II$1000))</f>
        <v>47.660256266818173</v>
      </c>
      <c r="IJ39" s="568">
        <f>IF($C39="","",SUMPRODUCT(('ANALYSE - ERP =&gt; SOUS-SEGMENT'!$C$8:$C$1000=$C39)*'ANALYSE - ERP =&gt; SOUS-SEGMENT'!$Q$8:$Q$1000*'ANALYSE - ERP =&gt; SOUS-SEGMENT'!$IJ$8:$IJ$1000))</f>
        <v>0.51181681636363641</v>
      </c>
      <c r="IK39" s="868">
        <f>IF($C39="","",IFERROR(SUMPRODUCT(('ANALYSE - ERP =&gt; SOUS-SEGMENT'!$C$8:$C$1000=$C39)*'ANALYSE - ERP =&gt; SOUS-SEGMENT'!$Q$8:$Q$1000*'ANALYSE - ERP =&gt; SOUS-SEGMENT'!$IE$8:$IE$1000*'ANALYSE - ERP =&gt; SOUS-SEGMENT'!$IK$8:$IK$1000)/SUMPRODUCT(('ANALYSE - ERP =&gt; SOUS-SEGMENT'!$C$8:$C$1000=$C39)*'ANALYSE - ERP =&gt; SOUS-SEGMENT'!$Q$8:$Q$1000*'ANALYSE - ERP =&gt; SOUS-SEGMENT'!$IE$8:$IE$1000),""))</f>
        <v>4.4414720202544702</v>
      </c>
      <c r="IL39" s="962" t="s">
        <v>2701</v>
      </c>
      <c r="IM39" s="963" t="s">
        <v>6198</v>
      </c>
      <c r="IN39" s="529"/>
      <c r="IO39" s="742">
        <f>IF($C39="","",IFERROR(SUMPRODUCT(('ANALYSE - ERP =&gt; SOUS-SEGMENT'!$C$8:$C$1000=$C39)*'ANALYSE - ERP =&gt; SOUS-SEGMENT'!$Q$8:$Q$1000*'ANALYSE - ERP =&gt; SOUS-SEGMENT'!$BE$8:$BE$1000*'ANALYSE - ERP =&gt; SOUS-SEGMENT'!$IO$8:$IO$1000)/SUMPRODUCT(('ANALYSE - ERP =&gt; SOUS-SEGMENT'!$C$8:$C$1000=$C39)*'ANALYSE - ERP =&gt; SOUS-SEGMENT'!$Q$8:$Q$1000*'ANALYSE - ERP =&gt; SOUS-SEGMENT'!$BE$8:$BE$1000),""))</f>
        <v>0.131986160609153</v>
      </c>
      <c r="IP39" s="742">
        <f>IF($C39="","",IFERROR(SUMPRODUCT(('ANALYSE - ERP =&gt; SOUS-SEGMENT'!$C$8:$C$1000=$C39)*'ANALYSE - ERP =&gt; SOUS-SEGMENT'!$Q$8:$Q$1000*'ANALYSE - ERP =&gt; SOUS-SEGMENT'!$BE$8:$BE$1000*'ANALYSE - ERP =&gt; SOUS-SEGMENT'!$IP$8:$IP$1000)/SUMPRODUCT(('ANALYSE - ERP =&gt; SOUS-SEGMENT'!$C$8:$C$1000=$C39)*'ANALYSE - ERP =&gt; SOUS-SEGMENT'!$Q$8:$Q$1000*'ANALYSE - ERP =&gt; SOUS-SEGMENT'!$BE$8:$BE$1000),""))</f>
        <v>0.68295089619802707</v>
      </c>
      <c r="IQ39" s="742">
        <f>IF($C39="","",IFERROR(SUMPRODUCT(('ANALYSE - ERP =&gt; SOUS-SEGMENT'!$C$8:$C$1000=$C39)*'ANALYSE - ERP =&gt; SOUS-SEGMENT'!$Q$8:$Q$1000*'ANALYSE - ERP =&gt; SOUS-SEGMENT'!$BE$8:$BE$1000*'ANALYSE - ERP =&gt; SOUS-SEGMENT'!$IQ$8:$IQ$1000)/SUMPRODUCT(('ANALYSE - ERP =&gt; SOUS-SEGMENT'!$C$8:$C$1000=$C39)*'ANALYSE - ERP =&gt; SOUS-SEGMENT'!$Q$8:$Q$1000*'ANALYSE - ERP =&gt; SOUS-SEGMENT'!$BE$8:$BE$1000),""))</f>
        <v>0.18474605803699923</v>
      </c>
      <c r="IR39" s="742">
        <f>IF($C39="","",IFERROR(SUMPRODUCT(('ANALYSE - ERP =&gt; SOUS-SEGMENT'!$C$8:$C$1000=$C39)*'ANALYSE - ERP =&gt; SOUS-SEGMENT'!$Q$8:$Q$1000*'ANALYSE - ERP =&gt; SOUS-SEGMENT'!$BE$8:$BE$1000*'ANALYSE - ERP =&gt; SOUS-SEGMENT'!$IR$8:$IR$1000)/SUMPRODUCT(('ANALYSE - ERP =&gt; SOUS-SEGMENT'!$C$8:$C$1000=$C39)*'ANALYSE - ERP =&gt; SOUS-SEGMENT'!$Q$8:$Q$1000*'ANALYSE - ERP =&gt; SOUS-SEGMENT'!$BE$8:$BE$1000),""))</f>
        <v>3.1551927152837742E-4</v>
      </c>
      <c r="IS39" s="742">
        <f>IF($C39="","",IFERROR(SUMPRODUCT(('ANALYSE - ERP =&gt; SOUS-SEGMENT'!$C$8:$C$1000=$C39)*'ANALYSE - ERP =&gt; SOUS-SEGMENT'!$Q$8:$Q$1000*'ANALYSE - ERP =&gt; SOUS-SEGMENT'!$BE$8:$BE$1000*'ANALYSE - ERP =&gt; SOUS-SEGMENT'!$IS$8:$IS$1000)/SUMPRODUCT(('ANALYSE - ERP =&gt; SOUS-SEGMENT'!$C$8:$C$1000=$C39)*'ANALYSE - ERP =&gt; SOUS-SEGMENT'!$Q$8:$Q$1000*'ANALYSE - ERP =&gt; SOUS-SEGMENT'!$BE$8:$BE$1000),""))</f>
        <v>1.3658842923306384E-6</v>
      </c>
      <c r="IT39" s="742">
        <f>IF($C39="","",IFERROR(SUMPRODUCT(('ANALYSE - ERP =&gt; SOUS-SEGMENT'!$C$8:$C$1000=$C39)*'ANALYSE - ERP =&gt; SOUS-SEGMENT'!$Q$8:$Q$1000*'ANALYSE - ERP =&gt; SOUS-SEGMENT'!$FB$8:$FB$1000*'ANALYSE - ERP =&gt; SOUS-SEGMENT'!$IT$8:$IT$1000)/SUMPRODUCT(('ANALYSE - ERP =&gt; SOUS-SEGMENT'!$C$8:$C$1000=$C39)*'ANALYSE - ERP =&gt; SOUS-SEGMENT'!$Q$8:$Q$1000*'ANALYSE - ERP =&gt; SOUS-SEGMENT'!$FB$8:$FB$1000),""))</f>
        <v>4.6949736087235634E-2</v>
      </c>
      <c r="IU39" s="742">
        <f>IF($C39="","",IFERROR(SUMPRODUCT(('ANALYSE - ERP =&gt; SOUS-SEGMENT'!$C$8:$C$1000=$C39)*'ANALYSE - ERP =&gt; SOUS-SEGMENT'!$Q$8:$Q$1000*'ANALYSE - ERP =&gt; SOUS-SEGMENT'!$FB$8:$FB$1000*'ANALYSE - ERP =&gt; SOUS-SEGMENT'!$IU$8:$IU$1000)/SUMPRODUCT(('ANALYSE - ERP =&gt; SOUS-SEGMENT'!$C$8:$C$1000=$C39)*'ANALYSE - ERP =&gt; SOUS-SEGMENT'!$Q$8:$Q$1000*'ANALYSE - ERP =&gt; SOUS-SEGMENT'!$FB$8:$FB$1000),""))</f>
        <v>0.58544369124350271</v>
      </c>
      <c r="IV39" s="742">
        <f>IF($C39="","",IFERROR(SUMPRODUCT(('ANALYSE - ERP =&gt; SOUS-SEGMENT'!$C$8:$C$1000=$C39)*'ANALYSE - ERP =&gt; SOUS-SEGMENT'!$Q$8:$Q$1000*'ANALYSE - ERP =&gt; SOUS-SEGMENT'!$FB$8:$FB$1000*'ANALYSE - ERP =&gt; SOUS-SEGMENT'!$IV$8:$IV$1000)/SUMPRODUCT(('ANALYSE - ERP =&gt; SOUS-SEGMENT'!$C$8:$C$1000=$C39)*'ANALYSE - ERP =&gt; SOUS-SEGMENT'!$Q$8:$Q$1000*'ANALYSE - ERP =&gt; SOUS-SEGMENT'!$FB$8:$FB$1000),""))</f>
        <v>0.36625763752383639</v>
      </c>
      <c r="IW39" s="742">
        <f>IF($C39="","",IFERROR(SUMPRODUCT(('ANALYSE - ERP =&gt; SOUS-SEGMENT'!$C$8:$C$1000=$C39)*'ANALYSE - ERP =&gt; SOUS-SEGMENT'!$Q$8:$Q$1000*'ANALYSE - ERP =&gt; SOUS-SEGMENT'!$FB$8:$FB$1000*'ANALYSE - ERP =&gt; SOUS-SEGMENT'!$IW$8:$IW$1000)/SUMPRODUCT(('ANALYSE - ERP =&gt; SOUS-SEGMENT'!$C$8:$C$1000=$C39)*'ANALYSE - ERP =&gt; SOUS-SEGMENT'!$Q$8:$Q$1000*'ANALYSE - ERP =&gt; SOUS-SEGMENT'!$FB$8:$FB$1000),""))</f>
        <v>1.3342985912951928E-3</v>
      </c>
      <c r="IX39" s="742">
        <f>IF($C39="","",IFERROR(SUMPRODUCT(('ANALYSE - ERP =&gt; SOUS-SEGMENT'!$C$8:$C$1000=$C39)*'ANALYSE - ERP =&gt; SOUS-SEGMENT'!$Q$8:$Q$1000*'ANALYSE - ERP =&gt; SOUS-SEGMENT'!$FB$8:$FB$1000*'ANALYSE - ERP =&gt; SOUS-SEGMENT'!$IX$8:$IX$1000)/SUMPRODUCT(('ANALYSE - ERP =&gt; SOUS-SEGMENT'!$C$8:$C$1000=$C39)*'ANALYSE - ERP =&gt; SOUS-SEGMENT'!$Q$8:$Q$1000*'ANALYSE - ERP =&gt; SOUS-SEGMENT'!$FB$8:$FB$1000),""))</f>
        <v>1.4636554129982966E-5</v>
      </c>
      <c r="IY39" s="742">
        <f>IF($C39="","",IFERROR(SUMPRODUCT(('ANALYSE - ERP =&gt; SOUS-SEGMENT'!$C$8:$C$1000=$C39)*'ANALYSE - ERP =&gt; SOUS-SEGMENT'!$Q$8:$Q$1000*'ANALYSE - ERP =&gt; SOUS-SEGMENT'!$BF$8:$BF$1000*'ANALYSE - ERP =&gt; SOUS-SEGMENT'!$IY$8:$IY$1000)/SUMPRODUCT(('ANALYSE - ERP =&gt; SOUS-SEGMENT'!$C$8:$C$1000=$C39)*'ANALYSE - ERP =&gt; SOUS-SEGMENT'!$Q$8:$Q$1000*'ANALYSE - ERP =&gt; SOUS-SEGMENT'!$BF$8:$BF$1000),""))</f>
        <v>0.24000989096573211</v>
      </c>
      <c r="IZ39" s="742">
        <f>IF($C39="","",IFERROR(SUMPRODUCT(('ANALYSE - ERP =&gt; SOUS-SEGMENT'!$C$8:$C$1000=$C39)*'ANALYSE - ERP =&gt; SOUS-SEGMENT'!$Q$8:$Q$1000*'ANALYSE - ERP =&gt; SOUS-SEGMENT'!$BF$8:$BF$1000*'ANALYSE - ERP =&gt; SOUS-SEGMENT'!$IZ$8:$IZ$1000)/SUMPRODUCT(('ANALYSE - ERP =&gt; SOUS-SEGMENT'!$C$8:$C$1000=$C39)*'ANALYSE - ERP =&gt; SOUS-SEGMENT'!$Q$8:$Q$1000*'ANALYSE - ERP =&gt; SOUS-SEGMENT'!$BF$8:$BF$1000),""))</f>
        <v>0.65682755711318797</v>
      </c>
      <c r="JA39" s="742">
        <f>IF($C39="","",IFERROR(SUMPRODUCT(('ANALYSE - ERP =&gt; SOUS-SEGMENT'!$C$8:$C$1000=$C39)*'ANALYSE - ERP =&gt; SOUS-SEGMENT'!$Q$8:$Q$1000*'ANALYSE - ERP =&gt; SOUS-SEGMENT'!$BF$8:$BF$1000*'ANALYSE - ERP =&gt; SOUS-SEGMENT'!$JA$8:$JA$1000)/SUMPRODUCT(('ANALYSE - ERP =&gt; SOUS-SEGMENT'!$C$8:$C$1000=$C39)*'ANALYSE - ERP =&gt; SOUS-SEGMENT'!$Q$8:$Q$1000*'ANALYSE - ERP =&gt; SOUS-SEGMENT'!$BF$8:$BF$1000),""))</f>
        <v>0.10242690809968848</v>
      </c>
      <c r="JB39" s="742">
        <f>IF($C39="","",IFERROR(SUMPRODUCT(('ANALYSE - ERP =&gt; SOUS-SEGMENT'!$C$8:$C$1000=$C39)*'ANALYSE - ERP =&gt; SOUS-SEGMENT'!$Q$8:$Q$1000*'ANALYSE - ERP =&gt; SOUS-SEGMENT'!$BF$8:$BF$1000*'ANALYSE - ERP =&gt; SOUS-SEGMENT'!$JB$8:$JB$1000)/SUMPRODUCT(('ANALYSE - ERP =&gt; SOUS-SEGMENT'!$C$8:$C$1000=$C39)*'ANALYSE - ERP =&gt; SOUS-SEGMENT'!$Q$8:$Q$1000*'ANALYSE - ERP =&gt; SOUS-SEGMENT'!$BF$8:$BF$1000),""))</f>
        <v>7.339823468328142E-4</v>
      </c>
      <c r="JC39" s="742">
        <f>IF($C39="","",IFERROR(SUMPRODUCT(('ANALYSE - ERP =&gt; SOUS-SEGMENT'!$C$8:$C$1000=$C39)*'ANALYSE - ERP =&gt; SOUS-SEGMENT'!$Q$8:$Q$1000*'ANALYSE - ERP =&gt; SOUS-SEGMENT'!$BF$8:$BF$1000*'ANALYSE - ERP =&gt; SOUS-SEGMENT'!$JC$8:$JC$1000)/SUMPRODUCT(('ANALYSE - ERP =&gt; SOUS-SEGMENT'!$C$8:$C$1000=$C39)*'ANALYSE - ERP =&gt; SOUS-SEGMENT'!$Q$8:$Q$1000*'ANALYSE - ERP =&gt; SOUS-SEGMENT'!$BF$8:$BF$1000),""))</f>
        <v>1.6614745586708204E-6</v>
      </c>
      <c r="JD39" s="742">
        <f>IF($C39="","",IFERROR(SUMPRODUCT(('ANALYSE - ERP =&gt; SOUS-SEGMENT'!$C$8:$C$1000=$C39)*'ANALYSE - ERP =&gt; SOUS-SEGMENT'!$Q$8:$Q$1000*'ANALYSE - ERP =&gt; SOUS-SEGMENT'!$FE$8:$FE$1000*'ANALYSE - ERP =&gt; SOUS-SEGMENT'!$JD$8:$JD$1000)/SUMPRODUCT(('ANALYSE - ERP =&gt; SOUS-SEGMENT'!$C$8:$C$1000=$C39)*'ANALYSE - ERP =&gt; SOUS-SEGMENT'!$Q$8:$Q$1000*'ANALYSE - ERP =&gt; SOUS-SEGMENT'!$FE$8:$FE$1000),""))</f>
        <v>0.10181656135194711</v>
      </c>
      <c r="JE39" s="742">
        <f>IF($C39="","",IFERROR(SUMPRODUCT(('ANALYSE - ERP =&gt; SOUS-SEGMENT'!$C$8:$C$1000=$C39)*'ANALYSE - ERP =&gt; SOUS-SEGMENT'!$Q$8:$Q$1000*'ANALYSE - ERP =&gt; SOUS-SEGMENT'!$FE$8:$FE$1000*'ANALYSE - ERP =&gt; SOUS-SEGMENT'!$JE$8:$JE$1000)/SUMPRODUCT(('ANALYSE - ERP =&gt; SOUS-SEGMENT'!$C$8:$C$1000=$C39)*'ANALYSE - ERP =&gt; SOUS-SEGMENT'!$Q$8:$Q$1000*'ANALYSE - ERP =&gt; SOUS-SEGMENT'!$FE$8:$FE$1000),""))</f>
        <v>0.65806123438648056</v>
      </c>
      <c r="JF39" s="742">
        <f>IF($C39="","",IFERROR(SUMPRODUCT(('ANALYSE - ERP =&gt; SOUS-SEGMENT'!$C$8:$C$1000=$C39)*'ANALYSE - ERP =&gt; SOUS-SEGMENT'!$Q$8:$Q$1000*'ANALYSE - ERP =&gt; SOUS-SEGMENT'!$FE$8:$FE$1000*'ANALYSE - ERP =&gt; SOUS-SEGMENT'!$JF$8:$JF$1000)/SUMPRODUCT(('ANALYSE - ERP =&gt; SOUS-SEGMENT'!$C$8:$C$1000=$C39)*'ANALYSE - ERP =&gt; SOUS-SEGMENT'!$Q$8:$Q$1000*'ANALYSE - ERP =&gt; SOUS-SEGMENT'!$FE$8:$FE$1000),""))</f>
        <v>0.23659714915503308</v>
      </c>
      <c r="JG39" s="742">
        <f>IF($C39="","",IFERROR(SUMPRODUCT(('ANALYSE - ERP =&gt; SOUS-SEGMENT'!$C$8:$C$1000=$C39)*'ANALYSE - ERP =&gt; SOUS-SEGMENT'!$Q$8:$Q$1000*'ANALYSE - ERP =&gt; SOUS-SEGMENT'!$FE$8:$FE$1000*'ANALYSE - ERP =&gt; SOUS-SEGMENT'!$JG$8:$JG$1000)/SUMPRODUCT(('ANALYSE - ERP =&gt; SOUS-SEGMENT'!$C$8:$C$1000=$C39)*'ANALYSE - ERP =&gt; SOUS-SEGMENT'!$Q$8:$Q$1000*'ANALYSE - ERP =&gt; SOUS-SEGMENT'!$FE$8:$FE$1000),""))</f>
        <v>3.4876708302718591E-3</v>
      </c>
      <c r="JH39" s="742">
        <f>IF($C39="","",IFERROR(SUMPRODUCT(('ANALYSE - ERP =&gt; SOUS-SEGMENT'!$C$8:$C$1000=$C39)*'ANALYSE - ERP =&gt; SOUS-SEGMENT'!$Q$8:$Q$1000*'ANALYSE - ERP =&gt; SOUS-SEGMENT'!$FE$8:$FE$1000*'ANALYSE - ERP =&gt; SOUS-SEGMENT'!$JH$8:$JH$1000)/SUMPRODUCT(('ANALYSE - ERP =&gt; SOUS-SEGMENT'!$C$8:$C$1000=$C39)*'ANALYSE - ERP =&gt; SOUS-SEGMENT'!$Q$8:$Q$1000*'ANALYSE - ERP =&gt; SOUS-SEGMENT'!$FE$8:$FE$1000),""))</f>
        <v>3.7384276267450411E-5</v>
      </c>
      <c r="JI39" s="742">
        <f>IF($C39="","",IFERROR(SUMPRODUCT(('ANALYSE - ERP =&gt; SOUS-SEGMENT'!$C$8:$C$1000=$C39)*'ANALYSE - ERP =&gt; SOUS-SEGMENT'!$Q$8:$Q$1000*'ANALYSE - ERP =&gt; SOUS-SEGMENT'!$BG$8:$BG$1000*'ANALYSE - ERP =&gt; SOUS-SEGMENT'!$JI$8:$JI$1000)/SUMPRODUCT(('ANALYSE - ERP =&gt; SOUS-SEGMENT'!$C$8:$C$1000=$C39)*'ANALYSE - ERP =&gt; SOUS-SEGMENT'!$Q$8:$Q$1000*'ANALYSE - ERP =&gt; SOUS-SEGMENT'!$BG$8:$BG$1000),""))</f>
        <v>0.33414510556621879</v>
      </c>
      <c r="JJ39" s="742">
        <f>IF($C39="","",IFERROR(SUMPRODUCT(('ANALYSE - ERP =&gt; SOUS-SEGMENT'!$C$8:$C$1000=$C39)*'ANALYSE - ERP =&gt; SOUS-SEGMENT'!$Q$8:$Q$1000*'ANALYSE - ERP =&gt; SOUS-SEGMENT'!$BG$8:$BG$1000*'ANALYSE - ERP =&gt; SOUS-SEGMENT'!$JJ$8:$JJ$1000)/SUMPRODUCT(('ANALYSE - ERP =&gt; SOUS-SEGMENT'!$C$8:$C$1000=$C39)*'ANALYSE - ERP =&gt; SOUS-SEGMENT'!$Q$8:$Q$1000*'ANALYSE - ERP =&gt; SOUS-SEGMENT'!$BG$8:$BG$1000),""))</f>
        <v>0.58312284069097886</v>
      </c>
      <c r="JK39" s="742">
        <f>IF($C39="","",IFERROR(SUMPRODUCT(('ANALYSE - ERP =&gt; SOUS-SEGMENT'!$C$8:$C$1000=$C39)*'ANALYSE - ERP =&gt; SOUS-SEGMENT'!$Q$8:$Q$1000*'ANALYSE - ERP =&gt; SOUS-SEGMENT'!$BG$8:$BG$1000*'ANALYSE - ERP =&gt; SOUS-SEGMENT'!$JK$8:$JK$1000)/SUMPRODUCT(('ANALYSE - ERP =&gt; SOUS-SEGMENT'!$C$8:$C$1000=$C39)*'ANALYSE - ERP =&gt; SOUS-SEGMENT'!$Q$8:$Q$1000*'ANALYSE - ERP =&gt; SOUS-SEGMENT'!$BG$8:$BG$1000),""))</f>
        <v>8.0707869481765837E-2</v>
      </c>
      <c r="JL39" s="742">
        <f>IF($C39="","",IFERROR(SUMPRODUCT(('ANALYSE - ERP =&gt; SOUS-SEGMENT'!$C$8:$C$1000=$C39)*'ANALYSE - ERP =&gt; SOUS-SEGMENT'!$Q$8:$Q$1000*'ANALYSE - ERP =&gt; SOUS-SEGMENT'!$BG$8:$BG$1000*'ANALYSE - ERP =&gt; SOUS-SEGMENT'!$JL$8:$JL$1000)/SUMPRODUCT(('ANALYSE - ERP =&gt; SOUS-SEGMENT'!$C$8:$C$1000=$C39)*'ANALYSE - ERP =&gt; SOUS-SEGMENT'!$Q$8:$Q$1000*'ANALYSE - ERP =&gt; SOUS-SEGMENT'!$BG$8:$BG$1000),""))</f>
        <v>2.0059500959692896E-3</v>
      </c>
      <c r="JM39" s="742">
        <f>IF($C39="","",IFERROR(SUMPRODUCT(('ANALYSE - ERP =&gt; SOUS-SEGMENT'!$C$8:$C$1000=$C39)*'ANALYSE - ERP =&gt; SOUS-SEGMENT'!$Q$8:$Q$1000*'ANALYSE - ERP =&gt; SOUS-SEGMENT'!$BG$8:$BG$1000*'ANALYSE - ERP =&gt; SOUS-SEGMENT'!$JM$8:$JM$1000)/SUMPRODUCT(('ANALYSE - ERP =&gt; SOUS-SEGMENT'!$C$8:$C$1000=$C39)*'ANALYSE - ERP =&gt; SOUS-SEGMENT'!$Q$8:$Q$1000*'ANALYSE - ERP =&gt; SOUS-SEGMENT'!$BG$8:$BG$1000),""))</f>
        <v>1.8234165067178505E-5</v>
      </c>
      <c r="JN39" s="742">
        <f>IF($C39="","",IFERROR(SUMPRODUCT(('ANALYSE - ERP =&gt; SOUS-SEGMENT'!$C$8:$C$1000=$C39)*'ANALYSE - ERP =&gt; SOUS-SEGMENT'!$Q$8:$Q$1000*'ANALYSE - ERP =&gt; SOUS-SEGMENT'!$FH$8:$FH$1000*'ANALYSE - ERP =&gt; SOUS-SEGMENT'!$JN$8:$JN$1000)/SUMPRODUCT(('ANALYSE - ERP =&gt; SOUS-SEGMENT'!$C$8:$C$1000=$C39)*'ANALYSE - ERP =&gt; SOUS-SEGMENT'!$Q$8:$Q$1000*'ANALYSE - ERP =&gt; SOUS-SEGMENT'!$FH$8:$FH$1000),""))</f>
        <v>0.17360710426022713</v>
      </c>
      <c r="JO39" s="742">
        <f>IF($C39="","",IFERROR(SUMPRODUCT(('ANALYSE - ERP =&gt; SOUS-SEGMENT'!$C$8:$C$1000=$C39)*'ANALYSE - ERP =&gt; SOUS-SEGMENT'!$Q$8:$Q$1000*'ANALYSE - ERP =&gt; SOUS-SEGMENT'!$FH$8:$FH$1000*'ANALYSE - ERP =&gt; SOUS-SEGMENT'!$JO$8:$JO$1000)/SUMPRODUCT(('ANALYSE - ERP =&gt; SOUS-SEGMENT'!$C$8:$C$1000=$C39)*'ANALYSE - ERP =&gt; SOUS-SEGMENT'!$Q$8:$Q$1000*'ANALYSE - ERP =&gt; SOUS-SEGMENT'!$FH$8:$FH$1000),""))</f>
        <v>0.62632111708630878</v>
      </c>
      <c r="JP39" s="742">
        <f>IF($C39="","",IFERROR(SUMPRODUCT(('ANALYSE - ERP =&gt; SOUS-SEGMENT'!$C$8:$C$1000=$C39)*'ANALYSE - ERP =&gt; SOUS-SEGMENT'!$Q$8:$Q$1000*'ANALYSE - ERP =&gt; SOUS-SEGMENT'!$FH$8:$FH$1000*'ANALYSE - ERP =&gt; SOUS-SEGMENT'!$JP$8:$JP$1000)/SUMPRODUCT(('ANALYSE - ERP =&gt; SOUS-SEGMENT'!$C$8:$C$1000=$C39)*'ANALYSE - ERP =&gt; SOUS-SEGMENT'!$Q$8:$Q$1000*'ANALYSE - ERP =&gt; SOUS-SEGMENT'!$FH$8:$FH$1000),""))</f>
        <v>0.19154566913521703</v>
      </c>
      <c r="JQ39" s="742">
        <f>IF($C39="","",IFERROR(SUMPRODUCT(('ANALYSE - ERP =&gt; SOUS-SEGMENT'!$C$8:$C$1000=$C39)*'ANALYSE - ERP =&gt; SOUS-SEGMENT'!$Q$8:$Q$1000*'ANALYSE - ERP =&gt; SOUS-SEGMENT'!$FH$8:$FH$1000*'ANALYSE - ERP =&gt; SOUS-SEGMENT'!$JQ$8:$JQ$1000)/SUMPRODUCT(('ANALYSE - ERP =&gt; SOUS-SEGMENT'!$C$8:$C$1000=$C39)*'ANALYSE - ERP =&gt; SOUS-SEGMENT'!$Q$8:$Q$1000*'ANALYSE - ERP =&gt; SOUS-SEGMENT'!$FH$8:$FH$1000),""))</f>
        <v>8.3922691582435874E-3</v>
      </c>
      <c r="JR39" s="742">
        <f>IF($C39="","",IFERROR(SUMPRODUCT(('ANALYSE - ERP =&gt; SOUS-SEGMENT'!$C$8:$C$1000=$C39)*'ANALYSE - ERP =&gt; SOUS-SEGMENT'!$Q$8:$Q$1000*'ANALYSE - ERP =&gt; SOUS-SEGMENT'!$FH$8:$FH$1000*'ANALYSE - ERP =&gt; SOUS-SEGMENT'!$JR$8:$JR$1000)/SUMPRODUCT(('ANALYSE - ERP =&gt; SOUS-SEGMENT'!$C$8:$C$1000=$C39)*'ANALYSE - ERP =&gt; SOUS-SEGMENT'!$Q$8:$Q$1000*'ANALYSE - ERP =&gt; SOUS-SEGMENT'!$FH$8:$FH$1000),""))</f>
        <v>1.3384036000344183E-4</v>
      </c>
      <c r="JS39" s="742">
        <f>IF($C39="","",IFERROR(SUMPRODUCT(('ANALYSE - ERP =&gt; SOUS-SEGMENT'!$C$8:$C$1000=$C39)*'ANALYSE - ERP =&gt; SOUS-SEGMENT'!$Q$8:$Q$1000*'ANALYSE - ERP =&gt; SOUS-SEGMENT'!$BH$8:$BH$1000*'ANALYSE - ERP =&gt; SOUS-SEGMENT'!$JS$8:$JS$1000)/SUMPRODUCT(('ANALYSE - ERP =&gt; SOUS-SEGMENT'!$C$8:$C$1000=$C39)*'ANALYSE - ERP =&gt; SOUS-SEGMENT'!$Q$8:$Q$1000*'ANALYSE - ERP =&gt; SOUS-SEGMENT'!$BH$8:$BH$1000),""))</f>
        <v>0.19867930332440872</v>
      </c>
      <c r="JT39" s="742">
        <f>IF($C39="","",IFERROR(SUMPRODUCT(('ANALYSE - ERP =&gt; SOUS-SEGMENT'!$C$8:$C$1000=$C39)*'ANALYSE - ERP =&gt; SOUS-SEGMENT'!$Q$8:$Q$1000*'ANALYSE - ERP =&gt; SOUS-SEGMENT'!$BH$8:$BH$1000*'ANALYSE - ERP =&gt; SOUS-SEGMENT'!$JT$8:$JT$1000)/SUMPRODUCT(('ANALYSE - ERP =&gt; SOUS-SEGMENT'!$C$8:$C$1000=$C39)*'ANALYSE - ERP =&gt; SOUS-SEGMENT'!$Q$8:$Q$1000*'ANALYSE - ERP =&gt; SOUS-SEGMENT'!$BH$8:$BH$1000),""))</f>
        <v>0.67834624888442663</v>
      </c>
      <c r="JU39" s="742">
        <f>IF($C39="","",IFERROR(SUMPRODUCT(('ANALYSE - ERP =&gt; SOUS-SEGMENT'!$C$8:$C$1000=$C39)*'ANALYSE - ERP =&gt; SOUS-SEGMENT'!$Q$8:$Q$1000*'ANALYSE - ERP =&gt; SOUS-SEGMENT'!$BH$8:$BH$1000*'ANALYSE - ERP =&gt; SOUS-SEGMENT'!$JU$8:$JU$1000)/SUMPRODUCT(('ANALYSE - ERP =&gt; SOUS-SEGMENT'!$C$8:$C$1000=$C39)*'ANALYSE - ERP =&gt; SOUS-SEGMENT'!$Q$8:$Q$1000*'ANALYSE - ERP =&gt; SOUS-SEGMENT'!$BH$8:$BH$1000),""))</f>
        <v>0.12271785475234273</v>
      </c>
      <c r="JV39" s="742">
        <f>IF($C39="","",IFERROR(SUMPRODUCT(('ANALYSE - ERP =&gt; SOUS-SEGMENT'!$C$8:$C$1000=$C39)*'ANALYSE - ERP =&gt; SOUS-SEGMENT'!$Q$8:$Q$1000*'ANALYSE - ERP =&gt; SOUS-SEGMENT'!$BH$8:$BH$1000*'ANALYSE - ERP =&gt; SOUS-SEGMENT'!$JV$8:$JV$1000)/SUMPRODUCT(('ANALYSE - ERP =&gt; SOUS-SEGMENT'!$C$8:$C$1000=$C39)*'ANALYSE - ERP =&gt; SOUS-SEGMENT'!$Q$8:$Q$1000*'ANALYSE - ERP =&gt; SOUS-SEGMENT'!$BH$8:$BH$1000),""))</f>
        <v>2.5533522980812141E-4</v>
      </c>
      <c r="JW39" s="742">
        <f>IF($C39="","",IFERROR(SUMPRODUCT(('ANALYSE - ERP =&gt; SOUS-SEGMENT'!$C$8:$C$1000=$C39)*'ANALYSE - ERP =&gt; SOUS-SEGMENT'!$Q$8:$Q$1000*'ANALYSE - ERP =&gt; SOUS-SEGMENT'!$BH$8:$BH$1000*'ANALYSE - ERP =&gt; SOUS-SEGMENT'!$JW$8:$JW$1000)/SUMPRODUCT(('ANALYSE - ERP =&gt; SOUS-SEGMENT'!$C$8:$C$1000=$C39)*'ANALYSE - ERP =&gt; SOUS-SEGMENT'!$Q$8:$Q$1000*'ANALYSE - ERP =&gt; SOUS-SEGMENT'!$BH$8:$BH$1000),""))</f>
        <v>1.2578090138331103E-6</v>
      </c>
      <c r="JX39" s="742">
        <f>IF($C39="","",IFERROR(SUMPRODUCT(('ANALYSE - ERP =&gt; SOUS-SEGMENT'!$C$8:$C$1000=$C39)*'ANALYSE - ERP =&gt; SOUS-SEGMENT'!$Q$8:$Q$1000*'ANALYSE - ERP =&gt; SOUS-SEGMENT'!$FK$8:$FK$1000*'ANALYSE - ERP =&gt; SOUS-SEGMENT'!$JX$8:$JX$1000)/SUMPRODUCT(('ANALYSE - ERP =&gt; SOUS-SEGMENT'!$C$8:$C$1000=$C39)*'ANALYSE - ERP =&gt; SOUS-SEGMENT'!$Q$8:$Q$1000*'ANALYSE - ERP =&gt; SOUS-SEGMENT'!$FK$8:$FK$1000),""))</f>
        <v>7.9377221497953412E-2</v>
      </c>
      <c r="JY39" s="742">
        <f>IF($C39="","",IFERROR(SUMPRODUCT(('ANALYSE - ERP =&gt; SOUS-SEGMENT'!$C$8:$C$1000=$C39)*'ANALYSE - ERP =&gt; SOUS-SEGMENT'!$Q$8:$Q$1000*'ANALYSE - ERP =&gt; SOUS-SEGMENT'!$FK$8:$FK$1000*'ANALYSE - ERP =&gt; SOUS-SEGMENT'!$JY$8:$JY$1000)/SUMPRODUCT(('ANALYSE - ERP =&gt; SOUS-SEGMENT'!$C$8:$C$1000=$C39)*'ANALYSE - ERP =&gt; SOUS-SEGMENT'!$Q$8:$Q$1000*'ANALYSE - ERP =&gt; SOUS-SEGMENT'!$FK$8:$FK$1000),""))</f>
        <v>0.64723956548614825</v>
      </c>
      <c r="JZ39" s="742">
        <f>IF($C39="","",IFERROR(SUMPRODUCT(('ANALYSE - ERP =&gt; SOUS-SEGMENT'!$C$8:$C$1000=$C39)*'ANALYSE - ERP =&gt; SOUS-SEGMENT'!$Q$8:$Q$1000*'ANALYSE - ERP =&gt; SOUS-SEGMENT'!$FK$8:$FK$1000*'ANALYSE - ERP =&gt; SOUS-SEGMENT'!$JZ$8:$JZ$1000)/SUMPRODUCT(('ANALYSE - ERP =&gt; SOUS-SEGMENT'!$C$8:$C$1000=$C39)*'ANALYSE - ERP =&gt; SOUS-SEGMENT'!$Q$8:$Q$1000*'ANALYSE - ERP =&gt; SOUS-SEGMENT'!$FK$8:$FK$1000),""))</f>
        <v>0.27224992249481283</v>
      </c>
      <c r="KA39" s="742">
        <f>IF($C39="","",IFERROR(SUMPRODUCT(('ANALYSE - ERP =&gt; SOUS-SEGMENT'!$C$8:$C$1000=$C39)*'ANALYSE - ERP =&gt; SOUS-SEGMENT'!$Q$8:$Q$1000*'ANALYSE - ERP =&gt; SOUS-SEGMENT'!$FK$8:$FK$1000*'ANALYSE - ERP =&gt; SOUS-SEGMENT'!$KA$8:$KA$1000)/SUMPRODUCT(('ANALYSE - ERP =&gt; SOUS-SEGMENT'!$C$8:$C$1000=$C39)*'ANALYSE - ERP =&gt; SOUS-SEGMENT'!$Q$8:$Q$1000*'ANALYSE - ERP =&gt; SOUS-SEGMENT'!$FK$8:$FK$1000),""))</f>
        <v>1.1221944091367177E-3</v>
      </c>
      <c r="KB39" s="742">
        <f>IF($C39="","",IFERROR(SUMPRODUCT(('ANALYSE - ERP =&gt; SOUS-SEGMENT'!$C$8:$C$1000=$C39)*'ANALYSE - ERP =&gt; SOUS-SEGMENT'!$Q$8:$Q$1000*'ANALYSE - ERP =&gt; SOUS-SEGMENT'!$FK$8:$FK$1000*'ANALYSE - ERP =&gt; SOUS-SEGMENT'!$KB$8:$KB$1000)/SUMPRODUCT(('ANALYSE - ERP =&gt; SOUS-SEGMENT'!$C$8:$C$1000=$C39)*'ANALYSE - ERP =&gt; SOUS-SEGMENT'!$Q$8:$Q$1000*'ANALYSE - ERP =&gt; SOUS-SEGMENT'!$FK$8:$FK$1000),""))</f>
        <v>1.1096111948676417E-5</v>
      </c>
      <c r="KC39" s="657"/>
      <c r="KD39" s="924" t="s">
        <v>6199</v>
      </c>
      <c r="KE39" s="924" t="s">
        <v>6200</v>
      </c>
      <c r="KF39" s="869">
        <f>IF($C39="","",IFERROR(SUMPRODUCT(('ANALYSE - ERP =&gt; SOUS-SEGMENT'!$C$8:$C$1000=$C39)*'ANALYSE - ERP =&gt; SOUS-SEGMENT'!$Q$8:$Q$1000*'ANALYSE - ERP =&gt; SOUS-SEGMENT'!$IE$8:$IE$1000*'ANALYSE - ERP =&gt; SOUS-SEGMENT'!$KF$8:$KF$1000)/SUMPRODUCT(('ANALYSE - ERP =&gt; SOUS-SEGMENT'!$C$8:$C$1000=$C39)*'ANALYSE - ERP =&gt; SOUS-SEGMENT'!$Q$8:$Q$1000*'ANALYSE - ERP =&gt; SOUS-SEGMENT'!$IE$8:$IE$1000),""))</f>
        <v>4.7111390347122013</v>
      </c>
      <c r="KG39" s="924" t="s">
        <v>6201</v>
      </c>
      <c r="KH39" s="924" t="s">
        <v>6202</v>
      </c>
      <c r="KI39" s="924" t="s">
        <v>6203</v>
      </c>
      <c r="KJ39" s="924" t="s">
        <v>6204</v>
      </c>
    </row>
    <row r="40" spans="1:296" ht="120" customHeight="1">
      <c r="A40" s="957">
        <f>IF($C40="","",ROWS($A$8:A40))</f>
        <v>33</v>
      </c>
      <c r="B40" s="958" t="s">
        <v>4908</v>
      </c>
      <c r="C40" s="958" t="s">
        <v>2027</v>
      </c>
      <c r="D40" s="959" t="s">
        <v>6205</v>
      </c>
      <c r="E40" s="269" t="s">
        <v>6206</v>
      </c>
      <c r="F40" s="960" t="s">
        <v>6207</v>
      </c>
      <c r="G40" s="960" t="s">
        <v>300</v>
      </c>
      <c r="H40" s="960" t="s">
        <v>2109</v>
      </c>
      <c r="I40" s="960" t="s">
        <v>6208</v>
      </c>
      <c r="J40" s="960" t="s">
        <v>6209</v>
      </c>
      <c r="K40" s="960" t="s">
        <v>2097</v>
      </c>
      <c r="L40" s="960" t="s">
        <v>2109</v>
      </c>
      <c r="M40" s="960" t="s">
        <v>6210</v>
      </c>
      <c r="N40" s="960" t="s">
        <v>6211</v>
      </c>
      <c r="O40" s="960" t="s">
        <v>2616</v>
      </c>
      <c r="P40" s="960"/>
      <c r="Q40" s="270">
        <f>IF($C40="","",IF(SUMIFS('ANALYSE - ERP =&gt; SOUS-SEGMENT'!$Q$8:$Q$1000,'ANALYSE - ERP =&gt; SOUS-SEGMENT'!$C$8:$C$1000,$C40)&gt;0,1,0))</f>
        <v>1</v>
      </c>
      <c r="R40" s="271">
        <f>IF($C40="","",IFERROR(SUMPRODUCT(('ANALYSE - ERP =&gt; SOUS-SEGMENT'!$C$8:$C$1000=$C40)*'ANALYSE - ERP =&gt; SOUS-SEGMENT'!$Q$8:$Q$1000*'ANALYSE - ERP =&gt; SOUS-SEGMENT'!$AF$8:$AF$1000*'ANALYSE - ERP =&gt; SOUS-SEGMENT'!$R$8:$R$1000)/SUMPRODUCT(('ANALYSE - ERP =&gt; SOUS-SEGMENT'!$C$8:$C$1000=$C40)*'ANALYSE - ERP =&gt; SOUS-SEGMENT'!$Q$8:$Q$1000*'ANALYSE - ERP =&gt; SOUS-SEGMENT'!$AF$8:$AF$1000),""))</f>
        <v>2046.5857359635811</v>
      </c>
      <c r="S40" s="272">
        <f>IF($C40="","",SUMPRODUCT(('ANALYSE - ERP =&gt; SOUS-SEGMENT'!$C$8:$C$1000=$C40)*'ANALYSE - ERP =&gt; SOUS-SEGMENT'!$Q$8:$Q$1000*'ANALYSE - ERP =&gt; SOUS-SEGMENT'!$S$8:$S$1000))</f>
        <v>706</v>
      </c>
      <c r="T40" s="272">
        <f>IF($C40="","",SUMPRODUCT(('ANALYSE - ERP =&gt; SOUS-SEGMENT'!$C$8:$C$1000=$C40)*'ANALYSE - ERP =&gt; SOUS-SEGMENT'!$Q$8:$Q$1000*'ANALYSE - ERP =&gt; SOUS-SEGMENT'!$T$8:$T$1000))</f>
        <v>757</v>
      </c>
      <c r="U40" s="272">
        <f>IF($C40="","",SUMPRODUCT(('ANALYSE - ERP =&gt; SOUS-SEGMENT'!$C$8:$C$1000=$C40)*'ANALYSE - ERP =&gt; SOUS-SEGMENT'!$Q$8:$Q$1000*'ANALYSE - ERP =&gt; SOUS-SEGMENT'!$U$8:$U$1000))</f>
        <v>654</v>
      </c>
      <c r="V40" s="272">
        <f>IF($C40="","",SUMPRODUCT(('ANALYSE - ERP =&gt; SOUS-SEGMENT'!$C$8:$C$1000=$C40)*'ANALYSE - ERP =&gt; SOUS-SEGMENT'!$Q$8:$Q$1000*'ANALYSE - ERP =&gt; SOUS-SEGMENT'!$V$8:$V$1000))</f>
        <v>651</v>
      </c>
      <c r="W40" s="272">
        <f>IF($C40="","",SUMPRODUCT(('ANALYSE - ERP =&gt; SOUS-SEGMENT'!$C$8:$C$1000=$C40)*'ANALYSE - ERP =&gt; SOUS-SEGMENT'!$Q$8:$Q$1000*'ANALYSE - ERP =&gt; SOUS-SEGMENT'!$W$8:$W$1000))</f>
        <v>651</v>
      </c>
      <c r="X40" s="272">
        <f>IF($C40="","",SUMPRODUCT(('ANALYSE - ERP =&gt; SOUS-SEGMENT'!$C$8:$C$1000=$C40)*'ANALYSE - ERP =&gt; SOUS-SEGMENT'!$Q$8:$Q$1000*'ANALYSE - ERP =&gt; SOUS-SEGMENT'!$X$8:$X$1000))</f>
        <v>652</v>
      </c>
      <c r="Y40" s="272">
        <f>IF($C40="","",SUMPRODUCT(('ANALYSE - ERP =&gt; SOUS-SEGMENT'!$C$8:$C$1000=$C40)*'ANALYSE - ERP =&gt; SOUS-SEGMENT'!$Q$8:$Q$1000*'ANALYSE - ERP =&gt; SOUS-SEGMENT'!$Y$8:$Y$1000))</f>
        <v>652</v>
      </c>
      <c r="Z40" s="272">
        <f>IF($C40="","",SUMPRODUCT(('ANALYSE - ERP =&gt; SOUS-SEGMENT'!$C$8:$C$1000=$C40)*'ANALYSE - ERP =&gt; SOUS-SEGMENT'!$Q$8:$Q$1000*'ANALYSE - ERP =&gt; SOUS-SEGMENT'!$Z$8:$Z$1000))</f>
        <v>653</v>
      </c>
      <c r="AA40" s="272">
        <f>IF($C40="","",SUMPRODUCT(('ANALYSE - ERP =&gt; SOUS-SEGMENT'!$C$8:$C$1000=$C40)*'ANALYSE - ERP =&gt; SOUS-SEGMENT'!$Q$8:$Q$1000*'ANALYSE - ERP =&gt; SOUS-SEGMENT'!$AA$8:$AA$1000))</f>
        <v>654</v>
      </c>
      <c r="AB40" s="272">
        <f>IF($C40="","",SUMPRODUCT(('ANALYSE - ERP =&gt; SOUS-SEGMENT'!$C$8:$C$1000=$C40)*'ANALYSE - ERP =&gt; SOUS-SEGMENT'!$Q$8:$Q$1000*'ANALYSE - ERP =&gt; SOUS-SEGMENT'!$AB$8:$AB$1000))</f>
        <v>654</v>
      </c>
      <c r="AC40" s="272">
        <f>IF($C40="","",SUMPRODUCT(('ANALYSE - ERP =&gt; SOUS-SEGMENT'!$C$8:$C$1000=$C40)*'ANALYSE - ERP =&gt; SOUS-SEGMENT'!$Q$8:$Q$1000*'ANALYSE - ERP =&gt; SOUS-SEGMENT'!$AC$8:$AC$1000))</f>
        <v>654</v>
      </c>
      <c r="AD40" s="272">
        <f>IF($C40="","",SUMPRODUCT(('ANALYSE - ERP =&gt; SOUS-SEGMENT'!$C$8:$C$1000=$C40)*'ANALYSE - ERP =&gt; SOUS-SEGMENT'!$Q$8:$Q$1000*'ANALYSE - ERP =&gt; SOUS-SEGMENT'!$AD$8:$AD$1000))</f>
        <v>655</v>
      </c>
      <c r="AE40" s="272">
        <f>IF($C40="","",SUMPRODUCT(('ANALYSE - ERP =&gt; SOUS-SEGMENT'!$C$8:$C$1000=$C40)*'ANALYSE - ERP =&gt; SOUS-SEGMENT'!$Q$8:$Q$1000*'ANALYSE - ERP =&gt; SOUS-SEGMENT'!$AE$8:$AE$1000))</f>
        <v>657</v>
      </c>
      <c r="AF40" s="272">
        <f>IF($C40="","",SUMPRODUCT(('ANALYSE - ERP =&gt; SOUS-SEGMENT'!$C$8:$C$1000=$C40)*'ANALYSE - ERP =&gt; SOUS-SEGMENT'!$Q$8:$Q$1000*'ANALYSE - ERP =&gt; SOUS-SEGMENT'!$AF$8:$AF$1000))</f>
        <v>659</v>
      </c>
      <c r="AG40" s="272">
        <f>IF($C40="","",SUMPRODUCT(('ANALYSE - ERP =&gt; SOUS-SEGMENT'!$C$8:$C$1000=$C40)*'ANALYSE - ERP =&gt; SOUS-SEGMENT'!$Q$8:$Q$1000*'ANALYSE - ERP =&gt; SOUS-SEGMENT'!$AG$8:$AG$1000))</f>
        <v>659</v>
      </c>
      <c r="AH40" s="272">
        <f>IF($C40="","",SUMPRODUCT(('ANALYSE - ERP =&gt; SOUS-SEGMENT'!$C$8:$C$1000=$C40)*'ANALYSE - ERP =&gt; SOUS-SEGMENT'!$Q$8:$Q$1000*'ANALYSE - ERP =&gt; SOUS-SEGMENT'!$AH$8:$AH$1000))</f>
        <v>659</v>
      </c>
      <c r="AI40" s="272">
        <f>IF($C40="","",SUMPRODUCT(('ANALYSE - ERP =&gt; SOUS-SEGMENT'!$C$8:$C$1000=$C40)*'ANALYSE - ERP =&gt; SOUS-SEGMENT'!$Q$8:$Q$1000*'ANALYSE - ERP =&gt; SOUS-SEGMENT'!$AI$8:$AI$1000))</f>
        <v>660</v>
      </c>
      <c r="AJ40" s="272">
        <f>IF($C40="","",SUMPRODUCT(('ANALYSE - ERP =&gt; SOUS-SEGMENT'!$C$8:$C$1000=$C40)*'ANALYSE - ERP =&gt; SOUS-SEGMENT'!$Q$8:$Q$1000*'ANALYSE - ERP =&gt; SOUS-SEGMENT'!$AJ$8:$AJ$1000))</f>
        <v>660</v>
      </c>
      <c r="AK40" s="272">
        <f>IF($C40="","",SUMPRODUCT(('ANALYSE - ERP =&gt; SOUS-SEGMENT'!$C$8:$C$1000=$C40)*'ANALYSE - ERP =&gt; SOUS-SEGMENT'!$Q$8:$Q$1000*'ANALYSE - ERP =&gt; SOUS-SEGMENT'!$AK$8:$AK$1000))</f>
        <v>660</v>
      </c>
      <c r="AL40" s="960" t="s">
        <v>6212</v>
      </c>
      <c r="AM40" s="960" t="s">
        <v>6213</v>
      </c>
      <c r="AN40" s="960" t="s">
        <v>5120</v>
      </c>
      <c r="AO40" s="657"/>
      <c r="AP40" s="271">
        <f>IF($C40="","",IFERROR(SUMPRODUCT(('ANALYSE - ERP =&gt; SOUS-SEGMENT'!$C$8:$C$1000=$C40)*'ANALYSE - ERP =&gt; SOUS-SEGMENT'!$Q$8:$Q$1000*'ANALYSE - ERP =&gt; SOUS-SEGMENT'!$AF$8:$AF$1000*'ANALYSE - ERP =&gt; SOUS-SEGMENT'!$AP$8:$AP$1000)/SUMPRODUCT(('ANALYSE - ERP =&gt; SOUS-SEGMENT'!$C$8:$C$1000=$C40)*'ANALYSE - ERP =&gt; SOUS-SEGMENT'!$Q$8:$Q$1000*'ANALYSE - ERP =&gt; SOUS-SEGMENT'!$AF$8:$AF$1000),""))</f>
        <v>269.89377845220031</v>
      </c>
      <c r="AQ40" s="280">
        <f>IF($C40="","",IFERROR(SUMPRODUCT(('ANALYSE - ERP =&gt; SOUS-SEGMENT'!$C$8:$C$1000=$C40)*'ANALYSE - ERP =&gt; SOUS-SEGMENT'!$Q$8:$Q$1000*'ANALYSE - ERP =&gt; SOUS-SEGMENT'!$AF$8:$AF$1000*'ANALYSE - ERP =&gt; SOUS-SEGMENT'!$AQ$8:$AQ$1000)/SUMPRODUCT(('ANALYSE - ERP =&gt; SOUS-SEGMENT'!$C$8:$C$1000=$C40)*'ANALYSE - ERP =&gt; SOUS-SEGMENT'!$Q$8:$Q$1000*'ANALYSE - ERP =&gt; SOUS-SEGMENT'!$AF$8:$AF$1000),""))</f>
        <v>175.43095599393018</v>
      </c>
      <c r="AR40" s="280">
        <f>IF($C40="","",IFERROR(SUMPRODUCT(('ANALYSE - ERP =&gt; SOUS-SEGMENT'!$C$8:$C$1000=$C40)*'ANALYSE - ERP =&gt; SOUS-SEGMENT'!$Q$8:$Q$1000*'ANALYSE - ERP =&gt; SOUS-SEGMENT'!$AF$8:$AF$1000*'ANALYSE - ERP =&gt; SOUS-SEGMENT'!$AR$8:$AR$1000)/SUMPRODUCT(('ANALYSE - ERP =&gt; SOUS-SEGMENT'!$C$8:$C$1000=$C40)*'ANALYSE - ERP =&gt; SOUS-SEGMENT'!$Q$8:$Q$1000*'ANALYSE - ERP =&gt; SOUS-SEGMENT'!$AF$8:$AF$1000),""))</f>
        <v>67.473444613050077</v>
      </c>
      <c r="AS40" s="280">
        <f>IF($C40="","",IFERROR(SUMPRODUCT(('ANALYSE - ERP =&gt; SOUS-SEGMENT'!$C$8:$C$1000=$C40)*'ANALYSE - ERP =&gt; SOUS-SEGMENT'!$Q$8:$Q$1000*'ANALYSE - ERP =&gt; SOUS-SEGMENT'!$AF$8:$AF$1000*'ANALYSE - ERP =&gt; SOUS-SEGMENT'!$AS$8:$AS$1000)/SUMPRODUCT(('ANALYSE - ERP =&gt; SOUS-SEGMENT'!$C$8:$C$1000=$C40)*'ANALYSE - ERP =&gt; SOUS-SEGMENT'!$Q$8:$Q$1000*'ANALYSE - ERP =&gt; SOUS-SEGMENT'!$AF$8:$AF$1000),""))</f>
        <v>26.98937784522003</v>
      </c>
      <c r="AT40" s="657"/>
      <c r="AU40" s="647" t="s">
        <v>6214</v>
      </c>
      <c r="AV40" s="647" t="s">
        <v>6215</v>
      </c>
      <c r="AW40" s="960" t="s">
        <v>6216</v>
      </c>
      <c r="AX40" s="647" t="s">
        <v>4918</v>
      </c>
      <c r="AY40" s="657"/>
      <c r="AZ40" s="948">
        <f>IF($C40="","",IFERROR(SUMPRODUCT(('ANALYSE - ERP =&gt; SOUS-SEGMENT'!$C$8:$C$1000=$C40)*'ANALYSE - ERP =&gt; SOUS-SEGMENT'!$Q$8:$Q$1000*'ANALYSE - ERP =&gt; SOUS-SEGMENT'!$AF$8:$AF$1000*'ANALYSE - ERP =&gt; SOUS-SEGMENT'!$AZ$8:$AZ$1000)/SUMPRODUCT(('ANALYSE - ERP =&gt; SOUS-SEGMENT'!$C$8:$C$1000=$C40)*'ANALYSE - ERP =&gt; SOUS-SEGMENT'!$Q$8:$Q$1000*'ANALYSE - ERP =&gt; SOUS-SEGMENT'!$AF$8:$AF$1000),""))</f>
        <v>10.50227617602428</v>
      </c>
      <c r="BA40" s="948">
        <f>IF($C40="","",IFERROR(SUMPRODUCT(('ANALYSE - ERP =&gt; SOUS-SEGMENT'!$C$8:$C$1000=$C40)*'ANALYSE - ERP =&gt; SOUS-SEGMENT'!$Q$8:$Q$1000*'ANALYSE - ERP =&gt; SOUS-SEGMENT'!$AF$8:$AF$1000*'ANALYSE - ERP =&gt; SOUS-SEGMENT'!$BA$8:$BA$1000)/SUMPRODUCT(('ANALYSE - ERP =&gt; SOUS-SEGMENT'!$C$8:$C$1000=$C40)*'ANALYSE - ERP =&gt; SOUS-SEGMENT'!$Q$8:$Q$1000*'ANALYSE - ERP =&gt; SOUS-SEGMENT'!$AF$8:$AF$1000),""))</f>
        <v>0</v>
      </c>
      <c r="BB40" s="948">
        <f>IF($C40="","",IFERROR(SUMPRODUCT(('ANALYSE - ERP =&gt; SOUS-SEGMENT'!$C$8:$C$1000=$C40)*'ANALYSE - ERP =&gt; SOUS-SEGMENT'!$Q$8:$Q$1000*'ANALYSE - ERP =&gt; SOUS-SEGMENT'!$AF$8:$AF$1000*'ANALYSE - ERP =&gt; SOUS-SEGMENT'!$BB$8:$BB$1000)/SUMPRODUCT(('ANALYSE - ERP =&gt; SOUS-SEGMENT'!$C$8:$C$1000=$C40)*'ANALYSE - ERP =&gt; SOUS-SEGMENT'!$Q$8:$Q$1000*'ANALYSE - ERP =&gt; SOUS-SEGMENT'!$AF$8:$AF$1000),""))</f>
        <v>1.3839150227617603</v>
      </c>
      <c r="BC40" s="948">
        <f>IF($C40="","",IFERROR(SUMPRODUCT(('ANALYSE - ERP =&gt; SOUS-SEGMENT'!$C$8:$C$1000=$C40)*'ANALYSE - ERP =&gt; SOUS-SEGMENT'!$Q$8:$Q$1000*'ANALYSE - ERP =&gt; SOUS-SEGMENT'!$AF$8:$AF$1000*'ANALYSE - ERP =&gt; SOUS-SEGMENT'!$BC$8:$BC$1000)/SUMPRODUCT(('ANALYSE - ERP =&gt; SOUS-SEGMENT'!$C$8:$C$1000=$C40)*'ANALYSE - ERP =&gt; SOUS-SEGMENT'!$Q$8:$Q$1000*'ANALYSE - ERP =&gt; SOUS-SEGMENT'!$AF$8:$AF$1000),""))</f>
        <v>10.253414264036419</v>
      </c>
      <c r="BD40" s="825">
        <f t="shared" si="1"/>
        <v>14590</v>
      </c>
      <c r="BE40" s="304">
        <f>IF($C40="","",SUMPRODUCT(('ANALYSE - ERP =&gt; SOUS-SEGMENT'!$C$8:$C$1000=$C40)*'ANALYSE - ERP =&gt; SOUS-SEGMENT'!$Q$8:$Q$1000*'ANALYSE - ERP =&gt; SOUS-SEGMENT'!$BE$8:$BE$1000))</f>
        <v>6921</v>
      </c>
      <c r="BF40" s="304">
        <f>IF($C40="","",SUMPRODUCT(('ANALYSE - ERP =&gt; SOUS-SEGMENT'!$C$8:$C$1000=$C40)*'ANALYSE - ERP =&gt; SOUS-SEGMENT'!$Q$8:$Q$1000*'ANALYSE - ERP =&gt; SOUS-SEGMENT'!$BF$8:$BF$1000))</f>
        <v>0</v>
      </c>
      <c r="BG40" s="304">
        <f>IF($C40="","",SUMPRODUCT(('ANALYSE - ERP =&gt; SOUS-SEGMENT'!$C$8:$C$1000=$C40)*'ANALYSE - ERP =&gt; SOUS-SEGMENT'!$Q$8:$Q$1000*'ANALYSE - ERP =&gt; SOUS-SEGMENT'!$BG$8:$BG$1000))</f>
        <v>912</v>
      </c>
      <c r="BH40" s="304">
        <f>IF($C40="","",SUMPRODUCT(('ANALYSE - ERP =&gt; SOUS-SEGMENT'!$C$8:$C$1000=$C40)*'ANALYSE - ERP =&gt; SOUS-SEGMENT'!$Q$8:$Q$1000*'ANALYSE - ERP =&gt; SOUS-SEGMENT'!$BH$8:$BH$1000))</f>
        <v>6757</v>
      </c>
      <c r="BI40" s="825">
        <f t="shared" si="2"/>
        <v>14440.5</v>
      </c>
      <c r="BJ40" s="304">
        <f>IF($C40="","",SUMPRODUCT(('ANALYSE - ERP =&gt; SOUS-SEGMENT'!$C$8:$C$1000=$C40)*'ANALYSE - ERP =&gt; SOUS-SEGMENT'!$Q$8:$Q$1000*'ANALYSE - ERP =&gt; SOUS-SEGMENT'!$BJ$8:$BJ$1000))</f>
        <v>6849</v>
      </c>
      <c r="BK40" s="304">
        <f>IF($C40="","",SUMPRODUCT(('ANALYSE - ERP =&gt; SOUS-SEGMENT'!$C$8:$C$1000=$C40)*'ANALYSE - ERP =&gt; SOUS-SEGMENT'!$Q$8:$Q$1000*'ANALYSE - ERP =&gt; SOUS-SEGMENT'!$BK$8:$BK$1000))</f>
        <v>0</v>
      </c>
      <c r="BL40" s="304">
        <f>IF($C40="","",SUMPRODUCT(('ANALYSE - ERP =&gt; SOUS-SEGMENT'!$C$8:$C$1000=$C40)*'ANALYSE - ERP =&gt; SOUS-SEGMENT'!$Q$8:$Q$1000*'ANALYSE - ERP =&gt; SOUS-SEGMENT'!$BL$8:$BL$1000))</f>
        <v>902.5</v>
      </c>
      <c r="BM40" s="304">
        <f>IF($C40="","",SUMPRODUCT(('ANALYSE - ERP =&gt; SOUS-SEGMENT'!$C$8:$C$1000=$C40)*'ANALYSE - ERP =&gt; SOUS-SEGMENT'!$Q$8:$Q$1000*'ANALYSE - ERP =&gt; SOUS-SEGMENT'!$BM$8:$BM$1000))</f>
        <v>6689</v>
      </c>
      <c r="BN40" s="657"/>
      <c r="BO40" s="284">
        <f t="shared" si="3"/>
        <v>0.17999999999999997</v>
      </c>
      <c r="BP40" s="284">
        <f t="shared" si="4"/>
        <v>0.6399999999999999</v>
      </c>
      <c r="BQ40" s="284">
        <f t="shared" si="5"/>
        <v>0.14000000000000001</v>
      </c>
      <c r="BR40" s="710">
        <f t="shared" si="6"/>
        <v>3.9999999999999994E-2</v>
      </c>
      <c r="BS40" s="707">
        <f t="shared" si="7"/>
        <v>0.16000000000000003</v>
      </c>
      <c r="BT40" s="284">
        <f t="shared" si="8"/>
        <v>0.64000000000000012</v>
      </c>
      <c r="BU40" s="284">
        <f t="shared" si="9"/>
        <v>0.16999999999999998</v>
      </c>
      <c r="BV40" s="710">
        <f t="shared" si="10"/>
        <v>0.03</v>
      </c>
      <c r="BW40" s="714">
        <f t="shared" si="11"/>
        <v>0</v>
      </c>
      <c r="BX40" s="285">
        <f t="shared" si="12"/>
        <v>0</v>
      </c>
      <c r="BY40" s="717">
        <f t="shared" si="13"/>
        <v>0</v>
      </c>
      <c r="BZ40" s="714">
        <f t="shared" si="14"/>
        <v>0</v>
      </c>
      <c r="CA40" s="285">
        <f t="shared" si="15"/>
        <v>0</v>
      </c>
      <c r="CB40" s="717">
        <f t="shared" si="16"/>
        <v>0</v>
      </c>
      <c r="CC40" s="284">
        <f t="shared" si="17"/>
        <v>0.10000000000000002</v>
      </c>
      <c r="CD40" s="284">
        <f t="shared" si="18"/>
        <v>0.55000000000000004</v>
      </c>
      <c r="CE40" s="284">
        <f t="shared" si="19"/>
        <v>0.15</v>
      </c>
      <c r="CF40" s="710">
        <f t="shared" si="20"/>
        <v>0.20000000000000004</v>
      </c>
      <c r="CG40" s="707">
        <f t="shared" si="21"/>
        <v>0.08</v>
      </c>
      <c r="CH40" s="284">
        <f t="shared" si="22"/>
        <v>0.55000000000000004</v>
      </c>
      <c r="CI40" s="284">
        <f t="shared" si="23"/>
        <v>0.18</v>
      </c>
      <c r="CJ40" s="710">
        <f t="shared" si="24"/>
        <v>0.19</v>
      </c>
      <c r="CK40" s="720">
        <f t="shared" si="25"/>
        <v>0.46990528340979726</v>
      </c>
      <c r="CL40" s="286">
        <f t="shared" si="26"/>
        <v>0.30339647772680184</v>
      </c>
      <c r="CM40" s="718">
        <f t="shared" si="27"/>
        <v>0.22669823886340096</v>
      </c>
      <c r="CN40" s="720">
        <f t="shared" si="28"/>
        <v>0.39106443414561221</v>
      </c>
      <c r="CO40" s="286">
        <f t="shared" si="29"/>
        <v>0.33262371056959189</v>
      </c>
      <c r="CP40" s="718">
        <f t="shared" si="30"/>
        <v>0.27631185528479596</v>
      </c>
      <c r="CQ40" s="657"/>
      <c r="CR40" s="807">
        <f>IF($C40="","",IFERROR(SUMPRODUCT(('ANALYSE - ERP =&gt; SOUS-SEGMENT'!$C$8:$C$1000=$C40)*'ANALYSE - ERP =&gt; SOUS-SEGMENT'!$Q$8:$Q$1000*'ANALYSE - ERP =&gt; SOUS-SEGMENT'!$DH$8:$DH$1000*'ANALYSE - ERP =&gt; SOUS-SEGMENT'!$CR$8:$CR$1000)/SUMPRODUCT(('ANALYSE - ERP =&gt; SOUS-SEGMENT'!$C$8:$C$1000=$C40)*'ANALYSE - ERP =&gt; SOUS-SEGMENT'!$Q$8:$Q$1000*'ANALYSE - ERP =&gt; SOUS-SEGMENT'!$DH$8:$DH$1000),""))</f>
        <v>13.000000000000002</v>
      </c>
      <c r="CS40" s="808">
        <f>IF($C40="","",IFERROR(SUMPRODUCT(('ANALYSE - ERP =&gt; SOUS-SEGMENT'!$C$8:$C$1000=$C40)*'ANALYSE - ERP =&gt; SOUS-SEGMENT'!$Q$8:$Q$1000*'ANALYSE - ERP =&gt; SOUS-SEGMENT'!$DI$8:$DI$1000*'ANALYSE - ERP =&gt; SOUS-SEGMENT'!$CS$8:$CS$1000)/SUMPRODUCT(('ANALYSE - ERP =&gt; SOUS-SEGMENT'!$C$8:$C$1000=$C40)*'ANALYSE - ERP =&gt; SOUS-SEGMENT'!$Q$8:$Q$1000*'ANALYSE - ERP =&gt; SOUS-SEGMENT'!$DI$8:$DI$1000),""))</f>
        <v>13.000000000000002</v>
      </c>
      <c r="CT40" s="808">
        <f>IF($C40="","",IFERROR(SUMPRODUCT(('ANALYSE - ERP =&gt; SOUS-SEGMENT'!$C$8:$C$1000=$C40)*'ANALYSE - ERP =&gt; SOUS-SEGMENT'!$Q$8:$Q$1000*'ANALYSE - ERP =&gt; SOUS-SEGMENT'!$DJ$8:$DJ$1000*'ANALYSE - ERP =&gt; SOUS-SEGMENT'!$CT$8:$CT$1000)/SUMPRODUCT(('ANALYSE - ERP =&gt; SOUS-SEGMENT'!$C$8:$C$1000=$C40)*'ANALYSE - ERP =&gt; SOUS-SEGMENT'!$Q$8:$Q$1000*'ANALYSE - ERP =&gt; SOUS-SEGMENT'!$DJ$8:$DJ$1000),""))</f>
        <v>10.000000000000002</v>
      </c>
      <c r="CU40" s="809">
        <f>IF($C40="","",IFERROR(SUMPRODUCT(('ANALYSE - ERP =&gt; SOUS-SEGMENT'!$C$8:$C$1000=$C40)*'ANALYSE - ERP =&gt; SOUS-SEGMENT'!$Q$8:$Q$1000*'ANALYSE - ERP =&gt; SOUS-SEGMENT'!$DK$8:$DK$1000*'ANALYSE - ERP =&gt; SOUS-SEGMENT'!$CU$8:$CU$1000)/SUMPRODUCT(('ANALYSE - ERP =&gt; SOUS-SEGMENT'!$C$8:$C$1000=$C40)*'ANALYSE - ERP =&gt; SOUS-SEGMENT'!$Q$8:$Q$1000*'ANALYSE - ERP =&gt; SOUS-SEGMENT'!$DK$8:$DK$1000),""))</f>
        <v>12</v>
      </c>
      <c r="CV40" s="807" t="str">
        <f>IF($C40="","",IFERROR(SUMPRODUCT(('ANALYSE - ERP =&gt; SOUS-SEGMENT'!$C$8:$C$1000=$C40)*'ANALYSE - ERP =&gt; SOUS-SEGMENT'!$Q$8:$Q$1000*'ANALYSE - ERP =&gt; SOUS-SEGMENT'!$DS$8:$DS$1000*'ANALYSE - ERP =&gt; SOUS-SEGMENT'!$CV$8:$CV$1000)/SUMPRODUCT(('ANALYSE - ERP =&gt; SOUS-SEGMENT'!$C$8:$C$1000=$C40)*'ANALYSE - ERP =&gt; SOUS-SEGMENT'!$Q$8:$Q$1000*'ANALYSE - ERP =&gt; SOUS-SEGMENT'!$DS$8:$DS$1000),""))</f>
        <v/>
      </c>
      <c r="CW40" s="808" t="str">
        <f>IF($C40="","",IFERROR(SUMPRODUCT(('ANALYSE - ERP =&gt; SOUS-SEGMENT'!$C$8:$C$1000=$C40)*'ANALYSE - ERP =&gt; SOUS-SEGMENT'!$Q$8:$Q$1000*'ANALYSE - ERP =&gt; SOUS-SEGMENT'!$DT$8:$DT$1000*'ANALYSE - ERP =&gt; SOUS-SEGMENT'!$CW$8:$CW$1000)/SUMPRODUCT(('ANALYSE - ERP =&gt; SOUS-SEGMENT'!$C$8:$C$1000=$C40)*'ANALYSE - ERP =&gt; SOUS-SEGMENT'!$Q$8:$Q$1000*'ANALYSE - ERP =&gt; SOUS-SEGMENT'!$DT$8:$DT$1000),""))</f>
        <v/>
      </c>
      <c r="CX40" s="809" t="str">
        <f>IF($C40="","",IFERROR(SUMPRODUCT(('ANALYSE - ERP =&gt; SOUS-SEGMENT'!$C$8:$C$1000=$C40)*'ANALYSE - ERP =&gt; SOUS-SEGMENT'!$Q$8:$Q$1000*'ANALYSE - ERP =&gt; SOUS-SEGMENT'!$DU$8:$DU$1000*'ANALYSE - ERP =&gt; SOUS-SEGMENT'!$CX$8:$CX$1000)/SUMPRODUCT(('ANALYSE - ERP =&gt; SOUS-SEGMENT'!$C$8:$C$1000=$C40)*'ANALYSE - ERP =&gt; SOUS-SEGMENT'!$Q$8:$Q$1000*'ANALYSE - ERP =&gt; SOUS-SEGMENT'!$DU$8:$DU$1000),""))</f>
        <v/>
      </c>
      <c r="CY40" s="807">
        <f>IF($C40="","",IFERROR(SUMPRODUCT(('ANALYSE - ERP =&gt; SOUS-SEGMENT'!$C$8:$C$1000=$C40)*'ANALYSE - ERP =&gt; SOUS-SEGMENT'!$Q$8:$Q$1000*'ANALYSE - ERP =&gt; SOUS-SEGMENT'!$EB$8:$EB$1000*'ANALYSE - ERP =&gt; SOUS-SEGMENT'!$CY$8:$CY$1000)/SUMPRODUCT(('ANALYSE - ERP =&gt; SOUS-SEGMENT'!$C$8:$C$1000=$C40)*'ANALYSE - ERP =&gt; SOUS-SEGMENT'!$Q$8:$Q$1000*'ANALYSE - ERP =&gt; SOUS-SEGMENT'!$EB$8:$EB$1000),""))</f>
        <v>10.999999999999998</v>
      </c>
      <c r="CZ40" s="808">
        <f>IF($C40="","",IFERROR(SUMPRODUCT(('ANALYSE - ERP =&gt; SOUS-SEGMENT'!$C$8:$C$1000=$C40)*'ANALYSE - ERP =&gt; SOUS-SEGMENT'!$Q$8:$Q$1000*'ANALYSE - ERP =&gt; SOUS-SEGMENT'!$EC$8:$EC$1000*'ANALYSE - ERP =&gt; SOUS-SEGMENT'!$CZ$8:$CZ$1000)/SUMPRODUCT(('ANALYSE - ERP =&gt; SOUS-SEGMENT'!$C$8:$C$1000=$C40)*'ANALYSE - ERP =&gt; SOUS-SEGMENT'!$Q$8:$Q$1000*'ANALYSE - ERP =&gt; SOUS-SEGMENT'!$EC$8:$EC$1000),""))</f>
        <v>13.000000000000002</v>
      </c>
      <c r="DA40" s="808">
        <f>IF($C40="","",IFERROR(SUMPRODUCT(('ANALYSE - ERP =&gt; SOUS-SEGMENT'!$C$8:$C$1000=$C40)*'ANALYSE - ERP =&gt; SOUS-SEGMENT'!$Q$8:$Q$1000*'ANALYSE - ERP =&gt; SOUS-SEGMENT'!$ED$8:$ED$1000*'ANALYSE - ERP =&gt; SOUS-SEGMENT'!$DA$8:$DA$1000)/SUMPRODUCT(('ANALYSE - ERP =&gt; SOUS-SEGMENT'!$C$8:$C$1000=$C40)*'ANALYSE - ERP =&gt; SOUS-SEGMENT'!$Q$8:$Q$1000*'ANALYSE - ERP =&gt; SOUS-SEGMENT'!$ED$8:$ED$1000),""))</f>
        <v>9</v>
      </c>
      <c r="DB40" s="809">
        <f>IF($C40="","",IFERROR(SUMPRODUCT(('ANALYSE - ERP =&gt; SOUS-SEGMENT'!$C$8:$C$1000=$C40)*'ANALYSE - ERP =&gt; SOUS-SEGMENT'!$Q$8:$Q$1000*'ANALYSE - ERP =&gt; SOUS-SEGMENT'!$EE$8:$EE$1000*'ANALYSE - ERP =&gt; SOUS-SEGMENT'!$DB$8:$DB$1000)/SUMPRODUCT(('ANALYSE - ERP =&gt; SOUS-SEGMENT'!$C$8:$C$1000=$C40)*'ANALYSE - ERP =&gt; SOUS-SEGMENT'!$Q$8:$Q$1000*'ANALYSE - ERP =&gt; SOUS-SEGMENT'!$EE$8:$EE$1000),""))</f>
        <v>10.999999999999998</v>
      </c>
      <c r="DC40" s="807">
        <f>IF($C40="","",IFERROR(SUMPRODUCT(('ANALYSE - ERP =&gt; SOUS-SEGMENT'!$C$8:$C$1000=$C40)*'ANALYSE - ERP =&gt; SOUS-SEGMENT'!$Q$8:$Q$1000*'ANALYSE - ERP =&gt; SOUS-SEGMENT'!$EM$8:$EM$1000*'ANALYSE - ERP =&gt; SOUS-SEGMENT'!$DC$8:$DC$1000)/SUMPRODUCT(('ANALYSE - ERP =&gt; SOUS-SEGMENT'!$C$8:$C$1000=$C40)*'ANALYSE - ERP =&gt; SOUS-SEGMENT'!$Q$8:$Q$1000*'ANALYSE - ERP =&gt; SOUS-SEGMENT'!$EM$8:$EM$1000),""))</f>
        <v>12</v>
      </c>
      <c r="DD40" s="808">
        <f>IF($C40="","",IFERROR(SUMPRODUCT(('ANALYSE - ERP =&gt; SOUS-SEGMENT'!$C$8:$C$1000=$C40)*'ANALYSE - ERP =&gt; SOUS-SEGMENT'!$Q$8:$Q$1000*'ANALYSE - ERP =&gt; SOUS-SEGMENT'!$EN$8:$EN$1000*'ANALYSE - ERP =&gt; SOUS-SEGMENT'!$DD$8:$DD$1000)/SUMPRODUCT(('ANALYSE - ERP =&gt; SOUS-SEGMENT'!$C$8:$C$1000=$C40)*'ANALYSE - ERP =&gt; SOUS-SEGMENT'!$Q$8:$Q$1000*'ANALYSE - ERP =&gt; SOUS-SEGMENT'!$EN$8:$EN$1000),""))</f>
        <v>12.999999999999998</v>
      </c>
      <c r="DE40" s="809">
        <f>IF($C40="","",IFERROR(SUMPRODUCT(('ANALYSE - ERP =&gt; SOUS-SEGMENT'!$C$8:$C$1000=$C40)*'ANALYSE - ERP =&gt; SOUS-SEGMENT'!$Q$8:$Q$1000*'ANALYSE - ERP =&gt; SOUS-SEGMENT'!$EO$8:$EO$1000*'ANALYSE - ERP =&gt; SOUS-SEGMENT'!$DE$8:$DE$1000)/SUMPRODUCT(('ANALYSE - ERP =&gt; SOUS-SEGMENT'!$C$8:$C$1000=$C40)*'ANALYSE - ERP =&gt; SOUS-SEGMENT'!$Q$8:$Q$1000*'ANALYSE - ERP =&gt; SOUS-SEGMENT'!$EO$8:$EO$1000),""))</f>
        <v>9.9999999999999982</v>
      </c>
      <c r="DF40" s="921" t="s">
        <v>6217</v>
      </c>
      <c r="DG40" s="657"/>
      <c r="DH40" s="288">
        <f>IF($C40="","",SUMPRODUCT(('ANALYSE - ERP =&gt; SOUS-SEGMENT'!$C$8:$C$1000=$C40)*'ANALYSE - ERP =&gt; SOUS-SEGMENT'!$Q$8:$Q$1000*'ANALYSE - ERP =&gt; SOUS-SEGMENT'!$DH$8:$DH$1000))</f>
        <v>1245.7799999999997</v>
      </c>
      <c r="DI40" s="288">
        <f>IF($C40="","",SUMPRODUCT(('ANALYSE - ERP =&gt; SOUS-SEGMENT'!$C$8:$C$1000=$C40)*'ANALYSE - ERP =&gt; SOUS-SEGMENT'!$Q$8:$Q$1000*'ANALYSE - ERP =&gt; SOUS-SEGMENT'!$DI$8:$DI$1000))</f>
        <v>4429.4399999999996</v>
      </c>
      <c r="DJ40" s="288">
        <f>IF($C40="","",SUMPRODUCT(('ANALYSE - ERP =&gt; SOUS-SEGMENT'!$C$8:$C$1000=$C40)*'ANALYSE - ERP =&gt; SOUS-SEGMENT'!$Q$8:$Q$1000*'ANALYSE - ERP =&gt; SOUS-SEGMENT'!$DJ$8:$DJ$1000))</f>
        <v>968.94</v>
      </c>
      <c r="DK40" s="288">
        <f>IF($C40="","",SUMPRODUCT(('ANALYSE - ERP =&gt; SOUS-SEGMENT'!$C$8:$C$1000=$C40)*'ANALYSE - ERP =&gt; SOUS-SEGMENT'!$Q$8:$Q$1000*'ANALYSE - ERP =&gt; SOUS-SEGMENT'!$DK$8:$DK$1000))</f>
        <v>276.83999999999997</v>
      </c>
      <c r="DL40" s="922" t="s">
        <v>6218</v>
      </c>
      <c r="DM40" s="288">
        <f>IF($C40="","",SUMPRODUCT(('ANALYSE - ERP =&gt; SOUS-SEGMENT'!$C$8:$C$1000=$C40)*'ANALYSE - ERP =&gt; SOUS-SEGMENT'!$Q$8:$Q$1000*'ANALYSE - ERP =&gt; SOUS-SEGMENT'!$DM$8:$DM$1000))</f>
        <v>1095.8400000000001</v>
      </c>
      <c r="DN40" s="288">
        <f>IF($C40="","",SUMPRODUCT(('ANALYSE - ERP =&gt; SOUS-SEGMENT'!$C$8:$C$1000=$C40)*'ANALYSE - ERP =&gt; SOUS-SEGMENT'!$Q$8:$Q$1000*'ANALYSE - ERP =&gt; SOUS-SEGMENT'!$DN$8:$DN$1000))</f>
        <v>4383.3600000000006</v>
      </c>
      <c r="DO40" s="288">
        <f>IF($C40="","",SUMPRODUCT(('ANALYSE - ERP =&gt; SOUS-SEGMENT'!$C$8:$C$1000=$C40)*'ANALYSE - ERP =&gt; SOUS-SEGMENT'!$Q$8:$Q$1000*'ANALYSE - ERP =&gt; SOUS-SEGMENT'!$DO$8:$DO$1000))</f>
        <v>1164.33</v>
      </c>
      <c r="DP40" s="288">
        <f>IF($C40="","",SUMPRODUCT(('ANALYSE - ERP =&gt; SOUS-SEGMENT'!$C$8:$C$1000=$C40)*'ANALYSE - ERP =&gt; SOUS-SEGMENT'!$Q$8:$Q$1000*'ANALYSE - ERP =&gt; SOUS-SEGMENT'!$DP$8:$DP$1000))</f>
        <v>205.47</v>
      </c>
      <c r="DQ40" s="922" t="s">
        <v>5126</v>
      </c>
      <c r="DR40" s="657"/>
      <c r="DS40" s="288">
        <f>IF($C40="","",SUMPRODUCT(('ANALYSE - ERP =&gt; SOUS-SEGMENT'!$C$8:$C$1000=$C40)*'ANALYSE - ERP =&gt; SOUS-SEGMENT'!$Q$8:$Q$1000*'ANALYSE - ERP =&gt; SOUS-SEGMENT'!$DS$8:$DS$1000))</f>
        <v>0</v>
      </c>
      <c r="DT40" s="288">
        <f>IF($C40="","",SUMPRODUCT(('ANALYSE - ERP =&gt; SOUS-SEGMENT'!$C$8:$C$1000=$C40)*'ANALYSE - ERP =&gt; SOUS-SEGMENT'!$Q$8:$Q$1000*'ANALYSE - ERP =&gt; SOUS-SEGMENT'!$DT$8:$DT$1000))</f>
        <v>0</v>
      </c>
      <c r="DU40" s="288">
        <f>IF($C40="","",SUMPRODUCT(('ANALYSE - ERP =&gt; SOUS-SEGMENT'!$C$8:$C$1000=$C40)*'ANALYSE - ERP =&gt; SOUS-SEGMENT'!$Q$8:$Q$1000*'ANALYSE - ERP =&gt; SOUS-SEGMENT'!$DU$8:$DU$1000))</f>
        <v>0</v>
      </c>
      <c r="DV40" s="922" t="s">
        <v>2613</v>
      </c>
      <c r="DW40" s="288">
        <f>IF($C40="","",SUMPRODUCT(('ANALYSE - ERP =&gt; SOUS-SEGMENT'!$C$8:$C$1000=$C40)*'ANALYSE - ERP =&gt; SOUS-SEGMENT'!$Q$8:$Q$1000*'ANALYSE - ERP =&gt; SOUS-SEGMENT'!$DW$8:$DW$1000))</f>
        <v>0</v>
      </c>
      <c r="DX40" s="288">
        <f>IF($C40="","",SUMPRODUCT(('ANALYSE - ERP =&gt; SOUS-SEGMENT'!$C$8:$C$1000=$C40)*'ANALYSE - ERP =&gt; SOUS-SEGMENT'!$Q$8:$Q$1000*'ANALYSE - ERP =&gt; SOUS-SEGMENT'!$DX$8:$DX$1000))</f>
        <v>0</v>
      </c>
      <c r="DY40" s="288">
        <f>IF($C40="","",SUMPRODUCT(('ANALYSE - ERP =&gt; SOUS-SEGMENT'!$C$8:$C$1000=$C40)*'ANALYSE - ERP =&gt; SOUS-SEGMENT'!$Q$8:$Q$1000*'ANALYSE - ERP =&gt; SOUS-SEGMENT'!$DY$8:$DY$1000))</f>
        <v>0</v>
      </c>
      <c r="DZ40" s="922" t="s">
        <v>2613</v>
      </c>
      <c r="EA40" s="657"/>
      <c r="EB40" s="288">
        <f>IF($C40="","",SUMPRODUCT(('ANALYSE - ERP =&gt; SOUS-SEGMENT'!$C$8:$C$1000=$C40)*'ANALYSE - ERP =&gt; SOUS-SEGMENT'!$Q$8:$Q$1000*'ANALYSE - ERP =&gt; SOUS-SEGMENT'!$EB$8:$EB$1000))</f>
        <v>91.200000000000017</v>
      </c>
      <c r="EC40" s="288">
        <f>IF($C40="","",SUMPRODUCT(('ANALYSE - ERP =&gt; SOUS-SEGMENT'!$C$8:$C$1000=$C40)*'ANALYSE - ERP =&gt; SOUS-SEGMENT'!$Q$8:$Q$1000*'ANALYSE - ERP =&gt; SOUS-SEGMENT'!$EC$8:$EC$1000))</f>
        <v>501.6</v>
      </c>
      <c r="ED40" s="288">
        <f>IF($C40="","",SUMPRODUCT(('ANALYSE - ERP =&gt; SOUS-SEGMENT'!$C$8:$C$1000=$C40)*'ANALYSE - ERP =&gt; SOUS-SEGMENT'!$Q$8:$Q$1000*'ANALYSE - ERP =&gt; SOUS-SEGMENT'!$ED$8:$ED$1000))</f>
        <v>136.79999999999998</v>
      </c>
      <c r="EE40" s="288">
        <f>IF($C40="","",SUMPRODUCT(('ANALYSE - ERP =&gt; SOUS-SEGMENT'!$C$8:$C$1000=$C40)*'ANALYSE - ERP =&gt; SOUS-SEGMENT'!$Q$8:$Q$1000*'ANALYSE - ERP =&gt; SOUS-SEGMENT'!$EE$8:$EE$1000))</f>
        <v>182.40000000000003</v>
      </c>
      <c r="EF40" s="922" t="s">
        <v>6219</v>
      </c>
      <c r="EG40" s="288">
        <f>IF($C40="","",SUMPRODUCT(('ANALYSE - ERP =&gt; SOUS-SEGMENT'!$C$8:$C$1000=$C40)*'ANALYSE - ERP =&gt; SOUS-SEGMENT'!$Q$8:$Q$1000*'ANALYSE - ERP =&gt; SOUS-SEGMENT'!$EG$8:$EG$1000))</f>
        <v>72.2</v>
      </c>
      <c r="EH40" s="288">
        <f>IF($C40="","",SUMPRODUCT(('ANALYSE - ERP =&gt; SOUS-SEGMENT'!$C$8:$C$1000=$C40)*'ANALYSE - ERP =&gt; SOUS-SEGMENT'!$Q$8:$Q$1000*'ANALYSE - ERP =&gt; SOUS-SEGMENT'!$EH$8:$EH$1000))</f>
        <v>496.375</v>
      </c>
      <c r="EI40" s="288">
        <f>IF($C40="","",SUMPRODUCT(('ANALYSE - ERP =&gt; SOUS-SEGMENT'!$C$8:$C$1000=$C40)*'ANALYSE - ERP =&gt; SOUS-SEGMENT'!$Q$8:$Q$1000*'ANALYSE - ERP =&gt; SOUS-SEGMENT'!$EI$8:$EI$1000))</f>
        <v>162.44999999999999</v>
      </c>
      <c r="EJ40" s="288">
        <f>IF($C40="","",SUMPRODUCT(('ANALYSE - ERP =&gt; SOUS-SEGMENT'!$C$8:$C$1000=$C40)*'ANALYSE - ERP =&gt; SOUS-SEGMENT'!$Q$8:$Q$1000*'ANALYSE - ERP =&gt; SOUS-SEGMENT'!$EJ$8:$EJ$1000))</f>
        <v>171.47499999999999</v>
      </c>
      <c r="EK40" s="922" t="s">
        <v>5128</v>
      </c>
      <c r="EL40" s="657"/>
      <c r="EM40" s="288">
        <f>IF($C40="","",SUMPRODUCT(('ANALYSE - ERP =&gt; SOUS-SEGMENT'!$C$8:$C$1000=$C40)*'ANALYSE - ERP =&gt; SOUS-SEGMENT'!$Q$8:$Q$1000*'ANALYSE - ERP =&gt; SOUS-SEGMENT'!$EM$8:$EM$1000))</f>
        <v>3175.15</v>
      </c>
      <c r="EN40" s="291">
        <f>IF($C40="","",SUMPRODUCT(('ANALYSE - ERP =&gt; SOUS-SEGMENT'!$C$8:$C$1000=$C40)*'ANALYSE - ERP =&gt; SOUS-SEGMENT'!$Q$8:$Q$1000*'ANALYSE - ERP =&gt; SOUS-SEGMENT'!$EN$8:$EN$1000))</f>
        <v>2050.0500000000002</v>
      </c>
      <c r="EO40" s="291">
        <f>IF($C40="","",SUMPRODUCT(('ANALYSE - ERP =&gt; SOUS-SEGMENT'!$C$8:$C$1000=$C40)*'ANALYSE - ERP =&gt; SOUS-SEGMENT'!$Q$8:$Q$1000*'ANALYSE - ERP =&gt; SOUS-SEGMENT'!$EO$8:$EO$1000))</f>
        <v>1531.8000000000002</v>
      </c>
      <c r="EP40" s="922" t="s">
        <v>6220</v>
      </c>
      <c r="EQ40" s="288">
        <f>IF($C40="","",SUMPRODUCT(('ANALYSE - ERP =&gt; SOUS-SEGMENT'!$C$8:$C$1000=$C40)*'ANALYSE - ERP =&gt; SOUS-SEGMENT'!$Q$8:$Q$1000*'ANALYSE - ERP =&gt; SOUS-SEGMENT'!$EQ$8:$EQ$1000))</f>
        <v>2615.83</v>
      </c>
      <c r="ER40" s="291">
        <f>IF($C40="","",SUMPRODUCT(('ANALYSE - ERP =&gt; SOUS-SEGMENT'!$C$8:$C$1000=$C40)*'ANALYSE - ERP =&gt; SOUS-SEGMENT'!$Q$8:$Q$1000*'ANALYSE - ERP =&gt; SOUS-SEGMENT'!$ER$8:$ER$1000))</f>
        <v>2224.92</v>
      </c>
      <c r="ES40" s="291">
        <f>IF($C40="","",SUMPRODUCT(('ANALYSE - ERP =&gt; SOUS-SEGMENT'!$C$8:$C$1000=$C40)*'ANALYSE - ERP =&gt; SOUS-SEGMENT'!$Q$8:$Q$1000*'ANALYSE - ERP =&gt; SOUS-SEGMENT'!$ES$8:$ES$1000))</f>
        <v>1848.25</v>
      </c>
      <c r="ET40" s="922" t="s">
        <v>5130</v>
      </c>
      <c r="EU40" s="657"/>
      <c r="EV40" s="740">
        <f t="shared" si="31"/>
        <v>0.85166194407825346</v>
      </c>
      <c r="EW40" s="740">
        <f t="shared" si="32"/>
        <v>0.14833805592174654</v>
      </c>
      <c r="EX40" s="563">
        <f t="shared" si="33"/>
        <v>5988.9955714982516</v>
      </c>
      <c r="EY40" s="563">
        <f t="shared" si="34"/>
        <v>5100.5996114982518</v>
      </c>
      <c r="EZ40" s="563">
        <f t="shared" si="35"/>
        <v>888.39595999999995</v>
      </c>
      <c r="FA40" s="563">
        <f t="shared" si="36"/>
        <v>2773.2530213589739</v>
      </c>
      <c r="FB40" s="563">
        <f>IF($C40="","",SUMPRODUCT(('ANALYSE - ERP =&gt; SOUS-SEGMENT'!$C$8:$C$1000=$C40)*'ANALYSE - ERP =&gt; SOUS-SEGMENT'!$Q$8:$Q$1000*'ANALYSE - ERP =&gt; SOUS-SEGMENT'!$FB$8:$FB$1000))</f>
        <v>2351.3697213589739</v>
      </c>
      <c r="FC40" s="563">
        <f>IF($C40="","",SUMPRODUCT(('ANALYSE - ERP =&gt; SOUS-SEGMENT'!$C$8:$C$1000=$C40)*'ANALYSE - ERP =&gt; SOUS-SEGMENT'!$Q$8:$Q$1000*'ANALYSE - ERP =&gt; SOUS-SEGMENT'!$FC$8:$FC$1000))</f>
        <v>421.88329999999996</v>
      </c>
      <c r="FD40" s="563">
        <f t="shared" si="37"/>
        <v>0</v>
      </c>
      <c r="FE40" s="563">
        <f>IF($C40="","",SUMPRODUCT(('ANALYSE - ERP =&gt; SOUS-SEGMENT'!$C$8:$C$1000=$C40)*'ANALYSE - ERP =&gt; SOUS-SEGMENT'!$Q$8:$Q$1000*'ANALYSE - ERP =&gt; SOUS-SEGMENT'!$FE$8:$FE$1000))</f>
        <v>0</v>
      </c>
      <c r="FF40" s="563">
        <f>IF($C40="","",SUMPRODUCT(('ANALYSE - ERP =&gt; SOUS-SEGMENT'!$C$8:$C$1000=$C40)*'ANALYSE - ERP =&gt; SOUS-SEGMENT'!$Q$8:$Q$1000*'ANALYSE - ERP =&gt; SOUS-SEGMENT'!$FF$8:$FF$1000))</f>
        <v>0</v>
      </c>
      <c r="FG40" s="563">
        <f t="shared" si="38"/>
        <v>386.01426347902094</v>
      </c>
      <c r="FH40" s="563">
        <f>IF($C40="","",SUMPRODUCT(('ANALYSE - ERP =&gt; SOUS-SEGMENT'!$C$8:$C$1000=$C40)*'ANALYSE - ERP =&gt; SOUS-SEGMENT'!$Q$8:$Q$1000*'ANALYSE - ERP =&gt; SOUS-SEGMENT'!$FH$8:$FH$1000))</f>
        <v>330.63962347902094</v>
      </c>
      <c r="FI40" s="563">
        <f>IF($C40="","",SUMPRODUCT(('ANALYSE - ERP =&gt; SOUS-SEGMENT'!$C$8:$C$1000=$C40)*'ANALYSE - ERP =&gt; SOUS-SEGMENT'!$Q$8:$Q$1000*'ANALYSE - ERP =&gt; SOUS-SEGMENT'!$FI$8:$FI$1000))</f>
        <v>55.374639999999999</v>
      </c>
      <c r="FJ40" s="563">
        <f t="shared" si="39"/>
        <v>2829.7282866602563</v>
      </c>
      <c r="FK40" s="563">
        <f>IF($C40="","",SUMPRODUCT(('ANALYSE - ERP =&gt; SOUS-SEGMENT'!$C$8:$C$1000=$C40)*'ANALYSE - ERP =&gt; SOUS-SEGMENT'!$Q$8:$Q$1000*'ANALYSE - ERP =&gt; SOUS-SEGMENT'!$FK$8:$FK$1000))</f>
        <v>2418.5902666602565</v>
      </c>
      <c r="FL40" s="563">
        <f>IF($C40="","",SUMPRODUCT(('ANALYSE - ERP =&gt; SOUS-SEGMENT'!$C$8:$C$1000=$C40)*'ANALYSE - ERP =&gt; SOUS-SEGMENT'!$Q$8:$Q$1000*'ANALYSE - ERP =&gt; SOUS-SEGMENT'!$FL$8:$FL$1000))</f>
        <v>411.13801999999998</v>
      </c>
      <c r="FM40" s="529"/>
      <c r="FN40" s="961" t="s">
        <v>2616</v>
      </c>
      <c r="FO40" s="740">
        <f>IF($C40="","",IFERROR(SUMPRODUCT(('ANALYSE - ERP =&gt; SOUS-SEGMENT'!$C$8:$C$1000=$C40)*'ANALYSE - ERP =&gt; SOUS-SEGMENT'!$Q$8:$Q$1000*'ANALYSE - ERP =&gt; SOUS-SEGMENT'!$AF$8:$AF$1000*'ANALYSE - ERP =&gt; SOUS-SEGMENT'!$FO$8:$FO$1000)/SUMPRODUCT(('ANALYSE - ERP =&gt; SOUS-SEGMENT'!$C$8:$C$1000=$C40)*'ANALYSE - ERP =&gt; SOUS-SEGMENT'!$Q$8:$Q$1000*'ANALYSE - ERP =&gt; SOUS-SEGMENT'!$AF$8:$AF$1000),""))</f>
        <v>5.3216358118361159E-2</v>
      </c>
      <c r="FP40" s="741">
        <f>IF($C40="","",IFERROR(SUMPRODUCT(('ANALYSE - ERP =&gt; SOUS-SEGMENT'!$C$8:$C$1000=$C40)*'ANALYSE - ERP =&gt; SOUS-SEGMENT'!$Q$8:$Q$1000*'ANALYSE - ERP =&gt; SOUS-SEGMENT'!$AF$8:$AF$1000*'ANALYSE - ERP =&gt; SOUS-SEGMENT'!$FP$8:$FP$1000)/SUMPRODUCT(('ANALYSE - ERP =&gt; SOUS-SEGMENT'!$C$8:$C$1000=$C40)*'ANALYSE - ERP =&gt; SOUS-SEGMENT'!$Q$8:$Q$1000*'ANALYSE - ERP =&gt; SOUS-SEGMENT'!$AF$8:$AF$1000),""))</f>
        <v>0.82368016691957502</v>
      </c>
      <c r="FQ40" s="961" t="s">
        <v>6221</v>
      </c>
      <c r="FR40" s="529"/>
      <c r="FS40" s="867">
        <f>IF($C40="","",IFERROR(SUMPRODUCT(('ANALYSE - ERP =&gt; SOUS-SEGMENT'!$C$8:$C$1000=$C40)*'ANALYSE - ERP =&gt; SOUS-SEGMENT'!$Q$8:$Q$1000*'ANALYSE - ERP =&gt; SOUS-SEGMENT'!$EX$8:$EX$1000*'ANALYSE - ERP =&gt; SOUS-SEGMENT'!$FS$8:$FS$1000)/SUMPRODUCT(('ANALYSE - ERP =&gt; SOUS-SEGMENT'!$C$8:$C$1000=$C40)*'ANALYSE - ERP =&gt; SOUS-SEGMENT'!$Q$8:$Q$1000*'ANALYSE - ERP =&gt; SOUS-SEGMENT'!$EX$8:$EX$1000),""))</f>
        <v>3.0049520647398409</v>
      </c>
      <c r="FT40" s="566">
        <f>IF($C40="","",RANK($FS40,$FS$8:$FS$43,0)+COUNTIF($FS$8:$FS40,$FS40)-1)</f>
        <v>28</v>
      </c>
      <c r="FU40" s="867">
        <f>IF($C40="","",IFERROR(SUMPRODUCT(('ANALYSE - ERP =&gt; SOUS-SEGMENT'!$C$8:$C$1000=$C40)*'ANALYSE - ERP =&gt; SOUS-SEGMENT'!$Q$8:$Q$1000*'ANALYSE - ERP =&gt; SOUS-SEGMENT'!$EY$8:$EY$1000*'ANALYSE - ERP =&gt; SOUS-SEGMENT'!$FU$8:$FU$1000)/SUMPRODUCT(('ANALYSE - ERP =&gt; SOUS-SEGMENT'!$C$8:$C$1000=$C40)*'ANALYSE - ERP =&gt; SOUS-SEGMENT'!$Q$8:$Q$1000*'ANALYSE - ERP =&gt; SOUS-SEGMENT'!$EY$8:$EY$1000),""))</f>
        <v>3.8799999999999994</v>
      </c>
      <c r="FV40" s="566">
        <f>IF($C40="","",RANK($FU40,$FU$8:$FU$43,0)+COUNTIF($FU$8:$FU40,$FU40)-1)</f>
        <v>25</v>
      </c>
      <c r="FW40" s="867">
        <f>IF($C40="","",IFERROR(SUMPRODUCT(('ANALYSE - ERP =&gt; SOUS-SEGMENT'!$C$8:$C$1000=$C40)*'ANALYSE - ERP =&gt; SOUS-SEGMENT'!$Q$8:$Q$1000*'ANALYSE - ERP =&gt; SOUS-SEGMENT'!$EZ$8:$EZ$1000*'ANALYSE - ERP =&gt; SOUS-SEGMENT'!$FW$8:$FW$1000)/SUMPRODUCT(('ANALYSE - ERP =&gt; SOUS-SEGMENT'!$C$8:$C$1000=$C40)*'ANALYSE - ERP =&gt; SOUS-SEGMENT'!$Q$8:$Q$1000*'ANALYSE - ERP =&gt; SOUS-SEGMENT'!$EZ$8:$EZ$1000),""))</f>
        <v>1.969577693487035</v>
      </c>
      <c r="FX40" s="566">
        <f>IF($C40="","",RANK($FW40,$FW$8:$FW$43,0)+COUNTIF($FW$8:$FW40,$FW40)-1)</f>
        <v>29</v>
      </c>
      <c r="FY40" s="529"/>
      <c r="FZ40" s="922" t="s">
        <v>5132</v>
      </c>
      <c r="GA40" s="922" t="s">
        <v>6222</v>
      </c>
      <c r="GB40" s="922" t="s">
        <v>5134</v>
      </c>
      <c r="GC40" s="922" t="s">
        <v>5135</v>
      </c>
      <c r="GD40" s="922" t="s">
        <v>5136</v>
      </c>
      <c r="GE40" s="922" t="s">
        <v>5137</v>
      </c>
      <c r="GF40" s="923" t="s">
        <v>6223</v>
      </c>
      <c r="GG40" s="529"/>
      <c r="GH40" s="563">
        <f t="shared" si="40"/>
        <v>473.68541161538457</v>
      </c>
      <c r="GI40" s="563">
        <f>IF($C40="","",SUMPRODUCT(('ANALYSE - ERP =&gt; SOUS-SEGMENT'!$C$8:$C$1000=$C40)*'ANALYSE - ERP =&gt; SOUS-SEGMENT'!$Q$8:$Q$1000*'ANALYSE - ERP =&gt; SOUS-SEGMENT'!$GI$8:$GI$1000))</f>
        <v>406.18408361538457</v>
      </c>
      <c r="GJ40" s="563">
        <f>IF($C40="","",SUMPRODUCT(('ANALYSE - ERP =&gt; SOUS-SEGMENT'!$C$8:$C$1000=$C40)*'ANALYSE - ERP =&gt; SOUS-SEGMENT'!$Q$8:$Q$1000*'ANALYSE - ERP =&gt; SOUS-SEGMENT'!$GJ$8:$GJ$1000))</f>
        <v>67.501328000000001</v>
      </c>
      <c r="GK40" s="563">
        <f t="shared" si="41"/>
        <v>1714.2153870769232</v>
      </c>
      <c r="GL40" s="563">
        <f>IF($C40="","",SUMPRODUCT(('ANALYSE - ERP =&gt; SOUS-SEGMENT'!$C$8:$C$1000=$C40)*'ANALYSE - ERP =&gt; SOUS-SEGMENT'!$Q$8:$Q$1000*'ANALYSE - ERP =&gt; SOUS-SEGMENT'!$GL$8:$GL$1000))</f>
        <v>1444.2100750769232</v>
      </c>
      <c r="GM40" s="563">
        <f>IF($C40="","",SUMPRODUCT(('ANALYSE - ERP =&gt; SOUS-SEGMENT'!$C$8:$C$1000=$C40)*'ANALYSE - ERP =&gt; SOUS-SEGMENT'!$Q$8:$Q$1000*'ANALYSE - ERP =&gt; SOUS-SEGMENT'!$GM$8:$GM$1000))</f>
        <v>270.005312</v>
      </c>
      <c r="GN40" s="563">
        <f t="shared" si="42"/>
        <v>475.58534090000001</v>
      </c>
      <c r="GO40" s="563">
        <f>IF($C40="","",SUMPRODUCT(('ANALYSE - ERP =&gt; SOUS-SEGMENT'!$C$8:$C$1000=$C40)*'ANALYSE - ERP =&gt; SOUS-SEGMENT'!$Q$8:$Q$1000*'ANALYSE - ERP =&gt; SOUS-SEGMENT'!$GO$8:$GO$1000))</f>
        <v>403.86517989999999</v>
      </c>
      <c r="GP40" s="563">
        <f>IF($C40="","",SUMPRODUCT(('ANALYSE - ERP =&gt; SOUS-SEGMENT'!$C$8:$C$1000=$C40)*'ANALYSE - ERP =&gt; SOUS-SEGMENT'!$Q$8:$Q$1000*'ANALYSE - ERP =&gt; SOUS-SEGMENT'!$GP$8:$GP$1000))</f>
        <v>71.720161000000004</v>
      </c>
      <c r="GQ40" s="563">
        <f t="shared" si="43"/>
        <v>109.76688176666666</v>
      </c>
      <c r="GR40" s="563">
        <f>IF($C40="","",SUMPRODUCT(('ANALYSE - ERP =&gt; SOUS-SEGMENT'!$C$8:$C$1000=$C40)*'ANALYSE - ERP =&gt; SOUS-SEGMENT'!$Q$8:$Q$1000*'ANALYSE - ERP =&gt; SOUS-SEGMENT'!$GR$8:$GR$1000))</f>
        <v>97.11038276666666</v>
      </c>
      <c r="GS40" s="563">
        <f>IF($C40="","",SUMPRODUCT(('ANALYSE - ERP =&gt; SOUS-SEGMENT'!$C$8:$C$1000=$C40)*'ANALYSE - ERP =&gt; SOUS-SEGMENT'!$Q$8:$Q$1000*'ANALYSE - ERP =&gt; SOUS-SEGMENT'!$GS$8:$GS$1000))</f>
        <v>12.656498999999998</v>
      </c>
      <c r="GT40" s="563">
        <f t="shared" si="44"/>
        <v>0</v>
      </c>
      <c r="GU40" s="563">
        <f>IF($C40="","",SUMPRODUCT(('ANALYSE - ERP =&gt; SOUS-SEGMENT'!$C$8:$C$1000=$C40)*'ANALYSE - ERP =&gt; SOUS-SEGMENT'!$Q$8:$Q$1000*'ANALYSE - ERP =&gt; SOUS-SEGMENT'!$GU$8:$GU$1000))</f>
        <v>0</v>
      </c>
      <c r="GV40" s="563">
        <f>IF($C40="","",SUMPRODUCT(('ANALYSE - ERP =&gt; SOUS-SEGMENT'!$C$8:$C$1000=$C40)*'ANALYSE - ERP =&gt; SOUS-SEGMENT'!$Q$8:$Q$1000*'ANALYSE - ERP =&gt; SOUS-SEGMENT'!$GV$8:$GV$1000))</f>
        <v>0</v>
      </c>
      <c r="GW40" s="563">
        <f t="shared" si="45"/>
        <v>0</v>
      </c>
      <c r="GX40" s="563">
        <f>IF($C40="","",SUMPRODUCT(('ANALYSE - ERP =&gt; SOUS-SEGMENT'!$C$8:$C$1000=$C40)*'ANALYSE - ERP =&gt; SOUS-SEGMENT'!$Q$8:$Q$1000*'ANALYSE - ERP =&gt; SOUS-SEGMENT'!$GX$8:$GX$1000))</f>
        <v>0</v>
      </c>
      <c r="GY40" s="563">
        <f>IF($C40="","",SUMPRODUCT(('ANALYSE - ERP =&gt; SOUS-SEGMENT'!$C$8:$C$1000=$C40)*'ANALYSE - ERP =&gt; SOUS-SEGMENT'!$Q$8:$Q$1000*'ANALYSE - ERP =&gt; SOUS-SEGMENT'!$GY$8:$GY$1000))</f>
        <v>0</v>
      </c>
      <c r="GZ40" s="563">
        <f t="shared" si="46"/>
        <v>0</v>
      </c>
      <c r="HA40" s="563">
        <f>IF($C40="","",SUMPRODUCT(('ANALYSE - ERP =&gt; SOUS-SEGMENT'!$C$8:$C$1000=$C40)*'ANALYSE - ERP =&gt; SOUS-SEGMENT'!$Q$8:$Q$1000*'ANALYSE - ERP =&gt; SOUS-SEGMENT'!$HA$8:$HA$1000))</f>
        <v>0</v>
      </c>
      <c r="HB40" s="563">
        <f>IF($C40="","",SUMPRODUCT(('ANALYSE - ERP =&gt; SOUS-SEGMENT'!$C$8:$C$1000=$C40)*'ANALYSE - ERP =&gt; SOUS-SEGMENT'!$Q$8:$Q$1000*'ANALYSE - ERP =&gt; SOUS-SEGMENT'!$HB$8:$HB$1000))</f>
        <v>0</v>
      </c>
      <c r="HC40" s="563">
        <f t="shared" si="47"/>
        <v>39.069469154545452</v>
      </c>
      <c r="HD40" s="563">
        <f>IF($C40="","",SUMPRODUCT(('ANALYSE - ERP =&gt; SOUS-SEGMENT'!$C$8:$C$1000=$C40)*'ANALYSE - ERP =&gt; SOUS-SEGMENT'!$Q$8:$Q$1000*'ANALYSE - ERP =&gt; SOUS-SEGMENT'!$HD$8:$HD$1000))</f>
        <v>34.639497954545455</v>
      </c>
      <c r="HE40" s="563">
        <f>IF($C40="","",SUMPRODUCT(('ANALYSE - ERP =&gt; SOUS-SEGMENT'!$C$8:$C$1000=$C40)*'ANALYSE - ERP =&gt; SOUS-SEGMENT'!$Q$8:$Q$1000*'ANALYSE - ERP =&gt; SOUS-SEGMENT'!$HE$8:$HE$1000))</f>
        <v>4.4299711999999998</v>
      </c>
      <c r="HF40" s="563">
        <f t="shared" si="48"/>
        <v>193.98237036538461</v>
      </c>
      <c r="HG40" s="563">
        <f>IF($C40="","",SUMPRODUCT(('ANALYSE - ERP =&gt; SOUS-SEGMENT'!$C$8:$C$1000=$C40)*'ANALYSE - ERP =&gt; SOUS-SEGMENT'!$Q$8:$Q$1000*'ANALYSE - ERP =&gt; SOUS-SEGMENT'!$HG$8:$HG$1000))</f>
        <v>163.52631836538461</v>
      </c>
      <c r="HH40" s="563">
        <f>IF($C40="","",SUMPRODUCT(('ANALYSE - ERP =&gt; SOUS-SEGMENT'!$C$8:$C$1000=$C40)*'ANALYSE - ERP =&gt; SOUS-SEGMENT'!$Q$8:$Q$1000*'ANALYSE - ERP =&gt; SOUS-SEGMENT'!$HH$8:$HH$1000))</f>
        <v>30.456052000000003</v>
      </c>
      <c r="HI40" s="563">
        <f t="shared" si="49"/>
        <v>73.162246449999984</v>
      </c>
      <c r="HJ40" s="563">
        <f>IF($C40="","",SUMPRODUCT(('ANALYSE - ERP =&gt; SOUS-SEGMENT'!$C$8:$C$1000=$C40)*'ANALYSE - ERP =&gt; SOUS-SEGMENT'!$Q$8:$Q$1000*'ANALYSE - ERP =&gt; SOUS-SEGMENT'!$HJ$8:$HJ$1000))</f>
        <v>63.194811249999987</v>
      </c>
      <c r="HK40" s="563">
        <f>IF($C40="","",SUMPRODUCT(('ANALYSE - ERP =&gt; SOUS-SEGMENT'!$C$8:$C$1000=$C40)*'ANALYSE - ERP =&gt; SOUS-SEGMENT'!$Q$8:$Q$1000*'ANALYSE - ERP =&gt; SOUS-SEGMENT'!$HK$8:$HK$1000))</f>
        <v>9.9674351999999988</v>
      </c>
      <c r="HL40" s="563">
        <f t="shared" si="50"/>
        <v>79.800177509090901</v>
      </c>
      <c r="HM40" s="563">
        <f>IF($C40="","",SUMPRODUCT(('ANALYSE - ERP =&gt; SOUS-SEGMENT'!$C$8:$C$1000=$C40)*'ANALYSE - ERP =&gt; SOUS-SEGMENT'!$Q$8:$Q$1000*'ANALYSE - ERP =&gt; SOUS-SEGMENT'!$HM$8:$HM$1000))</f>
        <v>69.278995909090909</v>
      </c>
      <c r="HN40" s="563">
        <f>IF($C40="","",SUMPRODUCT(('ANALYSE - ERP =&gt; SOUS-SEGMENT'!$C$8:$C$1000=$C40)*'ANALYSE - ERP =&gt; SOUS-SEGMENT'!$Q$8:$Q$1000*'ANALYSE - ERP =&gt; SOUS-SEGMENT'!$HN$8:$HN$1000))</f>
        <v>10.521181599999998</v>
      </c>
      <c r="HO40" s="563">
        <f t="shared" si="51"/>
        <v>1263.1405514833332</v>
      </c>
      <c r="HP40" s="563">
        <f>IF($C40="","",SUMPRODUCT(('ANALYSE - ERP =&gt; SOUS-SEGMENT'!$C$8:$C$1000=$C40)*'ANALYSE - ERP =&gt; SOUS-SEGMENT'!$Q$8:$Q$1000*'ANALYSE - ERP =&gt; SOUS-SEGMENT'!$HP$8:$HP$1000))</f>
        <v>1105.3651060833333</v>
      </c>
      <c r="HQ40" s="563">
        <f>IF($C40="","",SUMPRODUCT(('ANALYSE - ERP =&gt; SOUS-SEGMENT'!$C$8:$C$1000=$C40)*'ANALYSE - ERP =&gt; SOUS-SEGMENT'!$Q$8:$Q$1000*'ANALYSE - ERP =&gt; SOUS-SEGMENT'!$HQ$8:$HQ$1000))</f>
        <v>157.77544539999997</v>
      </c>
      <c r="HR40" s="563">
        <f t="shared" si="52"/>
        <v>811.90190467692298</v>
      </c>
      <c r="HS40" s="563">
        <f>IF($C40="","",SUMPRODUCT(('ANALYSE - ERP =&gt; SOUS-SEGMENT'!$C$8:$C$1000=$C40)*'ANALYSE - ERP =&gt; SOUS-SEGMENT'!$Q$8:$Q$1000*'ANALYSE - ERP =&gt; SOUS-SEGMENT'!$HS$8:$HS$1000))</f>
        <v>673.14364307692301</v>
      </c>
      <c r="HT40" s="563">
        <f>IF($C40="","",SUMPRODUCT(('ANALYSE - ERP =&gt; SOUS-SEGMENT'!$C$8:$C$1000=$C40)*'ANALYSE - ERP =&gt; SOUS-SEGMENT'!$Q$8:$Q$1000*'ANALYSE - ERP =&gt; SOUS-SEGMENT'!$HT$8:$HT$1000))</f>
        <v>138.7582616</v>
      </c>
      <c r="HU40" s="563">
        <f t="shared" si="53"/>
        <v>754.68583049999984</v>
      </c>
      <c r="HV40" s="563">
        <f>IF($C40="","",SUMPRODUCT(('ANALYSE - ERP =&gt; SOUS-SEGMENT'!$C$8:$C$1000=$C40)*'ANALYSE - ERP =&gt; SOUS-SEGMENT'!$Q$8:$Q$1000*'ANALYSE - ERP =&gt; SOUS-SEGMENT'!$HV$8:$HV$1000))</f>
        <v>640.0815174999999</v>
      </c>
      <c r="HW40" s="563">
        <f>IF($C40="","",SUMPRODUCT(('ANALYSE - ERP =&gt; SOUS-SEGMENT'!$C$8:$C$1000=$C40)*'ANALYSE - ERP =&gt; SOUS-SEGMENT'!$Q$8:$Q$1000*'ANALYSE - ERP =&gt; SOUS-SEGMENT'!$HW$8:$HW$1000))</f>
        <v>114.60431299999999</v>
      </c>
      <c r="HX40" s="544"/>
      <c r="HY40" s="568">
        <f t="shared" si="54"/>
        <v>14590</v>
      </c>
      <c r="HZ40" s="568">
        <f>IF($C40="","",SUMPRODUCT(('ANALYSE - ERP =&gt; SOUS-SEGMENT'!$C$8:$C$1000=$C40)*'ANALYSE - ERP =&gt; SOUS-SEGMENT'!$Q$8:$Q$1000*'ANALYSE - ERP =&gt; SOUS-SEGMENT'!$HZ$8:$HZ$1000))</f>
        <v>86.16</v>
      </c>
      <c r="IA40" s="568">
        <f>IF($C40="","",SUMPRODUCT(('ANALYSE - ERP =&gt; SOUS-SEGMENT'!$C$8:$C$1000=$C40)*'ANALYSE - ERP =&gt; SOUS-SEGMENT'!$Q$8:$Q$1000*'ANALYSE - ERP =&gt; SOUS-SEGMENT'!$IA$8:$IA$1000))</f>
        <v>4166.4750999999997</v>
      </c>
      <c r="IB40" s="568">
        <f>IF($C40="","",SUMPRODUCT(('ANALYSE - ERP =&gt; SOUS-SEGMENT'!$C$8:$C$1000=$C40)*'ANALYSE - ERP =&gt; SOUS-SEGMENT'!$Q$8:$Q$1000*'ANALYSE - ERP =&gt; SOUS-SEGMENT'!$IB$8:$IB$1000))</f>
        <v>7848.6182000000008</v>
      </c>
      <c r="IC40" s="568">
        <f>IF($C40="","",SUMPRODUCT(('ANALYSE - ERP =&gt; SOUS-SEGMENT'!$C$8:$C$1000=$C40)*'ANALYSE - ERP =&gt; SOUS-SEGMENT'!$Q$8:$Q$1000*'ANALYSE - ERP =&gt; SOUS-SEGMENT'!$IC$8:$IC$1000))</f>
        <v>2405.0547000000001</v>
      </c>
      <c r="ID40" s="568">
        <f>IF($C40="","",SUMPRODUCT(('ANALYSE - ERP =&gt; SOUS-SEGMENT'!$C$8:$C$1000=$C40)*'ANALYSE - ERP =&gt; SOUS-SEGMENT'!$Q$8:$Q$1000*'ANALYSE - ERP =&gt; SOUS-SEGMENT'!$ID$8:$ID$1000))</f>
        <v>83.692000000000007</v>
      </c>
      <c r="IE40" s="568">
        <f t="shared" si="55"/>
        <v>5100.5996114982518</v>
      </c>
      <c r="IF40" s="568">
        <f>IF($C40="","",SUMPRODUCT(('ANALYSE - ERP =&gt; SOUS-SEGMENT'!$C$8:$C$1000=$C40)*'ANALYSE - ERP =&gt; SOUS-SEGMENT'!$Q$8:$Q$1000*'ANALYSE - ERP =&gt; SOUS-SEGMENT'!$IF$8:$IF$1000))</f>
        <v>2.2632104351223772</v>
      </c>
      <c r="IG40" s="568">
        <f>IF($C40="","",SUMPRODUCT(('ANALYSE - ERP =&gt; SOUS-SEGMENT'!$C$8:$C$1000=$C40)*'ANALYSE - ERP =&gt; SOUS-SEGMENT'!$Q$8:$Q$1000*'ANALYSE - ERP =&gt; SOUS-SEGMENT'!$IG$8:$IG$1000))</f>
        <v>911.24535477477934</v>
      </c>
      <c r="IH40" s="568">
        <f>IF($C40="","",SUMPRODUCT(('ANALYSE - ERP =&gt; SOUS-SEGMENT'!$C$8:$C$1000=$C40)*'ANALYSE - ERP =&gt; SOUS-SEGMENT'!$Q$8:$Q$1000*'ANALYSE - ERP =&gt; SOUS-SEGMENT'!$IH$8:$IH$1000))</f>
        <v>2807.6101676073008</v>
      </c>
      <c r="II40" s="568">
        <f>IF($C40="","",SUMPRODUCT(('ANALYSE - ERP =&gt; SOUS-SEGMENT'!$C$8:$C$1000=$C40)*'ANALYSE - ERP =&gt; SOUS-SEGMENT'!$Q$8:$Q$1000*'ANALYSE - ERP =&gt; SOUS-SEGMENT'!$II$8:$II$1000))</f>
        <v>1301.7308033350205</v>
      </c>
      <c r="IJ40" s="568">
        <f>IF($C40="","",SUMPRODUCT(('ANALYSE - ERP =&gt; SOUS-SEGMENT'!$C$8:$C$1000=$C40)*'ANALYSE - ERP =&gt; SOUS-SEGMENT'!$Q$8:$Q$1000*'ANALYSE - ERP =&gt; SOUS-SEGMENT'!$IJ$8:$IJ$1000))</f>
        <v>77.750075346028254</v>
      </c>
      <c r="IK40" s="868">
        <f>IF($C40="","",IFERROR(SUMPRODUCT(('ANALYSE - ERP =&gt; SOUS-SEGMENT'!$C$8:$C$1000=$C40)*'ANALYSE - ERP =&gt; SOUS-SEGMENT'!$Q$8:$Q$1000*'ANALYSE - ERP =&gt; SOUS-SEGMENT'!$IE$8:$IE$1000*'ANALYSE - ERP =&gt; SOUS-SEGMENT'!$IK$8:$IK$1000)/SUMPRODUCT(('ANALYSE - ERP =&gt; SOUS-SEGMENT'!$C$8:$C$1000=$C40)*'ANALYSE - ERP =&gt; SOUS-SEGMENT'!$Q$8:$Q$1000*'ANALYSE - ERP =&gt; SOUS-SEGMENT'!$IE$8:$IE$1000),""))</f>
        <v>3.9000000000000008</v>
      </c>
      <c r="IL40" s="962" t="s">
        <v>2589</v>
      </c>
      <c r="IM40" s="963" t="s">
        <v>5138</v>
      </c>
      <c r="IN40" s="529"/>
      <c r="IO40" s="742">
        <f>IF($C40="","",IFERROR(SUMPRODUCT(('ANALYSE - ERP =&gt; SOUS-SEGMENT'!$C$8:$C$1000=$C40)*'ANALYSE - ERP =&gt; SOUS-SEGMENT'!$Q$8:$Q$1000*'ANALYSE - ERP =&gt; SOUS-SEGMENT'!$BE$8:$BE$1000*'ANALYSE - ERP =&gt; SOUS-SEGMENT'!$IO$8:$IO$1000)/SUMPRODUCT(('ANALYSE - ERP =&gt; SOUS-SEGMENT'!$C$8:$C$1000=$C40)*'ANALYSE - ERP =&gt; SOUS-SEGMENT'!$Q$8:$Q$1000*'ANALYSE - ERP =&gt; SOUS-SEGMENT'!$BE$8:$BE$1000),""))</f>
        <v>3.554399653229303E-4</v>
      </c>
      <c r="IP40" s="742">
        <f>IF($C40="","",IFERROR(SUMPRODUCT(('ANALYSE - ERP =&gt; SOUS-SEGMENT'!$C$8:$C$1000=$C40)*'ANALYSE - ERP =&gt; SOUS-SEGMENT'!$Q$8:$Q$1000*'ANALYSE - ERP =&gt; SOUS-SEGMENT'!$BE$8:$BE$1000*'ANALYSE - ERP =&gt; SOUS-SEGMENT'!$IP$8:$IP$1000)/SUMPRODUCT(('ANALYSE - ERP =&gt; SOUS-SEGMENT'!$C$8:$C$1000=$C40)*'ANALYSE - ERP =&gt; SOUS-SEGMENT'!$Q$8:$Q$1000*'ANALYSE - ERP =&gt; SOUS-SEGMENT'!$BE$8:$BE$1000),""))</f>
        <v>0.23798653373789916</v>
      </c>
      <c r="IQ40" s="742">
        <f>IF($C40="","",IFERROR(SUMPRODUCT(('ANALYSE - ERP =&gt; SOUS-SEGMENT'!$C$8:$C$1000=$C40)*'ANALYSE - ERP =&gt; SOUS-SEGMENT'!$Q$8:$Q$1000*'ANALYSE - ERP =&gt; SOUS-SEGMENT'!$BE$8:$BE$1000*'ANALYSE - ERP =&gt; SOUS-SEGMENT'!$IQ$8:$IQ$1000)/SUMPRODUCT(('ANALYSE - ERP =&gt; SOUS-SEGMENT'!$C$8:$C$1000=$C40)*'ANALYSE - ERP =&gt; SOUS-SEGMENT'!$Q$8:$Q$1000*'ANALYSE - ERP =&gt; SOUS-SEGMENT'!$BE$8:$BE$1000),""))</f>
        <v>0.55575262245340273</v>
      </c>
      <c r="IR40" s="742">
        <f>IF($C40="","",IFERROR(SUMPRODUCT(('ANALYSE - ERP =&gt; SOUS-SEGMENT'!$C$8:$C$1000=$C40)*'ANALYSE - ERP =&gt; SOUS-SEGMENT'!$Q$8:$Q$1000*'ANALYSE - ERP =&gt; SOUS-SEGMENT'!$BE$8:$BE$1000*'ANALYSE - ERP =&gt; SOUS-SEGMENT'!$IR$8:$IR$1000)/SUMPRODUCT(('ANALYSE - ERP =&gt; SOUS-SEGMENT'!$C$8:$C$1000=$C40)*'ANALYSE - ERP =&gt; SOUS-SEGMENT'!$Q$8:$Q$1000*'ANALYSE - ERP =&gt; SOUS-SEGMENT'!$BE$8:$BE$1000),""))</f>
        <v>0.19768189567981506</v>
      </c>
      <c r="IS40" s="742">
        <f>IF($C40="","",IFERROR(SUMPRODUCT(('ANALYSE - ERP =&gt; SOUS-SEGMENT'!$C$8:$C$1000=$C40)*'ANALYSE - ERP =&gt; SOUS-SEGMENT'!$Q$8:$Q$1000*'ANALYSE - ERP =&gt; SOUS-SEGMENT'!$BE$8:$BE$1000*'ANALYSE - ERP =&gt; SOUS-SEGMENT'!$IS$8:$IS$1000)/SUMPRODUCT(('ANALYSE - ERP =&gt; SOUS-SEGMENT'!$C$8:$C$1000=$C40)*'ANALYSE - ERP =&gt; SOUS-SEGMENT'!$Q$8:$Q$1000*'ANALYSE - ERP =&gt; SOUS-SEGMENT'!$BE$8:$BE$1000),""))</f>
        <v>8.2235081635601802E-3</v>
      </c>
      <c r="IT40" s="742">
        <f>IF($C40="","",IFERROR(SUMPRODUCT(('ANALYSE - ERP =&gt; SOUS-SEGMENT'!$C$8:$C$1000=$C40)*'ANALYSE - ERP =&gt; SOUS-SEGMENT'!$Q$8:$Q$1000*'ANALYSE - ERP =&gt; SOUS-SEGMENT'!$FB$8:$FB$1000*'ANALYSE - ERP =&gt; SOUS-SEGMENT'!$IT$8:$IT$1000)/SUMPRODUCT(('ANALYSE - ERP =&gt; SOUS-SEGMENT'!$C$8:$C$1000=$C40)*'ANALYSE - ERP =&gt; SOUS-SEGMENT'!$Q$8:$Q$1000*'ANALYSE - ERP =&gt; SOUS-SEGMENT'!$FB$8:$FB$1000),""))</f>
        <v>0</v>
      </c>
      <c r="IU40" s="742">
        <f>IF($C40="","",IFERROR(SUMPRODUCT(('ANALYSE - ERP =&gt; SOUS-SEGMENT'!$C$8:$C$1000=$C40)*'ANALYSE - ERP =&gt; SOUS-SEGMENT'!$Q$8:$Q$1000*'ANALYSE - ERP =&gt; SOUS-SEGMENT'!$FB$8:$FB$1000*'ANALYSE - ERP =&gt; SOUS-SEGMENT'!$IU$8:$IU$1000)/SUMPRODUCT(('ANALYSE - ERP =&gt; SOUS-SEGMENT'!$C$8:$C$1000=$C40)*'ANALYSE - ERP =&gt; SOUS-SEGMENT'!$Q$8:$Q$1000*'ANALYSE - ERP =&gt; SOUS-SEGMENT'!$FB$8:$FB$1000),""))</f>
        <v>0.13588557632924264</v>
      </c>
      <c r="IV40" s="742">
        <f>IF($C40="","",IFERROR(SUMPRODUCT(('ANALYSE - ERP =&gt; SOUS-SEGMENT'!$C$8:$C$1000=$C40)*'ANALYSE - ERP =&gt; SOUS-SEGMENT'!$Q$8:$Q$1000*'ANALYSE - ERP =&gt; SOUS-SEGMENT'!$FB$8:$FB$1000*'ANALYSE - ERP =&gt; SOUS-SEGMENT'!$IV$8:$IV$1000)/SUMPRODUCT(('ANALYSE - ERP =&gt; SOUS-SEGMENT'!$C$8:$C$1000=$C40)*'ANALYSE - ERP =&gt; SOUS-SEGMENT'!$Q$8:$Q$1000*'ANALYSE - ERP =&gt; SOUS-SEGMENT'!$FB$8:$FB$1000),""))</f>
        <v>0.54291434394625782</v>
      </c>
      <c r="IW40" s="742">
        <f>IF($C40="","",IFERROR(SUMPRODUCT(('ANALYSE - ERP =&gt; SOUS-SEGMENT'!$C$8:$C$1000=$C40)*'ANALYSE - ERP =&gt; SOUS-SEGMENT'!$Q$8:$Q$1000*'ANALYSE - ERP =&gt; SOUS-SEGMENT'!$FB$8:$FB$1000*'ANALYSE - ERP =&gt; SOUS-SEGMENT'!$IW$8:$IW$1000)/SUMPRODUCT(('ANALYSE - ERP =&gt; SOUS-SEGMENT'!$C$8:$C$1000=$C40)*'ANALYSE - ERP =&gt; SOUS-SEGMENT'!$Q$8:$Q$1000*'ANALYSE - ERP =&gt; SOUS-SEGMENT'!$FB$8:$FB$1000),""))</f>
        <v>0.29995528099203972</v>
      </c>
      <c r="IX40" s="742">
        <f>IF($C40="","",IFERROR(SUMPRODUCT(('ANALYSE - ERP =&gt; SOUS-SEGMENT'!$C$8:$C$1000=$C40)*'ANALYSE - ERP =&gt; SOUS-SEGMENT'!$Q$8:$Q$1000*'ANALYSE - ERP =&gt; SOUS-SEGMENT'!$FB$8:$FB$1000*'ANALYSE - ERP =&gt; SOUS-SEGMENT'!$IX$8:$IX$1000)/SUMPRODUCT(('ANALYSE - ERP =&gt; SOUS-SEGMENT'!$C$8:$C$1000=$C40)*'ANALYSE - ERP =&gt; SOUS-SEGMENT'!$Q$8:$Q$1000*'ANALYSE - ERP =&gt; SOUS-SEGMENT'!$FB$8:$FB$1000),""))</f>
        <v>2.1244798732459928E-2</v>
      </c>
      <c r="IY40" s="742" t="str">
        <f>IF($C40="","",IFERROR(SUMPRODUCT(('ANALYSE - ERP =&gt; SOUS-SEGMENT'!$C$8:$C$1000=$C40)*'ANALYSE - ERP =&gt; SOUS-SEGMENT'!$Q$8:$Q$1000*'ANALYSE - ERP =&gt; SOUS-SEGMENT'!$BF$8:$BF$1000*'ANALYSE - ERP =&gt; SOUS-SEGMENT'!$IY$8:$IY$1000)/SUMPRODUCT(('ANALYSE - ERP =&gt; SOUS-SEGMENT'!$C$8:$C$1000=$C40)*'ANALYSE - ERP =&gt; SOUS-SEGMENT'!$Q$8:$Q$1000*'ANALYSE - ERP =&gt; SOUS-SEGMENT'!$BF$8:$BF$1000),""))</f>
        <v/>
      </c>
      <c r="IZ40" s="742" t="str">
        <f>IF($C40="","",IFERROR(SUMPRODUCT(('ANALYSE - ERP =&gt; SOUS-SEGMENT'!$C$8:$C$1000=$C40)*'ANALYSE - ERP =&gt; SOUS-SEGMENT'!$Q$8:$Q$1000*'ANALYSE - ERP =&gt; SOUS-SEGMENT'!$BF$8:$BF$1000*'ANALYSE - ERP =&gt; SOUS-SEGMENT'!$IZ$8:$IZ$1000)/SUMPRODUCT(('ANALYSE - ERP =&gt; SOUS-SEGMENT'!$C$8:$C$1000=$C40)*'ANALYSE - ERP =&gt; SOUS-SEGMENT'!$Q$8:$Q$1000*'ANALYSE - ERP =&gt; SOUS-SEGMENT'!$BF$8:$BF$1000),""))</f>
        <v/>
      </c>
      <c r="JA40" s="742" t="str">
        <f>IF($C40="","",IFERROR(SUMPRODUCT(('ANALYSE - ERP =&gt; SOUS-SEGMENT'!$C$8:$C$1000=$C40)*'ANALYSE - ERP =&gt; SOUS-SEGMENT'!$Q$8:$Q$1000*'ANALYSE - ERP =&gt; SOUS-SEGMENT'!$BF$8:$BF$1000*'ANALYSE - ERP =&gt; SOUS-SEGMENT'!$JA$8:$JA$1000)/SUMPRODUCT(('ANALYSE - ERP =&gt; SOUS-SEGMENT'!$C$8:$C$1000=$C40)*'ANALYSE - ERP =&gt; SOUS-SEGMENT'!$Q$8:$Q$1000*'ANALYSE - ERP =&gt; SOUS-SEGMENT'!$BF$8:$BF$1000),""))</f>
        <v/>
      </c>
      <c r="JB40" s="742" t="str">
        <f>IF($C40="","",IFERROR(SUMPRODUCT(('ANALYSE - ERP =&gt; SOUS-SEGMENT'!$C$8:$C$1000=$C40)*'ANALYSE - ERP =&gt; SOUS-SEGMENT'!$Q$8:$Q$1000*'ANALYSE - ERP =&gt; SOUS-SEGMENT'!$BF$8:$BF$1000*'ANALYSE - ERP =&gt; SOUS-SEGMENT'!$JB$8:$JB$1000)/SUMPRODUCT(('ANALYSE - ERP =&gt; SOUS-SEGMENT'!$C$8:$C$1000=$C40)*'ANALYSE - ERP =&gt; SOUS-SEGMENT'!$Q$8:$Q$1000*'ANALYSE - ERP =&gt; SOUS-SEGMENT'!$BF$8:$BF$1000),""))</f>
        <v/>
      </c>
      <c r="JC40" s="742" t="str">
        <f>IF($C40="","",IFERROR(SUMPRODUCT(('ANALYSE - ERP =&gt; SOUS-SEGMENT'!$C$8:$C$1000=$C40)*'ANALYSE - ERP =&gt; SOUS-SEGMENT'!$Q$8:$Q$1000*'ANALYSE - ERP =&gt; SOUS-SEGMENT'!$BF$8:$BF$1000*'ANALYSE - ERP =&gt; SOUS-SEGMENT'!$JC$8:$JC$1000)/SUMPRODUCT(('ANALYSE - ERP =&gt; SOUS-SEGMENT'!$C$8:$C$1000=$C40)*'ANALYSE - ERP =&gt; SOUS-SEGMENT'!$Q$8:$Q$1000*'ANALYSE - ERP =&gt; SOUS-SEGMENT'!$BF$8:$BF$1000),""))</f>
        <v/>
      </c>
      <c r="JD40" s="742" t="str">
        <f>IF($C40="","",IFERROR(SUMPRODUCT(('ANALYSE - ERP =&gt; SOUS-SEGMENT'!$C$8:$C$1000=$C40)*'ANALYSE - ERP =&gt; SOUS-SEGMENT'!$Q$8:$Q$1000*'ANALYSE - ERP =&gt; SOUS-SEGMENT'!$FE$8:$FE$1000*'ANALYSE - ERP =&gt; SOUS-SEGMENT'!$JD$8:$JD$1000)/SUMPRODUCT(('ANALYSE - ERP =&gt; SOUS-SEGMENT'!$C$8:$C$1000=$C40)*'ANALYSE - ERP =&gt; SOUS-SEGMENT'!$Q$8:$Q$1000*'ANALYSE - ERP =&gt; SOUS-SEGMENT'!$FE$8:$FE$1000),""))</f>
        <v/>
      </c>
      <c r="JE40" s="742" t="str">
        <f>IF($C40="","",IFERROR(SUMPRODUCT(('ANALYSE - ERP =&gt; SOUS-SEGMENT'!$C$8:$C$1000=$C40)*'ANALYSE - ERP =&gt; SOUS-SEGMENT'!$Q$8:$Q$1000*'ANALYSE - ERP =&gt; SOUS-SEGMENT'!$FE$8:$FE$1000*'ANALYSE - ERP =&gt; SOUS-SEGMENT'!$JE$8:$JE$1000)/SUMPRODUCT(('ANALYSE - ERP =&gt; SOUS-SEGMENT'!$C$8:$C$1000=$C40)*'ANALYSE - ERP =&gt; SOUS-SEGMENT'!$Q$8:$Q$1000*'ANALYSE - ERP =&gt; SOUS-SEGMENT'!$FE$8:$FE$1000),""))</f>
        <v/>
      </c>
      <c r="JF40" s="742" t="str">
        <f>IF($C40="","",IFERROR(SUMPRODUCT(('ANALYSE - ERP =&gt; SOUS-SEGMENT'!$C$8:$C$1000=$C40)*'ANALYSE - ERP =&gt; SOUS-SEGMENT'!$Q$8:$Q$1000*'ANALYSE - ERP =&gt; SOUS-SEGMENT'!$FE$8:$FE$1000*'ANALYSE - ERP =&gt; SOUS-SEGMENT'!$JF$8:$JF$1000)/SUMPRODUCT(('ANALYSE - ERP =&gt; SOUS-SEGMENT'!$C$8:$C$1000=$C40)*'ANALYSE - ERP =&gt; SOUS-SEGMENT'!$Q$8:$Q$1000*'ANALYSE - ERP =&gt; SOUS-SEGMENT'!$FE$8:$FE$1000),""))</f>
        <v/>
      </c>
      <c r="JG40" s="742" t="str">
        <f>IF($C40="","",IFERROR(SUMPRODUCT(('ANALYSE - ERP =&gt; SOUS-SEGMENT'!$C$8:$C$1000=$C40)*'ANALYSE - ERP =&gt; SOUS-SEGMENT'!$Q$8:$Q$1000*'ANALYSE - ERP =&gt; SOUS-SEGMENT'!$FE$8:$FE$1000*'ANALYSE - ERP =&gt; SOUS-SEGMENT'!$JG$8:$JG$1000)/SUMPRODUCT(('ANALYSE - ERP =&gt; SOUS-SEGMENT'!$C$8:$C$1000=$C40)*'ANALYSE - ERP =&gt; SOUS-SEGMENT'!$Q$8:$Q$1000*'ANALYSE - ERP =&gt; SOUS-SEGMENT'!$FE$8:$FE$1000),""))</f>
        <v/>
      </c>
      <c r="JH40" s="742" t="str">
        <f>IF($C40="","",IFERROR(SUMPRODUCT(('ANALYSE - ERP =&gt; SOUS-SEGMENT'!$C$8:$C$1000=$C40)*'ANALYSE - ERP =&gt; SOUS-SEGMENT'!$Q$8:$Q$1000*'ANALYSE - ERP =&gt; SOUS-SEGMENT'!$FE$8:$FE$1000*'ANALYSE - ERP =&gt; SOUS-SEGMENT'!$JH$8:$JH$1000)/SUMPRODUCT(('ANALYSE - ERP =&gt; SOUS-SEGMENT'!$C$8:$C$1000=$C40)*'ANALYSE - ERP =&gt; SOUS-SEGMENT'!$Q$8:$Q$1000*'ANALYSE - ERP =&gt; SOUS-SEGMENT'!$FE$8:$FE$1000),""))</f>
        <v/>
      </c>
      <c r="JI40" s="742">
        <f>IF($C40="","",IFERROR(SUMPRODUCT(('ANALYSE - ERP =&gt; SOUS-SEGMENT'!$C$8:$C$1000=$C40)*'ANALYSE - ERP =&gt; SOUS-SEGMENT'!$Q$8:$Q$1000*'ANALYSE - ERP =&gt; SOUS-SEGMENT'!$BG$8:$BG$1000*'ANALYSE - ERP =&gt; SOUS-SEGMENT'!$JI$8:$JI$1000)/SUMPRODUCT(('ANALYSE - ERP =&gt; SOUS-SEGMENT'!$C$8:$C$1000=$C40)*'ANALYSE - ERP =&gt; SOUS-SEGMENT'!$Q$8:$Q$1000*'ANALYSE - ERP =&gt; SOUS-SEGMENT'!$BG$8:$BG$1000),""))</f>
        <v>3.6119188596491228E-2</v>
      </c>
      <c r="JJ40" s="742">
        <f>IF($C40="","",IFERROR(SUMPRODUCT(('ANALYSE - ERP =&gt; SOUS-SEGMENT'!$C$8:$C$1000=$C40)*'ANALYSE - ERP =&gt; SOUS-SEGMENT'!$Q$8:$Q$1000*'ANALYSE - ERP =&gt; SOUS-SEGMENT'!$BG$8:$BG$1000*'ANALYSE - ERP =&gt; SOUS-SEGMENT'!$JJ$8:$JJ$1000)/SUMPRODUCT(('ANALYSE - ERP =&gt; SOUS-SEGMENT'!$C$8:$C$1000=$C40)*'ANALYSE - ERP =&gt; SOUS-SEGMENT'!$Q$8:$Q$1000*'ANALYSE - ERP =&gt; SOUS-SEGMENT'!$BG$8:$BG$1000),""))</f>
        <v>0.40137982456140353</v>
      </c>
      <c r="JK40" s="742">
        <f>IF($C40="","",IFERROR(SUMPRODUCT(('ANALYSE - ERP =&gt; SOUS-SEGMENT'!$C$8:$C$1000=$C40)*'ANALYSE - ERP =&gt; SOUS-SEGMENT'!$Q$8:$Q$1000*'ANALYSE - ERP =&gt; SOUS-SEGMENT'!$BG$8:$BG$1000*'ANALYSE - ERP =&gt; SOUS-SEGMENT'!$JK$8:$JK$1000)/SUMPRODUCT(('ANALYSE - ERP =&gt; SOUS-SEGMENT'!$C$8:$C$1000=$C40)*'ANALYSE - ERP =&gt; SOUS-SEGMENT'!$Q$8:$Q$1000*'ANALYSE - ERP =&gt; SOUS-SEGMENT'!$BG$8:$BG$1000),""))</f>
        <v>0.46368410087719292</v>
      </c>
      <c r="JL40" s="742">
        <f>IF($C40="","",IFERROR(SUMPRODUCT(('ANALYSE - ERP =&gt; SOUS-SEGMENT'!$C$8:$C$1000=$C40)*'ANALYSE - ERP =&gt; SOUS-SEGMENT'!$Q$8:$Q$1000*'ANALYSE - ERP =&gt; SOUS-SEGMENT'!$BG$8:$BG$1000*'ANALYSE - ERP =&gt; SOUS-SEGMENT'!$JL$8:$JL$1000)/SUMPRODUCT(('ANALYSE - ERP =&gt; SOUS-SEGMENT'!$C$8:$C$1000=$C40)*'ANALYSE - ERP =&gt; SOUS-SEGMENT'!$Q$8:$Q$1000*'ANALYSE - ERP =&gt; SOUS-SEGMENT'!$BG$8:$BG$1000),""))</f>
        <v>9.7194956140350883E-2</v>
      </c>
      <c r="JM40" s="742">
        <f>IF($C40="","",IFERROR(SUMPRODUCT(('ANALYSE - ERP =&gt; SOUS-SEGMENT'!$C$8:$C$1000=$C40)*'ANALYSE - ERP =&gt; SOUS-SEGMENT'!$Q$8:$Q$1000*'ANALYSE - ERP =&gt; SOUS-SEGMENT'!$BG$8:$BG$1000*'ANALYSE - ERP =&gt; SOUS-SEGMENT'!$JM$8:$JM$1000)/SUMPRODUCT(('ANALYSE - ERP =&gt; SOUS-SEGMENT'!$C$8:$C$1000=$C40)*'ANALYSE - ERP =&gt; SOUS-SEGMENT'!$Q$8:$Q$1000*'ANALYSE - ERP =&gt; SOUS-SEGMENT'!$BG$8:$BG$1000),""))</f>
        <v>1.6219298245614034E-3</v>
      </c>
      <c r="JN40" s="742">
        <f>IF($C40="","",IFERROR(SUMPRODUCT(('ANALYSE - ERP =&gt; SOUS-SEGMENT'!$C$8:$C$1000=$C40)*'ANALYSE - ERP =&gt; SOUS-SEGMENT'!$Q$8:$Q$1000*'ANALYSE - ERP =&gt; SOUS-SEGMENT'!$FH$8:$FH$1000*'ANALYSE - ERP =&gt; SOUS-SEGMENT'!$JN$8:$JN$1000)/SUMPRODUCT(('ANALYSE - ERP =&gt; SOUS-SEGMENT'!$C$8:$C$1000=$C40)*'ANALYSE - ERP =&gt; SOUS-SEGMENT'!$Q$8:$Q$1000*'ANALYSE - ERP =&gt; SOUS-SEGMENT'!$FH$8:$FH$1000),""))</f>
        <v>6.8449462024807129E-3</v>
      </c>
      <c r="JO40" s="742">
        <f>IF($C40="","",IFERROR(SUMPRODUCT(('ANALYSE - ERP =&gt; SOUS-SEGMENT'!$C$8:$C$1000=$C40)*'ANALYSE - ERP =&gt; SOUS-SEGMENT'!$Q$8:$Q$1000*'ANALYSE - ERP =&gt; SOUS-SEGMENT'!$FH$8:$FH$1000*'ANALYSE - ERP =&gt; SOUS-SEGMENT'!$JO$8:$JO$1000)/SUMPRODUCT(('ANALYSE - ERP =&gt; SOUS-SEGMENT'!$C$8:$C$1000=$C40)*'ANALYSE - ERP =&gt; SOUS-SEGMENT'!$Q$8:$Q$1000*'ANALYSE - ERP =&gt; SOUS-SEGMENT'!$FH$8:$FH$1000),""))</f>
        <v>0.28785213144227145</v>
      </c>
      <c r="JP40" s="742">
        <f>IF($C40="","",IFERROR(SUMPRODUCT(('ANALYSE - ERP =&gt; SOUS-SEGMENT'!$C$8:$C$1000=$C40)*'ANALYSE - ERP =&gt; SOUS-SEGMENT'!$Q$8:$Q$1000*'ANALYSE - ERP =&gt; SOUS-SEGMENT'!$FH$8:$FH$1000*'ANALYSE - ERP =&gt; SOUS-SEGMENT'!$JP$8:$JP$1000)/SUMPRODUCT(('ANALYSE - ERP =&gt; SOUS-SEGMENT'!$C$8:$C$1000=$C40)*'ANALYSE - ERP =&gt; SOUS-SEGMENT'!$Q$8:$Q$1000*'ANALYSE - ERP =&gt; SOUS-SEGMENT'!$FH$8:$FH$1000),""))</f>
        <v>0.53307069390397843</v>
      </c>
      <c r="JQ40" s="742">
        <f>IF($C40="","",IFERROR(SUMPRODUCT(('ANALYSE - ERP =&gt; SOUS-SEGMENT'!$C$8:$C$1000=$C40)*'ANALYSE - ERP =&gt; SOUS-SEGMENT'!$Q$8:$Q$1000*'ANALYSE - ERP =&gt; SOUS-SEGMENT'!$FH$8:$FH$1000*'ANALYSE - ERP =&gt; SOUS-SEGMENT'!$JQ$8:$JQ$1000)/SUMPRODUCT(('ANALYSE - ERP =&gt; SOUS-SEGMENT'!$C$8:$C$1000=$C40)*'ANALYSE - ERP =&gt; SOUS-SEGMENT'!$Q$8:$Q$1000*'ANALYSE - ERP =&gt; SOUS-SEGMENT'!$FH$8:$FH$1000),""))</f>
        <v>0.16598732559438822</v>
      </c>
      <c r="JR40" s="742">
        <f>IF($C40="","",IFERROR(SUMPRODUCT(('ANALYSE - ERP =&gt; SOUS-SEGMENT'!$C$8:$C$1000=$C40)*'ANALYSE - ERP =&gt; SOUS-SEGMENT'!$Q$8:$Q$1000*'ANALYSE - ERP =&gt; SOUS-SEGMENT'!$FH$8:$FH$1000*'ANALYSE - ERP =&gt; SOUS-SEGMENT'!$JR$8:$JR$1000)/SUMPRODUCT(('ANALYSE - ERP =&gt; SOUS-SEGMENT'!$C$8:$C$1000=$C40)*'ANALYSE - ERP =&gt; SOUS-SEGMENT'!$Q$8:$Q$1000*'ANALYSE - ERP =&gt; SOUS-SEGMENT'!$FH$8:$FH$1000),""))</f>
        <v>6.2449028568811252E-3</v>
      </c>
      <c r="JS40" s="742">
        <f>IF($C40="","",IFERROR(SUMPRODUCT(('ANALYSE - ERP =&gt; SOUS-SEGMENT'!$C$8:$C$1000=$C40)*'ANALYSE - ERP =&gt; SOUS-SEGMENT'!$Q$8:$Q$1000*'ANALYSE - ERP =&gt; SOUS-SEGMENT'!$BH$8:$BH$1000*'ANALYSE - ERP =&gt; SOUS-SEGMENT'!$JS$8:$JS$1000)/SUMPRODUCT(('ANALYSE - ERP =&gt; SOUS-SEGMENT'!$C$8:$C$1000=$C40)*'ANALYSE - ERP =&gt; SOUS-SEGMENT'!$Q$8:$Q$1000*'ANALYSE - ERP =&gt; SOUS-SEGMENT'!$BH$8:$BH$1000),""))</f>
        <v>7.5121059641852905E-3</v>
      </c>
      <c r="JT40" s="742">
        <f>IF($C40="","",IFERROR(SUMPRODUCT(('ANALYSE - ERP =&gt; SOUS-SEGMENT'!$C$8:$C$1000=$C40)*'ANALYSE - ERP =&gt; SOUS-SEGMENT'!$Q$8:$Q$1000*'ANALYSE - ERP =&gt; SOUS-SEGMENT'!$BH$8:$BH$1000*'ANALYSE - ERP =&gt; SOUS-SEGMENT'!$JT$8:$JT$1000)/SUMPRODUCT(('ANALYSE - ERP =&gt; SOUS-SEGMENT'!$C$8:$C$1000=$C40)*'ANALYSE - ERP =&gt; SOUS-SEGMENT'!$Q$8:$Q$1000*'ANALYSE - ERP =&gt; SOUS-SEGMENT'!$BH$8:$BH$1000),""))</f>
        <v>0.31867868876720434</v>
      </c>
      <c r="JU40" s="742">
        <f>IF($C40="","",IFERROR(SUMPRODUCT(('ANALYSE - ERP =&gt; SOUS-SEGMENT'!$C$8:$C$1000=$C40)*'ANALYSE - ERP =&gt; SOUS-SEGMENT'!$Q$8:$Q$1000*'ANALYSE - ERP =&gt; SOUS-SEGMENT'!$BH$8:$BH$1000*'ANALYSE - ERP =&gt; SOUS-SEGMENT'!$JU$8:$JU$1000)/SUMPRODUCT(('ANALYSE - ERP =&gt; SOUS-SEGMENT'!$C$8:$C$1000=$C40)*'ANALYSE - ERP =&gt; SOUS-SEGMENT'!$Q$8:$Q$1000*'ANALYSE - ERP =&gt; SOUS-SEGMENT'!$BH$8:$BH$1000),""))</f>
        <v>0.52972834097972477</v>
      </c>
      <c r="JV40" s="742">
        <f>IF($C40="","",IFERROR(SUMPRODUCT(('ANALYSE - ERP =&gt; SOUS-SEGMENT'!$C$8:$C$1000=$C40)*'ANALYSE - ERP =&gt; SOUS-SEGMENT'!$Q$8:$Q$1000*'ANALYSE - ERP =&gt; SOUS-SEGMENT'!$BH$8:$BH$1000*'ANALYSE - ERP =&gt; SOUS-SEGMENT'!$JV$8:$JV$1000)/SUMPRODUCT(('ANALYSE - ERP =&gt; SOUS-SEGMENT'!$C$8:$C$1000=$C40)*'ANALYSE - ERP =&gt; SOUS-SEGMENT'!$Q$8:$Q$1000*'ANALYSE - ERP =&gt; SOUS-SEGMENT'!$BH$8:$BH$1000),""))</f>
        <v>0.14033690987124464</v>
      </c>
      <c r="JW40" s="742">
        <f>IF($C40="","",IFERROR(SUMPRODUCT(('ANALYSE - ERP =&gt; SOUS-SEGMENT'!$C$8:$C$1000=$C40)*'ANALYSE - ERP =&gt; SOUS-SEGMENT'!$Q$8:$Q$1000*'ANALYSE - ERP =&gt; SOUS-SEGMENT'!$BH$8:$BH$1000*'ANALYSE - ERP =&gt; SOUS-SEGMENT'!$JW$8:$JW$1000)/SUMPRODUCT(('ANALYSE - ERP =&gt; SOUS-SEGMENT'!$C$8:$C$1000=$C40)*'ANALYSE - ERP =&gt; SOUS-SEGMENT'!$Q$8:$Q$1000*'ANALYSE - ERP =&gt; SOUS-SEGMENT'!$BH$8:$BH$1000),""))</f>
        <v>3.7439544176409646E-3</v>
      </c>
      <c r="JX40" s="742">
        <f>IF($C40="","",IFERROR(SUMPRODUCT(('ANALYSE - ERP =&gt; SOUS-SEGMENT'!$C$8:$C$1000=$C40)*'ANALYSE - ERP =&gt; SOUS-SEGMENT'!$Q$8:$Q$1000*'ANALYSE - ERP =&gt; SOUS-SEGMENT'!$FK$8:$FK$1000*'ANALYSE - ERP =&gt; SOUS-SEGMENT'!$JX$8:$JX$1000)/SUMPRODUCT(('ANALYSE - ERP =&gt; SOUS-SEGMENT'!$C$8:$C$1000=$C40)*'ANALYSE - ERP =&gt; SOUS-SEGMENT'!$Q$8:$Q$1000*'ANALYSE - ERP =&gt; SOUS-SEGMENT'!$FK$8:$FK$1000),""))</f>
        <v>0</v>
      </c>
      <c r="JY40" s="742">
        <f>IF($C40="","",IFERROR(SUMPRODUCT(('ANALYSE - ERP =&gt; SOUS-SEGMENT'!$C$8:$C$1000=$C40)*'ANALYSE - ERP =&gt; SOUS-SEGMENT'!$Q$8:$Q$1000*'ANALYSE - ERP =&gt; SOUS-SEGMENT'!$FK$8:$FK$1000*'ANALYSE - ERP =&gt; SOUS-SEGMENT'!$JY$8:$JY$1000)/SUMPRODUCT(('ANALYSE - ERP =&gt; SOUS-SEGMENT'!$C$8:$C$1000=$C40)*'ANALYSE - ERP =&gt; SOUS-SEGMENT'!$Q$8:$Q$1000*'ANALYSE - ERP =&gt; SOUS-SEGMENT'!$FK$8:$FK$1000),""))</f>
        <v>0.2053067075940688</v>
      </c>
      <c r="JZ40" s="742">
        <f>IF($C40="","",IFERROR(SUMPRODUCT(('ANALYSE - ERP =&gt; SOUS-SEGMENT'!$C$8:$C$1000=$C40)*'ANALYSE - ERP =&gt; SOUS-SEGMENT'!$Q$8:$Q$1000*'ANALYSE - ERP =&gt; SOUS-SEGMENT'!$FK$8:$FK$1000*'ANALYSE - ERP =&gt; SOUS-SEGMENT'!$JZ$8:$JZ$1000)/SUMPRODUCT(('ANALYSE - ERP =&gt; SOUS-SEGMENT'!$C$8:$C$1000=$C40)*'ANALYSE - ERP =&gt; SOUS-SEGMENT'!$Q$8:$Q$1000*'ANALYSE - ERP =&gt; SOUS-SEGMENT'!$FK$8:$FK$1000),""))</f>
        <v>0.56014594250031036</v>
      </c>
      <c r="KA40" s="742">
        <f>IF($C40="","",IFERROR(SUMPRODUCT(('ANALYSE - ERP =&gt; SOUS-SEGMENT'!$C$8:$C$1000=$C40)*'ANALYSE - ERP =&gt; SOUS-SEGMENT'!$Q$8:$Q$1000*'ANALYSE - ERP =&gt; SOUS-SEGMENT'!$FK$8:$FK$1000*'ANALYSE - ERP =&gt; SOUS-SEGMENT'!$KA$8:$KA$1000)/SUMPRODUCT(('ANALYSE - ERP =&gt; SOUS-SEGMENT'!$C$8:$C$1000=$C40)*'ANALYSE - ERP =&gt; SOUS-SEGMENT'!$Q$8:$Q$1000*'ANALYSE - ERP =&gt; SOUS-SEGMENT'!$FK$8:$FK$1000),""))</f>
        <v>0.22390855469686258</v>
      </c>
      <c r="KB40" s="742">
        <f>IF($C40="","",IFERROR(SUMPRODUCT(('ANALYSE - ERP =&gt; SOUS-SEGMENT'!$C$8:$C$1000=$C40)*'ANALYSE - ERP =&gt; SOUS-SEGMENT'!$Q$8:$Q$1000*'ANALYSE - ERP =&gt; SOUS-SEGMENT'!$FK$8:$FK$1000*'ANALYSE - ERP =&gt; SOUS-SEGMENT'!$KB$8:$KB$1000)/SUMPRODUCT(('ANALYSE - ERP =&gt; SOUS-SEGMENT'!$C$8:$C$1000=$C40)*'ANALYSE - ERP =&gt; SOUS-SEGMENT'!$Q$8:$Q$1000*'ANALYSE - ERP =&gt; SOUS-SEGMENT'!$FK$8:$FK$1000),""))</f>
        <v>1.0638795208758149E-2</v>
      </c>
      <c r="KC40" s="657"/>
      <c r="KD40" s="924" t="s">
        <v>2590</v>
      </c>
      <c r="KE40" s="924" t="s">
        <v>2590</v>
      </c>
      <c r="KF40" s="869">
        <f>IF($C40="","",IFERROR(SUMPRODUCT(('ANALYSE - ERP =&gt; SOUS-SEGMENT'!$C$8:$C$1000=$C40)*'ANALYSE - ERP =&gt; SOUS-SEGMENT'!$Q$8:$Q$1000*'ANALYSE - ERP =&gt; SOUS-SEGMENT'!$IE$8:$IE$1000*'ANALYSE - ERP =&gt; SOUS-SEGMENT'!$KF$8:$KF$1000)/SUMPRODUCT(('ANALYSE - ERP =&gt; SOUS-SEGMENT'!$C$8:$C$1000=$C40)*'ANALYSE - ERP =&gt; SOUS-SEGMENT'!$Q$8:$Q$1000*'ANALYSE - ERP =&gt; SOUS-SEGMENT'!$IE$8:$IE$1000),""))</f>
        <v>4.0448818346070405</v>
      </c>
      <c r="KG40" s="924" t="s">
        <v>2589</v>
      </c>
      <c r="KH40" s="924" t="s">
        <v>5139</v>
      </c>
      <c r="KI40" s="924" t="s">
        <v>3384</v>
      </c>
      <c r="KJ40" s="924" t="s">
        <v>6224</v>
      </c>
    </row>
    <row r="41" spans="1:296" ht="120" customHeight="1">
      <c r="A41" s="951">
        <f>IF($C41="","",ROWS($A$8:A41))</f>
        <v>34</v>
      </c>
      <c r="B41" s="952" t="s">
        <v>5167</v>
      </c>
      <c r="C41" s="952" t="s">
        <v>2163</v>
      </c>
      <c r="D41" s="952" t="s">
        <v>6225</v>
      </c>
      <c r="E41" s="277" t="s">
        <v>2117</v>
      </c>
      <c r="F41" s="646" t="s">
        <v>6226</v>
      </c>
      <c r="G41" s="646" t="s">
        <v>2121</v>
      </c>
      <c r="H41" s="646" t="s">
        <v>2109</v>
      </c>
      <c r="I41" s="646" t="s">
        <v>6227</v>
      </c>
      <c r="J41" s="646" t="s">
        <v>6228</v>
      </c>
      <c r="K41" s="646" t="s">
        <v>2097</v>
      </c>
      <c r="L41" s="646" t="s">
        <v>2109</v>
      </c>
      <c r="M41" s="646" t="s">
        <v>2603</v>
      </c>
      <c r="N41" s="646" t="s">
        <v>2099</v>
      </c>
      <c r="O41" s="646" t="s">
        <v>2616</v>
      </c>
      <c r="P41" s="646"/>
      <c r="Q41" s="270">
        <f>IF($C41="","",IF(SUMIFS('ANALYSE - ERP =&gt; SOUS-SEGMENT'!$Q$8:$Q$1000,'ANALYSE - ERP =&gt; SOUS-SEGMENT'!$C$8:$C$1000,$C41)&gt;0,1,0))</f>
        <v>1</v>
      </c>
      <c r="R41" s="278">
        <f>IF($C41="","",IFERROR(SUMPRODUCT(('ANALYSE - ERP =&gt; SOUS-SEGMENT'!$C$8:$C$1000=$C41)*'ANALYSE - ERP =&gt; SOUS-SEGMENT'!$Q$8:$Q$1000*'ANALYSE - ERP =&gt; SOUS-SEGMENT'!$AF$8:$AF$1000*'ANALYSE - ERP =&gt; SOUS-SEGMENT'!$R$8:$R$1000)/SUMPRODUCT(('ANALYSE - ERP =&gt; SOUS-SEGMENT'!$C$8:$C$1000=$C41)*'ANALYSE - ERP =&gt; SOUS-SEGMENT'!$Q$8:$Q$1000*'ANALYSE - ERP =&gt; SOUS-SEGMENT'!$AF$8:$AF$1000),""))</f>
        <v>26.736980883322346</v>
      </c>
      <c r="S41" s="279">
        <f>IF($C41="","",SUMPRODUCT(('ANALYSE - ERP =&gt; SOUS-SEGMENT'!$C$8:$C$1000=$C41)*'ANALYSE - ERP =&gt; SOUS-SEGMENT'!$Q$8:$Q$1000*'ANALYSE - ERP =&gt; SOUS-SEGMENT'!$S$8:$S$1000))</f>
        <v>10720</v>
      </c>
      <c r="T41" s="279">
        <f>IF($C41="","",SUMPRODUCT(('ANALYSE - ERP =&gt; SOUS-SEGMENT'!$C$8:$C$1000=$C41)*'ANALYSE - ERP =&gt; SOUS-SEGMENT'!$Q$8:$Q$1000*'ANALYSE - ERP =&gt; SOUS-SEGMENT'!$T$8:$T$1000))</f>
        <v>11460</v>
      </c>
      <c r="U41" s="279">
        <f>IF($C41="","",SUMPRODUCT(('ANALYSE - ERP =&gt; SOUS-SEGMENT'!$C$8:$C$1000=$C41)*'ANALYSE - ERP =&gt; SOUS-SEGMENT'!$Q$8:$Q$1000*'ANALYSE - ERP =&gt; SOUS-SEGMENT'!$U$8:$U$1000))</f>
        <v>12200</v>
      </c>
      <c r="V41" s="279">
        <f>IF($C41="","",SUMPRODUCT(('ANALYSE - ERP =&gt; SOUS-SEGMENT'!$C$8:$C$1000=$C41)*'ANALYSE - ERP =&gt; SOUS-SEGMENT'!$Q$8:$Q$1000*'ANALYSE - ERP =&gt; SOUS-SEGMENT'!$V$8:$V$1000))</f>
        <v>13040</v>
      </c>
      <c r="W41" s="279">
        <f>IF($C41="","",SUMPRODUCT(('ANALYSE - ERP =&gt; SOUS-SEGMENT'!$C$8:$C$1000=$C41)*'ANALYSE - ERP =&gt; SOUS-SEGMENT'!$Q$8:$Q$1000*'ANALYSE - ERP =&gt; SOUS-SEGMENT'!$W$8:$W$1000))</f>
        <v>13288</v>
      </c>
      <c r="X41" s="279">
        <f>IF($C41="","",SUMPRODUCT(('ANALYSE - ERP =&gt; SOUS-SEGMENT'!$C$8:$C$1000=$C41)*'ANALYSE - ERP =&gt; SOUS-SEGMENT'!$Q$8:$Q$1000*'ANALYSE - ERP =&gt; SOUS-SEGMENT'!$X$8:$X$1000))</f>
        <v>13536</v>
      </c>
      <c r="Y41" s="279">
        <f>IF($C41="","",SUMPRODUCT(('ANALYSE - ERP =&gt; SOUS-SEGMENT'!$C$8:$C$1000=$C41)*'ANALYSE - ERP =&gt; SOUS-SEGMENT'!$Q$8:$Q$1000*'ANALYSE - ERP =&gt; SOUS-SEGMENT'!$Y$8:$Y$1000))</f>
        <v>13784</v>
      </c>
      <c r="Z41" s="279">
        <f>IF($C41="","",SUMPRODUCT(('ANALYSE - ERP =&gt; SOUS-SEGMENT'!$C$8:$C$1000=$C41)*'ANALYSE - ERP =&gt; SOUS-SEGMENT'!$Q$8:$Q$1000*'ANALYSE - ERP =&gt; SOUS-SEGMENT'!$Z$8:$Z$1000))</f>
        <v>14082</v>
      </c>
      <c r="AA41" s="279">
        <f>IF($C41="","",SUMPRODUCT(('ANALYSE - ERP =&gt; SOUS-SEGMENT'!$C$8:$C$1000=$C41)*'ANALYSE - ERP =&gt; SOUS-SEGMENT'!$Q$8:$Q$1000*'ANALYSE - ERP =&gt; SOUS-SEGMENT'!$AA$8:$AA$1000))</f>
        <v>14380</v>
      </c>
      <c r="AB41" s="279">
        <f>IF($C41="","",SUMPRODUCT(('ANALYSE - ERP =&gt; SOUS-SEGMENT'!$C$8:$C$1000=$C41)*'ANALYSE - ERP =&gt; SOUS-SEGMENT'!$Q$8:$Q$1000*'ANALYSE - ERP =&gt; SOUS-SEGMENT'!$AB$8:$AB$1000))</f>
        <v>14578</v>
      </c>
      <c r="AC41" s="279">
        <f>IF($C41="","",SUMPRODUCT(('ANALYSE - ERP =&gt; SOUS-SEGMENT'!$C$8:$C$1000=$C41)*'ANALYSE - ERP =&gt; SOUS-SEGMENT'!$Q$8:$Q$1000*'ANALYSE - ERP =&gt; SOUS-SEGMENT'!$AC$8:$AC$1000))</f>
        <v>14776</v>
      </c>
      <c r="AD41" s="279">
        <f>IF($C41="","",SUMPRODUCT(('ANALYSE - ERP =&gt; SOUS-SEGMENT'!$C$8:$C$1000=$C41)*'ANALYSE - ERP =&gt; SOUS-SEGMENT'!$Q$8:$Q$1000*'ANALYSE - ERP =&gt; SOUS-SEGMENT'!$AD$8:$AD$1000))</f>
        <v>14974</v>
      </c>
      <c r="AE41" s="279">
        <f>IF($C41="","",SUMPRODUCT(('ANALYSE - ERP =&gt; SOUS-SEGMENT'!$C$8:$C$1000=$C41)*'ANALYSE - ERP =&gt; SOUS-SEGMENT'!$Q$8:$Q$1000*'ANALYSE - ERP =&gt; SOUS-SEGMENT'!$AE$8:$AE$1000))</f>
        <v>15072</v>
      </c>
      <c r="AF41" s="279">
        <f>IF($C41="","",SUMPRODUCT(('ANALYSE - ERP =&gt; SOUS-SEGMENT'!$C$8:$C$1000=$C41)*'ANALYSE - ERP =&gt; SOUS-SEGMENT'!$Q$8:$Q$1000*'ANALYSE - ERP =&gt; SOUS-SEGMENT'!$AF$8:$AF$1000))</f>
        <v>15170</v>
      </c>
      <c r="AG41" s="279">
        <f>IF($C41="","",SUMPRODUCT(('ANALYSE - ERP =&gt; SOUS-SEGMENT'!$C$8:$C$1000=$C41)*'ANALYSE - ERP =&gt; SOUS-SEGMENT'!$Q$8:$Q$1000*'ANALYSE - ERP =&gt; SOUS-SEGMENT'!$AG$8:$AG$1000))</f>
        <v>15269</v>
      </c>
      <c r="AH41" s="279">
        <f>IF($C41="","",SUMPRODUCT(('ANALYSE - ERP =&gt; SOUS-SEGMENT'!$C$8:$C$1000=$C41)*'ANALYSE - ERP =&gt; SOUS-SEGMENT'!$Q$8:$Q$1000*'ANALYSE - ERP =&gt; SOUS-SEGMENT'!$AH$8:$AH$1000))</f>
        <v>15368</v>
      </c>
      <c r="AI41" s="279">
        <f>IF($C41="","",SUMPRODUCT(('ANALYSE - ERP =&gt; SOUS-SEGMENT'!$C$8:$C$1000=$C41)*'ANALYSE - ERP =&gt; SOUS-SEGMENT'!$Q$8:$Q$1000*'ANALYSE - ERP =&gt; SOUS-SEGMENT'!$AI$8:$AI$1000))</f>
        <v>15467</v>
      </c>
      <c r="AJ41" s="279">
        <f>IF($C41="","",SUMPRODUCT(('ANALYSE - ERP =&gt; SOUS-SEGMENT'!$C$8:$C$1000=$C41)*'ANALYSE - ERP =&gt; SOUS-SEGMENT'!$Q$8:$Q$1000*'ANALYSE - ERP =&gt; SOUS-SEGMENT'!$AJ$8:$AJ$1000))</f>
        <v>15566</v>
      </c>
      <c r="AK41" s="279">
        <f>IF($C41="","",SUMPRODUCT(('ANALYSE - ERP =&gt; SOUS-SEGMENT'!$C$8:$C$1000=$C41)*'ANALYSE - ERP =&gt; SOUS-SEGMENT'!$Q$8:$Q$1000*'ANALYSE - ERP =&gt; SOUS-SEGMENT'!$AK$8:$AK$1000))</f>
        <v>15665</v>
      </c>
      <c r="AL41" s="646" t="s">
        <v>6229</v>
      </c>
      <c r="AM41" s="646" t="s">
        <v>5169</v>
      </c>
      <c r="AN41" s="646" t="s">
        <v>6230</v>
      </c>
      <c r="AO41" s="657"/>
      <c r="AP41" s="278">
        <f>IF($C41="","",IFERROR(SUMPRODUCT(('ANALYSE - ERP =&gt; SOUS-SEGMENT'!$C$8:$C$1000=$C41)*'ANALYSE - ERP =&gt; SOUS-SEGMENT'!$Q$8:$Q$1000*'ANALYSE - ERP =&gt; SOUS-SEGMENT'!$AF$8:$AF$1000*'ANALYSE - ERP =&gt; SOUS-SEGMENT'!$AP$8:$AP$1000)/SUMPRODUCT(('ANALYSE - ERP =&gt; SOUS-SEGMENT'!$C$8:$C$1000=$C41)*'ANALYSE - ERP =&gt; SOUS-SEGMENT'!$Q$8:$Q$1000*'ANALYSE - ERP =&gt; SOUS-SEGMENT'!$AF$8:$AF$1000),""))</f>
        <v>6.2689518787079761</v>
      </c>
      <c r="AQ41" s="278">
        <f>IF($C41="","",IFERROR(SUMPRODUCT(('ANALYSE - ERP =&gt; SOUS-SEGMENT'!$C$8:$C$1000=$C41)*'ANALYSE - ERP =&gt; SOUS-SEGMENT'!$Q$8:$Q$1000*'ANALYSE - ERP =&gt; SOUS-SEGMENT'!$AF$8:$AF$1000*'ANALYSE - ERP =&gt; SOUS-SEGMENT'!$AQ$8:$AQ$1000)/SUMPRODUCT(('ANALYSE - ERP =&gt; SOUS-SEGMENT'!$C$8:$C$1000=$C41)*'ANALYSE - ERP =&gt; SOUS-SEGMENT'!$Q$8:$Q$1000*'ANALYSE - ERP =&gt; SOUS-SEGMENT'!$AF$8:$AF$1000),""))</f>
        <v>6.2241265655899802</v>
      </c>
      <c r="AR41" s="278">
        <f>IF($C41="","",IFERROR(SUMPRODUCT(('ANALYSE - ERP =&gt; SOUS-SEGMENT'!$C$8:$C$1000=$C41)*'ANALYSE - ERP =&gt; SOUS-SEGMENT'!$Q$8:$Q$1000*'ANALYSE - ERP =&gt; SOUS-SEGMENT'!$AF$8:$AF$1000*'ANALYSE - ERP =&gt; SOUS-SEGMENT'!$AR$8:$AR$1000)/SUMPRODUCT(('ANALYSE - ERP =&gt; SOUS-SEGMENT'!$C$8:$C$1000=$C41)*'ANALYSE - ERP =&gt; SOUS-SEGMENT'!$Q$8:$Q$1000*'ANALYSE - ERP =&gt; SOUS-SEGMENT'!$AF$8:$AF$1000),""))</f>
        <v>3.3618984838497033E-2</v>
      </c>
      <c r="AS41" s="278">
        <f>IF($C41="","",IFERROR(SUMPRODUCT(('ANALYSE - ERP =&gt; SOUS-SEGMENT'!$C$8:$C$1000=$C41)*'ANALYSE - ERP =&gt; SOUS-SEGMENT'!$Q$8:$Q$1000*'ANALYSE - ERP =&gt; SOUS-SEGMENT'!$AF$8:$AF$1000*'ANALYSE - ERP =&gt; SOUS-SEGMENT'!$AS$8:$AS$1000)/SUMPRODUCT(('ANALYSE - ERP =&gt; SOUS-SEGMENT'!$C$8:$C$1000=$C41)*'ANALYSE - ERP =&gt; SOUS-SEGMENT'!$Q$8:$Q$1000*'ANALYSE - ERP =&gt; SOUS-SEGMENT'!$AF$8:$AF$1000),""))</f>
        <v>1.1206328279499011E-2</v>
      </c>
      <c r="AT41" s="657"/>
      <c r="AU41" s="646" t="s">
        <v>6231</v>
      </c>
      <c r="AV41" s="646" t="s">
        <v>6232</v>
      </c>
      <c r="AW41" s="646" t="s">
        <v>6233</v>
      </c>
      <c r="AX41" s="646" t="s">
        <v>6234</v>
      </c>
      <c r="AY41" s="657"/>
      <c r="AZ41" s="947">
        <f>IF($C41="","",IFERROR(SUMPRODUCT(('ANALYSE - ERP =&gt; SOUS-SEGMENT'!$C$8:$C$1000=$C41)*'ANALYSE - ERP =&gt; SOUS-SEGMENT'!$Q$8:$Q$1000*'ANALYSE - ERP =&gt; SOUS-SEGMENT'!$AF$8:$AF$1000*'ANALYSE - ERP =&gt; SOUS-SEGMENT'!$AZ$8:$AZ$1000)/SUMPRODUCT(('ANALYSE - ERP =&gt; SOUS-SEGMENT'!$C$8:$C$1000=$C41)*'ANALYSE - ERP =&gt; SOUS-SEGMENT'!$Q$8:$Q$1000*'ANALYSE - ERP =&gt; SOUS-SEGMENT'!$AF$8:$AF$1000),""))</f>
        <v>1.0336189848384971</v>
      </c>
      <c r="BA41" s="947">
        <f>IF($C41="","",IFERROR(SUMPRODUCT(('ANALYSE - ERP =&gt; SOUS-SEGMENT'!$C$8:$C$1000=$C41)*'ANALYSE - ERP =&gt; SOUS-SEGMENT'!$Q$8:$Q$1000*'ANALYSE - ERP =&gt; SOUS-SEGMENT'!$AF$8:$AF$1000*'ANALYSE - ERP =&gt; SOUS-SEGMENT'!$BA$8:$BA$1000)/SUMPRODUCT(('ANALYSE - ERP =&gt; SOUS-SEGMENT'!$C$8:$C$1000=$C41)*'ANALYSE - ERP =&gt; SOUS-SEGMENT'!$Q$8:$Q$1000*'ANALYSE - ERP =&gt; SOUS-SEGMENT'!$AF$8:$AF$1000),""))</f>
        <v>8.9650626235992084E-2</v>
      </c>
      <c r="BB41" s="947">
        <f>IF($C41="","",IFERROR(SUMPRODUCT(('ANALYSE - ERP =&gt; SOUS-SEGMENT'!$C$8:$C$1000=$C41)*'ANALYSE - ERP =&gt; SOUS-SEGMENT'!$Q$8:$Q$1000*'ANALYSE - ERP =&gt; SOUS-SEGMENT'!$AF$8:$AF$1000*'ANALYSE - ERP =&gt; SOUS-SEGMENT'!$BB$8:$BB$1000)/SUMPRODUCT(('ANALYSE - ERP =&gt; SOUS-SEGMENT'!$C$8:$C$1000=$C41)*'ANALYSE - ERP =&gt; SOUS-SEGMENT'!$Q$8:$Q$1000*'ANALYSE - ERP =&gt; SOUS-SEGMENT'!$AF$8:$AF$1000),""))</f>
        <v>0.51120632827949897</v>
      </c>
      <c r="BC41" s="947">
        <f>IF($C41="","",IFERROR(SUMPRODUCT(('ANALYSE - ERP =&gt; SOUS-SEGMENT'!$C$8:$C$1000=$C41)*'ANALYSE - ERP =&gt; SOUS-SEGMENT'!$Q$8:$Q$1000*'ANALYSE - ERP =&gt; SOUS-SEGMENT'!$AF$8:$AF$1000*'ANALYSE - ERP =&gt; SOUS-SEGMENT'!$BC$8:$BC$1000)/SUMPRODUCT(('ANALYSE - ERP =&gt; SOUS-SEGMENT'!$C$8:$C$1000=$C41)*'ANALYSE - ERP =&gt; SOUS-SEGMENT'!$Q$8:$Q$1000*'ANALYSE - ERP =&gt; SOUS-SEGMENT'!$AF$8:$AF$1000),""))</f>
        <v>1.0224126565589979</v>
      </c>
      <c r="BD41" s="826">
        <f t="shared" si="1"/>
        <v>40305</v>
      </c>
      <c r="BE41" s="283">
        <f>IF($C41="","",SUMPRODUCT(('ANALYSE - ERP =&gt; SOUS-SEGMENT'!$C$8:$C$1000=$C41)*'ANALYSE - ERP =&gt; SOUS-SEGMENT'!$Q$8:$Q$1000*'ANALYSE - ERP =&gt; SOUS-SEGMENT'!$BE$8:$BE$1000))</f>
        <v>15680</v>
      </c>
      <c r="BF41" s="283">
        <f>IF($C41="","",SUMPRODUCT(('ANALYSE - ERP =&gt; SOUS-SEGMENT'!$C$8:$C$1000=$C41)*'ANALYSE - ERP =&gt; SOUS-SEGMENT'!$Q$8:$Q$1000*'ANALYSE - ERP =&gt; SOUS-SEGMENT'!$BF$8:$BF$1000))</f>
        <v>1360</v>
      </c>
      <c r="BG41" s="283">
        <f>IF($C41="","",SUMPRODUCT(('ANALYSE - ERP =&gt; SOUS-SEGMENT'!$C$8:$C$1000=$C41)*'ANALYSE - ERP =&gt; SOUS-SEGMENT'!$Q$8:$Q$1000*'ANALYSE - ERP =&gt; SOUS-SEGMENT'!$BG$8:$BG$1000))</f>
        <v>7755</v>
      </c>
      <c r="BH41" s="283">
        <f>IF($C41="","",SUMPRODUCT(('ANALYSE - ERP =&gt; SOUS-SEGMENT'!$C$8:$C$1000=$C41)*'ANALYSE - ERP =&gt; SOUS-SEGMENT'!$Q$8:$Q$1000*'ANALYSE - ERP =&gt; SOUS-SEGMENT'!$BH$8:$BH$1000))</f>
        <v>15510</v>
      </c>
      <c r="BI41" s="826">
        <f t="shared" si="2"/>
        <v>41472.5</v>
      </c>
      <c r="BJ41" s="283">
        <f>IF($C41="","",SUMPRODUCT(('ANALYSE - ERP =&gt; SOUS-SEGMENT'!$C$8:$C$1000=$C41)*'ANALYSE - ERP =&gt; SOUS-SEGMENT'!$Q$8:$Q$1000*'ANALYSE - ERP =&gt; SOUS-SEGMENT'!$BJ$8:$BJ$1000))</f>
        <v>16160</v>
      </c>
      <c r="BK41" s="283">
        <f>IF($C41="","",SUMPRODUCT(('ANALYSE - ERP =&gt; SOUS-SEGMENT'!$C$8:$C$1000=$C41)*'ANALYSE - ERP =&gt; SOUS-SEGMENT'!$Q$8:$Q$1000*'ANALYSE - ERP =&gt; SOUS-SEGMENT'!$BK$8:$BK$1000))</f>
        <v>1320</v>
      </c>
      <c r="BL41" s="283">
        <f>IF($C41="","",SUMPRODUCT(('ANALYSE - ERP =&gt; SOUS-SEGMENT'!$C$8:$C$1000=$C41)*'ANALYSE - ERP =&gt; SOUS-SEGMENT'!$Q$8:$Q$1000*'ANALYSE - ERP =&gt; SOUS-SEGMENT'!$BL$8:$BL$1000))</f>
        <v>7997.5</v>
      </c>
      <c r="BM41" s="283">
        <f>IF($C41="","",SUMPRODUCT(('ANALYSE - ERP =&gt; SOUS-SEGMENT'!$C$8:$C$1000=$C41)*'ANALYSE - ERP =&gt; SOUS-SEGMENT'!$Q$8:$Q$1000*'ANALYSE - ERP =&gt; SOUS-SEGMENT'!$BM$8:$BM$1000))</f>
        <v>15995</v>
      </c>
      <c r="BN41" s="657"/>
      <c r="BO41" s="305">
        <f t="shared" si="3"/>
        <v>5.303571428571429E-2</v>
      </c>
      <c r="BP41" s="305">
        <f t="shared" si="4"/>
        <v>0.55650510204081638</v>
      </c>
      <c r="BQ41" s="305">
        <f t="shared" si="5"/>
        <v>8.0867346938775508E-2</v>
      </c>
      <c r="BR41" s="581">
        <f t="shared" si="6"/>
        <v>0.30959183673469387</v>
      </c>
      <c r="BS41" s="706">
        <f t="shared" si="7"/>
        <v>5.204207920792079E-2</v>
      </c>
      <c r="BT41" s="305">
        <f t="shared" si="8"/>
        <v>0.5457178217821782</v>
      </c>
      <c r="BU41" s="305">
        <f t="shared" si="9"/>
        <v>9.2450495049504949E-2</v>
      </c>
      <c r="BV41" s="581">
        <f t="shared" si="10"/>
        <v>0.30978960396039601</v>
      </c>
      <c r="BW41" s="713">
        <f t="shared" si="11"/>
        <v>0.08</v>
      </c>
      <c r="BX41" s="306">
        <f t="shared" si="12"/>
        <v>0.82000000000000006</v>
      </c>
      <c r="BY41" s="590">
        <f t="shared" si="13"/>
        <v>0.1</v>
      </c>
      <c r="BZ41" s="713">
        <f t="shared" si="14"/>
        <v>6.0000000000000005E-2</v>
      </c>
      <c r="CA41" s="306">
        <f t="shared" si="15"/>
        <v>0.78999999999999992</v>
      </c>
      <c r="CB41" s="590">
        <f t="shared" si="16"/>
        <v>0.15</v>
      </c>
      <c r="CC41" s="706">
        <f t="shared" si="17"/>
        <v>0.05</v>
      </c>
      <c r="CD41" s="305">
        <f t="shared" si="18"/>
        <v>0.72000000000000008</v>
      </c>
      <c r="CE41" s="305">
        <f t="shared" si="19"/>
        <v>0.08</v>
      </c>
      <c r="CF41" s="581">
        <f t="shared" si="20"/>
        <v>0.15</v>
      </c>
      <c r="CG41" s="706">
        <f t="shared" si="21"/>
        <v>3.9999999999999994E-2</v>
      </c>
      <c r="CH41" s="305">
        <f t="shared" si="22"/>
        <v>0.72</v>
      </c>
      <c r="CI41" s="305">
        <f t="shared" si="23"/>
        <v>0.1</v>
      </c>
      <c r="CJ41" s="581">
        <f t="shared" si="24"/>
        <v>0.14000000000000001</v>
      </c>
      <c r="CK41" s="719">
        <f t="shared" si="25"/>
        <v>0.10493230174081238</v>
      </c>
      <c r="CL41" s="307">
        <f t="shared" si="26"/>
        <v>0.6467117988394584</v>
      </c>
      <c r="CM41" s="723">
        <f t="shared" si="27"/>
        <v>0.24835589941972921</v>
      </c>
      <c r="CN41" s="719">
        <f t="shared" si="28"/>
        <v>5.4642075648640202E-2</v>
      </c>
      <c r="CO41" s="307">
        <f t="shared" si="29"/>
        <v>0.6472147546108159</v>
      </c>
      <c r="CP41" s="723">
        <f t="shared" si="30"/>
        <v>0.29814316974054395</v>
      </c>
      <c r="CQ41" s="657"/>
      <c r="CR41" s="804">
        <f>IF($C41="","",IFERROR(SUMPRODUCT(('ANALYSE - ERP =&gt; SOUS-SEGMENT'!$C$8:$C$1000=$C41)*'ANALYSE - ERP =&gt; SOUS-SEGMENT'!$Q$8:$Q$1000*'ANALYSE - ERP =&gt; SOUS-SEGMENT'!$DH$8:$DH$1000*'ANALYSE - ERP =&gt; SOUS-SEGMENT'!$CR$8:$CR$1000)/SUMPRODUCT(('ANALYSE - ERP =&gt; SOUS-SEGMENT'!$C$8:$C$1000=$C41)*'ANALYSE - ERP =&gt; SOUS-SEGMENT'!$Q$8:$Q$1000*'ANALYSE - ERP =&gt; SOUS-SEGMENT'!$DH$8:$DH$1000),""))</f>
        <v>9</v>
      </c>
      <c r="CS41" s="805">
        <f>IF($C41="","",IFERROR(SUMPRODUCT(('ANALYSE - ERP =&gt; SOUS-SEGMENT'!$C$8:$C$1000=$C41)*'ANALYSE - ERP =&gt; SOUS-SEGMENT'!$Q$8:$Q$1000*'ANALYSE - ERP =&gt; SOUS-SEGMENT'!$DI$8:$DI$1000*'ANALYSE - ERP =&gt; SOUS-SEGMENT'!$CS$8:$CS$1000)/SUMPRODUCT(('ANALYSE - ERP =&gt; SOUS-SEGMENT'!$C$8:$C$1000=$C41)*'ANALYSE - ERP =&gt; SOUS-SEGMENT'!$Q$8:$Q$1000*'ANALYSE - ERP =&gt; SOUS-SEGMENT'!$DI$8:$DI$1000),""))</f>
        <v>10.054549621819849</v>
      </c>
      <c r="CT41" s="805">
        <f>IF($C41="","",IFERROR(SUMPRODUCT(('ANALYSE - ERP =&gt; SOUS-SEGMENT'!$C$8:$C$1000=$C41)*'ANALYSE - ERP =&gt; SOUS-SEGMENT'!$Q$8:$Q$1000*'ANALYSE - ERP =&gt; SOUS-SEGMENT'!$DJ$8:$DJ$1000*'ANALYSE - ERP =&gt; SOUS-SEGMENT'!$CT$8:$CT$1000)/SUMPRODUCT(('ANALYSE - ERP =&gt; SOUS-SEGMENT'!$C$8:$C$1000=$C41)*'ANALYSE - ERP =&gt; SOUS-SEGMENT'!$Q$8:$Q$1000*'ANALYSE - ERP =&gt; SOUS-SEGMENT'!$DJ$8:$DJ$1000),""))</f>
        <v>7.0536277602523656</v>
      </c>
      <c r="CU41" s="806">
        <f>IF($C41="","",IFERROR(SUMPRODUCT(('ANALYSE - ERP =&gt; SOUS-SEGMENT'!$C$8:$C$1000=$C41)*'ANALYSE - ERP =&gt; SOUS-SEGMENT'!$Q$8:$Q$1000*'ANALYSE - ERP =&gt; SOUS-SEGMENT'!$DK$8:$DK$1000*'ANALYSE - ERP =&gt; SOUS-SEGMENT'!$CU$8:$CU$1000)/SUMPRODUCT(('ANALYSE - ERP =&gt; SOUS-SEGMENT'!$C$8:$C$1000=$C41)*'ANALYSE - ERP =&gt; SOUS-SEGMENT'!$Q$8:$Q$1000*'ANALYSE - ERP =&gt; SOUS-SEGMENT'!$DK$8:$DK$1000),""))</f>
        <v>9</v>
      </c>
      <c r="CV41" s="804">
        <f>IF($C41="","",IFERROR(SUMPRODUCT(('ANALYSE - ERP =&gt; SOUS-SEGMENT'!$C$8:$C$1000=$C41)*'ANALYSE - ERP =&gt; SOUS-SEGMENT'!$Q$8:$Q$1000*'ANALYSE - ERP =&gt; SOUS-SEGMENT'!$DS$8:$DS$1000*'ANALYSE - ERP =&gt; SOUS-SEGMENT'!$CV$8:$CV$1000)/SUMPRODUCT(('ANALYSE - ERP =&gt; SOUS-SEGMENT'!$C$8:$C$1000=$C41)*'ANALYSE - ERP =&gt; SOUS-SEGMENT'!$Q$8:$Q$1000*'ANALYSE - ERP =&gt; SOUS-SEGMENT'!$DS$8:$DS$1000),""))</f>
        <v>8</v>
      </c>
      <c r="CW41" s="805">
        <f>IF($C41="","",IFERROR(SUMPRODUCT(('ANALYSE - ERP =&gt; SOUS-SEGMENT'!$C$8:$C$1000=$C41)*'ANALYSE - ERP =&gt; SOUS-SEGMENT'!$Q$8:$Q$1000*'ANALYSE - ERP =&gt; SOUS-SEGMENT'!$DT$8:$DT$1000*'ANALYSE - ERP =&gt; SOUS-SEGMENT'!$CW$8:$CW$1000)/SUMPRODUCT(('ANALYSE - ERP =&gt; SOUS-SEGMENT'!$C$8:$C$1000=$C41)*'ANALYSE - ERP =&gt; SOUS-SEGMENT'!$Q$8:$Q$1000*'ANALYSE - ERP =&gt; SOUS-SEGMENT'!$DT$8:$DT$1000),""))</f>
        <v>8</v>
      </c>
      <c r="CX41" s="806">
        <f>IF($C41="","",IFERROR(SUMPRODUCT(('ANALYSE - ERP =&gt; SOUS-SEGMENT'!$C$8:$C$1000=$C41)*'ANALYSE - ERP =&gt; SOUS-SEGMENT'!$Q$8:$Q$1000*'ANALYSE - ERP =&gt; SOUS-SEGMENT'!$DU$8:$DU$1000*'ANALYSE - ERP =&gt; SOUS-SEGMENT'!$CX$8:$CX$1000)/SUMPRODUCT(('ANALYSE - ERP =&gt; SOUS-SEGMENT'!$C$8:$C$1000=$C41)*'ANALYSE - ERP =&gt; SOUS-SEGMENT'!$Q$8:$Q$1000*'ANALYSE - ERP =&gt; SOUS-SEGMENT'!$DU$8:$DU$1000),""))</f>
        <v>6</v>
      </c>
      <c r="CY41" s="804">
        <f>IF($C41="","",IFERROR(SUMPRODUCT(('ANALYSE - ERP =&gt; SOUS-SEGMENT'!$C$8:$C$1000=$C41)*'ANALYSE - ERP =&gt; SOUS-SEGMENT'!$Q$8:$Q$1000*'ANALYSE - ERP =&gt; SOUS-SEGMENT'!$EB$8:$EB$1000*'ANALYSE - ERP =&gt; SOUS-SEGMENT'!$CY$8:$CY$1000)/SUMPRODUCT(('ANALYSE - ERP =&gt; SOUS-SEGMENT'!$C$8:$C$1000=$C41)*'ANALYSE - ERP =&gt; SOUS-SEGMENT'!$Q$8:$Q$1000*'ANALYSE - ERP =&gt; SOUS-SEGMENT'!$EB$8:$EB$1000),""))</f>
        <v>8</v>
      </c>
      <c r="CZ41" s="805">
        <f>IF($C41="","",IFERROR(SUMPRODUCT(('ANALYSE - ERP =&gt; SOUS-SEGMENT'!$C$8:$C$1000=$C41)*'ANALYSE - ERP =&gt; SOUS-SEGMENT'!$Q$8:$Q$1000*'ANALYSE - ERP =&gt; SOUS-SEGMENT'!$EC$8:$EC$1000*'ANALYSE - ERP =&gt; SOUS-SEGMENT'!$CZ$8:$CZ$1000)/SUMPRODUCT(('ANALYSE - ERP =&gt; SOUS-SEGMENT'!$C$8:$C$1000=$C41)*'ANALYSE - ERP =&gt; SOUS-SEGMENT'!$Q$8:$Q$1000*'ANALYSE - ERP =&gt; SOUS-SEGMENT'!$EC$8:$EC$1000),""))</f>
        <v>9</v>
      </c>
      <c r="DA41" s="805">
        <f>IF($C41="","",IFERROR(SUMPRODUCT(('ANALYSE - ERP =&gt; SOUS-SEGMENT'!$C$8:$C$1000=$C41)*'ANALYSE - ERP =&gt; SOUS-SEGMENT'!$Q$8:$Q$1000*'ANALYSE - ERP =&gt; SOUS-SEGMENT'!$ED$8:$ED$1000*'ANALYSE - ERP =&gt; SOUS-SEGMENT'!$DA$8:$DA$1000)/SUMPRODUCT(('ANALYSE - ERP =&gt; SOUS-SEGMENT'!$C$8:$C$1000=$C41)*'ANALYSE - ERP =&gt; SOUS-SEGMENT'!$Q$8:$Q$1000*'ANALYSE - ERP =&gt; SOUS-SEGMENT'!$ED$8:$ED$1000),""))</f>
        <v>6</v>
      </c>
      <c r="DB41" s="806">
        <f>IF($C41="","",IFERROR(SUMPRODUCT(('ANALYSE - ERP =&gt; SOUS-SEGMENT'!$C$8:$C$1000=$C41)*'ANALYSE - ERP =&gt; SOUS-SEGMENT'!$Q$8:$Q$1000*'ANALYSE - ERP =&gt; SOUS-SEGMENT'!$EE$8:$EE$1000*'ANALYSE - ERP =&gt; SOUS-SEGMENT'!$DB$8:$DB$1000)/SUMPRODUCT(('ANALYSE - ERP =&gt; SOUS-SEGMENT'!$C$8:$C$1000=$C41)*'ANALYSE - ERP =&gt; SOUS-SEGMENT'!$Q$8:$Q$1000*'ANALYSE - ERP =&gt; SOUS-SEGMENT'!$EE$8:$EE$1000),""))</f>
        <v>8</v>
      </c>
      <c r="DC41" s="804">
        <f>IF($C41="","",IFERROR(SUMPRODUCT(('ANALYSE - ERP =&gt; SOUS-SEGMENT'!$C$8:$C$1000=$C41)*'ANALYSE - ERP =&gt; SOUS-SEGMENT'!$Q$8:$Q$1000*'ANALYSE - ERP =&gt; SOUS-SEGMENT'!$EM$8:$EM$1000*'ANALYSE - ERP =&gt; SOUS-SEGMENT'!$DC$8:$DC$1000)/SUMPRODUCT(('ANALYSE - ERP =&gt; SOUS-SEGMENT'!$C$8:$C$1000=$C41)*'ANALYSE - ERP =&gt; SOUS-SEGMENT'!$Q$8:$Q$1000*'ANALYSE - ERP =&gt; SOUS-SEGMENT'!$EM$8:$EM$1000),""))</f>
        <v>9</v>
      </c>
      <c r="DD41" s="805">
        <f>IF($C41="","",IFERROR(SUMPRODUCT(('ANALYSE - ERP =&gt; SOUS-SEGMENT'!$C$8:$C$1000=$C41)*'ANALYSE - ERP =&gt; SOUS-SEGMENT'!$Q$8:$Q$1000*'ANALYSE - ERP =&gt; SOUS-SEGMENT'!$EN$8:$EN$1000*'ANALYSE - ERP =&gt; SOUS-SEGMENT'!$DD$8:$DD$1000)/SUMPRODUCT(('ANALYSE - ERP =&gt; SOUS-SEGMENT'!$C$8:$C$1000=$C41)*'ANALYSE - ERP =&gt; SOUS-SEGMENT'!$Q$8:$Q$1000*'ANALYSE - ERP =&gt; SOUS-SEGMENT'!$EN$8:$EN$1000),""))</f>
        <v>10.055929415283385</v>
      </c>
      <c r="DE41" s="806">
        <f>IF($C41="","",IFERROR(SUMPRODUCT(('ANALYSE - ERP =&gt; SOUS-SEGMENT'!$C$8:$C$1000=$C41)*'ANALYSE - ERP =&gt; SOUS-SEGMENT'!$Q$8:$Q$1000*'ANALYSE - ERP =&gt; SOUS-SEGMENT'!$EO$8:$EO$1000*'ANALYSE - ERP =&gt; SOUS-SEGMENT'!$DE$8:$DE$1000)/SUMPRODUCT(('ANALYSE - ERP =&gt; SOUS-SEGMENT'!$C$8:$C$1000=$C41)*'ANALYSE - ERP =&gt; SOUS-SEGMENT'!$Q$8:$Q$1000*'ANALYSE - ERP =&gt; SOUS-SEGMENT'!$EO$8:$EO$1000),""))</f>
        <v>7.0529595015576323</v>
      </c>
      <c r="DF41" s="919" t="s">
        <v>6235</v>
      </c>
      <c r="DG41" s="657"/>
      <c r="DH41" s="308">
        <f>IF($C41="","",SUMPRODUCT(('ANALYSE - ERP =&gt; SOUS-SEGMENT'!$C$8:$C$1000=$C41)*'ANALYSE - ERP =&gt; SOUS-SEGMENT'!$Q$8:$Q$1000*'ANALYSE - ERP =&gt; SOUS-SEGMENT'!$DH$8:$DH$1000))</f>
        <v>831.6</v>
      </c>
      <c r="DI41" s="308">
        <f>IF($C41="","",SUMPRODUCT(('ANALYSE - ERP =&gt; SOUS-SEGMENT'!$C$8:$C$1000=$C41)*'ANALYSE - ERP =&gt; SOUS-SEGMENT'!$Q$8:$Q$1000*'ANALYSE - ERP =&gt; SOUS-SEGMENT'!$DI$8:$DI$1000))</f>
        <v>8726</v>
      </c>
      <c r="DJ41" s="308">
        <f>IF($C41="","",SUMPRODUCT(('ANALYSE - ERP =&gt; SOUS-SEGMENT'!$C$8:$C$1000=$C41)*'ANALYSE - ERP =&gt; SOUS-SEGMENT'!$Q$8:$Q$1000*'ANALYSE - ERP =&gt; SOUS-SEGMENT'!$DJ$8:$DJ$1000))</f>
        <v>1268</v>
      </c>
      <c r="DK41" s="308">
        <f>IF($C41="","",SUMPRODUCT(('ANALYSE - ERP =&gt; SOUS-SEGMENT'!$C$8:$C$1000=$C41)*'ANALYSE - ERP =&gt; SOUS-SEGMENT'!$Q$8:$Q$1000*'ANALYSE - ERP =&gt; SOUS-SEGMENT'!$DK$8:$DK$1000))</f>
        <v>4854.3999999999996</v>
      </c>
      <c r="DL41" s="646" t="s">
        <v>6236</v>
      </c>
      <c r="DM41" s="308">
        <f>IF($C41="","",SUMPRODUCT(('ANALYSE - ERP =&gt; SOUS-SEGMENT'!$C$8:$C$1000=$C41)*'ANALYSE - ERP =&gt; SOUS-SEGMENT'!$Q$8:$Q$1000*'ANALYSE - ERP =&gt; SOUS-SEGMENT'!$DM$8:$DM$1000))</f>
        <v>841</v>
      </c>
      <c r="DN41" s="308">
        <f>IF($C41="","",SUMPRODUCT(('ANALYSE - ERP =&gt; SOUS-SEGMENT'!$C$8:$C$1000=$C41)*'ANALYSE - ERP =&gt; SOUS-SEGMENT'!$Q$8:$Q$1000*'ANALYSE - ERP =&gt; SOUS-SEGMENT'!$DN$8:$DN$1000))</f>
        <v>8818.7999999999993</v>
      </c>
      <c r="DO41" s="308">
        <f>IF($C41="","",SUMPRODUCT(('ANALYSE - ERP =&gt; SOUS-SEGMENT'!$C$8:$C$1000=$C41)*'ANALYSE - ERP =&gt; SOUS-SEGMENT'!$Q$8:$Q$1000*'ANALYSE - ERP =&gt; SOUS-SEGMENT'!$DO$8:$DO$1000))</f>
        <v>1494</v>
      </c>
      <c r="DP41" s="308">
        <f>IF($C41="","",SUMPRODUCT(('ANALYSE - ERP =&gt; SOUS-SEGMENT'!$C$8:$C$1000=$C41)*'ANALYSE - ERP =&gt; SOUS-SEGMENT'!$Q$8:$Q$1000*'ANALYSE - ERP =&gt; SOUS-SEGMENT'!$DP$8:$DP$1000))</f>
        <v>5006.2</v>
      </c>
      <c r="DQ41" s="646" t="s">
        <v>6237</v>
      </c>
      <c r="DR41" s="657"/>
      <c r="DS41" s="308">
        <f>IF($C41="","",SUMPRODUCT(('ANALYSE - ERP =&gt; SOUS-SEGMENT'!$C$8:$C$1000=$C41)*'ANALYSE - ERP =&gt; SOUS-SEGMENT'!$Q$8:$Q$1000*'ANALYSE - ERP =&gt; SOUS-SEGMENT'!$DS$8:$DS$1000))</f>
        <v>108.8</v>
      </c>
      <c r="DT41" s="308">
        <f>IF($C41="","",SUMPRODUCT(('ANALYSE - ERP =&gt; SOUS-SEGMENT'!$C$8:$C$1000=$C41)*'ANALYSE - ERP =&gt; SOUS-SEGMENT'!$Q$8:$Q$1000*'ANALYSE - ERP =&gt; SOUS-SEGMENT'!$DT$8:$DT$1000))</f>
        <v>1115.2</v>
      </c>
      <c r="DU41" s="308">
        <f>IF($C41="","",SUMPRODUCT(('ANALYSE - ERP =&gt; SOUS-SEGMENT'!$C$8:$C$1000=$C41)*'ANALYSE - ERP =&gt; SOUS-SEGMENT'!$Q$8:$Q$1000*'ANALYSE - ERP =&gt; SOUS-SEGMENT'!$DU$8:$DU$1000))</f>
        <v>136</v>
      </c>
      <c r="DV41" s="646" t="s">
        <v>6238</v>
      </c>
      <c r="DW41" s="308">
        <f>IF($C41="","",SUMPRODUCT(('ANALYSE - ERP =&gt; SOUS-SEGMENT'!$C$8:$C$1000=$C41)*'ANALYSE - ERP =&gt; SOUS-SEGMENT'!$Q$8:$Q$1000*'ANALYSE - ERP =&gt; SOUS-SEGMENT'!$DW$8:$DW$1000))</f>
        <v>79.2</v>
      </c>
      <c r="DX41" s="308">
        <f>IF($C41="","",SUMPRODUCT(('ANALYSE - ERP =&gt; SOUS-SEGMENT'!$C$8:$C$1000=$C41)*'ANALYSE - ERP =&gt; SOUS-SEGMENT'!$Q$8:$Q$1000*'ANALYSE - ERP =&gt; SOUS-SEGMENT'!$DX$8:$DX$1000))</f>
        <v>1042.8</v>
      </c>
      <c r="DY41" s="308">
        <f>IF($C41="","",SUMPRODUCT(('ANALYSE - ERP =&gt; SOUS-SEGMENT'!$C$8:$C$1000=$C41)*'ANALYSE - ERP =&gt; SOUS-SEGMENT'!$Q$8:$Q$1000*'ANALYSE - ERP =&gt; SOUS-SEGMENT'!$DY$8:$DY$1000))</f>
        <v>198</v>
      </c>
      <c r="DZ41" s="646" t="s">
        <v>6239</v>
      </c>
      <c r="EA41" s="657"/>
      <c r="EB41" s="308">
        <f>IF($C41="","",SUMPRODUCT(('ANALYSE - ERP =&gt; SOUS-SEGMENT'!$C$8:$C$1000=$C41)*'ANALYSE - ERP =&gt; SOUS-SEGMENT'!$Q$8:$Q$1000*'ANALYSE - ERP =&gt; SOUS-SEGMENT'!$EB$8:$EB$1000))</f>
        <v>387.75</v>
      </c>
      <c r="EC41" s="308">
        <f>IF($C41="","",SUMPRODUCT(('ANALYSE - ERP =&gt; SOUS-SEGMENT'!$C$8:$C$1000=$C41)*'ANALYSE - ERP =&gt; SOUS-SEGMENT'!$Q$8:$Q$1000*'ANALYSE - ERP =&gt; SOUS-SEGMENT'!$EC$8:$EC$1000))</f>
        <v>5583.6</v>
      </c>
      <c r="ED41" s="308">
        <f>IF($C41="","",SUMPRODUCT(('ANALYSE - ERP =&gt; SOUS-SEGMENT'!$C$8:$C$1000=$C41)*'ANALYSE - ERP =&gt; SOUS-SEGMENT'!$Q$8:$Q$1000*'ANALYSE - ERP =&gt; SOUS-SEGMENT'!$ED$8:$ED$1000))</f>
        <v>620.4</v>
      </c>
      <c r="EE41" s="308">
        <f>IF($C41="","",SUMPRODUCT(('ANALYSE - ERP =&gt; SOUS-SEGMENT'!$C$8:$C$1000=$C41)*'ANALYSE - ERP =&gt; SOUS-SEGMENT'!$Q$8:$Q$1000*'ANALYSE - ERP =&gt; SOUS-SEGMENT'!$EE$8:$EE$1000))</f>
        <v>1163.25</v>
      </c>
      <c r="EF41" s="646" t="s">
        <v>6240</v>
      </c>
      <c r="EG41" s="308">
        <f>IF($C41="","",SUMPRODUCT(('ANALYSE - ERP =&gt; SOUS-SEGMENT'!$C$8:$C$1000=$C41)*'ANALYSE - ERP =&gt; SOUS-SEGMENT'!$Q$8:$Q$1000*'ANALYSE - ERP =&gt; SOUS-SEGMENT'!$EG$8:$EG$1000))</f>
        <v>319.89999999999998</v>
      </c>
      <c r="EH41" s="308">
        <f>IF($C41="","",SUMPRODUCT(('ANALYSE - ERP =&gt; SOUS-SEGMENT'!$C$8:$C$1000=$C41)*'ANALYSE - ERP =&gt; SOUS-SEGMENT'!$Q$8:$Q$1000*'ANALYSE - ERP =&gt; SOUS-SEGMENT'!$EH$8:$EH$1000))</f>
        <v>5758.2</v>
      </c>
      <c r="EI41" s="308">
        <f>IF($C41="","",SUMPRODUCT(('ANALYSE - ERP =&gt; SOUS-SEGMENT'!$C$8:$C$1000=$C41)*'ANALYSE - ERP =&gt; SOUS-SEGMENT'!$Q$8:$Q$1000*'ANALYSE - ERP =&gt; SOUS-SEGMENT'!$EI$8:$EI$1000))</f>
        <v>799.75</v>
      </c>
      <c r="EJ41" s="308">
        <f>IF($C41="","",SUMPRODUCT(('ANALYSE - ERP =&gt; SOUS-SEGMENT'!$C$8:$C$1000=$C41)*'ANALYSE - ERP =&gt; SOUS-SEGMENT'!$Q$8:$Q$1000*'ANALYSE - ERP =&gt; SOUS-SEGMENT'!$EJ$8:$EJ$1000))</f>
        <v>1119.6500000000001</v>
      </c>
      <c r="EK41" s="936" t="s">
        <v>6241</v>
      </c>
      <c r="EL41" s="657"/>
      <c r="EM41" s="308">
        <f>IF($C41="","",SUMPRODUCT(('ANALYSE - ERP =&gt; SOUS-SEGMENT'!$C$8:$C$1000=$C41)*'ANALYSE - ERP =&gt; SOUS-SEGMENT'!$Q$8:$Q$1000*'ANALYSE - ERP =&gt; SOUS-SEGMENT'!$EM$8:$EM$1000))</f>
        <v>1627.5</v>
      </c>
      <c r="EN41" s="310">
        <f>IF($C41="","",SUMPRODUCT(('ANALYSE - ERP =&gt; SOUS-SEGMENT'!$C$8:$C$1000=$C41)*'ANALYSE - ERP =&gt; SOUS-SEGMENT'!$Q$8:$Q$1000*'ANALYSE - ERP =&gt; SOUS-SEGMENT'!$EN$8:$EN$1000))</f>
        <v>10030.5</v>
      </c>
      <c r="EO41" s="310">
        <f>IF($C41="","",SUMPRODUCT(('ANALYSE - ERP =&gt; SOUS-SEGMENT'!$C$8:$C$1000=$C41)*'ANALYSE - ERP =&gt; SOUS-SEGMENT'!$Q$8:$Q$1000*'ANALYSE - ERP =&gt; SOUS-SEGMENT'!$EO$8:$EO$1000))</f>
        <v>3852</v>
      </c>
      <c r="EP41" s="646" t="s">
        <v>6242</v>
      </c>
      <c r="EQ41" s="308">
        <f>IF($C41="","",SUMPRODUCT(('ANALYSE - ERP =&gt; SOUS-SEGMENT'!$C$8:$C$1000=$C41)*'ANALYSE - ERP =&gt; SOUS-SEGMENT'!$Q$8:$Q$1000*'ANALYSE - ERP =&gt; SOUS-SEGMENT'!$EQ$8:$EQ$1000))</f>
        <v>874</v>
      </c>
      <c r="ER41" s="310">
        <f>IF($C41="","",SUMPRODUCT(('ANALYSE - ERP =&gt; SOUS-SEGMENT'!$C$8:$C$1000=$C41)*'ANALYSE - ERP =&gt; SOUS-SEGMENT'!$Q$8:$Q$1000*'ANALYSE - ERP =&gt; SOUS-SEGMENT'!$ER$8:$ER$1000))</f>
        <v>10352.200000000001</v>
      </c>
      <c r="ES41" s="310">
        <f>IF($C41="","",SUMPRODUCT(('ANALYSE - ERP =&gt; SOUS-SEGMENT'!$C$8:$C$1000=$C41)*'ANALYSE - ERP =&gt; SOUS-SEGMENT'!$Q$8:$Q$1000*'ANALYSE - ERP =&gt; SOUS-SEGMENT'!$ES$8:$ES$1000))</f>
        <v>4768.8</v>
      </c>
      <c r="ET41" s="646" t="s">
        <v>6243</v>
      </c>
      <c r="EU41" s="657"/>
      <c r="EV41" s="728">
        <f t="shared" si="31"/>
        <v>0.80629924861203883</v>
      </c>
      <c r="EW41" s="728">
        <f t="shared" si="32"/>
        <v>0.1937007513879612</v>
      </c>
      <c r="EX41" s="311">
        <f t="shared" si="33"/>
        <v>21297.479077597403</v>
      </c>
      <c r="EY41" s="311">
        <f t="shared" si="34"/>
        <v>17172.141377597403</v>
      </c>
      <c r="EZ41" s="311">
        <f t="shared" si="35"/>
        <v>4125.3377</v>
      </c>
      <c r="FA41" s="311">
        <f t="shared" si="36"/>
        <v>7953.5330418831163</v>
      </c>
      <c r="FB41" s="311">
        <f>IF($C41="","",SUMPRODUCT(('ANALYSE - ERP =&gt; SOUS-SEGMENT'!$C$8:$C$1000=$C41)*'ANALYSE - ERP =&gt; SOUS-SEGMENT'!$Q$8:$Q$1000*'ANALYSE - ERP =&gt; SOUS-SEGMENT'!$FB$8:$FB$1000))</f>
        <v>6325.1178418831169</v>
      </c>
      <c r="FC41" s="311">
        <f>IF($C41="","",SUMPRODUCT(('ANALYSE - ERP =&gt; SOUS-SEGMENT'!$C$8:$C$1000=$C41)*'ANALYSE - ERP =&gt; SOUS-SEGMENT'!$Q$8:$Q$1000*'ANALYSE - ERP =&gt; SOUS-SEGMENT'!$FC$8:$FC$1000))</f>
        <v>1628.4151999999999</v>
      </c>
      <c r="FD41" s="311">
        <f t="shared" si="37"/>
        <v>901.43039999999996</v>
      </c>
      <c r="FE41" s="311">
        <f>IF($C41="","",SUMPRODUCT(('ANALYSE - ERP =&gt; SOUS-SEGMENT'!$C$8:$C$1000=$C41)*'ANALYSE - ERP =&gt; SOUS-SEGMENT'!$Q$8:$Q$1000*'ANALYSE - ERP =&gt; SOUS-SEGMENT'!$FE$8:$FE$1000))</f>
        <v>834.6</v>
      </c>
      <c r="FF41" s="311">
        <f>IF($C41="","",SUMPRODUCT(('ANALYSE - ERP =&gt; SOUS-SEGMENT'!$C$8:$C$1000=$C41)*'ANALYSE - ERP =&gt; SOUS-SEGMENT'!$Q$8:$Q$1000*'ANALYSE - ERP =&gt; SOUS-SEGMENT'!$FF$8:$FF$1000))</f>
        <v>66.830399999999997</v>
      </c>
      <c r="FG41" s="311">
        <f t="shared" si="38"/>
        <v>4305.4929249999996</v>
      </c>
      <c r="FH41" s="311">
        <f>IF($C41="","",SUMPRODUCT(('ANALYSE - ERP =&gt; SOUS-SEGMENT'!$C$8:$C$1000=$C41)*'ANALYSE - ERP =&gt; SOUS-SEGMENT'!$Q$8:$Q$1000*'ANALYSE - ERP =&gt; SOUS-SEGMENT'!$FH$8:$FH$1000))</f>
        <v>3495.4622249999998</v>
      </c>
      <c r="FI41" s="311">
        <f>IF($C41="","",SUMPRODUCT(('ANALYSE - ERP =&gt; SOUS-SEGMENT'!$C$8:$C$1000=$C41)*'ANALYSE - ERP =&gt; SOUS-SEGMENT'!$Q$8:$Q$1000*'ANALYSE - ERP =&gt; SOUS-SEGMENT'!$FI$8:$FI$1000))</f>
        <v>810.03070000000002</v>
      </c>
      <c r="FJ41" s="311">
        <f t="shared" si="39"/>
        <v>8137.0227107142855</v>
      </c>
      <c r="FK41" s="311">
        <f>IF($C41="","",SUMPRODUCT(('ANALYSE - ERP =&gt; SOUS-SEGMENT'!$C$8:$C$1000=$C41)*'ANALYSE - ERP =&gt; SOUS-SEGMENT'!$Q$8:$Q$1000*'ANALYSE - ERP =&gt; SOUS-SEGMENT'!$FK$8:$FK$1000))</f>
        <v>6516.9613107142859</v>
      </c>
      <c r="FL41" s="311">
        <f>IF($C41="","",SUMPRODUCT(('ANALYSE - ERP =&gt; SOUS-SEGMENT'!$C$8:$C$1000=$C41)*'ANALYSE - ERP =&gt; SOUS-SEGMENT'!$Q$8:$Q$1000*'ANALYSE - ERP =&gt; SOUS-SEGMENT'!$FL$8:$FL$1000))</f>
        <v>1620.0614</v>
      </c>
      <c r="FM41" s="657"/>
      <c r="FN41" s="954" t="s">
        <v>6244</v>
      </c>
      <c r="FO41" s="728">
        <f>IF($C41="","",IFERROR(SUMPRODUCT(('ANALYSE - ERP =&gt; SOUS-SEGMENT'!$C$8:$C$1000=$C41)*'ANALYSE - ERP =&gt; SOUS-SEGMENT'!$Q$8:$Q$1000*'ANALYSE - ERP =&gt; SOUS-SEGMENT'!$AF$8:$AF$1000*'ANALYSE - ERP =&gt; SOUS-SEGMENT'!$FO$8:$FO$1000)/SUMPRODUCT(('ANALYSE - ERP =&gt; SOUS-SEGMENT'!$C$8:$C$1000=$C41)*'ANALYSE - ERP =&gt; SOUS-SEGMENT'!$Q$8:$Q$1000*'ANALYSE - ERP =&gt; SOUS-SEGMENT'!$AF$8:$AF$1000),""))</f>
        <v>7.2732617007251157E-2</v>
      </c>
      <c r="FP41" s="729">
        <f>IF($C41="","",IFERROR(SUMPRODUCT(('ANALYSE - ERP =&gt; SOUS-SEGMENT'!$C$8:$C$1000=$C41)*'ANALYSE - ERP =&gt; SOUS-SEGMENT'!$Q$8:$Q$1000*'ANALYSE - ERP =&gt; SOUS-SEGMENT'!$AF$8:$AF$1000*'ANALYSE - ERP =&gt; SOUS-SEGMENT'!$FP$8:$FP$1000)/SUMPRODUCT(('ANALYSE - ERP =&gt; SOUS-SEGMENT'!$C$8:$C$1000=$C41)*'ANALYSE - ERP =&gt; SOUS-SEGMENT'!$Q$8:$Q$1000*'ANALYSE - ERP =&gt; SOUS-SEGMENT'!$AF$8:$AF$1000),""))</f>
        <v>0.80893210283454187</v>
      </c>
      <c r="FQ41" s="954" t="s">
        <v>6245</v>
      </c>
      <c r="FR41" s="657"/>
      <c r="FS41" s="865">
        <f>IF($C41="","",IFERROR(SUMPRODUCT(('ANALYSE - ERP =&gt; SOUS-SEGMENT'!$C$8:$C$1000=$C41)*'ANALYSE - ERP =&gt; SOUS-SEGMENT'!$Q$8:$Q$1000*'ANALYSE - ERP =&gt; SOUS-SEGMENT'!$EX$8:$EX$1000*'ANALYSE - ERP =&gt; SOUS-SEGMENT'!$FS$8:$FS$1000)/SUMPRODUCT(('ANALYSE - ERP =&gt; SOUS-SEGMENT'!$C$8:$C$1000=$C41)*'ANALYSE - ERP =&gt; SOUS-SEGMENT'!$Q$8:$Q$1000*'ANALYSE - ERP =&gt; SOUS-SEGMENT'!$EX$8:$EX$1000),""))</f>
        <v>3.7702388320312363</v>
      </c>
      <c r="FT41" s="312">
        <f>IF($C41="","",RANK($FS41,$FS$8:$FS$43,0)+COUNTIF($FS$8:$FS41,$FS41)-1)</f>
        <v>3</v>
      </c>
      <c r="FU41" s="865">
        <f>IF($C41="","",IFERROR(SUMPRODUCT(('ANALYSE - ERP =&gt; SOUS-SEGMENT'!$C$8:$C$1000=$C41)*'ANALYSE - ERP =&gt; SOUS-SEGMENT'!$Q$8:$Q$1000*'ANALYSE - ERP =&gt; SOUS-SEGMENT'!$EY$8:$EY$1000*'ANALYSE - ERP =&gt; SOUS-SEGMENT'!$FU$8:$FU$1000)/SUMPRODUCT(('ANALYSE - ERP =&gt; SOUS-SEGMENT'!$C$8:$C$1000=$C41)*'ANALYSE - ERP =&gt; SOUS-SEGMENT'!$Q$8:$Q$1000*'ANALYSE - ERP =&gt; SOUS-SEGMENT'!$EY$8:$EY$1000),""))</f>
        <v>4.6702976589358025</v>
      </c>
      <c r="FV41" s="312">
        <f>IF($C41="","",RANK($FU41,$FU$8:$FU$43,0)+COUNTIF($FU$8:$FU41,$FU41)-1)</f>
        <v>1</v>
      </c>
      <c r="FW41" s="865">
        <f>IF($C41="","",IFERROR(SUMPRODUCT(('ANALYSE - ERP =&gt; SOUS-SEGMENT'!$C$8:$C$1000=$C41)*'ANALYSE - ERP =&gt; SOUS-SEGMENT'!$Q$8:$Q$1000*'ANALYSE - ERP =&gt; SOUS-SEGMENT'!$EZ$8:$EZ$1000*'ANALYSE - ERP =&gt; SOUS-SEGMENT'!$FW$8:$FW$1000)/SUMPRODUCT(('ANALYSE - ERP =&gt; SOUS-SEGMENT'!$C$8:$C$1000=$C41)*'ANALYSE - ERP =&gt; SOUS-SEGMENT'!$Q$8:$Q$1000*'ANALYSE - ERP =&gt; SOUS-SEGMENT'!$EZ$8:$EZ$1000),""))</f>
        <v>2.1916943626215133</v>
      </c>
      <c r="FX41" s="312">
        <f>IF($C41="","",RANK($FW41,$FW$8:$FW$43,0)+COUNTIF($FW$8:$FW41,$FW41)-1)</f>
        <v>18</v>
      </c>
      <c r="FY41" s="657"/>
      <c r="FZ41" s="646" t="s">
        <v>6246</v>
      </c>
      <c r="GA41" s="646" t="s">
        <v>6247</v>
      </c>
      <c r="GB41" s="646" t="s">
        <v>6248</v>
      </c>
      <c r="GC41" s="646" t="s">
        <v>6249</v>
      </c>
      <c r="GD41" s="646" t="s">
        <v>6250</v>
      </c>
      <c r="GE41" s="646" t="s">
        <v>6251</v>
      </c>
      <c r="GF41" s="276" t="s">
        <v>6252</v>
      </c>
      <c r="GG41" s="657"/>
      <c r="GH41" s="311">
        <f t="shared" si="40"/>
        <v>438.48626999999993</v>
      </c>
      <c r="GI41" s="311">
        <f>IF($C41="","",SUMPRODUCT(('ANALYSE - ERP =&gt; SOUS-SEGMENT'!$C$8:$C$1000=$C41)*'ANALYSE - ERP =&gt; SOUS-SEGMENT'!$Q$8:$Q$1000*'ANALYSE - ERP =&gt; SOUS-SEGMENT'!$GI$8:$GI$1000))</f>
        <v>355.39474999999993</v>
      </c>
      <c r="GJ41" s="311">
        <f>IF($C41="","",SUMPRODUCT(('ANALYSE - ERP =&gt; SOUS-SEGMENT'!$C$8:$C$1000=$C41)*'ANALYSE - ERP =&gt; SOUS-SEGMENT'!$Q$8:$Q$1000*'ANALYSE - ERP =&gt; SOUS-SEGMENT'!$GJ$8:$GJ$1000))</f>
        <v>83.091520000000003</v>
      </c>
      <c r="GK41" s="311">
        <f t="shared" si="41"/>
        <v>4125.2880564545449</v>
      </c>
      <c r="GL41" s="311">
        <f>IF($C41="","",SUMPRODUCT(('ANALYSE - ERP =&gt; SOUS-SEGMENT'!$C$8:$C$1000=$C41)*'ANALYSE - ERP =&gt; SOUS-SEGMENT'!$Q$8:$Q$1000*'ANALYSE - ERP =&gt; SOUS-SEGMENT'!$GL$8:$GL$1000))</f>
        <v>3241.2657204545449</v>
      </c>
      <c r="GM41" s="311">
        <f>IF($C41="","",SUMPRODUCT(('ANALYSE - ERP =&gt; SOUS-SEGMENT'!$C$8:$C$1000=$C41)*'ANALYSE - ERP =&gt; SOUS-SEGMENT'!$Q$8:$Q$1000*'ANALYSE - ERP =&gt; SOUS-SEGMENT'!$GM$8:$GM$1000))</f>
        <v>884.02233600000011</v>
      </c>
      <c r="GN41" s="311">
        <f t="shared" si="42"/>
        <v>852.92525142857141</v>
      </c>
      <c r="GO41" s="311">
        <f>IF($C41="","",SUMPRODUCT(('ANALYSE - ERP =&gt; SOUS-SEGMENT'!$C$8:$C$1000=$C41)*'ANALYSE - ERP =&gt; SOUS-SEGMENT'!$Q$8:$Q$1000*'ANALYSE - ERP =&gt; SOUS-SEGMENT'!$GO$8:$GO$1000))</f>
        <v>704.36297142857143</v>
      </c>
      <c r="GP41" s="311">
        <f>IF($C41="","",SUMPRODUCT(('ANALYSE - ERP =&gt; SOUS-SEGMENT'!$C$8:$C$1000=$C41)*'ANALYSE - ERP =&gt; SOUS-SEGMENT'!$Q$8:$Q$1000*'ANALYSE - ERP =&gt; SOUS-SEGMENT'!$GP$8:$GP$1000))</f>
        <v>148.56227999999999</v>
      </c>
      <c r="GQ41" s="311">
        <f t="shared" si="43"/>
        <v>2536.8334639999998</v>
      </c>
      <c r="GR41" s="311">
        <f>IF($C41="","",SUMPRODUCT(('ANALYSE - ERP =&gt; SOUS-SEGMENT'!$C$8:$C$1000=$C41)*'ANALYSE - ERP =&gt; SOUS-SEGMENT'!$Q$8:$Q$1000*'ANALYSE - ERP =&gt; SOUS-SEGMENT'!$GR$8:$GR$1000))</f>
        <v>2024.0944</v>
      </c>
      <c r="GS41" s="311">
        <f>IF($C41="","",SUMPRODUCT(('ANALYSE - ERP =&gt; SOUS-SEGMENT'!$C$8:$C$1000=$C41)*'ANALYSE - ERP =&gt; SOUS-SEGMENT'!$Q$8:$Q$1000*'ANALYSE - ERP =&gt; SOUS-SEGMENT'!$GS$8:$GS$1000))</f>
        <v>512.73906399999998</v>
      </c>
      <c r="GT41" s="311">
        <f t="shared" si="44"/>
        <v>68.809823999999992</v>
      </c>
      <c r="GU41" s="311">
        <f>IF($C41="","",SUMPRODUCT(('ANALYSE - ERP =&gt; SOUS-SEGMENT'!$C$8:$C$1000=$C41)*'ANALYSE - ERP =&gt; SOUS-SEGMENT'!$Q$8:$Q$1000*'ANALYSE - ERP =&gt; SOUS-SEGMENT'!$GU$8:$GU$1000))</f>
        <v>64.8</v>
      </c>
      <c r="GV41" s="311">
        <f>IF($C41="","",SUMPRODUCT(('ANALYSE - ERP =&gt; SOUS-SEGMENT'!$C$8:$C$1000=$C41)*'ANALYSE - ERP =&gt; SOUS-SEGMENT'!$Q$8:$Q$1000*'ANALYSE - ERP =&gt; SOUS-SEGMENT'!$GV$8:$GV$1000))</f>
        <v>4.0098240000000001</v>
      </c>
      <c r="GW41" s="311">
        <f t="shared" si="45"/>
        <v>716.99601600000005</v>
      </c>
      <c r="GX41" s="311">
        <f>IF($C41="","",SUMPRODUCT(('ANALYSE - ERP =&gt; SOUS-SEGMENT'!$C$8:$C$1000=$C41)*'ANALYSE - ERP =&gt; SOUS-SEGMENT'!$Q$8:$Q$1000*'ANALYSE - ERP =&gt; SOUS-SEGMENT'!$GX$8:$GX$1000))</f>
        <v>664.2</v>
      </c>
      <c r="GY41" s="311">
        <f>IF($C41="","",SUMPRODUCT(('ANALYSE - ERP =&gt; SOUS-SEGMENT'!$C$8:$C$1000=$C41)*'ANALYSE - ERP =&gt; SOUS-SEGMENT'!$Q$8:$Q$1000*'ANALYSE - ERP =&gt; SOUS-SEGMENT'!$GY$8:$GY$1000))</f>
        <v>52.796016000000002</v>
      </c>
      <c r="GZ41" s="311">
        <f t="shared" si="46"/>
        <v>115.62456000000002</v>
      </c>
      <c r="HA41" s="311">
        <f>IF($C41="","",SUMPRODUCT(('ANALYSE - ERP =&gt; SOUS-SEGMENT'!$C$8:$C$1000=$C41)*'ANALYSE - ERP =&gt; SOUS-SEGMENT'!$Q$8:$Q$1000*'ANALYSE - ERP =&gt; SOUS-SEGMENT'!$HA$8:$HA$1000))</f>
        <v>105.60000000000002</v>
      </c>
      <c r="HB41" s="311">
        <f>IF($C41="","",SUMPRODUCT(('ANALYSE - ERP =&gt; SOUS-SEGMENT'!$C$8:$C$1000=$C41)*'ANALYSE - ERP =&gt; SOUS-SEGMENT'!$Q$8:$Q$1000*'ANALYSE - ERP =&gt; SOUS-SEGMENT'!$HB$8:$HB$1000))</f>
        <v>10.024559999999999</v>
      </c>
      <c r="HC41" s="311">
        <f t="shared" si="47"/>
        <v>218.49038425000001</v>
      </c>
      <c r="HD41" s="311">
        <f>IF($C41="","",SUMPRODUCT(('ANALYSE - ERP =&gt; SOUS-SEGMENT'!$C$8:$C$1000=$C41)*'ANALYSE - ERP =&gt; SOUS-SEGMENT'!$Q$8:$Q$1000*'ANALYSE - ERP =&gt; SOUS-SEGMENT'!$HD$8:$HD$1000))</f>
        <v>186.08915625</v>
      </c>
      <c r="HE41" s="311">
        <f>IF($C41="","",SUMPRODUCT(('ANALYSE - ERP =&gt; SOUS-SEGMENT'!$C$8:$C$1000=$C41)*'ANALYSE - ERP =&gt; SOUS-SEGMENT'!$Q$8:$Q$1000*'ANALYSE - ERP =&gt; SOUS-SEGMENT'!$HE$8:$HE$1000))</f>
        <v>32.401228000000003</v>
      </c>
      <c r="HF41" s="311">
        <f t="shared" si="48"/>
        <v>2925.8483040000001</v>
      </c>
      <c r="HG41" s="311">
        <f>IF($C41="","",SUMPRODUCT(('ANALYSE - ERP =&gt; SOUS-SEGMENT'!$C$8:$C$1000=$C41)*'ANALYSE - ERP =&gt; SOUS-SEGMENT'!$Q$8:$Q$1000*'ANALYSE - ERP =&gt; SOUS-SEGMENT'!$HG$8:$HG$1000))</f>
        <v>2342.6262000000002</v>
      </c>
      <c r="HH41" s="311">
        <f>IF($C41="","",SUMPRODUCT(('ANALYSE - ERP =&gt; SOUS-SEGMENT'!$C$8:$C$1000=$C41)*'ANALYSE - ERP =&gt; SOUS-SEGMENT'!$Q$8:$Q$1000*'ANALYSE - ERP =&gt; SOUS-SEGMENT'!$HH$8:$HH$1000))</f>
        <v>583.22210399999994</v>
      </c>
      <c r="HI41" s="311">
        <f t="shared" si="49"/>
        <v>489.48246999999992</v>
      </c>
      <c r="HJ41" s="311">
        <f>IF($C41="","",SUMPRODUCT(('ANALYSE - ERP =&gt; SOUS-SEGMENT'!$C$8:$C$1000=$C41)*'ANALYSE - ERP =&gt; SOUS-SEGMENT'!$Q$8:$Q$1000*'ANALYSE - ERP =&gt; SOUS-SEGMENT'!$HJ$8:$HJ$1000))</f>
        <v>408.47939999999994</v>
      </c>
      <c r="HK41" s="311">
        <f>IF($C41="","",SUMPRODUCT(('ANALYSE - ERP =&gt; SOUS-SEGMENT'!$C$8:$C$1000=$C41)*'ANALYSE - ERP =&gt; SOUS-SEGMENT'!$Q$8:$Q$1000*'ANALYSE - ERP =&gt; SOUS-SEGMENT'!$HK$8:$HK$1000))</f>
        <v>81.003069999999994</v>
      </c>
      <c r="HL41" s="311">
        <f t="shared" si="50"/>
        <v>671.67176674999996</v>
      </c>
      <c r="HM41" s="311">
        <f>IF($C41="","",SUMPRODUCT(('ANALYSE - ERP =&gt; SOUS-SEGMENT'!$C$8:$C$1000=$C41)*'ANALYSE - ERP =&gt; SOUS-SEGMENT'!$Q$8:$Q$1000*'ANALYSE - ERP =&gt; SOUS-SEGMENT'!$HM$8:$HM$1000))</f>
        <v>558.26746874999992</v>
      </c>
      <c r="HN41" s="311">
        <f>IF($C41="","",SUMPRODUCT(('ANALYSE - ERP =&gt; SOUS-SEGMENT'!$C$8:$C$1000=$C41)*'ANALYSE - ERP =&gt; SOUS-SEGMENT'!$Q$8:$Q$1000*'ANALYSE - ERP =&gt; SOUS-SEGMENT'!$HN$8:$HN$1000))</f>
        <v>113.40429800000001</v>
      </c>
      <c r="HO41" s="311">
        <f t="shared" si="51"/>
        <v>776.44177999999988</v>
      </c>
      <c r="HP41" s="311">
        <f>IF($C41="","",SUMPRODUCT(('ANALYSE - ERP =&gt; SOUS-SEGMENT'!$C$8:$C$1000=$C41)*'ANALYSE - ERP =&gt; SOUS-SEGMENT'!$Q$8:$Q$1000*'ANALYSE - ERP =&gt; SOUS-SEGMENT'!$HP$8:$HP$1000))</f>
        <v>691.67949999999985</v>
      </c>
      <c r="HQ41" s="311">
        <f>IF($C41="","",SUMPRODUCT(('ANALYSE - ERP =&gt; SOUS-SEGMENT'!$C$8:$C$1000=$C41)*'ANALYSE - ERP =&gt; SOUS-SEGMENT'!$Q$8:$Q$1000*'ANALYSE - ERP =&gt; SOUS-SEGMENT'!$HQ$8:$HQ$1000))</f>
        <v>84.762280000000004</v>
      </c>
      <c r="HR41" s="311">
        <f t="shared" si="52"/>
        <v>4746.8944090000005</v>
      </c>
      <c r="HS41" s="311">
        <f>IF($C41="","",SUMPRODUCT(('ANALYSE - ERP =&gt; SOUS-SEGMENT'!$C$8:$C$1000=$C41)*'ANALYSE - ERP =&gt; SOUS-SEGMENT'!$Q$8:$Q$1000*'ANALYSE - ERP =&gt; SOUS-SEGMENT'!$HS$8:$HS$1000))</f>
        <v>3696.110025</v>
      </c>
      <c r="HT41" s="311">
        <f>IF($C41="","",SUMPRODUCT(('ANALYSE - ERP =&gt; SOUS-SEGMENT'!$C$8:$C$1000=$C41)*'ANALYSE - ERP =&gt; SOUS-SEGMENT'!$Q$8:$Q$1000*'ANALYSE - ERP =&gt; SOUS-SEGMENT'!$HT$8:$HT$1000))</f>
        <v>1050.784384</v>
      </c>
      <c r="HU41" s="311">
        <f t="shared" si="53"/>
        <v>2613.6865217142858</v>
      </c>
      <c r="HV41" s="311">
        <f>IF($C41="","",SUMPRODUCT(('ANALYSE - ERP =&gt; SOUS-SEGMENT'!$C$8:$C$1000=$C41)*'ANALYSE - ERP =&gt; SOUS-SEGMENT'!$Q$8:$Q$1000*'ANALYSE - ERP =&gt; SOUS-SEGMENT'!$HV$8:$HV$1000))</f>
        <v>2129.1717857142858</v>
      </c>
      <c r="HW41" s="311">
        <f>IF($C41="","",SUMPRODUCT(('ANALYSE - ERP =&gt; SOUS-SEGMENT'!$C$8:$C$1000=$C41)*'ANALYSE - ERP =&gt; SOUS-SEGMENT'!$Q$8:$Q$1000*'ANALYSE - ERP =&gt; SOUS-SEGMENT'!$HW$8:$HW$1000))</f>
        <v>484.51473600000003</v>
      </c>
      <c r="HY41" s="313">
        <f t="shared" si="54"/>
        <v>31190.000000000004</v>
      </c>
      <c r="HZ41" s="313">
        <f>IF($C41="","",SUMPRODUCT(('ANALYSE - ERP =&gt; SOUS-SEGMENT'!$C$8:$C$1000=$C41)*'ANALYSE - ERP =&gt; SOUS-SEGMENT'!$Q$8:$Q$1000*'ANALYSE - ERP =&gt; SOUS-SEGMENT'!$HZ$8:$HZ$1000))</f>
        <v>8834.3520000000008</v>
      </c>
      <c r="IA41" s="313">
        <f>IF($C41="","",SUMPRODUCT(('ANALYSE - ERP =&gt; SOUS-SEGMENT'!$C$8:$C$1000=$C41)*'ANALYSE - ERP =&gt; SOUS-SEGMENT'!$Q$8:$Q$1000*'ANALYSE - ERP =&gt; SOUS-SEGMENT'!$IA$8:$IA$1000))</f>
        <v>18739.643</v>
      </c>
      <c r="IB41" s="313">
        <f>IF($C41="","",SUMPRODUCT(('ANALYSE - ERP =&gt; SOUS-SEGMENT'!$C$8:$C$1000=$C41)*'ANALYSE - ERP =&gt; SOUS-SEGMENT'!$Q$8:$Q$1000*'ANALYSE - ERP =&gt; SOUS-SEGMENT'!$IB$8:$IB$1000))</f>
        <v>3616.0050000000001</v>
      </c>
      <c r="IC41" s="313">
        <f>IF($C41="","",SUMPRODUCT(('ANALYSE - ERP =&gt; SOUS-SEGMENT'!$C$8:$C$1000=$C41)*'ANALYSE - ERP =&gt; SOUS-SEGMENT'!$Q$8:$Q$1000*'ANALYSE - ERP =&gt; SOUS-SEGMENT'!$IC$8:$IC$1000))</f>
        <v>0</v>
      </c>
      <c r="ID41" s="313">
        <f>IF($C41="","",SUMPRODUCT(('ANALYSE - ERP =&gt; SOUS-SEGMENT'!$C$8:$C$1000=$C41)*'ANALYSE - ERP =&gt; SOUS-SEGMENT'!$Q$8:$Q$1000*'ANALYSE - ERP =&gt; SOUS-SEGMENT'!$ID$8:$ID$1000))</f>
        <v>0</v>
      </c>
      <c r="IE41" s="313">
        <f t="shared" si="55"/>
        <v>12842.079152597402</v>
      </c>
      <c r="IF41" s="313">
        <f>IF($C41="","",SUMPRODUCT(('ANALYSE - ERP =&gt; SOUS-SEGMENT'!$C$8:$C$1000=$C41)*'ANALYSE - ERP =&gt; SOUS-SEGMENT'!$Q$8:$Q$1000*'ANALYSE - ERP =&gt; SOUS-SEGMENT'!$IF$8:$IF$1000))</f>
        <v>3306.6713980963314</v>
      </c>
      <c r="IG41" s="313">
        <f>IF($C41="","",SUMPRODUCT(('ANALYSE - ERP =&gt; SOUS-SEGMENT'!$C$8:$C$1000=$C41)*'ANALYSE - ERP =&gt; SOUS-SEGMENT'!$Q$8:$Q$1000*'ANALYSE - ERP =&gt; SOUS-SEGMENT'!$IG$8:$IG$1000))</f>
        <v>7410.2165495602267</v>
      </c>
      <c r="IH41" s="313">
        <f>IF($C41="","",SUMPRODUCT(('ANALYSE - ERP =&gt; SOUS-SEGMENT'!$C$8:$C$1000=$C41)*'ANALYSE - ERP =&gt; SOUS-SEGMENT'!$Q$8:$Q$1000*'ANALYSE - ERP =&gt; SOUS-SEGMENT'!$IH$8:$IH$1000))</f>
        <v>1815.8471028408442</v>
      </c>
      <c r="II41" s="313">
        <f>IF($C41="","",SUMPRODUCT(('ANALYSE - ERP =&gt; SOUS-SEGMENT'!$C$8:$C$1000=$C41)*'ANALYSE - ERP =&gt; SOUS-SEGMENT'!$Q$8:$Q$1000*'ANALYSE - ERP =&gt; SOUS-SEGMENT'!$II$8:$II$1000))</f>
        <v>252.87652790714287</v>
      </c>
      <c r="IJ41" s="313">
        <f>IF($C41="","",SUMPRODUCT(('ANALYSE - ERP =&gt; SOUS-SEGMENT'!$C$8:$C$1000=$C41)*'ANALYSE - ERP =&gt; SOUS-SEGMENT'!$Q$8:$Q$1000*'ANALYSE - ERP =&gt; SOUS-SEGMENT'!$IJ$8:$IJ$1000))</f>
        <v>56.467574192857143</v>
      </c>
      <c r="IK41" s="866">
        <f>IF($C41="","",IFERROR(SUMPRODUCT(('ANALYSE - ERP =&gt; SOUS-SEGMENT'!$C$8:$C$1000=$C41)*'ANALYSE - ERP =&gt; SOUS-SEGMENT'!$Q$8:$Q$1000*'ANALYSE - ERP =&gt; SOUS-SEGMENT'!$IE$8:$IE$1000*'ANALYSE - ERP =&gt; SOUS-SEGMENT'!$IK$8:$IK$1000)/SUMPRODUCT(('ANALYSE - ERP =&gt; SOUS-SEGMENT'!$C$8:$C$1000=$C41)*'ANALYSE - ERP =&gt; SOUS-SEGMENT'!$Q$8:$Q$1000*'ANALYSE - ERP =&gt; SOUS-SEGMENT'!$IE$8:$IE$1000),""))</f>
        <v>4.0983817201527364</v>
      </c>
      <c r="IL41" s="920" t="s">
        <v>6253</v>
      </c>
      <c r="IM41" s="964" t="s">
        <v>6254</v>
      </c>
      <c r="IN41" s="657"/>
      <c r="IO41" s="730">
        <f>IF($C41="","",IFERROR(SUMPRODUCT(('ANALYSE - ERP =&gt; SOUS-SEGMENT'!$C$8:$C$1000=$C41)*'ANALYSE - ERP =&gt; SOUS-SEGMENT'!$Q$8:$Q$1000*'ANALYSE - ERP =&gt; SOUS-SEGMENT'!$BE$8:$BE$1000*'ANALYSE - ERP =&gt; SOUS-SEGMENT'!$IO$8:$IO$1000)/SUMPRODUCT(('ANALYSE - ERP =&gt; SOUS-SEGMENT'!$C$8:$C$1000=$C41)*'ANALYSE - ERP =&gt; SOUS-SEGMENT'!$Q$8:$Q$1000*'ANALYSE - ERP =&gt; SOUS-SEGMENT'!$BE$8:$BE$1000),""))</f>
        <v>0.27385484693877549</v>
      </c>
      <c r="IP41" s="730">
        <f>IF($C41="","",IFERROR(SUMPRODUCT(('ANALYSE - ERP =&gt; SOUS-SEGMENT'!$C$8:$C$1000=$C41)*'ANALYSE - ERP =&gt; SOUS-SEGMENT'!$Q$8:$Q$1000*'ANALYSE - ERP =&gt; SOUS-SEGMENT'!$BE$8:$BE$1000*'ANALYSE - ERP =&gt; SOUS-SEGMENT'!$IP$8:$IP$1000)/SUMPRODUCT(('ANALYSE - ERP =&gt; SOUS-SEGMENT'!$C$8:$C$1000=$C41)*'ANALYSE - ERP =&gt; SOUS-SEGMENT'!$Q$8:$Q$1000*'ANALYSE - ERP =&gt; SOUS-SEGMENT'!$BE$8:$BE$1000),""))</f>
        <v>0.60535153061224489</v>
      </c>
      <c r="IQ41" s="730">
        <f>IF($C41="","",IFERROR(SUMPRODUCT(('ANALYSE - ERP =&gt; SOUS-SEGMENT'!$C$8:$C$1000=$C41)*'ANALYSE - ERP =&gt; SOUS-SEGMENT'!$Q$8:$Q$1000*'ANALYSE - ERP =&gt; SOUS-SEGMENT'!$BE$8:$BE$1000*'ANALYSE - ERP =&gt; SOUS-SEGMENT'!$IQ$8:$IQ$1000)/SUMPRODUCT(('ANALYSE - ERP =&gt; SOUS-SEGMENT'!$C$8:$C$1000=$C41)*'ANALYSE - ERP =&gt; SOUS-SEGMENT'!$Q$8:$Q$1000*'ANALYSE - ERP =&gt; SOUS-SEGMENT'!$BE$8:$BE$1000),""))</f>
        <v>0.12079362244897959</v>
      </c>
      <c r="IR41" s="730">
        <f>IF($C41="","",IFERROR(SUMPRODUCT(('ANALYSE - ERP =&gt; SOUS-SEGMENT'!$C$8:$C$1000=$C41)*'ANALYSE - ERP =&gt; SOUS-SEGMENT'!$Q$8:$Q$1000*'ANALYSE - ERP =&gt; SOUS-SEGMENT'!$BE$8:$BE$1000*'ANALYSE - ERP =&gt; SOUS-SEGMENT'!$IR$8:$IR$1000)/SUMPRODUCT(('ANALYSE - ERP =&gt; SOUS-SEGMENT'!$C$8:$C$1000=$C41)*'ANALYSE - ERP =&gt; SOUS-SEGMENT'!$Q$8:$Q$1000*'ANALYSE - ERP =&gt; SOUS-SEGMENT'!$BE$8:$BE$1000),""))</f>
        <v>0</v>
      </c>
      <c r="IS41" s="730">
        <f>IF($C41="","",IFERROR(SUMPRODUCT(('ANALYSE - ERP =&gt; SOUS-SEGMENT'!$C$8:$C$1000=$C41)*'ANALYSE - ERP =&gt; SOUS-SEGMENT'!$Q$8:$Q$1000*'ANALYSE - ERP =&gt; SOUS-SEGMENT'!$BE$8:$BE$1000*'ANALYSE - ERP =&gt; SOUS-SEGMENT'!$IS$8:$IS$1000)/SUMPRODUCT(('ANALYSE - ERP =&gt; SOUS-SEGMENT'!$C$8:$C$1000=$C41)*'ANALYSE - ERP =&gt; SOUS-SEGMENT'!$Q$8:$Q$1000*'ANALYSE - ERP =&gt; SOUS-SEGMENT'!$BE$8:$BE$1000),""))</f>
        <v>0</v>
      </c>
      <c r="IT41" s="730">
        <f>IF($C41="","",IFERROR(SUMPRODUCT(('ANALYSE - ERP =&gt; SOUS-SEGMENT'!$C$8:$C$1000=$C41)*'ANALYSE - ERP =&gt; SOUS-SEGMENT'!$Q$8:$Q$1000*'ANALYSE - ERP =&gt; SOUS-SEGMENT'!$FB$8:$FB$1000*'ANALYSE - ERP =&gt; SOUS-SEGMENT'!$IT$8:$IT$1000)/SUMPRODUCT(('ANALYSE - ERP =&gt; SOUS-SEGMENT'!$C$8:$C$1000=$C41)*'ANALYSE - ERP =&gt; SOUS-SEGMENT'!$Q$8:$Q$1000*'ANALYSE - ERP =&gt; SOUS-SEGMENT'!$FB$8:$FB$1000),""))</f>
        <v>0.24846152179834091</v>
      </c>
      <c r="IU41" s="730">
        <f>IF($C41="","",IFERROR(SUMPRODUCT(('ANALYSE - ERP =&gt; SOUS-SEGMENT'!$C$8:$C$1000=$C41)*'ANALYSE - ERP =&gt; SOUS-SEGMENT'!$Q$8:$Q$1000*'ANALYSE - ERP =&gt; SOUS-SEGMENT'!$FB$8:$FB$1000*'ANALYSE - ERP =&gt; SOUS-SEGMENT'!$IU$8:$IU$1000)/SUMPRODUCT(('ANALYSE - ERP =&gt; SOUS-SEGMENT'!$C$8:$C$1000=$C41)*'ANALYSE - ERP =&gt; SOUS-SEGMENT'!$Q$8:$Q$1000*'ANALYSE - ERP =&gt; SOUS-SEGMENT'!$FB$8:$FB$1000),""))</f>
        <v>0.57820021562966661</v>
      </c>
      <c r="IV41" s="730">
        <f>IF($C41="","",IFERROR(SUMPRODUCT(('ANALYSE - ERP =&gt; SOUS-SEGMENT'!$C$8:$C$1000=$C41)*'ANALYSE - ERP =&gt; SOUS-SEGMENT'!$Q$8:$Q$1000*'ANALYSE - ERP =&gt; SOUS-SEGMENT'!$FB$8:$FB$1000*'ANALYSE - ERP =&gt; SOUS-SEGMENT'!$IV$8:$IV$1000)/SUMPRODUCT(('ANALYSE - ERP =&gt; SOUS-SEGMENT'!$C$8:$C$1000=$C41)*'ANALYSE - ERP =&gt; SOUS-SEGMENT'!$Q$8:$Q$1000*'ANALYSE - ERP =&gt; SOUS-SEGMENT'!$FB$8:$FB$1000),""))</f>
        <v>0.14943849677332174</v>
      </c>
      <c r="IW41" s="730">
        <f>IF($C41="","",IFERROR(SUMPRODUCT(('ANALYSE - ERP =&gt; SOUS-SEGMENT'!$C$8:$C$1000=$C41)*'ANALYSE - ERP =&gt; SOUS-SEGMENT'!$Q$8:$Q$1000*'ANALYSE - ERP =&gt; SOUS-SEGMENT'!$FB$8:$FB$1000*'ANALYSE - ERP =&gt; SOUS-SEGMENT'!$IW$8:$IW$1000)/SUMPRODUCT(('ANALYSE - ERP =&gt; SOUS-SEGMENT'!$C$8:$C$1000=$C41)*'ANALYSE - ERP =&gt; SOUS-SEGMENT'!$Q$8:$Q$1000*'ANALYSE - ERP =&gt; SOUS-SEGMENT'!$FB$8:$FB$1000),""))</f>
        <v>1.9537110137008595E-2</v>
      </c>
      <c r="IX41" s="730">
        <f>IF($C41="","",IFERROR(SUMPRODUCT(('ANALYSE - ERP =&gt; SOUS-SEGMENT'!$C$8:$C$1000=$C41)*'ANALYSE - ERP =&gt; SOUS-SEGMENT'!$Q$8:$Q$1000*'ANALYSE - ERP =&gt; SOUS-SEGMENT'!$FB$8:$FB$1000*'ANALYSE - ERP =&gt; SOUS-SEGMENT'!$IX$8:$IX$1000)/SUMPRODUCT(('ANALYSE - ERP =&gt; SOUS-SEGMENT'!$C$8:$C$1000=$C41)*'ANALYSE - ERP =&gt; SOUS-SEGMENT'!$Q$8:$Q$1000*'ANALYSE - ERP =&gt; SOUS-SEGMENT'!$FB$8:$FB$1000),""))</f>
        <v>4.3626556616621131E-3</v>
      </c>
      <c r="IY41" s="730">
        <f>IF($C41="","",IFERROR(SUMPRODUCT(('ANALYSE - ERP =&gt; SOUS-SEGMENT'!$C$8:$C$1000=$C41)*'ANALYSE - ERP =&gt; SOUS-SEGMENT'!$Q$8:$Q$1000*'ANALYSE - ERP =&gt; SOUS-SEGMENT'!$BF$8:$BF$1000*'ANALYSE - ERP =&gt; SOUS-SEGMENT'!$IY$8:$IY$1000)/SUMPRODUCT(('ANALYSE - ERP =&gt; SOUS-SEGMENT'!$C$8:$C$1000=$C41)*'ANALYSE - ERP =&gt; SOUS-SEGMENT'!$Q$8:$Q$1000*'ANALYSE - ERP =&gt; SOUS-SEGMENT'!$BF$8:$BF$1000),""))</f>
        <v>0</v>
      </c>
      <c r="IZ41" s="730">
        <f>IF($C41="","",IFERROR(SUMPRODUCT(('ANALYSE - ERP =&gt; SOUS-SEGMENT'!$C$8:$C$1000=$C41)*'ANALYSE - ERP =&gt; SOUS-SEGMENT'!$Q$8:$Q$1000*'ANALYSE - ERP =&gt; SOUS-SEGMENT'!$BF$8:$BF$1000*'ANALYSE - ERP =&gt; SOUS-SEGMENT'!$IZ$8:$IZ$1000)/SUMPRODUCT(('ANALYSE - ERP =&gt; SOUS-SEGMENT'!$C$8:$C$1000=$C41)*'ANALYSE - ERP =&gt; SOUS-SEGMENT'!$Q$8:$Q$1000*'ANALYSE - ERP =&gt; SOUS-SEGMENT'!$BF$8:$BF$1000),""))</f>
        <v>0</v>
      </c>
      <c r="JA41" s="730">
        <f>IF($C41="","",IFERROR(SUMPRODUCT(('ANALYSE - ERP =&gt; SOUS-SEGMENT'!$C$8:$C$1000=$C41)*'ANALYSE - ERP =&gt; SOUS-SEGMENT'!$Q$8:$Q$1000*'ANALYSE - ERP =&gt; SOUS-SEGMENT'!$BF$8:$BF$1000*'ANALYSE - ERP =&gt; SOUS-SEGMENT'!$JA$8:$JA$1000)/SUMPRODUCT(('ANALYSE - ERP =&gt; SOUS-SEGMENT'!$C$8:$C$1000=$C41)*'ANALYSE - ERP =&gt; SOUS-SEGMENT'!$Q$8:$Q$1000*'ANALYSE - ERP =&gt; SOUS-SEGMENT'!$BF$8:$BF$1000),""))</f>
        <v>0</v>
      </c>
      <c r="JB41" s="730">
        <f>IF($C41="","",IFERROR(SUMPRODUCT(('ANALYSE - ERP =&gt; SOUS-SEGMENT'!$C$8:$C$1000=$C41)*'ANALYSE - ERP =&gt; SOUS-SEGMENT'!$Q$8:$Q$1000*'ANALYSE - ERP =&gt; SOUS-SEGMENT'!$BF$8:$BF$1000*'ANALYSE - ERP =&gt; SOUS-SEGMENT'!$JB$8:$JB$1000)/SUMPRODUCT(('ANALYSE - ERP =&gt; SOUS-SEGMENT'!$C$8:$C$1000=$C41)*'ANALYSE - ERP =&gt; SOUS-SEGMENT'!$Q$8:$Q$1000*'ANALYSE - ERP =&gt; SOUS-SEGMENT'!$BF$8:$BF$1000),""))</f>
        <v>0</v>
      </c>
      <c r="JC41" s="730">
        <f>IF($C41="","",IFERROR(SUMPRODUCT(('ANALYSE - ERP =&gt; SOUS-SEGMENT'!$C$8:$C$1000=$C41)*'ANALYSE - ERP =&gt; SOUS-SEGMENT'!$Q$8:$Q$1000*'ANALYSE - ERP =&gt; SOUS-SEGMENT'!$BF$8:$BF$1000*'ANALYSE - ERP =&gt; SOUS-SEGMENT'!$JC$8:$JC$1000)/SUMPRODUCT(('ANALYSE - ERP =&gt; SOUS-SEGMENT'!$C$8:$C$1000=$C41)*'ANALYSE - ERP =&gt; SOUS-SEGMENT'!$Q$8:$Q$1000*'ANALYSE - ERP =&gt; SOUS-SEGMENT'!$BF$8:$BF$1000),""))</f>
        <v>0</v>
      </c>
      <c r="JD41" s="730">
        <f>IF($C41="","",IFERROR(SUMPRODUCT(('ANALYSE - ERP =&gt; SOUS-SEGMENT'!$C$8:$C$1000=$C41)*'ANALYSE - ERP =&gt; SOUS-SEGMENT'!$Q$8:$Q$1000*'ANALYSE - ERP =&gt; SOUS-SEGMENT'!$FE$8:$FE$1000*'ANALYSE - ERP =&gt; SOUS-SEGMENT'!$JD$8:$JD$1000)/SUMPRODUCT(('ANALYSE - ERP =&gt; SOUS-SEGMENT'!$C$8:$C$1000=$C41)*'ANALYSE - ERP =&gt; SOUS-SEGMENT'!$Q$8:$Q$1000*'ANALYSE - ERP =&gt; SOUS-SEGMENT'!$FE$8:$FE$1000),""))</f>
        <v>0</v>
      </c>
      <c r="JE41" s="730">
        <f>IF($C41="","",IFERROR(SUMPRODUCT(('ANALYSE - ERP =&gt; SOUS-SEGMENT'!$C$8:$C$1000=$C41)*'ANALYSE - ERP =&gt; SOUS-SEGMENT'!$Q$8:$Q$1000*'ANALYSE - ERP =&gt; SOUS-SEGMENT'!$FE$8:$FE$1000*'ANALYSE - ERP =&gt; SOUS-SEGMENT'!$JE$8:$JE$1000)/SUMPRODUCT(('ANALYSE - ERP =&gt; SOUS-SEGMENT'!$C$8:$C$1000=$C41)*'ANALYSE - ERP =&gt; SOUS-SEGMENT'!$Q$8:$Q$1000*'ANALYSE - ERP =&gt; SOUS-SEGMENT'!$FE$8:$FE$1000),""))</f>
        <v>0</v>
      </c>
      <c r="JF41" s="730">
        <f>IF($C41="","",IFERROR(SUMPRODUCT(('ANALYSE - ERP =&gt; SOUS-SEGMENT'!$C$8:$C$1000=$C41)*'ANALYSE - ERP =&gt; SOUS-SEGMENT'!$Q$8:$Q$1000*'ANALYSE - ERP =&gt; SOUS-SEGMENT'!$FE$8:$FE$1000*'ANALYSE - ERP =&gt; SOUS-SEGMENT'!$JF$8:$JF$1000)/SUMPRODUCT(('ANALYSE - ERP =&gt; SOUS-SEGMENT'!$C$8:$C$1000=$C41)*'ANALYSE - ERP =&gt; SOUS-SEGMENT'!$Q$8:$Q$1000*'ANALYSE - ERP =&gt; SOUS-SEGMENT'!$FE$8:$FE$1000),""))</f>
        <v>0</v>
      </c>
      <c r="JG41" s="730">
        <f>IF($C41="","",IFERROR(SUMPRODUCT(('ANALYSE - ERP =&gt; SOUS-SEGMENT'!$C$8:$C$1000=$C41)*'ANALYSE - ERP =&gt; SOUS-SEGMENT'!$Q$8:$Q$1000*'ANALYSE - ERP =&gt; SOUS-SEGMENT'!$FE$8:$FE$1000*'ANALYSE - ERP =&gt; SOUS-SEGMENT'!$JG$8:$JG$1000)/SUMPRODUCT(('ANALYSE - ERP =&gt; SOUS-SEGMENT'!$C$8:$C$1000=$C41)*'ANALYSE - ERP =&gt; SOUS-SEGMENT'!$Q$8:$Q$1000*'ANALYSE - ERP =&gt; SOUS-SEGMENT'!$FE$8:$FE$1000),""))</f>
        <v>0</v>
      </c>
      <c r="JH41" s="730">
        <f>IF($C41="","",IFERROR(SUMPRODUCT(('ANALYSE - ERP =&gt; SOUS-SEGMENT'!$C$8:$C$1000=$C41)*'ANALYSE - ERP =&gt; SOUS-SEGMENT'!$Q$8:$Q$1000*'ANALYSE - ERP =&gt; SOUS-SEGMENT'!$FE$8:$FE$1000*'ANALYSE - ERP =&gt; SOUS-SEGMENT'!$JH$8:$JH$1000)/SUMPRODUCT(('ANALYSE - ERP =&gt; SOUS-SEGMENT'!$C$8:$C$1000=$C41)*'ANALYSE - ERP =&gt; SOUS-SEGMENT'!$Q$8:$Q$1000*'ANALYSE - ERP =&gt; SOUS-SEGMENT'!$FE$8:$FE$1000),""))</f>
        <v>0</v>
      </c>
      <c r="JI41" s="730">
        <f>IF($C41="","",IFERROR(SUMPRODUCT(('ANALYSE - ERP =&gt; SOUS-SEGMENT'!$C$8:$C$1000=$C41)*'ANALYSE - ERP =&gt; SOUS-SEGMENT'!$Q$8:$Q$1000*'ANALYSE - ERP =&gt; SOUS-SEGMENT'!$BG$8:$BG$1000*'ANALYSE - ERP =&gt; SOUS-SEGMENT'!$JI$8:$JI$1000)/SUMPRODUCT(('ANALYSE - ERP =&gt; SOUS-SEGMENT'!$C$8:$C$1000=$C41)*'ANALYSE - ERP =&gt; SOUS-SEGMENT'!$Q$8:$Q$1000*'ANALYSE - ERP =&gt; SOUS-SEGMENT'!$BG$8:$BG$1000),""))</f>
        <v>0</v>
      </c>
      <c r="JJ41" s="730">
        <f>IF($C41="","",IFERROR(SUMPRODUCT(('ANALYSE - ERP =&gt; SOUS-SEGMENT'!$C$8:$C$1000=$C41)*'ANALYSE - ERP =&gt; SOUS-SEGMENT'!$Q$8:$Q$1000*'ANALYSE - ERP =&gt; SOUS-SEGMENT'!$BG$8:$BG$1000*'ANALYSE - ERP =&gt; SOUS-SEGMENT'!$JJ$8:$JJ$1000)/SUMPRODUCT(('ANALYSE - ERP =&gt; SOUS-SEGMENT'!$C$8:$C$1000=$C41)*'ANALYSE - ERP =&gt; SOUS-SEGMENT'!$Q$8:$Q$1000*'ANALYSE - ERP =&gt; SOUS-SEGMENT'!$BG$8:$BG$1000),""))</f>
        <v>0</v>
      </c>
      <c r="JK41" s="730">
        <f>IF($C41="","",IFERROR(SUMPRODUCT(('ANALYSE - ERP =&gt; SOUS-SEGMENT'!$C$8:$C$1000=$C41)*'ANALYSE - ERP =&gt; SOUS-SEGMENT'!$Q$8:$Q$1000*'ANALYSE - ERP =&gt; SOUS-SEGMENT'!$BG$8:$BG$1000*'ANALYSE - ERP =&gt; SOUS-SEGMENT'!$JK$8:$JK$1000)/SUMPRODUCT(('ANALYSE - ERP =&gt; SOUS-SEGMENT'!$C$8:$C$1000=$C41)*'ANALYSE - ERP =&gt; SOUS-SEGMENT'!$Q$8:$Q$1000*'ANALYSE - ERP =&gt; SOUS-SEGMENT'!$BG$8:$BG$1000),""))</f>
        <v>0</v>
      </c>
      <c r="JL41" s="730">
        <f>IF($C41="","",IFERROR(SUMPRODUCT(('ANALYSE - ERP =&gt; SOUS-SEGMENT'!$C$8:$C$1000=$C41)*'ANALYSE - ERP =&gt; SOUS-SEGMENT'!$Q$8:$Q$1000*'ANALYSE - ERP =&gt; SOUS-SEGMENT'!$BG$8:$BG$1000*'ANALYSE - ERP =&gt; SOUS-SEGMENT'!$JL$8:$JL$1000)/SUMPRODUCT(('ANALYSE - ERP =&gt; SOUS-SEGMENT'!$C$8:$C$1000=$C41)*'ANALYSE - ERP =&gt; SOUS-SEGMENT'!$Q$8:$Q$1000*'ANALYSE - ERP =&gt; SOUS-SEGMENT'!$BG$8:$BG$1000),""))</f>
        <v>0</v>
      </c>
      <c r="JM41" s="730">
        <f>IF($C41="","",IFERROR(SUMPRODUCT(('ANALYSE - ERP =&gt; SOUS-SEGMENT'!$C$8:$C$1000=$C41)*'ANALYSE - ERP =&gt; SOUS-SEGMENT'!$Q$8:$Q$1000*'ANALYSE - ERP =&gt; SOUS-SEGMENT'!$BG$8:$BG$1000*'ANALYSE - ERP =&gt; SOUS-SEGMENT'!$JM$8:$JM$1000)/SUMPRODUCT(('ANALYSE - ERP =&gt; SOUS-SEGMENT'!$C$8:$C$1000=$C41)*'ANALYSE - ERP =&gt; SOUS-SEGMENT'!$Q$8:$Q$1000*'ANALYSE - ERP =&gt; SOUS-SEGMENT'!$BG$8:$BG$1000),""))</f>
        <v>0</v>
      </c>
      <c r="JN41" s="730">
        <f>IF($C41="","",IFERROR(SUMPRODUCT(('ANALYSE - ERP =&gt; SOUS-SEGMENT'!$C$8:$C$1000=$C41)*'ANALYSE - ERP =&gt; SOUS-SEGMENT'!$Q$8:$Q$1000*'ANALYSE - ERP =&gt; SOUS-SEGMENT'!$FH$8:$FH$1000*'ANALYSE - ERP =&gt; SOUS-SEGMENT'!$JN$8:$JN$1000)/SUMPRODUCT(('ANALYSE - ERP =&gt; SOUS-SEGMENT'!$C$8:$C$1000=$C41)*'ANALYSE - ERP =&gt; SOUS-SEGMENT'!$Q$8:$Q$1000*'ANALYSE - ERP =&gt; SOUS-SEGMENT'!$FH$8:$FH$1000),""))</f>
        <v>0</v>
      </c>
      <c r="JO41" s="730">
        <f>IF($C41="","",IFERROR(SUMPRODUCT(('ANALYSE - ERP =&gt; SOUS-SEGMENT'!$C$8:$C$1000=$C41)*'ANALYSE - ERP =&gt; SOUS-SEGMENT'!$Q$8:$Q$1000*'ANALYSE - ERP =&gt; SOUS-SEGMENT'!$FH$8:$FH$1000*'ANALYSE - ERP =&gt; SOUS-SEGMENT'!$JO$8:$JO$1000)/SUMPRODUCT(('ANALYSE - ERP =&gt; SOUS-SEGMENT'!$C$8:$C$1000=$C41)*'ANALYSE - ERP =&gt; SOUS-SEGMENT'!$Q$8:$Q$1000*'ANALYSE - ERP =&gt; SOUS-SEGMENT'!$FH$8:$FH$1000),""))</f>
        <v>0</v>
      </c>
      <c r="JP41" s="730">
        <f>IF($C41="","",IFERROR(SUMPRODUCT(('ANALYSE - ERP =&gt; SOUS-SEGMENT'!$C$8:$C$1000=$C41)*'ANALYSE - ERP =&gt; SOUS-SEGMENT'!$Q$8:$Q$1000*'ANALYSE - ERP =&gt; SOUS-SEGMENT'!$FH$8:$FH$1000*'ANALYSE - ERP =&gt; SOUS-SEGMENT'!$JP$8:$JP$1000)/SUMPRODUCT(('ANALYSE - ERP =&gt; SOUS-SEGMENT'!$C$8:$C$1000=$C41)*'ANALYSE - ERP =&gt; SOUS-SEGMENT'!$Q$8:$Q$1000*'ANALYSE - ERP =&gt; SOUS-SEGMENT'!$FH$8:$FH$1000),""))</f>
        <v>0</v>
      </c>
      <c r="JQ41" s="730">
        <f>IF($C41="","",IFERROR(SUMPRODUCT(('ANALYSE - ERP =&gt; SOUS-SEGMENT'!$C$8:$C$1000=$C41)*'ANALYSE - ERP =&gt; SOUS-SEGMENT'!$Q$8:$Q$1000*'ANALYSE - ERP =&gt; SOUS-SEGMENT'!$FH$8:$FH$1000*'ANALYSE - ERP =&gt; SOUS-SEGMENT'!$JQ$8:$JQ$1000)/SUMPRODUCT(('ANALYSE - ERP =&gt; SOUS-SEGMENT'!$C$8:$C$1000=$C41)*'ANALYSE - ERP =&gt; SOUS-SEGMENT'!$Q$8:$Q$1000*'ANALYSE - ERP =&gt; SOUS-SEGMENT'!$FH$8:$FH$1000),""))</f>
        <v>0</v>
      </c>
      <c r="JR41" s="730">
        <f>IF($C41="","",IFERROR(SUMPRODUCT(('ANALYSE - ERP =&gt; SOUS-SEGMENT'!$C$8:$C$1000=$C41)*'ANALYSE - ERP =&gt; SOUS-SEGMENT'!$Q$8:$Q$1000*'ANALYSE - ERP =&gt; SOUS-SEGMENT'!$FH$8:$FH$1000*'ANALYSE - ERP =&gt; SOUS-SEGMENT'!$JR$8:$JR$1000)/SUMPRODUCT(('ANALYSE - ERP =&gt; SOUS-SEGMENT'!$C$8:$C$1000=$C41)*'ANALYSE - ERP =&gt; SOUS-SEGMENT'!$Q$8:$Q$1000*'ANALYSE - ERP =&gt; SOUS-SEGMENT'!$FH$8:$FH$1000),""))</f>
        <v>0</v>
      </c>
      <c r="JS41" s="730">
        <f>IF($C41="","",IFERROR(SUMPRODUCT(('ANALYSE - ERP =&gt; SOUS-SEGMENT'!$C$8:$C$1000=$C41)*'ANALYSE - ERP =&gt; SOUS-SEGMENT'!$Q$8:$Q$1000*'ANALYSE - ERP =&gt; SOUS-SEGMENT'!$BH$8:$BH$1000*'ANALYSE - ERP =&gt; SOUS-SEGMENT'!$JS$8:$JS$1000)/SUMPRODUCT(('ANALYSE - ERP =&gt; SOUS-SEGMENT'!$C$8:$C$1000=$C41)*'ANALYSE - ERP =&gt; SOUS-SEGMENT'!$Q$8:$Q$1000*'ANALYSE - ERP =&gt; SOUS-SEGMENT'!$BH$8:$BH$1000),""))</f>
        <v>0.29273423597678916</v>
      </c>
      <c r="JT41" s="730">
        <f>IF($C41="","",IFERROR(SUMPRODUCT(('ANALYSE - ERP =&gt; SOUS-SEGMENT'!$C$8:$C$1000=$C41)*'ANALYSE - ERP =&gt; SOUS-SEGMENT'!$Q$8:$Q$1000*'ANALYSE - ERP =&gt; SOUS-SEGMENT'!$BH$8:$BH$1000*'ANALYSE - ERP =&gt; SOUS-SEGMENT'!$JT$8:$JT$1000)/SUMPRODUCT(('ANALYSE - ERP =&gt; SOUS-SEGMENT'!$C$8:$C$1000=$C41)*'ANALYSE - ERP =&gt; SOUS-SEGMENT'!$Q$8:$Q$1000*'ANALYSE - ERP =&gt; SOUS-SEGMENT'!$BH$8:$BH$1000),""))</f>
        <v>0.59624313346228242</v>
      </c>
      <c r="JU41" s="730">
        <f>IF($C41="","",IFERROR(SUMPRODUCT(('ANALYSE - ERP =&gt; SOUS-SEGMENT'!$C$8:$C$1000=$C41)*'ANALYSE - ERP =&gt; SOUS-SEGMENT'!$Q$8:$Q$1000*'ANALYSE - ERP =&gt; SOUS-SEGMENT'!$BH$8:$BH$1000*'ANALYSE - ERP =&gt; SOUS-SEGMENT'!$JU$8:$JU$1000)/SUMPRODUCT(('ANALYSE - ERP =&gt; SOUS-SEGMENT'!$C$8:$C$1000=$C41)*'ANALYSE - ERP =&gt; SOUS-SEGMENT'!$Q$8:$Q$1000*'ANALYSE - ERP =&gt; SOUS-SEGMENT'!$BH$8:$BH$1000),""))</f>
        <v>0.11102263056092844</v>
      </c>
      <c r="JV41" s="730">
        <f>IF($C41="","",IFERROR(SUMPRODUCT(('ANALYSE - ERP =&gt; SOUS-SEGMENT'!$C$8:$C$1000=$C41)*'ANALYSE - ERP =&gt; SOUS-SEGMENT'!$Q$8:$Q$1000*'ANALYSE - ERP =&gt; SOUS-SEGMENT'!$BH$8:$BH$1000*'ANALYSE - ERP =&gt; SOUS-SEGMENT'!$JV$8:$JV$1000)/SUMPRODUCT(('ANALYSE - ERP =&gt; SOUS-SEGMENT'!$C$8:$C$1000=$C41)*'ANALYSE - ERP =&gt; SOUS-SEGMENT'!$Q$8:$Q$1000*'ANALYSE - ERP =&gt; SOUS-SEGMENT'!$BH$8:$BH$1000),""))</f>
        <v>0</v>
      </c>
      <c r="JW41" s="730">
        <f>IF($C41="","",IFERROR(SUMPRODUCT(('ANALYSE - ERP =&gt; SOUS-SEGMENT'!$C$8:$C$1000=$C41)*'ANALYSE - ERP =&gt; SOUS-SEGMENT'!$Q$8:$Q$1000*'ANALYSE - ERP =&gt; SOUS-SEGMENT'!$BH$8:$BH$1000*'ANALYSE - ERP =&gt; SOUS-SEGMENT'!$JW$8:$JW$1000)/SUMPRODUCT(('ANALYSE - ERP =&gt; SOUS-SEGMENT'!$C$8:$C$1000=$C41)*'ANALYSE - ERP =&gt; SOUS-SEGMENT'!$Q$8:$Q$1000*'ANALYSE - ERP =&gt; SOUS-SEGMENT'!$BH$8:$BH$1000),""))</f>
        <v>0</v>
      </c>
      <c r="JX41" s="730">
        <f>IF($C41="","",IFERROR(SUMPRODUCT(('ANALYSE - ERP =&gt; SOUS-SEGMENT'!$C$8:$C$1000=$C41)*'ANALYSE - ERP =&gt; SOUS-SEGMENT'!$Q$8:$Q$1000*'ANALYSE - ERP =&gt; SOUS-SEGMENT'!$FK$8:$FK$1000*'ANALYSE - ERP =&gt; SOUS-SEGMENT'!$JX$8:$JX$1000)/SUMPRODUCT(('ANALYSE - ERP =&gt; SOUS-SEGMENT'!$C$8:$C$1000=$C41)*'ANALYSE - ERP =&gt; SOUS-SEGMENT'!$Q$8:$Q$1000*'ANALYSE - ERP =&gt; SOUS-SEGMENT'!$FK$8:$FK$1000),""))</f>
        <v>0.2662472448157035</v>
      </c>
      <c r="JY41" s="730">
        <f>IF($C41="","",IFERROR(SUMPRODUCT(('ANALYSE - ERP =&gt; SOUS-SEGMENT'!$C$8:$C$1000=$C41)*'ANALYSE - ERP =&gt; SOUS-SEGMENT'!$Q$8:$Q$1000*'ANALYSE - ERP =&gt; SOUS-SEGMENT'!$FK$8:$FK$1000*'ANALYSE - ERP =&gt; SOUS-SEGMENT'!$JY$8:$JY$1000)/SUMPRODUCT(('ANALYSE - ERP =&gt; SOUS-SEGMENT'!$C$8:$C$1000=$C41)*'ANALYSE - ERP =&gt; SOUS-SEGMENT'!$Q$8:$Q$1000*'ANALYSE - ERP =&gt; SOUS-SEGMENT'!$FK$8:$FK$1000),""))</f>
        <v>0.57588680837035833</v>
      </c>
      <c r="JZ41" s="730">
        <f>IF($C41="","",IFERROR(SUMPRODUCT(('ANALYSE - ERP =&gt; SOUS-SEGMENT'!$C$8:$C$1000=$C41)*'ANALYSE - ERP =&gt; SOUS-SEGMENT'!$Q$8:$Q$1000*'ANALYSE - ERP =&gt; SOUS-SEGMENT'!$FK$8:$FK$1000*'ANALYSE - ERP =&gt; SOUS-SEGMENT'!$JZ$8:$JZ$1000)/SUMPRODUCT(('ANALYSE - ERP =&gt; SOUS-SEGMENT'!$C$8:$C$1000=$C41)*'ANALYSE - ERP =&gt; SOUS-SEGMENT'!$Q$8:$Q$1000*'ANALYSE - ERP =&gt; SOUS-SEGMENT'!$FK$8:$FK$1000),""))</f>
        <v>0.13359462472246741</v>
      </c>
      <c r="KA41" s="730">
        <f>IF($C41="","",IFERROR(SUMPRODUCT(('ANALYSE - ERP =&gt; SOUS-SEGMENT'!$C$8:$C$1000=$C41)*'ANALYSE - ERP =&gt; SOUS-SEGMENT'!$Q$8:$Q$1000*'ANALYSE - ERP =&gt; SOUS-SEGMENT'!$FK$8:$FK$1000*'ANALYSE - ERP =&gt; SOUS-SEGMENT'!$KA$8:$KA$1000)/SUMPRODUCT(('ANALYSE - ERP =&gt; SOUS-SEGMENT'!$C$8:$C$1000=$C41)*'ANALYSE - ERP =&gt; SOUS-SEGMENT'!$Q$8:$Q$1000*'ANALYSE - ERP =&gt; SOUS-SEGMENT'!$FK$8:$FK$1000),""))</f>
        <v>1.9840842662075323E-2</v>
      </c>
      <c r="KB41" s="730">
        <f>IF($C41="","",IFERROR(SUMPRODUCT(('ANALYSE - ERP =&gt; SOUS-SEGMENT'!$C$8:$C$1000=$C41)*'ANALYSE - ERP =&gt; SOUS-SEGMENT'!$Q$8:$Q$1000*'ANALYSE - ERP =&gt; SOUS-SEGMENT'!$FK$8:$FK$1000*'ANALYSE - ERP =&gt; SOUS-SEGMENT'!$KB$8:$KB$1000)/SUMPRODUCT(('ANALYSE - ERP =&gt; SOUS-SEGMENT'!$C$8:$C$1000=$C41)*'ANALYSE - ERP =&gt; SOUS-SEGMENT'!$Q$8:$Q$1000*'ANALYSE - ERP =&gt; SOUS-SEGMENT'!$FK$8:$FK$1000),""))</f>
        <v>4.4304794293954595E-3</v>
      </c>
      <c r="KC41" s="657"/>
      <c r="KD41" s="920" t="s">
        <v>2590</v>
      </c>
      <c r="KE41" s="920" t="s">
        <v>2590</v>
      </c>
      <c r="KF41" s="866">
        <f>IF($C41="","",IFERROR(SUMPRODUCT(('ANALYSE - ERP =&gt; SOUS-SEGMENT'!$C$8:$C$1000=$C41)*'ANALYSE - ERP =&gt; SOUS-SEGMENT'!$Q$8:$Q$1000*'ANALYSE - ERP =&gt; SOUS-SEGMENT'!$IE$8:$IE$1000*'ANALYSE - ERP =&gt; SOUS-SEGMENT'!$KF$8:$KF$1000)/SUMPRODUCT(('ANALYSE - ERP =&gt; SOUS-SEGMENT'!$C$8:$C$1000=$C41)*'ANALYSE - ERP =&gt; SOUS-SEGMENT'!$Q$8:$Q$1000*'ANALYSE - ERP =&gt; SOUS-SEGMENT'!$IE$8:$IE$1000),""))</f>
        <v>4.0461760043230699</v>
      </c>
      <c r="KG41" s="920" t="s">
        <v>2589</v>
      </c>
      <c r="KH41" s="920" t="s">
        <v>6255</v>
      </c>
      <c r="KI41" s="920" t="s">
        <v>6256</v>
      </c>
      <c r="KJ41" s="920" t="s">
        <v>6257</v>
      </c>
    </row>
    <row r="42" spans="1:296" ht="120" customHeight="1">
      <c r="A42" s="951">
        <f>IF($C42="","",ROWS($A$8:A42))</f>
        <v>35</v>
      </c>
      <c r="B42" s="952" t="s">
        <v>5215</v>
      </c>
      <c r="C42" s="952" t="s">
        <v>5216</v>
      </c>
      <c r="D42" s="952" t="s">
        <v>6258</v>
      </c>
      <c r="E42" s="277" t="s">
        <v>6259</v>
      </c>
      <c r="F42" s="646" t="s">
        <v>6260</v>
      </c>
      <c r="G42" s="646" t="s">
        <v>6261</v>
      </c>
      <c r="H42" s="646" t="s">
        <v>2109</v>
      </c>
      <c r="I42" s="646" t="s">
        <v>6262</v>
      </c>
      <c r="J42" s="646" t="s">
        <v>6263</v>
      </c>
      <c r="K42" s="646" t="s">
        <v>2097</v>
      </c>
      <c r="L42" s="646" t="s">
        <v>2109</v>
      </c>
      <c r="M42" s="646" t="s">
        <v>3168</v>
      </c>
      <c r="N42" s="646" t="s">
        <v>3169</v>
      </c>
      <c r="O42" s="646" t="s">
        <v>3170</v>
      </c>
      <c r="P42" s="646"/>
      <c r="Q42" s="270">
        <f>IF($C42="","",IF(SUMIFS('ANALYSE - ERP =&gt; SOUS-SEGMENT'!$Q$8:$Q$1000,'ANALYSE - ERP =&gt; SOUS-SEGMENT'!$C$8:$C$1000,$C42)&gt;0,1,0))</f>
        <v>1</v>
      </c>
      <c r="R42" s="278">
        <f>IF($C42="","",IFERROR(SUMPRODUCT(('ANALYSE - ERP =&gt; SOUS-SEGMENT'!$C$8:$C$1000=$C42)*'ANALYSE - ERP =&gt; SOUS-SEGMENT'!$Q$8:$Q$1000*'ANALYSE - ERP =&gt; SOUS-SEGMENT'!$AF$8:$AF$1000*'ANALYSE - ERP =&gt; SOUS-SEGMENT'!$R$8:$R$1000)/SUMPRODUCT(('ANALYSE - ERP =&gt; SOUS-SEGMENT'!$C$8:$C$1000=$C42)*'ANALYSE - ERP =&gt; SOUS-SEGMENT'!$Q$8:$Q$1000*'ANALYSE - ERP =&gt; SOUS-SEGMENT'!$AF$8:$AF$1000),""))</f>
        <v>5903.5703229800847</v>
      </c>
      <c r="S42" s="279">
        <f>IF($C42="","",SUMPRODUCT(('ANALYSE - ERP =&gt; SOUS-SEGMENT'!$C$8:$C$1000=$C42)*'ANALYSE - ERP =&gt; SOUS-SEGMENT'!$Q$8:$Q$1000*'ANALYSE - ERP =&gt; SOUS-SEGMENT'!$S$8:$S$1000))</f>
        <v>4895</v>
      </c>
      <c r="T42" s="279">
        <f>IF($C42="","",SUMPRODUCT(('ANALYSE - ERP =&gt; SOUS-SEGMENT'!$C$8:$C$1000=$C42)*'ANALYSE - ERP =&gt; SOUS-SEGMENT'!$Q$8:$Q$1000*'ANALYSE - ERP =&gt; SOUS-SEGMENT'!$T$8:$T$1000))</f>
        <v>5665</v>
      </c>
      <c r="U42" s="279">
        <f>IF($C42="","",SUMPRODUCT(('ANALYSE - ERP =&gt; SOUS-SEGMENT'!$C$8:$C$1000=$C42)*'ANALYSE - ERP =&gt; SOUS-SEGMENT'!$Q$8:$Q$1000*'ANALYSE - ERP =&gt; SOUS-SEGMENT'!$U$8:$U$1000))</f>
        <v>6495</v>
      </c>
      <c r="V42" s="279">
        <f>IF($C42="","",SUMPRODUCT(('ANALYSE - ERP =&gt; SOUS-SEGMENT'!$C$8:$C$1000=$C42)*'ANALYSE - ERP =&gt; SOUS-SEGMENT'!$Q$8:$Q$1000*'ANALYSE - ERP =&gt; SOUS-SEGMENT'!$V$8:$V$1000))</f>
        <v>7722</v>
      </c>
      <c r="W42" s="279">
        <f>IF($C42="","",SUMPRODUCT(('ANALYSE - ERP =&gt; SOUS-SEGMENT'!$C$8:$C$1000=$C42)*'ANALYSE - ERP =&gt; SOUS-SEGMENT'!$Q$8:$Q$1000*'ANALYSE - ERP =&gt; SOUS-SEGMENT'!$W$8:$W$1000))</f>
        <v>7948</v>
      </c>
      <c r="X42" s="279">
        <f>IF($C42="","",SUMPRODUCT(('ANALYSE - ERP =&gt; SOUS-SEGMENT'!$C$8:$C$1000=$C42)*'ANALYSE - ERP =&gt; SOUS-SEGMENT'!$Q$8:$Q$1000*'ANALYSE - ERP =&gt; SOUS-SEGMENT'!$X$8:$X$1000))</f>
        <v>8183</v>
      </c>
      <c r="Y42" s="279">
        <f>IF($C42="","",SUMPRODUCT(('ANALYSE - ERP =&gt; SOUS-SEGMENT'!$C$8:$C$1000=$C42)*'ANALYSE - ERP =&gt; SOUS-SEGMENT'!$Q$8:$Q$1000*'ANALYSE - ERP =&gt; SOUS-SEGMENT'!$Y$8:$Y$1000))</f>
        <v>8419</v>
      </c>
      <c r="Z42" s="279">
        <f>IF($C42="","",SUMPRODUCT(('ANALYSE - ERP =&gt; SOUS-SEGMENT'!$C$8:$C$1000=$C42)*'ANALYSE - ERP =&gt; SOUS-SEGMENT'!$Q$8:$Q$1000*'ANALYSE - ERP =&gt; SOUS-SEGMENT'!$Z$8:$Z$1000))</f>
        <v>8708</v>
      </c>
      <c r="AA42" s="279">
        <f>IF($C42="","",SUMPRODUCT(('ANALYSE - ERP =&gt; SOUS-SEGMENT'!$C$8:$C$1000=$C42)*'ANALYSE - ERP =&gt; SOUS-SEGMENT'!$Q$8:$Q$1000*'ANALYSE - ERP =&gt; SOUS-SEGMENT'!$AA$8:$AA$1000))</f>
        <v>8953</v>
      </c>
      <c r="AB42" s="279">
        <f>IF($C42="","",SUMPRODUCT(('ANALYSE - ERP =&gt; SOUS-SEGMENT'!$C$8:$C$1000=$C42)*'ANALYSE - ERP =&gt; SOUS-SEGMENT'!$Q$8:$Q$1000*'ANALYSE - ERP =&gt; SOUS-SEGMENT'!$AB$8:$AB$1000))</f>
        <v>9008</v>
      </c>
      <c r="AC42" s="279">
        <f>IF($C42="","",SUMPRODUCT(('ANALYSE - ERP =&gt; SOUS-SEGMENT'!$C$8:$C$1000=$C42)*'ANALYSE - ERP =&gt; SOUS-SEGMENT'!$Q$8:$Q$1000*'ANALYSE - ERP =&gt; SOUS-SEGMENT'!$AC$8:$AC$1000))</f>
        <v>9113</v>
      </c>
      <c r="AD42" s="279">
        <f>IF($C42="","",SUMPRODUCT(('ANALYSE - ERP =&gt; SOUS-SEGMENT'!$C$8:$C$1000=$C42)*'ANALYSE - ERP =&gt; SOUS-SEGMENT'!$Q$8:$Q$1000*'ANALYSE - ERP =&gt; SOUS-SEGMENT'!$AD$8:$AD$1000))</f>
        <v>9322</v>
      </c>
      <c r="AE42" s="279">
        <f>IF($C42="","",SUMPRODUCT(('ANALYSE - ERP =&gt; SOUS-SEGMENT'!$C$8:$C$1000=$C42)*'ANALYSE - ERP =&gt; SOUS-SEGMENT'!$Q$8:$Q$1000*'ANALYSE - ERP =&gt; SOUS-SEGMENT'!$AE$8:$AE$1000))</f>
        <v>9533</v>
      </c>
      <c r="AF42" s="279">
        <f>IF($C42="","",SUMPRODUCT(('ANALYSE - ERP =&gt; SOUS-SEGMENT'!$C$8:$C$1000=$C42)*'ANALYSE - ERP =&gt; SOUS-SEGMENT'!$Q$8:$Q$1000*'ANALYSE - ERP =&gt; SOUS-SEGMENT'!$AF$8:$AF$1000))</f>
        <v>9691</v>
      </c>
      <c r="AG42" s="279">
        <f>IF($C42="","",SUMPRODUCT(('ANALYSE - ERP =&gt; SOUS-SEGMENT'!$C$8:$C$1000=$C42)*'ANALYSE - ERP =&gt; SOUS-SEGMENT'!$Q$8:$Q$1000*'ANALYSE - ERP =&gt; SOUS-SEGMENT'!$AG$8:$AG$1000))</f>
        <v>9845</v>
      </c>
      <c r="AH42" s="279">
        <f>IF($C42="","",SUMPRODUCT(('ANALYSE - ERP =&gt; SOUS-SEGMENT'!$C$8:$C$1000=$C42)*'ANALYSE - ERP =&gt; SOUS-SEGMENT'!$Q$8:$Q$1000*'ANALYSE - ERP =&gt; SOUS-SEGMENT'!$AH$8:$AH$1000))</f>
        <v>10049</v>
      </c>
      <c r="AI42" s="279">
        <f>IF($C42="","",SUMPRODUCT(('ANALYSE - ERP =&gt; SOUS-SEGMENT'!$C$8:$C$1000=$C42)*'ANALYSE - ERP =&gt; SOUS-SEGMENT'!$Q$8:$Q$1000*'ANALYSE - ERP =&gt; SOUS-SEGMENT'!$AI$8:$AI$1000))</f>
        <v>10248</v>
      </c>
      <c r="AJ42" s="279">
        <f>IF($C42="","",SUMPRODUCT(('ANALYSE - ERP =&gt; SOUS-SEGMENT'!$C$8:$C$1000=$C42)*'ANALYSE - ERP =&gt; SOUS-SEGMENT'!$Q$8:$Q$1000*'ANALYSE - ERP =&gt; SOUS-SEGMENT'!$AJ$8:$AJ$1000))</f>
        <v>10441</v>
      </c>
      <c r="AK42" s="279">
        <f>IF($C42="","",SUMPRODUCT(('ANALYSE - ERP =&gt; SOUS-SEGMENT'!$C$8:$C$1000=$C42)*'ANALYSE - ERP =&gt; SOUS-SEGMENT'!$Q$8:$Q$1000*'ANALYSE - ERP =&gt; SOUS-SEGMENT'!$AK$8:$AK$1000))</f>
        <v>10629</v>
      </c>
      <c r="AL42" s="646" t="s">
        <v>6264</v>
      </c>
      <c r="AM42" s="646" t="s">
        <v>6265</v>
      </c>
      <c r="AN42" s="646" t="s">
        <v>6266</v>
      </c>
      <c r="AO42" s="657"/>
      <c r="AP42" s="278">
        <f>IF($C42="","",IFERROR(SUMPRODUCT(('ANALYSE - ERP =&gt; SOUS-SEGMENT'!$C$8:$C$1000=$C42)*'ANALYSE - ERP =&gt; SOUS-SEGMENT'!$Q$8:$Q$1000*'ANALYSE - ERP =&gt; SOUS-SEGMENT'!$AF$8:$AF$1000*'ANALYSE - ERP =&gt; SOUS-SEGMENT'!$AP$8:$AP$1000)/SUMPRODUCT(('ANALYSE - ERP =&gt; SOUS-SEGMENT'!$C$8:$C$1000=$C42)*'ANALYSE - ERP =&gt; SOUS-SEGMENT'!$Q$8:$Q$1000*'ANALYSE - ERP =&gt; SOUS-SEGMENT'!$AF$8:$AF$1000),""))</f>
        <v>41.906923950056751</v>
      </c>
      <c r="AQ42" s="278">
        <f>IF($C42="","",IFERROR(SUMPRODUCT(('ANALYSE - ERP =&gt; SOUS-SEGMENT'!$C$8:$C$1000=$C42)*'ANALYSE - ERP =&gt; SOUS-SEGMENT'!$Q$8:$Q$1000*'ANALYSE - ERP =&gt; SOUS-SEGMENT'!$AF$8:$AF$1000*'ANALYSE - ERP =&gt; SOUS-SEGMENT'!$AQ$8:$AQ$1000)/SUMPRODUCT(('ANALYSE - ERP =&gt; SOUS-SEGMENT'!$C$8:$C$1000=$C42)*'ANALYSE - ERP =&gt; SOUS-SEGMENT'!$Q$8:$Q$1000*'ANALYSE - ERP =&gt; SOUS-SEGMENT'!$AF$8:$AF$1000),""))</f>
        <v>35.1356929109483</v>
      </c>
      <c r="AR42" s="278">
        <f>IF($C42="","",IFERROR(SUMPRODUCT(('ANALYSE - ERP =&gt; SOUS-SEGMENT'!$C$8:$C$1000=$C42)*'ANALYSE - ERP =&gt; SOUS-SEGMENT'!$Q$8:$Q$1000*'ANALYSE - ERP =&gt; SOUS-SEGMENT'!$AF$8:$AF$1000*'ANALYSE - ERP =&gt; SOUS-SEGMENT'!$AR$8:$AR$1000)/SUMPRODUCT(('ANALYSE - ERP =&gt; SOUS-SEGMENT'!$C$8:$C$1000=$C42)*'ANALYSE - ERP =&gt; SOUS-SEGMENT'!$Q$8:$Q$1000*'ANALYSE - ERP =&gt; SOUS-SEGMENT'!$AF$8:$AF$1000),""))</f>
        <v>5.2775771334227635</v>
      </c>
      <c r="AS42" s="278">
        <f>IF($C42="","",IFERROR(SUMPRODUCT(('ANALYSE - ERP =&gt; SOUS-SEGMENT'!$C$8:$C$1000=$C42)*'ANALYSE - ERP =&gt; SOUS-SEGMENT'!$Q$8:$Q$1000*'ANALYSE - ERP =&gt; SOUS-SEGMENT'!$AF$8:$AF$1000*'ANALYSE - ERP =&gt; SOUS-SEGMENT'!$AS$8:$AS$1000)/SUMPRODUCT(('ANALYSE - ERP =&gt; SOUS-SEGMENT'!$C$8:$C$1000=$C42)*'ANALYSE - ERP =&gt; SOUS-SEGMENT'!$Q$8:$Q$1000*'ANALYSE - ERP =&gt; SOUS-SEGMENT'!$AF$8:$AF$1000),""))</f>
        <v>1.4936539056856877</v>
      </c>
      <c r="AT42" s="657"/>
      <c r="AU42" s="646" t="s">
        <v>6267</v>
      </c>
      <c r="AV42" s="646" t="s">
        <v>6268</v>
      </c>
      <c r="AW42" s="646" t="s">
        <v>6269</v>
      </c>
      <c r="AX42" s="646" t="s">
        <v>2670</v>
      </c>
      <c r="AY42" s="657"/>
      <c r="AZ42" s="947">
        <f>IF($C42="","",IFERROR(SUMPRODUCT(('ANALYSE - ERP =&gt; SOUS-SEGMENT'!$C$8:$C$1000=$C42)*'ANALYSE - ERP =&gt; SOUS-SEGMENT'!$Q$8:$Q$1000*'ANALYSE - ERP =&gt; SOUS-SEGMENT'!$AF$8:$AF$1000*'ANALYSE - ERP =&gt; SOUS-SEGMENT'!$AZ$8:$AZ$1000)/SUMPRODUCT(('ANALYSE - ERP =&gt; SOUS-SEGMENT'!$C$8:$C$1000=$C42)*'ANALYSE - ERP =&gt; SOUS-SEGMENT'!$Q$8:$Q$1000*'ANALYSE - ERP =&gt; SOUS-SEGMENT'!$AF$8:$AF$1000),""))</f>
        <v>2.4698173563099783</v>
      </c>
      <c r="BA42" s="947">
        <f>IF($C42="","",IFERROR(SUMPRODUCT(('ANALYSE - ERP =&gt; SOUS-SEGMENT'!$C$8:$C$1000=$C42)*'ANALYSE - ERP =&gt; SOUS-SEGMENT'!$Q$8:$Q$1000*'ANALYSE - ERP =&gt; SOUS-SEGMENT'!$AF$8:$AF$1000*'ANALYSE - ERP =&gt; SOUS-SEGMENT'!$BA$8:$BA$1000)/SUMPRODUCT(('ANALYSE - ERP =&gt; SOUS-SEGMENT'!$C$8:$C$1000=$C42)*'ANALYSE - ERP =&gt; SOUS-SEGMENT'!$Q$8:$Q$1000*'ANALYSE - ERP =&gt; SOUS-SEGMENT'!$AF$8:$AF$1000),""))</f>
        <v>0</v>
      </c>
      <c r="BB42" s="947">
        <f>IF($C42="","",IFERROR(SUMPRODUCT(('ANALYSE - ERP =&gt; SOUS-SEGMENT'!$C$8:$C$1000=$C42)*'ANALYSE - ERP =&gt; SOUS-SEGMENT'!$Q$8:$Q$1000*'ANALYSE - ERP =&gt; SOUS-SEGMENT'!$AF$8:$AF$1000*'ANALYSE - ERP =&gt; SOUS-SEGMENT'!$BB$8:$BB$1000)/SUMPRODUCT(('ANALYSE - ERP =&gt; SOUS-SEGMENT'!$C$8:$C$1000=$C42)*'ANALYSE - ERP =&gt; SOUS-SEGMENT'!$Q$8:$Q$1000*'ANALYSE - ERP =&gt; SOUS-SEGMENT'!$AF$8:$AF$1000),""))</f>
        <v>0.25890001031885257</v>
      </c>
      <c r="BC42" s="947">
        <f>IF($C42="","",IFERROR(SUMPRODUCT(('ANALYSE - ERP =&gt; SOUS-SEGMENT'!$C$8:$C$1000=$C42)*'ANALYSE - ERP =&gt; SOUS-SEGMENT'!$Q$8:$Q$1000*'ANALYSE - ERP =&gt; SOUS-SEGMENT'!$AF$8:$AF$1000*'ANALYSE - ERP =&gt; SOUS-SEGMENT'!$BC$8:$BC$1000)/SUMPRODUCT(('ANALYSE - ERP =&gt; SOUS-SEGMENT'!$C$8:$C$1000=$C42)*'ANALYSE - ERP =&gt; SOUS-SEGMENT'!$Q$8:$Q$1000*'ANALYSE - ERP =&gt; SOUS-SEGMENT'!$AF$8:$AF$1000),""))</f>
        <v>2.4698173563099783</v>
      </c>
      <c r="BD42" s="826">
        <f t="shared" si="1"/>
        <v>50379</v>
      </c>
      <c r="BE42" s="283">
        <f>IF($C42="","",SUMPRODUCT(('ANALYSE - ERP =&gt; SOUS-SEGMENT'!$C$8:$C$1000=$C42)*'ANALYSE - ERP =&gt; SOUS-SEGMENT'!$Q$8:$Q$1000*'ANALYSE - ERP =&gt; SOUS-SEGMENT'!$BE$8:$BE$1000))</f>
        <v>23935</v>
      </c>
      <c r="BF42" s="283">
        <f>IF($C42="","",SUMPRODUCT(('ANALYSE - ERP =&gt; SOUS-SEGMENT'!$C$8:$C$1000=$C42)*'ANALYSE - ERP =&gt; SOUS-SEGMENT'!$Q$8:$Q$1000*'ANALYSE - ERP =&gt; SOUS-SEGMENT'!$BF$8:$BF$1000))</f>
        <v>0</v>
      </c>
      <c r="BG42" s="283">
        <f>IF($C42="","",SUMPRODUCT(('ANALYSE - ERP =&gt; SOUS-SEGMENT'!$C$8:$C$1000=$C42)*'ANALYSE - ERP =&gt; SOUS-SEGMENT'!$Q$8:$Q$1000*'ANALYSE - ERP =&gt; SOUS-SEGMENT'!$BG$8:$BG$1000))</f>
        <v>2509</v>
      </c>
      <c r="BH42" s="283">
        <f>IF($C42="","",SUMPRODUCT(('ANALYSE - ERP =&gt; SOUS-SEGMENT'!$C$8:$C$1000=$C42)*'ANALYSE - ERP =&gt; SOUS-SEGMENT'!$Q$8:$Q$1000*'ANALYSE - ERP =&gt; SOUS-SEGMENT'!$BH$8:$BH$1000))</f>
        <v>23935</v>
      </c>
      <c r="BI42" s="826">
        <f t="shared" si="2"/>
        <v>54903</v>
      </c>
      <c r="BJ42" s="283">
        <f>IF($C42="","",SUMPRODUCT(('ANALYSE - ERP =&gt; SOUS-SEGMENT'!$C$8:$C$1000=$C42)*'ANALYSE - ERP =&gt; SOUS-SEGMENT'!$Q$8:$Q$1000*'ANALYSE - ERP =&gt; SOUS-SEGMENT'!$BJ$8:$BJ$1000))</f>
        <v>26085</v>
      </c>
      <c r="BK42" s="283">
        <f>IF($C42="","",SUMPRODUCT(('ANALYSE - ERP =&gt; SOUS-SEGMENT'!$C$8:$C$1000=$C42)*'ANALYSE - ERP =&gt; SOUS-SEGMENT'!$Q$8:$Q$1000*'ANALYSE - ERP =&gt; SOUS-SEGMENT'!$BK$8:$BK$1000))</f>
        <v>0</v>
      </c>
      <c r="BL42" s="283">
        <f>IF($C42="","",SUMPRODUCT(('ANALYSE - ERP =&gt; SOUS-SEGMENT'!$C$8:$C$1000=$C42)*'ANALYSE - ERP =&gt; SOUS-SEGMENT'!$Q$8:$Q$1000*'ANALYSE - ERP =&gt; SOUS-SEGMENT'!$BL$8:$BL$1000))</f>
        <v>2733</v>
      </c>
      <c r="BM42" s="283">
        <f>IF($C42="","",SUMPRODUCT(('ANALYSE - ERP =&gt; SOUS-SEGMENT'!$C$8:$C$1000=$C42)*'ANALYSE - ERP =&gt; SOUS-SEGMENT'!$Q$8:$Q$1000*'ANALYSE - ERP =&gt; SOUS-SEGMENT'!$BM$8:$BM$1000))</f>
        <v>26085</v>
      </c>
      <c r="BN42" s="657"/>
      <c r="BO42" s="305">
        <f t="shared" si="3"/>
        <v>0.35</v>
      </c>
      <c r="BP42" s="305">
        <f t="shared" si="4"/>
        <v>0.5</v>
      </c>
      <c r="BQ42" s="305">
        <f t="shared" si="5"/>
        <v>0.1</v>
      </c>
      <c r="BR42" s="581">
        <f t="shared" si="6"/>
        <v>0.05</v>
      </c>
      <c r="BS42" s="706">
        <f t="shared" si="7"/>
        <v>0.32</v>
      </c>
      <c r="BT42" s="305">
        <f t="shared" si="8"/>
        <v>0.5</v>
      </c>
      <c r="BU42" s="305">
        <f t="shared" si="9"/>
        <v>0.12999999999999998</v>
      </c>
      <c r="BV42" s="581">
        <f t="shared" si="10"/>
        <v>0.05</v>
      </c>
      <c r="BW42" s="713">
        <f t="shared" si="11"/>
        <v>0</v>
      </c>
      <c r="BX42" s="306">
        <f t="shared" si="12"/>
        <v>0</v>
      </c>
      <c r="BY42" s="590">
        <f t="shared" si="13"/>
        <v>0</v>
      </c>
      <c r="BZ42" s="713">
        <f t="shared" si="14"/>
        <v>0</v>
      </c>
      <c r="CA42" s="306">
        <f t="shared" si="15"/>
        <v>0</v>
      </c>
      <c r="CB42" s="590">
        <f t="shared" si="16"/>
        <v>0</v>
      </c>
      <c r="CC42" s="706">
        <f t="shared" si="17"/>
        <v>0.12000000000000001</v>
      </c>
      <c r="CD42" s="305">
        <f t="shared" si="18"/>
        <v>0.5</v>
      </c>
      <c r="CE42" s="305">
        <f t="shared" si="19"/>
        <v>0.15</v>
      </c>
      <c r="CF42" s="581">
        <f t="shared" si="20"/>
        <v>0.23</v>
      </c>
      <c r="CG42" s="706">
        <f t="shared" si="21"/>
        <v>0.1</v>
      </c>
      <c r="CH42" s="305">
        <f t="shared" si="22"/>
        <v>0.5</v>
      </c>
      <c r="CI42" s="305">
        <f t="shared" si="23"/>
        <v>0.18</v>
      </c>
      <c r="CJ42" s="581">
        <f t="shared" si="24"/>
        <v>0.22</v>
      </c>
      <c r="CK42" s="719">
        <f t="shared" si="25"/>
        <v>0.6</v>
      </c>
      <c r="CL42" s="307">
        <f t="shared" si="26"/>
        <v>0.3</v>
      </c>
      <c r="CM42" s="723">
        <f t="shared" si="27"/>
        <v>0.1</v>
      </c>
      <c r="CN42" s="719">
        <f t="shared" si="28"/>
        <v>0.51999999999999991</v>
      </c>
      <c r="CO42" s="307">
        <f t="shared" si="29"/>
        <v>0.33</v>
      </c>
      <c r="CP42" s="723">
        <f t="shared" si="30"/>
        <v>0.15</v>
      </c>
      <c r="CQ42" s="657"/>
      <c r="CR42" s="804">
        <f>IF($C42="","",IFERROR(SUMPRODUCT(('ANALYSE - ERP =&gt; SOUS-SEGMENT'!$C$8:$C$1000=$C42)*'ANALYSE - ERP =&gt; SOUS-SEGMENT'!$Q$8:$Q$1000*'ANALYSE - ERP =&gt; SOUS-SEGMENT'!$DH$8:$DH$1000*'ANALYSE - ERP =&gt; SOUS-SEGMENT'!$CR$8:$CR$1000)/SUMPRODUCT(('ANALYSE - ERP =&gt; SOUS-SEGMENT'!$C$8:$C$1000=$C42)*'ANALYSE - ERP =&gt; SOUS-SEGMENT'!$Q$8:$Q$1000*'ANALYSE - ERP =&gt; SOUS-SEGMENT'!$DH$8:$DH$1000),""))</f>
        <v>12.999999999999998</v>
      </c>
      <c r="CS42" s="805">
        <f>IF($C42="","",IFERROR(SUMPRODUCT(('ANALYSE - ERP =&gt; SOUS-SEGMENT'!$C$8:$C$1000=$C42)*'ANALYSE - ERP =&gt; SOUS-SEGMENT'!$Q$8:$Q$1000*'ANALYSE - ERP =&gt; SOUS-SEGMENT'!$DI$8:$DI$1000*'ANALYSE - ERP =&gt; SOUS-SEGMENT'!$CS$8:$CS$1000)/SUMPRODUCT(('ANALYSE - ERP =&gt; SOUS-SEGMENT'!$C$8:$C$1000=$C42)*'ANALYSE - ERP =&gt; SOUS-SEGMENT'!$Q$8:$Q$1000*'ANALYSE - ERP =&gt; SOUS-SEGMENT'!$DI$8:$DI$1000),""))</f>
        <v>14</v>
      </c>
      <c r="CT42" s="805">
        <f>IF($C42="","",IFERROR(SUMPRODUCT(('ANALYSE - ERP =&gt; SOUS-SEGMENT'!$C$8:$C$1000=$C42)*'ANALYSE - ERP =&gt; SOUS-SEGMENT'!$Q$8:$Q$1000*'ANALYSE - ERP =&gt; SOUS-SEGMENT'!$DJ$8:$DJ$1000*'ANALYSE - ERP =&gt; SOUS-SEGMENT'!$CT$8:$CT$1000)/SUMPRODUCT(('ANALYSE - ERP =&gt; SOUS-SEGMENT'!$C$8:$C$1000=$C42)*'ANALYSE - ERP =&gt; SOUS-SEGMENT'!$Q$8:$Q$1000*'ANALYSE - ERP =&gt; SOUS-SEGMENT'!$DJ$8:$DJ$1000),""))</f>
        <v>10</v>
      </c>
      <c r="CU42" s="806">
        <f>IF($C42="","",IFERROR(SUMPRODUCT(('ANALYSE - ERP =&gt; SOUS-SEGMENT'!$C$8:$C$1000=$C42)*'ANALYSE - ERP =&gt; SOUS-SEGMENT'!$Q$8:$Q$1000*'ANALYSE - ERP =&gt; SOUS-SEGMENT'!$DK$8:$DK$1000*'ANALYSE - ERP =&gt; SOUS-SEGMENT'!$CU$8:$CU$1000)/SUMPRODUCT(('ANALYSE - ERP =&gt; SOUS-SEGMENT'!$C$8:$C$1000=$C42)*'ANALYSE - ERP =&gt; SOUS-SEGMENT'!$Q$8:$Q$1000*'ANALYSE - ERP =&gt; SOUS-SEGMENT'!$DK$8:$DK$1000),""))</f>
        <v>12</v>
      </c>
      <c r="CV42" s="804" t="str">
        <f>IF($C42="","",IFERROR(SUMPRODUCT(('ANALYSE - ERP =&gt; SOUS-SEGMENT'!$C$8:$C$1000=$C42)*'ANALYSE - ERP =&gt; SOUS-SEGMENT'!$Q$8:$Q$1000*'ANALYSE - ERP =&gt; SOUS-SEGMENT'!$DS$8:$DS$1000*'ANALYSE - ERP =&gt; SOUS-SEGMENT'!$CV$8:$CV$1000)/SUMPRODUCT(('ANALYSE - ERP =&gt; SOUS-SEGMENT'!$C$8:$C$1000=$C42)*'ANALYSE - ERP =&gt; SOUS-SEGMENT'!$Q$8:$Q$1000*'ANALYSE - ERP =&gt; SOUS-SEGMENT'!$DS$8:$DS$1000),""))</f>
        <v/>
      </c>
      <c r="CW42" s="805" t="str">
        <f>IF($C42="","",IFERROR(SUMPRODUCT(('ANALYSE - ERP =&gt; SOUS-SEGMENT'!$C$8:$C$1000=$C42)*'ANALYSE - ERP =&gt; SOUS-SEGMENT'!$Q$8:$Q$1000*'ANALYSE - ERP =&gt; SOUS-SEGMENT'!$DT$8:$DT$1000*'ANALYSE - ERP =&gt; SOUS-SEGMENT'!$CW$8:$CW$1000)/SUMPRODUCT(('ANALYSE - ERP =&gt; SOUS-SEGMENT'!$C$8:$C$1000=$C42)*'ANALYSE - ERP =&gt; SOUS-SEGMENT'!$Q$8:$Q$1000*'ANALYSE - ERP =&gt; SOUS-SEGMENT'!$DT$8:$DT$1000),""))</f>
        <v/>
      </c>
      <c r="CX42" s="806" t="str">
        <f>IF($C42="","",IFERROR(SUMPRODUCT(('ANALYSE - ERP =&gt; SOUS-SEGMENT'!$C$8:$C$1000=$C42)*'ANALYSE - ERP =&gt; SOUS-SEGMENT'!$Q$8:$Q$1000*'ANALYSE - ERP =&gt; SOUS-SEGMENT'!$DU$8:$DU$1000*'ANALYSE - ERP =&gt; SOUS-SEGMENT'!$CX$8:$CX$1000)/SUMPRODUCT(('ANALYSE - ERP =&gt; SOUS-SEGMENT'!$C$8:$C$1000=$C42)*'ANALYSE - ERP =&gt; SOUS-SEGMENT'!$Q$8:$Q$1000*'ANALYSE - ERP =&gt; SOUS-SEGMENT'!$DU$8:$DU$1000),""))</f>
        <v/>
      </c>
      <c r="CY42" s="804">
        <f>IF($C42="","",IFERROR(SUMPRODUCT(('ANALYSE - ERP =&gt; SOUS-SEGMENT'!$C$8:$C$1000=$C42)*'ANALYSE - ERP =&gt; SOUS-SEGMENT'!$Q$8:$Q$1000*'ANALYSE - ERP =&gt; SOUS-SEGMENT'!$EB$8:$EB$1000*'ANALYSE - ERP =&gt; SOUS-SEGMENT'!$CY$8:$CY$1000)/SUMPRODUCT(('ANALYSE - ERP =&gt; SOUS-SEGMENT'!$C$8:$C$1000=$C42)*'ANALYSE - ERP =&gt; SOUS-SEGMENT'!$Q$8:$Q$1000*'ANALYSE - ERP =&gt; SOUS-SEGMENT'!$EB$8:$EB$1000),""))</f>
        <v>10.999999999999998</v>
      </c>
      <c r="CZ42" s="805">
        <f>IF($C42="","",IFERROR(SUMPRODUCT(('ANALYSE - ERP =&gt; SOUS-SEGMENT'!$C$8:$C$1000=$C42)*'ANALYSE - ERP =&gt; SOUS-SEGMENT'!$Q$8:$Q$1000*'ANALYSE - ERP =&gt; SOUS-SEGMENT'!$EC$8:$EC$1000*'ANALYSE - ERP =&gt; SOUS-SEGMENT'!$CZ$8:$CZ$1000)/SUMPRODUCT(('ANALYSE - ERP =&gt; SOUS-SEGMENT'!$C$8:$C$1000=$C42)*'ANALYSE - ERP =&gt; SOUS-SEGMENT'!$Q$8:$Q$1000*'ANALYSE - ERP =&gt; SOUS-SEGMENT'!$EC$8:$EC$1000),""))</f>
        <v>13</v>
      </c>
      <c r="DA42" s="805">
        <f>IF($C42="","",IFERROR(SUMPRODUCT(('ANALYSE - ERP =&gt; SOUS-SEGMENT'!$C$8:$C$1000=$C42)*'ANALYSE - ERP =&gt; SOUS-SEGMENT'!$Q$8:$Q$1000*'ANALYSE - ERP =&gt; SOUS-SEGMENT'!$ED$8:$ED$1000*'ANALYSE - ERP =&gt; SOUS-SEGMENT'!$DA$8:$DA$1000)/SUMPRODUCT(('ANALYSE - ERP =&gt; SOUS-SEGMENT'!$C$8:$C$1000=$C42)*'ANALYSE - ERP =&gt; SOUS-SEGMENT'!$Q$8:$Q$1000*'ANALYSE - ERP =&gt; SOUS-SEGMENT'!$ED$8:$ED$1000),""))</f>
        <v>9.0000000000000018</v>
      </c>
      <c r="DB42" s="806">
        <f>IF($C42="","",IFERROR(SUMPRODUCT(('ANALYSE - ERP =&gt; SOUS-SEGMENT'!$C$8:$C$1000=$C42)*'ANALYSE - ERP =&gt; SOUS-SEGMENT'!$Q$8:$Q$1000*'ANALYSE - ERP =&gt; SOUS-SEGMENT'!$EE$8:$EE$1000*'ANALYSE - ERP =&gt; SOUS-SEGMENT'!$DB$8:$DB$1000)/SUMPRODUCT(('ANALYSE - ERP =&gt; SOUS-SEGMENT'!$C$8:$C$1000=$C42)*'ANALYSE - ERP =&gt; SOUS-SEGMENT'!$Q$8:$Q$1000*'ANALYSE - ERP =&gt; SOUS-SEGMENT'!$EE$8:$EE$1000),""))</f>
        <v>11</v>
      </c>
      <c r="DC42" s="804">
        <f>IF($C42="","",IFERROR(SUMPRODUCT(('ANALYSE - ERP =&gt; SOUS-SEGMENT'!$C$8:$C$1000=$C42)*'ANALYSE - ERP =&gt; SOUS-SEGMENT'!$Q$8:$Q$1000*'ANALYSE - ERP =&gt; SOUS-SEGMENT'!$EM$8:$EM$1000*'ANALYSE - ERP =&gt; SOUS-SEGMENT'!$DC$8:$DC$1000)/SUMPRODUCT(('ANALYSE - ERP =&gt; SOUS-SEGMENT'!$C$8:$C$1000=$C42)*'ANALYSE - ERP =&gt; SOUS-SEGMENT'!$Q$8:$Q$1000*'ANALYSE - ERP =&gt; SOUS-SEGMENT'!$EM$8:$EM$1000),""))</f>
        <v>14</v>
      </c>
      <c r="DD42" s="805">
        <f>IF($C42="","",IFERROR(SUMPRODUCT(('ANALYSE - ERP =&gt; SOUS-SEGMENT'!$C$8:$C$1000=$C42)*'ANALYSE - ERP =&gt; SOUS-SEGMENT'!$Q$8:$Q$1000*'ANALYSE - ERP =&gt; SOUS-SEGMENT'!$EN$8:$EN$1000*'ANALYSE - ERP =&gt; SOUS-SEGMENT'!$DD$8:$DD$1000)/SUMPRODUCT(('ANALYSE - ERP =&gt; SOUS-SEGMENT'!$C$8:$C$1000=$C42)*'ANALYSE - ERP =&gt; SOUS-SEGMENT'!$Q$8:$Q$1000*'ANALYSE - ERP =&gt; SOUS-SEGMENT'!$EN$8:$EN$1000),""))</f>
        <v>14</v>
      </c>
      <c r="DE42" s="806">
        <f>IF($C42="","",IFERROR(SUMPRODUCT(('ANALYSE - ERP =&gt; SOUS-SEGMENT'!$C$8:$C$1000=$C42)*'ANALYSE - ERP =&gt; SOUS-SEGMENT'!$Q$8:$Q$1000*'ANALYSE - ERP =&gt; SOUS-SEGMENT'!$EO$8:$EO$1000*'ANALYSE - ERP =&gt; SOUS-SEGMENT'!$DE$8:$DE$1000)/SUMPRODUCT(('ANALYSE - ERP =&gt; SOUS-SEGMENT'!$C$8:$C$1000=$C42)*'ANALYSE - ERP =&gt; SOUS-SEGMENT'!$Q$8:$Q$1000*'ANALYSE - ERP =&gt; SOUS-SEGMENT'!$EO$8:$EO$1000),""))</f>
        <v>10</v>
      </c>
      <c r="DF42" s="919" t="s">
        <v>6270</v>
      </c>
      <c r="DG42" s="657"/>
      <c r="DH42" s="308">
        <f>IF($C42="","",SUMPRODUCT(('ANALYSE - ERP =&gt; SOUS-SEGMENT'!$C$8:$C$1000=$C42)*'ANALYSE - ERP =&gt; SOUS-SEGMENT'!$Q$8:$Q$1000*'ANALYSE - ERP =&gt; SOUS-SEGMENT'!$DH$8:$DH$1000))</f>
        <v>8377.25</v>
      </c>
      <c r="DI42" s="308">
        <f>IF($C42="","",SUMPRODUCT(('ANALYSE - ERP =&gt; SOUS-SEGMENT'!$C$8:$C$1000=$C42)*'ANALYSE - ERP =&gt; SOUS-SEGMENT'!$Q$8:$Q$1000*'ANALYSE - ERP =&gt; SOUS-SEGMENT'!$DI$8:$DI$1000))</f>
        <v>11967.5</v>
      </c>
      <c r="DJ42" s="308">
        <f>IF($C42="","",SUMPRODUCT(('ANALYSE - ERP =&gt; SOUS-SEGMENT'!$C$8:$C$1000=$C42)*'ANALYSE - ERP =&gt; SOUS-SEGMENT'!$Q$8:$Q$1000*'ANALYSE - ERP =&gt; SOUS-SEGMENT'!$DJ$8:$DJ$1000))</f>
        <v>2393.5</v>
      </c>
      <c r="DK42" s="308">
        <f>IF($C42="","",SUMPRODUCT(('ANALYSE - ERP =&gt; SOUS-SEGMENT'!$C$8:$C$1000=$C42)*'ANALYSE - ERP =&gt; SOUS-SEGMENT'!$Q$8:$Q$1000*'ANALYSE - ERP =&gt; SOUS-SEGMENT'!$DK$8:$DK$1000))</f>
        <v>1196.75</v>
      </c>
      <c r="DL42" s="646" t="s">
        <v>6271</v>
      </c>
      <c r="DM42" s="308">
        <f>IF($C42="","",SUMPRODUCT(('ANALYSE - ERP =&gt; SOUS-SEGMENT'!$C$8:$C$1000=$C42)*'ANALYSE - ERP =&gt; SOUS-SEGMENT'!$Q$8:$Q$1000*'ANALYSE - ERP =&gt; SOUS-SEGMENT'!$DM$8:$DM$1000))</f>
        <v>8347.2000000000007</v>
      </c>
      <c r="DN42" s="308">
        <f>IF($C42="","",SUMPRODUCT(('ANALYSE - ERP =&gt; SOUS-SEGMENT'!$C$8:$C$1000=$C42)*'ANALYSE - ERP =&gt; SOUS-SEGMENT'!$Q$8:$Q$1000*'ANALYSE - ERP =&gt; SOUS-SEGMENT'!$DN$8:$DN$1000))</f>
        <v>13042.5</v>
      </c>
      <c r="DO42" s="308">
        <f>IF($C42="","",SUMPRODUCT(('ANALYSE - ERP =&gt; SOUS-SEGMENT'!$C$8:$C$1000=$C42)*'ANALYSE - ERP =&gt; SOUS-SEGMENT'!$Q$8:$Q$1000*'ANALYSE - ERP =&gt; SOUS-SEGMENT'!$DO$8:$DO$1000))</f>
        <v>3391.0499999999997</v>
      </c>
      <c r="DP42" s="308">
        <f>IF($C42="","",SUMPRODUCT(('ANALYSE - ERP =&gt; SOUS-SEGMENT'!$C$8:$C$1000=$C42)*'ANALYSE - ERP =&gt; SOUS-SEGMENT'!$Q$8:$Q$1000*'ANALYSE - ERP =&gt; SOUS-SEGMENT'!$DP$8:$DP$1000))</f>
        <v>1304.25</v>
      </c>
      <c r="DQ42" s="646" t="s">
        <v>3755</v>
      </c>
      <c r="DR42" s="657"/>
      <c r="DS42" s="308">
        <f>IF($C42="","",SUMPRODUCT(('ANALYSE - ERP =&gt; SOUS-SEGMENT'!$C$8:$C$1000=$C42)*'ANALYSE - ERP =&gt; SOUS-SEGMENT'!$Q$8:$Q$1000*'ANALYSE - ERP =&gt; SOUS-SEGMENT'!$DS$8:$DS$1000))</f>
        <v>0</v>
      </c>
      <c r="DT42" s="308">
        <f>IF($C42="","",SUMPRODUCT(('ANALYSE - ERP =&gt; SOUS-SEGMENT'!$C$8:$C$1000=$C42)*'ANALYSE - ERP =&gt; SOUS-SEGMENT'!$Q$8:$Q$1000*'ANALYSE - ERP =&gt; SOUS-SEGMENT'!$DT$8:$DT$1000))</f>
        <v>0</v>
      </c>
      <c r="DU42" s="308">
        <f>IF($C42="","",SUMPRODUCT(('ANALYSE - ERP =&gt; SOUS-SEGMENT'!$C$8:$C$1000=$C42)*'ANALYSE - ERP =&gt; SOUS-SEGMENT'!$Q$8:$Q$1000*'ANALYSE - ERP =&gt; SOUS-SEGMENT'!$DU$8:$DU$1000))</f>
        <v>0</v>
      </c>
      <c r="DV42" s="646" t="s">
        <v>2613</v>
      </c>
      <c r="DW42" s="308">
        <f>IF($C42="","",SUMPRODUCT(('ANALYSE - ERP =&gt; SOUS-SEGMENT'!$C$8:$C$1000=$C42)*'ANALYSE - ERP =&gt; SOUS-SEGMENT'!$Q$8:$Q$1000*'ANALYSE - ERP =&gt; SOUS-SEGMENT'!$DW$8:$DW$1000))</f>
        <v>0</v>
      </c>
      <c r="DX42" s="308">
        <f>IF($C42="","",SUMPRODUCT(('ANALYSE - ERP =&gt; SOUS-SEGMENT'!$C$8:$C$1000=$C42)*'ANALYSE - ERP =&gt; SOUS-SEGMENT'!$Q$8:$Q$1000*'ANALYSE - ERP =&gt; SOUS-SEGMENT'!$DX$8:$DX$1000))</f>
        <v>0</v>
      </c>
      <c r="DY42" s="308">
        <f>IF($C42="","",SUMPRODUCT(('ANALYSE - ERP =&gt; SOUS-SEGMENT'!$C$8:$C$1000=$C42)*'ANALYSE - ERP =&gt; SOUS-SEGMENT'!$Q$8:$Q$1000*'ANALYSE - ERP =&gt; SOUS-SEGMENT'!$DY$8:$DY$1000))</f>
        <v>0</v>
      </c>
      <c r="DZ42" s="646" t="s">
        <v>2613</v>
      </c>
      <c r="EA42" s="657"/>
      <c r="EB42" s="308">
        <f>IF($C42="","",SUMPRODUCT(('ANALYSE - ERP =&gt; SOUS-SEGMENT'!$C$8:$C$1000=$C42)*'ANALYSE - ERP =&gt; SOUS-SEGMENT'!$Q$8:$Q$1000*'ANALYSE - ERP =&gt; SOUS-SEGMENT'!$EB$8:$EB$1000))</f>
        <v>301.08000000000004</v>
      </c>
      <c r="EC42" s="308">
        <f>IF($C42="","",SUMPRODUCT(('ANALYSE - ERP =&gt; SOUS-SEGMENT'!$C$8:$C$1000=$C42)*'ANALYSE - ERP =&gt; SOUS-SEGMENT'!$Q$8:$Q$1000*'ANALYSE - ERP =&gt; SOUS-SEGMENT'!$EC$8:$EC$1000))</f>
        <v>1254.5</v>
      </c>
      <c r="ED42" s="308">
        <f>IF($C42="","",SUMPRODUCT(('ANALYSE - ERP =&gt; SOUS-SEGMENT'!$C$8:$C$1000=$C42)*'ANALYSE - ERP =&gt; SOUS-SEGMENT'!$Q$8:$Q$1000*'ANALYSE - ERP =&gt; SOUS-SEGMENT'!$ED$8:$ED$1000))</f>
        <v>376.34999999999997</v>
      </c>
      <c r="EE42" s="308">
        <f>IF($C42="","",SUMPRODUCT(('ANALYSE - ERP =&gt; SOUS-SEGMENT'!$C$8:$C$1000=$C42)*'ANALYSE - ERP =&gt; SOUS-SEGMENT'!$Q$8:$Q$1000*'ANALYSE - ERP =&gt; SOUS-SEGMENT'!$EE$8:$EE$1000))</f>
        <v>577.07000000000005</v>
      </c>
      <c r="EF42" s="646" t="s">
        <v>6272</v>
      </c>
      <c r="EG42" s="308">
        <f>IF($C42="","",SUMPRODUCT(('ANALYSE - ERP =&gt; SOUS-SEGMENT'!$C$8:$C$1000=$C42)*'ANALYSE - ERP =&gt; SOUS-SEGMENT'!$Q$8:$Q$1000*'ANALYSE - ERP =&gt; SOUS-SEGMENT'!$EG$8:$EG$1000))</f>
        <v>273.3</v>
      </c>
      <c r="EH42" s="308">
        <f>IF($C42="","",SUMPRODUCT(('ANALYSE - ERP =&gt; SOUS-SEGMENT'!$C$8:$C$1000=$C42)*'ANALYSE - ERP =&gt; SOUS-SEGMENT'!$Q$8:$Q$1000*'ANALYSE - ERP =&gt; SOUS-SEGMENT'!$EH$8:$EH$1000))</f>
        <v>1366.5</v>
      </c>
      <c r="EI42" s="308">
        <f>IF($C42="","",SUMPRODUCT(('ANALYSE - ERP =&gt; SOUS-SEGMENT'!$C$8:$C$1000=$C42)*'ANALYSE - ERP =&gt; SOUS-SEGMENT'!$Q$8:$Q$1000*'ANALYSE - ERP =&gt; SOUS-SEGMENT'!$EI$8:$EI$1000))</f>
        <v>491.94</v>
      </c>
      <c r="EJ42" s="308">
        <f>IF($C42="","",SUMPRODUCT(('ANALYSE - ERP =&gt; SOUS-SEGMENT'!$C$8:$C$1000=$C42)*'ANALYSE - ERP =&gt; SOUS-SEGMENT'!$Q$8:$Q$1000*'ANALYSE - ERP =&gt; SOUS-SEGMENT'!$EJ$8:$EJ$1000))</f>
        <v>601.26</v>
      </c>
      <c r="EK42" s="936" t="s">
        <v>6273</v>
      </c>
      <c r="EL42" s="657"/>
      <c r="EM42" s="308">
        <f>IF($C42="","",SUMPRODUCT(('ANALYSE - ERP =&gt; SOUS-SEGMENT'!$C$8:$C$1000=$C42)*'ANALYSE - ERP =&gt; SOUS-SEGMENT'!$Q$8:$Q$1000*'ANALYSE - ERP =&gt; SOUS-SEGMENT'!$EM$8:$EM$1000))</f>
        <v>14361</v>
      </c>
      <c r="EN42" s="310">
        <f>IF($C42="","",SUMPRODUCT(('ANALYSE - ERP =&gt; SOUS-SEGMENT'!$C$8:$C$1000=$C42)*'ANALYSE - ERP =&gt; SOUS-SEGMENT'!$Q$8:$Q$1000*'ANALYSE - ERP =&gt; SOUS-SEGMENT'!$EN$8:$EN$1000))</f>
        <v>7180.5</v>
      </c>
      <c r="EO42" s="310">
        <f>IF($C42="","",SUMPRODUCT(('ANALYSE - ERP =&gt; SOUS-SEGMENT'!$C$8:$C$1000=$C42)*'ANALYSE - ERP =&gt; SOUS-SEGMENT'!$Q$8:$Q$1000*'ANALYSE - ERP =&gt; SOUS-SEGMENT'!$EO$8:$EO$1000))</f>
        <v>2393.5</v>
      </c>
      <c r="EP42" s="646" t="s">
        <v>6274</v>
      </c>
      <c r="EQ42" s="308">
        <f>IF($C42="","",SUMPRODUCT(('ANALYSE - ERP =&gt; SOUS-SEGMENT'!$C$8:$C$1000=$C42)*'ANALYSE - ERP =&gt; SOUS-SEGMENT'!$Q$8:$Q$1000*'ANALYSE - ERP =&gt; SOUS-SEGMENT'!$EQ$8:$EQ$1000))</f>
        <v>13564.199999999999</v>
      </c>
      <c r="ER42" s="310">
        <f>IF($C42="","",SUMPRODUCT(('ANALYSE - ERP =&gt; SOUS-SEGMENT'!$C$8:$C$1000=$C42)*'ANALYSE - ERP =&gt; SOUS-SEGMENT'!$Q$8:$Q$1000*'ANALYSE - ERP =&gt; SOUS-SEGMENT'!$ER$8:$ER$1000))</f>
        <v>8608.0500000000011</v>
      </c>
      <c r="ES42" s="310">
        <f>IF($C42="","",SUMPRODUCT(('ANALYSE - ERP =&gt; SOUS-SEGMENT'!$C$8:$C$1000=$C42)*'ANALYSE - ERP =&gt; SOUS-SEGMENT'!$Q$8:$Q$1000*'ANALYSE - ERP =&gt; SOUS-SEGMENT'!$ES$8:$ES$1000))</f>
        <v>3912.75</v>
      </c>
      <c r="ET42" s="646" t="s">
        <v>2872</v>
      </c>
      <c r="EU42" s="657"/>
      <c r="EV42" s="728">
        <f t="shared" si="31"/>
        <v>0.62450589022889524</v>
      </c>
      <c r="EW42" s="728">
        <f t="shared" si="32"/>
        <v>0.37549410977110476</v>
      </c>
      <c r="EX42" s="311">
        <f t="shared" si="33"/>
        <v>17387.980344032632</v>
      </c>
      <c r="EY42" s="311">
        <f t="shared" si="34"/>
        <v>10858.896144032631</v>
      </c>
      <c r="EZ42" s="311">
        <f t="shared" si="35"/>
        <v>6529.0842000000011</v>
      </c>
      <c r="FA42" s="311">
        <f t="shared" si="36"/>
        <v>8339.3431896190468</v>
      </c>
      <c r="FB42" s="311">
        <f>IF($C42="","",SUMPRODUCT(('ANALYSE - ERP =&gt; SOUS-SEGMENT'!$C$8:$C$1000=$C42)*'ANALYSE - ERP =&gt; SOUS-SEGMENT'!$Q$8:$Q$1000*'ANALYSE - ERP =&gt; SOUS-SEGMENT'!$FB$8:$FB$1000))</f>
        <v>5236.7301896190465</v>
      </c>
      <c r="FC42" s="311">
        <f>IF($C42="","",SUMPRODUCT(('ANALYSE - ERP =&gt; SOUS-SEGMENT'!$C$8:$C$1000=$C42)*'ANALYSE - ERP =&gt; SOUS-SEGMENT'!$Q$8:$Q$1000*'ANALYSE - ERP =&gt; SOUS-SEGMENT'!$FC$8:$FC$1000))</f>
        <v>3102.6130000000003</v>
      </c>
      <c r="FD42" s="311">
        <f t="shared" si="37"/>
        <v>0</v>
      </c>
      <c r="FE42" s="311">
        <f>IF($C42="","",SUMPRODUCT(('ANALYSE - ERP =&gt; SOUS-SEGMENT'!$C$8:$C$1000=$C42)*'ANALYSE - ERP =&gt; SOUS-SEGMENT'!$Q$8:$Q$1000*'ANALYSE - ERP =&gt; SOUS-SEGMENT'!$FE$8:$FE$1000))</f>
        <v>0</v>
      </c>
      <c r="FF42" s="311">
        <f>IF($C42="","",SUMPRODUCT(('ANALYSE - ERP =&gt; SOUS-SEGMENT'!$C$8:$C$1000=$C42)*'ANALYSE - ERP =&gt; SOUS-SEGMENT'!$Q$8:$Q$1000*'ANALYSE - ERP =&gt; SOUS-SEGMENT'!$FF$8:$FF$1000))</f>
        <v>0</v>
      </c>
      <c r="FG42" s="311">
        <f t="shared" si="38"/>
        <v>993.67415669930062</v>
      </c>
      <c r="FH42" s="311">
        <f>IF($C42="","",SUMPRODUCT(('ANALYSE - ERP =&gt; SOUS-SEGMENT'!$C$8:$C$1000=$C42)*'ANALYSE - ERP =&gt; SOUS-SEGMENT'!$Q$8:$Q$1000*'ANALYSE - ERP =&gt; SOUS-SEGMENT'!$FH$8:$FH$1000))</f>
        <v>669.81595669930061</v>
      </c>
      <c r="FI42" s="311">
        <f>IF($C42="","",SUMPRODUCT(('ANALYSE - ERP =&gt; SOUS-SEGMENT'!$C$8:$C$1000=$C42)*'ANALYSE - ERP =&gt; SOUS-SEGMENT'!$Q$8:$Q$1000*'ANALYSE - ERP =&gt; SOUS-SEGMENT'!$FI$8:$FI$1000))</f>
        <v>323.85820000000001</v>
      </c>
      <c r="FJ42" s="311">
        <f t="shared" si="39"/>
        <v>8054.9629977142849</v>
      </c>
      <c r="FK42" s="311">
        <f>IF($C42="","",SUMPRODUCT(('ANALYSE - ERP =&gt; SOUS-SEGMENT'!$C$8:$C$1000=$C42)*'ANALYSE - ERP =&gt; SOUS-SEGMENT'!$Q$8:$Q$1000*'ANALYSE - ERP =&gt; SOUS-SEGMENT'!$FK$8:$FK$1000))</f>
        <v>4952.3499977142847</v>
      </c>
      <c r="FL42" s="311">
        <f>IF($C42="","",SUMPRODUCT(('ANALYSE - ERP =&gt; SOUS-SEGMENT'!$C$8:$C$1000=$C42)*'ANALYSE - ERP =&gt; SOUS-SEGMENT'!$Q$8:$Q$1000*'ANALYSE - ERP =&gt; SOUS-SEGMENT'!$FL$8:$FL$1000))</f>
        <v>3102.6130000000003</v>
      </c>
      <c r="FM42" s="657"/>
      <c r="FN42" s="954" t="s">
        <v>2649</v>
      </c>
      <c r="FO42" s="728">
        <f>IF($C42="","",IFERROR(SUMPRODUCT(('ANALYSE - ERP =&gt; SOUS-SEGMENT'!$C$8:$C$1000=$C42)*'ANALYSE - ERP =&gt; SOUS-SEGMENT'!$Q$8:$Q$1000*'ANALYSE - ERP =&gt; SOUS-SEGMENT'!$AF$8:$AF$1000*'ANALYSE - ERP =&gt; SOUS-SEGMENT'!$FO$8:$FO$1000)/SUMPRODUCT(('ANALYSE - ERP =&gt; SOUS-SEGMENT'!$C$8:$C$1000=$C42)*'ANALYSE - ERP =&gt; SOUS-SEGMENT'!$Q$8:$Q$1000*'ANALYSE - ERP =&gt; SOUS-SEGMENT'!$AF$8:$AF$1000),""))</f>
        <v>3.9800000000000002E-2</v>
      </c>
      <c r="FP42" s="729">
        <f>IF($C42="","",IFERROR(SUMPRODUCT(('ANALYSE - ERP =&gt; SOUS-SEGMENT'!$C$8:$C$1000=$C42)*'ANALYSE - ERP =&gt; SOUS-SEGMENT'!$Q$8:$Q$1000*'ANALYSE - ERP =&gt; SOUS-SEGMENT'!$AF$8:$AF$1000*'ANALYSE - ERP =&gt; SOUS-SEGMENT'!$FP$8:$FP$1000)/SUMPRODUCT(('ANALYSE - ERP =&gt; SOUS-SEGMENT'!$C$8:$C$1000=$C42)*'ANALYSE - ERP =&gt; SOUS-SEGMENT'!$Q$8:$Q$1000*'ANALYSE - ERP =&gt; SOUS-SEGMENT'!$AF$8:$AF$1000),""))</f>
        <v>0.76240000000000008</v>
      </c>
      <c r="FQ42" s="954" t="s">
        <v>5232</v>
      </c>
      <c r="FR42" s="657"/>
      <c r="FS42" s="865">
        <f>IF($C42="","",IFERROR(SUMPRODUCT(('ANALYSE - ERP =&gt; SOUS-SEGMENT'!$C$8:$C$1000=$C42)*'ANALYSE - ERP =&gt; SOUS-SEGMENT'!$Q$8:$Q$1000*'ANALYSE - ERP =&gt; SOUS-SEGMENT'!$EX$8:$EX$1000*'ANALYSE - ERP =&gt; SOUS-SEGMENT'!$FS$8:$FS$1000)/SUMPRODUCT(('ANALYSE - ERP =&gt; SOUS-SEGMENT'!$C$8:$C$1000=$C42)*'ANALYSE - ERP =&gt; SOUS-SEGMENT'!$Q$8:$Q$1000*'ANALYSE - ERP =&gt; SOUS-SEGMENT'!$EX$8:$EX$1000),""))</f>
        <v>2.83</v>
      </c>
      <c r="FT42" s="312">
        <f>IF($C42="","",RANK($FS42,$FS$8:$FS$43,0)+COUNTIF($FS$8:$FS42,$FS42)-1)</f>
        <v>32</v>
      </c>
      <c r="FU42" s="865">
        <f>IF($C42="","",IFERROR(SUMPRODUCT(('ANALYSE - ERP =&gt; SOUS-SEGMENT'!$C$8:$C$1000=$C42)*'ANALYSE - ERP =&gt; SOUS-SEGMENT'!$Q$8:$Q$1000*'ANALYSE - ERP =&gt; SOUS-SEGMENT'!$EY$8:$EY$1000*'ANALYSE - ERP =&gt; SOUS-SEGMENT'!$FU$8:$FU$1000)/SUMPRODUCT(('ANALYSE - ERP =&gt; SOUS-SEGMENT'!$C$8:$C$1000=$C42)*'ANALYSE - ERP =&gt; SOUS-SEGMENT'!$Q$8:$Q$1000*'ANALYSE - ERP =&gt; SOUS-SEGMENT'!$EY$8:$EY$1000),""))</f>
        <v>3.4</v>
      </c>
      <c r="FV42" s="312">
        <f>IF($C42="","",RANK($FU42,$FU$8:$FU$43,0)+COUNTIF($FU$8:$FU42,$FU42)-1)</f>
        <v>32</v>
      </c>
      <c r="FW42" s="865">
        <f>IF($C42="","",IFERROR(SUMPRODUCT(('ANALYSE - ERP =&gt; SOUS-SEGMENT'!$C$8:$C$1000=$C42)*'ANALYSE - ERP =&gt; SOUS-SEGMENT'!$Q$8:$Q$1000*'ANALYSE - ERP =&gt; SOUS-SEGMENT'!$EZ$8:$EZ$1000*'ANALYSE - ERP =&gt; SOUS-SEGMENT'!$FW$8:$FW$1000)/SUMPRODUCT(('ANALYSE - ERP =&gt; SOUS-SEGMENT'!$C$8:$C$1000=$C42)*'ANALYSE - ERP =&gt; SOUS-SEGMENT'!$Q$8:$Q$1000*'ANALYSE - ERP =&gt; SOUS-SEGMENT'!$EZ$8:$EZ$1000),""))</f>
        <v>1.8199999999999998</v>
      </c>
      <c r="FX42" s="312">
        <f>IF($C42="","",RANK($FW42,$FW$8:$FW$43,0)+COUNTIF($FW$8:$FW42,$FW42)-1)</f>
        <v>30</v>
      </c>
      <c r="FY42" s="657"/>
      <c r="FZ42" s="646" t="s">
        <v>5233</v>
      </c>
      <c r="GA42" s="646" t="s">
        <v>6275</v>
      </c>
      <c r="GB42" s="646" t="s">
        <v>2653</v>
      </c>
      <c r="GC42" s="646" t="s">
        <v>2654</v>
      </c>
      <c r="GD42" s="646" t="s">
        <v>2876</v>
      </c>
      <c r="GE42" s="646" t="s">
        <v>2656</v>
      </c>
      <c r="GF42" s="276" t="s">
        <v>6276</v>
      </c>
      <c r="GG42" s="657"/>
      <c r="GH42" s="311">
        <f t="shared" si="40"/>
        <v>2827.3611600000004</v>
      </c>
      <c r="GI42" s="311">
        <f>IF($C42="","",SUMPRODUCT(('ANALYSE - ERP =&gt; SOUS-SEGMENT'!$C$8:$C$1000=$C42)*'ANALYSE - ERP =&gt; SOUS-SEGMENT'!$Q$8:$Q$1000*'ANALYSE - ERP =&gt; SOUS-SEGMENT'!$GI$8:$GI$1000))</f>
        <v>1834.5250000000001</v>
      </c>
      <c r="GJ42" s="311">
        <f>IF($C42="","",SUMPRODUCT(('ANALYSE - ERP =&gt; SOUS-SEGMENT'!$C$8:$C$1000=$C42)*'ANALYSE - ERP =&gt; SOUS-SEGMENT'!$Q$8:$Q$1000*'ANALYSE - ERP =&gt; SOUS-SEGMENT'!$GJ$8:$GJ$1000))</f>
        <v>992.83616000000006</v>
      </c>
      <c r="GK42" s="311">
        <f t="shared" si="41"/>
        <v>3863.9652142857144</v>
      </c>
      <c r="GL42" s="311">
        <f>IF($C42="","",SUMPRODUCT(('ANALYSE - ERP =&gt; SOUS-SEGMENT'!$C$8:$C$1000=$C42)*'ANALYSE - ERP =&gt; SOUS-SEGMENT'!$Q$8:$Q$1000*'ANALYSE - ERP =&gt; SOUS-SEGMENT'!$GL$8:$GL$1000))</f>
        <v>2312.6587142857143</v>
      </c>
      <c r="GM42" s="311">
        <f>IF($C42="","",SUMPRODUCT(('ANALYSE - ERP =&gt; SOUS-SEGMENT'!$C$8:$C$1000=$C42)*'ANALYSE - ERP =&gt; SOUS-SEGMENT'!$Q$8:$Q$1000*'ANALYSE - ERP =&gt; SOUS-SEGMENT'!$GM$8:$GM$1000))</f>
        <v>1551.3065000000001</v>
      </c>
      <c r="GN42" s="311">
        <f t="shared" si="42"/>
        <v>1192.904002</v>
      </c>
      <c r="GO42" s="311">
        <f>IF($C42="","",SUMPRODUCT(('ANALYSE - ERP =&gt; SOUS-SEGMENT'!$C$8:$C$1000=$C42)*'ANALYSE - ERP =&gt; SOUS-SEGMENT'!$Q$8:$Q$1000*'ANALYSE - ERP =&gt; SOUS-SEGMENT'!$GO$8:$GO$1000))</f>
        <v>789.56431199999997</v>
      </c>
      <c r="GP42" s="311">
        <f>IF($C42="","",SUMPRODUCT(('ANALYSE - ERP =&gt; SOUS-SEGMENT'!$C$8:$C$1000=$C42)*'ANALYSE - ERP =&gt; SOUS-SEGMENT'!$Q$8:$Q$1000*'ANALYSE - ERP =&gt; SOUS-SEGMENT'!$GP$8:$GP$1000))</f>
        <v>403.33969000000002</v>
      </c>
      <c r="GQ42" s="311">
        <f t="shared" si="43"/>
        <v>455.11281333333335</v>
      </c>
      <c r="GR42" s="311">
        <f>IF($C42="","",SUMPRODUCT(('ANALYSE - ERP =&gt; SOUS-SEGMENT'!$C$8:$C$1000=$C42)*'ANALYSE - ERP =&gt; SOUS-SEGMENT'!$Q$8:$Q$1000*'ANALYSE - ERP =&gt; SOUS-SEGMENT'!$GR$8:$GR$1000))</f>
        <v>299.98216333333335</v>
      </c>
      <c r="GS42" s="311">
        <f>IF($C42="","",SUMPRODUCT(('ANALYSE - ERP =&gt; SOUS-SEGMENT'!$C$8:$C$1000=$C42)*'ANALYSE - ERP =&gt; SOUS-SEGMENT'!$Q$8:$Q$1000*'ANALYSE - ERP =&gt; SOUS-SEGMENT'!$GS$8:$GS$1000))</f>
        <v>155.13065</v>
      </c>
      <c r="GT42" s="311">
        <f t="shared" si="44"/>
        <v>0</v>
      </c>
      <c r="GU42" s="311">
        <f>IF($C42="","",SUMPRODUCT(('ANALYSE - ERP =&gt; SOUS-SEGMENT'!$C$8:$C$1000=$C42)*'ANALYSE - ERP =&gt; SOUS-SEGMENT'!$Q$8:$Q$1000*'ANALYSE - ERP =&gt; SOUS-SEGMENT'!$GU$8:$GU$1000))</f>
        <v>0</v>
      </c>
      <c r="GV42" s="311">
        <f>IF($C42="","",SUMPRODUCT(('ANALYSE - ERP =&gt; SOUS-SEGMENT'!$C$8:$C$1000=$C42)*'ANALYSE - ERP =&gt; SOUS-SEGMENT'!$Q$8:$Q$1000*'ANALYSE - ERP =&gt; SOUS-SEGMENT'!$GV$8:$GV$1000))</f>
        <v>0</v>
      </c>
      <c r="GW42" s="311">
        <f t="shared" si="45"/>
        <v>0</v>
      </c>
      <c r="GX42" s="311">
        <f>IF($C42="","",SUMPRODUCT(('ANALYSE - ERP =&gt; SOUS-SEGMENT'!$C$8:$C$1000=$C42)*'ANALYSE - ERP =&gt; SOUS-SEGMENT'!$Q$8:$Q$1000*'ANALYSE - ERP =&gt; SOUS-SEGMENT'!$GX$8:$GX$1000))</f>
        <v>0</v>
      </c>
      <c r="GY42" s="311">
        <f>IF($C42="","",SUMPRODUCT(('ANALYSE - ERP =&gt; SOUS-SEGMENT'!$C$8:$C$1000=$C42)*'ANALYSE - ERP =&gt; SOUS-SEGMENT'!$Q$8:$Q$1000*'ANALYSE - ERP =&gt; SOUS-SEGMENT'!$GY$8:$GY$1000))</f>
        <v>0</v>
      </c>
      <c r="GZ42" s="311">
        <f t="shared" si="46"/>
        <v>0</v>
      </c>
      <c r="HA42" s="311">
        <f>IF($C42="","",SUMPRODUCT(('ANALYSE - ERP =&gt; SOUS-SEGMENT'!$C$8:$C$1000=$C42)*'ANALYSE - ERP =&gt; SOUS-SEGMENT'!$Q$8:$Q$1000*'ANALYSE - ERP =&gt; SOUS-SEGMENT'!$HA$8:$HA$1000))</f>
        <v>0</v>
      </c>
      <c r="HB42" s="311">
        <f>IF($C42="","",SUMPRODUCT(('ANALYSE - ERP =&gt; SOUS-SEGMENT'!$C$8:$C$1000=$C42)*'ANALYSE - ERP =&gt; SOUS-SEGMENT'!$Q$8:$Q$1000*'ANALYSE - ERP =&gt; SOUS-SEGMENT'!$HB$8:$HB$1000))</f>
        <v>0</v>
      </c>
      <c r="HC42" s="311">
        <f t="shared" si="47"/>
        <v>119.58053767272727</v>
      </c>
      <c r="HD42" s="311">
        <f>IF($C42="","",SUMPRODUCT(('ANALYSE - ERP =&gt; SOUS-SEGMENT'!$C$8:$C$1000=$C42)*'ANALYSE - ERP =&gt; SOUS-SEGMENT'!$Q$8:$Q$1000*'ANALYSE - ERP =&gt; SOUS-SEGMENT'!$HD$8:$HD$1000))</f>
        <v>87.194717672727265</v>
      </c>
      <c r="HE42" s="311">
        <f>IF($C42="","",SUMPRODUCT(('ANALYSE - ERP =&gt; SOUS-SEGMENT'!$C$8:$C$1000=$C42)*'ANALYSE - ERP =&gt; SOUS-SEGMENT'!$Q$8:$Q$1000*'ANALYSE - ERP =&gt; SOUS-SEGMENT'!$HE$8:$HE$1000))</f>
        <v>32.385820000000002</v>
      </c>
      <c r="HF42" s="311">
        <f t="shared" si="48"/>
        <v>436.07054615384612</v>
      </c>
      <c r="HG42" s="311">
        <f>IF($C42="","",SUMPRODUCT(('ANALYSE - ERP =&gt; SOUS-SEGMENT'!$C$8:$C$1000=$C42)*'ANALYSE - ERP =&gt; SOUS-SEGMENT'!$Q$8:$Q$1000*'ANALYSE - ERP =&gt; SOUS-SEGMENT'!$HG$8:$HG$1000))</f>
        <v>274.14144615384612</v>
      </c>
      <c r="HH42" s="311">
        <f>IF($C42="","",SUMPRODUCT(('ANALYSE - ERP =&gt; SOUS-SEGMENT'!$C$8:$C$1000=$C42)*'ANALYSE - ERP =&gt; SOUS-SEGMENT'!$Q$8:$Q$1000*'ANALYSE - ERP =&gt; SOUS-SEGMENT'!$HH$8:$HH$1000))</f>
        <v>161.92910000000001</v>
      </c>
      <c r="HI42" s="311">
        <f t="shared" si="49"/>
        <v>199.65106</v>
      </c>
      <c r="HJ42" s="311">
        <f>IF($C42="","",SUMPRODUCT(('ANALYSE - ERP =&gt; SOUS-SEGMENT'!$C$8:$C$1000=$C42)*'ANALYSE - ERP =&gt; SOUS-SEGMENT'!$Q$8:$Q$1000*'ANALYSE - ERP =&gt; SOUS-SEGMENT'!$HJ$8:$HJ$1000))</f>
        <v>141.356584</v>
      </c>
      <c r="HK42" s="311">
        <f>IF($C42="","",SUMPRODUCT(('ANALYSE - ERP =&gt; SOUS-SEGMENT'!$C$8:$C$1000=$C42)*'ANALYSE - ERP =&gt; SOUS-SEGMENT'!$Q$8:$Q$1000*'ANALYSE - ERP =&gt; SOUS-SEGMENT'!$HK$8:$HK$1000))</f>
        <v>58.294475999999996</v>
      </c>
      <c r="HL42" s="311">
        <f t="shared" si="50"/>
        <v>238.37201287272728</v>
      </c>
      <c r="HM42" s="311">
        <f>IF($C42="","",SUMPRODUCT(('ANALYSE - ERP =&gt; SOUS-SEGMENT'!$C$8:$C$1000=$C42)*'ANALYSE - ERP =&gt; SOUS-SEGMENT'!$Q$8:$Q$1000*'ANALYSE - ERP =&gt; SOUS-SEGMENT'!$HM$8:$HM$1000))</f>
        <v>167.12320887272728</v>
      </c>
      <c r="HN42" s="311">
        <f>IF($C42="","",SUMPRODUCT(('ANALYSE - ERP =&gt; SOUS-SEGMENT'!$C$8:$C$1000=$C42)*'ANALYSE - ERP =&gt; SOUS-SEGMENT'!$Q$8:$Q$1000*'ANALYSE - ERP =&gt; SOUS-SEGMENT'!$HN$8:$HN$1000))</f>
        <v>71.248803999999993</v>
      </c>
      <c r="HO42" s="311">
        <f t="shared" si="51"/>
        <v>4388.5492171428568</v>
      </c>
      <c r="HP42" s="311">
        <f>IF($C42="","",SUMPRODUCT(('ANALYSE - ERP =&gt; SOUS-SEGMENT'!$C$8:$C$1000=$C42)*'ANALYSE - ERP =&gt; SOUS-SEGMENT'!$Q$8:$Q$1000*'ANALYSE - ERP =&gt; SOUS-SEGMENT'!$HP$8:$HP$1000))</f>
        <v>2775.1904571428568</v>
      </c>
      <c r="HQ42" s="311">
        <f>IF($C42="","",SUMPRODUCT(('ANALYSE - ERP =&gt; SOUS-SEGMENT'!$C$8:$C$1000=$C42)*'ANALYSE - ERP =&gt; SOUS-SEGMENT'!$Q$8:$Q$1000*'ANALYSE - ERP =&gt; SOUS-SEGMENT'!$HQ$8:$HQ$1000))</f>
        <v>1613.3587600000001</v>
      </c>
      <c r="HR42" s="311">
        <f t="shared" si="52"/>
        <v>2411.4575185714284</v>
      </c>
      <c r="HS42" s="311">
        <f>IF($C42="","",SUMPRODUCT(('ANALYSE - ERP =&gt; SOUS-SEGMENT'!$C$8:$C$1000=$C42)*'ANALYSE - ERP =&gt; SOUS-SEGMENT'!$Q$8:$Q$1000*'ANALYSE - ERP =&gt; SOUS-SEGMENT'!$HS$8:$HS$1000))</f>
        <v>1387.5952285714284</v>
      </c>
      <c r="HT42" s="311">
        <f>IF($C42="","",SUMPRODUCT(('ANALYSE - ERP =&gt; SOUS-SEGMENT'!$C$8:$C$1000=$C42)*'ANALYSE - ERP =&gt; SOUS-SEGMENT'!$Q$8:$Q$1000*'ANALYSE - ERP =&gt; SOUS-SEGMENT'!$HT$8:$HT$1000))</f>
        <v>1023.86229</v>
      </c>
      <c r="HU42" s="311">
        <f t="shared" si="53"/>
        <v>1254.9562619999999</v>
      </c>
      <c r="HV42" s="311">
        <f>IF($C42="","",SUMPRODUCT(('ANALYSE - ERP =&gt; SOUS-SEGMENT'!$C$8:$C$1000=$C42)*'ANALYSE - ERP =&gt; SOUS-SEGMENT'!$Q$8:$Q$1000*'ANALYSE - ERP =&gt; SOUS-SEGMENT'!$HV$8:$HV$1000))</f>
        <v>789.56431199999997</v>
      </c>
      <c r="HW42" s="311">
        <f>IF($C42="","",SUMPRODUCT(('ANALYSE - ERP =&gt; SOUS-SEGMENT'!$C$8:$C$1000=$C42)*'ANALYSE - ERP =&gt; SOUS-SEGMENT'!$Q$8:$Q$1000*'ANALYSE - ERP =&gt; SOUS-SEGMENT'!$HW$8:$HW$1000))</f>
        <v>465.39194999999995</v>
      </c>
      <c r="HY42" s="313">
        <f t="shared" si="54"/>
        <v>48101</v>
      </c>
      <c r="HZ42" s="313">
        <f>IF($C42="","",SUMPRODUCT(('ANALYSE - ERP =&gt; SOUS-SEGMENT'!$C$8:$C$1000=$C42)*'ANALYSE - ERP =&gt; SOUS-SEGMENT'!$Q$8:$Q$1000*'ANALYSE - ERP =&gt; SOUS-SEGMENT'!$HZ$8:$HZ$1000))</f>
        <v>1510.8049999999998</v>
      </c>
      <c r="IA42" s="313">
        <f>IF($C42="","",SUMPRODUCT(('ANALYSE - ERP =&gt; SOUS-SEGMENT'!$C$8:$C$1000=$C42)*'ANALYSE - ERP =&gt; SOUS-SEGMENT'!$Q$8:$Q$1000*'ANALYSE - ERP =&gt; SOUS-SEGMENT'!$IA$8:$IA$1000))</f>
        <v>19626.9087</v>
      </c>
      <c r="IB42" s="313">
        <f>IF($C42="","",SUMPRODUCT(('ANALYSE - ERP =&gt; SOUS-SEGMENT'!$C$8:$C$1000=$C42)*'ANALYSE - ERP =&gt; SOUS-SEGMENT'!$Q$8:$Q$1000*'ANALYSE - ERP =&gt; SOUS-SEGMENT'!$IB$8:$IB$1000))</f>
        <v>23873.181800000002</v>
      </c>
      <c r="IC42" s="313">
        <f>IF($C42="","",SUMPRODUCT(('ANALYSE - ERP =&gt; SOUS-SEGMENT'!$C$8:$C$1000=$C42)*'ANALYSE - ERP =&gt; SOUS-SEGMENT'!$Q$8:$Q$1000*'ANALYSE - ERP =&gt; SOUS-SEGMENT'!$IC$8:$IC$1000))</f>
        <v>3090.1044999999999</v>
      </c>
      <c r="ID42" s="313">
        <f>IF($C42="","",SUMPRODUCT(('ANALYSE - ERP =&gt; SOUS-SEGMENT'!$C$8:$C$1000=$C42)*'ANALYSE - ERP =&gt; SOUS-SEGMENT'!$Q$8:$Q$1000*'ANALYSE - ERP =&gt; SOUS-SEGMENT'!$ID$8:$ID$1000))</f>
        <v>0</v>
      </c>
      <c r="IE42" s="313">
        <f t="shared" si="55"/>
        <v>10247.697817822842</v>
      </c>
      <c r="IF42" s="313">
        <f>IF($C42="","",SUMPRODUCT(('ANALYSE - ERP =&gt; SOUS-SEGMENT'!$C$8:$C$1000=$C42)*'ANALYSE - ERP =&gt; SOUS-SEGMENT'!$Q$8:$Q$1000*'ANALYSE - ERP =&gt; SOUS-SEGMENT'!$IF$8:$IF$1000))</f>
        <v>150.57731410284919</v>
      </c>
      <c r="IG42" s="313">
        <f>IF($C42="","",SUMPRODUCT(('ANALYSE - ERP =&gt; SOUS-SEGMENT'!$C$8:$C$1000=$C42)*'ANALYSE - ERP =&gt; SOUS-SEGMENT'!$Q$8:$Q$1000*'ANALYSE - ERP =&gt; SOUS-SEGMENT'!$IG$8:$IG$1000))</f>
        <v>3972.5286626098405</v>
      </c>
      <c r="IH42" s="313">
        <f>IF($C42="","",SUMPRODUCT(('ANALYSE - ERP =&gt; SOUS-SEGMENT'!$C$8:$C$1000=$C42)*'ANALYSE - ERP =&gt; SOUS-SEGMENT'!$Q$8:$Q$1000*'ANALYSE - ERP =&gt; SOUS-SEGMENT'!$IH$8:$IH$1000))</f>
        <v>5256.9419651459475</v>
      </c>
      <c r="II42" s="313">
        <f>IF($C42="","",SUMPRODUCT(('ANALYSE - ERP =&gt; SOUS-SEGMENT'!$C$8:$C$1000=$C42)*'ANALYSE - ERP =&gt; SOUS-SEGMENT'!$Q$8:$Q$1000*'ANALYSE - ERP =&gt; SOUS-SEGMENT'!$II$8:$II$1000))</f>
        <v>830.7464402939454</v>
      </c>
      <c r="IJ42" s="313">
        <f>IF($C42="","",SUMPRODUCT(('ANALYSE - ERP =&gt; SOUS-SEGMENT'!$C$8:$C$1000=$C42)*'ANALYSE - ERP =&gt; SOUS-SEGMENT'!$Q$8:$Q$1000*'ANALYSE - ERP =&gt; SOUS-SEGMENT'!$IJ$8:$IJ$1000))</f>
        <v>36.903435670260137</v>
      </c>
      <c r="IK42" s="866">
        <f>IF($C42="","",IFERROR(SUMPRODUCT(('ANALYSE - ERP =&gt; SOUS-SEGMENT'!$C$8:$C$1000=$C42)*'ANALYSE - ERP =&gt; SOUS-SEGMENT'!$Q$8:$Q$1000*'ANALYSE - ERP =&gt; SOUS-SEGMENT'!$IE$8:$IE$1000*'ANALYSE - ERP =&gt; SOUS-SEGMENT'!$IK$8:$IK$1000)/SUMPRODUCT(('ANALYSE - ERP =&gt; SOUS-SEGMENT'!$C$8:$C$1000=$C42)*'ANALYSE - ERP =&gt; SOUS-SEGMENT'!$Q$8:$Q$1000*'ANALYSE - ERP =&gt; SOUS-SEGMENT'!$IE$8:$IE$1000),""))</f>
        <v>4.13</v>
      </c>
      <c r="IL42" s="920" t="s">
        <v>2589</v>
      </c>
      <c r="IM42" s="964" t="s">
        <v>6277</v>
      </c>
      <c r="IN42" s="657"/>
      <c r="IO42" s="730">
        <f>IF($C42="","",IFERROR(SUMPRODUCT(('ANALYSE - ERP =&gt; SOUS-SEGMENT'!$C$8:$C$1000=$C42)*'ANALYSE - ERP =&gt; SOUS-SEGMENT'!$Q$8:$Q$1000*'ANALYSE - ERP =&gt; SOUS-SEGMENT'!$BE$8:$BE$1000*'ANALYSE - ERP =&gt; SOUS-SEGMENT'!$IO$8:$IO$1000)/SUMPRODUCT(('ANALYSE - ERP =&gt; SOUS-SEGMENT'!$C$8:$C$1000=$C42)*'ANALYSE - ERP =&gt; SOUS-SEGMENT'!$Q$8:$Q$1000*'ANALYSE - ERP =&gt; SOUS-SEGMENT'!$BE$8:$BE$1000),""))</f>
        <v>0.03</v>
      </c>
      <c r="IP42" s="730">
        <f>IF($C42="","",IFERROR(SUMPRODUCT(('ANALYSE - ERP =&gt; SOUS-SEGMENT'!$C$8:$C$1000=$C42)*'ANALYSE - ERP =&gt; SOUS-SEGMENT'!$Q$8:$Q$1000*'ANALYSE - ERP =&gt; SOUS-SEGMENT'!$BE$8:$BE$1000*'ANALYSE - ERP =&gt; SOUS-SEGMENT'!$IP$8:$IP$1000)/SUMPRODUCT(('ANALYSE - ERP =&gt; SOUS-SEGMENT'!$C$8:$C$1000=$C42)*'ANALYSE - ERP =&gt; SOUS-SEGMENT'!$Q$8:$Q$1000*'ANALYSE - ERP =&gt; SOUS-SEGMENT'!$BE$8:$BE$1000),""))</f>
        <v>0.4</v>
      </c>
      <c r="IQ42" s="730">
        <f>IF($C42="","",IFERROR(SUMPRODUCT(('ANALYSE - ERP =&gt; SOUS-SEGMENT'!$C$8:$C$1000=$C42)*'ANALYSE - ERP =&gt; SOUS-SEGMENT'!$Q$8:$Q$1000*'ANALYSE - ERP =&gt; SOUS-SEGMENT'!$BE$8:$BE$1000*'ANALYSE - ERP =&gt; SOUS-SEGMENT'!$IQ$8:$IQ$1000)/SUMPRODUCT(('ANALYSE - ERP =&gt; SOUS-SEGMENT'!$C$8:$C$1000=$C42)*'ANALYSE - ERP =&gt; SOUS-SEGMENT'!$Q$8:$Q$1000*'ANALYSE - ERP =&gt; SOUS-SEGMENT'!$BE$8:$BE$1000),""))</f>
        <v>0.5</v>
      </c>
      <c r="IR42" s="730">
        <f>IF($C42="","",IFERROR(SUMPRODUCT(('ANALYSE - ERP =&gt; SOUS-SEGMENT'!$C$8:$C$1000=$C42)*'ANALYSE - ERP =&gt; SOUS-SEGMENT'!$Q$8:$Q$1000*'ANALYSE - ERP =&gt; SOUS-SEGMENT'!$BE$8:$BE$1000*'ANALYSE - ERP =&gt; SOUS-SEGMENT'!$IR$8:$IR$1000)/SUMPRODUCT(('ANALYSE - ERP =&gt; SOUS-SEGMENT'!$C$8:$C$1000=$C42)*'ANALYSE - ERP =&gt; SOUS-SEGMENT'!$Q$8:$Q$1000*'ANALYSE - ERP =&gt; SOUS-SEGMENT'!$BE$8:$BE$1000),""))</f>
        <v>7.0000000000000007E-2</v>
      </c>
      <c r="IS42" s="730">
        <f>IF($C42="","",IFERROR(SUMPRODUCT(('ANALYSE - ERP =&gt; SOUS-SEGMENT'!$C$8:$C$1000=$C42)*'ANALYSE - ERP =&gt; SOUS-SEGMENT'!$Q$8:$Q$1000*'ANALYSE - ERP =&gt; SOUS-SEGMENT'!$BE$8:$BE$1000*'ANALYSE - ERP =&gt; SOUS-SEGMENT'!$IS$8:$IS$1000)/SUMPRODUCT(('ANALYSE - ERP =&gt; SOUS-SEGMENT'!$C$8:$C$1000=$C42)*'ANALYSE - ERP =&gt; SOUS-SEGMENT'!$Q$8:$Q$1000*'ANALYSE - ERP =&gt; SOUS-SEGMENT'!$BE$8:$BE$1000),""))</f>
        <v>0</v>
      </c>
      <c r="IT42" s="730">
        <f>IF($C42="","",IFERROR(SUMPRODUCT(('ANALYSE - ERP =&gt; SOUS-SEGMENT'!$C$8:$C$1000=$C42)*'ANALYSE - ERP =&gt; SOUS-SEGMENT'!$Q$8:$Q$1000*'ANALYSE - ERP =&gt; SOUS-SEGMENT'!$FB$8:$FB$1000*'ANALYSE - ERP =&gt; SOUS-SEGMENT'!$IT$8:$IT$1000)/SUMPRODUCT(('ANALYSE - ERP =&gt; SOUS-SEGMENT'!$C$8:$C$1000=$C42)*'ANALYSE - ERP =&gt; SOUS-SEGMENT'!$Q$8:$Q$1000*'ANALYSE - ERP =&gt; SOUS-SEGMENT'!$FB$8:$FB$1000),""))</f>
        <v>1.3299999999999999E-2</v>
      </c>
      <c r="IU42" s="730">
        <f>IF($C42="","",IFERROR(SUMPRODUCT(('ANALYSE - ERP =&gt; SOUS-SEGMENT'!$C$8:$C$1000=$C42)*'ANALYSE - ERP =&gt; SOUS-SEGMENT'!$Q$8:$Q$1000*'ANALYSE - ERP =&gt; SOUS-SEGMENT'!$FB$8:$FB$1000*'ANALYSE - ERP =&gt; SOUS-SEGMENT'!$IU$8:$IU$1000)/SUMPRODUCT(('ANALYSE - ERP =&gt; SOUS-SEGMENT'!$C$8:$C$1000=$C42)*'ANALYSE - ERP =&gt; SOUS-SEGMENT'!$Q$8:$Q$1000*'ANALYSE - ERP =&gt; SOUS-SEGMENT'!$FB$8:$FB$1000),""))</f>
        <v>0.37970000000000004</v>
      </c>
      <c r="IV42" s="730">
        <f>IF($C42="","",IFERROR(SUMPRODUCT(('ANALYSE - ERP =&gt; SOUS-SEGMENT'!$C$8:$C$1000=$C42)*'ANALYSE - ERP =&gt; SOUS-SEGMENT'!$Q$8:$Q$1000*'ANALYSE - ERP =&gt; SOUS-SEGMENT'!$FB$8:$FB$1000*'ANALYSE - ERP =&gt; SOUS-SEGMENT'!$IV$8:$IV$1000)/SUMPRODUCT(('ANALYSE - ERP =&gt; SOUS-SEGMENT'!$C$8:$C$1000=$C42)*'ANALYSE - ERP =&gt; SOUS-SEGMENT'!$Q$8:$Q$1000*'ANALYSE - ERP =&gt; SOUS-SEGMENT'!$FB$8:$FB$1000),""))</f>
        <v>0.51670000000000016</v>
      </c>
      <c r="IW42" s="730">
        <f>IF($C42="","",IFERROR(SUMPRODUCT(('ANALYSE - ERP =&gt; SOUS-SEGMENT'!$C$8:$C$1000=$C42)*'ANALYSE - ERP =&gt; SOUS-SEGMENT'!$Q$8:$Q$1000*'ANALYSE - ERP =&gt; SOUS-SEGMENT'!$FB$8:$FB$1000*'ANALYSE - ERP =&gt; SOUS-SEGMENT'!$IW$8:$IW$1000)/SUMPRODUCT(('ANALYSE - ERP =&gt; SOUS-SEGMENT'!$C$8:$C$1000=$C42)*'ANALYSE - ERP =&gt; SOUS-SEGMENT'!$Q$8:$Q$1000*'ANALYSE - ERP =&gt; SOUS-SEGMENT'!$FB$8:$FB$1000),""))</f>
        <v>8.6700000000000013E-2</v>
      </c>
      <c r="IX42" s="730">
        <f>IF($C42="","",IFERROR(SUMPRODUCT(('ANALYSE - ERP =&gt; SOUS-SEGMENT'!$C$8:$C$1000=$C42)*'ANALYSE - ERP =&gt; SOUS-SEGMENT'!$Q$8:$Q$1000*'ANALYSE - ERP =&gt; SOUS-SEGMENT'!$FB$8:$FB$1000*'ANALYSE - ERP =&gt; SOUS-SEGMENT'!$IX$8:$IX$1000)/SUMPRODUCT(('ANALYSE - ERP =&gt; SOUS-SEGMENT'!$C$8:$C$1000=$C42)*'ANALYSE - ERP =&gt; SOUS-SEGMENT'!$Q$8:$Q$1000*'ANALYSE - ERP =&gt; SOUS-SEGMENT'!$FB$8:$FB$1000),""))</f>
        <v>3.5999999999999999E-3</v>
      </c>
      <c r="IY42" s="730" t="str">
        <f>IF($C42="","",IFERROR(SUMPRODUCT(('ANALYSE - ERP =&gt; SOUS-SEGMENT'!$C$8:$C$1000=$C42)*'ANALYSE - ERP =&gt; SOUS-SEGMENT'!$Q$8:$Q$1000*'ANALYSE - ERP =&gt; SOUS-SEGMENT'!$BF$8:$BF$1000*'ANALYSE - ERP =&gt; SOUS-SEGMENT'!$IY$8:$IY$1000)/SUMPRODUCT(('ANALYSE - ERP =&gt; SOUS-SEGMENT'!$C$8:$C$1000=$C42)*'ANALYSE - ERP =&gt; SOUS-SEGMENT'!$Q$8:$Q$1000*'ANALYSE - ERP =&gt; SOUS-SEGMENT'!$BF$8:$BF$1000),""))</f>
        <v/>
      </c>
      <c r="IZ42" s="730" t="str">
        <f>IF($C42="","",IFERROR(SUMPRODUCT(('ANALYSE - ERP =&gt; SOUS-SEGMENT'!$C$8:$C$1000=$C42)*'ANALYSE - ERP =&gt; SOUS-SEGMENT'!$Q$8:$Q$1000*'ANALYSE - ERP =&gt; SOUS-SEGMENT'!$BF$8:$BF$1000*'ANALYSE - ERP =&gt; SOUS-SEGMENT'!$IZ$8:$IZ$1000)/SUMPRODUCT(('ANALYSE - ERP =&gt; SOUS-SEGMENT'!$C$8:$C$1000=$C42)*'ANALYSE - ERP =&gt; SOUS-SEGMENT'!$Q$8:$Q$1000*'ANALYSE - ERP =&gt; SOUS-SEGMENT'!$BF$8:$BF$1000),""))</f>
        <v/>
      </c>
      <c r="JA42" s="730" t="str">
        <f>IF($C42="","",IFERROR(SUMPRODUCT(('ANALYSE - ERP =&gt; SOUS-SEGMENT'!$C$8:$C$1000=$C42)*'ANALYSE - ERP =&gt; SOUS-SEGMENT'!$Q$8:$Q$1000*'ANALYSE - ERP =&gt; SOUS-SEGMENT'!$BF$8:$BF$1000*'ANALYSE - ERP =&gt; SOUS-SEGMENT'!$JA$8:$JA$1000)/SUMPRODUCT(('ANALYSE - ERP =&gt; SOUS-SEGMENT'!$C$8:$C$1000=$C42)*'ANALYSE - ERP =&gt; SOUS-SEGMENT'!$Q$8:$Q$1000*'ANALYSE - ERP =&gt; SOUS-SEGMENT'!$BF$8:$BF$1000),""))</f>
        <v/>
      </c>
      <c r="JB42" s="730" t="str">
        <f>IF($C42="","",IFERROR(SUMPRODUCT(('ANALYSE - ERP =&gt; SOUS-SEGMENT'!$C$8:$C$1000=$C42)*'ANALYSE - ERP =&gt; SOUS-SEGMENT'!$Q$8:$Q$1000*'ANALYSE - ERP =&gt; SOUS-SEGMENT'!$BF$8:$BF$1000*'ANALYSE - ERP =&gt; SOUS-SEGMENT'!$JB$8:$JB$1000)/SUMPRODUCT(('ANALYSE - ERP =&gt; SOUS-SEGMENT'!$C$8:$C$1000=$C42)*'ANALYSE - ERP =&gt; SOUS-SEGMENT'!$Q$8:$Q$1000*'ANALYSE - ERP =&gt; SOUS-SEGMENT'!$BF$8:$BF$1000),""))</f>
        <v/>
      </c>
      <c r="JC42" s="730" t="str">
        <f>IF($C42="","",IFERROR(SUMPRODUCT(('ANALYSE - ERP =&gt; SOUS-SEGMENT'!$C$8:$C$1000=$C42)*'ANALYSE - ERP =&gt; SOUS-SEGMENT'!$Q$8:$Q$1000*'ANALYSE - ERP =&gt; SOUS-SEGMENT'!$BF$8:$BF$1000*'ANALYSE - ERP =&gt; SOUS-SEGMENT'!$JC$8:$JC$1000)/SUMPRODUCT(('ANALYSE - ERP =&gt; SOUS-SEGMENT'!$C$8:$C$1000=$C42)*'ANALYSE - ERP =&gt; SOUS-SEGMENT'!$Q$8:$Q$1000*'ANALYSE - ERP =&gt; SOUS-SEGMENT'!$BF$8:$BF$1000),""))</f>
        <v/>
      </c>
      <c r="JD42" s="730" t="str">
        <f>IF($C42="","",IFERROR(SUMPRODUCT(('ANALYSE - ERP =&gt; SOUS-SEGMENT'!$C$8:$C$1000=$C42)*'ANALYSE - ERP =&gt; SOUS-SEGMENT'!$Q$8:$Q$1000*'ANALYSE - ERP =&gt; SOUS-SEGMENT'!$FE$8:$FE$1000*'ANALYSE - ERP =&gt; SOUS-SEGMENT'!$JD$8:$JD$1000)/SUMPRODUCT(('ANALYSE - ERP =&gt; SOUS-SEGMENT'!$C$8:$C$1000=$C42)*'ANALYSE - ERP =&gt; SOUS-SEGMENT'!$Q$8:$Q$1000*'ANALYSE - ERP =&gt; SOUS-SEGMENT'!$FE$8:$FE$1000),""))</f>
        <v/>
      </c>
      <c r="JE42" s="730" t="str">
        <f>IF($C42="","",IFERROR(SUMPRODUCT(('ANALYSE - ERP =&gt; SOUS-SEGMENT'!$C$8:$C$1000=$C42)*'ANALYSE - ERP =&gt; SOUS-SEGMENT'!$Q$8:$Q$1000*'ANALYSE - ERP =&gt; SOUS-SEGMENT'!$FE$8:$FE$1000*'ANALYSE - ERP =&gt; SOUS-SEGMENT'!$JE$8:$JE$1000)/SUMPRODUCT(('ANALYSE - ERP =&gt; SOUS-SEGMENT'!$C$8:$C$1000=$C42)*'ANALYSE - ERP =&gt; SOUS-SEGMENT'!$Q$8:$Q$1000*'ANALYSE - ERP =&gt; SOUS-SEGMENT'!$FE$8:$FE$1000),""))</f>
        <v/>
      </c>
      <c r="JF42" s="730" t="str">
        <f>IF($C42="","",IFERROR(SUMPRODUCT(('ANALYSE - ERP =&gt; SOUS-SEGMENT'!$C$8:$C$1000=$C42)*'ANALYSE - ERP =&gt; SOUS-SEGMENT'!$Q$8:$Q$1000*'ANALYSE - ERP =&gt; SOUS-SEGMENT'!$FE$8:$FE$1000*'ANALYSE - ERP =&gt; SOUS-SEGMENT'!$JF$8:$JF$1000)/SUMPRODUCT(('ANALYSE - ERP =&gt; SOUS-SEGMENT'!$C$8:$C$1000=$C42)*'ANALYSE - ERP =&gt; SOUS-SEGMENT'!$Q$8:$Q$1000*'ANALYSE - ERP =&gt; SOUS-SEGMENT'!$FE$8:$FE$1000),""))</f>
        <v/>
      </c>
      <c r="JG42" s="730" t="str">
        <f>IF($C42="","",IFERROR(SUMPRODUCT(('ANALYSE - ERP =&gt; SOUS-SEGMENT'!$C$8:$C$1000=$C42)*'ANALYSE - ERP =&gt; SOUS-SEGMENT'!$Q$8:$Q$1000*'ANALYSE - ERP =&gt; SOUS-SEGMENT'!$FE$8:$FE$1000*'ANALYSE - ERP =&gt; SOUS-SEGMENT'!$JG$8:$JG$1000)/SUMPRODUCT(('ANALYSE - ERP =&gt; SOUS-SEGMENT'!$C$8:$C$1000=$C42)*'ANALYSE - ERP =&gt; SOUS-SEGMENT'!$Q$8:$Q$1000*'ANALYSE - ERP =&gt; SOUS-SEGMENT'!$FE$8:$FE$1000),""))</f>
        <v/>
      </c>
      <c r="JH42" s="730" t="str">
        <f>IF($C42="","",IFERROR(SUMPRODUCT(('ANALYSE - ERP =&gt; SOUS-SEGMENT'!$C$8:$C$1000=$C42)*'ANALYSE - ERP =&gt; SOUS-SEGMENT'!$Q$8:$Q$1000*'ANALYSE - ERP =&gt; SOUS-SEGMENT'!$FE$8:$FE$1000*'ANALYSE - ERP =&gt; SOUS-SEGMENT'!$JH$8:$JH$1000)/SUMPRODUCT(('ANALYSE - ERP =&gt; SOUS-SEGMENT'!$C$8:$C$1000=$C42)*'ANALYSE - ERP =&gt; SOUS-SEGMENT'!$Q$8:$Q$1000*'ANALYSE - ERP =&gt; SOUS-SEGMENT'!$FE$8:$FE$1000),""))</f>
        <v/>
      </c>
      <c r="JI42" s="730">
        <f>IF($C42="","",IFERROR(SUMPRODUCT(('ANALYSE - ERP =&gt; SOUS-SEGMENT'!$C$8:$C$1000=$C42)*'ANALYSE - ERP =&gt; SOUS-SEGMENT'!$Q$8:$Q$1000*'ANALYSE - ERP =&gt; SOUS-SEGMENT'!$BG$8:$BG$1000*'ANALYSE - ERP =&gt; SOUS-SEGMENT'!$JI$8:$JI$1000)/SUMPRODUCT(('ANALYSE - ERP =&gt; SOUS-SEGMENT'!$C$8:$C$1000=$C42)*'ANALYSE - ERP =&gt; SOUS-SEGMENT'!$Q$8:$Q$1000*'ANALYSE - ERP =&gt; SOUS-SEGMENT'!$BG$8:$BG$1000),""))</f>
        <v>4.9717018732562774E-3</v>
      </c>
      <c r="JJ42" s="730">
        <f>IF($C42="","",IFERROR(SUMPRODUCT(('ANALYSE - ERP =&gt; SOUS-SEGMENT'!$C$8:$C$1000=$C42)*'ANALYSE - ERP =&gt; SOUS-SEGMENT'!$Q$8:$Q$1000*'ANALYSE - ERP =&gt; SOUS-SEGMENT'!$BG$8:$BG$1000*'ANALYSE - ERP =&gt; SOUS-SEGMENT'!$JJ$8:$JJ$1000)/SUMPRODUCT(('ANALYSE - ERP =&gt; SOUS-SEGMENT'!$C$8:$C$1000=$C42)*'ANALYSE - ERP =&gt; SOUS-SEGMENT'!$Q$8:$Q$1000*'ANALYSE - ERP =&gt; SOUS-SEGMENT'!$BG$8:$BG$1000),""))</f>
        <v>4.9689398166600236E-2</v>
      </c>
      <c r="JK42" s="730">
        <f>IF($C42="","",IFERROR(SUMPRODUCT(('ANALYSE - ERP =&gt; SOUS-SEGMENT'!$C$8:$C$1000=$C42)*'ANALYSE - ERP =&gt; SOUS-SEGMENT'!$Q$8:$Q$1000*'ANALYSE - ERP =&gt; SOUS-SEGMENT'!$BG$8:$BG$1000*'ANALYSE - ERP =&gt; SOUS-SEGMENT'!$JK$8:$JK$1000)/SUMPRODUCT(('ANALYSE - ERP =&gt; SOUS-SEGMENT'!$C$8:$C$1000=$C42)*'ANALYSE - ERP =&gt; SOUS-SEGMENT'!$Q$8:$Q$1000*'ANALYSE - ERP =&gt; SOUS-SEGMENT'!$BG$8:$BG$1000),""))</f>
        <v>3.4507293742526902E-2</v>
      </c>
      <c r="JL42" s="730">
        <f>IF($C42="","",IFERROR(SUMPRODUCT(('ANALYSE - ERP =&gt; SOUS-SEGMENT'!$C$8:$C$1000=$C42)*'ANALYSE - ERP =&gt; SOUS-SEGMENT'!$Q$8:$Q$1000*'ANALYSE - ERP =&gt; SOUS-SEGMENT'!$BG$8:$BG$1000*'ANALYSE - ERP =&gt; SOUS-SEGMENT'!$JL$8:$JL$1000)/SUMPRODUCT(('ANALYSE - ERP =&gt; SOUS-SEGMENT'!$C$8:$C$1000=$C42)*'ANALYSE - ERP =&gt; SOUS-SEGMENT'!$Q$8:$Q$1000*'ANALYSE - ERP =&gt; SOUS-SEGMENT'!$BG$8:$BG$1000),""))</f>
        <v>2.9001594260661622E-3</v>
      </c>
      <c r="JM42" s="730">
        <f>IF($C42="","",IFERROR(SUMPRODUCT(('ANALYSE - ERP =&gt; SOUS-SEGMENT'!$C$8:$C$1000=$C42)*'ANALYSE - ERP =&gt; SOUS-SEGMENT'!$Q$8:$Q$1000*'ANALYSE - ERP =&gt; SOUS-SEGMENT'!$BG$8:$BG$1000*'ANALYSE - ERP =&gt; SOUS-SEGMENT'!$JM$8:$JM$1000)/SUMPRODUCT(('ANALYSE - ERP =&gt; SOUS-SEGMENT'!$C$8:$C$1000=$C42)*'ANALYSE - ERP =&gt; SOUS-SEGMENT'!$Q$8:$Q$1000*'ANALYSE - ERP =&gt; SOUS-SEGMENT'!$BG$8:$BG$1000),""))</f>
        <v>0</v>
      </c>
      <c r="JN42" s="730">
        <f>IF($C42="","",IFERROR(SUMPRODUCT(('ANALYSE - ERP =&gt; SOUS-SEGMENT'!$C$8:$C$1000=$C42)*'ANALYSE - ERP =&gt; SOUS-SEGMENT'!$Q$8:$Q$1000*'ANALYSE - ERP =&gt; SOUS-SEGMENT'!$FH$8:$FH$1000*'ANALYSE - ERP =&gt; SOUS-SEGMENT'!$JN$8:$JN$1000)/SUMPRODUCT(('ANALYSE - ERP =&gt; SOUS-SEGMENT'!$C$8:$C$1000=$C42)*'ANALYSE - ERP =&gt; SOUS-SEGMENT'!$Q$8:$Q$1000*'ANALYSE - ERP =&gt; SOUS-SEGMENT'!$FH$8:$FH$1000),""))</f>
        <v>3.2642363852199104E-3</v>
      </c>
      <c r="JO42" s="730">
        <f>IF($C42="","",IFERROR(SUMPRODUCT(('ANALYSE - ERP =&gt; SOUS-SEGMENT'!$C$8:$C$1000=$C42)*'ANALYSE - ERP =&gt; SOUS-SEGMENT'!$Q$8:$Q$1000*'ANALYSE - ERP =&gt; SOUS-SEGMENT'!$FH$8:$FH$1000*'ANALYSE - ERP =&gt; SOUS-SEGMENT'!$JO$8:$JO$1000)/SUMPRODUCT(('ANALYSE - ERP =&gt; SOUS-SEGMENT'!$C$8:$C$1000=$C42)*'ANALYSE - ERP =&gt; SOUS-SEGMENT'!$Q$8:$Q$1000*'ANALYSE - ERP =&gt; SOUS-SEGMENT'!$FH$8:$FH$1000),""))</f>
        <v>4.5445521577605889E-2</v>
      </c>
      <c r="JP42" s="730">
        <f>IF($C42="","",IFERROR(SUMPRODUCT(('ANALYSE - ERP =&gt; SOUS-SEGMENT'!$C$8:$C$1000=$C42)*'ANALYSE - ERP =&gt; SOUS-SEGMENT'!$Q$8:$Q$1000*'ANALYSE - ERP =&gt; SOUS-SEGMENT'!$FH$8:$FH$1000*'ANALYSE - ERP =&gt; SOUS-SEGMENT'!$JP$8:$JP$1000)/SUMPRODUCT(('ANALYSE - ERP =&gt; SOUS-SEGMENT'!$C$8:$C$1000=$C42)*'ANALYSE - ERP =&gt; SOUS-SEGMENT'!$Q$8:$Q$1000*'ANALYSE - ERP =&gt; SOUS-SEGMENT'!$FH$8:$FH$1000),""))</f>
        <v>3.4261355088836327E-2</v>
      </c>
      <c r="JQ42" s="730">
        <f>IF($C42="","",IFERROR(SUMPRODUCT(('ANALYSE - ERP =&gt; SOUS-SEGMENT'!$C$8:$C$1000=$C42)*'ANALYSE - ERP =&gt; SOUS-SEGMENT'!$Q$8:$Q$1000*'ANALYSE - ERP =&gt; SOUS-SEGMENT'!$FH$8:$FH$1000*'ANALYSE - ERP =&gt; SOUS-SEGMENT'!$JQ$8:$JQ$1000)/SUMPRODUCT(('ANALYSE - ERP =&gt; SOUS-SEGMENT'!$C$8:$C$1000=$C42)*'ANALYSE - ERP =&gt; SOUS-SEGMENT'!$Q$8:$Q$1000*'ANALYSE - ERP =&gt; SOUS-SEGMENT'!$FH$8:$FH$1000),""))</f>
        <v>4.2093772152567745E-3</v>
      </c>
      <c r="JR42" s="730">
        <f>IF($C42="","",IFERROR(SUMPRODUCT(('ANALYSE - ERP =&gt; SOUS-SEGMENT'!$C$8:$C$1000=$C42)*'ANALYSE - ERP =&gt; SOUS-SEGMENT'!$Q$8:$Q$1000*'ANALYSE - ERP =&gt; SOUS-SEGMENT'!$FH$8:$FH$1000*'ANALYSE - ERP =&gt; SOUS-SEGMENT'!$JR$8:$JR$1000)/SUMPRODUCT(('ANALYSE - ERP =&gt; SOUS-SEGMENT'!$C$8:$C$1000=$C42)*'ANALYSE - ERP =&gt; SOUS-SEGMENT'!$Q$8:$Q$1000*'ANALYSE - ERP =&gt; SOUS-SEGMENT'!$FH$8:$FH$1000),""))</f>
        <v>3.3254955130926703E-4</v>
      </c>
      <c r="JS42" s="730">
        <f>IF($C42="","",IFERROR(SUMPRODUCT(('ANALYSE - ERP =&gt; SOUS-SEGMENT'!$C$8:$C$1000=$C42)*'ANALYSE - ERP =&gt; SOUS-SEGMENT'!$Q$8:$Q$1000*'ANALYSE - ERP =&gt; SOUS-SEGMENT'!$BH$8:$BH$1000*'ANALYSE - ERP =&gt; SOUS-SEGMENT'!$JS$8:$JS$1000)/SUMPRODUCT(('ANALYSE - ERP =&gt; SOUS-SEGMENT'!$C$8:$C$1000=$C42)*'ANALYSE - ERP =&gt; SOUS-SEGMENT'!$Q$8:$Q$1000*'ANALYSE - ERP =&gt; SOUS-SEGMENT'!$BH$8:$BH$1000),""))</f>
        <v>3.2599999999999997E-2</v>
      </c>
      <c r="JT42" s="730">
        <f>IF($C42="","",IFERROR(SUMPRODUCT(('ANALYSE - ERP =&gt; SOUS-SEGMENT'!$C$8:$C$1000=$C42)*'ANALYSE - ERP =&gt; SOUS-SEGMENT'!$Q$8:$Q$1000*'ANALYSE - ERP =&gt; SOUS-SEGMENT'!$BH$8:$BH$1000*'ANALYSE - ERP =&gt; SOUS-SEGMENT'!$JT$8:$JT$1000)/SUMPRODUCT(('ANALYSE - ERP =&gt; SOUS-SEGMENT'!$C$8:$C$1000=$C42)*'ANALYSE - ERP =&gt; SOUS-SEGMENT'!$Q$8:$Q$1000*'ANALYSE - ERP =&gt; SOUS-SEGMENT'!$BH$8:$BH$1000),""))</f>
        <v>0.41479999999999995</v>
      </c>
      <c r="JU42" s="730">
        <f>IF($C42="","",IFERROR(SUMPRODUCT(('ANALYSE - ERP =&gt; SOUS-SEGMENT'!$C$8:$C$1000=$C42)*'ANALYSE - ERP =&gt; SOUS-SEGMENT'!$Q$8:$Q$1000*'ANALYSE - ERP =&gt; SOUS-SEGMENT'!$BH$8:$BH$1000*'ANALYSE - ERP =&gt; SOUS-SEGMENT'!$JU$8:$JU$1000)/SUMPRODUCT(('ANALYSE - ERP =&gt; SOUS-SEGMENT'!$C$8:$C$1000=$C42)*'ANALYSE - ERP =&gt; SOUS-SEGMENT'!$Q$8:$Q$1000*'ANALYSE - ERP =&gt; SOUS-SEGMENT'!$BH$8:$BH$1000),""))</f>
        <v>0.49380000000000002</v>
      </c>
      <c r="JV42" s="730">
        <f>IF($C42="","",IFERROR(SUMPRODUCT(('ANALYSE - ERP =&gt; SOUS-SEGMENT'!$C$8:$C$1000=$C42)*'ANALYSE - ERP =&gt; SOUS-SEGMENT'!$Q$8:$Q$1000*'ANALYSE - ERP =&gt; SOUS-SEGMENT'!$BH$8:$BH$1000*'ANALYSE - ERP =&gt; SOUS-SEGMENT'!$JV$8:$JV$1000)/SUMPRODUCT(('ANALYSE - ERP =&gt; SOUS-SEGMENT'!$C$8:$C$1000=$C42)*'ANALYSE - ERP =&gt; SOUS-SEGMENT'!$Q$8:$Q$1000*'ANALYSE - ERP =&gt; SOUS-SEGMENT'!$BH$8:$BH$1000),""))</f>
        <v>5.8799999999999998E-2</v>
      </c>
      <c r="JW42" s="730">
        <f>IF($C42="","",IFERROR(SUMPRODUCT(('ANALYSE - ERP =&gt; SOUS-SEGMENT'!$C$8:$C$1000=$C42)*'ANALYSE - ERP =&gt; SOUS-SEGMENT'!$Q$8:$Q$1000*'ANALYSE - ERP =&gt; SOUS-SEGMENT'!$BH$8:$BH$1000*'ANALYSE - ERP =&gt; SOUS-SEGMENT'!$JW$8:$JW$1000)/SUMPRODUCT(('ANALYSE - ERP =&gt; SOUS-SEGMENT'!$C$8:$C$1000=$C42)*'ANALYSE - ERP =&gt; SOUS-SEGMENT'!$Q$8:$Q$1000*'ANALYSE - ERP =&gt; SOUS-SEGMENT'!$BH$8:$BH$1000),""))</f>
        <v>0</v>
      </c>
      <c r="JX42" s="730">
        <f>IF($C42="","",IFERROR(SUMPRODUCT(('ANALYSE - ERP =&gt; SOUS-SEGMENT'!$C$8:$C$1000=$C42)*'ANALYSE - ERP =&gt; SOUS-SEGMENT'!$Q$8:$Q$1000*'ANALYSE - ERP =&gt; SOUS-SEGMENT'!$FK$8:$FK$1000*'ANALYSE - ERP =&gt; SOUS-SEGMENT'!$JX$8:$JX$1000)/SUMPRODUCT(('ANALYSE - ERP =&gt; SOUS-SEGMENT'!$C$8:$C$1000=$C42)*'ANALYSE - ERP =&gt; SOUS-SEGMENT'!$Q$8:$Q$1000*'ANALYSE - ERP =&gt; SOUS-SEGMENT'!$FK$8:$FK$1000),""))</f>
        <v>1.5900000000000001E-2</v>
      </c>
      <c r="JY42" s="730">
        <f>IF($C42="","",IFERROR(SUMPRODUCT(('ANALYSE - ERP =&gt; SOUS-SEGMENT'!$C$8:$C$1000=$C42)*'ANALYSE - ERP =&gt; SOUS-SEGMENT'!$Q$8:$Q$1000*'ANALYSE - ERP =&gt; SOUS-SEGMENT'!$FK$8:$FK$1000*'ANALYSE - ERP =&gt; SOUS-SEGMENT'!$JY$8:$JY$1000)/SUMPRODUCT(('ANALYSE - ERP =&gt; SOUS-SEGMENT'!$C$8:$C$1000=$C42)*'ANALYSE - ERP =&gt; SOUS-SEGMENT'!$Q$8:$Q$1000*'ANALYSE - ERP =&gt; SOUS-SEGMENT'!$FK$8:$FK$1000),""))</f>
        <v>0.39450000000000002</v>
      </c>
      <c r="JZ42" s="730">
        <f>IF($C42="","",IFERROR(SUMPRODUCT(('ANALYSE - ERP =&gt; SOUS-SEGMENT'!$C$8:$C$1000=$C42)*'ANALYSE - ERP =&gt; SOUS-SEGMENT'!$Q$8:$Q$1000*'ANALYSE - ERP =&gt; SOUS-SEGMENT'!$FK$8:$FK$1000*'ANALYSE - ERP =&gt; SOUS-SEGMENT'!$JZ$8:$JZ$1000)/SUMPRODUCT(('ANALYSE - ERP =&gt; SOUS-SEGMENT'!$C$8:$C$1000=$C42)*'ANALYSE - ERP =&gt; SOUS-SEGMENT'!$Q$8:$Q$1000*'ANALYSE - ERP =&gt; SOUS-SEGMENT'!$FK$8:$FK$1000),""))</f>
        <v>0.51049999999999995</v>
      </c>
      <c r="KA42" s="730">
        <f>IF($C42="","",IFERROR(SUMPRODUCT(('ANALYSE - ERP =&gt; SOUS-SEGMENT'!$C$8:$C$1000=$C42)*'ANALYSE - ERP =&gt; SOUS-SEGMENT'!$Q$8:$Q$1000*'ANALYSE - ERP =&gt; SOUS-SEGMENT'!$FK$8:$FK$1000*'ANALYSE - ERP =&gt; SOUS-SEGMENT'!$KA$8:$KA$1000)/SUMPRODUCT(('ANALYSE - ERP =&gt; SOUS-SEGMENT'!$C$8:$C$1000=$C42)*'ANALYSE - ERP =&gt; SOUS-SEGMENT'!$Q$8:$Q$1000*'ANALYSE - ERP =&gt; SOUS-SEGMENT'!$FK$8:$FK$1000),""))</f>
        <v>7.5500000000000012E-2</v>
      </c>
      <c r="KB42" s="730">
        <f>IF($C42="","",IFERROR(SUMPRODUCT(('ANALYSE - ERP =&gt; SOUS-SEGMENT'!$C$8:$C$1000=$C42)*'ANALYSE - ERP =&gt; SOUS-SEGMENT'!$Q$8:$Q$1000*'ANALYSE - ERP =&gt; SOUS-SEGMENT'!$FK$8:$FK$1000*'ANALYSE - ERP =&gt; SOUS-SEGMENT'!$KB$8:$KB$1000)/SUMPRODUCT(('ANALYSE - ERP =&gt; SOUS-SEGMENT'!$C$8:$C$1000=$C42)*'ANALYSE - ERP =&gt; SOUS-SEGMENT'!$Q$8:$Q$1000*'ANALYSE - ERP =&gt; SOUS-SEGMENT'!$FK$8:$FK$1000),""))</f>
        <v>3.5999999999999999E-3</v>
      </c>
      <c r="KC42" s="657"/>
      <c r="KD42" s="920" t="s">
        <v>2590</v>
      </c>
      <c r="KE42" s="920" t="s">
        <v>2590</v>
      </c>
      <c r="KF42" s="866">
        <f>IF($C42="","",IFERROR(SUMPRODUCT(('ANALYSE - ERP =&gt; SOUS-SEGMENT'!$C$8:$C$1000=$C42)*'ANALYSE - ERP =&gt; SOUS-SEGMENT'!$Q$8:$Q$1000*'ANALYSE - ERP =&gt; SOUS-SEGMENT'!$IE$8:$IE$1000*'ANALYSE - ERP =&gt; SOUS-SEGMENT'!$KF$8:$KF$1000)/SUMPRODUCT(('ANALYSE - ERP =&gt; SOUS-SEGMENT'!$C$8:$C$1000=$C42)*'ANALYSE - ERP =&gt; SOUS-SEGMENT'!$Q$8:$Q$1000*'ANALYSE - ERP =&gt; SOUS-SEGMENT'!$IE$8:$IE$1000),""))</f>
        <v>4.160000000000001</v>
      </c>
      <c r="KG42" s="920" t="s">
        <v>2589</v>
      </c>
      <c r="KH42" s="920" t="s">
        <v>5236</v>
      </c>
      <c r="KI42" s="920" t="s">
        <v>2659</v>
      </c>
      <c r="KJ42" s="920" t="s">
        <v>6278</v>
      </c>
    </row>
    <row r="43" spans="1:296" ht="120" customHeight="1">
      <c r="A43" s="951"/>
      <c r="B43" s="952"/>
      <c r="C43" s="952"/>
      <c r="D43" s="952"/>
      <c r="E43" s="277"/>
      <c r="F43" s="646"/>
      <c r="G43" s="646"/>
      <c r="H43" s="646"/>
      <c r="I43" s="646"/>
      <c r="J43" s="646"/>
      <c r="K43" s="646"/>
      <c r="L43" s="646"/>
      <c r="M43" s="646"/>
      <c r="N43" s="646"/>
      <c r="O43" s="646"/>
      <c r="P43" s="646"/>
      <c r="Q43" s="270" t="str">
        <f>IF($C43="","",IF(SUMIFS('ANALYSE - ERP =&gt; SOUS-SEGMENT'!$Q$8:$Q$1000,'ANALYSE - ERP =&gt; SOUS-SEGMENT'!$C$8:$C$1000,$C43)&gt;0,1,0))</f>
        <v/>
      </c>
      <c r="R43" s="278" t="str">
        <f>IF($C43="","",IFERROR(SUMPRODUCT(('ANALYSE - ERP =&gt; SOUS-SEGMENT'!$C$8:$C$1000=$C43)*'ANALYSE - ERP =&gt; SOUS-SEGMENT'!$Q$8:$Q$1000*'ANALYSE - ERP =&gt; SOUS-SEGMENT'!$AF$8:$AF$1000*'ANALYSE - ERP =&gt; SOUS-SEGMENT'!$R$8:$R$1000)/SUMPRODUCT(('ANALYSE - ERP =&gt; SOUS-SEGMENT'!$C$8:$C$1000=$C43)*'ANALYSE - ERP =&gt; SOUS-SEGMENT'!$Q$8:$Q$1000*'ANALYSE - ERP =&gt; SOUS-SEGMENT'!$AF$8:$AF$1000),""))</f>
        <v/>
      </c>
      <c r="S43" s="279" t="str">
        <f>IF($C43="","",SUMPRODUCT(('ANALYSE - ERP =&gt; SOUS-SEGMENT'!$C$8:$C$1000=$C43)*'ANALYSE - ERP =&gt; SOUS-SEGMENT'!$Q$8:$Q$1000*'ANALYSE - ERP =&gt; SOUS-SEGMENT'!$S$8:$S$1000))</f>
        <v/>
      </c>
      <c r="T43" s="279" t="str">
        <f>IF($C43="","",SUMPRODUCT(('ANALYSE - ERP =&gt; SOUS-SEGMENT'!$C$8:$C$1000=$C43)*'ANALYSE - ERP =&gt; SOUS-SEGMENT'!$Q$8:$Q$1000*'ANALYSE - ERP =&gt; SOUS-SEGMENT'!$T$8:$T$1000))</f>
        <v/>
      </c>
      <c r="U43" s="279" t="str">
        <f>IF($C43="","",SUMPRODUCT(('ANALYSE - ERP =&gt; SOUS-SEGMENT'!$C$8:$C$1000=$C43)*'ANALYSE - ERP =&gt; SOUS-SEGMENT'!$Q$8:$Q$1000*'ANALYSE - ERP =&gt; SOUS-SEGMENT'!$U$8:$U$1000))</f>
        <v/>
      </c>
      <c r="V43" s="279" t="str">
        <f>IF($C43="","",SUMPRODUCT(('ANALYSE - ERP =&gt; SOUS-SEGMENT'!$C$8:$C$1000=$C43)*'ANALYSE - ERP =&gt; SOUS-SEGMENT'!$Q$8:$Q$1000*'ANALYSE - ERP =&gt; SOUS-SEGMENT'!$V$8:$V$1000))</f>
        <v/>
      </c>
      <c r="W43" s="279" t="str">
        <f>IF($C43="","",SUMPRODUCT(('ANALYSE - ERP =&gt; SOUS-SEGMENT'!$C$8:$C$1000=$C43)*'ANALYSE - ERP =&gt; SOUS-SEGMENT'!$Q$8:$Q$1000*'ANALYSE - ERP =&gt; SOUS-SEGMENT'!$W$8:$W$1000))</f>
        <v/>
      </c>
      <c r="X43" s="279" t="str">
        <f>IF($C43="","",SUMPRODUCT(('ANALYSE - ERP =&gt; SOUS-SEGMENT'!$C$8:$C$1000=$C43)*'ANALYSE - ERP =&gt; SOUS-SEGMENT'!$Q$8:$Q$1000*'ANALYSE - ERP =&gt; SOUS-SEGMENT'!$X$8:$X$1000))</f>
        <v/>
      </c>
      <c r="Y43" s="279" t="str">
        <f>IF($C43="","",SUMPRODUCT(('ANALYSE - ERP =&gt; SOUS-SEGMENT'!$C$8:$C$1000=$C43)*'ANALYSE - ERP =&gt; SOUS-SEGMENT'!$Q$8:$Q$1000*'ANALYSE - ERP =&gt; SOUS-SEGMENT'!$Y$8:$Y$1000))</f>
        <v/>
      </c>
      <c r="Z43" s="279" t="str">
        <f>IF($C43="","",SUMPRODUCT(('ANALYSE - ERP =&gt; SOUS-SEGMENT'!$C$8:$C$1000=$C43)*'ANALYSE - ERP =&gt; SOUS-SEGMENT'!$Q$8:$Q$1000*'ANALYSE - ERP =&gt; SOUS-SEGMENT'!$Z$8:$Z$1000))</f>
        <v/>
      </c>
      <c r="AA43" s="279" t="str">
        <f>IF($C43="","",SUMPRODUCT(('ANALYSE - ERP =&gt; SOUS-SEGMENT'!$C$8:$C$1000=$C43)*'ANALYSE - ERP =&gt; SOUS-SEGMENT'!$Q$8:$Q$1000*'ANALYSE - ERP =&gt; SOUS-SEGMENT'!$AA$8:$AA$1000))</f>
        <v/>
      </c>
      <c r="AB43" s="279" t="str">
        <f>IF($C43="","",SUMPRODUCT(('ANALYSE - ERP =&gt; SOUS-SEGMENT'!$C$8:$C$1000=$C43)*'ANALYSE - ERP =&gt; SOUS-SEGMENT'!$Q$8:$Q$1000*'ANALYSE - ERP =&gt; SOUS-SEGMENT'!$AB$8:$AB$1000))</f>
        <v/>
      </c>
      <c r="AC43" s="279" t="str">
        <f>IF($C43="","",SUMPRODUCT(('ANALYSE - ERP =&gt; SOUS-SEGMENT'!$C$8:$C$1000=$C43)*'ANALYSE - ERP =&gt; SOUS-SEGMENT'!$Q$8:$Q$1000*'ANALYSE - ERP =&gt; SOUS-SEGMENT'!$AC$8:$AC$1000))</f>
        <v/>
      </c>
      <c r="AD43" s="279" t="str">
        <f>IF($C43="","",SUMPRODUCT(('ANALYSE - ERP =&gt; SOUS-SEGMENT'!$C$8:$C$1000=$C43)*'ANALYSE - ERP =&gt; SOUS-SEGMENT'!$Q$8:$Q$1000*'ANALYSE - ERP =&gt; SOUS-SEGMENT'!$AD$8:$AD$1000))</f>
        <v/>
      </c>
      <c r="AE43" s="279" t="str">
        <f>IF($C43="","",SUMPRODUCT(('ANALYSE - ERP =&gt; SOUS-SEGMENT'!$C$8:$C$1000=$C43)*'ANALYSE - ERP =&gt; SOUS-SEGMENT'!$Q$8:$Q$1000*'ANALYSE - ERP =&gt; SOUS-SEGMENT'!$AE$8:$AE$1000))</f>
        <v/>
      </c>
      <c r="AF43" s="279" t="str">
        <f>IF($C43="","",SUMPRODUCT(('ANALYSE - ERP =&gt; SOUS-SEGMENT'!$C$8:$C$1000=$C43)*'ANALYSE - ERP =&gt; SOUS-SEGMENT'!$Q$8:$Q$1000*'ANALYSE - ERP =&gt; SOUS-SEGMENT'!$AF$8:$AF$1000))</f>
        <v/>
      </c>
      <c r="AG43" s="279" t="str">
        <f>IF($C43="","",SUMPRODUCT(('ANALYSE - ERP =&gt; SOUS-SEGMENT'!$C$8:$C$1000=$C43)*'ANALYSE - ERP =&gt; SOUS-SEGMENT'!$Q$8:$Q$1000*'ANALYSE - ERP =&gt; SOUS-SEGMENT'!$AG$8:$AG$1000))</f>
        <v/>
      </c>
      <c r="AH43" s="279" t="str">
        <f>IF($C43="","",SUMPRODUCT(('ANALYSE - ERP =&gt; SOUS-SEGMENT'!$C$8:$C$1000=$C43)*'ANALYSE - ERP =&gt; SOUS-SEGMENT'!$Q$8:$Q$1000*'ANALYSE - ERP =&gt; SOUS-SEGMENT'!$AH$8:$AH$1000))</f>
        <v/>
      </c>
      <c r="AI43" s="279" t="str">
        <f>IF($C43="","",SUMPRODUCT(('ANALYSE - ERP =&gt; SOUS-SEGMENT'!$C$8:$C$1000=$C43)*'ANALYSE - ERP =&gt; SOUS-SEGMENT'!$Q$8:$Q$1000*'ANALYSE - ERP =&gt; SOUS-SEGMENT'!$AI$8:$AI$1000))</f>
        <v/>
      </c>
      <c r="AJ43" s="279" t="str">
        <f>IF($C43="","",SUMPRODUCT(('ANALYSE - ERP =&gt; SOUS-SEGMENT'!$C$8:$C$1000=$C43)*'ANALYSE - ERP =&gt; SOUS-SEGMENT'!$Q$8:$Q$1000*'ANALYSE - ERP =&gt; SOUS-SEGMENT'!$AJ$8:$AJ$1000))</f>
        <v/>
      </c>
      <c r="AK43" s="279" t="str">
        <f>IF($C43="","",SUMPRODUCT(('ANALYSE - ERP =&gt; SOUS-SEGMENT'!$C$8:$C$1000=$C43)*'ANALYSE - ERP =&gt; SOUS-SEGMENT'!$Q$8:$Q$1000*'ANALYSE - ERP =&gt; SOUS-SEGMENT'!$AK$8:$AK$1000))</f>
        <v/>
      </c>
      <c r="AL43" s="646"/>
      <c r="AM43" s="646"/>
      <c r="AN43" s="646"/>
      <c r="AO43" s="657"/>
      <c r="AP43" s="278" t="str">
        <f>IF($C43="","",IFERROR(SUMPRODUCT(('ANALYSE - ERP =&gt; SOUS-SEGMENT'!$C$8:$C$1000=$C43)*'ANALYSE - ERP =&gt; SOUS-SEGMENT'!$Q$8:$Q$1000*'ANALYSE - ERP =&gt; SOUS-SEGMENT'!$AF$8:$AF$1000*'ANALYSE - ERP =&gt; SOUS-SEGMENT'!$AP$8:$AP$1000)/SUMPRODUCT(('ANALYSE - ERP =&gt; SOUS-SEGMENT'!$C$8:$C$1000=$C43)*'ANALYSE - ERP =&gt; SOUS-SEGMENT'!$Q$8:$Q$1000*'ANALYSE - ERP =&gt; SOUS-SEGMENT'!$AF$8:$AF$1000),""))</f>
        <v/>
      </c>
      <c r="AQ43" s="278" t="str">
        <f>IF($C43="","",IFERROR(SUMPRODUCT(('ANALYSE - ERP =&gt; SOUS-SEGMENT'!$C$8:$C$1000=$C43)*'ANALYSE - ERP =&gt; SOUS-SEGMENT'!$Q$8:$Q$1000*'ANALYSE - ERP =&gt; SOUS-SEGMENT'!$AF$8:$AF$1000*'ANALYSE - ERP =&gt; SOUS-SEGMENT'!$AQ$8:$AQ$1000)/SUMPRODUCT(('ANALYSE - ERP =&gt; SOUS-SEGMENT'!$C$8:$C$1000=$C43)*'ANALYSE - ERP =&gt; SOUS-SEGMENT'!$Q$8:$Q$1000*'ANALYSE - ERP =&gt; SOUS-SEGMENT'!$AF$8:$AF$1000),""))</f>
        <v/>
      </c>
      <c r="AR43" s="278" t="str">
        <f>IF($C43="","",IFERROR(SUMPRODUCT(('ANALYSE - ERP =&gt; SOUS-SEGMENT'!$C$8:$C$1000=$C43)*'ANALYSE - ERP =&gt; SOUS-SEGMENT'!$Q$8:$Q$1000*'ANALYSE - ERP =&gt; SOUS-SEGMENT'!$AF$8:$AF$1000*'ANALYSE - ERP =&gt; SOUS-SEGMENT'!$AR$8:$AR$1000)/SUMPRODUCT(('ANALYSE - ERP =&gt; SOUS-SEGMENT'!$C$8:$C$1000=$C43)*'ANALYSE - ERP =&gt; SOUS-SEGMENT'!$Q$8:$Q$1000*'ANALYSE - ERP =&gt; SOUS-SEGMENT'!$AF$8:$AF$1000),""))</f>
        <v/>
      </c>
      <c r="AS43" s="278" t="str">
        <f>IF($C43="","",IFERROR(SUMPRODUCT(('ANALYSE - ERP =&gt; SOUS-SEGMENT'!$C$8:$C$1000=$C43)*'ANALYSE - ERP =&gt; SOUS-SEGMENT'!$Q$8:$Q$1000*'ANALYSE - ERP =&gt; SOUS-SEGMENT'!$AF$8:$AF$1000*'ANALYSE - ERP =&gt; SOUS-SEGMENT'!$AS$8:$AS$1000)/SUMPRODUCT(('ANALYSE - ERP =&gt; SOUS-SEGMENT'!$C$8:$C$1000=$C43)*'ANALYSE - ERP =&gt; SOUS-SEGMENT'!$Q$8:$Q$1000*'ANALYSE - ERP =&gt; SOUS-SEGMENT'!$AF$8:$AF$1000),""))</f>
        <v/>
      </c>
      <c r="AT43" s="657"/>
      <c r="AU43" s="646"/>
      <c r="AV43" s="646"/>
      <c r="AW43" s="646"/>
      <c r="AX43" s="646"/>
      <c r="AY43" s="657"/>
      <c r="AZ43" s="947" t="str">
        <f>IF($C43="","",IFERROR(SUMPRODUCT(('ANALYSE - ERP =&gt; SOUS-SEGMENT'!$C$8:$C$1000=$C43)*'ANALYSE - ERP =&gt; SOUS-SEGMENT'!$Q$8:$Q$1000*'ANALYSE - ERP =&gt; SOUS-SEGMENT'!$AF$8:$AF$1000*'ANALYSE - ERP =&gt; SOUS-SEGMENT'!$AZ$8:$AZ$1000)/SUMPRODUCT(('ANALYSE - ERP =&gt; SOUS-SEGMENT'!$C$8:$C$1000=$C43)*'ANALYSE - ERP =&gt; SOUS-SEGMENT'!$Q$8:$Q$1000*'ANALYSE - ERP =&gt; SOUS-SEGMENT'!$AF$8:$AF$1000),""))</f>
        <v/>
      </c>
      <c r="BA43" s="947" t="str">
        <f>IF($C43="","",IFERROR(SUMPRODUCT(('ANALYSE - ERP =&gt; SOUS-SEGMENT'!$C$8:$C$1000=$C43)*'ANALYSE - ERP =&gt; SOUS-SEGMENT'!$Q$8:$Q$1000*'ANALYSE - ERP =&gt; SOUS-SEGMENT'!$AF$8:$AF$1000*'ANALYSE - ERP =&gt; SOUS-SEGMENT'!$BA$8:$BA$1000)/SUMPRODUCT(('ANALYSE - ERP =&gt; SOUS-SEGMENT'!$C$8:$C$1000=$C43)*'ANALYSE - ERP =&gt; SOUS-SEGMENT'!$Q$8:$Q$1000*'ANALYSE - ERP =&gt; SOUS-SEGMENT'!$AF$8:$AF$1000),""))</f>
        <v/>
      </c>
      <c r="BB43" s="947" t="str">
        <f>IF($C43="","",IFERROR(SUMPRODUCT(('ANALYSE - ERP =&gt; SOUS-SEGMENT'!$C$8:$C$1000=$C43)*'ANALYSE - ERP =&gt; SOUS-SEGMENT'!$Q$8:$Q$1000*'ANALYSE - ERP =&gt; SOUS-SEGMENT'!$AF$8:$AF$1000*'ANALYSE - ERP =&gt; SOUS-SEGMENT'!$BB$8:$BB$1000)/SUMPRODUCT(('ANALYSE - ERP =&gt; SOUS-SEGMENT'!$C$8:$C$1000=$C43)*'ANALYSE - ERP =&gt; SOUS-SEGMENT'!$Q$8:$Q$1000*'ANALYSE - ERP =&gt; SOUS-SEGMENT'!$AF$8:$AF$1000),""))</f>
        <v/>
      </c>
      <c r="BC43" s="947" t="str">
        <f>IF($C43="","",IFERROR(SUMPRODUCT(('ANALYSE - ERP =&gt; SOUS-SEGMENT'!$C$8:$C$1000=$C43)*'ANALYSE - ERP =&gt; SOUS-SEGMENT'!$Q$8:$Q$1000*'ANALYSE - ERP =&gt; SOUS-SEGMENT'!$AF$8:$AF$1000*'ANALYSE - ERP =&gt; SOUS-SEGMENT'!$BC$8:$BC$1000)/SUMPRODUCT(('ANALYSE - ERP =&gt; SOUS-SEGMENT'!$C$8:$C$1000=$C43)*'ANALYSE - ERP =&gt; SOUS-SEGMENT'!$Q$8:$Q$1000*'ANALYSE - ERP =&gt; SOUS-SEGMENT'!$AF$8:$AF$1000),""))</f>
        <v/>
      </c>
      <c r="BD43" s="826" t="str">
        <f t="shared" si="1"/>
        <v/>
      </c>
      <c r="BE43" s="283" t="str">
        <f>IF($C43="","",SUMPRODUCT(('ANALYSE - ERP =&gt; SOUS-SEGMENT'!$C$8:$C$1000=$C43)*'ANALYSE - ERP =&gt; SOUS-SEGMENT'!$Q$8:$Q$1000*'ANALYSE - ERP =&gt; SOUS-SEGMENT'!$BE$8:$BE$1000))</f>
        <v/>
      </c>
      <c r="BF43" s="283" t="str">
        <f>IF($C43="","",SUMPRODUCT(('ANALYSE - ERP =&gt; SOUS-SEGMENT'!$C$8:$C$1000=$C43)*'ANALYSE - ERP =&gt; SOUS-SEGMENT'!$Q$8:$Q$1000*'ANALYSE - ERP =&gt; SOUS-SEGMENT'!$BF$8:$BF$1000))</f>
        <v/>
      </c>
      <c r="BG43" s="283" t="str">
        <f>IF($C43="","",SUMPRODUCT(('ANALYSE - ERP =&gt; SOUS-SEGMENT'!$C$8:$C$1000=$C43)*'ANALYSE - ERP =&gt; SOUS-SEGMENT'!$Q$8:$Q$1000*'ANALYSE - ERP =&gt; SOUS-SEGMENT'!$BG$8:$BG$1000))</f>
        <v/>
      </c>
      <c r="BH43" s="283" t="str">
        <f>IF($C43="","",SUMPRODUCT(('ANALYSE - ERP =&gt; SOUS-SEGMENT'!$C$8:$C$1000=$C43)*'ANALYSE - ERP =&gt; SOUS-SEGMENT'!$Q$8:$Q$1000*'ANALYSE - ERP =&gt; SOUS-SEGMENT'!$BH$8:$BH$1000))</f>
        <v/>
      </c>
      <c r="BI43" s="826" t="str">
        <f t="shared" si="2"/>
        <v/>
      </c>
      <c r="BJ43" s="283" t="str">
        <f>IF($C43="","",SUMPRODUCT(('ANALYSE - ERP =&gt; SOUS-SEGMENT'!$C$8:$C$1000=$C43)*'ANALYSE - ERP =&gt; SOUS-SEGMENT'!$Q$8:$Q$1000*'ANALYSE - ERP =&gt; SOUS-SEGMENT'!$BJ$8:$BJ$1000))</f>
        <v/>
      </c>
      <c r="BK43" s="283" t="str">
        <f>IF($C43="","",SUMPRODUCT(('ANALYSE - ERP =&gt; SOUS-SEGMENT'!$C$8:$C$1000=$C43)*'ANALYSE - ERP =&gt; SOUS-SEGMENT'!$Q$8:$Q$1000*'ANALYSE - ERP =&gt; SOUS-SEGMENT'!$BK$8:$BK$1000))</f>
        <v/>
      </c>
      <c r="BL43" s="283" t="str">
        <f>IF($C43="","",SUMPRODUCT(('ANALYSE - ERP =&gt; SOUS-SEGMENT'!$C$8:$C$1000=$C43)*'ANALYSE - ERP =&gt; SOUS-SEGMENT'!$Q$8:$Q$1000*'ANALYSE - ERP =&gt; SOUS-SEGMENT'!$BL$8:$BL$1000))</f>
        <v/>
      </c>
      <c r="BM43" s="283" t="str">
        <f>IF($C43="","",SUMPRODUCT(('ANALYSE - ERP =&gt; SOUS-SEGMENT'!$C$8:$C$1000=$C43)*'ANALYSE - ERP =&gt; SOUS-SEGMENT'!$Q$8:$Q$1000*'ANALYSE - ERP =&gt; SOUS-SEGMENT'!$BM$8:$BM$1000))</f>
        <v/>
      </c>
      <c r="BN43" s="657"/>
      <c r="BO43" s="305" t="str">
        <f t="shared" si="3"/>
        <v/>
      </c>
      <c r="BP43" s="305" t="str">
        <f t="shared" si="4"/>
        <v/>
      </c>
      <c r="BQ43" s="305" t="str">
        <f t="shared" si="5"/>
        <v/>
      </c>
      <c r="BR43" s="581" t="str">
        <f t="shared" si="6"/>
        <v/>
      </c>
      <c r="BS43" s="706" t="str">
        <f t="shared" si="7"/>
        <v/>
      </c>
      <c r="BT43" s="305" t="str">
        <f t="shared" si="8"/>
        <v/>
      </c>
      <c r="BU43" s="305" t="str">
        <f t="shared" si="9"/>
        <v/>
      </c>
      <c r="BV43" s="581" t="str">
        <f t="shared" si="10"/>
        <v/>
      </c>
      <c r="BW43" s="713" t="str">
        <f t="shared" si="11"/>
        <v/>
      </c>
      <c r="BX43" s="306" t="str">
        <f t="shared" si="12"/>
        <v/>
      </c>
      <c r="BY43" s="590" t="str">
        <f t="shared" si="13"/>
        <v/>
      </c>
      <c r="BZ43" s="713" t="str">
        <f t="shared" si="14"/>
        <v/>
      </c>
      <c r="CA43" s="306" t="str">
        <f t="shared" si="15"/>
        <v/>
      </c>
      <c r="CB43" s="590" t="str">
        <f t="shared" si="16"/>
        <v/>
      </c>
      <c r="CC43" s="706" t="str">
        <f t="shared" si="17"/>
        <v/>
      </c>
      <c r="CD43" s="305" t="str">
        <f t="shared" si="18"/>
        <v/>
      </c>
      <c r="CE43" s="305" t="str">
        <f t="shared" si="19"/>
        <v/>
      </c>
      <c r="CF43" s="581" t="str">
        <f t="shared" si="20"/>
        <v/>
      </c>
      <c r="CG43" s="706" t="str">
        <f t="shared" si="21"/>
        <v/>
      </c>
      <c r="CH43" s="305" t="str">
        <f t="shared" si="22"/>
        <v/>
      </c>
      <c r="CI43" s="305" t="str">
        <f t="shared" si="23"/>
        <v/>
      </c>
      <c r="CJ43" s="581" t="str">
        <f t="shared" si="24"/>
        <v/>
      </c>
      <c r="CK43" s="719" t="str">
        <f t="shared" si="25"/>
        <v/>
      </c>
      <c r="CL43" s="307" t="str">
        <f t="shared" si="26"/>
        <v/>
      </c>
      <c r="CM43" s="723" t="str">
        <f t="shared" si="27"/>
        <v/>
      </c>
      <c r="CN43" s="719" t="str">
        <f t="shared" si="28"/>
        <v/>
      </c>
      <c r="CO43" s="307" t="str">
        <f t="shared" si="29"/>
        <v/>
      </c>
      <c r="CP43" s="723" t="str">
        <f t="shared" si="30"/>
        <v/>
      </c>
      <c r="CQ43" s="657"/>
      <c r="CR43" s="804" t="str">
        <f>IF($C43="","",IFERROR(SUMPRODUCT(('ANALYSE - ERP =&gt; SOUS-SEGMENT'!$C$8:$C$1000=$C43)*'ANALYSE - ERP =&gt; SOUS-SEGMENT'!$Q$8:$Q$1000*'ANALYSE - ERP =&gt; SOUS-SEGMENT'!$DH$8:$DH$1000*'ANALYSE - ERP =&gt; SOUS-SEGMENT'!$CR$8:$CR$1000)/SUMPRODUCT(('ANALYSE - ERP =&gt; SOUS-SEGMENT'!$C$8:$C$1000=$C43)*'ANALYSE - ERP =&gt; SOUS-SEGMENT'!$Q$8:$Q$1000*'ANALYSE - ERP =&gt; SOUS-SEGMENT'!$DH$8:$DH$1000),""))</f>
        <v/>
      </c>
      <c r="CS43" s="805" t="str">
        <f>IF($C43="","",IFERROR(SUMPRODUCT(('ANALYSE - ERP =&gt; SOUS-SEGMENT'!$C$8:$C$1000=$C43)*'ANALYSE - ERP =&gt; SOUS-SEGMENT'!$Q$8:$Q$1000*'ANALYSE - ERP =&gt; SOUS-SEGMENT'!$DI$8:$DI$1000*'ANALYSE - ERP =&gt; SOUS-SEGMENT'!$CS$8:$CS$1000)/SUMPRODUCT(('ANALYSE - ERP =&gt; SOUS-SEGMENT'!$C$8:$C$1000=$C43)*'ANALYSE - ERP =&gt; SOUS-SEGMENT'!$Q$8:$Q$1000*'ANALYSE - ERP =&gt; SOUS-SEGMENT'!$DI$8:$DI$1000),""))</f>
        <v/>
      </c>
      <c r="CT43" s="805" t="str">
        <f>IF($C43="","",IFERROR(SUMPRODUCT(('ANALYSE - ERP =&gt; SOUS-SEGMENT'!$C$8:$C$1000=$C43)*'ANALYSE - ERP =&gt; SOUS-SEGMENT'!$Q$8:$Q$1000*'ANALYSE - ERP =&gt; SOUS-SEGMENT'!$DJ$8:$DJ$1000*'ANALYSE - ERP =&gt; SOUS-SEGMENT'!$CT$8:$CT$1000)/SUMPRODUCT(('ANALYSE - ERP =&gt; SOUS-SEGMENT'!$C$8:$C$1000=$C43)*'ANALYSE - ERP =&gt; SOUS-SEGMENT'!$Q$8:$Q$1000*'ANALYSE - ERP =&gt; SOUS-SEGMENT'!$DJ$8:$DJ$1000),""))</f>
        <v/>
      </c>
      <c r="CU43" s="806" t="str">
        <f>IF($C43="","",IFERROR(SUMPRODUCT(('ANALYSE - ERP =&gt; SOUS-SEGMENT'!$C$8:$C$1000=$C43)*'ANALYSE - ERP =&gt; SOUS-SEGMENT'!$Q$8:$Q$1000*'ANALYSE - ERP =&gt; SOUS-SEGMENT'!$DK$8:$DK$1000*'ANALYSE - ERP =&gt; SOUS-SEGMENT'!$CU$8:$CU$1000)/SUMPRODUCT(('ANALYSE - ERP =&gt; SOUS-SEGMENT'!$C$8:$C$1000=$C43)*'ANALYSE - ERP =&gt; SOUS-SEGMENT'!$Q$8:$Q$1000*'ANALYSE - ERP =&gt; SOUS-SEGMENT'!$DK$8:$DK$1000),""))</f>
        <v/>
      </c>
      <c r="CV43" s="804" t="str">
        <f>IF($C43="","",IFERROR(SUMPRODUCT(('ANALYSE - ERP =&gt; SOUS-SEGMENT'!$C$8:$C$1000=$C43)*'ANALYSE - ERP =&gt; SOUS-SEGMENT'!$Q$8:$Q$1000*'ANALYSE - ERP =&gt; SOUS-SEGMENT'!$DS$8:$DS$1000*'ANALYSE - ERP =&gt; SOUS-SEGMENT'!$CV$8:$CV$1000)/SUMPRODUCT(('ANALYSE - ERP =&gt; SOUS-SEGMENT'!$C$8:$C$1000=$C43)*'ANALYSE - ERP =&gt; SOUS-SEGMENT'!$Q$8:$Q$1000*'ANALYSE - ERP =&gt; SOUS-SEGMENT'!$DS$8:$DS$1000),""))</f>
        <v/>
      </c>
      <c r="CW43" s="805" t="str">
        <f>IF($C43="","",IFERROR(SUMPRODUCT(('ANALYSE - ERP =&gt; SOUS-SEGMENT'!$C$8:$C$1000=$C43)*'ANALYSE - ERP =&gt; SOUS-SEGMENT'!$Q$8:$Q$1000*'ANALYSE - ERP =&gt; SOUS-SEGMENT'!$DT$8:$DT$1000*'ANALYSE - ERP =&gt; SOUS-SEGMENT'!$CW$8:$CW$1000)/SUMPRODUCT(('ANALYSE - ERP =&gt; SOUS-SEGMENT'!$C$8:$C$1000=$C43)*'ANALYSE - ERP =&gt; SOUS-SEGMENT'!$Q$8:$Q$1000*'ANALYSE - ERP =&gt; SOUS-SEGMENT'!$DT$8:$DT$1000),""))</f>
        <v/>
      </c>
      <c r="CX43" s="806" t="str">
        <f>IF($C43="","",IFERROR(SUMPRODUCT(('ANALYSE - ERP =&gt; SOUS-SEGMENT'!$C$8:$C$1000=$C43)*'ANALYSE - ERP =&gt; SOUS-SEGMENT'!$Q$8:$Q$1000*'ANALYSE - ERP =&gt; SOUS-SEGMENT'!$DU$8:$DU$1000*'ANALYSE - ERP =&gt; SOUS-SEGMENT'!$CX$8:$CX$1000)/SUMPRODUCT(('ANALYSE - ERP =&gt; SOUS-SEGMENT'!$C$8:$C$1000=$C43)*'ANALYSE - ERP =&gt; SOUS-SEGMENT'!$Q$8:$Q$1000*'ANALYSE - ERP =&gt; SOUS-SEGMENT'!$DU$8:$DU$1000),""))</f>
        <v/>
      </c>
      <c r="CY43" s="804" t="str">
        <f>IF($C43="","",IFERROR(SUMPRODUCT(('ANALYSE - ERP =&gt; SOUS-SEGMENT'!$C$8:$C$1000=$C43)*'ANALYSE - ERP =&gt; SOUS-SEGMENT'!$Q$8:$Q$1000*'ANALYSE - ERP =&gt; SOUS-SEGMENT'!$EB$8:$EB$1000*'ANALYSE - ERP =&gt; SOUS-SEGMENT'!$CY$8:$CY$1000)/SUMPRODUCT(('ANALYSE - ERP =&gt; SOUS-SEGMENT'!$C$8:$C$1000=$C43)*'ANALYSE - ERP =&gt; SOUS-SEGMENT'!$Q$8:$Q$1000*'ANALYSE - ERP =&gt; SOUS-SEGMENT'!$EB$8:$EB$1000),""))</f>
        <v/>
      </c>
      <c r="CZ43" s="805" t="str">
        <f>IF($C43="","",IFERROR(SUMPRODUCT(('ANALYSE - ERP =&gt; SOUS-SEGMENT'!$C$8:$C$1000=$C43)*'ANALYSE - ERP =&gt; SOUS-SEGMENT'!$Q$8:$Q$1000*'ANALYSE - ERP =&gt; SOUS-SEGMENT'!$EC$8:$EC$1000*'ANALYSE - ERP =&gt; SOUS-SEGMENT'!$CZ$8:$CZ$1000)/SUMPRODUCT(('ANALYSE - ERP =&gt; SOUS-SEGMENT'!$C$8:$C$1000=$C43)*'ANALYSE - ERP =&gt; SOUS-SEGMENT'!$Q$8:$Q$1000*'ANALYSE - ERP =&gt; SOUS-SEGMENT'!$EC$8:$EC$1000),""))</f>
        <v/>
      </c>
      <c r="DA43" s="805" t="str">
        <f>IF($C43="","",IFERROR(SUMPRODUCT(('ANALYSE - ERP =&gt; SOUS-SEGMENT'!$C$8:$C$1000=$C43)*'ANALYSE - ERP =&gt; SOUS-SEGMENT'!$Q$8:$Q$1000*'ANALYSE - ERP =&gt; SOUS-SEGMENT'!$ED$8:$ED$1000*'ANALYSE - ERP =&gt; SOUS-SEGMENT'!$DA$8:$DA$1000)/SUMPRODUCT(('ANALYSE - ERP =&gt; SOUS-SEGMENT'!$C$8:$C$1000=$C43)*'ANALYSE - ERP =&gt; SOUS-SEGMENT'!$Q$8:$Q$1000*'ANALYSE - ERP =&gt; SOUS-SEGMENT'!$ED$8:$ED$1000),""))</f>
        <v/>
      </c>
      <c r="DB43" s="806" t="str">
        <f>IF($C43="","",IFERROR(SUMPRODUCT(('ANALYSE - ERP =&gt; SOUS-SEGMENT'!$C$8:$C$1000=$C43)*'ANALYSE - ERP =&gt; SOUS-SEGMENT'!$Q$8:$Q$1000*'ANALYSE - ERP =&gt; SOUS-SEGMENT'!$EE$8:$EE$1000*'ANALYSE - ERP =&gt; SOUS-SEGMENT'!$DB$8:$DB$1000)/SUMPRODUCT(('ANALYSE - ERP =&gt; SOUS-SEGMENT'!$C$8:$C$1000=$C43)*'ANALYSE - ERP =&gt; SOUS-SEGMENT'!$Q$8:$Q$1000*'ANALYSE - ERP =&gt; SOUS-SEGMENT'!$EE$8:$EE$1000),""))</f>
        <v/>
      </c>
      <c r="DC43" s="804" t="str">
        <f>IF($C43="","",IFERROR(SUMPRODUCT(('ANALYSE - ERP =&gt; SOUS-SEGMENT'!$C$8:$C$1000=$C43)*'ANALYSE - ERP =&gt; SOUS-SEGMENT'!$Q$8:$Q$1000*'ANALYSE - ERP =&gt; SOUS-SEGMENT'!$EM$8:$EM$1000*'ANALYSE - ERP =&gt; SOUS-SEGMENT'!$DC$8:$DC$1000)/SUMPRODUCT(('ANALYSE - ERP =&gt; SOUS-SEGMENT'!$C$8:$C$1000=$C43)*'ANALYSE - ERP =&gt; SOUS-SEGMENT'!$Q$8:$Q$1000*'ANALYSE - ERP =&gt; SOUS-SEGMENT'!$EM$8:$EM$1000),""))</f>
        <v/>
      </c>
      <c r="DD43" s="805" t="str">
        <f>IF($C43="","",IFERROR(SUMPRODUCT(('ANALYSE - ERP =&gt; SOUS-SEGMENT'!$C$8:$C$1000=$C43)*'ANALYSE - ERP =&gt; SOUS-SEGMENT'!$Q$8:$Q$1000*'ANALYSE - ERP =&gt; SOUS-SEGMENT'!$EN$8:$EN$1000*'ANALYSE - ERP =&gt; SOUS-SEGMENT'!$DD$8:$DD$1000)/SUMPRODUCT(('ANALYSE - ERP =&gt; SOUS-SEGMENT'!$C$8:$C$1000=$C43)*'ANALYSE - ERP =&gt; SOUS-SEGMENT'!$Q$8:$Q$1000*'ANALYSE - ERP =&gt; SOUS-SEGMENT'!$EN$8:$EN$1000),""))</f>
        <v/>
      </c>
      <c r="DE43" s="806" t="str">
        <f>IF($C43="","",IFERROR(SUMPRODUCT(('ANALYSE - ERP =&gt; SOUS-SEGMENT'!$C$8:$C$1000=$C43)*'ANALYSE - ERP =&gt; SOUS-SEGMENT'!$Q$8:$Q$1000*'ANALYSE - ERP =&gt; SOUS-SEGMENT'!$EO$8:$EO$1000*'ANALYSE - ERP =&gt; SOUS-SEGMENT'!$DE$8:$DE$1000)/SUMPRODUCT(('ANALYSE - ERP =&gt; SOUS-SEGMENT'!$C$8:$C$1000=$C43)*'ANALYSE - ERP =&gt; SOUS-SEGMENT'!$Q$8:$Q$1000*'ANALYSE - ERP =&gt; SOUS-SEGMENT'!$EO$8:$EO$1000),""))</f>
        <v/>
      </c>
      <c r="DF43" s="919"/>
      <c r="DG43" s="657"/>
      <c r="DH43" s="308" t="str">
        <f>IF($C43="","",SUMPRODUCT(('ANALYSE - ERP =&gt; SOUS-SEGMENT'!$C$8:$C$1000=$C43)*'ANALYSE - ERP =&gt; SOUS-SEGMENT'!$Q$8:$Q$1000*'ANALYSE - ERP =&gt; SOUS-SEGMENT'!$DH$8:$DH$1000))</f>
        <v/>
      </c>
      <c r="DI43" s="308" t="str">
        <f>IF($C43="","",SUMPRODUCT(('ANALYSE - ERP =&gt; SOUS-SEGMENT'!$C$8:$C$1000=$C43)*'ANALYSE - ERP =&gt; SOUS-SEGMENT'!$Q$8:$Q$1000*'ANALYSE - ERP =&gt; SOUS-SEGMENT'!$DI$8:$DI$1000))</f>
        <v/>
      </c>
      <c r="DJ43" s="308" t="str">
        <f>IF($C43="","",SUMPRODUCT(('ANALYSE - ERP =&gt; SOUS-SEGMENT'!$C$8:$C$1000=$C43)*'ANALYSE - ERP =&gt; SOUS-SEGMENT'!$Q$8:$Q$1000*'ANALYSE - ERP =&gt; SOUS-SEGMENT'!$DJ$8:$DJ$1000))</f>
        <v/>
      </c>
      <c r="DK43" s="308" t="str">
        <f>IF($C43="","",SUMPRODUCT(('ANALYSE - ERP =&gt; SOUS-SEGMENT'!$C$8:$C$1000=$C43)*'ANALYSE - ERP =&gt; SOUS-SEGMENT'!$Q$8:$Q$1000*'ANALYSE - ERP =&gt; SOUS-SEGMENT'!$DK$8:$DK$1000))</f>
        <v/>
      </c>
      <c r="DL43" s="646"/>
      <c r="DM43" s="308" t="str">
        <f>IF($C43="","",SUMPRODUCT(('ANALYSE - ERP =&gt; SOUS-SEGMENT'!$C$8:$C$1000=$C43)*'ANALYSE - ERP =&gt; SOUS-SEGMENT'!$Q$8:$Q$1000*'ANALYSE - ERP =&gt; SOUS-SEGMENT'!$DM$8:$DM$1000))</f>
        <v/>
      </c>
      <c r="DN43" s="308" t="str">
        <f>IF($C43="","",SUMPRODUCT(('ANALYSE - ERP =&gt; SOUS-SEGMENT'!$C$8:$C$1000=$C43)*'ANALYSE - ERP =&gt; SOUS-SEGMENT'!$Q$8:$Q$1000*'ANALYSE - ERP =&gt; SOUS-SEGMENT'!$DN$8:$DN$1000))</f>
        <v/>
      </c>
      <c r="DO43" s="308" t="str">
        <f>IF($C43="","",SUMPRODUCT(('ANALYSE - ERP =&gt; SOUS-SEGMENT'!$C$8:$C$1000=$C43)*'ANALYSE - ERP =&gt; SOUS-SEGMENT'!$Q$8:$Q$1000*'ANALYSE - ERP =&gt; SOUS-SEGMENT'!$DO$8:$DO$1000))</f>
        <v/>
      </c>
      <c r="DP43" s="308" t="str">
        <f>IF($C43="","",SUMPRODUCT(('ANALYSE - ERP =&gt; SOUS-SEGMENT'!$C$8:$C$1000=$C43)*'ANALYSE - ERP =&gt; SOUS-SEGMENT'!$Q$8:$Q$1000*'ANALYSE - ERP =&gt; SOUS-SEGMENT'!$DP$8:$DP$1000))</f>
        <v/>
      </c>
      <c r="DQ43" s="646"/>
      <c r="DR43" s="657"/>
      <c r="DS43" s="308" t="str">
        <f>IF($C43="","",SUMPRODUCT(('ANALYSE - ERP =&gt; SOUS-SEGMENT'!$C$8:$C$1000=$C43)*'ANALYSE - ERP =&gt; SOUS-SEGMENT'!$Q$8:$Q$1000*'ANALYSE - ERP =&gt; SOUS-SEGMENT'!$DS$8:$DS$1000))</f>
        <v/>
      </c>
      <c r="DT43" s="308" t="str">
        <f>IF($C43="","",SUMPRODUCT(('ANALYSE - ERP =&gt; SOUS-SEGMENT'!$C$8:$C$1000=$C43)*'ANALYSE - ERP =&gt; SOUS-SEGMENT'!$Q$8:$Q$1000*'ANALYSE - ERP =&gt; SOUS-SEGMENT'!$DT$8:$DT$1000))</f>
        <v/>
      </c>
      <c r="DU43" s="308" t="str">
        <f>IF($C43="","",SUMPRODUCT(('ANALYSE - ERP =&gt; SOUS-SEGMENT'!$C$8:$C$1000=$C43)*'ANALYSE - ERP =&gt; SOUS-SEGMENT'!$Q$8:$Q$1000*'ANALYSE - ERP =&gt; SOUS-SEGMENT'!$DU$8:$DU$1000))</f>
        <v/>
      </c>
      <c r="DV43" s="646"/>
      <c r="DW43" s="308" t="str">
        <f>IF($C43="","",SUMPRODUCT(('ANALYSE - ERP =&gt; SOUS-SEGMENT'!$C$8:$C$1000=$C43)*'ANALYSE - ERP =&gt; SOUS-SEGMENT'!$Q$8:$Q$1000*'ANALYSE - ERP =&gt; SOUS-SEGMENT'!$DW$8:$DW$1000))</f>
        <v/>
      </c>
      <c r="DX43" s="308" t="str">
        <f>IF($C43="","",SUMPRODUCT(('ANALYSE - ERP =&gt; SOUS-SEGMENT'!$C$8:$C$1000=$C43)*'ANALYSE - ERP =&gt; SOUS-SEGMENT'!$Q$8:$Q$1000*'ANALYSE - ERP =&gt; SOUS-SEGMENT'!$DX$8:$DX$1000))</f>
        <v/>
      </c>
      <c r="DY43" s="308" t="str">
        <f>IF($C43="","",SUMPRODUCT(('ANALYSE - ERP =&gt; SOUS-SEGMENT'!$C$8:$C$1000=$C43)*'ANALYSE - ERP =&gt; SOUS-SEGMENT'!$Q$8:$Q$1000*'ANALYSE - ERP =&gt; SOUS-SEGMENT'!$DY$8:$DY$1000))</f>
        <v/>
      </c>
      <c r="DZ43" s="646"/>
      <c r="EA43" s="657"/>
      <c r="EB43" s="308" t="str">
        <f>IF($C43="","",SUMPRODUCT(('ANALYSE - ERP =&gt; SOUS-SEGMENT'!$C$8:$C$1000=$C43)*'ANALYSE - ERP =&gt; SOUS-SEGMENT'!$Q$8:$Q$1000*'ANALYSE - ERP =&gt; SOUS-SEGMENT'!$EB$8:$EB$1000))</f>
        <v/>
      </c>
      <c r="EC43" s="308" t="str">
        <f>IF($C43="","",SUMPRODUCT(('ANALYSE - ERP =&gt; SOUS-SEGMENT'!$C$8:$C$1000=$C43)*'ANALYSE - ERP =&gt; SOUS-SEGMENT'!$Q$8:$Q$1000*'ANALYSE - ERP =&gt; SOUS-SEGMENT'!$EC$8:$EC$1000))</f>
        <v/>
      </c>
      <c r="ED43" s="308" t="str">
        <f>IF($C43="","",SUMPRODUCT(('ANALYSE - ERP =&gt; SOUS-SEGMENT'!$C$8:$C$1000=$C43)*'ANALYSE - ERP =&gt; SOUS-SEGMENT'!$Q$8:$Q$1000*'ANALYSE - ERP =&gt; SOUS-SEGMENT'!$ED$8:$ED$1000))</f>
        <v/>
      </c>
      <c r="EE43" s="308" t="str">
        <f>IF($C43="","",SUMPRODUCT(('ANALYSE - ERP =&gt; SOUS-SEGMENT'!$C$8:$C$1000=$C43)*'ANALYSE - ERP =&gt; SOUS-SEGMENT'!$Q$8:$Q$1000*'ANALYSE - ERP =&gt; SOUS-SEGMENT'!$EE$8:$EE$1000))</f>
        <v/>
      </c>
      <c r="EF43" s="646"/>
      <c r="EG43" s="308" t="str">
        <f>IF($C43="","",SUMPRODUCT(('ANALYSE - ERP =&gt; SOUS-SEGMENT'!$C$8:$C$1000=$C43)*'ANALYSE - ERP =&gt; SOUS-SEGMENT'!$Q$8:$Q$1000*'ANALYSE - ERP =&gt; SOUS-SEGMENT'!$EG$8:$EG$1000))</f>
        <v/>
      </c>
      <c r="EH43" s="308" t="str">
        <f>IF($C43="","",SUMPRODUCT(('ANALYSE - ERP =&gt; SOUS-SEGMENT'!$C$8:$C$1000=$C43)*'ANALYSE - ERP =&gt; SOUS-SEGMENT'!$Q$8:$Q$1000*'ANALYSE - ERP =&gt; SOUS-SEGMENT'!$EH$8:$EH$1000))</f>
        <v/>
      </c>
      <c r="EI43" s="308" t="str">
        <f>IF($C43="","",SUMPRODUCT(('ANALYSE - ERP =&gt; SOUS-SEGMENT'!$C$8:$C$1000=$C43)*'ANALYSE - ERP =&gt; SOUS-SEGMENT'!$Q$8:$Q$1000*'ANALYSE - ERP =&gt; SOUS-SEGMENT'!$EI$8:$EI$1000))</f>
        <v/>
      </c>
      <c r="EJ43" s="308" t="str">
        <f>IF($C43="","",SUMPRODUCT(('ANALYSE - ERP =&gt; SOUS-SEGMENT'!$C$8:$C$1000=$C43)*'ANALYSE - ERP =&gt; SOUS-SEGMENT'!$Q$8:$Q$1000*'ANALYSE - ERP =&gt; SOUS-SEGMENT'!$EJ$8:$EJ$1000))</f>
        <v/>
      </c>
      <c r="EK43" s="936"/>
      <c r="EL43" s="657"/>
      <c r="EM43" s="308" t="str">
        <f>IF($C43="","",SUMPRODUCT(('ANALYSE - ERP =&gt; SOUS-SEGMENT'!$C$8:$C$1000=$C43)*'ANALYSE - ERP =&gt; SOUS-SEGMENT'!$Q$8:$Q$1000*'ANALYSE - ERP =&gt; SOUS-SEGMENT'!$EM$8:$EM$1000))</f>
        <v/>
      </c>
      <c r="EN43" s="310" t="str">
        <f>IF($C43="","",SUMPRODUCT(('ANALYSE - ERP =&gt; SOUS-SEGMENT'!$C$8:$C$1000=$C43)*'ANALYSE - ERP =&gt; SOUS-SEGMENT'!$Q$8:$Q$1000*'ANALYSE - ERP =&gt; SOUS-SEGMENT'!$EN$8:$EN$1000))</f>
        <v/>
      </c>
      <c r="EO43" s="310" t="str">
        <f>IF($C43="","",SUMPRODUCT(('ANALYSE - ERP =&gt; SOUS-SEGMENT'!$C$8:$C$1000=$C43)*'ANALYSE - ERP =&gt; SOUS-SEGMENT'!$Q$8:$Q$1000*'ANALYSE - ERP =&gt; SOUS-SEGMENT'!$EO$8:$EO$1000))</f>
        <v/>
      </c>
      <c r="EP43" s="646"/>
      <c r="EQ43" s="308" t="str">
        <f>IF($C43="","",SUMPRODUCT(('ANALYSE - ERP =&gt; SOUS-SEGMENT'!$C$8:$C$1000=$C43)*'ANALYSE - ERP =&gt; SOUS-SEGMENT'!$Q$8:$Q$1000*'ANALYSE - ERP =&gt; SOUS-SEGMENT'!$EQ$8:$EQ$1000))</f>
        <v/>
      </c>
      <c r="ER43" s="310" t="str">
        <f>IF($C43="","",SUMPRODUCT(('ANALYSE - ERP =&gt; SOUS-SEGMENT'!$C$8:$C$1000=$C43)*'ANALYSE - ERP =&gt; SOUS-SEGMENT'!$Q$8:$Q$1000*'ANALYSE - ERP =&gt; SOUS-SEGMENT'!$ER$8:$ER$1000))</f>
        <v/>
      </c>
      <c r="ES43" s="310" t="str">
        <f>IF($C43="","",SUMPRODUCT(('ANALYSE - ERP =&gt; SOUS-SEGMENT'!$C$8:$C$1000=$C43)*'ANALYSE - ERP =&gt; SOUS-SEGMENT'!$Q$8:$Q$1000*'ANALYSE - ERP =&gt; SOUS-SEGMENT'!$ES$8:$ES$1000))</f>
        <v/>
      </c>
      <c r="ET43" s="646"/>
      <c r="EU43" s="657"/>
      <c r="EV43" s="728" t="str">
        <f t="shared" si="31"/>
        <v/>
      </c>
      <c r="EW43" s="728" t="str">
        <f t="shared" si="32"/>
        <v/>
      </c>
      <c r="EX43" s="311" t="str">
        <f t="shared" si="33"/>
        <v/>
      </c>
      <c r="EY43" s="311" t="str">
        <f t="shared" si="34"/>
        <v/>
      </c>
      <c r="EZ43" s="311" t="str">
        <f t="shared" si="35"/>
        <v/>
      </c>
      <c r="FA43" s="311" t="str">
        <f t="shared" si="36"/>
        <v/>
      </c>
      <c r="FB43" s="311" t="str">
        <f>IF($C43="","",SUMPRODUCT(('ANALYSE - ERP =&gt; SOUS-SEGMENT'!$C$8:$C$1000=$C43)*'ANALYSE - ERP =&gt; SOUS-SEGMENT'!$Q$8:$Q$1000*'ANALYSE - ERP =&gt; SOUS-SEGMENT'!$FB$8:$FB$1000))</f>
        <v/>
      </c>
      <c r="FC43" s="311" t="str">
        <f>IF($C43="","",SUMPRODUCT(('ANALYSE - ERP =&gt; SOUS-SEGMENT'!$C$8:$C$1000=$C43)*'ANALYSE - ERP =&gt; SOUS-SEGMENT'!$Q$8:$Q$1000*'ANALYSE - ERP =&gt; SOUS-SEGMENT'!$FC$8:$FC$1000))</f>
        <v/>
      </c>
      <c r="FD43" s="311" t="str">
        <f t="shared" si="37"/>
        <v/>
      </c>
      <c r="FE43" s="311" t="str">
        <f>IF($C43="","",SUMPRODUCT(('ANALYSE - ERP =&gt; SOUS-SEGMENT'!$C$8:$C$1000=$C43)*'ANALYSE - ERP =&gt; SOUS-SEGMENT'!$Q$8:$Q$1000*'ANALYSE - ERP =&gt; SOUS-SEGMENT'!$FE$8:$FE$1000))</f>
        <v/>
      </c>
      <c r="FF43" s="311" t="str">
        <f>IF($C43="","",SUMPRODUCT(('ANALYSE - ERP =&gt; SOUS-SEGMENT'!$C$8:$C$1000=$C43)*'ANALYSE - ERP =&gt; SOUS-SEGMENT'!$Q$8:$Q$1000*'ANALYSE - ERP =&gt; SOUS-SEGMENT'!$FF$8:$FF$1000))</f>
        <v/>
      </c>
      <c r="FG43" s="311" t="str">
        <f t="shared" si="38"/>
        <v/>
      </c>
      <c r="FH43" s="311" t="str">
        <f>IF($C43="","",SUMPRODUCT(('ANALYSE - ERP =&gt; SOUS-SEGMENT'!$C$8:$C$1000=$C43)*'ANALYSE - ERP =&gt; SOUS-SEGMENT'!$Q$8:$Q$1000*'ANALYSE - ERP =&gt; SOUS-SEGMENT'!$FH$8:$FH$1000))</f>
        <v/>
      </c>
      <c r="FI43" s="311" t="str">
        <f>IF($C43="","",SUMPRODUCT(('ANALYSE - ERP =&gt; SOUS-SEGMENT'!$C$8:$C$1000=$C43)*'ANALYSE - ERP =&gt; SOUS-SEGMENT'!$Q$8:$Q$1000*'ANALYSE - ERP =&gt; SOUS-SEGMENT'!$FI$8:$FI$1000))</f>
        <v/>
      </c>
      <c r="FJ43" s="311" t="str">
        <f t="shared" si="39"/>
        <v/>
      </c>
      <c r="FK43" s="311" t="str">
        <f>IF($C43="","",SUMPRODUCT(('ANALYSE - ERP =&gt; SOUS-SEGMENT'!$C$8:$C$1000=$C43)*'ANALYSE - ERP =&gt; SOUS-SEGMENT'!$Q$8:$Q$1000*'ANALYSE - ERP =&gt; SOUS-SEGMENT'!$FK$8:$FK$1000))</f>
        <v/>
      </c>
      <c r="FL43" s="311" t="str">
        <f>IF($C43="","",SUMPRODUCT(('ANALYSE - ERP =&gt; SOUS-SEGMENT'!$C$8:$C$1000=$C43)*'ANALYSE - ERP =&gt; SOUS-SEGMENT'!$Q$8:$Q$1000*'ANALYSE - ERP =&gt; SOUS-SEGMENT'!$FL$8:$FL$1000))</f>
        <v/>
      </c>
      <c r="FM43" s="657"/>
      <c r="FN43" s="954"/>
      <c r="FO43" s="728" t="str">
        <f>IF($C43="","",IFERROR(SUMPRODUCT(('ANALYSE - ERP =&gt; SOUS-SEGMENT'!$C$8:$C$1000=$C43)*'ANALYSE - ERP =&gt; SOUS-SEGMENT'!$Q$8:$Q$1000*'ANALYSE - ERP =&gt; SOUS-SEGMENT'!$AF$8:$AF$1000*'ANALYSE - ERP =&gt; SOUS-SEGMENT'!$FO$8:$FO$1000)/SUMPRODUCT(('ANALYSE - ERP =&gt; SOUS-SEGMENT'!$C$8:$C$1000=$C43)*'ANALYSE - ERP =&gt; SOUS-SEGMENT'!$Q$8:$Q$1000*'ANALYSE - ERP =&gt; SOUS-SEGMENT'!$AF$8:$AF$1000),""))</f>
        <v/>
      </c>
      <c r="FP43" s="729" t="str">
        <f>IF($C43="","",IFERROR(SUMPRODUCT(('ANALYSE - ERP =&gt; SOUS-SEGMENT'!$C$8:$C$1000=$C43)*'ANALYSE - ERP =&gt; SOUS-SEGMENT'!$Q$8:$Q$1000*'ANALYSE - ERP =&gt; SOUS-SEGMENT'!$AF$8:$AF$1000*'ANALYSE - ERP =&gt; SOUS-SEGMENT'!$FP$8:$FP$1000)/SUMPRODUCT(('ANALYSE - ERP =&gt; SOUS-SEGMENT'!$C$8:$C$1000=$C43)*'ANALYSE - ERP =&gt; SOUS-SEGMENT'!$Q$8:$Q$1000*'ANALYSE - ERP =&gt; SOUS-SEGMENT'!$AF$8:$AF$1000),""))</f>
        <v/>
      </c>
      <c r="FQ43" s="954"/>
      <c r="FR43" s="657"/>
      <c r="FS43" s="865" t="str">
        <f>IF($C43="","",IFERROR(SUMPRODUCT(('ANALYSE - ERP =&gt; SOUS-SEGMENT'!$C$8:$C$1000=$C43)*'ANALYSE - ERP =&gt; SOUS-SEGMENT'!$Q$8:$Q$1000*'ANALYSE - ERP =&gt; SOUS-SEGMENT'!$EX$8:$EX$1000*'ANALYSE - ERP =&gt; SOUS-SEGMENT'!$FS$8:$FS$1000)/SUMPRODUCT(('ANALYSE - ERP =&gt; SOUS-SEGMENT'!$C$8:$C$1000=$C43)*'ANALYSE - ERP =&gt; SOUS-SEGMENT'!$Q$8:$Q$1000*'ANALYSE - ERP =&gt; SOUS-SEGMENT'!$EX$8:$EX$1000),""))</f>
        <v/>
      </c>
      <c r="FT43" s="312" t="str">
        <f>IF($C43="","",RANK($FS43,$FS$8:$FS$43,0)+COUNTIF($FS$8:$FS43,$FS43)-1)</f>
        <v/>
      </c>
      <c r="FU43" s="865" t="str">
        <f>IF($C43="","",IFERROR(SUMPRODUCT(('ANALYSE - ERP =&gt; SOUS-SEGMENT'!$C$8:$C$1000=$C43)*'ANALYSE - ERP =&gt; SOUS-SEGMENT'!$Q$8:$Q$1000*'ANALYSE - ERP =&gt; SOUS-SEGMENT'!$EY$8:$EY$1000*'ANALYSE - ERP =&gt; SOUS-SEGMENT'!$FU$8:$FU$1000)/SUMPRODUCT(('ANALYSE - ERP =&gt; SOUS-SEGMENT'!$C$8:$C$1000=$C43)*'ANALYSE - ERP =&gt; SOUS-SEGMENT'!$Q$8:$Q$1000*'ANALYSE - ERP =&gt; SOUS-SEGMENT'!$EY$8:$EY$1000),""))</f>
        <v/>
      </c>
      <c r="FV43" s="312" t="str">
        <f>IF($C43="","",RANK($FU43,$FU$8:$FU$43,0)+COUNTIF($FU$8:$FU43,$FU43)-1)</f>
        <v/>
      </c>
      <c r="FW43" s="865" t="str">
        <f>IF($C43="","",IFERROR(SUMPRODUCT(('ANALYSE - ERP =&gt; SOUS-SEGMENT'!$C$8:$C$1000=$C43)*'ANALYSE - ERP =&gt; SOUS-SEGMENT'!$Q$8:$Q$1000*'ANALYSE - ERP =&gt; SOUS-SEGMENT'!$EZ$8:$EZ$1000*'ANALYSE - ERP =&gt; SOUS-SEGMENT'!$FW$8:$FW$1000)/SUMPRODUCT(('ANALYSE - ERP =&gt; SOUS-SEGMENT'!$C$8:$C$1000=$C43)*'ANALYSE - ERP =&gt; SOUS-SEGMENT'!$Q$8:$Q$1000*'ANALYSE - ERP =&gt; SOUS-SEGMENT'!$EZ$8:$EZ$1000),""))</f>
        <v/>
      </c>
      <c r="FX43" s="312" t="str">
        <f>IF($C43="","",RANK($FW43,$FW$8:$FW$43,0)+COUNTIF($FW$8:$FW43,$FW43)-1)</f>
        <v/>
      </c>
      <c r="FY43" s="657"/>
      <c r="FZ43" s="646"/>
      <c r="GA43" s="646"/>
      <c r="GB43" s="646"/>
      <c r="GC43" s="646"/>
      <c r="GD43" s="646"/>
      <c r="GE43" s="646"/>
      <c r="GF43" s="276" t="s">
        <v>5750</v>
      </c>
      <c r="GG43" s="657"/>
      <c r="GH43" s="311" t="str">
        <f t="shared" si="40"/>
        <v/>
      </c>
      <c r="GI43" s="311" t="str">
        <f>IF($C43="","",SUMPRODUCT(('ANALYSE - ERP =&gt; SOUS-SEGMENT'!$C$8:$C$1000=$C43)*'ANALYSE - ERP =&gt; SOUS-SEGMENT'!$Q$8:$Q$1000*'ANALYSE - ERP =&gt; SOUS-SEGMENT'!$GI$8:$GI$1000))</f>
        <v/>
      </c>
      <c r="GJ43" s="311" t="str">
        <f>IF($C43="","",SUMPRODUCT(('ANALYSE - ERP =&gt; SOUS-SEGMENT'!$C$8:$C$1000=$C43)*'ANALYSE - ERP =&gt; SOUS-SEGMENT'!$Q$8:$Q$1000*'ANALYSE - ERP =&gt; SOUS-SEGMENT'!$GJ$8:$GJ$1000))</f>
        <v/>
      </c>
      <c r="GK43" s="311" t="str">
        <f t="shared" si="41"/>
        <v/>
      </c>
      <c r="GL43" s="311" t="str">
        <f>IF($C43="","",SUMPRODUCT(('ANALYSE - ERP =&gt; SOUS-SEGMENT'!$C$8:$C$1000=$C43)*'ANALYSE - ERP =&gt; SOUS-SEGMENT'!$Q$8:$Q$1000*'ANALYSE - ERP =&gt; SOUS-SEGMENT'!$GL$8:$GL$1000))</f>
        <v/>
      </c>
      <c r="GM43" s="311" t="str">
        <f>IF($C43="","",SUMPRODUCT(('ANALYSE - ERP =&gt; SOUS-SEGMENT'!$C$8:$C$1000=$C43)*'ANALYSE - ERP =&gt; SOUS-SEGMENT'!$Q$8:$Q$1000*'ANALYSE - ERP =&gt; SOUS-SEGMENT'!$GM$8:$GM$1000))</f>
        <v/>
      </c>
      <c r="GN43" s="311" t="str">
        <f t="shared" si="42"/>
        <v/>
      </c>
      <c r="GO43" s="311" t="str">
        <f>IF($C43="","",SUMPRODUCT(('ANALYSE - ERP =&gt; SOUS-SEGMENT'!$C$8:$C$1000=$C43)*'ANALYSE - ERP =&gt; SOUS-SEGMENT'!$Q$8:$Q$1000*'ANALYSE - ERP =&gt; SOUS-SEGMENT'!$GO$8:$GO$1000))</f>
        <v/>
      </c>
      <c r="GP43" s="311" t="str">
        <f>IF($C43="","",SUMPRODUCT(('ANALYSE - ERP =&gt; SOUS-SEGMENT'!$C$8:$C$1000=$C43)*'ANALYSE - ERP =&gt; SOUS-SEGMENT'!$Q$8:$Q$1000*'ANALYSE - ERP =&gt; SOUS-SEGMENT'!$GP$8:$GP$1000))</f>
        <v/>
      </c>
      <c r="GQ43" s="311" t="str">
        <f t="shared" si="43"/>
        <v/>
      </c>
      <c r="GR43" s="311" t="str">
        <f>IF($C43="","",SUMPRODUCT(('ANALYSE - ERP =&gt; SOUS-SEGMENT'!$C$8:$C$1000=$C43)*'ANALYSE - ERP =&gt; SOUS-SEGMENT'!$Q$8:$Q$1000*'ANALYSE - ERP =&gt; SOUS-SEGMENT'!$GR$8:$GR$1000))</f>
        <v/>
      </c>
      <c r="GS43" s="311" t="str">
        <f>IF($C43="","",SUMPRODUCT(('ANALYSE - ERP =&gt; SOUS-SEGMENT'!$C$8:$C$1000=$C43)*'ANALYSE - ERP =&gt; SOUS-SEGMENT'!$Q$8:$Q$1000*'ANALYSE - ERP =&gt; SOUS-SEGMENT'!$GS$8:$GS$1000))</f>
        <v/>
      </c>
      <c r="GT43" s="311" t="str">
        <f t="shared" si="44"/>
        <v/>
      </c>
      <c r="GU43" s="311" t="str">
        <f>IF($C43="","",SUMPRODUCT(('ANALYSE - ERP =&gt; SOUS-SEGMENT'!$C$8:$C$1000=$C43)*'ANALYSE - ERP =&gt; SOUS-SEGMENT'!$Q$8:$Q$1000*'ANALYSE - ERP =&gt; SOUS-SEGMENT'!$GU$8:$GU$1000))</f>
        <v/>
      </c>
      <c r="GV43" s="311" t="str">
        <f>IF($C43="","",SUMPRODUCT(('ANALYSE - ERP =&gt; SOUS-SEGMENT'!$C$8:$C$1000=$C43)*'ANALYSE - ERP =&gt; SOUS-SEGMENT'!$Q$8:$Q$1000*'ANALYSE - ERP =&gt; SOUS-SEGMENT'!$GV$8:$GV$1000))</f>
        <v/>
      </c>
      <c r="GW43" s="311" t="str">
        <f t="shared" si="45"/>
        <v/>
      </c>
      <c r="GX43" s="311" t="str">
        <f>IF($C43="","",SUMPRODUCT(('ANALYSE - ERP =&gt; SOUS-SEGMENT'!$C$8:$C$1000=$C43)*'ANALYSE - ERP =&gt; SOUS-SEGMENT'!$Q$8:$Q$1000*'ANALYSE - ERP =&gt; SOUS-SEGMENT'!$GX$8:$GX$1000))</f>
        <v/>
      </c>
      <c r="GY43" s="311" t="str">
        <f>IF($C43="","",SUMPRODUCT(('ANALYSE - ERP =&gt; SOUS-SEGMENT'!$C$8:$C$1000=$C43)*'ANALYSE - ERP =&gt; SOUS-SEGMENT'!$Q$8:$Q$1000*'ANALYSE - ERP =&gt; SOUS-SEGMENT'!$GY$8:$GY$1000))</f>
        <v/>
      </c>
      <c r="GZ43" s="311" t="str">
        <f t="shared" si="46"/>
        <v/>
      </c>
      <c r="HA43" s="311" t="str">
        <f>IF($C43="","",SUMPRODUCT(('ANALYSE - ERP =&gt; SOUS-SEGMENT'!$C$8:$C$1000=$C43)*'ANALYSE - ERP =&gt; SOUS-SEGMENT'!$Q$8:$Q$1000*'ANALYSE - ERP =&gt; SOUS-SEGMENT'!$HA$8:$HA$1000))</f>
        <v/>
      </c>
      <c r="HB43" s="311" t="str">
        <f>IF($C43="","",SUMPRODUCT(('ANALYSE - ERP =&gt; SOUS-SEGMENT'!$C$8:$C$1000=$C43)*'ANALYSE - ERP =&gt; SOUS-SEGMENT'!$Q$8:$Q$1000*'ANALYSE - ERP =&gt; SOUS-SEGMENT'!$HB$8:$HB$1000))</f>
        <v/>
      </c>
      <c r="HC43" s="311" t="str">
        <f t="shared" si="47"/>
        <v/>
      </c>
      <c r="HD43" s="311" t="str">
        <f>IF($C43="","",SUMPRODUCT(('ANALYSE - ERP =&gt; SOUS-SEGMENT'!$C$8:$C$1000=$C43)*'ANALYSE - ERP =&gt; SOUS-SEGMENT'!$Q$8:$Q$1000*'ANALYSE - ERP =&gt; SOUS-SEGMENT'!$HD$8:$HD$1000))</f>
        <v/>
      </c>
      <c r="HE43" s="311" t="str">
        <f>IF($C43="","",SUMPRODUCT(('ANALYSE - ERP =&gt; SOUS-SEGMENT'!$C$8:$C$1000=$C43)*'ANALYSE - ERP =&gt; SOUS-SEGMENT'!$Q$8:$Q$1000*'ANALYSE - ERP =&gt; SOUS-SEGMENT'!$HE$8:$HE$1000))</f>
        <v/>
      </c>
      <c r="HF43" s="311" t="str">
        <f t="shared" si="48"/>
        <v/>
      </c>
      <c r="HG43" s="311" t="str">
        <f>IF($C43="","",SUMPRODUCT(('ANALYSE - ERP =&gt; SOUS-SEGMENT'!$C$8:$C$1000=$C43)*'ANALYSE - ERP =&gt; SOUS-SEGMENT'!$Q$8:$Q$1000*'ANALYSE - ERP =&gt; SOUS-SEGMENT'!$HG$8:$HG$1000))</f>
        <v/>
      </c>
      <c r="HH43" s="311" t="str">
        <f>IF($C43="","",SUMPRODUCT(('ANALYSE - ERP =&gt; SOUS-SEGMENT'!$C$8:$C$1000=$C43)*'ANALYSE - ERP =&gt; SOUS-SEGMENT'!$Q$8:$Q$1000*'ANALYSE - ERP =&gt; SOUS-SEGMENT'!$HH$8:$HH$1000))</f>
        <v/>
      </c>
      <c r="HI43" s="311" t="str">
        <f t="shared" si="49"/>
        <v/>
      </c>
      <c r="HJ43" s="311" t="str">
        <f>IF($C43="","",SUMPRODUCT(('ANALYSE - ERP =&gt; SOUS-SEGMENT'!$C$8:$C$1000=$C43)*'ANALYSE - ERP =&gt; SOUS-SEGMENT'!$Q$8:$Q$1000*'ANALYSE - ERP =&gt; SOUS-SEGMENT'!$HJ$8:$HJ$1000))</f>
        <v/>
      </c>
      <c r="HK43" s="311" t="str">
        <f>IF($C43="","",SUMPRODUCT(('ANALYSE - ERP =&gt; SOUS-SEGMENT'!$C$8:$C$1000=$C43)*'ANALYSE - ERP =&gt; SOUS-SEGMENT'!$Q$8:$Q$1000*'ANALYSE - ERP =&gt; SOUS-SEGMENT'!$HK$8:$HK$1000))</f>
        <v/>
      </c>
      <c r="HL43" s="311" t="str">
        <f t="shared" si="50"/>
        <v/>
      </c>
      <c r="HM43" s="311" t="str">
        <f>IF($C43="","",SUMPRODUCT(('ANALYSE - ERP =&gt; SOUS-SEGMENT'!$C$8:$C$1000=$C43)*'ANALYSE - ERP =&gt; SOUS-SEGMENT'!$Q$8:$Q$1000*'ANALYSE - ERP =&gt; SOUS-SEGMENT'!$HM$8:$HM$1000))</f>
        <v/>
      </c>
      <c r="HN43" s="311" t="str">
        <f>IF($C43="","",SUMPRODUCT(('ANALYSE - ERP =&gt; SOUS-SEGMENT'!$C$8:$C$1000=$C43)*'ANALYSE - ERP =&gt; SOUS-SEGMENT'!$Q$8:$Q$1000*'ANALYSE - ERP =&gt; SOUS-SEGMENT'!$HN$8:$HN$1000))</f>
        <v/>
      </c>
      <c r="HO43" s="311" t="str">
        <f t="shared" si="51"/>
        <v/>
      </c>
      <c r="HP43" s="311" t="str">
        <f>IF($C43="","",SUMPRODUCT(('ANALYSE - ERP =&gt; SOUS-SEGMENT'!$C$8:$C$1000=$C43)*'ANALYSE - ERP =&gt; SOUS-SEGMENT'!$Q$8:$Q$1000*'ANALYSE - ERP =&gt; SOUS-SEGMENT'!$HP$8:$HP$1000))</f>
        <v/>
      </c>
      <c r="HQ43" s="311" t="str">
        <f>IF($C43="","",SUMPRODUCT(('ANALYSE - ERP =&gt; SOUS-SEGMENT'!$C$8:$C$1000=$C43)*'ANALYSE - ERP =&gt; SOUS-SEGMENT'!$Q$8:$Q$1000*'ANALYSE - ERP =&gt; SOUS-SEGMENT'!$HQ$8:$HQ$1000))</f>
        <v/>
      </c>
      <c r="HR43" s="311" t="str">
        <f t="shared" si="52"/>
        <v/>
      </c>
      <c r="HS43" s="311" t="str">
        <f>IF($C43="","",SUMPRODUCT(('ANALYSE - ERP =&gt; SOUS-SEGMENT'!$C$8:$C$1000=$C43)*'ANALYSE - ERP =&gt; SOUS-SEGMENT'!$Q$8:$Q$1000*'ANALYSE - ERP =&gt; SOUS-SEGMENT'!$HS$8:$HS$1000))</f>
        <v/>
      </c>
      <c r="HT43" s="311" t="str">
        <f>IF($C43="","",SUMPRODUCT(('ANALYSE - ERP =&gt; SOUS-SEGMENT'!$C$8:$C$1000=$C43)*'ANALYSE - ERP =&gt; SOUS-SEGMENT'!$Q$8:$Q$1000*'ANALYSE - ERP =&gt; SOUS-SEGMENT'!$HT$8:$HT$1000))</f>
        <v/>
      </c>
      <c r="HU43" s="311" t="str">
        <f t="shared" si="53"/>
        <v/>
      </c>
      <c r="HV43" s="311" t="str">
        <f>IF($C43="","",SUMPRODUCT(('ANALYSE - ERP =&gt; SOUS-SEGMENT'!$C$8:$C$1000=$C43)*'ANALYSE - ERP =&gt; SOUS-SEGMENT'!$Q$8:$Q$1000*'ANALYSE - ERP =&gt; SOUS-SEGMENT'!$HV$8:$HV$1000))</f>
        <v/>
      </c>
      <c r="HW43" s="311" t="str">
        <f>IF($C43="","",SUMPRODUCT(('ANALYSE - ERP =&gt; SOUS-SEGMENT'!$C$8:$C$1000=$C43)*'ANALYSE - ERP =&gt; SOUS-SEGMENT'!$Q$8:$Q$1000*'ANALYSE - ERP =&gt; SOUS-SEGMENT'!$HW$8:$HW$1000))</f>
        <v/>
      </c>
      <c r="HY43" s="313" t="str">
        <f t="shared" si="54"/>
        <v/>
      </c>
      <c r="HZ43" s="313" t="str">
        <f>IF($C43="","",SUMPRODUCT(('ANALYSE - ERP =&gt; SOUS-SEGMENT'!$C$8:$C$1000=$C43)*'ANALYSE - ERP =&gt; SOUS-SEGMENT'!$Q$8:$Q$1000*'ANALYSE - ERP =&gt; SOUS-SEGMENT'!$HZ$8:$HZ$1000))</f>
        <v/>
      </c>
      <c r="IA43" s="313" t="str">
        <f>IF($C43="","",SUMPRODUCT(('ANALYSE - ERP =&gt; SOUS-SEGMENT'!$C$8:$C$1000=$C43)*'ANALYSE - ERP =&gt; SOUS-SEGMENT'!$Q$8:$Q$1000*'ANALYSE - ERP =&gt; SOUS-SEGMENT'!$IA$8:$IA$1000))</f>
        <v/>
      </c>
      <c r="IB43" s="313" t="str">
        <f>IF($C43="","",SUMPRODUCT(('ANALYSE - ERP =&gt; SOUS-SEGMENT'!$C$8:$C$1000=$C43)*'ANALYSE - ERP =&gt; SOUS-SEGMENT'!$Q$8:$Q$1000*'ANALYSE - ERP =&gt; SOUS-SEGMENT'!$IB$8:$IB$1000))</f>
        <v/>
      </c>
      <c r="IC43" s="313" t="str">
        <f>IF($C43="","",SUMPRODUCT(('ANALYSE - ERP =&gt; SOUS-SEGMENT'!$C$8:$C$1000=$C43)*'ANALYSE - ERP =&gt; SOUS-SEGMENT'!$Q$8:$Q$1000*'ANALYSE - ERP =&gt; SOUS-SEGMENT'!$IC$8:$IC$1000))</f>
        <v/>
      </c>
      <c r="ID43" s="313" t="str">
        <f>IF($C43="","",SUMPRODUCT(('ANALYSE - ERP =&gt; SOUS-SEGMENT'!$C$8:$C$1000=$C43)*'ANALYSE - ERP =&gt; SOUS-SEGMENT'!$Q$8:$Q$1000*'ANALYSE - ERP =&gt; SOUS-SEGMENT'!$ID$8:$ID$1000))</f>
        <v/>
      </c>
      <c r="IE43" s="313" t="str">
        <f t="shared" si="55"/>
        <v/>
      </c>
      <c r="IF43" s="313" t="str">
        <f>IF($C43="","",SUMPRODUCT(('ANALYSE - ERP =&gt; SOUS-SEGMENT'!$C$8:$C$1000=$C43)*'ANALYSE - ERP =&gt; SOUS-SEGMENT'!$Q$8:$Q$1000*'ANALYSE - ERP =&gt; SOUS-SEGMENT'!$IF$8:$IF$1000))</f>
        <v/>
      </c>
      <c r="IG43" s="313" t="str">
        <f>IF($C43="","",SUMPRODUCT(('ANALYSE - ERP =&gt; SOUS-SEGMENT'!$C$8:$C$1000=$C43)*'ANALYSE - ERP =&gt; SOUS-SEGMENT'!$Q$8:$Q$1000*'ANALYSE - ERP =&gt; SOUS-SEGMENT'!$IG$8:$IG$1000))</f>
        <v/>
      </c>
      <c r="IH43" s="313" t="str">
        <f>IF($C43="","",SUMPRODUCT(('ANALYSE - ERP =&gt; SOUS-SEGMENT'!$C$8:$C$1000=$C43)*'ANALYSE - ERP =&gt; SOUS-SEGMENT'!$Q$8:$Q$1000*'ANALYSE - ERP =&gt; SOUS-SEGMENT'!$IH$8:$IH$1000))</f>
        <v/>
      </c>
      <c r="II43" s="313" t="str">
        <f>IF($C43="","",SUMPRODUCT(('ANALYSE - ERP =&gt; SOUS-SEGMENT'!$C$8:$C$1000=$C43)*'ANALYSE - ERP =&gt; SOUS-SEGMENT'!$Q$8:$Q$1000*'ANALYSE - ERP =&gt; SOUS-SEGMENT'!$II$8:$II$1000))</f>
        <v/>
      </c>
      <c r="IJ43" s="313" t="str">
        <f>IF($C43="","",SUMPRODUCT(('ANALYSE - ERP =&gt; SOUS-SEGMENT'!$C$8:$C$1000=$C43)*'ANALYSE - ERP =&gt; SOUS-SEGMENT'!$Q$8:$Q$1000*'ANALYSE - ERP =&gt; SOUS-SEGMENT'!$IJ$8:$IJ$1000))</f>
        <v/>
      </c>
      <c r="IK43" s="866" t="str">
        <f>IF($C43="","",IFERROR(SUMPRODUCT(('ANALYSE - ERP =&gt; SOUS-SEGMENT'!$C$8:$C$1000=$C43)*'ANALYSE - ERP =&gt; SOUS-SEGMENT'!$Q$8:$Q$1000*'ANALYSE - ERP =&gt; SOUS-SEGMENT'!$IE$8:$IE$1000*'ANALYSE - ERP =&gt; SOUS-SEGMENT'!$IK$8:$IK$1000)/SUMPRODUCT(('ANALYSE - ERP =&gt; SOUS-SEGMENT'!$C$8:$C$1000=$C43)*'ANALYSE - ERP =&gt; SOUS-SEGMENT'!$Q$8:$Q$1000*'ANALYSE - ERP =&gt; SOUS-SEGMENT'!$IE$8:$IE$1000),""))</f>
        <v/>
      </c>
      <c r="IL43" s="920"/>
      <c r="IM43" s="964"/>
      <c r="IN43" s="657"/>
      <c r="IO43" s="730" t="str">
        <f>IF($C43="","",IFERROR(SUMPRODUCT(('ANALYSE - ERP =&gt; SOUS-SEGMENT'!$C$8:$C$1000=$C43)*'ANALYSE - ERP =&gt; SOUS-SEGMENT'!$Q$8:$Q$1000*'ANALYSE - ERP =&gt; SOUS-SEGMENT'!$BE$8:$BE$1000*'ANALYSE - ERP =&gt; SOUS-SEGMENT'!$IO$8:$IO$1000)/SUMPRODUCT(('ANALYSE - ERP =&gt; SOUS-SEGMENT'!$C$8:$C$1000=$C43)*'ANALYSE - ERP =&gt; SOUS-SEGMENT'!$Q$8:$Q$1000*'ANALYSE - ERP =&gt; SOUS-SEGMENT'!$BE$8:$BE$1000),""))</f>
        <v/>
      </c>
      <c r="IP43" s="730" t="str">
        <f>IF($C43="","",IFERROR(SUMPRODUCT(('ANALYSE - ERP =&gt; SOUS-SEGMENT'!$C$8:$C$1000=$C43)*'ANALYSE - ERP =&gt; SOUS-SEGMENT'!$Q$8:$Q$1000*'ANALYSE - ERP =&gt; SOUS-SEGMENT'!$BE$8:$BE$1000*'ANALYSE - ERP =&gt; SOUS-SEGMENT'!$IP$8:$IP$1000)/SUMPRODUCT(('ANALYSE - ERP =&gt; SOUS-SEGMENT'!$C$8:$C$1000=$C43)*'ANALYSE - ERP =&gt; SOUS-SEGMENT'!$Q$8:$Q$1000*'ANALYSE - ERP =&gt; SOUS-SEGMENT'!$BE$8:$BE$1000),""))</f>
        <v/>
      </c>
      <c r="IQ43" s="730" t="str">
        <f>IF($C43="","",IFERROR(SUMPRODUCT(('ANALYSE - ERP =&gt; SOUS-SEGMENT'!$C$8:$C$1000=$C43)*'ANALYSE - ERP =&gt; SOUS-SEGMENT'!$Q$8:$Q$1000*'ANALYSE - ERP =&gt; SOUS-SEGMENT'!$BE$8:$BE$1000*'ANALYSE - ERP =&gt; SOUS-SEGMENT'!$IQ$8:$IQ$1000)/SUMPRODUCT(('ANALYSE - ERP =&gt; SOUS-SEGMENT'!$C$8:$C$1000=$C43)*'ANALYSE - ERP =&gt; SOUS-SEGMENT'!$Q$8:$Q$1000*'ANALYSE - ERP =&gt; SOUS-SEGMENT'!$BE$8:$BE$1000),""))</f>
        <v/>
      </c>
      <c r="IR43" s="730" t="str">
        <f>IF($C43="","",IFERROR(SUMPRODUCT(('ANALYSE - ERP =&gt; SOUS-SEGMENT'!$C$8:$C$1000=$C43)*'ANALYSE - ERP =&gt; SOUS-SEGMENT'!$Q$8:$Q$1000*'ANALYSE - ERP =&gt; SOUS-SEGMENT'!$BE$8:$BE$1000*'ANALYSE - ERP =&gt; SOUS-SEGMENT'!$IR$8:$IR$1000)/SUMPRODUCT(('ANALYSE - ERP =&gt; SOUS-SEGMENT'!$C$8:$C$1000=$C43)*'ANALYSE - ERP =&gt; SOUS-SEGMENT'!$Q$8:$Q$1000*'ANALYSE - ERP =&gt; SOUS-SEGMENT'!$BE$8:$BE$1000),""))</f>
        <v/>
      </c>
      <c r="IS43" s="730" t="str">
        <f>IF($C43="","",IFERROR(SUMPRODUCT(('ANALYSE - ERP =&gt; SOUS-SEGMENT'!$C$8:$C$1000=$C43)*'ANALYSE - ERP =&gt; SOUS-SEGMENT'!$Q$8:$Q$1000*'ANALYSE - ERP =&gt; SOUS-SEGMENT'!$BE$8:$BE$1000*'ANALYSE - ERP =&gt; SOUS-SEGMENT'!$IS$8:$IS$1000)/SUMPRODUCT(('ANALYSE - ERP =&gt; SOUS-SEGMENT'!$C$8:$C$1000=$C43)*'ANALYSE - ERP =&gt; SOUS-SEGMENT'!$Q$8:$Q$1000*'ANALYSE - ERP =&gt; SOUS-SEGMENT'!$BE$8:$BE$1000),""))</f>
        <v/>
      </c>
      <c r="IT43" s="730" t="str">
        <f>IF($C43="","",IFERROR(SUMPRODUCT(('ANALYSE - ERP =&gt; SOUS-SEGMENT'!$C$8:$C$1000=$C43)*'ANALYSE - ERP =&gt; SOUS-SEGMENT'!$Q$8:$Q$1000*'ANALYSE - ERP =&gt; SOUS-SEGMENT'!$FB$8:$FB$1000*'ANALYSE - ERP =&gt; SOUS-SEGMENT'!$IT$8:$IT$1000)/SUMPRODUCT(('ANALYSE - ERP =&gt; SOUS-SEGMENT'!$C$8:$C$1000=$C43)*'ANALYSE - ERP =&gt; SOUS-SEGMENT'!$Q$8:$Q$1000*'ANALYSE - ERP =&gt; SOUS-SEGMENT'!$FB$8:$FB$1000),""))</f>
        <v/>
      </c>
      <c r="IU43" s="730" t="str">
        <f>IF($C43="","",IFERROR(SUMPRODUCT(('ANALYSE - ERP =&gt; SOUS-SEGMENT'!$C$8:$C$1000=$C43)*'ANALYSE - ERP =&gt; SOUS-SEGMENT'!$Q$8:$Q$1000*'ANALYSE - ERP =&gt; SOUS-SEGMENT'!$FB$8:$FB$1000*'ANALYSE - ERP =&gt; SOUS-SEGMENT'!$IU$8:$IU$1000)/SUMPRODUCT(('ANALYSE - ERP =&gt; SOUS-SEGMENT'!$C$8:$C$1000=$C43)*'ANALYSE - ERP =&gt; SOUS-SEGMENT'!$Q$8:$Q$1000*'ANALYSE - ERP =&gt; SOUS-SEGMENT'!$FB$8:$FB$1000),""))</f>
        <v/>
      </c>
      <c r="IV43" s="730" t="str">
        <f>IF($C43="","",IFERROR(SUMPRODUCT(('ANALYSE - ERP =&gt; SOUS-SEGMENT'!$C$8:$C$1000=$C43)*'ANALYSE - ERP =&gt; SOUS-SEGMENT'!$Q$8:$Q$1000*'ANALYSE - ERP =&gt; SOUS-SEGMENT'!$FB$8:$FB$1000*'ANALYSE - ERP =&gt; SOUS-SEGMENT'!$IV$8:$IV$1000)/SUMPRODUCT(('ANALYSE - ERP =&gt; SOUS-SEGMENT'!$C$8:$C$1000=$C43)*'ANALYSE - ERP =&gt; SOUS-SEGMENT'!$Q$8:$Q$1000*'ANALYSE - ERP =&gt; SOUS-SEGMENT'!$FB$8:$FB$1000),""))</f>
        <v/>
      </c>
      <c r="IW43" s="730" t="str">
        <f>IF($C43="","",IFERROR(SUMPRODUCT(('ANALYSE - ERP =&gt; SOUS-SEGMENT'!$C$8:$C$1000=$C43)*'ANALYSE - ERP =&gt; SOUS-SEGMENT'!$Q$8:$Q$1000*'ANALYSE - ERP =&gt; SOUS-SEGMENT'!$FB$8:$FB$1000*'ANALYSE - ERP =&gt; SOUS-SEGMENT'!$IW$8:$IW$1000)/SUMPRODUCT(('ANALYSE - ERP =&gt; SOUS-SEGMENT'!$C$8:$C$1000=$C43)*'ANALYSE - ERP =&gt; SOUS-SEGMENT'!$Q$8:$Q$1000*'ANALYSE - ERP =&gt; SOUS-SEGMENT'!$FB$8:$FB$1000),""))</f>
        <v/>
      </c>
      <c r="IX43" s="730" t="str">
        <f>IF($C43="","",IFERROR(SUMPRODUCT(('ANALYSE - ERP =&gt; SOUS-SEGMENT'!$C$8:$C$1000=$C43)*'ANALYSE - ERP =&gt; SOUS-SEGMENT'!$Q$8:$Q$1000*'ANALYSE - ERP =&gt; SOUS-SEGMENT'!$FB$8:$FB$1000*'ANALYSE - ERP =&gt; SOUS-SEGMENT'!$IX$8:$IX$1000)/SUMPRODUCT(('ANALYSE - ERP =&gt; SOUS-SEGMENT'!$C$8:$C$1000=$C43)*'ANALYSE - ERP =&gt; SOUS-SEGMENT'!$Q$8:$Q$1000*'ANALYSE - ERP =&gt; SOUS-SEGMENT'!$FB$8:$FB$1000),""))</f>
        <v/>
      </c>
      <c r="IY43" s="730" t="str">
        <f>IF($C43="","",IFERROR(SUMPRODUCT(('ANALYSE - ERP =&gt; SOUS-SEGMENT'!$C$8:$C$1000=$C43)*'ANALYSE - ERP =&gt; SOUS-SEGMENT'!$Q$8:$Q$1000*'ANALYSE - ERP =&gt; SOUS-SEGMENT'!$BF$8:$BF$1000*'ANALYSE - ERP =&gt; SOUS-SEGMENT'!$IY$8:$IY$1000)/SUMPRODUCT(('ANALYSE - ERP =&gt; SOUS-SEGMENT'!$C$8:$C$1000=$C43)*'ANALYSE - ERP =&gt; SOUS-SEGMENT'!$Q$8:$Q$1000*'ANALYSE - ERP =&gt; SOUS-SEGMENT'!$BF$8:$BF$1000),""))</f>
        <v/>
      </c>
      <c r="IZ43" s="730" t="str">
        <f>IF($C43="","",IFERROR(SUMPRODUCT(('ANALYSE - ERP =&gt; SOUS-SEGMENT'!$C$8:$C$1000=$C43)*'ANALYSE - ERP =&gt; SOUS-SEGMENT'!$Q$8:$Q$1000*'ANALYSE - ERP =&gt; SOUS-SEGMENT'!$BF$8:$BF$1000*'ANALYSE - ERP =&gt; SOUS-SEGMENT'!$IZ$8:$IZ$1000)/SUMPRODUCT(('ANALYSE - ERP =&gt; SOUS-SEGMENT'!$C$8:$C$1000=$C43)*'ANALYSE - ERP =&gt; SOUS-SEGMENT'!$Q$8:$Q$1000*'ANALYSE - ERP =&gt; SOUS-SEGMENT'!$BF$8:$BF$1000),""))</f>
        <v/>
      </c>
      <c r="JA43" s="730" t="str">
        <f>IF($C43="","",IFERROR(SUMPRODUCT(('ANALYSE - ERP =&gt; SOUS-SEGMENT'!$C$8:$C$1000=$C43)*'ANALYSE - ERP =&gt; SOUS-SEGMENT'!$Q$8:$Q$1000*'ANALYSE - ERP =&gt; SOUS-SEGMENT'!$BF$8:$BF$1000*'ANALYSE - ERP =&gt; SOUS-SEGMENT'!$JA$8:$JA$1000)/SUMPRODUCT(('ANALYSE - ERP =&gt; SOUS-SEGMENT'!$C$8:$C$1000=$C43)*'ANALYSE - ERP =&gt; SOUS-SEGMENT'!$Q$8:$Q$1000*'ANALYSE - ERP =&gt; SOUS-SEGMENT'!$BF$8:$BF$1000),""))</f>
        <v/>
      </c>
      <c r="JB43" s="730" t="str">
        <f>IF($C43="","",IFERROR(SUMPRODUCT(('ANALYSE - ERP =&gt; SOUS-SEGMENT'!$C$8:$C$1000=$C43)*'ANALYSE - ERP =&gt; SOUS-SEGMENT'!$Q$8:$Q$1000*'ANALYSE - ERP =&gt; SOUS-SEGMENT'!$BF$8:$BF$1000*'ANALYSE - ERP =&gt; SOUS-SEGMENT'!$JB$8:$JB$1000)/SUMPRODUCT(('ANALYSE - ERP =&gt; SOUS-SEGMENT'!$C$8:$C$1000=$C43)*'ANALYSE - ERP =&gt; SOUS-SEGMENT'!$Q$8:$Q$1000*'ANALYSE - ERP =&gt; SOUS-SEGMENT'!$BF$8:$BF$1000),""))</f>
        <v/>
      </c>
      <c r="JC43" s="730" t="str">
        <f>IF($C43="","",IFERROR(SUMPRODUCT(('ANALYSE - ERP =&gt; SOUS-SEGMENT'!$C$8:$C$1000=$C43)*'ANALYSE - ERP =&gt; SOUS-SEGMENT'!$Q$8:$Q$1000*'ANALYSE - ERP =&gt; SOUS-SEGMENT'!$BF$8:$BF$1000*'ANALYSE - ERP =&gt; SOUS-SEGMENT'!$JC$8:$JC$1000)/SUMPRODUCT(('ANALYSE - ERP =&gt; SOUS-SEGMENT'!$C$8:$C$1000=$C43)*'ANALYSE - ERP =&gt; SOUS-SEGMENT'!$Q$8:$Q$1000*'ANALYSE - ERP =&gt; SOUS-SEGMENT'!$BF$8:$BF$1000),""))</f>
        <v/>
      </c>
      <c r="JD43" s="730" t="str">
        <f>IF($C43="","",IFERROR(SUMPRODUCT(('ANALYSE - ERP =&gt; SOUS-SEGMENT'!$C$8:$C$1000=$C43)*'ANALYSE - ERP =&gt; SOUS-SEGMENT'!$Q$8:$Q$1000*'ANALYSE - ERP =&gt; SOUS-SEGMENT'!$FE$8:$FE$1000*'ANALYSE - ERP =&gt; SOUS-SEGMENT'!$JD$8:$JD$1000)/SUMPRODUCT(('ANALYSE - ERP =&gt; SOUS-SEGMENT'!$C$8:$C$1000=$C43)*'ANALYSE - ERP =&gt; SOUS-SEGMENT'!$Q$8:$Q$1000*'ANALYSE - ERP =&gt; SOUS-SEGMENT'!$FE$8:$FE$1000),""))</f>
        <v/>
      </c>
      <c r="JE43" s="730" t="str">
        <f>IF($C43="","",IFERROR(SUMPRODUCT(('ANALYSE - ERP =&gt; SOUS-SEGMENT'!$C$8:$C$1000=$C43)*'ANALYSE - ERP =&gt; SOUS-SEGMENT'!$Q$8:$Q$1000*'ANALYSE - ERP =&gt; SOUS-SEGMENT'!$FE$8:$FE$1000*'ANALYSE - ERP =&gt; SOUS-SEGMENT'!$JE$8:$JE$1000)/SUMPRODUCT(('ANALYSE - ERP =&gt; SOUS-SEGMENT'!$C$8:$C$1000=$C43)*'ANALYSE - ERP =&gt; SOUS-SEGMENT'!$Q$8:$Q$1000*'ANALYSE - ERP =&gt; SOUS-SEGMENT'!$FE$8:$FE$1000),""))</f>
        <v/>
      </c>
      <c r="JF43" s="730" t="str">
        <f>IF($C43="","",IFERROR(SUMPRODUCT(('ANALYSE - ERP =&gt; SOUS-SEGMENT'!$C$8:$C$1000=$C43)*'ANALYSE - ERP =&gt; SOUS-SEGMENT'!$Q$8:$Q$1000*'ANALYSE - ERP =&gt; SOUS-SEGMENT'!$FE$8:$FE$1000*'ANALYSE - ERP =&gt; SOUS-SEGMENT'!$JF$8:$JF$1000)/SUMPRODUCT(('ANALYSE - ERP =&gt; SOUS-SEGMENT'!$C$8:$C$1000=$C43)*'ANALYSE - ERP =&gt; SOUS-SEGMENT'!$Q$8:$Q$1000*'ANALYSE - ERP =&gt; SOUS-SEGMENT'!$FE$8:$FE$1000),""))</f>
        <v/>
      </c>
      <c r="JG43" s="730" t="str">
        <f>IF($C43="","",IFERROR(SUMPRODUCT(('ANALYSE - ERP =&gt; SOUS-SEGMENT'!$C$8:$C$1000=$C43)*'ANALYSE - ERP =&gt; SOUS-SEGMENT'!$Q$8:$Q$1000*'ANALYSE - ERP =&gt; SOUS-SEGMENT'!$FE$8:$FE$1000*'ANALYSE - ERP =&gt; SOUS-SEGMENT'!$JG$8:$JG$1000)/SUMPRODUCT(('ANALYSE - ERP =&gt; SOUS-SEGMENT'!$C$8:$C$1000=$C43)*'ANALYSE - ERP =&gt; SOUS-SEGMENT'!$Q$8:$Q$1000*'ANALYSE - ERP =&gt; SOUS-SEGMENT'!$FE$8:$FE$1000),""))</f>
        <v/>
      </c>
      <c r="JH43" s="730" t="str">
        <f>IF($C43="","",IFERROR(SUMPRODUCT(('ANALYSE - ERP =&gt; SOUS-SEGMENT'!$C$8:$C$1000=$C43)*'ANALYSE - ERP =&gt; SOUS-SEGMENT'!$Q$8:$Q$1000*'ANALYSE - ERP =&gt; SOUS-SEGMENT'!$FE$8:$FE$1000*'ANALYSE - ERP =&gt; SOUS-SEGMENT'!$JH$8:$JH$1000)/SUMPRODUCT(('ANALYSE - ERP =&gt; SOUS-SEGMENT'!$C$8:$C$1000=$C43)*'ANALYSE - ERP =&gt; SOUS-SEGMENT'!$Q$8:$Q$1000*'ANALYSE - ERP =&gt; SOUS-SEGMENT'!$FE$8:$FE$1000),""))</f>
        <v/>
      </c>
      <c r="JI43" s="730" t="str">
        <f>IF($C43="","",IFERROR(SUMPRODUCT(('ANALYSE - ERP =&gt; SOUS-SEGMENT'!$C$8:$C$1000=$C43)*'ANALYSE - ERP =&gt; SOUS-SEGMENT'!$Q$8:$Q$1000*'ANALYSE - ERP =&gt; SOUS-SEGMENT'!$BG$8:$BG$1000*'ANALYSE - ERP =&gt; SOUS-SEGMENT'!$JI$8:$JI$1000)/SUMPRODUCT(('ANALYSE - ERP =&gt; SOUS-SEGMENT'!$C$8:$C$1000=$C43)*'ANALYSE - ERP =&gt; SOUS-SEGMENT'!$Q$8:$Q$1000*'ANALYSE - ERP =&gt; SOUS-SEGMENT'!$BG$8:$BG$1000),""))</f>
        <v/>
      </c>
      <c r="JJ43" s="730" t="str">
        <f>IF($C43="","",IFERROR(SUMPRODUCT(('ANALYSE - ERP =&gt; SOUS-SEGMENT'!$C$8:$C$1000=$C43)*'ANALYSE - ERP =&gt; SOUS-SEGMENT'!$Q$8:$Q$1000*'ANALYSE - ERP =&gt; SOUS-SEGMENT'!$BG$8:$BG$1000*'ANALYSE - ERP =&gt; SOUS-SEGMENT'!$JJ$8:$JJ$1000)/SUMPRODUCT(('ANALYSE - ERP =&gt; SOUS-SEGMENT'!$C$8:$C$1000=$C43)*'ANALYSE - ERP =&gt; SOUS-SEGMENT'!$Q$8:$Q$1000*'ANALYSE - ERP =&gt; SOUS-SEGMENT'!$BG$8:$BG$1000),""))</f>
        <v/>
      </c>
      <c r="JK43" s="730" t="str">
        <f>IF($C43="","",IFERROR(SUMPRODUCT(('ANALYSE - ERP =&gt; SOUS-SEGMENT'!$C$8:$C$1000=$C43)*'ANALYSE - ERP =&gt; SOUS-SEGMENT'!$Q$8:$Q$1000*'ANALYSE - ERP =&gt; SOUS-SEGMENT'!$BG$8:$BG$1000*'ANALYSE - ERP =&gt; SOUS-SEGMENT'!$JK$8:$JK$1000)/SUMPRODUCT(('ANALYSE - ERP =&gt; SOUS-SEGMENT'!$C$8:$C$1000=$C43)*'ANALYSE - ERP =&gt; SOUS-SEGMENT'!$Q$8:$Q$1000*'ANALYSE - ERP =&gt; SOUS-SEGMENT'!$BG$8:$BG$1000),""))</f>
        <v/>
      </c>
      <c r="JL43" s="730" t="str">
        <f>IF($C43="","",IFERROR(SUMPRODUCT(('ANALYSE - ERP =&gt; SOUS-SEGMENT'!$C$8:$C$1000=$C43)*'ANALYSE - ERP =&gt; SOUS-SEGMENT'!$Q$8:$Q$1000*'ANALYSE - ERP =&gt; SOUS-SEGMENT'!$BG$8:$BG$1000*'ANALYSE - ERP =&gt; SOUS-SEGMENT'!$JL$8:$JL$1000)/SUMPRODUCT(('ANALYSE - ERP =&gt; SOUS-SEGMENT'!$C$8:$C$1000=$C43)*'ANALYSE - ERP =&gt; SOUS-SEGMENT'!$Q$8:$Q$1000*'ANALYSE - ERP =&gt; SOUS-SEGMENT'!$BG$8:$BG$1000),""))</f>
        <v/>
      </c>
      <c r="JM43" s="730" t="str">
        <f>IF($C43="","",IFERROR(SUMPRODUCT(('ANALYSE - ERP =&gt; SOUS-SEGMENT'!$C$8:$C$1000=$C43)*'ANALYSE - ERP =&gt; SOUS-SEGMENT'!$Q$8:$Q$1000*'ANALYSE - ERP =&gt; SOUS-SEGMENT'!$BG$8:$BG$1000*'ANALYSE - ERP =&gt; SOUS-SEGMENT'!$JM$8:$JM$1000)/SUMPRODUCT(('ANALYSE - ERP =&gt; SOUS-SEGMENT'!$C$8:$C$1000=$C43)*'ANALYSE - ERP =&gt; SOUS-SEGMENT'!$Q$8:$Q$1000*'ANALYSE - ERP =&gt; SOUS-SEGMENT'!$BG$8:$BG$1000),""))</f>
        <v/>
      </c>
      <c r="JN43" s="730" t="str">
        <f>IF($C43="","",IFERROR(SUMPRODUCT(('ANALYSE - ERP =&gt; SOUS-SEGMENT'!$C$8:$C$1000=$C43)*'ANALYSE - ERP =&gt; SOUS-SEGMENT'!$Q$8:$Q$1000*'ANALYSE - ERP =&gt; SOUS-SEGMENT'!$FH$8:$FH$1000*'ANALYSE - ERP =&gt; SOUS-SEGMENT'!$JN$8:$JN$1000)/SUMPRODUCT(('ANALYSE - ERP =&gt; SOUS-SEGMENT'!$C$8:$C$1000=$C43)*'ANALYSE - ERP =&gt; SOUS-SEGMENT'!$Q$8:$Q$1000*'ANALYSE - ERP =&gt; SOUS-SEGMENT'!$FH$8:$FH$1000),""))</f>
        <v/>
      </c>
      <c r="JO43" s="730" t="str">
        <f>IF($C43="","",IFERROR(SUMPRODUCT(('ANALYSE - ERP =&gt; SOUS-SEGMENT'!$C$8:$C$1000=$C43)*'ANALYSE - ERP =&gt; SOUS-SEGMENT'!$Q$8:$Q$1000*'ANALYSE - ERP =&gt; SOUS-SEGMENT'!$FH$8:$FH$1000*'ANALYSE - ERP =&gt; SOUS-SEGMENT'!$JO$8:$JO$1000)/SUMPRODUCT(('ANALYSE - ERP =&gt; SOUS-SEGMENT'!$C$8:$C$1000=$C43)*'ANALYSE - ERP =&gt; SOUS-SEGMENT'!$Q$8:$Q$1000*'ANALYSE - ERP =&gt; SOUS-SEGMENT'!$FH$8:$FH$1000),""))</f>
        <v/>
      </c>
      <c r="JP43" s="730" t="str">
        <f>IF($C43="","",IFERROR(SUMPRODUCT(('ANALYSE - ERP =&gt; SOUS-SEGMENT'!$C$8:$C$1000=$C43)*'ANALYSE - ERP =&gt; SOUS-SEGMENT'!$Q$8:$Q$1000*'ANALYSE - ERP =&gt; SOUS-SEGMENT'!$FH$8:$FH$1000*'ANALYSE - ERP =&gt; SOUS-SEGMENT'!$JP$8:$JP$1000)/SUMPRODUCT(('ANALYSE - ERP =&gt; SOUS-SEGMENT'!$C$8:$C$1000=$C43)*'ANALYSE - ERP =&gt; SOUS-SEGMENT'!$Q$8:$Q$1000*'ANALYSE - ERP =&gt; SOUS-SEGMENT'!$FH$8:$FH$1000),""))</f>
        <v/>
      </c>
      <c r="JQ43" s="730" t="str">
        <f>IF($C43="","",IFERROR(SUMPRODUCT(('ANALYSE - ERP =&gt; SOUS-SEGMENT'!$C$8:$C$1000=$C43)*'ANALYSE - ERP =&gt; SOUS-SEGMENT'!$Q$8:$Q$1000*'ANALYSE - ERP =&gt; SOUS-SEGMENT'!$FH$8:$FH$1000*'ANALYSE - ERP =&gt; SOUS-SEGMENT'!$JQ$8:$JQ$1000)/SUMPRODUCT(('ANALYSE - ERP =&gt; SOUS-SEGMENT'!$C$8:$C$1000=$C43)*'ANALYSE - ERP =&gt; SOUS-SEGMENT'!$Q$8:$Q$1000*'ANALYSE - ERP =&gt; SOUS-SEGMENT'!$FH$8:$FH$1000),""))</f>
        <v/>
      </c>
      <c r="JR43" s="730" t="str">
        <f>IF($C43="","",IFERROR(SUMPRODUCT(('ANALYSE - ERP =&gt; SOUS-SEGMENT'!$C$8:$C$1000=$C43)*'ANALYSE - ERP =&gt; SOUS-SEGMENT'!$Q$8:$Q$1000*'ANALYSE - ERP =&gt; SOUS-SEGMENT'!$FH$8:$FH$1000*'ANALYSE - ERP =&gt; SOUS-SEGMENT'!$JR$8:$JR$1000)/SUMPRODUCT(('ANALYSE - ERP =&gt; SOUS-SEGMENT'!$C$8:$C$1000=$C43)*'ANALYSE - ERP =&gt; SOUS-SEGMENT'!$Q$8:$Q$1000*'ANALYSE - ERP =&gt; SOUS-SEGMENT'!$FH$8:$FH$1000),""))</f>
        <v/>
      </c>
      <c r="JS43" s="730" t="str">
        <f>IF($C43="","",IFERROR(SUMPRODUCT(('ANALYSE - ERP =&gt; SOUS-SEGMENT'!$C$8:$C$1000=$C43)*'ANALYSE - ERP =&gt; SOUS-SEGMENT'!$Q$8:$Q$1000*'ANALYSE - ERP =&gt; SOUS-SEGMENT'!$BH$8:$BH$1000*'ANALYSE - ERP =&gt; SOUS-SEGMENT'!$JS$8:$JS$1000)/SUMPRODUCT(('ANALYSE - ERP =&gt; SOUS-SEGMENT'!$C$8:$C$1000=$C43)*'ANALYSE - ERP =&gt; SOUS-SEGMENT'!$Q$8:$Q$1000*'ANALYSE - ERP =&gt; SOUS-SEGMENT'!$BH$8:$BH$1000),""))</f>
        <v/>
      </c>
      <c r="JT43" s="730" t="str">
        <f>IF($C43="","",IFERROR(SUMPRODUCT(('ANALYSE - ERP =&gt; SOUS-SEGMENT'!$C$8:$C$1000=$C43)*'ANALYSE - ERP =&gt; SOUS-SEGMENT'!$Q$8:$Q$1000*'ANALYSE - ERP =&gt; SOUS-SEGMENT'!$BH$8:$BH$1000*'ANALYSE - ERP =&gt; SOUS-SEGMENT'!$JT$8:$JT$1000)/SUMPRODUCT(('ANALYSE - ERP =&gt; SOUS-SEGMENT'!$C$8:$C$1000=$C43)*'ANALYSE - ERP =&gt; SOUS-SEGMENT'!$Q$8:$Q$1000*'ANALYSE - ERP =&gt; SOUS-SEGMENT'!$BH$8:$BH$1000),""))</f>
        <v/>
      </c>
      <c r="JU43" s="730" t="str">
        <f>IF($C43="","",IFERROR(SUMPRODUCT(('ANALYSE - ERP =&gt; SOUS-SEGMENT'!$C$8:$C$1000=$C43)*'ANALYSE - ERP =&gt; SOUS-SEGMENT'!$Q$8:$Q$1000*'ANALYSE - ERP =&gt; SOUS-SEGMENT'!$BH$8:$BH$1000*'ANALYSE - ERP =&gt; SOUS-SEGMENT'!$JU$8:$JU$1000)/SUMPRODUCT(('ANALYSE - ERP =&gt; SOUS-SEGMENT'!$C$8:$C$1000=$C43)*'ANALYSE - ERP =&gt; SOUS-SEGMENT'!$Q$8:$Q$1000*'ANALYSE - ERP =&gt; SOUS-SEGMENT'!$BH$8:$BH$1000),""))</f>
        <v/>
      </c>
      <c r="JV43" s="730" t="str">
        <f>IF($C43="","",IFERROR(SUMPRODUCT(('ANALYSE - ERP =&gt; SOUS-SEGMENT'!$C$8:$C$1000=$C43)*'ANALYSE - ERP =&gt; SOUS-SEGMENT'!$Q$8:$Q$1000*'ANALYSE - ERP =&gt; SOUS-SEGMENT'!$BH$8:$BH$1000*'ANALYSE - ERP =&gt; SOUS-SEGMENT'!$JV$8:$JV$1000)/SUMPRODUCT(('ANALYSE - ERP =&gt; SOUS-SEGMENT'!$C$8:$C$1000=$C43)*'ANALYSE - ERP =&gt; SOUS-SEGMENT'!$Q$8:$Q$1000*'ANALYSE - ERP =&gt; SOUS-SEGMENT'!$BH$8:$BH$1000),""))</f>
        <v/>
      </c>
      <c r="JW43" s="730" t="str">
        <f>IF($C43="","",IFERROR(SUMPRODUCT(('ANALYSE - ERP =&gt; SOUS-SEGMENT'!$C$8:$C$1000=$C43)*'ANALYSE - ERP =&gt; SOUS-SEGMENT'!$Q$8:$Q$1000*'ANALYSE - ERP =&gt; SOUS-SEGMENT'!$BH$8:$BH$1000*'ANALYSE - ERP =&gt; SOUS-SEGMENT'!$JW$8:$JW$1000)/SUMPRODUCT(('ANALYSE - ERP =&gt; SOUS-SEGMENT'!$C$8:$C$1000=$C43)*'ANALYSE - ERP =&gt; SOUS-SEGMENT'!$Q$8:$Q$1000*'ANALYSE - ERP =&gt; SOUS-SEGMENT'!$BH$8:$BH$1000),""))</f>
        <v/>
      </c>
      <c r="JX43" s="730" t="str">
        <f>IF($C43="","",IFERROR(SUMPRODUCT(('ANALYSE - ERP =&gt; SOUS-SEGMENT'!$C$8:$C$1000=$C43)*'ANALYSE - ERP =&gt; SOUS-SEGMENT'!$Q$8:$Q$1000*'ANALYSE - ERP =&gt; SOUS-SEGMENT'!$FK$8:$FK$1000*'ANALYSE - ERP =&gt; SOUS-SEGMENT'!$JX$8:$JX$1000)/SUMPRODUCT(('ANALYSE - ERP =&gt; SOUS-SEGMENT'!$C$8:$C$1000=$C43)*'ANALYSE - ERP =&gt; SOUS-SEGMENT'!$Q$8:$Q$1000*'ANALYSE - ERP =&gt; SOUS-SEGMENT'!$FK$8:$FK$1000),""))</f>
        <v/>
      </c>
      <c r="JY43" s="730" t="str">
        <f>IF($C43="","",IFERROR(SUMPRODUCT(('ANALYSE - ERP =&gt; SOUS-SEGMENT'!$C$8:$C$1000=$C43)*'ANALYSE - ERP =&gt; SOUS-SEGMENT'!$Q$8:$Q$1000*'ANALYSE - ERP =&gt; SOUS-SEGMENT'!$FK$8:$FK$1000*'ANALYSE - ERP =&gt; SOUS-SEGMENT'!$JY$8:$JY$1000)/SUMPRODUCT(('ANALYSE - ERP =&gt; SOUS-SEGMENT'!$C$8:$C$1000=$C43)*'ANALYSE - ERP =&gt; SOUS-SEGMENT'!$Q$8:$Q$1000*'ANALYSE - ERP =&gt; SOUS-SEGMENT'!$FK$8:$FK$1000),""))</f>
        <v/>
      </c>
      <c r="JZ43" s="730" t="str">
        <f>IF($C43="","",IFERROR(SUMPRODUCT(('ANALYSE - ERP =&gt; SOUS-SEGMENT'!$C$8:$C$1000=$C43)*'ANALYSE - ERP =&gt; SOUS-SEGMENT'!$Q$8:$Q$1000*'ANALYSE - ERP =&gt; SOUS-SEGMENT'!$FK$8:$FK$1000*'ANALYSE - ERP =&gt; SOUS-SEGMENT'!$JZ$8:$JZ$1000)/SUMPRODUCT(('ANALYSE - ERP =&gt; SOUS-SEGMENT'!$C$8:$C$1000=$C43)*'ANALYSE - ERP =&gt; SOUS-SEGMENT'!$Q$8:$Q$1000*'ANALYSE - ERP =&gt; SOUS-SEGMENT'!$FK$8:$FK$1000),""))</f>
        <v/>
      </c>
      <c r="KA43" s="730" t="str">
        <f>IF($C43="","",IFERROR(SUMPRODUCT(('ANALYSE - ERP =&gt; SOUS-SEGMENT'!$C$8:$C$1000=$C43)*'ANALYSE - ERP =&gt; SOUS-SEGMENT'!$Q$8:$Q$1000*'ANALYSE - ERP =&gt; SOUS-SEGMENT'!$FK$8:$FK$1000*'ANALYSE - ERP =&gt; SOUS-SEGMENT'!$KA$8:$KA$1000)/SUMPRODUCT(('ANALYSE - ERP =&gt; SOUS-SEGMENT'!$C$8:$C$1000=$C43)*'ANALYSE - ERP =&gt; SOUS-SEGMENT'!$Q$8:$Q$1000*'ANALYSE - ERP =&gt; SOUS-SEGMENT'!$FK$8:$FK$1000),""))</f>
        <v/>
      </c>
      <c r="KB43" s="730" t="str">
        <f>IF($C43="","",IFERROR(SUMPRODUCT(('ANALYSE - ERP =&gt; SOUS-SEGMENT'!$C$8:$C$1000=$C43)*'ANALYSE - ERP =&gt; SOUS-SEGMENT'!$Q$8:$Q$1000*'ANALYSE - ERP =&gt; SOUS-SEGMENT'!$FK$8:$FK$1000*'ANALYSE - ERP =&gt; SOUS-SEGMENT'!$KB$8:$KB$1000)/SUMPRODUCT(('ANALYSE - ERP =&gt; SOUS-SEGMENT'!$C$8:$C$1000=$C43)*'ANALYSE - ERP =&gt; SOUS-SEGMENT'!$Q$8:$Q$1000*'ANALYSE - ERP =&gt; SOUS-SEGMENT'!$FK$8:$FK$1000),""))</f>
        <v/>
      </c>
      <c r="KC43" s="657"/>
      <c r="KD43" s="920"/>
      <c r="KE43" s="920"/>
      <c r="KF43" s="866" t="str">
        <f>IF($C43="","",IFERROR(SUMPRODUCT(('ANALYSE - ERP =&gt; SOUS-SEGMENT'!$C$8:$C$1000=$C43)*'ANALYSE - ERP =&gt; SOUS-SEGMENT'!$Q$8:$Q$1000*'ANALYSE - ERP =&gt; SOUS-SEGMENT'!$IE$8:$IE$1000*'ANALYSE - ERP =&gt; SOUS-SEGMENT'!$KF$8:$KF$1000)/SUMPRODUCT(('ANALYSE - ERP =&gt; SOUS-SEGMENT'!$C$8:$C$1000=$C43)*'ANALYSE - ERP =&gt; SOUS-SEGMENT'!$Q$8:$Q$1000*'ANALYSE - ERP =&gt; SOUS-SEGMENT'!$IE$8:$IE$1000),""))</f>
        <v/>
      </c>
      <c r="KG43" s="920"/>
      <c r="KH43" s="920"/>
      <c r="KI43" s="920"/>
      <c r="KJ43" s="920"/>
    </row>
    <row r="44" spans="1:296" ht="48" customHeight="1"/>
    <row r="45" spans="1:296" ht="48" customHeight="1"/>
    <row r="46" spans="1:296" ht="48" customHeight="1"/>
    <row r="47" spans="1:296" ht="48" customHeight="1"/>
    <row r="48" spans="1:296" ht="48" customHeight="1"/>
    <row r="49" spans="5:5" s="45" customFormat="1" ht="48" customHeight="1">
      <c r="E49" s="986"/>
    </row>
    <row r="50" spans="5:5" s="45" customFormat="1" ht="48" customHeight="1">
      <c r="E50" s="986"/>
    </row>
    <row r="51" spans="5:5" s="45" customFormat="1" ht="48" customHeight="1">
      <c r="E51" s="986"/>
    </row>
    <row r="52" spans="5:5" ht="48" customHeight="1"/>
    <row r="53" spans="5:5" ht="48" customHeight="1"/>
    <row r="54" spans="5:5" ht="48" customHeight="1"/>
    <row r="55" spans="5:5" ht="48" customHeight="1"/>
    <row r="56" spans="5:5" ht="48" customHeight="1"/>
    <row r="57" spans="5:5" ht="48" customHeight="1"/>
    <row r="58" spans="5:5" ht="48" customHeight="1"/>
    <row r="59" spans="5:5" ht="48" customHeight="1"/>
    <row r="60" spans="5:5" ht="48" customHeight="1"/>
    <row r="61" spans="5:5" ht="48" customHeight="1"/>
    <row r="62" spans="5:5" ht="48" customHeight="1"/>
    <row r="63" spans="5:5" ht="48" customHeight="1"/>
    <row r="64" spans="5:5" ht="48" customHeight="1"/>
    <row r="65" ht="48" customHeight="1"/>
    <row r="66" ht="48" customHeight="1"/>
    <row r="67" ht="48" customHeight="1"/>
    <row r="68" ht="48" customHeight="1"/>
    <row r="69" ht="48" customHeight="1"/>
    <row r="70" ht="48" customHeight="1"/>
    <row r="71" ht="48" customHeight="1"/>
    <row r="72" ht="48" customHeight="1"/>
    <row r="73" ht="48" customHeight="1"/>
    <row r="74" ht="48" customHeight="1"/>
    <row r="75" ht="48" customHeight="1"/>
    <row r="76" ht="48" customHeight="1"/>
    <row r="77" ht="48" customHeight="1"/>
    <row r="78" ht="48" customHeight="1"/>
    <row r="79" ht="48" customHeight="1"/>
    <row r="80" ht="48" customHeight="1"/>
    <row r="81" ht="48" customHeight="1"/>
    <row r="82" ht="48" customHeight="1"/>
    <row r="83" ht="48" customHeight="1"/>
    <row r="84" ht="48" customHeight="1"/>
    <row r="85" ht="48" customHeight="1"/>
    <row r="86" ht="48" customHeight="1"/>
    <row r="87" ht="48" customHeight="1"/>
    <row r="88" ht="48" customHeight="1"/>
    <row r="89" ht="48" customHeight="1"/>
    <row r="90" ht="48" customHeight="1"/>
    <row r="91" ht="48" customHeight="1"/>
    <row r="92" ht="48" customHeight="1"/>
    <row r="93" ht="48" customHeight="1"/>
    <row r="94" ht="48" customHeight="1"/>
    <row r="95" ht="48" customHeight="1"/>
    <row r="96" ht="48" customHeight="1"/>
    <row r="97" ht="48" customHeight="1"/>
    <row r="98" ht="48" customHeight="1"/>
    <row r="99" ht="48" customHeight="1"/>
    <row r="100" ht="48" customHeight="1"/>
    <row r="101" ht="48" customHeight="1"/>
    <row r="102" ht="48" customHeight="1"/>
    <row r="103" ht="48" customHeight="1"/>
    <row r="104" ht="48" customHeight="1"/>
    <row r="105" ht="48" customHeight="1"/>
    <row r="106" ht="48" customHeight="1"/>
    <row r="107" ht="48" customHeight="1"/>
    <row r="108" ht="48" customHeight="1"/>
    <row r="109" ht="48" customHeight="1"/>
    <row r="110" ht="48" customHeight="1"/>
    <row r="111" ht="48" customHeight="1"/>
    <row r="112" ht="48" customHeight="1"/>
    <row r="113" ht="48" customHeight="1"/>
    <row r="114" ht="48" customHeight="1"/>
    <row r="115" ht="48" customHeight="1"/>
    <row r="116" ht="48" customHeight="1"/>
    <row r="117" ht="48" customHeight="1"/>
    <row r="118" ht="48" customHeight="1"/>
    <row r="119" ht="48" customHeight="1"/>
    <row r="120" ht="48" customHeight="1"/>
    <row r="121" ht="48" customHeight="1"/>
    <row r="122" ht="48" customHeight="1"/>
    <row r="123" ht="48" customHeight="1"/>
    <row r="124" ht="48" customHeight="1"/>
    <row r="125" ht="48" customHeight="1"/>
    <row r="126" ht="48" customHeight="1"/>
    <row r="127" ht="48" customHeight="1"/>
    <row r="128" ht="48" customHeight="1"/>
    <row r="129" spans="5:5" ht="48" customHeight="1"/>
    <row r="130" spans="5:5" ht="48" customHeight="1"/>
    <row r="131" spans="5:5" ht="48" customHeight="1"/>
    <row r="132" spans="5:5" ht="48" customHeight="1"/>
    <row r="133" spans="5:5" ht="48" customHeight="1"/>
    <row r="134" spans="5:5" s="45" customFormat="1" ht="48" customHeight="1">
      <c r="E134" s="986"/>
    </row>
    <row r="135" spans="5:5" ht="48" customHeight="1"/>
    <row r="136" spans="5:5" ht="48" customHeight="1"/>
    <row r="137" spans="5:5" ht="48" customHeight="1"/>
    <row r="138" spans="5:5" ht="48" customHeight="1"/>
    <row r="139" spans="5:5" ht="48" customHeight="1"/>
    <row r="140" spans="5:5" ht="48" customHeight="1"/>
    <row r="141" spans="5:5" ht="48" customHeight="1"/>
    <row r="142" spans="5:5" ht="48" customHeight="1"/>
    <row r="143" spans="5:5" ht="48" customHeight="1"/>
    <row r="144" spans="5:5" ht="48" customHeight="1"/>
    <row r="145" spans="5:5" s="45" customFormat="1" ht="48" customHeight="1">
      <c r="E145" s="986"/>
    </row>
    <row r="146" spans="5:5" ht="48" customHeight="1"/>
    <row r="147" spans="5:5" ht="48" customHeight="1"/>
    <row r="148" spans="5:5" ht="48" customHeight="1"/>
    <row r="149" spans="5:5" ht="48" customHeight="1"/>
    <row r="150" spans="5:5" ht="48" customHeight="1"/>
    <row r="151" spans="5:5" ht="48" customHeight="1"/>
    <row r="152" spans="5:5" ht="48" customHeight="1"/>
    <row r="153" spans="5:5" ht="48" customHeight="1"/>
    <row r="154" spans="5:5" ht="48" customHeight="1"/>
  </sheetData>
  <autoFilter ref="A5:KJ43" xr:uid="{00000000-0009-0000-0000-000009000000}"/>
  <conditionalFormatting sqref="T7:AK7">
    <cfRule type="colorScale" priority="1">
      <colorScale>
        <cfvo type="min"/>
        <cfvo type="formula" val="AVERAGE($T$7:$AK$7)"/>
        <cfvo type="max"/>
        <color rgb="FFF8696B"/>
        <color theme="0"/>
        <color rgb="FF63BE7B"/>
      </colorScale>
    </cfRule>
  </conditionalFormatting>
  <conditionalFormatting sqref="BO6:CP6">
    <cfRule type="colorScale" priority="2047">
      <colorScale>
        <cfvo type="min"/>
        <cfvo type="formula" val="AVERAGE($BO$8:$CP$150)"/>
        <cfvo type="max"/>
        <color rgb="FFF8696B"/>
        <color theme="0"/>
        <color rgb="FF63BE7B"/>
      </colorScale>
    </cfRule>
  </conditionalFormatting>
  <conditionalFormatting sqref="BO8:CP43">
    <cfRule type="colorScale" priority="2036">
      <colorScale>
        <cfvo type="min"/>
        <cfvo type="formula" val="AVERAGE($BO$8:$CP$150)"/>
        <cfvo type="max"/>
        <color rgb="FFF8696B"/>
        <color theme="0"/>
        <color rgb="FF63BE7B"/>
      </colorScale>
    </cfRule>
  </conditionalFormatting>
  <conditionalFormatting sqref="CR6:DE7">
    <cfRule type="colorScale" priority="2038">
      <colorScale>
        <cfvo type="min"/>
        <cfvo type="formula" val="MEDIAN($CR$6:$DE$150)"/>
        <cfvo type="max"/>
        <color rgb="FFF8696B"/>
        <color theme="0"/>
        <color rgb="FF63BE7B"/>
      </colorScale>
    </cfRule>
  </conditionalFormatting>
  <conditionalFormatting sqref="CR8:DE43">
    <cfRule type="colorScale" priority="2">
      <colorScale>
        <cfvo type="min"/>
        <cfvo type="formula" val="MEDIAN($CR$6:$DE$150)"/>
        <cfvo type="max"/>
        <color rgb="FFF8696B"/>
        <color theme="0"/>
        <color rgb="FF63BE7B"/>
      </colorScale>
    </cfRule>
  </conditionalFormatting>
  <conditionalFormatting sqref="IO6:KB6">
    <cfRule type="colorScale" priority="2048">
      <colorScale>
        <cfvo type="min"/>
        <cfvo type="formula" val="AVERAGE($IO$8:$KB$150)"/>
        <cfvo type="max"/>
        <color rgb="FFF8696B"/>
        <color theme="0"/>
        <color rgb="FF63BE7B"/>
      </colorScale>
    </cfRule>
  </conditionalFormatting>
  <conditionalFormatting sqref="IO8:KB43">
    <cfRule type="colorScale" priority="2040">
      <colorScale>
        <cfvo type="min"/>
        <cfvo type="formula" val="AVERAGE($IO$8:$KB$150)"/>
        <cfvo type="max"/>
        <color rgb="FFF8696B"/>
        <color theme="0"/>
        <color rgb="FF63BE7B"/>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NS154"/>
  <sheetViews>
    <sheetView zoomScaleNormal="100" workbookViewId="0">
      <pane xSplit="4" ySplit="4" topLeftCell="DB8" activePane="bottomRight" state="frozen"/>
      <selection pane="topRight" activeCell="E1" sqref="E1"/>
      <selection pane="bottomLeft" activeCell="A5" sqref="A5"/>
      <selection pane="bottomRight" activeCell="D8" sqref="D8"/>
    </sheetView>
  </sheetViews>
  <sheetFormatPr baseColWidth="10" defaultColWidth="9.140625" defaultRowHeight="15" outlineLevelCol="1"/>
  <cols>
    <col min="1" max="1" width="6" style="21" customWidth="1"/>
    <col min="2" max="2" width="12.42578125" style="26" customWidth="1" outlineLevel="1"/>
    <col min="3" max="3" width="14.5703125" style="26" customWidth="1" outlineLevel="1"/>
    <col min="4" max="4" width="19.140625" style="26" customWidth="1"/>
    <col min="5" max="5" width="11.140625" style="44" customWidth="1" outlineLevel="1"/>
    <col min="6" max="6" width="11.42578125" style="44" customWidth="1" outlineLevel="1"/>
    <col min="7" max="7" width="11.140625" style="23" customWidth="1" outlineLevel="1"/>
    <col min="8" max="8" width="11.28515625" style="21" customWidth="1" outlineLevel="1"/>
    <col min="9" max="9" width="43.85546875" style="17" customWidth="1" outlineLevel="1"/>
    <col min="10" max="10" width="42.85546875" style="17" customWidth="1"/>
    <col min="11" max="11" width="11" style="17" customWidth="1" outlineLevel="1"/>
    <col min="12" max="12" width="11.140625" style="17" customWidth="1" outlineLevel="1"/>
    <col min="13" max="13" width="12" style="17" customWidth="1" outlineLevel="1"/>
    <col min="14" max="14" width="11.140625" style="17" customWidth="1" outlineLevel="1"/>
    <col min="15" max="15" width="11.28515625" style="44" customWidth="1" outlineLevel="1"/>
    <col min="16" max="16" width="13.85546875" style="17" customWidth="1" outlineLevel="1"/>
    <col min="17" max="17" width="9.140625" style="934" customWidth="1"/>
    <col min="18" max="18" width="15.140625" style="934" customWidth="1"/>
    <col min="19" max="22" width="7.7109375" style="934" customWidth="1"/>
    <col min="23" max="26" width="7.7109375" style="934" customWidth="1" outlineLevel="1"/>
    <col min="27" max="27" width="7.7109375" style="934" customWidth="1"/>
    <col min="28" max="31" width="7.7109375" style="934" customWidth="1" outlineLevel="1"/>
    <col min="32" max="32" width="7.7109375" style="934" customWidth="1"/>
    <col min="33" max="36" width="7.7109375" style="934" customWidth="1" outlineLevel="1"/>
    <col min="37" max="37" width="7.7109375" style="934" customWidth="1"/>
    <col min="38" max="39" width="11.42578125" style="17" customWidth="1" outlineLevel="1"/>
    <col min="40" max="40" width="12" style="17" customWidth="1" outlineLevel="1"/>
    <col min="41" max="41" width="1.7109375" style="803" customWidth="1"/>
    <col min="42" max="42" width="11.28515625" style="934" customWidth="1"/>
    <col min="43" max="43" width="11.28515625" style="933" customWidth="1" outlineLevel="1"/>
    <col min="44" max="44" width="12" style="934" customWidth="1" outlineLevel="1"/>
    <col min="45" max="45" width="11" style="934" customWidth="1" outlineLevel="1"/>
    <col min="46" max="46" width="1.7109375" style="803" customWidth="1"/>
    <col min="47" max="47" width="57.42578125" style="934" customWidth="1" outlineLevel="1"/>
    <col min="48" max="48" width="181.42578125" style="58" customWidth="1" outlineLevel="1"/>
    <col min="49" max="49" width="95.7109375" style="17" customWidth="1" outlineLevel="1"/>
    <col min="50" max="50" width="15.28515625" style="934" customWidth="1" outlineLevel="1"/>
    <col min="51" max="51" width="1.7109375" style="803" customWidth="1"/>
    <col min="52" max="55" width="5.28515625" style="934" customWidth="1" outlineLevel="1"/>
    <col min="56" max="56" width="10" style="934" customWidth="1" outlineLevel="1"/>
    <col min="57" max="60" width="9.28515625" style="934" customWidth="1" outlineLevel="1"/>
    <col min="61" max="61" width="10" style="934" customWidth="1" outlineLevel="1"/>
    <col min="62" max="65" width="9.28515625" style="934" customWidth="1" outlineLevel="1"/>
    <col min="66" max="66" width="1.7109375" style="803" customWidth="1"/>
    <col min="67" max="67" width="4.28515625" style="686" customWidth="1" outlineLevel="1"/>
    <col min="68" max="74" width="4.28515625" style="934" customWidth="1" outlineLevel="1"/>
    <col min="75" max="76" width="4.28515625" style="686" customWidth="1" outlineLevel="1"/>
    <col min="77" max="80" width="4.28515625" style="934" customWidth="1" outlineLevel="1"/>
    <col min="81" max="81" width="4.28515625" style="686" customWidth="1" outlineLevel="1"/>
    <col min="82" max="88" width="4.28515625" style="934" customWidth="1" outlineLevel="1"/>
    <col min="89" max="89" width="4.28515625" style="686" customWidth="1" outlineLevel="1"/>
    <col min="90" max="94" width="4.28515625" style="934" customWidth="1" outlineLevel="1"/>
    <col min="95" max="95" width="1.7109375" style="803" customWidth="1"/>
    <col min="96" max="109" width="4.28515625" style="934" customWidth="1" outlineLevel="1"/>
    <col min="110" max="110" width="197.85546875" style="17" customWidth="1" outlineLevel="1"/>
    <col min="111" max="111" width="1.7109375" style="803" customWidth="1"/>
    <col min="112" max="112" width="9.28515625" style="686" customWidth="1" outlineLevel="1"/>
    <col min="113" max="113" width="9.42578125" style="686" customWidth="1" outlineLevel="1"/>
    <col min="114" max="114" width="8.7109375" style="686" customWidth="1" outlineLevel="1"/>
    <col min="115" max="115" width="13" style="934" customWidth="1" outlineLevel="1"/>
    <col min="116" max="116" width="87.85546875" style="128" customWidth="1" outlineLevel="1"/>
    <col min="117" max="117" width="10" style="686" customWidth="1" outlineLevel="1"/>
    <col min="118" max="118" width="9.85546875" style="934" customWidth="1" outlineLevel="1"/>
    <col min="119" max="119" width="8.7109375" style="934" customWidth="1" outlineLevel="1"/>
    <col min="120" max="120" width="13" style="934" customWidth="1" outlineLevel="1"/>
    <col min="121" max="121" width="50" style="115" customWidth="1" outlineLevel="1"/>
    <col min="122" max="122" width="1.7109375" style="803" customWidth="1"/>
    <col min="123" max="123" width="9.28515625" style="686" customWidth="1" outlineLevel="1"/>
    <col min="124" max="124" width="13" style="934" customWidth="1" outlineLevel="1"/>
    <col min="125" max="125" width="8.28515625" style="686" customWidth="1" outlineLevel="1"/>
    <col min="126" max="126" width="38.85546875" style="115" customWidth="1" outlineLevel="1"/>
    <col min="127" max="127" width="9.28515625" style="934" customWidth="1" outlineLevel="1"/>
    <col min="128" max="129" width="13" style="934" customWidth="1" outlineLevel="1"/>
    <col min="130" max="130" width="33" style="115" customWidth="1" outlineLevel="1"/>
    <col min="131" max="131" width="1.7109375" style="803" customWidth="1"/>
    <col min="132" max="132" width="8.140625" style="686" customWidth="1" outlineLevel="1"/>
    <col min="133" max="133" width="13" style="934" customWidth="1" outlineLevel="1"/>
    <col min="134" max="134" width="8.42578125" style="686" customWidth="1" outlineLevel="1"/>
    <col min="135" max="135" width="8.140625" style="686" customWidth="1" outlineLevel="1"/>
    <col min="136" max="136" width="61.85546875" style="115" customWidth="1" outlineLevel="1"/>
    <col min="137" max="137" width="8.7109375" style="934" customWidth="1" outlineLevel="1"/>
    <col min="138" max="140" width="13" style="934" customWidth="1" outlineLevel="1"/>
    <col min="141" max="141" width="43" style="115" customWidth="1" outlineLevel="1"/>
    <col min="142" max="142" width="1.7109375" style="803" customWidth="1"/>
    <col min="143" max="143" width="9.28515625" style="686" customWidth="1" outlineLevel="1"/>
    <col min="144" max="145" width="13" style="934" customWidth="1" outlineLevel="1"/>
    <col min="146" max="146" width="65.28515625" style="115" customWidth="1" outlineLevel="1"/>
    <col min="147" max="147" width="9.28515625" style="934" customWidth="1" outlineLevel="1"/>
    <col min="148" max="149" width="13" style="934" customWidth="1" outlineLevel="1"/>
    <col min="150" max="150" width="39.7109375" style="115" customWidth="1" outlineLevel="1"/>
    <col min="151" max="151" width="1.7109375" style="803" customWidth="1"/>
    <col min="152" max="153" width="6.28515625" style="934" customWidth="1" outlineLevel="1"/>
    <col min="154" max="168" width="8.7109375" style="934" customWidth="1" outlineLevel="1"/>
    <col min="169" max="169" width="1.7109375" style="803" customWidth="1"/>
    <col min="170" max="170" width="8.28515625" style="177" customWidth="1" outlineLevel="1"/>
    <col min="171" max="171" width="6.28515625" style="177" customWidth="1" outlineLevel="1"/>
    <col min="172" max="172" width="6.42578125" style="934" customWidth="1" outlineLevel="1"/>
    <col min="173" max="173" width="82.28515625" style="934" customWidth="1" outlineLevel="1"/>
    <col min="174" max="174" width="1.7109375" style="803" customWidth="1"/>
    <col min="175" max="180" width="5.7109375" style="934" customWidth="1" outlineLevel="1"/>
    <col min="181" max="181" width="1.7109375" style="803" customWidth="1" outlineLevel="1"/>
    <col min="182" max="182" width="180.7109375" style="934" customWidth="1" outlineLevel="1"/>
    <col min="183" max="183" width="68.5703125" style="934" customWidth="1" outlineLevel="1"/>
    <col min="184" max="184" width="50.28515625" style="934" customWidth="1" outlineLevel="1"/>
    <col min="185" max="185" width="52.85546875" style="934" customWidth="1" outlineLevel="1"/>
    <col min="186" max="186" width="63.7109375" style="934" customWidth="1" outlineLevel="1"/>
    <col min="187" max="187" width="65" style="934" customWidth="1" outlineLevel="1"/>
    <col min="188" max="188" width="98.85546875" style="934" customWidth="1" outlineLevel="1"/>
    <col min="189" max="189" width="3" style="803" customWidth="1"/>
    <col min="190" max="190" width="7.28515625" style="934" customWidth="1" outlineLevel="1"/>
    <col min="191" max="192" width="7.7109375" style="934" customWidth="1" outlineLevel="1"/>
    <col min="193" max="193" width="8.5703125" style="934" customWidth="1" outlineLevel="1"/>
    <col min="194" max="194" width="9.140625" style="934" customWidth="1" outlineLevel="1"/>
    <col min="195" max="222" width="7.7109375" style="934" customWidth="1" outlineLevel="1"/>
    <col min="223" max="223" width="8.85546875" style="934" customWidth="1" outlineLevel="1"/>
    <col min="224" max="231" width="7.7109375" style="934" customWidth="1" outlineLevel="1"/>
    <col min="232" max="232" width="1.7109375" style="676" customWidth="1"/>
    <col min="233" max="233" width="9.28515625" style="167" customWidth="1" outlineLevel="1"/>
    <col min="234" max="234" width="8.7109375" style="167" customWidth="1" outlineLevel="1"/>
    <col min="235" max="238" width="8.7109375" style="934" customWidth="1" outlineLevel="1"/>
    <col min="239" max="239" width="9.28515625" style="167" customWidth="1" outlineLevel="1"/>
    <col min="240" max="240" width="8.7109375" style="167" customWidth="1" outlineLevel="1"/>
    <col min="241" max="244" width="8.7109375" style="934" customWidth="1" outlineLevel="1"/>
    <col min="245" max="245" width="5.7109375" style="167" customWidth="1" outlineLevel="1"/>
    <col min="246" max="246" width="10.28515625" style="167" customWidth="1" outlineLevel="1"/>
    <col min="247" max="247" width="180.28515625" style="167" customWidth="1" outlineLevel="1"/>
    <col min="248" max="248" width="1.7109375" style="803" customWidth="1"/>
    <col min="249" max="249" width="5.7109375" style="167" customWidth="1" outlineLevel="1"/>
    <col min="250" max="253" width="5.7109375" style="934" customWidth="1" outlineLevel="1"/>
    <col min="254" max="255" width="5.7109375" style="167" customWidth="1" outlineLevel="1"/>
    <col min="256" max="288" width="5.7109375" style="934" customWidth="1" outlineLevel="1"/>
    <col min="289" max="289" width="1.7109375" style="803" customWidth="1"/>
    <col min="290" max="290" width="8.140625" style="167" customWidth="1" outlineLevel="1"/>
    <col min="291" max="291" width="7.5703125" style="934" customWidth="1" outlineLevel="1"/>
    <col min="292" max="292" width="5.7109375" style="934" customWidth="1" outlineLevel="1"/>
    <col min="293" max="293" width="8.7109375" style="168" customWidth="1" outlineLevel="1"/>
    <col min="294" max="294" width="49.140625" style="167" customWidth="1" outlineLevel="1"/>
    <col min="295" max="295" width="39.28515625" style="167" customWidth="1" outlineLevel="1"/>
    <col min="296" max="296" width="198.85546875" style="167" customWidth="1" outlineLevel="1"/>
    <col min="297" max="383" width="15.7109375" style="689" customWidth="1"/>
  </cols>
  <sheetData>
    <row r="1" spans="1:327" s="933" customFormat="1">
      <c r="A1" s="690"/>
      <c r="B1" s="691"/>
      <c r="C1" s="691"/>
      <c r="D1" s="691">
        <f>BD6/EX6*5</f>
        <v>12.10942657863362</v>
      </c>
      <c r="E1" s="692"/>
      <c r="F1" s="692"/>
      <c r="G1" s="693"/>
      <c r="H1" s="690"/>
      <c r="J1" s="15" t="s">
        <v>2424</v>
      </c>
      <c r="K1" s="803"/>
      <c r="L1" s="803"/>
      <c r="M1" s="803"/>
      <c r="N1" s="803"/>
      <c r="O1" s="692"/>
      <c r="P1" s="803"/>
      <c r="Q1" s="15" t="s">
        <v>2425</v>
      </c>
      <c r="AA1" s="836" t="s">
        <v>2426</v>
      </c>
      <c r="AB1" s="703"/>
      <c r="AC1" s="703"/>
      <c r="AD1" s="703"/>
      <c r="AE1" s="703"/>
      <c r="AF1" s="836" t="s">
        <v>2427</v>
      </c>
      <c r="AG1" s="703"/>
      <c r="AH1" s="703"/>
      <c r="AI1" s="703"/>
      <c r="AJ1" s="703"/>
      <c r="AK1" s="836" t="s">
        <v>2428</v>
      </c>
      <c r="AL1" s="803"/>
      <c r="AM1" s="803"/>
      <c r="AO1" s="112" t="s">
        <v>2429</v>
      </c>
      <c r="AP1" s="15"/>
      <c r="AT1" s="112" t="s">
        <v>2430</v>
      </c>
      <c r="AU1" s="15"/>
      <c r="AV1" s="62"/>
      <c r="AY1" s="112" t="s">
        <v>2431</v>
      </c>
      <c r="AZ1" s="15"/>
      <c r="BA1" s="15"/>
      <c r="BB1" s="15"/>
      <c r="BC1" s="15"/>
      <c r="BE1" s="843">
        <f>BE6/$BD$6</f>
        <v>0.4410101922520534</v>
      </c>
      <c r="BF1" s="843">
        <f>BF6/$BD$6</f>
        <v>0.1242974314596295</v>
      </c>
      <c r="BG1" s="843">
        <f>BG6/$BD$6</f>
        <v>7.5185541513913351E-2</v>
      </c>
      <c r="BH1" s="843">
        <f>BH6/$BD$6</f>
        <v>0.35950683477440382</v>
      </c>
      <c r="BN1" s="112" t="s">
        <v>2432</v>
      </c>
      <c r="BO1" s="112"/>
      <c r="BP1" s="112"/>
      <c r="BQ1" s="112"/>
      <c r="BT1" s="854"/>
      <c r="CQ1" s="112" t="s">
        <v>2433</v>
      </c>
      <c r="CR1" s="112"/>
      <c r="CS1" s="112"/>
      <c r="CT1" s="112"/>
      <c r="CU1" s="687"/>
      <c r="CV1" s="687"/>
      <c r="CW1" s="687"/>
      <c r="CX1" s="687"/>
      <c r="CY1" s="687"/>
      <c r="CZ1" s="687"/>
      <c r="DA1" s="687"/>
      <c r="DB1" s="687"/>
      <c r="DC1" s="687"/>
      <c r="DD1" s="687"/>
      <c r="DE1" s="687"/>
      <c r="DF1" s="687"/>
      <c r="DG1" s="112" t="s">
        <v>2434</v>
      </c>
      <c r="DH1" s="112"/>
      <c r="DI1" s="112"/>
      <c r="DL1" s="127"/>
      <c r="DQ1" s="114"/>
      <c r="DR1" s="59" t="s">
        <v>2435</v>
      </c>
      <c r="DS1" s="112"/>
      <c r="DV1" s="114"/>
      <c r="DZ1" s="114"/>
      <c r="EA1" s="129" t="s">
        <v>2436</v>
      </c>
      <c r="EB1" s="59"/>
      <c r="EC1" s="59"/>
      <c r="EF1" s="114"/>
      <c r="EK1" s="114"/>
      <c r="EL1" s="130" t="s">
        <v>2437</v>
      </c>
      <c r="EM1" s="130"/>
      <c r="EN1" s="130"/>
      <c r="EP1" s="114"/>
      <c r="ET1" s="114"/>
      <c r="EU1" s="216" t="s">
        <v>2438</v>
      </c>
      <c r="EV1" s="216"/>
      <c r="EW1" s="216"/>
      <c r="EX1" s="941">
        <f>EX6/5000</f>
        <v>1167.309978982918</v>
      </c>
      <c r="EY1" s="942">
        <f>FA6/5000</f>
        <v>502.72259948796125</v>
      </c>
      <c r="EZ1" s="844">
        <f>EY1/$EX$1</f>
        <v>0.43066761060843972</v>
      </c>
      <c r="FA1" s="943">
        <f>FD6/5000</f>
        <v>172.8596503824308</v>
      </c>
      <c r="FB1" s="845">
        <f>FA1/$EX$1</f>
        <v>0.14808375966514406</v>
      </c>
      <c r="FC1" s="846">
        <f>FA1/$EY$1</f>
        <v>0.34384698551148046</v>
      </c>
      <c r="FD1" s="853" t="s">
        <v>2439</v>
      </c>
      <c r="FE1" s="944">
        <f>FG6/5000</f>
        <v>90.49488344017999</v>
      </c>
      <c r="FF1" s="847">
        <f>FE1/$EX$1</f>
        <v>7.752429523392626E-2</v>
      </c>
      <c r="FG1" s="848">
        <f>FE1/$EY$1</f>
        <v>0.1800095789056467</v>
      </c>
      <c r="FH1" s="852" t="s">
        <v>2440</v>
      </c>
      <c r="FI1" s="945">
        <f>FJ6/5000</f>
        <v>401.23284567234646</v>
      </c>
      <c r="FJ1" s="849">
        <f>FI1/$EX$1</f>
        <v>0.3437243344924904</v>
      </c>
      <c r="FK1" s="850">
        <f>FI1/$EY$1</f>
        <v>0.79811977038831095</v>
      </c>
      <c r="FL1" s="851" t="s">
        <v>2441</v>
      </c>
      <c r="FM1" s="217" t="s">
        <v>2442</v>
      </c>
      <c r="FN1" s="217"/>
      <c r="FO1" s="217"/>
      <c r="FP1" s="218"/>
      <c r="FQ1" s="218"/>
      <c r="FR1" s="217" t="s">
        <v>2443</v>
      </c>
      <c r="FS1" s="217"/>
      <c r="FT1" s="217"/>
      <c r="FU1" s="217"/>
      <c r="FV1" s="218"/>
      <c r="FW1" s="218"/>
      <c r="FX1" s="218"/>
      <c r="FZ1" s="114"/>
      <c r="GA1" s="219"/>
      <c r="GB1" s="219"/>
      <c r="GC1" s="114"/>
      <c r="GD1" s="114"/>
      <c r="GE1" s="114"/>
      <c r="GF1" s="114"/>
      <c r="GG1" s="217" t="s">
        <v>2444</v>
      </c>
      <c r="GH1" s="214"/>
      <c r="GI1" s="214"/>
      <c r="GJ1" s="214"/>
      <c r="GK1" s="687"/>
      <c r="GL1" s="687"/>
      <c r="GM1" s="687"/>
      <c r="GN1" s="687"/>
      <c r="GO1" s="687"/>
      <c r="GP1" s="687"/>
      <c r="GQ1" s="687"/>
      <c r="GR1" s="687"/>
      <c r="GS1" s="687"/>
      <c r="GT1" s="687"/>
      <c r="GU1" s="687"/>
      <c r="GV1" s="687"/>
      <c r="GW1" s="687"/>
      <c r="GX1" s="687"/>
      <c r="GY1" s="687"/>
      <c r="GZ1" s="687"/>
      <c r="HA1" s="687"/>
      <c r="HB1" s="687"/>
      <c r="HC1" s="687"/>
      <c r="HD1" s="687"/>
      <c r="HE1" s="687"/>
      <c r="HF1" s="687"/>
      <c r="HG1" s="687"/>
      <c r="HH1" s="687"/>
      <c r="HI1" s="687"/>
      <c r="HJ1" s="687"/>
      <c r="HK1" s="687"/>
      <c r="HL1" s="687"/>
      <c r="HM1" s="687"/>
      <c r="HN1" s="687"/>
      <c r="HO1" s="687"/>
      <c r="HP1" s="687"/>
      <c r="HQ1" s="687"/>
      <c r="HR1" s="687"/>
      <c r="HS1" s="687"/>
      <c r="HT1" s="687"/>
      <c r="HU1" s="687"/>
      <c r="HV1" s="687"/>
      <c r="HW1" s="687"/>
      <c r="HX1" s="244" t="s">
        <v>2445</v>
      </c>
      <c r="HY1" s="244"/>
      <c r="HZ1" s="688"/>
      <c r="IA1" s="688"/>
      <c r="IB1" s="688"/>
      <c r="IC1" s="688"/>
      <c r="ID1" s="688"/>
      <c r="IE1" s="688"/>
      <c r="IF1" s="688"/>
      <c r="IG1" s="688"/>
      <c r="IH1" s="688"/>
      <c r="II1" s="688"/>
      <c r="IJ1" s="688"/>
      <c r="IK1" s="689"/>
      <c r="IL1" s="688"/>
      <c r="IM1" s="688"/>
      <c r="IN1" s="244" t="s">
        <v>2446</v>
      </c>
      <c r="IO1" s="244"/>
      <c r="IP1" s="244"/>
      <c r="IQ1" s="244"/>
      <c r="IR1" s="244"/>
      <c r="IS1" s="688"/>
      <c r="IT1" s="688"/>
      <c r="IU1" s="688"/>
      <c r="IV1" s="688"/>
      <c r="IW1" s="688"/>
      <c r="IX1" s="688"/>
      <c r="IY1" s="688"/>
      <c r="IZ1" s="688"/>
      <c r="JA1" s="688"/>
      <c r="JB1" s="688"/>
      <c r="JC1" s="688"/>
      <c r="JD1" s="688"/>
      <c r="JE1" s="688"/>
      <c r="JF1" s="688"/>
      <c r="JG1" s="688"/>
      <c r="JH1" s="688"/>
      <c r="JI1" s="688"/>
      <c r="JJ1" s="688"/>
      <c r="JK1" s="688"/>
      <c r="JL1" s="688"/>
      <c r="JM1" s="688"/>
      <c r="JN1" s="688"/>
      <c r="JO1" s="688"/>
      <c r="JP1" s="688"/>
      <c r="JQ1" s="688"/>
      <c r="JR1" s="688"/>
      <c r="JS1" s="688"/>
      <c r="JT1" s="688"/>
      <c r="JU1" s="688"/>
      <c r="JV1" s="688"/>
      <c r="JW1" s="688"/>
      <c r="JX1" s="688"/>
      <c r="JY1" s="688"/>
      <c r="JZ1" s="688"/>
      <c r="KA1" s="688"/>
      <c r="KB1" s="688"/>
      <c r="KC1" s="244" t="s">
        <v>2447</v>
      </c>
      <c r="KD1" s="130"/>
      <c r="KE1" s="130"/>
      <c r="KF1" s="130"/>
      <c r="KG1" s="130"/>
      <c r="KH1" s="689"/>
      <c r="KI1" s="689"/>
      <c r="KJ1" s="689"/>
      <c r="KK1" s="244" t="s">
        <v>2448</v>
      </c>
      <c r="KL1" s="130"/>
      <c r="KM1" s="689"/>
      <c r="KN1" s="689"/>
      <c r="KO1" s="689"/>
    </row>
    <row r="2" spans="1:327">
      <c r="A2" s="690"/>
      <c r="B2" s="691"/>
      <c r="C2" s="691"/>
      <c r="D2" s="691"/>
      <c r="E2" s="692"/>
      <c r="F2" s="692"/>
      <c r="G2" s="693"/>
      <c r="H2" s="690"/>
      <c r="I2" s="803"/>
      <c r="J2" s="15" t="s">
        <v>2449</v>
      </c>
      <c r="K2" s="803"/>
      <c r="L2" s="803"/>
      <c r="M2" s="803"/>
      <c r="N2" s="803"/>
      <c r="O2" s="692"/>
      <c r="P2" s="803"/>
      <c r="Q2" s="15" t="s">
        <v>2406</v>
      </c>
      <c r="R2" s="933"/>
      <c r="S2" s="933"/>
      <c r="T2" s="933"/>
      <c r="U2" s="933"/>
      <c r="V2" s="933"/>
      <c r="W2" s="933"/>
      <c r="X2" s="933"/>
      <c r="Y2" s="933"/>
      <c r="Z2" s="933"/>
      <c r="AA2" s="933"/>
      <c r="AB2" s="933"/>
      <c r="AC2" s="933"/>
      <c r="AD2" s="933"/>
      <c r="AE2" s="933"/>
      <c r="AF2" s="933"/>
      <c r="AG2" s="933"/>
      <c r="AH2" s="933"/>
      <c r="AI2" s="933"/>
      <c r="AJ2" s="933"/>
      <c r="AK2" s="933"/>
      <c r="AL2" s="803"/>
      <c r="AM2" s="803"/>
      <c r="AO2" s="112" t="s">
        <v>2450</v>
      </c>
      <c r="AP2" s="112"/>
      <c r="AR2" s="933"/>
      <c r="AS2" s="933"/>
      <c r="AT2" s="933"/>
      <c r="AU2" s="933"/>
      <c r="AV2" s="62"/>
      <c r="AX2" s="933"/>
      <c r="AY2" s="933"/>
      <c r="AZ2" s="66"/>
      <c r="BA2" s="830" t="s">
        <v>2451</v>
      </c>
      <c r="BB2" s="54"/>
      <c r="BC2" s="54"/>
      <c r="BD2" s="54"/>
      <c r="BE2" s="54"/>
      <c r="BF2" s="66"/>
      <c r="BG2" s="54"/>
      <c r="BH2" s="54"/>
      <c r="BI2" s="54"/>
      <c r="BJ2" s="54"/>
      <c r="BK2" s="54"/>
      <c r="BL2" s="54"/>
      <c r="BM2" s="65"/>
      <c r="BN2" s="933"/>
      <c r="BO2" s="80"/>
      <c r="BP2" s="81" t="s">
        <v>2452</v>
      </c>
      <c r="BQ2" s="81"/>
      <c r="BR2" s="82"/>
      <c r="BS2" s="80"/>
      <c r="BT2" s="81" t="s">
        <v>2453</v>
      </c>
      <c r="BU2" s="81"/>
      <c r="BV2" s="82"/>
      <c r="BW2" s="87"/>
      <c r="BX2" s="88" t="s">
        <v>2452</v>
      </c>
      <c r="BY2" s="89"/>
      <c r="BZ2" s="87"/>
      <c r="CA2" s="88" t="s">
        <v>2453</v>
      </c>
      <c r="CB2" s="89"/>
      <c r="CC2" s="94"/>
      <c r="CD2" s="95" t="s">
        <v>2452</v>
      </c>
      <c r="CE2" s="95"/>
      <c r="CF2" s="96"/>
      <c r="CG2" s="94"/>
      <c r="CH2" s="95" t="s">
        <v>2453</v>
      </c>
      <c r="CI2" s="95"/>
      <c r="CJ2" s="96"/>
      <c r="CK2" s="101"/>
      <c r="CL2" s="102" t="s">
        <v>2452</v>
      </c>
      <c r="CM2" s="103"/>
      <c r="CN2" s="101"/>
      <c r="CO2" s="102" t="s">
        <v>2453</v>
      </c>
      <c r="CP2" s="103"/>
      <c r="CQ2" s="933"/>
      <c r="CR2" s="142" t="s">
        <v>2454</v>
      </c>
      <c r="CS2" s="112"/>
      <c r="CT2" s="112"/>
      <c r="CU2" s="112"/>
      <c r="CV2" s="112"/>
      <c r="CW2" s="112"/>
      <c r="CX2" s="112"/>
      <c r="CY2" s="112"/>
      <c r="CZ2" s="112"/>
      <c r="DA2" s="112"/>
      <c r="DB2" s="112"/>
      <c r="DC2" s="112"/>
      <c r="DD2" s="112"/>
      <c r="DE2" s="112"/>
      <c r="DF2" s="144"/>
      <c r="DG2" s="933"/>
      <c r="DH2" s="80"/>
      <c r="DI2" s="81" t="s">
        <v>2455</v>
      </c>
      <c r="DJ2" s="81"/>
      <c r="DK2" s="82"/>
      <c r="DL2" s="127"/>
      <c r="DM2" s="80"/>
      <c r="DN2" s="81" t="s">
        <v>2456</v>
      </c>
      <c r="DO2" s="81"/>
      <c r="DP2" s="82"/>
      <c r="DQ2" s="114"/>
      <c r="DR2" s="933"/>
      <c r="DS2" s="87"/>
      <c r="DT2" s="88" t="s">
        <v>2457</v>
      </c>
      <c r="DU2" s="89"/>
      <c r="DV2" s="114"/>
      <c r="DW2" s="120"/>
      <c r="DX2" s="88" t="s">
        <v>2453</v>
      </c>
      <c r="DY2" s="89"/>
      <c r="DZ2" s="114"/>
      <c r="EA2" s="933"/>
      <c r="EB2" s="94"/>
      <c r="EC2" s="95" t="s">
        <v>2457</v>
      </c>
      <c r="ED2" s="95"/>
      <c r="EE2" s="96"/>
      <c r="EF2" s="114"/>
      <c r="EG2" s="94"/>
      <c r="EH2" s="95" t="s">
        <v>2458</v>
      </c>
      <c r="EI2" s="95"/>
      <c r="EJ2" s="96"/>
      <c r="EK2" s="114"/>
      <c r="EL2" s="933"/>
      <c r="EM2" s="101"/>
      <c r="EN2" s="102" t="s">
        <v>2457</v>
      </c>
      <c r="EO2" s="103"/>
      <c r="EP2" s="114"/>
      <c r="EQ2" s="101"/>
      <c r="ER2" s="102" t="s">
        <v>2453</v>
      </c>
      <c r="ES2" s="103"/>
      <c r="ET2" s="114"/>
      <c r="EU2" s="933"/>
      <c r="EV2" s="183"/>
      <c r="EW2" s="174"/>
      <c r="EX2" s="183" t="s">
        <v>2459</v>
      </c>
      <c r="EY2" s="174"/>
      <c r="EZ2" s="174"/>
      <c r="FA2" s="173"/>
      <c r="FB2" s="179" t="s">
        <v>2459</v>
      </c>
      <c r="FC2" s="173"/>
      <c r="FD2" s="173"/>
      <c r="FE2" s="179" t="s">
        <v>2459</v>
      </c>
      <c r="FF2" s="173"/>
      <c r="FG2" s="173"/>
      <c r="FH2" s="179" t="s">
        <v>2459</v>
      </c>
      <c r="FI2" s="173"/>
      <c r="FJ2" s="173"/>
      <c r="FK2" s="179" t="s">
        <v>2459</v>
      </c>
      <c r="FL2" s="207"/>
      <c r="FM2" s="933"/>
      <c r="FN2" s="162"/>
      <c r="FO2" s="172"/>
      <c r="FP2" s="183"/>
      <c r="FQ2" s="211" t="s">
        <v>2459</v>
      </c>
      <c r="FR2" s="933"/>
      <c r="FS2" s="196" t="s">
        <v>2460</v>
      </c>
      <c r="FT2" s="197"/>
      <c r="FU2" s="174"/>
      <c r="FV2" s="172"/>
      <c r="FW2" s="174"/>
      <c r="FX2" s="175"/>
      <c r="FY2" s="933"/>
      <c r="FZ2" s="114"/>
      <c r="GA2" s="114"/>
      <c r="GB2" s="114"/>
      <c r="GC2" s="114"/>
      <c r="GD2" s="114"/>
      <c r="GE2" s="114"/>
      <c r="GF2" s="114"/>
      <c r="GG2" s="933"/>
      <c r="GH2" s="173"/>
      <c r="GI2" s="179" t="s">
        <v>2459</v>
      </c>
      <c r="GJ2" s="173"/>
      <c r="GK2" s="173"/>
      <c r="GL2" s="179" t="s">
        <v>2459</v>
      </c>
      <c r="GM2" s="173"/>
      <c r="GN2" s="173"/>
      <c r="GO2" s="179" t="s">
        <v>2459</v>
      </c>
      <c r="GP2" s="173"/>
      <c r="GQ2" s="173"/>
      <c r="GR2" s="179" t="s">
        <v>2459</v>
      </c>
      <c r="GS2" s="173"/>
      <c r="GT2" s="173"/>
      <c r="GU2" s="179" t="s">
        <v>2459</v>
      </c>
      <c r="GV2" s="173"/>
      <c r="GW2" s="173"/>
      <c r="GX2" s="179" t="s">
        <v>2459</v>
      </c>
      <c r="GY2" s="173"/>
      <c r="GZ2" s="173"/>
      <c r="HA2" s="179" t="s">
        <v>2459</v>
      </c>
      <c r="HB2" s="173"/>
      <c r="HC2" s="173"/>
      <c r="HD2" s="179" t="s">
        <v>2459</v>
      </c>
      <c r="HE2" s="173"/>
      <c r="HF2" s="173"/>
      <c r="HG2" s="179" t="s">
        <v>2459</v>
      </c>
      <c r="HH2" s="173"/>
      <c r="HI2" s="173"/>
      <c r="HJ2" s="179" t="s">
        <v>2459</v>
      </c>
      <c r="HK2" s="173"/>
      <c r="HL2" s="173"/>
      <c r="HM2" s="179" t="s">
        <v>2459</v>
      </c>
      <c r="HN2" s="173"/>
      <c r="HO2" s="173"/>
      <c r="HP2" s="179" t="s">
        <v>2459</v>
      </c>
      <c r="HQ2" s="173"/>
      <c r="HR2" s="173"/>
      <c r="HS2" s="179" t="s">
        <v>2459</v>
      </c>
      <c r="HT2" s="173"/>
      <c r="HU2" s="173"/>
      <c r="HV2" s="179" t="s">
        <v>2459</v>
      </c>
      <c r="HW2" s="173"/>
      <c r="HY2" s="688"/>
      <c r="HZ2" s="241"/>
      <c r="IA2" s="235"/>
      <c r="IB2" s="172" t="s">
        <v>2461</v>
      </c>
      <c r="IC2" s="235"/>
      <c r="ID2" s="242"/>
      <c r="IE2" s="688"/>
      <c r="IF2" s="241"/>
      <c r="IG2" s="235"/>
      <c r="IH2" s="172" t="s">
        <v>2459</v>
      </c>
      <c r="II2" s="235"/>
      <c r="IJ2" s="235"/>
      <c r="IK2" s="689"/>
      <c r="IL2" s="688"/>
      <c r="IM2" s="688"/>
      <c r="IN2" s="933"/>
      <c r="IO2" s="241"/>
      <c r="IP2" s="235"/>
      <c r="IQ2" s="179" t="s">
        <v>2461</v>
      </c>
      <c r="IR2" s="235"/>
      <c r="IS2" s="242"/>
      <c r="IT2" s="241"/>
      <c r="IU2" s="235"/>
      <c r="IV2" s="179" t="s">
        <v>2459</v>
      </c>
      <c r="IW2" s="235"/>
      <c r="IX2" s="242"/>
      <c r="IY2" s="241"/>
      <c r="IZ2" s="235"/>
      <c r="JA2" s="179" t="s">
        <v>2461</v>
      </c>
      <c r="JB2" s="235"/>
      <c r="JC2" s="242"/>
      <c r="JD2" s="241"/>
      <c r="JE2" s="235"/>
      <c r="JF2" s="179" t="s">
        <v>2459</v>
      </c>
      <c r="JG2" s="235"/>
      <c r="JH2" s="242"/>
      <c r="JI2" s="241"/>
      <c r="JJ2" s="235"/>
      <c r="JK2" s="179" t="s">
        <v>2461</v>
      </c>
      <c r="JL2" s="235"/>
      <c r="JM2" s="242"/>
      <c r="JN2" s="241"/>
      <c r="JO2" s="235"/>
      <c r="JP2" s="179" t="s">
        <v>2459</v>
      </c>
      <c r="JQ2" s="235"/>
      <c r="JR2" s="242"/>
      <c r="JS2" s="241"/>
      <c r="JT2" s="235"/>
      <c r="JU2" s="179" t="s">
        <v>2461</v>
      </c>
      <c r="JV2" s="235"/>
      <c r="JW2" s="242"/>
      <c r="JX2" s="241"/>
      <c r="JY2" s="235"/>
      <c r="JZ2" s="179" t="s">
        <v>2459</v>
      </c>
      <c r="KA2" s="235"/>
      <c r="KB2" s="242"/>
      <c r="KC2" s="933"/>
      <c r="KD2" s="248"/>
      <c r="KE2" s="248" t="s">
        <v>2462</v>
      </c>
      <c r="KF2" s="172"/>
      <c r="KG2" s="172"/>
      <c r="KH2" s="254"/>
      <c r="KI2" s="254"/>
      <c r="KJ2" s="254"/>
    </row>
    <row r="3" spans="1:327" ht="15" customHeight="1">
      <c r="A3" s="690"/>
      <c r="B3" s="691"/>
      <c r="C3" s="691"/>
      <c r="D3" s="691"/>
      <c r="E3" s="692"/>
      <c r="F3" s="692"/>
      <c r="G3" s="693"/>
      <c r="H3" s="690"/>
      <c r="I3" s="803"/>
      <c r="J3" s="803"/>
      <c r="K3" s="803"/>
      <c r="L3" s="803"/>
      <c r="M3" s="803"/>
      <c r="N3" s="803"/>
      <c r="O3" s="692"/>
      <c r="P3" s="803"/>
      <c r="Q3" s="933"/>
      <c r="R3" s="799" t="s">
        <v>2463</v>
      </c>
      <c r="S3" s="799"/>
      <c r="T3" s="800"/>
      <c r="U3" s="800"/>
      <c r="V3" s="799"/>
      <c r="W3" s="800"/>
      <c r="X3" s="800"/>
      <c r="Y3" s="800"/>
      <c r="Z3" s="800"/>
      <c r="AA3" s="800"/>
      <c r="AB3" s="800"/>
      <c r="AC3" s="800"/>
      <c r="AD3" s="800"/>
      <c r="AE3" s="800"/>
      <c r="AF3" s="800"/>
      <c r="AG3" s="800"/>
      <c r="AH3" s="800"/>
      <c r="AI3" s="800"/>
      <c r="AJ3" s="800"/>
      <c r="AK3" s="800"/>
      <c r="AL3" s="800"/>
      <c r="AM3" s="803"/>
      <c r="AN3" s="803"/>
      <c r="AP3" s="933"/>
      <c r="AR3" s="933"/>
      <c r="AS3" s="933"/>
      <c r="AU3" s="933"/>
      <c r="AV3" s="62"/>
      <c r="AW3" s="803"/>
      <c r="AX3" s="933"/>
      <c r="AZ3" s="255" t="s">
        <v>2464</v>
      </c>
      <c r="BA3" s="820"/>
      <c r="BB3" s="252"/>
      <c r="BC3" s="818"/>
      <c r="BD3" s="819"/>
      <c r="BE3" s="820"/>
      <c r="BF3" s="252" t="s">
        <v>2465</v>
      </c>
      <c r="BG3" s="820"/>
      <c r="BH3" s="821"/>
      <c r="BI3" s="819"/>
      <c r="BJ3" s="66"/>
      <c r="BK3" s="67" t="s">
        <v>2466</v>
      </c>
      <c r="BL3" s="66"/>
      <c r="BM3" s="70"/>
      <c r="BO3" s="83"/>
      <c r="BP3" s="54" t="s">
        <v>2467</v>
      </c>
      <c r="BQ3" s="50"/>
      <c r="BR3" s="84"/>
      <c r="BS3" s="83"/>
      <c r="BT3" s="54" t="s">
        <v>2467</v>
      </c>
      <c r="BU3" s="50"/>
      <c r="BV3" s="84"/>
      <c r="BW3" s="90"/>
      <c r="BX3" s="52" t="s">
        <v>2468</v>
      </c>
      <c r="BY3" s="91"/>
      <c r="BZ3" s="90"/>
      <c r="CA3" s="52" t="s">
        <v>2468</v>
      </c>
      <c r="CB3" s="91"/>
      <c r="CC3" s="97" t="s">
        <v>2469</v>
      </c>
      <c r="CD3" s="55"/>
      <c r="CE3" s="56"/>
      <c r="CF3" s="98"/>
      <c r="CG3" s="97" t="s">
        <v>2469</v>
      </c>
      <c r="CH3" s="55"/>
      <c r="CI3" s="56"/>
      <c r="CJ3" s="98"/>
      <c r="CK3" s="104"/>
      <c r="CL3" s="61" t="s">
        <v>2470</v>
      </c>
      <c r="CM3" s="105"/>
      <c r="CN3" s="104"/>
      <c r="CO3" s="61" t="s">
        <v>2470</v>
      </c>
      <c r="CP3" s="105"/>
      <c r="CR3" s="83"/>
      <c r="CS3" s="54" t="s">
        <v>2471</v>
      </c>
      <c r="CT3" s="50"/>
      <c r="CU3" s="84"/>
      <c r="CV3" s="90"/>
      <c r="CW3" s="52" t="s">
        <v>2472</v>
      </c>
      <c r="CX3" s="91"/>
      <c r="CY3" s="97" t="s">
        <v>2469</v>
      </c>
      <c r="CZ3" s="55"/>
      <c r="DA3" s="56"/>
      <c r="DB3" s="98"/>
      <c r="DC3" s="104"/>
      <c r="DD3" s="61" t="s">
        <v>2470</v>
      </c>
      <c r="DE3" s="105"/>
      <c r="DF3" s="144"/>
      <c r="DH3" s="83"/>
      <c r="DI3" s="54" t="s">
        <v>2473</v>
      </c>
      <c r="DJ3" s="50"/>
      <c r="DK3" s="84"/>
      <c r="DL3" s="127"/>
      <c r="DM3" s="83"/>
      <c r="DN3" s="54" t="s">
        <v>2473</v>
      </c>
      <c r="DO3" s="50"/>
      <c r="DP3" s="84"/>
      <c r="DQ3" s="114"/>
      <c r="DS3" s="90"/>
      <c r="DT3" s="52" t="s">
        <v>2468</v>
      </c>
      <c r="DU3" s="91"/>
      <c r="DV3" s="114"/>
      <c r="DW3" s="90"/>
      <c r="DX3" s="52" t="s">
        <v>2468</v>
      </c>
      <c r="DY3" s="91"/>
      <c r="DZ3" s="114"/>
      <c r="EB3" s="97"/>
      <c r="EC3" s="55" t="s">
        <v>2469</v>
      </c>
      <c r="ED3" s="56"/>
      <c r="EE3" s="98"/>
      <c r="EF3" s="114"/>
      <c r="EG3" s="97"/>
      <c r="EH3" s="55" t="s">
        <v>2469</v>
      </c>
      <c r="EI3" s="56"/>
      <c r="EJ3" s="98"/>
      <c r="EK3" s="114"/>
      <c r="EM3" s="104"/>
      <c r="EN3" s="61" t="s">
        <v>2470</v>
      </c>
      <c r="EO3" s="105"/>
      <c r="EP3" s="114"/>
      <c r="EQ3" s="104"/>
      <c r="ER3" s="61" t="s">
        <v>2470</v>
      </c>
      <c r="ES3" s="105"/>
      <c r="ET3" s="114"/>
      <c r="EV3" s="183"/>
      <c r="EW3" s="172"/>
      <c r="EX3" s="183" t="s">
        <v>2474</v>
      </c>
      <c r="EY3" s="174"/>
      <c r="EZ3" s="174"/>
      <c r="FA3" s="162"/>
      <c r="FB3" s="174" t="s">
        <v>2475</v>
      </c>
      <c r="FC3" s="171"/>
      <c r="FD3" s="162"/>
      <c r="FE3" s="180" t="s">
        <v>2472</v>
      </c>
      <c r="FF3" s="171"/>
      <c r="FG3" s="162"/>
      <c r="FH3" s="181" t="s">
        <v>2476</v>
      </c>
      <c r="FI3" s="171"/>
      <c r="FJ3" s="162"/>
      <c r="FK3" s="182" t="s">
        <v>2477</v>
      </c>
      <c r="FL3" s="208"/>
      <c r="FN3" s="212" t="s">
        <v>2478</v>
      </c>
      <c r="FO3" s="172"/>
      <c r="FP3" s="163"/>
      <c r="FQ3" s="213" t="s">
        <v>2479</v>
      </c>
      <c r="FS3" s="200" t="s">
        <v>2480</v>
      </c>
      <c r="FT3" s="186"/>
      <c r="FU3" s="198" t="s">
        <v>2481</v>
      </c>
      <c r="FV3" s="199"/>
      <c r="FW3" s="195" t="s">
        <v>2482</v>
      </c>
      <c r="FX3" s="186"/>
      <c r="FZ3" s="114"/>
      <c r="GA3" s="114"/>
      <c r="GB3" s="114"/>
      <c r="GC3" s="114"/>
      <c r="GD3" s="114"/>
      <c r="GE3" s="114"/>
      <c r="GF3" s="114"/>
      <c r="GH3" s="164"/>
      <c r="GI3" s="187" t="s">
        <v>2483</v>
      </c>
      <c r="GJ3" s="187"/>
      <c r="GK3" s="164"/>
      <c r="GL3" s="187" t="s">
        <v>2484</v>
      </c>
      <c r="GM3" s="164"/>
      <c r="GN3" s="164"/>
      <c r="GO3" s="187" t="s">
        <v>2485</v>
      </c>
      <c r="GP3" s="164"/>
      <c r="GQ3" s="164"/>
      <c r="GR3" s="187" t="s">
        <v>2486</v>
      </c>
      <c r="GS3" s="164"/>
      <c r="GT3" s="188"/>
      <c r="GU3" s="189" t="s">
        <v>2487</v>
      </c>
      <c r="GV3" s="188"/>
      <c r="GW3" s="188"/>
      <c r="GX3" s="189" t="s">
        <v>2488</v>
      </c>
      <c r="GY3" s="188"/>
      <c r="GZ3" s="188"/>
      <c r="HA3" s="189" t="s">
        <v>2489</v>
      </c>
      <c r="HB3" s="188"/>
      <c r="HC3" s="190"/>
      <c r="HD3" s="191" t="s">
        <v>2490</v>
      </c>
      <c r="HE3" s="190"/>
      <c r="HF3" s="795"/>
      <c r="HG3" s="191" t="s">
        <v>2491</v>
      </c>
      <c r="HH3" s="190"/>
      <c r="HI3" s="190"/>
      <c r="HJ3" s="796" t="s">
        <v>2492</v>
      </c>
      <c r="HK3" s="190"/>
      <c r="HL3" s="190"/>
      <c r="HM3" s="796" t="s">
        <v>2493</v>
      </c>
      <c r="HN3" s="190"/>
      <c r="HO3" s="192"/>
      <c r="HP3" s="193" t="s">
        <v>2494</v>
      </c>
      <c r="HQ3" s="192"/>
      <c r="HR3" s="192"/>
      <c r="HS3" s="193" t="s">
        <v>2495</v>
      </c>
      <c r="HT3" s="192"/>
      <c r="HU3" s="192"/>
      <c r="HV3" s="193" t="s">
        <v>2496</v>
      </c>
      <c r="HW3" s="192"/>
      <c r="HY3" s="688"/>
      <c r="HZ3" s="241"/>
      <c r="IA3" s="235"/>
      <c r="IB3" s="252" t="s">
        <v>2497</v>
      </c>
      <c r="IC3" s="235"/>
      <c r="ID3" s="242"/>
      <c r="IE3" s="688"/>
      <c r="IF3" s="241"/>
      <c r="IG3" s="235"/>
      <c r="IH3" s="252" t="s">
        <v>2497</v>
      </c>
      <c r="II3" s="235"/>
      <c r="IJ3" s="242"/>
      <c r="IK3" s="257" t="s">
        <v>2498</v>
      </c>
      <c r="IL3" s="258"/>
      <c r="IO3" s="241"/>
      <c r="IP3" s="235"/>
      <c r="IQ3" s="236" t="s">
        <v>2475</v>
      </c>
      <c r="IR3" s="235"/>
      <c r="IS3" s="242"/>
      <c r="IT3" s="241"/>
      <c r="IU3" s="235"/>
      <c r="IV3" s="236" t="s">
        <v>2475</v>
      </c>
      <c r="IW3" s="235"/>
      <c r="IX3" s="242"/>
      <c r="IY3" s="241"/>
      <c r="IZ3" s="235"/>
      <c r="JA3" s="243" t="s">
        <v>2468</v>
      </c>
      <c r="JB3" s="235"/>
      <c r="JC3" s="242"/>
      <c r="JD3" s="241"/>
      <c r="JE3" s="235"/>
      <c r="JF3" s="243" t="s">
        <v>2468</v>
      </c>
      <c r="JG3" s="235"/>
      <c r="JH3" s="242"/>
      <c r="JI3" s="241"/>
      <c r="JJ3" s="235"/>
      <c r="JK3" s="237" t="s">
        <v>2476</v>
      </c>
      <c r="JL3" s="235"/>
      <c r="JM3" s="242"/>
      <c r="JN3" s="241"/>
      <c r="JO3" s="235"/>
      <c r="JP3" s="237" t="s">
        <v>2476</v>
      </c>
      <c r="JQ3" s="235"/>
      <c r="JR3" s="242"/>
      <c r="JS3" s="241"/>
      <c r="JT3" s="235"/>
      <c r="JU3" s="182" t="s">
        <v>2477</v>
      </c>
      <c r="JV3" s="235"/>
      <c r="JW3" s="242"/>
      <c r="JX3" s="241"/>
      <c r="JY3" s="235"/>
      <c r="JZ3" s="182" t="s">
        <v>2477</v>
      </c>
      <c r="KA3" s="235"/>
      <c r="KB3" s="242"/>
      <c r="KD3" s="196" t="s">
        <v>2499</v>
      </c>
      <c r="KE3" s="211"/>
      <c r="KF3" s="196" t="s">
        <v>2500</v>
      </c>
      <c r="KG3" s="183"/>
      <c r="KH3" s="682"/>
      <c r="KI3" s="682"/>
      <c r="KJ3" s="682"/>
    </row>
    <row r="4" spans="1:327" ht="108" customHeight="1">
      <c r="A4" s="1" t="s">
        <v>2044</v>
      </c>
      <c r="B4" s="46" t="s">
        <v>2045</v>
      </c>
      <c r="C4" s="46" t="s">
        <v>2180</v>
      </c>
      <c r="D4" s="46" t="s">
        <v>2181</v>
      </c>
      <c r="E4" s="46" t="s">
        <v>2048</v>
      </c>
      <c r="F4" s="46" t="s">
        <v>2049</v>
      </c>
      <c r="G4" s="46" t="s">
        <v>2182</v>
      </c>
      <c r="H4" s="46" t="s">
        <v>2183</v>
      </c>
      <c r="I4" s="46" t="s">
        <v>2050</v>
      </c>
      <c r="J4" s="46" t="s">
        <v>2051</v>
      </c>
      <c r="K4" s="46" t="s">
        <v>2184</v>
      </c>
      <c r="L4" s="46" t="s">
        <v>2185</v>
      </c>
      <c r="M4" s="46" t="s">
        <v>2056</v>
      </c>
      <c r="N4" s="46" t="s">
        <v>1249</v>
      </c>
      <c r="O4" s="46" t="s">
        <v>1274</v>
      </c>
      <c r="P4" s="46" t="s">
        <v>2186</v>
      </c>
      <c r="Q4" s="48" t="s">
        <v>2501</v>
      </c>
      <c r="R4" s="46" t="s">
        <v>2502</v>
      </c>
      <c r="S4" s="801">
        <v>2000</v>
      </c>
      <c r="T4" s="801">
        <v>2005</v>
      </c>
      <c r="U4" s="801">
        <v>2010</v>
      </c>
      <c r="V4" s="801">
        <v>2015</v>
      </c>
      <c r="W4" s="801">
        <v>2016</v>
      </c>
      <c r="X4" s="801">
        <v>2017</v>
      </c>
      <c r="Y4" s="801">
        <v>2018</v>
      </c>
      <c r="Z4" s="801">
        <v>2019</v>
      </c>
      <c r="AA4" s="801">
        <v>2020</v>
      </c>
      <c r="AB4" s="801">
        <v>2021</v>
      </c>
      <c r="AC4" s="801">
        <v>2022</v>
      </c>
      <c r="AD4" s="801">
        <v>2023</v>
      </c>
      <c r="AE4" s="801">
        <v>2024</v>
      </c>
      <c r="AF4" s="801">
        <v>2025</v>
      </c>
      <c r="AG4" s="801">
        <v>2026</v>
      </c>
      <c r="AH4" s="801">
        <v>2027</v>
      </c>
      <c r="AI4" s="801">
        <v>2028</v>
      </c>
      <c r="AJ4" s="801">
        <v>2029</v>
      </c>
      <c r="AK4" s="801">
        <v>2030</v>
      </c>
      <c r="AL4" s="46" t="s">
        <v>2503</v>
      </c>
      <c r="AM4" s="46" t="s">
        <v>2504</v>
      </c>
      <c r="AN4" s="46" t="s">
        <v>2065</v>
      </c>
      <c r="AO4" s="109"/>
      <c r="AP4" s="63" t="s">
        <v>2505</v>
      </c>
      <c r="AQ4" s="63" t="s">
        <v>2506</v>
      </c>
      <c r="AR4" s="63" t="s">
        <v>2507</v>
      </c>
      <c r="AS4" s="63" t="s">
        <v>2508</v>
      </c>
      <c r="AT4" s="109"/>
      <c r="AU4" s="46" t="s">
        <v>2509</v>
      </c>
      <c r="AV4" s="46" t="s">
        <v>2510</v>
      </c>
      <c r="AW4" s="46" t="s">
        <v>2511</v>
      </c>
      <c r="AX4" s="46" t="s">
        <v>2512</v>
      </c>
      <c r="AY4" s="109"/>
      <c r="AZ4" s="72" t="s">
        <v>2475</v>
      </c>
      <c r="BA4" s="73" t="s">
        <v>2472</v>
      </c>
      <c r="BB4" s="74" t="s">
        <v>2476</v>
      </c>
      <c r="BC4" s="75" t="s">
        <v>2477</v>
      </c>
      <c r="BD4" s="823" t="s">
        <v>2513</v>
      </c>
      <c r="BE4" s="822" t="s">
        <v>2475</v>
      </c>
      <c r="BF4" s="77" t="s">
        <v>2472</v>
      </c>
      <c r="BG4" s="78" t="s">
        <v>2476</v>
      </c>
      <c r="BH4" s="79" t="s">
        <v>2477</v>
      </c>
      <c r="BI4" s="823" t="s">
        <v>2513</v>
      </c>
      <c r="BJ4" s="822" t="s">
        <v>2475</v>
      </c>
      <c r="BK4" s="77" t="s">
        <v>2472</v>
      </c>
      <c r="BL4" s="78" t="s">
        <v>2476</v>
      </c>
      <c r="BM4" s="79" t="s">
        <v>2477</v>
      </c>
      <c r="BN4" s="109"/>
      <c r="BO4" s="85" t="s">
        <v>2514</v>
      </c>
      <c r="BP4" s="51" t="s">
        <v>2515</v>
      </c>
      <c r="BQ4" s="51" t="s">
        <v>2516</v>
      </c>
      <c r="BR4" s="797" t="s">
        <v>2517</v>
      </c>
      <c r="BS4" s="85" t="s">
        <v>2514</v>
      </c>
      <c r="BT4" s="51" t="s">
        <v>2515</v>
      </c>
      <c r="BU4" s="51" t="s">
        <v>2516</v>
      </c>
      <c r="BV4" s="86" t="s">
        <v>2517</v>
      </c>
      <c r="BW4" s="92" t="s">
        <v>2514</v>
      </c>
      <c r="BX4" s="53" t="s">
        <v>2515</v>
      </c>
      <c r="BY4" s="93" t="s">
        <v>2516</v>
      </c>
      <c r="BZ4" s="92" t="s">
        <v>2514</v>
      </c>
      <c r="CA4" s="53" t="s">
        <v>2515</v>
      </c>
      <c r="CB4" s="93" t="s">
        <v>2516</v>
      </c>
      <c r="CC4" s="99" t="s">
        <v>2518</v>
      </c>
      <c r="CD4" s="57" t="s">
        <v>2519</v>
      </c>
      <c r="CE4" s="57" t="s">
        <v>2520</v>
      </c>
      <c r="CF4" s="100" t="s">
        <v>2521</v>
      </c>
      <c r="CG4" s="99" t="s">
        <v>2518</v>
      </c>
      <c r="CH4" s="57" t="s">
        <v>2519</v>
      </c>
      <c r="CI4" s="57" t="s">
        <v>2520</v>
      </c>
      <c r="CJ4" s="100" t="s">
        <v>2521</v>
      </c>
      <c r="CK4" s="106" t="s">
        <v>2518</v>
      </c>
      <c r="CL4" s="60" t="s">
        <v>2522</v>
      </c>
      <c r="CM4" s="107" t="s">
        <v>2523</v>
      </c>
      <c r="CN4" s="106" t="s">
        <v>2518</v>
      </c>
      <c r="CO4" s="60" t="s">
        <v>2522</v>
      </c>
      <c r="CP4" s="107" t="s">
        <v>2523</v>
      </c>
      <c r="CQ4" s="109"/>
      <c r="CR4" s="131" t="s">
        <v>2514</v>
      </c>
      <c r="CS4" s="132" t="s">
        <v>2515</v>
      </c>
      <c r="CT4" s="132" t="s">
        <v>2516</v>
      </c>
      <c r="CU4" s="133" t="s">
        <v>2517</v>
      </c>
      <c r="CV4" s="134" t="s">
        <v>2514</v>
      </c>
      <c r="CW4" s="135" t="s">
        <v>2515</v>
      </c>
      <c r="CX4" s="136" t="s">
        <v>2516</v>
      </c>
      <c r="CY4" s="137" t="s">
        <v>2518</v>
      </c>
      <c r="CZ4" s="138" t="s">
        <v>2519</v>
      </c>
      <c r="DA4" s="138" t="s">
        <v>2520</v>
      </c>
      <c r="DB4" s="139" t="s">
        <v>2521</v>
      </c>
      <c r="DC4" s="140" t="s">
        <v>2518</v>
      </c>
      <c r="DD4" s="60" t="s">
        <v>2522</v>
      </c>
      <c r="DE4" s="141" t="s">
        <v>2523</v>
      </c>
      <c r="DF4" s="143" t="s">
        <v>2524</v>
      </c>
      <c r="DG4" s="109"/>
      <c r="DH4" s="85" t="s">
        <v>2514</v>
      </c>
      <c r="DI4" s="51" t="s">
        <v>2515</v>
      </c>
      <c r="DJ4" s="51" t="s">
        <v>2516</v>
      </c>
      <c r="DK4" s="86" t="s">
        <v>2517</v>
      </c>
      <c r="DL4" s="116" t="s">
        <v>2525</v>
      </c>
      <c r="DM4" s="85" t="s">
        <v>2514</v>
      </c>
      <c r="DN4" s="51" t="s">
        <v>2515</v>
      </c>
      <c r="DO4" s="51" t="s">
        <v>2516</v>
      </c>
      <c r="DP4" s="86" t="s">
        <v>2517</v>
      </c>
      <c r="DQ4" s="116" t="s">
        <v>2526</v>
      </c>
      <c r="DR4" s="109"/>
      <c r="DS4" s="92" t="s">
        <v>2514</v>
      </c>
      <c r="DT4" s="53" t="s">
        <v>2515</v>
      </c>
      <c r="DU4" s="93" t="s">
        <v>2516</v>
      </c>
      <c r="DV4" s="117" t="s">
        <v>2527</v>
      </c>
      <c r="DW4" s="92" t="s">
        <v>2514</v>
      </c>
      <c r="DX4" s="53" t="s">
        <v>2515</v>
      </c>
      <c r="DY4" s="93" t="s">
        <v>2516</v>
      </c>
      <c r="DZ4" s="117" t="s">
        <v>2528</v>
      </c>
      <c r="EA4" s="109"/>
      <c r="EB4" s="99" t="s">
        <v>2518</v>
      </c>
      <c r="EC4" s="57" t="s">
        <v>2519</v>
      </c>
      <c r="ED4" s="57" t="s">
        <v>2520</v>
      </c>
      <c r="EE4" s="100" t="s">
        <v>2521</v>
      </c>
      <c r="EF4" s="118" t="s">
        <v>2529</v>
      </c>
      <c r="EG4" s="99" t="s">
        <v>2518</v>
      </c>
      <c r="EH4" s="57" t="s">
        <v>2519</v>
      </c>
      <c r="EI4" s="57" t="s">
        <v>2520</v>
      </c>
      <c r="EJ4" s="100" t="s">
        <v>2521</v>
      </c>
      <c r="EK4" s="118" t="s">
        <v>2530</v>
      </c>
      <c r="EL4" s="109"/>
      <c r="EM4" s="106" t="s">
        <v>2518</v>
      </c>
      <c r="EN4" s="60" t="s">
        <v>2519</v>
      </c>
      <c r="EO4" s="107" t="s">
        <v>2523</v>
      </c>
      <c r="EP4" s="119" t="s">
        <v>2531</v>
      </c>
      <c r="EQ4" s="106" t="s">
        <v>2518</v>
      </c>
      <c r="ER4" s="60" t="s">
        <v>2519</v>
      </c>
      <c r="ES4" s="107" t="s">
        <v>2523</v>
      </c>
      <c r="ET4" s="119" t="s">
        <v>2532</v>
      </c>
      <c r="EU4" s="109"/>
      <c r="EV4" s="169" t="s">
        <v>2533</v>
      </c>
      <c r="EW4" s="178" t="s">
        <v>2534</v>
      </c>
      <c r="EX4" s="201" t="s">
        <v>2535</v>
      </c>
      <c r="EY4" s="169" t="s">
        <v>140</v>
      </c>
      <c r="EZ4" s="178" t="s">
        <v>2536</v>
      </c>
      <c r="FA4" s="201" t="s">
        <v>2535</v>
      </c>
      <c r="FB4" s="169" t="s">
        <v>140</v>
      </c>
      <c r="FC4" s="170" t="s">
        <v>2536</v>
      </c>
      <c r="FD4" s="201" t="s">
        <v>2535</v>
      </c>
      <c r="FE4" s="169" t="s">
        <v>140</v>
      </c>
      <c r="FF4" s="170" t="s">
        <v>2536</v>
      </c>
      <c r="FG4" s="201" t="s">
        <v>2535</v>
      </c>
      <c r="FH4" s="169" t="s">
        <v>140</v>
      </c>
      <c r="FI4" s="170" t="s">
        <v>2536</v>
      </c>
      <c r="FJ4" s="201" t="s">
        <v>2535</v>
      </c>
      <c r="FK4" s="169" t="s">
        <v>140</v>
      </c>
      <c r="FL4" s="209" t="s">
        <v>2536</v>
      </c>
      <c r="FM4" s="109"/>
      <c r="FN4" s="201" t="s">
        <v>2537</v>
      </c>
      <c r="FO4" s="178" t="s">
        <v>2538</v>
      </c>
      <c r="FP4" s="185" t="s">
        <v>2539</v>
      </c>
      <c r="FQ4" s="206" t="s">
        <v>2540</v>
      </c>
      <c r="FR4" s="109"/>
      <c r="FS4" s="201" t="s">
        <v>2541</v>
      </c>
      <c r="FT4" s="204" t="s">
        <v>2542</v>
      </c>
      <c r="FU4" s="185" t="s">
        <v>2543</v>
      </c>
      <c r="FV4" s="185" t="s">
        <v>2544</v>
      </c>
      <c r="FW4" s="205" t="s">
        <v>2545</v>
      </c>
      <c r="FX4" s="194" t="s">
        <v>2544</v>
      </c>
      <c r="FY4" s="109"/>
      <c r="FZ4" s="256" t="s">
        <v>2546</v>
      </c>
      <c r="GA4" s="256" t="s">
        <v>2547</v>
      </c>
      <c r="GB4" s="256" t="s">
        <v>2548</v>
      </c>
      <c r="GC4" s="256" t="s">
        <v>2549</v>
      </c>
      <c r="GD4" s="256" t="s">
        <v>2550</v>
      </c>
      <c r="GE4" s="256" t="s">
        <v>2551</v>
      </c>
      <c r="GF4" s="256" t="s">
        <v>2552</v>
      </c>
      <c r="GG4" s="109"/>
      <c r="GH4" s="131" t="s">
        <v>2535</v>
      </c>
      <c r="GI4" s="169" t="s">
        <v>140</v>
      </c>
      <c r="GJ4" s="178" t="s">
        <v>2536</v>
      </c>
      <c r="GK4" s="131" t="s">
        <v>2535</v>
      </c>
      <c r="GL4" s="169" t="s">
        <v>140</v>
      </c>
      <c r="GM4" s="178" t="s">
        <v>2536</v>
      </c>
      <c r="GN4" s="131" t="s">
        <v>2535</v>
      </c>
      <c r="GO4" s="169" t="s">
        <v>140</v>
      </c>
      <c r="GP4" s="178" t="s">
        <v>2536</v>
      </c>
      <c r="GQ4" s="131" t="s">
        <v>2535</v>
      </c>
      <c r="GR4" s="169" t="s">
        <v>140</v>
      </c>
      <c r="GS4" s="178" t="s">
        <v>2536</v>
      </c>
      <c r="GT4" s="131" t="s">
        <v>2535</v>
      </c>
      <c r="GU4" s="169" t="s">
        <v>140</v>
      </c>
      <c r="GV4" s="178" t="s">
        <v>2536</v>
      </c>
      <c r="GW4" s="131" t="s">
        <v>2535</v>
      </c>
      <c r="GX4" s="169" t="s">
        <v>140</v>
      </c>
      <c r="GY4" s="178" t="s">
        <v>2536</v>
      </c>
      <c r="GZ4" s="131" t="s">
        <v>2535</v>
      </c>
      <c r="HA4" s="169" t="s">
        <v>140</v>
      </c>
      <c r="HB4" s="178" t="s">
        <v>2536</v>
      </c>
      <c r="HC4" s="131" t="s">
        <v>2535</v>
      </c>
      <c r="HD4" s="169" t="s">
        <v>140</v>
      </c>
      <c r="HE4" s="178" t="s">
        <v>2536</v>
      </c>
      <c r="HF4" s="131" t="s">
        <v>2535</v>
      </c>
      <c r="HG4" s="169" t="s">
        <v>140</v>
      </c>
      <c r="HH4" s="178" t="s">
        <v>2536</v>
      </c>
      <c r="HI4" s="131" t="s">
        <v>2535</v>
      </c>
      <c r="HJ4" s="169" t="s">
        <v>140</v>
      </c>
      <c r="HK4" s="178" t="s">
        <v>2536</v>
      </c>
      <c r="HL4" s="131" t="s">
        <v>2535</v>
      </c>
      <c r="HM4" s="169" t="s">
        <v>140</v>
      </c>
      <c r="HN4" s="178" t="s">
        <v>2536</v>
      </c>
      <c r="HO4" s="131" t="s">
        <v>2535</v>
      </c>
      <c r="HP4" s="169" t="s">
        <v>140</v>
      </c>
      <c r="HQ4" s="178" t="s">
        <v>2536</v>
      </c>
      <c r="HR4" s="131" t="s">
        <v>2535</v>
      </c>
      <c r="HS4" s="169" t="s">
        <v>140</v>
      </c>
      <c r="HT4" s="178" t="s">
        <v>2536</v>
      </c>
      <c r="HU4" s="131" t="s">
        <v>2535</v>
      </c>
      <c r="HV4" s="169" t="s">
        <v>140</v>
      </c>
      <c r="HW4" s="178" t="s">
        <v>2536</v>
      </c>
      <c r="HY4" s="253" t="s">
        <v>2553</v>
      </c>
      <c r="HZ4" s="234" t="s">
        <v>2554</v>
      </c>
      <c r="IA4" s="169" t="s">
        <v>2555</v>
      </c>
      <c r="IB4" s="184" t="s">
        <v>2194</v>
      </c>
      <c r="IC4" s="233" t="s">
        <v>2556</v>
      </c>
      <c r="ID4" s="232" t="s">
        <v>2557</v>
      </c>
      <c r="IE4" s="253" t="s">
        <v>2558</v>
      </c>
      <c r="IF4" s="234" t="s">
        <v>2554</v>
      </c>
      <c r="IG4" s="169" t="s">
        <v>2555</v>
      </c>
      <c r="IH4" s="184" t="s">
        <v>2194</v>
      </c>
      <c r="II4" s="233" t="s">
        <v>2556</v>
      </c>
      <c r="IJ4" s="232" t="s">
        <v>2557</v>
      </c>
      <c r="IK4" s="201" t="s">
        <v>2541</v>
      </c>
      <c r="IL4" s="201" t="s">
        <v>2559</v>
      </c>
      <c r="IM4" s="251" t="s">
        <v>2560</v>
      </c>
      <c r="IN4" s="109"/>
      <c r="IO4" s="234" t="s">
        <v>2554</v>
      </c>
      <c r="IP4" s="169" t="s">
        <v>2555</v>
      </c>
      <c r="IQ4" s="184" t="s">
        <v>2194</v>
      </c>
      <c r="IR4" s="233" t="s">
        <v>2556</v>
      </c>
      <c r="IS4" s="232" t="s">
        <v>2557</v>
      </c>
      <c r="IT4" s="234" t="s">
        <v>2554</v>
      </c>
      <c r="IU4" s="169" t="s">
        <v>2555</v>
      </c>
      <c r="IV4" s="184" t="s">
        <v>2194</v>
      </c>
      <c r="IW4" s="233" t="s">
        <v>2556</v>
      </c>
      <c r="IX4" s="232" t="s">
        <v>2557</v>
      </c>
      <c r="IY4" s="234" t="s">
        <v>2554</v>
      </c>
      <c r="IZ4" s="169" t="s">
        <v>2555</v>
      </c>
      <c r="JA4" s="184" t="s">
        <v>2194</v>
      </c>
      <c r="JB4" s="233" t="s">
        <v>2556</v>
      </c>
      <c r="JC4" s="232" t="s">
        <v>2557</v>
      </c>
      <c r="JD4" s="234" t="s">
        <v>2554</v>
      </c>
      <c r="JE4" s="169" t="s">
        <v>2555</v>
      </c>
      <c r="JF4" s="184" t="s">
        <v>2194</v>
      </c>
      <c r="JG4" s="233" t="s">
        <v>2556</v>
      </c>
      <c r="JH4" s="232" t="s">
        <v>2557</v>
      </c>
      <c r="JI4" s="234" t="s">
        <v>2554</v>
      </c>
      <c r="JJ4" s="169" t="s">
        <v>2555</v>
      </c>
      <c r="JK4" s="184" t="s">
        <v>2194</v>
      </c>
      <c r="JL4" s="233" t="s">
        <v>2556</v>
      </c>
      <c r="JM4" s="232" t="s">
        <v>2557</v>
      </c>
      <c r="JN4" s="234" t="s">
        <v>2554</v>
      </c>
      <c r="JO4" s="169" t="s">
        <v>2555</v>
      </c>
      <c r="JP4" s="184" t="s">
        <v>2194</v>
      </c>
      <c r="JQ4" s="233" t="s">
        <v>2556</v>
      </c>
      <c r="JR4" s="232" t="s">
        <v>2557</v>
      </c>
      <c r="JS4" s="234" t="s">
        <v>2554</v>
      </c>
      <c r="JT4" s="169" t="s">
        <v>2555</v>
      </c>
      <c r="JU4" s="184" t="s">
        <v>2194</v>
      </c>
      <c r="JV4" s="233" t="s">
        <v>2556</v>
      </c>
      <c r="JW4" s="232" t="s">
        <v>2557</v>
      </c>
      <c r="JX4" s="234" t="s">
        <v>2554</v>
      </c>
      <c r="JY4" s="169" t="s">
        <v>2555</v>
      </c>
      <c r="JZ4" s="184" t="s">
        <v>2194</v>
      </c>
      <c r="KA4" s="233" t="s">
        <v>2556</v>
      </c>
      <c r="KB4" s="232" t="s">
        <v>2557</v>
      </c>
      <c r="KC4" s="109"/>
      <c r="KD4" s="233" t="s">
        <v>2561</v>
      </c>
      <c r="KE4" s="232" t="s">
        <v>2562</v>
      </c>
      <c r="KF4" s="201" t="s">
        <v>2541</v>
      </c>
      <c r="KG4" s="201" t="s">
        <v>2559</v>
      </c>
      <c r="KH4" s="143" t="s">
        <v>2563</v>
      </c>
      <c r="KI4" s="143" t="s">
        <v>2564</v>
      </c>
      <c r="KJ4" s="143" t="s">
        <v>2565</v>
      </c>
    </row>
    <row r="5" spans="1:327" ht="8.1" customHeight="1">
      <c r="A5" s="829" t="s">
        <v>2090</v>
      </c>
      <c r="B5" s="829" t="s">
        <v>2090</v>
      </c>
      <c r="C5" s="829" t="s">
        <v>2090</v>
      </c>
      <c r="D5" s="829" t="s">
        <v>2090</v>
      </c>
      <c r="E5" s="829" t="s">
        <v>2090</v>
      </c>
      <c r="F5" s="829" t="s">
        <v>2090</v>
      </c>
      <c r="G5" s="829" t="s">
        <v>2090</v>
      </c>
      <c r="H5" s="829" t="s">
        <v>2090</v>
      </c>
      <c r="I5" s="829" t="s">
        <v>2090</v>
      </c>
      <c r="J5" s="829" t="s">
        <v>2090</v>
      </c>
      <c r="K5" s="829" t="s">
        <v>2090</v>
      </c>
      <c r="L5" s="829" t="s">
        <v>2090</v>
      </c>
      <c r="M5" s="829" t="s">
        <v>2090</v>
      </c>
      <c r="N5" s="829" t="s">
        <v>2090</v>
      </c>
      <c r="O5" s="829" t="s">
        <v>2090</v>
      </c>
      <c r="P5" s="829" t="s">
        <v>2090</v>
      </c>
      <c r="Q5" s="829" t="s">
        <v>2090</v>
      </c>
      <c r="R5" s="829" t="s">
        <v>2090</v>
      </c>
      <c r="S5" s="829" t="s">
        <v>2090</v>
      </c>
      <c r="T5" s="829" t="s">
        <v>2090</v>
      </c>
      <c r="U5" s="829" t="s">
        <v>2090</v>
      </c>
      <c r="V5" s="829" t="s">
        <v>2090</v>
      </c>
      <c r="W5" s="829" t="s">
        <v>2090</v>
      </c>
      <c r="X5" s="829" t="s">
        <v>2090</v>
      </c>
      <c r="Y5" s="829" t="s">
        <v>2090</v>
      </c>
      <c r="Z5" s="829" t="s">
        <v>2090</v>
      </c>
      <c r="AA5" s="829" t="s">
        <v>2090</v>
      </c>
      <c r="AB5" s="829" t="s">
        <v>2090</v>
      </c>
      <c r="AC5" s="829" t="s">
        <v>2090</v>
      </c>
      <c r="AD5" s="829" t="s">
        <v>2090</v>
      </c>
      <c r="AE5" s="829" t="s">
        <v>2090</v>
      </c>
      <c r="AF5" s="829" t="s">
        <v>2090</v>
      </c>
      <c r="AG5" s="829" t="s">
        <v>2090</v>
      </c>
      <c r="AH5" s="829" t="s">
        <v>2090</v>
      </c>
      <c r="AI5" s="829" t="s">
        <v>2090</v>
      </c>
      <c r="AJ5" s="829" t="s">
        <v>2090</v>
      </c>
      <c r="AK5" s="829" t="s">
        <v>2090</v>
      </c>
      <c r="AL5" s="829" t="s">
        <v>2090</v>
      </c>
      <c r="AM5" s="829" t="s">
        <v>2090</v>
      </c>
      <c r="AN5" s="829" t="s">
        <v>2090</v>
      </c>
      <c r="AO5" s="829"/>
      <c r="AP5" s="829" t="s">
        <v>2090</v>
      </c>
      <c r="AQ5" s="829" t="s">
        <v>2090</v>
      </c>
      <c r="AR5" s="829" t="s">
        <v>2090</v>
      </c>
      <c r="AS5" s="829" t="s">
        <v>2090</v>
      </c>
      <c r="AT5" s="109"/>
      <c r="AU5" s="829" t="s">
        <v>2090</v>
      </c>
      <c r="AV5" s="829" t="s">
        <v>2090</v>
      </c>
      <c r="AW5" s="829" t="s">
        <v>2090</v>
      </c>
      <c r="AX5" s="829" t="s">
        <v>2090</v>
      </c>
      <c r="AY5" s="109"/>
      <c r="AZ5" s="829" t="s">
        <v>2090</v>
      </c>
      <c r="BA5" s="829" t="s">
        <v>2090</v>
      </c>
      <c r="BB5" s="829" t="s">
        <v>2090</v>
      </c>
      <c r="BC5" s="829" t="s">
        <v>2090</v>
      </c>
      <c r="BD5" s="829"/>
      <c r="BE5" s="829" t="s">
        <v>2090</v>
      </c>
      <c r="BF5" s="829" t="s">
        <v>2090</v>
      </c>
      <c r="BG5" s="829" t="s">
        <v>2090</v>
      </c>
      <c r="BH5" s="829" t="s">
        <v>2090</v>
      </c>
      <c r="BI5" s="829"/>
      <c r="BJ5" s="829" t="s">
        <v>2090</v>
      </c>
      <c r="BK5" s="829" t="s">
        <v>2090</v>
      </c>
      <c r="BL5" s="829" t="s">
        <v>2090</v>
      </c>
      <c r="BM5" s="829" t="s">
        <v>2090</v>
      </c>
      <c r="BN5" s="109"/>
      <c r="BO5" s="829" t="s">
        <v>2090</v>
      </c>
      <c r="BP5" s="829" t="s">
        <v>2090</v>
      </c>
      <c r="BQ5" s="829" t="s">
        <v>2090</v>
      </c>
      <c r="BR5" s="829" t="s">
        <v>2090</v>
      </c>
      <c r="BS5" s="829" t="s">
        <v>2090</v>
      </c>
      <c r="BT5" s="829" t="s">
        <v>2090</v>
      </c>
      <c r="BU5" s="829" t="s">
        <v>2090</v>
      </c>
      <c r="BV5" s="829" t="s">
        <v>2090</v>
      </c>
      <c r="BW5" s="829" t="s">
        <v>2090</v>
      </c>
      <c r="BX5" s="829" t="s">
        <v>2090</v>
      </c>
      <c r="BY5" s="829" t="s">
        <v>2090</v>
      </c>
      <c r="BZ5" s="829" t="s">
        <v>2090</v>
      </c>
      <c r="CA5" s="829" t="s">
        <v>2090</v>
      </c>
      <c r="CB5" s="829" t="s">
        <v>2090</v>
      </c>
      <c r="CC5" s="829" t="s">
        <v>2090</v>
      </c>
      <c r="CD5" s="829" t="s">
        <v>2090</v>
      </c>
      <c r="CE5" s="829" t="s">
        <v>2090</v>
      </c>
      <c r="CF5" s="829" t="s">
        <v>2090</v>
      </c>
      <c r="CG5" s="829" t="s">
        <v>2090</v>
      </c>
      <c r="CH5" s="829" t="s">
        <v>2090</v>
      </c>
      <c r="CI5" s="829" t="s">
        <v>2090</v>
      </c>
      <c r="CJ5" s="829" t="s">
        <v>2090</v>
      </c>
      <c r="CK5" s="829" t="s">
        <v>2090</v>
      </c>
      <c r="CL5" s="829" t="s">
        <v>2090</v>
      </c>
      <c r="CM5" s="829" t="s">
        <v>2090</v>
      </c>
      <c r="CN5" s="829" t="s">
        <v>2090</v>
      </c>
      <c r="CO5" s="829" t="s">
        <v>2090</v>
      </c>
      <c r="CP5" s="829" t="s">
        <v>2090</v>
      </c>
      <c r="CQ5" s="109"/>
      <c r="CR5" s="829" t="s">
        <v>2090</v>
      </c>
      <c r="CS5" s="829" t="s">
        <v>2090</v>
      </c>
      <c r="CT5" s="829" t="s">
        <v>2090</v>
      </c>
      <c r="CU5" s="829" t="s">
        <v>2090</v>
      </c>
      <c r="CV5" s="829" t="s">
        <v>2090</v>
      </c>
      <c r="CW5" s="829" t="s">
        <v>2090</v>
      </c>
      <c r="CX5" s="829" t="s">
        <v>2090</v>
      </c>
      <c r="CY5" s="829" t="s">
        <v>2090</v>
      </c>
      <c r="CZ5" s="829" t="s">
        <v>2090</v>
      </c>
      <c r="DA5" s="829" t="s">
        <v>2090</v>
      </c>
      <c r="DB5" s="829" t="s">
        <v>2090</v>
      </c>
      <c r="DC5" s="829" t="s">
        <v>2090</v>
      </c>
      <c r="DD5" s="829" t="s">
        <v>2090</v>
      </c>
      <c r="DE5" s="829" t="s">
        <v>2090</v>
      </c>
      <c r="DF5" s="829" t="s">
        <v>2090</v>
      </c>
      <c r="DG5" s="109"/>
      <c r="DH5" s="829" t="s">
        <v>2090</v>
      </c>
      <c r="DI5" s="829" t="s">
        <v>2090</v>
      </c>
      <c r="DJ5" s="829" t="s">
        <v>2090</v>
      </c>
      <c r="DK5" s="829" t="s">
        <v>2090</v>
      </c>
      <c r="DL5" s="420" t="s">
        <v>2090</v>
      </c>
      <c r="DM5" s="829" t="s">
        <v>2090</v>
      </c>
      <c r="DN5" s="829" t="s">
        <v>2090</v>
      </c>
      <c r="DO5" s="829" t="s">
        <v>2090</v>
      </c>
      <c r="DP5" s="829" t="s">
        <v>2090</v>
      </c>
      <c r="DQ5" s="829" t="s">
        <v>2090</v>
      </c>
      <c r="DR5" s="109"/>
      <c r="DS5" s="829" t="s">
        <v>2090</v>
      </c>
      <c r="DT5" s="829" t="s">
        <v>2090</v>
      </c>
      <c r="DU5" s="829" t="s">
        <v>2090</v>
      </c>
      <c r="DV5" s="829" t="s">
        <v>2090</v>
      </c>
      <c r="DW5" s="829" t="s">
        <v>2090</v>
      </c>
      <c r="DX5" s="829" t="s">
        <v>2090</v>
      </c>
      <c r="DY5" s="829" t="s">
        <v>2090</v>
      </c>
      <c r="DZ5" s="829" t="s">
        <v>2090</v>
      </c>
      <c r="EA5" s="109"/>
      <c r="EB5" s="829" t="s">
        <v>2090</v>
      </c>
      <c r="EC5" s="829" t="s">
        <v>2090</v>
      </c>
      <c r="ED5" s="829" t="s">
        <v>2090</v>
      </c>
      <c r="EE5" s="829" t="s">
        <v>2090</v>
      </c>
      <c r="EF5" s="829" t="s">
        <v>2090</v>
      </c>
      <c r="EG5" s="829" t="s">
        <v>2090</v>
      </c>
      <c r="EH5" s="829" t="s">
        <v>2090</v>
      </c>
      <c r="EI5" s="829" t="s">
        <v>2090</v>
      </c>
      <c r="EJ5" s="829" t="s">
        <v>2090</v>
      </c>
      <c r="EK5" s="829" t="s">
        <v>2090</v>
      </c>
      <c r="EL5" s="109"/>
      <c r="EM5" s="829" t="s">
        <v>2090</v>
      </c>
      <c r="EN5" s="829" t="s">
        <v>2090</v>
      </c>
      <c r="EO5" s="829" t="s">
        <v>2090</v>
      </c>
      <c r="EP5" s="829" t="s">
        <v>2090</v>
      </c>
      <c r="EQ5" s="829" t="s">
        <v>2090</v>
      </c>
      <c r="ER5" s="829" t="s">
        <v>2090</v>
      </c>
      <c r="ES5" s="829" t="s">
        <v>2090</v>
      </c>
      <c r="ET5" s="829" t="s">
        <v>2090</v>
      </c>
      <c r="EU5" s="109"/>
      <c r="EV5" s="165" t="s">
        <v>2090</v>
      </c>
      <c r="EW5" s="165" t="s">
        <v>2090</v>
      </c>
      <c r="EX5" s="165" t="s">
        <v>2090</v>
      </c>
      <c r="EY5" s="165" t="s">
        <v>2090</v>
      </c>
      <c r="EZ5" s="165" t="s">
        <v>2090</v>
      </c>
      <c r="FA5" s="165" t="s">
        <v>2090</v>
      </c>
      <c r="FB5" s="165" t="s">
        <v>2090</v>
      </c>
      <c r="FC5" s="165" t="s">
        <v>2090</v>
      </c>
      <c r="FD5" s="165" t="s">
        <v>2090</v>
      </c>
      <c r="FE5" s="165" t="s">
        <v>2090</v>
      </c>
      <c r="FF5" s="165" t="s">
        <v>2090</v>
      </c>
      <c r="FG5" s="165" t="s">
        <v>2090</v>
      </c>
      <c r="FH5" s="165" t="s">
        <v>2090</v>
      </c>
      <c r="FI5" s="165" t="s">
        <v>2090</v>
      </c>
      <c r="FJ5" s="165" t="s">
        <v>2090</v>
      </c>
      <c r="FK5" s="165" t="s">
        <v>2090</v>
      </c>
      <c r="FL5" s="210" t="s">
        <v>2090</v>
      </c>
      <c r="FM5" s="109"/>
      <c r="FN5" s="165" t="s">
        <v>2090</v>
      </c>
      <c r="FO5" s="165" t="s">
        <v>2090</v>
      </c>
      <c r="FP5" s="165" t="s">
        <v>2090</v>
      </c>
      <c r="FQ5" s="165" t="s">
        <v>2090</v>
      </c>
      <c r="FR5" s="109"/>
      <c r="FS5" s="165" t="s">
        <v>2090</v>
      </c>
      <c r="FT5" s="165" t="s">
        <v>2090</v>
      </c>
      <c r="FU5" s="202" t="s">
        <v>2090</v>
      </c>
      <c r="FV5" s="203" t="s">
        <v>2090</v>
      </c>
      <c r="FW5" s="165" t="s">
        <v>2090</v>
      </c>
      <c r="FX5" s="165" t="s">
        <v>2090</v>
      </c>
      <c r="FY5" s="109"/>
      <c r="FZ5" s="165" t="s">
        <v>2090</v>
      </c>
      <c r="GA5" s="165" t="s">
        <v>2090</v>
      </c>
      <c r="GB5" s="165" t="s">
        <v>2090</v>
      </c>
      <c r="GC5" s="165" t="s">
        <v>2090</v>
      </c>
      <c r="GD5" s="165" t="s">
        <v>2090</v>
      </c>
      <c r="GE5" s="165" t="s">
        <v>2090</v>
      </c>
      <c r="GF5" s="165" t="s">
        <v>2090</v>
      </c>
      <c r="GG5" s="109"/>
      <c r="GH5" s="165" t="s">
        <v>2090</v>
      </c>
      <c r="GI5" s="165" t="s">
        <v>2090</v>
      </c>
      <c r="GJ5" s="165" t="s">
        <v>2090</v>
      </c>
      <c r="GK5" s="165" t="s">
        <v>2090</v>
      </c>
      <c r="GL5" s="165" t="s">
        <v>2090</v>
      </c>
      <c r="GM5" s="165" t="s">
        <v>2090</v>
      </c>
      <c r="GN5" s="165" t="s">
        <v>2090</v>
      </c>
      <c r="GO5" s="165" t="s">
        <v>2090</v>
      </c>
      <c r="GP5" s="165" t="s">
        <v>2090</v>
      </c>
      <c r="GQ5" s="165" t="s">
        <v>2090</v>
      </c>
      <c r="GR5" s="165" t="s">
        <v>2090</v>
      </c>
      <c r="GS5" s="165" t="s">
        <v>2090</v>
      </c>
      <c r="GT5" s="165" t="s">
        <v>2090</v>
      </c>
      <c r="GU5" s="165" t="s">
        <v>2090</v>
      </c>
      <c r="GV5" s="165" t="s">
        <v>2090</v>
      </c>
      <c r="GW5" s="165" t="s">
        <v>2090</v>
      </c>
      <c r="GX5" s="165" t="s">
        <v>2090</v>
      </c>
      <c r="GY5" s="165" t="s">
        <v>2090</v>
      </c>
      <c r="GZ5" s="165" t="s">
        <v>2090</v>
      </c>
      <c r="HA5" s="165" t="s">
        <v>2090</v>
      </c>
      <c r="HB5" s="165" t="s">
        <v>2090</v>
      </c>
      <c r="HC5" s="165" t="s">
        <v>2090</v>
      </c>
      <c r="HD5" s="165" t="s">
        <v>2090</v>
      </c>
      <c r="HE5" s="165" t="s">
        <v>2090</v>
      </c>
      <c r="HF5" s="165" t="s">
        <v>2090</v>
      </c>
      <c r="HG5" s="165" t="s">
        <v>2090</v>
      </c>
      <c r="HH5" s="165" t="s">
        <v>2090</v>
      </c>
      <c r="HI5" s="165" t="s">
        <v>2090</v>
      </c>
      <c r="HJ5" s="165" t="s">
        <v>2090</v>
      </c>
      <c r="HK5" s="165" t="s">
        <v>2090</v>
      </c>
      <c r="HL5" s="165" t="s">
        <v>2090</v>
      </c>
      <c r="HM5" s="165" t="s">
        <v>2090</v>
      </c>
      <c r="HN5" s="165" t="s">
        <v>2090</v>
      </c>
      <c r="HO5" s="165" t="s">
        <v>2090</v>
      </c>
      <c r="HP5" s="165" t="s">
        <v>2090</v>
      </c>
      <c r="HQ5" s="165" t="s">
        <v>2090</v>
      </c>
      <c r="HR5" s="165" t="s">
        <v>2090</v>
      </c>
      <c r="HS5" s="165" t="s">
        <v>2090</v>
      </c>
      <c r="HT5" s="165" t="s">
        <v>2090</v>
      </c>
      <c r="HU5" s="165" t="s">
        <v>2090</v>
      </c>
      <c r="HV5" s="165" t="s">
        <v>2090</v>
      </c>
      <c r="HW5" s="165" t="s">
        <v>2090</v>
      </c>
      <c r="HY5" s="165" t="s">
        <v>2090</v>
      </c>
      <c r="HZ5" s="165" t="s">
        <v>2090</v>
      </c>
      <c r="IA5" s="165" t="s">
        <v>2090</v>
      </c>
      <c r="IB5" s="165" t="s">
        <v>2090</v>
      </c>
      <c r="IC5" s="165" t="s">
        <v>2090</v>
      </c>
      <c r="ID5" s="165" t="s">
        <v>2090</v>
      </c>
      <c r="IE5" s="165" t="s">
        <v>2090</v>
      </c>
      <c r="IF5" s="165" t="s">
        <v>2090</v>
      </c>
      <c r="IG5" s="165" t="s">
        <v>2090</v>
      </c>
      <c r="IH5" s="165" t="s">
        <v>2090</v>
      </c>
      <c r="II5" s="165" t="s">
        <v>2090</v>
      </c>
      <c r="IJ5" s="165" t="s">
        <v>2090</v>
      </c>
      <c r="IK5" s="165" t="s">
        <v>2090</v>
      </c>
      <c r="IL5" s="165" t="s">
        <v>2090</v>
      </c>
      <c r="IM5" s="165" t="s">
        <v>2090</v>
      </c>
      <c r="IN5" s="109"/>
      <c r="IO5" s="165" t="s">
        <v>2090</v>
      </c>
      <c r="IP5" s="165" t="s">
        <v>2090</v>
      </c>
      <c r="IQ5" s="165" t="s">
        <v>2090</v>
      </c>
      <c r="IR5" s="165" t="s">
        <v>2090</v>
      </c>
      <c r="IS5" s="165" t="s">
        <v>2090</v>
      </c>
      <c r="IT5" s="165" t="s">
        <v>2090</v>
      </c>
      <c r="IU5" s="165" t="s">
        <v>2090</v>
      </c>
      <c r="IV5" s="165" t="s">
        <v>2090</v>
      </c>
      <c r="IW5" s="165" t="s">
        <v>2090</v>
      </c>
      <c r="IX5" s="165" t="s">
        <v>2090</v>
      </c>
      <c r="IY5" s="165" t="s">
        <v>2090</v>
      </c>
      <c r="IZ5" s="165" t="s">
        <v>2090</v>
      </c>
      <c r="JA5" s="165" t="s">
        <v>2090</v>
      </c>
      <c r="JB5" s="165" t="s">
        <v>2090</v>
      </c>
      <c r="JC5" s="165" t="s">
        <v>2090</v>
      </c>
      <c r="JD5" s="165" t="s">
        <v>2090</v>
      </c>
      <c r="JE5" s="165" t="s">
        <v>2090</v>
      </c>
      <c r="JF5" s="165" t="s">
        <v>2090</v>
      </c>
      <c r="JG5" s="165" t="s">
        <v>2090</v>
      </c>
      <c r="JH5" s="165" t="s">
        <v>2090</v>
      </c>
      <c r="JI5" s="165" t="s">
        <v>2090</v>
      </c>
      <c r="JJ5" s="165" t="s">
        <v>2090</v>
      </c>
      <c r="JK5" s="165" t="s">
        <v>2090</v>
      </c>
      <c r="JL5" s="165" t="s">
        <v>2090</v>
      </c>
      <c r="JM5" s="165" t="s">
        <v>2090</v>
      </c>
      <c r="JN5" s="165" t="s">
        <v>2090</v>
      </c>
      <c r="JO5" s="165" t="s">
        <v>2090</v>
      </c>
      <c r="JP5" s="165" t="s">
        <v>2090</v>
      </c>
      <c r="JQ5" s="165" t="s">
        <v>2090</v>
      </c>
      <c r="JR5" s="165" t="s">
        <v>2090</v>
      </c>
      <c r="JS5" s="165" t="s">
        <v>2090</v>
      </c>
      <c r="JT5" s="165" t="s">
        <v>2090</v>
      </c>
      <c r="JU5" s="165" t="s">
        <v>2090</v>
      </c>
      <c r="JV5" s="165" t="s">
        <v>2090</v>
      </c>
      <c r="JW5" s="165" t="s">
        <v>2090</v>
      </c>
      <c r="JX5" s="165" t="s">
        <v>2090</v>
      </c>
      <c r="JY5" s="165" t="s">
        <v>2090</v>
      </c>
      <c r="JZ5" s="165" t="s">
        <v>2090</v>
      </c>
      <c r="KA5" s="165" t="s">
        <v>2090</v>
      </c>
      <c r="KB5" s="165" t="s">
        <v>2090</v>
      </c>
      <c r="KC5" s="109"/>
      <c r="KD5" s="165" t="s">
        <v>2090</v>
      </c>
      <c r="KE5" s="165" t="s">
        <v>2090</v>
      </c>
      <c r="KF5" s="165" t="s">
        <v>2090</v>
      </c>
      <c r="KG5" s="165" t="s">
        <v>2090</v>
      </c>
      <c r="KH5" s="165" t="s">
        <v>2090</v>
      </c>
      <c r="KI5" s="165" t="s">
        <v>2090</v>
      </c>
      <c r="KJ5" s="165" t="s">
        <v>2090</v>
      </c>
    </row>
    <row r="6" spans="1:327" ht="46.5" customHeight="1">
      <c r="A6" s="262"/>
      <c r="B6" s="263" t="str">
        <f>'ANALYSE - ERP =&gt; SOUS-SEGMENT'!B6</f>
        <v>TOTAL</v>
      </c>
      <c r="C6" s="264"/>
      <c r="D6" s="228" t="str">
        <f>'ANALYSE - ERP =&gt; SOUS-SEGMENT'!D6</f>
        <v>TOTAL France</v>
      </c>
      <c r="E6" s="333"/>
      <c r="F6" s="333"/>
      <c r="G6" s="333"/>
      <c r="H6" s="333"/>
      <c r="I6" s="334"/>
      <c r="J6" s="334"/>
      <c r="K6" s="335"/>
      <c r="L6" s="335"/>
      <c r="M6" s="335"/>
      <c r="N6" s="335"/>
      <c r="O6" s="333"/>
      <c r="P6" s="334"/>
      <c r="Q6" s="227" t="str">
        <f>'ANALYSE - ERP =&gt; SOUS-SEGMENT'!Q6</f>
        <v>Total additionne
lignes = 1</v>
      </c>
      <c r="R6" s="225">
        <f>'ANALYSE - ERP =&gt; SOUS-SEGMENT'!R6</f>
        <v>2459.1609002073583</v>
      </c>
      <c r="S6" s="223">
        <f>'ANALYSE - ERP =&gt; SOUS-SEGMENT'!S6</f>
        <v>565272</v>
      </c>
      <c r="T6" s="223">
        <f>'ANALYSE - ERP =&gt; SOUS-SEGMENT'!T6</f>
        <v>581449</v>
      </c>
      <c r="U6" s="223">
        <f>'ANALYSE - ERP =&gt; SOUS-SEGMENT'!U6</f>
        <v>597349</v>
      </c>
      <c r="V6" s="223">
        <f>'ANALYSE - ERP =&gt; SOUS-SEGMENT'!V6</f>
        <v>614886</v>
      </c>
      <c r="W6" s="223">
        <f>'ANALYSE - ERP =&gt; SOUS-SEGMENT'!W6</f>
        <v>617900</v>
      </c>
      <c r="X6" s="223">
        <f>'ANALYSE - ERP =&gt; SOUS-SEGMENT'!X6</f>
        <v>620576</v>
      </c>
      <c r="Y6" s="223">
        <f>'ANALYSE - ERP =&gt; SOUS-SEGMENT'!Y6</f>
        <v>624783</v>
      </c>
      <c r="Z6" s="223">
        <f>'ANALYSE - ERP =&gt; SOUS-SEGMENT'!Z6</f>
        <v>628795</v>
      </c>
      <c r="AA6" s="223">
        <f>'ANALYSE - ERP =&gt; SOUS-SEGMENT'!AA6</f>
        <v>620409</v>
      </c>
      <c r="AB6" s="223">
        <f>'ANALYSE - ERP =&gt; SOUS-SEGMENT'!AB6</f>
        <v>620075</v>
      </c>
      <c r="AC6" s="223">
        <f>'ANALYSE - ERP =&gt; SOUS-SEGMENT'!AC6</f>
        <v>626768</v>
      </c>
      <c r="AD6" s="223">
        <f>'ANALYSE - ERP =&gt; SOUS-SEGMENT'!AD6</f>
        <v>631586</v>
      </c>
      <c r="AE6" s="223">
        <f>'ANALYSE - ERP =&gt; SOUS-SEGMENT'!AE6</f>
        <v>636661</v>
      </c>
      <c r="AF6" s="223">
        <f>'ANALYSE - ERP =&gt; SOUS-SEGMENT'!AF6</f>
        <v>638960</v>
      </c>
      <c r="AG6" s="223">
        <f>'ANALYSE - ERP =&gt; SOUS-SEGMENT'!AG6</f>
        <v>640919</v>
      </c>
      <c r="AH6" s="223">
        <f>'ANALYSE - ERP =&gt; SOUS-SEGMENT'!AH6</f>
        <v>643045</v>
      </c>
      <c r="AI6" s="223">
        <f>'ANALYSE - ERP =&gt; SOUS-SEGMENT'!AI6</f>
        <v>644975</v>
      </c>
      <c r="AJ6" s="223">
        <f>'ANALYSE - ERP =&gt; SOUS-SEGMENT'!AJ6</f>
        <v>646524</v>
      </c>
      <c r="AK6" s="223">
        <f>'ANALYSE - ERP =&gt; SOUS-SEGMENT'!AK6</f>
        <v>647940</v>
      </c>
      <c r="AL6" s="336"/>
      <c r="AM6" s="337"/>
      <c r="AN6" s="337"/>
      <c r="AO6" s="110"/>
      <c r="AP6" s="225">
        <f>'ANALYSE - ERP =&gt; SOUS-SEGMENT'!AP6</f>
        <v>153.69949262291891</v>
      </c>
      <c r="AQ6" s="338">
        <f>'ANALYSE - ERP =&gt; SOUS-SEGMENT'!AQ6</f>
        <v>135.28077297849782</v>
      </c>
      <c r="AR6" s="338">
        <f>'ANALYSE - ERP =&gt; SOUS-SEGMENT'!AR6</f>
        <v>18.072975795542515</v>
      </c>
      <c r="AS6" s="338">
        <f>'ANALYSE - ERP =&gt; SOUS-SEGMENT'!AS6</f>
        <v>5.5036250256318962</v>
      </c>
      <c r="AT6" s="110"/>
      <c r="AU6" s="224" t="str">
        <f>'ANALYSE - ERP =&gt; SOUS-SEGMENT'!AU6</f>
        <v>Moyenne pondérée / total France</v>
      </c>
      <c r="AV6" s="224" t="str">
        <f>'ANALYSE - ERP =&gt; SOUS-SEGMENT'!AV6</f>
        <v>Synthèse pondérée France : sanitaires collectifs &gt;5 pers., hors individuels sauf EHPAD/USLD.</v>
      </c>
      <c r="AW6" s="337" t="str">
        <f>'ANALYSE - ERP =&gt; SOUS-SEGMENT'!AW6</f>
        <v>Méthode : partir d’1 minimum sanitaire réaliste, ajusté selon taille, fréquentat° probable, puis appliquer 1 moyenne pondérée terrain (éviter qu’1 cas extrême biaise le sous-segment). Enfin, correct° selon intensité d’usage : passage court, usage quotidien, activité salissante, sport, soins, etc.</v>
      </c>
      <c r="AX6" s="224" t="str">
        <f>'ANALYSE - ERP =&gt; SOUS-SEGMENT'!AX6</f>
        <v>Références réglementaires, guides sectoriels et hypothèses de programmation utilisés pour le programme sanitaire unitaire.</v>
      </c>
      <c r="AY6" s="110"/>
      <c r="AZ6" s="946">
        <f>'ANALYSE - ERP =&gt; SOUS-SEGMENT'!AZ6</f>
        <v>9.9092185808592923</v>
      </c>
      <c r="BA6" s="946">
        <f>'ANALYSE - ERP =&gt; SOUS-SEGMENT'!BA6</f>
        <v>2.7928842439743184</v>
      </c>
      <c r="BB6" s="946">
        <f>'ANALYSE - ERP =&gt; SOUS-SEGMENT'!BB6</f>
        <v>1.6893713072187366</v>
      </c>
      <c r="BC6" s="946">
        <f>'ANALYSE - ERP =&gt; SOUS-SEGMENT'!BC6</f>
        <v>8.077889966444074</v>
      </c>
      <c r="BD6" s="223">
        <f>'ANALYSE - ERP =&gt; SOUS-SEGMENT'!BD6</f>
        <v>14135454.484999999</v>
      </c>
      <c r="BE6" s="223">
        <f>'ANALYSE - ERP =&gt; SOUS-SEGMENT'!BE6</f>
        <v>6233879.5</v>
      </c>
      <c r="BF6" s="223">
        <f>'ANALYSE - ERP =&gt; SOUS-SEGMENT'!BF6</f>
        <v>1757000.6849999998</v>
      </c>
      <c r="BG6" s="223">
        <f>'ANALYSE - ERP =&gt; SOUS-SEGMENT'!BG6</f>
        <v>1062781.8</v>
      </c>
      <c r="BH6" s="223">
        <f>'ANALYSE - ERP =&gt; SOUS-SEGMENT'!BH6</f>
        <v>5081792.5</v>
      </c>
      <c r="BI6" s="223">
        <f>'ANALYSE - ERP =&gt; SOUS-SEGMENT'!BI6</f>
        <v>14272045.810000001</v>
      </c>
      <c r="BJ6" s="223">
        <f>'ANALYSE - ERP =&gt; SOUS-SEGMENT'!BJ6</f>
        <v>6286026</v>
      </c>
      <c r="BK6" s="223">
        <f>'ANALYSE - ERP =&gt; SOUS-SEGMENT'!BK6</f>
        <v>1785842.06</v>
      </c>
      <c r="BL6" s="223">
        <f>'ANALYSE - ERP =&gt; SOUS-SEGMENT'!BL6</f>
        <v>1076541.75</v>
      </c>
      <c r="BM6" s="223">
        <f>'ANALYSE - ERP =&gt; SOUS-SEGMENT'!BM6</f>
        <v>5123636</v>
      </c>
      <c r="BN6" s="110"/>
      <c r="BO6" s="259">
        <f>'ANALYSE - ERP =&gt; SOUS-SEGMENT'!BO6</f>
        <v>0.30746742377679909</v>
      </c>
      <c r="BP6" s="260">
        <f>'ANALYSE - ERP =&gt; SOUS-SEGMENT'!BP6</f>
        <v>0.52656645191810336</v>
      </c>
      <c r="BQ6" s="260">
        <f>'ANALYSE - ERP =&gt; SOUS-SEGMENT'!BQ6</f>
        <v>0.10216087429986413</v>
      </c>
      <c r="BR6" s="710">
        <f>'ANALYSE - ERP =&gt; SOUS-SEGMENT'!BR6</f>
        <v>6.380525000523353E-2</v>
      </c>
      <c r="BS6" s="260">
        <f>'ANALYSE - ERP =&gt; SOUS-SEGMENT'!BS6</f>
        <v>0.27640190320561836</v>
      </c>
      <c r="BT6" s="260">
        <f>'ANALYSE - ERP =&gt; SOUS-SEGMENT'!BT6</f>
        <v>0.5319423909477945</v>
      </c>
      <c r="BU6" s="260">
        <f>'ANALYSE - ERP =&gt; SOUS-SEGMENT'!BU6</f>
        <v>0.13403929446044288</v>
      </c>
      <c r="BV6" s="710">
        <f>'ANALYSE - ERP =&gt; SOUS-SEGMENT'!BV6</f>
        <v>5.7616411386144421E-2</v>
      </c>
      <c r="BW6" s="261">
        <f>'ANALYSE - ERP =&gt; SOUS-SEGMENT'!BW6</f>
        <v>0.41111159839986056</v>
      </c>
      <c r="BX6" s="261">
        <f>'ANALYSE - ERP =&gt; SOUS-SEGMENT'!BX6</f>
        <v>0.52369723065873486</v>
      </c>
      <c r="BY6" s="717">
        <f>'ANALYSE - ERP =&gt; SOUS-SEGMENT'!BY6</f>
        <v>6.51911709414046E-2</v>
      </c>
      <c r="BZ6" s="261">
        <f>'ANALYSE - ERP =&gt; SOUS-SEGMENT'!BZ6</f>
        <v>0.36880188609736297</v>
      </c>
      <c r="CA6" s="261">
        <f>'ANALYSE - ERP =&gt; SOUS-SEGMENT'!CA6</f>
        <v>0.54850934286988395</v>
      </c>
      <c r="CB6" s="717">
        <f>'ANALYSE - ERP =&gt; SOUS-SEGMENT'!CB6</f>
        <v>8.2688771032753031E-2</v>
      </c>
      <c r="CC6" s="260">
        <f>'ANALYSE - ERP =&gt; SOUS-SEGMENT'!CC6</f>
        <v>9.7009137717638749E-2</v>
      </c>
      <c r="CD6" s="260">
        <f>'ANALYSE - ERP =&gt; SOUS-SEGMENT'!CD6</f>
        <v>0.55065927832034756</v>
      </c>
      <c r="CE6" s="260">
        <f>'ANALYSE - ERP =&gt; SOUS-SEGMENT'!CE6</f>
        <v>0.1291863804969185</v>
      </c>
      <c r="CF6" s="710">
        <f>'ANALYSE - ERP =&gt; SOUS-SEGMENT'!CF6</f>
        <v>0.22314520346509509</v>
      </c>
      <c r="CG6" s="260">
        <f>'ANALYSE - ERP =&gt; SOUS-SEGMENT'!CG6</f>
        <v>7.8718722706295388E-2</v>
      </c>
      <c r="CH6" s="260">
        <f>'ANALYSE - ERP =&gt; SOUS-SEGMENT'!CH6</f>
        <v>0.54543406235754455</v>
      </c>
      <c r="CI6" s="260">
        <f>'ANALYSE - ERP =&gt; SOUS-SEGMENT'!CI6</f>
        <v>0.15522352012822532</v>
      </c>
      <c r="CJ6" s="710">
        <f>'ANALYSE - ERP =&gt; SOUS-SEGMENT'!CJ6</f>
        <v>0.22062369480793478</v>
      </c>
      <c r="CK6" s="231">
        <f>'ANALYSE - ERP =&gt; SOUS-SEGMENT'!CK6</f>
        <v>0.56753679238182209</v>
      </c>
      <c r="CL6" s="231">
        <f>'ANALYSE - ERP =&gt; SOUS-SEGMENT'!CL6</f>
        <v>0.33111744527152587</v>
      </c>
      <c r="CM6" s="718">
        <f>'ANALYSE - ERP =&gt; SOUS-SEGMENT'!CM6</f>
        <v>0.1013457623466523</v>
      </c>
      <c r="CN6" s="231">
        <f>'ANALYSE - ERP =&gt; SOUS-SEGMENT'!CN6</f>
        <v>0.488089050432154</v>
      </c>
      <c r="CO6" s="231">
        <f>'ANALYSE - ERP =&gt; SOUS-SEGMENT'!CO6</f>
        <v>0.36684788302681925</v>
      </c>
      <c r="CP6" s="718">
        <f>'ANALYSE - ERP =&gt; SOUS-SEGMENT'!CP6</f>
        <v>0.14506306654102674</v>
      </c>
      <c r="CQ6" s="110"/>
      <c r="CR6" s="857">
        <f>'ANALYSE - ERP =&gt; SOUS-SEGMENT'!CR6</f>
        <v>12.451217802634448</v>
      </c>
      <c r="CS6" s="858">
        <f>'ANALYSE - ERP =&gt; SOUS-SEGMENT'!CS6</f>
        <v>12.370575213587379</v>
      </c>
      <c r="CT6" s="858">
        <f>'ANALYSE - ERP =&gt; SOUS-SEGMENT'!CT6</f>
        <v>9.0777438994664639</v>
      </c>
      <c r="CU6" s="859">
        <f>'ANALYSE - ERP =&gt; SOUS-SEGMENT'!CU6</f>
        <v>10.919469652799139</v>
      </c>
      <c r="CV6" s="858">
        <f>'ANALYSE - ERP =&gt; SOUS-SEGMENT'!CV6</f>
        <v>11.159253328409998</v>
      </c>
      <c r="CW6" s="858">
        <f>'ANALYSE - ERP =&gt; SOUS-SEGMENT'!CW6</f>
        <v>9.6708083142757371</v>
      </c>
      <c r="CX6" s="858">
        <f>'ANALYSE - ERP =&gt; SOUS-SEGMENT'!CX6</f>
        <v>8.1136961125134786</v>
      </c>
      <c r="CY6" s="857">
        <f>'ANALYSE - ERP =&gt; SOUS-SEGMENT'!CY6</f>
        <v>10.234244289160539</v>
      </c>
      <c r="CZ6" s="858">
        <f>'ANALYSE - ERP =&gt; SOUS-SEGMENT'!CZ6</f>
        <v>12.081781451288995</v>
      </c>
      <c r="DA6" s="858">
        <f>'ANALYSE - ERP =&gt; SOUS-SEGMENT'!DA6</f>
        <v>8.4232915040089491</v>
      </c>
      <c r="DB6" s="859">
        <f>'ANALYSE - ERP =&gt; SOUS-SEGMENT'!DB6</f>
        <v>10.014847434638076</v>
      </c>
      <c r="DC6" s="857">
        <f>'ANALYSE - ERP =&gt; SOUS-SEGMENT'!DC6</f>
        <v>12.484874092848468</v>
      </c>
      <c r="DD6" s="858">
        <f>'ANALYSE - ERP =&gt; SOUS-SEGMENT'!DD6</f>
        <v>12.506452490416443</v>
      </c>
      <c r="DE6" s="859">
        <f>'ANALYSE - ERP =&gt; SOUS-SEGMENT'!DE6</f>
        <v>9.1471230783416146</v>
      </c>
      <c r="DF6" s="608" t="str">
        <f>'ANALYSE - ERP =&gt; SOUS-SEGMENT'!DF6</f>
        <v>La durée de vie réelle dépend surtout de l’usage, de la maintenance, du vandalisme et du mode de rénovation, plus que de la durée théorique fabricant. Plus courte dans les sites à fort trafic ou à fortes contraintes d’hygiène, plus longue dans les environnements plus calmes. Les équipements mécaniques robustes tiennent souvent bien dans les usages intensifs, tandis que les solutions électroniques peuvent être renouvelées plus tôt pour raisons de capteurs, batteries, électrovannes ou modernisation. Part importante des remplacements se fait par lots ou lors de rénovations, pas seulement à la panne.</v>
      </c>
      <c r="DG6" s="110"/>
      <c r="DH6" s="223">
        <f>'ANALYSE - ERP =&gt; SOUS-SEGMENT'!DH6</f>
        <v>1916714.8700000003</v>
      </c>
      <c r="DI6" s="223">
        <f>'ANALYSE - ERP =&gt; SOUS-SEGMENT'!DI6</f>
        <v>3282551.81</v>
      </c>
      <c r="DJ6" s="223">
        <f>'ANALYSE - ERP =&gt; SOUS-SEGMENT'!DJ6</f>
        <v>636858.57999999984</v>
      </c>
      <c r="DK6" s="223">
        <f>'ANALYSE - ERP =&gt; SOUS-SEGMENT'!DK6</f>
        <v>397754.24000000017</v>
      </c>
      <c r="DL6" s="339" t="str">
        <f>'ANALYSE - ERP =&gt; SOUS-SEGMENT'!DL6</f>
        <v>La temporisation mécanique reste structurante dans les parcs intensifs ; la bascule 2025→2030 se fait surtout au profit de l'électronique sur les rénovations lourdes et les bâtiments tertiaires/publics.</v>
      </c>
      <c r="DM6" s="223">
        <f>'ANALYSE - ERP =&gt; SOUS-SEGMENT'!DM6</f>
        <v>1737469.5500000003</v>
      </c>
      <c r="DN6" s="223">
        <f>'ANALYSE - ERP =&gt; SOUS-SEGMENT'!DN6</f>
        <v>3343803.7000000007</v>
      </c>
      <c r="DO6" s="223">
        <f>'ANALYSE - ERP =&gt; SOUS-SEGMENT'!DO6</f>
        <v>842574.48999999987</v>
      </c>
      <c r="DP6" s="223">
        <f>'ANALYSE - ERP =&gt; SOUS-SEGMENT'!DP6</f>
        <v>362178.25999999989</v>
      </c>
      <c r="DQ6" s="340" t="str">
        <f>'ANALYSE - ERP =&gt; SOUS-SEGMENT'!DQ6</f>
        <v>Dominant, le mitigeur recule, à chaque rénovation prévue et en neuf. Le tempo méca. résiste bien (vs. électro=&gt; budget, installat°, entretien), mais électronique remplace en grande majorité le mitigeur (à nuancer en fonction du type d'ERP).</v>
      </c>
      <c r="DR6" s="110"/>
      <c r="DS6" s="223">
        <f>'ANALYSE - ERP =&gt; SOUS-SEGMENT'!DS6</f>
        <v>722323.35999999987</v>
      </c>
      <c r="DT6" s="223">
        <f>'ANALYSE - ERP =&gt; SOUS-SEGMENT'!DT6</f>
        <v>920136.39300000004</v>
      </c>
      <c r="DU6" s="223">
        <f>'ANALYSE - ERP =&gt; SOUS-SEGMENT'!DU6</f>
        <v>114540.93199999997</v>
      </c>
      <c r="DV6" s="340" t="str">
        <f>'ANALYSE - ERP =&gt; SOUS-SEGMENT'!DV6</f>
        <v xml:space="preserve">Parc dominé par le tempo. mécanique et distance en nombre les mitigeurs. Electronique 5 à 6 fois moins représenté (que mécanique) =&gt; usage plus long, détection moins fiable que lavabo, moins de confort thermique potentiel. </v>
      </c>
      <c r="DW6" s="223">
        <f>'ANALYSE - ERP =&gt; SOUS-SEGMENT'!DW6</f>
        <v>658621.92000000004</v>
      </c>
      <c r="DX6" s="223">
        <f>'ANALYSE - ERP =&gt; SOUS-SEGMENT'!DX6</f>
        <v>979551.05479999981</v>
      </c>
      <c r="DY6" s="223">
        <f>'ANALYSE - ERP =&gt; SOUS-SEGMENT'!DY6</f>
        <v>147669.0852</v>
      </c>
      <c r="DZ6" s="340" t="str">
        <f>'ANALYSE - ERP =&gt; SOUS-SEGMENT'!DZ6</f>
        <v>Hausse 'électronique plus graduelle (qu'en lavabo) et variable selon ERP (exemple : plus forte sur tertiaire, commerce, que sur univers carcéral).</v>
      </c>
      <c r="EA6" s="110"/>
      <c r="EB6" s="223">
        <f>'ANALYSE - ERP =&gt; SOUS-SEGMENT'!EB6</f>
        <v>103099.546</v>
      </c>
      <c r="EC6" s="223">
        <f>'ANALYSE - ERP =&gt; SOUS-SEGMENT'!EC6</f>
        <v>585230.65899999999</v>
      </c>
      <c r="ED6" s="223">
        <f>'ANALYSE - ERP =&gt; SOUS-SEGMENT'!ED6</f>
        <v>137296.93399999995</v>
      </c>
      <c r="EE6" s="223">
        <f>'ANALYSE - ERP =&gt; SOUS-SEGMENT'!EE6</f>
        <v>237154.66099999999</v>
      </c>
      <c r="EF6" s="340" t="str">
        <f>'ANALYSE - ERP =&gt; SOUS-SEGMENT'!EF6</f>
        <v>Parc dominé par tempo méca : robustesse, simplicité, adaptation aux usages intensifs. Electronique progresse mais reste minoritaire, freinée par contraintes maintenance/coût.</v>
      </c>
      <c r="EG6" s="223">
        <f>'ANALYSE - ERP =&gt; SOUS-SEGMENT'!EG6</f>
        <v>84743.991499999975</v>
      </c>
      <c r="EH6" s="223">
        <f>'ANALYSE - ERP =&gt; SOUS-SEGMENT'!EH6</f>
        <v>587182.54000000015</v>
      </c>
      <c r="EI6" s="223">
        <f>'ANALYSE - ERP =&gt; SOUS-SEGMENT'!EI6</f>
        <v>167104.59999999992</v>
      </c>
      <c r="EJ6" s="223">
        <f>'ANALYSE - ERP =&gt; SOUS-SEGMENT'!EJ6</f>
        <v>237510.61850000004</v>
      </c>
      <c r="EK6" s="340" t="str">
        <f>'ANALYSE - ERP =&gt; SOUS-SEGMENT'!EK6</f>
        <v>Part temporisé électro. augmente légèrement =&gt; enjeux hygiène sans contact + maîtrise de conso. eau. Mécanique recule légèrement mais reste majoritaire =&gt; fiabilité en usage intensif.</v>
      </c>
      <c r="EL6" s="110"/>
      <c r="EM6" s="223">
        <f>'ANALYSE - ERP =&gt; SOUS-SEGMENT'!EM6</f>
        <v>2884104.2150000008</v>
      </c>
      <c r="EN6" s="223">
        <f>'ANALYSE - ERP =&gt; SOUS-SEGMENT'!EN6</f>
        <v>1682670.1500000006</v>
      </c>
      <c r="EO6" s="223">
        <f>'ANALYSE - ERP =&gt; SOUS-SEGMENT'!EO6</f>
        <v>515018.13500000007</v>
      </c>
      <c r="EP6" s="340" t="str">
        <f>'ANALYSE - ERP =&gt; SOUS-SEGMENT'!EP6</f>
        <v>Parc WC repose surtout sur systèmes gravitaires, mécaniques, robustes, économiques, faciles à maintenir. Electronique secondaire mais présent dans lieux premium ou à forte exigence sanitaire.</v>
      </c>
      <c r="EQ6" s="223">
        <f>'ANALYSE - ERP =&gt; SOUS-SEGMENT'!EQ6</f>
        <v>2500790.63</v>
      </c>
      <c r="ER6" s="223">
        <f>'ANALYSE - ERP =&gt; SOUS-SEGMENT'!ER6</f>
        <v>1879595.02</v>
      </c>
      <c r="ES6" s="223">
        <f>'ANALYSE - ERP =&gt; SOUS-SEGMENT'!ES6</f>
        <v>743250.35000000009</v>
      </c>
      <c r="ET6" s="340" t="str">
        <f>'ANALYSE - ERP =&gt; SOUS-SEGMENT'!ET6</f>
        <v>Electronique gagne du terrain, surtout sur ERP récents-rénovés =&gt; exigences hygiène + automatisation =&gt; Progression faible : solutions méca conservent avantage coût/fiabilité.</v>
      </c>
      <c r="EU6" s="110"/>
      <c r="EV6" s="744">
        <f>'ANALYSE - ERP =&gt; SOUS-SEGMENT'!EV6</f>
        <v>0.79649155300432295</v>
      </c>
      <c r="EW6" s="744">
        <f>'ANALYSE - ERP =&gt; SOUS-SEGMENT'!EW6</f>
        <v>0.20350844699567697</v>
      </c>
      <c r="EX6" s="221">
        <f>'ANALYSE - ERP =&gt; SOUS-SEGMENT'!EX6</f>
        <v>5836549.8949145898</v>
      </c>
      <c r="EY6" s="221">
        <f>'ANALYSE - ERP =&gt; SOUS-SEGMENT'!EY6</f>
        <v>4648762.6899877395</v>
      </c>
      <c r="EZ6" s="221">
        <f>'ANALYSE - ERP =&gt; SOUS-SEGMENT'!EZ6</f>
        <v>1187787.2049268498</v>
      </c>
      <c r="FA6" s="222">
        <f>'ANALYSE - ERP =&gt; SOUS-SEGMENT'!FA6</f>
        <v>2513612.9974398063</v>
      </c>
      <c r="FB6" s="222">
        <f>'ANALYSE - ERP =&gt; SOUS-SEGMENT'!FB6</f>
        <v>1999994.0847848034</v>
      </c>
      <c r="FC6" s="222">
        <f>'ANALYSE - ERP =&gt; SOUS-SEGMENT'!FC6</f>
        <v>513618.91265499982</v>
      </c>
      <c r="FD6" s="222">
        <f>'ANALYSE - ERP =&gt; SOUS-SEGMENT'!FD6</f>
        <v>864298.25191215402</v>
      </c>
      <c r="FE6" s="222">
        <f>'ANALYSE - ERP =&gt; SOUS-SEGMENT'!FE6</f>
        <v>699040.64594030427</v>
      </c>
      <c r="FF6" s="222">
        <f>'ANALYSE - ERP =&gt; SOUS-SEGMENT'!FF6</f>
        <v>165257.60597184999</v>
      </c>
      <c r="FG6" s="222">
        <f>'ANALYSE - ERP =&gt; SOUS-SEGMENT'!FG6</f>
        <v>452474.41720089992</v>
      </c>
      <c r="FH6" s="222">
        <f>'ANALYSE - ERP =&gt; SOUS-SEGMENT'!FH6</f>
        <v>361251.34048089996</v>
      </c>
      <c r="FI6" s="222">
        <f>'ANALYSE - ERP =&gt; SOUS-SEGMENT'!FI6</f>
        <v>91223.076720000026</v>
      </c>
      <c r="FJ6" s="222">
        <f>'ANALYSE - ERP =&gt; SOUS-SEGMENT'!FJ6</f>
        <v>2006164.2283617323</v>
      </c>
      <c r="FK6" s="222">
        <f>'ANALYSE - ERP =&gt; SOUS-SEGMENT'!FK6</f>
        <v>1588476.6187817315</v>
      </c>
      <c r="FL6" s="222">
        <f>'ANALYSE - ERP =&gt; SOUS-SEGMENT'!FL6</f>
        <v>417687.60957999981</v>
      </c>
      <c r="FM6" s="110"/>
      <c r="FN6" s="341" t="str">
        <f>'ANALYSE - ERP =&gt; SOUS-SEGMENT'!FN6</f>
        <v>Agrégat Pondéré</v>
      </c>
      <c r="FO6" s="770">
        <f>'ANALYSE - ERP =&gt; SOUS-SEGMENT'!FO6</f>
        <v>6.0675716333995135E-2</v>
      </c>
      <c r="FP6" s="746">
        <f>'ANALYSE - ERP =&gt; SOUS-SEGMENT'!FP6</f>
        <v>0.82880686500852829</v>
      </c>
      <c r="FQ6" s="342" t="str">
        <f>'ANALYSE - ERP =&gt; SOUS-SEGMENT'!FQ6</f>
        <v>Taux moyen pondéré France de matérialisation des travaux sur 2026-2030.</v>
      </c>
      <c r="FR6" s="110"/>
      <c r="FS6" s="220">
        <f>'ANALYSE - ERP =&gt; SOUS-SEGMENT'!FS6</f>
        <v>3.19</v>
      </c>
      <c r="FT6" s="220" t="str">
        <f>'ANALYSE - ERP =&gt; SOUS-SEGMENT'!FT6</f>
        <v>-</v>
      </c>
      <c r="FU6" s="220">
        <f>'ANALYSE - ERP =&gt; SOUS-SEGMENT'!FU6</f>
        <v>3.97</v>
      </c>
      <c r="FV6" s="220" t="str">
        <f>'ANALYSE - ERP =&gt; SOUS-SEGMENT'!FV6</f>
        <v>-</v>
      </c>
      <c r="FW6" s="220">
        <f>'ANALYSE - ERP =&gt; SOUS-SEGMENT'!FW6</f>
        <v>2.2400000000000002</v>
      </c>
      <c r="FX6" s="220" t="str">
        <f>'ANALYSE - ERP =&gt; SOUS-SEGMENT'!FX6</f>
        <v>-</v>
      </c>
      <c r="FY6" s="110"/>
      <c r="FZ6" s="343" t="str">
        <f>'ANALYSE - ERP =&gt; SOUS-SEGMENT'!FZ6</f>
        <v>La rénovation domine et reste plus résiliente que le neuf, dépendant moins de créations nettes d’établissements que de cycles de remplacement incompressibles, de remises à niveau d’hygiène/usage et de travaux diffus sur un parc installé très vaste et largement assujetti à des cycles de remplacement / mise à niveau. Sous-segments phares =&gt; Restaurants, EHPAD, Bureaux &gt;50 pers., Écoles primaires, Gymnases, Salles multisports et Mairies.</v>
      </c>
      <c r="GA6" s="343" t="str">
        <f>'ANALYSE - ERP =&gt; SOUS-SEGMENT'!GA6</f>
        <v>Neuf plus sélectif, dépendant des cycles économiques, porté par créations d’établissements + programmes publics-privés (santé, sport, France services, industrie, carcéral, aéroports). Rythme plus volatil, concentré sur  projets structurants. Sous-segments phares en neuf =&gt; Bureaux, EHPAD, Hôtels, Enseignement supérieur, Santé, Equipements sportifs.</v>
      </c>
      <c r="GB6" s="343" t="str">
        <f>'ANALYSE - ERP =&gt; SOUS-SEGMENT'!GB6</f>
        <v>Fonds vert / EduRénov ; Modernisation Hôpitaux (Ségur phase 2), Plan CNSA (réhab. EHPAD ; Normes accessibilité (Ad’AP)), Réno 5000 équipements sportifs (JO héritage) ; Loi de Programmation Militaire ; Transformation tertiaire ESG, France services.</v>
      </c>
      <c r="GC6" s="343" t="str">
        <f>'ANALYSE - ERP =&gt; SOUS-SEGMENT'!GC6</f>
        <v>Prison : plan 15 000 places, Grands projets touristiques (resorts, parcs), Nouveaux hôpitaux + CHU (reconstructions), Cliniques privées + Pôles santé, Maisons de santé pluriprofessionnelles, Campus universitaires, Learning centers, Nouveaux terminaux aéroport, Logistique, entrepôts.</v>
      </c>
      <c r="GD6" s="343" t="str">
        <f>'ANALYSE - ERP =&gt; SOUS-SEGMENT'!GD6</f>
        <v>Soutenue par décret Éco Énergie Tertiaire (EET) + Age avancé du parc + Logiques d’interventions par lots (sanitaires dans projets + larges : énergie, accessibilité, mise normes). Socle Investissements publics stable + Obligations réglementaires progressives =&gt; Marché résilient, diffus, peu dépendant de cycles économiques courts</v>
      </c>
      <c r="GE6" s="343" t="str">
        <f>'ANALYSE - ERP =&gt; SOUS-SEGMENT'!GE6</f>
        <v>Dynamique positive, concentrée sur filières motrices (santé, enseignement sup, segments tertiaires). Forte dépendance : arbitrage budget public, décision invest. privé. Sensible =&gt; cycles éco, condit° financement, délais réalisat°. Ecart fréquent intentions vs. livraisons réelles =&gt; croissance + volatile - homogène, ciblée géographiquement</v>
      </c>
      <c r="GF6" s="343" t="str">
        <f>'ANALYSE - ERP =&gt; SOUS-SEGMENT'!GF6</f>
        <v>https://www.ecologie.gouv.fr/eco-energie-tertiaire-eet
https://www.info.gouv.fr/actualite/segur-de-la-sante-de-nouveaux-investissements-pour-l-hopital
https://www.cnsa.fr/budget-et-financement/financement-des-esms/investissement-immobilier
https://www.agencedusport.fr/plan-5000-equipements-generation-2024
https://www.france-services.gouv.fr/actualites/labellisation-nouvelles-maisons-france-services
https://www.justice.gouv.fr/plan-15-000-places-prison
https://www.defense.gouv.fr/ministere/politique-defense/loi-programmation-militaire-2024-2030
https://www.economie.gouv.fr/cedef/reindustrialisation-informations
https://presse.groupeadp.fr/proposition-cre2027-2034/
https://www.garesetconnexions.sncf/fr/qui-sommes-nous/notre-modele-economique</v>
      </c>
      <c r="GG6" s="110"/>
      <c r="GH6" s="238">
        <f>'ANALYSE - ERP =&gt; SOUS-SEGMENT'!GH6</f>
        <v>736675.37830756139</v>
      </c>
      <c r="GI6" s="239">
        <f>'ANALYSE - ERP =&gt; SOUS-SEGMENT'!GI6</f>
        <v>601284.93776946131</v>
      </c>
      <c r="GJ6" s="240">
        <f>'ANALYSE - ERP =&gt; SOUS-SEGMENT'!GJ6</f>
        <v>135390.44053810008</v>
      </c>
      <c r="GK6" s="238">
        <f>'ANALYSE - ERP =&gt; SOUS-SEGMENT'!GK6</f>
        <v>1258583.3989138186</v>
      </c>
      <c r="GL6" s="239">
        <f>'ANALYSE - ERP =&gt; SOUS-SEGMENT'!GL6</f>
        <v>979983.18430351908</v>
      </c>
      <c r="GM6" s="240">
        <f>'ANALYSE - ERP =&gt; SOUS-SEGMENT'!GM6</f>
        <v>278600.21461029985</v>
      </c>
      <c r="GN6" s="238">
        <f>'ANALYSE - ERP =&gt; SOUS-SEGMENT'!GN6</f>
        <v>343723.06334932707</v>
      </c>
      <c r="GO6" s="239">
        <f>'ANALYSE - ERP =&gt; SOUS-SEGMENT'!GO6</f>
        <v>274441.60734337725</v>
      </c>
      <c r="GP6" s="240">
        <f>'ANALYSE - ERP =&gt; SOUS-SEGMENT'!GP6</f>
        <v>69281.456005949993</v>
      </c>
      <c r="GQ6" s="238">
        <f>'ANALYSE - ERP =&gt; SOUS-SEGMENT'!GQ6</f>
        <v>174631.15686909587</v>
      </c>
      <c r="GR6" s="239">
        <f>'ANALYSE - ERP =&gt; SOUS-SEGMENT'!GR6</f>
        <v>144284.35536844574</v>
      </c>
      <c r="GS6" s="240">
        <f>'ANALYSE - ERP =&gt; SOUS-SEGMENT'!GS6</f>
        <v>30346.801500650006</v>
      </c>
      <c r="GT6" s="238">
        <f>'ANALYSE - ERP =&gt; SOUS-SEGMENT'!GT6</f>
        <v>329836.42809343088</v>
      </c>
      <c r="GU6" s="239">
        <f>'ANALYSE - ERP =&gt; SOUS-SEGMENT'!GU6</f>
        <v>270338.98409920098</v>
      </c>
      <c r="GV6" s="240">
        <f>'ANALYSE - ERP =&gt; SOUS-SEGMENT'!GV6</f>
        <v>59497.443994229994</v>
      </c>
      <c r="GW6" s="238">
        <f>'ANALYSE - ERP =&gt; SOUS-SEGMENT'!GW6</f>
        <v>467570.1993545423</v>
      </c>
      <c r="GX6" s="239">
        <f>'ANALYSE - ERP =&gt; SOUS-SEGMENT'!GX6</f>
        <v>375885.61720979685</v>
      </c>
      <c r="GY6" s="240">
        <f>'ANALYSE - ERP =&gt; SOUS-SEGMENT'!GY6</f>
        <v>91684.582144745553</v>
      </c>
      <c r="GZ6" s="238">
        <f>'ANALYSE - ERP =&gt; SOUS-SEGMENT'!GZ6</f>
        <v>66891.624464180321</v>
      </c>
      <c r="HA6" s="239">
        <f>'ANALYSE - ERP =&gt; SOUS-SEGMENT'!HA6</f>
        <v>52816.044631305806</v>
      </c>
      <c r="HB6" s="240">
        <f>'ANALYSE - ERP =&gt; SOUS-SEGMENT'!HB6</f>
        <v>14075.579832874497</v>
      </c>
      <c r="HC6" s="238">
        <f>'ANALYSE - ERP =&gt; SOUS-SEGMENT'!HC6</f>
        <v>43855.951099783786</v>
      </c>
      <c r="HD6" s="239">
        <f>'ANALYSE - ERP =&gt; SOUS-SEGMENT'!HD6</f>
        <v>36893.866108633752</v>
      </c>
      <c r="HE6" s="240">
        <f>'ANALYSE - ERP =&gt; SOUS-SEGMENT'!HE6</f>
        <v>6962.0849911500027</v>
      </c>
      <c r="HF6" s="238">
        <f>'ANALYSE - ERP =&gt; SOUS-SEGMENT'!HF6</f>
        <v>227003.45890675817</v>
      </c>
      <c r="HG6" s="239">
        <f>'ANALYSE - ERP =&gt; SOUS-SEGMENT'!HG6</f>
        <v>177280.22818180828</v>
      </c>
      <c r="HH6" s="240">
        <f>'ANALYSE - ERP =&gt; SOUS-SEGMENT'!HH6</f>
        <v>49723.230724950015</v>
      </c>
      <c r="HI6" s="238">
        <f>'ANALYSE - ERP =&gt; SOUS-SEGMENT'!HI6</f>
        <v>75635.799907889392</v>
      </c>
      <c r="HJ6" s="239">
        <f>'ANALYSE - ERP =&gt; SOUS-SEGMENT'!HJ6</f>
        <v>61045.788573189435</v>
      </c>
      <c r="HK6" s="240">
        <f>'ANALYSE - ERP =&gt; SOUS-SEGMENT'!HK6</f>
        <v>14590.011334700004</v>
      </c>
      <c r="HL6" s="238">
        <f>'ANALYSE - ERP =&gt; SOUS-SEGMENT'!HL6</f>
        <v>105979.2072864685</v>
      </c>
      <c r="HM6" s="239">
        <f>'ANALYSE - ERP =&gt; SOUS-SEGMENT'!HM6</f>
        <v>86031.457617268403</v>
      </c>
      <c r="HN6" s="240">
        <f>'ANALYSE - ERP =&gt; SOUS-SEGMENT'!HN6</f>
        <v>19947.749669199991</v>
      </c>
      <c r="HO6" s="238">
        <f>'ANALYSE - ERP =&gt; SOUS-SEGMENT'!HO6</f>
        <v>1059170.0962470609</v>
      </c>
      <c r="HP6" s="239">
        <f>'ANALYSE - ERP =&gt; SOUS-SEGMENT'!HP6</f>
        <v>862102.47176606103</v>
      </c>
      <c r="HQ6" s="240">
        <f>'ANALYSE - ERP =&gt; SOUS-SEGMENT'!HQ6</f>
        <v>197067.62448100006</v>
      </c>
      <c r="HR6" s="238">
        <f>'ANALYSE - ERP =&gt; SOUS-SEGMENT'!HR6</f>
        <v>659801.71360220888</v>
      </c>
      <c r="HS6" s="239">
        <f>'ANALYSE - ERP =&gt; SOUS-SEGMENT'!HS6</f>
        <v>501608.44325060886</v>
      </c>
      <c r="HT6" s="240">
        <f>'ANALYSE - ERP =&gt; SOUS-SEGMENT'!HT6</f>
        <v>158193.27035160005</v>
      </c>
      <c r="HU6" s="238">
        <f>'ANALYSE - ERP =&gt; SOUS-SEGMENT'!HU6</f>
        <v>287192.41851246147</v>
      </c>
      <c r="HV6" s="239">
        <f>'ANALYSE - ERP =&gt; SOUS-SEGMENT'!HV6</f>
        <v>224765.70376506151</v>
      </c>
      <c r="HW6" s="240">
        <f>'ANALYSE - ERP =&gt; SOUS-SEGMENT'!HW6</f>
        <v>62426.714747399987</v>
      </c>
      <c r="HY6" s="344">
        <f>'ANALYSE - ERP =&gt; SOUS-SEGMENT'!HY6</f>
        <v>14135454.484999999</v>
      </c>
      <c r="HZ6" s="344">
        <f>'ANALYSE - ERP =&gt; SOUS-SEGMENT'!HZ6</f>
        <v>865403.90359</v>
      </c>
      <c r="IA6" s="344">
        <f>'ANALYSE - ERP =&gt; SOUS-SEGMENT'!IA6</f>
        <v>5140157.6081814999</v>
      </c>
      <c r="IB6" s="344">
        <f>'ANALYSE - ERP =&gt; SOUS-SEGMENT'!IB6</f>
        <v>5839913.0291600004</v>
      </c>
      <c r="IC6" s="344">
        <f>'ANALYSE - ERP =&gt; SOUS-SEGMENT'!IC6</f>
        <v>2040655.4347815001</v>
      </c>
      <c r="ID6" s="344">
        <f>'ANALYSE - ERP =&gt; SOUS-SEGMENT'!ID6</f>
        <v>249324.50928699999</v>
      </c>
      <c r="IE6" s="344">
        <f>'ANALYSE - ERP =&gt; SOUS-SEGMENT'!IE6</f>
        <v>4648762.6899877386</v>
      </c>
      <c r="IF6" s="344">
        <f>'ANALYSE - ERP =&gt; SOUS-SEGMENT'!IF6</f>
        <v>121263.16660173074</v>
      </c>
      <c r="IG6" s="344">
        <f>'ANALYSE - ERP =&gt; SOUS-SEGMENT'!IG6</f>
        <v>1193269.1669501376</v>
      </c>
      <c r="IH6" s="344">
        <f>'ANALYSE - ERP =&gt; SOUS-SEGMENT'!IH6</f>
        <v>2112628.7012426388</v>
      </c>
      <c r="II6" s="344">
        <f>'ANALYSE - ERP =&gt; SOUS-SEGMENT'!II6</f>
        <v>1043623.5379500901</v>
      </c>
      <c r="IJ6" s="344">
        <f>'ANALYSE - ERP =&gt; SOUS-SEGMENT'!IJ6</f>
        <v>177978.11724314198</v>
      </c>
      <c r="IK6" s="345">
        <f>'ANALYSE - ERP =&gt; SOUS-SEGMENT'!IK6</f>
        <v>3.86</v>
      </c>
      <c r="IL6" s="345" t="str">
        <f>'ANALYSE - ERP =&gt; SOUS-SEGMENT'!IL6</f>
        <v>Bonne</v>
      </c>
      <c r="IM6" s="347"/>
      <c r="IN6" s="110"/>
      <c r="IO6" s="747">
        <f>'ANALYSE - ERP =&gt; SOUS-SEGMENT'!IO6</f>
        <v>5.0700000000000002E-2</v>
      </c>
      <c r="IP6" s="748">
        <f>'ANALYSE - ERP =&gt; SOUS-SEGMENT'!IP6</f>
        <v>0.34889999999999999</v>
      </c>
      <c r="IQ6" s="748">
        <f>'ANALYSE - ERP =&gt; SOUS-SEGMENT'!IQ6</f>
        <v>0.43190000000000001</v>
      </c>
      <c r="IR6" s="748">
        <f>'ANALYSE - ERP =&gt; SOUS-SEGMENT'!IR6</f>
        <v>0.1497</v>
      </c>
      <c r="IS6" s="749">
        <f>'ANALYSE - ERP =&gt; SOUS-SEGMENT'!IS6</f>
        <v>1.8800000000000001E-2</v>
      </c>
      <c r="IT6" s="750">
        <f>'ANALYSE - ERP =&gt; SOUS-SEGMENT'!IT6</f>
        <v>0.02</v>
      </c>
      <c r="IU6" s="750">
        <f>'ANALYSE - ERP =&gt; SOUS-SEGMENT'!IU6</f>
        <v>0.2326</v>
      </c>
      <c r="IV6" s="750">
        <f>'ANALYSE - ERP =&gt; SOUS-SEGMENT'!IV6</f>
        <v>0.46829999999999999</v>
      </c>
      <c r="IW6" s="750">
        <f>'ANALYSE - ERP =&gt; SOUS-SEGMENT'!IW6</f>
        <v>0.23760000000000001</v>
      </c>
      <c r="IX6" s="750">
        <f>'ANALYSE - ERP =&gt; SOUS-SEGMENT'!IX6</f>
        <v>4.1500000000000002E-2</v>
      </c>
      <c r="IY6" s="751">
        <f>'ANALYSE - ERP =&gt; SOUS-SEGMENT'!IY6</f>
        <v>7.1999999999999995E-2</v>
      </c>
      <c r="IZ6" s="750">
        <f>'ANALYSE - ERP =&gt; SOUS-SEGMENT'!IZ6</f>
        <v>0.35189999999999999</v>
      </c>
      <c r="JA6" s="750">
        <f>'ANALYSE - ERP =&gt; SOUS-SEGMENT'!JA6</f>
        <v>0.38400000000000001</v>
      </c>
      <c r="JB6" s="750">
        <f>'ANALYSE - ERP =&gt; SOUS-SEGMENT'!JB6</f>
        <v>0.16789999999999999</v>
      </c>
      <c r="JC6" s="752">
        <f>'ANALYSE - ERP =&gt; SOUS-SEGMENT'!JC6</f>
        <v>2.4199999999999999E-2</v>
      </c>
      <c r="JD6" s="750">
        <f>'ANALYSE - ERP =&gt; SOUS-SEGMENT'!JD6</f>
        <v>3.5499999999999997E-2</v>
      </c>
      <c r="JE6" s="750">
        <f>'ANALYSE - ERP =&gt; SOUS-SEGMENT'!JE6</f>
        <v>0.2767</v>
      </c>
      <c r="JF6" s="750">
        <f>'ANALYSE - ERP =&gt; SOUS-SEGMENT'!JF6</f>
        <v>0.40949999999999998</v>
      </c>
      <c r="JG6" s="750">
        <f>'ANALYSE - ERP =&gt; SOUS-SEGMENT'!JG6</f>
        <v>0.23169999999999999</v>
      </c>
      <c r="JH6" s="750">
        <f>'ANALYSE - ERP =&gt; SOUS-SEGMENT'!JH6</f>
        <v>4.6600000000000003E-2</v>
      </c>
      <c r="JI6" s="751">
        <f>'ANALYSE - ERP =&gt; SOUS-SEGMENT'!JI6</f>
        <v>0.1234</v>
      </c>
      <c r="JJ6" s="750">
        <f>'ANALYSE - ERP =&gt; SOUS-SEGMENT'!JJ6</f>
        <v>0.47060000000000002</v>
      </c>
      <c r="JK6" s="750">
        <f>'ANALYSE - ERP =&gt; SOUS-SEGMENT'!JK6</f>
        <v>0.31990000000000002</v>
      </c>
      <c r="JL6" s="750">
        <f>'ANALYSE - ERP =&gt; SOUS-SEGMENT'!JL6</f>
        <v>7.5899999999999995E-2</v>
      </c>
      <c r="JM6" s="752">
        <f>'ANALYSE - ERP =&gt; SOUS-SEGMENT'!JM6</f>
        <v>1.0200000000000001E-2</v>
      </c>
      <c r="JN6" s="750">
        <f>'ANALYSE - ERP =&gt; SOUS-SEGMENT'!JN6</f>
        <v>5.6000000000000001E-2</v>
      </c>
      <c r="JO6" s="750">
        <f>'ANALYSE - ERP =&gt; SOUS-SEGMENT'!JO6</f>
        <v>0.37409999999999999</v>
      </c>
      <c r="JP6" s="750">
        <f>'ANALYSE - ERP =&gt; SOUS-SEGMENT'!JP6</f>
        <v>0.41660000000000003</v>
      </c>
      <c r="JQ6" s="750">
        <f>'ANALYSE - ERP =&gt; SOUS-SEGMENT'!JQ6</f>
        <v>0.13270000000000001</v>
      </c>
      <c r="JR6" s="750">
        <f>'ANALYSE - ERP =&gt; SOUS-SEGMENT'!JR6</f>
        <v>2.06E-2</v>
      </c>
      <c r="JS6" s="751">
        <f>'ANALYSE - ERP =&gt; SOUS-SEGMENT'!JS6</f>
        <v>5.74E-2</v>
      </c>
      <c r="JT6" s="750">
        <f>'ANALYSE - ERP =&gt; SOUS-SEGMENT'!JT6</f>
        <v>0.3634</v>
      </c>
      <c r="JU6" s="750">
        <f>'ANALYSE - ERP =&gt; SOUS-SEGMENT'!JU6</f>
        <v>0.41970000000000002</v>
      </c>
      <c r="JV6" s="750">
        <f>'ANALYSE - ERP =&gt; SOUS-SEGMENT'!JV6</f>
        <v>0.14399999999999999</v>
      </c>
      <c r="JW6" s="752">
        <f>'ANALYSE - ERP =&gt; SOUS-SEGMENT'!JW6</f>
        <v>1.55E-2</v>
      </c>
      <c r="JX6" s="751">
        <f>'ANALYSE - ERP =&gt; SOUS-SEGMENT'!JX6</f>
        <v>2.2800000000000001E-2</v>
      </c>
      <c r="JY6" s="750">
        <f>'ANALYSE - ERP =&gt; SOUS-SEGMENT'!JY6</f>
        <v>0.2515</v>
      </c>
      <c r="JZ6" s="750">
        <f>'ANALYSE - ERP =&gt; SOUS-SEGMENT'!JZ6</f>
        <v>0.46539999999999998</v>
      </c>
      <c r="KA6" s="750">
        <f>'ANALYSE - ERP =&gt; SOUS-SEGMENT'!KA6</f>
        <v>0.22570000000000001</v>
      </c>
      <c r="KB6" s="753">
        <f>'ANALYSE - ERP =&gt; SOUS-SEGMENT'!KB6</f>
        <v>3.4599999999999999E-2</v>
      </c>
      <c r="KC6" s="110"/>
      <c r="KD6" s="345" t="str">
        <f>'ANALYSE - ERP =&gt; SOUS-SEGMENT'!KD6</f>
        <v>±4 pts</v>
      </c>
      <c r="KE6" s="348" t="str">
        <f>'ANALYSE - ERP =&gt; SOUS-SEGMENT'!KE6</f>
        <v>±5 pts</v>
      </c>
      <c r="KF6" s="345">
        <f>'ANALYSE - ERP =&gt; SOUS-SEGMENT'!KF6</f>
        <v>4.1500000000000004</v>
      </c>
      <c r="KG6" s="346" t="str">
        <f>'ANALYSE - ERP =&gt; SOUS-SEGMENT'!KG6</f>
        <v>Bonne</v>
      </c>
      <c r="KH6" s="349" t="str">
        <f>'ANALYSE - ERP =&gt; SOUS-SEGMENT'!KH6</f>
        <v>Agrégation volume × mix par sous-segment ; les gros gisements (bureaux, écoles, santé, sport, hôtels, transports) pèsent davantage dans le total que les niches.</v>
      </c>
      <c r="KI6" s="350" t="str">
        <f>'ANALYSE - ERP =&gt; SOUS-SEGMENT'!KI6</f>
        <v>Total France pondéré par volumes 2025 et ventes 2026-2030 ; forte fréquentation tire le standard, image/privé tire premium, contrainte sanitaire renforce surtout le milieu de gamme technique.</v>
      </c>
      <c r="KJ6" s="349" t="str">
        <f>'ANALYSE - ERP =&gt; SOUS-SEGMENT'!KJ6</f>
        <v>Agrégation volume × ventes 2026-2030 ; le neuf et les rénovations lourdes tirent le mix vers l’moyen/premium, mais la rénovation majoritaire garde un centre de gravité basique/moyen.</v>
      </c>
    </row>
    <row r="7" spans="1:327" s="43" customFormat="1" ht="12.75" customHeight="1">
      <c r="A7" s="329"/>
      <c r="B7" s="329"/>
      <c r="C7" s="329"/>
      <c r="D7" s="330"/>
      <c r="E7" s="331"/>
      <c r="F7" s="331"/>
      <c r="G7" s="329"/>
      <c r="H7" s="329"/>
      <c r="I7" s="328"/>
      <c r="J7" s="328"/>
      <c r="K7" s="332"/>
      <c r="L7" s="332"/>
      <c r="M7" s="328"/>
      <c r="N7" s="332"/>
      <c r="O7" s="331"/>
      <c r="P7" s="328"/>
      <c r="Q7" s="108" t="s">
        <v>2595</v>
      </c>
      <c r="R7" s="325"/>
      <c r="S7" s="837" t="s">
        <v>2596</v>
      </c>
      <c r="T7" s="326">
        <f>(T6/S6)^(1/(T4-S4))-1</f>
        <v>5.6591996441257564E-3</v>
      </c>
      <c r="U7" s="326">
        <f>(U6/T6)^(1/(U4-T4))-1</f>
        <v>5.4102364156785043E-3</v>
      </c>
      <c r="V7" s="326">
        <f>(V6/U6)^(1/(V4-U4))-1</f>
        <v>5.8038479548478961E-3</v>
      </c>
      <c r="W7" s="326">
        <f t="shared" ref="W7:AK7" si="0">W6/V6-1</f>
        <v>4.9017216199425118E-3</v>
      </c>
      <c r="X7" s="326">
        <f t="shared" si="0"/>
        <v>4.3307978637319167E-3</v>
      </c>
      <c r="Y7" s="326">
        <f t="shared" si="0"/>
        <v>6.7791857886867479E-3</v>
      </c>
      <c r="Z7" s="326">
        <f t="shared" si="0"/>
        <v>6.4214295203295357E-3</v>
      </c>
      <c r="AA7" s="326">
        <f t="shared" si="0"/>
        <v>-1.3336620043098324E-2</v>
      </c>
      <c r="AB7" s="326">
        <f t="shared" si="0"/>
        <v>-5.3835453708761527E-4</v>
      </c>
      <c r="AC7" s="326">
        <f t="shared" si="0"/>
        <v>1.0793855581985978E-2</v>
      </c>
      <c r="AD7" s="326">
        <f t="shared" si="0"/>
        <v>7.6870548592142818E-3</v>
      </c>
      <c r="AE7" s="326">
        <f t="shared" si="0"/>
        <v>8.0353269388491189E-3</v>
      </c>
      <c r="AF7" s="326">
        <f t="shared" si="0"/>
        <v>3.6110269044280496E-3</v>
      </c>
      <c r="AG7" s="326">
        <f t="shared" si="0"/>
        <v>3.0659196193814076E-3</v>
      </c>
      <c r="AH7" s="326">
        <f t="shared" si="0"/>
        <v>3.3171118347248285E-3</v>
      </c>
      <c r="AI7" s="326">
        <f t="shared" si="0"/>
        <v>3.0013451624690823E-3</v>
      </c>
      <c r="AJ7" s="326">
        <f t="shared" si="0"/>
        <v>2.4016434745532944E-3</v>
      </c>
      <c r="AK7" s="326">
        <f t="shared" si="0"/>
        <v>2.1901739146574783E-3</v>
      </c>
      <c r="AL7" s="323"/>
      <c r="AM7" s="323"/>
      <c r="AN7" s="323"/>
      <c r="AO7" s="111"/>
      <c r="AP7" s="323"/>
      <c r="AQ7" s="323"/>
      <c r="AR7" s="323"/>
      <c r="AS7" s="323"/>
      <c r="AT7" s="111"/>
      <c r="AU7" s="323"/>
      <c r="AV7" s="323"/>
      <c r="AW7" s="323"/>
      <c r="AX7" s="323"/>
      <c r="AY7" s="111"/>
      <c r="AZ7" s="323"/>
      <c r="BA7" s="323"/>
      <c r="BB7" s="323"/>
      <c r="BE7" s="323"/>
      <c r="BF7" s="323"/>
      <c r="BG7" s="323"/>
      <c r="BH7" s="837" t="s">
        <v>2596</v>
      </c>
      <c r="BI7" s="705">
        <f>(BI6/BD6)^(1/(2030-2025))-1</f>
        <v>1.9251791462295831E-3</v>
      </c>
      <c r="BJ7" s="705">
        <f>(BJ6/BE6)^(1/(2030-2025))-1</f>
        <v>1.6674331968427047E-3</v>
      </c>
      <c r="BK7" s="326">
        <f>(BK6/BF6)^(1/(2030-2025))-1</f>
        <v>3.2616771745495043E-3</v>
      </c>
      <c r="BL7" s="326">
        <f>(BL6/BG6)^(1/(2030-2025))-1</f>
        <v>2.5761144919038692E-3</v>
      </c>
      <c r="BM7" s="326">
        <f>(BM6/BH6)^(1/(2030-2025))-1</f>
        <v>1.6414035459468845E-3</v>
      </c>
      <c r="BN7" s="111"/>
      <c r="BO7" s="49"/>
      <c r="BP7" s="49"/>
      <c r="BQ7" s="49"/>
      <c r="BR7" s="49"/>
      <c r="BS7" s="49"/>
      <c r="BT7" s="49"/>
      <c r="BU7" s="49"/>
      <c r="BV7" s="49"/>
      <c r="BW7" s="49"/>
      <c r="BX7" s="49"/>
      <c r="BY7" s="49"/>
      <c r="BZ7" s="49"/>
      <c r="CA7" s="49"/>
      <c r="CB7" s="49"/>
      <c r="CC7" s="49"/>
      <c r="CD7" s="49"/>
      <c r="CE7" s="49"/>
      <c r="CF7" s="49"/>
      <c r="CG7" s="49"/>
      <c r="CH7" s="49"/>
      <c r="CI7" s="49"/>
      <c r="CJ7" s="49"/>
      <c r="CK7" s="49"/>
      <c r="CL7" s="49"/>
      <c r="CM7" s="49"/>
      <c r="CN7" s="49"/>
      <c r="CO7" s="49"/>
      <c r="CP7" s="49"/>
      <c r="CQ7" s="111"/>
      <c r="CR7" s="49"/>
      <c r="CS7" s="49"/>
      <c r="CT7" s="49"/>
      <c r="CU7" s="49"/>
      <c r="CV7" s="49"/>
      <c r="CW7" s="49"/>
      <c r="CX7" s="49"/>
      <c r="CY7" s="49"/>
      <c r="CZ7" s="49"/>
      <c r="DA7" s="49"/>
      <c r="DB7" s="49"/>
      <c r="DC7" s="49"/>
      <c r="DD7" s="49"/>
      <c r="DE7" s="49"/>
      <c r="DF7" s="681"/>
      <c r="DG7" s="111"/>
      <c r="DH7" s="754">
        <f>DH6/SUM(DH6:DK6)</f>
        <v>0.30746742377679903</v>
      </c>
      <c r="DI7" s="754">
        <f>DI6/SUM(DH6:DK6)</f>
        <v>0.52656645191810325</v>
      </c>
      <c r="DJ7" s="754">
        <f>DJ6/SUM(DH6:DK6)</f>
        <v>0.10216087429986412</v>
      </c>
      <c r="DK7" s="754">
        <f>DK6/SUM(DH6:DK6)</f>
        <v>6.3805250005233516E-2</v>
      </c>
      <c r="DL7" s="755" t="s">
        <v>2597</v>
      </c>
      <c r="DM7" s="754">
        <f>DM6/SUM(DM6:DP6)</f>
        <v>0.2764019032056183</v>
      </c>
      <c r="DN7" s="754">
        <f>DN6/SUM(DM6:DP6)</f>
        <v>0.53194239094779439</v>
      </c>
      <c r="DO7" s="754">
        <f>DO6/SUM(DM6:DP6)</f>
        <v>0.13403929446044285</v>
      </c>
      <c r="DP7" s="754">
        <f>DP6/SUM(DM6:DP6)</f>
        <v>5.7616411386144414E-2</v>
      </c>
      <c r="DQ7" s="229"/>
      <c r="DR7" s="111"/>
      <c r="DS7" s="754">
        <f>DS6/SUM(DS6:DU6)</f>
        <v>0.4111115983998605</v>
      </c>
      <c r="DT7" s="754">
        <f>DT6/SUM(DS6:DU6)</f>
        <v>0.52369723065873475</v>
      </c>
      <c r="DU7" s="754">
        <f>DU6/SUM(DS6:DU6)</f>
        <v>6.51911709414046E-2</v>
      </c>
      <c r="DV7" s="755" t="s">
        <v>2597</v>
      </c>
      <c r="DW7" s="754">
        <f>DW6/SUM(DW6:DY6)</f>
        <v>0.36880188609736297</v>
      </c>
      <c r="DX7" s="754">
        <f>DX6/SUM(DW6:DY6)</f>
        <v>0.54850934286988395</v>
      </c>
      <c r="DY7" s="754">
        <f>DY6/SUM(DW6:DY6)</f>
        <v>8.2688771032753031E-2</v>
      </c>
      <c r="DZ7" s="229"/>
      <c r="EA7" s="111"/>
      <c r="EB7" s="754">
        <f>EB6/SUM(EB6:EE6)</f>
        <v>9.7009137717638749E-2</v>
      </c>
      <c r="EC7" s="754">
        <f>EC6/SUM(EB6:EE6)</f>
        <v>0.55065927832034756</v>
      </c>
      <c r="ED7" s="754">
        <f>ED6/SUM(EB6:EE6)</f>
        <v>0.1291863804969185</v>
      </c>
      <c r="EE7" s="754">
        <f>EE6/SUM(EB6:EE6)</f>
        <v>0.22314520346509509</v>
      </c>
      <c r="EF7" s="755" t="s">
        <v>2597</v>
      </c>
      <c r="EG7" s="754">
        <f>EG6/SUM(EG6:EJ6)</f>
        <v>7.8718722706295374E-2</v>
      </c>
      <c r="EH7" s="754">
        <f>EH6/SUM(EG6:EJ6)</f>
        <v>0.54543406235754444</v>
      </c>
      <c r="EI7" s="754">
        <f>EI6/SUM(EG6:EJ6)</f>
        <v>0.1552235201282253</v>
      </c>
      <c r="EJ7" s="754">
        <f>EJ6/SUM(EG6:EJ6)</f>
        <v>0.22062369480793476</v>
      </c>
      <c r="EK7" s="229"/>
      <c r="EL7" s="111"/>
      <c r="EM7" s="754">
        <f>EM6/SUM(EL6:EO6)</f>
        <v>0.56753679238182198</v>
      </c>
      <c r="EN7" s="754">
        <f>EN6/SUM(EL6:EO6)</f>
        <v>0.33111744527152581</v>
      </c>
      <c r="EO7" s="754">
        <f>EO6/SUM(EL6:EO6)</f>
        <v>0.10134576234665228</v>
      </c>
      <c r="EP7" s="755" t="s">
        <v>2597</v>
      </c>
      <c r="EQ7" s="754">
        <f>EQ6/SUM(EQ6:ES6)</f>
        <v>0.488089050432154</v>
      </c>
      <c r="ER7" s="754">
        <f>ER6/SUM(EQ6:ES6)</f>
        <v>0.36684788302681925</v>
      </c>
      <c r="ES7" s="754">
        <f>ES6/SUM(EQ6:ES6)</f>
        <v>0.14506306654102674</v>
      </c>
      <c r="ET7" s="229"/>
      <c r="EU7" s="111"/>
      <c r="EV7" s="756"/>
      <c r="EW7" s="756"/>
      <c r="EX7" s="757" t="s">
        <v>2598</v>
      </c>
      <c r="EY7" s="758">
        <f>EY6/EX6</f>
        <v>0.79649155300432295</v>
      </c>
      <c r="EZ7" s="759">
        <f>EZ6/EX6</f>
        <v>0.20350844699567697</v>
      </c>
      <c r="FA7" s="230"/>
      <c r="FB7" s="758">
        <f>FB6/FA6</f>
        <v>0.79566507923927032</v>
      </c>
      <c r="FC7" s="759">
        <f>FC6/FA6</f>
        <v>0.2043349207607284</v>
      </c>
      <c r="FD7" s="230"/>
      <c r="FE7" s="758">
        <f>FE6/FD6</f>
        <v>0.80879562627109614</v>
      </c>
      <c r="FF7" s="759">
        <f>FF6/FD6</f>
        <v>0.19120437372890409</v>
      </c>
      <c r="FG7" s="230"/>
      <c r="FH7" s="758">
        <f>FH6/FG6</f>
        <v>0.79839064209569077</v>
      </c>
      <c r="FI7" s="759">
        <f>FI6/FG6</f>
        <v>0.20160935790430937</v>
      </c>
      <c r="FJ7" s="230"/>
      <c r="FK7" s="758">
        <f>FK6/FJ6</f>
        <v>0.7917978978614868</v>
      </c>
      <c r="FL7" s="760">
        <f>FL6/FJ6</f>
        <v>0.20820210213851265</v>
      </c>
      <c r="FM7" s="111"/>
      <c r="FN7" s="761"/>
      <c r="FO7" s="761"/>
      <c r="FP7" s="761"/>
      <c r="FQ7" s="761"/>
      <c r="FR7" s="111"/>
      <c r="FS7" s="166"/>
      <c r="FT7" s="166"/>
      <c r="FU7" s="166"/>
      <c r="FV7" s="166"/>
      <c r="FW7" s="166"/>
      <c r="FX7" s="166"/>
      <c r="FY7" s="111"/>
      <c r="FZ7" s="166"/>
      <c r="GA7" s="166"/>
      <c r="GB7" s="166"/>
      <c r="GC7" s="166"/>
      <c r="GD7" s="166"/>
      <c r="GE7" s="166"/>
      <c r="GF7" s="166"/>
      <c r="GG7" s="166"/>
      <c r="GH7" s="757" t="s">
        <v>2598</v>
      </c>
      <c r="GI7" s="758">
        <f>GI6/GH6</f>
        <v>0.81621424507339146</v>
      </c>
      <c r="GJ7" s="759">
        <f>GJ6/GH6</f>
        <v>0.18378575492660851</v>
      </c>
      <c r="GK7" s="166"/>
      <c r="GL7" s="758">
        <f>GL6/GK6</f>
        <v>0.7786398463139298</v>
      </c>
      <c r="GM7" s="759">
        <f>GM6/GK6</f>
        <v>0.22136015368607048</v>
      </c>
      <c r="GN7" s="166"/>
      <c r="GO7" s="758">
        <f>GO6/GN6</f>
        <v>0.79843815154312525</v>
      </c>
      <c r="GP7" s="759">
        <f>GP6/GN6</f>
        <v>0.20156184845687525</v>
      </c>
      <c r="GQ7" s="166"/>
      <c r="GR7" s="758">
        <f>GR6/GQ6</f>
        <v>0.82622344119613089</v>
      </c>
      <c r="GS7" s="759">
        <f>GS6/GQ6</f>
        <v>0.17377655880386841</v>
      </c>
      <c r="GT7" s="166"/>
      <c r="GU7" s="758">
        <f>GU6/GT6</f>
        <v>0.8196153034455721</v>
      </c>
      <c r="GV7" s="759">
        <f>GV6/GT6</f>
        <v>0.18038469655442815</v>
      </c>
      <c r="GW7" s="166"/>
      <c r="GX7" s="758">
        <f>GX6/GW6</f>
        <v>0.80391269103268015</v>
      </c>
      <c r="GY7" s="759">
        <f>GY6/GW6</f>
        <v>0.19608730896732002</v>
      </c>
      <c r="GZ7" s="166"/>
      <c r="HA7" s="758">
        <f>HA6/GZ6</f>
        <v>0.78957634912257479</v>
      </c>
      <c r="HB7" s="759">
        <f>HB6/GZ6</f>
        <v>0.21042365087742493</v>
      </c>
      <c r="HC7" s="166"/>
      <c r="HD7" s="758">
        <f>HD6/HC6</f>
        <v>0.84125107729827897</v>
      </c>
      <c r="HE7" s="759">
        <f>HE6/HC6</f>
        <v>0.15874892270172034</v>
      </c>
      <c r="HF7" s="166"/>
      <c r="HG7" s="758">
        <f>HG6/HF6</f>
        <v>0.7809582683699382</v>
      </c>
      <c r="HH7" s="759">
        <f>HH6/HF6</f>
        <v>0.21904173163006238</v>
      </c>
      <c r="HI7" s="166"/>
      <c r="HJ7" s="758">
        <f>HJ6/HI6</f>
        <v>0.80710177782917703</v>
      </c>
      <c r="HK7" s="759">
        <f>HK6/HI6</f>
        <v>0.19289822217082356</v>
      </c>
      <c r="HL7" s="166"/>
      <c r="HM7" s="758">
        <f>HM6/HL6</f>
        <v>0.81177676093311335</v>
      </c>
      <c r="HN7" s="759">
        <f>HN6/HL6</f>
        <v>0.18822323906688565</v>
      </c>
      <c r="HO7" s="166"/>
      <c r="HP7" s="758">
        <f>HP6/HO6</f>
        <v>0.81394147627537239</v>
      </c>
      <c r="HQ7" s="759">
        <f>HQ6/HO6</f>
        <v>0.18605852372462778</v>
      </c>
      <c r="HR7" s="166"/>
      <c r="HS7" s="758">
        <f>HS6/HR6</f>
        <v>0.7602411950585295</v>
      </c>
      <c r="HT7" s="759">
        <f>HT6/HR6</f>
        <v>0.23975880494147059</v>
      </c>
      <c r="HU7" s="166"/>
      <c r="HV7" s="758">
        <f>HV6/HU6</f>
        <v>0.78263104899932712</v>
      </c>
      <c r="HW7" s="759">
        <f>HW6/HU6</f>
        <v>0.21736895100067291</v>
      </c>
      <c r="HX7" s="250"/>
      <c r="HY7" s="757" t="s">
        <v>2598</v>
      </c>
      <c r="HZ7" s="762">
        <f>HZ6/HY6</f>
        <v>6.1222219951140119E-2</v>
      </c>
      <c r="IA7" s="763">
        <f>IA6/HY6</f>
        <v>0.36363582180085102</v>
      </c>
      <c r="IB7" s="764">
        <f>IB6/HY6</f>
        <v>0.41313938899927777</v>
      </c>
      <c r="IC7" s="765">
        <f>IC6/HY6</f>
        <v>0.14436433133062437</v>
      </c>
      <c r="ID7" s="766">
        <f>ID6/HY6</f>
        <v>1.7638237918106814E-2</v>
      </c>
      <c r="IE7" s="757"/>
      <c r="IF7" s="762">
        <f>IF6/IE6</f>
        <v>2.6085041265475003E-2</v>
      </c>
      <c r="IG7" s="763">
        <f>IG6/IE6</f>
        <v>0.25668532608045108</v>
      </c>
      <c r="IH7" s="764">
        <f>IH6/IE6</f>
        <v>0.45444967664034724</v>
      </c>
      <c r="II7" s="765">
        <f>II6/IE6</f>
        <v>0.22449490489109969</v>
      </c>
      <c r="IJ7" s="766">
        <f>IJ6/IE6</f>
        <v>3.8285051122627083E-2</v>
      </c>
      <c r="IK7" s="247"/>
      <c r="IL7" s="246"/>
      <c r="IM7" s="168"/>
      <c r="IN7" s="111"/>
      <c r="IO7" s="767"/>
      <c r="IP7" s="768"/>
      <c r="IQ7" s="768"/>
      <c r="IR7" s="768"/>
      <c r="IS7" s="769" t="s">
        <v>2599</v>
      </c>
      <c r="IT7" s="860">
        <f>(IT6-IO6)*100</f>
        <v>-3.0700000000000003</v>
      </c>
      <c r="IU7" s="861">
        <f>(IU6-IP6)*100</f>
        <v>-11.629999999999999</v>
      </c>
      <c r="IV7" s="862">
        <f>(IV6-IQ6)*100</f>
        <v>3.6399999999999988</v>
      </c>
      <c r="IW7" s="863">
        <f>(IW6-IR6)*100</f>
        <v>8.7900000000000009</v>
      </c>
      <c r="IX7" s="864">
        <f>(IX6-IS6)*100</f>
        <v>2.27</v>
      </c>
      <c r="IY7" s="767"/>
      <c r="IZ7" s="768"/>
      <c r="JA7" s="768"/>
      <c r="JB7" s="768"/>
      <c r="JC7" s="769" t="s">
        <v>2599</v>
      </c>
      <c r="JD7" s="860">
        <f>(JD6-IY6)*100</f>
        <v>-3.65</v>
      </c>
      <c r="JE7" s="861">
        <f>(JE6-IZ6)*100</f>
        <v>-7.5199999999999987</v>
      </c>
      <c r="JF7" s="862">
        <f>(JF6-JA6)*100</f>
        <v>2.5499999999999967</v>
      </c>
      <c r="JG7" s="863">
        <f>(JG6-JB6)*100</f>
        <v>6.38</v>
      </c>
      <c r="JH7" s="864">
        <f>(JH6-JC6)*100</f>
        <v>2.2400000000000002</v>
      </c>
      <c r="JI7" s="767"/>
      <c r="JJ7" s="768"/>
      <c r="JK7" s="768"/>
      <c r="JL7" s="768"/>
      <c r="JM7" s="769" t="s">
        <v>2599</v>
      </c>
      <c r="JN7" s="860">
        <f>(JN6-JI6)*100</f>
        <v>-6.7399999999999984</v>
      </c>
      <c r="JO7" s="861">
        <f>(JO6-JJ6)*100</f>
        <v>-9.6500000000000021</v>
      </c>
      <c r="JP7" s="862">
        <f>(JP6-JK6)*100</f>
        <v>9.6700000000000017</v>
      </c>
      <c r="JQ7" s="863">
        <f>(JQ6-JL6)*100</f>
        <v>5.6800000000000015</v>
      </c>
      <c r="JR7" s="864">
        <f>(JR6-JM6)*100</f>
        <v>1.04</v>
      </c>
      <c r="JS7" s="767"/>
      <c r="JT7" s="768"/>
      <c r="JU7" s="768"/>
      <c r="JV7" s="768"/>
      <c r="JW7" s="769" t="s">
        <v>2599</v>
      </c>
      <c r="JX7" s="860">
        <f>(JX6-JS6)*100</f>
        <v>-3.46</v>
      </c>
      <c r="JY7" s="861">
        <f>(JY6-JT6)*100</f>
        <v>-11.19</v>
      </c>
      <c r="JZ7" s="862">
        <f>(JZ6-JU6)*100</f>
        <v>4.5699999999999967</v>
      </c>
      <c r="KA7" s="863">
        <f>(KA6-JV6)*100</f>
        <v>8.1700000000000017</v>
      </c>
      <c r="KB7" s="864">
        <f>(KB6-JW6)*100</f>
        <v>1.91</v>
      </c>
      <c r="KC7" s="111"/>
      <c r="KD7" s="245"/>
      <c r="KE7" s="245"/>
      <c r="KF7" s="247"/>
      <c r="KG7" s="246"/>
      <c r="KH7" s="249"/>
      <c r="KI7" s="247"/>
      <c r="KJ7" s="249"/>
      <c r="KK7" s="802"/>
      <c r="KL7" s="802"/>
      <c r="KM7" s="802"/>
      <c r="KN7" s="802"/>
      <c r="KO7" s="802"/>
      <c r="KP7" s="802"/>
      <c r="KQ7" s="802"/>
      <c r="KR7" s="802"/>
      <c r="KS7" s="802"/>
      <c r="KT7" s="802"/>
      <c r="KU7" s="802"/>
      <c r="KV7" s="802"/>
      <c r="KW7" s="802"/>
      <c r="KX7" s="802"/>
      <c r="KY7" s="802"/>
      <c r="KZ7" s="802"/>
      <c r="LA7" s="802"/>
      <c r="LB7" s="802"/>
      <c r="LC7" s="802"/>
      <c r="LD7" s="802"/>
      <c r="LE7" s="802"/>
      <c r="LF7" s="802"/>
      <c r="LG7" s="802"/>
      <c r="LH7" s="802"/>
      <c r="LI7" s="802"/>
      <c r="LJ7" s="802"/>
      <c r="LK7" s="802"/>
      <c r="LL7" s="802"/>
      <c r="LM7" s="802"/>
      <c r="LN7" s="802"/>
      <c r="LO7" s="802"/>
    </row>
    <row r="8" spans="1:327" ht="294" customHeight="1">
      <c r="A8" s="951">
        <f>IF($B8="","",ROWS($A$8:A8))</f>
        <v>1</v>
      </c>
      <c r="B8" s="952" t="s">
        <v>2600</v>
      </c>
      <c r="C8" s="952" t="s">
        <v>6279</v>
      </c>
      <c r="D8" s="952" t="s">
        <v>6280</v>
      </c>
      <c r="E8" s="935" t="s">
        <v>6281</v>
      </c>
      <c r="F8" s="935" t="s">
        <v>6282</v>
      </c>
      <c r="G8" s="935" t="s">
        <v>6283</v>
      </c>
      <c r="H8" s="935" t="s">
        <v>6284</v>
      </c>
      <c r="I8" s="935" t="s">
        <v>6285</v>
      </c>
      <c r="J8" s="935" t="s">
        <v>6286</v>
      </c>
      <c r="K8" s="935" t="s">
        <v>6287</v>
      </c>
      <c r="L8" s="646" t="s">
        <v>2109</v>
      </c>
      <c r="M8" s="646" t="s">
        <v>2603</v>
      </c>
      <c r="N8" s="935" t="s">
        <v>6288</v>
      </c>
      <c r="O8" s="646" t="s">
        <v>6289</v>
      </c>
      <c r="P8" s="646"/>
      <c r="Q8" s="270">
        <f>IF($B8="","",IF(SUMIFS('ANALYSE - ERP =&gt; SOUS-SEGMENT'!$Q$8:$Q$1000,'ANALYSE - ERP =&gt; SOUS-SEGMENT'!$B$8:$B$1000,$B8)&gt;0,1,0))</f>
        <v>1</v>
      </c>
      <c r="R8" s="938">
        <f>IF($B8="","",IFERROR(SUMPRODUCT(('ANALYSE - ERP =&gt; SOUS-SEGMENT'!$B$8:$B$1000=$B8)*'ANALYSE - ERP =&gt; SOUS-SEGMENT'!$Q$8:$Q$1000*'ANALYSE - ERP =&gt; SOUS-SEGMENT'!$AF$8:$AF$1000*'ANALYSE - ERP =&gt; SOUS-SEGMENT'!$R$8:$R$1000)/SUMPRODUCT(('ANALYSE - ERP =&gt; SOUS-SEGMENT'!$B$8:$B$1000=$B8)*'ANALYSE - ERP =&gt; SOUS-SEGMENT'!$Q$8:$Q$1000*'ANALYSE - ERP =&gt; SOUS-SEGMENT'!$AF$8:$AF$1000),""))</f>
        <v>2434.0709862360227</v>
      </c>
      <c r="S8" s="283">
        <f>IF($B8="","",SUMPRODUCT(('ANALYSE - ERP =&gt; SOUS-SEGMENT'!$B$8:$B$1000=$B8)*'ANALYSE - ERP =&gt; SOUS-SEGMENT'!$Q$8:$Q$1000*'ANALYSE - ERP =&gt; SOUS-SEGMENT'!$S$8:$S$1000))</f>
        <v>84758</v>
      </c>
      <c r="T8" s="283">
        <f>IF($B8="","",SUMPRODUCT(('ANALYSE - ERP =&gt; SOUS-SEGMENT'!$B$8:$B$1000=$B8)*'ANALYSE - ERP =&gt; SOUS-SEGMENT'!$Q$8:$Q$1000*'ANALYSE - ERP =&gt; SOUS-SEGMENT'!$T$8:$T$1000))</f>
        <v>85620</v>
      </c>
      <c r="U8" s="283">
        <f>IF($B8="","",SUMPRODUCT(('ANALYSE - ERP =&gt; SOUS-SEGMENT'!$B$8:$B$1000=$B8)*'ANALYSE - ERP =&gt; SOUS-SEGMENT'!$Q$8:$Q$1000*'ANALYSE - ERP =&gt; SOUS-SEGMENT'!$U$8:$U$1000))</f>
        <v>86442</v>
      </c>
      <c r="V8" s="283">
        <f>IF($B8="","",SUMPRODUCT(('ANALYSE - ERP =&gt; SOUS-SEGMENT'!$B$8:$B$1000=$B8)*'ANALYSE - ERP =&gt; SOUS-SEGMENT'!$Q$8:$Q$1000*'ANALYSE - ERP =&gt; SOUS-SEGMENT'!$V$8:$V$1000))</f>
        <v>87632</v>
      </c>
      <c r="W8" s="283">
        <f>IF($B8="","",SUMPRODUCT(('ANALYSE - ERP =&gt; SOUS-SEGMENT'!$B$8:$B$1000=$B8)*'ANALYSE - ERP =&gt; SOUS-SEGMENT'!$Q$8:$Q$1000*'ANALYSE - ERP =&gt; SOUS-SEGMENT'!$W$8:$W$1000))</f>
        <v>88083</v>
      </c>
      <c r="X8" s="283">
        <f>IF($B8="","",SUMPRODUCT(('ANALYSE - ERP =&gt; SOUS-SEGMENT'!$B$8:$B$1000=$B8)*'ANALYSE - ERP =&gt; SOUS-SEGMENT'!$Q$8:$Q$1000*'ANALYSE - ERP =&gt; SOUS-SEGMENT'!$X$8:$X$1000))</f>
        <v>88567</v>
      </c>
      <c r="Y8" s="283">
        <f>IF($B8="","",SUMPRODUCT(('ANALYSE - ERP =&gt; SOUS-SEGMENT'!$B$8:$B$1000=$B8)*'ANALYSE - ERP =&gt; SOUS-SEGMENT'!$Q$8:$Q$1000*'ANALYSE - ERP =&gt; SOUS-SEGMENT'!$Y$8:$Y$1000))</f>
        <v>89039</v>
      </c>
      <c r="Z8" s="283">
        <f>IF($B8="","",SUMPRODUCT(('ANALYSE - ERP =&gt; SOUS-SEGMENT'!$B$8:$B$1000=$B8)*'ANALYSE - ERP =&gt; SOUS-SEGMENT'!$Q$8:$Q$1000*'ANALYSE - ERP =&gt; SOUS-SEGMENT'!$Z$8:$Z$1000))</f>
        <v>89551</v>
      </c>
      <c r="AA8" s="283">
        <f>IF($B8="","",SUMPRODUCT(('ANALYSE - ERP =&gt; SOUS-SEGMENT'!$B$8:$B$1000=$B8)*'ANALYSE - ERP =&gt; SOUS-SEGMENT'!$Q$8:$Q$1000*'ANALYSE - ERP =&gt; SOUS-SEGMENT'!$AA$8:$AA$1000))</f>
        <v>89753</v>
      </c>
      <c r="AB8" s="283">
        <f>IF($B8="","",SUMPRODUCT(('ANALYSE - ERP =&gt; SOUS-SEGMENT'!$B$8:$B$1000=$B8)*'ANALYSE - ERP =&gt; SOUS-SEGMENT'!$Q$8:$Q$1000*'ANALYSE - ERP =&gt; SOUS-SEGMENT'!$AB$8:$AB$1000))</f>
        <v>89985</v>
      </c>
      <c r="AC8" s="283">
        <f>IF($B8="","",SUMPRODUCT(('ANALYSE - ERP =&gt; SOUS-SEGMENT'!$B$8:$B$1000=$B8)*'ANALYSE - ERP =&gt; SOUS-SEGMENT'!$Q$8:$Q$1000*'ANALYSE - ERP =&gt; SOUS-SEGMENT'!$AC$8:$AC$1000))</f>
        <v>90283</v>
      </c>
      <c r="AD8" s="283">
        <f>IF($B8="","",SUMPRODUCT(('ANALYSE - ERP =&gt; SOUS-SEGMENT'!$B$8:$B$1000=$B8)*'ANALYSE - ERP =&gt; SOUS-SEGMENT'!$Q$8:$Q$1000*'ANALYSE - ERP =&gt; SOUS-SEGMENT'!$AD$8:$AD$1000))</f>
        <v>90630</v>
      </c>
      <c r="AE8" s="283">
        <f>IF($B8="","",SUMPRODUCT(('ANALYSE - ERP =&gt; SOUS-SEGMENT'!$B$8:$B$1000=$B8)*'ANALYSE - ERP =&gt; SOUS-SEGMENT'!$Q$8:$Q$1000*'ANALYSE - ERP =&gt; SOUS-SEGMENT'!$AE$8:$AE$1000))</f>
        <v>91125</v>
      </c>
      <c r="AF8" s="283">
        <f>IF($B8="","",SUMPRODUCT(('ANALYSE - ERP =&gt; SOUS-SEGMENT'!$B$8:$B$1000=$B8)*'ANALYSE - ERP =&gt; SOUS-SEGMENT'!$Q$8:$Q$1000*'ANALYSE - ERP =&gt; SOUS-SEGMENT'!$AF$8:$AF$1000))</f>
        <v>91398</v>
      </c>
      <c r="AG8" s="283">
        <f>IF($B8="","",SUMPRODUCT(('ANALYSE - ERP =&gt; SOUS-SEGMENT'!$B$8:$B$1000=$B8)*'ANALYSE - ERP =&gt; SOUS-SEGMENT'!$Q$8:$Q$1000*'ANALYSE - ERP =&gt; SOUS-SEGMENT'!$AG$8:$AG$1000))</f>
        <v>91464</v>
      </c>
      <c r="AH8" s="283">
        <f>IF($B8="","",SUMPRODUCT(('ANALYSE - ERP =&gt; SOUS-SEGMENT'!$B$8:$B$1000=$B8)*'ANALYSE - ERP =&gt; SOUS-SEGMENT'!$Q$8:$Q$1000*'ANALYSE - ERP =&gt; SOUS-SEGMENT'!$AH$8:$AH$1000))</f>
        <v>91500</v>
      </c>
      <c r="AI8" s="283">
        <f>IF($B8="","",SUMPRODUCT(('ANALYSE - ERP =&gt; SOUS-SEGMENT'!$B$8:$B$1000=$B8)*'ANALYSE - ERP =&gt; SOUS-SEGMENT'!$Q$8:$Q$1000*'ANALYSE - ERP =&gt; SOUS-SEGMENT'!$AI$8:$AI$1000))</f>
        <v>91498</v>
      </c>
      <c r="AJ8" s="283">
        <f>IF($B8="","",SUMPRODUCT(('ANALYSE - ERP =&gt; SOUS-SEGMENT'!$B$8:$B$1000=$B8)*'ANALYSE - ERP =&gt; SOUS-SEGMENT'!$Q$8:$Q$1000*'ANALYSE - ERP =&gt; SOUS-SEGMENT'!$AJ$8:$AJ$1000))</f>
        <v>91457</v>
      </c>
      <c r="AK8" s="283">
        <f>IF($B8="","",SUMPRODUCT(('ANALYSE - ERP =&gt; SOUS-SEGMENT'!$B$8:$B$1000=$B8)*'ANALYSE - ERP =&gt; SOUS-SEGMENT'!$Q$8:$Q$1000*'ANALYSE - ERP =&gt; SOUS-SEGMENT'!$AK$8:$AK$1000))</f>
        <v>91374</v>
      </c>
      <c r="AL8" s="935" t="s">
        <v>6290</v>
      </c>
      <c r="AM8" s="935" t="s">
        <v>6291</v>
      </c>
      <c r="AN8" s="935" t="s">
        <v>6292</v>
      </c>
      <c r="AO8" s="657"/>
      <c r="AP8" s="938">
        <f>IF($B8="","",IFERROR(SUMPRODUCT(('ANALYSE - ERP =&gt; SOUS-SEGMENT'!$B$8:$B$1000=$B8)*'ANALYSE - ERP =&gt; SOUS-SEGMENT'!$Q$8:$Q$1000*'ANALYSE - ERP =&gt; SOUS-SEGMENT'!$AF$8:$AF$1000*'ANALYSE - ERP =&gt; SOUS-SEGMENT'!$AP$8:$AP$1000)/SUMPRODUCT(('ANALYSE - ERP =&gt; SOUS-SEGMENT'!$B$8:$B$1000=$B8)*'ANALYSE - ERP =&gt; SOUS-SEGMENT'!$Q$8:$Q$1000*'ANALYSE - ERP =&gt; SOUS-SEGMENT'!$AF$8:$AF$1000),""))</f>
        <v>236.4811046193571</v>
      </c>
      <c r="AQ8" s="938">
        <f>IF($B8="","",IFERROR(SUMPRODUCT(('ANALYSE - ERP =&gt; SOUS-SEGMENT'!$B$8:$B$1000=$B8)*'ANALYSE - ERP =&gt; SOUS-SEGMENT'!$Q$8:$Q$1000*'ANALYSE - ERP =&gt; SOUS-SEGMENT'!$AF$8:$AF$1000*'ANALYSE - ERP =&gt; SOUS-SEGMENT'!$AQ$8:$AQ$1000)/SUMPRODUCT(('ANALYSE - ERP =&gt; SOUS-SEGMENT'!$B$8:$B$1000=$B8)*'ANALYSE - ERP =&gt; SOUS-SEGMENT'!$Q$8:$Q$1000*'ANALYSE - ERP =&gt; SOUS-SEGMENT'!$AF$8:$AF$1000),""))</f>
        <v>209.77857283529181</v>
      </c>
      <c r="AR8" s="938">
        <f>IF($B8="","",IFERROR(SUMPRODUCT(('ANALYSE - ERP =&gt; SOUS-SEGMENT'!$B$8:$B$1000=$B8)*'ANALYSE - ERP =&gt; SOUS-SEGMENT'!$Q$8:$Q$1000*'ANALYSE - ERP =&gt; SOUS-SEGMENT'!$AF$8:$AF$1000*'ANALYSE - ERP =&gt; SOUS-SEGMENT'!$AR$8:$AR$1000)/SUMPRODUCT(('ANALYSE - ERP =&gt; SOUS-SEGMENT'!$B$8:$B$1000=$B8)*'ANALYSE - ERP =&gt; SOUS-SEGMENT'!$Q$8:$Q$1000*'ANALYSE - ERP =&gt; SOUS-SEGMENT'!$AF$8:$AF$1000),""))</f>
        <v>21.042900282281888</v>
      </c>
      <c r="AS8" s="938">
        <f>IF($B8="","",IFERROR(SUMPRODUCT(('ANALYSE - ERP =&gt; SOUS-SEGMENT'!$B$8:$B$1000=$B8)*'ANALYSE - ERP =&gt; SOUS-SEGMENT'!$Q$8:$Q$1000*'ANALYSE - ERP =&gt; SOUS-SEGMENT'!$AF$8:$AF$1000*'ANALYSE - ERP =&gt; SOUS-SEGMENT'!$AS$8:$AS$1000)/SUMPRODUCT(('ANALYSE - ERP =&gt; SOUS-SEGMENT'!$B$8:$B$1000=$B8)*'ANALYSE - ERP =&gt; SOUS-SEGMENT'!$Q$8:$Q$1000*'ANALYSE - ERP =&gt; SOUS-SEGMENT'!$AF$8:$AF$1000),""))</f>
        <v>5.6596315017834087</v>
      </c>
      <c r="AT8" s="657"/>
      <c r="AU8" s="646" t="s">
        <v>6293</v>
      </c>
      <c r="AV8" s="969" t="s">
        <v>6294</v>
      </c>
      <c r="AW8" s="646" t="s">
        <v>6295</v>
      </c>
      <c r="AX8" s="935" t="s">
        <v>6296</v>
      </c>
      <c r="AY8" s="657"/>
      <c r="AZ8" s="947">
        <f>IF($B8="","",IFERROR(SUMPRODUCT(('ANALYSE - ERP =&gt; SOUS-SEGMENT'!$B$8:$B$1000=$B8)*'ANALYSE - ERP =&gt; SOUS-SEGMENT'!$Q$8:$Q$1000*'ANALYSE - ERP =&gt; SOUS-SEGMENT'!$AF$8:$AF$1000*'ANALYSE - ERP =&gt; SOUS-SEGMENT'!$AZ$8:$AZ$1000)/SUMPRODUCT(('ANALYSE - ERP =&gt; SOUS-SEGMENT'!$B$8:$B$1000=$B8)*'ANALYSE - ERP =&gt; SOUS-SEGMENT'!$Q$8:$Q$1000*'ANALYSE - ERP =&gt; SOUS-SEGMENT'!$AF$8:$AF$1000),""))</f>
        <v>13.881944900326047</v>
      </c>
      <c r="BA8" s="947">
        <f>IF($B8="","",IFERROR(SUMPRODUCT(('ANALYSE - ERP =&gt; SOUS-SEGMENT'!$B$8:$B$1000=$B8)*'ANALYSE - ERP =&gt; SOUS-SEGMENT'!$Q$8:$Q$1000*'ANALYSE - ERP =&gt; SOUS-SEGMENT'!$AF$8:$AF$1000*'ANALYSE - ERP =&gt; SOUS-SEGMENT'!$BA$8:$BA$1000)/SUMPRODUCT(('ANALYSE - ERP =&gt; SOUS-SEGMENT'!$B$8:$B$1000=$B8)*'ANALYSE - ERP =&gt; SOUS-SEGMENT'!$Q$8:$Q$1000*'ANALYSE - ERP =&gt; SOUS-SEGMENT'!$AF$8:$AF$1000),""))</f>
        <v>2.1282739775487429</v>
      </c>
      <c r="BB8" s="947">
        <f>IF($B8="","",IFERROR(SUMPRODUCT(('ANALYSE - ERP =&gt; SOUS-SEGMENT'!$B$8:$B$1000=$B8)*'ANALYSE - ERP =&gt; SOUS-SEGMENT'!$Q$8:$Q$1000*'ANALYSE - ERP =&gt; SOUS-SEGMENT'!$AF$8:$AF$1000*'ANALYSE - ERP =&gt; SOUS-SEGMENT'!$BB$8:$BB$1000)/SUMPRODUCT(('ANALYSE - ERP =&gt; SOUS-SEGMENT'!$B$8:$B$1000=$B8)*'ANALYSE - ERP =&gt; SOUS-SEGMENT'!$Q$8:$Q$1000*'ANALYSE - ERP =&gt; SOUS-SEGMENT'!$AF$8:$AF$1000),""))</f>
        <v>2.9768594498785532</v>
      </c>
      <c r="BC8" s="947">
        <f>IF($B8="","",IFERROR(SUMPRODUCT(('ANALYSE - ERP =&gt; SOUS-SEGMENT'!$B$8:$B$1000=$B8)*'ANALYSE - ERP =&gt; SOUS-SEGMENT'!$Q$8:$Q$1000*'ANALYSE - ERP =&gt; SOUS-SEGMENT'!$AF$8:$AF$1000*'ANALYSE - ERP =&gt; SOUS-SEGMENT'!$BC$8:$BC$1000)/SUMPRODUCT(('ANALYSE - ERP =&gt; SOUS-SEGMENT'!$B$8:$B$1000=$B8)*'ANALYSE - ERP =&gt; SOUS-SEGMENT'!$Q$8:$Q$1000*'ANALYSE - ERP =&gt; SOUS-SEGMENT'!$AF$8:$AF$1000),""))</f>
        <v>11.930282938357513</v>
      </c>
      <c r="BD8" s="824">
        <f t="shared" ref="BD8:BD20" si="1">IF($B8="","",SUM(BE8:BH8))</f>
        <v>2825784.9849999999</v>
      </c>
      <c r="BE8" s="283">
        <f>IF($B8="","",SUMPRODUCT(('ANALYSE - ERP =&gt; SOUS-SEGMENT'!$B$8:$B$1000=$B8)*'ANALYSE - ERP =&gt; SOUS-SEGMENT'!$Q$8:$Q$1000*'ANALYSE - ERP =&gt; SOUS-SEGMENT'!$BE$8:$BE$1000))</f>
        <v>1268782</v>
      </c>
      <c r="BF8" s="283">
        <f>IF($B8="","",SUMPRODUCT(('ANALYSE - ERP =&gt; SOUS-SEGMENT'!$B$8:$B$1000=$B8)*'ANALYSE - ERP =&gt; SOUS-SEGMENT'!$Q$8:$Q$1000*'ANALYSE - ERP =&gt; SOUS-SEGMENT'!$BF$8:$BF$1000))</f>
        <v>194519.98499999999</v>
      </c>
      <c r="BG8" s="283">
        <f>IF($B8="","",SUMPRODUCT(('ANALYSE - ERP =&gt; SOUS-SEGMENT'!$B$8:$B$1000=$B8)*'ANALYSE - ERP =&gt; SOUS-SEGMENT'!$Q$8:$Q$1000*'ANALYSE - ERP =&gt; SOUS-SEGMENT'!$BG$8:$BG$1000))</f>
        <v>272079</v>
      </c>
      <c r="BH8" s="283">
        <f>IF($B8="","",SUMPRODUCT(('ANALYSE - ERP =&gt; SOUS-SEGMENT'!$B$8:$B$1000=$B8)*'ANALYSE - ERP =&gt; SOUS-SEGMENT'!$Q$8:$Q$1000*'ANALYSE - ERP =&gt; SOUS-SEGMENT'!$BH$8:$BH$1000))</f>
        <v>1090404</v>
      </c>
      <c r="BI8" s="824">
        <f t="shared" ref="BI8:BI20" si="2">IF($B8="","",SUM(BJ8:BM8))</f>
        <v>2837482.56</v>
      </c>
      <c r="BJ8" s="283">
        <f>IF($B8="","",SUMPRODUCT(('ANALYSE - ERP =&gt; SOUS-SEGMENT'!$B$8:$B$1000=$B8)*'ANALYSE - ERP =&gt; SOUS-SEGMENT'!$Q$8:$Q$1000*'ANALYSE - ERP =&gt; SOUS-SEGMENT'!$BJ$8:$BJ$1000))</f>
        <v>1272548</v>
      </c>
      <c r="BK8" s="283">
        <f>IF($B8="","",SUMPRODUCT(('ANALYSE - ERP =&gt; SOUS-SEGMENT'!$B$8:$B$1000=$B8)*'ANALYSE - ERP =&gt; SOUS-SEGMENT'!$Q$8:$Q$1000*'ANALYSE - ERP =&gt; SOUS-SEGMENT'!$BK$8:$BK$1000))</f>
        <v>198306.56</v>
      </c>
      <c r="BL8" s="283">
        <f>IF($B8="","",SUMPRODUCT(('ANALYSE - ERP =&gt; SOUS-SEGMENT'!$B$8:$B$1000=$B8)*'ANALYSE - ERP =&gt; SOUS-SEGMENT'!$Q$8:$Q$1000*'ANALYSE - ERP =&gt; SOUS-SEGMENT'!$BL$8:$BL$1000))</f>
        <v>274200</v>
      </c>
      <c r="BM8" s="283">
        <f>IF($B8="","",SUMPRODUCT(('ANALYSE - ERP =&gt; SOUS-SEGMENT'!$B$8:$B$1000=$B8)*'ANALYSE - ERP =&gt; SOUS-SEGMENT'!$Q$8:$Q$1000*'ANALYSE - ERP =&gt; SOUS-SEGMENT'!$BM$8:$BM$1000))</f>
        <v>1092428</v>
      </c>
      <c r="BN8" s="657"/>
      <c r="BO8" s="305">
        <f t="shared" ref="BO8:BO20" si="3">IF($B8="","",IFERROR(DH8/$BE8,0))</f>
        <v>0.22657603906738902</v>
      </c>
      <c r="BP8" s="305">
        <f t="shared" ref="BP8:BP20" si="4">IF($B8="","",IFERROR(DI8/$BE8,0))</f>
        <v>0.68569497360460663</v>
      </c>
      <c r="BQ8" s="305">
        <f t="shared" ref="BQ8:BQ20" si="5">IF($B8="","",IFERROR(DJ8/$BE8,0))</f>
        <v>4.8817196334752538E-2</v>
      </c>
      <c r="BR8" s="581">
        <f t="shared" ref="BR8:BR20" si="6">IF($B8="","",IFERROR(DK8/$BE8,0))</f>
        <v>3.8911790993251788E-2</v>
      </c>
      <c r="BS8" s="706">
        <f t="shared" ref="BS8:BS20" si="7">IF($B8="","",IFERROR(DM8/$BJ8,0))</f>
        <v>0.2059572998425207</v>
      </c>
      <c r="BT8" s="305">
        <f t="shared" ref="BT8:BT20" si="8">IF($B8="","",IFERROR(DN8/$BJ8,0))</f>
        <v>0.69309353360344761</v>
      </c>
      <c r="BU8" s="305">
        <f t="shared" ref="BU8:BU20" si="9">IF($B8="","",IFERROR(DO8/$BJ8,0))</f>
        <v>6.9716576506347896E-2</v>
      </c>
      <c r="BV8" s="581">
        <f t="shared" ref="BV8:BV20" si="10">IF($B8="","",IFERROR(DP8/$BJ8,0))</f>
        <v>3.1232590047683861E-2</v>
      </c>
      <c r="BW8" s="713">
        <f t="shared" ref="BW8:BW20" si="11">IF($B8="","",IFERROR(DS8/$BF8,0))</f>
        <v>0.35456832366093388</v>
      </c>
      <c r="BX8" s="306">
        <f t="shared" ref="BX8:BX20" si="12">IF($B8="","",IFERROR(DT8/$BF8,0))</f>
        <v>0.55006408724532863</v>
      </c>
      <c r="BY8" s="590">
        <f t="shared" ref="BY8:BY20" si="13">IF($B8="","",IFERROR(DU8/$BF8,0))</f>
        <v>9.5367589093737604E-2</v>
      </c>
      <c r="BZ8" s="713">
        <f t="shared" ref="BZ8:BZ20" si="14">IF($B8="","",IFERROR(DW8/$BK8,0))</f>
        <v>0.30552373053115339</v>
      </c>
      <c r="CA8" s="306">
        <f t="shared" ref="CA8:CA20" si="15">IF($B8="","",IFERROR(DX8/$BK8,0))</f>
        <v>0.57724580467736419</v>
      </c>
      <c r="CB8" s="590">
        <f t="shared" ref="CB8:CB20" si="16">IF($B8="","",IFERROR(DY8/$BK8,0))</f>
        <v>0.11723046479148243</v>
      </c>
      <c r="CC8" s="706">
        <f t="shared" ref="CC8:CC20" si="17">IF($B8="","",IFERROR(EB8/$BG8,0))</f>
        <v>7.3632070097287922E-2</v>
      </c>
      <c r="CD8" s="305">
        <f t="shared" ref="CD8:CD20" si="18">IF($B8="","",IFERROR(EC8/$BG8,0))</f>
        <v>0.62371755997339018</v>
      </c>
      <c r="CE8" s="305">
        <f t="shared" ref="CE8:CE20" si="19">IF($B8="","",IFERROR(ED8/$BG8,0))</f>
        <v>7.2706566842718479E-2</v>
      </c>
      <c r="CF8" s="581">
        <f t="shared" ref="CF8:CF20" si="20">IF($B8="","",IFERROR(EE8/$BG8,0))</f>
        <v>0.22994380308660353</v>
      </c>
      <c r="CG8" s="706">
        <f t="shared" ref="CG8:CG20" si="21">IF($B8="","",IFERROR(EG8/$BL8,0))</f>
        <v>5.9797665937272065E-2</v>
      </c>
      <c r="CH8" s="305">
        <f t="shared" ref="CH8:CH20" si="22">IF($B8="","",IFERROR(EH8/$BL8,0))</f>
        <v>0.62336487964989062</v>
      </c>
      <c r="CI8" s="305">
        <f t="shared" ref="CI8:CI20" si="23">IF($B8="","",IFERROR(EI8/$BL8,0))</f>
        <v>9.3590043763676148E-2</v>
      </c>
      <c r="CJ8" s="581">
        <f t="shared" ref="CJ8:CJ20" si="24">IF($B8="","",IFERROR(EJ8/$BL8,0))</f>
        <v>0.2232474106491612</v>
      </c>
      <c r="CK8" s="719">
        <f t="shared" ref="CK8:CK20" si="25">IF($B8="","",IFERROR(EM8/$BH8,0))</f>
        <v>0.64142941515254892</v>
      </c>
      <c r="CL8" s="307">
        <f t="shared" ref="CL8:CL20" si="26">IF($B8="","",IFERROR(EN8/$BH8,0))</f>
        <v>0.33727150670760564</v>
      </c>
      <c r="CM8" s="723">
        <f t="shared" ref="CM8:CM20" si="27">IF($B8="","",IFERROR(EO8/$BH8,0))</f>
        <v>2.1299078139845416E-2</v>
      </c>
      <c r="CN8" s="719">
        <f t="shared" ref="CN8:CN20" si="28">IF($B8="","",IFERROR(EQ8/$BM8,0))</f>
        <v>0.54779925999699752</v>
      </c>
      <c r="CO8" s="307">
        <f t="shared" ref="CO8:CO20" si="29">IF($B8="","",IFERROR(ER8/$BM8,0))</f>
        <v>0.38416232465663641</v>
      </c>
      <c r="CP8" s="723">
        <f t="shared" ref="CP8:CP20" si="30">IF($B8="","",IFERROR(ES8/$BM8,0))</f>
        <v>6.803841534636608E-2</v>
      </c>
      <c r="CQ8" s="657"/>
      <c r="CR8" s="804">
        <f>IF($B8="","",IFERROR(SUMPRODUCT(('ANALYSE - ERP =&gt; SOUS-SEGMENT'!$B$8:$B$1000=$B8)*'ANALYSE - ERP =&gt; SOUS-SEGMENT'!$Q$8:$Q$1000*'ANALYSE - ERP =&gt; SOUS-SEGMENT'!$DH$8:$DH$1000*'ANALYSE - ERP =&gt; SOUS-SEGMENT'!$CR$8:$CR$1000)/SUMPRODUCT(('ANALYSE - ERP =&gt; SOUS-SEGMENT'!$B$8:$B$1000=$B8)*'ANALYSE - ERP =&gt; SOUS-SEGMENT'!$Q$8:$Q$1000*'ANALYSE - ERP =&gt; SOUS-SEGMENT'!$DH$8:$DH$1000),""))</f>
        <v>12.578357258842143</v>
      </c>
      <c r="CS8" s="805">
        <f>IF($B8="","",IFERROR(SUMPRODUCT(('ANALYSE - ERP =&gt; SOUS-SEGMENT'!$B$8:$B$1000=$B8)*'ANALYSE - ERP =&gt; SOUS-SEGMENT'!$Q$8:$Q$1000*'ANALYSE - ERP =&gt; SOUS-SEGMENT'!$DI$8:$DI$1000*'ANALYSE - ERP =&gt; SOUS-SEGMENT'!$CS$8:$CS$1000)/SUMPRODUCT(('ANALYSE - ERP =&gt; SOUS-SEGMENT'!$B$8:$B$1000=$B8)*'ANALYSE - ERP =&gt; SOUS-SEGMENT'!$Q$8:$Q$1000*'ANALYSE - ERP =&gt; SOUS-SEGMENT'!$DI$8:$DI$1000),""))</f>
        <v>13.023067309255531</v>
      </c>
      <c r="CT8" s="805">
        <f>IF($B8="","",IFERROR(SUMPRODUCT(('ANALYSE - ERP =&gt; SOUS-SEGMENT'!$B$8:$B$1000=$B8)*'ANALYSE - ERP =&gt; SOUS-SEGMENT'!$Q$8:$Q$1000*'ANALYSE - ERP =&gt; SOUS-SEGMENT'!$DJ$8:$DJ$1000*'ANALYSE - ERP =&gt; SOUS-SEGMENT'!$CT$8:$CT$1000)/SUMPRODUCT(('ANALYSE - ERP =&gt; SOUS-SEGMENT'!$B$8:$B$1000=$B8)*'ANALYSE - ERP =&gt; SOUS-SEGMENT'!$Q$8:$Q$1000*'ANALYSE - ERP =&gt; SOUS-SEGMENT'!$DJ$8:$DJ$1000),""))</f>
        <v>9.2532788232433596</v>
      </c>
      <c r="CU8" s="806">
        <f>IF($B8="","",IFERROR(SUMPRODUCT(('ANALYSE - ERP =&gt; SOUS-SEGMENT'!$B$8:$B$1000=$B8)*'ANALYSE - ERP =&gt; SOUS-SEGMENT'!$Q$8:$Q$1000*'ANALYSE - ERP =&gt; SOUS-SEGMENT'!$DK$8:$DK$1000*'ANALYSE - ERP =&gt; SOUS-SEGMENT'!$CU$8:$CU$1000)/SUMPRODUCT(('ANALYSE - ERP =&gt; SOUS-SEGMENT'!$B$8:$B$1000=$B8)*'ANALYSE - ERP =&gt; SOUS-SEGMENT'!$Q$8:$Q$1000*'ANALYSE - ERP =&gt; SOUS-SEGMENT'!$DK$8:$DK$1000),""))</f>
        <v>11.268933036638421</v>
      </c>
      <c r="CV8" s="804">
        <f>IF($B8="","",IFERROR(SUMPRODUCT(('ANALYSE - ERP =&gt; SOUS-SEGMENT'!$B$8:$B$1000=$B8)*'ANALYSE - ERP =&gt; SOUS-SEGMENT'!$Q$8:$Q$1000*'ANALYSE - ERP =&gt; SOUS-SEGMENT'!$DS$8:$DS$1000*'ANALYSE - ERP =&gt; SOUS-SEGMENT'!$CV$8:$CV$1000)/SUMPRODUCT(('ANALYSE - ERP =&gt; SOUS-SEGMENT'!$B$8:$B$1000=$B8)*'ANALYSE - ERP =&gt; SOUS-SEGMENT'!$Q$8:$Q$1000*'ANALYSE - ERP =&gt; SOUS-SEGMENT'!$DS$8:$DS$1000),""))</f>
        <v>11.393052875771389</v>
      </c>
      <c r="CW8" s="805">
        <f>IF($B8="","",IFERROR(SUMPRODUCT(('ANALYSE - ERP =&gt; SOUS-SEGMENT'!$B$8:$B$1000=$B8)*'ANALYSE - ERP =&gt; SOUS-SEGMENT'!$Q$8:$Q$1000*'ANALYSE - ERP =&gt; SOUS-SEGMENT'!$DT$8:$DT$1000*'ANALYSE - ERP =&gt; SOUS-SEGMENT'!$CW$8:$CW$1000)/SUMPRODUCT(('ANALYSE - ERP =&gt; SOUS-SEGMENT'!$B$8:$B$1000=$B8)*'ANALYSE - ERP =&gt; SOUS-SEGMENT'!$Q$8:$Q$1000*'ANALYSE - ERP =&gt; SOUS-SEGMENT'!$DT$8:$DT$1000),""))</f>
        <v>10.315124803013514</v>
      </c>
      <c r="CX8" s="806">
        <f>IF($B8="","",IFERROR(SUMPRODUCT(('ANALYSE - ERP =&gt; SOUS-SEGMENT'!$B$8:$B$1000=$B8)*'ANALYSE - ERP =&gt; SOUS-SEGMENT'!$Q$8:$Q$1000*'ANALYSE - ERP =&gt; SOUS-SEGMENT'!$DU$8:$DU$1000*'ANALYSE - ERP =&gt; SOUS-SEGMENT'!$CX$8:$CX$1000)/SUMPRODUCT(('ANALYSE - ERP =&gt; SOUS-SEGMENT'!$B$8:$B$1000=$B8)*'ANALYSE - ERP =&gt; SOUS-SEGMENT'!$Q$8:$Q$1000*'ANALYSE - ERP =&gt; SOUS-SEGMENT'!$DU$8:$DU$1000),""))</f>
        <v>8.2524214725515783</v>
      </c>
      <c r="CY8" s="804">
        <f>IF($B8="","",IFERROR(SUMPRODUCT(('ANALYSE - ERP =&gt; SOUS-SEGMENT'!$B$8:$B$1000=$B8)*'ANALYSE - ERP =&gt; SOUS-SEGMENT'!$Q$8:$Q$1000*'ANALYSE - ERP =&gt; SOUS-SEGMENT'!$EB$8:$EB$1000*'ANALYSE - ERP =&gt; SOUS-SEGMENT'!$CY$8:$CY$1000)/SUMPRODUCT(('ANALYSE - ERP =&gt; SOUS-SEGMENT'!$B$8:$B$1000=$B8)*'ANALYSE - ERP =&gt; SOUS-SEGMENT'!$Q$8:$Q$1000*'ANALYSE - ERP =&gt; SOUS-SEGMENT'!$EB$8:$EB$1000),""))</f>
        <v>10.130312163380378</v>
      </c>
      <c r="CZ8" s="805">
        <f>IF($B8="","",IFERROR(SUMPRODUCT(('ANALYSE - ERP =&gt; SOUS-SEGMENT'!$B$8:$B$1000=$B8)*'ANALYSE - ERP =&gt; SOUS-SEGMENT'!$Q$8:$Q$1000*'ANALYSE - ERP =&gt; SOUS-SEGMENT'!$EC$8:$EC$1000*'ANALYSE - ERP =&gt; SOUS-SEGMENT'!$CZ$8:$CZ$1000)/SUMPRODUCT(('ANALYSE - ERP =&gt; SOUS-SEGMENT'!$B$8:$B$1000=$B8)*'ANALYSE - ERP =&gt; SOUS-SEGMENT'!$Q$8:$Q$1000*'ANALYSE - ERP =&gt; SOUS-SEGMENT'!$EC$8:$EC$1000),""))</f>
        <v>13.019948974796472</v>
      </c>
      <c r="DA8" s="805">
        <f>IF($B8="","",IFERROR(SUMPRODUCT(('ANALYSE - ERP =&gt; SOUS-SEGMENT'!$B$8:$B$1000=$B8)*'ANALYSE - ERP =&gt; SOUS-SEGMENT'!$Q$8:$Q$1000*'ANALYSE - ERP =&gt; SOUS-SEGMENT'!$ED$8:$ED$1000*'ANALYSE - ERP =&gt; SOUS-SEGMENT'!$DA$8:$DA$1000)/SUMPRODUCT(('ANALYSE - ERP =&gt; SOUS-SEGMENT'!$B$8:$B$1000=$B8)*'ANALYSE - ERP =&gt; SOUS-SEGMENT'!$Q$8:$Q$1000*'ANALYSE - ERP =&gt; SOUS-SEGMENT'!$ED$8:$ED$1000),""))</f>
        <v>9.0950741408952513</v>
      </c>
      <c r="DB8" s="806">
        <f>IF($B8="","",IFERROR(SUMPRODUCT(('ANALYSE - ERP =&gt; SOUS-SEGMENT'!$B$8:$B$1000=$B8)*'ANALYSE - ERP =&gt; SOUS-SEGMENT'!$Q$8:$Q$1000*'ANALYSE - ERP =&gt; SOUS-SEGMENT'!$EE$8:$EE$1000*'ANALYSE - ERP =&gt; SOUS-SEGMENT'!$DB$8:$DB$1000)/SUMPRODUCT(('ANALYSE - ERP =&gt; SOUS-SEGMENT'!$B$8:$B$1000=$B8)*'ANALYSE - ERP =&gt; SOUS-SEGMENT'!$Q$8:$Q$1000*'ANALYSE - ERP =&gt; SOUS-SEGMENT'!$EE$8:$EE$1000),""))</f>
        <v>11.026454344812768</v>
      </c>
      <c r="DC8" s="804">
        <f>IF($B8="","",IFERROR(SUMPRODUCT(('ANALYSE - ERP =&gt; SOUS-SEGMENT'!$B$8:$B$1000=$B8)*'ANALYSE - ERP =&gt; SOUS-SEGMENT'!$Q$8:$Q$1000*'ANALYSE - ERP =&gt; SOUS-SEGMENT'!$EM$8:$EM$1000*'ANALYSE - ERP =&gt; SOUS-SEGMENT'!$DC$8:$DC$1000)/SUMPRODUCT(('ANALYSE - ERP =&gt; SOUS-SEGMENT'!$B$8:$B$1000=$B8)*'ANALYSE - ERP =&gt; SOUS-SEGMENT'!$Q$8:$Q$1000*'ANALYSE - ERP =&gt; SOUS-SEGMENT'!$EM$8:$EM$1000),""))</f>
        <v>11.708469565804217</v>
      </c>
      <c r="DD8" s="805">
        <f>IF($B8="","",IFERROR(SUMPRODUCT(('ANALYSE - ERP =&gt; SOUS-SEGMENT'!$B$8:$B$1000=$B8)*'ANALYSE - ERP =&gt; SOUS-SEGMENT'!$Q$8:$Q$1000*'ANALYSE - ERP =&gt; SOUS-SEGMENT'!$EN$8:$EN$1000*'ANALYSE - ERP =&gt; SOUS-SEGMENT'!$DD$8:$DD$1000)/SUMPRODUCT(('ANALYSE - ERP =&gt; SOUS-SEGMENT'!$B$8:$B$1000=$B8)*'ANALYSE - ERP =&gt; SOUS-SEGMENT'!$Q$8:$Q$1000*'ANALYSE - ERP =&gt; SOUS-SEGMENT'!$EN$8:$EN$1000),""))</f>
        <v>13.13013191676578</v>
      </c>
      <c r="DE8" s="806">
        <f>IF($B8="","",IFERROR(SUMPRODUCT(('ANALYSE - ERP =&gt; SOUS-SEGMENT'!$B$8:$B$1000=$B8)*'ANALYSE - ERP =&gt; SOUS-SEGMENT'!$Q$8:$Q$1000*'ANALYSE - ERP =&gt; SOUS-SEGMENT'!$EO$8:$EO$1000*'ANALYSE - ERP =&gt; SOUS-SEGMENT'!$DE$8:$DE$1000)/SUMPRODUCT(('ANALYSE - ERP =&gt; SOUS-SEGMENT'!$B$8:$B$1000=$B8)*'ANALYSE - ERP =&gt; SOUS-SEGMENT'!$Q$8:$Q$1000*'ANALYSE - ERP =&gt; SOUS-SEGMENT'!$EO$8:$EO$1000),""))</f>
        <v>10.116385212231856</v>
      </c>
      <c r="DF8" s="939" t="s">
        <v>6297</v>
      </c>
      <c r="DG8" s="657"/>
      <c r="DH8" s="308">
        <f>IF($B8="","",SUMPRODUCT(('ANALYSE - ERP =&gt; SOUS-SEGMENT'!$B$8:$B$1000=$B8)*'ANALYSE - ERP =&gt; SOUS-SEGMENT'!$Q$8:$Q$1000*'ANALYSE - ERP =&gt; SOUS-SEGMENT'!$DH$8:$DH$1000))</f>
        <v>287475.59999999998</v>
      </c>
      <c r="DI8" s="308">
        <f>IF($B8="","",SUMPRODUCT(('ANALYSE - ERP =&gt; SOUS-SEGMENT'!$B$8:$B$1000=$B8)*'ANALYSE - ERP =&gt; SOUS-SEGMENT'!$Q$8:$Q$1000*'ANALYSE - ERP =&gt; SOUS-SEGMENT'!$DI$8:$DI$1000))</f>
        <v>869997.44000000006</v>
      </c>
      <c r="DJ8" s="308">
        <f>IF($B8="","",SUMPRODUCT(('ANALYSE - ERP =&gt; SOUS-SEGMENT'!$B$8:$B$1000=$B8)*'ANALYSE - ERP =&gt; SOUS-SEGMENT'!$Q$8:$Q$1000*'ANALYSE - ERP =&gt; SOUS-SEGMENT'!$DJ$8:$DJ$1000))</f>
        <v>61938.38</v>
      </c>
      <c r="DK8" s="308">
        <f>IF($B8="","",SUMPRODUCT(('ANALYSE - ERP =&gt; SOUS-SEGMENT'!$B$8:$B$1000=$B8)*'ANALYSE - ERP =&gt; SOUS-SEGMENT'!$Q$8:$Q$1000*'ANALYSE - ERP =&gt; SOUS-SEGMENT'!$DK$8:$DK$1000))</f>
        <v>49370.579999999994</v>
      </c>
      <c r="DL8" s="646" t="s">
        <v>6298</v>
      </c>
      <c r="DM8" s="308">
        <f>IF($B8="","",SUMPRODUCT(('ANALYSE - ERP =&gt; SOUS-SEGMENT'!$B$8:$B$1000=$B8)*'ANALYSE - ERP =&gt; SOUS-SEGMENT'!$Q$8:$Q$1000*'ANALYSE - ERP =&gt; SOUS-SEGMENT'!$DM$8:$DM$1000))</f>
        <v>262090.55000000002</v>
      </c>
      <c r="DN8" s="308">
        <f>IF($B8="","",SUMPRODUCT(('ANALYSE - ERP =&gt; SOUS-SEGMENT'!$B$8:$B$1000=$B8)*'ANALYSE - ERP =&gt; SOUS-SEGMENT'!$Q$8:$Q$1000*'ANALYSE - ERP =&gt; SOUS-SEGMENT'!$DN$8:$DN$1000))</f>
        <v>881994.79</v>
      </c>
      <c r="DO8" s="308">
        <f>IF($B8="","",SUMPRODUCT(('ANALYSE - ERP =&gt; SOUS-SEGMENT'!$B$8:$B$1000=$B8)*'ANALYSE - ERP =&gt; SOUS-SEGMENT'!$Q$8:$Q$1000*'ANALYSE - ERP =&gt; SOUS-SEGMENT'!$DO$8:$DO$1000))</f>
        <v>88717.69</v>
      </c>
      <c r="DP8" s="308">
        <f>IF($B8="","",SUMPRODUCT(('ANALYSE - ERP =&gt; SOUS-SEGMENT'!$B$8:$B$1000=$B8)*'ANALYSE - ERP =&gt; SOUS-SEGMENT'!$Q$8:$Q$1000*'ANALYSE - ERP =&gt; SOUS-SEGMENT'!$DP$8:$DP$1000))</f>
        <v>39744.97</v>
      </c>
      <c r="DQ8" s="646" t="s">
        <v>6299</v>
      </c>
      <c r="DR8" s="657"/>
      <c r="DS8" s="308">
        <f>IF($B8="","",SUMPRODUCT(('ANALYSE - ERP =&gt; SOUS-SEGMENT'!$B$8:$B$1000=$B8)*'ANALYSE - ERP =&gt; SOUS-SEGMENT'!$Q$8:$Q$1000*'ANALYSE - ERP =&gt; SOUS-SEGMENT'!$DS$8:$DS$1000))</f>
        <v>68970.625</v>
      </c>
      <c r="DT8" s="308">
        <f>IF($B8="","",SUMPRODUCT(('ANALYSE - ERP =&gt; SOUS-SEGMENT'!$B$8:$B$1000=$B8)*'ANALYSE - ERP =&gt; SOUS-SEGMENT'!$Q$8:$Q$1000*'ANALYSE - ERP =&gt; SOUS-SEGMENT'!$DT$8:$DT$1000))</f>
        <v>106998.45800000001</v>
      </c>
      <c r="DU8" s="308">
        <f>IF($B8="","",SUMPRODUCT(('ANALYSE - ERP =&gt; SOUS-SEGMENT'!$B$8:$B$1000=$B8)*'ANALYSE - ERP =&gt; SOUS-SEGMENT'!$Q$8:$Q$1000*'ANALYSE - ERP =&gt; SOUS-SEGMENT'!$DU$8:$DU$1000))</f>
        <v>18550.902000000002</v>
      </c>
      <c r="DV8" s="646" t="s">
        <v>6300</v>
      </c>
      <c r="DW8" s="308">
        <f>IF($B8="","",SUMPRODUCT(('ANALYSE - ERP =&gt; SOUS-SEGMENT'!$B$8:$B$1000=$B8)*'ANALYSE - ERP =&gt; SOUS-SEGMENT'!$Q$8:$Q$1000*'ANALYSE - ERP =&gt; SOUS-SEGMENT'!$DW$8:$DW$1000))</f>
        <v>60587.360000000001</v>
      </c>
      <c r="DX8" s="308">
        <f>IF($B8="","",SUMPRODUCT(('ANALYSE - ERP =&gt; SOUS-SEGMENT'!$B$8:$B$1000=$B8)*'ANALYSE - ERP =&gt; SOUS-SEGMENT'!$Q$8:$Q$1000*'ANALYSE - ERP =&gt; SOUS-SEGMENT'!$DX$8:$DX$1000))</f>
        <v>114471.62980000001</v>
      </c>
      <c r="DY8" s="308">
        <f>IF($B8="","",SUMPRODUCT(('ANALYSE - ERP =&gt; SOUS-SEGMENT'!$B$8:$B$1000=$B8)*'ANALYSE - ERP =&gt; SOUS-SEGMENT'!$Q$8:$Q$1000*'ANALYSE - ERP =&gt; SOUS-SEGMENT'!$DY$8:$DY$1000))</f>
        <v>23247.570199999998</v>
      </c>
      <c r="DZ8" s="646" t="s">
        <v>6301</v>
      </c>
      <c r="EA8" s="657"/>
      <c r="EB8" s="308">
        <f>IF($B8="","",SUMPRODUCT(('ANALYSE - ERP =&gt; SOUS-SEGMENT'!$B$8:$B$1000=$B8)*'ANALYSE - ERP =&gt; SOUS-SEGMENT'!$Q$8:$Q$1000*'ANALYSE - ERP =&gt; SOUS-SEGMENT'!$EB$8:$EB$1000))</f>
        <v>20033.740000000002</v>
      </c>
      <c r="EC8" s="308">
        <f>IF($B8="","",SUMPRODUCT(('ANALYSE - ERP =&gt; SOUS-SEGMENT'!$B$8:$B$1000=$B8)*'ANALYSE - ERP =&gt; SOUS-SEGMENT'!$Q$8:$Q$1000*'ANALYSE - ERP =&gt; SOUS-SEGMENT'!$EC$8:$EC$1000))</f>
        <v>169700.45</v>
      </c>
      <c r="ED8" s="308">
        <f>IF($B8="","",SUMPRODUCT(('ANALYSE - ERP =&gt; SOUS-SEGMENT'!$B$8:$B$1000=$B8)*'ANALYSE - ERP =&gt; SOUS-SEGMENT'!$Q$8:$Q$1000*'ANALYSE - ERP =&gt; SOUS-SEGMENT'!$ED$8:$ED$1000))</f>
        <v>19781.93</v>
      </c>
      <c r="EE8" s="308">
        <f>IF($B8="","",SUMPRODUCT(('ANALYSE - ERP =&gt; SOUS-SEGMENT'!$B$8:$B$1000=$B8)*'ANALYSE - ERP =&gt; SOUS-SEGMENT'!$Q$8:$Q$1000*'ANALYSE - ERP =&gt; SOUS-SEGMENT'!$EE$8:$EE$1000))</f>
        <v>62562.880000000005</v>
      </c>
      <c r="EF8" s="646" t="s">
        <v>6302</v>
      </c>
      <c r="EG8" s="308">
        <f>IF($B8="","",SUMPRODUCT(('ANALYSE - ERP =&gt; SOUS-SEGMENT'!$B$8:$B$1000=$B8)*'ANALYSE - ERP =&gt; SOUS-SEGMENT'!$Q$8:$Q$1000*'ANALYSE - ERP =&gt; SOUS-SEGMENT'!$EG$8:$EG$1000))</f>
        <v>16396.52</v>
      </c>
      <c r="EH8" s="308">
        <f>IF($B8="","",SUMPRODUCT(('ANALYSE - ERP =&gt; SOUS-SEGMENT'!$B$8:$B$1000=$B8)*'ANALYSE - ERP =&gt; SOUS-SEGMENT'!$Q$8:$Q$1000*'ANALYSE - ERP =&gt; SOUS-SEGMENT'!$EH$8:$EH$1000))</f>
        <v>170926.65</v>
      </c>
      <c r="EI8" s="308">
        <f>IF($B8="","",SUMPRODUCT(('ANALYSE - ERP =&gt; SOUS-SEGMENT'!$B$8:$B$1000=$B8)*'ANALYSE - ERP =&gt; SOUS-SEGMENT'!$Q$8:$Q$1000*'ANALYSE - ERP =&gt; SOUS-SEGMENT'!$EI$8:$EI$1000))</f>
        <v>25662.39</v>
      </c>
      <c r="EJ8" s="308">
        <f>IF($B8="","",SUMPRODUCT(('ANALYSE - ERP =&gt; SOUS-SEGMENT'!$B$8:$B$1000=$B8)*'ANALYSE - ERP =&gt; SOUS-SEGMENT'!$Q$8:$Q$1000*'ANALYSE - ERP =&gt; SOUS-SEGMENT'!$EJ$8:$EJ$1000))</f>
        <v>61214.44</v>
      </c>
      <c r="EK8" s="936" t="s">
        <v>6303</v>
      </c>
      <c r="EL8" s="657"/>
      <c r="EM8" s="308">
        <f>IF($B8="","",SUMPRODUCT(('ANALYSE - ERP =&gt; SOUS-SEGMENT'!$B$8:$B$1000=$B8)*'ANALYSE - ERP =&gt; SOUS-SEGMENT'!$Q$8:$Q$1000*'ANALYSE - ERP =&gt; SOUS-SEGMENT'!$EM$8:$EM$1000))</f>
        <v>699417.2</v>
      </c>
      <c r="EN8" s="310">
        <f>IF($B8="","",SUMPRODUCT(('ANALYSE - ERP =&gt; SOUS-SEGMENT'!$B$8:$B$1000=$B8)*'ANALYSE - ERP =&gt; SOUS-SEGMENT'!$Q$8:$Q$1000*'ANALYSE - ERP =&gt; SOUS-SEGMENT'!$EN$8:$EN$1000))</f>
        <v>367762.2</v>
      </c>
      <c r="EO8" s="310">
        <f>IF($B8="","",SUMPRODUCT(('ANALYSE - ERP =&gt; SOUS-SEGMENT'!$B$8:$B$1000=$B8)*'ANALYSE - ERP =&gt; SOUS-SEGMENT'!$Q$8:$Q$1000*'ANALYSE - ERP =&gt; SOUS-SEGMENT'!$EO$8:$EO$1000))</f>
        <v>23224.600000000002</v>
      </c>
      <c r="EP8" s="646" t="s">
        <v>6304</v>
      </c>
      <c r="EQ8" s="308">
        <f>IF($B8="","",SUMPRODUCT(('ANALYSE - ERP =&gt; SOUS-SEGMENT'!$B$8:$B$1000=$B8)*'ANALYSE - ERP =&gt; SOUS-SEGMENT'!$Q$8:$Q$1000*'ANALYSE - ERP =&gt; SOUS-SEGMENT'!$EQ$8:$EQ$1000))</f>
        <v>598431.25</v>
      </c>
      <c r="ER8" s="310">
        <f>IF($B8="","",SUMPRODUCT(('ANALYSE - ERP =&gt; SOUS-SEGMENT'!$B$8:$B$1000=$B8)*'ANALYSE - ERP =&gt; SOUS-SEGMENT'!$Q$8:$Q$1000*'ANALYSE - ERP =&gt; SOUS-SEGMENT'!$ER$8:$ER$1000))</f>
        <v>419669.68</v>
      </c>
      <c r="ES8" s="310">
        <f>IF($B8="","",SUMPRODUCT(('ANALYSE - ERP =&gt; SOUS-SEGMENT'!$B$8:$B$1000=$B8)*'ANALYSE - ERP =&gt; SOUS-SEGMENT'!$Q$8:$Q$1000*'ANALYSE - ERP =&gt; SOUS-SEGMENT'!$ES$8:$ES$1000))</f>
        <v>74327.070000000007</v>
      </c>
      <c r="ET8" s="646" t="s">
        <v>6305</v>
      </c>
      <c r="EU8" s="657"/>
      <c r="EV8" s="728">
        <f t="shared" ref="EV8:EV20" si="31">IF($B8="","",IFERROR(EY8/EX8,0))</f>
        <v>0.72564130207196087</v>
      </c>
      <c r="EW8" s="728">
        <f t="shared" ref="EW8:EW20" si="32">IF($B8="","",IFERROR(EZ8/EX8,0))</f>
        <v>0.27435869792803907</v>
      </c>
      <c r="EX8" s="311">
        <f t="shared" ref="EX8:EX20" si="33">IF($B8="","",EY8+EZ8)</f>
        <v>815371.23251884233</v>
      </c>
      <c r="EY8" s="311">
        <f t="shared" ref="EY8:EY20" si="34">IF($B8="","",SUM(FB8,FE8,FH8,FK8))</f>
        <v>591667.0428369923</v>
      </c>
      <c r="EZ8" s="311">
        <f t="shared" ref="EZ8:EZ20" si="35">IF($B8="","",SUM(FC8,FF8,FI8,FL8))</f>
        <v>223704.18968185</v>
      </c>
      <c r="FA8" s="311">
        <f t="shared" ref="FA8:FA20" si="36">IF($B8="","",FB8+FC8)</f>
        <v>364239.72533066384</v>
      </c>
      <c r="FB8" s="311">
        <f>IF($B8="","",SUMPRODUCT(('ANALYSE - ERP =&gt; SOUS-SEGMENT'!$B$8:$B$1000=$B8)*'ANALYSE - ERP =&gt; SOUS-SEGMENT'!$Q$8:$Q$1000*'ANALYSE - ERP =&gt; SOUS-SEGMENT'!$FB$8:$FB$1000))</f>
        <v>265204.29797066387</v>
      </c>
      <c r="FC8" s="311">
        <f>IF($B8="","",SUMPRODUCT(('ANALYSE - ERP =&gt; SOUS-SEGMENT'!$B$8:$B$1000=$B8)*'ANALYSE - ERP =&gt; SOUS-SEGMENT'!$Q$8:$Q$1000*'ANALYSE - ERP =&gt; SOUS-SEGMENT'!$FC$8:$FC$1000))</f>
        <v>99035.427359999987</v>
      </c>
      <c r="FD8" s="311">
        <f t="shared" ref="FD8:FD20" si="37">IF($B8="","",FE8+FF8)</f>
        <v>59603.572785822194</v>
      </c>
      <c r="FE8" s="311">
        <f>IF($B8="","",SUMPRODUCT(('ANALYSE - ERP =&gt; SOUS-SEGMENT'!$B$8:$B$1000=$B8)*'ANALYSE - ERP =&gt; SOUS-SEGMENT'!$Q$8:$Q$1000*'ANALYSE - ERP =&gt; SOUS-SEGMENT'!$FE$8:$FE$1000))</f>
        <v>41191.425113972196</v>
      </c>
      <c r="FF8" s="311">
        <f>IF($B8="","",SUMPRODUCT(('ANALYSE - ERP =&gt; SOUS-SEGMENT'!$B$8:$B$1000=$B8)*'ANALYSE - ERP =&gt; SOUS-SEGMENT'!$Q$8:$Q$1000*'ANALYSE - ERP =&gt; SOUS-SEGMENT'!$FF$8:$FF$1000))</f>
        <v>18412.147671849998</v>
      </c>
      <c r="FG8" s="311">
        <f t="shared" ref="FG8:FG20" si="38">IF($B8="","",FH8+FI8)</f>
        <v>82076.717661850489</v>
      </c>
      <c r="FH8" s="311">
        <f>IF($B8="","",SUMPRODUCT(('ANALYSE - ERP =&gt; SOUS-SEGMENT'!$B$8:$B$1000=$B8)*'ANALYSE - ERP =&gt; SOUS-SEGMENT'!$Q$8:$Q$1000*'ANALYSE - ERP =&gt; SOUS-SEGMENT'!$FH$8:$FH$1000))</f>
        <v>58194.947711850487</v>
      </c>
      <c r="FI8" s="311">
        <f>IF($B8="","",SUMPRODUCT(('ANALYSE - ERP =&gt; SOUS-SEGMENT'!$B$8:$B$1000=$B8)*'ANALYSE - ERP =&gt; SOUS-SEGMENT'!$Q$8:$Q$1000*'ANALYSE - ERP =&gt; SOUS-SEGMENT'!$FI$8:$FI$1000))</f>
        <v>23881.769949999998</v>
      </c>
      <c r="FJ8" s="311">
        <f t="shared" ref="FJ8:FJ20" si="39">IF($B8="","",FK8+FL8)</f>
        <v>309451.21674050577</v>
      </c>
      <c r="FK8" s="311">
        <f>IF($B8="","",SUMPRODUCT(('ANALYSE - ERP =&gt; SOUS-SEGMENT'!$B$8:$B$1000=$B8)*'ANALYSE - ERP =&gt; SOUS-SEGMENT'!$Q$8:$Q$1000*'ANALYSE - ERP =&gt; SOUS-SEGMENT'!$FK$8:$FK$1000))</f>
        <v>227076.37204050572</v>
      </c>
      <c r="FL8" s="311">
        <f>IF($B8="","",SUMPRODUCT(('ANALYSE - ERP =&gt; SOUS-SEGMENT'!$B$8:$B$1000=$B8)*'ANALYSE - ERP =&gt; SOUS-SEGMENT'!$Q$8:$Q$1000*'ANALYSE - ERP =&gt; SOUS-SEGMENT'!$FL$8:$FL$1000))</f>
        <v>82374.844700000016</v>
      </c>
      <c r="FM8" s="657"/>
      <c r="FN8" s="954" t="s">
        <v>6306</v>
      </c>
      <c r="FO8" s="728">
        <f>IF($B8="","",IFERROR(SUMPRODUCT(('ANALYSE - ERP =&gt; SOUS-SEGMENT'!$B$8:$B$1000=$B8)*'ANALYSE - ERP =&gt; SOUS-SEGMENT'!$Q$8:$Q$1000*'ANALYSE - ERP =&gt; SOUS-SEGMENT'!$AF$8:$AF$1000*'ANALYSE - ERP =&gt; SOUS-SEGMENT'!$FO$8:$FO$1000)/SUMPRODUCT(('ANALYSE - ERP =&gt; SOUS-SEGMENT'!$B$8:$B$1000=$B8)*'ANALYSE - ERP =&gt; SOUS-SEGMENT'!$Q$8:$Q$1000*'ANALYSE - ERP =&gt; SOUS-SEGMENT'!$AF$8:$AF$1000),""))</f>
        <v>6.0697280137420935E-2</v>
      </c>
      <c r="FP8" s="729">
        <f>IF($B8="","",IFERROR(SUMPRODUCT(('ANALYSE - ERP =&gt; SOUS-SEGMENT'!$B$8:$B$1000=$B8)*'ANALYSE - ERP =&gt; SOUS-SEGMENT'!$Q$8:$Q$1000*'ANALYSE - ERP =&gt; SOUS-SEGMENT'!$AF$8:$AF$1000*'ANALYSE - ERP =&gt; SOUS-SEGMENT'!$FP$8:$FP$1000)/SUMPRODUCT(('ANALYSE - ERP =&gt; SOUS-SEGMENT'!$B$8:$B$1000=$B8)*'ANALYSE - ERP =&gt; SOUS-SEGMENT'!$Q$8:$Q$1000*'ANALYSE - ERP =&gt; SOUS-SEGMENT'!$AF$8:$AF$1000),""))</f>
        <v>0.87110559673078203</v>
      </c>
      <c r="FQ8" s="955" t="s">
        <v>6307</v>
      </c>
      <c r="FR8" s="657"/>
      <c r="FS8" s="865">
        <f>IF($B8="","",IFERROR(SUMPRODUCT(('ANALYSE - ERP =&gt; SOUS-SEGMENT'!$B$8:$B$1000=$B8)*'ANALYSE - ERP =&gt; SOUS-SEGMENT'!$Q$8:$Q$1000*'ANALYSE - ERP =&gt; SOUS-SEGMENT'!$EX$8:$EX$1000*'ANALYSE - ERP =&gt; SOUS-SEGMENT'!$FS$8:$FS$1000)/SUMPRODUCT(('ANALYSE - ERP =&gt; SOUS-SEGMENT'!$B$8:$B$1000=$B8)*'ANALYSE - ERP =&gt; SOUS-SEGMENT'!$Q$8:$Q$1000*'ANALYSE - ERP =&gt; SOUS-SEGMENT'!$EX$8:$EX$1000),""))</f>
        <v>3.2435323743794244</v>
      </c>
      <c r="FT8" s="312">
        <f>IF($B8="","",RANK($FS8,$FS$8:$FS$20,0)+COUNTIF($FS$8:$FS8,$FS8)-1)</f>
        <v>10</v>
      </c>
      <c r="FU8" s="865">
        <f>IF($B8="","",IFERROR(SUMPRODUCT(('ANALYSE - ERP =&gt; SOUS-SEGMENT'!$B$8:$B$1000=$B8)*'ANALYSE - ERP =&gt; SOUS-SEGMENT'!$Q$8:$Q$1000*'ANALYSE - ERP =&gt; SOUS-SEGMENT'!$EY$8:$EY$1000*'ANALYSE - ERP =&gt; SOUS-SEGMENT'!$FU$8:$FU$1000)/SUMPRODUCT(('ANALYSE - ERP =&gt; SOUS-SEGMENT'!$B$8:$B$1000=$B8)*'ANALYSE - ERP =&gt; SOUS-SEGMENT'!$Q$8:$Q$1000*'ANALYSE - ERP =&gt; SOUS-SEGMENT'!$EY$8:$EY$1000),""))</f>
        <v>4.0933212027922057</v>
      </c>
      <c r="FV8" s="312">
        <f>IF($B8="","",RANK($FU8,$FU$8:$FU$20,0)+COUNTIF($FU$8:$FU8,$FU8)-1)</f>
        <v>9</v>
      </c>
      <c r="FW8" s="865">
        <f>IF($B8="","",IFERROR(SUMPRODUCT(('ANALYSE - ERP =&gt; SOUS-SEGMENT'!$B$8:$B$1000=$B8)*'ANALYSE - ERP =&gt; SOUS-SEGMENT'!$Q$8:$Q$1000*'ANALYSE - ERP =&gt; SOUS-SEGMENT'!$EZ$8:$EZ$1000*'ANALYSE - ERP =&gt; SOUS-SEGMENT'!$FW$8:$FW$1000)/SUMPRODUCT(('ANALYSE - ERP =&gt; SOUS-SEGMENT'!$B$8:$B$1000=$B8)*'ANALYSE - ERP =&gt; SOUS-SEGMENT'!$Q$8:$Q$1000*'ANALYSE - ERP =&gt; SOUS-SEGMENT'!$EZ$8:$EZ$1000),""))</f>
        <v>2.2353333198502154</v>
      </c>
      <c r="FX8" s="312">
        <f>IF($B8="","",RANK($FW8,$FW$8:$FW$20,0)+COUNTIF($FW$8:$FW8,$FW8)-1)</f>
        <v>7</v>
      </c>
      <c r="FY8" s="657"/>
      <c r="FZ8" s="646" t="s">
        <v>6308</v>
      </c>
      <c r="GA8" s="646" t="s">
        <v>6309</v>
      </c>
      <c r="GB8" s="646" t="s">
        <v>6310</v>
      </c>
      <c r="GC8" s="646" t="s">
        <v>6311</v>
      </c>
      <c r="GD8" s="646" t="s">
        <v>6312</v>
      </c>
      <c r="GE8" s="646" t="s">
        <v>6313</v>
      </c>
      <c r="GF8" s="940" t="s">
        <v>6314</v>
      </c>
      <c r="GG8" s="657"/>
      <c r="GH8" s="311">
        <f t="shared" ref="GH8:GH20" si="40">IF($B8="","",GI8+GJ8)</f>
        <v>76560.057617111626</v>
      </c>
      <c r="GI8" s="311">
        <f>IF($B8="","",SUMPRODUCT(('ANALYSE - ERP =&gt; SOUS-SEGMENT'!$B$8:$B$1000=$B8)*'ANALYSE - ERP =&gt; SOUS-SEGMENT'!$Q$8:$Q$1000*'ANALYSE - ERP =&gt; SOUS-SEGMENT'!$GI$8:$GI$1000))</f>
        <v>58766.515943111634</v>
      </c>
      <c r="GJ8" s="311">
        <f>IF($B8="","",SUMPRODUCT(('ANALYSE - ERP =&gt; SOUS-SEGMENT'!$B$8:$B$1000=$B8)*'ANALYSE - ERP =&gt; SOUS-SEGMENT'!$Q$8:$Q$1000*'ANALYSE - ERP =&gt; SOUS-SEGMENT'!$GJ$8:$GJ$1000))</f>
        <v>17793.541674</v>
      </c>
      <c r="GK8" s="311">
        <f t="shared" ref="GK8:GK20" si="41">IF($B8="","",GL8+GM8)</f>
        <v>254091.4118139745</v>
      </c>
      <c r="GL8" s="311">
        <f>IF($B8="","",SUMPRODUCT(('ANALYSE - ERP =&gt; SOUS-SEGMENT'!$B$8:$B$1000=$B8)*'ANALYSE - ERP =&gt; SOUS-SEGMENT'!$Q$8:$Q$1000*'ANALYSE - ERP =&gt; SOUS-SEGMENT'!$GL$8:$GL$1000))</f>
        <v>183193.7869705745</v>
      </c>
      <c r="GM8" s="311">
        <f>IF($B8="","",SUMPRODUCT(('ANALYSE - ERP =&gt; SOUS-SEGMENT'!$B$8:$B$1000=$B8)*'ANALYSE - ERP =&gt; SOUS-SEGMENT'!$Q$8:$Q$1000*'ANALYSE - ERP =&gt; SOUS-SEGMENT'!$GM$8:$GM$1000))</f>
        <v>70897.624843400001</v>
      </c>
      <c r="GN8" s="311">
        <f t="shared" ref="GN8:GN20" si="42">IF($B8="","",GO8+GP8)</f>
        <v>20151.372576605998</v>
      </c>
      <c r="GO8" s="311">
        <f>IF($B8="","",SUMPRODUCT(('ANALYSE - ERP =&gt; SOUS-SEGMENT'!$B$8:$B$1000=$B8)*'ANALYSE - ERP =&gt; SOUS-SEGMENT'!$Q$8:$Q$1000*'ANALYSE - ERP =&gt; SOUS-SEGMENT'!$GO$8:$GO$1000))</f>
        <v>12924.292027805997</v>
      </c>
      <c r="GP8" s="311">
        <f>IF($B8="","",SUMPRODUCT(('ANALYSE - ERP =&gt; SOUS-SEGMENT'!$B$8:$B$1000=$B8)*'ANALYSE - ERP =&gt; SOUS-SEGMENT'!$Q$8:$Q$1000*'ANALYSE - ERP =&gt; SOUS-SEGMENT'!$GP$8:$GP$1000))</f>
        <v>7227.0805487999996</v>
      </c>
      <c r="GQ8" s="311">
        <f t="shared" ref="GQ8:GQ20" si="43">IF($B8="","",GR8+GS8)</f>
        <v>13436.883322971737</v>
      </c>
      <c r="GR8" s="311">
        <f>IF($B8="","",SUMPRODUCT(('ANALYSE - ERP =&gt; SOUS-SEGMENT'!$B$8:$B$1000=$B8)*'ANALYSE - ERP =&gt; SOUS-SEGMENT'!$Q$8:$Q$1000*'ANALYSE - ERP =&gt; SOUS-SEGMENT'!$GR$8:$GR$1000))</f>
        <v>10319.703029171736</v>
      </c>
      <c r="GS8" s="311">
        <f>IF($B8="","",SUMPRODUCT(('ANALYSE - ERP =&gt; SOUS-SEGMENT'!$B$8:$B$1000=$B8)*'ANALYSE - ERP =&gt; SOUS-SEGMENT'!$Q$8:$Q$1000*'ANALYSE - ERP =&gt; SOUS-SEGMENT'!$GS$8:$GS$1000))</f>
        <v>3117.1802938000001</v>
      </c>
      <c r="GT8" s="311">
        <f t="shared" ref="GT8:GT20" si="44">IF($B8="","",GU8+GV8)</f>
        <v>19609.810058959534</v>
      </c>
      <c r="GU8" s="311">
        <f>IF($B8="","",SUMPRODUCT(('ANALYSE - ERP =&gt; SOUS-SEGMENT'!$B$8:$B$1000=$B8)*'ANALYSE - ERP =&gt; SOUS-SEGMENT'!$Q$8:$Q$1000*'ANALYSE - ERP =&gt; SOUS-SEGMENT'!$GU$8:$GU$1000))</f>
        <v>14298.904668129535</v>
      </c>
      <c r="GV8" s="311">
        <f>IF($B8="","",SUMPRODUCT(('ANALYSE - ERP =&gt; SOUS-SEGMENT'!$B$8:$B$1000=$B8)*'ANALYSE - ERP =&gt; SOUS-SEGMENT'!$Q$8:$Q$1000*'ANALYSE - ERP =&gt; SOUS-SEGMENT'!$GV$8:$GV$1000))</f>
        <v>5310.9053908300011</v>
      </c>
      <c r="GW8" s="311">
        <f t="shared" ref="GW8:GW20" si="45">IF($B8="","",GX8+GY8)</f>
        <v>33857.522228243979</v>
      </c>
      <c r="GX8" s="311">
        <f>IF($B8="","",SUMPRODUCT(('ANALYSE - ERP =&gt; SOUS-SEGMENT'!$B$8:$B$1000=$B8)*'ANALYSE - ERP =&gt; SOUS-SEGMENT'!$Q$8:$Q$1000*'ANALYSE - ERP =&gt; SOUS-SEGMENT'!$GX$8:$GX$1000))</f>
        <v>22952.241217098479</v>
      </c>
      <c r="GY8" s="311">
        <f>IF($B8="","",SUMPRODUCT(('ANALYSE - ERP =&gt; SOUS-SEGMENT'!$B$8:$B$1000=$B8)*'ANALYSE - ERP =&gt; SOUS-SEGMENT'!$Q$8:$Q$1000*'ANALYSE - ERP =&gt; SOUS-SEGMENT'!$GY$8:$GY$1000))</f>
        <v>10905.2810111455</v>
      </c>
      <c r="GZ8" s="311">
        <f t="shared" ref="GZ8:GZ20" si="46">IF($B8="","",HA8+HB8)</f>
        <v>6136.2404986186875</v>
      </c>
      <c r="HA8" s="311">
        <f>IF($B8="","",SUMPRODUCT(('ANALYSE - ERP =&gt; SOUS-SEGMENT'!$B$8:$B$1000=$B8)*'ANALYSE - ERP =&gt; SOUS-SEGMENT'!$Q$8:$Q$1000*'ANALYSE - ERP =&gt; SOUS-SEGMENT'!$HA$8:$HA$1000))</f>
        <v>3940.2792287441875</v>
      </c>
      <c r="HB8" s="311">
        <f>IF($B8="","",SUMPRODUCT(('ANALYSE - ERP =&gt; SOUS-SEGMENT'!$B$8:$B$1000=$B8)*'ANALYSE - ERP =&gt; SOUS-SEGMENT'!$Q$8:$Q$1000*'ANALYSE - ERP =&gt; SOUS-SEGMENT'!$HB$8:$HB$1000))</f>
        <v>2195.9612698745</v>
      </c>
      <c r="HC8" s="311">
        <f t="shared" ref="HC8:HC20" si="47">IF($B8="","",HD8+HE8)</f>
        <v>5587.9692017876905</v>
      </c>
      <c r="HD8" s="311">
        <f>IF($B8="","",SUMPRODUCT(('ANALYSE - ERP =&gt; SOUS-SEGMENT'!$B$8:$B$1000=$B8)*'ANALYSE - ERP =&gt; SOUS-SEGMENT'!$Q$8:$Q$1000*'ANALYSE - ERP =&gt; SOUS-SEGMENT'!$HD$8:$HD$1000))</f>
        <v>4246.1242267876905</v>
      </c>
      <c r="HE8" s="311">
        <f>IF($B8="","",SUMPRODUCT(('ANALYSE - ERP =&gt; SOUS-SEGMENT'!$B$8:$B$1000=$B8)*'ANALYSE - ERP =&gt; SOUS-SEGMENT'!$Q$8:$Q$1000*'ANALYSE - ERP =&gt; SOUS-SEGMENT'!$HE$8:$HE$1000))</f>
        <v>1341.844975</v>
      </c>
      <c r="HF8" s="311">
        <f t="shared" ref="HF8:HF20" si="48">IF($B8="","",HG8+HH8)</f>
        <v>51168.109329044317</v>
      </c>
      <c r="HG8" s="311">
        <f>IF($B8="","",SUMPRODUCT(('ANALYSE - ERP =&gt; SOUS-SEGMENT'!$B$8:$B$1000=$B8)*'ANALYSE - ERP =&gt; SOUS-SEGMENT'!$Q$8:$Q$1000*'ANALYSE - ERP =&gt; SOUS-SEGMENT'!$HG$8:$HG$1000))</f>
        <v>36359.533614544314</v>
      </c>
      <c r="HH8" s="311">
        <f>IF($B8="","",SUMPRODUCT(('ANALYSE - ERP =&gt; SOUS-SEGMENT'!$B$8:$B$1000=$B8)*'ANALYSE - ERP =&gt; SOUS-SEGMENT'!$Q$8:$Q$1000*'ANALYSE - ERP =&gt; SOUS-SEGMENT'!$HH$8:$HH$1000))</f>
        <v>14808.575714500001</v>
      </c>
      <c r="HI8" s="311">
        <f t="shared" ref="HI8:HI20" si="49">IF($B8="","",HJ8+HK8)</f>
        <v>6555.9045333679996</v>
      </c>
      <c r="HJ8" s="311">
        <f>IF($B8="","",SUMPRODUCT(('ANALYSE - ERP =&gt; SOUS-SEGMENT'!$B$8:$B$1000=$B8)*'ANALYSE - ERP =&gt; SOUS-SEGMENT'!$Q$8:$Q$1000*'ANALYSE - ERP =&gt; SOUS-SEGMENT'!$HJ$8:$HJ$1000))</f>
        <v>4224.1064303679996</v>
      </c>
      <c r="HK8" s="311">
        <f>IF($B8="","",SUMPRODUCT(('ANALYSE - ERP =&gt; SOUS-SEGMENT'!$B$8:$B$1000=$B8)*'ANALYSE - ERP =&gt; SOUS-SEGMENT'!$Q$8:$Q$1000*'ANALYSE - ERP =&gt; SOUS-SEGMENT'!$HK$8:$HK$1000))</f>
        <v>2331.7981030000001</v>
      </c>
      <c r="HL8" s="311">
        <f t="shared" ref="HL8:HL20" si="50">IF($B8="","",HM8+HN8)</f>
        <v>18764.734597650491</v>
      </c>
      <c r="HM8" s="311">
        <f>IF($B8="","",SUMPRODUCT(('ANALYSE - ERP =&gt; SOUS-SEGMENT'!$B$8:$B$1000=$B8)*'ANALYSE - ERP =&gt; SOUS-SEGMENT'!$Q$8:$Q$1000*'ANALYSE - ERP =&gt; SOUS-SEGMENT'!$HM$8:$HM$1000))</f>
        <v>13365.183440150491</v>
      </c>
      <c r="HN8" s="311">
        <f>IF($B8="","",SUMPRODUCT(('ANALYSE - ERP =&gt; SOUS-SEGMENT'!$B$8:$B$1000=$B8)*'ANALYSE - ERP =&gt; SOUS-SEGMENT'!$Q$8:$Q$1000*'ANALYSE - ERP =&gt; SOUS-SEGMENT'!$HN$8:$HN$1000))</f>
        <v>5399.5511574999991</v>
      </c>
      <c r="HO8" s="311">
        <f t="shared" ref="HO8:HO20" si="51">IF($B8="","",HP8+HQ8)</f>
        <v>186958.74254567834</v>
      </c>
      <c r="HP8" s="311">
        <f>IF($B8="","",SUMPRODUCT(('ANALYSE - ERP =&gt; SOUS-SEGMENT'!$B$8:$B$1000=$B8)*'ANALYSE - ERP =&gt; SOUS-SEGMENT'!$Q$8:$Q$1000*'ANALYSE - ERP =&gt; SOUS-SEGMENT'!$HP$8:$HP$1000))</f>
        <v>144589.86526567832</v>
      </c>
      <c r="HQ8" s="311">
        <f>IF($B8="","",SUMPRODUCT(('ANALYSE - ERP =&gt; SOUS-SEGMENT'!$B$8:$B$1000=$B8)*'ANALYSE - ERP =&gt; SOUS-SEGMENT'!$Q$8:$Q$1000*'ANALYSE - ERP =&gt; SOUS-SEGMENT'!$HQ$8:$HQ$1000))</f>
        <v>42368.877280000001</v>
      </c>
      <c r="HR8" s="311">
        <f t="shared" ref="HR8:HR20" si="52">IF($B8="","",HS8+HT8)</f>
        <v>111298.52640471644</v>
      </c>
      <c r="HS8" s="311">
        <f>IF($B8="","",SUMPRODUCT(('ANALYSE - ERP =&gt; SOUS-SEGMENT'!$B$8:$B$1000=$B8)*'ANALYSE - ERP =&gt; SOUS-SEGMENT'!$Q$8:$Q$1000*'ANALYSE - ERP =&gt; SOUS-SEGMENT'!$HS$8:$HS$1000))</f>
        <v>77436.949272716432</v>
      </c>
      <c r="HT8" s="311">
        <f>IF($B8="","",SUMPRODUCT(('ANALYSE - ERP =&gt; SOUS-SEGMENT'!$B$8:$B$1000=$B8)*'ANALYSE - ERP =&gt; SOUS-SEGMENT'!$Q$8:$Q$1000*'ANALYSE - ERP =&gt; SOUS-SEGMENT'!$HT$8:$HT$1000))</f>
        <v>33861.577132000006</v>
      </c>
      <c r="HU8" s="311">
        <f t="shared" ref="HU8:HU20" si="53">IF($B8="","",HV8+HW8)</f>
        <v>11193.947790111</v>
      </c>
      <c r="HV8" s="311">
        <f>IF($B8="","",SUMPRODUCT(('ANALYSE - ERP =&gt; SOUS-SEGMENT'!$B$8:$B$1000=$B8)*'ANALYSE - ERP =&gt; SOUS-SEGMENT'!$Q$8:$Q$1000*'ANALYSE - ERP =&gt; SOUS-SEGMENT'!$HV$8:$HV$1000))</f>
        <v>5049.5575021109998</v>
      </c>
      <c r="HW8" s="311">
        <f>IF($B8="","",SUMPRODUCT(('ANALYSE - ERP =&gt; SOUS-SEGMENT'!$B$8:$B$1000=$B8)*'ANALYSE - ERP =&gt; SOUS-SEGMENT'!$Q$8:$Q$1000*'ANALYSE - ERP =&gt; SOUS-SEGMENT'!$HW$8:$HW$1000))</f>
        <v>6144.3902880000014</v>
      </c>
      <c r="HY8" s="313">
        <f t="shared" ref="HY8:HY20" si="54">IF($B8="","",SUM(HZ8:ID8))</f>
        <v>2807352.1850000001</v>
      </c>
      <c r="HZ8" s="313">
        <f>IF($B8="","",SUMPRODUCT(('ANALYSE - ERP =&gt; SOUS-SEGMENT'!$B$8:$B$1000=$B8)*'ANALYSE - ERP =&gt; SOUS-SEGMENT'!$Q$8:$Q$1000*'ANALYSE - ERP =&gt; SOUS-SEGMENT'!$HZ$8:$HZ$1000))</f>
        <v>246484.24332249997</v>
      </c>
      <c r="IA8" s="313">
        <f>IF($B8="","",SUMPRODUCT(('ANALYSE - ERP =&gt; SOUS-SEGMENT'!$B$8:$B$1000=$B8)*'ANALYSE - ERP =&gt; SOUS-SEGMENT'!$Q$8:$Q$1000*'ANALYSE - ERP =&gt; SOUS-SEGMENT'!$IA$8:$IA$1000))</f>
        <v>1380972.695659</v>
      </c>
      <c r="IB8" s="313">
        <f>IF($B8="","",SUMPRODUCT(('ANALYSE - ERP =&gt; SOUS-SEGMENT'!$B$8:$B$1000=$B8)*'ANALYSE - ERP =&gt; SOUS-SEGMENT'!$Q$8:$Q$1000*'ANALYSE - ERP =&gt; SOUS-SEGMENT'!$IB$8:$IB$1000))</f>
        <v>1029162.9855935001</v>
      </c>
      <c r="IC8" s="313">
        <f>IF($B8="","",SUMPRODUCT(('ANALYSE - ERP =&gt; SOUS-SEGMENT'!$B$8:$B$1000=$B8)*'ANALYSE - ERP =&gt; SOUS-SEGMENT'!$Q$8:$Q$1000*'ANALYSE - ERP =&gt; SOUS-SEGMENT'!$IC$8:$IC$1000))</f>
        <v>146435.412843</v>
      </c>
      <c r="ID8" s="313">
        <f>IF($B8="","",SUMPRODUCT(('ANALYSE - ERP =&gt; SOUS-SEGMENT'!$B$8:$B$1000=$B8)*'ANALYSE - ERP =&gt; SOUS-SEGMENT'!$Q$8:$Q$1000*'ANALYSE - ERP =&gt; SOUS-SEGMENT'!$ID$8:$ID$1000))</f>
        <v>4296.8475820000003</v>
      </c>
      <c r="IE8" s="313">
        <f t="shared" ref="IE8:IE20" si="55">IF($B8="","",SUM(IF8:IJ8))</f>
        <v>587967.73938848998</v>
      </c>
      <c r="IF8" s="313">
        <f>IF($B8="","",SUMPRODUCT(('ANALYSE - ERP =&gt; SOUS-SEGMENT'!$B$8:$B$1000=$B8)*'ANALYSE - ERP =&gt; SOUS-SEGMENT'!$Q$8:$Q$1000*'ANALYSE - ERP =&gt; SOUS-SEGMENT'!$IF$8:$IF$1000))</f>
        <v>19543.769652916981</v>
      </c>
      <c r="IG8" s="313">
        <f>IF($B8="","",SUMPRODUCT(('ANALYSE - ERP =&gt; SOUS-SEGMENT'!$B$8:$B$1000=$B8)*'ANALYSE - ERP =&gt; SOUS-SEGMENT'!$Q$8:$Q$1000*'ANALYSE - ERP =&gt; SOUS-SEGMENT'!$IG$8:$IG$1000))</f>
        <v>210035.18600462578</v>
      </c>
      <c r="IH8" s="313">
        <f>IF($B8="","",SUMPRODUCT(('ANALYSE - ERP =&gt; SOUS-SEGMENT'!$B$8:$B$1000=$B8)*'ANALYSE - ERP =&gt; SOUS-SEGMENT'!$Q$8:$Q$1000*'ANALYSE - ERP =&gt; SOUS-SEGMENT'!$IH$8:$IH$1000))</f>
        <v>287168.15588408476</v>
      </c>
      <c r="II8" s="313">
        <f>IF($B8="","",SUMPRODUCT(('ANALYSE - ERP =&gt; SOUS-SEGMENT'!$B$8:$B$1000=$B8)*'ANALYSE - ERP =&gt; SOUS-SEGMENT'!$Q$8:$Q$1000*'ANALYSE - ERP =&gt; SOUS-SEGMENT'!$II$8:$II$1000))</f>
        <v>67853.247370406461</v>
      </c>
      <c r="IJ8" s="313">
        <f>IF($B8="","",SUMPRODUCT(('ANALYSE - ERP =&gt; SOUS-SEGMENT'!$B$8:$B$1000=$B8)*'ANALYSE - ERP =&gt; SOUS-SEGMENT'!$Q$8:$Q$1000*'ANALYSE - ERP =&gt; SOUS-SEGMENT'!$IJ$8:$IJ$1000))</f>
        <v>3367.38047645607</v>
      </c>
      <c r="IK8" s="866">
        <f>IF($B8="","",IFERROR(SUMPRODUCT(('ANALYSE - ERP =&gt; SOUS-SEGMENT'!$B$8:$B$1000=$B8)*'ANALYSE - ERP =&gt; SOUS-SEGMENT'!$Q$8:$Q$1000*'ANALYSE - ERP =&gt; SOUS-SEGMENT'!$IE$8:$IE$1000*'ANALYSE - ERP =&gt; SOUS-SEGMENT'!$IK$8:$IK$1000)/SUMPRODUCT(('ANALYSE - ERP =&gt; SOUS-SEGMENT'!$B$8:$B$1000=$B8)*'ANALYSE - ERP =&gt; SOUS-SEGMENT'!$Q$8:$Q$1000*'ANALYSE - ERP =&gt; SOUS-SEGMENT'!$IE$8:$IE$1000),""))</f>
        <v>4.3143431910689669</v>
      </c>
      <c r="IL8" s="920" t="s">
        <v>6315</v>
      </c>
      <c r="IM8" s="956" t="s">
        <v>6316</v>
      </c>
      <c r="IN8" s="657"/>
      <c r="IO8" s="730">
        <f>IF($B8="","",IFERROR(SUMPRODUCT(('ANALYSE - ERP =&gt; SOUS-SEGMENT'!$B$8:$B$1000=$B8)*'ANALYSE - ERP =&gt; SOUS-SEGMENT'!$Q$8:$Q$1000*'ANALYSE - ERP =&gt; SOUS-SEGMENT'!$BE$8:$BE$1000*'ANALYSE - ERP =&gt; SOUS-SEGMENT'!$IO$8:$IO$1000)/SUMPRODUCT(('ANALYSE - ERP =&gt; SOUS-SEGMENT'!$B$8:$B$1000=$B8)*'ANALYSE - ERP =&gt; SOUS-SEGMENT'!$Q$8:$Q$1000*'ANALYSE - ERP =&gt; SOUS-SEGMENT'!$BE$8:$BE$1000),""))</f>
        <v>7.8048828246302382E-2</v>
      </c>
      <c r="IP8" s="730">
        <f>IF($B8="","",IFERROR(SUMPRODUCT(('ANALYSE - ERP =&gt; SOUS-SEGMENT'!$B$8:$B$1000=$B8)*'ANALYSE - ERP =&gt; SOUS-SEGMENT'!$Q$8:$Q$1000*'ANALYSE - ERP =&gt; SOUS-SEGMENT'!$BE$8:$BE$1000*'ANALYSE - ERP =&gt; SOUS-SEGMENT'!$IP$8:$IP$1000)/SUMPRODUCT(('ANALYSE - ERP =&gt; SOUS-SEGMENT'!$B$8:$B$1000=$B8)*'ANALYSE - ERP =&gt; SOUS-SEGMENT'!$Q$8:$Q$1000*'ANALYSE - ERP =&gt; SOUS-SEGMENT'!$BE$8:$BE$1000),""))</f>
        <v>0.48282886406017722</v>
      </c>
      <c r="IQ8" s="730">
        <f>IF($B8="","",IFERROR(SUMPRODUCT(('ANALYSE - ERP =&gt; SOUS-SEGMENT'!$B$8:$B$1000=$B8)*'ANALYSE - ERP =&gt; SOUS-SEGMENT'!$Q$8:$Q$1000*'ANALYSE - ERP =&gt; SOUS-SEGMENT'!$BE$8:$BE$1000*'ANALYSE - ERP =&gt; SOUS-SEGMENT'!$IQ$8:$IQ$1000)/SUMPRODUCT(('ANALYSE - ERP =&gt; SOUS-SEGMENT'!$B$8:$B$1000=$B8)*'ANALYSE - ERP =&gt; SOUS-SEGMENT'!$Q$8:$Q$1000*'ANALYSE - ERP =&gt; SOUS-SEGMENT'!$BE$8:$BE$1000),""))</f>
        <v>0.3828800408580828</v>
      </c>
      <c r="IR8" s="730">
        <f>IF($B8="","",IFERROR(SUMPRODUCT(('ANALYSE - ERP =&gt; SOUS-SEGMENT'!$B$8:$B$1000=$B8)*'ANALYSE - ERP =&gt; SOUS-SEGMENT'!$Q$8:$Q$1000*'ANALYSE - ERP =&gt; SOUS-SEGMENT'!$BE$8:$BE$1000*'ANALYSE - ERP =&gt; SOUS-SEGMENT'!$IR$8:$IR$1000)/SUMPRODUCT(('ANALYSE - ERP =&gt; SOUS-SEGMENT'!$B$8:$B$1000=$B8)*'ANALYSE - ERP =&gt; SOUS-SEGMENT'!$Q$8:$Q$1000*'ANALYSE - ERP =&gt; SOUS-SEGMENT'!$BE$8:$BE$1000),""))</f>
        <v>5.4766891081367793E-2</v>
      </c>
      <c r="IS8" s="730">
        <f>IF($B8="","",IFERROR(SUMPRODUCT(('ANALYSE - ERP =&gt; SOUS-SEGMENT'!$B$8:$B$1000=$B8)*'ANALYSE - ERP =&gt; SOUS-SEGMENT'!$Q$8:$Q$1000*'ANALYSE - ERP =&gt; SOUS-SEGMENT'!$BE$8:$BE$1000*'ANALYSE - ERP =&gt; SOUS-SEGMENT'!$IS$8:$IS$1000)/SUMPRODUCT(('ANALYSE - ERP =&gt; SOUS-SEGMENT'!$B$8:$B$1000=$B8)*'ANALYSE - ERP =&gt; SOUS-SEGMENT'!$Q$8:$Q$1000*'ANALYSE - ERP =&gt; SOUS-SEGMENT'!$BE$8:$BE$1000),""))</f>
        <v>1.4753757540696512E-3</v>
      </c>
      <c r="IT8" s="730">
        <f>IF($B8="","",IFERROR(SUMPRODUCT(('ANALYSE - ERP =&gt; SOUS-SEGMENT'!$B$8:$B$1000=$B8)*'ANALYSE - ERP =&gt; SOUS-SEGMENT'!$Q$8:$Q$1000*'ANALYSE - ERP =&gt; SOUS-SEGMENT'!$FB$8:$FB$1000*'ANALYSE - ERP =&gt; SOUS-SEGMENT'!$IT$8:$IT$1000)/SUMPRODUCT(('ANALYSE - ERP =&gt; SOUS-SEGMENT'!$B$8:$B$1000=$B8)*'ANALYSE - ERP =&gt; SOUS-SEGMENT'!$Q$8:$Q$1000*'ANALYSE - ERP =&gt; SOUS-SEGMENT'!$FB$8:$FB$1000),""))</f>
        <v>2.9206138286372658E-2</v>
      </c>
      <c r="IU8" s="730">
        <f>IF($B8="","",IFERROR(SUMPRODUCT(('ANALYSE - ERP =&gt; SOUS-SEGMENT'!$B$8:$B$1000=$B8)*'ANALYSE - ERP =&gt; SOUS-SEGMENT'!$Q$8:$Q$1000*'ANALYSE - ERP =&gt; SOUS-SEGMENT'!$FB$8:$FB$1000*'ANALYSE - ERP =&gt; SOUS-SEGMENT'!$IU$8:$IU$1000)/SUMPRODUCT(('ANALYSE - ERP =&gt; SOUS-SEGMENT'!$B$8:$B$1000=$B8)*'ANALYSE - ERP =&gt; SOUS-SEGMENT'!$Q$8:$Q$1000*'ANALYSE - ERP =&gt; SOUS-SEGMENT'!$FB$8:$FB$1000),""))</f>
        <v>0.34262890372285343</v>
      </c>
      <c r="IV8" s="730">
        <f>IF($B8="","",IFERROR(SUMPRODUCT(('ANALYSE - ERP =&gt; SOUS-SEGMENT'!$B$8:$B$1000=$B8)*'ANALYSE - ERP =&gt; SOUS-SEGMENT'!$Q$8:$Q$1000*'ANALYSE - ERP =&gt; SOUS-SEGMENT'!$FB$8:$FB$1000*'ANALYSE - ERP =&gt; SOUS-SEGMENT'!$IV$8:$IV$1000)/SUMPRODUCT(('ANALYSE - ERP =&gt; SOUS-SEGMENT'!$B$8:$B$1000=$B8)*'ANALYSE - ERP =&gt; SOUS-SEGMENT'!$Q$8:$Q$1000*'ANALYSE - ERP =&gt; SOUS-SEGMENT'!$FB$8:$FB$1000),""))</f>
        <v>0.50051878233004787</v>
      </c>
      <c r="IW8" s="730">
        <f>IF($B8="","",IFERROR(SUMPRODUCT(('ANALYSE - ERP =&gt; SOUS-SEGMENT'!$B$8:$B$1000=$B8)*'ANALYSE - ERP =&gt; SOUS-SEGMENT'!$Q$8:$Q$1000*'ANALYSE - ERP =&gt; SOUS-SEGMENT'!$FB$8:$FB$1000*'ANALYSE - ERP =&gt; SOUS-SEGMENT'!$IW$8:$IW$1000)/SUMPRODUCT(('ANALYSE - ERP =&gt; SOUS-SEGMENT'!$B$8:$B$1000=$B8)*'ANALYSE - ERP =&gt; SOUS-SEGMENT'!$Q$8:$Q$1000*'ANALYSE - ERP =&gt; SOUS-SEGMENT'!$FB$8:$FB$1000),""))</f>
        <v>0.12191314667225918</v>
      </c>
      <c r="IX8" s="730">
        <f>IF($B8="","",IFERROR(SUMPRODUCT(('ANALYSE - ERP =&gt; SOUS-SEGMENT'!$B$8:$B$1000=$B8)*'ANALYSE - ERP =&gt; SOUS-SEGMENT'!$Q$8:$Q$1000*'ANALYSE - ERP =&gt; SOUS-SEGMENT'!$FB$8:$FB$1000*'ANALYSE - ERP =&gt; SOUS-SEGMENT'!$IX$8:$IX$1000)/SUMPRODUCT(('ANALYSE - ERP =&gt; SOUS-SEGMENT'!$B$8:$B$1000=$B8)*'ANALYSE - ERP =&gt; SOUS-SEGMENT'!$Q$8:$Q$1000*'ANALYSE - ERP =&gt; SOUS-SEGMENT'!$FB$8:$FB$1000),""))</f>
        <v>5.7330289884670593E-3</v>
      </c>
      <c r="IY8" s="730">
        <f>IF($B8="","",IFERROR(SUMPRODUCT(('ANALYSE - ERP =&gt; SOUS-SEGMENT'!$B$8:$B$1000=$B8)*'ANALYSE - ERP =&gt; SOUS-SEGMENT'!$Q$8:$Q$1000*'ANALYSE - ERP =&gt; SOUS-SEGMENT'!$BF$8:$BF$1000*'ANALYSE - ERP =&gt; SOUS-SEGMENT'!$IY$8:$IY$1000)/SUMPRODUCT(('ANALYSE - ERP =&gt; SOUS-SEGMENT'!$B$8:$B$1000=$B8)*'ANALYSE - ERP =&gt; SOUS-SEGMENT'!$Q$8:$Q$1000*'ANALYSE - ERP =&gt; SOUS-SEGMENT'!$BF$8:$BF$1000),""))</f>
        <v>6.8418305823435069E-2</v>
      </c>
      <c r="IZ8" s="730">
        <f>IF($B8="","",IFERROR(SUMPRODUCT(('ANALYSE - ERP =&gt; SOUS-SEGMENT'!$B$8:$B$1000=$B8)*'ANALYSE - ERP =&gt; SOUS-SEGMENT'!$Q$8:$Q$1000*'ANALYSE - ERP =&gt; SOUS-SEGMENT'!$BF$8:$BF$1000*'ANALYSE - ERP =&gt; SOUS-SEGMENT'!$IZ$8:$IZ$1000)/SUMPRODUCT(('ANALYSE - ERP =&gt; SOUS-SEGMENT'!$B$8:$B$1000=$B8)*'ANALYSE - ERP =&gt; SOUS-SEGMENT'!$Q$8:$Q$1000*'ANALYSE - ERP =&gt; SOUS-SEGMENT'!$BF$8:$BF$1000),""))</f>
        <v>0.42540882809033731</v>
      </c>
      <c r="JA8" s="730">
        <f>IF($B8="","",IFERROR(SUMPRODUCT(('ANALYSE - ERP =&gt; SOUS-SEGMENT'!$B$8:$B$1000=$B8)*'ANALYSE - ERP =&gt; SOUS-SEGMENT'!$Q$8:$Q$1000*'ANALYSE - ERP =&gt; SOUS-SEGMENT'!$BF$8:$BF$1000*'ANALYSE - ERP =&gt; SOUS-SEGMENT'!$JA$8:$JA$1000)/SUMPRODUCT(('ANALYSE - ERP =&gt; SOUS-SEGMENT'!$B$8:$B$1000=$B8)*'ANALYSE - ERP =&gt; SOUS-SEGMENT'!$Q$8:$Q$1000*'ANALYSE - ERP =&gt; SOUS-SEGMENT'!$BF$8:$BF$1000),""))</f>
        <v>0.39964465961428075</v>
      </c>
      <c r="JB8" s="730">
        <f>IF($B8="","",IFERROR(SUMPRODUCT(('ANALYSE - ERP =&gt; SOUS-SEGMENT'!$B$8:$B$1000=$B8)*'ANALYSE - ERP =&gt; SOUS-SEGMENT'!$Q$8:$Q$1000*'ANALYSE - ERP =&gt; SOUS-SEGMENT'!$BF$8:$BF$1000*'ANALYSE - ERP =&gt; SOUS-SEGMENT'!$JB$8:$JB$1000)/SUMPRODUCT(('ANALYSE - ERP =&gt; SOUS-SEGMENT'!$B$8:$B$1000=$B8)*'ANALYSE - ERP =&gt; SOUS-SEGMENT'!$Q$8:$Q$1000*'ANALYSE - ERP =&gt; SOUS-SEGMENT'!$BF$8:$BF$1000),""))</f>
        <v>0.10014941777319179</v>
      </c>
      <c r="JC8" s="730">
        <f>IF($B8="","",IFERROR(SUMPRODUCT(('ANALYSE - ERP =&gt; SOUS-SEGMENT'!$B$8:$B$1000=$B8)*'ANALYSE - ERP =&gt; SOUS-SEGMENT'!$Q$8:$Q$1000*'ANALYSE - ERP =&gt; SOUS-SEGMENT'!$BF$8:$BF$1000*'ANALYSE - ERP =&gt; SOUS-SEGMENT'!$JC$8:$JC$1000)/SUMPRODUCT(('ANALYSE - ERP =&gt; SOUS-SEGMENT'!$B$8:$B$1000=$B8)*'ANALYSE - ERP =&gt; SOUS-SEGMENT'!$Q$8:$Q$1000*'ANALYSE - ERP =&gt; SOUS-SEGMENT'!$BF$8:$BF$1000),""))</f>
        <v>5.9531254950487495E-3</v>
      </c>
      <c r="JD8" s="730">
        <f>IF($B8="","",IFERROR(SUMPRODUCT(('ANALYSE - ERP =&gt; SOUS-SEGMENT'!$B$8:$B$1000=$B8)*'ANALYSE - ERP =&gt; SOUS-SEGMENT'!$Q$8:$Q$1000*'ANALYSE - ERP =&gt; SOUS-SEGMENT'!$FE$8:$FE$1000*'ANALYSE - ERP =&gt; SOUS-SEGMENT'!$JD$8:$JD$1000)/SUMPRODUCT(('ANALYSE - ERP =&gt; SOUS-SEGMENT'!$B$8:$B$1000=$B8)*'ANALYSE - ERP =&gt; SOUS-SEGMENT'!$Q$8:$Q$1000*'ANALYSE - ERP =&gt; SOUS-SEGMENT'!$FE$8:$FE$1000),""))</f>
        <v>2.4379458942338363E-2</v>
      </c>
      <c r="JE8" s="730">
        <f>IF($B8="","",IFERROR(SUMPRODUCT(('ANALYSE - ERP =&gt; SOUS-SEGMENT'!$B$8:$B$1000=$B8)*'ANALYSE - ERP =&gt; SOUS-SEGMENT'!$Q$8:$Q$1000*'ANALYSE - ERP =&gt; SOUS-SEGMENT'!$FE$8:$FE$1000*'ANALYSE - ERP =&gt; SOUS-SEGMENT'!$JE$8:$JE$1000)/SUMPRODUCT(('ANALYSE - ERP =&gt; SOUS-SEGMENT'!$B$8:$B$1000=$B8)*'ANALYSE - ERP =&gt; SOUS-SEGMENT'!$Q$8:$Q$1000*'ANALYSE - ERP =&gt; SOUS-SEGMENT'!$FE$8:$FE$1000),""))</f>
        <v>0.2923004704077134</v>
      </c>
      <c r="JF8" s="730">
        <f>IF($B8="","",IFERROR(SUMPRODUCT(('ANALYSE - ERP =&gt; SOUS-SEGMENT'!$B$8:$B$1000=$B8)*'ANALYSE - ERP =&gt; SOUS-SEGMENT'!$Q$8:$Q$1000*'ANALYSE - ERP =&gt; SOUS-SEGMENT'!$FE$8:$FE$1000*'ANALYSE - ERP =&gt; SOUS-SEGMENT'!$JF$8:$JF$1000)/SUMPRODUCT(('ANALYSE - ERP =&gt; SOUS-SEGMENT'!$B$8:$B$1000=$B8)*'ANALYSE - ERP =&gt; SOUS-SEGMENT'!$Q$8:$Q$1000*'ANALYSE - ERP =&gt; SOUS-SEGMENT'!$FE$8:$FE$1000),""))</f>
        <v>0.4852930042883925</v>
      </c>
      <c r="JG8" s="730">
        <f>IF($B8="","",IFERROR(SUMPRODUCT(('ANALYSE - ERP =&gt; SOUS-SEGMENT'!$B$8:$B$1000=$B8)*'ANALYSE - ERP =&gt; SOUS-SEGMENT'!$Q$8:$Q$1000*'ANALYSE - ERP =&gt; SOUS-SEGMENT'!$FE$8:$FE$1000*'ANALYSE - ERP =&gt; SOUS-SEGMENT'!$JG$8:$JG$1000)/SUMPRODUCT(('ANALYSE - ERP =&gt; SOUS-SEGMENT'!$B$8:$B$1000=$B8)*'ANALYSE - ERP =&gt; SOUS-SEGMENT'!$Q$8:$Q$1000*'ANALYSE - ERP =&gt; SOUS-SEGMENT'!$FE$8:$FE$1000),""))</f>
        <v>0.17897487398179004</v>
      </c>
      <c r="JH8" s="831">
        <f>IF($B8="","",IFERROR(SUMPRODUCT(('ANALYSE - ERP =&gt; SOUS-SEGMENT'!$B$8:$B$1000=$B8)*'ANALYSE - ERP =&gt; SOUS-SEGMENT'!$Q$8:$Q$1000*'ANALYSE - ERP =&gt; SOUS-SEGMENT'!$FE$8:$FE$1000*'ANALYSE - ERP =&gt; SOUS-SEGMENT'!$JH$8:$JH$1000)/SUMPRODUCT(('ANALYSE - ERP =&gt; SOUS-SEGMENT'!$B$8:$B$1000=$B8)*'ANALYSE - ERP =&gt; SOUS-SEGMENT'!$Q$8:$Q$1000*'ANALYSE - ERP =&gt; SOUS-SEGMENT'!$FE$8:$FE$1000),""))</f>
        <v>1.8322299194009656E-2</v>
      </c>
      <c r="JI8" s="831">
        <f>IF($B8="","",IFERROR(SUMPRODUCT(('ANALYSE - ERP =&gt; SOUS-SEGMENT'!$B$8:$B$1000=$B8)*'ANALYSE - ERP =&gt; SOUS-SEGMENT'!$Q$8:$Q$1000*'ANALYSE - ERP =&gt; SOUS-SEGMENT'!$BG$8:$BG$1000*'ANALYSE - ERP =&gt; SOUS-SEGMENT'!$JI$8:$JI$1000)/SUMPRODUCT(('ANALYSE - ERP =&gt; SOUS-SEGMENT'!$B$8:$B$1000=$B8)*'ANALYSE - ERP =&gt; SOUS-SEGMENT'!$Q$8:$Q$1000*'ANALYSE - ERP =&gt; SOUS-SEGMENT'!$BG$8:$BG$1000),""))</f>
        <v>0.14472418929796127</v>
      </c>
      <c r="JJ8" s="831">
        <f>IF($B8="","",IFERROR(SUMPRODUCT(('ANALYSE - ERP =&gt; SOUS-SEGMENT'!$B$8:$B$1000=$B8)*'ANALYSE - ERP =&gt; SOUS-SEGMENT'!$Q$8:$Q$1000*'ANALYSE - ERP =&gt; SOUS-SEGMENT'!$BG$8:$BG$1000*'ANALYSE - ERP =&gt; SOUS-SEGMENT'!$JJ$8:$JJ$1000)/SUMPRODUCT(('ANALYSE - ERP =&gt; SOUS-SEGMENT'!$B$8:$B$1000=$B8)*'ANALYSE - ERP =&gt; SOUS-SEGMENT'!$Q$8:$Q$1000*'ANALYSE - ERP =&gt; SOUS-SEGMENT'!$BG$8:$BG$1000),""))</f>
        <v>0.51825860099456411</v>
      </c>
      <c r="JK8" s="831">
        <f>IF($B8="","",IFERROR(SUMPRODUCT(('ANALYSE - ERP =&gt; SOUS-SEGMENT'!$B$8:$B$1000=$B8)*'ANALYSE - ERP =&gt; SOUS-SEGMENT'!$Q$8:$Q$1000*'ANALYSE - ERP =&gt; SOUS-SEGMENT'!$BG$8:$BG$1000*'ANALYSE - ERP =&gt; SOUS-SEGMENT'!$JK$8:$JK$1000)/SUMPRODUCT(('ANALYSE - ERP =&gt; SOUS-SEGMENT'!$B$8:$B$1000=$B8)*'ANALYSE - ERP =&gt; SOUS-SEGMENT'!$Q$8:$Q$1000*'ANALYSE - ERP =&gt; SOUS-SEGMENT'!$BG$8:$BG$1000),""))</f>
        <v>0.24468562549847653</v>
      </c>
      <c r="JL8" s="831">
        <f>IF($B8="","",IFERROR(SUMPRODUCT(('ANALYSE - ERP =&gt; SOUS-SEGMENT'!$B$8:$B$1000=$B8)*'ANALYSE - ERP =&gt; SOUS-SEGMENT'!$Q$8:$Q$1000*'ANALYSE - ERP =&gt; SOUS-SEGMENT'!$BG$8:$BG$1000*'ANALYSE - ERP =&gt; SOUS-SEGMENT'!$JL$8:$JL$1000)/SUMPRODUCT(('ANALYSE - ERP =&gt; SOUS-SEGMENT'!$B$8:$B$1000=$B8)*'ANALYSE - ERP =&gt; SOUS-SEGMENT'!$Q$8:$Q$1000*'ANALYSE - ERP =&gt; SOUS-SEGMENT'!$BG$8:$BG$1000),""))</f>
        <v>2.4396896857162807E-2</v>
      </c>
      <c r="JM8" s="831">
        <f>IF($B8="","",IFERROR(SUMPRODUCT(('ANALYSE - ERP =&gt; SOUS-SEGMENT'!$B$8:$B$1000=$B8)*'ANALYSE - ERP =&gt; SOUS-SEGMENT'!$Q$8:$Q$1000*'ANALYSE - ERP =&gt; SOUS-SEGMENT'!$BG$8:$BG$1000*'ANALYSE - ERP =&gt; SOUS-SEGMENT'!$JM$8:$JM$1000)/SUMPRODUCT(('ANALYSE - ERP =&gt; SOUS-SEGMENT'!$B$8:$B$1000=$B8)*'ANALYSE - ERP =&gt; SOUS-SEGMENT'!$Q$8:$Q$1000*'ANALYSE - ERP =&gt; SOUS-SEGMENT'!$BG$8:$BG$1000),""))</f>
        <v>4.910404698635324E-4</v>
      </c>
      <c r="JN8" s="831">
        <f>IF($B8="","",IFERROR(SUMPRODUCT(('ANALYSE - ERP =&gt; SOUS-SEGMENT'!$B$8:$B$1000=$B8)*'ANALYSE - ERP =&gt; SOUS-SEGMENT'!$Q$8:$Q$1000*'ANALYSE - ERP =&gt; SOUS-SEGMENT'!$FH$8:$FH$1000*'ANALYSE - ERP =&gt; SOUS-SEGMENT'!$JN$8:$JN$1000)/SUMPRODUCT(('ANALYSE - ERP =&gt; SOUS-SEGMENT'!$B$8:$B$1000=$B8)*'ANALYSE - ERP =&gt; SOUS-SEGMENT'!$Q$8:$Q$1000*'ANALYSE - ERP =&gt; SOUS-SEGMENT'!$FH$8:$FH$1000),""))</f>
        <v>5.8331198428775925E-2</v>
      </c>
      <c r="JO8" s="831">
        <f>IF($B8="","",IFERROR(SUMPRODUCT(('ANALYSE - ERP =&gt; SOUS-SEGMENT'!$B$8:$B$1000=$B8)*'ANALYSE - ERP =&gt; SOUS-SEGMENT'!$Q$8:$Q$1000*'ANALYSE - ERP =&gt; SOUS-SEGMENT'!$FH$8:$FH$1000*'ANALYSE - ERP =&gt; SOUS-SEGMENT'!$JO$8:$JO$1000)/SUMPRODUCT(('ANALYSE - ERP =&gt; SOUS-SEGMENT'!$B$8:$B$1000=$B8)*'ANALYSE - ERP =&gt; SOUS-SEGMENT'!$Q$8:$Q$1000*'ANALYSE - ERP =&gt; SOUS-SEGMENT'!$FH$8:$FH$1000),""))</f>
        <v>0.42803018065257964</v>
      </c>
      <c r="JP8" s="831">
        <f>IF($B8="","",IFERROR(SUMPRODUCT(('ANALYSE - ERP =&gt; SOUS-SEGMENT'!$B$8:$B$1000=$B8)*'ANALYSE - ERP =&gt; SOUS-SEGMENT'!$Q$8:$Q$1000*'ANALYSE - ERP =&gt; SOUS-SEGMENT'!$FH$8:$FH$1000*'ANALYSE - ERP =&gt; SOUS-SEGMENT'!$JP$8:$JP$1000)/SUMPRODUCT(('ANALYSE - ERP =&gt; SOUS-SEGMENT'!$B$8:$B$1000=$B8)*'ANALYSE - ERP =&gt; SOUS-SEGMENT'!$Q$8:$Q$1000*'ANALYSE - ERP =&gt; SOUS-SEGMENT'!$FH$8:$FH$1000),""))</f>
        <v>0.38677248512178519</v>
      </c>
      <c r="JQ8" s="831">
        <f>IF($B8="","",IFERROR(SUMPRODUCT(('ANALYSE - ERP =&gt; SOUS-SEGMENT'!$B$8:$B$1000=$B8)*'ANALYSE - ERP =&gt; SOUS-SEGMENT'!$Q$8:$Q$1000*'ANALYSE - ERP =&gt; SOUS-SEGMENT'!$FH$8:$FH$1000*'ANALYSE - ERP =&gt; SOUS-SEGMENT'!$JQ$8:$JQ$1000)/SUMPRODUCT(('ANALYSE - ERP =&gt; SOUS-SEGMENT'!$B$8:$B$1000=$B8)*'ANALYSE - ERP =&gt; SOUS-SEGMENT'!$Q$8:$Q$1000*'ANALYSE - ERP =&gt; SOUS-SEGMENT'!$FH$8:$FH$1000),""))</f>
        <v>6.1288929275038692E-2</v>
      </c>
      <c r="JR8" s="831">
        <f>IF($B8="","",IFERROR(SUMPRODUCT(('ANALYSE - ERP =&gt; SOUS-SEGMENT'!$B$8:$B$1000=$B8)*'ANALYSE - ERP =&gt; SOUS-SEGMENT'!$Q$8:$Q$1000*'ANALYSE - ERP =&gt; SOUS-SEGMENT'!$FH$8:$FH$1000*'ANALYSE - ERP =&gt; SOUS-SEGMENT'!$JR$8:$JR$1000)/SUMPRODUCT(('ANALYSE - ERP =&gt; SOUS-SEGMENT'!$B$8:$B$1000=$B8)*'ANALYSE - ERP =&gt; SOUS-SEGMENT'!$Q$8:$Q$1000*'ANALYSE - ERP =&gt; SOUS-SEGMENT'!$FH$8:$FH$1000),""))</f>
        <v>2.5264048239127933E-3</v>
      </c>
      <c r="JS8" s="831">
        <f>IF($B8="","",IFERROR(SUMPRODUCT(('ANALYSE - ERP =&gt; SOUS-SEGMENT'!$B$8:$B$1000=$B8)*'ANALYSE - ERP =&gt; SOUS-SEGMENT'!$Q$8:$Q$1000*'ANALYSE - ERP =&gt; SOUS-SEGMENT'!$BH$8:$BH$1000*'ANALYSE - ERP =&gt; SOUS-SEGMENT'!$JS$8:$JS$1000)/SUMPRODUCT(('ANALYSE - ERP =&gt; SOUS-SEGMENT'!$B$8:$B$1000=$B8)*'ANALYSE - ERP =&gt; SOUS-SEGMENT'!$Q$8:$Q$1000*'ANALYSE - ERP =&gt; SOUS-SEGMENT'!$BH$8:$BH$1000),""))</f>
        <v>8.6914716380350768E-2</v>
      </c>
      <c r="JT8" s="730">
        <f>IF($B8="","",IFERROR(SUMPRODUCT(('ANALYSE - ERP =&gt; SOUS-SEGMENT'!$B$8:$B$1000=$B8)*'ANALYSE - ERP =&gt; SOUS-SEGMENT'!$Q$8:$Q$1000*'ANALYSE - ERP =&gt; SOUS-SEGMENT'!$BH$8:$BH$1000*'ANALYSE - ERP =&gt; SOUS-SEGMENT'!$JT$8:$JT$1000)/SUMPRODUCT(('ANALYSE - ERP =&gt; SOUS-SEGMENT'!$B$8:$B$1000=$B8)*'ANALYSE - ERP =&gt; SOUS-SEGMENT'!$Q$8:$Q$1000*'ANALYSE - ERP =&gt; SOUS-SEGMENT'!$BH$8:$BH$1000),""))</f>
        <v>0.49945737827447445</v>
      </c>
      <c r="JU8" s="730">
        <f>IF($B8="","",IFERROR(SUMPRODUCT(('ANALYSE - ERP =&gt; SOUS-SEGMENT'!$B$8:$B$1000=$B8)*'ANALYSE - ERP =&gt; SOUS-SEGMENT'!$Q$8:$Q$1000*'ANALYSE - ERP =&gt; SOUS-SEGMENT'!$BH$8:$BH$1000*'ANALYSE - ERP =&gt; SOUS-SEGMENT'!$JU$8:$JU$1000)/SUMPRODUCT(('ANALYSE - ERP =&gt; SOUS-SEGMENT'!$B$8:$B$1000=$B8)*'ANALYSE - ERP =&gt; SOUS-SEGMENT'!$Q$8:$Q$1000*'ANALYSE - ERP =&gt; SOUS-SEGMENT'!$BH$8:$BH$1000),""))</f>
        <v>0.36597351816390988</v>
      </c>
      <c r="JV8" s="730">
        <f>IF($B8="","",IFERROR(SUMPRODUCT(('ANALYSE - ERP =&gt; SOUS-SEGMENT'!$B$8:$B$1000=$B8)*'ANALYSE - ERP =&gt; SOUS-SEGMENT'!$Q$8:$Q$1000*'ANALYSE - ERP =&gt; SOUS-SEGMENT'!$BH$8:$BH$1000*'ANALYSE - ERP =&gt; SOUS-SEGMENT'!$JV$8:$JV$1000)/SUMPRODUCT(('ANALYSE - ERP =&gt; SOUS-SEGMENT'!$B$8:$B$1000=$B8)*'ANALYSE - ERP =&gt; SOUS-SEGMENT'!$Q$8:$Q$1000*'ANALYSE - ERP =&gt; SOUS-SEGMENT'!$BH$8:$BH$1000),""))</f>
        <v>4.6615035069570557E-2</v>
      </c>
      <c r="JW8" s="730">
        <f>IF($B8="","",IFERROR(SUMPRODUCT(('ANALYSE - ERP =&gt; SOUS-SEGMENT'!$B$8:$B$1000=$B8)*'ANALYSE - ERP =&gt; SOUS-SEGMENT'!$Q$8:$Q$1000*'ANALYSE - ERP =&gt; SOUS-SEGMENT'!$BH$8:$BH$1000*'ANALYSE - ERP =&gt; SOUS-SEGMENT'!$JW$8:$JW$1000)/SUMPRODUCT(('ANALYSE - ERP =&gt; SOUS-SEGMENT'!$B$8:$B$1000=$B8)*'ANALYSE - ERP =&gt; SOUS-SEGMENT'!$Q$8:$Q$1000*'ANALYSE - ERP =&gt; SOUS-SEGMENT'!$BH$8:$BH$1000),""))</f>
        <v>1.0393521116943813E-3</v>
      </c>
      <c r="JX8" s="730">
        <f>IF($B8="","",IFERROR(SUMPRODUCT(('ANALYSE - ERP =&gt; SOUS-SEGMENT'!$B$8:$B$1000=$B8)*'ANALYSE - ERP =&gt; SOUS-SEGMENT'!$Q$8:$Q$1000*'ANALYSE - ERP =&gt; SOUS-SEGMENT'!$FK$8:$FK$1000*'ANALYSE - ERP =&gt; SOUS-SEGMENT'!$JX$8:$JX$1000)/SUMPRODUCT(('ANALYSE - ERP =&gt; SOUS-SEGMENT'!$B$8:$B$1000=$B8)*'ANALYSE - ERP =&gt; SOUS-SEGMENT'!$Q$8:$Q$1000*'ANALYSE - ERP =&gt; SOUS-SEGMENT'!$FK$8:$FK$1000),""))</f>
        <v>3.2585382996390376E-2</v>
      </c>
      <c r="JY8" s="730">
        <f>IF($B8="","",IFERROR(SUMPRODUCT(('ANALYSE - ERP =&gt; SOUS-SEGMENT'!$B$8:$B$1000=$B8)*'ANALYSE - ERP =&gt; SOUS-SEGMENT'!$Q$8:$Q$1000*'ANALYSE - ERP =&gt; SOUS-SEGMENT'!$FK$8:$FK$1000*'ANALYSE - ERP =&gt; SOUS-SEGMENT'!$JY$8:$JY$1000)/SUMPRODUCT(('ANALYSE - ERP =&gt; SOUS-SEGMENT'!$B$8:$B$1000=$B8)*'ANALYSE - ERP =&gt; SOUS-SEGMENT'!$Q$8:$Q$1000*'ANALYSE - ERP =&gt; SOUS-SEGMENT'!$FK$8:$FK$1000),""))</f>
        <v>0.36207669018920691</v>
      </c>
      <c r="JZ8" s="730">
        <f>IF($B8="","",IFERROR(SUMPRODUCT(('ANALYSE - ERP =&gt; SOUS-SEGMENT'!$B$8:$B$1000=$B8)*'ANALYSE - ERP =&gt; SOUS-SEGMENT'!$Q$8:$Q$1000*'ANALYSE - ERP =&gt; SOUS-SEGMENT'!$FK$8:$FK$1000*'ANALYSE - ERP =&gt; SOUS-SEGMENT'!$JZ$8:$JZ$1000)/SUMPRODUCT(('ANALYSE - ERP =&gt; SOUS-SEGMENT'!$B$8:$B$1000=$B8)*'ANALYSE - ERP =&gt; SOUS-SEGMENT'!$Q$8:$Q$1000*'ANALYSE - ERP =&gt; SOUS-SEGMENT'!$FK$8:$FK$1000),""))</f>
        <v>0.49291922183177311</v>
      </c>
      <c r="KA8" s="730">
        <f>IF($B8="","",IFERROR(SUMPRODUCT(('ANALYSE - ERP =&gt; SOUS-SEGMENT'!$B$8:$B$1000=$B8)*'ANALYSE - ERP =&gt; SOUS-SEGMENT'!$Q$8:$Q$1000*'ANALYSE - ERP =&gt; SOUS-SEGMENT'!$FK$8:$FK$1000*'ANALYSE - ERP =&gt; SOUS-SEGMENT'!$KA$8:$KA$1000)/SUMPRODUCT(('ANALYSE - ERP =&gt; SOUS-SEGMENT'!$B$8:$B$1000=$B8)*'ANALYSE - ERP =&gt; SOUS-SEGMENT'!$Q$8:$Q$1000*'ANALYSE - ERP =&gt; SOUS-SEGMENT'!$FK$8:$FK$1000),""))</f>
        <v>0.10825618059474147</v>
      </c>
      <c r="KB8" s="730">
        <f>IF($B8="","",IFERROR(SUMPRODUCT(('ANALYSE - ERP =&gt; SOUS-SEGMENT'!$B$8:$B$1000=$B8)*'ANALYSE - ERP =&gt; SOUS-SEGMENT'!$Q$8:$Q$1000*'ANALYSE - ERP =&gt; SOUS-SEGMENT'!$FK$8:$FK$1000*'ANALYSE - ERP =&gt; SOUS-SEGMENT'!$KB$8:$KB$1000)/SUMPRODUCT(('ANALYSE - ERP =&gt; SOUS-SEGMENT'!$B$8:$B$1000=$B8)*'ANALYSE - ERP =&gt; SOUS-SEGMENT'!$Q$8:$Q$1000*'ANALYSE - ERP =&gt; SOUS-SEGMENT'!$FK$8:$FK$1000),""))</f>
        <v>4.1625243878882206E-3</v>
      </c>
      <c r="KC8" s="657"/>
      <c r="KD8" s="920" t="s">
        <v>6317</v>
      </c>
      <c r="KE8" s="920" t="s">
        <v>6318</v>
      </c>
      <c r="KF8" s="866">
        <f>IF($B8="","",IFERROR(SUMPRODUCT(('ANALYSE - ERP =&gt; SOUS-SEGMENT'!$B$8:$B$1000=$B8)*'ANALYSE - ERP =&gt; SOUS-SEGMENT'!$Q$8:$Q$1000*'ANALYSE - ERP =&gt; SOUS-SEGMENT'!$IE$8:$IE$1000*'ANALYSE - ERP =&gt; SOUS-SEGMENT'!$KF$8:$KF$1000)/SUMPRODUCT(('ANALYSE - ERP =&gt; SOUS-SEGMENT'!$B$8:$B$1000=$B8)*'ANALYSE - ERP =&gt; SOUS-SEGMENT'!$Q$8:$Q$1000*'ANALYSE - ERP =&gt; SOUS-SEGMENT'!$IE$8:$IE$1000),""))</f>
        <v>4.3989586694175298</v>
      </c>
      <c r="KG8" s="920" t="s">
        <v>6319</v>
      </c>
      <c r="KH8" s="920" t="s">
        <v>6320</v>
      </c>
      <c r="KI8" s="937" t="s">
        <v>6321</v>
      </c>
      <c r="KJ8" s="937" t="s">
        <v>6322</v>
      </c>
    </row>
    <row r="9" spans="1:327" ht="249.95" customHeight="1">
      <c r="A9" s="957">
        <f>IF($B9="","",ROWS($A$8:A9))</f>
        <v>2</v>
      </c>
      <c r="B9" s="958" t="s">
        <v>2880</v>
      </c>
      <c r="C9" s="958" t="s">
        <v>6323</v>
      </c>
      <c r="D9" s="959" t="s">
        <v>6324</v>
      </c>
      <c r="E9" s="960" t="s">
        <v>6325</v>
      </c>
      <c r="F9" s="960" t="s">
        <v>6326</v>
      </c>
      <c r="G9" s="960" t="s">
        <v>6327</v>
      </c>
      <c r="H9" s="960" t="s">
        <v>2109</v>
      </c>
      <c r="I9" s="960" t="s">
        <v>6328</v>
      </c>
      <c r="J9" s="960" t="s">
        <v>6329</v>
      </c>
      <c r="K9" s="960" t="s">
        <v>2097</v>
      </c>
      <c r="L9" s="960" t="s">
        <v>2109</v>
      </c>
      <c r="M9" s="960" t="s">
        <v>6330</v>
      </c>
      <c r="N9" s="960" t="s">
        <v>6331</v>
      </c>
      <c r="O9" s="960" t="s">
        <v>6332</v>
      </c>
      <c r="P9" s="960"/>
      <c r="Q9" s="270">
        <f>IF($B9="","",IF(SUMIFS('ANALYSE - ERP =&gt; SOUS-SEGMENT'!$Q$8:$Q$1000,'ANALYSE - ERP =&gt; SOUS-SEGMENT'!$B$8:$B$1000,$B9)&gt;0,1,0))</f>
        <v>1</v>
      </c>
      <c r="R9" s="271">
        <f>IF($B9="","",IFERROR(SUMPRODUCT(('ANALYSE - ERP =&gt; SOUS-SEGMENT'!$B$8:$B$1000=$B9)*'ANALYSE - ERP =&gt; SOUS-SEGMENT'!$Q$8:$Q$1000*'ANALYSE - ERP =&gt; SOUS-SEGMENT'!$AF$8:$AF$1000*'ANALYSE - ERP =&gt; SOUS-SEGMENT'!$R$8:$R$1000)/SUMPRODUCT(('ANALYSE - ERP =&gt; SOUS-SEGMENT'!$B$8:$B$1000=$B9)*'ANALYSE - ERP =&gt; SOUS-SEGMENT'!$Q$8:$Q$1000*'ANALYSE - ERP =&gt; SOUS-SEGMENT'!$AF$8:$AF$1000),""))</f>
        <v>4022.5427669822288</v>
      </c>
      <c r="S9" s="272">
        <f>IF($B9="","",SUMPRODUCT(('ANALYSE - ERP =&gt; SOUS-SEGMENT'!$B$8:$B$1000=$B9)*'ANALYSE - ERP =&gt; SOUS-SEGMENT'!$Q$8:$Q$1000*'ANALYSE - ERP =&gt; SOUS-SEGMENT'!$S$8:$S$1000))</f>
        <v>78294</v>
      </c>
      <c r="T9" s="272">
        <f>IF($B9="","",SUMPRODUCT(('ANALYSE - ERP =&gt; SOUS-SEGMENT'!$B$8:$B$1000=$B9)*'ANALYSE - ERP =&gt; SOUS-SEGMENT'!$Q$8:$Q$1000*'ANALYSE - ERP =&gt; SOUS-SEGMENT'!$T$8:$T$1000))</f>
        <v>81474</v>
      </c>
      <c r="U9" s="272">
        <f>IF($B9="","",SUMPRODUCT(('ANALYSE - ERP =&gt; SOUS-SEGMENT'!$B$8:$B$1000=$B9)*'ANALYSE - ERP =&gt; SOUS-SEGMENT'!$Q$8:$Q$1000*'ANALYSE - ERP =&gt; SOUS-SEGMENT'!$U$8:$U$1000))</f>
        <v>84588</v>
      </c>
      <c r="V9" s="272">
        <f>IF($B9="","",SUMPRODUCT(('ANALYSE - ERP =&gt; SOUS-SEGMENT'!$B$8:$B$1000=$B9)*'ANALYSE - ERP =&gt; SOUS-SEGMENT'!$Q$8:$Q$1000*'ANALYSE - ERP =&gt; SOUS-SEGMENT'!$V$8:$V$1000))</f>
        <v>86840</v>
      </c>
      <c r="W9" s="272">
        <f>IF($B9="","",SUMPRODUCT(('ANALYSE - ERP =&gt; SOUS-SEGMENT'!$B$8:$B$1000=$B9)*'ANALYSE - ERP =&gt; SOUS-SEGMENT'!$Q$8:$Q$1000*'ANALYSE - ERP =&gt; SOUS-SEGMENT'!$W$8:$W$1000))</f>
        <v>87122</v>
      </c>
      <c r="X9" s="272">
        <f>IF($B9="","",SUMPRODUCT(('ANALYSE - ERP =&gt; SOUS-SEGMENT'!$B$8:$B$1000=$B9)*'ANALYSE - ERP =&gt; SOUS-SEGMENT'!$Q$8:$Q$1000*'ANALYSE - ERP =&gt; SOUS-SEGMENT'!$X$8:$X$1000))</f>
        <v>87458</v>
      </c>
      <c r="Y9" s="272">
        <f>IF($B9="","",SUMPRODUCT(('ANALYSE - ERP =&gt; SOUS-SEGMENT'!$B$8:$B$1000=$B9)*'ANALYSE - ERP =&gt; SOUS-SEGMENT'!$Q$8:$Q$1000*'ANALYSE - ERP =&gt; SOUS-SEGMENT'!$Y$8:$Y$1000))</f>
        <v>87818</v>
      </c>
      <c r="Z9" s="272">
        <f>IF($B9="","",SUMPRODUCT(('ANALYSE - ERP =&gt; SOUS-SEGMENT'!$B$8:$B$1000=$B9)*'ANALYSE - ERP =&gt; SOUS-SEGMENT'!$Q$8:$Q$1000*'ANALYSE - ERP =&gt; SOUS-SEGMENT'!$Z$8:$Z$1000))</f>
        <v>88181</v>
      </c>
      <c r="AA9" s="272">
        <f>IF($B9="","",SUMPRODUCT(('ANALYSE - ERP =&gt; SOUS-SEGMENT'!$B$8:$B$1000=$B9)*'ANALYSE - ERP =&gt; SOUS-SEGMENT'!$Q$8:$Q$1000*'ANALYSE - ERP =&gt; SOUS-SEGMENT'!$AA$8:$AA$1000))</f>
        <v>88254</v>
      </c>
      <c r="AB9" s="272">
        <f>IF($B9="","",SUMPRODUCT(('ANALYSE - ERP =&gt; SOUS-SEGMENT'!$B$8:$B$1000=$B9)*'ANALYSE - ERP =&gt; SOUS-SEGMENT'!$Q$8:$Q$1000*'ANALYSE - ERP =&gt; SOUS-SEGMENT'!$AB$8:$AB$1000))</f>
        <v>88611</v>
      </c>
      <c r="AC9" s="272">
        <f>IF($B9="","",SUMPRODUCT(('ANALYSE - ERP =&gt; SOUS-SEGMENT'!$B$8:$B$1000=$B9)*'ANALYSE - ERP =&gt; SOUS-SEGMENT'!$Q$8:$Q$1000*'ANALYSE - ERP =&gt; SOUS-SEGMENT'!$AC$8:$AC$1000))</f>
        <v>89042</v>
      </c>
      <c r="AD9" s="272">
        <f>IF($B9="","",SUMPRODUCT(('ANALYSE - ERP =&gt; SOUS-SEGMENT'!$B$8:$B$1000=$B9)*'ANALYSE - ERP =&gt; SOUS-SEGMENT'!$Q$8:$Q$1000*'ANALYSE - ERP =&gt; SOUS-SEGMENT'!$AD$8:$AD$1000))</f>
        <v>89458</v>
      </c>
      <c r="AE9" s="272">
        <f>IF($B9="","",SUMPRODUCT(('ANALYSE - ERP =&gt; SOUS-SEGMENT'!$B$8:$B$1000=$B9)*'ANALYSE - ERP =&gt; SOUS-SEGMENT'!$Q$8:$Q$1000*'ANALYSE - ERP =&gt; SOUS-SEGMENT'!$AE$8:$AE$1000))</f>
        <v>89888</v>
      </c>
      <c r="AF9" s="272">
        <f>IF($B9="","",SUMPRODUCT(('ANALYSE - ERP =&gt; SOUS-SEGMENT'!$B$8:$B$1000=$B9)*'ANALYSE - ERP =&gt; SOUS-SEGMENT'!$Q$8:$Q$1000*'ANALYSE - ERP =&gt; SOUS-SEGMENT'!$AF$8:$AF$1000))</f>
        <v>90315</v>
      </c>
      <c r="AG9" s="272">
        <f>IF($B9="","",SUMPRODUCT(('ANALYSE - ERP =&gt; SOUS-SEGMENT'!$B$8:$B$1000=$B9)*'ANALYSE - ERP =&gt; SOUS-SEGMENT'!$Q$8:$Q$1000*'ANALYSE - ERP =&gt; SOUS-SEGMENT'!$AG$8:$AG$1000))</f>
        <v>90753</v>
      </c>
      <c r="AH9" s="272">
        <f>IF($B9="","",SUMPRODUCT(('ANALYSE - ERP =&gt; SOUS-SEGMENT'!$B$8:$B$1000=$B9)*'ANALYSE - ERP =&gt; SOUS-SEGMENT'!$Q$8:$Q$1000*'ANALYSE - ERP =&gt; SOUS-SEGMENT'!$AH$8:$AH$1000))</f>
        <v>91191</v>
      </c>
      <c r="AI9" s="272">
        <f>IF($B9="","",SUMPRODUCT(('ANALYSE - ERP =&gt; SOUS-SEGMENT'!$B$8:$B$1000=$B9)*'ANALYSE - ERP =&gt; SOUS-SEGMENT'!$Q$8:$Q$1000*'ANALYSE - ERP =&gt; SOUS-SEGMENT'!$AI$8:$AI$1000))</f>
        <v>91632</v>
      </c>
      <c r="AJ9" s="272">
        <f>IF($B9="","",SUMPRODUCT(('ANALYSE - ERP =&gt; SOUS-SEGMENT'!$B$8:$B$1000=$B9)*'ANALYSE - ERP =&gt; SOUS-SEGMENT'!$Q$8:$Q$1000*'ANALYSE - ERP =&gt; SOUS-SEGMENT'!$AJ$8:$AJ$1000))</f>
        <v>92073</v>
      </c>
      <c r="AK9" s="272">
        <f>IF($B9="","",SUMPRODUCT(('ANALYSE - ERP =&gt; SOUS-SEGMENT'!$B$8:$B$1000=$B9)*'ANALYSE - ERP =&gt; SOUS-SEGMENT'!$Q$8:$Q$1000*'ANALYSE - ERP =&gt; SOUS-SEGMENT'!$AK$8:$AK$1000))</f>
        <v>92515</v>
      </c>
      <c r="AL9" s="960" t="s">
        <v>6333</v>
      </c>
      <c r="AM9" s="960" t="s">
        <v>6334</v>
      </c>
      <c r="AN9" s="960" t="s">
        <v>6335</v>
      </c>
      <c r="AO9" s="657"/>
      <c r="AP9" s="271">
        <f>IF($B9="","",IFERROR(SUMPRODUCT(('ANALYSE - ERP =&gt; SOUS-SEGMENT'!$B$8:$B$1000=$B9)*'ANALYSE - ERP =&gt; SOUS-SEGMENT'!$Q$8:$Q$1000*'ANALYSE - ERP =&gt; SOUS-SEGMENT'!$AF$8:$AF$1000*'ANALYSE - ERP =&gt; SOUS-SEGMENT'!$AP$8:$AP$1000)/SUMPRODUCT(('ANALYSE - ERP =&gt; SOUS-SEGMENT'!$B$8:$B$1000=$B9)*'ANALYSE - ERP =&gt; SOUS-SEGMENT'!$Q$8:$Q$1000*'ANALYSE - ERP =&gt; SOUS-SEGMENT'!$AF$8:$AF$1000),""))</f>
        <v>198.86065437634943</v>
      </c>
      <c r="AQ9" s="280">
        <f>IF($B9="","",IFERROR(SUMPRODUCT(('ANALYSE - ERP =&gt; SOUS-SEGMENT'!$B$8:$B$1000=$B9)*'ANALYSE - ERP =&gt; SOUS-SEGMENT'!$Q$8:$Q$1000*'ANALYSE - ERP =&gt; SOUS-SEGMENT'!$AF$8:$AF$1000*'ANALYSE - ERP =&gt; SOUS-SEGMENT'!$AQ$8:$AQ$1000)/SUMPRODUCT(('ANALYSE - ERP =&gt; SOUS-SEGMENT'!$B$8:$B$1000=$B9)*'ANALYSE - ERP =&gt; SOUS-SEGMENT'!$Q$8:$Q$1000*'ANALYSE - ERP =&gt; SOUS-SEGMENT'!$AF$8:$AF$1000),""))</f>
        <v>125.59805126501689</v>
      </c>
      <c r="AR9" s="280">
        <f>IF($B9="","",IFERROR(SUMPRODUCT(('ANALYSE - ERP =&gt; SOUS-SEGMENT'!$B$8:$B$1000=$B9)*'ANALYSE - ERP =&gt; SOUS-SEGMENT'!$Q$8:$Q$1000*'ANALYSE - ERP =&gt; SOUS-SEGMENT'!$AF$8:$AF$1000*'ANALYSE - ERP =&gt; SOUS-SEGMENT'!$AR$8:$AR$1000)/SUMPRODUCT(('ANALYSE - ERP =&gt; SOUS-SEGMENT'!$B$8:$B$1000=$B9)*'ANALYSE - ERP =&gt; SOUS-SEGMENT'!$Q$8:$Q$1000*'ANALYSE - ERP =&gt; SOUS-SEGMENT'!$AF$8:$AF$1000),""))</f>
        <v>17.172651276089244</v>
      </c>
      <c r="AS9" s="280">
        <f>IF($B9="","",IFERROR(SUMPRODUCT(('ANALYSE - ERP =&gt; SOUS-SEGMENT'!$B$8:$B$1000=$B9)*'ANALYSE - ERP =&gt; SOUS-SEGMENT'!$Q$8:$Q$1000*'ANALYSE - ERP =&gt; SOUS-SEGMENT'!$AF$8:$AF$1000*'ANALYSE - ERP =&gt; SOUS-SEGMENT'!$AS$8:$AS$1000)/SUMPRODUCT(('ANALYSE - ERP =&gt; SOUS-SEGMENT'!$B$8:$B$1000=$B9)*'ANALYSE - ERP =&gt; SOUS-SEGMENT'!$Q$8:$Q$1000*'ANALYSE - ERP =&gt; SOUS-SEGMENT'!$AF$8:$AF$1000),""))</f>
        <v>7.7967557991474283</v>
      </c>
      <c r="AT9" s="657"/>
      <c r="AU9" s="647" t="s">
        <v>6336</v>
      </c>
      <c r="AV9" s="647" t="s">
        <v>6337</v>
      </c>
      <c r="AW9" s="960" t="s">
        <v>6338</v>
      </c>
      <c r="AX9" s="647" t="s">
        <v>6339</v>
      </c>
      <c r="AY9" s="657"/>
      <c r="AZ9" s="948">
        <f>IF($B9="","",IFERROR(SUMPRODUCT(('ANALYSE - ERP =&gt; SOUS-SEGMENT'!$B$8:$B$1000=$B9)*'ANALYSE - ERP =&gt; SOUS-SEGMENT'!$Q$8:$Q$1000*'ANALYSE - ERP =&gt; SOUS-SEGMENT'!$AF$8:$AF$1000*'ANALYSE - ERP =&gt; SOUS-SEGMENT'!$AZ$8:$AZ$1000)/SUMPRODUCT(('ANALYSE - ERP =&gt; SOUS-SEGMENT'!$B$8:$B$1000=$B9)*'ANALYSE - ERP =&gt; SOUS-SEGMENT'!$Q$8:$Q$1000*'ANALYSE - ERP =&gt; SOUS-SEGMENT'!$AF$8:$AF$1000),""))</f>
        <v>9.9200797209765827</v>
      </c>
      <c r="BA9" s="948">
        <f>IF($B9="","",IFERROR(SUMPRODUCT(('ANALYSE - ERP =&gt; SOUS-SEGMENT'!$B$8:$B$1000=$B9)*'ANALYSE - ERP =&gt; SOUS-SEGMENT'!$Q$8:$Q$1000*'ANALYSE - ERP =&gt; SOUS-SEGMENT'!$AF$8:$AF$1000*'ANALYSE - ERP =&gt; SOUS-SEGMENT'!$BA$8:$BA$1000)/SUMPRODUCT(('ANALYSE - ERP =&gt; SOUS-SEGMENT'!$B$8:$B$1000=$B9)*'ANALYSE - ERP =&gt; SOUS-SEGMENT'!$Q$8:$Q$1000*'ANALYSE - ERP =&gt; SOUS-SEGMENT'!$AF$8:$AF$1000),""))</f>
        <v>8.6826828323091405</v>
      </c>
      <c r="BB9" s="948">
        <f>IF($B9="","",IFERROR(SUMPRODUCT(('ANALYSE - ERP =&gt; SOUS-SEGMENT'!$B$8:$B$1000=$B9)*'ANALYSE - ERP =&gt; SOUS-SEGMENT'!$Q$8:$Q$1000*'ANALYSE - ERP =&gt; SOUS-SEGMENT'!$AF$8:$AF$1000*'ANALYSE - ERP =&gt; SOUS-SEGMENT'!$BB$8:$BB$1000)/SUMPRODUCT(('ANALYSE - ERP =&gt; SOUS-SEGMENT'!$B$8:$B$1000=$B9)*'ANALYSE - ERP =&gt; SOUS-SEGMENT'!$Q$8:$Q$1000*'ANALYSE - ERP =&gt; SOUS-SEGMENT'!$AF$8:$AF$1000),""))</f>
        <v>2.4044953772905941</v>
      </c>
      <c r="BC9" s="948">
        <f>IF($B9="","",IFERROR(SUMPRODUCT(('ANALYSE - ERP =&gt; SOUS-SEGMENT'!$B$8:$B$1000=$B9)*'ANALYSE - ERP =&gt; SOUS-SEGMENT'!$Q$8:$Q$1000*'ANALYSE - ERP =&gt; SOUS-SEGMENT'!$AF$8:$AF$1000*'ANALYSE - ERP =&gt; SOUS-SEGMENT'!$BC$8:$BC$1000)/SUMPRODUCT(('ANALYSE - ERP =&gt; SOUS-SEGMENT'!$B$8:$B$1000=$B9)*'ANALYSE - ERP =&gt; SOUS-SEGMENT'!$Q$8:$Q$1000*'ANALYSE - ERP =&gt; SOUS-SEGMENT'!$AF$8:$AF$1000),""))</f>
        <v>7.9662403808891105</v>
      </c>
      <c r="BD9" s="825">
        <f t="shared" si="1"/>
        <v>2616741.5</v>
      </c>
      <c r="BE9" s="304">
        <f>IF($B9="","",SUMPRODUCT(('ANALYSE - ERP =&gt; SOUS-SEGMENT'!$B$8:$B$1000=$B9)*'ANALYSE - ERP =&gt; SOUS-SEGMENT'!$Q$8:$Q$1000*'ANALYSE - ERP =&gt; SOUS-SEGMENT'!$BE$8:$BE$1000))</f>
        <v>895932</v>
      </c>
      <c r="BF9" s="304">
        <f>IF($B9="","",SUMPRODUCT(('ANALYSE - ERP =&gt; SOUS-SEGMENT'!$B$8:$B$1000=$B9)*'ANALYSE - ERP =&gt; SOUS-SEGMENT'!$Q$8:$Q$1000*'ANALYSE - ERP =&gt; SOUS-SEGMENT'!$BF$8:$BF$1000))</f>
        <v>784176.5</v>
      </c>
      <c r="BG9" s="304">
        <f>IF($B9="","",SUMPRODUCT(('ANALYSE - ERP =&gt; SOUS-SEGMENT'!$B$8:$B$1000=$B9)*'ANALYSE - ERP =&gt; SOUS-SEGMENT'!$Q$8:$Q$1000*'ANALYSE - ERP =&gt; SOUS-SEGMENT'!$BG$8:$BG$1000))</f>
        <v>217162</v>
      </c>
      <c r="BH9" s="304">
        <f>IF($B9="","",SUMPRODUCT(('ANALYSE - ERP =&gt; SOUS-SEGMENT'!$B$8:$B$1000=$B9)*'ANALYSE - ERP =&gt; SOUS-SEGMENT'!$Q$8:$Q$1000*'ANALYSE - ERP =&gt; SOUS-SEGMENT'!$BH$8:$BH$1000))</f>
        <v>719471</v>
      </c>
      <c r="BI9" s="825">
        <f t="shared" si="2"/>
        <v>2674242</v>
      </c>
      <c r="BJ9" s="304">
        <f>IF($B9="","",SUMPRODUCT(('ANALYSE - ERP =&gt; SOUS-SEGMENT'!$B$8:$B$1000=$B9)*'ANALYSE - ERP =&gt; SOUS-SEGMENT'!$Q$8:$Q$1000*'ANALYSE - ERP =&gt; SOUS-SEGMENT'!$BJ$8:$BJ$1000))</f>
        <v>915527</v>
      </c>
      <c r="BK9" s="304">
        <f>IF($B9="","",SUMPRODUCT(('ANALYSE - ERP =&gt; SOUS-SEGMENT'!$B$8:$B$1000=$B9)*'ANALYSE - ERP =&gt; SOUS-SEGMENT'!$Q$8:$Q$1000*'ANALYSE - ERP =&gt; SOUS-SEGMENT'!$BK$8:$BK$1000))</f>
        <v>802988</v>
      </c>
      <c r="BL9" s="304">
        <f>IF($B9="","",SUMPRODUCT(('ANALYSE - ERP =&gt; SOUS-SEGMENT'!$B$8:$B$1000=$B9)*'ANALYSE - ERP =&gt; SOUS-SEGMENT'!$Q$8:$Q$1000*'ANALYSE - ERP =&gt; SOUS-SEGMENT'!$BL$8:$BL$1000))</f>
        <v>221599</v>
      </c>
      <c r="BM9" s="304">
        <f>IF($B9="","",SUMPRODUCT(('ANALYSE - ERP =&gt; SOUS-SEGMENT'!$B$8:$B$1000=$B9)*'ANALYSE - ERP =&gt; SOUS-SEGMENT'!$Q$8:$Q$1000*'ANALYSE - ERP =&gt; SOUS-SEGMENT'!$BM$8:$BM$1000))</f>
        <v>734128</v>
      </c>
      <c r="BN9" s="657"/>
      <c r="BO9" s="284">
        <f t="shared" si="3"/>
        <v>0.12036560810418648</v>
      </c>
      <c r="BP9" s="284">
        <f t="shared" si="4"/>
        <v>0.75714688168298516</v>
      </c>
      <c r="BQ9" s="284">
        <f t="shared" si="5"/>
        <v>6.9096940392797665E-2</v>
      </c>
      <c r="BR9" s="710">
        <f t="shared" si="6"/>
        <v>5.3390569820030993E-2</v>
      </c>
      <c r="BS9" s="707">
        <f t="shared" si="7"/>
        <v>9.950825043936444E-2</v>
      </c>
      <c r="BT9" s="284">
        <f t="shared" si="8"/>
        <v>0.76135268539322154</v>
      </c>
      <c r="BU9" s="284">
        <f t="shared" si="9"/>
        <v>8.973414219351257E-2</v>
      </c>
      <c r="BV9" s="710">
        <f t="shared" si="10"/>
        <v>4.9404921973901367E-2</v>
      </c>
      <c r="BW9" s="714">
        <f t="shared" si="11"/>
        <v>0.19618019667766121</v>
      </c>
      <c r="BX9" s="285">
        <f t="shared" si="12"/>
        <v>0.74788236449319767</v>
      </c>
      <c r="BY9" s="717">
        <f t="shared" si="13"/>
        <v>5.5937438829141137E-2</v>
      </c>
      <c r="BZ9" s="714">
        <f t="shared" si="14"/>
        <v>0.15727215101595543</v>
      </c>
      <c r="CA9" s="285">
        <f t="shared" si="15"/>
        <v>0.77058932387532553</v>
      </c>
      <c r="CB9" s="717">
        <f t="shared" si="16"/>
        <v>7.2138525108718932E-2</v>
      </c>
      <c r="CC9" s="284">
        <f t="shared" si="17"/>
        <v>5.0178668459491073E-2</v>
      </c>
      <c r="CD9" s="284">
        <f t="shared" si="18"/>
        <v>0.56821221023936053</v>
      </c>
      <c r="CE9" s="284">
        <f t="shared" si="19"/>
        <v>8.7912249841132425E-2</v>
      </c>
      <c r="CF9" s="710">
        <f t="shared" si="20"/>
        <v>0.293696871460016</v>
      </c>
      <c r="CG9" s="707">
        <f t="shared" si="21"/>
        <v>4.0124098032933368E-2</v>
      </c>
      <c r="CH9" s="284">
        <f t="shared" si="22"/>
        <v>0.56904679172739947</v>
      </c>
      <c r="CI9" s="284">
        <f t="shared" si="23"/>
        <v>0.10858627520882316</v>
      </c>
      <c r="CJ9" s="710">
        <f t="shared" si="24"/>
        <v>0.28224283503084407</v>
      </c>
      <c r="CK9" s="720">
        <f t="shared" si="25"/>
        <v>0.32772238213909943</v>
      </c>
      <c r="CL9" s="286">
        <f t="shared" si="26"/>
        <v>0.52773225050071504</v>
      </c>
      <c r="CM9" s="718">
        <f t="shared" si="27"/>
        <v>0.14454536736018547</v>
      </c>
      <c r="CN9" s="720">
        <f t="shared" si="28"/>
        <v>0.22729544439116886</v>
      </c>
      <c r="CO9" s="286">
        <f t="shared" si="29"/>
        <v>0.56037161094523025</v>
      </c>
      <c r="CP9" s="718">
        <f t="shared" si="30"/>
        <v>0.21233294466360089</v>
      </c>
      <c r="CQ9" s="657"/>
      <c r="CR9" s="807">
        <f>IF($B9="","",IFERROR(SUMPRODUCT(('ANALYSE - ERP =&gt; SOUS-SEGMENT'!$B$8:$B$1000=$B9)*'ANALYSE - ERP =&gt; SOUS-SEGMENT'!$Q$8:$Q$1000*'ANALYSE - ERP =&gt; SOUS-SEGMENT'!$DH$8:$DH$1000*'ANALYSE - ERP =&gt; SOUS-SEGMENT'!$CR$8:$CR$1000)/SUMPRODUCT(('ANALYSE - ERP =&gt; SOUS-SEGMENT'!$B$8:$B$1000=$B9)*'ANALYSE - ERP =&gt; SOUS-SEGMENT'!$Q$8:$Q$1000*'ANALYSE - ERP =&gt; SOUS-SEGMENT'!$DH$8:$DH$1000),""))</f>
        <v>10.74777864120164</v>
      </c>
      <c r="CS9" s="808">
        <f>IF($B9="","",IFERROR(SUMPRODUCT(('ANALYSE - ERP =&gt; SOUS-SEGMENT'!$B$8:$B$1000=$B9)*'ANALYSE - ERP =&gt; SOUS-SEGMENT'!$Q$8:$Q$1000*'ANALYSE - ERP =&gt; SOUS-SEGMENT'!$DI$8:$DI$1000*'ANALYSE - ERP =&gt; SOUS-SEGMENT'!$CS$8:$CS$1000)/SUMPRODUCT(('ANALYSE - ERP =&gt; SOUS-SEGMENT'!$B$8:$B$1000=$B9)*'ANALYSE - ERP =&gt; SOUS-SEGMENT'!$Q$8:$Q$1000*'ANALYSE - ERP =&gt; SOUS-SEGMENT'!$DI$8:$DI$1000),""))</f>
        <v>11.175484083399045</v>
      </c>
      <c r="CT9" s="808">
        <f>IF($B9="","",IFERROR(SUMPRODUCT(('ANALYSE - ERP =&gt; SOUS-SEGMENT'!$B$8:$B$1000=$B9)*'ANALYSE - ERP =&gt; SOUS-SEGMENT'!$Q$8:$Q$1000*'ANALYSE - ERP =&gt; SOUS-SEGMENT'!$DJ$8:$DJ$1000*'ANALYSE - ERP =&gt; SOUS-SEGMENT'!$CT$8:$CT$1000)/SUMPRODUCT(('ANALYSE - ERP =&gt; SOUS-SEGMENT'!$B$8:$B$1000=$B9)*'ANALYSE - ERP =&gt; SOUS-SEGMENT'!$Q$8:$Q$1000*'ANALYSE - ERP =&gt; SOUS-SEGMENT'!$DJ$8:$DJ$1000),""))</f>
        <v>8.062029368321344</v>
      </c>
      <c r="CU9" s="809">
        <f>IF($B9="","",IFERROR(SUMPRODUCT(('ANALYSE - ERP =&gt; SOUS-SEGMENT'!$B$8:$B$1000=$B9)*'ANALYSE - ERP =&gt; SOUS-SEGMENT'!$Q$8:$Q$1000*'ANALYSE - ERP =&gt; SOUS-SEGMENT'!$DK$8:$DK$1000*'ANALYSE - ERP =&gt; SOUS-SEGMENT'!$CU$8:$CU$1000)/SUMPRODUCT(('ANALYSE - ERP =&gt; SOUS-SEGMENT'!$B$8:$B$1000=$B9)*'ANALYSE - ERP =&gt; SOUS-SEGMENT'!$Q$8:$Q$1000*'ANALYSE - ERP =&gt; SOUS-SEGMENT'!$DK$8:$DK$1000),""))</f>
        <v>9.6818811263544653</v>
      </c>
      <c r="CV9" s="807">
        <f>IF($B9="","",IFERROR(SUMPRODUCT(('ANALYSE - ERP =&gt; SOUS-SEGMENT'!$B$8:$B$1000=$B9)*'ANALYSE - ERP =&gt; SOUS-SEGMENT'!$Q$8:$Q$1000*'ANALYSE - ERP =&gt; SOUS-SEGMENT'!$DS$8:$DS$1000*'ANALYSE - ERP =&gt; SOUS-SEGMENT'!$CV$8:$CV$1000)/SUMPRODUCT(('ANALYSE - ERP =&gt; SOUS-SEGMENT'!$B$8:$B$1000=$B9)*'ANALYSE - ERP =&gt; SOUS-SEGMENT'!$Q$8:$Q$1000*'ANALYSE - ERP =&gt; SOUS-SEGMENT'!$DS$8:$DS$1000),""))</f>
        <v>8.7110782053290468</v>
      </c>
      <c r="CW9" s="808">
        <f>IF($B9="","",IFERROR(SUMPRODUCT(('ANALYSE - ERP =&gt; SOUS-SEGMENT'!$B$8:$B$1000=$B9)*'ANALYSE - ERP =&gt; SOUS-SEGMENT'!$Q$8:$Q$1000*'ANALYSE - ERP =&gt; SOUS-SEGMENT'!$DT$8:$DT$1000*'ANALYSE - ERP =&gt; SOUS-SEGMENT'!$CW$8:$CW$1000)/SUMPRODUCT(('ANALYSE - ERP =&gt; SOUS-SEGMENT'!$B$8:$B$1000=$B9)*'ANALYSE - ERP =&gt; SOUS-SEGMENT'!$Q$8:$Q$1000*'ANALYSE - ERP =&gt; SOUS-SEGMENT'!$DT$8:$DT$1000),""))</f>
        <v>9.191231325667804</v>
      </c>
      <c r="CX9" s="809">
        <f>IF($B9="","",IFERROR(SUMPRODUCT(('ANALYSE - ERP =&gt; SOUS-SEGMENT'!$B$8:$B$1000=$B9)*'ANALYSE - ERP =&gt; SOUS-SEGMENT'!$Q$8:$Q$1000*'ANALYSE - ERP =&gt; SOUS-SEGMENT'!$DU$8:$DU$1000*'ANALYSE - ERP =&gt; SOUS-SEGMENT'!$CX$8:$CX$1000)/SUMPRODUCT(('ANALYSE - ERP =&gt; SOUS-SEGMENT'!$B$8:$B$1000=$B9)*'ANALYSE - ERP =&gt; SOUS-SEGMENT'!$Q$8:$Q$1000*'ANALYSE - ERP =&gt; SOUS-SEGMENT'!$DU$8:$DU$1000),""))</f>
        <v>7.6620868771276305</v>
      </c>
      <c r="CY9" s="807">
        <f>IF($B9="","",IFERROR(SUMPRODUCT(('ANALYSE - ERP =&gt; SOUS-SEGMENT'!$B$8:$B$1000=$B9)*'ANALYSE - ERP =&gt; SOUS-SEGMENT'!$Q$8:$Q$1000*'ANALYSE - ERP =&gt; SOUS-SEGMENT'!$EB$8:$EB$1000*'ANALYSE - ERP =&gt; SOUS-SEGMENT'!$CY$8:$CY$1000)/SUMPRODUCT(('ANALYSE - ERP =&gt; SOUS-SEGMENT'!$B$8:$B$1000=$B9)*'ANALYSE - ERP =&gt; SOUS-SEGMENT'!$Q$8:$Q$1000*'ANALYSE - ERP =&gt; SOUS-SEGMENT'!$EB$8:$EB$1000),""))</f>
        <v>8.2642953500536844</v>
      </c>
      <c r="CZ9" s="808">
        <f>IF($B9="","",IFERROR(SUMPRODUCT(('ANALYSE - ERP =&gt; SOUS-SEGMENT'!$B$8:$B$1000=$B9)*'ANALYSE - ERP =&gt; SOUS-SEGMENT'!$Q$8:$Q$1000*'ANALYSE - ERP =&gt; SOUS-SEGMENT'!$EC$8:$EC$1000*'ANALYSE - ERP =&gt; SOUS-SEGMENT'!$CZ$8:$CZ$1000)/SUMPRODUCT(('ANALYSE - ERP =&gt; SOUS-SEGMENT'!$B$8:$B$1000=$B9)*'ANALYSE - ERP =&gt; SOUS-SEGMENT'!$Q$8:$Q$1000*'ANALYSE - ERP =&gt; SOUS-SEGMENT'!$EC$8:$EC$1000),""))</f>
        <v>10.679785338196883</v>
      </c>
      <c r="DA9" s="808">
        <f>IF($B9="","",IFERROR(SUMPRODUCT(('ANALYSE - ERP =&gt; SOUS-SEGMENT'!$B$8:$B$1000=$B9)*'ANALYSE - ERP =&gt; SOUS-SEGMENT'!$Q$8:$Q$1000*'ANALYSE - ERP =&gt; SOUS-SEGMENT'!$ED$8:$ED$1000*'ANALYSE - ERP =&gt; SOUS-SEGMENT'!$DA$8:$DA$1000)/SUMPRODUCT(('ANALYSE - ERP =&gt; SOUS-SEGMENT'!$B$8:$B$1000=$B9)*'ANALYSE - ERP =&gt; SOUS-SEGMENT'!$Q$8:$Q$1000*'ANALYSE - ERP =&gt; SOUS-SEGMENT'!$ED$8:$ED$1000),""))</f>
        <v>7.5174111632584637</v>
      </c>
      <c r="DB9" s="809">
        <f>IF($B9="","",IFERROR(SUMPRODUCT(('ANALYSE - ERP =&gt; SOUS-SEGMENT'!$B$8:$B$1000=$B9)*'ANALYSE - ERP =&gt; SOUS-SEGMENT'!$Q$8:$Q$1000*'ANALYSE - ERP =&gt; SOUS-SEGMENT'!$EE$8:$EE$1000*'ANALYSE - ERP =&gt; SOUS-SEGMENT'!$DB$8:$DB$1000)/SUMPRODUCT(('ANALYSE - ERP =&gt; SOUS-SEGMENT'!$B$8:$B$1000=$B9)*'ANALYSE - ERP =&gt; SOUS-SEGMENT'!$Q$8:$Q$1000*'ANALYSE - ERP =&gt; SOUS-SEGMENT'!$EE$8:$EE$1000),""))</f>
        <v>9.070555254171385</v>
      </c>
      <c r="DC9" s="807">
        <f>IF($B9="","",IFERROR(SUMPRODUCT(('ANALYSE - ERP =&gt; SOUS-SEGMENT'!$B$8:$B$1000=$B9)*'ANALYSE - ERP =&gt; SOUS-SEGMENT'!$Q$8:$Q$1000*'ANALYSE - ERP =&gt; SOUS-SEGMENT'!$EM$8:$EM$1000*'ANALYSE - ERP =&gt; SOUS-SEGMENT'!$DC$8:$DC$1000)/SUMPRODUCT(('ANALYSE - ERP =&gt; SOUS-SEGMENT'!$B$8:$B$1000=$B9)*'ANALYSE - ERP =&gt; SOUS-SEGMENT'!$Q$8:$Q$1000*'ANALYSE - ERP =&gt; SOUS-SEGMENT'!$EM$8:$EM$1000),""))</f>
        <v>9.8348550119970692</v>
      </c>
      <c r="DD9" s="808">
        <f>IF($B9="","",IFERROR(SUMPRODUCT(('ANALYSE - ERP =&gt; SOUS-SEGMENT'!$B$8:$B$1000=$B9)*'ANALYSE - ERP =&gt; SOUS-SEGMENT'!$Q$8:$Q$1000*'ANALYSE - ERP =&gt; SOUS-SEGMENT'!$EN$8:$EN$1000*'ANALYSE - ERP =&gt; SOUS-SEGMENT'!$DD$8:$DD$1000)/SUMPRODUCT(('ANALYSE - ERP =&gt; SOUS-SEGMENT'!$B$8:$B$1000=$B9)*'ANALYSE - ERP =&gt; SOUS-SEGMENT'!$Q$8:$Q$1000*'ANALYSE - ERP =&gt; SOUS-SEGMENT'!$EN$8:$EN$1000),""))</f>
        <v>11.540820286548392</v>
      </c>
      <c r="DE9" s="809">
        <f>IF($B9="","",IFERROR(SUMPRODUCT(('ANALYSE - ERP =&gt; SOUS-SEGMENT'!$B$8:$B$1000=$B9)*'ANALYSE - ERP =&gt; SOUS-SEGMENT'!$Q$8:$Q$1000*'ANALYSE - ERP =&gt; SOUS-SEGMENT'!$EO$8:$EO$1000*'ANALYSE - ERP =&gt; SOUS-SEGMENT'!$DE$8:$DE$1000)/SUMPRODUCT(('ANALYSE - ERP =&gt; SOUS-SEGMENT'!$B$8:$B$1000=$B9)*'ANALYSE - ERP =&gt; SOUS-SEGMENT'!$Q$8:$Q$1000*'ANALYSE - ERP =&gt; SOUS-SEGMENT'!$EO$8:$EO$1000),""))</f>
        <v>8.3903796484871567</v>
      </c>
      <c r="DF9" s="921" t="s">
        <v>6340</v>
      </c>
      <c r="DG9" s="657"/>
      <c r="DH9" s="288">
        <f>IF($B9="","",SUMPRODUCT(('ANALYSE - ERP =&gt; SOUS-SEGMENT'!$B$8:$B$1000=$B9)*'ANALYSE - ERP =&gt; SOUS-SEGMENT'!$Q$8:$Q$1000*'ANALYSE - ERP =&gt; SOUS-SEGMENT'!$DH$8:$DH$1000))</f>
        <v>107839.4</v>
      </c>
      <c r="DI9" s="288">
        <f>IF($B9="","",SUMPRODUCT(('ANALYSE - ERP =&gt; SOUS-SEGMENT'!$B$8:$B$1000=$B9)*'ANALYSE - ERP =&gt; SOUS-SEGMENT'!$Q$8:$Q$1000*'ANALYSE - ERP =&gt; SOUS-SEGMENT'!$DI$8:$DI$1000))</f>
        <v>678352.12000000023</v>
      </c>
      <c r="DJ9" s="288">
        <f>IF($B9="","",SUMPRODUCT(('ANALYSE - ERP =&gt; SOUS-SEGMENT'!$B$8:$B$1000=$B9)*'ANALYSE - ERP =&gt; SOUS-SEGMENT'!$Q$8:$Q$1000*'ANALYSE - ERP =&gt; SOUS-SEGMENT'!$DJ$8:$DJ$1000))</f>
        <v>61906.159999999996</v>
      </c>
      <c r="DK9" s="288">
        <f>IF($B9="","",SUMPRODUCT(('ANALYSE - ERP =&gt; SOUS-SEGMENT'!$B$8:$B$1000=$B9)*'ANALYSE - ERP =&gt; SOUS-SEGMENT'!$Q$8:$Q$1000*'ANALYSE - ERP =&gt; SOUS-SEGMENT'!$DK$8:$DK$1000))</f>
        <v>47834.320000000007</v>
      </c>
      <c r="DL9" s="922" t="s">
        <v>6341</v>
      </c>
      <c r="DM9" s="288">
        <f>IF($B9="","",SUMPRODUCT(('ANALYSE - ERP =&gt; SOUS-SEGMENT'!$B$8:$B$1000=$B9)*'ANALYSE - ERP =&gt; SOUS-SEGMENT'!$Q$8:$Q$1000*'ANALYSE - ERP =&gt; SOUS-SEGMENT'!$DM$8:$DM$1000))</f>
        <v>91102.49</v>
      </c>
      <c r="DN9" s="288">
        <f>IF($B9="","",SUMPRODUCT(('ANALYSE - ERP =&gt; SOUS-SEGMENT'!$B$8:$B$1000=$B9)*'ANALYSE - ERP =&gt; SOUS-SEGMENT'!$Q$8:$Q$1000*'ANALYSE - ERP =&gt; SOUS-SEGMENT'!$DN$8:$DN$1000))</f>
        <v>697038.94</v>
      </c>
      <c r="DO9" s="288">
        <f>IF($B9="","",SUMPRODUCT(('ANALYSE - ERP =&gt; SOUS-SEGMENT'!$B$8:$B$1000=$B9)*'ANALYSE - ERP =&gt; SOUS-SEGMENT'!$Q$8:$Q$1000*'ANALYSE - ERP =&gt; SOUS-SEGMENT'!$DO$8:$DO$1000))</f>
        <v>82154.029999999984</v>
      </c>
      <c r="DP9" s="288">
        <f>IF($B9="","",SUMPRODUCT(('ANALYSE - ERP =&gt; SOUS-SEGMENT'!$B$8:$B$1000=$B9)*'ANALYSE - ERP =&gt; SOUS-SEGMENT'!$Q$8:$Q$1000*'ANALYSE - ERP =&gt; SOUS-SEGMENT'!$DP$8:$DP$1000))</f>
        <v>45231.539999999994</v>
      </c>
      <c r="DQ9" s="922" t="s">
        <v>6342</v>
      </c>
      <c r="DR9" s="657"/>
      <c r="DS9" s="288">
        <f>IF($B9="","",SUMPRODUCT(('ANALYSE - ERP =&gt; SOUS-SEGMENT'!$B$8:$B$1000=$B9)*'ANALYSE - ERP =&gt; SOUS-SEGMENT'!$Q$8:$Q$1000*'ANALYSE - ERP =&gt; SOUS-SEGMENT'!$DS$8:$DS$1000))</f>
        <v>153839.9</v>
      </c>
      <c r="DT9" s="288">
        <f>IF($B9="","",SUMPRODUCT(('ANALYSE - ERP =&gt; SOUS-SEGMENT'!$B$8:$B$1000=$B9)*'ANALYSE - ERP =&gt; SOUS-SEGMENT'!$Q$8:$Q$1000*'ANALYSE - ERP =&gt; SOUS-SEGMENT'!$DT$8:$DT$1000))</f>
        <v>586471.77500000002</v>
      </c>
      <c r="DU9" s="288">
        <f>IF($B9="","",SUMPRODUCT(('ANALYSE - ERP =&gt; SOUS-SEGMENT'!$B$8:$B$1000=$B9)*'ANALYSE - ERP =&gt; SOUS-SEGMENT'!$Q$8:$Q$1000*'ANALYSE - ERP =&gt; SOUS-SEGMENT'!$DU$8:$DU$1000))</f>
        <v>43864.824999999997</v>
      </c>
      <c r="DV9" s="922" t="s">
        <v>6343</v>
      </c>
      <c r="DW9" s="288">
        <f>IF($B9="","",SUMPRODUCT(('ANALYSE - ERP =&gt; SOUS-SEGMENT'!$B$8:$B$1000=$B9)*'ANALYSE - ERP =&gt; SOUS-SEGMENT'!$Q$8:$Q$1000*'ANALYSE - ERP =&gt; SOUS-SEGMENT'!$DW$8:$DW$1000))</f>
        <v>126287.65000000001</v>
      </c>
      <c r="DX9" s="288">
        <f>IF($B9="","",SUMPRODUCT(('ANALYSE - ERP =&gt; SOUS-SEGMENT'!$B$8:$B$1000=$B9)*'ANALYSE - ERP =&gt; SOUS-SEGMENT'!$Q$8:$Q$1000*'ANALYSE - ERP =&gt; SOUS-SEGMENT'!$DX$8:$DX$1000))</f>
        <v>618773.97999999986</v>
      </c>
      <c r="DY9" s="288">
        <f>IF($B9="","",SUMPRODUCT(('ANALYSE - ERP =&gt; SOUS-SEGMENT'!$B$8:$B$1000=$B9)*'ANALYSE - ERP =&gt; SOUS-SEGMENT'!$Q$8:$Q$1000*'ANALYSE - ERP =&gt; SOUS-SEGMENT'!$DY$8:$DY$1000))</f>
        <v>57926.37</v>
      </c>
      <c r="DZ9" s="922" t="s">
        <v>6344</v>
      </c>
      <c r="EA9" s="657"/>
      <c r="EB9" s="288">
        <f>IF($B9="","",SUMPRODUCT(('ANALYSE - ERP =&gt; SOUS-SEGMENT'!$B$8:$B$1000=$B9)*'ANALYSE - ERP =&gt; SOUS-SEGMENT'!$Q$8:$Q$1000*'ANALYSE - ERP =&gt; SOUS-SEGMENT'!$EB$8:$EB$1000))</f>
        <v>10896.9</v>
      </c>
      <c r="EC9" s="288">
        <f>IF($B9="","",SUMPRODUCT(('ANALYSE - ERP =&gt; SOUS-SEGMENT'!$B$8:$B$1000=$B9)*'ANALYSE - ERP =&gt; SOUS-SEGMENT'!$Q$8:$Q$1000*'ANALYSE - ERP =&gt; SOUS-SEGMENT'!$EC$8:$EC$1000))</f>
        <v>123394.1</v>
      </c>
      <c r="ED9" s="288">
        <f>IF($B9="","",SUMPRODUCT(('ANALYSE - ERP =&gt; SOUS-SEGMENT'!$B$8:$B$1000=$B9)*'ANALYSE - ERP =&gt; SOUS-SEGMENT'!$Q$8:$Q$1000*'ANALYSE - ERP =&gt; SOUS-SEGMENT'!$ED$8:$ED$1000))</f>
        <v>19091.2</v>
      </c>
      <c r="EE9" s="288">
        <f>IF($B9="","",SUMPRODUCT(('ANALYSE - ERP =&gt; SOUS-SEGMENT'!$B$8:$B$1000=$B9)*'ANALYSE - ERP =&gt; SOUS-SEGMENT'!$Q$8:$Q$1000*'ANALYSE - ERP =&gt; SOUS-SEGMENT'!$EE$8:$EE$1000))</f>
        <v>63779.799999999996</v>
      </c>
      <c r="EF9" s="922" t="s">
        <v>6345</v>
      </c>
      <c r="EG9" s="288">
        <f>IF($B9="","",SUMPRODUCT(('ANALYSE - ERP =&gt; SOUS-SEGMENT'!$B$8:$B$1000=$B9)*'ANALYSE - ERP =&gt; SOUS-SEGMENT'!$Q$8:$Q$1000*'ANALYSE - ERP =&gt; SOUS-SEGMENT'!$EG$8:$EG$1000))</f>
        <v>8891.4600000000009</v>
      </c>
      <c r="EH9" s="288">
        <f>IF($B9="","",SUMPRODUCT(('ANALYSE - ERP =&gt; SOUS-SEGMENT'!$B$8:$B$1000=$B9)*'ANALYSE - ERP =&gt; SOUS-SEGMENT'!$Q$8:$Q$1000*'ANALYSE - ERP =&gt; SOUS-SEGMENT'!$EH$8:$EH$1000))</f>
        <v>126100.2</v>
      </c>
      <c r="EI9" s="288">
        <f>IF($B9="","",SUMPRODUCT(('ANALYSE - ERP =&gt; SOUS-SEGMENT'!$B$8:$B$1000=$B9)*'ANALYSE - ERP =&gt; SOUS-SEGMENT'!$Q$8:$Q$1000*'ANALYSE - ERP =&gt; SOUS-SEGMENT'!$EI$8:$EI$1000))</f>
        <v>24062.610000000004</v>
      </c>
      <c r="EJ9" s="288">
        <f>IF($B9="","",SUMPRODUCT(('ANALYSE - ERP =&gt; SOUS-SEGMENT'!$B$8:$B$1000=$B9)*'ANALYSE - ERP =&gt; SOUS-SEGMENT'!$Q$8:$Q$1000*'ANALYSE - ERP =&gt; SOUS-SEGMENT'!$EJ$8:$EJ$1000))</f>
        <v>62544.73000000001</v>
      </c>
      <c r="EK9" s="922" t="s">
        <v>6346</v>
      </c>
      <c r="EL9" s="657"/>
      <c r="EM9" s="288">
        <f>IF($B9="","",SUMPRODUCT(('ANALYSE - ERP =&gt; SOUS-SEGMENT'!$B$8:$B$1000=$B9)*'ANALYSE - ERP =&gt; SOUS-SEGMENT'!$Q$8:$Q$1000*'ANALYSE - ERP =&gt; SOUS-SEGMENT'!$EM$8:$EM$1000))</f>
        <v>235786.75</v>
      </c>
      <c r="EN9" s="291">
        <f>IF($B9="","",SUMPRODUCT(('ANALYSE - ERP =&gt; SOUS-SEGMENT'!$B$8:$B$1000=$B9)*'ANALYSE - ERP =&gt; SOUS-SEGMENT'!$Q$8:$Q$1000*'ANALYSE - ERP =&gt; SOUS-SEGMENT'!$EN$8:$EN$1000))</f>
        <v>379688.05</v>
      </c>
      <c r="EO9" s="291">
        <f>IF($B9="","",SUMPRODUCT(('ANALYSE - ERP =&gt; SOUS-SEGMENT'!$B$8:$B$1000=$B9)*'ANALYSE - ERP =&gt; SOUS-SEGMENT'!$Q$8:$Q$1000*'ANALYSE - ERP =&gt; SOUS-SEGMENT'!$EO$8:$EO$1000))</f>
        <v>103996.2</v>
      </c>
      <c r="EP9" s="922" t="s">
        <v>6347</v>
      </c>
      <c r="EQ9" s="288">
        <f>IF($B9="","",SUMPRODUCT(('ANALYSE - ERP =&gt; SOUS-SEGMENT'!$B$8:$B$1000=$B9)*'ANALYSE - ERP =&gt; SOUS-SEGMENT'!$Q$8:$Q$1000*'ANALYSE - ERP =&gt; SOUS-SEGMENT'!$EQ$8:$EQ$1000))</f>
        <v>166863.95000000001</v>
      </c>
      <c r="ER9" s="291">
        <f>IF($B9="","",SUMPRODUCT(('ANALYSE - ERP =&gt; SOUS-SEGMENT'!$B$8:$B$1000=$B9)*'ANALYSE - ERP =&gt; SOUS-SEGMENT'!$Q$8:$Q$1000*'ANALYSE - ERP =&gt; SOUS-SEGMENT'!$ER$8:$ER$1000))</f>
        <v>411384.49</v>
      </c>
      <c r="ES9" s="291">
        <f>IF($B9="","",SUMPRODUCT(('ANALYSE - ERP =&gt; SOUS-SEGMENT'!$B$8:$B$1000=$B9)*'ANALYSE - ERP =&gt; SOUS-SEGMENT'!$Q$8:$Q$1000*'ANALYSE - ERP =&gt; SOUS-SEGMENT'!$ES$8:$ES$1000))</f>
        <v>155879.56</v>
      </c>
      <c r="ET9" s="922" t="s">
        <v>6348</v>
      </c>
      <c r="EU9" s="657"/>
      <c r="EV9" s="740">
        <f t="shared" si="31"/>
        <v>0.80795261793150308</v>
      </c>
      <c r="EW9" s="740">
        <f t="shared" si="32"/>
        <v>0.19204738206849684</v>
      </c>
      <c r="EX9" s="563">
        <f t="shared" si="33"/>
        <v>1301957.8218505471</v>
      </c>
      <c r="EY9" s="563">
        <f t="shared" si="34"/>
        <v>1051920.230600547</v>
      </c>
      <c r="EZ9" s="563">
        <f t="shared" si="35"/>
        <v>250037.59124999997</v>
      </c>
      <c r="FA9" s="563">
        <f t="shared" si="36"/>
        <v>416117.06975815148</v>
      </c>
      <c r="FB9" s="563">
        <f>IF($B9="","",SUMPRODUCT(('ANALYSE - ERP =&gt; SOUS-SEGMENT'!$B$8:$B$1000=$B9)*'ANALYSE - ERP =&gt; SOUS-SEGMENT'!$Q$8:$Q$1000*'ANALYSE - ERP =&gt; SOUS-SEGMENT'!$FB$8:$FB$1000))</f>
        <v>331061.45835815149</v>
      </c>
      <c r="FC9" s="563">
        <f>IF($B9="","",SUMPRODUCT(('ANALYSE - ERP =&gt; SOUS-SEGMENT'!$B$8:$B$1000=$B9)*'ANALYSE - ERP =&gt; SOUS-SEGMENT'!$Q$8:$Q$1000*'ANALYSE - ERP =&gt; SOUS-SEGMENT'!$FC$8:$FC$1000))</f>
        <v>85055.61139999998</v>
      </c>
      <c r="FD9" s="563">
        <f t="shared" si="37"/>
        <v>438927.22695461335</v>
      </c>
      <c r="FE9" s="563">
        <f>IF($B9="","",SUMPRODUCT(('ANALYSE - ERP =&gt; SOUS-SEGMENT'!$B$8:$B$1000=$B9)*'ANALYSE - ERP =&gt; SOUS-SEGMENT'!$Q$8:$Q$1000*'ANALYSE - ERP =&gt; SOUS-SEGMENT'!$FE$8:$FE$1000))</f>
        <v>361083.65110461338</v>
      </c>
      <c r="FF9" s="563">
        <f>IF($B9="","",SUMPRODUCT(('ANALYSE - ERP =&gt; SOUS-SEGMENT'!$B$8:$B$1000=$B9)*'ANALYSE - ERP =&gt; SOUS-SEGMENT'!$Q$8:$Q$1000*'ANALYSE - ERP =&gt; SOUS-SEGMENT'!$FF$8:$FF$1000))</f>
        <v>77843.575849999994</v>
      </c>
      <c r="FG9" s="563">
        <f t="shared" si="38"/>
        <v>109643.26524994877</v>
      </c>
      <c r="FH9" s="563">
        <f>IF($B9="","",SUMPRODUCT(('ANALYSE - ERP =&gt; SOUS-SEGMENT'!$B$8:$B$1000=$B9)*'ANALYSE - ERP =&gt; SOUS-SEGMENT'!$Q$8:$Q$1000*'ANALYSE - ERP =&gt; SOUS-SEGMENT'!$FH$8:$FH$1000))</f>
        <v>89310.599149948772</v>
      </c>
      <c r="FI9" s="563">
        <f>IF($B9="","",SUMPRODUCT(('ANALYSE - ERP =&gt; SOUS-SEGMENT'!$B$8:$B$1000=$B9)*'ANALYSE - ERP =&gt; SOUS-SEGMENT'!$Q$8:$Q$1000*'ANALYSE - ERP =&gt; SOUS-SEGMENT'!$FI$8:$FI$1000))</f>
        <v>20332.666100000002</v>
      </c>
      <c r="FJ9" s="563">
        <f t="shared" si="39"/>
        <v>337270.25988783332</v>
      </c>
      <c r="FK9" s="563">
        <f>IF($B9="","",SUMPRODUCT(('ANALYSE - ERP =&gt; SOUS-SEGMENT'!$B$8:$B$1000=$B9)*'ANALYSE - ERP =&gt; SOUS-SEGMENT'!$Q$8:$Q$1000*'ANALYSE - ERP =&gt; SOUS-SEGMENT'!$FK$8:$FK$1000))</f>
        <v>270464.52198783332</v>
      </c>
      <c r="FL9" s="563">
        <f>IF($B9="","",SUMPRODUCT(('ANALYSE - ERP =&gt; SOUS-SEGMENT'!$B$8:$B$1000=$B9)*'ANALYSE - ERP =&gt; SOUS-SEGMENT'!$Q$8:$Q$1000*'ANALYSE - ERP =&gt; SOUS-SEGMENT'!$FL$8:$FL$1000))</f>
        <v>66805.737900000007</v>
      </c>
      <c r="FM9" s="529"/>
      <c r="FN9" s="961" t="s">
        <v>2649</v>
      </c>
      <c r="FO9" s="740">
        <f>IF($B9="","",IFERROR(SUMPRODUCT(('ANALYSE - ERP =&gt; SOUS-SEGMENT'!$B$8:$B$1000=$B9)*'ANALYSE - ERP =&gt; SOUS-SEGMENT'!$Q$8:$Q$1000*'ANALYSE - ERP =&gt; SOUS-SEGMENT'!$AF$8:$AF$1000*'ANALYSE - ERP =&gt; SOUS-SEGMENT'!$FO$8:$FO$1000)/SUMPRODUCT(('ANALYSE - ERP =&gt; SOUS-SEGMENT'!$B$8:$B$1000=$B9)*'ANALYSE - ERP =&gt; SOUS-SEGMENT'!$Q$8:$Q$1000*'ANALYSE - ERP =&gt; SOUS-SEGMENT'!$AF$8:$AF$1000),""))</f>
        <v>6.8263264131096721E-2</v>
      </c>
      <c r="FP9" s="741">
        <f>IF($B9="","",IFERROR(SUMPRODUCT(('ANALYSE - ERP =&gt; SOUS-SEGMENT'!$B$8:$B$1000=$B9)*'ANALYSE - ERP =&gt; SOUS-SEGMENT'!$Q$8:$Q$1000*'ANALYSE - ERP =&gt; SOUS-SEGMENT'!$AF$8:$AF$1000*'ANALYSE - ERP =&gt; SOUS-SEGMENT'!$FP$8:$FP$1000)/SUMPRODUCT(('ANALYSE - ERP =&gt; SOUS-SEGMENT'!$B$8:$B$1000=$B9)*'ANALYSE - ERP =&gt; SOUS-SEGMENT'!$Q$8:$Q$1000*'ANALYSE - ERP =&gt; SOUS-SEGMENT'!$AF$8:$AF$1000),""))</f>
        <v>0.83477835796932964</v>
      </c>
      <c r="FQ9" s="961" t="s">
        <v>6349</v>
      </c>
      <c r="FR9" s="529"/>
      <c r="FS9" s="867">
        <f>IF($B9="","",IFERROR(SUMPRODUCT(('ANALYSE - ERP =&gt; SOUS-SEGMENT'!$B$8:$B$1000=$B9)*'ANALYSE - ERP =&gt; SOUS-SEGMENT'!$Q$8:$Q$1000*'ANALYSE - ERP =&gt; SOUS-SEGMENT'!$EX$8:$EX$1000*'ANALYSE - ERP =&gt; SOUS-SEGMENT'!$FS$8:$FS$1000)/SUMPRODUCT(('ANALYSE - ERP =&gt; SOUS-SEGMENT'!$B$8:$B$1000=$B9)*'ANALYSE - ERP =&gt; SOUS-SEGMENT'!$Q$8:$Q$1000*'ANALYSE - ERP =&gt; SOUS-SEGMENT'!$EX$8:$EX$1000),""))</f>
        <v>3.4765978466477625</v>
      </c>
      <c r="FT9" s="566">
        <f>IF($B9="","",RANK($FS9,$FS$8:$FS$20,0)+COUNTIF($FS$8:$FS9,$FS9)-1)</f>
        <v>7</v>
      </c>
      <c r="FU9" s="867">
        <f>IF($B9="","",IFERROR(SUMPRODUCT(('ANALYSE - ERP =&gt; SOUS-SEGMENT'!$B$8:$B$1000=$B9)*'ANALYSE - ERP =&gt; SOUS-SEGMENT'!$Q$8:$Q$1000*'ANALYSE - ERP =&gt; SOUS-SEGMENT'!$EY$8:$EY$1000*'ANALYSE - ERP =&gt; SOUS-SEGMENT'!$FU$8:$FU$1000)/SUMPRODUCT(('ANALYSE - ERP =&gt; SOUS-SEGMENT'!$B$8:$B$1000=$B9)*'ANALYSE - ERP =&gt; SOUS-SEGMENT'!$Q$8:$Q$1000*'ANALYSE - ERP =&gt; SOUS-SEGMENT'!$EY$8:$EY$1000),""))</f>
        <v>4.3006546849826472</v>
      </c>
      <c r="FV9" s="566">
        <f>IF($B9="","",RANK($FU9,$FU$8:$FU$20,0)+COUNTIF($FU$8:$FU9,$FU9)-1)</f>
        <v>4</v>
      </c>
      <c r="FW9" s="867">
        <f>IF($B9="","",IFERROR(SUMPRODUCT(('ANALYSE - ERP =&gt; SOUS-SEGMENT'!$B$8:$B$1000=$B9)*'ANALYSE - ERP =&gt; SOUS-SEGMENT'!$Q$8:$Q$1000*'ANALYSE - ERP =&gt; SOUS-SEGMENT'!$EZ$8:$EZ$1000*'ANALYSE - ERP =&gt; SOUS-SEGMENT'!$FW$8:$FW$1000)/SUMPRODUCT(('ANALYSE - ERP =&gt; SOUS-SEGMENT'!$B$8:$B$1000=$B9)*'ANALYSE - ERP =&gt; SOUS-SEGMENT'!$Q$8:$Q$1000*'ANALYSE - ERP =&gt; SOUS-SEGMENT'!$EZ$8:$EZ$1000),""))</f>
        <v>2.2880348339002015</v>
      </c>
      <c r="FX9" s="566">
        <f>IF($B9="","",RANK($FW9,$FW$8:$FW$20,0)+COUNTIF($FW$8:$FW9,$FW9)-1)</f>
        <v>6</v>
      </c>
      <c r="FY9" s="529"/>
      <c r="FZ9" s="922" t="s">
        <v>6350</v>
      </c>
      <c r="GA9" s="922" t="s">
        <v>6351</v>
      </c>
      <c r="GB9" s="922" t="s">
        <v>6352</v>
      </c>
      <c r="GC9" s="922" t="s">
        <v>6353</v>
      </c>
      <c r="GD9" s="922" t="s">
        <v>6354</v>
      </c>
      <c r="GE9" s="922" t="s">
        <v>6355</v>
      </c>
      <c r="GF9" s="923" t="s">
        <v>6356</v>
      </c>
      <c r="GG9" s="529"/>
      <c r="GH9" s="563">
        <f t="shared" si="40"/>
        <v>46606.852133160006</v>
      </c>
      <c r="GI9" s="563">
        <f>IF($B9="","",SUMPRODUCT(('ANALYSE - ERP =&gt; SOUS-SEGMENT'!$B$8:$B$1000=$B9)*'ANALYSE - ERP =&gt; SOUS-SEGMENT'!$Q$8:$Q$1000*'ANALYSE - ERP =&gt; SOUS-SEGMENT'!$GI$8:$GI$1000))</f>
        <v>38596.552159160005</v>
      </c>
      <c r="GJ9" s="563">
        <f>IF($B9="","",SUMPRODUCT(('ANALYSE - ERP =&gt; SOUS-SEGMENT'!$B$8:$B$1000=$B9)*'ANALYSE - ERP =&gt; SOUS-SEGMENT'!$Q$8:$Q$1000*'ANALYSE - ERP =&gt; SOUS-SEGMENT'!$GJ$8:$GJ$1000))</f>
        <v>8010.2999739999987</v>
      </c>
      <c r="GK9" s="563">
        <f t="shared" si="41"/>
        <v>307636.00487365818</v>
      </c>
      <c r="GL9" s="563">
        <f>IF($B9="","",SUMPRODUCT(('ANALYSE - ERP =&gt; SOUS-SEGMENT'!$B$8:$B$1000=$B9)*'ANALYSE - ERP =&gt; SOUS-SEGMENT'!$Q$8:$Q$1000*'ANALYSE - ERP =&gt; SOUS-SEGMENT'!$GL$8:$GL$1000))</f>
        <v>242402.25502165817</v>
      </c>
      <c r="GM9" s="563">
        <f>IF($B9="","",SUMPRODUCT(('ANALYSE - ERP =&gt; SOUS-SEGMENT'!$B$8:$B$1000=$B9)*'ANALYSE - ERP =&gt; SOUS-SEGMENT'!$Q$8:$Q$1000*'ANALYSE - ERP =&gt; SOUS-SEGMENT'!$GM$8:$GM$1000))</f>
        <v>65233.749852000015</v>
      </c>
      <c r="GN9" s="563">
        <f t="shared" si="42"/>
        <v>38374.303262679998</v>
      </c>
      <c r="GO9" s="563">
        <f>IF($B9="","",SUMPRODUCT(('ANALYSE - ERP =&gt; SOUS-SEGMENT'!$B$8:$B$1000=$B9)*'ANALYSE - ERP =&gt; SOUS-SEGMENT'!$Q$8:$Q$1000*'ANALYSE - ERP =&gt; SOUS-SEGMENT'!$GO$8:$GO$1000))</f>
        <v>30636.742060680001</v>
      </c>
      <c r="GP9" s="563">
        <f>IF($B9="","",SUMPRODUCT(('ANALYSE - ERP =&gt; SOUS-SEGMENT'!$B$8:$B$1000=$B9)*'ANALYSE - ERP =&gt; SOUS-SEGMENT'!$Q$8:$Q$1000*'ANALYSE - ERP =&gt; SOUS-SEGMENT'!$GP$8:$GP$1000))</f>
        <v>7737.561201999999</v>
      </c>
      <c r="GQ9" s="563">
        <f t="shared" si="43"/>
        <v>23499.909488653338</v>
      </c>
      <c r="GR9" s="563">
        <f>IF($B9="","",SUMPRODUCT(('ANALYSE - ERP =&gt; SOUS-SEGMENT'!$B$8:$B$1000=$B9)*'ANALYSE - ERP =&gt; SOUS-SEGMENT'!$Q$8:$Q$1000*'ANALYSE - ERP =&gt; SOUS-SEGMENT'!$GR$8:$GR$1000))</f>
        <v>19425.90911665334</v>
      </c>
      <c r="GS9" s="563">
        <f>IF($B9="","",SUMPRODUCT(('ANALYSE - ERP =&gt; SOUS-SEGMENT'!$B$8:$B$1000=$B9)*'ANALYSE - ERP =&gt; SOUS-SEGMENT'!$Q$8:$Q$1000*'ANALYSE - ERP =&gt; SOUS-SEGMENT'!$GS$8:$GS$1000))</f>
        <v>4074.000372</v>
      </c>
      <c r="GT9" s="563">
        <f t="shared" si="44"/>
        <v>85612.046176365926</v>
      </c>
      <c r="GU9" s="563">
        <f>IF($B9="","",SUMPRODUCT(('ANALYSE - ERP =&gt; SOUS-SEGMENT'!$B$8:$B$1000=$B9)*'ANALYSE - ERP =&gt; SOUS-SEGMENT'!$Q$8:$Q$1000*'ANALYSE - ERP =&gt; SOUS-SEGMENT'!$GU$8:$GU$1000))</f>
        <v>72895.745925865922</v>
      </c>
      <c r="GV9" s="563">
        <f>IF($B9="","",SUMPRODUCT(('ANALYSE - ERP =&gt; SOUS-SEGMENT'!$B$8:$B$1000=$B9)*'ANALYSE - ERP =&gt; SOUS-SEGMENT'!$Q$8:$Q$1000*'ANALYSE - ERP =&gt; SOUS-SEGMENT'!$GV$8:$GV$1000))</f>
        <v>12716.300250499999</v>
      </c>
      <c r="GW9" s="563">
        <f t="shared" si="45"/>
        <v>323801.65350362501</v>
      </c>
      <c r="GX9" s="563">
        <f>IF($B9="","",SUMPRODUCT(('ANALYSE - ERP =&gt; SOUS-SEGMENT'!$B$8:$B$1000=$B9)*'ANALYSE - ERP =&gt; SOUS-SEGMENT'!$Q$8:$Q$1000*'ANALYSE - ERP =&gt; SOUS-SEGMENT'!$GX$8:$GX$1000))</f>
        <v>264440.10227862501</v>
      </c>
      <c r="GY9" s="563">
        <f>IF($B9="","",SUMPRODUCT(('ANALYSE - ERP =&gt; SOUS-SEGMENT'!$B$8:$B$1000=$B9)*'ANALYSE - ERP =&gt; SOUS-SEGMENT'!$Q$8:$Q$1000*'ANALYSE - ERP =&gt; SOUS-SEGMENT'!$GY$8:$GY$1000))</f>
        <v>59361.551225000003</v>
      </c>
      <c r="GZ9" s="563">
        <f t="shared" si="46"/>
        <v>29513.52727462232</v>
      </c>
      <c r="HA9" s="563">
        <f>IF($B9="","",SUMPRODUCT(('ANALYSE - ERP =&gt; SOUS-SEGMENT'!$B$8:$B$1000=$B9)*'ANALYSE - ERP =&gt; SOUS-SEGMENT'!$Q$8:$Q$1000*'ANALYSE - ERP =&gt; SOUS-SEGMENT'!$HA$8:$HA$1000))</f>
        <v>23747.802900122322</v>
      </c>
      <c r="HB9" s="563">
        <f>IF($B9="","",SUMPRODUCT(('ANALYSE - ERP =&gt; SOUS-SEGMENT'!$B$8:$B$1000=$B9)*'ANALYSE - ERP =&gt; SOUS-SEGMENT'!$Q$8:$Q$1000*'ANALYSE - ERP =&gt; SOUS-SEGMENT'!$HB$8:$HB$1000))</f>
        <v>5765.7243744999996</v>
      </c>
      <c r="HC9" s="563">
        <f t="shared" si="47"/>
        <v>5959.0989947299986</v>
      </c>
      <c r="HD9" s="563">
        <f>IF($B9="","",SUMPRODUCT(('ANALYSE - ERP =&gt; SOUS-SEGMENT'!$B$8:$B$1000=$B9)*'ANALYSE - ERP =&gt; SOUS-SEGMENT'!$Q$8:$Q$1000*'ANALYSE - ERP =&gt; SOUS-SEGMENT'!$HD$8:$HD$1000))</f>
        <v>5163.5211227299988</v>
      </c>
      <c r="HE9" s="563">
        <f>IF($B9="","",SUMPRODUCT(('ANALYSE - ERP =&gt; SOUS-SEGMENT'!$B$8:$B$1000=$B9)*'ANALYSE - ERP =&gt; SOUS-SEGMENT'!$Q$8:$Q$1000*'ANALYSE - ERP =&gt; SOUS-SEGMENT'!$HE$8:$HE$1000))</f>
        <v>795.57787199999996</v>
      </c>
      <c r="HF9" s="563">
        <f t="shared" si="48"/>
        <v>57486.709333129096</v>
      </c>
      <c r="HG9" s="563">
        <f>IF($B9="","",SUMPRODUCT(('ANALYSE - ERP =&gt; SOUS-SEGMENT'!$B$8:$B$1000=$B9)*'ANALYSE - ERP =&gt; SOUS-SEGMENT'!$Q$8:$Q$1000*'ANALYSE - ERP =&gt; SOUS-SEGMENT'!$HG$8:$HG$1000))</f>
        <v>45928.184928129092</v>
      </c>
      <c r="HH9" s="563">
        <f>IF($B9="","",SUMPRODUCT(('ANALYSE - ERP =&gt; SOUS-SEGMENT'!$B$8:$B$1000=$B9)*'ANALYSE - ERP =&gt; SOUS-SEGMENT'!$Q$8:$Q$1000*'ANALYSE - ERP =&gt; SOUS-SEGMENT'!$HH$8:$HH$1000))</f>
        <v>11558.524405</v>
      </c>
      <c r="HI9" s="563">
        <f t="shared" si="49"/>
        <v>12412.587885478573</v>
      </c>
      <c r="HJ9" s="563">
        <f>IF($B9="","",SUMPRODUCT(('ANALYSE - ERP =&gt; SOUS-SEGMENT'!$B$8:$B$1000=$B9)*'ANALYSE - ERP =&gt; SOUS-SEGMENT'!$Q$8:$Q$1000*'ANALYSE - ERP =&gt; SOUS-SEGMENT'!$HJ$8:$HJ$1000))</f>
        <v>10180.469851478574</v>
      </c>
      <c r="HK9" s="563">
        <f>IF($B9="","",SUMPRODUCT(('ANALYSE - ERP =&gt; SOUS-SEGMENT'!$B$8:$B$1000=$B9)*'ANALYSE - ERP =&gt; SOUS-SEGMENT'!$Q$8:$Q$1000*'ANALYSE - ERP =&gt; SOUS-SEGMENT'!$HK$8:$HK$1000))</f>
        <v>2232.1180339999992</v>
      </c>
      <c r="HL9" s="563">
        <f t="shared" si="50"/>
        <v>33784.869036611111</v>
      </c>
      <c r="HM9" s="563">
        <f>IF($B9="","",SUMPRODUCT(('ANALYSE - ERP =&gt; SOUS-SEGMENT'!$B$8:$B$1000=$B9)*'ANALYSE - ERP =&gt; SOUS-SEGMENT'!$Q$8:$Q$1000*'ANALYSE - ERP =&gt; SOUS-SEGMENT'!$HM$8:$HM$1000))</f>
        <v>28038.42324761111</v>
      </c>
      <c r="HN9" s="563">
        <f>IF($B9="","",SUMPRODUCT(('ANALYSE - ERP =&gt; SOUS-SEGMENT'!$B$8:$B$1000=$B9)*'ANALYSE - ERP =&gt; SOUS-SEGMENT'!$Q$8:$Q$1000*'ANALYSE - ERP =&gt; SOUS-SEGMENT'!$HN$8:$HN$1000))</f>
        <v>5746.4457889999985</v>
      </c>
      <c r="HO9" s="563">
        <f t="shared" si="51"/>
        <v>103660.67151307223</v>
      </c>
      <c r="HP9" s="563">
        <f>IF($B9="","",SUMPRODUCT(('ANALYSE - ERP =&gt; SOUS-SEGMENT'!$B$8:$B$1000=$B9)*'ANALYSE - ERP =&gt; SOUS-SEGMENT'!$Q$8:$Q$1000*'ANALYSE - ERP =&gt; SOUS-SEGMENT'!$HP$8:$HP$1000))</f>
        <v>89147.111738072228</v>
      </c>
      <c r="HQ9" s="563">
        <f>IF($B9="","",SUMPRODUCT(('ANALYSE - ERP =&gt; SOUS-SEGMENT'!$B$8:$B$1000=$B9)*'ANALYSE - ERP =&gt; SOUS-SEGMENT'!$Q$8:$Q$1000*'ANALYSE - ERP =&gt; SOUS-SEGMENT'!$HQ$8:$HQ$1000))</f>
        <v>14513.559775</v>
      </c>
      <c r="HR9" s="563">
        <f t="shared" si="52"/>
        <v>168602.55101306667</v>
      </c>
      <c r="HS9" s="563">
        <f>IF($B9="","",SUMPRODUCT(('ANALYSE - ERP =&gt; SOUS-SEGMENT'!$B$8:$B$1000=$B9)*'ANALYSE - ERP =&gt; SOUS-SEGMENT'!$Q$8:$Q$1000*'ANALYSE - ERP =&gt; SOUS-SEGMENT'!$HS$8:$HS$1000))</f>
        <v>130711.34094106668</v>
      </c>
      <c r="HT9" s="563">
        <f>IF($B9="","",SUMPRODUCT(('ANALYSE - ERP =&gt; SOUS-SEGMENT'!$B$8:$B$1000=$B9)*'ANALYSE - ERP =&gt; SOUS-SEGMENT'!$Q$8:$Q$1000*'ANALYSE - ERP =&gt; SOUS-SEGMENT'!$HT$8:$HT$1000))</f>
        <v>37891.210071999987</v>
      </c>
      <c r="HU9" s="563">
        <f t="shared" si="53"/>
        <v>65007.037361694442</v>
      </c>
      <c r="HV9" s="563">
        <f>IF($B9="","",SUMPRODUCT(('ANALYSE - ERP =&gt; SOUS-SEGMENT'!$B$8:$B$1000=$B9)*'ANALYSE - ERP =&gt; SOUS-SEGMENT'!$Q$8:$Q$1000*'ANALYSE - ERP =&gt; SOUS-SEGMENT'!$HV$8:$HV$1000))</f>
        <v>50606.069308694437</v>
      </c>
      <c r="HW9" s="563">
        <f>IF($B9="","",SUMPRODUCT(('ANALYSE - ERP =&gt; SOUS-SEGMENT'!$B$8:$B$1000=$B9)*'ANALYSE - ERP =&gt; SOUS-SEGMENT'!$Q$8:$Q$1000*'ANALYSE - ERP =&gt; SOUS-SEGMENT'!$HW$8:$HW$1000))</f>
        <v>14400.968053000004</v>
      </c>
      <c r="HX9" s="544"/>
      <c r="HY9" s="568">
        <f t="shared" si="54"/>
        <v>2610729.1419999995</v>
      </c>
      <c r="HZ9" s="568">
        <f>IF($B9="","",SUMPRODUCT(('ANALYSE - ERP =&gt; SOUS-SEGMENT'!$B$8:$B$1000=$B9)*'ANALYSE - ERP =&gt; SOUS-SEGMENT'!$Q$8:$Q$1000*'ANALYSE - ERP =&gt; SOUS-SEGMENT'!$HZ$8:$HZ$1000))</f>
        <v>365027.91389999987</v>
      </c>
      <c r="IA9" s="568">
        <f>IF($B9="","",SUMPRODUCT(('ANALYSE - ERP =&gt; SOUS-SEGMENT'!$B$8:$B$1000=$B9)*'ANALYSE - ERP =&gt; SOUS-SEGMENT'!$Q$8:$Q$1000*'ANALYSE - ERP =&gt; SOUS-SEGMENT'!$IA$8:$IA$1000))</f>
        <v>1392525.0418999998</v>
      </c>
      <c r="IB9" s="568">
        <f>IF($B9="","",SUMPRODUCT(('ANALYSE - ERP =&gt; SOUS-SEGMENT'!$B$8:$B$1000=$B9)*'ANALYSE - ERP =&gt; SOUS-SEGMENT'!$Q$8:$Q$1000*'ANALYSE - ERP =&gt; SOUS-SEGMENT'!$IB$8:$IB$1000))</f>
        <v>732682.22170000011</v>
      </c>
      <c r="IC9" s="568">
        <f>IF($B9="","",SUMPRODUCT(('ANALYSE - ERP =&gt; SOUS-SEGMENT'!$B$8:$B$1000=$B9)*'ANALYSE - ERP =&gt; SOUS-SEGMENT'!$Q$8:$Q$1000*'ANALYSE - ERP =&gt; SOUS-SEGMENT'!$IC$8:$IC$1000))</f>
        <v>107874.33590000001</v>
      </c>
      <c r="ID9" s="568">
        <f>IF($B9="","",SUMPRODUCT(('ANALYSE - ERP =&gt; SOUS-SEGMENT'!$B$8:$B$1000=$B9)*'ANALYSE - ERP =&gt; SOUS-SEGMENT'!$Q$8:$Q$1000*'ANALYSE - ERP =&gt; SOUS-SEGMENT'!$ID$8:$ID$1000))</f>
        <v>12619.6286</v>
      </c>
      <c r="IE9" s="568">
        <f t="shared" si="55"/>
        <v>1050713.265327862</v>
      </c>
      <c r="IF9" s="568">
        <f>IF($B9="","",SUMPRODUCT(('ANALYSE - ERP =&gt; SOUS-SEGMENT'!$B$8:$B$1000=$B9)*'ANALYSE - ERP =&gt; SOUS-SEGMENT'!$Q$8:$Q$1000*'ANALYSE - ERP =&gt; SOUS-SEGMENT'!$IF$8:$IF$1000))</f>
        <v>93333.606011727315</v>
      </c>
      <c r="IG9" s="568">
        <f>IF($B9="","",SUMPRODUCT(('ANALYSE - ERP =&gt; SOUS-SEGMENT'!$B$8:$B$1000=$B9)*'ANALYSE - ERP =&gt; SOUS-SEGMENT'!$Q$8:$Q$1000*'ANALYSE - ERP =&gt; SOUS-SEGMENT'!$IG$8:$IG$1000))</f>
        <v>509238.67474147439</v>
      </c>
      <c r="IH9" s="568">
        <f>IF($B9="","",SUMPRODUCT(('ANALYSE - ERP =&gt; SOUS-SEGMENT'!$B$8:$B$1000=$B9)*'ANALYSE - ERP =&gt; SOUS-SEGMENT'!$Q$8:$Q$1000*'ANALYSE - ERP =&gt; SOUS-SEGMENT'!$IH$8:$IH$1000))</f>
        <v>368718.33599273971</v>
      </c>
      <c r="II9" s="568">
        <f>IF($B9="","",SUMPRODUCT(('ANALYSE - ERP =&gt; SOUS-SEGMENT'!$B$8:$B$1000=$B9)*'ANALYSE - ERP =&gt; SOUS-SEGMENT'!$Q$8:$Q$1000*'ANALYSE - ERP =&gt; SOUS-SEGMENT'!$II$8:$II$1000))</f>
        <v>69394.450414274921</v>
      </c>
      <c r="IJ9" s="568">
        <f>IF($B9="","",SUMPRODUCT(('ANALYSE - ERP =&gt; SOUS-SEGMENT'!$B$8:$B$1000=$B9)*'ANALYSE - ERP =&gt; SOUS-SEGMENT'!$Q$8:$Q$1000*'ANALYSE - ERP =&gt; SOUS-SEGMENT'!$IJ$8:$IJ$1000))</f>
        <v>10028.198167645765</v>
      </c>
      <c r="IK9" s="868">
        <f>IF($B9="","",IFERROR(SUMPRODUCT(('ANALYSE - ERP =&gt; SOUS-SEGMENT'!$B$8:$B$1000=$B9)*'ANALYSE - ERP =&gt; SOUS-SEGMENT'!$Q$8:$Q$1000*'ANALYSE - ERP =&gt; SOUS-SEGMENT'!$IE$8:$IE$1000*'ANALYSE - ERP =&gt; SOUS-SEGMENT'!$IK$8:$IK$1000)/SUMPRODUCT(('ANALYSE - ERP =&gt; SOUS-SEGMENT'!$B$8:$B$1000=$B9)*'ANALYSE - ERP =&gt; SOUS-SEGMENT'!$Q$8:$Q$1000*'ANALYSE - ERP =&gt; SOUS-SEGMENT'!$IE$8:$IE$1000),""))</f>
        <v>4.0949706813195208</v>
      </c>
      <c r="IL9" s="962" t="s">
        <v>6357</v>
      </c>
      <c r="IM9" s="963" t="s">
        <v>6358</v>
      </c>
      <c r="IN9" s="529"/>
      <c r="IO9" s="742">
        <f>IF($B9="","",IFERROR(SUMPRODUCT(('ANALYSE - ERP =&gt; SOUS-SEGMENT'!$B$8:$B$1000=$B9)*'ANALYSE - ERP =&gt; SOUS-SEGMENT'!$Q$8:$Q$1000*'ANALYSE - ERP =&gt; SOUS-SEGMENT'!$BE$8:$BE$1000*'ANALYSE - ERP =&gt; SOUS-SEGMENT'!$IO$8:$IO$1000)/SUMPRODUCT(('ANALYSE - ERP =&gt; SOUS-SEGMENT'!$B$8:$B$1000=$B9)*'ANALYSE - ERP =&gt; SOUS-SEGMENT'!$Q$8:$Q$1000*'ANALYSE - ERP =&gt; SOUS-SEGMENT'!$BE$8:$BE$1000),""))</f>
        <v>0.11281890255064</v>
      </c>
      <c r="IP9" s="742">
        <f>IF($B9="","",IFERROR(SUMPRODUCT(('ANALYSE - ERP =&gt; SOUS-SEGMENT'!$B$8:$B$1000=$B9)*'ANALYSE - ERP =&gt; SOUS-SEGMENT'!$Q$8:$Q$1000*'ANALYSE - ERP =&gt; SOUS-SEGMENT'!$BE$8:$BE$1000*'ANALYSE - ERP =&gt; SOUS-SEGMENT'!$IP$8:$IP$1000)/SUMPRODUCT(('ANALYSE - ERP =&gt; SOUS-SEGMENT'!$B$8:$B$1000=$B9)*'ANALYSE - ERP =&gt; SOUS-SEGMENT'!$Q$8:$Q$1000*'ANALYSE - ERP =&gt; SOUS-SEGMENT'!$BE$8:$BE$1000),""))</f>
        <v>0.51355755682350901</v>
      </c>
      <c r="IQ9" s="742">
        <f>IF($B9="","",IFERROR(SUMPRODUCT(('ANALYSE - ERP =&gt; SOUS-SEGMENT'!$B$8:$B$1000=$B9)*'ANALYSE - ERP =&gt; SOUS-SEGMENT'!$Q$8:$Q$1000*'ANALYSE - ERP =&gt; SOUS-SEGMENT'!$BE$8:$BE$1000*'ANALYSE - ERP =&gt; SOUS-SEGMENT'!$IQ$8:$IQ$1000)/SUMPRODUCT(('ANALYSE - ERP =&gt; SOUS-SEGMENT'!$B$8:$B$1000=$B9)*'ANALYSE - ERP =&gt; SOUS-SEGMENT'!$Q$8:$Q$1000*'ANALYSE - ERP =&gt; SOUS-SEGMENT'!$BE$8:$BE$1000),""))</f>
        <v>0.31654221637356411</v>
      </c>
      <c r="IR9" s="742">
        <f>IF($B9="","",IFERROR(SUMPRODUCT(('ANALYSE - ERP =&gt; SOUS-SEGMENT'!$B$8:$B$1000=$B9)*'ANALYSE - ERP =&gt; SOUS-SEGMENT'!$Q$8:$Q$1000*'ANALYSE - ERP =&gt; SOUS-SEGMENT'!$BE$8:$BE$1000*'ANALYSE - ERP =&gt; SOUS-SEGMENT'!$IR$8:$IR$1000)/SUMPRODUCT(('ANALYSE - ERP =&gt; SOUS-SEGMENT'!$B$8:$B$1000=$B9)*'ANALYSE - ERP =&gt; SOUS-SEGMENT'!$Q$8:$Q$1000*'ANALYSE - ERP =&gt; SOUS-SEGMENT'!$BE$8:$BE$1000),""))</f>
        <v>5.0667650000223233E-2</v>
      </c>
      <c r="IS9" s="742">
        <f>IF($B9="","",IFERROR(SUMPRODUCT(('ANALYSE - ERP =&gt; SOUS-SEGMENT'!$B$8:$B$1000=$B9)*'ANALYSE - ERP =&gt; SOUS-SEGMENT'!$Q$8:$Q$1000*'ANALYSE - ERP =&gt; SOUS-SEGMENT'!$BE$8:$BE$1000*'ANALYSE - ERP =&gt; SOUS-SEGMENT'!$IS$8:$IS$1000)/SUMPRODUCT(('ANALYSE - ERP =&gt; SOUS-SEGMENT'!$B$8:$B$1000=$B9)*'ANALYSE - ERP =&gt; SOUS-SEGMENT'!$Q$8:$Q$1000*'ANALYSE - ERP =&gt; SOUS-SEGMENT'!$BE$8:$BE$1000),""))</f>
        <v>6.4136742520637729E-3</v>
      </c>
      <c r="IT9" s="742">
        <f>IF($B9="","",IFERROR(SUMPRODUCT(('ANALYSE - ERP =&gt; SOUS-SEGMENT'!$B$8:$B$1000=$B9)*'ANALYSE - ERP =&gt; SOUS-SEGMENT'!$Q$8:$Q$1000*'ANALYSE - ERP =&gt; SOUS-SEGMENT'!$FB$8:$FB$1000*'ANALYSE - ERP =&gt; SOUS-SEGMENT'!$IT$8:$IT$1000)/SUMPRODUCT(('ANALYSE - ERP =&gt; SOUS-SEGMENT'!$B$8:$B$1000=$B9)*'ANALYSE - ERP =&gt; SOUS-SEGMENT'!$Q$8:$Q$1000*'ANALYSE - ERP =&gt; SOUS-SEGMENT'!$FB$8:$FB$1000),""))</f>
        <v>6.9156263961063766E-2</v>
      </c>
      <c r="IU9" s="742">
        <f>IF($B9="","",IFERROR(SUMPRODUCT(('ANALYSE - ERP =&gt; SOUS-SEGMENT'!$B$8:$B$1000=$B9)*'ANALYSE - ERP =&gt; SOUS-SEGMENT'!$Q$8:$Q$1000*'ANALYSE - ERP =&gt; SOUS-SEGMENT'!$FB$8:$FB$1000*'ANALYSE - ERP =&gt; SOUS-SEGMENT'!$IU$8:$IU$1000)/SUMPRODUCT(('ANALYSE - ERP =&gt; SOUS-SEGMENT'!$B$8:$B$1000=$B9)*'ANALYSE - ERP =&gt; SOUS-SEGMENT'!$Q$8:$Q$1000*'ANALYSE - ERP =&gt; SOUS-SEGMENT'!$FB$8:$FB$1000),""))</f>
        <v>0.44643050637150267</v>
      </c>
      <c r="IV9" s="742">
        <f>IF($B9="","",IFERROR(SUMPRODUCT(('ANALYSE - ERP =&gt; SOUS-SEGMENT'!$B$8:$B$1000=$B9)*'ANALYSE - ERP =&gt; SOUS-SEGMENT'!$Q$8:$Q$1000*'ANALYSE - ERP =&gt; SOUS-SEGMENT'!$FB$8:$FB$1000*'ANALYSE - ERP =&gt; SOUS-SEGMENT'!$IV$8:$IV$1000)/SUMPRODUCT(('ANALYSE - ERP =&gt; SOUS-SEGMENT'!$B$8:$B$1000=$B9)*'ANALYSE - ERP =&gt; SOUS-SEGMENT'!$Q$8:$Q$1000*'ANALYSE - ERP =&gt; SOUS-SEGMENT'!$FB$8:$FB$1000),""))</f>
        <v>0.39035116518773622</v>
      </c>
      <c r="IW9" s="742">
        <f>IF($B9="","",IFERROR(SUMPRODUCT(('ANALYSE - ERP =&gt; SOUS-SEGMENT'!$B$8:$B$1000=$B9)*'ANALYSE - ERP =&gt; SOUS-SEGMENT'!$Q$8:$Q$1000*'ANALYSE - ERP =&gt; SOUS-SEGMENT'!$FB$8:$FB$1000*'ANALYSE - ERP =&gt; SOUS-SEGMENT'!$IW$8:$IW$1000)/SUMPRODUCT(('ANALYSE - ERP =&gt; SOUS-SEGMENT'!$B$8:$B$1000=$B9)*'ANALYSE - ERP =&gt; SOUS-SEGMENT'!$Q$8:$Q$1000*'ANALYSE - ERP =&gt; SOUS-SEGMENT'!$FB$8:$FB$1000),""))</f>
        <v>8.1106041359096034E-2</v>
      </c>
      <c r="IX9" s="742">
        <f>IF($B9="","",IFERROR(SUMPRODUCT(('ANALYSE - ERP =&gt; SOUS-SEGMENT'!$B$8:$B$1000=$B9)*'ANALYSE - ERP =&gt; SOUS-SEGMENT'!$Q$8:$Q$1000*'ANALYSE - ERP =&gt; SOUS-SEGMENT'!$FB$8:$FB$1000*'ANALYSE - ERP =&gt; SOUS-SEGMENT'!$IX$8:$IX$1000)/SUMPRODUCT(('ANALYSE - ERP =&gt; SOUS-SEGMENT'!$B$8:$B$1000=$B9)*'ANALYSE - ERP =&gt; SOUS-SEGMENT'!$Q$8:$Q$1000*'ANALYSE - ERP =&gt; SOUS-SEGMENT'!$FB$8:$FB$1000),""))</f>
        <v>1.2956023120601392E-2</v>
      </c>
      <c r="IY9" s="742">
        <f>IF($B9="","",IFERROR(SUMPRODUCT(('ANALYSE - ERP =&gt; SOUS-SEGMENT'!$B$8:$B$1000=$B9)*'ANALYSE - ERP =&gt; SOUS-SEGMENT'!$Q$8:$Q$1000*'ANALYSE - ERP =&gt; SOUS-SEGMENT'!$BF$8:$BF$1000*'ANALYSE - ERP =&gt; SOUS-SEGMENT'!$IY$8:$IY$1000)/SUMPRODUCT(('ANALYSE - ERP =&gt; SOUS-SEGMENT'!$B$8:$B$1000=$B9)*'ANALYSE - ERP =&gt; SOUS-SEGMENT'!$Q$8:$Q$1000*'ANALYSE - ERP =&gt; SOUS-SEGMENT'!$BF$8:$BF$1000),""))</f>
        <v>0.15400233824910589</v>
      </c>
      <c r="IZ9" s="742">
        <f>IF($B9="","",IFERROR(SUMPRODUCT(('ANALYSE - ERP =&gt; SOUS-SEGMENT'!$B$8:$B$1000=$B9)*'ANALYSE - ERP =&gt; SOUS-SEGMENT'!$Q$8:$Q$1000*'ANALYSE - ERP =&gt; SOUS-SEGMENT'!$BF$8:$BF$1000*'ANALYSE - ERP =&gt; SOUS-SEGMENT'!$IZ$8:$IZ$1000)/SUMPRODUCT(('ANALYSE - ERP =&gt; SOUS-SEGMENT'!$B$8:$B$1000=$B9)*'ANALYSE - ERP =&gt; SOUS-SEGMENT'!$Q$8:$Q$1000*'ANALYSE - ERP =&gt; SOUS-SEGMENT'!$BF$8:$BF$1000),""))</f>
        <v>0.53909339823368863</v>
      </c>
      <c r="JA9" s="742">
        <f>IF($B9="","",IFERROR(SUMPRODUCT(('ANALYSE - ERP =&gt; SOUS-SEGMENT'!$B$8:$B$1000=$B9)*'ANALYSE - ERP =&gt; SOUS-SEGMENT'!$Q$8:$Q$1000*'ANALYSE - ERP =&gt; SOUS-SEGMENT'!$BF$8:$BF$1000*'ANALYSE - ERP =&gt; SOUS-SEGMENT'!$JA$8:$JA$1000)/SUMPRODUCT(('ANALYSE - ERP =&gt; SOUS-SEGMENT'!$B$8:$B$1000=$B9)*'ANALYSE - ERP =&gt; SOUS-SEGMENT'!$Q$8:$Q$1000*'ANALYSE - ERP =&gt; SOUS-SEGMENT'!$BF$8:$BF$1000),""))</f>
        <v>0.25564928405786208</v>
      </c>
      <c r="JB9" s="742">
        <f>IF($B9="","",IFERROR(SUMPRODUCT(('ANALYSE - ERP =&gt; SOUS-SEGMENT'!$B$8:$B$1000=$B9)*'ANALYSE - ERP =&gt; SOUS-SEGMENT'!$Q$8:$Q$1000*'ANALYSE - ERP =&gt; SOUS-SEGMENT'!$BF$8:$BF$1000*'ANALYSE - ERP =&gt; SOUS-SEGMENT'!$JB$8:$JB$1000)/SUMPRODUCT(('ANALYSE - ERP =&gt; SOUS-SEGMENT'!$B$8:$B$1000=$B9)*'ANALYSE - ERP =&gt; SOUS-SEGMENT'!$Q$8:$Q$1000*'ANALYSE - ERP =&gt; SOUS-SEGMENT'!$BF$8:$BF$1000),""))</f>
        <v>3.9284329484497435E-2</v>
      </c>
      <c r="JC9" s="742">
        <f>IF($B9="","",IFERROR(SUMPRODUCT(('ANALYSE - ERP =&gt; SOUS-SEGMENT'!$B$8:$B$1000=$B9)*'ANALYSE - ERP =&gt; SOUS-SEGMENT'!$Q$8:$Q$1000*'ANALYSE - ERP =&gt; SOUS-SEGMENT'!$BF$8:$BF$1000*'ANALYSE - ERP =&gt; SOUS-SEGMENT'!$JC$8:$JC$1000)/SUMPRODUCT(('ANALYSE - ERP =&gt; SOUS-SEGMENT'!$B$8:$B$1000=$B9)*'ANALYSE - ERP =&gt; SOUS-SEGMENT'!$Q$8:$Q$1000*'ANALYSE - ERP =&gt; SOUS-SEGMENT'!$BF$8:$BF$1000),""))</f>
        <v>4.2982700960816859E-3</v>
      </c>
      <c r="JD9" s="742">
        <f>IF($B9="","",IFERROR(SUMPRODUCT(('ANALYSE - ERP =&gt; SOUS-SEGMENT'!$B$8:$B$1000=$B9)*'ANALYSE - ERP =&gt; SOUS-SEGMENT'!$Q$8:$Q$1000*'ANALYSE - ERP =&gt; SOUS-SEGMENT'!$FE$8:$FE$1000*'ANALYSE - ERP =&gt; SOUS-SEGMENT'!$JD$8:$JD$1000)/SUMPRODUCT(('ANALYSE - ERP =&gt; SOUS-SEGMENT'!$B$8:$B$1000=$B9)*'ANALYSE - ERP =&gt; SOUS-SEGMENT'!$Q$8:$Q$1000*'ANALYSE - ERP =&gt; SOUS-SEGMENT'!$FE$8:$FE$1000),""))</f>
        <v>9.5909254308291059E-2</v>
      </c>
      <c r="JE9" s="742">
        <f>IF($B9="","",IFERROR(SUMPRODUCT(('ANALYSE - ERP =&gt; SOUS-SEGMENT'!$B$8:$B$1000=$B9)*'ANALYSE - ERP =&gt; SOUS-SEGMENT'!$Q$8:$Q$1000*'ANALYSE - ERP =&gt; SOUS-SEGMENT'!$FE$8:$FE$1000*'ANALYSE - ERP =&gt; SOUS-SEGMENT'!$JE$8:$JE$1000)/SUMPRODUCT(('ANALYSE - ERP =&gt; SOUS-SEGMENT'!$B$8:$B$1000=$B9)*'ANALYSE - ERP =&gt; SOUS-SEGMENT'!$Q$8:$Q$1000*'ANALYSE - ERP =&gt; SOUS-SEGMENT'!$FE$8:$FE$1000),""))</f>
        <v>0.50542061916584669</v>
      </c>
      <c r="JF9" s="742">
        <f>IF($B9="","",IFERROR(SUMPRODUCT(('ANALYSE - ERP =&gt; SOUS-SEGMENT'!$B$8:$B$1000=$B9)*'ANALYSE - ERP =&gt; SOUS-SEGMENT'!$Q$8:$Q$1000*'ANALYSE - ERP =&gt; SOUS-SEGMENT'!$FE$8:$FE$1000*'ANALYSE - ERP =&gt; SOUS-SEGMENT'!$JF$8:$JF$1000)/SUMPRODUCT(('ANALYSE - ERP =&gt; SOUS-SEGMENT'!$B$8:$B$1000=$B9)*'ANALYSE - ERP =&gt; SOUS-SEGMENT'!$Q$8:$Q$1000*'ANALYSE - ERP =&gt; SOUS-SEGMENT'!$FE$8:$FE$1000),""))</f>
        <v>0.32574048593849214</v>
      </c>
      <c r="JG9" s="742">
        <f>IF($B9="","",IFERROR(SUMPRODUCT(('ANALYSE - ERP =&gt; SOUS-SEGMENT'!$B$8:$B$1000=$B9)*'ANALYSE - ERP =&gt; SOUS-SEGMENT'!$Q$8:$Q$1000*'ANALYSE - ERP =&gt; SOUS-SEGMENT'!$FE$8:$FE$1000*'ANALYSE - ERP =&gt; SOUS-SEGMENT'!$JG$8:$JG$1000)/SUMPRODUCT(('ANALYSE - ERP =&gt; SOUS-SEGMENT'!$B$8:$B$1000=$B9)*'ANALYSE - ERP =&gt; SOUS-SEGMENT'!$Q$8:$Q$1000*'ANALYSE - ERP =&gt; SOUS-SEGMENT'!$FE$8:$FE$1000),""))</f>
        <v>6.1349310573179855E-2</v>
      </c>
      <c r="JH9" s="742">
        <f>IF($B9="","",IFERROR(SUMPRODUCT(('ANALYSE - ERP =&gt; SOUS-SEGMENT'!$B$8:$B$1000=$B9)*'ANALYSE - ERP =&gt; SOUS-SEGMENT'!$Q$8:$Q$1000*'ANALYSE - ERP =&gt; SOUS-SEGMENT'!$FE$8:$FE$1000*'ANALYSE - ERP =&gt; SOUS-SEGMENT'!$JH$8:$JH$1000)/SUMPRODUCT(('ANALYSE - ERP =&gt; SOUS-SEGMENT'!$B$8:$B$1000=$B9)*'ANALYSE - ERP =&gt; SOUS-SEGMENT'!$Q$8:$Q$1000*'ANALYSE - ERP =&gt; SOUS-SEGMENT'!$FE$8:$FE$1000),""))</f>
        <v>8.2377104605425456E-3</v>
      </c>
      <c r="JI9" s="742">
        <f>IF($B9="","",IFERROR(SUMPRODUCT(('ANALYSE - ERP =&gt; SOUS-SEGMENT'!$B$8:$B$1000=$B9)*'ANALYSE - ERP =&gt; SOUS-SEGMENT'!$Q$8:$Q$1000*'ANALYSE - ERP =&gt; SOUS-SEGMENT'!$BG$8:$BG$1000*'ANALYSE - ERP =&gt; SOUS-SEGMENT'!$JI$8:$JI$1000)/SUMPRODUCT(('ANALYSE - ERP =&gt; SOUS-SEGMENT'!$B$8:$B$1000=$B9)*'ANALYSE - ERP =&gt; SOUS-SEGMENT'!$Q$8:$Q$1000*'ANALYSE - ERP =&gt; SOUS-SEGMENT'!$BG$8:$BG$1000),""))</f>
        <v>0.20975502666212326</v>
      </c>
      <c r="JJ9" s="742">
        <f>IF($B9="","",IFERROR(SUMPRODUCT(('ANALYSE - ERP =&gt; SOUS-SEGMENT'!$B$8:$B$1000=$B9)*'ANALYSE - ERP =&gt; SOUS-SEGMENT'!$Q$8:$Q$1000*'ANALYSE - ERP =&gt; SOUS-SEGMENT'!$BG$8:$BG$1000*'ANALYSE - ERP =&gt; SOUS-SEGMENT'!$JJ$8:$JJ$1000)/SUMPRODUCT(('ANALYSE - ERP =&gt; SOUS-SEGMENT'!$B$8:$B$1000=$B9)*'ANALYSE - ERP =&gt; SOUS-SEGMENT'!$Q$8:$Q$1000*'ANALYSE - ERP =&gt; SOUS-SEGMENT'!$BG$8:$BG$1000),""))</f>
        <v>0.57041889418959135</v>
      </c>
      <c r="JK9" s="742">
        <f>IF($B9="","",IFERROR(SUMPRODUCT(('ANALYSE - ERP =&gt; SOUS-SEGMENT'!$B$8:$B$1000=$B9)*'ANALYSE - ERP =&gt; SOUS-SEGMENT'!$Q$8:$Q$1000*'ANALYSE - ERP =&gt; SOUS-SEGMENT'!$BG$8:$BG$1000*'ANALYSE - ERP =&gt; SOUS-SEGMENT'!$JK$8:$JK$1000)/SUMPRODUCT(('ANALYSE - ERP =&gt; SOUS-SEGMENT'!$B$8:$B$1000=$B9)*'ANALYSE - ERP =&gt; SOUS-SEGMENT'!$Q$8:$Q$1000*'ANALYSE - ERP =&gt; SOUS-SEGMENT'!$BG$8:$BG$1000),""))</f>
        <v>0.19581499525699708</v>
      </c>
      <c r="JL9" s="742">
        <f>IF($B9="","",IFERROR(SUMPRODUCT(('ANALYSE - ERP =&gt; SOUS-SEGMENT'!$B$8:$B$1000=$B9)*'ANALYSE - ERP =&gt; SOUS-SEGMENT'!$Q$8:$Q$1000*'ANALYSE - ERP =&gt; SOUS-SEGMENT'!$BG$8:$BG$1000*'ANALYSE - ERP =&gt; SOUS-SEGMENT'!$JL$8:$JL$1000)/SUMPRODUCT(('ANALYSE - ERP =&gt; SOUS-SEGMENT'!$B$8:$B$1000=$B9)*'ANALYSE - ERP =&gt; SOUS-SEGMENT'!$Q$8:$Q$1000*'ANALYSE - ERP =&gt; SOUS-SEGMENT'!$BG$8:$BG$1000),""))</f>
        <v>2.1788725467623251E-2</v>
      </c>
      <c r="JM9" s="742">
        <f>IF($B9="","",IFERROR(SUMPRODUCT(('ANALYSE - ERP =&gt; SOUS-SEGMENT'!$B$8:$B$1000=$B9)*'ANALYSE - ERP =&gt; SOUS-SEGMENT'!$Q$8:$Q$1000*'ANALYSE - ERP =&gt; SOUS-SEGMENT'!$BG$8:$BG$1000*'ANALYSE - ERP =&gt; SOUS-SEGMENT'!$JM$8:$JM$1000)/SUMPRODUCT(('ANALYSE - ERP =&gt; SOUS-SEGMENT'!$B$8:$B$1000=$B9)*'ANALYSE - ERP =&gt; SOUS-SEGMENT'!$Q$8:$Q$1000*'ANALYSE - ERP =&gt; SOUS-SEGMENT'!$BG$8:$BG$1000),""))</f>
        <v>2.2223584236652823E-3</v>
      </c>
      <c r="JN9" s="742">
        <f>IF($B9="","",IFERROR(SUMPRODUCT(('ANALYSE - ERP =&gt; SOUS-SEGMENT'!$B$8:$B$1000=$B9)*'ANALYSE - ERP =&gt; SOUS-SEGMENT'!$Q$8:$Q$1000*'ANALYSE - ERP =&gt; SOUS-SEGMENT'!$FH$8:$FH$1000*'ANALYSE - ERP =&gt; SOUS-SEGMENT'!$JN$8:$JN$1000)/SUMPRODUCT(('ANALYSE - ERP =&gt; SOUS-SEGMENT'!$B$8:$B$1000=$B9)*'ANALYSE - ERP =&gt; SOUS-SEGMENT'!$Q$8:$Q$1000*'ANALYSE - ERP =&gt; SOUS-SEGMENT'!$FH$8:$FH$1000),""))</f>
        <v>0.13978710206661704</v>
      </c>
      <c r="JO9" s="742">
        <f>IF($B9="","",IFERROR(SUMPRODUCT(('ANALYSE - ERP =&gt; SOUS-SEGMENT'!$B$8:$B$1000=$B9)*'ANALYSE - ERP =&gt; SOUS-SEGMENT'!$Q$8:$Q$1000*'ANALYSE - ERP =&gt; SOUS-SEGMENT'!$FH$8:$FH$1000*'ANALYSE - ERP =&gt; SOUS-SEGMENT'!$JO$8:$JO$1000)/SUMPRODUCT(('ANALYSE - ERP =&gt; SOUS-SEGMENT'!$B$8:$B$1000=$B9)*'ANALYSE - ERP =&gt; SOUS-SEGMENT'!$Q$8:$Q$1000*'ANALYSE - ERP =&gt; SOUS-SEGMENT'!$FH$8:$FH$1000),""))</f>
        <v>0.54895667498504319</v>
      </c>
      <c r="JP9" s="742">
        <f>IF($B9="","",IFERROR(SUMPRODUCT(('ANALYSE - ERP =&gt; SOUS-SEGMENT'!$B$8:$B$1000=$B9)*'ANALYSE - ERP =&gt; SOUS-SEGMENT'!$Q$8:$Q$1000*'ANALYSE - ERP =&gt; SOUS-SEGMENT'!$FH$8:$FH$1000*'ANALYSE - ERP =&gt; SOUS-SEGMENT'!$JP$8:$JP$1000)/SUMPRODUCT(('ANALYSE - ERP =&gt; SOUS-SEGMENT'!$B$8:$B$1000=$B9)*'ANALYSE - ERP =&gt; SOUS-SEGMENT'!$Q$8:$Q$1000*'ANALYSE - ERP =&gt; SOUS-SEGMENT'!$FH$8:$FH$1000),""))</f>
        <v>0.26919489605073593</v>
      </c>
      <c r="JQ9" s="742">
        <f>IF($B9="","",IFERROR(SUMPRODUCT(('ANALYSE - ERP =&gt; SOUS-SEGMENT'!$B$8:$B$1000=$B9)*'ANALYSE - ERP =&gt; SOUS-SEGMENT'!$Q$8:$Q$1000*'ANALYSE - ERP =&gt; SOUS-SEGMENT'!$FH$8:$FH$1000*'ANALYSE - ERP =&gt; SOUS-SEGMENT'!$JQ$8:$JQ$1000)/SUMPRODUCT(('ANALYSE - ERP =&gt; SOUS-SEGMENT'!$B$8:$B$1000=$B9)*'ANALYSE - ERP =&gt; SOUS-SEGMENT'!$Q$8:$Q$1000*'ANALYSE - ERP =&gt; SOUS-SEGMENT'!$FH$8:$FH$1000),""))</f>
        <v>3.7109653929421907E-2</v>
      </c>
      <c r="JR9" s="742">
        <f>IF($B9="","",IFERROR(SUMPRODUCT(('ANALYSE - ERP =&gt; SOUS-SEGMENT'!$B$8:$B$1000=$B9)*'ANALYSE - ERP =&gt; SOUS-SEGMENT'!$Q$8:$Q$1000*'ANALYSE - ERP =&gt; SOUS-SEGMENT'!$FH$8:$FH$1000*'ANALYSE - ERP =&gt; SOUS-SEGMENT'!$JR$8:$JR$1000)/SUMPRODUCT(('ANALYSE - ERP =&gt; SOUS-SEGMENT'!$B$8:$B$1000=$B9)*'ANALYSE - ERP =&gt; SOUS-SEGMENT'!$Q$8:$Q$1000*'ANALYSE - ERP =&gt; SOUS-SEGMENT'!$FH$8:$FH$1000),""))</f>
        <v>4.9516729681817967E-3</v>
      </c>
      <c r="JS9" s="742">
        <f>IF($B9="","",IFERROR(SUMPRODUCT(('ANALYSE - ERP =&gt; SOUS-SEGMENT'!$B$8:$B$1000=$B9)*'ANALYSE - ERP =&gt; SOUS-SEGMENT'!$Q$8:$Q$1000*'ANALYSE - ERP =&gt; SOUS-SEGMENT'!$BH$8:$BH$1000*'ANALYSE - ERP =&gt; SOUS-SEGMENT'!$JS$8:$JS$1000)/SUMPRODUCT(('ANALYSE - ERP =&gt; SOUS-SEGMENT'!$B$8:$B$1000=$B9)*'ANALYSE - ERP =&gt; SOUS-SEGMENT'!$Q$8:$Q$1000*'ANALYSE - ERP =&gt; SOUS-SEGMENT'!$BH$8:$BH$1000),""))</f>
        <v>0.13570249975329099</v>
      </c>
      <c r="JT9" s="742">
        <f>IF($B9="","",IFERROR(SUMPRODUCT(('ANALYSE - ERP =&gt; SOUS-SEGMENT'!$B$8:$B$1000=$B9)*'ANALYSE - ERP =&gt; SOUS-SEGMENT'!$Q$8:$Q$1000*'ANALYSE - ERP =&gt; SOUS-SEGMENT'!$BH$8:$BH$1000*'ANALYSE - ERP =&gt; SOUS-SEGMENT'!$JT$8:$JT$1000)/SUMPRODUCT(('ANALYSE - ERP =&gt; SOUS-SEGMENT'!$B$8:$B$1000=$B9)*'ANALYSE - ERP =&gt; SOUS-SEGMENT'!$Q$8:$Q$1000*'ANALYSE - ERP =&gt; SOUS-SEGMENT'!$BH$8:$BH$1000),""))</f>
        <v>0.53621995994279126</v>
      </c>
      <c r="JU9" s="742">
        <f>IF($B9="","",IFERROR(SUMPRODUCT(('ANALYSE - ERP =&gt; SOUS-SEGMENT'!$B$8:$B$1000=$B9)*'ANALYSE - ERP =&gt; SOUS-SEGMENT'!$Q$8:$Q$1000*'ANALYSE - ERP =&gt; SOUS-SEGMENT'!$BH$8:$BH$1000*'ANALYSE - ERP =&gt; SOUS-SEGMENT'!$JU$8:$JU$1000)/SUMPRODUCT(('ANALYSE - ERP =&gt; SOUS-SEGMENT'!$B$8:$B$1000=$B9)*'ANALYSE - ERP =&gt; SOUS-SEGMENT'!$Q$8:$Q$1000*'ANALYSE - ERP =&gt; SOUS-SEGMENT'!$BH$8:$BH$1000),""))</f>
        <v>0.2864384859153461</v>
      </c>
      <c r="JV9" s="742">
        <f>IF($B9="","",IFERROR(SUMPRODUCT(('ANALYSE - ERP =&gt; SOUS-SEGMENT'!$B$8:$B$1000=$B9)*'ANALYSE - ERP =&gt; SOUS-SEGMENT'!$Q$8:$Q$1000*'ANALYSE - ERP =&gt; SOUS-SEGMENT'!$BH$8:$BH$1000*'ANALYSE - ERP =&gt; SOUS-SEGMENT'!$JV$8:$JV$1000)/SUMPRODUCT(('ANALYSE - ERP =&gt; SOUS-SEGMENT'!$B$8:$B$1000=$B9)*'ANALYSE - ERP =&gt; SOUS-SEGMENT'!$Q$8:$Q$1000*'ANALYSE - ERP =&gt; SOUS-SEGMENT'!$BH$8:$BH$1000),""))</f>
        <v>3.744700717610578E-2</v>
      </c>
      <c r="JW9" s="742">
        <f>IF($B9="","",IFERROR(SUMPRODUCT(('ANALYSE - ERP =&gt; SOUS-SEGMENT'!$B$8:$B$1000=$B9)*'ANALYSE - ERP =&gt; SOUS-SEGMENT'!$Q$8:$Q$1000*'ANALYSE - ERP =&gt; SOUS-SEGMENT'!$BH$8:$BH$1000*'ANALYSE - ERP =&gt; SOUS-SEGMENT'!$JW$8:$JW$1000)/SUMPRODUCT(('ANALYSE - ERP =&gt; SOUS-SEGMENT'!$B$8:$B$1000=$B9)*'ANALYSE - ERP =&gt; SOUS-SEGMENT'!$Q$8:$Q$1000*'ANALYSE - ERP =&gt; SOUS-SEGMENT'!$BH$8:$BH$1000),""))</f>
        <v>4.1978042200450059E-3</v>
      </c>
      <c r="JX9" s="742">
        <f>IF($B9="","",IFERROR(SUMPRODUCT(('ANALYSE - ERP =&gt; SOUS-SEGMENT'!$B$8:$B$1000=$B9)*'ANALYSE - ERP =&gt; SOUS-SEGMENT'!$Q$8:$Q$1000*'ANALYSE - ERP =&gt; SOUS-SEGMENT'!$FK$8:$FK$1000*'ANALYSE - ERP =&gt; SOUS-SEGMENT'!$JX$8:$JX$1000)/SUMPRODUCT(('ANALYSE - ERP =&gt; SOUS-SEGMENT'!$B$8:$B$1000=$B9)*'ANALYSE - ERP =&gt; SOUS-SEGMENT'!$Q$8:$Q$1000*'ANALYSE - ERP =&gt; SOUS-SEGMENT'!$FK$8:$FK$1000),""))</f>
        <v>8.6232747568504506E-2</v>
      </c>
      <c r="JY9" s="742">
        <f>IF($B9="","",IFERROR(SUMPRODUCT(('ANALYSE - ERP =&gt; SOUS-SEGMENT'!$B$8:$B$1000=$B9)*'ANALYSE - ERP =&gt; SOUS-SEGMENT'!$Q$8:$Q$1000*'ANALYSE - ERP =&gt; SOUS-SEGMENT'!$FK$8:$FK$1000*'ANALYSE - ERP =&gt; SOUS-SEGMENT'!$JY$8:$JY$1000)/SUMPRODUCT(('ANALYSE - ERP =&gt; SOUS-SEGMENT'!$B$8:$B$1000=$B9)*'ANALYSE - ERP =&gt; SOUS-SEGMENT'!$Q$8:$Q$1000*'ANALYSE - ERP =&gt; SOUS-SEGMENT'!$FK$8:$FK$1000),""))</f>
        <v>0.48034384410005804</v>
      </c>
      <c r="JZ9" s="742">
        <f>IF($B9="","",IFERROR(SUMPRODUCT(('ANALYSE - ERP =&gt; SOUS-SEGMENT'!$B$8:$B$1000=$B9)*'ANALYSE - ERP =&gt; SOUS-SEGMENT'!$Q$8:$Q$1000*'ANALYSE - ERP =&gt; SOUS-SEGMENT'!$FK$8:$FK$1000*'ANALYSE - ERP =&gt; SOUS-SEGMENT'!$JZ$8:$JZ$1000)/SUMPRODUCT(('ANALYSE - ERP =&gt; SOUS-SEGMENT'!$B$8:$B$1000=$B9)*'ANALYSE - ERP =&gt; SOUS-SEGMENT'!$Q$8:$Q$1000*'ANALYSE - ERP =&gt; SOUS-SEGMENT'!$FK$8:$FK$1000),""))</f>
        <v>0.36169841362270677</v>
      </c>
      <c r="KA9" s="742">
        <f>IF($B9="","",IFERROR(SUMPRODUCT(('ANALYSE - ERP =&gt; SOUS-SEGMENT'!$B$8:$B$1000=$B9)*'ANALYSE - ERP =&gt; SOUS-SEGMENT'!$Q$8:$Q$1000*'ANALYSE - ERP =&gt; SOUS-SEGMENT'!$FK$8:$FK$1000*'ANALYSE - ERP =&gt; SOUS-SEGMENT'!$KA$8:$KA$1000)/SUMPRODUCT(('ANALYSE - ERP =&gt; SOUS-SEGMENT'!$B$8:$B$1000=$B9)*'ANALYSE - ERP =&gt; SOUS-SEGMENT'!$Q$8:$Q$1000*'ANALYSE - ERP =&gt; SOUS-SEGMENT'!$FK$8:$FK$1000),""))</f>
        <v>6.3138956169067062E-2</v>
      </c>
      <c r="KB9" s="742">
        <f>IF($B9="","",IFERROR(SUMPRODUCT(('ANALYSE - ERP =&gt; SOUS-SEGMENT'!$B$8:$B$1000=$B9)*'ANALYSE - ERP =&gt; SOUS-SEGMENT'!$Q$8:$Q$1000*'ANALYSE - ERP =&gt; SOUS-SEGMENT'!$FK$8:$FK$1000*'ANALYSE - ERP =&gt; SOUS-SEGMENT'!$KB$8:$KB$1000)/SUMPRODUCT(('ANALYSE - ERP =&gt; SOUS-SEGMENT'!$B$8:$B$1000=$B9)*'ANALYSE - ERP =&gt; SOUS-SEGMENT'!$Q$8:$Q$1000*'ANALYSE - ERP =&gt; SOUS-SEGMENT'!$FK$8:$FK$1000),""))</f>
        <v>8.5860385396636721E-3</v>
      </c>
      <c r="KC9" s="657"/>
      <c r="KD9" s="924" t="s">
        <v>6359</v>
      </c>
      <c r="KE9" s="924" t="s">
        <v>6360</v>
      </c>
      <c r="KF9" s="869">
        <f>IF($B9="","",IFERROR(SUMPRODUCT(('ANALYSE - ERP =&gt; SOUS-SEGMENT'!$B$8:$B$1000=$B9)*'ANALYSE - ERP =&gt; SOUS-SEGMENT'!$Q$8:$Q$1000*'ANALYSE - ERP =&gt; SOUS-SEGMENT'!$IE$8:$IE$1000*'ANALYSE - ERP =&gt; SOUS-SEGMENT'!$KF$8:$KF$1000)/SUMPRODUCT(('ANALYSE - ERP =&gt; SOUS-SEGMENT'!$B$8:$B$1000=$B9)*'ANALYSE - ERP =&gt; SOUS-SEGMENT'!$Q$8:$Q$1000*'ANALYSE - ERP =&gt; SOUS-SEGMENT'!$IE$8:$IE$1000),""))</f>
        <v>4.1922611874443483</v>
      </c>
      <c r="KG9" s="924" t="s">
        <v>6361</v>
      </c>
      <c r="KH9" s="924" t="s">
        <v>6362</v>
      </c>
      <c r="KI9" s="924" t="s">
        <v>6363</v>
      </c>
      <c r="KJ9" s="924" t="s">
        <v>6364</v>
      </c>
    </row>
    <row r="10" spans="1:327" ht="231.95" customHeight="1">
      <c r="A10" s="957">
        <f>IF($B10="","",ROWS($A$8:A10))</f>
        <v>3</v>
      </c>
      <c r="B10" s="958" t="s">
        <v>2241</v>
      </c>
      <c r="C10" s="958" t="s">
        <v>6365</v>
      </c>
      <c r="D10" s="959" t="s">
        <v>6366</v>
      </c>
      <c r="E10" s="960" t="s">
        <v>6367</v>
      </c>
      <c r="F10" s="960" t="s">
        <v>6368</v>
      </c>
      <c r="G10" s="960" t="s">
        <v>6369</v>
      </c>
      <c r="H10" s="960" t="s">
        <v>6370</v>
      </c>
      <c r="I10" s="960" t="s">
        <v>6371</v>
      </c>
      <c r="J10" s="960" t="s">
        <v>6372</v>
      </c>
      <c r="K10" s="960" t="s">
        <v>6373</v>
      </c>
      <c r="L10" s="960" t="s">
        <v>6374</v>
      </c>
      <c r="M10" s="960" t="s">
        <v>6375</v>
      </c>
      <c r="N10" s="960" t="s">
        <v>6376</v>
      </c>
      <c r="O10" s="960" t="s">
        <v>6377</v>
      </c>
      <c r="P10" s="960"/>
      <c r="Q10" s="270">
        <f>IF($B10="","",IF(SUMIFS('ANALYSE - ERP =&gt; SOUS-SEGMENT'!$Q$8:$Q$1000,'ANALYSE - ERP =&gt; SOUS-SEGMENT'!$B$8:$B$1000,$B10)&gt;0,1,0))</f>
        <v>1</v>
      </c>
      <c r="R10" s="271">
        <f>IF($B10="","",IFERROR(SUMPRODUCT(('ANALYSE - ERP =&gt; SOUS-SEGMENT'!$B$8:$B$1000=$B10)*'ANALYSE - ERP =&gt; SOUS-SEGMENT'!$Q$8:$Q$1000*'ANALYSE - ERP =&gt; SOUS-SEGMENT'!$AF$8:$AF$1000*'ANALYSE - ERP =&gt; SOUS-SEGMENT'!$R$8:$R$1000)/SUMPRODUCT(('ANALYSE - ERP =&gt; SOUS-SEGMENT'!$B$8:$B$1000=$B10)*'ANALYSE - ERP =&gt; SOUS-SEGMENT'!$Q$8:$Q$1000*'ANALYSE - ERP =&gt; SOUS-SEGMENT'!$AF$8:$AF$1000),""))</f>
        <v>5703.6405642874643</v>
      </c>
      <c r="S10" s="272">
        <f>IF($B10="","",SUMPRODUCT(('ANALYSE - ERP =&gt; SOUS-SEGMENT'!$B$8:$B$1000=$B10)*'ANALYSE - ERP =&gt; SOUS-SEGMENT'!$Q$8:$Q$1000*'ANALYSE - ERP =&gt; SOUS-SEGMENT'!$S$8:$S$1000))</f>
        <v>23004</v>
      </c>
      <c r="T10" s="272">
        <f>IF($B10="","",SUMPRODUCT(('ANALYSE - ERP =&gt; SOUS-SEGMENT'!$B$8:$B$1000=$B10)*'ANALYSE - ERP =&gt; SOUS-SEGMENT'!$Q$8:$Q$1000*'ANALYSE - ERP =&gt; SOUS-SEGMENT'!$T$8:$T$1000))</f>
        <v>23969</v>
      </c>
      <c r="U10" s="272">
        <f>IF($B10="","",SUMPRODUCT(('ANALYSE - ERP =&gt; SOUS-SEGMENT'!$B$8:$B$1000=$B10)*'ANALYSE - ERP =&gt; SOUS-SEGMENT'!$Q$8:$Q$1000*'ANALYSE - ERP =&gt; SOUS-SEGMENT'!$U$8:$U$1000))</f>
        <v>25186</v>
      </c>
      <c r="V10" s="272">
        <f>IF($B10="","",SUMPRODUCT(('ANALYSE - ERP =&gt; SOUS-SEGMENT'!$B$8:$B$1000=$B10)*'ANALYSE - ERP =&gt; SOUS-SEGMENT'!$Q$8:$Q$1000*'ANALYSE - ERP =&gt; SOUS-SEGMENT'!$V$8:$V$1000))</f>
        <v>25986</v>
      </c>
      <c r="W10" s="272">
        <f>IF($B10="","",SUMPRODUCT(('ANALYSE - ERP =&gt; SOUS-SEGMENT'!$B$8:$B$1000=$B10)*'ANALYSE - ERP =&gt; SOUS-SEGMENT'!$Q$8:$Q$1000*'ANALYSE - ERP =&gt; SOUS-SEGMENT'!$W$8:$W$1000))</f>
        <v>26189</v>
      </c>
      <c r="X10" s="272">
        <f>IF($B10="","",SUMPRODUCT(('ANALYSE - ERP =&gt; SOUS-SEGMENT'!$B$8:$B$1000=$B10)*'ANALYSE - ERP =&gt; SOUS-SEGMENT'!$Q$8:$Q$1000*'ANALYSE - ERP =&gt; SOUS-SEGMENT'!$X$8:$X$1000))</f>
        <v>26403</v>
      </c>
      <c r="Y10" s="272">
        <f>IF($B10="","",SUMPRODUCT(('ANALYSE - ERP =&gt; SOUS-SEGMENT'!$B$8:$B$1000=$B10)*'ANALYSE - ERP =&gt; SOUS-SEGMENT'!$Q$8:$Q$1000*'ANALYSE - ERP =&gt; SOUS-SEGMENT'!$Y$8:$Y$1000))</f>
        <v>26629</v>
      </c>
      <c r="Z10" s="272">
        <f>IF($B10="","",SUMPRODUCT(('ANALYSE - ERP =&gt; SOUS-SEGMENT'!$B$8:$B$1000=$B10)*'ANALYSE - ERP =&gt; SOUS-SEGMENT'!$Q$8:$Q$1000*'ANALYSE - ERP =&gt; SOUS-SEGMENT'!$Z$8:$Z$1000))</f>
        <v>26868</v>
      </c>
      <c r="AA10" s="272">
        <f>IF($B10="","",SUMPRODUCT(('ANALYSE - ERP =&gt; SOUS-SEGMENT'!$B$8:$B$1000=$B10)*'ANALYSE - ERP =&gt; SOUS-SEGMENT'!$Q$8:$Q$1000*'ANALYSE - ERP =&gt; SOUS-SEGMENT'!$AA$8:$AA$1000))</f>
        <v>27060</v>
      </c>
      <c r="AB10" s="272">
        <f>IF($B10="","",SUMPRODUCT(('ANALYSE - ERP =&gt; SOUS-SEGMENT'!$B$8:$B$1000=$B10)*'ANALYSE - ERP =&gt; SOUS-SEGMENT'!$Q$8:$Q$1000*'ANALYSE - ERP =&gt; SOUS-SEGMENT'!$AB$8:$AB$1000))</f>
        <v>27292</v>
      </c>
      <c r="AC10" s="272">
        <f>IF($B10="","",SUMPRODUCT(('ANALYSE - ERP =&gt; SOUS-SEGMENT'!$B$8:$B$1000=$B10)*'ANALYSE - ERP =&gt; SOUS-SEGMENT'!$Q$8:$Q$1000*'ANALYSE - ERP =&gt; SOUS-SEGMENT'!$AC$8:$AC$1000))</f>
        <v>27532</v>
      </c>
      <c r="AD10" s="272">
        <f>IF($B10="","",SUMPRODUCT(('ANALYSE - ERP =&gt; SOUS-SEGMENT'!$B$8:$B$1000=$B10)*'ANALYSE - ERP =&gt; SOUS-SEGMENT'!$Q$8:$Q$1000*'ANALYSE - ERP =&gt; SOUS-SEGMENT'!$AD$8:$AD$1000))</f>
        <v>27697</v>
      </c>
      <c r="AE10" s="272">
        <f>IF($B10="","",SUMPRODUCT(('ANALYSE - ERP =&gt; SOUS-SEGMENT'!$B$8:$B$1000=$B10)*'ANALYSE - ERP =&gt; SOUS-SEGMENT'!$Q$8:$Q$1000*'ANALYSE - ERP =&gt; SOUS-SEGMENT'!$AE$8:$AE$1000))</f>
        <v>28024</v>
      </c>
      <c r="AF10" s="272">
        <f>IF($B10="","",SUMPRODUCT(('ANALYSE - ERP =&gt; SOUS-SEGMENT'!$B$8:$B$1000=$B10)*'ANALYSE - ERP =&gt; SOUS-SEGMENT'!$Q$8:$Q$1000*'ANALYSE - ERP =&gt; SOUS-SEGMENT'!$AF$8:$AF$1000))</f>
        <v>28567</v>
      </c>
      <c r="AG10" s="272">
        <f>IF($B10="","",SUMPRODUCT(('ANALYSE - ERP =&gt; SOUS-SEGMENT'!$B$8:$B$1000=$B10)*'ANALYSE - ERP =&gt; SOUS-SEGMENT'!$Q$8:$Q$1000*'ANALYSE - ERP =&gt; SOUS-SEGMENT'!$AG$8:$AG$1000))</f>
        <v>29193</v>
      </c>
      <c r="AH10" s="272">
        <f>IF($B10="","",SUMPRODUCT(('ANALYSE - ERP =&gt; SOUS-SEGMENT'!$B$8:$B$1000=$B10)*'ANALYSE - ERP =&gt; SOUS-SEGMENT'!$Q$8:$Q$1000*'ANALYSE - ERP =&gt; SOUS-SEGMENT'!$AH$8:$AH$1000))</f>
        <v>29930</v>
      </c>
      <c r="AI10" s="272">
        <f>IF($B10="","",SUMPRODUCT(('ANALYSE - ERP =&gt; SOUS-SEGMENT'!$B$8:$B$1000=$B10)*'ANALYSE - ERP =&gt; SOUS-SEGMENT'!$Q$8:$Q$1000*'ANALYSE - ERP =&gt; SOUS-SEGMENT'!$AI$8:$AI$1000))</f>
        <v>30518</v>
      </c>
      <c r="AJ10" s="272">
        <f>IF($B10="","",SUMPRODUCT(('ANALYSE - ERP =&gt; SOUS-SEGMENT'!$B$8:$B$1000=$B10)*'ANALYSE - ERP =&gt; SOUS-SEGMENT'!$Q$8:$Q$1000*'ANALYSE - ERP =&gt; SOUS-SEGMENT'!$AJ$8:$AJ$1000))</f>
        <v>30907</v>
      </c>
      <c r="AK10" s="272">
        <f>IF($B10="","",SUMPRODUCT(('ANALYSE - ERP =&gt; SOUS-SEGMENT'!$B$8:$B$1000=$B10)*'ANALYSE - ERP =&gt; SOUS-SEGMENT'!$Q$8:$Q$1000*'ANALYSE - ERP =&gt; SOUS-SEGMENT'!$AK$8:$AK$1000))</f>
        <v>31256</v>
      </c>
      <c r="AL10" s="960" t="s">
        <v>6378</v>
      </c>
      <c r="AM10" s="960" t="s">
        <v>6379</v>
      </c>
      <c r="AN10" s="960" t="s">
        <v>6380</v>
      </c>
      <c r="AO10" s="657"/>
      <c r="AP10" s="271">
        <f>IF($B10="","",IFERROR(SUMPRODUCT(('ANALYSE - ERP =&gt; SOUS-SEGMENT'!$B$8:$B$1000=$B10)*'ANALYSE - ERP =&gt; SOUS-SEGMENT'!$Q$8:$Q$1000*'ANALYSE - ERP =&gt; SOUS-SEGMENT'!$AF$8:$AF$1000*'ANALYSE - ERP =&gt; SOUS-SEGMENT'!$AP$8:$AP$1000)/SUMPRODUCT(('ANALYSE - ERP =&gt; SOUS-SEGMENT'!$B$8:$B$1000=$B10)*'ANALYSE - ERP =&gt; SOUS-SEGMENT'!$Q$8:$Q$1000*'ANALYSE - ERP =&gt; SOUS-SEGMENT'!$AF$8:$AF$1000),""))</f>
        <v>81.568418104806241</v>
      </c>
      <c r="AQ10" s="280">
        <f>IF($B10="","",IFERROR(SUMPRODUCT(('ANALYSE - ERP =&gt; SOUS-SEGMENT'!$B$8:$B$1000=$B10)*'ANALYSE - ERP =&gt; SOUS-SEGMENT'!$Q$8:$Q$1000*'ANALYSE - ERP =&gt; SOUS-SEGMENT'!$AF$8:$AF$1000*'ANALYSE - ERP =&gt; SOUS-SEGMENT'!$AQ$8:$AQ$1000)/SUMPRODUCT(('ANALYSE - ERP =&gt; SOUS-SEGMENT'!$B$8:$B$1000=$B10)*'ANALYSE - ERP =&gt; SOUS-SEGMENT'!$Q$8:$Q$1000*'ANALYSE - ERP =&gt; SOUS-SEGMENT'!$AF$8:$AF$1000),""))</f>
        <v>57.40781321104771</v>
      </c>
      <c r="AR10" s="280">
        <f>IF($B10="","",IFERROR(SUMPRODUCT(('ANALYSE - ERP =&gt; SOUS-SEGMENT'!$B$8:$B$1000=$B10)*'ANALYSE - ERP =&gt; SOUS-SEGMENT'!$Q$8:$Q$1000*'ANALYSE - ERP =&gt; SOUS-SEGMENT'!$AF$8:$AF$1000*'ANALYSE - ERP =&gt; SOUS-SEGMENT'!$AR$8:$AR$1000)/SUMPRODUCT(('ANALYSE - ERP =&gt; SOUS-SEGMENT'!$B$8:$B$1000=$B10)*'ANALYSE - ERP =&gt; SOUS-SEGMENT'!$Q$8:$Q$1000*'ANALYSE - ERP =&gt; SOUS-SEGMENT'!$AF$8:$AF$1000),""))</f>
        <v>16.791682710820176</v>
      </c>
      <c r="AS10" s="280">
        <f>IF($B10="","",IFERROR(SUMPRODUCT(('ANALYSE - ERP =&gt; SOUS-SEGMENT'!$B$8:$B$1000=$B10)*'ANALYSE - ERP =&gt; SOUS-SEGMENT'!$Q$8:$Q$1000*'ANALYSE - ERP =&gt; SOUS-SEGMENT'!$AF$8:$AF$1000*'ANALYSE - ERP =&gt; SOUS-SEGMENT'!$AS$8:$AS$1000)/SUMPRODUCT(('ANALYSE - ERP =&gt; SOUS-SEGMENT'!$B$8:$B$1000=$B10)*'ANALYSE - ERP =&gt; SOUS-SEGMENT'!$Q$8:$Q$1000*'ANALYSE - ERP =&gt; SOUS-SEGMENT'!$AF$8:$AF$1000),""))</f>
        <v>7.3689221829383555</v>
      </c>
      <c r="AT10" s="657"/>
      <c r="AU10" s="647" t="s">
        <v>6381</v>
      </c>
      <c r="AV10" s="647" t="s">
        <v>6382</v>
      </c>
      <c r="AW10" s="960" t="s">
        <v>6383</v>
      </c>
      <c r="AX10" s="647" t="s">
        <v>6384</v>
      </c>
      <c r="AY10" s="657"/>
      <c r="AZ10" s="948">
        <f>IF($B10="","",IFERROR(SUMPRODUCT(('ANALYSE - ERP =&gt; SOUS-SEGMENT'!$B$8:$B$1000=$B10)*'ANALYSE - ERP =&gt; SOUS-SEGMENT'!$Q$8:$Q$1000*'ANALYSE - ERP =&gt; SOUS-SEGMENT'!$AF$8:$AF$1000*'ANALYSE - ERP =&gt; SOUS-SEGMENT'!$AZ$8:$AZ$1000)/SUMPRODUCT(('ANALYSE - ERP =&gt; SOUS-SEGMENT'!$B$8:$B$1000=$B10)*'ANALYSE - ERP =&gt; SOUS-SEGMENT'!$Q$8:$Q$1000*'ANALYSE - ERP =&gt; SOUS-SEGMENT'!$AF$8:$AF$1000),""))</f>
        <v>33.302411873840448</v>
      </c>
      <c r="BA10" s="948">
        <f>IF($B10="","",IFERROR(SUMPRODUCT(('ANALYSE - ERP =&gt; SOUS-SEGMENT'!$B$8:$B$1000=$B10)*'ANALYSE - ERP =&gt; SOUS-SEGMENT'!$Q$8:$Q$1000*'ANALYSE - ERP =&gt; SOUS-SEGMENT'!$AF$8:$AF$1000*'ANALYSE - ERP =&gt; SOUS-SEGMENT'!$BA$8:$BA$1000)/SUMPRODUCT(('ANALYSE - ERP =&gt; SOUS-SEGMENT'!$B$8:$B$1000=$B10)*'ANALYSE - ERP =&gt; SOUS-SEGMENT'!$Q$8:$Q$1000*'ANALYSE - ERP =&gt; SOUS-SEGMENT'!$AF$8:$AF$1000),""))</f>
        <v>14.193492491336157</v>
      </c>
      <c r="BB10" s="948">
        <f>IF($B10="","",IFERROR(SUMPRODUCT(('ANALYSE - ERP =&gt; SOUS-SEGMENT'!$B$8:$B$1000=$B10)*'ANALYSE - ERP =&gt; SOUS-SEGMENT'!$Q$8:$Q$1000*'ANALYSE - ERP =&gt; SOUS-SEGMENT'!$AF$8:$AF$1000*'ANALYSE - ERP =&gt; SOUS-SEGMENT'!$BB$8:$BB$1000)/SUMPRODUCT(('ANALYSE - ERP =&gt; SOUS-SEGMENT'!$B$8:$B$1000=$B10)*'ANALYSE - ERP =&gt; SOUS-SEGMENT'!$Q$8:$Q$1000*'ANALYSE - ERP =&gt; SOUS-SEGMENT'!$AF$8:$AF$1000),""))</f>
        <v>1.0380684006020933</v>
      </c>
      <c r="BC10" s="948">
        <f>IF($B10="","",IFERROR(SUMPRODUCT(('ANALYSE - ERP =&gt; SOUS-SEGMENT'!$B$8:$B$1000=$B10)*'ANALYSE - ERP =&gt; SOUS-SEGMENT'!$Q$8:$Q$1000*'ANALYSE - ERP =&gt; SOUS-SEGMENT'!$AF$8:$AF$1000*'ANALYSE - ERP =&gt; SOUS-SEGMENT'!$BC$8:$BC$1000)/SUMPRODUCT(('ANALYSE - ERP =&gt; SOUS-SEGMENT'!$B$8:$B$1000=$B10)*'ANALYSE - ERP =&gt; SOUS-SEGMENT'!$Q$8:$Q$1000*'ANALYSE - ERP =&gt; SOUS-SEGMENT'!$AF$8:$AF$1000),""))</f>
        <v>31.902964959568735</v>
      </c>
      <c r="BD10" s="825">
        <f t="shared" si="1"/>
        <v>2297842</v>
      </c>
      <c r="BE10" s="304">
        <f>IF($B10="","",SUMPRODUCT(('ANALYSE - ERP =&gt; SOUS-SEGMENT'!$B$8:$B$1000=$B10)*'ANALYSE - ERP =&gt; SOUS-SEGMENT'!$Q$8:$Q$1000*'ANALYSE - ERP =&gt; SOUS-SEGMENT'!$BE$8:$BE$1000))</f>
        <v>951350</v>
      </c>
      <c r="BF10" s="304">
        <f>IF($B10="","",SUMPRODUCT(('ANALYSE - ERP =&gt; SOUS-SEGMENT'!$B$8:$B$1000=$B10)*'ANALYSE - ERP =&gt; SOUS-SEGMENT'!$Q$8:$Q$1000*'ANALYSE - ERP =&gt; SOUS-SEGMENT'!$BF$8:$BF$1000))</f>
        <v>405465.5</v>
      </c>
      <c r="BG10" s="304">
        <f>IF($B10="","",SUMPRODUCT(('ANALYSE - ERP =&gt; SOUS-SEGMENT'!$B$8:$B$1000=$B10)*'ANALYSE - ERP =&gt; SOUS-SEGMENT'!$Q$8:$Q$1000*'ANALYSE - ERP =&gt; SOUS-SEGMENT'!$BG$8:$BG$1000))</f>
        <v>29654.5</v>
      </c>
      <c r="BH10" s="304">
        <f>IF($B10="","",SUMPRODUCT(('ANALYSE - ERP =&gt; SOUS-SEGMENT'!$B$8:$B$1000=$B10)*'ANALYSE - ERP =&gt; SOUS-SEGMENT'!$Q$8:$Q$1000*'ANALYSE - ERP =&gt; SOUS-SEGMENT'!$BH$8:$BH$1000))</f>
        <v>911372</v>
      </c>
      <c r="BI10" s="825">
        <f t="shared" si="2"/>
        <v>2299793</v>
      </c>
      <c r="BJ10" s="304">
        <f>IF($B10="","",SUMPRODUCT(('ANALYSE - ERP =&gt; SOUS-SEGMENT'!$B$8:$B$1000=$B10)*'ANALYSE - ERP =&gt; SOUS-SEGMENT'!$Q$8:$Q$1000*'ANALYSE - ERP =&gt; SOUS-SEGMENT'!$BJ$8:$BJ$1000))</f>
        <v>952857</v>
      </c>
      <c r="BK10" s="304">
        <f>IF($B10="","",SUMPRODUCT(('ANALYSE - ERP =&gt; SOUS-SEGMENT'!$B$8:$B$1000=$B10)*'ANALYSE - ERP =&gt; SOUS-SEGMENT'!$Q$8:$Q$1000*'ANALYSE - ERP =&gt; SOUS-SEGMENT'!$BK$8:$BK$1000))</f>
        <v>402932.5</v>
      </c>
      <c r="BL10" s="304">
        <f>IF($B10="","",SUMPRODUCT(('ANALYSE - ERP =&gt; SOUS-SEGMENT'!$B$8:$B$1000=$B10)*'ANALYSE - ERP =&gt; SOUS-SEGMENT'!$Q$8:$Q$1000*'ANALYSE - ERP =&gt; SOUS-SEGMENT'!$BL$8:$BL$1000))</f>
        <v>31302.5</v>
      </c>
      <c r="BM10" s="304">
        <f>IF($B10="","",SUMPRODUCT(('ANALYSE - ERP =&gt; SOUS-SEGMENT'!$B$8:$B$1000=$B10)*'ANALYSE - ERP =&gt; SOUS-SEGMENT'!$Q$8:$Q$1000*'ANALYSE - ERP =&gt; SOUS-SEGMENT'!$BM$8:$BM$1000))</f>
        <v>912701</v>
      </c>
      <c r="BN10" s="657"/>
      <c r="BO10" s="284">
        <f t="shared" si="3"/>
        <v>0.55489104956114987</v>
      </c>
      <c r="BP10" s="284">
        <f t="shared" si="4"/>
        <v>0.18629649445524782</v>
      </c>
      <c r="BQ10" s="284">
        <f t="shared" si="5"/>
        <v>0.1240355494823146</v>
      </c>
      <c r="BR10" s="710">
        <f t="shared" si="6"/>
        <v>0.13477690650128765</v>
      </c>
      <c r="BS10" s="707">
        <f t="shared" si="7"/>
        <v>0.53055303156717104</v>
      </c>
      <c r="BT10" s="284">
        <f t="shared" si="8"/>
        <v>0.18673681360372019</v>
      </c>
      <c r="BU10" s="284">
        <f t="shared" si="9"/>
        <v>0.14848602675952427</v>
      </c>
      <c r="BV10" s="710">
        <f t="shared" si="10"/>
        <v>0.13422412806958442</v>
      </c>
      <c r="BW10" s="714">
        <f t="shared" si="11"/>
        <v>0.82070694054118054</v>
      </c>
      <c r="BX10" s="285">
        <f t="shared" si="12"/>
        <v>0.14335961999232982</v>
      </c>
      <c r="BY10" s="717">
        <f t="shared" si="13"/>
        <v>3.5933439466489754E-2</v>
      </c>
      <c r="BZ10" s="714">
        <f t="shared" si="14"/>
        <v>0.78886020611392738</v>
      </c>
      <c r="CA10" s="285">
        <f t="shared" si="15"/>
        <v>0.16518622846258366</v>
      </c>
      <c r="CB10" s="717">
        <f t="shared" si="16"/>
        <v>4.5953565423489051E-2</v>
      </c>
      <c r="CC10" s="284">
        <f t="shared" si="17"/>
        <v>0.23763610919084796</v>
      </c>
      <c r="CD10" s="284">
        <f t="shared" si="18"/>
        <v>0.40051863966682971</v>
      </c>
      <c r="CE10" s="284">
        <f t="shared" si="19"/>
        <v>0.21173481259168087</v>
      </c>
      <c r="CF10" s="710">
        <f t="shared" si="20"/>
        <v>0.15011043855064155</v>
      </c>
      <c r="CG10" s="707">
        <f t="shared" si="21"/>
        <v>0.20850762718632695</v>
      </c>
      <c r="CH10" s="284">
        <f t="shared" si="22"/>
        <v>0.40049836275057904</v>
      </c>
      <c r="CI10" s="284">
        <f t="shared" si="23"/>
        <v>0.24371487900327449</v>
      </c>
      <c r="CJ10" s="710">
        <f t="shared" si="24"/>
        <v>0.14727913105981949</v>
      </c>
      <c r="CK10" s="720">
        <f t="shared" si="25"/>
        <v>0.79637217294364981</v>
      </c>
      <c r="CL10" s="286">
        <f t="shared" si="26"/>
        <v>0.14494706881492958</v>
      </c>
      <c r="CM10" s="718">
        <f t="shared" si="27"/>
        <v>5.8680758241420626E-2</v>
      </c>
      <c r="CN10" s="720">
        <f t="shared" si="28"/>
        <v>0.75828620764083743</v>
      </c>
      <c r="CO10" s="286">
        <f t="shared" si="29"/>
        <v>0.16248441713113054</v>
      </c>
      <c r="CP10" s="718">
        <f t="shared" si="30"/>
        <v>7.9229375228031959E-2</v>
      </c>
      <c r="CQ10" s="657"/>
      <c r="CR10" s="807">
        <f>IF($B10="","",IFERROR(SUMPRODUCT(('ANALYSE - ERP =&gt; SOUS-SEGMENT'!$B$8:$B$1000=$B10)*'ANALYSE - ERP =&gt; SOUS-SEGMENT'!$Q$8:$Q$1000*'ANALYSE - ERP =&gt; SOUS-SEGMENT'!$DH$8:$DH$1000*'ANALYSE - ERP =&gt; SOUS-SEGMENT'!$CR$8:$CR$1000)/SUMPRODUCT(('ANALYSE - ERP =&gt; SOUS-SEGMENT'!$B$8:$B$1000=$B10)*'ANALYSE - ERP =&gt; SOUS-SEGMENT'!$Q$8:$Q$1000*'ANALYSE - ERP =&gt; SOUS-SEGMENT'!$DH$8:$DH$1000),""))</f>
        <v>13.420779411686704</v>
      </c>
      <c r="CS10" s="808">
        <f>IF($B10="","",IFERROR(SUMPRODUCT(('ANALYSE - ERP =&gt; SOUS-SEGMENT'!$B$8:$B$1000=$B10)*'ANALYSE - ERP =&gt; SOUS-SEGMENT'!$Q$8:$Q$1000*'ANALYSE - ERP =&gt; SOUS-SEGMENT'!$DI$8:$DI$1000*'ANALYSE - ERP =&gt; SOUS-SEGMENT'!$CS$8:$CS$1000)/SUMPRODUCT(('ANALYSE - ERP =&gt; SOUS-SEGMENT'!$B$8:$B$1000=$B10)*'ANALYSE - ERP =&gt; SOUS-SEGMENT'!$Q$8:$Q$1000*'ANALYSE - ERP =&gt; SOUS-SEGMENT'!$DI$8:$DI$1000),""))</f>
        <v>12.205404383389407</v>
      </c>
      <c r="CT10" s="808">
        <f>IF($B10="","",IFERROR(SUMPRODUCT(('ANALYSE - ERP =&gt; SOUS-SEGMENT'!$B$8:$B$1000=$B10)*'ANALYSE - ERP =&gt; SOUS-SEGMENT'!$Q$8:$Q$1000*'ANALYSE - ERP =&gt; SOUS-SEGMENT'!$DJ$8:$DJ$1000*'ANALYSE - ERP =&gt; SOUS-SEGMENT'!$CT$8:$CT$1000)/SUMPRODUCT(('ANALYSE - ERP =&gt; SOUS-SEGMENT'!$B$8:$B$1000=$B10)*'ANALYSE - ERP =&gt; SOUS-SEGMENT'!$Q$8:$Q$1000*'ANALYSE - ERP =&gt; SOUS-SEGMENT'!$DJ$8:$DJ$1000),""))</f>
        <v>9.1318462639623554</v>
      </c>
      <c r="CU10" s="809">
        <f>IF($B10="","",IFERROR(SUMPRODUCT(('ANALYSE - ERP =&gt; SOUS-SEGMENT'!$B$8:$B$1000=$B10)*'ANALYSE - ERP =&gt; SOUS-SEGMENT'!$Q$8:$Q$1000*'ANALYSE - ERP =&gt; SOUS-SEGMENT'!$DK$8:$DK$1000*'ANALYSE - ERP =&gt; SOUS-SEGMENT'!$CU$8:$CU$1000)/SUMPRODUCT(('ANALYSE - ERP =&gt; SOUS-SEGMENT'!$B$8:$B$1000=$B10)*'ANALYSE - ERP =&gt; SOUS-SEGMENT'!$Q$8:$Q$1000*'ANALYSE - ERP =&gt; SOUS-SEGMENT'!$DK$8:$DK$1000),""))</f>
        <v>11.468989278662511</v>
      </c>
      <c r="CV10" s="807">
        <f>IF($B10="","",IFERROR(SUMPRODUCT(('ANALYSE - ERP =&gt; SOUS-SEGMENT'!$B$8:$B$1000=$B10)*'ANALYSE - ERP =&gt; SOUS-SEGMENT'!$Q$8:$Q$1000*'ANALYSE - ERP =&gt; SOUS-SEGMENT'!$DS$8:$DS$1000*'ANALYSE - ERP =&gt; SOUS-SEGMENT'!$CV$8:$CV$1000)/SUMPRODUCT(('ANALYSE - ERP =&gt; SOUS-SEGMENT'!$B$8:$B$1000=$B10)*'ANALYSE - ERP =&gt; SOUS-SEGMENT'!$Q$8:$Q$1000*'ANALYSE - ERP =&gt; SOUS-SEGMENT'!$DS$8:$DS$1000),""))</f>
        <v>12.310755304703706</v>
      </c>
      <c r="CW10" s="808">
        <f>IF($B10="","",IFERROR(SUMPRODUCT(('ANALYSE - ERP =&gt; SOUS-SEGMENT'!$B$8:$B$1000=$B10)*'ANALYSE - ERP =&gt; SOUS-SEGMENT'!$Q$8:$Q$1000*'ANALYSE - ERP =&gt; SOUS-SEGMENT'!$DT$8:$DT$1000*'ANALYSE - ERP =&gt; SOUS-SEGMENT'!$CW$8:$CW$1000)/SUMPRODUCT(('ANALYSE - ERP =&gt; SOUS-SEGMENT'!$B$8:$B$1000=$B10)*'ANALYSE - ERP =&gt; SOUS-SEGMENT'!$Q$8:$Q$1000*'ANALYSE - ERP =&gt; SOUS-SEGMENT'!$DT$8:$DT$1000),""))</f>
        <v>11.222772813775538</v>
      </c>
      <c r="CX10" s="809">
        <f>IF($B10="","",IFERROR(SUMPRODUCT(('ANALYSE - ERP =&gt; SOUS-SEGMENT'!$B$8:$B$1000=$B10)*'ANALYSE - ERP =&gt; SOUS-SEGMENT'!$Q$8:$Q$1000*'ANALYSE - ERP =&gt; SOUS-SEGMENT'!$DU$8:$DU$1000*'ANALYSE - ERP =&gt; SOUS-SEGMENT'!$CX$8:$CX$1000)/SUMPRODUCT(('ANALYSE - ERP =&gt; SOUS-SEGMENT'!$B$8:$B$1000=$B10)*'ANALYSE - ERP =&gt; SOUS-SEGMENT'!$Q$8:$Q$1000*'ANALYSE - ERP =&gt; SOUS-SEGMENT'!$DU$8:$DU$1000),""))</f>
        <v>8.5778588131453013</v>
      </c>
      <c r="CY10" s="807">
        <f>IF($B10="","",IFERROR(SUMPRODUCT(('ANALYSE - ERP =&gt; SOUS-SEGMENT'!$B$8:$B$1000=$B10)*'ANALYSE - ERP =&gt; SOUS-SEGMENT'!$Q$8:$Q$1000*'ANALYSE - ERP =&gt; SOUS-SEGMENT'!$EB$8:$EB$1000*'ANALYSE - ERP =&gt; SOUS-SEGMENT'!$CY$8:$CY$1000)/SUMPRODUCT(('ANALYSE - ERP =&gt; SOUS-SEGMENT'!$B$8:$B$1000=$B10)*'ANALYSE - ERP =&gt; SOUS-SEGMENT'!$Q$8:$Q$1000*'ANALYSE - ERP =&gt; SOUS-SEGMENT'!$EB$8:$EB$1000),""))</f>
        <v>11.968985295828853</v>
      </c>
      <c r="CZ10" s="808">
        <f>IF($B10="","",IFERROR(SUMPRODUCT(('ANALYSE - ERP =&gt; SOUS-SEGMENT'!$B$8:$B$1000=$B10)*'ANALYSE - ERP =&gt; SOUS-SEGMENT'!$Q$8:$Q$1000*'ANALYSE - ERP =&gt; SOUS-SEGMENT'!$EC$8:$EC$1000*'ANALYSE - ERP =&gt; SOUS-SEGMENT'!$CZ$8:$CZ$1000)/SUMPRODUCT(('ANALYSE - ERP =&gt; SOUS-SEGMENT'!$B$8:$B$1000=$B10)*'ANALYSE - ERP =&gt; SOUS-SEGMENT'!$Q$8:$Q$1000*'ANALYSE - ERP =&gt; SOUS-SEGMENT'!$EC$8:$EC$1000),""))</f>
        <v>12.535548000451282</v>
      </c>
      <c r="DA10" s="808">
        <f>IF($B10="","",IFERROR(SUMPRODUCT(('ANALYSE - ERP =&gt; SOUS-SEGMENT'!$B$8:$B$1000=$B10)*'ANALYSE - ERP =&gt; SOUS-SEGMENT'!$Q$8:$Q$1000*'ANALYSE - ERP =&gt; SOUS-SEGMENT'!$ED$8:$ED$1000*'ANALYSE - ERP =&gt; SOUS-SEGMENT'!$DA$8:$DA$1000)/SUMPRODUCT(('ANALYSE - ERP =&gt; SOUS-SEGMENT'!$B$8:$B$1000=$B10)*'ANALYSE - ERP =&gt; SOUS-SEGMENT'!$Q$8:$Q$1000*'ANALYSE - ERP =&gt; SOUS-SEGMENT'!$ED$8:$ED$1000),""))</f>
        <v>8.5155210554731795</v>
      </c>
      <c r="DB10" s="809">
        <f>IF($B10="","",IFERROR(SUMPRODUCT(('ANALYSE - ERP =&gt; SOUS-SEGMENT'!$B$8:$B$1000=$B10)*'ANALYSE - ERP =&gt; SOUS-SEGMENT'!$Q$8:$Q$1000*'ANALYSE - ERP =&gt; SOUS-SEGMENT'!$EE$8:$EE$1000*'ANALYSE - ERP =&gt; SOUS-SEGMENT'!$DB$8:$DB$1000)/SUMPRODUCT(('ANALYSE - ERP =&gt; SOUS-SEGMENT'!$B$8:$B$1000=$B10)*'ANALYSE - ERP =&gt; SOUS-SEGMENT'!$Q$8:$Q$1000*'ANALYSE - ERP =&gt; SOUS-SEGMENT'!$EE$8:$EE$1000),""))</f>
        <v>10.535847869795235</v>
      </c>
      <c r="DC10" s="807">
        <f>IF($B10="","",IFERROR(SUMPRODUCT(('ANALYSE - ERP =&gt; SOUS-SEGMENT'!$B$8:$B$1000=$B10)*'ANALYSE - ERP =&gt; SOUS-SEGMENT'!$Q$8:$Q$1000*'ANALYSE - ERP =&gt; SOUS-SEGMENT'!$EM$8:$EM$1000*'ANALYSE - ERP =&gt; SOUS-SEGMENT'!$DC$8:$DC$1000)/SUMPRODUCT(('ANALYSE - ERP =&gt; SOUS-SEGMENT'!$B$8:$B$1000=$B10)*'ANALYSE - ERP =&gt; SOUS-SEGMENT'!$Q$8:$Q$1000*'ANALYSE - ERP =&gt; SOUS-SEGMENT'!$EM$8:$EM$1000),""))</f>
        <v>14.099405710704991</v>
      </c>
      <c r="DD10" s="808">
        <f>IF($B10="","",IFERROR(SUMPRODUCT(('ANALYSE - ERP =&gt; SOUS-SEGMENT'!$B$8:$B$1000=$B10)*'ANALYSE - ERP =&gt; SOUS-SEGMENT'!$Q$8:$Q$1000*'ANALYSE - ERP =&gt; SOUS-SEGMENT'!$EN$8:$EN$1000*'ANALYSE - ERP =&gt; SOUS-SEGMENT'!$DD$8:$DD$1000)/SUMPRODUCT(('ANALYSE - ERP =&gt; SOUS-SEGMENT'!$B$8:$B$1000=$B10)*'ANALYSE - ERP =&gt; SOUS-SEGMENT'!$Q$8:$Q$1000*'ANALYSE - ERP =&gt; SOUS-SEGMENT'!$EN$8:$EN$1000),""))</f>
        <v>12.567028032402552</v>
      </c>
      <c r="DE10" s="809">
        <f>IF($B10="","",IFERROR(SUMPRODUCT(('ANALYSE - ERP =&gt; SOUS-SEGMENT'!$B$8:$B$1000=$B10)*'ANALYSE - ERP =&gt; SOUS-SEGMENT'!$Q$8:$Q$1000*'ANALYSE - ERP =&gt; SOUS-SEGMENT'!$EO$8:$EO$1000*'ANALYSE - ERP =&gt; SOUS-SEGMENT'!$DE$8:$DE$1000)/SUMPRODUCT(('ANALYSE - ERP =&gt; SOUS-SEGMENT'!$B$8:$B$1000=$B10)*'ANALYSE - ERP =&gt; SOUS-SEGMENT'!$Q$8:$Q$1000*'ANALYSE - ERP =&gt; SOUS-SEGMENT'!$EO$8:$EO$1000),""))</f>
        <v>9.5927150336574432</v>
      </c>
      <c r="DF10" s="921" t="s">
        <v>6385</v>
      </c>
      <c r="DG10" s="657"/>
      <c r="DH10" s="288">
        <f>IF($B10="","",SUMPRODUCT(('ANALYSE - ERP =&gt; SOUS-SEGMENT'!$B$8:$B$1000=$B10)*'ANALYSE - ERP =&gt; SOUS-SEGMENT'!$Q$8:$Q$1000*'ANALYSE - ERP =&gt; SOUS-SEGMENT'!$DH$8:$DH$1000))</f>
        <v>527895.6</v>
      </c>
      <c r="DI10" s="288">
        <f>IF($B10="","",SUMPRODUCT(('ANALYSE - ERP =&gt; SOUS-SEGMENT'!$B$8:$B$1000=$B10)*'ANALYSE - ERP =&gt; SOUS-SEGMENT'!$Q$8:$Q$1000*'ANALYSE - ERP =&gt; SOUS-SEGMENT'!$DI$8:$DI$1000))</f>
        <v>177233.17</v>
      </c>
      <c r="DJ10" s="288">
        <f>IF($B10="","",SUMPRODUCT(('ANALYSE - ERP =&gt; SOUS-SEGMENT'!$B$8:$B$1000=$B10)*'ANALYSE - ERP =&gt; SOUS-SEGMENT'!$Q$8:$Q$1000*'ANALYSE - ERP =&gt; SOUS-SEGMENT'!$DJ$8:$DJ$1000))</f>
        <v>118001.22</v>
      </c>
      <c r="DK10" s="288">
        <f>IF($B10="","",SUMPRODUCT(('ANALYSE - ERP =&gt; SOUS-SEGMENT'!$B$8:$B$1000=$B10)*'ANALYSE - ERP =&gt; SOUS-SEGMENT'!$Q$8:$Q$1000*'ANALYSE - ERP =&gt; SOUS-SEGMENT'!$DK$8:$DK$1000))</f>
        <v>128220.01</v>
      </c>
      <c r="DL10" s="922" t="s">
        <v>6386</v>
      </c>
      <c r="DM10" s="288">
        <f>IF($B10="","",SUMPRODUCT(('ANALYSE - ERP =&gt; SOUS-SEGMENT'!$B$8:$B$1000=$B10)*'ANALYSE - ERP =&gt; SOUS-SEGMENT'!$Q$8:$Q$1000*'ANALYSE - ERP =&gt; SOUS-SEGMENT'!$DM$8:$DM$1000))</f>
        <v>505541.16999999993</v>
      </c>
      <c r="DN10" s="288">
        <f>IF($B10="","",SUMPRODUCT(('ANALYSE - ERP =&gt; SOUS-SEGMENT'!$B$8:$B$1000=$B10)*'ANALYSE - ERP =&gt; SOUS-SEGMENT'!$Q$8:$Q$1000*'ANALYSE - ERP =&gt; SOUS-SEGMENT'!$DN$8:$DN$1000))</f>
        <v>177933.48</v>
      </c>
      <c r="DO10" s="288">
        <f>IF($B10="","",SUMPRODUCT(('ANALYSE - ERP =&gt; SOUS-SEGMENT'!$B$8:$B$1000=$B10)*'ANALYSE - ERP =&gt; SOUS-SEGMENT'!$Q$8:$Q$1000*'ANALYSE - ERP =&gt; SOUS-SEGMENT'!$DO$8:$DO$1000))</f>
        <v>141485.95000000001</v>
      </c>
      <c r="DP10" s="288">
        <f>IF($B10="","",SUMPRODUCT(('ANALYSE - ERP =&gt; SOUS-SEGMENT'!$B$8:$B$1000=$B10)*'ANALYSE - ERP =&gt; SOUS-SEGMENT'!$Q$8:$Q$1000*'ANALYSE - ERP =&gt; SOUS-SEGMENT'!$DP$8:$DP$1000))</f>
        <v>127896.4</v>
      </c>
      <c r="DQ10" s="922" t="s">
        <v>6387</v>
      </c>
      <c r="DR10" s="657"/>
      <c r="DS10" s="288">
        <f>IF($B10="","",SUMPRODUCT(('ANALYSE - ERP =&gt; SOUS-SEGMENT'!$B$8:$B$1000=$B10)*'ANALYSE - ERP =&gt; SOUS-SEGMENT'!$Q$8:$Q$1000*'ANALYSE - ERP =&gt; SOUS-SEGMENT'!$DS$8:$DS$1000))</f>
        <v>332768.35000000003</v>
      </c>
      <c r="DT10" s="288">
        <f>IF($B10="","",SUMPRODUCT(('ANALYSE - ERP =&gt; SOUS-SEGMENT'!$B$8:$B$1000=$B10)*'ANALYSE - ERP =&gt; SOUS-SEGMENT'!$Q$8:$Q$1000*'ANALYSE - ERP =&gt; SOUS-SEGMENT'!$DT$8:$DT$1000))</f>
        <v>58127.380000000005</v>
      </c>
      <c r="DU10" s="288">
        <f>IF($B10="","",SUMPRODUCT(('ANALYSE - ERP =&gt; SOUS-SEGMENT'!$B$8:$B$1000=$B10)*'ANALYSE - ERP =&gt; SOUS-SEGMENT'!$Q$8:$Q$1000*'ANALYSE - ERP =&gt; SOUS-SEGMENT'!$DU$8:$DU$1000))</f>
        <v>14569.77</v>
      </c>
      <c r="DV10" s="922" t="s">
        <v>6388</v>
      </c>
      <c r="DW10" s="288">
        <f>IF($B10="","",SUMPRODUCT(('ANALYSE - ERP =&gt; SOUS-SEGMENT'!$B$8:$B$1000=$B10)*'ANALYSE - ERP =&gt; SOUS-SEGMENT'!$Q$8:$Q$1000*'ANALYSE - ERP =&gt; SOUS-SEGMENT'!$DW$8:$DW$1000))</f>
        <v>317857.41500000004</v>
      </c>
      <c r="DX10" s="288">
        <f>IF($B10="","",SUMPRODUCT(('ANALYSE - ERP =&gt; SOUS-SEGMENT'!$B$8:$B$1000=$B10)*'ANALYSE - ERP =&gt; SOUS-SEGMENT'!$Q$8:$Q$1000*'ANALYSE - ERP =&gt; SOUS-SEGMENT'!$DX$8:$DX$1000))</f>
        <v>66558.899999999994</v>
      </c>
      <c r="DY10" s="288">
        <f>IF($B10="","",SUMPRODUCT(('ANALYSE - ERP =&gt; SOUS-SEGMENT'!$B$8:$B$1000=$B10)*'ANALYSE - ERP =&gt; SOUS-SEGMENT'!$Q$8:$Q$1000*'ANALYSE - ERP =&gt; SOUS-SEGMENT'!$DY$8:$DY$1000))</f>
        <v>18516.185000000001</v>
      </c>
      <c r="DZ10" s="922" t="s">
        <v>6389</v>
      </c>
      <c r="EA10" s="657"/>
      <c r="EB10" s="288">
        <f>IF($B10="","",SUMPRODUCT(('ANALYSE - ERP =&gt; SOUS-SEGMENT'!$B$8:$B$1000=$B10)*'ANALYSE - ERP =&gt; SOUS-SEGMENT'!$Q$8:$Q$1000*'ANALYSE - ERP =&gt; SOUS-SEGMENT'!$EB$8:$EB$1000))</f>
        <v>7046.9800000000005</v>
      </c>
      <c r="EC10" s="288">
        <f>IF($B10="","",SUMPRODUCT(('ANALYSE - ERP =&gt; SOUS-SEGMENT'!$B$8:$B$1000=$B10)*'ANALYSE - ERP =&gt; SOUS-SEGMENT'!$Q$8:$Q$1000*'ANALYSE - ERP =&gt; SOUS-SEGMENT'!$EC$8:$EC$1000))</f>
        <v>11877.180000000002</v>
      </c>
      <c r="ED10" s="288">
        <f>IF($B10="","",SUMPRODUCT(('ANALYSE - ERP =&gt; SOUS-SEGMENT'!$B$8:$B$1000=$B10)*'ANALYSE - ERP =&gt; SOUS-SEGMENT'!$Q$8:$Q$1000*'ANALYSE - ERP =&gt; SOUS-SEGMENT'!$ED$8:$ED$1000))</f>
        <v>6278.89</v>
      </c>
      <c r="EE10" s="288">
        <f>IF($B10="","",SUMPRODUCT(('ANALYSE - ERP =&gt; SOUS-SEGMENT'!$B$8:$B$1000=$B10)*'ANALYSE - ERP =&gt; SOUS-SEGMENT'!$Q$8:$Q$1000*'ANALYSE - ERP =&gt; SOUS-SEGMENT'!$EE$8:$EE$1000))</f>
        <v>4451.45</v>
      </c>
      <c r="EF10" s="922" t="s">
        <v>6390</v>
      </c>
      <c r="EG10" s="288">
        <f>IF($B10="","",SUMPRODUCT(('ANALYSE - ERP =&gt; SOUS-SEGMENT'!$B$8:$B$1000=$B10)*'ANALYSE - ERP =&gt; SOUS-SEGMENT'!$Q$8:$Q$1000*'ANALYSE - ERP =&gt; SOUS-SEGMENT'!$EG$8:$EG$1000))</f>
        <v>6526.8099999999995</v>
      </c>
      <c r="EH10" s="288">
        <f>IF($B10="","",SUMPRODUCT(('ANALYSE - ERP =&gt; SOUS-SEGMENT'!$B$8:$B$1000=$B10)*'ANALYSE - ERP =&gt; SOUS-SEGMENT'!$Q$8:$Q$1000*'ANALYSE - ERP =&gt; SOUS-SEGMENT'!$EH$8:$EH$1000))</f>
        <v>12536.6</v>
      </c>
      <c r="EI10" s="288">
        <f>IF($B10="","",SUMPRODUCT(('ANALYSE - ERP =&gt; SOUS-SEGMENT'!$B$8:$B$1000=$B10)*'ANALYSE - ERP =&gt; SOUS-SEGMENT'!$Q$8:$Q$1000*'ANALYSE - ERP =&gt; SOUS-SEGMENT'!$EI$8:$EI$1000))</f>
        <v>7628.8849999999993</v>
      </c>
      <c r="EJ10" s="288">
        <f>IF($B10="","",SUMPRODUCT(('ANALYSE - ERP =&gt; SOUS-SEGMENT'!$B$8:$B$1000=$B10)*'ANALYSE - ERP =&gt; SOUS-SEGMENT'!$Q$8:$Q$1000*'ANALYSE - ERP =&gt; SOUS-SEGMENT'!$EJ$8:$EJ$1000))</f>
        <v>4610.2049999999999</v>
      </c>
      <c r="EK10" s="922" t="s">
        <v>6391</v>
      </c>
      <c r="EL10" s="657"/>
      <c r="EM10" s="288">
        <f>IF($B10="","",SUMPRODUCT(('ANALYSE - ERP =&gt; SOUS-SEGMENT'!$B$8:$B$1000=$B10)*'ANALYSE - ERP =&gt; SOUS-SEGMENT'!$Q$8:$Q$1000*'ANALYSE - ERP =&gt; SOUS-SEGMENT'!$EM$8:$EM$1000))</f>
        <v>725791.3</v>
      </c>
      <c r="EN10" s="291">
        <f>IF($B10="","",SUMPRODUCT(('ANALYSE - ERP =&gt; SOUS-SEGMENT'!$B$8:$B$1000=$B10)*'ANALYSE - ERP =&gt; SOUS-SEGMENT'!$Q$8:$Q$1000*'ANALYSE - ERP =&gt; SOUS-SEGMENT'!$EN$8:$EN$1000))</f>
        <v>132100.70000000001</v>
      </c>
      <c r="EO10" s="291">
        <f>IF($B10="","",SUMPRODUCT(('ANALYSE - ERP =&gt; SOUS-SEGMENT'!$B$8:$B$1000=$B10)*'ANALYSE - ERP =&gt; SOUS-SEGMENT'!$Q$8:$Q$1000*'ANALYSE - ERP =&gt; SOUS-SEGMENT'!$EO$8:$EO$1000))</f>
        <v>53480</v>
      </c>
      <c r="EP10" s="922" t="s">
        <v>6392</v>
      </c>
      <c r="EQ10" s="288">
        <f>IF($B10="","",SUMPRODUCT(('ANALYSE - ERP =&gt; SOUS-SEGMENT'!$B$8:$B$1000=$B10)*'ANALYSE - ERP =&gt; SOUS-SEGMENT'!$Q$8:$Q$1000*'ANALYSE - ERP =&gt; SOUS-SEGMENT'!$EQ$8:$EQ$1000))</f>
        <v>692088.58</v>
      </c>
      <c r="ER10" s="291">
        <f>IF($B10="","",SUMPRODUCT(('ANALYSE - ERP =&gt; SOUS-SEGMENT'!$B$8:$B$1000=$B10)*'ANALYSE - ERP =&gt; SOUS-SEGMENT'!$Q$8:$Q$1000*'ANALYSE - ERP =&gt; SOUS-SEGMENT'!$ER$8:$ER$1000))</f>
        <v>148299.68999999997</v>
      </c>
      <c r="ES10" s="291">
        <f>IF($B10="","",SUMPRODUCT(('ANALYSE - ERP =&gt; SOUS-SEGMENT'!$B$8:$B$1000=$B10)*'ANALYSE - ERP =&gt; SOUS-SEGMENT'!$Q$8:$Q$1000*'ANALYSE - ERP =&gt; SOUS-SEGMENT'!$ES$8:$ES$1000))</f>
        <v>72312.73</v>
      </c>
      <c r="ET10" s="922" t="s">
        <v>6393</v>
      </c>
      <c r="EU10" s="657"/>
      <c r="EV10" s="740">
        <f t="shared" si="31"/>
        <v>0.80096535928298063</v>
      </c>
      <c r="EW10" s="740">
        <f t="shared" si="32"/>
        <v>0.19903464071701946</v>
      </c>
      <c r="EX10" s="563">
        <f t="shared" si="33"/>
        <v>1045810.6637122734</v>
      </c>
      <c r="EY10" s="563">
        <f t="shared" si="34"/>
        <v>837658.11400227342</v>
      </c>
      <c r="EZ10" s="563">
        <f t="shared" si="35"/>
        <v>208152.54970999999</v>
      </c>
      <c r="FA10" s="563">
        <f t="shared" si="36"/>
        <v>443637.56774676905</v>
      </c>
      <c r="FB10" s="563">
        <f>IF($B10="","",SUMPRODUCT(('ANALYSE - ERP =&gt; SOUS-SEGMENT'!$B$8:$B$1000=$B10)*'ANALYSE - ERP =&gt; SOUS-SEGMENT'!$Q$8:$Q$1000*'ANALYSE - ERP =&gt; SOUS-SEGMENT'!$FB$8:$FB$1000))</f>
        <v>357093.59872676904</v>
      </c>
      <c r="FC10" s="563">
        <f>IF($B10="","",SUMPRODUCT(('ANALYSE - ERP =&gt; SOUS-SEGMENT'!$B$8:$B$1000=$B10)*'ANALYSE - ERP =&gt; SOUS-SEGMENT'!$Q$8:$Q$1000*'ANALYSE - ERP =&gt; SOUS-SEGMENT'!$FC$8:$FC$1000))</f>
        <v>86543.969020000004</v>
      </c>
      <c r="FD10" s="563">
        <f t="shared" si="37"/>
        <v>190966.1746972297</v>
      </c>
      <c r="FE10" s="563">
        <f>IF($B10="","",SUMPRODUCT(('ANALYSE - ERP =&gt; SOUS-SEGMENT'!$B$8:$B$1000=$B10)*'ANALYSE - ERP =&gt; SOUS-SEGMENT'!$Q$8:$Q$1000*'ANALYSE - ERP =&gt; SOUS-SEGMENT'!$FE$8:$FE$1000))</f>
        <v>156341.17934722971</v>
      </c>
      <c r="FF10" s="563">
        <f>IF($B10="","",SUMPRODUCT(('ANALYSE - ERP =&gt; SOUS-SEGMENT'!$B$8:$B$1000=$B10)*'ANALYSE - ERP =&gt; SOUS-SEGMENT'!$Q$8:$Q$1000*'ANALYSE - ERP =&gt; SOUS-SEGMENT'!$FF$8:$FF$1000))</f>
        <v>34624.995349999997</v>
      </c>
      <c r="FG10" s="563">
        <f t="shared" si="38"/>
        <v>15557.854993313034</v>
      </c>
      <c r="FH10" s="563">
        <f>IF($B10="","",SUMPRODUCT(('ANALYSE - ERP =&gt; SOUS-SEGMENT'!$B$8:$B$1000=$B10)*'ANALYSE - ERP =&gt; SOUS-SEGMENT'!$Q$8:$Q$1000*'ANALYSE - ERP =&gt; SOUS-SEGMENT'!$FH$8:$FH$1000))</f>
        <v>11340.025873313034</v>
      </c>
      <c r="FI10" s="563">
        <f>IF($B10="","",SUMPRODUCT(('ANALYSE - ERP =&gt; SOUS-SEGMENT'!$B$8:$B$1000=$B10)*'ANALYSE - ERP =&gt; SOUS-SEGMENT'!$Q$8:$Q$1000*'ANALYSE - ERP =&gt; SOUS-SEGMENT'!$FI$8:$FI$1000))</f>
        <v>4217.8291199999994</v>
      </c>
      <c r="FJ10" s="563">
        <f t="shared" si="39"/>
        <v>395649.06627496151</v>
      </c>
      <c r="FK10" s="563">
        <f>IF($B10="","",SUMPRODUCT(('ANALYSE - ERP =&gt; SOUS-SEGMENT'!$B$8:$B$1000=$B10)*'ANALYSE - ERP =&gt; SOUS-SEGMENT'!$Q$8:$Q$1000*'ANALYSE - ERP =&gt; SOUS-SEGMENT'!$FK$8:$FK$1000))</f>
        <v>312883.31005496153</v>
      </c>
      <c r="FL10" s="563">
        <f>IF($B10="","",SUMPRODUCT(('ANALYSE - ERP =&gt; SOUS-SEGMENT'!$B$8:$B$1000=$B10)*'ANALYSE - ERP =&gt; SOUS-SEGMENT'!$Q$8:$Q$1000*'ANALYSE - ERP =&gt; SOUS-SEGMENT'!$FL$8:$FL$1000))</f>
        <v>82765.756219999996</v>
      </c>
      <c r="FM10" s="529"/>
      <c r="FN10" s="961" t="s">
        <v>2649</v>
      </c>
      <c r="FO10" s="740">
        <f>IF($B10="","",IFERROR(SUMPRODUCT(('ANALYSE - ERP =&gt; SOUS-SEGMENT'!$B$8:$B$1000=$B10)*'ANALYSE - ERP =&gt; SOUS-SEGMENT'!$Q$8:$Q$1000*'ANALYSE - ERP =&gt; SOUS-SEGMENT'!$AF$8:$AF$1000*'ANALYSE - ERP =&gt; SOUS-SEGMENT'!$FO$8:$FO$1000)/SUMPRODUCT(('ANALYSE - ERP =&gt; SOUS-SEGMENT'!$B$8:$B$1000=$B10)*'ANALYSE - ERP =&gt; SOUS-SEGMENT'!$Q$8:$Q$1000*'ANALYSE - ERP =&gt; SOUS-SEGMENT'!$AF$8:$AF$1000),""))</f>
        <v>7.5616697588126169E-2</v>
      </c>
      <c r="FP10" s="741">
        <f>IF($B10="","",IFERROR(SUMPRODUCT(('ANALYSE - ERP =&gt; SOUS-SEGMENT'!$B$8:$B$1000=$B10)*'ANALYSE - ERP =&gt; SOUS-SEGMENT'!$Q$8:$Q$1000*'ANALYSE - ERP =&gt; SOUS-SEGMENT'!$AF$8:$AF$1000*'ANALYSE - ERP =&gt; SOUS-SEGMENT'!$FP$8:$FP$1000)/SUMPRODUCT(('ANALYSE - ERP =&gt; SOUS-SEGMENT'!$B$8:$B$1000=$B10)*'ANALYSE - ERP =&gt; SOUS-SEGMENT'!$Q$8:$Q$1000*'ANALYSE - ERP =&gt; SOUS-SEGMENT'!$AF$8:$AF$1000),""))</f>
        <v>0.86802388805264807</v>
      </c>
      <c r="FQ10" s="961" t="s">
        <v>6394</v>
      </c>
      <c r="FR10" s="529"/>
      <c r="FS10" s="867">
        <f>IF($B10="","",IFERROR(SUMPRODUCT(('ANALYSE - ERP =&gt; SOUS-SEGMENT'!$B$8:$B$1000=$B10)*'ANALYSE - ERP =&gt; SOUS-SEGMENT'!$Q$8:$Q$1000*'ANALYSE - ERP =&gt; SOUS-SEGMENT'!$EX$8:$EX$1000*'ANALYSE - ERP =&gt; SOUS-SEGMENT'!$FS$8:$FS$1000)/SUMPRODUCT(('ANALYSE - ERP =&gt; SOUS-SEGMENT'!$B$8:$B$1000=$B10)*'ANALYSE - ERP =&gt; SOUS-SEGMENT'!$Q$8:$Q$1000*'ANALYSE - ERP =&gt; SOUS-SEGMENT'!$EX$8:$EX$1000),""))</f>
        <v>3.5639044247187717</v>
      </c>
      <c r="FT10" s="566">
        <f>IF($B10="","",RANK($FS10,$FS$8:$FS$20,0)+COUNTIF($FS$8:$FS10,$FS10)-1)</f>
        <v>5</v>
      </c>
      <c r="FU10" s="867">
        <f>IF($B10="","",IFERROR(SUMPRODUCT(('ANALYSE - ERP =&gt; SOUS-SEGMENT'!$B$8:$B$1000=$B10)*'ANALYSE - ERP =&gt; SOUS-SEGMENT'!$Q$8:$Q$1000*'ANALYSE - ERP =&gt; SOUS-SEGMENT'!$EY$8:$EY$1000*'ANALYSE - ERP =&gt; SOUS-SEGMENT'!$FU$8:$FU$1000)/SUMPRODUCT(('ANALYSE - ERP =&gt; SOUS-SEGMENT'!$B$8:$B$1000=$B10)*'ANALYSE - ERP =&gt; SOUS-SEGMENT'!$Q$8:$Q$1000*'ANALYSE - ERP =&gt; SOUS-SEGMENT'!$EY$8:$EY$1000),""))</f>
        <v>4.2764996076238617</v>
      </c>
      <c r="FV10" s="566">
        <f>IF($B10="","",RANK($FU10,$FU$8:$FU$20,0)+COUNTIF($FU$8:$FU10,$FU10)-1)</f>
        <v>5</v>
      </c>
      <c r="FW10" s="867">
        <f>IF($B10="","",IFERROR(SUMPRODUCT(('ANALYSE - ERP =&gt; SOUS-SEGMENT'!$B$8:$B$1000=$B10)*'ANALYSE - ERP =&gt; SOUS-SEGMENT'!$Q$8:$Q$1000*'ANALYSE - ERP =&gt; SOUS-SEGMENT'!$EZ$8:$EZ$1000*'ANALYSE - ERP =&gt; SOUS-SEGMENT'!$FW$8:$FW$1000)/SUMPRODUCT(('ANALYSE - ERP =&gt; SOUS-SEGMENT'!$B$8:$B$1000=$B10)*'ANALYSE - ERP =&gt; SOUS-SEGMENT'!$Q$8:$Q$1000*'ANALYSE - ERP =&gt; SOUS-SEGMENT'!$EZ$8:$EZ$1000),""))</f>
        <v>2.7897086166881722</v>
      </c>
      <c r="FX10" s="566">
        <f>IF($B10="","",RANK($FW10,$FW$8:$FW$20,0)+COUNTIF($FW$8:$FW10,$FW10)-1)</f>
        <v>2</v>
      </c>
      <c r="FY10" s="529"/>
      <c r="FZ10" s="922" t="s">
        <v>6395</v>
      </c>
      <c r="GA10" s="922" t="s">
        <v>6396</v>
      </c>
      <c r="GB10" s="922" t="s">
        <v>6397</v>
      </c>
      <c r="GC10" s="922" t="s">
        <v>6398</v>
      </c>
      <c r="GD10" s="922" t="s">
        <v>6399</v>
      </c>
      <c r="GE10" s="922" t="s">
        <v>6400</v>
      </c>
      <c r="GF10" s="923" t="s">
        <v>6401</v>
      </c>
      <c r="GG10" s="529"/>
      <c r="GH10" s="563">
        <f t="shared" si="40"/>
        <v>226216.16076853214</v>
      </c>
      <c r="GI10" s="563">
        <f>IF($B10="","",SUMPRODUCT(('ANALYSE - ERP =&gt; SOUS-SEGMENT'!$B$8:$B$1000=$B10)*'ANALYSE - ERP =&gt; SOUS-SEGMENT'!$Q$8:$Q$1000*'ANALYSE - ERP =&gt; SOUS-SEGMENT'!$GI$8:$GI$1000))</f>
        <v>181227.00402623214</v>
      </c>
      <c r="GJ10" s="563">
        <f>IF($B10="","",SUMPRODUCT(('ANALYSE - ERP =&gt; SOUS-SEGMENT'!$B$8:$B$1000=$B10)*'ANALYSE - ERP =&gt; SOUS-SEGMENT'!$Q$8:$Q$1000*'ANALYSE - ERP =&gt; SOUS-SEGMENT'!$GJ$8:$GJ$1000))</f>
        <v>44989.156742299994</v>
      </c>
      <c r="GK10" s="563">
        <f t="shared" si="41"/>
        <v>83112.663895643171</v>
      </c>
      <c r="GL10" s="563">
        <f>IF($B10="","",SUMPRODUCT(('ANALYSE - ERP =&gt; SOUS-SEGMENT'!$B$8:$B$1000=$B10)*'ANALYSE - ERP =&gt; SOUS-SEGMENT'!$Q$8:$Q$1000*'ANALYSE - ERP =&gt; SOUS-SEGMENT'!$GL$8:$GL$1000))</f>
        <v>66093.113159943168</v>
      </c>
      <c r="GM10" s="563">
        <f>IF($B10="","",SUMPRODUCT(('ANALYSE - ERP =&gt; SOUS-SEGMENT'!$B$8:$B$1000=$B10)*'ANALYSE - ERP =&gt; SOUS-SEGMENT'!$Q$8:$Q$1000*'ANALYSE - ERP =&gt; SOUS-SEGMENT'!$GM$8:$GM$1000))</f>
        <v>17019.550735700006</v>
      </c>
      <c r="GN10" s="563">
        <f t="shared" si="42"/>
        <v>72319.813455299984</v>
      </c>
      <c r="GO10" s="563">
        <f>IF($B10="","",SUMPRODUCT(('ANALYSE - ERP =&gt; SOUS-SEGMENT'!$B$8:$B$1000=$B10)*'ANALYSE - ERP =&gt; SOUS-SEGMENT'!$Q$8:$Q$1000*'ANALYSE - ERP =&gt; SOUS-SEGMENT'!$GO$8:$GO$1000))</f>
        <v>58773.21931239999</v>
      </c>
      <c r="GP10" s="563">
        <f>IF($B10="","",SUMPRODUCT(('ANALYSE - ERP =&gt; SOUS-SEGMENT'!$B$8:$B$1000=$B10)*'ANALYSE - ERP =&gt; SOUS-SEGMENT'!$Q$8:$Q$1000*'ANALYSE - ERP =&gt; SOUS-SEGMENT'!$GP$8:$GP$1000))</f>
        <v>13546.594142899998</v>
      </c>
      <c r="GQ10" s="563">
        <f t="shared" si="43"/>
        <v>61988.929627293626</v>
      </c>
      <c r="GR10" s="563">
        <f>IF($B10="","",SUMPRODUCT(('ANALYSE - ERP =&gt; SOUS-SEGMENT'!$B$8:$B$1000=$B10)*'ANALYSE - ERP =&gt; SOUS-SEGMENT'!$Q$8:$Q$1000*'ANALYSE - ERP =&gt; SOUS-SEGMENT'!$GR$8:$GR$1000))</f>
        <v>51000.262228193627</v>
      </c>
      <c r="GS10" s="563">
        <f>IF($B10="","",SUMPRODUCT(('ANALYSE - ERP =&gt; SOUS-SEGMENT'!$B$8:$B$1000=$B10)*'ANALYSE - ERP =&gt; SOUS-SEGMENT'!$Q$8:$Q$1000*'ANALYSE - ERP =&gt; SOUS-SEGMENT'!$GS$8:$GS$1000))</f>
        <v>10988.667399100001</v>
      </c>
      <c r="GT10" s="563">
        <f t="shared" si="44"/>
        <v>152144.99422124511</v>
      </c>
      <c r="GU10" s="563">
        <f>IF($B10="","",SUMPRODUCT(('ANALYSE - ERP =&gt; SOUS-SEGMENT'!$B$8:$B$1000=$B10)*'ANALYSE - ERP =&gt; SOUS-SEGMENT'!$Q$8:$Q$1000*'ANALYSE - ERP =&gt; SOUS-SEGMENT'!$GU$8:$GU$1000))</f>
        <v>125040.07975484512</v>
      </c>
      <c r="GV10" s="563">
        <f>IF($B10="","",SUMPRODUCT(('ANALYSE - ERP =&gt; SOUS-SEGMENT'!$B$8:$B$1000=$B10)*'ANALYSE - ERP =&gt; SOUS-SEGMENT'!$Q$8:$Q$1000*'ANALYSE - ERP =&gt; SOUS-SEGMENT'!$GV$8:$GV$1000))</f>
        <v>27104.914466399998</v>
      </c>
      <c r="GW10" s="563">
        <f t="shared" si="45"/>
        <v>29536.838432315151</v>
      </c>
      <c r="GX10" s="563">
        <f>IF($B10="","",SUMPRODUCT(('ANALYSE - ERP =&gt; SOUS-SEGMENT'!$B$8:$B$1000=$B10)*'ANALYSE - ERP =&gt; SOUS-SEGMENT'!$Q$8:$Q$1000*'ANALYSE - ERP =&gt; SOUS-SEGMENT'!$GX$8:$GX$1000))</f>
        <v>23636.732316115151</v>
      </c>
      <c r="GY10" s="563">
        <f>IF($B10="","",SUMPRODUCT(('ANALYSE - ERP =&gt; SOUS-SEGMENT'!$B$8:$B$1000=$B10)*'ANALYSE - ERP =&gt; SOUS-SEGMENT'!$Q$8:$Q$1000*'ANALYSE - ERP =&gt; SOUS-SEGMENT'!$GY$8:$GY$1000))</f>
        <v>5900.1061162000005</v>
      </c>
      <c r="GZ10" s="563">
        <f t="shared" si="46"/>
        <v>9284.342043669445</v>
      </c>
      <c r="HA10" s="563">
        <f>IF($B10="","",SUMPRODUCT(('ANALYSE - ERP =&gt; SOUS-SEGMENT'!$B$8:$B$1000=$B10)*'ANALYSE - ERP =&gt; SOUS-SEGMENT'!$Q$8:$Q$1000*'ANALYSE - ERP =&gt; SOUS-SEGMENT'!$HA$8:$HA$1000))</f>
        <v>7664.367276269445</v>
      </c>
      <c r="HB10" s="563">
        <f>IF($B10="","",SUMPRODUCT(('ANALYSE - ERP =&gt; SOUS-SEGMENT'!$B$8:$B$1000=$B10)*'ANALYSE - ERP =&gt; SOUS-SEGMENT'!$Q$8:$Q$1000*'ANALYSE - ERP =&gt; SOUS-SEGMENT'!$HB$8:$HB$1000))</f>
        <v>1619.9747673999998</v>
      </c>
      <c r="HC10" s="563">
        <f t="shared" si="47"/>
        <v>3343.1184551195802</v>
      </c>
      <c r="HD10" s="563">
        <f>IF($B10="","",SUMPRODUCT(('ANALYSE - ERP =&gt; SOUS-SEGMENT'!$B$8:$B$1000=$B10)*'ANALYSE - ERP =&gt; SOUS-SEGMENT'!$Q$8:$Q$1000*'ANALYSE - ERP =&gt; SOUS-SEGMENT'!$HD$8:$HD$1000))</f>
        <v>2505.5000799195805</v>
      </c>
      <c r="HE10" s="563">
        <f>IF($B10="","",SUMPRODUCT(('ANALYSE - ERP =&gt; SOUS-SEGMENT'!$B$8:$B$1000=$B10)*'ANALYSE - ERP =&gt; SOUS-SEGMENT'!$Q$8:$Q$1000*'ANALYSE - ERP =&gt; SOUS-SEGMENT'!$HE$8:$HE$1000))</f>
        <v>837.61837519999995</v>
      </c>
      <c r="HF10" s="563">
        <f t="shared" si="48"/>
        <v>5630.1462458512815</v>
      </c>
      <c r="HG10" s="563">
        <f>IF($B10="","",SUMPRODUCT(('ANALYSE - ERP =&gt; SOUS-SEGMENT'!$B$8:$B$1000=$B10)*'ANALYSE - ERP =&gt; SOUS-SEGMENT'!$Q$8:$Q$1000*'ANALYSE - ERP =&gt; SOUS-SEGMENT'!$HG$8:$HG$1000))</f>
        <v>3941.4388700512809</v>
      </c>
      <c r="HH10" s="563">
        <f>IF($B10="","",SUMPRODUCT(('ANALYSE - ERP =&gt; SOUS-SEGMENT'!$B$8:$B$1000=$B10)*'ANALYSE - ERP =&gt; SOUS-SEGMENT'!$Q$8:$Q$1000*'ANALYSE - ERP =&gt; SOUS-SEGMENT'!$HH$8:$HH$1000))</f>
        <v>1688.7073758000001</v>
      </c>
      <c r="HI10" s="563">
        <f t="shared" si="49"/>
        <v>4196.8728696194448</v>
      </c>
      <c r="HJ10" s="563">
        <f>IF($B10="","",SUMPRODUCT(('ANALYSE - ERP =&gt; SOUS-SEGMENT'!$B$8:$B$1000=$B10)*'ANALYSE - ERP =&gt; SOUS-SEGMENT'!$Q$8:$Q$1000*'ANALYSE - ERP =&gt; SOUS-SEGMENT'!$HJ$8:$HJ$1000))</f>
        <v>3115.6081848194444</v>
      </c>
      <c r="HK10" s="563">
        <f>IF($B10="","",SUMPRODUCT(('ANALYSE - ERP =&gt; SOUS-SEGMENT'!$B$8:$B$1000=$B10)*'ANALYSE - ERP =&gt; SOUS-SEGMENT'!$Q$8:$Q$1000*'ANALYSE - ERP =&gt; SOUS-SEGMENT'!$HK$8:$HK$1000))</f>
        <v>1081.2646847999999</v>
      </c>
      <c r="HL10" s="563">
        <f t="shared" si="50"/>
        <v>2387.7174227227274</v>
      </c>
      <c r="HM10" s="563">
        <f>IF($B10="","",SUMPRODUCT(('ANALYSE - ERP =&gt; SOUS-SEGMENT'!$B$8:$B$1000=$B10)*'ANALYSE - ERP =&gt; SOUS-SEGMENT'!$Q$8:$Q$1000*'ANALYSE - ERP =&gt; SOUS-SEGMENT'!$HM$8:$HM$1000))</f>
        <v>1777.4787385227273</v>
      </c>
      <c r="HN10" s="563">
        <f>IF($B10="","",SUMPRODUCT(('ANALYSE - ERP =&gt; SOUS-SEGMENT'!$B$8:$B$1000=$B10)*'ANALYSE - ERP =&gt; SOUS-SEGMENT'!$Q$8:$Q$1000*'ANALYSE - ERP =&gt; SOUS-SEGMENT'!$HN$8:$HN$1000))</f>
        <v>610.23868419999997</v>
      </c>
      <c r="HO10" s="563">
        <f t="shared" si="51"/>
        <v>301197.25715772307</v>
      </c>
      <c r="HP10" s="563">
        <f>IF($B10="","",SUMPRODUCT(('ANALYSE - ERP =&gt; SOUS-SEGMENT'!$B$8:$B$1000=$B10)*'ANALYSE - ERP =&gt; SOUS-SEGMENT'!$Q$8:$Q$1000*'ANALYSE - ERP =&gt; SOUS-SEGMENT'!$HP$8:$HP$1000))</f>
        <v>240624.18259892307</v>
      </c>
      <c r="HQ10" s="563">
        <f>IF($B10="","",SUMPRODUCT(('ANALYSE - ERP =&gt; SOUS-SEGMENT'!$B$8:$B$1000=$B10)*'ANALYSE - ERP =&gt; SOUS-SEGMENT'!$Q$8:$Q$1000*'ANALYSE - ERP =&gt; SOUS-SEGMENT'!$HQ$8:$HQ$1000))</f>
        <v>60573.074558799992</v>
      </c>
      <c r="HR10" s="563">
        <f t="shared" si="52"/>
        <v>61910.337719938463</v>
      </c>
      <c r="HS10" s="563">
        <f>IF($B10="","",SUMPRODUCT(('ANALYSE - ERP =&gt; SOUS-SEGMENT'!$B$8:$B$1000=$B10)*'ANALYSE - ERP =&gt; SOUS-SEGMENT'!$Q$8:$Q$1000*'ANALYSE - ERP =&gt; SOUS-SEGMENT'!$HS$8:$HS$1000))</f>
        <v>47361.300737538462</v>
      </c>
      <c r="HT10" s="563">
        <f>IF($B10="","",SUMPRODUCT(('ANALYSE - ERP =&gt; SOUS-SEGMENT'!$B$8:$B$1000=$B10)*'ANALYSE - ERP =&gt; SOUS-SEGMENT'!$Q$8:$Q$1000*'ANALYSE - ERP =&gt; SOUS-SEGMENT'!$HT$8:$HT$1000))</f>
        <v>14549.036982400001</v>
      </c>
      <c r="HU10" s="563">
        <f t="shared" si="53"/>
        <v>32541.4713973</v>
      </c>
      <c r="HV10" s="563">
        <f>IF($B10="","",SUMPRODUCT(('ANALYSE - ERP =&gt; SOUS-SEGMENT'!$B$8:$B$1000=$B10)*'ANALYSE - ERP =&gt; SOUS-SEGMENT'!$Q$8:$Q$1000*'ANALYSE - ERP =&gt; SOUS-SEGMENT'!$HV$8:$HV$1000))</f>
        <v>24897.8267185</v>
      </c>
      <c r="HW10" s="563">
        <f>IF($B10="","",SUMPRODUCT(('ANALYSE - ERP =&gt; SOUS-SEGMENT'!$B$8:$B$1000=$B10)*'ANALYSE - ERP =&gt; SOUS-SEGMENT'!$Q$8:$Q$1000*'ANALYSE - ERP =&gt; SOUS-SEGMENT'!$HW$8:$HW$1000))</f>
        <v>7643.6446787999994</v>
      </c>
      <c r="HX10" s="544"/>
      <c r="HY10" s="568">
        <f t="shared" si="54"/>
        <v>2297131.5000000005</v>
      </c>
      <c r="HZ10" s="568">
        <f>IF($B10="","",SUMPRODUCT(('ANALYSE - ERP =&gt; SOUS-SEGMENT'!$B$8:$B$1000=$B10)*'ANALYSE - ERP =&gt; SOUS-SEGMENT'!$Q$8:$Q$1000*'ANALYSE - ERP =&gt; SOUS-SEGMENT'!$HZ$8:$HZ$1000))</f>
        <v>500.56300000000005</v>
      </c>
      <c r="IA10" s="568">
        <f>IF($B10="","",SUMPRODUCT(('ANALYSE - ERP =&gt; SOUS-SEGMENT'!$B$8:$B$1000=$B10)*'ANALYSE - ERP =&gt; SOUS-SEGMENT'!$Q$8:$Q$1000*'ANALYSE - ERP =&gt; SOUS-SEGMENT'!$IA$8:$IA$1000))</f>
        <v>350366.70580000005</v>
      </c>
      <c r="IB10" s="568">
        <f>IF($B10="","",SUMPRODUCT(('ANALYSE - ERP =&gt; SOUS-SEGMENT'!$B$8:$B$1000=$B10)*'ANALYSE - ERP =&gt; SOUS-SEGMENT'!$Q$8:$Q$1000*'ANALYSE - ERP =&gt; SOUS-SEGMENT'!$IB$8:$IB$1000))</f>
        <v>1260231.8768000002</v>
      </c>
      <c r="IC10" s="568">
        <f>IF($B10="","",SUMPRODUCT(('ANALYSE - ERP =&gt; SOUS-SEGMENT'!$B$8:$B$1000=$B10)*'ANALYSE - ERP =&gt; SOUS-SEGMENT'!$Q$8:$Q$1000*'ANALYSE - ERP =&gt; SOUS-SEGMENT'!$IC$8:$IC$1000))</f>
        <v>670010.67480000015</v>
      </c>
      <c r="ID10" s="568">
        <f>IF($B10="","",SUMPRODUCT(('ANALYSE - ERP =&gt; SOUS-SEGMENT'!$B$8:$B$1000=$B10)*'ANALYSE - ERP =&gt; SOUS-SEGMENT'!$Q$8:$Q$1000*'ANALYSE - ERP =&gt; SOUS-SEGMENT'!$ID$8:$ID$1000))</f>
        <v>16021.679599999999</v>
      </c>
      <c r="IE10" s="568">
        <f t="shared" si="55"/>
        <v>837409.02179822011</v>
      </c>
      <c r="IF10" s="568">
        <f>IF($B10="","",SUMPRODUCT(('ANALYSE - ERP =&gt; SOUS-SEGMENT'!$B$8:$B$1000=$B10)*'ANALYSE - ERP =&gt; SOUS-SEGMENT'!$Q$8:$Q$1000*'ANALYSE - ERP =&gt; SOUS-SEGMENT'!$IF$8:$IF$1000))</f>
        <v>4.6708539801600004</v>
      </c>
      <c r="IG10" s="568">
        <f>IF($B10="","",SUMPRODUCT(('ANALYSE - ERP =&gt; SOUS-SEGMENT'!$B$8:$B$1000=$B10)*'ANALYSE - ERP =&gt; SOUS-SEGMENT'!$Q$8:$Q$1000*'ANALYSE - ERP =&gt; SOUS-SEGMENT'!$IG$8:$IG$1000))</f>
        <v>65492.098101632095</v>
      </c>
      <c r="IH10" s="568">
        <f>IF($B10="","",SUMPRODUCT(('ANALYSE - ERP =&gt; SOUS-SEGMENT'!$B$8:$B$1000=$B10)*'ANALYSE - ERP =&gt; SOUS-SEGMENT'!$Q$8:$Q$1000*'ANALYSE - ERP =&gt; SOUS-SEGMENT'!$IH$8:$IH$1000))</f>
        <v>416907.27989904868</v>
      </c>
      <c r="II10" s="568">
        <f>IF($B10="","",SUMPRODUCT(('ANALYSE - ERP =&gt; SOUS-SEGMENT'!$B$8:$B$1000=$B10)*'ANALYSE - ERP =&gt; SOUS-SEGMENT'!$Q$8:$Q$1000*'ANALYSE - ERP =&gt; SOUS-SEGMENT'!$II$8:$II$1000))</f>
        <v>331242.47143115976</v>
      </c>
      <c r="IJ10" s="568">
        <f>IF($B10="","",SUMPRODUCT(('ANALYSE - ERP =&gt; SOUS-SEGMENT'!$B$8:$B$1000=$B10)*'ANALYSE - ERP =&gt; SOUS-SEGMENT'!$Q$8:$Q$1000*'ANALYSE - ERP =&gt; SOUS-SEGMENT'!$IJ$8:$IJ$1000))</f>
        <v>23762.501512399391</v>
      </c>
      <c r="IK10" s="868">
        <f>IF($B10="","",IFERROR(SUMPRODUCT(('ANALYSE - ERP =&gt; SOUS-SEGMENT'!$B$8:$B$1000=$B10)*'ANALYSE - ERP =&gt; SOUS-SEGMENT'!$Q$8:$Q$1000*'ANALYSE - ERP =&gt; SOUS-SEGMENT'!$IE$8:$IE$1000*'ANALYSE - ERP =&gt; SOUS-SEGMENT'!$IK$8:$IK$1000)/SUMPRODUCT(('ANALYSE - ERP =&gt; SOUS-SEGMENT'!$B$8:$B$1000=$B10)*'ANALYSE - ERP =&gt; SOUS-SEGMENT'!$Q$8:$Q$1000*'ANALYSE - ERP =&gt; SOUS-SEGMENT'!$IE$8:$IE$1000),""))</f>
        <v>4.2966755765070781</v>
      </c>
      <c r="IL10" s="962" t="s">
        <v>6402</v>
      </c>
      <c r="IM10" s="963" t="s">
        <v>6403</v>
      </c>
      <c r="IN10" s="529"/>
      <c r="IO10" s="742">
        <f>IF($B10="","",IFERROR(SUMPRODUCT(('ANALYSE - ERP =&gt; SOUS-SEGMENT'!$B$8:$B$1000=$B10)*'ANALYSE - ERP =&gt; SOUS-SEGMENT'!$Q$8:$Q$1000*'ANALYSE - ERP =&gt; SOUS-SEGMENT'!$BE$8:$BE$1000*'ANALYSE - ERP =&gt; SOUS-SEGMENT'!$IO$8:$IO$1000)/SUMPRODUCT(('ANALYSE - ERP =&gt; SOUS-SEGMENT'!$B$8:$B$1000=$B10)*'ANALYSE - ERP =&gt; SOUS-SEGMENT'!$Q$8:$Q$1000*'ANALYSE - ERP =&gt; SOUS-SEGMENT'!$BE$8:$BE$1000),""))</f>
        <v>4.7442056025647755E-5</v>
      </c>
      <c r="IP10" s="742">
        <f>IF($B10="","",IFERROR(SUMPRODUCT(('ANALYSE - ERP =&gt; SOUS-SEGMENT'!$B$8:$B$1000=$B10)*'ANALYSE - ERP =&gt; SOUS-SEGMENT'!$Q$8:$Q$1000*'ANALYSE - ERP =&gt; SOUS-SEGMENT'!$BE$8:$BE$1000*'ANALYSE - ERP =&gt; SOUS-SEGMENT'!$IP$8:$IP$1000)/SUMPRODUCT(('ANALYSE - ERP =&gt; SOUS-SEGMENT'!$B$8:$B$1000=$B10)*'ANALYSE - ERP =&gt; SOUS-SEGMENT'!$Q$8:$Q$1000*'ANALYSE - ERP =&gt; SOUS-SEGMENT'!$BE$8:$BE$1000),""))</f>
        <v>0.15810002175855364</v>
      </c>
      <c r="IQ10" s="742">
        <f>IF($B10="","",IFERROR(SUMPRODUCT(('ANALYSE - ERP =&gt; SOUS-SEGMENT'!$B$8:$B$1000=$B10)*'ANALYSE - ERP =&gt; SOUS-SEGMENT'!$Q$8:$Q$1000*'ANALYSE - ERP =&gt; SOUS-SEGMENT'!$BE$8:$BE$1000*'ANALYSE - ERP =&gt; SOUS-SEGMENT'!$IQ$8:$IQ$1000)/SUMPRODUCT(('ANALYSE - ERP =&gt; SOUS-SEGMENT'!$B$8:$B$1000=$B10)*'ANALYSE - ERP =&gt; SOUS-SEGMENT'!$Q$8:$Q$1000*'ANALYSE - ERP =&gt; SOUS-SEGMENT'!$BE$8:$BE$1000),""))</f>
        <v>0.55916714521469502</v>
      </c>
      <c r="IR10" s="742">
        <f>IF($B10="","",IFERROR(SUMPRODUCT(('ANALYSE - ERP =&gt; SOUS-SEGMENT'!$B$8:$B$1000=$B10)*'ANALYSE - ERP =&gt; SOUS-SEGMENT'!$Q$8:$Q$1000*'ANALYSE - ERP =&gt; SOUS-SEGMENT'!$BE$8:$BE$1000*'ANALYSE - ERP =&gt; SOUS-SEGMENT'!$IR$8:$IR$1000)/SUMPRODUCT(('ANALYSE - ERP =&gt; SOUS-SEGMENT'!$B$8:$B$1000=$B10)*'ANALYSE - ERP =&gt; SOUS-SEGMENT'!$Q$8:$Q$1000*'ANALYSE - ERP =&gt; SOUS-SEGMENT'!$BE$8:$BE$1000),""))</f>
        <v>0.27730759920113524</v>
      </c>
      <c r="IS10" s="742">
        <f>IF($B10="","",IFERROR(SUMPRODUCT(('ANALYSE - ERP =&gt; SOUS-SEGMENT'!$B$8:$B$1000=$B10)*'ANALYSE - ERP =&gt; SOUS-SEGMENT'!$Q$8:$Q$1000*'ANALYSE - ERP =&gt; SOUS-SEGMENT'!$BE$8:$BE$1000*'ANALYSE - ERP =&gt; SOUS-SEGMENT'!$IS$8:$IS$1000)/SUMPRODUCT(('ANALYSE - ERP =&gt; SOUS-SEGMENT'!$B$8:$B$1000=$B10)*'ANALYSE - ERP =&gt; SOUS-SEGMENT'!$Q$8:$Q$1000*'ANALYSE - ERP =&gt; SOUS-SEGMENT'!$BE$8:$BE$1000),""))</f>
        <v>5.3777917695905829E-3</v>
      </c>
      <c r="IT10" s="742">
        <f>IF($B10="","",IFERROR(SUMPRODUCT(('ANALYSE - ERP =&gt; SOUS-SEGMENT'!$B$8:$B$1000=$B10)*'ANALYSE - ERP =&gt; SOUS-SEGMENT'!$Q$8:$Q$1000*'ANALYSE - ERP =&gt; SOUS-SEGMENT'!$FB$8:$FB$1000*'ANALYSE - ERP =&gt; SOUS-SEGMENT'!$IT$8:$IT$1000)/SUMPRODUCT(('ANALYSE - ERP =&gt; SOUS-SEGMENT'!$B$8:$B$1000=$B10)*'ANALYSE - ERP =&gt; SOUS-SEGMENT'!$Q$8:$Q$1000*'ANALYSE - ERP =&gt; SOUS-SEGMENT'!$FB$8:$FB$1000),""))</f>
        <v>4.7530941636920593E-6</v>
      </c>
      <c r="IU10" s="742">
        <f>IF($B10="","",IFERROR(SUMPRODUCT(('ANALYSE - ERP =&gt; SOUS-SEGMENT'!$B$8:$B$1000=$B10)*'ANALYSE - ERP =&gt; SOUS-SEGMENT'!$Q$8:$Q$1000*'ANALYSE - ERP =&gt; SOUS-SEGMENT'!$FB$8:$FB$1000*'ANALYSE - ERP =&gt; SOUS-SEGMENT'!$IU$8:$IU$1000)/SUMPRODUCT(('ANALYSE - ERP =&gt; SOUS-SEGMENT'!$B$8:$B$1000=$B10)*'ANALYSE - ERP =&gt; SOUS-SEGMENT'!$Q$8:$Q$1000*'ANALYSE - ERP =&gt; SOUS-SEGMENT'!$FB$8:$FB$1000),""))</f>
        <v>8.1759039423598426E-2</v>
      </c>
      <c r="IV10" s="742">
        <f>IF($B10="","",IFERROR(SUMPRODUCT(('ANALYSE - ERP =&gt; SOUS-SEGMENT'!$B$8:$B$1000=$B10)*'ANALYSE - ERP =&gt; SOUS-SEGMENT'!$Q$8:$Q$1000*'ANALYSE - ERP =&gt; SOUS-SEGMENT'!$FB$8:$FB$1000*'ANALYSE - ERP =&gt; SOUS-SEGMENT'!$IV$8:$IV$1000)/SUMPRODUCT(('ANALYSE - ERP =&gt; SOUS-SEGMENT'!$B$8:$B$1000=$B10)*'ANALYSE - ERP =&gt; SOUS-SEGMENT'!$Q$8:$Q$1000*'ANALYSE - ERP =&gt; SOUS-SEGMENT'!$FB$8:$FB$1000),""))</f>
        <v>0.51136184634501858</v>
      </c>
      <c r="IW10" s="742">
        <f>IF($B10="","",IFERROR(SUMPRODUCT(('ANALYSE - ERP =&gt; SOUS-SEGMENT'!$B$8:$B$1000=$B10)*'ANALYSE - ERP =&gt; SOUS-SEGMENT'!$Q$8:$Q$1000*'ANALYSE - ERP =&gt; SOUS-SEGMENT'!$FB$8:$FB$1000*'ANALYSE - ERP =&gt; SOUS-SEGMENT'!$IW$8:$IW$1000)/SUMPRODUCT(('ANALYSE - ERP =&gt; SOUS-SEGMENT'!$B$8:$B$1000=$B10)*'ANALYSE - ERP =&gt; SOUS-SEGMENT'!$Q$8:$Q$1000*'ANALYSE - ERP =&gt; SOUS-SEGMENT'!$FB$8:$FB$1000),""))</f>
        <v>0.38489724626927235</v>
      </c>
      <c r="IX10" s="742">
        <f>IF($B10="","",IFERROR(SUMPRODUCT(('ANALYSE - ERP =&gt; SOUS-SEGMENT'!$B$8:$B$1000=$B10)*'ANALYSE - ERP =&gt; SOUS-SEGMENT'!$Q$8:$Q$1000*'ANALYSE - ERP =&gt; SOUS-SEGMENT'!$FB$8:$FB$1000*'ANALYSE - ERP =&gt; SOUS-SEGMENT'!$IX$8:$IX$1000)/SUMPRODUCT(('ANALYSE - ERP =&gt; SOUS-SEGMENT'!$B$8:$B$1000=$B10)*'ANALYSE - ERP =&gt; SOUS-SEGMENT'!$Q$8:$Q$1000*'ANALYSE - ERP =&gt; SOUS-SEGMENT'!$FB$8:$FB$1000),""))</f>
        <v>2.197711486794689E-2</v>
      </c>
      <c r="IY10" s="742">
        <f>IF($B10="","",IFERROR(SUMPRODUCT(('ANALYSE - ERP =&gt; SOUS-SEGMENT'!$B$8:$B$1000=$B10)*'ANALYSE - ERP =&gt; SOUS-SEGMENT'!$Q$8:$Q$1000*'ANALYSE - ERP =&gt; SOUS-SEGMENT'!$BF$8:$BF$1000*'ANALYSE - ERP =&gt; SOUS-SEGMENT'!$IY$8:$IY$1000)/SUMPRODUCT(('ANALYSE - ERP =&gt; SOUS-SEGMENT'!$B$8:$B$1000=$B10)*'ANALYSE - ERP =&gt; SOUS-SEGMENT'!$Q$8:$Q$1000*'ANALYSE - ERP =&gt; SOUS-SEGMENT'!$BF$8:$BF$1000),""))</f>
        <v>2.2690956443889801E-5</v>
      </c>
      <c r="IZ10" s="742">
        <f>IF($B10="","",IFERROR(SUMPRODUCT(('ANALYSE - ERP =&gt; SOUS-SEGMENT'!$B$8:$B$1000=$B10)*'ANALYSE - ERP =&gt; SOUS-SEGMENT'!$Q$8:$Q$1000*'ANALYSE - ERP =&gt; SOUS-SEGMENT'!$BF$8:$BF$1000*'ANALYSE - ERP =&gt; SOUS-SEGMENT'!$IZ$8:$IZ$1000)/SUMPRODUCT(('ANALYSE - ERP =&gt; SOUS-SEGMENT'!$B$8:$B$1000=$B10)*'ANALYSE - ERP =&gt; SOUS-SEGMENT'!$Q$8:$Q$1000*'ANALYSE - ERP =&gt; SOUS-SEGMENT'!$BF$8:$BF$1000),""))</f>
        <v>0.12932860206355412</v>
      </c>
      <c r="JA10" s="742">
        <f>IF($B10="","",IFERROR(SUMPRODUCT(('ANALYSE - ERP =&gt; SOUS-SEGMENT'!$B$8:$B$1000=$B10)*'ANALYSE - ERP =&gt; SOUS-SEGMENT'!$Q$8:$Q$1000*'ANALYSE - ERP =&gt; SOUS-SEGMENT'!$BF$8:$BF$1000*'ANALYSE - ERP =&gt; SOUS-SEGMENT'!$JA$8:$JA$1000)/SUMPRODUCT(('ANALYSE - ERP =&gt; SOUS-SEGMENT'!$B$8:$B$1000=$B10)*'ANALYSE - ERP =&gt; SOUS-SEGMENT'!$Q$8:$Q$1000*'ANALYSE - ERP =&gt; SOUS-SEGMENT'!$BF$8:$BF$1000),""))</f>
        <v>0.52534987613002837</v>
      </c>
      <c r="JB10" s="742">
        <f>IF($B10="","",IFERROR(SUMPRODUCT(('ANALYSE - ERP =&gt; SOUS-SEGMENT'!$B$8:$B$1000=$B10)*'ANALYSE - ERP =&gt; SOUS-SEGMENT'!$Q$8:$Q$1000*'ANALYSE - ERP =&gt; SOUS-SEGMENT'!$BF$8:$BF$1000*'ANALYSE - ERP =&gt; SOUS-SEGMENT'!$JB$8:$JB$1000)/SUMPRODUCT(('ANALYSE - ERP =&gt; SOUS-SEGMENT'!$B$8:$B$1000=$B10)*'ANALYSE - ERP =&gt; SOUS-SEGMENT'!$Q$8:$Q$1000*'ANALYSE - ERP =&gt; SOUS-SEGMENT'!$BF$8:$BF$1000),""))</f>
        <v>0.32824714581141928</v>
      </c>
      <c r="JC10" s="742">
        <f>IF($B10="","",IFERROR(SUMPRODUCT(('ANALYSE - ERP =&gt; SOUS-SEGMENT'!$B$8:$B$1000=$B10)*'ANALYSE - ERP =&gt; SOUS-SEGMENT'!$Q$8:$Q$1000*'ANALYSE - ERP =&gt; SOUS-SEGMENT'!$BF$8:$BF$1000*'ANALYSE - ERP =&gt; SOUS-SEGMENT'!$JC$8:$JC$1000)/SUMPRODUCT(('ANALYSE - ERP =&gt; SOUS-SEGMENT'!$B$8:$B$1000=$B10)*'ANALYSE - ERP =&gt; SOUS-SEGMENT'!$Q$8:$Q$1000*'ANALYSE - ERP =&gt; SOUS-SEGMENT'!$BF$8:$BF$1000),""))</f>
        <v>1.5299378122183021E-2</v>
      </c>
      <c r="JD10" s="742">
        <f>IF($B10="","",IFERROR(SUMPRODUCT(('ANALYSE - ERP =&gt; SOUS-SEGMENT'!$B$8:$B$1000=$B10)*'ANALYSE - ERP =&gt; SOUS-SEGMENT'!$Q$8:$Q$1000*'ANALYSE - ERP =&gt; SOUS-SEGMENT'!$FE$8:$FE$1000*'ANALYSE - ERP =&gt; SOUS-SEGMENT'!$JD$8:$JD$1000)/SUMPRODUCT(('ANALYSE - ERP =&gt; SOUS-SEGMENT'!$B$8:$B$1000=$B10)*'ANALYSE - ERP =&gt; SOUS-SEGMENT'!$Q$8:$Q$1000*'ANALYSE - ERP =&gt; SOUS-SEGMENT'!$FE$8:$FE$1000),""))</f>
        <v>6.9328375577410273E-6</v>
      </c>
      <c r="JE10" s="742">
        <f>IF($B10="","",IFERROR(SUMPRODUCT(('ANALYSE - ERP =&gt; SOUS-SEGMENT'!$B$8:$B$1000=$B10)*'ANALYSE - ERP =&gt; SOUS-SEGMENT'!$Q$8:$Q$1000*'ANALYSE - ERP =&gt; SOUS-SEGMENT'!$FE$8:$FE$1000*'ANALYSE - ERP =&gt; SOUS-SEGMENT'!$JE$8:$JE$1000)/SUMPRODUCT(('ANALYSE - ERP =&gt; SOUS-SEGMENT'!$B$8:$B$1000=$B10)*'ANALYSE - ERP =&gt; SOUS-SEGMENT'!$Q$8:$Q$1000*'ANALYSE - ERP =&gt; SOUS-SEGMENT'!$FE$8:$FE$1000),""))</f>
        <v>6.2704775757741402E-2</v>
      </c>
      <c r="JF10" s="742">
        <f>IF($B10="","",IFERROR(SUMPRODUCT(('ANALYSE - ERP =&gt; SOUS-SEGMENT'!$B$8:$B$1000=$B10)*'ANALYSE - ERP =&gt; SOUS-SEGMENT'!$Q$8:$Q$1000*'ANALYSE - ERP =&gt; SOUS-SEGMENT'!$FE$8:$FE$1000*'ANALYSE - ERP =&gt; SOUS-SEGMENT'!$JF$8:$JF$1000)/SUMPRODUCT(('ANALYSE - ERP =&gt; SOUS-SEGMENT'!$B$8:$B$1000=$B10)*'ANALYSE - ERP =&gt; SOUS-SEGMENT'!$Q$8:$Q$1000*'ANALYSE - ERP =&gt; SOUS-SEGMENT'!$FE$8:$FE$1000),""))</f>
        <v>0.46417050082111821</v>
      </c>
      <c r="JG10" s="742">
        <f>IF($B10="","",IFERROR(SUMPRODUCT(('ANALYSE - ERP =&gt; SOUS-SEGMENT'!$B$8:$B$1000=$B10)*'ANALYSE - ERP =&gt; SOUS-SEGMENT'!$Q$8:$Q$1000*'ANALYSE - ERP =&gt; SOUS-SEGMENT'!$FE$8:$FE$1000*'ANALYSE - ERP =&gt; SOUS-SEGMENT'!$JG$8:$JG$1000)/SUMPRODUCT(('ANALYSE - ERP =&gt; SOUS-SEGMENT'!$B$8:$B$1000=$B10)*'ANALYSE - ERP =&gt; SOUS-SEGMENT'!$Q$8:$Q$1000*'ANALYSE - ERP =&gt; SOUS-SEGMENT'!$FE$8:$FE$1000),""))</f>
        <v>0.42682575573519788</v>
      </c>
      <c r="JH10" s="742">
        <f>IF($B10="","",IFERROR(SUMPRODUCT(('ANALYSE - ERP =&gt; SOUS-SEGMENT'!$B$8:$B$1000=$B10)*'ANALYSE - ERP =&gt; SOUS-SEGMENT'!$Q$8:$Q$1000*'ANALYSE - ERP =&gt; SOUS-SEGMENT'!$FE$8:$FE$1000*'ANALYSE - ERP =&gt; SOUS-SEGMENT'!$JH$8:$JH$1000)/SUMPRODUCT(('ANALYSE - ERP =&gt; SOUS-SEGMENT'!$B$8:$B$1000=$B10)*'ANALYSE - ERP =&gt; SOUS-SEGMENT'!$Q$8:$Q$1000*'ANALYSE - ERP =&gt; SOUS-SEGMENT'!$FE$8:$FE$1000),""))</f>
        <v>4.4698774486059245E-2</v>
      </c>
      <c r="JI10" s="742">
        <f>IF($B10="","",IFERROR(SUMPRODUCT(('ANALYSE - ERP =&gt; SOUS-SEGMENT'!$B$8:$B$1000=$B10)*'ANALYSE - ERP =&gt; SOUS-SEGMENT'!$Q$8:$Q$1000*'ANALYSE - ERP =&gt; SOUS-SEGMENT'!$BG$8:$BG$1000*'ANALYSE - ERP =&gt; SOUS-SEGMENT'!$JI$8:$JI$1000)/SUMPRODUCT(('ANALYSE - ERP =&gt; SOUS-SEGMENT'!$B$8:$B$1000=$B10)*'ANALYSE - ERP =&gt; SOUS-SEGMENT'!$Q$8:$Q$1000*'ANALYSE - ERP =&gt; SOUS-SEGMENT'!$BG$8:$BG$1000),""))</f>
        <v>1.3315982397275288E-2</v>
      </c>
      <c r="JJ10" s="742">
        <f>IF($B10="","",IFERROR(SUMPRODUCT(('ANALYSE - ERP =&gt; SOUS-SEGMENT'!$B$8:$B$1000=$B10)*'ANALYSE - ERP =&gt; SOUS-SEGMENT'!$Q$8:$Q$1000*'ANALYSE - ERP =&gt; SOUS-SEGMENT'!$BG$8:$BG$1000*'ANALYSE - ERP =&gt; SOUS-SEGMENT'!$JJ$8:$JJ$1000)/SUMPRODUCT(('ANALYSE - ERP =&gt; SOUS-SEGMENT'!$B$8:$B$1000=$B10)*'ANALYSE - ERP =&gt; SOUS-SEGMENT'!$Q$8:$Q$1000*'ANALYSE - ERP =&gt; SOUS-SEGMENT'!$BG$8:$BG$1000),""))</f>
        <v>0.3282723971066786</v>
      </c>
      <c r="JK10" s="742">
        <f>IF($B10="","",IFERROR(SUMPRODUCT(('ANALYSE - ERP =&gt; SOUS-SEGMENT'!$B$8:$B$1000=$B10)*'ANALYSE - ERP =&gt; SOUS-SEGMENT'!$Q$8:$Q$1000*'ANALYSE - ERP =&gt; SOUS-SEGMENT'!$BG$8:$BG$1000*'ANALYSE - ERP =&gt; SOUS-SEGMENT'!$JK$8:$JK$1000)/SUMPRODUCT(('ANALYSE - ERP =&gt; SOUS-SEGMENT'!$B$8:$B$1000=$B10)*'ANALYSE - ERP =&gt; SOUS-SEGMENT'!$Q$8:$Q$1000*'ANALYSE - ERP =&gt; SOUS-SEGMENT'!$BG$8:$BG$1000),""))</f>
        <v>0.51641521522871736</v>
      </c>
      <c r="JL10" s="742">
        <f>IF($B10="","",IFERROR(SUMPRODUCT(('ANALYSE - ERP =&gt; SOUS-SEGMENT'!$B$8:$B$1000=$B10)*'ANALYSE - ERP =&gt; SOUS-SEGMENT'!$Q$8:$Q$1000*'ANALYSE - ERP =&gt; SOUS-SEGMENT'!$BG$8:$BG$1000*'ANALYSE - ERP =&gt; SOUS-SEGMENT'!$JL$8:$JL$1000)/SUMPRODUCT(('ANALYSE - ERP =&gt; SOUS-SEGMENT'!$B$8:$B$1000=$B10)*'ANALYSE - ERP =&gt; SOUS-SEGMENT'!$Q$8:$Q$1000*'ANALYSE - ERP =&gt; SOUS-SEGMENT'!$BG$8:$BG$1000),""))</f>
        <v>0.13848000809320676</v>
      </c>
      <c r="JM10" s="742">
        <f>IF($B10="","",IFERROR(SUMPRODUCT(('ANALYSE - ERP =&gt; SOUS-SEGMENT'!$B$8:$B$1000=$B10)*'ANALYSE - ERP =&gt; SOUS-SEGMENT'!$Q$8:$Q$1000*'ANALYSE - ERP =&gt; SOUS-SEGMENT'!$BG$8:$BG$1000*'ANALYSE - ERP =&gt; SOUS-SEGMENT'!$JM$8:$JM$1000)/SUMPRODUCT(('ANALYSE - ERP =&gt; SOUS-SEGMENT'!$B$8:$B$1000=$B10)*'ANALYSE - ERP =&gt; SOUS-SEGMENT'!$Q$8:$Q$1000*'ANALYSE - ERP =&gt; SOUS-SEGMENT'!$BG$8:$BG$1000),""))</f>
        <v>3.5163971741219717E-3</v>
      </c>
      <c r="JN10" s="742">
        <f>IF($B10="","",IFERROR(SUMPRODUCT(('ANALYSE - ERP =&gt; SOUS-SEGMENT'!$B$8:$B$1000=$B10)*'ANALYSE - ERP =&gt; SOUS-SEGMENT'!$Q$8:$Q$1000*'ANALYSE - ERP =&gt; SOUS-SEGMENT'!$FH$8:$FH$1000*'ANALYSE - ERP =&gt; SOUS-SEGMENT'!$JN$8:$JN$1000)/SUMPRODUCT(('ANALYSE - ERP =&gt; SOUS-SEGMENT'!$B$8:$B$1000=$B10)*'ANALYSE - ERP =&gt; SOUS-SEGMENT'!$Q$8:$Q$1000*'ANALYSE - ERP =&gt; SOUS-SEGMENT'!$FH$8:$FH$1000),""))</f>
        <v>3.9100261773076504E-5</v>
      </c>
      <c r="JO10" s="742">
        <f>IF($B10="","",IFERROR(SUMPRODUCT(('ANALYSE - ERP =&gt; SOUS-SEGMENT'!$B$8:$B$1000=$B10)*'ANALYSE - ERP =&gt; SOUS-SEGMENT'!$Q$8:$Q$1000*'ANALYSE - ERP =&gt; SOUS-SEGMENT'!$FH$8:$FH$1000*'ANALYSE - ERP =&gt; SOUS-SEGMENT'!$JO$8:$JO$1000)/SUMPRODUCT(('ANALYSE - ERP =&gt; SOUS-SEGMENT'!$B$8:$B$1000=$B10)*'ANALYSE - ERP =&gt; SOUS-SEGMENT'!$Q$8:$Q$1000*'ANALYSE - ERP =&gt; SOUS-SEGMENT'!$FH$8:$FH$1000),""))</f>
        <v>0.20817497835017038</v>
      </c>
      <c r="JP10" s="742">
        <f>IF($B10="","",IFERROR(SUMPRODUCT(('ANALYSE - ERP =&gt; SOUS-SEGMENT'!$B$8:$B$1000=$B10)*'ANALYSE - ERP =&gt; SOUS-SEGMENT'!$Q$8:$Q$1000*'ANALYSE - ERP =&gt; SOUS-SEGMENT'!$FH$8:$FH$1000*'ANALYSE - ERP =&gt; SOUS-SEGMENT'!$JP$8:$JP$1000)/SUMPRODUCT(('ANALYSE - ERP =&gt; SOUS-SEGMENT'!$B$8:$B$1000=$B10)*'ANALYSE - ERP =&gt; SOUS-SEGMENT'!$Q$8:$Q$1000*'ANALYSE - ERP =&gt; SOUS-SEGMENT'!$FH$8:$FH$1000),""))</f>
        <v>0.55322714332212308</v>
      </c>
      <c r="JQ10" s="742">
        <f>IF($B10="","",IFERROR(SUMPRODUCT(('ANALYSE - ERP =&gt; SOUS-SEGMENT'!$B$8:$B$1000=$B10)*'ANALYSE - ERP =&gt; SOUS-SEGMENT'!$Q$8:$Q$1000*'ANALYSE - ERP =&gt; SOUS-SEGMENT'!$FH$8:$FH$1000*'ANALYSE - ERP =&gt; SOUS-SEGMENT'!$JQ$8:$JQ$1000)/SUMPRODUCT(('ANALYSE - ERP =&gt; SOUS-SEGMENT'!$B$8:$B$1000=$B10)*'ANALYSE - ERP =&gt; SOUS-SEGMENT'!$Q$8:$Q$1000*'ANALYSE - ERP =&gt; SOUS-SEGMENT'!$FH$8:$FH$1000),""))</f>
        <v>0.22957394769092576</v>
      </c>
      <c r="JR10" s="742">
        <f>IF($B10="","",IFERROR(SUMPRODUCT(('ANALYSE - ERP =&gt; SOUS-SEGMENT'!$B$8:$B$1000=$B10)*'ANALYSE - ERP =&gt; SOUS-SEGMENT'!$Q$8:$Q$1000*'ANALYSE - ERP =&gt; SOUS-SEGMENT'!$FH$8:$FH$1000*'ANALYSE - ERP =&gt; SOUS-SEGMENT'!$JR$8:$JR$1000)/SUMPRODUCT(('ANALYSE - ERP =&gt; SOUS-SEGMENT'!$B$8:$B$1000=$B10)*'ANALYSE - ERP =&gt; SOUS-SEGMENT'!$Q$8:$Q$1000*'ANALYSE - ERP =&gt; SOUS-SEGMENT'!$FH$8:$FH$1000),""))</f>
        <v>8.9848303750076648E-3</v>
      </c>
      <c r="JS10" s="742">
        <f>IF($B10="","",IFERROR(SUMPRODUCT(('ANALYSE - ERP =&gt; SOUS-SEGMENT'!$B$8:$B$1000=$B10)*'ANALYSE - ERP =&gt; SOUS-SEGMENT'!$Q$8:$Q$1000*'ANALYSE - ERP =&gt; SOUS-SEGMENT'!$BH$8:$BH$1000*'ANALYSE - ERP =&gt; SOUS-SEGMENT'!$JS$8:$JS$1000)/SUMPRODUCT(('ANALYSE - ERP =&gt; SOUS-SEGMENT'!$B$8:$B$1000=$B10)*'ANALYSE - ERP =&gt; SOUS-SEGMENT'!$Q$8:$Q$1000*'ANALYSE - ERP =&gt; SOUS-SEGMENT'!$BH$8:$BH$1000),""))</f>
        <v>5.634340313285903E-5</v>
      </c>
      <c r="JT10" s="742">
        <f>IF($B10="","",IFERROR(SUMPRODUCT(('ANALYSE - ERP =&gt; SOUS-SEGMENT'!$B$8:$B$1000=$B10)*'ANALYSE - ERP =&gt; SOUS-SEGMENT'!$Q$8:$Q$1000*'ANALYSE - ERP =&gt; SOUS-SEGMENT'!$BH$8:$BH$1000*'ANALYSE - ERP =&gt; SOUS-SEGMENT'!$JT$8:$JT$1000)/SUMPRODUCT(('ANALYSE - ERP =&gt; SOUS-SEGMENT'!$B$8:$B$1000=$B10)*'ANALYSE - ERP =&gt; SOUS-SEGMENT'!$Q$8:$Q$1000*'ANALYSE - ERP =&gt; SOUS-SEGMENT'!$BH$8:$BH$1000),""))</f>
        <v>0.1511843791558222</v>
      </c>
      <c r="JU10" s="742">
        <f>IF($B10="","",IFERROR(SUMPRODUCT(('ANALYSE - ERP =&gt; SOUS-SEGMENT'!$B$8:$B$1000=$B10)*'ANALYSE - ERP =&gt; SOUS-SEGMENT'!$Q$8:$Q$1000*'ANALYSE - ERP =&gt; SOUS-SEGMENT'!$BH$8:$BH$1000*'ANALYSE - ERP =&gt; SOUS-SEGMENT'!$JU$8:$JU$1000)/SUMPRODUCT(('ANALYSE - ERP =&gt; SOUS-SEGMENT'!$B$8:$B$1000=$B10)*'ANALYSE - ERP =&gt; SOUS-SEGMENT'!$Q$8:$Q$1000*'ANALYSE - ERP =&gt; SOUS-SEGMENT'!$BH$8:$BH$1000),""))</f>
        <v>0.54856077211061993</v>
      </c>
      <c r="JV10" s="742">
        <f>IF($B10="","",IFERROR(SUMPRODUCT(('ANALYSE - ERP =&gt; SOUS-SEGMENT'!$B$8:$B$1000=$B10)*'ANALYSE - ERP =&gt; SOUS-SEGMENT'!$Q$8:$Q$1000*'ANALYSE - ERP =&gt; SOUS-SEGMENT'!$BH$8:$BH$1000*'ANALYSE - ERP =&gt; SOUS-SEGMENT'!$JV$8:$JV$1000)/SUMPRODUCT(('ANALYSE - ERP =&gt; SOUS-SEGMENT'!$B$8:$B$1000=$B10)*'ANALYSE - ERP =&gt; SOUS-SEGMENT'!$Q$8:$Q$1000*'ANALYSE - ERP =&gt; SOUS-SEGMENT'!$BH$8:$BH$1000),""))</f>
        <v>0.2951535068007356</v>
      </c>
      <c r="JW10" s="742">
        <f>IF($B10="","",IFERROR(SUMPRODUCT(('ANALYSE - ERP =&gt; SOUS-SEGMENT'!$B$8:$B$1000=$B10)*'ANALYSE - ERP =&gt; SOUS-SEGMENT'!$Q$8:$Q$1000*'ANALYSE - ERP =&gt; SOUS-SEGMENT'!$BH$8:$BH$1000*'ANALYSE - ERP =&gt; SOUS-SEGMENT'!$JW$8:$JW$1000)/SUMPRODUCT(('ANALYSE - ERP =&gt; SOUS-SEGMENT'!$B$8:$B$1000=$B10)*'ANALYSE - ERP =&gt; SOUS-SEGMENT'!$Q$8:$Q$1000*'ANALYSE - ERP =&gt; SOUS-SEGMENT'!$BH$8:$BH$1000),""))</f>
        <v>5.044998529689303E-3</v>
      </c>
      <c r="JX10" s="742">
        <f>IF($B10="","",IFERROR(SUMPRODUCT(('ANALYSE - ERP =&gt; SOUS-SEGMENT'!$B$8:$B$1000=$B10)*'ANALYSE - ERP =&gt; SOUS-SEGMENT'!$Q$8:$Q$1000*'ANALYSE - ERP =&gt; SOUS-SEGMENT'!$FK$8:$FK$1000*'ANALYSE - ERP =&gt; SOUS-SEGMENT'!$JX$8:$JX$1000)/SUMPRODUCT(('ANALYSE - ERP =&gt; SOUS-SEGMENT'!$B$8:$B$1000=$B10)*'ANALYSE - ERP =&gt; SOUS-SEGMENT'!$Q$8:$Q$1000*'ANALYSE - ERP =&gt; SOUS-SEGMENT'!$FK$8:$FK$1000),""))</f>
        <v>4.6223894133117763E-6</v>
      </c>
      <c r="JY10" s="742">
        <f>IF($B10="","",IFERROR(SUMPRODUCT(('ANALYSE - ERP =&gt; SOUS-SEGMENT'!$B$8:$B$1000=$B10)*'ANALYSE - ERP =&gt; SOUS-SEGMENT'!$Q$8:$Q$1000*'ANALYSE - ERP =&gt; SOUS-SEGMENT'!$FK$8:$FK$1000*'ANALYSE - ERP =&gt; SOUS-SEGMENT'!$JY$8:$JY$1000)/SUMPRODUCT(('ANALYSE - ERP =&gt; SOUS-SEGMENT'!$B$8:$B$1000=$B10)*'ANALYSE - ERP =&gt; SOUS-SEGMENT'!$Q$8:$Q$1000*'ANALYSE - ERP =&gt; SOUS-SEGMENT'!$FK$8:$FK$1000),""))</f>
        <v>7.712913880845941E-2</v>
      </c>
      <c r="JZ10" s="742">
        <f>IF($B10="","",IFERROR(SUMPRODUCT(('ANALYSE - ERP =&gt; SOUS-SEGMENT'!$B$8:$B$1000=$B10)*'ANALYSE - ERP =&gt; SOUS-SEGMENT'!$Q$8:$Q$1000*'ANALYSE - ERP =&gt; SOUS-SEGMENT'!$FK$8:$FK$1000*'ANALYSE - ERP =&gt; SOUS-SEGMENT'!$JZ$8:$JZ$1000)/SUMPRODUCT(('ANALYSE - ERP =&gt; SOUS-SEGMENT'!$B$8:$B$1000=$B10)*'ANALYSE - ERP =&gt; SOUS-SEGMENT'!$Q$8:$Q$1000*'ANALYSE - ERP =&gt; SOUS-SEGMENT'!$FK$8:$FK$1000),""))</f>
        <v>0.49686467543817714</v>
      </c>
      <c r="KA10" s="742">
        <f>IF($B10="","",IFERROR(SUMPRODUCT(('ANALYSE - ERP =&gt; SOUS-SEGMENT'!$B$8:$B$1000=$B10)*'ANALYSE - ERP =&gt; SOUS-SEGMENT'!$Q$8:$Q$1000*'ANALYSE - ERP =&gt; SOUS-SEGMENT'!$FK$8:$FK$1000*'ANALYSE - ERP =&gt; SOUS-SEGMENT'!$KA$8:$KA$1000)/SUMPRODUCT(('ANALYSE - ERP =&gt; SOUS-SEGMENT'!$B$8:$B$1000=$B10)*'ANALYSE - ERP =&gt; SOUS-SEGMENT'!$Q$8:$Q$1000*'ANALYSE - ERP =&gt; SOUS-SEGMENT'!$FK$8:$FK$1000),""))</f>
        <v>0.3977978629314271</v>
      </c>
      <c r="KB10" s="742">
        <f>IF($B10="","",IFERROR(SUMPRODUCT(('ANALYSE - ERP =&gt; SOUS-SEGMENT'!$B$8:$B$1000=$B10)*'ANALYSE - ERP =&gt; SOUS-SEGMENT'!$Q$8:$Q$1000*'ANALYSE - ERP =&gt; SOUS-SEGMENT'!$FK$8:$FK$1000*'ANALYSE - ERP =&gt; SOUS-SEGMENT'!$KB$8:$KB$1000)/SUMPRODUCT(('ANALYSE - ERP =&gt; SOUS-SEGMENT'!$B$8:$B$1000=$B10)*'ANALYSE - ERP =&gt; SOUS-SEGMENT'!$Q$8:$Q$1000*'ANALYSE - ERP =&gt; SOUS-SEGMENT'!$FK$8:$FK$1000),""))</f>
        <v>2.8203700432523088E-2</v>
      </c>
      <c r="KC10" s="657"/>
      <c r="KD10" s="924" t="s">
        <v>6404</v>
      </c>
      <c r="KE10" s="924" t="s">
        <v>6405</v>
      </c>
      <c r="KF10" s="869">
        <f>IF($B10="","",IFERROR(SUMPRODUCT(('ANALYSE - ERP =&gt; SOUS-SEGMENT'!$B$8:$B$1000=$B10)*'ANALYSE - ERP =&gt; SOUS-SEGMENT'!$Q$8:$Q$1000*'ANALYSE - ERP =&gt; SOUS-SEGMENT'!$IE$8:$IE$1000*'ANALYSE - ERP =&gt; SOUS-SEGMENT'!$KF$8:$KF$1000)/SUMPRODUCT(('ANALYSE - ERP =&gt; SOUS-SEGMENT'!$B$8:$B$1000=$B10)*'ANALYSE - ERP =&gt; SOUS-SEGMENT'!$Q$8:$Q$1000*'ANALYSE - ERP =&gt; SOUS-SEGMENT'!$IE$8:$IE$1000),""))</f>
        <v>4.5072208999359029</v>
      </c>
      <c r="KG10" s="924" t="s">
        <v>6406</v>
      </c>
      <c r="KH10" s="924" t="s">
        <v>6407</v>
      </c>
      <c r="KI10" s="924" t="s">
        <v>6408</v>
      </c>
      <c r="KJ10" s="924" t="s">
        <v>6409</v>
      </c>
    </row>
    <row r="11" spans="1:327" ht="183.95" customHeight="1">
      <c r="A11" s="951">
        <f>IF($B11="","",ROWS($A$8:A11))</f>
        <v>4</v>
      </c>
      <c r="B11" s="952" t="s">
        <v>3662</v>
      </c>
      <c r="C11" s="952" t="s">
        <v>6410</v>
      </c>
      <c r="D11" s="952" t="s">
        <v>6411</v>
      </c>
      <c r="E11" s="646" t="s">
        <v>6412</v>
      </c>
      <c r="F11" s="646" t="s">
        <v>6413</v>
      </c>
      <c r="G11" s="646" t="s">
        <v>6414</v>
      </c>
      <c r="H11" s="646" t="s">
        <v>2109</v>
      </c>
      <c r="I11" s="646" t="s">
        <v>6415</v>
      </c>
      <c r="J11" s="646" t="s">
        <v>6416</v>
      </c>
      <c r="K11" s="646" t="s">
        <v>6417</v>
      </c>
      <c r="L11" s="646" t="s">
        <v>6418</v>
      </c>
      <c r="M11" s="646" t="s">
        <v>6419</v>
      </c>
      <c r="N11" s="646" t="s">
        <v>6420</v>
      </c>
      <c r="O11" s="646" t="s">
        <v>6421</v>
      </c>
      <c r="P11" s="646"/>
      <c r="Q11" s="270">
        <f>IF($B11="","",IF(SUMIFS('ANALYSE - ERP =&gt; SOUS-SEGMENT'!$Q$8:$Q$1000,'ANALYSE - ERP =&gt; SOUS-SEGMENT'!$B$8:$B$1000,$B11)&gt;0,1,0))</f>
        <v>1</v>
      </c>
      <c r="R11" s="278">
        <f>IF($B11="","",IFERROR(SUMPRODUCT(('ANALYSE - ERP =&gt; SOUS-SEGMENT'!$B$8:$B$1000=$B11)*'ANALYSE - ERP =&gt; SOUS-SEGMENT'!$Q$8:$Q$1000*'ANALYSE - ERP =&gt; SOUS-SEGMENT'!$AF$8:$AF$1000*'ANALYSE - ERP =&gt; SOUS-SEGMENT'!$R$8:$R$1000)/SUMPRODUCT(('ANALYSE - ERP =&gt; SOUS-SEGMENT'!$B$8:$B$1000=$B11)*'ANALYSE - ERP =&gt; SOUS-SEGMENT'!$Q$8:$Q$1000*'ANALYSE - ERP =&gt; SOUS-SEGMENT'!$AF$8:$AF$1000),""))</f>
        <v>969.8619183211764</v>
      </c>
      <c r="S11" s="279">
        <f>IF($B11="","",SUMPRODUCT(('ANALYSE - ERP =&gt; SOUS-SEGMENT'!$B$8:$B$1000=$B11)*'ANALYSE - ERP =&gt; SOUS-SEGMENT'!$Q$8:$Q$1000*'ANALYSE - ERP =&gt; SOUS-SEGMENT'!$S$8:$S$1000))</f>
        <v>48953</v>
      </c>
      <c r="T11" s="279">
        <f>IF($B11="","",SUMPRODUCT(('ANALYSE - ERP =&gt; SOUS-SEGMENT'!$B$8:$B$1000=$B11)*'ANALYSE - ERP =&gt; SOUS-SEGMENT'!$Q$8:$Q$1000*'ANALYSE - ERP =&gt; SOUS-SEGMENT'!$T$8:$T$1000))</f>
        <v>49760</v>
      </c>
      <c r="U11" s="279">
        <f>IF($B11="","",SUMPRODUCT(('ANALYSE - ERP =&gt; SOUS-SEGMENT'!$B$8:$B$1000=$B11)*'ANALYSE - ERP =&gt; SOUS-SEGMENT'!$Q$8:$Q$1000*'ANALYSE - ERP =&gt; SOUS-SEGMENT'!$U$8:$U$1000))</f>
        <v>50616</v>
      </c>
      <c r="V11" s="279">
        <f>IF($B11="","",SUMPRODUCT(('ANALYSE - ERP =&gt; SOUS-SEGMENT'!$B$8:$B$1000=$B11)*'ANALYSE - ERP =&gt; SOUS-SEGMENT'!$Q$8:$Q$1000*'ANALYSE - ERP =&gt; SOUS-SEGMENT'!$V$8:$V$1000))</f>
        <v>51589</v>
      </c>
      <c r="W11" s="279">
        <f>IF($B11="","",SUMPRODUCT(('ANALYSE - ERP =&gt; SOUS-SEGMENT'!$B$8:$B$1000=$B11)*'ANALYSE - ERP =&gt; SOUS-SEGMENT'!$Q$8:$Q$1000*'ANALYSE - ERP =&gt; SOUS-SEGMENT'!$W$8:$W$1000))</f>
        <v>51571</v>
      </c>
      <c r="X11" s="279">
        <f>IF($B11="","",SUMPRODUCT(('ANALYSE - ERP =&gt; SOUS-SEGMENT'!$B$8:$B$1000=$B11)*'ANALYSE - ERP =&gt; SOUS-SEGMENT'!$Q$8:$Q$1000*'ANALYSE - ERP =&gt; SOUS-SEGMENT'!$X$8:$X$1000))</f>
        <v>51456</v>
      </c>
      <c r="Y11" s="279">
        <f>IF($B11="","",SUMPRODUCT(('ANALYSE - ERP =&gt; SOUS-SEGMENT'!$B$8:$B$1000=$B11)*'ANALYSE - ERP =&gt; SOUS-SEGMENT'!$Q$8:$Q$1000*'ANALYSE - ERP =&gt; SOUS-SEGMENT'!$Y$8:$Y$1000))</f>
        <v>51442</v>
      </c>
      <c r="Z11" s="279">
        <f>IF($B11="","",SUMPRODUCT(('ANALYSE - ERP =&gt; SOUS-SEGMENT'!$B$8:$B$1000=$B11)*'ANALYSE - ERP =&gt; SOUS-SEGMENT'!$Q$8:$Q$1000*'ANALYSE - ERP =&gt; SOUS-SEGMENT'!$Z$8:$Z$1000))</f>
        <v>51430</v>
      </c>
      <c r="AA11" s="279">
        <f>IF($B11="","",SUMPRODUCT(('ANALYSE - ERP =&gt; SOUS-SEGMENT'!$B$8:$B$1000=$B11)*'ANALYSE - ERP =&gt; SOUS-SEGMENT'!$Q$8:$Q$1000*'ANALYSE - ERP =&gt; SOUS-SEGMENT'!$AA$8:$AA$1000))</f>
        <v>51114</v>
      </c>
      <c r="AB11" s="279">
        <f>IF($B11="","",SUMPRODUCT(('ANALYSE - ERP =&gt; SOUS-SEGMENT'!$B$8:$B$1000=$B11)*'ANALYSE - ERP =&gt; SOUS-SEGMENT'!$Q$8:$Q$1000*'ANALYSE - ERP =&gt; SOUS-SEGMENT'!$AB$8:$AB$1000))</f>
        <v>51069</v>
      </c>
      <c r="AC11" s="279">
        <f>IF($B11="","",SUMPRODUCT(('ANALYSE - ERP =&gt; SOUS-SEGMENT'!$B$8:$B$1000=$B11)*'ANALYSE - ERP =&gt; SOUS-SEGMENT'!$Q$8:$Q$1000*'ANALYSE - ERP =&gt; SOUS-SEGMENT'!$AC$8:$AC$1000))</f>
        <v>51156</v>
      </c>
      <c r="AD11" s="279">
        <f>IF($B11="","",SUMPRODUCT(('ANALYSE - ERP =&gt; SOUS-SEGMENT'!$B$8:$B$1000=$B11)*'ANALYSE - ERP =&gt; SOUS-SEGMENT'!$Q$8:$Q$1000*'ANALYSE - ERP =&gt; SOUS-SEGMENT'!$AD$8:$AD$1000))</f>
        <v>51216</v>
      </c>
      <c r="AE11" s="279">
        <f>IF($B11="","",SUMPRODUCT(('ANALYSE - ERP =&gt; SOUS-SEGMENT'!$B$8:$B$1000=$B11)*'ANALYSE - ERP =&gt; SOUS-SEGMENT'!$Q$8:$Q$1000*'ANALYSE - ERP =&gt; SOUS-SEGMENT'!$AE$8:$AE$1000))</f>
        <v>51218</v>
      </c>
      <c r="AF11" s="279">
        <f>IF($B11="","",SUMPRODUCT(('ANALYSE - ERP =&gt; SOUS-SEGMENT'!$B$8:$B$1000=$B11)*'ANALYSE - ERP =&gt; SOUS-SEGMENT'!$Q$8:$Q$1000*'ANALYSE - ERP =&gt; SOUS-SEGMENT'!$AF$8:$AF$1000))</f>
        <v>51274</v>
      </c>
      <c r="AG11" s="279">
        <f>IF($B11="","",SUMPRODUCT(('ANALYSE - ERP =&gt; SOUS-SEGMENT'!$B$8:$B$1000=$B11)*'ANALYSE - ERP =&gt; SOUS-SEGMENT'!$Q$8:$Q$1000*'ANALYSE - ERP =&gt; SOUS-SEGMENT'!$AG$8:$AG$1000))</f>
        <v>51370</v>
      </c>
      <c r="AH11" s="279">
        <f>IF($B11="","",SUMPRODUCT(('ANALYSE - ERP =&gt; SOUS-SEGMENT'!$B$8:$B$1000=$B11)*'ANALYSE - ERP =&gt; SOUS-SEGMENT'!$Q$8:$Q$1000*'ANALYSE - ERP =&gt; SOUS-SEGMENT'!$AH$8:$AH$1000))</f>
        <v>51473</v>
      </c>
      <c r="AI11" s="279">
        <f>IF($B11="","",SUMPRODUCT(('ANALYSE - ERP =&gt; SOUS-SEGMENT'!$B$8:$B$1000=$B11)*'ANALYSE - ERP =&gt; SOUS-SEGMENT'!$Q$8:$Q$1000*'ANALYSE - ERP =&gt; SOUS-SEGMENT'!$AI$8:$AI$1000))</f>
        <v>51575</v>
      </c>
      <c r="AJ11" s="279">
        <f>IF($B11="","",SUMPRODUCT(('ANALYSE - ERP =&gt; SOUS-SEGMENT'!$B$8:$B$1000=$B11)*'ANALYSE - ERP =&gt; SOUS-SEGMENT'!$Q$8:$Q$1000*'ANALYSE - ERP =&gt; SOUS-SEGMENT'!$AJ$8:$AJ$1000))</f>
        <v>51679</v>
      </c>
      <c r="AK11" s="279">
        <f>IF($B11="","",SUMPRODUCT(('ANALYSE - ERP =&gt; SOUS-SEGMENT'!$B$8:$B$1000=$B11)*'ANALYSE - ERP =&gt; SOUS-SEGMENT'!$Q$8:$Q$1000*'ANALYSE - ERP =&gt; SOUS-SEGMENT'!$AK$8:$AK$1000))</f>
        <v>51783</v>
      </c>
      <c r="AL11" s="646" t="s">
        <v>6422</v>
      </c>
      <c r="AM11" s="646" t="s">
        <v>6423</v>
      </c>
      <c r="AN11" s="646" t="s">
        <v>6424</v>
      </c>
      <c r="AO11" s="657"/>
      <c r="AP11" s="278">
        <f>IF($B11="","",IFERROR(SUMPRODUCT(('ANALYSE - ERP =&gt; SOUS-SEGMENT'!$B$8:$B$1000=$B11)*'ANALYSE - ERP =&gt; SOUS-SEGMENT'!$Q$8:$Q$1000*'ANALYSE - ERP =&gt; SOUS-SEGMENT'!$AF$8:$AF$1000*'ANALYSE - ERP =&gt; SOUS-SEGMENT'!$AP$8:$AP$1000)/SUMPRODUCT(('ANALYSE - ERP =&gt; SOUS-SEGMENT'!$B$8:$B$1000=$B11)*'ANALYSE - ERP =&gt; SOUS-SEGMENT'!$Q$8:$Q$1000*'ANALYSE - ERP =&gt; SOUS-SEGMENT'!$AF$8:$AF$1000),""))</f>
        <v>305.29088816944261</v>
      </c>
      <c r="AQ11" s="278">
        <f>IF($B11="","",IFERROR(SUMPRODUCT(('ANALYSE - ERP =&gt; SOUS-SEGMENT'!$B$8:$B$1000=$B11)*'ANALYSE - ERP =&gt; SOUS-SEGMENT'!$Q$8:$Q$1000*'ANALYSE - ERP =&gt; SOUS-SEGMENT'!$AF$8:$AF$1000*'ANALYSE - ERP =&gt; SOUS-SEGMENT'!$AQ$8:$AQ$1000)/SUMPRODUCT(('ANALYSE - ERP =&gt; SOUS-SEGMENT'!$B$8:$B$1000=$B11)*'ANALYSE - ERP =&gt; SOUS-SEGMENT'!$Q$8:$Q$1000*'ANALYSE - ERP =&gt; SOUS-SEGMENT'!$AF$8:$AF$1000),""))</f>
        <v>268.23241798962437</v>
      </c>
      <c r="AR11" s="278">
        <f>IF($B11="","",IFERROR(SUMPRODUCT(('ANALYSE - ERP =&gt; SOUS-SEGMENT'!$B$8:$B$1000=$B11)*'ANALYSE - ERP =&gt; SOUS-SEGMENT'!$Q$8:$Q$1000*'ANALYSE - ERP =&gt; SOUS-SEGMENT'!$AF$8:$AF$1000*'ANALYSE - ERP =&gt; SOUS-SEGMENT'!$AR$8:$AR$1000)/SUMPRODUCT(('ANALYSE - ERP =&gt; SOUS-SEGMENT'!$B$8:$B$1000=$B11)*'ANALYSE - ERP =&gt; SOUS-SEGMENT'!$Q$8:$Q$1000*'ANALYSE - ERP =&gt; SOUS-SEGMENT'!$AF$8:$AF$1000),""))</f>
        <v>26.918165151928854</v>
      </c>
      <c r="AS11" s="278">
        <f>IF($B11="","",IFERROR(SUMPRODUCT(('ANALYSE - ERP =&gt; SOUS-SEGMENT'!$B$8:$B$1000=$B11)*'ANALYSE - ERP =&gt; SOUS-SEGMENT'!$Q$8:$Q$1000*'ANALYSE - ERP =&gt; SOUS-SEGMENT'!$AF$8:$AF$1000*'ANALYSE - ERP =&gt; SOUS-SEGMENT'!$AS$8:$AS$1000)/SUMPRODUCT(('ANALYSE - ERP =&gt; SOUS-SEGMENT'!$B$8:$B$1000=$B11)*'ANALYSE - ERP =&gt; SOUS-SEGMENT'!$Q$8:$Q$1000*'ANALYSE - ERP =&gt; SOUS-SEGMENT'!$AF$8:$AF$1000),""))</f>
        <v>10.140305027889379</v>
      </c>
      <c r="AT11" s="657"/>
      <c r="AU11" s="646" t="s">
        <v>6425</v>
      </c>
      <c r="AV11" s="646" t="s">
        <v>6426</v>
      </c>
      <c r="AW11" s="646" t="s">
        <v>6427</v>
      </c>
      <c r="AX11" s="646" t="s">
        <v>6428</v>
      </c>
      <c r="AY11" s="657"/>
      <c r="AZ11" s="947">
        <f>IF($B11="","",IFERROR(SUMPRODUCT(('ANALYSE - ERP =&gt; SOUS-SEGMENT'!$B$8:$B$1000=$B11)*'ANALYSE - ERP =&gt; SOUS-SEGMENT'!$Q$8:$Q$1000*'ANALYSE - ERP =&gt; SOUS-SEGMENT'!$AF$8:$AF$1000*'ANALYSE - ERP =&gt; SOUS-SEGMENT'!$AZ$8:$AZ$1000)/SUMPRODUCT(('ANALYSE - ERP =&gt; SOUS-SEGMENT'!$B$8:$B$1000=$B11)*'ANALYSE - ERP =&gt; SOUS-SEGMENT'!$Q$8:$Q$1000*'ANALYSE - ERP =&gt; SOUS-SEGMENT'!$AF$8:$AF$1000),""))</f>
        <v>8.0021843429418418</v>
      </c>
      <c r="BA11" s="947">
        <f>IF($B11="","",IFERROR(SUMPRODUCT(('ANALYSE - ERP =&gt; SOUS-SEGMENT'!$B$8:$B$1000=$B11)*'ANALYSE - ERP =&gt; SOUS-SEGMENT'!$Q$8:$Q$1000*'ANALYSE - ERP =&gt; SOUS-SEGMENT'!$AF$8:$AF$1000*'ANALYSE - ERP =&gt; SOUS-SEGMENT'!$BA$8:$BA$1000)/SUMPRODUCT(('ANALYSE - ERP =&gt; SOUS-SEGMENT'!$B$8:$B$1000=$B11)*'ANALYSE - ERP =&gt; SOUS-SEGMENT'!$Q$8:$Q$1000*'ANALYSE - ERP =&gt; SOUS-SEGMENT'!$AF$8:$AF$1000),""))</f>
        <v>0.20304637828139019</v>
      </c>
      <c r="BB11" s="947">
        <f>IF($B11="","",IFERROR(SUMPRODUCT(('ANALYSE - ERP =&gt; SOUS-SEGMENT'!$B$8:$B$1000=$B11)*'ANALYSE - ERP =&gt; SOUS-SEGMENT'!$Q$8:$Q$1000*'ANALYSE - ERP =&gt; SOUS-SEGMENT'!$AF$8:$AF$1000*'ANALYSE - ERP =&gt; SOUS-SEGMENT'!$BB$8:$BB$1000)/SUMPRODUCT(('ANALYSE - ERP =&gt; SOUS-SEGMENT'!$B$8:$B$1000=$B11)*'ANALYSE - ERP =&gt; SOUS-SEGMENT'!$Q$8:$Q$1000*'ANALYSE - ERP =&gt; SOUS-SEGMENT'!$AF$8:$AF$1000),""))</f>
        <v>1.5136813979794828</v>
      </c>
      <c r="BC11" s="947">
        <f>IF($B11="","",IFERROR(SUMPRODUCT(('ANALYSE - ERP =&gt; SOUS-SEGMENT'!$B$8:$B$1000=$B11)*'ANALYSE - ERP =&gt; SOUS-SEGMENT'!$Q$8:$Q$1000*'ANALYSE - ERP =&gt; SOUS-SEGMENT'!$AF$8:$AF$1000*'ANALYSE - ERP =&gt; SOUS-SEGMENT'!$BC$8:$BC$1000)/SUMPRODUCT(('ANALYSE - ERP =&gt; SOUS-SEGMENT'!$B$8:$B$1000=$B11)*'ANALYSE - ERP =&gt; SOUS-SEGMENT'!$Q$8:$Q$1000*'ANALYSE - ERP =&gt; SOUS-SEGMENT'!$AF$8:$AF$1000),""))</f>
        <v>6.6271502125833752</v>
      </c>
      <c r="BD11" s="826">
        <f t="shared" si="1"/>
        <v>838128</v>
      </c>
      <c r="BE11" s="283">
        <f>IF($B11="","",SUMPRODUCT(('ANALYSE - ERP =&gt; SOUS-SEGMENT'!$B$8:$B$1000=$B11)*'ANALYSE - ERP =&gt; SOUS-SEGMENT'!$Q$8:$Q$1000*'ANALYSE - ERP =&gt; SOUS-SEGMENT'!$BE$8:$BE$1000))</f>
        <v>410304</v>
      </c>
      <c r="BF11" s="283">
        <f>IF($B11="","",SUMPRODUCT(('ANALYSE - ERP =&gt; SOUS-SEGMENT'!$B$8:$B$1000=$B11)*'ANALYSE - ERP =&gt; SOUS-SEGMENT'!$Q$8:$Q$1000*'ANALYSE - ERP =&gt; SOUS-SEGMENT'!$BF$8:$BF$1000))</f>
        <v>10411</v>
      </c>
      <c r="BG11" s="283">
        <f>IF($B11="","",SUMPRODUCT(('ANALYSE - ERP =&gt; SOUS-SEGMENT'!$B$8:$B$1000=$B11)*'ANALYSE - ERP =&gt; SOUS-SEGMENT'!$Q$8:$Q$1000*'ANALYSE - ERP =&gt; SOUS-SEGMENT'!$BG$8:$BG$1000))</f>
        <v>77612.5</v>
      </c>
      <c r="BH11" s="283">
        <f>IF($B11="","",SUMPRODUCT(('ANALYSE - ERP =&gt; SOUS-SEGMENT'!$B$8:$B$1000=$B11)*'ANALYSE - ERP =&gt; SOUS-SEGMENT'!$Q$8:$Q$1000*'ANALYSE - ERP =&gt; SOUS-SEGMENT'!$BH$8:$BH$1000))</f>
        <v>339800.5</v>
      </c>
      <c r="BI11" s="826">
        <f t="shared" si="2"/>
        <v>853790.5</v>
      </c>
      <c r="BJ11" s="283">
        <f>IF($B11="","",SUMPRODUCT(('ANALYSE - ERP =&gt; SOUS-SEGMENT'!$B$8:$B$1000=$B11)*'ANALYSE - ERP =&gt; SOUS-SEGMENT'!$Q$8:$Q$1000*'ANALYSE - ERP =&gt; SOUS-SEGMENT'!$BJ$8:$BJ$1000))</f>
        <v>418251</v>
      </c>
      <c r="BK11" s="283">
        <f>IF($B11="","",SUMPRODUCT(('ANALYSE - ERP =&gt; SOUS-SEGMENT'!$B$8:$B$1000=$B11)*'ANALYSE - ERP =&gt; SOUS-SEGMENT'!$Q$8:$Q$1000*'ANALYSE - ERP =&gt; SOUS-SEGMENT'!$BK$8:$BK$1000))</f>
        <v>10740</v>
      </c>
      <c r="BL11" s="283">
        <f>IF($B11="","",SUMPRODUCT(('ANALYSE - ERP =&gt; SOUS-SEGMENT'!$B$8:$B$1000=$B11)*'ANALYSE - ERP =&gt; SOUS-SEGMENT'!$Q$8:$Q$1000*'ANALYSE - ERP =&gt; SOUS-SEGMENT'!$BL$8:$BL$1000))</f>
        <v>79044.5</v>
      </c>
      <c r="BM11" s="283">
        <f>IF($B11="","",SUMPRODUCT(('ANALYSE - ERP =&gt; SOUS-SEGMENT'!$B$8:$B$1000=$B11)*'ANALYSE - ERP =&gt; SOUS-SEGMENT'!$Q$8:$Q$1000*'ANALYSE - ERP =&gt; SOUS-SEGMENT'!$BM$8:$BM$1000))</f>
        <v>345755</v>
      </c>
      <c r="BN11" s="657"/>
      <c r="BO11" s="305">
        <f t="shared" si="3"/>
        <v>0.21711331110591173</v>
      </c>
      <c r="BP11" s="305">
        <f t="shared" si="4"/>
        <v>0.62015447083138353</v>
      </c>
      <c r="BQ11" s="305">
        <f t="shared" si="5"/>
        <v>0.11251774294181875</v>
      </c>
      <c r="BR11" s="581">
        <f t="shared" si="6"/>
        <v>5.0214475120885976E-2</v>
      </c>
      <c r="BS11" s="706">
        <f t="shared" si="7"/>
        <v>0.19175552479252889</v>
      </c>
      <c r="BT11" s="305">
        <f t="shared" si="8"/>
        <v>0.6224682307992091</v>
      </c>
      <c r="BU11" s="305">
        <f t="shared" si="9"/>
        <v>0.14312343544904854</v>
      </c>
      <c r="BV11" s="581">
        <f t="shared" si="10"/>
        <v>4.2652808959213494E-2</v>
      </c>
      <c r="BW11" s="713">
        <f t="shared" si="11"/>
        <v>0.40535251176640091</v>
      </c>
      <c r="BX11" s="306">
        <f t="shared" si="12"/>
        <v>0.49549995197387375</v>
      </c>
      <c r="BY11" s="590">
        <f t="shared" si="13"/>
        <v>9.9147536259725277E-2</v>
      </c>
      <c r="BZ11" s="713">
        <f t="shared" si="14"/>
        <v>0.35393621973929235</v>
      </c>
      <c r="CA11" s="306">
        <f t="shared" si="15"/>
        <v>0.51797625698324024</v>
      </c>
      <c r="CB11" s="590">
        <f t="shared" si="16"/>
        <v>0.12808752327746742</v>
      </c>
      <c r="CC11" s="706">
        <f t="shared" si="17"/>
        <v>8.671103237236269E-2</v>
      </c>
      <c r="CD11" s="305">
        <f t="shared" si="18"/>
        <v>0.5400782734739894</v>
      </c>
      <c r="CE11" s="305">
        <f t="shared" si="19"/>
        <v>0.15484258334675471</v>
      </c>
      <c r="CF11" s="581">
        <f t="shared" si="20"/>
        <v>0.21836811080689322</v>
      </c>
      <c r="CG11" s="706">
        <f t="shared" si="21"/>
        <v>6.6585530935106191E-2</v>
      </c>
      <c r="CH11" s="305">
        <f t="shared" si="22"/>
        <v>0.53982756548526467</v>
      </c>
      <c r="CI11" s="305">
        <f t="shared" si="23"/>
        <v>0.18524274301184776</v>
      </c>
      <c r="CJ11" s="581">
        <f t="shared" si="24"/>
        <v>0.20834416056778143</v>
      </c>
      <c r="CK11" s="719">
        <f t="shared" si="25"/>
        <v>0.45703736457127059</v>
      </c>
      <c r="CL11" s="307">
        <f t="shared" si="26"/>
        <v>0.39861609974087742</v>
      </c>
      <c r="CM11" s="723">
        <f t="shared" si="27"/>
        <v>0.14434653568785213</v>
      </c>
      <c r="CN11" s="719">
        <f t="shared" si="28"/>
        <v>0.36656282627872333</v>
      </c>
      <c r="CO11" s="307">
        <f t="shared" si="29"/>
        <v>0.43918531908432279</v>
      </c>
      <c r="CP11" s="723">
        <f t="shared" si="30"/>
        <v>0.19425185463695388</v>
      </c>
      <c r="CQ11" s="657"/>
      <c r="CR11" s="804">
        <f>IF($B11="","",IFERROR(SUMPRODUCT(('ANALYSE - ERP =&gt; SOUS-SEGMENT'!$B$8:$B$1000=$B11)*'ANALYSE - ERP =&gt; SOUS-SEGMENT'!$Q$8:$Q$1000*'ANALYSE - ERP =&gt; SOUS-SEGMENT'!$DH$8:$DH$1000*'ANALYSE - ERP =&gt; SOUS-SEGMENT'!$CR$8:$CR$1000)/SUMPRODUCT(('ANALYSE - ERP =&gt; SOUS-SEGMENT'!$B$8:$B$1000=$B11)*'ANALYSE - ERP =&gt; SOUS-SEGMENT'!$Q$8:$Q$1000*'ANALYSE - ERP =&gt; SOUS-SEGMENT'!$DH$8:$DH$1000),""))</f>
        <v>12.372957370059156</v>
      </c>
      <c r="CS11" s="805">
        <f>IF($B11="","",IFERROR(SUMPRODUCT(('ANALYSE - ERP =&gt; SOUS-SEGMENT'!$B$8:$B$1000=$B11)*'ANALYSE - ERP =&gt; SOUS-SEGMENT'!$Q$8:$Q$1000*'ANALYSE - ERP =&gt; SOUS-SEGMENT'!$DI$8:$DI$1000*'ANALYSE - ERP =&gt; SOUS-SEGMENT'!$CS$8:$CS$1000)/SUMPRODUCT(('ANALYSE - ERP =&gt; SOUS-SEGMENT'!$B$8:$B$1000=$B11)*'ANALYSE - ERP =&gt; SOUS-SEGMENT'!$Q$8:$Q$1000*'ANALYSE - ERP =&gt; SOUS-SEGMENT'!$DI$8:$DI$1000),""))</f>
        <v>12.996887426957697</v>
      </c>
      <c r="CT11" s="805">
        <f>IF($B11="","",IFERROR(SUMPRODUCT(('ANALYSE - ERP =&gt; SOUS-SEGMENT'!$B$8:$B$1000=$B11)*'ANALYSE - ERP =&gt; SOUS-SEGMENT'!$Q$8:$Q$1000*'ANALYSE - ERP =&gt; SOUS-SEGMENT'!$DJ$8:$DJ$1000*'ANALYSE - ERP =&gt; SOUS-SEGMENT'!$CT$8:$CT$1000)/SUMPRODUCT(('ANALYSE - ERP =&gt; SOUS-SEGMENT'!$B$8:$B$1000=$B11)*'ANALYSE - ERP =&gt; SOUS-SEGMENT'!$Q$8:$Q$1000*'ANALYSE - ERP =&gt; SOUS-SEGMENT'!$DJ$8:$DJ$1000),""))</f>
        <v>9.6130205291804778</v>
      </c>
      <c r="CU11" s="806">
        <f>IF($B11="","",IFERROR(SUMPRODUCT(('ANALYSE - ERP =&gt; SOUS-SEGMENT'!$B$8:$B$1000=$B11)*'ANALYSE - ERP =&gt; SOUS-SEGMENT'!$Q$8:$Q$1000*'ANALYSE - ERP =&gt; SOUS-SEGMENT'!$DK$8:$DK$1000*'ANALYSE - ERP =&gt; SOUS-SEGMENT'!$CU$8:$CU$1000)/SUMPRODUCT(('ANALYSE - ERP =&gt; SOUS-SEGMENT'!$B$8:$B$1000=$B11)*'ANALYSE - ERP =&gt; SOUS-SEGMENT'!$Q$8:$Q$1000*'ANALYSE - ERP =&gt; SOUS-SEGMENT'!$DK$8:$DK$1000),""))</f>
        <v>11.452109381067018</v>
      </c>
      <c r="CV11" s="804">
        <f>IF($B11="","",IFERROR(SUMPRODUCT(('ANALYSE - ERP =&gt; SOUS-SEGMENT'!$B$8:$B$1000=$B11)*'ANALYSE - ERP =&gt; SOUS-SEGMENT'!$Q$8:$Q$1000*'ANALYSE - ERP =&gt; SOUS-SEGMENT'!$DS$8:$DS$1000*'ANALYSE - ERP =&gt; SOUS-SEGMENT'!$CV$8:$CV$1000)/SUMPRODUCT(('ANALYSE - ERP =&gt; SOUS-SEGMENT'!$B$8:$B$1000=$B11)*'ANALYSE - ERP =&gt; SOUS-SEGMENT'!$Q$8:$Q$1000*'ANALYSE - ERP =&gt; SOUS-SEGMENT'!$DS$8:$DS$1000),""))</f>
        <v>11.99416486478481</v>
      </c>
      <c r="CW11" s="805">
        <f>IF($B11="","",IFERROR(SUMPRODUCT(('ANALYSE - ERP =&gt; SOUS-SEGMENT'!$B$8:$B$1000=$B11)*'ANALYSE - ERP =&gt; SOUS-SEGMENT'!$Q$8:$Q$1000*'ANALYSE - ERP =&gt; SOUS-SEGMENT'!$DT$8:$DT$1000*'ANALYSE - ERP =&gt; SOUS-SEGMENT'!$CW$8:$CW$1000)/SUMPRODUCT(('ANALYSE - ERP =&gt; SOUS-SEGMENT'!$B$8:$B$1000=$B11)*'ANALYSE - ERP =&gt; SOUS-SEGMENT'!$Q$8:$Q$1000*'ANALYSE - ERP =&gt; SOUS-SEGMENT'!$DT$8:$DT$1000),""))</f>
        <v>11.513680904887908</v>
      </c>
      <c r="CX11" s="806">
        <f>IF($B11="","",IFERROR(SUMPRODUCT(('ANALYSE - ERP =&gt; SOUS-SEGMENT'!$B$8:$B$1000=$B11)*'ANALYSE - ERP =&gt; SOUS-SEGMENT'!$Q$8:$Q$1000*'ANALYSE - ERP =&gt; SOUS-SEGMENT'!$DU$8:$DU$1000*'ANALYSE - ERP =&gt; SOUS-SEGMENT'!$CX$8:$CX$1000)/SUMPRODUCT(('ANALYSE - ERP =&gt; SOUS-SEGMENT'!$B$8:$B$1000=$B11)*'ANALYSE - ERP =&gt; SOUS-SEGMENT'!$Q$8:$Q$1000*'ANALYSE - ERP =&gt; SOUS-SEGMENT'!$DU$8:$DU$1000),""))</f>
        <v>8.5225120492140771</v>
      </c>
      <c r="CY11" s="804">
        <f>IF($B11="","",IFERROR(SUMPRODUCT(('ANALYSE - ERP =&gt; SOUS-SEGMENT'!$B$8:$B$1000=$B11)*'ANALYSE - ERP =&gt; SOUS-SEGMENT'!$Q$8:$Q$1000*'ANALYSE - ERP =&gt; SOUS-SEGMENT'!$EB$8:$EB$1000*'ANALYSE - ERP =&gt; SOUS-SEGMENT'!$CY$8:$CY$1000)/SUMPRODUCT(('ANALYSE - ERP =&gt; SOUS-SEGMENT'!$B$8:$B$1000=$B11)*'ANALYSE - ERP =&gt; SOUS-SEGMENT'!$Q$8:$Q$1000*'ANALYSE - ERP =&gt; SOUS-SEGMENT'!$EB$8:$EB$1000),""))</f>
        <v>10.547660723997231</v>
      </c>
      <c r="CZ11" s="805">
        <f>IF($B11="","",IFERROR(SUMPRODUCT(('ANALYSE - ERP =&gt; SOUS-SEGMENT'!$B$8:$B$1000=$B11)*'ANALYSE - ERP =&gt; SOUS-SEGMENT'!$Q$8:$Q$1000*'ANALYSE - ERP =&gt; SOUS-SEGMENT'!$EC$8:$EC$1000*'ANALYSE - ERP =&gt; SOUS-SEGMENT'!$CZ$8:$CZ$1000)/SUMPRODUCT(('ANALYSE - ERP =&gt; SOUS-SEGMENT'!$B$8:$B$1000=$B11)*'ANALYSE - ERP =&gt; SOUS-SEGMENT'!$Q$8:$Q$1000*'ANALYSE - ERP =&gt; SOUS-SEGMENT'!$EC$8:$EC$1000),""))</f>
        <v>12.502003670363868</v>
      </c>
      <c r="DA11" s="805">
        <f>IF($B11="","",IFERROR(SUMPRODUCT(('ANALYSE - ERP =&gt; SOUS-SEGMENT'!$B$8:$B$1000=$B11)*'ANALYSE - ERP =&gt; SOUS-SEGMENT'!$Q$8:$Q$1000*'ANALYSE - ERP =&gt; SOUS-SEGMENT'!$ED$8:$ED$1000*'ANALYSE - ERP =&gt; SOUS-SEGMENT'!$DA$8:$DA$1000)/SUMPRODUCT(('ANALYSE - ERP =&gt; SOUS-SEGMENT'!$B$8:$B$1000=$B11)*'ANALYSE - ERP =&gt; SOUS-SEGMENT'!$Q$8:$Q$1000*'ANALYSE - ERP =&gt; SOUS-SEGMENT'!$ED$8:$ED$1000),""))</f>
        <v>8.6248439803889578</v>
      </c>
      <c r="DB11" s="806">
        <f>IF($B11="","",IFERROR(SUMPRODUCT(('ANALYSE - ERP =&gt; SOUS-SEGMENT'!$B$8:$B$1000=$B11)*'ANALYSE - ERP =&gt; SOUS-SEGMENT'!$Q$8:$Q$1000*'ANALYSE - ERP =&gt; SOUS-SEGMENT'!$EE$8:$EE$1000*'ANALYSE - ERP =&gt; SOUS-SEGMENT'!$DB$8:$DB$1000)/SUMPRODUCT(('ANALYSE - ERP =&gt; SOUS-SEGMENT'!$B$8:$B$1000=$B11)*'ANALYSE - ERP =&gt; SOUS-SEGMENT'!$Q$8:$Q$1000*'ANALYSE - ERP =&gt; SOUS-SEGMENT'!$EE$8:$EE$1000),""))</f>
        <v>10.440032935855033</v>
      </c>
      <c r="DC11" s="804">
        <f>IF($B11="","",IFERROR(SUMPRODUCT(('ANALYSE - ERP =&gt; SOUS-SEGMENT'!$B$8:$B$1000=$B11)*'ANALYSE - ERP =&gt; SOUS-SEGMENT'!$Q$8:$Q$1000*'ANALYSE - ERP =&gt; SOUS-SEGMENT'!$EM$8:$EM$1000*'ANALYSE - ERP =&gt; SOUS-SEGMENT'!$DC$8:$DC$1000)/SUMPRODUCT(('ANALYSE - ERP =&gt; SOUS-SEGMENT'!$B$8:$B$1000=$B11)*'ANALYSE - ERP =&gt; SOUS-SEGMENT'!$Q$8:$Q$1000*'ANALYSE - ERP =&gt; SOUS-SEGMENT'!$EM$8:$EM$1000),""))</f>
        <v>12.49948044618364</v>
      </c>
      <c r="DD11" s="805">
        <f>IF($B11="","",IFERROR(SUMPRODUCT(('ANALYSE - ERP =&gt; SOUS-SEGMENT'!$B$8:$B$1000=$B11)*'ANALYSE - ERP =&gt; SOUS-SEGMENT'!$Q$8:$Q$1000*'ANALYSE - ERP =&gt; SOUS-SEGMENT'!$EN$8:$EN$1000*'ANALYSE - ERP =&gt; SOUS-SEGMENT'!$DD$8:$DD$1000)/SUMPRODUCT(('ANALYSE - ERP =&gt; SOUS-SEGMENT'!$B$8:$B$1000=$B11)*'ANALYSE - ERP =&gt; SOUS-SEGMENT'!$Q$8:$Q$1000*'ANALYSE - ERP =&gt; SOUS-SEGMENT'!$EN$8:$EN$1000),""))</f>
        <v>12.997563675734098</v>
      </c>
      <c r="DE11" s="806">
        <f>IF($B11="","",IFERROR(SUMPRODUCT(('ANALYSE - ERP =&gt; SOUS-SEGMENT'!$B$8:$B$1000=$B11)*'ANALYSE - ERP =&gt; SOUS-SEGMENT'!$Q$8:$Q$1000*'ANALYSE - ERP =&gt; SOUS-SEGMENT'!$EO$8:$EO$1000*'ANALYSE - ERP =&gt; SOUS-SEGMENT'!$DE$8:$DE$1000)/SUMPRODUCT(('ANALYSE - ERP =&gt; SOUS-SEGMENT'!$B$8:$B$1000=$B11)*'ANALYSE - ERP =&gt; SOUS-SEGMENT'!$Q$8:$Q$1000*'ANALYSE - ERP =&gt; SOUS-SEGMENT'!$EO$8:$EO$1000),""))</f>
        <v>9.465738105905265</v>
      </c>
      <c r="DF11" s="919" t="s">
        <v>6429</v>
      </c>
      <c r="DG11" s="657"/>
      <c r="DH11" s="308">
        <f>IF($B11="","",SUMPRODUCT(('ANALYSE - ERP =&gt; SOUS-SEGMENT'!$B$8:$B$1000=$B11)*'ANALYSE - ERP =&gt; SOUS-SEGMENT'!$Q$8:$Q$1000*'ANALYSE - ERP =&gt; SOUS-SEGMENT'!$DH$8:$DH$1000))</f>
        <v>89082.46</v>
      </c>
      <c r="DI11" s="308">
        <f>IF($B11="","",SUMPRODUCT(('ANALYSE - ERP =&gt; SOUS-SEGMENT'!$B$8:$B$1000=$B11)*'ANALYSE - ERP =&gt; SOUS-SEGMENT'!$Q$8:$Q$1000*'ANALYSE - ERP =&gt; SOUS-SEGMENT'!$DI$8:$DI$1000))</f>
        <v>254451.86</v>
      </c>
      <c r="DJ11" s="308">
        <f>IF($B11="","",SUMPRODUCT(('ANALYSE - ERP =&gt; SOUS-SEGMENT'!$B$8:$B$1000=$B11)*'ANALYSE - ERP =&gt; SOUS-SEGMENT'!$Q$8:$Q$1000*'ANALYSE - ERP =&gt; SOUS-SEGMENT'!$DJ$8:$DJ$1000))</f>
        <v>46166.48</v>
      </c>
      <c r="DK11" s="308">
        <f>IF($B11="","",SUMPRODUCT(('ANALYSE - ERP =&gt; SOUS-SEGMENT'!$B$8:$B$1000=$B11)*'ANALYSE - ERP =&gt; SOUS-SEGMENT'!$Q$8:$Q$1000*'ANALYSE - ERP =&gt; SOUS-SEGMENT'!$DK$8:$DK$1000))</f>
        <v>20603.2</v>
      </c>
      <c r="DL11" s="646" t="s">
        <v>6430</v>
      </c>
      <c r="DM11" s="308">
        <f>IF($B11="","",SUMPRODUCT(('ANALYSE - ERP =&gt; SOUS-SEGMENT'!$B$8:$B$1000=$B11)*'ANALYSE - ERP =&gt; SOUS-SEGMENT'!$Q$8:$Q$1000*'ANALYSE - ERP =&gt; SOUS-SEGMENT'!$DM$8:$DM$1000))</f>
        <v>80201.94</v>
      </c>
      <c r="DN11" s="308">
        <f>IF($B11="","",SUMPRODUCT(('ANALYSE - ERP =&gt; SOUS-SEGMENT'!$B$8:$B$1000=$B11)*'ANALYSE - ERP =&gt; SOUS-SEGMENT'!$Q$8:$Q$1000*'ANALYSE - ERP =&gt; SOUS-SEGMENT'!$DN$8:$DN$1000))</f>
        <v>260347.96</v>
      </c>
      <c r="DO11" s="308">
        <f>IF($B11="","",SUMPRODUCT(('ANALYSE - ERP =&gt; SOUS-SEGMENT'!$B$8:$B$1000=$B11)*'ANALYSE - ERP =&gt; SOUS-SEGMENT'!$Q$8:$Q$1000*'ANALYSE - ERP =&gt; SOUS-SEGMENT'!$DO$8:$DO$1000))</f>
        <v>59861.52</v>
      </c>
      <c r="DP11" s="308">
        <f>IF($B11="","",SUMPRODUCT(('ANALYSE - ERP =&gt; SOUS-SEGMENT'!$B$8:$B$1000=$B11)*'ANALYSE - ERP =&gt; SOUS-SEGMENT'!$Q$8:$Q$1000*'ANALYSE - ERP =&gt; SOUS-SEGMENT'!$DP$8:$DP$1000))</f>
        <v>17839.580000000002</v>
      </c>
      <c r="DQ11" s="646" t="s">
        <v>6431</v>
      </c>
      <c r="DR11" s="657"/>
      <c r="DS11" s="308">
        <f>IF($B11="","",SUMPRODUCT(('ANALYSE - ERP =&gt; SOUS-SEGMENT'!$B$8:$B$1000=$B11)*'ANALYSE - ERP =&gt; SOUS-SEGMENT'!$Q$8:$Q$1000*'ANALYSE - ERP =&gt; SOUS-SEGMENT'!$DS$8:$DS$1000))</f>
        <v>4220.125</v>
      </c>
      <c r="DT11" s="308">
        <f>IF($B11="","",SUMPRODUCT(('ANALYSE - ERP =&gt; SOUS-SEGMENT'!$B$8:$B$1000=$B11)*'ANALYSE - ERP =&gt; SOUS-SEGMENT'!$Q$8:$Q$1000*'ANALYSE - ERP =&gt; SOUS-SEGMENT'!$DT$8:$DT$1000))</f>
        <v>5158.6499999999996</v>
      </c>
      <c r="DU11" s="308">
        <f>IF($B11="","",SUMPRODUCT(('ANALYSE - ERP =&gt; SOUS-SEGMENT'!$B$8:$B$1000=$B11)*'ANALYSE - ERP =&gt; SOUS-SEGMENT'!$Q$8:$Q$1000*'ANALYSE - ERP =&gt; SOUS-SEGMENT'!$DU$8:$DU$1000))</f>
        <v>1032.2249999999999</v>
      </c>
      <c r="DV11" s="646" t="s">
        <v>6432</v>
      </c>
      <c r="DW11" s="308">
        <f>IF($B11="","",SUMPRODUCT(('ANALYSE - ERP =&gt; SOUS-SEGMENT'!$B$8:$B$1000=$B11)*'ANALYSE - ERP =&gt; SOUS-SEGMENT'!$Q$8:$Q$1000*'ANALYSE - ERP =&gt; SOUS-SEGMENT'!$DW$8:$DW$1000))</f>
        <v>3801.2750000000001</v>
      </c>
      <c r="DX11" s="308">
        <f>IF($B11="","",SUMPRODUCT(('ANALYSE - ERP =&gt; SOUS-SEGMENT'!$B$8:$B$1000=$B11)*'ANALYSE - ERP =&gt; SOUS-SEGMENT'!$Q$8:$Q$1000*'ANALYSE - ERP =&gt; SOUS-SEGMENT'!$DX$8:$DX$1000))</f>
        <v>5563.0650000000005</v>
      </c>
      <c r="DY11" s="308">
        <f>IF($B11="","",SUMPRODUCT(('ANALYSE - ERP =&gt; SOUS-SEGMENT'!$B$8:$B$1000=$B11)*'ANALYSE - ERP =&gt; SOUS-SEGMENT'!$Q$8:$Q$1000*'ANALYSE - ERP =&gt; SOUS-SEGMENT'!$DY$8:$DY$1000))</f>
        <v>1375.66</v>
      </c>
      <c r="DZ11" s="646" t="s">
        <v>6433</v>
      </c>
      <c r="EA11" s="657"/>
      <c r="EB11" s="308">
        <f>IF($B11="","",SUMPRODUCT(('ANALYSE - ERP =&gt; SOUS-SEGMENT'!$B$8:$B$1000=$B11)*'ANALYSE - ERP =&gt; SOUS-SEGMENT'!$Q$8:$Q$1000*'ANALYSE - ERP =&gt; SOUS-SEGMENT'!$EB$8:$EB$1000))</f>
        <v>6729.86</v>
      </c>
      <c r="EC11" s="308">
        <f>IF($B11="","",SUMPRODUCT(('ANALYSE - ERP =&gt; SOUS-SEGMENT'!$B$8:$B$1000=$B11)*'ANALYSE - ERP =&gt; SOUS-SEGMENT'!$Q$8:$Q$1000*'ANALYSE - ERP =&gt; SOUS-SEGMENT'!$EC$8:$EC$1000))</f>
        <v>41916.825000000004</v>
      </c>
      <c r="ED11" s="308">
        <f>IF($B11="","",SUMPRODUCT(('ANALYSE - ERP =&gt; SOUS-SEGMENT'!$B$8:$B$1000=$B11)*'ANALYSE - ERP =&gt; SOUS-SEGMENT'!$Q$8:$Q$1000*'ANALYSE - ERP =&gt; SOUS-SEGMENT'!$ED$8:$ED$1000))</f>
        <v>12017.720000000001</v>
      </c>
      <c r="EE11" s="308">
        <f>IF($B11="","",SUMPRODUCT(('ANALYSE - ERP =&gt; SOUS-SEGMENT'!$B$8:$B$1000=$B11)*'ANALYSE - ERP =&gt; SOUS-SEGMENT'!$Q$8:$Q$1000*'ANALYSE - ERP =&gt; SOUS-SEGMENT'!$EE$8:$EE$1000))</f>
        <v>16948.095000000001</v>
      </c>
      <c r="EF11" s="646" t="s">
        <v>6434</v>
      </c>
      <c r="EG11" s="308">
        <f>IF($B11="","",SUMPRODUCT(('ANALYSE - ERP =&gt; SOUS-SEGMENT'!$B$8:$B$1000=$B11)*'ANALYSE - ERP =&gt; SOUS-SEGMENT'!$Q$8:$Q$1000*'ANALYSE - ERP =&gt; SOUS-SEGMENT'!$EG$8:$EG$1000))</f>
        <v>5263.2200000000012</v>
      </c>
      <c r="EH11" s="308">
        <f>IF($B11="","",SUMPRODUCT(('ANALYSE - ERP =&gt; SOUS-SEGMENT'!$B$8:$B$1000=$B11)*'ANALYSE - ERP =&gt; SOUS-SEGMENT'!$Q$8:$Q$1000*'ANALYSE - ERP =&gt; SOUS-SEGMENT'!$EH$8:$EH$1000))</f>
        <v>42670.400000000001</v>
      </c>
      <c r="EI11" s="308">
        <f>IF($B11="","",SUMPRODUCT(('ANALYSE - ERP =&gt; SOUS-SEGMENT'!$B$8:$B$1000=$B11)*'ANALYSE - ERP =&gt; SOUS-SEGMENT'!$Q$8:$Q$1000*'ANALYSE - ERP =&gt; SOUS-SEGMENT'!$EI$8:$EI$1000))</f>
        <v>14642.42</v>
      </c>
      <c r="EJ11" s="308">
        <f>IF($B11="","",SUMPRODUCT(('ANALYSE - ERP =&gt; SOUS-SEGMENT'!$B$8:$B$1000=$B11)*'ANALYSE - ERP =&gt; SOUS-SEGMENT'!$Q$8:$Q$1000*'ANALYSE - ERP =&gt; SOUS-SEGMENT'!$EJ$8:$EJ$1000))</f>
        <v>16468.46</v>
      </c>
      <c r="EK11" s="936" t="s">
        <v>6435</v>
      </c>
      <c r="EL11" s="657"/>
      <c r="EM11" s="308">
        <f>IF($B11="","",SUMPRODUCT(('ANALYSE - ERP =&gt; SOUS-SEGMENT'!$B$8:$B$1000=$B11)*'ANALYSE - ERP =&gt; SOUS-SEGMENT'!$Q$8:$Q$1000*'ANALYSE - ERP =&gt; SOUS-SEGMENT'!$EM$8:$EM$1000))</f>
        <v>155301.52500000002</v>
      </c>
      <c r="EN11" s="310">
        <f>IF($B11="","",SUMPRODUCT(('ANALYSE - ERP =&gt; SOUS-SEGMENT'!$B$8:$B$1000=$B11)*'ANALYSE - ERP =&gt; SOUS-SEGMENT'!$Q$8:$Q$1000*'ANALYSE - ERP =&gt; SOUS-SEGMENT'!$EN$8:$EN$1000))</f>
        <v>135449.95000000001</v>
      </c>
      <c r="EO11" s="310">
        <f>IF($B11="","",SUMPRODUCT(('ANALYSE - ERP =&gt; SOUS-SEGMENT'!$B$8:$B$1000=$B11)*'ANALYSE - ERP =&gt; SOUS-SEGMENT'!$Q$8:$Q$1000*'ANALYSE - ERP =&gt; SOUS-SEGMENT'!$EO$8:$EO$1000))</f>
        <v>49049.025000000001</v>
      </c>
      <c r="EP11" s="646" t="s">
        <v>6436</v>
      </c>
      <c r="EQ11" s="308">
        <f>IF($B11="","",SUMPRODUCT(('ANALYSE - ERP =&gt; SOUS-SEGMENT'!$B$8:$B$1000=$B11)*'ANALYSE - ERP =&gt; SOUS-SEGMENT'!$Q$8:$Q$1000*'ANALYSE - ERP =&gt; SOUS-SEGMENT'!$EQ$8:$EQ$1000))</f>
        <v>126740.93</v>
      </c>
      <c r="ER11" s="310">
        <f>IF($B11="","",SUMPRODUCT(('ANALYSE - ERP =&gt; SOUS-SEGMENT'!$B$8:$B$1000=$B11)*'ANALYSE - ERP =&gt; SOUS-SEGMENT'!$Q$8:$Q$1000*'ANALYSE - ERP =&gt; SOUS-SEGMENT'!$ER$8:$ER$1000))</f>
        <v>151850.52000000002</v>
      </c>
      <c r="ES11" s="310">
        <f>IF($B11="","",SUMPRODUCT(('ANALYSE - ERP =&gt; SOUS-SEGMENT'!$B$8:$B$1000=$B11)*'ANALYSE - ERP =&gt; SOUS-SEGMENT'!$Q$8:$Q$1000*'ANALYSE - ERP =&gt; SOUS-SEGMENT'!$ES$8:$ES$1000))</f>
        <v>67163.549999999988</v>
      </c>
      <c r="ET11" s="646" t="s">
        <v>6437</v>
      </c>
      <c r="EU11" s="657"/>
      <c r="EV11" s="728">
        <f t="shared" si="31"/>
        <v>0.80824216586421305</v>
      </c>
      <c r="EW11" s="728">
        <f t="shared" si="32"/>
        <v>0.19175783413578698</v>
      </c>
      <c r="EX11" s="311">
        <f t="shared" si="33"/>
        <v>329455.63900802197</v>
      </c>
      <c r="EY11" s="311">
        <f t="shared" si="34"/>
        <v>266279.93922802201</v>
      </c>
      <c r="EZ11" s="311">
        <f t="shared" si="35"/>
        <v>63175.699779999988</v>
      </c>
      <c r="FA11" s="311">
        <f t="shared" si="36"/>
        <v>158340.89964688607</v>
      </c>
      <c r="FB11" s="311">
        <f>IF($B11="","",SUMPRODUCT(('ANALYSE - ERP =&gt; SOUS-SEGMENT'!$B$8:$B$1000=$B11)*'ANALYSE - ERP =&gt; SOUS-SEGMENT'!$Q$8:$Q$1000*'ANALYSE - ERP =&gt; SOUS-SEGMENT'!$FB$8:$FB$1000))</f>
        <v>127387.24768688607</v>
      </c>
      <c r="FC11" s="311">
        <f>IF($B11="","",SUMPRODUCT(('ANALYSE - ERP =&gt; SOUS-SEGMENT'!$B$8:$B$1000=$B11)*'ANALYSE - ERP =&gt; SOUS-SEGMENT'!$Q$8:$Q$1000*'ANALYSE - ERP =&gt; SOUS-SEGMENT'!$FC$8:$FC$1000))</f>
        <v>30953.651959999996</v>
      </c>
      <c r="FD11" s="311">
        <f t="shared" si="37"/>
        <v>4337.2628637433181</v>
      </c>
      <c r="FE11" s="311">
        <f>IF($B11="","",SUMPRODUCT(('ANALYSE - ERP =&gt; SOUS-SEGMENT'!$B$8:$B$1000=$B11)*'ANALYSE - ERP =&gt; SOUS-SEGMENT'!$Q$8:$Q$1000*'ANALYSE - ERP =&gt; SOUS-SEGMENT'!$FE$8:$FE$1000))</f>
        <v>3453.9769637433178</v>
      </c>
      <c r="FF11" s="311">
        <f>IF($B11="","",SUMPRODUCT(('ANALYSE - ERP =&gt; SOUS-SEGMENT'!$B$8:$B$1000=$B11)*'ANALYSE - ERP =&gt; SOUS-SEGMENT'!$Q$8:$Q$1000*'ANALYSE - ERP =&gt; SOUS-SEGMENT'!$FF$8:$FF$1000))</f>
        <v>883.28590000000008</v>
      </c>
      <c r="FG11" s="311">
        <f t="shared" si="38"/>
        <v>33103.240051275774</v>
      </c>
      <c r="FH11" s="311">
        <f>IF($B11="","",SUMPRODUCT(('ANALYSE - ERP =&gt; SOUS-SEGMENT'!$B$8:$B$1000=$B11)*'ANALYSE - ERP =&gt; SOUS-SEGMENT'!$Q$8:$Q$1000*'ANALYSE - ERP =&gt; SOUS-SEGMENT'!$FH$8:$FH$1000))</f>
        <v>27180.776121275776</v>
      </c>
      <c r="FI11" s="311">
        <f>IF($B11="","",SUMPRODUCT(('ANALYSE - ERP =&gt; SOUS-SEGMENT'!$B$8:$B$1000=$B11)*'ANALYSE - ERP =&gt; SOUS-SEGMENT'!$Q$8:$Q$1000*'ANALYSE - ERP =&gt; SOUS-SEGMENT'!$FI$8:$FI$1000))</f>
        <v>5922.4639299999981</v>
      </c>
      <c r="FJ11" s="311">
        <f t="shared" si="39"/>
        <v>133674.23644611679</v>
      </c>
      <c r="FK11" s="311">
        <f>IF($B11="","",SUMPRODUCT(('ANALYSE - ERP =&gt; SOUS-SEGMENT'!$B$8:$B$1000=$B11)*'ANALYSE - ERP =&gt; SOUS-SEGMENT'!$Q$8:$Q$1000*'ANALYSE - ERP =&gt; SOUS-SEGMENT'!$FK$8:$FK$1000))</f>
        <v>108257.9384561168</v>
      </c>
      <c r="FL11" s="311">
        <f>IF($B11="","",SUMPRODUCT(('ANALYSE - ERP =&gt; SOUS-SEGMENT'!$B$8:$B$1000=$B11)*'ANALYSE - ERP =&gt; SOUS-SEGMENT'!$Q$8:$Q$1000*'ANALYSE - ERP =&gt; SOUS-SEGMENT'!$FL$8:$FL$1000))</f>
        <v>25416.297989999999</v>
      </c>
      <c r="FM11" s="657"/>
      <c r="FN11" s="954" t="s">
        <v>2649</v>
      </c>
      <c r="FO11" s="728">
        <f>IF($B11="","",IFERROR(SUMPRODUCT(('ANALYSE - ERP =&gt; SOUS-SEGMENT'!$B$8:$B$1000=$B11)*'ANALYSE - ERP =&gt; SOUS-SEGMENT'!$Q$8:$Q$1000*'ANALYSE - ERP =&gt; SOUS-SEGMENT'!$AF$8:$AF$1000*'ANALYSE - ERP =&gt; SOUS-SEGMENT'!$FO$8:$FO$1000)/SUMPRODUCT(('ANALYSE - ERP =&gt; SOUS-SEGMENT'!$B$8:$B$1000=$B11)*'ANALYSE - ERP =&gt; SOUS-SEGMENT'!$Q$8:$Q$1000*'ANALYSE - ERP =&gt; SOUS-SEGMENT'!$AF$8:$AF$1000),""))</f>
        <v>5.4625075866911108E-2</v>
      </c>
      <c r="FP11" s="729">
        <f>IF($B11="","",IFERROR(SUMPRODUCT(('ANALYSE - ERP =&gt; SOUS-SEGMENT'!$B$8:$B$1000=$B11)*'ANALYSE - ERP =&gt; SOUS-SEGMENT'!$Q$8:$Q$1000*'ANALYSE - ERP =&gt; SOUS-SEGMENT'!$AF$8:$AF$1000*'ANALYSE - ERP =&gt; SOUS-SEGMENT'!$FP$8:$FP$1000)/SUMPRODUCT(('ANALYSE - ERP =&gt; SOUS-SEGMENT'!$B$8:$B$1000=$B11)*'ANALYSE - ERP =&gt; SOUS-SEGMENT'!$Q$8:$Q$1000*'ANALYSE - ERP =&gt; SOUS-SEGMENT'!$AF$8:$AF$1000),""))</f>
        <v>0.80049464406911874</v>
      </c>
      <c r="FQ11" s="954" t="s">
        <v>6438</v>
      </c>
      <c r="FR11" s="657"/>
      <c r="FS11" s="865">
        <f>IF($B11="","",IFERROR(SUMPRODUCT(('ANALYSE - ERP =&gt; SOUS-SEGMENT'!$B$8:$B$1000=$B11)*'ANALYSE - ERP =&gt; SOUS-SEGMENT'!$Q$8:$Q$1000*'ANALYSE - ERP =&gt; SOUS-SEGMENT'!$EX$8:$EX$1000*'ANALYSE - ERP =&gt; SOUS-SEGMENT'!$FS$8:$FS$1000)/SUMPRODUCT(('ANALYSE - ERP =&gt; SOUS-SEGMENT'!$B$8:$B$1000=$B11)*'ANALYSE - ERP =&gt; SOUS-SEGMENT'!$Q$8:$Q$1000*'ANALYSE - ERP =&gt; SOUS-SEGMENT'!$EX$8:$EX$1000),""))</f>
        <v>3.0315405601664827</v>
      </c>
      <c r="FT11" s="312">
        <f>IF($B11="","",RANK($FS11,$FS$8:$FS$20,0)+COUNTIF($FS$8:$FS11,$FS11)-1)</f>
        <v>11</v>
      </c>
      <c r="FU11" s="865">
        <f>IF($B11="","",IFERROR(SUMPRODUCT(('ANALYSE - ERP =&gt; SOUS-SEGMENT'!$B$8:$B$1000=$B11)*'ANALYSE - ERP =&gt; SOUS-SEGMENT'!$Q$8:$Q$1000*'ANALYSE - ERP =&gt; SOUS-SEGMENT'!$EY$8:$EY$1000*'ANALYSE - ERP =&gt; SOUS-SEGMENT'!$FU$8:$FU$1000)/SUMPRODUCT(('ANALYSE - ERP =&gt; SOUS-SEGMENT'!$B$8:$B$1000=$B11)*'ANALYSE - ERP =&gt; SOUS-SEGMENT'!$Q$8:$Q$1000*'ANALYSE - ERP =&gt; SOUS-SEGMENT'!$EY$8:$EY$1000),""))</f>
        <v>3.7586903984106348</v>
      </c>
      <c r="FV11" s="312">
        <f>IF($B11="","",RANK($FU11,$FU$8:$FU$20,0)+COUNTIF($FU$8:$FU11,$FU11)-1)</f>
        <v>11</v>
      </c>
      <c r="FW11" s="865">
        <f>IF($B11="","",IFERROR(SUMPRODUCT(('ANALYSE - ERP =&gt; SOUS-SEGMENT'!$B$8:$B$1000=$B11)*'ANALYSE - ERP =&gt; SOUS-SEGMENT'!$Q$8:$Q$1000*'ANALYSE - ERP =&gt; SOUS-SEGMENT'!$EZ$8:$EZ$1000*'ANALYSE - ERP =&gt; SOUS-SEGMENT'!$FW$8:$FW$1000)/SUMPRODUCT(('ANALYSE - ERP =&gt; SOUS-SEGMENT'!$B$8:$B$1000=$B11)*'ANALYSE - ERP =&gt; SOUS-SEGMENT'!$Q$8:$Q$1000*'ANALYSE - ERP =&gt; SOUS-SEGMENT'!$EZ$8:$EZ$1000),""))</f>
        <v>1.9910896281361297</v>
      </c>
      <c r="FX11" s="312">
        <f>IF($B11="","",RANK($FW11,$FW$8:$FW$20,0)+COUNTIF($FW$8:$FW11,$FW11)-1)</f>
        <v>11</v>
      </c>
      <c r="FY11" s="657"/>
      <c r="FZ11" s="646" t="s">
        <v>6439</v>
      </c>
      <c r="GA11" s="646" t="s">
        <v>6440</v>
      </c>
      <c r="GB11" s="646" t="s">
        <v>6441</v>
      </c>
      <c r="GC11" s="646" t="s">
        <v>6442</v>
      </c>
      <c r="GD11" s="646" t="s">
        <v>6443</v>
      </c>
      <c r="GE11" s="646" t="s">
        <v>6444</v>
      </c>
      <c r="GF11" s="276" t="s">
        <v>6445</v>
      </c>
      <c r="GG11" s="657"/>
      <c r="GH11" s="311">
        <f t="shared" si="40"/>
        <v>33075.270658178204</v>
      </c>
      <c r="GI11" s="311">
        <f>IF($B11="","",SUMPRODUCT(('ANALYSE - ERP =&gt; SOUS-SEGMENT'!$B$8:$B$1000=$B11)*'ANALYSE - ERP =&gt; SOUS-SEGMENT'!$Q$8:$Q$1000*'ANALYSE - ERP =&gt; SOUS-SEGMENT'!$GI$8:$GI$1000))</f>
        <v>27266.891870178206</v>
      </c>
      <c r="GJ11" s="311">
        <f>IF($B11="","",SUMPRODUCT(('ANALYSE - ERP =&gt; SOUS-SEGMENT'!$B$8:$B$1000=$B11)*'ANALYSE - ERP =&gt; SOUS-SEGMENT'!$Q$8:$Q$1000*'ANALYSE - ERP =&gt; SOUS-SEGMENT'!$GJ$8:$GJ$1000))</f>
        <v>5808.3787879999991</v>
      </c>
      <c r="GK11" s="311">
        <f t="shared" si="41"/>
        <v>93507.716823276918</v>
      </c>
      <c r="GL11" s="311">
        <f>IF($B11="","",SUMPRODUCT(('ANALYSE - ERP =&gt; SOUS-SEGMENT'!$B$8:$B$1000=$B11)*'ANALYSE - ERP =&gt; SOUS-SEGMENT'!$Q$8:$Q$1000*'ANALYSE - ERP =&gt; SOUS-SEGMENT'!$GL$8:$GL$1000))</f>
        <v>74349.829577676923</v>
      </c>
      <c r="GM11" s="311">
        <f>IF($B11="","",SUMPRODUCT(('ANALYSE - ERP =&gt; SOUS-SEGMENT'!$B$8:$B$1000=$B11)*'ANALYSE - ERP =&gt; SOUS-SEGMENT'!$Q$8:$Q$1000*'ANALYSE - ERP =&gt; SOUS-SEGMENT'!$GM$8:$GM$1000))</f>
        <v>19157.887245600003</v>
      </c>
      <c r="GN11" s="311">
        <f t="shared" si="42"/>
        <v>23518.829516706664</v>
      </c>
      <c r="GO11" s="311">
        <f>IF($B11="","",SUMPRODUCT(('ANALYSE - ERP =&gt; SOUS-SEGMENT'!$B$8:$B$1000=$B11)*'ANALYSE - ERP =&gt; SOUS-SEGMENT'!$Q$8:$Q$1000*'ANALYSE - ERP =&gt; SOUS-SEGMENT'!$GO$8:$GO$1000))</f>
        <v>18836.827681106664</v>
      </c>
      <c r="GP11" s="311">
        <f>IF($B11="","",SUMPRODUCT(('ANALYSE - ERP =&gt; SOUS-SEGMENT'!$B$8:$B$1000=$B11)*'ANALYSE - ERP =&gt; SOUS-SEGMENT'!$Q$8:$Q$1000*'ANALYSE - ERP =&gt; SOUS-SEGMENT'!$GP$8:$GP$1000))</f>
        <v>4682.001835600001</v>
      </c>
      <c r="GQ11" s="311">
        <f t="shared" si="43"/>
        <v>8239.0826487242412</v>
      </c>
      <c r="GR11" s="311">
        <f>IF($B11="","",SUMPRODUCT(('ANALYSE - ERP =&gt; SOUS-SEGMENT'!$B$8:$B$1000=$B11)*'ANALYSE - ERP =&gt; SOUS-SEGMENT'!$Q$8:$Q$1000*'ANALYSE - ERP =&gt; SOUS-SEGMENT'!$GR$8:$GR$1000))</f>
        <v>6933.6985579242419</v>
      </c>
      <c r="GS11" s="311">
        <f>IF($B11="","",SUMPRODUCT(('ANALYSE - ERP =&gt; SOUS-SEGMENT'!$B$8:$B$1000=$B11)*'ANALYSE - ERP =&gt; SOUS-SEGMENT'!$Q$8:$Q$1000*'ANALYSE - ERP =&gt; SOUS-SEGMENT'!$GS$8:$GS$1000))</f>
        <v>1305.3840908</v>
      </c>
      <c r="GT11" s="311">
        <f t="shared" si="44"/>
        <v>1624.8027570513987</v>
      </c>
      <c r="GU11" s="311">
        <f>IF($B11="","",SUMPRODUCT(('ANALYSE - ERP =&gt; SOUS-SEGMENT'!$B$8:$B$1000=$B11)*'ANALYSE - ERP =&gt; SOUS-SEGMENT'!$Q$8:$Q$1000*'ANALYSE - ERP =&gt; SOUS-SEGMENT'!$GU$8:$GU$1000))</f>
        <v>1307.0719410513987</v>
      </c>
      <c r="GV11" s="311">
        <f>IF($B11="","",SUMPRODUCT(('ANALYSE - ERP =&gt; SOUS-SEGMENT'!$B$8:$B$1000=$B11)*'ANALYSE - ERP =&gt; SOUS-SEGMENT'!$Q$8:$Q$1000*'ANALYSE - ERP =&gt; SOUS-SEGMENT'!$GV$8:$GV$1000))</f>
        <v>317.73081600000006</v>
      </c>
      <c r="GW11" s="311">
        <f t="shared" si="45"/>
        <v>2136.152013394697</v>
      </c>
      <c r="GX11" s="311">
        <f>IF($B11="","",SUMPRODUCT(('ANALYSE - ERP =&gt; SOUS-SEGMENT'!$B$8:$B$1000=$B11)*'ANALYSE - ERP =&gt; SOUS-SEGMENT'!$Q$8:$Q$1000*'ANALYSE - ERP =&gt; SOUS-SEGMENT'!$GX$8:$GX$1000))</f>
        <v>1683.5745371946969</v>
      </c>
      <c r="GY11" s="311">
        <f>IF($B11="","",SUMPRODUCT(('ANALYSE - ERP =&gt; SOUS-SEGMENT'!$B$8:$B$1000=$B11)*'ANALYSE - ERP =&gt; SOUS-SEGMENT'!$Q$8:$Q$1000*'ANALYSE - ERP =&gt; SOUS-SEGMENT'!$GY$8:$GY$1000))</f>
        <v>452.57747620000004</v>
      </c>
      <c r="GZ11" s="311">
        <f t="shared" si="46"/>
        <v>576.30809329722229</v>
      </c>
      <c r="HA11" s="311">
        <f>IF($B11="","",SUMPRODUCT(('ANALYSE - ERP =&gt; SOUS-SEGMENT'!$B$8:$B$1000=$B11)*'ANALYSE - ERP =&gt; SOUS-SEGMENT'!$Q$8:$Q$1000*'ANALYSE - ERP =&gt; SOUS-SEGMENT'!$HA$8:$HA$1000))</f>
        <v>463.33048549722224</v>
      </c>
      <c r="HB11" s="311">
        <f>IF($B11="","",SUMPRODUCT(('ANALYSE - ERP =&gt; SOUS-SEGMENT'!$B$8:$B$1000=$B11)*'ANALYSE - ERP =&gt; SOUS-SEGMENT'!$Q$8:$Q$1000*'ANALYSE - ERP =&gt; SOUS-SEGMENT'!$HB$8:$HB$1000))</f>
        <v>112.9776078</v>
      </c>
      <c r="HC11" s="311">
        <f t="shared" si="47"/>
        <v>2902.3155291272728</v>
      </c>
      <c r="HD11" s="311">
        <f>IF($B11="","",SUMPRODUCT(('ANALYSE - ERP =&gt; SOUS-SEGMENT'!$B$8:$B$1000=$B11)*'ANALYSE - ERP =&gt; SOUS-SEGMENT'!$Q$8:$Q$1000*'ANALYSE - ERP =&gt; SOUS-SEGMENT'!$HD$8:$HD$1000))</f>
        <v>2509.2867221272727</v>
      </c>
      <c r="HE11" s="311">
        <f>IF($B11="","",SUMPRODUCT(('ANALYSE - ERP =&gt; SOUS-SEGMENT'!$B$8:$B$1000=$B11)*'ANALYSE - ERP =&gt; SOUS-SEGMENT'!$Q$8:$Q$1000*'ANALYSE - ERP =&gt; SOUS-SEGMENT'!$HE$8:$HE$1000))</f>
        <v>393.02880700000003</v>
      </c>
      <c r="HF11" s="311">
        <f t="shared" si="48"/>
        <v>16043.165166096738</v>
      </c>
      <c r="HG11" s="311">
        <f>IF($B11="","",SUMPRODUCT(('ANALYSE - ERP =&gt; SOUS-SEGMENT'!$B$8:$B$1000=$B11)*'ANALYSE - ERP =&gt; SOUS-SEGMENT'!$Q$8:$Q$1000*'ANALYSE - ERP =&gt; SOUS-SEGMENT'!$HG$8:$HG$1000))</f>
        <v>12869.150260596738</v>
      </c>
      <c r="HH11" s="311">
        <f>IF($B11="","",SUMPRODUCT(('ANALYSE - ERP =&gt; SOUS-SEGMENT'!$B$8:$B$1000=$B11)*'ANALYSE - ERP =&gt; SOUS-SEGMENT'!$Q$8:$Q$1000*'ANALYSE - ERP =&gt; SOUS-SEGMENT'!$HH$8:$HH$1000))</f>
        <v>3174.0149054999997</v>
      </c>
      <c r="HI11" s="311">
        <f t="shared" si="49"/>
        <v>6637.5627556222225</v>
      </c>
      <c r="HJ11" s="311">
        <f>IF($B11="","",SUMPRODUCT(('ANALYSE - ERP =&gt; SOUS-SEGMENT'!$B$8:$B$1000=$B11)*'ANALYSE - ERP =&gt; SOUS-SEGMENT'!$Q$8:$Q$1000*'ANALYSE - ERP =&gt; SOUS-SEGMENT'!$HJ$8:$HJ$1000))</f>
        <v>5485.081407722223</v>
      </c>
      <c r="HK11" s="311">
        <f>IF($B11="","",SUMPRODUCT(('ANALYSE - ERP =&gt; SOUS-SEGMENT'!$B$8:$B$1000=$B11)*'ANALYSE - ERP =&gt; SOUS-SEGMENT'!$Q$8:$Q$1000*'ANALYSE - ERP =&gt; SOUS-SEGMENT'!$HK$8:$HK$1000))</f>
        <v>1152.4813478999999</v>
      </c>
      <c r="HL11" s="311">
        <f t="shared" si="50"/>
        <v>7520.1966004295464</v>
      </c>
      <c r="HM11" s="311">
        <f>IF($B11="","",SUMPRODUCT(('ANALYSE - ERP =&gt; SOUS-SEGMENT'!$B$8:$B$1000=$B11)*'ANALYSE - ERP =&gt; SOUS-SEGMENT'!$Q$8:$Q$1000*'ANALYSE - ERP =&gt; SOUS-SEGMENT'!$HM$8:$HM$1000))</f>
        <v>6317.2577308295458</v>
      </c>
      <c r="HN11" s="311">
        <f>IF($B11="","",SUMPRODUCT(('ANALYSE - ERP =&gt; SOUS-SEGMENT'!$B$8:$B$1000=$B11)*'ANALYSE - ERP =&gt; SOUS-SEGMENT'!$Q$8:$Q$1000*'ANALYSE - ERP =&gt; SOUS-SEGMENT'!$HN$8:$HN$1000))</f>
        <v>1202.9388696000001</v>
      </c>
      <c r="HO11" s="311">
        <f t="shared" si="51"/>
        <v>57444.08823337459</v>
      </c>
      <c r="HP11" s="311">
        <f>IF($B11="","",SUMPRODUCT(('ANALYSE - ERP =&gt; SOUS-SEGMENT'!$B$8:$B$1000=$B11)*'ANALYSE - ERP =&gt; SOUS-SEGMENT'!$Q$8:$Q$1000*'ANALYSE - ERP =&gt; SOUS-SEGMENT'!$HP$8:$HP$1000))</f>
        <v>48079.908972074591</v>
      </c>
      <c r="HQ11" s="311">
        <f>IF($B11="","",SUMPRODUCT(('ANALYSE - ERP =&gt; SOUS-SEGMENT'!$B$8:$B$1000=$B11)*'ANALYSE - ERP =&gt; SOUS-SEGMENT'!$Q$8:$Q$1000*'ANALYSE - ERP =&gt; SOUS-SEGMENT'!$HQ$8:$HQ$1000))</f>
        <v>9364.179261299998</v>
      </c>
      <c r="HR11" s="311">
        <f t="shared" si="52"/>
        <v>50994.764207175518</v>
      </c>
      <c r="HS11" s="311">
        <f>IF($B11="","",SUMPRODUCT(('ANALYSE - ERP =&gt; SOUS-SEGMENT'!$B$8:$B$1000=$B11)*'ANALYSE - ERP =&gt; SOUS-SEGMENT'!$Q$8:$Q$1000*'ANALYSE - ERP =&gt; SOUS-SEGMENT'!$HS$8:$HS$1000))</f>
        <v>39844.385620475521</v>
      </c>
      <c r="HT11" s="311">
        <f>IF($B11="","",SUMPRODUCT(('ANALYSE - ERP =&gt; SOUS-SEGMENT'!$B$8:$B$1000=$B11)*'ANALYSE - ERP =&gt; SOUS-SEGMENT'!$Q$8:$Q$1000*'ANALYSE - ERP =&gt; SOUS-SEGMENT'!$HT$8:$HT$1000))</f>
        <v>11150.378586699999</v>
      </c>
      <c r="HU11" s="311">
        <f t="shared" si="53"/>
        <v>25235.384005566666</v>
      </c>
      <c r="HV11" s="311">
        <f>IF($B11="","",SUMPRODUCT(('ANALYSE - ERP =&gt; SOUS-SEGMENT'!$B$8:$B$1000=$B11)*'ANALYSE - ERP =&gt; SOUS-SEGMENT'!$Q$8:$Q$1000*'ANALYSE - ERP =&gt; SOUS-SEGMENT'!$HV$8:$HV$1000))</f>
        <v>20333.643863566667</v>
      </c>
      <c r="HW11" s="311">
        <f>IF($B11="","",SUMPRODUCT(('ANALYSE - ERP =&gt; SOUS-SEGMENT'!$B$8:$B$1000=$B11)*'ANALYSE - ERP =&gt; SOUS-SEGMENT'!$Q$8:$Q$1000*'ANALYSE - ERP =&gt; SOUS-SEGMENT'!$HW$8:$HW$1000))</f>
        <v>4901.7401420000006</v>
      </c>
      <c r="HY11" s="313">
        <f t="shared" si="54"/>
        <v>836688.48399999994</v>
      </c>
      <c r="HZ11" s="313">
        <f>IF($B11="","",SUMPRODUCT(('ANALYSE - ERP =&gt; SOUS-SEGMENT'!$B$8:$B$1000=$B11)*'ANALYSE - ERP =&gt; SOUS-SEGMENT'!$Q$8:$Q$1000*'ANALYSE - ERP =&gt; SOUS-SEGMENT'!$HZ$8:$HZ$1000))</f>
        <v>22075.045099999999</v>
      </c>
      <c r="IA11" s="313">
        <f>IF($B11="","",SUMPRODUCT(('ANALYSE - ERP =&gt; SOUS-SEGMENT'!$B$8:$B$1000=$B11)*'ANALYSE - ERP =&gt; SOUS-SEGMENT'!$Q$8:$Q$1000*'ANALYSE - ERP =&gt; SOUS-SEGMENT'!$IA$8:$IA$1000))</f>
        <v>294098.25630000001</v>
      </c>
      <c r="IB11" s="313">
        <f>IF($B11="","",SUMPRODUCT(('ANALYSE - ERP =&gt; SOUS-SEGMENT'!$B$8:$B$1000=$B11)*'ANALYSE - ERP =&gt; SOUS-SEGMENT'!$Q$8:$Q$1000*'ANALYSE - ERP =&gt; SOUS-SEGMENT'!$IB$8:$IB$1000))</f>
        <v>409042.85500000004</v>
      </c>
      <c r="IC11" s="313">
        <f>IF($B11="","",SUMPRODUCT(('ANALYSE - ERP =&gt; SOUS-SEGMENT'!$B$8:$B$1000=$B11)*'ANALYSE - ERP =&gt; SOUS-SEGMENT'!$Q$8:$Q$1000*'ANALYSE - ERP =&gt; SOUS-SEGMENT'!$IC$8:$IC$1000))</f>
        <v>105323.64899999999</v>
      </c>
      <c r="ID11" s="313">
        <f>IF($B11="","",SUMPRODUCT(('ANALYSE - ERP =&gt; SOUS-SEGMENT'!$B$8:$B$1000=$B11)*'ANALYSE - ERP =&gt; SOUS-SEGMENT'!$Q$8:$Q$1000*'ANALYSE - ERP =&gt; SOUS-SEGMENT'!$ID$8:$ID$1000))</f>
        <v>6148.6786000000002</v>
      </c>
      <c r="IE11" s="313">
        <f t="shared" si="55"/>
        <v>265770.44482891896</v>
      </c>
      <c r="IF11" s="313">
        <f>IF($B11="","",SUMPRODUCT(('ANALYSE - ERP =&gt; SOUS-SEGMENT'!$B$8:$B$1000=$B11)*'ANALYSE - ERP =&gt; SOUS-SEGMENT'!$Q$8:$Q$1000*'ANALYSE - ERP =&gt; SOUS-SEGMENT'!$IF$8:$IF$1000))</f>
        <v>2619.6530876279412</v>
      </c>
      <c r="IG11" s="313">
        <f>IF($B11="","",SUMPRODUCT(('ANALYSE - ERP =&gt; SOUS-SEGMENT'!$B$8:$B$1000=$B11)*'ANALYSE - ERP =&gt; SOUS-SEGMENT'!$Q$8:$Q$1000*'ANALYSE - ERP =&gt; SOUS-SEGMENT'!$IG$8:$IG$1000))</f>
        <v>77148.68227005782</v>
      </c>
      <c r="IH11" s="313">
        <f>IF($B11="","",SUMPRODUCT(('ANALYSE - ERP =&gt; SOUS-SEGMENT'!$B$8:$B$1000=$B11)*'ANALYSE - ERP =&gt; SOUS-SEGMENT'!$Q$8:$Q$1000*'ANALYSE - ERP =&gt; SOUS-SEGMENT'!$IH$8:$IH$1000))</f>
        <v>132075.13745404649</v>
      </c>
      <c r="II11" s="313">
        <f>IF($B11="","",SUMPRODUCT(('ANALYSE - ERP =&gt; SOUS-SEGMENT'!$B$8:$B$1000=$B11)*'ANALYSE - ERP =&gt; SOUS-SEGMENT'!$Q$8:$Q$1000*'ANALYSE - ERP =&gt; SOUS-SEGMENT'!$II$8:$II$1000))</f>
        <v>48542.91261444561</v>
      </c>
      <c r="IJ11" s="313">
        <f>IF($B11="","",SUMPRODUCT(('ANALYSE - ERP =&gt; SOUS-SEGMENT'!$B$8:$B$1000=$B11)*'ANALYSE - ERP =&gt; SOUS-SEGMENT'!$Q$8:$Q$1000*'ANALYSE - ERP =&gt; SOUS-SEGMENT'!$IJ$8:$IJ$1000))</f>
        <v>5384.0594027410789</v>
      </c>
      <c r="IK11" s="866">
        <f>IF($B11="","",IFERROR(SUMPRODUCT(('ANALYSE - ERP =&gt; SOUS-SEGMENT'!$B$8:$B$1000=$B11)*'ANALYSE - ERP =&gt; SOUS-SEGMENT'!$Q$8:$Q$1000*'ANALYSE - ERP =&gt; SOUS-SEGMENT'!$IE$8:$IE$1000*'ANALYSE - ERP =&gt; SOUS-SEGMENT'!$IK$8:$IK$1000)/SUMPRODUCT(('ANALYSE - ERP =&gt; SOUS-SEGMENT'!$B$8:$B$1000=$B11)*'ANALYSE - ERP =&gt; SOUS-SEGMENT'!$Q$8:$Q$1000*'ANALYSE - ERP =&gt; SOUS-SEGMENT'!$IE$8:$IE$1000),""))</f>
        <v>3.9479777042065445</v>
      </c>
      <c r="IL11" s="920" t="s">
        <v>6446</v>
      </c>
      <c r="IM11" s="964" t="s">
        <v>6447</v>
      </c>
      <c r="IN11" s="657"/>
      <c r="IO11" s="730">
        <f>IF($B11="","",IFERROR(SUMPRODUCT(('ANALYSE - ERP =&gt; SOUS-SEGMENT'!$B$8:$B$1000=$B11)*'ANALYSE - ERP =&gt; SOUS-SEGMENT'!$Q$8:$Q$1000*'ANALYSE - ERP =&gt; SOUS-SEGMENT'!$BE$8:$BE$1000*'ANALYSE - ERP =&gt; SOUS-SEGMENT'!$IO$8:$IO$1000)/SUMPRODUCT(('ANALYSE - ERP =&gt; SOUS-SEGMENT'!$B$8:$B$1000=$B11)*'ANALYSE - ERP =&gt; SOUS-SEGMENT'!$Q$8:$Q$1000*'ANALYSE - ERP =&gt; SOUS-SEGMENT'!$BE$8:$BE$1000),""))</f>
        <v>2.0984681601934174E-2</v>
      </c>
      <c r="IP11" s="730">
        <f>IF($B11="","",IFERROR(SUMPRODUCT(('ANALYSE - ERP =&gt; SOUS-SEGMENT'!$B$8:$B$1000=$B11)*'ANALYSE - ERP =&gt; SOUS-SEGMENT'!$Q$8:$Q$1000*'ANALYSE - ERP =&gt; SOUS-SEGMENT'!$BE$8:$BE$1000*'ANALYSE - ERP =&gt; SOUS-SEGMENT'!$IP$8:$IP$1000)/SUMPRODUCT(('ANALYSE - ERP =&gt; SOUS-SEGMENT'!$B$8:$B$1000=$B11)*'ANALYSE - ERP =&gt; SOUS-SEGMENT'!$Q$8:$Q$1000*'ANALYSE - ERP =&gt; SOUS-SEGMENT'!$BE$8:$BE$1000),""))</f>
        <v>0.32960758364529708</v>
      </c>
      <c r="IQ11" s="730">
        <f>IF($B11="","",IFERROR(SUMPRODUCT(('ANALYSE - ERP =&gt; SOUS-SEGMENT'!$B$8:$B$1000=$B11)*'ANALYSE - ERP =&gt; SOUS-SEGMENT'!$Q$8:$Q$1000*'ANALYSE - ERP =&gt; SOUS-SEGMENT'!$BE$8:$BE$1000*'ANALYSE - ERP =&gt; SOUS-SEGMENT'!$IQ$8:$IQ$1000)/SUMPRODUCT(('ANALYSE - ERP =&gt; SOUS-SEGMENT'!$B$8:$B$1000=$B11)*'ANALYSE - ERP =&gt; SOUS-SEGMENT'!$Q$8:$Q$1000*'ANALYSE - ERP =&gt; SOUS-SEGMENT'!$BE$8:$BE$1000),""))</f>
        <v>0.50035322980034314</v>
      </c>
      <c r="IR11" s="730">
        <f>IF($B11="","",IFERROR(SUMPRODUCT(('ANALYSE - ERP =&gt; SOUS-SEGMENT'!$B$8:$B$1000=$B11)*'ANALYSE - ERP =&gt; SOUS-SEGMENT'!$Q$8:$Q$1000*'ANALYSE - ERP =&gt; SOUS-SEGMENT'!$BE$8:$BE$1000*'ANALYSE - ERP =&gt; SOUS-SEGMENT'!$IR$8:$IR$1000)/SUMPRODUCT(('ANALYSE - ERP =&gt; SOUS-SEGMENT'!$B$8:$B$1000=$B11)*'ANALYSE - ERP =&gt; SOUS-SEGMENT'!$Q$8:$Q$1000*'ANALYSE - ERP =&gt; SOUS-SEGMENT'!$BE$8:$BE$1000),""))</f>
        <v>0.13980706208079866</v>
      </c>
      <c r="IS11" s="730">
        <f>IF($B11="","",IFERROR(SUMPRODUCT(('ANALYSE - ERP =&gt; SOUS-SEGMENT'!$B$8:$B$1000=$B11)*'ANALYSE - ERP =&gt; SOUS-SEGMENT'!$Q$8:$Q$1000*'ANALYSE - ERP =&gt; SOUS-SEGMENT'!$BE$8:$BE$1000*'ANALYSE - ERP =&gt; SOUS-SEGMENT'!$IS$8:$IS$1000)/SUMPRODUCT(('ANALYSE - ERP =&gt; SOUS-SEGMENT'!$B$8:$B$1000=$B11)*'ANALYSE - ERP =&gt; SOUS-SEGMENT'!$Q$8:$Q$1000*'ANALYSE - ERP =&gt; SOUS-SEGMENT'!$BE$8:$BE$1000),""))</f>
        <v>9.247442871626892E-3</v>
      </c>
      <c r="IT11" s="730">
        <f>IF($B11="","",IFERROR(SUMPRODUCT(('ANALYSE - ERP =&gt; SOUS-SEGMENT'!$B$8:$B$1000=$B11)*'ANALYSE - ERP =&gt; SOUS-SEGMENT'!$Q$8:$Q$1000*'ANALYSE - ERP =&gt; SOUS-SEGMENT'!$FB$8:$FB$1000*'ANALYSE - ERP =&gt; SOUS-SEGMENT'!$IT$8:$IT$1000)/SUMPRODUCT(('ANALYSE - ERP =&gt; SOUS-SEGMENT'!$B$8:$B$1000=$B11)*'ANALYSE - ERP =&gt; SOUS-SEGMENT'!$Q$8:$Q$1000*'ANALYSE - ERP =&gt; SOUS-SEGMENT'!$FB$8:$FB$1000),""))</f>
        <v>7.4996065174806901E-3</v>
      </c>
      <c r="IU11" s="730">
        <f>IF($B11="","",IFERROR(SUMPRODUCT(('ANALYSE - ERP =&gt; SOUS-SEGMENT'!$B$8:$B$1000=$B11)*'ANALYSE - ERP =&gt; SOUS-SEGMENT'!$Q$8:$Q$1000*'ANALYSE - ERP =&gt; SOUS-SEGMENT'!$FB$8:$FB$1000*'ANALYSE - ERP =&gt; SOUS-SEGMENT'!$IU$8:$IU$1000)/SUMPRODUCT(('ANALYSE - ERP =&gt; SOUS-SEGMENT'!$B$8:$B$1000=$B11)*'ANALYSE - ERP =&gt; SOUS-SEGMENT'!$Q$8:$Q$1000*'ANALYSE - ERP =&gt; SOUS-SEGMENT'!$FB$8:$FB$1000),""))</f>
        <v>0.27002986719187</v>
      </c>
      <c r="IV11" s="730">
        <f>IF($B11="","",IFERROR(SUMPRODUCT(('ANALYSE - ERP =&gt; SOUS-SEGMENT'!$B$8:$B$1000=$B11)*'ANALYSE - ERP =&gt; SOUS-SEGMENT'!$Q$8:$Q$1000*'ANALYSE - ERP =&gt; SOUS-SEGMENT'!$FB$8:$FB$1000*'ANALYSE - ERP =&gt; SOUS-SEGMENT'!$IV$8:$IV$1000)/SUMPRODUCT(('ANALYSE - ERP =&gt; SOUS-SEGMENT'!$B$8:$B$1000=$B11)*'ANALYSE - ERP =&gt; SOUS-SEGMENT'!$Q$8:$Q$1000*'ANALYSE - ERP =&gt; SOUS-SEGMENT'!$FB$8:$FB$1000),""))</f>
        <v>0.50012737029283538</v>
      </c>
      <c r="IW11" s="730">
        <f>IF($B11="","",IFERROR(SUMPRODUCT(('ANALYSE - ERP =&gt; SOUS-SEGMENT'!$B$8:$B$1000=$B11)*'ANALYSE - ERP =&gt; SOUS-SEGMENT'!$Q$8:$Q$1000*'ANALYSE - ERP =&gt; SOUS-SEGMENT'!$FB$8:$FB$1000*'ANALYSE - ERP =&gt; SOUS-SEGMENT'!$IW$8:$IW$1000)/SUMPRODUCT(('ANALYSE - ERP =&gt; SOUS-SEGMENT'!$B$8:$B$1000=$B11)*'ANALYSE - ERP =&gt; SOUS-SEGMENT'!$Q$8:$Q$1000*'ANALYSE - ERP =&gt; SOUS-SEGMENT'!$FB$8:$FB$1000),""))</f>
        <v>0.19792528745851895</v>
      </c>
      <c r="IX11" s="730">
        <f>IF($B11="","",IFERROR(SUMPRODUCT(('ANALYSE - ERP =&gt; SOUS-SEGMENT'!$B$8:$B$1000=$B11)*'ANALYSE - ERP =&gt; SOUS-SEGMENT'!$Q$8:$Q$1000*'ANALYSE - ERP =&gt; SOUS-SEGMENT'!$FB$8:$FB$1000*'ANALYSE - ERP =&gt; SOUS-SEGMENT'!$IX$8:$IX$1000)/SUMPRODUCT(('ANALYSE - ERP =&gt; SOUS-SEGMENT'!$B$8:$B$1000=$B11)*'ANALYSE - ERP =&gt; SOUS-SEGMENT'!$Q$8:$Q$1000*'ANALYSE - ERP =&gt; SOUS-SEGMENT'!$FB$8:$FB$1000),""))</f>
        <v>2.4417868539294726E-2</v>
      </c>
      <c r="IY11" s="730">
        <f>IF($B11="","",IFERROR(SUMPRODUCT(('ANALYSE - ERP =&gt; SOUS-SEGMENT'!$B$8:$B$1000=$B11)*'ANALYSE - ERP =&gt; SOUS-SEGMENT'!$Q$8:$Q$1000*'ANALYSE - ERP =&gt; SOUS-SEGMENT'!$BF$8:$BF$1000*'ANALYSE - ERP =&gt; SOUS-SEGMENT'!$IY$8:$IY$1000)/SUMPRODUCT(('ANALYSE - ERP =&gt; SOUS-SEGMENT'!$B$8:$B$1000=$B11)*'ANALYSE - ERP =&gt; SOUS-SEGMENT'!$Q$8:$Q$1000*'ANALYSE - ERP =&gt; SOUS-SEGMENT'!$BF$8:$BF$1000),""))</f>
        <v>1.906229949092306E-2</v>
      </c>
      <c r="IZ11" s="730">
        <f>IF($B11="","",IFERROR(SUMPRODUCT(('ANALYSE - ERP =&gt; SOUS-SEGMENT'!$B$8:$B$1000=$B11)*'ANALYSE - ERP =&gt; SOUS-SEGMENT'!$Q$8:$Q$1000*'ANALYSE - ERP =&gt; SOUS-SEGMENT'!$BF$8:$BF$1000*'ANALYSE - ERP =&gt; SOUS-SEGMENT'!$IZ$8:$IZ$1000)/SUMPRODUCT(('ANALYSE - ERP =&gt; SOUS-SEGMENT'!$B$8:$B$1000=$B11)*'ANALYSE - ERP =&gt; SOUS-SEGMENT'!$Q$8:$Q$1000*'ANALYSE - ERP =&gt; SOUS-SEGMENT'!$BF$8:$BF$1000),""))</f>
        <v>0.2781331284218615</v>
      </c>
      <c r="JA11" s="730">
        <f>IF($B11="","",IFERROR(SUMPRODUCT(('ANALYSE - ERP =&gt; SOUS-SEGMENT'!$B$8:$B$1000=$B11)*'ANALYSE - ERP =&gt; SOUS-SEGMENT'!$Q$8:$Q$1000*'ANALYSE - ERP =&gt; SOUS-SEGMENT'!$BF$8:$BF$1000*'ANALYSE - ERP =&gt; SOUS-SEGMENT'!$JA$8:$JA$1000)/SUMPRODUCT(('ANALYSE - ERP =&gt; SOUS-SEGMENT'!$B$8:$B$1000=$B11)*'ANALYSE - ERP =&gt; SOUS-SEGMENT'!$Q$8:$Q$1000*'ANALYSE - ERP =&gt; SOUS-SEGMENT'!$BF$8:$BF$1000),""))</f>
        <v>0.43099711362981463</v>
      </c>
      <c r="JB11" s="730">
        <f>IF($B11="","",IFERROR(SUMPRODUCT(('ANALYSE - ERP =&gt; SOUS-SEGMENT'!$B$8:$B$1000=$B11)*'ANALYSE - ERP =&gt; SOUS-SEGMENT'!$Q$8:$Q$1000*'ANALYSE - ERP =&gt; SOUS-SEGMENT'!$BF$8:$BF$1000*'ANALYSE - ERP =&gt; SOUS-SEGMENT'!$JB$8:$JB$1000)/SUMPRODUCT(('ANALYSE - ERP =&gt; SOUS-SEGMENT'!$B$8:$B$1000=$B11)*'ANALYSE - ERP =&gt; SOUS-SEGMENT'!$Q$8:$Q$1000*'ANALYSE - ERP =&gt; SOUS-SEGMENT'!$BF$8:$BF$1000),""))</f>
        <v>0.13204116319277687</v>
      </c>
      <c r="JC11" s="730">
        <f>IF($B11="","",IFERROR(SUMPRODUCT(('ANALYSE - ERP =&gt; SOUS-SEGMENT'!$B$8:$B$1000=$B11)*'ANALYSE - ERP =&gt; SOUS-SEGMENT'!$Q$8:$Q$1000*'ANALYSE - ERP =&gt; SOUS-SEGMENT'!$BF$8:$BF$1000*'ANALYSE - ERP =&gt; SOUS-SEGMENT'!$JC$8:$JC$1000)/SUMPRODUCT(('ANALYSE - ERP =&gt; SOUS-SEGMENT'!$B$8:$B$1000=$B11)*'ANALYSE - ERP =&gt; SOUS-SEGMENT'!$Q$8:$Q$1000*'ANALYSE - ERP =&gt; SOUS-SEGMENT'!$BF$8:$BF$1000),""))</f>
        <v>1.0382374411679954E-2</v>
      </c>
      <c r="JD11" s="730">
        <f>IF($B11="","",IFERROR(SUMPRODUCT(('ANALYSE - ERP =&gt; SOUS-SEGMENT'!$B$8:$B$1000=$B11)*'ANALYSE - ERP =&gt; SOUS-SEGMENT'!$Q$8:$Q$1000*'ANALYSE - ERP =&gt; SOUS-SEGMENT'!$FE$8:$FE$1000*'ANALYSE - ERP =&gt; SOUS-SEGMENT'!$JD$8:$JD$1000)/SUMPRODUCT(('ANALYSE - ERP =&gt; SOUS-SEGMENT'!$B$8:$B$1000=$B11)*'ANALYSE - ERP =&gt; SOUS-SEGMENT'!$Q$8:$Q$1000*'ANALYSE - ERP =&gt; SOUS-SEGMENT'!$FE$8:$FE$1000),""))</f>
        <v>9.2541243825454318E-3</v>
      </c>
      <c r="JE11" s="730">
        <f>IF($B11="","",IFERROR(SUMPRODUCT(('ANALYSE - ERP =&gt; SOUS-SEGMENT'!$B$8:$B$1000=$B11)*'ANALYSE - ERP =&gt; SOUS-SEGMENT'!$Q$8:$Q$1000*'ANALYSE - ERP =&gt; SOUS-SEGMENT'!$FE$8:$FE$1000*'ANALYSE - ERP =&gt; SOUS-SEGMENT'!$JE$8:$JE$1000)/SUMPRODUCT(('ANALYSE - ERP =&gt; SOUS-SEGMENT'!$B$8:$B$1000=$B11)*'ANALYSE - ERP =&gt; SOUS-SEGMENT'!$Q$8:$Q$1000*'ANALYSE - ERP =&gt; SOUS-SEGMENT'!$FE$8:$FE$1000),""))</f>
        <v>0.23537789053174854</v>
      </c>
      <c r="JF11" s="730">
        <f>IF($B11="","",IFERROR(SUMPRODUCT(('ANALYSE - ERP =&gt; SOUS-SEGMENT'!$B$8:$B$1000=$B11)*'ANALYSE - ERP =&gt; SOUS-SEGMENT'!$Q$8:$Q$1000*'ANALYSE - ERP =&gt; SOUS-SEGMENT'!$FE$8:$FE$1000*'ANALYSE - ERP =&gt; SOUS-SEGMENT'!$JF$8:$JF$1000)/SUMPRODUCT(('ANALYSE - ERP =&gt; SOUS-SEGMENT'!$B$8:$B$1000=$B11)*'ANALYSE - ERP =&gt; SOUS-SEGMENT'!$Q$8:$Q$1000*'ANALYSE - ERP =&gt; SOUS-SEGMENT'!$FE$8:$FE$1000),""))</f>
        <v>0.41755598254386878</v>
      </c>
      <c r="JG11" s="730">
        <f>IF($B11="","",IFERROR(SUMPRODUCT(('ANALYSE - ERP =&gt; SOUS-SEGMENT'!$B$8:$B$1000=$B11)*'ANALYSE - ERP =&gt; SOUS-SEGMENT'!$Q$8:$Q$1000*'ANALYSE - ERP =&gt; SOUS-SEGMENT'!$FE$8:$FE$1000*'ANALYSE - ERP =&gt; SOUS-SEGMENT'!$JG$8:$JG$1000)/SUMPRODUCT(('ANALYSE - ERP =&gt; SOUS-SEGMENT'!$B$8:$B$1000=$B11)*'ANALYSE - ERP =&gt; SOUS-SEGMENT'!$Q$8:$Q$1000*'ANALYSE - ERP =&gt; SOUS-SEGMENT'!$FE$8:$FE$1000),""))</f>
        <v>0.18264937338256423</v>
      </c>
      <c r="JH11" s="730">
        <f>IF($B11="","",IFERROR(SUMPRODUCT(('ANALYSE - ERP =&gt; SOUS-SEGMENT'!$B$8:$B$1000=$B11)*'ANALYSE - ERP =&gt; SOUS-SEGMENT'!$Q$8:$Q$1000*'ANALYSE - ERP =&gt; SOUS-SEGMENT'!$FE$8:$FE$1000*'ANALYSE - ERP =&gt; SOUS-SEGMENT'!$JH$8:$JH$1000)/SUMPRODUCT(('ANALYSE - ERP =&gt; SOUS-SEGMENT'!$B$8:$B$1000=$B11)*'ANALYSE - ERP =&gt; SOUS-SEGMENT'!$Q$8:$Q$1000*'ANALYSE - ERP =&gt; SOUS-SEGMENT'!$FE$8:$FE$1000),""))</f>
        <v>2.7759954656174275E-2</v>
      </c>
      <c r="JI11" s="730">
        <f>IF($B11="","",IFERROR(SUMPRODUCT(('ANALYSE - ERP =&gt; SOUS-SEGMENT'!$B$8:$B$1000=$B11)*'ANALYSE - ERP =&gt; SOUS-SEGMENT'!$Q$8:$Q$1000*'ANALYSE - ERP =&gt; SOUS-SEGMENT'!$BG$8:$BG$1000*'ANALYSE - ERP =&gt; SOUS-SEGMENT'!$JI$8:$JI$1000)/SUMPRODUCT(('ANALYSE - ERP =&gt; SOUS-SEGMENT'!$B$8:$B$1000=$B11)*'ANALYSE - ERP =&gt; SOUS-SEGMENT'!$Q$8:$Q$1000*'ANALYSE - ERP =&gt; SOUS-SEGMENT'!$BG$8:$BG$1000),""))</f>
        <v>5.1515541955226278E-2</v>
      </c>
      <c r="JJ11" s="730">
        <f>IF($B11="","",IFERROR(SUMPRODUCT(('ANALYSE - ERP =&gt; SOUS-SEGMENT'!$B$8:$B$1000=$B11)*'ANALYSE - ERP =&gt; SOUS-SEGMENT'!$Q$8:$Q$1000*'ANALYSE - ERP =&gt; SOUS-SEGMENT'!$BG$8:$BG$1000*'ANALYSE - ERP =&gt; SOUS-SEGMENT'!$JJ$8:$JJ$1000)/SUMPRODUCT(('ANALYSE - ERP =&gt; SOUS-SEGMENT'!$B$8:$B$1000=$B11)*'ANALYSE - ERP =&gt; SOUS-SEGMENT'!$Q$8:$Q$1000*'ANALYSE - ERP =&gt; SOUS-SEGMENT'!$BG$8:$BG$1000),""))</f>
        <v>0.44686311612175872</v>
      </c>
      <c r="JK11" s="730">
        <f>IF($B11="","",IFERROR(SUMPRODUCT(('ANALYSE - ERP =&gt; SOUS-SEGMENT'!$B$8:$B$1000=$B11)*'ANALYSE - ERP =&gt; SOUS-SEGMENT'!$Q$8:$Q$1000*'ANALYSE - ERP =&gt; SOUS-SEGMENT'!$BG$8:$BG$1000*'ANALYSE - ERP =&gt; SOUS-SEGMENT'!$JK$8:$JK$1000)/SUMPRODUCT(('ANALYSE - ERP =&gt; SOUS-SEGMENT'!$B$8:$B$1000=$B11)*'ANALYSE - ERP =&gt; SOUS-SEGMENT'!$Q$8:$Q$1000*'ANALYSE - ERP =&gt; SOUS-SEGMENT'!$BG$8:$BG$1000),""))</f>
        <v>0.41289419487840229</v>
      </c>
      <c r="JL11" s="730">
        <f>IF($B11="","",IFERROR(SUMPRODUCT(('ANALYSE - ERP =&gt; SOUS-SEGMENT'!$B$8:$B$1000=$B11)*'ANALYSE - ERP =&gt; SOUS-SEGMENT'!$Q$8:$Q$1000*'ANALYSE - ERP =&gt; SOUS-SEGMENT'!$BG$8:$BG$1000*'ANALYSE - ERP =&gt; SOUS-SEGMENT'!$JL$8:$JL$1000)/SUMPRODUCT(('ANALYSE - ERP =&gt; SOUS-SEGMENT'!$B$8:$B$1000=$B11)*'ANALYSE - ERP =&gt; SOUS-SEGMENT'!$Q$8:$Q$1000*'ANALYSE - ERP =&gt; SOUS-SEGMENT'!$BG$8:$BG$1000),""))</f>
        <v>8.4216177806410053E-2</v>
      </c>
      <c r="JM11" s="730">
        <f>IF($B11="","",IFERROR(SUMPRODUCT(('ANALYSE - ERP =&gt; SOUS-SEGMENT'!$B$8:$B$1000=$B11)*'ANALYSE - ERP =&gt; SOUS-SEGMENT'!$Q$8:$Q$1000*'ANALYSE - ERP =&gt; SOUS-SEGMENT'!$BG$8:$BG$1000*'ANALYSE - ERP =&gt; SOUS-SEGMENT'!$JM$8:$JM$1000)/SUMPRODUCT(('ANALYSE - ERP =&gt; SOUS-SEGMENT'!$B$8:$B$1000=$B11)*'ANALYSE - ERP =&gt; SOUS-SEGMENT'!$Q$8:$Q$1000*'ANALYSE - ERP =&gt; SOUS-SEGMENT'!$BG$8:$BG$1000),""))</f>
        <v>3.3191509099693992E-3</v>
      </c>
      <c r="JN11" s="730">
        <f>IF($B11="","",IFERROR(SUMPRODUCT(('ANALYSE - ERP =&gt; SOUS-SEGMENT'!$B$8:$B$1000=$B11)*'ANALYSE - ERP =&gt; SOUS-SEGMENT'!$Q$8:$Q$1000*'ANALYSE - ERP =&gt; SOUS-SEGMENT'!$FH$8:$FH$1000*'ANALYSE - ERP =&gt; SOUS-SEGMENT'!$JN$8:$JN$1000)/SUMPRODUCT(('ANALYSE - ERP =&gt; SOUS-SEGMENT'!$B$8:$B$1000=$B11)*'ANALYSE - ERP =&gt; SOUS-SEGMENT'!$Q$8:$Q$1000*'ANALYSE - ERP =&gt; SOUS-SEGMENT'!$FH$8:$FH$1000),""))</f>
        <v>2.4241799346409371E-2</v>
      </c>
      <c r="JO11" s="730">
        <f>IF($B11="","",IFERROR(SUMPRODUCT(('ANALYSE - ERP =&gt; SOUS-SEGMENT'!$B$8:$B$1000=$B11)*'ANALYSE - ERP =&gt; SOUS-SEGMENT'!$Q$8:$Q$1000*'ANALYSE - ERP =&gt; SOUS-SEGMENT'!$FH$8:$FH$1000*'ANALYSE - ERP =&gt; SOUS-SEGMENT'!$JO$8:$JO$1000)/SUMPRODUCT(('ANALYSE - ERP =&gt; SOUS-SEGMENT'!$B$8:$B$1000=$B11)*'ANALYSE - ERP =&gt; SOUS-SEGMENT'!$Q$8:$Q$1000*'ANALYSE - ERP =&gt; SOUS-SEGMENT'!$FH$8:$FH$1000),""))</f>
        <v>0.38154770968488716</v>
      </c>
      <c r="JP11" s="730">
        <f>IF($B11="","",IFERROR(SUMPRODUCT(('ANALYSE - ERP =&gt; SOUS-SEGMENT'!$B$8:$B$1000=$B11)*'ANALYSE - ERP =&gt; SOUS-SEGMENT'!$Q$8:$Q$1000*'ANALYSE - ERP =&gt; SOUS-SEGMENT'!$FH$8:$FH$1000*'ANALYSE - ERP =&gt; SOUS-SEGMENT'!$JP$8:$JP$1000)/SUMPRODUCT(('ANALYSE - ERP =&gt; SOUS-SEGMENT'!$B$8:$B$1000=$B11)*'ANALYSE - ERP =&gt; SOUS-SEGMENT'!$Q$8:$Q$1000*'ANALYSE - ERP =&gt; SOUS-SEGMENT'!$FH$8:$FH$1000),""))</f>
        <v>0.44686304654080611</v>
      </c>
      <c r="JQ11" s="730">
        <f>IF($B11="","",IFERROR(SUMPRODUCT(('ANALYSE - ERP =&gt; SOUS-SEGMENT'!$B$8:$B$1000=$B11)*'ANALYSE - ERP =&gt; SOUS-SEGMENT'!$Q$8:$Q$1000*'ANALYSE - ERP =&gt; SOUS-SEGMENT'!$FH$8:$FH$1000*'ANALYSE - ERP =&gt; SOUS-SEGMENT'!$JQ$8:$JQ$1000)/SUMPRODUCT(('ANALYSE - ERP =&gt; SOUS-SEGMENT'!$B$8:$B$1000=$B11)*'ANALYSE - ERP =&gt; SOUS-SEGMENT'!$Q$8:$Q$1000*'ANALYSE - ERP =&gt; SOUS-SEGMENT'!$FH$8:$FH$1000),""))</f>
        <v>0.13371202242783653</v>
      </c>
      <c r="JR11" s="730">
        <f>IF($B11="","",IFERROR(SUMPRODUCT(('ANALYSE - ERP =&gt; SOUS-SEGMENT'!$B$8:$B$1000=$B11)*'ANALYSE - ERP =&gt; SOUS-SEGMENT'!$Q$8:$Q$1000*'ANALYSE - ERP =&gt; SOUS-SEGMENT'!$FH$8:$FH$1000*'ANALYSE - ERP =&gt; SOUS-SEGMENT'!$JR$8:$JR$1000)/SUMPRODUCT(('ANALYSE - ERP =&gt; SOUS-SEGMENT'!$B$8:$B$1000=$B11)*'ANALYSE - ERP =&gt; SOUS-SEGMENT'!$Q$8:$Q$1000*'ANALYSE - ERP =&gt; SOUS-SEGMENT'!$FH$8:$FH$1000),""))</f>
        <v>1.1080362647078144E-2</v>
      </c>
      <c r="JS11" s="730">
        <f>IF($B11="","",IFERROR(SUMPRODUCT(('ANALYSE - ERP =&gt; SOUS-SEGMENT'!$B$8:$B$1000=$B11)*'ANALYSE - ERP =&gt; SOUS-SEGMENT'!$Q$8:$Q$1000*'ANALYSE - ERP =&gt; SOUS-SEGMENT'!$BH$8:$BH$1000*'ANALYSE - ERP =&gt; SOUS-SEGMENT'!$JS$8:$JS$1000)/SUMPRODUCT(('ANALYSE - ERP =&gt; SOUS-SEGMENT'!$B$8:$B$1000=$B11)*'ANALYSE - ERP =&gt; SOUS-SEGMENT'!$Q$8:$Q$1000*'ANALYSE - ERP =&gt; SOUS-SEGMENT'!$BH$8:$BH$1000),""))</f>
        <v>2.7275529906518672E-2</v>
      </c>
      <c r="JT11" s="730">
        <f>IF($B11="","",IFERROR(SUMPRODUCT(('ANALYSE - ERP =&gt; SOUS-SEGMENT'!$B$8:$B$1000=$B11)*'ANALYSE - ERP =&gt; SOUS-SEGMENT'!$Q$8:$Q$1000*'ANALYSE - ERP =&gt; SOUS-SEGMENT'!$BH$8:$BH$1000*'ANALYSE - ERP =&gt; SOUS-SEGMENT'!$JT$8:$JT$1000)/SUMPRODUCT(('ANALYSE - ERP =&gt; SOUS-SEGMENT'!$B$8:$B$1000=$B11)*'ANALYSE - ERP =&gt; SOUS-SEGMENT'!$Q$8:$Q$1000*'ANALYSE - ERP =&gt; SOUS-SEGMENT'!$BH$8:$BH$1000),""))</f>
        <v>0.35691865874240919</v>
      </c>
      <c r="JU11" s="730">
        <f>IF($B11="","",IFERROR(SUMPRODUCT(('ANALYSE - ERP =&gt; SOUS-SEGMENT'!$B$8:$B$1000=$B11)*'ANALYSE - ERP =&gt; SOUS-SEGMENT'!$Q$8:$Q$1000*'ANALYSE - ERP =&gt; SOUS-SEGMENT'!$BH$8:$BH$1000*'ANALYSE - ERP =&gt; SOUS-SEGMENT'!$JU$8:$JU$1000)/SUMPRODUCT(('ANALYSE - ERP =&gt; SOUS-SEGMENT'!$B$8:$B$1000=$B11)*'ANALYSE - ERP =&gt; SOUS-SEGMENT'!$Q$8:$Q$1000*'ANALYSE - ERP =&gt; SOUS-SEGMENT'!$BH$8:$BH$1000),""))</f>
        <v>0.49209186493251195</v>
      </c>
      <c r="JV11" s="730">
        <f>IF($B11="","",IFERROR(SUMPRODUCT(('ANALYSE - ERP =&gt; SOUS-SEGMENT'!$B$8:$B$1000=$B11)*'ANALYSE - ERP =&gt; SOUS-SEGMENT'!$Q$8:$Q$1000*'ANALYSE - ERP =&gt; SOUS-SEGMENT'!$BH$8:$BH$1000*'ANALYSE - ERP =&gt; SOUS-SEGMENT'!$JV$8:$JV$1000)/SUMPRODUCT(('ANALYSE - ERP =&gt; SOUS-SEGMENT'!$B$8:$B$1000=$B11)*'ANALYSE - ERP =&gt; SOUS-SEGMENT'!$Q$8:$Q$1000*'ANALYSE - ERP =&gt; SOUS-SEGMENT'!$BH$8:$BH$1000),""))</f>
        <v>0.11786134378848764</v>
      </c>
      <c r="JW11" s="730">
        <f>IF($B11="","",IFERROR(SUMPRODUCT(('ANALYSE - ERP =&gt; SOUS-SEGMENT'!$B$8:$B$1000=$B11)*'ANALYSE - ERP =&gt; SOUS-SEGMENT'!$Q$8:$Q$1000*'ANALYSE - ERP =&gt; SOUS-SEGMENT'!$BH$8:$BH$1000*'ANALYSE - ERP =&gt; SOUS-SEGMENT'!$JW$8:$JW$1000)/SUMPRODUCT(('ANALYSE - ERP =&gt; SOUS-SEGMENT'!$B$8:$B$1000=$B11)*'ANALYSE - ERP =&gt; SOUS-SEGMENT'!$Q$8:$Q$1000*'ANALYSE - ERP =&gt; SOUS-SEGMENT'!$BH$8:$BH$1000),""))</f>
        <v>5.852602630072647E-3</v>
      </c>
      <c r="JX11" s="730">
        <f>IF($B11="","",IFERROR(SUMPRODUCT(('ANALYSE - ERP =&gt; SOUS-SEGMENT'!$B$8:$B$1000=$B11)*'ANALYSE - ERP =&gt; SOUS-SEGMENT'!$Q$8:$Q$1000*'ANALYSE - ERP =&gt; SOUS-SEGMENT'!$FK$8:$FK$1000*'ANALYSE - ERP =&gt; SOUS-SEGMENT'!$JX$8:$JX$1000)/SUMPRODUCT(('ANALYSE - ERP =&gt; SOUS-SEGMENT'!$B$8:$B$1000=$B11)*'ANALYSE - ERP =&gt; SOUS-SEGMENT'!$Q$8:$Q$1000*'ANALYSE - ERP =&gt; SOUS-SEGMENT'!$FK$8:$FK$1000),""))</f>
        <v>8.9917138203907277E-3</v>
      </c>
      <c r="JY11" s="730">
        <f>IF($B11="","",IFERROR(SUMPRODUCT(('ANALYSE - ERP =&gt; SOUS-SEGMENT'!$B$8:$B$1000=$B11)*'ANALYSE - ERP =&gt; SOUS-SEGMENT'!$Q$8:$Q$1000*'ANALYSE - ERP =&gt; SOUS-SEGMENT'!$FK$8:$FK$1000*'ANALYSE - ERP =&gt; SOUS-SEGMENT'!$JY$8:$JY$1000)/SUMPRODUCT(('ANALYSE - ERP =&gt; SOUS-SEGMENT'!$B$8:$B$1000=$B11)*'ANALYSE - ERP =&gt; SOUS-SEGMENT'!$Q$8:$Q$1000*'ANALYSE - ERP =&gt; SOUS-SEGMENT'!$FK$8:$FK$1000),""))</f>
        <v>0.29158663519003075</v>
      </c>
      <c r="JZ11" s="730">
        <f>IF($B11="","",IFERROR(SUMPRODUCT(('ANALYSE - ERP =&gt; SOUS-SEGMENT'!$B$8:$B$1000=$B11)*'ANALYSE - ERP =&gt; SOUS-SEGMENT'!$Q$8:$Q$1000*'ANALYSE - ERP =&gt; SOUS-SEGMENT'!$FK$8:$FK$1000*'ANALYSE - ERP =&gt; SOUS-SEGMENT'!$JZ$8:$JZ$1000)/SUMPRODUCT(('ANALYSE - ERP =&gt; SOUS-SEGMENT'!$B$8:$B$1000=$B11)*'ANALYSE - ERP =&gt; SOUS-SEGMENT'!$Q$8:$Q$1000*'ANALYSE - ERP =&gt; SOUS-SEGMENT'!$FK$8:$FK$1000),""))</f>
        <v>0.50598575837549065</v>
      </c>
      <c r="KA11" s="730">
        <f>IF($B11="","",IFERROR(SUMPRODUCT(('ANALYSE - ERP =&gt; SOUS-SEGMENT'!$B$8:$B$1000=$B11)*'ANALYSE - ERP =&gt; SOUS-SEGMENT'!$Q$8:$Q$1000*'ANALYSE - ERP =&gt; SOUS-SEGMENT'!$FK$8:$FK$1000*'ANALYSE - ERP =&gt; SOUS-SEGMENT'!$KA$8:$KA$1000)/SUMPRODUCT(('ANALYSE - ERP =&gt; SOUS-SEGMENT'!$B$8:$B$1000=$B11)*'ANALYSE - ERP =&gt; SOUS-SEGMENT'!$Q$8:$Q$1000*'ANALYSE - ERP =&gt; SOUS-SEGMENT'!$FK$8:$FK$1000),""))</f>
        <v>0.1761024825976851</v>
      </c>
      <c r="KB11" s="730">
        <f>IF($B11="","",IFERROR(SUMPRODUCT(('ANALYSE - ERP =&gt; SOUS-SEGMENT'!$B$8:$B$1000=$B11)*'ANALYSE - ERP =&gt; SOUS-SEGMENT'!$Q$8:$Q$1000*'ANALYSE - ERP =&gt; SOUS-SEGMENT'!$FK$8:$FK$1000*'ANALYSE - ERP =&gt; SOUS-SEGMENT'!$KB$8:$KB$1000)/SUMPRODUCT(('ANALYSE - ERP =&gt; SOUS-SEGMENT'!$B$8:$B$1000=$B11)*'ANALYSE - ERP =&gt; SOUS-SEGMENT'!$Q$8:$Q$1000*'ANALYSE - ERP =&gt; SOUS-SEGMENT'!$FK$8:$FK$1000),""))</f>
        <v>1.7333410016402654E-2</v>
      </c>
      <c r="KC11" s="657"/>
      <c r="KD11" s="920" t="s">
        <v>6448</v>
      </c>
      <c r="KE11" s="920" t="s">
        <v>6449</v>
      </c>
      <c r="KF11" s="866">
        <f>IF($B11="","",IFERROR(SUMPRODUCT(('ANALYSE - ERP =&gt; SOUS-SEGMENT'!$B$8:$B$1000=$B11)*'ANALYSE - ERP =&gt; SOUS-SEGMENT'!$Q$8:$Q$1000*'ANALYSE - ERP =&gt; SOUS-SEGMENT'!$IE$8:$IE$1000*'ANALYSE - ERP =&gt; SOUS-SEGMENT'!$KF$8:$KF$1000)/SUMPRODUCT(('ANALYSE - ERP =&gt; SOUS-SEGMENT'!$B$8:$B$1000=$B11)*'ANALYSE - ERP =&gt; SOUS-SEGMENT'!$Q$8:$Q$1000*'ANALYSE - ERP =&gt; SOUS-SEGMENT'!$IE$8:$IE$1000),""))</f>
        <v>3.879708395921321</v>
      </c>
      <c r="KG11" s="920" t="s">
        <v>6450</v>
      </c>
      <c r="KH11" s="920" t="s">
        <v>6451</v>
      </c>
      <c r="KI11" s="920" t="s">
        <v>6452</v>
      </c>
      <c r="KJ11" s="920" t="s">
        <v>6453</v>
      </c>
    </row>
    <row r="12" spans="1:327" ht="135.94999999999999" customHeight="1">
      <c r="A12" s="957">
        <f>IF($B12="","",ROWS($A$8:A12))</f>
        <v>5</v>
      </c>
      <c r="B12" s="958" t="s">
        <v>2187</v>
      </c>
      <c r="C12" s="958" t="s">
        <v>6454</v>
      </c>
      <c r="D12" s="959" t="s">
        <v>6455</v>
      </c>
      <c r="E12" s="960" t="s">
        <v>6456</v>
      </c>
      <c r="F12" s="960" t="s">
        <v>6457</v>
      </c>
      <c r="G12" s="960" t="s">
        <v>300</v>
      </c>
      <c r="H12" s="960" t="s">
        <v>2109</v>
      </c>
      <c r="I12" s="960" t="s">
        <v>6458</v>
      </c>
      <c r="J12" s="960" t="s">
        <v>6459</v>
      </c>
      <c r="K12" s="960" t="s">
        <v>2097</v>
      </c>
      <c r="L12" s="960" t="s">
        <v>2109</v>
      </c>
      <c r="M12" s="960" t="s">
        <v>2603</v>
      </c>
      <c r="N12" s="960" t="s">
        <v>2099</v>
      </c>
      <c r="O12" s="960" t="s">
        <v>2616</v>
      </c>
      <c r="P12" s="960"/>
      <c r="Q12" s="270">
        <f>IF($B12="","",IF(SUMIFS('ANALYSE - ERP =&gt; SOUS-SEGMENT'!$Q$8:$Q$1000,'ANALYSE - ERP =&gt; SOUS-SEGMENT'!$B$8:$B$1000,$B12)&gt;0,1,0))</f>
        <v>1</v>
      </c>
      <c r="R12" s="271">
        <f>IF($B12="","",IFERROR(SUMPRODUCT(('ANALYSE - ERP =&gt; SOUS-SEGMENT'!$B$8:$B$1000=$B12)*'ANALYSE - ERP =&gt; SOUS-SEGMENT'!$Q$8:$Q$1000*'ANALYSE - ERP =&gt; SOUS-SEGMENT'!$AF$8:$AF$1000*'ANALYSE - ERP =&gt; SOUS-SEGMENT'!$R$8:$R$1000)/SUMPRODUCT(('ANALYSE - ERP =&gt; SOUS-SEGMENT'!$B$8:$B$1000=$B12)*'ANALYSE - ERP =&gt; SOUS-SEGMENT'!$Q$8:$Q$1000*'ANALYSE - ERP =&gt; SOUS-SEGMENT'!$AF$8:$AF$1000),""))</f>
        <v>408.11683469134096</v>
      </c>
      <c r="S12" s="272">
        <f>IF($B12="","",SUMPRODUCT(('ANALYSE - ERP =&gt; SOUS-SEGMENT'!$B$8:$B$1000=$B12)*'ANALYSE - ERP =&gt; SOUS-SEGMENT'!$Q$8:$Q$1000*'ANALYSE - ERP =&gt; SOUS-SEGMENT'!$S$8:$S$1000))</f>
        <v>162842</v>
      </c>
      <c r="T12" s="272">
        <f>IF($B12="","",SUMPRODUCT(('ANALYSE - ERP =&gt; SOUS-SEGMENT'!$B$8:$B$1000=$B12)*'ANALYSE - ERP =&gt; SOUS-SEGMENT'!$Q$8:$Q$1000*'ANALYSE - ERP =&gt; SOUS-SEGMENT'!$T$8:$T$1000))</f>
        <v>167985</v>
      </c>
      <c r="U12" s="272">
        <f>IF($B12="","",SUMPRODUCT(('ANALYSE - ERP =&gt; SOUS-SEGMENT'!$B$8:$B$1000=$B12)*'ANALYSE - ERP =&gt; SOUS-SEGMENT'!$Q$8:$Q$1000*'ANALYSE - ERP =&gt; SOUS-SEGMENT'!$U$8:$U$1000))</f>
        <v>171960</v>
      </c>
      <c r="V12" s="272">
        <f>IF($B12="","",SUMPRODUCT(('ANALYSE - ERP =&gt; SOUS-SEGMENT'!$B$8:$B$1000=$B12)*'ANALYSE - ERP =&gt; SOUS-SEGMENT'!$Q$8:$Q$1000*'ANALYSE - ERP =&gt; SOUS-SEGMENT'!$V$8:$V$1000))</f>
        <v>176952</v>
      </c>
      <c r="W12" s="272">
        <f>IF($B12="","",SUMPRODUCT(('ANALYSE - ERP =&gt; SOUS-SEGMENT'!$B$8:$B$1000=$B12)*'ANALYSE - ERP =&gt; SOUS-SEGMENT'!$Q$8:$Q$1000*'ANALYSE - ERP =&gt; SOUS-SEGMENT'!$W$8:$W$1000))</f>
        <v>177636</v>
      </c>
      <c r="X12" s="272">
        <f>IF($B12="","",SUMPRODUCT(('ANALYSE - ERP =&gt; SOUS-SEGMENT'!$B$8:$B$1000=$B12)*'ANALYSE - ERP =&gt; SOUS-SEGMENT'!$Q$8:$Q$1000*'ANALYSE - ERP =&gt; SOUS-SEGMENT'!$X$8:$X$1000))</f>
        <v>178459</v>
      </c>
      <c r="Y12" s="272">
        <f>IF($B12="","",SUMPRODUCT(('ANALYSE - ERP =&gt; SOUS-SEGMENT'!$B$8:$B$1000=$B12)*'ANALYSE - ERP =&gt; SOUS-SEGMENT'!$Q$8:$Q$1000*'ANALYSE - ERP =&gt; SOUS-SEGMENT'!$Y$8:$Y$1000))</f>
        <v>179320</v>
      </c>
      <c r="Z12" s="272">
        <f>IF($B12="","",SUMPRODUCT(('ANALYSE - ERP =&gt; SOUS-SEGMENT'!$B$8:$B$1000=$B12)*'ANALYSE - ERP =&gt; SOUS-SEGMENT'!$Q$8:$Q$1000*'ANALYSE - ERP =&gt; SOUS-SEGMENT'!$Z$8:$Z$1000))</f>
        <v>180122</v>
      </c>
      <c r="AA12" s="272">
        <f>IF($B12="","",SUMPRODUCT(('ANALYSE - ERP =&gt; SOUS-SEGMENT'!$B$8:$B$1000=$B12)*'ANALYSE - ERP =&gt; SOUS-SEGMENT'!$Q$8:$Q$1000*'ANALYSE - ERP =&gt; SOUS-SEGMENT'!$AA$8:$AA$1000))</f>
        <v>173561</v>
      </c>
      <c r="AB12" s="272">
        <f>IF($B12="","",SUMPRODUCT(('ANALYSE - ERP =&gt; SOUS-SEGMENT'!$B$8:$B$1000=$B12)*'ANALYSE - ERP =&gt; SOUS-SEGMENT'!$Q$8:$Q$1000*'ANALYSE - ERP =&gt; SOUS-SEGMENT'!$AB$8:$AB$1000))</f>
        <v>171794</v>
      </c>
      <c r="AC12" s="272">
        <f>IF($B12="","",SUMPRODUCT(('ANALYSE - ERP =&gt; SOUS-SEGMENT'!$B$8:$B$1000=$B12)*'ANALYSE - ERP =&gt; SOUS-SEGMENT'!$Q$8:$Q$1000*'ANALYSE - ERP =&gt; SOUS-SEGMENT'!$AC$8:$AC$1000))</f>
        <v>175742</v>
      </c>
      <c r="AD12" s="272">
        <f>IF($B12="","",SUMPRODUCT(('ANALYSE - ERP =&gt; SOUS-SEGMENT'!$B$8:$B$1000=$B12)*'ANALYSE - ERP =&gt; SOUS-SEGMENT'!$Q$8:$Q$1000*'ANALYSE - ERP =&gt; SOUS-SEGMENT'!$AD$8:$AD$1000))</f>
        <v>178120</v>
      </c>
      <c r="AE12" s="272">
        <f>IF($B12="","",SUMPRODUCT(('ANALYSE - ERP =&gt; SOUS-SEGMENT'!$B$8:$B$1000=$B12)*'ANALYSE - ERP =&gt; SOUS-SEGMENT'!$Q$8:$Q$1000*'ANALYSE - ERP =&gt; SOUS-SEGMENT'!$AE$8:$AE$1000))</f>
        <v>180908</v>
      </c>
      <c r="AF12" s="272">
        <f>IF($B12="","",SUMPRODUCT(('ANALYSE - ERP =&gt; SOUS-SEGMENT'!$B$8:$B$1000=$B12)*'ANALYSE - ERP =&gt; SOUS-SEGMENT'!$Q$8:$Q$1000*'ANALYSE - ERP =&gt; SOUS-SEGMENT'!$AF$8:$AF$1000))</f>
        <v>181025</v>
      </c>
      <c r="AG12" s="272">
        <f>IF($B12="","",SUMPRODUCT(('ANALYSE - ERP =&gt; SOUS-SEGMENT'!$B$8:$B$1000=$B12)*'ANALYSE - ERP =&gt; SOUS-SEGMENT'!$Q$8:$Q$1000*'ANALYSE - ERP =&gt; SOUS-SEGMENT'!$AG$8:$AG$1000))</f>
        <v>181065</v>
      </c>
      <c r="AH12" s="272">
        <f>IF($B12="","",SUMPRODUCT(('ANALYSE - ERP =&gt; SOUS-SEGMENT'!$B$8:$B$1000=$B12)*'ANALYSE - ERP =&gt; SOUS-SEGMENT'!$Q$8:$Q$1000*'ANALYSE - ERP =&gt; SOUS-SEGMENT'!$AH$8:$AH$1000))</f>
        <v>181112</v>
      </c>
      <c r="AI12" s="272">
        <f>IF($B12="","",SUMPRODUCT(('ANALYSE - ERP =&gt; SOUS-SEGMENT'!$B$8:$B$1000=$B12)*'ANALYSE - ERP =&gt; SOUS-SEGMENT'!$Q$8:$Q$1000*'ANALYSE - ERP =&gt; SOUS-SEGMENT'!$AI$8:$AI$1000))</f>
        <v>181173</v>
      </c>
      <c r="AJ12" s="272">
        <f>IF($B12="","",SUMPRODUCT(('ANALYSE - ERP =&gt; SOUS-SEGMENT'!$B$8:$B$1000=$B12)*'ANALYSE - ERP =&gt; SOUS-SEGMENT'!$Q$8:$Q$1000*'ANALYSE - ERP =&gt; SOUS-SEGMENT'!$AJ$8:$AJ$1000))</f>
        <v>181145</v>
      </c>
      <c r="AK12" s="272">
        <f>IF($B12="","",SUMPRODUCT(('ANALYSE - ERP =&gt; SOUS-SEGMENT'!$B$8:$B$1000=$B12)*'ANALYSE - ERP =&gt; SOUS-SEGMENT'!$Q$8:$Q$1000*'ANALYSE - ERP =&gt; SOUS-SEGMENT'!$AK$8:$AK$1000))</f>
        <v>181086</v>
      </c>
      <c r="AL12" s="960" t="s">
        <v>6460</v>
      </c>
      <c r="AM12" s="960" t="s">
        <v>6461</v>
      </c>
      <c r="AN12" s="960" t="s">
        <v>6462</v>
      </c>
      <c r="AO12" s="657"/>
      <c r="AP12" s="271">
        <f>IF($B12="","",IFERROR(SUMPRODUCT(('ANALYSE - ERP =&gt; SOUS-SEGMENT'!$B$8:$B$1000=$B12)*'ANALYSE - ERP =&gt; SOUS-SEGMENT'!$Q$8:$Q$1000*'ANALYSE - ERP =&gt; SOUS-SEGMENT'!$AF$8:$AF$1000*'ANALYSE - ERP =&gt; SOUS-SEGMENT'!$AP$8:$AP$1000)/SUMPRODUCT(('ANALYSE - ERP =&gt; SOUS-SEGMENT'!$B$8:$B$1000=$B12)*'ANALYSE - ERP =&gt; SOUS-SEGMENT'!$Q$8:$Q$1000*'ANALYSE - ERP =&gt; SOUS-SEGMENT'!$AF$8:$AF$1000),""))</f>
        <v>123.80831376881646</v>
      </c>
      <c r="AQ12" s="280">
        <f>IF($B12="","",IFERROR(SUMPRODUCT(('ANALYSE - ERP =&gt; SOUS-SEGMENT'!$B$8:$B$1000=$B12)*'ANALYSE - ERP =&gt; SOUS-SEGMENT'!$Q$8:$Q$1000*'ANALYSE - ERP =&gt; SOUS-SEGMENT'!$AF$8:$AF$1000*'ANALYSE - ERP =&gt; SOUS-SEGMENT'!$AQ$8:$AQ$1000)/SUMPRODUCT(('ANALYSE - ERP =&gt; SOUS-SEGMENT'!$B$8:$B$1000=$B12)*'ANALYSE - ERP =&gt; SOUS-SEGMENT'!$Q$8:$Q$1000*'ANALYSE - ERP =&gt; SOUS-SEGMENT'!$AF$8:$AF$1000),""))</f>
        <v>100.96182847672974</v>
      </c>
      <c r="AR12" s="280">
        <f>IF($B12="","",IFERROR(SUMPRODUCT(('ANALYSE - ERP =&gt; SOUS-SEGMENT'!$B$8:$B$1000=$B12)*'ANALYSE - ERP =&gt; SOUS-SEGMENT'!$Q$8:$Q$1000*'ANALYSE - ERP =&gt; SOUS-SEGMENT'!$AF$8:$AF$1000*'ANALYSE - ERP =&gt; SOUS-SEGMENT'!$AR$8:$AR$1000)/SUMPRODUCT(('ANALYSE - ERP =&gt; SOUS-SEGMENT'!$B$8:$B$1000=$B12)*'ANALYSE - ERP =&gt; SOUS-SEGMENT'!$Q$8:$Q$1000*'ANALYSE - ERP =&gt; SOUS-SEGMENT'!$AF$8:$AF$1000),""))</f>
        <v>17.997155089076095</v>
      </c>
      <c r="AS12" s="280">
        <f>IF($B12="","",IFERROR(SUMPRODUCT(('ANALYSE - ERP =&gt; SOUS-SEGMENT'!$B$8:$B$1000=$B12)*'ANALYSE - ERP =&gt; SOUS-SEGMENT'!$Q$8:$Q$1000*'ANALYSE - ERP =&gt; SOUS-SEGMENT'!$AF$8:$AF$1000*'ANALYSE - ERP =&gt; SOUS-SEGMENT'!$AS$8:$AS$1000)/SUMPRODUCT(('ANALYSE - ERP =&gt; SOUS-SEGMENT'!$B$8:$B$1000=$B12)*'ANALYSE - ERP =&gt; SOUS-SEGMENT'!$Q$8:$Q$1000*'ANALYSE - ERP =&gt; SOUS-SEGMENT'!$AF$8:$AF$1000),""))</f>
        <v>4.8493302030106342</v>
      </c>
      <c r="AT12" s="657"/>
      <c r="AU12" s="647" t="s">
        <v>6463</v>
      </c>
      <c r="AV12" s="647" t="s">
        <v>6464</v>
      </c>
      <c r="AW12" s="960" t="s">
        <v>6465</v>
      </c>
      <c r="AX12" s="647" t="s">
        <v>6466</v>
      </c>
      <c r="AY12" s="657"/>
      <c r="AZ12" s="948">
        <f>IF($B12="","",IFERROR(SUMPRODUCT(('ANALYSE - ERP =&gt; SOUS-SEGMENT'!$B$8:$B$1000=$B12)*'ANALYSE - ERP =&gt; SOUS-SEGMENT'!$Q$8:$Q$1000*'ANALYSE - ERP =&gt; SOUS-SEGMENT'!$AF$8:$AF$1000*'ANALYSE - ERP =&gt; SOUS-SEGMENT'!$AZ$8:$AZ$1000)/SUMPRODUCT(('ANALYSE - ERP =&gt; SOUS-SEGMENT'!$B$8:$B$1000=$B12)*'ANALYSE - ERP =&gt; SOUS-SEGMENT'!$Q$8:$Q$1000*'ANALYSE - ERP =&gt; SOUS-SEGMENT'!$AF$8:$AF$1000),""))</f>
        <v>5.5860709846706254</v>
      </c>
      <c r="BA12" s="948">
        <f>IF($B12="","",IFERROR(SUMPRODUCT(('ANALYSE - ERP =&gt; SOUS-SEGMENT'!$B$8:$B$1000=$B12)*'ANALYSE - ERP =&gt; SOUS-SEGMENT'!$Q$8:$Q$1000*'ANALYSE - ERP =&gt; SOUS-SEGMENT'!$AF$8:$AF$1000*'ANALYSE - ERP =&gt; SOUS-SEGMENT'!$BA$8:$BA$1000)/SUMPRODUCT(('ANALYSE - ERP =&gt; SOUS-SEGMENT'!$B$8:$B$1000=$B12)*'ANALYSE - ERP =&gt; SOUS-SEGMENT'!$Q$8:$Q$1000*'ANALYSE - ERP =&gt; SOUS-SEGMENT'!$AF$8:$AF$1000),""))</f>
        <v>2.4146941030244441E-2</v>
      </c>
      <c r="BB12" s="948">
        <f>IF($B12="","",IFERROR(SUMPRODUCT(('ANALYSE - ERP =&gt; SOUS-SEGMENT'!$B$8:$B$1000=$B12)*'ANALYSE - ERP =&gt; SOUS-SEGMENT'!$Q$8:$Q$1000*'ANALYSE - ERP =&gt; SOUS-SEGMENT'!$AF$8:$AF$1000*'ANALYSE - ERP =&gt; SOUS-SEGMENT'!$BB$8:$BB$1000)/SUMPRODUCT(('ANALYSE - ERP =&gt; SOUS-SEGMENT'!$B$8:$B$1000=$B12)*'ANALYSE - ERP =&gt; SOUS-SEGMENT'!$Q$8:$Q$1000*'ANALYSE - ERP =&gt; SOUS-SEGMENT'!$AF$8:$AF$1000),""))</f>
        <v>0.80584449661648938</v>
      </c>
      <c r="BC12" s="948">
        <f>IF($B12="","",IFERROR(SUMPRODUCT(('ANALYSE - ERP =&gt; SOUS-SEGMENT'!$B$8:$B$1000=$B12)*'ANALYSE - ERP =&gt; SOUS-SEGMENT'!$Q$8:$Q$1000*'ANALYSE - ERP =&gt; SOUS-SEGMENT'!$AF$8:$AF$1000*'ANALYSE - ERP =&gt; SOUS-SEGMENT'!$BC$8:$BC$1000)/SUMPRODUCT(('ANALYSE - ERP =&gt; SOUS-SEGMENT'!$B$8:$B$1000=$B12)*'ANALYSE - ERP =&gt; SOUS-SEGMENT'!$Q$8:$Q$1000*'ANALYSE - ERP =&gt; SOUS-SEGMENT'!$AF$8:$AF$1000),""))</f>
        <v>3.717210330064908</v>
      </c>
      <c r="BD12" s="825">
        <f t="shared" si="1"/>
        <v>1834375.7</v>
      </c>
      <c r="BE12" s="304">
        <f>IF($B12="","",SUMPRODUCT(('ANALYSE - ERP =&gt; SOUS-SEGMENT'!$B$8:$B$1000=$B12)*'ANALYSE - ERP =&gt; SOUS-SEGMENT'!$Q$8:$Q$1000*'ANALYSE - ERP =&gt; SOUS-SEGMENT'!$BE$8:$BE$1000))</f>
        <v>1011218.5</v>
      </c>
      <c r="BF12" s="304">
        <f>IF($B12="","",SUMPRODUCT(('ANALYSE - ERP =&gt; SOUS-SEGMENT'!$B$8:$B$1000=$B12)*'ANALYSE - ERP =&gt; SOUS-SEGMENT'!$Q$8:$Q$1000*'ANALYSE - ERP =&gt; SOUS-SEGMENT'!$BF$8:$BF$1000))</f>
        <v>4371.2</v>
      </c>
      <c r="BG12" s="304">
        <f>IF($B12="","",SUMPRODUCT(('ANALYSE - ERP =&gt; SOUS-SEGMENT'!$B$8:$B$1000=$B12)*'ANALYSE - ERP =&gt; SOUS-SEGMENT'!$Q$8:$Q$1000*'ANALYSE - ERP =&gt; SOUS-SEGMENT'!$BG$8:$BG$1000))</f>
        <v>145878</v>
      </c>
      <c r="BH12" s="304">
        <f>IF($B12="","",SUMPRODUCT(('ANALYSE - ERP =&gt; SOUS-SEGMENT'!$B$8:$B$1000=$B12)*'ANALYSE - ERP =&gt; SOUS-SEGMENT'!$Q$8:$Q$1000*'ANALYSE - ERP =&gt; SOUS-SEGMENT'!$BH$8:$BH$1000))</f>
        <v>672908</v>
      </c>
      <c r="BI12" s="825">
        <f t="shared" si="2"/>
        <v>1839921.25</v>
      </c>
      <c r="BJ12" s="304">
        <f>IF($B12="","",SUMPRODUCT(('ANALYSE - ERP =&gt; SOUS-SEGMENT'!$B$8:$B$1000=$B12)*'ANALYSE - ERP =&gt; SOUS-SEGMENT'!$Q$8:$Q$1000*'ANALYSE - ERP =&gt; SOUS-SEGMENT'!$BJ$8:$BJ$1000))</f>
        <v>1013077</v>
      </c>
      <c r="BK12" s="304">
        <f>IF($B12="","",SUMPRODUCT(('ANALYSE - ERP =&gt; SOUS-SEGMENT'!$B$8:$B$1000=$B12)*'ANALYSE - ERP =&gt; SOUS-SEGMENT'!$Q$8:$Q$1000*'ANALYSE - ERP =&gt; SOUS-SEGMENT'!$BK$8:$BK$1000))</f>
        <v>4344</v>
      </c>
      <c r="BL12" s="304">
        <f>IF($B12="","",SUMPRODUCT(('ANALYSE - ERP =&gt; SOUS-SEGMENT'!$B$8:$B$1000=$B12)*'ANALYSE - ERP =&gt; SOUS-SEGMENT'!$Q$8:$Q$1000*'ANALYSE - ERP =&gt; SOUS-SEGMENT'!$BL$8:$BL$1000))</f>
        <v>146268.25</v>
      </c>
      <c r="BM12" s="304">
        <f>IF($B12="","",SUMPRODUCT(('ANALYSE - ERP =&gt; SOUS-SEGMENT'!$B$8:$B$1000=$B12)*'ANALYSE - ERP =&gt; SOUS-SEGMENT'!$Q$8:$Q$1000*'ANALYSE - ERP =&gt; SOUS-SEGMENT'!$BM$8:$BM$1000))</f>
        <v>676232</v>
      </c>
      <c r="BN12" s="657"/>
      <c r="BO12" s="284">
        <f t="shared" si="3"/>
        <v>0.28430400551413959</v>
      </c>
      <c r="BP12" s="284">
        <f t="shared" si="4"/>
        <v>0.54183126594301834</v>
      </c>
      <c r="BQ12" s="284">
        <f t="shared" si="5"/>
        <v>0.12614873046725311</v>
      </c>
      <c r="BR12" s="710">
        <f t="shared" si="6"/>
        <v>4.771599807558901E-2</v>
      </c>
      <c r="BS12" s="707">
        <f t="shared" si="7"/>
        <v>0.25065530063361424</v>
      </c>
      <c r="BT12" s="284">
        <f t="shared" si="8"/>
        <v>0.54248541818637674</v>
      </c>
      <c r="BU12" s="284">
        <f t="shared" si="9"/>
        <v>0.16442019708274888</v>
      </c>
      <c r="BV12" s="710">
        <f t="shared" si="10"/>
        <v>4.2439084097260125E-2</v>
      </c>
      <c r="BW12" s="714">
        <f t="shared" si="11"/>
        <v>0.36295754026354321</v>
      </c>
      <c r="BX12" s="285">
        <f t="shared" si="12"/>
        <v>0.43806734992679358</v>
      </c>
      <c r="BY12" s="717">
        <f t="shared" si="13"/>
        <v>0.19897510980966329</v>
      </c>
      <c r="BZ12" s="714">
        <f t="shared" si="14"/>
        <v>0.31550644567219155</v>
      </c>
      <c r="CA12" s="285">
        <f t="shared" si="15"/>
        <v>0.45334254143646407</v>
      </c>
      <c r="CB12" s="717">
        <f t="shared" si="16"/>
        <v>0.2311510128913444</v>
      </c>
      <c r="CC12" s="284">
        <f t="shared" si="17"/>
        <v>8.4928776100577197E-2</v>
      </c>
      <c r="CD12" s="284">
        <f t="shared" si="18"/>
        <v>0.50772337158447467</v>
      </c>
      <c r="CE12" s="284">
        <f t="shared" si="19"/>
        <v>0.17459006841333169</v>
      </c>
      <c r="CF12" s="710">
        <f t="shared" si="20"/>
        <v>0.23275778390161644</v>
      </c>
      <c r="CG12" s="707">
        <f t="shared" si="21"/>
        <v>6.8280583790398794E-2</v>
      </c>
      <c r="CH12" s="284">
        <f t="shared" si="22"/>
        <v>0.50398336617823758</v>
      </c>
      <c r="CI12" s="284">
        <f t="shared" si="23"/>
        <v>0.20715339795205043</v>
      </c>
      <c r="CJ12" s="710">
        <f t="shared" si="24"/>
        <v>0.22058265207931321</v>
      </c>
      <c r="CK12" s="720">
        <f t="shared" si="25"/>
        <v>0.51769484089949891</v>
      </c>
      <c r="CL12" s="286">
        <f t="shared" si="26"/>
        <v>0.33883651256932595</v>
      </c>
      <c r="CM12" s="718">
        <f t="shared" si="27"/>
        <v>0.14346864653117514</v>
      </c>
      <c r="CN12" s="720">
        <f t="shared" si="28"/>
        <v>0.4229334311301447</v>
      </c>
      <c r="CO12" s="286">
        <f t="shared" si="29"/>
        <v>0.38018203811709594</v>
      </c>
      <c r="CP12" s="718">
        <f t="shared" si="30"/>
        <v>0.19688453075275941</v>
      </c>
      <c r="CQ12" s="657"/>
      <c r="CR12" s="807">
        <f>IF($B12="","",IFERROR(SUMPRODUCT(('ANALYSE - ERP =&gt; SOUS-SEGMENT'!$B$8:$B$1000=$B12)*'ANALYSE - ERP =&gt; SOUS-SEGMENT'!$Q$8:$Q$1000*'ANALYSE - ERP =&gt; SOUS-SEGMENT'!$DH$8:$DH$1000*'ANALYSE - ERP =&gt; SOUS-SEGMENT'!$CR$8:$CR$1000)/SUMPRODUCT(('ANALYSE - ERP =&gt; SOUS-SEGMENT'!$B$8:$B$1000=$B12)*'ANALYSE - ERP =&gt; SOUS-SEGMENT'!$Q$8:$Q$1000*'ANALYSE - ERP =&gt; SOUS-SEGMENT'!$DH$8:$DH$1000),""))</f>
        <v>10.62088269343996</v>
      </c>
      <c r="CS12" s="808">
        <f>IF($B12="","",IFERROR(SUMPRODUCT(('ANALYSE - ERP =&gt; SOUS-SEGMENT'!$B$8:$B$1000=$B12)*'ANALYSE - ERP =&gt; SOUS-SEGMENT'!$Q$8:$Q$1000*'ANALYSE - ERP =&gt; SOUS-SEGMENT'!$DI$8:$DI$1000*'ANALYSE - ERP =&gt; SOUS-SEGMENT'!$CS$8:$CS$1000)/SUMPRODUCT(('ANALYSE - ERP =&gt; SOUS-SEGMENT'!$B$8:$B$1000=$B12)*'ANALYSE - ERP =&gt; SOUS-SEGMENT'!$Q$8:$Q$1000*'ANALYSE - ERP =&gt; SOUS-SEGMENT'!$DI$8:$DI$1000),""))</f>
        <v>11.556227138116528</v>
      </c>
      <c r="CT12" s="808">
        <f>IF($B12="","",IFERROR(SUMPRODUCT(('ANALYSE - ERP =&gt; SOUS-SEGMENT'!$B$8:$B$1000=$B12)*'ANALYSE - ERP =&gt; SOUS-SEGMENT'!$Q$8:$Q$1000*'ANALYSE - ERP =&gt; SOUS-SEGMENT'!$DJ$8:$DJ$1000*'ANALYSE - ERP =&gt; SOUS-SEGMENT'!$CT$8:$CT$1000)/SUMPRODUCT(('ANALYSE - ERP =&gt; SOUS-SEGMENT'!$B$8:$B$1000=$B12)*'ANALYSE - ERP =&gt; SOUS-SEGMENT'!$Q$8:$Q$1000*'ANALYSE - ERP =&gt; SOUS-SEGMENT'!$DJ$8:$DJ$1000),""))</f>
        <v>8.0010582928889065</v>
      </c>
      <c r="CU12" s="809">
        <f>IF($B12="","",IFERROR(SUMPRODUCT(('ANALYSE - ERP =&gt; SOUS-SEGMENT'!$B$8:$B$1000=$B12)*'ANALYSE - ERP =&gt; SOUS-SEGMENT'!$Q$8:$Q$1000*'ANALYSE - ERP =&gt; SOUS-SEGMENT'!$DK$8:$DK$1000*'ANALYSE - ERP =&gt; SOUS-SEGMENT'!$CU$8:$CU$1000)/SUMPRODUCT(('ANALYSE - ERP =&gt; SOUS-SEGMENT'!$B$8:$B$1000=$B12)*'ANALYSE - ERP =&gt; SOUS-SEGMENT'!$Q$8:$Q$1000*'ANALYSE - ERP =&gt; SOUS-SEGMENT'!$DK$8:$DK$1000),""))</f>
        <v>9.5970367637763125</v>
      </c>
      <c r="CV12" s="807">
        <f>IF($B12="","",IFERROR(SUMPRODUCT(('ANALYSE - ERP =&gt; SOUS-SEGMENT'!$B$8:$B$1000=$B12)*'ANALYSE - ERP =&gt; SOUS-SEGMENT'!$Q$8:$Q$1000*'ANALYSE - ERP =&gt; SOUS-SEGMENT'!$DS$8:$DS$1000*'ANALYSE - ERP =&gt; SOUS-SEGMENT'!$CV$8:$CV$1000)/SUMPRODUCT(('ANALYSE - ERP =&gt; SOUS-SEGMENT'!$B$8:$B$1000=$B12)*'ANALYSE - ERP =&gt; SOUS-SEGMENT'!$Q$8:$Q$1000*'ANALYSE - ERP =&gt; SOUS-SEGMENT'!$DS$8:$DS$1000),""))</f>
        <v>10.65752319483663</v>
      </c>
      <c r="CW12" s="808">
        <f>IF($B12="","",IFERROR(SUMPRODUCT(('ANALYSE - ERP =&gt; SOUS-SEGMENT'!$B$8:$B$1000=$B12)*'ANALYSE - ERP =&gt; SOUS-SEGMENT'!$Q$8:$Q$1000*'ANALYSE - ERP =&gt; SOUS-SEGMENT'!$DT$8:$DT$1000*'ANALYSE - ERP =&gt; SOUS-SEGMENT'!$CW$8:$CW$1000)/SUMPRODUCT(('ANALYSE - ERP =&gt; SOUS-SEGMENT'!$B$8:$B$1000=$B12)*'ANALYSE - ERP =&gt; SOUS-SEGMENT'!$Q$8:$Q$1000*'ANALYSE - ERP =&gt; SOUS-SEGMENT'!$DT$8:$DT$1000),""))</f>
        <v>9.4358288770053491</v>
      </c>
      <c r="CX12" s="809">
        <f>IF($B12="","",IFERROR(SUMPRODUCT(('ANALYSE - ERP =&gt; SOUS-SEGMENT'!$B$8:$B$1000=$B12)*'ANALYSE - ERP =&gt; SOUS-SEGMENT'!$Q$8:$Q$1000*'ANALYSE - ERP =&gt; SOUS-SEGMENT'!$DU$8:$DU$1000*'ANALYSE - ERP =&gt; SOUS-SEGMENT'!$CX$8:$CX$1000)/SUMPRODUCT(('ANALYSE - ERP =&gt; SOUS-SEGMENT'!$B$8:$B$1000=$B12)*'ANALYSE - ERP =&gt; SOUS-SEGMENT'!$Q$8:$Q$1000*'ANALYSE - ERP =&gt; SOUS-SEGMENT'!$DU$8:$DU$1000),""))</f>
        <v>7.2398822663723319</v>
      </c>
      <c r="CY12" s="807">
        <f>IF($B12="","",IFERROR(SUMPRODUCT(('ANALYSE - ERP =&gt; SOUS-SEGMENT'!$B$8:$B$1000=$B12)*'ANALYSE - ERP =&gt; SOUS-SEGMENT'!$Q$8:$Q$1000*'ANALYSE - ERP =&gt; SOUS-SEGMENT'!$EB$8:$EB$1000*'ANALYSE - ERP =&gt; SOUS-SEGMENT'!$CY$8:$CY$1000)/SUMPRODUCT(('ANALYSE - ERP =&gt; SOUS-SEGMENT'!$B$8:$B$1000=$B12)*'ANALYSE - ERP =&gt; SOUS-SEGMENT'!$Q$8:$Q$1000*'ANALYSE - ERP =&gt; SOUS-SEGMENT'!$EB$8:$EB$1000),""))</f>
        <v>8.9864802037897409</v>
      </c>
      <c r="CZ12" s="808">
        <f>IF($B12="","",IFERROR(SUMPRODUCT(('ANALYSE - ERP =&gt; SOUS-SEGMENT'!$B$8:$B$1000=$B12)*'ANALYSE - ERP =&gt; SOUS-SEGMENT'!$Q$8:$Q$1000*'ANALYSE - ERP =&gt; SOUS-SEGMENT'!$EC$8:$EC$1000*'ANALYSE - ERP =&gt; SOUS-SEGMENT'!$CZ$8:$CZ$1000)/SUMPRODUCT(('ANALYSE - ERP =&gt; SOUS-SEGMENT'!$B$8:$B$1000=$B12)*'ANALYSE - ERP =&gt; SOUS-SEGMENT'!$Q$8:$Q$1000*'ANALYSE - ERP =&gt; SOUS-SEGMENT'!$EC$8:$EC$1000),""))</f>
        <v>11.000000000000002</v>
      </c>
      <c r="DA12" s="808">
        <f>IF($B12="","",IFERROR(SUMPRODUCT(('ANALYSE - ERP =&gt; SOUS-SEGMENT'!$B$8:$B$1000=$B12)*'ANALYSE - ERP =&gt; SOUS-SEGMENT'!$Q$8:$Q$1000*'ANALYSE - ERP =&gt; SOUS-SEGMENT'!$ED$8:$ED$1000*'ANALYSE - ERP =&gt; SOUS-SEGMENT'!$DA$8:$DA$1000)/SUMPRODUCT(('ANALYSE - ERP =&gt; SOUS-SEGMENT'!$B$8:$B$1000=$B12)*'ANALYSE - ERP =&gt; SOUS-SEGMENT'!$Q$8:$Q$1000*'ANALYSE - ERP =&gt; SOUS-SEGMENT'!$ED$8:$ED$1000),""))</f>
        <v>7.5836521868871181</v>
      </c>
      <c r="DB12" s="809">
        <f>IF($B12="","",IFERROR(SUMPRODUCT(('ANALYSE - ERP =&gt; SOUS-SEGMENT'!$B$8:$B$1000=$B12)*'ANALYSE - ERP =&gt; SOUS-SEGMENT'!$Q$8:$Q$1000*'ANALYSE - ERP =&gt; SOUS-SEGMENT'!$EE$8:$EE$1000*'ANALYSE - ERP =&gt; SOUS-SEGMENT'!$DB$8:$DB$1000)/SUMPRODUCT(('ANALYSE - ERP =&gt; SOUS-SEGMENT'!$B$8:$B$1000=$B12)*'ANALYSE - ERP =&gt; SOUS-SEGMENT'!$Q$8:$Q$1000*'ANALYSE - ERP =&gt; SOUS-SEGMENT'!$EE$8:$EE$1000),""))</f>
        <v>9</v>
      </c>
      <c r="DC12" s="807">
        <f>IF($B12="","",IFERROR(SUMPRODUCT(('ANALYSE - ERP =&gt; SOUS-SEGMENT'!$B$8:$B$1000=$B12)*'ANALYSE - ERP =&gt; SOUS-SEGMENT'!$Q$8:$Q$1000*'ANALYSE - ERP =&gt; SOUS-SEGMENT'!$EM$8:$EM$1000*'ANALYSE - ERP =&gt; SOUS-SEGMENT'!$DC$8:$DC$1000)/SUMPRODUCT(('ANALYSE - ERP =&gt; SOUS-SEGMENT'!$B$8:$B$1000=$B12)*'ANALYSE - ERP =&gt; SOUS-SEGMENT'!$Q$8:$Q$1000*'ANALYSE - ERP =&gt; SOUS-SEGMENT'!$EM$8:$EM$1000),""))</f>
        <v>11.050398867841119</v>
      </c>
      <c r="DD12" s="808">
        <f>IF($B12="","",IFERROR(SUMPRODUCT(('ANALYSE - ERP =&gt; SOUS-SEGMENT'!$B$8:$B$1000=$B12)*'ANALYSE - ERP =&gt; SOUS-SEGMENT'!$Q$8:$Q$1000*'ANALYSE - ERP =&gt; SOUS-SEGMENT'!$EN$8:$EN$1000*'ANALYSE - ERP =&gt; SOUS-SEGMENT'!$DD$8:$DD$1000)/SUMPRODUCT(('ANALYSE - ERP =&gt; SOUS-SEGMENT'!$B$8:$B$1000=$B12)*'ANALYSE - ERP =&gt; SOUS-SEGMENT'!$Q$8:$Q$1000*'ANALYSE - ERP =&gt; SOUS-SEGMENT'!$EN$8:$EN$1000),""))</f>
        <v>11.579300175697286</v>
      </c>
      <c r="DE12" s="809">
        <f>IF($B12="","",IFERROR(SUMPRODUCT(('ANALYSE - ERP =&gt; SOUS-SEGMENT'!$B$8:$B$1000=$B12)*'ANALYSE - ERP =&gt; SOUS-SEGMENT'!$Q$8:$Q$1000*'ANALYSE - ERP =&gt; SOUS-SEGMENT'!$EO$8:$EO$1000*'ANALYSE - ERP =&gt; SOUS-SEGMENT'!$DE$8:$DE$1000)/SUMPRODUCT(('ANALYSE - ERP =&gt; SOUS-SEGMENT'!$B$8:$B$1000=$B12)*'ANALYSE - ERP =&gt; SOUS-SEGMENT'!$Q$8:$Q$1000*'ANALYSE - ERP =&gt; SOUS-SEGMENT'!$EO$8:$EO$1000),""))</f>
        <v>8.4097214453518294</v>
      </c>
      <c r="DF12" s="921" t="s">
        <v>6467</v>
      </c>
      <c r="DG12" s="657"/>
      <c r="DH12" s="288">
        <f>IF($B12="","",SUMPRODUCT(('ANALYSE - ERP =&gt; SOUS-SEGMENT'!$B$8:$B$1000=$B12)*'ANALYSE - ERP =&gt; SOUS-SEGMENT'!$Q$8:$Q$1000*'ANALYSE - ERP =&gt; SOUS-SEGMENT'!$DH$8:$DH$1000))</f>
        <v>287493.46999999997</v>
      </c>
      <c r="DI12" s="288">
        <f>IF($B12="","",SUMPRODUCT(('ANALYSE - ERP =&gt; SOUS-SEGMENT'!$B$8:$B$1000=$B12)*'ANALYSE - ERP =&gt; SOUS-SEGMENT'!$Q$8:$Q$1000*'ANALYSE - ERP =&gt; SOUS-SEGMENT'!$DI$8:$DI$1000))</f>
        <v>547909.80000000005</v>
      </c>
      <c r="DJ12" s="288">
        <f>IF($B12="","",SUMPRODUCT(('ANALYSE - ERP =&gt; SOUS-SEGMENT'!$B$8:$B$1000=$B12)*'ANALYSE - ERP =&gt; SOUS-SEGMENT'!$Q$8:$Q$1000*'ANALYSE - ERP =&gt; SOUS-SEGMENT'!$DJ$8:$DJ$1000))</f>
        <v>127563.93</v>
      </c>
      <c r="DK12" s="288">
        <f>IF($B12="","",SUMPRODUCT(('ANALYSE - ERP =&gt; SOUS-SEGMENT'!$B$8:$B$1000=$B12)*'ANALYSE - ERP =&gt; SOUS-SEGMENT'!$Q$8:$Q$1000*'ANALYSE - ERP =&gt; SOUS-SEGMENT'!$DK$8:$DK$1000))</f>
        <v>48251.3</v>
      </c>
      <c r="DL12" s="922" t="s">
        <v>6468</v>
      </c>
      <c r="DM12" s="288">
        <f>IF($B12="","",SUMPRODUCT(('ANALYSE - ERP =&gt; SOUS-SEGMENT'!$B$8:$B$1000=$B12)*'ANALYSE - ERP =&gt; SOUS-SEGMENT'!$Q$8:$Q$1000*'ANALYSE - ERP =&gt; SOUS-SEGMENT'!$DM$8:$DM$1000))</f>
        <v>253933.12000000002</v>
      </c>
      <c r="DN12" s="288">
        <f>IF($B12="","",SUMPRODUCT(('ANALYSE - ERP =&gt; SOUS-SEGMENT'!$B$8:$B$1000=$B12)*'ANALYSE - ERP =&gt; SOUS-SEGMENT'!$Q$8:$Q$1000*'ANALYSE - ERP =&gt; SOUS-SEGMENT'!$DN$8:$DN$1000))</f>
        <v>549579.5</v>
      </c>
      <c r="DO12" s="288">
        <f>IF($B12="","",SUMPRODUCT(('ANALYSE - ERP =&gt; SOUS-SEGMENT'!$B$8:$B$1000=$B12)*'ANALYSE - ERP =&gt; SOUS-SEGMENT'!$Q$8:$Q$1000*'ANALYSE - ERP =&gt; SOUS-SEGMENT'!$DO$8:$DO$1000))</f>
        <v>166570.31999999998</v>
      </c>
      <c r="DP12" s="288">
        <f>IF($B12="","",SUMPRODUCT(('ANALYSE - ERP =&gt; SOUS-SEGMENT'!$B$8:$B$1000=$B12)*'ANALYSE - ERP =&gt; SOUS-SEGMENT'!$Q$8:$Q$1000*'ANALYSE - ERP =&gt; SOUS-SEGMENT'!$DP$8:$DP$1000))</f>
        <v>42994.06</v>
      </c>
      <c r="DQ12" s="922" t="s">
        <v>6469</v>
      </c>
      <c r="DR12" s="657"/>
      <c r="DS12" s="288">
        <f>IF($B12="","",SUMPRODUCT(('ANALYSE - ERP =&gt; SOUS-SEGMENT'!$B$8:$B$1000=$B12)*'ANALYSE - ERP =&gt; SOUS-SEGMENT'!$Q$8:$Q$1000*'ANALYSE - ERP =&gt; SOUS-SEGMENT'!$DS$8:$DS$1000))</f>
        <v>1586.56</v>
      </c>
      <c r="DT12" s="288">
        <f>IF($B12="","",SUMPRODUCT(('ANALYSE - ERP =&gt; SOUS-SEGMENT'!$B$8:$B$1000=$B12)*'ANALYSE - ERP =&gt; SOUS-SEGMENT'!$Q$8:$Q$1000*'ANALYSE - ERP =&gt; SOUS-SEGMENT'!$DT$8:$DT$1000))</f>
        <v>1914.88</v>
      </c>
      <c r="DU12" s="288">
        <f>IF($B12="","",SUMPRODUCT(('ANALYSE - ERP =&gt; SOUS-SEGMENT'!$B$8:$B$1000=$B12)*'ANALYSE - ERP =&gt; SOUS-SEGMENT'!$Q$8:$Q$1000*'ANALYSE - ERP =&gt; SOUS-SEGMENT'!$DU$8:$DU$1000))</f>
        <v>869.7600000000001</v>
      </c>
      <c r="DV12" s="922" t="s">
        <v>6470</v>
      </c>
      <c r="DW12" s="288">
        <f>IF($B12="","",SUMPRODUCT(('ANALYSE - ERP =&gt; SOUS-SEGMENT'!$B$8:$B$1000=$B12)*'ANALYSE - ERP =&gt; SOUS-SEGMENT'!$Q$8:$Q$1000*'ANALYSE - ERP =&gt; SOUS-SEGMENT'!$DW$8:$DW$1000))</f>
        <v>1370.5600000000002</v>
      </c>
      <c r="DX12" s="288">
        <f>IF($B12="","",SUMPRODUCT(('ANALYSE - ERP =&gt; SOUS-SEGMENT'!$B$8:$B$1000=$B12)*'ANALYSE - ERP =&gt; SOUS-SEGMENT'!$Q$8:$Q$1000*'ANALYSE - ERP =&gt; SOUS-SEGMENT'!$DX$8:$DX$1000))</f>
        <v>1969.32</v>
      </c>
      <c r="DY12" s="288">
        <f>IF($B12="","",SUMPRODUCT(('ANALYSE - ERP =&gt; SOUS-SEGMENT'!$B$8:$B$1000=$B12)*'ANALYSE - ERP =&gt; SOUS-SEGMENT'!$Q$8:$Q$1000*'ANALYSE - ERP =&gt; SOUS-SEGMENT'!$DY$8:$DY$1000))</f>
        <v>1004.1200000000001</v>
      </c>
      <c r="DZ12" s="922" t="s">
        <v>6471</v>
      </c>
      <c r="EA12" s="657"/>
      <c r="EB12" s="288">
        <f>IF($B12="","",SUMPRODUCT(('ANALYSE - ERP =&gt; SOUS-SEGMENT'!$B$8:$B$1000=$B12)*'ANALYSE - ERP =&gt; SOUS-SEGMENT'!$Q$8:$Q$1000*'ANALYSE - ERP =&gt; SOUS-SEGMENT'!$EB$8:$EB$1000))</f>
        <v>12389.24</v>
      </c>
      <c r="EC12" s="288">
        <f>IF($B12="","",SUMPRODUCT(('ANALYSE - ERP =&gt; SOUS-SEGMENT'!$B$8:$B$1000=$B12)*'ANALYSE - ERP =&gt; SOUS-SEGMENT'!$Q$8:$Q$1000*'ANALYSE - ERP =&gt; SOUS-SEGMENT'!$EC$8:$EC$1000))</f>
        <v>74065.67</v>
      </c>
      <c r="ED12" s="288">
        <f>IF($B12="","",SUMPRODUCT(('ANALYSE - ERP =&gt; SOUS-SEGMENT'!$B$8:$B$1000=$B12)*'ANALYSE - ERP =&gt; SOUS-SEGMENT'!$Q$8:$Q$1000*'ANALYSE - ERP =&gt; SOUS-SEGMENT'!$ED$8:$ED$1000))</f>
        <v>25468.850000000002</v>
      </c>
      <c r="EE12" s="288">
        <f>IF($B12="","",SUMPRODUCT(('ANALYSE - ERP =&gt; SOUS-SEGMENT'!$B$8:$B$1000=$B12)*'ANALYSE - ERP =&gt; SOUS-SEGMENT'!$Q$8:$Q$1000*'ANALYSE - ERP =&gt; SOUS-SEGMENT'!$EE$8:$EE$1000))</f>
        <v>33954.240000000005</v>
      </c>
      <c r="EF12" s="922" t="s">
        <v>6472</v>
      </c>
      <c r="EG12" s="288">
        <f>IF($B12="","",SUMPRODUCT(('ANALYSE - ERP =&gt; SOUS-SEGMENT'!$B$8:$B$1000=$B12)*'ANALYSE - ERP =&gt; SOUS-SEGMENT'!$Q$8:$Q$1000*'ANALYSE - ERP =&gt; SOUS-SEGMENT'!$EG$8:$EG$1000))</f>
        <v>9987.2814999999991</v>
      </c>
      <c r="EH12" s="288">
        <f>IF($B12="","",SUMPRODUCT(('ANALYSE - ERP =&gt; SOUS-SEGMENT'!$B$8:$B$1000=$B12)*'ANALYSE - ERP =&gt; SOUS-SEGMENT'!$Q$8:$Q$1000*'ANALYSE - ERP =&gt; SOUS-SEGMENT'!$EH$8:$EH$1000))</f>
        <v>73716.764999999999</v>
      </c>
      <c r="EI12" s="288">
        <f>IF($B12="","",SUMPRODUCT(('ANALYSE - ERP =&gt; SOUS-SEGMENT'!$B$8:$B$1000=$B12)*'ANALYSE - ERP =&gt; SOUS-SEGMENT'!$Q$8:$Q$1000*'ANALYSE - ERP =&gt; SOUS-SEGMENT'!$EI$8:$EI$1000))</f>
        <v>30299.965</v>
      </c>
      <c r="EJ12" s="288">
        <f>IF($B12="","",SUMPRODUCT(('ANALYSE - ERP =&gt; SOUS-SEGMENT'!$B$8:$B$1000=$B12)*'ANALYSE - ERP =&gt; SOUS-SEGMENT'!$Q$8:$Q$1000*'ANALYSE - ERP =&gt; SOUS-SEGMENT'!$EJ$8:$EJ$1000))</f>
        <v>32264.238500000003</v>
      </c>
      <c r="EK12" s="922" t="s">
        <v>6473</v>
      </c>
      <c r="EL12" s="657"/>
      <c r="EM12" s="288">
        <f>IF($B12="","",SUMPRODUCT(('ANALYSE - ERP =&gt; SOUS-SEGMENT'!$B$8:$B$1000=$B12)*'ANALYSE - ERP =&gt; SOUS-SEGMENT'!$Q$8:$Q$1000*'ANALYSE - ERP =&gt; SOUS-SEGMENT'!$EM$8:$EM$1000))</f>
        <v>348361</v>
      </c>
      <c r="EN12" s="291">
        <f>IF($B12="","",SUMPRODUCT(('ANALYSE - ERP =&gt; SOUS-SEGMENT'!$B$8:$B$1000=$B12)*'ANALYSE - ERP =&gt; SOUS-SEGMENT'!$Q$8:$Q$1000*'ANALYSE - ERP =&gt; SOUS-SEGMENT'!$EN$8:$EN$1000))</f>
        <v>228005.8</v>
      </c>
      <c r="EO12" s="291">
        <f>IF($B12="","",SUMPRODUCT(('ANALYSE - ERP =&gt; SOUS-SEGMENT'!$B$8:$B$1000=$B12)*'ANALYSE - ERP =&gt; SOUS-SEGMENT'!$Q$8:$Q$1000*'ANALYSE - ERP =&gt; SOUS-SEGMENT'!$EO$8:$EO$1000))</f>
        <v>96541.2</v>
      </c>
      <c r="EP12" s="922" t="s">
        <v>6474</v>
      </c>
      <c r="EQ12" s="288">
        <f>IF($B12="","",SUMPRODUCT(('ANALYSE - ERP =&gt; SOUS-SEGMENT'!$B$8:$B$1000=$B12)*'ANALYSE - ERP =&gt; SOUS-SEGMENT'!$Q$8:$Q$1000*'ANALYSE - ERP =&gt; SOUS-SEGMENT'!$EQ$8:$EQ$1000))</f>
        <v>286001.12</v>
      </c>
      <c r="ER12" s="291">
        <f>IF($B12="","",SUMPRODUCT(('ANALYSE - ERP =&gt; SOUS-SEGMENT'!$B$8:$B$1000=$B12)*'ANALYSE - ERP =&gt; SOUS-SEGMENT'!$Q$8:$Q$1000*'ANALYSE - ERP =&gt; SOUS-SEGMENT'!$ER$8:$ER$1000))</f>
        <v>257091.26</v>
      </c>
      <c r="ES12" s="291">
        <f>IF($B12="","",SUMPRODUCT(('ANALYSE - ERP =&gt; SOUS-SEGMENT'!$B$8:$B$1000=$B12)*'ANALYSE - ERP =&gt; SOUS-SEGMENT'!$Q$8:$Q$1000*'ANALYSE - ERP =&gt; SOUS-SEGMENT'!$ES$8:$ES$1000))</f>
        <v>133139.62</v>
      </c>
      <c r="ET12" s="922" t="s">
        <v>6475</v>
      </c>
      <c r="EU12" s="657"/>
      <c r="EV12" s="740">
        <f t="shared" si="31"/>
        <v>0.82240881955974698</v>
      </c>
      <c r="EW12" s="740">
        <f t="shared" si="32"/>
        <v>0.17759118044025304</v>
      </c>
      <c r="EX12" s="563">
        <f t="shared" si="33"/>
        <v>867590.54009912338</v>
      </c>
      <c r="EY12" s="563">
        <f t="shared" si="34"/>
        <v>713514.1119441234</v>
      </c>
      <c r="EZ12" s="563">
        <f t="shared" si="35"/>
        <v>154076.428155</v>
      </c>
      <c r="FA12" s="563">
        <f t="shared" si="36"/>
        <v>475916.62902956211</v>
      </c>
      <c r="FB12" s="563">
        <f>IF($B12="","",SUMPRODUCT(('ANALYSE - ERP =&gt; SOUS-SEGMENT'!$B$8:$B$1000=$B12)*'ANALYSE - ERP =&gt; SOUS-SEGMENT'!$Q$8:$Q$1000*'ANALYSE - ERP =&gt; SOUS-SEGMENT'!$FB$8:$FB$1000))</f>
        <v>391961.75940456212</v>
      </c>
      <c r="FC12" s="563">
        <f>IF($B12="","",SUMPRODUCT(('ANALYSE - ERP =&gt; SOUS-SEGMENT'!$B$8:$B$1000=$B12)*'ANALYSE - ERP =&gt; SOUS-SEGMENT'!$Q$8:$Q$1000*'ANALYSE - ERP =&gt; SOUS-SEGMENT'!$FC$8:$FC$1000))</f>
        <v>83954.869624999992</v>
      </c>
      <c r="FD12" s="563">
        <f t="shared" si="37"/>
        <v>2227.1270124819625</v>
      </c>
      <c r="FE12" s="563">
        <f>IF($B12="","",SUMPRODUCT(('ANALYSE - ERP =&gt; SOUS-SEGMENT'!$B$8:$B$1000=$B12)*'ANALYSE - ERP =&gt; SOUS-SEGMENT'!$Q$8:$Q$1000*'ANALYSE - ERP =&gt; SOUS-SEGMENT'!$FE$8:$FE$1000))</f>
        <v>1945.6390124819627</v>
      </c>
      <c r="FF12" s="563">
        <f>IF($B12="","",SUMPRODUCT(('ANALYSE - ERP =&gt; SOUS-SEGMENT'!$B$8:$B$1000=$B12)*'ANALYSE - ERP =&gt; SOUS-SEGMENT'!$Q$8:$Q$1000*'ANALYSE - ERP =&gt; SOUS-SEGMENT'!$FF$8:$FF$1000))</f>
        <v>281.488</v>
      </c>
      <c r="FG12" s="563">
        <f t="shared" si="38"/>
        <v>74660.089018280138</v>
      </c>
      <c r="FH12" s="563">
        <f>IF($B12="","",SUMPRODUCT(('ANALYSE - ERP =&gt; SOUS-SEGMENT'!$B$8:$B$1000=$B12)*'ANALYSE - ERP =&gt; SOUS-SEGMENT'!$Q$8:$Q$1000*'ANALYSE - ERP =&gt; SOUS-SEGMENT'!$FH$8:$FH$1000))</f>
        <v>62450.896888280127</v>
      </c>
      <c r="FI12" s="563">
        <f>IF($B12="","",SUMPRODUCT(('ANALYSE - ERP =&gt; SOUS-SEGMENT'!$B$8:$B$1000=$B12)*'ANALYSE - ERP =&gt; SOUS-SEGMENT'!$Q$8:$Q$1000*'ANALYSE - ERP =&gt; SOUS-SEGMENT'!$FI$8:$FI$1000))</f>
        <v>12209.192130000005</v>
      </c>
      <c r="FJ12" s="563">
        <f t="shared" si="39"/>
        <v>314786.6950387992</v>
      </c>
      <c r="FK12" s="563">
        <f>IF($B12="","",SUMPRODUCT(('ANALYSE - ERP =&gt; SOUS-SEGMENT'!$B$8:$B$1000=$B12)*'ANALYSE - ERP =&gt; SOUS-SEGMENT'!$Q$8:$Q$1000*'ANALYSE - ERP =&gt; SOUS-SEGMENT'!$FK$8:$FK$1000))</f>
        <v>257155.81663879921</v>
      </c>
      <c r="FL12" s="563">
        <f>IF($B12="","",SUMPRODUCT(('ANALYSE - ERP =&gt; SOUS-SEGMENT'!$B$8:$B$1000=$B12)*'ANALYSE - ERP =&gt; SOUS-SEGMENT'!$Q$8:$Q$1000*'ANALYSE - ERP =&gt; SOUS-SEGMENT'!$FL$8:$FL$1000))</f>
        <v>57630.878400000009</v>
      </c>
      <c r="FM12" s="529"/>
      <c r="FN12" s="961" t="s">
        <v>2649</v>
      </c>
      <c r="FO12" s="740">
        <f>IF($B12="","",IFERROR(SUMPRODUCT(('ANALYSE - ERP =&gt; SOUS-SEGMENT'!$B$8:$B$1000=$B12)*'ANALYSE - ERP =&gt; SOUS-SEGMENT'!$Q$8:$Q$1000*'ANALYSE - ERP =&gt; SOUS-SEGMENT'!$AF$8:$AF$1000*'ANALYSE - ERP =&gt; SOUS-SEGMENT'!$FO$8:$FO$1000)/SUMPRODUCT(('ANALYSE - ERP =&gt; SOUS-SEGMENT'!$B$8:$B$1000=$B12)*'ANALYSE - ERP =&gt; SOUS-SEGMENT'!$Q$8:$Q$1000*'ANALYSE - ERP =&gt; SOUS-SEGMENT'!$AF$8:$AF$1000),""))</f>
        <v>6.2774468443585141E-2</v>
      </c>
      <c r="FP12" s="741">
        <f>IF($B12="","",IFERROR(SUMPRODUCT(('ANALYSE - ERP =&gt; SOUS-SEGMENT'!$B$8:$B$1000=$B12)*'ANALYSE - ERP =&gt; SOUS-SEGMENT'!$Q$8:$Q$1000*'ANALYSE - ERP =&gt; SOUS-SEGMENT'!$AF$8:$AF$1000*'ANALYSE - ERP =&gt; SOUS-SEGMENT'!$FP$8:$FP$1000)/SUMPRODUCT(('ANALYSE - ERP =&gt; SOUS-SEGMENT'!$B$8:$B$1000=$B12)*'ANALYSE - ERP =&gt; SOUS-SEGMENT'!$Q$8:$Q$1000*'ANALYSE - ERP =&gt; SOUS-SEGMENT'!$AF$8:$AF$1000),""))</f>
        <v>0.83988875293467735</v>
      </c>
      <c r="FQ12" s="961" t="s">
        <v>6476</v>
      </c>
      <c r="FR12" s="529"/>
      <c r="FS12" s="867">
        <f>IF($B12="","",IFERROR(SUMPRODUCT(('ANALYSE - ERP =&gt; SOUS-SEGMENT'!$B$8:$B$1000=$B12)*'ANALYSE - ERP =&gt; SOUS-SEGMENT'!$Q$8:$Q$1000*'ANALYSE - ERP =&gt; SOUS-SEGMENT'!$EX$8:$EX$1000*'ANALYSE - ERP =&gt; SOUS-SEGMENT'!$FS$8:$FS$1000)/SUMPRODUCT(('ANALYSE - ERP =&gt; SOUS-SEGMENT'!$B$8:$B$1000=$B12)*'ANALYSE - ERP =&gt; SOUS-SEGMENT'!$Q$8:$Q$1000*'ANALYSE - ERP =&gt; SOUS-SEGMENT'!$EX$8:$EX$1000),""))</f>
        <v>3.5111644281406207</v>
      </c>
      <c r="FT12" s="566">
        <f>IF($B12="","",RANK($FS12,$FS$8:$FS$20,0)+COUNTIF($FS$8:$FS12,$FS12)-1)</f>
        <v>6</v>
      </c>
      <c r="FU12" s="867">
        <f>IF($B12="","",IFERROR(SUMPRODUCT(('ANALYSE - ERP =&gt; SOUS-SEGMENT'!$B$8:$B$1000=$B12)*'ANALYSE - ERP =&gt; SOUS-SEGMENT'!$Q$8:$Q$1000*'ANALYSE - ERP =&gt; SOUS-SEGMENT'!$EY$8:$EY$1000*'ANALYSE - ERP =&gt; SOUS-SEGMENT'!$FU$8:$FU$1000)/SUMPRODUCT(('ANALYSE - ERP =&gt; SOUS-SEGMENT'!$B$8:$B$1000=$B12)*'ANALYSE - ERP =&gt; SOUS-SEGMENT'!$Q$8:$Q$1000*'ANALYSE - ERP =&gt; SOUS-SEGMENT'!$EY$8:$EY$1000),""))</f>
        <v>4.1457262502101822</v>
      </c>
      <c r="FV12" s="566">
        <f>IF($B12="","",RANK($FU12,$FU$8:$FU$20,0)+COUNTIF($FU$8:$FU12,$FU12)-1)</f>
        <v>8</v>
      </c>
      <c r="FW12" s="867">
        <f>IF($B12="","",IFERROR(SUMPRODUCT(('ANALYSE - ERP =&gt; SOUS-SEGMENT'!$B$8:$B$1000=$B12)*'ANALYSE - ERP =&gt; SOUS-SEGMENT'!$Q$8:$Q$1000*'ANALYSE - ERP =&gt; SOUS-SEGMENT'!$EZ$8:$EZ$1000*'ANALYSE - ERP =&gt; SOUS-SEGMENT'!$FW$8:$FW$1000)/SUMPRODUCT(('ANALYSE - ERP =&gt; SOUS-SEGMENT'!$B$8:$B$1000=$B12)*'ANALYSE - ERP =&gt; SOUS-SEGMENT'!$Q$8:$Q$1000*'ANALYSE - ERP =&gt; SOUS-SEGMENT'!$EZ$8:$EZ$1000),""))</f>
        <v>2.636891337998061</v>
      </c>
      <c r="FX12" s="566">
        <f>IF($B12="","",RANK($FW12,$FW$8:$FW$20,0)+COUNTIF($FW$8:$FW12,$FW12)-1)</f>
        <v>3</v>
      </c>
      <c r="FY12" s="529"/>
      <c r="FZ12" s="922" t="s">
        <v>6477</v>
      </c>
      <c r="GA12" s="922" t="s">
        <v>6478</v>
      </c>
      <c r="GB12" s="922" t="s">
        <v>6479</v>
      </c>
      <c r="GC12" s="922" t="s">
        <v>6480</v>
      </c>
      <c r="GD12" s="922" t="s">
        <v>6481</v>
      </c>
      <c r="GE12" s="922" t="s">
        <v>6482</v>
      </c>
      <c r="GF12" s="923" t="s">
        <v>6483</v>
      </c>
      <c r="GG12" s="529"/>
      <c r="GH12" s="563">
        <f t="shared" si="40"/>
        <v>131728.09795929317</v>
      </c>
      <c r="GI12" s="563">
        <f>IF($B12="","",SUMPRODUCT(('ANALYSE - ERP =&gt; SOUS-SEGMENT'!$B$8:$B$1000=$B12)*'ANALYSE - ERP =&gt; SOUS-SEGMENT'!$Q$8:$Q$1000*'ANALYSE - ERP =&gt; SOUS-SEGMENT'!$GI$8:$GI$1000))</f>
        <v>112622.72942929318</v>
      </c>
      <c r="GJ12" s="563">
        <f>IF($B12="","",SUMPRODUCT(('ANALYSE - ERP =&gt; SOUS-SEGMENT'!$B$8:$B$1000=$B12)*'ANALYSE - ERP =&gt; SOUS-SEGMENT'!$Q$8:$Q$1000*'ANALYSE - ERP =&gt; SOUS-SEGMENT'!$GJ$8:$GJ$1000))</f>
        <v>19105.368530000003</v>
      </c>
      <c r="GK12" s="563">
        <f t="shared" si="41"/>
        <v>240612.93220210227</v>
      </c>
      <c r="GL12" s="563">
        <f>IF($B12="","",SUMPRODUCT(('ANALYSE - ERP =&gt; SOUS-SEGMENT'!$B$8:$B$1000=$B12)*'ANALYSE - ERP =&gt; SOUS-SEGMENT'!$Q$8:$Q$1000*'ANALYSE - ERP =&gt; SOUS-SEGMENT'!$GL$8:$GL$1000))</f>
        <v>194104.54961710225</v>
      </c>
      <c r="GM12" s="563">
        <f>IF($B12="","",SUMPRODUCT(('ANALYSE - ERP =&gt; SOUS-SEGMENT'!$B$8:$B$1000=$B12)*'ANALYSE - ERP =&gt; SOUS-SEGMENT'!$Q$8:$Q$1000*'ANALYSE - ERP =&gt; SOUS-SEGMENT'!$GM$8:$GM$1000))</f>
        <v>46508.382585000007</v>
      </c>
      <c r="GN12" s="563">
        <f t="shared" si="42"/>
        <v>79640.075853750008</v>
      </c>
      <c r="GO12" s="563">
        <f>IF($B12="","",SUMPRODUCT(('ANALYSE - ERP =&gt; SOUS-SEGMENT'!$B$8:$B$1000=$B12)*'ANALYSE - ERP =&gt; SOUS-SEGMENT'!$Q$8:$Q$1000*'ANALYSE - ERP =&gt; SOUS-SEGMENT'!$GO$8:$GO$1000))</f>
        <v>64568.900632500008</v>
      </c>
      <c r="GP12" s="563">
        <f>IF($B12="","",SUMPRODUCT(('ANALYSE - ERP =&gt; SOUS-SEGMENT'!$B$8:$B$1000=$B12)*'ANALYSE - ERP =&gt; SOUS-SEGMENT'!$Q$8:$Q$1000*'ANALYSE - ERP =&gt; SOUS-SEGMENT'!$GP$8:$GP$1000))</f>
        <v>15071.175221250001</v>
      </c>
      <c r="GQ12" s="563">
        <f t="shared" si="43"/>
        <v>23935.523014416671</v>
      </c>
      <c r="GR12" s="563">
        <f>IF($B12="","",SUMPRODUCT(('ANALYSE - ERP =&gt; SOUS-SEGMENT'!$B$8:$B$1000=$B12)*'ANALYSE - ERP =&gt; SOUS-SEGMENT'!$Q$8:$Q$1000*'ANALYSE - ERP =&gt; SOUS-SEGMENT'!$GR$8:$GR$1000))</f>
        <v>20665.57972566667</v>
      </c>
      <c r="GS12" s="563">
        <f>IF($B12="","",SUMPRODUCT(('ANALYSE - ERP =&gt; SOUS-SEGMENT'!$B$8:$B$1000=$B12)*'ANALYSE - ERP =&gt; SOUS-SEGMENT'!$Q$8:$Q$1000*'ANALYSE - ERP =&gt; SOUS-SEGMENT'!$GS$8:$GS$1000))</f>
        <v>3269.9432887500006</v>
      </c>
      <c r="GT12" s="563">
        <f t="shared" si="44"/>
        <v>706.67314266666665</v>
      </c>
      <c r="GU12" s="563">
        <f>IF($B12="","",SUMPRODUCT(('ANALYSE - ERP =&gt; SOUS-SEGMENT'!$B$8:$B$1000=$B12)*'ANALYSE - ERP =&gt; SOUS-SEGMENT'!$Q$8:$Q$1000*'ANALYSE - ERP =&gt; SOUS-SEGMENT'!$GU$8:$GU$1000))</f>
        <v>619.09362266666665</v>
      </c>
      <c r="GV12" s="563">
        <f>IF($B12="","",SUMPRODUCT(('ANALYSE - ERP =&gt; SOUS-SEGMENT'!$B$8:$B$1000=$B12)*'ANALYSE - ERP =&gt; SOUS-SEGMENT'!$Q$8:$Q$1000*'ANALYSE - ERP =&gt; SOUS-SEGMENT'!$GV$8:$GV$1000))</f>
        <v>87.579520000000002</v>
      </c>
      <c r="GW12" s="563">
        <f t="shared" si="45"/>
        <v>963.88549454545466</v>
      </c>
      <c r="GX12" s="563">
        <f>IF($B12="","",SUMPRODUCT(('ANALYSE - ERP =&gt; SOUS-SEGMENT'!$B$8:$B$1000=$B12)*'ANALYSE - ERP =&gt; SOUS-SEGMENT'!$Q$8:$Q$1000*'ANALYSE - ERP =&gt; SOUS-SEGMENT'!$GX$8:$GX$1000))</f>
        <v>836.04405454545463</v>
      </c>
      <c r="GY12" s="563">
        <f>IF($B12="","",SUMPRODUCT(('ANALYSE - ERP =&gt; SOUS-SEGMENT'!$B$8:$B$1000=$B12)*'ANALYSE - ERP =&gt; SOUS-SEGMENT'!$Q$8:$Q$1000*'ANALYSE - ERP =&gt; SOUS-SEGMENT'!$GY$8:$GY$1000))</f>
        <v>127.84144000000001</v>
      </c>
      <c r="GZ12" s="563">
        <f t="shared" si="46"/>
        <v>556.56837526984134</v>
      </c>
      <c r="HA12" s="563">
        <f>IF($B12="","",SUMPRODUCT(('ANALYSE - ERP =&gt; SOUS-SEGMENT'!$B$8:$B$1000=$B12)*'ANALYSE - ERP =&gt; SOUS-SEGMENT'!$Q$8:$Q$1000*'ANALYSE - ERP =&gt; SOUS-SEGMENT'!$HA$8:$HA$1000))</f>
        <v>490.50133526984132</v>
      </c>
      <c r="HB12" s="563">
        <f>IF($B12="","",SUMPRODUCT(('ANALYSE - ERP =&gt; SOUS-SEGMENT'!$B$8:$B$1000=$B12)*'ANALYSE - ERP =&gt; SOUS-SEGMENT'!$Q$8:$Q$1000*'ANALYSE - ERP =&gt; SOUS-SEGMENT'!$HB$8:$HB$1000))</f>
        <v>66.067040000000006</v>
      </c>
      <c r="HC12" s="563">
        <f t="shared" si="47"/>
        <v>6412.4730953333337</v>
      </c>
      <c r="HD12" s="563">
        <f>IF($B12="","",SUMPRODUCT(('ANALYSE - ERP =&gt; SOUS-SEGMENT'!$B$8:$B$1000=$B12)*'ANALYSE - ERP =&gt; SOUS-SEGMENT'!$Q$8:$Q$1000*'ANALYSE - ERP =&gt; SOUS-SEGMENT'!$HD$8:$HD$1000))</f>
        <v>5666.0469772333336</v>
      </c>
      <c r="HE12" s="563">
        <f>IF($B12="","",SUMPRODUCT(('ANALYSE - ERP =&gt; SOUS-SEGMENT'!$B$8:$B$1000=$B12)*'ANALYSE - ERP =&gt; SOUS-SEGMENT'!$Q$8:$Q$1000*'ANALYSE - ERP =&gt; SOUS-SEGMENT'!$HE$8:$HE$1000))</f>
        <v>746.42611810000017</v>
      </c>
      <c r="HF12" s="563">
        <f t="shared" si="48"/>
        <v>33732.239815409092</v>
      </c>
      <c r="HG12" s="563">
        <f>IF($B12="","",SUMPRODUCT(('ANALYSE - ERP =&gt; SOUS-SEGMENT'!$B$8:$B$1000=$B12)*'ANALYSE - ERP =&gt; SOUS-SEGMENT'!$Q$8:$Q$1000*'ANALYSE - ERP =&gt; SOUS-SEGMENT'!$HG$8:$HG$1000))</f>
        <v>27785.878689409092</v>
      </c>
      <c r="HH12" s="563">
        <f>IF($B12="","",SUMPRODUCT(('ANALYSE - ERP =&gt; SOUS-SEGMENT'!$B$8:$B$1000=$B12)*'ANALYSE - ERP =&gt; SOUS-SEGMENT'!$Q$8:$Q$1000*'ANALYSE - ERP =&gt; SOUS-SEGMENT'!$HH$8:$HH$1000))</f>
        <v>5946.3611260000016</v>
      </c>
      <c r="HI12" s="563">
        <f t="shared" si="49"/>
        <v>16465.908623382144</v>
      </c>
      <c r="HJ12" s="563">
        <f>IF($B12="","",SUMPRODUCT(('ANALYSE - ERP =&gt; SOUS-SEGMENT'!$B$8:$B$1000=$B12)*'ANALYSE - ERP =&gt; SOUS-SEGMENT'!$Q$8:$Q$1000*'ANALYSE - ERP =&gt; SOUS-SEGMENT'!$HJ$8:$HJ$1000))</f>
        <v>13503.330200982144</v>
      </c>
      <c r="HK12" s="563">
        <f>IF($B12="","",SUMPRODUCT(('ANALYSE - ERP =&gt; SOUS-SEGMENT'!$B$8:$B$1000=$B12)*'ANALYSE - ERP =&gt; SOUS-SEGMENT'!$Q$8:$Q$1000*'ANALYSE - ERP =&gt; SOUS-SEGMENT'!$HK$8:$HK$1000))</f>
        <v>2962.5784224000013</v>
      </c>
      <c r="HL12" s="563">
        <f t="shared" si="50"/>
        <v>18049.467484155557</v>
      </c>
      <c r="HM12" s="563">
        <f>IF($B12="","",SUMPRODUCT(('ANALYSE - ERP =&gt; SOUS-SEGMENT'!$B$8:$B$1000=$B12)*'ANALYSE - ERP =&gt; SOUS-SEGMENT'!$Q$8:$Q$1000*'ANALYSE - ERP =&gt; SOUS-SEGMENT'!$HM$8:$HM$1000))</f>
        <v>15495.641020655557</v>
      </c>
      <c r="HN12" s="563">
        <f>IF($B12="","",SUMPRODUCT(('ANALYSE - ERP =&gt; SOUS-SEGMENT'!$B$8:$B$1000=$B12)*'ANALYSE - ERP =&gt; SOUS-SEGMENT'!$Q$8:$Q$1000*'ANALYSE - ERP =&gt; SOUS-SEGMENT'!$HN$8:$HN$1000))</f>
        <v>2553.8264635</v>
      </c>
      <c r="HO12" s="563">
        <f t="shared" si="51"/>
        <v>154744.73974608333</v>
      </c>
      <c r="HP12" s="563">
        <f>IF($B12="","",SUMPRODUCT(('ANALYSE - ERP =&gt; SOUS-SEGMENT'!$B$8:$B$1000=$B12)*'ANALYSE - ERP =&gt; SOUS-SEGMENT'!$Q$8:$Q$1000*'ANALYSE - ERP =&gt; SOUS-SEGMENT'!$HP$8:$HP$1000))</f>
        <v>131172.63500808334</v>
      </c>
      <c r="HQ12" s="563">
        <f>IF($B12="","",SUMPRODUCT(('ANALYSE - ERP =&gt; SOUS-SEGMENT'!$B$8:$B$1000=$B12)*'ANALYSE - ERP =&gt; SOUS-SEGMENT'!$Q$8:$Q$1000*'ANALYSE - ERP =&gt; SOUS-SEGMENT'!$HQ$8:$HQ$1000))</f>
        <v>23572.104737999998</v>
      </c>
      <c r="HR12" s="563">
        <f t="shared" si="52"/>
        <v>101773.07213292424</v>
      </c>
      <c r="HS12" s="563">
        <f>IF($B12="","",SUMPRODUCT(('ANALYSE - ERP =&gt; SOUS-SEGMENT'!$B$8:$B$1000=$B12)*'ANALYSE - ERP =&gt; SOUS-SEGMENT'!$Q$8:$Q$1000*'ANALYSE - ERP =&gt; SOUS-SEGMENT'!$HS$8:$HS$1000))</f>
        <v>79350.662824924235</v>
      </c>
      <c r="HT12" s="563">
        <f>IF($B12="","",SUMPRODUCT(('ANALYSE - ERP =&gt; SOUS-SEGMENT'!$B$8:$B$1000=$B12)*'ANALYSE - ERP =&gt; SOUS-SEGMENT'!$Q$8:$Q$1000*'ANALYSE - ERP =&gt; SOUS-SEGMENT'!$HT$8:$HT$1000))</f>
        <v>22422.409308000002</v>
      </c>
      <c r="HU12" s="563">
        <f t="shared" si="53"/>
        <v>58268.883159791658</v>
      </c>
      <c r="HV12" s="563">
        <f>IF($B12="","",SUMPRODUCT(('ANALYSE - ERP =&gt; SOUS-SEGMENT'!$B$8:$B$1000=$B12)*'ANALYSE - ERP =&gt; SOUS-SEGMENT'!$Q$8:$Q$1000*'ANALYSE - ERP =&gt; SOUS-SEGMENT'!$HV$8:$HV$1000))</f>
        <v>46632.51880579166</v>
      </c>
      <c r="HW12" s="563">
        <f>IF($B12="","",SUMPRODUCT(('ANALYSE - ERP =&gt; SOUS-SEGMENT'!$B$8:$B$1000=$B12)*'ANALYSE - ERP =&gt; SOUS-SEGMENT'!$Q$8:$Q$1000*'ANALYSE - ERP =&gt; SOUS-SEGMENT'!$HW$8:$HW$1000))</f>
        <v>11636.364353999999</v>
      </c>
      <c r="HX12" s="544"/>
      <c r="HY12" s="568">
        <f t="shared" si="54"/>
        <v>1833332.5000000002</v>
      </c>
      <c r="HZ12" s="568">
        <f>IF($B12="","",SUMPRODUCT(('ANALYSE - ERP =&gt; SOUS-SEGMENT'!$B$8:$B$1000=$B12)*'ANALYSE - ERP =&gt; SOUS-SEGMENT'!$Q$8:$Q$1000*'ANALYSE - ERP =&gt; SOUS-SEGMENT'!$HZ$8:$HZ$1000))</f>
        <v>43747.617499999993</v>
      </c>
      <c r="IA12" s="568">
        <f>IF($B12="","",SUMPRODUCT(('ANALYSE - ERP =&gt; SOUS-SEGMENT'!$B$8:$B$1000=$B12)*'ANALYSE - ERP =&gt; SOUS-SEGMENT'!$Q$8:$Q$1000*'ANALYSE - ERP =&gt; SOUS-SEGMENT'!$IA$8:$IA$1000))</f>
        <v>650690.41920000012</v>
      </c>
      <c r="IB12" s="568">
        <f>IF($B12="","",SUMPRODUCT(('ANALYSE - ERP =&gt; SOUS-SEGMENT'!$B$8:$B$1000=$B12)*'ANALYSE - ERP =&gt; SOUS-SEGMENT'!$Q$8:$Q$1000*'ANALYSE - ERP =&gt; SOUS-SEGMENT'!$IB$8:$IB$1000))</f>
        <v>835846.21130000008</v>
      </c>
      <c r="IC12" s="568">
        <f>IF($B12="","",SUMPRODUCT(('ANALYSE - ERP =&gt; SOUS-SEGMENT'!$B$8:$B$1000=$B12)*'ANALYSE - ERP =&gt; SOUS-SEGMENT'!$Q$8:$Q$1000*'ANALYSE - ERP =&gt; SOUS-SEGMENT'!$IC$8:$IC$1000))</f>
        <v>257915.87180000002</v>
      </c>
      <c r="ID12" s="568">
        <f>IF($B12="","",SUMPRODUCT(('ANALYSE - ERP =&gt; SOUS-SEGMENT'!$B$8:$B$1000=$B12)*'ANALYSE - ERP =&gt; SOUS-SEGMENT'!$Q$8:$Q$1000*'ANALYSE - ERP =&gt; SOUS-SEGMENT'!$ID$8:$ID$1000))</f>
        <v>45132.3802</v>
      </c>
      <c r="IE12" s="568">
        <f t="shared" si="55"/>
        <v>713098.03599735582</v>
      </c>
      <c r="IF12" s="568">
        <f>IF($B12="","",SUMPRODUCT(('ANALYSE - ERP =&gt; SOUS-SEGMENT'!$B$8:$B$1000=$B12)*'ANALYSE - ERP =&gt; SOUS-SEGMENT'!$Q$8:$Q$1000*'ANALYSE - ERP =&gt; SOUS-SEGMENT'!$IF$8:$IF$1000))</f>
        <v>1911.5890686824566</v>
      </c>
      <c r="IG12" s="568">
        <f>IF($B12="","",SUMPRODUCT(('ANALYSE - ERP =&gt; SOUS-SEGMENT'!$B$8:$B$1000=$B12)*'ANALYSE - ERP =&gt; SOUS-SEGMENT'!$Q$8:$Q$1000*'ANALYSE - ERP =&gt; SOUS-SEGMENT'!$IG$8:$IG$1000))</f>
        <v>197249.45013809853</v>
      </c>
      <c r="IH12" s="568">
        <f>IF($B12="","",SUMPRODUCT(('ANALYSE - ERP =&gt; SOUS-SEGMENT'!$B$8:$B$1000=$B12)*'ANALYSE - ERP =&gt; SOUS-SEGMENT'!$Q$8:$Q$1000*'ANALYSE - ERP =&gt; SOUS-SEGMENT'!$IH$8:$IH$1000))</f>
        <v>362732.44632451294</v>
      </c>
      <c r="II12" s="568">
        <f>IF($B12="","",SUMPRODUCT(('ANALYSE - ERP =&gt; SOUS-SEGMENT'!$B$8:$B$1000=$B12)*'ANALYSE - ERP =&gt; SOUS-SEGMENT'!$Q$8:$Q$1000*'ANALYSE - ERP =&gt; SOUS-SEGMENT'!$II$8:$II$1000))</f>
        <v>128876.01368975283</v>
      </c>
      <c r="IJ12" s="568">
        <f>IF($B12="","",SUMPRODUCT(('ANALYSE - ERP =&gt; SOUS-SEGMENT'!$B$8:$B$1000=$B12)*'ANALYSE - ERP =&gt; SOUS-SEGMENT'!$Q$8:$Q$1000*'ANALYSE - ERP =&gt; SOUS-SEGMENT'!$IJ$8:$IJ$1000))</f>
        <v>22328.53677630908</v>
      </c>
      <c r="IK12" s="868">
        <f>IF($B12="","",IFERROR(SUMPRODUCT(('ANALYSE - ERP =&gt; SOUS-SEGMENT'!$B$8:$B$1000=$B12)*'ANALYSE - ERP =&gt; SOUS-SEGMENT'!$Q$8:$Q$1000*'ANALYSE - ERP =&gt; SOUS-SEGMENT'!$IE$8:$IE$1000*'ANALYSE - ERP =&gt; SOUS-SEGMENT'!$IK$8:$IK$1000)/SUMPRODUCT(('ANALYSE - ERP =&gt; SOUS-SEGMENT'!$B$8:$B$1000=$B12)*'ANALYSE - ERP =&gt; SOUS-SEGMENT'!$Q$8:$Q$1000*'ANALYSE - ERP =&gt; SOUS-SEGMENT'!$IE$8:$IE$1000),""))</f>
        <v>3.958075494031291</v>
      </c>
      <c r="IL12" s="962" t="s">
        <v>6484</v>
      </c>
      <c r="IM12" s="963" t="s">
        <v>6485</v>
      </c>
      <c r="IN12" s="529"/>
      <c r="IO12" s="742">
        <f>IF($B12="","",IFERROR(SUMPRODUCT(('ANALYSE - ERP =&gt; SOUS-SEGMENT'!$B$8:$B$1000=$B12)*'ANALYSE - ERP =&gt; SOUS-SEGMENT'!$Q$8:$Q$1000*'ANALYSE - ERP =&gt; SOUS-SEGMENT'!$BE$8:$BE$1000*'ANALYSE - ERP =&gt; SOUS-SEGMENT'!$IO$8:$IO$1000)/SUMPRODUCT(('ANALYSE - ERP =&gt; SOUS-SEGMENT'!$B$8:$B$1000=$B12)*'ANALYSE - ERP =&gt; SOUS-SEGMENT'!$Q$8:$Q$1000*'ANALYSE - ERP =&gt; SOUS-SEGMENT'!$BE$8:$BE$1000),""))</f>
        <v>1.8159398784733462E-2</v>
      </c>
      <c r="IP12" s="742">
        <f>IF($B12="","",IFERROR(SUMPRODUCT(('ANALYSE - ERP =&gt; SOUS-SEGMENT'!$B$8:$B$1000=$B12)*'ANALYSE - ERP =&gt; SOUS-SEGMENT'!$Q$8:$Q$1000*'ANALYSE - ERP =&gt; SOUS-SEGMENT'!$BE$8:$BE$1000*'ANALYSE - ERP =&gt; SOUS-SEGMENT'!$IP$8:$IP$1000)/SUMPRODUCT(('ANALYSE - ERP =&gt; SOUS-SEGMENT'!$B$8:$B$1000=$B12)*'ANALYSE - ERP =&gt; SOUS-SEGMENT'!$Q$8:$Q$1000*'ANALYSE - ERP =&gt; SOUS-SEGMENT'!$BE$8:$BE$1000),""))</f>
        <v>0.33253735221418512</v>
      </c>
      <c r="IQ12" s="742">
        <f>IF($B12="","",IFERROR(SUMPRODUCT(('ANALYSE - ERP =&gt; SOUS-SEGMENT'!$B$8:$B$1000=$B12)*'ANALYSE - ERP =&gt; SOUS-SEGMENT'!$Q$8:$Q$1000*'ANALYSE - ERP =&gt; SOUS-SEGMENT'!$BE$8:$BE$1000*'ANALYSE - ERP =&gt; SOUS-SEGMENT'!$IQ$8:$IQ$1000)/SUMPRODUCT(('ANALYSE - ERP =&gt; SOUS-SEGMENT'!$B$8:$B$1000=$B12)*'ANALYSE - ERP =&gt; SOUS-SEGMENT'!$Q$8:$Q$1000*'ANALYSE - ERP =&gt; SOUS-SEGMENT'!$BE$8:$BE$1000),""))</f>
        <v>0.46826958021436521</v>
      </c>
      <c r="IR12" s="742">
        <f>IF($B12="","",IFERROR(SUMPRODUCT(('ANALYSE - ERP =&gt; SOUS-SEGMENT'!$B$8:$B$1000=$B12)*'ANALYSE - ERP =&gt; SOUS-SEGMENT'!$Q$8:$Q$1000*'ANALYSE - ERP =&gt; SOUS-SEGMENT'!$BE$8:$BE$1000*'ANALYSE - ERP =&gt; SOUS-SEGMENT'!$IR$8:$IR$1000)/SUMPRODUCT(('ANALYSE - ERP =&gt; SOUS-SEGMENT'!$B$8:$B$1000=$B12)*'ANALYSE - ERP =&gt; SOUS-SEGMENT'!$Q$8:$Q$1000*'ANALYSE - ERP =&gt; SOUS-SEGMENT'!$BE$8:$BE$1000),""))</f>
        <v>0.15405221027898519</v>
      </c>
      <c r="IS12" s="742">
        <f>IF($B12="","",IFERROR(SUMPRODUCT(('ANALYSE - ERP =&gt; SOUS-SEGMENT'!$B$8:$B$1000=$B12)*'ANALYSE - ERP =&gt; SOUS-SEGMENT'!$Q$8:$Q$1000*'ANALYSE - ERP =&gt; SOUS-SEGMENT'!$BE$8:$BE$1000*'ANALYSE - ERP =&gt; SOUS-SEGMENT'!$IS$8:$IS$1000)/SUMPRODUCT(('ANALYSE - ERP =&gt; SOUS-SEGMENT'!$B$8:$B$1000=$B12)*'ANALYSE - ERP =&gt; SOUS-SEGMENT'!$Q$8:$Q$1000*'ANALYSE - ERP =&gt; SOUS-SEGMENT'!$BE$8:$BE$1000),""))</f>
        <v>2.698145850773102E-2</v>
      </c>
      <c r="IT12" s="742">
        <f>IF($B12="","",IFERROR(SUMPRODUCT(('ANALYSE - ERP =&gt; SOUS-SEGMENT'!$B$8:$B$1000=$B12)*'ANALYSE - ERP =&gt; SOUS-SEGMENT'!$Q$8:$Q$1000*'ANALYSE - ERP =&gt; SOUS-SEGMENT'!$FB$8:$FB$1000*'ANALYSE - ERP =&gt; SOUS-SEGMENT'!$IT$8:$IT$1000)/SUMPRODUCT(('ANALYSE - ERP =&gt; SOUS-SEGMENT'!$B$8:$B$1000=$B12)*'ANALYSE - ERP =&gt; SOUS-SEGMENT'!$Q$8:$Q$1000*'ANALYSE - ERP =&gt; SOUS-SEGMENT'!$FB$8:$FB$1000),""))</f>
        <v>5.8015764999344523E-4</v>
      </c>
      <c r="IU12" s="742">
        <f>IF($B12="","",IFERROR(SUMPRODUCT(('ANALYSE - ERP =&gt; SOUS-SEGMENT'!$B$8:$B$1000=$B12)*'ANALYSE - ERP =&gt; SOUS-SEGMENT'!$Q$8:$Q$1000*'ANALYSE - ERP =&gt; SOUS-SEGMENT'!$FB$8:$FB$1000*'ANALYSE - ERP =&gt; SOUS-SEGMENT'!$IU$8:$IU$1000)/SUMPRODUCT(('ANALYSE - ERP =&gt; SOUS-SEGMENT'!$B$8:$B$1000=$B12)*'ANALYSE - ERP =&gt; SOUS-SEGMENT'!$Q$8:$Q$1000*'ANALYSE - ERP =&gt; SOUS-SEGMENT'!$FB$8:$FB$1000),""))</f>
        <v>0.25099514900477171</v>
      </c>
      <c r="IV12" s="742">
        <f>IF($B12="","",IFERROR(SUMPRODUCT(('ANALYSE - ERP =&gt; SOUS-SEGMENT'!$B$8:$B$1000=$B12)*'ANALYSE - ERP =&gt; SOUS-SEGMENT'!$Q$8:$Q$1000*'ANALYSE - ERP =&gt; SOUS-SEGMENT'!$FB$8:$FB$1000*'ANALYSE - ERP =&gt; SOUS-SEGMENT'!$IV$8:$IV$1000)/SUMPRODUCT(('ANALYSE - ERP =&gt; SOUS-SEGMENT'!$B$8:$B$1000=$B12)*'ANALYSE - ERP =&gt; SOUS-SEGMENT'!$Q$8:$Q$1000*'ANALYSE - ERP =&gt; SOUS-SEGMENT'!$FB$8:$FB$1000),""))</f>
        <v>0.51560221875334811</v>
      </c>
      <c r="IW12" s="742">
        <f>IF($B12="","",IFERROR(SUMPRODUCT(('ANALYSE - ERP =&gt; SOUS-SEGMENT'!$B$8:$B$1000=$B12)*'ANALYSE - ERP =&gt; SOUS-SEGMENT'!$Q$8:$Q$1000*'ANALYSE - ERP =&gt; SOUS-SEGMENT'!$FB$8:$FB$1000*'ANALYSE - ERP =&gt; SOUS-SEGMENT'!$IW$8:$IW$1000)/SUMPRODUCT(('ANALYSE - ERP =&gt; SOUS-SEGMENT'!$B$8:$B$1000=$B12)*'ANALYSE - ERP =&gt; SOUS-SEGMENT'!$Q$8:$Q$1000*'ANALYSE - ERP =&gt; SOUS-SEGMENT'!$FB$8:$FB$1000),""))</f>
        <v>0.19845192641449408</v>
      </c>
      <c r="IX12" s="742">
        <f>IF($B12="","",IFERROR(SUMPRODUCT(('ANALYSE - ERP =&gt; SOUS-SEGMENT'!$B$8:$B$1000=$B12)*'ANALYSE - ERP =&gt; SOUS-SEGMENT'!$Q$8:$Q$1000*'ANALYSE - ERP =&gt; SOUS-SEGMENT'!$FB$8:$FB$1000*'ANALYSE - ERP =&gt; SOUS-SEGMENT'!$IX$8:$IX$1000)/SUMPRODUCT(('ANALYSE - ERP =&gt; SOUS-SEGMENT'!$B$8:$B$1000=$B12)*'ANALYSE - ERP =&gt; SOUS-SEGMENT'!$Q$8:$Q$1000*'ANALYSE - ERP =&gt; SOUS-SEGMENT'!$FB$8:$FB$1000),""))</f>
        <v>3.4370548177392553E-2</v>
      </c>
      <c r="IY12" s="742">
        <f>IF($B12="","",IFERROR(SUMPRODUCT(('ANALYSE - ERP =&gt; SOUS-SEGMENT'!$B$8:$B$1000=$B12)*'ANALYSE - ERP =&gt; SOUS-SEGMENT'!$Q$8:$Q$1000*'ANALYSE - ERP =&gt; SOUS-SEGMENT'!$BF$8:$BF$1000*'ANALYSE - ERP =&gt; SOUS-SEGMENT'!$IY$8:$IY$1000)/SUMPRODUCT(('ANALYSE - ERP =&gt; SOUS-SEGMENT'!$B$8:$B$1000=$B12)*'ANALYSE - ERP =&gt; SOUS-SEGMENT'!$Q$8:$Q$1000*'ANALYSE - ERP =&gt; SOUS-SEGMENT'!$BF$8:$BF$1000),""))</f>
        <v>4.2635431918008788E-3</v>
      </c>
      <c r="IZ12" s="742">
        <f>IF($B12="","",IFERROR(SUMPRODUCT(('ANALYSE - ERP =&gt; SOUS-SEGMENT'!$B$8:$B$1000=$B12)*'ANALYSE - ERP =&gt; SOUS-SEGMENT'!$Q$8:$Q$1000*'ANALYSE - ERP =&gt; SOUS-SEGMENT'!$BF$8:$BF$1000*'ANALYSE - ERP =&gt; SOUS-SEGMENT'!$IZ$8:$IZ$1000)/SUMPRODUCT(('ANALYSE - ERP =&gt; SOUS-SEGMENT'!$B$8:$B$1000=$B12)*'ANALYSE - ERP =&gt; SOUS-SEGMENT'!$Q$8:$Q$1000*'ANALYSE - ERP =&gt; SOUS-SEGMENT'!$BF$8:$BF$1000),""))</f>
        <v>0.16955197657393853</v>
      </c>
      <c r="JA12" s="742">
        <f>IF($B12="","",IFERROR(SUMPRODUCT(('ANALYSE - ERP =&gt; SOUS-SEGMENT'!$B$8:$B$1000=$B12)*'ANALYSE - ERP =&gt; SOUS-SEGMENT'!$Q$8:$Q$1000*'ANALYSE - ERP =&gt; SOUS-SEGMENT'!$BF$8:$BF$1000*'ANALYSE - ERP =&gt; SOUS-SEGMENT'!$JA$8:$JA$1000)/SUMPRODUCT(('ANALYSE - ERP =&gt; SOUS-SEGMENT'!$B$8:$B$1000=$B12)*'ANALYSE - ERP =&gt; SOUS-SEGMENT'!$Q$8:$Q$1000*'ANALYSE - ERP =&gt; SOUS-SEGMENT'!$BF$8:$BF$1000),""))</f>
        <v>0.37404978038067349</v>
      </c>
      <c r="JB12" s="742">
        <f>IF($B12="","",IFERROR(SUMPRODUCT(('ANALYSE - ERP =&gt; SOUS-SEGMENT'!$B$8:$B$1000=$B12)*'ANALYSE - ERP =&gt; SOUS-SEGMENT'!$Q$8:$Q$1000*'ANALYSE - ERP =&gt; SOUS-SEGMENT'!$BF$8:$BF$1000*'ANALYSE - ERP =&gt; SOUS-SEGMENT'!$JB$8:$JB$1000)/SUMPRODUCT(('ANALYSE - ERP =&gt; SOUS-SEGMENT'!$B$8:$B$1000=$B12)*'ANALYSE - ERP =&gt; SOUS-SEGMENT'!$Q$8:$Q$1000*'ANALYSE - ERP =&gt; SOUS-SEGMENT'!$BF$8:$BF$1000),""))</f>
        <v>0.19627525622254757</v>
      </c>
      <c r="JC12" s="742">
        <f>IF($B12="","",IFERROR(SUMPRODUCT(('ANALYSE - ERP =&gt; SOUS-SEGMENT'!$B$8:$B$1000=$B12)*'ANALYSE - ERP =&gt; SOUS-SEGMENT'!$Q$8:$Q$1000*'ANALYSE - ERP =&gt; SOUS-SEGMENT'!$BF$8:$BF$1000*'ANALYSE - ERP =&gt; SOUS-SEGMENT'!$JC$8:$JC$1000)/SUMPRODUCT(('ANALYSE - ERP =&gt; SOUS-SEGMENT'!$B$8:$B$1000=$B12)*'ANALYSE - ERP =&gt; SOUS-SEGMENT'!$Q$8:$Q$1000*'ANALYSE - ERP =&gt; SOUS-SEGMENT'!$BF$8:$BF$1000),""))</f>
        <v>1.7206442166910689E-2</v>
      </c>
      <c r="JD12" s="742">
        <f>IF($B12="","",IFERROR(SUMPRODUCT(('ANALYSE - ERP =&gt; SOUS-SEGMENT'!$B$8:$B$1000=$B12)*'ANALYSE - ERP =&gt; SOUS-SEGMENT'!$Q$8:$Q$1000*'ANALYSE - ERP =&gt; SOUS-SEGMENT'!$FE$8:$FE$1000*'ANALYSE - ERP =&gt; SOUS-SEGMENT'!$JD$8:$JD$1000)/SUMPRODUCT(('ANALYSE - ERP =&gt; SOUS-SEGMENT'!$B$8:$B$1000=$B12)*'ANALYSE - ERP =&gt; SOUS-SEGMENT'!$Q$8:$Q$1000*'ANALYSE - ERP =&gt; SOUS-SEGMENT'!$FE$8:$FE$1000),""))</f>
        <v>0</v>
      </c>
      <c r="JE12" s="742">
        <f>IF($B12="","",IFERROR(SUMPRODUCT(('ANALYSE - ERP =&gt; SOUS-SEGMENT'!$B$8:$B$1000=$B12)*'ANALYSE - ERP =&gt; SOUS-SEGMENT'!$Q$8:$Q$1000*'ANALYSE - ERP =&gt; SOUS-SEGMENT'!$FE$8:$FE$1000*'ANALYSE - ERP =&gt; SOUS-SEGMENT'!$JE$8:$JE$1000)/SUMPRODUCT(('ANALYSE - ERP =&gt; SOUS-SEGMENT'!$B$8:$B$1000=$B12)*'ANALYSE - ERP =&gt; SOUS-SEGMENT'!$Q$8:$Q$1000*'ANALYSE - ERP =&gt; SOUS-SEGMENT'!$FE$8:$FE$1000),""))</f>
        <v>0.14480873116599444</v>
      </c>
      <c r="JF12" s="742">
        <f>IF($B12="","",IFERROR(SUMPRODUCT(('ANALYSE - ERP =&gt; SOUS-SEGMENT'!$B$8:$B$1000=$B12)*'ANALYSE - ERP =&gt; SOUS-SEGMENT'!$Q$8:$Q$1000*'ANALYSE - ERP =&gt; SOUS-SEGMENT'!$FE$8:$FE$1000*'ANALYSE - ERP =&gt; SOUS-SEGMENT'!$JF$8:$JF$1000)/SUMPRODUCT(('ANALYSE - ERP =&gt; SOUS-SEGMENT'!$B$8:$B$1000=$B12)*'ANALYSE - ERP =&gt; SOUS-SEGMENT'!$Q$8:$Q$1000*'ANALYSE - ERP =&gt; SOUS-SEGMENT'!$FE$8:$FE$1000),""))</f>
        <v>0.39936392742847543</v>
      </c>
      <c r="JG12" s="742">
        <f>IF($B12="","",IFERROR(SUMPRODUCT(('ANALYSE - ERP =&gt; SOUS-SEGMENT'!$B$8:$B$1000=$B12)*'ANALYSE - ERP =&gt; SOUS-SEGMENT'!$Q$8:$Q$1000*'ANALYSE - ERP =&gt; SOUS-SEGMENT'!$FE$8:$FE$1000*'ANALYSE - ERP =&gt; SOUS-SEGMENT'!$JG$8:$JG$1000)/SUMPRODUCT(('ANALYSE - ERP =&gt; SOUS-SEGMENT'!$B$8:$B$1000=$B12)*'ANALYSE - ERP =&gt; SOUS-SEGMENT'!$Q$8:$Q$1000*'ANALYSE - ERP =&gt; SOUS-SEGMENT'!$FE$8:$FE$1000),""))</f>
        <v>0.21980738997834989</v>
      </c>
      <c r="JH12" s="742">
        <f>IF($B12="","",IFERROR(SUMPRODUCT(('ANALYSE - ERP =&gt; SOUS-SEGMENT'!$B$8:$B$1000=$B12)*'ANALYSE - ERP =&gt; SOUS-SEGMENT'!$Q$8:$Q$1000*'ANALYSE - ERP =&gt; SOUS-SEGMENT'!$FE$8:$FE$1000*'ANALYSE - ERP =&gt; SOUS-SEGMENT'!$JH$8:$JH$1000)/SUMPRODUCT(('ANALYSE - ERP =&gt; SOUS-SEGMENT'!$B$8:$B$1000=$B12)*'ANALYSE - ERP =&gt; SOUS-SEGMENT'!$Q$8:$Q$1000*'ANALYSE - ERP =&gt; SOUS-SEGMENT'!$FE$8:$FE$1000),""))</f>
        <v>2.2169414869061037E-2</v>
      </c>
      <c r="JI12" s="742">
        <f>IF($B12="","",IFERROR(SUMPRODUCT(('ANALYSE - ERP =&gt; SOUS-SEGMENT'!$B$8:$B$1000=$B12)*'ANALYSE - ERP =&gt; SOUS-SEGMENT'!$Q$8:$Q$1000*'ANALYSE - ERP =&gt; SOUS-SEGMENT'!$BG$8:$BG$1000*'ANALYSE - ERP =&gt; SOUS-SEGMENT'!$JI$8:$JI$1000)/SUMPRODUCT(('ANALYSE - ERP =&gt; SOUS-SEGMENT'!$B$8:$B$1000=$B12)*'ANALYSE - ERP =&gt; SOUS-SEGMENT'!$Q$8:$Q$1000*'ANALYSE - ERP =&gt; SOUS-SEGMENT'!$BG$8:$BG$1000),""))</f>
        <v>5.2576708619531398E-2</v>
      </c>
      <c r="JJ12" s="742">
        <f>IF($B12="","",IFERROR(SUMPRODUCT(('ANALYSE - ERP =&gt; SOUS-SEGMENT'!$B$8:$B$1000=$B12)*'ANALYSE - ERP =&gt; SOUS-SEGMENT'!$Q$8:$Q$1000*'ANALYSE - ERP =&gt; SOUS-SEGMENT'!$BG$8:$BG$1000*'ANALYSE - ERP =&gt; SOUS-SEGMENT'!$JJ$8:$JJ$1000)/SUMPRODUCT(('ANALYSE - ERP =&gt; SOUS-SEGMENT'!$B$8:$B$1000=$B12)*'ANALYSE - ERP =&gt; SOUS-SEGMENT'!$Q$8:$Q$1000*'ANALYSE - ERP =&gt; SOUS-SEGMENT'!$BG$8:$BG$1000),""))</f>
        <v>0.46062026282235841</v>
      </c>
      <c r="JK12" s="742">
        <f>IF($B12="","",IFERROR(SUMPRODUCT(('ANALYSE - ERP =&gt; SOUS-SEGMENT'!$B$8:$B$1000=$B12)*'ANALYSE - ERP =&gt; SOUS-SEGMENT'!$Q$8:$Q$1000*'ANALYSE - ERP =&gt; SOUS-SEGMENT'!$BG$8:$BG$1000*'ANALYSE - ERP =&gt; SOUS-SEGMENT'!$JK$8:$JK$1000)/SUMPRODUCT(('ANALYSE - ERP =&gt; SOUS-SEGMENT'!$B$8:$B$1000=$B12)*'ANALYSE - ERP =&gt; SOUS-SEGMENT'!$Q$8:$Q$1000*'ANALYSE - ERP =&gt; SOUS-SEGMENT'!$BG$8:$BG$1000),""))</f>
        <v>0.38142048286924696</v>
      </c>
      <c r="JL12" s="742">
        <f>IF($B12="","",IFERROR(SUMPRODUCT(('ANALYSE - ERP =&gt; SOUS-SEGMENT'!$B$8:$B$1000=$B12)*'ANALYSE - ERP =&gt; SOUS-SEGMENT'!$Q$8:$Q$1000*'ANALYSE - ERP =&gt; SOUS-SEGMENT'!$BG$8:$BG$1000*'ANALYSE - ERP =&gt; SOUS-SEGMENT'!$JL$8:$JL$1000)/SUMPRODUCT(('ANALYSE - ERP =&gt; SOUS-SEGMENT'!$B$8:$B$1000=$B12)*'ANALYSE - ERP =&gt; SOUS-SEGMENT'!$Q$8:$Q$1000*'ANALYSE - ERP =&gt; SOUS-SEGMENT'!$BG$8:$BG$1000),""))</f>
        <v>8.923927391381839E-2</v>
      </c>
      <c r="JM12" s="742">
        <f>IF($B12="","",IFERROR(SUMPRODUCT(('ANALYSE - ERP =&gt; SOUS-SEGMENT'!$B$8:$B$1000=$B12)*'ANALYSE - ERP =&gt; SOUS-SEGMENT'!$Q$8:$Q$1000*'ANALYSE - ERP =&gt; SOUS-SEGMENT'!$BG$8:$BG$1000*'ANALYSE - ERP =&gt; SOUS-SEGMENT'!$JM$8:$JM$1000)/SUMPRODUCT(('ANALYSE - ERP =&gt; SOUS-SEGMENT'!$B$8:$B$1000=$B12)*'ANALYSE - ERP =&gt; SOUS-SEGMENT'!$Q$8:$Q$1000*'ANALYSE - ERP =&gt; SOUS-SEGMENT'!$BG$8:$BG$1000),""))</f>
        <v>1.6143271775044904E-2</v>
      </c>
      <c r="JN12" s="742">
        <f>IF($B12="","",IFERROR(SUMPRODUCT(('ANALYSE - ERP =&gt; SOUS-SEGMENT'!$B$8:$B$1000=$B12)*'ANALYSE - ERP =&gt; SOUS-SEGMENT'!$Q$8:$Q$1000*'ANALYSE - ERP =&gt; SOUS-SEGMENT'!$FH$8:$FH$1000*'ANALYSE - ERP =&gt; SOUS-SEGMENT'!$JN$8:$JN$1000)/SUMPRODUCT(('ANALYSE - ERP =&gt; SOUS-SEGMENT'!$B$8:$B$1000=$B12)*'ANALYSE - ERP =&gt; SOUS-SEGMENT'!$Q$8:$Q$1000*'ANALYSE - ERP =&gt; SOUS-SEGMENT'!$FH$8:$FH$1000),""))</f>
        <v>1.3148365089009453E-2</v>
      </c>
      <c r="JO12" s="742">
        <f>IF($B12="","",IFERROR(SUMPRODUCT(('ANALYSE - ERP =&gt; SOUS-SEGMENT'!$B$8:$B$1000=$B12)*'ANALYSE - ERP =&gt; SOUS-SEGMENT'!$Q$8:$Q$1000*'ANALYSE - ERP =&gt; SOUS-SEGMENT'!$FH$8:$FH$1000*'ANALYSE - ERP =&gt; SOUS-SEGMENT'!$JO$8:$JO$1000)/SUMPRODUCT(('ANALYSE - ERP =&gt; SOUS-SEGMENT'!$B$8:$B$1000=$B12)*'ANALYSE - ERP =&gt; SOUS-SEGMENT'!$Q$8:$Q$1000*'ANALYSE - ERP =&gt; SOUS-SEGMENT'!$FH$8:$FH$1000),""))</f>
        <v>0.3988490335256939</v>
      </c>
      <c r="JP12" s="742">
        <f>IF($B12="","",IFERROR(SUMPRODUCT(('ANALYSE - ERP =&gt; SOUS-SEGMENT'!$B$8:$B$1000=$B12)*'ANALYSE - ERP =&gt; SOUS-SEGMENT'!$Q$8:$Q$1000*'ANALYSE - ERP =&gt; SOUS-SEGMENT'!$FH$8:$FH$1000*'ANALYSE - ERP =&gt; SOUS-SEGMENT'!$JP$8:$JP$1000)/SUMPRODUCT(('ANALYSE - ERP =&gt; SOUS-SEGMENT'!$B$8:$B$1000=$B12)*'ANALYSE - ERP =&gt; SOUS-SEGMENT'!$Q$8:$Q$1000*'ANALYSE - ERP =&gt; SOUS-SEGMENT'!$FH$8:$FH$1000),""))</f>
        <v>0.45001544137200117</v>
      </c>
      <c r="JQ12" s="742">
        <f>IF($B12="","",IFERROR(SUMPRODUCT(('ANALYSE - ERP =&gt; SOUS-SEGMENT'!$B$8:$B$1000=$B12)*'ANALYSE - ERP =&gt; SOUS-SEGMENT'!$Q$8:$Q$1000*'ANALYSE - ERP =&gt; SOUS-SEGMENT'!$FH$8:$FH$1000*'ANALYSE - ERP =&gt; SOUS-SEGMENT'!$JQ$8:$JQ$1000)/SUMPRODUCT(('ANALYSE - ERP =&gt; SOUS-SEGMENT'!$B$8:$B$1000=$B12)*'ANALYSE - ERP =&gt; SOUS-SEGMENT'!$Q$8:$Q$1000*'ANALYSE - ERP =&gt; SOUS-SEGMENT'!$FH$8:$FH$1000),""))</f>
        <v>0.1168624933666411</v>
      </c>
      <c r="JR12" s="742">
        <f>IF($B12="","",IFERROR(SUMPRODUCT(('ANALYSE - ERP =&gt; SOUS-SEGMENT'!$B$8:$B$1000=$B12)*'ANALYSE - ERP =&gt; SOUS-SEGMENT'!$Q$8:$Q$1000*'ANALYSE - ERP =&gt; SOUS-SEGMENT'!$FH$8:$FH$1000*'ANALYSE - ERP =&gt; SOUS-SEGMENT'!$JR$8:$JR$1000)/SUMPRODUCT(('ANALYSE - ERP =&gt; SOUS-SEGMENT'!$B$8:$B$1000=$B12)*'ANALYSE - ERP =&gt; SOUS-SEGMENT'!$Q$8:$Q$1000*'ANALYSE - ERP =&gt; SOUS-SEGMENT'!$FH$8:$FH$1000),""))</f>
        <v>2.1124666646654345E-2</v>
      </c>
      <c r="JS12" s="742">
        <f>IF($B12="","",IFERROR(SUMPRODUCT(('ANALYSE - ERP =&gt; SOUS-SEGMENT'!$B$8:$B$1000=$B12)*'ANALYSE - ERP =&gt; SOUS-SEGMENT'!$Q$8:$Q$1000*'ANALYSE - ERP =&gt; SOUS-SEGMENT'!$BH$8:$BH$1000*'ANALYSE - ERP =&gt; SOUS-SEGMENT'!$JS$8:$JS$1000)/SUMPRODUCT(('ANALYSE - ERP =&gt; SOUS-SEGMENT'!$B$8:$B$1000=$B12)*'ANALYSE - ERP =&gt; SOUS-SEGMENT'!$Q$8:$Q$1000*'ANALYSE - ERP =&gt; SOUS-SEGMENT'!$BH$8:$BH$1000),""))</f>
        <v>2.6297912344629578E-2</v>
      </c>
      <c r="JT12" s="742">
        <f>IF($B12="","",IFERROR(SUMPRODUCT(('ANALYSE - ERP =&gt; SOUS-SEGMENT'!$B$8:$B$1000=$B12)*'ANALYSE - ERP =&gt; SOUS-SEGMENT'!$Q$8:$Q$1000*'ANALYSE - ERP =&gt; SOUS-SEGMENT'!$BH$8:$BH$1000*'ANALYSE - ERP =&gt; SOUS-SEGMENT'!$JT$8:$JT$1000)/SUMPRODUCT(('ANALYSE - ERP =&gt; SOUS-SEGMENT'!$B$8:$B$1000=$B12)*'ANALYSE - ERP =&gt; SOUS-SEGMENT'!$Q$8:$Q$1000*'ANALYSE - ERP =&gt; SOUS-SEGMENT'!$BH$8:$BH$1000),""))</f>
        <v>0.36630117103675391</v>
      </c>
      <c r="JU12" s="742">
        <f>IF($B12="","",IFERROR(SUMPRODUCT(('ANALYSE - ERP =&gt; SOUS-SEGMENT'!$B$8:$B$1000=$B12)*'ANALYSE - ERP =&gt; SOUS-SEGMENT'!$Q$8:$Q$1000*'ANALYSE - ERP =&gt; SOUS-SEGMENT'!$BH$8:$BH$1000*'ANALYSE - ERP =&gt; SOUS-SEGMENT'!$JU$8:$JU$1000)/SUMPRODUCT(('ANALYSE - ERP =&gt; SOUS-SEGMENT'!$B$8:$B$1000=$B12)*'ANALYSE - ERP =&gt; SOUS-SEGMENT'!$Q$8:$Q$1000*'ANALYSE - ERP =&gt; SOUS-SEGMENT'!$BH$8:$BH$1000),""))</f>
        <v>0.45332711930902891</v>
      </c>
      <c r="JV12" s="742">
        <f>IF($B12="","",IFERROR(SUMPRODUCT(('ANALYSE - ERP =&gt; SOUS-SEGMENT'!$B$8:$B$1000=$B12)*'ANALYSE - ERP =&gt; SOUS-SEGMENT'!$Q$8:$Q$1000*'ANALYSE - ERP =&gt; SOUS-SEGMENT'!$BH$8:$BH$1000*'ANALYSE - ERP =&gt; SOUS-SEGMENT'!$JV$8:$JV$1000)/SUMPRODUCT(('ANALYSE - ERP =&gt; SOUS-SEGMENT'!$B$8:$B$1000=$B12)*'ANALYSE - ERP =&gt; SOUS-SEGMENT'!$Q$8:$Q$1000*'ANALYSE - ERP =&gt; SOUS-SEGMENT'!$BH$8:$BH$1000),""))</f>
        <v>0.13116120123404684</v>
      </c>
      <c r="JW12" s="742">
        <f>IF($B12="","",IFERROR(SUMPRODUCT(('ANALYSE - ERP =&gt; SOUS-SEGMENT'!$B$8:$B$1000=$B12)*'ANALYSE - ERP =&gt; SOUS-SEGMENT'!$Q$8:$Q$1000*'ANALYSE - ERP =&gt; SOUS-SEGMENT'!$BH$8:$BH$1000*'ANALYSE - ERP =&gt; SOUS-SEGMENT'!$JW$8:$JW$1000)/SUMPRODUCT(('ANALYSE - ERP =&gt; SOUS-SEGMENT'!$B$8:$B$1000=$B12)*'ANALYSE - ERP =&gt; SOUS-SEGMENT'!$Q$8:$Q$1000*'ANALYSE - ERP =&gt; SOUS-SEGMENT'!$BH$8:$BH$1000),""))</f>
        <v>2.2912596075540789E-2</v>
      </c>
      <c r="JX12" s="742">
        <f>IF($B12="","",IFERROR(SUMPRODUCT(('ANALYSE - ERP =&gt; SOUS-SEGMENT'!$B$8:$B$1000=$B12)*'ANALYSE - ERP =&gt; SOUS-SEGMENT'!$Q$8:$Q$1000*'ANALYSE - ERP =&gt; SOUS-SEGMENT'!$FK$8:$FK$1000*'ANALYSE - ERP =&gt; SOUS-SEGMENT'!$JX$8:$JX$1000)/SUMPRODUCT(('ANALYSE - ERP =&gt; SOUS-SEGMENT'!$B$8:$B$1000=$B12)*'ANALYSE - ERP =&gt; SOUS-SEGMENT'!$Q$8:$Q$1000*'ANALYSE - ERP =&gt; SOUS-SEGMENT'!$FK$8:$FK$1000),""))</f>
        <v>3.3561841000395282E-3</v>
      </c>
      <c r="JY12" s="742">
        <f>IF($B12="","",IFERROR(SUMPRODUCT(('ANALYSE - ERP =&gt; SOUS-SEGMENT'!$B$8:$B$1000=$B12)*'ANALYSE - ERP =&gt; SOUS-SEGMENT'!$Q$8:$Q$1000*'ANALYSE - ERP =&gt; SOUS-SEGMENT'!$FK$8:$FK$1000*'ANALYSE - ERP =&gt; SOUS-SEGMENT'!$JY$8:$JY$1000)/SUMPRODUCT(('ANALYSE - ERP =&gt; SOUS-SEGMENT'!$B$8:$B$1000=$B12)*'ANALYSE - ERP =&gt; SOUS-SEGMENT'!$Q$8:$Q$1000*'ANALYSE - ERP =&gt; SOUS-SEGMENT'!$FK$8:$FK$1000),""))</f>
        <v>0.28651393350460019</v>
      </c>
      <c r="JZ12" s="742">
        <f>IF($B12="","",IFERROR(SUMPRODUCT(('ANALYSE - ERP =&gt; SOUS-SEGMENT'!$B$8:$B$1000=$B12)*'ANALYSE - ERP =&gt; SOUS-SEGMENT'!$Q$8:$Q$1000*'ANALYSE - ERP =&gt; SOUS-SEGMENT'!$FK$8:$FK$1000*'ANALYSE - ERP =&gt; SOUS-SEGMENT'!$JZ$8:$JZ$1000)/SUMPRODUCT(('ANALYSE - ERP =&gt; SOUS-SEGMENT'!$B$8:$B$1000=$B12)*'ANALYSE - ERP =&gt; SOUS-SEGMENT'!$Q$8:$Q$1000*'ANALYSE - ERP =&gt; SOUS-SEGMENT'!$FK$8:$FK$1000),""))</f>
        <v>0.51235554095779334</v>
      </c>
      <c r="KA12" s="742">
        <f>IF($B12="","",IFERROR(SUMPRODUCT(('ANALYSE - ERP =&gt; SOUS-SEGMENT'!$B$8:$B$1000=$B12)*'ANALYSE - ERP =&gt; SOUS-SEGMENT'!$Q$8:$Q$1000*'ANALYSE - ERP =&gt; SOUS-SEGMENT'!$FK$8:$FK$1000*'ANALYSE - ERP =&gt; SOUS-SEGMENT'!$KA$8:$KA$1000)/SUMPRODUCT(('ANALYSE - ERP =&gt; SOUS-SEGMENT'!$B$8:$B$1000=$B12)*'ANALYSE - ERP =&gt; SOUS-SEGMENT'!$Q$8:$Q$1000*'ANALYSE - ERP =&gt; SOUS-SEGMENT'!$FK$8:$FK$1000),""))</f>
        <v>0.1686316672334571</v>
      </c>
      <c r="KB12" s="742">
        <f>IF($B12="","",IFERROR(SUMPRODUCT(('ANALYSE - ERP =&gt; SOUS-SEGMENT'!$B$8:$B$1000=$B12)*'ANALYSE - ERP =&gt; SOUS-SEGMENT'!$Q$8:$Q$1000*'ANALYSE - ERP =&gt; SOUS-SEGMENT'!$FK$8:$FK$1000*'ANALYSE - ERP =&gt; SOUS-SEGMENT'!$KB$8:$KB$1000)/SUMPRODUCT(('ANALYSE - ERP =&gt; SOUS-SEGMENT'!$B$8:$B$1000=$B12)*'ANALYSE - ERP =&gt; SOUS-SEGMENT'!$Q$8:$Q$1000*'ANALYSE - ERP =&gt; SOUS-SEGMENT'!$FK$8:$FK$1000),""))</f>
        <v>2.9142674204110049E-2</v>
      </c>
      <c r="KC12" s="657"/>
      <c r="KD12" s="924" t="s">
        <v>6486</v>
      </c>
      <c r="KE12" s="924" t="s">
        <v>6487</v>
      </c>
      <c r="KF12" s="869">
        <f>IF($B12="","",IFERROR(SUMPRODUCT(('ANALYSE - ERP =&gt; SOUS-SEGMENT'!$B$8:$B$1000=$B12)*'ANALYSE - ERP =&gt; SOUS-SEGMENT'!$Q$8:$Q$1000*'ANALYSE - ERP =&gt; SOUS-SEGMENT'!$IE$8:$IE$1000*'ANALYSE - ERP =&gt; SOUS-SEGMENT'!$KF$8:$KF$1000)/SUMPRODUCT(('ANALYSE - ERP =&gt; SOUS-SEGMENT'!$B$8:$B$1000=$B12)*'ANALYSE - ERP =&gt; SOUS-SEGMENT'!$Q$8:$Q$1000*'ANALYSE - ERP =&gt; SOUS-SEGMENT'!$IE$8:$IE$1000),""))</f>
        <v>3.9591792517302964</v>
      </c>
      <c r="KG12" s="924" t="s">
        <v>6488</v>
      </c>
      <c r="KH12" s="924" t="s">
        <v>6489</v>
      </c>
      <c r="KI12" s="924" t="s">
        <v>6490</v>
      </c>
      <c r="KJ12" s="924" t="s">
        <v>6491</v>
      </c>
    </row>
    <row r="13" spans="1:327" ht="120" customHeight="1">
      <c r="A13" s="951">
        <f>IF($B13="","",ROWS($A$8:A13))</f>
        <v>6</v>
      </c>
      <c r="B13" s="952" t="s">
        <v>2264</v>
      </c>
      <c r="C13" s="952" t="s">
        <v>6492</v>
      </c>
      <c r="D13" s="952" t="s">
        <v>6493</v>
      </c>
      <c r="E13" s="646" t="s">
        <v>6494</v>
      </c>
      <c r="F13" s="646" t="s">
        <v>6495</v>
      </c>
      <c r="G13" s="646" t="s">
        <v>6496</v>
      </c>
      <c r="H13" s="646" t="s">
        <v>6497</v>
      </c>
      <c r="I13" s="646" t="s">
        <v>6498</v>
      </c>
      <c r="J13" s="646" t="s">
        <v>6499</v>
      </c>
      <c r="K13" s="646" t="s">
        <v>2097</v>
      </c>
      <c r="L13" s="646" t="s">
        <v>2109</v>
      </c>
      <c r="M13" s="646" t="s">
        <v>6500</v>
      </c>
      <c r="N13" s="646" t="s">
        <v>6501</v>
      </c>
      <c r="O13" s="646" t="s">
        <v>2616</v>
      </c>
      <c r="P13" s="646" t="s">
        <v>6502</v>
      </c>
      <c r="Q13" s="270">
        <f>IF($B13="","",IF(SUMIFS('ANALYSE - ERP =&gt; SOUS-SEGMENT'!$Q$8:$Q$1000,'ANALYSE - ERP =&gt; SOUS-SEGMENT'!$B$8:$B$1000,$B13)&gt;0,1,0))</f>
        <v>1</v>
      </c>
      <c r="R13" s="278">
        <f>IF($B13="","",IFERROR(SUMPRODUCT(('ANALYSE - ERP =&gt; SOUS-SEGMENT'!$B$8:$B$1000=$B13)*'ANALYSE - ERP =&gt; SOUS-SEGMENT'!$Q$8:$Q$1000*'ANALYSE - ERP =&gt; SOUS-SEGMENT'!$AF$8:$AF$1000*'ANALYSE - ERP =&gt; SOUS-SEGMENT'!$R$8:$R$1000)/SUMPRODUCT(('ANALYSE - ERP =&gt; SOUS-SEGMENT'!$B$8:$B$1000=$B13)*'ANALYSE - ERP =&gt; SOUS-SEGMENT'!$Q$8:$Q$1000*'ANALYSE - ERP =&gt; SOUS-SEGMENT'!$AF$8:$AF$1000),""))</f>
        <v>7972.6987447698748</v>
      </c>
      <c r="S13" s="279">
        <f>IF($B13="","",SUMPRODUCT(('ANALYSE - ERP =&gt; SOUS-SEGMENT'!$B$8:$B$1000=$B13)*'ANALYSE - ERP =&gt; SOUS-SEGMENT'!$Q$8:$Q$1000*'ANALYSE - ERP =&gt; SOUS-SEGMENT'!$S$8:$S$1000))</f>
        <v>37500</v>
      </c>
      <c r="T13" s="279">
        <f>IF($B13="","",SUMPRODUCT(('ANALYSE - ERP =&gt; SOUS-SEGMENT'!$B$8:$B$1000=$B13)*'ANALYSE - ERP =&gt; SOUS-SEGMENT'!$Q$8:$Q$1000*'ANALYSE - ERP =&gt; SOUS-SEGMENT'!$T$8:$T$1000))</f>
        <v>38550</v>
      </c>
      <c r="U13" s="279">
        <f>IF($B13="","",SUMPRODUCT(('ANALYSE - ERP =&gt; SOUS-SEGMENT'!$B$8:$B$1000=$B13)*'ANALYSE - ERP =&gt; SOUS-SEGMENT'!$Q$8:$Q$1000*'ANALYSE - ERP =&gt; SOUS-SEGMENT'!$U$8:$U$1000))</f>
        <v>40400</v>
      </c>
      <c r="V13" s="279">
        <f>IF($B13="","",SUMPRODUCT(('ANALYSE - ERP =&gt; SOUS-SEGMENT'!$B$8:$B$1000=$B13)*'ANALYSE - ERP =&gt; SOUS-SEGMENT'!$Q$8:$Q$1000*'ANALYSE - ERP =&gt; SOUS-SEGMENT'!$V$8:$V$1000))</f>
        <v>43450</v>
      </c>
      <c r="W13" s="279">
        <f>IF($B13="","",SUMPRODUCT(('ANALYSE - ERP =&gt; SOUS-SEGMENT'!$B$8:$B$1000=$B13)*'ANALYSE - ERP =&gt; SOUS-SEGMENT'!$Q$8:$Q$1000*'ANALYSE - ERP =&gt; SOUS-SEGMENT'!$W$8:$W$1000))</f>
        <v>44130</v>
      </c>
      <c r="X13" s="279">
        <f>IF($B13="","",SUMPRODUCT(('ANALYSE - ERP =&gt; SOUS-SEGMENT'!$B$8:$B$1000=$B13)*'ANALYSE - ERP =&gt; SOUS-SEGMENT'!$Q$8:$Q$1000*'ANALYSE - ERP =&gt; SOUS-SEGMENT'!$X$8:$X$1000))</f>
        <v>44840</v>
      </c>
      <c r="Y13" s="279">
        <f>IF($B13="","",SUMPRODUCT(('ANALYSE - ERP =&gt; SOUS-SEGMENT'!$B$8:$B$1000=$B13)*'ANALYSE - ERP =&gt; SOUS-SEGMENT'!$Q$8:$Q$1000*'ANALYSE - ERP =&gt; SOUS-SEGMENT'!$Y$8:$Y$1000))</f>
        <v>45600</v>
      </c>
      <c r="Z13" s="279">
        <f>IF($B13="","",SUMPRODUCT(('ANALYSE - ERP =&gt; SOUS-SEGMENT'!$B$8:$B$1000=$B13)*'ANALYSE - ERP =&gt; SOUS-SEGMENT'!$Q$8:$Q$1000*'ANALYSE - ERP =&gt; SOUS-SEGMENT'!$Z$8:$Z$1000))</f>
        <v>46480</v>
      </c>
      <c r="AA13" s="279">
        <f>IF($B13="","",SUMPRODUCT(('ANALYSE - ERP =&gt; SOUS-SEGMENT'!$B$8:$B$1000=$B13)*'ANALYSE - ERP =&gt; SOUS-SEGMENT'!$Q$8:$Q$1000*'ANALYSE - ERP =&gt; SOUS-SEGMENT'!$AA$8:$AA$1000))</f>
        <v>45830</v>
      </c>
      <c r="AB13" s="279">
        <f>IF($B13="","",SUMPRODUCT(('ANALYSE - ERP =&gt; SOUS-SEGMENT'!$B$8:$B$1000=$B13)*'ANALYSE - ERP =&gt; SOUS-SEGMENT'!$Q$8:$Q$1000*'ANALYSE - ERP =&gt; SOUS-SEGMENT'!$AB$8:$AB$1000))</f>
        <v>46180</v>
      </c>
      <c r="AC13" s="279">
        <f>IF($B13="","",SUMPRODUCT(('ANALYSE - ERP =&gt; SOUS-SEGMENT'!$B$8:$B$1000=$B13)*'ANALYSE - ERP =&gt; SOUS-SEGMENT'!$Q$8:$Q$1000*'ANALYSE - ERP =&gt; SOUS-SEGMENT'!$AC$8:$AC$1000))</f>
        <v>46630</v>
      </c>
      <c r="AD13" s="279">
        <f>IF($B13="","",SUMPRODUCT(('ANALYSE - ERP =&gt; SOUS-SEGMENT'!$B$8:$B$1000=$B13)*'ANALYSE - ERP =&gt; SOUS-SEGMENT'!$Q$8:$Q$1000*'ANALYSE - ERP =&gt; SOUS-SEGMENT'!$AD$8:$AD$1000))</f>
        <v>47080</v>
      </c>
      <c r="AE13" s="279">
        <f>IF($B13="","",SUMPRODUCT(('ANALYSE - ERP =&gt; SOUS-SEGMENT'!$B$8:$B$1000=$B13)*'ANALYSE - ERP =&gt; SOUS-SEGMENT'!$Q$8:$Q$1000*'ANALYSE - ERP =&gt; SOUS-SEGMENT'!$AE$8:$AE$1000))</f>
        <v>47490</v>
      </c>
      <c r="AF13" s="279">
        <f>IF($B13="","",SUMPRODUCT(('ANALYSE - ERP =&gt; SOUS-SEGMENT'!$B$8:$B$1000=$B13)*'ANALYSE - ERP =&gt; SOUS-SEGMENT'!$Q$8:$Q$1000*'ANALYSE - ERP =&gt; SOUS-SEGMENT'!$AF$8:$AF$1000))</f>
        <v>47800</v>
      </c>
      <c r="AG13" s="279">
        <f>IF($B13="","",SUMPRODUCT(('ANALYSE - ERP =&gt; SOUS-SEGMENT'!$B$8:$B$1000=$B13)*'ANALYSE - ERP =&gt; SOUS-SEGMENT'!$Q$8:$Q$1000*'ANALYSE - ERP =&gt; SOUS-SEGMENT'!$AG$8:$AG$1000))</f>
        <v>47930</v>
      </c>
      <c r="AH13" s="279">
        <f>IF($B13="","",SUMPRODUCT(('ANALYSE - ERP =&gt; SOUS-SEGMENT'!$B$8:$B$1000=$B13)*'ANALYSE - ERP =&gt; SOUS-SEGMENT'!$Q$8:$Q$1000*'ANALYSE - ERP =&gt; SOUS-SEGMENT'!$AH$8:$AH$1000))</f>
        <v>48060</v>
      </c>
      <c r="AI13" s="279">
        <f>IF($B13="","",SUMPRODUCT(('ANALYSE - ERP =&gt; SOUS-SEGMENT'!$B$8:$B$1000=$B13)*'ANALYSE - ERP =&gt; SOUS-SEGMENT'!$Q$8:$Q$1000*'ANALYSE - ERP =&gt; SOUS-SEGMENT'!$AI$8:$AI$1000))</f>
        <v>48190</v>
      </c>
      <c r="AJ13" s="279">
        <f>IF($B13="","",SUMPRODUCT(('ANALYSE - ERP =&gt; SOUS-SEGMENT'!$B$8:$B$1000=$B13)*'ANALYSE - ERP =&gt; SOUS-SEGMENT'!$Q$8:$Q$1000*'ANALYSE - ERP =&gt; SOUS-SEGMENT'!$AJ$8:$AJ$1000))</f>
        <v>48290</v>
      </c>
      <c r="AK13" s="279">
        <f>IF($B13="","",SUMPRODUCT(('ANALYSE - ERP =&gt; SOUS-SEGMENT'!$B$8:$B$1000=$B13)*'ANALYSE - ERP =&gt; SOUS-SEGMENT'!$Q$8:$Q$1000*'ANALYSE - ERP =&gt; SOUS-SEGMENT'!$AK$8:$AK$1000))</f>
        <v>48380</v>
      </c>
      <c r="AL13" s="646" t="s">
        <v>6503</v>
      </c>
      <c r="AM13" s="646" t="s">
        <v>6504</v>
      </c>
      <c r="AN13" s="646" t="s">
        <v>6505</v>
      </c>
      <c r="AO13" s="657"/>
      <c r="AP13" s="278">
        <f>IF($B13="","",IFERROR(SUMPRODUCT(('ANALYSE - ERP =&gt; SOUS-SEGMENT'!$B$8:$B$1000=$B13)*'ANALYSE - ERP =&gt; SOUS-SEGMENT'!$Q$8:$Q$1000*'ANALYSE - ERP =&gt; SOUS-SEGMENT'!$AF$8:$AF$1000*'ANALYSE - ERP =&gt; SOUS-SEGMENT'!$AP$8:$AP$1000)/SUMPRODUCT(('ANALYSE - ERP =&gt; SOUS-SEGMENT'!$B$8:$B$1000=$B13)*'ANALYSE - ERP =&gt; SOUS-SEGMENT'!$Q$8:$Q$1000*'ANALYSE - ERP =&gt; SOUS-SEGMENT'!$AF$8:$AF$1000),""))</f>
        <v>221.68410041841005</v>
      </c>
      <c r="AQ13" s="278">
        <f>IF($B13="","",IFERROR(SUMPRODUCT(('ANALYSE - ERP =&gt; SOUS-SEGMENT'!$B$8:$B$1000=$B13)*'ANALYSE - ERP =&gt; SOUS-SEGMENT'!$Q$8:$Q$1000*'ANALYSE - ERP =&gt; SOUS-SEGMENT'!$AF$8:$AF$1000*'ANALYSE - ERP =&gt; SOUS-SEGMENT'!$AQ$8:$AQ$1000)/SUMPRODUCT(('ANALYSE - ERP =&gt; SOUS-SEGMENT'!$B$8:$B$1000=$B13)*'ANALYSE - ERP =&gt; SOUS-SEGMENT'!$Q$8:$Q$1000*'ANALYSE - ERP =&gt; SOUS-SEGMENT'!$AF$8:$AF$1000),""))</f>
        <v>198.02092050209205</v>
      </c>
      <c r="AR13" s="278">
        <f>IF($B13="","",IFERROR(SUMPRODUCT(('ANALYSE - ERP =&gt; SOUS-SEGMENT'!$B$8:$B$1000=$B13)*'ANALYSE - ERP =&gt; SOUS-SEGMENT'!$Q$8:$Q$1000*'ANALYSE - ERP =&gt; SOUS-SEGMENT'!$AF$8:$AF$1000*'ANALYSE - ERP =&gt; SOUS-SEGMENT'!$AR$8:$AR$1000)/SUMPRODUCT(('ANALYSE - ERP =&gt; SOUS-SEGMENT'!$B$8:$B$1000=$B13)*'ANALYSE - ERP =&gt; SOUS-SEGMENT'!$Q$8:$Q$1000*'ANALYSE - ERP =&gt; SOUS-SEGMENT'!$AF$8:$AF$1000),""))</f>
        <v>21.35460251046025</v>
      </c>
      <c r="AS13" s="278">
        <f>IF($B13="","",IFERROR(SUMPRODUCT(('ANALYSE - ERP =&gt; SOUS-SEGMENT'!$B$8:$B$1000=$B13)*'ANALYSE - ERP =&gt; SOUS-SEGMENT'!$Q$8:$Q$1000*'ANALYSE - ERP =&gt; SOUS-SEGMENT'!$AF$8:$AF$1000*'ANALYSE - ERP =&gt; SOUS-SEGMENT'!$AS$8:$AS$1000)/SUMPRODUCT(('ANALYSE - ERP =&gt; SOUS-SEGMENT'!$B$8:$B$1000=$B13)*'ANALYSE - ERP =&gt; SOUS-SEGMENT'!$Q$8:$Q$1000*'ANALYSE - ERP =&gt; SOUS-SEGMENT'!$AF$8:$AF$1000),""))</f>
        <v>2.3085774058577404</v>
      </c>
      <c r="AT13" s="657"/>
      <c r="AU13" s="646" t="s">
        <v>6506</v>
      </c>
      <c r="AV13" s="646" t="s">
        <v>6507</v>
      </c>
      <c r="AW13" s="646" t="s">
        <v>6508</v>
      </c>
      <c r="AX13" s="646" t="s">
        <v>6509</v>
      </c>
      <c r="AY13" s="657"/>
      <c r="AZ13" s="947">
        <f>IF($B13="","",IFERROR(SUMPRODUCT(('ANALYSE - ERP =&gt; SOUS-SEGMENT'!$B$8:$B$1000=$B13)*'ANALYSE - ERP =&gt; SOUS-SEGMENT'!$Q$8:$Q$1000*'ANALYSE - ERP =&gt; SOUS-SEGMENT'!$AF$8:$AF$1000*'ANALYSE - ERP =&gt; SOUS-SEGMENT'!$AZ$8:$AZ$1000)/SUMPRODUCT(('ANALYSE - ERP =&gt; SOUS-SEGMENT'!$B$8:$B$1000=$B13)*'ANALYSE - ERP =&gt; SOUS-SEGMENT'!$Q$8:$Q$1000*'ANALYSE - ERP =&gt; SOUS-SEGMENT'!$AF$8:$AF$1000),""))</f>
        <v>20.376569037656903</v>
      </c>
      <c r="BA13" s="947">
        <f>IF($B13="","",IFERROR(SUMPRODUCT(('ANALYSE - ERP =&gt; SOUS-SEGMENT'!$B$8:$B$1000=$B13)*'ANALYSE - ERP =&gt; SOUS-SEGMENT'!$Q$8:$Q$1000*'ANALYSE - ERP =&gt; SOUS-SEGMENT'!$AF$8:$AF$1000*'ANALYSE - ERP =&gt; SOUS-SEGMENT'!$BA$8:$BA$1000)/SUMPRODUCT(('ANALYSE - ERP =&gt; SOUS-SEGMENT'!$B$8:$B$1000=$B13)*'ANALYSE - ERP =&gt; SOUS-SEGMENT'!$Q$8:$Q$1000*'ANALYSE - ERP =&gt; SOUS-SEGMENT'!$AF$8:$AF$1000),""))</f>
        <v>2.4427301255230125</v>
      </c>
      <c r="BB13" s="947">
        <f>IF($B13="","",IFERROR(SUMPRODUCT(('ANALYSE - ERP =&gt; SOUS-SEGMENT'!$B$8:$B$1000=$B13)*'ANALYSE - ERP =&gt; SOUS-SEGMENT'!$Q$8:$Q$1000*'ANALYSE - ERP =&gt; SOUS-SEGMENT'!$AF$8:$AF$1000*'ANALYSE - ERP =&gt; SOUS-SEGMENT'!$BB$8:$BB$1000)/SUMPRODUCT(('ANALYSE - ERP =&gt; SOUS-SEGMENT'!$B$8:$B$1000=$B13)*'ANALYSE - ERP =&gt; SOUS-SEGMENT'!$Q$8:$Q$1000*'ANALYSE - ERP =&gt; SOUS-SEGMENT'!$AF$8:$AF$1000),""))</f>
        <v>4.4657949790794982</v>
      </c>
      <c r="BC13" s="947">
        <f>IF($B13="","",IFERROR(SUMPRODUCT(('ANALYSE - ERP =&gt; SOUS-SEGMENT'!$B$8:$B$1000=$B13)*'ANALYSE - ERP =&gt; SOUS-SEGMENT'!$Q$8:$Q$1000*'ANALYSE - ERP =&gt; SOUS-SEGMENT'!$AF$8:$AF$1000*'ANALYSE - ERP =&gt; SOUS-SEGMENT'!$BC$8:$BC$1000)/SUMPRODUCT(('ANALYSE - ERP =&gt; SOUS-SEGMENT'!$B$8:$B$1000=$B13)*'ANALYSE - ERP =&gt; SOUS-SEGMENT'!$Q$8:$Q$1000*'ANALYSE - ERP =&gt; SOUS-SEGMENT'!$AF$8:$AF$1000),""))</f>
        <v>14.617154811715482</v>
      </c>
      <c r="BD13" s="826">
        <f t="shared" si="1"/>
        <v>2002927.5</v>
      </c>
      <c r="BE13" s="283">
        <f>IF($B13="","",SUMPRODUCT(('ANALYSE - ERP =&gt; SOUS-SEGMENT'!$B$8:$B$1000=$B13)*'ANALYSE - ERP =&gt; SOUS-SEGMENT'!$Q$8:$Q$1000*'ANALYSE - ERP =&gt; SOUS-SEGMENT'!$BE$8:$BE$1000))</f>
        <v>974000</v>
      </c>
      <c r="BF13" s="283">
        <f>IF($B13="","",SUMPRODUCT(('ANALYSE - ERP =&gt; SOUS-SEGMENT'!$B$8:$B$1000=$B13)*'ANALYSE - ERP =&gt; SOUS-SEGMENT'!$Q$8:$Q$1000*'ANALYSE - ERP =&gt; SOUS-SEGMENT'!$BF$8:$BF$1000))</f>
        <v>116762.5</v>
      </c>
      <c r="BG13" s="283">
        <f>IF($B13="","",SUMPRODUCT(('ANALYSE - ERP =&gt; SOUS-SEGMENT'!$B$8:$B$1000=$B13)*'ANALYSE - ERP =&gt; SOUS-SEGMENT'!$Q$8:$Q$1000*'ANALYSE - ERP =&gt; SOUS-SEGMENT'!$BG$8:$BG$1000))</f>
        <v>213465</v>
      </c>
      <c r="BH13" s="283">
        <f>IF($B13="","",SUMPRODUCT(('ANALYSE - ERP =&gt; SOUS-SEGMENT'!$B$8:$B$1000=$B13)*'ANALYSE - ERP =&gt; SOUS-SEGMENT'!$Q$8:$Q$1000*'ANALYSE - ERP =&gt; SOUS-SEGMENT'!$BH$8:$BH$1000))</f>
        <v>698700</v>
      </c>
      <c r="BI13" s="826">
        <f t="shared" si="2"/>
        <v>2023090</v>
      </c>
      <c r="BJ13" s="283">
        <f>IF($B13="","",SUMPRODUCT(('ANALYSE - ERP =&gt; SOUS-SEGMENT'!$B$8:$B$1000=$B13)*'ANALYSE - ERP =&gt; SOUS-SEGMENT'!$Q$8:$Q$1000*'ANALYSE - ERP =&gt; SOUS-SEGMENT'!$BJ$8:$BJ$1000))</f>
        <v>981870</v>
      </c>
      <c r="BK13" s="283">
        <f>IF($B13="","",SUMPRODUCT(('ANALYSE - ERP =&gt; SOUS-SEGMENT'!$B$8:$B$1000=$B13)*'ANALYSE - ERP =&gt; SOUS-SEGMENT'!$Q$8:$Q$1000*'ANALYSE - ERP =&gt; SOUS-SEGMENT'!$BK$8:$BK$1000))</f>
        <v>121240</v>
      </c>
      <c r="BL13" s="283">
        <f>IF($B13="","",SUMPRODUCT(('ANALYSE - ERP =&gt; SOUS-SEGMENT'!$B$8:$B$1000=$B13)*'ANALYSE - ERP =&gt; SOUS-SEGMENT'!$Q$8:$Q$1000*'ANALYSE - ERP =&gt; SOUS-SEGMENT'!$BL$8:$BL$1000))</f>
        <v>215830</v>
      </c>
      <c r="BM13" s="283">
        <f>IF($B13="","",SUMPRODUCT(('ANALYSE - ERP =&gt; SOUS-SEGMENT'!$B$8:$B$1000=$B13)*'ANALYSE - ERP =&gt; SOUS-SEGMENT'!$Q$8:$Q$1000*'ANALYSE - ERP =&gt; SOUS-SEGMENT'!$BM$8:$BM$1000))</f>
        <v>704150</v>
      </c>
      <c r="BN13" s="657"/>
      <c r="BO13" s="305">
        <f t="shared" si="3"/>
        <v>0.42335420944558522</v>
      </c>
      <c r="BP13" s="305">
        <f t="shared" si="4"/>
        <v>0.36990965092402461</v>
      </c>
      <c r="BQ13" s="305">
        <f t="shared" si="5"/>
        <v>0.15755646817248464</v>
      </c>
      <c r="BR13" s="581">
        <f t="shared" si="6"/>
        <v>4.9179671457905541E-2</v>
      </c>
      <c r="BS13" s="706">
        <f t="shared" si="7"/>
        <v>0.36711692993980871</v>
      </c>
      <c r="BT13" s="305">
        <f t="shared" si="8"/>
        <v>0.3799287074663652</v>
      </c>
      <c r="BU13" s="305">
        <f t="shared" si="9"/>
        <v>0.21535641174493569</v>
      </c>
      <c r="BV13" s="581">
        <f t="shared" si="10"/>
        <v>3.7597950848890387E-2</v>
      </c>
      <c r="BW13" s="713">
        <f t="shared" si="11"/>
        <v>0.38276629911144416</v>
      </c>
      <c r="BX13" s="306">
        <f t="shared" si="12"/>
        <v>0.42952660314741459</v>
      </c>
      <c r="BY13" s="590">
        <f t="shared" si="13"/>
        <v>0.18770709774114122</v>
      </c>
      <c r="BZ13" s="713">
        <f t="shared" si="14"/>
        <v>0.34147970966677665</v>
      </c>
      <c r="CA13" s="306">
        <f t="shared" si="15"/>
        <v>0.42762784559551303</v>
      </c>
      <c r="CB13" s="590">
        <f t="shared" si="16"/>
        <v>0.23089244473771037</v>
      </c>
      <c r="CC13" s="706">
        <f t="shared" si="17"/>
        <v>0.15878832595507461</v>
      </c>
      <c r="CD13" s="305">
        <f t="shared" si="18"/>
        <v>0.51431733539456115</v>
      </c>
      <c r="CE13" s="305">
        <f t="shared" si="19"/>
        <v>0.18794064600754223</v>
      </c>
      <c r="CF13" s="581">
        <f t="shared" si="20"/>
        <v>0.13895369264282201</v>
      </c>
      <c r="CG13" s="706">
        <f t="shared" si="21"/>
        <v>0.1269668257424825</v>
      </c>
      <c r="CH13" s="305">
        <f t="shared" si="22"/>
        <v>0.49147106519019595</v>
      </c>
      <c r="CI13" s="305">
        <f t="shared" si="23"/>
        <v>0.22003845619237364</v>
      </c>
      <c r="CJ13" s="581">
        <f t="shared" si="24"/>
        <v>0.16152365287494788</v>
      </c>
      <c r="CK13" s="719">
        <f t="shared" si="25"/>
        <v>0.55926721053384854</v>
      </c>
      <c r="CL13" s="307">
        <f t="shared" si="26"/>
        <v>0.29383855732073849</v>
      </c>
      <c r="CM13" s="723">
        <f t="shared" si="27"/>
        <v>0.14689423214541292</v>
      </c>
      <c r="CN13" s="719">
        <f t="shared" si="28"/>
        <v>0.49282184193708728</v>
      </c>
      <c r="CO13" s="307">
        <f t="shared" si="29"/>
        <v>0.3299254420222964</v>
      </c>
      <c r="CP13" s="723">
        <f t="shared" si="30"/>
        <v>0.17725271604061635</v>
      </c>
      <c r="CQ13" s="657"/>
      <c r="CR13" s="804">
        <f>IF($B13="","",IFERROR(SUMPRODUCT(('ANALYSE - ERP =&gt; SOUS-SEGMENT'!$B$8:$B$1000=$B13)*'ANALYSE - ERP =&gt; SOUS-SEGMENT'!$Q$8:$Q$1000*'ANALYSE - ERP =&gt; SOUS-SEGMENT'!$DH$8:$DH$1000*'ANALYSE - ERP =&gt; SOUS-SEGMENT'!$CR$8:$CR$1000)/SUMPRODUCT(('ANALYSE - ERP =&gt; SOUS-SEGMENT'!$B$8:$B$1000=$B13)*'ANALYSE - ERP =&gt; SOUS-SEGMENT'!$Q$8:$Q$1000*'ANALYSE - ERP =&gt; SOUS-SEGMENT'!$DH$8:$DH$1000),""))</f>
        <v>12.929702410833594</v>
      </c>
      <c r="CS13" s="805">
        <f>IF($B13="","",IFERROR(SUMPRODUCT(('ANALYSE - ERP =&gt; SOUS-SEGMENT'!$B$8:$B$1000=$B13)*'ANALYSE - ERP =&gt; SOUS-SEGMENT'!$Q$8:$Q$1000*'ANALYSE - ERP =&gt; SOUS-SEGMENT'!$DI$8:$DI$1000*'ANALYSE - ERP =&gt; SOUS-SEGMENT'!$CS$8:$CS$1000)/SUMPRODUCT(('ANALYSE - ERP =&gt; SOUS-SEGMENT'!$B$8:$B$1000=$B13)*'ANALYSE - ERP =&gt; SOUS-SEGMENT'!$Q$8:$Q$1000*'ANALYSE - ERP =&gt; SOUS-SEGMENT'!$DI$8:$DI$1000),""))</f>
        <v>13.835974709402374</v>
      </c>
      <c r="CT13" s="805">
        <f>IF($B13="","",IFERROR(SUMPRODUCT(('ANALYSE - ERP =&gt; SOUS-SEGMENT'!$B$8:$B$1000=$B13)*'ANALYSE - ERP =&gt; SOUS-SEGMENT'!$Q$8:$Q$1000*'ANALYSE - ERP =&gt; SOUS-SEGMENT'!$DJ$8:$DJ$1000*'ANALYSE - ERP =&gt; SOUS-SEGMENT'!$CT$8:$CT$1000)/SUMPRODUCT(('ANALYSE - ERP =&gt; SOUS-SEGMENT'!$B$8:$B$1000=$B13)*'ANALYSE - ERP =&gt; SOUS-SEGMENT'!$Q$8:$Q$1000*'ANALYSE - ERP =&gt; SOUS-SEGMENT'!$DJ$8:$DJ$1000),""))</f>
        <v>9.9447152352404533</v>
      </c>
      <c r="CU13" s="806">
        <f>IF($B13="","",IFERROR(SUMPRODUCT(('ANALYSE - ERP =&gt; SOUS-SEGMENT'!$B$8:$B$1000=$B13)*'ANALYSE - ERP =&gt; SOUS-SEGMENT'!$Q$8:$Q$1000*'ANALYSE - ERP =&gt; SOUS-SEGMENT'!$DK$8:$DK$1000*'ANALYSE - ERP =&gt; SOUS-SEGMENT'!$CU$8:$CU$1000)/SUMPRODUCT(('ANALYSE - ERP =&gt; SOUS-SEGMENT'!$B$8:$B$1000=$B13)*'ANALYSE - ERP =&gt; SOUS-SEGMENT'!$Q$8:$Q$1000*'ANALYSE - ERP =&gt; SOUS-SEGMENT'!$DK$8:$DK$1000),""))</f>
        <v>11.940961566564372</v>
      </c>
      <c r="CV13" s="804">
        <f>IF($B13="","",IFERROR(SUMPRODUCT(('ANALYSE - ERP =&gt; SOUS-SEGMENT'!$B$8:$B$1000=$B13)*'ANALYSE - ERP =&gt; SOUS-SEGMENT'!$Q$8:$Q$1000*'ANALYSE - ERP =&gt; SOUS-SEGMENT'!$DS$8:$DS$1000*'ANALYSE - ERP =&gt; SOUS-SEGMENT'!$CV$8:$CV$1000)/SUMPRODUCT(('ANALYSE - ERP =&gt; SOUS-SEGMENT'!$B$8:$B$1000=$B13)*'ANALYSE - ERP =&gt; SOUS-SEGMENT'!$Q$8:$Q$1000*'ANALYSE - ERP =&gt; SOUS-SEGMENT'!$DS$8:$DS$1000),""))</f>
        <v>11.681234652152755</v>
      </c>
      <c r="CW13" s="805">
        <f>IF($B13="","",IFERROR(SUMPRODUCT(('ANALYSE - ERP =&gt; SOUS-SEGMENT'!$B$8:$B$1000=$B13)*'ANALYSE - ERP =&gt; SOUS-SEGMENT'!$Q$8:$Q$1000*'ANALYSE - ERP =&gt; SOUS-SEGMENT'!$DT$8:$DT$1000*'ANALYSE - ERP =&gt; SOUS-SEGMENT'!$CW$8:$CW$1000)/SUMPRODUCT(('ANALYSE - ERP =&gt; SOUS-SEGMENT'!$B$8:$B$1000=$B13)*'ANALYSE - ERP =&gt; SOUS-SEGMENT'!$Q$8:$Q$1000*'ANALYSE - ERP =&gt; SOUS-SEGMENT'!$DT$8:$DT$1000),""))</f>
        <v>11</v>
      </c>
      <c r="CX13" s="806">
        <f>IF($B13="","",IFERROR(SUMPRODUCT(('ANALYSE - ERP =&gt; SOUS-SEGMENT'!$B$8:$B$1000=$B13)*'ANALYSE - ERP =&gt; SOUS-SEGMENT'!$Q$8:$Q$1000*'ANALYSE - ERP =&gt; SOUS-SEGMENT'!$DU$8:$DU$1000*'ANALYSE - ERP =&gt; SOUS-SEGMENT'!$CX$8:$CX$1000)/SUMPRODUCT(('ANALYSE - ERP =&gt; SOUS-SEGMENT'!$B$8:$B$1000=$B13)*'ANALYSE - ERP =&gt; SOUS-SEGMENT'!$Q$8:$Q$1000*'ANALYSE - ERP =&gt; SOUS-SEGMENT'!$DU$8:$DU$1000),""))</f>
        <v>8.7054817802497126</v>
      </c>
      <c r="CY13" s="804">
        <f>IF($B13="","",IFERROR(SUMPRODUCT(('ANALYSE - ERP =&gt; SOUS-SEGMENT'!$B$8:$B$1000=$B13)*'ANALYSE - ERP =&gt; SOUS-SEGMENT'!$Q$8:$Q$1000*'ANALYSE - ERP =&gt; SOUS-SEGMENT'!$EB$8:$EB$1000*'ANALYSE - ERP =&gt; SOUS-SEGMENT'!$CY$8:$CY$1000)/SUMPRODUCT(('ANALYSE - ERP =&gt; SOUS-SEGMENT'!$B$8:$B$1000=$B13)*'ANALYSE - ERP =&gt; SOUS-SEGMENT'!$Q$8:$Q$1000*'ANALYSE - ERP =&gt; SOUS-SEGMENT'!$EB$8:$EB$1000),""))</f>
        <v>10.899434294859976</v>
      </c>
      <c r="CZ13" s="805">
        <f>IF($B13="","",IFERROR(SUMPRODUCT(('ANALYSE - ERP =&gt; SOUS-SEGMENT'!$B$8:$B$1000=$B13)*'ANALYSE - ERP =&gt; SOUS-SEGMENT'!$Q$8:$Q$1000*'ANALYSE - ERP =&gt; SOUS-SEGMENT'!$EC$8:$EC$1000*'ANALYSE - ERP =&gt; SOUS-SEGMENT'!$CZ$8:$CZ$1000)/SUMPRODUCT(('ANALYSE - ERP =&gt; SOUS-SEGMENT'!$B$8:$B$1000=$B13)*'ANALYSE - ERP =&gt; SOUS-SEGMENT'!$Q$8:$Q$1000*'ANALYSE - ERP =&gt; SOUS-SEGMENT'!$EC$8:$EC$1000),""))</f>
        <v>12.877876831642586</v>
      </c>
      <c r="DA13" s="805">
        <f>IF($B13="","",IFERROR(SUMPRODUCT(('ANALYSE - ERP =&gt; SOUS-SEGMENT'!$B$8:$B$1000=$B13)*'ANALYSE - ERP =&gt; SOUS-SEGMENT'!$Q$8:$Q$1000*'ANALYSE - ERP =&gt; SOUS-SEGMENT'!$ED$8:$ED$1000*'ANALYSE - ERP =&gt; SOUS-SEGMENT'!$DA$8:$DA$1000)/SUMPRODUCT(('ANALYSE - ERP =&gt; SOUS-SEGMENT'!$B$8:$B$1000=$B13)*'ANALYSE - ERP =&gt; SOUS-SEGMENT'!$Q$8:$Q$1000*'ANALYSE - ERP =&gt; SOUS-SEGMENT'!$ED$8:$ED$1000),""))</f>
        <v>8.9150334943137555</v>
      </c>
      <c r="DB13" s="806">
        <f>IF($B13="","",IFERROR(SUMPRODUCT(('ANALYSE - ERP =&gt; SOUS-SEGMENT'!$B$8:$B$1000=$B13)*'ANALYSE - ERP =&gt; SOUS-SEGMENT'!$Q$8:$Q$1000*'ANALYSE - ERP =&gt; SOUS-SEGMENT'!$EE$8:$EE$1000*'ANALYSE - ERP =&gt; SOUS-SEGMENT'!$DB$8:$DB$1000)/SUMPRODUCT(('ANALYSE - ERP =&gt; SOUS-SEGMENT'!$B$8:$B$1000=$B13)*'ANALYSE - ERP =&gt; SOUS-SEGMENT'!$Q$8:$Q$1000*'ANALYSE - ERP =&gt; SOUS-SEGMENT'!$EE$8:$EE$1000),""))</f>
        <v>10.915724797087158</v>
      </c>
      <c r="DC13" s="804">
        <f>IF($B13="","",IFERROR(SUMPRODUCT(('ANALYSE - ERP =&gt; SOUS-SEGMENT'!$B$8:$B$1000=$B13)*'ANALYSE - ERP =&gt; SOUS-SEGMENT'!$Q$8:$Q$1000*'ANALYSE - ERP =&gt; SOUS-SEGMENT'!$EM$8:$EM$1000*'ANALYSE - ERP =&gt; SOUS-SEGMENT'!$DC$8:$DC$1000)/SUMPRODUCT(('ANALYSE - ERP =&gt; SOUS-SEGMENT'!$B$8:$B$1000=$B13)*'ANALYSE - ERP =&gt; SOUS-SEGMENT'!$Q$8:$Q$1000*'ANALYSE - ERP =&gt; SOUS-SEGMENT'!$EM$8:$EM$1000),""))</f>
        <v>13.631326133688198</v>
      </c>
      <c r="DD13" s="805">
        <f>IF($B13="","",IFERROR(SUMPRODUCT(('ANALYSE - ERP =&gt; SOUS-SEGMENT'!$B$8:$B$1000=$B13)*'ANALYSE - ERP =&gt; SOUS-SEGMENT'!$Q$8:$Q$1000*'ANALYSE - ERP =&gt; SOUS-SEGMENT'!$EN$8:$EN$1000*'ANALYSE - ERP =&gt; SOUS-SEGMENT'!$DD$8:$DD$1000)/SUMPRODUCT(('ANALYSE - ERP =&gt; SOUS-SEGMENT'!$B$8:$B$1000=$B13)*'ANALYSE - ERP =&gt; SOUS-SEGMENT'!$Q$8:$Q$1000*'ANALYSE - ERP =&gt; SOUS-SEGMENT'!$EN$8:$EN$1000),""))</f>
        <v>13.787063149947638</v>
      </c>
      <c r="DE13" s="806">
        <f>IF($B13="","",IFERROR(SUMPRODUCT(('ANALYSE - ERP =&gt; SOUS-SEGMENT'!$B$8:$B$1000=$B13)*'ANALYSE - ERP =&gt; SOUS-SEGMENT'!$Q$8:$Q$1000*'ANALYSE - ERP =&gt; SOUS-SEGMENT'!$EO$8:$EO$1000*'ANALYSE - ERP =&gt; SOUS-SEGMENT'!$DE$8:$DE$1000)/SUMPRODUCT(('ANALYSE - ERP =&gt; SOUS-SEGMENT'!$B$8:$B$1000=$B13)*'ANALYSE - ERP =&gt; SOUS-SEGMENT'!$Q$8:$Q$1000*'ANALYSE - ERP =&gt; SOUS-SEGMENT'!$EO$8:$EO$1000),""))</f>
        <v>9.9311151166755973</v>
      </c>
      <c r="DF13" s="919" t="s">
        <v>6510</v>
      </c>
      <c r="DG13" s="657"/>
      <c r="DH13" s="308">
        <f>IF($B13="","",SUMPRODUCT(('ANALYSE - ERP =&gt; SOUS-SEGMENT'!$B$8:$B$1000=$B13)*'ANALYSE - ERP =&gt; SOUS-SEGMENT'!$Q$8:$Q$1000*'ANALYSE - ERP =&gt; SOUS-SEGMENT'!$DH$8:$DH$1000))</f>
        <v>412347</v>
      </c>
      <c r="DI13" s="308">
        <f>IF($B13="","",SUMPRODUCT(('ANALYSE - ERP =&gt; SOUS-SEGMENT'!$B$8:$B$1000=$B13)*'ANALYSE - ERP =&gt; SOUS-SEGMENT'!$Q$8:$Q$1000*'ANALYSE - ERP =&gt; SOUS-SEGMENT'!$DI$8:$DI$1000))</f>
        <v>360292</v>
      </c>
      <c r="DJ13" s="308">
        <f>IF($B13="","",SUMPRODUCT(('ANALYSE - ERP =&gt; SOUS-SEGMENT'!$B$8:$B$1000=$B13)*'ANALYSE - ERP =&gt; SOUS-SEGMENT'!$Q$8:$Q$1000*'ANALYSE - ERP =&gt; SOUS-SEGMENT'!$DJ$8:$DJ$1000))</f>
        <v>153460.00000000003</v>
      </c>
      <c r="DK13" s="308">
        <f>IF($B13="","",SUMPRODUCT(('ANALYSE - ERP =&gt; SOUS-SEGMENT'!$B$8:$B$1000=$B13)*'ANALYSE - ERP =&gt; SOUS-SEGMENT'!$Q$8:$Q$1000*'ANALYSE - ERP =&gt; SOUS-SEGMENT'!$DK$8:$DK$1000))</f>
        <v>47901</v>
      </c>
      <c r="DL13" s="646" t="s">
        <v>6511</v>
      </c>
      <c r="DM13" s="308">
        <f>IF($B13="","",SUMPRODUCT(('ANALYSE - ERP =&gt; SOUS-SEGMENT'!$B$8:$B$1000=$B13)*'ANALYSE - ERP =&gt; SOUS-SEGMENT'!$Q$8:$Q$1000*'ANALYSE - ERP =&gt; SOUS-SEGMENT'!$DM$8:$DM$1000))</f>
        <v>360461.1</v>
      </c>
      <c r="DN13" s="308">
        <f>IF($B13="","",SUMPRODUCT(('ANALYSE - ERP =&gt; SOUS-SEGMENT'!$B$8:$B$1000=$B13)*'ANALYSE - ERP =&gt; SOUS-SEGMENT'!$Q$8:$Q$1000*'ANALYSE - ERP =&gt; SOUS-SEGMENT'!$DN$8:$DN$1000))</f>
        <v>373040.6</v>
      </c>
      <c r="DO13" s="308">
        <f>IF($B13="","",SUMPRODUCT(('ANALYSE - ERP =&gt; SOUS-SEGMENT'!$B$8:$B$1000=$B13)*'ANALYSE - ERP =&gt; SOUS-SEGMENT'!$Q$8:$Q$1000*'ANALYSE - ERP =&gt; SOUS-SEGMENT'!$DO$8:$DO$1000))</f>
        <v>211452</v>
      </c>
      <c r="DP13" s="308">
        <f>IF($B13="","",SUMPRODUCT(('ANALYSE - ERP =&gt; SOUS-SEGMENT'!$B$8:$B$1000=$B13)*'ANALYSE - ERP =&gt; SOUS-SEGMENT'!$Q$8:$Q$1000*'ANALYSE - ERP =&gt; SOUS-SEGMENT'!$DP$8:$DP$1000))</f>
        <v>36916.300000000003</v>
      </c>
      <c r="DQ13" s="646" t="s">
        <v>6512</v>
      </c>
      <c r="DR13" s="657"/>
      <c r="DS13" s="308">
        <f>IF($B13="","",SUMPRODUCT(('ANALYSE - ERP =&gt; SOUS-SEGMENT'!$B$8:$B$1000=$B13)*'ANALYSE - ERP =&gt; SOUS-SEGMENT'!$Q$8:$Q$1000*'ANALYSE - ERP =&gt; SOUS-SEGMENT'!$DS$8:$DS$1000))</f>
        <v>44692.75</v>
      </c>
      <c r="DT13" s="308">
        <f>IF($B13="","",SUMPRODUCT(('ANALYSE - ERP =&gt; SOUS-SEGMENT'!$B$8:$B$1000=$B13)*'ANALYSE - ERP =&gt; SOUS-SEGMENT'!$Q$8:$Q$1000*'ANALYSE - ERP =&gt; SOUS-SEGMENT'!$DT$8:$DT$1000))</f>
        <v>50152.6</v>
      </c>
      <c r="DU13" s="308">
        <f>IF($B13="","",SUMPRODUCT(('ANALYSE - ERP =&gt; SOUS-SEGMENT'!$B$8:$B$1000=$B13)*'ANALYSE - ERP =&gt; SOUS-SEGMENT'!$Q$8:$Q$1000*'ANALYSE - ERP =&gt; SOUS-SEGMENT'!$DU$8:$DU$1000))</f>
        <v>21917.15</v>
      </c>
      <c r="DV13" s="646" t="s">
        <v>6513</v>
      </c>
      <c r="DW13" s="308">
        <f>IF($B13="","",SUMPRODUCT(('ANALYSE - ERP =&gt; SOUS-SEGMENT'!$B$8:$B$1000=$B13)*'ANALYSE - ERP =&gt; SOUS-SEGMENT'!$Q$8:$Q$1000*'ANALYSE - ERP =&gt; SOUS-SEGMENT'!$DW$8:$DW$1000))</f>
        <v>41401</v>
      </c>
      <c r="DX13" s="308">
        <f>IF($B13="","",SUMPRODUCT(('ANALYSE - ERP =&gt; SOUS-SEGMENT'!$B$8:$B$1000=$B13)*'ANALYSE - ERP =&gt; SOUS-SEGMENT'!$Q$8:$Q$1000*'ANALYSE - ERP =&gt; SOUS-SEGMENT'!$DX$8:$DX$1000))</f>
        <v>51845.599999999999</v>
      </c>
      <c r="DY13" s="308">
        <f>IF($B13="","",SUMPRODUCT(('ANALYSE - ERP =&gt; SOUS-SEGMENT'!$B$8:$B$1000=$B13)*'ANALYSE - ERP =&gt; SOUS-SEGMENT'!$Q$8:$Q$1000*'ANALYSE - ERP =&gt; SOUS-SEGMENT'!$DY$8:$DY$1000))</f>
        <v>27993.400000000005</v>
      </c>
      <c r="DZ13" s="646" t="s">
        <v>6514</v>
      </c>
      <c r="EA13" s="657"/>
      <c r="EB13" s="308">
        <f>IF($B13="","",SUMPRODUCT(('ANALYSE - ERP =&gt; SOUS-SEGMENT'!$B$8:$B$1000=$B13)*'ANALYSE - ERP =&gt; SOUS-SEGMENT'!$Q$8:$Q$1000*'ANALYSE - ERP =&gt; SOUS-SEGMENT'!$EB$8:$EB$1000))</f>
        <v>33895.75</v>
      </c>
      <c r="EC13" s="308">
        <f>IF($B13="","",SUMPRODUCT(('ANALYSE - ERP =&gt; SOUS-SEGMENT'!$B$8:$B$1000=$B13)*'ANALYSE - ERP =&gt; SOUS-SEGMENT'!$Q$8:$Q$1000*'ANALYSE - ERP =&gt; SOUS-SEGMENT'!$EC$8:$EC$1000))</f>
        <v>109788.75</v>
      </c>
      <c r="ED13" s="308">
        <f>IF($B13="","",SUMPRODUCT(('ANALYSE - ERP =&gt; SOUS-SEGMENT'!$B$8:$B$1000=$B13)*'ANALYSE - ERP =&gt; SOUS-SEGMENT'!$Q$8:$Q$1000*'ANALYSE - ERP =&gt; SOUS-SEGMENT'!$ED$8:$ED$1000))</f>
        <v>40118.75</v>
      </c>
      <c r="EE13" s="308">
        <f>IF($B13="","",SUMPRODUCT(('ANALYSE - ERP =&gt; SOUS-SEGMENT'!$B$8:$B$1000=$B13)*'ANALYSE - ERP =&gt; SOUS-SEGMENT'!$Q$8:$Q$1000*'ANALYSE - ERP =&gt; SOUS-SEGMENT'!$EE$8:$EE$1000))</f>
        <v>29661.75</v>
      </c>
      <c r="EF13" s="646" t="s">
        <v>6515</v>
      </c>
      <c r="EG13" s="308">
        <f>IF($B13="","",SUMPRODUCT(('ANALYSE - ERP =&gt; SOUS-SEGMENT'!$B$8:$B$1000=$B13)*'ANALYSE - ERP =&gt; SOUS-SEGMENT'!$Q$8:$Q$1000*'ANALYSE - ERP =&gt; SOUS-SEGMENT'!$EG$8:$EG$1000))</f>
        <v>27403.25</v>
      </c>
      <c r="EH13" s="308">
        <f>IF($B13="","",SUMPRODUCT(('ANALYSE - ERP =&gt; SOUS-SEGMENT'!$B$8:$B$1000=$B13)*'ANALYSE - ERP =&gt; SOUS-SEGMENT'!$Q$8:$Q$1000*'ANALYSE - ERP =&gt; SOUS-SEGMENT'!$EH$8:$EH$1000))</f>
        <v>106074.2</v>
      </c>
      <c r="EI13" s="308">
        <f>IF($B13="","",SUMPRODUCT(('ANALYSE - ERP =&gt; SOUS-SEGMENT'!$B$8:$B$1000=$B13)*'ANALYSE - ERP =&gt; SOUS-SEGMENT'!$Q$8:$Q$1000*'ANALYSE - ERP =&gt; SOUS-SEGMENT'!$EI$8:$EI$1000))</f>
        <v>47490.9</v>
      </c>
      <c r="EJ13" s="308">
        <f>IF($B13="","",SUMPRODUCT(('ANALYSE - ERP =&gt; SOUS-SEGMENT'!$B$8:$B$1000=$B13)*'ANALYSE - ERP =&gt; SOUS-SEGMENT'!$Q$8:$Q$1000*'ANALYSE - ERP =&gt; SOUS-SEGMENT'!$EJ$8:$EJ$1000))</f>
        <v>34861.65</v>
      </c>
      <c r="EK13" s="936" t="s">
        <v>6516</v>
      </c>
      <c r="EL13" s="657"/>
      <c r="EM13" s="308">
        <f>IF($B13="","",SUMPRODUCT(('ANALYSE - ERP =&gt; SOUS-SEGMENT'!$B$8:$B$1000=$B13)*'ANALYSE - ERP =&gt; SOUS-SEGMENT'!$Q$8:$Q$1000*'ANALYSE - ERP =&gt; SOUS-SEGMENT'!$EM$8:$EM$1000))</f>
        <v>390760</v>
      </c>
      <c r="EN13" s="310">
        <f>IF($B13="","",SUMPRODUCT(('ANALYSE - ERP =&gt; SOUS-SEGMENT'!$B$8:$B$1000=$B13)*'ANALYSE - ERP =&gt; SOUS-SEGMENT'!$Q$8:$Q$1000*'ANALYSE - ERP =&gt; SOUS-SEGMENT'!$EN$8:$EN$1000))</f>
        <v>205305</v>
      </c>
      <c r="EO13" s="310">
        <f>IF($B13="","",SUMPRODUCT(('ANALYSE - ERP =&gt; SOUS-SEGMENT'!$B$8:$B$1000=$B13)*'ANALYSE - ERP =&gt; SOUS-SEGMENT'!$Q$8:$Q$1000*'ANALYSE - ERP =&gt; SOUS-SEGMENT'!$EO$8:$EO$1000))</f>
        <v>102635</v>
      </c>
      <c r="EP13" s="646" t="s">
        <v>6517</v>
      </c>
      <c r="EQ13" s="308">
        <f>IF($B13="","",SUMPRODUCT(('ANALYSE - ERP =&gt; SOUS-SEGMENT'!$B$8:$B$1000=$B13)*'ANALYSE - ERP =&gt; SOUS-SEGMENT'!$Q$8:$Q$1000*'ANALYSE - ERP =&gt; SOUS-SEGMENT'!$EQ$8:$EQ$1000))</f>
        <v>347020.5</v>
      </c>
      <c r="ER13" s="310">
        <f>IF($B13="","",SUMPRODUCT(('ANALYSE - ERP =&gt; SOUS-SEGMENT'!$B$8:$B$1000=$B13)*'ANALYSE - ERP =&gt; SOUS-SEGMENT'!$Q$8:$Q$1000*'ANALYSE - ERP =&gt; SOUS-SEGMENT'!$ER$8:$ER$1000))</f>
        <v>232317</v>
      </c>
      <c r="ES13" s="310">
        <f>IF($B13="","",SUMPRODUCT(('ANALYSE - ERP =&gt; SOUS-SEGMENT'!$B$8:$B$1000=$B13)*'ANALYSE - ERP =&gt; SOUS-SEGMENT'!$Q$8:$Q$1000*'ANALYSE - ERP =&gt; SOUS-SEGMENT'!$ES$8:$ES$1000))</f>
        <v>124812.5</v>
      </c>
      <c r="ET13" s="646" t="s">
        <v>6518</v>
      </c>
      <c r="EU13" s="657"/>
      <c r="EV13" s="728">
        <f t="shared" si="31"/>
        <v>0.79921712576895054</v>
      </c>
      <c r="EW13" s="728">
        <f t="shared" si="32"/>
        <v>0.20078287423104949</v>
      </c>
      <c r="EX13" s="311">
        <f t="shared" si="33"/>
        <v>743778.97254399431</v>
      </c>
      <c r="EY13" s="311">
        <f t="shared" si="34"/>
        <v>594440.8926439943</v>
      </c>
      <c r="EZ13" s="311">
        <f t="shared" si="35"/>
        <v>149338.07990000001</v>
      </c>
      <c r="FA13" s="311">
        <f t="shared" si="36"/>
        <v>354613.14654454892</v>
      </c>
      <c r="FB13" s="311">
        <f>IF($B13="","",SUMPRODUCT(('ANALYSE - ERP =&gt; SOUS-SEGMENT'!$B$8:$B$1000=$B13)*'ANALYSE - ERP =&gt; SOUS-SEGMENT'!$Q$8:$Q$1000*'ANALYSE - ERP =&gt; SOUS-SEGMENT'!$FB$8:$FB$1000))</f>
        <v>284162.5395445489</v>
      </c>
      <c r="FC13" s="311">
        <f>IF($B13="","",SUMPRODUCT(('ANALYSE - ERP =&gt; SOUS-SEGMENT'!$B$8:$B$1000=$B13)*'ANALYSE - ERP =&gt; SOUS-SEGMENT'!$Q$8:$Q$1000*'ANALYSE - ERP =&gt; SOUS-SEGMENT'!$FC$8:$FC$1000))</f>
        <v>70450.606999999989</v>
      </c>
      <c r="FD13" s="311">
        <f t="shared" si="37"/>
        <v>55396.285847520194</v>
      </c>
      <c r="FE13" s="311">
        <f>IF($B13="","",SUMPRODUCT(('ANALYSE - ERP =&gt; SOUS-SEGMENT'!$B$8:$B$1000=$B13)*'ANALYSE - ERP =&gt; SOUS-SEGMENT'!$Q$8:$Q$1000*'ANALYSE - ERP =&gt; SOUS-SEGMENT'!$FE$8:$FE$1000))</f>
        <v>43386.507897520198</v>
      </c>
      <c r="FF13" s="311">
        <f>IF($B13="","",SUMPRODUCT(('ANALYSE - ERP =&gt; SOUS-SEGMENT'!$B$8:$B$1000=$B13)*'ANALYSE - ERP =&gt; SOUS-SEGMENT'!$Q$8:$Q$1000*'ANALYSE - ERP =&gt; SOUS-SEGMENT'!$FF$8:$FF$1000))</f>
        <v>12009.77795</v>
      </c>
      <c r="FG13" s="311">
        <f t="shared" si="38"/>
        <v>87675.661083030282</v>
      </c>
      <c r="FH13" s="311">
        <f>IF($B13="","",SUMPRODUCT(('ANALYSE - ERP =&gt; SOUS-SEGMENT'!$B$8:$B$1000=$B13)*'ANALYSE - ERP =&gt; SOUS-SEGMENT'!$Q$8:$Q$1000*'ANALYSE - ERP =&gt; SOUS-SEGMENT'!$FH$8:$FH$1000))</f>
        <v>71328.547133030283</v>
      </c>
      <c r="FI13" s="311">
        <f>IF($B13="","",SUMPRODUCT(('ANALYSE - ERP =&gt; SOUS-SEGMENT'!$B$8:$B$1000=$B13)*'ANALYSE - ERP =&gt; SOUS-SEGMENT'!$Q$8:$Q$1000*'ANALYSE - ERP =&gt; SOUS-SEGMENT'!$FI$8:$FI$1000))</f>
        <v>16347.113949999999</v>
      </c>
      <c r="FJ13" s="311">
        <f t="shared" si="39"/>
        <v>246093.87906889486</v>
      </c>
      <c r="FK13" s="311">
        <f>IF($B13="","",SUMPRODUCT(('ANALYSE - ERP =&gt; SOUS-SEGMENT'!$B$8:$B$1000=$B13)*'ANALYSE - ERP =&gt; SOUS-SEGMENT'!$Q$8:$Q$1000*'ANALYSE - ERP =&gt; SOUS-SEGMENT'!$FK$8:$FK$1000))</f>
        <v>195563.29806889486</v>
      </c>
      <c r="FL13" s="311">
        <f>IF($B13="","",SUMPRODUCT(('ANALYSE - ERP =&gt; SOUS-SEGMENT'!$B$8:$B$1000=$B13)*'ANALYSE - ERP =&gt; SOUS-SEGMENT'!$Q$8:$Q$1000*'ANALYSE - ERP =&gt; SOUS-SEGMENT'!$FL$8:$FL$1000))</f>
        <v>50530.581000000006</v>
      </c>
      <c r="FM13" s="657"/>
      <c r="FN13" s="954" t="s">
        <v>2649</v>
      </c>
      <c r="FO13" s="728">
        <f>IF($B13="","",IFERROR(SUMPRODUCT(('ANALYSE - ERP =&gt; SOUS-SEGMENT'!$B$8:$B$1000=$B13)*'ANALYSE - ERP =&gt; SOUS-SEGMENT'!$Q$8:$Q$1000*'ANALYSE - ERP =&gt; SOUS-SEGMENT'!$AF$8:$AF$1000*'ANALYSE - ERP =&gt; SOUS-SEGMENT'!$FO$8:$FO$1000)/SUMPRODUCT(('ANALYSE - ERP =&gt; SOUS-SEGMENT'!$B$8:$B$1000=$B13)*'ANALYSE - ERP =&gt; SOUS-SEGMENT'!$Q$8:$Q$1000*'ANALYSE - ERP =&gt; SOUS-SEGMENT'!$AF$8:$AF$1000),""))</f>
        <v>5.6855428870292893E-2</v>
      </c>
      <c r="FP13" s="729">
        <f>IF($B13="","",IFERROR(SUMPRODUCT(('ANALYSE - ERP =&gt; SOUS-SEGMENT'!$B$8:$B$1000=$B13)*'ANALYSE - ERP =&gt; SOUS-SEGMENT'!$Q$8:$Q$1000*'ANALYSE - ERP =&gt; SOUS-SEGMENT'!$AF$8:$AF$1000*'ANALYSE - ERP =&gt; SOUS-SEGMENT'!$FP$8:$FP$1000)/SUMPRODUCT(('ANALYSE - ERP =&gt; SOUS-SEGMENT'!$B$8:$B$1000=$B13)*'ANALYSE - ERP =&gt; SOUS-SEGMENT'!$Q$8:$Q$1000*'ANALYSE - ERP =&gt; SOUS-SEGMENT'!$AF$8:$AF$1000),""))</f>
        <v>0.81297837866108791</v>
      </c>
      <c r="FQ13" s="954" t="s">
        <v>6519</v>
      </c>
      <c r="FR13" s="657"/>
      <c r="FS13" s="865">
        <f>IF($B13="","",IFERROR(SUMPRODUCT(('ANALYSE - ERP =&gt; SOUS-SEGMENT'!$B$8:$B$1000=$B13)*'ANALYSE - ERP =&gt; SOUS-SEGMENT'!$Q$8:$Q$1000*'ANALYSE - ERP =&gt; SOUS-SEGMENT'!$EX$8:$EX$1000*'ANALYSE - ERP =&gt; SOUS-SEGMENT'!$FS$8:$FS$1000)/SUMPRODUCT(('ANALYSE - ERP =&gt; SOUS-SEGMENT'!$B$8:$B$1000=$B13)*'ANALYSE - ERP =&gt; SOUS-SEGMENT'!$Q$8:$Q$1000*'ANALYSE - ERP =&gt; SOUS-SEGMENT'!$EX$8:$EX$1000),""))</f>
        <v>3.2646941428628553</v>
      </c>
      <c r="FT13" s="312">
        <f>IF($B13="","",RANK($FS13,$FS$8:$FS$20,0)+COUNTIF($FS$8:$FS13,$FS13)-1)</f>
        <v>9</v>
      </c>
      <c r="FU13" s="865">
        <f>IF($B13="","",IFERROR(SUMPRODUCT(('ANALYSE - ERP =&gt; SOUS-SEGMENT'!$B$8:$B$1000=$B13)*'ANALYSE - ERP =&gt; SOUS-SEGMENT'!$Q$8:$Q$1000*'ANALYSE - ERP =&gt; SOUS-SEGMENT'!$EY$8:$EY$1000*'ANALYSE - ERP =&gt; SOUS-SEGMENT'!$FU$8:$FU$1000)/SUMPRODUCT(('ANALYSE - ERP =&gt; SOUS-SEGMENT'!$B$8:$B$1000=$B13)*'ANALYSE - ERP =&gt; SOUS-SEGMENT'!$Q$8:$Q$1000*'ANALYSE - ERP =&gt; SOUS-SEGMENT'!$EY$8:$EY$1000),""))</f>
        <v>3.9106486470814645</v>
      </c>
      <c r="FV13" s="312">
        <f>IF($B13="","",RANK($FU13,$FU$8:$FU$20,0)+COUNTIF($FU$8:$FU13,$FU13)-1)</f>
        <v>10</v>
      </c>
      <c r="FW13" s="865">
        <f>IF($B13="","",IFERROR(SUMPRODUCT(('ANALYSE - ERP =&gt; SOUS-SEGMENT'!$B$8:$B$1000=$B13)*'ANALYSE - ERP =&gt; SOUS-SEGMENT'!$Q$8:$Q$1000*'ANALYSE - ERP =&gt; SOUS-SEGMENT'!$EZ$8:$EZ$1000*'ANALYSE - ERP =&gt; SOUS-SEGMENT'!$FW$8:$FW$1000)/SUMPRODUCT(('ANALYSE - ERP =&gt; SOUS-SEGMENT'!$B$8:$B$1000=$B13)*'ANALYSE - ERP =&gt; SOUS-SEGMENT'!$Q$8:$Q$1000*'ANALYSE - ERP =&gt; SOUS-SEGMENT'!$EZ$8:$EZ$1000),""))</f>
        <v>2.1927000282129652</v>
      </c>
      <c r="FX13" s="312">
        <f>IF($B13="","",RANK($FW13,$FW$8:$FW$20,0)+COUNTIF($FW$8:$FW13,$FW13)-1)</f>
        <v>8</v>
      </c>
      <c r="FY13" s="657"/>
      <c r="FZ13" s="646" t="s">
        <v>6520</v>
      </c>
      <c r="GA13" s="646" t="s">
        <v>6521</v>
      </c>
      <c r="GB13" s="646" t="s">
        <v>6522</v>
      </c>
      <c r="GC13" s="646" t="s">
        <v>6523</v>
      </c>
      <c r="GD13" s="646" t="s">
        <v>6524</v>
      </c>
      <c r="GE13" s="646" t="s">
        <v>6525</v>
      </c>
      <c r="GF13" s="276" t="s">
        <v>6526</v>
      </c>
      <c r="GG13" s="657"/>
      <c r="GH13" s="311">
        <f t="shared" si="40"/>
        <v>142004.95841998718</v>
      </c>
      <c r="GI13" s="311">
        <f>IF($B13="","",SUMPRODUCT(('ANALYSE - ERP =&gt; SOUS-SEGMENT'!$B$8:$B$1000=$B13)*'ANALYSE - ERP =&gt; SOUS-SEGMENT'!$Q$8:$Q$1000*'ANALYSE - ERP =&gt; SOUS-SEGMENT'!$GI$8:$GI$1000))</f>
        <v>116007.64249998718</v>
      </c>
      <c r="GJ13" s="311">
        <f>IF($B13="","",SUMPRODUCT(('ANALYSE - ERP =&gt; SOUS-SEGMENT'!$B$8:$B$1000=$B13)*'ANALYSE - ERP =&gt; SOUS-SEGMENT'!$Q$8:$Q$1000*'ANALYSE - ERP =&gt; SOUS-SEGMENT'!$GJ$8:$GJ$1000))</f>
        <v>25997.315919999997</v>
      </c>
      <c r="GK13" s="311">
        <f t="shared" si="41"/>
        <v>121037.5079768132</v>
      </c>
      <c r="GL13" s="311">
        <f>IF($B13="","",SUMPRODUCT(('ANALYSE - ERP =&gt; SOUS-SEGMENT'!$B$8:$B$1000=$B13)*'ANALYSE - ERP =&gt; SOUS-SEGMENT'!$Q$8:$Q$1000*'ANALYSE - ERP =&gt; SOUS-SEGMENT'!$GL$8:$GL$1000))</f>
        <v>93387.397106813194</v>
      </c>
      <c r="GM13" s="311">
        <f>IF($B13="","",SUMPRODUCT(('ANALYSE - ERP =&gt; SOUS-SEGMENT'!$B$8:$B$1000=$B13)*'ANALYSE - ERP =&gt; SOUS-SEGMENT'!$Q$8:$Q$1000*'ANALYSE - ERP =&gt; SOUS-SEGMENT'!$GM$8:$GM$1000))</f>
        <v>27650.11087</v>
      </c>
      <c r="GN13" s="311">
        <f t="shared" si="42"/>
        <v>74035.068860066662</v>
      </c>
      <c r="GO13" s="311">
        <f>IF($B13="","",SUMPRODUCT(('ANALYSE - ERP =&gt; SOUS-SEGMENT'!$B$8:$B$1000=$B13)*'ANALYSE - ERP =&gt; SOUS-SEGMENT'!$Q$8:$Q$1000*'ANALYSE - ERP =&gt; SOUS-SEGMENT'!$GO$8:$GO$1000))</f>
        <v>59849.245670066666</v>
      </c>
      <c r="GP13" s="311">
        <f>IF($B13="","",SUMPRODUCT(('ANALYSE - ERP =&gt; SOUS-SEGMENT'!$B$8:$B$1000=$B13)*'ANALYSE - ERP =&gt; SOUS-SEGMENT'!$Q$8:$Q$1000*'ANALYSE - ERP =&gt; SOUS-SEGMENT'!$GP$8:$GP$1000))</f>
        <v>14185.823190000001</v>
      </c>
      <c r="GQ13" s="311">
        <f t="shared" si="43"/>
        <v>17535.611287681819</v>
      </c>
      <c r="GR13" s="311">
        <f>IF($B13="","",SUMPRODUCT(('ANALYSE - ERP =&gt; SOUS-SEGMENT'!$B$8:$B$1000=$B13)*'ANALYSE - ERP =&gt; SOUS-SEGMENT'!$Q$8:$Q$1000*'ANALYSE - ERP =&gt; SOUS-SEGMENT'!$GR$8:$GR$1000))</f>
        <v>14918.254267681819</v>
      </c>
      <c r="GS13" s="311">
        <f>IF($B13="","",SUMPRODUCT(('ANALYSE - ERP =&gt; SOUS-SEGMENT'!$B$8:$B$1000=$B13)*'ANALYSE - ERP =&gt; SOUS-SEGMENT'!$Q$8:$Q$1000*'ANALYSE - ERP =&gt; SOUS-SEGMENT'!$GS$8:$GS$1000))</f>
        <v>2617.3570200000004</v>
      </c>
      <c r="GT13" s="311">
        <f t="shared" si="44"/>
        <v>19431.857111765152</v>
      </c>
      <c r="GU13" s="311">
        <f>IF($B13="","",SUMPRODUCT(('ANALYSE - ERP =&gt; SOUS-SEGMENT'!$B$8:$B$1000=$B13)*'ANALYSE - ERP =&gt; SOUS-SEGMENT'!$Q$8:$Q$1000*'ANALYSE - ERP =&gt; SOUS-SEGMENT'!$GU$8:$GU$1000))</f>
        <v>15340.481044265152</v>
      </c>
      <c r="GV13" s="311">
        <f>IF($B13="","",SUMPRODUCT(('ANALYSE - ERP =&gt; SOUS-SEGMENT'!$B$8:$B$1000=$B13)*'ANALYSE - ERP =&gt; SOUS-SEGMENT'!$Q$8:$Q$1000*'ANALYSE - ERP =&gt; SOUS-SEGMENT'!$GV$8:$GV$1000))</f>
        <v>4091.3760674999999</v>
      </c>
      <c r="GW13" s="311">
        <f t="shared" si="45"/>
        <v>23262.817647727268</v>
      </c>
      <c r="GX13" s="311">
        <f>IF($B13="","",SUMPRODUCT(('ANALYSE - ERP =&gt; SOUS-SEGMENT'!$B$8:$B$1000=$B13)*'ANALYSE - ERP =&gt; SOUS-SEGMENT'!$Q$8:$Q$1000*'ANALYSE - ERP =&gt; SOUS-SEGMENT'!$GX$8:$GX$1000))</f>
        <v>18106.68193972727</v>
      </c>
      <c r="GY13" s="311">
        <f>IF($B13="","",SUMPRODUCT(('ANALYSE - ERP =&gt; SOUS-SEGMENT'!$B$8:$B$1000=$B13)*'ANALYSE - ERP =&gt; SOUS-SEGMENT'!$Q$8:$Q$1000*'ANALYSE - ERP =&gt; SOUS-SEGMENT'!$GY$8:$GY$1000))</f>
        <v>5156.1357079999989</v>
      </c>
      <c r="GZ13" s="311">
        <f t="shared" si="46"/>
        <v>12701.611088027779</v>
      </c>
      <c r="HA13" s="311">
        <f>IF($B13="","",SUMPRODUCT(('ANALYSE - ERP =&gt; SOUS-SEGMENT'!$B$8:$B$1000=$B13)*'ANALYSE - ERP =&gt; SOUS-SEGMENT'!$Q$8:$Q$1000*'ANALYSE - ERP =&gt; SOUS-SEGMENT'!$HA$8:$HA$1000))</f>
        <v>9939.3449135277788</v>
      </c>
      <c r="HB13" s="311">
        <f>IF($B13="","",SUMPRODUCT(('ANALYSE - ERP =&gt; SOUS-SEGMENT'!$B$8:$B$1000=$B13)*'ANALYSE - ERP =&gt; SOUS-SEGMENT'!$Q$8:$Q$1000*'ANALYSE - ERP =&gt; SOUS-SEGMENT'!$HB$8:$HB$1000))</f>
        <v>2762.2661745</v>
      </c>
      <c r="HC13" s="311">
        <f t="shared" si="47"/>
        <v>14051.591151772725</v>
      </c>
      <c r="HD13" s="311">
        <f>IF($B13="","",SUMPRODUCT(('ANALYSE - ERP =&gt; SOUS-SEGMENT'!$B$8:$B$1000=$B13)*'ANALYSE - ERP =&gt; SOUS-SEGMENT'!$Q$8:$Q$1000*'ANALYSE - ERP =&gt; SOUS-SEGMENT'!$HD$8:$HD$1000))</f>
        <v>11953.941463772726</v>
      </c>
      <c r="HE13" s="311">
        <f>IF($B13="","",SUMPRODUCT(('ANALYSE - ERP =&gt; SOUS-SEGMENT'!$B$8:$B$1000=$B13)*'ANALYSE - ERP =&gt; SOUS-SEGMENT'!$Q$8:$Q$1000*'ANALYSE - ERP =&gt; SOUS-SEGMENT'!$HE$8:$HE$1000))</f>
        <v>2097.649688</v>
      </c>
      <c r="HF13" s="311">
        <f t="shared" si="48"/>
        <v>39586.42541143269</v>
      </c>
      <c r="HG13" s="311">
        <f>IF($B13="","",SUMPRODUCT(('ANALYSE - ERP =&gt; SOUS-SEGMENT'!$B$8:$B$1000=$B13)*'ANALYSE - ERP =&gt; SOUS-SEGMENT'!$Q$8:$Q$1000*'ANALYSE - ERP =&gt; SOUS-SEGMENT'!$HG$8:$HG$1000))</f>
        <v>31380.378923932694</v>
      </c>
      <c r="HH13" s="311">
        <f>IF($B13="","",SUMPRODUCT(('ANALYSE - ERP =&gt; SOUS-SEGMENT'!$B$8:$B$1000=$B13)*'ANALYSE - ERP =&gt; SOUS-SEGMENT'!$Q$8:$Q$1000*'ANALYSE - ERP =&gt; SOUS-SEGMENT'!$HH$8:$HH$1000))</f>
        <v>8206.0464874999998</v>
      </c>
      <c r="HI13" s="311">
        <f t="shared" si="49"/>
        <v>21119.495047243054</v>
      </c>
      <c r="HJ13" s="311">
        <f>IF($B13="","",SUMPRODUCT(('ANALYSE - ERP =&gt; SOUS-SEGMENT'!$B$8:$B$1000=$B13)*'ANALYSE - ERP =&gt; SOUS-SEGMENT'!$Q$8:$Q$1000*'ANALYSE - ERP =&gt; SOUS-SEGMENT'!$HJ$8:$HJ$1000))</f>
        <v>17548.728346243053</v>
      </c>
      <c r="HK13" s="311">
        <f>IF($B13="","",SUMPRODUCT(('ANALYSE - ERP =&gt; SOUS-SEGMENT'!$B$8:$B$1000=$B13)*'ANALYSE - ERP =&gt; SOUS-SEGMENT'!$Q$8:$Q$1000*'ANALYSE - ERP =&gt; SOUS-SEGMENT'!$HK$8:$HK$1000))</f>
        <v>3570.766701</v>
      </c>
      <c r="HL13" s="311">
        <f t="shared" si="50"/>
        <v>12918.149472581817</v>
      </c>
      <c r="HM13" s="311">
        <f>IF($B13="","",SUMPRODUCT(('ANALYSE - ERP =&gt; SOUS-SEGMENT'!$B$8:$B$1000=$B13)*'ANALYSE - ERP =&gt; SOUS-SEGMENT'!$Q$8:$Q$1000*'ANALYSE - ERP =&gt; SOUS-SEGMENT'!$HM$8:$HM$1000))</f>
        <v>10445.498399081818</v>
      </c>
      <c r="HN13" s="311">
        <f>IF($B13="","",SUMPRODUCT(('ANALYSE - ERP =&gt; SOUS-SEGMENT'!$B$8:$B$1000=$B13)*'ANALYSE - ERP =&gt; SOUS-SEGMENT'!$Q$8:$Q$1000*'ANALYSE - ERP =&gt; SOUS-SEGMENT'!$HN$8:$HN$1000))</f>
        <v>2472.6510734999997</v>
      </c>
      <c r="HO13" s="311">
        <f t="shared" si="51"/>
        <v>127516.08101049351</v>
      </c>
      <c r="HP13" s="311">
        <f>IF($B13="","",SUMPRODUCT(('ANALYSE - ERP =&gt; SOUS-SEGMENT'!$B$8:$B$1000=$B13)*'ANALYSE - ERP =&gt; SOUS-SEGMENT'!$Q$8:$Q$1000*'ANALYSE - ERP =&gt; SOUS-SEGMENT'!$HP$8:$HP$1000))</f>
        <v>102383.62065049351</v>
      </c>
      <c r="HQ13" s="311">
        <f>IF($B13="","",SUMPRODUCT(('ANALYSE - ERP =&gt; SOUS-SEGMENT'!$B$8:$B$1000=$B13)*'ANALYSE - ERP =&gt; SOUS-SEGMENT'!$Q$8:$Q$1000*'ANALYSE - ERP =&gt; SOUS-SEGMENT'!$HQ$8:$HQ$1000))</f>
        <v>25132.460360000001</v>
      </c>
      <c r="HR13" s="311">
        <f t="shared" si="52"/>
        <v>69691.722015045787</v>
      </c>
      <c r="HS13" s="311">
        <f>IF($B13="","",SUMPRODUCT(('ANALYSE - ERP =&gt; SOUS-SEGMENT'!$B$8:$B$1000=$B13)*'ANALYSE - ERP =&gt; SOUS-SEGMENT'!$Q$8:$Q$1000*'ANALYSE - ERP =&gt; SOUS-SEGMENT'!$HS$8:$HS$1000))</f>
        <v>53119.481335045784</v>
      </c>
      <c r="HT13" s="311">
        <f>IF($B13="","",SUMPRODUCT(('ANALYSE - ERP =&gt; SOUS-SEGMENT'!$B$8:$B$1000=$B13)*'ANALYSE - ERP =&gt; SOUS-SEGMENT'!$Q$8:$Q$1000*'ANALYSE - ERP =&gt; SOUS-SEGMENT'!$HT$8:$HT$1000))</f>
        <v>16572.240680000003</v>
      </c>
      <c r="HU13" s="311">
        <f t="shared" si="53"/>
        <v>48886.076043355562</v>
      </c>
      <c r="HV13" s="311">
        <f>IF($B13="","",SUMPRODUCT(('ANALYSE - ERP =&gt; SOUS-SEGMENT'!$B$8:$B$1000=$B13)*'ANALYSE - ERP =&gt; SOUS-SEGMENT'!$Q$8:$Q$1000*'ANALYSE - ERP =&gt; SOUS-SEGMENT'!$HV$8:$HV$1000))</f>
        <v>40060.196083355564</v>
      </c>
      <c r="HW13" s="311">
        <f>IF($B13="","",SUMPRODUCT(('ANALYSE - ERP =&gt; SOUS-SEGMENT'!$B$8:$B$1000=$B13)*'ANALYSE - ERP =&gt; SOUS-SEGMENT'!$Q$8:$Q$1000*'ANALYSE - ERP =&gt; SOUS-SEGMENT'!$HW$8:$HW$1000))</f>
        <v>8825.8799600000002</v>
      </c>
      <c r="HY13" s="313">
        <f t="shared" si="54"/>
        <v>1997445.09225</v>
      </c>
      <c r="HZ13" s="313">
        <f>IF($B13="","",SUMPRODUCT(('ANALYSE - ERP =&gt; SOUS-SEGMENT'!$B$8:$B$1000=$B13)*'ANALYSE - ERP =&gt; SOUS-SEGMENT'!$Q$8:$Q$1000*'ANALYSE - ERP =&gt; SOUS-SEGMENT'!$HZ$8:$HZ$1000))</f>
        <v>85811.372000000003</v>
      </c>
      <c r="IA13" s="313">
        <f>IF($B13="","",SUMPRODUCT(('ANALYSE - ERP =&gt; SOUS-SEGMENT'!$B$8:$B$1000=$B13)*'ANALYSE - ERP =&gt; SOUS-SEGMENT'!$Q$8:$Q$1000*'ANALYSE - ERP =&gt; SOUS-SEGMENT'!$IA$8:$IA$1000))</f>
        <v>853270.97450000001</v>
      </c>
      <c r="IB13" s="313">
        <f>IF($B13="","",SUMPRODUCT(('ANALYSE - ERP =&gt; SOUS-SEGMENT'!$B$8:$B$1000=$B13)*'ANALYSE - ERP =&gt; SOUS-SEGMENT'!$Q$8:$Q$1000*'ANALYSE - ERP =&gt; SOUS-SEGMENT'!$IB$8:$IB$1000))</f>
        <v>927046.95050000004</v>
      </c>
      <c r="IC13" s="313">
        <f>IF($B13="","",SUMPRODUCT(('ANALYSE - ERP =&gt; SOUS-SEGMENT'!$B$8:$B$1000=$B13)*'ANALYSE - ERP =&gt; SOUS-SEGMENT'!$Q$8:$Q$1000*'ANALYSE - ERP =&gt; SOUS-SEGMENT'!$IC$8:$IC$1000))</f>
        <v>129921.78725000001</v>
      </c>
      <c r="ID13" s="313">
        <f>IF($B13="","",SUMPRODUCT(('ANALYSE - ERP =&gt; SOUS-SEGMENT'!$B$8:$B$1000=$B13)*'ANALYSE - ERP =&gt; SOUS-SEGMENT'!$Q$8:$Q$1000*'ANALYSE - ERP =&gt; SOUS-SEGMENT'!$ID$8:$ID$1000))</f>
        <v>1394.008</v>
      </c>
      <c r="IE13" s="313">
        <f t="shared" si="55"/>
        <v>592864.86300508503</v>
      </c>
      <c r="IF13" s="313">
        <f>IF($B13="","",SUMPRODUCT(('ANALYSE - ERP =&gt; SOUS-SEGMENT'!$B$8:$B$1000=$B13)*'ANALYSE - ERP =&gt; SOUS-SEGMENT'!$Q$8:$Q$1000*'ANALYSE - ERP =&gt; SOUS-SEGMENT'!$IF$8:$IF$1000))</f>
        <v>11890.403130340044</v>
      </c>
      <c r="IG13" s="313">
        <f>IF($B13="","",SUMPRODUCT(('ANALYSE - ERP =&gt; SOUS-SEGMENT'!$B$8:$B$1000=$B13)*'ANALYSE - ERP =&gt; SOUS-SEGMENT'!$Q$8:$Q$1000*'ANALYSE - ERP =&gt; SOUS-SEGMENT'!$IG$8:$IG$1000))</f>
        <v>236157.15614804174</v>
      </c>
      <c r="IH13" s="313">
        <f>IF($B13="","",SUMPRODUCT(('ANALYSE - ERP =&gt; SOUS-SEGMENT'!$B$8:$B$1000=$B13)*'ANALYSE - ERP =&gt; SOUS-SEGMENT'!$Q$8:$Q$1000*'ANALYSE - ERP =&gt; SOUS-SEGMENT'!$IH$8:$IH$1000))</f>
        <v>290776.77137504763</v>
      </c>
      <c r="II13" s="313">
        <f>IF($B13="","",SUMPRODUCT(('ANALYSE - ERP =&gt; SOUS-SEGMENT'!$B$8:$B$1000=$B13)*'ANALYSE - ERP =&gt; SOUS-SEGMENT'!$Q$8:$Q$1000*'ANALYSE - ERP =&gt; SOUS-SEGMENT'!$II$8:$II$1000))</f>
        <v>50557.244334891904</v>
      </c>
      <c r="IJ13" s="313">
        <f>IF($B13="","",SUMPRODUCT(('ANALYSE - ERP =&gt; SOUS-SEGMENT'!$B$8:$B$1000=$B13)*'ANALYSE - ERP =&gt; SOUS-SEGMENT'!$Q$8:$Q$1000*'ANALYSE - ERP =&gt; SOUS-SEGMENT'!$IJ$8:$IJ$1000))</f>
        <v>3483.288016763734</v>
      </c>
      <c r="IK13" s="866">
        <f>IF($B13="","",IFERROR(SUMPRODUCT(('ANALYSE - ERP =&gt; SOUS-SEGMENT'!$B$8:$B$1000=$B13)*'ANALYSE - ERP =&gt; SOUS-SEGMENT'!$Q$8:$Q$1000*'ANALYSE - ERP =&gt; SOUS-SEGMENT'!$IE$8:$IE$1000*'ANALYSE - ERP =&gt; SOUS-SEGMENT'!$IK$8:$IK$1000)/SUMPRODUCT(('ANALYSE - ERP =&gt; SOUS-SEGMENT'!$B$8:$B$1000=$B13)*'ANALYSE - ERP =&gt; SOUS-SEGMENT'!$Q$8:$Q$1000*'ANALYSE - ERP =&gt; SOUS-SEGMENT'!$IE$8:$IE$1000),""))</f>
        <v>4.1869698955671248</v>
      </c>
      <c r="IL13" s="920" t="s">
        <v>2589</v>
      </c>
      <c r="IM13" s="964" t="s">
        <v>6527</v>
      </c>
      <c r="IN13" s="657"/>
      <c r="IO13" s="730">
        <f>IF($B13="","",IFERROR(SUMPRODUCT(('ANALYSE - ERP =&gt; SOUS-SEGMENT'!$B$8:$B$1000=$B13)*'ANALYSE - ERP =&gt; SOUS-SEGMENT'!$Q$8:$Q$1000*'ANALYSE - ERP =&gt; SOUS-SEGMENT'!$BE$8:$BE$1000*'ANALYSE - ERP =&gt; SOUS-SEGMENT'!$IO$8:$IO$1000)/SUMPRODUCT(('ANALYSE - ERP =&gt; SOUS-SEGMENT'!$B$8:$B$1000=$B13)*'ANALYSE - ERP =&gt; SOUS-SEGMENT'!$Q$8:$Q$1000*'ANALYSE - ERP =&gt; SOUS-SEGMENT'!$BE$8:$BE$1000),""))</f>
        <v>3.5314507186858315E-2</v>
      </c>
      <c r="IP13" s="730">
        <f>IF($B13="","",IFERROR(SUMPRODUCT(('ANALYSE - ERP =&gt; SOUS-SEGMENT'!$B$8:$B$1000=$B13)*'ANALYSE - ERP =&gt; SOUS-SEGMENT'!$Q$8:$Q$1000*'ANALYSE - ERP =&gt; SOUS-SEGMENT'!$BE$8:$BE$1000*'ANALYSE - ERP =&gt; SOUS-SEGMENT'!$IP$8:$IP$1000)/SUMPRODUCT(('ANALYSE - ERP =&gt; SOUS-SEGMENT'!$B$8:$B$1000=$B13)*'ANALYSE - ERP =&gt; SOUS-SEGMENT'!$Q$8:$Q$1000*'ANALYSE - ERP =&gt; SOUS-SEGMENT'!$BE$8:$BE$1000),""))</f>
        <v>0.40318305954825456</v>
      </c>
      <c r="IQ13" s="730">
        <f>IF($B13="","",IFERROR(SUMPRODUCT(('ANALYSE - ERP =&gt; SOUS-SEGMENT'!$B$8:$B$1000=$B13)*'ANALYSE - ERP =&gt; SOUS-SEGMENT'!$Q$8:$Q$1000*'ANALYSE - ERP =&gt; SOUS-SEGMENT'!$BE$8:$BE$1000*'ANALYSE - ERP =&gt; SOUS-SEGMENT'!$IQ$8:$IQ$1000)/SUMPRODUCT(('ANALYSE - ERP =&gt; SOUS-SEGMENT'!$B$8:$B$1000=$B13)*'ANALYSE - ERP =&gt; SOUS-SEGMENT'!$Q$8:$Q$1000*'ANALYSE - ERP =&gt; SOUS-SEGMENT'!$BE$8:$BE$1000),""))</f>
        <v>0.4856731519507187</v>
      </c>
      <c r="IR13" s="730">
        <f>IF($B13="","",IFERROR(SUMPRODUCT(('ANALYSE - ERP =&gt; SOUS-SEGMENT'!$B$8:$B$1000=$B13)*'ANALYSE - ERP =&gt; SOUS-SEGMENT'!$Q$8:$Q$1000*'ANALYSE - ERP =&gt; SOUS-SEGMENT'!$BE$8:$BE$1000*'ANALYSE - ERP =&gt; SOUS-SEGMENT'!$IR$8:$IR$1000)/SUMPRODUCT(('ANALYSE - ERP =&gt; SOUS-SEGMENT'!$B$8:$B$1000=$B13)*'ANALYSE - ERP =&gt; SOUS-SEGMENT'!$Q$8:$Q$1000*'ANALYSE - ERP =&gt; SOUS-SEGMENT'!$BE$8:$BE$1000),""))</f>
        <v>7.4927022587269007E-2</v>
      </c>
      <c r="IS13" s="730">
        <f>IF($B13="","",IFERROR(SUMPRODUCT(('ANALYSE - ERP =&gt; SOUS-SEGMENT'!$B$8:$B$1000=$B13)*'ANALYSE - ERP =&gt; SOUS-SEGMENT'!$Q$8:$Q$1000*'ANALYSE - ERP =&gt; SOUS-SEGMENT'!$BE$8:$BE$1000*'ANALYSE - ERP =&gt; SOUS-SEGMENT'!$IS$8:$IS$1000)/SUMPRODUCT(('ANALYSE - ERP =&gt; SOUS-SEGMENT'!$B$8:$B$1000=$B13)*'ANALYSE - ERP =&gt; SOUS-SEGMENT'!$Q$8:$Q$1000*'ANALYSE - ERP =&gt; SOUS-SEGMENT'!$BE$8:$BE$1000),""))</f>
        <v>9.0225872689938397E-4</v>
      </c>
      <c r="IT13" s="730">
        <f>IF($B13="","",IFERROR(SUMPRODUCT(('ANALYSE - ERP =&gt; SOUS-SEGMENT'!$B$8:$B$1000=$B13)*'ANALYSE - ERP =&gt; SOUS-SEGMENT'!$Q$8:$Q$1000*'ANALYSE - ERP =&gt; SOUS-SEGMENT'!$FB$8:$FB$1000*'ANALYSE - ERP =&gt; SOUS-SEGMENT'!$IT$8:$IT$1000)/SUMPRODUCT(('ANALYSE - ERP =&gt; SOUS-SEGMENT'!$B$8:$B$1000=$B13)*'ANALYSE - ERP =&gt; SOUS-SEGMENT'!$Q$8:$Q$1000*'ANALYSE - ERP =&gt; SOUS-SEGMENT'!$FB$8:$FB$1000),""))</f>
        <v>1.3634772899023442E-2</v>
      </c>
      <c r="IU13" s="730">
        <f>IF($B13="","",IFERROR(SUMPRODUCT(('ANALYSE - ERP =&gt; SOUS-SEGMENT'!$B$8:$B$1000=$B13)*'ANALYSE - ERP =&gt; SOUS-SEGMENT'!$Q$8:$Q$1000*'ANALYSE - ERP =&gt; SOUS-SEGMENT'!$FB$8:$FB$1000*'ANALYSE - ERP =&gt; SOUS-SEGMENT'!$IU$8:$IU$1000)/SUMPRODUCT(('ANALYSE - ERP =&gt; SOUS-SEGMENT'!$B$8:$B$1000=$B13)*'ANALYSE - ERP =&gt; SOUS-SEGMENT'!$Q$8:$Q$1000*'ANALYSE - ERP =&gt; SOUS-SEGMENT'!$FB$8:$FB$1000),""))</f>
        <v>0.37080664270659019</v>
      </c>
      <c r="IV13" s="730">
        <f>IF($B13="","",IFERROR(SUMPRODUCT(('ANALYSE - ERP =&gt; SOUS-SEGMENT'!$B$8:$B$1000=$B13)*'ANALYSE - ERP =&gt; SOUS-SEGMENT'!$Q$8:$Q$1000*'ANALYSE - ERP =&gt; SOUS-SEGMENT'!$FB$8:$FB$1000*'ANALYSE - ERP =&gt; SOUS-SEGMENT'!$IV$8:$IV$1000)/SUMPRODUCT(('ANALYSE - ERP =&gt; SOUS-SEGMENT'!$B$8:$B$1000=$B13)*'ANALYSE - ERP =&gt; SOUS-SEGMENT'!$Q$8:$Q$1000*'ANALYSE - ERP =&gt; SOUS-SEGMENT'!$FB$8:$FB$1000),""))</f>
        <v>0.51249937290587855</v>
      </c>
      <c r="IW13" s="730">
        <f>IF($B13="","",IFERROR(SUMPRODUCT(('ANALYSE - ERP =&gt; SOUS-SEGMENT'!$B$8:$B$1000=$B13)*'ANALYSE - ERP =&gt; SOUS-SEGMENT'!$Q$8:$Q$1000*'ANALYSE - ERP =&gt; SOUS-SEGMENT'!$FB$8:$FB$1000*'ANALYSE - ERP =&gt; SOUS-SEGMENT'!$IW$8:$IW$1000)/SUMPRODUCT(('ANALYSE - ERP =&gt; SOUS-SEGMENT'!$B$8:$B$1000=$B13)*'ANALYSE - ERP =&gt; SOUS-SEGMENT'!$Q$8:$Q$1000*'ANALYSE - ERP =&gt; SOUS-SEGMENT'!$FB$8:$FB$1000),""))</f>
        <v>9.6634578405900257E-2</v>
      </c>
      <c r="IX13" s="730">
        <f>IF($B13="","",IFERROR(SUMPRODUCT(('ANALYSE - ERP =&gt; SOUS-SEGMENT'!$B$8:$B$1000=$B13)*'ANALYSE - ERP =&gt; SOUS-SEGMENT'!$Q$8:$Q$1000*'ANALYSE - ERP =&gt; SOUS-SEGMENT'!$FB$8:$FB$1000*'ANALYSE - ERP =&gt; SOUS-SEGMENT'!$IX$8:$IX$1000)/SUMPRODUCT(('ANALYSE - ERP =&gt; SOUS-SEGMENT'!$B$8:$B$1000=$B13)*'ANALYSE - ERP =&gt; SOUS-SEGMENT'!$Q$8:$Q$1000*'ANALYSE - ERP =&gt; SOUS-SEGMENT'!$FB$8:$FB$1000),""))</f>
        <v>6.4246330826075752E-3</v>
      </c>
      <c r="IY13" s="730">
        <f>IF($B13="","",IFERROR(SUMPRODUCT(('ANALYSE - ERP =&gt; SOUS-SEGMENT'!$B$8:$B$1000=$B13)*'ANALYSE - ERP =&gt; SOUS-SEGMENT'!$Q$8:$Q$1000*'ANALYSE - ERP =&gt; SOUS-SEGMENT'!$BF$8:$BF$1000*'ANALYSE - ERP =&gt; SOUS-SEGMENT'!$IY$8:$IY$1000)/SUMPRODUCT(('ANALYSE - ERP =&gt; SOUS-SEGMENT'!$B$8:$B$1000=$B13)*'ANALYSE - ERP =&gt; SOUS-SEGMENT'!$Q$8:$Q$1000*'ANALYSE - ERP =&gt; SOUS-SEGMENT'!$BF$8:$BF$1000),""))</f>
        <v>7.3238385611818863E-2</v>
      </c>
      <c r="IZ13" s="730">
        <f>IF($B13="","",IFERROR(SUMPRODUCT(('ANALYSE - ERP =&gt; SOUS-SEGMENT'!$B$8:$B$1000=$B13)*'ANALYSE - ERP =&gt; SOUS-SEGMENT'!$Q$8:$Q$1000*'ANALYSE - ERP =&gt; SOUS-SEGMENT'!$BF$8:$BF$1000*'ANALYSE - ERP =&gt; SOUS-SEGMENT'!$IZ$8:$IZ$1000)/SUMPRODUCT(('ANALYSE - ERP =&gt; SOUS-SEGMENT'!$B$8:$B$1000=$B13)*'ANALYSE - ERP =&gt; SOUS-SEGMENT'!$Q$8:$Q$1000*'ANALYSE - ERP =&gt; SOUS-SEGMENT'!$BF$8:$BF$1000),""))</f>
        <v>0.45747839845840921</v>
      </c>
      <c r="JA13" s="730">
        <f>IF($B13="","",IFERROR(SUMPRODUCT(('ANALYSE - ERP =&gt; SOUS-SEGMENT'!$B$8:$B$1000=$B13)*'ANALYSE - ERP =&gt; SOUS-SEGMENT'!$Q$8:$Q$1000*'ANALYSE - ERP =&gt; SOUS-SEGMENT'!$BF$8:$BF$1000*'ANALYSE - ERP =&gt; SOUS-SEGMENT'!$JA$8:$JA$1000)/SUMPRODUCT(('ANALYSE - ERP =&gt; SOUS-SEGMENT'!$B$8:$B$1000=$B13)*'ANALYSE - ERP =&gt; SOUS-SEGMENT'!$Q$8:$Q$1000*'ANALYSE - ERP =&gt; SOUS-SEGMENT'!$BF$8:$BF$1000),""))</f>
        <v>0.38403116154587302</v>
      </c>
      <c r="JB13" s="730">
        <f>IF($B13="","",IFERROR(SUMPRODUCT(('ANALYSE - ERP =&gt; SOUS-SEGMENT'!$B$8:$B$1000=$B13)*'ANALYSE - ERP =&gt; SOUS-SEGMENT'!$Q$8:$Q$1000*'ANALYSE - ERP =&gt; SOUS-SEGMENT'!$BF$8:$BF$1000*'ANALYSE - ERP =&gt; SOUS-SEGMENT'!$JB$8:$JB$1000)/SUMPRODUCT(('ANALYSE - ERP =&gt; SOUS-SEGMENT'!$B$8:$B$1000=$B13)*'ANALYSE - ERP =&gt; SOUS-SEGMENT'!$Q$8:$Q$1000*'ANALYSE - ERP =&gt; SOUS-SEGMENT'!$BF$8:$BF$1000),""))</f>
        <v>3.8298556899689543E-2</v>
      </c>
      <c r="JC13" s="730">
        <f>IF($B13="","",IFERROR(SUMPRODUCT(('ANALYSE - ERP =&gt; SOUS-SEGMENT'!$B$8:$B$1000=$B13)*'ANALYSE - ERP =&gt; SOUS-SEGMENT'!$Q$8:$Q$1000*'ANALYSE - ERP =&gt; SOUS-SEGMENT'!$BF$8:$BF$1000*'ANALYSE - ERP =&gt; SOUS-SEGMENT'!$JC$8:$JC$1000)/SUMPRODUCT(('ANALYSE - ERP =&gt; SOUS-SEGMENT'!$B$8:$B$1000=$B13)*'ANALYSE - ERP =&gt; SOUS-SEGMENT'!$Q$8:$Q$1000*'ANALYSE - ERP =&gt; SOUS-SEGMENT'!$BF$8:$BF$1000),""))</f>
        <v>0</v>
      </c>
      <c r="JD13" s="730">
        <f>IF($B13="","",IFERROR(SUMPRODUCT(('ANALYSE - ERP =&gt; SOUS-SEGMENT'!$B$8:$B$1000=$B13)*'ANALYSE - ERP =&gt; SOUS-SEGMENT'!$Q$8:$Q$1000*'ANALYSE - ERP =&gt; SOUS-SEGMENT'!$FE$8:$FE$1000*'ANALYSE - ERP =&gt; SOUS-SEGMENT'!$JD$8:$JD$1000)/SUMPRODUCT(('ANALYSE - ERP =&gt; SOUS-SEGMENT'!$B$8:$B$1000=$B13)*'ANALYSE - ERP =&gt; SOUS-SEGMENT'!$Q$8:$Q$1000*'ANALYSE - ERP =&gt; SOUS-SEGMENT'!$FE$8:$FE$1000),""))</f>
        <v>3.596344600658468E-2</v>
      </c>
      <c r="JE13" s="730">
        <f>IF($B13="","",IFERROR(SUMPRODUCT(('ANALYSE - ERP =&gt; SOUS-SEGMENT'!$B$8:$B$1000=$B13)*'ANALYSE - ERP =&gt; SOUS-SEGMENT'!$Q$8:$Q$1000*'ANALYSE - ERP =&gt; SOUS-SEGMENT'!$FE$8:$FE$1000*'ANALYSE - ERP =&gt; SOUS-SEGMENT'!$JE$8:$JE$1000)/SUMPRODUCT(('ANALYSE - ERP =&gt; SOUS-SEGMENT'!$B$8:$B$1000=$B13)*'ANALYSE - ERP =&gt; SOUS-SEGMENT'!$Q$8:$Q$1000*'ANALYSE - ERP =&gt; SOUS-SEGMENT'!$FE$8:$FE$1000),""))</f>
        <v>0.43009082231882739</v>
      </c>
      <c r="JF13" s="730">
        <f>IF($B13="","",IFERROR(SUMPRODUCT(('ANALYSE - ERP =&gt; SOUS-SEGMENT'!$B$8:$B$1000=$B13)*'ANALYSE - ERP =&gt; SOUS-SEGMENT'!$Q$8:$Q$1000*'ANALYSE - ERP =&gt; SOUS-SEGMENT'!$FE$8:$FE$1000*'ANALYSE - ERP =&gt; SOUS-SEGMENT'!$JF$8:$JF$1000)/SUMPRODUCT(('ANALYSE - ERP =&gt; SOUS-SEGMENT'!$B$8:$B$1000=$B13)*'ANALYSE - ERP =&gt; SOUS-SEGMENT'!$Q$8:$Q$1000*'ANALYSE - ERP =&gt; SOUS-SEGMENT'!$FE$8:$FE$1000),""))</f>
        <v>0.44364796931160699</v>
      </c>
      <c r="JG13" s="730">
        <f>IF($B13="","",IFERROR(SUMPRODUCT(('ANALYSE - ERP =&gt; SOUS-SEGMENT'!$B$8:$B$1000=$B13)*'ANALYSE - ERP =&gt; SOUS-SEGMENT'!$Q$8:$Q$1000*'ANALYSE - ERP =&gt; SOUS-SEGMENT'!$FE$8:$FE$1000*'ANALYSE - ERP =&gt; SOUS-SEGMENT'!$JG$8:$JG$1000)/SUMPRODUCT(('ANALYSE - ERP =&gt; SOUS-SEGMENT'!$B$8:$B$1000=$B13)*'ANALYSE - ERP =&gt; SOUS-SEGMENT'!$Q$8:$Q$1000*'ANALYSE - ERP =&gt; SOUS-SEGMENT'!$FE$8:$FE$1000),""))</f>
        <v>5.0897249719142765E-2</v>
      </c>
      <c r="JH13" s="730">
        <f>IF($B13="","",IFERROR(SUMPRODUCT(('ANALYSE - ERP =&gt; SOUS-SEGMENT'!$B$8:$B$1000=$B13)*'ANALYSE - ERP =&gt; SOUS-SEGMENT'!$Q$8:$Q$1000*'ANALYSE - ERP =&gt; SOUS-SEGMENT'!$FE$8:$FE$1000*'ANALYSE - ERP =&gt; SOUS-SEGMENT'!$JH$8:$JH$1000)/SUMPRODUCT(('ANALYSE - ERP =&gt; SOUS-SEGMENT'!$B$8:$B$1000=$B13)*'ANALYSE - ERP =&gt; SOUS-SEGMENT'!$Q$8:$Q$1000*'ANALYSE - ERP =&gt; SOUS-SEGMENT'!$FE$8:$FE$1000),""))</f>
        <v>3.0751729176794022E-3</v>
      </c>
      <c r="JI13" s="730">
        <f>IF($B13="","",IFERROR(SUMPRODUCT(('ANALYSE - ERP =&gt; SOUS-SEGMENT'!$B$8:$B$1000=$B13)*'ANALYSE - ERP =&gt; SOUS-SEGMENT'!$Q$8:$Q$1000*'ANALYSE - ERP =&gt; SOUS-SEGMENT'!$BG$8:$BG$1000*'ANALYSE - ERP =&gt; SOUS-SEGMENT'!$JI$8:$JI$1000)/SUMPRODUCT(('ANALYSE - ERP =&gt; SOUS-SEGMENT'!$B$8:$B$1000=$B13)*'ANALYSE - ERP =&gt; SOUS-SEGMENT'!$Q$8:$Q$1000*'ANALYSE - ERP =&gt; SOUS-SEGMENT'!$BG$8:$BG$1000),""))</f>
        <v>7.0941114468414029E-2</v>
      </c>
      <c r="JJ13" s="730">
        <f>IF($B13="","",IFERROR(SUMPRODUCT(('ANALYSE - ERP =&gt; SOUS-SEGMENT'!$B$8:$B$1000=$B13)*'ANALYSE - ERP =&gt; SOUS-SEGMENT'!$Q$8:$Q$1000*'ANALYSE - ERP =&gt; SOUS-SEGMENT'!$BG$8:$BG$1000*'ANALYSE - ERP =&gt; SOUS-SEGMENT'!$JJ$8:$JJ$1000)/SUMPRODUCT(('ANALYSE - ERP =&gt; SOUS-SEGMENT'!$B$8:$B$1000=$B13)*'ANALYSE - ERP =&gt; SOUS-SEGMENT'!$Q$8:$Q$1000*'ANALYSE - ERP =&gt; SOUS-SEGMENT'!$BG$8:$BG$1000),""))</f>
        <v>0.53386580001405382</v>
      </c>
      <c r="JK13" s="730">
        <f>IF($B13="","",IFERROR(SUMPRODUCT(('ANALYSE - ERP =&gt; SOUS-SEGMENT'!$B$8:$B$1000=$B13)*'ANALYSE - ERP =&gt; SOUS-SEGMENT'!$Q$8:$Q$1000*'ANALYSE - ERP =&gt; SOUS-SEGMENT'!$BG$8:$BG$1000*'ANALYSE - ERP =&gt; SOUS-SEGMENT'!$JK$8:$JK$1000)/SUMPRODUCT(('ANALYSE - ERP =&gt; SOUS-SEGMENT'!$B$8:$B$1000=$B13)*'ANALYSE - ERP =&gt; SOUS-SEGMENT'!$Q$8:$Q$1000*'ANALYSE - ERP =&gt; SOUS-SEGMENT'!$BG$8:$BG$1000),""))</f>
        <v>0.3582282903520484</v>
      </c>
      <c r="JL13" s="730">
        <f>IF($B13="","",IFERROR(SUMPRODUCT(('ANALYSE - ERP =&gt; SOUS-SEGMENT'!$B$8:$B$1000=$B13)*'ANALYSE - ERP =&gt; SOUS-SEGMENT'!$Q$8:$Q$1000*'ANALYSE - ERP =&gt; SOUS-SEGMENT'!$BG$8:$BG$1000*'ANALYSE - ERP =&gt; SOUS-SEGMENT'!$JL$8:$JL$1000)/SUMPRODUCT(('ANALYSE - ERP =&gt; SOUS-SEGMENT'!$B$8:$B$1000=$B13)*'ANALYSE - ERP =&gt; SOUS-SEGMENT'!$Q$8:$Q$1000*'ANALYSE - ERP =&gt; SOUS-SEGMENT'!$BG$8:$BG$1000),""))</f>
        <v>3.6641332302719418E-2</v>
      </c>
      <c r="JM13" s="730">
        <f>IF($B13="","",IFERROR(SUMPRODUCT(('ANALYSE - ERP =&gt; SOUS-SEGMENT'!$B$8:$B$1000=$B13)*'ANALYSE - ERP =&gt; SOUS-SEGMENT'!$Q$8:$Q$1000*'ANALYSE - ERP =&gt; SOUS-SEGMENT'!$BG$8:$BG$1000*'ANALYSE - ERP =&gt; SOUS-SEGMENT'!$JM$8:$JM$1000)/SUMPRODUCT(('ANALYSE - ERP =&gt; SOUS-SEGMENT'!$B$8:$B$1000=$B13)*'ANALYSE - ERP =&gt; SOUS-SEGMENT'!$Q$8:$Q$1000*'ANALYSE - ERP =&gt; SOUS-SEGMENT'!$BG$8:$BG$1000),""))</f>
        <v>3.2346286276438755E-4</v>
      </c>
      <c r="JN13" s="730">
        <f>IF($B13="","",IFERROR(SUMPRODUCT(('ANALYSE - ERP =&gt; SOUS-SEGMENT'!$B$8:$B$1000=$B13)*'ANALYSE - ERP =&gt; SOUS-SEGMENT'!$Q$8:$Q$1000*'ANALYSE - ERP =&gt; SOUS-SEGMENT'!$FH$8:$FH$1000*'ANALYSE - ERP =&gt; SOUS-SEGMENT'!$JN$8:$JN$1000)/SUMPRODUCT(('ANALYSE - ERP =&gt; SOUS-SEGMENT'!$B$8:$B$1000=$B13)*'ANALYSE - ERP =&gt; SOUS-SEGMENT'!$Q$8:$Q$1000*'ANALYSE - ERP =&gt; SOUS-SEGMENT'!$FH$8:$FH$1000),""))</f>
        <v>4.3411546926598717E-2</v>
      </c>
      <c r="JO13" s="730">
        <f>IF($B13="","",IFERROR(SUMPRODUCT(('ANALYSE - ERP =&gt; SOUS-SEGMENT'!$B$8:$B$1000=$B13)*'ANALYSE - ERP =&gt; SOUS-SEGMENT'!$Q$8:$Q$1000*'ANALYSE - ERP =&gt; SOUS-SEGMENT'!$FH$8:$FH$1000*'ANALYSE - ERP =&gt; SOUS-SEGMENT'!$JO$8:$JO$1000)/SUMPRODUCT(('ANALYSE - ERP =&gt; SOUS-SEGMENT'!$B$8:$B$1000=$B13)*'ANALYSE - ERP =&gt; SOUS-SEGMENT'!$Q$8:$Q$1000*'ANALYSE - ERP =&gt; SOUS-SEGMENT'!$FH$8:$FH$1000),""))</f>
        <v>0.50653829293530261</v>
      </c>
      <c r="JP13" s="730">
        <f>IF($B13="","",IFERROR(SUMPRODUCT(('ANALYSE - ERP =&gt; SOUS-SEGMENT'!$B$8:$B$1000=$B13)*'ANALYSE - ERP =&gt; SOUS-SEGMENT'!$Q$8:$Q$1000*'ANALYSE - ERP =&gt; SOUS-SEGMENT'!$FH$8:$FH$1000*'ANALYSE - ERP =&gt; SOUS-SEGMENT'!$JP$8:$JP$1000)/SUMPRODUCT(('ANALYSE - ERP =&gt; SOUS-SEGMENT'!$B$8:$B$1000=$B13)*'ANALYSE - ERP =&gt; SOUS-SEGMENT'!$Q$8:$Q$1000*'ANALYSE - ERP =&gt; SOUS-SEGMENT'!$FH$8:$FH$1000),""))</f>
        <v>0.38783645026624847</v>
      </c>
      <c r="JQ13" s="730">
        <f>IF($B13="","",IFERROR(SUMPRODUCT(('ANALYSE - ERP =&gt; SOUS-SEGMENT'!$B$8:$B$1000=$B13)*'ANALYSE - ERP =&gt; SOUS-SEGMENT'!$Q$8:$Q$1000*'ANALYSE - ERP =&gt; SOUS-SEGMENT'!$FH$8:$FH$1000*'ANALYSE - ERP =&gt; SOUS-SEGMENT'!$JQ$8:$JQ$1000)/SUMPRODUCT(('ANALYSE - ERP =&gt; SOUS-SEGMENT'!$B$8:$B$1000=$B13)*'ANALYSE - ERP =&gt; SOUS-SEGMENT'!$Q$8:$Q$1000*'ANALYSE - ERP =&gt; SOUS-SEGMENT'!$FH$8:$FH$1000),""))</f>
        <v>5.7233582962494325E-2</v>
      </c>
      <c r="JR13" s="730">
        <f>IF($B13="","",IFERROR(SUMPRODUCT(('ANALYSE - ERP =&gt; SOUS-SEGMENT'!$B$8:$B$1000=$B13)*'ANALYSE - ERP =&gt; SOUS-SEGMENT'!$Q$8:$Q$1000*'ANALYSE - ERP =&gt; SOUS-SEGMENT'!$FH$8:$FH$1000*'ANALYSE - ERP =&gt; SOUS-SEGMENT'!$JR$8:$JR$1000)/SUMPRODUCT(('ANALYSE - ERP =&gt; SOUS-SEGMENT'!$B$8:$B$1000=$B13)*'ANALYSE - ERP =&gt; SOUS-SEGMENT'!$Q$8:$Q$1000*'ANALYSE - ERP =&gt; SOUS-SEGMENT'!$FH$8:$FH$1000),""))</f>
        <v>4.9801269093558281E-3</v>
      </c>
      <c r="JS13" s="730">
        <f>IF($B13="","",IFERROR(SUMPRODUCT(('ANALYSE - ERP =&gt; SOUS-SEGMENT'!$B$8:$B$1000=$B13)*'ANALYSE - ERP =&gt; SOUS-SEGMENT'!$Q$8:$Q$1000*'ANALYSE - ERP =&gt; SOUS-SEGMENT'!$BH$8:$BH$1000*'ANALYSE - ERP =&gt; SOUS-SEGMENT'!$JS$8:$JS$1000)/SUMPRODUCT(('ANALYSE - ERP =&gt; SOUS-SEGMENT'!$B$8:$B$1000=$B13)*'ANALYSE - ERP =&gt; SOUS-SEGMENT'!$Q$8:$Q$1000*'ANALYSE - ERP =&gt; SOUS-SEGMENT'!$BH$8:$BH$1000),""))</f>
        <v>3.9673822813797048E-2</v>
      </c>
      <c r="JT13" s="730">
        <f>IF($B13="","",IFERROR(SUMPRODUCT(('ANALYSE - ERP =&gt; SOUS-SEGMENT'!$B$8:$B$1000=$B13)*'ANALYSE - ERP =&gt; SOUS-SEGMENT'!$Q$8:$Q$1000*'ANALYSE - ERP =&gt; SOUS-SEGMENT'!$BH$8:$BH$1000*'ANALYSE - ERP =&gt; SOUS-SEGMENT'!$JT$8:$JT$1000)/SUMPRODUCT(('ANALYSE - ERP =&gt; SOUS-SEGMENT'!$B$8:$B$1000=$B13)*'ANALYSE - ERP =&gt; SOUS-SEGMENT'!$Q$8:$Q$1000*'ANALYSE - ERP =&gt; SOUS-SEGMENT'!$BH$8:$BH$1000),""))</f>
        <v>0.41962600543867185</v>
      </c>
      <c r="JU13" s="730">
        <f>IF($B13="","",IFERROR(SUMPRODUCT(('ANALYSE - ERP =&gt; SOUS-SEGMENT'!$B$8:$B$1000=$B13)*'ANALYSE - ERP =&gt; SOUS-SEGMENT'!$Q$8:$Q$1000*'ANALYSE - ERP =&gt; SOUS-SEGMENT'!$BH$8:$BH$1000*'ANALYSE - ERP =&gt; SOUS-SEGMENT'!$JU$8:$JU$1000)/SUMPRODUCT(('ANALYSE - ERP =&gt; SOUS-SEGMENT'!$B$8:$B$1000=$B13)*'ANALYSE - ERP =&gt; SOUS-SEGMENT'!$Q$8:$Q$1000*'ANALYSE - ERP =&gt; SOUS-SEGMENT'!$BH$8:$BH$1000),""))</f>
        <v>0.47615809360240441</v>
      </c>
      <c r="JV13" s="730">
        <f>IF($B13="","",IFERROR(SUMPRODUCT(('ANALYSE - ERP =&gt; SOUS-SEGMENT'!$B$8:$B$1000=$B13)*'ANALYSE - ERP =&gt; SOUS-SEGMENT'!$Q$8:$Q$1000*'ANALYSE - ERP =&gt; SOUS-SEGMENT'!$BH$8:$BH$1000*'ANALYSE - ERP =&gt; SOUS-SEGMENT'!$JV$8:$JV$1000)/SUMPRODUCT(('ANALYSE - ERP =&gt; SOUS-SEGMENT'!$B$8:$B$1000=$B13)*'ANALYSE - ERP =&gt; SOUS-SEGMENT'!$Q$8:$Q$1000*'ANALYSE - ERP =&gt; SOUS-SEGMENT'!$BH$8:$BH$1000),""))</f>
        <v>6.3903520824388133E-2</v>
      </c>
      <c r="JW13" s="730">
        <f>IF($B13="","",IFERROR(SUMPRODUCT(('ANALYSE - ERP =&gt; SOUS-SEGMENT'!$B$8:$B$1000=$B13)*'ANALYSE - ERP =&gt; SOUS-SEGMENT'!$Q$8:$Q$1000*'ANALYSE - ERP =&gt; SOUS-SEGMENT'!$BH$8:$BH$1000*'ANALYSE - ERP =&gt; SOUS-SEGMENT'!$JW$8:$JW$1000)/SUMPRODUCT(('ANALYSE - ERP =&gt; SOUS-SEGMENT'!$B$8:$B$1000=$B13)*'ANALYSE - ERP =&gt; SOUS-SEGMENT'!$Q$8:$Q$1000*'ANALYSE - ERP =&gt; SOUS-SEGMENT'!$BH$8:$BH$1000),""))</f>
        <v>6.3855732073851441E-4</v>
      </c>
      <c r="JX13" s="730">
        <f>IF($B13="","",IFERROR(SUMPRODUCT(('ANALYSE - ERP =&gt; SOUS-SEGMENT'!$B$8:$B$1000=$B13)*'ANALYSE - ERP =&gt; SOUS-SEGMENT'!$Q$8:$Q$1000*'ANALYSE - ERP =&gt; SOUS-SEGMENT'!$FK$8:$FK$1000*'ANALYSE - ERP =&gt; SOUS-SEGMENT'!$JX$8:$JX$1000)/SUMPRODUCT(('ANALYSE - ERP =&gt; SOUS-SEGMENT'!$B$8:$B$1000=$B13)*'ANALYSE - ERP =&gt; SOUS-SEGMENT'!$Q$8:$Q$1000*'ANALYSE - ERP =&gt; SOUS-SEGMENT'!$FK$8:$FK$1000),""))</f>
        <v>1.7176538569106128E-2</v>
      </c>
      <c r="JY13" s="730">
        <f>IF($B13="","",IFERROR(SUMPRODUCT(('ANALYSE - ERP =&gt; SOUS-SEGMENT'!$B$8:$B$1000=$B13)*'ANALYSE - ERP =&gt; SOUS-SEGMENT'!$Q$8:$Q$1000*'ANALYSE - ERP =&gt; SOUS-SEGMENT'!$FK$8:$FK$1000*'ANALYSE - ERP =&gt; SOUS-SEGMENT'!$JY$8:$JY$1000)/SUMPRODUCT(('ANALYSE - ERP =&gt; SOUS-SEGMENT'!$B$8:$B$1000=$B13)*'ANALYSE - ERP =&gt; SOUS-SEGMENT'!$Q$8:$Q$1000*'ANALYSE - ERP =&gt; SOUS-SEGMENT'!$FK$8:$FK$1000),""))</f>
        <v>0.38860573668720177</v>
      </c>
      <c r="JZ13" s="730">
        <f>IF($B13="","",IFERROR(SUMPRODUCT(('ANALYSE - ERP =&gt; SOUS-SEGMENT'!$B$8:$B$1000=$B13)*'ANALYSE - ERP =&gt; SOUS-SEGMENT'!$Q$8:$Q$1000*'ANALYSE - ERP =&gt; SOUS-SEGMENT'!$FK$8:$FK$1000*'ANALYSE - ERP =&gt; SOUS-SEGMENT'!$JZ$8:$JZ$1000)/SUMPRODUCT(('ANALYSE - ERP =&gt; SOUS-SEGMENT'!$B$8:$B$1000=$B13)*'ANALYSE - ERP =&gt; SOUS-SEGMENT'!$Q$8:$Q$1000*'ANALYSE - ERP =&gt; SOUS-SEGMENT'!$FK$8:$FK$1000),""))</f>
        <v>0.50230029038239299</v>
      </c>
      <c r="KA13" s="730">
        <f>IF($B13="","",IFERROR(SUMPRODUCT(('ANALYSE - ERP =&gt; SOUS-SEGMENT'!$B$8:$B$1000=$B13)*'ANALYSE - ERP =&gt; SOUS-SEGMENT'!$Q$8:$Q$1000*'ANALYSE - ERP =&gt; SOUS-SEGMENT'!$FK$8:$FK$1000*'ANALYSE - ERP =&gt; SOUS-SEGMENT'!$KA$8:$KA$1000)/SUMPRODUCT(('ANALYSE - ERP =&gt; SOUS-SEGMENT'!$B$8:$B$1000=$B13)*'ANALYSE - ERP =&gt; SOUS-SEGMENT'!$Q$8:$Q$1000*'ANALYSE - ERP =&gt; SOUS-SEGMENT'!$FK$8:$FK$1000),""))</f>
        <v>8.5939821256744847E-2</v>
      </c>
      <c r="KB13" s="730">
        <f>IF($B13="","",IFERROR(SUMPRODUCT(('ANALYSE - ERP =&gt; SOUS-SEGMENT'!$B$8:$B$1000=$B13)*'ANALYSE - ERP =&gt; SOUS-SEGMENT'!$Q$8:$Q$1000*'ANALYSE - ERP =&gt; SOUS-SEGMENT'!$FK$8:$FK$1000*'ANALYSE - ERP =&gt; SOUS-SEGMENT'!$KB$8:$KB$1000)/SUMPRODUCT(('ANALYSE - ERP =&gt; SOUS-SEGMENT'!$B$8:$B$1000=$B13)*'ANALYSE - ERP =&gt; SOUS-SEGMENT'!$Q$8:$Q$1000*'ANALYSE - ERP =&gt; SOUS-SEGMENT'!$FK$8:$FK$1000),""))</f>
        <v>5.9776131045540951E-3</v>
      </c>
      <c r="KC13" s="657"/>
      <c r="KD13" s="920" t="s">
        <v>2590</v>
      </c>
      <c r="KE13" s="920" t="s">
        <v>6528</v>
      </c>
      <c r="KF13" s="866">
        <f>IF($B13="","",IFERROR(SUMPRODUCT(('ANALYSE - ERP =&gt; SOUS-SEGMENT'!$B$8:$B$1000=$B13)*'ANALYSE - ERP =&gt; SOUS-SEGMENT'!$Q$8:$Q$1000*'ANALYSE - ERP =&gt; SOUS-SEGMENT'!$IE$8:$IE$1000*'ANALYSE - ERP =&gt; SOUS-SEGMENT'!$KF$8:$KF$1000)/SUMPRODUCT(('ANALYSE - ERP =&gt; SOUS-SEGMENT'!$B$8:$B$1000=$B13)*'ANALYSE - ERP =&gt; SOUS-SEGMENT'!$Q$8:$Q$1000*'ANALYSE - ERP =&gt; SOUS-SEGMENT'!$IE$8:$IE$1000),""))</f>
        <v>4.2531682197808998</v>
      </c>
      <c r="KG13" s="920" t="s">
        <v>2589</v>
      </c>
      <c r="KH13" s="920" t="s">
        <v>6529</v>
      </c>
      <c r="KI13" s="920" t="s">
        <v>6530</v>
      </c>
      <c r="KJ13" s="920" t="s">
        <v>6531</v>
      </c>
    </row>
    <row r="14" spans="1:327" ht="152.1" customHeight="1">
      <c r="A14" s="957">
        <f>IF($B14="","",ROWS($A$8:A14))</f>
        <v>7</v>
      </c>
      <c r="B14" s="958" t="s">
        <v>4135</v>
      </c>
      <c r="C14" s="958" t="s">
        <v>6532</v>
      </c>
      <c r="D14" s="959" t="s">
        <v>6533</v>
      </c>
      <c r="E14" s="960" t="s">
        <v>6534</v>
      </c>
      <c r="F14" s="960" t="s">
        <v>6535</v>
      </c>
      <c r="G14" s="960" t="s">
        <v>6536</v>
      </c>
      <c r="H14" s="960" t="s">
        <v>6537</v>
      </c>
      <c r="I14" s="960" t="s">
        <v>6538</v>
      </c>
      <c r="J14" s="960" t="s">
        <v>6539</v>
      </c>
      <c r="K14" s="960" t="s">
        <v>2109</v>
      </c>
      <c r="L14" s="960" t="s">
        <v>2109</v>
      </c>
      <c r="M14" s="960" t="s">
        <v>6540</v>
      </c>
      <c r="N14" s="960" t="s">
        <v>6541</v>
      </c>
      <c r="O14" s="960" t="s">
        <v>6542</v>
      </c>
      <c r="P14" s="960"/>
      <c r="Q14" s="270">
        <f>IF($B14="","",IF(SUMIFS('ANALYSE - ERP =&gt; SOUS-SEGMENT'!$Q$8:$Q$1000,'ANALYSE - ERP =&gt; SOUS-SEGMENT'!$B$8:$B$1000,$B14)&gt;0,1,0))</f>
        <v>1</v>
      </c>
      <c r="R14" s="271">
        <f>IF($B14="","",IFERROR(SUMPRODUCT(('ANALYSE - ERP =&gt; SOUS-SEGMENT'!$B$8:$B$1000=$B14)*'ANALYSE - ERP =&gt; SOUS-SEGMENT'!$Q$8:$Q$1000*'ANALYSE - ERP =&gt; SOUS-SEGMENT'!$AF$8:$AF$1000*'ANALYSE - ERP =&gt; SOUS-SEGMENT'!$R$8:$R$1000)/SUMPRODUCT(('ANALYSE - ERP =&gt; SOUS-SEGMENT'!$B$8:$B$1000=$B14)*'ANALYSE - ERP =&gt; SOUS-SEGMENT'!$Q$8:$Q$1000*'ANALYSE - ERP =&gt; SOUS-SEGMENT'!$AF$8:$AF$1000),""))</f>
        <v>6358.8629000676419</v>
      </c>
      <c r="S14" s="272">
        <f>IF($B14="","",SUMPRODUCT(('ANALYSE - ERP =&gt; SOUS-SEGMENT'!$B$8:$B$1000=$B14)*'ANALYSE - ERP =&gt; SOUS-SEGMENT'!$Q$8:$Q$1000*'ANALYSE - ERP =&gt; SOUS-SEGMENT'!$S$8:$S$1000))</f>
        <v>31710</v>
      </c>
      <c r="T14" s="272">
        <f>IF($B14="","",SUMPRODUCT(('ANALYSE - ERP =&gt; SOUS-SEGMENT'!$B$8:$B$1000=$B14)*'ANALYSE - ERP =&gt; SOUS-SEGMENT'!$Q$8:$Q$1000*'ANALYSE - ERP =&gt; SOUS-SEGMENT'!$T$8:$T$1000))</f>
        <v>31354</v>
      </c>
      <c r="U14" s="272">
        <f>IF($B14="","",SUMPRODUCT(('ANALYSE - ERP =&gt; SOUS-SEGMENT'!$B$8:$B$1000=$B14)*'ANALYSE - ERP =&gt; SOUS-SEGMENT'!$Q$8:$Q$1000*'ANALYSE - ERP =&gt; SOUS-SEGMENT'!$U$8:$U$1000))</f>
        <v>31284</v>
      </c>
      <c r="V14" s="272">
        <f>IF($B14="","",SUMPRODUCT(('ANALYSE - ERP =&gt; SOUS-SEGMENT'!$B$8:$B$1000=$B14)*'ANALYSE - ERP =&gt; SOUS-SEGMENT'!$Q$8:$Q$1000*'ANALYSE - ERP =&gt; SOUS-SEGMENT'!$V$8:$V$1000))</f>
        <v>31206</v>
      </c>
      <c r="W14" s="272">
        <f>IF($B14="","",SUMPRODUCT(('ANALYSE - ERP =&gt; SOUS-SEGMENT'!$B$8:$B$1000=$B14)*'ANALYSE - ERP =&gt; SOUS-SEGMENT'!$Q$8:$Q$1000*'ANALYSE - ERP =&gt; SOUS-SEGMENT'!$W$8:$W$1000))</f>
        <v>30904</v>
      </c>
      <c r="X14" s="272">
        <f>IF($B14="","",SUMPRODUCT(('ANALYSE - ERP =&gt; SOUS-SEGMENT'!$B$8:$B$1000=$B14)*'ANALYSE - ERP =&gt; SOUS-SEGMENT'!$Q$8:$Q$1000*'ANALYSE - ERP =&gt; SOUS-SEGMENT'!$X$8:$X$1000))</f>
        <v>30590</v>
      </c>
      <c r="Y14" s="272">
        <f>IF($B14="","",SUMPRODUCT(('ANALYSE - ERP =&gt; SOUS-SEGMENT'!$B$8:$B$1000=$B14)*'ANALYSE - ERP =&gt; SOUS-SEGMENT'!$Q$8:$Q$1000*'ANALYSE - ERP =&gt; SOUS-SEGMENT'!$Y$8:$Y$1000))</f>
        <v>30729</v>
      </c>
      <c r="Z14" s="272">
        <f>IF($B14="","",SUMPRODUCT(('ANALYSE - ERP =&gt; SOUS-SEGMENT'!$B$8:$B$1000=$B14)*'ANALYSE - ERP =&gt; SOUS-SEGMENT'!$Q$8:$Q$1000*'ANALYSE - ERP =&gt; SOUS-SEGMENT'!$Z$8:$Z$1000))</f>
        <v>30510</v>
      </c>
      <c r="AA14" s="272">
        <f>IF($B14="","",SUMPRODUCT(('ANALYSE - ERP =&gt; SOUS-SEGMENT'!$B$8:$B$1000=$B14)*'ANALYSE - ERP =&gt; SOUS-SEGMENT'!$Q$8:$Q$1000*'ANALYSE - ERP =&gt; SOUS-SEGMENT'!$AA$8:$AA$1000))</f>
        <v>28774</v>
      </c>
      <c r="AB14" s="272">
        <f>IF($B14="","",SUMPRODUCT(('ANALYSE - ERP =&gt; SOUS-SEGMENT'!$B$8:$B$1000=$B14)*'ANALYSE - ERP =&gt; SOUS-SEGMENT'!$Q$8:$Q$1000*'ANALYSE - ERP =&gt; SOUS-SEGMENT'!$AB$8:$AB$1000))</f>
        <v>28364</v>
      </c>
      <c r="AC14" s="272">
        <f>IF($B14="","",SUMPRODUCT(('ANALYSE - ERP =&gt; SOUS-SEGMENT'!$B$8:$B$1000=$B14)*'ANALYSE - ERP =&gt; SOUS-SEGMENT'!$Q$8:$Q$1000*'ANALYSE - ERP =&gt; SOUS-SEGMENT'!$AC$8:$AC$1000))</f>
        <v>28528</v>
      </c>
      <c r="AD14" s="272">
        <f>IF($B14="","",SUMPRODUCT(('ANALYSE - ERP =&gt; SOUS-SEGMENT'!$B$8:$B$1000=$B14)*'ANALYSE - ERP =&gt; SOUS-SEGMENT'!$Q$8:$Q$1000*'ANALYSE - ERP =&gt; SOUS-SEGMENT'!$AD$8:$AD$1000))</f>
        <v>28454</v>
      </c>
      <c r="AE14" s="272">
        <f>IF($B14="","",SUMPRODUCT(('ANALYSE - ERP =&gt; SOUS-SEGMENT'!$B$8:$B$1000=$B14)*'ANALYSE - ERP =&gt; SOUS-SEGMENT'!$Q$8:$Q$1000*'ANALYSE - ERP =&gt; SOUS-SEGMENT'!$AE$8:$AE$1000))</f>
        <v>28149</v>
      </c>
      <c r="AF14" s="272">
        <f>IF($B14="","",SUMPRODUCT(('ANALYSE - ERP =&gt; SOUS-SEGMENT'!$B$8:$B$1000=$B14)*'ANALYSE - ERP =&gt; SOUS-SEGMENT'!$Q$8:$Q$1000*'ANALYSE - ERP =&gt; SOUS-SEGMENT'!$AF$8:$AF$1000))</f>
        <v>28089</v>
      </c>
      <c r="AG14" s="272">
        <f>IF($B14="","",SUMPRODUCT(('ANALYSE - ERP =&gt; SOUS-SEGMENT'!$B$8:$B$1000=$B14)*'ANALYSE - ERP =&gt; SOUS-SEGMENT'!$Q$8:$Q$1000*'ANALYSE - ERP =&gt; SOUS-SEGMENT'!$AG$8:$AG$1000))</f>
        <v>28028</v>
      </c>
      <c r="AH14" s="272">
        <f>IF($B14="","",SUMPRODUCT(('ANALYSE - ERP =&gt; SOUS-SEGMENT'!$B$8:$B$1000=$B14)*'ANALYSE - ERP =&gt; SOUS-SEGMENT'!$Q$8:$Q$1000*'ANALYSE - ERP =&gt; SOUS-SEGMENT'!$AH$8:$AH$1000))</f>
        <v>28021</v>
      </c>
      <c r="AI14" s="272">
        <f>IF($B14="","",SUMPRODUCT(('ANALYSE - ERP =&gt; SOUS-SEGMENT'!$B$8:$B$1000=$B14)*'ANALYSE - ERP =&gt; SOUS-SEGMENT'!$Q$8:$Q$1000*'ANALYSE - ERP =&gt; SOUS-SEGMENT'!$AI$8:$AI$1000))</f>
        <v>28012</v>
      </c>
      <c r="AJ14" s="272">
        <f>IF($B14="","",SUMPRODUCT(('ANALYSE - ERP =&gt; SOUS-SEGMENT'!$B$8:$B$1000=$B14)*'ANALYSE - ERP =&gt; SOUS-SEGMENT'!$Q$8:$Q$1000*'ANALYSE - ERP =&gt; SOUS-SEGMENT'!$AJ$8:$AJ$1000))</f>
        <v>28003</v>
      </c>
      <c r="AK14" s="272">
        <f>IF($B14="","",SUMPRODUCT(('ANALYSE - ERP =&gt; SOUS-SEGMENT'!$B$8:$B$1000=$B14)*'ANALYSE - ERP =&gt; SOUS-SEGMENT'!$Q$8:$Q$1000*'ANALYSE - ERP =&gt; SOUS-SEGMENT'!$AK$8:$AK$1000))</f>
        <v>27994</v>
      </c>
      <c r="AL14" s="960" t="s">
        <v>6543</v>
      </c>
      <c r="AM14" s="960" t="s">
        <v>6544</v>
      </c>
      <c r="AN14" s="960" t="s">
        <v>6545</v>
      </c>
      <c r="AO14" s="657"/>
      <c r="AP14" s="271">
        <f>IF($B14="","",IFERROR(SUMPRODUCT(('ANALYSE - ERP =&gt; SOUS-SEGMENT'!$B$8:$B$1000=$B14)*'ANALYSE - ERP =&gt; SOUS-SEGMENT'!$Q$8:$Q$1000*'ANALYSE - ERP =&gt; SOUS-SEGMENT'!$AF$8:$AF$1000*'ANALYSE - ERP =&gt; SOUS-SEGMENT'!$AP$8:$AP$1000)/SUMPRODUCT(('ANALYSE - ERP =&gt; SOUS-SEGMENT'!$B$8:$B$1000=$B14)*'ANALYSE - ERP =&gt; SOUS-SEGMENT'!$Q$8:$Q$1000*'ANALYSE - ERP =&gt; SOUS-SEGMENT'!$AF$8:$AF$1000),""))</f>
        <v>143.72263163515967</v>
      </c>
      <c r="AQ14" s="280">
        <f>IF($B14="","",IFERROR(SUMPRODUCT(('ANALYSE - ERP =&gt; SOUS-SEGMENT'!$B$8:$B$1000=$B14)*'ANALYSE - ERP =&gt; SOUS-SEGMENT'!$Q$8:$Q$1000*'ANALYSE - ERP =&gt; SOUS-SEGMENT'!$AF$8:$AF$1000*'ANALYSE - ERP =&gt; SOUS-SEGMENT'!$AQ$8:$AQ$1000)/SUMPRODUCT(('ANALYSE - ERP =&gt; SOUS-SEGMENT'!$B$8:$B$1000=$B14)*'ANALYSE - ERP =&gt; SOUS-SEGMENT'!$Q$8:$Q$1000*'ANALYSE - ERP =&gt; SOUS-SEGMENT'!$AF$8:$AF$1000),""))</f>
        <v>118.67827263341522</v>
      </c>
      <c r="AR14" s="280">
        <f>IF($B14="","",IFERROR(SUMPRODUCT(('ANALYSE - ERP =&gt; SOUS-SEGMENT'!$B$8:$B$1000=$B14)*'ANALYSE - ERP =&gt; SOUS-SEGMENT'!$Q$8:$Q$1000*'ANALYSE - ERP =&gt; SOUS-SEGMENT'!$AF$8:$AF$1000*'ANALYSE - ERP =&gt; SOUS-SEGMENT'!$AR$8:$AR$1000)/SUMPRODUCT(('ANALYSE - ERP =&gt; SOUS-SEGMENT'!$B$8:$B$1000=$B14)*'ANALYSE - ERP =&gt; SOUS-SEGMENT'!$Q$8:$Q$1000*'ANALYSE - ERP =&gt; SOUS-SEGMENT'!$AF$8:$AF$1000),""))</f>
        <v>19.901456086012317</v>
      </c>
      <c r="AS14" s="280">
        <f>IF($B14="","",IFERROR(SUMPRODUCT(('ANALYSE - ERP =&gt; SOUS-SEGMENT'!$B$8:$B$1000=$B14)*'ANALYSE - ERP =&gt; SOUS-SEGMENT'!$Q$8:$Q$1000*'ANALYSE - ERP =&gt; SOUS-SEGMENT'!$AF$8:$AF$1000*'ANALYSE - ERP =&gt; SOUS-SEGMENT'!$AS$8:$AS$1000)/SUMPRODUCT(('ANALYSE - ERP =&gt; SOUS-SEGMENT'!$B$8:$B$1000=$B14)*'ANALYSE - ERP =&gt; SOUS-SEGMENT'!$Q$8:$Q$1000*'ANALYSE - ERP =&gt; SOUS-SEGMENT'!$AF$8:$AF$1000),""))</f>
        <v>5.1429029157321375</v>
      </c>
      <c r="AT14" s="657"/>
      <c r="AU14" s="647" t="s">
        <v>6546</v>
      </c>
      <c r="AV14" s="647" t="s">
        <v>6547</v>
      </c>
      <c r="AW14" s="960" t="s">
        <v>6548</v>
      </c>
      <c r="AX14" s="647" t="s">
        <v>6549</v>
      </c>
      <c r="AY14" s="657"/>
      <c r="AZ14" s="948">
        <f>IF($B14="","",IFERROR(SUMPRODUCT(('ANALYSE - ERP =&gt; SOUS-SEGMENT'!$B$8:$B$1000=$B14)*'ANALYSE - ERP =&gt; SOUS-SEGMENT'!$Q$8:$Q$1000*'ANALYSE - ERP =&gt; SOUS-SEGMENT'!$AF$8:$AF$1000*'ANALYSE - ERP =&gt; SOUS-SEGMENT'!$AZ$8:$AZ$1000)/SUMPRODUCT(('ANALYSE - ERP =&gt; SOUS-SEGMENT'!$B$8:$B$1000=$B14)*'ANALYSE - ERP =&gt; SOUS-SEGMENT'!$Q$8:$Q$1000*'ANALYSE - ERP =&gt; SOUS-SEGMENT'!$AF$8:$AF$1000),""))</f>
        <v>8.2963793655879527</v>
      </c>
      <c r="BA14" s="948">
        <f>IF($B14="","",IFERROR(SUMPRODUCT(('ANALYSE - ERP =&gt; SOUS-SEGMENT'!$B$8:$B$1000=$B14)*'ANALYSE - ERP =&gt; SOUS-SEGMENT'!$Q$8:$Q$1000*'ANALYSE - ERP =&gt; SOUS-SEGMENT'!$AF$8:$AF$1000*'ANALYSE - ERP =&gt; SOUS-SEGMENT'!$BA$8:$BA$1000)/SUMPRODUCT(('ANALYSE - ERP =&gt; SOUS-SEGMENT'!$B$8:$B$1000=$B14)*'ANALYSE - ERP =&gt; SOUS-SEGMENT'!$Q$8:$Q$1000*'ANALYSE - ERP =&gt; SOUS-SEGMENT'!$AF$8:$AF$1000),""))</f>
        <v>4.7206379721599205</v>
      </c>
      <c r="BB14" s="948">
        <f>IF($B14="","",IFERROR(SUMPRODUCT(('ANALYSE - ERP =&gt; SOUS-SEGMENT'!$B$8:$B$1000=$B14)*'ANALYSE - ERP =&gt; SOUS-SEGMENT'!$Q$8:$Q$1000*'ANALYSE - ERP =&gt; SOUS-SEGMENT'!$AF$8:$AF$1000*'ANALYSE - ERP =&gt; SOUS-SEGMENT'!$BB$8:$BB$1000)/SUMPRODUCT(('ANALYSE - ERP =&gt; SOUS-SEGMENT'!$B$8:$B$1000=$B14)*'ANALYSE - ERP =&gt; SOUS-SEGMENT'!$Q$8:$Q$1000*'ANALYSE - ERP =&gt; SOUS-SEGMENT'!$AF$8:$AF$1000),""))</f>
        <v>1.3360034177079996</v>
      </c>
      <c r="BC14" s="948">
        <f>IF($B14="","",IFERROR(SUMPRODUCT(('ANALYSE - ERP =&gt; SOUS-SEGMENT'!$B$8:$B$1000=$B14)*'ANALYSE - ERP =&gt; SOUS-SEGMENT'!$Q$8:$Q$1000*'ANALYSE - ERP =&gt; SOUS-SEGMENT'!$AF$8:$AF$1000*'ANALYSE - ERP =&gt; SOUS-SEGMENT'!$BC$8:$BC$1000)/SUMPRODUCT(('ANALYSE - ERP =&gt; SOUS-SEGMENT'!$B$8:$B$1000=$B14)*'ANALYSE - ERP =&gt; SOUS-SEGMENT'!$Q$8:$Q$1000*'ANALYSE - ERP =&gt; SOUS-SEGMENT'!$AF$8:$AF$1000),""))</f>
        <v>6.8378368756452703</v>
      </c>
      <c r="BD14" s="825">
        <f t="shared" si="1"/>
        <v>595230</v>
      </c>
      <c r="BE14" s="304">
        <f>IF($B14="","",SUMPRODUCT(('ANALYSE - ERP =&gt; SOUS-SEGMENT'!$B$8:$B$1000=$B14)*'ANALYSE - ERP =&gt; SOUS-SEGMENT'!$Q$8:$Q$1000*'ANALYSE - ERP =&gt; SOUS-SEGMENT'!$BE$8:$BE$1000))</f>
        <v>233037</v>
      </c>
      <c r="BF14" s="304">
        <f>IF($B14="","",SUMPRODUCT(('ANALYSE - ERP =&gt; SOUS-SEGMENT'!$B$8:$B$1000=$B14)*'ANALYSE - ERP =&gt; SOUS-SEGMENT'!$Q$8:$Q$1000*'ANALYSE - ERP =&gt; SOUS-SEGMENT'!$BF$8:$BF$1000))</f>
        <v>132598</v>
      </c>
      <c r="BG14" s="304">
        <f>IF($B14="","",SUMPRODUCT(('ANALYSE - ERP =&gt; SOUS-SEGMENT'!$B$8:$B$1000=$B14)*'ANALYSE - ERP =&gt; SOUS-SEGMENT'!$Q$8:$Q$1000*'ANALYSE - ERP =&gt; SOUS-SEGMENT'!$BG$8:$BG$1000))</f>
        <v>37527</v>
      </c>
      <c r="BH14" s="304">
        <f>IF($B14="","",SUMPRODUCT(('ANALYSE - ERP =&gt; SOUS-SEGMENT'!$B$8:$B$1000=$B14)*'ANALYSE - ERP =&gt; SOUS-SEGMENT'!$Q$8:$Q$1000*'ANALYSE - ERP =&gt; SOUS-SEGMENT'!$BH$8:$BH$1000))</f>
        <v>192068</v>
      </c>
      <c r="BI14" s="825">
        <f t="shared" si="2"/>
        <v>590775</v>
      </c>
      <c r="BJ14" s="304">
        <f>IF($B14="","",SUMPRODUCT(('ANALYSE - ERP =&gt; SOUS-SEGMENT'!$B$8:$B$1000=$B14)*'ANALYSE - ERP =&gt; SOUS-SEGMENT'!$Q$8:$Q$1000*'ANALYSE - ERP =&gt; SOUS-SEGMENT'!$BJ$8:$BJ$1000))</f>
        <v>231302</v>
      </c>
      <c r="BK14" s="304">
        <f>IF($B14="","",SUMPRODUCT(('ANALYSE - ERP =&gt; SOUS-SEGMENT'!$B$8:$B$1000=$B14)*'ANALYSE - ERP =&gt; SOUS-SEGMENT'!$Q$8:$Q$1000*'ANALYSE - ERP =&gt; SOUS-SEGMENT'!$BK$8:$BK$1000))</f>
        <v>131498</v>
      </c>
      <c r="BL14" s="304">
        <f>IF($B14="","",SUMPRODUCT(('ANALYSE - ERP =&gt; SOUS-SEGMENT'!$B$8:$B$1000=$B14)*'ANALYSE - ERP =&gt; SOUS-SEGMENT'!$Q$8:$Q$1000*'ANALYSE - ERP =&gt; SOUS-SEGMENT'!$BL$8:$BL$1000))</f>
        <v>37332</v>
      </c>
      <c r="BM14" s="304">
        <f>IF($B14="","",SUMPRODUCT(('ANALYSE - ERP =&gt; SOUS-SEGMENT'!$B$8:$B$1000=$B14)*'ANALYSE - ERP =&gt; SOUS-SEGMENT'!$Q$8:$Q$1000*'ANALYSE - ERP =&gt; SOUS-SEGMENT'!$BM$8:$BM$1000))</f>
        <v>190643</v>
      </c>
      <c r="BN14" s="657"/>
      <c r="BO14" s="284">
        <f t="shared" si="3"/>
        <v>0.34667430493870072</v>
      </c>
      <c r="BP14" s="284">
        <f t="shared" si="4"/>
        <v>0.53477859739011402</v>
      </c>
      <c r="BQ14" s="284">
        <f t="shared" si="5"/>
        <v>4.8452048387165984E-2</v>
      </c>
      <c r="BR14" s="710">
        <f t="shared" si="6"/>
        <v>7.0095049284019273E-2</v>
      </c>
      <c r="BS14" s="707">
        <f t="shared" si="7"/>
        <v>0.31686453208359633</v>
      </c>
      <c r="BT14" s="284">
        <f t="shared" si="8"/>
        <v>0.54611892677106122</v>
      </c>
      <c r="BU14" s="284">
        <f t="shared" si="9"/>
        <v>7.3179479641334713E-2</v>
      </c>
      <c r="BV14" s="710">
        <f t="shared" si="10"/>
        <v>6.3837061504007739E-2</v>
      </c>
      <c r="BW14" s="714">
        <f t="shared" si="11"/>
        <v>0.41087045053469884</v>
      </c>
      <c r="BX14" s="285">
        <f t="shared" si="12"/>
        <v>0.53744023288435727</v>
      </c>
      <c r="BY14" s="717">
        <f t="shared" si="13"/>
        <v>5.1689316580943903E-2</v>
      </c>
      <c r="BZ14" s="714">
        <f t="shared" si="14"/>
        <v>0.36299092001399264</v>
      </c>
      <c r="CA14" s="285">
        <f t="shared" si="15"/>
        <v>0.57344780909215343</v>
      </c>
      <c r="CB14" s="717">
        <f t="shared" si="16"/>
        <v>6.3561270893853897E-2</v>
      </c>
      <c r="CC14" s="284">
        <f t="shared" si="17"/>
        <v>0.14023303221680389</v>
      </c>
      <c r="CD14" s="284">
        <f t="shared" si="18"/>
        <v>0.45060556399392437</v>
      </c>
      <c r="CE14" s="284">
        <f t="shared" si="19"/>
        <v>0.1080475391051776</v>
      </c>
      <c r="CF14" s="710">
        <f t="shared" si="20"/>
        <v>0.30111386468409412</v>
      </c>
      <c r="CG14" s="707">
        <f t="shared" si="21"/>
        <v>0.12012509375334834</v>
      </c>
      <c r="CH14" s="284">
        <f t="shared" si="22"/>
        <v>0.45068038144219436</v>
      </c>
      <c r="CI14" s="284">
        <f t="shared" si="23"/>
        <v>0.13191738990678237</v>
      </c>
      <c r="CJ14" s="710">
        <f t="shared" si="24"/>
        <v>0.29727713489767493</v>
      </c>
      <c r="CK14" s="720">
        <f t="shared" si="25"/>
        <v>0.6549216943999</v>
      </c>
      <c r="CL14" s="286">
        <f t="shared" si="26"/>
        <v>0.26431836641189577</v>
      </c>
      <c r="CM14" s="718">
        <f t="shared" si="27"/>
        <v>8.0759939188204177E-2</v>
      </c>
      <c r="CN14" s="720">
        <f t="shared" si="28"/>
        <v>0.60183090908137205</v>
      </c>
      <c r="CO14" s="286">
        <f t="shared" si="29"/>
        <v>0.29024753072496762</v>
      </c>
      <c r="CP14" s="718">
        <f t="shared" si="30"/>
        <v>0.10792156019366039</v>
      </c>
      <c r="CQ14" s="657"/>
      <c r="CR14" s="807">
        <f>IF($B14="","",IFERROR(SUMPRODUCT(('ANALYSE - ERP =&gt; SOUS-SEGMENT'!$B$8:$B$1000=$B14)*'ANALYSE - ERP =&gt; SOUS-SEGMENT'!$Q$8:$Q$1000*'ANALYSE - ERP =&gt; SOUS-SEGMENT'!$DH$8:$DH$1000*'ANALYSE - ERP =&gt; SOUS-SEGMENT'!$CR$8:$CR$1000)/SUMPRODUCT(('ANALYSE - ERP =&gt; SOUS-SEGMENT'!$B$8:$B$1000=$B14)*'ANALYSE - ERP =&gt; SOUS-SEGMENT'!$Q$8:$Q$1000*'ANALYSE - ERP =&gt; SOUS-SEGMENT'!$DH$8:$DH$1000),""))</f>
        <v>12</v>
      </c>
      <c r="CS14" s="808">
        <f>IF($B14="","",IFERROR(SUMPRODUCT(('ANALYSE - ERP =&gt; SOUS-SEGMENT'!$B$8:$B$1000=$B14)*'ANALYSE - ERP =&gt; SOUS-SEGMENT'!$Q$8:$Q$1000*'ANALYSE - ERP =&gt; SOUS-SEGMENT'!$DI$8:$DI$1000*'ANALYSE - ERP =&gt; SOUS-SEGMENT'!$CS$8:$CS$1000)/SUMPRODUCT(('ANALYSE - ERP =&gt; SOUS-SEGMENT'!$B$8:$B$1000=$B14)*'ANALYSE - ERP =&gt; SOUS-SEGMENT'!$Q$8:$Q$1000*'ANALYSE - ERP =&gt; SOUS-SEGMENT'!$DI$8:$DI$1000),""))</f>
        <v>12.275538583506121</v>
      </c>
      <c r="CT14" s="808">
        <f>IF($B14="","",IFERROR(SUMPRODUCT(('ANALYSE - ERP =&gt; SOUS-SEGMENT'!$B$8:$B$1000=$B14)*'ANALYSE - ERP =&gt; SOUS-SEGMENT'!$Q$8:$Q$1000*'ANALYSE - ERP =&gt; SOUS-SEGMENT'!$DJ$8:$DJ$1000*'ANALYSE - ERP =&gt; SOUS-SEGMENT'!$CT$8:$CT$1000)/SUMPRODUCT(('ANALYSE - ERP =&gt; SOUS-SEGMENT'!$B$8:$B$1000=$B14)*'ANALYSE - ERP =&gt; SOUS-SEGMENT'!$Q$8:$Q$1000*'ANALYSE - ERP =&gt; SOUS-SEGMENT'!$DJ$8:$DJ$1000),""))</f>
        <v>9.0000000000000018</v>
      </c>
      <c r="CU14" s="809">
        <f>IF($B14="","",IFERROR(SUMPRODUCT(('ANALYSE - ERP =&gt; SOUS-SEGMENT'!$B$8:$B$1000=$B14)*'ANALYSE - ERP =&gt; SOUS-SEGMENT'!$Q$8:$Q$1000*'ANALYSE - ERP =&gt; SOUS-SEGMENT'!$DK$8:$DK$1000*'ANALYSE - ERP =&gt; SOUS-SEGMENT'!$CU$8:$CU$1000)/SUMPRODUCT(('ANALYSE - ERP =&gt; SOUS-SEGMENT'!$B$8:$B$1000=$B14)*'ANALYSE - ERP =&gt; SOUS-SEGMENT'!$Q$8:$Q$1000*'ANALYSE - ERP =&gt; SOUS-SEGMENT'!$DK$8:$DK$1000),""))</f>
        <v>11.000000000000002</v>
      </c>
      <c r="CV14" s="807">
        <f>IF($B14="","",IFERROR(SUMPRODUCT(('ANALYSE - ERP =&gt; SOUS-SEGMENT'!$B$8:$B$1000=$B14)*'ANALYSE - ERP =&gt; SOUS-SEGMENT'!$Q$8:$Q$1000*'ANALYSE - ERP =&gt; SOUS-SEGMENT'!$DS$8:$DS$1000*'ANALYSE - ERP =&gt; SOUS-SEGMENT'!$CV$8:$CV$1000)/SUMPRODUCT(('ANALYSE - ERP =&gt; SOUS-SEGMENT'!$B$8:$B$1000=$B14)*'ANALYSE - ERP =&gt; SOUS-SEGMENT'!$Q$8:$Q$1000*'ANALYSE - ERP =&gt; SOUS-SEGMENT'!$DS$8:$DS$1000),""))</f>
        <v>10.28238675785509</v>
      </c>
      <c r="CW14" s="808">
        <f>IF($B14="","",IFERROR(SUMPRODUCT(('ANALYSE - ERP =&gt; SOUS-SEGMENT'!$B$8:$B$1000=$B14)*'ANALYSE - ERP =&gt; SOUS-SEGMENT'!$Q$8:$Q$1000*'ANALYSE - ERP =&gt; SOUS-SEGMENT'!$DT$8:$DT$1000*'ANALYSE - ERP =&gt; SOUS-SEGMENT'!$CW$8:$CW$1000)/SUMPRODUCT(('ANALYSE - ERP =&gt; SOUS-SEGMENT'!$B$8:$B$1000=$B14)*'ANALYSE - ERP =&gt; SOUS-SEGMENT'!$Q$8:$Q$1000*'ANALYSE - ERP =&gt; SOUS-SEGMENT'!$DT$8:$DT$1000),""))</f>
        <v>10.006377738954724</v>
      </c>
      <c r="CX14" s="809">
        <f>IF($B14="","",IFERROR(SUMPRODUCT(('ANALYSE - ERP =&gt; SOUS-SEGMENT'!$B$8:$B$1000=$B14)*'ANALYSE - ERP =&gt; SOUS-SEGMENT'!$Q$8:$Q$1000*'ANALYSE - ERP =&gt; SOUS-SEGMENT'!$DU$8:$DU$1000*'ANALYSE - ERP =&gt; SOUS-SEGMENT'!$CX$8:$CX$1000)/SUMPRODUCT(('ANALYSE - ERP =&gt; SOUS-SEGMENT'!$B$8:$B$1000=$B14)*'ANALYSE - ERP =&gt; SOUS-SEGMENT'!$Q$8:$Q$1000*'ANALYSE - ERP =&gt; SOUS-SEGMENT'!$DU$8:$DU$1000),""))</f>
        <v>8</v>
      </c>
      <c r="CY14" s="807">
        <f>IF($B14="","",IFERROR(SUMPRODUCT(('ANALYSE - ERP =&gt; SOUS-SEGMENT'!$B$8:$B$1000=$B14)*'ANALYSE - ERP =&gt; SOUS-SEGMENT'!$Q$8:$Q$1000*'ANALYSE - ERP =&gt; SOUS-SEGMENT'!$EB$8:$EB$1000*'ANALYSE - ERP =&gt; SOUS-SEGMENT'!$CY$8:$CY$1000)/SUMPRODUCT(('ANALYSE - ERP =&gt; SOUS-SEGMENT'!$B$8:$B$1000=$B14)*'ANALYSE - ERP =&gt; SOUS-SEGMENT'!$Q$8:$Q$1000*'ANALYSE - ERP =&gt; SOUS-SEGMENT'!$EB$8:$EB$1000),""))</f>
        <v>10</v>
      </c>
      <c r="CZ14" s="808">
        <f>IF($B14="","",IFERROR(SUMPRODUCT(('ANALYSE - ERP =&gt; SOUS-SEGMENT'!$B$8:$B$1000=$B14)*'ANALYSE - ERP =&gt; SOUS-SEGMENT'!$Q$8:$Q$1000*'ANALYSE - ERP =&gt; SOUS-SEGMENT'!$EC$8:$EC$1000*'ANALYSE - ERP =&gt; SOUS-SEGMENT'!$CZ$8:$CZ$1000)/SUMPRODUCT(('ANALYSE - ERP =&gt; SOUS-SEGMENT'!$B$8:$B$1000=$B14)*'ANALYSE - ERP =&gt; SOUS-SEGMENT'!$Q$8:$Q$1000*'ANALYSE - ERP =&gt; SOUS-SEGMENT'!$EC$8:$EC$1000),""))</f>
        <v>11.358592242698423</v>
      </c>
      <c r="DA14" s="808">
        <f>IF($B14="","",IFERROR(SUMPRODUCT(('ANALYSE - ERP =&gt; SOUS-SEGMENT'!$B$8:$B$1000=$B14)*'ANALYSE - ERP =&gt; SOUS-SEGMENT'!$Q$8:$Q$1000*'ANALYSE - ERP =&gt; SOUS-SEGMENT'!$ED$8:$ED$1000*'ANALYSE - ERP =&gt; SOUS-SEGMENT'!$DA$8:$DA$1000)/SUMPRODUCT(('ANALYSE - ERP =&gt; SOUS-SEGMENT'!$B$8:$B$1000=$B14)*'ANALYSE - ERP =&gt; SOUS-SEGMENT'!$Q$8:$Q$1000*'ANALYSE - ERP =&gt; SOUS-SEGMENT'!$ED$8:$ED$1000),""))</f>
        <v>8</v>
      </c>
      <c r="DB14" s="809">
        <f>IF($B14="","",IFERROR(SUMPRODUCT(('ANALYSE - ERP =&gt; SOUS-SEGMENT'!$B$8:$B$1000=$B14)*'ANALYSE - ERP =&gt; SOUS-SEGMENT'!$Q$8:$Q$1000*'ANALYSE - ERP =&gt; SOUS-SEGMENT'!$EE$8:$EE$1000*'ANALYSE - ERP =&gt; SOUS-SEGMENT'!$DB$8:$DB$1000)/SUMPRODUCT(('ANALYSE - ERP =&gt; SOUS-SEGMENT'!$B$8:$B$1000=$B14)*'ANALYSE - ERP =&gt; SOUS-SEGMENT'!$Q$8:$Q$1000*'ANALYSE - ERP =&gt; SOUS-SEGMENT'!$EE$8:$EE$1000),""))</f>
        <v>9.3696714130213543</v>
      </c>
      <c r="DC14" s="807">
        <f>IF($B14="","",IFERROR(SUMPRODUCT(('ANALYSE - ERP =&gt; SOUS-SEGMENT'!$B$8:$B$1000=$B14)*'ANALYSE - ERP =&gt; SOUS-SEGMENT'!$Q$8:$Q$1000*'ANALYSE - ERP =&gt; SOUS-SEGMENT'!$EM$8:$EM$1000*'ANALYSE - ERP =&gt; SOUS-SEGMENT'!$DC$8:$DC$1000)/SUMPRODUCT(('ANALYSE - ERP =&gt; SOUS-SEGMENT'!$B$8:$B$1000=$B14)*'ANALYSE - ERP =&gt; SOUS-SEGMENT'!$Q$8:$Q$1000*'ANALYSE - ERP =&gt; SOUS-SEGMENT'!$EM$8:$EM$1000),""))</f>
        <v>11.781555694235211</v>
      </c>
      <c r="DD14" s="808">
        <f>IF($B14="","",IFERROR(SUMPRODUCT(('ANALYSE - ERP =&gt; SOUS-SEGMENT'!$B$8:$B$1000=$B14)*'ANALYSE - ERP =&gt; SOUS-SEGMENT'!$Q$8:$Q$1000*'ANALYSE - ERP =&gt; SOUS-SEGMENT'!$EN$8:$EN$1000*'ANALYSE - ERP =&gt; SOUS-SEGMENT'!$DD$8:$DD$1000)/SUMPRODUCT(('ANALYSE - ERP =&gt; SOUS-SEGMENT'!$B$8:$B$1000=$B14)*'ANALYSE - ERP =&gt; SOUS-SEGMENT'!$Q$8:$Q$1000*'ANALYSE - ERP =&gt; SOUS-SEGMENT'!$EN$8:$EN$1000),""))</f>
        <v>12.126379091970982</v>
      </c>
      <c r="DE14" s="809">
        <f>IF($B14="","",IFERROR(SUMPRODUCT(('ANALYSE - ERP =&gt; SOUS-SEGMENT'!$B$8:$B$1000=$B14)*'ANALYSE - ERP =&gt; SOUS-SEGMENT'!$Q$8:$Q$1000*'ANALYSE - ERP =&gt; SOUS-SEGMENT'!$EO$8:$EO$1000*'ANALYSE - ERP =&gt; SOUS-SEGMENT'!$DE$8:$DE$1000)/SUMPRODUCT(('ANALYSE - ERP =&gt; SOUS-SEGMENT'!$B$8:$B$1000=$B14)*'ANALYSE - ERP =&gt; SOUS-SEGMENT'!$Q$8:$Q$1000*'ANALYSE - ERP =&gt; SOUS-SEGMENT'!$EO$8:$EO$1000),""))</f>
        <v>9</v>
      </c>
      <c r="DF14" s="921" t="s">
        <v>6550</v>
      </c>
      <c r="DG14" s="657"/>
      <c r="DH14" s="288">
        <f>IF($B14="","",SUMPRODUCT(('ANALYSE - ERP =&gt; SOUS-SEGMENT'!$B$8:$B$1000=$B14)*'ANALYSE - ERP =&gt; SOUS-SEGMENT'!$Q$8:$Q$1000*'ANALYSE - ERP =&gt; SOUS-SEGMENT'!$DH$8:$DH$1000))</f>
        <v>80787.94</v>
      </c>
      <c r="DI14" s="288">
        <f>IF($B14="","",SUMPRODUCT(('ANALYSE - ERP =&gt; SOUS-SEGMENT'!$B$8:$B$1000=$B14)*'ANALYSE - ERP =&gt; SOUS-SEGMENT'!$Q$8:$Q$1000*'ANALYSE - ERP =&gt; SOUS-SEGMENT'!$DI$8:$DI$1000))</f>
        <v>124623.2</v>
      </c>
      <c r="DJ14" s="288">
        <f>IF($B14="","",SUMPRODUCT(('ANALYSE - ERP =&gt; SOUS-SEGMENT'!$B$8:$B$1000=$B14)*'ANALYSE - ERP =&gt; SOUS-SEGMENT'!$Q$8:$Q$1000*'ANALYSE - ERP =&gt; SOUS-SEGMENT'!$DJ$8:$DJ$1000))</f>
        <v>11291.119999999999</v>
      </c>
      <c r="DK14" s="288">
        <f>IF($B14="","",SUMPRODUCT(('ANALYSE - ERP =&gt; SOUS-SEGMENT'!$B$8:$B$1000=$B14)*'ANALYSE - ERP =&gt; SOUS-SEGMENT'!$Q$8:$Q$1000*'ANALYSE - ERP =&gt; SOUS-SEGMENT'!$DK$8:$DK$1000))</f>
        <v>16334.74</v>
      </c>
      <c r="DL14" s="922" t="s">
        <v>6551</v>
      </c>
      <c r="DM14" s="288">
        <f>IF($B14="","",SUMPRODUCT(('ANALYSE - ERP =&gt; SOUS-SEGMENT'!$B$8:$B$1000=$B14)*'ANALYSE - ERP =&gt; SOUS-SEGMENT'!$Q$8:$Q$1000*'ANALYSE - ERP =&gt; SOUS-SEGMENT'!$DM$8:$DM$1000))</f>
        <v>73291.399999999994</v>
      </c>
      <c r="DN14" s="288">
        <f>IF($B14="","",SUMPRODUCT(('ANALYSE - ERP =&gt; SOUS-SEGMENT'!$B$8:$B$1000=$B14)*'ANALYSE - ERP =&gt; SOUS-SEGMENT'!$Q$8:$Q$1000*'ANALYSE - ERP =&gt; SOUS-SEGMENT'!$DN$8:$DN$1000))</f>
        <v>126318.39999999999</v>
      </c>
      <c r="DO14" s="288">
        <f>IF($B14="","",SUMPRODUCT(('ANALYSE - ERP =&gt; SOUS-SEGMENT'!$B$8:$B$1000=$B14)*'ANALYSE - ERP =&gt; SOUS-SEGMENT'!$Q$8:$Q$1000*'ANALYSE - ERP =&gt; SOUS-SEGMENT'!$DO$8:$DO$1000))</f>
        <v>16926.560000000001</v>
      </c>
      <c r="DP14" s="288">
        <f>IF($B14="","",SUMPRODUCT(('ANALYSE - ERP =&gt; SOUS-SEGMENT'!$B$8:$B$1000=$B14)*'ANALYSE - ERP =&gt; SOUS-SEGMENT'!$Q$8:$Q$1000*'ANALYSE - ERP =&gt; SOUS-SEGMENT'!$DP$8:$DP$1000))</f>
        <v>14765.64</v>
      </c>
      <c r="DQ14" s="922" t="s">
        <v>6552</v>
      </c>
      <c r="DR14" s="657"/>
      <c r="DS14" s="288">
        <f>IF($B14="","",SUMPRODUCT(('ANALYSE - ERP =&gt; SOUS-SEGMENT'!$B$8:$B$1000=$B14)*'ANALYSE - ERP =&gt; SOUS-SEGMENT'!$Q$8:$Q$1000*'ANALYSE - ERP =&gt; SOUS-SEGMENT'!$DS$8:$DS$1000))</f>
        <v>54480.6</v>
      </c>
      <c r="DT14" s="288">
        <f>IF($B14="","",SUMPRODUCT(('ANALYSE - ERP =&gt; SOUS-SEGMENT'!$B$8:$B$1000=$B14)*'ANALYSE - ERP =&gt; SOUS-SEGMENT'!$Q$8:$Q$1000*'ANALYSE - ERP =&gt; SOUS-SEGMENT'!$DT$8:$DT$1000))</f>
        <v>71263.5</v>
      </c>
      <c r="DU14" s="288">
        <f>IF($B14="","",SUMPRODUCT(('ANALYSE - ERP =&gt; SOUS-SEGMENT'!$B$8:$B$1000=$B14)*'ANALYSE - ERP =&gt; SOUS-SEGMENT'!$Q$8:$Q$1000*'ANALYSE - ERP =&gt; SOUS-SEGMENT'!$DU$8:$DU$1000))</f>
        <v>6853.9</v>
      </c>
      <c r="DV14" s="922" t="s">
        <v>6553</v>
      </c>
      <c r="DW14" s="288">
        <f>IF($B14="","",SUMPRODUCT(('ANALYSE - ERP =&gt; SOUS-SEGMENT'!$B$8:$B$1000=$B14)*'ANALYSE - ERP =&gt; SOUS-SEGMENT'!$Q$8:$Q$1000*'ANALYSE - ERP =&gt; SOUS-SEGMENT'!$DW$8:$DW$1000))</f>
        <v>47732.58</v>
      </c>
      <c r="DX14" s="288">
        <f>IF($B14="","",SUMPRODUCT(('ANALYSE - ERP =&gt; SOUS-SEGMENT'!$B$8:$B$1000=$B14)*'ANALYSE - ERP =&gt; SOUS-SEGMENT'!$Q$8:$Q$1000*'ANALYSE - ERP =&gt; SOUS-SEGMENT'!$DX$8:$DX$1000))</f>
        <v>75407.239999999991</v>
      </c>
      <c r="DY14" s="288">
        <f>IF($B14="","",SUMPRODUCT(('ANALYSE - ERP =&gt; SOUS-SEGMENT'!$B$8:$B$1000=$B14)*'ANALYSE - ERP =&gt; SOUS-SEGMENT'!$Q$8:$Q$1000*'ANALYSE - ERP =&gt; SOUS-SEGMENT'!$DY$8:$DY$1000))</f>
        <v>8358.18</v>
      </c>
      <c r="DZ14" s="922" t="s">
        <v>6554</v>
      </c>
      <c r="EA14" s="657"/>
      <c r="EB14" s="288">
        <f>IF($B14="","",SUMPRODUCT(('ANALYSE - ERP =&gt; SOUS-SEGMENT'!$B$8:$B$1000=$B14)*'ANALYSE - ERP =&gt; SOUS-SEGMENT'!$Q$8:$Q$1000*'ANALYSE - ERP =&gt; SOUS-SEGMENT'!$EB$8:$EB$1000))</f>
        <v>5262.5249999999996</v>
      </c>
      <c r="EC14" s="288">
        <f>IF($B14="","",SUMPRODUCT(('ANALYSE - ERP =&gt; SOUS-SEGMENT'!$B$8:$B$1000=$B14)*'ANALYSE - ERP =&gt; SOUS-SEGMENT'!$Q$8:$Q$1000*'ANALYSE - ERP =&gt; SOUS-SEGMENT'!$EC$8:$EC$1000))</f>
        <v>16909.875</v>
      </c>
      <c r="ED14" s="288">
        <f>IF($B14="","",SUMPRODUCT(('ANALYSE - ERP =&gt; SOUS-SEGMENT'!$B$8:$B$1000=$B14)*'ANALYSE - ERP =&gt; SOUS-SEGMENT'!$Q$8:$Q$1000*'ANALYSE - ERP =&gt; SOUS-SEGMENT'!$ED$8:$ED$1000))</f>
        <v>4054.7</v>
      </c>
      <c r="EE14" s="288">
        <f>IF($B14="","",SUMPRODUCT(('ANALYSE - ERP =&gt; SOUS-SEGMENT'!$B$8:$B$1000=$B14)*'ANALYSE - ERP =&gt; SOUS-SEGMENT'!$Q$8:$Q$1000*'ANALYSE - ERP =&gt; SOUS-SEGMENT'!$EE$8:$EE$1000))</f>
        <v>11299.9</v>
      </c>
      <c r="EF14" s="922" t="s">
        <v>6555</v>
      </c>
      <c r="EG14" s="288">
        <f>IF($B14="","",SUMPRODUCT(('ANALYSE - ERP =&gt; SOUS-SEGMENT'!$B$8:$B$1000=$B14)*'ANALYSE - ERP =&gt; SOUS-SEGMENT'!$Q$8:$Q$1000*'ANALYSE - ERP =&gt; SOUS-SEGMENT'!$EG$8:$EG$1000))</f>
        <v>4484.51</v>
      </c>
      <c r="EH14" s="288">
        <f>IF($B14="","",SUMPRODUCT(('ANALYSE - ERP =&gt; SOUS-SEGMENT'!$B$8:$B$1000=$B14)*'ANALYSE - ERP =&gt; SOUS-SEGMENT'!$Q$8:$Q$1000*'ANALYSE - ERP =&gt; SOUS-SEGMENT'!$EH$8:$EH$1000))</f>
        <v>16824.8</v>
      </c>
      <c r="EI14" s="288">
        <f>IF($B14="","",SUMPRODUCT(('ANALYSE - ERP =&gt; SOUS-SEGMENT'!$B$8:$B$1000=$B14)*'ANALYSE - ERP =&gt; SOUS-SEGMENT'!$Q$8:$Q$1000*'ANALYSE - ERP =&gt; SOUS-SEGMENT'!$EI$8:$EI$1000))</f>
        <v>4924.74</v>
      </c>
      <c r="EJ14" s="288">
        <f>IF($B14="","",SUMPRODUCT(('ANALYSE - ERP =&gt; SOUS-SEGMENT'!$B$8:$B$1000=$B14)*'ANALYSE - ERP =&gt; SOUS-SEGMENT'!$Q$8:$Q$1000*'ANALYSE - ERP =&gt; SOUS-SEGMENT'!$EJ$8:$EJ$1000))</f>
        <v>11097.95</v>
      </c>
      <c r="EK14" s="922" t="s">
        <v>6556</v>
      </c>
      <c r="EL14" s="657"/>
      <c r="EM14" s="288">
        <f>IF($B14="","",SUMPRODUCT(('ANALYSE - ERP =&gt; SOUS-SEGMENT'!$B$8:$B$1000=$B14)*'ANALYSE - ERP =&gt; SOUS-SEGMENT'!$Q$8:$Q$1000*'ANALYSE - ERP =&gt; SOUS-SEGMENT'!$EM$8:$EM$1000))</f>
        <v>125789.5</v>
      </c>
      <c r="EN14" s="291">
        <f>IF($B14="","",SUMPRODUCT(('ANALYSE - ERP =&gt; SOUS-SEGMENT'!$B$8:$B$1000=$B14)*'ANALYSE - ERP =&gt; SOUS-SEGMENT'!$Q$8:$Q$1000*'ANALYSE - ERP =&gt; SOUS-SEGMENT'!$EN$8:$EN$1000))</f>
        <v>50767.1</v>
      </c>
      <c r="EO14" s="291">
        <f>IF($B14="","",SUMPRODUCT(('ANALYSE - ERP =&gt; SOUS-SEGMENT'!$B$8:$B$1000=$B14)*'ANALYSE - ERP =&gt; SOUS-SEGMENT'!$Q$8:$Q$1000*'ANALYSE - ERP =&gt; SOUS-SEGMENT'!$EO$8:$EO$1000))</f>
        <v>15511.4</v>
      </c>
      <c r="EP14" s="922" t="s">
        <v>6557</v>
      </c>
      <c r="EQ14" s="288">
        <f>IF($B14="","",SUMPRODUCT(('ANALYSE - ERP =&gt; SOUS-SEGMENT'!$B$8:$B$1000=$B14)*'ANALYSE - ERP =&gt; SOUS-SEGMENT'!$Q$8:$Q$1000*'ANALYSE - ERP =&gt; SOUS-SEGMENT'!$EQ$8:$EQ$1000))</f>
        <v>114734.85</v>
      </c>
      <c r="ER14" s="291">
        <f>IF($B14="","",SUMPRODUCT(('ANALYSE - ERP =&gt; SOUS-SEGMENT'!$B$8:$B$1000=$B14)*'ANALYSE - ERP =&gt; SOUS-SEGMENT'!$Q$8:$Q$1000*'ANALYSE - ERP =&gt; SOUS-SEGMENT'!$ER$8:$ER$1000))</f>
        <v>55333.659999999996</v>
      </c>
      <c r="ES14" s="291">
        <f>IF($B14="","",SUMPRODUCT(('ANALYSE - ERP =&gt; SOUS-SEGMENT'!$B$8:$B$1000=$B14)*'ANALYSE - ERP =&gt; SOUS-SEGMENT'!$Q$8:$Q$1000*'ANALYSE - ERP =&gt; SOUS-SEGMENT'!$ES$8:$ES$1000))</f>
        <v>20574.489999999998</v>
      </c>
      <c r="ET14" s="922" t="s">
        <v>6558</v>
      </c>
      <c r="EU14" s="657"/>
      <c r="EV14" s="740">
        <f t="shared" si="31"/>
        <v>0.85398314298411904</v>
      </c>
      <c r="EW14" s="740">
        <f t="shared" si="32"/>
        <v>0.14601685701588107</v>
      </c>
      <c r="EX14" s="563">
        <f t="shared" si="33"/>
        <v>262802.4005873953</v>
      </c>
      <c r="EY14" s="563">
        <f t="shared" si="34"/>
        <v>224428.82003739532</v>
      </c>
      <c r="EZ14" s="563">
        <f t="shared" si="35"/>
        <v>38373.580549999999</v>
      </c>
      <c r="FA14" s="563">
        <f t="shared" si="36"/>
        <v>99488.983125919985</v>
      </c>
      <c r="FB14" s="563">
        <f>IF($B14="","",SUMPRODUCT(('ANALYSE - ERP =&gt; SOUS-SEGMENT'!$B$8:$B$1000=$B14)*'ANALYSE - ERP =&gt; SOUS-SEGMENT'!$Q$8:$Q$1000*'ANALYSE - ERP =&gt; SOUS-SEGMENT'!$FB$8:$FB$1000))</f>
        <v>84374.368215919982</v>
      </c>
      <c r="FC14" s="563">
        <f>IF($B14="","",SUMPRODUCT(('ANALYSE - ERP =&gt; SOUS-SEGMENT'!$B$8:$B$1000=$B14)*'ANALYSE - ERP =&gt; SOUS-SEGMENT'!$Q$8:$Q$1000*'ANALYSE - ERP =&gt; SOUS-SEGMENT'!$FC$8:$FC$1000))</f>
        <v>15114.61491</v>
      </c>
      <c r="FD14" s="563">
        <f t="shared" si="37"/>
        <v>61843.735451886358</v>
      </c>
      <c r="FE14" s="563">
        <f>IF($B14="","",SUMPRODUCT(('ANALYSE - ERP =&gt; SOUS-SEGMENT'!$B$8:$B$1000=$B14)*'ANALYSE - ERP =&gt; SOUS-SEGMENT'!$Q$8:$Q$1000*'ANALYSE - ERP =&gt; SOUS-SEGMENT'!$FE$8:$FE$1000))</f>
        <v>53533.734711886362</v>
      </c>
      <c r="FF14" s="563">
        <f>IF($B14="","",SUMPRODUCT(('ANALYSE - ERP =&gt; SOUS-SEGMENT'!$B$8:$B$1000=$B14)*'ANALYSE - ERP =&gt; SOUS-SEGMENT'!$Q$8:$Q$1000*'ANALYSE - ERP =&gt; SOUS-SEGMENT'!$FF$8:$FF$1000))</f>
        <v>8310.0007399999995</v>
      </c>
      <c r="FG14" s="563">
        <f t="shared" si="38"/>
        <v>18033.971022436664</v>
      </c>
      <c r="FH14" s="563">
        <f>IF($B14="","",SUMPRODUCT(('ANALYSE - ERP =&gt; SOUS-SEGMENT'!$B$8:$B$1000=$B14)*'ANALYSE - ERP =&gt; SOUS-SEGMENT'!$Q$8:$Q$1000*'ANALYSE - ERP =&gt; SOUS-SEGMENT'!$FH$8:$FH$1000))</f>
        <v>15557.621862436667</v>
      </c>
      <c r="FI14" s="563">
        <f>IF($B14="","",SUMPRODUCT(('ANALYSE - ERP =&gt; SOUS-SEGMENT'!$B$8:$B$1000=$B14)*'ANALYSE - ERP =&gt; SOUS-SEGMENT'!$Q$8:$Q$1000*'ANALYSE - ERP =&gt; SOUS-SEGMENT'!$FI$8:$FI$1000))</f>
        <v>2476.3491599999998</v>
      </c>
      <c r="FJ14" s="563">
        <f t="shared" si="39"/>
        <v>83435.710987152299</v>
      </c>
      <c r="FK14" s="563">
        <f>IF($B14="","",SUMPRODUCT(('ANALYSE - ERP =&gt; SOUS-SEGMENT'!$B$8:$B$1000=$B14)*'ANALYSE - ERP =&gt; SOUS-SEGMENT'!$Q$8:$Q$1000*'ANALYSE - ERP =&gt; SOUS-SEGMENT'!$FK$8:$FK$1000))</f>
        <v>70963.095247152291</v>
      </c>
      <c r="FL14" s="563">
        <f>IF($B14="","",SUMPRODUCT(('ANALYSE - ERP =&gt; SOUS-SEGMENT'!$B$8:$B$1000=$B14)*'ANALYSE - ERP =&gt; SOUS-SEGMENT'!$Q$8:$Q$1000*'ANALYSE - ERP =&gt; SOUS-SEGMENT'!$FL$8:$FL$1000))</f>
        <v>12472.615740000001</v>
      </c>
      <c r="FM14" s="529"/>
      <c r="FN14" s="961" t="s">
        <v>2649</v>
      </c>
      <c r="FO14" s="740">
        <f>IF($B14="","",IFERROR(SUMPRODUCT(('ANALYSE - ERP =&gt; SOUS-SEGMENT'!$B$8:$B$1000=$B14)*'ANALYSE - ERP =&gt; SOUS-SEGMENT'!$Q$8:$Q$1000*'ANALYSE - ERP =&gt; SOUS-SEGMENT'!$AF$8:$AF$1000*'ANALYSE - ERP =&gt; SOUS-SEGMENT'!$FO$8:$FO$1000)/SUMPRODUCT(('ANALYSE - ERP =&gt; SOUS-SEGMENT'!$B$8:$B$1000=$B14)*'ANALYSE - ERP =&gt; SOUS-SEGMENT'!$Q$8:$Q$1000*'ANALYSE - ERP =&gt; SOUS-SEGMENT'!$AF$8:$AF$1000),""))</f>
        <v>5.7685945387874263E-2</v>
      </c>
      <c r="FP14" s="741">
        <f>IF($B14="","",IFERROR(SUMPRODUCT(('ANALYSE - ERP =&gt; SOUS-SEGMENT'!$B$8:$B$1000=$B14)*'ANALYSE - ERP =&gt; SOUS-SEGMENT'!$Q$8:$Q$1000*'ANALYSE - ERP =&gt; SOUS-SEGMENT'!$AF$8:$AF$1000*'ANALYSE - ERP =&gt; SOUS-SEGMENT'!$FP$8:$FP$1000)/SUMPRODUCT(('ANALYSE - ERP =&gt; SOUS-SEGMENT'!$B$8:$B$1000=$B14)*'ANALYSE - ERP =&gt; SOUS-SEGMENT'!$Q$8:$Q$1000*'ANALYSE - ERP =&gt; SOUS-SEGMENT'!$AF$8:$AF$1000),""))</f>
        <v>0.8087989533269252</v>
      </c>
      <c r="FQ14" s="961" t="s">
        <v>6559</v>
      </c>
      <c r="FR14" s="529"/>
      <c r="FS14" s="867">
        <f>IF($B14="","",IFERROR(SUMPRODUCT(('ANALYSE - ERP =&gt; SOUS-SEGMENT'!$B$8:$B$1000=$B14)*'ANALYSE - ERP =&gt; SOUS-SEGMENT'!$Q$8:$Q$1000*'ANALYSE - ERP =&gt; SOUS-SEGMENT'!$EX$8:$EX$1000*'ANALYSE - ERP =&gt; SOUS-SEGMENT'!$FS$8:$FS$1000)/SUMPRODUCT(('ANALYSE - ERP =&gt; SOUS-SEGMENT'!$B$8:$B$1000=$B14)*'ANALYSE - ERP =&gt; SOUS-SEGMENT'!$Q$8:$Q$1000*'ANALYSE - ERP =&gt; SOUS-SEGMENT'!$EX$8:$EX$1000),""))</f>
        <v>3.4756755307940299</v>
      </c>
      <c r="FT14" s="566">
        <f>IF($B14="","",RANK($FS14,$FS$8:$FS$20,0)+COUNTIF($FS$8:$FS14,$FS14)-1)</f>
        <v>8</v>
      </c>
      <c r="FU14" s="867">
        <f>IF($B14="","",IFERROR(SUMPRODUCT(('ANALYSE - ERP =&gt; SOUS-SEGMENT'!$B$8:$B$1000=$B14)*'ANALYSE - ERP =&gt; SOUS-SEGMENT'!$Q$8:$Q$1000*'ANALYSE - ERP =&gt; SOUS-SEGMENT'!$EY$8:$EY$1000*'ANALYSE - ERP =&gt; SOUS-SEGMENT'!$FU$8:$FU$1000)/SUMPRODUCT(('ANALYSE - ERP =&gt; SOUS-SEGMENT'!$B$8:$B$1000=$B14)*'ANALYSE - ERP =&gt; SOUS-SEGMENT'!$Q$8:$Q$1000*'ANALYSE - ERP =&gt; SOUS-SEGMENT'!$EY$8:$EY$1000),""))</f>
        <v>4.192140634572155</v>
      </c>
      <c r="FV14" s="566">
        <f>IF($B14="","",RANK($FU14,$FU$8:$FU$20,0)+COUNTIF($FU$8:$FU14,$FU14)-1)</f>
        <v>7</v>
      </c>
      <c r="FW14" s="867">
        <f>IF($B14="","",IFERROR(SUMPRODUCT(('ANALYSE - ERP =&gt; SOUS-SEGMENT'!$B$8:$B$1000=$B14)*'ANALYSE - ERP =&gt; SOUS-SEGMENT'!$Q$8:$Q$1000*'ANALYSE - ERP =&gt; SOUS-SEGMENT'!$EZ$8:$EZ$1000*'ANALYSE - ERP =&gt; SOUS-SEGMENT'!$FW$8:$FW$1000)/SUMPRODUCT(('ANALYSE - ERP =&gt; SOUS-SEGMENT'!$B$8:$B$1000=$B14)*'ANALYSE - ERP =&gt; SOUS-SEGMENT'!$Q$8:$Q$1000*'ANALYSE - ERP =&gt; SOUS-SEGMENT'!$EZ$8:$EZ$1000),""))</f>
        <v>2.4350643794823053</v>
      </c>
      <c r="FX14" s="566">
        <f>IF($B14="","",RANK($FW14,$FW$8:$FW$20,0)+COUNTIF($FW$8:$FW14,$FW14)-1)</f>
        <v>4</v>
      </c>
      <c r="FY14" s="529"/>
      <c r="FZ14" s="922" t="s">
        <v>6560</v>
      </c>
      <c r="GA14" s="922" t="s">
        <v>6561</v>
      </c>
      <c r="GB14" s="922" t="s">
        <v>6562</v>
      </c>
      <c r="GC14" s="922" t="s">
        <v>6563</v>
      </c>
      <c r="GD14" s="922" t="s">
        <v>6564</v>
      </c>
      <c r="GE14" s="922" t="s">
        <v>6565</v>
      </c>
      <c r="GF14" s="923" t="s">
        <v>6566</v>
      </c>
      <c r="GG14" s="529"/>
      <c r="GH14" s="563">
        <f t="shared" si="40"/>
        <v>34415.202430066667</v>
      </c>
      <c r="GI14" s="563">
        <f>IF($B14="","",SUMPRODUCT(('ANALYSE - ERP =&gt; SOUS-SEGMENT'!$B$8:$B$1000=$B14)*'ANALYSE - ERP =&gt; SOUS-SEGMENT'!$Q$8:$Q$1000*'ANALYSE - ERP =&gt; SOUS-SEGMENT'!$GI$8:$GI$1000))</f>
        <v>29299.099113066666</v>
      </c>
      <c r="GJ14" s="563">
        <f>IF($B14="","",SUMPRODUCT(('ANALYSE - ERP =&gt; SOUS-SEGMENT'!$B$8:$B$1000=$B14)*'ANALYSE - ERP =&gt; SOUS-SEGMENT'!$Q$8:$Q$1000*'ANALYSE - ERP =&gt; SOUS-SEGMENT'!$GJ$8:$GJ$1000))</f>
        <v>5116.1033169999992</v>
      </c>
      <c r="GK14" s="563">
        <f t="shared" si="41"/>
        <v>51547.76752265128</v>
      </c>
      <c r="GL14" s="563">
        <f>IF($B14="","",SUMPRODUCT(('ANALYSE - ERP =&gt; SOUS-SEGMENT'!$B$8:$B$1000=$B14)*'ANALYSE - ERP =&gt; SOUS-SEGMENT'!$Q$8:$Q$1000*'ANALYSE - ERP =&gt; SOUS-SEGMENT'!$GL$8:$GL$1000))</f>
        <v>43624.344011651279</v>
      </c>
      <c r="GM14" s="563">
        <f>IF($B14="","",SUMPRODUCT(('ANALYSE - ERP =&gt; SOUS-SEGMENT'!$B$8:$B$1000=$B14)*'ANALYSE - ERP =&gt; SOUS-SEGMENT'!$Q$8:$Q$1000*'ANALYSE - ERP =&gt; SOUS-SEGMENT'!$GM$8:$GM$1000))</f>
        <v>7923.4235109999991</v>
      </c>
      <c r="GN14" s="563">
        <f t="shared" si="42"/>
        <v>6289.6328879111115</v>
      </c>
      <c r="GO14" s="563">
        <f>IF($B14="","",SUMPRODUCT(('ANALYSE - ERP =&gt; SOUS-SEGMENT'!$B$8:$B$1000=$B14)*'ANALYSE - ERP =&gt; SOUS-SEGMENT'!$Q$8:$Q$1000*'ANALYSE - ERP =&gt; SOUS-SEGMENT'!$GO$8:$GO$1000))</f>
        <v>5168.4576351111118</v>
      </c>
      <c r="GP14" s="563">
        <f>IF($B14="","",SUMPRODUCT(('ANALYSE - ERP =&gt; SOUS-SEGMENT'!$B$8:$B$1000=$B14)*'ANALYSE - ERP =&gt; SOUS-SEGMENT'!$Q$8:$Q$1000*'ANALYSE - ERP =&gt; SOUS-SEGMENT'!$GP$8:$GP$1000))</f>
        <v>1121.1752528</v>
      </c>
      <c r="GQ14" s="563">
        <f t="shared" si="43"/>
        <v>7236.3802852909084</v>
      </c>
      <c r="GR14" s="563">
        <f>IF($B14="","",SUMPRODUCT(('ANALYSE - ERP =&gt; SOUS-SEGMENT'!$B$8:$B$1000=$B14)*'ANALYSE - ERP =&gt; SOUS-SEGMENT'!$Q$8:$Q$1000*'ANALYSE - ERP =&gt; SOUS-SEGMENT'!$GR$8:$GR$1000))</f>
        <v>6282.4674560909089</v>
      </c>
      <c r="GS14" s="563">
        <f>IF($B14="","",SUMPRODUCT(('ANALYSE - ERP =&gt; SOUS-SEGMENT'!$B$8:$B$1000=$B14)*'ANALYSE - ERP =&gt; SOUS-SEGMENT'!$Q$8:$Q$1000*'ANALYSE - ERP =&gt; SOUS-SEGMENT'!$GS$8:$GS$1000))</f>
        <v>953.91282920000003</v>
      </c>
      <c r="GT14" s="563">
        <f t="shared" si="44"/>
        <v>24433.955685672725</v>
      </c>
      <c r="GU14" s="563">
        <f>IF($B14="","",SUMPRODUCT(('ANALYSE - ERP =&gt; SOUS-SEGMENT'!$B$8:$B$1000=$B14)*'ANALYSE - ERP =&gt; SOUS-SEGMENT'!$Q$8:$Q$1000*'ANALYSE - ERP =&gt; SOUS-SEGMENT'!$GU$8:$GU$1000))</f>
        <v>21274.037465272726</v>
      </c>
      <c r="GV14" s="563">
        <f>IF($B14="","",SUMPRODUCT(('ANALYSE - ERP =&gt; SOUS-SEGMENT'!$B$8:$B$1000=$B14)*'ANALYSE - ERP =&gt; SOUS-SEGMENT'!$Q$8:$Q$1000*'ANALYSE - ERP =&gt; SOUS-SEGMENT'!$GV$8:$GV$1000))</f>
        <v>3159.9182203999999</v>
      </c>
      <c r="GW14" s="563">
        <f t="shared" si="45"/>
        <v>33517.562698563634</v>
      </c>
      <c r="GX14" s="563">
        <f>IF($B14="","",SUMPRODUCT(('ANALYSE - ERP =&gt; SOUS-SEGMENT'!$B$8:$B$1000=$B14)*'ANALYSE - ERP =&gt; SOUS-SEGMENT'!$Q$8:$Q$1000*'ANALYSE - ERP =&gt; SOUS-SEGMENT'!$GX$8:$GX$1000))</f>
        <v>28900.607523363633</v>
      </c>
      <c r="GY14" s="563">
        <f>IF($B14="","",SUMPRODUCT(('ANALYSE - ERP =&gt; SOUS-SEGMENT'!$B$8:$B$1000=$B14)*'ANALYSE - ERP =&gt; SOUS-SEGMENT'!$Q$8:$Q$1000*'ANALYSE - ERP =&gt; SOUS-SEGMENT'!$GY$8:$GY$1000))</f>
        <v>4616.9551752000007</v>
      </c>
      <c r="GZ14" s="563">
        <f t="shared" si="46"/>
        <v>3892.21706765</v>
      </c>
      <c r="HA14" s="563">
        <f>IF($B14="","",SUMPRODUCT(('ANALYSE - ERP =&gt; SOUS-SEGMENT'!$B$8:$B$1000=$B14)*'ANALYSE - ERP =&gt; SOUS-SEGMENT'!$Q$8:$Q$1000*'ANALYSE - ERP =&gt; SOUS-SEGMENT'!$HA$8:$HA$1000))</f>
        <v>3359.0897232500001</v>
      </c>
      <c r="HB14" s="563">
        <f>IF($B14="","",SUMPRODUCT(('ANALYSE - ERP =&gt; SOUS-SEGMENT'!$B$8:$B$1000=$B14)*'ANALYSE - ERP =&gt; SOUS-SEGMENT'!$Q$8:$Q$1000*'ANALYSE - ERP =&gt; SOUS-SEGMENT'!$HB$8:$HB$1000))</f>
        <v>533.12734439999997</v>
      </c>
      <c r="HC14" s="563">
        <f t="shared" si="47"/>
        <v>2483.20248223</v>
      </c>
      <c r="HD14" s="563">
        <f>IF($B14="","",SUMPRODUCT(('ANALYSE - ERP =&gt; SOUS-SEGMENT'!$B$8:$B$1000=$B14)*'ANALYSE - ERP =&gt; SOUS-SEGMENT'!$Q$8:$Q$1000*'ANALYSE - ERP =&gt; SOUS-SEGMENT'!$HD$8:$HD$1000))</f>
        <v>2189.8178421799998</v>
      </c>
      <c r="HE14" s="563">
        <f>IF($B14="","",SUMPRODUCT(('ANALYSE - ERP =&gt; SOUS-SEGMENT'!$B$8:$B$1000=$B14)*'ANALYSE - ERP =&gt; SOUS-SEGMENT'!$Q$8:$Q$1000*'ANALYSE - ERP =&gt; SOUS-SEGMENT'!$HE$8:$HE$1000))</f>
        <v>293.38464005000003</v>
      </c>
      <c r="HF14" s="563">
        <f t="shared" si="48"/>
        <v>7460.4854022500003</v>
      </c>
      <c r="HG14" s="563">
        <f>IF($B14="","",SUMPRODUCT(('ANALYSE - ERP =&gt; SOUS-SEGMENT'!$B$8:$B$1000=$B14)*'ANALYSE - ERP =&gt; SOUS-SEGMENT'!$Q$8:$Q$1000*'ANALYSE - ERP =&gt; SOUS-SEGMENT'!$HG$8:$HG$1000))</f>
        <v>6343.814496</v>
      </c>
      <c r="HH14" s="563">
        <f>IF($B14="","",SUMPRODUCT(('ANALYSE - ERP =&gt; SOUS-SEGMENT'!$B$8:$B$1000=$B14)*'ANALYSE - ERP =&gt; SOUS-SEGMENT'!$Q$8:$Q$1000*'ANALYSE - ERP =&gt; SOUS-SEGMENT'!$HH$8:$HH$1000))</f>
        <v>1116.6709062499999</v>
      </c>
      <c r="HI14" s="563">
        <f t="shared" si="49"/>
        <v>2386.7409134499994</v>
      </c>
      <c r="HJ14" s="563">
        <f>IF($B14="","",SUMPRODUCT(('ANALYSE - ERP =&gt; SOUS-SEGMENT'!$B$8:$B$1000=$B14)*'ANALYSE - ERP =&gt; SOUS-SEGMENT'!$Q$8:$Q$1000*'ANALYSE - ERP =&gt; SOUS-SEGMENT'!$HJ$8:$HJ$1000))</f>
        <v>2054.2866892499997</v>
      </c>
      <c r="HK14" s="563">
        <f>IF($B14="","",SUMPRODUCT(('ANALYSE - ERP =&gt; SOUS-SEGMENT'!$B$8:$B$1000=$B14)*'ANALYSE - ERP =&gt; SOUS-SEGMENT'!$Q$8:$Q$1000*'ANALYSE - ERP =&gt; SOUS-SEGMENT'!$HK$8:$HK$1000))</f>
        <v>332.4542242</v>
      </c>
      <c r="HL14" s="563">
        <f t="shared" si="50"/>
        <v>5703.5422245066666</v>
      </c>
      <c r="HM14" s="563">
        <f>IF($B14="","",SUMPRODUCT(('ANALYSE - ERP =&gt; SOUS-SEGMENT'!$B$8:$B$1000=$B14)*'ANALYSE - ERP =&gt; SOUS-SEGMENT'!$Q$8:$Q$1000*'ANALYSE - ERP =&gt; SOUS-SEGMENT'!$HM$8:$HM$1000))</f>
        <v>4969.7028350066666</v>
      </c>
      <c r="HN14" s="563">
        <f>IF($B14="","",SUMPRODUCT(('ANALYSE - ERP =&gt; SOUS-SEGMENT'!$B$8:$B$1000=$B14)*'ANALYSE - ERP =&gt; SOUS-SEGMENT'!$Q$8:$Q$1000*'ANALYSE - ERP =&gt; SOUS-SEGMENT'!$HN$8:$HN$1000))</f>
        <v>733.83938949999992</v>
      </c>
      <c r="HO14" s="563">
        <f t="shared" si="51"/>
        <v>53240.804682475522</v>
      </c>
      <c r="HP14" s="563">
        <f>IF($B14="","",SUMPRODUCT(('ANALYSE - ERP =&gt; SOUS-SEGMENT'!$B$8:$B$1000=$B14)*'ANALYSE - ERP =&gt; SOUS-SEGMENT'!$Q$8:$Q$1000*'ANALYSE - ERP =&gt; SOUS-SEGMENT'!$HP$8:$HP$1000))</f>
        <v>45794.167054475525</v>
      </c>
      <c r="HQ14" s="563">
        <f>IF($B14="","",SUMPRODUCT(('ANALYSE - ERP =&gt; SOUS-SEGMENT'!$B$8:$B$1000=$B14)*'ANALYSE - ERP =&gt; SOUS-SEGMENT'!$Q$8:$Q$1000*'ANALYSE - ERP =&gt; SOUS-SEGMENT'!$HQ$8:$HQ$1000))</f>
        <v>7446.6376279999995</v>
      </c>
      <c r="HR14" s="563">
        <f t="shared" si="52"/>
        <v>21880.870198254546</v>
      </c>
      <c r="HS14" s="563">
        <f>IF($B14="","",SUMPRODUCT(('ANALYSE - ERP =&gt; SOUS-SEGMENT'!$B$8:$B$1000=$B14)*'ANALYSE - ERP =&gt; SOUS-SEGMENT'!$Q$8:$Q$1000*'ANALYSE - ERP =&gt; SOUS-SEGMENT'!$HS$8:$HS$1000))</f>
        <v>18157.544255454544</v>
      </c>
      <c r="HT14" s="563">
        <f>IF($B14="","",SUMPRODUCT(('ANALYSE - ERP =&gt; SOUS-SEGMENT'!$B$8:$B$1000=$B14)*'ANALYSE - ERP =&gt; SOUS-SEGMENT'!$Q$8:$Q$1000*'ANALYSE - ERP =&gt; SOUS-SEGMENT'!$HT$8:$HT$1000))</f>
        <v>3723.3259428000001</v>
      </c>
      <c r="HU14" s="563">
        <f t="shared" si="53"/>
        <v>8314.0361064222216</v>
      </c>
      <c r="HV14" s="563">
        <f>IF($B14="","",SUMPRODUCT(('ANALYSE - ERP =&gt; SOUS-SEGMENT'!$B$8:$B$1000=$B14)*'ANALYSE - ERP =&gt; SOUS-SEGMENT'!$Q$8:$Q$1000*'ANALYSE - ERP =&gt; SOUS-SEGMENT'!$HV$8:$HV$1000))</f>
        <v>7011.3839372222219</v>
      </c>
      <c r="HW14" s="563">
        <f>IF($B14="","",SUMPRODUCT(('ANALYSE - ERP =&gt; SOUS-SEGMENT'!$B$8:$B$1000=$B14)*'ANALYSE - ERP =&gt; SOUS-SEGMENT'!$Q$8:$Q$1000*'ANALYSE - ERP =&gt; SOUS-SEGMENT'!$HW$8:$HW$1000))</f>
        <v>1302.6521691999999</v>
      </c>
      <c r="HX14" s="544"/>
      <c r="HY14" s="568">
        <f t="shared" si="54"/>
        <v>595230</v>
      </c>
      <c r="HZ14" s="568">
        <f>IF($B14="","",SUMPRODUCT(('ANALYSE - ERP =&gt; SOUS-SEGMENT'!$B$8:$B$1000=$B14)*'ANALYSE - ERP =&gt; SOUS-SEGMENT'!$Q$8:$Q$1000*'ANALYSE - ERP =&gt; SOUS-SEGMENT'!$HZ$8:$HZ$1000))</f>
        <v>51583.144749999999</v>
      </c>
      <c r="IA14" s="568">
        <f>IF($B14="","",SUMPRODUCT(('ANALYSE - ERP =&gt; SOUS-SEGMENT'!$B$8:$B$1000=$B14)*'ANALYSE - ERP =&gt; SOUS-SEGMENT'!$Q$8:$Q$1000*'ANALYSE - ERP =&gt; SOUS-SEGMENT'!$IA$8:$IA$1000))</f>
        <v>275510.76755000005</v>
      </c>
      <c r="IB14" s="568">
        <f>IF($B14="","",SUMPRODUCT(('ANALYSE - ERP =&gt; SOUS-SEGMENT'!$B$8:$B$1000=$B14)*'ANALYSE - ERP =&gt; SOUS-SEGMENT'!$Q$8:$Q$1000*'ANALYSE - ERP =&gt; SOUS-SEGMENT'!$IB$8:$IB$1000))</f>
        <v>220208.76635000002</v>
      </c>
      <c r="IC14" s="568">
        <f>IF($B14="","",SUMPRODUCT(('ANALYSE - ERP =&gt; SOUS-SEGMENT'!$B$8:$B$1000=$B14)*'ANALYSE - ERP =&gt; SOUS-SEGMENT'!$Q$8:$Q$1000*'ANALYSE - ERP =&gt; SOUS-SEGMENT'!$IC$8:$IC$1000))</f>
        <v>43951.630550000002</v>
      </c>
      <c r="ID14" s="568">
        <f>IF($B14="","",SUMPRODUCT(('ANALYSE - ERP =&gt; SOUS-SEGMENT'!$B$8:$B$1000=$B14)*'ANALYSE - ERP =&gt; SOUS-SEGMENT'!$Q$8:$Q$1000*'ANALYSE - ERP =&gt; SOUS-SEGMENT'!$ID$8:$ID$1000))</f>
        <v>3975.6907999999994</v>
      </c>
      <c r="IE14" s="568">
        <f t="shared" si="55"/>
        <v>224428.82003739534</v>
      </c>
      <c r="IF14" s="568">
        <f>IF($B14="","",SUMPRODUCT(('ANALYSE - ERP =&gt; SOUS-SEGMENT'!$B$8:$B$1000=$B14)*'ANALYSE - ERP =&gt; SOUS-SEGMENT'!$Q$8:$Q$1000*'ANALYSE - ERP =&gt; SOUS-SEGMENT'!$IF$8:$IF$1000))</f>
        <v>8631.1427814045965</v>
      </c>
      <c r="IG14" s="568">
        <f>IF($B14="","",SUMPRODUCT(('ANALYSE - ERP =&gt; SOUS-SEGMENT'!$B$8:$B$1000=$B14)*'ANALYSE - ERP =&gt; SOUS-SEGMENT'!$Q$8:$Q$1000*'ANALYSE - ERP =&gt; SOUS-SEGMENT'!$IG$8:$IG$1000))</f>
        <v>84313.445552862802</v>
      </c>
      <c r="IH14" s="568">
        <f>IF($B14="","",SUMPRODUCT(('ANALYSE - ERP =&gt; SOUS-SEGMENT'!$B$8:$B$1000=$B14)*'ANALYSE - ERP =&gt; SOUS-SEGMENT'!$Q$8:$Q$1000*'ANALYSE - ERP =&gt; SOUS-SEGMENT'!$IH$8:$IH$1000))</f>
        <v>104675.61135791011</v>
      </c>
      <c r="II14" s="568">
        <f>IF($B14="","",SUMPRODUCT(('ANALYSE - ERP =&gt; SOUS-SEGMENT'!$B$8:$B$1000=$B14)*'ANALYSE - ERP =&gt; SOUS-SEGMENT'!$Q$8:$Q$1000*'ANALYSE - ERP =&gt; SOUS-SEGMENT'!$II$8:$II$1000))</f>
        <v>24583.980396851053</v>
      </c>
      <c r="IJ14" s="568">
        <f>IF($B14="","",SUMPRODUCT(('ANALYSE - ERP =&gt; SOUS-SEGMENT'!$B$8:$B$1000=$B14)*'ANALYSE - ERP =&gt; SOUS-SEGMENT'!$Q$8:$Q$1000*'ANALYSE - ERP =&gt; SOUS-SEGMENT'!$IJ$8:$IJ$1000))</f>
        <v>2224.6399483667506</v>
      </c>
      <c r="IK14" s="868">
        <f>IF($B14="","",IFERROR(SUMPRODUCT(('ANALYSE - ERP =&gt; SOUS-SEGMENT'!$B$8:$B$1000=$B14)*'ANALYSE - ERP =&gt; SOUS-SEGMENT'!$Q$8:$Q$1000*'ANALYSE - ERP =&gt; SOUS-SEGMENT'!$IE$8:$IE$1000*'ANALYSE - ERP =&gt; SOUS-SEGMENT'!$IK$8:$IK$1000)/SUMPRODUCT(('ANALYSE - ERP =&gt; SOUS-SEGMENT'!$B$8:$B$1000=$B14)*'ANALYSE - ERP =&gt; SOUS-SEGMENT'!$Q$8:$Q$1000*'ANALYSE - ERP =&gt; SOUS-SEGMENT'!$IE$8:$IE$1000),""))</f>
        <v>3.8004713903962268</v>
      </c>
      <c r="IL14" s="962" t="s">
        <v>6567</v>
      </c>
      <c r="IM14" s="963" t="s">
        <v>6568</v>
      </c>
      <c r="IN14" s="529"/>
      <c r="IO14" s="742">
        <f>IF($B14="","",IFERROR(SUMPRODUCT(('ANALYSE - ERP =&gt; SOUS-SEGMENT'!$B$8:$B$1000=$B14)*'ANALYSE - ERP =&gt; SOUS-SEGMENT'!$Q$8:$Q$1000*'ANALYSE - ERP =&gt; SOUS-SEGMENT'!$BE$8:$BE$1000*'ANALYSE - ERP =&gt; SOUS-SEGMENT'!$IO$8:$IO$1000)/SUMPRODUCT(('ANALYSE - ERP =&gt; SOUS-SEGMENT'!$B$8:$B$1000=$B14)*'ANALYSE - ERP =&gt; SOUS-SEGMENT'!$Q$8:$Q$1000*'ANALYSE - ERP =&gt; SOUS-SEGMENT'!$BE$8:$BE$1000),""))</f>
        <v>8.2612989782738372E-2</v>
      </c>
      <c r="IP14" s="742">
        <f>IF($B14="","",IFERROR(SUMPRODUCT(('ANALYSE - ERP =&gt; SOUS-SEGMENT'!$B$8:$B$1000=$B14)*'ANALYSE - ERP =&gt; SOUS-SEGMENT'!$Q$8:$Q$1000*'ANALYSE - ERP =&gt; SOUS-SEGMENT'!$BE$8:$BE$1000*'ANALYSE - ERP =&gt; SOUS-SEGMENT'!$IP$8:$IP$1000)/SUMPRODUCT(('ANALYSE - ERP =&gt; SOUS-SEGMENT'!$B$8:$B$1000=$B14)*'ANALYSE - ERP =&gt; SOUS-SEGMENT'!$Q$8:$Q$1000*'ANALYSE - ERP =&gt; SOUS-SEGMENT'!$BE$8:$BE$1000),""))</f>
        <v>0.45089790462458756</v>
      </c>
      <c r="IQ14" s="742">
        <f>IF($B14="","",IFERROR(SUMPRODUCT(('ANALYSE - ERP =&gt; SOUS-SEGMENT'!$B$8:$B$1000=$B14)*'ANALYSE - ERP =&gt; SOUS-SEGMENT'!$Q$8:$Q$1000*'ANALYSE - ERP =&gt; SOUS-SEGMENT'!$BE$8:$BE$1000*'ANALYSE - ERP =&gt; SOUS-SEGMENT'!$IQ$8:$IQ$1000)/SUMPRODUCT(('ANALYSE - ERP =&gt; SOUS-SEGMENT'!$B$8:$B$1000=$B14)*'ANALYSE - ERP =&gt; SOUS-SEGMENT'!$Q$8:$Q$1000*'ANALYSE - ERP =&gt; SOUS-SEGMENT'!$BE$8:$BE$1000),""))</f>
        <v>0.37579872938632058</v>
      </c>
      <c r="IR14" s="742">
        <f>IF($B14="","",IFERROR(SUMPRODUCT(('ANALYSE - ERP =&gt; SOUS-SEGMENT'!$B$8:$B$1000=$B14)*'ANALYSE - ERP =&gt; SOUS-SEGMENT'!$Q$8:$Q$1000*'ANALYSE - ERP =&gt; SOUS-SEGMENT'!$BE$8:$BE$1000*'ANALYSE - ERP =&gt; SOUS-SEGMENT'!$IR$8:$IR$1000)/SUMPRODUCT(('ANALYSE - ERP =&gt; SOUS-SEGMENT'!$B$8:$B$1000=$B14)*'ANALYSE - ERP =&gt; SOUS-SEGMENT'!$Q$8:$Q$1000*'ANALYSE - ERP =&gt; SOUS-SEGMENT'!$BE$8:$BE$1000),""))</f>
        <v>8.2573861232336482E-2</v>
      </c>
      <c r="IS14" s="742">
        <f>IF($B14="","",IFERROR(SUMPRODUCT(('ANALYSE - ERP =&gt; SOUS-SEGMENT'!$B$8:$B$1000=$B14)*'ANALYSE - ERP =&gt; SOUS-SEGMENT'!$Q$8:$Q$1000*'ANALYSE - ERP =&gt; SOUS-SEGMENT'!$BE$8:$BE$1000*'ANALYSE - ERP =&gt; SOUS-SEGMENT'!$IS$8:$IS$1000)/SUMPRODUCT(('ANALYSE - ERP =&gt; SOUS-SEGMENT'!$B$8:$B$1000=$B14)*'ANALYSE - ERP =&gt; SOUS-SEGMENT'!$Q$8:$Q$1000*'ANALYSE - ERP =&gt; SOUS-SEGMENT'!$BE$8:$BE$1000),""))</f>
        <v>8.1165149740170025E-3</v>
      </c>
      <c r="IT14" s="742">
        <f>IF($B14="","",IFERROR(SUMPRODUCT(('ANALYSE - ERP =&gt; SOUS-SEGMENT'!$B$8:$B$1000=$B14)*'ANALYSE - ERP =&gt; SOUS-SEGMENT'!$Q$8:$Q$1000*'ANALYSE - ERP =&gt; SOUS-SEGMENT'!$FB$8:$FB$1000*'ANALYSE - ERP =&gt; SOUS-SEGMENT'!$IT$8:$IT$1000)/SUMPRODUCT(('ANALYSE - ERP =&gt; SOUS-SEGMENT'!$B$8:$B$1000=$B14)*'ANALYSE - ERP =&gt; SOUS-SEGMENT'!$Q$8:$Q$1000*'ANALYSE - ERP =&gt; SOUS-SEGMENT'!$FB$8:$FB$1000),""))</f>
        <v>3.5472033807417362E-2</v>
      </c>
      <c r="IU14" s="742">
        <f>IF($B14="","",IFERROR(SUMPRODUCT(('ANALYSE - ERP =&gt; SOUS-SEGMENT'!$B$8:$B$1000=$B14)*'ANALYSE - ERP =&gt; SOUS-SEGMENT'!$Q$8:$Q$1000*'ANALYSE - ERP =&gt; SOUS-SEGMENT'!$FB$8:$FB$1000*'ANALYSE - ERP =&gt; SOUS-SEGMENT'!$IU$8:$IU$1000)/SUMPRODUCT(('ANALYSE - ERP =&gt; SOUS-SEGMENT'!$B$8:$B$1000=$B14)*'ANALYSE - ERP =&gt; SOUS-SEGMENT'!$Q$8:$Q$1000*'ANALYSE - ERP =&gt; SOUS-SEGMENT'!$FB$8:$FB$1000),""))</f>
        <v>0.36491909553835389</v>
      </c>
      <c r="IV14" s="742">
        <f>IF($B14="","",IFERROR(SUMPRODUCT(('ANALYSE - ERP =&gt; SOUS-SEGMENT'!$B$8:$B$1000=$B14)*'ANALYSE - ERP =&gt; SOUS-SEGMENT'!$Q$8:$Q$1000*'ANALYSE - ERP =&gt; SOUS-SEGMENT'!$FB$8:$FB$1000*'ANALYSE - ERP =&gt; SOUS-SEGMENT'!$IV$8:$IV$1000)/SUMPRODUCT(('ANALYSE - ERP =&gt; SOUS-SEGMENT'!$B$8:$B$1000=$B14)*'ANALYSE - ERP =&gt; SOUS-SEGMENT'!$Q$8:$Q$1000*'ANALYSE - ERP =&gt; SOUS-SEGMENT'!$FB$8:$FB$1000),""))</f>
        <v>0.46885654135958033</v>
      </c>
      <c r="IW14" s="742">
        <f>IF($B14="","",IFERROR(SUMPRODUCT(('ANALYSE - ERP =&gt; SOUS-SEGMENT'!$B$8:$B$1000=$B14)*'ANALYSE - ERP =&gt; SOUS-SEGMENT'!$Q$8:$Q$1000*'ANALYSE - ERP =&gt; SOUS-SEGMENT'!$FB$8:$FB$1000*'ANALYSE - ERP =&gt; SOUS-SEGMENT'!$IW$8:$IW$1000)/SUMPRODUCT(('ANALYSE - ERP =&gt; SOUS-SEGMENT'!$B$8:$B$1000=$B14)*'ANALYSE - ERP =&gt; SOUS-SEGMENT'!$Q$8:$Q$1000*'ANALYSE - ERP =&gt; SOUS-SEGMENT'!$FB$8:$FB$1000),""))</f>
        <v>0.11893063977178057</v>
      </c>
      <c r="IX14" s="742">
        <f>IF($B14="","",IFERROR(SUMPRODUCT(('ANALYSE - ERP =&gt; SOUS-SEGMENT'!$B$8:$B$1000=$B14)*'ANALYSE - ERP =&gt; SOUS-SEGMENT'!$Q$8:$Q$1000*'ANALYSE - ERP =&gt; SOUS-SEGMENT'!$FB$8:$FB$1000*'ANALYSE - ERP =&gt; SOUS-SEGMENT'!$IX$8:$IX$1000)/SUMPRODUCT(('ANALYSE - ERP =&gt; SOUS-SEGMENT'!$B$8:$B$1000=$B14)*'ANALYSE - ERP =&gt; SOUS-SEGMENT'!$Q$8:$Q$1000*'ANALYSE - ERP =&gt; SOUS-SEGMENT'!$FB$8:$FB$1000),""))</f>
        <v>1.182168952286785E-2</v>
      </c>
      <c r="IY14" s="742">
        <f>IF($B14="","",IFERROR(SUMPRODUCT(('ANALYSE - ERP =&gt; SOUS-SEGMENT'!$B$8:$B$1000=$B14)*'ANALYSE - ERP =&gt; SOUS-SEGMENT'!$Q$8:$Q$1000*'ANALYSE - ERP =&gt; SOUS-SEGMENT'!$BF$8:$BF$1000*'ANALYSE - ERP =&gt; SOUS-SEGMENT'!$IY$8:$IY$1000)/SUMPRODUCT(('ANALYSE - ERP =&gt; SOUS-SEGMENT'!$B$8:$B$1000=$B14)*'ANALYSE - ERP =&gt; SOUS-SEGMENT'!$Q$8:$Q$1000*'ANALYSE - ERP =&gt; SOUS-SEGMENT'!$BF$8:$BF$1000),""))</f>
        <v>9.8597197544457685E-2</v>
      </c>
      <c r="IZ14" s="742">
        <f>IF($B14="","",IFERROR(SUMPRODUCT(('ANALYSE - ERP =&gt; SOUS-SEGMENT'!$B$8:$B$1000=$B14)*'ANALYSE - ERP =&gt; SOUS-SEGMENT'!$Q$8:$Q$1000*'ANALYSE - ERP =&gt; SOUS-SEGMENT'!$BF$8:$BF$1000*'ANALYSE - ERP =&gt; SOUS-SEGMENT'!$IZ$8:$IZ$1000)/SUMPRODUCT(('ANALYSE - ERP =&gt; SOUS-SEGMENT'!$B$8:$B$1000=$B14)*'ANALYSE - ERP =&gt; SOUS-SEGMENT'!$Q$8:$Q$1000*'ANALYSE - ERP =&gt; SOUS-SEGMENT'!$BF$8:$BF$1000),""))</f>
        <v>0.49127946424531294</v>
      </c>
      <c r="JA14" s="742">
        <f>IF($B14="","",IFERROR(SUMPRODUCT(('ANALYSE - ERP =&gt; SOUS-SEGMENT'!$B$8:$B$1000=$B14)*'ANALYSE - ERP =&gt; SOUS-SEGMENT'!$Q$8:$Q$1000*'ANALYSE - ERP =&gt; SOUS-SEGMENT'!$BF$8:$BF$1000*'ANALYSE - ERP =&gt; SOUS-SEGMENT'!$JA$8:$JA$1000)/SUMPRODUCT(('ANALYSE - ERP =&gt; SOUS-SEGMENT'!$B$8:$B$1000=$B14)*'ANALYSE - ERP =&gt; SOUS-SEGMENT'!$Q$8:$Q$1000*'ANALYSE - ERP =&gt; SOUS-SEGMENT'!$BF$8:$BF$1000),""))</f>
        <v>0.34562988129534383</v>
      </c>
      <c r="JB14" s="742">
        <f>IF($B14="","",IFERROR(SUMPRODUCT(('ANALYSE - ERP =&gt; SOUS-SEGMENT'!$B$8:$B$1000=$B14)*'ANALYSE - ERP =&gt; SOUS-SEGMENT'!$Q$8:$Q$1000*'ANALYSE - ERP =&gt; SOUS-SEGMENT'!$BF$8:$BF$1000*'ANALYSE - ERP =&gt; SOUS-SEGMENT'!$JB$8:$JB$1000)/SUMPRODUCT(('ANALYSE - ERP =&gt; SOUS-SEGMENT'!$B$8:$B$1000=$B14)*'ANALYSE - ERP =&gt; SOUS-SEGMENT'!$Q$8:$Q$1000*'ANALYSE - ERP =&gt; SOUS-SEGMENT'!$BF$8:$BF$1000),""))</f>
        <v>5.947814597505241E-2</v>
      </c>
      <c r="JC14" s="742">
        <f>IF($B14="","",IFERROR(SUMPRODUCT(('ANALYSE - ERP =&gt; SOUS-SEGMENT'!$B$8:$B$1000=$B14)*'ANALYSE - ERP =&gt; SOUS-SEGMENT'!$Q$8:$Q$1000*'ANALYSE - ERP =&gt; SOUS-SEGMENT'!$BF$8:$BF$1000*'ANALYSE - ERP =&gt; SOUS-SEGMENT'!$JC$8:$JC$1000)/SUMPRODUCT(('ANALYSE - ERP =&gt; SOUS-SEGMENT'!$B$8:$B$1000=$B14)*'ANALYSE - ERP =&gt; SOUS-SEGMENT'!$Q$8:$Q$1000*'ANALYSE - ERP =&gt; SOUS-SEGMENT'!$BF$8:$BF$1000),""))</f>
        <v>5.0153109398331794E-3</v>
      </c>
      <c r="JD14" s="742">
        <f>IF($B14="","",IFERROR(SUMPRODUCT(('ANALYSE - ERP =&gt; SOUS-SEGMENT'!$B$8:$B$1000=$B14)*'ANALYSE - ERP =&gt; SOUS-SEGMENT'!$Q$8:$Q$1000*'ANALYSE - ERP =&gt; SOUS-SEGMENT'!$FE$8:$FE$1000*'ANALYSE - ERP =&gt; SOUS-SEGMENT'!$JD$8:$JD$1000)/SUMPRODUCT(('ANALYSE - ERP =&gt; SOUS-SEGMENT'!$B$8:$B$1000=$B14)*'ANALYSE - ERP =&gt; SOUS-SEGMENT'!$Q$8:$Q$1000*'ANALYSE - ERP =&gt; SOUS-SEGMENT'!$FE$8:$FE$1000),""))</f>
        <v>4.3633421709368826E-2</v>
      </c>
      <c r="JE14" s="742">
        <f>IF($B14="","",IFERROR(SUMPRODUCT(('ANALYSE - ERP =&gt; SOUS-SEGMENT'!$B$8:$B$1000=$B14)*'ANALYSE - ERP =&gt; SOUS-SEGMENT'!$Q$8:$Q$1000*'ANALYSE - ERP =&gt; SOUS-SEGMENT'!$FE$8:$FE$1000*'ANALYSE - ERP =&gt; SOUS-SEGMENT'!$JE$8:$JE$1000)/SUMPRODUCT(('ANALYSE - ERP =&gt; SOUS-SEGMENT'!$B$8:$B$1000=$B14)*'ANALYSE - ERP =&gt; SOUS-SEGMENT'!$Q$8:$Q$1000*'ANALYSE - ERP =&gt; SOUS-SEGMENT'!$FE$8:$FE$1000),""))</f>
        <v>0.38902230690809225</v>
      </c>
      <c r="JF14" s="742">
        <f>IF($B14="","",IFERROR(SUMPRODUCT(('ANALYSE - ERP =&gt; SOUS-SEGMENT'!$B$8:$B$1000=$B14)*'ANALYSE - ERP =&gt; SOUS-SEGMENT'!$Q$8:$Q$1000*'ANALYSE - ERP =&gt; SOUS-SEGMENT'!$FE$8:$FE$1000*'ANALYSE - ERP =&gt; SOUS-SEGMENT'!$JF$8:$JF$1000)/SUMPRODUCT(('ANALYSE - ERP =&gt; SOUS-SEGMENT'!$B$8:$B$1000=$B14)*'ANALYSE - ERP =&gt; SOUS-SEGMENT'!$Q$8:$Q$1000*'ANALYSE - ERP =&gt; SOUS-SEGMENT'!$FE$8:$FE$1000),""))</f>
        <v>0.46276779512993094</v>
      </c>
      <c r="JG14" s="742">
        <f>IF($B14="","",IFERROR(SUMPRODUCT(('ANALYSE - ERP =&gt; SOUS-SEGMENT'!$B$8:$B$1000=$B14)*'ANALYSE - ERP =&gt; SOUS-SEGMENT'!$Q$8:$Q$1000*'ANALYSE - ERP =&gt; SOUS-SEGMENT'!$FE$8:$FE$1000*'ANALYSE - ERP =&gt; SOUS-SEGMENT'!$JG$8:$JG$1000)/SUMPRODUCT(('ANALYSE - ERP =&gt; SOUS-SEGMENT'!$B$8:$B$1000=$B14)*'ANALYSE - ERP =&gt; SOUS-SEGMENT'!$Q$8:$Q$1000*'ANALYSE - ERP =&gt; SOUS-SEGMENT'!$FE$8:$FE$1000),""))</f>
        <v>9.7224401593024395E-2</v>
      </c>
      <c r="JH14" s="742">
        <f>IF($B14="","",IFERROR(SUMPRODUCT(('ANALYSE - ERP =&gt; SOUS-SEGMENT'!$B$8:$B$1000=$B14)*'ANALYSE - ERP =&gt; SOUS-SEGMENT'!$Q$8:$Q$1000*'ANALYSE - ERP =&gt; SOUS-SEGMENT'!$FE$8:$FE$1000*'ANALYSE - ERP =&gt; SOUS-SEGMENT'!$JH$8:$JH$1000)/SUMPRODUCT(('ANALYSE - ERP =&gt; SOUS-SEGMENT'!$B$8:$B$1000=$B14)*'ANALYSE - ERP =&gt; SOUS-SEGMENT'!$Q$8:$Q$1000*'ANALYSE - ERP =&gt; SOUS-SEGMENT'!$FE$8:$FE$1000),""))</f>
        <v>7.3520746595836127E-3</v>
      </c>
      <c r="JI14" s="742">
        <f>IF($B14="","",IFERROR(SUMPRODUCT(('ANALYSE - ERP =&gt; SOUS-SEGMENT'!$B$8:$B$1000=$B14)*'ANALYSE - ERP =&gt; SOUS-SEGMENT'!$Q$8:$Q$1000*'ANALYSE - ERP =&gt; SOUS-SEGMENT'!$BG$8:$BG$1000*'ANALYSE - ERP =&gt; SOUS-SEGMENT'!$JI$8:$JI$1000)/SUMPRODUCT(('ANALYSE - ERP =&gt; SOUS-SEGMENT'!$B$8:$B$1000=$B14)*'ANALYSE - ERP =&gt; SOUS-SEGMENT'!$Q$8:$Q$1000*'ANALYSE - ERP =&gt; SOUS-SEGMENT'!$BG$8:$BG$1000),""))</f>
        <v>0.15015709888880008</v>
      </c>
      <c r="JJ14" s="742">
        <f>IF($B14="","",IFERROR(SUMPRODUCT(('ANALYSE - ERP =&gt; SOUS-SEGMENT'!$B$8:$B$1000=$B14)*'ANALYSE - ERP =&gt; SOUS-SEGMENT'!$Q$8:$Q$1000*'ANALYSE - ERP =&gt; SOUS-SEGMENT'!$BG$8:$BG$1000*'ANALYSE - ERP =&gt; SOUS-SEGMENT'!$JJ$8:$JJ$1000)/SUMPRODUCT(('ANALYSE - ERP =&gt; SOUS-SEGMENT'!$B$8:$B$1000=$B14)*'ANALYSE - ERP =&gt; SOUS-SEGMENT'!$Q$8:$Q$1000*'ANALYSE - ERP =&gt; SOUS-SEGMENT'!$BG$8:$BG$1000),""))</f>
        <v>0.53976934873557714</v>
      </c>
      <c r="JK14" s="742">
        <f>IF($B14="","",IFERROR(SUMPRODUCT(('ANALYSE - ERP =&gt; SOUS-SEGMENT'!$B$8:$B$1000=$B14)*'ANALYSE - ERP =&gt; SOUS-SEGMENT'!$Q$8:$Q$1000*'ANALYSE - ERP =&gt; SOUS-SEGMENT'!$BG$8:$BG$1000*'ANALYSE - ERP =&gt; SOUS-SEGMENT'!$JK$8:$JK$1000)/SUMPRODUCT(('ANALYSE - ERP =&gt; SOUS-SEGMENT'!$B$8:$B$1000=$B14)*'ANALYSE - ERP =&gt; SOUS-SEGMENT'!$Q$8:$Q$1000*'ANALYSE - ERP =&gt; SOUS-SEGMENT'!$BG$8:$BG$1000),""))</f>
        <v>0.27042246515841928</v>
      </c>
      <c r="JL14" s="742">
        <f>IF($B14="","",IFERROR(SUMPRODUCT(('ANALYSE - ERP =&gt; SOUS-SEGMENT'!$B$8:$B$1000=$B14)*'ANALYSE - ERP =&gt; SOUS-SEGMENT'!$Q$8:$Q$1000*'ANALYSE - ERP =&gt; SOUS-SEGMENT'!$BG$8:$BG$1000*'ANALYSE - ERP =&gt; SOUS-SEGMENT'!$JL$8:$JL$1000)/SUMPRODUCT(('ANALYSE - ERP =&gt; SOUS-SEGMENT'!$B$8:$B$1000=$B14)*'ANALYSE - ERP =&gt; SOUS-SEGMENT'!$Q$8:$Q$1000*'ANALYSE - ERP =&gt; SOUS-SEGMENT'!$BG$8:$BG$1000),""))</f>
        <v>3.7149744184187386E-2</v>
      </c>
      <c r="JM14" s="742">
        <f>IF($B14="","",IFERROR(SUMPRODUCT(('ANALYSE - ERP =&gt; SOUS-SEGMENT'!$B$8:$B$1000=$B14)*'ANALYSE - ERP =&gt; SOUS-SEGMENT'!$Q$8:$Q$1000*'ANALYSE - ERP =&gt; SOUS-SEGMENT'!$BG$8:$BG$1000*'ANALYSE - ERP =&gt; SOUS-SEGMENT'!$JM$8:$JM$1000)/SUMPRODUCT(('ANALYSE - ERP =&gt; SOUS-SEGMENT'!$B$8:$B$1000=$B14)*'ANALYSE - ERP =&gt; SOUS-SEGMENT'!$Q$8:$Q$1000*'ANALYSE - ERP =&gt; SOUS-SEGMENT'!$BG$8:$BG$1000),""))</f>
        <v>2.5013430330162283E-3</v>
      </c>
      <c r="JN14" s="742">
        <f>IF($B14="","",IFERROR(SUMPRODUCT(('ANALYSE - ERP =&gt; SOUS-SEGMENT'!$B$8:$B$1000=$B14)*'ANALYSE - ERP =&gt; SOUS-SEGMENT'!$Q$8:$Q$1000*'ANALYSE - ERP =&gt; SOUS-SEGMENT'!$FH$8:$FH$1000*'ANALYSE - ERP =&gt; SOUS-SEGMENT'!$JN$8:$JN$1000)/SUMPRODUCT(('ANALYSE - ERP =&gt; SOUS-SEGMENT'!$B$8:$B$1000=$B14)*'ANALYSE - ERP =&gt; SOUS-SEGMENT'!$Q$8:$Q$1000*'ANALYSE - ERP =&gt; SOUS-SEGMENT'!$FH$8:$FH$1000),""))</f>
        <v>7.4375957670348047E-2</v>
      </c>
      <c r="JO14" s="742">
        <f>IF($B14="","",IFERROR(SUMPRODUCT(('ANALYSE - ERP =&gt; SOUS-SEGMENT'!$B$8:$B$1000=$B14)*'ANALYSE - ERP =&gt; SOUS-SEGMENT'!$Q$8:$Q$1000*'ANALYSE - ERP =&gt; SOUS-SEGMENT'!$FH$8:$FH$1000*'ANALYSE - ERP =&gt; SOUS-SEGMENT'!$JO$8:$JO$1000)/SUMPRODUCT(('ANALYSE - ERP =&gt; SOUS-SEGMENT'!$B$8:$B$1000=$B14)*'ANALYSE - ERP =&gt; SOUS-SEGMENT'!$Q$8:$Q$1000*'ANALYSE - ERP =&gt; SOUS-SEGMENT'!$FH$8:$FH$1000),""))</f>
        <v>0.48759327301842881</v>
      </c>
      <c r="JP14" s="742">
        <f>IF($B14="","",IFERROR(SUMPRODUCT(('ANALYSE - ERP =&gt; SOUS-SEGMENT'!$B$8:$B$1000=$B14)*'ANALYSE - ERP =&gt; SOUS-SEGMENT'!$Q$8:$Q$1000*'ANALYSE - ERP =&gt; SOUS-SEGMENT'!$FH$8:$FH$1000*'ANALYSE - ERP =&gt; SOUS-SEGMENT'!$JP$8:$JP$1000)/SUMPRODUCT(('ANALYSE - ERP =&gt; SOUS-SEGMENT'!$B$8:$B$1000=$B14)*'ANALYSE - ERP =&gt; SOUS-SEGMENT'!$Q$8:$Q$1000*'ANALYSE - ERP =&gt; SOUS-SEGMENT'!$FH$8:$FH$1000),""))</f>
        <v>0.37059038363487851</v>
      </c>
      <c r="JQ14" s="742">
        <f>IF($B14="","",IFERROR(SUMPRODUCT(('ANALYSE - ERP =&gt; SOUS-SEGMENT'!$B$8:$B$1000=$B14)*'ANALYSE - ERP =&gt; SOUS-SEGMENT'!$Q$8:$Q$1000*'ANALYSE - ERP =&gt; SOUS-SEGMENT'!$FH$8:$FH$1000*'ANALYSE - ERP =&gt; SOUS-SEGMENT'!$JQ$8:$JQ$1000)/SUMPRODUCT(('ANALYSE - ERP =&gt; SOUS-SEGMENT'!$B$8:$B$1000=$B14)*'ANALYSE - ERP =&gt; SOUS-SEGMENT'!$Q$8:$Q$1000*'ANALYSE - ERP =&gt; SOUS-SEGMENT'!$FH$8:$FH$1000),""))</f>
        <v>6.1880477295519147E-2</v>
      </c>
      <c r="JR14" s="742">
        <f>IF($B14="","",IFERROR(SUMPRODUCT(('ANALYSE - ERP =&gt; SOUS-SEGMENT'!$B$8:$B$1000=$B14)*'ANALYSE - ERP =&gt; SOUS-SEGMENT'!$Q$8:$Q$1000*'ANALYSE - ERP =&gt; SOUS-SEGMENT'!$FH$8:$FH$1000*'ANALYSE - ERP =&gt; SOUS-SEGMENT'!$JR$8:$JR$1000)/SUMPRODUCT(('ANALYSE - ERP =&gt; SOUS-SEGMENT'!$B$8:$B$1000=$B14)*'ANALYSE - ERP =&gt; SOUS-SEGMENT'!$Q$8:$Q$1000*'ANALYSE - ERP =&gt; SOUS-SEGMENT'!$FH$8:$FH$1000),""))</f>
        <v>5.5599083808253709E-3</v>
      </c>
      <c r="JS14" s="742">
        <f>IF($B14="","",IFERROR(SUMPRODUCT(('ANALYSE - ERP =&gt; SOUS-SEGMENT'!$B$8:$B$1000=$B14)*'ANALYSE - ERP =&gt; SOUS-SEGMENT'!$Q$8:$Q$1000*'ANALYSE - ERP =&gt; SOUS-SEGMENT'!$BH$8:$BH$1000*'ANALYSE - ERP =&gt; SOUS-SEGMENT'!$JS$8:$JS$1000)/SUMPRODUCT(('ANALYSE - ERP =&gt; SOUS-SEGMENT'!$B$8:$B$1000=$B14)*'ANALYSE - ERP =&gt; SOUS-SEGMENT'!$Q$8:$Q$1000*'ANALYSE - ERP =&gt; SOUS-SEGMENT'!$BH$8:$BH$1000),""))</f>
        <v>7.0925530541266629E-2</v>
      </c>
      <c r="JT14" s="742">
        <f>IF($B14="","",IFERROR(SUMPRODUCT(('ANALYSE - ERP =&gt; SOUS-SEGMENT'!$B$8:$B$1000=$B14)*'ANALYSE - ERP =&gt; SOUS-SEGMENT'!$Q$8:$Q$1000*'ANALYSE - ERP =&gt; SOUS-SEGMENT'!$BH$8:$BH$1000*'ANALYSE - ERP =&gt; SOUS-SEGMENT'!$JT$8:$JT$1000)/SUMPRODUCT(('ANALYSE - ERP =&gt; SOUS-SEGMENT'!$B$8:$B$1000=$B14)*'ANALYSE - ERP =&gt; SOUS-SEGMENT'!$Q$8:$Q$1000*'ANALYSE - ERP =&gt; SOUS-SEGMENT'!$BH$8:$BH$1000),""))</f>
        <v>0.4427404554636899</v>
      </c>
      <c r="JU14" s="742">
        <f>IF($B14="","",IFERROR(SUMPRODUCT(('ANALYSE - ERP =&gt; SOUS-SEGMENT'!$B$8:$B$1000=$B14)*'ANALYSE - ERP =&gt; SOUS-SEGMENT'!$Q$8:$Q$1000*'ANALYSE - ERP =&gt; SOUS-SEGMENT'!$BH$8:$BH$1000*'ANALYSE - ERP =&gt; SOUS-SEGMENT'!$JU$8:$JU$1000)/SUMPRODUCT(('ANALYSE - ERP =&gt; SOUS-SEGMENT'!$B$8:$B$1000=$B14)*'ANALYSE - ERP =&gt; SOUS-SEGMENT'!$Q$8:$Q$1000*'ANALYSE - ERP =&gt; SOUS-SEGMENT'!$BH$8:$BH$1000),""))</f>
        <v>0.39910751921194582</v>
      </c>
      <c r="JV14" s="742">
        <f>IF($B14="","",IFERROR(SUMPRODUCT(('ANALYSE - ERP =&gt; SOUS-SEGMENT'!$B$8:$B$1000=$B14)*'ANALYSE - ERP =&gt; SOUS-SEGMENT'!$Q$8:$Q$1000*'ANALYSE - ERP =&gt; SOUS-SEGMENT'!$BH$8:$BH$1000*'ANALYSE - ERP =&gt; SOUS-SEGMENT'!$JV$8:$JV$1000)/SUMPRODUCT(('ANALYSE - ERP =&gt; SOUS-SEGMENT'!$B$8:$B$1000=$B14)*'ANALYSE - ERP =&gt; SOUS-SEGMENT'!$Q$8:$Q$1000*'ANALYSE - ERP =&gt; SOUS-SEGMENT'!$BH$8:$BH$1000),""))</f>
        <v>8.0326051190203474E-2</v>
      </c>
      <c r="JW14" s="742">
        <f>IF($B14="","",IFERROR(SUMPRODUCT(('ANALYSE - ERP =&gt; SOUS-SEGMENT'!$B$8:$B$1000=$B14)*'ANALYSE - ERP =&gt; SOUS-SEGMENT'!$Q$8:$Q$1000*'ANALYSE - ERP =&gt; SOUS-SEGMENT'!$BH$8:$BH$1000*'ANALYSE - ERP =&gt; SOUS-SEGMENT'!$JW$8:$JW$1000)/SUMPRODUCT(('ANALYSE - ERP =&gt; SOUS-SEGMENT'!$B$8:$B$1000=$B14)*'ANALYSE - ERP =&gt; SOUS-SEGMENT'!$Q$8:$Q$1000*'ANALYSE - ERP =&gt; SOUS-SEGMENT'!$BH$8:$BH$1000),""))</f>
        <v>6.9004435928941834E-3</v>
      </c>
      <c r="JX14" s="742">
        <f>IF($B14="","",IFERROR(SUMPRODUCT(('ANALYSE - ERP =&gt; SOUS-SEGMENT'!$B$8:$B$1000=$B14)*'ANALYSE - ERP =&gt; SOUS-SEGMENT'!$Q$8:$Q$1000*'ANALYSE - ERP =&gt; SOUS-SEGMENT'!$FK$8:$FK$1000*'ANALYSE - ERP =&gt; SOUS-SEGMENT'!$JX$8:$JX$1000)/SUMPRODUCT(('ANALYSE - ERP =&gt; SOUS-SEGMENT'!$B$8:$B$1000=$B14)*'ANALYSE - ERP =&gt; SOUS-SEGMENT'!$Q$8:$Q$1000*'ANALYSE - ERP =&gt; SOUS-SEGMENT'!$FK$8:$FK$1000),""))</f>
        <v>3.0230351207841438E-2</v>
      </c>
      <c r="JY14" s="742">
        <f>IF($B14="","",IFERROR(SUMPRODUCT(('ANALYSE - ERP =&gt; SOUS-SEGMENT'!$B$8:$B$1000=$B14)*'ANALYSE - ERP =&gt; SOUS-SEGMENT'!$Q$8:$Q$1000*'ANALYSE - ERP =&gt; SOUS-SEGMENT'!$FK$8:$FK$1000*'ANALYSE - ERP =&gt; SOUS-SEGMENT'!$JY$8:$JY$1000)/SUMPRODUCT(('ANALYSE - ERP =&gt; SOUS-SEGMENT'!$B$8:$B$1000=$B14)*'ANALYSE - ERP =&gt; SOUS-SEGMENT'!$Q$8:$Q$1000*'ANALYSE - ERP =&gt; SOUS-SEGMENT'!$FK$8:$FK$1000),""))</f>
        <v>0.35387434257364309</v>
      </c>
      <c r="JZ14" s="742">
        <f>IF($B14="","",IFERROR(SUMPRODUCT(('ANALYSE - ERP =&gt; SOUS-SEGMENT'!$B$8:$B$1000=$B14)*'ANALYSE - ERP =&gt; SOUS-SEGMENT'!$Q$8:$Q$1000*'ANALYSE - ERP =&gt; SOUS-SEGMENT'!$FK$8:$FK$1000*'ANALYSE - ERP =&gt; SOUS-SEGMENT'!$JZ$8:$JZ$1000)/SUMPRODUCT(('ANALYSE - ERP =&gt; SOUS-SEGMENT'!$B$8:$B$1000=$B14)*'ANALYSE - ERP =&gt; SOUS-SEGMENT'!$Q$8:$Q$1000*'ANALYSE - ERP =&gt; SOUS-SEGMENT'!$FK$8:$FK$1000),""))</f>
        <v>0.48725247037536235</v>
      </c>
      <c r="KA14" s="742">
        <f>IF($B14="","",IFERROR(SUMPRODUCT(('ANALYSE - ERP =&gt; SOUS-SEGMENT'!$B$8:$B$1000=$B14)*'ANALYSE - ERP =&gt; SOUS-SEGMENT'!$Q$8:$Q$1000*'ANALYSE - ERP =&gt; SOUS-SEGMENT'!$FK$8:$FK$1000*'ANALYSE - ERP =&gt; SOUS-SEGMENT'!$KA$8:$KA$1000)/SUMPRODUCT(('ANALYSE - ERP =&gt; SOUS-SEGMENT'!$B$8:$B$1000=$B14)*'ANALYSE - ERP =&gt; SOUS-SEGMENT'!$Q$8:$Q$1000*'ANALYSE - ERP =&gt; SOUS-SEGMENT'!$FK$8:$FK$1000),""))</f>
        <v>0.11811469590730125</v>
      </c>
      <c r="KB14" s="742">
        <f>IF($B14="","",IFERROR(SUMPRODUCT(('ANALYSE - ERP =&gt; SOUS-SEGMENT'!$B$8:$B$1000=$B14)*'ANALYSE - ERP =&gt; SOUS-SEGMENT'!$Q$8:$Q$1000*'ANALYSE - ERP =&gt; SOUS-SEGMENT'!$FK$8:$FK$1000*'ANALYSE - ERP =&gt; SOUS-SEGMENT'!$KB$8:$KB$1000)/SUMPRODUCT(('ANALYSE - ERP =&gt; SOUS-SEGMENT'!$B$8:$B$1000=$B14)*'ANALYSE - ERP =&gt; SOUS-SEGMENT'!$Q$8:$Q$1000*'ANALYSE - ERP =&gt; SOUS-SEGMENT'!$FK$8:$FK$1000),""))</f>
        <v>1.0528139935851956E-2</v>
      </c>
      <c r="KC14" s="657"/>
      <c r="KD14" s="924" t="s">
        <v>6569</v>
      </c>
      <c r="KE14" s="924" t="s">
        <v>6569</v>
      </c>
      <c r="KF14" s="869">
        <f>IF($B14="","",IFERROR(SUMPRODUCT(('ANALYSE - ERP =&gt; SOUS-SEGMENT'!$B$8:$B$1000=$B14)*'ANALYSE - ERP =&gt; SOUS-SEGMENT'!$Q$8:$Q$1000*'ANALYSE - ERP =&gt; SOUS-SEGMENT'!$IE$8:$IE$1000*'ANALYSE - ERP =&gt; SOUS-SEGMENT'!$KF$8:$KF$1000)/SUMPRODUCT(('ANALYSE - ERP =&gt; SOUS-SEGMENT'!$B$8:$B$1000=$B14)*'ANALYSE - ERP =&gt; SOUS-SEGMENT'!$Q$8:$Q$1000*'ANALYSE - ERP =&gt; SOUS-SEGMENT'!$IE$8:$IE$1000),""))</f>
        <v>3.6925481301367462</v>
      </c>
      <c r="KG14" s="924" t="s">
        <v>6570</v>
      </c>
      <c r="KH14" s="924" t="s">
        <v>6571</v>
      </c>
      <c r="KI14" s="924" t="s">
        <v>6572</v>
      </c>
      <c r="KJ14" s="924" t="s">
        <v>6573</v>
      </c>
    </row>
    <row r="15" spans="1:327" ht="120" customHeight="1">
      <c r="A15" s="951">
        <f>IF($B15="","",ROWS($A$8:A15))</f>
        <v>8</v>
      </c>
      <c r="B15" s="952" t="s">
        <v>4306</v>
      </c>
      <c r="C15" s="952" t="s">
        <v>6574</v>
      </c>
      <c r="D15" s="952" t="s">
        <v>5974</v>
      </c>
      <c r="E15" s="646" t="s">
        <v>5975</v>
      </c>
      <c r="F15" s="646" t="s">
        <v>2631</v>
      </c>
      <c r="G15" s="646" t="s">
        <v>2121</v>
      </c>
      <c r="H15" s="646" t="s">
        <v>2109</v>
      </c>
      <c r="I15" s="646" t="s">
        <v>5976</v>
      </c>
      <c r="J15" s="646" t="s">
        <v>5977</v>
      </c>
      <c r="K15" s="646" t="s">
        <v>5978</v>
      </c>
      <c r="L15" s="646" t="s">
        <v>2109</v>
      </c>
      <c r="M15" s="646" t="s">
        <v>3168</v>
      </c>
      <c r="N15" s="646" t="s">
        <v>3169</v>
      </c>
      <c r="O15" s="646" t="s">
        <v>5979</v>
      </c>
      <c r="P15" s="646"/>
      <c r="Q15" s="270">
        <f>IF($B15="","",IF(SUMIFS('ANALYSE - ERP =&gt; SOUS-SEGMENT'!$Q$8:$Q$1000,'ANALYSE - ERP =&gt; SOUS-SEGMENT'!$B$8:$B$1000,$B15)&gt;0,1,0))</f>
        <v>1</v>
      </c>
      <c r="R15" s="278">
        <f>IF($B15="","",IFERROR(SUMPRODUCT(('ANALYSE - ERP =&gt; SOUS-SEGMENT'!$B$8:$B$1000=$B15)*'ANALYSE - ERP =&gt; SOUS-SEGMENT'!$Q$8:$Q$1000*'ANALYSE - ERP =&gt; SOUS-SEGMENT'!$AF$8:$AF$1000*'ANALYSE - ERP =&gt; SOUS-SEGMENT'!$R$8:$R$1000)/SUMPRODUCT(('ANALYSE - ERP =&gt; SOUS-SEGMENT'!$B$8:$B$1000=$B15)*'ANALYSE - ERP =&gt; SOUS-SEGMENT'!$Q$8:$Q$1000*'ANALYSE - ERP =&gt; SOUS-SEGMENT'!$AF$8:$AF$1000),""))</f>
        <v>1765.4586981347545</v>
      </c>
      <c r="S15" s="279">
        <f>IF($B15="","",SUMPRODUCT(('ANALYSE - ERP =&gt; SOUS-SEGMENT'!$B$8:$B$1000=$B15)*'ANALYSE - ERP =&gt; SOUS-SEGMENT'!$Q$8:$Q$1000*'ANALYSE - ERP =&gt; SOUS-SEGMENT'!$S$8:$S$1000))</f>
        <v>6820</v>
      </c>
      <c r="T15" s="279">
        <f>IF($B15="","",SUMPRODUCT(('ANALYSE - ERP =&gt; SOUS-SEGMENT'!$B$8:$B$1000=$B15)*'ANALYSE - ERP =&gt; SOUS-SEGMENT'!$Q$8:$Q$1000*'ANALYSE - ERP =&gt; SOUS-SEGMENT'!$T$8:$T$1000))</f>
        <v>7820</v>
      </c>
      <c r="U15" s="279">
        <f>IF($B15="","",SUMPRODUCT(('ANALYSE - ERP =&gt; SOUS-SEGMENT'!$B$8:$B$1000=$B15)*'ANALYSE - ERP =&gt; SOUS-SEGMENT'!$Q$8:$Q$1000*'ANALYSE - ERP =&gt; SOUS-SEGMENT'!$U$8:$U$1000))</f>
        <v>9150</v>
      </c>
      <c r="V15" s="279">
        <f>IF($B15="","",SUMPRODUCT(('ANALYSE - ERP =&gt; SOUS-SEGMENT'!$B$8:$B$1000=$B15)*'ANALYSE - ERP =&gt; SOUS-SEGMENT'!$Q$8:$Q$1000*'ANALYSE - ERP =&gt; SOUS-SEGMENT'!$V$8:$V$1000))</f>
        <v>10555</v>
      </c>
      <c r="W15" s="279">
        <f>IF($B15="","",SUMPRODUCT(('ANALYSE - ERP =&gt; SOUS-SEGMENT'!$B$8:$B$1000=$B15)*'ANALYSE - ERP =&gt; SOUS-SEGMENT'!$Q$8:$Q$1000*'ANALYSE - ERP =&gt; SOUS-SEGMENT'!$W$8:$W$1000))</f>
        <v>10865</v>
      </c>
      <c r="X15" s="279">
        <f>IF($B15="","",SUMPRODUCT(('ANALYSE - ERP =&gt; SOUS-SEGMENT'!$B$8:$B$1000=$B15)*'ANALYSE - ERP =&gt; SOUS-SEGMENT'!$Q$8:$Q$1000*'ANALYSE - ERP =&gt; SOUS-SEGMENT'!$X$8:$X$1000))</f>
        <v>11202</v>
      </c>
      <c r="Y15" s="279">
        <f>IF($B15="","",SUMPRODUCT(('ANALYSE - ERP =&gt; SOUS-SEGMENT'!$B$8:$B$1000=$B15)*'ANALYSE - ERP =&gt; SOUS-SEGMENT'!$Q$8:$Q$1000*'ANALYSE - ERP =&gt; SOUS-SEGMENT'!$Y$8:$Y$1000))</f>
        <v>11565</v>
      </c>
      <c r="Z15" s="279">
        <f>IF($B15="","",SUMPRODUCT(('ANALYSE - ERP =&gt; SOUS-SEGMENT'!$B$8:$B$1000=$B15)*'ANALYSE - ERP =&gt; SOUS-SEGMENT'!$Q$8:$Q$1000*'ANALYSE - ERP =&gt; SOUS-SEGMENT'!$Z$8:$Z$1000))</f>
        <v>11917</v>
      </c>
      <c r="AA15" s="279">
        <f>IF($B15="","",SUMPRODUCT(('ANALYSE - ERP =&gt; SOUS-SEGMENT'!$B$8:$B$1000=$B15)*'ANALYSE - ERP =&gt; SOUS-SEGMENT'!$Q$8:$Q$1000*'ANALYSE - ERP =&gt; SOUS-SEGMENT'!$AA$8:$AA$1000))</f>
        <v>12198</v>
      </c>
      <c r="AB15" s="279">
        <f>IF($B15="","",SUMPRODUCT(('ANALYSE - ERP =&gt; SOUS-SEGMENT'!$B$8:$B$1000=$B15)*'ANALYSE - ERP =&gt; SOUS-SEGMENT'!$Q$8:$Q$1000*'ANALYSE - ERP =&gt; SOUS-SEGMENT'!$AB$8:$AB$1000))</f>
        <v>12235</v>
      </c>
      <c r="AC15" s="279">
        <f>IF($B15="","",SUMPRODUCT(('ANALYSE - ERP =&gt; SOUS-SEGMENT'!$B$8:$B$1000=$B15)*'ANALYSE - ERP =&gt; SOUS-SEGMENT'!$Q$8:$Q$1000*'ANALYSE - ERP =&gt; SOUS-SEGMENT'!$AC$8:$AC$1000))</f>
        <v>12487</v>
      </c>
      <c r="AD15" s="279">
        <f>IF($B15="","",SUMPRODUCT(('ANALYSE - ERP =&gt; SOUS-SEGMENT'!$B$8:$B$1000=$B15)*'ANALYSE - ERP =&gt; SOUS-SEGMENT'!$Q$8:$Q$1000*'ANALYSE - ERP =&gt; SOUS-SEGMENT'!$AD$8:$AD$1000))</f>
        <v>12700</v>
      </c>
      <c r="AE15" s="279">
        <f>IF($B15="","",SUMPRODUCT(('ANALYSE - ERP =&gt; SOUS-SEGMENT'!$B$8:$B$1000=$B15)*'ANALYSE - ERP =&gt; SOUS-SEGMENT'!$Q$8:$Q$1000*'ANALYSE - ERP =&gt; SOUS-SEGMENT'!$AE$8:$AE$1000))</f>
        <v>12928</v>
      </c>
      <c r="AF15" s="279">
        <f>IF($B15="","",SUMPRODUCT(('ANALYSE - ERP =&gt; SOUS-SEGMENT'!$B$8:$B$1000=$B15)*'ANALYSE - ERP =&gt; SOUS-SEGMENT'!$Q$8:$Q$1000*'ANALYSE - ERP =&gt; SOUS-SEGMENT'!$AF$8:$AF$1000))</f>
        <v>13135</v>
      </c>
      <c r="AG15" s="279">
        <f>IF($B15="","",SUMPRODUCT(('ANALYSE - ERP =&gt; SOUS-SEGMENT'!$B$8:$B$1000=$B15)*'ANALYSE - ERP =&gt; SOUS-SEGMENT'!$Q$8:$Q$1000*'ANALYSE - ERP =&gt; SOUS-SEGMENT'!$AG$8:$AG$1000))</f>
        <v>13297</v>
      </c>
      <c r="AH15" s="279">
        <f>IF($B15="","",SUMPRODUCT(('ANALYSE - ERP =&gt; SOUS-SEGMENT'!$B$8:$B$1000=$B15)*'ANALYSE - ERP =&gt; SOUS-SEGMENT'!$Q$8:$Q$1000*'ANALYSE - ERP =&gt; SOUS-SEGMENT'!$AH$8:$AH$1000))</f>
        <v>13444</v>
      </c>
      <c r="AI15" s="279">
        <f>IF($B15="","",SUMPRODUCT(('ANALYSE - ERP =&gt; SOUS-SEGMENT'!$B$8:$B$1000=$B15)*'ANALYSE - ERP =&gt; SOUS-SEGMENT'!$Q$8:$Q$1000*'ANALYSE - ERP =&gt; SOUS-SEGMENT'!$AI$8:$AI$1000))</f>
        <v>13576</v>
      </c>
      <c r="AJ15" s="279">
        <f>IF($B15="","",SUMPRODUCT(('ANALYSE - ERP =&gt; SOUS-SEGMENT'!$B$8:$B$1000=$B15)*'ANALYSE - ERP =&gt; SOUS-SEGMENT'!$Q$8:$Q$1000*'ANALYSE - ERP =&gt; SOUS-SEGMENT'!$AJ$8:$AJ$1000))</f>
        <v>13703</v>
      </c>
      <c r="AK15" s="279">
        <f>IF($B15="","",SUMPRODUCT(('ANALYSE - ERP =&gt; SOUS-SEGMENT'!$B$8:$B$1000=$B15)*'ANALYSE - ERP =&gt; SOUS-SEGMENT'!$Q$8:$Q$1000*'ANALYSE - ERP =&gt; SOUS-SEGMENT'!$AK$8:$AK$1000))</f>
        <v>13820</v>
      </c>
      <c r="AL15" s="646" t="s">
        <v>5980</v>
      </c>
      <c r="AM15" s="646" t="s">
        <v>5981</v>
      </c>
      <c r="AN15" s="646" t="s">
        <v>5982</v>
      </c>
      <c r="AO15" s="657"/>
      <c r="AP15" s="278">
        <f>IF($B15="","",IFERROR(SUMPRODUCT(('ANALYSE - ERP =&gt; SOUS-SEGMENT'!$B$8:$B$1000=$B15)*'ANALYSE - ERP =&gt; SOUS-SEGMENT'!$Q$8:$Q$1000*'ANALYSE - ERP =&gt; SOUS-SEGMENT'!$AF$8:$AF$1000*'ANALYSE - ERP =&gt; SOUS-SEGMENT'!$AP$8:$AP$1000)/SUMPRODUCT(('ANALYSE - ERP =&gt; SOUS-SEGMENT'!$B$8:$B$1000=$B15)*'ANALYSE - ERP =&gt; SOUS-SEGMENT'!$Q$8:$Q$1000*'ANALYSE - ERP =&gt; SOUS-SEGMENT'!$AF$8:$AF$1000),""))</f>
        <v>85.98781880472022</v>
      </c>
      <c r="AQ15" s="278">
        <f>IF($B15="","",IFERROR(SUMPRODUCT(('ANALYSE - ERP =&gt; SOUS-SEGMENT'!$B$8:$B$1000=$B15)*'ANALYSE - ERP =&gt; SOUS-SEGMENT'!$Q$8:$Q$1000*'ANALYSE - ERP =&gt; SOUS-SEGMENT'!$AF$8:$AF$1000*'ANALYSE - ERP =&gt; SOUS-SEGMENT'!$AQ$8:$AQ$1000)/SUMPRODUCT(('ANALYSE - ERP =&gt; SOUS-SEGMENT'!$B$8:$B$1000=$B15)*'ANALYSE - ERP =&gt; SOUS-SEGMENT'!$Q$8:$Q$1000*'ANALYSE - ERP =&gt; SOUS-SEGMENT'!$AF$8:$AF$1000),""))</f>
        <v>75.58736200989722</v>
      </c>
      <c r="AR15" s="278">
        <f>IF($B15="","",IFERROR(SUMPRODUCT(('ANALYSE - ERP =&gt; SOUS-SEGMENT'!$B$8:$B$1000=$B15)*'ANALYSE - ERP =&gt; SOUS-SEGMENT'!$Q$8:$Q$1000*'ANALYSE - ERP =&gt; SOUS-SEGMENT'!$AF$8:$AF$1000*'ANALYSE - ERP =&gt; SOUS-SEGMENT'!$AR$8:$AR$1000)/SUMPRODUCT(('ANALYSE - ERP =&gt; SOUS-SEGMENT'!$B$8:$B$1000=$B15)*'ANALYSE - ERP =&gt; SOUS-SEGMENT'!$Q$8:$Q$1000*'ANALYSE - ERP =&gt; SOUS-SEGMENT'!$AF$8:$AF$1000),""))</f>
        <v>8.1339931480776553</v>
      </c>
      <c r="AS15" s="278">
        <f>IF($B15="","",IFERROR(SUMPRODUCT(('ANALYSE - ERP =&gt; SOUS-SEGMENT'!$B$8:$B$1000=$B15)*'ANALYSE - ERP =&gt; SOUS-SEGMENT'!$Q$8:$Q$1000*'ANALYSE - ERP =&gt; SOUS-SEGMENT'!$AF$8:$AF$1000*'ANALYSE - ERP =&gt; SOUS-SEGMENT'!$AS$8:$AS$1000)/SUMPRODUCT(('ANALYSE - ERP =&gt; SOUS-SEGMENT'!$B$8:$B$1000=$B15)*'ANALYSE - ERP =&gt; SOUS-SEGMENT'!$Q$8:$Q$1000*'ANALYSE - ERP =&gt; SOUS-SEGMENT'!$AF$8:$AF$1000),""))</f>
        <v>2.2664636467453367</v>
      </c>
      <c r="AT15" s="657"/>
      <c r="AU15" s="646" t="s">
        <v>5983</v>
      </c>
      <c r="AV15" s="646" t="s">
        <v>5984</v>
      </c>
      <c r="AW15" s="646" t="s">
        <v>5985</v>
      </c>
      <c r="AX15" s="646" t="s">
        <v>2670</v>
      </c>
      <c r="AY15" s="657"/>
      <c r="AZ15" s="947">
        <f>IF($B15="","",IFERROR(SUMPRODUCT(('ANALYSE - ERP =&gt; SOUS-SEGMENT'!$B$8:$B$1000=$B15)*'ANALYSE - ERP =&gt; SOUS-SEGMENT'!$Q$8:$Q$1000*'ANALYSE - ERP =&gt; SOUS-SEGMENT'!$AF$8:$AF$1000*'ANALYSE - ERP =&gt; SOUS-SEGMENT'!$AZ$8:$AZ$1000)/SUMPRODUCT(('ANALYSE - ERP =&gt; SOUS-SEGMENT'!$B$8:$B$1000=$B15)*'ANALYSE - ERP =&gt; SOUS-SEGMENT'!$Q$8:$Q$1000*'ANALYSE - ERP =&gt; SOUS-SEGMENT'!$AF$8:$AF$1000),""))</f>
        <v>7.8922725542443857</v>
      </c>
      <c r="BA15" s="947">
        <f>IF($B15="","",IFERROR(SUMPRODUCT(('ANALYSE - ERP =&gt; SOUS-SEGMENT'!$B$8:$B$1000=$B15)*'ANALYSE - ERP =&gt; SOUS-SEGMENT'!$Q$8:$Q$1000*'ANALYSE - ERP =&gt; SOUS-SEGMENT'!$AF$8:$AF$1000*'ANALYSE - ERP =&gt; SOUS-SEGMENT'!$BA$8:$BA$1000)/SUMPRODUCT(('ANALYSE - ERP =&gt; SOUS-SEGMENT'!$B$8:$B$1000=$B15)*'ANALYSE - ERP =&gt; SOUS-SEGMENT'!$Q$8:$Q$1000*'ANALYSE - ERP =&gt; SOUS-SEGMENT'!$AF$8:$AF$1000),""))</f>
        <v>6.5588123334602209</v>
      </c>
      <c r="BB15" s="947">
        <f>IF($B15="","",IFERROR(SUMPRODUCT(('ANALYSE - ERP =&gt; SOUS-SEGMENT'!$B$8:$B$1000=$B15)*'ANALYSE - ERP =&gt; SOUS-SEGMENT'!$Q$8:$Q$1000*'ANALYSE - ERP =&gt; SOUS-SEGMENT'!$AF$8:$AF$1000*'ANALYSE - ERP =&gt; SOUS-SEGMENT'!$BB$8:$BB$1000)/SUMPRODUCT(('ANALYSE - ERP =&gt; SOUS-SEGMENT'!$B$8:$B$1000=$B15)*'ANALYSE - ERP =&gt; SOUS-SEGMENT'!$Q$8:$Q$1000*'ANALYSE - ERP =&gt; SOUS-SEGMENT'!$AF$8:$AF$1000),""))</f>
        <v>1.0519223448800914</v>
      </c>
      <c r="BC15" s="947">
        <f>IF($B15="","",IFERROR(SUMPRODUCT(('ANALYSE - ERP =&gt; SOUS-SEGMENT'!$B$8:$B$1000=$B15)*'ANALYSE - ERP =&gt; SOUS-SEGMENT'!$Q$8:$Q$1000*'ANALYSE - ERP =&gt; SOUS-SEGMENT'!$AF$8:$AF$1000*'ANALYSE - ERP =&gt; SOUS-SEGMENT'!$BC$8:$BC$1000)/SUMPRODUCT(('ANALYSE - ERP =&gt; SOUS-SEGMENT'!$B$8:$B$1000=$B15)*'ANALYSE - ERP =&gt; SOUS-SEGMENT'!$Q$8:$Q$1000*'ANALYSE - ERP =&gt; SOUS-SEGMENT'!$AF$8:$AF$1000),""))</f>
        <v>7.6471259992386749</v>
      </c>
      <c r="BD15" s="826">
        <f t="shared" si="1"/>
        <v>304077</v>
      </c>
      <c r="BE15" s="283">
        <f>IF($B15="","",SUMPRODUCT(('ANALYSE - ERP =&gt; SOUS-SEGMENT'!$B$8:$B$1000=$B15)*'ANALYSE - ERP =&gt; SOUS-SEGMENT'!$Q$8:$Q$1000*'ANALYSE - ERP =&gt; SOUS-SEGMENT'!$BE$8:$BE$1000))</f>
        <v>103665</v>
      </c>
      <c r="BF15" s="283">
        <f>IF($B15="","",SUMPRODUCT(('ANALYSE - ERP =&gt; SOUS-SEGMENT'!$B$8:$B$1000=$B15)*'ANALYSE - ERP =&gt; SOUS-SEGMENT'!$Q$8:$Q$1000*'ANALYSE - ERP =&gt; SOUS-SEGMENT'!$BF$8:$BF$1000))</f>
        <v>86150</v>
      </c>
      <c r="BG15" s="283">
        <f>IF($B15="","",SUMPRODUCT(('ANALYSE - ERP =&gt; SOUS-SEGMENT'!$B$8:$B$1000=$B15)*'ANALYSE - ERP =&gt; SOUS-SEGMENT'!$Q$8:$Q$1000*'ANALYSE - ERP =&gt; SOUS-SEGMENT'!$BG$8:$BG$1000))</f>
        <v>13817</v>
      </c>
      <c r="BH15" s="283">
        <f>IF($B15="","",SUMPRODUCT(('ANALYSE - ERP =&gt; SOUS-SEGMENT'!$B$8:$B$1000=$B15)*'ANALYSE - ERP =&gt; SOUS-SEGMENT'!$Q$8:$Q$1000*'ANALYSE - ERP =&gt; SOUS-SEGMENT'!$BH$8:$BH$1000))</f>
        <v>100445</v>
      </c>
      <c r="BI15" s="826">
        <f t="shared" si="2"/>
        <v>319815</v>
      </c>
      <c r="BJ15" s="283">
        <f>IF($B15="","",SUMPRODUCT(('ANALYSE - ERP =&gt; SOUS-SEGMENT'!$B$8:$B$1000=$B15)*'ANALYSE - ERP =&gt; SOUS-SEGMENT'!$Q$8:$Q$1000*'ANALYSE - ERP =&gt; SOUS-SEGMENT'!$BJ$8:$BJ$1000))</f>
        <v>109060</v>
      </c>
      <c r="BK15" s="283">
        <f>IF($B15="","",SUMPRODUCT(('ANALYSE - ERP =&gt; SOUS-SEGMENT'!$B$8:$B$1000=$B15)*'ANALYSE - ERP =&gt; SOUS-SEGMENT'!$Q$8:$Q$1000*'ANALYSE - ERP =&gt; SOUS-SEGMENT'!$BK$8:$BK$1000))</f>
        <v>90570</v>
      </c>
      <c r="BL15" s="283">
        <f>IF($B15="","",SUMPRODUCT(('ANALYSE - ERP =&gt; SOUS-SEGMENT'!$B$8:$B$1000=$B15)*'ANALYSE - ERP =&gt; SOUS-SEGMENT'!$Q$8:$Q$1000*'ANALYSE - ERP =&gt; SOUS-SEGMENT'!$BL$8:$BL$1000))</f>
        <v>14535</v>
      </c>
      <c r="BM15" s="283">
        <f>IF($B15="","",SUMPRODUCT(('ANALYSE - ERP =&gt; SOUS-SEGMENT'!$B$8:$B$1000=$B15)*'ANALYSE - ERP =&gt; SOUS-SEGMENT'!$Q$8:$Q$1000*'ANALYSE - ERP =&gt; SOUS-SEGMENT'!$BM$8:$BM$1000))</f>
        <v>105650</v>
      </c>
      <c r="BN15" s="657"/>
      <c r="BO15" s="305">
        <f t="shared" si="3"/>
        <v>0.37999999999999995</v>
      </c>
      <c r="BP15" s="305">
        <f t="shared" si="4"/>
        <v>0.42000000000000004</v>
      </c>
      <c r="BQ15" s="305">
        <f t="shared" si="5"/>
        <v>0.12</v>
      </c>
      <c r="BR15" s="581">
        <f t="shared" si="6"/>
        <v>0.08</v>
      </c>
      <c r="BS15" s="706">
        <f t="shared" si="7"/>
        <v>0.34</v>
      </c>
      <c r="BT15" s="305">
        <f t="shared" si="8"/>
        <v>0.42999999999999994</v>
      </c>
      <c r="BU15" s="305">
        <f t="shared" si="9"/>
        <v>0.15999999999999998</v>
      </c>
      <c r="BV15" s="581">
        <f t="shared" si="10"/>
        <v>7.0000000000000007E-2</v>
      </c>
      <c r="BW15" s="713">
        <f t="shared" si="11"/>
        <v>0.65</v>
      </c>
      <c r="BX15" s="306">
        <f t="shared" si="12"/>
        <v>0.28000000000000003</v>
      </c>
      <c r="BY15" s="590">
        <f t="shared" si="13"/>
        <v>7.0000000000000007E-2</v>
      </c>
      <c r="BZ15" s="713">
        <f t="shared" si="14"/>
        <v>0.6</v>
      </c>
      <c r="CA15" s="306">
        <f t="shared" si="15"/>
        <v>0.30999999999999994</v>
      </c>
      <c r="CB15" s="590">
        <f t="shared" si="16"/>
        <v>0.09</v>
      </c>
      <c r="CC15" s="706">
        <f t="shared" si="17"/>
        <v>0.12000000000000001</v>
      </c>
      <c r="CD15" s="305">
        <f t="shared" si="18"/>
        <v>0.51999999999999991</v>
      </c>
      <c r="CE15" s="305">
        <f t="shared" si="19"/>
        <v>0.12000000000000001</v>
      </c>
      <c r="CF15" s="581">
        <f t="shared" si="20"/>
        <v>0.24000000000000002</v>
      </c>
      <c r="CG15" s="706">
        <f t="shared" si="21"/>
        <v>0.1</v>
      </c>
      <c r="CH15" s="305">
        <f t="shared" si="22"/>
        <v>0.52</v>
      </c>
      <c r="CI15" s="305">
        <f t="shared" si="23"/>
        <v>0.15</v>
      </c>
      <c r="CJ15" s="581">
        <f t="shared" si="24"/>
        <v>0.23</v>
      </c>
      <c r="CK15" s="719">
        <f t="shared" si="25"/>
        <v>0.55000000000000004</v>
      </c>
      <c r="CL15" s="307">
        <f t="shared" si="26"/>
        <v>0.35</v>
      </c>
      <c r="CM15" s="723">
        <f t="shared" si="27"/>
        <v>0.1</v>
      </c>
      <c r="CN15" s="719">
        <f t="shared" si="28"/>
        <v>0.45</v>
      </c>
      <c r="CO15" s="307">
        <f t="shared" si="29"/>
        <v>0.4</v>
      </c>
      <c r="CP15" s="723">
        <f t="shared" si="30"/>
        <v>0.15</v>
      </c>
      <c r="CQ15" s="657"/>
      <c r="CR15" s="804">
        <f>IF($B15="","",IFERROR(SUMPRODUCT(('ANALYSE - ERP =&gt; SOUS-SEGMENT'!$B$8:$B$1000=$B15)*'ANALYSE - ERP =&gt; SOUS-SEGMENT'!$Q$8:$Q$1000*'ANALYSE - ERP =&gt; SOUS-SEGMENT'!$DH$8:$DH$1000*'ANALYSE - ERP =&gt; SOUS-SEGMENT'!$CR$8:$CR$1000)/SUMPRODUCT(('ANALYSE - ERP =&gt; SOUS-SEGMENT'!$B$8:$B$1000=$B15)*'ANALYSE - ERP =&gt; SOUS-SEGMENT'!$Q$8:$Q$1000*'ANALYSE - ERP =&gt; SOUS-SEGMENT'!$DH$8:$DH$1000),""))</f>
        <v>12.000000000000002</v>
      </c>
      <c r="CS15" s="805">
        <f>IF($B15="","",IFERROR(SUMPRODUCT(('ANALYSE - ERP =&gt; SOUS-SEGMENT'!$B$8:$B$1000=$B15)*'ANALYSE - ERP =&gt; SOUS-SEGMENT'!$Q$8:$Q$1000*'ANALYSE - ERP =&gt; SOUS-SEGMENT'!$DI$8:$DI$1000*'ANALYSE - ERP =&gt; SOUS-SEGMENT'!$CS$8:$CS$1000)/SUMPRODUCT(('ANALYSE - ERP =&gt; SOUS-SEGMENT'!$B$8:$B$1000=$B15)*'ANALYSE - ERP =&gt; SOUS-SEGMENT'!$Q$8:$Q$1000*'ANALYSE - ERP =&gt; SOUS-SEGMENT'!$DI$8:$DI$1000),""))</f>
        <v>12.999999999999996</v>
      </c>
      <c r="CT15" s="805">
        <f>IF($B15="","",IFERROR(SUMPRODUCT(('ANALYSE - ERP =&gt; SOUS-SEGMENT'!$B$8:$B$1000=$B15)*'ANALYSE - ERP =&gt; SOUS-SEGMENT'!$Q$8:$Q$1000*'ANALYSE - ERP =&gt; SOUS-SEGMENT'!$DJ$8:$DJ$1000*'ANALYSE - ERP =&gt; SOUS-SEGMENT'!$CT$8:$CT$1000)/SUMPRODUCT(('ANALYSE - ERP =&gt; SOUS-SEGMENT'!$B$8:$B$1000=$B15)*'ANALYSE - ERP =&gt; SOUS-SEGMENT'!$Q$8:$Q$1000*'ANALYSE - ERP =&gt; SOUS-SEGMENT'!$DJ$8:$DJ$1000),""))</f>
        <v>9</v>
      </c>
      <c r="CU15" s="806">
        <f>IF($B15="","",IFERROR(SUMPRODUCT(('ANALYSE - ERP =&gt; SOUS-SEGMENT'!$B$8:$B$1000=$B15)*'ANALYSE - ERP =&gt; SOUS-SEGMENT'!$Q$8:$Q$1000*'ANALYSE - ERP =&gt; SOUS-SEGMENT'!$DK$8:$DK$1000*'ANALYSE - ERP =&gt; SOUS-SEGMENT'!$CU$8:$CU$1000)/SUMPRODUCT(('ANALYSE - ERP =&gt; SOUS-SEGMENT'!$B$8:$B$1000=$B15)*'ANALYSE - ERP =&gt; SOUS-SEGMENT'!$Q$8:$Q$1000*'ANALYSE - ERP =&gt; SOUS-SEGMENT'!$DK$8:$DK$1000),""))</f>
        <v>11</v>
      </c>
      <c r="CV15" s="804">
        <f>IF($B15="","",IFERROR(SUMPRODUCT(('ANALYSE - ERP =&gt; SOUS-SEGMENT'!$B$8:$B$1000=$B15)*'ANALYSE - ERP =&gt; SOUS-SEGMENT'!$Q$8:$Q$1000*'ANALYSE - ERP =&gt; SOUS-SEGMENT'!$DS$8:$DS$1000*'ANALYSE - ERP =&gt; SOUS-SEGMENT'!$CV$8:$CV$1000)/SUMPRODUCT(('ANALYSE - ERP =&gt; SOUS-SEGMENT'!$B$8:$B$1000=$B15)*'ANALYSE - ERP =&gt; SOUS-SEGMENT'!$Q$8:$Q$1000*'ANALYSE - ERP =&gt; SOUS-SEGMENT'!$DS$8:$DS$1000),""))</f>
        <v>11</v>
      </c>
      <c r="CW15" s="805">
        <f>IF($B15="","",IFERROR(SUMPRODUCT(('ANALYSE - ERP =&gt; SOUS-SEGMENT'!$B$8:$B$1000=$B15)*'ANALYSE - ERP =&gt; SOUS-SEGMENT'!$Q$8:$Q$1000*'ANALYSE - ERP =&gt; SOUS-SEGMENT'!$DT$8:$DT$1000*'ANALYSE - ERP =&gt; SOUS-SEGMENT'!$CW$8:$CW$1000)/SUMPRODUCT(('ANALYSE - ERP =&gt; SOUS-SEGMENT'!$B$8:$B$1000=$B15)*'ANALYSE - ERP =&gt; SOUS-SEGMENT'!$Q$8:$Q$1000*'ANALYSE - ERP =&gt; SOUS-SEGMENT'!$DT$8:$DT$1000),""))</f>
        <v>10</v>
      </c>
      <c r="CX15" s="806">
        <f>IF($B15="","",IFERROR(SUMPRODUCT(('ANALYSE - ERP =&gt; SOUS-SEGMENT'!$B$8:$B$1000=$B15)*'ANALYSE - ERP =&gt; SOUS-SEGMENT'!$Q$8:$Q$1000*'ANALYSE - ERP =&gt; SOUS-SEGMENT'!$DU$8:$DU$1000*'ANALYSE - ERP =&gt; SOUS-SEGMENT'!$CX$8:$CX$1000)/SUMPRODUCT(('ANALYSE - ERP =&gt; SOUS-SEGMENT'!$B$8:$B$1000=$B15)*'ANALYSE - ERP =&gt; SOUS-SEGMENT'!$Q$8:$Q$1000*'ANALYSE - ERP =&gt; SOUS-SEGMENT'!$DU$8:$DU$1000),""))</f>
        <v>8</v>
      </c>
      <c r="CY15" s="804">
        <f>IF($B15="","",IFERROR(SUMPRODUCT(('ANALYSE - ERP =&gt; SOUS-SEGMENT'!$B$8:$B$1000=$B15)*'ANALYSE - ERP =&gt; SOUS-SEGMENT'!$Q$8:$Q$1000*'ANALYSE - ERP =&gt; SOUS-SEGMENT'!$EB$8:$EB$1000*'ANALYSE - ERP =&gt; SOUS-SEGMENT'!$CY$8:$CY$1000)/SUMPRODUCT(('ANALYSE - ERP =&gt; SOUS-SEGMENT'!$B$8:$B$1000=$B15)*'ANALYSE - ERP =&gt; SOUS-SEGMENT'!$Q$8:$Q$1000*'ANALYSE - ERP =&gt; SOUS-SEGMENT'!$EB$8:$EB$1000),""))</f>
        <v>10</v>
      </c>
      <c r="CZ15" s="805">
        <f>IF($B15="","",IFERROR(SUMPRODUCT(('ANALYSE - ERP =&gt; SOUS-SEGMENT'!$B$8:$B$1000=$B15)*'ANALYSE - ERP =&gt; SOUS-SEGMENT'!$Q$8:$Q$1000*'ANALYSE - ERP =&gt; SOUS-SEGMENT'!$EC$8:$EC$1000*'ANALYSE - ERP =&gt; SOUS-SEGMENT'!$CZ$8:$CZ$1000)/SUMPRODUCT(('ANALYSE - ERP =&gt; SOUS-SEGMENT'!$B$8:$B$1000=$B15)*'ANALYSE - ERP =&gt; SOUS-SEGMENT'!$Q$8:$Q$1000*'ANALYSE - ERP =&gt; SOUS-SEGMENT'!$EC$8:$EC$1000),""))</f>
        <v>12.000000000000002</v>
      </c>
      <c r="DA15" s="805">
        <f>IF($B15="","",IFERROR(SUMPRODUCT(('ANALYSE - ERP =&gt; SOUS-SEGMENT'!$B$8:$B$1000=$B15)*'ANALYSE - ERP =&gt; SOUS-SEGMENT'!$Q$8:$Q$1000*'ANALYSE - ERP =&gt; SOUS-SEGMENT'!$ED$8:$ED$1000*'ANALYSE - ERP =&gt; SOUS-SEGMENT'!$DA$8:$DA$1000)/SUMPRODUCT(('ANALYSE - ERP =&gt; SOUS-SEGMENT'!$B$8:$B$1000=$B15)*'ANALYSE - ERP =&gt; SOUS-SEGMENT'!$Q$8:$Q$1000*'ANALYSE - ERP =&gt; SOUS-SEGMENT'!$ED$8:$ED$1000),""))</f>
        <v>8</v>
      </c>
      <c r="DB15" s="806">
        <f>IF($B15="","",IFERROR(SUMPRODUCT(('ANALYSE - ERP =&gt; SOUS-SEGMENT'!$B$8:$B$1000=$B15)*'ANALYSE - ERP =&gt; SOUS-SEGMENT'!$Q$8:$Q$1000*'ANALYSE - ERP =&gt; SOUS-SEGMENT'!$EE$8:$EE$1000*'ANALYSE - ERP =&gt; SOUS-SEGMENT'!$DB$8:$DB$1000)/SUMPRODUCT(('ANALYSE - ERP =&gt; SOUS-SEGMENT'!$B$8:$B$1000=$B15)*'ANALYSE - ERP =&gt; SOUS-SEGMENT'!$Q$8:$Q$1000*'ANALYSE - ERP =&gt; SOUS-SEGMENT'!$EE$8:$EE$1000),""))</f>
        <v>10</v>
      </c>
      <c r="DC15" s="804">
        <f>IF($B15="","",IFERROR(SUMPRODUCT(('ANALYSE - ERP =&gt; SOUS-SEGMENT'!$B$8:$B$1000=$B15)*'ANALYSE - ERP =&gt; SOUS-SEGMENT'!$Q$8:$Q$1000*'ANALYSE - ERP =&gt; SOUS-SEGMENT'!$EM$8:$EM$1000*'ANALYSE - ERP =&gt; SOUS-SEGMENT'!$DC$8:$DC$1000)/SUMPRODUCT(('ANALYSE - ERP =&gt; SOUS-SEGMENT'!$B$8:$B$1000=$B15)*'ANALYSE - ERP =&gt; SOUS-SEGMENT'!$Q$8:$Q$1000*'ANALYSE - ERP =&gt; SOUS-SEGMENT'!$EM$8:$EM$1000),""))</f>
        <v>13</v>
      </c>
      <c r="DD15" s="805">
        <f>IF($B15="","",IFERROR(SUMPRODUCT(('ANALYSE - ERP =&gt; SOUS-SEGMENT'!$B$8:$B$1000=$B15)*'ANALYSE - ERP =&gt; SOUS-SEGMENT'!$Q$8:$Q$1000*'ANALYSE - ERP =&gt; SOUS-SEGMENT'!$EN$8:$EN$1000*'ANALYSE - ERP =&gt; SOUS-SEGMENT'!$DD$8:$DD$1000)/SUMPRODUCT(('ANALYSE - ERP =&gt; SOUS-SEGMENT'!$B$8:$B$1000=$B15)*'ANALYSE - ERP =&gt; SOUS-SEGMENT'!$Q$8:$Q$1000*'ANALYSE - ERP =&gt; SOUS-SEGMENT'!$EN$8:$EN$1000),""))</f>
        <v>13</v>
      </c>
      <c r="DE15" s="806">
        <f>IF($B15="","",IFERROR(SUMPRODUCT(('ANALYSE - ERP =&gt; SOUS-SEGMENT'!$B$8:$B$1000=$B15)*'ANALYSE - ERP =&gt; SOUS-SEGMENT'!$Q$8:$Q$1000*'ANALYSE - ERP =&gt; SOUS-SEGMENT'!$EO$8:$EO$1000*'ANALYSE - ERP =&gt; SOUS-SEGMENT'!$DE$8:$DE$1000)/SUMPRODUCT(('ANALYSE - ERP =&gt; SOUS-SEGMENT'!$B$8:$B$1000=$B15)*'ANALYSE - ERP =&gt; SOUS-SEGMENT'!$Q$8:$Q$1000*'ANALYSE - ERP =&gt; SOUS-SEGMENT'!$EO$8:$EO$1000),""))</f>
        <v>9</v>
      </c>
      <c r="DF15" s="919" t="s">
        <v>5986</v>
      </c>
      <c r="DG15" s="657"/>
      <c r="DH15" s="308">
        <f>IF($B15="","",SUMPRODUCT(('ANALYSE - ERP =&gt; SOUS-SEGMENT'!$B$8:$B$1000=$B15)*'ANALYSE - ERP =&gt; SOUS-SEGMENT'!$Q$8:$Q$1000*'ANALYSE - ERP =&gt; SOUS-SEGMENT'!$DH$8:$DH$1000))</f>
        <v>39392.699999999997</v>
      </c>
      <c r="DI15" s="308">
        <f>IF($B15="","",SUMPRODUCT(('ANALYSE - ERP =&gt; SOUS-SEGMENT'!$B$8:$B$1000=$B15)*'ANALYSE - ERP =&gt; SOUS-SEGMENT'!$Q$8:$Q$1000*'ANALYSE - ERP =&gt; SOUS-SEGMENT'!$DI$8:$DI$1000))</f>
        <v>43539.3</v>
      </c>
      <c r="DJ15" s="308">
        <f>IF($B15="","",SUMPRODUCT(('ANALYSE - ERP =&gt; SOUS-SEGMENT'!$B$8:$B$1000=$B15)*'ANALYSE - ERP =&gt; SOUS-SEGMENT'!$Q$8:$Q$1000*'ANALYSE - ERP =&gt; SOUS-SEGMENT'!$DJ$8:$DJ$1000))</f>
        <v>12439.8</v>
      </c>
      <c r="DK15" s="308">
        <f>IF($B15="","",SUMPRODUCT(('ANALYSE - ERP =&gt; SOUS-SEGMENT'!$B$8:$B$1000=$B15)*'ANALYSE - ERP =&gt; SOUS-SEGMENT'!$Q$8:$Q$1000*'ANALYSE - ERP =&gt; SOUS-SEGMENT'!$DK$8:$DK$1000))</f>
        <v>8293.2000000000007</v>
      </c>
      <c r="DL15" s="646" t="s">
        <v>5987</v>
      </c>
      <c r="DM15" s="308">
        <f>IF($B15="","",SUMPRODUCT(('ANALYSE - ERP =&gt; SOUS-SEGMENT'!$B$8:$B$1000=$B15)*'ANALYSE - ERP =&gt; SOUS-SEGMENT'!$Q$8:$Q$1000*'ANALYSE - ERP =&gt; SOUS-SEGMENT'!$DM$8:$DM$1000))</f>
        <v>37080.400000000001</v>
      </c>
      <c r="DN15" s="308">
        <f>IF($B15="","",SUMPRODUCT(('ANALYSE - ERP =&gt; SOUS-SEGMENT'!$B$8:$B$1000=$B15)*'ANALYSE - ERP =&gt; SOUS-SEGMENT'!$Q$8:$Q$1000*'ANALYSE - ERP =&gt; SOUS-SEGMENT'!$DN$8:$DN$1000))</f>
        <v>46895.799999999996</v>
      </c>
      <c r="DO15" s="308">
        <f>IF($B15="","",SUMPRODUCT(('ANALYSE - ERP =&gt; SOUS-SEGMENT'!$B$8:$B$1000=$B15)*'ANALYSE - ERP =&gt; SOUS-SEGMENT'!$Q$8:$Q$1000*'ANALYSE - ERP =&gt; SOUS-SEGMENT'!$DO$8:$DO$1000))</f>
        <v>17449.599999999999</v>
      </c>
      <c r="DP15" s="308">
        <f>IF($B15="","",SUMPRODUCT(('ANALYSE - ERP =&gt; SOUS-SEGMENT'!$B$8:$B$1000=$B15)*'ANALYSE - ERP =&gt; SOUS-SEGMENT'!$Q$8:$Q$1000*'ANALYSE - ERP =&gt; SOUS-SEGMENT'!$DP$8:$DP$1000))</f>
        <v>7634.2000000000007</v>
      </c>
      <c r="DQ15" s="646" t="s">
        <v>3551</v>
      </c>
      <c r="DR15" s="657"/>
      <c r="DS15" s="308">
        <f>IF($B15="","",SUMPRODUCT(('ANALYSE - ERP =&gt; SOUS-SEGMENT'!$B$8:$B$1000=$B15)*'ANALYSE - ERP =&gt; SOUS-SEGMENT'!$Q$8:$Q$1000*'ANALYSE - ERP =&gt; SOUS-SEGMENT'!$DS$8:$DS$1000))</f>
        <v>55997.5</v>
      </c>
      <c r="DT15" s="308">
        <f>IF($B15="","",SUMPRODUCT(('ANALYSE - ERP =&gt; SOUS-SEGMENT'!$B$8:$B$1000=$B15)*'ANALYSE - ERP =&gt; SOUS-SEGMENT'!$Q$8:$Q$1000*'ANALYSE - ERP =&gt; SOUS-SEGMENT'!$DT$8:$DT$1000))</f>
        <v>24122</v>
      </c>
      <c r="DU15" s="308">
        <f>IF($B15="","",SUMPRODUCT(('ANALYSE - ERP =&gt; SOUS-SEGMENT'!$B$8:$B$1000=$B15)*'ANALYSE - ERP =&gt; SOUS-SEGMENT'!$Q$8:$Q$1000*'ANALYSE - ERP =&gt; SOUS-SEGMENT'!$DU$8:$DU$1000))</f>
        <v>6030.5</v>
      </c>
      <c r="DV15" s="646" t="s">
        <v>5988</v>
      </c>
      <c r="DW15" s="308">
        <f>IF($B15="","",SUMPRODUCT(('ANALYSE - ERP =&gt; SOUS-SEGMENT'!$B$8:$B$1000=$B15)*'ANALYSE - ERP =&gt; SOUS-SEGMENT'!$Q$8:$Q$1000*'ANALYSE - ERP =&gt; SOUS-SEGMENT'!$DW$8:$DW$1000))</f>
        <v>54342</v>
      </c>
      <c r="DX15" s="308">
        <f>IF($B15="","",SUMPRODUCT(('ANALYSE - ERP =&gt; SOUS-SEGMENT'!$B$8:$B$1000=$B15)*'ANALYSE - ERP =&gt; SOUS-SEGMENT'!$Q$8:$Q$1000*'ANALYSE - ERP =&gt; SOUS-SEGMENT'!$DX$8:$DX$1000))</f>
        <v>28076.699999999997</v>
      </c>
      <c r="DY15" s="308">
        <f>IF($B15="","",SUMPRODUCT(('ANALYSE - ERP =&gt; SOUS-SEGMENT'!$B$8:$B$1000=$B15)*'ANALYSE - ERP =&gt; SOUS-SEGMENT'!$Q$8:$Q$1000*'ANALYSE - ERP =&gt; SOUS-SEGMENT'!$DY$8:$DY$1000))</f>
        <v>8151.2999999999993</v>
      </c>
      <c r="DZ15" s="646" t="s">
        <v>4150</v>
      </c>
      <c r="EA15" s="657"/>
      <c r="EB15" s="308">
        <f>IF($B15="","",SUMPRODUCT(('ANALYSE - ERP =&gt; SOUS-SEGMENT'!$B$8:$B$1000=$B15)*'ANALYSE - ERP =&gt; SOUS-SEGMENT'!$Q$8:$Q$1000*'ANALYSE - ERP =&gt; SOUS-SEGMENT'!$EB$8:$EB$1000))</f>
        <v>1658.0400000000002</v>
      </c>
      <c r="EC15" s="308">
        <f>IF($B15="","",SUMPRODUCT(('ANALYSE - ERP =&gt; SOUS-SEGMENT'!$B$8:$B$1000=$B15)*'ANALYSE - ERP =&gt; SOUS-SEGMENT'!$Q$8:$Q$1000*'ANALYSE - ERP =&gt; SOUS-SEGMENT'!$EC$8:$EC$1000))</f>
        <v>7184.8399999999992</v>
      </c>
      <c r="ED15" s="308">
        <f>IF($B15="","",SUMPRODUCT(('ANALYSE - ERP =&gt; SOUS-SEGMENT'!$B$8:$B$1000=$B15)*'ANALYSE - ERP =&gt; SOUS-SEGMENT'!$Q$8:$Q$1000*'ANALYSE - ERP =&gt; SOUS-SEGMENT'!$ED$8:$ED$1000))</f>
        <v>1658.0400000000002</v>
      </c>
      <c r="EE15" s="308">
        <f>IF($B15="","",SUMPRODUCT(('ANALYSE - ERP =&gt; SOUS-SEGMENT'!$B$8:$B$1000=$B15)*'ANALYSE - ERP =&gt; SOUS-SEGMENT'!$Q$8:$Q$1000*'ANALYSE - ERP =&gt; SOUS-SEGMENT'!$EE$8:$EE$1000))</f>
        <v>3316.0800000000004</v>
      </c>
      <c r="EF15" s="646" t="s">
        <v>5989</v>
      </c>
      <c r="EG15" s="308">
        <f>IF($B15="","",SUMPRODUCT(('ANALYSE - ERP =&gt; SOUS-SEGMENT'!$B$8:$B$1000=$B15)*'ANALYSE - ERP =&gt; SOUS-SEGMENT'!$Q$8:$Q$1000*'ANALYSE - ERP =&gt; SOUS-SEGMENT'!$EG$8:$EG$1000))</f>
        <v>1453.5</v>
      </c>
      <c r="EH15" s="308">
        <f>IF($B15="","",SUMPRODUCT(('ANALYSE - ERP =&gt; SOUS-SEGMENT'!$B$8:$B$1000=$B15)*'ANALYSE - ERP =&gt; SOUS-SEGMENT'!$Q$8:$Q$1000*'ANALYSE - ERP =&gt; SOUS-SEGMENT'!$EH$8:$EH$1000))</f>
        <v>7558.2000000000007</v>
      </c>
      <c r="EI15" s="308">
        <f>IF($B15="","",SUMPRODUCT(('ANALYSE - ERP =&gt; SOUS-SEGMENT'!$B$8:$B$1000=$B15)*'ANALYSE - ERP =&gt; SOUS-SEGMENT'!$Q$8:$Q$1000*'ANALYSE - ERP =&gt; SOUS-SEGMENT'!$EI$8:$EI$1000))</f>
        <v>2180.25</v>
      </c>
      <c r="EJ15" s="308">
        <f>IF($B15="","",SUMPRODUCT(('ANALYSE - ERP =&gt; SOUS-SEGMENT'!$B$8:$B$1000=$B15)*'ANALYSE - ERP =&gt; SOUS-SEGMENT'!$Q$8:$Q$1000*'ANALYSE - ERP =&gt; SOUS-SEGMENT'!$EJ$8:$EJ$1000))</f>
        <v>3343.05</v>
      </c>
      <c r="EK15" s="936" t="s">
        <v>5990</v>
      </c>
      <c r="EL15" s="657"/>
      <c r="EM15" s="308">
        <f>IF($B15="","",SUMPRODUCT(('ANALYSE - ERP =&gt; SOUS-SEGMENT'!$B$8:$B$1000=$B15)*'ANALYSE - ERP =&gt; SOUS-SEGMENT'!$Q$8:$Q$1000*'ANALYSE - ERP =&gt; SOUS-SEGMENT'!$EM$8:$EM$1000))</f>
        <v>55244.75</v>
      </c>
      <c r="EN15" s="310">
        <f>IF($B15="","",SUMPRODUCT(('ANALYSE - ERP =&gt; SOUS-SEGMENT'!$B$8:$B$1000=$B15)*'ANALYSE - ERP =&gt; SOUS-SEGMENT'!$Q$8:$Q$1000*'ANALYSE - ERP =&gt; SOUS-SEGMENT'!$EN$8:$EN$1000))</f>
        <v>35155.75</v>
      </c>
      <c r="EO15" s="310">
        <f>IF($B15="","",SUMPRODUCT(('ANALYSE - ERP =&gt; SOUS-SEGMENT'!$B$8:$B$1000=$B15)*'ANALYSE - ERP =&gt; SOUS-SEGMENT'!$Q$8:$Q$1000*'ANALYSE - ERP =&gt; SOUS-SEGMENT'!$EO$8:$EO$1000))</f>
        <v>10044.5</v>
      </c>
      <c r="EP15" s="646" t="s">
        <v>5991</v>
      </c>
      <c r="EQ15" s="308">
        <f>IF($B15="","",SUMPRODUCT(('ANALYSE - ERP =&gt; SOUS-SEGMENT'!$B$8:$B$1000=$B15)*'ANALYSE - ERP =&gt; SOUS-SEGMENT'!$Q$8:$Q$1000*'ANALYSE - ERP =&gt; SOUS-SEGMENT'!$EQ$8:$EQ$1000))</f>
        <v>47542.5</v>
      </c>
      <c r="ER15" s="310">
        <f>IF($B15="","",SUMPRODUCT(('ANALYSE - ERP =&gt; SOUS-SEGMENT'!$B$8:$B$1000=$B15)*'ANALYSE - ERP =&gt; SOUS-SEGMENT'!$Q$8:$Q$1000*'ANALYSE - ERP =&gt; SOUS-SEGMENT'!$ER$8:$ER$1000))</f>
        <v>42260</v>
      </c>
      <c r="ES15" s="310">
        <f>IF($B15="","",SUMPRODUCT(('ANALYSE - ERP =&gt; SOUS-SEGMENT'!$B$8:$B$1000=$B15)*'ANALYSE - ERP =&gt; SOUS-SEGMENT'!$Q$8:$Q$1000*'ANALYSE - ERP =&gt; SOUS-SEGMENT'!$ES$8:$ES$1000))</f>
        <v>15847.5</v>
      </c>
      <c r="ET15" s="646" t="s">
        <v>3555</v>
      </c>
      <c r="EU15" s="657"/>
      <c r="EV15" s="728">
        <f t="shared" si="31"/>
        <v>0.70749885520992217</v>
      </c>
      <c r="EW15" s="728">
        <f t="shared" si="32"/>
        <v>0.29250114479007788</v>
      </c>
      <c r="EX15" s="311">
        <f t="shared" si="33"/>
        <v>121793.14999114643</v>
      </c>
      <c r="EY15" s="311">
        <f t="shared" si="34"/>
        <v>86168.514191146445</v>
      </c>
      <c r="EZ15" s="311">
        <f t="shared" si="35"/>
        <v>35624.635799999996</v>
      </c>
      <c r="FA15" s="311">
        <f t="shared" si="36"/>
        <v>40272.679122512243</v>
      </c>
      <c r="FB15" s="311">
        <f>IF($B15="","",SUMPRODUCT(('ANALYSE - ERP =&gt; SOUS-SEGMENT'!$B$8:$B$1000=$B15)*'ANALYSE - ERP =&gt; SOUS-SEGMENT'!$Q$8:$Q$1000*'ANALYSE - ERP =&gt; SOUS-SEGMENT'!$FB$8:$FB$1000))</f>
        <v>28097.988122512241</v>
      </c>
      <c r="FC15" s="311">
        <f>IF($B15="","",SUMPRODUCT(('ANALYSE - ERP =&gt; SOUS-SEGMENT'!$B$8:$B$1000=$B15)*'ANALYSE - ERP =&gt; SOUS-SEGMENT'!$Q$8:$Q$1000*'ANALYSE - ERP =&gt; SOUS-SEGMENT'!$FC$8:$FC$1000))</f>
        <v>12174.691000000001</v>
      </c>
      <c r="FD15" s="311">
        <f t="shared" si="37"/>
        <v>38445.578106843182</v>
      </c>
      <c r="FE15" s="311">
        <f>IF($B15="","",SUMPRODUCT(('ANALYSE - ERP =&gt; SOUS-SEGMENT'!$B$8:$B$1000=$B15)*'ANALYSE - ERP =&gt; SOUS-SEGMENT'!$Q$8:$Q$1000*'ANALYSE - ERP =&gt; SOUS-SEGMENT'!$FE$8:$FE$1000))</f>
        <v>28391.368106843183</v>
      </c>
      <c r="FF15" s="311">
        <f>IF($B15="","",SUMPRODUCT(('ANALYSE - ERP =&gt; SOUS-SEGMENT'!$B$8:$B$1000=$B15)*'ANALYSE - ERP =&gt; SOUS-SEGMENT'!$Q$8:$Q$1000*'ANALYSE - ERP =&gt; SOUS-SEGMENT'!$FF$8:$FF$1000))</f>
        <v>10054.209999999999</v>
      </c>
      <c r="FG15" s="311">
        <f t="shared" si="38"/>
        <v>6009.4253761500004</v>
      </c>
      <c r="FH15" s="311">
        <f>IF($B15="","",SUMPRODUCT(('ANALYSE - ERP =&gt; SOUS-SEGMENT'!$B$8:$B$1000=$B15)*'ANALYSE - ERP =&gt; SOUS-SEGMENT'!$Q$8:$Q$1000*'ANALYSE - ERP =&gt; SOUS-SEGMENT'!$FH$8:$FH$1000))</f>
        <v>4387.7935761500003</v>
      </c>
      <c r="FI15" s="311">
        <f>IF($B15="","",SUMPRODUCT(('ANALYSE - ERP =&gt; SOUS-SEGMENT'!$B$8:$B$1000=$B15)*'ANALYSE - ERP =&gt; SOUS-SEGMENT'!$Q$8:$Q$1000*'ANALYSE - ERP =&gt; SOUS-SEGMENT'!$FI$8:$FI$1000))</f>
        <v>1621.6317999999999</v>
      </c>
      <c r="FJ15" s="311">
        <f t="shared" si="39"/>
        <v>37065.467385641023</v>
      </c>
      <c r="FK15" s="311">
        <f>IF($B15="","",SUMPRODUCT(('ANALYSE - ERP =&gt; SOUS-SEGMENT'!$B$8:$B$1000=$B15)*'ANALYSE - ERP =&gt; SOUS-SEGMENT'!$Q$8:$Q$1000*'ANALYSE - ERP =&gt; SOUS-SEGMENT'!$FK$8:$FK$1000))</f>
        <v>25291.364385641024</v>
      </c>
      <c r="FL15" s="311">
        <f>IF($B15="","",SUMPRODUCT(('ANALYSE - ERP =&gt; SOUS-SEGMENT'!$B$8:$B$1000=$B15)*'ANALYSE - ERP =&gt; SOUS-SEGMENT'!$Q$8:$Q$1000*'ANALYSE - ERP =&gt; SOUS-SEGMENT'!$FL$8:$FL$1000))</f>
        <v>11774.103000000001</v>
      </c>
      <c r="FM15" s="657"/>
      <c r="FN15" s="954" t="s">
        <v>2649</v>
      </c>
      <c r="FO15" s="728">
        <f>IF($B15="","",IFERROR(SUMPRODUCT(('ANALYSE - ERP =&gt; SOUS-SEGMENT'!$B$8:$B$1000=$B15)*'ANALYSE - ERP =&gt; SOUS-SEGMENT'!$Q$8:$Q$1000*'ANALYSE - ERP =&gt; SOUS-SEGMENT'!$AF$8:$AF$1000*'ANALYSE - ERP =&gt; SOUS-SEGMENT'!$FO$8:$FO$1000)/SUMPRODUCT(('ANALYSE - ERP =&gt; SOUS-SEGMENT'!$B$8:$B$1000=$B15)*'ANALYSE - ERP =&gt; SOUS-SEGMENT'!$Q$8:$Q$1000*'ANALYSE - ERP =&gt; SOUS-SEGMENT'!$AF$8:$AF$1000),""))</f>
        <v>6.5400000000000014E-2</v>
      </c>
      <c r="FP15" s="729">
        <f>IF($B15="","",IFERROR(SUMPRODUCT(('ANALYSE - ERP =&gt; SOUS-SEGMENT'!$B$8:$B$1000=$B15)*'ANALYSE - ERP =&gt; SOUS-SEGMENT'!$Q$8:$Q$1000*'ANALYSE - ERP =&gt; SOUS-SEGMENT'!$AF$8:$AF$1000*'ANALYSE - ERP =&gt; SOUS-SEGMENT'!$FP$8:$FP$1000)/SUMPRODUCT(('ANALYSE - ERP =&gt; SOUS-SEGMENT'!$B$8:$B$1000=$B15)*'ANALYSE - ERP =&gt; SOUS-SEGMENT'!$Q$8:$Q$1000*'ANALYSE - ERP =&gt; SOUS-SEGMENT'!$AF$8:$AF$1000),""))</f>
        <v>0.79215000000000002</v>
      </c>
      <c r="FQ15" s="954" t="s">
        <v>4320</v>
      </c>
      <c r="FR15" s="657"/>
      <c r="FS15" s="865">
        <f>IF($B15="","",IFERROR(SUMPRODUCT(('ANALYSE - ERP =&gt; SOUS-SEGMENT'!$B$8:$B$1000=$B15)*'ANALYSE - ERP =&gt; SOUS-SEGMENT'!$Q$8:$Q$1000*'ANALYSE - ERP =&gt; SOUS-SEGMENT'!$EX$8:$EX$1000*'ANALYSE - ERP =&gt; SOUS-SEGMENT'!$FS$8:$FS$1000)/SUMPRODUCT(('ANALYSE - ERP =&gt; SOUS-SEGMENT'!$B$8:$B$1000=$B15)*'ANALYSE - ERP =&gt; SOUS-SEGMENT'!$Q$8:$Q$1000*'ANALYSE - ERP =&gt; SOUS-SEGMENT'!$EX$8:$EX$1000),""))</f>
        <v>3.62</v>
      </c>
      <c r="FT15" s="312">
        <f>IF($B15="","",RANK($FS15,$FS$8:$FS$20,0)+COUNTIF($FS$8:$FS15,$FS15)-1)</f>
        <v>4</v>
      </c>
      <c r="FU15" s="865">
        <f>IF($B15="","",IFERROR(SUMPRODUCT(('ANALYSE - ERP =&gt; SOUS-SEGMENT'!$B$8:$B$1000=$B15)*'ANALYSE - ERP =&gt; SOUS-SEGMENT'!$Q$8:$Q$1000*'ANALYSE - ERP =&gt; SOUS-SEGMENT'!$EY$8:$EY$1000*'ANALYSE - ERP =&gt; SOUS-SEGMENT'!$FU$8:$FU$1000)/SUMPRODUCT(('ANALYSE - ERP =&gt; SOUS-SEGMENT'!$B$8:$B$1000=$B15)*'ANALYSE - ERP =&gt; SOUS-SEGMENT'!$Q$8:$Q$1000*'ANALYSE - ERP =&gt; SOUS-SEGMENT'!$EY$8:$EY$1000),""))</f>
        <v>4.49</v>
      </c>
      <c r="FV15" s="312">
        <f>IF($B15="","",RANK($FU15,$FU$8:$FU$20,0)+COUNTIF($FU$8:$FU15,$FU15)-1)</f>
        <v>2</v>
      </c>
      <c r="FW15" s="865">
        <f>IF($B15="","",IFERROR(SUMPRODUCT(('ANALYSE - ERP =&gt; SOUS-SEGMENT'!$B$8:$B$1000=$B15)*'ANALYSE - ERP =&gt; SOUS-SEGMENT'!$Q$8:$Q$1000*'ANALYSE - ERP =&gt; SOUS-SEGMENT'!$EZ$8:$EZ$1000*'ANALYSE - ERP =&gt; SOUS-SEGMENT'!$FW$8:$FW$1000)/SUMPRODUCT(('ANALYSE - ERP =&gt; SOUS-SEGMENT'!$B$8:$B$1000=$B15)*'ANALYSE - ERP =&gt; SOUS-SEGMENT'!$Q$8:$Q$1000*'ANALYSE - ERP =&gt; SOUS-SEGMENT'!$EZ$8:$EZ$1000),""))</f>
        <v>2.0699999999999994</v>
      </c>
      <c r="FX15" s="312">
        <f>IF($B15="","",RANK($FW15,$FW$8:$FW$20,0)+COUNTIF($FW$8:$FW15,$FW15)-1)</f>
        <v>10</v>
      </c>
      <c r="FY15" s="657"/>
      <c r="FZ15" s="646" t="s">
        <v>4321</v>
      </c>
      <c r="GA15" s="646" t="s">
        <v>5992</v>
      </c>
      <c r="GB15" s="646" t="s">
        <v>2653</v>
      </c>
      <c r="GC15" s="646" t="s">
        <v>2654</v>
      </c>
      <c r="GD15" s="646" t="s">
        <v>2655</v>
      </c>
      <c r="GE15" s="646" t="s">
        <v>2656</v>
      </c>
      <c r="GF15" s="276" t="s">
        <v>6028</v>
      </c>
      <c r="GG15" s="657"/>
      <c r="GH15" s="311">
        <f t="shared" si="40"/>
        <v>14612.70450575</v>
      </c>
      <c r="GI15" s="311">
        <f>IF($B15="","",SUMPRODUCT(('ANALYSE - ERP =&gt; SOUS-SEGMENT'!$B$8:$B$1000=$B15)*'ANALYSE - ERP =&gt; SOUS-SEGMENT'!$Q$8:$Q$1000*'ANALYSE - ERP =&gt; SOUS-SEGMENT'!$GI$8:$GI$1000))</f>
        <v>10473.30956575</v>
      </c>
      <c r="GJ15" s="311">
        <f>IF($B15="","",SUMPRODUCT(('ANALYSE - ERP =&gt; SOUS-SEGMENT'!$B$8:$B$1000=$B15)*'ANALYSE - ERP =&gt; SOUS-SEGMENT'!$Q$8:$Q$1000*'ANALYSE - ERP =&gt; SOUS-SEGMENT'!$GJ$8:$GJ$1000))</f>
        <v>4139.3949400000001</v>
      </c>
      <c r="GK15" s="311">
        <f t="shared" si="41"/>
        <v>15417.031779307692</v>
      </c>
      <c r="GL15" s="311">
        <f>IF($B15="","",SUMPRODUCT(('ANALYSE - ERP =&gt; SOUS-SEGMENT'!$B$8:$B$1000=$B15)*'ANALYSE - ERP =&gt; SOUS-SEGMENT'!$Q$8:$Q$1000*'ANALYSE - ERP =&gt; SOUS-SEGMENT'!$GL$8:$GL$1000))</f>
        <v>10181.914649307691</v>
      </c>
      <c r="GM15" s="311">
        <f>IF($B15="","",SUMPRODUCT(('ANALYSE - ERP =&gt; SOUS-SEGMENT'!$B$8:$B$1000=$B15)*'ANALYSE - ERP =&gt; SOUS-SEGMENT'!$Q$8:$Q$1000*'ANALYSE - ERP =&gt; SOUS-SEGMENT'!$GM$8:$GM$1000))</f>
        <v>5235.1171300000005</v>
      </c>
      <c r="GN15" s="311">
        <f t="shared" si="42"/>
        <v>6855.5521740000004</v>
      </c>
      <c r="GO15" s="311">
        <f>IF($B15="","",SUMPRODUCT(('ANALYSE - ERP =&gt; SOUS-SEGMENT'!$B$8:$B$1000=$B15)*'ANALYSE - ERP =&gt; SOUS-SEGMENT'!$Q$8:$Q$1000*'ANALYSE - ERP =&gt; SOUS-SEGMENT'!$GO$8:$GO$1000))</f>
        <v>4907.6016140000002</v>
      </c>
      <c r="GP15" s="311">
        <f>IF($B15="","",SUMPRODUCT(('ANALYSE - ERP =&gt; SOUS-SEGMENT'!$B$8:$B$1000=$B15)*'ANALYSE - ERP =&gt; SOUS-SEGMENT'!$Q$8:$Q$1000*'ANALYSE - ERP =&gt; SOUS-SEGMENT'!$GP$8:$GP$1000))</f>
        <v>1947.9505600000002</v>
      </c>
      <c r="GQ15" s="311">
        <f t="shared" si="43"/>
        <v>3387.3906634545456</v>
      </c>
      <c r="GR15" s="311">
        <f>IF($B15="","",SUMPRODUCT(('ANALYSE - ERP =&gt; SOUS-SEGMENT'!$B$8:$B$1000=$B15)*'ANALYSE - ERP =&gt; SOUS-SEGMENT'!$Q$8:$Q$1000*'ANALYSE - ERP =&gt; SOUS-SEGMENT'!$GR$8:$GR$1000))</f>
        <v>2535.1622934545458</v>
      </c>
      <c r="GS15" s="311">
        <f>IF($B15="","",SUMPRODUCT(('ANALYSE - ERP =&gt; SOUS-SEGMENT'!$B$8:$B$1000=$B15)*'ANALYSE - ERP =&gt; SOUS-SEGMENT'!$Q$8:$Q$1000*'ANALYSE - ERP =&gt; SOUS-SEGMENT'!$GS$8:$GS$1000))</f>
        <v>852.22837000000004</v>
      </c>
      <c r="GT15" s="311">
        <f t="shared" si="44"/>
        <v>23265.864471818186</v>
      </c>
      <c r="GU15" s="311">
        <f>IF($B15="","",SUMPRODUCT(('ANALYSE - ERP =&gt; SOUS-SEGMENT'!$B$8:$B$1000=$B15)*'ANALYSE - ERP =&gt; SOUS-SEGMENT'!$Q$8:$Q$1000*'ANALYSE - ERP =&gt; SOUS-SEGMENT'!$GU$8:$GU$1000))</f>
        <v>17233.338471818184</v>
      </c>
      <c r="GV15" s="311">
        <f>IF($B15="","",SUMPRODUCT(('ANALYSE - ERP =&gt; SOUS-SEGMENT'!$B$8:$B$1000=$B15)*'ANALYSE - ERP =&gt; SOUS-SEGMENT'!$Q$8:$Q$1000*'ANALYSE - ERP =&gt; SOUS-SEGMENT'!$GV$8:$GV$1000))</f>
        <v>6032.5260000000007</v>
      </c>
      <c r="GW15" s="311">
        <f t="shared" si="45"/>
        <v>11525.585082400001</v>
      </c>
      <c r="GX15" s="311">
        <f>IF($B15="","",SUMPRODUCT(('ANALYSE - ERP =&gt; SOUS-SEGMENT'!$B$8:$B$1000=$B15)*'ANALYSE - ERP =&gt; SOUS-SEGMENT'!$Q$8:$Q$1000*'ANALYSE - ERP =&gt; SOUS-SEGMENT'!$GX$8:$GX$1000))</f>
        <v>8408.7799824000012</v>
      </c>
      <c r="GY15" s="311">
        <f>IF($B15="","",SUMPRODUCT(('ANALYSE - ERP =&gt; SOUS-SEGMENT'!$B$8:$B$1000=$B15)*'ANALYSE - ERP =&gt; SOUS-SEGMENT'!$Q$8:$Q$1000*'ANALYSE - ERP =&gt; SOUS-SEGMENT'!$GY$8:$GY$1000))</f>
        <v>3116.8051</v>
      </c>
      <c r="GZ15" s="311">
        <f t="shared" si="46"/>
        <v>3654.1285526250003</v>
      </c>
      <c r="HA15" s="311">
        <f>IF($B15="","",SUMPRODUCT(('ANALYSE - ERP =&gt; SOUS-SEGMENT'!$B$8:$B$1000=$B15)*'ANALYSE - ERP =&gt; SOUS-SEGMENT'!$Q$8:$Q$1000*'ANALYSE - ERP =&gt; SOUS-SEGMENT'!$HA$8:$HA$1000))</f>
        <v>2749.2496526250002</v>
      </c>
      <c r="HB15" s="311">
        <f>IF($B15="","",SUMPRODUCT(('ANALYSE - ERP =&gt; SOUS-SEGMENT'!$B$8:$B$1000=$B15)*'ANALYSE - ERP =&gt; SOUS-SEGMENT'!$Q$8:$Q$1000*'ANALYSE - ERP =&gt; SOUS-SEGMENT'!$HB$8:$HB$1000))</f>
        <v>904.87889999999993</v>
      </c>
      <c r="HC15" s="311">
        <f t="shared" si="47"/>
        <v>736.51312180000002</v>
      </c>
      <c r="HD15" s="311">
        <f>IF($B15="","",SUMPRODUCT(('ANALYSE - ERP =&gt; SOUS-SEGMENT'!$B$8:$B$1000=$B15)*'ANALYSE - ERP =&gt; SOUS-SEGMENT'!$Q$8:$Q$1000*'ANALYSE - ERP =&gt; SOUS-SEGMENT'!$HD$8:$HD$1000))</f>
        <v>574.34994180000001</v>
      </c>
      <c r="HE15" s="311">
        <f>IF($B15="","",SUMPRODUCT(('ANALYSE - ERP =&gt; SOUS-SEGMENT'!$B$8:$B$1000=$B15)*'ANALYSE - ERP =&gt; SOUS-SEGMENT'!$Q$8:$Q$1000*'ANALYSE - ERP =&gt; SOUS-SEGMENT'!$HE$8:$HE$1000))</f>
        <v>162.16318000000001</v>
      </c>
      <c r="HF15" s="311">
        <f t="shared" si="48"/>
        <v>2756.0240955000004</v>
      </c>
      <c r="HG15" s="311">
        <f>IF($B15="","",SUMPRODUCT(('ANALYSE - ERP =&gt; SOUS-SEGMENT'!$B$8:$B$1000=$B15)*'ANALYSE - ERP =&gt; SOUS-SEGMENT'!$Q$8:$Q$1000*'ANALYSE - ERP =&gt; SOUS-SEGMENT'!$HG$8:$HG$1000))</f>
        <v>1912.7755595000003</v>
      </c>
      <c r="HH15" s="311">
        <f>IF($B15="","",SUMPRODUCT(('ANALYSE - ERP =&gt; SOUS-SEGMENT'!$B$8:$B$1000=$B15)*'ANALYSE - ERP =&gt; SOUS-SEGMENT'!$Q$8:$Q$1000*'ANALYSE - ERP =&gt; SOUS-SEGMENT'!$HH$8:$HH$1000))</f>
        <v>843.24853600000006</v>
      </c>
      <c r="HI15" s="311">
        <f t="shared" si="49"/>
        <v>995.21296124999992</v>
      </c>
      <c r="HJ15" s="311">
        <f>IF($B15="","",SUMPRODUCT(('ANALYSE - ERP =&gt; SOUS-SEGMENT'!$B$8:$B$1000=$B15)*'ANALYSE - ERP =&gt; SOUS-SEGMENT'!$Q$8:$Q$1000*'ANALYSE - ERP =&gt; SOUS-SEGMENT'!$HJ$8:$HJ$1000))</f>
        <v>751.9681912499999</v>
      </c>
      <c r="HK15" s="311">
        <f>IF($B15="","",SUMPRODUCT(('ANALYSE - ERP =&gt; SOUS-SEGMENT'!$B$8:$B$1000=$B15)*'ANALYSE - ERP =&gt; SOUS-SEGMENT'!$Q$8:$Q$1000*'ANALYSE - ERP =&gt; SOUS-SEGMENT'!$HK$8:$HK$1000))</f>
        <v>243.24476999999999</v>
      </c>
      <c r="HL15" s="311">
        <f t="shared" si="50"/>
        <v>1521.6751976</v>
      </c>
      <c r="HM15" s="311">
        <f>IF($B15="","",SUMPRODUCT(('ANALYSE - ERP =&gt; SOUS-SEGMENT'!$B$8:$B$1000=$B15)*'ANALYSE - ERP =&gt; SOUS-SEGMENT'!$Q$8:$Q$1000*'ANALYSE - ERP =&gt; SOUS-SEGMENT'!$HM$8:$HM$1000))</f>
        <v>1148.6998836</v>
      </c>
      <c r="HN15" s="311">
        <f>IF($B15="","",SUMPRODUCT(('ANALYSE - ERP =&gt; SOUS-SEGMENT'!$B$8:$B$1000=$B15)*'ANALYSE - ERP =&gt; SOUS-SEGMENT'!$Q$8:$Q$1000*'ANALYSE - ERP =&gt; SOUS-SEGMENT'!$HN$8:$HN$1000))</f>
        <v>372.97531400000003</v>
      </c>
      <c r="HO15" s="311">
        <f t="shared" si="51"/>
        <v>18323.141715576923</v>
      </c>
      <c r="HP15" s="311">
        <f>IF($B15="","",SUMPRODUCT(('ANALYSE - ERP =&gt; SOUS-SEGMENT'!$B$8:$B$1000=$B15)*'ANALYSE - ERP =&gt; SOUS-SEGMENT'!$Q$8:$Q$1000*'ANALYSE - ERP =&gt; SOUS-SEGMENT'!$HP$8:$HP$1000))</f>
        <v>13024.795365576922</v>
      </c>
      <c r="HQ15" s="311">
        <f>IF($B15="","",SUMPRODUCT(('ANALYSE - ERP =&gt; SOUS-SEGMENT'!$B$8:$B$1000=$B15)*'ANALYSE - ERP =&gt; SOUS-SEGMENT'!$Q$8:$Q$1000*'ANALYSE - ERP =&gt; SOUS-SEGMENT'!$HQ$8:$HQ$1000))</f>
        <v>5298.3463499999998</v>
      </c>
      <c r="HR15" s="311">
        <f t="shared" si="52"/>
        <v>12998.14734173077</v>
      </c>
      <c r="HS15" s="311">
        <f>IF($B15="","",SUMPRODUCT(('ANALYSE - ERP =&gt; SOUS-SEGMENT'!$B$8:$B$1000=$B15)*'ANALYSE - ERP =&gt; SOUS-SEGMENT'!$Q$8:$Q$1000*'ANALYSE - ERP =&gt; SOUS-SEGMENT'!$HS$8:$HS$1000))</f>
        <v>8288.5061417307697</v>
      </c>
      <c r="HT15" s="311">
        <f>IF($B15="","",SUMPRODUCT(('ANALYSE - ERP =&gt; SOUS-SEGMENT'!$B$8:$B$1000=$B15)*'ANALYSE - ERP =&gt; SOUS-SEGMENT'!$Q$8:$Q$1000*'ANALYSE - ERP =&gt; SOUS-SEGMENT'!$HT$8:$HT$1000))</f>
        <v>4709.6412</v>
      </c>
      <c r="HU15" s="311">
        <f t="shared" si="53"/>
        <v>5744.1783283333325</v>
      </c>
      <c r="HV15" s="311">
        <f>IF($B15="","",SUMPRODUCT(('ANALYSE - ERP =&gt; SOUS-SEGMENT'!$B$8:$B$1000=$B15)*'ANALYSE - ERP =&gt; SOUS-SEGMENT'!$Q$8:$Q$1000*'ANALYSE - ERP =&gt; SOUS-SEGMENT'!$HV$8:$HV$1000))</f>
        <v>3978.0628783333323</v>
      </c>
      <c r="HW15" s="311">
        <f>IF($B15="","",SUMPRODUCT(('ANALYSE - ERP =&gt; SOUS-SEGMENT'!$B$8:$B$1000=$B15)*'ANALYSE - ERP =&gt; SOUS-SEGMENT'!$Q$8:$Q$1000*'ANALYSE - ERP =&gt; SOUS-SEGMENT'!$HW$8:$HW$1000))</f>
        <v>1766.11545</v>
      </c>
      <c r="HY15" s="313">
        <f t="shared" si="54"/>
        <v>303305.00000000006</v>
      </c>
      <c r="HZ15" s="313">
        <f>IF($B15="","",SUMPRODUCT(('ANALYSE - ERP =&gt; SOUS-SEGMENT'!$B$8:$B$1000=$B15)*'ANALYSE - ERP =&gt; SOUS-SEGMENT'!$Q$8:$Q$1000*'ANALYSE - ERP =&gt; SOUS-SEGMENT'!$HZ$8:$HZ$1000))</f>
        <v>31895.224000000002</v>
      </c>
      <c r="IA15" s="313">
        <f>IF($B15="","",SUMPRODUCT(('ANALYSE - ERP =&gt; SOUS-SEGMENT'!$B$8:$B$1000=$B15)*'ANALYSE - ERP =&gt; SOUS-SEGMENT'!$Q$8:$Q$1000*'ANALYSE - ERP =&gt; SOUS-SEGMENT'!$IA$8:$IA$1000))</f>
        <v>163805.84050000002</v>
      </c>
      <c r="IB15" s="313">
        <f>IF($B15="","",SUMPRODUCT(('ANALYSE - ERP =&gt; SOUS-SEGMENT'!$B$8:$B$1000=$B15)*'ANALYSE - ERP =&gt; SOUS-SEGMENT'!$Q$8:$Q$1000*'ANALYSE - ERP =&gt; SOUS-SEGMENT'!$IB$8:$IB$1000))</f>
        <v>99725.152000000002</v>
      </c>
      <c r="IC15" s="313">
        <f>IF($B15="","",SUMPRODUCT(('ANALYSE - ERP =&gt; SOUS-SEGMENT'!$B$8:$B$1000=$B15)*'ANALYSE - ERP =&gt; SOUS-SEGMENT'!$Q$8:$Q$1000*'ANALYSE - ERP =&gt; SOUS-SEGMENT'!$IC$8:$IC$1000))</f>
        <v>7878.7835000000005</v>
      </c>
      <c r="ID15" s="313">
        <f>IF($B15="","",SUMPRODUCT(('ANALYSE - ERP =&gt; SOUS-SEGMENT'!$B$8:$B$1000=$B15)*'ANALYSE - ERP =&gt; SOUS-SEGMENT'!$Q$8:$Q$1000*'ANALYSE - ERP =&gt; SOUS-SEGMENT'!$ID$8:$ID$1000))</f>
        <v>0</v>
      </c>
      <c r="IE15" s="313">
        <f t="shared" si="55"/>
        <v>85936.553659546465</v>
      </c>
      <c r="IF15" s="313">
        <f>IF($B15="","",SUMPRODUCT(('ANALYSE - ERP =&gt; SOUS-SEGMENT'!$B$8:$B$1000=$B15)*'ANALYSE - ERP =&gt; SOUS-SEGMENT'!$Q$8:$Q$1000*'ANALYSE - ERP =&gt; SOUS-SEGMENT'!$IF$8:$IF$1000))</f>
        <v>7339.8104471423867</v>
      </c>
      <c r="IG15" s="313">
        <f>IF($B15="","",SUMPRODUCT(('ANALYSE - ERP =&gt; SOUS-SEGMENT'!$B$8:$B$1000=$B15)*'ANALYSE - ERP =&gt; SOUS-SEGMENT'!$Q$8:$Q$1000*'ANALYSE - ERP =&gt; SOUS-SEGMENT'!$IG$8:$IG$1000))</f>
        <v>44380.652077325358</v>
      </c>
      <c r="IH15" s="313">
        <f>IF($B15="","",SUMPRODUCT(('ANALYSE - ERP =&gt; SOUS-SEGMENT'!$B$8:$B$1000=$B15)*'ANALYSE - ERP =&gt; SOUS-SEGMENT'!$Q$8:$Q$1000*'ANALYSE - ERP =&gt; SOUS-SEGMENT'!$IH$8:$IH$1000))</f>
        <v>29907.882944784542</v>
      </c>
      <c r="II15" s="313">
        <f>IF($B15="","",SUMPRODUCT(('ANALYSE - ERP =&gt; SOUS-SEGMENT'!$B$8:$B$1000=$B15)*'ANALYSE - ERP =&gt; SOUS-SEGMENT'!$Q$8:$Q$1000*'ANALYSE - ERP =&gt; SOUS-SEGMENT'!$II$8:$II$1000))</f>
        <v>3930.087354192166</v>
      </c>
      <c r="IJ15" s="313">
        <f>IF($B15="","",SUMPRODUCT(('ANALYSE - ERP =&gt; SOUS-SEGMENT'!$B$8:$B$1000=$B15)*'ANALYSE - ERP =&gt; SOUS-SEGMENT'!$Q$8:$Q$1000*'ANALYSE - ERP =&gt; SOUS-SEGMENT'!$IJ$8:$IJ$1000))</f>
        <v>378.12083610200438</v>
      </c>
      <c r="IK15" s="866">
        <f>IF($B15="","",IFERROR(SUMPRODUCT(('ANALYSE - ERP =&gt; SOUS-SEGMENT'!$B$8:$B$1000=$B15)*'ANALYSE - ERP =&gt; SOUS-SEGMENT'!$Q$8:$Q$1000*'ANALYSE - ERP =&gt; SOUS-SEGMENT'!$IE$8:$IE$1000*'ANALYSE - ERP =&gt; SOUS-SEGMENT'!$IK$8:$IK$1000)/SUMPRODUCT(('ANALYSE - ERP =&gt; SOUS-SEGMENT'!$B$8:$B$1000=$B15)*'ANALYSE - ERP =&gt; SOUS-SEGMENT'!$Q$8:$Q$1000*'ANALYSE - ERP =&gt; SOUS-SEGMENT'!$IE$8:$IE$1000),""))</f>
        <v>4.1199999999999992</v>
      </c>
      <c r="IL15" s="920" t="s">
        <v>2589</v>
      </c>
      <c r="IM15" s="964" t="s">
        <v>5993</v>
      </c>
      <c r="IN15" s="657"/>
      <c r="IO15" s="730">
        <f>IF($B15="","",IFERROR(SUMPRODUCT(('ANALYSE - ERP =&gt; SOUS-SEGMENT'!$B$8:$B$1000=$B15)*'ANALYSE - ERP =&gt; SOUS-SEGMENT'!$Q$8:$Q$1000*'ANALYSE - ERP =&gt; SOUS-SEGMENT'!$BE$8:$BE$1000*'ANALYSE - ERP =&gt; SOUS-SEGMENT'!$IO$8:$IO$1000)/SUMPRODUCT(('ANALYSE - ERP =&gt; SOUS-SEGMENT'!$B$8:$B$1000=$B15)*'ANALYSE - ERP =&gt; SOUS-SEGMENT'!$Q$8:$Q$1000*'ANALYSE - ERP =&gt; SOUS-SEGMENT'!$BE$8:$BE$1000),""))</f>
        <v>0.1</v>
      </c>
      <c r="IP15" s="730">
        <f>IF($B15="","",IFERROR(SUMPRODUCT(('ANALYSE - ERP =&gt; SOUS-SEGMENT'!$B$8:$B$1000=$B15)*'ANALYSE - ERP =&gt; SOUS-SEGMENT'!$Q$8:$Q$1000*'ANALYSE - ERP =&gt; SOUS-SEGMENT'!$BE$8:$BE$1000*'ANALYSE - ERP =&gt; SOUS-SEGMENT'!$IP$8:$IP$1000)/SUMPRODUCT(('ANALYSE - ERP =&gt; SOUS-SEGMENT'!$B$8:$B$1000=$B15)*'ANALYSE - ERP =&gt; SOUS-SEGMENT'!$Q$8:$Q$1000*'ANALYSE - ERP =&gt; SOUS-SEGMENT'!$BE$8:$BE$1000),""))</f>
        <v>0.53</v>
      </c>
      <c r="IQ15" s="730">
        <f>IF($B15="","",IFERROR(SUMPRODUCT(('ANALYSE - ERP =&gt; SOUS-SEGMENT'!$B$8:$B$1000=$B15)*'ANALYSE - ERP =&gt; SOUS-SEGMENT'!$Q$8:$Q$1000*'ANALYSE - ERP =&gt; SOUS-SEGMENT'!$BE$8:$BE$1000*'ANALYSE - ERP =&gt; SOUS-SEGMENT'!$IQ$8:$IQ$1000)/SUMPRODUCT(('ANALYSE - ERP =&gt; SOUS-SEGMENT'!$B$8:$B$1000=$B15)*'ANALYSE - ERP =&gt; SOUS-SEGMENT'!$Q$8:$Q$1000*'ANALYSE - ERP =&gt; SOUS-SEGMENT'!$BE$8:$BE$1000),""))</f>
        <v>0.34000000000000008</v>
      </c>
      <c r="IR15" s="730">
        <f>IF($B15="","",IFERROR(SUMPRODUCT(('ANALYSE - ERP =&gt; SOUS-SEGMENT'!$B$8:$B$1000=$B15)*'ANALYSE - ERP =&gt; SOUS-SEGMENT'!$Q$8:$Q$1000*'ANALYSE - ERP =&gt; SOUS-SEGMENT'!$BE$8:$BE$1000*'ANALYSE - ERP =&gt; SOUS-SEGMENT'!$IR$8:$IR$1000)/SUMPRODUCT(('ANALYSE - ERP =&gt; SOUS-SEGMENT'!$B$8:$B$1000=$B15)*'ANALYSE - ERP =&gt; SOUS-SEGMENT'!$Q$8:$Q$1000*'ANALYSE - ERP =&gt; SOUS-SEGMENT'!$BE$8:$BE$1000),""))</f>
        <v>0.03</v>
      </c>
      <c r="IS15" s="730">
        <f>IF($B15="","",IFERROR(SUMPRODUCT(('ANALYSE - ERP =&gt; SOUS-SEGMENT'!$B$8:$B$1000=$B15)*'ANALYSE - ERP =&gt; SOUS-SEGMENT'!$Q$8:$Q$1000*'ANALYSE - ERP =&gt; SOUS-SEGMENT'!$BE$8:$BE$1000*'ANALYSE - ERP =&gt; SOUS-SEGMENT'!$IS$8:$IS$1000)/SUMPRODUCT(('ANALYSE - ERP =&gt; SOUS-SEGMENT'!$B$8:$B$1000=$B15)*'ANALYSE - ERP =&gt; SOUS-SEGMENT'!$Q$8:$Q$1000*'ANALYSE - ERP =&gt; SOUS-SEGMENT'!$BE$8:$BE$1000),""))</f>
        <v>0</v>
      </c>
      <c r="IT15" s="730">
        <f>IF($B15="","",IFERROR(SUMPRODUCT(('ANALYSE - ERP =&gt; SOUS-SEGMENT'!$B$8:$B$1000=$B15)*'ANALYSE - ERP =&gt; SOUS-SEGMENT'!$Q$8:$Q$1000*'ANALYSE - ERP =&gt; SOUS-SEGMENT'!$FB$8:$FB$1000*'ANALYSE - ERP =&gt; SOUS-SEGMENT'!$IT$8:$IT$1000)/SUMPRODUCT(('ANALYSE - ERP =&gt; SOUS-SEGMENT'!$B$8:$B$1000=$B15)*'ANALYSE - ERP =&gt; SOUS-SEGMENT'!$Q$8:$Q$1000*'ANALYSE - ERP =&gt; SOUS-SEGMENT'!$FB$8:$FB$1000),""))</f>
        <v>8.0099999999999991E-2</v>
      </c>
      <c r="IU15" s="730">
        <f>IF($B15="","",IFERROR(SUMPRODUCT(('ANALYSE - ERP =&gt; SOUS-SEGMENT'!$B$8:$B$1000=$B15)*'ANALYSE - ERP =&gt; SOUS-SEGMENT'!$Q$8:$Q$1000*'ANALYSE - ERP =&gt; SOUS-SEGMENT'!$FB$8:$FB$1000*'ANALYSE - ERP =&gt; SOUS-SEGMENT'!$IU$8:$IU$1000)/SUMPRODUCT(('ANALYSE - ERP =&gt; SOUS-SEGMENT'!$B$8:$B$1000=$B15)*'ANALYSE - ERP =&gt; SOUS-SEGMENT'!$Q$8:$Q$1000*'ANALYSE - ERP =&gt; SOUS-SEGMENT'!$FB$8:$FB$1000),""))</f>
        <v>0.50569999999999993</v>
      </c>
      <c r="IV15" s="730">
        <f>IF($B15="","",IFERROR(SUMPRODUCT(('ANALYSE - ERP =&gt; SOUS-SEGMENT'!$B$8:$B$1000=$B15)*'ANALYSE - ERP =&gt; SOUS-SEGMENT'!$Q$8:$Q$1000*'ANALYSE - ERP =&gt; SOUS-SEGMENT'!$FB$8:$FB$1000*'ANALYSE - ERP =&gt; SOUS-SEGMENT'!$IV$8:$IV$1000)/SUMPRODUCT(('ANALYSE - ERP =&gt; SOUS-SEGMENT'!$B$8:$B$1000=$B15)*'ANALYSE - ERP =&gt; SOUS-SEGMENT'!$Q$8:$Q$1000*'ANALYSE - ERP =&gt; SOUS-SEGMENT'!$FB$8:$FB$1000),""))</f>
        <v>0.35989999999999994</v>
      </c>
      <c r="IW15" s="730">
        <f>IF($B15="","",IFERROR(SUMPRODUCT(('ANALYSE - ERP =&gt; SOUS-SEGMENT'!$B$8:$B$1000=$B15)*'ANALYSE - ERP =&gt; SOUS-SEGMENT'!$Q$8:$Q$1000*'ANALYSE - ERP =&gt; SOUS-SEGMENT'!$FB$8:$FB$1000*'ANALYSE - ERP =&gt; SOUS-SEGMENT'!$IW$8:$IW$1000)/SUMPRODUCT(('ANALYSE - ERP =&gt; SOUS-SEGMENT'!$B$8:$B$1000=$B15)*'ANALYSE - ERP =&gt; SOUS-SEGMENT'!$Q$8:$Q$1000*'ANALYSE - ERP =&gt; SOUS-SEGMENT'!$FB$8:$FB$1000),""))</f>
        <v>4.99E-2</v>
      </c>
      <c r="IX15" s="730">
        <f>IF($B15="","",IFERROR(SUMPRODUCT(('ANALYSE - ERP =&gt; SOUS-SEGMENT'!$B$8:$B$1000=$B15)*'ANALYSE - ERP =&gt; SOUS-SEGMENT'!$Q$8:$Q$1000*'ANALYSE - ERP =&gt; SOUS-SEGMENT'!$FB$8:$FB$1000*'ANALYSE - ERP =&gt; SOUS-SEGMENT'!$IX$8:$IX$1000)/SUMPRODUCT(('ANALYSE - ERP =&gt; SOUS-SEGMENT'!$B$8:$B$1000=$B15)*'ANALYSE - ERP =&gt; SOUS-SEGMENT'!$Q$8:$Q$1000*'ANALYSE - ERP =&gt; SOUS-SEGMENT'!$FB$8:$FB$1000),""))</f>
        <v>4.4000000000000003E-3</v>
      </c>
      <c r="IY15" s="730">
        <f>IF($B15="","",IFERROR(SUMPRODUCT(('ANALYSE - ERP =&gt; SOUS-SEGMENT'!$B$8:$B$1000=$B15)*'ANALYSE - ERP =&gt; SOUS-SEGMENT'!$Q$8:$Q$1000*'ANALYSE - ERP =&gt; SOUS-SEGMENT'!$BF$8:$BF$1000*'ANALYSE - ERP =&gt; SOUS-SEGMENT'!$IY$8:$IY$1000)/SUMPRODUCT(('ANALYSE - ERP =&gt; SOUS-SEGMENT'!$B$8:$B$1000=$B15)*'ANALYSE - ERP =&gt; SOUS-SEGMENT'!$Q$8:$Q$1000*'ANALYSE - ERP =&gt; SOUS-SEGMENT'!$BF$8:$BF$1000),""))</f>
        <v>0.10220000000000001</v>
      </c>
      <c r="IZ15" s="730">
        <f>IF($B15="","",IFERROR(SUMPRODUCT(('ANALYSE - ERP =&gt; SOUS-SEGMENT'!$B$8:$B$1000=$B15)*'ANALYSE - ERP =&gt; SOUS-SEGMENT'!$Q$8:$Q$1000*'ANALYSE - ERP =&gt; SOUS-SEGMENT'!$BF$8:$BF$1000*'ANALYSE - ERP =&gt; SOUS-SEGMENT'!$IZ$8:$IZ$1000)/SUMPRODUCT(('ANALYSE - ERP =&gt; SOUS-SEGMENT'!$B$8:$B$1000=$B15)*'ANALYSE - ERP =&gt; SOUS-SEGMENT'!$Q$8:$Q$1000*'ANALYSE - ERP =&gt; SOUS-SEGMENT'!$BF$8:$BF$1000),""))</f>
        <v>0.54189999999999994</v>
      </c>
      <c r="JA15" s="730">
        <f>IF($B15="","",IFERROR(SUMPRODUCT(('ANALYSE - ERP =&gt; SOUS-SEGMENT'!$B$8:$B$1000=$B15)*'ANALYSE - ERP =&gt; SOUS-SEGMENT'!$Q$8:$Q$1000*'ANALYSE - ERP =&gt; SOUS-SEGMENT'!$BF$8:$BF$1000*'ANALYSE - ERP =&gt; SOUS-SEGMENT'!$JA$8:$JA$1000)/SUMPRODUCT(('ANALYSE - ERP =&gt; SOUS-SEGMENT'!$B$8:$B$1000=$B15)*'ANALYSE - ERP =&gt; SOUS-SEGMENT'!$Q$8:$Q$1000*'ANALYSE - ERP =&gt; SOUS-SEGMENT'!$BF$8:$BF$1000),""))</f>
        <v>0.33110000000000001</v>
      </c>
      <c r="JB15" s="730">
        <f>IF($B15="","",IFERROR(SUMPRODUCT(('ANALYSE - ERP =&gt; SOUS-SEGMENT'!$B$8:$B$1000=$B15)*'ANALYSE - ERP =&gt; SOUS-SEGMENT'!$Q$8:$Q$1000*'ANALYSE - ERP =&gt; SOUS-SEGMENT'!$BF$8:$BF$1000*'ANALYSE - ERP =&gt; SOUS-SEGMENT'!$JB$8:$JB$1000)/SUMPRODUCT(('ANALYSE - ERP =&gt; SOUS-SEGMENT'!$B$8:$B$1000=$B15)*'ANALYSE - ERP =&gt; SOUS-SEGMENT'!$Q$8:$Q$1000*'ANALYSE - ERP =&gt; SOUS-SEGMENT'!$BF$8:$BF$1000),""))</f>
        <v>2.4799999999999996E-2</v>
      </c>
      <c r="JC15" s="730">
        <f>IF($B15="","",IFERROR(SUMPRODUCT(('ANALYSE - ERP =&gt; SOUS-SEGMENT'!$B$8:$B$1000=$B15)*'ANALYSE - ERP =&gt; SOUS-SEGMENT'!$Q$8:$Q$1000*'ANALYSE - ERP =&gt; SOUS-SEGMENT'!$BF$8:$BF$1000*'ANALYSE - ERP =&gt; SOUS-SEGMENT'!$JC$8:$JC$1000)/SUMPRODUCT(('ANALYSE - ERP =&gt; SOUS-SEGMENT'!$B$8:$B$1000=$B15)*'ANALYSE - ERP =&gt; SOUS-SEGMENT'!$Q$8:$Q$1000*'ANALYSE - ERP =&gt; SOUS-SEGMENT'!$BF$8:$BF$1000),""))</f>
        <v>0</v>
      </c>
      <c r="JD15" s="730">
        <f>IF($B15="","",IFERROR(SUMPRODUCT(('ANALYSE - ERP =&gt; SOUS-SEGMENT'!$B$8:$B$1000=$B15)*'ANALYSE - ERP =&gt; SOUS-SEGMENT'!$Q$8:$Q$1000*'ANALYSE - ERP =&gt; SOUS-SEGMENT'!$FE$8:$FE$1000*'ANALYSE - ERP =&gt; SOUS-SEGMENT'!$JD$8:$JD$1000)/SUMPRODUCT(('ANALYSE - ERP =&gt; SOUS-SEGMENT'!$B$8:$B$1000=$B15)*'ANALYSE - ERP =&gt; SOUS-SEGMENT'!$Q$8:$Q$1000*'ANALYSE - ERP =&gt; SOUS-SEGMENT'!$FE$8:$FE$1000),""))</f>
        <v>8.2299999999999998E-2</v>
      </c>
      <c r="JE15" s="730">
        <f>IF($B15="","",IFERROR(SUMPRODUCT(('ANALYSE - ERP =&gt; SOUS-SEGMENT'!$B$8:$B$1000=$B15)*'ANALYSE - ERP =&gt; SOUS-SEGMENT'!$Q$8:$Q$1000*'ANALYSE - ERP =&gt; SOUS-SEGMENT'!$FE$8:$FE$1000*'ANALYSE - ERP =&gt; SOUS-SEGMENT'!$JE$8:$JE$1000)/SUMPRODUCT(('ANALYSE - ERP =&gt; SOUS-SEGMENT'!$B$8:$B$1000=$B15)*'ANALYSE - ERP =&gt; SOUS-SEGMENT'!$Q$8:$Q$1000*'ANALYSE - ERP =&gt; SOUS-SEGMENT'!$FE$8:$FE$1000),""))</f>
        <v>0.51759999999999995</v>
      </c>
      <c r="JF15" s="730">
        <f>IF($B15="","",IFERROR(SUMPRODUCT(('ANALYSE - ERP =&gt; SOUS-SEGMENT'!$B$8:$B$1000=$B15)*'ANALYSE - ERP =&gt; SOUS-SEGMENT'!$Q$8:$Q$1000*'ANALYSE - ERP =&gt; SOUS-SEGMENT'!$FE$8:$FE$1000*'ANALYSE - ERP =&gt; SOUS-SEGMENT'!$JF$8:$JF$1000)/SUMPRODUCT(('ANALYSE - ERP =&gt; SOUS-SEGMENT'!$B$8:$B$1000=$B15)*'ANALYSE - ERP =&gt; SOUS-SEGMENT'!$Q$8:$Q$1000*'ANALYSE - ERP =&gt; SOUS-SEGMENT'!$FE$8:$FE$1000),""))</f>
        <v>0.35100000000000003</v>
      </c>
      <c r="JG15" s="730">
        <f>IF($B15="","",IFERROR(SUMPRODUCT(('ANALYSE - ERP =&gt; SOUS-SEGMENT'!$B$8:$B$1000=$B15)*'ANALYSE - ERP =&gt; SOUS-SEGMENT'!$Q$8:$Q$1000*'ANALYSE - ERP =&gt; SOUS-SEGMENT'!$FE$8:$FE$1000*'ANALYSE - ERP =&gt; SOUS-SEGMENT'!$JG$8:$JG$1000)/SUMPRODUCT(('ANALYSE - ERP =&gt; SOUS-SEGMENT'!$B$8:$B$1000=$B15)*'ANALYSE - ERP =&gt; SOUS-SEGMENT'!$Q$8:$Q$1000*'ANALYSE - ERP =&gt; SOUS-SEGMENT'!$FE$8:$FE$1000),""))</f>
        <v>4.4700000000000004E-2</v>
      </c>
      <c r="JH15" s="730">
        <f>IF($B15="","",IFERROR(SUMPRODUCT(('ANALYSE - ERP =&gt; SOUS-SEGMENT'!$B$8:$B$1000=$B15)*'ANALYSE - ERP =&gt; SOUS-SEGMENT'!$Q$8:$Q$1000*'ANALYSE - ERP =&gt; SOUS-SEGMENT'!$FE$8:$FE$1000*'ANALYSE - ERP =&gt; SOUS-SEGMENT'!$JH$8:$JH$1000)/SUMPRODUCT(('ANALYSE - ERP =&gt; SOUS-SEGMENT'!$B$8:$B$1000=$B15)*'ANALYSE - ERP =&gt; SOUS-SEGMENT'!$Q$8:$Q$1000*'ANALYSE - ERP =&gt; SOUS-SEGMENT'!$FE$8:$FE$1000),""))</f>
        <v>4.4000000000000003E-3</v>
      </c>
      <c r="JI15" s="730">
        <f>IF($B15="","",IFERROR(SUMPRODUCT(('ANALYSE - ERP =&gt; SOUS-SEGMENT'!$B$8:$B$1000=$B15)*'ANALYSE - ERP =&gt; SOUS-SEGMENT'!$Q$8:$Q$1000*'ANALYSE - ERP =&gt; SOUS-SEGMENT'!$BG$8:$BG$1000*'ANALYSE - ERP =&gt; SOUS-SEGMENT'!$JI$8:$JI$1000)/SUMPRODUCT(('ANALYSE - ERP =&gt; SOUS-SEGMENT'!$B$8:$B$1000=$B15)*'ANALYSE - ERP =&gt; SOUS-SEGMENT'!$Q$8:$Q$1000*'ANALYSE - ERP =&gt; SOUS-SEGMENT'!$BG$8:$BG$1000),""))</f>
        <v>0.14596200332923209</v>
      </c>
      <c r="JJ15" s="730">
        <f>IF($B15="","",IFERROR(SUMPRODUCT(('ANALYSE - ERP =&gt; SOUS-SEGMENT'!$B$8:$B$1000=$B15)*'ANALYSE - ERP =&gt; SOUS-SEGMENT'!$Q$8:$Q$1000*'ANALYSE - ERP =&gt; SOUS-SEGMENT'!$BG$8:$BG$1000*'ANALYSE - ERP =&gt; SOUS-SEGMENT'!$JJ$8:$JJ$1000)/SUMPRODUCT(('ANALYSE - ERP =&gt; SOUS-SEGMENT'!$B$8:$B$1000=$B15)*'ANALYSE - ERP =&gt; SOUS-SEGMENT'!$Q$8:$Q$1000*'ANALYSE - ERP =&gt; SOUS-SEGMENT'!$BG$8:$BG$1000),""))</f>
        <v>0.58035474415575017</v>
      </c>
      <c r="JK15" s="730">
        <f>IF($B15="","",IFERROR(SUMPRODUCT(('ANALYSE - ERP =&gt; SOUS-SEGMENT'!$B$8:$B$1000=$B15)*'ANALYSE - ERP =&gt; SOUS-SEGMENT'!$Q$8:$Q$1000*'ANALYSE - ERP =&gt; SOUS-SEGMENT'!$BG$8:$BG$1000*'ANALYSE - ERP =&gt; SOUS-SEGMENT'!$JK$8:$JK$1000)/SUMPRODUCT(('ANALYSE - ERP =&gt; SOUS-SEGMENT'!$B$8:$B$1000=$B15)*'ANALYSE - ERP =&gt; SOUS-SEGMENT'!$Q$8:$Q$1000*'ANALYSE - ERP =&gt; SOUS-SEGMENT'!$BG$8:$BG$1000),""))</f>
        <v>0.20685818194977201</v>
      </c>
      <c r="JL15" s="730">
        <f>IF($B15="","",IFERROR(SUMPRODUCT(('ANALYSE - ERP =&gt; SOUS-SEGMENT'!$B$8:$B$1000=$B15)*'ANALYSE - ERP =&gt; SOUS-SEGMENT'!$Q$8:$Q$1000*'ANALYSE - ERP =&gt; SOUS-SEGMENT'!$BG$8:$BG$1000*'ANALYSE - ERP =&gt; SOUS-SEGMENT'!$JL$8:$JL$1000)/SUMPRODUCT(('ANALYSE - ERP =&gt; SOUS-SEGMENT'!$B$8:$B$1000=$B15)*'ANALYSE - ERP =&gt; SOUS-SEGMENT'!$Q$8:$Q$1000*'ANALYSE - ERP =&gt; SOUS-SEGMENT'!$BG$8:$BG$1000),""))</f>
        <v>1.0951870883693999E-2</v>
      </c>
      <c r="JM15" s="730">
        <f>IF($B15="","",IFERROR(SUMPRODUCT(('ANALYSE - ERP =&gt; SOUS-SEGMENT'!$B$8:$B$1000=$B15)*'ANALYSE - ERP =&gt; SOUS-SEGMENT'!$Q$8:$Q$1000*'ANALYSE - ERP =&gt; SOUS-SEGMENT'!$BG$8:$BG$1000*'ANALYSE - ERP =&gt; SOUS-SEGMENT'!$JM$8:$JM$1000)/SUMPRODUCT(('ANALYSE - ERP =&gt; SOUS-SEGMENT'!$B$8:$B$1000=$B15)*'ANALYSE - ERP =&gt; SOUS-SEGMENT'!$Q$8:$Q$1000*'ANALYSE - ERP =&gt; SOUS-SEGMENT'!$BG$8:$BG$1000),""))</f>
        <v>0</v>
      </c>
      <c r="JN15" s="730">
        <f>IF($B15="","",IFERROR(SUMPRODUCT(('ANALYSE - ERP =&gt; SOUS-SEGMENT'!$B$8:$B$1000=$B15)*'ANALYSE - ERP =&gt; SOUS-SEGMENT'!$Q$8:$Q$1000*'ANALYSE - ERP =&gt; SOUS-SEGMENT'!$FH$8:$FH$1000*'ANALYSE - ERP =&gt; SOUS-SEGMENT'!$JN$8:$JN$1000)/SUMPRODUCT(('ANALYSE - ERP =&gt; SOUS-SEGMENT'!$B$8:$B$1000=$B15)*'ANALYSE - ERP =&gt; SOUS-SEGMENT'!$Q$8:$Q$1000*'ANALYSE - ERP =&gt; SOUS-SEGMENT'!$FH$8:$FH$1000),""))</f>
        <v>0.12757908989694644</v>
      </c>
      <c r="JO15" s="730">
        <f>IF($B15="","",IFERROR(SUMPRODUCT(('ANALYSE - ERP =&gt; SOUS-SEGMENT'!$B$8:$B$1000=$B15)*'ANALYSE - ERP =&gt; SOUS-SEGMENT'!$Q$8:$Q$1000*'ANALYSE - ERP =&gt; SOUS-SEGMENT'!$FH$8:$FH$1000*'ANALYSE - ERP =&gt; SOUS-SEGMENT'!$JO$8:$JO$1000)/SUMPRODUCT(('ANALYSE - ERP =&gt; SOUS-SEGMENT'!$B$8:$B$1000=$B15)*'ANALYSE - ERP =&gt; SOUS-SEGMENT'!$Q$8:$Q$1000*'ANALYSE - ERP =&gt; SOUS-SEGMENT'!$FH$8:$FH$1000),""))</f>
        <v>0.55918852765521299</v>
      </c>
      <c r="JP15" s="730">
        <f>IF($B15="","",IFERROR(SUMPRODUCT(('ANALYSE - ERP =&gt; SOUS-SEGMENT'!$B$8:$B$1000=$B15)*'ANALYSE - ERP =&gt; SOUS-SEGMENT'!$Q$8:$Q$1000*'ANALYSE - ERP =&gt; SOUS-SEGMENT'!$FH$8:$FH$1000*'ANALYSE - ERP =&gt; SOUS-SEGMENT'!$JP$8:$JP$1000)/SUMPRODUCT(('ANALYSE - ERP =&gt; SOUS-SEGMENT'!$B$8:$B$1000=$B15)*'ANALYSE - ERP =&gt; SOUS-SEGMENT'!$Q$8:$Q$1000*'ANALYSE - ERP =&gt; SOUS-SEGMENT'!$FH$8:$FH$1000),""))</f>
        <v>0.22636527457587377</v>
      </c>
      <c r="JQ15" s="730">
        <f>IF($B15="","",IFERROR(SUMPRODUCT(('ANALYSE - ERP =&gt; SOUS-SEGMENT'!$B$8:$B$1000=$B15)*'ANALYSE - ERP =&gt; SOUS-SEGMENT'!$Q$8:$Q$1000*'ANALYSE - ERP =&gt; SOUS-SEGMENT'!$FH$8:$FH$1000*'ANALYSE - ERP =&gt; SOUS-SEGMENT'!$JQ$8:$JQ$1000)/SUMPRODUCT(('ANALYSE - ERP =&gt; SOUS-SEGMENT'!$B$8:$B$1000=$B15)*'ANALYSE - ERP =&gt; SOUS-SEGMENT'!$Q$8:$Q$1000*'ANALYSE - ERP =&gt; SOUS-SEGMENT'!$FH$8:$FH$1000),""))</f>
        <v>2.9834753762092152E-2</v>
      </c>
      <c r="JR15" s="730">
        <f>IF($B15="","",IFERROR(SUMPRODUCT(('ANALYSE - ERP =&gt; SOUS-SEGMENT'!$B$8:$B$1000=$B15)*'ANALYSE - ERP =&gt; SOUS-SEGMENT'!$Q$8:$Q$1000*'ANALYSE - ERP =&gt; SOUS-SEGMENT'!$FH$8:$FH$1000*'ANALYSE - ERP =&gt; SOUS-SEGMENT'!$JR$8:$JR$1000)/SUMPRODUCT(('ANALYSE - ERP =&gt; SOUS-SEGMENT'!$B$8:$B$1000=$B15)*'ANALYSE - ERP =&gt; SOUS-SEGMENT'!$Q$8:$Q$1000*'ANALYSE - ERP =&gt; SOUS-SEGMENT'!$FH$8:$FH$1000),""))</f>
        <v>4.1673941762922374E-3</v>
      </c>
      <c r="JS15" s="730">
        <f>IF($B15="","",IFERROR(SUMPRODUCT(('ANALYSE - ERP =&gt; SOUS-SEGMENT'!$B$8:$B$1000=$B15)*'ANALYSE - ERP =&gt; SOUS-SEGMENT'!$Q$8:$Q$1000*'ANALYSE - ERP =&gt; SOUS-SEGMENT'!$BH$8:$BH$1000*'ANALYSE - ERP =&gt; SOUS-SEGMENT'!$JS$8:$JS$1000)/SUMPRODUCT(('ANALYSE - ERP =&gt; SOUS-SEGMENT'!$B$8:$B$1000=$B15)*'ANALYSE - ERP =&gt; SOUS-SEGMENT'!$Q$8:$Q$1000*'ANALYSE - ERP =&gt; SOUS-SEGMENT'!$BH$8:$BH$1000),""))</f>
        <v>0.1066</v>
      </c>
      <c r="JT15" s="730">
        <f>IF($B15="","",IFERROR(SUMPRODUCT(('ANALYSE - ERP =&gt; SOUS-SEGMENT'!$B$8:$B$1000=$B15)*'ANALYSE - ERP =&gt; SOUS-SEGMENT'!$Q$8:$Q$1000*'ANALYSE - ERP =&gt; SOUS-SEGMENT'!$BH$8:$BH$1000*'ANALYSE - ERP =&gt; SOUS-SEGMENT'!$JT$8:$JT$1000)/SUMPRODUCT(('ANALYSE - ERP =&gt; SOUS-SEGMENT'!$B$8:$B$1000=$B15)*'ANALYSE - ERP =&gt; SOUS-SEGMENT'!$Q$8:$Q$1000*'ANALYSE - ERP =&gt; SOUS-SEGMENT'!$BH$8:$BH$1000),""))</f>
        <v>0.53920000000000001</v>
      </c>
      <c r="JU15" s="730">
        <f>IF($B15="","",IFERROR(SUMPRODUCT(('ANALYSE - ERP =&gt; SOUS-SEGMENT'!$B$8:$B$1000=$B15)*'ANALYSE - ERP =&gt; SOUS-SEGMENT'!$Q$8:$Q$1000*'ANALYSE - ERP =&gt; SOUS-SEGMENT'!$BH$8:$BH$1000*'ANALYSE - ERP =&gt; SOUS-SEGMENT'!$JU$8:$JU$1000)/SUMPRODUCT(('ANALYSE - ERP =&gt; SOUS-SEGMENT'!$B$8:$B$1000=$B15)*'ANALYSE - ERP =&gt; SOUS-SEGMENT'!$Q$8:$Q$1000*'ANALYSE - ERP =&gt; SOUS-SEGMENT'!$BH$8:$BH$1000),""))</f>
        <v>0.32950000000000002</v>
      </c>
      <c r="JV15" s="730">
        <f>IF($B15="","",IFERROR(SUMPRODUCT(('ANALYSE - ERP =&gt; SOUS-SEGMENT'!$B$8:$B$1000=$B15)*'ANALYSE - ERP =&gt; SOUS-SEGMENT'!$Q$8:$Q$1000*'ANALYSE - ERP =&gt; SOUS-SEGMENT'!$BH$8:$BH$1000*'ANALYSE - ERP =&gt; SOUS-SEGMENT'!$JV$8:$JV$1000)/SUMPRODUCT(('ANALYSE - ERP =&gt; SOUS-SEGMENT'!$B$8:$B$1000=$B15)*'ANALYSE - ERP =&gt; SOUS-SEGMENT'!$Q$8:$Q$1000*'ANALYSE - ERP =&gt; SOUS-SEGMENT'!$BH$8:$BH$1000),""))</f>
        <v>2.47E-2</v>
      </c>
      <c r="JW15" s="730">
        <f>IF($B15="","",IFERROR(SUMPRODUCT(('ANALYSE - ERP =&gt; SOUS-SEGMENT'!$B$8:$B$1000=$B15)*'ANALYSE - ERP =&gt; SOUS-SEGMENT'!$Q$8:$Q$1000*'ANALYSE - ERP =&gt; SOUS-SEGMENT'!$BH$8:$BH$1000*'ANALYSE - ERP =&gt; SOUS-SEGMENT'!$JW$8:$JW$1000)/SUMPRODUCT(('ANALYSE - ERP =&gt; SOUS-SEGMENT'!$B$8:$B$1000=$B15)*'ANALYSE - ERP =&gt; SOUS-SEGMENT'!$Q$8:$Q$1000*'ANALYSE - ERP =&gt; SOUS-SEGMENT'!$BH$8:$BH$1000),""))</f>
        <v>0</v>
      </c>
      <c r="JX15" s="730">
        <f>IF($B15="","",IFERROR(SUMPRODUCT(('ANALYSE - ERP =&gt; SOUS-SEGMENT'!$B$8:$B$1000=$B15)*'ANALYSE - ERP =&gt; SOUS-SEGMENT'!$Q$8:$Q$1000*'ANALYSE - ERP =&gt; SOUS-SEGMENT'!$FK$8:$FK$1000*'ANALYSE - ERP =&gt; SOUS-SEGMENT'!$JX$8:$JX$1000)/SUMPRODUCT(('ANALYSE - ERP =&gt; SOUS-SEGMENT'!$B$8:$B$1000=$B15)*'ANALYSE - ERP =&gt; SOUS-SEGMENT'!$Q$8:$Q$1000*'ANALYSE - ERP =&gt; SOUS-SEGMENT'!$FK$8:$FK$1000),""))</f>
        <v>8.6699999999999999E-2</v>
      </c>
      <c r="JY15" s="730">
        <f>IF($B15="","",IFERROR(SUMPRODUCT(('ANALYSE - ERP =&gt; SOUS-SEGMENT'!$B$8:$B$1000=$B15)*'ANALYSE - ERP =&gt; SOUS-SEGMENT'!$Q$8:$Q$1000*'ANALYSE - ERP =&gt; SOUS-SEGMENT'!$FK$8:$FK$1000*'ANALYSE - ERP =&gt; SOUS-SEGMENT'!$JY$8:$JY$1000)/SUMPRODUCT(('ANALYSE - ERP =&gt; SOUS-SEGMENT'!$B$8:$B$1000=$B15)*'ANALYSE - ERP =&gt; SOUS-SEGMENT'!$Q$8:$Q$1000*'ANALYSE - ERP =&gt; SOUS-SEGMENT'!$FK$8:$FK$1000),""))</f>
        <v>0.51490000000000002</v>
      </c>
      <c r="JZ15" s="730">
        <f>IF($B15="","",IFERROR(SUMPRODUCT(('ANALYSE - ERP =&gt; SOUS-SEGMENT'!$B$8:$B$1000=$B15)*'ANALYSE - ERP =&gt; SOUS-SEGMENT'!$Q$8:$Q$1000*'ANALYSE - ERP =&gt; SOUS-SEGMENT'!$FK$8:$FK$1000*'ANALYSE - ERP =&gt; SOUS-SEGMENT'!$JZ$8:$JZ$1000)/SUMPRODUCT(('ANALYSE - ERP =&gt; SOUS-SEGMENT'!$B$8:$B$1000=$B15)*'ANALYSE - ERP =&gt; SOUS-SEGMENT'!$Q$8:$Q$1000*'ANALYSE - ERP =&gt; SOUS-SEGMENT'!$FK$8:$FK$1000),""))</f>
        <v>0.34940000000000004</v>
      </c>
      <c r="KA15" s="730">
        <f>IF($B15="","",IFERROR(SUMPRODUCT(('ANALYSE - ERP =&gt; SOUS-SEGMENT'!$B$8:$B$1000=$B15)*'ANALYSE - ERP =&gt; SOUS-SEGMENT'!$Q$8:$Q$1000*'ANALYSE - ERP =&gt; SOUS-SEGMENT'!$FK$8:$FK$1000*'ANALYSE - ERP =&gt; SOUS-SEGMENT'!$KA$8:$KA$1000)/SUMPRODUCT(('ANALYSE - ERP =&gt; SOUS-SEGMENT'!$B$8:$B$1000=$B15)*'ANALYSE - ERP =&gt; SOUS-SEGMENT'!$Q$8:$Q$1000*'ANALYSE - ERP =&gt; SOUS-SEGMENT'!$FK$8:$FK$1000),""))</f>
        <v>4.4600000000000008E-2</v>
      </c>
      <c r="KB15" s="730">
        <f>IF($B15="","",IFERROR(SUMPRODUCT(('ANALYSE - ERP =&gt; SOUS-SEGMENT'!$B$8:$B$1000=$B15)*'ANALYSE - ERP =&gt; SOUS-SEGMENT'!$Q$8:$Q$1000*'ANALYSE - ERP =&gt; SOUS-SEGMENT'!$FK$8:$FK$1000*'ANALYSE - ERP =&gt; SOUS-SEGMENT'!$KB$8:$KB$1000)/SUMPRODUCT(('ANALYSE - ERP =&gt; SOUS-SEGMENT'!$B$8:$B$1000=$B15)*'ANALYSE - ERP =&gt; SOUS-SEGMENT'!$Q$8:$Q$1000*'ANALYSE - ERP =&gt; SOUS-SEGMENT'!$FK$8:$FK$1000),""))</f>
        <v>4.4000000000000003E-3</v>
      </c>
      <c r="KC15" s="657"/>
      <c r="KD15" s="920" t="s">
        <v>2590</v>
      </c>
      <c r="KE15" s="920" t="s">
        <v>2590</v>
      </c>
      <c r="KF15" s="866">
        <f>IF($B15="","",IFERROR(SUMPRODUCT(('ANALYSE - ERP =&gt; SOUS-SEGMENT'!$B$8:$B$1000=$B15)*'ANALYSE - ERP =&gt; SOUS-SEGMENT'!$Q$8:$Q$1000*'ANALYSE - ERP =&gt; SOUS-SEGMENT'!$IE$8:$IE$1000*'ANALYSE - ERP =&gt; SOUS-SEGMENT'!$KF$8:$KF$1000)/SUMPRODUCT(('ANALYSE - ERP =&gt; SOUS-SEGMENT'!$B$8:$B$1000=$B15)*'ANALYSE - ERP =&gt; SOUS-SEGMENT'!$Q$8:$Q$1000*'ANALYSE - ERP =&gt; SOUS-SEGMENT'!$IE$8:$IE$1000),""))</f>
        <v>4.1500000000000004</v>
      </c>
      <c r="KG15" s="920" t="s">
        <v>2589</v>
      </c>
      <c r="KH15" s="920" t="s">
        <v>4324</v>
      </c>
      <c r="KI15" s="920" t="s">
        <v>3028</v>
      </c>
      <c r="KJ15" s="920" t="s">
        <v>5994</v>
      </c>
    </row>
    <row r="16" spans="1:327" ht="240" customHeight="1">
      <c r="A16" s="957">
        <f>IF($B16="","",ROWS($A$8:A16))</f>
        <v>9</v>
      </c>
      <c r="B16" s="958" t="s">
        <v>2278</v>
      </c>
      <c r="C16" s="958" t="s">
        <v>6575</v>
      </c>
      <c r="D16" s="959" t="s">
        <v>6576</v>
      </c>
      <c r="E16" s="960" t="s">
        <v>6577</v>
      </c>
      <c r="F16" s="960" t="s">
        <v>6578</v>
      </c>
      <c r="G16" s="960" t="s">
        <v>6579</v>
      </c>
      <c r="H16" s="960" t="s">
        <v>6580</v>
      </c>
      <c r="I16" s="960" t="s">
        <v>6581</v>
      </c>
      <c r="J16" s="960" t="s">
        <v>6582</v>
      </c>
      <c r="K16" s="960" t="s">
        <v>6583</v>
      </c>
      <c r="L16" s="960" t="s">
        <v>6584</v>
      </c>
      <c r="M16" s="960" t="s">
        <v>6585</v>
      </c>
      <c r="N16" s="960" t="s">
        <v>6586</v>
      </c>
      <c r="O16" s="960" t="s">
        <v>6587</v>
      </c>
      <c r="P16" s="960"/>
      <c r="Q16" s="270">
        <f>IF($B16="","",IF(SUMIFS('ANALYSE - ERP =&gt; SOUS-SEGMENT'!$Q$8:$Q$1000,'ANALYSE - ERP =&gt; SOUS-SEGMENT'!$B$8:$B$1000,$B16)&gt;0,1,0))</f>
        <v>1</v>
      </c>
      <c r="R16" s="271">
        <f>IF($B16="","",IFERROR(SUMPRODUCT(('ANALYSE - ERP =&gt; SOUS-SEGMENT'!$B$8:$B$1000=$B16)*'ANALYSE - ERP =&gt; SOUS-SEGMENT'!$Q$8:$Q$1000*'ANALYSE - ERP =&gt; SOUS-SEGMENT'!$AF$8:$AF$1000*'ANALYSE - ERP =&gt; SOUS-SEGMENT'!$R$8:$R$1000)/SUMPRODUCT(('ANALYSE - ERP =&gt; SOUS-SEGMENT'!$B$8:$B$1000=$B16)*'ANALYSE - ERP =&gt; SOUS-SEGMENT'!$Q$8:$Q$1000*'ANALYSE - ERP =&gt; SOUS-SEGMENT'!$AF$8:$AF$1000),""))</f>
        <v>448.24486028896951</v>
      </c>
      <c r="S16" s="272">
        <f>IF($B16="","",SUMPRODUCT(('ANALYSE - ERP =&gt; SOUS-SEGMENT'!$B$8:$B$1000=$B16)*'ANALYSE - ERP =&gt; SOUS-SEGMENT'!$Q$8:$Q$1000*'ANALYSE - ERP =&gt; SOUS-SEGMENT'!$S$8:$S$1000))</f>
        <v>58946</v>
      </c>
      <c r="T16" s="272">
        <f>IF($B16="","",SUMPRODUCT(('ANALYSE - ERP =&gt; SOUS-SEGMENT'!$B$8:$B$1000=$B16)*'ANALYSE - ERP =&gt; SOUS-SEGMENT'!$Q$8:$Q$1000*'ANALYSE - ERP =&gt; SOUS-SEGMENT'!$T$8:$T$1000))</f>
        <v>60322</v>
      </c>
      <c r="U16" s="272">
        <f>IF($B16="","",SUMPRODUCT(('ANALYSE - ERP =&gt; SOUS-SEGMENT'!$B$8:$B$1000=$B16)*'ANALYSE - ERP =&gt; SOUS-SEGMENT'!$Q$8:$Q$1000*'ANALYSE - ERP =&gt; SOUS-SEGMENT'!$U$8:$U$1000))</f>
        <v>60976</v>
      </c>
      <c r="V16" s="272">
        <f>IF($B16="","",SUMPRODUCT(('ANALYSE - ERP =&gt; SOUS-SEGMENT'!$B$8:$B$1000=$B16)*'ANALYSE - ERP =&gt; SOUS-SEGMENT'!$Q$8:$Q$1000*'ANALYSE - ERP =&gt; SOUS-SEGMENT'!$V$8:$V$1000))</f>
        <v>61223</v>
      </c>
      <c r="W16" s="272">
        <f>IF($B16="","",SUMPRODUCT(('ANALYSE - ERP =&gt; SOUS-SEGMENT'!$B$8:$B$1000=$B16)*'ANALYSE - ERP =&gt; SOUS-SEGMENT'!$Q$8:$Q$1000*'ANALYSE - ERP =&gt; SOUS-SEGMENT'!$W$8:$W$1000))</f>
        <v>61309</v>
      </c>
      <c r="X16" s="272">
        <f>IF($B16="","",SUMPRODUCT(('ANALYSE - ERP =&gt; SOUS-SEGMENT'!$B$8:$B$1000=$B16)*'ANALYSE - ERP =&gt; SOUS-SEGMENT'!$Q$8:$Q$1000*'ANALYSE - ERP =&gt; SOUS-SEGMENT'!$X$8:$X$1000))</f>
        <v>60865</v>
      </c>
      <c r="Y16" s="272">
        <f>IF($B16="","",SUMPRODUCT(('ANALYSE - ERP =&gt; SOUS-SEGMENT'!$B$8:$B$1000=$B16)*'ANALYSE - ERP =&gt; SOUS-SEGMENT'!$Q$8:$Q$1000*'ANALYSE - ERP =&gt; SOUS-SEGMENT'!$Y$8:$Y$1000))</f>
        <v>61244</v>
      </c>
      <c r="Z16" s="272">
        <f>IF($B16="","",SUMPRODUCT(('ANALYSE - ERP =&gt; SOUS-SEGMENT'!$B$8:$B$1000=$B16)*'ANALYSE - ERP =&gt; SOUS-SEGMENT'!$Q$8:$Q$1000*'ANALYSE - ERP =&gt; SOUS-SEGMENT'!$Z$8:$Z$1000))</f>
        <v>61539</v>
      </c>
      <c r="AA16" s="272">
        <f>IF($B16="","",SUMPRODUCT(('ANALYSE - ERP =&gt; SOUS-SEGMENT'!$B$8:$B$1000=$B16)*'ANALYSE - ERP =&gt; SOUS-SEGMENT'!$Q$8:$Q$1000*'ANALYSE - ERP =&gt; SOUS-SEGMENT'!$AA$8:$AA$1000))</f>
        <v>61714</v>
      </c>
      <c r="AB16" s="272">
        <f>IF($B16="","",SUMPRODUCT(('ANALYSE - ERP =&gt; SOUS-SEGMENT'!$B$8:$B$1000=$B16)*'ANALYSE - ERP =&gt; SOUS-SEGMENT'!$Q$8:$Q$1000*'ANALYSE - ERP =&gt; SOUS-SEGMENT'!$AB$8:$AB$1000))</f>
        <v>61979</v>
      </c>
      <c r="AC16" s="272">
        <f>IF($B16="","",SUMPRODUCT(('ANALYSE - ERP =&gt; SOUS-SEGMENT'!$B$8:$B$1000=$B16)*'ANALYSE - ERP =&gt; SOUS-SEGMENT'!$Q$8:$Q$1000*'ANALYSE - ERP =&gt; SOUS-SEGMENT'!$AC$8:$AC$1000))</f>
        <v>62338</v>
      </c>
      <c r="AD16" s="272">
        <f>IF($B16="","",SUMPRODUCT(('ANALYSE - ERP =&gt; SOUS-SEGMENT'!$B$8:$B$1000=$B16)*'ANALYSE - ERP =&gt; SOUS-SEGMENT'!$Q$8:$Q$1000*'ANALYSE - ERP =&gt; SOUS-SEGMENT'!$AD$8:$AD$1000))</f>
        <v>62584</v>
      </c>
      <c r="AE16" s="272">
        <f>IF($B16="","",SUMPRODUCT(('ANALYSE - ERP =&gt; SOUS-SEGMENT'!$B$8:$B$1000=$B16)*'ANALYSE - ERP =&gt; SOUS-SEGMENT'!$Q$8:$Q$1000*'ANALYSE - ERP =&gt; SOUS-SEGMENT'!$AE$8:$AE$1000))</f>
        <v>62826</v>
      </c>
      <c r="AF16" s="272">
        <f>IF($B16="","",SUMPRODUCT(('ANALYSE - ERP =&gt; SOUS-SEGMENT'!$B$8:$B$1000=$B16)*'ANALYSE - ERP =&gt; SOUS-SEGMENT'!$Q$8:$Q$1000*'ANALYSE - ERP =&gt; SOUS-SEGMENT'!$AF$8:$AF$1000))</f>
        <v>62844</v>
      </c>
      <c r="AG16" s="272">
        <f>IF($B16="","",SUMPRODUCT(('ANALYSE - ERP =&gt; SOUS-SEGMENT'!$B$8:$B$1000=$B16)*'ANALYSE - ERP =&gt; SOUS-SEGMENT'!$Q$8:$Q$1000*'ANALYSE - ERP =&gt; SOUS-SEGMENT'!$AG$8:$AG$1000))</f>
        <v>62936</v>
      </c>
      <c r="AH16" s="272">
        <f>IF($B16="","",SUMPRODUCT(('ANALYSE - ERP =&gt; SOUS-SEGMENT'!$B$8:$B$1000=$B16)*'ANALYSE - ERP =&gt; SOUS-SEGMENT'!$Q$8:$Q$1000*'ANALYSE - ERP =&gt; SOUS-SEGMENT'!$AH$8:$AH$1000))</f>
        <v>63011</v>
      </c>
      <c r="AI16" s="272">
        <f>IF($B16="","",SUMPRODUCT(('ANALYSE - ERP =&gt; SOUS-SEGMENT'!$B$8:$B$1000=$B16)*'ANALYSE - ERP =&gt; SOUS-SEGMENT'!$Q$8:$Q$1000*'ANALYSE - ERP =&gt; SOUS-SEGMENT'!$AI$8:$AI$1000))</f>
        <v>63084</v>
      </c>
      <c r="AJ16" s="272">
        <f>IF($B16="","",SUMPRODUCT(('ANALYSE - ERP =&gt; SOUS-SEGMENT'!$B$8:$B$1000=$B16)*'ANALYSE - ERP =&gt; SOUS-SEGMENT'!$Q$8:$Q$1000*'ANALYSE - ERP =&gt; SOUS-SEGMENT'!$AJ$8:$AJ$1000))</f>
        <v>63145</v>
      </c>
      <c r="AK16" s="272">
        <f>IF($B16="","",SUMPRODUCT(('ANALYSE - ERP =&gt; SOUS-SEGMENT'!$B$8:$B$1000=$B16)*'ANALYSE - ERP =&gt; SOUS-SEGMENT'!$Q$8:$Q$1000*'ANALYSE - ERP =&gt; SOUS-SEGMENT'!$AK$8:$AK$1000))</f>
        <v>63207</v>
      </c>
      <c r="AL16" s="960" t="s">
        <v>6588</v>
      </c>
      <c r="AM16" s="960" t="s">
        <v>6589</v>
      </c>
      <c r="AN16" s="960" t="s">
        <v>6590</v>
      </c>
      <c r="AO16" s="657"/>
      <c r="AP16" s="271">
        <f>IF($B16="","",IFERROR(SUMPRODUCT(('ANALYSE - ERP =&gt; SOUS-SEGMENT'!$B$8:$B$1000=$B16)*'ANALYSE - ERP =&gt; SOUS-SEGMENT'!$Q$8:$Q$1000*'ANALYSE - ERP =&gt; SOUS-SEGMENT'!$AF$8:$AF$1000*'ANALYSE - ERP =&gt; SOUS-SEGMENT'!$AP$8:$AP$1000)/SUMPRODUCT(('ANALYSE - ERP =&gt; SOUS-SEGMENT'!$B$8:$B$1000=$B16)*'ANALYSE - ERP =&gt; SOUS-SEGMENT'!$Q$8:$Q$1000*'ANALYSE - ERP =&gt; SOUS-SEGMENT'!$AF$8:$AF$1000),""))</f>
        <v>59.506874164598052</v>
      </c>
      <c r="AQ16" s="280">
        <f>IF($B16="","",IFERROR(SUMPRODUCT(('ANALYSE - ERP =&gt; SOUS-SEGMENT'!$B$8:$B$1000=$B16)*'ANALYSE - ERP =&gt; SOUS-SEGMENT'!$Q$8:$Q$1000*'ANALYSE - ERP =&gt; SOUS-SEGMENT'!$AF$8:$AF$1000*'ANALYSE - ERP =&gt; SOUS-SEGMENT'!$AQ$8:$AQ$1000)/SUMPRODUCT(('ANALYSE - ERP =&gt; SOUS-SEGMENT'!$B$8:$B$1000=$B16)*'ANALYSE - ERP =&gt; SOUS-SEGMENT'!$Q$8:$Q$1000*'ANALYSE - ERP =&gt; SOUS-SEGMENT'!$AF$8:$AF$1000),""))</f>
        <v>45.064063395073518</v>
      </c>
      <c r="AR16" s="280">
        <f>IF($B16="","",IFERROR(SUMPRODUCT(('ANALYSE - ERP =&gt; SOUS-SEGMENT'!$B$8:$B$1000=$B16)*'ANALYSE - ERP =&gt; SOUS-SEGMENT'!$Q$8:$Q$1000*'ANALYSE - ERP =&gt; SOUS-SEGMENT'!$AF$8:$AF$1000*'ANALYSE - ERP =&gt; SOUS-SEGMENT'!$AR$8:$AR$1000)/SUMPRODUCT(('ANALYSE - ERP =&gt; SOUS-SEGMENT'!$B$8:$B$1000=$B16)*'ANALYSE - ERP =&gt; SOUS-SEGMENT'!$Q$8:$Q$1000*'ANALYSE - ERP =&gt; SOUS-SEGMENT'!$AF$8:$AF$1000),""))</f>
        <v>11.333317420915282</v>
      </c>
      <c r="AS16" s="280">
        <f>IF($B16="","",IFERROR(SUMPRODUCT(('ANALYSE - ERP =&gt; SOUS-SEGMENT'!$B$8:$B$1000=$B16)*'ANALYSE - ERP =&gt; SOUS-SEGMENT'!$Q$8:$Q$1000*'ANALYSE - ERP =&gt; SOUS-SEGMENT'!$AF$8:$AF$1000*'ANALYSE - ERP =&gt; SOUS-SEGMENT'!$AS$8:$AS$1000)/SUMPRODUCT(('ANALYSE - ERP =&gt; SOUS-SEGMENT'!$B$8:$B$1000=$B16)*'ANALYSE - ERP =&gt; SOUS-SEGMENT'!$Q$8:$Q$1000*'ANALYSE - ERP =&gt; SOUS-SEGMENT'!$AF$8:$AF$1000),""))</f>
        <v>3.1094933486092549</v>
      </c>
      <c r="AT16" s="657"/>
      <c r="AU16" s="647" t="s">
        <v>6591</v>
      </c>
      <c r="AV16" s="647" t="s">
        <v>6592</v>
      </c>
      <c r="AW16" s="960" t="s">
        <v>6593</v>
      </c>
      <c r="AX16" s="647" t="s">
        <v>6594</v>
      </c>
      <c r="AY16" s="657"/>
      <c r="AZ16" s="948">
        <f>IF($B16="","",IFERROR(SUMPRODUCT(('ANALYSE - ERP =&gt; SOUS-SEGMENT'!$B$8:$B$1000=$B16)*'ANALYSE - ERP =&gt; SOUS-SEGMENT'!$Q$8:$Q$1000*'ANALYSE - ERP =&gt; SOUS-SEGMENT'!$AF$8:$AF$1000*'ANALYSE - ERP =&gt; SOUS-SEGMENT'!$AZ$8:$AZ$1000)/SUMPRODUCT(('ANALYSE - ERP =&gt; SOUS-SEGMENT'!$B$8:$B$1000=$B16)*'ANALYSE - ERP =&gt; SOUS-SEGMENT'!$Q$8:$Q$1000*'ANALYSE - ERP =&gt; SOUS-SEGMENT'!$AF$8:$AF$1000),""))</f>
        <v>3.7092005601171154</v>
      </c>
      <c r="BA16" s="948">
        <f>IF($B16="","",IFERROR(SUMPRODUCT(('ANALYSE - ERP =&gt; SOUS-SEGMENT'!$B$8:$B$1000=$B16)*'ANALYSE - ERP =&gt; SOUS-SEGMENT'!$Q$8:$Q$1000*'ANALYSE - ERP =&gt; SOUS-SEGMENT'!$AF$8:$AF$1000*'ANALYSE - ERP =&gt; SOUS-SEGMENT'!$BA$8:$BA$1000)/SUMPRODUCT(('ANALYSE - ERP =&gt; SOUS-SEGMENT'!$B$8:$B$1000=$B16)*'ANALYSE - ERP =&gt; SOUS-SEGMENT'!$Q$8:$Q$1000*'ANALYSE - ERP =&gt; SOUS-SEGMENT'!$AF$8:$AF$1000),""))</f>
        <v>1.272993444083763E-2</v>
      </c>
      <c r="BB16" s="948">
        <f>IF($B16="","",IFERROR(SUMPRODUCT(('ANALYSE - ERP =&gt; SOUS-SEGMENT'!$B$8:$B$1000=$B16)*'ANALYSE - ERP =&gt; SOUS-SEGMENT'!$Q$8:$Q$1000*'ANALYSE - ERP =&gt; SOUS-SEGMENT'!$AF$8:$AF$1000*'ANALYSE - ERP =&gt; SOUS-SEGMENT'!$BB$8:$BB$1000)/SUMPRODUCT(('ANALYSE - ERP =&gt; SOUS-SEGMENT'!$B$8:$B$1000=$B16)*'ANALYSE - ERP =&gt; SOUS-SEGMENT'!$Q$8:$Q$1000*'ANALYSE - ERP =&gt; SOUS-SEGMENT'!$AF$8:$AF$1000),""))</f>
        <v>0.53334924575138443</v>
      </c>
      <c r="BC16" s="948">
        <f>IF($B16="","",IFERROR(SUMPRODUCT(('ANALYSE - ERP =&gt; SOUS-SEGMENT'!$B$8:$B$1000=$B16)*'ANALYSE - ERP =&gt; SOUS-SEGMENT'!$Q$8:$Q$1000*'ANALYSE - ERP =&gt; SOUS-SEGMENT'!$AF$8:$AF$1000*'ANALYSE - ERP =&gt; SOUS-SEGMENT'!$BC$8:$BC$1000)/SUMPRODUCT(('ANALYSE - ERP =&gt; SOUS-SEGMENT'!$B$8:$B$1000=$B16)*'ANALYSE - ERP =&gt; SOUS-SEGMENT'!$Q$8:$Q$1000*'ANALYSE - ERP =&gt; SOUS-SEGMENT'!$AF$8:$AF$1000),""))</f>
        <v>3.389679205652091</v>
      </c>
      <c r="BD16" s="825">
        <f t="shared" si="1"/>
        <v>480439.8</v>
      </c>
      <c r="BE16" s="304">
        <f>IF($B16="","",SUMPRODUCT(('ANALYSE - ERP =&gt; SOUS-SEGMENT'!$B$8:$B$1000=$B16)*'ANALYSE - ERP =&gt; SOUS-SEGMENT'!$Q$8:$Q$1000*'ANALYSE - ERP =&gt; SOUS-SEGMENT'!$BE$8:$BE$1000))</f>
        <v>233101</v>
      </c>
      <c r="BF16" s="304">
        <f>IF($B16="","",SUMPRODUCT(('ANALYSE - ERP =&gt; SOUS-SEGMENT'!$B$8:$B$1000=$B16)*'ANALYSE - ERP =&gt; SOUS-SEGMENT'!$Q$8:$Q$1000*'ANALYSE - ERP =&gt; SOUS-SEGMENT'!$BF$8:$BF$1000))</f>
        <v>800</v>
      </c>
      <c r="BG16" s="304">
        <f>IF($B16="","",SUMPRODUCT(('ANALYSE - ERP =&gt; SOUS-SEGMENT'!$B$8:$B$1000=$B16)*'ANALYSE - ERP =&gt; SOUS-SEGMENT'!$Q$8:$Q$1000*'ANALYSE - ERP =&gt; SOUS-SEGMENT'!$BG$8:$BG$1000))</f>
        <v>33517.800000000003</v>
      </c>
      <c r="BH16" s="304">
        <f>IF($B16="","",SUMPRODUCT(('ANALYSE - ERP =&gt; SOUS-SEGMENT'!$B$8:$B$1000=$B16)*'ANALYSE - ERP =&gt; SOUS-SEGMENT'!$Q$8:$Q$1000*'ANALYSE - ERP =&gt; SOUS-SEGMENT'!$BH$8:$BH$1000))</f>
        <v>213021</v>
      </c>
      <c r="BI16" s="825">
        <f t="shared" si="2"/>
        <v>483591</v>
      </c>
      <c r="BJ16" s="304">
        <f>IF($B16="","",SUMPRODUCT(('ANALYSE - ERP =&gt; SOUS-SEGMENT'!$B$8:$B$1000=$B16)*'ANALYSE - ERP =&gt; SOUS-SEGMENT'!$Q$8:$Q$1000*'ANALYSE - ERP =&gt; SOUS-SEGMENT'!$BJ$8:$BJ$1000))</f>
        <v>234772</v>
      </c>
      <c r="BK16" s="304">
        <f>IF($B16="","",SUMPRODUCT(('ANALYSE - ERP =&gt; SOUS-SEGMENT'!$B$8:$B$1000=$B16)*'ANALYSE - ERP =&gt; SOUS-SEGMENT'!$Q$8:$Q$1000*'ANALYSE - ERP =&gt; SOUS-SEGMENT'!$BK$8:$BK$1000))</f>
        <v>750</v>
      </c>
      <c r="BL16" s="304">
        <f>IF($B16="","",SUMPRODUCT(('ANALYSE - ERP =&gt; SOUS-SEGMENT'!$B$8:$B$1000=$B16)*'ANALYSE - ERP =&gt; SOUS-SEGMENT'!$Q$8:$Q$1000*'ANALYSE - ERP =&gt; SOUS-SEGMENT'!$BL$8:$BL$1000))</f>
        <v>33753</v>
      </c>
      <c r="BM16" s="304">
        <f>IF($B16="","",SUMPRODUCT(('ANALYSE - ERP =&gt; SOUS-SEGMENT'!$B$8:$B$1000=$B16)*'ANALYSE - ERP =&gt; SOUS-SEGMENT'!$Q$8:$Q$1000*'ANALYSE - ERP =&gt; SOUS-SEGMENT'!$BM$8:$BM$1000))</f>
        <v>214316</v>
      </c>
      <c r="BN16" s="657"/>
      <c r="BO16" s="284">
        <f t="shared" si="3"/>
        <v>0.30721987464661243</v>
      </c>
      <c r="BP16" s="284">
        <f t="shared" si="4"/>
        <v>0.5171619169372933</v>
      </c>
      <c r="BQ16" s="284">
        <f t="shared" si="5"/>
        <v>0.13305665784359572</v>
      </c>
      <c r="BR16" s="710">
        <f t="shared" si="6"/>
        <v>4.2561550572498622E-2</v>
      </c>
      <c r="BS16" s="707">
        <f t="shared" si="7"/>
        <v>0.26627246860784082</v>
      </c>
      <c r="BT16" s="284">
        <f t="shared" si="8"/>
        <v>0.52170033053345377</v>
      </c>
      <c r="BU16" s="284">
        <f t="shared" si="9"/>
        <v>0.17802949244373265</v>
      </c>
      <c r="BV16" s="710">
        <f t="shared" si="10"/>
        <v>3.3997708414972821E-2</v>
      </c>
      <c r="BW16" s="714">
        <f t="shared" si="11"/>
        <v>0.15</v>
      </c>
      <c r="BX16" s="285">
        <f t="shared" si="12"/>
        <v>0.8</v>
      </c>
      <c r="BY16" s="717">
        <f t="shared" si="13"/>
        <v>0.05</v>
      </c>
      <c r="BZ16" s="714">
        <f t="shared" si="14"/>
        <v>0.12</v>
      </c>
      <c r="CA16" s="285">
        <f t="shared" si="15"/>
        <v>0.82</v>
      </c>
      <c r="CB16" s="717">
        <f t="shared" si="16"/>
        <v>0.06</v>
      </c>
      <c r="CC16" s="284">
        <f t="shared" si="17"/>
        <v>0.10947186271175312</v>
      </c>
      <c r="CD16" s="284">
        <f t="shared" si="18"/>
        <v>0.50196415039173203</v>
      </c>
      <c r="CE16" s="284">
        <f t="shared" si="19"/>
        <v>0.19116899080488575</v>
      </c>
      <c r="CF16" s="710">
        <f t="shared" si="20"/>
        <v>0.19739499609162889</v>
      </c>
      <c r="CG16" s="707">
        <f t="shared" si="21"/>
        <v>9.0634906526827236E-2</v>
      </c>
      <c r="CH16" s="284">
        <f t="shared" si="22"/>
        <v>0.49851035463514359</v>
      </c>
      <c r="CI16" s="284">
        <f t="shared" si="23"/>
        <v>0.21557965217906561</v>
      </c>
      <c r="CJ16" s="710">
        <f t="shared" si="24"/>
        <v>0.19527508665896362</v>
      </c>
      <c r="CK16" s="720">
        <f t="shared" si="25"/>
        <v>0.48352082658517231</v>
      </c>
      <c r="CL16" s="286">
        <f t="shared" si="26"/>
        <v>0.35104989648907853</v>
      </c>
      <c r="CM16" s="718">
        <f t="shared" si="27"/>
        <v>0.16542927692574913</v>
      </c>
      <c r="CN16" s="720">
        <f t="shared" si="28"/>
        <v>0.40664215457548658</v>
      </c>
      <c r="CO16" s="286">
        <f t="shared" si="29"/>
        <v>0.38129383713768467</v>
      </c>
      <c r="CP16" s="718">
        <f t="shared" si="30"/>
        <v>0.21206400828682878</v>
      </c>
      <c r="CQ16" s="657"/>
      <c r="CR16" s="807">
        <f>IF($B16="","",IFERROR(SUMPRODUCT(('ANALYSE - ERP =&gt; SOUS-SEGMENT'!$B$8:$B$1000=$B16)*'ANALYSE - ERP =&gt; SOUS-SEGMENT'!$Q$8:$Q$1000*'ANALYSE - ERP =&gt; SOUS-SEGMENT'!$DH$8:$DH$1000*'ANALYSE - ERP =&gt; SOUS-SEGMENT'!$CR$8:$CR$1000)/SUMPRODUCT(('ANALYSE - ERP =&gt; SOUS-SEGMENT'!$B$8:$B$1000=$B16)*'ANALYSE - ERP =&gt; SOUS-SEGMENT'!$Q$8:$Q$1000*'ANALYSE - ERP =&gt; SOUS-SEGMENT'!$DH$8:$DH$1000),""))</f>
        <v>12.867391876867496</v>
      </c>
      <c r="CS16" s="808">
        <f>IF($B16="","",IFERROR(SUMPRODUCT(('ANALYSE - ERP =&gt; SOUS-SEGMENT'!$B$8:$B$1000=$B16)*'ANALYSE - ERP =&gt; SOUS-SEGMENT'!$Q$8:$Q$1000*'ANALYSE - ERP =&gt; SOUS-SEGMENT'!$DI$8:$DI$1000*'ANALYSE - ERP =&gt; SOUS-SEGMENT'!$CS$8:$CS$1000)/SUMPRODUCT(('ANALYSE - ERP =&gt; SOUS-SEGMENT'!$B$8:$B$1000=$B16)*'ANALYSE - ERP =&gt; SOUS-SEGMENT'!$Q$8:$Q$1000*'ANALYSE - ERP =&gt; SOUS-SEGMENT'!$DI$8:$DI$1000),""))</f>
        <v>13.397295716268042</v>
      </c>
      <c r="CT16" s="808">
        <f>IF($B16="","",IFERROR(SUMPRODUCT(('ANALYSE - ERP =&gt; SOUS-SEGMENT'!$B$8:$B$1000=$B16)*'ANALYSE - ERP =&gt; SOUS-SEGMENT'!$Q$8:$Q$1000*'ANALYSE - ERP =&gt; SOUS-SEGMENT'!$DJ$8:$DJ$1000*'ANALYSE - ERP =&gt; SOUS-SEGMENT'!$CT$8:$CT$1000)/SUMPRODUCT(('ANALYSE - ERP =&gt; SOUS-SEGMENT'!$B$8:$B$1000=$B16)*'ANALYSE - ERP =&gt; SOUS-SEGMENT'!$Q$8:$Q$1000*'ANALYSE - ERP =&gt; SOUS-SEGMENT'!$DJ$8:$DJ$1000),""))</f>
        <v>9.8472931720899517</v>
      </c>
      <c r="CU16" s="809">
        <f>IF($B16="","",IFERROR(SUMPRODUCT(('ANALYSE - ERP =&gt; SOUS-SEGMENT'!$B$8:$B$1000=$B16)*'ANALYSE - ERP =&gt; SOUS-SEGMENT'!$Q$8:$Q$1000*'ANALYSE - ERP =&gt; SOUS-SEGMENT'!$DK$8:$DK$1000*'ANALYSE - ERP =&gt; SOUS-SEGMENT'!$CU$8:$CU$1000)/SUMPRODUCT(('ANALYSE - ERP =&gt; SOUS-SEGMENT'!$B$8:$B$1000=$B16)*'ANALYSE - ERP =&gt; SOUS-SEGMENT'!$Q$8:$Q$1000*'ANALYSE - ERP =&gt; SOUS-SEGMENT'!$DK$8:$DK$1000),""))</f>
        <v>11.640253035437455</v>
      </c>
      <c r="CV16" s="807">
        <f>IF($B16="","",IFERROR(SUMPRODUCT(('ANALYSE - ERP =&gt; SOUS-SEGMENT'!$B$8:$B$1000=$B16)*'ANALYSE - ERP =&gt; SOUS-SEGMENT'!$Q$8:$Q$1000*'ANALYSE - ERP =&gt; SOUS-SEGMENT'!$DS$8:$DS$1000*'ANALYSE - ERP =&gt; SOUS-SEGMENT'!$CV$8:$CV$1000)/SUMPRODUCT(('ANALYSE - ERP =&gt; SOUS-SEGMENT'!$B$8:$B$1000=$B16)*'ANALYSE - ERP =&gt; SOUS-SEGMENT'!$Q$8:$Q$1000*'ANALYSE - ERP =&gt; SOUS-SEGMENT'!$DS$8:$DS$1000),""))</f>
        <v>8</v>
      </c>
      <c r="CW16" s="808">
        <f>IF($B16="","",IFERROR(SUMPRODUCT(('ANALYSE - ERP =&gt; SOUS-SEGMENT'!$B$8:$B$1000=$B16)*'ANALYSE - ERP =&gt; SOUS-SEGMENT'!$Q$8:$Q$1000*'ANALYSE - ERP =&gt; SOUS-SEGMENT'!$DT$8:$DT$1000*'ANALYSE - ERP =&gt; SOUS-SEGMENT'!$CW$8:$CW$1000)/SUMPRODUCT(('ANALYSE - ERP =&gt; SOUS-SEGMENT'!$B$8:$B$1000=$B16)*'ANALYSE - ERP =&gt; SOUS-SEGMENT'!$Q$8:$Q$1000*'ANALYSE - ERP =&gt; SOUS-SEGMENT'!$DT$8:$DT$1000),""))</f>
        <v>8</v>
      </c>
      <c r="CX16" s="809">
        <f>IF($B16="","",IFERROR(SUMPRODUCT(('ANALYSE - ERP =&gt; SOUS-SEGMENT'!$B$8:$B$1000=$B16)*'ANALYSE - ERP =&gt; SOUS-SEGMENT'!$Q$8:$Q$1000*'ANALYSE - ERP =&gt; SOUS-SEGMENT'!$DU$8:$DU$1000*'ANALYSE - ERP =&gt; SOUS-SEGMENT'!$CX$8:$CX$1000)/SUMPRODUCT(('ANALYSE - ERP =&gt; SOUS-SEGMENT'!$B$8:$B$1000=$B16)*'ANALYSE - ERP =&gt; SOUS-SEGMENT'!$Q$8:$Q$1000*'ANALYSE - ERP =&gt; SOUS-SEGMENT'!$DU$8:$DU$1000),""))</f>
        <v>7</v>
      </c>
      <c r="CY16" s="807">
        <f>IF($B16="","",IFERROR(SUMPRODUCT(('ANALYSE - ERP =&gt; SOUS-SEGMENT'!$B$8:$B$1000=$B16)*'ANALYSE - ERP =&gt; SOUS-SEGMENT'!$Q$8:$Q$1000*'ANALYSE - ERP =&gt; SOUS-SEGMENT'!$EB$8:$EB$1000*'ANALYSE - ERP =&gt; SOUS-SEGMENT'!$CY$8:$CY$1000)/SUMPRODUCT(('ANALYSE - ERP =&gt; SOUS-SEGMENT'!$B$8:$B$1000=$B16)*'ANALYSE - ERP =&gt; SOUS-SEGMENT'!$Q$8:$Q$1000*'ANALYSE - ERP =&gt; SOUS-SEGMENT'!$EB$8:$EB$1000),""))</f>
        <v>10.797642900904163</v>
      </c>
      <c r="CZ16" s="808">
        <f>IF($B16="","",IFERROR(SUMPRODUCT(('ANALYSE - ERP =&gt; SOUS-SEGMENT'!$B$8:$B$1000=$B16)*'ANALYSE - ERP =&gt; SOUS-SEGMENT'!$Q$8:$Q$1000*'ANALYSE - ERP =&gt; SOUS-SEGMENT'!$EC$8:$EC$1000*'ANALYSE - ERP =&gt; SOUS-SEGMENT'!$CZ$8:$CZ$1000)/SUMPRODUCT(('ANALYSE - ERP =&gt; SOUS-SEGMENT'!$B$8:$B$1000=$B16)*'ANALYSE - ERP =&gt; SOUS-SEGMENT'!$Q$8:$Q$1000*'ANALYSE - ERP =&gt; SOUS-SEGMENT'!$EC$8:$EC$1000),""))</f>
        <v>12.526188645835353</v>
      </c>
      <c r="DA16" s="808">
        <f>IF($B16="","",IFERROR(SUMPRODUCT(('ANALYSE - ERP =&gt; SOUS-SEGMENT'!$B$8:$B$1000=$B16)*'ANALYSE - ERP =&gt; SOUS-SEGMENT'!$Q$8:$Q$1000*'ANALYSE - ERP =&gt; SOUS-SEGMENT'!$ED$8:$ED$1000*'ANALYSE - ERP =&gt; SOUS-SEGMENT'!$DA$8:$DA$1000)/SUMPRODUCT(('ANALYSE - ERP =&gt; SOUS-SEGMENT'!$B$8:$B$1000=$B16)*'ANALYSE - ERP =&gt; SOUS-SEGMENT'!$Q$8:$Q$1000*'ANALYSE - ERP =&gt; SOUS-SEGMENT'!$ED$8:$ED$1000),""))</f>
        <v>8.8468996954224721</v>
      </c>
      <c r="DB16" s="809">
        <f>IF($B16="","",IFERROR(SUMPRODUCT(('ANALYSE - ERP =&gt; SOUS-SEGMENT'!$B$8:$B$1000=$B16)*'ANALYSE - ERP =&gt; SOUS-SEGMENT'!$Q$8:$Q$1000*'ANALYSE - ERP =&gt; SOUS-SEGMENT'!$EE$8:$EE$1000*'ANALYSE - ERP =&gt; SOUS-SEGMENT'!$DB$8:$DB$1000)/SUMPRODUCT(('ANALYSE - ERP =&gt; SOUS-SEGMENT'!$B$8:$B$1000=$B16)*'ANALYSE - ERP =&gt; SOUS-SEGMENT'!$Q$8:$Q$1000*'ANALYSE - ERP =&gt; SOUS-SEGMENT'!$EE$8:$EE$1000),""))</f>
        <v>10.556886185912678</v>
      </c>
      <c r="DC16" s="807">
        <f>IF($B16="","",IFERROR(SUMPRODUCT(('ANALYSE - ERP =&gt; SOUS-SEGMENT'!$B$8:$B$1000=$B16)*'ANALYSE - ERP =&gt; SOUS-SEGMENT'!$Q$8:$Q$1000*'ANALYSE - ERP =&gt; SOUS-SEGMENT'!$EM$8:$EM$1000*'ANALYSE - ERP =&gt; SOUS-SEGMENT'!$DC$8:$DC$1000)/SUMPRODUCT(('ANALYSE - ERP =&gt; SOUS-SEGMENT'!$B$8:$B$1000=$B16)*'ANALYSE - ERP =&gt; SOUS-SEGMENT'!$Q$8:$Q$1000*'ANALYSE - ERP =&gt; SOUS-SEGMENT'!$EM$8:$EM$1000),""))</f>
        <v>13.71165073739256</v>
      </c>
      <c r="DD16" s="808">
        <f>IF($B16="","",IFERROR(SUMPRODUCT(('ANALYSE - ERP =&gt; SOUS-SEGMENT'!$B$8:$B$1000=$B16)*'ANALYSE - ERP =&gt; SOUS-SEGMENT'!$Q$8:$Q$1000*'ANALYSE - ERP =&gt; SOUS-SEGMENT'!$EN$8:$EN$1000*'ANALYSE - ERP =&gt; SOUS-SEGMENT'!$DD$8:$DD$1000)/SUMPRODUCT(('ANALYSE - ERP =&gt; SOUS-SEGMENT'!$B$8:$B$1000=$B16)*'ANALYSE - ERP =&gt; SOUS-SEGMENT'!$Q$8:$Q$1000*'ANALYSE - ERP =&gt; SOUS-SEGMENT'!$EN$8:$EN$1000),""))</f>
        <v>13.506033618165041</v>
      </c>
      <c r="DE16" s="809">
        <f>IF($B16="","",IFERROR(SUMPRODUCT(('ANALYSE - ERP =&gt; SOUS-SEGMENT'!$B$8:$B$1000=$B16)*'ANALYSE - ERP =&gt; SOUS-SEGMENT'!$Q$8:$Q$1000*'ANALYSE - ERP =&gt; SOUS-SEGMENT'!$EO$8:$EO$1000*'ANALYSE - ERP =&gt; SOUS-SEGMENT'!$DE$8:$DE$1000)/SUMPRODUCT(('ANALYSE - ERP =&gt; SOUS-SEGMENT'!$B$8:$B$1000=$B16)*'ANALYSE - ERP =&gt; SOUS-SEGMENT'!$Q$8:$Q$1000*'ANALYSE - ERP =&gt; SOUS-SEGMENT'!$EO$8:$EO$1000),""))</f>
        <v>9.7613075629307797</v>
      </c>
      <c r="DF16" s="921" t="s">
        <v>6595</v>
      </c>
      <c r="DG16" s="657"/>
      <c r="DH16" s="288">
        <f>IF($B16="","",SUMPRODUCT(('ANALYSE - ERP =&gt; SOUS-SEGMENT'!$B$8:$B$1000=$B16)*'ANALYSE - ERP =&gt; SOUS-SEGMENT'!$Q$8:$Q$1000*'ANALYSE - ERP =&gt; SOUS-SEGMENT'!$DH$8:$DH$1000))</f>
        <v>71613.260000000009</v>
      </c>
      <c r="DI16" s="288">
        <f>IF($B16="","",SUMPRODUCT(('ANALYSE - ERP =&gt; SOUS-SEGMENT'!$B$8:$B$1000=$B16)*'ANALYSE - ERP =&gt; SOUS-SEGMENT'!$Q$8:$Q$1000*'ANALYSE - ERP =&gt; SOUS-SEGMENT'!$DI$8:$DI$1000))</f>
        <v>120550.96</v>
      </c>
      <c r="DJ16" s="288">
        <f>IF($B16="","",SUMPRODUCT(('ANALYSE - ERP =&gt; SOUS-SEGMENT'!$B$8:$B$1000=$B16)*'ANALYSE - ERP =&gt; SOUS-SEGMENT'!$Q$8:$Q$1000*'ANALYSE - ERP =&gt; SOUS-SEGMENT'!$DJ$8:$DJ$1000))</f>
        <v>31015.640000000003</v>
      </c>
      <c r="DK16" s="288">
        <f>IF($B16="","",SUMPRODUCT(('ANALYSE - ERP =&gt; SOUS-SEGMENT'!$B$8:$B$1000=$B16)*'ANALYSE - ERP =&gt; SOUS-SEGMENT'!$Q$8:$Q$1000*'ANALYSE - ERP =&gt; SOUS-SEGMENT'!$DK$8:$DK$1000))</f>
        <v>9921.1400000000012</v>
      </c>
      <c r="DL16" s="922" t="s">
        <v>6596</v>
      </c>
      <c r="DM16" s="288">
        <f>IF($B16="","",SUMPRODUCT(('ANALYSE - ERP =&gt; SOUS-SEGMENT'!$B$8:$B$1000=$B16)*'ANALYSE - ERP =&gt; SOUS-SEGMENT'!$Q$8:$Q$1000*'ANALYSE - ERP =&gt; SOUS-SEGMENT'!$DM$8:$DM$1000))</f>
        <v>62513.32</v>
      </c>
      <c r="DN16" s="288">
        <f>IF($B16="","",SUMPRODUCT(('ANALYSE - ERP =&gt; SOUS-SEGMENT'!$B$8:$B$1000=$B16)*'ANALYSE - ERP =&gt; SOUS-SEGMENT'!$Q$8:$Q$1000*'ANALYSE - ERP =&gt; SOUS-SEGMENT'!$DN$8:$DN$1000))</f>
        <v>122480.63000000002</v>
      </c>
      <c r="DO16" s="288">
        <f>IF($B16="","",SUMPRODUCT(('ANALYSE - ERP =&gt; SOUS-SEGMENT'!$B$8:$B$1000=$B16)*'ANALYSE - ERP =&gt; SOUS-SEGMENT'!$Q$8:$Q$1000*'ANALYSE - ERP =&gt; SOUS-SEGMENT'!$DO$8:$DO$1000))</f>
        <v>41796.340000000004</v>
      </c>
      <c r="DP16" s="288">
        <f>IF($B16="","",SUMPRODUCT(('ANALYSE - ERP =&gt; SOUS-SEGMENT'!$B$8:$B$1000=$B16)*'ANALYSE - ERP =&gt; SOUS-SEGMENT'!$Q$8:$Q$1000*'ANALYSE - ERP =&gt; SOUS-SEGMENT'!$DP$8:$DP$1000))</f>
        <v>7981.7099999999991</v>
      </c>
      <c r="DQ16" s="922" t="s">
        <v>6597</v>
      </c>
      <c r="DR16" s="657"/>
      <c r="DS16" s="288">
        <f>IF($B16="","",SUMPRODUCT(('ANALYSE - ERP =&gt; SOUS-SEGMENT'!$B$8:$B$1000=$B16)*'ANALYSE - ERP =&gt; SOUS-SEGMENT'!$Q$8:$Q$1000*'ANALYSE - ERP =&gt; SOUS-SEGMENT'!$DS$8:$DS$1000))</f>
        <v>120</v>
      </c>
      <c r="DT16" s="288">
        <f>IF($B16="","",SUMPRODUCT(('ANALYSE - ERP =&gt; SOUS-SEGMENT'!$B$8:$B$1000=$B16)*'ANALYSE - ERP =&gt; SOUS-SEGMENT'!$Q$8:$Q$1000*'ANALYSE - ERP =&gt; SOUS-SEGMENT'!$DT$8:$DT$1000))</f>
        <v>640</v>
      </c>
      <c r="DU16" s="288">
        <f>IF($B16="","",SUMPRODUCT(('ANALYSE - ERP =&gt; SOUS-SEGMENT'!$B$8:$B$1000=$B16)*'ANALYSE - ERP =&gt; SOUS-SEGMENT'!$Q$8:$Q$1000*'ANALYSE - ERP =&gt; SOUS-SEGMENT'!$DU$8:$DU$1000))</f>
        <v>40</v>
      </c>
      <c r="DV16" s="922" t="s">
        <v>6598</v>
      </c>
      <c r="DW16" s="288">
        <f>IF($B16="","",SUMPRODUCT(('ANALYSE - ERP =&gt; SOUS-SEGMENT'!$B$8:$B$1000=$B16)*'ANALYSE - ERP =&gt; SOUS-SEGMENT'!$Q$8:$Q$1000*'ANALYSE - ERP =&gt; SOUS-SEGMENT'!$DW$8:$DW$1000))</f>
        <v>90</v>
      </c>
      <c r="DX16" s="288">
        <f>IF($B16="","",SUMPRODUCT(('ANALYSE - ERP =&gt; SOUS-SEGMENT'!$B$8:$B$1000=$B16)*'ANALYSE - ERP =&gt; SOUS-SEGMENT'!$Q$8:$Q$1000*'ANALYSE - ERP =&gt; SOUS-SEGMENT'!$DX$8:$DX$1000))</f>
        <v>615</v>
      </c>
      <c r="DY16" s="288">
        <f>IF($B16="","",SUMPRODUCT(('ANALYSE - ERP =&gt; SOUS-SEGMENT'!$B$8:$B$1000=$B16)*'ANALYSE - ERP =&gt; SOUS-SEGMENT'!$Q$8:$Q$1000*'ANALYSE - ERP =&gt; SOUS-SEGMENT'!$DY$8:$DY$1000))</f>
        <v>45</v>
      </c>
      <c r="DZ16" s="922" t="s">
        <v>6599</v>
      </c>
      <c r="EA16" s="657"/>
      <c r="EB16" s="288">
        <f>IF($B16="","",SUMPRODUCT(('ANALYSE - ERP =&gt; SOUS-SEGMENT'!$B$8:$B$1000=$B16)*'ANALYSE - ERP =&gt; SOUS-SEGMENT'!$Q$8:$Q$1000*'ANALYSE - ERP =&gt; SOUS-SEGMENT'!$EB$8:$EB$1000))</f>
        <v>3669.2559999999989</v>
      </c>
      <c r="EC16" s="288">
        <f>IF($B16="","",SUMPRODUCT(('ANALYSE - ERP =&gt; SOUS-SEGMENT'!$B$8:$B$1000=$B16)*'ANALYSE - ERP =&gt; SOUS-SEGMENT'!$Q$8:$Q$1000*'ANALYSE - ERP =&gt; SOUS-SEGMENT'!$EC$8:$EC$1000))</f>
        <v>16824.733999999997</v>
      </c>
      <c r="ED16" s="288">
        <f>IF($B16="","",SUMPRODUCT(('ANALYSE - ERP =&gt; SOUS-SEGMENT'!$B$8:$B$1000=$B16)*'ANALYSE - ERP =&gt; SOUS-SEGMENT'!$Q$8:$Q$1000*'ANALYSE - ERP =&gt; SOUS-SEGMENT'!$ED$8:$ED$1000))</f>
        <v>6407.5640000000003</v>
      </c>
      <c r="EE16" s="288">
        <f>IF($B16="","",SUMPRODUCT(('ANALYSE - ERP =&gt; SOUS-SEGMENT'!$B$8:$B$1000=$B16)*'ANALYSE - ERP =&gt; SOUS-SEGMENT'!$Q$8:$Q$1000*'ANALYSE - ERP =&gt; SOUS-SEGMENT'!$EE$8:$EE$1000))</f>
        <v>6616.2459999999992</v>
      </c>
      <c r="EF16" s="922" t="s">
        <v>6600</v>
      </c>
      <c r="EG16" s="288">
        <f>IF($B16="","",SUMPRODUCT(('ANALYSE - ERP =&gt; SOUS-SEGMENT'!$B$8:$B$1000=$B16)*'ANALYSE - ERP =&gt; SOUS-SEGMENT'!$Q$8:$Q$1000*'ANALYSE - ERP =&gt; SOUS-SEGMENT'!$EG$8:$EG$1000))</f>
        <v>3059.2</v>
      </c>
      <c r="EH16" s="288">
        <f>IF($B16="","",SUMPRODUCT(('ANALYSE - ERP =&gt; SOUS-SEGMENT'!$B$8:$B$1000=$B16)*'ANALYSE - ERP =&gt; SOUS-SEGMENT'!$Q$8:$Q$1000*'ANALYSE - ERP =&gt; SOUS-SEGMENT'!$EH$8:$EH$1000))</f>
        <v>16826.22</v>
      </c>
      <c r="EI16" s="288">
        <f>IF($B16="","",SUMPRODUCT(('ANALYSE - ERP =&gt; SOUS-SEGMENT'!$B$8:$B$1000=$B16)*'ANALYSE - ERP =&gt; SOUS-SEGMENT'!$Q$8:$Q$1000*'ANALYSE - ERP =&gt; SOUS-SEGMENT'!$EI$8:$EI$1000))</f>
        <v>7276.4600000000009</v>
      </c>
      <c r="EJ16" s="288">
        <f>IF($B16="","",SUMPRODUCT(('ANALYSE - ERP =&gt; SOUS-SEGMENT'!$B$8:$B$1000=$B16)*'ANALYSE - ERP =&gt; SOUS-SEGMENT'!$Q$8:$Q$1000*'ANALYSE - ERP =&gt; SOUS-SEGMENT'!$EJ$8:$EJ$1000))</f>
        <v>6591.119999999999</v>
      </c>
      <c r="EK16" s="922" t="s">
        <v>6601</v>
      </c>
      <c r="EL16" s="657"/>
      <c r="EM16" s="288">
        <f>IF($B16="","",SUMPRODUCT(('ANALYSE - ERP =&gt; SOUS-SEGMENT'!$B$8:$B$1000=$B16)*'ANALYSE - ERP =&gt; SOUS-SEGMENT'!$Q$8:$Q$1000*'ANALYSE - ERP =&gt; SOUS-SEGMENT'!$EM$8:$EM$1000))</f>
        <v>103000.09</v>
      </c>
      <c r="EN16" s="291">
        <f>IF($B16="","",SUMPRODUCT(('ANALYSE - ERP =&gt; SOUS-SEGMENT'!$B$8:$B$1000=$B16)*'ANALYSE - ERP =&gt; SOUS-SEGMENT'!$Q$8:$Q$1000*'ANALYSE - ERP =&gt; SOUS-SEGMENT'!$EN$8:$EN$1000))</f>
        <v>74781</v>
      </c>
      <c r="EO16" s="291">
        <f>IF($B16="","",SUMPRODUCT(('ANALYSE - ERP =&gt; SOUS-SEGMENT'!$B$8:$B$1000=$B16)*'ANALYSE - ERP =&gt; SOUS-SEGMENT'!$Q$8:$Q$1000*'ANALYSE - ERP =&gt; SOUS-SEGMENT'!$EO$8:$EO$1000))</f>
        <v>35239.910000000003</v>
      </c>
      <c r="EP16" s="922" t="s">
        <v>6602</v>
      </c>
      <c r="EQ16" s="288">
        <f>IF($B16="","",SUMPRODUCT(('ANALYSE - ERP =&gt; SOUS-SEGMENT'!$B$8:$B$1000=$B16)*'ANALYSE - ERP =&gt; SOUS-SEGMENT'!$Q$8:$Q$1000*'ANALYSE - ERP =&gt; SOUS-SEGMENT'!$EQ$8:$EQ$1000))</f>
        <v>87149.919999999984</v>
      </c>
      <c r="ER16" s="291">
        <f>IF($B16="","",SUMPRODUCT(('ANALYSE - ERP =&gt; SOUS-SEGMENT'!$B$8:$B$1000=$B16)*'ANALYSE - ERP =&gt; SOUS-SEGMENT'!$Q$8:$Q$1000*'ANALYSE - ERP =&gt; SOUS-SEGMENT'!$ER$8:$ER$1000))</f>
        <v>81717.370000000024</v>
      </c>
      <c r="ES16" s="291">
        <f>IF($B16="","",SUMPRODUCT(('ANALYSE - ERP =&gt; SOUS-SEGMENT'!$B$8:$B$1000=$B16)*'ANALYSE - ERP =&gt; SOUS-SEGMENT'!$Q$8:$Q$1000*'ANALYSE - ERP =&gt; SOUS-SEGMENT'!$ES$8:$ES$1000))</f>
        <v>45448.71</v>
      </c>
      <c r="ET16" s="922" t="s">
        <v>6603</v>
      </c>
      <c r="EU16" s="657"/>
      <c r="EV16" s="740">
        <f t="shared" si="31"/>
        <v>0.84769023614534067</v>
      </c>
      <c r="EW16" s="740">
        <f t="shared" si="32"/>
        <v>0.1523097638546593</v>
      </c>
      <c r="EX16" s="563">
        <f t="shared" si="33"/>
        <v>174856.1127401767</v>
      </c>
      <c r="EY16" s="563">
        <f t="shared" si="34"/>
        <v>148223.8195001767</v>
      </c>
      <c r="EZ16" s="563">
        <f t="shared" si="35"/>
        <v>26632.293239999999</v>
      </c>
      <c r="FA16" s="563">
        <f t="shared" si="36"/>
        <v>84789.325435042338</v>
      </c>
      <c r="FB16" s="563">
        <f>IF($B16="","",SUMPRODUCT(('ANALYSE - ERP =&gt; SOUS-SEGMENT'!$B$8:$B$1000=$B16)*'ANALYSE - ERP =&gt; SOUS-SEGMENT'!$Q$8:$Q$1000*'ANALYSE - ERP =&gt; SOUS-SEGMENT'!$FB$8:$FB$1000))</f>
        <v>71769.405635042334</v>
      </c>
      <c r="FC16" s="563">
        <f>IF($B16="","",SUMPRODUCT(('ANALYSE - ERP =&gt; SOUS-SEGMENT'!$B$8:$B$1000=$B16)*'ANALYSE - ERP =&gt; SOUS-SEGMENT'!$Q$8:$Q$1000*'ANALYSE - ERP =&gt; SOUS-SEGMENT'!$FC$8:$FC$1000))</f>
        <v>13019.919800000003</v>
      </c>
      <c r="FD16" s="563">
        <f t="shared" si="37"/>
        <v>426.62874999999997</v>
      </c>
      <c r="FE16" s="563">
        <f>IF($B16="","",SUMPRODUCT(('ANALYSE - ERP =&gt; SOUS-SEGMENT'!$B$8:$B$1000=$B16)*'ANALYSE - ERP =&gt; SOUS-SEGMENT'!$Q$8:$Q$1000*'ANALYSE - ERP =&gt; SOUS-SEGMENT'!$FE$8:$FE$1000))</f>
        <v>395.66874999999999</v>
      </c>
      <c r="FF16" s="563">
        <f>IF($B16="","",SUMPRODUCT(('ANALYSE - ERP =&gt; SOUS-SEGMENT'!$B$8:$B$1000=$B16)*'ANALYSE - ERP =&gt; SOUS-SEGMENT'!$Q$8:$Q$1000*'ANALYSE - ERP =&gt; SOUS-SEGMENT'!$FF$8:$FF$1000))</f>
        <v>30.959999999999997</v>
      </c>
      <c r="FG16" s="563">
        <f t="shared" si="38"/>
        <v>13936.514452730875</v>
      </c>
      <c r="FH16" s="563">
        <f>IF($B16="","",SUMPRODUCT(('ANALYSE - ERP =&gt; SOUS-SEGMENT'!$B$8:$B$1000=$B16)*'ANALYSE - ERP =&gt; SOUS-SEGMENT'!$Q$8:$Q$1000*'ANALYSE - ERP =&gt; SOUS-SEGMENT'!$FH$8:$FH$1000))</f>
        <v>11994.836212730876</v>
      </c>
      <c r="FI16" s="563">
        <f>IF($B16="","",SUMPRODUCT(('ANALYSE - ERP =&gt; SOUS-SEGMENT'!$B$8:$B$1000=$B16)*'ANALYSE - ERP =&gt; SOUS-SEGMENT'!$Q$8:$Q$1000*'ANALYSE - ERP =&gt; SOUS-SEGMENT'!$FI$8:$FI$1000))</f>
        <v>1941.6782399999997</v>
      </c>
      <c r="FJ16" s="563">
        <f t="shared" si="39"/>
        <v>75703.644102403472</v>
      </c>
      <c r="FK16" s="563">
        <f>IF($B16="","",SUMPRODUCT(('ANALYSE - ERP =&gt; SOUS-SEGMENT'!$B$8:$B$1000=$B16)*'ANALYSE - ERP =&gt; SOUS-SEGMENT'!$Q$8:$Q$1000*'ANALYSE - ERP =&gt; SOUS-SEGMENT'!$FK$8:$FK$1000))</f>
        <v>64063.908902403477</v>
      </c>
      <c r="FL16" s="563">
        <f>IF($B16="","",SUMPRODUCT(('ANALYSE - ERP =&gt; SOUS-SEGMENT'!$B$8:$B$1000=$B16)*'ANALYSE - ERP =&gt; SOUS-SEGMENT'!$Q$8:$Q$1000*'ANALYSE - ERP =&gt; SOUS-SEGMENT'!$FL$8:$FL$1000))</f>
        <v>11639.735199999999</v>
      </c>
      <c r="FM16" s="529"/>
      <c r="FN16" s="961" t="s">
        <v>2649</v>
      </c>
      <c r="FO16" s="740">
        <f>IF($B16="","",IFERROR(SUMPRODUCT(('ANALYSE - ERP =&gt; SOUS-SEGMENT'!$B$8:$B$1000=$B16)*'ANALYSE - ERP =&gt; SOUS-SEGMENT'!$Q$8:$Q$1000*'ANALYSE - ERP =&gt; SOUS-SEGMENT'!$AF$8:$AF$1000*'ANALYSE - ERP =&gt; SOUS-SEGMENT'!$FO$8:$FO$1000)/SUMPRODUCT(('ANALYSE - ERP =&gt; SOUS-SEGMENT'!$B$8:$B$1000=$B16)*'ANALYSE - ERP =&gt; SOUS-SEGMENT'!$Q$8:$Q$1000*'ANALYSE - ERP =&gt; SOUS-SEGMENT'!$AF$8:$AF$1000),""))</f>
        <v>4.294185602444147E-2</v>
      </c>
      <c r="FP16" s="741">
        <f>IF($B16="","",IFERROR(SUMPRODUCT(('ANALYSE - ERP =&gt; SOUS-SEGMENT'!$B$8:$B$1000=$B16)*'ANALYSE - ERP =&gt; SOUS-SEGMENT'!$Q$8:$Q$1000*'ANALYSE - ERP =&gt; SOUS-SEGMENT'!$AF$8:$AF$1000*'ANALYSE - ERP =&gt; SOUS-SEGMENT'!$FP$8:$FP$1000)/SUMPRODUCT(('ANALYSE - ERP =&gt; SOUS-SEGMENT'!$B$8:$B$1000=$B16)*'ANALYSE - ERP =&gt; SOUS-SEGMENT'!$Q$8:$Q$1000*'ANALYSE - ERP =&gt; SOUS-SEGMENT'!$AF$8:$AF$1000),""))</f>
        <v>0.76830938769015322</v>
      </c>
      <c r="FQ16" s="961" t="s">
        <v>6604</v>
      </c>
      <c r="FR16" s="529"/>
      <c r="FS16" s="867">
        <f>IF($B16="","",IFERROR(SUMPRODUCT(('ANALYSE - ERP =&gt; SOUS-SEGMENT'!$B$8:$B$1000=$B16)*'ANALYSE - ERP =&gt; SOUS-SEGMENT'!$Q$8:$Q$1000*'ANALYSE - ERP =&gt; SOUS-SEGMENT'!$EX$8:$EX$1000*'ANALYSE - ERP =&gt; SOUS-SEGMENT'!$FS$8:$FS$1000)/SUMPRODUCT(('ANALYSE - ERP =&gt; SOUS-SEGMENT'!$B$8:$B$1000=$B16)*'ANALYSE - ERP =&gt; SOUS-SEGMENT'!$Q$8:$Q$1000*'ANALYSE - ERP =&gt; SOUS-SEGMENT'!$EX$8:$EX$1000),""))</f>
        <v>2.9289219158365976</v>
      </c>
      <c r="FT16" s="566">
        <f>IF($B16="","",RANK($FS16,$FS$8:$FS$20,0)+COUNTIF($FS$8:$FS16,$FS16)-1)</f>
        <v>12</v>
      </c>
      <c r="FU16" s="867">
        <f>IF($B16="","",IFERROR(SUMPRODUCT(('ANALYSE - ERP =&gt; SOUS-SEGMENT'!$B$8:$B$1000=$B16)*'ANALYSE - ERP =&gt; SOUS-SEGMENT'!$Q$8:$Q$1000*'ANALYSE - ERP =&gt; SOUS-SEGMENT'!$EY$8:$EY$1000*'ANALYSE - ERP =&gt; SOUS-SEGMENT'!$FU$8:$FU$1000)/SUMPRODUCT(('ANALYSE - ERP =&gt; SOUS-SEGMENT'!$B$8:$B$1000=$B16)*'ANALYSE - ERP =&gt; SOUS-SEGMENT'!$Q$8:$Q$1000*'ANALYSE - ERP =&gt; SOUS-SEGMENT'!$EY$8:$EY$1000),""))</f>
        <v>3.5128123622417178</v>
      </c>
      <c r="FV16" s="566">
        <f>IF($B16="","",RANK($FU16,$FU$8:$FU$20,0)+COUNTIF($FU$8:$FU16,$FU16)-1)</f>
        <v>12</v>
      </c>
      <c r="FW16" s="867">
        <f>IF($B16="","",IFERROR(SUMPRODUCT(('ANALYSE - ERP =&gt; SOUS-SEGMENT'!$B$8:$B$1000=$B16)*'ANALYSE - ERP =&gt; SOUS-SEGMENT'!$Q$8:$Q$1000*'ANALYSE - ERP =&gt; SOUS-SEGMENT'!$EZ$8:$EZ$1000*'ANALYSE - ERP =&gt; SOUS-SEGMENT'!$FW$8:$FW$1000)/SUMPRODUCT(('ANALYSE - ERP =&gt; SOUS-SEGMENT'!$B$8:$B$1000=$B16)*'ANALYSE - ERP =&gt; SOUS-SEGMENT'!$Q$8:$Q$1000*'ANALYSE - ERP =&gt; SOUS-SEGMENT'!$EZ$8:$EZ$1000),""))</f>
        <v>1.8833787769453083</v>
      </c>
      <c r="FX16" s="566">
        <f>IF($B16="","",RANK($FW16,$FW$8:$FW$20,0)+COUNTIF($FW$8:$FW16,$FW16)-1)</f>
        <v>12</v>
      </c>
      <c r="FY16" s="529"/>
      <c r="FZ16" s="922" t="s">
        <v>6605</v>
      </c>
      <c r="GA16" s="922" t="s">
        <v>6606</v>
      </c>
      <c r="GB16" s="922" t="s">
        <v>6607</v>
      </c>
      <c r="GC16" s="922" t="s">
        <v>6608</v>
      </c>
      <c r="GD16" s="922" t="s">
        <v>6609</v>
      </c>
      <c r="GE16" s="922" t="s">
        <v>6610</v>
      </c>
      <c r="GF16" s="923" t="s">
        <v>6611</v>
      </c>
      <c r="GG16" s="529"/>
      <c r="GH16" s="563">
        <f t="shared" si="40"/>
        <v>25218.860231515384</v>
      </c>
      <c r="GI16" s="563">
        <f>IF($B16="","",SUMPRODUCT(('ANALYSE - ERP =&gt; SOUS-SEGMENT'!$B$8:$B$1000=$B16)*'ANALYSE - ERP =&gt; SOUS-SEGMENT'!$Q$8:$Q$1000*'ANALYSE - ERP =&gt; SOUS-SEGMENT'!$GI$8:$GI$1000))</f>
        <v>21910.091511515384</v>
      </c>
      <c r="GJ16" s="563">
        <f>IF($B16="","",SUMPRODUCT(('ANALYSE - ERP =&gt; SOUS-SEGMENT'!$B$8:$B$1000=$B16)*'ANALYSE - ERP =&gt; SOUS-SEGMENT'!$Q$8:$Q$1000*'ANALYSE - ERP =&gt; SOUS-SEGMENT'!$GJ$8:$GJ$1000))</f>
        <v>3308.7687199999991</v>
      </c>
      <c r="GK16" s="563">
        <f t="shared" si="41"/>
        <v>41604.664803266933</v>
      </c>
      <c r="GL16" s="563">
        <f>IF($B16="","",SUMPRODUCT(('ANALYSE - ERP =&gt; SOUS-SEGMENT'!$B$8:$B$1000=$B16)*'ANALYSE - ERP =&gt; SOUS-SEGMENT'!$Q$8:$Q$1000*'ANALYSE - ERP =&gt; SOUS-SEGMENT'!$GL$8:$GL$1000))</f>
        <v>34531.921681266933</v>
      </c>
      <c r="GM16" s="563">
        <f>IF($B16="","",SUMPRODUCT(('ANALYSE - ERP =&gt; SOUS-SEGMENT'!$B$8:$B$1000=$B16)*'ANALYSE - ERP =&gt; SOUS-SEGMENT'!$Q$8:$Q$1000*'ANALYSE - ERP =&gt; SOUS-SEGMENT'!$GM$8:$GM$1000))</f>
        <v>7072.7431219999999</v>
      </c>
      <c r="GN16" s="563">
        <f t="shared" si="42"/>
        <v>14261.335881259998</v>
      </c>
      <c r="GO16" s="563">
        <f>IF($B16="","",SUMPRODUCT(('ANALYSE - ERP =&gt; SOUS-SEGMENT'!$B$8:$B$1000=$B16)*'ANALYSE - ERP =&gt; SOUS-SEGMENT'!$Q$8:$Q$1000*'ANALYSE - ERP =&gt; SOUS-SEGMENT'!$GO$8:$GO$1000))</f>
        <v>12088.348397259999</v>
      </c>
      <c r="GP16" s="563">
        <f>IF($B16="","",SUMPRODUCT(('ANALYSE - ERP =&gt; SOUS-SEGMENT'!$B$8:$B$1000=$B16)*'ANALYSE - ERP =&gt; SOUS-SEGMENT'!$Q$8:$Q$1000*'ANALYSE - ERP =&gt; SOUS-SEGMENT'!$GP$8:$GP$1000))</f>
        <v>2172.9874839999993</v>
      </c>
      <c r="GQ16" s="563">
        <f t="shared" si="43"/>
        <v>3704.4645189999997</v>
      </c>
      <c r="GR16" s="563">
        <f>IF($B16="","",SUMPRODUCT(('ANALYSE - ERP =&gt; SOUS-SEGMENT'!$B$8:$B$1000=$B16)*'ANALYSE - ERP =&gt; SOUS-SEGMENT'!$Q$8:$Q$1000*'ANALYSE - ERP =&gt; SOUS-SEGMENT'!$GR$8:$GR$1000))</f>
        <v>3239.0440449999996</v>
      </c>
      <c r="GS16" s="563">
        <f>IF($B16="","",SUMPRODUCT(('ANALYSE - ERP =&gt; SOUS-SEGMENT'!$B$8:$B$1000=$B16)*'ANALYSE - ERP =&gt; SOUS-SEGMENT'!$Q$8:$Q$1000*'ANALYSE - ERP =&gt; SOUS-SEGMENT'!$GS$8:$GS$1000))</f>
        <v>465.42047400000001</v>
      </c>
      <c r="GT16" s="563">
        <f t="shared" si="44"/>
        <v>62.683949999999996</v>
      </c>
      <c r="GU16" s="563">
        <f>IF($B16="","",SUMPRODUCT(('ANALYSE - ERP =&gt; SOUS-SEGMENT'!$B$8:$B$1000=$B16)*'ANALYSE - ERP =&gt; SOUS-SEGMENT'!$Q$8:$Q$1000*'ANALYSE - ERP =&gt; SOUS-SEGMENT'!$GU$8:$GU$1000))</f>
        <v>58.96875</v>
      </c>
      <c r="GV16" s="563">
        <f>IF($B16="","",SUMPRODUCT(('ANALYSE - ERP =&gt; SOUS-SEGMENT'!$B$8:$B$1000=$B16)*'ANALYSE - ERP =&gt; SOUS-SEGMENT'!$Q$8:$Q$1000*'ANALYSE - ERP =&gt; SOUS-SEGMENT'!$GV$8:$GV$1000))</f>
        <v>3.7151999999999994</v>
      </c>
      <c r="GW16" s="563">
        <f t="shared" si="45"/>
        <v>339.88720000000001</v>
      </c>
      <c r="GX16" s="563">
        <f>IF($B16="","",SUMPRODUCT(('ANALYSE - ERP =&gt; SOUS-SEGMENT'!$B$8:$B$1000=$B16)*'ANALYSE - ERP =&gt; SOUS-SEGMENT'!$Q$8:$Q$1000*'ANALYSE - ERP =&gt; SOUS-SEGMENT'!$GX$8:$GX$1000))</f>
        <v>314.5</v>
      </c>
      <c r="GY16" s="563">
        <f>IF($B16="","",SUMPRODUCT(('ANALYSE - ERP =&gt; SOUS-SEGMENT'!$B$8:$B$1000=$B16)*'ANALYSE - ERP =&gt; SOUS-SEGMENT'!$Q$8:$Q$1000*'ANALYSE - ERP =&gt; SOUS-SEGMENT'!$GY$8:$GY$1000))</f>
        <v>25.387199999999996</v>
      </c>
      <c r="GZ16" s="563">
        <f t="shared" si="46"/>
        <v>24.057600000000001</v>
      </c>
      <c r="HA16" s="563">
        <f>IF($B16="","",SUMPRODUCT(('ANALYSE - ERP =&gt; SOUS-SEGMENT'!$B$8:$B$1000=$B16)*'ANALYSE - ERP =&gt; SOUS-SEGMENT'!$Q$8:$Q$1000*'ANALYSE - ERP =&gt; SOUS-SEGMENT'!$HA$8:$HA$1000))</f>
        <v>22.2</v>
      </c>
      <c r="HB16" s="563">
        <f>IF($B16="","",SUMPRODUCT(('ANALYSE - ERP =&gt; SOUS-SEGMENT'!$B$8:$B$1000=$B16)*'ANALYSE - ERP =&gt; SOUS-SEGMENT'!$Q$8:$Q$1000*'ANALYSE - ERP =&gt; SOUS-SEGMENT'!$HB$8:$HB$1000))</f>
        <v>1.8575999999999997</v>
      </c>
      <c r="HC16" s="563">
        <f t="shared" si="47"/>
        <v>1514.5851244636362</v>
      </c>
      <c r="HD16" s="563">
        <f>IF($B16="","",SUMPRODUCT(('ANALYSE - ERP =&gt; SOUS-SEGMENT'!$B$8:$B$1000=$B16)*'ANALYSE - ERP =&gt; SOUS-SEGMENT'!$Q$8:$Q$1000*'ANALYSE - ERP =&gt; SOUS-SEGMENT'!$HD$8:$HD$1000))</f>
        <v>1345.0225024636363</v>
      </c>
      <c r="HE16" s="563">
        <f>IF($B16="","",SUMPRODUCT(('ANALYSE - ERP =&gt; SOUS-SEGMENT'!$B$8:$B$1000=$B16)*'ANALYSE - ERP =&gt; SOUS-SEGMENT'!$Q$8:$Q$1000*'ANALYSE - ERP =&gt; SOUS-SEGMENT'!$HE$8:$HE$1000))</f>
        <v>169.56262199999998</v>
      </c>
      <c r="HF16" s="563">
        <f t="shared" si="48"/>
        <v>6400.1515874615397</v>
      </c>
      <c r="HG16" s="563">
        <f>IF($B16="","",SUMPRODUCT(('ANALYSE - ERP =&gt; SOUS-SEGMENT'!$B$8:$B$1000=$B16)*'ANALYSE - ERP =&gt; SOUS-SEGMENT'!$Q$8:$Q$1000*'ANALYSE - ERP =&gt; SOUS-SEGMENT'!$HG$8:$HG$1000))</f>
        <v>5419.1577796615393</v>
      </c>
      <c r="HH16" s="563">
        <f>IF($B16="","",SUMPRODUCT(('ANALYSE - ERP =&gt; SOUS-SEGMENT'!$B$8:$B$1000=$B16)*'ANALYSE - ERP =&gt; SOUS-SEGMENT'!$Q$8:$Q$1000*'ANALYSE - ERP =&gt; SOUS-SEGMENT'!$HH$8:$HH$1000))</f>
        <v>980.99380780000001</v>
      </c>
      <c r="HI16" s="563">
        <f t="shared" si="49"/>
        <v>3191.9989236420638</v>
      </c>
      <c r="HJ16" s="563">
        <f>IF($B16="","",SUMPRODUCT(('ANALYSE - ERP =&gt; SOUS-SEGMENT'!$B$8:$B$1000=$B16)*'ANALYSE - ERP =&gt; SOUS-SEGMENT'!$Q$8:$Q$1000*'ANALYSE - ERP =&gt; SOUS-SEGMENT'!$HJ$8:$HJ$1000))</f>
        <v>2800.8965406420639</v>
      </c>
      <c r="HK16" s="563">
        <f>IF($B16="","",SUMPRODUCT(('ANALYSE - ERP =&gt; SOUS-SEGMENT'!$B$8:$B$1000=$B16)*'ANALYSE - ERP =&gt; SOUS-SEGMENT'!$Q$8:$Q$1000*'ANALYSE - ERP =&gt; SOUS-SEGMENT'!$HK$8:$HK$1000))</f>
        <v>391.10238299999992</v>
      </c>
      <c r="HL16" s="563">
        <f t="shared" si="50"/>
        <v>2829.7788171636362</v>
      </c>
      <c r="HM16" s="563">
        <f>IF($B16="","",SUMPRODUCT(('ANALYSE - ERP =&gt; SOUS-SEGMENT'!$B$8:$B$1000=$B16)*'ANALYSE - ERP =&gt; SOUS-SEGMENT'!$Q$8:$Q$1000*'ANALYSE - ERP =&gt; SOUS-SEGMENT'!$HM$8:$HM$1000))</f>
        <v>2429.7593899636363</v>
      </c>
      <c r="HN16" s="563">
        <f>IF($B16="","",SUMPRODUCT(('ANALYSE - ERP =&gt; SOUS-SEGMENT'!$B$8:$B$1000=$B16)*'ANALYSE - ERP =&gt; SOUS-SEGMENT'!$Q$8:$Q$1000*'ANALYSE - ERP =&gt; SOUS-SEGMENT'!$HN$8:$HN$1000))</f>
        <v>400.0194272</v>
      </c>
      <c r="HO16" s="563">
        <f t="shared" si="51"/>
        <v>33837.728992633711</v>
      </c>
      <c r="HP16" s="563">
        <f>IF($B16="","",SUMPRODUCT(('ANALYSE - ERP =&gt; SOUS-SEGMENT'!$B$8:$B$1000=$B16)*'ANALYSE - ERP =&gt; SOUS-SEGMENT'!$Q$8:$Q$1000*'ANALYSE - ERP =&gt; SOUS-SEGMENT'!$HP$8:$HP$1000))</f>
        <v>29154.994332633709</v>
      </c>
      <c r="HQ16" s="563">
        <f>IF($B16="","",SUMPRODUCT(('ANALYSE - ERP =&gt; SOUS-SEGMENT'!$B$8:$B$1000=$B16)*'ANALYSE - ERP =&gt; SOUS-SEGMENT'!$Q$8:$Q$1000*'ANALYSE - ERP =&gt; SOUS-SEGMENT'!$HQ$8:$HQ$1000))</f>
        <v>4682.7346599999992</v>
      </c>
      <c r="HR16" s="563">
        <f t="shared" si="52"/>
        <v>25632.138931719775</v>
      </c>
      <c r="HS16" s="563">
        <f>IF($B16="","",SUMPRODUCT(('ANALYSE - ERP =&gt; SOUS-SEGMENT'!$B$8:$B$1000=$B16)*'ANALYSE - ERP =&gt; SOUS-SEGMENT'!$Q$8:$Q$1000*'ANALYSE - ERP =&gt; SOUS-SEGMENT'!$HS$8:$HS$1000))</f>
        <v>21148.702209719777</v>
      </c>
      <c r="HT16" s="563">
        <f>IF($B16="","",SUMPRODUCT(('ANALYSE - ERP =&gt; SOUS-SEGMENT'!$B$8:$B$1000=$B16)*'ANALYSE - ERP =&gt; SOUS-SEGMENT'!$Q$8:$Q$1000*'ANALYSE - ERP =&gt; SOUS-SEGMENT'!$HT$8:$HT$1000))</f>
        <v>4483.4367219999995</v>
      </c>
      <c r="HU16" s="563">
        <f t="shared" si="53"/>
        <v>16233.77617805</v>
      </c>
      <c r="HV16" s="563">
        <f>IF($B16="","",SUMPRODUCT(('ANALYSE - ERP =&gt; SOUS-SEGMENT'!$B$8:$B$1000=$B16)*'ANALYSE - ERP =&gt; SOUS-SEGMENT'!$Q$8:$Q$1000*'ANALYSE - ERP =&gt; SOUS-SEGMENT'!$HV$8:$HV$1000))</f>
        <v>13760.21236005</v>
      </c>
      <c r="HW16" s="563">
        <f>IF($B16="","",SUMPRODUCT(('ANALYSE - ERP =&gt; SOUS-SEGMENT'!$B$8:$B$1000=$B16)*'ANALYSE - ERP =&gt; SOUS-SEGMENT'!$Q$8:$Q$1000*'ANALYSE - ERP =&gt; SOUS-SEGMENT'!$HW$8:$HW$1000))</f>
        <v>2473.5638179999996</v>
      </c>
      <c r="HX16" s="544"/>
      <c r="HY16" s="568">
        <f t="shared" si="54"/>
        <v>480199.8000000001</v>
      </c>
      <c r="HZ16" s="568">
        <f>IF($B16="","",SUMPRODUCT(('ANALYSE - ERP =&gt; SOUS-SEGMENT'!$B$8:$B$1000=$B16)*'ANALYSE - ERP =&gt; SOUS-SEGMENT'!$Q$8:$Q$1000*'ANALYSE - ERP =&gt; SOUS-SEGMENT'!$HZ$8:$HZ$1000))</f>
        <v>26987.558199999996</v>
      </c>
      <c r="IA16" s="568">
        <f>IF($B16="","",SUMPRODUCT(('ANALYSE - ERP =&gt; SOUS-SEGMENT'!$B$8:$B$1000=$B16)*'ANALYSE - ERP =&gt; SOUS-SEGMENT'!$Q$8:$Q$1000*'ANALYSE - ERP =&gt; SOUS-SEGMENT'!$IA$8:$IA$1000))</f>
        <v>218301.84406</v>
      </c>
      <c r="IB16" s="568">
        <f>IF($B16="","",SUMPRODUCT(('ANALYSE - ERP =&gt; SOUS-SEGMENT'!$B$8:$B$1000=$B16)*'ANALYSE - ERP =&gt; SOUS-SEGMENT'!$Q$8:$Q$1000*'ANALYSE - ERP =&gt; SOUS-SEGMENT'!$IB$8:$IB$1000))</f>
        <v>209812.07084000003</v>
      </c>
      <c r="IC16" s="568">
        <f>IF($B16="","",SUMPRODUCT(('ANALYSE - ERP =&gt; SOUS-SEGMENT'!$B$8:$B$1000=$B16)*'ANALYSE - ERP =&gt; SOUS-SEGMENT'!$Q$8:$Q$1000*'ANALYSE - ERP =&gt; SOUS-SEGMENT'!$IC$8:$IC$1000))</f>
        <v>25073.221100000002</v>
      </c>
      <c r="ID16" s="568">
        <f>IF($B16="","",SUMPRODUCT(('ANALYSE - ERP =&gt; SOUS-SEGMENT'!$B$8:$B$1000=$B16)*'ANALYSE - ERP =&gt; SOUS-SEGMENT'!$Q$8:$Q$1000*'ANALYSE - ERP =&gt; SOUS-SEGMENT'!$ID$8:$ID$1000))</f>
        <v>25.105800000000002</v>
      </c>
      <c r="IE16" s="568">
        <f t="shared" si="55"/>
        <v>148119.66912517665</v>
      </c>
      <c r="IF16" s="568">
        <f>IF($B16="","",SUMPRODUCT(('ANALYSE - ERP =&gt; SOUS-SEGMENT'!$B$8:$B$1000=$B16)*'ANALYSE - ERP =&gt; SOUS-SEGMENT'!$Q$8:$Q$1000*'ANALYSE - ERP =&gt; SOUS-SEGMENT'!$IF$8:$IF$1000))</f>
        <v>5407.0285857245963</v>
      </c>
      <c r="IG16" s="568">
        <f>IF($B16="","",SUMPRODUCT(('ANALYSE - ERP =&gt; SOUS-SEGMENT'!$B$8:$B$1000=$B16)*'ANALYSE - ERP =&gt; SOUS-SEGMENT'!$Q$8:$Q$1000*'ANALYSE - ERP =&gt; SOUS-SEGMENT'!$IG$8:$IG$1000))</f>
        <v>63280.623087488573</v>
      </c>
      <c r="IH16" s="568">
        <f>IF($B16="","",SUMPRODUCT(('ANALYSE - ERP =&gt; SOUS-SEGMENT'!$B$8:$B$1000=$B16)*'ANALYSE - ERP =&gt; SOUS-SEGMENT'!$Q$8:$Q$1000*'ANALYSE - ERP =&gt; SOUS-SEGMENT'!$IH$8:$IH$1000))</f>
        <v>68088.916306206549</v>
      </c>
      <c r="II16" s="568">
        <f>IF($B16="","",SUMPRODUCT(('ANALYSE - ERP =&gt; SOUS-SEGMENT'!$B$8:$B$1000=$B16)*'ANALYSE - ERP =&gt; SOUS-SEGMENT'!$Q$8:$Q$1000*'ANALYSE - ERP =&gt; SOUS-SEGMENT'!$II$8:$II$1000))</f>
        <v>10744.786529884792</v>
      </c>
      <c r="IJ16" s="568">
        <f>IF($B16="","",SUMPRODUCT(('ANALYSE - ERP =&gt; SOUS-SEGMENT'!$B$8:$B$1000=$B16)*'ANALYSE - ERP =&gt; SOUS-SEGMENT'!$Q$8:$Q$1000*'ANALYSE - ERP =&gt; SOUS-SEGMENT'!$IJ$8:$IJ$1000))</f>
        <v>598.31461587214619</v>
      </c>
      <c r="IK16" s="868">
        <f>IF($B16="","",IFERROR(SUMPRODUCT(('ANALYSE - ERP =&gt; SOUS-SEGMENT'!$B$8:$B$1000=$B16)*'ANALYSE - ERP =&gt; SOUS-SEGMENT'!$Q$8:$Q$1000*'ANALYSE - ERP =&gt; SOUS-SEGMENT'!$IE$8:$IE$1000*'ANALYSE - ERP =&gt; SOUS-SEGMENT'!$IK$8:$IK$1000)/SUMPRODUCT(('ANALYSE - ERP =&gt; SOUS-SEGMENT'!$B$8:$B$1000=$B16)*'ANALYSE - ERP =&gt; SOUS-SEGMENT'!$Q$8:$Q$1000*'ANALYSE - ERP =&gt; SOUS-SEGMENT'!$IE$8:$IE$1000),""))</f>
        <v>4.0885797181760646</v>
      </c>
      <c r="IL16" s="962" t="s">
        <v>6612</v>
      </c>
      <c r="IM16" s="963" t="s">
        <v>6613</v>
      </c>
      <c r="IN16" s="529"/>
      <c r="IO16" s="742">
        <f>IF($B16="","",IFERROR(SUMPRODUCT(('ANALYSE - ERP =&gt; SOUS-SEGMENT'!$B$8:$B$1000=$B16)*'ANALYSE - ERP =&gt; SOUS-SEGMENT'!$Q$8:$Q$1000*'ANALYSE - ERP =&gt; SOUS-SEGMENT'!$BE$8:$BE$1000*'ANALYSE - ERP =&gt; SOUS-SEGMENT'!$IO$8:$IO$1000)/SUMPRODUCT(('ANALYSE - ERP =&gt; SOUS-SEGMENT'!$B$8:$B$1000=$B16)*'ANALYSE - ERP =&gt; SOUS-SEGMENT'!$Q$8:$Q$1000*'ANALYSE - ERP =&gt; SOUS-SEGMENT'!$BE$8:$BE$1000),""))</f>
        <v>5.1875950768121973E-2</v>
      </c>
      <c r="IP16" s="742">
        <f>IF($B16="","",IFERROR(SUMPRODUCT(('ANALYSE - ERP =&gt; SOUS-SEGMENT'!$B$8:$B$1000=$B16)*'ANALYSE - ERP =&gt; SOUS-SEGMENT'!$Q$8:$Q$1000*'ANALYSE - ERP =&gt; SOUS-SEGMENT'!$BE$8:$BE$1000*'ANALYSE - ERP =&gt; SOUS-SEGMENT'!$IP$8:$IP$1000)/SUMPRODUCT(('ANALYSE - ERP =&gt; SOUS-SEGMENT'!$B$8:$B$1000=$B16)*'ANALYSE - ERP =&gt; SOUS-SEGMENT'!$Q$8:$Q$1000*'ANALYSE - ERP =&gt; SOUS-SEGMENT'!$BE$8:$BE$1000),""))</f>
        <v>0.44028488595072524</v>
      </c>
      <c r="IQ16" s="742">
        <f>IF($B16="","",IFERROR(SUMPRODUCT(('ANALYSE - ERP =&gt; SOUS-SEGMENT'!$B$8:$B$1000=$B16)*'ANALYSE - ERP =&gt; SOUS-SEGMENT'!$Q$8:$Q$1000*'ANALYSE - ERP =&gt; SOUS-SEGMENT'!$BE$8:$BE$1000*'ANALYSE - ERP =&gt; SOUS-SEGMENT'!$IQ$8:$IQ$1000)/SUMPRODUCT(('ANALYSE - ERP =&gt; SOUS-SEGMENT'!$B$8:$B$1000=$B16)*'ANALYSE - ERP =&gt; SOUS-SEGMENT'!$Q$8:$Q$1000*'ANALYSE - ERP =&gt; SOUS-SEGMENT'!$BE$8:$BE$1000),""))</f>
        <v>0.44909556629958686</v>
      </c>
      <c r="IR16" s="742">
        <f>IF($B16="","",IFERROR(SUMPRODUCT(('ANALYSE - ERP =&gt; SOUS-SEGMENT'!$B$8:$B$1000=$B16)*'ANALYSE - ERP =&gt; SOUS-SEGMENT'!$Q$8:$Q$1000*'ANALYSE - ERP =&gt; SOUS-SEGMENT'!$BE$8:$BE$1000*'ANALYSE - ERP =&gt; SOUS-SEGMENT'!$IR$8:$IR$1000)/SUMPRODUCT(('ANALYSE - ERP =&gt; SOUS-SEGMENT'!$B$8:$B$1000=$B16)*'ANALYSE - ERP =&gt; SOUS-SEGMENT'!$Q$8:$Q$1000*'ANALYSE - ERP =&gt; SOUS-SEGMENT'!$BE$8:$BE$1000),""))</f>
        <v>5.867429483357E-2</v>
      </c>
      <c r="IS16" s="742">
        <f>IF($B16="","",IFERROR(SUMPRODUCT(('ANALYSE - ERP =&gt; SOUS-SEGMENT'!$B$8:$B$1000=$B16)*'ANALYSE - ERP =&gt; SOUS-SEGMENT'!$Q$8:$Q$1000*'ANALYSE - ERP =&gt; SOUS-SEGMENT'!$BE$8:$BE$1000*'ANALYSE - ERP =&gt; SOUS-SEGMENT'!$IS$8:$IS$1000)/SUMPRODUCT(('ANALYSE - ERP =&gt; SOUS-SEGMENT'!$B$8:$B$1000=$B16)*'ANALYSE - ERP =&gt; SOUS-SEGMENT'!$Q$8:$Q$1000*'ANALYSE - ERP =&gt; SOUS-SEGMENT'!$BE$8:$BE$1000),""))</f>
        <v>6.930214799593309E-5</v>
      </c>
      <c r="IT16" s="742">
        <f>IF($B16="","",IFERROR(SUMPRODUCT(('ANALYSE - ERP =&gt; SOUS-SEGMENT'!$B$8:$B$1000=$B16)*'ANALYSE - ERP =&gt; SOUS-SEGMENT'!$Q$8:$Q$1000*'ANALYSE - ERP =&gt; SOUS-SEGMENT'!$FB$8:$FB$1000*'ANALYSE - ERP =&gt; SOUS-SEGMENT'!$IT$8:$IT$1000)/SUMPRODUCT(('ANALYSE - ERP =&gt; SOUS-SEGMENT'!$B$8:$B$1000=$B16)*'ANALYSE - ERP =&gt; SOUS-SEGMENT'!$Q$8:$Q$1000*'ANALYSE - ERP =&gt; SOUS-SEGMENT'!$FB$8:$FB$1000),""))</f>
        <v>3.2036394267088909E-2</v>
      </c>
      <c r="IU16" s="742">
        <f>IF($B16="","",IFERROR(SUMPRODUCT(('ANALYSE - ERP =&gt; SOUS-SEGMENT'!$B$8:$B$1000=$B16)*'ANALYSE - ERP =&gt; SOUS-SEGMENT'!$Q$8:$Q$1000*'ANALYSE - ERP =&gt; SOUS-SEGMENT'!$FB$8:$FB$1000*'ANALYSE - ERP =&gt; SOUS-SEGMENT'!$IU$8:$IU$1000)/SUMPRODUCT(('ANALYSE - ERP =&gt; SOUS-SEGMENT'!$B$8:$B$1000=$B16)*'ANALYSE - ERP =&gt; SOUS-SEGMENT'!$Q$8:$Q$1000*'ANALYSE - ERP =&gt; SOUS-SEGMENT'!$FB$8:$FB$1000),""))</f>
        <v>0.41105017613305611</v>
      </c>
      <c r="IV16" s="742">
        <f>IF($B16="","",IFERROR(SUMPRODUCT(('ANALYSE - ERP =&gt; SOUS-SEGMENT'!$B$8:$B$1000=$B16)*'ANALYSE - ERP =&gt; SOUS-SEGMENT'!$Q$8:$Q$1000*'ANALYSE - ERP =&gt; SOUS-SEGMENT'!$FB$8:$FB$1000*'ANALYSE - ERP =&gt; SOUS-SEGMENT'!$IV$8:$IV$1000)/SUMPRODUCT(('ANALYSE - ERP =&gt; SOUS-SEGMENT'!$B$8:$B$1000=$B16)*'ANALYSE - ERP =&gt; SOUS-SEGMENT'!$Q$8:$Q$1000*'ANALYSE - ERP =&gt; SOUS-SEGMENT'!$FB$8:$FB$1000),""))</f>
        <v>0.47305489759543506</v>
      </c>
      <c r="IW16" s="742">
        <f>IF($B16="","",IFERROR(SUMPRODUCT(('ANALYSE - ERP =&gt; SOUS-SEGMENT'!$B$8:$B$1000=$B16)*'ANALYSE - ERP =&gt; SOUS-SEGMENT'!$Q$8:$Q$1000*'ANALYSE - ERP =&gt; SOUS-SEGMENT'!$FB$8:$FB$1000*'ANALYSE - ERP =&gt; SOUS-SEGMENT'!$IW$8:$IW$1000)/SUMPRODUCT(('ANALYSE - ERP =&gt; SOUS-SEGMENT'!$B$8:$B$1000=$B16)*'ANALYSE - ERP =&gt; SOUS-SEGMENT'!$Q$8:$Q$1000*'ANALYSE - ERP =&gt; SOUS-SEGMENT'!$FB$8:$FB$1000),""))</f>
        <v>7.9770734653879252E-2</v>
      </c>
      <c r="IX16" s="742">
        <f>IF($B16="","",IFERROR(SUMPRODUCT(('ANALYSE - ERP =&gt; SOUS-SEGMENT'!$B$8:$B$1000=$B16)*'ANALYSE - ERP =&gt; SOUS-SEGMENT'!$Q$8:$Q$1000*'ANALYSE - ERP =&gt; SOUS-SEGMENT'!$FB$8:$FB$1000*'ANALYSE - ERP =&gt; SOUS-SEGMENT'!$IX$8:$IX$1000)/SUMPRODUCT(('ANALYSE - ERP =&gt; SOUS-SEGMENT'!$B$8:$B$1000=$B16)*'ANALYSE - ERP =&gt; SOUS-SEGMENT'!$Q$8:$Q$1000*'ANALYSE - ERP =&gt; SOUS-SEGMENT'!$FB$8:$FB$1000),""))</f>
        <v>4.0877973505405799E-3</v>
      </c>
      <c r="IY16" s="742">
        <f>IF($B16="","",IFERROR(SUMPRODUCT(('ANALYSE - ERP =&gt; SOUS-SEGMENT'!$B$8:$B$1000=$B16)*'ANALYSE - ERP =&gt; SOUS-SEGMENT'!$Q$8:$Q$1000*'ANALYSE - ERP =&gt; SOUS-SEGMENT'!$BF$8:$BF$1000*'ANALYSE - ERP =&gt; SOUS-SEGMENT'!$IY$8:$IY$1000)/SUMPRODUCT(('ANALYSE - ERP =&gt; SOUS-SEGMENT'!$B$8:$B$1000=$B16)*'ANALYSE - ERP =&gt; SOUS-SEGMENT'!$Q$8:$Q$1000*'ANALYSE - ERP =&gt; SOUS-SEGMENT'!$BF$8:$BF$1000),""))</f>
        <v>0.10220000000000001</v>
      </c>
      <c r="IZ16" s="742">
        <f>IF($B16="","",IFERROR(SUMPRODUCT(('ANALYSE - ERP =&gt; SOUS-SEGMENT'!$B$8:$B$1000=$B16)*'ANALYSE - ERP =&gt; SOUS-SEGMENT'!$Q$8:$Q$1000*'ANALYSE - ERP =&gt; SOUS-SEGMENT'!$BF$8:$BF$1000*'ANALYSE - ERP =&gt; SOUS-SEGMENT'!$IZ$8:$IZ$1000)/SUMPRODUCT(('ANALYSE - ERP =&gt; SOUS-SEGMENT'!$B$8:$B$1000=$B16)*'ANALYSE - ERP =&gt; SOUS-SEGMENT'!$Q$8:$Q$1000*'ANALYSE - ERP =&gt; SOUS-SEGMENT'!$BF$8:$BF$1000),""))</f>
        <v>0.54190000000000005</v>
      </c>
      <c r="JA16" s="742">
        <f>IF($B16="","",IFERROR(SUMPRODUCT(('ANALYSE - ERP =&gt; SOUS-SEGMENT'!$B$8:$B$1000=$B16)*'ANALYSE - ERP =&gt; SOUS-SEGMENT'!$Q$8:$Q$1000*'ANALYSE - ERP =&gt; SOUS-SEGMENT'!$BF$8:$BF$1000*'ANALYSE - ERP =&gt; SOUS-SEGMENT'!$JA$8:$JA$1000)/SUMPRODUCT(('ANALYSE - ERP =&gt; SOUS-SEGMENT'!$B$8:$B$1000=$B16)*'ANALYSE - ERP =&gt; SOUS-SEGMENT'!$Q$8:$Q$1000*'ANALYSE - ERP =&gt; SOUS-SEGMENT'!$BF$8:$BF$1000),""))</f>
        <v>0.33110000000000001</v>
      </c>
      <c r="JB16" s="742">
        <f>IF($B16="","",IFERROR(SUMPRODUCT(('ANALYSE - ERP =&gt; SOUS-SEGMENT'!$B$8:$B$1000=$B16)*'ANALYSE - ERP =&gt; SOUS-SEGMENT'!$Q$8:$Q$1000*'ANALYSE - ERP =&gt; SOUS-SEGMENT'!$BF$8:$BF$1000*'ANALYSE - ERP =&gt; SOUS-SEGMENT'!$JB$8:$JB$1000)/SUMPRODUCT(('ANALYSE - ERP =&gt; SOUS-SEGMENT'!$B$8:$B$1000=$B16)*'ANALYSE - ERP =&gt; SOUS-SEGMENT'!$Q$8:$Q$1000*'ANALYSE - ERP =&gt; SOUS-SEGMENT'!$BF$8:$BF$1000),""))</f>
        <v>2.4799999999999999E-2</v>
      </c>
      <c r="JC16" s="742">
        <f>IF($B16="","",IFERROR(SUMPRODUCT(('ANALYSE - ERP =&gt; SOUS-SEGMENT'!$B$8:$B$1000=$B16)*'ANALYSE - ERP =&gt; SOUS-SEGMENT'!$Q$8:$Q$1000*'ANALYSE - ERP =&gt; SOUS-SEGMENT'!$BF$8:$BF$1000*'ANALYSE - ERP =&gt; SOUS-SEGMENT'!$JC$8:$JC$1000)/SUMPRODUCT(('ANALYSE - ERP =&gt; SOUS-SEGMENT'!$B$8:$B$1000=$B16)*'ANALYSE - ERP =&gt; SOUS-SEGMENT'!$Q$8:$Q$1000*'ANALYSE - ERP =&gt; SOUS-SEGMENT'!$BF$8:$BF$1000),""))</f>
        <v>0</v>
      </c>
      <c r="JD16" s="742">
        <f>IF($B16="","",IFERROR(SUMPRODUCT(('ANALYSE - ERP =&gt; SOUS-SEGMENT'!$B$8:$B$1000=$B16)*'ANALYSE - ERP =&gt; SOUS-SEGMENT'!$Q$8:$Q$1000*'ANALYSE - ERP =&gt; SOUS-SEGMENT'!$FE$8:$FE$1000*'ANALYSE - ERP =&gt; SOUS-SEGMENT'!$JD$8:$JD$1000)/SUMPRODUCT(('ANALYSE - ERP =&gt; SOUS-SEGMENT'!$B$8:$B$1000=$B16)*'ANALYSE - ERP =&gt; SOUS-SEGMENT'!$Q$8:$Q$1000*'ANALYSE - ERP =&gt; SOUS-SEGMENT'!$FE$8:$FE$1000),""))</f>
        <v>8.8099999999999998E-2</v>
      </c>
      <c r="JE16" s="742">
        <f>IF($B16="","",IFERROR(SUMPRODUCT(('ANALYSE - ERP =&gt; SOUS-SEGMENT'!$B$8:$B$1000=$B16)*'ANALYSE - ERP =&gt; SOUS-SEGMENT'!$Q$8:$Q$1000*'ANALYSE - ERP =&gt; SOUS-SEGMENT'!$FE$8:$FE$1000*'ANALYSE - ERP =&gt; SOUS-SEGMENT'!$JE$8:$JE$1000)/SUMPRODUCT(('ANALYSE - ERP =&gt; SOUS-SEGMENT'!$B$8:$B$1000=$B16)*'ANALYSE - ERP =&gt; SOUS-SEGMENT'!$Q$8:$Q$1000*'ANALYSE - ERP =&gt; SOUS-SEGMENT'!$FE$8:$FE$1000),""))</f>
        <v>0.52459999999999996</v>
      </c>
      <c r="JF16" s="742">
        <f>IF($B16="","",IFERROR(SUMPRODUCT(('ANALYSE - ERP =&gt; SOUS-SEGMENT'!$B$8:$B$1000=$B16)*'ANALYSE - ERP =&gt; SOUS-SEGMENT'!$Q$8:$Q$1000*'ANALYSE - ERP =&gt; SOUS-SEGMENT'!$FE$8:$FE$1000*'ANALYSE - ERP =&gt; SOUS-SEGMENT'!$JF$8:$JF$1000)/SUMPRODUCT(('ANALYSE - ERP =&gt; SOUS-SEGMENT'!$B$8:$B$1000=$B16)*'ANALYSE - ERP =&gt; SOUS-SEGMENT'!$Q$8:$Q$1000*'ANALYSE - ERP =&gt; SOUS-SEGMENT'!$FE$8:$FE$1000),""))</f>
        <v>0.34520000000000006</v>
      </c>
      <c r="JG16" s="742">
        <f>IF($B16="","",IFERROR(SUMPRODUCT(('ANALYSE - ERP =&gt; SOUS-SEGMENT'!$B$8:$B$1000=$B16)*'ANALYSE - ERP =&gt; SOUS-SEGMENT'!$Q$8:$Q$1000*'ANALYSE - ERP =&gt; SOUS-SEGMENT'!$FE$8:$FE$1000*'ANALYSE - ERP =&gt; SOUS-SEGMENT'!$JG$8:$JG$1000)/SUMPRODUCT(('ANALYSE - ERP =&gt; SOUS-SEGMENT'!$B$8:$B$1000=$B16)*'ANALYSE - ERP =&gt; SOUS-SEGMENT'!$Q$8:$Q$1000*'ANALYSE - ERP =&gt; SOUS-SEGMENT'!$FE$8:$FE$1000),""))</f>
        <v>3.8899999999999997E-2</v>
      </c>
      <c r="JH16" s="742">
        <f>IF($B16="","",IFERROR(SUMPRODUCT(('ANALYSE - ERP =&gt; SOUS-SEGMENT'!$B$8:$B$1000=$B16)*'ANALYSE - ERP =&gt; SOUS-SEGMENT'!$Q$8:$Q$1000*'ANALYSE - ERP =&gt; SOUS-SEGMENT'!$FE$8:$FE$1000*'ANALYSE - ERP =&gt; SOUS-SEGMENT'!$JH$8:$JH$1000)/SUMPRODUCT(('ANALYSE - ERP =&gt; SOUS-SEGMENT'!$B$8:$B$1000=$B16)*'ANALYSE - ERP =&gt; SOUS-SEGMENT'!$Q$8:$Q$1000*'ANALYSE - ERP =&gt; SOUS-SEGMENT'!$FE$8:$FE$1000),""))</f>
        <v>3.2000000000000002E-3</v>
      </c>
      <c r="JI16" s="742">
        <f>IF($B16="","",IFERROR(SUMPRODUCT(('ANALYSE - ERP =&gt; SOUS-SEGMENT'!$B$8:$B$1000=$B16)*'ANALYSE - ERP =&gt; SOUS-SEGMENT'!$Q$8:$Q$1000*'ANALYSE - ERP =&gt; SOUS-SEGMENT'!$BG$8:$BG$1000*'ANALYSE - ERP =&gt; SOUS-SEGMENT'!$JI$8:$JI$1000)/SUMPRODUCT(('ANALYSE - ERP =&gt; SOUS-SEGMENT'!$B$8:$B$1000=$B16)*'ANALYSE - ERP =&gt; SOUS-SEGMENT'!$Q$8:$Q$1000*'ANALYSE - ERP =&gt; SOUS-SEGMENT'!$BG$8:$BG$1000),""))</f>
        <v>9.1749661373956501E-2</v>
      </c>
      <c r="JJ16" s="742">
        <f>IF($B16="","",IFERROR(SUMPRODUCT(('ANALYSE - ERP =&gt; SOUS-SEGMENT'!$B$8:$B$1000=$B16)*'ANALYSE - ERP =&gt; SOUS-SEGMENT'!$Q$8:$Q$1000*'ANALYSE - ERP =&gt; SOUS-SEGMENT'!$BG$8:$BG$1000*'ANALYSE - ERP =&gt; SOUS-SEGMENT'!$JJ$8:$JJ$1000)/SUMPRODUCT(('ANALYSE - ERP =&gt; SOUS-SEGMENT'!$B$8:$B$1000=$B16)*'ANALYSE - ERP =&gt; SOUS-SEGMENT'!$Q$8:$Q$1000*'ANALYSE - ERP =&gt; SOUS-SEGMENT'!$BG$8:$BG$1000),""))</f>
        <v>0.5611714867920925</v>
      </c>
      <c r="JK16" s="742">
        <f>IF($B16="","",IFERROR(SUMPRODUCT(('ANALYSE - ERP =&gt; SOUS-SEGMENT'!$B$8:$B$1000=$B16)*'ANALYSE - ERP =&gt; SOUS-SEGMENT'!$Q$8:$Q$1000*'ANALYSE - ERP =&gt; SOUS-SEGMENT'!$BG$8:$BG$1000*'ANALYSE - ERP =&gt; SOUS-SEGMENT'!$JK$8:$JK$1000)/SUMPRODUCT(('ANALYSE - ERP =&gt; SOUS-SEGMENT'!$B$8:$B$1000=$B16)*'ANALYSE - ERP =&gt; SOUS-SEGMENT'!$Q$8:$Q$1000*'ANALYSE - ERP =&gt; SOUS-SEGMENT'!$BG$8:$BG$1000),""))</f>
        <v>0.31458555871805427</v>
      </c>
      <c r="JL16" s="742">
        <f>IF($B16="","",IFERROR(SUMPRODUCT(('ANALYSE - ERP =&gt; SOUS-SEGMENT'!$B$8:$B$1000=$B16)*'ANALYSE - ERP =&gt; SOUS-SEGMENT'!$Q$8:$Q$1000*'ANALYSE - ERP =&gt; SOUS-SEGMENT'!$BG$8:$BG$1000*'ANALYSE - ERP =&gt; SOUS-SEGMENT'!$JL$8:$JL$1000)/SUMPRODUCT(('ANALYSE - ERP =&gt; SOUS-SEGMENT'!$B$8:$B$1000=$B16)*'ANALYSE - ERP =&gt; SOUS-SEGMENT'!$Q$8:$Q$1000*'ANALYSE - ERP =&gt; SOUS-SEGMENT'!$BG$8:$BG$1000),""))</f>
        <v>2.531312615983149E-2</v>
      </c>
      <c r="JM16" s="742">
        <f>IF($B16="","",IFERROR(SUMPRODUCT(('ANALYSE - ERP =&gt; SOUS-SEGMENT'!$B$8:$B$1000=$B16)*'ANALYSE - ERP =&gt; SOUS-SEGMENT'!$Q$8:$Q$1000*'ANALYSE - ERP =&gt; SOUS-SEGMENT'!$BG$8:$BG$1000*'ANALYSE - ERP =&gt; SOUS-SEGMENT'!$JM$8:$JM$1000)/SUMPRODUCT(('ANALYSE - ERP =&gt; SOUS-SEGMENT'!$B$8:$B$1000=$B16)*'ANALYSE - ERP =&gt; SOUS-SEGMENT'!$Q$8:$Q$1000*'ANALYSE - ERP =&gt; SOUS-SEGMENT'!$BG$8:$BG$1000),""))</f>
        <v>1.9792468479434807E-5</v>
      </c>
      <c r="JN16" s="742">
        <f>IF($B16="","",IFERROR(SUMPRODUCT(('ANALYSE - ERP =&gt; SOUS-SEGMENT'!$B$8:$B$1000=$B16)*'ANALYSE - ERP =&gt; SOUS-SEGMENT'!$Q$8:$Q$1000*'ANALYSE - ERP =&gt; SOUS-SEGMENT'!$FH$8:$FH$1000*'ANALYSE - ERP =&gt; SOUS-SEGMENT'!$JN$8:$JN$1000)/SUMPRODUCT(('ANALYSE - ERP =&gt; SOUS-SEGMENT'!$B$8:$B$1000=$B16)*'ANALYSE - ERP =&gt; SOUS-SEGMENT'!$Q$8:$Q$1000*'ANALYSE - ERP =&gt; SOUS-SEGMENT'!$FH$8:$FH$1000),""))</f>
        <v>6.8902715043841101E-2</v>
      </c>
      <c r="JO16" s="742">
        <f>IF($B16="","",IFERROR(SUMPRODUCT(('ANALYSE - ERP =&gt; SOUS-SEGMENT'!$B$8:$B$1000=$B16)*'ANALYSE - ERP =&gt; SOUS-SEGMENT'!$Q$8:$Q$1000*'ANALYSE - ERP =&gt; SOUS-SEGMENT'!$FH$8:$FH$1000*'ANALYSE - ERP =&gt; SOUS-SEGMENT'!$JO$8:$JO$1000)/SUMPRODUCT(('ANALYSE - ERP =&gt; SOUS-SEGMENT'!$B$8:$B$1000=$B16)*'ANALYSE - ERP =&gt; SOUS-SEGMENT'!$Q$8:$Q$1000*'ANALYSE - ERP =&gt; SOUS-SEGMENT'!$FH$8:$FH$1000),""))</f>
        <v>0.53241397711096194</v>
      </c>
      <c r="JP16" s="742">
        <f>IF($B16="","",IFERROR(SUMPRODUCT(('ANALYSE - ERP =&gt; SOUS-SEGMENT'!$B$8:$B$1000=$B16)*'ANALYSE - ERP =&gt; SOUS-SEGMENT'!$Q$8:$Q$1000*'ANALYSE - ERP =&gt; SOUS-SEGMENT'!$FH$8:$FH$1000*'ANALYSE - ERP =&gt; SOUS-SEGMENT'!$JP$8:$JP$1000)/SUMPRODUCT(('ANALYSE - ERP =&gt; SOUS-SEGMENT'!$B$8:$B$1000=$B16)*'ANALYSE - ERP =&gt; SOUS-SEGMENT'!$Q$8:$Q$1000*'ANALYSE - ERP =&gt; SOUS-SEGMENT'!$FH$8:$FH$1000),""))</f>
        <v>0.34189387101222757</v>
      </c>
      <c r="JQ16" s="742">
        <f>IF($B16="","",IFERROR(SUMPRODUCT(('ANALYSE - ERP =&gt; SOUS-SEGMENT'!$B$8:$B$1000=$B16)*'ANALYSE - ERP =&gt; SOUS-SEGMENT'!$Q$8:$Q$1000*'ANALYSE - ERP =&gt; SOUS-SEGMENT'!$FH$8:$FH$1000*'ANALYSE - ERP =&gt; SOUS-SEGMENT'!$JQ$8:$JQ$1000)/SUMPRODUCT(('ANALYSE - ERP =&gt; SOUS-SEGMENT'!$B$8:$B$1000=$B16)*'ANALYSE - ERP =&gt; SOUS-SEGMENT'!$Q$8:$Q$1000*'ANALYSE - ERP =&gt; SOUS-SEGMENT'!$FH$8:$FH$1000),""))</f>
        <v>4.4391254536141928E-2</v>
      </c>
      <c r="JR16" s="742">
        <f>IF($B16="","",IFERROR(SUMPRODUCT(('ANALYSE - ERP =&gt; SOUS-SEGMENT'!$B$8:$B$1000=$B16)*'ANALYSE - ERP =&gt; SOUS-SEGMENT'!$Q$8:$Q$1000*'ANALYSE - ERP =&gt; SOUS-SEGMENT'!$FH$8:$FH$1000*'ANALYSE - ERP =&gt; SOUS-SEGMENT'!$JR$8:$JR$1000)/SUMPRODUCT(('ANALYSE - ERP =&gt; SOUS-SEGMENT'!$B$8:$B$1000=$B16)*'ANALYSE - ERP =&gt; SOUS-SEGMENT'!$Q$8:$Q$1000*'ANALYSE - ERP =&gt; SOUS-SEGMENT'!$FH$8:$FH$1000),""))</f>
        <v>3.7152479780194966E-3</v>
      </c>
      <c r="JS16" s="742">
        <f>IF($B16="","",IFERROR(SUMPRODUCT(('ANALYSE - ERP =&gt; SOUS-SEGMENT'!$B$8:$B$1000=$B16)*'ANALYSE - ERP =&gt; SOUS-SEGMENT'!$Q$8:$Q$1000*'ANALYSE - ERP =&gt; SOUS-SEGMENT'!$BH$8:$BH$1000*'ANALYSE - ERP =&gt; SOUS-SEGMENT'!$JS$8:$JS$1000)/SUMPRODUCT(('ANALYSE - ERP =&gt; SOUS-SEGMENT'!$B$8:$B$1000=$B16)*'ANALYSE - ERP =&gt; SOUS-SEGMENT'!$Q$8:$Q$1000*'ANALYSE - ERP =&gt; SOUS-SEGMENT'!$BH$8:$BH$1000),""))</f>
        <v>5.510355974293614E-2</v>
      </c>
      <c r="JT16" s="742">
        <f>IF($B16="","",IFERROR(SUMPRODUCT(('ANALYSE - ERP =&gt; SOUS-SEGMENT'!$B$8:$B$1000=$B16)*'ANALYSE - ERP =&gt; SOUS-SEGMENT'!$Q$8:$Q$1000*'ANALYSE - ERP =&gt; SOUS-SEGMENT'!$BH$8:$BH$1000*'ANALYSE - ERP =&gt; SOUS-SEGMENT'!$JT$8:$JT$1000)/SUMPRODUCT(('ANALYSE - ERP =&gt; SOUS-SEGMENT'!$B$8:$B$1000=$B16)*'ANALYSE - ERP =&gt; SOUS-SEGMENT'!$Q$8:$Q$1000*'ANALYSE - ERP =&gt; SOUS-SEGMENT'!$BH$8:$BH$1000),""))</f>
        <v>0.45267012735833556</v>
      </c>
      <c r="JU16" s="742">
        <f>IF($B16="","",IFERROR(SUMPRODUCT(('ANALYSE - ERP =&gt; SOUS-SEGMENT'!$B$8:$B$1000=$B16)*'ANALYSE - ERP =&gt; SOUS-SEGMENT'!$Q$8:$Q$1000*'ANALYSE - ERP =&gt; SOUS-SEGMENT'!$BH$8:$BH$1000*'ANALYSE - ERP =&gt; SOUS-SEGMENT'!$JU$8:$JU$1000)/SUMPRODUCT(('ANALYSE - ERP =&gt; SOUS-SEGMENT'!$B$8:$B$1000=$B16)*'ANALYSE - ERP =&gt; SOUS-SEGMENT'!$Q$8:$Q$1000*'ANALYSE - ERP =&gt; SOUS-SEGMENT'!$BH$8:$BH$1000),""))</f>
        <v>0.44276549917613772</v>
      </c>
      <c r="JV16" s="742">
        <f>IF($B16="","",IFERROR(SUMPRODUCT(('ANALYSE - ERP =&gt; SOUS-SEGMENT'!$B$8:$B$1000=$B16)*'ANALYSE - ERP =&gt; SOUS-SEGMENT'!$Q$8:$Q$1000*'ANALYSE - ERP =&gt; SOUS-SEGMENT'!$BH$8:$BH$1000*'ANALYSE - ERP =&gt; SOUS-SEGMENT'!$JV$8:$JV$1000)/SUMPRODUCT(('ANALYSE - ERP =&gt; SOUS-SEGMENT'!$B$8:$B$1000=$B16)*'ANALYSE - ERP =&gt; SOUS-SEGMENT'!$Q$8:$Q$1000*'ANALYSE - ERP =&gt; SOUS-SEGMENT'!$BH$8:$BH$1000),""))</f>
        <v>4.9421906760366341E-2</v>
      </c>
      <c r="JW16" s="742">
        <f>IF($B16="","",IFERROR(SUMPRODUCT(('ANALYSE - ERP =&gt; SOUS-SEGMENT'!$B$8:$B$1000=$B16)*'ANALYSE - ERP =&gt; SOUS-SEGMENT'!$Q$8:$Q$1000*'ANALYSE - ERP =&gt; SOUS-SEGMENT'!$BH$8:$BH$1000*'ANALYSE - ERP =&gt; SOUS-SEGMENT'!$JW$8:$JW$1000)/SUMPRODUCT(('ANALYSE - ERP =&gt; SOUS-SEGMENT'!$B$8:$B$1000=$B16)*'ANALYSE - ERP =&gt; SOUS-SEGMENT'!$Q$8:$Q$1000*'ANALYSE - ERP =&gt; SOUS-SEGMENT'!$BH$8:$BH$1000),""))</f>
        <v>3.8906962224381638E-5</v>
      </c>
      <c r="JX16" s="742">
        <f>IF($B16="","",IFERROR(SUMPRODUCT(('ANALYSE - ERP =&gt; SOUS-SEGMENT'!$B$8:$B$1000=$B16)*'ANALYSE - ERP =&gt; SOUS-SEGMENT'!$Q$8:$Q$1000*'ANALYSE - ERP =&gt; SOUS-SEGMENT'!$FK$8:$FK$1000*'ANALYSE - ERP =&gt; SOUS-SEGMENT'!$JX$8:$JX$1000)/SUMPRODUCT(('ANALYSE - ERP =&gt; SOUS-SEGMENT'!$B$8:$B$1000=$B16)*'ANALYSE - ERP =&gt; SOUS-SEGMENT'!$Q$8:$Q$1000*'ANALYSE - ERP =&gt; SOUS-SEGMENT'!$FK$8:$FK$1000),""))</f>
        <v>3.5065927923157464E-2</v>
      </c>
      <c r="JY16" s="742">
        <f>IF($B16="","",IFERROR(SUMPRODUCT(('ANALYSE - ERP =&gt; SOUS-SEGMENT'!$B$8:$B$1000=$B16)*'ANALYSE - ERP =&gt; SOUS-SEGMENT'!$Q$8:$Q$1000*'ANALYSE - ERP =&gt; SOUS-SEGMENT'!$FK$8:$FK$1000*'ANALYSE - ERP =&gt; SOUS-SEGMENT'!$JY$8:$JY$1000)/SUMPRODUCT(('ANALYSE - ERP =&gt; SOUS-SEGMENT'!$B$8:$B$1000=$B16)*'ANALYSE - ERP =&gt; SOUS-SEGMENT'!$Q$8:$Q$1000*'ANALYSE - ERP =&gt; SOUS-SEGMENT'!$FK$8:$FK$1000),""))</f>
        <v>0.42435765233418526</v>
      </c>
      <c r="JZ16" s="742">
        <f>IF($B16="","",IFERROR(SUMPRODUCT(('ANALYSE - ERP =&gt; SOUS-SEGMENT'!$B$8:$B$1000=$B16)*'ANALYSE - ERP =&gt; SOUS-SEGMENT'!$Q$8:$Q$1000*'ANALYSE - ERP =&gt; SOUS-SEGMENT'!$FK$8:$FK$1000*'ANALYSE - ERP =&gt; SOUS-SEGMENT'!$JZ$8:$JZ$1000)/SUMPRODUCT(('ANALYSE - ERP =&gt; SOUS-SEGMENT'!$B$8:$B$1000=$B16)*'ANALYSE - ERP =&gt; SOUS-SEGMENT'!$Q$8:$Q$1000*'ANALYSE - ERP =&gt; SOUS-SEGMENT'!$FK$8:$FK$1000),""))</f>
        <v>0.46672927312567386</v>
      </c>
      <c r="KA16" s="742">
        <f>IF($B16="","",IFERROR(SUMPRODUCT(('ANALYSE - ERP =&gt; SOUS-SEGMENT'!$B$8:$B$1000=$B16)*'ANALYSE - ERP =&gt; SOUS-SEGMENT'!$Q$8:$Q$1000*'ANALYSE - ERP =&gt; SOUS-SEGMENT'!$FK$8:$FK$1000*'ANALYSE - ERP =&gt; SOUS-SEGMENT'!$KA$8:$KA$1000)/SUMPRODUCT(('ANALYSE - ERP =&gt; SOUS-SEGMENT'!$B$8:$B$1000=$B16)*'ANALYSE - ERP =&gt; SOUS-SEGMENT'!$Q$8:$Q$1000*'ANALYSE - ERP =&gt; SOUS-SEGMENT'!$FK$8:$FK$1000),""))</f>
        <v>6.9802655684092454E-2</v>
      </c>
      <c r="KB16" s="742">
        <f>IF($B16="","",IFERROR(SUMPRODUCT(('ANALYSE - ERP =&gt; SOUS-SEGMENT'!$B$8:$B$1000=$B16)*'ANALYSE - ERP =&gt; SOUS-SEGMENT'!$Q$8:$Q$1000*'ANALYSE - ERP =&gt; SOUS-SEGMENT'!$FK$8:$FK$1000*'ANALYSE - ERP =&gt; SOUS-SEGMENT'!$KB$8:$KB$1000)/SUMPRODUCT(('ANALYSE - ERP =&gt; SOUS-SEGMENT'!$B$8:$B$1000=$B16)*'ANALYSE - ERP =&gt; SOUS-SEGMENT'!$Q$8:$Q$1000*'ANALYSE - ERP =&gt; SOUS-SEGMENT'!$FK$8:$FK$1000),""))</f>
        <v>4.0444909328909793E-3</v>
      </c>
      <c r="KC16" s="657"/>
      <c r="KD16" s="924" t="s">
        <v>6614</v>
      </c>
      <c r="KE16" s="924" t="s">
        <v>6615</v>
      </c>
      <c r="KF16" s="869">
        <f>IF($B16="","",IFERROR(SUMPRODUCT(('ANALYSE - ERP =&gt; SOUS-SEGMENT'!$B$8:$B$1000=$B16)*'ANALYSE - ERP =&gt; SOUS-SEGMENT'!$Q$8:$Q$1000*'ANALYSE - ERP =&gt; SOUS-SEGMENT'!$IE$8:$IE$1000*'ANALYSE - ERP =&gt; SOUS-SEGMENT'!$KF$8:$KF$1000)/SUMPRODUCT(('ANALYSE - ERP =&gt; SOUS-SEGMENT'!$B$8:$B$1000=$B16)*'ANALYSE - ERP =&gt; SOUS-SEGMENT'!$Q$8:$Q$1000*'ANALYSE - ERP =&gt; SOUS-SEGMENT'!$IE$8:$IE$1000),""))</f>
        <v>4.1201247299645898</v>
      </c>
      <c r="KG16" s="924" t="s">
        <v>2589</v>
      </c>
      <c r="KH16" s="924" t="s">
        <v>6616</v>
      </c>
      <c r="KI16" s="924" t="s">
        <v>6617</v>
      </c>
      <c r="KJ16" s="924" t="s">
        <v>6618</v>
      </c>
    </row>
    <row r="17" spans="1:296" ht="168" customHeight="1">
      <c r="A17" s="957">
        <f>IF($B17="","",ROWS($A$8:A17))</f>
        <v>10</v>
      </c>
      <c r="B17" s="958" t="s">
        <v>2285</v>
      </c>
      <c r="C17" s="958" t="s">
        <v>6619</v>
      </c>
      <c r="D17" s="959" t="s">
        <v>6620</v>
      </c>
      <c r="E17" s="960" t="s">
        <v>6621</v>
      </c>
      <c r="F17" s="960" t="s">
        <v>6622</v>
      </c>
      <c r="G17" s="960" t="s">
        <v>6623</v>
      </c>
      <c r="H17" s="960" t="s">
        <v>6624</v>
      </c>
      <c r="I17" s="960" t="s">
        <v>6625</v>
      </c>
      <c r="J17" s="960" t="s">
        <v>6626</v>
      </c>
      <c r="K17" s="960" t="s">
        <v>6627</v>
      </c>
      <c r="L17" s="960" t="s">
        <v>6628</v>
      </c>
      <c r="M17" s="960" t="s">
        <v>6629</v>
      </c>
      <c r="N17" s="960" t="s">
        <v>6630</v>
      </c>
      <c r="O17" s="960" t="s">
        <v>6631</v>
      </c>
      <c r="P17" s="960"/>
      <c r="Q17" s="270">
        <f>IF($B17="","",IF(SUMIFS('ANALYSE - ERP =&gt; SOUS-SEGMENT'!$Q$8:$Q$1000,'ANALYSE - ERP =&gt; SOUS-SEGMENT'!$B$8:$B$1000,$B17)&gt;0,1,0))</f>
        <v>1</v>
      </c>
      <c r="R17" s="271">
        <f>IF($B17="","",IFERROR(SUMPRODUCT(('ANALYSE - ERP =&gt; SOUS-SEGMENT'!$B$8:$B$1000=$B17)*'ANALYSE - ERP =&gt; SOUS-SEGMENT'!$Q$8:$Q$1000*'ANALYSE - ERP =&gt; SOUS-SEGMENT'!$AF$8:$AF$1000*'ANALYSE - ERP =&gt; SOUS-SEGMENT'!$R$8:$R$1000)/SUMPRODUCT(('ANALYSE - ERP =&gt; SOUS-SEGMENT'!$B$8:$B$1000=$B17)*'ANALYSE - ERP =&gt; SOUS-SEGMENT'!$Q$8:$Q$1000*'ANALYSE - ERP =&gt; SOUS-SEGMENT'!$AF$8:$AF$1000),""))</f>
        <v>1306.8460735413526</v>
      </c>
      <c r="S17" s="272">
        <f>IF($B17="","",SUMPRODUCT(('ANALYSE - ERP =&gt; SOUS-SEGMENT'!$B$8:$B$1000=$B17)*'ANALYSE - ERP =&gt; SOUS-SEGMENT'!$Q$8:$Q$1000*'ANALYSE - ERP =&gt; SOUS-SEGMENT'!$S$8:$S$1000))</f>
        <v>14319</v>
      </c>
      <c r="T17" s="272">
        <f>IF($B17="","",SUMPRODUCT(('ANALYSE - ERP =&gt; SOUS-SEGMENT'!$B$8:$B$1000=$B17)*'ANALYSE - ERP =&gt; SOUS-SEGMENT'!$Q$8:$Q$1000*'ANALYSE - ERP =&gt; SOUS-SEGMENT'!$T$8:$T$1000))</f>
        <v>14914</v>
      </c>
      <c r="U17" s="272">
        <f>IF($B17="","",SUMPRODUCT(('ANALYSE - ERP =&gt; SOUS-SEGMENT'!$B$8:$B$1000=$B17)*'ANALYSE - ERP =&gt; SOUS-SEGMENT'!$Q$8:$Q$1000*'ANALYSE - ERP =&gt; SOUS-SEGMENT'!$U$8:$U$1000))</f>
        <v>15634</v>
      </c>
      <c r="V17" s="272">
        <f>IF($B17="","",SUMPRODUCT(('ANALYSE - ERP =&gt; SOUS-SEGMENT'!$B$8:$B$1000=$B17)*'ANALYSE - ERP =&gt; SOUS-SEGMENT'!$Q$8:$Q$1000*'ANALYSE - ERP =&gt; SOUS-SEGMENT'!$V$8:$V$1000))</f>
        <v>16305</v>
      </c>
      <c r="W17" s="272">
        <f>IF($B17="","",SUMPRODUCT(('ANALYSE - ERP =&gt; SOUS-SEGMENT'!$B$8:$B$1000=$B17)*'ANALYSE - ERP =&gt; SOUS-SEGMENT'!$Q$8:$Q$1000*'ANALYSE - ERP =&gt; SOUS-SEGMENT'!$W$8:$W$1000))</f>
        <v>16472</v>
      </c>
      <c r="X17" s="272">
        <f>IF($B17="","",SUMPRODUCT(('ANALYSE - ERP =&gt; SOUS-SEGMENT'!$B$8:$B$1000=$B17)*'ANALYSE - ERP =&gt; SOUS-SEGMENT'!$Q$8:$Q$1000*'ANALYSE - ERP =&gt; SOUS-SEGMENT'!$X$8:$X$1000))</f>
        <v>16636</v>
      </c>
      <c r="Y17" s="272">
        <f>IF($B17="","",SUMPRODUCT(('ANALYSE - ERP =&gt; SOUS-SEGMENT'!$B$8:$B$1000=$B17)*'ANALYSE - ERP =&gt; SOUS-SEGMENT'!$Q$8:$Q$1000*'ANALYSE - ERP =&gt; SOUS-SEGMENT'!$Y$8:$Y$1000))</f>
        <v>16816</v>
      </c>
      <c r="Z17" s="272">
        <f>IF($B17="","",SUMPRODUCT(('ANALYSE - ERP =&gt; SOUS-SEGMENT'!$B$8:$B$1000=$B17)*'ANALYSE - ERP =&gt; SOUS-SEGMENT'!$Q$8:$Q$1000*'ANALYSE - ERP =&gt; SOUS-SEGMENT'!$Z$8:$Z$1000))</f>
        <v>17029</v>
      </c>
      <c r="AA17" s="272">
        <f>IF($B17="","",SUMPRODUCT(('ANALYSE - ERP =&gt; SOUS-SEGMENT'!$B$8:$B$1000=$B17)*'ANALYSE - ERP =&gt; SOUS-SEGMENT'!$Q$8:$Q$1000*'ANALYSE - ERP =&gt; SOUS-SEGMENT'!$AA$8:$AA$1000))</f>
        <v>16440</v>
      </c>
      <c r="AB17" s="272">
        <f>IF($B17="","",SUMPRODUCT(('ANALYSE - ERP =&gt; SOUS-SEGMENT'!$B$8:$B$1000=$B17)*'ANALYSE - ERP =&gt; SOUS-SEGMENT'!$Q$8:$Q$1000*'ANALYSE - ERP =&gt; SOUS-SEGMENT'!$AB$8:$AB$1000))</f>
        <v>16597</v>
      </c>
      <c r="AC17" s="272">
        <f>IF($B17="","",SUMPRODUCT(('ANALYSE - ERP =&gt; SOUS-SEGMENT'!$B$8:$B$1000=$B17)*'ANALYSE - ERP =&gt; SOUS-SEGMENT'!$Q$8:$Q$1000*'ANALYSE - ERP =&gt; SOUS-SEGMENT'!$AC$8:$AC$1000))</f>
        <v>16752</v>
      </c>
      <c r="AD17" s="272">
        <f>IF($B17="","",SUMPRODUCT(('ANALYSE - ERP =&gt; SOUS-SEGMENT'!$B$8:$B$1000=$B17)*'ANALYSE - ERP =&gt; SOUS-SEGMENT'!$Q$8:$Q$1000*'ANALYSE - ERP =&gt; SOUS-SEGMENT'!$AD$8:$AD$1000))</f>
        <v>16956</v>
      </c>
      <c r="AE17" s="272">
        <f>IF($B17="","",SUMPRODUCT(('ANALYSE - ERP =&gt; SOUS-SEGMENT'!$B$8:$B$1000=$B17)*'ANALYSE - ERP =&gt; SOUS-SEGMENT'!$Q$8:$Q$1000*'ANALYSE - ERP =&gt; SOUS-SEGMENT'!$AE$8:$AE$1000))</f>
        <v>17096</v>
      </c>
      <c r="AF17" s="272">
        <f>IF($B17="","",SUMPRODUCT(('ANALYSE - ERP =&gt; SOUS-SEGMENT'!$B$8:$B$1000=$B17)*'ANALYSE - ERP =&gt; SOUS-SEGMENT'!$Q$8:$Q$1000*'ANALYSE - ERP =&gt; SOUS-SEGMENT'!$AF$8:$AF$1000))</f>
        <v>17242</v>
      </c>
      <c r="AG17" s="272">
        <f>IF($B17="","",SUMPRODUCT(('ANALYSE - ERP =&gt; SOUS-SEGMENT'!$B$8:$B$1000=$B17)*'ANALYSE - ERP =&gt; SOUS-SEGMENT'!$Q$8:$Q$1000*'ANALYSE - ERP =&gt; SOUS-SEGMENT'!$AG$8:$AG$1000))</f>
        <v>17353</v>
      </c>
      <c r="AH17" s="272">
        <f>IF($B17="","",SUMPRODUCT(('ANALYSE - ERP =&gt; SOUS-SEGMENT'!$B$8:$B$1000=$B17)*'ANALYSE - ERP =&gt; SOUS-SEGMENT'!$Q$8:$Q$1000*'ANALYSE - ERP =&gt; SOUS-SEGMENT'!$AH$8:$AH$1000))</f>
        <v>17466</v>
      </c>
      <c r="AI17" s="272">
        <f>IF($B17="","",SUMPRODUCT(('ANALYSE - ERP =&gt; SOUS-SEGMENT'!$B$8:$B$1000=$B17)*'ANALYSE - ERP =&gt; SOUS-SEGMENT'!$Q$8:$Q$1000*'ANALYSE - ERP =&gt; SOUS-SEGMENT'!$AI$8:$AI$1000))</f>
        <v>17577</v>
      </c>
      <c r="AJ17" s="272">
        <f>IF($B17="","",SUMPRODUCT(('ANALYSE - ERP =&gt; SOUS-SEGMENT'!$B$8:$B$1000=$B17)*'ANALYSE - ERP =&gt; SOUS-SEGMENT'!$Q$8:$Q$1000*'ANALYSE - ERP =&gt; SOUS-SEGMENT'!$AJ$8:$AJ$1000))</f>
        <v>17686</v>
      </c>
      <c r="AK17" s="272">
        <f>IF($B17="","",SUMPRODUCT(('ANALYSE - ERP =&gt; SOUS-SEGMENT'!$B$8:$B$1000=$B17)*'ANALYSE - ERP =&gt; SOUS-SEGMENT'!$Q$8:$Q$1000*'ANALYSE - ERP =&gt; SOUS-SEGMENT'!$AK$8:$AK$1000))</f>
        <v>17796</v>
      </c>
      <c r="AL17" s="960" t="s">
        <v>6632</v>
      </c>
      <c r="AM17" s="960" t="s">
        <v>6633</v>
      </c>
      <c r="AN17" s="960" t="s">
        <v>6634</v>
      </c>
      <c r="AO17" s="657"/>
      <c r="AP17" s="271">
        <f>IF($B17="","",IFERROR(SUMPRODUCT(('ANALYSE - ERP =&gt; SOUS-SEGMENT'!$B$8:$B$1000=$B17)*'ANALYSE - ERP =&gt; SOUS-SEGMENT'!$Q$8:$Q$1000*'ANALYSE - ERP =&gt; SOUS-SEGMENT'!$AF$8:$AF$1000*'ANALYSE - ERP =&gt; SOUS-SEGMENT'!$AP$8:$AP$1000)/SUMPRODUCT(('ANALYSE - ERP =&gt; SOUS-SEGMENT'!$B$8:$B$1000=$B17)*'ANALYSE - ERP =&gt; SOUS-SEGMENT'!$Q$8:$Q$1000*'ANALYSE - ERP =&gt; SOUS-SEGMENT'!$AF$8:$AF$1000),""))</f>
        <v>252.77172021807215</v>
      </c>
      <c r="AQ17" s="280">
        <f>IF($B17="","",IFERROR(SUMPRODUCT(('ANALYSE - ERP =&gt; SOUS-SEGMENT'!$B$8:$B$1000=$B17)*'ANALYSE - ERP =&gt; SOUS-SEGMENT'!$Q$8:$Q$1000*'ANALYSE - ERP =&gt; SOUS-SEGMENT'!$AF$8:$AF$1000*'ANALYSE - ERP =&gt; SOUS-SEGMENT'!$AQ$8:$AQ$1000)/SUMPRODUCT(('ANALYSE - ERP =&gt; SOUS-SEGMENT'!$B$8:$B$1000=$B17)*'ANALYSE - ERP =&gt; SOUS-SEGMENT'!$Q$8:$Q$1000*'ANALYSE - ERP =&gt; SOUS-SEGMENT'!$AF$8:$AF$1000),""))</f>
        <v>228.61483586590882</v>
      </c>
      <c r="AR17" s="280">
        <f>IF($B17="","",IFERROR(SUMPRODUCT(('ANALYSE - ERP =&gt; SOUS-SEGMENT'!$B$8:$B$1000=$B17)*'ANALYSE - ERP =&gt; SOUS-SEGMENT'!$Q$8:$Q$1000*'ANALYSE - ERP =&gt; SOUS-SEGMENT'!$AF$8:$AF$1000*'ANALYSE - ERP =&gt; SOUS-SEGMENT'!$AR$8:$AR$1000)/SUMPRODUCT(('ANALYSE - ERP =&gt; SOUS-SEGMENT'!$B$8:$B$1000=$B17)*'ANALYSE - ERP =&gt; SOUS-SEGMENT'!$Q$8:$Q$1000*'ANALYSE - ERP =&gt; SOUS-SEGMENT'!$AF$8:$AF$1000),""))</f>
        <v>16.863704906623362</v>
      </c>
      <c r="AS17" s="280">
        <f>IF($B17="","",IFERROR(SUMPRODUCT(('ANALYSE - ERP =&gt; SOUS-SEGMENT'!$B$8:$B$1000=$B17)*'ANALYSE - ERP =&gt; SOUS-SEGMENT'!$Q$8:$Q$1000*'ANALYSE - ERP =&gt; SOUS-SEGMENT'!$AF$8:$AF$1000*'ANALYSE - ERP =&gt; SOUS-SEGMENT'!$AS$8:$AS$1000)/SUMPRODUCT(('ANALYSE - ERP =&gt; SOUS-SEGMENT'!$B$8:$B$1000=$B17)*'ANALYSE - ERP =&gt; SOUS-SEGMENT'!$Q$8:$Q$1000*'ANALYSE - ERP =&gt; SOUS-SEGMENT'!$AF$8:$AF$1000),""))</f>
        <v>7.2931794455399608</v>
      </c>
      <c r="AT17" s="657"/>
      <c r="AU17" s="647" t="s">
        <v>6635</v>
      </c>
      <c r="AV17" s="647" t="s">
        <v>6636</v>
      </c>
      <c r="AW17" s="960" t="s">
        <v>6637</v>
      </c>
      <c r="AX17" s="647" t="s">
        <v>6638</v>
      </c>
      <c r="AY17" s="657"/>
      <c r="AZ17" s="948">
        <f>IF($B17="","",IFERROR(SUMPRODUCT(('ANALYSE - ERP =&gt; SOUS-SEGMENT'!$B$8:$B$1000=$B17)*'ANALYSE - ERP =&gt; SOUS-SEGMENT'!$Q$8:$Q$1000*'ANALYSE - ERP =&gt; SOUS-SEGMENT'!$AF$8:$AF$1000*'ANALYSE - ERP =&gt; SOUS-SEGMENT'!$AZ$8:$AZ$1000)/SUMPRODUCT(('ANALYSE - ERP =&gt; SOUS-SEGMENT'!$B$8:$B$1000=$B17)*'ANALYSE - ERP =&gt; SOUS-SEGMENT'!$Q$8:$Q$1000*'ANALYSE - ERP =&gt; SOUS-SEGMENT'!$AF$8:$AF$1000),""))</f>
        <v>4.7930634497158104</v>
      </c>
      <c r="BA17" s="948">
        <f>IF($B17="","",IFERROR(SUMPRODUCT(('ANALYSE - ERP =&gt; SOUS-SEGMENT'!$B$8:$B$1000=$B17)*'ANALYSE - ERP =&gt; SOUS-SEGMENT'!$Q$8:$Q$1000*'ANALYSE - ERP =&gt; SOUS-SEGMENT'!$AF$8:$AF$1000*'ANALYSE - ERP =&gt; SOUS-SEGMENT'!$BA$8:$BA$1000)/SUMPRODUCT(('ANALYSE - ERP =&gt; SOUS-SEGMENT'!$B$8:$B$1000=$B17)*'ANALYSE - ERP =&gt; SOUS-SEGMENT'!$Q$8:$Q$1000*'ANALYSE - ERP =&gt; SOUS-SEGMENT'!$AF$8:$AF$1000),""))</f>
        <v>0.53334879944322</v>
      </c>
      <c r="BB17" s="948">
        <f>IF($B17="","",IFERROR(SUMPRODUCT(('ANALYSE - ERP =&gt; SOUS-SEGMENT'!$B$8:$B$1000=$B17)*'ANALYSE - ERP =&gt; SOUS-SEGMENT'!$Q$8:$Q$1000*'ANALYSE - ERP =&gt; SOUS-SEGMENT'!$AF$8:$AF$1000*'ANALYSE - ERP =&gt; SOUS-SEGMENT'!$BB$8:$BB$1000)/SUMPRODUCT(('ANALYSE - ERP =&gt; SOUS-SEGMENT'!$B$8:$B$1000=$B17)*'ANALYSE - ERP =&gt; SOUS-SEGMENT'!$Q$8:$Q$1000*'ANALYSE - ERP =&gt; SOUS-SEGMENT'!$AF$8:$AF$1000),""))</f>
        <v>0.6210706414569076</v>
      </c>
      <c r="BC17" s="948">
        <f>IF($B17="","",IFERROR(SUMPRODUCT(('ANALYSE - ERP =&gt; SOUS-SEGMENT'!$B$8:$B$1000=$B17)*'ANALYSE - ERP =&gt; SOUS-SEGMENT'!$Q$8:$Q$1000*'ANALYSE - ERP =&gt; SOUS-SEGMENT'!$AF$8:$AF$1000*'ANALYSE - ERP =&gt; SOUS-SEGMENT'!$BC$8:$BC$1000)/SUMPRODUCT(('ANALYSE - ERP =&gt; SOUS-SEGMENT'!$B$8:$B$1000=$B17)*'ANALYSE - ERP =&gt; SOUS-SEGMENT'!$Q$8:$Q$1000*'ANALYSE - ERP =&gt; SOUS-SEGMENT'!$AF$8:$AF$1000),""))</f>
        <v>4.4987820438464219</v>
      </c>
      <c r="BD17" s="825">
        <f t="shared" si="1"/>
        <v>180114.5</v>
      </c>
      <c r="BE17" s="304">
        <f>IF($B17="","",SUMPRODUCT(('ANALYSE - ERP =&gt; SOUS-SEGMENT'!$B$8:$B$1000=$B17)*'ANALYSE - ERP =&gt; SOUS-SEGMENT'!$Q$8:$Q$1000*'ANALYSE - ERP =&gt; SOUS-SEGMENT'!$BE$8:$BE$1000))</f>
        <v>82642</v>
      </c>
      <c r="BF17" s="304">
        <f>IF($B17="","",SUMPRODUCT(('ANALYSE - ERP =&gt; SOUS-SEGMENT'!$B$8:$B$1000=$B17)*'ANALYSE - ERP =&gt; SOUS-SEGMENT'!$Q$8:$Q$1000*'ANALYSE - ERP =&gt; SOUS-SEGMENT'!$BF$8:$BF$1000))</f>
        <v>9196</v>
      </c>
      <c r="BG17" s="304">
        <f>IF($B17="","",SUMPRODUCT(('ANALYSE - ERP =&gt; SOUS-SEGMENT'!$B$8:$B$1000=$B17)*'ANALYSE - ERP =&gt; SOUS-SEGMENT'!$Q$8:$Q$1000*'ANALYSE - ERP =&gt; SOUS-SEGMENT'!$BG$8:$BG$1000))</f>
        <v>10708.5</v>
      </c>
      <c r="BH17" s="304">
        <f>IF($B17="","",SUMPRODUCT(('ANALYSE - ERP =&gt; SOUS-SEGMENT'!$B$8:$B$1000=$B17)*'ANALYSE - ERP =&gt; SOUS-SEGMENT'!$Q$8:$Q$1000*'ANALYSE - ERP =&gt; SOUS-SEGMENT'!$BH$8:$BH$1000))</f>
        <v>77568</v>
      </c>
      <c r="BI17" s="825">
        <f t="shared" si="2"/>
        <v>185639</v>
      </c>
      <c r="BJ17" s="304">
        <f>IF($B17="","",SUMPRODUCT(('ANALYSE - ERP =&gt; SOUS-SEGMENT'!$B$8:$B$1000=$B17)*'ANALYSE - ERP =&gt; SOUS-SEGMENT'!$Q$8:$Q$1000*'ANALYSE - ERP =&gt; SOUS-SEGMENT'!$BJ$8:$BJ$1000))</f>
        <v>85223</v>
      </c>
      <c r="BK17" s="304">
        <f>IF($B17="","",SUMPRODUCT(('ANALYSE - ERP =&gt; SOUS-SEGMENT'!$B$8:$B$1000=$B17)*'ANALYSE - ERP =&gt; SOUS-SEGMENT'!$Q$8:$Q$1000*'ANALYSE - ERP =&gt; SOUS-SEGMENT'!$BK$8:$BK$1000))</f>
        <v>9408</v>
      </c>
      <c r="BL17" s="304">
        <f>IF($B17="","",SUMPRODUCT(('ANALYSE - ERP =&gt; SOUS-SEGMENT'!$B$8:$B$1000=$B17)*'ANALYSE - ERP =&gt; SOUS-SEGMENT'!$Q$8:$Q$1000*'ANALYSE - ERP =&gt; SOUS-SEGMENT'!$BL$8:$BL$1000))</f>
        <v>11001</v>
      </c>
      <c r="BM17" s="304">
        <f>IF($B17="","",SUMPRODUCT(('ANALYSE - ERP =&gt; SOUS-SEGMENT'!$B$8:$B$1000=$B17)*'ANALYSE - ERP =&gt; SOUS-SEGMENT'!$Q$8:$Q$1000*'ANALYSE - ERP =&gt; SOUS-SEGMENT'!$BM$8:$BM$1000))</f>
        <v>80007</v>
      </c>
      <c r="BN17" s="657"/>
      <c r="BO17" s="284">
        <f t="shared" si="3"/>
        <v>0.10121391060235715</v>
      </c>
      <c r="BP17" s="284">
        <f t="shared" si="4"/>
        <v>0.72419810749981839</v>
      </c>
      <c r="BQ17" s="284">
        <f t="shared" si="5"/>
        <v>0.11851625081677597</v>
      </c>
      <c r="BR17" s="710">
        <f t="shared" si="6"/>
        <v>5.6071731081048376E-2</v>
      </c>
      <c r="BS17" s="707">
        <f t="shared" si="7"/>
        <v>8.2495335766166425E-2</v>
      </c>
      <c r="BT17" s="284">
        <f t="shared" si="8"/>
        <v>0.72592304894218695</v>
      </c>
      <c r="BU17" s="284">
        <f t="shared" si="9"/>
        <v>0.1392031493845558</v>
      </c>
      <c r="BV17" s="710">
        <f t="shared" si="10"/>
        <v>5.2378465907090811E-2</v>
      </c>
      <c r="BW17" s="714">
        <f t="shared" si="11"/>
        <v>0.17191170073945194</v>
      </c>
      <c r="BX17" s="285">
        <f t="shared" si="12"/>
        <v>0.76387559808612449</v>
      </c>
      <c r="BY17" s="717">
        <f t="shared" si="13"/>
        <v>6.4212701174423667E-2</v>
      </c>
      <c r="BZ17" s="714">
        <f t="shared" si="14"/>
        <v>0.13788265306122449</v>
      </c>
      <c r="CA17" s="285">
        <f t="shared" si="15"/>
        <v>0.78494472789115644</v>
      </c>
      <c r="CB17" s="717">
        <f t="shared" si="16"/>
        <v>7.7172619047619032E-2</v>
      </c>
      <c r="CC17" s="284">
        <f t="shared" si="17"/>
        <v>6.925012840267078E-2</v>
      </c>
      <c r="CD17" s="284">
        <f t="shared" si="18"/>
        <v>0.53741186907596783</v>
      </c>
      <c r="CE17" s="284">
        <f t="shared" si="19"/>
        <v>0.13643460802166504</v>
      </c>
      <c r="CF17" s="710">
        <f t="shared" si="20"/>
        <v>0.25690339449969646</v>
      </c>
      <c r="CG17" s="707">
        <f t="shared" si="21"/>
        <v>5.6009453686028526E-2</v>
      </c>
      <c r="CH17" s="284">
        <f t="shared" si="22"/>
        <v>0.53858285610399059</v>
      </c>
      <c r="CI17" s="284">
        <f t="shared" si="23"/>
        <v>0.15611671666212162</v>
      </c>
      <c r="CJ17" s="710">
        <f t="shared" si="24"/>
        <v>0.24929097354785926</v>
      </c>
      <c r="CK17" s="720">
        <f t="shared" si="25"/>
        <v>0.2490124793729373</v>
      </c>
      <c r="CL17" s="286">
        <f t="shared" si="26"/>
        <v>0.52742883663366336</v>
      </c>
      <c r="CM17" s="718">
        <f t="shared" si="27"/>
        <v>0.22355868399339934</v>
      </c>
      <c r="CN17" s="720">
        <f t="shared" si="28"/>
        <v>0.14945754746459683</v>
      </c>
      <c r="CO17" s="286">
        <f t="shared" si="29"/>
        <v>0.55085430024872817</v>
      </c>
      <c r="CP17" s="718">
        <f t="shared" si="30"/>
        <v>0.29968815228667495</v>
      </c>
      <c r="CQ17" s="657"/>
      <c r="CR17" s="807">
        <f>IF($B17="","",IFERROR(SUMPRODUCT(('ANALYSE - ERP =&gt; SOUS-SEGMENT'!$B$8:$B$1000=$B17)*'ANALYSE - ERP =&gt; SOUS-SEGMENT'!$Q$8:$Q$1000*'ANALYSE - ERP =&gt; SOUS-SEGMENT'!$DH$8:$DH$1000*'ANALYSE - ERP =&gt; SOUS-SEGMENT'!$CR$8:$CR$1000)/SUMPRODUCT(('ANALYSE - ERP =&gt; SOUS-SEGMENT'!$B$8:$B$1000=$B17)*'ANALYSE - ERP =&gt; SOUS-SEGMENT'!$Q$8:$Q$1000*'ANALYSE - ERP =&gt; SOUS-SEGMENT'!$DH$8:$DH$1000),""))</f>
        <v>9.7285773720428672</v>
      </c>
      <c r="CS17" s="808">
        <f>IF($B17="","",IFERROR(SUMPRODUCT(('ANALYSE - ERP =&gt; SOUS-SEGMENT'!$B$8:$B$1000=$B17)*'ANALYSE - ERP =&gt; SOUS-SEGMENT'!$Q$8:$Q$1000*'ANALYSE - ERP =&gt; SOUS-SEGMENT'!$DI$8:$DI$1000*'ANALYSE - ERP =&gt; SOUS-SEGMENT'!$CS$8:$CS$1000)/SUMPRODUCT(('ANALYSE - ERP =&gt; SOUS-SEGMENT'!$B$8:$B$1000=$B17)*'ANALYSE - ERP =&gt; SOUS-SEGMENT'!$Q$8:$Q$1000*'ANALYSE - ERP =&gt; SOUS-SEGMENT'!$DI$8:$DI$1000),""))</f>
        <v>11.000000000000002</v>
      </c>
      <c r="CT17" s="808">
        <f>IF($B17="","",IFERROR(SUMPRODUCT(('ANALYSE - ERP =&gt; SOUS-SEGMENT'!$B$8:$B$1000=$B17)*'ANALYSE - ERP =&gt; SOUS-SEGMENT'!$Q$8:$Q$1000*'ANALYSE - ERP =&gt; SOUS-SEGMENT'!$DJ$8:$DJ$1000*'ANALYSE - ERP =&gt; SOUS-SEGMENT'!$CT$8:$CT$1000)/SUMPRODUCT(('ANALYSE - ERP =&gt; SOUS-SEGMENT'!$B$8:$B$1000=$B17)*'ANALYSE - ERP =&gt; SOUS-SEGMENT'!$Q$8:$Q$1000*'ANALYSE - ERP =&gt; SOUS-SEGMENT'!$DJ$8:$DJ$1000),""))</f>
        <v>8</v>
      </c>
      <c r="CU17" s="809">
        <f>IF($B17="","",IFERROR(SUMPRODUCT(('ANALYSE - ERP =&gt; SOUS-SEGMENT'!$B$8:$B$1000=$B17)*'ANALYSE - ERP =&gt; SOUS-SEGMENT'!$Q$8:$Q$1000*'ANALYSE - ERP =&gt; SOUS-SEGMENT'!$DK$8:$DK$1000*'ANALYSE - ERP =&gt; SOUS-SEGMENT'!$CU$8:$CU$1000)/SUMPRODUCT(('ANALYSE - ERP =&gt; SOUS-SEGMENT'!$B$8:$B$1000=$B17)*'ANALYSE - ERP =&gt; SOUS-SEGMENT'!$Q$8:$Q$1000*'ANALYSE - ERP =&gt; SOUS-SEGMENT'!$DK$8:$DK$1000),""))</f>
        <v>9.7890838778734022</v>
      </c>
      <c r="CV17" s="807">
        <f>IF($B17="","",IFERROR(SUMPRODUCT(('ANALYSE - ERP =&gt; SOUS-SEGMENT'!$B$8:$B$1000=$B17)*'ANALYSE - ERP =&gt; SOUS-SEGMENT'!$Q$8:$Q$1000*'ANALYSE - ERP =&gt; SOUS-SEGMENT'!$DS$8:$DS$1000*'ANALYSE - ERP =&gt; SOUS-SEGMENT'!$CV$8:$CV$1000)/SUMPRODUCT(('ANALYSE - ERP =&gt; SOUS-SEGMENT'!$B$8:$B$1000=$B17)*'ANALYSE - ERP =&gt; SOUS-SEGMENT'!$Q$8:$Q$1000*'ANALYSE - ERP =&gt; SOUS-SEGMENT'!$DS$8:$DS$1000),""))</f>
        <v>8.5824530330824214</v>
      </c>
      <c r="CW17" s="808">
        <f>IF($B17="","",IFERROR(SUMPRODUCT(('ANALYSE - ERP =&gt; SOUS-SEGMENT'!$B$8:$B$1000=$B17)*'ANALYSE - ERP =&gt; SOUS-SEGMENT'!$Q$8:$Q$1000*'ANALYSE - ERP =&gt; SOUS-SEGMENT'!$DT$8:$DT$1000*'ANALYSE - ERP =&gt; SOUS-SEGMENT'!$CW$8:$CW$1000)/SUMPRODUCT(('ANALYSE - ERP =&gt; SOUS-SEGMENT'!$B$8:$B$1000=$B17)*'ANALYSE - ERP =&gt; SOUS-SEGMENT'!$Q$8:$Q$1000*'ANALYSE - ERP =&gt; SOUS-SEGMENT'!$DT$8:$DT$1000),""))</f>
        <v>8.2985508071633962</v>
      </c>
      <c r="CX17" s="809">
        <f>IF($B17="","",IFERROR(SUMPRODUCT(('ANALYSE - ERP =&gt; SOUS-SEGMENT'!$B$8:$B$1000=$B17)*'ANALYSE - ERP =&gt; SOUS-SEGMENT'!$Q$8:$Q$1000*'ANALYSE - ERP =&gt; SOUS-SEGMENT'!$DU$8:$DU$1000*'ANALYSE - ERP =&gt; SOUS-SEGMENT'!$CX$8:$CX$1000)/SUMPRODUCT(('ANALYSE - ERP =&gt; SOUS-SEGMENT'!$B$8:$B$1000=$B17)*'ANALYSE - ERP =&gt; SOUS-SEGMENT'!$Q$8:$Q$1000*'ANALYSE - ERP =&gt; SOUS-SEGMENT'!$DU$8:$DU$1000),""))</f>
        <v>7.3674851820491112</v>
      </c>
      <c r="CY17" s="807">
        <f>IF($B17="","",IFERROR(SUMPRODUCT(('ANALYSE - ERP =&gt; SOUS-SEGMENT'!$B$8:$B$1000=$B17)*'ANALYSE - ERP =&gt; SOUS-SEGMENT'!$Q$8:$Q$1000*'ANALYSE - ERP =&gt; SOUS-SEGMENT'!$EB$8:$EB$1000*'ANALYSE - ERP =&gt; SOUS-SEGMENT'!$CY$8:$CY$1000)/SUMPRODUCT(('ANALYSE - ERP =&gt; SOUS-SEGMENT'!$B$8:$B$1000=$B17)*'ANALYSE - ERP =&gt; SOUS-SEGMENT'!$Q$8:$Q$1000*'ANALYSE - ERP =&gt; SOUS-SEGMENT'!$EB$8:$EB$1000),""))</f>
        <v>8</v>
      </c>
      <c r="CZ17" s="808">
        <f>IF($B17="","",IFERROR(SUMPRODUCT(('ANALYSE - ERP =&gt; SOUS-SEGMENT'!$B$8:$B$1000=$B17)*'ANALYSE - ERP =&gt; SOUS-SEGMENT'!$Q$8:$Q$1000*'ANALYSE - ERP =&gt; SOUS-SEGMENT'!$EC$8:$EC$1000*'ANALYSE - ERP =&gt; SOUS-SEGMENT'!$CZ$8:$CZ$1000)/SUMPRODUCT(('ANALYSE - ERP =&gt; SOUS-SEGMENT'!$B$8:$B$1000=$B17)*'ANALYSE - ERP =&gt; SOUS-SEGMENT'!$Q$8:$Q$1000*'ANALYSE - ERP =&gt; SOUS-SEGMENT'!$EC$8:$EC$1000),""))</f>
        <v>10.384282890592758</v>
      </c>
      <c r="DA17" s="808">
        <f>IF($B17="","",IFERROR(SUMPRODUCT(('ANALYSE - ERP =&gt; SOUS-SEGMENT'!$B$8:$B$1000=$B17)*'ANALYSE - ERP =&gt; SOUS-SEGMENT'!$Q$8:$Q$1000*'ANALYSE - ERP =&gt; SOUS-SEGMENT'!$ED$8:$ED$1000*'ANALYSE - ERP =&gt; SOUS-SEGMENT'!$DA$8:$DA$1000)/SUMPRODUCT(('ANALYSE - ERP =&gt; SOUS-SEGMENT'!$B$8:$B$1000=$B17)*'ANALYSE - ERP =&gt; SOUS-SEGMENT'!$Q$8:$Q$1000*'ANALYSE - ERP =&gt; SOUS-SEGMENT'!$ED$8:$ED$1000),""))</f>
        <v>7.5590379258184397</v>
      </c>
      <c r="DB17" s="809">
        <f>IF($B17="","",IFERROR(SUMPRODUCT(('ANALYSE - ERP =&gt; SOUS-SEGMENT'!$B$8:$B$1000=$B17)*'ANALYSE - ERP =&gt; SOUS-SEGMENT'!$Q$8:$Q$1000*'ANALYSE - ERP =&gt; SOUS-SEGMENT'!$EE$8:$EE$1000*'ANALYSE - ERP =&gt; SOUS-SEGMENT'!$DB$8:$DB$1000)/SUMPRODUCT(('ANALYSE - ERP =&gt; SOUS-SEGMENT'!$B$8:$B$1000=$B17)*'ANALYSE - ERP =&gt; SOUS-SEGMENT'!$Q$8:$Q$1000*'ANALYSE - ERP =&gt; SOUS-SEGMENT'!$EE$8:$EE$1000),""))</f>
        <v>9.0000000000000018</v>
      </c>
      <c r="DC17" s="807">
        <f>IF($B17="","",IFERROR(SUMPRODUCT(('ANALYSE - ERP =&gt; SOUS-SEGMENT'!$B$8:$B$1000=$B17)*'ANALYSE - ERP =&gt; SOUS-SEGMENT'!$Q$8:$Q$1000*'ANALYSE - ERP =&gt; SOUS-SEGMENT'!$EM$8:$EM$1000*'ANALYSE - ERP =&gt; SOUS-SEGMENT'!$DC$8:$DC$1000)/SUMPRODUCT(('ANALYSE - ERP =&gt; SOUS-SEGMENT'!$B$8:$B$1000=$B17)*'ANALYSE - ERP =&gt; SOUS-SEGMENT'!$Q$8:$Q$1000*'ANALYSE - ERP =&gt; SOUS-SEGMENT'!$EM$8:$EM$1000),""))</f>
        <v>9.7464251322778708</v>
      </c>
      <c r="DD17" s="808">
        <f>IF($B17="","",IFERROR(SUMPRODUCT(('ANALYSE - ERP =&gt; SOUS-SEGMENT'!$B$8:$B$1000=$B17)*'ANALYSE - ERP =&gt; SOUS-SEGMENT'!$Q$8:$Q$1000*'ANALYSE - ERP =&gt; SOUS-SEGMENT'!$EN$8:$EN$1000*'ANALYSE - ERP =&gt; SOUS-SEGMENT'!$DD$8:$DD$1000)/SUMPRODUCT(('ANALYSE - ERP =&gt; SOUS-SEGMENT'!$B$8:$B$1000=$B17)*'ANALYSE - ERP =&gt; SOUS-SEGMENT'!$Q$8:$Q$1000*'ANALYSE - ERP =&gt; SOUS-SEGMENT'!$EN$8:$EN$1000),""))</f>
        <v>11.224706440227223</v>
      </c>
      <c r="DE17" s="809">
        <f>IF($B17="","",IFERROR(SUMPRODUCT(('ANALYSE - ERP =&gt; SOUS-SEGMENT'!$B$8:$B$1000=$B17)*'ANALYSE - ERP =&gt; SOUS-SEGMENT'!$Q$8:$Q$1000*'ANALYSE - ERP =&gt; SOUS-SEGMENT'!$EO$8:$EO$1000*'ANALYSE - ERP =&gt; SOUS-SEGMENT'!$DE$8:$DE$1000)/SUMPRODUCT(('ANALYSE - ERP =&gt; SOUS-SEGMENT'!$B$8:$B$1000=$B17)*'ANALYSE - ERP =&gt; SOUS-SEGMENT'!$Q$8:$Q$1000*'ANALYSE - ERP =&gt; SOUS-SEGMENT'!$EO$8:$EO$1000),""))</f>
        <v>8.3348711146992684</v>
      </c>
      <c r="DF17" s="921" t="s">
        <v>6639</v>
      </c>
      <c r="DG17" s="657"/>
      <c r="DH17" s="288">
        <f>IF($B17="","",SUMPRODUCT(('ANALYSE - ERP =&gt; SOUS-SEGMENT'!$B$8:$B$1000=$B17)*'ANALYSE - ERP =&gt; SOUS-SEGMENT'!$Q$8:$Q$1000*'ANALYSE - ERP =&gt; SOUS-SEGMENT'!$DH$8:$DH$1000))</f>
        <v>8364.52</v>
      </c>
      <c r="DI17" s="288">
        <f>IF($B17="","",SUMPRODUCT(('ANALYSE - ERP =&gt; SOUS-SEGMENT'!$B$8:$B$1000=$B17)*'ANALYSE - ERP =&gt; SOUS-SEGMENT'!$Q$8:$Q$1000*'ANALYSE - ERP =&gt; SOUS-SEGMENT'!$DI$8:$DI$1000))</f>
        <v>59849.179999999993</v>
      </c>
      <c r="DJ17" s="288">
        <f>IF($B17="","",SUMPRODUCT(('ANALYSE - ERP =&gt; SOUS-SEGMENT'!$B$8:$B$1000=$B17)*'ANALYSE - ERP =&gt; SOUS-SEGMENT'!$Q$8:$Q$1000*'ANALYSE - ERP =&gt; SOUS-SEGMENT'!$DJ$8:$DJ$1000))</f>
        <v>9794.42</v>
      </c>
      <c r="DK17" s="288">
        <f>IF($B17="","",SUMPRODUCT(('ANALYSE - ERP =&gt; SOUS-SEGMENT'!$B$8:$B$1000=$B17)*'ANALYSE - ERP =&gt; SOUS-SEGMENT'!$Q$8:$Q$1000*'ANALYSE - ERP =&gt; SOUS-SEGMENT'!$DK$8:$DK$1000))</f>
        <v>4633.88</v>
      </c>
      <c r="DL17" s="922" t="s">
        <v>6640</v>
      </c>
      <c r="DM17" s="288">
        <f>IF($B17="","",SUMPRODUCT(('ANALYSE - ERP =&gt; SOUS-SEGMENT'!$B$8:$B$1000=$B17)*'ANALYSE - ERP =&gt; SOUS-SEGMENT'!$Q$8:$Q$1000*'ANALYSE - ERP =&gt; SOUS-SEGMENT'!$DM$8:$DM$1000))</f>
        <v>7030.5000000000009</v>
      </c>
      <c r="DN17" s="288">
        <f>IF($B17="","",SUMPRODUCT(('ANALYSE - ERP =&gt; SOUS-SEGMENT'!$B$8:$B$1000=$B17)*'ANALYSE - ERP =&gt; SOUS-SEGMENT'!$Q$8:$Q$1000*'ANALYSE - ERP =&gt; SOUS-SEGMENT'!$DN$8:$DN$1000))</f>
        <v>61865.34</v>
      </c>
      <c r="DO17" s="288">
        <f>IF($B17="","",SUMPRODUCT(('ANALYSE - ERP =&gt; SOUS-SEGMENT'!$B$8:$B$1000=$B17)*'ANALYSE - ERP =&gt; SOUS-SEGMENT'!$Q$8:$Q$1000*'ANALYSE - ERP =&gt; SOUS-SEGMENT'!$DO$8:$DO$1000))</f>
        <v>11863.31</v>
      </c>
      <c r="DP17" s="288">
        <f>IF($B17="","",SUMPRODUCT(('ANALYSE - ERP =&gt; SOUS-SEGMENT'!$B$8:$B$1000=$B17)*'ANALYSE - ERP =&gt; SOUS-SEGMENT'!$Q$8:$Q$1000*'ANALYSE - ERP =&gt; SOUS-SEGMENT'!$DP$8:$DP$1000))</f>
        <v>4463.8500000000004</v>
      </c>
      <c r="DQ17" s="922" t="s">
        <v>6641</v>
      </c>
      <c r="DR17" s="657"/>
      <c r="DS17" s="288">
        <f>IF($B17="","",SUMPRODUCT(('ANALYSE - ERP =&gt; SOUS-SEGMENT'!$B$8:$B$1000=$B17)*'ANALYSE - ERP =&gt; SOUS-SEGMENT'!$Q$8:$Q$1000*'ANALYSE - ERP =&gt; SOUS-SEGMENT'!$DS$8:$DS$1000))</f>
        <v>1580.9</v>
      </c>
      <c r="DT17" s="288">
        <f>IF($B17="","",SUMPRODUCT(('ANALYSE - ERP =&gt; SOUS-SEGMENT'!$B$8:$B$1000=$B17)*'ANALYSE - ERP =&gt; SOUS-SEGMENT'!$Q$8:$Q$1000*'ANALYSE - ERP =&gt; SOUS-SEGMENT'!$DT$8:$DT$1000))</f>
        <v>7024.6</v>
      </c>
      <c r="DU17" s="288">
        <f>IF($B17="","",SUMPRODUCT(('ANALYSE - ERP =&gt; SOUS-SEGMENT'!$B$8:$B$1000=$B17)*'ANALYSE - ERP =&gt; SOUS-SEGMENT'!$Q$8:$Q$1000*'ANALYSE - ERP =&gt; SOUS-SEGMENT'!$DU$8:$DU$1000))</f>
        <v>590.5</v>
      </c>
      <c r="DV17" s="922" t="s">
        <v>6642</v>
      </c>
      <c r="DW17" s="288">
        <f>IF($B17="","",SUMPRODUCT(('ANALYSE - ERP =&gt; SOUS-SEGMENT'!$B$8:$B$1000=$B17)*'ANALYSE - ERP =&gt; SOUS-SEGMENT'!$Q$8:$Q$1000*'ANALYSE - ERP =&gt; SOUS-SEGMENT'!$DW$8:$DW$1000))</f>
        <v>1297.2</v>
      </c>
      <c r="DX17" s="288">
        <f>IF($B17="","",SUMPRODUCT(('ANALYSE - ERP =&gt; SOUS-SEGMENT'!$B$8:$B$1000=$B17)*'ANALYSE - ERP =&gt; SOUS-SEGMENT'!$Q$8:$Q$1000*'ANALYSE - ERP =&gt; SOUS-SEGMENT'!$DX$8:$DX$1000))</f>
        <v>7384.76</v>
      </c>
      <c r="DY17" s="288">
        <f>IF($B17="","",SUMPRODUCT(('ANALYSE - ERP =&gt; SOUS-SEGMENT'!$B$8:$B$1000=$B17)*'ANALYSE - ERP =&gt; SOUS-SEGMENT'!$Q$8:$Q$1000*'ANALYSE - ERP =&gt; SOUS-SEGMENT'!$DY$8:$DY$1000))</f>
        <v>726.03999999999985</v>
      </c>
      <c r="DZ17" s="922" t="s">
        <v>6643</v>
      </c>
      <c r="EA17" s="657"/>
      <c r="EB17" s="288">
        <f>IF($B17="","",SUMPRODUCT(('ANALYSE - ERP =&gt; SOUS-SEGMENT'!$B$8:$B$1000=$B17)*'ANALYSE - ERP =&gt; SOUS-SEGMENT'!$Q$8:$Q$1000*'ANALYSE - ERP =&gt; SOUS-SEGMENT'!$EB$8:$EB$1000))</f>
        <v>741.56500000000005</v>
      </c>
      <c r="EC17" s="288">
        <f>IF($B17="","",SUMPRODUCT(('ANALYSE - ERP =&gt; SOUS-SEGMENT'!$B$8:$B$1000=$B17)*'ANALYSE - ERP =&gt; SOUS-SEGMENT'!$Q$8:$Q$1000*'ANALYSE - ERP =&gt; SOUS-SEGMENT'!$EC$8:$EC$1000))</f>
        <v>5754.8750000000009</v>
      </c>
      <c r="ED17" s="288">
        <f>IF($B17="","",SUMPRODUCT(('ANALYSE - ERP =&gt; SOUS-SEGMENT'!$B$8:$B$1000=$B17)*'ANALYSE - ERP =&gt; SOUS-SEGMENT'!$Q$8:$Q$1000*'ANALYSE - ERP =&gt; SOUS-SEGMENT'!$ED$8:$ED$1000))</f>
        <v>1461.0100000000002</v>
      </c>
      <c r="EE17" s="288">
        <f>IF($B17="","",SUMPRODUCT(('ANALYSE - ERP =&gt; SOUS-SEGMENT'!$B$8:$B$1000=$B17)*'ANALYSE - ERP =&gt; SOUS-SEGMENT'!$Q$8:$Q$1000*'ANALYSE - ERP =&gt; SOUS-SEGMENT'!$EE$8:$EE$1000))</f>
        <v>2751.0499999999997</v>
      </c>
      <c r="EF17" s="922" t="s">
        <v>6644</v>
      </c>
      <c r="EG17" s="288">
        <f>IF($B17="","",SUMPRODUCT(('ANALYSE - ERP =&gt; SOUS-SEGMENT'!$B$8:$B$1000=$B17)*'ANALYSE - ERP =&gt; SOUS-SEGMENT'!$Q$8:$Q$1000*'ANALYSE - ERP =&gt; SOUS-SEGMENT'!$EG$8:$EG$1000))</f>
        <v>616.15999999999985</v>
      </c>
      <c r="EH17" s="288">
        <f>IF($B17="","",SUMPRODUCT(('ANALYSE - ERP =&gt; SOUS-SEGMENT'!$B$8:$B$1000=$B17)*'ANALYSE - ERP =&gt; SOUS-SEGMENT'!$Q$8:$Q$1000*'ANALYSE - ERP =&gt; SOUS-SEGMENT'!$EH$8:$EH$1000))</f>
        <v>5924.9500000000007</v>
      </c>
      <c r="EI17" s="288">
        <f>IF($B17="","",SUMPRODUCT(('ANALYSE - ERP =&gt; SOUS-SEGMENT'!$B$8:$B$1000=$B17)*'ANALYSE - ERP =&gt; SOUS-SEGMENT'!$Q$8:$Q$1000*'ANALYSE - ERP =&gt; SOUS-SEGMENT'!$EI$8:$EI$1000))</f>
        <v>1717.44</v>
      </c>
      <c r="EJ17" s="288">
        <f>IF($B17="","",SUMPRODUCT(('ANALYSE - ERP =&gt; SOUS-SEGMENT'!$B$8:$B$1000=$B17)*'ANALYSE - ERP =&gt; SOUS-SEGMENT'!$Q$8:$Q$1000*'ANALYSE - ERP =&gt; SOUS-SEGMENT'!$EJ$8:$EJ$1000))</f>
        <v>2742.45</v>
      </c>
      <c r="EK17" s="922" t="s">
        <v>6645</v>
      </c>
      <c r="EL17" s="657"/>
      <c r="EM17" s="288">
        <f>IF($B17="","",SUMPRODUCT(('ANALYSE - ERP =&gt; SOUS-SEGMENT'!$B$8:$B$1000=$B17)*'ANALYSE - ERP =&gt; SOUS-SEGMENT'!$Q$8:$Q$1000*'ANALYSE - ERP =&gt; SOUS-SEGMENT'!$EM$8:$EM$1000))</f>
        <v>19315.400000000001</v>
      </c>
      <c r="EN17" s="291">
        <f>IF($B17="","",SUMPRODUCT(('ANALYSE - ERP =&gt; SOUS-SEGMENT'!$B$8:$B$1000=$B17)*'ANALYSE - ERP =&gt; SOUS-SEGMENT'!$Q$8:$Q$1000*'ANALYSE - ERP =&gt; SOUS-SEGMENT'!$EN$8:$EN$1000))</f>
        <v>40911.599999999999</v>
      </c>
      <c r="EO17" s="291">
        <f>IF($B17="","",SUMPRODUCT(('ANALYSE - ERP =&gt; SOUS-SEGMENT'!$B$8:$B$1000=$B17)*'ANALYSE - ERP =&gt; SOUS-SEGMENT'!$Q$8:$Q$1000*'ANALYSE - ERP =&gt; SOUS-SEGMENT'!$EO$8:$EO$1000))</f>
        <v>17341</v>
      </c>
      <c r="EP17" s="922" t="s">
        <v>6646</v>
      </c>
      <c r="EQ17" s="288">
        <f>IF($B17="","",SUMPRODUCT(('ANALYSE - ERP =&gt; SOUS-SEGMENT'!$B$8:$B$1000=$B17)*'ANALYSE - ERP =&gt; SOUS-SEGMENT'!$Q$8:$Q$1000*'ANALYSE - ERP =&gt; SOUS-SEGMENT'!$EQ$8:$EQ$1000))</f>
        <v>11957.65</v>
      </c>
      <c r="ER17" s="291">
        <f>IF($B17="","",SUMPRODUCT(('ANALYSE - ERP =&gt; SOUS-SEGMENT'!$B$8:$B$1000=$B17)*'ANALYSE - ERP =&gt; SOUS-SEGMENT'!$Q$8:$Q$1000*'ANALYSE - ERP =&gt; SOUS-SEGMENT'!$ER$8:$ER$1000))</f>
        <v>44072.2</v>
      </c>
      <c r="ES17" s="291">
        <f>IF($B17="","",SUMPRODUCT(('ANALYSE - ERP =&gt; SOUS-SEGMENT'!$B$8:$B$1000=$B17)*'ANALYSE - ERP =&gt; SOUS-SEGMENT'!$Q$8:$Q$1000*'ANALYSE - ERP =&gt; SOUS-SEGMENT'!$ES$8:$ES$1000))</f>
        <v>23977.15</v>
      </c>
      <c r="ET17" s="922" t="s">
        <v>6647</v>
      </c>
      <c r="EU17" s="657"/>
      <c r="EV17" s="740">
        <f t="shared" si="31"/>
        <v>0.80261347853041376</v>
      </c>
      <c r="EW17" s="740">
        <f t="shared" si="32"/>
        <v>0.19738652146958616</v>
      </c>
      <c r="EX17" s="563">
        <f t="shared" si="33"/>
        <v>90116.46761676576</v>
      </c>
      <c r="EY17" s="563">
        <f t="shared" si="34"/>
        <v>72328.691546765753</v>
      </c>
      <c r="EZ17" s="563">
        <f t="shared" si="35"/>
        <v>17787.77607</v>
      </c>
      <c r="FA17" s="563">
        <f t="shared" si="36"/>
        <v>40312.168137181696</v>
      </c>
      <c r="FB17" s="563">
        <f>IF($B17="","",SUMPRODUCT(('ANALYSE - ERP =&gt; SOUS-SEGMENT'!$B$8:$B$1000=$B17)*'ANALYSE - ERP =&gt; SOUS-SEGMENT'!$Q$8:$Q$1000*'ANALYSE - ERP =&gt; SOUS-SEGMENT'!$FB$8:$FB$1000))</f>
        <v>32142.385457181692</v>
      </c>
      <c r="FC17" s="563">
        <f>IF($B17="","",SUMPRODUCT(('ANALYSE - ERP =&gt; SOUS-SEGMENT'!$B$8:$B$1000=$B17)*'ANALYSE - ERP =&gt; SOUS-SEGMENT'!$Q$8:$Q$1000*'ANALYSE - ERP =&gt; SOUS-SEGMENT'!$FC$8:$FC$1000))</f>
        <v>8169.7826800000003</v>
      </c>
      <c r="FD17" s="563">
        <f t="shared" si="37"/>
        <v>5344.4819911499999</v>
      </c>
      <c r="FE17" s="563">
        <f>IF($B17="","",SUMPRODUCT(('ANALYSE - ERP =&gt; SOUS-SEGMENT'!$B$8:$B$1000=$B17)*'ANALYSE - ERP =&gt; SOUS-SEGMENT'!$Q$8:$Q$1000*'ANALYSE - ERP =&gt; SOUS-SEGMENT'!$FE$8:$FE$1000))</f>
        <v>4468.3094711499998</v>
      </c>
      <c r="FF17" s="563">
        <f>IF($B17="","",SUMPRODUCT(('ANALYSE - ERP =&gt; SOUS-SEGMENT'!$B$8:$B$1000=$B17)*'ANALYSE - ERP =&gt; SOUS-SEGMENT'!$Q$8:$Q$1000*'ANALYSE - ERP =&gt; SOUS-SEGMENT'!$FF$8:$FF$1000))</f>
        <v>876.17252000000008</v>
      </c>
      <c r="FG17" s="563">
        <f t="shared" si="38"/>
        <v>5773.4088128923886</v>
      </c>
      <c r="FH17" s="563">
        <f>IF($B17="","",SUMPRODUCT(('ANALYSE - ERP =&gt; SOUS-SEGMENT'!$B$8:$B$1000=$B17)*'ANALYSE - ERP =&gt; SOUS-SEGMENT'!$Q$8:$Q$1000*'ANALYSE - ERP =&gt; SOUS-SEGMENT'!$FH$8:$FH$1000))</f>
        <v>4698.6322028923887</v>
      </c>
      <c r="FI17" s="563">
        <f>IF($B17="","",SUMPRODUCT(('ANALYSE - ERP =&gt; SOUS-SEGMENT'!$B$8:$B$1000=$B17)*'ANALYSE - ERP =&gt; SOUS-SEGMENT'!$Q$8:$Q$1000*'ANALYSE - ERP =&gt; SOUS-SEGMENT'!$FI$8:$FI$1000))</f>
        <v>1074.7766099999999</v>
      </c>
      <c r="FJ17" s="563">
        <f t="shared" si="39"/>
        <v>38686.408675541665</v>
      </c>
      <c r="FK17" s="563">
        <f>IF($B17="","",SUMPRODUCT(('ANALYSE - ERP =&gt; SOUS-SEGMENT'!$B$8:$B$1000=$B17)*'ANALYSE - ERP =&gt; SOUS-SEGMENT'!$Q$8:$Q$1000*'ANALYSE - ERP =&gt; SOUS-SEGMENT'!$FK$8:$FK$1000))</f>
        <v>31019.364415541666</v>
      </c>
      <c r="FL17" s="563">
        <f>IF($B17="","",SUMPRODUCT(('ANALYSE - ERP =&gt; SOUS-SEGMENT'!$B$8:$B$1000=$B17)*'ANALYSE - ERP =&gt; SOUS-SEGMENT'!$Q$8:$Q$1000*'ANALYSE - ERP =&gt; SOUS-SEGMENT'!$FL$8:$FL$1000))</f>
        <v>7667.0442600000006</v>
      </c>
      <c r="FM17" s="529"/>
      <c r="FN17" s="961" t="s">
        <v>2649</v>
      </c>
      <c r="FO17" s="740">
        <f>IF($B17="","",IFERROR(SUMPRODUCT(('ANALYSE - ERP =&gt; SOUS-SEGMENT'!$B$8:$B$1000=$B17)*'ANALYSE - ERP =&gt; SOUS-SEGMENT'!$Q$8:$Q$1000*'ANALYSE - ERP =&gt; SOUS-SEGMENT'!$AF$8:$AF$1000*'ANALYSE - ERP =&gt; SOUS-SEGMENT'!$FO$8:$FO$1000)/SUMPRODUCT(('ANALYSE - ERP =&gt; SOUS-SEGMENT'!$B$8:$B$1000=$B17)*'ANALYSE - ERP =&gt; SOUS-SEGMENT'!$Q$8:$Q$1000*'ANALYSE - ERP =&gt; SOUS-SEGMENT'!$AF$8:$AF$1000),""))</f>
        <v>5.633153810462823E-2</v>
      </c>
      <c r="FP17" s="741">
        <f>IF($B17="","",IFERROR(SUMPRODUCT(('ANALYSE - ERP =&gt; SOUS-SEGMENT'!$B$8:$B$1000=$B17)*'ANALYSE - ERP =&gt; SOUS-SEGMENT'!$Q$8:$Q$1000*'ANALYSE - ERP =&gt; SOUS-SEGMENT'!$AF$8:$AF$1000*'ANALYSE - ERP =&gt; SOUS-SEGMENT'!$FP$8:$FP$1000)/SUMPRODUCT(('ANALYSE - ERP =&gt; SOUS-SEGMENT'!$B$8:$B$1000=$B17)*'ANALYSE - ERP =&gt; SOUS-SEGMENT'!$Q$8:$Q$1000*'ANALYSE - ERP =&gt; SOUS-SEGMENT'!$AF$8:$AF$1000),""))</f>
        <v>0.81668810346827514</v>
      </c>
      <c r="FQ17" s="961" t="s">
        <v>6648</v>
      </c>
      <c r="FR17" s="529"/>
      <c r="FS17" s="867">
        <f>IF($B17="","",IFERROR(SUMPRODUCT(('ANALYSE - ERP =&gt; SOUS-SEGMENT'!$B$8:$B$1000=$B17)*'ANALYSE - ERP =&gt; SOUS-SEGMENT'!$Q$8:$Q$1000*'ANALYSE - ERP =&gt; SOUS-SEGMENT'!$EX$8:$EX$1000*'ANALYSE - ERP =&gt; SOUS-SEGMENT'!$FS$8:$FS$1000)/SUMPRODUCT(('ANALYSE - ERP =&gt; SOUS-SEGMENT'!$B$8:$B$1000=$B17)*'ANALYSE - ERP =&gt; SOUS-SEGMENT'!$Q$8:$Q$1000*'ANALYSE - ERP =&gt; SOUS-SEGMENT'!$EX$8:$EX$1000),""))</f>
        <v>3.6322640647541169</v>
      </c>
      <c r="FT17" s="566">
        <f>IF($B17="","",RANK($FS17,$FS$8:$FS$20,0)+COUNTIF($FS$8:$FS17,$FS17)-1)</f>
        <v>3</v>
      </c>
      <c r="FU17" s="867">
        <f>IF($B17="","",IFERROR(SUMPRODUCT(('ANALYSE - ERP =&gt; SOUS-SEGMENT'!$B$8:$B$1000=$B17)*'ANALYSE - ERP =&gt; SOUS-SEGMENT'!$Q$8:$Q$1000*'ANALYSE - ERP =&gt; SOUS-SEGMENT'!$EY$8:$EY$1000*'ANALYSE - ERP =&gt; SOUS-SEGMENT'!$FU$8:$FU$1000)/SUMPRODUCT(('ANALYSE - ERP =&gt; SOUS-SEGMENT'!$B$8:$B$1000=$B17)*'ANALYSE - ERP =&gt; SOUS-SEGMENT'!$Q$8:$Q$1000*'ANALYSE - ERP =&gt; SOUS-SEGMENT'!$EY$8:$EY$1000),""))</f>
        <v>4.4081527308710253</v>
      </c>
      <c r="FV17" s="566">
        <f>IF($B17="","",RANK($FU17,$FU$8:$FU$20,0)+COUNTIF($FU$8:$FU17,$FU17)-1)</f>
        <v>3</v>
      </c>
      <c r="FW17" s="867">
        <f>IF($B17="","",IFERROR(SUMPRODUCT(('ANALYSE - ERP =&gt; SOUS-SEGMENT'!$B$8:$B$1000=$B17)*'ANALYSE - ERP =&gt; SOUS-SEGMENT'!$Q$8:$Q$1000*'ANALYSE - ERP =&gt; SOUS-SEGMENT'!$EZ$8:$EZ$1000*'ANALYSE - ERP =&gt; SOUS-SEGMENT'!$FW$8:$FW$1000)/SUMPRODUCT(('ANALYSE - ERP =&gt; SOUS-SEGMENT'!$B$8:$B$1000=$B17)*'ANALYSE - ERP =&gt; SOUS-SEGMENT'!$Q$8:$Q$1000*'ANALYSE - ERP =&gt; SOUS-SEGMENT'!$EZ$8:$EZ$1000),""))</f>
        <v>2.3730341062360814</v>
      </c>
      <c r="FX17" s="566">
        <f>IF($B17="","",RANK($FW17,$FW$8:$FW$20,0)+COUNTIF($FW$8:$FW17,$FW17)-1)</f>
        <v>5</v>
      </c>
      <c r="FY17" s="529"/>
      <c r="FZ17" s="922" t="s">
        <v>6649</v>
      </c>
      <c r="GA17" s="922" t="s">
        <v>6650</v>
      </c>
      <c r="GB17" s="922" t="s">
        <v>6651</v>
      </c>
      <c r="GC17" s="922" t="s">
        <v>6652</v>
      </c>
      <c r="GD17" s="922" t="s">
        <v>6653</v>
      </c>
      <c r="GE17" s="922" t="s">
        <v>6654</v>
      </c>
      <c r="GF17" s="923" t="s">
        <v>5831</v>
      </c>
      <c r="GG17" s="529"/>
      <c r="GH17" s="563">
        <f t="shared" si="40"/>
        <v>4150.4969809333343</v>
      </c>
      <c r="GI17" s="563">
        <f>IF($B17="","",SUMPRODUCT(('ANALYSE - ERP =&gt; SOUS-SEGMENT'!$B$8:$B$1000=$B17)*'ANALYSE - ERP =&gt; SOUS-SEGMENT'!$Q$8:$Q$1000*'ANALYSE - ERP =&gt; SOUS-SEGMENT'!$GI$8:$GI$1000))</f>
        <v>3478.118573733334</v>
      </c>
      <c r="GJ17" s="563">
        <f>IF($B17="","",SUMPRODUCT(('ANALYSE - ERP =&gt; SOUS-SEGMENT'!$B$8:$B$1000=$B17)*'ANALYSE - ERP =&gt; SOUS-SEGMENT'!$Q$8:$Q$1000*'ANALYSE - ERP =&gt; SOUS-SEGMENT'!$GJ$8:$GJ$1000))</f>
        <v>672.37840719999997</v>
      </c>
      <c r="GK17" s="563">
        <f t="shared" si="41"/>
        <v>27590.159666163636</v>
      </c>
      <c r="GL17" s="563">
        <f>IF($B17="","",SUMPRODUCT(('ANALYSE - ERP =&gt; SOUS-SEGMENT'!$B$8:$B$1000=$B17)*'ANALYSE - ERP =&gt; SOUS-SEGMENT'!$Q$8:$Q$1000*'ANALYSE - ERP =&gt; SOUS-SEGMENT'!$GL$8:$GL$1000))</f>
        <v>21681.501900563635</v>
      </c>
      <c r="GM17" s="563">
        <f>IF($B17="","",SUMPRODUCT(('ANALYSE - ERP =&gt; SOUS-SEGMENT'!$B$8:$B$1000=$B17)*'ANALYSE - ERP =&gt; SOUS-SEGMENT'!$Q$8:$Q$1000*'ANALYSE - ERP =&gt; SOUS-SEGMENT'!$GM$8:$GM$1000))</f>
        <v>5908.6577655999999</v>
      </c>
      <c r="GN17" s="563">
        <f t="shared" si="42"/>
        <v>6245.5796257625007</v>
      </c>
      <c r="GO17" s="563">
        <f>IF($B17="","",SUMPRODUCT(('ANALYSE - ERP =&gt; SOUS-SEGMENT'!$B$8:$B$1000=$B17)*'ANALYSE - ERP =&gt; SOUS-SEGMENT'!$Q$8:$Q$1000*'ANALYSE - ERP =&gt; SOUS-SEGMENT'!$GO$8:$GO$1000))</f>
        <v>5088.9013709625006</v>
      </c>
      <c r="GP17" s="563">
        <f>IF($B17="","",SUMPRODUCT(('ANALYSE - ERP =&gt; SOUS-SEGMENT'!$B$8:$B$1000=$B17)*'ANALYSE - ERP =&gt; SOUS-SEGMENT'!$Q$8:$Q$1000*'ANALYSE - ERP =&gt; SOUS-SEGMENT'!$GP$8:$GP$1000))</f>
        <v>1156.6782548000001</v>
      </c>
      <c r="GQ17" s="563">
        <f t="shared" si="43"/>
        <v>2325.9318643222223</v>
      </c>
      <c r="GR17" s="563">
        <f>IF($B17="","",SUMPRODUCT(('ANALYSE - ERP =&gt; SOUS-SEGMENT'!$B$8:$B$1000=$B17)*'ANALYSE - ERP =&gt; SOUS-SEGMENT'!$Q$8:$Q$1000*'ANALYSE - ERP =&gt; SOUS-SEGMENT'!$GR$8:$GR$1000))</f>
        <v>1893.8636119222222</v>
      </c>
      <c r="GS17" s="563">
        <f>IF($B17="","",SUMPRODUCT(('ANALYSE - ERP =&gt; SOUS-SEGMENT'!$B$8:$B$1000=$B17)*'ANALYSE - ERP =&gt; SOUS-SEGMENT'!$Q$8:$Q$1000*'ANALYSE - ERP =&gt; SOUS-SEGMENT'!$GS$8:$GS$1000))</f>
        <v>432.06825240000001</v>
      </c>
      <c r="GT17" s="563">
        <f t="shared" si="44"/>
        <v>871.29836864999993</v>
      </c>
      <c r="GU17" s="563">
        <f>IF($B17="","",SUMPRODUCT(('ANALYSE - ERP =&gt; SOUS-SEGMENT'!$B$8:$B$1000=$B17)*'ANALYSE - ERP =&gt; SOUS-SEGMENT'!$Q$8:$Q$1000*'ANALYSE - ERP =&gt; SOUS-SEGMENT'!$GU$8:$GU$1000))</f>
        <v>746.83820864999996</v>
      </c>
      <c r="GV17" s="563">
        <f>IF($B17="","",SUMPRODUCT(('ANALYSE - ERP =&gt; SOUS-SEGMENT'!$B$8:$B$1000=$B17)*'ANALYSE - ERP =&gt; SOUS-SEGMENT'!$Q$8:$Q$1000*'ANALYSE - ERP =&gt; SOUS-SEGMENT'!$GV$8:$GV$1000))</f>
        <v>124.46015999999999</v>
      </c>
      <c r="GW17" s="563">
        <f t="shared" si="45"/>
        <v>4075.5974633999999</v>
      </c>
      <c r="GX17" s="563">
        <f>IF($B17="","",SUMPRODUCT(('ANALYSE - ERP =&gt; SOUS-SEGMENT'!$B$8:$B$1000=$B17)*'ANALYSE - ERP =&gt; SOUS-SEGMENT'!$Q$8:$Q$1000*'ANALYSE - ERP =&gt; SOUS-SEGMENT'!$GX$8:$GX$1000))</f>
        <v>3393.6023890000001</v>
      </c>
      <c r="GY17" s="563">
        <f>IF($B17="","",SUMPRODUCT(('ANALYSE - ERP =&gt; SOUS-SEGMENT'!$B$8:$B$1000=$B17)*'ANALYSE - ERP =&gt; SOUS-SEGMENT'!$Q$8:$Q$1000*'ANALYSE - ERP =&gt; SOUS-SEGMENT'!$GY$8:$GY$1000))</f>
        <v>681.99507439999991</v>
      </c>
      <c r="GZ17" s="563">
        <f t="shared" si="46"/>
        <v>397.58615910000003</v>
      </c>
      <c r="HA17" s="563">
        <f>IF($B17="","",SUMPRODUCT(('ANALYSE - ERP =&gt; SOUS-SEGMENT'!$B$8:$B$1000=$B17)*'ANALYSE - ERP =&gt; SOUS-SEGMENT'!$Q$8:$Q$1000*'ANALYSE - ERP =&gt; SOUS-SEGMENT'!$HA$8:$HA$1000))</f>
        <v>327.86887350000006</v>
      </c>
      <c r="HB17" s="563">
        <f>IF($B17="","",SUMPRODUCT(('ANALYSE - ERP =&gt; SOUS-SEGMENT'!$B$8:$B$1000=$B17)*'ANALYSE - ERP =&gt; SOUS-SEGMENT'!$Q$8:$Q$1000*'ANALYSE - ERP =&gt; SOUS-SEGMENT'!$HB$8:$HB$1000))</f>
        <v>69.717285599999997</v>
      </c>
      <c r="HC17" s="563">
        <f t="shared" si="47"/>
        <v>453.20298897500004</v>
      </c>
      <c r="HD17" s="563">
        <f>IF($B17="","",SUMPRODUCT(('ANALYSE - ERP =&gt; SOUS-SEGMENT'!$B$8:$B$1000=$B17)*'ANALYSE - ERP =&gt; SOUS-SEGMENT'!$Q$8:$Q$1000*'ANALYSE - ERP =&gt; SOUS-SEGMENT'!$HD$8:$HD$1000))</f>
        <v>397.41899937500006</v>
      </c>
      <c r="HE17" s="563">
        <f>IF($B17="","",SUMPRODUCT(('ANALYSE - ERP =&gt; SOUS-SEGMENT'!$B$8:$B$1000=$B17)*'ANALYSE - ERP =&gt; SOUS-SEGMENT'!$Q$8:$Q$1000*'ANALYSE - ERP =&gt; SOUS-SEGMENT'!$HE$8:$HE$1000))</f>
        <v>55.783989599999991</v>
      </c>
      <c r="HF17" s="563">
        <f t="shared" si="48"/>
        <v>2832.4603953181818</v>
      </c>
      <c r="HG17" s="563">
        <f>IF($B17="","",SUMPRODUCT(('ANALYSE - ERP =&gt; SOUS-SEGMENT'!$B$8:$B$1000=$B17)*'ANALYSE - ERP =&gt; SOUS-SEGMENT'!$Q$8:$Q$1000*'ANALYSE - ERP =&gt; SOUS-SEGMENT'!$HG$8:$HG$1000))</f>
        <v>2260.2484678181818</v>
      </c>
      <c r="HH17" s="563">
        <f>IF($B17="","",SUMPRODUCT(('ANALYSE - ERP =&gt; SOUS-SEGMENT'!$B$8:$B$1000=$B17)*'ANALYSE - ERP =&gt; SOUS-SEGMENT'!$Q$8:$Q$1000*'ANALYSE - ERP =&gt; SOUS-SEGMENT'!$HH$8:$HH$1000))</f>
        <v>572.2119275</v>
      </c>
      <c r="HI17" s="563">
        <f t="shared" si="49"/>
        <v>982.22524452142864</v>
      </c>
      <c r="HJ17" s="563">
        <f>IF($B17="","",SUMPRODUCT(('ANALYSE - ERP =&gt; SOUS-SEGMENT'!$B$8:$B$1000=$B17)*'ANALYSE - ERP =&gt; SOUS-SEGMENT'!$Q$8:$Q$1000*'ANALYSE - ERP =&gt; SOUS-SEGMENT'!$HJ$8:$HJ$1000))</f>
        <v>810.02816052142862</v>
      </c>
      <c r="HK17" s="563">
        <f>IF($B17="","",SUMPRODUCT(('ANALYSE - ERP =&gt; SOUS-SEGMENT'!$B$8:$B$1000=$B17)*'ANALYSE - ERP =&gt; SOUS-SEGMENT'!$Q$8:$Q$1000*'ANALYSE - ERP =&gt; SOUS-SEGMENT'!$HK$8:$HK$1000))</f>
        <v>172.19708399999999</v>
      </c>
      <c r="HL17" s="563">
        <f t="shared" si="50"/>
        <v>1505.5201840777777</v>
      </c>
      <c r="HM17" s="563">
        <f>IF($B17="","",SUMPRODUCT(('ANALYSE - ERP =&gt; SOUS-SEGMENT'!$B$8:$B$1000=$B17)*'ANALYSE - ERP =&gt; SOUS-SEGMENT'!$Q$8:$Q$1000*'ANALYSE - ERP =&gt; SOUS-SEGMENT'!$HM$8:$HM$1000))</f>
        <v>1230.9365751777777</v>
      </c>
      <c r="HN17" s="563">
        <f>IF($B17="","",SUMPRODUCT(('ANALYSE - ERP =&gt; SOUS-SEGMENT'!$B$8:$B$1000=$B17)*'ANALYSE - ERP =&gt; SOUS-SEGMENT'!$Q$8:$Q$1000*'ANALYSE - ERP =&gt; SOUS-SEGMENT'!$HN$8:$HN$1000))</f>
        <v>274.5836089</v>
      </c>
      <c r="HO17" s="563">
        <f t="shared" si="51"/>
        <v>9152.5106291666652</v>
      </c>
      <c r="HP17" s="563">
        <f>IF($B17="","",SUMPRODUCT(('ANALYSE - ERP =&gt; SOUS-SEGMENT'!$B$8:$B$1000=$B17)*'ANALYSE - ERP =&gt; SOUS-SEGMENT'!$Q$8:$Q$1000*'ANALYSE - ERP =&gt; SOUS-SEGMENT'!$HP$8:$HP$1000))</f>
        <v>8024.9909721666654</v>
      </c>
      <c r="HQ17" s="563">
        <f>IF($B17="","",SUMPRODUCT(('ANALYSE - ERP =&gt; SOUS-SEGMENT'!$B$8:$B$1000=$B17)*'ANALYSE - ERP =&gt; SOUS-SEGMENT'!$Q$8:$Q$1000*'ANALYSE - ERP =&gt; SOUS-SEGMENT'!$HQ$8:$HQ$1000))</f>
        <v>1127.5196569999998</v>
      </c>
      <c r="HR17" s="563">
        <f t="shared" si="52"/>
        <v>18719.575502708336</v>
      </c>
      <c r="HS17" s="563">
        <f>IF($B17="","",SUMPRODUCT(('ANALYSE - ERP =&gt; SOUS-SEGMENT'!$B$8:$B$1000=$B17)*'ANALYSE - ERP =&gt; SOUS-SEGMENT'!$Q$8:$Q$1000*'ANALYSE - ERP =&gt; SOUS-SEGMENT'!$HS$8:$HS$1000))</f>
        <v>14478.309031708335</v>
      </c>
      <c r="HT17" s="563">
        <f>IF($B17="","",SUMPRODUCT(('ANALYSE - ERP =&gt; SOUS-SEGMENT'!$B$8:$B$1000=$B17)*'ANALYSE - ERP =&gt; SOUS-SEGMENT'!$Q$8:$Q$1000*'ANALYSE - ERP =&gt; SOUS-SEGMENT'!$HT$8:$HT$1000))</f>
        <v>4241.2664709999999</v>
      </c>
      <c r="HU17" s="563">
        <f t="shared" si="53"/>
        <v>10814.322543666667</v>
      </c>
      <c r="HV17" s="563">
        <f>IF($B17="","",SUMPRODUCT(('ANALYSE - ERP =&gt; SOUS-SEGMENT'!$B$8:$B$1000=$B17)*'ANALYSE - ERP =&gt; SOUS-SEGMENT'!$Q$8:$Q$1000*'ANALYSE - ERP =&gt; SOUS-SEGMENT'!$HV$8:$HV$1000))</f>
        <v>8516.0644116666663</v>
      </c>
      <c r="HW17" s="563">
        <f>IF($B17="","",SUMPRODUCT(('ANALYSE - ERP =&gt; SOUS-SEGMENT'!$B$8:$B$1000=$B17)*'ANALYSE - ERP =&gt; SOUS-SEGMENT'!$Q$8:$Q$1000*'ANALYSE - ERP =&gt; SOUS-SEGMENT'!$HW$8:$HW$1000))</f>
        <v>2298.2581320000004</v>
      </c>
      <c r="HX17" s="544"/>
      <c r="HY17" s="568">
        <f t="shared" si="54"/>
        <v>180114.49999999997</v>
      </c>
      <c r="HZ17" s="568">
        <f>IF($B17="","",SUMPRODUCT(('ANALYSE - ERP =&gt; SOUS-SEGMENT'!$B$8:$B$1000=$B17)*'ANALYSE - ERP =&gt; SOUS-SEGMENT'!$Q$8:$Q$1000*'ANALYSE - ERP =&gt; SOUS-SEGMENT'!$HZ$8:$HZ$1000))</f>
        <v>10657.571200000002</v>
      </c>
      <c r="IA17" s="568">
        <f>IF($B17="","",SUMPRODUCT(('ANALYSE - ERP =&gt; SOUS-SEGMENT'!$B$8:$B$1000=$B17)*'ANALYSE - ERP =&gt; SOUS-SEGMENT'!$Q$8:$Q$1000*'ANALYSE - ERP =&gt; SOUS-SEGMENT'!$IA$8:$IA$1000))</f>
        <v>81468.984799999991</v>
      </c>
      <c r="IB17" s="568">
        <f>IF($B17="","",SUMPRODUCT(('ANALYSE - ERP =&gt; SOUS-SEGMENT'!$B$8:$B$1000=$B17)*'ANALYSE - ERP =&gt; SOUS-SEGMENT'!$Q$8:$Q$1000*'ANALYSE - ERP =&gt; SOUS-SEGMENT'!$IB$8:$IB$1000))</f>
        <v>69277.393500000006</v>
      </c>
      <c r="IC17" s="568">
        <f>IF($B17="","",SUMPRODUCT(('ANALYSE - ERP =&gt; SOUS-SEGMENT'!$B$8:$B$1000=$B17)*'ANALYSE - ERP =&gt; SOUS-SEGMENT'!$Q$8:$Q$1000*'ANALYSE - ERP =&gt; SOUS-SEGMENT'!$IC$8:$IC$1000))</f>
        <v>16172.253500000003</v>
      </c>
      <c r="ID17" s="568">
        <f>IF($B17="","",SUMPRODUCT(('ANALYSE - ERP =&gt; SOUS-SEGMENT'!$B$8:$B$1000=$B17)*'ANALYSE - ERP =&gt; SOUS-SEGMENT'!$Q$8:$Q$1000*'ANALYSE - ERP =&gt; SOUS-SEGMENT'!$ID$8:$ID$1000))</f>
        <v>2538.297</v>
      </c>
      <c r="IE17" s="568">
        <f t="shared" si="55"/>
        <v>72328.691546765753</v>
      </c>
      <c r="IF17" s="568">
        <f>IF($B17="","",SUMPRODUCT(('ANALYSE - ERP =&gt; SOUS-SEGMENT'!$B$8:$B$1000=$B17)*'ANALYSE - ERP =&gt; SOUS-SEGMENT'!$Q$8:$Q$1000*'ANALYSE - ERP =&gt; SOUS-SEGMENT'!$IF$8:$IF$1000))</f>
        <v>2550.5231971779681</v>
      </c>
      <c r="IG17" s="568">
        <f>IF($B17="","",SUMPRODUCT(('ANALYSE - ERP =&gt; SOUS-SEGMENT'!$B$8:$B$1000=$B17)*'ANALYSE - ERP =&gt; SOUS-SEGMENT'!$Q$8:$Q$1000*'ANALYSE - ERP =&gt; SOUS-SEGMENT'!$IG$8:$IG$1000))</f>
        <v>29561.440726545039</v>
      </c>
      <c r="IH17" s="568">
        <f>IF($B17="","",SUMPRODUCT(('ANALYSE - ERP =&gt; SOUS-SEGMENT'!$B$8:$B$1000=$B17)*'ANALYSE - ERP =&gt; SOUS-SEGMENT'!$Q$8:$Q$1000*'ANALYSE - ERP =&gt; SOUS-SEGMENT'!$IH$8:$IH$1000))</f>
        <v>29101.477896424942</v>
      </c>
      <c r="II17" s="568">
        <f>IF($B17="","",SUMPRODUCT(('ANALYSE - ERP =&gt; SOUS-SEGMENT'!$B$8:$B$1000=$B17)*'ANALYSE - ERP =&gt; SOUS-SEGMENT'!$Q$8:$Q$1000*'ANALYSE - ERP =&gt; SOUS-SEGMENT'!$II$8:$II$1000))</f>
        <v>9006.4512968533145</v>
      </c>
      <c r="IJ17" s="568">
        <f>IF($B17="","",SUMPRODUCT(('ANALYSE - ERP =&gt; SOUS-SEGMENT'!$B$8:$B$1000=$B17)*'ANALYSE - ERP =&gt; SOUS-SEGMENT'!$Q$8:$Q$1000*'ANALYSE - ERP =&gt; SOUS-SEGMENT'!$IJ$8:$IJ$1000))</f>
        <v>2108.7984297644803</v>
      </c>
      <c r="IK17" s="868">
        <f>IF($B17="","",IFERROR(SUMPRODUCT(('ANALYSE - ERP =&gt; SOUS-SEGMENT'!$B$8:$B$1000=$B17)*'ANALYSE - ERP =&gt; SOUS-SEGMENT'!$Q$8:$Q$1000*'ANALYSE - ERP =&gt; SOUS-SEGMENT'!$IE$8:$IE$1000*'ANALYSE - ERP =&gt; SOUS-SEGMENT'!$IK$8:$IK$1000)/SUMPRODUCT(('ANALYSE - ERP =&gt; SOUS-SEGMENT'!$B$8:$B$1000=$B17)*'ANALYSE - ERP =&gt; SOUS-SEGMENT'!$Q$8:$Q$1000*'ANALYSE - ERP =&gt; SOUS-SEGMENT'!$IE$8:$IE$1000),""))</f>
        <v>4.167404276888071</v>
      </c>
      <c r="IL17" s="962" t="s">
        <v>6655</v>
      </c>
      <c r="IM17" s="963" t="s">
        <v>6656</v>
      </c>
      <c r="IN17" s="529"/>
      <c r="IO17" s="742">
        <f>IF($B17="","",IFERROR(SUMPRODUCT(('ANALYSE - ERP =&gt; SOUS-SEGMENT'!$B$8:$B$1000=$B17)*'ANALYSE - ERP =&gt; SOUS-SEGMENT'!$Q$8:$Q$1000*'ANALYSE - ERP =&gt; SOUS-SEGMENT'!$BE$8:$BE$1000*'ANALYSE - ERP =&gt; SOUS-SEGMENT'!$IO$8:$IO$1000)/SUMPRODUCT(('ANALYSE - ERP =&gt; SOUS-SEGMENT'!$B$8:$B$1000=$B17)*'ANALYSE - ERP =&gt; SOUS-SEGMENT'!$Q$8:$Q$1000*'ANALYSE - ERP =&gt; SOUS-SEGMENT'!$BE$8:$BE$1000),""))</f>
        <v>5.1946538079910939E-2</v>
      </c>
      <c r="IP17" s="742">
        <f>IF($B17="","",IFERROR(SUMPRODUCT(('ANALYSE - ERP =&gt; SOUS-SEGMENT'!$B$8:$B$1000=$B17)*'ANALYSE - ERP =&gt; SOUS-SEGMENT'!$Q$8:$Q$1000*'ANALYSE - ERP =&gt; SOUS-SEGMENT'!$BE$8:$BE$1000*'ANALYSE - ERP =&gt; SOUS-SEGMENT'!$IP$8:$IP$1000)/SUMPRODUCT(('ANALYSE - ERP =&gt; SOUS-SEGMENT'!$B$8:$B$1000=$B17)*'ANALYSE - ERP =&gt; SOUS-SEGMENT'!$Q$8:$Q$1000*'ANALYSE - ERP =&gt; SOUS-SEGMENT'!$BE$8:$BE$1000),""))</f>
        <v>0.43521968006582601</v>
      </c>
      <c r="IQ17" s="742">
        <f>IF($B17="","",IFERROR(SUMPRODUCT(('ANALYSE - ERP =&gt; SOUS-SEGMENT'!$B$8:$B$1000=$B17)*'ANALYSE - ERP =&gt; SOUS-SEGMENT'!$Q$8:$Q$1000*'ANALYSE - ERP =&gt; SOUS-SEGMENT'!$BE$8:$BE$1000*'ANALYSE - ERP =&gt; SOUS-SEGMENT'!$IQ$8:$IQ$1000)/SUMPRODUCT(('ANALYSE - ERP =&gt; SOUS-SEGMENT'!$B$8:$B$1000=$B17)*'ANALYSE - ERP =&gt; SOUS-SEGMENT'!$Q$8:$Q$1000*'ANALYSE - ERP =&gt; SOUS-SEGMENT'!$BE$8:$BE$1000),""))</f>
        <v>0.39602062389583986</v>
      </c>
      <c r="IR17" s="742">
        <f>IF($B17="","",IFERROR(SUMPRODUCT(('ANALYSE - ERP =&gt; SOUS-SEGMENT'!$B$8:$B$1000=$B17)*'ANALYSE - ERP =&gt; SOUS-SEGMENT'!$Q$8:$Q$1000*'ANALYSE - ERP =&gt; SOUS-SEGMENT'!$BE$8:$BE$1000*'ANALYSE - ERP =&gt; SOUS-SEGMENT'!$IR$8:$IR$1000)/SUMPRODUCT(('ANALYSE - ERP =&gt; SOUS-SEGMENT'!$B$8:$B$1000=$B17)*'ANALYSE - ERP =&gt; SOUS-SEGMENT'!$Q$8:$Q$1000*'ANALYSE - ERP =&gt; SOUS-SEGMENT'!$BE$8:$BE$1000),""))</f>
        <v>9.9065799472423222E-2</v>
      </c>
      <c r="IS17" s="742">
        <f>IF($B17="","",IFERROR(SUMPRODUCT(('ANALYSE - ERP =&gt; SOUS-SEGMENT'!$B$8:$B$1000=$B17)*'ANALYSE - ERP =&gt; SOUS-SEGMENT'!$Q$8:$Q$1000*'ANALYSE - ERP =&gt; SOUS-SEGMENT'!$BE$8:$BE$1000*'ANALYSE - ERP =&gt; SOUS-SEGMENT'!$IS$8:$IS$1000)/SUMPRODUCT(('ANALYSE - ERP =&gt; SOUS-SEGMENT'!$B$8:$B$1000=$B17)*'ANALYSE - ERP =&gt; SOUS-SEGMENT'!$Q$8:$Q$1000*'ANALYSE - ERP =&gt; SOUS-SEGMENT'!$BE$8:$BE$1000),""))</f>
        <v>1.7747358485999853E-2</v>
      </c>
      <c r="IT17" s="742">
        <f>IF($B17="","",IFERROR(SUMPRODUCT(('ANALYSE - ERP =&gt; SOUS-SEGMENT'!$B$8:$B$1000=$B17)*'ANALYSE - ERP =&gt; SOUS-SEGMENT'!$Q$8:$Q$1000*'ANALYSE - ERP =&gt; SOUS-SEGMENT'!$FB$8:$FB$1000*'ANALYSE - ERP =&gt; SOUS-SEGMENT'!$IT$8:$IT$1000)/SUMPRODUCT(('ANALYSE - ERP =&gt; SOUS-SEGMENT'!$B$8:$B$1000=$B17)*'ANALYSE - ERP =&gt; SOUS-SEGMENT'!$Q$8:$Q$1000*'ANALYSE - ERP =&gt; SOUS-SEGMENT'!$FB$8:$FB$1000),""))</f>
        <v>2.9357562990086041E-2</v>
      </c>
      <c r="IU17" s="742">
        <f>IF($B17="","",IFERROR(SUMPRODUCT(('ANALYSE - ERP =&gt; SOUS-SEGMENT'!$B$8:$B$1000=$B17)*'ANALYSE - ERP =&gt; SOUS-SEGMENT'!$Q$8:$Q$1000*'ANALYSE - ERP =&gt; SOUS-SEGMENT'!$FB$8:$FB$1000*'ANALYSE - ERP =&gt; SOUS-SEGMENT'!$IU$8:$IU$1000)/SUMPRODUCT(('ANALYSE - ERP =&gt; SOUS-SEGMENT'!$B$8:$B$1000=$B17)*'ANALYSE - ERP =&gt; SOUS-SEGMENT'!$Q$8:$Q$1000*'ANALYSE - ERP =&gt; SOUS-SEGMENT'!$FB$8:$FB$1000),""))</f>
        <v>0.38307125747662651</v>
      </c>
      <c r="IV17" s="742">
        <f>IF($B17="","",IFERROR(SUMPRODUCT(('ANALYSE - ERP =&gt; SOUS-SEGMENT'!$B$8:$B$1000=$B17)*'ANALYSE - ERP =&gt; SOUS-SEGMENT'!$Q$8:$Q$1000*'ANALYSE - ERP =&gt; SOUS-SEGMENT'!$FB$8:$FB$1000*'ANALYSE - ERP =&gt; SOUS-SEGMENT'!$IV$8:$IV$1000)/SUMPRODUCT(('ANALYSE - ERP =&gt; SOUS-SEGMENT'!$B$8:$B$1000=$B17)*'ANALYSE - ERP =&gt; SOUS-SEGMENT'!$Q$8:$Q$1000*'ANALYSE - ERP =&gt; SOUS-SEGMENT'!$FB$8:$FB$1000),""))</f>
        <v>0.41398687930730144</v>
      </c>
      <c r="IW17" s="742">
        <f>IF($B17="","",IFERROR(SUMPRODUCT(('ANALYSE - ERP =&gt; SOUS-SEGMENT'!$B$8:$B$1000=$B17)*'ANALYSE - ERP =&gt; SOUS-SEGMENT'!$Q$8:$Q$1000*'ANALYSE - ERP =&gt; SOUS-SEGMENT'!$FB$8:$FB$1000*'ANALYSE - ERP =&gt; SOUS-SEGMENT'!$IW$8:$IW$1000)/SUMPRODUCT(('ANALYSE - ERP =&gt; SOUS-SEGMENT'!$B$8:$B$1000=$B17)*'ANALYSE - ERP =&gt; SOUS-SEGMENT'!$Q$8:$Q$1000*'ANALYSE - ERP =&gt; SOUS-SEGMENT'!$FB$8:$FB$1000),""))</f>
        <v>0.13821222259112945</v>
      </c>
      <c r="IX17" s="742">
        <f>IF($B17="","",IFERROR(SUMPRODUCT(('ANALYSE - ERP =&gt; SOUS-SEGMENT'!$B$8:$B$1000=$B17)*'ANALYSE - ERP =&gt; SOUS-SEGMENT'!$Q$8:$Q$1000*'ANALYSE - ERP =&gt; SOUS-SEGMENT'!$FB$8:$FB$1000*'ANALYSE - ERP =&gt; SOUS-SEGMENT'!$IX$8:$IX$1000)/SUMPRODUCT(('ANALYSE - ERP =&gt; SOUS-SEGMENT'!$B$8:$B$1000=$B17)*'ANALYSE - ERP =&gt; SOUS-SEGMENT'!$Q$8:$Q$1000*'ANALYSE - ERP =&gt; SOUS-SEGMENT'!$FB$8:$FB$1000),""))</f>
        <v>3.5372077634856607E-2</v>
      </c>
      <c r="IY17" s="742">
        <f>IF($B17="","",IFERROR(SUMPRODUCT(('ANALYSE - ERP =&gt; SOUS-SEGMENT'!$B$8:$B$1000=$B17)*'ANALYSE - ERP =&gt; SOUS-SEGMENT'!$Q$8:$Q$1000*'ANALYSE - ERP =&gt; SOUS-SEGMENT'!$BF$8:$BF$1000*'ANALYSE - ERP =&gt; SOUS-SEGMENT'!$IY$8:$IY$1000)/SUMPRODUCT(('ANALYSE - ERP =&gt; SOUS-SEGMENT'!$B$8:$B$1000=$B17)*'ANALYSE - ERP =&gt; SOUS-SEGMENT'!$Q$8:$Q$1000*'ANALYSE - ERP =&gt; SOUS-SEGMENT'!$BF$8:$BF$1000),""))</f>
        <v>4.5605480643758155E-2</v>
      </c>
      <c r="IZ17" s="742">
        <f>IF($B17="","",IFERROR(SUMPRODUCT(('ANALYSE - ERP =&gt; SOUS-SEGMENT'!$B$8:$B$1000=$B17)*'ANALYSE - ERP =&gt; SOUS-SEGMENT'!$Q$8:$Q$1000*'ANALYSE - ERP =&gt; SOUS-SEGMENT'!$BF$8:$BF$1000*'ANALYSE - ERP =&gt; SOUS-SEGMENT'!$IZ$8:$IZ$1000)/SUMPRODUCT(('ANALYSE - ERP =&gt; SOUS-SEGMENT'!$B$8:$B$1000=$B17)*'ANALYSE - ERP =&gt; SOUS-SEGMENT'!$Q$8:$Q$1000*'ANALYSE - ERP =&gt; SOUS-SEGMENT'!$BF$8:$BF$1000),""))</f>
        <v>0.42937270552414092</v>
      </c>
      <c r="JA17" s="742">
        <f>IF($B17="","",IFERROR(SUMPRODUCT(('ANALYSE - ERP =&gt; SOUS-SEGMENT'!$B$8:$B$1000=$B17)*'ANALYSE - ERP =&gt; SOUS-SEGMENT'!$Q$8:$Q$1000*'ANALYSE - ERP =&gt; SOUS-SEGMENT'!$BF$8:$BF$1000*'ANALYSE - ERP =&gt; SOUS-SEGMENT'!$JA$8:$JA$1000)/SUMPRODUCT(('ANALYSE - ERP =&gt; SOUS-SEGMENT'!$B$8:$B$1000=$B17)*'ANALYSE - ERP =&gt; SOUS-SEGMENT'!$Q$8:$Q$1000*'ANALYSE - ERP =&gt; SOUS-SEGMENT'!$BF$8:$BF$1000),""))</f>
        <v>0.40864173553719008</v>
      </c>
      <c r="JB17" s="742">
        <f>IF($B17="","",IFERROR(SUMPRODUCT(('ANALYSE - ERP =&gt; SOUS-SEGMENT'!$B$8:$B$1000=$B17)*'ANALYSE - ERP =&gt; SOUS-SEGMENT'!$Q$8:$Q$1000*'ANALYSE - ERP =&gt; SOUS-SEGMENT'!$BF$8:$BF$1000*'ANALYSE - ERP =&gt; SOUS-SEGMENT'!$JB$8:$JB$1000)/SUMPRODUCT(('ANALYSE - ERP =&gt; SOUS-SEGMENT'!$B$8:$B$1000=$B17)*'ANALYSE - ERP =&gt; SOUS-SEGMENT'!$Q$8:$Q$1000*'ANALYSE - ERP =&gt; SOUS-SEGMENT'!$BF$8:$BF$1000),""))</f>
        <v>0.10153647237929535</v>
      </c>
      <c r="JC17" s="742">
        <f>IF($B17="","",IFERROR(SUMPRODUCT(('ANALYSE - ERP =&gt; SOUS-SEGMENT'!$B$8:$B$1000=$B17)*'ANALYSE - ERP =&gt; SOUS-SEGMENT'!$Q$8:$Q$1000*'ANALYSE - ERP =&gt; SOUS-SEGMENT'!$BF$8:$BF$1000*'ANALYSE - ERP =&gt; SOUS-SEGMENT'!$JC$8:$JC$1000)/SUMPRODUCT(('ANALYSE - ERP =&gt; SOUS-SEGMENT'!$B$8:$B$1000=$B17)*'ANALYSE - ERP =&gt; SOUS-SEGMENT'!$Q$8:$Q$1000*'ANALYSE - ERP =&gt; SOUS-SEGMENT'!$BF$8:$BF$1000),""))</f>
        <v>1.4843605915615486E-2</v>
      </c>
      <c r="JD17" s="742">
        <f>IF($B17="","",IFERROR(SUMPRODUCT(('ANALYSE - ERP =&gt; SOUS-SEGMENT'!$B$8:$B$1000=$B17)*'ANALYSE - ERP =&gt; SOUS-SEGMENT'!$Q$8:$Q$1000*'ANALYSE - ERP =&gt; SOUS-SEGMENT'!$FE$8:$FE$1000*'ANALYSE - ERP =&gt; SOUS-SEGMENT'!$JD$8:$JD$1000)/SUMPRODUCT(('ANALYSE - ERP =&gt; SOUS-SEGMENT'!$B$8:$B$1000=$B17)*'ANALYSE - ERP =&gt; SOUS-SEGMENT'!$Q$8:$Q$1000*'ANALYSE - ERP =&gt; SOUS-SEGMENT'!$FE$8:$FE$1000),""))</f>
        <v>2.7870639184299235E-2</v>
      </c>
      <c r="JE17" s="742">
        <f>IF($B17="","",IFERROR(SUMPRODUCT(('ANALYSE - ERP =&gt; SOUS-SEGMENT'!$B$8:$B$1000=$B17)*'ANALYSE - ERP =&gt; SOUS-SEGMENT'!$Q$8:$Q$1000*'ANALYSE - ERP =&gt; SOUS-SEGMENT'!$FE$8:$FE$1000*'ANALYSE - ERP =&gt; SOUS-SEGMENT'!$JE$8:$JE$1000)/SUMPRODUCT(('ANALYSE - ERP =&gt; SOUS-SEGMENT'!$B$8:$B$1000=$B17)*'ANALYSE - ERP =&gt; SOUS-SEGMENT'!$Q$8:$Q$1000*'ANALYSE - ERP =&gt; SOUS-SEGMENT'!$FE$8:$FE$1000),""))</f>
        <v>0.40359776261448105</v>
      </c>
      <c r="JF17" s="742">
        <f>IF($B17="","",IFERROR(SUMPRODUCT(('ANALYSE - ERP =&gt; SOUS-SEGMENT'!$B$8:$B$1000=$B17)*'ANALYSE - ERP =&gt; SOUS-SEGMENT'!$Q$8:$Q$1000*'ANALYSE - ERP =&gt; SOUS-SEGMENT'!$FE$8:$FE$1000*'ANALYSE - ERP =&gt; SOUS-SEGMENT'!$JF$8:$JF$1000)/SUMPRODUCT(('ANALYSE - ERP =&gt; SOUS-SEGMENT'!$B$8:$B$1000=$B17)*'ANALYSE - ERP =&gt; SOUS-SEGMENT'!$Q$8:$Q$1000*'ANALYSE - ERP =&gt; SOUS-SEGMENT'!$FE$8:$FE$1000),""))</f>
        <v>0.40927674205939585</v>
      </c>
      <c r="JG17" s="742">
        <f>IF($B17="","",IFERROR(SUMPRODUCT(('ANALYSE - ERP =&gt; SOUS-SEGMENT'!$B$8:$B$1000=$B17)*'ANALYSE - ERP =&gt; SOUS-SEGMENT'!$Q$8:$Q$1000*'ANALYSE - ERP =&gt; SOUS-SEGMENT'!$FE$8:$FE$1000*'ANALYSE - ERP =&gt; SOUS-SEGMENT'!$JG$8:$JG$1000)/SUMPRODUCT(('ANALYSE - ERP =&gt; SOUS-SEGMENT'!$B$8:$B$1000=$B17)*'ANALYSE - ERP =&gt; SOUS-SEGMENT'!$Q$8:$Q$1000*'ANALYSE - ERP =&gt; SOUS-SEGMENT'!$FE$8:$FE$1000),""))</f>
        <v>0.12941865055681098</v>
      </c>
      <c r="JH17" s="742">
        <f>IF($B17="","",IFERROR(SUMPRODUCT(('ANALYSE - ERP =&gt; SOUS-SEGMENT'!$B$8:$B$1000=$B17)*'ANALYSE - ERP =&gt; SOUS-SEGMENT'!$Q$8:$Q$1000*'ANALYSE - ERP =&gt; SOUS-SEGMENT'!$FE$8:$FE$1000*'ANALYSE - ERP =&gt; SOUS-SEGMENT'!$JH$8:$JH$1000)/SUMPRODUCT(('ANALYSE - ERP =&gt; SOUS-SEGMENT'!$B$8:$B$1000=$B17)*'ANALYSE - ERP =&gt; SOUS-SEGMENT'!$Q$8:$Q$1000*'ANALYSE - ERP =&gt; SOUS-SEGMENT'!$FE$8:$FE$1000),""))</f>
        <v>2.9836205585013008E-2</v>
      </c>
      <c r="JI17" s="742">
        <f>IF($B17="","",IFERROR(SUMPRODUCT(('ANALYSE - ERP =&gt; SOUS-SEGMENT'!$B$8:$B$1000=$B17)*'ANALYSE - ERP =&gt; SOUS-SEGMENT'!$Q$8:$Q$1000*'ANALYSE - ERP =&gt; SOUS-SEGMENT'!$BG$8:$BG$1000*'ANALYSE - ERP =&gt; SOUS-SEGMENT'!$JI$8:$JI$1000)/SUMPRODUCT(('ANALYSE - ERP =&gt; SOUS-SEGMENT'!$B$8:$B$1000=$B17)*'ANALYSE - ERP =&gt; SOUS-SEGMENT'!$Q$8:$Q$1000*'ANALYSE - ERP =&gt; SOUS-SEGMENT'!$BG$8:$BG$1000),""))</f>
        <v>9.2897063080730244E-2</v>
      </c>
      <c r="JJ17" s="742">
        <f>IF($B17="","",IFERROR(SUMPRODUCT(('ANALYSE - ERP =&gt; SOUS-SEGMENT'!$B$8:$B$1000=$B17)*'ANALYSE - ERP =&gt; SOUS-SEGMENT'!$Q$8:$Q$1000*'ANALYSE - ERP =&gt; SOUS-SEGMENT'!$BG$8:$BG$1000*'ANALYSE - ERP =&gt; SOUS-SEGMENT'!$JJ$8:$JJ$1000)/SUMPRODUCT(('ANALYSE - ERP =&gt; SOUS-SEGMENT'!$B$8:$B$1000=$B17)*'ANALYSE - ERP =&gt; SOUS-SEGMENT'!$Q$8:$Q$1000*'ANALYSE - ERP =&gt; SOUS-SEGMENT'!$BG$8:$BG$1000),""))</f>
        <v>0.52741694915254234</v>
      </c>
      <c r="JK17" s="742">
        <f>IF($B17="","",IFERROR(SUMPRODUCT(('ANALYSE - ERP =&gt; SOUS-SEGMENT'!$B$8:$B$1000=$B17)*'ANALYSE - ERP =&gt; SOUS-SEGMENT'!$Q$8:$Q$1000*'ANALYSE - ERP =&gt; SOUS-SEGMENT'!$BG$8:$BG$1000*'ANALYSE - ERP =&gt; SOUS-SEGMENT'!$JK$8:$JK$1000)/SUMPRODUCT(('ANALYSE - ERP =&gt; SOUS-SEGMENT'!$B$8:$B$1000=$B17)*'ANALYSE - ERP =&gt; SOUS-SEGMENT'!$Q$8:$Q$1000*'ANALYSE - ERP =&gt; SOUS-SEGMENT'!$BG$8:$BG$1000),""))</f>
        <v>0.30163960405285523</v>
      </c>
      <c r="JL17" s="742">
        <f>IF($B17="","",IFERROR(SUMPRODUCT(('ANALYSE - ERP =&gt; SOUS-SEGMENT'!$B$8:$B$1000=$B17)*'ANALYSE - ERP =&gt; SOUS-SEGMENT'!$Q$8:$Q$1000*'ANALYSE - ERP =&gt; SOUS-SEGMENT'!$BG$8:$BG$1000*'ANALYSE - ERP =&gt; SOUS-SEGMENT'!$JL$8:$JL$1000)/SUMPRODUCT(('ANALYSE - ERP =&gt; SOUS-SEGMENT'!$B$8:$B$1000=$B17)*'ANALYSE - ERP =&gt; SOUS-SEGMENT'!$Q$8:$Q$1000*'ANALYSE - ERP =&gt; SOUS-SEGMENT'!$BG$8:$BG$1000),""))</f>
        <v>6.7786664798991453E-2</v>
      </c>
      <c r="JM17" s="742">
        <f>IF($B17="","",IFERROR(SUMPRODUCT(('ANALYSE - ERP =&gt; SOUS-SEGMENT'!$B$8:$B$1000=$B17)*'ANALYSE - ERP =&gt; SOUS-SEGMENT'!$Q$8:$Q$1000*'ANALYSE - ERP =&gt; SOUS-SEGMENT'!$BG$8:$BG$1000*'ANALYSE - ERP =&gt; SOUS-SEGMENT'!$JM$8:$JM$1000)/SUMPRODUCT(('ANALYSE - ERP =&gt; SOUS-SEGMENT'!$B$8:$B$1000=$B17)*'ANALYSE - ERP =&gt; SOUS-SEGMENT'!$Q$8:$Q$1000*'ANALYSE - ERP =&gt; SOUS-SEGMENT'!$BG$8:$BG$1000),""))</f>
        <v>1.0259718914880702E-2</v>
      </c>
      <c r="JN17" s="742">
        <f>IF($B17="","",IFERROR(SUMPRODUCT(('ANALYSE - ERP =&gt; SOUS-SEGMENT'!$B$8:$B$1000=$B17)*'ANALYSE - ERP =&gt; SOUS-SEGMENT'!$Q$8:$Q$1000*'ANALYSE - ERP =&gt; SOUS-SEGMENT'!$FH$8:$FH$1000*'ANALYSE - ERP =&gt; SOUS-SEGMENT'!$JN$8:$JN$1000)/SUMPRODUCT(('ANALYSE - ERP =&gt; SOUS-SEGMENT'!$B$8:$B$1000=$B17)*'ANALYSE - ERP =&gt; SOUS-SEGMENT'!$Q$8:$Q$1000*'ANALYSE - ERP =&gt; SOUS-SEGMENT'!$FH$8:$FH$1000),""))</f>
        <v>5.6495915328425676E-2</v>
      </c>
      <c r="JO17" s="742">
        <f>IF($B17="","",IFERROR(SUMPRODUCT(('ANALYSE - ERP =&gt; SOUS-SEGMENT'!$B$8:$B$1000=$B17)*'ANALYSE - ERP =&gt; SOUS-SEGMENT'!$Q$8:$Q$1000*'ANALYSE - ERP =&gt; SOUS-SEGMENT'!$FH$8:$FH$1000*'ANALYSE - ERP =&gt; SOUS-SEGMENT'!$JO$8:$JO$1000)/SUMPRODUCT(('ANALYSE - ERP =&gt; SOUS-SEGMENT'!$B$8:$B$1000=$B17)*'ANALYSE - ERP =&gt; SOUS-SEGMENT'!$Q$8:$Q$1000*'ANALYSE - ERP =&gt; SOUS-SEGMENT'!$FH$8:$FH$1000),""))</f>
        <v>0.49010418931905936</v>
      </c>
      <c r="JP17" s="742">
        <f>IF($B17="","",IFERROR(SUMPRODUCT(('ANALYSE - ERP =&gt; SOUS-SEGMENT'!$B$8:$B$1000=$B17)*'ANALYSE - ERP =&gt; SOUS-SEGMENT'!$Q$8:$Q$1000*'ANALYSE - ERP =&gt; SOUS-SEGMENT'!$FH$8:$FH$1000*'ANALYSE - ERP =&gt; SOUS-SEGMENT'!$JP$8:$JP$1000)/SUMPRODUCT(('ANALYSE - ERP =&gt; SOUS-SEGMENT'!$B$8:$B$1000=$B17)*'ANALYSE - ERP =&gt; SOUS-SEGMENT'!$Q$8:$Q$1000*'ANALYSE - ERP =&gt; SOUS-SEGMENT'!$FH$8:$FH$1000),""))</f>
        <v>0.32873096589235645</v>
      </c>
      <c r="JQ17" s="742">
        <f>IF($B17="","",IFERROR(SUMPRODUCT(('ANALYSE - ERP =&gt; SOUS-SEGMENT'!$B$8:$B$1000=$B17)*'ANALYSE - ERP =&gt; SOUS-SEGMENT'!$Q$8:$Q$1000*'ANALYSE - ERP =&gt; SOUS-SEGMENT'!$FH$8:$FH$1000*'ANALYSE - ERP =&gt; SOUS-SEGMENT'!$JQ$8:$JQ$1000)/SUMPRODUCT(('ANALYSE - ERP =&gt; SOUS-SEGMENT'!$B$8:$B$1000=$B17)*'ANALYSE - ERP =&gt; SOUS-SEGMENT'!$Q$8:$Q$1000*'ANALYSE - ERP =&gt; SOUS-SEGMENT'!$FH$8:$FH$1000),""))</f>
        <v>0.10317567070387065</v>
      </c>
      <c r="JR17" s="742">
        <f>IF($B17="","",IFERROR(SUMPRODUCT(('ANALYSE - ERP =&gt; SOUS-SEGMENT'!$B$8:$B$1000=$B17)*'ANALYSE - ERP =&gt; SOUS-SEGMENT'!$Q$8:$Q$1000*'ANALYSE - ERP =&gt; SOUS-SEGMENT'!$FH$8:$FH$1000*'ANALYSE - ERP =&gt; SOUS-SEGMENT'!$JR$8:$JR$1000)/SUMPRODUCT(('ANALYSE - ERP =&gt; SOUS-SEGMENT'!$B$8:$B$1000=$B17)*'ANALYSE - ERP =&gt; SOUS-SEGMENT'!$Q$8:$Q$1000*'ANALYSE - ERP =&gt; SOUS-SEGMENT'!$FH$8:$FH$1000),""))</f>
        <v>2.1493258756287815E-2</v>
      </c>
      <c r="JS17" s="742">
        <f>IF($B17="","",IFERROR(SUMPRODUCT(('ANALYSE - ERP =&gt; SOUS-SEGMENT'!$B$8:$B$1000=$B17)*'ANALYSE - ERP =&gt; SOUS-SEGMENT'!$Q$8:$Q$1000*'ANALYSE - ERP =&gt; SOUS-SEGMENT'!$BH$8:$BH$1000*'ANALYSE - ERP =&gt; SOUS-SEGMENT'!$JS$8:$JS$1000)/SUMPRODUCT(('ANALYSE - ERP =&gt; SOUS-SEGMENT'!$B$8:$B$1000=$B17)*'ANALYSE - ERP =&gt; SOUS-SEGMENT'!$Q$8:$Q$1000*'ANALYSE - ERP =&gt; SOUS-SEGMENT'!$BH$8:$BH$1000),""))</f>
        <v>6.382050845709572E-2</v>
      </c>
      <c r="JT17" s="742">
        <f>IF($B17="","",IFERROR(SUMPRODUCT(('ANALYSE - ERP =&gt; SOUS-SEGMENT'!$B$8:$B$1000=$B17)*'ANALYSE - ERP =&gt; SOUS-SEGMENT'!$Q$8:$Q$1000*'ANALYSE - ERP =&gt; SOUS-SEGMENT'!$BH$8:$BH$1000*'ANALYSE - ERP =&gt; SOUS-SEGMENT'!$JT$8:$JT$1000)/SUMPRODUCT(('ANALYSE - ERP =&gt; SOUS-SEGMENT'!$B$8:$B$1000=$B17)*'ANALYSE - ERP =&gt; SOUS-SEGMENT'!$Q$8:$Q$1000*'ANALYSE - ERP =&gt; SOUS-SEGMENT'!$BH$8:$BH$1000),""))</f>
        <v>0.46288681157178219</v>
      </c>
      <c r="JU17" s="742">
        <f>IF($B17="","",IFERROR(SUMPRODUCT(('ANALYSE - ERP =&gt; SOUS-SEGMENT'!$B$8:$B$1000=$B17)*'ANALYSE - ERP =&gt; SOUS-SEGMENT'!$Q$8:$Q$1000*'ANALYSE - ERP =&gt; SOUS-SEGMENT'!$BH$8:$BH$1000*'ANALYSE - ERP =&gt; SOUS-SEGMENT'!$JU$8:$JU$1000)/SUMPRODUCT(('ANALYSE - ERP =&gt; SOUS-SEGMENT'!$B$8:$B$1000=$B17)*'ANALYSE - ERP =&gt; SOUS-SEGMENT'!$Q$8:$Q$1000*'ANALYSE - ERP =&gt; SOUS-SEGMENT'!$BH$8:$BH$1000),""))</f>
        <v>0.38110406353135312</v>
      </c>
      <c r="JV17" s="742">
        <f>IF($B17="","",IFERROR(SUMPRODUCT(('ANALYSE - ERP =&gt; SOUS-SEGMENT'!$B$8:$B$1000=$B17)*'ANALYSE - ERP =&gt; SOUS-SEGMENT'!$Q$8:$Q$1000*'ANALYSE - ERP =&gt; SOUS-SEGMENT'!$BH$8:$BH$1000*'ANALYSE - ERP =&gt; SOUS-SEGMENT'!$JV$8:$JV$1000)/SUMPRODUCT(('ANALYSE - ERP =&gt; SOUS-SEGMENT'!$B$8:$B$1000=$B17)*'ANALYSE - ERP =&gt; SOUS-SEGMENT'!$Q$8:$Q$1000*'ANALYSE - ERP =&gt; SOUS-SEGMENT'!$BH$8:$BH$1000),""))</f>
        <v>8.1549541047854779E-2</v>
      </c>
      <c r="JW17" s="742">
        <f>IF($B17="","",IFERROR(SUMPRODUCT(('ANALYSE - ERP =&gt; SOUS-SEGMENT'!$B$8:$B$1000=$B17)*'ANALYSE - ERP =&gt; SOUS-SEGMENT'!$Q$8:$Q$1000*'ANALYSE - ERP =&gt; SOUS-SEGMENT'!$BH$8:$BH$1000*'ANALYSE - ERP =&gt; SOUS-SEGMENT'!$JW$8:$JW$1000)/SUMPRODUCT(('ANALYSE - ERP =&gt; SOUS-SEGMENT'!$B$8:$B$1000=$B17)*'ANALYSE - ERP =&gt; SOUS-SEGMENT'!$Q$8:$Q$1000*'ANALYSE - ERP =&gt; SOUS-SEGMENT'!$BH$8:$BH$1000),""))</f>
        <v>1.0639075391914192E-2</v>
      </c>
      <c r="JX17" s="742">
        <f>IF($B17="","",IFERROR(SUMPRODUCT(('ANALYSE - ERP =&gt; SOUS-SEGMENT'!$B$8:$B$1000=$B17)*'ANALYSE - ERP =&gt; SOUS-SEGMENT'!$Q$8:$Q$1000*'ANALYSE - ERP =&gt; SOUS-SEGMENT'!$FK$8:$FK$1000*'ANALYSE - ERP =&gt; SOUS-SEGMENT'!$JX$8:$JX$1000)/SUMPRODUCT(('ANALYSE - ERP =&gt; SOUS-SEGMENT'!$B$8:$B$1000=$B17)*'ANALYSE - ERP =&gt; SOUS-SEGMENT'!$Q$8:$Q$1000*'ANALYSE - ERP =&gt; SOUS-SEGMENT'!$FK$8:$FK$1000),""))</f>
        <v>3.9230749767689914E-2</v>
      </c>
      <c r="JY17" s="742">
        <f>IF($B17="","",IFERROR(SUMPRODUCT(('ANALYSE - ERP =&gt; SOUS-SEGMENT'!$B$8:$B$1000=$B17)*'ANALYSE - ERP =&gt; SOUS-SEGMENT'!$Q$8:$Q$1000*'ANALYSE - ERP =&gt; SOUS-SEGMENT'!$FK$8:$FK$1000*'ANALYSE - ERP =&gt; SOUS-SEGMENT'!$JY$8:$JY$1000)/SUMPRODUCT(('ANALYSE - ERP =&gt; SOUS-SEGMENT'!$B$8:$B$1000=$B17)*'ANALYSE - ERP =&gt; SOUS-SEGMENT'!$Q$8:$Q$1000*'ANALYSE - ERP =&gt; SOUS-SEGMENT'!$FK$8:$FK$1000),""))</f>
        <v>0.42368365460921659</v>
      </c>
      <c r="JZ17" s="742">
        <f>IF($B17="","",IFERROR(SUMPRODUCT(('ANALYSE - ERP =&gt; SOUS-SEGMENT'!$B$8:$B$1000=$B17)*'ANALYSE - ERP =&gt; SOUS-SEGMENT'!$Q$8:$Q$1000*'ANALYSE - ERP =&gt; SOUS-SEGMENT'!$FK$8:$FK$1000*'ANALYSE - ERP =&gt; SOUS-SEGMENT'!$JZ$8:$JZ$1000)/SUMPRODUCT(('ANALYSE - ERP =&gt; SOUS-SEGMENT'!$B$8:$B$1000=$B17)*'ANALYSE - ERP =&gt; SOUS-SEGMENT'!$Q$8:$Q$1000*'ANALYSE - ERP =&gt; SOUS-SEGMENT'!$FK$8:$FK$1000),""))</f>
        <v>0.40044634170502691</v>
      </c>
      <c r="KA17" s="742">
        <f>IF($B17="","",IFERROR(SUMPRODUCT(('ANALYSE - ERP =&gt; SOUS-SEGMENT'!$B$8:$B$1000=$B17)*'ANALYSE - ERP =&gt; SOUS-SEGMENT'!$Q$8:$Q$1000*'ANALYSE - ERP =&gt; SOUS-SEGMENT'!$FK$8:$FK$1000*'ANALYSE - ERP =&gt; SOUS-SEGMENT'!$KA$8:$KA$1000)/SUMPRODUCT(('ANALYSE - ERP =&gt; SOUS-SEGMENT'!$B$8:$B$1000=$B17)*'ANALYSE - ERP =&gt; SOUS-SEGMENT'!$Q$8:$Q$1000*'ANALYSE - ERP =&gt; SOUS-SEGMENT'!$FK$8:$FK$1000),""))</f>
        <v>0.1128621981284275</v>
      </c>
      <c r="KB17" s="742">
        <f>IF($B17="","",IFERROR(SUMPRODUCT(('ANALYSE - ERP =&gt; SOUS-SEGMENT'!$B$8:$B$1000=$B17)*'ANALYSE - ERP =&gt; SOUS-SEGMENT'!$Q$8:$Q$1000*'ANALYSE - ERP =&gt; SOUS-SEGMENT'!$FK$8:$FK$1000*'ANALYSE - ERP =&gt; SOUS-SEGMENT'!$KB$8:$KB$1000)/SUMPRODUCT(('ANALYSE - ERP =&gt; SOUS-SEGMENT'!$B$8:$B$1000=$B17)*'ANALYSE - ERP =&gt; SOUS-SEGMENT'!$Q$8:$Q$1000*'ANALYSE - ERP =&gt; SOUS-SEGMENT'!$FK$8:$FK$1000),""))</f>
        <v>2.3777055789639068E-2</v>
      </c>
      <c r="KC17" s="657"/>
      <c r="KD17" s="924" t="s">
        <v>2590</v>
      </c>
      <c r="KE17" s="924" t="s">
        <v>6657</v>
      </c>
      <c r="KF17" s="869">
        <f>IF($B17="","",IFERROR(SUMPRODUCT(('ANALYSE - ERP =&gt; SOUS-SEGMENT'!$B$8:$B$1000=$B17)*'ANALYSE - ERP =&gt; SOUS-SEGMENT'!$Q$8:$Q$1000*'ANALYSE - ERP =&gt; SOUS-SEGMENT'!$IE$8:$IE$1000*'ANALYSE - ERP =&gt; SOUS-SEGMENT'!$KF$8:$KF$1000)/SUMPRODUCT(('ANALYSE - ERP =&gt; SOUS-SEGMENT'!$B$8:$B$1000=$B17)*'ANALYSE - ERP =&gt; SOUS-SEGMENT'!$Q$8:$Q$1000*'ANALYSE - ERP =&gt; SOUS-SEGMENT'!$IE$8:$IE$1000),""))</f>
        <v>4.1295000626350076</v>
      </c>
      <c r="KG17" s="924" t="s">
        <v>2589</v>
      </c>
      <c r="KH17" s="924" t="s">
        <v>6658</v>
      </c>
      <c r="KI17" s="924" t="s">
        <v>6659</v>
      </c>
      <c r="KJ17" s="924" t="s">
        <v>6660</v>
      </c>
    </row>
    <row r="18" spans="1:296" ht="224.1" customHeight="1">
      <c r="A18" s="951">
        <f>IF($B18="","",ROWS($A$8:A18))</f>
        <v>11</v>
      </c>
      <c r="B18" s="952" t="s">
        <v>4908</v>
      </c>
      <c r="C18" s="952" t="s">
        <v>6661</v>
      </c>
      <c r="D18" s="952" t="s">
        <v>6662</v>
      </c>
      <c r="E18" s="646" t="s">
        <v>6663</v>
      </c>
      <c r="F18" s="646" t="s">
        <v>6664</v>
      </c>
      <c r="G18" s="646" t="s">
        <v>6665</v>
      </c>
      <c r="H18" s="646" t="s">
        <v>6666</v>
      </c>
      <c r="I18" s="646" t="s">
        <v>6667</v>
      </c>
      <c r="J18" s="646" t="s">
        <v>6668</v>
      </c>
      <c r="K18" s="646" t="s">
        <v>6669</v>
      </c>
      <c r="L18" s="646" t="s">
        <v>2109</v>
      </c>
      <c r="M18" s="646" t="s">
        <v>6670</v>
      </c>
      <c r="N18" s="646" t="s">
        <v>6671</v>
      </c>
      <c r="O18" s="646" t="s">
        <v>2616</v>
      </c>
      <c r="P18" s="646" t="s">
        <v>6133</v>
      </c>
      <c r="Q18" s="270">
        <f>IF($B18="","",IF(SUMIFS('ANALYSE - ERP =&gt; SOUS-SEGMENT'!$Q$8:$Q$1000,'ANALYSE - ERP =&gt; SOUS-SEGMENT'!$B$8:$B$1000,$B18)&gt;0,1,0))</f>
        <v>1</v>
      </c>
      <c r="R18" s="278">
        <f>IF($B18="","",IFERROR(SUMPRODUCT(('ANALYSE - ERP =&gt; SOUS-SEGMENT'!$B$8:$B$1000=$B18)*'ANALYSE - ERP =&gt; SOUS-SEGMENT'!$Q$8:$Q$1000*'ANALYSE - ERP =&gt; SOUS-SEGMENT'!$AF$8:$AF$1000*'ANALYSE - ERP =&gt; SOUS-SEGMENT'!$R$8:$R$1000)/SUMPRODUCT(('ANALYSE - ERP =&gt; SOUS-SEGMENT'!$B$8:$B$1000=$B18)*'ANALYSE - ERP =&gt; SOUS-SEGMENT'!$Q$8:$Q$1000*'ANALYSE - ERP =&gt; SOUS-SEGMENT'!$AF$8:$AF$1000),""))</f>
        <v>2384.1286307053942</v>
      </c>
      <c r="S18" s="279">
        <f>IF($B18="","",SUMPRODUCT(('ANALYSE - ERP =&gt; SOUS-SEGMENT'!$B$8:$B$1000=$B18)*'ANALYSE - ERP =&gt; SOUS-SEGMENT'!$Q$8:$Q$1000*'ANALYSE - ERP =&gt; SOUS-SEGMENT'!$S$8:$S$1000))</f>
        <v>2511</v>
      </c>
      <c r="T18" s="279">
        <f>IF($B18="","",SUMPRODUCT(('ANALYSE - ERP =&gt; SOUS-SEGMENT'!$B$8:$B$1000=$B18)*'ANALYSE - ERP =&gt; SOUS-SEGMENT'!$Q$8:$Q$1000*'ANALYSE - ERP =&gt; SOUS-SEGMENT'!$T$8:$T$1000))</f>
        <v>2556</v>
      </c>
      <c r="U18" s="279">
        <f>IF($B18="","",SUMPRODUCT(('ANALYSE - ERP =&gt; SOUS-SEGMENT'!$B$8:$B$1000=$B18)*'ANALYSE - ERP =&gt; SOUS-SEGMENT'!$Q$8:$Q$1000*'ANALYSE - ERP =&gt; SOUS-SEGMENT'!$U$8:$U$1000))</f>
        <v>2418</v>
      </c>
      <c r="V18" s="279">
        <f>IF($B18="","",SUMPRODUCT(('ANALYSE - ERP =&gt; SOUS-SEGMENT'!$B$8:$B$1000=$B18)*'ANALYSE - ERP =&gt; SOUS-SEGMENT'!$Q$8:$Q$1000*'ANALYSE - ERP =&gt; SOUS-SEGMENT'!$V$8:$V$1000))</f>
        <v>2386</v>
      </c>
      <c r="W18" s="279">
        <f>IF($B18="","",SUMPRODUCT(('ANALYSE - ERP =&gt; SOUS-SEGMENT'!$B$8:$B$1000=$B18)*'ANALYSE - ERP =&gt; SOUS-SEGMENT'!$Q$8:$Q$1000*'ANALYSE - ERP =&gt; SOUS-SEGMENT'!$W$8:$W$1000))</f>
        <v>2383</v>
      </c>
      <c r="X18" s="279">
        <f>IF($B18="","",SUMPRODUCT(('ANALYSE - ERP =&gt; SOUS-SEGMENT'!$B$8:$B$1000=$B18)*'ANALYSE - ERP =&gt; SOUS-SEGMENT'!$Q$8:$Q$1000*'ANALYSE - ERP =&gt; SOUS-SEGMENT'!$X$8:$X$1000))</f>
        <v>2381</v>
      </c>
      <c r="Y18" s="279">
        <f>IF($B18="","",SUMPRODUCT(('ANALYSE - ERP =&gt; SOUS-SEGMENT'!$B$8:$B$1000=$B18)*'ANALYSE - ERP =&gt; SOUS-SEGMENT'!$Q$8:$Q$1000*'ANALYSE - ERP =&gt; SOUS-SEGMENT'!$Y$8:$Y$1000))</f>
        <v>2378</v>
      </c>
      <c r="Z18" s="279">
        <f>IF($B18="","",SUMPRODUCT(('ANALYSE - ERP =&gt; SOUS-SEGMENT'!$B$8:$B$1000=$B18)*'ANALYSE - ERP =&gt; SOUS-SEGMENT'!$Q$8:$Q$1000*'ANALYSE - ERP =&gt; SOUS-SEGMENT'!$Z$8:$Z$1000))</f>
        <v>2378</v>
      </c>
      <c r="AA18" s="279">
        <f>IF($B18="","",SUMPRODUCT(('ANALYSE - ERP =&gt; SOUS-SEGMENT'!$B$8:$B$1000=$B18)*'ANALYSE - ERP =&gt; SOUS-SEGMENT'!$Q$8:$Q$1000*'ANALYSE - ERP =&gt; SOUS-SEGMENT'!$AA$8:$AA$1000))</f>
        <v>2378</v>
      </c>
      <c r="AB18" s="279">
        <f>IF($B18="","",SUMPRODUCT(('ANALYSE - ERP =&gt; SOUS-SEGMENT'!$B$8:$B$1000=$B18)*'ANALYSE - ERP =&gt; SOUS-SEGMENT'!$Q$8:$Q$1000*'ANALYSE - ERP =&gt; SOUS-SEGMENT'!$AB$8:$AB$1000))</f>
        <v>2383</v>
      </c>
      <c r="AC18" s="279">
        <f>IF($B18="","",SUMPRODUCT(('ANALYSE - ERP =&gt; SOUS-SEGMENT'!$B$8:$B$1000=$B18)*'ANALYSE - ERP =&gt; SOUS-SEGMENT'!$Q$8:$Q$1000*'ANALYSE - ERP =&gt; SOUS-SEGMENT'!$AC$8:$AC$1000))</f>
        <v>2389</v>
      </c>
      <c r="AD18" s="279">
        <f>IF($B18="","",SUMPRODUCT(('ANALYSE - ERP =&gt; SOUS-SEGMENT'!$B$8:$B$1000=$B18)*'ANALYSE - ERP =&gt; SOUS-SEGMENT'!$Q$8:$Q$1000*'ANALYSE - ERP =&gt; SOUS-SEGMENT'!$AD$8:$AD$1000))</f>
        <v>2395</v>
      </c>
      <c r="AE18" s="279">
        <f>IF($B18="","",SUMPRODUCT(('ANALYSE - ERP =&gt; SOUS-SEGMENT'!$B$8:$B$1000=$B18)*'ANALYSE - ERP =&gt; SOUS-SEGMENT'!$Q$8:$Q$1000*'ANALYSE - ERP =&gt; SOUS-SEGMENT'!$AE$8:$AE$1000))</f>
        <v>2404</v>
      </c>
      <c r="AF18" s="279">
        <f>IF($B18="","",SUMPRODUCT(('ANALYSE - ERP =&gt; SOUS-SEGMENT'!$B$8:$B$1000=$B18)*'ANALYSE - ERP =&gt; SOUS-SEGMENT'!$Q$8:$Q$1000*'ANALYSE - ERP =&gt; SOUS-SEGMENT'!$AF$8:$AF$1000))</f>
        <v>2410</v>
      </c>
      <c r="AG18" s="279">
        <f>IF($B18="","",SUMPRODUCT(('ANALYSE - ERP =&gt; SOUS-SEGMENT'!$B$8:$B$1000=$B18)*'ANALYSE - ERP =&gt; SOUS-SEGMENT'!$Q$8:$Q$1000*'ANALYSE - ERP =&gt; SOUS-SEGMENT'!$AG$8:$AG$1000))</f>
        <v>2416</v>
      </c>
      <c r="AH18" s="279">
        <f>IF($B18="","",SUMPRODUCT(('ANALYSE - ERP =&gt; SOUS-SEGMENT'!$B$8:$B$1000=$B18)*'ANALYSE - ERP =&gt; SOUS-SEGMENT'!$Q$8:$Q$1000*'ANALYSE - ERP =&gt; SOUS-SEGMENT'!$AH$8:$AH$1000))</f>
        <v>2420</v>
      </c>
      <c r="AI18" s="279">
        <f>IF($B18="","",SUMPRODUCT(('ANALYSE - ERP =&gt; SOUS-SEGMENT'!$B$8:$B$1000=$B18)*'ANALYSE - ERP =&gt; SOUS-SEGMENT'!$Q$8:$Q$1000*'ANALYSE - ERP =&gt; SOUS-SEGMENT'!$AI$8:$AI$1000))</f>
        <v>2425</v>
      </c>
      <c r="AJ18" s="279">
        <f>IF($B18="","",SUMPRODUCT(('ANALYSE - ERP =&gt; SOUS-SEGMENT'!$B$8:$B$1000=$B18)*'ANALYSE - ERP =&gt; SOUS-SEGMENT'!$Q$8:$Q$1000*'ANALYSE - ERP =&gt; SOUS-SEGMENT'!$AJ$8:$AJ$1000))</f>
        <v>2429</v>
      </c>
      <c r="AK18" s="279">
        <f>IF($B18="","",SUMPRODUCT(('ANALYSE - ERP =&gt; SOUS-SEGMENT'!$B$8:$B$1000=$B18)*'ANALYSE - ERP =&gt; SOUS-SEGMENT'!$Q$8:$Q$1000*'ANALYSE - ERP =&gt; SOUS-SEGMENT'!$AK$8:$AK$1000))</f>
        <v>2435</v>
      </c>
      <c r="AL18" s="646" t="s">
        <v>6672</v>
      </c>
      <c r="AM18" s="646" t="s">
        <v>6673</v>
      </c>
      <c r="AN18" s="646" t="s">
        <v>6674</v>
      </c>
      <c r="AO18" s="657"/>
      <c r="AP18" s="278">
        <f>IF($B18="","",IFERROR(SUMPRODUCT(('ANALYSE - ERP =&gt; SOUS-SEGMENT'!$B$8:$B$1000=$B18)*'ANALYSE - ERP =&gt; SOUS-SEGMENT'!$Q$8:$Q$1000*'ANALYSE - ERP =&gt; SOUS-SEGMENT'!$AF$8:$AF$1000*'ANALYSE - ERP =&gt; SOUS-SEGMENT'!$AP$8:$AP$1000)/SUMPRODUCT(('ANALYSE - ERP =&gt; SOUS-SEGMENT'!$B$8:$B$1000=$B18)*'ANALYSE - ERP =&gt; SOUS-SEGMENT'!$Q$8:$Q$1000*'ANALYSE - ERP =&gt; SOUS-SEGMENT'!$AF$8:$AF$1000),""))</f>
        <v>156.70124481327801</v>
      </c>
      <c r="AQ18" s="278">
        <f>IF($B18="","",IFERROR(SUMPRODUCT(('ANALYSE - ERP =&gt; SOUS-SEGMENT'!$B$8:$B$1000=$B18)*'ANALYSE - ERP =&gt; SOUS-SEGMENT'!$Q$8:$Q$1000*'ANALYSE - ERP =&gt; SOUS-SEGMENT'!$AF$8:$AF$1000*'ANALYSE - ERP =&gt; SOUS-SEGMENT'!$AQ$8:$AQ$1000)/SUMPRODUCT(('ANALYSE - ERP =&gt; SOUS-SEGMENT'!$B$8:$B$1000=$B18)*'ANALYSE - ERP =&gt; SOUS-SEGMENT'!$Q$8:$Q$1000*'ANALYSE - ERP =&gt; SOUS-SEGMENT'!$AF$8:$AF$1000),""))</f>
        <v>109.02863070539419</v>
      </c>
      <c r="AR18" s="278">
        <f>IF($B18="","",IFERROR(SUMPRODUCT(('ANALYSE - ERP =&gt; SOUS-SEGMENT'!$B$8:$B$1000=$B18)*'ANALYSE - ERP =&gt; SOUS-SEGMENT'!$Q$8:$Q$1000*'ANALYSE - ERP =&gt; SOUS-SEGMENT'!$AF$8:$AF$1000*'ANALYSE - ERP =&gt; SOUS-SEGMENT'!$AR$8:$AR$1000)/SUMPRODUCT(('ANALYSE - ERP =&gt; SOUS-SEGMENT'!$B$8:$B$1000=$B18)*'ANALYSE - ERP =&gt; SOUS-SEGMENT'!$Q$8:$Q$1000*'ANALYSE - ERP =&gt; SOUS-SEGMENT'!$AF$8:$AF$1000),""))</f>
        <v>36.531950207468881</v>
      </c>
      <c r="AS18" s="278">
        <f>IF($B18="","",IFERROR(SUMPRODUCT(('ANALYSE - ERP =&gt; SOUS-SEGMENT'!$B$8:$B$1000=$B18)*'ANALYSE - ERP =&gt; SOUS-SEGMENT'!$Q$8:$Q$1000*'ANALYSE - ERP =&gt; SOUS-SEGMENT'!$AF$8:$AF$1000*'ANALYSE - ERP =&gt; SOUS-SEGMENT'!$AS$8:$AS$1000)/SUMPRODUCT(('ANALYSE - ERP =&gt; SOUS-SEGMENT'!$B$8:$B$1000=$B18)*'ANALYSE - ERP =&gt; SOUS-SEGMENT'!$Q$8:$Q$1000*'ANALYSE - ERP =&gt; SOUS-SEGMENT'!$AF$8:$AF$1000),""))</f>
        <v>11.140663900414937</v>
      </c>
      <c r="AT18" s="657"/>
      <c r="AU18" s="646" t="s">
        <v>6675</v>
      </c>
      <c r="AV18" s="646" t="s">
        <v>6676</v>
      </c>
      <c r="AW18" s="646" t="s">
        <v>6677</v>
      </c>
      <c r="AX18" s="646" t="s">
        <v>6678</v>
      </c>
      <c r="AY18" s="657"/>
      <c r="AZ18" s="947">
        <f>IF($B18="","",IFERROR(SUMPRODUCT(('ANALYSE - ERP =&gt; SOUS-SEGMENT'!$B$8:$B$1000=$B18)*'ANALYSE - ERP =&gt; SOUS-SEGMENT'!$Q$8:$Q$1000*'ANALYSE - ERP =&gt; SOUS-SEGMENT'!$AF$8:$AF$1000*'ANALYSE - ERP =&gt; SOUS-SEGMENT'!$AZ$8:$AZ$1000)/SUMPRODUCT(('ANALYSE - ERP =&gt; SOUS-SEGMENT'!$B$8:$B$1000=$B18)*'ANALYSE - ERP =&gt; SOUS-SEGMENT'!$Q$8:$Q$1000*'ANALYSE - ERP =&gt; SOUS-SEGMENT'!$AF$8:$AF$1000),""))</f>
        <v>22.758506224066391</v>
      </c>
      <c r="BA18" s="947">
        <f>IF($B18="","",IFERROR(SUMPRODUCT(('ANALYSE - ERP =&gt; SOUS-SEGMENT'!$B$8:$B$1000=$B18)*'ANALYSE - ERP =&gt; SOUS-SEGMENT'!$Q$8:$Q$1000*'ANALYSE - ERP =&gt; SOUS-SEGMENT'!$AF$8:$AF$1000*'ANALYSE - ERP =&gt; SOUS-SEGMENT'!$BA$8:$BA$1000)/SUMPRODUCT(('ANALYSE - ERP =&gt; SOUS-SEGMENT'!$B$8:$B$1000=$B18)*'ANALYSE - ERP =&gt; SOUS-SEGMENT'!$Q$8:$Q$1000*'ANALYSE - ERP =&gt; SOUS-SEGMENT'!$AF$8:$AF$1000),""))</f>
        <v>5.2074688796680499</v>
      </c>
      <c r="BB18" s="947">
        <f>IF($B18="","",IFERROR(SUMPRODUCT(('ANALYSE - ERP =&gt; SOUS-SEGMENT'!$B$8:$B$1000=$B18)*'ANALYSE - ERP =&gt; SOUS-SEGMENT'!$Q$8:$Q$1000*'ANALYSE - ERP =&gt; SOUS-SEGMENT'!$AF$8:$AF$1000*'ANALYSE - ERP =&gt; SOUS-SEGMENT'!$BB$8:$BB$1000)/SUMPRODUCT(('ANALYSE - ERP =&gt; SOUS-SEGMENT'!$B$8:$B$1000=$B18)*'ANALYSE - ERP =&gt; SOUS-SEGMENT'!$Q$8:$Q$1000*'ANALYSE - ERP =&gt; SOUS-SEGMENT'!$AF$8:$AF$1000),""))</f>
        <v>1.6018672199170125</v>
      </c>
      <c r="BC18" s="947">
        <f>IF($B18="","",IFERROR(SUMPRODUCT(('ANALYSE - ERP =&gt; SOUS-SEGMENT'!$B$8:$B$1000=$B18)*'ANALYSE - ERP =&gt; SOUS-SEGMENT'!$Q$8:$Q$1000*'ANALYSE - ERP =&gt; SOUS-SEGMENT'!$AF$8:$AF$1000*'ANALYSE - ERP =&gt; SOUS-SEGMENT'!$BC$8:$BC$1000)/SUMPRODUCT(('ANALYSE - ERP =&gt; SOUS-SEGMENT'!$B$8:$B$1000=$B18)*'ANALYSE - ERP =&gt; SOUS-SEGMENT'!$Q$8:$Q$1000*'ANALYSE - ERP =&gt; SOUS-SEGMENT'!$AF$8:$AF$1000),""))</f>
        <v>21.176348547717843</v>
      </c>
      <c r="BD18" s="826">
        <f t="shared" si="1"/>
        <v>122293.5</v>
      </c>
      <c r="BE18" s="283">
        <f>IF($B18="","",SUMPRODUCT(('ANALYSE - ERP =&gt; SOUS-SEGMENT'!$B$8:$B$1000=$B18)*'ANALYSE - ERP =&gt; SOUS-SEGMENT'!$Q$8:$Q$1000*'ANALYSE - ERP =&gt; SOUS-SEGMENT'!$BE$8:$BE$1000))</f>
        <v>54848</v>
      </c>
      <c r="BF18" s="283">
        <f>IF($B18="","",SUMPRODUCT(('ANALYSE - ERP =&gt; SOUS-SEGMENT'!$B$8:$B$1000=$B18)*'ANALYSE - ERP =&gt; SOUS-SEGMENT'!$Q$8:$Q$1000*'ANALYSE - ERP =&gt; SOUS-SEGMENT'!$BF$8:$BF$1000))</f>
        <v>12550</v>
      </c>
      <c r="BG18" s="283">
        <f>IF($B18="","",SUMPRODUCT(('ANALYSE - ERP =&gt; SOUS-SEGMENT'!$B$8:$B$1000=$B18)*'ANALYSE - ERP =&gt; SOUS-SEGMENT'!$Q$8:$Q$1000*'ANALYSE - ERP =&gt; SOUS-SEGMENT'!$BG$8:$BG$1000))</f>
        <v>3860.5</v>
      </c>
      <c r="BH18" s="283">
        <f>IF($B18="","",SUMPRODUCT(('ANALYSE - ERP =&gt; SOUS-SEGMENT'!$B$8:$B$1000=$B18)*'ANALYSE - ERP =&gt; SOUS-SEGMENT'!$Q$8:$Q$1000*'ANALYSE - ERP =&gt; SOUS-SEGMENT'!$BH$8:$BH$1000))</f>
        <v>51035</v>
      </c>
      <c r="BI18" s="826">
        <f t="shared" si="2"/>
        <v>125156.5</v>
      </c>
      <c r="BJ18" s="283">
        <f>IF($B18="","",SUMPRODUCT(('ANALYSE - ERP =&gt; SOUS-SEGMENT'!$B$8:$B$1000=$B18)*'ANALYSE - ERP =&gt; SOUS-SEGMENT'!$Q$8:$Q$1000*'ANALYSE - ERP =&gt; SOUS-SEGMENT'!$BJ$8:$BJ$1000))</f>
        <v>56039</v>
      </c>
      <c r="BK18" s="283">
        <f>IF($B18="","",SUMPRODUCT(('ANALYSE - ERP =&gt; SOUS-SEGMENT'!$B$8:$B$1000=$B18)*'ANALYSE - ERP =&gt; SOUS-SEGMENT'!$Q$8:$Q$1000*'ANALYSE - ERP =&gt; SOUS-SEGMENT'!$BK$8:$BK$1000))</f>
        <v>13065</v>
      </c>
      <c r="BL18" s="283">
        <f>IF($B18="","",SUMPRODUCT(('ANALYSE - ERP =&gt; SOUS-SEGMENT'!$B$8:$B$1000=$B18)*'ANALYSE - ERP =&gt; SOUS-SEGMENT'!$Q$8:$Q$1000*'ANALYSE - ERP =&gt; SOUS-SEGMENT'!$BL$8:$BL$1000))</f>
        <v>3926.5</v>
      </c>
      <c r="BM18" s="283">
        <f>IF($B18="","",SUMPRODUCT(('ANALYSE - ERP =&gt; SOUS-SEGMENT'!$B$8:$B$1000=$B18)*'ANALYSE - ERP =&gt; SOUS-SEGMENT'!$Q$8:$Q$1000*'ANALYSE - ERP =&gt; SOUS-SEGMENT'!$BM$8:$BM$1000))</f>
        <v>52126</v>
      </c>
      <c r="BN18" s="657"/>
      <c r="BO18" s="305">
        <f t="shared" si="3"/>
        <v>6.6965431738623099E-2</v>
      </c>
      <c r="BP18" s="305">
        <f t="shared" si="4"/>
        <v>0.6837583868144691</v>
      </c>
      <c r="BQ18" s="305">
        <f t="shared" si="5"/>
        <v>3.7949059218203039E-2</v>
      </c>
      <c r="BR18" s="581">
        <f t="shared" si="6"/>
        <v>0.21132712222870476</v>
      </c>
      <c r="BS18" s="706">
        <f t="shared" si="7"/>
        <v>6.1538571352094083E-2</v>
      </c>
      <c r="BT18" s="305">
        <f t="shared" si="8"/>
        <v>0.67699744820571395</v>
      </c>
      <c r="BU18" s="305">
        <f t="shared" si="9"/>
        <v>5.1788397366120023E-2</v>
      </c>
      <c r="BV18" s="581">
        <f t="shared" si="10"/>
        <v>0.20967558307607204</v>
      </c>
      <c r="BW18" s="713">
        <f t="shared" si="11"/>
        <v>0.32398804780876495</v>
      </c>
      <c r="BX18" s="306">
        <f t="shared" si="12"/>
        <v>0.65837051792828682</v>
      </c>
      <c r="BY18" s="590">
        <f t="shared" si="13"/>
        <v>1.7641434262948209E-2</v>
      </c>
      <c r="BZ18" s="713">
        <f t="shared" si="14"/>
        <v>0.29505396096440872</v>
      </c>
      <c r="CA18" s="306">
        <f t="shared" si="15"/>
        <v>0.68005051664753158</v>
      </c>
      <c r="CB18" s="590">
        <f t="shared" si="16"/>
        <v>2.4895522388059706E-2</v>
      </c>
      <c r="CC18" s="706">
        <f t="shared" si="17"/>
        <v>0.10379225488926305</v>
      </c>
      <c r="CD18" s="305">
        <f t="shared" si="18"/>
        <v>0.62514182100764148</v>
      </c>
      <c r="CE18" s="305">
        <f t="shared" si="19"/>
        <v>9.2806631265380135E-2</v>
      </c>
      <c r="CF18" s="581">
        <f t="shared" si="20"/>
        <v>0.1782592928377153</v>
      </c>
      <c r="CG18" s="706">
        <f t="shared" si="21"/>
        <v>8.9667642939004213E-2</v>
      </c>
      <c r="CH18" s="305">
        <f t="shared" si="22"/>
        <v>0.62232395262956841</v>
      </c>
      <c r="CI18" s="305">
        <f t="shared" si="23"/>
        <v>0.112960651980135</v>
      </c>
      <c r="CJ18" s="581">
        <f t="shared" si="24"/>
        <v>0.17504775245129253</v>
      </c>
      <c r="CK18" s="719">
        <f t="shared" si="25"/>
        <v>0.46706573919858912</v>
      </c>
      <c r="CL18" s="307">
        <f t="shared" si="26"/>
        <v>0.45053394729107465</v>
      </c>
      <c r="CM18" s="723">
        <f t="shared" si="27"/>
        <v>8.2400313510336054E-2</v>
      </c>
      <c r="CN18" s="719">
        <f t="shared" si="28"/>
        <v>0.41216245251889655</v>
      </c>
      <c r="CO18" s="307">
        <f t="shared" si="29"/>
        <v>0.48966254844031765</v>
      </c>
      <c r="CP18" s="723">
        <f t="shared" si="30"/>
        <v>9.8174999040785776E-2</v>
      </c>
      <c r="CQ18" s="657"/>
      <c r="CR18" s="804">
        <f>IF($B18="","",IFERROR(SUMPRODUCT(('ANALYSE - ERP =&gt; SOUS-SEGMENT'!$B$8:$B$1000=$B18)*'ANALYSE - ERP =&gt; SOUS-SEGMENT'!$Q$8:$Q$1000*'ANALYSE - ERP =&gt; SOUS-SEGMENT'!$DH$8:$DH$1000*'ANALYSE - ERP =&gt; SOUS-SEGMENT'!$CR$8:$CR$1000)/SUMPRODUCT(('ANALYSE - ERP =&gt; SOUS-SEGMENT'!$B$8:$B$1000=$B18)*'ANALYSE - ERP =&gt; SOUS-SEGMENT'!$Q$8:$Q$1000*'ANALYSE - ERP =&gt; SOUS-SEGMENT'!$DH$8:$DH$1000),""))</f>
        <v>11.470257996362568</v>
      </c>
      <c r="CS18" s="805">
        <f>IF($B18="","",IFERROR(SUMPRODUCT(('ANALYSE - ERP =&gt; SOUS-SEGMENT'!$B$8:$B$1000=$B18)*'ANALYSE - ERP =&gt; SOUS-SEGMENT'!$Q$8:$Q$1000*'ANALYSE - ERP =&gt; SOUS-SEGMENT'!$DI$8:$DI$1000*'ANALYSE - ERP =&gt; SOUS-SEGMENT'!$CS$8:$CS$1000)/SUMPRODUCT(('ANALYSE - ERP =&gt; SOUS-SEGMENT'!$B$8:$B$1000=$B18)*'ANALYSE - ERP =&gt; SOUS-SEGMENT'!$Q$8:$Q$1000*'ANALYSE - ERP =&gt; SOUS-SEGMENT'!$DI$8:$DI$1000),""))</f>
        <v>11.404778525751956</v>
      </c>
      <c r="CT18" s="805">
        <f>IF($B18="","",IFERROR(SUMPRODUCT(('ANALYSE - ERP =&gt; SOUS-SEGMENT'!$B$8:$B$1000=$B18)*'ANALYSE - ERP =&gt; SOUS-SEGMENT'!$Q$8:$Q$1000*'ANALYSE - ERP =&gt; SOUS-SEGMENT'!$DJ$8:$DJ$1000*'ANALYSE - ERP =&gt; SOUS-SEGMENT'!$CT$8:$CT$1000)/SUMPRODUCT(('ANALYSE - ERP =&gt; SOUS-SEGMENT'!$B$8:$B$1000=$B18)*'ANALYSE - ERP =&gt; SOUS-SEGMENT'!$Q$8:$Q$1000*'ANALYSE - ERP =&gt; SOUS-SEGMENT'!$DJ$8:$DJ$1000),""))</f>
        <v>9.2819071503725787</v>
      </c>
      <c r="CU18" s="806">
        <f>IF($B18="","",IFERROR(SUMPRODUCT(('ANALYSE - ERP =&gt; SOUS-SEGMENT'!$B$8:$B$1000=$B18)*'ANALYSE - ERP =&gt; SOUS-SEGMENT'!$Q$8:$Q$1000*'ANALYSE - ERP =&gt; SOUS-SEGMENT'!$DK$8:$DK$1000*'ANALYSE - ERP =&gt; SOUS-SEGMENT'!$CU$8:$CU$1000)/SUMPRODUCT(('ANALYSE - ERP =&gt; SOUS-SEGMENT'!$B$8:$B$1000=$B18)*'ANALYSE - ERP =&gt; SOUS-SEGMENT'!$Q$8:$Q$1000*'ANALYSE - ERP =&gt; SOUS-SEGMENT'!$DK$8:$DK$1000),""))</f>
        <v>9.1575343352138372</v>
      </c>
      <c r="CV18" s="804">
        <f>IF($B18="","",IFERROR(SUMPRODUCT(('ANALYSE - ERP =&gt; SOUS-SEGMENT'!$B$8:$B$1000=$B18)*'ANALYSE - ERP =&gt; SOUS-SEGMENT'!$Q$8:$Q$1000*'ANALYSE - ERP =&gt; SOUS-SEGMENT'!$DS$8:$DS$1000*'ANALYSE - ERP =&gt; SOUS-SEGMENT'!$CV$8:$CV$1000)/SUMPRODUCT(('ANALYSE - ERP =&gt; SOUS-SEGMENT'!$B$8:$B$1000=$B18)*'ANALYSE - ERP =&gt; SOUS-SEGMENT'!$Q$8:$Q$1000*'ANALYSE - ERP =&gt; SOUS-SEGMENT'!$DS$8:$DS$1000),""))</f>
        <v>10.616888626554028</v>
      </c>
      <c r="CW18" s="805">
        <f>IF($B18="","",IFERROR(SUMPRODUCT(('ANALYSE - ERP =&gt; SOUS-SEGMENT'!$B$8:$B$1000=$B18)*'ANALYSE - ERP =&gt; SOUS-SEGMENT'!$Q$8:$Q$1000*'ANALYSE - ERP =&gt; SOUS-SEGMENT'!$DT$8:$DT$1000*'ANALYSE - ERP =&gt; SOUS-SEGMENT'!$CW$8:$CW$1000)/SUMPRODUCT(('ANALYSE - ERP =&gt; SOUS-SEGMENT'!$B$8:$B$1000=$B18)*'ANALYSE - ERP =&gt; SOUS-SEGMENT'!$Q$8:$Q$1000*'ANALYSE - ERP =&gt; SOUS-SEGMENT'!$DT$8:$DT$1000),""))</f>
        <v>10.256131581654575</v>
      </c>
      <c r="CX18" s="806">
        <f>IF($B18="","",IFERROR(SUMPRODUCT(('ANALYSE - ERP =&gt; SOUS-SEGMENT'!$B$8:$B$1000=$B18)*'ANALYSE - ERP =&gt; SOUS-SEGMENT'!$Q$8:$Q$1000*'ANALYSE - ERP =&gt; SOUS-SEGMENT'!$DU$8:$DU$1000*'ANALYSE - ERP =&gt; SOUS-SEGMENT'!$CX$8:$CX$1000)/SUMPRODUCT(('ANALYSE - ERP =&gt; SOUS-SEGMENT'!$B$8:$B$1000=$B18)*'ANALYSE - ERP =&gt; SOUS-SEGMENT'!$Q$8:$Q$1000*'ANALYSE - ERP =&gt; SOUS-SEGMENT'!$DU$8:$DU$1000),""))</f>
        <v>8</v>
      </c>
      <c r="CY18" s="804">
        <f>IF($B18="","",IFERROR(SUMPRODUCT(('ANALYSE - ERP =&gt; SOUS-SEGMENT'!$B$8:$B$1000=$B18)*'ANALYSE - ERP =&gt; SOUS-SEGMENT'!$Q$8:$Q$1000*'ANALYSE - ERP =&gt; SOUS-SEGMENT'!$EB$8:$EB$1000*'ANALYSE - ERP =&gt; SOUS-SEGMENT'!$CY$8:$CY$1000)/SUMPRODUCT(('ANALYSE - ERP =&gt; SOUS-SEGMENT'!$B$8:$B$1000=$B18)*'ANALYSE - ERP =&gt; SOUS-SEGMENT'!$Q$8:$Q$1000*'ANALYSE - ERP =&gt; SOUS-SEGMENT'!$EB$8:$EB$1000),""))</f>
        <v>10.09758167161646</v>
      </c>
      <c r="CZ18" s="805">
        <f>IF($B18="","",IFERROR(SUMPRODUCT(('ANALYSE - ERP =&gt; SOUS-SEGMENT'!$B$8:$B$1000=$B18)*'ANALYSE - ERP =&gt; SOUS-SEGMENT'!$Q$8:$Q$1000*'ANALYSE - ERP =&gt; SOUS-SEGMENT'!$EC$8:$EC$1000*'ANALYSE - ERP =&gt; SOUS-SEGMENT'!$CZ$8:$CZ$1000)/SUMPRODUCT(('ANALYSE - ERP =&gt; SOUS-SEGMENT'!$B$8:$B$1000=$B18)*'ANALYSE - ERP =&gt; SOUS-SEGMENT'!$Q$8:$Q$1000*'ANALYSE - ERP =&gt; SOUS-SEGMENT'!$EC$8:$EC$1000),""))</f>
        <v>12.035137733284715</v>
      </c>
      <c r="DA18" s="805">
        <f>IF($B18="","",IFERROR(SUMPRODUCT(('ANALYSE - ERP =&gt; SOUS-SEGMENT'!$B$8:$B$1000=$B18)*'ANALYSE - ERP =&gt; SOUS-SEGMENT'!$Q$8:$Q$1000*'ANALYSE - ERP =&gt; SOUS-SEGMENT'!$ED$8:$ED$1000*'ANALYSE - ERP =&gt; SOUS-SEGMENT'!$DA$8:$DA$1000)/SUMPRODUCT(('ANALYSE - ERP =&gt; SOUS-SEGMENT'!$B$8:$B$1000=$B18)*'ANALYSE - ERP =&gt; SOUS-SEGMENT'!$Q$8:$Q$1000*'ANALYSE - ERP =&gt; SOUS-SEGMENT'!$ED$8:$ED$1000),""))</f>
        <v>8.3818242715194806</v>
      </c>
      <c r="DB18" s="806">
        <f>IF($B18="","",IFERROR(SUMPRODUCT(('ANALYSE - ERP =&gt; SOUS-SEGMENT'!$B$8:$B$1000=$B18)*'ANALYSE - ERP =&gt; SOUS-SEGMENT'!$Q$8:$Q$1000*'ANALYSE - ERP =&gt; SOUS-SEGMENT'!$EE$8:$EE$1000*'ANALYSE - ERP =&gt; SOUS-SEGMENT'!$DB$8:$DB$1000)/SUMPRODUCT(('ANALYSE - ERP =&gt; SOUS-SEGMENT'!$B$8:$B$1000=$B18)*'ANALYSE - ERP =&gt; SOUS-SEGMENT'!$Q$8:$Q$1000*'ANALYSE - ERP =&gt; SOUS-SEGMENT'!$EE$8:$EE$1000),""))</f>
        <v>10.265050786869525</v>
      </c>
      <c r="DC18" s="804">
        <f>IF($B18="","",IFERROR(SUMPRODUCT(('ANALYSE - ERP =&gt; SOUS-SEGMENT'!$B$8:$B$1000=$B18)*'ANALYSE - ERP =&gt; SOUS-SEGMENT'!$Q$8:$Q$1000*'ANALYSE - ERP =&gt; SOUS-SEGMENT'!$EM$8:$EM$1000*'ANALYSE - ERP =&gt; SOUS-SEGMENT'!$DC$8:$DC$1000)/SUMPRODUCT(('ANALYSE - ERP =&gt; SOUS-SEGMENT'!$B$8:$B$1000=$B18)*'ANALYSE - ERP =&gt; SOUS-SEGMENT'!$Q$8:$Q$1000*'ANALYSE - ERP =&gt; SOUS-SEGMENT'!$EM$8:$EM$1000),""))</f>
        <v>10.266408521313775</v>
      </c>
      <c r="DD18" s="805">
        <f>IF($B18="","",IFERROR(SUMPRODUCT(('ANALYSE - ERP =&gt; SOUS-SEGMENT'!$B$8:$B$1000=$B18)*'ANALYSE - ERP =&gt; SOUS-SEGMENT'!$Q$8:$Q$1000*'ANALYSE - ERP =&gt; SOUS-SEGMENT'!$EN$8:$EN$1000*'ANALYSE - ERP =&gt; SOUS-SEGMENT'!$DD$8:$DD$1000)/SUMPRODUCT(('ANALYSE - ERP =&gt; SOUS-SEGMENT'!$B$8:$B$1000=$B18)*'ANALYSE - ERP =&gt; SOUS-SEGMENT'!$Q$8:$Q$1000*'ANALYSE - ERP =&gt; SOUS-SEGMENT'!$EN$8:$EN$1000),""))</f>
        <v>11.359792110642372</v>
      </c>
      <c r="DE18" s="806">
        <f>IF($B18="","",IFERROR(SUMPRODUCT(('ANALYSE - ERP =&gt; SOUS-SEGMENT'!$B$8:$B$1000=$B18)*'ANALYSE - ERP =&gt; SOUS-SEGMENT'!$Q$8:$Q$1000*'ANALYSE - ERP =&gt; SOUS-SEGMENT'!$EO$8:$EO$1000*'ANALYSE - ERP =&gt; SOUS-SEGMENT'!$DE$8:$DE$1000)/SUMPRODUCT(('ANALYSE - ERP =&gt; SOUS-SEGMENT'!$B$8:$B$1000=$B18)*'ANALYSE - ERP =&gt; SOUS-SEGMENT'!$Q$8:$Q$1000*'ANALYSE - ERP =&gt; SOUS-SEGMENT'!$EO$8:$EO$1000),""))</f>
        <v>9.3642546310608044</v>
      </c>
      <c r="DF18" s="919" t="s">
        <v>6679</v>
      </c>
      <c r="DG18" s="657"/>
      <c r="DH18" s="308">
        <f>IF($B18="","",SUMPRODUCT(('ANALYSE - ERP =&gt; SOUS-SEGMENT'!$B$8:$B$1000=$B18)*'ANALYSE - ERP =&gt; SOUS-SEGMENT'!$Q$8:$Q$1000*'ANALYSE - ERP =&gt; SOUS-SEGMENT'!$DH$8:$DH$1000))</f>
        <v>3672.92</v>
      </c>
      <c r="DI18" s="308">
        <f>IF($B18="","",SUMPRODUCT(('ANALYSE - ERP =&gt; SOUS-SEGMENT'!$B$8:$B$1000=$B18)*'ANALYSE - ERP =&gt; SOUS-SEGMENT'!$Q$8:$Q$1000*'ANALYSE - ERP =&gt; SOUS-SEGMENT'!$DI$8:$DI$1000))</f>
        <v>37502.78</v>
      </c>
      <c r="DJ18" s="308">
        <f>IF($B18="","",SUMPRODUCT(('ANALYSE - ERP =&gt; SOUS-SEGMENT'!$B$8:$B$1000=$B18)*'ANALYSE - ERP =&gt; SOUS-SEGMENT'!$Q$8:$Q$1000*'ANALYSE - ERP =&gt; SOUS-SEGMENT'!$DJ$8:$DJ$1000))</f>
        <v>2081.4300000000003</v>
      </c>
      <c r="DK18" s="308">
        <f>IF($B18="","",SUMPRODUCT(('ANALYSE - ERP =&gt; SOUS-SEGMENT'!$B$8:$B$1000=$B18)*'ANALYSE - ERP =&gt; SOUS-SEGMENT'!$Q$8:$Q$1000*'ANALYSE - ERP =&gt; SOUS-SEGMENT'!$DK$8:$DK$1000))</f>
        <v>11590.869999999999</v>
      </c>
      <c r="DL18" s="646" t="s">
        <v>6680</v>
      </c>
      <c r="DM18" s="308">
        <f>IF($B18="","",SUMPRODUCT(('ANALYSE - ERP =&gt; SOUS-SEGMENT'!$B$8:$B$1000=$B18)*'ANALYSE - ERP =&gt; SOUS-SEGMENT'!$Q$8:$Q$1000*'ANALYSE - ERP =&gt; SOUS-SEGMENT'!$DM$8:$DM$1000))</f>
        <v>3448.5600000000004</v>
      </c>
      <c r="DN18" s="308">
        <f>IF($B18="","",SUMPRODUCT(('ANALYSE - ERP =&gt; SOUS-SEGMENT'!$B$8:$B$1000=$B18)*'ANALYSE - ERP =&gt; SOUS-SEGMENT'!$Q$8:$Q$1000*'ANALYSE - ERP =&gt; SOUS-SEGMENT'!$DN$8:$DN$1000))</f>
        <v>37938.26</v>
      </c>
      <c r="DO18" s="308">
        <f>IF($B18="","",SUMPRODUCT(('ANALYSE - ERP =&gt; SOUS-SEGMENT'!$B$8:$B$1000=$B18)*'ANALYSE - ERP =&gt; SOUS-SEGMENT'!$Q$8:$Q$1000*'ANALYSE - ERP =&gt; SOUS-SEGMENT'!$DO$8:$DO$1000))</f>
        <v>2902.17</v>
      </c>
      <c r="DP18" s="308">
        <f>IF($B18="","",SUMPRODUCT(('ANALYSE - ERP =&gt; SOUS-SEGMENT'!$B$8:$B$1000=$B18)*'ANALYSE - ERP =&gt; SOUS-SEGMENT'!$Q$8:$Q$1000*'ANALYSE - ERP =&gt; SOUS-SEGMENT'!$DP$8:$DP$1000))</f>
        <v>11750.01</v>
      </c>
      <c r="DQ18" s="646" t="s">
        <v>6681</v>
      </c>
      <c r="DR18" s="657"/>
      <c r="DS18" s="308">
        <f>IF($B18="","",SUMPRODUCT(('ANALYSE - ERP =&gt; SOUS-SEGMENT'!$B$8:$B$1000=$B18)*'ANALYSE - ERP =&gt; SOUS-SEGMENT'!$Q$8:$Q$1000*'ANALYSE - ERP =&gt; SOUS-SEGMENT'!$DS$8:$DS$1000))</f>
        <v>4066.05</v>
      </c>
      <c r="DT18" s="308">
        <f>IF($B18="","",SUMPRODUCT(('ANALYSE - ERP =&gt; SOUS-SEGMENT'!$B$8:$B$1000=$B18)*'ANALYSE - ERP =&gt; SOUS-SEGMENT'!$Q$8:$Q$1000*'ANALYSE - ERP =&gt; SOUS-SEGMENT'!$DT$8:$DT$1000))</f>
        <v>8262.5499999999993</v>
      </c>
      <c r="DU18" s="308">
        <f>IF($B18="","",SUMPRODUCT(('ANALYSE - ERP =&gt; SOUS-SEGMENT'!$B$8:$B$1000=$B18)*'ANALYSE - ERP =&gt; SOUS-SEGMENT'!$Q$8:$Q$1000*'ANALYSE - ERP =&gt; SOUS-SEGMENT'!$DU$8:$DU$1000))</f>
        <v>221.4</v>
      </c>
      <c r="DV18" s="646" t="s">
        <v>6682</v>
      </c>
      <c r="DW18" s="308">
        <f>IF($B18="","",SUMPRODUCT(('ANALYSE - ERP =&gt; SOUS-SEGMENT'!$B$8:$B$1000=$B18)*'ANALYSE - ERP =&gt; SOUS-SEGMENT'!$Q$8:$Q$1000*'ANALYSE - ERP =&gt; SOUS-SEGMENT'!$DW$8:$DW$1000))</f>
        <v>3854.88</v>
      </c>
      <c r="DX18" s="308">
        <f>IF($B18="","",SUMPRODUCT(('ANALYSE - ERP =&gt; SOUS-SEGMENT'!$B$8:$B$1000=$B18)*'ANALYSE - ERP =&gt; SOUS-SEGMENT'!$Q$8:$Q$1000*'ANALYSE - ERP =&gt; SOUS-SEGMENT'!$DX$8:$DX$1000))</f>
        <v>8884.86</v>
      </c>
      <c r="DY18" s="308">
        <f>IF($B18="","",SUMPRODUCT(('ANALYSE - ERP =&gt; SOUS-SEGMENT'!$B$8:$B$1000=$B18)*'ANALYSE - ERP =&gt; SOUS-SEGMENT'!$Q$8:$Q$1000*'ANALYSE - ERP =&gt; SOUS-SEGMENT'!$DY$8:$DY$1000))</f>
        <v>325.26000000000005</v>
      </c>
      <c r="DZ18" s="646" t="s">
        <v>6683</v>
      </c>
      <c r="EA18" s="657"/>
      <c r="EB18" s="308">
        <f>IF($B18="","",SUMPRODUCT(('ANALYSE - ERP =&gt; SOUS-SEGMENT'!$B$8:$B$1000=$B18)*'ANALYSE - ERP =&gt; SOUS-SEGMENT'!$Q$8:$Q$1000*'ANALYSE - ERP =&gt; SOUS-SEGMENT'!$EB$8:$EB$1000))</f>
        <v>400.69</v>
      </c>
      <c r="EC18" s="308">
        <f>IF($B18="","",SUMPRODUCT(('ANALYSE - ERP =&gt; SOUS-SEGMENT'!$B$8:$B$1000=$B18)*'ANALYSE - ERP =&gt; SOUS-SEGMENT'!$Q$8:$Q$1000*'ANALYSE - ERP =&gt; SOUS-SEGMENT'!$EC$8:$EC$1000))</f>
        <v>2413.36</v>
      </c>
      <c r="ED18" s="308">
        <f>IF($B18="","",SUMPRODUCT(('ANALYSE - ERP =&gt; SOUS-SEGMENT'!$B$8:$B$1000=$B18)*'ANALYSE - ERP =&gt; SOUS-SEGMENT'!$Q$8:$Q$1000*'ANALYSE - ERP =&gt; SOUS-SEGMENT'!$ED$8:$ED$1000))</f>
        <v>358.28000000000003</v>
      </c>
      <c r="EE18" s="308">
        <f>IF($B18="","",SUMPRODUCT(('ANALYSE - ERP =&gt; SOUS-SEGMENT'!$B$8:$B$1000=$B18)*'ANALYSE - ERP =&gt; SOUS-SEGMENT'!$Q$8:$Q$1000*'ANALYSE - ERP =&gt; SOUS-SEGMENT'!$EE$8:$EE$1000))</f>
        <v>688.17</v>
      </c>
      <c r="EF18" s="646" t="s">
        <v>6684</v>
      </c>
      <c r="EG18" s="308">
        <f>IF($B18="","",SUMPRODUCT(('ANALYSE - ERP =&gt; SOUS-SEGMENT'!$B$8:$B$1000=$B18)*'ANALYSE - ERP =&gt; SOUS-SEGMENT'!$Q$8:$Q$1000*'ANALYSE - ERP =&gt; SOUS-SEGMENT'!$EG$8:$EG$1000))</f>
        <v>352.08000000000004</v>
      </c>
      <c r="EH18" s="308">
        <f>IF($B18="","",SUMPRODUCT(('ANALYSE - ERP =&gt; SOUS-SEGMENT'!$B$8:$B$1000=$B18)*'ANALYSE - ERP =&gt; SOUS-SEGMENT'!$Q$8:$Q$1000*'ANALYSE - ERP =&gt; SOUS-SEGMENT'!$EH$8:$EH$1000))</f>
        <v>2443.5550000000003</v>
      </c>
      <c r="EI18" s="308">
        <f>IF($B18="","",SUMPRODUCT(('ANALYSE - ERP =&gt; SOUS-SEGMENT'!$B$8:$B$1000=$B18)*'ANALYSE - ERP =&gt; SOUS-SEGMENT'!$Q$8:$Q$1000*'ANALYSE - ERP =&gt; SOUS-SEGMENT'!$EI$8:$EI$1000))</f>
        <v>443.54000000000008</v>
      </c>
      <c r="EJ18" s="308">
        <f>IF($B18="","",SUMPRODUCT(('ANALYSE - ERP =&gt; SOUS-SEGMENT'!$B$8:$B$1000=$B18)*'ANALYSE - ERP =&gt; SOUS-SEGMENT'!$Q$8:$Q$1000*'ANALYSE - ERP =&gt; SOUS-SEGMENT'!$EJ$8:$EJ$1000))</f>
        <v>687.32500000000016</v>
      </c>
      <c r="EK18" s="936" t="s">
        <v>6685</v>
      </c>
      <c r="EL18" s="657"/>
      <c r="EM18" s="308">
        <f>IF($B18="","",SUMPRODUCT(('ANALYSE - ERP =&gt; SOUS-SEGMENT'!$B$8:$B$1000=$B18)*'ANALYSE - ERP =&gt; SOUS-SEGMENT'!$Q$8:$Q$1000*'ANALYSE - ERP =&gt; SOUS-SEGMENT'!$EM$8:$EM$1000))</f>
        <v>23836.699999999997</v>
      </c>
      <c r="EN18" s="310">
        <f>IF($B18="","",SUMPRODUCT(('ANALYSE - ERP =&gt; SOUS-SEGMENT'!$B$8:$B$1000=$B18)*'ANALYSE - ERP =&gt; SOUS-SEGMENT'!$Q$8:$Q$1000*'ANALYSE - ERP =&gt; SOUS-SEGMENT'!$EN$8:$EN$1000))</f>
        <v>22992.999999999996</v>
      </c>
      <c r="EO18" s="310">
        <f>IF($B18="","",SUMPRODUCT(('ANALYSE - ERP =&gt; SOUS-SEGMENT'!$B$8:$B$1000=$B18)*'ANALYSE - ERP =&gt; SOUS-SEGMENT'!$Q$8:$Q$1000*'ANALYSE - ERP =&gt; SOUS-SEGMENT'!$EO$8:$EO$1000))</f>
        <v>4205.3</v>
      </c>
      <c r="EP18" s="646" t="s">
        <v>6686</v>
      </c>
      <c r="EQ18" s="308">
        <f>IF($B18="","",SUMPRODUCT(('ANALYSE - ERP =&gt; SOUS-SEGMENT'!$B$8:$B$1000=$B18)*'ANALYSE - ERP =&gt; SOUS-SEGMENT'!$Q$8:$Q$1000*'ANALYSE - ERP =&gt; SOUS-SEGMENT'!$EQ$8:$EQ$1000))</f>
        <v>21484.38</v>
      </c>
      <c r="ER18" s="310">
        <f>IF($B18="","",SUMPRODUCT(('ANALYSE - ERP =&gt; SOUS-SEGMENT'!$B$8:$B$1000=$B18)*'ANALYSE - ERP =&gt; SOUS-SEGMENT'!$Q$8:$Q$1000*'ANALYSE - ERP =&gt; SOUS-SEGMENT'!$ER$8:$ER$1000))</f>
        <v>25524.149999999998</v>
      </c>
      <c r="ES18" s="310">
        <f>IF($B18="","",SUMPRODUCT(('ANALYSE - ERP =&gt; SOUS-SEGMENT'!$B$8:$B$1000=$B18)*'ANALYSE - ERP =&gt; SOUS-SEGMENT'!$Q$8:$Q$1000*'ANALYSE - ERP =&gt; SOUS-SEGMENT'!$ES$8:$ES$1000))</f>
        <v>5117.4699999999993</v>
      </c>
      <c r="ET18" s="646" t="s">
        <v>6687</v>
      </c>
      <c r="EU18" s="657"/>
      <c r="EV18" s="728">
        <f t="shared" si="31"/>
        <v>0.73349973780166378</v>
      </c>
      <c r="EW18" s="728">
        <f t="shared" si="32"/>
        <v>0.26650026219833622</v>
      </c>
      <c r="EX18" s="311">
        <f t="shared" si="33"/>
        <v>63402.867414160057</v>
      </c>
      <c r="EY18" s="311">
        <f t="shared" si="34"/>
        <v>46505.986624160054</v>
      </c>
      <c r="EZ18" s="311">
        <f t="shared" si="35"/>
        <v>16896.880790000003</v>
      </c>
      <c r="FA18" s="311">
        <f t="shared" si="36"/>
        <v>28291.040266137563</v>
      </c>
      <c r="FB18" s="311">
        <f>IF($B18="","",SUMPRODUCT(('ANALYSE - ERP =&gt; SOUS-SEGMENT'!$B$8:$B$1000=$B18)*'ANALYSE - ERP =&gt; SOUS-SEGMENT'!$Q$8:$Q$1000*'ANALYSE - ERP =&gt; SOUS-SEGMENT'!$FB$8:$FB$1000))</f>
        <v>20740.272366137564</v>
      </c>
      <c r="FC18" s="311">
        <f>IF($B18="","",SUMPRODUCT(('ANALYSE - ERP =&gt; SOUS-SEGMENT'!$B$8:$B$1000=$B18)*'ANALYSE - ERP =&gt; SOUS-SEGMENT'!$Q$8:$Q$1000*'ANALYSE - ERP =&gt; SOUS-SEGMENT'!$FC$8:$FC$1000))</f>
        <v>7550.7679000000007</v>
      </c>
      <c r="FD18" s="311">
        <f t="shared" si="37"/>
        <v>6780.1774508636372</v>
      </c>
      <c r="FE18" s="311">
        <f>IF($B18="","",SUMPRODUCT(('ANALYSE - ERP =&gt; SOUS-SEGMENT'!$B$8:$B$1000=$B18)*'ANALYSE - ERP =&gt; SOUS-SEGMENT'!$Q$8:$Q$1000*'ANALYSE - ERP =&gt; SOUS-SEGMENT'!$FE$8:$FE$1000))</f>
        <v>4849.1854608636368</v>
      </c>
      <c r="FF18" s="311">
        <f>IF($B18="","",SUMPRODUCT(('ANALYSE - ERP =&gt; SOUS-SEGMENT'!$B$8:$B$1000=$B18)*'ANALYSE - ERP =&gt; SOUS-SEGMENT'!$Q$8:$Q$1000*'ANALYSE - ERP =&gt; SOUS-SEGMENT'!$FF$8:$FF$1000))</f>
        <v>1930.99199</v>
      </c>
      <c r="FG18" s="311">
        <f t="shared" si="38"/>
        <v>1855.802253991521</v>
      </c>
      <c r="FH18" s="311">
        <f>IF($B18="","",SUMPRODUCT(('ANALYSE - ERP =&gt; SOUS-SEGMENT'!$B$8:$B$1000=$B18)*'ANALYSE - ERP =&gt; SOUS-SEGMENT'!$Q$8:$Q$1000*'ANALYSE - ERP =&gt; SOUS-SEGMENT'!$FH$8:$FH$1000))</f>
        <v>1455.696523991521</v>
      </c>
      <c r="FI18" s="311">
        <f>IF($B18="","",SUMPRODUCT(('ANALYSE - ERP =&gt; SOUS-SEGMENT'!$B$8:$B$1000=$B18)*'ANALYSE - ERP =&gt; SOUS-SEGMENT'!$Q$8:$Q$1000*'ANALYSE - ERP =&gt; SOUS-SEGMENT'!$FI$8:$FI$1000))</f>
        <v>400.10573000000005</v>
      </c>
      <c r="FJ18" s="311">
        <f t="shared" si="39"/>
        <v>26475.847443167331</v>
      </c>
      <c r="FK18" s="311">
        <f>IF($B18="","",SUMPRODUCT(('ANALYSE - ERP =&gt; SOUS-SEGMENT'!$B$8:$B$1000=$B18)*'ANALYSE - ERP =&gt; SOUS-SEGMENT'!$Q$8:$Q$1000*'ANALYSE - ERP =&gt; SOUS-SEGMENT'!$FK$8:$FK$1000))</f>
        <v>19460.832273167329</v>
      </c>
      <c r="FL18" s="311">
        <f>IF($B18="","",SUMPRODUCT(('ANALYSE - ERP =&gt; SOUS-SEGMENT'!$B$8:$B$1000=$B18)*'ANALYSE - ERP =&gt; SOUS-SEGMENT'!$Q$8:$Q$1000*'ANALYSE - ERP =&gt; SOUS-SEGMENT'!$FL$8:$FL$1000))</f>
        <v>7015.0151700000006</v>
      </c>
      <c r="FM18" s="657"/>
      <c r="FN18" s="954" t="s">
        <v>6688</v>
      </c>
      <c r="FO18" s="728">
        <f>IF($B18="","",IFERROR(SUMPRODUCT(('ANALYSE - ERP =&gt; SOUS-SEGMENT'!$B$8:$B$1000=$B18)*'ANALYSE - ERP =&gt; SOUS-SEGMENT'!$Q$8:$Q$1000*'ANALYSE - ERP =&gt; SOUS-SEGMENT'!$AF$8:$AF$1000*'ANALYSE - ERP =&gt; SOUS-SEGMENT'!$FO$8:$FO$1000)/SUMPRODUCT(('ANALYSE - ERP =&gt; SOUS-SEGMENT'!$B$8:$B$1000=$B18)*'ANALYSE - ERP =&gt; SOUS-SEGMENT'!$Q$8:$Q$1000*'ANALYSE - ERP =&gt; SOUS-SEGMENT'!$AF$8:$AF$1000),""))</f>
        <v>7.1171730290456439E-2</v>
      </c>
      <c r="FP18" s="729">
        <f>IF($B18="","",IFERROR(SUMPRODUCT(('ANALYSE - ERP =&gt; SOUS-SEGMENT'!$B$8:$B$1000=$B18)*'ANALYSE - ERP =&gt; SOUS-SEGMENT'!$Q$8:$Q$1000*'ANALYSE - ERP =&gt; SOUS-SEGMENT'!$AF$8:$AF$1000*'ANALYSE - ERP =&gt; SOUS-SEGMENT'!$FP$8:$FP$1000)/SUMPRODUCT(('ANALYSE - ERP =&gt; SOUS-SEGMENT'!$B$8:$B$1000=$B18)*'ANALYSE - ERP =&gt; SOUS-SEGMENT'!$Q$8:$Q$1000*'ANALYSE - ERP =&gt; SOUS-SEGMENT'!$AF$8:$AF$1000),""))</f>
        <v>0.84726512863070547</v>
      </c>
      <c r="FQ18" s="954" t="s">
        <v>6689</v>
      </c>
      <c r="FR18" s="657"/>
      <c r="FS18" s="865">
        <f>IF($B18="","",IFERROR(SUMPRODUCT(('ANALYSE - ERP =&gt; SOUS-SEGMENT'!$B$8:$B$1000=$B18)*'ANALYSE - ERP =&gt; SOUS-SEGMENT'!$Q$8:$Q$1000*'ANALYSE - ERP =&gt; SOUS-SEGMENT'!$EX$8:$EX$1000*'ANALYSE - ERP =&gt; SOUS-SEGMENT'!$FS$8:$FS$1000)/SUMPRODUCT(('ANALYSE - ERP =&gt; SOUS-SEGMENT'!$B$8:$B$1000=$B18)*'ANALYSE - ERP =&gt; SOUS-SEGMENT'!$Q$8:$Q$1000*'ANALYSE - ERP =&gt; SOUS-SEGMENT'!$EX$8:$EX$1000),""))</f>
        <v>3.6670122258210176</v>
      </c>
      <c r="FT18" s="312">
        <f>IF($B18="","",RANK($FS18,$FS$8:$FS$20,0)+COUNTIF($FS$8:$FS18,$FS18)-1)</f>
        <v>2</v>
      </c>
      <c r="FU18" s="865">
        <f>IF($B18="","",IFERROR(SUMPRODUCT(('ANALYSE - ERP =&gt; SOUS-SEGMENT'!$B$8:$B$1000=$B18)*'ANALYSE - ERP =&gt; SOUS-SEGMENT'!$Q$8:$Q$1000*'ANALYSE - ERP =&gt; SOUS-SEGMENT'!$EY$8:$EY$1000*'ANALYSE - ERP =&gt; SOUS-SEGMENT'!$FU$8:$FU$1000)/SUMPRODUCT(('ANALYSE - ERP =&gt; SOUS-SEGMENT'!$B$8:$B$1000=$B18)*'ANALYSE - ERP =&gt; SOUS-SEGMENT'!$Q$8:$Q$1000*'ANALYSE - ERP =&gt; SOUS-SEGMENT'!$EY$8:$EY$1000),""))</f>
        <v>4.2240063974814008</v>
      </c>
      <c r="FV18" s="312">
        <f>IF($B18="","",RANK($FU18,$FU$8:$FU$20,0)+COUNTIF($FU$8:$FU18,$FU18)-1)</f>
        <v>6</v>
      </c>
      <c r="FW18" s="865">
        <f>IF($B18="","",IFERROR(SUMPRODUCT(('ANALYSE - ERP =&gt; SOUS-SEGMENT'!$B$8:$B$1000=$B18)*'ANALYSE - ERP =&gt; SOUS-SEGMENT'!$Q$8:$Q$1000*'ANALYSE - ERP =&gt; SOUS-SEGMENT'!$EZ$8:$EZ$1000*'ANALYSE - ERP =&gt; SOUS-SEGMENT'!$FW$8:$FW$1000)/SUMPRODUCT(('ANALYSE - ERP =&gt; SOUS-SEGMENT'!$B$8:$B$1000=$B18)*'ANALYSE - ERP =&gt; SOUS-SEGMENT'!$Q$8:$Q$1000*'ANALYSE - ERP =&gt; SOUS-SEGMENT'!$EZ$8:$EZ$1000),""))</f>
        <v>3.1536104615614078</v>
      </c>
      <c r="FX18" s="312">
        <f>IF($B18="","",RANK($FW18,$FW$8:$FW$20,0)+COUNTIF($FW$8:$FW18,$FW18)-1)</f>
        <v>1</v>
      </c>
      <c r="FY18" s="657"/>
      <c r="FZ18" s="646" t="s">
        <v>6690</v>
      </c>
      <c r="GA18" s="646" t="s">
        <v>6691</v>
      </c>
      <c r="GB18" s="646" t="s">
        <v>6692</v>
      </c>
      <c r="GC18" s="646" t="s">
        <v>6693</v>
      </c>
      <c r="GD18" s="646" t="s">
        <v>6694</v>
      </c>
      <c r="GE18" s="646" t="s">
        <v>6695</v>
      </c>
      <c r="GF18" s="276" t="s">
        <v>6696</v>
      </c>
      <c r="GG18" s="657"/>
      <c r="GH18" s="311">
        <f t="shared" si="40"/>
        <v>1695.2518530335665</v>
      </c>
      <c r="GI18" s="311">
        <f>IF($B18="","",SUMPRODUCT(('ANALYSE - ERP =&gt; SOUS-SEGMENT'!$B$8:$B$1000=$B18)*'ANALYSE - ERP =&gt; SOUS-SEGMENT'!$Q$8:$Q$1000*'ANALYSE - ERP =&gt; SOUS-SEGMENT'!$GI$8:$GI$1000))</f>
        <v>1325.2683274335664</v>
      </c>
      <c r="GJ18" s="311">
        <f>IF($B18="","",SUMPRODUCT(('ANALYSE - ERP =&gt; SOUS-SEGMENT'!$B$8:$B$1000=$B18)*'ANALYSE - ERP =&gt; SOUS-SEGMENT'!$Q$8:$Q$1000*'ANALYSE - ERP =&gt; SOUS-SEGMENT'!$GJ$8:$GJ$1000))</f>
        <v>369.98352560000001</v>
      </c>
      <c r="GK18" s="311">
        <f t="shared" si="41"/>
        <v>18536.026381961768</v>
      </c>
      <c r="GL18" s="311">
        <f>IF($B18="","",SUMPRODUCT(('ANALYSE - ERP =&gt; SOUS-SEGMENT'!$B$8:$B$1000=$B18)*'ANALYSE - ERP =&gt; SOUS-SEGMENT'!$Q$8:$Q$1000*'ANALYSE - ERP =&gt; SOUS-SEGMENT'!$GL$8:$GL$1000))</f>
        <v>13404.35943196177</v>
      </c>
      <c r="GM18" s="311">
        <f>IF($B18="","",SUMPRODUCT(('ANALYSE - ERP =&gt; SOUS-SEGMENT'!$B$8:$B$1000=$B18)*'ANALYSE - ERP =&gt; SOUS-SEGMENT'!$Q$8:$Q$1000*'ANALYSE - ERP =&gt; SOUS-SEGMENT'!$GM$8:$GM$1000))</f>
        <v>5131.6669499999998</v>
      </c>
      <c r="GN18" s="311">
        <f t="shared" si="42"/>
        <v>1224.0862838555556</v>
      </c>
      <c r="GO18" s="311">
        <f>IF($B18="","",SUMPRODUCT(('ANALYSE - ERP =&gt; SOUS-SEGMENT'!$B$8:$B$1000=$B18)*'ANALYSE - ERP =&gt; SOUS-SEGMENT'!$Q$8:$Q$1000*'ANALYSE - ERP =&gt; SOUS-SEGMENT'!$GO$8:$GO$1000))</f>
        <v>935.20797005555551</v>
      </c>
      <c r="GP18" s="311">
        <f>IF($B18="","",SUMPRODUCT(('ANALYSE - ERP =&gt; SOUS-SEGMENT'!$B$8:$B$1000=$B18)*'ANALYSE - ERP =&gt; SOUS-SEGMENT'!$Q$8:$Q$1000*'ANALYSE - ERP =&gt; SOUS-SEGMENT'!$GP$8:$GP$1000))</f>
        <v>288.87831380000006</v>
      </c>
      <c r="GQ18" s="311">
        <f t="shared" si="43"/>
        <v>6835.6757472866684</v>
      </c>
      <c r="GR18" s="311">
        <f>IF($B18="","",SUMPRODUCT(('ANALYSE - ERP =&gt; SOUS-SEGMENT'!$B$8:$B$1000=$B18)*'ANALYSE - ERP =&gt; SOUS-SEGMENT'!$Q$8:$Q$1000*'ANALYSE - ERP =&gt; SOUS-SEGMENT'!$GR$8:$GR$1000))</f>
        <v>5075.436636686668</v>
      </c>
      <c r="GS18" s="311">
        <f>IF($B18="","",SUMPRODUCT(('ANALYSE - ERP =&gt; SOUS-SEGMENT'!$B$8:$B$1000=$B18)*'ANALYSE - ERP =&gt; SOUS-SEGMENT'!$Q$8:$Q$1000*'ANALYSE - ERP =&gt; SOUS-SEGMENT'!$GS$8:$GS$1000))</f>
        <v>1760.2391106000007</v>
      </c>
      <c r="GT18" s="311">
        <f t="shared" si="44"/>
        <v>2072.4421492363635</v>
      </c>
      <c r="GU18" s="311">
        <f>IF($B18="","",SUMPRODUCT(('ANALYSE - ERP =&gt; SOUS-SEGMENT'!$B$8:$B$1000=$B18)*'ANALYSE - ERP =&gt; SOUS-SEGMENT'!$Q$8:$Q$1000*'ANALYSE - ERP =&gt; SOUS-SEGMENT'!$GU$8:$GU$1000))</f>
        <v>1524.4242466363635</v>
      </c>
      <c r="GV18" s="311">
        <f>IF($B18="","",SUMPRODUCT(('ANALYSE - ERP =&gt; SOUS-SEGMENT'!$B$8:$B$1000=$B18)*'ANALYSE - ERP =&gt; SOUS-SEGMENT'!$Q$8:$Q$1000*'ANALYSE - ERP =&gt; SOUS-SEGMENT'!$GV$8:$GV$1000))</f>
        <v>548.01790260000007</v>
      </c>
      <c r="GW18" s="311">
        <f t="shared" si="45"/>
        <v>4552.6975903272723</v>
      </c>
      <c r="GX18" s="311">
        <f>IF($B18="","",SUMPRODUCT(('ANALYSE - ERP =&gt; SOUS-SEGMENT'!$B$8:$B$1000=$B18)*'ANALYSE - ERP =&gt; SOUS-SEGMENT'!$Q$8:$Q$1000*'ANALYSE - ERP =&gt; SOUS-SEGMENT'!$GX$8:$GX$1000))</f>
        <v>3212.7509717272728</v>
      </c>
      <c r="GY18" s="311">
        <f>IF($B18="","",SUMPRODUCT(('ANALYSE - ERP =&gt; SOUS-SEGMENT'!$B$8:$B$1000=$B18)*'ANALYSE - ERP =&gt; SOUS-SEGMENT'!$Q$8:$Q$1000*'ANALYSE - ERP =&gt; SOUS-SEGMENT'!$GY$8:$GY$1000))</f>
        <v>1339.9466186</v>
      </c>
      <c r="GZ18" s="311">
        <f t="shared" si="46"/>
        <v>155.03771130000001</v>
      </c>
      <c r="HA18" s="311">
        <f>IF($B18="","",SUMPRODUCT(('ANALYSE - ERP =&gt; SOUS-SEGMENT'!$B$8:$B$1000=$B18)*'ANALYSE - ERP =&gt; SOUS-SEGMENT'!$Q$8:$Q$1000*'ANALYSE - ERP =&gt; SOUS-SEGMENT'!$HA$8:$HA$1000))</f>
        <v>112.01024249999999</v>
      </c>
      <c r="HB18" s="311">
        <f>IF($B18="","",SUMPRODUCT(('ANALYSE - ERP =&gt; SOUS-SEGMENT'!$B$8:$B$1000=$B18)*'ANALYSE - ERP =&gt; SOUS-SEGMENT'!$Q$8:$Q$1000*'ANALYSE - ERP =&gt; SOUS-SEGMENT'!$HB$8:$HB$1000))</f>
        <v>43.027468800000008</v>
      </c>
      <c r="HC18" s="311">
        <f t="shared" si="47"/>
        <v>201.48554819454546</v>
      </c>
      <c r="HD18" s="311">
        <f>IF($B18="","",SUMPRODUCT(('ANALYSE - ERP =&gt; SOUS-SEGMENT'!$B$8:$B$1000=$B18)*'ANALYSE - ERP =&gt; SOUS-SEGMENT'!$Q$8:$Q$1000*'ANALYSE - ERP =&gt; SOUS-SEGMENT'!$HD$8:$HD$1000))</f>
        <v>164.34082399454547</v>
      </c>
      <c r="HE18" s="311">
        <f>IF($B18="","",SUMPRODUCT(('ANALYSE - ERP =&gt; SOUS-SEGMENT'!$B$8:$B$1000=$B18)*'ANALYSE - ERP =&gt; SOUS-SEGMENT'!$Q$8:$Q$1000*'ANALYSE - ERP =&gt; SOUS-SEGMENT'!$HE$8:$HE$1000))</f>
        <v>37.144724199999999</v>
      </c>
      <c r="HF18" s="311">
        <f t="shared" si="48"/>
        <v>1088.9959252653848</v>
      </c>
      <c r="HG18" s="311">
        <f>IF($B18="","",SUMPRODUCT(('ANALYSE - ERP =&gt; SOUS-SEGMENT'!$B$8:$B$1000=$B18)*'ANALYSE - ERP =&gt; SOUS-SEGMENT'!$Q$8:$Q$1000*'ANALYSE - ERP =&gt; SOUS-SEGMENT'!$HG$8:$HG$1000))</f>
        <v>835.32039216538465</v>
      </c>
      <c r="HH18" s="311">
        <f>IF($B18="","",SUMPRODUCT(('ANALYSE - ERP =&gt; SOUS-SEGMENT'!$B$8:$B$1000=$B18)*'ANALYSE - ERP =&gt; SOUS-SEGMENT'!$Q$8:$Q$1000*'ANALYSE - ERP =&gt; SOUS-SEGMENT'!$HH$8:$HH$1000))</f>
        <v>253.67553310000008</v>
      </c>
      <c r="HI18" s="311">
        <f t="shared" si="49"/>
        <v>218.90075031250001</v>
      </c>
      <c r="HJ18" s="311">
        <f>IF($B18="","",SUMPRODUCT(('ANALYSE - ERP =&gt; SOUS-SEGMENT'!$B$8:$B$1000=$B18)*'ANALYSE - ERP =&gt; SOUS-SEGMENT'!$Q$8:$Q$1000*'ANALYSE - ERP =&gt; SOUS-SEGMENT'!$HJ$8:$HJ$1000))</f>
        <v>178.64516991249999</v>
      </c>
      <c r="HK18" s="311">
        <f>IF($B18="","",SUMPRODUCT(('ANALYSE - ERP =&gt; SOUS-SEGMENT'!$B$8:$B$1000=$B18)*'ANALYSE - ERP =&gt; SOUS-SEGMENT'!$Q$8:$Q$1000*'ANALYSE - ERP =&gt; SOUS-SEGMENT'!$HK$8:$HK$1000))</f>
        <v>40.255580399999999</v>
      </c>
      <c r="HL18" s="311">
        <f t="shared" si="50"/>
        <v>346.4200302190909</v>
      </c>
      <c r="HM18" s="311">
        <f>IF($B18="","",SUMPRODUCT(('ANALYSE - ERP =&gt; SOUS-SEGMENT'!$B$8:$B$1000=$B18)*'ANALYSE - ERP =&gt; SOUS-SEGMENT'!$Q$8:$Q$1000*'ANALYSE - ERP =&gt; SOUS-SEGMENT'!$HM$8:$HM$1000))</f>
        <v>277.39013791909088</v>
      </c>
      <c r="HN18" s="311">
        <f>IF($B18="","",SUMPRODUCT(('ANALYSE - ERP =&gt; SOUS-SEGMENT'!$B$8:$B$1000=$B18)*'ANALYSE - ERP =&gt; SOUS-SEGMENT'!$Q$8:$Q$1000*'ANALYSE - ERP =&gt; SOUS-SEGMENT'!$HN$8:$HN$1000))</f>
        <v>69.0298923</v>
      </c>
      <c r="HO18" s="311">
        <f t="shared" si="51"/>
        <v>12391.150520783336</v>
      </c>
      <c r="HP18" s="311">
        <f>IF($B18="","",SUMPRODUCT(('ANALYSE - ERP =&gt; SOUS-SEGMENT'!$B$8:$B$1000=$B18)*'ANALYSE - ERP =&gt; SOUS-SEGMENT'!$Q$8:$Q$1000*'ANALYSE - ERP =&gt; SOUS-SEGMENT'!$HP$8:$HP$1000))</f>
        <v>9482.7703078833347</v>
      </c>
      <c r="HQ18" s="311">
        <f>IF($B18="","",SUMPRODUCT(('ANALYSE - ERP =&gt; SOUS-SEGMENT'!$B$8:$B$1000=$B18)*'ANALYSE - ERP =&gt; SOUS-SEGMENT'!$Q$8:$Q$1000*'ANALYSE - ERP =&gt; SOUS-SEGMENT'!$HQ$8:$HQ$1000))</f>
        <v>2908.3802129000005</v>
      </c>
      <c r="HR18" s="311">
        <f t="shared" si="52"/>
        <v>11684.463109928438</v>
      </c>
      <c r="HS18" s="311">
        <f>IF($B18="","",SUMPRODUCT(('ANALYSE - ERP =&gt; SOUS-SEGMENT'!$B$8:$B$1000=$B18)*'ANALYSE - ERP =&gt; SOUS-SEGMENT'!$Q$8:$Q$1000*'ANALYSE - ERP =&gt; SOUS-SEGMENT'!$HS$8:$HS$1000))</f>
        <v>8132.4658552284372</v>
      </c>
      <c r="HT18" s="311">
        <f>IF($B18="","",SUMPRODUCT(('ANALYSE - ERP =&gt; SOUS-SEGMENT'!$B$8:$B$1000=$B18)*'ANALYSE - ERP =&gt; SOUS-SEGMENT'!$Q$8:$Q$1000*'ANALYSE - ERP =&gt; SOUS-SEGMENT'!$HT$8:$HT$1000))</f>
        <v>3551.9972546999998</v>
      </c>
      <c r="HU18" s="311">
        <f t="shared" si="53"/>
        <v>2400.2338124555558</v>
      </c>
      <c r="HV18" s="311">
        <f>IF($B18="","",SUMPRODUCT(('ANALYSE - ERP =&gt; SOUS-SEGMENT'!$B$8:$B$1000=$B18)*'ANALYSE - ERP =&gt; SOUS-SEGMENT'!$Q$8:$Q$1000*'ANALYSE - ERP =&gt; SOUS-SEGMENT'!$HV$8:$HV$1000))</f>
        <v>1845.5961100555558</v>
      </c>
      <c r="HW18" s="311">
        <f>IF($B18="","",SUMPRODUCT(('ANALYSE - ERP =&gt; SOUS-SEGMENT'!$B$8:$B$1000=$B18)*'ANALYSE - ERP =&gt; SOUS-SEGMENT'!$Q$8:$Q$1000*'ANALYSE - ERP =&gt; SOUS-SEGMENT'!$HW$8:$HW$1000))</f>
        <v>554.63770240000008</v>
      </c>
      <c r="HY18" s="313">
        <f t="shared" si="54"/>
        <v>122293.49999999997</v>
      </c>
      <c r="HZ18" s="313">
        <f>IF($B18="","",SUMPRODUCT(('ANALYSE - ERP =&gt; SOUS-SEGMENT'!$B$8:$B$1000=$B18)*'ANALYSE - ERP =&gt; SOUS-SEGMENT'!$Q$8:$Q$1000*'ANALYSE - ERP =&gt; SOUS-SEGMENT'!$HZ$8:$HZ$1000))</f>
        <v>15898.542049999996</v>
      </c>
      <c r="IA18" s="313">
        <f>IF($B18="","",SUMPRODUCT(('ANALYSE - ERP =&gt; SOUS-SEGMENT'!$B$8:$B$1000=$B18)*'ANALYSE - ERP =&gt; SOUS-SEGMENT'!$Q$8:$Q$1000*'ANALYSE - ERP =&gt; SOUS-SEGMENT'!$IA$8:$IA$1000))</f>
        <v>73187.883199999982</v>
      </c>
      <c r="IB18" s="313">
        <f>IF($B18="","",SUMPRODUCT(('ANALYSE - ERP =&gt; SOUS-SEGMENT'!$B$8:$B$1000=$B18)*'ANALYSE - ERP =&gt; SOUS-SEGMENT'!$Q$8:$Q$1000*'ANALYSE - ERP =&gt; SOUS-SEGMENT'!$IB$8:$IB$1000))</f>
        <v>29715.321650000002</v>
      </c>
      <c r="IC18" s="313">
        <f>IF($B18="","",SUMPRODUCT(('ANALYSE - ERP =&gt; SOUS-SEGMENT'!$B$8:$B$1000=$B18)*'ANALYSE - ERP =&gt; SOUS-SEGMENT'!$Q$8:$Q$1000*'ANALYSE - ERP =&gt; SOUS-SEGMENT'!$IC$8:$IC$1000))</f>
        <v>3395.6765</v>
      </c>
      <c r="ID18" s="313">
        <f>IF($B18="","",SUMPRODUCT(('ANALYSE - ERP =&gt; SOUS-SEGMENT'!$B$8:$B$1000=$B18)*'ANALYSE - ERP =&gt; SOUS-SEGMENT'!$Q$8:$Q$1000*'ANALYSE - ERP =&gt; SOUS-SEGMENT'!$ID$8:$ID$1000))</f>
        <v>96.076599999999999</v>
      </c>
      <c r="IE18" s="313">
        <f t="shared" si="55"/>
        <v>46505.986624160047</v>
      </c>
      <c r="IF18" s="313">
        <f>IF($B18="","",SUMPRODUCT(('ANALYSE - ERP =&gt; SOUS-SEGMENT'!$B$8:$B$1000=$B18)*'ANALYSE - ERP =&gt; SOUS-SEGMENT'!$Q$8:$Q$1000*'ANALYSE - ERP =&gt; SOUS-SEGMENT'!$IF$8:$IF$1000))</f>
        <v>2420.0578130679346</v>
      </c>
      <c r="IG18" s="313">
        <f>IF($B18="","",SUMPRODUCT(('ANALYSE - ERP =&gt; SOUS-SEGMENT'!$B$8:$B$1000=$B18)*'ANALYSE - ERP =&gt; SOUS-SEGMENT'!$Q$8:$Q$1000*'ANALYSE - ERP =&gt; SOUS-SEGMENT'!$IG$8:$IG$1000))</f>
        <v>24511.639271791773</v>
      </c>
      <c r="IH18" s="313">
        <f>IF($B18="","",SUMPRODUCT(('ANALYSE - ERP =&gt; SOUS-SEGMENT'!$B$8:$B$1000=$B18)*'ANALYSE - ERP =&gt; SOUS-SEGMENT'!$Q$8:$Q$1000*'ANALYSE - ERP =&gt; SOUS-SEGMENT'!$IH$8:$IH$1000))</f>
        <v>17432.757555628319</v>
      </c>
      <c r="II18" s="313">
        <f>IF($B18="","",SUMPRODUCT(('ANALYSE - ERP =&gt; SOUS-SEGMENT'!$B$8:$B$1000=$B18)*'ANALYSE - ERP =&gt; SOUS-SEGMENT'!$Q$8:$Q$1000*'ANALYSE - ERP =&gt; SOUS-SEGMENT'!$II$8:$II$1000))</f>
        <v>2045.6669748702452</v>
      </c>
      <c r="IJ18" s="313">
        <f>IF($B18="","",SUMPRODUCT(('ANALYSE - ERP =&gt; SOUS-SEGMENT'!$B$8:$B$1000=$B18)*'ANALYSE - ERP =&gt; SOUS-SEGMENT'!$Q$8:$Q$1000*'ANALYSE - ERP =&gt; SOUS-SEGMENT'!$IJ$8:$IJ$1000))</f>
        <v>95.865008801773484</v>
      </c>
      <c r="IK18" s="866">
        <f>IF($B18="","",IFERROR(SUMPRODUCT(('ANALYSE - ERP =&gt; SOUS-SEGMENT'!$B$8:$B$1000=$B18)*'ANALYSE - ERP =&gt; SOUS-SEGMENT'!$Q$8:$Q$1000*'ANALYSE - ERP =&gt; SOUS-SEGMENT'!$IE$8:$IE$1000*'ANALYSE - ERP =&gt; SOUS-SEGMENT'!$IK$8:$IK$1000)/SUMPRODUCT(('ANALYSE - ERP =&gt; SOUS-SEGMENT'!$B$8:$B$1000=$B18)*'ANALYSE - ERP =&gt; SOUS-SEGMENT'!$Q$8:$Q$1000*'ANALYSE - ERP =&gt; SOUS-SEGMENT'!$IE$8:$IE$1000),""))</f>
        <v>4.2862034373660993</v>
      </c>
      <c r="IL18" s="920" t="s">
        <v>6697</v>
      </c>
      <c r="IM18" s="964" t="s">
        <v>6698</v>
      </c>
      <c r="IN18" s="657"/>
      <c r="IO18" s="730">
        <f>IF($B18="","",IFERROR(SUMPRODUCT(('ANALYSE - ERP =&gt; SOUS-SEGMENT'!$B$8:$B$1000=$B18)*'ANALYSE - ERP =&gt; SOUS-SEGMENT'!$Q$8:$Q$1000*'ANALYSE - ERP =&gt; SOUS-SEGMENT'!$BE$8:$BE$1000*'ANALYSE - ERP =&gt; SOUS-SEGMENT'!$IO$8:$IO$1000)/SUMPRODUCT(('ANALYSE - ERP =&gt; SOUS-SEGMENT'!$B$8:$B$1000=$B18)*'ANALYSE - ERP =&gt; SOUS-SEGMENT'!$Q$8:$Q$1000*'ANALYSE - ERP =&gt; SOUS-SEGMENT'!$BE$8:$BE$1000),""))</f>
        <v>0.1006517812864644</v>
      </c>
      <c r="IP18" s="730">
        <f>IF($B18="","",IFERROR(SUMPRODUCT(('ANALYSE - ERP =&gt; SOUS-SEGMENT'!$B$8:$B$1000=$B18)*'ANALYSE - ERP =&gt; SOUS-SEGMENT'!$Q$8:$Q$1000*'ANALYSE - ERP =&gt; SOUS-SEGMENT'!$BE$8:$BE$1000*'ANALYSE - ERP =&gt; SOUS-SEGMENT'!$IP$8:$IP$1000)/SUMPRODUCT(('ANALYSE - ERP =&gt; SOUS-SEGMENT'!$B$8:$B$1000=$B18)*'ANALYSE - ERP =&gt; SOUS-SEGMENT'!$Q$8:$Q$1000*'ANALYSE - ERP =&gt; SOUS-SEGMENT'!$BE$8:$BE$1000),""))</f>
        <v>0.59078751458576428</v>
      </c>
      <c r="IQ18" s="730">
        <f>IF($B18="","",IFERROR(SUMPRODUCT(('ANALYSE - ERP =&gt; SOUS-SEGMENT'!$B$8:$B$1000=$B18)*'ANALYSE - ERP =&gt; SOUS-SEGMENT'!$Q$8:$Q$1000*'ANALYSE - ERP =&gt; SOUS-SEGMENT'!$BE$8:$BE$1000*'ANALYSE - ERP =&gt; SOUS-SEGMENT'!$IQ$8:$IQ$1000)/SUMPRODUCT(('ANALYSE - ERP =&gt; SOUS-SEGMENT'!$B$8:$B$1000=$B18)*'ANALYSE - ERP =&gt; SOUS-SEGMENT'!$Q$8:$Q$1000*'ANALYSE - ERP =&gt; SOUS-SEGMENT'!$BE$8:$BE$1000),""))</f>
        <v>0.27271506344807467</v>
      </c>
      <c r="IR18" s="730">
        <f>IF($B18="","",IFERROR(SUMPRODUCT(('ANALYSE - ERP =&gt; SOUS-SEGMENT'!$B$8:$B$1000=$B18)*'ANALYSE - ERP =&gt; SOUS-SEGMENT'!$Q$8:$Q$1000*'ANALYSE - ERP =&gt; SOUS-SEGMENT'!$BE$8:$BE$1000*'ANALYSE - ERP =&gt; SOUS-SEGMENT'!$IR$8:$IR$1000)/SUMPRODUCT(('ANALYSE - ERP =&gt; SOUS-SEGMENT'!$B$8:$B$1000=$B18)*'ANALYSE - ERP =&gt; SOUS-SEGMENT'!$Q$8:$Q$1000*'ANALYSE - ERP =&gt; SOUS-SEGMENT'!$BE$8:$BE$1000),""))</f>
        <v>3.4648749270711786E-2</v>
      </c>
      <c r="IS18" s="730">
        <f>IF($B18="","",IFERROR(SUMPRODUCT(('ANALYSE - ERP =&gt; SOUS-SEGMENT'!$B$8:$B$1000=$B18)*'ANALYSE - ERP =&gt; SOUS-SEGMENT'!$Q$8:$Q$1000*'ANALYSE - ERP =&gt; SOUS-SEGMENT'!$BE$8:$BE$1000*'ANALYSE - ERP =&gt; SOUS-SEGMENT'!$IS$8:$IS$1000)/SUMPRODUCT(('ANALYSE - ERP =&gt; SOUS-SEGMENT'!$B$8:$B$1000=$B18)*'ANALYSE - ERP =&gt; SOUS-SEGMENT'!$Q$8:$Q$1000*'ANALYSE - ERP =&gt; SOUS-SEGMENT'!$BE$8:$BE$1000),""))</f>
        <v>1.1968914089848309E-3</v>
      </c>
      <c r="IT18" s="730">
        <f>IF($B18="","",IFERROR(SUMPRODUCT(('ANALYSE - ERP =&gt; SOUS-SEGMENT'!$B$8:$B$1000=$B18)*'ANALYSE - ERP =&gt; SOUS-SEGMENT'!$Q$8:$Q$1000*'ANALYSE - ERP =&gt; SOUS-SEGMENT'!$FB$8:$FB$1000*'ANALYSE - ERP =&gt; SOUS-SEGMENT'!$IT$8:$IT$1000)/SUMPRODUCT(('ANALYSE - ERP =&gt; SOUS-SEGMENT'!$B$8:$B$1000=$B18)*'ANALYSE - ERP =&gt; SOUS-SEGMENT'!$Q$8:$Q$1000*'ANALYSE - ERP =&gt; SOUS-SEGMENT'!$FB$8:$FB$1000),""))</f>
        <v>3.7634156380053504E-2</v>
      </c>
      <c r="IU18" s="730">
        <f>IF($B18="","",IFERROR(SUMPRODUCT(('ANALYSE - ERP =&gt; SOUS-SEGMENT'!$B$8:$B$1000=$B18)*'ANALYSE - ERP =&gt; SOUS-SEGMENT'!$Q$8:$Q$1000*'ANALYSE - ERP =&gt; SOUS-SEGMENT'!$FB$8:$FB$1000*'ANALYSE - ERP =&gt; SOUS-SEGMENT'!$IU$8:$IU$1000)/SUMPRODUCT(('ANALYSE - ERP =&gt; SOUS-SEGMENT'!$B$8:$B$1000=$B18)*'ANALYSE - ERP =&gt; SOUS-SEGMENT'!$Q$8:$Q$1000*'ANALYSE - ERP =&gt; SOUS-SEGMENT'!$FB$8:$FB$1000),""))</f>
        <v>0.49550024847800339</v>
      </c>
      <c r="IV18" s="730">
        <f>IF($B18="","",IFERROR(SUMPRODUCT(('ANALYSE - ERP =&gt; SOUS-SEGMENT'!$B$8:$B$1000=$B18)*'ANALYSE - ERP =&gt; SOUS-SEGMENT'!$Q$8:$Q$1000*'ANALYSE - ERP =&gt; SOUS-SEGMENT'!$FB$8:$FB$1000*'ANALYSE - ERP =&gt; SOUS-SEGMENT'!$IV$8:$IV$1000)/SUMPRODUCT(('ANALYSE - ERP =&gt; SOUS-SEGMENT'!$B$8:$B$1000=$B18)*'ANALYSE - ERP =&gt; SOUS-SEGMENT'!$Q$8:$Q$1000*'ANALYSE - ERP =&gt; SOUS-SEGMENT'!$FB$8:$FB$1000),""))</f>
        <v>0.41197164555592447</v>
      </c>
      <c r="IW18" s="730">
        <f>IF($B18="","",IFERROR(SUMPRODUCT(('ANALYSE - ERP =&gt; SOUS-SEGMENT'!$B$8:$B$1000=$B18)*'ANALYSE - ERP =&gt; SOUS-SEGMENT'!$Q$8:$Q$1000*'ANALYSE - ERP =&gt; SOUS-SEGMENT'!$FB$8:$FB$1000*'ANALYSE - ERP =&gt; SOUS-SEGMENT'!$IW$8:$IW$1000)/SUMPRODUCT(('ANALYSE - ERP =&gt; SOUS-SEGMENT'!$B$8:$B$1000=$B18)*'ANALYSE - ERP =&gt; SOUS-SEGMENT'!$Q$8:$Q$1000*'ANALYSE - ERP =&gt; SOUS-SEGMENT'!$FB$8:$FB$1000),""))</f>
        <v>5.1926336188304854E-2</v>
      </c>
      <c r="IX18" s="730">
        <f>IF($B18="","",IFERROR(SUMPRODUCT(('ANALYSE - ERP =&gt; SOUS-SEGMENT'!$B$8:$B$1000=$B18)*'ANALYSE - ERP =&gt; SOUS-SEGMENT'!$Q$8:$Q$1000*'ANALYSE - ERP =&gt; SOUS-SEGMENT'!$FB$8:$FB$1000*'ANALYSE - ERP =&gt; SOUS-SEGMENT'!$IX$8:$IX$1000)/SUMPRODUCT(('ANALYSE - ERP =&gt; SOUS-SEGMENT'!$B$8:$B$1000=$B18)*'ANALYSE - ERP =&gt; SOUS-SEGMENT'!$Q$8:$Q$1000*'ANALYSE - ERP =&gt; SOUS-SEGMENT'!$FB$8:$FB$1000),""))</f>
        <v>2.967613397713547E-3</v>
      </c>
      <c r="IY18" s="730">
        <f>IF($B18="","",IFERROR(SUMPRODUCT(('ANALYSE - ERP =&gt; SOUS-SEGMENT'!$B$8:$B$1000=$B18)*'ANALYSE - ERP =&gt; SOUS-SEGMENT'!$Q$8:$Q$1000*'ANALYSE - ERP =&gt; SOUS-SEGMENT'!$BF$8:$BF$1000*'ANALYSE - ERP =&gt; SOUS-SEGMENT'!$IY$8:$IY$1000)/SUMPRODUCT(('ANALYSE - ERP =&gt; SOUS-SEGMENT'!$B$8:$B$1000=$B18)*'ANALYSE - ERP =&gt; SOUS-SEGMENT'!$Q$8:$Q$1000*'ANALYSE - ERP =&gt; SOUS-SEGMENT'!$BF$8:$BF$1000),""))</f>
        <v>0.17430242231075699</v>
      </c>
      <c r="IZ18" s="730">
        <f>IF($B18="","",IFERROR(SUMPRODUCT(('ANALYSE - ERP =&gt; SOUS-SEGMENT'!$B$8:$B$1000=$B18)*'ANALYSE - ERP =&gt; SOUS-SEGMENT'!$Q$8:$Q$1000*'ANALYSE - ERP =&gt; SOUS-SEGMENT'!$BF$8:$BF$1000*'ANALYSE - ERP =&gt; SOUS-SEGMENT'!$IZ$8:$IZ$1000)/SUMPRODUCT(('ANALYSE - ERP =&gt; SOUS-SEGMENT'!$B$8:$B$1000=$B18)*'ANALYSE - ERP =&gt; SOUS-SEGMENT'!$Q$8:$Q$1000*'ANALYSE - ERP =&gt; SOUS-SEGMENT'!$BF$8:$BF$1000),""))</f>
        <v>0.62225753784860549</v>
      </c>
      <c r="JA18" s="730">
        <f>IF($B18="","",IFERROR(SUMPRODUCT(('ANALYSE - ERP =&gt; SOUS-SEGMENT'!$B$8:$B$1000=$B18)*'ANALYSE - ERP =&gt; SOUS-SEGMENT'!$Q$8:$Q$1000*'ANALYSE - ERP =&gt; SOUS-SEGMENT'!$BF$8:$BF$1000*'ANALYSE - ERP =&gt; SOUS-SEGMENT'!$JA$8:$JA$1000)/SUMPRODUCT(('ANALYSE - ERP =&gt; SOUS-SEGMENT'!$B$8:$B$1000=$B18)*'ANALYSE - ERP =&gt; SOUS-SEGMENT'!$Q$8:$Q$1000*'ANALYSE - ERP =&gt; SOUS-SEGMENT'!$BF$8:$BF$1000),""))</f>
        <v>0.19675777689243026</v>
      </c>
      <c r="JB18" s="730">
        <f>IF($B18="","",IFERROR(SUMPRODUCT(('ANALYSE - ERP =&gt; SOUS-SEGMENT'!$B$8:$B$1000=$B18)*'ANALYSE - ERP =&gt; SOUS-SEGMENT'!$Q$8:$Q$1000*'ANALYSE - ERP =&gt; SOUS-SEGMENT'!$BF$8:$BF$1000*'ANALYSE - ERP =&gt; SOUS-SEGMENT'!$JB$8:$JB$1000)/SUMPRODUCT(('ANALYSE - ERP =&gt; SOUS-SEGMENT'!$B$8:$B$1000=$B18)*'ANALYSE - ERP =&gt; SOUS-SEGMENT'!$Q$8:$Q$1000*'ANALYSE - ERP =&gt; SOUS-SEGMENT'!$BF$8:$BF$1000),""))</f>
        <v>6.6645099601593625E-3</v>
      </c>
      <c r="JC18" s="730">
        <f>IF($B18="","",IFERROR(SUMPRODUCT(('ANALYSE - ERP =&gt; SOUS-SEGMENT'!$B$8:$B$1000=$B18)*'ANALYSE - ERP =&gt; SOUS-SEGMENT'!$Q$8:$Q$1000*'ANALYSE - ERP =&gt; SOUS-SEGMENT'!$BF$8:$BF$1000*'ANALYSE - ERP =&gt; SOUS-SEGMENT'!$JC$8:$JC$1000)/SUMPRODUCT(('ANALYSE - ERP =&gt; SOUS-SEGMENT'!$B$8:$B$1000=$B18)*'ANALYSE - ERP =&gt; SOUS-SEGMENT'!$Q$8:$Q$1000*'ANALYSE - ERP =&gt; SOUS-SEGMENT'!$BF$8:$BF$1000),""))</f>
        <v>1.7752988047808764E-5</v>
      </c>
      <c r="JD18" s="730">
        <f>IF($B18="","",IFERROR(SUMPRODUCT(('ANALYSE - ERP =&gt; SOUS-SEGMENT'!$B$8:$B$1000=$B18)*'ANALYSE - ERP =&gt; SOUS-SEGMENT'!$Q$8:$Q$1000*'ANALYSE - ERP =&gt; SOUS-SEGMENT'!$FE$8:$FE$1000*'ANALYSE - ERP =&gt; SOUS-SEGMENT'!$JD$8:$JD$1000)/SUMPRODUCT(('ANALYSE - ERP =&gt; SOUS-SEGMENT'!$B$8:$B$1000=$B18)*'ANALYSE - ERP =&gt; SOUS-SEGMENT'!$Q$8:$Q$1000*'ANALYSE - ERP =&gt; SOUS-SEGMENT'!$FE$8:$FE$1000),""))</f>
        <v>7.5542880108499369E-2</v>
      </c>
      <c r="JE18" s="730">
        <f>IF($B18="","",IFERROR(SUMPRODUCT(('ANALYSE - ERP =&gt; SOUS-SEGMENT'!$B$8:$B$1000=$B18)*'ANALYSE - ERP =&gt; SOUS-SEGMENT'!$Q$8:$Q$1000*'ANALYSE - ERP =&gt; SOUS-SEGMENT'!$FE$8:$FE$1000*'ANALYSE - ERP =&gt; SOUS-SEGMENT'!$JE$8:$JE$1000)/SUMPRODUCT(('ANALYSE - ERP =&gt; SOUS-SEGMENT'!$B$8:$B$1000=$B18)*'ANALYSE - ERP =&gt; SOUS-SEGMENT'!$Q$8:$Q$1000*'ANALYSE - ERP =&gt; SOUS-SEGMENT'!$FE$8:$FE$1000),""))</f>
        <v>0.57812386633355084</v>
      </c>
      <c r="JF18" s="730">
        <f>IF($B18="","",IFERROR(SUMPRODUCT(('ANALYSE - ERP =&gt; SOUS-SEGMENT'!$B$8:$B$1000=$B18)*'ANALYSE - ERP =&gt; SOUS-SEGMENT'!$Q$8:$Q$1000*'ANALYSE - ERP =&gt; SOUS-SEGMENT'!$FE$8:$FE$1000*'ANALYSE - ERP =&gt; SOUS-SEGMENT'!$JF$8:$JF$1000)/SUMPRODUCT(('ANALYSE - ERP =&gt; SOUS-SEGMENT'!$B$8:$B$1000=$B18)*'ANALYSE - ERP =&gt; SOUS-SEGMENT'!$Q$8:$Q$1000*'ANALYSE - ERP =&gt; SOUS-SEGMENT'!$FE$8:$FE$1000),""))</f>
        <v>0.32898089276173326</v>
      </c>
      <c r="JG18" s="730">
        <f>IF($B18="","",IFERROR(SUMPRODUCT(('ANALYSE - ERP =&gt; SOUS-SEGMENT'!$B$8:$B$1000=$B18)*'ANALYSE - ERP =&gt; SOUS-SEGMENT'!$Q$8:$Q$1000*'ANALYSE - ERP =&gt; SOUS-SEGMENT'!$FE$8:$FE$1000*'ANALYSE - ERP =&gt; SOUS-SEGMENT'!$JG$8:$JG$1000)/SUMPRODUCT(('ANALYSE - ERP =&gt; SOUS-SEGMENT'!$B$8:$B$1000=$B18)*'ANALYSE - ERP =&gt; SOUS-SEGMENT'!$Q$8:$Q$1000*'ANALYSE - ERP =&gt; SOUS-SEGMENT'!$FE$8:$FE$1000),""))</f>
        <v>1.7161072833057914E-2</v>
      </c>
      <c r="JH18" s="730">
        <f>IF($B18="","",IFERROR(SUMPRODUCT(('ANALYSE - ERP =&gt; SOUS-SEGMENT'!$B$8:$B$1000=$B18)*'ANALYSE - ERP =&gt; SOUS-SEGMENT'!$Q$8:$Q$1000*'ANALYSE - ERP =&gt; SOUS-SEGMENT'!$FE$8:$FE$1000*'ANALYSE - ERP =&gt; SOUS-SEGMENT'!$JH$8:$JH$1000)/SUMPRODUCT(('ANALYSE - ERP =&gt; SOUS-SEGMENT'!$B$8:$B$1000=$B18)*'ANALYSE - ERP =&gt; SOUS-SEGMENT'!$Q$8:$Q$1000*'ANALYSE - ERP =&gt; SOUS-SEGMENT'!$FE$8:$FE$1000),""))</f>
        <v>1.9128796315848897E-4</v>
      </c>
      <c r="JI18" s="730">
        <f>IF($B18="","",IFERROR(SUMPRODUCT(('ANALYSE - ERP =&gt; SOUS-SEGMENT'!$B$8:$B$1000=$B18)*'ANALYSE - ERP =&gt; SOUS-SEGMENT'!$Q$8:$Q$1000*'ANALYSE - ERP =&gt; SOUS-SEGMENT'!$BG$8:$BG$1000*'ANALYSE - ERP =&gt; SOUS-SEGMENT'!$JI$8:$JI$1000)/SUMPRODUCT(('ANALYSE - ERP =&gt; SOUS-SEGMENT'!$B$8:$B$1000=$B18)*'ANALYSE - ERP =&gt; SOUS-SEGMENT'!$Q$8:$Q$1000*'ANALYSE - ERP =&gt; SOUS-SEGMENT'!$BG$8:$BG$1000),""))</f>
        <v>0.12847583214609509</v>
      </c>
      <c r="JJ18" s="730">
        <f>IF($B18="","",IFERROR(SUMPRODUCT(('ANALYSE - ERP =&gt; SOUS-SEGMENT'!$B$8:$B$1000=$B18)*'ANALYSE - ERP =&gt; SOUS-SEGMENT'!$Q$8:$Q$1000*'ANALYSE - ERP =&gt; SOUS-SEGMENT'!$BG$8:$BG$1000*'ANALYSE - ERP =&gt; SOUS-SEGMENT'!$JJ$8:$JJ$1000)/SUMPRODUCT(('ANALYSE - ERP =&gt; SOUS-SEGMENT'!$B$8:$B$1000=$B18)*'ANALYSE - ERP =&gt; SOUS-SEGMENT'!$Q$8:$Q$1000*'ANALYSE - ERP =&gt; SOUS-SEGMENT'!$BG$8:$BG$1000),""))</f>
        <v>0.53811659111514065</v>
      </c>
      <c r="JK18" s="730">
        <f>IF($B18="","",IFERROR(SUMPRODUCT(('ANALYSE - ERP =&gt; SOUS-SEGMENT'!$B$8:$B$1000=$B18)*'ANALYSE - ERP =&gt; SOUS-SEGMENT'!$Q$8:$Q$1000*'ANALYSE - ERP =&gt; SOUS-SEGMENT'!$BG$8:$BG$1000*'ANALYSE - ERP =&gt; SOUS-SEGMENT'!$JK$8:$JK$1000)/SUMPRODUCT(('ANALYSE - ERP =&gt; SOUS-SEGMENT'!$B$8:$B$1000=$B18)*'ANALYSE - ERP =&gt; SOUS-SEGMENT'!$Q$8:$Q$1000*'ANALYSE - ERP =&gt; SOUS-SEGMENT'!$BG$8:$BG$1000),""))</f>
        <v>0.29422348141432453</v>
      </c>
      <c r="JL18" s="730">
        <f>IF($B18="","",IFERROR(SUMPRODUCT(('ANALYSE - ERP =&gt; SOUS-SEGMENT'!$B$8:$B$1000=$B18)*'ANALYSE - ERP =&gt; SOUS-SEGMENT'!$Q$8:$Q$1000*'ANALYSE - ERP =&gt; SOUS-SEGMENT'!$BG$8:$BG$1000*'ANALYSE - ERP =&gt; SOUS-SEGMENT'!$JL$8:$JL$1000)/SUMPRODUCT(('ANALYSE - ERP =&gt; SOUS-SEGMENT'!$B$8:$B$1000=$B18)*'ANALYSE - ERP =&gt; SOUS-SEGMENT'!$Q$8:$Q$1000*'ANALYSE - ERP =&gt; SOUS-SEGMENT'!$BG$8:$BG$1000),""))</f>
        <v>3.8716876052324829E-2</v>
      </c>
      <c r="JM18" s="730">
        <f>IF($B18="","",IFERROR(SUMPRODUCT(('ANALYSE - ERP =&gt; SOUS-SEGMENT'!$B$8:$B$1000=$B18)*'ANALYSE - ERP =&gt; SOUS-SEGMENT'!$Q$8:$Q$1000*'ANALYSE - ERP =&gt; SOUS-SEGMENT'!$BG$8:$BG$1000*'ANALYSE - ERP =&gt; SOUS-SEGMENT'!$JM$8:$JM$1000)/SUMPRODUCT(('ANALYSE - ERP =&gt; SOUS-SEGMENT'!$B$8:$B$1000=$B18)*'ANALYSE - ERP =&gt; SOUS-SEGMENT'!$Q$8:$Q$1000*'ANALYSE - ERP =&gt; SOUS-SEGMENT'!$BG$8:$BG$1000),""))</f>
        <v>4.6721927211501103E-4</v>
      </c>
      <c r="JN18" s="730">
        <f>IF($B18="","",IFERROR(SUMPRODUCT(('ANALYSE - ERP =&gt; SOUS-SEGMENT'!$B$8:$B$1000=$B18)*'ANALYSE - ERP =&gt; SOUS-SEGMENT'!$Q$8:$Q$1000*'ANALYSE - ERP =&gt; SOUS-SEGMENT'!$FH$8:$FH$1000*'ANALYSE - ERP =&gt; SOUS-SEGMENT'!$JN$8:$JN$1000)/SUMPRODUCT(('ANALYSE - ERP =&gt; SOUS-SEGMENT'!$B$8:$B$1000=$B18)*'ANALYSE - ERP =&gt; SOUS-SEGMENT'!$Q$8:$Q$1000*'ANALYSE - ERP =&gt; SOUS-SEGMENT'!$FH$8:$FH$1000),""))</f>
        <v>6.0049199498747548E-2</v>
      </c>
      <c r="JO18" s="730">
        <f>IF($B18="","",IFERROR(SUMPRODUCT(('ANALYSE - ERP =&gt; SOUS-SEGMENT'!$B$8:$B$1000=$B18)*'ANALYSE - ERP =&gt; SOUS-SEGMENT'!$Q$8:$Q$1000*'ANALYSE - ERP =&gt; SOUS-SEGMENT'!$FH$8:$FH$1000*'ANALYSE - ERP =&gt; SOUS-SEGMENT'!$JO$8:$JO$1000)/SUMPRODUCT(('ANALYSE - ERP =&gt; SOUS-SEGMENT'!$B$8:$B$1000=$B18)*'ANALYSE - ERP =&gt; SOUS-SEGMENT'!$Q$8:$Q$1000*'ANALYSE - ERP =&gt; SOUS-SEGMENT'!$FH$8:$FH$1000),""))</f>
        <v>0.46673569164703593</v>
      </c>
      <c r="JP18" s="730">
        <f>IF($B18="","",IFERROR(SUMPRODUCT(('ANALYSE - ERP =&gt; SOUS-SEGMENT'!$B$8:$B$1000=$B18)*'ANALYSE - ERP =&gt; SOUS-SEGMENT'!$Q$8:$Q$1000*'ANALYSE - ERP =&gt; SOUS-SEGMENT'!$FH$8:$FH$1000*'ANALYSE - ERP =&gt; SOUS-SEGMENT'!$JP$8:$JP$1000)/SUMPRODUCT(('ANALYSE - ERP =&gt; SOUS-SEGMENT'!$B$8:$B$1000=$B18)*'ANALYSE - ERP =&gt; SOUS-SEGMENT'!$Q$8:$Q$1000*'ANALYSE - ERP =&gt; SOUS-SEGMENT'!$FH$8:$FH$1000),""))</f>
        <v>0.40241373847741185</v>
      </c>
      <c r="JQ18" s="730">
        <f>IF($B18="","",IFERROR(SUMPRODUCT(('ANALYSE - ERP =&gt; SOUS-SEGMENT'!$B$8:$B$1000=$B18)*'ANALYSE - ERP =&gt; SOUS-SEGMENT'!$Q$8:$Q$1000*'ANALYSE - ERP =&gt; SOUS-SEGMENT'!$FH$8:$FH$1000*'ANALYSE - ERP =&gt; SOUS-SEGMENT'!$JQ$8:$JQ$1000)/SUMPRODUCT(('ANALYSE - ERP =&gt; SOUS-SEGMENT'!$B$8:$B$1000=$B18)*'ANALYSE - ERP =&gt; SOUS-SEGMENT'!$Q$8:$Q$1000*'ANALYSE - ERP =&gt; SOUS-SEGMENT'!$FH$8:$FH$1000),""))</f>
        <v>6.8952052802722291E-2</v>
      </c>
      <c r="JR18" s="730">
        <f>IF($B18="","",IFERROR(SUMPRODUCT(('ANALYSE - ERP =&gt; SOUS-SEGMENT'!$B$8:$B$1000=$B18)*'ANALYSE - ERP =&gt; SOUS-SEGMENT'!$Q$8:$Q$1000*'ANALYSE - ERP =&gt; SOUS-SEGMENT'!$FH$8:$FH$1000*'ANALYSE - ERP =&gt; SOUS-SEGMENT'!$JR$8:$JR$1000)/SUMPRODUCT(('ANALYSE - ERP =&gt; SOUS-SEGMENT'!$B$8:$B$1000=$B18)*'ANALYSE - ERP =&gt; SOUS-SEGMENT'!$Q$8:$Q$1000*'ANALYSE - ERP =&gt; SOUS-SEGMENT'!$FH$8:$FH$1000),""))</f>
        <v>1.8493175740825008E-3</v>
      </c>
      <c r="JS18" s="730">
        <f>IF($B18="","",IFERROR(SUMPRODUCT(('ANALYSE - ERP =&gt; SOUS-SEGMENT'!$B$8:$B$1000=$B18)*'ANALYSE - ERP =&gt; SOUS-SEGMENT'!$Q$8:$Q$1000*'ANALYSE - ERP =&gt; SOUS-SEGMENT'!$BH$8:$BH$1000*'ANALYSE - ERP =&gt; SOUS-SEGMENT'!$JS$8:$JS$1000)/SUMPRODUCT(('ANALYSE - ERP =&gt; SOUS-SEGMENT'!$B$8:$B$1000=$B18)*'ANALYSE - ERP =&gt; SOUS-SEGMENT'!$Q$8:$Q$1000*'ANALYSE - ERP =&gt; SOUS-SEGMENT'!$BH$8:$BH$1000),""))</f>
        <v>0.15076940922896051</v>
      </c>
      <c r="JT18" s="730">
        <f>IF($B18="","",IFERROR(SUMPRODUCT(('ANALYSE - ERP =&gt; SOUS-SEGMENT'!$B$8:$B$1000=$B18)*'ANALYSE - ERP =&gt; SOUS-SEGMENT'!$Q$8:$Q$1000*'ANALYSE - ERP =&gt; SOUS-SEGMENT'!$BH$8:$BH$1000*'ANALYSE - ERP =&gt; SOUS-SEGMENT'!$JT$8:$JT$1000)/SUMPRODUCT(('ANALYSE - ERP =&gt; SOUS-SEGMENT'!$B$8:$B$1000=$B18)*'ANALYSE - ERP =&gt; SOUS-SEGMENT'!$Q$8:$Q$1000*'ANALYSE - ERP =&gt; SOUS-SEGMENT'!$BH$8:$BH$1000),""))</f>
        <v>0.6054205623591653</v>
      </c>
      <c r="JU18" s="730">
        <f>IF($B18="","",IFERROR(SUMPRODUCT(('ANALYSE - ERP =&gt; SOUS-SEGMENT'!$B$8:$B$1000=$B18)*'ANALYSE - ERP =&gt; SOUS-SEGMENT'!$Q$8:$Q$1000*'ANALYSE - ERP =&gt; SOUS-SEGMENT'!$BH$8:$BH$1000*'ANALYSE - ERP =&gt; SOUS-SEGMENT'!$JU$8:$JU$1000)/SUMPRODUCT(('ANALYSE - ERP =&gt; SOUS-SEGMENT'!$B$8:$B$1000=$B18)*'ANALYSE - ERP =&gt; SOUS-SEGMENT'!$Q$8:$Q$1000*'ANALYSE - ERP =&gt; SOUS-SEGMENT'!$BH$8:$BH$1000),""))</f>
        <v>0.21852230821984914</v>
      </c>
      <c r="JV18" s="730">
        <f>IF($B18="","",IFERROR(SUMPRODUCT(('ANALYSE - ERP =&gt; SOUS-SEGMENT'!$B$8:$B$1000=$B18)*'ANALYSE - ERP =&gt; SOUS-SEGMENT'!$Q$8:$Q$1000*'ANALYSE - ERP =&gt; SOUS-SEGMENT'!$BH$8:$BH$1000*'ANALYSE - ERP =&gt; SOUS-SEGMENT'!$JV$8:$JV$1000)/SUMPRODUCT(('ANALYSE - ERP =&gt; SOUS-SEGMENT'!$B$8:$B$1000=$B18)*'ANALYSE - ERP =&gt; SOUS-SEGMENT'!$Q$8:$Q$1000*'ANALYSE - ERP =&gt; SOUS-SEGMENT'!$BH$8:$BH$1000),""))</f>
        <v>2.4731180562359165E-2</v>
      </c>
      <c r="JW18" s="730">
        <f>IF($B18="","",IFERROR(SUMPRODUCT(('ANALYSE - ERP =&gt; SOUS-SEGMENT'!$B$8:$B$1000=$B18)*'ANALYSE - ERP =&gt; SOUS-SEGMENT'!$Q$8:$Q$1000*'ANALYSE - ERP =&gt; SOUS-SEGMENT'!$BH$8:$BH$1000*'ANALYSE - ERP =&gt; SOUS-SEGMENT'!$JW$8:$JW$1000)/SUMPRODUCT(('ANALYSE - ERP =&gt; SOUS-SEGMENT'!$B$8:$B$1000=$B18)*'ANALYSE - ERP =&gt; SOUS-SEGMENT'!$Q$8:$Q$1000*'ANALYSE - ERP =&gt; SOUS-SEGMENT'!$BH$8:$BH$1000),""))</f>
        <v>5.5653962966591554E-4</v>
      </c>
      <c r="JX18" s="730">
        <f>IF($B18="","",IFERROR(SUMPRODUCT(('ANALYSE - ERP =&gt; SOUS-SEGMENT'!$B$8:$B$1000=$B18)*'ANALYSE - ERP =&gt; SOUS-SEGMENT'!$Q$8:$Q$1000*'ANALYSE - ERP =&gt; SOUS-SEGMENT'!$FK$8:$FK$1000*'ANALYSE - ERP =&gt; SOUS-SEGMENT'!$JX$8:$JX$1000)/SUMPRODUCT(('ANALYSE - ERP =&gt; SOUS-SEGMENT'!$B$8:$B$1000=$B18)*'ANALYSE - ERP =&gt; SOUS-SEGMENT'!$Q$8:$Q$1000*'ANALYSE - ERP =&gt; SOUS-SEGMENT'!$FK$8:$FK$1000),""))</f>
        <v>6.0931634164386163E-2</v>
      </c>
      <c r="JY18" s="730">
        <f>IF($B18="","",IFERROR(SUMPRODUCT(('ANALYSE - ERP =&gt; SOUS-SEGMENT'!$B$8:$B$1000=$B18)*'ANALYSE - ERP =&gt; SOUS-SEGMENT'!$Q$8:$Q$1000*'ANALYSE - ERP =&gt; SOUS-SEGMENT'!$FK$8:$FK$1000*'ANALYSE - ERP =&gt; SOUS-SEGMENT'!$JY$8:$JY$1000)/SUMPRODUCT(('ANALYSE - ERP =&gt; SOUS-SEGMENT'!$B$8:$B$1000=$B18)*'ANALYSE - ERP =&gt; SOUS-SEGMENT'!$Q$8:$Q$1000*'ANALYSE - ERP =&gt; SOUS-SEGMENT'!$FK$8:$FK$1000),""))</f>
        <v>0.5524930094864291</v>
      </c>
      <c r="JZ18" s="730">
        <f>IF($B18="","",IFERROR(SUMPRODUCT(('ANALYSE - ERP =&gt; SOUS-SEGMENT'!$B$8:$B$1000=$B18)*'ANALYSE - ERP =&gt; SOUS-SEGMENT'!$Q$8:$Q$1000*'ANALYSE - ERP =&gt; SOUS-SEGMENT'!$FK$8:$FK$1000*'ANALYSE - ERP =&gt; SOUS-SEGMENT'!$JZ$8:$JZ$1000)/SUMPRODUCT(('ANALYSE - ERP =&gt; SOUS-SEGMENT'!$B$8:$B$1000=$B18)*'ANALYSE - ERP =&gt; SOUS-SEGMENT'!$Q$8:$Q$1000*'ANALYSE - ERP =&gt; SOUS-SEGMENT'!$FK$8:$FK$1000),""))</f>
        <v>0.34465492961112626</v>
      </c>
      <c r="KA18" s="730">
        <f>IF($B18="","",IFERROR(SUMPRODUCT(('ANALYSE - ERP =&gt; SOUS-SEGMENT'!$B$8:$B$1000=$B18)*'ANALYSE - ERP =&gt; SOUS-SEGMENT'!$Q$8:$Q$1000*'ANALYSE - ERP =&gt; SOUS-SEGMENT'!$FK$8:$FK$1000*'ANALYSE - ERP =&gt; SOUS-SEGMENT'!$KA$8:$KA$1000)/SUMPRODUCT(('ANALYSE - ERP =&gt; SOUS-SEGMENT'!$B$8:$B$1000=$B18)*'ANALYSE - ERP =&gt; SOUS-SEGMENT'!$Q$8:$Q$1000*'ANALYSE - ERP =&gt; SOUS-SEGMENT'!$FK$8:$FK$1000),""))</f>
        <v>4.0343091182682929E-2</v>
      </c>
      <c r="KB18" s="730">
        <f>IF($B18="","",IFERROR(SUMPRODUCT(('ANALYSE - ERP =&gt; SOUS-SEGMENT'!$B$8:$B$1000=$B18)*'ANALYSE - ERP =&gt; SOUS-SEGMENT'!$Q$8:$Q$1000*'ANALYSE - ERP =&gt; SOUS-SEGMENT'!$FK$8:$FK$1000*'ANALYSE - ERP =&gt; SOUS-SEGMENT'!$KB$8:$KB$1000)/SUMPRODUCT(('ANALYSE - ERP =&gt; SOUS-SEGMENT'!$B$8:$B$1000=$B18)*'ANALYSE - ERP =&gt; SOUS-SEGMENT'!$Q$8:$Q$1000*'ANALYSE - ERP =&gt; SOUS-SEGMENT'!$FK$8:$FK$1000),""))</f>
        <v>1.5773355553752462E-3</v>
      </c>
      <c r="KC18" s="657"/>
      <c r="KD18" s="920" t="s">
        <v>6699</v>
      </c>
      <c r="KE18" s="920" t="s">
        <v>6700</v>
      </c>
      <c r="KF18" s="866">
        <f>IF($B18="","",IFERROR(SUMPRODUCT(('ANALYSE - ERP =&gt; SOUS-SEGMENT'!$B$8:$B$1000=$B18)*'ANALYSE - ERP =&gt; SOUS-SEGMENT'!$Q$8:$Q$1000*'ANALYSE - ERP =&gt; SOUS-SEGMENT'!$IE$8:$IE$1000*'ANALYSE - ERP =&gt; SOUS-SEGMENT'!$KF$8:$KF$1000)/SUMPRODUCT(('ANALYSE - ERP =&gt; SOUS-SEGMENT'!$B$8:$B$1000=$B18)*'ANALYSE - ERP =&gt; SOUS-SEGMENT'!$Q$8:$Q$1000*'ANALYSE - ERP =&gt; SOUS-SEGMENT'!$IE$8:$IE$1000),""))</f>
        <v>4.4992651185802472</v>
      </c>
      <c r="KG18" s="920" t="s">
        <v>6701</v>
      </c>
      <c r="KH18" s="920" t="s">
        <v>6702</v>
      </c>
      <c r="KI18" s="920" t="s">
        <v>6703</v>
      </c>
      <c r="KJ18" s="920" t="s">
        <v>6704</v>
      </c>
    </row>
    <row r="19" spans="1:296" ht="120" customHeight="1">
      <c r="A19" s="951">
        <f>IF($B19="","",ROWS($A$8:A19))</f>
        <v>12</v>
      </c>
      <c r="B19" s="952" t="s">
        <v>5167</v>
      </c>
      <c r="C19" s="952" t="s">
        <v>6705</v>
      </c>
      <c r="D19" s="952" t="s">
        <v>6225</v>
      </c>
      <c r="E19" s="646" t="s">
        <v>2117</v>
      </c>
      <c r="F19" s="646" t="s">
        <v>6226</v>
      </c>
      <c r="G19" s="646" t="s">
        <v>2121</v>
      </c>
      <c r="H19" s="646" t="s">
        <v>2109</v>
      </c>
      <c r="I19" s="646" t="s">
        <v>6227</v>
      </c>
      <c r="J19" s="646" t="s">
        <v>6228</v>
      </c>
      <c r="K19" s="646" t="s">
        <v>2097</v>
      </c>
      <c r="L19" s="646" t="s">
        <v>2109</v>
      </c>
      <c r="M19" s="646" t="s">
        <v>2603</v>
      </c>
      <c r="N19" s="646" t="s">
        <v>2099</v>
      </c>
      <c r="O19" s="646" t="s">
        <v>2616</v>
      </c>
      <c r="P19" s="646"/>
      <c r="Q19" s="270">
        <f>IF($B19="","",IF(SUMIFS('ANALYSE - ERP =&gt; SOUS-SEGMENT'!$Q$8:$Q$1000,'ANALYSE - ERP =&gt; SOUS-SEGMENT'!$B$8:$B$1000,$B19)&gt;0,1,0))</f>
        <v>1</v>
      </c>
      <c r="R19" s="278">
        <f>IF($B19="","",IFERROR(SUMPRODUCT(('ANALYSE - ERP =&gt; SOUS-SEGMENT'!$B$8:$B$1000=$B19)*'ANALYSE - ERP =&gt; SOUS-SEGMENT'!$Q$8:$Q$1000*'ANALYSE - ERP =&gt; SOUS-SEGMENT'!$AF$8:$AF$1000*'ANALYSE - ERP =&gt; SOUS-SEGMENT'!$R$8:$R$1000)/SUMPRODUCT(('ANALYSE - ERP =&gt; SOUS-SEGMENT'!$B$8:$B$1000=$B19)*'ANALYSE - ERP =&gt; SOUS-SEGMENT'!$Q$8:$Q$1000*'ANALYSE - ERP =&gt; SOUS-SEGMENT'!$AF$8:$AF$1000),""))</f>
        <v>26.736980883322346</v>
      </c>
      <c r="S19" s="279">
        <f>IF($B19="","",SUMPRODUCT(('ANALYSE - ERP =&gt; SOUS-SEGMENT'!$B$8:$B$1000=$B19)*'ANALYSE - ERP =&gt; SOUS-SEGMENT'!$Q$8:$Q$1000*'ANALYSE - ERP =&gt; SOUS-SEGMENT'!$S$8:$S$1000))</f>
        <v>10720</v>
      </c>
      <c r="T19" s="279">
        <f>IF($B19="","",SUMPRODUCT(('ANALYSE - ERP =&gt; SOUS-SEGMENT'!$B$8:$B$1000=$B19)*'ANALYSE - ERP =&gt; SOUS-SEGMENT'!$Q$8:$Q$1000*'ANALYSE - ERP =&gt; SOUS-SEGMENT'!$T$8:$T$1000))</f>
        <v>11460</v>
      </c>
      <c r="U19" s="279">
        <f>IF($B19="","",SUMPRODUCT(('ANALYSE - ERP =&gt; SOUS-SEGMENT'!$B$8:$B$1000=$B19)*'ANALYSE - ERP =&gt; SOUS-SEGMENT'!$Q$8:$Q$1000*'ANALYSE - ERP =&gt; SOUS-SEGMENT'!$U$8:$U$1000))</f>
        <v>12200</v>
      </c>
      <c r="V19" s="279">
        <f>IF($B19="","",SUMPRODUCT(('ANALYSE - ERP =&gt; SOUS-SEGMENT'!$B$8:$B$1000=$B19)*'ANALYSE - ERP =&gt; SOUS-SEGMENT'!$Q$8:$Q$1000*'ANALYSE - ERP =&gt; SOUS-SEGMENT'!$V$8:$V$1000))</f>
        <v>13040</v>
      </c>
      <c r="W19" s="279">
        <f>IF($B19="","",SUMPRODUCT(('ANALYSE - ERP =&gt; SOUS-SEGMENT'!$B$8:$B$1000=$B19)*'ANALYSE - ERP =&gt; SOUS-SEGMENT'!$Q$8:$Q$1000*'ANALYSE - ERP =&gt; SOUS-SEGMENT'!$W$8:$W$1000))</f>
        <v>13288</v>
      </c>
      <c r="X19" s="279">
        <f>IF($B19="","",SUMPRODUCT(('ANALYSE - ERP =&gt; SOUS-SEGMENT'!$B$8:$B$1000=$B19)*'ANALYSE - ERP =&gt; SOUS-SEGMENT'!$Q$8:$Q$1000*'ANALYSE - ERP =&gt; SOUS-SEGMENT'!$X$8:$X$1000))</f>
        <v>13536</v>
      </c>
      <c r="Y19" s="279">
        <f>IF($B19="","",SUMPRODUCT(('ANALYSE - ERP =&gt; SOUS-SEGMENT'!$B$8:$B$1000=$B19)*'ANALYSE - ERP =&gt; SOUS-SEGMENT'!$Q$8:$Q$1000*'ANALYSE - ERP =&gt; SOUS-SEGMENT'!$Y$8:$Y$1000))</f>
        <v>13784</v>
      </c>
      <c r="Z19" s="279">
        <f>IF($B19="","",SUMPRODUCT(('ANALYSE - ERP =&gt; SOUS-SEGMENT'!$B$8:$B$1000=$B19)*'ANALYSE - ERP =&gt; SOUS-SEGMENT'!$Q$8:$Q$1000*'ANALYSE - ERP =&gt; SOUS-SEGMENT'!$Z$8:$Z$1000))</f>
        <v>14082</v>
      </c>
      <c r="AA19" s="279">
        <f>IF($B19="","",SUMPRODUCT(('ANALYSE - ERP =&gt; SOUS-SEGMENT'!$B$8:$B$1000=$B19)*'ANALYSE - ERP =&gt; SOUS-SEGMENT'!$Q$8:$Q$1000*'ANALYSE - ERP =&gt; SOUS-SEGMENT'!$AA$8:$AA$1000))</f>
        <v>14380</v>
      </c>
      <c r="AB19" s="279">
        <f>IF($B19="","",SUMPRODUCT(('ANALYSE - ERP =&gt; SOUS-SEGMENT'!$B$8:$B$1000=$B19)*'ANALYSE - ERP =&gt; SOUS-SEGMENT'!$Q$8:$Q$1000*'ANALYSE - ERP =&gt; SOUS-SEGMENT'!$AB$8:$AB$1000))</f>
        <v>14578</v>
      </c>
      <c r="AC19" s="279">
        <f>IF($B19="","",SUMPRODUCT(('ANALYSE - ERP =&gt; SOUS-SEGMENT'!$B$8:$B$1000=$B19)*'ANALYSE - ERP =&gt; SOUS-SEGMENT'!$Q$8:$Q$1000*'ANALYSE - ERP =&gt; SOUS-SEGMENT'!$AC$8:$AC$1000))</f>
        <v>14776</v>
      </c>
      <c r="AD19" s="279">
        <f>IF($B19="","",SUMPRODUCT(('ANALYSE - ERP =&gt; SOUS-SEGMENT'!$B$8:$B$1000=$B19)*'ANALYSE - ERP =&gt; SOUS-SEGMENT'!$Q$8:$Q$1000*'ANALYSE - ERP =&gt; SOUS-SEGMENT'!$AD$8:$AD$1000))</f>
        <v>14974</v>
      </c>
      <c r="AE19" s="279">
        <f>IF($B19="","",SUMPRODUCT(('ANALYSE - ERP =&gt; SOUS-SEGMENT'!$B$8:$B$1000=$B19)*'ANALYSE - ERP =&gt; SOUS-SEGMENT'!$Q$8:$Q$1000*'ANALYSE - ERP =&gt; SOUS-SEGMENT'!$AE$8:$AE$1000))</f>
        <v>15072</v>
      </c>
      <c r="AF19" s="279">
        <f>IF($B19="","",SUMPRODUCT(('ANALYSE - ERP =&gt; SOUS-SEGMENT'!$B$8:$B$1000=$B19)*'ANALYSE - ERP =&gt; SOUS-SEGMENT'!$Q$8:$Q$1000*'ANALYSE - ERP =&gt; SOUS-SEGMENT'!$AF$8:$AF$1000))</f>
        <v>15170</v>
      </c>
      <c r="AG19" s="279">
        <f>IF($B19="","",SUMPRODUCT(('ANALYSE - ERP =&gt; SOUS-SEGMENT'!$B$8:$B$1000=$B19)*'ANALYSE - ERP =&gt; SOUS-SEGMENT'!$Q$8:$Q$1000*'ANALYSE - ERP =&gt; SOUS-SEGMENT'!$AG$8:$AG$1000))</f>
        <v>15269</v>
      </c>
      <c r="AH19" s="279">
        <f>IF($B19="","",SUMPRODUCT(('ANALYSE - ERP =&gt; SOUS-SEGMENT'!$B$8:$B$1000=$B19)*'ANALYSE - ERP =&gt; SOUS-SEGMENT'!$Q$8:$Q$1000*'ANALYSE - ERP =&gt; SOUS-SEGMENT'!$AH$8:$AH$1000))</f>
        <v>15368</v>
      </c>
      <c r="AI19" s="279">
        <f>IF($B19="","",SUMPRODUCT(('ANALYSE - ERP =&gt; SOUS-SEGMENT'!$B$8:$B$1000=$B19)*'ANALYSE - ERP =&gt; SOUS-SEGMENT'!$Q$8:$Q$1000*'ANALYSE - ERP =&gt; SOUS-SEGMENT'!$AI$8:$AI$1000))</f>
        <v>15467</v>
      </c>
      <c r="AJ19" s="279">
        <f>IF($B19="","",SUMPRODUCT(('ANALYSE - ERP =&gt; SOUS-SEGMENT'!$B$8:$B$1000=$B19)*'ANALYSE - ERP =&gt; SOUS-SEGMENT'!$Q$8:$Q$1000*'ANALYSE - ERP =&gt; SOUS-SEGMENT'!$AJ$8:$AJ$1000))</f>
        <v>15566</v>
      </c>
      <c r="AK19" s="279">
        <f>IF($B19="","",SUMPRODUCT(('ANALYSE - ERP =&gt; SOUS-SEGMENT'!$B$8:$B$1000=$B19)*'ANALYSE - ERP =&gt; SOUS-SEGMENT'!$Q$8:$Q$1000*'ANALYSE - ERP =&gt; SOUS-SEGMENT'!$AK$8:$AK$1000))</f>
        <v>15665</v>
      </c>
      <c r="AL19" s="646" t="s">
        <v>6229</v>
      </c>
      <c r="AM19" s="646" t="s">
        <v>5169</v>
      </c>
      <c r="AN19" s="646" t="s">
        <v>6230</v>
      </c>
      <c r="AO19" s="657"/>
      <c r="AP19" s="278">
        <f>IF($B19="","",IFERROR(SUMPRODUCT(('ANALYSE - ERP =&gt; SOUS-SEGMENT'!$B$8:$B$1000=$B19)*'ANALYSE - ERP =&gt; SOUS-SEGMENT'!$Q$8:$Q$1000*'ANALYSE - ERP =&gt; SOUS-SEGMENT'!$AF$8:$AF$1000*'ANALYSE - ERP =&gt; SOUS-SEGMENT'!$AP$8:$AP$1000)/SUMPRODUCT(('ANALYSE - ERP =&gt; SOUS-SEGMENT'!$B$8:$B$1000=$B19)*'ANALYSE - ERP =&gt; SOUS-SEGMENT'!$Q$8:$Q$1000*'ANALYSE - ERP =&gt; SOUS-SEGMENT'!$AF$8:$AF$1000),""))</f>
        <v>6.2689518787079761</v>
      </c>
      <c r="AQ19" s="278">
        <f>IF($B19="","",IFERROR(SUMPRODUCT(('ANALYSE - ERP =&gt; SOUS-SEGMENT'!$B$8:$B$1000=$B19)*'ANALYSE - ERP =&gt; SOUS-SEGMENT'!$Q$8:$Q$1000*'ANALYSE - ERP =&gt; SOUS-SEGMENT'!$AF$8:$AF$1000*'ANALYSE - ERP =&gt; SOUS-SEGMENT'!$AQ$8:$AQ$1000)/SUMPRODUCT(('ANALYSE - ERP =&gt; SOUS-SEGMENT'!$B$8:$B$1000=$B19)*'ANALYSE - ERP =&gt; SOUS-SEGMENT'!$Q$8:$Q$1000*'ANALYSE - ERP =&gt; SOUS-SEGMENT'!$AF$8:$AF$1000),""))</f>
        <v>6.2241265655899802</v>
      </c>
      <c r="AR19" s="278">
        <f>IF($B19="","",IFERROR(SUMPRODUCT(('ANALYSE - ERP =&gt; SOUS-SEGMENT'!$B$8:$B$1000=$B19)*'ANALYSE - ERP =&gt; SOUS-SEGMENT'!$Q$8:$Q$1000*'ANALYSE - ERP =&gt; SOUS-SEGMENT'!$AF$8:$AF$1000*'ANALYSE - ERP =&gt; SOUS-SEGMENT'!$AR$8:$AR$1000)/SUMPRODUCT(('ANALYSE - ERP =&gt; SOUS-SEGMENT'!$B$8:$B$1000=$B19)*'ANALYSE - ERP =&gt; SOUS-SEGMENT'!$Q$8:$Q$1000*'ANALYSE - ERP =&gt; SOUS-SEGMENT'!$AF$8:$AF$1000),""))</f>
        <v>3.3618984838497033E-2</v>
      </c>
      <c r="AS19" s="278">
        <f>IF($B19="","",IFERROR(SUMPRODUCT(('ANALYSE - ERP =&gt; SOUS-SEGMENT'!$B$8:$B$1000=$B19)*'ANALYSE - ERP =&gt; SOUS-SEGMENT'!$Q$8:$Q$1000*'ANALYSE - ERP =&gt; SOUS-SEGMENT'!$AF$8:$AF$1000*'ANALYSE - ERP =&gt; SOUS-SEGMENT'!$AS$8:$AS$1000)/SUMPRODUCT(('ANALYSE - ERP =&gt; SOUS-SEGMENT'!$B$8:$B$1000=$B19)*'ANALYSE - ERP =&gt; SOUS-SEGMENT'!$Q$8:$Q$1000*'ANALYSE - ERP =&gt; SOUS-SEGMENT'!$AF$8:$AF$1000),""))</f>
        <v>1.1206328279499011E-2</v>
      </c>
      <c r="AT19" s="657"/>
      <c r="AU19" s="646" t="s">
        <v>6231</v>
      </c>
      <c r="AV19" s="646" t="s">
        <v>6232</v>
      </c>
      <c r="AW19" s="646" t="s">
        <v>6233</v>
      </c>
      <c r="AX19" s="646" t="s">
        <v>6234</v>
      </c>
      <c r="AY19" s="657"/>
      <c r="AZ19" s="947">
        <f>IF($B19="","",IFERROR(SUMPRODUCT(('ANALYSE - ERP =&gt; SOUS-SEGMENT'!$B$8:$B$1000=$B19)*'ANALYSE - ERP =&gt; SOUS-SEGMENT'!$Q$8:$Q$1000*'ANALYSE - ERP =&gt; SOUS-SEGMENT'!$AF$8:$AF$1000*'ANALYSE - ERP =&gt; SOUS-SEGMENT'!$AZ$8:$AZ$1000)/SUMPRODUCT(('ANALYSE - ERP =&gt; SOUS-SEGMENT'!$B$8:$B$1000=$B19)*'ANALYSE - ERP =&gt; SOUS-SEGMENT'!$Q$8:$Q$1000*'ANALYSE - ERP =&gt; SOUS-SEGMENT'!$AF$8:$AF$1000),""))</f>
        <v>1.0336189848384971</v>
      </c>
      <c r="BA19" s="947">
        <f>IF($B19="","",IFERROR(SUMPRODUCT(('ANALYSE - ERP =&gt; SOUS-SEGMENT'!$B$8:$B$1000=$B19)*'ANALYSE - ERP =&gt; SOUS-SEGMENT'!$Q$8:$Q$1000*'ANALYSE - ERP =&gt; SOUS-SEGMENT'!$AF$8:$AF$1000*'ANALYSE - ERP =&gt; SOUS-SEGMENT'!$BA$8:$BA$1000)/SUMPRODUCT(('ANALYSE - ERP =&gt; SOUS-SEGMENT'!$B$8:$B$1000=$B19)*'ANALYSE - ERP =&gt; SOUS-SEGMENT'!$Q$8:$Q$1000*'ANALYSE - ERP =&gt; SOUS-SEGMENT'!$AF$8:$AF$1000),""))</f>
        <v>8.9650626235992084E-2</v>
      </c>
      <c r="BB19" s="947">
        <f>IF($B19="","",IFERROR(SUMPRODUCT(('ANALYSE - ERP =&gt; SOUS-SEGMENT'!$B$8:$B$1000=$B19)*'ANALYSE - ERP =&gt; SOUS-SEGMENT'!$Q$8:$Q$1000*'ANALYSE - ERP =&gt; SOUS-SEGMENT'!$AF$8:$AF$1000*'ANALYSE - ERP =&gt; SOUS-SEGMENT'!$BB$8:$BB$1000)/SUMPRODUCT(('ANALYSE - ERP =&gt; SOUS-SEGMENT'!$B$8:$B$1000=$B19)*'ANALYSE - ERP =&gt; SOUS-SEGMENT'!$Q$8:$Q$1000*'ANALYSE - ERP =&gt; SOUS-SEGMENT'!$AF$8:$AF$1000),""))</f>
        <v>0.51120632827949897</v>
      </c>
      <c r="BC19" s="947">
        <f>IF($B19="","",IFERROR(SUMPRODUCT(('ANALYSE - ERP =&gt; SOUS-SEGMENT'!$B$8:$B$1000=$B19)*'ANALYSE - ERP =&gt; SOUS-SEGMENT'!$Q$8:$Q$1000*'ANALYSE - ERP =&gt; SOUS-SEGMENT'!$AF$8:$AF$1000*'ANALYSE - ERP =&gt; SOUS-SEGMENT'!$BC$8:$BC$1000)/SUMPRODUCT(('ANALYSE - ERP =&gt; SOUS-SEGMENT'!$B$8:$B$1000=$B19)*'ANALYSE - ERP =&gt; SOUS-SEGMENT'!$Q$8:$Q$1000*'ANALYSE - ERP =&gt; SOUS-SEGMENT'!$AF$8:$AF$1000),""))</f>
        <v>1.0224126565589979</v>
      </c>
      <c r="BD19" s="826">
        <f t="shared" si="1"/>
        <v>40305</v>
      </c>
      <c r="BE19" s="283">
        <f>IF($B19="","",SUMPRODUCT(('ANALYSE - ERP =&gt; SOUS-SEGMENT'!$B$8:$B$1000=$B19)*'ANALYSE - ERP =&gt; SOUS-SEGMENT'!$Q$8:$Q$1000*'ANALYSE - ERP =&gt; SOUS-SEGMENT'!$BE$8:$BE$1000))</f>
        <v>15680</v>
      </c>
      <c r="BF19" s="283">
        <f>IF($B19="","",SUMPRODUCT(('ANALYSE - ERP =&gt; SOUS-SEGMENT'!$B$8:$B$1000=$B19)*'ANALYSE - ERP =&gt; SOUS-SEGMENT'!$Q$8:$Q$1000*'ANALYSE - ERP =&gt; SOUS-SEGMENT'!$BF$8:$BF$1000))</f>
        <v>1360</v>
      </c>
      <c r="BG19" s="283">
        <f>IF($B19="","",SUMPRODUCT(('ANALYSE - ERP =&gt; SOUS-SEGMENT'!$B$8:$B$1000=$B19)*'ANALYSE - ERP =&gt; SOUS-SEGMENT'!$Q$8:$Q$1000*'ANALYSE - ERP =&gt; SOUS-SEGMENT'!$BG$8:$BG$1000))</f>
        <v>7755</v>
      </c>
      <c r="BH19" s="283">
        <f>IF($B19="","",SUMPRODUCT(('ANALYSE - ERP =&gt; SOUS-SEGMENT'!$B$8:$B$1000=$B19)*'ANALYSE - ERP =&gt; SOUS-SEGMENT'!$Q$8:$Q$1000*'ANALYSE - ERP =&gt; SOUS-SEGMENT'!$BH$8:$BH$1000))</f>
        <v>15510</v>
      </c>
      <c r="BI19" s="826">
        <f t="shared" si="2"/>
        <v>41472.5</v>
      </c>
      <c r="BJ19" s="283">
        <f>IF($B19="","",SUMPRODUCT(('ANALYSE - ERP =&gt; SOUS-SEGMENT'!$B$8:$B$1000=$B19)*'ANALYSE - ERP =&gt; SOUS-SEGMENT'!$Q$8:$Q$1000*'ANALYSE - ERP =&gt; SOUS-SEGMENT'!$BJ$8:$BJ$1000))</f>
        <v>16160</v>
      </c>
      <c r="BK19" s="283">
        <f>IF($B19="","",SUMPRODUCT(('ANALYSE - ERP =&gt; SOUS-SEGMENT'!$B$8:$B$1000=$B19)*'ANALYSE - ERP =&gt; SOUS-SEGMENT'!$Q$8:$Q$1000*'ANALYSE - ERP =&gt; SOUS-SEGMENT'!$BK$8:$BK$1000))</f>
        <v>1320</v>
      </c>
      <c r="BL19" s="283">
        <f>IF($B19="","",SUMPRODUCT(('ANALYSE - ERP =&gt; SOUS-SEGMENT'!$B$8:$B$1000=$B19)*'ANALYSE - ERP =&gt; SOUS-SEGMENT'!$Q$8:$Q$1000*'ANALYSE - ERP =&gt; SOUS-SEGMENT'!$BL$8:$BL$1000))</f>
        <v>7997.5</v>
      </c>
      <c r="BM19" s="283">
        <f>IF($B19="","",SUMPRODUCT(('ANALYSE - ERP =&gt; SOUS-SEGMENT'!$B$8:$B$1000=$B19)*'ANALYSE - ERP =&gt; SOUS-SEGMENT'!$Q$8:$Q$1000*'ANALYSE - ERP =&gt; SOUS-SEGMENT'!$BM$8:$BM$1000))</f>
        <v>15995</v>
      </c>
      <c r="BN19" s="657"/>
      <c r="BO19" s="305">
        <f t="shared" si="3"/>
        <v>5.303571428571429E-2</v>
      </c>
      <c r="BP19" s="305">
        <f t="shared" si="4"/>
        <v>0.55650510204081638</v>
      </c>
      <c r="BQ19" s="305">
        <f t="shared" si="5"/>
        <v>8.0867346938775508E-2</v>
      </c>
      <c r="BR19" s="581">
        <f t="shared" si="6"/>
        <v>0.30959183673469387</v>
      </c>
      <c r="BS19" s="706">
        <f t="shared" si="7"/>
        <v>5.204207920792079E-2</v>
      </c>
      <c r="BT19" s="305">
        <f t="shared" si="8"/>
        <v>0.5457178217821782</v>
      </c>
      <c r="BU19" s="305">
        <f t="shared" si="9"/>
        <v>9.2450495049504949E-2</v>
      </c>
      <c r="BV19" s="581">
        <f t="shared" si="10"/>
        <v>0.30978960396039601</v>
      </c>
      <c r="BW19" s="713">
        <f t="shared" si="11"/>
        <v>0.08</v>
      </c>
      <c r="BX19" s="306">
        <f t="shared" si="12"/>
        <v>0.82000000000000006</v>
      </c>
      <c r="BY19" s="590">
        <f t="shared" si="13"/>
        <v>0.1</v>
      </c>
      <c r="BZ19" s="713">
        <f t="shared" si="14"/>
        <v>6.0000000000000005E-2</v>
      </c>
      <c r="CA19" s="306">
        <f t="shared" si="15"/>
        <v>0.78999999999999992</v>
      </c>
      <c r="CB19" s="590">
        <f t="shared" si="16"/>
        <v>0.15</v>
      </c>
      <c r="CC19" s="706">
        <f t="shared" si="17"/>
        <v>0.05</v>
      </c>
      <c r="CD19" s="305">
        <f t="shared" si="18"/>
        <v>0.72000000000000008</v>
      </c>
      <c r="CE19" s="305">
        <f t="shared" si="19"/>
        <v>0.08</v>
      </c>
      <c r="CF19" s="581">
        <f t="shared" si="20"/>
        <v>0.15</v>
      </c>
      <c r="CG19" s="706">
        <f t="shared" si="21"/>
        <v>3.9999999999999994E-2</v>
      </c>
      <c r="CH19" s="305">
        <f t="shared" si="22"/>
        <v>0.72</v>
      </c>
      <c r="CI19" s="305">
        <f t="shared" si="23"/>
        <v>0.1</v>
      </c>
      <c r="CJ19" s="581">
        <f t="shared" si="24"/>
        <v>0.14000000000000001</v>
      </c>
      <c r="CK19" s="719">
        <f t="shared" si="25"/>
        <v>0.10493230174081238</v>
      </c>
      <c r="CL19" s="307">
        <f t="shared" si="26"/>
        <v>0.6467117988394584</v>
      </c>
      <c r="CM19" s="723">
        <f t="shared" si="27"/>
        <v>0.24835589941972921</v>
      </c>
      <c r="CN19" s="719">
        <f t="shared" si="28"/>
        <v>5.4642075648640202E-2</v>
      </c>
      <c r="CO19" s="307">
        <f t="shared" si="29"/>
        <v>0.6472147546108159</v>
      </c>
      <c r="CP19" s="723">
        <f t="shared" si="30"/>
        <v>0.29814316974054395</v>
      </c>
      <c r="CQ19" s="657"/>
      <c r="CR19" s="804">
        <f>IF($B19="","",IFERROR(SUMPRODUCT(('ANALYSE - ERP =&gt; SOUS-SEGMENT'!$B$8:$B$1000=$B19)*'ANALYSE - ERP =&gt; SOUS-SEGMENT'!$Q$8:$Q$1000*'ANALYSE - ERP =&gt; SOUS-SEGMENT'!$DH$8:$DH$1000*'ANALYSE - ERP =&gt; SOUS-SEGMENT'!$CR$8:$CR$1000)/SUMPRODUCT(('ANALYSE - ERP =&gt; SOUS-SEGMENT'!$B$8:$B$1000=$B19)*'ANALYSE - ERP =&gt; SOUS-SEGMENT'!$Q$8:$Q$1000*'ANALYSE - ERP =&gt; SOUS-SEGMENT'!$DH$8:$DH$1000),""))</f>
        <v>9</v>
      </c>
      <c r="CS19" s="805">
        <f>IF($B19="","",IFERROR(SUMPRODUCT(('ANALYSE - ERP =&gt; SOUS-SEGMENT'!$B$8:$B$1000=$B19)*'ANALYSE - ERP =&gt; SOUS-SEGMENT'!$Q$8:$Q$1000*'ANALYSE - ERP =&gt; SOUS-SEGMENT'!$DI$8:$DI$1000*'ANALYSE - ERP =&gt; SOUS-SEGMENT'!$CS$8:$CS$1000)/SUMPRODUCT(('ANALYSE - ERP =&gt; SOUS-SEGMENT'!$B$8:$B$1000=$B19)*'ANALYSE - ERP =&gt; SOUS-SEGMENT'!$Q$8:$Q$1000*'ANALYSE - ERP =&gt; SOUS-SEGMENT'!$DI$8:$DI$1000),""))</f>
        <v>10.054549621819849</v>
      </c>
      <c r="CT19" s="805">
        <f>IF($B19="","",IFERROR(SUMPRODUCT(('ANALYSE - ERP =&gt; SOUS-SEGMENT'!$B$8:$B$1000=$B19)*'ANALYSE - ERP =&gt; SOUS-SEGMENT'!$Q$8:$Q$1000*'ANALYSE - ERP =&gt; SOUS-SEGMENT'!$DJ$8:$DJ$1000*'ANALYSE - ERP =&gt; SOUS-SEGMENT'!$CT$8:$CT$1000)/SUMPRODUCT(('ANALYSE - ERP =&gt; SOUS-SEGMENT'!$B$8:$B$1000=$B19)*'ANALYSE - ERP =&gt; SOUS-SEGMENT'!$Q$8:$Q$1000*'ANALYSE - ERP =&gt; SOUS-SEGMENT'!$DJ$8:$DJ$1000),""))</f>
        <v>7.0536277602523656</v>
      </c>
      <c r="CU19" s="806">
        <f>IF($B19="","",IFERROR(SUMPRODUCT(('ANALYSE - ERP =&gt; SOUS-SEGMENT'!$B$8:$B$1000=$B19)*'ANALYSE - ERP =&gt; SOUS-SEGMENT'!$Q$8:$Q$1000*'ANALYSE - ERP =&gt; SOUS-SEGMENT'!$DK$8:$DK$1000*'ANALYSE - ERP =&gt; SOUS-SEGMENT'!$CU$8:$CU$1000)/SUMPRODUCT(('ANALYSE - ERP =&gt; SOUS-SEGMENT'!$B$8:$B$1000=$B19)*'ANALYSE - ERP =&gt; SOUS-SEGMENT'!$Q$8:$Q$1000*'ANALYSE - ERP =&gt; SOUS-SEGMENT'!$DK$8:$DK$1000),""))</f>
        <v>9</v>
      </c>
      <c r="CV19" s="804">
        <f>IF($B19="","",IFERROR(SUMPRODUCT(('ANALYSE - ERP =&gt; SOUS-SEGMENT'!$B$8:$B$1000=$B19)*'ANALYSE - ERP =&gt; SOUS-SEGMENT'!$Q$8:$Q$1000*'ANALYSE - ERP =&gt; SOUS-SEGMENT'!$DS$8:$DS$1000*'ANALYSE - ERP =&gt; SOUS-SEGMENT'!$CV$8:$CV$1000)/SUMPRODUCT(('ANALYSE - ERP =&gt; SOUS-SEGMENT'!$B$8:$B$1000=$B19)*'ANALYSE - ERP =&gt; SOUS-SEGMENT'!$Q$8:$Q$1000*'ANALYSE - ERP =&gt; SOUS-SEGMENT'!$DS$8:$DS$1000),""))</f>
        <v>8</v>
      </c>
      <c r="CW19" s="805">
        <f>IF($B19="","",IFERROR(SUMPRODUCT(('ANALYSE - ERP =&gt; SOUS-SEGMENT'!$B$8:$B$1000=$B19)*'ANALYSE - ERP =&gt; SOUS-SEGMENT'!$Q$8:$Q$1000*'ANALYSE - ERP =&gt; SOUS-SEGMENT'!$DT$8:$DT$1000*'ANALYSE - ERP =&gt; SOUS-SEGMENT'!$CW$8:$CW$1000)/SUMPRODUCT(('ANALYSE - ERP =&gt; SOUS-SEGMENT'!$B$8:$B$1000=$B19)*'ANALYSE - ERP =&gt; SOUS-SEGMENT'!$Q$8:$Q$1000*'ANALYSE - ERP =&gt; SOUS-SEGMENT'!$DT$8:$DT$1000),""))</f>
        <v>8</v>
      </c>
      <c r="CX19" s="806">
        <f>IF($B19="","",IFERROR(SUMPRODUCT(('ANALYSE - ERP =&gt; SOUS-SEGMENT'!$B$8:$B$1000=$B19)*'ANALYSE - ERP =&gt; SOUS-SEGMENT'!$Q$8:$Q$1000*'ANALYSE - ERP =&gt; SOUS-SEGMENT'!$DU$8:$DU$1000*'ANALYSE - ERP =&gt; SOUS-SEGMENT'!$CX$8:$CX$1000)/SUMPRODUCT(('ANALYSE - ERP =&gt; SOUS-SEGMENT'!$B$8:$B$1000=$B19)*'ANALYSE - ERP =&gt; SOUS-SEGMENT'!$Q$8:$Q$1000*'ANALYSE - ERP =&gt; SOUS-SEGMENT'!$DU$8:$DU$1000),""))</f>
        <v>6</v>
      </c>
      <c r="CY19" s="804">
        <f>IF($B19="","",IFERROR(SUMPRODUCT(('ANALYSE - ERP =&gt; SOUS-SEGMENT'!$B$8:$B$1000=$B19)*'ANALYSE - ERP =&gt; SOUS-SEGMENT'!$Q$8:$Q$1000*'ANALYSE - ERP =&gt; SOUS-SEGMENT'!$EB$8:$EB$1000*'ANALYSE - ERP =&gt; SOUS-SEGMENT'!$CY$8:$CY$1000)/SUMPRODUCT(('ANALYSE - ERP =&gt; SOUS-SEGMENT'!$B$8:$B$1000=$B19)*'ANALYSE - ERP =&gt; SOUS-SEGMENT'!$Q$8:$Q$1000*'ANALYSE - ERP =&gt; SOUS-SEGMENT'!$EB$8:$EB$1000),""))</f>
        <v>8</v>
      </c>
      <c r="CZ19" s="805">
        <f>IF($B19="","",IFERROR(SUMPRODUCT(('ANALYSE - ERP =&gt; SOUS-SEGMENT'!$B$8:$B$1000=$B19)*'ANALYSE - ERP =&gt; SOUS-SEGMENT'!$Q$8:$Q$1000*'ANALYSE - ERP =&gt; SOUS-SEGMENT'!$EC$8:$EC$1000*'ANALYSE - ERP =&gt; SOUS-SEGMENT'!$CZ$8:$CZ$1000)/SUMPRODUCT(('ANALYSE - ERP =&gt; SOUS-SEGMENT'!$B$8:$B$1000=$B19)*'ANALYSE - ERP =&gt; SOUS-SEGMENT'!$Q$8:$Q$1000*'ANALYSE - ERP =&gt; SOUS-SEGMENT'!$EC$8:$EC$1000),""))</f>
        <v>9</v>
      </c>
      <c r="DA19" s="805">
        <f>IF($B19="","",IFERROR(SUMPRODUCT(('ANALYSE - ERP =&gt; SOUS-SEGMENT'!$B$8:$B$1000=$B19)*'ANALYSE - ERP =&gt; SOUS-SEGMENT'!$Q$8:$Q$1000*'ANALYSE - ERP =&gt; SOUS-SEGMENT'!$ED$8:$ED$1000*'ANALYSE - ERP =&gt; SOUS-SEGMENT'!$DA$8:$DA$1000)/SUMPRODUCT(('ANALYSE - ERP =&gt; SOUS-SEGMENT'!$B$8:$B$1000=$B19)*'ANALYSE - ERP =&gt; SOUS-SEGMENT'!$Q$8:$Q$1000*'ANALYSE - ERP =&gt; SOUS-SEGMENT'!$ED$8:$ED$1000),""))</f>
        <v>6</v>
      </c>
      <c r="DB19" s="806">
        <f>IF($B19="","",IFERROR(SUMPRODUCT(('ANALYSE - ERP =&gt; SOUS-SEGMENT'!$B$8:$B$1000=$B19)*'ANALYSE - ERP =&gt; SOUS-SEGMENT'!$Q$8:$Q$1000*'ANALYSE - ERP =&gt; SOUS-SEGMENT'!$EE$8:$EE$1000*'ANALYSE - ERP =&gt; SOUS-SEGMENT'!$DB$8:$DB$1000)/SUMPRODUCT(('ANALYSE - ERP =&gt; SOUS-SEGMENT'!$B$8:$B$1000=$B19)*'ANALYSE - ERP =&gt; SOUS-SEGMENT'!$Q$8:$Q$1000*'ANALYSE - ERP =&gt; SOUS-SEGMENT'!$EE$8:$EE$1000),""))</f>
        <v>8</v>
      </c>
      <c r="DC19" s="804">
        <f>IF($B19="","",IFERROR(SUMPRODUCT(('ANALYSE - ERP =&gt; SOUS-SEGMENT'!$B$8:$B$1000=$B19)*'ANALYSE - ERP =&gt; SOUS-SEGMENT'!$Q$8:$Q$1000*'ANALYSE - ERP =&gt; SOUS-SEGMENT'!$EM$8:$EM$1000*'ANALYSE - ERP =&gt; SOUS-SEGMENT'!$DC$8:$DC$1000)/SUMPRODUCT(('ANALYSE - ERP =&gt; SOUS-SEGMENT'!$B$8:$B$1000=$B19)*'ANALYSE - ERP =&gt; SOUS-SEGMENT'!$Q$8:$Q$1000*'ANALYSE - ERP =&gt; SOUS-SEGMENT'!$EM$8:$EM$1000),""))</f>
        <v>9</v>
      </c>
      <c r="DD19" s="805">
        <f>IF($B19="","",IFERROR(SUMPRODUCT(('ANALYSE - ERP =&gt; SOUS-SEGMENT'!$B$8:$B$1000=$B19)*'ANALYSE - ERP =&gt; SOUS-SEGMENT'!$Q$8:$Q$1000*'ANALYSE - ERP =&gt; SOUS-SEGMENT'!$EN$8:$EN$1000*'ANALYSE - ERP =&gt; SOUS-SEGMENT'!$DD$8:$DD$1000)/SUMPRODUCT(('ANALYSE - ERP =&gt; SOUS-SEGMENT'!$B$8:$B$1000=$B19)*'ANALYSE - ERP =&gt; SOUS-SEGMENT'!$Q$8:$Q$1000*'ANALYSE - ERP =&gt; SOUS-SEGMENT'!$EN$8:$EN$1000),""))</f>
        <v>10.055929415283385</v>
      </c>
      <c r="DE19" s="806">
        <f>IF($B19="","",IFERROR(SUMPRODUCT(('ANALYSE - ERP =&gt; SOUS-SEGMENT'!$B$8:$B$1000=$B19)*'ANALYSE - ERP =&gt; SOUS-SEGMENT'!$Q$8:$Q$1000*'ANALYSE - ERP =&gt; SOUS-SEGMENT'!$EO$8:$EO$1000*'ANALYSE - ERP =&gt; SOUS-SEGMENT'!$DE$8:$DE$1000)/SUMPRODUCT(('ANALYSE - ERP =&gt; SOUS-SEGMENT'!$B$8:$B$1000=$B19)*'ANALYSE - ERP =&gt; SOUS-SEGMENT'!$Q$8:$Q$1000*'ANALYSE - ERP =&gt; SOUS-SEGMENT'!$EO$8:$EO$1000),""))</f>
        <v>7.0529595015576323</v>
      </c>
      <c r="DF19" s="919" t="s">
        <v>6235</v>
      </c>
      <c r="DG19" s="657"/>
      <c r="DH19" s="308">
        <f>IF($B19="","",SUMPRODUCT(('ANALYSE - ERP =&gt; SOUS-SEGMENT'!$B$8:$B$1000=$B19)*'ANALYSE - ERP =&gt; SOUS-SEGMENT'!$Q$8:$Q$1000*'ANALYSE - ERP =&gt; SOUS-SEGMENT'!$DH$8:$DH$1000))</f>
        <v>831.6</v>
      </c>
      <c r="DI19" s="308">
        <f>IF($B19="","",SUMPRODUCT(('ANALYSE - ERP =&gt; SOUS-SEGMENT'!$B$8:$B$1000=$B19)*'ANALYSE - ERP =&gt; SOUS-SEGMENT'!$Q$8:$Q$1000*'ANALYSE - ERP =&gt; SOUS-SEGMENT'!$DI$8:$DI$1000))</f>
        <v>8726</v>
      </c>
      <c r="DJ19" s="308">
        <f>IF($B19="","",SUMPRODUCT(('ANALYSE - ERP =&gt; SOUS-SEGMENT'!$B$8:$B$1000=$B19)*'ANALYSE - ERP =&gt; SOUS-SEGMENT'!$Q$8:$Q$1000*'ANALYSE - ERP =&gt; SOUS-SEGMENT'!$DJ$8:$DJ$1000))</f>
        <v>1268</v>
      </c>
      <c r="DK19" s="308">
        <f>IF($B19="","",SUMPRODUCT(('ANALYSE - ERP =&gt; SOUS-SEGMENT'!$B$8:$B$1000=$B19)*'ANALYSE - ERP =&gt; SOUS-SEGMENT'!$Q$8:$Q$1000*'ANALYSE - ERP =&gt; SOUS-SEGMENT'!$DK$8:$DK$1000))</f>
        <v>4854.3999999999996</v>
      </c>
      <c r="DL19" s="646" t="s">
        <v>6236</v>
      </c>
      <c r="DM19" s="308">
        <f>IF($B19="","",SUMPRODUCT(('ANALYSE - ERP =&gt; SOUS-SEGMENT'!$B$8:$B$1000=$B19)*'ANALYSE - ERP =&gt; SOUS-SEGMENT'!$Q$8:$Q$1000*'ANALYSE - ERP =&gt; SOUS-SEGMENT'!$DM$8:$DM$1000))</f>
        <v>841</v>
      </c>
      <c r="DN19" s="308">
        <f>IF($B19="","",SUMPRODUCT(('ANALYSE - ERP =&gt; SOUS-SEGMENT'!$B$8:$B$1000=$B19)*'ANALYSE - ERP =&gt; SOUS-SEGMENT'!$Q$8:$Q$1000*'ANALYSE - ERP =&gt; SOUS-SEGMENT'!$DN$8:$DN$1000))</f>
        <v>8818.7999999999993</v>
      </c>
      <c r="DO19" s="308">
        <f>IF($B19="","",SUMPRODUCT(('ANALYSE - ERP =&gt; SOUS-SEGMENT'!$B$8:$B$1000=$B19)*'ANALYSE - ERP =&gt; SOUS-SEGMENT'!$Q$8:$Q$1000*'ANALYSE - ERP =&gt; SOUS-SEGMENT'!$DO$8:$DO$1000))</f>
        <v>1494</v>
      </c>
      <c r="DP19" s="308">
        <f>IF($B19="","",SUMPRODUCT(('ANALYSE - ERP =&gt; SOUS-SEGMENT'!$B$8:$B$1000=$B19)*'ANALYSE - ERP =&gt; SOUS-SEGMENT'!$Q$8:$Q$1000*'ANALYSE - ERP =&gt; SOUS-SEGMENT'!$DP$8:$DP$1000))</f>
        <v>5006.2</v>
      </c>
      <c r="DQ19" s="646" t="s">
        <v>6237</v>
      </c>
      <c r="DR19" s="657"/>
      <c r="DS19" s="308">
        <f>IF($B19="","",SUMPRODUCT(('ANALYSE - ERP =&gt; SOUS-SEGMENT'!$B$8:$B$1000=$B19)*'ANALYSE - ERP =&gt; SOUS-SEGMENT'!$Q$8:$Q$1000*'ANALYSE - ERP =&gt; SOUS-SEGMENT'!$DS$8:$DS$1000))</f>
        <v>108.8</v>
      </c>
      <c r="DT19" s="308">
        <f>IF($B19="","",SUMPRODUCT(('ANALYSE - ERP =&gt; SOUS-SEGMENT'!$B$8:$B$1000=$B19)*'ANALYSE - ERP =&gt; SOUS-SEGMENT'!$Q$8:$Q$1000*'ANALYSE - ERP =&gt; SOUS-SEGMENT'!$DT$8:$DT$1000))</f>
        <v>1115.2</v>
      </c>
      <c r="DU19" s="308">
        <f>IF($B19="","",SUMPRODUCT(('ANALYSE - ERP =&gt; SOUS-SEGMENT'!$B$8:$B$1000=$B19)*'ANALYSE - ERP =&gt; SOUS-SEGMENT'!$Q$8:$Q$1000*'ANALYSE - ERP =&gt; SOUS-SEGMENT'!$DU$8:$DU$1000))</f>
        <v>136</v>
      </c>
      <c r="DV19" s="646" t="s">
        <v>6238</v>
      </c>
      <c r="DW19" s="308">
        <f>IF($B19="","",SUMPRODUCT(('ANALYSE - ERP =&gt; SOUS-SEGMENT'!$B$8:$B$1000=$B19)*'ANALYSE - ERP =&gt; SOUS-SEGMENT'!$Q$8:$Q$1000*'ANALYSE - ERP =&gt; SOUS-SEGMENT'!$DW$8:$DW$1000))</f>
        <v>79.2</v>
      </c>
      <c r="DX19" s="308">
        <f>IF($B19="","",SUMPRODUCT(('ANALYSE - ERP =&gt; SOUS-SEGMENT'!$B$8:$B$1000=$B19)*'ANALYSE - ERP =&gt; SOUS-SEGMENT'!$Q$8:$Q$1000*'ANALYSE - ERP =&gt; SOUS-SEGMENT'!$DX$8:$DX$1000))</f>
        <v>1042.8</v>
      </c>
      <c r="DY19" s="308">
        <f>IF($B19="","",SUMPRODUCT(('ANALYSE - ERP =&gt; SOUS-SEGMENT'!$B$8:$B$1000=$B19)*'ANALYSE - ERP =&gt; SOUS-SEGMENT'!$Q$8:$Q$1000*'ANALYSE - ERP =&gt; SOUS-SEGMENT'!$DY$8:$DY$1000))</f>
        <v>198</v>
      </c>
      <c r="DZ19" s="646" t="s">
        <v>6239</v>
      </c>
      <c r="EA19" s="657"/>
      <c r="EB19" s="308">
        <f>IF($B19="","",SUMPRODUCT(('ANALYSE - ERP =&gt; SOUS-SEGMENT'!$B$8:$B$1000=$B19)*'ANALYSE - ERP =&gt; SOUS-SEGMENT'!$Q$8:$Q$1000*'ANALYSE - ERP =&gt; SOUS-SEGMENT'!$EB$8:$EB$1000))</f>
        <v>387.75</v>
      </c>
      <c r="EC19" s="308">
        <f>IF($B19="","",SUMPRODUCT(('ANALYSE - ERP =&gt; SOUS-SEGMENT'!$B$8:$B$1000=$B19)*'ANALYSE - ERP =&gt; SOUS-SEGMENT'!$Q$8:$Q$1000*'ANALYSE - ERP =&gt; SOUS-SEGMENT'!$EC$8:$EC$1000))</f>
        <v>5583.6</v>
      </c>
      <c r="ED19" s="308">
        <f>IF($B19="","",SUMPRODUCT(('ANALYSE - ERP =&gt; SOUS-SEGMENT'!$B$8:$B$1000=$B19)*'ANALYSE - ERP =&gt; SOUS-SEGMENT'!$Q$8:$Q$1000*'ANALYSE - ERP =&gt; SOUS-SEGMENT'!$ED$8:$ED$1000))</f>
        <v>620.4</v>
      </c>
      <c r="EE19" s="308">
        <f>IF($B19="","",SUMPRODUCT(('ANALYSE - ERP =&gt; SOUS-SEGMENT'!$B$8:$B$1000=$B19)*'ANALYSE - ERP =&gt; SOUS-SEGMENT'!$Q$8:$Q$1000*'ANALYSE - ERP =&gt; SOUS-SEGMENT'!$EE$8:$EE$1000))</f>
        <v>1163.25</v>
      </c>
      <c r="EF19" s="646" t="s">
        <v>6240</v>
      </c>
      <c r="EG19" s="308">
        <f>IF($B19="","",SUMPRODUCT(('ANALYSE - ERP =&gt; SOUS-SEGMENT'!$B$8:$B$1000=$B19)*'ANALYSE - ERP =&gt; SOUS-SEGMENT'!$Q$8:$Q$1000*'ANALYSE - ERP =&gt; SOUS-SEGMENT'!$EG$8:$EG$1000))</f>
        <v>319.89999999999998</v>
      </c>
      <c r="EH19" s="308">
        <f>IF($B19="","",SUMPRODUCT(('ANALYSE - ERP =&gt; SOUS-SEGMENT'!$B$8:$B$1000=$B19)*'ANALYSE - ERP =&gt; SOUS-SEGMENT'!$Q$8:$Q$1000*'ANALYSE - ERP =&gt; SOUS-SEGMENT'!$EH$8:$EH$1000))</f>
        <v>5758.2</v>
      </c>
      <c r="EI19" s="308">
        <f>IF($B19="","",SUMPRODUCT(('ANALYSE - ERP =&gt; SOUS-SEGMENT'!$B$8:$B$1000=$B19)*'ANALYSE - ERP =&gt; SOUS-SEGMENT'!$Q$8:$Q$1000*'ANALYSE - ERP =&gt; SOUS-SEGMENT'!$EI$8:$EI$1000))</f>
        <v>799.75</v>
      </c>
      <c r="EJ19" s="308">
        <f>IF($B19="","",SUMPRODUCT(('ANALYSE - ERP =&gt; SOUS-SEGMENT'!$B$8:$B$1000=$B19)*'ANALYSE - ERP =&gt; SOUS-SEGMENT'!$Q$8:$Q$1000*'ANALYSE - ERP =&gt; SOUS-SEGMENT'!$EJ$8:$EJ$1000))</f>
        <v>1119.6500000000001</v>
      </c>
      <c r="EK19" s="936" t="s">
        <v>6241</v>
      </c>
      <c r="EL19" s="657"/>
      <c r="EM19" s="308">
        <f>IF($B19="","",SUMPRODUCT(('ANALYSE - ERP =&gt; SOUS-SEGMENT'!$B$8:$B$1000=$B19)*'ANALYSE - ERP =&gt; SOUS-SEGMENT'!$Q$8:$Q$1000*'ANALYSE - ERP =&gt; SOUS-SEGMENT'!$EM$8:$EM$1000))</f>
        <v>1627.5</v>
      </c>
      <c r="EN19" s="310">
        <f>IF($B19="","",SUMPRODUCT(('ANALYSE - ERP =&gt; SOUS-SEGMENT'!$B$8:$B$1000=$B19)*'ANALYSE - ERP =&gt; SOUS-SEGMENT'!$Q$8:$Q$1000*'ANALYSE - ERP =&gt; SOUS-SEGMENT'!$EN$8:$EN$1000))</f>
        <v>10030.5</v>
      </c>
      <c r="EO19" s="310">
        <f>IF($B19="","",SUMPRODUCT(('ANALYSE - ERP =&gt; SOUS-SEGMENT'!$B$8:$B$1000=$B19)*'ANALYSE - ERP =&gt; SOUS-SEGMENT'!$Q$8:$Q$1000*'ANALYSE - ERP =&gt; SOUS-SEGMENT'!$EO$8:$EO$1000))</f>
        <v>3852</v>
      </c>
      <c r="EP19" s="646" t="s">
        <v>6242</v>
      </c>
      <c r="EQ19" s="308">
        <f>IF($B19="","",SUMPRODUCT(('ANALYSE - ERP =&gt; SOUS-SEGMENT'!$B$8:$B$1000=$B19)*'ANALYSE - ERP =&gt; SOUS-SEGMENT'!$Q$8:$Q$1000*'ANALYSE - ERP =&gt; SOUS-SEGMENT'!$EQ$8:$EQ$1000))</f>
        <v>874</v>
      </c>
      <c r="ER19" s="310">
        <f>IF($B19="","",SUMPRODUCT(('ANALYSE - ERP =&gt; SOUS-SEGMENT'!$B$8:$B$1000=$B19)*'ANALYSE - ERP =&gt; SOUS-SEGMENT'!$Q$8:$Q$1000*'ANALYSE - ERP =&gt; SOUS-SEGMENT'!$ER$8:$ER$1000))</f>
        <v>10352.200000000001</v>
      </c>
      <c r="ES19" s="310">
        <f>IF($B19="","",SUMPRODUCT(('ANALYSE - ERP =&gt; SOUS-SEGMENT'!$B$8:$B$1000=$B19)*'ANALYSE - ERP =&gt; SOUS-SEGMENT'!$Q$8:$Q$1000*'ANALYSE - ERP =&gt; SOUS-SEGMENT'!$ES$8:$ES$1000))</f>
        <v>4768.8</v>
      </c>
      <c r="ET19" s="646" t="s">
        <v>6243</v>
      </c>
      <c r="EU19" s="657"/>
      <c r="EV19" s="728">
        <f t="shared" si="31"/>
        <v>0.80629924861203883</v>
      </c>
      <c r="EW19" s="728">
        <f t="shared" si="32"/>
        <v>0.1937007513879612</v>
      </c>
      <c r="EX19" s="311">
        <f t="shared" si="33"/>
        <v>21297.479077597403</v>
      </c>
      <c r="EY19" s="311">
        <f t="shared" si="34"/>
        <v>17172.141377597403</v>
      </c>
      <c r="EZ19" s="311">
        <f t="shared" si="35"/>
        <v>4125.3377</v>
      </c>
      <c r="FA19" s="311">
        <f t="shared" si="36"/>
        <v>7953.5330418831163</v>
      </c>
      <c r="FB19" s="311">
        <f>IF($B19="","",SUMPRODUCT(('ANALYSE - ERP =&gt; SOUS-SEGMENT'!$B$8:$B$1000=$B19)*'ANALYSE - ERP =&gt; SOUS-SEGMENT'!$Q$8:$Q$1000*'ANALYSE - ERP =&gt; SOUS-SEGMENT'!$FB$8:$FB$1000))</f>
        <v>6325.1178418831169</v>
      </c>
      <c r="FC19" s="311">
        <f>IF($B19="","",SUMPRODUCT(('ANALYSE - ERP =&gt; SOUS-SEGMENT'!$B$8:$B$1000=$B19)*'ANALYSE - ERP =&gt; SOUS-SEGMENT'!$Q$8:$Q$1000*'ANALYSE - ERP =&gt; SOUS-SEGMENT'!$FC$8:$FC$1000))</f>
        <v>1628.4151999999999</v>
      </c>
      <c r="FD19" s="311">
        <f t="shared" si="37"/>
        <v>901.43039999999996</v>
      </c>
      <c r="FE19" s="311">
        <f>IF($B19="","",SUMPRODUCT(('ANALYSE - ERP =&gt; SOUS-SEGMENT'!$B$8:$B$1000=$B19)*'ANALYSE - ERP =&gt; SOUS-SEGMENT'!$Q$8:$Q$1000*'ANALYSE - ERP =&gt; SOUS-SEGMENT'!$FE$8:$FE$1000))</f>
        <v>834.6</v>
      </c>
      <c r="FF19" s="311">
        <f>IF($B19="","",SUMPRODUCT(('ANALYSE - ERP =&gt; SOUS-SEGMENT'!$B$8:$B$1000=$B19)*'ANALYSE - ERP =&gt; SOUS-SEGMENT'!$Q$8:$Q$1000*'ANALYSE - ERP =&gt; SOUS-SEGMENT'!$FF$8:$FF$1000))</f>
        <v>66.830399999999997</v>
      </c>
      <c r="FG19" s="311">
        <f t="shared" si="38"/>
        <v>4305.4929249999996</v>
      </c>
      <c r="FH19" s="311">
        <f>IF($B19="","",SUMPRODUCT(('ANALYSE - ERP =&gt; SOUS-SEGMENT'!$B$8:$B$1000=$B19)*'ANALYSE - ERP =&gt; SOUS-SEGMENT'!$Q$8:$Q$1000*'ANALYSE - ERP =&gt; SOUS-SEGMENT'!$FH$8:$FH$1000))</f>
        <v>3495.4622249999998</v>
      </c>
      <c r="FI19" s="311">
        <f>IF($B19="","",SUMPRODUCT(('ANALYSE - ERP =&gt; SOUS-SEGMENT'!$B$8:$B$1000=$B19)*'ANALYSE - ERP =&gt; SOUS-SEGMENT'!$Q$8:$Q$1000*'ANALYSE - ERP =&gt; SOUS-SEGMENT'!$FI$8:$FI$1000))</f>
        <v>810.03070000000002</v>
      </c>
      <c r="FJ19" s="311">
        <f t="shared" si="39"/>
        <v>8137.0227107142855</v>
      </c>
      <c r="FK19" s="311">
        <f>IF($B19="","",SUMPRODUCT(('ANALYSE - ERP =&gt; SOUS-SEGMENT'!$B$8:$B$1000=$B19)*'ANALYSE - ERP =&gt; SOUS-SEGMENT'!$Q$8:$Q$1000*'ANALYSE - ERP =&gt; SOUS-SEGMENT'!$FK$8:$FK$1000))</f>
        <v>6516.9613107142859</v>
      </c>
      <c r="FL19" s="311">
        <f>IF($B19="","",SUMPRODUCT(('ANALYSE - ERP =&gt; SOUS-SEGMENT'!$B$8:$B$1000=$B19)*'ANALYSE - ERP =&gt; SOUS-SEGMENT'!$Q$8:$Q$1000*'ANALYSE - ERP =&gt; SOUS-SEGMENT'!$FL$8:$FL$1000))</f>
        <v>1620.0614</v>
      </c>
      <c r="FM19" s="657"/>
      <c r="FN19" s="954" t="s">
        <v>6244</v>
      </c>
      <c r="FO19" s="728">
        <f>IF($B19="","",IFERROR(SUMPRODUCT(('ANALYSE - ERP =&gt; SOUS-SEGMENT'!$B$8:$B$1000=$B19)*'ANALYSE - ERP =&gt; SOUS-SEGMENT'!$Q$8:$Q$1000*'ANALYSE - ERP =&gt; SOUS-SEGMENT'!$AF$8:$AF$1000*'ANALYSE - ERP =&gt; SOUS-SEGMENT'!$FO$8:$FO$1000)/SUMPRODUCT(('ANALYSE - ERP =&gt; SOUS-SEGMENT'!$B$8:$B$1000=$B19)*'ANALYSE - ERP =&gt; SOUS-SEGMENT'!$Q$8:$Q$1000*'ANALYSE - ERP =&gt; SOUS-SEGMENT'!$AF$8:$AF$1000),""))</f>
        <v>7.2732617007251157E-2</v>
      </c>
      <c r="FP19" s="729">
        <f>IF($B19="","",IFERROR(SUMPRODUCT(('ANALYSE - ERP =&gt; SOUS-SEGMENT'!$B$8:$B$1000=$B19)*'ANALYSE - ERP =&gt; SOUS-SEGMENT'!$Q$8:$Q$1000*'ANALYSE - ERP =&gt; SOUS-SEGMENT'!$AF$8:$AF$1000*'ANALYSE - ERP =&gt; SOUS-SEGMENT'!$FP$8:$FP$1000)/SUMPRODUCT(('ANALYSE - ERP =&gt; SOUS-SEGMENT'!$B$8:$B$1000=$B19)*'ANALYSE - ERP =&gt; SOUS-SEGMENT'!$Q$8:$Q$1000*'ANALYSE - ERP =&gt; SOUS-SEGMENT'!$AF$8:$AF$1000),""))</f>
        <v>0.80893210283454187</v>
      </c>
      <c r="FQ19" s="954" t="s">
        <v>6245</v>
      </c>
      <c r="FR19" s="657"/>
      <c r="FS19" s="865">
        <f>IF($B19="","",IFERROR(SUMPRODUCT(('ANALYSE - ERP =&gt; SOUS-SEGMENT'!$B$8:$B$1000=$B19)*'ANALYSE - ERP =&gt; SOUS-SEGMENT'!$Q$8:$Q$1000*'ANALYSE - ERP =&gt; SOUS-SEGMENT'!$EX$8:$EX$1000*'ANALYSE - ERP =&gt; SOUS-SEGMENT'!$FS$8:$FS$1000)/SUMPRODUCT(('ANALYSE - ERP =&gt; SOUS-SEGMENT'!$B$8:$B$1000=$B19)*'ANALYSE - ERP =&gt; SOUS-SEGMENT'!$Q$8:$Q$1000*'ANALYSE - ERP =&gt; SOUS-SEGMENT'!$EX$8:$EX$1000),""))</f>
        <v>3.7702388320312363</v>
      </c>
      <c r="FT19" s="312">
        <f>IF($B19="","",RANK($FS19,$FS$8:$FS$20,0)+COUNTIF($FS$8:$FS19,$FS19)-1)</f>
        <v>1</v>
      </c>
      <c r="FU19" s="865">
        <f>IF($B19="","",IFERROR(SUMPRODUCT(('ANALYSE - ERP =&gt; SOUS-SEGMENT'!$B$8:$B$1000=$B19)*'ANALYSE - ERP =&gt; SOUS-SEGMENT'!$Q$8:$Q$1000*'ANALYSE - ERP =&gt; SOUS-SEGMENT'!$EY$8:$EY$1000*'ANALYSE - ERP =&gt; SOUS-SEGMENT'!$FU$8:$FU$1000)/SUMPRODUCT(('ANALYSE - ERP =&gt; SOUS-SEGMENT'!$B$8:$B$1000=$B19)*'ANALYSE - ERP =&gt; SOUS-SEGMENT'!$Q$8:$Q$1000*'ANALYSE - ERP =&gt; SOUS-SEGMENT'!$EY$8:$EY$1000),""))</f>
        <v>4.6702976589358025</v>
      </c>
      <c r="FV19" s="312">
        <f>IF($B19="","",RANK($FU19,$FU$8:$FU$20,0)+COUNTIF($FU$8:$FU19,$FU19)-1)</f>
        <v>1</v>
      </c>
      <c r="FW19" s="865">
        <f>IF($B19="","",IFERROR(SUMPRODUCT(('ANALYSE - ERP =&gt; SOUS-SEGMENT'!$B$8:$B$1000=$B19)*'ANALYSE - ERP =&gt; SOUS-SEGMENT'!$Q$8:$Q$1000*'ANALYSE - ERP =&gt; SOUS-SEGMENT'!$EZ$8:$EZ$1000*'ANALYSE - ERP =&gt; SOUS-SEGMENT'!$FW$8:$FW$1000)/SUMPRODUCT(('ANALYSE - ERP =&gt; SOUS-SEGMENT'!$B$8:$B$1000=$B19)*'ANALYSE - ERP =&gt; SOUS-SEGMENT'!$Q$8:$Q$1000*'ANALYSE - ERP =&gt; SOUS-SEGMENT'!$EZ$8:$EZ$1000),""))</f>
        <v>2.1916943626215133</v>
      </c>
      <c r="FX19" s="312">
        <f>IF($B19="","",RANK($FW19,$FW$8:$FW$20,0)+COUNTIF($FW$8:$FW19,$FW19)-1)</f>
        <v>9</v>
      </c>
      <c r="FY19" s="657"/>
      <c r="FZ19" s="646" t="s">
        <v>6246</v>
      </c>
      <c r="GA19" s="646" t="s">
        <v>6247</v>
      </c>
      <c r="GB19" s="646" t="s">
        <v>6248</v>
      </c>
      <c r="GC19" s="646" t="s">
        <v>6249</v>
      </c>
      <c r="GD19" s="646" t="s">
        <v>6250</v>
      </c>
      <c r="GE19" s="646" t="s">
        <v>6251</v>
      </c>
      <c r="GF19" s="276" t="s">
        <v>6276</v>
      </c>
      <c r="GG19" s="657"/>
      <c r="GH19" s="311">
        <f t="shared" si="40"/>
        <v>438.48626999999993</v>
      </c>
      <c r="GI19" s="311">
        <f>IF($B19="","",SUMPRODUCT(('ANALYSE - ERP =&gt; SOUS-SEGMENT'!$B$8:$B$1000=$B19)*'ANALYSE - ERP =&gt; SOUS-SEGMENT'!$Q$8:$Q$1000*'ANALYSE - ERP =&gt; SOUS-SEGMENT'!$GI$8:$GI$1000))</f>
        <v>355.39474999999993</v>
      </c>
      <c r="GJ19" s="311">
        <f>IF($B19="","",SUMPRODUCT(('ANALYSE - ERP =&gt; SOUS-SEGMENT'!$B$8:$B$1000=$B19)*'ANALYSE - ERP =&gt; SOUS-SEGMENT'!$Q$8:$Q$1000*'ANALYSE - ERP =&gt; SOUS-SEGMENT'!$GJ$8:$GJ$1000))</f>
        <v>83.091520000000003</v>
      </c>
      <c r="GK19" s="311">
        <f t="shared" si="41"/>
        <v>4125.2880564545449</v>
      </c>
      <c r="GL19" s="311">
        <f>IF($B19="","",SUMPRODUCT(('ANALYSE - ERP =&gt; SOUS-SEGMENT'!$B$8:$B$1000=$B19)*'ANALYSE - ERP =&gt; SOUS-SEGMENT'!$Q$8:$Q$1000*'ANALYSE - ERP =&gt; SOUS-SEGMENT'!$GL$8:$GL$1000))</f>
        <v>3241.2657204545449</v>
      </c>
      <c r="GM19" s="311">
        <f>IF($B19="","",SUMPRODUCT(('ANALYSE - ERP =&gt; SOUS-SEGMENT'!$B$8:$B$1000=$B19)*'ANALYSE - ERP =&gt; SOUS-SEGMENT'!$Q$8:$Q$1000*'ANALYSE - ERP =&gt; SOUS-SEGMENT'!$GM$8:$GM$1000))</f>
        <v>884.02233600000011</v>
      </c>
      <c r="GN19" s="311">
        <f t="shared" si="42"/>
        <v>852.92525142857141</v>
      </c>
      <c r="GO19" s="311">
        <f>IF($B19="","",SUMPRODUCT(('ANALYSE - ERP =&gt; SOUS-SEGMENT'!$B$8:$B$1000=$B19)*'ANALYSE - ERP =&gt; SOUS-SEGMENT'!$Q$8:$Q$1000*'ANALYSE - ERP =&gt; SOUS-SEGMENT'!$GO$8:$GO$1000))</f>
        <v>704.36297142857143</v>
      </c>
      <c r="GP19" s="311">
        <f>IF($B19="","",SUMPRODUCT(('ANALYSE - ERP =&gt; SOUS-SEGMENT'!$B$8:$B$1000=$B19)*'ANALYSE - ERP =&gt; SOUS-SEGMENT'!$Q$8:$Q$1000*'ANALYSE - ERP =&gt; SOUS-SEGMENT'!$GP$8:$GP$1000))</f>
        <v>148.56227999999999</v>
      </c>
      <c r="GQ19" s="311">
        <f t="shared" si="43"/>
        <v>2536.8334639999998</v>
      </c>
      <c r="GR19" s="311">
        <f>IF($B19="","",SUMPRODUCT(('ANALYSE - ERP =&gt; SOUS-SEGMENT'!$B$8:$B$1000=$B19)*'ANALYSE - ERP =&gt; SOUS-SEGMENT'!$Q$8:$Q$1000*'ANALYSE - ERP =&gt; SOUS-SEGMENT'!$GR$8:$GR$1000))</f>
        <v>2024.0944</v>
      </c>
      <c r="GS19" s="311">
        <f>IF($B19="","",SUMPRODUCT(('ANALYSE - ERP =&gt; SOUS-SEGMENT'!$B$8:$B$1000=$B19)*'ANALYSE - ERP =&gt; SOUS-SEGMENT'!$Q$8:$Q$1000*'ANALYSE - ERP =&gt; SOUS-SEGMENT'!$GS$8:$GS$1000))</f>
        <v>512.73906399999998</v>
      </c>
      <c r="GT19" s="311">
        <f t="shared" si="44"/>
        <v>68.809823999999992</v>
      </c>
      <c r="GU19" s="311">
        <f>IF($B19="","",SUMPRODUCT(('ANALYSE - ERP =&gt; SOUS-SEGMENT'!$B$8:$B$1000=$B19)*'ANALYSE - ERP =&gt; SOUS-SEGMENT'!$Q$8:$Q$1000*'ANALYSE - ERP =&gt; SOUS-SEGMENT'!$GU$8:$GU$1000))</f>
        <v>64.8</v>
      </c>
      <c r="GV19" s="311">
        <f>IF($B19="","",SUMPRODUCT(('ANALYSE - ERP =&gt; SOUS-SEGMENT'!$B$8:$B$1000=$B19)*'ANALYSE - ERP =&gt; SOUS-SEGMENT'!$Q$8:$Q$1000*'ANALYSE - ERP =&gt; SOUS-SEGMENT'!$GV$8:$GV$1000))</f>
        <v>4.0098240000000001</v>
      </c>
      <c r="GW19" s="311">
        <f t="shared" si="45"/>
        <v>716.99601600000005</v>
      </c>
      <c r="GX19" s="311">
        <f>IF($B19="","",SUMPRODUCT(('ANALYSE - ERP =&gt; SOUS-SEGMENT'!$B$8:$B$1000=$B19)*'ANALYSE - ERP =&gt; SOUS-SEGMENT'!$Q$8:$Q$1000*'ANALYSE - ERP =&gt; SOUS-SEGMENT'!$GX$8:$GX$1000))</f>
        <v>664.2</v>
      </c>
      <c r="GY19" s="311">
        <f>IF($B19="","",SUMPRODUCT(('ANALYSE - ERP =&gt; SOUS-SEGMENT'!$B$8:$B$1000=$B19)*'ANALYSE - ERP =&gt; SOUS-SEGMENT'!$Q$8:$Q$1000*'ANALYSE - ERP =&gt; SOUS-SEGMENT'!$GY$8:$GY$1000))</f>
        <v>52.796016000000002</v>
      </c>
      <c r="GZ19" s="311">
        <f t="shared" si="46"/>
        <v>115.62456000000002</v>
      </c>
      <c r="HA19" s="311">
        <f>IF($B19="","",SUMPRODUCT(('ANALYSE - ERP =&gt; SOUS-SEGMENT'!$B$8:$B$1000=$B19)*'ANALYSE - ERP =&gt; SOUS-SEGMENT'!$Q$8:$Q$1000*'ANALYSE - ERP =&gt; SOUS-SEGMENT'!$HA$8:$HA$1000))</f>
        <v>105.60000000000002</v>
      </c>
      <c r="HB19" s="311">
        <f>IF($B19="","",SUMPRODUCT(('ANALYSE - ERP =&gt; SOUS-SEGMENT'!$B$8:$B$1000=$B19)*'ANALYSE - ERP =&gt; SOUS-SEGMENT'!$Q$8:$Q$1000*'ANALYSE - ERP =&gt; SOUS-SEGMENT'!$HB$8:$HB$1000))</f>
        <v>10.024559999999999</v>
      </c>
      <c r="HC19" s="311">
        <f t="shared" si="47"/>
        <v>218.49038425000001</v>
      </c>
      <c r="HD19" s="311">
        <f>IF($B19="","",SUMPRODUCT(('ANALYSE - ERP =&gt; SOUS-SEGMENT'!$B$8:$B$1000=$B19)*'ANALYSE - ERP =&gt; SOUS-SEGMENT'!$Q$8:$Q$1000*'ANALYSE - ERP =&gt; SOUS-SEGMENT'!$HD$8:$HD$1000))</f>
        <v>186.08915625</v>
      </c>
      <c r="HE19" s="311">
        <f>IF($B19="","",SUMPRODUCT(('ANALYSE - ERP =&gt; SOUS-SEGMENT'!$B$8:$B$1000=$B19)*'ANALYSE - ERP =&gt; SOUS-SEGMENT'!$Q$8:$Q$1000*'ANALYSE - ERP =&gt; SOUS-SEGMENT'!$HE$8:$HE$1000))</f>
        <v>32.401228000000003</v>
      </c>
      <c r="HF19" s="311">
        <f t="shared" si="48"/>
        <v>2925.8483040000001</v>
      </c>
      <c r="HG19" s="311">
        <f>IF($B19="","",SUMPRODUCT(('ANALYSE - ERP =&gt; SOUS-SEGMENT'!$B$8:$B$1000=$B19)*'ANALYSE - ERP =&gt; SOUS-SEGMENT'!$Q$8:$Q$1000*'ANALYSE - ERP =&gt; SOUS-SEGMENT'!$HG$8:$HG$1000))</f>
        <v>2342.6262000000002</v>
      </c>
      <c r="HH19" s="311">
        <f>IF($B19="","",SUMPRODUCT(('ANALYSE - ERP =&gt; SOUS-SEGMENT'!$B$8:$B$1000=$B19)*'ANALYSE - ERP =&gt; SOUS-SEGMENT'!$Q$8:$Q$1000*'ANALYSE - ERP =&gt; SOUS-SEGMENT'!$HH$8:$HH$1000))</f>
        <v>583.22210399999994</v>
      </c>
      <c r="HI19" s="311">
        <f t="shared" si="49"/>
        <v>489.48246999999992</v>
      </c>
      <c r="HJ19" s="311">
        <f>IF($B19="","",SUMPRODUCT(('ANALYSE - ERP =&gt; SOUS-SEGMENT'!$B$8:$B$1000=$B19)*'ANALYSE - ERP =&gt; SOUS-SEGMENT'!$Q$8:$Q$1000*'ANALYSE - ERP =&gt; SOUS-SEGMENT'!$HJ$8:$HJ$1000))</f>
        <v>408.47939999999994</v>
      </c>
      <c r="HK19" s="311">
        <f>IF($B19="","",SUMPRODUCT(('ANALYSE - ERP =&gt; SOUS-SEGMENT'!$B$8:$B$1000=$B19)*'ANALYSE - ERP =&gt; SOUS-SEGMENT'!$Q$8:$Q$1000*'ANALYSE - ERP =&gt; SOUS-SEGMENT'!$HK$8:$HK$1000))</f>
        <v>81.003069999999994</v>
      </c>
      <c r="HL19" s="311">
        <f t="shared" si="50"/>
        <v>671.67176674999996</v>
      </c>
      <c r="HM19" s="311">
        <f>IF($B19="","",SUMPRODUCT(('ANALYSE - ERP =&gt; SOUS-SEGMENT'!$B$8:$B$1000=$B19)*'ANALYSE - ERP =&gt; SOUS-SEGMENT'!$Q$8:$Q$1000*'ANALYSE - ERP =&gt; SOUS-SEGMENT'!$HM$8:$HM$1000))</f>
        <v>558.26746874999992</v>
      </c>
      <c r="HN19" s="311">
        <f>IF($B19="","",SUMPRODUCT(('ANALYSE - ERP =&gt; SOUS-SEGMENT'!$B$8:$B$1000=$B19)*'ANALYSE - ERP =&gt; SOUS-SEGMENT'!$Q$8:$Q$1000*'ANALYSE - ERP =&gt; SOUS-SEGMENT'!$HN$8:$HN$1000))</f>
        <v>113.40429800000001</v>
      </c>
      <c r="HO19" s="311">
        <f t="shared" si="51"/>
        <v>776.44177999999988</v>
      </c>
      <c r="HP19" s="311">
        <f>IF($B19="","",SUMPRODUCT(('ANALYSE - ERP =&gt; SOUS-SEGMENT'!$B$8:$B$1000=$B19)*'ANALYSE - ERP =&gt; SOUS-SEGMENT'!$Q$8:$Q$1000*'ANALYSE - ERP =&gt; SOUS-SEGMENT'!$HP$8:$HP$1000))</f>
        <v>691.67949999999985</v>
      </c>
      <c r="HQ19" s="311">
        <f>IF($B19="","",SUMPRODUCT(('ANALYSE - ERP =&gt; SOUS-SEGMENT'!$B$8:$B$1000=$B19)*'ANALYSE - ERP =&gt; SOUS-SEGMENT'!$Q$8:$Q$1000*'ANALYSE - ERP =&gt; SOUS-SEGMENT'!$HQ$8:$HQ$1000))</f>
        <v>84.762280000000004</v>
      </c>
      <c r="HR19" s="311">
        <f t="shared" si="52"/>
        <v>4746.8944090000005</v>
      </c>
      <c r="HS19" s="311">
        <f>IF($B19="","",SUMPRODUCT(('ANALYSE - ERP =&gt; SOUS-SEGMENT'!$B$8:$B$1000=$B19)*'ANALYSE - ERP =&gt; SOUS-SEGMENT'!$Q$8:$Q$1000*'ANALYSE - ERP =&gt; SOUS-SEGMENT'!$HS$8:$HS$1000))</f>
        <v>3696.110025</v>
      </c>
      <c r="HT19" s="311">
        <f>IF($B19="","",SUMPRODUCT(('ANALYSE - ERP =&gt; SOUS-SEGMENT'!$B$8:$B$1000=$B19)*'ANALYSE - ERP =&gt; SOUS-SEGMENT'!$Q$8:$Q$1000*'ANALYSE - ERP =&gt; SOUS-SEGMENT'!$HT$8:$HT$1000))</f>
        <v>1050.784384</v>
      </c>
      <c r="HU19" s="311">
        <f t="shared" si="53"/>
        <v>2613.6865217142858</v>
      </c>
      <c r="HV19" s="311">
        <f>IF($B19="","",SUMPRODUCT(('ANALYSE - ERP =&gt; SOUS-SEGMENT'!$B$8:$B$1000=$B19)*'ANALYSE - ERP =&gt; SOUS-SEGMENT'!$Q$8:$Q$1000*'ANALYSE - ERP =&gt; SOUS-SEGMENT'!$HV$8:$HV$1000))</f>
        <v>2129.1717857142858</v>
      </c>
      <c r="HW19" s="311">
        <f>IF($B19="","",SUMPRODUCT(('ANALYSE - ERP =&gt; SOUS-SEGMENT'!$B$8:$B$1000=$B19)*'ANALYSE - ERP =&gt; SOUS-SEGMENT'!$Q$8:$Q$1000*'ANALYSE - ERP =&gt; SOUS-SEGMENT'!$HW$8:$HW$1000))</f>
        <v>484.51473600000003</v>
      </c>
      <c r="HY19" s="313">
        <f t="shared" si="54"/>
        <v>31190.000000000004</v>
      </c>
      <c r="HZ19" s="313">
        <f>IF($B19="","",SUMPRODUCT(('ANALYSE - ERP =&gt; SOUS-SEGMENT'!$B$8:$B$1000=$B19)*'ANALYSE - ERP =&gt; SOUS-SEGMENT'!$Q$8:$Q$1000*'ANALYSE - ERP =&gt; SOUS-SEGMENT'!$HZ$8:$HZ$1000))</f>
        <v>8834.3520000000008</v>
      </c>
      <c r="IA19" s="313">
        <f>IF($B19="","",SUMPRODUCT(('ANALYSE - ERP =&gt; SOUS-SEGMENT'!$B$8:$B$1000=$B19)*'ANALYSE - ERP =&gt; SOUS-SEGMENT'!$Q$8:$Q$1000*'ANALYSE - ERP =&gt; SOUS-SEGMENT'!$IA$8:$IA$1000))</f>
        <v>18739.643</v>
      </c>
      <c r="IB19" s="313">
        <f>IF($B19="","",SUMPRODUCT(('ANALYSE - ERP =&gt; SOUS-SEGMENT'!$B$8:$B$1000=$B19)*'ANALYSE - ERP =&gt; SOUS-SEGMENT'!$Q$8:$Q$1000*'ANALYSE - ERP =&gt; SOUS-SEGMENT'!$IB$8:$IB$1000))</f>
        <v>3616.0050000000001</v>
      </c>
      <c r="IC19" s="313">
        <f>IF($B19="","",SUMPRODUCT(('ANALYSE - ERP =&gt; SOUS-SEGMENT'!$B$8:$B$1000=$B19)*'ANALYSE - ERP =&gt; SOUS-SEGMENT'!$Q$8:$Q$1000*'ANALYSE - ERP =&gt; SOUS-SEGMENT'!$IC$8:$IC$1000))</f>
        <v>0</v>
      </c>
      <c r="ID19" s="313">
        <f>IF($B19="","",SUMPRODUCT(('ANALYSE - ERP =&gt; SOUS-SEGMENT'!$B$8:$B$1000=$B19)*'ANALYSE - ERP =&gt; SOUS-SEGMENT'!$Q$8:$Q$1000*'ANALYSE - ERP =&gt; SOUS-SEGMENT'!$ID$8:$ID$1000))</f>
        <v>0</v>
      </c>
      <c r="IE19" s="313">
        <f t="shared" si="55"/>
        <v>12842.079152597402</v>
      </c>
      <c r="IF19" s="313">
        <f>IF($B19="","",SUMPRODUCT(('ANALYSE - ERP =&gt; SOUS-SEGMENT'!$B$8:$B$1000=$B19)*'ANALYSE - ERP =&gt; SOUS-SEGMENT'!$Q$8:$Q$1000*'ANALYSE - ERP =&gt; SOUS-SEGMENT'!$IF$8:$IF$1000))</f>
        <v>3306.6713980963314</v>
      </c>
      <c r="IG19" s="313">
        <f>IF($B19="","",SUMPRODUCT(('ANALYSE - ERP =&gt; SOUS-SEGMENT'!$B$8:$B$1000=$B19)*'ANALYSE - ERP =&gt; SOUS-SEGMENT'!$Q$8:$Q$1000*'ANALYSE - ERP =&gt; SOUS-SEGMENT'!$IG$8:$IG$1000))</f>
        <v>7410.2165495602267</v>
      </c>
      <c r="IH19" s="313">
        <f>IF($B19="","",SUMPRODUCT(('ANALYSE - ERP =&gt; SOUS-SEGMENT'!$B$8:$B$1000=$B19)*'ANALYSE - ERP =&gt; SOUS-SEGMENT'!$Q$8:$Q$1000*'ANALYSE - ERP =&gt; SOUS-SEGMENT'!$IH$8:$IH$1000))</f>
        <v>1815.8471028408442</v>
      </c>
      <c r="II19" s="313">
        <f>IF($B19="","",SUMPRODUCT(('ANALYSE - ERP =&gt; SOUS-SEGMENT'!$B$8:$B$1000=$B19)*'ANALYSE - ERP =&gt; SOUS-SEGMENT'!$Q$8:$Q$1000*'ANALYSE - ERP =&gt; SOUS-SEGMENT'!$II$8:$II$1000))</f>
        <v>252.87652790714287</v>
      </c>
      <c r="IJ19" s="313">
        <f>IF($B19="","",SUMPRODUCT(('ANALYSE - ERP =&gt; SOUS-SEGMENT'!$B$8:$B$1000=$B19)*'ANALYSE - ERP =&gt; SOUS-SEGMENT'!$Q$8:$Q$1000*'ANALYSE - ERP =&gt; SOUS-SEGMENT'!$IJ$8:$IJ$1000))</f>
        <v>56.467574192857143</v>
      </c>
      <c r="IK19" s="866">
        <f>IF($B19="","",IFERROR(SUMPRODUCT(('ANALYSE - ERP =&gt; SOUS-SEGMENT'!$B$8:$B$1000=$B19)*'ANALYSE - ERP =&gt; SOUS-SEGMENT'!$Q$8:$Q$1000*'ANALYSE - ERP =&gt; SOUS-SEGMENT'!$IE$8:$IE$1000*'ANALYSE - ERP =&gt; SOUS-SEGMENT'!$IK$8:$IK$1000)/SUMPRODUCT(('ANALYSE - ERP =&gt; SOUS-SEGMENT'!$B$8:$B$1000=$B19)*'ANALYSE - ERP =&gt; SOUS-SEGMENT'!$Q$8:$Q$1000*'ANALYSE - ERP =&gt; SOUS-SEGMENT'!$IE$8:$IE$1000),""))</f>
        <v>4.0983817201527364</v>
      </c>
      <c r="IL19" s="920" t="s">
        <v>6253</v>
      </c>
      <c r="IM19" s="964" t="s">
        <v>6254</v>
      </c>
      <c r="IN19" s="657"/>
      <c r="IO19" s="730">
        <f>IF($B19="","",IFERROR(SUMPRODUCT(('ANALYSE - ERP =&gt; SOUS-SEGMENT'!$B$8:$B$1000=$B19)*'ANALYSE - ERP =&gt; SOUS-SEGMENT'!$Q$8:$Q$1000*'ANALYSE - ERP =&gt; SOUS-SEGMENT'!$BE$8:$BE$1000*'ANALYSE - ERP =&gt; SOUS-SEGMENT'!$IO$8:$IO$1000)/SUMPRODUCT(('ANALYSE - ERP =&gt; SOUS-SEGMENT'!$B$8:$B$1000=$B19)*'ANALYSE - ERP =&gt; SOUS-SEGMENT'!$Q$8:$Q$1000*'ANALYSE - ERP =&gt; SOUS-SEGMENT'!$BE$8:$BE$1000),""))</f>
        <v>0.27385484693877549</v>
      </c>
      <c r="IP19" s="730">
        <f>IF($B19="","",IFERROR(SUMPRODUCT(('ANALYSE - ERP =&gt; SOUS-SEGMENT'!$B$8:$B$1000=$B19)*'ANALYSE - ERP =&gt; SOUS-SEGMENT'!$Q$8:$Q$1000*'ANALYSE - ERP =&gt; SOUS-SEGMENT'!$BE$8:$BE$1000*'ANALYSE - ERP =&gt; SOUS-SEGMENT'!$IP$8:$IP$1000)/SUMPRODUCT(('ANALYSE - ERP =&gt; SOUS-SEGMENT'!$B$8:$B$1000=$B19)*'ANALYSE - ERP =&gt; SOUS-SEGMENT'!$Q$8:$Q$1000*'ANALYSE - ERP =&gt; SOUS-SEGMENT'!$BE$8:$BE$1000),""))</f>
        <v>0.60535153061224489</v>
      </c>
      <c r="IQ19" s="730">
        <f>IF($B19="","",IFERROR(SUMPRODUCT(('ANALYSE - ERP =&gt; SOUS-SEGMENT'!$B$8:$B$1000=$B19)*'ANALYSE - ERP =&gt; SOUS-SEGMENT'!$Q$8:$Q$1000*'ANALYSE - ERP =&gt; SOUS-SEGMENT'!$BE$8:$BE$1000*'ANALYSE - ERP =&gt; SOUS-SEGMENT'!$IQ$8:$IQ$1000)/SUMPRODUCT(('ANALYSE - ERP =&gt; SOUS-SEGMENT'!$B$8:$B$1000=$B19)*'ANALYSE - ERP =&gt; SOUS-SEGMENT'!$Q$8:$Q$1000*'ANALYSE - ERP =&gt; SOUS-SEGMENT'!$BE$8:$BE$1000),""))</f>
        <v>0.12079362244897959</v>
      </c>
      <c r="IR19" s="730">
        <f>IF($B19="","",IFERROR(SUMPRODUCT(('ANALYSE - ERP =&gt; SOUS-SEGMENT'!$B$8:$B$1000=$B19)*'ANALYSE - ERP =&gt; SOUS-SEGMENT'!$Q$8:$Q$1000*'ANALYSE - ERP =&gt; SOUS-SEGMENT'!$BE$8:$BE$1000*'ANALYSE - ERP =&gt; SOUS-SEGMENT'!$IR$8:$IR$1000)/SUMPRODUCT(('ANALYSE - ERP =&gt; SOUS-SEGMENT'!$B$8:$B$1000=$B19)*'ANALYSE - ERP =&gt; SOUS-SEGMENT'!$Q$8:$Q$1000*'ANALYSE - ERP =&gt; SOUS-SEGMENT'!$BE$8:$BE$1000),""))</f>
        <v>0</v>
      </c>
      <c r="IS19" s="730">
        <f>IF($B19="","",IFERROR(SUMPRODUCT(('ANALYSE - ERP =&gt; SOUS-SEGMENT'!$B$8:$B$1000=$B19)*'ANALYSE - ERP =&gt; SOUS-SEGMENT'!$Q$8:$Q$1000*'ANALYSE - ERP =&gt; SOUS-SEGMENT'!$BE$8:$BE$1000*'ANALYSE - ERP =&gt; SOUS-SEGMENT'!$IS$8:$IS$1000)/SUMPRODUCT(('ANALYSE - ERP =&gt; SOUS-SEGMENT'!$B$8:$B$1000=$B19)*'ANALYSE - ERP =&gt; SOUS-SEGMENT'!$Q$8:$Q$1000*'ANALYSE - ERP =&gt; SOUS-SEGMENT'!$BE$8:$BE$1000),""))</f>
        <v>0</v>
      </c>
      <c r="IT19" s="730">
        <f>IF($B19="","",IFERROR(SUMPRODUCT(('ANALYSE - ERP =&gt; SOUS-SEGMENT'!$B$8:$B$1000=$B19)*'ANALYSE - ERP =&gt; SOUS-SEGMENT'!$Q$8:$Q$1000*'ANALYSE - ERP =&gt; SOUS-SEGMENT'!$FB$8:$FB$1000*'ANALYSE - ERP =&gt; SOUS-SEGMENT'!$IT$8:$IT$1000)/SUMPRODUCT(('ANALYSE - ERP =&gt; SOUS-SEGMENT'!$B$8:$B$1000=$B19)*'ANALYSE - ERP =&gt; SOUS-SEGMENT'!$Q$8:$Q$1000*'ANALYSE - ERP =&gt; SOUS-SEGMENT'!$FB$8:$FB$1000),""))</f>
        <v>0.24846152179834091</v>
      </c>
      <c r="IU19" s="730">
        <f>IF($B19="","",IFERROR(SUMPRODUCT(('ANALYSE - ERP =&gt; SOUS-SEGMENT'!$B$8:$B$1000=$B19)*'ANALYSE - ERP =&gt; SOUS-SEGMENT'!$Q$8:$Q$1000*'ANALYSE - ERP =&gt; SOUS-SEGMENT'!$FB$8:$FB$1000*'ANALYSE - ERP =&gt; SOUS-SEGMENT'!$IU$8:$IU$1000)/SUMPRODUCT(('ANALYSE - ERP =&gt; SOUS-SEGMENT'!$B$8:$B$1000=$B19)*'ANALYSE - ERP =&gt; SOUS-SEGMENT'!$Q$8:$Q$1000*'ANALYSE - ERP =&gt; SOUS-SEGMENT'!$FB$8:$FB$1000),""))</f>
        <v>0.57820021562966661</v>
      </c>
      <c r="IV19" s="730">
        <f>IF($B19="","",IFERROR(SUMPRODUCT(('ANALYSE - ERP =&gt; SOUS-SEGMENT'!$B$8:$B$1000=$B19)*'ANALYSE - ERP =&gt; SOUS-SEGMENT'!$Q$8:$Q$1000*'ANALYSE - ERP =&gt; SOUS-SEGMENT'!$FB$8:$FB$1000*'ANALYSE - ERP =&gt; SOUS-SEGMENT'!$IV$8:$IV$1000)/SUMPRODUCT(('ANALYSE - ERP =&gt; SOUS-SEGMENT'!$B$8:$B$1000=$B19)*'ANALYSE - ERP =&gt; SOUS-SEGMENT'!$Q$8:$Q$1000*'ANALYSE - ERP =&gt; SOUS-SEGMENT'!$FB$8:$FB$1000),""))</f>
        <v>0.14943849677332174</v>
      </c>
      <c r="IW19" s="730">
        <f>IF($B19="","",IFERROR(SUMPRODUCT(('ANALYSE - ERP =&gt; SOUS-SEGMENT'!$B$8:$B$1000=$B19)*'ANALYSE - ERP =&gt; SOUS-SEGMENT'!$Q$8:$Q$1000*'ANALYSE - ERP =&gt; SOUS-SEGMENT'!$FB$8:$FB$1000*'ANALYSE - ERP =&gt; SOUS-SEGMENT'!$IW$8:$IW$1000)/SUMPRODUCT(('ANALYSE - ERP =&gt; SOUS-SEGMENT'!$B$8:$B$1000=$B19)*'ANALYSE - ERP =&gt; SOUS-SEGMENT'!$Q$8:$Q$1000*'ANALYSE - ERP =&gt; SOUS-SEGMENT'!$FB$8:$FB$1000),""))</f>
        <v>1.9537110137008595E-2</v>
      </c>
      <c r="IX19" s="730">
        <f>IF($B19="","",IFERROR(SUMPRODUCT(('ANALYSE - ERP =&gt; SOUS-SEGMENT'!$B$8:$B$1000=$B19)*'ANALYSE - ERP =&gt; SOUS-SEGMENT'!$Q$8:$Q$1000*'ANALYSE - ERP =&gt; SOUS-SEGMENT'!$FB$8:$FB$1000*'ANALYSE - ERP =&gt; SOUS-SEGMENT'!$IX$8:$IX$1000)/SUMPRODUCT(('ANALYSE - ERP =&gt; SOUS-SEGMENT'!$B$8:$B$1000=$B19)*'ANALYSE - ERP =&gt; SOUS-SEGMENT'!$Q$8:$Q$1000*'ANALYSE - ERP =&gt; SOUS-SEGMENT'!$FB$8:$FB$1000),""))</f>
        <v>4.3626556616621131E-3</v>
      </c>
      <c r="IY19" s="730">
        <f>IF($B19="","",IFERROR(SUMPRODUCT(('ANALYSE - ERP =&gt; SOUS-SEGMENT'!$B$8:$B$1000=$B19)*'ANALYSE - ERP =&gt; SOUS-SEGMENT'!$Q$8:$Q$1000*'ANALYSE - ERP =&gt; SOUS-SEGMENT'!$BF$8:$BF$1000*'ANALYSE - ERP =&gt; SOUS-SEGMENT'!$IY$8:$IY$1000)/SUMPRODUCT(('ANALYSE - ERP =&gt; SOUS-SEGMENT'!$B$8:$B$1000=$B19)*'ANALYSE - ERP =&gt; SOUS-SEGMENT'!$Q$8:$Q$1000*'ANALYSE - ERP =&gt; SOUS-SEGMENT'!$BF$8:$BF$1000),""))</f>
        <v>0</v>
      </c>
      <c r="IZ19" s="730">
        <f>IF($B19="","",IFERROR(SUMPRODUCT(('ANALYSE - ERP =&gt; SOUS-SEGMENT'!$B$8:$B$1000=$B19)*'ANALYSE - ERP =&gt; SOUS-SEGMENT'!$Q$8:$Q$1000*'ANALYSE - ERP =&gt; SOUS-SEGMENT'!$BF$8:$BF$1000*'ANALYSE - ERP =&gt; SOUS-SEGMENT'!$IZ$8:$IZ$1000)/SUMPRODUCT(('ANALYSE - ERP =&gt; SOUS-SEGMENT'!$B$8:$B$1000=$B19)*'ANALYSE - ERP =&gt; SOUS-SEGMENT'!$Q$8:$Q$1000*'ANALYSE - ERP =&gt; SOUS-SEGMENT'!$BF$8:$BF$1000),""))</f>
        <v>0</v>
      </c>
      <c r="JA19" s="730">
        <f>IF($B19="","",IFERROR(SUMPRODUCT(('ANALYSE - ERP =&gt; SOUS-SEGMENT'!$B$8:$B$1000=$B19)*'ANALYSE - ERP =&gt; SOUS-SEGMENT'!$Q$8:$Q$1000*'ANALYSE - ERP =&gt; SOUS-SEGMENT'!$BF$8:$BF$1000*'ANALYSE - ERP =&gt; SOUS-SEGMENT'!$JA$8:$JA$1000)/SUMPRODUCT(('ANALYSE - ERP =&gt; SOUS-SEGMENT'!$B$8:$B$1000=$B19)*'ANALYSE - ERP =&gt; SOUS-SEGMENT'!$Q$8:$Q$1000*'ANALYSE - ERP =&gt; SOUS-SEGMENT'!$BF$8:$BF$1000),""))</f>
        <v>0</v>
      </c>
      <c r="JB19" s="730">
        <f>IF($B19="","",IFERROR(SUMPRODUCT(('ANALYSE - ERP =&gt; SOUS-SEGMENT'!$B$8:$B$1000=$B19)*'ANALYSE - ERP =&gt; SOUS-SEGMENT'!$Q$8:$Q$1000*'ANALYSE - ERP =&gt; SOUS-SEGMENT'!$BF$8:$BF$1000*'ANALYSE - ERP =&gt; SOUS-SEGMENT'!$JB$8:$JB$1000)/SUMPRODUCT(('ANALYSE - ERP =&gt; SOUS-SEGMENT'!$B$8:$B$1000=$B19)*'ANALYSE - ERP =&gt; SOUS-SEGMENT'!$Q$8:$Q$1000*'ANALYSE - ERP =&gt; SOUS-SEGMENT'!$BF$8:$BF$1000),""))</f>
        <v>0</v>
      </c>
      <c r="JC19" s="730">
        <f>IF($B19="","",IFERROR(SUMPRODUCT(('ANALYSE - ERP =&gt; SOUS-SEGMENT'!$B$8:$B$1000=$B19)*'ANALYSE - ERP =&gt; SOUS-SEGMENT'!$Q$8:$Q$1000*'ANALYSE - ERP =&gt; SOUS-SEGMENT'!$BF$8:$BF$1000*'ANALYSE - ERP =&gt; SOUS-SEGMENT'!$JC$8:$JC$1000)/SUMPRODUCT(('ANALYSE - ERP =&gt; SOUS-SEGMENT'!$B$8:$B$1000=$B19)*'ANALYSE - ERP =&gt; SOUS-SEGMENT'!$Q$8:$Q$1000*'ANALYSE - ERP =&gt; SOUS-SEGMENT'!$BF$8:$BF$1000),""))</f>
        <v>0</v>
      </c>
      <c r="JD19" s="730">
        <f>IF($B19="","",IFERROR(SUMPRODUCT(('ANALYSE - ERP =&gt; SOUS-SEGMENT'!$B$8:$B$1000=$B19)*'ANALYSE - ERP =&gt; SOUS-SEGMENT'!$Q$8:$Q$1000*'ANALYSE - ERP =&gt; SOUS-SEGMENT'!$FE$8:$FE$1000*'ANALYSE - ERP =&gt; SOUS-SEGMENT'!$JD$8:$JD$1000)/SUMPRODUCT(('ANALYSE - ERP =&gt; SOUS-SEGMENT'!$B$8:$B$1000=$B19)*'ANALYSE - ERP =&gt; SOUS-SEGMENT'!$Q$8:$Q$1000*'ANALYSE - ERP =&gt; SOUS-SEGMENT'!$FE$8:$FE$1000),""))</f>
        <v>0</v>
      </c>
      <c r="JE19" s="730">
        <f>IF($B19="","",IFERROR(SUMPRODUCT(('ANALYSE - ERP =&gt; SOUS-SEGMENT'!$B$8:$B$1000=$B19)*'ANALYSE - ERP =&gt; SOUS-SEGMENT'!$Q$8:$Q$1000*'ANALYSE - ERP =&gt; SOUS-SEGMENT'!$FE$8:$FE$1000*'ANALYSE - ERP =&gt; SOUS-SEGMENT'!$JE$8:$JE$1000)/SUMPRODUCT(('ANALYSE - ERP =&gt; SOUS-SEGMENT'!$B$8:$B$1000=$B19)*'ANALYSE - ERP =&gt; SOUS-SEGMENT'!$Q$8:$Q$1000*'ANALYSE - ERP =&gt; SOUS-SEGMENT'!$FE$8:$FE$1000),""))</f>
        <v>0</v>
      </c>
      <c r="JF19" s="730">
        <f>IF($B19="","",IFERROR(SUMPRODUCT(('ANALYSE - ERP =&gt; SOUS-SEGMENT'!$B$8:$B$1000=$B19)*'ANALYSE - ERP =&gt; SOUS-SEGMENT'!$Q$8:$Q$1000*'ANALYSE - ERP =&gt; SOUS-SEGMENT'!$FE$8:$FE$1000*'ANALYSE - ERP =&gt; SOUS-SEGMENT'!$JF$8:$JF$1000)/SUMPRODUCT(('ANALYSE - ERP =&gt; SOUS-SEGMENT'!$B$8:$B$1000=$B19)*'ANALYSE - ERP =&gt; SOUS-SEGMENT'!$Q$8:$Q$1000*'ANALYSE - ERP =&gt; SOUS-SEGMENT'!$FE$8:$FE$1000),""))</f>
        <v>0</v>
      </c>
      <c r="JG19" s="730">
        <f>IF($B19="","",IFERROR(SUMPRODUCT(('ANALYSE - ERP =&gt; SOUS-SEGMENT'!$B$8:$B$1000=$B19)*'ANALYSE - ERP =&gt; SOUS-SEGMENT'!$Q$8:$Q$1000*'ANALYSE - ERP =&gt; SOUS-SEGMENT'!$FE$8:$FE$1000*'ANALYSE - ERP =&gt; SOUS-SEGMENT'!$JG$8:$JG$1000)/SUMPRODUCT(('ANALYSE - ERP =&gt; SOUS-SEGMENT'!$B$8:$B$1000=$B19)*'ANALYSE - ERP =&gt; SOUS-SEGMENT'!$Q$8:$Q$1000*'ANALYSE - ERP =&gt; SOUS-SEGMENT'!$FE$8:$FE$1000),""))</f>
        <v>0</v>
      </c>
      <c r="JH19" s="730">
        <f>IF($B19="","",IFERROR(SUMPRODUCT(('ANALYSE - ERP =&gt; SOUS-SEGMENT'!$B$8:$B$1000=$B19)*'ANALYSE - ERP =&gt; SOUS-SEGMENT'!$Q$8:$Q$1000*'ANALYSE - ERP =&gt; SOUS-SEGMENT'!$FE$8:$FE$1000*'ANALYSE - ERP =&gt; SOUS-SEGMENT'!$JH$8:$JH$1000)/SUMPRODUCT(('ANALYSE - ERP =&gt; SOUS-SEGMENT'!$B$8:$B$1000=$B19)*'ANALYSE - ERP =&gt; SOUS-SEGMENT'!$Q$8:$Q$1000*'ANALYSE - ERP =&gt; SOUS-SEGMENT'!$FE$8:$FE$1000),""))</f>
        <v>0</v>
      </c>
      <c r="JI19" s="730">
        <f>IF($B19="","",IFERROR(SUMPRODUCT(('ANALYSE - ERP =&gt; SOUS-SEGMENT'!$B$8:$B$1000=$B19)*'ANALYSE - ERP =&gt; SOUS-SEGMENT'!$Q$8:$Q$1000*'ANALYSE - ERP =&gt; SOUS-SEGMENT'!$BG$8:$BG$1000*'ANALYSE - ERP =&gt; SOUS-SEGMENT'!$JI$8:$JI$1000)/SUMPRODUCT(('ANALYSE - ERP =&gt; SOUS-SEGMENT'!$B$8:$B$1000=$B19)*'ANALYSE - ERP =&gt; SOUS-SEGMENT'!$Q$8:$Q$1000*'ANALYSE - ERP =&gt; SOUS-SEGMENT'!$BG$8:$BG$1000),""))</f>
        <v>0</v>
      </c>
      <c r="JJ19" s="730">
        <f>IF($B19="","",IFERROR(SUMPRODUCT(('ANALYSE - ERP =&gt; SOUS-SEGMENT'!$B$8:$B$1000=$B19)*'ANALYSE - ERP =&gt; SOUS-SEGMENT'!$Q$8:$Q$1000*'ANALYSE - ERP =&gt; SOUS-SEGMENT'!$BG$8:$BG$1000*'ANALYSE - ERP =&gt; SOUS-SEGMENT'!$JJ$8:$JJ$1000)/SUMPRODUCT(('ANALYSE - ERP =&gt; SOUS-SEGMENT'!$B$8:$B$1000=$B19)*'ANALYSE - ERP =&gt; SOUS-SEGMENT'!$Q$8:$Q$1000*'ANALYSE - ERP =&gt; SOUS-SEGMENT'!$BG$8:$BG$1000),""))</f>
        <v>0</v>
      </c>
      <c r="JK19" s="730">
        <f>IF($B19="","",IFERROR(SUMPRODUCT(('ANALYSE - ERP =&gt; SOUS-SEGMENT'!$B$8:$B$1000=$B19)*'ANALYSE - ERP =&gt; SOUS-SEGMENT'!$Q$8:$Q$1000*'ANALYSE - ERP =&gt; SOUS-SEGMENT'!$BG$8:$BG$1000*'ANALYSE - ERP =&gt; SOUS-SEGMENT'!$JK$8:$JK$1000)/SUMPRODUCT(('ANALYSE - ERP =&gt; SOUS-SEGMENT'!$B$8:$B$1000=$B19)*'ANALYSE - ERP =&gt; SOUS-SEGMENT'!$Q$8:$Q$1000*'ANALYSE - ERP =&gt; SOUS-SEGMENT'!$BG$8:$BG$1000),""))</f>
        <v>0</v>
      </c>
      <c r="JL19" s="730">
        <f>IF($B19="","",IFERROR(SUMPRODUCT(('ANALYSE - ERP =&gt; SOUS-SEGMENT'!$B$8:$B$1000=$B19)*'ANALYSE - ERP =&gt; SOUS-SEGMENT'!$Q$8:$Q$1000*'ANALYSE - ERP =&gt; SOUS-SEGMENT'!$BG$8:$BG$1000*'ANALYSE - ERP =&gt; SOUS-SEGMENT'!$JL$8:$JL$1000)/SUMPRODUCT(('ANALYSE - ERP =&gt; SOUS-SEGMENT'!$B$8:$B$1000=$B19)*'ANALYSE - ERP =&gt; SOUS-SEGMENT'!$Q$8:$Q$1000*'ANALYSE - ERP =&gt; SOUS-SEGMENT'!$BG$8:$BG$1000),""))</f>
        <v>0</v>
      </c>
      <c r="JM19" s="730">
        <f>IF($B19="","",IFERROR(SUMPRODUCT(('ANALYSE - ERP =&gt; SOUS-SEGMENT'!$B$8:$B$1000=$B19)*'ANALYSE - ERP =&gt; SOUS-SEGMENT'!$Q$8:$Q$1000*'ANALYSE - ERP =&gt; SOUS-SEGMENT'!$BG$8:$BG$1000*'ANALYSE - ERP =&gt; SOUS-SEGMENT'!$JM$8:$JM$1000)/SUMPRODUCT(('ANALYSE - ERP =&gt; SOUS-SEGMENT'!$B$8:$B$1000=$B19)*'ANALYSE - ERP =&gt; SOUS-SEGMENT'!$Q$8:$Q$1000*'ANALYSE - ERP =&gt; SOUS-SEGMENT'!$BG$8:$BG$1000),""))</f>
        <v>0</v>
      </c>
      <c r="JN19" s="730">
        <f>IF($B19="","",IFERROR(SUMPRODUCT(('ANALYSE - ERP =&gt; SOUS-SEGMENT'!$B$8:$B$1000=$B19)*'ANALYSE - ERP =&gt; SOUS-SEGMENT'!$Q$8:$Q$1000*'ANALYSE - ERP =&gt; SOUS-SEGMENT'!$FH$8:$FH$1000*'ANALYSE - ERP =&gt; SOUS-SEGMENT'!$JN$8:$JN$1000)/SUMPRODUCT(('ANALYSE - ERP =&gt; SOUS-SEGMENT'!$B$8:$B$1000=$B19)*'ANALYSE - ERP =&gt; SOUS-SEGMENT'!$Q$8:$Q$1000*'ANALYSE - ERP =&gt; SOUS-SEGMENT'!$FH$8:$FH$1000),""))</f>
        <v>0</v>
      </c>
      <c r="JO19" s="730">
        <f>IF($B19="","",IFERROR(SUMPRODUCT(('ANALYSE - ERP =&gt; SOUS-SEGMENT'!$B$8:$B$1000=$B19)*'ANALYSE - ERP =&gt; SOUS-SEGMENT'!$Q$8:$Q$1000*'ANALYSE - ERP =&gt; SOUS-SEGMENT'!$FH$8:$FH$1000*'ANALYSE - ERP =&gt; SOUS-SEGMENT'!$JO$8:$JO$1000)/SUMPRODUCT(('ANALYSE - ERP =&gt; SOUS-SEGMENT'!$B$8:$B$1000=$B19)*'ANALYSE - ERP =&gt; SOUS-SEGMENT'!$Q$8:$Q$1000*'ANALYSE - ERP =&gt; SOUS-SEGMENT'!$FH$8:$FH$1000),""))</f>
        <v>0</v>
      </c>
      <c r="JP19" s="730">
        <f>IF($B19="","",IFERROR(SUMPRODUCT(('ANALYSE - ERP =&gt; SOUS-SEGMENT'!$B$8:$B$1000=$B19)*'ANALYSE - ERP =&gt; SOUS-SEGMENT'!$Q$8:$Q$1000*'ANALYSE - ERP =&gt; SOUS-SEGMENT'!$FH$8:$FH$1000*'ANALYSE - ERP =&gt; SOUS-SEGMENT'!$JP$8:$JP$1000)/SUMPRODUCT(('ANALYSE - ERP =&gt; SOUS-SEGMENT'!$B$8:$B$1000=$B19)*'ANALYSE - ERP =&gt; SOUS-SEGMENT'!$Q$8:$Q$1000*'ANALYSE - ERP =&gt; SOUS-SEGMENT'!$FH$8:$FH$1000),""))</f>
        <v>0</v>
      </c>
      <c r="JQ19" s="730">
        <f>IF($B19="","",IFERROR(SUMPRODUCT(('ANALYSE - ERP =&gt; SOUS-SEGMENT'!$B$8:$B$1000=$B19)*'ANALYSE - ERP =&gt; SOUS-SEGMENT'!$Q$8:$Q$1000*'ANALYSE - ERP =&gt; SOUS-SEGMENT'!$FH$8:$FH$1000*'ANALYSE - ERP =&gt; SOUS-SEGMENT'!$JQ$8:$JQ$1000)/SUMPRODUCT(('ANALYSE - ERP =&gt; SOUS-SEGMENT'!$B$8:$B$1000=$B19)*'ANALYSE - ERP =&gt; SOUS-SEGMENT'!$Q$8:$Q$1000*'ANALYSE - ERP =&gt; SOUS-SEGMENT'!$FH$8:$FH$1000),""))</f>
        <v>0</v>
      </c>
      <c r="JR19" s="730">
        <f>IF($B19="","",IFERROR(SUMPRODUCT(('ANALYSE - ERP =&gt; SOUS-SEGMENT'!$B$8:$B$1000=$B19)*'ANALYSE - ERP =&gt; SOUS-SEGMENT'!$Q$8:$Q$1000*'ANALYSE - ERP =&gt; SOUS-SEGMENT'!$FH$8:$FH$1000*'ANALYSE - ERP =&gt; SOUS-SEGMENT'!$JR$8:$JR$1000)/SUMPRODUCT(('ANALYSE - ERP =&gt; SOUS-SEGMENT'!$B$8:$B$1000=$B19)*'ANALYSE - ERP =&gt; SOUS-SEGMENT'!$Q$8:$Q$1000*'ANALYSE - ERP =&gt; SOUS-SEGMENT'!$FH$8:$FH$1000),""))</f>
        <v>0</v>
      </c>
      <c r="JS19" s="730">
        <f>IF($B19="","",IFERROR(SUMPRODUCT(('ANALYSE - ERP =&gt; SOUS-SEGMENT'!$B$8:$B$1000=$B19)*'ANALYSE - ERP =&gt; SOUS-SEGMENT'!$Q$8:$Q$1000*'ANALYSE - ERP =&gt; SOUS-SEGMENT'!$BH$8:$BH$1000*'ANALYSE - ERP =&gt; SOUS-SEGMENT'!$JS$8:$JS$1000)/SUMPRODUCT(('ANALYSE - ERP =&gt; SOUS-SEGMENT'!$B$8:$B$1000=$B19)*'ANALYSE - ERP =&gt; SOUS-SEGMENT'!$Q$8:$Q$1000*'ANALYSE - ERP =&gt; SOUS-SEGMENT'!$BH$8:$BH$1000),""))</f>
        <v>0.29273423597678916</v>
      </c>
      <c r="JT19" s="730">
        <f>IF($B19="","",IFERROR(SUMPRODUCT(('ANALYSE - ERP =&gt; SOUS-SEGMENT'!$B$8:$B$1000=$B19)*'ANALYSE - ERP =&gt; SOUS-SEGMENT'!$Q$8:$Q$1000*'ANALYSE - ERP =&gt; SOUS-SEGMENT'!$BH$8:$BH$1000*'ANALYSE - ERP =&gt; SOUS-SEGMENT'!$JT$8:$JT$1000)/SUMPRODUCT(('ANALYSE - ERP =&gt; SOUS-SEGMENT'!$B$8:$B$1000=$B19)*'ANALYSE - ERP =&gt; SOUS-SEGMENT'!$Q$8:$Q$1000*'ANALYSE - ERP =&gt; SOUS-SEGMENT'!$BH$8:$BH$1000),""))</f>
        <v>0.59624313346228242</v>
      </c>
      <c r="JU19" s="730">
        <f>IF($B19="","",IFERROR(SUMPRODUCT(('ANALYSE - ERP =&gt; SOUS-SEGMENT'!$B$8:$B$1000=$B19)*'ANALYSE - ERP =&gt; SOUS-SEGMENT'!$Q$8:$Q$1000*'ANALYSE - ERP =&gt; SOUS-SEGMENT'!$BH$8:$BH$1000*'ANALYSE - ERP =&gt; SOUS-SEGMENT'!$JU$8:$JU$1000)/SUMPRODUCT(('ANALYSE - ERP =&gt; SOUS-SEGMENT'!$B$8:$B$1000=$B19)*'ANALYSE - ERP =&gt; SOUS-SEGMENT'!$Q$8:$Q$1000*'ANALYSE - ERP =&gt; SOUS-SEGMENT'!$BH$8:$BH$1000),""))</f>
        <v>0.11102263056092844</v>
      </c>
      <c r="JV19" s="730">
        <f>IF($B19="","",IFERROR(SUMPRODUCT(('ANALYSE - ERP =&gt; SOUS-SEGMENT'!$B$8:$B$1000=$B19)*'ANALYSE - ERP =&gt; SOUS-SEGMENT'!$Q$8:$Q$1000*'ANALYSE - ERP =&gt; SOUS-SEGMENT'!$BH$8:$BH$1000*'ANALYSE - ERP =&gt; SOUS-SEGMENT'!$JV$8:$JV$1000)/SUMPRODUCT(('ANALYSE - ERP =&gt; SOUS-SEGMENT'!$B$8:$B$1000=$B19)*'ANALYSE - ERP =&gt; SOUS-SEGMENT'!$Q$8:$Q$1000*'ANALYSE - ERP =&gt; SOUS-SEGMENT'!$BH$8:$BH$1000),""))</f>
        <v>0</v>
      </c>
      <c r="JW19" s="730">
        <f>IF($B19="","",IFERROR(SUMPRODUCT(('ANALYSE - ERP =&gt; SOUS-SEGMENT'!$B$8:$B$1000=$B19)*'ANALYSE - ERP =&gt; SOUS-SEGMENT'!$Q$8:$Q$1000*'ANALYSE - ERP =&gt; SOUS-SEGMENT'!$BH$8:$BH$1000*'ANALYSE - ERP =&gt; SOUS-SEGMENT'!$JW$8:$JW$1000)/SUMPRODUCT(('ANALYSE - ERP =&gt; SOUS-SEGMENT'!$B$8:$B$1000=$B19)*'ANALYSE - ERP =&gt; SOUS-SEGMENT'!$Q$8:$Q$1000*'ANALYSE - ERP =&gt; SOUS-SEGMENT'!$BH$8:$BH$1000),""))</f>
        <v>0</v>
      </c>
      <c r="JX19" s="730">
        <f>IF($B19="","",IFERROR(SUMPRODUCT(('ANALYSE - ERP =&gt; SOUS-SEGMENT'!$B$8:$B$1000=$B19)*'ANALYSE - ERP =&gt; SOUS-SEGMENT'!$Q$8:$Q$1000*'ANALYSE - ERP =&gt; SOUS-SEGMENT'!$FK$8:$FK$1000*'ANALYSE - ERP =&gt; SOUS-SEGMENT'!$JX$8:$JX$1000)/SUMPRODUCT(('ANALYSE - ERP =&gt; SOUS-SEGMENT'!$B$8:$B$1000=$B19)*'ANALYSE - ERP =&gt; SOUS-SEGMENT'!$Q$8:$Q$1000*'ANALYSE - ERP =&gt; SOUS-SEGMENT'!$FK$8:$FK$1000),""))</f>
        <v>0.2662472448157035</v>
      </c>
      <c r="JY19" s="730">
        <f>IF($B19="","",IFERROR(SUMPRODUCT(('ANALYSE - ERP =&gt; SOUS-SEGMENT'!$B$8:$B$1000=$B19)*'ANALYSE - ERP =&gt; SOUS-SEGMENT'!$Q$8:$Q$1000*'ANALYSE - ERP =&gt; SOUS-SEGMENT'!$FK$8:$FK$1000*'ANALYSE - ERP =&gt; SOUS-SEGMENT'!$JY$8:$JY$1000)/SUMPRODUCT(('ANALYSE - ERP =&gt; SOUS-SEGMENT'!$B$8:$B$1000=$B19)*'ANALYSE - ERP =&gt; SOUS-SEGMENT'!$Q$8:$Q$1000*'ANALYSE - ERP =&gt; SOUS-SEGMENT'!$FK$8:$FK$1000),""))</f>
        <v>0.57588680837035833</v>
      </c>
      <c r="JZ19" s="730">
        <f>IF($B19="","",IFERROR(SUMPRODUCT(('ANALYSE - ERP =&gt; SOUS-SEGMENT'!$B$8:$B$1000=$B19)*'ANALYSE - ERP =&gt; SOUS-SEGMENT'!$Q$8:$Q$1000*'ANALYSE - ERP =&gt; SOUS-SEGMENT'!$FK$8:$FK$1000*'ANALYSE - ERP =&gt; SOUS-SEGMENT'!$JZ$8:$JZ$1000)/SUMPRODUCT(('ANALYSE - ERP =&gt; SOUS-SEGMENT'!$B$8:$B$1000=$B19)*'ANALYSE - ERP =&gt; SOUS-SEGMENT'!$Q$8:$Q$1000*'ANALYSE - ERP =&gt; SOUS-SEGMENT'!$FK$8:$FK$1000),""))</f>
        <v>0.13359462472246741</v>
      </c>
      <c r="KA19" s="730">
        <f>IF($B19="","",IFERROR(SUMPRODUCT(('ANALYSE - ERP =&gt; SOUS-SEGMENT'!$B$8:$B$1000=$B19)*'ANALYSE - ERP =&gt; SOUS-SEGMENT'!$Q$8:$Q$1000*'ANALYSE - ERP =&gt; SOUS-SEGMENT'!$FK$8:$FK$1000*'ANALYSE - ERP =&gt; SOUS-SEGMENT'!$KA$8:$KA$1000)/SUMPRODUCT(('ANALYSE - ERP =&gt; SOUS-SEGMENT'!$B$8:$B$1000=$B19)*'ANALYSE - ERP =&gt; SOUS-SEGMENT'!$Q$8:$Q$1000*'ANALYSE - ERP =&gt; SOUS-SEGMENT'!$FK$8:$FK$1000),""))</f>
        <v>1.9840842662075323E-2</v>
      </c>
      <c r="KB19" s="730">
        <f>IF($B19="","",IFERROR(SUMPRODUCT(('ANALYSE - ERP =&gt; SOUS-SEGMENT'!$B$8:$B$1000=$B19)*'ANALYSE - ERP =&gt; SOUS-SEGMENT'!$Q$8:$Q$1000*'ANALYSE - ERP =&gt; SOUS-SEGMENT'!$FK$8:$FK$1000*'ANALYSE - ERP =&gt; SOUS-SEGMENT'!$KB$8:$KB$1000)/SUMPRODUCT(('ANALYSE - ERP =&gt; SOUS-SEGMENT'!$B$8:$B$1000=$B19)*'ANALYSE - ERP =&gt; SOUS-SEGMENT'!$Q$8:$Q$1000*'ANALYSE - ERP =&gt; SOUS-SEGMENT'!$FK$8:$FK$1000),""))</f>
        <v>4.4304794293954595E-3</v>
      </c>
      <c r="KC19" s="657"/>
      <c r="KD19" s="920" t="s">
        <v>2590</v>
      </c>
      <c r="KE19" s="920" t="s">
        <v>2590</v>
      </c>
      <c r="KF19" s="866">
        <f>IF($B19="","",IFERROR(SUMPRODUCT(('ANALYSE - ERP =&gt; SOUS-SEGMENT'!$B$8:$B$1000=$B19)*'ANALYSE - ERP =&gt; SOUS-SEGMENT'!$Q$8:$Q$1000*'ANALYSE - ERP =&gt; SOUS-SEGMENT'!$IE$8:$IE$1000*'ANALYSE - ERP =&gt; SOUS-SEGMENT'!$KF$8:$KF$1000)/SUMPRODUCT(('ANALYSE - ERP =&gt; SOUS-SEGMENT'!$B$8:$B$1000=$B19)*'ANALYSE - ERP =&gt; SOUS-SEGMENT'!$Q$8:$Q$1000*'ANALYSE - ERP =&gt; SOUS-SEGMENT'!$IE$8:$IE$1000),""))</f>
        <v>4.0461760043230699</v>
      </c>
      <c r="KG19" s="920" t="s">
        <v>2589</v>
      </c>
      <c r="KH19" s="920" t="s">
        <v>6255</v>
      </c>
      <c r="KI19" s="920" t="s">
        <v>6256</v>
      </c>
      <c r="KJ19" s="920" t="s">
        <v>6257</v>
      </c>
    </row>
    <row r="20" spans="1:296" ht="120" customHeight="1">
      <c r="A20" s="951">
        <f>IF($B20="","",ROWS($A$8:A20))</f>
        <v>13</v>
      </c>
      <c r="B20" s="952" t="s">
        <v>5215</v>
      </c>
      <c r="C20" s="952" t="s">
        <v>6706</v>
      </c>
      <c r="D20" s="952" t="s">
        <v>6258</v>
      </c>
      <c r="E20" s="646" t="s">
        <v>6259</v>
      </c>
      <c r="F20" s="646" t="s">
        <v>6260</v>
      </c>
      <c r="G20" s="646" t="s">
        <v>6261</v>
      </c>
      <c r="H20" s="646" t="s">
        <v>2109</v>
      </c>
      <c r="I20" s="646" t="s">
        <v>6262</v>
      </c>
      <c r="J20" s="646" t="s">
        <v>6263</v>
      </c>
      <c r="K20" s="646" t="s">
        <v>2097</v>
      </c>
      <c r="L20" s="646" t="s">
        <v>2109</v>
      </c>
      <c r="M20" s="646" t="s">
        <v>3168</v>
      </c>
      <c r="N20" s="646" t="s">
        <v>3169</v>
      </c>
      <c r="O20" s="646" t="s">
        <v>3170</v>
      </c>
      <c r="P20" s="646"/>
      <c r="Q20" s="270">
        <f>IF($B20="","",IF(SUMIFS('ANALYSE - ERP =&gt; SOUS-SEGMENT'!$Q$8:$Q$1000,'ANALYSE - ERP =&gt; SOUS-SEGMENT'!$B$8:$B$1000,$B20)&gt;0,1,0))</f>
        <v>1</v>
      </c>
      <c r="R20" s="278">
        <f>IF($B20="","",IFERROR(SUMPRODUCT(('ANALYSE - ERP =&gt; SOUS-SEGMENT'!$B$8:$B$1000=$B20)*'ANALYSE - ERP =&gt; SOUS-SEGMENT'!$Q$8:$Q$1000*'ANALYSE - ERP =&gt; SOUS-SEGMENT'!$AF$8:$AF$1000*'ANALYSE - ERP =&gt; SOUS-SEGMENT'!$R$8:$R$1000)/SUMPRODUCT(('ANALYSE - ERP =&gt; SOUS-SEGMENT'!$B$8:$B$1000=$B20)*'ANALYSE - ERP =&gt; SOUS-SEGMENT'!$Q$8:$Q$1000*'ANALYSE - ERP =&gt; SOUS-SEGMENT'!$AF$8:$AF$1000),""))</f>
        <v>5903.5703229800847</v>
      </c>
      <c r="S20" s="279">
        <f>IF($B20="","",SUMPRODUCT(('ANALYSE - ERP =&gt; SOUS-SEGMENT'!$B$8:$B$1000=$B20)*'ANALYSE - ERP =&gt; SOUS-SEGMENT'!$Q$8:$Q$1000*'ANALYSE - ERP =&gt; SOUS-SEGMENT'!$S$8:$S$1000))</f>
        <v>4895</v>
      </c>
      <c r="T20" s="279">
        <f>IF($B20="","",SUMPRODUCT(('ANALYSE - ERP =&gt; SOUS-SEGMENT'!$B$8:$B$1000=$B20)*'ANALYSE - ERP =&gt; SOUS-SEGMENT'!$Q$8:$Q$1000*'ANALYSE - ERP =&gt; SOUS-SEGMENT'!$T$8:$T$1000))</f>
        <v>5665</v>
      </c>
      <c r="U20" s="279">
        <f>IF($B20="","",SUMPRODUCT(('ANALYSE - ERP =&gt; SOUS-SEGMENT'!$B$8:$B$1000=$B20)*'ANALYSE - ERP =&gt; SOUS-SEGMENT'!$Q$8:$Q$1000*'ANALYSE - ERP =&gt; SOUS-SEGMENT'!$U$8:$U$1000))</f>
        <v>6495</v>
      </c>
      <c r="V20" s="279">
        <f>IF($B20="","",SUMPRODUCT(('ANALYSE - ERP =&gt; SOUS-SEGMENT'!$B$8:$B$1000=$B20)*'ANALYSE - ERP =&gt; SOUS-SEGMENT'!$Q$8:$Q$1000*'ANALYSE - ERP =&gt; SOUS-SEGMENT'!$V$8:$V$1000))</f>
        <v>7722</v>
      </c>
      <c r="W20" s="279">
        <f>IF($B20="","",SUMPRODUCT(('ANALYSE - ERP =&gt; SOUS-SEGMENT'!$B$8:$B$1000=$B20)*'ANALYSE - ERP =&gt; SOUS-SEGMENT'!$Q$8:$Q$1000*'ANALYSE - ERP =&gt; SOUS-SEGMENT'!$W$8:$W$1000))</f>
        <v>7948</v>
      </c>
      <c r="X20" s="279">
        <f>IF($B20="","",SUMPRODUCT(('ANALYSE - ERP =&gt; SOUS-SEGMENT'!$B$8:$B$1000=$B20)*'ANALYSE - ERP =&gt; SOUS-SEGMENT'!$Q$8:$Q$1000*'ANALYSE - ERP =&gt; SOUS-SEGMENT'!$X$8:$X$1000))</f>
        <v>8183</v>
      </c>
      <c r="Y20" s="279">
        <f>IF($B20="","",SUMPRODUCT(('ANALYSE - ERP =&gt; SOUS-SEGMENT'!$B$8:$B$1000=$B20)*'ANALYSE - ERP =&gt; SOUS-SEGMENT'!$Q$8:$Q$1000*'ANALYSE - ERP =&gt; SOUS-SEGMENT'!$Y$8:$Y$1000))</f>
        <v>8419</v>
      </c>
      <c r="Z20" s="279">
        <f>IF($B20="","",SUMPRODUCT(('ANALYSE - ERP =&gt; SOUS-SEGMENT'!$B$8:$B$1000=$B20)*'ANALYSE - ERP =&gt; SOUS-SEGMENT'!$Q$8:$Q$1000*'ANALYSE - ERP =&gt; SOUS-SEGMENT'!$Z$8:$Z$1000))</f>
        <v>8708</v>
      </c>
      <c r="AA20" s="279">
        <f>IF($B20="","",SUMPRODUCT(('ANALYSE - ERP =&gt; SOUS-SEGMENT'!$B$8:$B$1000=$B20)*'ANALYSE - ERP =&gt; SOUS-SEGMENT'!$Q$8:$Q$1000*'ANALYSE - ERP =&gt; SOUS-SEGMENT'!$AA$8:$AA$1000))</f>
        <v>8953</v>
      </c>
      <c r="AB20" s="279">
        <f>IF($B20="","",SUMPRODUCT(('ANALYSE - ERP =&gt; SOUS-SEGMENT'!$B$8:$B$1000=$B20)*'ANALYSE - ERP =&gt; SOUS-SEGMENT'!$Q$8:$Q$1000*'ANALYSE - ERP =&gt; SOUS-SEGMENT'!$AB$8:$AB$1000))</f>
        <v>9008</v>
      </c>
      <c r="AC20" s="279">
        <f>IF($B20="","",SUMPRODUCT(('ANALYSE - ERP =&gt; SOUS-SEGMENT'!$B$8:$B$1000=$B20)*'ANALYSE - ERP =&gt; SOUS-SEGMENT'!$Q$8:$Q$1000*'ANALYSE - ERP =&gt; SOUS-SEGMENT'!$AC$8:$AC$1000))</f>
        <v>9113</v>
      </c>
      <c r="AD20" s="279">
        <f>IF($B20="","",SUMPRODUCT(('ANALYSE - ERP =&gt; SOUS-SEGMENT'!$B$8:$B$1000=$B20)*'ANALYSE - ERP =&gt; SOUS-SEGMENT'!$Q$8:$Q$1000*'ANALYSE - ERP =&gt; SOUS-SEGMENT'!$AD$8:$AD$1000))</f>
        <v>9322</v>
      </c>
      <c r="AE20" s="279">
        <f>IF($B20="","",SUMPRODUCT(('ANALYSE - ERP =&gt; SOUS-SEGMENT'!$B$8:$B$1000=$B20)*'ANALYSE - ERP =&gt; SOUS-SEGMENT'!$Q$8:$Q$1000*'ANALYSE - ERP =&gt; SOUS-SEGMENT'!$AE$8:$AE$1000))</f>
        <v>9533</v>
      </c>
      <c r="AF20" s="279">
        <f>IF($B20="","",SUMPRODUCT(('ANALYSE - ERP =&gt; SOUS-SEGMENT'!$B$8:$B$1000=$B20)*'ANALYSE - ERP =&gt; SOUS-SEGMENT'!$Q$8:$Q$1000*'ANALYSE - ERP =&gt; SOUS-SEGMENT'!$AF$8:$AF$1000))</f>
        <v>9691</v>
      </c>
      <c r="AG20" s="279">
        <f>IF($B20="","",SUMPRODUCT(('ANALYSE - ERP =&gt; SOUS-SEGMENT'!$B$8:$B$1000=$B20)*'ANALYSE - ERP =&gt; SOUS-SEGMENT'!$Q$8:$Q$1000*'ANALYSE - ERP =&gt; SOUS-SEGMENT'!$AG$8:$AG$1000))</f>
        <v>9845</v>
      </c>
      <c r="AH20" s="279">
        <f>IF($B20="","",SUMPRODUCT(('ANALYSE - ERP =&gt; SOUS-SEGMENT'!$B$8:$B$1000=$B20)*'ANALYSE - ERP =&gt; SOUS-SEGMENT'!$Q$8:$Q$1000*'ANALYSE - ERP =&gt; SOUS-SEGMENT'!$AH$8:$AH$1000))</f>
        <v>10049</v>
      </c>
      <c r="AI20" s="279">
        <f>IF($B20="","",SUMPRODUCT(('ANALYSE - ERP =&gt; SOUS-SEGMENT'!$B$8:$B$1000=$B20)*'ANALYSE - ERP =&gt; SOUS-SEGMENT'!$Q$8:$Q$1000*'ANALYSE - ERP =&gt; SOUS-SEGMENT'!$AI$8:$AI$1000))</f>
        <v>10248</v>
      </c>
      <c r="AJ20" s="279">
        <f>IF($B20="","",SUMPRODUCT(('ANALYSE - ERP =&gt; SOUS-SEGMENT'!$B$8:$B$1000=$B20)*'ANALYSE - ERP =&gt; SOUS-SEGMENT'!$Q$8:$Q$1000*'ANALYSE - ERP =&gt; SOUS-SEGMENT'!$AJ$8:$AJ$1000))</f>
        <v>10441</v>
      </c>
      <c r="AK20" s="279">
        <f>IF($B20="","",SUMPRODUCT(('ANALYSE - ERP =&gt; SOUS-SEGMENT'!$B$8:$B$1000=$B20)*'ANALYSE - ERP =&gt; SOUS-SEGMENT'!$Q$8:$Q$1000*'ANALYSE - ERP =&gt; SOUS-SEGMENT'!$AK$8:$AK$1000))</f>
        <v>10629</v>
      </c>
      <c r="AL20" s="646" t="s">
        <v>6264</v>
      </c>
      <c r="AM20" s="646" t="s">
        <v>6265</v>
      </c>
      <c r="AN20" s="646" t="s">
        <v>6266</v>
      </c>
      <c r="AO20" s="657"/>
      <c r="AP20" s="278">
        <f>IF($B20="","",IFERROR(SUMPRODUCT(('ANALYSE - ERP =&gt; SOUS-SEGMENT'!$B$8:$B$1000=$B20)*'ANALYSE - ERP =&gt; SOUS-SEGMENT'!$Q$8:$Q$1000*'ANALYSE - ERP =&gt; SOUS-SEGMENT'!$AF$8:$AF$1000*'ANALYSE - ERP =&gt; SOUS-SEGMENT'!$AP$8:$AP$1000)/SUMPRODUCT(('ANALYSE - ERP =&gt; SOUS-SEGMENT'!$B$8:$B$1000=$B20)*'ANALYSE - ERP =&gt; SOUS-SEGMENT'!$Q$8:$Q$1000*'ANALYSE - ERP =&gt; SOUS-SEGMENT'!$AF$8:$AF$1000),""))</f>
        <v>41.906923950056751</v>
      </c>
      <c r="AQ20" s="278">
        <f>IF($B20="","",IFERROR(SUMPRODUCT(('ANALYSE - ERP =&gt; SOUS-SEGMENT'!$B$8:$B$1000=$B20)*'ANALYSE - ERP =&gt; SOUS-SEGMENT'!$Q$8:$Q$1000*'ANALYSE - ERP =&gt; SOUS-SEGMENT'!$AF$8:$AF$1000*'ANALYSE - ERP =&gt; SOUS-SEGMENT'!$AQ$8:$AQ$1000)/SUMPRODUCT(('ANALYSE - ERP =&gt; SOUS-SEGMENT'!$B$8:$B$1000=$B20)*'ANALYSE - ERP =&gt; SOUS-SEGMENT'!$Q$8:$Q$1000*'ANALYSE - ERP =&gt; SOUS-SEGMENT'!$AF$8:$AF$1000),""))</f>
        <v>35.1356929109483</v>
      </c>
      <c r="AR20" s="278">
        <f>IF($B20="","",IFERROR(SUMPRODUCT(('ANALYSE - ERP =&gt; SOUS-SEGMENT'!$B$8:$B$1000=$B20)*'ANALYSE - ERP =&gt; SOUS-SEGMENT'!$Q$8:$Q$1000*'ANALYSE - ERP =&gt; SOUS-SEGMENT'!$AF$8:$AF$1000*'ANALYSE - ERP =&gt; SOUS-SEGMENT'!$AR$8:$AR$1000)/SUMPRODUCT(('ANALYSE - ERP =&gt; SOUS-SEGMENT'!$B$8:$B$1000=$B20)*'ANALYSE - ERP =&gt; SOUS-SEGMENT'!$Q$8:$Q$1000*'ANALYSE - ERP =&gt; SOUS-SEGMENT'!$AF$8:$AF$1000),""))</f>
        <v>5.2775771334227635</v>
      </c>
      <c r="AS20" s="278">
        <f>IF($B20="","",IFERROR(SUMPRODUCT(('ANALYSE - ERP =&gt; SOUS-SEGMENT'!$B$8:$B$1000=$B20)*'ANALYSE - ERP =&gt; SOUS-SEGMENT'!$Q$8:$Q$1000*'ANALYSE - ERP =&gt; SOUS-SEGMENT'!$AF$8:$AF$1000*'ANALYSE - ERP =&gt; SOUS-SEGMENT'!$AS$8:$AS$1000)/SUMPRODUCT(('ANALYSE - ERP =&gt; SOUS-SEGMENT'!$B$8:$B$1000=$B20)*'ANALYSE - ERP =&gt; SOUS-SEGMENT'!$Q$8:$Q$1000*'ANALYSE - ERP =&gt; SOUS-SEGMENT'!$AF$8:$AF$1000),""))</f>
        <v>1.4936539056856877</v>
      </c>
      <c r="AT20" s="657"/>
      <c r="AU20" s="646" t="s">
        <v>6267</v>
      </c>
      <c r="AV20" s="646" t="s">
        <v>6268</v>
      </c>
      <c r="AW20" s="646" t="s">
        <v>6269</v>
      </c>
      <c r="AX20" s="646" t="s">
        <v>2670</v>
      </c>
      <c r="AY20" s="657"/>
      <c r="AZ20" s="947">
        <f>IF($B20="","",IFERROR(SUMPRODUCT(('ANALYSE - ERP =&gt; SOUS-SEGMENT'!$B$8:$B$1000=$B20)*'ANALYSE - ERP =&gt; SOUS-SEGMENT'!$Q$8:$Q$1000*'ANALYSE - ERP =&gt; SOUS-SEGMENT'!$AF$8:$AF$1000*'ANALYSE - ERP =&gt; SOUS-SEGMENT'!$AZ$8:$AZ$1000)/SUMPRODUCT(('ANALYSE - ERP =&gt; SOUS-SEGMENT'!$B$8:$B$1000=$B20)*'ANALYSE - ERP =&gt; SOUS-SEGMENT'!$Q$8:$Q$1000*'ANALYSE - ERP =&gt; SOUS-SEGMENT'!$AF$8:$AF$1000),""))</f>
        <v>2.4698173563099783</v>
      </c>
      <c r="BA20" s="947">
        <f>IF($B20="","",IFERROR(SUMPRODUCT(('ANALYSE - ERP =&gt; SOUS-SEGMENT'!$B$8:$B$1000=$B20)*'ANALYSE - ERP =&gt; SOUS-SEGMENT'!$Q$8:$Q$1000*'ANALYSE - ERP =&gt; SOUS-SEGMENT'!$AF$8:$AF$1000*'ANALYSE - ERP =&gt; SOUS-SEGMENT'!$BA$8:$BA$1000)/SUMPRODUCT(('ANALYSE - ERP =&gt; SOUS-SEGMENT'!$B$8:$B$1000=$B20)*'ANALYSE - ERP =&gt; SOUS-SEGMENT'!$Q$8:$Q$1000*'ANALYSE - ERP =&gt; SOUS-SEGMENT'!$AF$8:$AF$1000),""))</f>
        <v>0</v>
      </c>
      <c r="BB20" s="947">
        <f>IF($B20="","",IFERROR(SUMPRODUCT(('ANALYSE - ERP =&gt; SOUS-SEGMENT'!$B$8:$B$1000=$B20)*'ANALYSE - ERP =&gt; SOUS-SEGMENT'!$Q$8:$Q$1000*'ANALYSE - ERP =&gt; SOUS-SEGMENT'!$AF$8:$AF$1000*'ANALYSE - ERP =&gt; SOUS-SEGMENT'!$BB$8:$BB$1000)/SUMPRODUCT(('ANALYSE - ERP =&gt; SOUS-SEGMENT'!$B$8:$B$1000=$B20)*'ANALYSE - ERP =&gt; SOUS-SEGMENT'!$Q$8:$Q$1000*'ANALYSE - ERP =&gt; SOUS-SEGMENT'!$AF$8:$AF$1000),""))</f>
        <v>0.25890001031885257</v>
      </c>
      <c r="BC20" s="947">
        <f>IF($B20="","",IFERROR(SUMPRODUCT(('ANALYSE - ERP =&gt; SOUS-SEGMENT'!$B$8:$B$1000=$B20)*'ANALYSE - ERP =&gt; SOUS-SEGMENT'!$Q$8:$Q$1000*'ANALYSE - ERP =&gt; SOUS-SEGMENT'!$AF$8:$AF$1000*'ANALYSE - ERP =&gt; SOUS-SEGMENT'!$BC$8:$BC$1000)/SUMPRODUCT(('ANALYSE - ERP =&gt; SOUS-SEGMENT'!$B$8:$B$1000=$B20)*'ANALYSE - ERP =&gt; SOUS-SEGMENT'!$Q$8:$Q$1000*'ANALYSE - ERP =&gt; SOUS-SEGMENT'!$AF$8:$AF$1000),""))</f>
        <v>2.4698173563099783</v>
      </c>
      <c r="BD20" s="826">
        <f t="shared" si="1"/>
        <v>50379</v>
      </c>
      <c r="BE20" s="283">
        <f>IF($B20="","",SUMPRODUCT(('ANALYSE - ERP =&gt; SOUS-SEGMENT'!$B$8:$B$1000=$B20)*'ANALYSE - ERP =&gt; SOUS-SEGMENT'!$Q$8:$Q$1000*'ANALYSE - ERP =&gt; SOUS-SEGMENT'!$BE$8:$BE$1000))</f>
        <v>23935</v>
      </c>
      <c r="BF20" s="283">
        <f>IF($B20="","",SUMPRODUCT(('ANALYSE - ERP =&gt; SOUS-SEGMENT'!$B$8:$B$1000=$B20)*'ANALYSE - ERP =&gt; SOUS-SEGMENT'!$Q$8:$Q$1000*'ANALYSE - ERP =&gt; SOUS-SEGMENT'!$BF$8:$BF$1000))</f>
        <v>0</v>
      </c>
      <c r="BG20" s="283">
        <f>IF($B20="","",SUMPRODUCT(('ANALYSE - ERP =&gt; SOUS-SEGMENT'!$B$8:$B$1000=$B20)*'ANALYSE - ERP =&gt; SOUS-SEGMENT'!$Q$8:$Q$1000*'ANALYSE - ERP =&gt; SOUS-SEGMENT'!$BG$8:$BG$1000))</f>
        <v>2509</v>
      </c>
      <c r="BH20" s="283">
        <f>IF($B20="","",SUMPRODUCT(('ANALYSE - ERP =&gt; SOUS-SEGMENT'!$B$8:$B$1000=$B20)*'ANALYSE - ERP =&gt; SOUS-SEGMENT'!$Q$8:$Q$1000*'ANALYSE - ERP =&gt; SOUS-SEGMENT'!$BH$8:$BH$1000))</f>
        <v>23935</v>
      </c>
      <c r="BI20" s="826">
        <f t="shared" si="2"/>
        <v>54903</v>
      </c>
      <c r="BJ20" s="283">
        <f>IF($B20="","",SUMPRODUCT(('ANALYSE - ERP =&gt; SOUS-SEGMENT'!$B$8:$B$1000=$B20)*'ANALYSE - ERP =&gt; SOUS-SEGMENT'!$Q$8:$Q$1000*'ANALYSE - ERP =&gt; SOUS-SEGMENT'!$BJ$8:$BJ$1000))</f>
        <v>26085</v>
      </c>
      <c r="BK20" s="283">
        <f>IF($B20="","",SUMPRODUCT(('ANALYSE - ERP =&gt; SOUS-SEGMENT'!$B$8:$B$1000=$B20)*'ANALYSE - ERP =&gt; SOUS-SEGMENT'!$Q$8:$Q$1000*'ANALYSE - ERP =&gt; SOUS-SEGMENT'!$BK$8:$BK$1000))</f>
        <v>0</v>
      </c>
      <c r="BL20" s="283">
        <f>IF($B20="","",SUMPRODUCT(('ANALYSE - ERP =&gt; SOUS-SEGMENT'!$B$8:$B$1000=$B20)*'ANALYSE - ERP =&gt; SOUS-SEGMENT'!$Q$8:$Q$1000*'ANALYSE - ERP =&gt; SOUS-SEGMENT'!$BL$8:$BL$1000))</f>
        <v>2733</v>
      </c>
      <c r="BM20" s="283">
        <f>IF($B20="","",SUMPRODUCT(('ANALYSE - ERP =&gt; SOUS-SEGMENT'!$B$8:$B$1000=$B20)*'ANALYSE - ERP =&gt; SOUS-SEGMENT'!$Q$8:$Q$1000*'ANALYSE - ERP =&gt; SOUS-SEGMENT'!$BM$8:$BM$1000))</f>
        <v>26085</v>
      </c>
      <c r="BN20" s="657"/>
      <c r="BO20" s="305">
        <f t="shared" si="3"/>
        <v>0.35</v>
      </c>
      <c r="BP20" s="305">
        <f t="shared" si="4"/>
        <v>0.5</v>
      </c>
      <c r="BQ20" s="305">
        <f t="shared" si="5"/>
        <v>0.1</v>
      </c>
      <c r="BR20" s="581">
        <f t="shared" si="6"/>
        <v>0.05</v>
      </c>
      <c r="BS20" s="706">
        <f t="shared" si="7"/>
        <v>0.32</v>
      </c>
      <c r="BT20" s="305">
        <f t="shared" si="8"/>
        <v>0.5</v>
      </c>
      <c r="BU20" s="305">
        <f t="shared" si="9"/>
        <v>0.12999999999999998</v>
      </c>
      <c r="BV20" s="581">
        <f t="shared" si="10"/>
        <v>0.05</v>
      </c>
      <c r="BW20" s="713">
        <f t="shared" si="11"/>
        <v>0</v>
      </c>
      <c r="BX20" s="306">
        <f t="shared" si="12"/>
        <v>0</v>
      </c>
      <c r="BY20" s="590">
        <f t="shared" si="13"/>
        <v>0</v>
      </c>
      <c r="BZ20" s="713">
        <f t="shared" si="14"/>
        <v>0</v>
      </c>
      <c r="CA20" s="306">
        <f t="shared" si="15"/>
        <v>0</v>
      </c>
      <c r="CB20" s="590">
        <f t="shared" si="16"/>
        <v>0</v>
      </c>
      <c r="CC20" s="706">
        <f t="shared" si="17"/>
        <v>0.12000000000000001</v>
      </c>
      <c r="CD20" s="305">
        <f t="shared" si="18"/>
        <v>0.5</v>
      </c>
      <c r="CE20" s="305">
        <f t="shared" si="19"/>
        <v>0.15</v>
      </c>
      <c r="CF20" s="581">
        <f t="shared" si="20"/>
        <v>0.23</v>
      </c>
      <c r="CG20" s="706">
        <f t="shared" si="21"/>
        <v>0.1</v>
      </c>
      <c r="CH20" s="305">
        <f t="shared" si="22"/>
        <v>0.5</v>
      </c>
      <c r="CI20" s="305">
        <f t="shared" si="23"/>
        <v>0.18</v>
      </c>
      <c r="CJ20" s="581">
        <f t="shared" si="24"/>
        <v>0.22</v>
      </c>
      <c r="CK20" s="719">
        <f t="shared" si="25"/>
        <v>0.6</v>
      </c>
      <c r="CL20" s="307">
        <f t="shared" si="26"/>
        <v>0.3</v>
      </c>
      <c r="CM20" s="723">
        <f t="shared" si="27"/>
        <v>0.1</v>
      </c>
      <c r="CN20" s="719">
        <f t="shared" si="28"/>
        <v>0.51999999999999991</v>
      </c>
      <c r="CO20" s="307">
        <f t="shared" si="29"/>
        <v>0.33</v>
      </c>
      <c r="CP20" s="723">
        <f t="shared" si="30"/>
        <v>0.15</v>
      </c>
      <c r="CQ20" s="657"/>
      <c r="CR20" s="804">
        <f>IF($B20="","",IFERROR(SUMPRODUCT(('ANALYSE - ERP =&gt; SOUS-SEGMENT'!$B$8:$B$1000=$B20)*'ANALYSE - ERP =&gt; SOUS-SEGMENT'!$Q$8:$Q$1000*'ANALYSE - ERP =&gt; SOUS-SEGMENT'!$DH$8:$DH$1000*'ANALYSE - ERP =&gt; SOUS-SEGMENT'!$CR$8:$CR$1000)/SUMPRODUCT(('ANALYSE - ERP =&gt; SOUS-SEGMENT'!$B$8:$B$1000=$B20)*'ANALYSE - ERP =&gt; SOUS-SEGMENT'!$Q$8:$Q$1000*'ANALYSE - ERP =&gt; SOUS-SEGMENT'!$DH$8:$DH$1000),""))</f>
        <v>12.999999999999998</v>
      </c>
      <c r="CS20" s="805">
        <f>IF($B20="","",IFERROR(SUMPRODUCT(('ANALYSE - ERP =&gt; SOUS-SEGMENT'!$B$8:$B$1000=$B20)*'ANALYSE - ERP =&gt; SOUS-SEGMENT'!$Q$8:$Q$1000*'ANALYSE - ERP =&gt; SOUS-SEGMENT'!$DI$8:$DI$1000*'ANALYSE - ERP =&gt; SOUS-SEGMENT'!$CS$8:$CS$1000)/SUMPRODUCT(('ANALYSE - ERP =&gt; SOUS-SEGMENT'!$B$8:$B$1000=$B20)*'ANALYSE - ERP =&gt; SOUS-SEGMENT'!$Q$8:$Q$1000*'ANALYSE - ERP =&gt; SOUS-SEGMENT'!$DI$8:$DI$1000),""))</f>
        <v>14</v>
      </c>
      <c r="CT20" s="805">
        <f>IF($B20="","",IFERROR(SUMPRODUCT(('ANALYSE - ERP =&gt; SOUS-SEGMENT'!$B$8:$B$1000=$B20)*'ANALYSE - ERP =&gt; SOUS-SEGMENT'!$Q$8:$Q$1000*'ANALYSE - ERP =&gt; SOUS-SEGMENT'!$DJ$8:$DJ$1000*'ANALYSE - ERP =&gt; SOUS-SEGMENT'!$CT$8:$CT$1000)/SUMPRODUCT(('ANALYSE - ERP =&gt; SOUS-SEGMENT'!$B$8:$B$1000=$B20)*'ANALYSE - ERP =&gt; SOUS-SEGMENT'!$Q$8:$Q$1000*'ANALYSE - ERP =&gt; SOUS-SEGMENT'!$DJ$8:$DJ$1000),""))</f>
        <v>10</v>
      </c>
      <c r="CU20" s="806">
        <f>IF($B20="","",IFERROR(SUMPRODUCT(('ANALYSE - ERP =&gt; SOUS-SEGMENT'!$B$8:$B$1000=$B20)*'ANALYSE - ERP =&gt; SOUS-SEGMENT'!$Q$8:$Q$1000*'ANALYSE - ERP =&gt; SOUS-SEGMENT'!$DK$8:$DK$1000*'ANALYSE - ERP =&gt; SOUS-SEGMENT'!$CU$8:$CU$1000)/SUMPRODUCT(('ANALYSE - ERP =&gt; SOUS-SEGMENT'!$B$8:$B$1000=$B20)*'ANALYSE - ERP =&gt; SOUS-SEGMENT'!$Q$8:$Q$1000*'ANALYSE - ERP =&gt; SOUS-SEGMENT'!$DK$8:$DK$1000),""))</f>
        <v>12</v>
      </c>
      <c r="CV20" s="804" t="str">
        <f>IF($B20="","",IFERROR(SUMPRODUCT(('ANALYSE - ERP =&gt; SOUS-SEGMENT'!$B$8:$B$1000=$B20)*'ANALYSE - ERP =&gt; SOUS-SEGMENT'!$Q$8:$Q$1000*'ANALYSE - ERP =&gt; SOUS-SEGMENT'!$DS$8:$DS$1000*'ANALYSE - ERP =&gt; SOUS-SEGMENT'!$CV$8:$CV$1000)/SUMPRODUCT(('ANALYSE - ERP =&gt; SOUS-SEGMENT'!$B$8:$B$1000=$B20)*'ANALYSE - ERP =&gt; SOUS-SEGMENT'!$Q$8:$Q$1000*'ANALYSE - ERP =&gt; SOUS-SEGMENT'!$DS$8:$DS$1000),""))</f>
        <v/>
      </c>
      <c r="CW20" s="805" t="str">
        <f>IF($B20="","",IFERROR(SUMPRODUCT(('ANALYSE - ERP =&gt; SOUS-SEGMENT'!$B$8:$B$1000=$B20)*'ANALYSE - ERP =&gt; SOUS-SEGMENT'!$Q$8:$Q$1000*'ANALYSE - ERP =&gt; SOUS-SEGMENT'!$DT$8:$DT$1000*'ANALYSE - ERP =&gt; SOUS-SEGMENT'!$CW$8:$CW$1000)/SUMPRODUCT(('ANALYSE - ERP =&gt; SOUS-SEGMENT'!$B$8:$B$1000=$B20)*'ANALYSE - ERP =&gt; SOUS-SEGMENT'!$Q$8:$Q$1000*'ANALYSE - ERP =&gt; SOUS-SEGMENT'!$DT$8:$DT$1000),""))</f>
        <v/>
      </c>
      <c r="CX20" s="806" t="str">
        <f>IF($B20="","",IFERROR(SUMPRODUCT(('ANALYSE - ERP =&gt; SOUS-SEGMENT'!$B$8:$B$1000=$B20)*'ANALYSE - ERP =&gt; SOUS-SEGMENT'!$Q$8:$Q$1000*'ANALYSE - ERP =&gt; SOUS-SEGMENT'!$DU$8:$DU$1000*'ANALYSE - ERP =&gt; SOUS-SEGMENT'!$CX$8:$CX$1000)/SUMPRODUCT(('ANALYSE - ERP =&gt; SOUS-SEGMENT'!$B$8:$B$1000=$B20)*'ANALYSE - ERP =&gt; SOUS-SEGMENT'!$Q$8:$Q$1000*'ANALYSE - ERP =&gt; SOUS-SEGMENT'!$DU$8:$DU$1000),""))</f>
        <v/>
      </c>
      <c r="CY20" s="804">
        <f>IF($B20="","",IFERROR(SUMPRODUCT(('ANALYSE - ERP =&gt; SOUS-SEGMENT'!$B$8:$B$1000=$B20)*'ANALYSE - ERP =&gt; SOUS-SEGMENT'!$Q$8:$Q$1000*'ANALYSE - ERP =&gt; SOUS-SEGMENT'!$EB$8:$EB$1000*'ANALYSE - ERP =&gt; SOUS-SEGMENT'!$CY$8:$CY$1000)/SUMPRODUCT(('ANALYSE - ERP =&gt; SOUS-SEGMENT'!$B$8:$B$1000=$B20)*'ANALYSE - ERP =&gt; SOUS-SEGMENT'!$Q$8:$Q$1000*'ANALYSE - ERP =&gt; SOUS-SEGMENT'!$EB$8:$EB$1000),""))</f>
        <v>10.999999999999998</v>
      </c>
      <c r="CZ20" s="805">
        <f>IF($B20="","",IFERROR(SUMPRODUCT(('ANALYSE - ERP =&gt; SOUS-SEGMENT'!$B$8:$B$1000=$B20)*'ANALYSE - ERP =&gt; SOUS-SEGMENT'!$Q$8:$Q$1000*'ANALYSE - ERP =&gt; SOUS-SEGMENT'!$EC$8:$EC$1000*'ANALYSE - ERP =&gt; SOUS-SEGMENT'!$CZ$8:$CZ$1000)/SUMPRODUCT(('ANALYSE - ERP =&gt; SOUS-SEGMENT'!$B$8:$B$1000=$B20)*'ANALYSE - ERP =&gt; SOUS-SEGMENT'!$Q$8:$Q$1000*'ANALYSE - ERP =&gt; SOUS-SEGMENT'!$EC$8:$EC$1000),""))</f>
        <v>13</v>
      </c>
      <c r="DA20" s="805">
        <f>IF($B20="","",IFERROR(SUMPRODUCT(('ANALYSE - ERP =&gt; SOUS-SEGMENT'!$B$8:$B$1000=$B20)*'ANALYSE - ERP =&gt; SOUS-SEGMENT'!$Q$8:$Q$1000*'ANALYSE - ERP =&gt; SOUS-SEGMENT'!$ED$8:$ED$1000*'ANALYSE - ERP =&gt; SOUS-SEGMENT'!$DA$8:$DA$1000)/SUMPRODUCT(('ANALYSE - ERP =&gt; SOUS-SEGMENT'!$B$8:$B$1000=$B20)*'ANALYSE - ERP =&gt; SOUS-SEGMENT'!$Q$8:$Q$1000*'ANALYSE - ERP =&gt; SOUS-SEGMENT'!$ED$8:$ED$1000),""))</f>
        <v>9.0000000000000018</v>
      </c>
      <c r="DB20" s="806">
        <f>IF($B20="","",IFERROR(SUMPRODUCT(('ANALYSE - ERP =&gt; SOUS-SEGMENT'!$B$8:$B$1000=$B20)*'ANALYSE - ERP =&gt; SOUS-SEGMENT'!$Q$8:$Q$1000*'ANALYSE - ERP =&gt; SOUS-SEGMENT'!$EE$8:$EE$1000*'ANALYSE - ERP =&gt; SOUS-SEGMENT'!$DB$8:$DB$1000)/SUMPRODUCT(('ANALYSE - ERP =&gt; SOUS-SEGMENT'!$B$8:$B$1000=$B20)*'ANALYSE - ERP =&gt; SOUS-SEGMENT'!$Q$8:$Q$1000*'ANALYSE - ERP =&gt; SOUS-SEGMENT'!$EE$8:$EE$1000),""))</f>
        <v>11</v>
      </c>
      <c r="DC20" s="804">
        <f>IF($B20="","",IFERROR(SUMPRODUCT(('ANALYSE - ERP =&gt; SOUS-SEGMENT'!$B$8:$B$1000=$B20)*'ANALYSE - ERP =&gt; SOUS-SEGMENT'!$Q$8:$Q$1000*'ANALYSE - ERP =&gt; SOUS-SEGMENT'!$EM$8:$EM$1000*'ANALYSE - ERP =&gt; SOUS-SEGMENT'!$DC$8:$DC$1000)/SUMPRODUCT(('ANALYSE - ERP =&gt; SOUS-SEGMENT'!$B$8:$B$1000=$B20)*'ANALYSE - ERP =&gt; SOUS-SEGMENT'!$Q$8:$Q$1000*'ANALYSE - ERP =&gt; SOUS-SEGMENT'!$EM$8:$EM$1000),""))</f>
        <v>14</v>
      </c>
      <c r="DD20" s="805">
        <f>IF($B20="","",IFERROR(SUMPRODUCT(('ANALYSE - ERP =&gt; SOUS-SEGMENT'!$B$8:$B$1000=$B20)*'ANALYSE - ERP =&gt; SOUS-SEGMENT'!$Q$8:$Q$1000*'ANALYSE - ERP =&gt; SOUS-SEGMENT'!$EN$8:$EN$1000*'ANALYSE - ERP =&gt; SOUS-SEGMENT'!$DD$8:$DD$1000)/SUMPRODUCT(('ANALYSE - ERP =&gt; SOUS-SEGMENT'!$B$8:$B$1000=$B20)*'ANALYSE - ERP =&gt; SOUS-SEGMENT'!$Q$8:$Q$1000*'ANALYSE - ERP =&gt; SOUS-SEGMENT'!$EN$8:$EN$1000),""))</f>
        <v>14</v>
      </c>
      <c r="DE20" s="806">
        <f>IF($B20="","",IFERROR(SUMPRODUCT(('ANALYSE - ERP =&gt; SOUS-SEGMENT'!$B$8:$B$1000=$B20)*'ANALYSE - ERP =&gt; SOUS-SEGMENT'!$Q$8:$Q$1000*'ANALYSE - ERP =&gt; SOUS-SEGMENT'!$EO$8:$EO$1000*'ANALYSE - ERP =&gt; SOUS-SEGMENT'!$DE$8:$DE$1000)/SUMPRODUCT(('ANALYSE - ERP =&gt; SOUS-SEGMENT'!$B$8:$B$1000=$B20)*'ANALYSE - ERP =&gt; SOUS-SEGMENT'!$Q$8:$Q$1000*'ANALYSE - ERP =&gt; SOUS-SEGMENT'!$EO$8:$EO$1000),""))</f>
        <v>10</v>
      </c>
      <c r="DF20" s="919" t="s">
        <v>6270</v>
      </c>
      <c r="DG20" s="657"/>
      <c r="DH20" s="308">
        <f>IF($B20="","",SUMPRODUCT(('ANALYSE - ERP =&gt; SOUS-SEGMENT'!$B$8:$B$1000=$B20)*'ANALYSE - ERP =&gt; SOUS-SEGMENT'!$Q$8:$Q$1000*'ANALYSE - ERP =&gt; SOUS-SEGMENT'!$DH$8:$DH$1000))</f>
        <v>8377.25</v>
      </c>
      <c r="DI20" s="308">
        <f>IF($B20="","",SUMPRODUCT(('ANALYSE - ERP =&gt; SOUS-SEGMENT'!$B$8:$B$1000=$B20)*'ANALYSE - ERP =&gt; SOUS-SEGMENT'!$Q$8:$Q$1000*'ANALYSE - ERP =&gt; SOUS-SEGMENT'!$DI$8:$DI$1000))</f>
        <v>11967.5</v>
      </c>
      <c r="DJ20" s="308">
        <f>IF($B20="","",SUMPRODUCT(('ANALYSE - ERP =&gt; SOUS-SEGMENT'!$B$8:$B$1000=$B20)*'ANALYSE - ERP =&gt; SOUS-SEGMENT'!$Q$8:$Q$1000*'ANALYSE - ERP =&gt; SOUS-SEGMENT'!$DJ$8:$DJ$1000))</f>
        <v>2393.5</v>
      </c>
      <c r="DK20" s="308">
        <f>IF($B20="","",SUMPRODUCT(('ANALYSE - ERP =&gt; SOUS-SEGMENT'!$B$8:$B$1000=$B20)*'ANALYSE - ERP =&gt; SOUS-SEGMENT'!$Q$8:$Q$1000*'ANALYSE - ERP =&gt; SOUS-SEGMENT'!$DK$8:$DK$1000))</f>
        <v>1196.75</v>
      </c>
      <c r="DL20" s="646" t="s">
        <v>6271</v>
      </c>
      <c r="DM20" s="308">
        <f>IF($B20="","",SUMPRODUCT(('ANALYSE - ERP =&gt; SOUS-SEGMENT'!$B$8:$B$1000=$B20)*'ANALYSE - ERP =&gt; SOUS-SEGMENT'!$Q$8:$Q$1000*'ANALYSE - ERP =&gt; SOUS-SEGMENT'!$DM$8:$DM$1000))</f>
        <v>8347.2000000000007</v>
      </c>
      <c r="DN20" s="308">
        <f>IF($B20="","",SUMPRODUCT(('ANALYSE - ERP =&gt; SOUS-SEGMENT'!$B$8:$B$1000=$B20)*'ANALYSE - ERP =&gt; SOUS-SEGMENT'!$Q$8:$Q$1000*'ANALYSE - ERP =&gt; SOUS-SEGMENT'!$DN$8:$DN$1000))</f>
        <v>13042.5</v>
      </c>
      <c r="DO20" s="308">
        <f>IF($B20="","",SUMPRODUCT(('ANALYSE - ERP =&gt; SOUS-SEGMENT'!$B$8:$B$1000=$B20)*'ANALYSE - ERP =&gt; SOUS-SEGMENT'!$Q$8:$Q$1000*'ANALYSE - ERP =&gt; SOUS-SEGMENT'!$DO$8:$DO$1000))</f>
        <v>3391.0499999999997</v>
      </c>
      <c r="DP20" s="308">
        <f>IF($B20="","",SUMPRODUCT(('ANALYSE - ERP =&gt; SOUS-SEGMENT'!$B$8:$B$1000=$B20)*'ANALYSE - ERP =&gt; SOUS-SEGMENT'!$Q$8:$Q$1000*'ANALYSE - ERP =&gt; SOUS-SEGMENT'!$DP$8:$DP$1000))</f>
        <v>1304.25</v>
      </c>
      <c r="DQ20" s="646" t="s">
        <v>3755</v>
      </c>
      <c r="DR20" s="657"/>
      <c r="DS20" s="308">
        <f>IF($B20="","",SUMPRODUCT(('ANALYSE - ERP =&gt; SOUS-SEGMENT'!$B$8:$B$1000=$B20)*'ANALYSE - ERP =&gt; SOUS-SEGMENT'!$Q$8:$Q$1000*'ANALYSE - ERP =&gt; SOUS-SEGMENT'!$DS$8:$DS$1000))</f>
        <v>0</v>
      </c>
      <c r="DT20" s="308">
        <f>IF($B20="","",SUMPRODUCT(('ANALYSE - ERP =&gt; SOUS-SEGMENT'!$B$8:$B$1000=$B20)*'ANALYSE - ERP =&gt; SOUS-SEGMENT'!$Q$8:$Q$1000*'ANALYSE - ERP =&gt; SOUS-SEGMENT'!$DT$8:$DT$1000))</f>
        <v>0</v>
      </c>
      <c r="DU20" s="308">
        <f>IF($B20="","",SUMPRODUCT(('ANALYSE - ERP =&gt; SOUS-SEGMENT'!$B$8:$B$1000=$B20)*'ANALYSE - ERP =&gt; SOUS-SEGMENT'!$Q$8:$Q$1000*'ANALYSE - ERP =&gt; SOUS-SEGMENT'!$DU$8:$DU$1000))</f>
        <v>0</v>
      </c>
      <c r="DV20" s="646" t="s">
        <v>2613</v>
      </c>
      <c r="DW20" s="308">
        <f>IF($B20="","",SUMPRODUCT(('ANALYSE - ERP =&gt; SOUS-SEGMENT'!$B$8:$B$1000=$B20)*'ANALYSE - ERP =&gt; SOUS-SEGMENT'!$Q$8:$Q$1000*'ANALYSE - ERP =&gt; SOUS-SEGMENT'!$DW$8:$DW$1000))</f>
        <v>0</v>
      </c>
      <c r="DX20" s="308">
        <f>IF($B20="","",SUMPRODUCT(('ANALYSE - ERP =&gt; SOUS-SEGMENT'!$B$8:$B$1000=$B20)*'ANALYSE - ERP =&gt; SOUS-SEGMENT'!$Q$8:$Q$1000*'ANALYSE - ERP =&gt; SOUS-SEGMENT'!$DX$8:$DX$1000))</f>
        <v>0</v>
      </c>
      <c r="DY20" s="308">
        <f>IF($B20="","",SUMPRODUCT(('ANALYSE - ERP =&gt; SOUS-SEGMENT'!$B$8:$B$1000=$B20)*'ANALYSE - ERP =&gt; SOUS-SEGMENT'!$Q$8:$Q$1000*'ANALYSE - ERP =&gt; SOUS-SEGMENT'!$DY$8:$DY$1000))</f>
        <v>0</v>
      </c>
      <c r="DZ20" s="646" t="s">
        <v>2613</v>
      </c>
      <c r="EA20" s="657"/>
      <c r="EB20" s="308">
        <f>IF($B20="","",SUMPRODUCT(('ANALYSE - ERP =&gt; SOUS-SEGMENT'!$B$8:$B$1000=$B20)*'ANALYSE - ERP =&gt; SOUS-SEGMENT'!$Q$8:$Q$1000*'ANALYSE - ERP =&gt; SOUS-SEGMENT'!$EB$8:$EB$1000))</f>
        <v>301.08000000000004</v>
      </c>
      <c r="EC20" s="308">
        <f>IF($B20="","",SUMPRODUCT(('ANALYSE - ERP =&gt; SOUS-SEGMENT'!$B$8:$B$1000=$B20)*'ANALYSE - ERP =&gt; SOUS-SEGMENT'!$Q$8:$Q$1000*'ANALYSE - ERP =&gt; SOUS-SEGMENT'!$EC$8:$EC$1000))</f>
        <v>1254.5</v>
      </c>
      <c r="ED20" s="308">
        <f>IF($B20="","",SUMPRODUCT(('ANALYSE - ERP =&gt; SOUS-SEGMENT'!$B$8:$B$1000=$B20)*'ANALYSE - ERP =&gt; SOUS-SEGMENT'!$Q$8:$Q$1000*'ANALYSE - ERP =&gt; SOUS-SEGMENT'!$ED$8:$ED$1000))</f>
        <v>376.34999999999997</v>
      </c>
      <c r="EE20" s="308">
        <f>IF($B20="","",SUMPRODUCT(('ANALYSE - ERP =&gt; SOUS-SEGMENT'!$B$8:$B$1000=$B20)*'ANALYSE - ERP =&gt; SOUS-SEGMENT'!$Q$8:$Q$1000*'ANALYSE - ERP =&gt; SOUS-SEGMENT'!$EE$8:$EE$1000))</f>
        <v>577.07000000000005</v>
      </c>
      <c r="EF20" s="646" t="s">
        <v>6272</v>
      </c>
      <c r="EG20" s="308">
        <f>IF($B20="","",SUMPRODUCT(('ANALYSE - ERP =&gt; SOUS-SEGMENT'!$B$8:$B$1000=$B20)*'ANALYSE - ERP =&gt; SOUS-SEGMENT'!$Q$8:$Q$1000*'ANALYSE - ERP =&gt; SOUS-SEGMENT'!$EG$8:$EG$1000))</f>
        <v>273.3</v>
      </c>
      <c r="EH20" s="308">
        <f>IF($B20="","",SUMPRODUCT(('ANALYSE - ERP =&gt; SOUS-SEGMENT'!$B$8:$B$1000=$B20)*'ANALYSE - ERP =&gt; SOUS-SEGMENT'!$Q$8:$Q$1000*'ANALYSE - ERP =&gt; SOUS-SEGMENT'!$EH$8:$EH$1000))</f>
        <v>1366.5</v>
      </c>
      <c r="EI20" s="308">
        <f>IF($B20="","",SUMPRODUCT(('ANALYSE - ERP =&gt; SOUS-SEGMENT'!$B$8:$B$1000=$B20)*'ANALYSE - ERP =&gt; SOUS-SEGMENT'!$Q$8:$Q$1000*'ANALYSE - ERP =&gt; SOUS-SEGMENT'!$EI$8:$EI$1000))</f>
        <v>491.94</v>
      </c>
      <c r="EJ20" s="308">
        <f>IF($B20="","",SUMPRODUCT(('ANALYSE - ERP =&gt; SOUS-SEGMENT'!$B$8:$B$1000=$B20)*'ANALYSE - ERP =&gt; SOUS-SEGMENT'!$Q$8:$Q$1000*'ANALYSE - ERP =&gt; SOUS-SEGMENT'!$EJ$8:$EJ$1000))</f>
        <v>601.26</v>
      </c>
      <c r="EK20" s="936" t="s">
        <v>6273</v>
      </c>
      <c r="EL20" s="657"/>
      <c r="EM20" s="308">
        <f>IF($B20="","",SUMPRODUCT(('ANALYSE - ERP =&gt; SOUS-SEGMENT'!$B$8:$B$1000=$B20)*'ANALYSE - ERP =&gt; SOUS-SEGMENT'!$Q$8:$Q$1000*'ANALYSE - ERP =&gt; SOUS-SEGMENT'!$EM$8:$EM$1000))</f>
        <v>14361</v>
      </c>
      <c r="EN20" s="310">
        <f>IF($B20="","",SUMPRODUCT(('ANALYSE - ERP =&gt; SOUS-SEGMENT'!$B$8:$B$1000=$B20)*'ANALYSE - ERP =&gt; SOUS-SEGMENT'!$Q$8:$Q$1000*'ANALYSE - ERP =&gt; SOUS-SEGMENT'!$EN$8:$EN$1000))</f>
        <v>7180.5</v>
      </c>
      <c r="EO20" s="310">
        <f>IF($B20="","",SUMPRODUCT(('ANALYSE - ERP =&gt; SOUS-SEGMENT'!$B$8:$B$1000=$B20)*'ANALYSE - ERP =&gt; SOUS-SEGMENT'!$Q$8:$Q$1000*'ANALYSE - ERP =&gt; SOUS-SEGMENT'!$EO$8:$EO$1000))</f>
        <v>2393.5</v>
      </c>
      <c r="EP20" s="646" t="s">
        <v>6274</v>
      </c>
      <c r="EQ20" s="308">
        <f>IF($B20="","",SUMPRODUCT(('ANALYSE - ERP =&gt; SOUS-SEGMENT'!$B$8:$B$1000=$B20)*'ANALYSE - ERP =&gt; SOUS-SEGMENT'!$Q$8:$Q$1000*'ANALYSE - ERP =&gt; SOUS-SEGMENT'!$EQ$8:$EQ$1000))</f>
        <v>13564.199999999999</v>
      </c>
      <c r="ER20" s="310">
        <f>IF($B20="","",SUMPRODUCT(('ANALYSE - ERP =&gt; SOUS-SEGMENT'!$B$8:$B$1000=$B20)*'ANALYSE - ERP =&gt; SOUS-SEGMENT'!$Q$8:$Q$1000*'ANALYSE - ERP =&gt; SOUS-SEGMENT'!$ER$8:$ER$1000))</f>
        <v>8608.0500000000011</v>
      </c>
      <c r="ES20" s="310">
        <f>IF($B20="","",SUMPRODUCT(('ANALYSE - ERP =&gt; SOUS-SEGMENT'!$B$8:$B$1000=$B20)*'ANALYSE - ERP =&gt; SOUS-SEGMENT'!$Q$8:$Q$1000*'ANALYSE - ERP =&gt; SOUS-SEGMENT'!$ES$8:$ES$1000))</f>
        <v>3912.75</v>
      </c>
      <c r="ET20" s="646" t="s">
        <v>2872</v>
      </c>
      <c r="EU20" s="657"/>
      <c r="EV20" s="728">
        <f t="shared" si="31"/>
        <v>0.62450589022889524</v>
      </c>
      <c r="EW20" s="728">
        <f t="shared" si="32"/>
        <v>0.37549410977110476</v>
      </c>
      <c r="EX20" s="311">
        <f t="shared" si="33"/>
        <v>17387.980344032632</v>
      </c>
      <c r="EY20" s="311">
        <f t="shared" si="34"/>
        <v>10858.896144032631</v>
      </c>
      <c r="EZ20" s="311">
        <f t="shared" si="35"/>
        <v>6529.0842000000011</v>
      </c>
      <c r="FA20" s="311">
        <f t="shared" si="36"/>
        <v>8339.3431896190468</v>
      </c>
      <c r="FB20" s="311">
        <f>IF($B20="","",SUMPRODUCT(('ANALYSE - ERP =&gt; SOUS-SEGMENT'!$B$8:$B$1000=$B20)*'ANALYSE - ERP =&gt; SOUS-SEGMENT'!$Q$8:$Q$1000*'ANALYSE - ERP =&gt; SOUS-SEGMENT'!$FB$8:$FB$1000))</f>
        <v>5236.7301896190465</v>
      </c>
      <c r="FC20" s="311">
        <f>IF($B20="","",SUMPRODUCT(('ANALYSE - ERP =&gt; SOUS-SEGMENT'!$B$8:$B$1000=$B20)*'ANALYSE - ERP =&gt; SOUS-SEGMENT'!$Q$8:$Q$1000*'ANALYSE - ERP =&gt; SOUS-SEGMENT'!$FC$8:$FC$1000))</f>
        <v>3102.6130000000003</v>
      </c>
      <c r="FD20" s="311">
        <f t="shared" si="37"/>
        <v>0</v>
      </c>
      <c r="FE20" s="311">
        <f>IF($B20="","",SUMPRODUCT(('ANALYSE - ERP =&gt; SOUS-SEGMENT'!$B$8:$B$1000=$B20)*'ANALYSE - ERP =&gt; SOUS-SEGMENT'!$Q$8:$Q$1000*'ANALYSE - ERP =&gt; SOUS-SEGMENT'!$FE$8:$FE$1000))</f>
        <v>0</v>
      </c>
      <c r="FF20" s="311">
        <f>IF($B20="","",SUMPRODUCT(('ANALYSE - ERP =&gt; SOUS-SEGMENT'!$B$8:$B$1000=$B20)*'ANALYSE - ERP =&gt; SOUS-SEGMENT'!$Q$8:$Q$1000*'ANALYSE - ERP =&gt; SOUS-SEGMENT'!$FF$8:$FF$1000))</f>
        <v>0</v>
      </c>
      <c r="FG20" s="311">
        <f t="shared" si="38"/>
        <v>993.67415669930062</v>
      </c>
      <c r="FH20" s="311">
        <f>IF($B20="","",SUMPRODUCT(('ANALYSE - ERP =&gt; SOUS-SEGMENT'!$B$8:$B$1000=$B20)*'ANALYSE - ERP =&gt; SOUS-SEGMENT'!$Q$8:$Q$1000*'ANALYSE - ERP =&gt; SOUS-SEGMENT'!$FH$8:$FH$1000))</f>
        <v>669.81595669930061</v>
      </c>
      <c r="FI20" s="311">
        <f>IF($B20="","",SUMPRODUCT(('ANALYSE - ERP =&gt; SOUS-SEGMENT'!$B$8:$B$1000=$B20)*'ANALYSE - ERP =&gt; SOUS-SEGMENT'!$Q$8:$Q$1000*'ANALYSE - ERP =&gt; SOUS-SEGMENT'!$FI$8:$FI$1000))</f>
        <v>323.85820000000001</v>
      </c>
      <c r="FJ20" s="311">
        <f t="shared" si="39"/>
        <v>8054.9629977142849</v>
      </c>
      <c r="FK20" s="311">
        <f>IF($B20="","",SUMPRODUCT(('ANALYSE - ERP =&gt; SOUS-SEGMENT'!$B$8:$B$1000=$B20)*'ANALYSE - ERP =&gt; SOUS-SEGMENT'!$Q$8:$Q$1000*'ANALYSE - ERP =&gt; SOUS-SEGMENT'!$FK$8:$FK$1000))</f>
        <v>4952.3499977142847</v>
      </c>
      <c r="FL20" s="311">
        <f>IF($B20="","",SUMPRODUCT(('ANALYSE - ERP =&gt; SOUS-SEGMENT'!$B$8:$B$1000=$B20)*'ANALYSE - ERP =&gt; SOUS-SEGMENT'!$Q$8:$Q$1000*'ANALYSE - ERP =&gt; SOUS-SEGMENT'!$FL$8:$FL$1000))</f>
        <v>3102.6130000000003</v>
      </c>
      <c r="FM20" s="657"/>
      <c r="FN20" s="954" t="s">
        <v>2649</v>
      </c>
      <c r="FO20" s="728">
        <f>IF($B20="","",IFERROR(SUMPRODUCT(('ANALYSE - ERP =&gt; SOUS-SEGMENT'!$B$8:$B$1000=$B20)*'ANALYSE - ERP =&gt; SOUS-SEGMENT'!$Q$8:$Q$1000*'ANALYSE - ERP =&gt; SOUS-SEGMENT'!$AF$8:$AF$1000*'ANALYSE - ERP =&gt; SOUS-SEGMENT'!$FO$8:$FO$1000)/SUMPRODUCT(('ANALYSE - ERP =&gt; SOUS-SEGMENT'!$B$8:$B$1000=$B20)*'ANALYSE - ERP =&gt; SOUS-SEGMENT'!$Q$8:$Q$1000*'ANALYSE - ERP =&gt; SOUS-SEGMENT'!$AF$8:$AF$1000),""))</f>
        <v>3.9800000000000002E-2</v>
      </c>
      <c r="FP20" s="729">
        <f>IF($B20="","",IFERROR(SUMPRODUCT(('ANALYSE - ERP =&gt; SOUS-SEGMENT'!$B$8:$B$1000=$B20)*'ANALYSE - ERP =&gt; SOUS-SEGMENT'!$Q$8:$Q$1000*'ANALYSE - ERP =&gt; SOUS-SEGMENT'!$AF$8:$AF$1000*'ANALYSE - ERP =&gt; SOUS-SEGMENT'!$FP$8:$FP$1000)/SUMPRODUCT(('ANALYSE - ERP =&gt; SOUS-SEGMENT'!$B$8:$B$1000=$B20)*'ANALYSE - ERP =&gt; SOUS-SEGMENT'!$Q$8:$Q$1000*'ANALYSE - ERP =&gt; SOUS-SEGMENT'!$AF$8:$AF$1000),""))</f>
        <v>0.76240000000000008</v>
      </c>
      <c r="FQ20" s="954" t="s">
        <v>5232</v>
      </c>
      <c r="FR20" s="657"/>
      <c r="FS20" s="865">
        <f>IF($B20="","",IFERROR(SUMPRODUCT(('ANALYSE - ERP =&gt; SOUS-SEGMENT'!$B$8:$B$1000=$B20)*'ANALYSE - ERP =&gt; SOUS-SEGMENT'!$Q$8:$Q$1000*'ANALYSE - ERP =&gt; SOUS-SEGMENT'!$EX$8:$EX$1000*'ANALYSE - ERP =&gt; SOUS-SEGMENT'!$FS$8:$FS$1000)/SUMPRODUCT(('ANALYSE - ERP =&gt; SOUS-SEGMENT'!$B$8:$B$1000=$B20)*'ANALYSE - ERP =&gt; SOUS-SEGMENT'!$Q$8:$Q$1000*'ANALYSE - ERP =&gt; SOUS-SEGMENT'!$EX$8:$EX$1000),""))</f>
        <v>2.83</v>
      </c>
      <c r="FT20" s="312">
        <f>IF($B20="","",RANK($FS20,$FS$8:$FS$20,0)+COUNTIF($FS$8:$FS20,$FS20)-1)</f>
        <v>13</v>
      </c>
      <c r="FU20" s="865">
        <f>IF($B20="","",IFERROR(SUMPRODUCT(('ANALYSE - ERP =&gt; SOUS-SEGMENT'!$B$8:$B$1000=$B20)*'ANALYSE - ERP =&gt; SOUS-SEGMENT'!$Q$8:$Q$1000*'ANALYSE - ERP =&gt; SOUS-SEGMENT'!$EY$8:$EY$1000*'ANALYSE - ERP =&gt; SOUS-SEGMENT'!$FU$8:$FU$1000)/SUMPRODUCT(('ANALYSE - ERP =&gt; SOUS-SEGMENT'!$B$8:$B$1000=$B20)*'ANALYSE - ERP =&gt; SOUS-SEGMENT'!$Q$8:$Q$1000*'ANALYSE - ERP =&gt; SOUS-SEGMENT'!$EY$8:$EY$1000),""))</f>
        <v>3.4</v>
      </c>
      <c r="FV20" s="312">
        <f>IF($B20="","",RANK($FU20,$FU$8:$FU$20,0)+COUNTIF($FU$8:$FU20,$FU20)-1)</f>
        <v>13</v>
      </c>
      <c r="FW20" s="865">
        <f>IF($B20="","",IFERROR(SUMPRODUCT(('ANALYSE - ERP =&gt; SOUS-SEGMENT'!$B$8:$B$1000=$B20)*'ANALYSE - ERP =&gt; SOUS-SEGMENT'!$Q$8:$Q$1000*'ANALYSE - ERP =&gt; SOUS-SEGMENT'!$EZ$8:$EZ$1000*'ANALYSE - ERP =&gt; SOUS-SEGMENT'!$FW$8:$FW$1000)/SUMPRODUCT(('ANALYSE - ERP =&gt; SOUS-SEGMENT'!$B$8:$B$1000=$B20)*'ANALYSE - ERP =&gt; SOUS-SEGMENT'!$Q$8:$Q$1000*'ANALYSE - ERP =&gt; SOUS-SEGMENT'!$EZ$8:$EZ$1000),""))</f>
        <v>1.8199999999999998</v>
      </c>
      <c r="FX20" s="312">
        <f>IF($B20="","",RANK($FW20,$FW$8:$FW$20,0)+COUNTIF($FW$8:$FW20,$FW20)-1)</f>
        <v>13</v>
      </c>
      <c r="FY20" s="657"/>
      <c r="FZ20" s="646" t="s">
        <v>5233</v>
      </c>
      <c r="GA20" s="646" t="s">
        <v>6275</v>
      </c>
      <c r="GB20" s="646" t="s">
        <v>2653</v>
      </c>
      <c r="GC20" s="646" t="s">
        <v>2654</v>
      </c>
      <c r="GD20" s="646" t="s">
        <v>2876</v>
      </c>
      <c r="GE20" s="646" t="s">
        <v>2656</v>
      </c>
      <c r="GF20" s="276" t="s">
        <v>5750</v>
      </c>
      <c r="GG20" s="657"/>
      <c r="GH20" s="311">
        <f t="shared" si="40"/>
        <v>2827.3611600000004</v>
      </c>
      <c r="GI20" s="311">
        <f>IF($B20="","",SUMPRODUCT(('ANALYSE - ERP =&gt; SOUS-SEGMENT'!$B$8:$B$1000=$B20)*'ANALYSE - ERP =&gt; SOUS-SEGMENT'!$Q$8:$Q$1000*'ANALYSE - ERP =&gt; SOUS-SEGMENT'!$GI$8:$GI$1000))</f>
        <v>1834.5250000000001</v>
      </c>
      <c r="GJ20" s="311">
        <f>IF($B20="","",SUMPRODUCT(('ANALYSE - ERP =&gt; SOUS-SEGMENT'!$B$8:$B$1000=$B20)*'ANALYSE - ERP =&gt; SOUS-SEGMENT'!$Q$8:$Q$1000*'ANALYSE - ERP =&gt; SOUS-SEGMENT'!$GJ$8:$GJ$1000))</f>
        <v>992.83616000000006</v>
      </c>
      <c r="GK20" s="311">
        <f t="shared" si="41"/>
        <v>3863.9652142857144</v>
      </c>
      <c r="GL20" s="311">
        <f>IF($B20="","",SUMPRODUCT(('ANALYSE - ERP =&gt; SOUS-SEGMENT'!$B$8:$B$1000=$B20)*'ANALYSE - ERP =&gt; SOUS-SEGMENT'!$Q$8:$Q$1000*'ANALYSE - ERP =&gt; SOUS-SEGMENT'!$GL$8:$GL$1000))</f>
        <v>2312.6587142857143</v>
      </c>
      <c r="GM20" s="311">
        <f>IF($B20="","",SUMPRODUCT(('ANALYSE - ERP =&gt; SOUS-SEGMENT'!$B$8:$B$1000=$B20)*'ANALYSE - ERP =&gt; SOUS-SEGMENT'!$Q$8:$Q$1000*'ANALYSE - ERP =&gt; SOUS-SEGMENT'!$GM$8:$GM$1000))</f>
        <v>1551.3065000000001</v>
      </c>
      <c r="GN20" s="311">
        <f t="shared" si="42"/>
        <v>1192.904002</v>
      </c>
      <c r="GO20" s="311">
        <f>IF($B20="","",SUMPRODUCT(('ANALYSE - ERP =&gt; SOUS-SEGMENT'!$B$8:$B$1000=$B20)*'ANALYSE - ERP =&gt; SOUS-SEGMENT'!$Q$8:$Q$1000*'ANALYSE - ERP =&gt; SOUS-SEGMENT'!$GO$8:$GO$1000))</f>
        <v>789.56431199999997</v>
      </c>
      <c r="GP20" s="311">
        <f>IF($B20="","",SUMPRODUCT(('ANALYSE - ERP =&gt; SOUS-SEGMENT'!$B$8:$B$1000=$B20)*'ANALYSE - ERP =&gt; SOUS-SEGMENT'!$Q$8:$Q$1000*'ANALYSE - ERP =&gt; SOUS-SEGMENT'!$GP$8:$GP$1000))</f>
        <v>403.33969000000002</v>
      </c>
      <c r="GQ20" s="311">
        <f t="shared" si="43"/>
        <v>455.11281333333335</v>
      </c>
      <c r="GR20" s="311">
        <f>IF($B20="","",SUMPRODUCT(('ANALYSE - ERP =&gt; SOUS-SEGMENT'!$B$8:$B$1000=$B20)*'ANALYSE - ERP =&gt; SOUS-SEGMENT'!$Q$8:$Q$1000*'ANALYSE - ERP =&gt; SOUS-SEGMENT'!$GR$8:$GR$1000))</f>
        <v>299.98216333333335</v>
      </c>
      <c r="GS20" s="311">
        <f>IF($B20="","",SUMPRODUCT(('ANALYSE - ERP =&gt; SOUS-SEGMENT'!$B$8:$B$1000=$B20)*'ANALYSE - ERP =&gt; SOUS-SEGMENT'!$Q$8:$Q$1000*'ANALYSE - ERP =&gt; SOUS-SEGMENT'!$GS$8:$GS$1000))</f>
        <v>155.13065</v>
      </c>
      <c r="GT20" s="311">
        <f t="shared" si="44"/>
        <v>0</v>
      </c>
      <c r="GU20" s="311">
        <f>IF($B20="","",SUMPRODUCT(('ANALYSE - ERP =&gt; SOUS-SEGMENT'!$B$8:$B$1000=$B20)*'ANALYSE - ERP =&gt; SOUS-SEGMENT'!$Q$8:$Q$1000*'ANALYSE - ERP =&gt; SOUS-SEGMENT'!$GU$8:$GU$1000))</f>
        <v>0</v>
      </c>
      <c r="GV20" s="311">
        <f>IF($B20="","",SUMPRODUCT(('ANALYSE - ERP =&gt; SOUS-SEGMENT'!$B$8:$B$1000=$B20)*'ANALYSE - ERP =&gt; SOUS-SEGMENT'!$Q$8:$Q$1000*'ANALYSE - ERP =&gt; SOUS-SEGMENT'!$GV$8:$GV$1000))</f>
        <v>0</v>
      </c>
      <c r="GW20" s="311">
        <f t="shared" si="45"/>
        <v>0</v>
      </c>
      <c r="GX20" s="311">
        <f>IF($B20="","",SUMPRODUCT(('ANALYSE - ERP =&gt; SOUS-SEGMENT'!$B$8:$B$1000=$B20)*'ANALYSE - ERP =&gt; SOUS-SEGMENT'!$Q$8:$Q$1000*'ANALYSE - ERP =&gt; SOUS-SEGMENT'!$GX$8:$GX$1000))</f>
        <v>0</v>
      </c>
      <c r="GY20" s="311">
        <f>IF($B20="","",SUMPRODUCT(('ANALYSE - ERP =&gt; SOUS-SEGMENT'!$B$8:$B$1000=$B20)*'ANALYSE - ERP =&gt; SOUS-SEGMENT'!$Q$8:$Q$1000*'ANALYSE - ERP =&gt; SOUS-SEGMENT'!$GY$8:$GY$1000))</f>
        <v>0</v>
      </c>
      <c r="GZ20" s="311">
        <f t="shared" si="46"/>
        <v>0</v>
      </c>
      <c r="HA20" s="311">
        <f>IF($B20="","",SUMPRODUCT(('ANALYSE - ERP =&gt; SOUS-SEGMENT'!$B$8:$B$1000=$B20)*'ANALYSE - ERP =&gt; SOUS-SEGMENT'!$Q$8:$Q$1000*'ANALYSE - ERP =&gt; SOUS-SEGMENT'!$HA$8:$HA$1000))</f>
        <v>0</v>
      </c>
      <c r="HB20" s="311">
        <f>IF($B20="","",SUMPRODUCT(('ANALYSE - ERP =&gt; SOUS-SEGMENT'!$B$8:$B$1000=$B20)*'ANALYSE - ERP =&gt; SOUS-SEGMENT'!$Q$8:$Q$1000*'ANALYSE - ERP =&gt; SOUS-SEGMENT'!$HB$8:$HB$1000))</f>
        <v>0</v>
      </c>
      <c r="HC20" s="311">
        <f t="shared" si="47"/>
        <v>119.58053767272727</v>
      </c>
      <c r="HD20" s="311">
        <f>IF($B20="","",SUMPRODUCT(('ANALYSE - ERP =&gt; SOUS-SEGMENT'!$B$8:$B$1000=$B20)*'ANALYSE - ERP =&gt; SOUS-SEGMENT'!$Q$8:$Q$1000*'ANALYSE - ERP =&gt; SOUS-SEGMENT'!$HD$8:$HD$1000))</f>
        <v>87.194717672727265</v>
      </c>
      <c r="HE20" s="311">
        <f>IF($B20="","",SUMPRODUCT(('ANALYSE - ERP =&gt; SOUS-SEGMENT'!$B$8:$B$1000=$B20)*'ANALYSE - ERP =&gt; SOUS-SEGMENT'!$Q$8:$Q$1000*'ANALYSE - ERP =&gt; SOUS-SEGMENT'!$HE$8:$HE$1000))</f>
        <v>32.385820000000002</v>
      </c>
      <c r="HF20" s="311">
        <f t="shared" si="48"/>
        <v>436.07054615384612</v>
      </c>
      <c r="HG20" s="311">
        <f>IF($B20="","",SUMPRODUCT(('ANALYSE - ERP =&gt; SOUS-SEGMENT'!$B$8:$B$1000=$B20)*'ANALYSE - ERP =&gt; SOUS-SEGMENT'!$Q$8:$Q$1000*'ANALYSE - ERP =&gt; SOUS-SEGMENT'!$HG$8:$HG$1000))</f>
        <v>274.14144615384612</v>
      </c>
      <c r="HH20" s="311">
        <f>IF($B20="","",SUMPRODUCT(('ANALYSE - ERP =&gt; SOUS-SEGMENT'!$B$8:$B$1000=$B20)*'ANALYSE - ERP =&gt; SOUS-SEGMENT'!$Q$8:$Q$1000*'ANALYSE - ERP =&gt; SOUS-SEGMENT'!$HH$8:$HH$1000))</f>
        <v>161.92910000000001</v>
      </c>
      <c r="HI20" s="311">
        <f t="shared" si="49"/>
        <v>199.65106</v>
      </c>
      <c r="HJ20" s="311">
        <f>IF($B20="","",SUMPRODUCT(('ANALYSE - ERP =&gt; SOUS-SEGMENT'!$B$8:$B$1000=$B20)*'ANALYSE - ERP =&gt; SOUS-SEGMENT'!$Q$8:$Q$1000*'ANALYSE - ERP =&gt; SOUS-SEGMENT'!$HJ$8:$HJ$1000))</f>
        <v>141.356584</v>
      </c>
      <c r="HK20" s="311">
        <f>IF($B20="","",SUMPRODUCT(('ANALYSE - ERP =&gt; SOUS-SEGMENT'!$B$8:$B$1000=$B20)*'ANALYSE - ERP =&gt; SOUS-SEGMENT'!$Q$8:$Q$1000*'ANALYSE - ERP =&gt; SOUS-SEGMENT'!$HK$8:$HK$1000))</f>
        <v>58.294475999999996</v>
      </c>
      <c r="HL20" s="311">
        <f t="shared" si="50"/>
        <v>238.37201287272728</v>
      </c>
      <c r="HM20" s="311">
        <f>IF($B20="","",SUMPRODUCT(('ANALYSE - ERP =&gt; SOUS-SEGMENT'!$B$8:$B$1000=$B20)*'ANALYSE - ERP =&gt; SOUS-SEGMENT'!$Q$8:$Q$1000*'ANALYSE - ERP =&gt; SOUS-SEGMENT'!$HM$8:$HM$1000))</f>
        <v>167.12320887272728</v>
      </c>
      <c r="HN20" s="311">
        <f>IF($B20="","",SUMPRODUCT(('ANALYSE - ERP =&gt; SOUS-SEGMENT'!$B$8:$B$1000=$B20)*'ANALYSE - ERP =&gt; SOUS-SEGMENT'!$Q$8:$Q$1000*'ANALYSE - ERP =&gt; SOUS-SEGMENT'!$HN$8:$HN$1000))</f>
        <v>71.248803999999993</v>
      </c>
      <c r="HO20" s="311">
        <f t="shared" si="51"/>
        <v>4388.5492171428568</v>
      </c>
      <c r="HP20" s="311">
        <f>IF($B20="","",SUMPRODUCT(('ANALYSE - ERP =&gt; SOUS-SEGMENT'!$B$8:$B$1000=$B20)*'ANALYSE - ERP =&gt; SOUS-SEGMENT'!$Q$8:$Q$1000*'ANALYSE - ERP =&gt; SOUS-SEGMENT'!$HP$8:$HP$1000))</f>
        <v>2775.1904571428568</v>
      </c>
      <c r="HQ20" s="311">
        <f>IF($B20="","",SUMPRODUCT(('ANALYSE - ERP =&gt; SOUS-SEGMENT'!$B$8:$B$1000=$B20)*'ANALYSE - ERP =&gt; SOUS-SEGMENT'!$Q$8:$Q$1000*'ANALYSE - ERP =&gt; SOUS-SEGMENT'!$HQ$8:$HQ$1000))</f>
        <v>1613.3587600000001</v>
      </c>
      <c r="HR20" s="311">
        <f t="shared" si="52"/>
        <v>2411.4575185714284</v>
      </c>
      <c r="HS20" s="311">
        <f>IF($B20="","",SUMPRODUCT(('ANALYSE - ERP =&gt; SOUS-SEGMENT'!$B$8:$B$1000=$B20)*'ANALYSE - ERP =&gt; SOUS-SEGMENT'!$Q$8:$Q$1000*'ANALYSE - ERP =&gt; SOUS-SEGMENT'!$HS$8:$HS$1000))</f>
        <v>1387.5952285714284</v>
      </c>
      <c r="HT20" s="311">
        <f>IF($B20="","",SUMPRODUCT(('ANALYSE - ERP =&gt; SOUS-SEGMENT'!$B$8:$B$1000=$B20)*'ANALYSE - ERP =&gt; SOUS-SEGMENT'!$Q$8:$Q$1000*'ANALYSE - ERP =&gt; SOUS-SEGMENT'!$HT$8:$HT$1000))</f>
        <v>1023.86229</v>
      </c>
      <c r="HU20" s="311">
        <f t="shared" si="53"/>
        <v>1254.9562619999999</v>
      </c>
      <c r="HV20" s="311">
        <f>IF($B20="","",SUMPRODUCT(('ANALYSE - ERP =&gt; SOUS-SEGMENT'!$B$8:$B$1000=$B20)*'ANALYSE - ERP =&gt; SOUS-SEGMENT'!$Q$8:$Q$1000*'ANALYSE - ERP =&gt; SOUS-SEGMENT'!$HV$8:$HV$1000))</f>
        <v>789.56431199999997</v>
      </c>
      <c r="HW20" s="311">
        <f>IF($B20="","",SUMPRODUCT(('ANALYSE - ERP =&gt; SOUS-SEGMENT'!$B$8:$B$1000=$B20)*'ANALYSE - ERP =&gt; SOUS-SEGMENT'!$Q$8:$Q$1000*'ANALYSE - ERP =&gt; SOUS-SEGMENT'!$HW$8:$HW$1000))</f>
        <v>465.39194999999995</v>
      </c>
      <c r="HY20" s="313">
        <f t="shared" si="54"/>
        <v>48101</v>
      </c>
      <c r="HZ20" s="313">
        <f>IF($B20="","",SUMPRODUCT(('ANALYSE - ERP =&gt; SOUS-SEGMENT'!$B$8:$B$1000=$B20)*'ANALYSE - ERP =&gt; SOUS-SEGMENT'!$Q$8:$Q$1000*'ANALYSE - ERP =&gt; SOUS-SEGMENT'!$HZ$8:$HZ$1000))</f>
        <v>1510.8049999999998</v>
      </c>
      <c r="IA20" s="313">
        <f>IF($B20="","",SUMPRODUCT(('ANALYSE - ERP =&gt; SOUS-SEGMENT'!$B$8:$B$1000=$B20)*'ANALYSE - ERP =&gt; SOUS-SEGMENT'!$Q$8:$Q$1000*'ANALYSE - ERP =&gt; SOUS-SEGMENT'!$IA$8:$IA$1000))</f>
        <v>19626.9087</v>
      </c>
      <c r="IB20" s="313">
        <f>IF($B20="","",SUMPRODUCT(('ANALYSE - ERP =&gt; SOUS-SEGMENT'!$B$8:$B$1000=$B20)*'ANALYSE - ERP =&gt; SOUS-SEGMENT'!$Q$8:$Q$1000*'ANALYSE - ERP =&gt; SOUS-SEGMENT'!$IB$8:$IB$1000))</f>
        <v>23873.181800000002</v>
      </c>
      <c r="IC20" s="313">
        <f>IF($B20="","",SUMPRODUCT(('ANALYSE - ERP =&gt; SOUS-SEGMENT'!$B$8:$B$1000=$B20)*'ANALYSE - ERP =&gt; SOUS-SEGMENT'!$Q$8:$Q$1000*'ANALYSE - ERP =&gt; SOUS-SEGMENT'!$IC$8:$IC$1000))</f>
        <v>3090.1044999999999</v>
      </c>
      <c r="ID20" s="313">
        <f>IF($B20="","",SUMPRODUCT(('ANALYSE - ERP =&gt; SOUS-SEGMENT'!$B$8:$B$1000=$B20)*'ANALYSE - ERP =&gt; SOUS-SEGMENT'!$Q$8:$Q$1000*'ANALYSE - ERP =&gt; SOUS-SEGMENT'!$ID$8:$ID$1000))</f>
        <v>0</v>
      </c>
      <c r="IE20" s="313">
        <f t="shared" si="55"/>
        <v>10247.697817822842</v>
      </c>
      <c r="IF20" s="313">
        <f>IF($B20="","",SUMPRODUCT(('ANALYSE - ERP =&gt; SOUS-SEGMENT'!$B$8:$B$1000=$B20)*'ANALYSE - ERP =&gt; SOUS-SEGMENT'!$Q$8:$Q$1000*'ANALYSE - ERP =&gt; SOUS-SEGMENT'!$IF$8:$IF$1000))</f>
        <v>150.57731410284919</v>
      </c>
      <c r="IG20" s="313">
        <f>IF($B20="","",SUMPRODUCT(('ANALYSE - ERP =&gt; SOUS-SEGMENT'!$B$8:$B$1000=$B20)*'ANALYSE - ERP =&gt; SOUS-SEGMENT'!$Q$8:$Q$1000*'ANALYSE - ERP =&gt; SOUS-SEGMENT'!$IG$8:$IG$1000))</f>
        <v>3972.5286626098405</v>
      </c>
      <c r="IH20" s="313">
        <f>IF($B20="","",SUMPRODUCT(('ANALYSE - ERP =&gt; SOUS-SEGMENT'!$B$8:$B$1000=$B20)*'ANALYSE - ERP =&gt; SOUS-SEGMENT'!$Q$8:$Q$1000*'ANALYSE - ERP =&gt; SOUS-SEGMENT'!$IH$8:$IH$1000))</f>
        <v>5256.9419651459475</v>
      </c>
      <c r="II20" s="313">
        <f>IF($B20="","",SUMPRODUCT(('ANALYSE - ERP =&gt; SOUS-SEGMENT'!$B$8:$B$1000=$B20)*'ANALYSE - ERP =&gt; SOUS-SEGMENT'!$Q$8:$Q$1000*'ANALYSE - ERP =&gt; SOUS-SEGMENT'!$II$8:$II$1000))</f>
        <v>830.7464402939454</v>
      </c>
      <c r="IJ20" s="313">
        <f>IF($B20="","",SUMPRODUCT(('ANALYSE - ERP =&gt; SOUS-SEGMENT'!$B$8:$B$1000=$B20)*'ANALYSE - ERP =&gt; SOUS-SEGMENT'!$Q$8:$Q$1000*'ANALYSE - ERP =&gt; SOUS-SEGMENT'!$IJ$8:$IJ$1000))</f>
        <v>36.903435670260137</v>
      </c>
      <c r="IK20" s="866">
        <f>IF($B20="","",IFERROR(SUMPRODUCT(('ANALYSE - ERP =&gt; SOUS-SEGMENT'!$B$8:$B$1000=$B20)*'ANALYSE - ERP =&gt; SOUS-SEGMENT'!$Q$8:$Q$1000*'ANALYSE - ERP =&gt; SOUS-SEGMENT'!$IE$8:$IE$1000*'ANALYSE - ERP =&gt; SOUS-SEGMENT'!$IK$8:$IK$1000)/SUMPRODUCT(('ANALYSE - ERP =&gt; SOUS-SEGMENT'!$B$8:$B$1000=$B20)*'ANALYSE - ERP =&gt; SOUS-SEGMENT'!$Q$8:$Q$1000*'ANALYSE - ERP =&gt; SOUS-SEGMENT'!$IE$8:$IE$1000),""))</f>
        <v>4.13</v>
      </c>
      <c r="IL20" s="920" t="s">
        <v>2589</v>
      </c>
      <c r="IM20" s="964" t="s">
        <v>6277</v>
      </c>
      <c r="IN20" s="657"/>
      <c r="IO20" s="730">
        <f>IF($B20="","",IFERROR(SUMPRODUCT(('ANALYSE - ERP =&gt; SOUS-SEGMENT'!$B$8:$B$1000=$B20)*'ANALYSE - ERP =&gt; SOUS-SEGMENT'!$Q$8:$Q$1000*'ANALYSE - ERP =&gt; SOUS-SEGMENT'!$BE$8:$BE$1000*'ANALYSE - ERP =&gt; SOUS-SEGMENT'!$IO$8:$IO$1000)/SUMPRODUCT(('ANALYSE - ERP =&gt; SOUS-SEGMENT'!$B$8:$B$1000=$B20)*'ANALYSE - ERP =&gt; SOUS-SEGMENT'!$Q$8:$Q$1000*'ANALYSE - ERP =&gt; SOUS-SEGMENT'!$BE$8:$BE$1000),""))</f>
        <v>0.03</v>
      </c>
      <c r="IP20" s="730">
        <f>IF($B20="","",IFERROR(SUMPRODUCT(('ANALYSE - ERP =&gt; SOUS-SEGMENT'!$B$8:$B$1000=$B20)*'ANALYSE - ERP =&gt; SOUS-SEGMENT'!$Q$8:$Q$1000*'ANALYSE - ERP =&gt; SOUS-SEGMENT'!$BE$8:$BE$1000*'ANALYSE - ERP =&gt; SOUS-SEGMENT'!$IP$8:$IP$1000)/SUMPRODUCT(('ANALYSE - ERP =&gt; SOUS-SEGMENT'!$B$8:$B$1000=$B20)*'ANALYSE - ERP =&gt; SOUS-SEGMENT'!$Q$8:$Q$1000*'ANALYSE - ERP =&gt; SOUS-SEGMENT'!$BE$8:$BE$1000),""))</f>
        <v>0.4</v>
      </c>
      <c r="IQ20" s="730">
        <f>IF($B20="","",IFERROR(SUMPRODUCT(('ANALYSE - ERP =&gt; SOUS-SEGMENT'!$B$8:$B$1000=$B20)*'ANALYSE - ERP =&gt; SOUS-SEGMENT'!$Q$8:$Q$1000*'ANALYSE - ERP =&gt; SOUS-SEGMENT'!$BE$8:$BE$1000*'ANALYSE - ERP =&gt; SOUS-SEGMENT'!$IQ$8:$IQ$1000)/SUMPRODUCT(('ANALYSE - ERP =&gt; SOUS-SEGMENT'!$B$8:$B$1000=$B20)*'ANALYSE - ERP =&gt; SOUS-SEGMENT'!$Q$8:$Q$1000*'ANALYSE - ERP =&gt; SOUS-SEGMENT'!$BE$8:$BE$1000),""))</f>
        <v>0.5</v>
      </c>
      <c r="IR20" s="730">
        <f>IF($B20="","",IFERROR(SUMPRODUCT(('ANALYSE - ERP =&gt; SOUS-SEGMENT'!$B$8:$B$1000=$B20)*'ANALYSE - ERP =&gt; SOUS-SEGMENT'!$Q$8:$Q$1000*'ANALYSE - ERP =&gt; SOUS-SEGMENT'!$BE$8:$BE$1000*'ANALYSE - ERP =&gt; SOUS-SEGMENT'!$IR$8:$IR$1000)/SUMPRODUCT(('ANALYSE - ERP =&gt; SOUS-SEGMENT'!$B$8:$B$1000=$B20)*'ANALYSE - ERP =&gt; SOUS-SEGMENT'!$Q$8:$Q$1000*'ANALYSE - ERP =&gt; SOUS-SEGMENT'!$BE$8:$BE$1000),""))</f>
        <v>7.0000000000000007E-2</v>
      </c>
      <c r="IS20" s="730">
        <f>IF($B20="","",IFERROR(SUMPRODUCT(('ANALYSE - ERP =&gt; SOUS-SEGMENT'!$B$8:$B$1000=$B20)*'ANALYSE - ERP =&gt; SOUS-SEGMENT'!$Q$8:$Q$1000*'ANALYSE - ERP =&gt; SOUS-SEGMENT'!$BE$8:$BE$1000*'ANALYSE - ERP =&gt; SOUS-SEGMENT'!$IS$8:$IS$1000)/SUMPRODUCT(('ANALYSE - ERP =&gt; SOUS-SEGMENT'!$B$8:$B$1000=$B20)*'ANALYSE - ERP =&gt; SOUS-SEGMENT'!$Q$8:$Q$1000*'ANALYSE - ERP =&gt; SOUS-SEGMENT'!$BE$8:$BE$1000),""))</f>
        <v>0</v>
      </c>
      <c r="IT20" s="730">
        <f>IF($B20="","",IFERROR(SUMPRODUCT(('ANALYSE - ERP =&gt; SOUS-SEGMENT'!$B$8:$B$1000=$B20)*'ANALYSE - ERP =&gt; SOUS-SEGMENT'!$Q$8:$Q$1000*'ANALYSE - ERP =&gt; SOUS-SEGMENT'!$FB$8:$FB$1000*'ANALYSE - ERP =&gt; SOUS-SEGMENT'!$IT$8:$IT$1000)/SUMPRODUCT(('ANALYSE - ERP =&gt; SOUS-SEGMENT'!$B$8:$B$1000=$B20)*'ANALYSE - ERP =&gt; SOUS-SEGMENT'!$Q$8:$Q$1000*'ANALYSE - ERP =&gt; SOUS-SEGMENT'!$FB$8:$FB$1000),""))</f>
        <v>1.3299999999999999E-2</v>
      </c>
      <c r="IU20" s="730">
        <f>IF($B20="","",IFERROR(SUMPRODUCT(('ANALYSE - ERP =&gt; SOUS-SEGMENT'!$B$8:$B$1000=$B20)*'ANALYSE - ERP =&gt; SOUS-SEGMENT'!$Q$8:$Q$1000*'ANALYSE - ERP =&gt; SOUS-SEGMENT'!$FB$8:$FB$1000*'ANALYSE - ERP =&gt; SOUS-SEGMENT'!$IU$8:$IU$1000)/SUMPRODUCT(('ANALYSE - ERP =&gt; SOUS-SEGMENT'!$B$8:$B$1000=$B20)*'ANALYSE - ERP =&gt; SOUS-SEGMENT'!$Q$8:$Q$1000*'ANALYSE - ERP =&gt; SOUS-SEGMENT'!$FB$8:$FB$1000),""))</f>
        <v>0.37970000000000004</v>
      </c>
      <c r="IV20" s="730">
        <f>IF($B20="","",IFERROR(SUMPRODUCT(('ANALYSE - ERP =&gt; SOUS-SEGMENT'!$B$8:$B$1000=$B20)*'ANALYSE - ERP =&gt; SOUS-SEGMENT'!$Q$8:$Q$1000*'ANALYSE - ERP =&gt; SOUS-SEGMENT'!$FB$8:$FB$1000*'ANALYSE - ERP =&gt; SOUS-SEGMENT'!$IV$8:$IV$1000)/SUMPRODUCT(('ANALYSE - ERP =&gt; SOUS-SEGMENT'!$B$8:$B$1000=$B20)*'ANALYSE - ERP =&gt; SOUS-SEGMENT'!$Q$8:$Q$1000*'ANALYSE - ERP =&gt; SOUS-SEGMENT'!$FB$8:$FB$1000),""))</f>
        <v>0.51670000000000016</v>
      </c>
      <c r="IW20" s="730">
        <f>IF($B20="","",IFERROR(SUMPRODUCT(('ANALYSE - ERP =&gt; SOUS-SEGMENT'!$B$8:$B$1000=$B20)*'ANALYSE - ERP =&gt; SOUS-SEGMENT'!$Q$8:$Q$1000*'ANALYSE - ERP =&gt; SOUS-SEGMENT'!$FB$8:$FB$1000*'ANALYSE - ERP =&gt; SOUS-SEGMENT'!$IW$8:$IW$1000)/SUMPRODUCT(('ANALYSE - ERP =&gt; SOUS-SEGMENT'!$B$8:$B$1000=$B20)*'ANALYSE - ERP =&gt; SOUS-SEGMENT'!$Q$8:$Q$1000*'ANALYSE - ERP =&gt; SOUS-SEGMENT'!$FB$8:$FB$1000),""))</f>
        <v>8.6700000000000013E-2</v>
      </c>
      <c r="IX20" s="730">
        <f>IF($B20="","",IFERROR(SUMPRODUCT(('ANALYSE - ERP =&gt; SOUS-SEGMENT'!$B$8:$B$1000=$B20)*'ANALYSE - ERP =&gt; SOUS-SEGMENT'!$Q$8:$Q$1000*'ANALYSE - ERP =&gt; SOUS-SEGMENT'!$FB$8:$FB$1000*'ANALYSE - ERP =&gt; SOUS-SEGMENT'!$IX$8:$IX$1000)/SUMPRODUCT(('ANALYSE - ERP =&gt; SOUS-SEGMENT'!$B$8:$B$1000=$B20)*'ANALYSE - ERP =&gt; SOUS-SEGMENT'!$Q$8:$Q$1000*'ANALYSE - ERP =&gt; SOUS-SEGMENT'!$FB$8:$FB$1000),""))</f>
        <v>3.5999999999999999E-3</v>
      </c>
      <c r="IY20" s="730" t="str">
        <f>IF($B20="","",IFERROR(SUMPRODUCT(('ANALYSE - ERP =&gt; SOUS-SEGMENT'!$B$8:$B$1000=$B20)*'ANALYSE - ERP =&gt; SOUS-SEGMENT'!$Q$8:$Q$1000*'ANALYSE - ERP =&gt; SOUS-SEGMENT'!$BF$8:$BF$1000*'ANALYSE - ERP =&gt; SOUS-SEGMENT'!$IY$8:$IY$1000)/SUMPRODUCT(('ANALYSE - ERP =&gt; SOUS-SEGMENT'!$B$8:$B$1000=$B20)*'ANALYSE - ERP =&gt; SOUS-SEGMENT'!$Q$8:$Q$1000*'ANALYSE - ERP =&gt; SOUS-SEGMENT'!$BF$8:$BF$1000),""))</f>
        <v/>
      </c>
      <c r="IZ20" s="730" t="str">
        <f>IF($B20="","",IFERROR(SUMPRODUCT(('ANALYSE - ERP =&gt; SOUS-SEGMENT'!$B$8:$B$1000=$B20)*'ANALYSE - ERP =&gt; SOUS-SEGMENT'!$Q$8:$Q$1000*'ANALYSE - ERP =&gt; SOUS-SEGMENT'!$BF$8:$BF$1000*'ANALYSE - ERP =&gt; SOUS-SEGMENT'!$IZ$8:$IZ$1000)/SUMPRODUCT(('ANALYSE - ERP =&gt; SOUS-SEGMENT'!$B$8:$B$1000=$B20)*'ANALYSE - ERP =&gt; SOUS-SEGMENT'!$Q$8:$Q$1000*'ANALYSE - ERP =&gt; SOUS-SEGMENT'!$BF$8:$BF$1000),""))</f>
        <v/>
      </c>
      <c r="JA20" s="730" t="str">
        <f>IF($B20="","",IFERROR(SUMPRODUCT(('ANALYSE - ERP =&gt; SOUS-SEGMENT'!$B$8:$B$1000=$B20)*'ANALYSE - ERP =&gt; SOUS-SEGMENT'!$Q$8:$Q$1000*'ANALYSE - ERP =&gt; SOUS-SEGMENT'!$BF$8:$BF$1000*'ANALYSE - ERP =&gt; SOUS-SEGMENT'!$JA$8:$JA$1000)/SUMPRODUCT(('ANALYSE - ERP =&gt; SOUS-SEGMENT'!$B$8:$B$1000=$B20)*'ANALYSE - ERP =&gt; SOUS-SEGMENT'!$Q$8:$Q$1000*'ANALYSE - ERP =&gt; SOUS-SEGMENT'!$BF$8:$BF$1000),""))</f>
        <v/>
      </c>
      <c r="JB20" s="730" t="str">
        <f>IF($B20="","",IFERROR(SUMPRODUCT(('ANALYSE - ERP =&gt; SOUS-SEGMENT'!$B$8:$B$1000=$B20)*'ANALYSE - ERP =&gt; SOUS-SEGMENT'!$Q$8:$Q$1000*'ANALYSE - ERP =&gt; SOUS-SEGMENT'!$BF$8:$BF$1000*'ANALYSE - ERP =&gt; SOUS-SEGMENT'!$JB$8:$JB$1000)/SUMPRODUCT(('ANALYSE - ERP =&gt; SOUS-SEGMENT'!$B$8:$B$1000=$B20)*'ANALYSE - ERP =&gt; SOUS-SEGMENT'!$Q$8:$Q$1000*'ANALYSE - ERP =&gt; SOUS-SEGMENT'!$BF$8:$BF$1000),""))</f>
        <v/>
      </c>
      <c r="JC20" s="730" t="str">
        <f>IF($B20="","",IFERROR(SUMPRODUCT(('ANALYSE - ERP =&gt; SOUS-SEGMENT'!$B$8:$B$1000=$B20)*'ANALYSE - ERP =&gt; SOUS-SEGMENT'!$Q$8:$Q$1000*'ANALYSE - ERP =&gt; SOUS-SEGMENT'!$BF$8:$BF$1000*'ANALYSE - ERP =&gt; SOUS-SEGMENT'!$JC$8:$JC$1000)/SUMPRODUCT(('ANALYSE - ERP =&gt; SOUS-SEGMENT'!$B$8:$B$1000=$B20)*'ANALYSE - ERP =&gt; SOUS-SEGMENT'!$Q$8:$Q$1000*'ANALYSE - ERP =&gt; SOUS-SEGMENT'!$BF$8:$BF$1000),""))</f>
        <v/>
      </c>
      <c r="JD20" s="730" t="str">
        <f>IF($B20="","",IFERROR(SUMPRODUCT(('ANALYSE - ERP =&gt; SOUS-SEGMENT'!$B$8:$B$1000=$B20)*'ANALYSE - ERP =&gt; SOUS-SEGMENT'!$Q$8:$Q$1000*'ANALYSE - ERP =&gt; SOUS-SEGMENT'!$FE$8:$FE$1000*'ANALYSE - ERP =&gt; SOUS-SEGMENT'!$JD$8:$JD$1000)/SUMPRODUCT(('ANALYSE - ERP =&gt; SOUS-SEGMENT'!$B$8:$B$1000=$B20)*'ANALYSE - ERP =&gt; SOUS-SEGMENT'!$Q$8:$Q$1000*'ANALYSE - ERP =&gt; SOUS-SEGMENT'!$FE$8:$FE$1000),""))</f>
        <v/>
      </c>
      <c r="JE20" s="730" t="str">
        <f>IF($B20="","",IFERROR(SUMPRODUCT(('ANALYSE - ERP =&gt; SOUS-SEGMENT'!$B$8:$B$1000=$B20)*'ANALYSE - ERP =&gt; SOUS-SEGMENT'!$Q$8:$Q$1000*'ANALYSE - ERP =&gt; SOUS-SEGMENT'!$FE$8:$FE$1000*'ANALYSE - ERP =&gt; SOUS-SEGMENT'!$JE$8:$JE$1000)/SUMPRODUCT(('ANALYSE - ERP =&gt; SOUS-SEGMENT'!$B$8:$B$1000=$B20)*'ANALYSE - ERP =&gt; SOUS-SEGMENT'!$Q$8:$Q$1000*'ANALYSE - ERP =&gt; SOUS-SEGMENT'!$FE$8:$FE$1000),""))</f>
        <v/>
      </c>
      <c r="JF20" s="730" t="str">
        <f>IF($B20="","",IFERROR(SUMPRODUCT(('ANALYSE - ERP =&gt; SOUS-SEGMENT'!$B$8:$B$1000=$B20)*'ANALYSE - ERP =&gt; SOUS-SEGMENT'!$Q$8:$Q$1000*'ANALYSE - ERP =&gt; SOUS-SEGMENT'!$FE$8:$FE$1000*'ANALYSE - ERP =&gt; SOUS-SEGMENT'!$JF$8:$JF$1000)/SUMPRODUCT(('ANALYSE - ERP =&gt; SOUS-SEGMENT'!$B$8:$B$1000=$B20)*'ANALYSE - ERP =&gt; SOUS-SEGMENT'!$Q$8:$Q$1000*'ANALYSE - ERP =&gt; SOUS-SEGMENT'!$FE$8:$FE$1000),""))</f>
        <v/>
      </c>
      <c r="JG20" s="730" t="str">
        <f>IF($B20="","",IFERROR(SUMPRODUCT(('ANALYSE - ERP =&gt; SOUS-SEGMENT'!$B$8:$B$1000=$B20)*'ANALYSE - ERP =&gt; SOUS-SEGMENT'!$Q$8:$Q$1000*'ANALYSE - ERP =&gt; SOUS-SEGMENT'!$FE$8:$FE$1000*'ANALYSE - ERP =&gt; SOUS-SEGMENT'!$JG$8:$JG$1000)/SUMPRODUCT(('ANALYSE - ERP =&gt; SOUS-SEGMENT'!$B$8:$B$1000=$B20)*'ANALYSE - ERP =&gt; SOUS-SEGMENT'!$Q$8:$Q$1000*'ANALYSE - ERP =&gt; SOUS-SEGMENT'!$FE$8:$FE$1000),""))</f>
        <v/>
      </c>
      <c r="JH20" s="730" t="str">
        <f>IF($B20="","",IFERROR(SUMPRODUCT(('ANALYSE - ERP =&gt; SOUS-SEGMENT'!$B$8:$B$1000=$B20)*'ANALYSE - ERP =&gt; SOUS-SEGMENT'!$Q$8:$Q$1000*'ANALYSE - ERP =&gt; SOUS-SEGMENT'!$FE$8:$FE$1000*'ANALYSE - ERP =&gt; SOUS-SEGMENT'!$JH$8:$JH$1000)/SUMPRODUCT(('ANALYSE - ERP =&gt; SOUS-SEGMENT'!$B$8:$B$1000=$B20)*'ANALYSE - ERP =&gt; SOUS-SEGMENT'!$Q$8:$Q$1000*'ANALYSE - ERP =&gt; SOUS-SEGMENT'!$FE$8:$FE$1000),""))</f>
        <v/>
      </c>
      <c r="JI20" s="730">
        <f>IF($B20="","",IFERROR(SUMPRODUCT(('ANALYSE - ERP =&gt; SOUS-SEGMENT'!$B$8:$B$1000=$B20)*'ANALYSE - ERP =&gt; SOUS-SEGMENT'!$Q$8:$Q$1000*'ANALYSE - ERP =&gt; SOUS-SEGMENT'!$BG$8:$BG$1000*'ANALYSE - ERP =&gt; SOUS-SEGMENT'!$JI$8:$JI$1000)/SUMPRODUCT(('ANALYSE - ERP =&gt; SOUS-SEGMENT'!$B$8:$B$1000=$B20)*'ANALYSE - ERP =&gt; SOUS-SEGMENT'!$Q$8:$Q$1000*'ANALYSE - ERP =&gt; SOUS-SEGMENT'!$BG$8:$BG$1000),""))</f>
        <v>4.9717018732562774E-3</v>
      </c>
      <c r="JJ20" s="730">
        <f>IF($B20="","",IFERROR(SUMPRODUCT(('ANALYSE - ERP =&gt; SOUS-SEGMENT'!$B$8:$B$1000=$B20)*'ANALYSE - ERP =&gt; SOUS-SEGMENT'!$Q$8:$Q$1000*'ANALYSE - ERP =&gt; SOUS-SEGMENT'!$BG$8:$BG$1000*'ANALYSE - ERP =&gt; SOUS-SEGMENT'!$JJ$8:$JJ$1000)/SUMPRODUCT(('ANALYSE - ERP =&gt; SOUS-SEGMENT'!$B$8:$B$1000=$B20)*'ANALYSE - ERP =&gt; SOUS-SEGMENT'!$Q$8:$Q$1000*'ANALYSE - ERP =&gt; SOUS-SEGMENT'!$BG$8:$BG$1000),""))</f>
        <v>4.9689398166600236E-2</v>
      </c>
      <c r="JK20" s="730">
        <f>IF($B20="","",IFERROR(SUMPRODUCT(('ANALYSE - ERP =&gt; SOUS-SEGMENT'!$B$8:$B$1000=$B20)*'ANALYSE - ERP =&gt; SOUS-SEGMENT'!$Q$8:$Q$1000*'ANALYSE - ERP =&gt; SOUS-SEGMENT'!$BG$8:$BG$1000*'ANALYSE - ERP =&gt; SOUS-SEGMENT'!$JK$8:$JK$1000)/SUMPRODUCT(('ANALYSE - ERP =&gt; SOUS-SEGMENT'!$B$8:$B$1000=$B20)*'ANALYSE - ERP =&gt; SOUS-SEGMENT'!$Q$8:$Q$1000*'ANALYSE - ERP =&gt; SOUS-SEGMENT'!$BG$8:$BG$1000),""))</f>
        <v>3.4507293742526902E-2</v>
      </c>
      <c r="JL20" s="730">
        <f>IF($B20="","",IFERROR(SUMPRODUCT(('ANALYSE - ERP =&gt; SOUS-SEGMENT'!$B$8:$B$1000=$B20)*'ANALYSE - ERP =&gt; SOUS-SEGMENT'!$Q$8:$Q$1000*'ANALYSE - ERP =&gt; SOUS-SEGMENT'!$BG$8:$BG$1000*'ANALYSE - ERP =&gt; SOUS-SEGMENT'!$JL$8:$JL$1000)/SUMPRODUCT(('ANALYSE - ERP =&gt; SOUS-SEGMENT'!$B$8:$B$1000=$B20)*'ANALYSE - ERP =&gt; SOUS-SEGMENT'!$Q$8:$Q$1000*'ANALYSE - ERP =&gt; SOUS-SEGMENT'!$BG$8:$BG$1000),""))</f>
        <v>2.9001594260661622E-3</v>
      </c>
      <c r="JM20" s="730">
        <f>IF($B20="","",IFERROR(SUMPRODUCT(('ANALYSE - ERP =&gt; SOUS-SEGMENT'!$B$8:$B$1000=$B20)*'ANALYSE - ERP =&gt; SOUS-SEGMENT'!$Q$8:$Q$1000*'ANALYSE - ERP =&gt; SOUS-SEGMENT'!$BG$8:$BG$1000*'ANALYSE - ERP =&gt; SOUS-SEGMENT'!$JM$8:$JM$1000)/SUMPRODUCT(('ANALYSE - ERP =&gt; SOUS-SEGMENT'!$B$8:$B$1000=$B20)*'ANALYSE - ERP =&gt; SOUS-SEGMENT'!$Q$8:$Q$1000*'ANALYSE - ERP =&gt; SOUS-SEGMENT'!$BG$8:$BG$1000),""))</f>
        <v>0</v>
      </c>
      <c r="JN20" s="730">
        <f>IF($B20="","",IFERROR(SUMPRODUCT(('ANALYSE - ERP =&gt; SOUS-SEGMENT'!$B$8:$B$1000=$B20)*'ANALYSE - ERP =&gt; SOUS-SEGMENT'!$Q$8:$Q$1000*'ANALYSE - ERP =&gt; SOUS-SEGMENT'!$FH$8:$FH$1000*'ANALYSE - ERP =&gt; SOUS-SEGMENT'!$JN$8:$JN$1000)/SUMPRODUCT(('ANALYSE - ERP =&gt; SOUS-SEGMENT'!$B$8:$B$1000=$B20)*'ANALYSE - ERP =&gt; SOUS-SEGMENT'!$Q$8:$Q$1000*'ANALYSE - ERP =&gt; SOUS-SEGMENT'!$FH$8:$FH$1000),""))</f>
        <v>3.2642363852199104E-3</v>
      </c>
      <c r="JO20" s="730">
        <f>IF($B20="","",IFERROR(SUMPRODUCT(('ANALYSE - ERP =&gt; SOUS-SEGMENT'!$B$8:$B$1000=$B20)*'ANALYSE - ERP =&gt; SOUS-SEGMENT'!$Q$8:$Q$1000*'ANALYSE - ERP =&gt; SOUS-SEGMENT'!$FH$8:$FH$1000*'ANALYSE - ERP =&gt; SOUS-SEGMENT'!$JO$8:$JO$1000)/SUMPRODUCT(('ANALYSE - ERP =&gt; SOUS-SEGMENT'!$B$8:$B$1000=$B20)*'ANALYSE - ERP =&gt; SOUS-SEGMENT'!$Q$8:$Q$1000*'ANALYSE - ERP =&gt; SOUS-SEGMENT'!$FH$8:$FH$1000),""))</f>
        <v>4.5445521577605889E-2</v>
      </c>
      <c r="JP20" s="730">
        <f>IF($B20="","",IFERROR(SUMPRODUCT(('ANALYSE - ERP =&gt; SOUS-SEGMENT'!$B$8:$B$1000=$B20)*'ANALYSE - ERP =&gt; SOUS-SEGMENT'!$Q$8:$Q$1000*'ANALYSE - ERP =&gt; SOUS-SEGMENT'!$FH$8:$FH$1000*'ANALYSE - ERP =&gt; SOUS-SEGMENT'!$JP$8:$JP$1000)/SUMPRODUCT(('ANALYSE - ERP =&gt; SOUS-SEGMENT'!$B$8:$B$1000=$B20)*'ANALYSE - ERP =&gt; SOUS-SEGMENT'!$Q$8:$Q$1000*'ANALYSE - ERP =&gt; SOUS-SEGMENT'!$FH$8:$FH$1000),""))</f>
        <v>3.4261355088836327E-2</v>
      </c>
      <c r="JQ20" s="730">
        <f>IF($B20="","",IFERROR(SUMPRODUCT(('ANALYSE - ERP =&gt; SOUS-SEGMENT'!$B$8:$B$1000=$B20)*'ANALYSE - ERP =&gt; SOUS-SEGMENT'!$Q$8:$Q$1000*'ANALYSE - ERP =&gt; SOUS-SEGMENT'!$FH$8:$FH$1000*'ANALYSE - ERP =&gt; SOUS-SEGMENT'!$JQ$8:$JQ$1000)/SUMPRODUCT(('ANALYSE - ERP =&gt; SOUS-SEGMENT'!$B$8:$B$1000=$B20)*'ANALYSE - ERP =&gt; SOUS-SEGMENT'!$Q$8:$Q$1000*'ANALYSE - ERP =&gt; SOUS-SEGMENT'!$FH$8:$FH$1000),""))</f>
        <v>4.2093772152567745E-3</v>
      </c>
      <c r="JR20" s="730">
        <f>IF($B20="","",IFERROR(SUMPRODUCT(('ANALYSE - ERP =&gt; SOUS-SEGMENT'!$B$8:$B$1000=$B20)*'ANALYSE - ERP =&gt; SOUS-SEGMENT'!$Q$8:$Q$1000*'ANALYSE - ERP =&gt; SOUS-SEGMENT'!$FH$8:$FH$1000*'ANALYSE - ERP =&gt; SOUS-SEGMENT'!$JR$8:$JR$1000)/SUMPRODUCT(('ANALYSE - ERP =&gt; SOUS-SEGMENT'!$B$8:$B$1000=$B20)*'ANALYSE - ERP =&gt; SOUS-SEGMENT'!$Q$8:$Q$1000*'ANALYSE - ERP =&gt; SOUS-SEGMENT'!$FH$8:$FH$1000),""))</f>
        <v>3.3254955130926703E-4</v>
      </c>
      <c r="JS20" s="730">
        <f>IF($B20="","",IFERROR(SUMPRODUCT(('ANALYSE - ERP =&gt; SOUS-SEGMENT'!$B$8:$B$1000=$B20)*'ANALYSE - ERP =&gt; SOUS-SEGMENT'!$Q$8:$Q$1000*'ANALYSE - ERP =&gt; SOUS-SEGMENT'!$BH$8:$BH$1000*'ANALYSE - ERP =&gt; SOUS-SEGMENT'!$JS$8:$JS$1000)/SUMPRODUCT(('ANALYSE - ERP =&gt; SOUS-SEGMENT'!$B$8:$B$1000=$B20)*'ANALYSE - ERP =&gt; SOUS-SEGMENT'!$Q$8:$Q$1000*'ANALYSE - ERP =&gt; SOUS-SEGMENT'!$BH$8:$BH$1000),""))</f>
        <v>3.2599999999999997E-2</v>
      </c>
      <c r="JT20" s="730">
        <f>IF($B20="","",IFERROR(SUMPRODUCT(('ANALYSE - ERP =&gt; SOUS-SEGMENT'!$B$8:$B$1000=$B20)*'ANALYSE - ERP =&gt; SOUS-SEGMENT'!$Q$8:$Q$1000*'ANALYSE - ERP =&gt; SOUS-SEGMENT'!$BH$8:$BH$1000*'ANALYSE - ERP =&gt; SOUS-SEGMENT'!$JT$8:$JT$1000)/SUMPRODUCT(('ANALYSE - ERP =&gt; SOUS-SEGMENT'!$B$8:$B$1000=$B20)*'ANALYSE - ERP =&gt; SOUS-SEGMENT'!$Q$8:$Q$1000*'ANALYSE - ERP =&gt; SOUS-SEGMENT'!$BH$8:$BH$1000),""))</f>
        <v>0.41479999999999995</v>
      </c>
      <c r="JU20" s="730">
        <f>IF($B20="","",IFERROR(SUMPRODUCT(('ANALYSE - ERP =&gt; SOUS-SEGMENT'!$B$8:$B$1000=$B20)*'ANALYSE - ERP =&gt; SOUS-SEGMENT'!$Q$8:$Q$1000*'ANALYSE - ERP =&gt; SOUS-SEGMENT'!$BH$8:$BH$1000*'ANALYSE - ERP =&gt; SOUS-SEGMENT'!$JU$8:$JU$1000)/SUMPRODUCT(('ANALYSE - ERP =&gt; SOUS-SEGMENT'!$B$8:$B$1000=$B20)*'ANALYSE - ERP =&gt; SOUS-SEGMENT'!$Q$8:$Q$1000*'ANALYSE - ERP =&gt; SOUS-SEGMENT'!$BH$8:$BH$1000),""))</f>
        <v>0.49380000000000002</v>
      </c>
      <c r="JV20" s="730">
        <f>IF($B20="","",IFERROR(SUMPRODUCT(('ANALYSE - ERP =&gt; SOUS-SEGMENT'!$B$8:$B$1000=$B20)*'ANALYSE - ERP =&gt; SOUS-SEGMENT'!$Q$8:$Q$1000*'ANALYSE - ERP =&gt; SOUS-SEGMENT'!$BH$8:$BH$1000*'ANALYSE - ERP =&gt; SOUS-SEGMENT'!$JV$8:$JV$1000)/SUMPRODUCT(('ANALYSE - ERP =&gt; SOUS-SEGMENT'!$B$8:$B$1000=$B20)*'ANALYSE - ERP =&gt; SOUS-SEGMENT'!$Q$8:$Q$1000*'ANALYSE - ERP =&gt; SOUS-SEGMENT'!$BH$8:$BH$1000),""))</f>
        <v>5.8799999999999998E-2</v>
      </c>
      <c r="JW20" s="730">
        <f>IF($B20="","",IFERROR(SUMPRODUCT(('ANALYSE - ERP =&gt; SOUS-SEGMENT'!$B$8:$B$1000=$B20)*'ANALYSE - ERP =&gt; SOUS-SEGMENT'!$Q$8:$Q$1000*'ANALYSE - ERP =&gt; SOUS-SEGMENT'!$BH$8:$BH$1000*'ANALYSE - ERP =&gt; SOUS-SEGMENT'!$JW$8:$JW$1000)/SUMPRODUCT(('ANALYSE - ERP =&gt; SOUS-SEGMENT'!$B$8:$B$1000=$B20)*'ANALYSE - ERP =&gt; SOUS-SEGMENT'!$Q$8:$Q$1000*'ANALYSE - ERP =&gt; SOUS-SEGMENT'!$BH$8:$BH$1000),""))</f>
        <v>0</v>
      </c>
      <c r="JX20" s="730">
        <f>IF($B20="","",IFERROR(SUMPRODUCT(('ANALYSE - ERP =&gt; SOUS-SEGMENT'!$B$8:$B$1000=$B20)*'ANALYSE - ERP =&gt; SOUS-SEGMENT'!$Q$8:$Q$1000*'ANALYSE - ERP =&gt; SOUS-SEGMENT'!$FK$8:$FK$1000*'ANALYSE - ERP =&gt; SOUS-SEGMENT'!$JX$8:$JX$1000)/SUMPRODUCT(('ANALYSE - ERP =&gt; SOUS-SEGMENT'!$B$8:$B$1000=$B20)*'ANALYSE - ERP =&gt; SOUS-SEGMENT'!$Q$8:$Q$1000*'ANALYSE - ERP =&gt; SOUS-SEGMENT'!$FK$8:$FK$1000),""))</f>
        <v>1.5900000000000001E-2</v>
      </c>
      <c r="JY20" s="730">
        <f>IF($B20="","",IFERROR(SUMPRODUCT(('ANALYSE - ERP =&gt; SOUS-SEGMENT'!$B$8:$B$1000=$B20)*'ANALYSE - ERP =&gt; SOUS-SEGMENT'!$Q$8:$Q$1000*'ANALYSE - ERP =&gt; SOUS-SEGMENT'!$FK$8:$FK$1000*'ANALYSE - ERP =&gt; SOUS-SEGMENT'!$JY$8:$JY$1000)/SUMPRODUCT(('ANALYSE - ERP =&gt; SOUS-SEGMENT'!$B$8:$B$1000=$B20)*'ANALYSE - ERP =&gt; SOUS-SEGMENT'!$Q$8:$Q$1000*'ANALYSE - ERP =&gt; SOUS-SEGMENT'!$FK$8:$FK$1000),""))</f>
        <v>0.39450000000000002</v>
      </c>
      <c r="JZ20" s="730">
        <f>IF($B20="","",IFERROR(SUMPRODUCT(('ANALYSE - ERP =&gt; SOUS-SEGMENT'!$B$8:$B$1000=$B20)*'ANALYSE - ERP =&gt; SOUS-SEGMENT'!$Q$8:$Q$1000*'ANALYSE - ERP =&gt; SOUS-SEGMENT'!$FK$8:$FK$1000*'ANALYSE - ERP =&gt; SOUS-SEGMENT'!$JZ$8:$JZ$1000)/SUMPRODUCT(('ANALYSE - ERP =&gt; SOUS-SEGMENT'!$B$8:$B$1000=$B20)*'ANALYSE - ERP =&gt; SOUS-SEGMENT'!$Q$8:$Q$1000*'ANALYSE - ERP =&gt; SOUS-SEGMENT'!$FK$8:$FK$1000),""))</f>
        <v>0.51049999999999995</v>
      </c>
      <c r="KA20" s="730">
        <f>IF($B20="","",IFERROR(SUMPRODUCT(('ANALYSE - ERP =&gt; SOUS-SEGMENT'!$B$8:$B$1000=$B20)*'ANALYSE - ERP =&gt; SOUS-SEGMENT'!$Q$8:$Q$1000*'ANALYSE - ERP =&gt; SOUS-SEGMENT'!$FK$8:$FK$1000*'ANALYSE - ERP =&gt; SOUS-SEGMENT'!$KA$8:$KA$1000)/SUMPRODUCT(('ANALYSE - ERP =&gt; SOUS-SEGMENT'!$B$8:$B$1000=$B20)*'ANALYSE - ERP =&gt; SOUS-SEGMENT'!$Q$8:$Q$1000*'ANALYSE - ERP =&gt; SOUS-SEGMENT'!$FK$8:$FK$1000),""))</f>
        <v>7.5500000000000012E-2</v>
      </c>
      <c r="KB20" s="730">
        <f>IF($B20="","",IFERROR(SUMPRODUCT(('ANALYSE - ERP =&gt; SOUS-SEGMENT'!$B$8:$B$1000=$B20)*'ANALYSE - ERP =&gt; SOUS-SEGMENT'!$Q$8:$Q$1000*'ANALYSE - ERP =&gt; SOUS-SEGMENT'!$FK$8:$FK$1000*'ANALYSE - ERP =&gt; SOUS-SEGMENT'!$KB$8:$KB$1000)/SUMPRODUCT(('ANALYSE - ERP =&gt; SOUS-SEGMENT'!$B$8:$B$1000=$B20)*'ANALYSE - ERP =&gt; SOUS-SEGMENT'!$Q$8:$Q$1000*'ANALYSE - ERP =&gt; SOUS-SEGMENT'!$FK$8:$FK$1000),""))</f>
        <v>3.5999999999999999E-3</v>
      </c>
      <c r="KC20" s="657"/>
      <c r="KD20" s="920" t="s">
        <v>2590</v>
      </c>
      <c r="KE20" s="920" t="s">
        <v>2590</v>
      </c>
      <c r="KF20" s="866">
        <f>IF($B20="","",IFERROR(SUMPRODUCT(('ANALYSE - ERP =&gt; SOUS-SEGMENT'!$B$8:$B$1000=$B20)*'ANALYSE - ERP =&gt; SOUS-SEGMENT'!$Q$8:$Q$1000*'ANALYSE - ERP =&gt; SOUS-SEGMENT'!$IE$8:$IE$1000*'ANALYSE - ERP =&gt; SOUS-SEGMENT'!$KF$8:$KF$1000)/SUMPRODUCT(('ANALYSE - ERP =&gt; SOUS-SEGMENT'!$B$8:$B$1000=$B20)*'ANALYSE - ERP =&gt; SOUS-SEGMENT'!$Q$8:$Q$1000*'ANALYSE - ERP =&gt; SOUS-SEGMENT'!$IE$8:$IE$1000),""))</f>
        <v>4.160000000000001</v>
      </c>
      <c r="KG20" s="920" t="s">
        <v>2589</v>
      </c>
      <c r="KH20" s="920" t="s">
        <v>5236</v>
      </c>
      <c r="KI20" s="920" t="s">
        <v>2659</v>
      </c>
      <c r="KJ20" s="920" t="s">
        <v>6278</v>
      </c>
    </row>
    <row r="21" spans="1:296" ht="48" customHeight="1"/>
    <row r="22" spans="1:296" ht="48" customHeight="1"/>
    <row r="23" spans="1:296" ht="48" customHeight="1"/>
    <row r="24" spans="1:296" ht="48" customHeight="1"/>
    <row r="25" spans="1:296" ht="48" customHeight="1"/>
    <row r="26" spans="1:296" ht="48" customHeight="1"/>
    <row r="27" spans="1:296" ht="48" customHeight="1"/>
    <row r="28" spans="1:296" ht="48" customHeight="1"/>
    <row r="29" spans="1:296" ht="48" customHeight="1"/>
    <row r="30" spans="1:296" ht="48" customHeight="1"/>
    <row r="31" spans="1:296" ht="48" customHeight="1"/>
    <row r="32" spans="1:296" ht="48" customHeight="1"/>
    <row r="33" ht="48" customHeight="1"/>
    <row r="34" ht="48" customHeight="1"/>
    <row r="35" ht="48" customHeight="1"/>
    <row r="36" ht="48" customHeight="1"/>
    <row r="37" ht="48" customHeight="1"/>
    <row r="38" ht="48" customHeight="1"/>
    <row r="39" ht="48" customHeight="1"/>
    <row r="40" ht="48" customHeight="1"/>
    <row r="41" ht="48" customHeight="1"/>
    <row r="42" ht="48" customHeight="1"/>
    <row r="43" ht="48" customHeight="1"/>
    <row r="44" ht="48" customHeight="1"/>
    <row r="45" ht="48" customHeight="1"/>
    <row r="46" ht="48" customHeight="1"/>
    <row r="47" ht="48" customHeight="1"/>
    <row r="48" ht="48" customHeight="1"/>
    <row r="49" s="45" customFormat="1" ht="48" customHeight="1"/>
    <row r="50" s="45" customFormat="1" ht="48" customHeight="1"/>
    <row r="51" s="45" customFormat="1" ht="48" customHeight="1"/>
    <row r="52" ht="48" customHeight="1"/>
    <row r="53" ht="48" customHeight="1"/>
    <row r="54" ht="48" customHeight="1"/>
    <row r="55" ht="48" customHeight="1"/>
    <row r="56" ht="48" customHeight="1"/>
    <row r="57" ht="48" customHeight="1"/>
    <row r="58" ht="48" customHeight="1"/>
    <row r="59" ht="48" customHeight="1"/>
    <row r="60" ht="48" customHeight="1"/>
    <row r="61" ht="48" customHeight="1"/>
    <row r="62" ht="48" customHeight="1"/>
    <row r="63" ht="48" customHeight="1"/>
    <row r="64" ht="48" customHeight="1"/>
    <row r="65" ht="48" customHeight="1"/>
    <row r="66" ht="48" customHeight="1"/>
    <row r="67" ht="48" customHeight="1"/>
    <row r="68" ht="48" customHeight="1"/>
    <row r="69" ht="48" customHeight="1"/>
    <row r="70" ht="48" customHeight="1"/>
    <row r="71" ht="48" customHeight="1"/>
    <row r="72" ht="48" customHeight="1"/>
    <row r="73" ht="48" customHeight="1"/>
    <row r="74" ht="48" customHeight="1"/>
    <row r="75" ht="48" customHeight="1"/>
    <row r="76" ht="48" customHeight="1"/>
    <row r="77" ht="48" customHeight="1"/>
    <row r="78" ht="48" customHeight="1"/>
    <row r="79" ht="48" customHeight="1"/>
    <row r="80" ht="48" customHeight="1"/>
    <row r="81" ht="48" customHeight="1"/>
    <row r="82" ht="48" customHeight="1"/>
    <row r="83" ht="48" customHeight="1"/>
    <row r="84" ht="48" customHeight="1"/>
    <row r="85" ht="48" customHeight="1"/>
    <row r="86" ht="48" customHeight="1"/>
    <row r="87" ht="48" customHeight="1"/>
    <row r="88" ht="48" customHeight="1"/>
    <row r="89" ht="48" customHeight="1"/>
    <row r="90" ht="48" customHeight="1"/>
    <row r="91" ht="48" customHeight="1"/>
    <row r="92" ht="48" customHeight="1"/>
    <row r="93" ht="48" customHeight="1"/>
    <row r="94" ht="48" customHeight="1"/>
    <row r="95" ht="48" customHeight="1"/>
    <row r="96" ht="48" customHeight="1"/>
    <row r="97" ht="48" customHeight="1"/>
    <row r="98" ht="48" customHeight="1"/>
    <row r="99" ht="48" customHeight="1"/>
    <row r="100" ht="48" customHeight="1"/>
    <row r="101" ht="48" customHeight="1"/>
    <row r="102" ht="48" customHeight="1"/>
    <row r="103" ht="48" customHeight="1"/>
    <row r="104" ht="48" customHeight="1"/>
    <row r="105" ht="48" customHeight="1"/>
    <row r="106" ht="48" customHeight="1"/>
    <row r="107" ht="48" customHeight="1"/>
    <row r="108" ht="48" customHeight="1"/>
    <row r="109" ht="48" customHeight="1"/>
    <row r="110" ht="48" customHeight="1"/>
    <row r="111" ht="48" customHeight="1"/>
    <row r="112" ht="48" customHeight="1"/>
    <row r="113" ht="48" customHeight="1"/>
    <row r="114" ht="48" customHeight="1"/>
    <row r="115" ht="48" customHeight="1"/>
    <row r="116" ht="48" customHeight="1"/>
    <row r="117" ht="48" customHeight="1"/>
    <row r="118" ht="48" customHeight="1"/>
    <row r="119" ht="48" customHeight="1"/>
    <row r="120" ht="48" customHeight="1"/>
    <row r="121" ht="48" customHeight="1"/>
    <row r="122" ht="48" customHeight="1"/>
    <row r="123" ht="48" customHeight="1"/>
    <row r="124" ht="48" customHeight="1"/>
    <row r="125" ht="48" customHeight="1"/>
    <row r="126" ht="48" customHeight="1"/>
    <row r="127" ht="48" customHeight="1"/>
    <row r="128" ht="48" customHeight="1"/>
    <row r="129" ht="48" customHeight="1"/>
    <row r="130" ht="48" customHeight="1"/>
    <row r="131" ht="48" customHeight="1"/>
    <row r="132" ht="48" customHeight="1"/>
    <row r="133" ht="48" customHeight="1"/>
    <row r="134" s="45" customFormat="1" ht="48" customHeight="1"/>
    <row r="135" ht="48" customHeight="1"/>
    <row r="136" ht="48" customHeight="1"/>
    <row r="137" ht="48" customHeight="1"/>
    <row r="138" ht="48" customHeight="1"/>
    <row r="139" ht="48" customHeight="1"/>
    <row r="140" ht="48" customHeight="1"/>
    <row r="141" ht="48" customHeight="1"/>
    <row r="142" ht="48" customHeight="1"/>
    <row r="143" ht="48" customHeight="1"/>
    <row r="144" ht="48" customHeight="1"/>
    <row r="145" s="45" customFormat="1" ht="48" customHeight="1"/>
    <row r="146" ht="48" customHeight="1"/>
    <row r="147" ht="48" customHeight="1"/>
    <row r="148" ht="48" customHeight="1"/>
    <row r="149" ht="48" customHeight="1"/>
    <row r="150" ht="48" customHeight="1"/>
    <row r="151" ht="48" customHeight="1"/>
    <row r="152" ht="48" customHeight="1"/>
    <row r="153" ht="48" customHeight="1"/>
    <row r="154" ht="48" customHeight="1"/>
  </sheetData>
  <autoFilter ref="A5:KJ20" xr:uid="{00000000-0009-0000-0000-00000A000000}"/>
  <conditionalFormatting sqref="T7:AK7">
    <cfRule type="colorScale" priority="1">
      <colorScale>
        <cfvo type="min"/>
        <cfvo type="formula" val="AVERAGE($T$7:$AK$7)"/>
        <cfvo type="max"/>
        <color rgb="FFF8696B"/>
        <color theme="0"/>
        <color rgb="FF63BE7B"/>
      </colorScale>
    </cfRule>
  </conditionalFormatting>
  <conditionalFormatting sqref="BO6:CP6">
    <cfRule type="colorScale" priority="2047">
      <colorScale>
        <cfvo type="min"/>
        <cfvo type="formula" val="AVERAGE($BO$8:$CP$150)"/>
        <cfvo type="max"/>
        <color rgb="FFF8696B"/>
        <color theme="0"/>
        <color rgb="FF63BE7B"/>
      </colorScale>
    </cfRule>
  </conditionalFormatting>
  <conditionalFormatting sqref="BO8:CP20">
    <cfRule type="colorScale" priority="2036">
      <colorScale>
        <cfvo type="min"/>
        <cfvo type="formula" val="AVERAGE($BO$8:$CP$150)"/>
        <cfvo type="max"/>
        <color rgb="FFF8696B"/>
        <color theme="0"/>
        <color rgb="FF63BE7B"/>
      </colorScale>
    </cfRule>
  </conditionalFormatting>
  <conditionalFormatting sqref="CR6:DE7">
    <cfRule type="colorScale" priority="2038">
      <colorScale>
        <cfvo type="min"/>
        <cfvo type="formula" val="MEDIAN($CR$6:$DE$150)"/>
        <cfvo type="max"/>
        <color rgb="FFF8696B"/>
        <color theme="0"/>
        <color rgb="FF63BE7B"/>
      </colorScale>
    </cfRule>
  </conditionalFormatting>
  <conditionalFormatting sqref="CR8:DE20">
    <cfRule type="colorScale" priority="2">
      <colorScale>
        <cfvo type="min"/>
        <cfvo type="formula" val="MEDIAN($CR$6:$DE$150)"/>
        <cfvo type="max"/>
        <color rgb="FFF8696B"/>
        <color theme="0"/>
        <color rgb="FF63BE7B"/>
      </colorScale>
    </cfRule>
  </conditionalFormatting>
  <conditionalFormatting sqref="IO6:KB6">
    <cfRule type="colorScale" priority="2048">
      <colorScale>
        <cfvo type="min"/>
        <cfvo type="formula" val="AVERAGE($IO$8:$KB$150)"/>
        <cfvo type="max"/>
        <color rgb="FFF8696B"/>
        <color theme="0"/>
        <color rgb="FF63BE7B"/>
      </colorScale>
    </cfRule>
  </conditionalFormatting>
  <conditionalFormatting sqref="IO8:KB20">
    <cfRule type="colorScale" priority="2040">
      <colorScale>
        <cfvo type="min"/>
        <cfvo type="formula" val="AVERAGE($IO$8:$KB$150)"/>
        <cfvo type="max"/>
        <color rgb="FFF8696B"/>
        <color theme="0"/>
        <color rgb="FF63BE7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249977111117893"/>
    <pageSetUpPr fitToPage="1"/>
  </sheetPr>
  <dimension ref="A1:BG106"/>
  <sheetViews>
    <sheetView zoomScale="85" zoomScaleNormal="85" workbookViewId="0">
      <pane ySplit="3" topLeftCell="A4" activePane="bottomLeft" state="frozen"/>
      <selection activeCell="F33" sqref="F33"/>
      <selection pane="bottomLeft" activeCell="H20" sqref="H20"/>
    </sheetView>
  </sheetViews>
  <sheetFormatPr baseColWidth="10" defaultColWidth="9.140625" defaultRowHeight="15" customHeight="1"/>
  <cols>
    <col min="1" max="1" width="7.28515625" style="934" customWidth="1"/>
    <col min="2" max="2" width="7.140625" style="934" customWidth="1"/>
    <col min="3" max="3" width="6" style="934" customWidth="1"/>
    <col min="4" max="4" width="31.42578125" style="934" customWidth="1"/>
    <col min="5" max="5" width="27.7109375" style="43" customWidth="1"/>
    <col min="6" max="6" width="46.28515625" style="43" customWidth="1"/>
    <col min="7" max="7" width="1.7109375" style="933" customWidth="1"/>
    <col min="8" max="8" width="8.7109375" style="43" customWidth="1"/>
    <col min="9" max="9" width="8.7109375" style="934" customWidth="1"/>
    <col min="10" max="10" width="1.7109375" style="933" customWidth="1"/>
    <col min="11" max="11" width="8" style="934" customWidth="1"/>
    <col min="12" max="12" width="9" style="934" customWidth="1"/>
    <col min="13" max="13" width="1.7109375" style="933" customWidth="1"/>
    <col min="14" max="14" width="10.7109375" style="934" customWidth="1"/>
    <col min="15" max="15" width="12.7109375" style="934" customWidth="1"/>
    <col min="16" max="16" width="1.7109375" style="933" customWidth="1"/>
    <col min="17" max="17" width="10.7109375" style="934" customWidth="1"/>
    <col min="18" max="18" width="12.7109375" style="933" customWidth="1"/>
    <col min="19" max="19" width="1.7109375" style="933" customWidth="1"/>
    <col min="20" max="20" width="10.7109375" style="933" customWidth="1"/>
    <col min="21" max="21" width="12.7109375" style="933" customWidth="1"/>
    <col min="22" max="22" width="1.7109375" style="933" customWidth="1"/>
    <col min="23" max="23" width="10.7109375" style="934" customWidth="1"/>
    <col min="24" max="24" width="12.7109375" style="934" customWidth="1"/>
    <col min="25" max="25" width="1.7109375" style="934" customWidth="1"/>
    <col min="26" max="26" width="10.7109375" style="934" customWidth="1"/>
    <col min="27" max="27" width="12.7109375" style="934" customWidth="1"/>
    <col min="28" max="28" width="1.7109375" style="933" customWidth="1"/>
    <col min="29" max="29" width="11.5703125" style="934" customWidth="1"/>
    <col min="30" max="59" width="13.42578125" style="933" customWidth="1"/>
  </cols>
  <sheetData>
    <row r="1" spans="1:59" s="933" customFormat="1" ht="18" customHeight="1">
      <c r="A1" s="477"/>
      <c r="B1" s="477"/>
      <c r="C1" s="477"/>
      <c r="D1" s="477"/>
      <c r="E1" s="478" t="s">
        <v>6707</v>
      </c>
      <c r="F1" s="479"/>
      <c r="H1" s="451" t="s">
        <v>6708</v>
      </c>
      <c r="I1" s="420"/>
      <c r="K1" s="451" t="s">
        <v>6709</v>
      </c>
      <c r="L1" s="420"/>
      <c r="N1" s="829" t="s">
        <v>6710</v>
      </c>
      <c r="O1" s="829" t="s">
        <v>6710</v>
      </c>
      <c r="P1" s="463"/>
      <c r="Q1" s="464" t="s">
        <v>6710</v>
      </c>
      <c r="R1" s="464" t="s">
        <v>6710</v>
      </c>
      <c r="S1" s="463"/>
      <c r="T1" s="467" t="s">
        <v>6710</v>
      </c>
      <c r="U1" s="467" t="s">
        <v>6710</v>
      </c>
      <c r="V1" s="463"/>
      <c r="W1" s="468" t="s">
        <v>6710</v>
      </c>
      <c r="X1" s="468" t="s">
        <v>6710</v>
      </c>
      <c r="Y1" s="457"/>
      <c r="Z1" s="469" t="s">
        <v>6710</v>
      </c>
      <c r="AA1" s="469" t="s">
        <v>6710</v>
      </c>
      <c r="AB1" s="457"/>
      <c r="AC1" s="829" t="s">
        <v>6711</v>
      </c>
    </row>
    <row r="2" spans="1:59" ht="30" customHeight="1">
      <c r="A2" s="420" t="s">
        <v>6712</v>
      </c>
      <c r="B2" s="420" t="s">
        <v>6713</v>
      </c>
      <c r="C2" s="420" t="s">
        <v>2044</v>
      </c>
      <c r="D2" s="829" t="s">
        <v>6714</v>
      </c>
      <c r="E2" s="829" t="s">
        <v>6715</v>
      </c>
      <c r="F2" s="829" t="s">
        <v>2181</v>
      </c>
      <c r="H2" s="436">
        <v>2025</v>
      </c>
      <c r="I2" s="436">
        <v>2030</v>
      </c>
      <c r="J2" s="113"/>
      <c r="K2" s="436" t="s">
        <v>2428</v>
      </c>
      <c r="L2" s="829" t="s">
        <v>6716</v>
      </c>
      <c r="M2" s="113"/>
      <c r="N2" s="829" t="s">
        <v>6717</v>
      </c>
      <c r="O2" s="829" t="s">
        <v>6718</v>
      </c>
      <c r="P2" s="457"/>
      <c r="Q2" s="464" t="s">
        <v>6719</v>
      </c>
      <c r="R2" s="464" t="s">
        <v>6720</v>
      </c>
      <c r="S2" s="457"/>
      <c r="T2" s="467" t="s">
        <v>6721</v>
      </c>
      <c r="U2" s="467" t="s">
        <v>6722</v>
      </c>
      <c r="V2" s="457"/>
      <c r="W2" s="468" t="s">
        <v>6723</v>
      </c>
      <c r="X2" s="468" t="s">
        <v>6724</v>
      </c>
      <c r="Y2" s="457"/>
      <c r="Z2" s="469" t="s">
        <v>6725</v>
      </c>
      <c r="AA2" s="469" t="s">
        <v>6726</v>
      </c>
      <c r="AB2" s="457"/>
      <c r="AC2" s="829" t="s">
        <v>6727</v>
      </c>
    </row>
    <row r="3" spans="1:59" ht="15" customHeight="1">
      <c r="A3" s="405" t="s">
        <v>2535</v>
      </c>
      <c r="B3" s="405" t="s">
        <v>2535</v>
      </c>
      <c r="C3" s="405" t="s">
        <v>2090</v>
      </c>
      <c r="D3" s="405" t="s">
        <v>2086</v>
      </c>
      <c r="E3" s="405" t="s">
        <v>6728</v>
      </c>
      <c r="F3" s="405" t="s">
        <v>6729</v>
      </c>
      <c r="H3" s="426" t="e">
        <f>SUMPRODUCT(($AC$4:$AC$106),('ANALYSE - ERP =&gt; SOUS-SEGMENT'!$AF$8:$AF$150))</f>
        <v>#REF!</v>
      </c>
      <c r="I3" s="426" t="e">
        <f>SUMPRODUCT(($AC$4:$AC$106),('ANALYSE - ERP =&gt; SOUS-SEGMENT'!$AK$8:$AK$150))</f>
        <v>#REF!</v>
      </c>
      <c r="K3" s="426" t="e">
        <f t="shared" ref="K3:K34" si="0">I3-H3</f>
        <v>#REF!</v>
      </c>
      <c r="L3" s="455" t="str">
        <f t="shared" ref="L3:L34" si="1">IFERROR((I3/H3)^(1/5)-1,"")</f>
        <v/>
      </c>
      <c r="N3" s="429" t="e">
        <f>SUMPRODUCT(($AC$4:$AC$106),('ANALYSE - ERP =&gt; SOUS-SEGMENT'!$BJ$8:$BJ$150))+SUMPRODUCT(($AC$4:$AC$106),('ANALYSE - ERP =&gt; SOUS-SEGMENT'!$BK$8:$BK$150))+SUMPRODUCT(($AC$4:$AC$106),('ANALYSE - ERP =&gt; SOUS-SEGMENT'!$BL$8:$BL$150))+SUMPRODUCT(($AC$4:$AC$106),('ANALYSE - ERP =&gt; SOUS-SEGMENT'!$BM$8:$BM$150))</f>
        <v>#REF!</v>
      </c>
      <c r="O3" s="454" t="str">
        <f t="shared" ref="O3:O34" si="2">IFERROR(N3/I3,"")</f>
        <v/>
      </c>
      <c r="P3" s="463"/>
      <c r="Q3" s="429" t="e">
        <f>SUMPRODUCT(($AC$4:$AC$106),('ANALYSE - ERP =&gt; SOUS-SEGMENT'!$BJ$8:$BJ$150))</f>
        <v>#REF!</v>
      </c>
      <c r="R3" s="454" t="str">
        <f t="shared" ref="R3:R34" si="3">IFERROR(Q3/I3,"")</f>
        <v/>
      </c>
      <c r="S3" s="463"/>
      <c r="T3" s="429" t="e">
        <f>SUMPRODUCT(($AC$4:$AC$106),('ANALYSE - ERP =&gt; SOUS-SEGMENT'!$BK$8:$BK$150))</f>
        <v>#REF!</v>
      </c>
      <c r="U3" s="454" t="str">
        <f t="shared" ref="U3:U34" si="4">IFERROR(T3/I3,"")</f>
        <v/>
      </c>
      <c r="V3" s="463"/>
      <c r="W3" s="429" t="e">
        <f>SUMPRODUCT(($AC$4:$AC$106),('ANALYSE - ERP =&gt; SOUS-SEGMENT'!$BL$8:$BL$150))</f>
        <v>#REF!</v>
      </c>
      <c r="X3" s="454" t="str">
        <f t="shared" ref="X3:X34" si="5">IFERROR(W3/I3,"")</f>
        <v/>
      </c>
      <c r="Y3" s="456"/>
      <c r="Z3" s="429" t="e">
        <f>SUMPRODUCT(($AC$4:$AC$106),('ANALYSE - ERP =&gt; SOUS-SEGMENT'!$BM$8:$BM$150))</f>
        <v>#REF!</v>
      </c>
      <c r="AA3" s="454" t="str">
        <f t="shared" ref="AA3:AA34" si="6">IFERROR(Z3/I3,"")</f>
        <v/>
      </c>
      <c r="AB3" s="463"/>
      <c r="AC3" s="426">
        <f>SUM('ANALYSE - ERP =&gt; SOUS-SEGMENT'!$Q$8:$Q$150)</f>
        <v>137</v>
      </c>
    </row>
    <row r="4" spans="1:59" ht="15" customHeight="1">
      <c r="A4" s="26">
        <v>1</v>
      </c>
      <c r="B4" s="26">
        <v>1</v>
      </c>
      <c r="C4" s="422">
        <f>'ANALYSE - ERP =&gt; SOUS-SEGMENT'!$A$75</f>
        <v>68</v>
      </c>
      <c r="D4" s="408" t="str">
        <f>'ANALYSE - ERP =&gt; SOUS-SEGMENT'!$B$75</f>
        <v>Commerce, Restauration &amp; Loisirs</v>
      </c>
      <c r="E4" s="408" t="str">
        <f>'ANALYSE - ERP =&gt; SOUS-SEGMENT'!$C$75</f>
        <v>Restauration / boissons</v>
      </c>
      <c r="F4" s="408" t="str">
        <f>'ANALYSE - ERP =&gt; SOUS-SEGMENT'!$D$75</f>
        <v>Restaurants
(Hors établissements altitude, flottant, armée)</v>
      </c>
      <c r="H4" s="427">
        <f>'ANALYSE - ERP =&gt; SOUS-SEGMENT'!$AF$75</f>
        <v>93500</v>
      </c>
      <c r="I4" s="427">
        <f>'ANALYSE - ERP =&gt; SOUS-SEGMENT'!$AK$75</f>
        <v>92000</v>
      </c>
      <c r="K4" s="427">
        <f t="shared" si="0"/>
        <v>-1500</v>
      </c>
      <c r="L4" s="787">
        <f t="shared" si="1"/>
        <v>-3.2293462572990927E-3</v>
      </c>
      <c r="N4" s="970">
        <f>'ANALYSE - ERP =&gt; SOUS-SEGMENT'!$BJ$75+'ANALYSE - ERP =&gt; SOUS-SEGMENT'!$BK$75+'ANALYSE - ERP =&gt; SOUS-SEGMENT'!$BL$75+'ANALYSE - ERP =&gt; SOUS-SEGMENT'!$BM$75</f>
        <v>795800</v>
      </c>
      <c r="O4" s="916">
        <f t="shared" si="2"/>
        <v>8.65</v>
      </c>
      <c r="P4" s="463"/>
      <c r="Q4" s="970">
        <f>'ANALYSE - ERP =&gt; SOUS-SEGMENT'!$BJ$75</f>
        <v>460000</v>
      </c>
      <c r="R4" s="916">
        <f t="shared" si="3"/>
        <v>5</v>
      </c>
      <c r="S4" s="463"/>
      <c r="T4" s="970">
        <f>'ANALYSE - ERP =&gt; SOUS-SEGMENT'!$BK$75</f>
        <v>0</v>
      </c>
      <c r="U4" s="916">
        <f t="shared" si="4"/>
        <v>0</v>
      </c>
      <c r="V4" s="463"/>
      <c r="W4" s="970">
        <f>'ANALYSE - ERP =&gt; SOUS-SEGMENT'!$BL$75</f>
        <v>59800</v>
      </c>
      <c r="X4" s="916">
        <f t="shared" si="5"/>
        <v>0.65</v>
      </c>
      <c r="Y4" s="456"/>
      <c r="Z4" s="970">
        <f>'ANALYSE - ERP =&gt; SOUS-SEGMENT'!$BM$75</f>
        <v>276000</v>
      </c>
      <c r="AA4" s="916">
        <f t="shared" si="6"/>
        <v>3</v>
      </c>
      <c r="AB4" s="463"/>
      <c r="AC4" s="465">
        <f>'ANALYSE - ERP =&gt; SOUS-SEGMENT'!$Q$75</f>
        <v>1</v>
      </c>
    </row>
    <row r="5" spans="1:59" ht="15" customHeight="1">
      <c r="A5" s="26">
        <v>2</v>
      </c>
      <c r="B5" s="26">
        <v>2</v>
      </c>
      <c r="C5" s="422">
        <f>'ANALYSE - ERP =&gt; SOUS-SEGMENT'!$A$27</f>
        <v>20</v>
      </c>
      <c r="D5" s="410" t="str">
        <f>'ANALYSE - ERP =&gt; SOUS-SEGMENT'!$B$27</f>
        <v>Sports &amp; Loisirs</v>
      </c>
      <c r="E5" s="410" t="str">
        <f>'ANALYSE - ERP =&gt; SOUS-SEGMENT'!$C$27</f>
        <v>Sport de plein air</v>
      </c>
      <c r="F5" s="410" t="str">
        <f>'ANALYSE - ERP =&gt; SOUS-SEGMENT'!$D$27</f>
        <v>Terrains de sport
(Hors scolaire, sans tribune)</v>
      </c>
      <c r="H5" s="427">
        <f>'ANALYSE - ERP =&gt; SOUS-SEGMENT'!$AF$27</f>
        <v>33000</v>
      </c>
      <c r="I5" s="427">
        <f>'ANALYSE - ERP =&gt; SOUS-SEGMENT'!$AK$27</f>
        <v>34000</v>
      </c>
      <c r="K5" s="427">
        <f t="shared" si="0"/>
        <v>1000</v>
      </c>
      <c r="L5" s="787">
        <f t="shared" si="1"/>
        <v>5.9884521443824834E-3</v>
      </c>
      <c r="N5" s="970">
        <f>'ANALYSE - ERP =&gt; SOUS-SEGMENT'!$BJ$27+'ANALYSE - ERP =&gt; SOUS-SEGMENT'!$BK$27+'ANALYSE - ERP =&gt; SOUS-SEGMENT'!$BL$27+'ANALYSE - ERP =&gt; SOUS-SEGMENT'!$BM$27</f>
        <v>690200</v>
      </c>
      <c r="O5" s="916">
        <f t="shared" si="2"/>
        <v>20.3</v>
      </c>
      <c r="P5" s="463"/>
      <c r="Q5" s="970">
        <f>'ANALYSE - ERP =&gt; SOUS-SEGMENT'!$BJ$27</f>
        <v>221000</v>
      </c>
      <c r="R5" s="916">
        <f t="shared" si="3"/>
        <v>6.5</v>
      </c>
      <c r="S5" s="463"/>
      <c r="T5" s="970">
        <f>'ANALYSE - ERP =&gt; SOUS-SEGMENT'!$BK$27</f>
        <v>204000</v>
      </c>
      <c r="U5" s="916">
        <f t="shared" si="4"/>
        <v>6</v>
      </c>
      <c r="V5" s="463"/>
      <c r="W5" s="970">
        <f>'ANALYSE - ERP =&gt; SOUS-SEGMENT'!$BL$27</f>
        <v>61200</v>
      </c>
      <c r="X5" s="916">
        <f t="shared" si="5"/>
        <v>1.8</v>
      </c>
      <c r="Y5" s="456"/>
      <c r="Z5" s="970">
        <f>'ANALYSE - ERP =&gt; SOUS-SEGMENT'!$BM$27</f>
        <v>204000</v>
      </c>
      <c r="AA5" s="916">
        <f t="shared" si="6"/>
        <v>6</v>
      </c>
      <c r="AB5" s="463"/>
      <c r="AC5" s="465">
        <f>'ANALYSE - ERP =&gt; SOUS-SEGMENT'!$Q$27</f>
        <v>1</v>
      </c>
    </row>
    <row r="6" spans="1:59" ht="15" customHeight="1">
      <c r="A6" s="26">
        <v>3</v>
      </c>
      <c r="B6" s="26">
        <v>3</v>
      </c>
      <c r="C6" s="422">
        <f>'ANALYSE - ERP =&gt; SOUS-SEGMENT'!$A$77</f>
        <v>70</v>
      </c>
      <c r="D6" s="408" t="str">
        <f>'ANALYSE - ERP =&gt; SOUS-SEGMENT'!$B$77</f>
        <v>Commerce, Restauration &amp; Loisirs</v>
      </c>
      <c r="E6" s="408" t="str">
        <f>'ANALYSE - ERP =&gt; SOUS-SEGMENT'!$C$77</f>
        <v>Restauration / boissons</v>
      </c>
      <c r="F6" s="408" t="str">
        <f>'ANALYSE - ERP =&gt; SOUS-SEGMENT'!$D$77</f>
        <v>Fast-food / Cafétérias / Food courts</v>
      </c>
      <c r="H6" s="427">
        <f>'ANALYSE - ERP =&gt; SOUS-SEGMENT'!$AF$77</f>
        <v>45675</v>
      </c>
      <c r="I6" s="427">
        <f>'ANALYSE - ERP =&gt; SOUS-SEGMENT'!$AK$77</f>
        <v>49204</v>
      </c>
      <c r="K6" s="427">
        <f t="shared" si="0"/>
        <v>3529</v>
      </c>
      <c r="L6" s="787">
        <f t="shared" si="1"/>
        <v>1.4996093531081556E-2</v>
      </c>
      <c r="N6" s="970">
        <f>'ANALYSE - ERP =&gt; SOUS-SEGMENT'!$BJ$77+'ANALYSE - ERP =&gt; SOUS-SEGMENT'!$BK$77+'ANALYSE - ERP =&gt; SOUS-SEGMENT'!$BL$77+'ANALYSE - ERP =&gt; SOUS-SEGMENT'!$BM$77</f>
        <v>506801.2</v>
      </c>
      <c r="O6" s="916">
        <f t="shared" si="2"/>
        <v>10.3</v>
      </c>
      <c r="P6" s="463"/>
      <c r="Q6" s="970">
        <f>'ANALYSE - ERP =&gt; SOUS-SEGMENT'!$BJ$77</f>
        <v>270622</v>
      </c>
      <c r="R6" s="916">
        <f t="shared" si="3"/>
        <v>5.5</v>
      </c>
      <c r="S6" s="463"/>
      <c r="T6" s="970">
        <f>'ANALYSE - ERP =&gt; SOUS-SEGMENT'!$BK$77</f>
        <v>0</v>
      </c>
      <c r="U6" s="916">
        <f t="shared" si="4"/>
        <v>0</v>
      </c>
      <c r="V6" s="463"/>
      <c r="W6" s="970">
        <f>'ANALYSE - ERP =&gt; SOUS-SEGMENT'!$BL$77</f>
        <v>39363.200000000004</v>
      </c>
      <c r="X6" s="916">
        <f t="shared" si="5"/>
        <v>0.8</v>
      </c>
      <c r="Y6" s="456"/>
      <c r="Z6" s="970">
        <f>'ANALYSE - ERP =&gt; SOUS-SEGMENT'!$BM$77</f>
        <v>196816</v>
      </c>
      <c r="AA6" s="916">
        <f t="shared" si="6"/>
        <v>4</v>
      </c>
      <c r="AB6" s="463"/>
      <c r="AC6" s="465">
        <f>'ANALYSE - ERP =&gt; SOUS-SEGMENT'!$Q$77</f>
        <v>1</v>
      </c>
    </row>
    <row r="7" spans="1:59" ht="15" customHeight="1">
      <c r="A7" s="26">
        <v>4</v>
      </c>
      <c r="B7" s="26">
        <v>4</v>
      </c>
      <c r="C7" s="422">
        <f>'ANALYSE - ERP =&gt; SOUS-SEGMENT'!$A$113</f>
        <v>106</v>
      </c>
      <c r="D7" s="415" t="str">
        <f>'ANALYSE - ERP =&gt; SOUS-SEGMENT'!$B$113</f>
        <v>Culte, Vie civique &amp; Services publics</v>
      </c>
      <c r="E7" s="415" t="str">
        <f>'ANALYSE - ERP =&gt; SOUS-SEGMENT'!$C$113</f>
        <v>Culte</v>
      </c>
      <c r="F7" s="415" t="str">
        <f>'ANALYSE - ERP =&gt; SOUS-SEGMENT'!$D$113</f>
        <v>Églises, cathédrales, basiliques et chapelles ouvertes au public</v>
      </c>
      <c r="H7" s="427">
        <f>'ANALYSE - ERP =&gt; SOUS-SEGMENT'!$AF$113</f>
        <v>4100</v>
      </c>
      <c r="I7" s="427">
        <f>'ANALYSE - ERP =&gt; SOUS-SEGMENT'!$AK$113</f>
        <v>3950</v>
      </c>
      <c r="K7" s="427">
        <f t="shared" si="0"/>
        <v>-150</v>
      </c>
      <c r="L7" s="787">
        <f t="shared" si="1"/>
        <v>-7.4265647280036262E-3</v>
      </c>
      <c r="N7" s="970">
        <f>'ANALYSE - ERP =&gt; SOUS-SEGMENT'!$BJ$113+'ANALYSE - ERP =&gt; SOUS-SEGMENT'!$BK$113+'ANALYSE - ERP =&gt; SOUS-SEGMENT'!$BL$113+'ANALYSE - ERP =&gt; SOUS-SEGMENT'!$BM$113</f>
        <v>25675</v>
      </c>
      <c r="O7" s="916">
        <f t="shared" si="2"/>
        <v>6.5</v>
      </c>
      <c r="P7" s="463"/>
      <c r="Q7" s="970">
        <f>'ANALYSE - ERP =&gt; SOUS-SEGMENT'!$BJ$113</f>
        <v>11850</v>
      </c>
      <c r="R7" s="916">
        <f t="shared" si="3"/>
        <v>3</v>
      </c>
      <c r="S7" s="463"/>
      <c r="T7" s="970">
        <f>'ANALYSE - ERP =&gt; SOUS-SEGMENT'!$BK$113</f>
        <v>0</v>
      </c>
      <c r="U7" s="916">
        <f t="shared" si="4"/>
        <v>0</v>
      </c>
      <c r="V7" s="463"/>
      <c r="W7" s="970">
        <f>'ANALYSE - ERP =&gt; SOUS-SEGMENT'!$BL$113</f>
        <v>1975</v>
      </c>
      <c r="X7" s="916">
        <f t="shared" si="5"/>
        <v>0.5</v>
      </c>
      <c r="Y7" s="456"/>
      <c r="Z7" s="970">
        <f>'ANALYSE - ERP =&gt; SOUS-SEGMENT'!$BM$113</f>
        <v>11850</v>
      </c>
      <c r="AA7" s="916">
        <f t="shared" si="6"/>
        <v>3</v>
      </c>
      <c r="AB7" s="463"/>
      <c r="AC7" s="465">
        <f>'ANALYSE - ERP =&gt; SOUS-SEGMENT'!$Q$113</f>
        <v>1</v>
      </c>
    </row>
    <row r="8" spans="1:59" ht="15" customHeight="1">
      <c r="A8" s="26">
        <v>5</v>
      </c>
      <c r="B8" s="26">
        <v>5</v>
      </c>
      <c r="C8" s="422">
        <f>'ANALYSE - ERP =&gt; SOUS-SEGMENT'!$A$76</f>
        <v>69</v>
      </c>
      <c r="D8" s="408" t="str">
        <f>'ANALYSE - ERP =&gt; SOUS-SEGMENT'!$B$76</f>
        <v>Commerce, Restauration &amp; Loisirs</v>
      </c>
      <c r="E8" s="408" t="str">
        <f>'ANALYSE - ERP =&gt; SOUS-SEGMENT'!$C$76</f>
        <v>Restauration / boissons</v>
      </c>
      <c r="F8" s="408" t="str">
        <f>'ANALYSE - ERP =&gt; SOUS-SEGMENT'!$D$76</f>
        <v>Cafés / bars / brasseries</v>
      </c>
      <c r="H8" s="427">
        <f>'ANALYSE - ERP =&gt; SOUS-SEGMENT'!$AF$76</f>
        <v>37620</v>
      </c>
      <c r="I8" s="427">
        <f>'ANALYSE - ERP =&gt; SOUS-SEGMENT'!$AK$76</f>
        <v>35777</v>
      </c>
      <c r="K8" s="427">
        <f t="shared" si="0"/>
        <v>-1843</v>
      </c>
      <c r="L8" s="787">
        <f t="shared" si="1"/>
        <v>-9.9958253124544649E-3</v>
      </c>
      <c r="N8" s="970">
        <f>'ANALYSE - ERP =&gt; SOUS-SEGMENT'!$BJ$76+'ANALYSE - ERP =&gt; SOUS-SEGMENT'!$BK$76+'ANALYSE - ERP =&gt; SOUS-SEGMENT'!$BL$76+'ANALYSE - ERP =&gt; SOUS-SEGMENT'!$BM$76</f>
        <v>309471.05</v>
      </c>
      <c r="O8" s="916">
        <f t="shared" si="2"/>
        <v>8.65</v>
      </c>
      <c r="P8" s="463"/>
      <c r="Q8" s="970">
        <f>'ANALYSE - ERP =&gt; SOUS-SEGMENT'!$BJ$76</f>
        <v>178885</v>
      </c>
      <c r="R8" s="916">
        <f t="shared" si="3"/>
        <v>5</v>
      </c>
      <c r="S8" s="463"/>
      <c r="T8" s="970">
        <f>'ANALYSE - ERP =&gt; SOUS-SEGMENT'!$BK$76</f>
        <v>0</v>
      </c>
      <c r="U8" s="916">
        <f t="shared" si="4"/>
        <v>0</v>
      </c>
      <c r="V8" s="463"/>
      <c r="W8" s="970">
        <f>'ANALYSE - ERP =&gt; SOUS-SEGMENT'!$BL$76</f>
        <v>23255.05</v>
      </c>
      <c r="X8" s="916">
        <f t="shared" si="5"/>
        <v>0.65</v>
      </c>
      <c r="Y8" s="456"/>
      <c r="Z8" s="970">
        <f>'ANALYSE - ERP =&gt; SOUS-SEGMENT'!$BM$76</f>
        <v>107331</v>
      </c>
      <c r="AA8" s="916">
        <f t="shared" si="6"/>
        <v>3</v>
      </c>
      <c r="AB8" s="463"/>
      <c r="AC8" s="465">
        <f>'ANALYSE - ERP =&gt; SOUS-SEGMENT'!$Q$76</f>
        <v>1</v>
      </c>
    </row>
    <row r="9" spans="1:59" ht="15" customHeight="1">
      <c r="A9" s="26">
        <v>6</v>
      </c>
      <c r="B9" s="26">
        <v>6</v>
      </c>
      <c r="C9" s="422">
        <f>'ANALYSE - ERP =&gt; SOUS-SEGMENT'!$A$101</f>
        <v>94</v>
      </c>
      <c r="D9" s="415" t="str">
        <f>'ANALYSE - ERP =&gt; SOUS-SEGMENT'!$B$101</f>
        <v>Culte, Vie civique &amp; Services publics</v>
      </c>
      <c r="E9" s="415" t="str">
        <f>'ANALYSE - ERP =&gt; SOUS-SEGMENT'!$C$101</f>
        <v>Administrations / services publics</v>
      </c>
      <c r="F9" s="415" t="str">
        <f>'ANALYSE - ERP =&gt; SOUS-SEGMENT'!$D$101</f>
        <v>Mairies / hôtels de ville</v>
      </c>
      <c r="H9" s="427">
        <f>'ANALYSE - ERP =&gt; SOUS-SEGMENT'!$AF$101</f>
        <v>37496</v>
      </c>
      <c r="I9" s="427">
        <f>'ANALYSE - ERP =&gt; SOUS-SEGMENT'!$AK$101</f>
        <v>37460</v>
      </c>
      <c r="K9" s="427">
        <f t="shared" si="0"/>
        <v>-36</v>
      </c>
      <c r="L9" s="787">
        <f t="shared" si="1"/>
        <v>-1.9209426842536903E-4</v>
      </c>
      <c r="N9" s="970">
        <f>'ANALYSE - ERP =&gt; SOUS-SEGMENT'!$BJ$101+'ANALYSE - ERP =&gt; SOUS-SEGMENT'!$BK$101+'ANALYSE - ERP =&gt; SOUS-SEGMENT'!$BL$101+'ANALYSE - ERP =&gt; SOUS-SEGMENT'!$BM$101</f>
        <v>235998</v>
      </c>
      <c r="O9" s="916">
        <f t="shared" si="2"/>
        <v>6.3</v>
      </c>
      <c r="P9" s="463"/>
      <c r="Q9" s="970">
        <f>'ANALYSE - ERP =&gt; SOUS-SEGMENT'!$BJ$101</f>
        <v>112380</v>
      </c>
      <c r="R9" s="916">
        <f t="shared" si="3"/>
        <v>3</v>
      </c>
      <c r="S9" s="463"/>
      <c r="T9" s="970">
        <f>'ANALYSE - ERP =&gt; SOUS-SEGMENT'!$BK$101</f>
        <v>0</v>
      </c>
      <c r="U9" s="916">
        <f t="shared" si="4"/>
        <v>0</v>
      </c>
      <c r="V9" s="463"/>
      <c r="W9" s="970">
        <f>'ANALYSE - ERP =&gt; SOUS-SEGMENT'!$BL$101</f>
        <v>11238</v>
      </c>
      <c r="X9" s="916">
        <f t="shared" si="5"/>
        <v>0.3</v>
      </c>
      <c r="Y9" s="456"/>
      <c r="Z9" s="970">
        <f>'ANALYSE - ERP =&gt; SOUS-SEGMENT'!$BM$101</f>
        <v>112380</v>
      </c>
      <c r="AA9" s="916">
        <f t="shared" si="6"/>
        <v>3</v>
      </c>
      <c r="AB9" s="463"/>
      <c r="AC9" s="465">
        <f>'ANALYSE - ERP =&gt; SOUS-SEGMENT'!$Q$101</f>
        <v>1</v>
      </c>
    </row>
    <row r="10" spans="1:59" ht="15" customHeight="1">
      <c r="A10" s="26">
        <v>7</v>
      </c>
      <c r="B10" s="26">
        <v>7</v>
      </c>
      <c r="C10" s="422">
        <f>'ANALYSE - ERP =&gt; SOUS-SEGMENT'!$A$82</f>
        <v>75</v>
      </c>
      <c r="D10" s="416" t="str">
        <f>'ANALYSE - ERP =&gt; SOUS-SEGMENT'!$B$82</f>
        <v>Tertiaire &amp; Industriel</v>
      </c>
      <c r="E10" s="416" t="str">
        <f>'ANALYSE - ERP =&gt; SOUS-SEGMENT'!$C$82</f>
        <v>Bureaux</v>
      </c>
      <c r="F10" s="416" t="str">
        <f>'ANALYSE - ERP =&gt; SOUS-SEGMENT'!$D$82</f>
        <v>Bureaux Tertiaire Privé (&gt;50 salariés)
(hors usines et logistique )</v>
      </c>
      <c r="H10" s="427">
        <f>'ANALYSE - ERP =&gt; SOUS-SEGMENT'!$AF$82</f>
        <v>28100</v>
      </c>
      <c r="I10" s="427">
        <f>'ANALYSE - ERP =&gt; SOUS-SEGMENT'!$AK$82</f>
        <v>27600</v>
      </c>
      <c r="K10" s="427">
        <f t="shared" si="0"/>
        <v>-500</v>
      </c>
      <c r="L10" s="787">
        <f t="shared" si="1"/>
        <v>-3.5843216513942178E-3</v>
      </c>
      <c r="N10" s="970">
        <f>'ANALYSE - ERP =&gt; SOUS-SEGMENT'!$BJ$82+'ANALYSE - ERP =&gt; SOUS-SEGMENT'!$BK$82+'ANALYSE - ERP =&gt; SOUS-SEGMENT'!$BL$82+'ANALYSE - ERP =&gt; SOUS-SEGMENT'!$BM$82</f>
        <v>1179210</v>
      </c>
      <c r="O10" s="916">
        <f t="shared" si="2"/>
        <v>42.725000000000001</v>
      </c>
      <c r="P10" s="463"/>
      <c r="Q10" s="970">
        <f>'ANALYSE - ERP =&gt; SOUS-SEGMENT'!$BJ$82</f>
        <v>607200</v>
      </c>
      <c r="R10" s="916">
        <f t="shared" si="3"/>
        <v>22</v>
      </c>
      <c r="S10" s="463"/>
      <c r="T10" s="970">
        <f>'ANALYSE - ERP =&gt; SOUS-SEGMENT'!$BK$82</f>
        <v>6210</v>
      </c>
      <c r="U10" s="916">
        <f t="shared" si="4"/>
        <v>0.22500000000000001</v>
      </c>
      <c r="V10" s="463"/>
      <c r="W10" s="970">
        <f>'ANALYSE - ERP =&gt; SOUS-SEGMENT'!$BL$82</f>
        <v>124200</v>
      </c>
      <c r="X10" s="916">
        <f t="shared" si="5"/>
        <v>4.5</v>
      </c>
      <c r="Y10" s="456"/>
      <c r="Z10" s="970">
        <f>'ANALYSE - ERP =&gt; SOUS-SEGMENT'!$BM$82</f>
        <v>441600</v>
      </c>
      <c r="AA10" s="916">
        <f t="shared" si="6"/>
        <v>16</v>
      </c>
      <c r="AB10" s="463"/>
      <c r="AC10" s="465">
        <f>'ANALYSE - ERP =&gt; SOUS-SEGMENT'!$Q$82</f>
        <v>1</v>
      </c>
    </row>
    <row r="11" spans="1:59" s="45" customFormat="1" ht="15" customHeight="1">
      <c r="A11" s="26">
        <v>8</v>
      </c>
      <c r="B11" s="26">
        <v>8</v>
      </c>
      <c r="C11" s="422">
        <f>'ANALYSE - ERP =&gt; SOUS-SEGMENT'!$A$12</f>
        <v>5</v>
      </c>
      <c r="D11" s="411" t="str">
        <f>'ANALYSE - ERP =&gt; SOUS-SEGMENT'!$B$12</f>
        <v>Enfance, Enseignement, Jeunesse &amp; Formation</v>
      </c>
      <c r="E11" s="411" t="str">
        <f>'ANALYSE - ERP =&gt; SOUS-SEGMENT'!$C$12</f>
        <v>Enseignement scolaire</v>
      </c>
      <c r="F11" s="411" t="str">
        <f>'ANALYSE - ERP =&gt; SOUS-SEGMENT'!$D$12</f>
        <v>Écoles primaires</v>
      </c>
      <c r="G11" s="685"/>
      <c r="H11" s="427">
        <f>'ANALYSE - ERP =&gt; SOUS-SEGMENT'!$AF$12</f>
        <v>30580</v>
      </c>
      <c r="I11" s="427">
        <f>'ANALYSE - ERP =&gt; SOUS-SEGMENT'!$AK$12</f>
        <v>30230</v>
      </c>
      <c r="J11" s="685"/>
      <c r="K11" s="427">
        <f t="shared" si="0"/>
        <v>-350</v>
      </c>
      <c r="L11" s="787">
        <f t="shared" si="1"/>
        <v>-2.299630131823549E-3</v>
      </c>
      <c r="M11" s="685"/>
      <c r="N11" s="970">
        <f>'ANALYSE - ERP =&gt; SOUS-SEGMENT'!$BJ$12+'ANALYSE - ERP =&gt; SOUS-SEGMENT'!$BK$12+'ANALYSE - ERP =&gt; SOUS-SEGMENT'!$BL$12+'ANALYSE - ERP =&gt; SOUS-SEGMENT'!$BM$12</f>
        <v>851034.96</v>
      </c>
      <c r="O11" s="916">
        <f t="shared" si="2"/>
        <v>28.151999999999997</v>
      </c>
      <c r="P11" s="685"/>
      <c r="Q11" s="970">
        <f>'ANALYSE - ERP =&gt; SOUS-SEGMENT'!$BJ$12</f>
        <v>423220</v>
      </c>
      <c r="R11" s="916">
        <f t="shared" si="3"/>
        <v>14</v>
      </c>
      <c r="S11" s="685"/>
      <c r="T11" s="970">
        <f>'ANALYSE - ERP =&gt; SOUS-SEGMENT'!$BK$12</f>
        <v>4594.96</v>
      </c>
      <c r="U11" s="916">
        <f t="shared" si="4"/>
        <v>0.152</v>
      </c>
      <c r="V11" s="685"/>
      <c r="W11" s="970">
        <f>'ANALYSE - ERP =&gt; SOUS-SEGMENT'!$BL$12</f>
        <v>60460</v>
      </c>
      <c r="X11" s="916">
        <f t="shared" si="5"/>
        <v>2</v>
      </c>
      <c r="Y11" s="685"/>
      <c r="Z11" s="970">
        <f>'ANALYSE - ERP =&gt; SOUS-SEGMENT'!$BM$12</f>
        <v>362760</v>
      </c>
      <c r="AA11" s="916">
        <f t="shared" si="6"/>
        <v>12</v>
      </c>
      <c r="AB11" s="685"/>
      <c r="AC11" s="465">
        <f>'ANALYSE - ERP =&gt; SOUS-SEGMENT'!$Q$12</f>
        <v>1</v>
      </c>
      <c r="AD11" s="685"/>
      <c r="AE11" s="685"/>
      <c r="AF11" s="685"/>
      <c r="AG11" s="685"/>
      <c r="AH11" s="685"/>
      <c r="AI11" s="685"/>
      <c r="AJ11" s="685"/>
      <c r="AK11" s="685"/>
      <c r="AL11" s="685"/>
      <c r="AM11" s="685"/>
      <c r="AN11" s="685"/>
      <c r="AO11" s="685"/>
      <c r="AP11" s="685"/>
      <c r="AQ11" s="685"/>
      <c r="AR11" s="685"/>
      <c r="AS11" s="685"/>
      <c r="AT11" s="685"/>
      <c r="AU11" s="685"/>
      <c r="AV11" s="685"/>
      <c r="AW11" s="685"/>
      <c r="AX11" s="685"/>
      <c r="AY11" s="685"/>
      <c r="AZ11" s="685"/>
      <c r="BA11" s="685"/>
      <c r="BB11" s="685"/>
      <c r="BC11" s="685"/>
      <c r="BD11" s="685"/>
      <c r="BE11" s="685"/>
      <c r="BF11" s="685"/>
      <c r="BG11" s="685"/>
    </row>
    <row r="12" spans="1:59" ht="15" customHeight="1">
      <c r="A12" s="26">
        <v>9</v>
      </c>
      <c r="B12" s="26">
        <v>9</v>
      </c>
      <c r="C12" s="422">
        <f>'ANALYSE - ERP =&gt; SOUS-SEGMENT'!$A$67</f>
        <v>60</v>
      </c>
      <c r="D12" s="414" t="str">
        <f>'ANALYSE - ERP =&gt; SOUS-SEGMENT'!$B$67</f>
        <v>Culture, Patrimoine &amp; Evénementiel</v>
      </c>
      <c r="E12" s="414" t="str">
        <f>'ANALYSE - ERP =&gt; SOUS-SEGMENT'!$C$67</f>
        <v>Culture / spectacle</v>
      </c>
      <c r="F12" s="414" t="str">
        <f>'ANALYSE - ERP =&gt; SOUS-SEGMENT'!$D$67</f>
        <v>Salles polyvalentes / Salles des fêtes</v>
      </c>
      <c r="H12" s="427">
        <f>'ANALYSE - ERP =&gt; SOUS-SEGMENT'!$AF$67</f>
        <v>24200</v>
      </c>
      <c r="I12" s="427">
        <f>'ANALYSE - ERP =&gt; SOUS-SEGMENT'!$AK$67</f>
        <v>24700</v>
      </c>
      <c r="K12" s="427">
        <f t="shared" si="0"/>
        <v>500</v>
      </c>
      <c r="L12" s="787">
        <f t="shared" si="1"/>
        <v>4.098498059311062E-3</v>
      </c>
      <c r="N12" s="970">
        <f>'ANALYSE - ERP =&gt; SOUS-SEGMENT'!$BJ$67+'ANALYSE - ERP =&gt; SOUS-SEGMENT'!$BK$67+'ANALYSE - ERP =&gt; SOUS-SEGMENT'!$BL$67+'ANALYSE - ERP =&gt; SOUS-SEGMENT'!$BM$67</f>
        <v>437190</v>
      </c>
      <c r="O12" s="916">
        <f t="shared" si="2"/>
        <v>17.7</v>
      </c>
      <c r="P12" s="463"/>
      <c r="Q12" s="970">
        <f>'ANALYSE - ERP =&gt; SOUS-SEGMENT'!$BJ$67</f>
        <v>222300</v>
      </c>
      <c r="R12" s="916">
        <f t="shared" si="3"/>
        <v>9</v>
      </c>
      <c r="S12" s="463"/>
      <c r="T12" s="970">
        <f>'ANALYSE - ERP =&gt; SOUS-SEGMENT'!$BK$67</f>
        <v>4940</v>
      </c>
      <c r="U12" s="916">
        <f t="shared" si="4"/>
        <v>0.2</v>
      </c>
      <c r="V12" s="463"/>
      <c r="W12" s="970">
        <f>'ANALYSE - ERP =&gt; SOUS-SEGMENT'!$BL$67</f>
        <v>37050</v>
      </c>
      <c r="X12" s="916">
        <f t="shared" si="5"/>
        <v>1.5</v>
      </c>
      <c r="Y12" s="456"/>
      <c r="Z12" s="970">
        <f>'ANALYSE - ERP =&gt; SOUS-SEGMENT'!$BM$67</f>
        <v>172900</v>
      </c>
      <c r="AA12" s="916">
        <f t="shared" si="6"/>
        <v>7</v>
      </c>
      <c r="AB12" s="463"/>
      <c r="AC12" s="465">
        <f>'ANALYSE - ERP =&gt; SOUS-SEGMENT'!$Q$67</f>
        <v>1</v>
      </c>
    </row>
    <row r="13" spans="1:59" ht="15" customHeight="1">
      <c r="A13" s="26">
        <v>10</v>
      </c>
      <c r="B13" s="26">
        <v>10</v>
      </c>
      <c r="C13" s="422">
        <f>'ANALYSE - ERP =&gt; SOUS-SEGMENT'!$A$8</f>
        <v>1</v>
      </c>
      <c r="D13" s="411" t="str">
        <f>'ANALYSE - ERP =&gt; SOUS-SEGMENT'!$B$8</f>
        <v>Enfance, Enseignement, Jeunesse &amp; Formation</v>
      </c>
      <c r="E13" s="411" t="str">
        <f>'ANALYSE - ERP =&gt; SOUS-SEGMENT'!$C$8</f>
        <v>Petite enfance</v>
      </c>
      <c r="F13" s="411" t="str">
        <f>'ANALYSE - ERP =&gt; SOUS-SEGMENT'!$D$8</f>
        <v>Crèches</v>
      </c>
      <c r="H13" s="427">
        <f>'ANALYSE - ERP =&gt; SOUS-SEGMENT'!$AF$8</f>
        <v>19995</v>
      </c>
      <c r="I13" s="427">
        <f>'ANALYSE - ERP =&gt; SOUS-SEGMENT'!$AK$8</f>
        <v>20180</v>
      </c>
      <c r="K13" s="427">
        <f t="shared" si="0"/>
        <v>185</v>
      </c>
      <c r="L13" s="787">
        <f t="shared" si="1"/>
        <v>1.8436519656155337E-3</v>
      </c>
      <c r="N13" s="970">
        <f>'ANALYSE - ERP =&gt; SOUS-SEGMENT'!$BJ$8+'ANALYSE - ERP =&gt; SOUS-SEGMENT'!$BK$8+'ANALYSE - ERP =&gt; SOUS-SEGMENT'!$BL$8+'ANALYSE - ERP =&gt; SOUS-SEGMENT'!$BM$8</f>
        <v>247104.1</v>
      </c>
      <c r="O13" s="916">
        <f t="shared" si="2"/>
        <v>12.245000000000001</v>
      </c>
      <c r="P13" s="463"/>
      <c r="Q13" s="970">
        <f>'ANALYSE - ERP =&gt; SOUS-SEGMENT'!$BJ$8</f>
        <v>121080</v>
      </c>
      <c r="R13" s="916">
        <f t="shared" si="3"/>
        <v>6</v>
      </c>
      <c r="S13" s="463"/>
      <c r="T13" s="970">
        <f>'ANALYSE - ERP =&gt; SOUS-SEGMENT'!$BK$8</f>
        <v>4944.1000000000004</v>
      </c>
      <c r="U13" s="916">
        <f t="shared" si="4"/>
        <v>0.24500000000000002</v>
      </c>
      <c r="V13" s="463"/>
      <c r="W13" s="970">
        <f>'ANALYSE - ERP =&gt; SOUS-SEGMENT'!$BL$8</f>
        <v>0</v>
      </c>
      <c r="X13" s="916">
        <f t="shared" si="5"/>
        <v>0</v>
      </c>
      <c r="Y13" s="456"/>
      <c r="Z13" s="970">
        <f>'ANALYSE - ERP =&gt; SOUS-SEGMENT'!$BM$8</f>
        <v>121080</v>
      </c>
      <c r="AA13" s="916">
        <f t="shared" si="6"/>
        <v>6</v>
      </c>
      <c r="AB13" s="463"/>
      <c r="AC13" s="465">
        <f>'ANALYSE - ERP =&gt; SOUS-SEGMENT'!$Q$8</f>
        <v>1</v>
      </c>
    </row>
    <row r="14" spans="1:59" ht="15" customHeight="1">
      <c r="A14" s="26">
        <v>11</v>
      </c>
      <c r="B14" s="26">
        <v>11</v>
      </c>
      <c r="C14" s="422">
        <f>'ANALYSE - ERP =&gt; SOUS-SEGMENT'!$A$11</f>
        <v>4</v>
      </c>
      <c r="D14" s="411" t="str">
        <f>'ANALYSE - ERP =&gt; SOUS-SEGMENT'!$B$11</f>
        <v>Enfance, Enseignement, Jeunesse &amp; Formation</v>
      </c>
      <c r="E14" s="411" t="str">
        <f>'ANALYSE - ERP =&gt; SOUS-SEGMENT'!$C$11</f>
        <v>Enseignement scolaire</v>
      </c>
      <c r="F14" s="411" t="str">
        <f>'ANALYSE - ERP =&gt; SOUS-SEGMENT'!$D$11</f>
        <v>Écoles maternelles</v>
      </c>
      <c r="H14" s="427">
        <f>'ANALYSE - ERP =&gt; SOUS-SEGMENT'!$AF$11</f>
        <v>18350</v>
      </c>
      <c r="I14" s="427">
        <f>'ANALYSE - ERP =&gt; SOUS-SEGMENT'!$AK$11</f>
        <v>18200</v>
      </c>
      <c r="K14" s="427">
        <f t="shared" si="0"/>
        <v>-150</v>
      </c>
      <c r="L14" s="787">
        <f t="shared" si="1"/>
        <v>-1.6402494017184743E-3</v>
      </c>
      <c r="N14" s="970">
        <f>'ANALYSE - ERP =&gt; SOUS-SEGMENT'!$BJ$11+'ANALYSE - ERP =&gt; SOUS-SEGMENT'!$BK$11+'ANALYSE - ERP =&gt; SOUS-SEGMENT'!$BL$11+'ANALYSE - ERP =&gt; SOUS-SEGMENT'!$BM$11</f>
        <v>367731</v>
      </c>
      <c r="O14" s="916">
        <f t="shared" si="2"/>
        <v>20.204999999999998</v>
      </c>
      <c r="P14" s="463"/>
      <c r="Q14" s="970">
        <f>'ANALYSE - ERP =&gt; SOUS-SEGMENT'!$BJ$11</f>
        <v>163800</v>
      </c>
      <c r="R14" s="916">
        <f t="shared" si="3"/>
        <v>9</v>
      </c>
      <c r="S14" s="463"/>
      <c r="T14" s="970">
        <f>'ANALYSE - ERP =&gt; SOUS-SEGMENT'!$BK$11</f>
        <v>3731</v>
      </c>
      <c r="U14" s="916">
        <f t="shared" si="4"/>
        <v>0.20499999999999999</v>
      </c>
      <c r="V14" s="463"/>
      <c r="W14" s="970">
        <f>'ANALYSE - ERP =&gt; SOUS-SEGMENT'!$BL$11</f>
        <v>18200</v>
      </c>
      <c r="X14" s="916">
        <f t="shared" si="5"/>
        <v>1</v>
      </c>
      <c r="Y14" s="456"/>
      <c r="Z14" s="970">
        <f>'ANALYSE - ERP =&gt; SOUS-SEGMENT'!$BM$11</f>
        <v>182000</v>
      </c>
      <c r="AA14" s="916">
        <f t="shared" si="6"/>
        <v>10</v>
      </c>
      <c r="AB14" s="463"/>
      <c r="AC14" s="465">
        <f>'ANALYSE - ERP =&gt; SOUS-SEGMENT'!$Q$11</f>
        <v>1</v>
      </c>
    </row>
    <row r="15" spans="1:59" ht="15" customHeight="1">
      <c r="A15" s="26">
        <v>12</v>
      </c>
      <c r="B15" s="26">
        <v>12</v>
      </c>
      <c r="C15" s="422">
        <f>'ANALYSE - ERP =&gt; SOUS-SEGMENT'!$A$21</f>
        <v>14</v>
      </c>
      <c r="D15" s="410" t="str">
        <f>'ANALYSE - ERP =&gt; SOUS-SEGMENT'!$B$21</f>
        <v>Sports &amp; Loisirs</v>
      </c>
      <c r="E15" s="410" t="str">
        <f>'ANALYSE - ERP =&gt; SOUS-SEGMENT'!$C$21</f>
        <v>Sport couvert / Thermalisme / Bien-être</v>
      </c>
      <c r="F15" s="410" t="str">
        <f>'ANALYSE - ERP =&gt; SOUS-SEGMENT'!$D$21</f>
        <v>Gymnases / salles multisports
(hors scolaire, mais gymnase municipaux inclus)</v>
      </c>
      <c r="H15" s="427">
        <f>'ANALYSE - ERP =&gt; SOUS-SEGMENT'!$AF$21</f>
        <v>15100</v>
      </c>
      <c r="I15" s="427">
        <f>'ANALYSE - ERP =&gt; SOUS-SEGMENT'!$AK$21</f>
        <v>15600</v>
      </c>
      <c r="K15" s="427">
        <f t="shared" si="0"/>
        <v>500</v>
      </c>
      <c r="L15" s="787">
        <f t="shared" si="1"/>
        <v>6.536504393109821E-3</v>
      </c>
      <c r="N15" s="970">
        <f>'ANALYSE - ERP =&gt; SOUS-SEGMENT'!$BJ$21+'ANALYSE - ERP =&gt; SOUS-SEGMENT'!$BK$21+'ANALYSE - ERP =&gt; SOUS-SEGMENT'!$BL$21+'ANALYSE - ERP =&gt; SOUS-SEGMENT'!$BM$21</f>
        <v>709800</v>
      </c>
      <c r="O15" s="916">
        <f t="shared" si="2"/>
        <v>45.5</v>
      </c>
      <c r="P15" s="463"/>
      <c r="Q15" s="970">
        <f>'ANALYSE - ERP =&gt; SOUS-SEGMENT'!$BJ$21</f>
        <v>249600</v>
      </c>
      <c r="R15" s="916">
        <f t="shared" si="3"/>
        <v>16</v>
      </c>
      <c r="S15" s="463"/>
      <c r="T15" s="970">
        <f>'ANALYSE - ERP =&gt; SOUS-SEGMENT'!$BK$21</f>
        <v>249600</v>
      </c>
      <c r="U15" s="916">
        <f t="shared" si="4"/>
        <v>16</v>
      </c>
      <c r="V15" s="463"/>
      <c r="W15" s="970">
        <f>'ANALYSE - ERP =&gt; SOUS-SEGMENT'!$BL$21</f>
        <v>54600</v>
      </c>
      <c r="X15" s="916">
        <f t="shared" si="5"/>
        <v>3.5</v>
      </c>
      <c r="Y15" s="456"/>
      <c r="Z15" s="970">
        <f>'ANALYSE - ERP =&gt; SOUS-SEGMENT'!$BM$21</f>
        <v>156000</v>
      </c>
      <c r="AA15" s="916">
        <f t="shared" si="6"/>
        <v>10</v>
      </c>
      <c r="AB15" s="463"/>
      <c r="AC15" s="465">
        <f>'ANALYSE - ERP =&gt; SOUS-SEGMENT'!$Q$21</f>
        <v>1</v>
      </c>
    </row>
    <row r="16" spans="1:59" ht="25.5" customHeight="1">
      <c r="A16" s="26">
        <v>13</v>
      </c>
      <c r="B16" s="26">
        <v>14</v>
      </c>
      <c r="C16" s="422">
        <f>'ANALYSE - ERP =&gt; SOUS-SEGMENT'!$A$87</f>
        <v>80</v>
      </c>
      <c r="D16" s="412" t="str">
        <f>'ANALYSE - ERP =&gt; SOUS-SEGMENT'!$B$87</f>
        <v>Hébergement Touristique</v>
      </c>
      <c r="E16" s="412" t="str">
        <f>'ANALYSE - ERP =&gt; SOUS-SEGMENT'!$C$87</f>
        <v>Hébergement Touristique</v>
      </c>
      <c r="F16" s="412" t="str">
        <f>'ANALYSE - ERP =&gt; SOUS-SEGMENT'!$D$87</f>
        <v>Hôtels 
(hors autres hébérgements touristiques)</v>
      </c>
      <c r="H16" s="427">
        <f>'ANALYSE - ERP =&gt; SOUS-SEGMENT'!$AF$87</f>
        <v>15050</v>
      </c>
      <c r="I16" s="427">
        <f>'ANALYSE - ERP =&gt; SOUS-SEGMENT'!$AK$87</f>
        <v>14750</v>
      </c>
      <c r="K16" s="427">
        <f t="shared" si="0"/>
        <v>-300</v>
      </c>
      <c r="L16" s="787">
        <f t="shared" si="1"/>
        <v>-4.0188842641092348E-3</v>
      </c>
      <c r="N16" s="970">
        <f>'ANALYSE - ERP =&gt; SOUS-SEGMENT'!$BJ$87+'ANALYSE - ERP =&gt; SOUS-SEGMENT'!$BK$87+'ANALYSE - ERP =&gt; SOUS-SEGMENT'!$BL$87+'ANALYSE - ERP =&gt; SOUS-SEGMENT'!$BM$87</f>
        <v>122425</v>
      </c>
      <c r="O16" s="916">
        <f t="shared" si="2"/>
        <v>8.3000000000000007</v>
      </c>
      <c r="P16" s="463"/>
      <c r="Q16" s="970">
        <f>'ANALYSE - ERP =&gt; SOUS-SEGMENT'!$BJ$87</f>
        <v>59000</v>
      </c>
      <c r="R16" s="916">
        <f t="shared" si="3"/>
        <v>4</v>
      </c>
      <c r="S16" s="463"/>
      <c r="T16" s="970">
        <f>'ANALYSE - ERP =&gt; SOUS-SEGMENT'!$BK$87</f>
        <v>2950</v>
      </c>
      <c r="U16" s="916">
        <f t="shared" si="4"/>
        <v>0.2</v>
      </c>
      <c r="V16" s="463"/>
      <c r="W16" s="970">
        <f>'ANALYSE - ERP =&gt; SOUS-SEGMENT'!$BL$87</f>
        <v>8850</v>
      </c>
      <c r="X16" s="916">
        <f t="shared" si="5"/>
        <v>0.6</v>
      </c>
      <c r="Y16" s="456"/>
      <c r="Z16" s="970">
        <f>'ANALYSE - ERP =&gt; SOUS-SEGMENT'!$BM$87</f>
        <v>51625</v>
      </c>
      <c r="AA16" s="916">
        <f t="shared" si="6"/>
        <v>3.5</v>
      </c>
      <c r="AB16" s="463"/>
      <c r="AC16" s="465">
        <f>'ANALYSE - ERP =&gt; SOUS-SEGMENT'!$Q$87</f>
        <v>1</v>
      </c>
    </row>
    <row r="17" spans="1:29" ht="15" customHeight="1">
      <c r="A17" s="26">
        <v>14</v>
      </c>
      <c r="B17" s="26">
        <v>13</v>
      </c>
      <c r="C17" s="422">
        <f>'ANALYSE - ERP =&gt; SOUS-SEGMENT'!$A$68</f>
        <v>61</v>
      </c>
      <c r="D17" s="414" t="str">
        <f>'ANALYSE - ERP =&gt; SOUS-SEGMENT'!$B$68</f>
        <v>Culture, Patrimoine &amp; Evénementiel</v>
      </c>
      <c r="E17" s="414" t="str">
        <f>'ANALYSE - ERP =&gt; SOUS-SEGMENT'!$C$68</f>
        <v>Culture / spectacle</v>
      </c>
      <c r="F17" s="414" t="str">
        <f>'ANALYSE - ERP =&gt; SOUS-SEGMENT'!$D$68</f>
        <v>Bibliothèques / Médiathèques</v>
      </c>
      <c r="H17" s="427">
        <f>'ANALYSE - ERP =&gt; SOUS-SEGMENT'!$AF$68</f>
        <v>15500</v>
      </c>
      <c r="I17" s="427">
        <f>'ANALYSE - ERP =&gt; SOUS-SEGMENT'!$AK$68</f>
        <v>15250</v>
      </c>
      <c r="K17" s="427">
        <f t="shared" si="0"/>
        <v>-250</v>
      </c>
      <c r="L17" s="787">
        <f t="shared" si="1"/>
        <v>-3.24682181139202E-3</v>
      </c>
      <c r="N17" s="970">
        <f>'ANALYSE - ERP =&gt; SOUS-SEGMENT'!$BJ$68+'ANALYSE - ERP =&gt; SOUS-SEGMENT'!$BK$68+'ANALYSE - ERP =&gt; SOUS-SEGMENT'!$BL$68+'ANALYSE - ERP =&gt; SOUS-SEGMENT'!$BM$68</f>
        <v>137250</v>
      </c>
      <c r="O17" s="916">
        <f t="shared" si="2"/>
        <v>9</v>
      </c>
      <c r="P17" s="463"/>
      <c r="Q17" s="970">
        <f>'ANALYSE - ERP =&gt; SOUS-SEGMENT'!$BJ$68</f>
        <v>61000</v>
      </c>
      <c r="R17" s="916">
        <f t="shared" si="3"/>
        <v>4</v>
      </c>
      <c r="S17" s="463"/>
      <c r="T17" s="970">
        <f>'ANALYSE - ERP =&gt; SOUS-SEGMENT'!$BK$68</f>
        <v>0</v>
      </c>
      <c r="U17" s="916">
        <f t="shared" si="4"/>
        <v>0</v>
      </c>
      <c r="V17" s="463"/>
      <c r="W17" s="970">
        <f>'ANALYSE - ERP =&gt; SOUS-SEGMENT'!$BL$68</f>
        <v>15250</v>
      </c>
      <c r="X17" s="916">
        <f t="shared" si="5"/>
        <v>1</v>
      </c>
      <c r="Y17" s="456"/>
      <c r="Z17" s="970">
        <f>'ANALYSE - ERP =&gt; SOUS-SEGMENT'!$BM$68</f>
        <v>61000</v>
      </c>
      <c r="AA17" s="916">
        <f t="shared" si="6"/>
        <v>4</v>
      </c>
      <c r="AB17" s="463"/>
      <c r="AC17" s="465">
        <f>'ANALYSE - ERP =&gt; SOUS-SEGMENT'!$Q$68</f>
        <v>1</v>
      </c>
    </row>
    <row r="18" spans="1:29" ht="15" customHeight="1">
      <c r="A18" s="26">
        <v>15</v>
      </c>
      <c r="B18" s="26">
        <v>15</v>
      </c>
      <c r="C18" s="422">
        <f>'ANALYSE - ERP =&gt; SOUS-SEGMENT'!$A$22</f>
        <v>15</v>
      </c>
      <c r="D18" s="410" t="str">
        <f>'ANALYSE - ERP =&gt; SOUS-SEGMENT'!$B$22</f>
        <v>Sports &amp; Loisirs</v>
      </c>
      <c r="E18" s="410" t="str">
        <f>'ANALYSE - ERP =&gt; SOUS-SEGMENT'!$C$22</f>
        <v>Sport couvert / Thermalisme / Bien-être</v>
      </c>
      <c r="F18" s="410" t="str">
        <f>'ANALYSE - ERP =&gt; SOUS-SEGMENT'!$D$22</f>
        <v>Salles de fitness / dojos</v>
      </c>
      <c r="H18" s="427">
        <f>'ANALYSE - ERP =&gt; SOUS-SEGMENT'!$AF$22</f>
        <v>12120</v>
      </c>
      <c r="I18" s="427">
        <f>'ANALYSE - ERP =&gt; SOUS-SEGMENT'!$AK$22</f>
        <v>12738</v>
      </c>
      <c r="K18" s="427">
        <f t="shared" si="0"/>
        <v>618</v>
      </c>
      <c r="L18" s="787">
        <f t="shared" si="1"/>
        <v>9.9961654497964236E-3</v>
      </c>
      <c r="N18" s="970">
        <f>'ANALYSE - ERP =&gt; SOUS-SEGMENT'!$BJ$22+'ANALYSE - ERP =&gt; SOUS-SEGMENT'!$BK$22+'ANALYSE - ERP =&gt; SOUS-SEGMENT'!$BL$22+'ANALYSE - ERP =&gt; SOUS-SEGMENT'!$BM$22</f>
        <v>267498</v>
      </c>
      <c r="O18" s="916">
        <f t="shared" si="2"/>
        <v>21</v>
      </c>
      <c r="P18" s="463"/>
      <c r="Q18" s="970">
        <f>'ANALYSE - ERP =&gt; SOUS-SEGMENT'!$BJ$22</f>
        <v>101904</v>
      </c>
      <c r="R18" s="916">
        <f t="shared" si="3"/>
        <v>8</v>
      </c>
      <c r="S18" s="463"/>
      <c r="T18" s="970">
        <f>'ANALYSE - ERP =&gt; SOUS-SEGMENT'!$BK$22</f>
        <v>89166</v>
      </c>
      <c r="U18" s="916">
        <f t="shared" si="4"/>
        <v>7</v>
      </c>
      <c r="V18" s="463"/>
      <c r="W18" s="970">
        <f>'ANALYSE - ERP =&gt; SOUS-SEGMENT'!$BL$22</f>
        <v>12738</v>
      </c>
      <c r="X18" s="916">
        <f t="shared" si="5"/>
        <v>1</v>
      </c>
      <c r="Y18" s="456"/>
      <c r="Z18" s="970">
        <f>'ANALYSE - ERP =&gt; SOUS-SEGMENT'!$BM$22</f>
        <v>63690</v>
      </c>
      <c r="AA18" s="916">
        <f t="shared" si="6"/>
        <v>5</v>
      </c>
      <c r="AB18" s="463"/>
      <c r="AC18" s="465">
        <f>'ANALYSE - ERP =&gt; SOUS-SEGMENT'!$Q$22</f>
        <v>1</v>
      </c>
    </row>
    <row r="19" spans="1:29" ht="15" customHeight="1">
      <c r="A19" s="26">
        <v>16</v>
      </c>
      <c r="B19" s="26">
        <v>16</v>
      </c>
      <c r="C19" s="422">
        <f>'ANALYSE - ERP =&gt; SOUS-SEGMENT'!$A$35</f>
        <v>28</v>
      </c>
      <c r="D19" s="411" t="str">
        <f>'ANALYSE - ERP =&gt; SOUS-SEGMENT'!$B$35</f>
        <v>Sports &amp; Loisirs</v>
      </c>
      <c r="E19" s="411" t="str">
        <f>'ANALYSE - ERP =&gt; SOUS-SEGMENT'!$C$35</f>
        <v>Loisirs de plein air</v>
      </c>
      <c r="F19" s="411" t="str">
        <f>'ANALYSE - ERP =&gt; SOUS-SEGMENT'!$D$35</f>
        <v>Centres de loisirs sans hébergement</v>
      </c>
      <c r="H19" s="427">
        <f>'ANALYSE - ERP =&gt; SOUS-SEGMENT'!$AF$35</f>
        <v>12000</v>
      </c>
      <c r="I19" s="427">
        <f>'ANALYSE - ERP =&gt; SOUS-SEGMENT'!$AK$35</f>
        <v>12000</v>
      </c>
      <c r="K19" s="427">
        <f t="shared" si="0"/>
        <v>0</v>
      </c>
      <c r="L19" s="787">
        <f t="shared" si="1"/>
        <v>0</v>
      </c>
      <c r="N19" s="970">
        <f>'ANALYSE - ERP =&gt; SOUS-SEGMENT'!$BJ$35+'ANALYSE - ERP =&gt; SOUS-SEGMENT'!$BK$35+'ANALYSE - ERP =&gt; SOUS-SEGMENT'!$BL$35+'ANALYSE - ERP =&gt; SOUS-SEGMENT'!$BM$35</f>
        <v>204000</v>
      </c>
      <c r="O19" s="916">
        <f t="shared" si="2"/>
        <v>17</v>
      </c>
      <c r="P19" s="463"/>
      <c r="Q19" s="970">
        <f>'ANALYSE - ERP =&gt; SOUS-SEGMENT'!$BJ$35</f>
        <v>96000</v>
      </c>
      <c r="R19" s="916">
        <f t="shared" si="3"/>
        <v>8</v>
      </c>
      <c r="S19" s="463"/>
      <c r="T19" s="970">
        <f>'ANALYSE - ERP =&gt; SOUS-SEGMENT'!$BK$35</f>
        <v>6000</v>
      </c>
      <c r="U19" s="916">
        <f t="shared" si="4"/>
        <v>0.5</v>
      </c>
      <c r="V19" s="463"/>
      <c r="W19" s="970">
        <f>'ANALYSE - ERP =&gt; SOUS-SEGMENT'!$BL$35</f>
        <v>18000</v>
      </c>
      <c r="X19" s="916">
        <f t="shared" si="5"/>
        <v>1.5</v>
      </c>
      <c r="Y19" s="456"/>
      <c r="Z19" s="970">
        <f>'ANALYSE - ERP =&gt; SOUS-SEGMENT'!$BM$35</f>
        <v>84000</v>
      </c>
      <c r="AA19" s="916">
        <f t="shared" si="6"/>
        <v>7</v>
      </c>
      <c r="AB19" s="463"/>
      <c r="AC19" s="465">
        <f>'ANALYSE - ERP =&gt; SOUS-SEGMENT'!$Q$35</f>
        <v>1</v>
      </c>
    </row>
    <row r="20" spans="1:29" ht="15" customHeight="1">
      <c r="A20" s="26">
        <v>17</v>
      </c>
      <c r="B20" s="26">
        <v>17</v>
      </c>
      <c r="C20" s="422">
        <f>'ANALYSE - ERP =&gt; SOUS-SEGMENT'!$A$120</f>
        <v>113</v>
      </c>
      <c r="D20" s="415" t="str">
        <f>'ANALYSE - ERP =&gt; SOUS-SEGMENT'!$B$120</f>
        <v>Culte, Vie civique &amp; Services publics</v>
      </c>
      <c r="E20" s="415" t="str">
        <f>'ANALYSE - ERP =&gt; SOUS-SEGMENT'!$C$120</f>
        <v>Vie associative</v>
      </c>
      <c r="F20" s="415" t="str">
        <f>'ANALYSE - ERP =&gt; SOUS-SEGMENT'!$D$120</f>
        <v>Locaux associatifs recevant du public (dotés de sanitaires)</v>
      </c>
      <c r="H20" s="427">
        <f>'ANALYSE - ERP =&gt; SOUS-SEGMENT'!$AF$120</f>
        <v>5560</v>
      </c>
      <c r="I20" s="427">
        <f>'ANALYSE - ERP =&gt; SOUS-SEGMENT'!$AK$120</f>
        <v>5720</v>
      </c>
      <c r="K20" s="427">
        <f t="shared" si="0"/>
        <v>160</v>
      </c>
      <c r="L20" s="787">
        <f t="shared" si="1"/>
        <v>5.690267845492869E-3</v>
      </c>
      <c r="N20" s="970">
        <f>'ANALYSE - ERP =&gt; SOUS-SEGMENT'!$BJ$120+'ANALYSE - ERP =&gt; SOUS-SEGMENT'!$BK$120+'ANALYSE - ERP =&gt; SOUS-SEGMENT'!$BL$120+'ANALYSE - ERP =&gt; SOUS-SEGMENT'!$BM$120</f>
        <v>37180</v>
      </c>
      <c r="O20" s="916">
        <f t="shared" si="2"/>
        <v>6.5</v>
      </c>
      <c r="P20" s="463"/>
      <c r="Q20" s="970">
        <f>'ANALYSE - ERP =&gt; SOUS-SEGMENT'!$BJ$120</f>
        <v>17160</v>
      </c>
      <c r="R20" s="916">
        <f t="shared" si="3"/>
        <v>3</v>
      </c>
      <c r="S20" s="463"/>
      <c r="T20" s="970">
        <f>'ANALYSE - ERP =&gt; SOUS-SEGMENT'!$BK$120</f>
        <v>0</v>
      </c>
      <c r="U20" s="916">
        <f t="shared" si="4"/>
        <v>0</v>
      </c>
      <c r="V20" s="463"/>
      <c r="W20" s="970">
        <f>'ANALYSE - ERP =&gt; SOUS-SEGMENT'!$BL$120</f>
        <v>2860</v>
      </c>
      <c r="X20" s="916">
        <f t="shared" si="5"/>
        <v>0.5</v>
      </c>
      <c r="Y20" s="456"/>
      <c r="Z20" s="970">
        <f>'ANALYSE - ERP =&gt; SOUS-SEGMENT'!$BM$120</f>
        <v>17160</v>
      </c>
      <c r="AA20" s="916">
        <f t="shared" si="6"/>
        <v>3</v>
      </c>
      <c r="AB20" s="463"/>
      <c r="AC20" s="465">
        <f>'ANALYSE - ERP =&gt; SOUS-SEGMENT'!$Q$120</f>
        <v>1</v>
      </c>
    </row>
    <row r="21" spans="1:29" ht="15" customHeight="1">
      <c r="A21" s="26">
        <v>18</v>
      </c>
      <c r="B21" s="26">
        <v>18</v>
      </c>
      <c r="C21" s="422">
        <f>'ANALYSE - ERP =&gt; SOUS-SEGMENT'!$A$84</f>
        <v>77</v>
      </c>
      <c r="D21" s="416" t="str">
        <f>'ANALYSE - ERP =&gt; SOUS-SEGMENT'!$B$84</f>
        <v>Tertiaire &amp; Industriel</v>
      </c>
      <c r="E21" s="416" t="str">
        <f>'ANALYSE - ERP =&gt; SOUS-SEGMENT'!$C$84</f>
        <v>Usines &amp; Ateliers</v>
      </c>
      <c r="F21" s="416" t="str">
        <f>'ANALYSE - ERP =&gt; SOUS-SEGMENT'!$D$84</f>
        <v>Usines 
(&gt;50 salariés)
(Hors Ateliers industriels)</v>
      </c>
      <c r="H21" s="427">
        <f>'ANALYSE - ERP =&gt; SOUS-SEGMENT'!$AF$84</f>
        <v>8700</v>
      </c>
      <c r="I21" s="427">
        <f>'ANALYSE - ERP =&gt; SOUS-SEGMENT'!$AK$84</f>
        <v>9050</v>
      </c>
      <c r="K21" s="427">
        <f t="shared" si="0"/>
        <v>350</v>
      </c>
      <c r="L21" s="787">
        <f t="shared" si="1"/>
        <v>7.9195413864474595E-3</v>
      </c>
      <c r="N21" s="970">
        <f>'ANALYSE - ERP =&gt; SOUS-SEGMENT'!$BJ$84+'ANALYSE - ERP =&gt; SOUS-SEGMENT'!$BK$84+'ANALYSE - ERP =&gt; SOUS-SEGMENT'!$BL$84+'ANALYSE - ERP =&gt; SOUS-SEGMENT'!$BM$84</f>
        <v>502275</v>
      </c>
      <c r="O21" s="916">
        <f t="shared" si="2"/>
        <v>55.5</v>
      </c>
      <c r="P21" s="463"/>
      <c r="Q21" s="970">
        <f>'ANALYSE - ERP =&gt; SOUS-SEGMENT'!$BJ$84</f>
        <v>226250</v>
      </c>
      <c r="R21" s="916">
        <f t="shared" si="3"/>
        <v>25</v>
      </c>
      <c r="S21" s="463"/>
      <c r="T21" s="970">
        <f>'ANALYSE - ERP =&gt; SOUS-SEGMENT'!$BK$84</f>
        <v>72400</v>
      </c>
      <c r="U21" s="916">
        <f t="shared" si="4"/>
        <v>8</v>
      </c>
      <c r="V21" s="463"/>
      <c r="W21" s="970">
        <f>'ANALYSE - ERP =&gt; SOUS-SEGMENT'!$BL$84</f>
        <v>49775</v>
      </c>
      <c r="X21" s="916">
        <f t="shared" si="5"/>
        <v>5.5</v>
      </c>
      <c r="Y21" s="456"/>
      <c r="Z21" s="970">
        <f>'ANALYSE - ERP =&gt; SOUS-SEGMENT'!$BM$84</f>
        <v>153850</v>
      </c>
      <c r="AA21" s="916">
        <f t="shared" si="6"/>
        <v>17</v>
      </c>
      <c r="AB21" s="463"/>
      <c r="AC21" s="465">
        <f>'ANALYSE - ERP =&gt; SOUS-SEGMENT'!$Q$84</f>
        <v>1</v>
      </c>
    </row>
    <row r="22" spans="1:29" ht="15" customHeight="1">
      <c r="A22" s="26">
        <v>19</v>
      </c>
      <c r="B22" s="26">
        <v>19</v>
      </c>
      <c r="C22" s="422">
        <f>'ANALYSE - ERP =&gt; SOUS-SEGMENT'!$A$150</f>
        <v>143</v>
      </c>
      <c r="D22" s="418" t="str">
        <f>'ANALYSE - ERP =&gt; SOUS-SEGMENT'!$B$150</f>
        <v>Sanitaires Publics</v>
      </c>
      <c r="E22" s="418" t="str">
        <f>'ANALYSE - ERP =&gt; SOUS-SEGMENT'!$C$150</f>
        <v>Sanitaires publics</v>
      </c>
      <c r="F22" s="418" t="str">
        <f>'ANALYSE - ERP =&gt; SOUS-SEGMENT'!$D$150</f>
        <v>Toilettes publiques (sur la voie publique)</v>
      </c>
      <c r="H22" s="427">
        <f>'ANALYSE - ERP =&gt; SOUS-SEGMENT'!$AF$150</f>
        <v>15000</v>
      </c>
      <c r="I22" s="427">
        <f>'ANALYSE - ERP =&gt; SOUS-SEGMENT'!$AK$150</f>
        <v>15500</v>
      </c>
      <c r="K22" s="427">
        <f t="shared" si="0"/>
        <v>500</v>
      </c>
      <c r="L22" s="787">
        <f t="shared" si="1"/>
        <v>6.5795150976679651E-3</v>
      </c>
      <c r="N22" s="970">
        <f>'ANALYSE - ERP =&gt; SOUS-SEGMENT'!$BJ$150+'ANALYSE - ERP =&gt; SOUS-SEGMENT'!$BK$150+'ANALYSE - ERP =&gt; SOUS-SEGMENT'!$BL$150+'ANALYSE - ERP =&gt; SOUS-SEGMENT'!$BM$150</f>
        <v>38750</v>
      </c>
      <c r="O22" s="916">
        <f t="shared" si="2"/>
        <v>2.5</v>
      </c>
      <c r="P22" s="463"/>
      <c r="Q22" s="970">
        <f>'ANALYSE - ERP =&gt; SOUS-SEGMENT'!$BJ$150</f>
        <v>15500</v>
      </c>
      <c r="R22" s="916">
        <f t="shared" si="3"/>
        <v>1</v>
      </c>
      <c r="S22" s="463"/>
      <c r="T22" s="970">
        <f>'ANALYSE - ERP =&gt; SOUS-SEGMENT'!$BK$150</f>
        <v>0</v>
      </c>
      <c r="U22" s="916">
        <f t="shared" si="4"/>
        <v>0</v>
      </c>
      <c r="V22" s="463"/>
      <c r="W22" s="970">
        <f>'ANALYSE - ERP =&gt; SOUS-SEGMENT'!$BL$150</f>
        <v>7750</v>
      </c>
      <c r="X22" s="916">
        <f t="shared" si="5"/>
        <v>0.5</v>
      </c>
      <c r="Y22" s="456"/>
      <c r="Z22" s="970">
        <f>'ANALYSE - ERP =&gt; SOUS-SEGMENT'!$BM$150</f>
        <v>15500</v>
      </c>
      <c r="AA22" s="916">
        <f t="shared" si="6"/>
        <v>1</v>
      </c>
      <c r="AB22" s="463"/>
      <c r="AC22" s="465">
        <f>'ANALYSE - ERP =&gt; SOUS-SEGMENT'!$Q$150</f>
        <v>1</v>
      </c>
    </row>
    <row r="23" spans="1:29" ht="15" customHeight="1">
      <c r="A23" s="26">
        <v>20</v>
      </c>
      <c r="B23" s="26">
        <v>21</v>
      </c>
      <c r="C23" s="422">
        <f>'ANALYSE - ERP =&gt; SOUS-SEGMENT'!$A$29</f>
        <v>22</v>
      </c>
      <c r="D23" s="410" t="str">
        <f>'ANALYSE - ERP =&gt; SOUS-SEGMENT'!$B$29</f>
        <v>Sports &amp; Loisirs</v>
      </c>
      <c r="E23" s="410" t="str">
        <f>'ANALYSE - ERP =&gt; SOUS-SEGMENT'!$C$29</f>
        <v>Sport de plein air</v>
      </c>
      <c r="F23" s="410" t="str">
        <f>'ANALYSE - ERP =&gt; SOUS-SEGMENT'!$D$29</f>
        <v xml:space="preserve">Grands stades avec tribunes
(Type football/rugby) </v>
      </c>
      <c r="H23" s="427">
        <f>'ANALYSE - ERP =&gt; SOUS-SEGMENT'!$AF$29</f>
        <v>230</v>
      </c>
      <c r="I23" s="427">
        <f>'ANALYSE - ERP =&gt; SOUS-SEGMENT'!$AK$29</f>
        <v>235</v>
      </c>
      <c r="K23" s="427">
        <f t="shared" si="0"/>
        <v>5</v>
      </c>
      <c r="L23" s="787">
        <f t="shared" si="1"/>
        <v>4.3105046583700179E-3</v>
      </c>
      <c r="N23" s="970">
        <f>'ANALYSE - ERP =&gt; SOUS-SEGMENT'!$BJ$29+'ANALYSE - ERP =&gt; SOUS-SEGMENT'!$BK$29+'ANALYSE - ERP =&gt; SOUS-SEGMENT'!$BL$29+'ANALYSE - ERP =&gt; SOUS-SEGMENT'!$BM$29</f>
        <v>82485</v>
      </c>
      <c r="O23" s="916">
        <f t="shared" si="2"/>
        <v>351</v>
      </c>
      <c r="P23" s="463"/>
      <c r="Q23" s="970">
        <f>'ANALYSE - ERP =&gt; SOUS-SEGMENT'!$BJ$29</f>
        <v>27025</v>
      </c>
      <c r="R23" s="916">
        <f t="shared" si="3"/>
        <v>115</v>
      </c>
      <c r="S23" s="463"/>
      <c r="T23" s="970">
        <f>'ANALYSE - ERP =&gt; SOUS-SEGMENT'!$BK$29</f>
        <v>8460</v>
      </c>
      <c r="U23" s="916">
        <f t="shared" si="4"/>
        <v>36</v>
      </c>
      <c r="V23" s="463"/>
      <c r="W23" s="970">
        <f>'ANALYSE - ERP =&gt; SOUS-SEGMENT'!$BL$29</f>
        <v>18800</v>
      </c>
      <c r="X23" s="916">
        <f t="shared" si="5"/>
        <v>80</v>
      </c>
      <c r="Y23" s="456"/>
      <c r="Z23" s="970">
        <f>'ANALYSE - ERP =&gt; SOUS-SEGMENT'!$BM$29</f>
        <v>28200</v>
      </c>
      <c r="AA23" s="916">
        <f t="shared" si="6"/>
        <v>120</v>
      </c>
      <c r="AB23" s="463"/>
      <c r="AC23" s="465">
        <f>'ANALYSE - ERP =&gt; SOUS-SEGMENT'!$Q$29</f>
        <v>1</v>
      </c>
    </row>
    <row r="24" spans="1:29" ht="15" customHeight="1">
      <c r="A24" s="26">
        <v>21</v>
      </c>
      <c r="B24" s="26">
        <v>23</v>
      </c>
      <c r="C24" s="422">
        <f>'ANALYSE - ERP =&gt; SOUS-SEGMENT'!$A$28</f>
        <v>21</v>
      </c>
      <c r="D24" s="410" t="str">
        <f>'ANALYSE - ERP =&gt; SOUS-SEGMENT'!$B$28</f>
        <v>Sports &amp; Loisirs</v>
      </c>
      <c r="E24" s="410" t="str">
        <f>'ANALYSE - ERP =&gt; SOUS-SEGMENT'!$C$28</f>
        <v>Sport de plein air</v>
      </c>
      <c r="F24" s="410" t="str">
        <f>'ANALYSE - ERP =&gt; SOUS-SEGMENT'!$D$28</f>
        <v>Stades avec tribunes
(Hors grands stades, hors terrains sport)</v>
      </c>
      <c r="H24" s="427">
        <f>'ANALYSE - ERP =&gt; SOUS-SEGMENT'!$AF$28</f>
        <v>2220</v>
      </c>
      <c r="I24" s="427">
        <f>'ANALYSE - ERP =&gt; SOUS-SEGMENT'!$AK$28</f>
        <v>2275</v>
      </c>
      <c r="K24" s="427">
        <f t="shared" si="0"/>
        <v>55</v>
      </c>
      <c r="L24" s="787">
        <f t="shared" si="1"/>
        <v>4.9065692848733189E-3</v>
      </c>
      <c r="N24" s="970">
        <f>'ANALYSE - ERP =&gt; SOUS-SEGMENT'!$BJ$28+'ANALYSE - ERP =&gt; SOUS-SEGMENT'!$BK$28+'ANALYSE - ERP =&gt; SOUS-SEGMENT'!$BL$28+'ANALYSE - ERP =&gt; SOUS-SEGMENT'!$BM$28</f>
        <v>77350</v>
      </c>
      <c r="O24" s="916">
        <f t="shared" si="2"/>
        <v>34</v>
      </c>
      <c r="P24" s="463"/>
      <c r="Q24" s="970">
        <f>'ANALYSE - ERP =&gt; SOUS-SEGMENT'!$BJ$28</f>
        <v>22750</v>
      </c>
      <c r="R24" s="916">
        <f t="shared" si="3"/>
        <v>10</v>
      </c>
      <c r="S24" s="463"/>
      <c r="T24" s="970">
        <f>'ANALYSE - ERP =&gt; SOUS-SEGMENT'!$BK$28</f>
        <v>27300</v>
      </c>
      <c r="U24" s="916">
        <f t="shared" si="4"/>
        <v>12</v>
      </c>
      <c r="V24" s="463"/>
      <c r="W24" s="970">
        <f>'ANALYSE - ERP =&gt; SOUS-SEGMENT'!$BL$28</f>
        <v>6825</v>
      </c>
      <c r="X24" s="916">
        <f t="shared" si="5"/>
        <v>3</v>
      </c>
      <c r="Y24" s="456"/>
      <c r="Z24" s="970">
        <f>'ANALYSE - ERP =&gt; SOUS-SEGMENT'!$BM$28</f>
        <v>20475</v>
      </c>
      <c r="AA24" s="916">
        <f t="shared" si="6"/>
        <v>9</v>
      </c>
      <c r="AB24" s="463"/>
      <c r="AC24" s="465">
        <f>'ANALYSE - ERP =&gt; SOUS-SEGMENT'!$Q$28</f>
        <v>1</v>
      </c>
    </row>
    <row r="25" spans="1:29" ht="15" customHeight="1">
      <c r="A25" s="26">
        <v>22</v>
      </c>
      <c r="B25" s="26">
        <v>20</v>
      </c>
      <c r="C25" s="422">
        <f>'ANALYSE - ERP =&gt; SOUS-SEGMENT'!$A$13</f>
        <v>6</v>
      </c>
      <c r="D25" s="411" t="str">
        <f>'ANALYSE - ERP =&gt; SOUS-SEGMENT'!$B$13</f>
        <v>Enfance, Enseignement, Jeunesse &amp; Formation</v>
      </c>
      <c r="E25" s="411" t="str">
        <f>'ANALYSE - ERP =&gt; SOUS-SEGMENT'!$C$13</f>
        <v>Enseignement scolaire</v>
      </c>
      <c r="F25" s="411" t="str">
        <f>'ANALYSE - ERP =&gt; SOUS-SEGMENT'!$D$13</f>
        <v>Collèges
(vestiaires EPS inclus)</v>
      </c>
      <c r="H25" s="427">
        <f>'ANALYSE - ERP =&gt; SOUS-SEGMENT'!$AF$13</f>
        <v>7509</v>
      </c>
      <c r="I25" s="427">
        <f>'ANALYSE - ERP =&gt; SOUS-SEGMENT'!$AK$13</f>
        <v>7495</v>
      </c>
      <c r="K25" s="427">
        <f t="shared" si="0"/>
        <v>-14</v>
      </c>
      <c r="L25" s="787">
        <f t="shared" si="1"/>
        <v>-3.7316426952505033E-4</v>
      </c>
      <c r="N25" s="970">
        <f>'ANALYSE - ERP =&gt; SOUS-SEGMENT'!$BJ$13+'ANALYSE - ERP =&gt; SOUS-SEGMENT'!$BK$13+'ANALYSE - ERP =&gt; SOUS-SEGMENT'!$BL$13+'ANALYSE - ERP =&gt; SOUS-SEGMENT'!$BM$13</f>
        <v>475932.5</v>
      </c>
      <c r="O25" s="916">
        <f t="shared" si="2"/>
        <v>63.5</v>
      </c>
      <c r="P25" s="463"/>
      <c r="Q25" s="970">
        <f>'ANALYSE - ERP =&gt; SOUS-SEGMENT'!$BJ$13</f>
        <v>194870</v>
      </c>
      <c r="R25" s="916">
        <f t="shared" si="3"/>
        <v>26</v>
      </c>
      <c r="S25" s="463"/>
      <c r="T25" s="970">
        <f>'ANALYSE - ERP =&gt; SOUS-SEGMENT'!$BK$13</f>
        <v>56212.5</v>
      </c>
      <c r="U25" s="916">
        <f t="shared" si="4"/>
        <v>7.5</v>
      </c>
      <c r="V25" s="463"/>
      <c r="W25" s="970">
        <f>'ANALYSE - ERP =&gt; SOUS-SEGMENT'!$BL$13</f>
        <v>74950</v>
      </c>
      <c r="X25" s="916">
        <f t="shared" si="5"/>
        <v>10</v>
      </c>
      <c r="Y25" s="456"/>
      <c r="Z25" s="970">
        <f>'ANALYSE - ERP =&gt; SOUS-SEGMENT'!$BM$13</f>
        <v>149900</v>
      </c>
      <c r="AA25" s="916">
        <f t="shared" si="6"/>
        <v>20</v>
      </c>
      <c r="AB25" s="463"/>
      <c r="AC25" s="465">
        <f>'ANALYSE - ERP =&gt; SOUS-SEGMENT'!$Q$13</f>
        <v>1</v>
      </c>
    </row>
    <row r="26" spans="1:29" ht="15" customHeight="1">
      <c r="A26" s="26">
        <v>23</v>
      </c>
      <c r="B26" s="26">
        <v>22</v>
      </c>
      <c r="C26" s="422">
        <f>'ANALYSE - ERP =&gt; SOUS-SEGMENT'!$A$58</f>
        <v>51</v>
      </c>
      <c r="D26" s="409" t="str">
        <f>'ANALYSE - ERP =&gt; SOUS-SEGMENT'!$B$58</f>
        <v>Santé &amp; Médico-social</v>
      </c>
      <c r="E26" s="409" t="str">
        <f>'ANALYSE - ERP =&gt; SOUS-SEGMENT'!$C$58</f>
        <v>Médico-social</v>
      </c>
      <c r="F26" s="409" t="str">
        <f>'ANALYSE - ERP =&gt; SOUS-SEGMENT'!$D$58</f>
        <v>EHPAD</v>
      </c>
      <c r="H26" s="427">
        <f>'ANALYSE - ERP =&gt; SOUS-SEGMENT'!$AF$58</f>
        <v>7385</v>
      </c>
      <c r="I26" s="427">
        <f>'ANALYSE - ERP =&gt; SOUS-SEGMENT'!$AK$58</f>
        <v>7310</v>
      </c>
      <c r="K26" s="427">
        <f t="shared" si="0"/>
        <v>-75</v>
      </c>
      <c r="L26" s="787">
        <f t="shared" si="1"/>
        <v>-2.0394459425400191E-3</v>
      </c>
      <c r="N26" s="970">
        <f>'ANALYSE - ERP =&gt; SOUS-SEGMENT'!$BJ$58+'ANALYSE - ERP =&gt; SOUS-SEGMENT'!$BK$58+'ANALYSE - ERP =&gt; SOUS-SEGMENT'!$BL$58+'ANALYSE - ERP =&gt; SOUS-SEGMENT'!$BM$58</f>
        <v>1198840</v>
      </c>
      <c r="O26" s="916">
        <f t="shared" si="2"/>
        <v>164</v>
      </c>
      <c r="P26" s="463"/>
      <c r="Q26" s="970">
        <f>'ANALYSE - ERP =&gt; SOUS-SEGMENT'!$BJ$58</f>
        <v>504390</v>
      </c>
      <c r="R26" s="916">
        <f t="shared" si="3"/>
        <v>69</v>
      </c>
      <c r="S26" s="463"/>
      <c r="T26" s="970">
        <f>'ANALYSE - ERP =&gt; SOUS-SEGMENT'!$BK$58</f>
        <v>190060</v>
      </c>
      <c r="U26" s="916">
        <f t="shared" si="4"/>
        <v>26</v>
      </c>
      <c r="V26" s="463"/>
      <c r="W26" s="970">
        <f>'ANALYSE - ERP =&gt; SOUS-SEGMENT'!$BL$58</f>
        <v>7310</v>
      </c>
      <c r="X26" s="916">
        <f t="shared" si="5"/>
        <v>1</v>
      </c>
      <c r="Y26" s="456"/>
      <c r="Z26" s="970">
        <f>'ANALYSE - ERP =&gt; SOUS-SEGMENT'!$BM$58</f>
        <v>497080</v>
      </c>
      <c r="AA26" s="916">
        <f t="shared" si="6"/>
        <v>68</v>
      </c>
      <c r="AB26" s="463"/>
      <c r="AC26" s="465">
        <f>'ANALYSE - ERP =&gt; SOUS-SEGMENT'!$Q$58</f>
        <v>1</v>
      </c>
    </row>
    <row r="27" spans="1:29" ht="15" customHeight="1">
      <c r="A27" s="26">
        <v>24</v>
      </c>
      <c r="B27" s="26">
        <v>25</v>
      </c>
      <c r="C27" s="422">
        <f>'ANALYSE - ERP =&gt; SOUS-SEGMENT'!$A$56</f>
        <v>49</v>
      </c>
      <c r="D27" s="409" t="str">
        <f>'ANALYSE - ERP =&gt; SOUS-SEGMENT'!$B$56</f>
        <v>Santé &amp; Médico-social</v>
      </c>
      <c r="E27" s="409" t="str">
        <f>'ANALYSE - ERP =&gt; SOUS-SEGMENT'!$C$56</f>
        <v>Médico-social</v>
      </c>
      <c r="F27" s="409" t="str">
        <f>'ANALYSE - ERP =&gt; SOUS-SEGMENT'!$D$56</f>
        <v>Foyers pour personnes handicapées</v>
      </c>
      <c r="H27" s="427">
        <f>'ANALYSE - ERP =&gt; SOUS-SEGMENT'!$AF$56</f>
        <v>4600</v>
      </c>
      <c r="I27" s="427">
        <f>'ANALYSE - ERP =&gt; SOUS-SEGMENT'!$AK$56</f>
        <v>4700</v>
      </c>
      <c r="K27" s="427">
        <f t="shared" si="0"/>
        <v>100</v>
      </c>
      <c r="L27" s="787">
        <f t="shared" si="1"/>
        <v>4.3105046583700179E-3</v>
      </c>
      <c r="N27" s="970">
        <f>'ANALYSE - ERP =&gt; SOUS-SEGMENT'!$BJ$56+'ANALYSE - ERP =&gt; SOUS-SEGMENT'!$BK$56+'ANALYSE - ERP =&gt; SOUS-SEGMENT'!$BL$56+'ANALYSE - ERP =&gt; SOUS-SEGMENT'!$BM$56</f>
        <v>173900</v>
      </c>
      <c r="O27" s="916">
        <f t="shared" si="2"/>
        <v>37</v>
      </c>
      <c r="P27" s="463"/>
      <c r="Q27" s="970">
        <f>'ANALYSE - ERP =&gt; SOUS-SEGMENT'!$BJ$56</f>
        <v>70500</v>
      </c>
      <c r="R27" s="916">
        <f t="shared" si="3"/>
        <v>15</v>
      </c>
      <c r="S27" s="463"/>
      <c r="T27" s="970">
        <f>'ANALYSE - ERP =&gt; SOUS-SEGMENT'!$BK$56</f>
        <v>37600</v>
      </c>
      <c r="U27" s="916">
        <f t="shared" si="4"/>
        <v>8</v>
      </c>
      <c r="V27" s="463"/>
      <c r="W27" s="970">
        <f>'ANALYSE - ERP =&gt; SOUS-SEGMENT'!$BL$56</f>
        <v>4700</v>
      </c>
      <c r="X27" s="916">
        <f t="shared" si="5"/>
        <v>1</v>
      </c>
      <c r="Y27" s="456"/>
      <c r="Z27" s="970">
        <f>'ANALYSE - ERP =&gt; SOUS-SEGMENT'!$BM$56</f>
        <v>61100</v>
      </c>
      <c r="AA27" s="916">
        <f t="shared" si="6"/>
        <v>13</v>
      </c>
      <c r="AB27" s="463"/>
      <c r="AC27" s="465">
        <f>'ANALYSE - ERP =&gt; SOUS-SEGMENT'!$Q$56</f>
        <v>1</v>
      </c>
    </row>
    <row r="28" spans="1:29" ht="15" customHeight="1">
      <c r="A28" s="26">
        <v>25</v>
      </c>
      <c r="B28" s="26">
        <v>24</v>
      </c>
      <c r="C28" s="422">
        <f>'ANALYSE - ERP =&gt; SOUS-SEGMENT'!$A$94</f>
        <v>87</v>
      </c>
      <c r="D28" s="412" t="str">
        <f>'ANALYSE - ERP =&gt; SOUS-SEGMENT'!$B$94</f>
        <v>Hébergement Touristique</v>
      </c>
      <c r="E28" s="412" t="str">
        <f>'ANALYSE - ERP =&gt; SOUS-SEGMENT'!$C$94</f>
        <v>Tourisme de plein air</v>
      </c>
      <c r="F28" s="412" t="str">
        <f>'ANALYSE - ERP =&gt; SOUS-SEGMENT'!$D$94</f>
        <v>Campings</v>
      </c>
      <c r="H28" s="427">
        <f>'ANALYSE - ERP =&gt; SOUS-SEGMENT'!$AF$94</f>
        <v>6585</v>
      </c>
      <c r="I28" s="427">
        <f>'ANALYSE - ERP =&gt; SOUS-SEGMENT'!$AK$94</f>
        <v>6480</v>
      </c>
      <c r="K28" s="427">
        <f t="shared" si="0"/>
        <v>-105</v>
      </c>
      <c r="L28" s="787">
        <f t="shared" si="1"/>
        <v>-3.2096031421501303E-3</v>
      </c>
      <c r="N28" s="970">
        <f>'ANALYSE - ERP =&gt; SOUS-SEGMENT'!$BJ$94+'ANALYSE - ERP =&gt; SOUS-SEGMENT'!$BK$94+'ANALYSE - ERP =&gt; SOUS-SEGMENT'!$BL$94+'ANALYSE - ERP =&gt; SOUS-SEGMENT'!$BM$94</f>
        <v>359640</v>
      </c>
      <c r="O28" s="916">
        <f t="shared" si="2"/>
        <v>55.5</v>
      </c>
      <c r="P28" s="463"/>
      <c r="Q28" s="970">
        <f>'ANALYSE - ERP =&gt; SOUS-SEGMENT'!$BJ$94</f>
        <v>129600</v>
      </c>
      <c r="R28" s="916">
        <f t="shared" si="3"/>
        <v>20</v>
      </c>
      <c r="S28" s="463"/>
      <c r="T28" s="970">
        <f>'ANALYSE - ERP =&gt; SOUS-SEGMENT'!$BK$94</f>
        <v>103680</v>
      </c>
      <c r="U28" s="916">
        <f t="shared" si="4"/>
        <v>16</v>
      </c>
      <c r="V28" s="463"/>
      <c r="W28" s="970">
        <f>'ANALYSE - ERP =&gt; SOUS-SEGMENT'!$BL$94</f>
        <v>22680</v>
      </c>
      <c r="X28" s="916">
        <f t="shared" si="5"/>
        <v>3.5</v>
      </c>
      <c r="Y28" s="456"/>
      <c r="Z28" s="970">
        <f>'ANALYSE - ERP =&gt; SOUS-SEGMENT'!$BM$94</f>
        <v>103680</v>
      </c>
      <c r="AA28" s="916">
        <f t="shared" si="6"/>
        <v>16</v>
      </c>
      <c r="AB28" s="463"/>
      <c r="AC28" s="465">
        <f>'ANALYSE - ERP =&gt; SOUS-SEGMENT'!$Q$94</f>
        <v>1</v>
      </c>
    </row>
    <row r="29" spans="1:29" ht="15" customHeight="1">
      <c r="A29" s="26">
        <v>26</v>
      </c>
      <c r="B29" s="26">
        <v>26</v>
      </c>
      <c r="C29" s="422">
        <f>'ANALYSE - ERP =&gt; SOUS-SEGMENT'!$A$14</f>
        <v>7</v>
      </c>
      <c r="D29" s="411" t="str">
        <f>'ANALYSE - ERP =&gt; SOUS-SEGMENT'!$B$14</f>
        <v>Enfance, Enseignement, Jeunesse &amp; Formation</v>
      </c>
      <c r="E29" s="411" t="str">
        <f>'ANALYSE - ERP =&gt; SOUS-SEGMENT'!$C$14</f>
        <v>Enseignement scolaire</v>
      </c>
      <c r="F29" s="411" t="str">
        <f>'ANALYSE - ERP =&gt; SOUS-SEGMENT'!$D$14</f>
        <v>Lycées
(vestiaires EPS inclus)</v>
      </c>
      <c r="H29" s="427">
        <f>'ANALYSE - ERP =&gt; SOUS-SEGMENT'!$AF$14</f>
        <v>5883</v>
      </c>
      <c r="I29" s="427">
        <f>'ANALYSE - ERP =&gt; SOUS-SEGMENT'!$AK$14</f>
        <v>5868</v>
      </c>
      <c r="K29" s="427">
        <f t="shared" si="0"/>
        <v>-15</v>
      </c>
      <c r="L29" s="787">
        <f t="shared" si="1"/>
        <v>-5.1046478881144886E-4</v>
      </c>
      <c r="N29" s="970">
        <f>'ANALYSE - ERP =&gt; SOUS-SEGMENT'!$BJ$14+'ANALYSE - ERP =&gt; SOUS-SEGMENT'!$BK$14+'ANALYSE - ERP =&gt; SOUS-SEGMENT'!$BL$14+'ANALYSE - ERP =&gt; SOUS-SEGMENT'!$BM$14</f>
        <v>454770</v>
      </c>
      <c r="O29" s="916">
        <f t="shared" si="2"/>
        <v>77.5</v>
      </c>
      <c r="P29" s="463"/>
      <c r="Q29" s="970">
        <f>'ANALYSE - ERP =&gt; SOUS-SEGMENT'!$BJ$14</f>
        <v>187776</v>
      </c>
      <c r="R29" s="916">
        <f t="shared" si="3"/>
        <v>32</v>
      </c>
      <c r="S29" s="463"/>
      <c r="T29" s="970">
        <f>'ANALYSE - ERP =&gt; SOUS-SEGMENT'!$BK$14</f>
        <v>55746</v>
      </c>
      <c r="U29" s="916">
        <f t="shared" si="4"/>
        <v>9.5</v>
      </c>
      <c r="V29" s="463"/>
      <c r="W29" s="970">
        <f>'ANALYSE - ERP =&gt; SOUS-SEGMENT'!$BL$14</f>
        <v>70416</v>
      </c>
      <c r="X29" s="916">
        <f t="shared" si="5"/>
        <v>12</v>
      </c>
      <c r="Y29" s="456"/>
      <c r="Z29" s="970">
        <f>'ANALYSE - ERP =&gt; SOUS-SEGMENT'!$BM$14</f>
        <v>140832</v>
      </c>
      <c r="AA29" s="916">
        <f t="shared" si="6"/>
        <v>24</v>
      </c>
      <c r="AB29" s="463"/>
      <c r="AC29" s="465">
        <f>'ANALYSE - ERP =&gt; SOUS-SEGMENT'!$Q$14</f>
        <v>1</v>
      </c>
    </row>
    <row r="30" spans="1:29" ht="15" customHeight="1">
      <c r="A30" s="26">
        <v>27</v>
      </c>
      <c r="B30" s="26">
        <v>32</v>
      </c>
      <c r="C30" s="422">
        <f>'ANALYSE - ERP =&gt; SOUS-SEGMENT'!$A$54</f>
        <v>47</v>
      </c>
      <c r="D30" s="409" t="str">
        <f>'ANALYSE - ERP =&gt; SOUS-SEGMENT'!$B$54</f>
        <v>Santé &amp; Médico-social</v>
      </c>
      <c r="E30" s="409" t="str">
        <f>'ANALYSE - ERP =&gt; SOUS-SEGMENT'!$C$54</f>
        <v>Santé ambulatoire</v>
      </c>
      <c r="F30" s="409" t="str">
        <f>'ANALYSE - ERP =&gt; SOUS-SEGMENT'!$D$54</f>
        <v>Maisons de santé</v>
      </c>
      <c r="H30" s="427">
        <f>'ANALYSE - ERP =&gt; SOUS-SEGMENT'!$AF$54</f>
        <v>3000</v>
      </c>
      <c r="I30" s="427">
        <f>'ANALYSE - ERP =&gt; SOUS-SEGMENT'!$AK$54</f>
        <v>5000</v>
      </c>
      <c r="K30" s="427">
        <f t="shared" si="0"/>
        <v>2000</v>
      </c>
      <c r="L30" s="787">
        <f t="shared" si="1"/>
        <v>0.10756634324829006</v>
      </c>
      <c r="N30" s="970">
        <f>'ANALYSE - ERP =&gt; SOUS-SEGMENT'!$BJ$54+'ANALYSE - ERP =&gt; SOUS-SEGMENT'!$BK$54+'ANALYSE - ERP =&gt; SOUS-SEGMENT'!$BL$54+'ANALYSE - ERP =&gt; SOUS-SEGMENT'!$BM$54</f>
        <v>32500</v>
      </c>
      <c r="O30" s="916">
        <f t="shared" si="2"/>
        <v>6.5</v>
      </c>
      <c r="P30" s="463"/>
      <c r="Q30" s="970">
        <f>'ANALYSE - ERP =&gt; SOUS-SEGMENT'!$BJ$54</f>
        <v>15000</v>
      </c>
      <c r="R30" s="916">
        <f t="shared" si="3"/>
        <v>3</v>
      </c>
      <c r="S30" s="463"/>
      <c r="T30" s="970">
        <f>'ANALYSE - ERP =&gt; SOUS-SEGMENT'!$BK$54</f>
        <v>0</v>
      </c>
      <c r="U30" s="916">
        <f t="shared" si="4"/>
        <v>0</v>
      </c>
      <c r="V30" s="463"/>
      <c r="W30" s="970">
        <f>'ANALYSE - ERP =&gt; SOUS-SEGMENT'!$BL$54</f>
        <v>2500</v>
      </c>
      <c r="X30" s="916">
        <f t="shared" si="5"/>
        <v>0.5</v>
      </c>
      <c r="Y30" s="456"/>
      <c r="Z30" s="970">
        <f>'ANALYSE - ERP =&gt; SOUS-SEGMENT'!$BM$54</f>
        <v>15000</v>
      </c>
      <c r="AA30" s="916">
        <f t="shared" si="6"/>
        <v>3</v>
      </c>
      <c r="AB30" s="463"/>
      <c r="AC30" s="465">
        <f>'ANALYSE - ERP =&gt; SOUS-SEGMENT'!$Q$54</f>
        <v>1</v>
      </c>
    </row>
    <row r="31" spans="1:29" ht="15" customHeight="1">
      <c r="A31" s="26">
        <v>28</v>
      </c>
      <c r="B31" s="26">
        <v>28</v>
      </c>
      <c r="C31" s="422">
        <f>'ANALYSE - ERP =&gt; SOUS-SEGMENT'!$A$19</f>
        <v>12</v>
      </c>
      <c r="D31" s="411" t="str">
        <f>'ANALYSE - ERP =&gt; SOUS-SEGMENT'!$B$19</f>
        <v>Enfance, Enseignement, Jeunesse &amp; Formation</v>
      </c>
      <c r="E31" s="411" t="str">
        <f>'ANALYSE - ERP =&gt; SOUS-SEGMENT'!$C$19</f>
        <v>Formation</v>
      </c>
      <c r="F31" s="411" t="str">
        <f>'ANALYSE - ERP =&gt; SOUS-SEGMENT'!$D$19</f>
        <v>Centres de formation / CFA</v>
      </c>
      <c r="H31" s="427">
        <f>'ANALYSE - ERP =&gt; SOUS-SEGMENT'!$AF$19</f>
        <v>3780</v>
      </c>
      <c r="I31" s="427">
        <f>'ANALYSE - ERP =&gt; SOUS-SEGMENT'!$AK$19</f>
        <v>4180</v>
      </c>
      <c r="K31" s="427">
        <f t="shared" si="0"/>
        <v>400</v>
      </c>
      <c r="L31" s="787">
        <f t="shared" si="1"/>
        <v>2.0321167038815702E-2</v>
      </c>
      <c r="N31" s="970">
        <f>'ANALYSE - ERP =&gt; SOUS-SEGMENT'!$BJ$19+'ANALYSE - ERP =&gt; SOUS-SEGMENT'!$BK$19+'ANALYSE - ERP =&gt; SOUS-SEGMENT'!$BL$19+'ANALYSE - ERP =&gt; SOUS-SEGMENT'!$BM$19</f>
        <v>238260</v>
      </c>
      <c r="O31" s="916">
        <f t="shared" si="2"/>
        <v>57</v>
      </c>
      <c r="P31" s="463"/>
      <c r="Q31" s="970">
        <f>'ANALYSE - ERP =&gt; SOUS-SEGMENT'!$BJ$19</f>
        <v>100320</v>
      </c>
      <c r="R31" s="916">
        <f t="shared" si="3"/>
        <v>24</v>
      </c>
      <c r="S31" s="463"/>
      <c r="T31" s="970">
        <f>'ANALYSE - ERP =&gt; SOUS-SEGMENT'!$BK$19</f>
        <v>29260</v>
      </c>
      <c r="U31" s="916">
        <f t="shared" si="4"/>
        <v>7</v>
      </c>
      <c r="V31" s="463"/>
      <c r="W31" s="970">
        <f>'ANALYSE - ERP =&gt; SOUS-SEGMENT'!$BL$19</f>
        <v>33440</v>
      </c>
      <c r="X31" s="916">
        <f t="shared" si="5"/>
        <v>8</v>
      </c>
      <c r="Y31" s="456"/>
      <c r="Z31" s="970">
        <f>'ANALYSE - ERP =&gt; SOUS-SEGMENT'!$BM$19</f>
        <v>75240</v>
      </c>
      <c r="AA31" s="916">
        <f t="shared" si="6"/>
        <v>18</v>
      </c>
      <c r="AB31" s="463"/>
      <c r="AC31" s="465">
        <f>'ANALYSE - ERP =&gt; SOUS-SEGMENT'!$Q$19</f>
        <v>1</v>
      </c>
    </row>
    <row r="32" spans="1:29" ht="15" customHeight="1">
      <c r="A32" s="26">
        <v>29</v>
      </c>
      <c r="B32" s="26">
        <v>27</v>
      </c>
      <c r="C32" s="422">
        <f>'ANALYSE - ERP =&gt; SOUS-SEGMENT'!$A$52</f>
        <v>45</v>
      </c>
      <c r="D32" s="409" t="str">
        <f>'ANALYSE - ERP =&gt; SOUS-SEGMENT'!$B$52</f>
        <v>Santé &amp; Médico-social</v>
      </c>
      <c r="E32" s="409" t="str">
        <f>'ANALYSE - ERP =&gt; SOUS-SEGMENT'!$C$52</f>
        <v>Médico-social</v>
      </c>
      <c r="F32" s="409" t="str">
        <f>'ANALYSE - ERP =&gt; SOUS-SEGMENT'!$D$52</f>
        <v>Établissements Médico-éducatifs</v>
      </c>
      <c r="H32" s="427">
        <f>'ANALYSE - ERP =&gt; SOUS-SEGMENT'!$AF$52</f>
        <v>2500</v>
      </c>
      <c r="I32" s="427">
        <f>'ANALYSE - ERP =&gt; SOUS-SEGMENT'!$AK$52</f>
        <v>2550</v>
      </c>
      <c r="K32" s="427">
        <f t="shared" si="0"/>
        <v>50</v>
      </c>
      <c r="L32" s="787">
        <f t="shared" si="1"/>
        <v>3.9683787044291208E-3</v>
      </c>
      <c r="N32" s="970">
        <f>'ANALYSE - ERP =&gt; SOUS-SEGMENT'!$BJ$52+'ANALYSE - ERP =&gt; SOUS-SEGMENT'!$BK$52+'ANALYSE - ERP =&gt; SOUS-SEGMENT'!$BL$52+'ANALYSE - ERP =&gt; SOUS-SEGMENT'!$BM$52</f>
        <v>96900</v>
      </c>
      <c r="O32" s="916">
        <f t="shared" si="2"/>
        <v>38</v>
      </c>
      <c r="P32" s="463"/>
      <c r="Q32" s="970">
        <f>'ANALYSE - ERP =&gt; SOUS-SEGMENT'!$BJ$52</f>
        <v>45900</v>
      </c>
      <c r="R32" s="916">
        <f t="shared" si="3"/>
        <v>18</v>
      </c>
      <c r="S32" s="463"/>
      <c r="T32" s="970">
        <f>'ANALYSE - ERP =&gt; SOUS-SEGMENT'!$BK$52</f>
        <v>12750</v>
      </c>
      <c r="U32" s="916">
        <f t="shared" si="4"/>
        <v>5</v>
      </c>
      <c r="V32" s="463"/>
      <c r="W32" s="970">
        <f>'ANALYSE - ERP =&gt; SOUS-SEGMENT'!$BL$52</f>
        <v>5100</v>
      </c>
      <c r="X32" s="916">
        <f t="shared" si="5"/>
        <v>2</v>
      </c>
      <c r="Y32" s="456"/>
      <c r="Z32" s="970">
        <f>'ANALYSE - ERP =&gt; SOUS-SEGMENT'!$BM$52</f>
        <v>33150</v>
      </c>
      <c r="AA32" s="916">
        <f t="shared" si="6"/>
        <v>13</v>
      </c>
      <c r="AB32" s="463"/>
      <c r="AC32" s="465">
        <f>'ANALYSE - ERP =&gt; SOUS-SEGMENT'!$Q$52</f>
        <v>1</v>
      </c>
    </row>
    <row r="33" spans="1:29" ht="15" customHeight="1">
      <c r="A33" s="26">
        <v>30</v>
      </c>
      <c r="B33" s="26">
        <v>29</v>
      </c>
      <c r="C33" s="422">
        <f>'ANALYSE - ERP =&gt; SOUS-SEGMENT'!$A$66</f>
        <v>59</v>
      </c>
      <c r="D33" s="414" t="str">
        <f>'ANALYSE - ERP =&gt; SOUS-SEGMENT'!$B$66</f>
        <v>Culture, Patrimoine &amp; Evénementiel</v>
      </c>
      <c r="E33" s="414" t="str">
        <f>'ANALYSE - ERP =&gt; SOUS-SEGMENT'!$C$66</f>
        <v>Culture / spectacle</v>
      </c>
      <c r="F33" s="414" t="str">
        <f>'ANALYSE - ERP =&gt; SOUS-SEGMENT'!$D$66</f>
        <v>Salles de conférence / Réunion</v>
      </c>
      <c r="H33" s="427">
        <f>'ANALYSE - ERP =&gt; SOUS-SEGMENT'!$AF$66</f>
        <v>3535</v>
      </c>
      <c r="I33" s="427">
        <f>'ANALYSE - ERP =&gt; SOUS-SEGMENT'!$AK$66</f>
        <v>3715</v>
      </c>
      <c r="K33" s="427">
        <f t="shared" si="0"/>
        <v>180</v>
      </c>
      <c r="L33" s="787">
        <f t="shared" si="1"/>
        <v>9.9825725105366914E-3</v>
      </c>
      <c r="N33" s="970">
        <f>'ANALYSE - ERP =&gt; SOUS-SEGMENT'!$BJ$66+'ANALYSE - ERP =&gt; SOUS-SEGMENT'!$BK$66+'ANALYSE - ERP =&gt; SOUS-SEGMENT'!$BL$66+'ANALYSE - ERP =&gt; SOUS-SEGMENT'!$BM$66</f>
        <v>82101.5</v>
      </c>
      <c r="O33" s="916">
        <f t="shared" si="2"/>
        <v>22.1</v>
      </c>
      <c r="P33" s="463"/>
      <c r="Q33" s="970">
        <f>'ANALYSE - ERP =&gt; SOUS-SEGMENT'!$BJ$66</f>
        <v>44580</v>
      </c>
      <c r="R33" s="916">
        <f t="shared" si="3"/>
        <v>12</v>
      </c>
      <c r="S33" s="463"/>
      <c r="T33" s="970">
        <f>'ANALYSE - ERP =&gt; SOUS-SEGMENT'!$BK$66</f>
        <v>371.5</v>
      </c>
      <c r="U33" s="916">
        <f t="shared" si="4"/>
        <v>0.1</v>
      </c>
      <c r="V33" s="463"/>
      <c r="W33" s="970">
        <f>'ANALYSE - ERP =&gt; SOUS-SEGMENT'!$BL$66</f>
        <v>7430</v>
      </c>
      <c r="X33" s="916">
        <f t="shared" si="5"/>
        <v>2</v>
      </c>
      <c r="Y33" s="456"/>
      <c r="Z33" s="970">
        <f>'ANALYSE - ERP =&gt; SOUS-SEGMENT'!$BM$66</f>
        <v>29720</v>
      </c>
      <c r="AA33" s="916">
        <f t="shared" si="6"/>
        <v>8</v>
      </c>
      <c r="AB33" s="463"/>
      <c r="AC33" s="465">
        <f>'ANALYSE - ERP =&gt; SOUS-SEGMENT'!$Q$66</f>
        <v>1</v>
      </c>
    </row>
    <row r="34" spans="1:29" ht="15" customHeight="1">
      <c r="A34" s="26">
        <v>31</v>
      </c>
      <c r="B34" s="26">
        <v>30</v>
      </c>
      <c r="C34" s="422">
        <f>'ANALYSE - ERP =&gt; SOUS-SEGMENT'!$A$115</f>
        <v>108</v>
      </c>
      <c r="D34" s="415" t="str">
        <f>'ANALYSE - ERP =&gt; SOUS-SEGMENT'!$B$115</f>
        <v>Culte, Vie civique &amp; Services publics</v>
      </c>
      <c r="E34" s="415" t="str">
        <f>'ANALYSE - ERP =&gt; SOUS-SEGMENT'!$C$115</f>
        <v>Culte</v>
      </c>
      <c r="F34" s="415" t="str">
        <f>'ANALYSE - ERP =&gt; SOUS-SEGMENT'!$D$115</f>
        <v>Temples protestants, évangéliques et salles de culte assimilées</v>
      </c>
      <c r="H34" s="427">
        <f>'ANALYSE - ERP =&gt; SOUS-SEGMENT'!$AF$115</f>
        <v>2500</v>
      </c>
      <c r="I34" s="427">
        <f>'ANALYSE - ERP =&gt; SOUS-SEGMENT'!$AK$115</f>
        <v>2650</v>
      </c>
      <c r="K34" s="427">
        <f t="shared" si="0"/>
        <v>150</v>
      </c>
      <c r="L34" s="787">
        <f t="shared" si="1"/>
        <v>1.1721951492754235E-2</v>
      </c>
      <c r="N34" s="970">
        <f>'ANALYSE - ERP =&gt; SOUS-SEGMENT'!$BJ$115+'ANALYSE - ERP =&gt; SOUS-SEGMENT'!$BK$115+'ANALYSE - ERP =&gt; SOUS-SEGMENT'!$BL$115+'ANALYSE - ERP =&gt; SOUS-SEGMENT'!$BM$115</f>
        <v>17225</v>
      </c>
      <c r="O34" s="916">
        <f t="shared" si="2"/>
        <v>6.5</v>
      </c>
      <c r="P34" s="463"/>
      <c r="Q34" s="970">
        <f>'ANALYSE - ERP =&gt; SOUS-SEGMENT'!$BJ$115</f>
        <v>7950</v>
      </c>
      <c r="R34" s="916">
        <f t="shared" si="3"/>
        <v>3</v>
      </c>
      <c r="S34" s="463"/>
      <c r="T34" s="970">
        <f>'ANALYSE - ERP =&gt; SOUS-SEGMENT'!$BK$115</f>
        <v>0</v>
      </c>
      <c r="U34" s="916">
        <f t="shared" si="4"/>
        <v>0</v>
      </c>
      <c r="V34" s="463"/>
      <c r="W34" s="970">
        <f>'ANALYSE - ERP =&gt; SOUS-SEGMENT'!$BL$115</f>
        <v>1325</v>
      </c>
      <c r="X34" s="916">
        <f t="shared" si="5"/>
        <v>0.5</v>
      </c>
      <c r="Y34" s="456"/>
      <c r="Z34" s="970">
        <f>'ANALYSE - ERP =&gt; SOUS-SEGMENT'!$BM$115</f>
        <v>7950</v>
      </c>
      <c r="AA34" s="916">
        <f t="shared" si="6"/>
        <v>3</v>
      </c>
      <c r="AB34" s="463"/>
      <c r="AC34" s="465">
        <f>'ANALYSE - ERP =&gt; SOUS-SEGMENT'!$Q$115</f>
        <v>1</v>
      </c>
    </row>
    <row r="35" spans="1:29" ht="15" customHeight="1">
      <c r="A35" s="26">
        <v>32</v>
      </c>
      <c r="B35" s="26">
        <v>31</v>
      </c>
      <c r="C35" s="422">
        <f>'ANALYSE - ERP =&gt; SOUS-SEGMENT'!$A$24</f>
        <v>17</v>
      </c>
      <c r="D35" s="410" t="str">
        <f>'ANALYSE - ERP =&gt; SOUS-SEGMENT'!$B$24</f>
        <v>Sports &amp; Loisirs</v>
      </c>
      <c r="E35" s="410" t="str">
        <f>'ANALYSE - ERP =&gt; SOUS-SEGMENT'!$C$24</f>
        <v>Sport couvert / Thermalisme / Bien-être</v>
      </c>
      <c r="F35" s="410" t="str">
        <f>'ANALYSE - ERP =&gt; SOUS-SEGMENT'!$D$24</f>
        <v>Piscines couvertes</v>
      </c>
      <c r="H35" s="427">
        <f>'ANALYSE - ERP =&gt; SOUS-SEGMENT'!$AF$24</f>
        <v>2900</v>
      </c>
      <c r="I35" s="427">
        <f>'ANALYSE - ERP =&gt; SOUS-SEGMENT'!$AK$24</f>
        <v>2950</v>
      </c>
      <c r="K35" s="427">
        <f t="shared" ref="K35:K66" si="7">I35-H35</f>
        <v>50</v>
      </c>
      <c r="L35" s="787">
        <f t="shared" ref="L35:L66" si="8">IFERROR((I35/H35)^(1/5)-1,"")</f>
        <v>3.424737731033467E-3</v>
      </c>
      <c r="N35" s="970">
        <f>'ANALYSE - ERP =&gt; SOUS-SEGMENT'!$BJ$24+'ANALYSE - ERP =&gt; SOUS-SEGMENT'!$BK$24+'ANALYSE - ERP =&gt; SOUS-SEGMENT'!$BL$24+'ANALYSE - ERP =&gt; SOUS-SEGMENT'!$BM$24</f>
        <v>206500</v>
      </c>
      <c r="O35" s="916">
        <f t="shared" ref="O35:O66" si="9">IFERROR(N35/I35,"")</f>
        <v>70</v>
      </c>
      <c r="P35" s="463"/>
      <c r="Q35" s="970">
        <f>'ANALYSE - ERP =&gt; SOUS-SEGMENT'!$BJ$24</f>
        <v>47200</v>
      </c>
      <c r="R35" s="916">
        <f t="shared" ref="R35:R66" si="10">IFERROR(Q35/I35,"")</f>
        <v>16</v>
      </c>
      <c r="S35" s="463"/>
      <c r="T35" s="970">
        <f>'ANALYSE - ERP =&gt; SOUS-SEGMENT'!$BK$24</f>
        <v>94400</v>
      </c>
      <c r="U35" s="916">
        <f t="shared" ref="U35:U66" si="11">IFERROR(T35/I35,"")</f>
        <v>32</v>
      </c>
      <c r="V35" s="463"/>
      <c r="W35" s="970">
        <f>'ANALYSE - ERP =&gt; SOUS-SEGMENT'!$BL$24</f>
        <v>14750</v>
      </c>
      <c r="X35" s="916">
        <f t="shared" ref="X35:X66" si="12">IFERROR(W35/I35,"")</f>
        <v>5</v>
      </c>
      <c r="Y35" s="456"/>
      <c r="Z35" s="970">
        <f>'ANALYSE - ERP =&gt; SOUS-SEGMENT'!$BM$24</f>
        <v>50150</v>
      </c>
      <c r="AA35" s="916">
        <f t="shared" ref="AA35:AA66" si="13">IFERROR(Z35/I35,"")</f>
        <v>17</v>
      </c>
      <c r="AB35" s="463"/>
      <c r="AC35" s="465">
        <f>'ANALYSE - ERP =&gt; SOUS-SEGMENT'!$Q$24</f>
        <v>1</v>
      </c>
    </row>
    <row r="36" spans="1:29" ht="15" customHeight="1">
      <c r="A36" s="26">
        <v>33</v>
      </c>
      <c r="B36" s="26">
        <v>34</v>
      </c>
      <c r="C36" s="422">
        <f>'ANALYSE - ERP =&gt; SOUS-SEGMENT'!$A$108</f>
        <v>101</v>
      </c>
      <c r="D36" s="415" t="str">
        <f>'ANALYSE - ERP =&gt; SOUS-SEGMENT'!$B$108</f>
        <v>Culte, Vie civique &amp; Services publics</v>
      </c>
      <c r="E36" s="415" t="str">
        <f>'ANALYSE - ERP =&gt; SOUS-SEGMENT'!$C$108</f>
        <v>Administrations / services publics</v>
      </c>
      <c r="F36" s="415" t="str">
        <f>'ANALYSE - ERP =&gt; SOUS-SEGMENT'!$D$108</f>
        <v>Maisons France Services / Guichets publics autonomes ou dédiés</v>
      </c>
      <c r="H36" s="427">
        <f>'ANALYSE - ERP =&gt; SOUS-SEGMENT'!$AF$108</f>
        <v>1290</v>
      </c>
      <c r="I36" s="427">
        <f>'ANALYSE - ERP =&gt; SOUS-SEGMENT'!$AK$108</f>
        <v>1370</v>
      </c>
      <c r="K36" s="427">
        <f t="shared" si="7"/>
        <v>80</v>
      </c>
      <c r="L36" s="787">
        <f t="shared" si="8"/>
        <v>1.2106400622186042E-2</v>
      </c>
      <c r="N36" s="970">
        <f>'ANALYSE - ERP =&gt; SOUS-SEGMENT'!$BJ$108+'ANALYSE - ERP =&gt; SOUS-SEGMENT'!$BK$108+'ANALYSE - ERP =&gt; SOUS-SEGMENT'!$BL$108+'ANALYSE - ERP =&gt; SOUS-SEGMENT'!$BM$108</f>
        <v>5754</v>
      </c>
      <c r="O36" s="916">
        <f t="shared" si="9"/>
        <v>4.2</v>
      </c>
      <c r="P36" s="463"/>
      <c r="Q36" s="970">
        <f>'ANALYSE - ERP =&gt; SOUS-SEGMENT'!$BJ$108</f>
        <v>2740</v>
      </c>
      <c r="R36" s="916">
        <f t="shared" si="10"/>
        <v>2</v>
      </c>
      <c r="S36" s="463"/>
      <c r="T36" s="970">
        <f>'ANALYSE - ERP =&gt; SOUS-SEGMENT'!$BK$108</f>
        <v>0</v>
      </c>
      <c r="U36" s="916">
        <f t="shared" si="11"/>
        <v>0</v>
      </c>
      <c r="V36" s="463"/>
      <c r="W36" s="970">
        <f>'ANALYSE - ERP =&gt; SOUS-SEGMENT'!$BL$108</f>
        <v>274</v>
      </c>
      <c r="X36" s="916">
        <f t="shared" si="12"/>
        <v>0.2</v>
      </c>
      <c r="Y36" s="456"/>
      <c r="Z36" s="970">
        <f>'ANALYSE - ERP =&gt; SOUS-SEGMENT'!$BM$108</f>
        <v>2740</v>
      </c>
      <c r="AA36" s="916">
        <f t="shared" si="13"/>
        <v>2</v>
      </c>
      <c r="AB36" s="463"/>
      <c r="AC36" s="465">
        <f>'ANALYSE - ERP =&gt; SOUS-SEGMENT'!$Q$108</f>
        <v>1</v>
      </c>
    </row>
    <row r="37" spans="1:29" ht="15" customHeight="1">
      <c r="A37" s="26">
        <v>34</v>
      </c>
      <c r="B37" s="26">
        <v>35</v>
      </c>
      <c r="C37" s="422">
        <f>'ANALYSE - ERP =&gt; SOUS-SEGMENT'!$A$53</f>
        <v>46</v>
      </c>
      <c r="D37" s="409" t="str">
        <f>'ANALYSE - ERP =&gt; SOUS-SEGMENT'!$B$53</f>
        <v>Santé &amp; Médico-social</v>
      </c>
      <c r="E37" s="409" t="str">
        <f>'ANALYSE - ERP =&gt; SOUS-SEGMENT'!$C$53</f>
        <v>Santé ambulatoire</v>
      </c>
      <c r="F37" s="409" t="str">
        <f>'ANALYSE - ERP =&gt; SOUS-SEGMENT'!$D$53</f>
        <v>Centres de santé / Centres médicaux</v>
      </c>
      <c r="H37" s="427">
        <f>'ANALYSE - ERP =&gt; SOUS-SEGMENT'!$AF$53</f>
        <v>2842</v>
      </c>
      <c r="I37" s="427">
        <f>'ANALYSE - ERP =&gt; SOUS-SEGMENT'!$AK$53</f>
        <v>3062</v>
      </c>
      <c r="K37" s="427">
        <f t="shared" si="7"/>
        <v>220</v>
      </c>
      <c r="L37" s="787">
        <f t="shared" si="8"/>
        <v>1.502379291250544E-2</v>
      </c>
      <c r="N37" s="970">
        <f>'ANALYSE - ERP =&gt; SOUS-SEGMENT'!$BJ$53+'ANALYSE - ERP =&gt; SOUS-SEGMENT'!$BK$53+'ANALYSE - ERP =&gt; SOUS-SEGMENT'!$BL$53+'ANALYSE - ERP =&gt; SOUS-SEGMENT'!$BM$53</f>
        <v>22199.5</v>
      </c>
      <c r="O37" s="916">
        <f t="shared" si="9"/>
        <v>7.25</v>
      </c>
      <c r="P37" s="463"/>
      <c r="Q37" s="970">
        <f>'ANALYSE - ERP =&gt; SOUS-SEGMENT'!$BJ$53</f>
        <v>9186</v>
      </c>
      <c r="R37" s="916">
        <f t="shared" si="10"/>
        <v>3</v>
      </c>
      <c r="S37" s="463"/>
      <c r="T37" s="970">
        <f>'ANALYSE - ERP =&gt; SOUS-SEGMENT'!$BK$53</f>
        <v>765.5</v>
      </c>
      <c r="U37" s="916">
        <f t="shared" si="11"/>
        <v>0.25</v>
      </c>
      <c r="V37" s="463"/>
      <c r="W37" s="970">
        <f>'ANALYSE - ERP =&gt; SOUS-SEGMENT'!$BL$53</f>
        <v>3062</v>
      </c>
      <c r="X37" s="916">
        <f t="shared" si="12"/>
        <v>1</v>
      </c>
      <c r="Y37" s="456"/>
      <c r="Z37" s="970">
        <f>'ANALYSE - ERP =&gt; SOUS-SEGMENT'!$BM$53</f>
        <v>9186</v>
      </c>
      <c r="AA37" s="916">
        <f t="shared" si="13"/>
        <v>3</v>
      </c>
      <c r="AB37" s="463"/>
      <c r="AC37" s="465">
        <f>'ANALYSE - ERP =&gt; SOUS-SEGMENT'!$Q$53</f>
        <v>1</v>
      </c>
    </row>
    <row r="38" spans="1:29" ht="15" customHeight="1">
      <c r="A38" s="26">
        <v>35</v>
      </c>
      <c r="B38" s="26">
        <v>33</v>
      </c>
      <c r="C38" s="422">
        <f>'ANALYSE - ERP =&gt; SOUS-SEGMENT'!$A$125</f>
        <v>118</v>
      </c>
      <c r="D38" s="413" t="str">
        <f>'ANALYSE - ERP =&gt; SOUS-SEGMENT'!$B$125</f>
        <v>Transport, Mobilité &amp; Stationnement</v>
      </c>
      <c r="E38" s="413" t="str">
        <f>'ANALYSE - ERP =&gt; SOUS-SEGMENT'!$C$125</f>
        <v>Transport / Mobilité</v>
      </c>
      <c r="F38" s="413" t="str">
        <f>'ANALYSE - ERP =&gt; SOUS-SEGMENT'!$D$125</f>
        <v>Gares ferroviaires et stations
(dotés de sanitaires)</v>
      </c>
      <c r="H38" s="427">
        <f>'ANALYSE - ERP =&gt; SOUS-SEGMENT'!$AF$125</f>
        <v>1285</v>
      </c>
      <c r="I38" s="427">
        <f>'ANALYSE - ERP =&gt; SOUS-SEGMENT'!$AK$125</f>
        <v>1350</v>
      </c>
      <c r="K38" s="427">
        <f t="shared" si="7"/>
        <v>65</v>
      </c>
      <c r="L38" s="787">
        <f t="shared" si="8"/>
        <v>9.9180357331298818E-3</v>
      </c>
      <c r="N38" s="970">
        <f>'ANALYSE - ERP =&gt; SOUS-SEGMENT'!$BJ$125+'ANALYSE - ERP =&gt; SOUS-SEGMENT'!$BK$125+'ANALYSE - ERP =&gt; SOUS-SEGMENT'!$BL$125+'ANALYSE - ERP =&gt; SOUS-SEGMENT'!$BM$125</f>
        <v>64800</v>
      </c>
      <c r="O38" s="916">
        <f t="shared" si="9"/>
        <v>48</v>
      </c>
      <c r="P38" s="463"/>
      <c r="Q38" s="970">
        <f>'ANALYSE - ERP =&gt; SOUS-SEGMENT'!$BJ$125</f>
        <v>29700</v>
      </c>
      <c r="R38" s="916">
        <f t="shared" si="10"/>
        <v>22</v>
      </c>
      <c r="S38" s="463"/>
      <c r="T38" s="970">
        <f>'ANALYSE - ERP =&gt; SOUS-SEGMENT'!$BK$125</f>
        <v>2700</v>
      </c>
      <c r="U38" s="916">
        <f t="shared" si="11"/>
        <v>2</v>
      </c>
      <c r="V38" s="463"/>
      <c r="W38" s="970">
        <f>'ANALYSE - ERP =&gt; SOUS-SEGMENT'!$BL$125</f>
        <v>5400</v>
      </c>
      <c r="X38" s="916">
        <f t="shared" si="12"/>
        <v>4</v>
      </c>
      <c r="Y38" s="456"/>
      <c r="Z38" s="970">
        <f>'ANALYSE - ERP =&gt; SOUS-SEGMENT'!$BM$125</f>
        <v>27000</v>
      </c>
      <c r="AA38" s="916">
        <f t="shared" si="13"/>
        <v>20</v>
      </c>
      <c r="AB38" s="463"/>
      <c r="AC38" s="465">
        <f>'ANALYSE - ERP =&gt; SOUS-SEGMENT'!$Q$125</f>
        <v>1</v>
      </c>
    </row>
    <row r="39" spans="1:29" ht="15" customHeight="1">
      <c r="A39" s="26">
        <v>36</v>
      </c>
      <c r="B39" s="26">
        <v>36</v>
      </c>
      <c r="C39" s="422">
        <f>'ANALYSE - ERP =&gt; SOUS-SEGMENT'!$A$116</f>
        <v>109</v>
      </c>
      <c r="D39" s="415" t="str">
        <f>'ANALYSE - ERP =&gt; SOUS-SEGMENT'!$B$116</f>
        <v>Culte, Vie civique &amp; Services publics</v>
      </c>
      <c r="E39" s="415" t="str">
        <f>'ANALYSE - ERP =&gt; SOUS-SEGMENT'!$C$116</f>
        <v>Culte</v>
      </c>
      <c r="F39" s="415" t="str">
        <f>'ANALYSE - ERP =&gt; SOUS-SEGMENT'!$D$116</f>
        <v>Mosquées et salles de prière musulmanes</v>
      </c>
      <c r="H39" s="427">
        <f>'ANALYSE - ERP =&gt; SOUS-SEGMENT'!$AF$116</f>
        <v>2080</v>
      </c>
      <c r="I39" s="427">
        <f>'ANALYSE - ERP =&gt; SOUS-SEGMENT'!$AK$116</f>
        <v>2180</v>
      </c>
      <c r="K39" s="427">
        <f t="shared" si="7"/>
        <v>100</v>
      </c>
      <c r="L39" s="787">
        <f t="shared" si="8"/>
        <v>9.4356341584178605E-3</v>
      </c>
      <c r="N39" s="970">
        <f>'ANALYSE - ERP =&gt; SOUS-SEGMENT'!$BJ$116+'ANALYSE - ERP =&gt; SOUS-SEGMENT'!$BK$116+'ANALYSE - ERP =&gt; SOUS-SEGMENT'!$BL$116+'ANALYSE - ERP =&gt; SOUS-SEGMENT'!$BM$116</f>
        <v>47960</v>
      </c>
      <c r="O39" s="916">
        <f t="shared" si="9"/>
        <v>22</v>
      </c>
      <c r="P39" s="463"/>
      <c r="Q39" s="970">
        <f>'ANALYSE - ERP =&gt; SOUS-SEGMENT'!$BJ$116</f>
        <v>26160</v>
      </c>
      <c r="R39" s="916">
        <f t="shared" si="10"/>
        <v>12</v>
      </c>
      <c r="S39" s="463"/>
      <c r="T39" s="970">
        <f>'ANALYSE - ERP =&gt; SOUS-SEGMENT'!$BK$116</f>
        <v>0</v>
      </c>
      <c r="U39" s="916">
        <f t="shared" si="11"/>
        <v>0</v>
      </c>
      <c r="V39" s="463"/>
      <c r="W39" s="970">
        <f>'ANALYSE - ERP =&gt; SOUS-SEGMENT'!$BL$116</f>
        <v>4360</v>
      </c>
      <c r="X39" s="916">
        <f t="shared" si="12"/>
        <v>2</v>
      </c>
      <c r="Y39" s="456"/>
      <c r="Z39" s="970">
        <f>'ANALYSE - ERP =&gt; SOUS-SEGMENT'!$BM$116</f>
        <v>17440</v>
      </c>
      <c r="AA39" s="916">
        <f t="shared" si="13"/>
        <v>8</v>
      </c>
      <c r="AB39" s="463"/>
      <c r="AC39" s="465">
        <f>'ANALYSE - ERP =&gt; SOUS-SEGMENT'!$Q$116</f>
        <v>1</v>
      </c>
    </row>
    <row r="40" spans="1:29" ht="15" customHeight="1">
      <c r="A40" s="26">
        <v>37</v>
      </c>
      <c r="B40" s="26">
        <v>37</v>
      </c>
      <c r="C40" s="422">
        <f>'ANALYSE - ERP =&gt; SOUS-SEGMENT'!$A$123</f>
        <v>116</v>
      </c>
      <c r="D40" s="413" t="str">
        <f>'ANALYSE - ERP =&gt; SOUS-SEGMENT'!$B$123</f>
        <v>Transport, Mobilité &amp; Stationnement</v>
      </c>
      <c r="E40" s="413" t="str">
        <f>'ANALYSE - ERP =&gt; SOUS-SEGMENT'!$C$123</f>
        <v>Transport / Mobilité</v>
      </c>
      <c r="F40" s="413" t="str">
        <f>'ANALYSE - ERP =&gt; SOUS-SEGMENT'!$D$123</f>
        <v>Parcs de stationnement couverts (dotés de sanitaires)</v>
      </c>
      <c r="H40" s="427">
        <f>'ANALYSE - ERP =&gt; SOUS-SEGMENT'!$AF$123</f>
        <v>513</v>
      </c>
      <c r="I40" s="427">
        <f>'ANALYSE - ERP =&gt; SOUS-SEGMENT'!$AK$123</f>
        <v>538</v>
      </c>
      <c r="K40" s="427">
        <f t="shared" si="7"/>
        <v>25</v>
      </c>
      <c r="L40" s="787">
        <f t="shared" si="8"/>
        <v>9.5619692795574363E-3</v>
      </c>
      <c r="N40" s="970">
        <f>'ANALYSE - ERP =&gt; SOUS-SEGMENT'!$BJ$123+'ANALYSE - ERP =&gt; SOUS-SEGMENT'!$BK$123+'ANALYSE - ERP =&gt; SOUS-SEGMENT'!$BL$123+'ANALYSE - ERP =&gt; SOUS-SEGMENT'!$BM$123</f>
        <v>2421</v>
      </c>
      <c r="O40" s="916">
        <f t="shared" si="9"/>
        <v>4.5</v>
      </c>
      <c r="P40" s="463"/>
      <c r="Q40" s="970">
        <f>'ANALYSE - ERP =&gt; SOUS-SEGMENT'!$BJ$123</f>
        <v>1076</v>
      </c>
      <c r="R40" s="916">
        <f t="shared" si="10"/>
        <v>2</v>
      </c>
      <c r="S40" s="463"/>
      <c r="T40" s="970">
        <f>'ANALYSE - ERP =&gt; SOUS-SEGMENT'!$BK$123</f>
        <v>0</v>
      </c>
      <c r="U40" s="916">
        <f t="shared" si="11"/>
        <v>0</v>
      </c>
      <c r="V40" s="463"/>
      <c r="W40" s="970">
        <f>'ANALYSE - ERP =&gt; SOUS-SEGMENT'!$BL$123</f>
        <v>269</v>
      </c>
      <c r="X40" s="916">
        <f t="shared" si="12"/>
        <v>0.5</v>
      </c>
      <c r="Y40" s="456"/>
      <c r="Z40" s="970">
        <f>'ANALYSE - ERP =&gt; SOUS-SEGMENT'!$BM$123</f>
        <v>1076</v>
      </c>
      <c r="AA40" s="916">
        <f t="shared" si="13"/>
        <v>2</v>
      </c>
      <c r="AB40" s="463"/>
      <c r="AC40" s="465">
        <f>'ANALYSE - ERP =&gt; SOUS-SEGMENT'!$Q$123</f>
        <v>1</v>
      </c>
    </row>
    <row r="41" spans="1:29" ht="15" customHeight="1">
      <c r="A41" s="26">
        <v>38</v>
      </c>
      <c r="B41" s="26">
        <v>38</v>
      </c>
      <c r="C41" s="422">
        <f>'ANALYSE - ERP =&gt; SOUS-SEGMENT'!$A$119</f>
        <v>112</v>
      </c>
      <c r="D41" s="415" t="str">
        <f>'ANALYSE - ERP =&gt; SOUS-SEGMENT'!$B$119</f>
        <v>Culte, Vie civique &amp; Services publics</v>
      </c>
      <c r="E41" s="415" t="str">
        <f>'ANALYSE - ERP =&gt; SOUS-SEGMENT'!$C$119</f>
        <v>Culte</v>
      </c>
      <c r="F41" s="415" t="str">
        <f>'ANALYSE - ERP =&gt; SOUS-SEGMENT'!$D$119</f>
        <v>Salles du Royaume, centres cultuels pluriconfessionnels et lieux de culte polyvalents</v>
      </c>
      <c r="H41" s="427">
        <f>'ANALYSE - ERP =&gt; SOUS-SEGMENT'!$AF$119</f>
        <v>740</v>
      </c>
      <c r="I41" s="427">
        <f>'ANALYSE - ERP =&gt; SOUS-SEGMENT'!$AK$119</f>
        <v>750</v>
      </c>
      <c r="K41" s="427">
        <f t="shared" si="7"/>
        <v>10</v>
      </c>
      <c r="L41" s="787">
        <f t="shared" si="8"/>
        <v>2.6882108427914719E-3</v>
      </c>
      <c r="N41" s="970">
        <f>'ANALYSE - ERP =&gt; SOUS-SEGMENT'!$BJ$119+'ANALYSE - ERP =&gt; SOUS-SEGMENT'!$BK$119+'ANALYSE - ERP =&gt; SOUS-SEGMENT'!$BL$119+'ANALYSE - ERP =&gt; SOUS-SEGMENT'!$BM$119</f>
        <v>4875</v>
      </c>
      <c r="O41" s="916">
        <f t="shared" si="9"/>
        <v>6.5</v>
      </c>
      <c r="P41" s="463"/>
      <c r="Q41" s="970">
        <f>'ANALYSE - ERP =&gt; SOUS-SEGMENT'!$BJ$119</f>
        <v>2250</v>
      </c>
      <c r="R41" s="916">
        <f t="shared" si="10"/>
        <v>3</v>
      </c>
      <c r="S41" s="463"/>
      <c r="T41" s="970">
        <f>'ANALYSE - ERP =&gt; SOUS-SEGMENT'!$BK$119</f>
        <v>0</v>
      </c>
      <c r="U41" s="916">
        <f t="shared" si="11"/>
        <v>0</v>
      </c>
      <c r="V41" s="463"/>
      <c r="W41" s="970">
        <f>'ANALYSE - ERP =&gt; SOUS-SEGMENT'!$BL$119</f>
        <v>375</v>
      </c>
      <c r="X41" s="916">
        <f t="shared" si="12"/>
        <v>0.5</v>
      </c>
      <c r="Y41" s="456"/>
      <c r="Z41" s="970">
        <f>'ANALYSE - ERP =&gt; SOUS-SEGMENT'!$BM$119</f>
        <v>2250</v>
      </c>
      <c r="AA41" s="916">
        <f t="shared" si="13"/>
        <v>3</v>
      </c>
      <c r="AB41" s="463"/>
      <c r="AC41" s="465">
        <f>'ANALYSE - ERP =&gt; SOUS-SEGMENT'!$Q$119</f>
        <v>1</v>
      </c>
    </row>
    <row r="42" spans="1:29" ht="15" customHeight="1">
      <c r="A42" s="26">
        <v>39</v>
      </c>
      <c r="B42" s="26">
        <v>39</v>
      </c>
      <c r="C42" s="422">
        <f>'ANALYSE - ERP =&gt; SOUS-SEGMENT'!$A$60</f>
        <v>53</v>
      </c>
      <c r="D42" s="409" t="str">
        <f>'ANALYSE - ERP =&gt; SOUS-SEGMENT'!$B$60</f>
        <v>Santé &amp; Médico-social</v>
      </c>
      <c r="E42" s="409" t="str">
        <f>'ANALYSE - ERP =&gt; SOUS-SEGMENT'!$C$60</f>
        <v>Médico-social</v>
      </c>
      <c r="F42" s="409" t="str">
        <f>'ANALYSE - ERP =&gt; SOUS-SEGMENT'!$D$60</f>
        <v>Résidences autonomie
Foyers-logements
(Public)</v>
      </c>
      <c r="H42" s="427">
        <f>'ANALYSE - ERP =&gt; SOUS-SEGMENT'!$AF$60</f>
        <v>2189</v>
      </c>
      <c r="I42" s="427">
        <f>'ANALYSE - ERP =&gt; SOUS-SEGMENT'!$AK$60</f>
        <v>2134</v>
      </c>
      <c r="K42" s="427">
        <f t="shared" si="7"/>
        <v>-55</v>
      </c>
      <c r="L42" s="787">
        <f t="shared" si="8"/>
        <v>-5.0764044185099833E-3</v>
      </c>
      <c r="N42" s="970">
        <f>'ANALYSE - ERP =&gt; SOUS-SEGMENT'!$BJ$60+'ANALYSE - ERP =&gt; SOUS-SEGMENT'!$BK$60+'ANALYSE - ERP =&gt; SOUS-SEGMENT'!$BL$60+'ANALYSE - ERP =&gt; SOUS-SEGMENT'!$BM$60</f>
        <v>34144</v>
      </c>
      <c r="O42" s="916">
        <f t="shared" si="9"/>
        <v>16</v>
      </c>
      <c r="P42" s="463"/>
      <c r="Q42" s="970">
        <f>'ANALYSE - ERP =&gt; SOUS-SEGMENT'!$BJ$60</f>
        <v>12804</v>
      </c>
      <c r="R42" s="916">
        <f t="shared" si="10"/>
        <v>6</v>
      </c>
      <c r="S42" s="463"/>
      <c r="T42" s="970">
        <f>'ANALYSE - ERP =&gt; SOUS-SEGMENT'!$BK$60</f>
        <v>6402</v>
      </c>
      <c r="U42" s="916">
        <f t="shared" si="11"/>
        <v>3</v>
      </c>
      <c r="V42" s="463"/>
      <c r="W42" s="970">
        <f>'ANALYSE - ERP =&gt; SOUS-SEGMENT'!$BL$60</f>
        <v>2134</v>
      </c>
      <c r="X42" s="916">
        <f t="shared" si="12"/>
        <v>1</v>
      </c>
      <c r="Y42" s="456"/>
      <c r="Z42" s="970">
        <f>'ANALYSE - ERP =&gt; SOUS-SEGMENT'!$BM$60</f>
        <v>12804</v>
      </c>
      <c r="AA42" s="916">
        <f t="shared" si="13"/>
        <v>6</v>
      </c>
      <c r="AB42" s="463"/>
      <c r="AC42" s="465">
        <f>'ANALYSE - ERP =&gt; SOUS-SEGMENT'!$Q$60</f>
        <v>1</v>
      </c>
    </row>
    <row r="43" spans="1:29" ht="15" customHeight="1">
      <c r="A43" s="26">
        <v>40</v>
      </c>
      <c r="B43" s="26">
        <v>41</v>
      </c>
      <c r="C43" s="422">
        <f>'ANALYSE - ERP =&gt; SOUS-SEGMENT'!$A$73</f>
        <v>66</v>
      </c>
      <c r="D43" s="414" t="str">
        <f>'ANALYSE - ERP =&gt; SOUS-SEGMENT'!$B$73</f>
        <v>Culture, Patrimoine &amp; Evénementiel</v>
      </c>
      <c r="E43" s="414" t="str">
        <f>'ANALYSE - ERP =&gt; SOUS-SEGMENT'!$C$73</f>
        <v>Événementiel temporaire</v>
      </c>
      <c r="F43" s="414" t="str">
        <f>'ANALYSE - ERP =&gt; SOUS-SEGMENT'!$D$73</f>
        <v>Structures gonflables</v>
      </c>
      <c r="H43" s="427">
        <f>'ANALYSE - ERP =&gt; SOUS-SEGMENT'!$AF$73</f>
        <v>550</v>
      </c>
      <c r="I43" s="427">
        <f>'ANALYSE - ERP =&gt; SOUS-SEGMENT'!$AK$73</f>
        <v>575</v>
      </c>
      <c r="K43" s="427">
        <f t="shared" si="7"/>
        <v>25</v>
      </c>
      <c r="L43" s="787">
        <f t="shared" si="8"/>
        <v>8.9299890719962693E-3</v>
      </c>
      <c r="N43" s="970">
        <f>'ANALYSE - ERP =&gt; SOUS-SEGMENT'!$BJ$73+'ANALYSE - ERP =&gt; SOUS-SEGMENT'!$BK$73+'ANALYSE - ERP =&gt; SOUS-SEGMENT'!$BL$73+'ANALYSE - ERP =&gt; SOUS-SEGMENT'!$BM$73</f>
        <v>2702.5</v>
      </c>
      <c r="O43" s="916">
        <f t="shared" si="9"/>
        <v>4.7</v>
      </c>
      <c r="P43" s="463"/>
      <c r="Q43" s="970">
        <f>'ANALYSE - ERP =&gt; SOUS-SEGMENT'!$BJ$73</f>
        <v>1150</v>
      </c>
      <c r="R43" s="916">
        <f t="shared" si="10"/>
        <v>2</v>
      </c>
      <c r="S43" s="463"/>
      <c r="T43" s="970">
        <f>'ANALYSE - ERP =&gt; SOUS-SEGMENT'!$BK$73</f>
        <v>115</v>
      </c>
      <c r="U43" s="916">
        <f t="shared" si="11"/>
        <v>0.2</v>
      </c>
      <c r="V43" s="463"/>
      <c r="W43" s="970">
        <f>'ANALYSE - ERP =&gt; SOUS-SEGMENT'!$BL$73</f>
        <v>287.5</v>
      </c>
      <c r="X43" s="916">
        <f t="shared" si="12"/>
        <v>0.5</v>
      </c>
      <c r="Y43" s="456"/>
      <c r="Z43" s="970">
        <f>'ANALYSE - ERP =&gt; SOUS-SEGMENT'!$BM$73</f>
        <v>1150</v>
      </c>
      <c r="AA43" s="916">
        <f t="shared" si="13"/>
        <v>2</v>
      </c>
      <c r="AB43" s="463"/>
      <c r="AC43" s="465">
        <f>'ANALYSE - ERP =&gt; SOUS-SEGMENT'!$Q$73</f>
        <v>1</v>
      </c>
    </row>
    <row r="44" spans="1:29" ht="15" customHeight="1">
      <c r="A44" s="26">
        <v>41</v>
      </c>
      <c r="B44" s="26">
        <v>40</v>
      </c>
      <c r="C44" s="422">
        <f>'ANALYSE - ERP =&gt; SOUS-SEGMENT'!$A$62</f>
        <v>55</v>
      </c>
      <c r="D44" s="414" t="str">
        <f>'ANALYSE - ERP =&gt; SOUS-SEGMENT'!$B$62</f>
        <v>Culture, Patrimoine &amp; Evénementiel</v>
      </c>
      <c r="E44" s="414" t="str">
        <f>'ANALYSE - ERP =&gt; SOUS-SEGMENT'!$C$62</f>
        <v>Culture / spectacle</v>
      </c>
      <c r="F44" s="414" t="str">
        <f>'ANALYSE - ERP =&gt; SOUS-SEGMENT'!$D$62</f>
        <v>Cinémas</v>
      </c>
      <c r="H44" s="427">
        <f>'ANALYSE - ERP =&gt; SOUS-SEGMENT'!$AF$62</f>
        <v>2055</v>
      </c>
      <c r="I44" s="427">
        <f>'ANALYSE - ERP =&gt; SOUS-SEGMENT'!$AK$62</f>
        <v>2065</v>
      </c>
      <c r="K44" s="427">
        <f t="shared" si="7"/>
        <v>10</v>
      </c>
      <c r="L44" s="787">
        <f t="shared" si="8"/>
        <v>9.7134714532676192E-4</v>
      </c>
      <c r="N44" s="970">
        <f>'ANALYSE - ERP =&gt; SOUS-SEGMENT'!$BJ$62+'ANALYSE - ERP =&gt; SOUS-SEGMENT'!$BK$62+'ANALYSE - ERP =&gt; SOUS-SEGMENT'!$BL$62+'ANALYSE - ERP =&gt; SOUS-SEGMENT'!$BM$62</f>
        <v>43365</v>
      </c>
      <c r="O44" s="916">
        <f t="shared" si="9"/>
        <v>21</v>
      </c>
      <c r="P44" s="463"/>
      <c r="Q44" s="970">
        <f>'ANALYSE - ERP =&gt; SOUS-SEGMENT'!$BJ$62</f>
        <v>20650</v>
      </c>
      <c r="R44" s="916">
        <f t="shared" si="10"/>
        <v>10</v>
      </c>
      <c r="S44" s="463"/>
      <c r="T44" s="970">
        <f>'ANALYSE - ERP =&gt; SOUS-SEGMENT'!$BK$62</f>
        <v>0</v>
      </c>
      <c r="U44" s="916">
        <f t="shared" si="11"/>
        <v>0</v>
      </c>
      <c r="V44" s="463"/>
      <c r="W44" s="970">
        <f>'ANALYSE - ERP =&gt; SOUS-SEGMENT'!$BL$62</f>
        <v>4130</v>
      </c>
      <c r="X44" s="916">
        <f t="shared" si="12"/>
        <v>2</v>
      </c>
      <c r="Y44" s="456"/>
      <c r="Z44" s="970">
        <f>'ANALYSE - ERP =&gt; SOUS-SEGMENT'!$BM$62</f>
        <v>18585</v>
      </c>
      <c r="AA44" s="916">
        <f t="shared" si="13"/>
        <v>9</v>
      </c>
      <c r="AB44" s="463"/>
      <c r="AC44" s="465">
        <f>'ANALYSE - ERP =&gt; SOUS-SEGMENT'!$Q$62</f>
        <v>1</v>
      </c>
    </row>
    <row r="45" spans="1:29" ht="15" customHeight="1">
      <c r="A45" s="26">
        <v>42</v>
      </c>
      <c r="B45" s="26">
        <v>42</v>
      </c>
      <c r="C45" s="422">
        <f>'ANALYSE - ERP =&gt; SOUS-SEGMENT'!$A$89</f>
        <v>82</v>
      </c>
      <c r="D45" s="412" t="str">
        <f>'ANALYSE - ERP =&gt; SOUS-SEGMENT'!$B$89</f>
        <v>Hébergement Touristique</v>
      </c>
      <c r="E45" s="412" t="str">
        <f>'ANALYSE - ERP =&gt; SOUS-SEGMENT'!$C$89</f>
        <v>Hébergement Touristique</v>
      </c>
      <c r="F45" s="412" t="str">
        <f>'ANALYSE - ERP =&gt; SOUS-SEGMENT'!$D$89</f>
        <v>Résidences de tourisme</v>
      </c>
      <c r="H45" s="427">
        <f>'ANALYSE - ERP =&gt; SOUS-SEGMENT'!$AF$89</f>
        <v>2400</v>
      </c>
      <c r="I45" s="427">
        <f>'ANALYSE - ERP =&gt; SOUS-SEGMENT'!$AK$89</f>
        <v>2600</v>
      </c>
      <c r="K45" s="427">
        <f t="shared" si="7"/>
        <v>200</v>
      </c>
      <c r="L45" s="787">
        <f t="shared" si="8"/>
        <v>1.6137364741595661E-2</v>
      </c>
      <c r="N45" s="970">
        <f>'ANALYSE - ERP =&gt; SOUS-SEGMENT'!$BJ$89+'ANALYSE - ERP =&gt; SOUS-SEGMENT'!$BK$89+'ANALYSE - ERP =&gt; SOUS-SEGMENT'!$BL$89+'ANALYSE - ERP =&gt; SOUS-SEGMENT'!$BM$89</f>
        <v>31200</v>
      </c>
      <c r="O45" s="916">
        <f t="shared" si="9"/>
        <v>12</v>
      </c>
      <c r="P45" s="463"/>
      <c r="Q45" s="970">
        <f>'ANALYSE - ERP =&gt; SOUS-SEGMENT'!$BJ$89</f>
        <v>13000</v>
      </c>
      <c r="R45" s="916">
        <f t="shared" si="10"/>
        <v>5</v>
      </c>
      <c r="S45" s="463"/>
      <c r="T45" s="970">
        <f>'ANALYSE - ERP =&gt; SOUS-SEGMENT'!$BK$89</f>
        <v>5200</v>
      </c>
      <c r="U45" s="916">
        <f t="shared" si="11"/>
        <v>2</v>
      </c>
      <c r="V45" s="463"/>
      <c r="W45" s="970">
        <f>'ANALYSE - ERP =&gt; SOUS-SEGMENT'!$BL$89</f>
        <v>2600</v>
      </c>
      <c r="X45" s="916">
        <f t="shared" si="12"/>
        <v>1</v>
      </c>
      <c r="Y45" s="456"/>
      <c r="Z45" s="970">
        <f>'ANALYSE - ERP =&gt; SOUS-SEGMENT'!$BM$89</f>
        <v>10400</v>
      </c>
      <c r="AA45" s="916">
        <f t="shared" si="13"/>
        <v>4</v>
      </c>
      <c r="AB45" s="463"/>
      <c r="AC45" s="465">
        <f>'ANALYSE - ERP =&gt; SOUS-SEGMENT'!$Q$89</f>
        <v>1</v>
      </c>
    </row>
    <row r="46" spans="1:29" ht="15" customHeight="1">
      <c r="A46" s="26">
        <v>43</v>
      </c>
      <c r="B46" s="26">
        <v>43</v>
      </c>
      <c r="C46" s="422">
        <f>'ANALYSE - ERP =&gt; SOUS-SEGMENT'!$A$15</f>
        <v>8</v>
      </c>
      <c r="D46" s="411" t="str">
        <f>'ANALYSE - ERP =&gt; SOUS-SEGMENT'!$B$15</f>
        <v>Enfance, Enseignement, Jeunesse &amp; Formation</v>
      </c>
      <c r="E46" s="411" t="str">
        <f>'ANALYSE - ERP =&gt; SOUS-SEGMENT'!$C$15</f>
        <v>Enseignement scolaire</v>
      </c>
      <c r="F46" s="411" t="str">
        <f>'ANALYSE - ERP =&gt; SOUS-SEGMENT'!$D$15</f>
        <v>Internats scolaires</v>
      </c>
      <c r="H46" s="427">
        <f>'ANALYSE - ERP =&gt; SOUS-SEGMENT'!$AF$15</f>
        <v>1627</v>
      </c>
      <c r="I46" s="427">
        <f>'ANALYSE - ERP =&gt; SOUS-SEGMENT'!$AK$15</f>
        <v>1633</v>
      </c>
      <c r="K46" s="427">
        <f t="shared" si="7"/>
        <v>6</v>
      </c>
      <c r="L46" s="787">
        <f t="shared" si="8"/>
        <v>7.3646820992112616E-4</v>
      </c>
      <c r="N46" s="970">
        <f>'ANALYSE - ERP =&gt; SOUS-SEGMENT'!$BJ$15+'ANALYSE - ERP =&gt; SOUS-SEGMENT'!$BK$15+'ANALYSE - ERP =&gt; SOUS-SEGMENT'!$BL$15+'ANALYSE - ERP =&gt; SOUS-SEGMENT'!$BM$15</f>
        <v>78384</v>
      </c>
      <c r="O46" s="916">
        <f t="shared" si="9"/>
        <v>48</v>
      </c>
      <c r="P46" s="463"/>
      <c r="Q46" s="970">
        <f>'ANALYSE - ERP =&gt; SOUS-SEGMENT'!$BJ$15</f>
        <v>26128</v>
      </c>
      <c r="R46" s="916">
        <f t="shared" si="10"/>
        <v>16</v>
      </c>
      <c r="S46" s="463"/>
      <c r="T46" s="970">
        <f>'ANALYSE - ERP =&gt; SOUS-SEGMENT'!$BK$15</f>
        <v>26128</v>
      </c>
      <c r="U46" s="916">
        <f t="shared" si="11"/>
        <v>16</v>
      </c>
      <c r="V46" s="463"/>
      <c r="W46" s="970">
        <f>'ANALYSE - ERP =&gt; SOUS-SEGMENT'!$BL$15</f>
        <v>4899</v>
      </c>
      <c r="X46" s="916">
        <f t="shared" si="12"/>
        <v>3</v>
      </c>
      <c r="Y46" s="456"/>
      <c r="Z46" s="970">
        <f>'ANALYSE - ERP =&gt; SOUS-SEGMENT'!$BM$15</f>
        <v>21229</v>
      </c>
      <c r="AA46" s="916">
        <f t="shared" si="13"/>
        <v>13</v>
      </c>
      <c r="AB46" s="463"/>
      <c r="AC46" s="465">
        <f>'ANALYSE - ERP =&gt; SOUS-SEGMENT'!$Q$15</f>
        <v>1</v>
      </c>
    </row>
    <row r="47" spans="1:29" ht="15" customHeight="1">
      <c r="A47" s="26">
        <v>44</v>
      </c>
      <c r="B47" s="26">
        <v>52</v>
      </c>
      <c r="C47" s="422">
        <f>'ANALYSE - ERP =&gt; SOUS-SEGMENT'!$A$61</f>
        <v>54</v>
      </c>
      <c r="D47" s="409" t="str">
        <f>'ANALYSE - ERP =&gt; SOUS-SEGMENT'!$B$61</f>
        <v>Santé &amp; Médico-social</v>
      </c>
      <c r="E47" s="409" t="str">
        <f>'ANALYSE - ERP =&gt; SOUS-SEGMENT'!$C$61</f>
        <v>Médico-social</v>
      </c>
      <c r="F47" s="409" t="str">
        <f>'ANALYSE - ERP =&gt; SOUS-SEGMENT'!$D$61</f>
        <v>Résidences services seniors
(Privé)</v>
      </c>
      <c r="H47" s="427">
        <f>'ANALYSE - ERP =&gt; SOUS-SEGMENT'!$AF$61</f>
        <v>1130</v>
      </c>
      <c r="I47" s="427">
        <f>'ANALYSE - ERP =&gt; SOUS-SEGMENT'!$AK$61</f>
        <v>1580</v>
      </c>
      <c r="K47" s="427">
        <f t="shared" si="7"/>
        <v>450</v>
      </c>
      <c r="L47" s="787">
        <f t="shared" si="8"/>
        <v>6.9339793758804724E-2</v>
      </c>
      <c r="N47" s="970">
        <f>'ANALYSE - ERP =&gt; SOUS-SEGMENT'!$BJ$61+'ANALYSE - ERP =&gt; SOUS-SEGMENT'!$BK$61+'ANALYSE - ERP =&gt; SOUS-SEGMENT'!$BL$61+'ANALYSE - ERP =&gt; SOUS-SEGMENT'!$BM$61</f>
        <v>28440</v>
      </c>
      <c r="O47" s="916">
        <f t="shared" si="9"/>
        <v>18</v>
      </c>
      <c r="P47" s="463"/>
      <c r="Q47" s="970">
        <f>'ANALYSE - ERP =&gt; SOUS-SEGMENT'!$BJ$61</f>
        <v>11060</v>
      </c>
      <c r="R47" s="916">
        <f t="shared" si="10"/>
        <v>7</v>
      </c>
      <c r="S47" s="463"/>
      <c r="T47" s="970">
        <f>'ANALYSE - ERP =&gt; SOUS-SEGMENT'!$BK$61</f>
        <v>4740</v>
      </c>
      <c r="U47" s="916">
        <f t="shared" si="11"/>
        <v>3</v>
      </c>
      <c r="V47" s="463"/>
      <c r="W47" s="970">
        <f>'ANALYSE - ERP =&gt; SOUS-SEGMENT'!$BL$61</f>
        <v>1580</v>
      </c>
      <c r="X47" s="916">
        <f t="shared" si="12"/>
        <v>1</v>
      </c>
      <c r="Y47" s="456"/>
      <c r="Z47" s="970">
        <f>'ANALYSE - ERP =&gt; SOUS-SEGMENT'!$BM$61</f>
        <v>11060</v>
      </c>
      <c r="AA47" s="916">
        <f t="shared" si="13"/>
        <v>7</v>
      </c>
      <c r="AB47" s="463"/>
      <c r="AC47" s="465">
        <f>'ANALYSE - ERP =&gt; SOUS-SEGMENT'!$Q$61</f>
        <v>1</v>
      </c>
    </row>
    <row r="48" spans="1:29" ht="15" customHeight="1">
      <c r="A48" s="26">
        <v>45</v>
      </c>
      <c r="B48" s="26">
        <v>44</v>
      </c>
      <c r="C48" s="422" t="e">
        <f>'ANALYSE - ERP =&gt; SOUS-SEGMENT'!#REF!</f>
        <v>#REF!</v>
      </c>
      <c r="D48" s="411" t="e">
        <f>'ANALYSE - ERP =&gt; SOUS-SEGMENT'!#REF!</f>
        <v>#REF!</v>
      </c>
      <c r="E48" s="411" t="e">
        <f>'ANALYSE - ERP =&gt; SOUS-SEGMENT'!#REF!</f>
        <v>#REF!</v>
      </c>
      <c r="F48" s="411" t="e">
        <f>'ANALYSE - ERP =&gt; SOUS-SEGMENT'!#REF!</f>
        <v>#REF!</v>
      </c>
      <c r="H48" s="427" t="e">
        <f>'ANALYSE - ERP =&gt; SOUS-SEGMENT'!#REF!</f>
        <v>#REF!</v>
      </c>
      <c r="I48" s="427" t="e">
        <f>'ANALYSE - ERP =&gt; SOUS-SEGMENT'!#REF!</f>
        <v>#REF!</v>
      </c>
      <c r="K48" s="427" t="e">
        <f t="shared" si="7"/>
        <v>#REF!</v>
      </c>
      <c r="L48" s="787" t="str">
        <f t="shared" si="8"/>
        <v/>
      </c>
      <c r="N48" s="970" t="e">
        <f>'ANALYSE - ERP =&gt; SOUS-SEGMENT'!#REF!+'ANALYSE - ERP =&gt; SOUS-SEGMENT'!#REF!+'ANALYSE - ERP =&gt; SOUS-SEGMENT'!#REF!+'ANALYSE - ERP =&gt; SOUS-SEGMENT'!#REF!</f>
        <v>#REF!</v>
      </c>
      <c r="O48" s="916" t="str">
        <f t="shared" si="9"/>
        <v/>
      </c>
      <c r="P48" s="463"/>
      <c r="Q48" s="970" t="e">
        <f>'ANALYSE - ERP =&gt; SOUS-SEGMENT'!#REF!</f>
        <v>#REF!</v>
      </c>
      <c r="R48" s="916" t="str">
        <f t="shared" si="10"/>
        <v/>
      </c>
      <c r="S48" s="463"/>
      <c r="T48" s="970" t="e">
        <f>'ANALYSE - ERP =&gt; SOUS-SEGMENT'!#REF!</f>
        <v>#REF!</v>
      </c>
      <c r="U48" s="916" t="str">
        <f t="shared" si="11"/>
        <v/>
      </c>
      <c r="V48" s="463"/>
      <c r="W48" s="970" t="e">
        <f>'ANALYSE - ERP =&gt; SOUS-SEGMENT'!#REF!</f>
        <v>#REF!</v>
      </c>
      <c r="X48" s="916" t="str">
        <f t="shared" si="12"/>
        <v/>
      </c>
      <c r="Y48" s="456"/>
      <c r="Z48" s="970" t="e">
        <f>'ANALYSE - ERP =&gt; SOUS-SEGMENT'!#REF!</f>
        <v>#REF!</v>
      </c>
      <c r="AA48" s="916" t="str">
        <f t="shared" si="13"/>
        <v/>
      </c>
      <c r="AB48" s="463"/>
      <c r="AC48" s="465" t="e">
        <f>'ANALYSE - ERP =&gt; SOUS-SEGMENT'!#REF!</f>
        <v>#REF!</v>
      </c>
    </row>
    <row r="49" spans="1:29" ht="15" customHeight="1">
      <c r="A49" s="26">
        <v>46</v>
      </c>
      <c r="B49" s="26">
        <v>45</v>
      </c>
      <c r="C49" s="422">
        <f>'ANALYSE - ERP =&gt; SOUS-SEGMENT'!$A$114</f>
        <v>107</v>
      </c>
      <c r="D49" s="415" t="str">
        <f>'ANALYSE - ERP =&gt; SOUS-SEGMENT'!$B$114</f>
        <v>Culte, Vie civique &amp; Services publics</v>
      </c>
      <c r="E49" s="415" t="str">
        <f>'ANALYSE - ERP =&gt; SOUS-SEGMENT'!$C$114</f>
        <v>Culte</v>
      </c>
      <c r="F49" s="415" t="str">
        <f>'ANALYSE - ERP =&gt; SOUS-SEGMENT'!$D$114</f>
        <v>Monastères, abbayes et couvents ouverts au public</v>
      </c>
      <c r="H49" s="427">
        <f>'ANALYSE - ERP =&gt; SOUS-SEGMENT'!$AF$114</f>
        <v>400</v>
      </c>
      <c r="I49" s="427">
        <f>'ANALYSE - ERP =&gt; SOUS-SEGMENT'!$AK$114</f>
        <v>375</v>
      </c>
      <c r="K49" s="427">
        <f t="shared" si="7"/>
        <v>-25</v>
      </c>
      <c r="L49" s="787">
        <f t="shared" si="8"/>
        <v>-1.2824757082590121E-2</v>
      </c>
      <c r="N49" s="970">
        <f>'ANALYSE - ERP =&gt; SOUS-SEGMENT'!$BJ$114+'ANALYSE - ERP =&gt; SOUS-SEGMENT'!$BK$114+'ANALYSE - ERP =&gt; SOUS-SEGMENT'!$BL$114+'ANALYSE - ERP =&gt; SOUS-SEGMENT'!$BM$114</f>
        <v>4725</v>
      </c>
      <c r="O49" s="916">
        <f t="shared" si="9"/>
        <v>12.6</v>
      </c>
      <c r="P49" s="463"/>
      <c r="Q49" s="970">
        <f>'ANALYSE - ERP =&gt; SOUS-SEGMENT'!$BJ$114</f>
        <v>1875</v>
      </c>
      <c r="R49" s="916">
        <f t="shared" si="10"/>
        <v>5</v>
      </c>
      <c r="S49" s="463"/>
      <c r="T49" s="970">
        <f>'ANALYSE - ERP =&gt; SOUS-SEGMENT'!$BK$114</f>
        <v>750</v>
      </c>
      <c r="U49" s="916">
        <f t="shared" si="11"/>
        <v>2</v>
      </c>
      <c r="V49" s="463"/>
      <c r="W49" s="970">
        <f>'ANALYSE - ERP =&gt; SOUS-SEGMENT'!$BL$114</f>
        <v>225</v>
      </c>
      <c r="X49" s="916">
        <f t="shared" si="12"/>
        <v>0.6</v>
      </c>
      <c r="Y49" s="456"/>
      <c r="Z49" s="970">
        <f>'ANALYSE - ERP =&gt; SOUS-SEGMENT'!$BM$114</f>
        <v>1875</v>
      </c>
      <c r="AA49" s="916">
        <f t="shared" si="13"/>
        <v>5</v>
      </c>
      <c r="AB49" s="463"/>
      <c r="AC49" s="465">
        <f>'ANALYSE - ERP =&gt; SOUS-SEGMENT'!$Q$114</f>
        <v>1</v>
      </c>
    </row>
    <row r="50" spans="1:29" ht="15" customHeight="1">
      <c r="A50" s="26">
        <v>47</v>
      </c>
      <c r="B50" s="26">
        <v>46</v>
      </c>
      <c r="C50" s="422">
        <f>'ANALYSE - ERP =&gt; SOUS-SEGMENT'!$A$63</f>
        <v>56</v>
      </c>
      <c r="D50" s="414" t="str">
        <f>'ANALYSE - ERP =&gt; SOUS-SEGMENT'!$B$63</f>
        <v>Culture, Patrimoine &amp; Evénementiel</v>
      </c>
      <c r="E50" s="414" t="str">
        <f>'ANALYSE - ERP =&gt; SOUS-SEGMENT'!$C$63</f>
        <v>Culture / spectacle</v>
      </c>
      <c r="F50" s="414" t="str">
        <f>'ANALYSE - ERP =&gt; SOUS-SEGMENT'!$D$63</f>
        <v>Théâtres</v>
      </c>
      <c r="H50" s="427">
        <f>'ANALYSE - ERP =&gt; SOUS-SEGMENT'!$AF$63</f>
        <v>1280</v>
      </c>
      <c r="I50" s="427">
        <f>'ANALYSE - ERP =&gt; SOUS-SEGMENT'!$AK$63</f>
        <v>1330</v>
      </c>
      <c r="K50" s="427">
        <f t="shared" si="7"/>
        <v>50</v>
      </c>
      <c r="L50" s="787">
        <f t="shared" si="8"/>
        <v>7.6932147315345034E-3</v>
      </c>
      <c r="N50" s="970">
        <f>'ANALYSE - ERP =&gt; SOUS-SEGMENT'!$BJ$63+'ANALYSE - ERP =&gt; SOUS-SEGMENT'!$BK$63+'ANALYSE - ERP =&gt; SOUS-SEGMENT'!$BL$63+'ANALYSE - ERP =&gt; SOUS-SEGMENT'!$BM$63</f>
        <v>41230</v>
      </c>
      <c r="O50" s="916">
        <f t="shared" si="9"/>
        <v>31</v>
      </c>
      <c r="P50" s="463"/>
      <c r="Q50" s="970">
        <f>'ANALYSE - ERP =&gt; SOUS-SEGMENT'!$BJ$63</f>
        <v>18620</v>
      </c>
      <c r="R50" s="916">
        <f t="shared" si="10"/>
        <v>14</v>
      </c>
      <c r="S50" s="463"/>
      <c r="T50" s="970">
        <f>'ANALYSE - ERP =&gt; SOUS-SEGMENT'!$BK$63</f>
        <v>1330</v>
      </c>
      <c r="U50" s="916">
        <f t="shared" si="11"/>
        <v>1</v>
      </c>
      <c r="V50" s="463"/>
      <c r="W50" s="970">
        <f>'ANALYSE - ERP =&gt; SOUS-SEGMENT'!$BL$63</f>
        <v>3990</v>
      </c>
      <c r="X50" s="916">
        <f t="shared" si="12"/>
        <v>3</v>
      </c>
      <c r="Y50" s="456"/>
      <c r="Z50" s="970">
        <f>'ANALYSE - ERP =&gt; SOUS-SEGMENT'!$BM$63</f>
        <v>17290</v>
      </c>
      <c r="AA50" s="916">
        <f t="shared" si="13"/>
        <v>13</v>
      </c>
      <c r="AB50" s="463"/>
      <c r="AC50" s="465">
        <f>'ANALYSE - ERP =&gt; SOUS-SEGMENT'!$Q$63</f>
        <v>1</v>
      </c>
    </row>
    <row r="51" spans="1:29" ht="15" customHeight="1">
      <c r="A51" s="26">
        <v>48</v>
      </c>
      <c r="B51" s="26">
        <v>47</v>
      </c>
      <c r="C51" s="422">
        <f>'ANALYSE - ERP =&gt; SOUS-SEGMENT'!$A$41</f>
        <v>34</v>
      </c>
      <c r="D51" s="408" t="str">
        <f>'ANALYSE - ERP =&gt; SOUS-SEGMENT'!$B$41</f>
        <v>Sports &amp; Loisirs</v>
      </c>
      <c r="E51" s="408" t="str">
        <f>'ANALYSE - ERP =&gt; SOUS-SEGMENT'!$C$41</f>
        <v>Loisirs</v>
      </c>
      <c r="F51" s="408" t="str">
        <f>'ANALYSE - ERP =&gt; SOUS-SEGMENT'!$D$41</f>
        <v>Salles de jeux / Bowlings / Billards</v>
      </c>
      <c r="H51" s="427">
        <f>'ANALYSE - ERP =&gt; SOUS-SEGMENT'!$AF$41</f>
        <v>1230</v>
      </c>
      <c r="I51" s="427">
        <f>'ANALYSE - ERP =&gt; SOUS-SEGMENT'!$AK$41</f>
        <v>1280</v>
      </c>
      <c r="K51" s="427">
        <f t="shared" si="7"/>
        <v>50</v>
      </c>
      <c r="L51" s="787">
        <f t="shared" si="8"/>
        <v>8.0010201572613404E-3</v>
      </c>
      <c r="N51" s="970">
        <f>'ANALYSE - ERP =&gt; SOUS-SEGMENT'!$BJ$41+'ANALYSE - ERP =&gt; SOUS-SEGMENT'!$BK$41+'ANALYSE - ERP =&gt; SOUS-SEGMENT'!$BL$41+'ANALYSE - ERP =&gt; SOUS-SEGMENT'!$BM$41</f>
        <v>21760</v>
      </c>
      <c r="O51" s="916">
        <f t="shared" si="9"/>
        <v>17</v>
      </c>
      <c r="P51" s="463"/>
      <c r="Q51" s="970">
        <f>'ANALYSE - ERP =&gt; SOUS-SEGMENT'!$BJ$41</f>
        <v>10240</v>
      </c>
      <c r="R51" s="916">
        <f t="shared" si="10"/>
        <v>8</v>
      </c>
      <c r="S51" s="463"/>
      <c r="T51" s="970">
        <f>'ANALYSE - ERP =&gt; SOUS-SEGMENT'!$BK$41</f>
        <v>0</v>
      </c>
      <c r="U51" s="916">
        <f t="shared" si="11"/>
        <v>0</v>
      </c>
      <c r="V51" s="463"/>
      <c r="W51" s="970">
        <f>'ANALYSE - ERP =&gt; SOUS-SEGMENT'!$BL$41</f>
        <v>2560</v>
      </c>
      <c r="X51" s="916">
        <f t="shared" si="12"/>
        <v>2</v>
      </c>
      <c r="Y51" s="456"/>
      <c r="Z51" s="970">
        <f>'ANALYSE - ERP =&gt; SOUS-SEGMENT'!$BM$41</f>
        <v>8960</v>
      </c>
      <c r="AA51" s="916">
        <f t="shared" si="13"/>
        <v>7</v>
      </c>
      <c r="AB51" s="463"/>
      <c r="AC51" s="465">
        <f>'ANALYSE - ERP =&gt; SOUS-SEGMENT'!$Q$41</f>
        <v>1</v>
      </c>
    </row>
    <row r="52" spans="1:29" ht="15" customHeight="1">
      <c r="A52" s="26">
        <v>49</v>
      </c>
      <c r="B52" s="26">
        <v>50</v>
      </c>
      <c r="C52" s="422">
        <f>'ANALYSE - ERP =&gt; SOUS-SEGMENT'!$A$65</f>
        <v>58</v>
      </c>
      <c r="D52" s="414" t="str">
        <f>'ANALYSE - ERP =&gt; SOUS-SEGMENT'!$B$65</f>
        <v>Culture, Patrimoine &amp; Evénementiel</v>
      </c>
      <c r="E52" s="414" t="str">
        <f>'ANALYSE - ERP =&gt; SOUS-SEGMENT'!$C$65</f>
        <v>Culture / spectacle</v>
      </c>
      <c r="F52" s="414" t="str">
        <f>'ANALYSE - ERP =&gt; SOUS-SEGMENT'!$D$65</f>
        <v>Salles de spectacle / Auditoriums</v>
      </c>
      <c r="H52" s="427">
        <f>'ANALYSE - ERP =&gt; SOUS-SEGMENT'!$AF$65</f>
        <v>1212</v>
      </c>
      <c r="I52" s="427">
        <f>'ANALYSE - ERP =&gt; SOUS-SEGMENT'!$AK$65</f>
        <v>1273</v>
      </c>
      <c r="K52" s="427">
        <f t="shared" si="7"/>
        <v>61</v>
      </c>
      <c r="L52" s="787">
        <f t="shared" si="8"/>
        <v>9.8692695491351401E-3</v>
      </c>
      <c r="N52" s="970">
        <f>'ANALYSE - ERP =&gt; SOUS-SEGMENT'!$BJ$65+'ANALYSE - ERP =&gt; SOUS-SEGMENT'!$BK$65+'ANALYSE - ERP =&gt; SOUS-SEGMENT'!$BL$65+'ANALYSE - ERP =&gt; SOUS-SEGMENT'!$BM$65</f>
        <v>43282</v>
      </c>
      <c r="O52" s="916">
        <f t="shared" si="9"/>
        <v>34</v>
      </c>
      <c r="P52" s="463"/>
      <c r="Q52" s="970">
        <f>'ANALYSE - ERP =&gt; SOUS-SEGMENT'!$BJ$65</f>
        <v>19095</v>
      </c>
      <c r="R52" s="916">
        <f t="shared" si="10"/>
        <v>15</v>
      </c>
      <c r="S52" s="463"/>
      <c r="T52" s="970">
        <f>'ANALYSE - ERP =&gt; SOUS-SEGMENT'!$BK$65</f>
        <v>2546</v>
      </c>
      <c r="U52" s="916">
        <f t="shared" si="11"/>
        <v>2</v>
      </c>
      <c r="V52" s="463"/>
      <c r="W52" s="970">
        <f>'ANALYSE - ERP =&gt; SOUS-SEGMENT'!$BL$65</f>
        <v>5092</v>
      </c>
      <c r="X52" s="916">
        <f t="shared" si="12"/>
        <v>4</v>
      </c>
      <c r="Y52" s="456"/>
      <c r="Z52" s="970">
        <f>'ANALYSE - ERP =&gt; SOUS-SEGMENT'!$BM$65</f>
        <v>16549</v>
      </c>
      <c r="AA52" s="916">
        <f t="shared" si="13"/>
        <v>13</v>
      </c>
      <c r="AB52" s="463"/>
      <c r="AC52" s="465">
        <f>'ANALYSE - ERP =&gt; SOUS-SEGMENT'!$Q$65</f>
        <v>1</v>
      </c>
    </row>
    <row r="53" spans="1:29" ht="15" customHeight="1">
      <c r="A53" s="26">
        <v>50</v>
      </c>
      <c r="B53" s="26">
        <v>49</v>
      </c>
      <c r="C53" s="422">
        <f>'ANALYSE - ERP =&gt; SOUS-SEGMENT'!$A$64</f>
        <v>57</v>
      </c>
      <c r="D53" s="414" t="str">
        <f>'ANALYSE - ERP =&gt; SOUS-SEGMENT'!$B$64</f>
        <v>Culture, Patrimoine &amp; Evénementiel</v>
      </c>
      <c r="E53" s="414" t="str">
        <f>'ANALYSE - ERP =&gt; SOUS-SEGMENT'!$C$64</f>
        <v>Culture / spectacle</v>
      </c>
      <c r="F53" s="414" t="str">
        <f>'ANALYSE - ERP =&gt; SOUS-SEGMENT'!$D$64</f>
        <v>Musées</v>
      </c>
      <c r="H53" s="427">
        <f>'ANALYSE - ERP =&gt; SOUS-SEGMENT'!$AF$64</f>
        <v>1218</v>
      </c>
      <c r="I53" s="427">
        <f>'ANALYSE - ERP =&gt; SOUS-SEGMENT'!$AK$64</f>
        <v>1220</v>
      </c>
      <c r="K53" s="427">
        <f t="shared" si="7"/>
        <v>2</v>
      </c>
      <c r="L53" s="787">
        <f t="shared" si="8"/>
        <v>3.281917346191765E-4</v>
      </c>
      <c r="N53" s="970">
        <f>'ANALYSE - ERP =&gt; SOUS-SEGMENT'!$BJ$64+'ANALYSE - ERP =&gt; SOUS-SEGMENT'!$BK$64+'ANALYSE - ERP =&gt; SOUS-SEGMENT'!$BL$64+'ANALYSE - ERP =&gt; SOUS-SEGMENT'!$BM$64</f>
        <v>19520</v>
      </c>
      <c r="O53" s="916">
        <f t="shared" si="9"/>
        <v>16</v>
      </c>
      <c r="P53" s="463"/>
      <c r="Q53" s="970">
        <f>'ANALYSE - ERP =&gt; SOUS-SEGMENT'!$BJ$64</f>
        <v>9760</v>
      </c>
      <c r="R53" s="916">
        <f t="shared" si="10"/>
        <v>8</v>
      </c>
      <c r="S53" s="463"/>
      <c r="T53" s="970">
        <f>'ANALYSE - ERP =&gt; SOUS-SEGMENT'!$BK$64</f>
        <v>0</v>
      </c>
      <c r="U53" s="916">
        <f t="shared" si="11"/>
        <v>0</v>
      </c>
      <c r="V53" s="463"/>
      <c r="W53" s="970">
        <f>'ANALYSE - ERP =&gt; SOUS-SEGMENT'!$BL$64</f>
        <v>1220</v>
      </c>
      <c r="X53" s="916">
        <f t="shared" si="12"/>
        <v>1</v>
      </c>
      <c r="Y53" s="456"/>
      <c r="Z53" s="970">
        <f>'ANALYSE - ERP =&gt; SOUS-SEGMENT'!$BM$64</f>
        <v>8540</v>
      </c>
      <c r="AA53" s="916">
        <f t="shared" si="13"/>
        <v>7</v>
      </c>
      <c r="AB53" s="463"/>
      <c r="AC53" s="465">
        <f>'ANALYSE - ERP =&gt; SOUS-SEGMENT'!$Q$64</f>
        <v>1</v>
      </c>
    </row>
    <row r="54" spans="1:29" ht="15" customHeight="1">
      <c r="A54" s="26">
        <v>51</v>
      </c>
      <c r="B54" s="26">
        <v>48</v>
      </c>
      <c r="C54" s="422">
        <f>'ANALYSE - ERP =&gt; SOUS-SEGMENT'!$A$44</f>
        <v>37</v>
      </c>
      <c r="D54" s="409" t="str">
        <f>'ANALYSE - ERP =&gt; SOUS-SEGMENT'!$B$44</f>
        <v>Santé &amp; Médico-social</v>
      </c>
      <c r="E54" s="409" t="str">
        <f>'ANALYSE - ERP =&gt; SOUS-SEGMENT'!$C$44</f>
        <v>Santé hospitalière</v>
      </c>
      <c r="F54" s="409" t="str">
        <f>'ANALYSE - ERP =&gt; SOUS-SEGMENT'!$D$44</f>
        <v>Hôpitaux publics 
(Hors CHU, Universitaire, Militaire, Carcéral)</v>
      </c>
      <c r="H54" s="427">
        <f>'ANALYSE - ERP =&gt; SOUS-SEGMENT'!$AF$44</f>
        <v>1234</v>
      </c>
      <c r="I54" s="427">
        <f>'ANALYSE - ERP =&gt; SOUS-SEGMENT'!$AK$44</f>
        <v>1209</v>
      </c>
      <c r="K54" s="427">
        <f t="shared" si="7"/>
        <v>-25</v>
      </c>
      <c r="L54" s="787">
        <f t="shared" si="8"/>
        <v>-4.0851039389880883E-3</v>
      </c>
      <c r="N54" s="970">
        <f>'ANALYSE - ERP =&gt; SOUS-SEGMENT'!$BJ$44+'ANALYSE - ERP =&gt; SOUS-SEGMENT'!$BK$44+'ANALYSE - ERP =&gt; SOUS-SEGMENT'!$BL$44+'ANALYSE - ERP =&gt; SOUS-SEGMENT'!$BM$44</f>
        <v>328848</v>
      </c>
      <c r="O54" s="916">
        <f t="shared" si="9"/>
        <v>272</v>
      </c>
      <c r="P54" s="463"/>
      <c r="Q54" s="970">
        <f>'ANALYSE - ERP =&gt; SOUS-SEGMENT'!$BJ$44</f>
        <v>132990</v>
      </c>
      <c r="R54" s="916">
        <f t="shared" si="10"/>
        <v>110</v>
      </c>
      <c r="S54" s="463"/>
      <c r="T54" s="970">
        <f>'ANALYSE - ERP =&gt; SOUS-SEGMENT'!$BK$44</f>
        <v>66495</v>
      </c>
      <c r="U54" s="916">
        <f t="shared" si="11"/>
        <v>55</v>
      </c>
      <c r="V54" s="463"/>
      <c r="W54" s="970">
        <f>'ANALYSE - ERP =&gt; SOUS-SEGMENT'!$BL$44</f>
        <v>2418</v>
      </c>
      <c r="X54" s="916">
        <f t="shared" si="12"/>
        <v>2</v>
      </c>
      <c r="Y54" s="456"/>
      <c r="Z54" s="970">
        <f>'ANALYSE - ERP =&gt; SOUS-SEGMENT'!$BM$44</f>
        <v>126945</v>
      </c>
      <c r="AA54" s="916">
        <f t="shared" si="13"/>
        <v>105</v>
      </c>
      <c r="AB54" s="463"/>
      <c r="AC54" s="465">
        <f>'ANALYSE - ERP =&gt; SOUS-SEGMENT'!$Q$44</f>
        <v>1</v>
      </c>
    </row>
    <row r="55" spans="1:29" ht="15" customHeight="1">
      <c r="A55" s="26">
        <v>52</v>
      </c>
      <c r="B55" s="26">
        <v>51</v>
      </c>
      <c r="C55" s="422">
        <f>'ANALYSE - ERP =&gt; SOUS-SEGMENT'!$A$42</f>
        <v>35</v>
      </c>
      <c r="D55" s="408" t="str">
        <f>'ANALYSE - ERP =&gt; SOUS-SEGMENT'!$B$42</f>
        <v>Sports &amp; Loisirs</v>
      </c>
      <c r="E55" s="408" t="str">
        <f>'ANALYSE - ERP =&gt; SOUS-SEGMENT'!$C$42</f>
        <v>Loisirs</v>
      </c>
      <c r="F55" s="408" t="str">
        <f>'ANALYSE - ERP =&gt; SOUS-SEGMENT'!$D$42</f>
        <v>Discothèques / Salles de danse</v>
      </c>
      <c r="H55" s="427">
        <f>'ANALYSE - ERP =&gt; SOUS-SEGMENT'!$AF$42</f>
        <v>1400</v>
      </c>
      <c r="I55" s="427">
        <f>'ANALYSE - ERP =&gt; SOUS-SEGMENT'!$AK$42</f>
        <v>1350</v>
      </c>
      <c r="K55" s="427">
        <f t="shared" si="7"/>
        <v>-50</v>
      </c>
      <c r="L55" s="787">
        <f t="shared" si="8"/>
        <v>-7.2471407402715515E-3</v>
      </c>
      <c r="N55" s="970">
        <f>'ANALYSE - ERP =&gt; SOUS-SEGMENT'!$BJ$42+'ANALYSE - ERP =&gt; SOUS-SEGMENT'!$BK$42+'ANALYSE - ERP =&gt; SOUS-SEGMENT'!$BL$42+'ANALYSE - ERP =&gt; SOUS-SEGMENT'!$BM$42</f>
        <v>72900</v>
      </c>
      <c r="O55" s="916">
        <f t="shared" si="9"/>
        <v>54</v>
      </c>
      <c r="P55" s="463"/>
      <c r="Q55" s="970">
        <f>'ANALYSE - ERP =&gt; SOUS-SEGMENT'!$BJ$42</f>
        <v>32400</v>
      </c>
      <c r="R55" s="916">
        <f t="shared" si="10"/>
        <v>24</v>
      </c>
      <c r="S55" s="463"/>
      <c r="T55" s="970">
        <f>'ANALYSE - ERP =&gt; SOUS-SEGMENT'!$BK$42</f>
        <v>0</v>
      </c>
      <c r="U55" s="916">
        <f t="shared" si="11"/>
        <v>0</v>
      </c>
      <c r="V55" s="463"/>
      <c r="W55" s="970">
        <f>'ANALYSE - ERP =&gt; SOUS-SEGMENT'!$BL$42</f>
        <v>10800</v>
      </c>
      <c r="X55" s="916">
        <f t="shared" si="12"/>
        <v>8</v>
      </c>
      <c r="Y55" s="456"/>
      <c r="Z55" s="970">
        <f>'ANALYSE - ERP =&gt; SOUS-SEGMENT'!$BM$42</f>
        <v>29700</v>
      </c>
      <c r="AA55" s="916">
        <f t="shared" si="13"/>
        <v>22</v>
      </c>
      <c r="AB55" s="463"/>
      <c r="AC55" s="465">
        <f>'ANALYSE - ERP =&gt; SOUS-SEGMENT'!$Q$42</f>
        <v>1</v>
      </c>
    </row>
    <row r="56" spans="1:29" ht="15" customHeight="1">
      <c r="A56" s="26">
        <v>53</v>
      </c>
      <c r="B56" s="26">
        <v>54</v>
      </c>
      <c r="C56" s="422">
        <f>'ANALYSE - ERP =&gt; SOUS-SEGMENT'!$A$18</f>
        <v>11</v>
      </c>
      <c r="D56" s="411" t="str">
        <f>'ANALYSE - ERP =&gt; SOUS-SEGMENT'!$B$18</f>
        <v>Enfance, Enseignement, Jeunesse &amp; Formation</v>
      </c>
      <c r="E56" s="411" t="str">
        <f>'ANALYSE - ERP =&gt; SOUS-SEGMENT'!$C$18</f>
        <v>Enseignement supérieur</v>
      </c>
      <c r="F56" s="411" t="str">
        <f>'ANALYSE - ERP =&gt; SOUS-SEGMENT'!$D$18</f>
        <v>Résidences étudiantes et dortoirs</v>
      </c>
      <c r="H56" s="427">
        <f>'ANALYSE - ERP =&gt; SOUS-SEGMENT'!$AF$18</f>
        <v>913</v>
      </c>
      <c r="I56" s="427">
        <f>'ANALYSE - ERP =&gt; SOUS-SEGMENT'!$AK$18</f>
        <v>984</v>
      </c>
      <c r="K56" s="427">
        <f t="shared" si="7"/>
        <v>71</v>
      </c>
      <c r="L56" s="787">
        <f t="shared" si="8"/>
        <v>1.5090735715080461E-2</v>
      </c>
      <c r="N56" s="970">
        <f>'ANALYSE - ERP =&gt; SOUS-SEGMENT'!$BJ$18+'ANALYSE - ERP =&gt; SOUS-SEGMENT'!$BK$18+'ANALYSE - ERP =&gt; SOUS-SEGMENT'!$BL$18+'ANALYSE - ERP =&gt; SOUS-SEGMENT'!$BM$18</f>
        <v>48216</v>
      </c>
      <c r="O56" s="916">
        <f t="shared" si="9"/>
        <v>49</v>
      </c>
      <c r="P56" s="463"/>
      <c r="Q56" s="970">
        <f>'ANALYSE - ERP =&gt; SOUS-SEGMENT'!$BJ$18</f>
        <v>15744</v>
      </c>
      <c r="R56" s="916">
        <f t="shared" si="10"/>
        <v>16</v>
      </c>
      <c r="S56" s="463"/>
      <c r="T56" s="970">
        <f>'ANALYSE - ERP =&gt; SOUS-SEGMENT'!$BK$18</f>
        <v>16728</v>
      </c>
      <c r="U56" s="916">
        <f t="shared" si="11"/>
        <v>17</v>
      </c>
      <c r="V56" s="463"/>
      <c r="W56" s="970">
        <f>'ANALYSE - ERP =&gt; SOUS-SEGMENT'!$BL$18</f>
        <v>2952</v>
      </c>
      <c r="X56" s="916">
        <f t="shared" si="12"/>
        <v>3</v>
      </c>
      <c r="Y56" s="456"/>
      <c r="Z56" s="970">
        <f>'ANALYSE - ERP =&gt; SOUS-SEGMENT'!$BM$18</f>
        <v>12792</v>
      </c>
      <c r="AA56" s="916">
        <f t="shared" si="13"/>
        <v>13</v>
      </c>
      <c r="AB56" s="463"/>
      <c r="AC56" s="465">
        <f>'ANALYSE - ERP =&gt; SOUS-SEGMENT'!$Q$18</f>
        <v>1</v>
      </c>
    </row>
    <row r="57" spans="1:29" ht="15" customHeight="1">
      <c r="A57" s="26">
        <v>54</v>
      </c>
      <c r="B57" s="26">
        <v>55</v>
      </c>
      <c r="C57" s="422">
        <f>'ANALYSE - ERP =&gt; SOUS-SEGMENT'!$A$91</f>
        <v>84</v>
      </c>
      <c r="D57" s="412" t="str">
        <f>'ANALYSE - ERP =&gt; SOUS-SEGMENT'!$B$91</f>
        <v>Hébergement Touristique</v>
      </c>
      <c r="E57" s="412" t="str">
        <f>'ANALYSE - ERP =&gt; SOUS-SEGMENT'!$C$91</f>
        <v>Hébergement Touristique</v>
      </c>
      <c r="F57" s="412" t="str">
        <f>'ANALYSE - ERP =&gt; SOUS-SEGMENT'!$D$91</f>
        <v>Pensions de famille</v>
      </c>
      <c r="H57" s="427">
        <f>'ANALYSE - ERP =&gt; SOUS-SEGMENT'!$AF$91</f>
        <v>909</v>
      </c>
      <c r="I57" s="427">
        <f>'ANALYSE - ERP =&gt; SOUS-SEGMENT'!$AK$91</f>
        <v>954</v>
      </c>
      <c r="K57" s="427">
        <f t="shared" si="7"/>
        <v>45</v>
      </c>
      <c r="L57" s="787">
        <f t="shared" si="8"/>
        <v>9.7105599279756483E-3</v>
      </c>
      <c r="N57" s="970">
        <f>'ANALYSE - ERP =&gt; SOUS-SEGMENT'!$BJ$91+'ANALYSE - ERP =&gt; SOUS-SEGMENT'!$BK$91+'ANALYSE - ERP =&gt; SOUS-SEGMENT'!$BL$91+'ANALYSE - ERP =&gt; SOUS-SEGMENT'!$BM$91</f>
        <v>7155</v>
      </c>
      <c r="O57" s="916">
        <f t="shared" si="9"/>
        <v>7.5</v>
      </c>
      <c r="P57" s="463"/>
      <c r="Q57" s="970">
        <f>'ANALYSE - ERP =&gt; SOUS-SEGMENT'!$BJ$91</f>
        <v>2862</v>
      </c>
      <c r="R57" s="916">
        <f t="shared" si="10"/>
        <v>3</v>
      </c>
      <c r="S57" s="463"/>
      <c r="T57" s="970">
        <f>'ANALYSE - ERP =&gt; SOUS-SEGMENT'!$BK$91</f>
        <v>1908</v>
      </c>
      <c r="U57" s="916">
        <f t="shared" si="11"/>
        <v>2</v>
      </c>
      <c r="V57" s="463"/>
      <c r="W57" s="970">
        <f>'ANALYSE - ERP =&gt; SOUS-SEGMENT'!$BL$91</f>
        <v>477</v>
      </c>
      <c r="X57" s="916">
        <f t="shared" si="12"/>
        <v>0.5</v>
      </c>
      <c r="Y57" s="456"/>
      <c r="Z57" s="970">
        <f>'ANALYSE - ERP =&gt; SOUS-SEGMENT'!$BM$91</f>
        <v>1908</v>
      </c>
      <c r="AA57" s="916">
        <f t="shared" si="13"/>
        <v>2</v>
      </c>
      <c r="AB57" s="463"/>
      <c r="AC57" s="465">
        <f>'ANALYSE - ERP =&gt; SOUS-SEGMENT'!$Q$91</f>
        <v>1</v>
      </c>
    </row>
    <row r="58" spans="1:29" ht="15" customHeight="1">
      <c r="A58" s="26">
        <v>55</v>
      </c>
      <c r="B58" s="26">
        <v>53</v>
      </c>
      <c r="C58" s="422">
        <f>'ANALYSE - ERP =&gt; SOUS-SEGMENT'!$A$46</f>
        <v>39</v>
      </c>
      <c r="D58" s="409" t="str">
        <f>'ANALYSE - ERP =&gt; SOUS-SEGMENT'!$B$46</f>
        <v>Santé &amp; Médico-social</v>
      </c>
      <c r="E58" s="409" t="str">
        <f>'ANALYSE - ERP =&gt; SOUS-SEGMENT'!$C$46</f>
        <v>Santé hospitalière</v>
      </c>
      <c r="F58" s="409" t="str">
        <f>'ANALYSE - ERP =&gt; SOUS-SEGMENT'!$D$46</f>
        <v>Cliniques</v>
      </c>
      <c r="H58" s="427">
        <f>'ANALYSE - ERP =&gt; SOUS-SEGMENT'!$AF$46</f>
        <v>975</v>
      </c>
      <c r="I58" s="427">
        <f>'ANALYSE - ERP =&gt; SOUS-SEGMENT'!$AK$46</f>
        <v>950</v>
      </c>
      <c r="K58" s="427">
        <f t="shared" si="7"/>
        <v>-25</v>
      </c>
      <c r="L58" s="787">
        <f t="shared" si="8"/>
        <v>-5.1816261009000053E-3</v>
      </c>
      <c r="N58" s="970">
        <f>'ANALYSE - ERP =&gt; SOUS-SEGMENT'!$BJ$46+'ANALYSE - ERP =&gt; SOUS-SEGMENT'!$BK$46+'ANALYSE - ERP =&gt; SOUS-SEGMENT'!$BL$46+'ANALYSE - ERP =&gt; SOUS-SEGMENT'!$BM$46</f>
        <v>147250</v>
      </c>
      <c r="O58" s="916">
        <f t="shared" si="9"/>
        <v>155</v>
      </c>
      <c r="P58" s="463"/>
      <c r="Q58" s="970">
        <f>'ANALYSE - ERP =&gt; SOUS-SEGMENT'!$BJ$46</f>
        <v>57000</v>
      </c>
      <c r="R58" s="916">
        <f t="shared" si="10"/>
        <v>60</v>
      </c>
      <c r="S58" s="463"/>
      <c r="T58" s="970">
        <f>'ANALYSE - ERP =&gt; SOUS-SEGMENT'!$BK$46</f>
        <v>34200</v>
      </c>
      <c r="U58" s="916">
        <f t="shared" si="11"/>
        <v>36</v>
      </c>
      <c r="V58" s="463"/>
      <c r="W58" s="970">
        <f>'ANALYSE - ERP =&gt; SOUS-SEGMENT'!$BL$46</f>
        <v>950</v>
      </c>
      <c r="X58" s="916">
        <f t="shared" si="12"/>
        <v>1</v>
      </c>
      <c r="Y58" s="456"/>
      <c r="Z58" s="970">
        <f>'ANALYSE - ERP =&gt; SOUS-SEGMENT'!$BM$46</f>
        <v>55100</v>
      </c>
      <c r="AA58" s="916">
        <f t="shared" si="13"/>
        <v>58</v>
      </c>
      <c r="AB58" s="463"/>
      <c r="AC58" s="465">
        <f>'ANALYSE - ERP =&gt; SOUS-SEGMENT'!$Q$46</f>
        <v>1</v>
      </c>
    </row>
    <row r="59" spans="1:29" ht="15" customHeight="1">
      <c r="A59" s="26">
        <v>56</v>
      </c>
      <c r="B59" s="26">
        <v>56</v>
      </c>
      <c r="C59" s="422">
        <f>'ANALYSE - ERP =&gt; SOUS-SEGMENT'!$A$79</f>
        <v>72</v>
      </c>
      <c r="D59" s="408" t="str">
        <f>'ANALYSE - ERP =&gt; SOUS-SEGMENT'!$B$79</f>
        <v>Commerce, Restauration &amp; Loisirs</v>
      </c>
      <c r="E59" s="408" t="str">
        <f>'ANALYSE - ERP =&gt; SOUS-SEGMENT'!$C$79</f>
        <v>Commerce</v>
      </c>
      <c r="F59" s="408" t="str">
        <f>'ANALYSE - ERP =&gt; SOUS-SEGMENT'!$D$79</f>
        <v>Centres commerciaux / Malls
(dotés de sanitaires collectifs clients)</v>
      </c>
      <c r="H59" s="427">
        <f>'ANALYSE - ERP =&gt; SOUS-SEGMENT'!$AF$79</f>
        <v>832</v>
      </c>
      <c r="I59" s="427">
        <f>'ANALYSE - ERP =&gt; SOUS-SEGMENT'!$AK$79</f>
        <v>845</v>
      </c>
      <c r="K59" s="427">
        <f t="shared" si="7"/>
        <v>13</v>
      </c>
      <c r="L59" s="787">
        <f t="shared" si="8"/>
        <v>3.1056498762414009E-3</v>
      </c>
      <c r="N59" s="970">
        <f>'ANALYSE - ERP =&gt; SOUS-SEGMENT'!$BJ$79+'ANALYSE - ERP =&gt; SOUS-SEGMENT'!$BK$79+'ANALYSE - ERP =&gt; SOUS-SEGMENT'!$BL$79+'ANALYSE - ERP =&gt; SOUS-SEGMENT'!$BM$79</f>
        <v>149565</v>
      </c>
      <c r="O59" s="916">
        <f t="shared" si="9"/>
        <v>177</v>
      </c>
      <c r="P59" s="463"/>
      <c r="Q59" s="970">
        <f>'ANALYSE - ERP =&gt; SOUS-SEGMENT'!$BJ$79</f>
        <v>67600</v>
      </c>
      <c r="R59" s="916">
        <f t="shared" si="10"/>
        <v>80</v>
      </c>
      <c r="S59" s="463"/>
      <c r="T59" s="970">
        <f>'ANALYSE - ERP =&gt; SOUS-SEGMENT'!$BK$79</f>
        <v>3380</v>
      </c>
      <c r="U59" s="916">
        <f t="shared" si="11"/>
        <v>4</v>
      </c>
      <c r="V59" s="463"/>
      <c r="W59" s="970">
        <f>'ANALYSE - ERP =&gt; SOUS-SEGMENT'!$BL$79</f>
        <v>15210</v>
      </c>
      <c r="X59" s="916">
        <f t="shared" si="12"/>
        <v>18</v>
      </c>
      <c r="Y59" s="456"/>
      <c r="Z59" s="970">
        <f>'ANALYSE - ERP =&gt; SOUS-SEGMENT'!$BM$79</f>
        <v>63375</v>
      </c>
      <c r="AA59" s="916">
        <f t="shared" si="13"/>
        <v>75</v>
      </c>
      <c r="AB59" s="463"/>
      <c r="AC59" s="465">
        <f>'ANALYSE - ERP =&gt; SOUS-SEGMENT'!$Q$79</f>
        <v>1</v>
      </c>
    </row>
    <row r="60" spans="1:29" ht="15" customHeight="1">
      <c r="A60" s="26">
        <v>57</v>
      </c>
      <c r="B60" s="26">
        <v>59</v>
      </c>
      <c r="C60" s="422">
        <f>'ANALYSE - ERP =&gt; SOUS-SEGMENT'!$A$118</f>
        <v>111</v>
      </c>
      <c r="D60" s="415" t="str">
        <f>'ANALYSE - ERP =&gt; SOUS-SEGMENT'!$B$118</f>
        <v>Culte, Vie civique &amp; Services publics</v>
      </c>
      <c r="E60" s="415" t="str">
        <f>'ANALYSE - ERP =&gt; SOUS-SEGMENT'!$C$118</f>
        <v>Culte</v>
      </c>
      <c r="F60" s="415" t="str">
        <f>'ANALYSE - ERP =&gt; SOUS-SEGMENT'!$D$118</f>
        <v>Temples bouddhistes, hindous et autres lieux de culte non abrahamiques ouverts au public</v>
      </c>
      <c r="H60" s="427">
        <f>'ANALYSE - ERP =&gt; SOUS-SEGMENT'!$AF$118</f>
        <v>450</v>
      </c>
      <c r="I60" s="427">
        <f>'ANALYSE - ERP =&gt; SOUS-SEGMENT'!$AK$118</f>
        <v>500</v>
      </c>
      <c r="K60" s="427">
        <f t="shared" si="7"/>
        <v>50</v>
      </c>
      <c r="L60" s="787">
        <f t="shared" si="8"/>
        <v>2.1295687600135116E-2</v>
      </c>
      <c r="N60" s="970">
        <f>'ANALYSE - ERP =&gt; SOUS-SEGMENT'!$BJ$118+'ANALYSE - ERP =&gt; SOUS-SEGMENT'!$BK$118+'ANALYSE - ERP =&gt; SOUS-SEGMENT'!$BL$118+'ANALYSE - ERP =&gt; SOUS-SEGMENT'!$BM$118</f>
        <v>3250</v>
      </c>
      <c r="O60" s="916">
        <f t="shared" si="9"/>
        <v>6.5</v>
      </c>
      <c r="P60" s="463"/>
      <c r="Q60" s="970">
        <f>'ANALYSE - ERP =&gt; SOUS-SEGMENT'!$BJ$118</f>
        <v>1500</v>
      </c>
      <c r="R60" s="916">
        <f t="shared" si="10"/>
        <v>3</v>
      </c>
      <c r="S60" s="463"/>
      <c r="T60" s="970">
        <f>'ANALYSE - ERP =&gt; SOUS-SEGMENT'!$BK$118</f>
        <v>0</v>
      </c>
      <c r="U60" s="916">
        <f t="shared" si="11"/>
        <v>0</v>
      </c>
      <c r="V60" s="463"/>
      <c r="W60" s="970">
        <f>'ANALYSE - ERP =&gt; SOUS-SEGMENT'!$BL$118</f>
        <v>250</v>
      </c>
      <c r="X60" s="916">
        <f t="shared" si="12"/>
        <v>0.5</v>
      </c>
      <c r="Y60" s="456"/>
      <c r="Z60" s="970">
        <f>'ANALYSE - ERP =&gt; SOUS-SEGMENT'!$BM$118</f>
        <v>1500</v>
      </c>
      <c r="AA60" s="916">
        <f t="shared" si="13"/>
        <v>3</v>
      </c>
      <c r="AB60" s="463"/>
      <c r="AC60" s="465">
        <f>'ANALYSE - ERP =&gt; SOUS-SEGMENT'!$Q$118</f>
        <v>1</v>
      </c>
    </row>
    <row r="61" spans="1:29" ht="15" customHeight="1">
      <c r="A61" s="26">
        <v>58</v>
      </c>
      <c r="B61" s="26">
        <v>57</v>
      </c>
      <c r="C61" s="422">
        <f>'ANALYSE - ERP =&gt; SOUS-SEGMENT'!$A$45</f>
        <v>38</v>
      </c>
      <c r="D61" s="409" t="str">
        <f>'ANALYSE - ERP =&gt; SOUS-SEGMENT'!$B$45</f>
        <v>Santé &amp; Médico-social</v>
      </c>
      <c r="E61" s="409" t="str">
        <f>'ANALYSE - ERP =&gt; SOUS-SEGMENT'!$C$45</f>
        <v>Santé hospitalière</v>
      </c>
      <c r="F61" s="409" t="str">
        <f>'ANALYSE - ERP =&gt; SOUS-SEGMENT'!$D$45</f>
        <v>Hôpitaux privés</v>
      </c>
      <c r="H61" s="427">
        <f>'ANALYSE - ERP =&gt; SOUS-SEGMENT'!$AF$45</f>
        <v>653</v>
      </c>
      <c r="I61" s="427">
        <f>'ANALYSE - ERP =&gt; SOUS-SEGMENT'!$AK$45</f>
        <v>645</v>
      </c>
      <c r="K61" s="427">
        <f t="shared" si="7"/>
        <v>-8</v>
      </c>
      <c r="L61" s="787">
        <f t="shared" si="8"/>
        <v>-2.4623259858918001E-3</v>
      </c>
      <c r="N61" s="970">
        <f>'ANALYSE - ERP =&gt; SOUS-SEGMENT'!$BJ$45+'ANALYSE - ERP =&gt; SOUS-SEGMENT'!$BK$45+'ANALYSE - ERP =&gt; SOUS-SEGMENT'!$BL$45+'ANALYSE - ERP =&gt; SOUS-SEGMENT'!$BM$45</f>
        <v>121260</v>
      </c>
      <c r="O61" s="916">
        <f t="shared" si="9"/>
        <v>188</v>
      </c>
      <c r="P61" s="463"/>
      <c r="Q61" s="970">
        <f>'ANALYSE - ERP =&gt; SOUS-SEGMENT'!$BJ$45</f>
        <v>48375</v>
      </c>
      <c r="R61" s="916">
        <f t="shared" si="10"/>
        <v>75</v>
      </c>
      <c r="S61" s="463"/>
      <c r="T61" s="970">
        <f>'ANALYSE - ERP =&gt; SOUS-SEGMENT'!$BK$45</f>
        <v>25800</v>
      </c>
      <c r="U61" s="916">
        <f t="shared" si="11"/>
        <v>40</v>
      </c>
      <c r="V61" s="463"/>
      <c r="W61" s="970">
        <f>'ANALYSE - ERP =&gt; SOUS-SEGMENT'!$BL$45</f>
        <v>645</v>
      </c>
      <c r="X61" s="916">
        <f t="shared" si="12"/>
        <v>1</v>
      </c>
      <c r="Y61" s="456"/>
      <c r="Z61" s="970">
        <f>'ANALYSE - ERP =&gt; SOUS-SEGMENT'!$BM$45</f>
        <v>46440</v>
      </c>
      <c r="AA61" s="916">
        <f t="shared" si="13"/>
        <v>72</v>
      </c>
      <c r="AB61" s="463"/>
      <c r="AC61" s="465">
        <f>'ANALYSE - ERP =&gt; SOUS-SEGMENT'!$Q$45</f>
        <v>1</v>
      </c>
    </row>
    <row r="62" spans="1:29" s="45" customFormat="1" ht="15" customHeight="1">
      <c r="A62" s="406">
        <v>59</v>
      </c>
      <c r="B62" s="406">
        <v>62</v>
      </c>
      <c r="C62" s="448">
        <f>'ANALYSE - ERP =&gt; SOUS-SEGMENT'!$A$49</f>
        <v>42</v>
      </c>
      <c r="D62" s="449" t="str">
        <f>'ANALYSE - ERP =&gt; SOUS-SEGMENT'!$B$49</f>
        <v>Santé &amp; Médico-social</v>
      </c>
      <c r="E62" s="449" t="str">
        <f>'ANALYSE - ERP =&gt; SOUS-SEGMENT'!$C$49</f>
        <v>Santé spécialisée</v>
      </c>
      <c r="F62" s="449" t="str">
        <f>'ANALYSE - ERP =&gt; SOUS-SEGMENT'!$D$49</f>
        <v>Centres de psychiatrie</v>
      </c>
      <c r="G62" s="685"/>
      <c r="H62" s="407">
        <f>'ANALYSE - ERP =&gt; SOUS-SEGMENT'!$AF$49</f>
        <v>590</v>
      </c>
      <c r="I62" s="407">
        <f>'ANALYSE - ERP =&gt; SOUS-SEGMENT'!$AK$49</f>
        <v>625</v>
      </c>
      <c r="J62" s="685"/>
      <c r="K62" s="407">
        <f t="shared" si="7"/>
        <v>35</v>
      </c>
      <c r="L62" s="788">
        <f t="shared" si="8"/>
        <v>1.1592500787793503E-2</v>
      </c>
      <c r="M62" s="685"/>
      <c r="N62" s="971">
        <f>'ANALYSE - ERP =&gt; SOUS-SEGMENT'!$BJ$49+'ANALYSE - ERP =&gt; SOUS-SEGMENT'!$BK$49+'ANALYSE - ERP =&gt; SOUS-SEGMENT'!$BL$49+'ANALYSE - ERP =&gt; SOUS-SEGMENT'!$BM$49</f>
        <v>72500</v>
      </c>
      <c r="O62" s="917">
        <f t="shared" si="9"/>
        <v>116</v>
      </c>
      <c r="P62" s="685"/>
      <c r="Q62" s="971">
        <f>'ANALYSE - ERP =&gt; SOUS-SEGMENT'!$BJ$49</f>
        <v>28125</v>
      </c>
      <c r="R62" s="917">
        <f t="shared" si="10"/>
        <v>45</v>
      </c>
      <c r="S62" s="685"/>
      <c r="T62" s="971">
        <f>'ANALYSE - ERP =&gt; SOUS-SEGMENT'!$BK$49</f>
        <v>17500</v>
      </c>
      <c r="U62" s="917">
        <f t="shared" si="11"/>
        <v>28</v>
      </c>
      <c r="V62" s="685"/>
      <c r="W62" s="971">
        <f>'ANALYSE - ERP =&gt; SOUS-SEGMENT'!$BL$49</f>
        <v>625</v>
      </c>
      <c r="X62" s="917">
        <f t="shared" si="12"/>
        <v>1</v>
      </c>
      <c r="Y62" s="685"/>
      <c r="Z62" s="971">
        <f>'ANALYSE - ERP =&gt; SOUS-SEGMENT'!$BM$49</f>
        <v>26250</v>
      </c>
      <c r="AA62" s="917">
        <f t="shared" si="13"/>
        <v>42</v>
      </c>
      <c r="AB62" s="685"/>
      <c r="AC62" s="466">
        <f>'ANALYSE - ERP =&gt; SOUS-SEGMENT'!$Q$49</f>
        <v>0</v>
      </c>
    </row>
    <row r="63" spans="1:29" s="45" customFormat="1" ht="15" customHeight="1">
      <c r="A63" s="406">
        <v>60</v>
      </c>
      <c r="B63" s="406">
        <v>58</v>
      </c>
      <c r="C63" s="448">
        <f>'ANALYSE - ERP =&gt; SOUS-SEGMENT'!$A$50</f>
        <v>43</v>
      </c>
      <c r="D63" s="449" t="str">
        <f>'ANALYSE - ERP =&gt; SOUS-SEGMENT'!$B$50</f>
        <v>Santé &amp; Médico-social</v>
      </c>
      <c r="E63" s="449" t="str">
        <f>'ANALYSE - ERP =&gt; SOUS-SEGMENT'!$C$50</f>
        <v>Santé spécialisée</v>
      </c>
      <c r="F63" s="449" t="str">
        <f>'ANALYSE - ERP =&gt; SOUS-SEGMENT'!$D$50</f>
        <v>Centres de rééducation</v>
      </c>
      <c r="G63" s="685"/>
      <c r="H63" s="407">
        <f>'ANALYSE - ERP =&gt; SOUS-SEGMENT'!$AF$50</f>
        <v>618</v>
      </c>
      <c r="I63" s="407">
        <f>'ANALYSE - ERP =&gt; SOUS-SEGMENT'!$AK$50</f>
        <v>608</v>
      </c>
      <c r="J63" s="685"/>
      <c r="K63" s="407">
        <f t="shared" si="7"/>
        <v>-10</v>
      </c>
      <c r="L63" s="788">
        <f t="shared" si="8"/>
        <v>-3.2573982274485269E-3</v>
      </c>
      <c r="M63" s="685"/>
      <c r="N63" s="971">
        <f>'ANALYSE - ERP =&gt; SOUS-SEGMENT'!$BJ$50+'ANALYSE - ERP =&gt; SOUS-SEGMENT'!$BK$50+'ANALYSE - ERP =&gt; SOUS-SEGMENT'!$BL$50+'ANALYSE - ERP =&gt; SOUS-SEGMENT'!$BM$50</f>
        <v>68704</v>
      </c>
      <c r="O63" s="917">
        <f t="shared" si="9"/>
        <v>113</v>
      </c>
      <c r="P63" s="685"/>
      <c r="Q63" s="971">
        <f>'ANALYSE - ERP =&gt; SOUS-SEGMENT'!$BJ$50</f>
        <v>25536</v>
      </c>
      <c r="R63" s="917">
        <f t="shared" si="10"/>
        <v>42</v>
      </c>
      <c r="S63" s="685"/>
      <c r="T63" s="971">
        <f>'ANALYSE - ERP =&gt; SOUS-SEGMENT'!$BK$50</f>
        <v>18240</v>
      </c>
      <c r="U63" s="917">
        <f t="shared" si="11"/>
        <v>30</v>
      </c>
      <c r="V63" s="685"/>
      <c r="W63" s="971">
        <f>'ANALYSE - ERP =&gt; SOUS-SEGMENT'!$BL$50</f>
        <v>608</v>
      </c>
      <c r="X63" s="917">
        <f t="shared" si="12"/>
        <v>1</v>
      </c>
      <c r="Y63" s="685"/>
      <c r="Z63" s="971">
        <f>'ANALYSE - ERP =&gt; SOUS-SEGMENT'!$BM$50</f>
        <v>24320</v>
      </c>
      <c r="AA63" s="917">
        <f t="shared" si="13"/>
        <v>40</v>
      </c>
      <c r="AB63" s="685"/>
      <c r="AC63" s="466">
        <f>'ANALYSE - ERP =&gt; SOUS-SEGMENT'!$Q$50</f>
        <v>0</v>
      </c>
    </row>
    <row r="64" spans="1:29" ht="15" customHeight="1">
      <c r="A64" s="26">
        <v>61</v>
      </c>
      <c r="B64" s="26">
        <v>61</v>
      </c>
      <c r="C64" s="422">
        <f>'ANALYSE - ERP =&gt; SOUS-SEGMENT'!$A$122</f>
        <v>115</v>
      </c>
      <c r="D64" s="413" t="str">
        <f>'ANALYSE - ERP =&gt; SOUS-SEGMENT'!$B$122</f>
        <v>Transport, Mobilité &amp; Stationnement</v>
      </c>
      <c r="E64" s="413" t="str">
        <f>'ANALYSE - ERP =&gt; SOUS-SEGMENT'!$C$122</f>
        <v>Transport / Mobilité</v>
      </c>
      <c r="F64" s="413" t="str">
        <f>'ANALYSE - ERP =&gt; SOUS-SEGMENT'!$D$122</f>
        <v>Aires de repos - Autoroutes
(Hors Aires de service)</v>
      </c>
      <c r="H64" s="427">
        <f>'ANALYSE - ERP =&gt; SOUS-SEGMENT'!$AF$122</f>
        <v>598</v>
      </c>
      <c r="I64" s="427">
        <f>'ANALYSE - ERP =&gt; SOUS-SEGMENT'!$AK$122</f>
        <v>602</v>
      </c>
      <c r="K64" s="427">
        <f t="shared" si="7"/>
        <v>4</v>
      </c>
      <c r="L64" s="787">
        <f t="shared" si="8"/>
        <v>1.3342275623089428E-3</v>
      </c>
      <c r="N64" s="970">
        <f>'ANALYSE - ERP =&gt; SOUS-SEGMENT'!$BJ$122+'ANALYSE - ERP =&gt; SOUS-SEGMENT'!$BK$122+'ANALYSE - ERP =&gt; SOUS-SEGMENT'!$BL$122+'ANALYSE - ERP =&gt; SOUS-SEGMENT'!$BM$122</f>
        <v>22876</v>
      </c>
      <c r="O64" s="916">
        <f t="shared" si="9"/>
        <v>38</v>
      </c>
      <c r="P64" s="463"/>
      <c r="Q64" s="970">
        <f>'ANALYSE - ERP =&gt; SOUS-SEGMENT'!$BJ$122</f>
        <v>10836</v>
      </c>
      <c r="R64" s="916">
        <f t="shared" si="10"/>
        <v>18</v>
      </c>
      <c r="S64" s="463"/>
      <c r="T64" s="970">
        <f>'ANALYSE - ERP =&gt; SOUS-SEGMENT'!$BK$122</f>
        <v>0</v>
      </c>
      <c r="U64" s="916">
        <f t="shared" si="11"/>
        <v>0</v>
      </c>
      <c r="V64" s="463"/>
      <c r="W64" s="970">
        <f>'ANALYSE - ERP =&gt; SOUS-SEGMENT'!$BL$122</f>
        <v>2408</v>
      </c>
      <c r="X64" s="916">
        <f t="shared" si="12"/>
        <v>4</v>
      </c>
      <c r="Y64" s="456"/>
      <c r="Z64" s="970">
        <f>'ANALYSE - ERP =&gt; SOUS-SEGMENT'!$BM$122</f>
        <v>9632</v>
      </c>
      <c r="AA64" s="916">
        <f t="shared" si="13"/>
        <v>16</v>
      </c>
      <c r="AB64" s="463"/>
      <c r="AC64" s="465">
        <f>'ANALYSE - ERP =&gt; SOUS-SEGMENT'!$Q$122</f>
        <v>1</v>
      </c>
    </row>
    <row r="65" spans="1:29" s="45" customFormat="1" ht="15" customHeight="1">
      <c r="A65" s="26">
        <v>62</v>
      </c>
      <c r="B65" s="26">
        <v>60</v>
      </c>
      <c r="C65" s="422">
        <f>'ANALYSE - ERP =&gt; SOUS-SEGMENT'!$A$59</f>
        <v>52</v>
      </c>
      <c r="D65" s="409" t="str">
        <f>'ANALYSE - ERP =&gt; SOUS-SEGMENT'!$B$59</f>
        <v>Santé &amp; Médico-social</v>
      </c>
      <c r="E65" s="409" t="str">
        <f>'ANALYSE - ERP =&gt; SOUS-SEGMENT'!$C$59</f>
        <v>Médico-social</v>
      </c>
      <c r="F65" s="409" t="str">
        <f>'ANALYSE - ERP =&gt; SOUS-SEGMENT'!$D$59</f>
        <v>USLD</v>
      </c>
      <c r="G65" s="685"/>
      <c r="H65" s="427">
        <f>'ANALYSE - ERP =&gt; SOUS-SEGMENT'!$AF$59</f>
        <v>598</v>
      </c>
      <c r="I65" s="427">
        <f>'ANALYSE - ERP =&gt; SOUS-SEGMENT'!$AK$59</f>
        <v>588</v>
      </c>
      <c r="J65" s="685"/>
      <c r="K65" s="427">
        <f t="shared" si="7"/>
        <v>-10</v>
      </c>
      <c r="L65" s="787">
        <f t="shared" si="8"/>
        <v>-3.3670798404060731E-3</v>
      </c>
      <c r="M65" s="685"/>
      <c r="N65" s="970">
        <f>'ANALYSE - ERP =&gt; SOUS-SEGMENT'!$BJ$59+'ANALYSE - ERP =&gt; SOUS-SEGMENT'!$BK$59+'ANALYSE - ERP =&gt; SOUS-SEGMENT'!$BL$59+'ANALYSE - ERP =&gt; SOUS-SEGMENT'!$BM$59</f>
        <v>76440</v>
      </c>
      <c r="O65" s="916">
        <f t="shared" si="9"/>
        <v>130</v>
      </c>
      <c r="P65" s="685"/>
      <c r="Q65" s="970">
        <f>'ANALYSE - ERP =&gt; SOUS-SEGMENT'!$BJ$59</f>
        <v>29400</v>
      </c>
      <c r="R65" s="916">
        <f t="shared" si="10"/>
        <v>50</v>
      </c>
      <c r="S65" s="685"/>
      <c r="T65" s="970">
        <f>'ANALYSE - ERP =&gt; SOUS-SEGMENT'!$BK$59</f>
        <v>17052</v>
      </c>
      <c r="U65" s="916">
        <f t="shared" si="11"/>
        <v>29</v>
      </c>
      <c r="V65" s="685"/>
      <c r="W65" s="970">
        <f>'ANALYSE - ERP =&gt; SOUS-SEGMENT'!$BL$59</f>
        <v>588</v>
      </c>
      <c r="X65" s="916">
        <f t="shared" si="12"/>
        <v>1</v>
      </c>
      <c r="Y65" s="685"/>
      <c r="Z65" s="970">
        <f>'ANALYSE - ERP =&gt; SOUS-SEGMENT'!$BM$59</f>
        <v>29400</v>
      </c>
      <c r="AA65" s="916">
        <f t="shared" si="13"/>
        <v>50</v>
      </c>
      <c r="AB65" s="685"/>
      <c r="AC65" s="465">
        <f>'ANALYSE - ERP =&gt; SOUS-SEGMENT'!$Q$59</f>
        <v>1</v>
      </c>
    </row>
    <row r="66" spans="1:29" ht="15" customHeight="1">
      <c r="A66" s="26">
        <v>63</v>
      </c>
      <c r="B66" s="26">
        <v>64</v>
      </c>
      <c r="C66" s="422">
        <f>'ANALYSE - ERP =&gt; SOUS-SEGMENT'!$A$81</f>
        <v>74</v>
      </c>
      <c r="D66" s="408" t="str">
        <f>'ANALYSE - ERP =&gt; SOUS-SEGMENT'!$B$81</f>
        <v>Commerce, Restauration &amp; Loisirs</v>
      </c>
      <c r="E66" s="408" t="str">
        <f>'ANALYSE - ERP =&gt; SOUS-SEGMENT'!$C$81</f>
        <v>Commerce</v>
      </c>
      <c r="F66" s="408" t="str">
        <f>'ANALYSE - ERP =&gt; SOUS-SEGMENT'!$D$81</f>
        <v>Marchés couverts</v>
      </c>
      <c r="H66" s="427">
        <f>'ANALYSE - ERP =&gt; SOUS-SEGMENT'!$AF$81</f>
        <v>520</v>
      </c>
      <c r="I66" s="427">
        <f>'ANALYSE - ERP =&gt; SOUS-SEGMENT'!$AK$81</f>
        <v>560</v>
      </c>
      <c r="K66" s="427">
        <f t="shared" si="7"/>
        <v>40</v>
      </c>
      <c r="L66" s="787">
        <f t="shared" si="8"/>
        <v>1.4931978945393665E-2</v>
      </c>
      <c r="N66" s="970">
        <f>'ANALYSE - ERP =&gt; SOUS-SEGMENT'!$BJ$81+'ANALYSE - ERP =&gt; SOUS-SEGMENT'!$BK$81+'ANALYSE - ERP =&gt; SOUS-SEGMENT'!$BL$81+'ANALYSE - ERP =&gt; SOUS-SEGMENT'!$BM$81</f>
        <v>11760</v>
      </c>
      <c r="O66" s="916">
        <f t="shared" si="9"/>
        <v>21</v>
      </c>
      <c r="P66" s="463"/>
      <c r="Q66" s="970">
        <f>'ANALYSE - ERP =&gt; SOUS-SEGMENT'!$BJ$81</f>
        <v>5600</v>
      </c>
      <c r="R66" s="916">
        <f t="shared" si="10"/>
        <v>10</v>
      </c>
      <c r="S66" s="463"/>
      <c r="T66" s="970">
        <f>'ANALYSE - ERP =&gt; SOUS-SEGMENT'!$BK$81</f>
        <v>0</v>
      </c>
      <c r="U66" s="916">
        <f t="shared" si="11"/>
        <v>0</v>
      </c>
      <c r="V66" s="463"/>
      <c r="W66" s="970">
        <f>'ANALYSE - ERP =&gt; SOUS-SEGMENT'!$BL$81</f>
        <v>1120</v>
      </c>
      <c r="X66" s="916">
        <f t="shared" si="12"/>
        <v>2</v>
      </c>
      <c r="Y66" s="456"/>
      <c r="Z66" s="970">
        <f>'ANALYSE - ERP =&gt; SOUS-SEGMENT'!$BM$81</f>
        <v>5040</v>
      </c>
      <c r="AA66" s="916">
        <f t="shared" si="13"/>
        <v>9</v>
      </c>
      <c r="AB66" s="463"/>
      <c r="AC66" s="465">
        <f>'ANALYSE - ERP =&gt; SOUS-SEGMENT'!$Q$81</f>
        <v>1</v>
      </c>
    </row>
    <row r="67" spans="1:29" ht="15" customHeight="1">
      <c r="A67" s="26">
        <v>64</v>
      </c>
      <c r="B67" s="26">
        <v>63</v>
      </c>
      <c r="C67" s="422">
        <f>'ANALYSE - ERP =&gt; SOUS-SEGMENT'!$A$132</f>
        <v>125</v>
      </c>
      <c r="D67" s="417" t="str">
        <f>'ANALYSE - ERP =&gt; SOUS-SEGMENT'!$B$132</f>
        <v>Sécurité &amp; Justice</v>
      </c>
      <c r="E67" s="417" t="str">
        <f>'ANALYSE - ERP =&gt; SOUS-SEGMENT'!$C$132</f>
        <v xml:space="preserve">Commissariats / postes de police </v>
      </c>
      <c r="F67" s="417" t="str">
        <f>'ANALYSE - ERP =&gt; SOUS-SEGMENT'!$D$132</f>
        <v>Locaux de sûreté, garde à vue et zones opérationnelles</v>
      </c>
      <c r="H67" s="427">
        <f>'ANALYSE - ERP =&gt; SOUS-SEGMENT'!$AF$132</f>
        <v>568</v>
      </c>
      <c r="I67" s="427">
        <f>'ANALYSE - ERP =&gt; SOUS-SEGMENT'!$AK$132</f>
        <v>559</v>
      </c>
      <c r="K67" s="427">
        <f t="shared" ref="K67:K98" si="14">I67-H67</f>
        <v>-9</v>
      </c>
      <c r="L67" s="787">
        <f t="shared" ref="L67:L98" si="15">IFERROR((I67/H67)^(1/5)-1,"")</f>
        <v>-3.1892924806273815E-3</v>
      </c>
      <c r="N67" s="970">
        <f>'ANALYSE - ERP =&gt; SOUS-SEGMENT'!$BJ$132+'ANALYSE - ERP =&gt; SOUS-SEGMENT'!$BK$132+'ANALYSE - ERP =&gt; SOUS-SEGMENT'!$BL$132+'ANALYSE - ERP =&gt; SOUS-SEGMENT'!$BM$132</f>
        <v>5590</v>
      </c>
      <c r="O67" s="916">
        <f t="shared" ref="O67:O98" si="16">IFERROR(N67/I67,"")</f>
        <v>10</v>
      </c>
      <c r="P67" s="463"/>
      <c r="Q67" s="970">
        <f>'ANALYSE - ERP =&gt; SOUS-SEGMENT'!$BJ$132</f>
        <v>2236</v>
      </c>
      <c r="R67" s="916">
        <f t="shared" ref="R67:R98" si="17">IFERROR(Q67/I67,"")</f>
        <v>4</v>
      </c>
      <c r="S67" s="463"/>
      <c r="T67" s="970">
        <f>'ANALYSE - ERP =&gt; SOUS-SEGMENT'!$BK$132</f>
        <v>559</v>
      </c>
      <c r="U67" s="916">
        <f t="shared" ref="U67:U98" si="18">IFERROR(T67/I67,"")</f>
        <v>1</v>
      </c>
      <c r="V67" s="463"/>
      <c r="W67" s="970">
        <f>'ANALYSE - ERP =&gt; SOUS-SEGMENT'!$BL$132</f>
        <v>559</v>
      </c>
      <c r="X67" s="916">
        <f t="shared" ref="X67:X98" si="19">IFERROR(W67/I67,"")</f>
        <v>1</v>
      </c>
      <c r="Y67" s="456"/>
      <c r="Z67" s="970">
        <f>'ANALYSE - ERP =&gt; SOUS-SEGMENT'!$BM$132</f>
        <v>2236</v>
      </c>
      <c r="AA67" s="916">
        <f t="shared" ref="AA67:AA98" si="20">IFERROR(Z67/I67,"")</f>
        <v>4</v>
      </c>
      <c r="AB67" s="463"/>
      <c r="AC67" s="465">
        <f>'ANALYSE - ERP =&gt; SOUS-SEGMENT'!$Q$132</f>
        <v>1</v>
      </c>
    </row>
    <row r="68" spans="1:29" s="45" customFormat="1" ht="15" customHeight="1">
      <c r="A68" s="406">
        <v>65</v>
      </c>
      <c r="B68" s="406">
        <v>65</v>
      </c>
      <c r="C68" s="448">
        <f>'ANALYSE - ERP =&gt; SOUS-SEGMENT'!$A$51</f>
        <v>44</v>
      </c>
      <c r="D68" s="449" t="str">
        <f>'ANALYSE - ERP =&gt; SOUS-SEGMENT'!$B$51</f>
        <v>Santé &amp; Médico-social</v>
      </c>
      <c r="E68" s="449" t="str">
        <f>'ANALYSE - ERP =&gt; SOUS-SEGMENT'!$C$51</f>
        <v>Santé spécialisée</v>
      </c>
      <c r="F68" s="449" t="str">
        <f>'ANALYSE - ERP =&gt; SOUS-SEGMENT'!$D$51</f>
        <v>Maternités</v>
      </c>
      <c r="G68" s="685"/>
      <c r="H68" s="407">
        <f>'ANALYSE - ERP =&gt; SOUS-SEGMENT'!$AF$51</f>
        <v>445</v>
      </c>
      <c r="I68" s="407">
        <f>'ANALYSE - ERP =&gt; SOUS-SEGMENT'!$AK$51</f>
        <v>420</v>
      </c>
      <c r="J68" s="685"/>
      <c r="K68" s="407">
        <f t="shared" si="14"/>
        <v>-25</v>
      </c>
      <c r="L68" s="788">
        <f t="shared" si="15"/>
        <v>-1.1497309107864839E-2</v>
      </c>
      <c r="M68" s="685"/>
      <c r="N68" s="971">
        <f>'ANALYSE - ERP =&gt; SOUS-SEGMENT'!$BJ$51+'ANALYSE - ERP =&gt; SOUS-SEGMENT'!$BK$51+'ANALYSE - ERP =&gt; SOUS-SEGMENT'!$BL$51+'ANALYSE - ERP =&gt; SOUS-SEGMENT'!$BM$51</f>
        <v>33180</v>
      </c>
      <c r="O68" s="917">
        <f t="shared" si="16"/>
        <v>79</v>
      </c>
      <c r="P68" s="685"/>
      <c r="Q68" s="971">
        <f>'ANALYSE - ERP =&gt; SOUS-SEGMENT'!$BJ$51</f>
        <v>12600</v>
      </c>
      <c r="R68" s="917">
        <f t="shared" si="17"/>
        <v>30</v>
      </c>
      <c r="S68" s="685"/>
      <c r="T68" s="971">
        <f>'ANALYSE - ERP =&gt; SOUS-SEGMENT'!$BK$51</f>
        <v>8400</v>
      </c>
      <c r="U68" s="917">
        <f t="shared" si="18"/>
        <v>20</v>
      </c>
      <c r="V68" s="685"/>
      <c r="W68" s="971">
        <f>'ANALYSE - ERP =&gt; SOUS-SEGMENT'!$BL$51</f>
        <v>420</v>
      </c>
      <c r="X68" s="917">
        <f t="shared" si="19"/>
        <v>1</v>
      </c>
      <c r="Y68" s="685"/>
      <c r="Z68" s="971">
        <f>'ANALYSE - ERP =&gt; SOUS-SEGMENT'!$BM$51</f>
        <v>11760</v>
      </c>
      <c r="AA68" s="917">
        <f t="shared" si="20"/>
        <v>28</v>
      </c>
      <c r="AB68" s="685"/>
      <c r="AC68" s="466">
        <f>'ANALYSE - ERP =&gt; SOUS-SEGMENT'!$Q$51</f>
        <v>0</v>
      </c>
    </row>
    <row r="69" spans="1:29" ht="15" customHeight="1">
      <c r="A69" s="26">
        <v>66</v>
      </c>
      <c r="B69" s="26">
        <v>66</v>
      </c>
      <c r="C69" s="422">
        <f>'ANALYSE - ERP =&gt; SOUS-SEGMENT'!$A$121</f>
        <v>114</v>
      </c>
      <c r="D69" s="413" t="str">
        <f>'ANALYSE - ERP =&gt; SOUS-SEGMENT'!$B$121</f>
        <v>Transport, Mobilité &amp; Stationnement</v>
      </c>
      <c r="E69" s="413" t="str">
        <f>'ANALYSE - ERP =&gt; SOUS-SEGMENT'!$C$121</f>
        <v>Transport / Mobilité</v>
      </c>
      <c r="F69" s="413" t="str">
        <f>'ANALYSE - ERP =&gt; SOUS-SEGMENT'!$D$121</f>
        <v>Aires de service - Autoroutes
(Hors Aires de repos)</v>
      </c>
      <c r="H69" s="427">
        <f>'ANALYSE - ERP =&gt; SOUS-SEGMENT'!$AF$121</f>
        <v>366</v>
      </c>
      <c r="I69" s="427">
        <f>'ANALYSE - ERP =&gt; SOUS-SEGMENT'!$AK$121</f>
        <v>368</v>
      </c>
      <c r="K69" s="427">
        <f t="shared" si="14"/>
        <v>2</v>
      </c>
      <c r="L69" s="787">
        <f t="shared" si="15"/>
        <v>1.0905151332054608E-3</v>
      </c>
      <c r="N69" s="970">
        <f>'ANALYSE - ERP =&gt; SOUS-SEGMENT'!$BJ$121+'ANALYSE - ERP =&gt; SOUS-SEGMENT'!$BK$121+'ANALYSE - ERP =&gt; SOUS-SEGMENT'!$BL$121+'ANALYSE - ERP =&gt; SOUS-SEGMENT'!$BM$121</f>
        <v>4416</v>
      </c>
      <c r="O69" s="916">
        <f t="shared" si="16"/>
        <v>12</v>
      </c>
      <c r="P69" s="463"/>
      <c r="Q69" s="970">
        <f>'ANALYSE - ERP =&gt; SOUS-SEGMENT'!$BJ$121</f>
        <v>1840</v>
      </c>
      <c r="R69" s="916">
        <f t="shared" si="17"/>
        <v>5</v>
      </c>
      <c r="S69" s="463"/>
      <c r="T69" s="970">
        <f>'ANALYSE - ERP =&gt; SOUS-SEGMENT'!$BK$121</f>
        <v>368</v>
      </c>
      <c r="U69" s="916">
        <f t="shared" si="18"/>
        <v>1</v>
      </c>
      <c r="V69" s="463"/>
      <c r="W69" s="970">
        <f>'ANALYSE - ERP =&gt; SOUS-SEGMENT'!$BL$121</f>
        <v>368</v>
      </c>
      <c r="X69" s="916">
        <f t="shared" si="19"/>
        <v>1</v>
      </c>
      <c r="Y69" s="456"/>
      <c r="Z69" s="970">
        <f>'ANALYSE - ERP =&gt; SOUS-SEGMENT'!$BM$121</f>
        <v>1840</v>
      </c>
      <c r="AA69" s="916">
        <f t="shared" si="20"/>
        <v>5</v>
      </c>
      <c r="AB69" s="463"/>
      <c r="AC69" s="465">
        <f>'ANALYSE - ERP =&gt; SOUS-SEGMENT'!$Q$121</f>
        <v>1</v>
      </c>
    </row>
    <row r="70" spans="1:29" ht="15" customHeight="1">
      <c r="A70" s="26">
        <v>67</v>
      </c>
      <c r="B70" s="26">
        <v>69</v>
      </c>
      <c r="C70" s="422">
        <f>'ANALYSE - ERP =&gt; SOUS-SEGMENT'!$A$135</f>
        <v>128</v>
      </c>
      <c r="D70" s="417" t="str">
        <f>'ANALYSE - ERP =&gt; SOUS-SEGMENT'!$B$135</f>
        <v>Sécurité &amp; Justice</v>
      </c>
      <c r="E70" s="417" t="str">
        <f>'ANALYSE - ERP =&gt; SOUS-SEGMENT'!$C$135</f>
        <v>Forces armées</v>
      </c>
      <c r="F70" s="417" t="str">
        <f>'ANALYSE - ERP =&gt; SOUS-SEGMENT'!$D$135</f>
        <v>Unités d'hébergement des militaires &amp; réservistes</v>
      </c>
      <c r="H70" s="427">
        <f>'ANALYSE - ERP =&gt; SOUS-SEGMENT'!$AF$135</f>
        <v>344</v>
      </c>
      <c r="I70" s="427">
        <f>'ANALYSE - ERP =&gt; SOUS-SEGMENT'!$AK$135</f>
        <v>364</v>
      </c>
      <c r="K70" s="427">
        <f t="shared" si="14"/>
        <v>20</v>
      </c>
      <c r="L70" s="787">
        <f t="shared" si="15"/>
        <v>1.1366555971116687E-2</v>
      </c>
      <c r="N70" s="970">
        <f>'ANALYSE - ERP =&gt; SOUS-SEGMENT'!$BJ$135+'ANALYSE - ERP =&gt; SOUS-SEGMENT'!$BK$135+'ANALYSE - ERP =&gt; SOUS-SEGMENT'!$BL$135+'ANALYSE - ERP =&gt; SOUS-SEGMENT'!$BM$135</f>
        <v>13468</v>
      </c>
      <c r="O70" s="916">
        <f t="shared" si="16"/>
        <v>37</v>
      </c>
      <c r="P70" s="463"/>
      <c r="Q70" s="970">
        <f>'ANALYSE - ERP =&gt; SOUS-SEGMENT'!$BJ$135</f>
        <v>4368</v>
      </c>
      <c r="R70" s="916">
        <f t="shared" si="17"/>
        <v>12</v>
      </c>
      <c r="S70" s="463"/>
      <c r="T70" s="970">
        <f>'ANALYSE - ERP =&gt; SOUS-SEGMENT'!$BK$135</f>
        <v>4368</v>
      </c>
      <c r="U70" s="916">
        <f t="shared" si="18"/>
        <v>12</v>
      </c>
      <c r="V70" s="463"/>
      <c r="W70" s="970">
        <f>'ANALYSE - ERP =&gt; SOUS-SEGMENT'!$BL$135</f>
        <v>1092</v>
      </c>
      <c r="X70" s="916">
        <f t="shared" si="19"/>
        <v>3</v>
      </c>
      <c r="Y70" s="456"/>
      <c r="Z70" s="970">
        <f>'ANALYSE - ERP =&gt; SOUS-SEGMENT'!$BM$135</f>
        <v>3640</v>
      </c>
      <c r="AA70" s="916">
        <f t="shared" si="20"/>
        <v>10</v>
      </c>
      <c r="AB70" s="463"/>
      <c r="AC70" s="465">
        <f>'ANALYSE - ERP =&gt; SOUS-SEGMENT'!$Q$135</f>
        <v>1</v>
      </c>
    </row>
    <row r="71" spans="1:29" ht="15" customHeight="1">
      <c r="A71" s="26">
        <v>68</v>
      </c>
      <c r="B71" s="26">
        <v>67</v>
      </c>
      <c r="C71" s="422">
        <f>'ANALYSE - ERP =&gt; SOUS-SEGMENT'!$A$93</f>
        <v>86</v>
      </c>
      <c r="D71" s="412" t="str">
        <f>'ANALYSE - ERP =&gt; SOUS-SEGMENT'!$B$93</f>
        <v>Hébergement Touristique</v>
      </c>
      <c r="E71" s="412" t="str">
        <f>'ANALYSE - ERP =&gt; SOUS-SEGMENT'!$C$93</f>
        <v>Hébergement Montagne</v>
      </c>
      <c r="F71" s="412" t="str">
        <f>'ANALYSE - ERP =&gt; SOUS-SEGMENT'!$D$93</f>
        <v>Refuges de montagne</v>
      </c>
      <c r="H71" s="427">
        <f>'ANALYSE - ERP =&gt; SOUS-SEGMENT'!$AF$93</f>
        <v>300</v>
      </c>
      <c r="I71" s="427">
        <f>'ANALYSE - ERP =&gt; SOUS-SEGMENT'!$AK$93</f>
        <v>310</v>
      </c>
      <c r="K71" s="427">
        <f t="shared" si="14"/>
        <v>10</v>
      </c>
      <c r="L71" s="787">
        <f t="shared" si="15"/>
        <v>6.5795150976679651E-3</v>
      </c>
      <c r="N71" s="970">
        <f>'ANALYSE - ERP =&gt; SOUS-SEGMENT'!$BJ$93+'ANALYSE - ERP =&gt; SOUS-SEGMENT'!$BK$93+'ANALYSE - ERP =&gt; SOUS-SEGMENT'!$BL$93+'ANALYSE - ERP =&gt; SOUS-SEGMENT'!$BM$93</f>
        <v>3875</v>
      </c>
      <c r="O71" s="916">
        <f t="shared" si="16"/>
        <v>12.5</v>
      </c>
      <c r="P71" s="463"/>
      <c r="Q71" s="970">
        <f>'ANALYSE - ERP =&gt; SOUS-SEGMENT'!$BJ$93</f>
        <v>1240</v>
      </c>
      <c r="R71" s="916">
        <f t="shared" si="17"/>
        <v>4</v>
      </c>
      <c r="S71" s="463"/>
      <c r="T71" s="970">
        <f>'ANALYSE - ERP =&gt; SOUS-SEGMENT'!$BK$93</f>
        <v>1240</v>
      </c>
      <c r="U71" s="916">
        <f t="shared" si="18"/>
        <v>4</v>
      </c>
      <c r="V71" s="463"/>
      <c r="W71" s="970">
        <f>'ANALYSE - ERP =&gt; SOUS-SEGMENT'!$BL$93</f>
        <v>155</v>
      </c>
      <c r="X71" s="916">
        <f t="shared" si="19"/>
        <v>0.5</v>
      </c>
      <c r="Y71" s="456"/>
      <c r="Z71" s="970">
        <f>'ANALYSE - ERP =&gt; SOUS-SEGMENT'!$BM$93</f>
        <v>1240</v>
      </c>
      <c r="AA71" s="916">
        <f t="shared" si="20"/>
        <v>4</v>
      </c>
      <c r="AB71" s="463"/>
      <c r="AC71" s="465">
        <f>'ANALYSE - ERP =&gt; SOUS-SEGMENT'!$Q$93</f>
        <v>1</v>
      </c>
    </row>
    <row r="72" spans="1:29" ht="15" customHeight="1">
      <c r="A72" s="26">
        <v>69</v>
      </c>
      <c r="B72" s="26">
        <v>68</v>
      </c>
      <c r="C72" s="422">
        <f>'ANALYSE - ERP =&gt; SOUS-SEGMENT'!$A$117</f>
        <v>110</v>
      </c>
      <c r="D72" s="415" t="str">
        <f>'ANALYSE - ERP =&gt; SOUS-SEGMENT'!$B$117</f>
        <v>Culte, Vie civique &amp; Services publics</v>
      </c>
      <c r="E72" s="415" t="str">
        <f>'ANALYSE - ERP =&gt; SOUS-SEGMENT'!$C$117</f>
        <v>Culte</v>
      </c>
      <c r="F72" s="415" t="str">
        <f>'ANALYSE - ERP =&gt; SOUS-SEGMENT'!$D$117</f>
        <v>Synagogues et oratoires juifs ouverts au public</v>
      </c>
      <c r="H72" s="427">
        <f>'ANALYSE - ERP =&gt; SOUS-SEGMENT'!$AF$117</f>
        <v>250</v>
      </c>
      <c r="I72" s="427">
        <f>'ANALYSE - ERP =&gt; SOUS-SEGMENT'!$AK$117</f>
        <v>242</v>
      </c>
      <c r="K72" s="427">
        <f t="shared" si="14"/>
        <v>-8</v>
      </c>
      <c r="L72" s="787">
        <f t="shared" si="15"/>
        <v>-6.4835289755327263E-3</v>
      </c>
      <c r="N72" s="970">
        <f>'ANALYSE - ERP =&gt; SOUS-SEGMENT'!$BJ$117+'ANALYSE - ERP =&gt; SOUS-SEGMENT'!$BK$117+'ANALYSE - ERP =&gt; SOUS-SEGMENT'!$BL$117+'ANALYSE - ERP =&gt; SOUS-SEGMENT'!$BM$117</f>
        <v>1573</v>
      </c>
      <c r="O72" s="916">
        <f t="shared" si="16"/>
        <v>6.5</v>
      </c>
      <c r="P72" s="463"/>
      <c r="Q72" s="970">
        <f>'ANALYSE - ERP =&gt; SOUS-SEGMENT'!$BJ$117</f>
        <v>726</v>
      </c>
      <c r="R72" s="916">
        <f t="shared" si="17"/>
        <v>3</v>
      </c>
      <c r="S72" s="463"/>
      <c r="T72" s="970">
        <f>'ANALYSE - ERP =&gt; SOUS-SEGMENT'!$BK$117</f>
        <v>0</v>
      </c>
      <c r="U72" s="916">
        <f t="shared" si="18"/>
        <v>0</v>
      </c>
      <c r="V72" s="463"/>
      <c r="W72" s="970">
        <f>'ANALYSE - ERP =&gt; SOUS-SEGMENT'!$BL$117</f>
        <v>121</v>
      </c>
      <c r="X72" s="916">
        <f t="shared" si="19"/>
        <v>0.5</v>
      </c>
      <c r="Y72" s="456"/>
      <c r="Z72" s="970">
        <f>'ANALYSE - ERP =&gt; SOUS-SEGMENT'!$BM$117</f>
        <v>726</v>
      </c>
      <c r="AA72" s="916">
        <f t="shared" si="20"/>
        <v>3</v>
      </c>
      <c r="AB72" s="463"/>
      <c r="AC72" s="465">
        <f>'ANALYSE - ERP =&gt; SOUS-SEGMENT'!$Q$117</f>
        <v>1</v>
      </c>
    </row>
    <row r="73" spans="1:29" s="45" customFormat="1" ht="15" customHeight="1">
      <c r="A73" s="26">
        <v>70</v>
      </c>
      <c r="B73" s="26">
        <v>71</v>
      </c>
      <c r="C73" s="422">
        <f>'ANALYSE - ERP =&gt; SOUS-SEGMENT'!$A$72</f>
        <v>65</v>
      </c>
      <c r="D73" s="414" t="str">
        <f>'ANALYSE - ERP =&gt; SOUS-SEGMENT'!$B$72</f>
        <v>Culture, Patrimoine &amp; Evénementiel</v>
      </c>
      <c r="E73" s="414" t="str">
        <f>'ANALYSE - ERP =&gt; SOUS-SEGMENT'!$C$72</f>
        <v>Événementiel temporaire</v>
      </c>
      <c r="F73" s="414" t="str">
        <f>'ANALYSE - ERP =&gt; SOUS-SEGMENT'!$D$72</f>
        <v>Chapiteaux / Tentes / Structures</v>
      </c>
      <c r="G73" s="685"/>
      <c r="H73" s="427">
        <f>'ANALYSE - ERP =&gt; SOUS-SEGMENT'!$AF$72</f>
        <v>225</v>
      </c>
      <c r="I73" s="427">
        <f>'ANALYSE - ERP =&gt; SOUS-SEGMENT'!$AK$72</f>
        <v>245</v>
      </c>
      <c r="J73" s="685"/>
      <c r="K73" s="427">
        <f t="shared" si="14"/>
        <v>20</v>
      </c>
      <c r="L73" s="787">
        <f t="shared" si="15"/>
        <v>1.7177425634888444E-2</v>
      </c>
      <c r="M73" s="685"/>
      <c r="N73" s="970">
        <f>'ANALYSE - ERP =&gt; SOUS-SEGMENT'!$BJ$72+'ANALYSE - ERP =&gt; SOUS-SEGMENT'!$BK$72+'ANALYSE - ERP =&gt; SOUS-SEGMENT'!$BL$72+'ANALYSE - ERP =&gt; SOUS-SEGMENT'!$BM$72</f>
        <v>7423.5</v>
      </c>
      <c r="O73" s="916">
        <f t="shared" si="16"/>
        <v>30.3</v>
      </c>
      <c r="P73" s="685"/>
      <c r="Q73" s="970">
        <f>'ANALYSE - ERP =&gt; SOUS-SEGMENT'!$BJ$72</f>
        <v>3430</v>
      </c>
      <c r="R73" s="916">
        <f t="shared" si="17"/>
        <v>14</v>
      </c>
      <c r="S73" s="685"/>
      <c r="T73" s="970">
        <f>'ANALYSE - ERP =&gt; SOUS-SEGMENT'!$BK$72</f>
        <v>73.5</v>
      </c>
      <c r="U73" s="916">
        <f t="shared" si="18"/>
        <v>0.3</v>
      </c>
      <c r="V73" s="685"/>
      <c r="W73" s="970">
        <f>'ANALYSE - ERP =&gt; SOUS-SEGMENT'!$BL$72</f>
        <v>980</v>
      </c>
      <c r="X73" s="916">
        <f t="shared" si="19"/>
        <v>4</v>
      </c>
      <c r="Y73" s="685"/>
      <c r="Z73" s="970">
        <f>'ANALYSE - ERP =&gt; SOUS-SEGMENT'!$BM$72</f>
        <v>2940</v>
      </c>
      <c r="AA73" s="916">
        <f t="shared" si="20"/>
        <v>12</v>
      </c>
      <c r="AB73" s="685"/>
      <c r="AC73" s="465">
        <f>'ANALYSE - ERP =&gt; SOUS-SEGMENT'!$Q$72</f>
        <v>1</v>
      </c>
    </row>
    <row r="74" spans="1:29" ht="15" customHeight="1">
      <c r="A74" s="26">
        <v>71</v>
      </c>
      <c r="B74" s="26">
        <v>70</v>
      </c>
      <c r="C74" s="422">
        <f>'ANALYSE - ERP =&gt; SOUS-SEGMENT'!$A$105</f>
        <v>98</v>
      </c>
      <c r="D74" s="415" t="str">
        <f>'ANALYSE - ERP =&gt; SOUS-SEGMENT'!$B$105</f>
        <v>Culte, Vie civique &amp; Services publics</v>
      </c>
      <c r="E74" s="415" t="str">
        <f>'ANALYSE - ERP =&gt; SOUS-SEGMENT'!$C$105</f>
        <v>Administrations / services publics</v>
      </c>
      <c r="F74" s="415" t="str">
        <f>'ANALYSE - ERP =&gt; SOUS-SEGMENT'!$D$105</f>
        <v>Préfectures / services administratifs</v>
      </c>
      <c r="H74" s="427">
        <f>'ANALYSE - ERP =&gt; SOUS-SEGMENT'!$AF$105</f>
        <v>334</v>
      </c>
      <c r="I74" s="427">
        <f>'ANALYSE - ERP =&gt; SOUS-SEGMENT'!$AK$105</f>
        <v>334</v>
      </c>
      <c r="K74" s="427">
        <f t="shared" si="14"/>
        <v>0</v>
      </c>
      <c r="L74" s="787">
        <f t="shared" si="15"/>
        <v>0</v>
      </c>
      <c r="N74" s="970">
        <f>'ANALYSE - ERP =&gt; SOUS-SEGMENT'!$BJ$105+'ANALYSE - ERP =&gt; SOUS-SEGMENT'!$BK$105+'ANALYSE - ERP =&gt; SOUS-SEGMENT'!$BL$105+'ANALYSE - ERP =&gt; SOUS-SEGMENT'!$BM$105</f>
        <v>12024</v>
      </c>
      <c r="O74" s="916">
        <f t="shared" si="16"/>
        <v>36</v>
      </c>
      <c r="P74" s="463"/>
      <c r="Q74" s="970">
        <f>'ANALYSE - ERP =&gt; SOUS-SEGMENT'!$BJ$105</f>
        <v>6012</v>
      </c>
      <c r="R74" s="916">
        <f t="shared" si="17"/>
        <v>18</v>
      </c>
      <c r="S74" s="463"/>
      <c r="T74" s="970">
        <f>'ANALYSE - ERP =&gt; SOUS-SEGMENT'!$BK$105</f>
        <v>0</v>
      </c>
      <c r="U74" s="916">
        <f t="shared" si="18"/>
        <v>0</v>
      </c>
      <c r="V74" s="463"/>
      <c r="W74" s="970">
        <f>'ANALYSE - ERP =&gt; SOUS-SEGMENT'!$BL$105</f>
        <v>1336</v>
      </c>
      <c r="X74" s="916">
        <f t="shared" si="19"/>
        <v>4</v>
      </c>
      <c r="Y74" s="456"/>
      <c r="Z74" s="970">
        <f>'ANALYSE - ERP =&gt; SOUS-SEGMENT'!$BM$105</f>
        <v>4676</v>
      </c>
      <c r="AA74" s="916">
        <f t="shared" si="20"/>
        <v>14</v>
      </c>
      <c r="AB74" s="463"/>
      <c r="AC74" s="465">
        <f>'ANALYSE - ERP =&gt; SOUS-SEGMENT'!$Q$105</f>
        <v>1</v>
      </c>
    </row>
    <row r="75" spans="1:29" ht="15" customHeight="1">
      <c r="A75" s="26">
        <v>72</v>
      </c>
      <c r="B75" s="26">
        <v>72</v>
      </c>
      <c r="C75" s="422">
        <f>'ANALYSE - ERP =&gt; SOUS-SEGMENT'!$A$137</f>
        <v>130</v>
      </c>
      <c r="D75" s="417" t="str">
        <f>'ANALYSE - ERP =&gt; SOUS-SEGMENT'!$B$137</f>
        <v>Sécurité &amp; Justice</v>
      </c>
      <c r="E75" s="417" t="str">
        <f>'ANALYSE - ERP =&gt; SOUS-SEGMENT'!$C$137</f>
        <v>Forces armées</v>
      </c>
      <c r="F75" s="417" t="str">
        <f>'ANALYSE - ERP =&gt; SOUS-SEGMENT'!$D$137</f>
        <v>Restaurants ou équipements sportifs ouverts au public sur emprise militaire</v>
      </c>
      <c r="H75" s="427">
        <f>'ANALYSE - ERP =&gt; SOUS-SEGMENT'!$AF$137</f>
        <v>300</v>
      </c>
      <c r="I75" s="427">
        <f>'ANALYSE - ERP =&gt; SOUS-SEGMENT'!$AK$137</f>
        <v>300</v>
      </c>
      <c r="K75" s="427">
        <f t="shared" si="14"/>
        <v>0</v>
      </c>
      <c r="L75" s="787">
        <f t="shared" si="15"/>
        <v>0</v>
      </c>
      <c r="N75" s="970">
        <f>'ANALYSE - ERP =&gt; SOUS-SEGMENT'!$BJ$137+'ANALYSE - ERP =&gt; SOUS-SEGMENT'!$BK$137+'ANALYSE - ERP =&gt; SOUS-SEGMENT'!$BL$137+'ANALYSE - ERP =&gt; SOUS-SEGMENT'!$BM$137</f>
        <v>2400</v>
      </c>
      <c r="O75" s="916">
        <f t="shared" si="16"/>
        <v>8</v>
      </c>
      <c r="P75" s="463"/>
      <c r="Q75" s="970">
        <f>'ANALYSE - ERP =&gt; SOUS-SEGMENT'!$BJ$137</f>
        <v>1200</v>
      </c>
      <c r="R75" s="916">
        <f t="shared" si="17"/>
        <v>4</v>
      </c>
      <c r="S75" s="463"/>
      <c r="T75" s="970">
        <f>'ANALYSE - ERP =&gt; SOUS-SEGMENT'!$BK$137</f>
        <v>0</v>
      </c>
      <c r="U75" s="916">
        <f t="shared" si="18"/>
        <v>0</v>
      </c>
      <c r="V75" s="463"/>
      <c r="W75" s="970">
        <f>'ANALYSE - ERP =&gt; SOUS-SEGMENT'!$BL$137</f>
        <v>300</v>
      </c>
      <c r="X75" s="916">
        <f t="shared" si="19"/>
        <v>1</v>
      </c>
      <c r="Y75" s="456"/>
      <c r="Z75" s="970">
        <f>'ANALYSE - ERP =&gt; SOUS-SEGMENT'!$BM$137</f>
        <v>900</v>
      </c>
      <c r="AA75" s="916">
        <f t="shared" si="20"/>
        <v>3</v>
      </c>
      <c r="AB75" s="463"/>
      <c r="AC75" s="465">
        <f>'ANALYSE - ERP =&gt; SOUS-SEGMENT'!$Q$137</f>
        <v>1</v>
      </c>
    </row>
    <row r="76" spans="1:29" ht="15" customHeight="1">
      <c r="A76" s="26">
        <v>73</v>
      </c>
      <c r="B76" s="26">
        <v>74</v>
      </c>
      <c r="C76" s="422">
        <f>'ANALYSE - ERP =&gt; SOUS-SEGMENT'!$A$78</f>
        <v>71</v>
      </c>
      <c r="D76" s="413" t="str">
        <f>'ANALYSE - ERP =&gt; SOUS-SEGMENT'!$B$78</f>
        <v>Commerce, Restauration &amp; Loisirs</v>
      </c>
      <c r="E76" s="413" t="str">
        <f>'ANALYSE - ERP =&gt; SOUS-SEGMENT'!$C$78</f>
        <v>Restauration / boissons</v>
      </c>
      <c r="F76" s="413" t="str">
        <f>'ANALYSE - ERP =&gt; SOUS-SEGMENT'!$D$78</f>
        <v>Établissements flottants</v>
      </c>
      <c r="H76" s="427">
        <f>'ANALYSE - ERP =&gt; SOUS-SEGMENT'!$AF$78</f>
        <v>270</v>
      </c>
      <c r="I76" s="427">
        <f>'ANALYSE - ERP =&gt; SOUS-SEGMENT'!$AK$78</f>
        <v>290</v>
      </c>
      <c r="K76" s="427">
        <f t="shared" si="14"/>
        <v>20</v>
      </c>
      <c r="L76" s="787">
        <f t="shared" si="15"/>
        <v>1.4394408739590636E-2</v>
      </c>
      <c r="N76" s="970">
        <f>'ANALYSE - ERP =&gt; SOUS-SEGMENT'!$BJ$78+'ANALYSE - ERP =&gt; SOUS-SEGMENT'!$BK$78+'ANALYSE - ERP =&gt; SOUS-SEGMENT'!$BL$78+'ANALYSE - ERP =&gt; SOUS-SEGMENT'!$BM$78</f>
        <v>2900</v>
      </c>
      <c r="O76" s="916">
        <f t="shared" si="16"/>
        <v>10</v>
      </c>
      <c r="P76" s="463"/>
      <c r="Q76" s="970">
        <f>'ANALYSE - ERP =&gt; SOUS-SEGMENT'!$BJ$78</f>
        <v>1450</v>
      </c>
      <c r="R76" s="916">
        <f t="shared" si="17"/>
        <v>5</v>
      </c>
      <c r="S76" s="463"/>
      <c r="T76" s="970">
        <f>'ANALYSE - ERP =&gt; SOUS-SEGMENT'!$BK$78</f>
        <v>0</v>
      </c>
      <c r="U76" s="916">
        <f t="shared" si="18"/>
        <v>0</v>
      </c>
      <c r="V76" s="463"/>
      <c r="W76" s="970">
        <f>'ANALYSE - ERP =&gt; SOUS-SEGMENT'!$BL$78</f>
        <v>290</v>
      </c>
      <c r="X76" s="916">
        <f t="shared" si="19"/>
        <v>1</v>
      </c>
      <c r="Y76" s="456"/>
      <c r="Z76" s="970">
        <f>'ANALYSE - ERP =&gt; SOUS-SEGMENT'!$BM$78</f>
        <v>1160</v>
      </c>
      <c r="AA76" s="916">
        <f t="shared" si="20"/>
        <v>4</v>
      </c>
      <c r="AB76" s="463"/>
      <c r="AC76" s="465">
        <f>'ANALYSE - ERP =&gt; SOUS-SEGMENT'!$Q$78</f>
        <v>1</v>
      </c>
    </row>
    <row r="77" spans="1:29" ht="15" customHeight="1">
      <c r="A77" s="26">
        <v>74</v>
      </c>
      <c r="B77" s="26">
        <v>73</v>
      </c>
      <c r="C77" s="422">
        <f>'ANALYSE - ERP =&gt; SOUS-SEGMENT'!$A$31</f>
        <v>24</v>
      </c>
      <c r="D77" s="410" t="str">
        <f>'ANALYSE - ERP =&gt; SOUS-SEGMENT'!$B$31</f>
        <v>Sports &amp; Loisirs</v>
      </c>
      <c r="E77" s="410" t="str">
        <f>'ANALYSE - ERP =&gt; SOUS-SEGMENT'!$C$31</f>
        <v>Sport de plein air</v>
      </c>
      <c r="F77" s="410" t="str">
        <f>'ANALYSE - ERP =&gt; SOUS-SEGMENT'!$D$31</f>
        <v>Piscines extérieures 
(Hors campings, hôtels, résidences et établissement avec bassin intérieur)</v>
      </c>
      <c r="H77" s="427">
        <f>'ANALYSE - ERP =&gt; SOUS-SEGMENT'!$AF$31</f>
        <v>290</v>
      </c>
      <c r="I77" s="427">
        <f>'ANALYSE - ERP =&gt; SOUS-SEGMENT'!$AK$31</f>
        <v>250</v>
      </c>
      <c r="K77" s="427">
        <f t="shared" si="14"/>
        <v>-40</v>
      </c>
      <c r="L77" s="787">
        <f t="shared" si="15"/>
        <v>-2.9247758199096863E-2</v>
      </c>
      <c r="N77" s="970">
        <f>'ANALYSE - ERP =&gt; SOUS-SEGMENT'!$BJ$31+'ANALYSE - ERP =&gt; SOUS-SEGMENT'!$BK$31+'ANALYSE - ERP =&gt; SOUS-SEGMENT'!$BL$31+'ANALYSE - ERP =&gt; SOUS-SEGMENT'!$BM$31</f>
        <v>30000</v>
      </c>
      <c r="O77" s="916">
        <f t="shared" si="16"/>
        <v>120</v>
      </c>
      <c r="P77" s="463"/>
      <c r="Q77" s="970">
        <f>'ANALYSE - ERP =&gt; SOUS-SEGMENT'!$BJ$31</f>
        <v>7500</v>
      </c>
      <c r="R77" s="916">
        <f t="shared" si="17"/>
        <v>30</v>
      </c>
      <c r="S77" s="463"/>
      <c r="T77" s="970">
        <f>'ANALYSE - ERP =&gt; SOUS-SEGMENT'!$BK$31</f>
        <v>16250</v>
      </c>
      <c r="U77" s="916">
        <f t="shared" si="18"/>
        <v>65</v>
      </c>
      <c r="V77" s="463"/>
      <c r="W77" s="970">
        <f>'ANALYSE - ERP =&gt; SOUS-SEGMENT'!$BL$31</f>
        <v>1250</v>
      </c>
      <c r="X77" s="916">
        <f t="shared" si="19"/>
        <v>5</v>
      </c>
      <c r="Y77" s="456"/>
      <c r="Z77" s="970">
        <f>'ANALYSE - ERP =&gt; SOUS-SEGMENT'!$BM$31</f>
        <v>5000</v>
      </c>
      <c r="AA77" s="916">
        <f t="shared" si="20"/>
        <v>20</v>
      </c>
      <c r="AB77" s="463"/>
      <c r="AC77" s="465">
        <f>'ANALYSE - ERP =&gt; SOUS-SEGMENT'!$Q$31</f>
        <v>1</v>
      </c>
    </row>
    <row r="78" spans="1:29" ht="15" customHeight="1">
      <c r="A78" s="26">
        <v>75</v>
      </c>
      <c r="B78" s="26">
        <v>75</v>
      </c>
      <c r="C78" s="422">
        <f>'ANALYSE - ERP =&gt; SOUS-SEGMENT'!$A$17</f>
        <v>10</v>
      </c>
      <c r="D78" s="411" t="str">
        <f>'ANALYSE - ERP =&gt; SOUS-SEGMENT'!$B$17</f>
        <v>Enfance, Enseignement, Jeunesse &amp; Formation</v>
      </c>
      <c r="E78" s="411" t="str">
        <f>'ANALYSE - ERP =&gt; SOUS-SEGMENT'!$C$17</f>
        <v>Enseignement supérieur</v>
      </c>
      <c r="F78" s="411" t="str">
        <f>'ANALYSE - ERP =&gt; SOUS-SEGMENT'!$D$17</f>
        <v>Grandes écoles</v>
      </c>
      <c r="H78" s="427">
        <f>'ANALYSE - ERP =&gt; SOUS-SEGMENT'!$AF$17</f>
        <v>232</v>
      </c>
      <c r="I78" s="427">
        <f>'ANALYSE - ERP =&gt; SOUS-SEGMENT'!$AK$17</f>
        <v>242</v>
      </c>
      <c r="K78" s="427">
        <f t="shared" si="14"/>
        <v>10</v>
      </c>
      <c r="L78" s="787">
        <f t="shared" si="15"/>
        <v>8.4757887127040465E-3</v>
      </c>
      <c r="N78" s="970">
        <f>'ANALYSE - ERP =&gt; SOUS-SEGMENT'!$BJ$17+'ANALYSE - ERP =&gt; SOUS-SEGMENT'!$BK$17+'ANALYSE - ERP =&gt; SOUS-SEGMENT'!$BL$17+'ANALYSE - ERP =&gt; SOUS-SEGMENT'!$BM$17</f>
        <v>26862</v>
      </c>
      <c r="O78" s="916">
        <f t="shared" si="16"/>
        <v>111</v>
      </c>
      <c r="P78" s="463"/>
      <c r="Q78" s="970">
        <f>'ANALYSE - ERP =&gt; SOUS-SEGMENT'!$BJ$17</f>
        <v>14520</v>
      </c>
      <c r="R78" s="916">
        <f t="shared" si="17"/>
        <v>60</v>
      </c>
      <c r="S78" s="463"/>
      <c r="T78" s="970">
        <f>'ANALYSE - ERP =&gt; SOUS-SEGMENT'!$BK$17</f>
        <v>484</v>
      </c>
      <c r="U78" s="916">
        <f t="shared" si="18"/>
        <v>2</v>
      </c>
      <c r="V78" s="463"/>
      <c r="W78" s="970">
        <f>'ANALYSE - ERP =&gt; SOUS-SEGMENT'!$BL$17</f>
        <v>3388</v>
      </c>
      <c r="X78" s="916">
        <f t="shared" si="19"/>
        <v>14</v>
      </c>
      <c r="Y78" s="456"/>
      <c r="Z78" s="970">
        <f>'ANALYSE - ERP =&gt; SOUS-SEGMENT'!$BM$17</f>
        <v>8470</v>
      </c>
      <c r="AA78" s="916">
        <f t="shared" si="20"/>
        <v>35</v>
      </c>
      <c r="AB78" s="463"/>
      <c r="AC78" s="465">
        <f>'ANALYSE - ERP =&gt; SOUS-SEGMENT'!$Q$17</f>
        <v>1</v>
      </c>
    </row>
    <row r="79" spans="1:29" ht="15" customHeight="1">
      <c r="A79" s="26">
        <v>76</v>
      </c>
      <c r="B79" s="26">
        <v>77</v>
      </c>
      <c r="C79" s="422">
        <f>'ANALYSE - ERP =&gt; SOUS-SEGMENT'!$A$70</f>
        <v>63</v>
      </c>
      <c r="D79" s="414" t="str">
        <f>'ANALYSE - ERP =&gt; SOUS-SEGMENT'!$B$70</f>
        <v>Culture, Patrimoine &amp; Evénementiel</v>
      </c>
      <c r="E79" s="414" t="str">
        <f>'ANALYSE - ERP =&gt; SOUS-SEGMENT'!$C$70</f>
        <v>Expositions / salons</v>
      </c>
      <c r="F79" s="414" t="str">
        <f>'ANALYSE - ERP =&gt; SOUS-SEGMENT'!$D$70</f>
        <v>Foires / Salons</v>
      </c>
      <c r="H79" s="427">
        <f>'ANALYSE - ERP =&gt; SOUS-SEGMENT'!$AF$70</f>
        <v>230</v>
      </c>
      <c r="I79" s="427">
        <f>'ANALYSE - ERP =&gt; SOUS-SEGMENT'!$AK$70</f>
        <v>235</v>
      </c>
      <c r="K79" s="427">
        <f t="shared" si="14"/>
        <v>5</v>
      </c>
      <c r="L79" s="787">
        <f t="shared" si="15"/>
        <v>4.3105046583700179E-3</v>
      </c>
      <c r="N79" s="970">
        <f>'ANALYSE - ERP =&gt; SOUS-SEGMENT'!$BJ$70+'ANALYSE - ERP =&gt; SOUS-SEGMENT'!$BK$70+'ANALYSE - ERP =&gt; SOUS-SEGMENT'!$BL$70+'ANALYSE - ERP =&gt; SOUS-SEGMENT'!$BM$70</f>
        <v>29610</v>
      </c>
      <c r="O79" s="916">
        <f t="shared" si="16"/>
        <v>126</v>
      </c>
      <c r="P79" s="463"/>
      <c r="Q79" s="970">
        <f>'ANALYSE - ERP =&gt; SOUS-SEGMENT'!$BJ$70</f>
        <v>13160</v>
      </c>
      <c r="R79" s="916">
        <f t="shared" si="17"/>
        <v>56</v>
      </c>
      <c r="S79" s="463"/>
      <c r="T79" s="970">
        <f>'ANALYSE - ERP =&gt; SOUS-SEGMENT'!$BK$70</f>
        <v>1175</v>
      </c>
      <c r="U79" s="916">
        <f t="shared" si="18"/>
        <v>5</v>
      </c>
      <c r="V79" s="463"/>
      <c r="W79" s="970">
        <f>'ANALYSE - ERP =&gt; SOUS-SEGMENT'!$BL$70</f>
        <v>2820</v>
      </c>
      <c r="X79" s="916">
        <f t="shared" si="19"/>
        <v>12</v>
      </c>
      <c r="Y79" s="456"/>
      <c r="Z79" s="970">
        <f>'ANALYSE - ERP =&gt; SOUS-SEGMENT'!$BM$70</f>
        <v>12455</v>
      </c>
      <c r="AA79" s="916">
        <f t="shared" si="20"/>
        <v>53</v>
      </c>
      <c r="AB79" s="463"/>
      <c r="AC79" s="465">
        <f>'ANALYSE - ERP =&gt; SOUS-SEGMENT'!$Q$70</f>
        <v>1</v>
      </c>
    </row>
    <row r="80" spans="1:29" ht="15" customHeight="1">
      <c r="A80" s="26">
        <v>77</v>
      </c>
      <c r="B80" s="26">
        <v>76</v>
      </c>
      <c r="C80" s="422">
        <f>'ANALYSE - ERP =&gt; SOUS-SEGMENT'!$A$30</f>
        <v>23</v>
      </c>
      <c r="D80" s="410" t="str">
        <f>'ANALYSE - ERP =&gt; SOUS-SEGMENT'!$B$30</f>
        <v>Sports &amp; Loisirs</v>
      </c>
      <c r="E80" s="410" t="str">
        <f>'ANALYSE - ERP =&gt; SOUS-SEGMENT'!$C$30</f>
        <v>Sport de plein air</v>
      </c>
      <c r="F80" s="410" t="str">
        <f>'ANALYSE - ERP =&gt; SOUS-SEGMENT'!$D$30</f>
        <v>Hippodromes, Centres équestres &amp; Manèges couverts</v>
      </c>
      <c r="H80" s="427">
        <f>'ANALYSE - ERP =&gt; SOUS-SEGMENT'!$AF$30</f>
        <v>3850</v>
      </c>
      <c r="I80" s="427">
        <f>'ANALYSE - ERP =&gt; SOUS-SEGMENT'!$AK$30</f>
        <v>3725</v>
      </c>
      <c r="K80" s="427">
        <f t="shared" si="14"/>
        <v>-125</v>
      </c>
      <c r="L80" s="787">
        <f t="shared" si="15"/>
        <v>-6.5795188459183418E-3</v>
      </c>
      <c r="N80" s="970">
        <f>'ANALYSE - ERP =&gt; SOUS-SEGMENT'!$BJ$30+'ANALYSE - ERP =&gt; SOUS-SEGMENT'!$BK$30+'ANALYSE - ERP =&gt; SOUS-SEGMENT'!$BL$30+'ANALYSE - ERP =&gt; SOUS-SEGMENT'!$BM$30</f>
        <v>85675</v>
      </c>
      <c r="O80" s="916">
        <f t="shared" si="16"/>
        <v>23</v>
      </c>
      <c r="P80" s="463"/>
      <c r="Q80" s="970">
        <f>'ANALYSE - ERP =&gt; SOUS-SEGMENT'!$BJ$30</f>
        <v>29800</v>
      </c>
      <c r="R80" s="916">
        <f t="shared" si="17"/>
        <v>8</v>
      </c>
      <c r="S80" s="463"/>
      <c r="T80" s="970">
        <f>'ANALYSE - ERP =&gt; SOUS-SEGMENT'!$BK$30</f>
        <v>22350</v>
      </c>
      <c r="U80" s="916">
        <f t="shared" si="18"/>
        <v>6</v>
      </c>
      <c r="V80" s="463"/>
      <c r="W80" s="970">
        <f>'ANALYSE - ERP =&gt; SOUS-SEGMENT'!$BL$30</f>
        <v>7450</v>
      </c>
      <c r="X80" s="916">
        <f t="shared" si="19"/>
        <v>2</v>
      </c>
      <c r="Y80" s="456"/>
      <c r="Z80" s="970">
        <f>'ANALYSE - ERP =&gt; SOUS-SEGMENT'!$BM$30</f>
        <v>26075</v>
      </c>
      <c r="AA80" s="916">
        <f t="shared" si="20"/>
        <v>7</v>
      </c>
      <c r="AB80" s="463"/>
      <c r="AC80" s="465">
        <f>'ANALYSE - ERP =&gt; SOUS-SEGMENT'!$Q$30</f>
        <v>1</v>
      </c>
    </row>
    <row r="81" spans="1:29" ht="15" customHeight="1">
      <c r="A81" s="26">
        <v>78</v>
      </c>
      <c r="B81" s="26">
        <v>78</v>
      </c>
      <c r="C81" s="422">
        <f>'ANALYSE - ERP =&gt; SOUS-SEGMENT'!$A$92</f>
        <v>85</v>
      </c>
      <c r="D81" s="412" t="str">
        <f>'ANALYSE - ERP =&gt; SOUS-SEGMENT'!$B$92</f>
        <v>Hébergement Touristique</v>
      </c>
      <c r="E81" s="412" t="str">
        <f>'ANALYSE - ERP =&gt; SOUS-SEGMENT'!$C$92</f>
        <v>Hébergement Montagne</v>
      </c>
      <c r="F81" s="412" t="str">
        <f>'ANALYSE - ERP =&gt; SOUS-SEGMENT'!$D$92</f>
        <v>Hôtels-restaurants d’altitude</v>
      </c>
      <c r="H81" s="427">
        <f>'ANALYSE - ERP =&gt; SOUS-SEGMENT'!$AF$92</f>
        <v>400</v>
      </c>
      <c r="I81" s="427">
        <f>'ANALYSE - ERP =&gt; SOUS-SEGMENT'!$AK$92</f>
        <v>420</v>
      </c>
      <c r="K81" s="427">
        <f t="shared" si="14"/>
        <v>20</v>
      </c>
      <c r="L81" s="787">
        <f t="shared" si="15"/>
        <v>9.805797673485328E-3</v>
      </c>
      <c r="N81" s="970">
        <f>'ANALYSE - ERP =&gt; SOUS-SEGMENT'!$BJ$92+'ANALYSE - ERP =&gt; SOUS-SEGMENT'!$BK$92+'ANALYSE - ERP =&gt; SOUS-SEGMENT'!$BL$92+'ANALYSE - ERP =&gt; SOUS-SEGMENT'!$BM$92</f>
        <v>6300</v>
      </c>
      <c r="O81" s="916">
        <f t="shared" si="16"/>
        <v>15</v>
      </c>
      <c r="P81" s="463"/>
      <c r="Q81" s="970">
        <f>'ANALYSE - ERP =&gt; SOUS-SEGMENT'!$BJ$92</f>
        <v>2100</v>
      </c>
      <c r="R81" s="916">
        <f t="shared" si="17"/>
        <v>5</v>
      </c>
      <c r="S81" s="463"/>
      <c r="T81" s="970">
        <f>'ANALYSE - ERP =&gt; SOUS-SEGMENT'!$BK$92</f>
        <v>1680</v>
      </c>
      <c r="U81" s="916">
        <f t="shared" si="18"/>
        <v>4</v>
      </c>
      <c r="V81" s="463"/>
      <c r="W81" s="970">
        <f>'ANALYSE - ERP =&gt; SOUS-SEGMENT'!$BL$92</f>
        <v>420</v>
      </c>
      <c r="X81" s="916">
        <f t="shared" si="19"/>
        <v>1</v>
      </c>
      <c r="Y81" s="456"/>
      <c r="Z81" s="970">
        <f>'ANALYSE - ERP =&gt; SOUS-SEGMENT'!$BM$92</f>
        <v>2100</v>
      </c>
      <c r="AA81" s="916">
        <f t="shared" si="20"/>
        <v>5</v>
      </c>
      <c r="AB81" s="463"/>
      <c r="AC81" s="465">
        <f>'ANALYSE - ERP =&gt; SOUS-SEGMENT'!$Q$92</f>
        <v>1</v>
      </c>
    </row>
    <row r="82" spans="1:29" ht="15" customHeight="1">
      <c r="A82" s="26">
        <v>79</v>
      </c>
      <c r="B82" s="26">
        <v>79</v>
      </c>
      <c r="C82" s="422">
        <f>'ANALYSE - ERP =&gt; SOUS-SEGMENT'!$A$149</f>
        <v>142</v>
      </c>
      <c r="D82" s="417" t="str">
        <f>'ANALYSE - ERP =&gt; SOUS-SEGMENT'!$B$149</f>
        <v>Sécurité &amp; Justice</v>
      </c>
      <c r="E82" s="417" t="str">
        <f>'ANALYSE - ERP =&gt; SOUS-SEGMENT'!$C$149</f>
        <v>Tribunaux</v>
      </c>
      <c r="F82" s="417" t="str">
        <f>'ANALYSE - ERP =&gt; SOUS-SEGMENT'!$D$149</f>
        <v>Conseils de prud’hommes autonomes</v>
      </c>
      <c r="H82" s="427">
        <f>'ANALYSE - ERP =&gt; SOUS-SEGMENT'!$AF$149</f>
        <v>211</v>
      </c>
      <c r="I82" s="427">
        <f>'ANALYSE - ERP =&gt; SOUS-SEGMENT'!$AK$149</f>
        <v>211</v>
      </c>
      <c r="K82" s="427">
        <f t="shared" si="14"/>
        <v>0</v>
      </c>
      <c r="L82" s="787">
        <f t="shared" si="15"/>
        <v>0</v>
      </c>
      <c r="N82" s="970">
        <f>'ANALYSE - ERP =&gt; SOUS-SEGMENT'!$BJ$149+'ANALYSE - ERP =&gt; SOUS-SEGMENT'!$BK$149+'ANALYSE - ERP =&gt; SOUS-SEGMENT'!$BL$149+'ANALYSE - ERP =&gt; SOUS-SEGMENT'!$BM$149</f>
        <v>3165</v>
      </c>
      <c r="O82" s="916">
        <f t="shared" si="16"/>
        <v>15</v>
      </c>
      <c r="P82" s="463"/>
      <c r="Q82" s="970">
        <f>'ANALYSE - ERP =&gt; SOUS-SEGMENT'!$BJ$149</f>
        <v>1477</v>
      </c>
      <c r="R82" s="916">
        <f t="shared" si="17"/>
        <v>7</v>
      </c>
      <c r="S82" s="463"/>
      <c r="T82" s="970">
        <f>'ANALYSE - ERP =&gt; SOUS-SEGMENT'!$BK$149</f>
        <v>0</v>
      </c>
      <c r="U82" s="916">
        <f t="shared" si="18"/>
        <v>0</v>
      </c>
      <c r="V82" s="463"/>
      <c r="W82" s="970">
        <f>'ANALYSE - ERP =&gt; SOUS-SEGMENT'!$BL$149</f>
        <v>211</v>
      </c>
      <c r="X82" s="916">
        <f t="shared" si="19"/>
        <v>1</v>
      </c>
      <c r="Y82" s="456"/>
      <c r="Z82" s="970">
        <f>'ANALYSE - ERP =&gt; SOUS-SEGMENT'!$BM$149</f>
        <v>1477</v>
      </c>
      <c r="AA82" s="916">
        <f t="shared" si="20"/>
        <v>7</v>
      </c>
      <c r="AB82" s="463"/>
      <c r="AC82" s="465">
        <f>'ANALYSE - ERP =&gt; SOUS-SEGMENT'!$Q$149</f>
        <v>1</v>
      </c>
    </row>
    <row r="83" spans="1:29" ht="15" customHeight="1">
      <c r="A83" s="26">
        <v>80</v>
      </c>
      <c r="B83" s="26">
        <v>80</v>
      </c>
      <c r="C83" s="422" t="e">
        <f>'ANALYSE - ERP =&gt; SOUS-SEGMENT'!#REF!</f>
        <v>#REF!</v>
      </c>
      <c r="D83" s="417" t="e">
        <f>'ANALYSE - ERP =&gt; SOUS-SEGMENT'!#REF!</f>
        <v>#REF!</v>
      </c>
      <c r="E83" s="417" t="e">
        <f>'ANALYSE - ERP =&gt; SOUS-SEGMENT'!#REF!</f>
        <v>#REF!</v>
      </c>
      <c r="F83" s="417" t="e">
        <f>'ANALYSE - ERP =&gt; SOUS-SEGMENT'!#REF!</f>
        <v>#REF!</v>
      </c>
      <c r="H83" s="427" t="e">
        <f>'ANALYSE - ERP =&gt; SOUS-SEGMENT'!#REF!</f>
        <v>#REF!</v>
      </c>
      <c r="I83" s="427" t="e">
        <f>'ANALYSE - ERP =&gt; SOUS-SEGMENT'!#REF!</f>
        <v>#REF!</v>
      </c>
      <c r="K83" s="427" t="e">
        <f t="shared" si="14"/>
        <v>#REF!</v>
      </c>
      <c r="L83" s="787" t="str">
        <f t="shared" si="15"/>
        <v/>
      </c>
      <c r="N83" s="970" t="e">
        <f>'ANALYSE - ERP =&gt; SOUS-SEGMENT'!#REF!+'ANALYSE - ERP =&gt; SOUS-SEGMENT'!#REF!+'ANALYSE - ERP =&gt; SOUS-SEGMENT'!#REF!+'ANALYSE - ERP =&gt; SOUS-SEGMENT'!#REF!</f>
        <v>#REF!</v>
      </c>
      <c r="O83" s="916" t="str">
        <f t="shared" si="16"/>
        <v/>
      </c>
      <c r="P83" s="463"/>
      <c r="Q83" s="970" t="e">
        <f>'ANALYSE - ERP =&gt; SOUS-SEGMENT'!#REF!</f>
        <v>#REF!</v>
      </c>
      <c r="R83" s="916" t="str">
        <f t="shared" si="17"/>
        <v/>
      </c>
      <c r="S83" s="463"/>
      <c r="T83" s="970" t="e">
        <f>'ANALYSE - ERP =&gt; SOUS-SEGMENT'!#REF!</f>
        <v>#REF!</v>
      </c>
      <c r="U83" s="916" t="str">
        <f t="shared" si="18"/>
        <v/>
      </c>
      <c r="V83" s="463"/>
      <c r="W83" s="970" t="e">
        <f>'ANALYSE - ERP =&gt; SOUS-SEGMENT'!#REF!</f>
        <v>#REF!</v>
      </c>
      <c r="X83" s="916" t="str">
        <f t="shared" si="19"/>
        <v/>
      </c>
      <c r="Y83" s="456"/>
      <c r="Z83" s="970" t="e">
        <f>'ANALYSE - ERP =&gt; SOUS-SEGMENT'!#REF!</f>
        <v>#REF!</v>
      </c>
      <c r="AA83" s="916" t="str">
        <f t="shared" si="20"/>
        <v/>
      </c>
      <c r="AB83" s="463"/>
      <c r="AC83" s="465" t="e">
        <f>'ANALYSE - ERP =&gt; SOUS-SEGMENT'!#REF!</f>
        <v>#REF!</v>
      </c>
    </row>
    <row r="84" spans="1:29" ht="15" customHeight="1">
      <c r="A84" s="26">
        <v>81</v>
      </c>
      <c r="B84" s="26">
        <v>81</v>
      </c>
      <c r="C84" s="422">
        <f>'ANALYSE - ERP =&gt; SOUS-SEGMENT'!$A$146</f>
        <v>139</v>
      </c>
      <c r="D84" s="417" t="str">
        <f>'ANALYSE - ERP =&gt; SOUS-SEGMENT'!$B$146</f>
        <v>Sécurité &amp; Justice</v>
      </c>
      <c r="E84" s="417" t="str">
        <f>'ANALYSE - ERP =&gt; SOUS-SEGMENT'!$C$146</f>
        <v>Tribunaux</v>
      </c>
      <c r="F84" s="417" t="str">
        <f>'ANALYSE - ERP =&gt; SOUS-SEGMENT'!$D$146</f>
        <v>Palais de justice et bâtiments judiciaires multi-usages</v>
      </c>
      <c r="H84" s="427">
        <f>'ANALYSE - ERP =&gt; SOUS-SEGMENT'!$AF$146</f>
        <v>164</v>
      </c>
      <c r="I84" s="427">
        <f>'ANALYSE - ERP =&gt; SOUS-SEGMENT'!$AK$146</f>
        <v>160</v>
      </c>
      <c r="K84" s="427">
        <f t="shared" si="14"/>
        <v>-4</v>
      </c>
      <c r="L84" s="787">
        <f t="shared" si="15"/>
        <v>-4.9263480652584901E-3</v>
      </c>
      <c r="N84" s="970">
        <f>'ANALYSE - ERP =&gt; SOUS-SEGMENT'!$BJ$146+'ANALYSE - ERP =&gt; SOUS-SEGMENT'!$BK$146+'ANALYSE - ERP =&gt; SOUS-SEGMENT'!$BL$146+'ANALYSE - ERP =&gt; SOUS-SEGMENT'!$BM$146</f>
        <v>7680</v>
      </c>
      <c r="O84" s="916">
        <f t="shared" si="16"/>
        <v>48</v>
      </c>
      <c r="P84" s="463"/>
      <c r="Q84" s="970">
        <f>'ANALYSE - ERP =&gt; SOUS-SEGMENT'!$BJ$146</f>
        <v>3680</v>
      </c>
      <c r="R84" s="916">
        <f t="shared" si="17"/>
        <v>23</v>
      </c>
      <c r="S84" s="463"/>
      <c r="T84" s="970">
        <f>'ANALYSE - ERP =&gt; SOUS-SEGMENT'!$BK$146</f>
        <v>0</v>
      </c>
      <c r="U84" s="916">
        <f t="shared" si="18"/>
        <v>0</v>
      </c>
      <c r="V84" s="463"/>
      <c r="W84" s="970">
        <f>'ANALYSE - ERP =&gt; SOUS-SEGMENT'!$BL$146</f>
        <v>480</v>
      </c>
      <c r="X84" s="916">
        <f t="shared" si="19"/>
        <v>3</v>
      </c>
      <c r="Y84" s="456"/>
      <c r="Z84" s="970">
        <f>'ANALYSE - ERP =&gt; SOUS-SEGMENT'!$BM$146</f>
        <v>3520</v>
      </c>
      <c r="AA84" s="916">
        <f t="shared" si="20"/>
        <v>22</v>
      </c>
      <c r="AB84" s="463"/>
      <c r="AC84" s="465">
        <f>'ANALYSE - ERP =&gt; SOUS-SEGMENT'!$Q$146</f>
        <v>1</v>
      </c>
    </row>
    <row r="85" spans="1:29" ht="15" customHeight="1">
      <c r="A85" s="26">
        <v>82</v>
      </c>
      <c r="B85" s="26">
        <v>84</v>
      </c>
      <c r="C85" s="422">
        <f>'ANALYSE - ERP =&gt; SOUS-SEGMENT'!$A$147</f>
        <v>140</v>
      </c>
      <c r="D85" s="417" t="str">
        <f>'ANALYSE - ERP =&gt; SOUS-SEGMENT'!$B$147</f>
        <v>Sécurité &amp; Justice</v>
      </c>
      <c r="E85" s="417" t="str">
        <f>'ANALYSE - ERP =&gt; SOUS-SEGMENT'!$C$147</f>
        <v>Tribunaux</v>
      </c>
      <c r="F85" s="417" t="str">
        <f>'ANALYSE - ERP =&gt; SOUS-SEGMENT'!$D$147</f>
        <v>Maisons de justice et du droit</v>
      </c>
      <c r="H85" s="427">
        <f>'ANALYSE - ERP =&gt; SOUS-SEGMENT'!$AF$147</f>
        <v>150</v>
      </c>
      <c r="I85" s="427">
        <f>'ANALYSE - ERP =&gt; SOUS-SEGMENT'!$AK$147</f>
        <v>155</v>
      </c>
      <c r="K85" s="427">
        <f t="shared" si="14"/>
        <v>5</v>
      </c>
      <c r="L85" s="787">
        <f t="shared" si="15"/>
        <v>6.5795150976679651E-3</v>
      </c>
      <c r="N85" s="970">
        <f>'ANALYSE - ERP =&gt; SOUS-SEGMENT'!$BJ$147+'ANALYSE - ERP =&gt; SOUS-SEGMENT'!$BK$147+'ANALYSE - ERP =&gt; SOUS-SEGMENT'!$BL$147+'ANALYSE - ERP =&gt; SOUS-SEGMENT'!$BM$147</f>
        <v>1317.5</v>
      </c>
      <c r="O85" s="916">
        <f t="shared" si="16"/>
        <v>8.5</v>
      </c>
      <c r="P85" s="463"/>
      <c r="Q85" s="970">
        <f>'ANALYSE - ERP =&gt; SOUS-SEGMENT'!$BJ$147</f>
        <v>620</v>
      </c>
      <c r="R85" s="916">
        <f t="shared" si="17"/>
        <v>4</v>
      </c>
      <c r="S85" s="463"/>
      <c r="T85" s="970">
        <f>'ANALYSE - ERP =&gt; SOUS-SEGMENT'!$BK$147</f>
        <v>0</v>
      </c>
      <c r="U85" s="916">
        <f t="shared" si="18"/>
        <v>0</v>
      </c>
      <c r="V85" s="463"/>
      <c r="W85" s="970">
        <f>'ANALYSE - ERP =&gt; SOUS-SEGMENT'!$BL$147</f>
        <v>77.5</v>
      </c>
      <c r="X85" s="916">
        <f t="shared" si="19"/>
        <v>0.5</v>
      </c>
      <c r="Y85" s="456"/>
      <c r="Z85" s="970">
        <f>'ANALYSE - ERP =&gt; SOUS-SEGMENT'!$BM$147</f>
        <v>620</v>
      </c>
      <c r="AA85" s="916">
        <f t="shared" si="20"/>
        <v>4</v>
      </c>
      <c r="AB85" s="463"/>
      <c r="AC85" s="465">
        <f>'ANALYSE - ERP =&gt; SOUS-SEGMENT'!$Q$147</f>
        <v>1</v>
      </c>
    </row>
    <row r="86" spans="1:29" ht="15" customHeight="1">
      <c r="A86" s="26">
        <v>83</v>
      </c>
      <c r="B86" s="26">
        <v>83</v>
      </c>
      <c r="C86" s="422">
        <f>'ANALYSE - ERP =&gt; SOUS-SEGMENT'!$A$138</f>
        <v>131</v>
      </c>
      <c r="D86" s="417" t="str">
        <f>'ANALYSE - ERP =&gt; SOUS-SEGMENT'!$B$138</f>
        <v>Sécurité &amp; Justice</v>
      </c>
      <c r="E86" s="417" t="str">
        <f>'ANALYSE - ERP =&gt; SOUS-SEGMENT'!$C$138</f>
        <v>Forces armées</v>
      </c>
      <c r="F86" s="417" t="str">
        <f>'ANALYSE - ERP =&gt; SOUS-SEGMENT'!$D$138</f>
        <v>Salles de conférence, auditoriums et espaces événementiels ouverts au public</v>
      </c>
      <c r="H86" s="427">
        <f>'ANALYSE - ERP =&gt; SOUS-SEGMENT'!$AF$138</f>
        <v>150</v>
      </c>
      <c r="I86" s="427">
        <f>'ANALYSE - ERP =&gt; SOUS-SEGMENT'!$AK$138</f>
        <v>150</v>
      </c>
      <c r="K86" s="427">
        <f t="shared" si="14"/>
        <v>0</v>
      </c>
      <c r="L86" s="787">
        <f t="shared" si="15"/>
        <v>0</v>
      </c>
      <c r="N86" s="970">
        <f>'ANALYSE - ERP =&gt; SOUS-SEGMENT'!$BJ$138+'ANALYSE - ERP =&gt; SOUS-SEGMENT'!$BK$138+'ANALYSE - ERP =&gt; SOUS-SEGMENT'!$BL$138+'ANALYSE - ERP =&gt; SOUS-SEGMENT'!$BM$138</f>
        <v>3900</v>
      </c>
      <c r="O86" s="916">
        <f t="shared" si="16"/>
        <v>26</v>
      </c>
      <c r="P86" s="463"/>
      <c r="Q86" s="970">
        <f>'ANALYSE - ERP =&gt; SOUS-SEGMENT'!$BJ$138</f>
        <v>1800</v>
      </c>
      <c r="R86" s="916">
        <f t="shared" si="17"/>
        <v>12</v>
      </c>
      <c r="S86" s="463"/>
      <c r="T86" s="970">
        <f>'ANALYSE - ERP =&gt; SOUS-SEGMENT'!$BK$138</f>
        <v>150</v>
      </c>
      <c r="U86" s="916">
        <f t="shared" si="18"/>
        <v>1</v>
      </c>
      <c r="V86" s="463"/>
      <c r="W86" s="970">
        <f>'ANALYSE - ERP =&gt; SOUS-SEGMENT'!$BL$138</f>
        <v>450</v>
      </c>
      <c r="X86" s="916">
        <f t="shared" si="19"/>
        <v>3</v>
      </c>
      <c r="Y86" s="456"/>
      <c r="Z86" s="970">
        <f>'ANALYSE - ERP =&gt; SOUS-SEGMENT'!$BM$138</f>
        <v>1500</v>
      </c>
      <c r="AA86" s="916">
        <f t="shared" si="20"/>
        <v>10</v>
      </c>
      <c r="AB86" s="463"/>
      <c r="AC86" s="465">
        <f>'ANALYSE - ERP =&gt; SOUS-SEGMENT'!$Q$138</f>
        <v>1</v>
      </c>
    </row>
    <row r="87" spans="1:29" ht="15" customHeight="1">
      <c r="A87" s="26">
        <v>84</v>
      </c>
      <c r="B87" s="26">
        <v>82</v>
      </c>
      <c r="C87" s="422">
        <f>'ANALYSE - ERP =&gt; SOUS-SEGMENT'!$A$23</f>
        <v>16</v>
      </c>
      <c r="D87" s="410" t="str">
        <f>'ANALYSE - ERP =&gt; SOUS-SEGMENT'!$B$23</f>
        <v>Sports &amp; Loisirs</v>
      </c>
      <c r="E87" s="410" t="str">
        <f>'ANALYSE - ERP =&gt; SOUS-SEGMENT'!$C$23</f>
        <v>Sport couvert / Thermalisme / Bien-être</v>
      </c>
      <c r="F87" s="410" t="str">
        <f>'ANALYSE - ERP =&gt; SOUS-SEGMENT'!$D$23</f>
        <v>Patinoires couvertes</v>
      </c>
      <c r="H87" s="427">
        <f>'ANALYSE - ERP =&gt; SOUS-SEGMENT'!$AF$23</f>
        <v>150</v>
      </c>
      <c r="I87" s="427">
        <f>'ANALYSE - ERP =&gt; SOUS-SEGMENT'!$AK$23</f>
        <v>145</v>
      </c>
      <c r="K87" s="427">
        <f t="shared" si="14"/>
        <v>-5</v>
      </c>
      <c r="L87" s="787">
        <f t="shared" si="15"/>
        <v>-6.7573758944986517E-3</v>
      </c>
      <c r="N87" s="970">
        <f>'ANALYSE - ERP =&gt; SOUS-SEGMENT'!$BJ$23+'ANALYSE - ERP =&gt; SOUS-SEGMENT'!$BK$23+'ANALYSE - ERP =&gt; SOUS-SEGMENT'!$BL$23+'ANALYSE - ERP =&gt; SOUS-SEGMENT'!$BM$23</f>
        <v>19285</v>
      </c>
      <c r="O87" s="916">
        <f t="shared" si="16"/>
        <v>133</v>
      </c>
      <c r="P87" s="463"/>
      <c r="Q87" s="970">
        <f>'ANALYSE - ERP =&gt; SOUS-SEGMENT'!$BJ$23</f>
        <v>5800</v>
      </c>
      <c r="R87" s="916">
        <f t="shared" si="17"/>
        <v>40</v>
      </c>
      <c r="S87" s="463"/>
      <c r="T87" s="970">
        <f>'ANALYSE - ERP =&gt; SOUS-SEGMENT'!$BK$23</f>
        <v>8410</v>
      </c>
      <c r="U87" s="916">
        <f t="shared" si="18"/>
        <v>58</v>
      </c>
      <c r="V87" s="463"/>
      <c r="W87" s="970">
        <f>'ANALYSE - ERP =&gt; SOUS-SEGMENT'!$BL$23</f>
        <v>1015</v>
      </c>
      <c r="X87" s="916">
        <f t="shared" si="19"/>
        <v>7</v>
      </c>
      <c r="Y87" s="456"/>
      <c r="Z87" s="970">
        <f>'ANALYSE - ERP =&gt; SOUS-SEGMENT'!$BM$23</f>
        <v>4060</v>
      </c>
      <c r="AA87" s="916">
        <f t="shared" si="20"/>
        <v>28</v>
      </c>
      <c r="AB87" s="463"/>
      <c r="AC87" s="465">
        <f>'ANALYSE - ERP =&gt; SOUS-SEGMENT'!$Q$23</f>
        <v>1</v>
      </c>
    </row>
    <row r="88" spans="1:29" ht="15" customHeight="1">
      <c r="A88" s="26">
        <v>85</v>
      </c>
      <c r="B88" s="26">
        <v>85</v>
      </c>
      <c r="C88" s="422">
        <f>'ANALYSE - ERP =&gt; SOUS-SEGMENT'!$A$148</f>
        <v>141</v>
      </c>
      <c r="D88" s="417" t="str">
        <f>'ANALYSE - ERP =&gt; SOUS-SEGMENT'!$B$148</f>
        <v>Sécurité &amp; Justice</v>
      </c>
      <c r="E88" s="417" t="str">
        <f>'ANALYSE - ERP =&gt; SOUS-SEGMENT'!$C$148</f>
        <v>Tribunaux</v>
      </c>
      <c r="F88" s="417" t="str">
        <f>'ANALYSE - ERP =&gt; SOUS-SEGMENT'!$D$148</f>
        <v>Tribunaux de commerce autonomes</v>
      </c>
      <c r="H88" s="427">
        <f>'ANALYSE - ERP =&gt; SOUS-SEGMENT'!$AF$148</f>
        <v>134</v>
      </c>
      <c r="I88" s="427">
        <f>'ANALYSE - ERP =&gt; SOUS-SEGMENT'!$AK$148</f>
        <v>134</v>
      </c>
      <c r="K88" s="427">
        <f t="shared" si="14"/>
        <v>0</v>
      </c>
      <c r="L88" s="787">
        <f t="shared" si="15"/>
        <v>0</v>
      </c>
      <c r="N88" s="970">
        <f>'ANALYSE - ERP =&gt; SOUS-SEGMENT'!$BJ$148+'ANALYSE - ERP =&gt; SOUS-SEGMENT'!$BK$148+'ANALYSE - ERP =&gt; SOUS-SEGMENT'!$BL$148+'ANALYSE - ERP =&gt; SOUS-SEGMENT'!$BM$148</f>
        <v>2278</v>
      </c>
      <c r="O88" s="916">
        <f t="shared" si="16"/>
        <v>17</v>
      </c>
      <c r="P88" s="463"/>
      <c r="Q88" s="970">
        <f>'ANALYSE - ERP =&gt; SOUS-SEGMENT'!$BJ$148</f>
        <v>1072</v>
      </c>
      <c r="R88" s="916">
        <f t="shared" si="17"/>
        <v>8</v>
      </c>
      <c r="S88" s="463"/>
      <c r="T88" s="970">
        <f>'ANALYSE - ERP =&gt; SOUS-SEGMENT'!$BK$148</f>
        <v>0</v>
      </c>
      <c r="U88" s="916">
        <f t="shared" si="18"/>
        <v>0</v>
      </c>
      <c r="V88" s="463"/>
      <c r="W88" s="970">
        <f>'ANALYSE - ERP =&gt; SOUS-SEGMENT'!$BL$148</f>
        <v>134</v>
      </c>
      <c r="X88" s="916">
        <f t="shared" si="19"/>
        <v>1</v>
      </c>
      <c r="Y88" s="456"/>
      <c r="Z88" s="970">
        <f>'ANALYSE - ERP =&gt; SOUS-SEGMENT'!$BM$148</f>
        <v>1072</v>
      </c>
      <c r="AA88" s="916">
        <f t="shared" si="20"/>
        <v>8</v>
      </c>
      <c r="AB88" s="463"/>
      <c r="AC88" s="465">
        <f>'ANALYSE - ERP =&gt; SOUS-SEGMENT'!$Q$148</f>
        <v>1</v>
      </c>
    </row>
    <row r="89" spans="1:29" ht="15" customHeight="1">
      <c r="A89" s="26">
        <v>86</v>
      </c>
      <c r="B89" s="26">
        <v>87</v>
      </c>
      <c r="C89" s="422">
        <f>'ANALYSE - ERP =&gt; SOUS-SEGMENT'!$A$127</f>
        <v>120</v>
      </c>
      <c r="D89" s="413" t="str">
        <f>'ANALYSE - ERP =&gt; SOUS-SEGMENT'!$B$127</f>
        <v>Transport, Mobilité &amp; Stationnement</v>
      </c>
      <c r="E89" s="413" t="str">
        <f>'ANALYSE - ERP =&gt; SOUS-SEGMENT'!$C$127</f>
        <v>Transport / Mobilité</v>
      </c>
      <c r="F89" s="413" t="str">
        <f>'ANALYSE - ERP =&gt; SOUS-SEGMENT'!$D$127</f>
        <v>Terminaux maritimes / fluviaux</v>
      </c>
      <c r="H89" s="427">
        <f>'ANALYSE - ERP =&gt; SOUS-SEGMENT'!$AF$127</f>
        <v>118</v>
      </c>
      <c r="I89" s="427">
        <f>'ANALYSE - ERP =&gt; SOUS-SEGMENT'!$AK$127</f>
        <v>125</v>
      </c>
      <c r="K89" s="427">
        <f t="shared" si="14"/>
        <v>7</v>
      </c>
      <c r="L89" s="787">
        <f t="shared" si="15"/>
        <v>1.1592500787793503E-2</v>
      </c>
      <c r="N89" s="970">
        <f>'ANALYSE - ERP =&gt; SOUS-SEGMENT'!$BJ$127+'ANALYSE - ERP =&gt; SOUS-SEGMENT'!$BK$127+'ANALYSE - ERP =&gt; SOUS-SEGMENT'!$BL$127+'ANALYSE - ERP =&gt; SOUS-SEGMENT'!$BM$127</f>
        <v>7500</v>
      </c>
      <c r="O89" s="916">
        <f t="shared" si="16"/>
        <v>60</v>
      </c>
      <c r="P89" s="463"/>
      <c r="Q89" s="970">
        <f>'ANALYSE - ERP =&gt; SOUS-SEGMENT'!$BJ$127</f>
        <v>3375</v>
      </c>
      <c r="R89" s="916">
        <f t="shared" si="17"/>
        <v>27</v>
      </c>
      <c r="S89" s="463"/>
      <c r="T89" s="970">
        <f>'ANALYSE - ERP =&gt; SOUS-SEGMENT'!$BK$127</f>
        <v>500</v>
      </c>
      <c r="U89" s="916">
        <f t="shared" si="18"/>
        <v>4</v>
      </c>
      <c r="V89" s="463"/>
      <c r="W89" s="970">
        <f>'ANALYSE - ERP =&gt; SOUS-SEGMENT'!$BL$127</f>
        <v>500</v>
      </c>
      <c r="X89" s="916">
        <f t="shared" si="19"/>
        <v>4</v>
      </c>
      <c r="Y89" s="456"/>
      <c r="Z89" s="970">
        <f>'ANALYSE - ERP =&gt; SOUS-SEGMENT'!$BM$127</f>
        <v>3125</v>
      </c>
      <c r="AA89" s="916">
        <f t="shared" si="20"/>
        <v>25</v>
      </c>
      <c r="AB89" s="463"/>
      <c r="AC89" s="465">
        <f>'ANALYSE - ERP =&gt; SOUS-SEGMENT'!$Q$127</f>
        <v>1</v>
      </c>
    </row>
    <row r="90" spans="1:29" ht="15" customHeight="1">
      <c r="A90" s="26">
        <v>87</v>
      </c>
      <c r="B90" s="26">
        <v>86</v>
      </c>
      <c r="C90" s="422">
        <f>'ANALYSE - ERP =&gt; SOUS-SEGMENT'!$A$90</f>
        <v>83</v>
      </c>
      <c r="D90" s="412" t="str">
        <f>'ANALYSE - ERP =&gt; SOUS-SEGMENT'!$B$90</f>
        <v>Hébergement Touristique</v>
      </c>
      <c r="E90" s="412" t="str">
        <f>'ANALYSE - ERP =&gt; SOUS-SEGMENT'!$C$90</f>
        <v>Hébergement Touristique</v>
      </c>
      <c r="F90" s="412" t="str">
        <f>'ANALYSE - ERP =&gt; SOUS-SEGMENT'!$D$90</f>
        <v>Auberges de jeunesse</v>
      </c>
      <c r="H90" s="427">
        <f>'ANALYSE - ERP =&gt; SOUS-SEGMENT'!$AF$90</f>
        <v>145</v>
      </c>
      <c r="I90" s="427">
        <f>'ANALYSE - ERP =&gt; SOUS-SEGMENT'!$AK$90</f>
        <v>150</v>
      </c>
      <c r="K90" s="427">
        <f t="shared" si="14"/>
        <v>5</v>
      </c>
      <c r="L90" s="787">
        <f t="shared" si="15"/>
        <v>6.8033486788630082E-3</v>
      </c>
      <c r="N90" s="970">
        <f>'ANALYSE - ERP =&gt; SOUS-SEGMENT'!$BJ$90+'ANALYSE - ERP =&gt; SOUS-SEGMENT'!$BK$90+'ANALYSE - ERP =&gt; SOUS-SEGMENT'!$BL$90+'ANALYSE - ERP =&gt; SOUS-SEGMENT'!$BM$90</f>
        <v>3600</v>
      </c>
      <c r="O90" s="916">
        <f t="shared" si="16"/>
        <v>24</v>
      </c>
      <c r="P90" s="463"/>
      <c r="Q90" s="970">
        <f>'ANALYSE - ERP =&gt; SOUS-SEGMENT'!$BJ$90</f>
        <v>1200</v>
      </c>
      <c r="R90" s="916">
        <f t="shared" si="17"/>
        <v>8</v>
      </c>
      <c r="S90" s="463"/>
      <c r="T90" s="970">
        <f>'ANALYSE - ERP =&gt; SOUS-SEGMENT'!$BK$90</f>
        <v>1200</v>
      </c>
      <c r="U90" s="916">
        <f t="shared" si="18"/>
        <v>8</v>
      </c>
      <c r="V90" s="463"/>
      <c r="W90" s="970">
        <f>'ANALYSE - ERP =&gt; SOUS-SEGMENT'!$BL$90</f>
        <v>150</v>
      </c>
      <c r="X90" s="916">
        <f t="shared" si="19"/>
        <v>1</v>
      </c>
      <c r="Y90" s="456"/>
      <c r="Z90" s="970">
        <f>'ANALYSE - ERP =&gt; SOUS-SEGMENT'!$BM$90</f>
        <v>1050</v>
      </c>
      <c r="AA90" s="916">
        <f t="shared" si="20"/>
        <v>7</v>
      </c>
      <c r="AB90" s="463"/>
      <c r="AC90" s="465">
        <f>'ANALYSE - ERP =&gt; SOUS-SEGMENT'!$Q$90</f>
        <v>1</v>
      </c>
    </row>
    <row r="91" spans="1:29" ht="15" customHeight="1">
      <c r="A91" s="26">
        <v>88</v>
      </c>
      <c r="B91" s="26">
        <v>88</v>
      </c>
      <c r="C91" s="422">
        <f>'ANALYSE - ERP =&gt; SOUS-SEGMENT'!$A$136</f>
        <v>129</v>
      </c>
      <c r="D91" s="417" t="str">
        <f>'ANALYSE - ERP =&gt; SOUS-SEGMENT'!$B$136</f>
        <v>Sécurité &amp; Justice</v>
      </c>
      <c r="E91" s="417" t="str">
        <f>'ANALYSE - ERP =&gt; SOUS-SEGMENT'!$C$136</f>
        <v>Forces armées</v>
      </c>
      <c r="F91" s="417" t="str">
        <f>'ANALYSE - ERP =&gt; SOUS-SEGMENT'!$D$136</f>
        <v>Centres de recrutement et bureaux d’information</v>
      </c>
      <c r="H91" s="427">
        <f>'ANALYSE - ERP =&gt; SOUS-SEGMENT'!$AF$136</f>
        <v>100</v>
      </c>
      <c r="I91" s="427">
        <f>'ANALYSE - ERP =&gt; SOUS-SEGMENT'!$AK$136</f>
        <v>102</v>
      </c>
      <c r="K91" s="427">
        <f t="shared" si="14"/>
        <v>2</v>
      </c>
      <c r="L91" s="787">
        <f t="shared" si="15"/>
        <v>3.9683787044291208E-3</v>
      </c>
      <c r="N91" s="970">
        <f>'ANALYSE - ERP =&gt; SOUS-SEGMENT'!$BJ$136+'ANALYSE - ERP =&gt; SOUS-SEGMENT'!$BK$136+'ANALYSE - ERP =&gt; SOUS-SEGMENT'!$BL$136+'ANALYSE - ERP =&gt; SOUS-SEGMENT'!$BM$136</f>
        <v>459</v>
      </c>
      <c r="O91" s="916">
        <f t="shared" si="16"/>
        <v>4.5</v>
      </c>
      <c r="P91" s="463"/>
      <c r="Q91" s="970">
        <f>'ANALYSE - ERP =&gt; SOUS-SEGMENT'!$BJ$136</f>
        <v>204</v>
      </c>
      <c r="R91" s="916">
        <f t="shared" si="17"/>
        <v>2</v>
      </c>
      <c r="S91" s="463"/>
      <c r="T91" s="970">
        <f>'ANALYSE - ERP =&gt; SOUS-SEGMENT'!$BK$136</f>
        <v>0</v>
      </c>
      <c r="U91" s="916">
        <f t="shared" si="18"/>
        <v>0</v>
      </c>
      <c r="V91" s="463"/>
      <c r="W91" s="970">
        <f>'ANALYSE - ERP =&gt; SOUS-SEGMENT'!$BL$136</f>
        <v>51</v>
      </c>
      <c r="X91" s="916">
        <f t="shared" si="19"/>
        <v>0.5</v>
      </c>
      <c r="Y91" s="456"/>
      <c r="Z91" s="970">
        <f>'ANALYSE - ERP =&gt; SOUS-SEGMENT'!$BM$136</f>
        <v>204</v>
      </c>
      <c r="AA91" s="916">
        <f t="shared" si="20"/>
        <v>2</v>
      </c>
      <c r="AB91" s="463"/>
      <c r="AC91" s="465">
        <f>'ANALYSE - ERP =&gt; SOUS-SEGMENT'!$Q$136</f>
        <v>1</v>
      </c>
    </row>
    <row r="92" spans="1:29" ht="15" customHeight="1">
      <c r="A92" s="26">
        <v>89</v>
      </c>
      <c r="B92" s="26">
        <v>89</v>
      </c>
      <c r="C92" s="422">
        <f>'ANALYSE - ERP =&gt; SOUS-SEGMENT'!$A$134</f>
        <v>127</v>
      </c>
      <c r="D92" s="417" t="str">
        <f>'ANALYSE - ERP =&gt; SOUS-SEGMENT'!$B$134</f>
        <v>Sécurité &amp; Justice</v>
      </c>
      <c r="E92" s="417" t="str">
        <f>'ANALYSE - ERP =&gt; SOUS-SEGMENT'!$C$134</f>
        <v xml:space="preserve">Commissariats / postes de police </v>
      </c>
      <c r="F92" s="417" t="str">
        <f>'ANALYSE - ERP =&gt; SOUS-SEGMENT'!$D$134</f>
        <v>Salles de réunion, de prévention ou de conférence ouvertes au public</v>
      </c>
      <c r="H92" s="427">
        <f>'ANALYSE - ERP =&gt; SOUS-SEGMENT'!$AF$134</f>
        <v>90</v>
      </c>
      <c r="I92" s="427">
        <f>'ANALYSE - ERP =&gt; SOUS-SEGMENT'!$AK$134</f>
        <v>92</v>
      </c>
      <c r="K92" s="427">
        <f t="shared" si="14"/>
        <v>2</v>
      </c>
      <c r="L92" s="787">
        <f t="shared" si="15"/>
        <v>4.4054569626728046E-3</v>
      </c>
      <c r="N92" s="970">
        <f>'ANALYSE - ERP =&gt; SOUS-SEGMENT'!$BJ$134+'ANALYSE - ERP =&gt; SOUS-SEGMENT'!$BK$134+'ANALYSE - ERP =&gt; SOUS-SEGMENT'!$BL$134+'ANALYSE - ERP =&gt; SOUS-SEGMENT'!$BM$134</f>
        <v>598</v>
      </c>
      <c r="O92" s="916">
        <f t="shared" si="16"/>
        <v>6.5</v>
      </c>
      <c r="P92" s="463"/>
      <c r="Q92" s="970">
        <f>'ANALYSE - ERP =&gt; SOUS-SEGMENT'!$BJ$134</f>
        <v>276</v>
      </c>
      <c r="R92" s="916">
        <f t="shared" si="17"/>
        <v>3</v>
      </c>
      <c r="S92" s="463"/>
      <c r="T92" s="970">
        <f>'ANALYSE - ERP =&gt; SOUS-SEGMENT'!$BK$134</f>
        <v>0</v>
      </c>
      <c r="U92" s="916">
        <f t="shared" si="18"/>
        <v>0</v>
      </c>
      <c r="V92" s="463"/>
      <c r="W92" s="970">
        <f>'ANALYSE - ERP =&gt; SOUS-SEGMENT'!$BL$134</f>
        <v>46</v>
      </c>
      <c r="X92" s="916">
        <f t="shared" si="19"/>
        <v>0.5</v>
      </c>
      <c r="Y92" s="456"/>
      <c r="Z92" s="970">
        <f>'ANALYSE - ERP =&gt; SOUS-SEGMENT'!$BM$134</f>
        <v>276</v>
      </c>
      <c r="AA92" s="916">
        <f t="shared" si="20"/>
        <v>3</v>
      </c>
      <c r="AB92" s="463"/>
      <c r="AC92" s="465">
        <f>'ANALYSE - ERP =&gt; SOUS-SEGMENT'!$Q$134</f>
        <v>0</v>
      </c>
    </row>
    <row r="93" spans="1:29" ht="15" customHeight="1">
      <c r="A93" s="26">
        <v>90</v>
      </c>
      <c r="B93" s="26">
        <v>90</v>
      </c>
      <c r="C93" s="422">
        <f>'ANALYSE - ERP =&gt; SOUS-SEGMENT'!$A$139</f>
        <v>132</v>
      </c>
      <c r="D93" s="417" t="str">
        <f>'ANALYSE - ERP =&gt; SOUS-SEGMENT'!$B$139</f>
        <v>Sécurité &amp; Justice</v>
      </c>
      <c r="E93" s="417" t="str">
        <f>'ANALYSE - ERP =&gt; SOUS-SEGMENT'!$C$139</f>
        <v>Univers carcéral</v>
      </c>
      <c r="F93" s="417" t="str">
        <f>'ANALYSE - ERP =&gt; SOUS-SEGMENT'!$D$139</f>
        <v>Maisons d’arrêt</v>
      </c>
      <c r="H93" s="427">
        <f>'ANALYSE - ERP =&gt; SOUS-SEGMENT'!$AF$139</f>
        <v>79</v>
      </c>
      <c r="I93" s="427">
        <f>'ANALYSE - ERP =&gt; SOUS-SEGMENT'!$AK$139</f>
        <v>75</v>
      </c>
      <c r="K93" s="427">
        <f t="shared" si="14"/>
        <v>-4</v>
      </c>
      <c r="L93" s="787">
        <f t="shared" si="15"/>
        <v>-1.0338138054028945E-2</v>
      </c>
      <c r="N93" s="970">
        <f>'ANALYSE - ERP =&gt; SOUS-SEGMENT'!$BJ$139+'ANALYSE - ERP =&gt; SOUS-SEGMENT'!$BK$139+'ANALYSE - ERP =&gt; SOUS-SEGMENT'!$BL$139+'ANALYSE - ERP =&gt; SOUS-SEGMENT'!$BM$139</f>
        <v>22275</v>
      </c>
      <c r="O93" s="916">
        <f t="shared" si="16"/>
        <v>297</v>
      </c>
      <c r="P93" s="463"/>
      <c r="Q93" s="970">
        <f>'ANALYSE - ERP =&gt; SOUS-SEGMENT'!$BJ$139</f>
        <v>10500</v>
      </c>
      <c r="R93" s="916">
        <f t="shared" si="17"/>
        <v>140</v>
      </c>
      <c r="S93" s="463"/>
      <c r="T93" s="970">
        <f>'ANALYSE - ERP =&gt; SOUS-SEGMENT'!$BK$139</f>
        <v>1875</v>
      </c>
      <c r="U93" s="916">
        <f t="shared" si="18"/>
        <v>25</v>
      </c>
      <c r="V93" s="463"/>
      <c r="W93" s="970">
        <f>'ANALYSE - ERP =&gt; SOUS-SEGMENT'!$BL$139</f>
        <v>150</v>
      </c>
      <c r="X93" s="916">
        <f t="shared" si="19"/>
        <v>2</v>
      </c>
      <c r="Y93" s="456"/>
      <c r="Z93" s="970">
        <f>'ANALYSE - ERP =&gt; SOUS-SEGMENT'!$BM$139</f>
        <v>9750</v>
      </c>
      <c r="AA93" s="916">
        <f t="shared" si="20"/>
        <v>130</v>
      </c>
      <c r="AB93" s="463"/>
      <c r="AC93" s="465">
        <f>'ANALYSE - ERP =&gt; SOUS-SEGMENT'!$Q$139</f>
        <v>1</v>
      </c>
    </row>
    <row r="94" spans="1:29" ht="15" customHeight="1">
      <c r="A94" s="26">
        <v>91</v>
      </c>
      <c r="B94" s="26">
        <v>95</v>
      </c>
      <c r="C94" s="422">
        <f>'ANALYSE - ERP =&gt; SOUS-SEGMENT'!$A$144</f>
        <v>137</v>
      </c>
      <c r="D94" s="417" t="str">
        <f>'ANALYSE - ERP =&gt; SOUS-SEGMENT'!$B$144</f>
        <v>Sécurité &amp; Justice</v>
      </c>
      <c r="E94" s="417" t="str">
        <f>'ANALYSE - ERP =&gt; SOUS-SEGMENT'!$C$144</f>
        <v>Univers carcéral</v>
      </c>
      <c r="F94" s="417" t="str">
        <f>'ANALYSE - ERP =&gt; SOUS-SEGMENT'!$D$144</f>
        <v>Centres éducatifs fermés</v>
      </c>
      <c r="H94" s="427">
        <f>'ANALYSE - ERP =&gt; SOUS-SEGMENT'!$AF$144</f>
        <v>55</v>
      </c>
      <c r="I94" s="427">
        <f>'ANALYSE - ERP =&gt; SOUS-SEGMENT'!$AK$144</f>
        <v>73</v>
      </c>
      <c r="K94" s="427">
        <f t="shared" si="14"/>
        <v>18</v>
      </c>
      <c r="L94" s="787">
        <f t="shared" si="15"/>
        <v>5.8259154710905481E-2</v>
      </c>
      <c r="N94" s="970">
        <f>'ANALYSE - ERP =&gt; SOUS-SEGMENT'!$BJ$144+'ANALYSE - ERP =&gt; SOUS-SEGMENT'!$BK$144+'ANALYSE - ERP =&gt; SOUS-SEGMENT'!$BL$144+'ANALYSE - ERP =&gt; SOUS-SEGMENT'!$BM$144</f>
        <v>1241</v>
      </c>
      <c r="O94" s="916">
        <f t="shared" si="16"/>
        <v>17</v>
      </c>
      <c r="P94" s="463"/>
      <c r="Q94" s="970">
        <f>'ANALYSE - ERP =&gt; SOUS-SEGMENT'!$BJ$144</f>
        <v>438</v>
      </c>
      <c r="R94" s="916">
        <f t="shared" si="17"/>
        <v>6</v>
      </c>
      <c r="S94" s="463"/>
      <c r="T94" s="970">
        <f>'ANALYSE - ERP =&gt; SOUS-SEGMENT'!$BK$144</f>
        <v>365</v>
      </c>
      <c r="U94" s="916">
        <f t="shared" si="18"/>
        <v>5</v>
      </c>
      <c r="V94" s="463"/>
      <c r="W94" s="970">
        <f>'ANALYSE - ERP =&gt; SOUS-SEGMENT'!$BL$144</f>
        <v>73</v>
      </c>
      <c r="X94" s="916">
        <f t="shared" si="19"/>
        <v>1</v>
      </c>
      <c r="Y94" s="456"/>
      <c r="Z94" s="970">
        <f>'ANALYSE - ERP =&gt; SOUS-SEGMENT'!$BM$144</f>
        <v>365</v>
      </c>
      <c r="AA94" s="916">
        <f t="shared" si="20"/>
        <v>5</v>
      </c>
      <c r="AB94" s="463"/>
      <c r="AC94" s="465">
        <f>'ANALYSE - ERP =&gt; SOUS-SEGMENT'!$Q$144</f>
        <v>1</v>
      </c>
    </row>
    <row r="95" spans="1:29" ht="15" customHeight="1">
      <c r="A95" s="26">
        <v>92</v>
      </c>
      <c r="B95" s="26">
        <v>91</v>
      </c>
      <c r="C95" s="422">
        <f>'ANALYSE - ERP =&gt; SOUS-SEGMENT'!$A$124</f>
        <v>117</v>
      </c>
      <c r="D95" s="413" t="str">
        <f>'ANALYSE - ERP =&gt; SOUS-SEGMENT'!$B$124</f>
        <v>Transport, Mobilité &amp; Stationnement</v>
      </c>
      <c r="E95" s="413" t="str">
        <f>'ANALYSE - ERP =&gt; SOUS-SEGMENT'!$C$124</f>
        <v>Transport / Mobilité</v>
      </c>
      <c r="F95" s="413" t="str">
        <f>'ANALYSE - ERP =&gt; SOUS-SEGMENT'!$D$124</f>
        <v>Aéroports / aérogares
(&gt;1 000 passagers/an)</v>
      </c>
      <c r="H95" s="427">
        <f>'ANALYSE - ERP =&gt; SOUS-SEGMENT'!$AF$124</f>
        <v>74</v>
      </c>
      <c r="I95" s="427">
        <f>'ANALYSE - ERP =&gt; SOUS-SEGMENT'!$AK$124</f>
        <v>70</v>
      </c>
      <c r="K95" s="427">
        <f t="shared" si="14"/>
        <v>-4</v>
      </c>
      <c r="L95" s="787">
        <f t="shared" si="15"/>
        <v>-1.1052438229725237E-2</v>
      </c>
      <c r="N95" s="970">
        <f>'ANALYSE - ERP =&gt; SOUS-SEGMENT'!$BJ$124+'ANALYSE - ERP =&gt; SOUS-SEGMENT'!$BK$124+'ANALYSE - ERP =&gt; SOUS-SEGMENT'!$BL$124+'ANALYSE - ERP =&gt; SOUS-SEGMENT'!$BM$124</f>
        <v>12670</v>
      </c>
      <c r="O95" s="916">
        <f t="shared" si="16"/>
        <v>181</v>
      </c>
      <c r="P95" s="463"/>
      <c r="Q95" s="970">
        <f>'ANALYSE - ERP =&gt; SOUS-SEGMENT'!$BJ$124</f>
        <v>5600</v>
      </c>
      <c r="R95" s="916">
        <f t="shared" si="17"/>
        <v>80</v>
      </c>
      <c r="S95" s="463"/>
      <c r="T95" s="970">
        <f>'ANALYSE - ERP =&gt; SOUS-SEGMENT'!$BK$124</f>
        <v>840</v>
      </c>
      <c r="U95" s="916">
        <f t="shared" si="18"/>
        <v>12</v>
      </c>
      <c r="V95" s="463"/>
      <c r="W95" s="970">
        <f>'ANALYSE - ERP =&gt; SOUS-SEGMENT'!$BL$124</f>
        <v>980</v>
      </c>
      <c r="X95" s="916">
        <f t="shared" si="19"/>
        <v>14</v>
      </c>
      <c r="Y95" s="456"/>
      <c r="Z95" s="970">
        <f>'ANALYSE - ERP =&gt; SOUS-SEGMENT'!$BM$124</f>
        <v>5250</v>
      </c>
      <c r="AA95" s="916">
        <f t="shared" si="20"/>
        <v>75</v>
      </c>
      <c r="AB95" s="463"/>
      <c r="AC95" s="465">
        <f>'ANALYSE - ERP =&gt; SOUS-SEGMENT'!$Q$124</f>
        <v>1</v>
      </c>
    </row>
    <row r="96" spans="1:29" ht="15" customHeight="1">
      <c r="A96" s="26">
        <v>93</v>
      </c>
      <c r="B96" s="26">
        <v>93</v>
      </c>
      <c r="C96" s="422">
        <f>'ANALYSE - ERP =&gt; SOUS-SEGMENT'!$A$142</f>
        <v>135</v>
      </c>
      <c r="D96" s="417" t="str">
        <f>'ANALYSE - ERP =&gt; SOUS-SEGMENT'!$B$142</f>
        <v>Sécurité &amp; Justice</v>
      </c>
      <c r="E96" s="417" t="str">
        <f>'ANALYSE - ERP =&gt; SOUS-SEGMENT'!$C$142</f>
        <v>Univers carcéral</v>
      </c>
      <c r="F96" s="417" t="str">
        <f>'ANALYSE - ERP =&gt; SOUS-SEGMENT'!$D$142</f>
        <v>Centres pénitentiaires</v>
      </c>
      <c r="H96" s="427">
        <f>'ANALYSE - ERP =&gt; SOUS-SEGMENT'!$AF$142</f>
        <v>61</v>
      </c>
      <c r="I96" s="427">
        <f>'ANALYSE - ERP =&gt; SOUS-SEGMENT'!$AK$142</f>
        <v>66</v>
      </c>
      <c r="K96" s="427">
        <f t="shared" si="14"/>
        <v>5</v>
      </c>
      <c r="L96" s="787">
        <f t="shared" si="15"/>
        <v>1.5880958611351526E-2</v>
      </c>
      <c r="N96" s="970">
        <f>'ANALYSE - ERP =&gt; SOUS-SEGMENT'!$BJ$142+'ANALYSE - ERP =&gt; SOUS-SEGMENT'!$BK$142+'ANALYSE - ERP =&gt; SOUS-SEGMENT'!$BL$142+'ANALYSE - ERP =&gt; SOUS-SEGMENT'!$BM$142</f>
        <v>49764</v>
      </c>
      <c r="O96" s="916">
        <f t="shared" si="16"/>
        <v>754</v>
      </c>
      <c r="P96" s="463"/>
      <c r="Q96" s="970">
        <f>'ANALYSE - ERP =&gt; SOUS-SEGMENT'!$BJ$142</f>
        <v>23100</v>
      </c>
      <c r="R96" s="916">
        <f t="shared" si="17"/>
        <v>350</v>
      </c>
      <c r="S96" s="463"/>
      <c r="T96" s="970">
        <f>'ANALYSE - ERP =&gt; SOUS-SEGMENT'!$BK$142</f>
        <v>4620</v>
      </c>
      <c r="U96" s="916">
        <f t="shared" si="18"/>
        <v>70</v>
      </c>
      <c r="V96" s="463"/>
      <c r="W96" s="970">
        <f>'ANALYSE - ERP =&gt; SOUS-SEGMENT'!$BL$142</f>
        <v>264</v>
      </c>
      <c r="X96" s="916">
        <f t="shared" si="19"/>
        <v>4</v>
      </c>
      <c r="Y96" s="456"/>
      <c r="Z96" s="970">
        <f>'ANALYSE - ERP =&gt; SOUS-SEGMENT'!$BM$142</f>
        <v>21780</v>
      </c>
      <c r="AA96" s="916">
        <f t="shared" si="20"/>
        <v>330</v>
      </c>
      <c r="AB96" s="463"/>
      <c r="AC96" s="465">
        <f>'ANALYSE - ERP =&gt; SOUS-SEGMENT'!$Q$142</f>
        <v>1</v>
      </c>
    </row>
    <row r="97" spans="1:29" ht="15" customHeight="1">
      <c r="A97" s="26">
        <v>94</v>
      </c>
      <c r="B97" s="26">
        <v>92</v>
      </c>
      <c r="C97" s="422">
        <f>'ANALYSE - ERP =&gt; SOUS-SEGMENT'!$A$71</f>
        <v>64</v>
      </c>
      <c r="D97" s="414" t="str">
        <f>'ANALYSE - ERP =&gt; SOUS-SEGMENT'!$B$71</f>
        <v>Culture, Patrimoine &amp; Evénementiel</v>
      </c>
      <c r="E97" s="414" t="str">
        <f>'ANALYSE - ERP =&gt; SOUS-SEGMENT'!$C$71</f>
        <v>Expositions / salons</v>
      </c>
      <c r="F97" s="414" t="str">
        <f>'ANALYSE - ERP =&gt; SOUS-SEGMENT'!$D$71</f>
        <v>Halls d’exposition</v>
      </c>
      <c r="H97" s="427">
        <f>'ANALYSE - ERP =&gt; SOUS-SEGMENT'!$AF$71</f>
        <v>62</v>
      </c>
      <c r="I97" s="427">
        <f>'ANALYSE - ERP =&gt; SOUS-SEGMENT'!$AK$71</f>
        <v>63</v>
      </c>
      <c r="K97" s="427">
        <f t="shared" si="14"/>
        <v>1</v>
      </c>
      <c r="L97" s="787">
        <f t="shared" si="15"/>
        <v>3.2051939538073615E-3</v>
      </c>
      <c r="N97" s="970">
        <f>'ANALYSE - ERP =&gt; SOUS-SEGMENT'!$BJ$71+'ANALYSE - ERP =&gt; SOUS-SEGMENT'!$BK$71+'ANALYSE - ERP =&gt; SOUS-SEGMENT'!$BL$71+'ANALYSE - ERP =&gt; SOUS-SEGMENT'!$BM$71</f>
        <v>5922</v>
      </c>
      <c r="O97" s="916">
        <f t="shared" si="16"/>
        <v>94</v>
      </c>
      <c r="P97" s="463"/>
      <c r="Q97" s="970">
        <f>'ANALYSE - ERP =&gt; SOUS-SEGMENT'!$BJ$71</f>
        <v>2646</v>
      </c>
      <c r="R97" s="916">
        <f t="shared" si="17"/>
        <v>42</v>
      </c>
      <c r="S97" s="463"/>
      <c r="T97" s="970">
        <f>'ANALYSE - ERP =&gt; SOUS-SEGMENT'!$BK$71</f>
        <v>189</v>
      </c>
      <c r="U97" s="916">
        <f t="shared" si="18"/>
        <v>3</v>
      </c>
      <c r="V97" s="463"/>
      <c r="W97" s="970">
        <f>'ANALYSE - ERP =&gt; SOUS-SEGMENT'!$BL$71</f>
        <v>567</v>
      </c>
      <c r="X97" s="916">
        <f t="shared" si="19"/>
        <v>9</v>
      </c>
      <c r="Y97" s="456"/>
      <c r="Z97" s="970">
        <f>'ANALYSE - ERP =&gt; SOUS-SEGMENT'!$BM$71</f>
        <v>2520</v>
      </c>
      <c r="AA97" s="916">
        <f t="shared" si="20"/>
        <v>40</v>
      </c>
      <c r="AB97" s="463"/>
      <c r="AC97" s="465">
        <f>'ANALYSE - ERP =&gt; SOUS-SEGMENT'!$Q$71</f>
        <v>1</v>
      </c>
    </row>
    <row r="98" spans="1:29" ht="15" customHeight="1">
      <c r="A98" s="26">
        <v>95</v>
      </c>
      <c r="B98" s="26">
        <v>94</v>
      </c>
      <c r="C98" s="422">
        <f>'ANALYSE - ERP =&gt; SOUS-SEGMENT'!$A$133</f>
        <v>126</v>
      </c>
      <c r="D98" s="417" t="str">
        <f>'ANALYSE - ERP =&gt; SOUS-SEGMENT'!$B$133</f>
        <v>Sécurité &amp; Justice</v>
      </c>
      <c r="E98" s="417" t="str">
        <f>'ANALYSE - ERP =&gt; SOUS-SEGMENT'!$C$133</f>
        <v xml:space="preserve">Commissariats / postes de police </v>
      </c>
      <c r="F98" s="417" t="str">
        <f>'ANALYSE - ERP =&gt; SOUS-SEGMENT'!$D$133</f>
        <v>Postes de proximité et antennes avec accueil public</v>
      </c>
      <c r="H98" s="427">
        <f>'ANALYSE - ERP =&gt; SOUS-SEGMENT'!$AF$133</f>
        <v>55</v>
      </c>
      <c r="I98" s="427">
        <f>'ANALYSE - ERP =&gt; SOUS-SEGMENT'!$AK$133</f>
        <v>50</v>
      </c>
      <c r="K98" s="427">
        <f t="shared" si="14"/>
        <v>-5</v>
      </c>
      <c r="L98" s="787">
        <f t="shared" si="15"/>
        <v>-1.8881504273735694E-2</v>
      </c>
      <c r="N98" s="970">
        <f>'ANALYSE - ERP =&gt; SOUS-SEGMENT'!$BJ$133+'ANALYSE - ERP =&gt; SOUS-SEGMENT'!$BK$133+'ANALYSE - ERP =&gt; SOUS-SEGMENT'!$BL$133+'ANALYSE - ERP =&gt; SOUS-SEGMENT'!$BM$133</f>
        <v>225</v>
      </c>
      <c r="O98" s="916">
        <f t="shared" si="16"/>
        <v>4.5</v>
      </c>
      <c r="P98" s="463"/>
      <c r="Q98" s="970">
        <f>'ANALYSE - ERP =&gt; SOUS-SEGMENT'!$BJ$133</f>
        <v>100</v>
      </c>
      <c r="R98" s="916">
        <f t="shared" si="17"/>
        <v>2</v>
      </c>
      <c r="S98" s="463"/>
      <c r="T98" s="970">
        <f>'ANALYSE - ERP =&gt; SOUS-SEGMENT'!$BK$133</f>
        <v>0</v>
      </c>
      <c r="U98" s="916">
        <f t="shared" si="18"/>
        <v>0</v>
      </c>
      <c r="V98" s="463"/>
      <c r="W98" s="970">
        <f>'ANALYSE - ERP =&gt; SOUS-SEGMENT'!$BL$133</f>
        <v>25</v>
      </c>
      <c r="X98" s="916">
        <f t="shared" si="19"/>
        <v>0.5</v>
      </c>
      <c r="Y98" s="456"/>
      <c r="Z98" s="970">
        <f>'ANALYSE - ERP =&gt; SOUS-SEGMENT'!$BM$133</f>
        <v>100</v>
      </c>
      <c r="AA98" s="916">
        <f t="shared" si="20"/>
        <v>2</v>
      </c>
      <c r="AB98" s="463"/>
      <c r="AC98" s="465">
        <f>'ANALYSE - ERP =&gt; SOUS-SEGMENT'!$Q$133</f>
        <v>1</v>
      </c>
    </row>
    <row r="99" spans="1:29" ht="15" customHeight="1">
      <c r="A99" s="26">
        <v>96</v>
      </c>
      <c r="B99" s="26">
        <v>96</v>
      </c>
      <c r="C99" s="422">
        <f>'ANALYSE - ERP =&gt; SOUS-SEGMENT'!$A$16</f>
        <v>9</v>
      </c>
      <c r="D99" s="411" t="str">
        <f>'ANALYSE - ERP =&gt; SOUS-SEGMENT'!$B$16</f>
        <v>Enfance, Enseignement, Jeunesse &amp; Formation</v>
      </c>
      <c r="E99" s="411" t="str">
        <f>'ANALYSE - ERP =&gt; SOUS-SEGMENT'!$C$16</f>
        <v>Enseignement supérieur</v>
      </c>
      <c r="F99" s="411" t="str">
        <f>'ANALYSE - ERP =&gt; SOUS-SEGMENT'!$D$16</f>
        <v>Universités</v>
      </c>
      <c r="H99" s="427">
        <f>'ANALYSE - ERP =&gt; SOUS-SEGMENT'!$AF$16</f>
        <v>45</v>
      </c>
      <c r="I99" s="427">
        <f>'ANALYSE - ERP =&gt; SOUS-SEGMENT'!$AK$16</f>
        <v>42</v>
      </c>
      <c r="K99" s="427">
        <f t="shared" ref="K99:K106" si="21">I99-H99</f>
        <v>-3</v>
      </c>
      <c r="L99" s="787">
        <f t="shared" ref="L99:L106" si="22">IFERROR((I99/H99)^(1/5)-1,"")</f>
        <v>-1.3703810340970568E-2</v>
      </c>
      <c r="N99" s="970">
        <f>'ANALYSE - ERP =&gt; SOUS-SEGMENT'!$BJ$16+'ANALYSE - ERP =&gt; SOUS-SEGMENT'!$BK$16+'ANALYSE - ERP =&gt; SOUS-SEGMENT'!$BL$16+'ANALYSE - ERP =&gt; SOUS-SEGMENT'!$BM$16</f>
        <v>28266</v>
      </c>
      <c r="O99" s="916">
        <f t="shared" ref="O99:O106" si="23">IFERROR(N99/I99,"")</f>
        <v>673</v>
      </c>
      <c r="P99" s="463"/>
      <c r="Q99" s="970">
        <f>'ANALYSE - ERP =&gt; SOUS-SEGMENT'!$BJ$16</f>
        <v>14700</v>
      </c>
      <c r="R99" s="916">
        <f t="shared" ref="R99:R106" si="24">IFERROR(Q99/I99,"")</f>
        <v>350</v>
      </c>
      <c r="S99" s="463"/>
      <c r="T99" s="970">
        <f>'ANALYSE - ERP =&gt; SOUS-SEGMENT'!$BK$16</f>
        <v>336</v>
      </c>
      <c r="U99" s="916">
        <f t="shared" ref="U99:U106" si="25">IFERROR(T99/I99,"")</f>
        <v>8</v>
      </c>
      <c r="V99" s="463"/>
      <c r="W99" s="970">
        <f>'ANALYSE - ERP =&gt; SOUS-SEGMENT'!$BL$16</f>
        <v>3990</v>
      </c>
      <c r="X99" s="916">
        <f t="shared" ref="X99:X106" si="26">IFERROR(W99/I99,"")</f>
        <v>95</v>
      </c>
      <c r="Y99" s="456"/>
      <c r="Z99" s="970">
        <f>'ANALYSE - ERP =&gt; SOUS-SEGMENT'!$BM$16</f>
        <v>9240</v>
      </c>
      <c r="AA99" s="916">
        <f t="shared" ref="AA99:AA106" si="27">IFERROR(Z99/I99,"")</f>
        <v>220</v>
      </c>
      <c r="AB99" s="463"/>
      <c r="AC99" s="465">
        <f>'ANALYSE - ERP =&gt; SOUS-SEGMENT'!$Q$16</f>
        <v>1</v>
      </c>
    </row>
    <row r="100" spans="1:29" ht="15" customHeight="1">
      <c r="A100" s="26">
        <v>97</v>
      </c>
      <c r="B100" s="26">
        <v>97</v>
      </c>
      <c r="C100" s="422">
        <f>'ANALYSE - ERP =&gt; SOUS-SEGMENT'!$A$43</f>
        <v>36</v>
      </c>
      <c r="D100" s="409" t="str">
        <f>'ANALYSE - ERP =&gt; SOUS-SEGMENT'!$B$43</f>
        <v>Santé &amp; Médico-social</v>
      </c>
      <c r="E100" s="409" t="str">
        <f>'ANALYSE - ERP =&gt; SOUS-SEGMENT'!$C$43</f>
        <v>Santé hospitalière</v>
      </c>
      <c r="F100" s="409" t="str">
        <f>'ANALYSE - ERP =&gt; SOUS-SEGMENT'!$D$43</f>
        <v>Hôpitaux universitaires / CHU</v>
      </c>
      <c r="H100" s="427">
        <f>'ANALYSE - ERP =&gt; SOUS-SEGMENT'!$AF$43</f>
        <v>33</v>
      </c>
      <c r="I100" s="427">
        <f>'ANALYSE - ERP =&gt; SOUS-SEGMENT'!$AK$43</f>
        <v>33</v>
      </c>
      <c r="K100" s="427">
        <f t="shared" si="21"/>
        <v>0</v>
      </c>
      <c r="L100" s="787">
        <f t="shared" si="22"/>
        <v>0</v>
      </c>
      <c r="N100" s="970">
        <f>'ANALYSE - ERP =&gt; SOUS-SEGMENT'!$BJ$43+'ANALYSE - ERP =&gt; SOUS-SEGMENT'!$BK$43+'ANALYSE - ERP =&gt; SOUS-SEGMENT'!$BL$43+'ANALYSE - ERP =&gt; SOUS-SEGMENT'!$BM$43</f>
        <v>27918</v>
      </c>
      <c r="O100" s="916">
        <f t="shared" si="23"/>
        <v>846</v>
      </c>
      <c r="P100" s="463"/>
      <c r="Q100" s="970">
        <f>'ANALYSE - ERP =&gt; SOUS-SEGMENT'!$BJ$43</f>
        <v>11220</v>
      </c>
      <c r="R100" s="916">
        <f t="shared" si="24"/>
        <v>340</v>
      </c>
      <c r="S100" s="463"/>
      <c r="T100" s="970">
        <f>'ANALYSE - ERP =&gt; SOUS-SEGMENT'!$BK$43</f>
        <v>5940</v>
      </c>
      <c r="U100" s="916">
        <f t="shared" si="25"/>
        <v>180</v>
      </c>
      <c r="V100" s="463"/>
      <c r="W100" s="970">
        <f>'ANALYSE - ERP =&gt; SOUS-SEGMENT'!$BL$43</f>
        <v>198</v>
      </c>
      <c r="X100" s="916">
        <f t="shared" si="26"/>
        <v>6</v>
      </c>
      <c r="Y100" s="456"/>
      <c r="Z100" s="970">
        <f>'ANALYSE - ERP =&gt; SOUS-SEGMENT'!$BM$43</f>
        <v>10560</v>
      </c>
      <c r="AA100" s="916">
        <f t="shared" si="27"/>
        <v>320</v>
      </c>
      <c r="AB100" s="463"/>
      <c r="AC100" s="465">
        <f>'ANALYSE - ERP =&gt; SOUS-SEGMENT'!$Q$43</f>
        <v>1</v>
      </c>
    </row>
    <row r="101" spans="1:29" ht="15" customHeight="1">
      <c r="A101" s="26">
        <v>98</v>
      </c>
      <c r="B101" s="26">
        <v>99</v>
      </c>
      <c r="C101" s="422">
        <f>'ANALYSE - ERP =&gt; SOUS-SEGMENT'!$A$47</f>
        <v>40</v>
      </c>
      <c r="D101" s="417" t="str">
        <f>'ANALYSE - ERP =&gt; SOUS-SEGMENT'!$B$47</f>
        <v>Santé &amp; Médico-social</v>
      </c>
      <c r="E101" s="417" t="str">
        <f>'ANALYSE - ERP =&gt; SOUS-SEGMENT'!$C$47</f>
        <v>Santé hospitalière</v>
      </c>
      <c r="F101" s="417" t="str">
        <f>'ANALYSE - ERP =&gt; SOUS-SEGMENT'!$D$47</f>
        <v>Hôpitaux d’instruction des armées et centres médicaux recevant du public</v>
      </c>
      <c r="H101" s="427">
        <f>'ANALYSE - ERP =&gt; SOUS-SEGMENT'!$AF$47</f>
        <v>24</v>
      </c>
      <c r="I101" s="427">
        <f>'ANALYSE - ERP =&gt; SOUS-SEGMENT'!$AK$47</f>
        <v>24</v>
      </c>
      <c r="K101" s="427">
        <f t="shared" si="21"/>
        <v>0</v>
      </c>
      <c r="L101" s="787">
        <f t="shared" si="22"/>
        <v>0</v>
      </c>
      <c r="N101" s="970">
        <f>'ANALYSE - ERP =&gt; SOUS-SEGMENT'!$BJ$47+'ANALYSE - ERP =&gt; SOUS-SEGMENT'!$BK$47+'ANALYSE - ERP =&gt; SOUS-SEGMENT'!$BL$47+'ANALYSE - ERP =&gt; SOUS-SEGMENT'!$BM$47</f>
        <v>3960</v>
      </c>
      <c r="O101" s="916">
        <f t="shared" si="23"/>
        <v>165</v>
      </c>
      <c r="P101" s="463"/>
      <c r="Q101" s="970">
        <f>'ANALYSE - ERP =&gt; SOUS-SEGMENT'!$BJ$47</f>
        <v>1560</v>
      </c>
      <c r="R101" s="916">
        <f t="shared" si="24"/>
        <v>65</v>
      </c>
      <c r="S101" s="463"/>
      <c r="T101" s="970">
        <f>'ANALYSE - ERP =&gt; SOUS-SEGMENT'!$BK$47</f>
        <v>912</v>
      </c>
      <c r="U101" s="916">
        <f t="shared" si="25"/>
        <v>38</v>
      </c>
      <c r="V101" s="463"/>
      <c r="W101" s="970">
        <f>'ANALYSE - ERP =&gt; SOUS-SEGMENT'!$BL$47</f>
        <v>48</v>
      </c>
      <c r="X101" s="916">
        <f t="shared" si="26"/>
        <v>2</v>
      </c>
      <c r="Y101" s="456"/>
      <c r="Z101" s="970">
        <f>'ANALYSE - ERP =&gt; SOUS-SEGMENT'!$BM$47</f>
        <v>1440</v>
      </c>
      <c r="AA101" s="916">
        <f t="shared" si="27"/>
        <v>60</v>
      </c>
      <c r="AB101" s="463"/>
      <c r="AC101" s="465">
        <f>'ANALYSE - ERP =&gt; SOUS-SEGMENT'!$Q$47</f>
        <v>1</v>
      </c>
    </row>
    <row r="102" spans="1:29" ht="15" customHeight="1">
      <c r="A102" s="26">
        <v>99</v>
      </c>
      <c r="B102" s="26">
        <v>98</v>
      </c>
      <c r="C102" s="422">
        <f>'ANALYSE - ERP =&gt; SOUS-SEGMENT'!$A$140</f>
        <v>133</v>
      </c>
      <c r="D102" s="417" t="str">
        <f>'ANALYSE - ERP =&gt; SOUS-SEGMENT'!$B$140</f>
        <v>Sécurité &amp; Justice</v>
      </c>
      <c r="E102" s="417" t="str">
        <f>'ANALYSE - ERP =&gt; SOUS-SEGMENT'!$C$140</f>
        <v>Univers carcéral</v>
      </c>
      <c r="F102" s="417" t="str">
        <f>'ANALYSE - ERP =&gt; SOUS-SEGMENT'!$D$140</f>
        <v>Centres de détention</v>
      </c>
      <c r="H102" s="427">
        <f>'ANALYSE - ERP =&gt; SOUS-SEGMENT'!$AF$140</f>
        <v>25</v>
      </c>
      <c r="I102" s="427">
        <f>'ANALYSE - ERP =&gt; SOUS-SEGMENT'!$AK$140</f>
        <v>24</v>
      </c>
      <c r="K102" s="427">
        <f t="shared" si="21"/>
        <v>-1</v>
      </c>
      <c r="L102" s="787">
        <f t="shared" si="22"/>
        <v>-8.1311607174336942E-3</v>
      </c>
      <c r="N102" s="970">
        <f>'ANALYSE - ERP =&gt; SOUS-SEGMENT'!$BJ$140+'ANALYSE - ERP =&gt; SOUS-SEGMENT'!$BK$140+'ANALYSE - ERP =&gt; SOUS-SEGMENT'!$BL$140+'ANALYSE - ERP =&gt; SOUS-SEGMENT'!$BM$140</f>
        <v>9648</v>
      </c>
      <c r="O102" s="916">
        <f t="shared" si="23"/>
        <v>402</v>
      </c>
      <c r="P102" s="463"/>
      <c r="Q102" s="970">
        <f>'ANALYSE - ERP =&gt; SOUS-SEGMENT'!$BJ$140</f>
        <v>4440</v>
      </c>
      <c r="R102" s="916">
        <f t="shared" si="24"/>
        <v>185</v>
      </c>
      <c r="S102" s="463"/>
      <c r="T102" s="970">
        <f>'ANALYSE - ERP =&gt; SOUS-SEGMENT'!$BK$140</f>
        <v>960</v>
      </c>
      <c r="U102" s="916">
        <f t="shared" si="25"/>
        <v>40</v>
      </c>
      <c r="V102" s="463"/>
      <c r="W102" s="970">
        <f>'ANALYSE - ERP =&gt; SOUS-SEGMENT'!$BL$140</f>
        <v>48</v>
      </c>
      <c r="X102" s="916">
        <f t="shared" si="26"/>
        <v>2</v>
      </c>
      <c r="Y102" s="456"/>
      <c r="Z102" s="970">
        <f>'ANALYSE - ERP =&gt; SOUS-SEGMENT'!$BM$140</f>
        <v>4200</v>
      </c>
      <c r="AA102" s="916">
        <f t="shared" si="27"/>
        <v>175</v>
      </c>
      <c r="AB102" s="463"/>
      <c r="AC102" s="465">
        <f>'ANALYSE - ERP =&gt; SOUS-SEGMENT'!$Q$140</f>
        <v>1</v>
      </c>
    </row>
    <row r="103" spans="1:29" ht="15" customHeight="1">
      <c r="A103" s="26">
        <v>100</v>
      </c>
      <c r="B103" s="26">
        <v>100</v>
      </c>
      <c r="C103" s="422">
        <f>'ANALYSE - ERP =&gt; SOUS-SEGMENT'!$A$48</f>
        <v>41</v>
      </c>
      <c r="D103" s="417" t="str">
        <f>'ANALYSE - ERP =&gt; SOUS-SEGMENT'!$B$48</f>
        <v>Santé &amp; Médico-social</v>
      </c>
      <c r="E103" s="417" t="str">
        <f>'ANALYSE - ERP =&gt; SOUS-SEGMENT'!$C$48</f>
        <v>Santé hospitalière</v>
      </c>
      <c r="F103" s="417" t="str">
        <f>'ANALYSE - ERP =&gt; SOUS-SEGMENT'!$D$48</f>
        <v>Unités hospitalières sécurisées en milieu carcéral</v>
      </c>
      <c r="H103" s="427">
        <f>'ANALYSE - ERP =&gt; SOUS-SEGMENT'!$AF$48</f>
        <v>17</v>
      </c>
      <c r="I103" s="427">
        <f>'ANALYSE - ERP =&gt; SOUS-SEGMENT'!$AK$48</f>
        <v>18</v>
      </c>
      <c r="K103" s="427">
        <f t="shared" si="21"/>
        <v>1</v>
      </c>
      <c r="L103" s="787">
        <f t="shared" si="22"/>
        <v>1.1497274155136239E-2</v>
      </c>
      <c r="N103" s="970">
        <f>'ANALYSE - ERP =&gt; SOUS-SEGMENT'!$BJ$48+'ANALYSE - ERP =&gt; SOUS-SEGMENT'!$BK$48+'ANALYSE - ERP =&gt; SOUS-SEGMENT'!$BL$48+'ANALYSE - ERP =&gt; SOUS-SEGMENT'!$BM$48</f>
        <v>918</v>
      </c>
      <c r="O103" s="916">
        <f t="shared" si="23"/>
        <v>51</v>
      </c>
      <c r="P103" s="463"/>
      <c r="Q103" s="970">
        <f>'ANALYSE - ERP =&gt; SOUS-SEGMENT'!$BJ$48</f>
        <v>360</v>
      </c>
      <c r="R103" s="916">
        <f t="shared" si="24"/>
        <v>20</v>
      </c>
      <c r="S103" s="463"/>
      <c r="T103" s="970">
        <f>'ANALYSE - ERP =&gt; SOUS-SEGMENT'!$BK$48</f>
        <v>216</v>
      </c>
      <c r="U103" s="916">
        <f t="shared" si="25"/>
        <v>12</v>
      </c>
      <c r="V103" s="463"/>
      <c r="W103" s="970">
        <f>'ANALYSE - ERP =&gt; SOUS-SEGMENT'!$BL$48</f>
        <v>18</v>
      </c>
      <c r="X103" s="916">
        <f t="shared" si="26"/>
        <v>1</v>
      </c>
      <c r="Y103" s="456"/>
      <c r="Z103" s="970">
        <f>'ANALYSE - ERP =&gt; SOUS-SEGMENT'!$BM$48</f>
        <v>324</v>
      </c>
      <c r="AA103" s="916">
        <f t="shared" si="27"/>
        <v>18</v>
      </c>
      <c r="AB103" s="463"/>
      <c r="AC103" s="465">
        <f>'ANALYSE - ERP =&gt; SOUS-SEGMENT'!$Q$48</f>
        <v>1</v>
      </c>
    </row>
    <row r="104" spans="1:29" ht="15" customHeight="1">
      <c r="A104" s="26">
        <v>101</v>
      </c>
      <c r="B104" s="26">
        <v>102</v>
      </c>
      <c r="C104" s="422">
        <f>'ANALYSE - ERP =&gt; SOUS-SEGMENT'!$A$141</f>
        <v>134</v>
      </c>
      <c r="D104" s="417" t="str">
        <f>'ANALYSE - ERP =&gt; SOUS-SEGMENT'!$B$141</f>
        <v>Sécurité &amp; Justice</v>
      </c>
      <c r="E104" s="417" t="str">
        <f>'ANALYSE - ERP =&gt; SOUS-SEGMENT'!$C$141</f>
        <v>Univers carcéral</v>
      </c>
      <c r="F104" s="417" t="str">
        <f>'ANALYSE - ERP =&gt; SOUS-SEGMENT'!$D$141</f>
        <v>Maisons centrales</v>
      </c>
      <c r="H104" s="427">
        <f>'ANALYSE - ERP =&gt; SOUS-SEGMENT'!$AF$141</f>
        <v>6</v>
      </c>
      <c r="I104" s="427">
        <f>'ANALYSE - ERP =&gt; SOUS-SEGMENT'!$AK$141</f>
        <v>6</v>
      </c>
      <c r="K104" s="427">
        <f t="shared" si="21"/>
        <v>0</v>
      </c>
      <c r="L104" s="787">
        <f t="shared" si="22"/>
        <v>0</v>
      </c>
      <c r="N104" s="970">
        <f>'ANALYSE - ERP =&gt; SOUS-SEGMENT'!$BJ$141+'ANALYSE - ERP =&gt; SOUS-SEGMENT'!$BK$141+'ANALYSE - ERP =&gt; SOUS-SEGMENT'!$BL$141+'ANALYSE - ERP =&gt; SOUS-SEGMENT'!$BM$141</f>
        <v>1416</v>
      </c>
      <c r="O104" s="916">
        <f t="shared" si="23"/>
        <v>236</v>
      </c>
      <c r="P104" s="463"/>
      <c r="Q104" s="970">
        <f>'ANALYSE - ERP =&gt; SOUS-SEGMENT'!$BJ$141</f>
        <v>660</v>
      </c>
      <c r="R104" s="916">
        <f t="shared" si="24"/>
        <v>110</v>
      </c>
      <c r="S104" s="463"/>
      <c r="T104" s="970">
        <f>'ANALYSE - ERP =&gt; SOUS-SEGMENT'!$BK$141</f>
        <v>120</v>
      </c>
      <c r="U104" s="916">
        <f t="shared" si="25"/>
        <v>20</v>
      </c>
      <c r="V104" s="463"/>
      <c r="W104" s="970">
        <f>'ANALYSE - ERP =&gt; SOUS-SEGMENT'!$BL$141</f>
        <v>6</v>
      </c>
      <c r="X104" s="916">
        <f t="shared" si="26"/>
        <v>1</v>
      </c>
      <c r="Y104" s="456"/>
      <c r="Z104" s="970">
        <f>'ANALYSE - ERP =&gt; SOUS-SEGMENT'!$BM$141</f>
        <v>630</v>
      </c>
      <c r="AA104" s="916">
        <f t="shared" si="27"/>
        <v>105</v>
      </c>
      <c r="AB104" s="463"/>
      <c r="AC104" s="465">
        <f>'ANALYSE - ERP =&gt; SOUS-SEGMENT'!$Q$141</f>
        <v>1</v>
      </c>
    </row>
    <row r="105" spans="1:29" ht="15" customHeight="1">
      <c r="A105" s="26">
        <v>102</v>
      </c>
      <c r="B105" s="26">
        <v>101</v>
      </c>
      <c r="C105" s="422">
        <f>'ANALYSE - ERP =&gt; SOUS-SEGMENT'!$A$143</f>
        <v>136</v>
      </c>
      <c r="D105" s="417" t="str">
        <f>'ANALYSE - ERP =&gt; SOUS-SEGMENT'!$B$143</f>
        <v>Sécurité &amp; Justice</v>
      </c>
      <c r="E105" s="417" t="str">
        <f>'ANALYSE - ERP =&gt; SOUS-SEGMENT'!$C$143</f>
        <v>Univers carcéral</v>
      </c>
      <c r="F105" s="417" t="str">
        <f>'ANALYSE - ERP =&gt; SOUS-SEGMENT'!$D$143</f>
        <v>Centres de semi-liberté</v>
      </c>
      <c r="H105" s="427">
        <f>'ANALYSE - ERP =&gt; SOUS-SEGMENT'!$AF$143</f>
        <v>8</v>
      </c>
      <c r="I105" s="427">
        <f>'ANALYSE - ERP =&gt; SOUS-SEGMENT'!$AK$143</f>
        <v>6</v>
      </c>
      <c r="K105" s="427">
        <f t="shared" si="21"/>
        <v>-2</v>
      </c>
      <c r="L105" s="787">
        <f t="shared" si="22"/>
        <v>-5.5912488705098018E-2</v>
      </c>
      <c r="N105" s="970">
        <f>'ANALYSE - ERP =&gt; SOUS-SEGMENT'!$BJ$143+'ANALYSE - ERP =&gt; SOUS-SEGMENT'!$BK$143+'ANALYSE - ERP =&gt; SOUS-SEGMENT'!$BL$143+'ANALYSE - ERP =&gt; SOUS-SEGMENT'!$BM$143</f>
        <v>330</v>
      </c>
      <c r="O105" s="916">
        <f t="shared" si="23"/>
        <v>55</v>
      </c>
      <c r="P105" s="463"/>
      <c r="Q105" s="970">
        <f>'ANALYSE - ERP =&gt; SOUS-SEGMENT'!$BJ$143</f>
        <v>144</v>
      </c>
      <c r="R105" s="916">
        <f t="shared" si="24"/>
        <v>24</v>
      </c>
      <c r="S105" s="463"/>
      <c r="T105" s="970">
        <f>'ANALYSE - ERP =&gt; SOUS-SEGMENT'!$BK$143</f>
        <v>48</v>
      </c>
      <c r="U105" s="916">
        <f t="shared" si="25"/>
        <v>8</v>
      </c>
      <c r="V105" s="463"/>
      <c r="W105" s="970">
        <f>'ANALYSE - ERP =&gt; SOUS-SEGMENT'!$BL$143</f>
        <v>6</v>
      </c>
      <c r="X105" s="916">
        <f t="shared" si="26"/>
        <v>1</v>
      </c>
      <c r="Y105" s="456"/>
      <c r="Z105" s="970">
        <f>'ANALYSE - ERP =&gt; SOUS-SEGMENT'!$BM$143</f>
        <v>132</v>
      </c>
      <c r="AA105" s="916">
        <f t="shared" si="27"/>
        <v>22</v>
      </c>
      <c r="AB105" s="463"/>
      <c r="AC105" s="465">
        <f>'ANALYSE - ERP =&gt; SOUS-SEGMENT'!$Q$143</f>
        <v>1</v>
      </c>
    </row>
    <row r="106" spans="1:29" s="45" customFormat="1" ht="15" customHeight="1">
      <c r="A106" s="406">
        <v>103</v>
      </c>
      <c r="B106" s="406">
        <v>103</v>
      </c>
      <c r="C106" s="448">
        <f>'ANALYSE - ERP =&gt; SOUS-SEGMENT'!$A$145</f>
        <v>138</v>
      </c>
      <c r="D106" s="423" t="str">
        <f>'ANALYSE - ERP =&gt; SOUS-SEGMENT'!$B$145</f>
        <v>Sécurité &amp; Justice</v>
      </c>
      <c r="E106" s="423" t="str">
        <f>'ANALYSE - ERP =&gt; SOUS-SEGMENT'!$C$145</f>
        <v>Univers carcéral</v>
      </c>
      <c r="F106" s="423" t="str">
        <f>'ANALYSE - ERP =&gt; SOUS-SEGMENT'!$D$145</f>
        <v>Centres pour peines aménagées
(absorbés par autres centres carcéraux)</v>
      </c>
      <c r="G106" s="685"/>
      <c r="H106" s="407">
        <f>'ANALYSE - ERP =&gt; SOUS-SEGMENT'!$AF$145</f>
        <v>0</v>
      </c>
      <c r="I106" s="407">
        <f>'ANALYSE - ERP =&gt; SOUS-SEGMENT'!$AK$145</f>
        <v>0</v>
      </c>
      <c r="J106" s="685"/>
      <c r="K106" s="407">
        <f t="shared" si="21"/>
        <v>0</v>
      </c>
      <c r="L106" s="788" t="str">
        <f t="shared" si="22"/>
        <v/>
      </c>
      <c r="M106" s="685"/>
      <c r="N106" s="971">
        <f>'ANALYSE - ERP =&gt; SOUS-SEGMENT'!$BJ$145+'ANALYSE - ERP =&gt; SOUS-SEGMENT'!$BK$145+'ANALYSE - ERP =&gt; SOUS-SEGMENT'!$BL$145+'ANALYSE - ERP =&gt; SOUS-SEGMENT'!$BM$145</f>
        <v>0</v>
      </c>
      <c r="O106" s="917" t="str">
        <f t="shared" si="23"/>
        <v/>
      </c>
      <c r="P106" s="685"/>
      <c r="Q106" s="971">
        <f>'ANALYSE - ERP =&gt; SOUS-SEGMENT'!$BJ$145</f>
        <v>0</v>
      </c>
      <c r="R106" s="917" t="str">
        <f t="shared" si="24"/>
        <v/>
      </c>
      <c r="S106" s="685"/>
      <c r="T106" s="971">
        <f>'ANALYSE - ERP =&gt; SOUS-SEGMENT'!$BK$145</f>
        <v>0</v>
      </c>
      <c r="U106" s="917" t="str">
        <f t="shared" si="25"/>
        <v/>
      </c>
      <c r="V106" s="685"/>
      <c r="W106" s="971">
        <f>'ANALYSE - ERP =&gt; SOUS-SEGMENT'!$BL$145</f>
        <v>0</v>
      </c>
      <c r="X106" s="917" t="str">
        <f t="shared" si="26"/>
        <v/>
      </c>
      <c r="Y106" s="685"/>
      <c r="Z106" s="971">
        <f>'ANALYSE - ERP =&gt; SOUS-SEGMENT'!$BM$145</f>
        <v>0</v>
      </c>
      <c r="AA106" s="917" t="str">
        <f t="shared" si="27"/>
        <v/>
      </c>
      <c r="AB106" s="685"/>
      <c r="AC106" s="466">
        <f>'ANALYSE - ERP =&gt; SOUS-SEGMENT'!$Q$145</f>
        <v>0</v>
      </c>
    </row>
  </sheetData>
  <autoFilter ref="A2:BG106" xr:uid="{00000000-0009-0000-0000-00000B000000}"/>
  <conditionalFormatting sqref="L4:L106">
    <cfRule type="colorScale" priority="5">
      <colorScale>
        <cfvo type="min"/>
        <cfvo type="formula" val="MEDIAN($L$4:$L$106)"/>
        <cfvo type="max"/>
        <color rgb="FFF8696B"/>
        <color theme="0"/>
        <color rgb="FF63BE7B"/>
      </colorScale>
    </cfRule>
  </conditionalFormatting>
  <conditionalFormatting sqref="N4:N106">
    <cfRule type="colorScale" priority="1">
      <colorScale>
        <cfvo type="min"/>
        <cfvo type="formula" val="MEDIAN($N$4:$N$106)"/>
        <cfvo type="max"/>
        <color rgb="FFF8696B"/>
        <color theme="0"/>
        <color rgb="FF63BE7B"/>
      </colorScale>
    </cfRule>
  </conditionalFormatting>
  <conditionalFormatting sqref="O4:O106">
    <cfRule type="colorScale" priority="2">
      <colorScale>
        <cfvo type="min"/>
        <cfvo type="formula" val="MEDIAN($O$4:$O$106)"/>
        <cfvo type="max"/>
        <color rgb="FFF8696B"/>
        <color theme="0"/>
        <color rgb="FF63BE7B"/>
      </colorScale>
    </cfRule>
  </conditionalFormatting>
  <conditionalFormatting sqref="Q4:Q106">
    <cfRule type="colorScale" priority="6">
      <colorScale>
        <cfvo type="min"/>
        <cfvo type="formula" val="MEDIAN($Q$4:$Q$106)"/>
        <cfvo type="max"/>
        <color rgb="FFF8696B"/>
        <color theme="0"/>
        <color rgb="FF63BE7B"/>
      </colorScale>
    </cfRule>
  </conditionalFormatting>
  <conditionalFormatting sqref="R4:R106">
    <cfRule type="colorScale" priority="7">
      <colorScale>
        <cfvo type="min"/>
        <cfvo type="formula" val="MEDIAN($R$4:$R$106)"/>
        <cfvo type="max"/>
        <color rgb="FFF8696B"/>
        <color theme="0"/>
        <color rgb="FF63BE7B"/>
      </colorScale>
    </cfRule>
  </conditionalFormatting>
  <conditionalFormatting sqref="T4:T106">
    <cfRule type="colorScale" priority="8">
      <colorScale>
        <cfvo type="min"/>
        <cfvo type="formula" val="MEDIAN($T$4:$T$106)"/>
        <cfvo type="max"/>
        <color rgb="FFF8696B"/>
        <color theme="0"/>
        <color rgb="FF63BE7B"/>
      </colorScale>
    </cfRule>
  </conditionalFormatting>
  <conditionalFormatting sqref="U4:U106">
    <cfRule type="colorScale" priority="9">
      <colorScale>
        <cfvo type="min"/>
        <cfvo type="formula" val="MEDIAN($U$4:$U$106)"/>
        <cfvo type="max"/>
        <color rgb="FFF8696B"/>
        <color theme="0"/>
        <color rgb="FF63BE7B"/>
      </colorScale>
    </cfRule>
  </conditionalFormatting>
  <conditionalFormatting sqref="W4:W106">
    <cfRule type="colorScale" priority="10">
      <colorScale>
        <cfvo type="min"/>
        <cfvo type="formula" val="MEDIAN($W$4:$W$106)"/>
        <cfvo type="max"/>
        <color rgb="FFF8696B"/>
        <color theme="0"/>
        <color rgb="FF63BE7B"/>
      </colorScale>
    </cfRule>
  </conditionalFormatting>
  <conditionalFormatting sqref="X4:X106">
    <cfRule type="colorScale" priority="11">
      <colorScale>
        <cfvo type="min"/>
        <cfvo type="formula" val="MEDIAN($X$4:$X$106)"/>
        <cfvo type="max"/>
        <color rgb="FFF8696B"/>
        <color theme="0"/>
        <color rgb="FF63BE7B"/>
      </colorScale>
    </cfRule>
  </conditionalFormatting>
  <conditionalFormatting sqref="Z4:Z106">
    <cfRule type="colorScale" priority="12">
      <colorScale>
        <cfvo type="min"/>
        <cfvo type="formula" val="MEDIAN($Z$4:$Z$106)"/>
        <cfvo type="max"/>
        <color rgb="FFF8696B"/>
        <color theme="0"/>
        <color rgb="FF63BE7B"/>
      </colorScale>
    </cfRule>
  </conditionalFormatting>
  <conditionalFormatting sqref="AA4:AA106">
    <cfRule type="colorScale" priority="13">
      <colorScale>
        <cfvo type="min"/>
        <cfvo type="formula" val="MEDIAN($AA$4:$AA$106)"/>
        <cfvo type="max"/>
        <color rgb="FFF8696B"/>
        <color theme="0"/>
        <color rgb="FF63BE7B"/>
      </colorScale>
    </cfRule>
  </conditionalFormatting>
  <pageMargins left="3.937007874015748E-2" right="3.937007874015748E-2" top="7.874015748031496E-2" bottom="7.874015748031496E-2" header="0.11811023622047249" footer="0.11811023622047249"/>
  <pageSetup paperSize="8" scale="69" fitToHeight="2"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NP47"/>
  <sheetViews>
    <sheetView zoomScale="90" zoomScaleNormal="90" workbookViewId="0">
      <pane xSplit="4" ySplit="6" topLeftCell="E7" activePane="bottomRight" state="frozen"/>
      <selection activeCell="AV9" sqref="AV9"/>
      <selection pane="topRight" activeCell="AV9" sqref="AV9"/>
      <selection pane="bottomLeft" activeCell="AV9" sqref="AV9"/>
      <selection pane="bottomRight" activeCell="I8" sqref="I8"/>
    </sheetView>
  </sheetViews>
  <sheetFormatPr baseColWidth="10" defaultColWidth="9.140625" defaultRowHeight="15" outlineLevelCol="1"/>
  <cols>
    <col min="1" max="1" width="6" style="21" customWidth="1"/>
    <col min="2" max="2" width="12.42578125" style="26" customWidth="1"/>
    <col min="3" max="3" width="13.28515625" style="26" customWidth="1"/>
    <col min="4" max="4" width="38.5703125" style="26" customWidth="1"/>
    <col min="5" max="5" width="8.28515625" style="44" customWidth="1" outlineLevel="1"/>
    <col min="6" max="6" width="12.5703125" style="44" customWidth="1" outlineLevel="1"/>
    <col min="7" max="7" width="8.140625" style="23" customWidth="1" outlineLevel="1"/>
    <col min="8" max="8" width="8.85546875" style="21" customWidth="1" outlineLevel="1"/>
    <col min="9" max="9" width="67.140625" style="17" customWidth="1" outlineLevel="1"/>
    <col min="10" max="10" width="41.85546875" style="17" customWidth="1"/>
    <col min="11" max="11" width="11" style="17" customWidth="1" outlineLevel="1"/>
    <col min="12" max="12" width="11.140625" style="17" customWidth="1" outlineLevel="1"/>
    <col min="13" max="13" width="11.85546875" style="17" customWidth="1" outlineLevel="1"/>
    <col min="14" max="14" width="15.140625" style="17" customWidth="1" outlineLevel="1"/>
    <col min="15" max="15" width="7.85546875" style="44" customWidth="1" outlineLevel="1"/>
    <col min="16" max="16" width="13.85546875" style="17" customWidth="1" outlineLevel="1"/>
    <col min="17" max="17" width="9.140625" style="934" customWidth="1"/>
    <col min="18" max="18" width="9.42578125" style="934" customWidth="1"/>
    <col min="19" max="22" width="7.7109375" style="934" customWidth="1"/>
    <col min="23" max="26" width="7.7109375" style="934" hidden="1" customWidth="1" outlineLevel="1"/>
    <col min="27" max="27" width="7.7109375" style="934" customWidth="1" collapsed="1"/>
    <col min="28" max="31" width="7.7109375" style="934" hidden="1" customWidth="1" outlineLevel="1"/>
    <col min="32" max="32" width="7.7109375" style="934" customWidth="1" collapsed="1"/>
    <col min="33" max="36" width="7.7109375" style="934" hidden="1" customWidth="1" outlineLevel="1"/>
    <col min="37" max="37" width="7.7109375" style="934" customWidth="1" collapsed="1"/>
    <col min="38" max="38" width="108.42578125" style="17" customWidth="1" outlineLevel="1"/>
    <col min="39" max="39" width="40.28515625" style="17" customWidth="1" outlineLevel="1"/>
    <col min="40" max="40" width="28" style="17" customWidth="1" outlineLevel="1"/>
    <col min="41" max="41" width="1.7109375" style="803" customWidth="1"/>
    <col min="42" max="42" width="11.28515625" style="934" customWidth="1"/>
    <col min="43" max="43" width="11.28515625" style="933" customWidth="1" outlineLevel="1"/>
    <col min="44" max="44" width="12" style="934" customWidth="1" outlineLevel="1"/>
    <col min="45" max="45" width="11" style="934" customWidth="1" outlineLevel="1"/>
    <col min="46" max="46" width="1.7109375" style="803" customWidth="1"/>
    <col min="47" max="47" width="101.140625" style="934" customWidth="1" outlineLevel="1"/>
    <col min="48" max="48" width="177.140625" style="58" customWidth="1" outlineLevel="1"/>
    <col min="49" max="49" width="32" style="934" customWidth="1" outlineLevel="1"/>
    <col min="50" max="50" width="1.7109375" style="803" customWidth="1"/>
    <col min="51" max="52" width="4.42578125" style="934" customWidth="1" outlineLevel="1"/>
    <col min="53" max="53" width="3.85546875" style="934" customWidth="1" outlineLevel="1"/>
    <col min="54" max="54" width="4.42578125" style="934" customWidth="1" outlineLevel="1"/>
    <col min="55" max="62" width="10.7109375" style="934" customWidth="1" outlineLevel="1"/>
    <col min="63" max="63" width="1.7109375" style="803" customWidth="1"/>
    <col min="64" max="68" width="4.28515625" style="686" customWidth="1" outlineLevel="1"/>
    <col min="69" max="71" width="4.28515625" style="934" customWidth="1" outlineLevel="1"/>
    <col min="72" max="74" width="4.28515625" style="686" customWidth="1" outlineLevel="1"/>
    <col min="75" max="77" width="4.28515625" style="934" customWidth="1" outlineLevel="1"/>
    <col min="78" max="81" width="4.28515625" style="686" customWidth="1" outlineLevel="1"/>
    <col min="82" max="85" width="4.28515625" style="934" customWidth="1" outlineLevel="1"/>
    <col min="86" max="88" width="4.28515625" style="686" customWidth="1" outlineLevel="1"/>
    <col min="89" max="91" width="4.28515625" style="934" customWidth="1" outlineLevel="1"/>
    <col min="92" max="92" width="1.7109375" style="803" customWidth="1"/>
    <col min="93" max="106" width="4.140625" style="934" customWidth="1" outlineLevel="1"/>
    <col min="107" max="107" width="159" style="17" customWidth="1" outlineLevel="1"/>
    <col min="108" max="108" width="1.7109375" style="803" customWidth="1"/>
    <col min="109" max="112" width="8.7109375" style="686" customWidth="1" outlineLevel="1"/>
    <col min="113" max="113" width="125.42578125" style="128" customWidth="1" outlineLevel="1"/>
    <col min="114" max="114" width="8.7109375" style="686" customWidth="1" outlineLevel="1"/>
    <col min="115" max="117" width="8.7109375" style="934" customWidth="1" outlineLevel="1"/>
    <col min="118" max="118" width="51.85546875" style="115" customWidth="1" outlineLevel="1"/>
    <col min="119" max="119" width="1.7109375" style="803" customWidth="1"/>
    <col min="120" max="121" width="9.28515625" style="686" customWidth="1" outlineLevel="1"/>
    <col min="122" max="122" width="8.28515625" style="686" customWidth="1" outlineLevel="1"/>
    <col min="123" max="123" width="65.5703125" style="115" customWidth="1" outlineLevel="1"/>
    <col min="124" max="126" width="9.28515625" style="934" customWidth="1" outlineLevel="1"/>
    <col min="127" max="127" width="40.85546875" style="115" customWidth="1" outlineLevel="1"/>
    <col min="128" max="128" width="1.7109375" style="803" customWidth="1"/>
    <col min="129" max="132" width="7.28515625" style="686" customWidth="1" outlineLevel="1"/>
    <col min="133" max="133" width="63.140625" style="115" customWidth="1" outlineLevel="1"/>
    <col min="134" max="137" width="8.7109375" style="934" customWidth="1" outlineLevel="1"/>
    <col min="138" max="138" width="50.140625" style="115" customWidth="1" outlineLevel="1"/>
    <col min="139" max="139" width="1.7109375" style="803" customWidth="1"/>
    <col min="140" max="142" width="9.28515625" style="686" customWidth="1" outlineLevel="1"/>
    <col min="143" max="143" width="91.85546875" style="115" customWidth="1" outlineLevel="1"/>
    <col min="144" max="146" width="9.28515625" style="934" customWidth="1" outlineLevel="1"/>
    <col min="147" max="147" width="35.5703125" style="115" customWidth="1" outlineLevel="1"/>
    <col min="148" max="148" width="1.7109375" style="803" customWidth="1"/>
    <col min="149" max="150" width="6.28515625" style="934" customWidth="1" outlineLevel="1"/>
    <col min="151" max="165" width="8.7109375" style="934" customWidth="1" outlineLevel="1"/>
    <col min="166" max="166" width="1.7109375" style="803" customWidth="1"/>
    <col min="167" max="167" width="9.85546875" style="177" customWidth="1" outlineLevel="1"/>
    <col min="168" max="168" width="6.28515625" style="177" customWidth="1" outlineLevel="1"/>
    <col min="169" max="169" width="6.42578125" style="934" customWidth="1" outlineLevel="1"/>
    <col min="170" max="170" width="59" style="934" customWidth="1" outlineLevel="1"/>
    <col min="171" max="171" width="1.7109375" style="803" customWidth="1"/>
    <col min="172" max="177" width="5.7109375" style="934" customWidth="1" outlineLevel="1"/>
    <col min="178" max="178" width="1.7109375" style="803" customWidth="1" outlineLevel="1"/>
    <col min="179" max="179" width="141.85546875" style="934" customWidth="1" outlineLevel="1"/>
    <col min="180" max="180" width="118.140625" style="934" customWidth="1" outlineLevel="1"/>
    <col min="181" max="181" width="56.85546875" style="934" customWidth="1" outlineLevel="1"/>
    <col min="182" max="182" width="59" style="934" customWidth="1" outlineLevel="1"/>
    <col min="183" max="183" width="104.5703125" style="934" customWidth="1" outlineLevel="1"/>
    <col min="184" max="184" width="65" style="934" customWidth="1" outlineLevel="1"/>
    <col min="185" max="185" width="98.85546875" style="934" customWidth="1" outlineLevel="1"/>
    <col min="186" max="186" width="3" style="803" customWidth="1"/>
    <col min="187" max="228" width="9.28515625" style="934" customWidth="1" outlineLevel="1"/>
    <col min="229" max="229" width="1.7109375" style="676" customWidth="1"/>
    <col min="230" max="230" width="9.28515625" style="167" customWidth="1" outlineLevel="1"/>
    <col min="231" max="235" width="8.7109375" style="167" customWidth="1" outlineLevel="1"/>
    <col min="236" max="236" width="9.28515625" style="167" customWidth="1" outlineLevel="1"/>
    <col min="237" max="241" width="8.7109375" style="167" customWidth="1" outlineLevel="1"/>
    <col min="242" max="242" width="5.7109375" style="167" customWidth="1" outlineLevel="1"/>
    <col min="243" max="243" width="9.42578125" style="167" customWidth="1" outlineLevel="1"/>
    <col min="244" max="244" width="178.5703125" style="167" customWidth="1" outlineLevel="1"/>
    <col min="245" max="245" width="1.7109375" style="803" customWidth="1"/>
    <col min="246" max="250" width="5.7109375" style="167" customWidth="1" outlineLevel="1"/>
    <col min="251" max="251" width="6.28515625" style="167" customWidth="1" outlineLevel="1"/>
    <col min="252" max="285" width="5.7109375" style="167" customWidth="1" outlineLevel="1"/>
    <col min="286" max="286" width="1.7109375" style="803" customWidth="1"/>
    <col min="287" max="289" width="5.7109375" style="167" customWidth="1"/>
    <col min="290" max="290" width="8" style="168" customWidth="1"/>
    <col min="291" max="291" width="73.42578125" style="167" customWidth="1"/>
    <col min="292" max="292" width="76.5703125" style="167" customWidth="1"/>
    <col min="293" max="293" width="219" style="167" customWidth="1"/>
    <col min="294" max="380" width="15.7109375" style="689" customWidth="1"/>
  </cols>
  <sheetData>
    <row r="1" spans="1:293" s="933" customFormat="1">
      <c r="A1" s="690"/>
      <c r="B1" s="691"/>
      <c r="C1" s="691"/>
      <c r="D1" s="691"/>
      <c r="E1" s="692"/>
      <c r="F1" s="692"/>
      <c r="G1" s="693"/>
      <c r="H1" s="690"/>
      <c r="J1" s="15" t="s">
        <v>2424</v>
      </c>
      <c r="K1" s="803"/>
      <c r="L1" s="803"/>
      <c r="M1" s="803"/>
      <c r="N1" s="803"/>
      <c r="O1" s="692"/>
      <c r="P1" s="803"/>
      <c r="Q1" s="15" t="s">
        <v>2425</v>
      </c>
      <c r="AA1" s="215" t="s">
        <v>2426</v>
      </c>
      <c r="AB1" s="803"/>
      <c r="AC1" s="803"/>
      <c r="AD1" s="803"/>
      <c r="AE1" s="803"/>
      <c r="AF1" s="215" t="s">
        <v>2427</v>
      </c>
      <c r="AG1" s="803"/>
      <c r="AH1" s="803"/>
      <c r="AI1" s="803"/>
      <c r="AJ1" s="803"/>
      <c r="AK1" s="215" t="s">
        <v>2428</v>
      </c>
      <c r="AL1" s="803"/>
      <c r="AM1" s="803"/>
      <c r="AO1" s="112" t="s">
        <v>2429</v>
      </c>
      <c r="AP1" s="15"/>
      <c r="AT1" s="112" t="s">
        <v>2430</v>
      </c>
      <c r="AU1" s="15"/>
      <c r="AV1" s="62"/>
      <c r="AX1" s="112" t="s">
        <v>2431</v>
      </c>
      <c r="AY1" s="15"/>
      <c r="AZ1" s="15"/>
      <c r="BA1" s="15"/>
      <c r="BB1" s="15"/>
      <c r="BK1" s="112" t="s">
        <v>2432</v>
      </c>
      <c r="BL1" s="112"/>
      <c r="BM1" s="112"/>
      <c r="BN1" s="112"/>
      <c r="CN1" s="112" t="s">
        <v>2433</v>
      </c>
      <c r="CO1" s="112"/>
      <c r="CP1" s="112"/>
      <c r="CQ1" s="112"/>
      <c r="CR1" s="687"/>
      <c r="CS1" s="687"/>
      <c r="CT1" s="687"/>
      <c r="CU1" s="687"/>
      <c r="CV1" s="687"/>
      <c r="CW1" s="687"/>
      <c r="CX1" s="687"/>
      <c r="CY1" s="687"/>
      <c r="CZ1" s="687"/>
      <c r="DA1" s="687"/>
      <c r="DB1" s="687"/>
      <c r="DC1" s="687"/>
      <c r="DD1" s="112" t="s">
        <v>2434</v>
      </c>
      <c r="DE1" s="112"/>
      <c r="DF1" s="112"/>
      <c r="DI1" s="127"/>
      <c r="DN1" s="114"/>
      <c r="DO1" s="59" t="s">
        <v>2435</v>
      </c>
      <c r="DP1" s="112"/>
      <c r="DS1" s="114"/>
      <c r="DW1" s="114"/>
      <c r="DX1" s="129" t="s">
        <v>2436</v>
      </c>
      <c r="DY1" s="59"/>
      <c r="DZ1" s="59"/>
      <c r="EC1" s="114"/>
      <c r="EH1" s="114"/>
      <c r="EI1" s="130" t="s">
        <v>2437</v>
      </c>
      <c r="EJ1" s="130"/>
      <c r="EK1" s="130"/>
      <c r="EM1" s="114"/>
      <c r="EQ1" s="114"/>
      <c r="ER1" s="216" t="s">
        <v>2438</v>
      </c>
      <c r="ES1" s="216"/>
      <c r="ET1" s="216"/>
      <c r="EU1" s="114"/>
      <c r="EV1" s="114"/>
      <c r="EW1" s="114"/>
      <c r="EX1" s="176"/>
      <c r="EY1" s="176"/>
      <c r="EZ1" s="176"/>
      <c r="FA1" s="176"/>
      <c r="FB1" s="176"/>
      <c r="FC1" s="176"/>
      <c r="FD1" s="176"/>
      <c r="FE1" s="176"/>
      <c r="FF1" s="176"/>
      <c r="FG1" s="176"/>
      <c r="FH1" s="176"/>
      <c r="FI1" s="176"/>
      <c r="FJ1" s="217" t="s">
        <v>2442</v>
      </c>
      <c r="FK1" s="217"/>
      <c r="FL1" s="217"/>
      <c r="FM1" s="218"/>
      <c r="FN1" s="218"/>
      <c r="FO1" s="217" t="s">
        <v>2443</v>
      </c>
      <c r="FP1" s="217"/>
      <c r="FQ1" s="217"/>
      <c r="FR1" s="217"/>
      <c r="FS1" s="218"/>
      <c r="FT1" s="218"/>
      <c r="FU1" s="218"/>
      <c r="FW1" s="114"/>
      <c r="FX1" s="219"/>
      <c r="FY1" s="219"/>
      <c r="FZ1" s="114"/>
      <c r="GA1" s="114"/>
      <c r="GB1" s="114"/>
      <c r="GC1" s="114"/>
      <c r="GD1" s="217" t="s">
        <v>2444</v>
      </c>
      <c r="GE1" s="214"/>
      <c r="GF1" s="214"/>
      <c r="GG1" s="214"/>
      <c r="GH1" s="687"/>
      <c r="GI1" s="687"/>
      <c r="GJ1" s="687"/>
      <c r="GK1" s="687"/>
      <c r="GL1" s="687"/>
      <c r="GM1" s="687"/>
      <c r="GN1" s="687"/>
      <c r="GO1" s="687"/>
      <c r="GP1" s="687"/>
      <c r="GQ1" s="687"/>
      <c r="GR1" s="687"/>
      <c r="GS1" s="687"/>
      <c r="GT1" s="687"/>
      <c r="GU1" s="687"/>
      <c r="GV1" s="687"/>
      <c r="GW1" s="687"/>
      <c r="GX1" s="687"/>
      <c r="GY1" s="687"/>
      <c r="GZ1" s="687"/>
      <c r="HA1" s="687"/>
      <c r="HB1" s="687"/>
      <c r="HC1" s="687"/>
      <c r="HD1" s="687"/>
      <c r="HE1" s="687"/>
      <c r="HF1" s="687"/>
      <c r="HG1" s="687"/>
      <c r="HH1" s="687"/>
      <c r="HI1" s="687"/>
      <c r="HJ1" s="687"/>
      <c r="HK1" s="687"/>
      <c r="HL1" s="687"/>
      <c r="HM1" s="687"/>
      <c r="HN1" s="687"/>
      <c r="HO1" s="687"/>
      <c r="HP1" s="687"/>
      <c r="HQ1" s="687"/>
      <c r="HR1" s="687"/>
      <c r="HS1" s="687"/>
      <c r="HT1" s="687"/>
      <c r="HU1" s="244" t="s">
        <v>2445</v>
      </c>
      <c r="HV1" s="244"/>
      <c r="HW1" s="688"/>
      <c r="HX1" s="688"/>
      <c r="HY1" s="688"/>
      <c r="HZ1" s="688"/>
      <c r="IA1" s="688"/>
      <c r="IB1" s="688"/>
      <c r="IC1" s="688"/>
      <c r="ID1" s="688"/>
      <c r="IE1" s="688"/>
      <c r="IF1" s="688"/>
      <c r="IG1" s="688"/>
      <c r="IH1" s="689"/>
      <c r="II1" s="688"/>
      <c r="IJ1" s="688"/>
      <c r="IK1" s="244" t="s">
        <v>2446</v>
      </c>
      <c r="IL1" s="244"/>
      <c r="IM1" s="244"/>
      <c r="IN1" s="244"/>
      <c r="IO1" s="244"/>
      <c r="IP1" s="688"/>
      <c r="IQ1" s="688"/>
      <c r="IR1" s="688"/>
      <c r="IS1" s="688"/>
      <c r="IT1" s="688"/>
      <c r="IU1" s="688"/>
      <c r="IV1" s="688"/>
      <c r="IW1" s="688"/>
      <c r="IX1" s="688"/>
      <c r="IY1" s="688"/>
      <c r="IZ1" s="688"/>
      <c r="JA1" s="688"/>
      <c r="JB1" s="688"/>
      <c r="JC1" s="688"/>
      <c r="JD1" s="688"/>
      <c r="JE1" s="688"/>
      <c r="JF1" s="688"/>
      <c r="JG1" s="688"/>
      <c r="JH1" s="688"/>
      <c r="JI1" s="688"/>
      <c r="JJ1" s="688"/>
      <c r="JK1" s="688"/>
      <c r="JL1" s="688"/>
      <c r="JM1" s="688"/>
      <c r="JN1" s="688"/>
      <c r="JO1" s="688"/>
      <c r="JP1" s="688"/>
      <c r="JQ1" s="688"/>
      <c r="JR1" s="688"/>
      <c r="JS1" s="688"/>
      <c r="JT1" s="688"/>
      <c r="JU1" s="688"/>
      <c r="JV1" s="688"/>
      <c r="JW1" s="688"/>
      <c r="JX1" s="688"/>
      <c r="JY1" s="688"/>
      <c r="JZ1" s="244" t="s">
        <v>2447</v>
      </c>
      <c r="KA1" s="130"/>
      <c r="KB1" s="130"/>
      <c r="KC1" s="130"/>
      <c r="KD1" s="130"/>
      <c r="KE1" s="689"/>
      <c r="KF1" s="689"/>
      <c r="KG1" s="689"/>
    </row>
    <row r="2" spans="1:293">
      <c r="A2" s="690"/>
      <c r="B2" s="691"/>
      <c r="C2" s="691"/>
      <c r="D2" s="691"/>
      <c r="E2" s="692"/>
      <c r="F2" s="692"/>
      <c r="G2" s="693"/>
      <c r="H2" s="690"/>
      <c r="I2" s="803"/>
      <c r="J2" s="15" t="s">
        <v>2449</v>
      </c>
      <c r="K2" s="803"/>
      <c r="L2" s="803"/>
      <c r="M2" s="803"/>
      <c r="N2" s="803"/>
      <c r="O2" s="692"/>
      <c r="P2" s="803"/>
      <c r="Q2" s="15" t="s">
        <v>2406</v>
      </c>
      <c r="R2" s="933"/>
      <c r="S2" s="933"/>
      <c r="T2" s="933"/>
      <c r="U2" s="933"/>
      <c r="V2" s="933"/>
      <c r="W2" s="933"/>
      <c r="X2" s="933"/>
      <c r="Y2" s="933"/>
      <c r="Z2" s="933"/>
      <c r="AA2" s="933"/>
      <c r="AB2" s="933"/>
      <c r="AC2" s="933"/>
      <c r="AD2" s="933"/>
      <c r="AE2" s="933"/>
      <c r="AF2" s="933"/>
      <c r="AG2" s="933"/>
      <c r="AH2" s="933"/>
      <c r="AI2" s="933"/>
      <c r="AJ2" s="933"/>
      <c r="AK2" s="933"/>
      <c r="AL2" s="803"/>
      <c r="AM2" s="803"/>
      <c r="AO2" s="112" t="s">
        <v>2450</v>
      </c>
      <c r="AP2" s="112"/>
      <c r="AR2" s="933"/>
      <c r="AS2" s="933"/>
      <c r="AT2" s="933"/>
      <c r="AU2" s="933"/>
      <c r="AV2" s="62"/>
      <c r="AW2" s="933"/>
      <c r="AX2" s="933"/>
      <c r="AY2" s="255"/>
      <c r="AZ2" s="54"/>
      <c r="BA2" s="54"/>
      <c r="BB2" s="54"/>
      <c r="BC2" s="54" t="s">
        <v>6730</v>
      </c>
      <c r="BD2" s="66" t="s">
        <v>6731</v>
      </c>
      <c r="BE2" s="54"/>
      <c r="BF2" s="54"/>
      <c r="BG2" s="54"/>
      <c r="BH2" s="54"/>
      <c r="BI2" s="54"/>
      <c r="BJ2" s="65"/>
      <c r="BK2" s="933"/>
      <c r="BL2" s="80"/>
      <c r="BM2" s="81" t="s">
        <v>2452</v>
      </c>
      <c r="BN2" s="81"/>
      <c r="BO2" s="82"/>
      <c r="BP2" s="80"/>
      <c r="BQ2" s="81" t="s">
        <v>2453</v>
      </c>
      <c r="BR2" s="81"/>
      <c r="BS2" s="82"/>
      <c r="BT2" s="87"/>
      <c r="BU2" s="88" t="s">
        <v>2452</v>
      </c>
      <c r="BV2" s="89"/>
      <c r="BW2" s="87"/>
      <c r="BX2" s="88" t="s">
        <v>2453</v>
      </c>
      <c r="BY2" s="89"/>
      <c r="BZ2" s="94"/>
      <c r="CA2" s="95" t="s">
        <v>2452</v>
      </c>
      <c r="CB2" s="95"/>
      <c r="CC2" s="96"/>
      <c r="CD2" s="94"/>
      <c r="CE2" s="95" t="s">
        <v>2453</v>
      </c>
      <c r="CF2" s="95"/>
      <c r="CG2" s="96"/>
      <c r="CH2" s="101"/>
      <c r="CI2" s="102" t="s">
        <v>2452</v>
      </c>
      <c r="CJ2" s="103"/>
      <c r="CK2" s="101"/>
      <c r="CL2" s="102" t="s">
        <v>2453</v>
      </c>
      <c r="CM2" s="103"/>
      <c r="CN2" s="933"/>
      <c r="CO2" s="142" t="s">
        <v>2454</v>
      </c>
      <c r="CP2" s="112"/>
      <c r="CQ2" s="112"/>
      <c r="CR2" s="112"/>
      <c r="CS2" s="112"/>
      <c r="CT2" s="112"/>
      <c r="CU2" s="112"/>
      <c r="CV2" s="112"/>
      <c r="CW2" s="112"/>
      <c r="CX2" s="112"/>
      <c r="CY2" s="112"/>
      <c r="CZ2" s="112"/>
      <c r="DA2" s="112"/>
      <c r="DB2" s="112"/>
      <c r="DC2" s="144"/>
      <c r="DD2" s="933"/>
      <c r="DE2" s="80"/>
      <c r="DF2" s="81" t="s">
        <v>2455</v>
      </c>
      <c r="DG2" s="81"/>
      <c r="DH2" s="82"/>
      <c r="DI2" s="127"/>
      <c r="DJ2" s="80"/>
      <c r="DK2" s="81" t="s">
        <v>2456</v>
      </c>
      <c r="DL2" s="81"/>
      <c r="DM2" s="82"/>
      <c r="DN2" s="114"/>
      <c r="DO2" s="933"/>
      <c r="DP2" s="87"/>
      <c r="DQ2" s="88" t="s">
        <v>2457</v>
      </c>
      <c r="DR2" s="89"/>
      <c r="DS2" s="114"/>
      <c r="DT2" s="120"/>
      <c r="DU2" s="88" t="s">
        <v>2453</v>
      </c>
      <c r="DV2" s="89"/>
      <c r="DW2" s="114"/>
      <c r="DX2" s="933"/>
      <c r="DY2" s="94"/>
      <c r="DZ2" s="95" t="s">
        <v>2457</v>
      </c>
      <c r="EA2" s="95"/>
      <c r="EB2" s="96"/>
      <c r="EC2" s="114"/>
      <c r="ED2" s="94"/>
      <c r="EE2" s="95" t="s">
        <v>2458</v>
      </c>
      <c r="EF2" s="95"/>
      <c r="EG2" s="96"/>
      <c r="EH2" s="114"/>
      <c r="EI2" s="933"/>
      <c r="EJ2" s="101"/>
      <c r="EK2" s="102" t="s">
        <v>2457</v>
      </c>
      <c r="EL2" s="103"/>
      <c r="EM2" s="114"/>
      <c r="EN2" s="101"/>
      <c r="EO2" s="102" t="s">
        <v>2453</v>
      </c>
      <c r="EP2" s="103"/>
      <c r="EQ2" s="114"/>
      <c r="ER2" s="933"/>
      <c r="ES2" s="183"/>
      <c r="ET2" s="174"/>
      <c r="EU2" s="183" t="s">
        <v>2459</v>
      </c>
      <c r="EV2" s="174"/>
      <c r="EW2" s="174"/>
      <c r="EX2" s="173"/>
      <c r="EY2" s="179" t="s">
        <v>2459</v>
      </c>
      <c r="EZ2" s="173"/>
      <c r="FA2" s="173"/>
      <c r="FB2" s="179" t="s">
        <v>2459</v>
      </c>
      <c r="FC2" s="173"/>
      <c r="FD2" s="173"/>
      <c r="FE2" s="179" t="s">
        <v>2459</v>
      </c>
      <c r="FF2" s="173"/>
      <c r="FG2" s="173"/>
      <c r="FH2" s="179" t="s">
        <v>2459</v>
      </c>
      <c r="FI2" s="207"/>
      <c r="FJ2" s="933"/>
      <c r="FK2" s="162"/>
      <c r="FL2" s="172"/>
      <c r="FM2" s="183"/>
      <c r="FN2" s="211" t="s">
        <v>2459</v>
      </c>
      <c r="FO2" s="933"/>
      <c r="FP2" s="196" t="s">
        <v>2460</v>
      </c>
      <c r="FQ2" s="197"/>
      <c r="FR2" s="174"/>
      <c r="FS2" s="172"/>
      <c r="FT2" s="174"/>
      <c r="FU2" s="175"/>
      <c r="FV2" s="933"/>
      <c r="FW2" s="114"/>
      <c r="FX2" s="114"/>
      <c r="FY2" s="114"/>
      <c r="FZ2" s="114"/>
      <c r="GA2" s="114"/>
      <c r="GB2" s="114"/>
      <c r="GC2" s="114"/>
      <c r="GD2" s="933"/>
      <c r="GE2" s="173"/>
      <c r="GF2" s="179" t="s">
        <v>2459</v>
      </c>
      <c r="GG2" s="173"/>
      <c r="GH2" s="173"/>
      <c r="GI2" s="179" t="s">
        <v>2459</v>
      </c>
      <c r="GJ2" s="173"/>
      <c r="GK2" s="173"/>
      <c r="GL2" s="179" t="s">
        <v>2459</v>
      </c>
      <c r="GM2" s="173"/>
      <c r="GN2" s="173"/>
      <c r="GO2" s="179" t="s">
        <v>2459</v>
      </c>
      <c r="GP2" s="173"/>
      <c r="GQ2" s="173"/>
      <c r="GR2" s="179" t="s">
        <v>2459</v>
      </c>
      <c r="GS2" s="173"/>
      <c r="GT2" s="173"/>
      <c r="GU2" s="179" t="s">
        <v>2459</v>
      </c>
      <c r="GV2" s="173"/>
      <c r="GW2" s="173"/>
      <c r="GX2" s="179" t="s">
        <v>2459</v>
      </c>
      <c r="GY2" s="173"/>
      <c r="GZ2" s="173"/>
      <c r="HA2" s="179" t="s">
        <v>2459</v>
      </c>
      <c r="HB2" s="173"/>
      <c r="HC2" s="173"/>
      <c r="HD2" s="179" t="s">
        <v>2459</v>
      </c>
      <c r="HE2" s="173"/>
      <c r="HF2" s="173"/>
      <c r="HG2" s="179" t="s">
        <v>2459</v>
      </c>
      <c r="HH2" s="173"/>
      <c r="HI2" s="173"/>
      <c r="HJ2" s="179" t="s">
        <v>2459</v>
      </c>
      <c r="HK2" s="173"/>
      <c r="HL2" s="173"/>
      <c r="HM2" s="179" t="s">
        <v>2459</v>
      </c>
      <c r="HN2" s="173"/>
      <c r="HO2" s="173"/>
      <c r="HP2" s="179" t="s">
        <v>2459</v>
      </c>
      <c r="HQ2" s="173"/>
      <c r="HR2" s="173"/>
      <c r="HS2" s="179" t="s">
        <v>2459</v>
      </c>
      <c r="HT2" s="173"/>
      <c r="HV2" s="688"/>
      <c r="HW2" s="241"/>
      <c r="HX2" s="235"/>
      <c r="HY2" s="172" t="s">
        <v>2461</v>
      </c>
      <c r="HZ2" s="235"/>
      <c r="IA2" s="242"/>
      <c r="IB2" s="688"/>
      <c r="IC2" s="241"/>
      <c r="ID2" s="235"/>
      <c r="IE2" s="172" t="s">
        <v>2459</v>
      </c>
      <c r="IF2" s="235"/>
      <c r="IG2" s="235"/>
      <c r="IH2" s="689"/>
      <c r="II2" s="688"/>
      <c r="IJ2" s="688"/>
      <c r="IK2" s="933"/>
      <c r="IL2" s="241"/>
      <c r="IM2" s="235"/>
      <c r="IN2" s="179" t="s">
        <v>2461</v>
      </c>
      <c r="IO2" s="235"/>
      <c r="IP2" s="242"/>
      <c r="IQ2" s="241"/>
      <c r="IR2" s="235"/>
      <c r="IS2" s="179" t="s">
        <v>2459</v>
      </c>
      <c r="IT2" s="235"/>
      <c r="IU2" s="242"/>
      <c r="IV2" s="241"/>
      <c r="IW2" s="235"/>
      <c r="IX2" s="179" t="s">
        <v>2461</v>
      </c>
      <c r="IY2" s="235"/>
      <c r="IZ2" s="242"/>
      <c r="JA2" s="241"/>
      <c r="JB2" s="235"/>
      <c r="JC2" s="179" t="s">
        <v>2459</v>
      </c>
      <c r="JD2" s="235"/>
      <c r="JE2" s="242"/>
      <c r="JF2" s="241"/>
      <c r="JG2" s="235"/>
      <c r="JH2" s="179" t="s">
        <v>2461</v>
      </c>
      <c r="JI2" s="235"/>
      <c r="JJ2" s="242"/>
      <c r="JK2" s="241"/>
      <c r="JL2" s="235"/>
      <c r="JM2" s="179" t="s">
        <v>2459</v>
      </c>
      <c r="JN2" s="235"/>
      <c r="JO2" s="242"/>
      <c r="JP2" s="241"/>
      <c r="JQ2" s="235"/>
      <c r="JR2" s="179" t="s">
        <v>2461</v>
      </c>
      <c r="JS2" s="235"/>
      <c r="JT2" s="242"/>
      <c r="JU2" s="241"/>
      <c r="JV2" s="235"/>
      <c r="JW2" s="179" t="s">
        <v>2459</v>
      </c>
      <c r="JX2" s="235"/>
      <c r="JY2" s="242"/>
      <c r="JZ2" s="933"/>
      <c r="KA2" s="248"/>
      <c r="KB2" s="248" t="s">
        <v>2462</v>
      </c>
      <c r="KC2" s="172"/>
      <c r="KD2" s="172"/>
      <c r="KE2" s="254"/>
      <c r="KF2" s="254"/>
      <c r="KG2" s="254"/>
    </row>
    <row r="3" spans="1:293" ht="15" customHeight="1">
      <c r="A3" s="690"/>
      <c r="B3" s="691"/>
      <c r="C3" s="691"/>
      <c r="D3" s="691"/>
      <c r="E3" s="692"/>
      <c r="F3" s="692"/>
      <c r="G3" s="693"/>
      <c r="H3" s="690"/>
      <c r="I3" s="803"/>
      <c r="J3" s="803"/>
      <c r="K3" s="803"/>
      <c r="L3" s="803"/>
      <c r="M3" s="803"/>
      <c r="N3" s="803"/>
      <c r="O3" s="692"/>
      <c r="P3" s="803"/>
      <c r="Q3" s="933"/>
      <c r="R3" s="933"/>
      <c r="S3" s="15"/>
      <c r="T3" s="15"/>
      <c r="U3" s="15"/>
      <c r="V3" s="64" t="s">
        <v>6732</v>
      </c>
      <c r="W3" s="15"/>
      <c r="X3" s="15"/>
      <c r="Y3" s="15"/>
      <c r="Z3" s="15"/>
      <c r="AA3" s="15"/>
      <c r="AB3" s="15"/>
      <c r="AC3" s="15"/>
      <c r="AD3" s="15"/>
      <c r="AE3" s="15"/>
      <c r="AF3" s="15"/>
      <c r="AG3" s="15"/>
      <c r="AH3" s="15"/>
      <c r="AI3" s="15"/>
      <c r="AJ3" s="15"/>
      <c r="AK3" s="15"/>
      <c r="AL3" s="803"/>
      <c r="AM3" s="803"/>
      <c r="AN3" s="803"/>
      <c r="AP3" s="933"/>
      <c r="AR3" s="933"/>
      <c r="AS3" s="933"/>
      <c r="AU3" s="933"/>
      <c r="AV3" s="62"/>
      <c r="AW3" s="933"/>
      <c r="AY3" s="69" t="s">
        <v>6733</v>
      </c>
      <c r="AZ3" s="66"/>
      <c r="BA3" s="67"/>
      <c r="BB3" s="68"/>
      <c r="BC3" s="69"/>
      <c r="BD3" s="71" t="s">
        <v>2535</v>
      </c>
      <c r="BE3" s="66">
        <v>2025</v>
      </c>
      <c r="BF3" s="70"/>
      <c r="BG3" s="69"/>
      <c r="BH3" s="71" t="s">
        <v>2535</v>
      </c>
      <c r="BI3" s="66">
        <v>2030</v>
      </c>
      <c r="BJ3" s="70"/>
      <c r="BL3" s="83"/>
      <c r="BM3" s="54" t="s">
        <v>2467</v>
      </c>
      <c r="BN3" s="50"/>
      <c r="BO3" s="84"/>
      <c r="BP3" s="83"/>
      <c r="BQ3" s="54" t="s">
        <v>2467</v>
      </c>
      <c r="BR3" s="50"/>
      <c r="BS3" s="84"/>
      <c r="BT3" s="90"/>
      <c r="BU3" s="52" t="s">
        <v>2468</v>
      </c>
      <c r="BV3" s="91"/>
      <c r="BW3" s="90"/>
      <c r="BX3" s="52" t="s">
        <v>2468</v>
      </c>
      <c r="BY3" s="91"/>
      <c r="BZ3" s="97" t="s">
        <v>2469</v>
      </c>
      <c r="CA3" s="55"/>
      <c r="CB3" s="56"/>
      <c r="CC3" s="98"/>
      <c r="CD3" s="97" t="s">
        <v>2469</v>
      </c>
      <c r="CE3" s="55"/>
      <c r="CF3" s="56"/>
      <c r="CG3" s="98"/>
      <c r="CH3" s="104"/>
      <c r="CI3" s="61" t="s">
        <v>2470</v>
      </c>
      <c r="CJ3" s="105"/>
      <c r="CK3" s="104"/>
      <c r="CL3" s="61" t="s">
        <v>2470</v>
      </c>
      <c r="CM3" s="105"/>
      <c r="CO3" s="83"/>
      <c r="CP3" s="54" t="s">
        <v>2471</v>
      </c>
      <c r="CQ3" s="50"/>
      <c r="CR3" s="84"/>
      <c r="CS3" s="90"/>
      <c r="CT3" s="52" t="s">
        <v>2472</v>
      </c>
      <c r="CU3" s="91"/>
      <c r="CV3" s="97" t="s">
        <v>2469</v>
      </c>
      <c r="CW3" s="55"/>
      <c r="CX3" s="56"/>
      <c r="CY3" s="98"/>
      <c r="CZ3" s="104"/>
      <c r="DA3" s="61" t="s">
        <v>2470</v>
      </c>
      <c r="DB3" s="105"/>
      <c r="DC3" s="144"/>
      <c r="DE3" s="83"/>
      <c r="DF3" s="54" t="s">
        <v>2473</v>
      </c>
      <c r="DG3" s="50"/>
      <c r="DH3" s="84"/>
      <c r="DI3" s="127"/>
      <c r="DJ3" s="83"/>
      <c r="DK3" s="54" t="s">
        <v>2473</v>
      </c>
      <c r="DL3" s="50"/>
      <c r="DM3" s="84"/>
      <c r="DN3" s="114"/>
      <c r="DP3" s="90"/>
      <c r="DQ3" s="52" t="s">
        <v>2468</v>
      </c>
      <c r="DR3" s="91"/>
      <c r="DS3" s="114"/>
      <c r="DT3" s="90"/>
      <c r="DU3" s="52" t="s">
        <v>2468</v>
      </c>
      <c r="DV3" s="91"/>
      <c r="DW3" s="114"/>
      <c r="DY3" s="97"/>
      <c r="DZ3" s="55" t="s">
        <v>2469</v>
      </c>
      <c r="EA3" s="56"/>
      <c r="EB3" s="98"/>
      <c r="EC3" s="114"/>
      <c r="ED3" s="97"/>
      <c r="EE3" s="55" t="s">
        <v>2469</v>
      </c>
      <c r="EF3" s="56"/>
      <c r="EG3" s="98"/>
      <c r="EH3" s="114"/>
      <c r="EJ3" s="104"/>
      <c r="EK3" s="61" t="s">
        <v>2470</v>
      </c>
      <c r="EL3" s="105"/>
      <c r="EM3" s="114"/>
      <c r="EN3" s="104"/>
      <c r="EO3" s="61" t="s">
        <v>2470</v>
      </c>
      <c r="EP3" s="105"/>
      <c r="EQ3" s="114"/>
      <c r="ES3" s="183"/>
      <c r="ET3" s="172"/>
      <c r="EU3" s="183" t="s">
        <v>2474</v>
      </c>
      <c r="EV3" s="174"/>
      <c r="EW3" s="174"/>
      <c r="EX3" s="162"/>
      <c r="EY3" s="174" t="s">
        <v>2475</v>
      </c>
      <c r="EZ3" s="171"/>
      <c r="FA3" s="162"/>
      <c r="FB3" s="180" t="s">
        <v>2472</v>
      </c>
      <c r="FC3" s="171"/>
      <c r="FD3" s="162"/>
      <c r="FE3" s="181" t="s">
        <v>2476</v>
      </c>
      <c r="FF3" s="171"/>
      <c r="FG3" s="162"/>
      <c r="FH3" s="182" t="s">
        <v>2477</v>
      </c>
      <c r="FI3" s="208"/>
      <c r="FK3" s="212" t="s">
        <v>2478</v>
      </c>
      <c r="FL3" s="172"/>
      <c r="FM3" s="163"/>
      <c r="FN3" s="213" t="s">
        <v>2479</v>
      </c>
      <c r="FP3" s="200" t="s">
        <v>2480</v>
      </c>
      <c r="FQ3" s="186"/>
      <c r="FR3" s="198" t="s">
        <v>2481</v>
      </c>
      <c r="FS3" s="199"/>
      <c r="FT3" s="195" t="s">
        <v>2482</v>
      </c>
      <c r="FU3" s="186"/>
      <c r="FW3" s="114"/>
      <c r="FX3" s="114"/>
      <c r="FY3" s="114"/>
      <c r="FZ3" s="114"/>
      <c r="GA3" s="114"/>
      <c r="GB3" s="114"/>
      <c r="GC3" s="114"/>
      <c r="GE3" s="164"/>
      <c r="GF3" s="187" t="s">
        <v>2483</v>
      </c>
      <c r="GG3" s="187"/>
      <c r="GH3" s="164"/>
      <c r="GI3" s="187" t="s">
        <v>2484</v>
      </c>
      <c r="GJ3" s="164"/>
      <c r="GK3" s="164"/>
      <c r="GL3" s="187" t="s">
        <v>2485</v>
      </c>
      <c r="GM3" s="164"/>
      <c r="GN3" s="164"/>
      <c r="GO3" s="187" t="s">
        <v>2486</v>
      </c>
      <c r="GP3" s="164"/>
      <c r="GQ3" s="188"/>
      <c r="GR3" s="189" t="s">
        <v>2487</v>
      </c>
      <c r="GS3" s="188"/>
      <c r="GT3" s="188"/>
      <c r="GU3" s="189" t="s">
        <v>2488</v>
      </c>
      <c r="GV3" s="188"/>
      <c r="GW3" s="188"/>
      <c r="GX3" s="189" t="s">
        <v>2489</v>
      </c>
      <c r="GY3" s="188"/>
      <c r="GZ3" s="190"/>
      <c r="HA3" s="191" t="s">
        <v>2490</v>
      </c>
      <c r="HB3" s="190"/>
      <c r="HC3" s="190"/>
      <c r="HD3" s="191" t="s">
        <v>2491</v>
      </c>
      <c r="HE3" s="190"/>
      <c r="HF3" s="190"/>
      <c r="HG3" s="191" t="s">
        <v>2492</v>
      </c>
      <c r="HH3" s="190"/>
      <c r="HI3" s="190"/>
      <c r="HJ3" s="191" t="s">
        <v>2493</v>
      </c>
      <c r="HK3" s="190"/>
      <c r="HL3" s="192"/>
      <c r="HM3" s="193" t="s">
        <v>2494</v>
      </c>
      <c r="HN3" s="192"/>
      <c r="HO3" s="192"/>
      <c r="HP3" s="193" t="s">
        <v>2495</v>
      </c>
      <c r="HQ3" s="192"/>
      <c r="HR3" s="192"/>
      <c r="HS3" s="193" t="s">
        <v>2496</v>
      </c>
      <c r="HT3" s="192"/>
      <c r="HV3" s="688"/>
      <c r="HW3" s="241"/>
      <c r="HX3" s="235"/>
      <c r="HY3" s="252" t="s">
        <v>2497</v>
      </c>
      <c r="HZ3" s="235"/>
      <c r="IA3" s="242"/>
      <c r="IB3" s="688"/>
      <c r="IC3" s="241"/>
      <c r="ID3" s="235"/>
      <c r="IE3" s="252" t="s">
        <v>2497</v>
      </c>
      <c r="IF3" s="235"/>
      <c r="IG3" s="242"/>
      <c r="IH3" s="257" t="s">
        <v>2498</v>
      </c>
      <c r="II3" s="258"/>
      <c r="IL3" s="241"/>
      <c r="IM3" s="235"/>
      <c r="IN3" s="236" t="s">
        <v>2475</v>
      </c>
      <c r="IO3" s="235"/>
      <c r="IP3" s="242"/>
      <c r="IQ3" s="241"/>
      <c r="IR3" s="235"/>
      <c r="IS3" s="236" t="s">
        <v>2475</v>
      </c>
      <c r="IT3" s="235"/>
      <c r="IU3" s="242"/>
      <c r="IV3" s="241"/>
      <c r="IW3" s="235"/>
      <c r="IX3" s="243" t="s">
        <v>2468</v>
      </c>
      <c r="IY3" s="235"/>
      <c r="IZ3" s="242"/>
      <c r="JA3" s="241"/>
      <c r="JB3" s="235"/>
      <c r="JC3" s="243" t="s">
        <v>2468</v>
      </c>
      <c r="JD3" s="235"/>
      <c r="JE3" s="242"/>
      <c r="JF3" s="241"/>
      <c r="JG3" s="235"/>
      <c r="JH3" s="237" t="s">
        <v>2476</v>
      </c>
      <c r="JI3" s="235"/>
      <c r="JJ3" s="242"/>
      <c r="JK3" s="241"/>
      <c r="JL3" s="235"/>
      <c r="JM3" s="237" t="s">
        <v>2476</v>
      </c>
      <c r="JN3" s="235"/>
      <c r="JO3" s="242"/>
      <c r="JP3" s="241"/>
      <c r="JQ3" s="235"/>
      <c r="JR3" s="182" t="s">
        <v>2477</v>
      </c>
      <c r="JS3" s="235"/>
      <c r="JT3" s="242"/>
      <c r="JU3" s="241"/>
      <c r="JV3" s="235"/>
      <c r="JW3" s="182" t="s">
        <v>2477</v>
      </c>
      <c r="JX3" s="235"/>
      <c r="JY3" s="242"/>
      <c r="KA3" s="196" t="s">
        <v>2499</v>
      </c>
      <c r="KB3" s="211"/>
      <c r="KC3" s="196" t="s">
        <v>2500</v>
      </c>
      <c r="KD3" s="183"/>
      <c r="KE3" s="682"/>
      <c r="KF3" s="682"/>
      <c r="KG3" s="682"/>
    </row>
    <row r="4" spans="1:293" ht="108" customHeight="1">
      <c r="A4" s="1" t="s">
        <v>2044</v>
      </c>
      <c r="B4" s="46" t="s">
        <v>2045</v>
      </c>
      <c r="C4" s="46" t="s">
        <v>2180</v>
      </c>
      <c r="D4" s="46" t="s">
        <v>2181</v>
      </c>
      <c r="E4" s="46" t="s">
        <v>2048</v>
      </c>
      <c r="F4" s="46" t="s">
        <v>2049</v>
      </c>
      <c r="G4" s="46" t="s">
        <v>2182</v>
      </c>
      <c r="H4" s="46" t="s">
        <v>2183</v>
      </c>
      <c r="I4" s="46" t="s">
        <v>2050</v>
      </c>
      <c r="J4" s="46" t="s">
        <v>2051</v>
      </c>
      <c r="K4" s="46" t="s">
        <v>2184</v>
      </c>
      <c r="L4" s="46" t="s">
        <v>2185</v>
      </c>
      <c r="M4" s="46" t="s">
        <v>2056</v>
      </c>
      <c r="N4" s="46" t="s">
        <v>1249</v>
      </c>
      <c r="O4" s="46" t="s">
        <v>1274</v>
      </c>
      <c r="P4" s="46" t="s">
        <v>2186</v>
      </c>
      <c r="Q4" s="48" t="s">
        <v>2501</v>
      </c>
      <c r="R4" s="46" t="s">
        <v>2502</v>
      </c>
      <c r="S4" s="226">
        <v>2000</v>
      </c>
      <c r="T4" s="226">
        <v>2005</v>
      </c>
      <c r="U4" s="226">
        <v>2010</v>
      </c>
      <c r="V4" s="226">
        <v>2015</v>
      </c>
      <c r="W4" s="226">
        <v>2016</v>
      </c>
      <c r="X4" s="226">
        <v>2017</v>
      </c>
      <c r="Y4" s="226">
        <v>2018</v>
      </c>
      <c r="Z4" s="226">
        <v>2019</v>
      </c>
      <c r="AA4" s="226">
        <v>2020</v>
      </c>
      <c r="AB4" s="226">
        <v>2021</v>
      </c>
      <c r="AC4" s="226">
        <v>2022</v>
      </c>
      <c r="AD4" s="226">
        <v>2023</v>
      </c>
      <c r="AE4" s="226">
        <v>2024</v>
      </c>
      <c r="AF4" s="226">
        <v>2025</v>
      </c>
      <c r="AG4" s="226">
        <v>2026</v>
      </c>
      <c r="AH4" s="226">
        <v>2027</v>
      </c>
      <c r="AI4" s="226">
        <v>2028</v>
      </c>
      <c r="AJ4" s="226">
        <v>2029</v>
      </c>
      <c r="AK4" s="226">
        <v>2030</v>
      </c>
      <c r="AL4" s="46" t="s">
        <v>6734</v>
      </c>
      <c r="AM4" s="46" t="s">
        <v>6735</v>
      </c>
      <c r="AN4" s="15" t="s">
        <v>2065</v>
      </c>
      <c r="AO4" s="109"/>
      <c r="AP4" s="63" t="s">
        <v>2505</v>
      </c>
      <c r="AQ4" s="63" t="s">
        <v>2506</v>
      </c>
      <c r="AR4" s="63" t="s">
        <v>2507</v>
      </c>
      <c r="AS4" s="63" t="s">
        <v>2508</v>
      </c>
      <c r="AT4" s="109"/>
      <c r="AU4" s="46" t="s">
        <v>2509</v>
      </c>
      <c r="AV4" s="46" t="s">
        <v>2510</v>
      </c>
      <c r="AW4" s="46" t="s">
        <v>2512</v>
      </c>
      <c r="AX4" s="109"/>
      <c r="AY4" s="72" t="s">
        <v>2475</v>
      </c>
      <c r="AZ4" s="73" t="s">
        <v>2472</v>
      </c>
      <c r="BA4" s="74" t="s">
        <v>2476</v>
      </c>
      <c r="BB4" s="75" t="s">
        <v>2477</v>
      </c>
      <c r="BC4" s="76" t="s">
        <v>2475</v>
      </c>
      <c r="BD4" s="77" t="s">
        <v>2472</v>
      </c>
      <c r="BE4" s="78" t="s">
        <v>2476</v>
      </c>
      <c r="BF4" s="79" t="s">
        <v>2477</v>
      </c>
      <c r="BG4" s="76" t="s">
        <v>2475</v>
      </c>
      <c r="BH4" s="77" t="s">
        <v>2472</v>
      </c>
      <c r="BI4" s="78" t="s">
        <v>2476</v>
      </c>
      <c r="BJ4" s="79" t="s">
        <v>2477</v>
      </c>
      <c r="BK4" s="109"/>
      <c r="BL4" s="85" t="s">
        <v>2514</v>
      </c>
      <c r="BM4" s="51" t="s">
        <v>2515</v>
      </c>
      <c r="BN4" s="51" t="s">
        <v>2516</v>
      </c>
      <c r="BO4" s="86" t="s">
        <v>2517</v>
      </c>
      <c r="BP4" s="85" t="s">
        <v>2514</v>
      </c>
      <c r="BQ4" s="51" t="s">
        <v>2515</v>
      </c>
      <c r="BR4" s="51" t="s">
        <v>2516</v>
      </c>
      <c r="BS4" s="86" t="s">
        <v>2517</v>
      </c>
      <c r="BT4" s="92" t="s">
        <v>2514</v>
      </c>
      <c r="BU4" s="53" t="s">
        <v>2515</v>
      </c>
      <c r="BV4" s="93" t="s">
        <v>2516</v>
      </c>
      <c r="BW4" s="92" t="s">
        <v>2514</v>
      </c>
      <c r="BX4" s="53" t="s">
        <v>2515</v>
      </c>
      <c r="BY4" s="93" t="s">
        <v>2516</v>
      </c>
      <c r="BZ4" s="99" t="s">
        <v>2518</v>
      </c>
      <c r="CA4" s="57" t="s">
        <v>2519</v>
      </c>
      <c r="CB4" s="57" t="s">
        <v>2520</v>
      </c>
      <c r="CC4" s="100" t="s">
        <v>2521</v>
      </c>
      <c r="CD4" s="99" t="s">
        <v>2518</v>
      </c>
      <c r="CE4" s="57" t="s">
        <v>2519</v>
      </c>
      <c r="CF4" s="57" t="s">
        <v>2520</v>
      </c>
      <c r="CG4" s="100" t="s">
        <v>2521</v>
      </c>
      <c r="CH4" s="106" t="s">
        <v>2518</v>
      </c>
      <c r="CI4" s="60" t="s">
        <v>2522</v>
      </c>
      <c r="CJ4" s="107" t="s">
        <v>2523</v>
      </c>
      <c r="CK4" s="106" t="s">
        <v>2518</v>
      </c>
      <c r="CL4" s="60" t="s">
        <v>2522</v>
      </c>
      <c r="CM4" s="107" t="s">
        <v>2523</v>
      </c>
      <c r="CN4" s="109"/>
      <c r="CO4" s="131" t="s">
        <v>2514</v>
      </c>
      <c r="CP4" s="132" t="s">
        <v>2515</v>
      </c>
      <c r="CQ4" s="132" t="s">
        <v>2516</v>
      </c>
      <c r="CR4" s="133" t="s">
        <v>2517</v>
      </c>
      <c r="CS4" s="134" t="s">
        <v>2514</v>
      </c>
      <c r="CT4" s="135" t="s">
        <v>2515</v>
      </c>
      <c r="CU4" s="136" t="s">
        <v>2516</v>
      </c>
      <c r="CV4" s="137" t="s">
        <v>2518</v>
      </c>
      <c r="CW4" s="138" t="s">
        <v>2519</v>
      </c>
      <c r="CX4" s="138" t="s">
        <v>2520</v>
      </c>
      <c r="CY4" s="139" t="s">
        <v>2521</v>
      </c>
      <c r="CZ4" s="140" t="s">
        <v>2518</v>
      </c>
      <c r="DA4" s="60" t="s">
        <v>2522</v>
      </c>
      <c r="DB4" s="141" t="s">
        <v>2523</v>
      </c>
      <c r="DC4" s="143" t="s">
        <v>2524</v>
      </c>
      <c r="DD4" s="109"/>
      <c r="DE4" s="85" t="s">
        <v>2514</v>
      </c>
      <c r="DF4" s="51" t="s">
        <v>2515</v>
      </c>
      <c r="DG4" s="51" t="s">
        <v>2516</v>
      </c>
      <c r="DH4" s="86" t="s">
        <v>2517</v>
      </c>
      <c r="DI4" s="116" t="s">
        <v>2525</v>
      </c>
      <c r="DJ4" s="85" t="s">
        <v>2514</v>
      </c>
      <c r="DK4" s="51" t="s">
        <v>2515</v>
      </c>
      <c r="DL4" s="51" t="s">
        <v>2516</v>
      </c>
      <c r="DM4" s="86" t="s">
        <v>2517</v>
      </c>
      <c r="DN4" s="116" t="s">
        <v>2526</v>
      </c>
      <c r="DO4" s="109"/>
      <c r="DP4" s="92" t="s">
        <v>2514</v>
      </c>
      <c r="DQ4" s="53" t="s">
        <v>2515</v>
      </c>
      <c r="DR4" s="93" t="s">
        <v>2516</v>
      </c>
      <c r="DS4" s="117" t="s">
        <v>2527</v>
      </c>
      <c r="DT4" s="92" t="s">
        <v>2514</v>
      </c>
      <c r="DU4" s="53" t="s">
        <v>2515</v>
      </c>
      <c r="DV4" s="93" t="s">
        <v>2516</v>
      </c>
      <c r="DW4" s="117" t="s">
        <v>2528</v>
      </c>
      <c r="DX4" s="109"/>
      <c r="DY4" s="99" t="s">
        <v>2518</v>
      </c>
      <c r="DZ4" s="57" t="s">
        <v>2519</v>
      </c>
      <c r="EA4" s="57" t="s">
        <v>2520</v>
      </c>
      <c r="EB4" s="100" t="s">
        <v>2521</v>
      </c>
      <c r="EC4" s="118" t="s">
        <v>2529</v>
      </c>
      <c r="ED4" s="99" t="s">
        <v>2518</v>
      </c>
      <c r="EE4" s="57" t="s">
        <v>2519</v>
      </c>
      <c r="EF4" s="57" t="s">
        <v>2520</v>
      </c>
      <c r="EG4" s="100" t="s">
        <v>2521</v>
      </c>
      <c r="EH4" s="118" t="s">
        <v>2530</v>
      </c>
      <c r="EI4" s="109"/>
      <c r="EJ4" s="106" t="s">
        <v>2518</v>
      </c>
      <c r="EK4" s="60" t="s">
        <v>2519</v>
      </c>
      <c r="EL4" s="107" t="s">
        <v>2523</v>
      </c>
      <c r="EM4" s="119" t="s">
        <v>2531</v>
      </c>
      <c r="EN4" s="106" t="s">
        <v>2518</v>
      </c>
      <c r="EO4" s="60" t="s">
        <v>2519</v>
      </c>
      <c r="EP4" s="107" t="s">
        <v>2523</v>
      </c>
      <c r="EQ4" s="119" t="s">
        <v>2532</v>
      </c>
      <c r="ER4" s="109"/>
      <c r="ES4" s="169" t="s">
        <v>2533</v>
      </c>
      <c r="ET4" s="178" t="s">
        <v>2534</v>
      </c>
      <c r="EU4" s="201" t="s">
        <v>2535</v>
      </c>
      <c r="EV4" s="169" t="s">
        <v>140</v>
      </c>
      <c r="EW4" s="178" t="s">
        <v>2536</v>
      </c>
      <c r="EX4" s="131" t="s">
        <v>2535</v>
      </c>
      <c r="EY4" s="169" t="s">
        <v>140</v>
      </c>
      <c r="EZ4" s="170" t="s">
        <v>2536</v>
      </c>
      <c r="FA4" s="131" t="s">
        <v>2535</v>
      </c>
      <c r="FB4" s="169" t="s">
        <v>140</v>
      </c>
      <c r="FC4" s="170" t="s">
        <v>2536</v>
      </c>
      <c r="FD4" s="131" t="s">
        <v>2535</v>
      </c>
      <c r="FE4" s="169" t="s">
        <v>140</v>
      </c>
      <c r="FF4" s="170" t="s">
        <v>2536</v>
      </c>
      <c r="FG4" s="131" t="s">
        <v>2535</v>
      </c>
      <c r="FH4" s="169" t="s">
        <v>140</v>
      </c>
      <c r="FI4" s="209" t="s">
        <v>2536</v>
      </c>
      <c r="FJ4" s="109"/>
      <c r="FK4" s="201" t="s">
        <v>2537</v>
      </c>
      <c r="FL4" s="178" t="s">
        <v>2538</v>
      </c>
      <c r="FM4" s="185" t="s">
        <v>2539</v>
      </c>
      <c r="FN4" s="206" t="s">
        <v>2540</v>
      </c>
      <c r="FO4" s="109"/>
      <c r="FP4" s="201" t="s">
        <v>2541</v>
      </c>
      <c r="FQ4" s="204" t="s">
        <v>6736</v>
      </c>
      <c r="FR4" s="185" t="s">
        <v>2543</v>
      </c>
      <c r="FS4" s="185" t="s">
        <v>6737</v>
      </c>
      <c r="FT4" s="205" t="s">
        <v>2545</v>
      </c>
      <c r="FU4" s="194" t="s">
        <v>6737</v>
      </c>
      <c r="FV4" s="109"/>
      <c r="FW4" s="256" t="s">
        <v>2546</v>
      </c>
      <c r="FX4" s="256" t="s">
        <v>2547</v>
      </c>
      <c r="FY4" s="256" t="s">
        <v>2548</v>
      </c>
      <c r="FZ4" s="256" t="s">
        <v>2549</v>
      </c>
      <c r="GA4" s="256" t="s">
        <v>2550</v>
      </c>
      <c r="GB4" s="256" t="s">
        <v>2551</v>
      </c>
      <c r="GC4" s="256" t="s">
        <v>2552</v>
      </c>
      <c r="GD4" s="109"/>
      <c r="GE4" s="131" t="s">
        <v>2535</v>
      </c>
      <c r="GF4" s="169" t="s">
        <v>140</v>
      </c>
      <c r="GG4" s="178" t="s">
        <v>2536</v>
      </c>
      <c r="GH4" s="131" t="s">
        <v>2535</v>
      </c>
      <c r="GI4" s="169" t="s">
        <v>140</v>
      </c>
      <c r="GJ4" s="178" t="s">
        <v>2536</v>
      </c>
      <c r="GK4" s="131" t="s">
        <v>2535</v>
      </c>
      <c r="GL4" s="169" t="s">
        <v>140</v>
      </c>
      <c r="GM4" s="178" t="s">
        <v>2536</v>
      </c>
      <c r="GN4" s="131" t="s">
        <v>2535</v>
      </c>
      <c r="GO4" s="169" t="s">
        <v>140</v>
      </c>
      <c r="GP4" s="178" t="s">
        <v>2536</v>
      </c>
      <c r="GQ4" s="131" t="s">
        <v>2535</v>
      </c>
      <c r="GR4" s="169" t="s">
        <v>140</v>
      </c>
      <c r="GS4" s="178" t="s">
        <v>2536</v>
      </c>
      <c r="GT4" s="131" t="s">
        <v>2535</v>
      </c>
      <c r="GU4" s="169" t="s">
        <v>140</v>
      </c>
      <c r="GV4" s="178" t="s">
        <v>2536</v>
      </c>
      <c r="GW4" s="131" t="s">
        <v>2535</v>
      </c>
      <c r="GX4" s="169" t="s">
        <v>140</v>
      </c>
      <c r="GY4" s="178" t="s">
        <v>2536</v>
      </c>
      <c r="GZ4" s="131" t="s">
        <v>2535</v>
      </c>
      <c r="HA4" s="169" t="s">
        <v>140</v>
      </c>
      <c r="HB4" s="178" t="s">
        <v>2536</v>
      </c>
      <c r="HC4" s="131" t="s">
        <v>2535</v>
      </c>
      <c r="HD4" s="169" t="s">
        <v>140</v>
      </c>
      <c r="HE4" s="178" t="s">
        <v>2536</v>
      </c>
      <c r="HF4" s="131" t="s">
        <v>2535</v>
      </c>
      <c r="HG4" s="169" t="s">
        <v>140</v>
      </c>
      <c r="HH4" s="178" t="s">
        <v>2536</v>
      </c>
      <c r="HI4" s="131" t="s">
        <v>2535</v>
      </c>
      <c r="HJ4" s="169" t="s">
        <v>140</v>
      </c>
      <c r="HK4" s="178" t="s">
        <v>2536</v>
      </c>
      <c r="HL4" s="131" t="s">
        <v>2535</v>
      </c>
      <c r="HM4" s="169" t="s">
        <v>140</v>
      </c>
      <c r="HN4" s="178" t="s">
        <v>2536</v>
      </c>
      <c r="HO4" s="131" t="s">
        <v>2535</v>
      </c>
      <c r="HP4" s="169" t="s">
        <v>140</v>
      </c>
      <c r="HQ4" s="178" t="s">
        <v>2536</v>
      </c>
      <c r="HR4" s="131" t="s">
        <v>2535</v>
      </c>
      <c r="HS4" s="169" t="s">
        <v>140</v>
      </c>
      <c r="HT4" s="178" t="s">
        <v>2536</v>
      </c>
      <c r="HV4" s="253" t="s">
        <v>2553</v>
      </c>
      <c r="HW4" s="234" t="s">
        <v>2554</v>
      </c>
      <c r="HX4" s="169" t="s">
        <v>2555</v>
      </c>
      <c r="HY4" s="184" t="s">
        <v>2194</v>
      </c>
      <c r="HZ4" s="233" t="s">
        <v>2556</v>
      </c>
      <c r="IA4" s="232" t="s">
        <v>2557</v>
      </c>
      <c r="IB4" s="253" t="s">
        <v>2558</v>
      </c>
      <c r="IC4" s="234" t="s">
        <v>2554</v>
      </c>
      <c r="ID4" s="169" t="s">
        <v>2555</v>
      </c>
      <c r="IE4" s="184" t="s">
        <v>2194</v>
      </c>
      <c r="IF4" s="233" t="s">
        <v>2556</v>
      </c>
      <c r="IG4" s="232" t="s">
        <v>2557</v>
      </c>
      <c r="IH4" s="201" t="s">
        <v>2541</v>
      </c>
      <c r="II4" s="201" t="s">
        <v>2559</v>
      </c>
      <c r="IJ4" s="251" t="s">
        <v>2560</v>
      </c>
      <c r="IK4" s="109"/>
      <c r="IL4" s="234" t="s">
        <v>2554</v>
      </c>
      <c r="IM4" s="169" t="s">
        <v>2555</v>
      </c>
      <c r="IN4" s="184" t="s">
        <v>2194</v>
      </c>
      <c r="IO4" s="233" t="s">
        <v>2556</v>
      </c>
      <c r="IP4" s="232" t="s">
        <v>2557</v>
      </c>
      <c r="IQ4" s="234" t="s">
        <v>2554</v>
      </c>
      <c r="IR4" s="169" t="s">
        <v>2555</v>
      </c>
      <c r="IS4" s="184" t="s">
        <v>2194</v>
      </c>
      <c r="IT4" s="233" t="s">
        <v>2556</v>
      </c>
      <c r="IU4" s="232" t="s">
        <v>2557</v>
      </c>
      <c r="IV4" s="234" t="s">
        <v>2554</v>
      </c>
      <c r="IW4" s="169" t="s">
        <v>2555</v>
      </c>
      <c r="IX4" s="184" t="s">
        <v>2194</v>
      </c>
      <c r="IY4" s="233" t="s">
        <v>2556</v>
      </c>
      <c r="IZ4" s="232" t="s">
        <v>2557</v>
      </c>
      <c r="JA4" s="234" t="s">
        <v>2554</v>
      </c>
      <c r="JB4" s="169" t="s">
        <v>2555</v>
      </c>
      <c r="JC4" s="184" t="s">
        <v>2194</v>
      </c>
      <c r="JD4" s="233" t="s">
        <v>2556</v>
      </c>
      <c r="JE4" s="232" t="s">
        <v>2557</v>
      </c>
      <c r="JF4" s="234" t="s">
        <v>2554</v>
      </c>
      <c r="JG4" s="169" t="s">
        <v>2555</v>
      </c>
      <c r="JH4" s="184" t="s">
        <v>2194</v>
      </c>
      <c r="JI4" s="233" t="s">
        <v>2556</v>
      </c>
      <c r="JJ4" s="232" t="s">
        <v>2557</v>
      </c>
      <c r="JK4" s="234" t="s">
        <v>2554</v>
      </c>
      <c r="JL4" s="169" t="s">
        <v>2555</v>
      </c>
      <c r="JM4" s="184" t="s">
        <v>2194</v>
      </c>
      <c r="JN4" s="233" t="s">
        <v>2556</v>
      </c>
      <c r="JO4" s="232" t="s">
        <v>2557</v>
      </c>
      <c r="JP4" s="234" t="s">
        <v>2554</v>
      </c>
      <c r="JQ4" s="169" t="s">
        <v>2555</v>
      </c>
      <c r="JR4" s="184" t="s">
        <v>2194</v>
      </c>
      <c r="JS4" s="233" t="s">
        <v>2556</v>
      </c>
      <c r="JT4" s="232" t="s">
        <v>2557</v>
      </c>
      <c r="JU4" s="234" t="s">
        <v>2554</v>
      </c>
      <c r="JV4" s="169" t="s">
        <v>2555</v>
      </c>
      <c r="JW4" s="184" t="s">
        <v>2194</v>
      </c>
      <c r="JX4" s="233" t="s">
        <v>2556</v>
      </c>
      <c r="JY4" s="232" t="s">
        <v>2557</v>
      </c>
      <c r="JZ4" s="109"/>
      <c r="KA4" s="233" t="s">
        <v>2561</v>
      </c>
      <c r="KB4" s="232" t="s">
        <v>2562</v>
      </c>
      <c r="KC4" s="201" t="s">
        <v>2541</v>
      </c>
      <c r="KD4" s="648" t="s">
        <v>2559</v>
      </c>
      <c r="KE4" s="143" t="s">
        <v>2563</v>
      </c>
      <c r="KF4" s="143" t="s">
        <v>2564</v>
      </c>
      <c r="KG4" s="143" t="s">
        <v>2565</v>
      </c>
    </row>
    <row r="5" spans="1:293" ht="8.1" customHeight="1">
      <c r="A5" s="829" t="s">
        <v>2090</v>
      </c>
      <c r="B5" s="829" t="s">
        <v>2090</v>
      </c>
      <c r="C5" s="829" t="s">
        <v>2090</v>
      </c>
      <c r="D5" s="829" t="s">
        <v>2090</v>
      </c>
      <c r="E5" s="829" t="s">
        <v>2090</v>
      </c>
      <c r="F5" s="829" t="s">
        <v>2090</v>
      </c>
      <c r="G5" s="829" t="s">
        <v>2090</v>
      </c>
      <c r="H5" s="829" t="s">
        <v>2090</v>
      </c>
      <c r="I5" s="829" t="s">
        <v>2090</v>
      </c>
      <c r="J5" s="829" t="s">
        <v>2090</v>
      </c>
      <c r="K5" s="829" t="s">
        <v>2090</v>
      </c>
      <c r="L5" s="829" t="s">
        <v>2090</v>
      </c>
      <c r="M5" s="829" t="s">
        <v>2090</v>
      </c>
      <c r="N5" s="829" t="s">
        <v>2090</v>
      </c>
      <c r="O5" s="829" t="s">
        <v>2090</v>
      </c>
      <c r="P5" s="829" t="s">
        <v>2090</v>
      </c>
      <c r="Q5" s="829" t="s">
        <v>2090</v>
      </c>
      <c r="R5" s="829" t="s">
        <v>2090</v>
      </c>
      <c r="S5" s="829" t="s">
        <v>2090</v>
      </c>
      <c r="T5" s="829" t="s">
        <v>2090</v>
      </c>
      <c r="U5" s="829" t="s">
        <v>2090</v>
      </c>
      <c r="V5" s="829" t="s">
        <v>2090</v>
      </c>
      <c r="W5" s="829" t="s">
        <v>2090</v>
      </c>
      <c r="X5" s="829" t="s">
        <v>2090</v>
      </c>
      <c r="Y5" s="829" t="s">
        <v>2090</v>
      </c>
      <c r="Z5" s="829" t="s">
        <v>2090</v>
      </c>
      <c r="AA5" s="829" t="s">
        <v>2090</v>
      </c>
      <c r="AB5" s="829" t="s">
        <v>2090</v>
      </c>
      <c r="AC5" s="829" t="s">
        <v>2090</v>
      </c>
      <c r="AD5" s="829" t="s">
        <v>2090</v>
      </c>
      <c r="AE5" s="829" t="s">
        <v>2090</v>
      </c>
      <c r="AF5" s="829" t="s">
        <v>2090</v>
      </c>
      <c r="AG5" s="829" t="s">
        <v>2090</v>
      </c>
      <c r="AH5" s="829" t="s">
        <v>2090</v>
      </c>
      <c r="AI5" s="829" t="s">
        <v>2090</v>
      </c>
      <c r="AJ5" s="829" t="s">
        <v>2090</v>
      </c>
      <c r="AK5" s="829" t="s">
        <v>2090</v>
      </c>
      <c r="AL5" s="829" t="s">
        <v>2090</v>
      </c>
      <c r="AM5" s="829" t="s">
        <v>2090</v>
      </c>
      <c r="AN5" s="829" t="s">
        <v>2090</v>
      </c>
      <c r="AO5" s="829"/>
      <c r="AP5" s="829" t="s">
        <v>2090</v>
      </c>
      <c r="AQ5" s="829" t="s">
        <v>2090</v>
      </c>
      <c r="AR5" s="829" t="s">
        <v>2090</v>
      </c>
      <c r="AS5" s="829" t="s">
        <v>2090</v>
      </c>
      <c r="AT5" s="109"/>
      <c r="AU5" s="829" t="s">
        <v>2090</v>
      </c>
      <c r="AV5" s="829" t="s">
        <v>2090</v>
      </c>
      <c r="AW5" s="829" t="s">
        <v>2090</v>
      </c>
      <c r="AX5" s="109"/>
      <c r="AY5" s="829" t="s">
        <v>2090</v>
      </c>
      <c r="AZ5" s="829" t="s">
        <v>2090</v>
      </c>
      <c r="BA5" s="829" t="s">
        <v>2090</v>
      </c>
      <c r="BB5" s="829" t="s">
        <v>2090</v>
      </c>
      <c r="BC5" s="829" t="s">
        <v>2090</v>
      </c>
      <c r="BD5" s="829" t="s">
        <v>2090</v>
      </c>
      <c r="BE5" s="829" t="s">
        <v>2090</v>
      </c>
      <c r="BF5" s="829" t="s">
        <v>2090</v>
      </c>
      <c r="BG5" s="829" t="s">
        <v>2090</v>
      </c>
      <c r="BH5" s="829" t="s">
        <v>2090</v>
      </c>
      <c r="BI5" s="829" t="s">
        <v>2090</v>
      </c>
      <c r="BJ5" s="829" t="s">
        <v>2090</v>
      </c>
      <c r="BK5" s="109"/>
      <c r="BL5" s="829" t="s">
        <v>2090</v>
      </c>
      <c r="BM5" s="829" t="s">
        <v>2090</v>
      </c>
      <c r="BN5" s="829" t="s">
        <v>2090</v>
      </c>
      <c r="BO5" s="829" t="s">
        <v>2090</v>
      </c>
      <c r="BP5" s="829" t="s">
        <v>2090</v>
      </c>
      <c r="BQ5" s="829" t="s">
        <v>2090</v>
      </c>
      <c r="BR5" s="829" t="s">
        <v>2090</v>
      </c>
      <c r="BS5" s="829" t="s">
        <v>2090</v>
      </c>
      <c r="BT5" s="829" t="s">
        <v>2090</v>
      </c>
      <c r="BU5" s="829" t="s">
        <v>2090</v>
      </c>
      <c r="BV5" s="829" t="s">
        <v>2090</v>
      </c>
      <c r="BW5" s="829" t="s">
        <v>2090</v>
      </c>
      <c r="BX5" s="829" t="s">
        <v>2090</v>
      </c>
      <c r="BY5" s="829" t="s">
        <v>2090</v>
      </c>
      <c r="BZ5" s="829" t="s">
        <v>2090</v>
      </c>
      <c r="CA5" s="829" t="s">
        <v>2090</v>
      </c>
      <c r="CB5" s="829" t="s">
        <v>2090</v>
      </c>
      <c r="CC5" s="829" t="s">
        <v>2090</v>
      </c>
      <c r="CD5" s="829" t="s">
        <v>2090</v>
      </c>
      <c r="CE5" s="829" t="s">
        <v>2090</v>
      </c>
      <c r="CF5" s="829" t="s">
        <v>2090</v>
      </c>
      <c r="CG5" s="829" t="s">
        <v>2090</v>
      </c>
      <c r="CH5" s="829" t="s">
        <v>2090</v>
      </c>
      <c r="CI5" s="829" t="s">
        <v>2090</v>
      </c>
      <c r="CJ5" s="829" t="s">
        <v>2090</v>
      </c>
      <c r="CK5" s="829" t="s">
        <v>2090</v>
      </c>
      <c r="CL5" s="829" t="s">
        <v>2090</v>
      </c>
      <c r="CM5" s="829" t="s">
        <v>2090</v>
      </c>
      <c r="CN5" s="109"/>
      <c r="CO5" s="829" t="s">
        <v>2090</v>
      </c>
      <c r="CP5" s="829" t="s">
        <v>2090</v>
      </c>
      <c r="CQ5" s="829" t="s">
        <v>2090</v>
      </c>
      <c r="CR5" s="829" t="s">
        <v>2090</v>
      </c>
      <c r="CS5" s="829" t="s">
        <v>2090</v>
      </c>
      <c r="CT5" s="829" t="s">
        <v>2090</v>
      </c>
      <c r="CU5" s="829" t="s">
        <v>2090</v>
      </c>
      <c r="CV5" s="829" t="s">
        <v>2090</v>
      </c>
      <c r="CW5" s="829" t="s">
        <v>2090</v>
      </c>
      <c r="CX5" s="829" t="s">
        <v>2090</v>
      </c>
      <c r="CY5" s="829" t="s">
        <v>2090</v>
      </c>
      <c r="CZ5" s="829" t="s">
        <v>2090</v>
      </c>
      <c r="DA5" s="829" t="s">
        <v>2090</v>
      </c>
      <c r="DB5" s="829" t="s">
        <v>2090</v>
      </c>
      <c r="DC5" s="829" t="s">
        <v>2090</v>
      </c>
      <c r="DD5" s="109"/>
      <c r="DE5" s="829" t="s">
        <v>2090</v>
      </c>
      <c r="DF5" s="829" t="s">
        <v>2090</v>
      </c>
      <c r="DG5" s="829" t="s">
        <v>2090</v>
      </c>
      <c r="DH5" s="829" t="s">
        <v>2090</v>
      </c>
      <c r="DI5" s="420" t="s">
        <v>2090</v>
      </c>
      <c r="DJ5" s="829" t="s">
        <v>2090</v>
      </c>
      <c r="DK5" s="829" t="s">
        <v>2090</v>
      </c>
      <c r="DL5" s="829" t="s">
        <v>2090</v>
      </c>
      <c r="DM5" s="829" t="s">
        <v>2090</v>
      </c>
      <c r="DN5" s="829" t="s">
        <v>2090</v>
      </c>
      <c r="DO5" s="109"/>
      <c r="DP5" s="829" t="s">
        <v>2090</v>
      </c>
      <c r="DQ5" s="829" t="s">
        <v>2090</v>
      </c>
      <c r="DR5" s="829" t="s">
        <v>2090</v>
      </c>
      <c r="DS5" s="829" t="s">
        <v>2090</v>
      </c>
      <c r="DT5" s="829" t="s">
        <v>2090</v>
      </c>
      <c r="DU5" s="829" t="s">
        <v>2090</v>
      </c>
      <c r="DV5" s="829" t="s">
        <v>2090</v>
      </c>
      <c r="DW5" s="829" t="s">
        <v>2090</v>
      </c>
      <c r="DX5" s="109"/>
      <c r="DY5" s="829" t="s">
        <v>2090</v>
      </c>
      <c r="DZ5" s="829" t="s">
        <v>2090</v>
      </c>
      <c r="EA5" s="829" t="s">
        <v>2090</v>
      </c>
      <c r="EB5" s="829" t="s">
        <v>2090</v>
      </c>
      <c r="EC5" s="829" t="s">
        <v>2090</v>
      </c>
      <c r="ED5" s="829" t="s">
        <v>2090</v>
      </c>
      <c r="EE5" s="829" t="s">
        <v>2090</v>
      </c>
      <c r="EF5" s="829" t="s">
        <v>2090</v>
      </c>
      <c r="EG5" s="829" t="s">
        <v>2090</v>
      </c>
      <c r="EH5" s="829" t="s">
        <v>2090</v>
      </c>
      <c r="EI5" s="109"/>
      <c r="EJ5" s="829" t="s">
        <v>2090</v>
      </c>
      <c r="EK5" s="829" t="s">
        <v>2090</v>
      </c>
      <c r="EL5" s="829" t="s">
        <v>2090</v>
      </c>
      <c r="EM5" s="829" t="s">
        <v>2090</v>
      </c>
      <c r="EN5" s="829" t="s">
        <v>2090</v>
      </c>
      <c r="EO5" s="829" t="s">
        <v>2090</v>
      </c>
      <c r="EP5" s="829" t="s">
        <v>2090</v>
      </c>
      <c r="EQ5" s="829" t="s">
        <v>2090</v>
      </c>
      <c r="ER5" s="109"/>
      <c r="ES5" s="165" t="s">
        <v>2090</v>
      </c>
      <c r="ET5" s="165" t="s">
        <v>2090</v>
      </c>
      <c r="EU5" s="165" t="s">
        <v>2090</v>
      </c>
      <c r="EV5" s="165" t="s">
        <v>2090</v>
      </c>
      <c r="EW5" s="165" t="s">
        <v>2090</v>
      </c>
      <c r="EX5" s="165" t="s">
        <v>2090</v>
      </c>
      <c r="EY5" s="165" t="s">
        <v>2090</v>
      </c>
      <c r="EZ5" s="165" t="s">
        <v>2090</v>
      </c>
      <c r="FA5" s="165" t="s">
        <v>2090</v>
      </c>
      <c r="FB5" s="165" t="s">
        <v>2090</v>
      </c>
      <c r="FC5" s="165" t="s">
        <v>2090</v>
      </c>
      <c r="FD5" s="165" t="s">
        <v>2090</v>
      </c>
      <c r="FE5" s="165" t="s">
        <v>2090</v>
      </c>
      <c r="FF5" s="165" t="s">
        <v>2090</v>
      </c>
      <c r="FG5" s="165" t="s">
        <v>2090</v>
      </c>
      <c r="FH5" s="165" t="s">
        <v>2090</v>
      </c>
      <c r="FI5" s="210" t="s">
        <v>2090</v>
      </c>
      <c r="FJ5" s="109"/>
      <c r="FK5" s="165" t="s">
        <v>2090</v>
      </c>
      <c r="FL5" s="165" t="s">
        <v>2090</v>
      </c>
      <c r="FM5" s="165" t="s">
        <v>2090</v>
      </c>
      <c r="FN5" s="165" t="s">
        <v>2090</v>
      </c>
      <c r="FO5" s="109"/>
      <c r="FP5" s="165" t="s">
        <v>2090</v>
      </c>
      <c r="FQ5" s="165" t="s">
        <v>2090</v>
      </c>
      <c r="FR5" s="202" t="s">
        <v>2090</v>
      </c>
      <c r="FS5" s="203" t="s">
        <v>2090</v>
      </c>
      <c r="FT5" s="165" t="s">
        <v>2090</v>
      </c>
      <c r="FU5" s="165" t="s">
        <v>2090</v>
      </c>
      <c r="FV5" s="109"/>
      <c r="FW5" s="165" t="s">
        <v>2090</v>
      </c>
      <c r="FX5" s="165" t="s">
        <v>2090</v>
      </c>
      <c r="FY5" s="165" t="s">
        <v>2090</v>
      </c>
      <c r="FZ5" s="165" t="s">
        <v>2090</v>
      </c>
      <c r="GA5" s="165" t="s">
        <v>2090</v>
      </c>
      <c r="GB5" s="165" t="s">
        <v>2090</v>
      </c>
      <c r="GC5" s="165" t="s">
        <v>2090</v>
      </c>
      <c r="GD5" s="109"/>
      <c r="GE5" s="165" t="s">
        <v>2090</v>
      </c>
      <c r="GF5" s="165" t="s">
        <v>2090</v>
      </c>
      <c r="GG5" s="165" t="s">
        <v>2090</v>
      </c>
      <c r="GH5" s="165" t="s">
        <v>2090</v>
      </c>
      <c r="GI5" s="165" t="s">
        <v>2090</v>
      </c>
      <c r="GJ5" s="165" t="s">
        <v>2090</v>
      </c>
      <c r="GK5" s="165" t="s">
        <v>2090</v>
      </c>
      <c r="GL5" s="165" t="s">
        <v>2090</v>
      </c>
      <c r="GM5" s="165" t="s">
        <v>2090</v>
      </c>
      <c r="GN5" s="165" t="s">
        <v>2090</v>
      </c>
      <c r="GO5" s="165" t="s">
        <v>2090</v>
      </c>
      <c r="GP5" s="165" t="s">
        <v>2090</v>
      </c>
      <c r="GQ5" s="165" t="s">
        <v>2090</v>
      </c>
      <c r="GR5" s="165" t="s">
        <v>2090</v>
      </c>
      <c r="GS5" s="165" t="s">
        <v>2090</v>
      </c>
      <c r="GT5" s="165" t="s">
        <v>2090</v>
      </c>
      <c r="GU5" s="165" t="s">
        <v>2090</v>
      </c>
      <c r="GV5" s="165" t="s">
        <v>2090</v>
      </c>
      <c r="GW5" s="165" t="s">
        <v>2090</v>
      </c>
      <c r="GX5" s="165" t="s">
        <v>2090</v>
      </c>
      <c r="GY5" s="165" t="s">
        <v>2090</v>
      </c>
      <c r="GZ5" s="165" t="s">
        <v>2090</v>
      </c>
      <c r="HA5" s="165" t="s">
        <v>2090</v>
      </c>
      <c r="HB5" s="165" t="s">
        <v>2090</v>
      </c>
      <c r="HC5" s="165" t="s">
        <v>2090</v>
      </c>
      <c r="HD5" s="165" t="s">
        <v>2090</v>
      </c>
      <c r="HE5" s="165" t="s">
        <v>2090</v>
      </c>
      <c r="HF5" s="165" t="s">
        <v>2090</v>
      </c>
      <c r="HG5" s="165" t="s">
        <v>2090</v>
      </c>
      <c r="HH5" s="165" t="s">
        <v>2090</v>
      </c>
      <c r="HI5" s="165" t="s">
        <v>2090</v>
      </c>
      <c r="HJ5" s="165" t="s">
        <v>2090</v>
      </c>
      <c r="HK5" s="165" t="s">
        <v>2090</v>
      </c>
      <c r="HL5" s="165" t="s">
        <v>2090</v>
      </c>
      <c r="HM5" s="165" t="s">
        <v>2090</v>
      </c>
      <c r="HN5" s="165" t="s">
        <v>2090</v>
      </c>
      <c r="HO5" s="165" t="s">
        <v>2090</v>
      </c>
      <c r="HP5" s="165" t="s">
        <v>2090</v>
      </c>
      <c r="HQ5" s="165" t="s">
        <v>2090</v>
      </c>
      <c r="HR5" s="165" t="s">
        <v>2090</v>
      </c>
      <c r="HS5" s="165" t="s">
        <v>2090</v>
      </c>
      <c r="HT5" s="165" t="s">
        <v>2090</v>
      </c>
      <c r="HV5" s="165" t="s">
        <v>2090</v>
      </c>
      <c r="HW5" s="165" t="s">
        <v>2090</v>
      </c>
      <c r="HX5" s="165" t="s">
        <v>2090</v>
      </c>
      <c r="HY5" s="165" t="s">
        <v>2090</v>
      </c>
      <c r="HZ5" s="165" t="s">
        <v>2090</v>
      </c>
      <c r="IA5" s="165" t="s">
        <v>2090</v>
      </c>
      <c r="IB5" s="165" t="s">
        <v>2090</v>
      </c>
      <c r="IC5" s="165" t="s">
        <v>2090</v>
      </c>
      <c r="ID5" s="165" t="s">
        <v>2090</v>
      </c>
      <c r="IE5" s="165" t="s">
        <v>2090</v>
      </c>
      <c r="IF5" s="165" t="s">
        <v>2090</v>
      </c>
      <c r="IG5" s="165" t="s">
        <v>2090</v>
      </c>
      <c r="IH5" s="165" t="s">
        <v>2090</v>
      </c>
      <c r="II5" s="165" t="s">
        <v>2090</v>
      </c>
      <c r="IJ5" s="165" t="s">
        <v>2090</v>
      </c>
      <c r="IK5" s="109"/>
      <c r="IL5" s="165" t="s">
        <v>2090</v>
      </c>
      <c r="IM5" s="165" t="s">
        <v>2090</v>
      </c>
      <c r="IN5" s="165" t="s">
        <v>2090</v>
      </c>
      <c r="IO5" s="165" t="s">
        <v>2090</v>
      </c>
      <c r="IP5" s="165" t="s">
        <v>2090</v>
      </c>
      <c r="IQ5" s="165" t="s">
        <v>2090</v>
      </c>
      <c r="IR5" s="165" t="s">
        <v>2090</v>
      </c>
      <c r="IS5" s="165" t="s">
        <v>2090</v>
      </c>
      <c r="IT5" s="165" t="s">
        <v>2090</v>
      </c>
      <c r="IU5" s="165" t="s">
        <v>2090</v>
      </c>
      <c r="IV5" s="165" t="s">
        <v>2090</v>
      </c>
      <c r="IW5" s="165" t="s">
        <v>2090</v>
      </c>
      <c r="IX5" s="165" t="s">
        <v>2090</v>
      </c>
      <c r="IY5" s="165" t="s">
        <v>2090</v>
      </c>
      <c r="IZ5" s="165" t="s">
        <v>2090</v>
      </c>
      <c r="JA5" s="165" t="s">
        <v>2090</v>
      </c>
      <c r="JB5" s="165" t="s">
        <v>2090</v>
      </c>
      <c r="JC5" s="165" t="s">
        <v>2090</v>
      </c>
      <c r="JD5" s="165" t="s">
        <v>2090</v>
      </c>
      <c r="JE5" s="165" t="s">
        <v>2090</v>
      </c>
      <c r="JF5" s="165" t="s">
        <v>2090</v>
      </c>
      <c r="JG5" s="165" t="s">
        <v>2090</v>
      </c>
      <c r="JH5" s="165" t="s">
        <v>2090</v>
      </c>
      <c r="JI5" s="165" t="s">
        <v>2090</v>
      </c>
      <c r="JJ5" s="165" t="s">
        <v>2090</v>
      </c>
      <c r="JK5" s="165" t="s">
        <v>2090</v>
      </c>
      <c r="JL5" s="165" t="s">
        <v>2090</v>
      </c>
      <c r="JM5" s="165" t="s">
        <v>2090</v>
      </c>
      <c r="JN5" s="165" t="s">
        <v>2090</v>
      </c>
      <c r="JO5" s="165" t="s">
        <v>2090</v>
      </c>
      <c r="JP5" s="165" t="s">
        <v>2090</v>
      </c>
      <c r="JQ5" s="165" t="s">
        <v>2090</v>
      </c>
      <c r="JR5" s="165" t="s">
        <v>2090</v>
      </c>
      <c r="JS5" s="165" t="s">
        <v>2090</v>
      </c>
      <c r="JT5" s="165" t="s">
        <v>2090</v>
      </c>
      <c r="JU5" s="165" t="s">
        <v>2090</v>
      </c>
      <c r="JV5" s="165" t="s">
        <v>2090</v>
      </c>
      <c r="JW5" s="165" t="s">
        <v>2090</v>
      </c>
      <c r="JX5" s="165" t="s">
        <v>2090</v>
      </c>
      <c r="JY5" s="165" t="s">
        <v>2090</v>
      </c>
      <c r="JZ5" s="109"/>
      <c r="KA5" s="165" t="s">
        <v>2090</v>
      </c>
      <c r="KB5" s="165" t="s">
        <v>2090</v>
      </c>
      <c r="KC5" s="165" t="s">
        <v>2090</v>
      </c>
      <c r="KD5" s="165" t="s">
        <v>2090</v>
      </c>
      <c r="KE5" s="165" t="s">
        <v>2090</v>
      </c>
      <c r="KF5" s="165" t="s">
        <v>2090</v>
      </c>
      <c r="KG5" s="165" t="s">
        <v>2090</v>
      </c>
    </row>
    <row r="6" spans="1:293" ht="46.5" customHeight="1">
      <c r="A6" s="262"/>
      <c r="B6" s="263" t="s">
        <v>2085</v>
      </c>
      <c r="C6" s="264"/>
      <c r="D6" s="228" t="s">
        <v>2566</v>
      </c>
      <c r="E6" s="333"/>
      <c r="F6" s="333"/>
      <c r="G6" s="333"/>
      <c r="H6" s="333"/>
      <c r="I6" s="334"/>
      <c r="J6" s="334"/>
      <c r="K6" s="335"/>
      <c r="L6" s="335"/>
      <c r="M6" s="335"/>
      <c r="N6" s="335"/>
      <c r="O6" s="333"/>
      <c r="P6" s="334"/>
      <c r="Q6" s="227" t="s">
        <v>2567</v>
      </c>
      <c r="R6" s="225">
        <f>'ANALYSE - ERP =&gt; SOUS-SEGMENT'!R6</f>
        <v>2459.1609002073583</v>
      </c>
      <c r="S6" s="223">
        <f>SUMPRODUCT('ANALYSE - ERP =&gt; SOUS-SEGMENT'!$Q$8:$Q$150*'ANALYSE - ERP =&gt; SOUS-SEGMENT'!$S$8:$S$150)</f>
        <v>560157</v>
      </c>
      <c r="T6" s="223">
        <f>SUMPRODUCT('ANALYSE - ERP =&gt; SOUS-SEGMENT'!$Q$8:$Q$150*'ANALYSE - ERP =&gt; SOUS-SEGMENT'!$T$8:$T$150)</f>
        <v>575574</v>
      </c>
      <c r="U6" s="223">
        <f>SUMPRODUCT('ANALYSE - ERP =&gt; SOUS-SEGMENT'!$Q$8:$Q$150*'ANALYSE - ERP =&gt; SOUS-SEGMENT'!$U$8:$U$150)</f>
        <v>590654</v>
      </c>
      <c r="V6" s="223">
        <f>SUMPRODUCT('ANALYSE - ERP =&gt; SOUS-SEGMENT'!$Q$8:$Q$150*'ANALYSE - ERP =&gt; SOUS-SEGMENT'!$V$8:$V$150)</f>
        <v>606974</v>
      </c>
      <c r="W6" s="223">
        <f>SUMPRODUCT('ANALYSE - ERP =&gt; SOUS-SEGMENT'!$Q$8:$Q$150*'ANALYSE - ERP =&gt; SOUS-SEGMENT'!$W$8:$W$150)</f>
        <v>609764</v>
      </c>
      <c r="X6" s="223">
        <f>SUMPRODUCT('ANALYSE - ERP =&gt; SOUS-SEGMENT'!$Q$8:$Q$150*'ANALYSE - ERP =&gt; SOUS-SEGMENT'!$X$8:$X$150)</f>
        <v>612207</v>
      </c>
      <c r="Y6" s="223">
        <f>SUMPRODUCT('ANALYSE - ERP =&gt; SOUS-SEGMENT'!$Q$8:$Q$150*'ANALYSE - ERP =&gt; SOUS-SEGMENT'!$Y$8:$Y$150)</f>
        <v>616180</v>
      </c>
      <c r="Z6" s="223">
        <f>SUMPRODUCT('ANALYSE - ERP =&gt; SOUS-SEGMENT'!$Q$8:$Q$150*'ANALYSE - ERP =&gt; SOUS-SEGMENT'!$Z$8:$Z$150)</f>
        <v>619905</v>
      </c>
      <c r="AA6" s="223">
        <f>SUMPRODUCT('ANALYSE - ERP =&gt; SOUS-SEGMENT'!$Q$8:$Q$150*'ANALYSE - ERP =&gt; SOUS-SEGMENT'!$AA$8:$AA$150)</f>
        <v>611276</v>
      </c>
      <c r="AB6" s="223">
        <f>SUMPRODUCT('ANALYSE - ERP =&gt; SOUS-SEGMENT'!$Q$8:$Q$150*'ANALYSE - ERP =&gt; SOUS-SEGMENT'!$AB$8:$AB$150)</f>
        <v>610889</v>
      </c>
      <c r="AC6" s="223">
        <f>SUMPRODUCT('ANALYSE - ERP =&gt; SOUS-SEGMENT'!$Q$8:$Q$150*'ANALYSE - ERP =&gt; SOUS-SEGMENT'!$AC$8:$AC$150)</f>
        <v>617479</v>
      </c>
      <c r="AD6" s="223">
        <f>SUMPRODUCT('ANALYSE - ERP =&gt; SOUS-SEGMENT'!$Q$8:$Q$150*'ANALYSE - ERP =&gt; SOUS-SEGMENT'!$AD$8:$AD$150)</f>
        <v>622090</v>
      </c>
      <c r="AE6" s="223">
        <f>SUMPRODUCT('ANALYSE - ERP =&gt; SOUS-SEGMENT'!$Q$8:$Q$150*'ANALYSE - ERP =&gt; SOUS-SEGMENT'!$AE$8:$AE$150)</f>
        <v>626956</v>
      </c>
      <c r="AF6" s="223">
        <f>SUMPRODUCT('ANALYSE - ERP =&gt; SOUS-SEGMENT'!$Q$8:$Q$150*'ANALYSE - ERP =&gt; SOUS-SEGMENT'!$AF$8:$AF$150)</f>
        <v>629099</v>
      </c>
      <c r="AG6" s="223">
        <f>SUMPRODUCT('ANALYSE - ERP =&gt; SOUS-SEGMENT'!$Q$8:$Q$150*'ANALYSE - ERP =&gt; SOUS-SEGMENT'!$AG$8:$AG$150)</f>
        <v>630905</v>
      </c>
      <c r="AH6" s="223">
        <f>SUMPRODUCT('ANALYSE - ERP =&gt; SOUS-SEGMENT'!$Q$8:$Q$150*'ANALYSE - ERP =&gt; SOUS-SEGMENT'!$AH$8:$AH$150)</f>
        <v>632828</v>
      </c>
      <c r="AI6" s="223">
        <f>SUMPRODUCT('ANALYSE - ERP =&gt; SOUS-SEGMENT'!$Q$8:$Q$150*'ANALYSE - ERP =&gt; SOUS-SEGMENT'!$AI$8:$AI$150)</f>
        <v>634560</v>
      </c>
      <c r="AJ6" s="223">
        <f>SUMPRODUCT('ANALYSE - ERP =&gt; SOUS-SEGMENT'!$Q$8:$Q$150*'ANALYSE - ERP =&gt; SOUS-SEGMENT'!$AJ$8:$AJ$150)</f>
        <v>635917</v>
      </c>
      <c r="AK6" s="223">
        <f>SUMPRODUCT('ANALYSE - ERP =&gt; SOUS-SEGMENT'!$Q$8:$Q$150*'ANALYSE - ERP =&gt; SOUS-SEGMENT'!$AK$8:$AK$150)</f>
        <v>637146</v>
      </c>
      <c r="AL6" s="336"/>
      <c r="AM6" s="337"/>
      <c r="AN6" s="337"/>
      <c r="AO6" s="110"/>
      <c r="AP6" s="225">
        <f>'ANALYSE - ERP =&gt; SOUS-SEGMENT'!AP6</f>
        <v>153.69949262291891</v>
      </c>
      <c r="AQ6" s="338">
        <f>'ANALYSE - ERP =&gt; SOUS-SEGMENT'!AQ6</f>
        <v>135.28077297849782</v>
      </c>
      <c r="AR6" s="972">
        <f>'ANALYSE - ERP =&gt; SOUS-SEGMENT'!AR6</f>
        <v>18.072975795542515</v>
      </c>
      <c r="AS6" s="972">
        <f>'ANALYSE - ERP =&gt; SOUS-SEGMENT'!AS6</f>
        <v>5.5036250256318962</v>
      </c>
      <c r="AT6" s="110"/>
      <c r="AU6" s="224" t="s">
        <v>2568</v>
      </c>
      <c r="AV6" s="224" t="s">
        <v>2569</v>
      </c>
      <c r="AW6" s="574" t="s">
        <v>2571</v>
      </c>
      <c r="AX6" s="110"/>
      <c r="AY6" s="946">
        <f>IFERROR(SUMPRODUCT('ANALYSE - ERP =&gt; SOUS-SEGMENT'!$AF$8:$AF$150*'ANALYSE - ERP =&gt; SOUS-SEGMENT'!$Q$8:$Q$150*'ANALYSE - ERP =&gt; SOUS-SEGMENT'!$AZ$8:$AZ$150)/SUMPRODUCT('ANALYSE - ERP =&gt; SOUS-SEGMENT'!$AF$8:$AF$150*'ANALYSE - ERP =&gt; SOUS-SEGMENT'!$Q$8:$Q$150),"")</f>
        <v>9.9092185808592923</v>
      </c>
      <c r="AZ6" s="946">
        <f>IFERROR(SUMPRODUCT('ANALYSE - ERP =&gt; SOUS-SEGMENT'!$AF$8:$AF$150*'ANALYSE - ERP =&gt; SOUS-SEGMENT'!$Q$8:$Q$150*'ANALYSE - ERP =&gt; SOUS-SEGMENT'!$BA$8:$BA$150)/SUMPRODUCT('ANALYSE - ERP =&gt; SOUS-SEGMENT'!$AF$8:$AF$150*'ANALYSE - ERP =&gt; SOUS-SEGMENT'!$Q$8:$Q$150),"")</f>
        <v>2.7928842439743184</v>
      </c>
      <c r="BA6" s="946">
        <f>IFERROR(SUMPRODUCT('ANALYSE - ERP =&gt; SOUS-SEGMENT'!$AF$8:$AF$150*'ANALYSE - ERP =&gt; SOUS-SEGMENT'!$Q$8:$Q$150*'ANALYSE - ERP =&gt; SOUS-SEGMENT'!$BB$8:$BB$150)/SUMPRODUCT('ANALYSE - ERP =&gt; SOUS-SEGMENT'!$AF$8:$AF$150*'ANALYSE - ERP =&gt; SOUS-SEGMENT'!$Q$8:$Q$150),"")</f>
        <v>1.6893713072187366</v>
      </c>
      <c r="BB6" s="946">
        <f>IFERROR(SUMPRODUCT('ANALYSE - ERP =&gt; SOUS-SEGMENT'!$AF$8:$AF$150*'ANALYSE - ERP =&gt; SOUS-SEGMENT'!$Q$8:$Q$150*'ANALYSE - ERP =&gt; SOUS-SEGMENT'!$BC$8:$BC$150)/SUMPRODUCT('ANALYSE - ERP =&gt; SOUS-SEGMENT'!$AF$8:$AF$150*'ANALYSE - ERP =&gt; SOUS-SEGMENT'!$Q$8:$Q$150),"")</f>
        <v>8.077889966444074</v>
      </c>
      <c r="BC6" s="223">
        <f>SUMPRODUCT('ANALYSE - ERP =&gt; SOUS-SEGMENT'!$Q$8:$Q$150*'ANALYSE - ERP =&gt; SOUS-SEGMENT'!$BE$8:$BE$150)</f>
        <v>6233879.5</v>
      </c>
      <c r="BD6" s="223">
        <f>SUMPRODUCT('ANALYSE - ERP =&gt; SOUS-SEGMENT'!$Q$8:$Q$150*'ANALYSE - ERP =&gt; SOUS-SEGMENT'!$BF$8:$BF$150)</f>
        <v>1757000.6849999998</v>
      </c>
      <c r="BE6" s="223">
        <f>SUMPRODUCT('ANALYSE - ERP =&gt; SOUS-SEGMENT'!$Q$8:$Q$150*'ANALYSE - ERP =&gt; SOUS-SEGMENT'!$BG$8:$BG$150)</f>
        <v>1062781.8</v>
      </c>
      <c r="BF6" s="223">
        <f>SUMPRODUCT('ANALYSE - ERP =&gt; SOUS-SEGMENT'!$Q$8:$Q$150*'ANALYSE - ERP =&gt; SOUS-SEGMENT'!$BH$8:$BH$150)</f>
        <v>5081792.5</v>
      </c>
      <c r="BG6" s="223">
        <f>SUMPRODUCT('ANALYSE - ERP =&gt; SOUS-SEGMENT'!$Q$8:$Q$150*'ANALYSE - ERP =&gt; SOUS-SEGMENT'!$BJ$8:$BJ$150)</f>
        <v>6286026</v>
      </c>
      <c r="BH6" s="223">
        <f>SUMPRODUCT('ANALYSE - ERP =&gt; SOUS-SEGMENT'!$Q$8:$Q$150*'ANALYSE - ERP =&gt; SOUS-SEGMENT'!$BK$8:$BK$150)</f>
        <v>1785842.06</v>
      </c>
      <c r="BI6" s="223">
        <f>SUMPRODUCT('ANALYSE - ERP =&gt; SOUS-SEGMENT'!$Q$8:$Q$150*'ANALYSE - ERP =&gt; SOUS-SEGMENT'!$BL$8:$BL$150)</f>
        <v>1076541.75</v>
      </c>
      <c r="BJ6" s="223">
        <f>SUMPRODUCT('ANALYSE - ERP =&gt; SOUS-SEGMENT'!$Q$8:$Q$150*'ANALYSE - ERP =&gt; SOUS-SEGMENT'!$BM$8:$BM$150)</f>
        <v>5123636</v>
      </c>
      <c r="BK6" s="110"/>
      <c r="BL6" s="594">
        <f>IFERROR(SUMPRODUCT('ANALYSE - ERP =&gt; SOUS-SEGMENT'!$BE$8:$BE$150*'ANALYSE - ERP =&gt; SOUS-SEGMENT'!$Q$8:$Q$150*'ANALYSE - ERP =&gt; SOUS-SEGMENT'!$BO$8:$BO$150)/SUMPRODUCT('ANALYSE - ERP =&gt; SOUS-SEGMENT'!$BE$8:$BE$150*'ANALYSE - ERP =&gt; SOUS-SEGMENT'!$Q$8:$Q$150),"")</f>
        <v>0.30746742377679909</v>
      </c>
      <c r="BM6" s="595">
        <f>IFERROR(SUMPRODUCT('ANALYSE - ERP =&gt; SOUS-SEGMENT'!$BE$8:$BE$150*'ANALYSE - ERP =&gt; SOUS-SEGMENT'!$Q$8:$Q$150*'ANALYSE - ERP =&gt; SOUS-SEGMENT'!$BP$8:$BP$150)/SUMPRODUCT('ANALYSE - ERP =&gt; SOUS-SEGMENT'!$BE$8:$BE$150*'ANALYSE - ERP =&gt; SOUS-SEGMENT'!$Q$8:$Q$150),"")</f>
        <v>0.52656645191810336</v>
      </c>
      <c r="BN6" s="595">
        <f>IFERROR(SUMPRODUCT('ANALYSE - ERP =&gt; SOUS-SEGMENT'!$BE$8:$BE$150*'ANALYSE - ERP =&gt; SOUS-SEGMENT'!$Q$8:$Q$150*'ANALYSE - ERP =&gt; SOUS-SEGMENT'!$BQ$8:$BQ$150)/SUMPRODUCT('ANALYSE - ERP =&gt; SOUS-SEGMENT'!$BE$8:$BE$150*'ANALYSE - ERP =&gt; SOUS-SEGMENT'!$Q$8:$Q$150),"")</f>
        <v>0.10216087429986413</v>
      </c>
      <c r="BO6" s="595">
        <f>IFERROR(SUMPRODUCT('ANALYSE - ERP =&gt; SOUS-SEGMENT'!$BE$8:$BE$150*'ANALYSE - ERP =&gt; SOUS-SEGMENT'!$Q$8:$Q$150*'ANALYSE - ERP =&gt; SOUS-SEGMENT'!$BR$8:$BR$150)/SUMPRODUCT('ANALYSE - ERP =&gt; SOUS-SEGMENT'!$BE$8:$BE$150*'ANALYSE - ERP =&gt; SOUS-SEGMENT'!$Q$8:$Q$150),"")</f>
        <v>6.380525000523353E-2</v>
      </c>
      <c r="BP6" s="594">
        <f>IFERROR(SUMPRODUCT('ANALYSE - ERP =&gt; SOUS-SEGMENT'!$BJ$8:$BJ$150*'ANALYSE - ERP =&gt; SOUS-SEGMENT'!$Q$8:$Q$150*'ANALYSE - ERP =&gt; SOUS-SEGMENT'!$BS$8:$BS$150)/SUMPRODUCT('ANALYSE - ERP =&gt; SOUS-SEGMENT'!$BJ$8:$BJ$150*'ANALYSE - ERP =&gt; SOUS-SEGMENT'!$Q$8:$Q$150),"")</f>
        <v>0.27640190320561836</v>
      </c>
      <c r="BQ6" s="595">
        <f>IFERROR(SUMPRODUCT('ANALYSE - ERP =&gt; SOUS-SEGMENT'!$BJ$8:$BJ$150*'ANALYSE - ERP =&gt; SOUS-SEGMENT'!$Q$8:$Q$150*'ANALYSE - ERP =&gt; SOUS-SEGMENT'!$BT$8:$BT$150)/SUMPRODUCT('ANALYSE - ERP =&gt; SOUS-SEGMENT'!$BJ$8:$BJ$150*'ANALYSE - ERP =&gt; SOUS-SEGMENT'!$Q$8:$Q$150),"")</f>
        <v>0.5319423909477945</v>
      </c>
      <c r="BR6" s="595">
        <f>IFERROR(SUMPRODUCT('ANALYSE - ERP =&gt; SOUS-SEGMENT'!$BJ$8:$BJ$150*'ANALYSE - ERP =&gt; SOUS-SEGMENT'!$Q$8:$Q$150*'ANALYSE - ERP =&gt; SOUS-SEGMENT'!$BU$8:$BU$150)/SUMPRODUCT('ANALYSE - ERP =&gt; SOUS-SEGMENT'!$BJ$8:$BJ$150*'ANALYSE - ERP =&gt; SOUS-SEGMENT'!$Q$8:$Q$150),"")</f>
        <v>0.13403929446044288</v>
      </c>
      <c r="BS6" s="595">
        <f>IFERROR(SUMPRODUCT('ANALYSE - ERP =&gt; SOUS-SEGMENT'!$BJ$8:$BJ$150*'ANALYSE - ERP =&gt; SOUS-SEGMENT'!$Q$8:$Q$150*'ANALYSE - ERP =&gt; SOUS-SEGMENT'!$BV$8:$BV$150)/SUMPRODUCT('ANALYSE - ERP =&gt; SOUS-SEGMENT'!$BJ$8:$BJ$150*'ANALYSE - ERP =&gt; SOUS-SEGMENT'!$Q$8:$Q$150),"")</f>
        <v>5.7616411386144421E-2</v>
      </c>
      <c r="BT6" s="599">
        <f>IFERROR(SUMPRODUCT('ANALYSE - ERP =&gt; SOUS-SEGMENT'!$BF$8:$BF$150*'ANALYSE - ERP =&gt; SOUS-SEGMENT'!$Q$8:$Q$150*'ANALYSE - ERP =&gt; SOUS-SEGMENT'!$BW$8:$BW$150)/SUMPRODUCT('ANALYSE - ERP =&gt; SOUS-SEGMENT'!$BF$8:$BF$150*'ANALYSE - ERP =&gt; SOUS-SEGMENT'!$Q$8:$Q$150),"")</f>
        <v>0.41111159839986056</v>
      </c>
      <c r="BU6" s="596">
        <f>IFERROR(SUMPRODUCT('ANALYSE - ERP =&gt; SOUS-SEGMENT'!$BF$8:$BF$150*'ANALYSE - ERP =&gt; SOUS-SEGMENT'!$Q$8:$Q$150*'ANALYSE - ERP =&gt; SOUS-SEGMENT'!$BX$8:$BX$150)/SUMPRODUCT('ANALYSE - ERP =&gt; SOUS-SEGMENT'!$BF$8:$BF$150*'ANALYSE - ERP =&gt; SOUS-SEGMENT'!$Q$8:$Q$150),"")</f>
        <v>0.52369723065873486</v>
      </c>
      <c r="BV6" s="596">
        <f>IFERROR(SUMPRODUCT('ANALYSE - ERP =&gt; SOUS-SEGMENT'!$BF$8:$BF$150*'ANALYSE - ERP =&gt; SOUS-SEGMENT'!$Q$8:$Q$150*'ANALYSE - ERP =&gt; SOUS-SEGMENT'!$BY$8:$BY$150)/SUMPRODUCT('ANALYSE - ERP =&gt; SOUS-SEGMENT'!$BF$8:$BF$150*'ANALYSE - ERP =&gt; SOUS-SEGMENT'!$Q$8:$Q$150),"")</f>
        <v>6.51911709414046E-2</v>
      </c>
      <c r="BW6" s="599">
        <f>IFERROR(SUMPRODUCT('ANALYSE - ERP =&gt; SOUS-SEGMENT'!$BK$8:$BK$150*'ANALYSE - ERP =&gt; SOUS-SEGMENT'!$Q$8:$Q$150*'ANALYSE - ERP =&gt; SOUS-SEGMENT'!$BZ$8:$BZ$150)/SUMPRODUCT('ANALYSE - ERP =&gt; SOUS-SEGMENT'!$BK$8:$BK$150*'ANALYSE - ERP =&gt; SOUS-SEGMENT'!$Q$8:$Q$150),"")</f>
        <v>0.36880188609736297</v>
      </c>
      <c r="BX6" s="596">
        <f>IFERROR(SUMPRODUCT('ANALYSE - ERP =&gt; SOUS-SEGMENT'!$BK$8:$BK$150*'ANALYSE - ERP =&gt; SOUS-SEGMENT'!$Q$8:$Q$150*'ANALYSE - ERP =&gt; SOUS-SEGMENT'!$CA$8:$CA$150)/SUMPRODUCT('ANALYSE - ERP =&gt; SOUS-SEGMENT'!$BK$8:$BK$150*'ANALYSE - ERP =&gt; SOUS-SEGMENT'!$Q$8:$Q$150),"")</f>
        <v>0.54850934286988395</v>
      </c>
      <c r="BY6" s="596">
        <f>IFERROR(SUMPRODUCT('ANALYSE - ERP =&gt; SOUS-SEGMENT'!$BK$8:$BK$150*'ANALYSE - ERP =&gt; SOUS-SEGMENT'!$Q$8:$Q$150*'ANALYSE - ERP =&gt; SOUS-SEGMENT'!$CB$8:$CB$150)/SUMPRODUCT('ANALYSE - ERP =&gt; SOUS-SEGMENT'!$BK$8:$BK$150*'ANALYSE - ERP =&gt; SOUS-SEGMENT'!$Q$8:$Q$150),"")</f>
        <v>8.2688771032753031E-2</v>
      </c>
      <c r="BZ6" s="594">
        <f>IFERROR(SUMPRODUCT('ANALYSE - ERP =&gt; SOUS-SEGMENT'!$BG$8:$BG$150*'ANALYSE - ERP =&gt; SOUS-SEGMENT'!$Q$8:$Q$150*'ANALYSE - ERP =&gt; SOUS-SEGMENT'!$CC$8:$CC$150)/SUMPRODUCT('ANALYSE - ERP =&gt; SOUS-SEGMENT'!$BG$8:$BG$150*'ANALYSE - ERP =&gt; SOUS-SEGMENT'!$Q$8:$Q$150),"")</f>
        <v>9.7009137717638749E-2</v>
      </c>
      <c r="CA6" s="595">
        <f>IFERROR(SUMPRODUCT('ANALYSE - ERP =&gt; SOUS-SEGMENT'!$BG$8:$BG$150*'ANALYSE - ERP =&gt; SOUS-SEGMENT'!$Q$8:$Q$150*'ANALYSE - ERP =&gt; SOUS-SEGMENT'!$CD$8:$CD$150)/SUMPRODUCT('ANALYSE - ERP =&gt; SOUS-SEGMENT'!$BG$8:$BG$150*'ANALYSE - ERP =&gt; SOUS-SEGMENT'!$Q$8:$Q$150),"")</f>
        <v>0.55065927832034756</v>
      </c>
      <c r="CB6" s="595">
        <f>IFERROR(SUMPRODUCT('ANALYSE - ERP =&gt; SOUS-SEGMENT'!$BG$8:$BG$150*'ANALYSE - ERP =&gt; SOUS-SEGMENT'!$Q$8:$Q$150*'ANALYSE - ERP =&gt; SOUS-SEGMENT'!$CE$8:$CE$150)/SUMPRODUCT('ANALYSE - ERP =&gt; SOUS-SEGMENT'!$BG$8:$BG$150*'ANALYSE - ERP =&gt; SOUS-SEGMENT'!$Q$8:$Q$150),"")</f>
        <v>0.1291863804969185</v>
      </c>
      <c r="CC6" s="600">
        <f>IFERROR(SUMPRODUCT('ANALYSE - ERP =&gt; SOUS-SEGMENT'!$BG$8:$BG$150*'ANALYSE - ERP =&gt; SOUS-SEGMENT'!$Q$8:$Q$150*'ANALYSE - ERP =&gt; SOUS-SEGMENT'!$CF$8:$CF$150)/SUMPRODUCT('ANALYSE - ERP =&gt; SOUS-SEGMENT'!$BG$8:$BG$150*'ANALYSE - ERP =&gt; SOUS-SEGMENT'!$Q$8:$Q$150),"")</f>
        <v>0.22314520346509509</v>
      </c>
      <c r="CD6" s="595">
        <f>IFERROR(SUMPRODUCT('ANALYSE - ERP =&gt; SOUS-SEGMENT'!$BL$8:$BL$150*'ANALYSE - ERP =&gt; SOUS-SEGMENT'!$Q$8:$Q$150*'ANALYSE - ERP =&gt; SOUS-SEGMENT'!$CG$8:$CG$150)/SUMPRODUCT('ANALYSE - ERP =&gt; SOUS-SEGMENT'!$BL$8:$BL$150*'ANALYSE - ERP =&gt; SOUS-SEGMENT'!$Q$8:$Q$150),"")</f>
        <v>7.8718722706295388E-2</v>
      </c>
      <c r="CE6" s="595">
        <f>IFERROR(SUMPRODUCT('ANALYSE - ERP =&gt; SOUS-SEGMENT'!$BL$8:$BL$150*'ANALYSE - ERP =&gt; SOUS-SEGMENT'!$Q$8:$Q$150*'ANALYSE - ERP =&gt; SOUS-SEGMENT'!$CH$8:$CH$150)/SUMPRODUCT('ANALYSE - ERP =&gt; SOUS-SEGMENT'!$BL$8:$BL$150*'ANALYSE - ERP =&gt; SOUS-SEGMENT'!$Q$8:$Q$150),"")</f>
        <v>0.54543406235754455</v>
      </c>
      <c r="CF6" s="595">
        <f>IFERROR(SUMPRODUCT('ANALYSE - ERP =&gt; SOUS-SEGMENT'!$BL$8:$BL$150*'ANALYSE - ERP =&gt; SOUS-SEGMENT'!$Q$8:$Q$150*'ANALYSE - ERP =&gt; SOUS-SEGMENT'!$CI$8:$CI$150)/SUMPRODUCT('ANALYSE - ERP =&gt; SOUS-SEGMENT'!$BL$8:$BL$150*'ANALYSE - ERP =&gt; SOUS-SEGMENT'!$Q$8:$Q$150),"")</f>
        <v>0.15522352012822532</v>
      </c>
      <c r="CG6" s="600">
        <f>IFERROR(SUMPRODUCT('ANALYSE - ERP =&gt; SOUS-SEGMENT'!$BL$8:$BL$150*'ANALYSE - ERP =&gt; SOUS-SEGMENT'!$Q$8:$Q$150*'ANALYSE - ERP =&gt; SOUS-SEGMENT'!$CJ$8:$CJ$150)/SUMPRODUCT('ANALYSE - ERP =&gt; SOUS-SEGMENT'!$BL$8:$BL$150*'ANALYSE - ERP =&gt; SOUS-SEGMENT'!$Q$8:$Q$150),"")</f>
        <v>0.22062369480793478</v>
      </c>
      <c r="CH6" s="597">
        <f>IFERROR(SUMPRODUCT('ANALYSE - ERP =&gt; SOUS-SEGMENT'!$BH$8:$BH$150*'ANALYSE - ERP =&gt; SOUS-SEGMENT'!$Q$8:$Q$150*'ANALYSE - ERP =&gt; SOUS-SEGMENT'!$CK$8:$CK$150)/SUMPRODUCT('ANALYSE - ERP =&gt; SOUS-SEGMENT'!$BH$8:$BH$150*'ANALYSE - ERP =&gt; SOUS-SEGMENT'!$Q$8:$Q$150),"")</f>
        <v>0.56753679238182209</v>
      </c>
      <c r="CI6" s="597">
        <f>IFERROR(SUMPRODUCT('ANALYSE - ERP =&gt; SOUS-SEGMENT'!$BH$8:$BH$150*'ANALYSE - ERP =&gt; SOUS-SEGMENT'!$Q$8:$Q$150*'ANALYSE - ERP =&gt; SOUS-SEGMENT'!$CL$8:$CL$150)/SUMPRODUCT('ANALYSE - ERP =&gt; SOUS-SEGMENT'!$BH$8:$BH$150*'ANALYSE - ERP =&gt; SOUS-SEGMENT'!$Q$8:$Q$150),"")</f>
        <v>0.33111744527152587</v>
      </c>
      <c r="CJ6" s="598">
        <f>IFERROR(SUMPRODUCT('ANALYSE - ERP =&gt; SOUS-SEGMENT'!$BH$8:$BH$150*'ANALYSE - ERP =&gt; SOUS-SEGMENT'!$Q$8:$Q$150*'ANALYSE - ERP =&gt; SOUS-SEGMENT'!$CM$8:$CM$150)/SUMPRODUCT('ANALYSE - ERP =&gt; SOUS-SEGMENT'!$BH$8:$BH$150*'ANALYSE - ERP =&gt; SOUS-SEGMENT'!$Q$8:$Q$150),"")</f>
        <v>0.1013457623466523</v>
      </c>
      <c r="CK6" s="597">
        <f>IFERROR(SUMPRODUCT('ANALYSE - ERP =&gt; SOUS-SEGMENT'!$BM$8:$BM$150*'ANALYSE - ERP =&gt; SOUS-SEGMENT'!$Q$8:$Q$150*'ANALYSE - ERP =&gt; SOUS-SEGMENT'!$CN$8:$CN$150)/SUMPRODUCT('ANALYSE - ERP =&gt; SOUS-SEGMENT'!$BM$8:$BM$150*'ANALYSE - ERP =&gt; SOUS-SEGMENT'!$Q$8:$Q$150),"")</f>
        <v>0.488089050432154</v>
      </c>
      <c r="CL6" s="597">
        <f>IFERROR(SUMPRODUCT('ANALYSE - ERP =&gt; SOUS-SEGMENT'!$BM$8:$BM$150*'ANALYSE - ERP =&gt; SOUS-SEGMENT'!$Q$8:$Q$150*'ANALYSE - ERP =&gt; SOUS-SEGMENT'!$CO$8:$CO$150)/SUMPRODUCT('ANALYSE - ERP =&gt; SOUS-SEGMENT'!$BM$8:$BM$150*'ANALYSE - ERP =&gt; SOUS-SEGMENT'!$Q$8:$Q$150),"")</f>
        <v>0.36684788302681925</v>
      </c>
      <c r="CM6" s="598">
        <f>IFERROR(SUMPRODUCT('ANALYSE - ERP =&gt; SOUS-SEGMENT'!$BM$8:$BM$150*'ANALYSE - ERP =&gt; SOUS-SEGMENT'!$Q$8:$Q$150*'ANALYSE - ERP =&gt; SOUS-SEGMENT'!$CP$8:$CP$150)/SUMPRODUCT('ANALYSE - ERP =&gt; SOUS-SEGMENT'!$BM$8:$BM$150*'ANALYSE - ERP =&gt; SOUS-SEGMENT'!$Q$8:$Q$150),"")</f>
        <v>0.14506306654102674</v>
      </c>
      <c r="CN6" s="110"/>
      <c r="CO6" s="874">
        <f>IFERROR(SUMPRODUCT('ANALYSE - ERP =&gt; SOUS-SEGMENT'!$DH$8:$DH$150*'ANALYSE - ERP =&gt; SOUS-SEGMENT'!$CR$8:$CR$150)/SUMPRODUCT('ANALYSE - ERP =&gt; SOUS-SEGMENT'!$DH$8:$DH$150),"")</f>
        <v>12.451217802634448</v>
      </c>
      <c r="CP6" s="875">
        <f>IFERROR(SUMPRODUCT('ANALYSE - ERP =&gt; SOUS-SEGMENT'!$DI$8:$DI$150*'ANALYSE - ERP =&gt; SOUS-SEGMENT'!$CS$8:$CS$150)/SUMPRODUCT('ANALYSE - ERP =&gt; SOUS-SEGMENT'!$DI$8:$DI$150),"")</f>
        <v>12.370575213587379</v>
      </c>
      <c r="CQ6" s="875">
        <f>IFERROR(SUMPRODUCT('ANALYSE - ERP =&gt; SOUS-SEGMENT'!$DJ$8:$DJ$150*'ANALYSE - ERP =&gt; SOUS-SEGMENT'!$CT$8:$CT$150)/SUMPRODUCT('ANALYSE - ERP =&gt; SOUS-SEGMENT'!$DJ$8:$DJ$150),"")</f>
        <v>9.0777438994664639</v>
      </c>
      <c r="CR6" s="875">
        <f>IFERROR(SUMPRODUCT('ANALYSE - ERP =&gt; SOUS-SEGMENT'!$DK$8:$DK$150*'ANALYSE - ERP =&gt; SOUS-SEGMENT'!$CU$8:$CU$150)/SUMPRODUCT('ANALYSE - ERP =&gt; SOUS-SEGMENT'!$DK$8:$DK$150),"")</f>
        <v>10.919469652799139</v>
      </c>
      <c r="CS6" s="874">
        <f>IFERROR(SUMPRODUCT('ANALYSE - ERP =&gt; SOUS-SEGMENT'!$DS$8:$DS$150*'ANALYSE - ERP =&gt; SOUS-SEGMENT'!$CV$8:$CV$150)/SUMPRODUCT('ANALYSE - ERP =&gt; SOUS-SEGMENT'!$DS$8:$DS$150),"")</f>
        <v>11.159253328409998</v>
      </c>
      <c r="CT6" s="875">
        <f>IFERROR(SUMPRODUCT('ANALYSE - ERP =&gt; SOUS-SEGMENT'!$DT$8:$DT$150*'ANALYSE - ERP =&gt; SOUS-SEGMENT'!$CW$8:$CW$150)/SUMPRODUCT('ANALYSE - ERP =&gt; SOUS-SEGMENT'!$DT$8:$DT$150),"")</f>
        <v>9.6708083142757371</v>
      </c>
      <c r="CU6" s="875">
        <f>IFERROR(SUMPRODUCT('ANALYSE - ERP =&gt; SOUS-SEGMENT'!$DU$8:$DU$150*'ANALYSE - ERP =&gt; SOUS-SEGMENT'!$CX$8:$CX$150)/SUMPRODUCT('ANALYSE - ERP =&gt; SOUS-SEGMENT'!$DU$8:$DU$150),"")</f>
        <v>8.1136961125134786</v>
      </c>
      <c r="CV6" s="874">
        <f>IFERROR(SUMPRODUCT('ANALYSE - ERP =&gt; SOUS-SEGMENT'!$EB$8:$EB$150*'ANALYSE - ERP =&gt; SOUS-SEGMENT'!$CY$8:$CY$150)/SUMPRODUCT('ANALYSE - ERP =&gt; SOUS-SEGMENT'!$EB$8:$EB$150),"")</f>
        <v>10.234244289160539</v>
      </c>
      <c r="CW6" s="875">
        <f>IFERROR(SUMPRODUCT('ANALYSE - ERP =&gt; SOUS-SEGMENT'!$EC$8:$EC$150*'ANALYSE - ERP =&gt; SOUS-SEGMENT'!$CZ$8:$CZ$150)/SUMPRODUCT('ANALYSE - ERP =&gt; SOUS-SEGMENT'!$EC$8:$EC$150),"")</f>
        <v>12.081781451288995</v>
      </c>
      <c r="CX6" s="875">
        <f>IFERROR(SUMPRODUCT('ANALYSE - ERP =&gt; SOUS-SEGMENT'!$ED$8:$ED$150*'ANALYSE - ERP =&gt; SOUS-SEGMENT'!$DA$8:$DA$150)/SUMPRODUCT('ANALYSE - ERP =&gt; SOUS-SEGMENT'!$ED$8:$ED$150),"")</f>
        <v>8.4232915040089491</v>
      </c>
      <c r="CY6" s="876">
        <f>IFERROR(SUMPRODUCT('ANALYSE - ERP =&gt; SOUS-SEGMENT'!$EE$8:$EE$150*'ANALYSE - ERP =&gt; SOUS-SEGMENT'!$DB$8:$DB$150)/SUMPRODUCT('ANALYSE - ERP =&gt; SOUS-SEGMENT'!$EE$8:$EE$150),"")</f>
        <v>10.014847434638076</v>
      </c>
      <c r="CZ6" s="875">
        <f>IFERROR(SUMPRODUCT('ANALYSE - ERP =&gt; SOUS-SEGMENT'!$EM$8:$EM$150*'ANALYSE - ERP =&gt; SOUS-SEGMENT'!$DC$8:$DC$150)/SUMPRODUCT('ANALYSE - ERP =&gt; SOUS-SEGMENT'!$EM$8:$EM$150),"")</f>
        <v>12.484874092848468</v>
      </c>
      <c r="DA6" s="875">
        <f>IFERROR(SUMPRODUCT('ANALYSE - ERP =&gt; SOUS-SEGMENT'!$EN$8:$EN$150*'ANALYSE - ERP =&gt; SOUS-SEGMENT'!$DD$8:$DD$150)/SUMPRODUCT('ANALYSE - ERP =&gt; SOUS-SEGMENT'!$EN$8:$EN$150),"")</f>
        <v>12.506452490416443</v>
      </c>
      <c r="DB6" s="876">
        <f>IFERROR(SUMPRODUCT('ANALYSE - ERP =&gt; SOUS-SEGMENT'!$EO$8:$EO$150*'ANALYSE - ERP =&gt; SOUS-SEGMENT'!$DE$8:$DE$150)/SUMPRODUCT('ANALYSE - ERP =&gt; SOUS-SEGMENT'!$EO$8:$EO$150),"")</f>
        <v>9.1471230783416146</v>
      </c>
      <c r="DC6" s="608" t="s">
        <v>2572</v>
      </c>
      <c r="DD6" s="110"/>
      <c r="DE6" s="223" t="e">
        <f>SUMPRODUCT($Q$8:$Q$110,DE$8:DE$110)</f>
        <v>#VALUE!</v>
      </c>
      <c r="DF6" s="223" t="e">
        <f>SUMPRODUCT($Q$8:$Q$110,DF$8:DF$110)</f>
        <v>#VALUE!</v>
      </c>
      <c r="DG6" s="223" t="e">
        <f>SUMPRODUCT($Q$8:$Q$110,DG$8:DG$110)</f>
        <v>#VALUE!</v>
      </c>
      <c r="DH6" s="223" t="e">
        <f>SUMPRODUCT($Q$8:$Q$110,DH$8:DH$110)</f>
        <v>#VALUE!</v>
      </c>
      <c r="DI6" s="339" t="s">
        <v>2573</v>
      </c>
      <c r="DJ6" s="223" t="e">
        <f>SUMPRODUCT($Q$8:$Q$110,DJ$8:DJ$110)</f>
        <v>#VALUE!</v>
      </c>
      <c r="DK6" s="223" t="e">
        <f>SUMPRODUCT($Q$8:$Q$110,DK$8:DK$110)</f>
        <v>#VALUE!</v>
      </c>
      <c r="DL6" s="223" t="e">
        <f>SUMPRODUCT($Q$8:$Q$110,DL$8:DL$110)</f>
        <v>#VALUE!</v>
      </c>
      <c r="DM6" s="223" t="e">
        <f>SUMPRODUCT($Q$8:$Q$110,DM$8:DM$110)</f>
        <v>#VALUE!</v>
      </c>
      <c r="DN6" s="613" t="s">
        <v>2574</v>
      </c>
      <c r="DO6" s="110"/>
      <c r="DP6" s="223">
        <f>SUMPRODUCT($Q$8:$Q$110,DP$8:DP$110)</f>
        <v>722432.15999999992</v>
      </c>
      <c r="DQ6" s="223">
        <f>SUMPRODUCT($Q$8:$Q$110,DQ$8:DQ$110)</f>
        <v>921251.59299999988</v>
      </c>
      <c r="DR6" s="223">
        <f>SUMPRODUCT($Q$8:$Q$110,DR$8:DR$110)</f>
        <v>114676.932</v>
      </c>
      <c r="DS6" s="340" t="s">
        <v>2575</v>
      </c>
      <c r="DT6" s="223">
        <f>SUMPRODUCT($Q$8:$Q$110,DT$8:DT$110)</f>
        <v>658701.11999999988</v>
      </c>
      <c r="DU6" s="223">
        <f>SUMPRODUCT($Q$8:$Q$110,DU$8:DU$110)</f>
        <v>980593.85479999997</v>
      </c>
      <c r="DV6" s="223">
        <f>SUMPRODUCT($Q$8:$Q$110,DV$8:DV$110)</f>
        <v>147867.08519999997</v>
      </c>
      <c r="DW6" s="340" t="s">
        <v>2576</v>
      </c>
      <c r="DX6" s="110"/>
      <c r="DY6" s="223">
        <f>SUMPRODUCT($Q$8:$Q$110,DY$8:DY$110)</f>
        <v>103413.37600000002</v>
      </c>
      <c r="DZ6" s="223">
        <f>SUMPRODUCT($Q$8:$Q$110,DZ$8:DZ$110)</f>
        <v>586668.75900000008</v>
      </c>
      <c r="EA6" s="223">
        <f>SUMPRODUCT($Q$8:$Q$110,EA$8:EA$110)</f>
        <v>137693.68400000004</v>
      </c>
      <c r="EB6" s="223">
        <f>SUMPRODUCT($Q$8:$Q$110,EB$8:EB$110)</f>
        <v>237769.981</v>
      </c>
      <c r="EC6" s="340" t="s">
        <v>2577</v>
      </c>
      <c r="ED6" s="223">
        <f>SUMPRODUCT($Q$8:$Q$110,ED$8:ED$110)</f>
        <v>85027.191499999986</v>
      </c>
      <c r="EE6" s="223">
        <f>SUMPRODUCT($Q$8:$Q$110,EE$8:EE$110)</f>
        <v>588727.23999999987</v>
      </c>
      <c r="EF6" s="223">
        <f>SUMPRODUCT($Q$8:$Q$110,EF$8:EF$110)</f>
        <v>167621.29</v>
      </c>
      <c r="EG6" s="223">
        <f>SUMPRODUCT($Q$8:$Q$110,EG$8:EG$110)</f>
        <v>238146.52849999999</v>
      </c>
      <c r="EH6" s="340" t="s">
        <v>2578</v>
      </c>
      <c r="EI6" s="110"/>
      <c r="EJ6" s="223" t="e">
        <f>SUMPRODUCT($Q$8:$Q$110,EJ$8:EJ$110)</f>
        <v>#VALUE!</v>
      </c>
      <c r="EK6" s="223" t="e">
        <f>SUMPRODUCT($Q$8:$Q$110,EK$8:EK$110)</f>
        <v>#VALUE!</v>
      </c>
      <c r="EL6" s="223" t="e">
        <f>SUMPRODUCT($Q$8:$Q$110,EL$8:EL$110)</f>
        <v>#VALUE!</v>
      </c>
      <c r="EM6" s="340" t="s">
        <v>2579</v>
      </c>
      <c r="EN6" s="223" t="e">
        <f>SUMPRODUCT($Q$8:$Q$110,EN$8:EN$110)</f>
        <v>#VALUE!</v>
      </c>
      <c r="EO6" s="223" t="e">
        <f>SUMPRODUCT($Q$8:$Q$110,EO$8:EO$110)</f>
        <v>#VALUE!</v>
      </c>
      <c r="EP6" s="223" t="e">
        <f>SUMPRODUCT($Q$8:$Q$110,EP$8:EP$110)</f>
        <v>#VALUE!</v>
      </c>
      <c r="EQ6" s="340" t="s">
        <v>2580</v>
      </c>
      <c r="ER6" s="110"/>
      <c r="ES6" s="744">
        <f>IFERROR(EV6/EU6,0)</f>
        <v>0.79649155300432295</v>
      </c>
      <c r="ET6" s="744">
        <f>IFERROR(EW6/EU6,0)</f>
        <v>0.20350844699567697</v>
      </c>
      <c r="EU6" s="221">
        <f>EV6+EW6</f>
        <v>5836549.8949145898</v>
      </c>
      <c r="EV6" s="221">
        <f>SUM(EY6,FB6,FE6,FH6)</f>
        <v>4648762.6899877395</v>
      </c>
      <c r="EW6" s="221">
        <f>SUM(EZ6,FC6,FF6,FI6)</f>
        <v>1187787.2049268498</v>
      </c>
      <c r="EX6" s="222">
        <f>SUMPRODUCT($Q$8:$Q$110,EX$8:EX$110)</f>
        <v>2522312.1103748772</v>
      </c>
      <c r="EY6" s="222">
        <f>SUMPRODUCT('ANALYSE - ERP =&gt; SOUS-SEGMENT'!$Q$8:$Q$150*'ANALYSE - ERP =&gt; SOUS-SEGMENT'!$FB$8:$FB$150)</f>
        <v>1999994.0847848034</v>
      </c>
      <c r="EZ6" s="222">
        <f>SUMPRODUCT('ANALYSE - ERP =&gt; SOUS-SEGMENT'!$Q$8:$Q$150*'ANALYSE - ERP =&gt; SOUS-SEGMENT'!$FC$8:$FC$150)</f>
        <v>513618.91265499982</v>
      </c>
      <c r="FA6" s="222">
        <f>SUMPRODUCT($Q$8:$Q$110,FA$8:FA$110)</f>
        <v>865199.68231215398</v>
      </c>
      <c r="FB6" s="222">
        <f>SUMPRODUCT('ANALYSE - ERP =&gt; SOUS-SEGMENT'!$Q$8:$Q$150*'ANALYSE - ERP =&gt; SOUS-SEGMENT'!$FE$8:$FE$150)</f>
        <v>699040.64594030427</v>
      </c>
      <c r="FC6" s="222">
        <f>SUMPRODUCT('ANALYSE - ERP =&gt; SOUS-SEGMENT'!$Q$8:$Q$150*'ANALYSE - ERP =&gt; SOUS-SEGMENT'!$FF$8:$FF$150)</f>
        <v>165257.60597184999</v>
      </c>
      <c r="FD6" s="222">
        <f>SUMPRODUCT($Q$8:$Q$110,FD$8:FD$110)</f>
        <v>453625.11705759924</v>
      </c>
      <c r="FE6" s="222">
        <f>SUMPRODUCT('ANALYSE - ERP =&gt; SOUS-SEGMENT'!$Q$8:$Q$150*'ANALYSE - ERP =&gt; SOUS-SEGMENT'!$FH$8:$FH$150)</f>
        <v>361251.34048089996</v>
      </c>
      <c r="FF6" s="222">
        <f>SUMPRODUCT('ANALYSE - ERP =&gt; SOUS-SEGMENT'!$Q$8:$Q$150*'ANALYSE - ERP =&gt; SOUS-SEGMENT'!$FI$8:$FI$150)</f>
        <v>91223.076720000026</v>
      </c>
      <c r="FG6" s="222">
        <f>SUMPRODUCT($Q$8:$Q$110,FG$8:FG$110)</f>
        <v>2014484.4177594457</v>
      </c>
      <c r="FH6" s="222">
        <f>SUMPRODUCT('ANALYSE - ERP =&gt; SOUS-SEGMENT'!$Q$8:$Q$150*'ANALYSE - ERP =&gt; SOUS-SEGMENT'!$FK$8:$FK$150)</f>
        <v>1588476.6187817315</v>
      </c>
      <c r="FI6" s="222">
        <f>SUMPRODUCT('ANALYSE - ERP =&gt; SOUS-SEGMENT'!$Q$8:$Q$150*'ANALYSE - ERP =&gt; SOUS-SEGMENT'!$FL$8:$FL$150)</f>
        <v>417687.60957999981</v>
      </c>
      <c r="FJ6" s="110"/>
      <c r="FK6" s="341" t="s">
        <v>2581</v>
      </c>
      <c r="FL6" s="770">
        <f>IFERROR(SUMPRODUCT($Q$8:$Q$110,$AF$8:$AF$110,$FL$8:$FL$110)/SUMPRODUCT($Q$8:$Q$110,$AF$8:$AF$110),"")</f>
        <v>6.0356028655940912E-2</v>
      </c>
      <c r="FM6" s="746">
        <f>IFERROR(SUMPRODUCT($Q$8:$Q$110,$AF$8:$AF$110,$FM$8:$FM$110)/SUMPRODUCT($Q$8:$Q$110,$AF$8:$AF$110),"")</f>
        <v>0.82781862459308864</v>
      </c>
      <c r="FN6" s="342" t="s">
        <v>2582</v>
      </c>
      <c r="FO6" s="110"/>
      <c r="FP6" s="220">
        <f>'ANALYSE - ERP =&gt; SOUS-SEGMENT'!FS6</f>
        <v>3.19</v>
      </c>
      <c r="FQ6" s="220" t="s">
        <v>2090</v>
      </c>
      <c r="FR6" s="220">
        <f>'ANALYSE - ERP =&gt; SOUS-SEGMENT'!FU6</f>
        <v>3.97</v>
      </c>
      <c r="FS6" s="220" t="s">
        <v>2090</v>
      </c>
      <c r="FT6" s="220">
        <f>'ANALYSE - ERP =&gt; SOUS-SEGMENT'!FW6</f>
        <v>2.2400000000000002</v>
      </c>
      <c r="FU6" s="220" t="s">
        <v>2090</v>
      </c>
      <c r="FV6" s="110"/>
      <c r="FW6" s="343" t="s">
        <v>2583</v>
      </c>
      <c r="FX6" s="343" t="s">
        <v>2584</v>
      </c>
      <c r="FY6" s="343" t="s">
        <v>2585</v>
      </c>
      <c r="FZ6" s="343" t="s">
        <v>2586</v>
      </c>
      <c r="GA6" s="343" t="s">
        <v>2587</v>
      </c>
      <c r="GB6" s="343" t="s">
        <v>2588</v>
      </c>
      <c r="GC6" s="343" t="str">
        <f>HYPERLINK("https://www.ecologie.gouv.fr/eco-energie-tertiaire-eet","https://www.ecologie.gouv.fr/eco-energie-tertiaire-eet")&amp;CHAR(10)&amp;HYPERLINK("https://www.info.gouv.fr/actualite/segur-de-la-sante-de-nouveaux-investissements-pour-l-hopital","https://www.info.gouv.fr/actualite/segur-de-la-sante-de-nouveaux-investissements-pour-l-hopital")&amp;CHAR(10)&amp;HYPERLINK("https://www.cnsa.fr/budget-et-financement/financement-des-esms/investissement-immobilier","https://www.cnsa.fr/budget-et-financement/financement-des-esms/investissement-immobilier")&amp;CHAR(10)&amp;HYPERLINK("https://www.agencedusport.fr/plan-5000-equipements-generation-2024","https://www.agencedusport.fr/plan-5000-equipements-generation-2024")&amp;CHAR(10)&amp;HYPERLINK("https://www.france-services.gouv.fr/actualites/labellisation-nouvelles-maisons-france-services","https://www.france-services.gouv.fr/actualites/labellisation-nouvelles-maisons-france-services")&amp;CHAR(10)&amp;HYPERLINK("https://www.justice.gouv.fr/plan-15-000-places-prison","https://www.justice.gouv.fr/plan-15-000-places-prison")&amp;CHAR(10)&amp;HYPERLINK("https://www.defense.gouv.fr/ministere/politique-defense/loi-programmation-militaire-2024-2030","https://www.defense.gouv.fr/ministere/politique-defense/loi-programmation-militaire-2024-2030")&amp;CHAR(10)&amp;HYPERLINK("https://www.economie.gouv.fr/cedef/reindustrialisation-informations","https://www.economie.gouv.fr/cedef/reindustrialisation-informations")&amp;CHAR(10)&amp;HYPERLINK("https://presse.groupeadp.fr/proposition-cre2027-2034/","https://presse.groupeadp.fr/proposition-cre2027-2034/")&amp;CHAR(10)&amp;HYPERLINK("https://www.garesetconnexions.sncf/fr/qui-sommes-nous/notre-modele-economique","https://www.garesetconnexions.sncf/fr/qui-sommes-nous/notre-modele-economique")</f>
        <v>https://www.ecologie.gouv.fr/eco-energie-tertiaire-eet
https://www.info.gouv.fr/actualite/segur-de-la-sante-de-nouveaux-investissements-pour-l-hopital
https://www.cnsa.fr/budget-et-financement/financement-des-esms/investissement-immobilier
https://www.agencedusport.fr/plan-5000-equipements-generation-2024
https://www.france-services.gouv.fr/actualites/labellisation-nouvelles-maisons-france-services
https://www.justice.gouv.fr/plan-15-000-places-prison
https://www.defense.gouv.fr/ministere/politique-defense/loi-programmation-militaire-2024-2030
https://www.economie.gouv.fr/cedef/reindustrialisation-informations
https://presse.groupeadp.fr/proposition-cre2027-2034/
https://www.garesetconnexions.sncf/fr/qui-sommes-nous/notre-modele-economique</v>
      </c>
      <c r="GD6" s="110"/>
      <c r="GE6" s="238">
        <f t="shared" ref="GE6:HT6" si="0">SUMPRODUCT($Q$8:$Q$110,GE$8:GE$110)</f>
        <v>739549.76098756131</v>
      </c>
      <c r="GF6" s="239">
        <f t="shared" si="0"/>
        <v>603163.1427694615</v>
      </c>
      <c r="GG6" s="240">
        <f t="shared" si="0"/>
        <v>136386.61821810008</v>
      </c>
      <c r="GH6" s="238">
        <f t="shared" si="0"/>
        <v>1262683.1410095596</v>
      </c>
      <c r="GI6" s="239">
        <f t="shared" si="0"/>
        <v>982508.89756325982</v>
      </c>
      <c r="GJ6" s="240">
        <f t="shared" si="0"/>
        <v>280174.24344629998</v>
      </c>
      <c r="GK6" s="238">
        <f t="shared" si="0"/>
        <v>344961.47963132715</v>
      </c>
      <c r="GL6" s="239">
        <f t="shared" si="0"/>
        <v>275271.67165537708</v>
      </c>
      <c r="GM6" s="240">
        <f t="shared" si="0"/>
        <v>69689.807975950011</v>
      </c>
      <c r="GN6" s="238">
        <f t="shared" si="0"/>
        <v>175117.72874642906</v>
      </c>
      <c r="GO6" s="239">
        <f t="shared" si="0"/>
        <v>144613.4575317791</v>
      </c>
      <c r="GP6" s="240">
        <f t="shared" si="0"/>
        <v>30504.271214649998</v>
      </c>
      <c r="GQ6" s="238">
        <f t="shared" si="0"/>
        <v>329905.23791743093</v>
      </c>
      <c r="GR6" s="239">
        <f t="shared" si="0"/>
        <v>270403.78409920097</v>
      </c>
      <c r="GS6" s="240">
        <f t="shared" si="0"/>
        <v>59501.453818230002</v>
      </c>
      <c r="GT6" s="238">
        <f t="shared" si="0"/>
        <v>468287.19537054241</v>
      </c>
      <c r="GU6" s="239">
        <f t="shared" si="0"/>
        <v>376549.81720979704</v>
      </c>
      <c r="GV6" s="240">
        <f t="shared" si="0"/>
        <v>91737.378160745502</v>
      </c>
      <c r="GW6" s="238">
        <f t="shared" si="0"/>
        <v>67007.249024180288</v>
      </c>
      <c r="GX6" s="239">
        <f t="shared" si="0"/>
        <v>52921.64463130579</v>
      </c>
      <c r="GY6" s="240">
        <f t="shared" si="0"/>
        <v>14085.604392874497</v>
      </c>
      <c r="GZ6" s="238">
        <f t="shared" si="0"/>
        <v>43983.626615456509</v>
      </c>
      <c r="HA6" s="239">
        <f t="shared" si="0"/>
        <v>36988.654576306501</v>
      </c>
      <c r="HB6" s="240">
        <f t="shared" si="0"/>
        <v>6994.9720391500005</v>
      </c>
      <c r="HC6" s="238">
        <f t="shared" si="0"/>
        <v>227546.83155691222</v>
      </c>
      <c r="HD6" s="239">
        <f t="shared" si="0"/>
        <v>177652.64962796221</v>
      </c>
      <c r="HE6" s="240">
        <f t="shared" si="0"/>
        <v>49894.18192895002</v>
      </c>
      <c r="HF6" s="238">
        <f t="shared" si="0"/>
        <v>75852.544037889413</v>
      </c>
      <c r="HG6" s="239">
        <f t="shared" si="0"/>
        <v>61202.985157189432</v>
      </c>
      <c r="HH6" s="240">
        <f t="shared" si="0"/>
        <v>14649.558880699999</v>
      </c>
      <c r="HI6" s="238">
        <f t="shared" si="0"/>
        <v>106242.11484734116</v>
      </c>
      <c r="HJ6" s="239">
        <f t="shared" si="0"/>
        <v>86221.362076141144</v>
      </c>
      <c r="HK6" s="240">
        <f t="shared" si="0"/>
        <v>20020.752771200005</v>
      </c>
      <c r="HL6" s="238">
        <f t="shared" si="0"/>
        <v>1063631.9077442039</v>
      </c>
      <c r="HM6" s="239">
        <f t="shared" si="0"/>
        <v>864945.91222320392</v>
      </c>
      <c r="HN6" s="240">
        <f t="shared" si="0"/>
        <v>198685.99552100006</v>
      </c>
      <c r="HO6" s="238">
        <f t="shared" si="0"/>
        <v>662344.52050478035</v>
      </c>
      <c r="HP6" s="239">
        <f t="shared" si="0"/>
        <v>503113.35347918043</v>
      </c>
      <c r="HQ6" s="240">
        <f t="shared" si="0"/>
        <v>159231.16702560007</v>
      </c>
      <c r="HR6" s="238">
        <f t="shared" si="0"/>
        <v>288507.98951046134</v>
      </c>
      <c r="HS6" s="239">
        <f t="shared" si="0"/>
        <v>225609.86807706146</v>
      </c>
      <c r="HT6" s="240">
        <f t="shared" si="0"/>
        <v>62898.121433400018</v>
      </c>
      <c r="HV6" s="344">
        <f>SUMPRODUCT('ANALYSE - ERP =&gt; SOUS-SEGMENT'!$Q$8:$Q$150*'ANALYSE - ERP =&gt; SOUS-SEGMENT'!$HY$8:$HY$150)</f>
        <v>14093821.703250002</v>
      </c>
      <c r="HW6" s="344">
        <f>SUMPRODUCT('ANALYSE - ERP =&gt; SOUS-SEGMENT'!$Q$8:$Q$150*'ANALYSE - ERP =&gt; SOUS-SEGMENT'!$HZ$8:$HZ$150)</f>
        <v>909235.29502250045</v>
      </c>
      <c r="HX6" s="344">
        <f>SUMPRODUCT('ANALYSE - ERP =&gt; SOUS-SEGMENT'!$Q$8:$Q$150*'ANALYSE - ERP =&gt; SOUS-SEGMENT'!$IA$8:$IA$150)</f>
        <v>5752131.9134689998</v>
      </c>
      <c r="HY6" s="344">
        <f>SUMPRODUCT('ANALYSE - ERP =&gt; SOUS-SEGMENT'!$Q$8:$Q$150*'ANALYSE - ERP =&gt; SOUS-SEGMENT'!$IB$8:$IB$150)</f>
        <v>5826252.8052335009</v>
      </c>
      <c r="HZ6" s="344">
        <f>SUMPRODUCT('ANALYSE - ERP =&gt; SOUS-SEGMENT'!$Q$8:$Q$150*'ANALYSE - ERP =&gt; SOUS-SEGMENT'!$IC$8:$IC$150)</f>
        <v>1513953.2967430011</v>
      </c>
      <c r="IA6" s="344">
        <f>SUMPRODUCT('ANALYSE - ERP =&gt; SOUS-SEGMENT'!$Q$8:$Q$150*'ANALYSE - ERP =&gt; SOUS-SEGMENT'!$ID$8:$ID$150)</f>
        <v>92248.39278200001</v>
      </c>
      <c r="IB6" s="344">
        <f>SUMPRODUCT('ANALYSE - ERP =&gt; SOUS-SEGMENT'!$Q$8:$Q$150*'ANALYSE - ERP =&gt; SOUS-SEGMENT'!$IE$8:$IE$150)</f>
        <v>4637418.6509461235</v>
      </c>
      <c r="IC6" s="344">
        <f>SUMPRODUCT('ANALYSE - ERP =&gt; SOUS-SEGMENT'!$Q$8:$Q$150*'ANALYSE - ERP =&gt; SOUS-SEGMENT'!$IF$8:$IF$150)</f>
        <v>158906.2072309342</v>
      </c>
      <c r="ID6" s="344">
        <f>SUMPRODUCT('ANALYSE - ERP =&gt; SOUS-SEGMENT'!$Q$8:$Q$150*'ANALYSE - ERP =&gt; SOUS-SEGMENT'!$IG$8:$IG$150)</f>
        <v>1548396.7941987324</v>
      </c>
      <c r="IE6" s="344">
        <f>SUMPRODUCT('ANALYSE - ERP =&gt; SOUS-SEGMENT'!$Q$8:$Q$150*'ANALYSE - ERP =&gt; SOUS-SEGMENT'!$IH$8:$IH$150)</f>
        <v>2109269.2898155474</v>
      </c>
      <c r="IF6" s="344">
        <f>SUMPRODUCT('ANALYSE - ERP =&gt; SOUS-SEGMENT'!$Q$8:$Q$150*'ANALYSE - ERP =&gt; SOUS-SEGMENT'!$II$8:$II$150)</f>
        <v>747030.18893548998</v>
      </c>
      <c r="IG6" s="344">
        <f>SUMPRODUCT('ANALYSE - ERP =&gt; SOUS-SEGMENT'!$Q$8:$Q$150*'ANALYSE - ERP =&gt; SOUS-SEGMENT'!$IJ$8:$IJ$150)</f>
        <v>73816.17076541514</v>
      </c>
      <c r="IH6" s="345">
        <v>3.86</v>
      </c>
      <c r="II6" s="345" t="s">
        <v>2589</v>
      </c>
      <c r="IJ6" s="347"/>
      <c r="IK6" s="110"/>
      <c r="IL6" s="747">
        <f>IFERROR(SUMPRODUCT('ANALYSE - ERP =&gt; SOUS-SEGMENT'!$BE$8:$BE$150*'ANALYSE - ERP =&gt; SOUS-SEGMENT'!$Q$8:$Q$150*'ANALYSE - ERP =&gt; SOUS-SEGMENT'!$IO$8:$IO$150)/SUMPRODUCT('ANALYSE - ERP =&gt; SOUS-SEGMENT'!$BE$8:$BE$150*'ANALYSE - ERP =&gt; SOUS-SEGMENT'!$Q$8:$Q$150),"")</f>
        <v>5.0890289136965181E-2</v>
      </c>
      <c r="IM6" s="748">
        <f>IFERROR(SUMPRODUCT('ANALYSE - ERP =&gt; SOUS-SEGMENT'!$BE$8:$BE$150*'ANALYSE - ERP =&gt; SOUS-SEGMENT'!$Q$8:$Q$150*'ANALYSE - ERP =&gt; SOUS-SEGMENT'!$IP$8:$IP$150)/SUMPRODUCT('ANALYSE - ERP =&gt; SOUS-SEGMENT'!$BE$8:$BE$150*'ANALYSE - ERP =&gt; SOUS-SEGMENT'!$Q$8:$Q$150),"")</f>
        <v>0.38938085659179045</v>
      </c>
      <c r="IN6" s="748">
        <f>IFERROR(SUMPRODUCT('ANALYSE - ERP =&gt; SOUS-SEGMENT'!$BE$8:$BE$150*'ANALYSE - ERP =&gt; SOUS-SEGMENT'!$Q$8:$Q$150*'ANALYSE - ERP =&gt; SOUS-SEGMENT'!$IQ$8:$IQ$150)/SUMPRODUCT('ANALYSE - ERP =&gt; SOUS-SEGMENT'!$BE$8:$BE$150*'ANALYSE - ERP =&gt; SOUS-SEGMENT'!$Q$8:$Q$150),"")</f>
        <v>0.4379635921740227</v>
      </c>
      <c r="IO6" s="748">
        <f>IFERROR(SUMPRODUCT('ANALYSE - ERP =&gt; SOUS-SEGMENT'!$BE$8:$BE$150*'ANALYSE - ERP =&gt; SOUS-SEGMENT'!$Q$8:$Q$150*'ANALYSE - ERP =&gt; SOUS-SEGMENT'!$IR$8:$IR$150)/SUMPRODUCT('ANALYSE - ERP =&gt; SOUS-SEGMENT'!$BE$8:$BE$150*'ANALYSE - ERP =&gt; SOUS-SEGMENT'!$Q$8:$Q$150),"")</f>
        <v>0.1140443159031226</v>
      </c>
      <c r="IP6" s="749">
        <f>IFERROR(SUMPRODUCT('ANALYSE - ERP =&gt; SOUS-SEGMENT'!$BE$8:$BE$150*'ANALYSE - ERP =&gt; SOUS-SEGMENT'!$Q$8:$Q$150*'ANALYSE - ERP =&gt; SOUS-SEGMENT'!$IS$8:$IS$150)/SUMPRODUCT('ANALYSE - ERP =&gt; SOUS-SEGMENT'!$BE$8:$BE$150*'ANALYSE - ERP =&gt; SOUS-SEGMENT'!$Q$8:$Q$150),"")</f>
        <v>7.7209461940995171E-3</v>
      </c>
      <c r="IQ6" s="750">
        <f>IFERROR(SUMPRODUCT('ANALYSE - ERP =&gt; SOUS-SEGMENT'!$FA$8:$FA$150*'ANALYSE - ERP =&gt; SOUS-SEGMENT'!$Q$8:$Q$150*'ANALYSE - ERP =&gt; SOUS-SEGMENT'!$IT$8:$IT$150)/SUMPRODUCT('ANALYSE - ERP =&gt; SOUS-SEGMENT'!$FA$8:$FA$150*'ANALYSE - ERP =&gt; SOUS-SEGMENT'!$Q$8:$Q$150),"")</f>
        <v>2.3639239303708044E-2</v>
      </c>
      <c r="IR6" s="750">
        <f>IFERROR(SUMPRODUCT('ANALYSE - ERP =&gt; SOUS-SEGMENT'!$FA$8:$FA$150*'ANALYSE - ERP =&gt; SOUS-SEGMENT'!$Q$8:$Q$150*'ANALYSE - ERP =&gt; SOUS-SEGMENT'!$IU$8:$IU$150)/SUMPRODUCT('ANALYSE - ERP =&gt; SOUS-SEGMENT'!$FA$8:$FA$150*'ANALYSE - ERP =&gt; SOUS-SEGMENT'!$Q$8:$Q$150),"")</f>
        <v>0.30330948549137865</v>
      </c>
      <c r="IS6" s="750">
        <f>IFERROR(SUMPRODUCT('ANALYSE - ERP =&gt; SOUS-SEGMENT'!$FA$8:$FA$150*'ANALYSE - ERP =&gt; SOUS-SEGMENT'!$Q$8:$Q$150*'ANALYSE - ERP =&gt; SOUS-SEGMENT'!$IV$8:$IV$150)/SUMPRODUCT('ANALYSE - ERP =&gt; SOUS-SEGMENT'!$FA$8:$FA$150*'ANALYSE - ERP =&gt; SOUS-SEGMENT'!$Q$8:$Q$150),"")</f>
        <v>0.47999011484979454</v>
      </c>
      <c r="IT6" s="750">
        <f>IFERROR(SUMPRODUCT('ANALYSE - ERP =&gt; SOUS-SEGMENT'!$FA$8:$FA$150*'ANALYSE - ERP =&gt; SOUS-SEGMENT'!$Q$8:$Q$150*'ANALYSE - ERP =&gt; SOUS-SEGMENT'!$IW$8:$IW$150)/SUMPRODUCT('ANALYSE - ERP =&gt; SOUS-SEGMENT'!$FA$8:$FA$150*'ANALYSE - ERP =&gt; SOUS-SEGMENT'!$Q$8:$Q$150),"")</f>
        <v>0.17535179178419349</v>
      </c>
      <c r="IU6" s="750">
        <f>IFERROR(SUMPRODUCT('ANALYSE - ERP =&gt; SOUS-SEGMENT'!$FA$8:$FA$150*'ANALYSE - ERP =&gt; SOUS-SEGMENT'!$Q$8:$Q$150*'ANALYSE - ERP =&gt; SOUS-SEGMENT'!$IX$8:$IX$150)/SUMPRODUCT('ANALYSE - ERP =&gt; SOUS-SEGMENT'!$FA$8:$FA$150*'ANALYSE - ERP =&gt; SOUS-SEGMENT'!$Q$8:$Q$150),"")</f>
        <v>1.7709368570924009E-2</v>
      </c>
      <c r="IV6" s="751">
        <f>IFERROR(SUMPRODUCT('ANALYSE - ERP =&gt; SOUS-SEGMENT'!$BF$8:$BF$150*'ANALYSE - ERP =&gt; SOUS-SEGMENT'!$Q$8:$Q$150*'ANALYSE - ERP =&gt; SOUS-SEGMENT'!$IY$8:$IY$150)/SUMPRODUCT('ANALYSE - ERP =&gt; SOUS-SEGMENT'!$BF$8:$BF$150*'ANALYSE - ERP =&gt; SOUS-SEGMENT'!$Q$8:$Q$150),"")</f>
        <v>9.5286530194209976E-2</v>
      </c>
      <c r="IW6" s="750">
        <f>IFERROR(SUMPRODUCT('ANALYSE - ERP =&gt; SOUS-SEGMENT'!$BF$8:$BF$150*'ANALYSE - ERP =&gt; SOUS-SEGMENT'!$Q$8:$Q$150*'ANALYSE - ERP =&gt; SOUS-SEGMENT'!$IZ$8:$IZ$150)/SUMPRODUCT('ANALYSE - ERP =&gt; SOUS-SEGMENT'!$BF$8:$BF$150*'ANALYSE - ERP =&gt; SOUS-SEGMENT'!$Q$8:$Q$150),"")</f>
        <v>0.42060599046323105</v>
      </c>
      <c r="IX6" s="750">
        <f>IFERROR(SUMPRODUCT('ANALYSE - ERP =&gt; SOUS-SEGMENT'!$BF$8:$BF$150*'ANALYSE - ERP =&gt; SOUS-SEGMENT'!$Q$8:$Q$150*'ANALYSE - ERP =&gt; SOUS-SEGMENT'!$JA$8:$JA$150)/SUMPRODUCT('ANALYSE - ERP =&gt; SOUS-SEGMENT'!$BF$8:$BF$150*'ANALYSE - ERP =&gt; SOUS-SEGMENT'!$Q$8:$Q$150),"")</f>
        <v>0.35460033730351115</v>
      </c>
      <c r="IY6" s="750">
        <f>IFERROR(SUMPRODUCT('ANALYSE - ERP =&gt; SOUS-SEGMENT'!$BF$8:$BF$150*'ANALYSE - ERP =&gt; SOUS-SEGMENT'!$Q$8:$Q$150*'ANALYSE - ERP =&gt; SOUS-SEGMENT'!$JB$8:$JB$150)/SUMPRODUCT('ANALYSE - ERP =&gt; SOUS-SEGMENT'!$BF$8:$BF$150*'ANALYSE - ERP =&gt; SOUS-SEGMENT'!$Q$8:$Q$150),"")</f>
        <v>0.11448185106598295</v>
      </c>
      <c r="IZ6" s="752">
        <f>IFERROR(SUMPRODUCT('ANALYSE - ERP =&gt; SOUS-SEGMENT'!$BF$8:$BF$150*'ANALYSE - ERP =&gt; SOUS-SEGMENT'!$Q$8:$Q$150*'ANALYSE - ERP =&gt; SOUS-SEGMENT'!$JC$8:$JC$150)/SUMPRODUCT('ANALYSE - ERP =&gt; SOUS-SEGMENT'!$BF$8:$BF$150*'ANALYSE - ERP =&gt; SOUS-SEGMENT'!$Q$8:$Q$150),"")</f>
        <v>6.6687639236748513E-3</v>
      </c>
      <c r="JA6" s="750">
        <f>IFERROR(SUMPRODUCT('ANALYSE - ERP =&gt; SOUS-SEGMENT'!$FD$8:$FD$150*'ANALYSE - ERP =&gt; SOUS-SEGMENT'!$Q$8:$Q$150*'ANALYSE - ERP =&gt; SOUS-SEGMENT'!$JD$8:$JD$150)/SUMPRODUCT('ANALYSE - ERP =&gt; SOUS-SEGMENT'!$FD$8:$FD$150*'ANALYSE - ERP =&gt; SOUS-SEGMENT'!$Q$8:$Q$150),"")</f>
        <v>5.9924067420102159E-2</v>
      </c>
      <c r="JB6" s="750">
        <f>IFERROR(SUMPRODUCT('ANALYSE - ERP =&gt; SOUS-SEGMENT'!$FD$8:$FD$150*'ANALYSE - ERP =&gt; SOUS-SEGMENT'!$Q$8:$Q$150*'ANALYSE - ERP =&gt; SOUS-SEGMENT'!$JE$8:$JE$150)/SUMPRODUCT('ANALYSE - ERP =&gt; SOUS-SEGMENT'!$FD$8:$FD$150*'ANALYSE - ERP =&gt; SOUS-SEGMENT'!$Q$8:$Q$150),"")</f>
        <v>0.37600591830629732</v>
      </c>
      <c r="JC6" s="750">
        <f>IFERROR(SUMPRODUCT('ANALYSE - ERP =&gt; SOUS-SEGMENT'!$FD$8:$FD$150*'ANALYSE - ERP =&gt; SOUS-SEGMENT'!$Q$8:$Q$150*'ANALYSE - ERP =&gt; SOUS-SEGMENT'!$JF$8:$JF$150)/SUMPRODUCT('ANALYSE - ERP =&gt; SOUS-SEGMENT'!$FD$8:$FD$150*'ANALYSE - ERP =&gt; SOUS-SEGMENT'!$Q$8:$Q$150),"")</f>
        <v>0.38692802721512082</v>
      </c>
      <c r="JD6" s="750">
        <f>IFERROR(SUMPRODUCT('ANALYSE - ERP =&gt; SOUS-SEGMENT'!$FD$8:$FD$150*'ANALYSE - ERP =&gt; SOUS-SEGMENT'!$Q$8:$Q$150*'ANALYSE - ERP =&gt; SOUS-SEGMENT'!$JG$8:$JG$150)/SUMPRODUCT('ANALYSE - ERP =&gt; SOUS-SEGMENT'!$FD$8:$FD$150*'ANALYSE - ERP =&gt; SOUS-SEGMENT'!$Q$8:$Q$150),"")</f>
        <v>0.15370769532392864</v>
      </c>
      <c r="JE6" s="750">
        <f>IFERROR(SUMPRODUCT('ANALYSE - ERP =&gt; SOUS-SEGMENT'!$FD$8:$FD$150*'ANALYSE - ERP =&gt; SOUS-SEGMENT'!$Q$8:$Q$150*'ANALYSE - ERP =&gt; SOUS-SEGMENT'!$JH$8:$JH$150)/SUMPRODUCT('ANALYSE - ERP =&gt; SOUS-SEGMENT'!$FD$8:$FD$150*'ANALYSE - ERP =&gt; SOUS-SEGMENT'!$Q$8:$Q$150),"")</f>
        <v>1.6942185076512566E-2</v>
      </c>
      <c r="JF6" s="751">
        <f>IFERROR(SUMPRODUCT('ANALYSE - ERP =&gt; SOUS-SEGMENT'!$BG$8:$BG$150*'ANALYSE - ERP =&gt; SOUS-SEGMENT'!$Q$8:$Q$150*'ANALYSE - ERP =&gt; SOUS-SEGMENT'!$JI$8:$JI$150)/SUMPRODUCT('ANALYSE - ERP =&gt; SOUS-SEGMENT'!$BG$8:$BG$150*'ANALYSE - ERP =&gt; SOUS-SEGMENT'!$Q$8:$Q$150),"")</f>
        <v>0.1170054954836449</v>
      </c>
      <c r="JG6" s="750">
        <f>IFERROR(SUMPRODUCT('ANALYSE - ERP =&gt; SOUS-SEGMENT'!$BG$8:$BG$150*'ANALYSE - ERP =&gt; SOUS-SEGMENT'!$Q$8:$Q$150*'ANALYSE - ERP =&gt; SOUS-SEGMENT'!$JJ$8:$JJ$150)/SUMPRODUCT('ANALYSE - ERP =&gt; SOUS-SEGMENT'!$BG$8:$BG$150*'ANALYSE - ERP =&gt; SOUS-SEGMENT'!$Q$8:$Q$150),"")</f>
        <v>0.5130523461259876</v>
      </c>
      <c r="JH6" s="750">
        <f>IFERROR(SUMPRODUCT('ANALYSE - ERP =&gt; SOUS-SEGMENT'!$BG$8:$BG$150*'ANALYSE - ERP =&gt; SOUS-SEGMENT'!$Q$8:$Q$150*'ANALYSE - ERP =&gt; SOUS-SEGMENT'!$JK$8:$JK$150)/SUMPRODUCT('ANALYSE - ERP =&gt; SOUS-SEGMENT'!$BG$8:$BG$150*'ANALYSE - ERP =&gt; SOUS-SEGMENT'!$Q$8:$Q$150),"")</f>
        <v>0.29778804815814497</v>
      </c>
      <c r="JI6" s="750">
        <f>IFERROR(SUMPRODUCT('ANALYSE - ERP =&gt; SOUS-SEGMENT'!$BG$8:$BG$150*'ANALYSE - ERP =&gt; SOUS-SEGMENT'!$Q$8:$Q$150*'ANALYSE - ERP =&gt; SOUS-SEGMENT'!$JL$8:$JL$150)/SUMPRODUCT('ANALYSE - ERP =&gt; SOUS-SEGMENT'!$BG$8:$BG$150*'ANALYSE - ERP =&gt; SOUS-SEGMENT'!$Q$8:$Q$150),"")</f>
        <v>4.3396753265816171E-2</v>
      </c>
      <c r="JJ6" s="752">
        <f>IFERROR(SUMPRODUCT('ANALYSE - ERP =&gt; SOUS-SEGMENT'!$BG$8:$BG$150*'ANALYSE - ERP =&gt; SOUS-SEGMENT'!$Q$8:$Q$150*'ANALYSE - ERP =&gt; SOUS-SEGMENT'!$JM$8:$JM$150)/SUMPRODUCT('ANALYSE - ERP =&gt; SOUS-SEGMENT'!$BG$8:$BG$150*'ANALYSE - ERP =&gt; SOUS-SEGMENT'!$Q$8:$Q$150),"")</f>
        <v>3.3951424459846792E-3</v>
      </c>
      <c r="JK6" s="750">
        <f>IFERROR(SUMPRODUCT('ANALYSE - ERP =&gt; SOUS-SEGMENT'!$FG$8:$FG$150*'ANALYSE - ERP =&gt; SOUS-SEGMENT'!$Q$8:$Q$150*'ANALYSE - ERP =&gt; SOUS-SEGMENT'!$JN$8:$JN$150)/SUMPRODUCT('ANALYSE - ERP =&gt; SOUS-SEGMENT'!$FG$8:$FG$150*'ANALYSE - ERP =&gt; SOUS-SEGMENT'!$Q$8:$Q$150),"")</f>
        <v>6.4594907226919004E-2</v>
      </c>
      <c r="JL6" s="750">
        <f>IFERROR(SUMPRODUCT('ANALYSE - ERP =&gt; SOUS-SEGMENT'!$FG$8:$FG$150*'ANALYSE - ERP =&gt; SOUS-SEGMENT'!$Q$8:$Q$150*'ANALYSE - ERP =&gt; SOUS-SEGMENT'!$JO$8:$JO$150)/SUMPRODUCT('ANALYSE - ERP =&gt; SOUS-SEGMENT'!$FG$8:$FG$150*'ANALYSE - ERP =&gt; SOUS-SEGMENT'!$Q$8:$Q$150),"")</f>
        <v>0.45831558968893149</v>
      </c>
      <c r="JM6" s="750">
        <f>IFERROR(SUMPRODUCT('ANALYSE - ERP =&gt; SOUS-SEGMENT'!$FG$8:$FG$150*'ANALYSE - ERP =&gt; SOUS-SEGMENT'!$Q$8:$Q$150*'ANALYSE - ERP =&gt; SOUS-SEGMENT'!$JP$8:$JP$150)/SUMPRODUCT('ANALYSE - ERP =&gt; SOUS-SEGMENT'!$FG$8:$FG$150*'ANALYSE - ERP =&gt; SOUS-SEGMENT'!$Q$8:$Q$150),"")</f>
        <v>0.371696439371341</v>
      </c>
      <c r="JN6" s="750">
        <f>IFERROR(SUMPRODUCT('ANALYSE - ERP =&gt; SOUS-SEGMENT'!$FG$8:$FG$150*'ANALYSE - ERP =&gt; SOUS-SEGMENT'!$Q$8:$Q$150*'ANALYSE - ERP =&gt; SOUS-SEGMENT'!$JQ$8:$JQ$150)/SUMPRODUCT('ANALYSE - ERP =&gt; SOUS-SEGMENT'!$FG$8:$FG$150*'ANALYSE - ERP =&gt; SOUS-SEGMENT'!$Q$8:$Q$150),"")</f>
        <v>7.6329996215464643E-2</v>
      </c>
      <c r="JO6" s="750">
        <f>IFERROR(SUMPRODUCT('ANALYSE - ERP =&gt; SOUS-SEGMENT'!$FG$8:$FG$150*'ANALYSE - ERP =&gt; SOUS-SEGMENT'!$Q$8:$Q$150*'ANALYSE - ERP =&gt; SOUS-SEGMENT'!$JR$8:$JR$150)/SUMPRODUCT('ANALYSE - ERP =&gt; SOUS-SEGMENT'!$FG$8:$FG$150*'ANALYSE - ERP =&gt; SOUS-SEGMENT'!$Q$8:$Q$150),"")</f>
        <v>8.4193892455794884E-3</v>
      </c>
      <c r="JP6" s="751">
        <f>IFERROR(SUMPRODUCT('ANALYSE - ERP =&gt; SOUS-SEGMENT'!$BH$8:$BH$150*'ANALYSE - ERP =&gt; SOUS-SEGMENT'!$Q$8:$Q$150*'ANALYSE - ERP =&gt; SOUS-SEGMENT'!$JS$8:$JS$150)/SUMPRODUCT('ANALYSE - ERP =&gt; SOUS-SEGMENT'!$BH$8:$BH$150*'ANALYSE - ERP =&gt; SOUS-SEGMENT'!$Q$8:$Q$150),"")</f>
        <v>5.9077885391817943E-2</v>
      </c>
      <c r="JQ6" s="750">
        <f>IFERROR(SUMPRODUCT('ANALYSE - ERP =&gt; SOUS-SEGMENT'!$BH$8:$BH$150*'ANALYSE - ERP =&gt; SOUS-SEGMENT'!$Q$8:$Q$150*'ANALYSE - ERP =&gt; SOUS-SEGMENT'!$JT$8:$JT$150)/SUMPRODUCT('ANALYSE - ERP =&gt; SOUS-SEGMENT'!$BH$8:$BH$150*'ANALYSE - ERP =&gt; SOUS-SEGMENT'!$Q$8:$Q$150),"")</f>
        <v>0.40153368414786711</v>
      </c>
      <c r="JR6" s="750">
        <f>IFERROR(SUMPRODUCT('ANALYSE - ERP =&gt; SOUS-SEGMENT'!$BH$8:$BH$150*'ANALYSE - ERP =&gt; SOUS-SEGMENT'!$Q$8:$Q$150*'ANALYSE - ERP =&gt; SOUS-SEGMENT'!$JU$8:$JU$150)/SUMPRODUCT('ANALYSE - ERP =&gt; SOUS-SEGMENT'!$BH$8:$BH$150*'ANALYSE - ERP =&gt; SOUS-SEGMENT'!$Q$8:$Q$150),"")</f>
        <v>0.4243628193890247</v>
      </c>
      <c r="JS6" s="750">
        <f>IFERROR(SUMPRODUCT('ANALYSE - ERP =&gt; SOUS-SEGMENT'!$BH$8:$BH$150*'ANALYSE - ERP =&gt; SOUS-SEGMENT'!$Q$8:$Q$150*'ANALYSE - ERP =&gt; SOUS-SEGMENT'!$JV$8:$JV$150)/SUMPRODUCT('ANALYSE - ERP =&gt; SOUS-SEGMENT'!$BH$8:$BH$150*'ANALYSE - ERP =&gt; SOUS-SEGMENT'!$Q$8:$Q$150),"")</f>
        <v>0.10936078233221848</v>
      </c>
      <c r="JT6" s="752">
        <f>IFERROR(SUMPRODUCT('ANALYSE - ERP =&gt; SOUS-SEGMENT'!$BH$8:$BH$150*'ANALYSE - ERP =&gt; SOUS-SEGMENT'!$Q$8:$Q$150*'ANALYSE - ERP =&gt; SOUS-SEGMENT'!$JW$8:$JW$150)/SUMPRODUCT('ANALYSE - ERP =&gt; SOUS-SEGMENT'!$BH$8:$BH$150*'ANALYSE - ERP =&gt; SOUS-SEGMENT'!$Q$8:$Q$150),"")</f>
        <v>5.6656438058027767E-3</v>
      </c>
      <c r="JU6" s="751">
        <f>IFERROR(SUMPRODUCT('ANALYSE - ERP =&gt; SOUS-SEGMENT'!$FJ$8:$FJ$150*'ANALYSE - ERP =&gt; SOUS-SEGMENT'!$Q$8:$Q$150*'ANALYSE - ERP =&gt; SOUS-SEGMENT'!$JX$8:$JX$150)/SUMPRODUCT('ANALYSE - ERP =&gt; SOUS-SEGMENT'!$FJ$8:$FJ$150*'ANALYSE - ERP =&gt; SOUS-SEGMENT'!$Q$8:$Q$150),"")</f>
        <v>2.9634066629020982E-2</v>
      </c>
      <c r="JV6" s="750">
        <f>IFERROR(SUMPRODUCT('ANALYSE - ERP =&gt; SOUS-SEGMENT'!$FJ$8:$FJ$150*'ANALYSE - ERP =&gt; SOUS-SEGMENT'!$Q$8:$Q$150*'ANALYSE - ERP =&gt; SOUS-SEGMENT'!$JY$8:$JY$150)/SUMPRODUCT('ANALYSE - ERP =&gt; SOUS-SEGMENT'!$FJ$8:$FJ$150*'ANALYSE - ERP =&gt; SOUS-SEGMENT'!$Q$8:$Q$150),"")</f>
        <v>0.32102592222107634</v>
      </c>
      <c r="JW6" s="750">
        <f>IFERROR(SUMPRODUCT('ANALYSE - ERP =&gt; SOUS-SEGMENT'!$FJ$8:$FJ$150*'ANALYSE - ERP =&gt; SOUS-SEGMENT'!$Q$8:$Q$150*'ANALYSE - ERP =&gt; SOUS-SEGMENT'!$JZ$8:$JZ$150)/SUMPRODUCT('ANALYSE - ERP =&gt; SOUS-SEGMENT'!$FJ$8:$FJ$150*'ANALYSE - ERP =&gt; SOUS-SEGMENT'!$Q$8:$Q$150),"")</f>
        <v>0.46675473999022593</v>
      </c>
      <c r="JX6" s="750">
        <f>IFERROR(SUMPRODUCT('ANALYSE - ERP =&gt; SOUS-SEGMENT'!$FJ$8:$FJ$150*'ANALYSE - ERP =&gt; SOUS-SEGMENT'!$Q$8:$Q$150*'ANALYSE - ERP =&gt; SOUS-SEGMENT'!$KA$8:$KA$150)/SUMPRODUCT('ANALYSE - ERP =&gt; SOUS-SEGMENT'!$FJ$8:$FJ$150*'ANALYSE - ERP =&gt; SOUS-SEGMENT'!$Q$8:$Q$150),"")</f>
        <v>0.16681195506446225</v>
      </c>
      <c r="JY6" s="753">
        <f>IFERROR(SUMPRODUCT('ANALYSE - ERP =&gt; SOUS-SEGMENT'!$FJ$8:$FJ$150*'ANALYSE - ERP =&gt; SOUS-SEGMENT'!$Q$8:$Q$150*'ANALYSE - ERP =&gt; SOUS-SEGMENT'!$KB$8:$KB$150)/SUMPRODUCT('ANALYSE - ERP =&gt; SOUS-SEGMENT'!$FJ$8:$FJ$150*'ANALYSE - ERP =&gt; SOUS-SEGMENT'!$Q$8:$Q$150),"")</f>
        <v>1.5773316095214339E-2</v>
      </c>
      <c r="JZ6" s="110"/>
      <c r="KA6" s="345" t="s">
        <v>2590</v>
      </c>
      <c r="KB6" s="348" t="s">
        <v>2591</v>
      </c>
      <c r="KC6" s="345">
        <f>IFERROR(SUMPRODUCT('ANALYSE - ERP =&gt; SOUS-SEGMENT'!$EX$8:$EX$150*'ANALYSE - ERP =&gt; SOUS-SEGMENT'!$Q$8:$Q$150*'ANALYSE - ERP =&gt; SOUS-SEGMENT'!$KF$8:$KF$150)/SUMPRODUCT('ANALYSE - ERP =&gt; SOUS-SEGMENT'!$EX$8:$EX$150*'ANALYSE - ERP =&gt; SOUS-SEGMENT'!$Q$8:$Q$150),"")</f>
        <v>4.2052526757447941</v>
      </c>
      <c r="KD6" s="346" t="s">
        <v>2589</v>
      </c>
      <c r="KE6" s="349" t="s">
        <v>2592</v>
      </c>
      <c r="KF6" s="618" t="s">
        <v>2593</v>
      </c>
      <c r="KG6" s="349" t="s">
        <v>2594</v>
      </c>
    </row>
    <row r="7" spans="1:293" s="43" customFormat="1" ht="12.75" customHeight="1">
      <c r="A7" s="329"/>
      <c r="B7" s="329"/>
      <c r="C7" s="329"/>
      <c r="D7" s="330"/>
      <c r="E7" s="331"/>
      <c r="F7" s="331"/>
      <c r="G7" s="329"/>
      <c r="H7" s="329"/>
      <c r="I7" s="328"/>
      <c r="J7" s="328"/>
      <c r="K7" s="332"/>
      <c r="L7" s="332"/>
      <c r="M7" s="328"/>
      <c r="N7" s="332"/>
      <c r="O7" s="331"/>
      <c r="P7" s="328"/>
      <c r="Q7" s="108" t="s">
        <v>2595</v>
      </c>
      <c r="R7" s="325"/>
      <c r="S7" s="743"/>
      <c r="T7" s="326">
        <f>(T6/S6)^(1/(T4-S4))-1</f>
        <v>5.4449103660332288E-3</v>
      </c>
      <c r="U7" s="326">
        <f>(U6/T6)^(1/(U4-T4))-1</f>
        <v>5.1859193373025025E-3</v>
      </c>
      <c r="V7" s="326">
        <f>(V6/U6)^(1/(V4-U4))-1</f>
        <v>5.4659961355008058E-3</v>
      </c>
      <c r="W7" s="326">
        <f t="shared" ref="W7:AK7" si="1">W6/V6-1</f>
        <v>4.5965725055767681E-3</v>
      </c>
      <c r="X7" s="326">
        <f t="shared" si="1"/>
        <v>4.0064680761737748E-3</v>
      </c>
      <c r="Y7" s="326">
        <f t="shared" si="1"/>
        <v>6.4896350417424919E-3</v>
      </c>
      <c r="Z7" s="326">
        <f t="shared" si="1"/>
        <v>6.0453114349703352E-3</v>
      </c>
      <c r="AA7" s="326">
        <f t="shared" si="1"/>
        <v>-1.3919874819528832E-2</v>
      </c>
      <c r="AB7" s="326">
        <f t="shared" si="1"/>
        <v>-6.331019048678721E-4</v>
      </c>
      <c r="AC7" s="326">
        <f t="shared" si="1"/>
        <v>1.0787557150317095E-2</v>
      </c>
      <c r="AD7" s="326">
        <f t="shared" si="1"/>
        <v>7.4674604318527571E-3</v>
      </c>
      <c r="AE7" s="326">
        <f t="shared" si="1"/>
        <v>7.8220193219631362E-3</v>
      </c>
      <c r="AF7" s="326">
        <f t="shared" si="1"/>
        <v>3.4181027057720303E-3</v>
      </c>
      <c r="AG7" s="326">
        <f t="shared" si="1"/>
        <v>2.8707723267720198E-3</v>
      </c>
      <c r="AH7" s="326">
        <f t="shared" si="1"/>
        <v>3.048002472638478E-3</v>
      </c>
      <c r="AI7" s="326">
        <f t="shared" si="1"/>
        <v>2.736920616660532E-3</v>
      </c>
      <c r="AJ7" s="326">
        <f t="shared" si="1"/>
        <v>2.1384896621281513E-3</v>
      </c>
      <c r="AK7" s="326">
        <f t="shared" si="1"/>
        <v>1.9326421529852755E-3</v>
      </c>
      <c r="AL7" s="323"/>
      <c r="AM7" s="323"/>
      <c r="AN7" s="323"/>
      <c r="AO7" s="111"/>
      <c r="AP7" s="323"/>
      <c r="AQ7" s="323"/>
      <c r="AR7" s="323"/>
      <c r="AS7" s="323"/>
      <c r="AT7" s="111"/>
      <c r="AU7" s="323"/>
      <c r="AV7" s="323"/>
      <c r="AW7" s="575"/>
      <c r="AX7" s="111"/>
      <c r="AY7" s="323"/>
      <c r="AZ7" s="323"/>
      <c r="BA7" s="323"/>
      <c r="BC7" s="323"/>
      <c r="BD7" s="323"/>
      <c r="BE7" s="323"/>
      <c r="BF7" s="743" t="s">
        <v>6738</v>
      </c>
      <c r="BG7" s="327">
        <f>(BG6/BC6)^(1/(2030-2025))-1</f>
        <v>1.6674331968427047E-3</v>
      </c>
      <c r="BH7" s="324">
        <f>(BH6/BD6)^(1/(2030-2025))-1</f>
        <v>3.2616771745495043E-3</v>
      </c>
      <c r="BI7" s="324">
        <f>(BI6/BE6)^(1/(2030-2025))-1</f>
        <v>2.5761144919038692E-3</v>
      </c>
      <c r="BJ7" s="324">
        <f>(BJ6/BF6)^(1/(2030-2025))-1</f>
        <v>1.6414035459468845E-3</v>
      </c>
      <c r="BK7" s="111"/>
      <c r="BL7" s="49"/>
      <c r="BM7" s="49"/>
      <c r="BN7" s="49"/>
      <c r="BO7" s="49"/>
      <c r="BP7" s="49"/>
      <c r="BQ7" s="49"/>
      <c r="BR7" s="49"/>
      <c r="BS7" s="49"/>
      <c r="BT7" s="49"/>
      <c r="BU7" s="49"/>
      <c r="BV7" s="49"/>
      <c r="BW7" s="49"/>
      <c r="BX7" s="49"/>
      <c r="BY7" s="49"/>
      <c r="BZ7" s="49"/>
      <c r="CA7" s="49"/>
      <c r="CB7" s="49"/>
      <c r="CC7" s="49"/>
      <c r="CD7" s="49"/>
      <c r="CE7" s="49"/>
      <c r="CF7" s="49"/>
      <c r="CG7" s="49"/>
      <c r="CH7" s="49"/>
      <c r="CI7" s="49"/>
      <c r="CJ7" s="49"/>
      <c r="CK7" s="49"/>
      <c r="CL7" s="49"/>
      <c r="CM7" s="49"/>
      <c r="CN7" s="111"/>
      <c r="CO7" s="49"/>
      <c r="CP7" s="49"/>
      <c r="CQ7" s="49"/>
      <c r="CR7" s="49"/>
      <c r="CS7" s="49"/>
      <c r="CT7" s="49"/>
      <c r="CU7" s="49"/>
      <c r="CV7" s="49"/>
      <c r="CW7" s="49"/>
      <c r="CX7" s="49"/>
      <c r="CY7" s="49"/>
      <c r="CZ7" s="49"/>
      <c r="DA7" s="49"/>
      <c r="DB7" s="49"/>
      <c r="DC7" s="681"/>
      <c r="DD7" s="111"/>
      <c r="DE7" s="754" t="e">
        <f>DE6/SUM(DE6:DH6)</f>
        <v>#VALUE!</v>
      </c>
      <c r="DF7" s="754" t="e">
        <f>DF6/SUM(DE6:DH6)</f>
        <v>#VALUE!</v>
      </c>
      <c r="DG7" s="754" t="e">
        <f>DG6/SUM(DE6:DH6)</f>
        <v>#VALUE!</v>
      </c>
      <c r="DH7" s="754" t="e">
        <f>DH6/SUM(DE6:DH6)</f>
        <v>#VALUE!</v>
      </c>
      <c r="DI7" s="755" t="s">
        <v>2597</v>
      </c>
      <c r="DJ7" s="754" t="e">
        <f>DJ6/SUM(DJ6:DM6)</f>
        <v>#VALUE!</v>
      </c>
      <c r="DK7" s="754" t="e">
        <f>DK6/SUM(DJ6:DM6)</f>
        <v>#VALUE!</v>
      </c>
      <c r="DL7" s="754" t="e">
        <f>DL6/SUM(DJ6:DM6)</f>
        <v>#VALUE!</v>
      </c>
      <c r="DM7" s="754" t="e">
        <f>DM6/SUM(DJ6:DM6)</f>
        <v>#VALUE!</v>
      </c>
      <c r="DN7" s="681"/>
      <c r="DO7" s="111"/>
      <c r="DP7" s="754">
        <f>DP6/SUM(DP6:DR6)</f>
        <v>0.41085550090082912</v>
      </c>
      <c r="DQ7" s="754">
        <f>DQ6/SUM(DP6:DR6)</f>
        <v>0.52392640534953727</v>
      </c>
      <c r="DR7" s="754">
        <f>DR6/SUM(DP6:DR6)</f>
        <v>6.5218093749633638E-2</v>
      </c>
      <c r="DS7" s="755" t="s">
        <v>2597</v>
      </c>
      <c r="DT7" s="754">
        <f>DT6/SUM(DT6:DV6)</f>
        <v>0.36857380466100531</v>
      </c>
      <c r="DU7" s="754">
        <f>DU6/SUM(DT6:DV6)</f>
        <v>0.54868770815333889</v>
      </c>
      <c r="DV7" s="754">
        <f>DV6/SUM(DT6:DV6)</f>
        <v>8.2738487185655657E-2</v>
      </c>
      <c r="DW7" s="229"/>
      <c r="DX7" s="111"/>
      <c r="DY7" s="754">
        <f>DY6/SUM(DY6:EB6)</f>
        <v>9.7052023479422489E-2</v>
      </c>
      <c r="DZ7" s="754">
        <f>DZ6/SUM(DY6:EB6)</f>
        <v>0.5505805184535475</v>
      </c>
      <c r="EA7" s="754">
        <f>EA6/SUM(DY6:EB6)</f>
        <v>0.12922361854366093</v>
      </c>
      <c r="EB7" s="754">
        <f>EB6/SUM(DY6:EB6)</f>
        <v>0.22314383952336914</v>
      </c>
      <c r="EC7" s="755" t="s">
        <v>2597</v>
      </c>
      <c r="ED7" s="754">
        <f>ED6/SUM(ED6:EG6)</f>
        <v>7.8763723026551796E-2</v>
      </c>
      <c r="EE7" s="754">
        <f>EE6/SUM(ED6:EG6)</f>
        <v>0.54535906045475213</v>
      </c>
      <c r="EF7" s="754">
        <f>EF6/SUM(ED6:EG6)</f>
        <v>0.1552735851437986</v>
      </c>
      <c r="EG7" s="754">
        <f>EG6/SUM(ED6:EG6)</f>
        <v>0.22060363137489758</v>
      </c>
      <c r="EH7" s="229"/>
      <c r="EI7" s="111"/>
      <c r="EJ7" s="754" t="e">
        <f>EJ6/SUM(EI6:EL6)</f>
        <v>#VALUE!</v>
      </c>
      <c r="EK7" s="754" t="e">
        <f>EK6/SUM(EI6:EL6)</f>
        <v>#VALUE!</v>
      </c>
      <c r="EL7" s="754" t="e">
        <f>EL6/SUM(EI6:EL6)</f>
        <v>#VALUE!</v>
      </c>
      <c r="EM7" s="755" t="s">
        <v>2597</v>
      </c>
      <c r="EN7" s="754" t="e">
        <f>EN6/SUM(EN6:EP6)</f>
        <v>#VALUE!</v>
      </c>
      <c r="EO7" s="754" t="e">
        <f>EO6/SUM(EN6:EP6)</f>
        <v>#VALUE!</v>
      </c>
      <c r="EP7" s="754" t="e">
        <f>EP6/SUM(EN6:EP6)</f>
        <v>#VALUE!</v>
      </c>
      <c r="EQ7" s="229"/>
      <c r="ER7" s="111"/>
      <c r="ES7" s="756"/>
      <c r="ET7" s="756"/>
      <c r="EU7" s="757" t="s">
        <v>2598</v>
      </c>
      <c r="EV7" s="758">
        <f>EV6/EU6</f>
        <v>0.79649155300432295</v>
      </c>
      <c r="EW7" s="759">
        <f>EW6/EU6</f>
        <v>0.20350844699567697</v>
      </c>
      <c r="EX7" s="230"/>
      <c r="EY7" s="758">
        <f>EY6/EX6</f>
        <v>0.79292093811798547</v>
      </c>
      <c r="EZ7" s="759">
        <f>EZ6/EX6</f>
        <v>0.20363019728698978</v>
      </c>
      <c r="FA7" s="230"/>
      <c r="FB7" s="758">
        <f>FB6/FA6</f>
        <v>0.80795296187834076</v>
      </c>
      <c r="FC7" s="759">
        <f>FC6/FA6</f>
        <v>0.19100516256572891</v>
      </c>
      <c r="FD7" s="230"/>
      <c r="FE7" s="758">
        <f>FE6/FD6</f>
        <v>0.79636538387496281</v>
      </c>
      <c r="FF7" s="759">
        <f>FF6/FD6</f>
        <v>0.20109794032506567</v>
      </c>
      <c r="FG7" s="230"/>
      <c r="FH7" s="758">
        <f>FH6/FG6</f>
        <v>0.78852762760432293</v>
      </c>
      <c r="FI7" s="760">
        <f>FI6/FG6</f>
        <v>0.20734218934518303</v>
      </c>
      <c r="FJ7" s="111"/>
      <c r="FK7" s="761"/>
      <c r="FL7" s="761"/>
      <c r="FM7" s="761"/>
      <c r="FN7" s="761"/>
      <c r="FO7" s="111"/>
      <c r="FP7" s="166"/>
      <c r="FQ7" s="166"/>
      <c r="FR7" s="166"/>
      <c r="FS7" s="166"/>
      <c r="FT7" s="166"/>
      <c r="FU7" s="166"/>
      <c r="FV7" s="111"/>
      <c r="FW7" s="166"/>
      <c r="FX7" s="166"/>
      <c r="FY7" s="166"/>
      <c r="FZ7" s="166"/>
      <c r="GA7" s="166"/>
      <c r="GB7" s="166"/>
      <c r="GC7" s="166"/>
      <c r="GD7" s="166"/>
      <c r="GE7" s="757" t="s">
        <v>2598</v>
      </c>
      <c r="GF7" s="758">
        <f>GF6/GE6</f>
        <v>0.81558155324670067</v>
      </c>
      <c r="GG7" s="759">
        <f>GG6/GE6</f>
        <v>0.18441844675329969</v>
      </c>
      <c r="GH7" s="166"/>
      <c r="GI7" s="758">
        <f>GI6/GH6</f>
        <v>0.77811199473029269</v>
      </c>
      <c r="GJ7" s="759">
        <f>GJ6/GH6</f>
        <v>0.22188800526970751</v>
      </c>
      <c r="GK7" s="166"/>
      <c r="GL7" s="758">
        <f>GL6/GK6</f>
        <v>0.79797800018010678</v>
      </c>
      <c r="GM7" s="759">
        <f>GM6/GK6</f>
        <v>0.20202199981989305</v>
      </c>
      <c r="GN7" s="166"/>
      <c r="GO7" s="758">
        <f>GO6/GN6</f>
        <v>0.82580706457870856</v>
      </c>
      <c r="GP7" s="759">
        <f>GP6/GN6</f>
        <v>0.17419293542129172</v>
      </c>
      <c r="GQ7" s="166"/>
      <c r="GR7" s="758">
        <f>GR6/GQ6</f>
        <v>0.8196407726235555</v>
      </c>
      <c r="GS7" s="759">
        <f>GS6/GQ6</f>
        <v>0.18035922737644466</v>
      </c>
      <c r="GT7" s="166"/>
      <c r="GU7" s="758">
        <f>GU6/GT6</f>
        <v>0.80410017812219658</v>
      </c>
      <c r="GV7" s="759">
        <f>GV6/GT6</f>
        <v>0.19589982187780366</v>
      </c>
      <c r="GW7" s="166"/>
      <c r="GX7" s="758">
        <f>GX6/GW6</f>
        <v>0.78978984217376902</v>
      </c>
      <c r="GY7" s="759">
        <f>GY6/GW6</f>
        <v>0.21021015782623093</v>
      </c>
      <c r="GZ7" s="166"/>
      <c r="HA7" s="758">
        <f>HA6/GZ6</f>
        <v>0.84096418196011447</v>
      </c>
      <c r="HB7" s="759">
        <f>HB6/GZ6</f>
        <v>0.15903581803988537</v>
      </c>
      <c r="HC7" s="166"/>
      <c r="HD7" s="758">
        <f>HD6/HC6</f>
        <v>0.78073005197406642</v>
      </c>
      <c r="HE7" s="759">
        <f>HE6/HC6</f>
        <v>0.21926994802593364</v>
      </c>
      <c r="HF7" s="166"/>
      <c r="HG7" s="758">
        <f>HG6/HF6</f>
        <v>0.80686792952676289</v>
      </c>
      <c r="HH7" s="759">
        <f>HH6/HF6</f>
        <v>0.19313207047323735</v>
      </c>
      <c r="HI7" s="166"/>
      <c r="HJ7" s="758">
        <f>HJ6/HI6</f>
        <v>0.81155540060579789</v>
      </c>
      <c r="HK7" s="759">
        <f>HK6/HI6</f>
        <v>0.18844459939420199</v>
      </c>
      <c r="HL7" s="166"/>
      <c r="HM7" s="758">
        <f>HM6/HL6</f>
        <v>0.8132004182326743</v>
      </c>
      <c r="HN7" s="759">
        <f>HN6/HL6</f>
        <v>0.18679958176732572</v>
      </c>
      <c r="HO7" s="166"/>
      <c r="HP7" s="758">
        <f>HP6/HO6</f>
        <v>0.75959464886302974</v>
      </c>
      <c r="HQ7" s="759">
        <f>HQ6/HO6</f>
        <v>0.24040535113697048</v>
      </c>
      <c r="HR7" s="166"/>
      <c r="HS7" s="758">
        <f>HS6/HR6</f>
        <v>0.78198828552330546</v>
      </c>
      <c r="HT7" s="759">
        <f>HT6/HR6</f>
        <v>0.21801171447669501</v>
      </c>
      <c r="HU7" s="250"/>
      <c r="HV7" s="757" t="s">
        <v>2598</v>
      </c>
      <c r="HW7" s="762">
        <f>HW6/HV6</f>
        <v>6.4513040832128096E-2</v>
      </c>
      <c r="HX7" s="763">
        <f>HX6/HV6</f>
        <v>0.40813145182208255</v>
      </c>
      <c r="HY7" s="764">
        <f>HY6/HV6</f>
        <v>0.41339055707579875</v>
      </c>
      <c r="HZ7" s="765">
        <f>HZ6/HV6</f>
        <v>0.10741964306202959</v>
      </c>
      <c r="IA7" s="766">
        <f>IA6/HV6</f>
        <v>6.5453072079610418E-3</v>
      </c>
      <c r="IB7" s="757"/>
      <c r="IC7" s="762">
        <f>IC6/IB6</f>
        <v>3.4266090511046322E-2</v>
      </c>
      <c r="ID7" s="763">
        <f>ID6/IB6</f>
        <v>0.33389195816574146</v>
      </c>
      <c r="IE7" s="764">
        <f>IE6/IB6</f>
        <v>0.4548369359288309</v>
      </c>
      <c r="IF7" s="765">
        <f>IF6/IB6</f>
        <v>0.16108750258790661</v>
      </c>
      <c r="IG7" s="766">
        <f>IG6/IB6</f>
        <v>1.5917512806473751E-2</v>
      </c>
      <c r="IH7" s="247"/>
      <c r="II7" s="246"/>
      <c r="IJ7" s="168"/>
      <c r="IK7" s="111"/>
      <c r="IL7" s="767"/>
      <c r="IM7" s="768"/>
      <c r="IN7" s="768"/>
      <c r="IO7" s="768"/>
      <c r="IP7" s="769" t="s">
        <v>2599</v>
      </c>
      <c r="IQ7" s="860">
        <f>(IQ6-IL6)*100</f>
        <v>-2.7251049833257137</v>
      </c>
      <c r="IR7" s="861">
        <f>(IR6-IM6)*100</f>
        <v>-8.6071371100411795</v>
      </c>
      <c r="IS7" s="862">
        <f>(IS6-IN6)*100</f>
        <v>4.202652267577184</v>
      </c>
      <c r="IT7" s="863">
        <f>(IT6-IO6)*100</f>
        <v>6.1307475881070896</v>
      </c>
      <c r="IU7" s="864">
        <f>(IU6-IP6)*100</f>
        <v>0.99884223768244917</v>
      </c>
      <c r="IV7" s="767"/>
      <c r="IW7" s="768"/>
      <c r="IX7" s="768"/>
      <c r="IY7" s="768"/>
      <c r="IZ7" s="769" t="s">
        <v>2599</v>
      </c>
      <c r="JA7" s="860">
        <f>(JA6-IV6)*100</f>
        <v>-3.5362462774107817</v>
      </c>
      <c r="JB7" s="861">
        <f>(JB6-IW6)*100</f>
        <v>-4.4600072156933734</v>
      </c>
      <c r="JC7" s="862">
        <f>(JC6-IX6)*100</f>
        <v>3.2327689911609667</v>
      </c>
      <c r="JD7" s="863">
        <f>(JD6-IY6)*100</f>
        <v>3.922584425794569</v>
      </c>
      <c r="JE7" s="864">
        <f>(JE6-IZ6)*100</f>
        <v>1.0273421152837714</v>
      </c>
      <c r="JF7" s="767"/>
      <c r="JG7" s="768"/>
      <c r="JH7" s="768"/>
      <c r="JI7" s="768"/>
      <c r="JJ7" s="769" t="s">
        <v>2599</v>
      </c>
      <c r="JK7" s="860">
        <f>(JK6-JF6)*100</f>
        <v>-5.2410588256725896</v>
      </c>
      <c r="JL7" s="861">
        <f>(JL6-JG6)*100</f>
        <v>-5.4736756437056115</v>
      </c>
      <c r="JM7" s="862">
        <f>(JM6-JH6)*100</f>
        <v>7.390839121319603</v>
      </c>
      <c r="JN7" s="863">
        <f>(JN6-JI6)*100</f>
        <v>3.2933242949648474</v>
      </c>
      <c r="JO7" s="864">
        <f>(JO6-JJ6)*100</f>
        <v>0.50242467995948092</v>
      </c>
      <c r="JP7" s="767"/>
      <c r="JQ7" s="768"/>
      <c r="JR7" s="768"/>
      <c r="JS7" s="768"/>
      <c r="JT7" s="769" t="s">
        <v>2599</v>
      </c>
      <c r="JU7" s="860">
        <f>(JU6-JP6)*100</f>
        <v>-2.9443818762796963</v>
      </c>
      <c r="JV7" s="861">
        <f>(JV6-JQ6)*100</f>
        <v>-8.0507761926790771</v>
      </c>
      <c r="JW7" s="862">
        <f>(JW6-JR6)*100</f>
        <v>4.2391920601201232</v>
      </c>
      <c r="JX7" s="863">
        <f>(JX6-JS6)*100</f>
        <v>5.7451172732243778</v>
      </c>
      <c r="JY7" s="864">
        <f>(JY6-JT6)*100</f>
        <v>1.0107672289411562</v>
      </c>
      <c r="JZ7" s="111"/>
      <c r="KA7" s="245"/>
      <c r="KB7" s="245"/>
      <c r="KC7" s="247"/>
      <c r="KD7" s="246"/>
      <c r="KE7" s="249"/>
      <c r="KF7" s="619"/>
      <c r="KG7" s="249"/>
    </row>
    <row r="8" spans="1:293" ht="108" customHeight="1">
      <c r="A8" s="273">
        <v>1</v>
      </c>
      <c r="B8" s="482" t="s">
        <v>6739</v>
      </c>
      <c r="C8" s="482" t="s">
        <v>2104</v>
      </c>
      <c r="D8" s="482" t="s">
        <v>671</v>
      </c>
      <c r="E8" s="275" t="s">
        <v>2106</v>
      </c>
      <c r="F8" s="275" t="s">
        <v>300</v>
      </c>
      <c r="G8" s="275" t="s">
        <v>300</v>
      </c>
      <c r="H8" s="275" t="s">
        <v>2109</v>
      </c>
      <c r="I8" s="276" t="s">
        <v>6740</v>
      </c>
      <c r="J8" s="276" t="s">
        <v>6741</v>
      </c>
      <c r="K8" s="277" t="s">
        <v>2097</v>
      </c>
      <c r="L8" s="277" t="s">
        <v>2109</v>
      </c>
      <c r="M8" s="277" t="s">
        <v>2603</v>
      </c>
      <c r="N8" s="277" t="s">
        <v>6742</v>
      </c>
      <c r="O8" s="277" t="s">
        <v>2212</v>
      </c>
      <c r="P8" s="276"/>
      <c r="Q8" s="270">
        <f>IF(SUMPRODUCT(('ANALYSE - ERP =&gt; SOUS-SEGMENT'!$C$8:$C$154=$C8)*'ANALYSE - ERP =&gt; SOUS-SEGMENT'!$Q$8:$Q$154)&gt;0,1,0)</f>
        <v>1</v>
      </c>
      <c r="R8" s="278">
        <f>IFERROR(SUMPRODUCT(('ANALYSE - ERP =&gt; SOUS-SEGMENT'!$C$8:$C$154=$C8)*'ANALYSE - ERP =&gt; SOUS-SEGMENT'!$Q$8:$Q$154*'ANALYSE - ERP =&gt; SOUS-SEGMENT'!$AG$8:$AG$154*'ANALYSE - ERP =&gt; SOUS-SEGMENT'!$R$8:$R$154)/SUMPRODUCT(('ANALYSE - ERP =&gt; SOUS-SEGMENT'!$C$8:$C$154=$C8)*'ANALYSE - ERP =&gt; SOUS-SEGMENT'!$Q$8:$Q$154*'ANALYSE - ERP =&gt; SOUS-SEGMENT'!$AG$8:$AG$154),"")</f>
        <v>299.20190023752969</v>
      </c>
      <c r="S8" s="279">
        <f>SUMPRODUCT(('ANALYSE - ERP =&gt; SOUS-SEGMENT'!$C$8:$C$154=$C8)*'ANALYSE - ERP =&gt; SOUS-SEGMENT'!$Q$8:$Q$154*'ANALYSE - ERP =&gt; SOUS-SEGMENT'!$S$8:$S$154)</f>
        <v>13549</v>
      </c>
      <c r="T8" s="279">
        <f>SUMPRODUCT(('ANALYSE - ERP =&gt; SOUS-SEGMENT'!$C$8:$C$154=$C8)*'ANALYSE - ERP =&gt; SOUS-SEGMENT'!$Q$8:$Q$154*'ANALYSE - ERP =&gt; SOUS-SEGMENT'!$T$8:$T$154)</f>
        <v>14690</v>
      </c>
      <c r="U8" s="279">
        <f>SUMPRODUCT(('ANALYSE - ERP =&gt; SOUS-SEGMENT'!$C$8:$C$154=$C8)*'ANALYSE - ERP =&gt; SOUS-SEGMENT'!$Q$8:$Q$154*'ANALYSE - ERP =&gt; SOUS-SEGMENT'!$U$8:$U$154)</f>
        <v>16136</v>
      </c>
      <c r="V8" s="279">
        <f>SUMPRODUCT(('ANALYSE - ERP =&gt; SOUS-SEGMENT'!$C$8:$C$154=$C8)*'ANALYSE - ERP =&gt; SOUS-SEGMENT'!$Q$8:$Q$154*'ANALYSE - ERP =&gt; SOUS-SEGMENT'!$V$8:$V$154)</f>
        <v>17728</v>
      </c>
      <c r="W8" s="279">
        <f>SUMPRODUCT(('ANALYSE - ERP =&gt; SOUS-SEGMENT'!$C$8:$C$154=$C8)*'ANALYSE - ERP =&gt; SOUS-SEGMENT'!$Q$8:$Q$154*'ANALYSE - ERP =&gt; SOUS-SEGMENT'!$W$8:$W$154)</f>
        <v>18155</v>
      </c>
      <c r="X8" s="279">
        <f>SUMPRODUCT(('ANALYSE - ERP =&gt; SOUS-SEGMENT'!$C$8:$C$154=$C8)*'ANALYSE - ERP =&gt; SOUS-SEGMENT'!$Q$8:$Q$154*'ANALYSE - ERP =&gt; SOUS-SEGMENT'!$X$8:$X$154)</f>
        <v>18602</v>
      </c>
      <c r="Y8" s="279">
        <f>SUMPRODUCT(('ANALYSE - ERP =&gt; SOUS-SEGMENT'!$C$8:$C$154=$C8)*'ANALYSE - ERP =&gt; SOUS-SEGMENT'!$Q$8:$Q$154*'ANALYSE - ERP =&gt; SOUS-SEGMENT'!$Y$8:$Y$154)</f>
        <v>19044</v>
      </c>
      <c r="Z8" s="279">
        <f>SUMPRODUCT(('ANALYSE - ERP =&gt; SOUS-SEGMENT'!$C$8:$C$154=$C8)*'ANALYSE - ERP =&gt; SOUS-SEGMENT'!$Q$8:$Q$154*'ANALYSE - ERP =&gt; SOUS-SEGMENT'!$Z$8:$Z$154)</f>
        <v>19502</v>
      </c>
      <c r="AA8" s="279">
        <f>SUMPRODUCT(('ANALYSE - ERP =&gt; SOUS-SEGMENT'!$C$8:$C$154=$C8)*'ANALYSE - ERP =&gt; SOUS-SEGMENT'!$Q$8:$Q$154*'ANALYSE - ERP =&gt; SOUS-SEGMENT'!$AA$8:$AA$154)</f>
        <v>19711</v>
      </c>
      <c r="AB8" s="279">
        <f>SUMPRODUCT(('ANALYSE - ERP =&gt; SOUS-SEGMENT'!$C$8:$C$154=$C8)*'ANALYSE - ERP =&gt; SOUS-SEGMENT'!$Q$8:$Q$154*'ANALYSE - ERP =&gt; SOUS-SEGMENT'!$AB$8:$AB$154)</f>
        <v>19931</v>
      </c>
      <c r="AC8" s="279">
        <f>SUMPRODUCT(('ANALYSE - ERP =&gt; SOUS-SEGMENT'!$C$8:$C$154=$C8)*'ANALYSE - ERP =&gt; SOUS-SEGMENT'!$Q$8:$Q$154*'ANALYSE - ERP =&gt; SOUS-SEGMENT'!$AC$8:$AC$154)</f>
        <v>20184</v>
      </c>
      <c r="AD8" s="279">
        <f>SUMPRODUCT(('ANALYSE - ERP =&gt; SOUS-SEGMENT'!$C$8:$C$154=$C8)*'ANALYSE - ERP =&gt; SOUS-SEGMENT'!$Q$8:$Q$154*'ANALYSE - ERP =&gt; SOUS-SEGMENT'!$AD$8:$AD$154)</f>
        <v>20453</v>
      </c>
      <c r="AE8" s="279">
        <f>SUMPRODUCT(('ANALYSE - ERP =&gt; SOUS-SEGMENT'!$C$8:$C$154=$C8)*'ANALYSE - ERP =&gt; SOUS-SEGMENT'!$Q$8:$Q$154*'ANALYSE - ERP =&gt; SOUS-SEGMENT'!$AE$8:$AE$154)</f>
        <v>20715</v>
      </c>
      <c r="AF8" s="279">
        <f>SUMPRODUCT(('ANALYSE - ERP =&gt; SOUS-SEGMENT'!$C$8:$C$154=$C8)*'ANALYSE - ERP =&gt; SOUS-SEGMENT'!$Q$8:$Q$154*'ANALYSE - ERP =&gt; SOUS-SEGMENT'!$AF$8:$AF$154)</f>
        <v>20979</v>
      </c>
      <c r="AG8" s="279">
        <f>SUMPRODUCT(('ANALYSE - ERP =&gt; SOUS-SEGMENT'!$C$8:$C$154=$C8)*'ANALYSE - ERP =&gt; SOUS-SEGMENT'!$Q$8:$Q$154*'ANALYSE - ERP =&gt; SOUS-SEGMENT'!$AG$8:$AG$154)</f>
        <v>21050</v>
      </c>
      <c r="AH8" s="279">
        <f>SUMPRODUCT(('ANALYSE - ERP =&gt; SOUS-SEGMENT'!$C$8:$C$154=$C8)*'ANALYSE - ERP =&gt; SOUS-SEGMENT'!$Q$8:$Q$154*'ANALYSE - ERP =&gt; SOUS-SEGMENT'!$AH$8:$AH$154)</f>
        <v>21096</v>
      </c>
      <c r="AI8" s="279">
        <f>SUMPRODUCT(('ANALYSE - ERP =&gt; SOUS-SEGMENT'!$C$8:$C$154=$C8)*'ANALYSE - ERP =&gt; SOUS-SEGMENT'!$Q$8:$Q$154*'ANALYSE - ERP =&gt; SOUS-SEGMENT'!$AI$8:$AI$154)</f>
        <v>21102</v>
      </c>
      <c r="AJ8" s="279">
        <f>SUMPRODUCT(('ANALYSE - ERP =&gt; SOUS-SEGMENT'!$C$8:$C$154=$C8)*'ANALYSE - ERP =&gt; SOUS-SEGMENT'!$Q$8:$Q$154*'ANALYSE - ERP =&gt; SOUS-SEGMENT'!$AJ$8:$AJ$154)</f>
        <v>21068</v>
      </c>
      <c r="AK8" s="279">
        <f>SUMPRODUCT(('ANALYSE - ERP =&gt; SOUS-SEGMENT'!$C$8:$C$154=$C8)*'ANALYSE - ERP =&gt; SOUS-SEGMENT'!$Q$8:$Q$154*'ANALYSE - ERP =&gt; SOUS-SEGMENT'!$AK$8:$AK$154)</f>
        <v>20995</v>
      </c>
      <c r="AL8" s="276" t="s">
        <v>6743</v>
      </c>
      <c r="AM8" s="276" t="s">
        <v>6744</v>
      </c>
      <c r="AN8" s="276" t="s">
        <v>2111</v>
      </c>
      <c r="AO8" s="657"/>
      <c r="AP8" s="278">
        <f>IFERROR(SUMPRODUCT(('ANALYSE - ERP =&gt; SOUS-SEGMENT'!$C$8:$C$154=$C8)*'ANALYSE - ERP =&gt; SOUS-SEGMENT'!$Q$8:$Q$154*'ANALYSE - ERP =&gt; SOUS-SEGMENT'!$AG$8:$AG$154*'ANALYSE - ERP =&gt; SOUS-SEGMENT'!$AP$8:$AP$154)/SUMPRODUCT(('ANALYSE - ERP =&gt; SOUS-SEGMENT'!$C$8:$C$154=$C8)*'ANALYSE - ERP =&gt; SOUS-SEGMENT'!$Q$8:$Q$154*'ANALYSE - ERP =&gt; SOUS-SEGMENT'!$AG$8:$AG$154),"")</f>
        <v>39.451306413301666</v>
      </c>
      <c r="AQ8" s="278">
        <f>IFERROR(SUMPRODUCT(('ANALYSE - ERP =&gt; SOUS-SEGMENT'!$C$8:$C$154=$C8)*'ANALYSE - ERP =&gt; SOUS-SEGMENT'!$Q$8:$Q$154*'ANALYSE - ERP =&gt; SOUS-SEGMENT'!$AF$8:$AF$154*'ANALYSE - ERP =&gt; SOUS-SEGMENT'!$AQ$8:$AQ$154)/SUMPRODUCT(('ANALYSE - ERP =&gt; SOUS-SEGMENT'!$C$8:$C$154=$C8)*'ANALYSE - ERP =&gt; SOUS-SEGMENT'!$Q$8:$Q$154*'ANALYSE - ERP =&gt; SOUS-SEGMENT'!$AF$8:$AF$154),"")</f>
        <v>30.553267553267553</v>
      </c>
      <c r="AR8" s="973">
        <f>IFERROR(SUMPRODUCT(('ANALYSE - ERP =&gt; SOUS-SEGMENT'!$C$8:$C$154=$C8)*'ANALYSE - ERP =&gt; SOUS-SEGMENT'!$Q$8:$Q$154*'ANALYSE - ERP =&gt; SOUS-SEGMENT'!$AF$8:$AF$154*'ANALYSE - ERP =&gt; SOUS-SEGMENT'!$AR$8:$AR$154)/SUMPRODUCT(('ANALYSE - ERP =&gt; SOUS-SEGMENT'!$C$8:$C$154=$C8)*'ANALYSE - ERP =&gt; SOUS-SEGMENT'!$Q$8:$Q$154*'ANALYSE - ERP =&gt; SOUS-SEGMENT'!$AF$8:$AF$154),"")</f>
        <v>7.8592878592878597</v>
      </c>
      <c r="AS8" s="973">
        <f>IFERROR(SUMPRODUCT(('ANALYSE - ERP =&gt; SOUS-SEGMENT'!$C$8:$C$154=$C8)*'ANALYSE - ERP =&gt; SOUS-SEGMENT'!$Q$8:$Q$154*'ANALYSE - ERP =&gt; SOUS-SEGMENT'!$AF$8:$AF$154*'ANALYSE - ERP =&gt; SOUS-SEGMENT'!$AS$8:$AS$154)/SUMPRODUCT(('ANALYSE - ERP =&gt; SOUS-SEGMENT'!$C$8:$C$154=$C8)*'ANALYSE - ERP =&gt; SOUS-SEGMENT'!$Q$8:$Q$154*'ANALYSE - ERP =&gt; SOUS-SEGMENT'!$AF$8:$AF$154),"")</f>
        <v>1.0197340197340197</v>
      </c>
      <c r="AT8" s="657" t="s">
        <v>6745</v>
      </c>
      <c r="AU8" s="276" t="s">
        <v>6746</v>
      </c>
      <c r="AV8" s="296" t="s">
        <v>2609</v>
      </c>
      <c r="AW8" s="276"/>
      <c r="AX8" s="657"/>
      <c r="AY8" s="282">
        <f>IFERROR(SUMPRODUCT(('ANALYSE - ERP =&gt; SOUS-SEGMENT'!$C$8:$C$154=$C8)*'ANALYSE - ERP =&gt; SOUS-SEGMENT'!$Q$8:$Q$154*'ANALYSE - ERP =&gt; SOUS-SEGMENT'!$AF$8:$AF$154*'ANALYSE - ERP =&gt; SOUS-SEGMENT'!$AZ$8:$AZ$154)/SUMPRODUCT(('ANALYSE - ERP =&gt; SOUS-SEGMENT'!$C$8:$C$154=$C8)*'ANALYSE - ERP =&gt; SOUS-SEGMENT'!$Q$8:$Q$154*'ANALYSE - ERP =&gt; SOUS-SEGMENT'!$AF$8:$AF$154),"")</f>
        <v>5.8864578864578867</v>
      </c>
      <c r="AZ8" s="947">
        <f>IFERROR(SUMPRODUCT(('ANALYSE - ERP =&gt; SOUS-SEGMENT'!$C$8:$C$154=$C8)*'ANALYSE - ERP =&gt; SOUS-SEGMENT'!$Q$8:$Q$154*'ANALYSE - ERP =&gt; SOUS-SEGMENT'!$AF$8:$AF$154*'ANALYSE - ERP =&gt; SOUS-SEGMENT'!$BA$8:$BA$154)/SUMPRODUCT(('ANALYSE - ERP =&gt; SOUS-SEGMENT'!$C$8:$C$154=$C8)*'ANALYSE - ERP =&gt; SOUS-SEGMENT'!$Q$8:$Q$154*'ANALYSE - ERP =&gt; SOUS-SEGMENT'!$AF$8:$AF$154),"")</f>
        <v>0.24153081653081651</v>
      </c>
      <c r="BA8" s="282">
        <f>IFERROR(SUMPRODUCT(('ANALYSE - ERP =&gt; SOUS-SEGMENT'!$C$8:$C$154=$C8)*'ANALYSE - ERP =&gt; SOUS-SEGMENT'!$Q$8:$Q$154*'ANALYSE - ERP =&gt; SOUS-SEGMENT'!$AF$8:$AF$154*'ANALYSE - ERP =&gt; SOUS-SEGMENT'!$BB$8:$BB$154)/SUMPRODUCT(('ANALYSE - ERP =&gt; SOUS-SEGMENT'!$C$8:$C$154=$C8)*'ANALYSE - ERP =&gt; SOUS-SEGMENT'!$Q$8:$Q$154*'ANALYSE - ERP =&gt; SOUS-SEGMENT'!$AF$8:$AF$154),"")</f>
        <v>0</v>
      </c>
      <c r="BB8" s="282">
        <f>IFERROR(SUMPRODUCT(('ANALYSE - ERP =&gt; SOUS-SEGMENT'!$C$8:$C$154=$C8)*'ANALYSE - ERP =&gt; SOUS-SEGMENT'!$Q$8:$Q$154*'ANALYSE - ERP =&gt; SOUS-SEGMENT'!$AF$8:$AF$154*'ANALYSE - ERP =&gt; SOUS-SEGMENT'!$BC$8:$BC$154)/SUMPRODUCT(('ANALYSE - ERP =&gt; SOUS-SEGMENT'!$C$8:$C$154=$C8)*'ANALYSE - ERP =&gt; SOUS-SEGMENT'!$Q$8:$Q$154*'ANALYSE - ERP =&gt; SOUS-SEGMENT'!$AF$8:$AF$154),"")</f>
        <v>5.8864578864578867</v>
      </c>
      <c r="BC8" s="283">
        <f>SUMPRODUCT(('ANALYSE - ERP =&gt; SOUS-SEGMENT'!$C$8:$C$154=$C8)*'ANALYSE - ERP =&gt; SOUS-SEGMENT'!$Q$8:$Q$154*'ANALYSE - ERP =&gt; SOUS-SEGMENT'!$BE$8:$BE$154)</f>
        <v>123492</v>
      </c>
      <c r="BD8" s="283">
        <f>SUMPRODUCT(('ANALYSE - ERP =&gt; SOUS-SEGMENT'!$C$8:$C$154=$C8)*'ANALYSE - ERP =&gt; SOUS-SEGMENT'!$Q$8:$Q$154*'ANALYSE - ERP =&gt; SOUS-SEGMENT'!$BF$8:$BF$154)</f>
        <v>5067.0749999999998</v>
      </c>
      <c r="BE8" s="283">
        <f>SUMPRODUCT(('ANALYSE - ERP =&gt; SOUS-SEGMENT'!$C$8:$C$154=$C8)*'ANALYSE - ERP =&gt; SOUS-SEGMENT'!$Q$8:$Q$154*'ANALYSE - ERP =&gt; SOUS-SEGMENT'!$BG$8:$BG$154)</f>
        <v>0</v>
      </c>
      <c r="BF8" s="283">
        <f>SUMPRODUCT(('ANALYSE - ERP =&gt; SOUS-SEGMENT'!$C$8:$C$154=$C8)*'ANALYSE - ERP =&gt; SOUS-SEGMENT'!$Q$8:$Q$154*'ANALYSE - ERP =&gt; SOUS-SEGMENT'!$BH$8:$BH$154)</f>
        <v>123492</v>
      </c>
      <c r="BG8" s="283">
        <f>SUMPRODUCT(('ANALYSE - ERP =&gt; SOUS-SEGMENT'!$C$8:$C$154=$C8)*'ANALYSE - ERP =&gt; SOUS-SEGMENT'!$Q$8:$Q$154*'ANALYSE - ERP =&gt; SOUS-SEGMENT'!$BJ$8:$BJ$154)</f>
        <v>123945</v>
      </c>
      <c r="BH8" s="283">
        <f>SUMPRODUCT(('ANALYSE - ERP =&gt; SOUS-SEGMENT'!$C$8:$C$154=$C8)*'ANALYSE - ERP =&gt; SOUS-SEGMENT'!$Q$8:$Q$154*'ANALYSE - ERP =&gt; SOUS-SEGMENT'!$BK$8:$BK$154)</f>
        <v>5086.1000000000004</v>
      </c>
      <c r="BI8" s="283">
        <f>SUMPRODUCT(('ANALYSE - ERP =&gt; SOUS-SEGMENT'!$C$8:$C$154=$C8)*'ANALYSE - ERP =&gt; SOUS-SEGMENT'!$Q$8:$Q$154*'ANALYSE - ERP =&gt; SOUS-SEGMENT'!$BL$8:$BL$154)</f>
        <v>0</v>
      </c>
      <c r="BJ8" s="283">
        <f>SUMPRODUCT(('ANALYSE - ERP =&gt; SOUS-SEGMENT'!$C$8:$C$154=$C8)*'ANALYSE - ERP =&gt; SOUS-SEGMENT'!$Q$8:$Q$154*'ANALYSE - ERP =&gt; SOUS-SEGMENT'!$BM$8:$BM$154)</f>
        <v>123945</v>
      </c>
      <c r="BK8" s="657"/>
      <c r="BL8" s="577">
        <f>IFERROR(SUMPRODUCT(('ANALYSE - ERP =&gt; SOUS-SEGMENT'!$C$8:$C$154=$C8)*'ANALYSE - ERP =&gt; SOUS-SEGMENT'!$Q$8:$Q$154*'ANALYSE - ERP =&gt; SOUS-SEGMENT'!$BE$8:$BE$154*'ANALYSE - ERP =&gt; SOUS-SEGMENT'!$BO$8:$BO$154)/SUMPRODUCT(('ANALYSE - ERP =&gt; SOUS-SEGMENT'!$C$8:$C$154=$C8)*'ANALYSE - ERP =&gt; SOUS-SEGMENT'!$Q$8:$Q$154*'ANALYSE - ERP =&gt; SOUS-SEGMENT'!$BE$8:$BE$154),"")</f>
        <v>0.5</v>
      </c>
      <c r="BM8" s="578">
        <f>IFERROR(SUMPRODUCT(('ANALYSE - ERP =&gt; SOUS-SEGMENT'!$C$8:$C$154=$C8)*'ANALYSE - ERP =&gt; SOUS-SEGMENT'!$Q$8:$Q$154*'ANALYSE - ERP =&gt; SOUS-SEGMENT'!$BE$8:$BE$154*'ANALYSE - ERP =&gt; SOUS-SEGMENT'!$BP$8:$BP$154)/SUMPRODUCT(('ANALYSE - ERP =&gt; SOUS-SEGMENT'!$C$8:$C$154=$C8)*'ANALYSE - ERP =&gt; SOUS-SEGMENT'!$Q$8:$Q$154*'ANALYSE - ERP =&gt; SOUS-SEGMENT'!$BE$8:$BE$154),"")</f>
        <v>0.42</v>
      </c>
      <c r="BN8" s="578">
        <f>IFERROR(SUMPRODUCT(('ANALYSE - ERP =&gt; SOUS-SEGMENT'!$C$8:$C$154=$C8)*'ANALYSE - ERP =&gt; SOUS-SEGMENT'!$Q$8:$Q$154*'ANALYSE - ERP =&gt; SOUS-SEGMENT'!$BE$8:$BE$154*'ANALYSE - ERP =&gt; SOUS-SEGMENT'!$BQ$8:$BQ$154)/SUMPRODUCT(('ANALYSE - ERP =&gt; SOUS-SEGMENT'!$C$8:$C$154=$C8)*'ANALYSE - ERP =&gt; SOUS-SEGMENT'!$Q$8:$Q$154*'ANALYSE - ERP =&gt; SOUS-SEGMENT'!$BE$8:$BE$154),"")</f>
        <v>0.04</v>
      </c>
      <c r="BO8" s="579">
        <f>IFERROR(SUMPRODUCT(('ANALYSE - ERP =&gt; SOUS-SEGMENT'!$C$8:$C$154=$C8)*'ANALYSE - ERP =&gt; SOUS-SEGMENT'!$Q$8:$Q$154*'ANALYSE - ERP =&gt; SOUS-SEGMENT'!$BE$8:$BE$154*'ANALYSE - ERP =&gt; SOUS-SEGMENT'!$BR$8:$BR$154)/SUMPRODUCT(('ANALYSE - ERP =&gt; SOUS-SEGMENT'!$C$8:$C$154=$C8)*'ANALYSE - ERP =&gt; SOUS-SEGMENT'!$Q$8:$Q$154*'ANALYSE - ERP =&gt; SOUS-SEGMENT'!$BE$8:$BE$154),"")</f>
        <v>0.04</v>
      </c>
      <c r="BP8" s="577">
        <f>IFERROR(SUMPRODUCT(('ANALYSE - ERP =&gt; SOUS-SEGMENT'!$C$8:$C$154=$C8)*'ANALYSE - ERP =&gt; SOUS-SEGMENT'!$Q$8:$Q$154*'ANALYSE - ERP =&gt; SOUS-SEGMENT'!$BJ$8:$BJ$154*'ANALYSE - ERP =&gt; SOUS-SEGMENT'!$BS$8:$BS$154)/SUMPRODUCT(('ANALYSE - ERP =&gt; SOUS-SEGMENT'!$C$8:$C$154=$C8)*'ANALYSE - ERP =&gt; SOUS-SEGMENT'!$Q$8:$Q$154*'ANALYSE - ERP =&gt; SOUS-SEGMENT'!$BJ$8:$BJ$154),"")</f>
        <v>0.48000000000000004</v>
      </c>
      <c r="BQ8" s="578">
        <f>IFERROR(SUMPRODUCT(('ANALYSE - ERP =&gt; SOUS-SEGMENT'!$C$8:$C$154=$C8)*'ANALYSE - ERP =&gt; SOUS-SEGMENT'!$Q$8:$Q$154*'ANALYSE - ERP =&gt; SOUS-SEGMENT'!$BJ$8:$BJ$154*'ANALYSE - ERP =&gt; SOUS-SEGMENT'!$BT$8:$BT$154)/SUMPRODUCT(('ANALYSE - ERP =&gt; SOUS-SEGMENT'!$C$8:$C$154=$C8)*'ANALYSE - ERP =&gt; SOUS-SEGMENT'!$Q$8:$Q$154*'ANALYSE - ERP =&gt; SOUS-SEGMENT'!$BJ$8:$BJ$154),"")</f>
        <v>0.41999999999999993</v>
      </c>
      <c r="BR8" s="578">
        <f>IFERROR(SUMPRODUCT(('ANALYSE - ERP =&gt; SOUS-SEGMENT'!$C$8:$C$154=$C8)*'ANALYSE - ERP =&gt; SOUS-SEGMENT'!$Q$8:$Q$154*'ANALYSE - ERP =&gt; SOUS-SEGMENT'!$BJ$8:$BJ$154*'ANALYSE - ERP =&gt; SOUS-SEGMENT'!$BU$8:$BU$154)/SUMPRODUCT(('ANALYSE - ERP =&gt; SOUS-SEGMENT'!$C$8:$C$154=$C8)*'ANALYSE - ERP =&gt; SOUS-SEGMENT'!$Q$8:$Q$154*'ANALYSE - ERP =&gt; SOUS-SEGMENT'!$BJ$8:$BJ$154),"")</f>
        <v>6.0000000000000005E-2</v>
      </c>
      <c r="BS8" s="579">
        <f>IFERROR(SUMPRODUCT(('ANALYSE - ERP =&gt; SOUS-SEGMENT'!$C$8:$C$154=$C8)*'ANALYSE - ERP =&gt; SOUS-SEGMENT'!$Q$8:$Q$154*'ANALYSE - ERP =&gt; SOUS-SEGMENT'!$BJ$8:$BJ$154*'ANALYSE - ERP =&gt; SOUS-SEGMENT'!$BV$8:$BV$154)/SUMPRODUCT(('ANALYSE - ERP =&gt; SOUS-SEGMENT'!$C$8:$C$154=$C8)*'ANALYSE - ERP =&gt; SOUS-SEGMENT'!$Q$8:$Q$154*'ANALYSE - ERP =&gt; SOUS-SEGMENT'!$BJ$8:$BJ$154),"")</f>
        <v>3.9999999999999994E-2</v>
      </c>
      <c r="BT8" s="586">
        <f>IFERROR(SUMPRODUCT(('ANALYSE - ERP =&gt; SOUS-SEGMENT'!$C$8:$C$154=$C8)*'ANALYSE - ERP =&gt; SOUS-SEGMENT'!$Q$8:$Q$154*'ANALYSE - ERP =&gt; SOUS-SEGMENT'!$BF$8:$BF$154*'ANALYSE - ERP =&gt; SOUS-SEGMENT'!$BW$8:$BW$154)/SUMPRODUCT(('ANALYSE - ERP =&gt; SOUS-SEGMENT'!$C$8:$C$154=$C8)*'ANALYSE - ERP =&gt; SOUS-SEGMENT'!$Q$8:$Q$154*'ANALYSE - ERP =&gt; SOUS-SEGMENT'!$BF$8:$BF$154),"")</f>
        <v>0.90000000000000013</v>
      </c>
      <c r="BU8" s="587">
        <f>IFERROR(SUMPRODUCT(('ANALYSE - ERP =&gt; SOUS-SEGMENT'!$C$8:$C$154=$C8)*'ANALYSE - ERP =&gt; SOUS-SEGMENT'!$Q$8:$Q$154*'ANALYSE - ERP =&gt; SOUS-SEGMENT'!$BF$8:$BF$154*'ANALYSE - ERP =&gt; SOUS-SEGMENT'!$BX$8:$BX$154)/SUMPRODUCT(('ANALYSE - ERP =&gt; SOUS-SEGMENT'!$C$8:$C$154=$C8)*'ANALYSE - ERP =&gt; SOUS-SEGMENT'!$Q$8:$Q$154*'ANALYSE - ERP =&gt; SOUS-SEGMENT'!$BF$8:$BF$154),"")</f>
        <v>0.08</v>
      </c>
      <c r="BV8" s="588">
        <f>IFERROR(SUMPRODUCT(('ANALYSE - ERP =&gt; SOUS-SEGMENT'!$C$8:$C$154=$C8)*'ANALYSE - ERP =&gt; SOUS-SEGMENT'!$Q$8:$Q$154*'ANALYSE - ERP =&gt; SOUS-SEGMENT'!$BF$8:$BF$154*'ANALYSE - ERP =&gt; SOUS-SEGMENT'!$BY$8:$BY$154)/SUMPRODUCT(('ANALYSE - ERP =&gt; SOUS-SEGMENT'!$C$8:$C$154=$C8)*'ANALYSE - ERP =&gt; SOUS-SEGMENT'!$Q$8:$Q$154*'ANALYSE - ERP =&gt; SOUS-SEGMENT'!$BF$8:$BF$154),"")</f>
        <v>0.02</v>
      </c>
      <c r="BW8" s="586">
        <f>IFERROR(SUMPRODUCT(('ANALYSE - ERP =&gt; SOUS-SEGMENT'!$C$8:$C$154=$C8)*'ANALYSE - ERP =&gt; SOUS-SEGMENT'!$Q$8:$Q$154*'ANALYSE - ERP =&gt; SOUS-SEGMENT'!$BK$8:$BK$154*'ANALYSE - ERP =&gt; SOUS-SEGMENT'!$BZ$8:$BZ$154)/SUMPRODUCT(('ANALYSE - ERP =&gt; SOUS-SEGMENT'!$C$8:$C$154=$C8)*'ANALYSE - ERP =&gt; SOUS-SEGMENT'!$Q$8:$Q$154*'ANALYSE - ERP =&gt; SOUS-SEGMENT'!$BK$8:$BK$154),"")</f>
        <v>0.87999999999999989</v>
      </c>
      <c r="BX8" s="587">
        <f>IFERROR(SUMPRODUCT(('ANALYSE - ERP =&gt; SOUS-SEGMENT'!$C$8:$C$154=$C8)*'ANALYSE - ERP =&gt; SOUS-SEGMENT'!$Q$8:$Q$154*'ANALYSE - ERP =&gt; SOUS-SEGMENT'!$BK$8:$BK$154*'ANALYSE - ERP =&gt; SOUS-SEGMENT'!$CA$8:$CA$154)/SUMPRODUCT(('ANALYSE - ERP =&gt; SOUS-SEGMENT'!$C$8:$C$154=$C8)*'ANALYSE - ERP =&gt; SOUS-SEGMENT'!$Q$8:$Q$154*'ANALYSE - ERP =&gt; SOUS-SEGMENT'!$BK$8:$BK$154),"")</f>
        <v>0.09</v>
      </c>
      <c r="BY8" s="588">
        <f>IFERROR(SUMPRODUCT(('ANALYSE - ERP =&gt; SOUS-SEGMENT'!$C$8:$C$154=$C8)*'ANALYSE - ERP =&gt; SOUS-SEGMENT'!$Q$8:$Q$154*'ANALYSE - ERP =&gt; SOUS-SEGMENT'!$BK$8:$BK$154*'ANALYSE - ERP =&gt; SOUS-SEGMENT'!$CB$8:$CB$154)/SUMPRODUCT(('ANALYSE - ERP =&gt; SOUS-SEGMENT'!$C$8:$C$154=$C8)*'ANALYSE - ERP =&gt; SOUS-SEGMENT'!$Q$8:$Q$154*'ANALYSE - ERP =&gt; SOUS-SEGMENT'!$BK$8:$BK$154),"")</f>
        <v>0.03</v>
      </c>
      <c r="BZ8" s="577" t="str">
        <f>IFERROR(SUMPRODUCT(('ANALYSE - ERP =&gt; SOUS-SEGMENT'!$C$8:$C$154=$C8)*'ANALYSE - ERP =&gt; SOUS-SEGMENT'!$Q$8:$Q$154*'ANALYSE - ERP =&gt; SOUS-SEGMENT'!$BG$8:$BG$154*'ANALYSE - ERP =&gt; SOUS-SEGMENT'!$CC$8:$CC$154)/SUMPRODUCT(('ANALYSE - ERP =&gt; SOUS-SEGMENT'!$C$8:$C$154=$C8)*'ANALYSE - ERP =&gt; SOUS-SEGMENT'!$Q$8:$Q$154*'ANALYSE - ERP =&gt; SOUS-SEGMENT'!$BG$8:$BG$154),"")</f>
        <v/>
      </c>
      <c r="CA8" s="578" t="str">
        <f>IFERROR(SUMPRODUCT(('ANALYSE - ERP =&gt; SOUS-SEGMENT'!$C$8:$C$154=$C8)*'ANALYSE - ERP =&gt; SOUS-SEGMENT'!$Q$8:$Q$154*'ANALYSE - ERP =&gt; SOUS-SEGMENT'!$BG$8:$BG$154*'ANALYSE - ERP =&gt; SOUS-SEGMENT'!$CD$8:$CD$154)/SUMPRODUCT(('ANALYSE - ERP =&gt; SOUS-SEGMENT'!$C$8:$C$154=$C8)*'ANALYSE - ERP =&gt; SOUS-SEGMENT'!$Q$8:$Q$154*'ANALYSE - ERP =&gt; SOUS-SEGMENT'!$BG$8:$BG$154),"")</f>
        <v/>
      </c>
      <c r="CB8" s="578" t="str">
        <f>IFERROR(SUMPRODUCT(('ANALYSE - ERP =&gt; SOUS-SEGMENT'!$C$8:$C$154=$C8)*'ANALYSE - ERP =&gt; SOUS-SEGMENT'!$Q$8:$Q$154*'ANALYSE - ERP =&gt; SOUS-SEGMENT'!$BG$8:$BG$154*'ANALYSE - ERP =&gt; SOUS-SEGMENT'!$CE$8:$CE$154)/SUMPRODUCT(('ANALYSE - ERP =&gt; SOUS-SEGMENT'!$C$8:$C$154=$C8)*'ANALYSE - ERP =&gt; SOUS-SEGMENT'!$Q$8:$Q$154*'ANALYSE - ERP =&gt; SOUS-SEGMENT'!$BG$8:$BG$154),"")</f>
        <v/>
      </c>
      <c r="CC8" s="579" t="str">
        <f>IFERROR(SUMPRODUCT(('ANALYSE - ERP =&gt; SOUS-SEGMENT'!$C$8:$C$154=$C8)*'ANALYSE - ERP =&gt; SOUS-SEGMENT'!$Q$8:$Q$154*'ANALYSE - ERP =&gt; SOUS-SEGMENT'!$BG$8:$BG$154*'ANALYSE - ERP =&gt; SOUS-SEGMENT'!$CF$8:$CF$154)/SUMPRODUCT(('ANALYSE - ERP =&gt; SOUS-SEGMENT'!$C$8:$C$154=$C8)*'ANALYSE - ERP =&gt; SOUS-SEGMENT'!$Q$8:$Q$154*'ANALYSE - ERP =&gt; SOUS-SEGMENT'!$BG$8:$BG$154),"")</f>
        <v/>
      </c>
      <c r="CD8" s="577" t="str">
        <f>IFERROR(SUMPRODUCT(('ANALYSE - ERP =&gt; SOUS-SEGMENT'!$C$8:$C$154=$C8)*'ANALYSE - ERP =&gt; SOUS-SEGMENT'!$Q$8:$Q$154*'ANALYSE - ERP =&gt; SOUS-SEGMENT'!$BL$8:$BL$154*'ANALYSE - ERP =&gt; SOUS-SEGMENT'!$CG$8:$CG$154)/SUMPRODUCT(('ANALYSE - ERP =&gt; SOUS-SEGMENT'!$C$8:$C$154=$C8)*'ANALYSE - ERP =&gt; SOUS-SEGMENT'!$Q$8:$Q$154*'ANALYSE - ERP =&gt; SOUS-SEGMENT'!$BL$8:$BL$154),"")</f>
        <v/>
      </c>
      <c r="CE8" s="578" t="str">
        <f>IFERROR(SUMPRODUCT(('ANALYSE - ERP =&gt; SOUS-SEGMENT'!$C$8:$C$154=$C8)*'ANALYSE - ERP =&gt; SOUS-SEGMENT'!$Q$8:$Q$154*'ANALYSE - ERP =&gt; SOUS-SEGMENT'!$BL$8:$BL$154*'ANALYSE - ERP =&gt; SOUS-SEGMENT'!$CH$8:$CH$154)/SUMPRODUCT(('ANALYSE - ERP =&gt; SOUS-SEGMENT'!$C$8:$C$154=$C8)*'ANALYSE - ERP =&gt; SOUS-SEGMENT'!$Q$8:$Q$154*'ANALYSE - ERP =&gt; SOUS-SEGMENT'!$BL$8:$BL$154),"")</f>
        <v/>
      </c>
      <c r="CF8" s="578" t="str">
        <f>IFERROR(SUMPRODUCT(('ANALYSE - ERP =&gt; SOUS-SEGMENT'!$C$8:$C$154=$C8)*'ANALYSE - ERP =&gt; SOUS-SEGMENT'!$Q$8:$Q$154*'ANALYSE - ERP =&gt; SOUS-SEGMENT'!$BL$8:$BL$154*'ANALYSE - ERP =&gt; SOUS-SEGMENT'!$CI$8:$CI$154)/SUMPRODUCT(('ANALYSE - ERP =&gt; SOUS-SEGMENT'!$C$8:$C$154=$C8)*'ANALYSE - ERP =&gt; SOUS-SEGMENT'!$Q$8:$Q$154*'ANALYSE - ERP =&gt; SOUS-SEGMENT'!$BL$8:$BL$154),"")</f>
        <v/>
      </c>
      <c r="CG8" s="579" t="str">
        <f>IFERROR(SUMPRODUCT(('ANALYSE - ERP =&gt; SOUS-SEGMENT'!$C$8:$C$154=$C8)*'ANALYSE - ERP =&gt; SOUS-SEGMENT'!$Q$8:$Q$154*'ANALYSE - ERP =&gt; SOUS-SEGMENT'!$BL$8:$BL$154*'ANALYSE - ERP =&gt; SOUS-SEGMENT'!$CJ$8:$CJ$154)/SUMPRODUCT(('ANALYSE - ERP =&gt; SOUS-SEGMENT'!$C$8:$C$154=$C8)*'ANALYSE - ERP =&gt; SOUS-SEGMENT'!$Q$8:$Q$154*'ANALYSE - ERP =&gt; SOUS-SEGMENT'!$BL$8:$BL$154),"")</f>
        <v/>
      </c>
      <c r="CH8" s="586">
        <f>IFERROR(SUMPRODUCT(('ANALYSE - ERP =&gt; SOUS-SEGMENT'!$C$8:$C$154=$C8)*'ANALYSE - ERP =&gt; SOUS-SEGMENT'!$Q$8:$Q$154*'ANALYSE - ERP =&gt; SOUS-SEGMENT'!$BH$8:$BH$154*'ANALYSE - ERP =&gt; SOUS-SEGMENT'!$CK$8:$CK$154)/SUMPRODUCT(('ANALYSE - ERP =&gt; SOUS-SEGMENT'!$C$8:$C$154=$C8)*'ANALYSE - ERP =&gt; SOUS-SEGMENT'!$Q$8:$Q$154*'ANALYSE - ERP =&gt; SOUS-SEGMENT'!$BH$8:$BH$154),"")</f>
        <v>0.85</v>
      </c>
      <c r="CI8" s="587">
        <f>IFERROR(SUMPRODUCT(('ANALYSE - ERP =&gt; SOUS-SEGMENT'!$C$8:$C$154=$C8)*'ANALYSE - ERP =&gt; SOUS-SEGMENT'!$Q$8:$Q$154*'ANALYSE - ERP =&gt; SOUS-SEGMENT'!$BH$8:$BH$154*'ANALYSE - ERP =&gt; SOUS-SEGMENT'!$CL$8:$CL$154)/SUMPRODUCT(('ANALYSE - ERP =&gt; SOUS-SEGMENT'!$C$8:$C$154=$C8)*'ANALYSE - ERP =&gt; SOUS-SEGMENT'!$Q$8:$Q$154*'ANALYSE - ERP =&gt; SOUS-SEGMENT'!$BH$8:$BH$154),"")</f>
        <v>0.15</v>
      </c>
      <c r="CJ8" s="588">
        <f>IFERROR(SUMPRODUCT(('ANALYSE - ERP =&gt; SOUS-SEGMENT'!$C$8:$C$154=$C8)*'ANALYSE - ERP =&gt; SOUS-SEGMENT'!$Q$8:$Q$154*'ANALYSE - ERP =&gt; SOUS-SEGMENT'!$BH$8:$BH$154*'ANALYSE - ERP =&gt; SOUS-SEGMENT'!$CM$8:$CM$154)/SUMPRODUCT(('ANALYSE - ERP =&gt; SOUS-SEGMENT'!$C$8:$C$154=$C8)*'ANALYSE - ERP =&gt; SOUS-SEGMENT'!$Q$8:$Q$154*'ANALYSE - ERP =&gt; SOUS-SEGMENT'!$BH$8:$BH$154),"")</f>
        <v>0</v>
      </c>
      <c r="CK8" s="586">
        <f>IFERROR(SUMPRODUCT(('ANALYSE - ERP =&gt; SOUS-SEGMENT'!$C$8:$C$154=$C8)*'ANALYSE - ERP =&gt; SOUS-SEGMENT'!$Q$8:$Q$154*'ANALYSE - ERP =&gt; SOUS-SEGMENT'!$BM$8:$BM$154*'ANALYSE - ERP =&gt; SOUS-SEGMENT'!$CN$8:$CN$154)/SUMPRODUCT(('ANALYSE - ERP =&gt; SOUS-SEGMENT'!$C$8:$C$154=$C8)*'ANALYSE - ERP =&gt; SOUS-SEGMENT'!$Q$8:$Q$154*'ANALYSE - ERP =&gt; SOUS-SEGMENT'!$BM$8:$BM$154),"")</f>
        <v>0.8</v>
      </c>
      <c r="CL8" s="587">
        <f>IFERROR(SUMPRODUCT(('ANALYSE - ERP =&gt; SOUS-SEGMENT'!$C$8:$C$154=$C8)*'ANALYSE - ERP =&gt; SOUS-SEGMENT'!$Q$8:$Q$154*'ANALYSE - ERP =&gt; SOUS-SEGMENT'!$BM$8:$BM$154*'ANALYSE - ERP =&gt; SOUS-SEGMENT'!$CO$8:$CO$154)/SUMPRODUCT(('ANALYSE - ERP =&gt; SOUS-SEGMENT'!$C$8:$C$154=$C8)*'ANALYSE - ERP =&gt; SOUS-SEGMENT'!$Q$8:$Q$154*'ANALYSE - ERP =&gt; SOUS-SEGMENT'!$BM$8:$BM$154),"")</f>
        <v>0.18</v>
      </c>
      <c r="CM8" s="588">
        <f>IFERROR(SUMPRODUCT(('ANALYSE - ERP =&gt; SOUS-SEGMENT'!$C$8:$C$154=$C8)*'ANALYSE - ERP =&gt; SOUS-SEGMENT'!$Q$8:$Q$154*'ANALYSE - ERP =&gt; SOUS-SEGMENT'!$BM$8:$BM$154*'ANALYSE - ERP =&gt; SOUS-SEGMENT'!$CP$8:$CP$154)/SUMPRODUCT(('ANALYSE - ERP =&gt; SOUS-SEGMENT'!$C$8:$C$154=$C8)*'ANALYSE - ERP =&gt; SOUS-SEGMENT'!$Q$8:$Q$154*'ANALYSE - ERP =&gt; SOUS-SEGMENT'!$BM$8:$BM$154),"")</f>
        <v>1.9999999999999997E-2</v>
      </c>
      <c r="CN8" s="657"/>
      <c r="CO8" s="877">
        <f>IFERROR(SUMPRODUCT(('ANALYSE - ERP =&gt; SOUS-SEGMENT'!$C$8:$C$154=$C8)*'ANALYSE - ERP =&gt; SOUS-SEGMENT'!$DH$8:$DH$154*('ANALYSE - ERP =&gt; SOUS-SEGMENT'!$CR$8:$CR$154&gt;0)*'ANALYSE - ERP =&gt; SOUS-SEGMENT'!$CR$8:$CR$154)/SUMPRODUCT(('ANALYSE - ERP =&gt; SOUS-SEGMENT'!$C$8:$C$154=$C8)*'ANALYSE - ERP =&gt; SOUS-SEGMENT'!$DH$8:$DH$154*('ANALYSE - ERP =&gt; SOUS-SEGMENT'!$CR$8:$CR$154&gt;0)),"")</f>
        <v>14</v>
      </c>
      <c r="CP8" s="878">
        <f>IFERROR(SUMPRODUCT(('ANALYSE - ERP =&gt; SOUS-SEGMENT'!$C$8:$C$154=$C8)*'ANALYSE - ERP =&gt; SOUS-SEGMENT'!$DI$8:$DI$154*('ANALYSE - ERP =&gt; SOUS-SEGMENT'!$CS$8:$CS$154&gt;0)*'ANALYSE - ERP =&gt; SOUS-SEGMENT'!$CS$8:$CS$154)/SUMPRODUCT(('ANALYSE - ERP =&gt; SOUS-SEGMENT'!$C$8:$C$154=$C8)*'ANALYSE - ERP =&gt; SOUS-SEGMENT'!$DI$8:$DI$154*('ANALYSE - ERP =&gt; SOUS-SEGMENT'!$CS$8:$CS$154&gt;0)),"")</f>
        <v>13.000000000000002</v>
      </c>
      <c r="CQ8" s="878">
        <f>IFERROR(SUMPRODUCT(('ANALYSE - ERP =&gt; SOUS-SEGMENT'!$C$8:$C$154=$C8)*'ANALYSE - ERP =&gt; SOUS-SEGMENT'!$DJ$8:$DJ$154*('ANALYSE - ERP =&gt; SOUS-SEGMENT'!$CT$8:$CT$154&gt;0)*'ANALYSE - ERP =&gt; SOUS-SEGMENT'!$CT$8:$CT$154)/SUMPRODUCT(('ANALYSE - ERP =&gt; SOUS-SEGMENT'!$C$8:$C$154=$C8)*'ANALYSE - ERP =&gt; SOUS-SEGMENT'!$DJ$8:$DJ$154*('ANALYSE - ERP =&gt; SOUS-SEGMENT'!$CT$8:$CT$154&gt;0)),"")</f>
        <v>10</v>
      </c>
      <c r="CR8" s="879">
        <f>IFERROR(SUMPRODUCT(('ANALYSE - ERP =&gt; SOUS-SEGMENT'!$C$8:$C$154=$C8)*'ANALYSE - ERP =&gt; SOUS-SEGMENT'!$DK$8:$DK$154*('ANALYSE - ERP =&gt; SOUS-SEGMENT'!$CU$8:$CU$154&gt;0)*'ANALYSE - ERP =&gt; SOUS-SEGMENT'!$CU$8:$CU$154)/SUMPRODUCT(('ANALYSE - ERP =&gt; SOUS-SEGMENT'!$C$8:$C$154=$C8)*'ANALYSE - ERP =&gt; SOUS-SEGMENT'!$DK$8:$DK$154*('ANALYSE - ERP =&gt; SOUS-SEGMENT'!$CU$8:$CU$154&gt;0)),"")</f>
        <v>12.000000000000002</v>
      </c>
      <c r="CS8" s="877">
        <f>IFERROR(SUMPRODUCT(('ANALYSE - ERP =&gt; SOUS-SEGMENT'!$C$8:$C$154=$C8)*'ANALYSE - ERP =&gt; SOUS-SEGMENT'!$DS$8:$DS$154*('ANALYSE - ERP =&gt; SOUS-SEGMENT'!$CV$8:$CV$154&gt;0)*'ANALYSE - ERP =&gt; SOUS-SEGMENT'!$CV$8:$CV$154)/SUMPRODUCT(('ANALYSE - ERP =&gt; SOUS-SEGMENT'!$C$8:$C$154=$C8)*'ANALYSE - ERP =&gt; SOUS-SEGMENT'!$DS$8:$DS$154*('ANALYSE - ERP =&gt; SOUS-SEGMENT'!$CV$8:$CV$154&gt;0)),"")</f>
        <v>12.967318423350749</v>
      </c>
      <c r="CT8" s="878">
        <f>IFERROR(SUMPRODUCT(('ANALYSE - ERP =&gt; SOUS-SEGMENT'!$C$8:$C$154=$C8)*'ANALYSE - ERP =&gt; SOUS-SEGMENT'!$DT$8:$DT$154*('ANALYSE - ERP =&gt; SOUS-SEGMENT'!$CW$8:$CW$154&gt;0)*'ANALYSE - ERP =&gt; SOUS-SEGMENT'!$CW$8:$CW$154)/SUMPRODUCT(('ANALYSE - ERP =&gt; SOUS-SEGMENT'!$C$8:$C$154=$C8)*'ANALYSE - ERP =&gt; SOUS-SEGMENT'!$DT$8:$DT$154*('ANALYSE - ERP =&gt; SOUS-SEGMENT'!$CW$8:$CW$154&gt;0)),"")</f>
        <v>11.967318423350749</v>
      </c>
      <c r="CU8" s="879">
        <f>IFERROR(SUMPRODUCT(('ANALYSE - ERP =&gt; SOUS-SEGMENT'!$C$8:$C$154=$C8)*'ANALYSE - ERP =&gt; SOUS-SEGMENT'!$DU$8:$DU$154*('ANALYSE - ERP =&gt; SOUS-SEGMENT'!$CX$8:$CX$154&gt;0)*'ANALYSE - ERP =&gt; SOUS-SEGMENT'!$CX$8:$CX$154)/SUMPRODUCT(('ANALYSE - ERP =&gt; SOUS-SEGMENT'!$C$8:$C$154=$C8)*'ANALYSE - ERP =&gt; SOUS-SEGMENT'!$DU$8:$DU$154*('ANALYSE - ERP =&gt; SOUS-SEGMENT'!$CX$8:$CX$154&gt;0)),"")</f>
        <v>8.9836592116753753</v>
      </c>
      <c r="CV8" s="877" t="str">
        <f>IFERROR(SUMPRODUCT(('ANALYSE - ERP =&gt; SOUS-SEGMENT'!$C$8:$C$154=$C8)*'ANALYSE - ERP =&gt; SOUS-SEGMENT'!$EB$8:$EB$154*('ANALYSE - ERP =&gt; SOUS-SEGMENT'!$CY$8:$CY$154&gt;0)*'ANALYSE - ERP =&gt; SOUS-SEGMENT'!$CY$8:$CY$154)/SUMPRODUCT(('ANALYSE - ERP =&gt; SOUS-SEGMENT'!$C$8:$C$154=$C8)*'ANALYSE - ERP =&gt; SOUS-SEGMENT'!$EB$8:$EB$154*('ANALYSE - ERP =&gt; SOUS-SEGMENT'!$CY$8:$CY$154&gt;0)),"")</f>
        <v/>
      </c>
      <c r="CW8" s="878" t="str">
        <f>IFERROR(SUMPRODUCT(('ANALYSE - ERP =&gt; SOUS-SEGMENT'!$C$8:$C$154=$C8)*'ANALYSE - ERP =&gt; SOUS-SEGMENT'!$EC$8:$EC$154*('ANALYSE - ERP =&gt; SOUS-SEGMENT'!$CZ$8:$CZ$154&gt;0)*'ANALYSE - ERP =&gt; SOUS-SEGMENT'!$CZ$8:$CZ$154)/SUMPRODUCT(('ANALYSE - ERP =&gt; SOUS-SEGMENT'!$C$8:$C$154=$C8)*'ANALYSE - ERP =&gt; SOUS-SEGMENT'!$EC$8:$EC$154*('ANALYSE - ERP =&gt; SOUS-SEGMENT'!$CZ$8:$CZ$154&gt;0)),"")</f>
        <v/>
      </c>
      <c r="CX8" s="878" t="str">
        <f>IFERROR(SUMPRODUCT(('ANALYSE - ERP =&gt; SOUS-SEGMENT'!$C$8:$C$154=$C8)*'ANALYSE - ERP =&gt; SOUS-SEGMENT'!$ED$8:$ED$154*('ANALYSE - ERP =&gt; SOUS-SEGMENT'!$DA$8:$DA$154&gt;0)*'ANALYSE - ERP =&gt; SOUS-SEGMENT'!$DA$8:$DA$154)/SUMPRODUCT(('ANALYSE - ERP =&gt; SOUS-SEGMENT'!$C$8:$C$154=$C8)*'ANALYSE - ERP =&gt; SOUS-SEGMENT'!$ED$8:$ED$154*('ANALYSE - ERP =&gt; SOUS-SEGMENT'!$DA$8:$DA$154&gt;0)),"")</f>
        <v/>
      </c>
      <c r="CY8" s="880" t="str">
        <f>IFERROR(SUMPRODUCT(('ANALYSE - ERP =&gt; SOUS-SEGMENT'!$C$8:$C$154=$C8)*'ANALYSE - ERP =&gt; SOUS-SEGMENT'!$EE$8:$EE$154*('ANALYSE - ERP =&gt; SOUS-SEGMENT'!$DB$8:$DB$154&gt;0)*'ANALYSE - ERP =&gt; SOUS-SEGMENT'!$DB$8:$DB$154)/SUMPRODUCT(('ANALYSE - ERP =&gt; SOUS-SEGMENT'!$C$8:$C$154=$C8)*'ANALYSE - ERP =&gt; SOUS-SEGMENT'!$EE$8:$EE$154*('ANALYSE - ERP =&gt; SOUS-SEGMENT'!$DB$8:$DB$154&gt;0)),"")</f>
        <v/>
      </c>
      <c r="CZ8" s="881">
        <f>IFERROR(SUMPRODUCT(('ANALYSE - ERP =&gt; SOUS-SEGMENT'!$C$8:$C$154=$C8)*'ANALYSE - ERP =&gt; SOUS-SEGMENT'!$EM$8:$EM$154*('ANALYSE - ERP =&gt; SOUS-SEGMENT'!$DC$8:$DC$154&gt;0)*'ANALYSE - ERP =&gt; SOUS-SEGMENT'!$DC$8:$DC$154)/SUMPRODUCT(('ANALYSE - ERP =&gt; SOUS-SEGMENT'!$C$8:$C$154=$C8)*'ANALYSE - ERP =&gt; SOUS-SEGMENT'!$EM$8:$EM$154*('ANALYSE - ERP =&gt; SOUS-SEGMENT'!$DC$8:$DC$154&gt;0)),"")</f>
        <v>15</v>
      </c>
      <c r="DA8" s="878">
        <f>IFERROR(SUMPRODUCT(('ANALYSE - ERP =&gt; SOUS-SEGMENT'!$C$8:$C$154=$C8)*'ANALYSE - ERP =&gt; SOUS-SEGMENT'!$EN$8:$EN$154*('ANALYSE - ERP =&gt; SOUS-SEGMENT'!$DD$8:$DD$154&gt;0)*'ANALYSE - ERP =&gt; SOUS-SEGMENT'!$DD$8:$DD$154)/SUMPRODUCT(('ANALYSE - ERP =&gt; SOUS-SEGMENT'!$C$8:$C$154=$C8)*'ANALYSE - ERP =&gt; SOUS-SEGMENT'!$EN$8:$EN$154*('ANALYSE - ERP =&gt; SOUS-SEGMENT'!$DD$8:$DD$154&gt;0)),"")</f>
        <v>15</v>
      </c>
      <c r="DB8" s="880" t="str">
        <f>IFERROR(SUMPRODUCT(('ANALYSE - ERP =&gt; SOUS-SEGMENT'!$C$8:$C$154=$C8)*'ANALYSE - ERP =&gt; SOUS-SEGMENT'!$EO$8:$EO$154*('ANALYSE - ERP =&gt; SOUS-SEGMENT'!$DE$8:$DE$154&gt;0)*'ANALYSE - ERP =&gt; SOUS-SEGMENT'!$DE$8:$DE$154)/SUMPRODUCT(('ANALYSE - ERP =&gt; SOUS-SEGMENT'!$C$8:$C$154=$C8)*'ANALYSE - ERP =&gt; SOUS-SEGMENT'!$EO$8:$EO$154*('ANALYSE - ERP =&gt; SOUS-SEGMENT'!$DE$8:$DE$154&gt;0)),"")</f>
        <v/>
      </c>
      <c r="DC8" s="609" t="s">
        <v>6747</v>
      </c>
      <c r="DD8" s="657"/>
      <c r="DE8" s="308">
        <f t="shared" ref="DE8:DE47" si="2">$BC8*BL8</f>
        <v>61746</v>
      </c>
      <c r="DF8" s="308">
        <f t="shared" ref="DF8:DF47" si="3">$BC8*BM8</f>
        <v>51866.64</v>
      </c>
      <c r="DG8" s="308">
        <f t="shared" ref="DG8:DG47" si="4">$BC8*BN8</f>
        <v>4939.68</v>
      </c>
      <c r="DH8" s="308">
        <f t="shared" ref="DH8:DH47" si="5">$BC8*BO8</f>
        <v>4939.68</v>
      </c>
      <c r="DI8" s="287" t="s">
        <v>6748</v>
      </c>
      <c r="DJ8" s="308">
        <f t="shared" ref="DJ8:DJ47" si="6">$BG8*BP8</f>
        <v>59493.600000000006</v>
      </c>
      <c r="DK8" s="308">
        <f t="shared" ref="DK8:DK47" si="7">$BG8*BQ8</f>
        <v>52056.899999999994</v>
      </c>
      <c r="DL8" s="308">
        <f t="shared" ref="DL8:DL47" si="8">$BG8*BR8</f>
        <v>7436.7000000000007</v>
      </c>
      <c r="DM8" s="308">
        <f t="shared" ref="DM8:DM47" si="9">$BG8*BS8</f>
        <v>4957.7999999999993</v>
      </c>
      <c r="DN8" s="287" t="s">
        <v>6749</v>
      </c>
      <c r="DO8" s="657"/>
      <c r="DP8" s="308">
        <f t="shared" ref="DP8:DP47" si="10">IFERROR($BD8*BT8,0)</f>
        <v>4560.3675000000003</v>
      </c>
      <c r="DQ8" s="308">
        <f t="shared" ref="DQ8:DQ47" si="11">IFERROR($BD8*BU8,0)</f>
        <v>405.36599999999999</v>
      </c>
      <c r="DR8" s="308">
        <f t="shared" ref="DR8:DR47" si="12">IFERROR($BD8*BV8,0)</f>
        <v>101.3415</v>
      </c>
      <c r="DS8" s="287" t="s">
        <v>6750</v>
      </c>
      <c r="DT8" s="308">
        <f t="shared" ref="DT8:DT47" si="13">IFERROR($BH8*BW8,0)</f>
        <v>4475.768</v>
      </c>
      <c r="DU8" s="308">
        <f t="shared" ref="DU8:DU47" si="14">IFERROR($BH8*BX8,0)</f>
        <v>457.74900000000002</v>
      </c>
      <c r="DV8" s="308">
        <f t="shared" ref="DV8:DV47" si="15">IFERROR($BH8*BY8,0)</f>
        <v>152.583</v>
      </c>
      <c r="DW8" s="287" t="s">
        <v>6750</v>
      </c>
      <c r="DX8" s="657"/>
      <c r="DY8" s="308">
        <f t="shared" ref="DY8:DY47" si="16">IFERROR($BE8*BZ8,0)</f>
        <v>0</v>
      </c>
      <c r="DZ8" s="308">
        <f t="shared" ref="DZ8:DZ47" si="17">IFERROR($BE8*CA8,0)</f>
        <v>0</v>
      </c>
      <c r="EA8" s="308">
        <f t="shared" ref="EA8:EA47" si="18">IFERROR($BE8*CB8,0)</f>
        <v>0</v>
      </c>
      <c r="EB8" s="308">
        <f t="shared" ref="EB8:EB47" si="19">IFERROR($BE8*CC8,0)</f>
        <v>0</v>
      </c>
      <c r="EC8" s="287" t="s">
        <v>6750</v>
      </c>
      <c r="ED8" s="308">
        <f t="shared" ref="ED8:ED47" si="20">IFERROR($BI8*CD8,0)</f>
        <v>0</v>
      </c>
      <c r="EE8" s="308">
        <f t="shared" ref="EE8:EE47" si="21">IFERROR($BI8*CE8,0)</f>
        <v>0</v>
      </c>
      <c r="EF8" s="308">
        <f t="shared" ref="EF8:EF47" si="22">IFERROR($BI8*CF8,0)</f>
        <v>0</v>
      </c>
      <c r="EG8" s="308">
        <f t="shared" ref="EG8:EG47" si="23">IFERROR($BI8*CG8,0)</f>
        <v>0</v>
      </c>
      <c r="EH8" s="614" t="s">
        <v>6750</v>
      </c>
      <c r="EI8" s="290"/>
      <c r="EJ8" s="308">
        <f t="shared" ref="EJ8:EJ47" si="24">$BF8*CH8</f>
        <v>104968.2</v>
      </c>
      <c r="EK8" s="310">
        <f t="shared" ref="EK8:EK47" si="25">$BF8*CI8</f>
        <v>18523.8</v>
      </c>
      <c r="EL8" s="310">
        <f t="shared" ref="EL8:EL47" si="26">$BF8*CJ8</f>
        <v>0</v>
      </c>
      <c r="EM8" s="287" t="s">
        <v>6751</v>
      </c>
      <c r="EN8" s="308">
        <f t="shared" ref="EN8:EN47" si="27">$BJ8*CK8</f>
        <v>99156</v>
      </c>
      <c r="EO8" s="310">
        <f t="shared" ref="EO8:EO47" si="28">$BJ8*CL8</f>
        <v>22310.1</v>
      </c>
      <c r="EP8" s="310">
        <f t="shared" ref="EP8:EP47" si="29">$BJ8*CM8</f>
        <v>2478.8999999999996</v>
      </c>
      <c r="EQ8" s="289" t="s">
        <v>6752</v>
      </c>
      <c r="ER8" s="657"/>
      <c r="ES8" s="728">
        <f t="shared" ref="ES8:ES47" si="30">IFERROR(FU8/(FP8+FU8),0)</f>
        <v>0.54008227251918295</v>
      </c>
      <c r="ET8" s="728">
        <f t="shared" ref="ET8:ET47" si="31">IFERROR(FT8/(FP8+FU8),0)</f>
        <v>0.37666474644471276</v>
      </c>
      <c r="EU8" s="311">
        <f t="shared" ref="EU8:EU47" si="32">EV8+EW8</f>
        <v>59399.977688509171</v>
      </c>
      <c r="EV8" s="311">
        <f t="shared" ref="EV8:EV47" si="33">SUM(EY8,FB8,FE8,FH8)</f>
        <v>48085.658577759168</v>
      </c>
      <c r="EW8" s="311">
        <f t="shared" ref="EW8:EW47" si="34">SUM(EZ8,FC8,FF8,FI8)</f>
        <v>11314.319110750001</v>
      </c>
      <c r="EX8" s="311">
        <f t="shared" ref="EX8:EX47" si="35">EY8+EZ8</f>
        <v>29085.03141326777</v>
      </c>
      <c r="EY8" s="311">
        <f>SUMPRODUCT(('ANALYSE - ERP =&gt; SOUS-SEGMENT'!$C$8:$C$154=$C8)*'ANALYSE - ERP =&gt; SOUS-SEGMENT'!$Q$8:$Q$154*'ANALYSE - ERP =&gt; SOUS-SEGMENT'!$FB$8:$FB$154)</f>
        <v>23541.724713267769</v>
      </c>
      <c r="EZ8" s="311">
        <f>SUMPRODUCT(('ANALYSE - ERP =&gt; SOUS-SEGMENT'!$C$8:$C$154=$C8)*'ANALYSE - ERP =&gt; SOUS-SEGMENT'!$Q$8:$Q$154*'ANALYSE - ERP =&gt; SOUS-SEGMENT'!$FC$8:$FC$154)</f>
        <v>5543.3067000000001</v>
      </c>
      <c r="FA8" s="311">
        <f t="shared" ref="FA8:FA47" si="36">FB8+FC8</f>
        <v>1196.7648160414017</v>
      </c>
      <c r="FB8" s="311">
        <f>SUMPRODUCT(('ANALYSE - ERP =&gt; SOUS-SEGMENT'!$C$8:$C$154=$C8)*'ANALYSE - ERP =&gt; SOUS-SEGMENT'!$Q$8:$Q$154*'ANALYSE - ERP =&gt; SOUS-SEGMENT'!$FE$8:$FE$154)</f>
        <v>969.05910529140101</v>
      </c>
      <c r="FC8" s="311">
        <f>SUMPRODUCT(('ANALYSE - ERP =&gt; SOUS-SEGMENT'!$C$8:$C$154=$C8)*'ANALYSE - ERP =&gt; SOUS-SEGMENT'!$Q$8:$Q$154*'ANALYSE - ERP =&gt; SOUS-SEGMENT'!$FF$8:$FF$154)</f>
        <v>227.70571075000072</v>
      </c>
      <c r="FD8" s="311">
        <f t="shared" ref="FD8:FD47" si="37">FE8+FF8</f>
        <v>0</v>
      </c>
      <c r="FE8" s="311">
        <f>SUMPRODUCT(('ANALYSE - ERP =&gt; SOUS-SEGMENT'!$C$8:$C$154=$C8)*'ANALYSE - ERP =&gt; SOUS-SEGMENT'!$Q$8:$Q$154*'ANALYSE - ERP =&gt; SOUS-SEGMENT'!$FH$8:$FH$154)</f>
        <v>0</v>
      </c>
      <c r="FF8" s="311">
        <f>SUMPRODUCT(('ANALYSE - ERP =&gt; SOUS-SEGMENT'!$C$8:$C$154=$C8)*'ANALYSE - ERP =&gt; SOUS-SEGMENT'!$Q$8:$Q$154*'ANALYSE - ERP =&gt; SOUS-SEGMENT'!$FI$8:$FI$154)</f>
        <v>0</v>
      </c>
      <c r="FG8" s="311">
        <f t="shared" ref="FG8:FG47" si="38">FH8+FI8</f>
        <v>29118.181459200001</v>
      </c>
      <c r="FH8" s="311">
        <f>SUMPRODUCT(('ANALYSE - ERP =&gt; SOUS-SEGMENT'!$C$8:$C$154=$C8)*'ANALYSE - ERP =&gt; SOUS-SEGMENT'!$Q$8:$Q$154*'ANALYSE - ERP =&gt; SOUS-SEGMENT'!$FK$8:$FK$154)</f>
        <v>23574.8747592</v>
      </c>
      <c r="FI8" s="311">
        <f>SUMPRODUCT(('ANALYSE - ERP =&gt; SOUS-SEGMENT'!$C$8:$C$154=$C8)*'ANALYSE - ERP =&gt; SOUS-SEGMENT'!$Q$8:$Q$154*'ANALYSE - ERP =&gt; SOUS-SEGMENT'!$FL$8:$FL$154)</f>
        <v>5543.3067000000001</v>
      </c>
      <c r="FJ8" s="657"/>
      <c r="FK8" s="293" t="s">
        <v>2616</v>
      </c>
      <c r="FL8" s="728">
        <f>IFERROR(SUMPRODUCT(('ANALYSE - ERP =&gt; SOUS-SEGMENT'!$C$8:$C$154=$C8)*'ANALYSE - ERP =&gt; SOUS-SEGMENT'!$Q$8:$Q$154*'ANALYSE - ERP =&gt; SOUS-SEGMENT'!$AF$8:$AF$154*'ANALYSE - ERP =&gt; SOUS-SEGMENT'!$FO$8:$FO$154)/SUMPRODUCT(('ANALYSE - ERP =&gt; SOUS-SEGMENT'!$C$8:$C$154=$C8)*'ANALYSE - ERP =&gt; SOUS-SEGMENT'!$Q$8:$Q$154*'ANALYSE - ERP =&gt; SOUS-SEGMENT'!$AF$8:$AF$154),"")</f>
        <v>3.6266673816673811E-2</v>
      </c>
      <c r="FM8" s="729">
        <f>IFERROR(SUMPRODUCT(('ANALYSE - ERP =&gt; SOUS-SEGMENT'!$C$8:$C$154=$C8)*'ANALYSE - ERP =&gt; SOUS-SEGMENT'!$Q$8:$Q$154*'ANALYSE - ERP =&gt; SOUS-SEGMENT'!$AF$8:$AF$154*'ANALYSE - ERP =&gt; SOUS-SEGMENT'!$FP$8:$FP$154)/SUMPRODUCT(('ANALYSE - ERP =&gt; SOUS-SEGMENT'!$C$8:$C$154=$C8)*'ANALYSE - ERP =&gt; SOUS-SEGMENT'!$Q$8:$Q$154*'ANALYSE - ERP =&gt; SOUS-SEGMENT'!$AF$8:$AF$154),"")</f>
        <v>0.86905002145002141</v>
      </c>
      <c r="FN8" s="294" t="s">
        <v>2617</v>
      </c>
      <c r="FO8" s="657"/>
      <c r="FP8" s="865">
        <f>IFERROR(SUMPRODUCT(('ANALYSE - ERP =&gt; SOUS-SEGMENT'!$C$8:$C$154=$C8)*'ANALYSE - ERP =&gt; SOUS-SEGMENT'!$Q$8:$Q$154*'ANALYSE - ERP =&gt; SOUS-SEGMENT'!$EX$8:$EX$154*'ANALYSE - ERP =&gt; SOUS-SEGMENT'!$FS$8:$FS$154)/SUMPRODUCT(('ANALYSE - ERP =&gt; SOUS-SEGMENT'!$C$8:$C$154=$C8)*'ANALYSE - ERP =&gt; SOUS-SEGMENT'!$Q$8:$Q$154*'ANALYSE - ERP =&gt; SOUS-SEGMENT'!$EX$8:$EX$154),"")</f>
        <v>3.406279012533088</v>
      </c>
      <c r="FQ8" s="312">
        <f>RANK($FP8,$FP$8:$FP$143,0)+COUNTIF($FP$8:$FP8,$FP8)-1</f>
        <v>15</v>
      </c>
      <c r="FR8" s="865">
        <f>IFERROR(SUMPRODUCT(('ANALYSE - ERP =&gt; SOUS-SEGMENT'!$C$8:$C$154=$C8)*'ANALYSE - ERP =&gt; SOUS-SEGMENT'!$Q$8:$Q$154*'ANALYSE - ERP =&gt; SOUS-SEGMENT'!$EY$8:$EY$154*'ANALYSE - ERP =&gt; SOUS-SEGMENT'!$FU$8:$FU$154)/SUMPRODUCT(('ANALYSE - ERP =&gt; SOUS-SEGMENT'!$C$8:$C$154=$C8)*'ANALYSE - ERP =&gt; SOUS-SEGMENT'!$Q$8:$Q$154*'ANALYSE - ERP =&gt; SOUS-SEGMENT'!$EY$8:$EY$154),"")</f>
        <v>3.9209089954220531</v>
      </c>
      <c r="FS8" s="312">
        <f>RANK($FR8,$FR$8:$FR$143,0)+COUNTIF($FR$8:$FR8,$FR8)-1</f>
        <v>24</v>
      </c>
      <c r="FT8" s="865">
        <f>IFERROR(SUMPRODUCT(('ANALYSE - ERP =&gt; SOUS-SEGMENT'!$C$8:$C$154=$C8)*'ANALYSE - ERP =&gt; SOUS-SEGMENT'!$Q$8:$Q$154*'ANALYSE - ERP =&gt; SOUS-SEGMENT'!$EZ$8:$EZ$154*'ANALYSE - ERP =&gt; SOUS-SEGMENT'!$FW$8:$FW$154)/SUMPRODUCT(('ANALYSE - ERP =&gt; SOUS-SEGMENT'!$C$8:$C$154=$C8)*'ANALYSE - ERP =&gt; SOUS-SEGMENT'!$Q$8:$Q$154*'ANALYSE - ERP =&gt; SOUS-SEGMENT'!$EZ$8:$EZ$154),"")</f>
        <v>2.7896842063545733</v>
      </c>
      <c r="FU8" s="312">
        <f>RANK($FT8,$FT$8:$FT$143,0)+COUNTIF($FT$8:$FT8,$FT8)-1</f>
        <v>4</v>
      </c>
      <c r="FV8" s="657"/>
      <c r="FW8" s="296" t="s">
        <v>6753</v>
      </c>
      <c r="FX8" s="296" t="s">
        <v>6754</v>
      </c>
      <c r="FY8" s="296" t="s">
        <v>6755</v>
      </c>
      <c r="FZ8" s="296" t="s">
        <v>6756</v>
      </c>
      <c r="GA8" s="296" t="s">
        <v>6757</v>
      </c>
      <c r="GB8" s="296" t="s">
        <v>6758</v>
      </c>
      <c r="GC8" s="296" t="s">
        <v>6759</v>
      </c>
      <c r="GD8" s="657"/>
      <c r="GE8" s="311">
        <f>SUMPRODUCT(('ANALYSE - ERP =&gt; SOUS-SEGMENT'!$C$8:$C$154=$C8)*'ANALYSE - ERP =&gt; SOUS-SEGMENT'!$Q$8:$Q$154*'ANALYSE - ERP =&gt; SOUS-SEGMENT'!$GH$8:$GH$154)</f>
        <v>14441.202209885714</v>
      </c>
      <c r="GF8" s="311">
        <f>SUMPRODUCT(('ANALYSE - ERP =&gt; SOUS-SEGMENT'!$C$8:$C$154=$C8)*'ANALYSE - ERP =&gt; SOUS-SEGMENT'!$Q$8:$Q$154*'ANALYSE - ERP =&gt; SOUS-SEGMENT'!$GI$8:$GI$154)</f>
        <v>11780.414993885715</v>
      </c>
      <c r="GG8" s="311">
        <f>SUMPRODUCT(('ANALYSE - ERP =&gt; SOUS-SEGMENT'!$C$8:$C$154=$C8)*'ANALYSE - ERP =&gt; SOUS-SEGMENT'!$Q$8:$Q$154*'ANALYSE - ERP =&gt; SOUS-SEGMENT'!$GJ$8:$GJ$154)</f>
        <v>2660.7872159999997</v>
      </c>
      <c r="GH8" s="311">
        <f>SUMPRODUCT(('ANALYSE - ERP =&gt; SOUS-SEGMENT'!$C$8:$C$154=$C8)*'ANALYSE - ERP =&gt; SOUS-SEGMENT'!$Q$8:$Q$154*'ANALYSE - ERP =&gt; SOUS-SEGMENT'!$GK$8:$GK$154)</f>
        <v>12211.423838479384</v>
      </c>
      <c r="GI8" s="311">
        <f>SUMPRODUCT(('ANALYSE - ERP =&gt; SOUS-SEGMENT'!$C$8:$C$154=$C8)*'ANALYSE - ERP =&gt; SOUS-SEGMENT'!$Q$8:$Q$154*'ANALYSE - ERP =&gt; SOUS-SEGMENT'!$GL$8:$GL$154)</f>
        <v>9883.2350244793834</v>
      </c>
      <c r="GJ8" s="311">
        <f>SUMPRODUCT(('ANALYSE - ERP =&gt; SOUS-SEGMENT'!$C$8:$C$154=$C8)*'ANALYSE - ERP =&gt; SOUS-SEGMENT'!$Q$8:$Q$154*'ANALYSE - ERP =&gt; SOUS-SEGMENT'!$GM$8:$GM$154)</f>
        <v>2328.1888140000001</v>
      </c>
      <c r="GK8" s="311">
        <f>SUMPRODUCT(('ANALYSE - ERP =&gt; SOUS-SEGMENT'!$C$8:$C$154=$C8)*'ANALYSE - ERP =&gt; SOUS-SEGMENT'!$Q$8:$Q$154*'ANALYSE - ERP =&gt; SOUS-SEGMENT'!$GN$8:$GN$154)</f>
        <v>1271.5340003679999</v>
      </c>
      <c r="GL8" s="311">
        <f>SUMPRODUCT(('ANALYSE - ERP =&gt; SOUS-SEGMENT'!$C$8:$C$154=$C8)*'ANALYSE - ERP =&gt; SOUS-SEGMENT'!$Q$8:$Q$154*'ANALYSE - ERP =&gt; SOUS-SEGMENT'!$GO$8:$GO$154)</f>
        <v>938.935598368</v>
      </c>
      <c r="GM8" s="311">
        <f>SUMPRODUCT(('ANALYSE - ERP =&gt; SOUS-SEGMENT'!$C$8:$C$154=$C8)*'ANALYSE - ERP =&gt; SOUS-SEGMENT'!$Q$8:$Q$154*'ANALYSE - ERP =&gt; SOUS-SEGMENT'!$GP$8:$GP$154)</f>
        <v>332.59840199999996</v>
      </c>
      <c r="GN8" s="311">
        <f>SUMPRODUCT(('ANALYSE - ERP =&gt; SOUS-SEGMENT'!$C$8:$C$154=$C8)*'ANALYSE - ERP =&gt; SOUS-SEGMENT'!$Q$8:$Q$154*'ANALYSE - ERP =&gt; SOUS-SEGMENT'!$GQ$8:$GQ$154)</f>
        <v>1160.8713645346666</v>
      </c>
      <c r="GO8" s="311">
        <f>SUMPRODUCT(('ANALYSE - ERP =&gt; SOUS-SEGMENT'!$C$8:$C$154=$C8)*'ANALYSE - ERP =&gt; SOUS-SEGMENT'!$Q$8:$Q$154*'ANALYSE - ERP =&gt; SOUS-SEGMENT'!$GR$8:$GR$154)</f>
        <v>939.13909653466669</v>
      </c>
      <c r="GP8" s="311">
        <f>SUMPRODUCT(('ANALYSE - ERP =&gt; SOUS-SEGMENT'!$C$8:$C$154=$C8)*'ANALYSE - ERP =&gt; SOUS-SEGMENT'!$Q$8:$Q$154*'ANALYSE - ERP =&gt; SOUS-SEGMENT'!$GS$8:$GS$154)</f>
        <v>221.73226800000003</v>
      </c>
      <c r="GQ8" s="311">
        <f>SUMPRODUCT(('ANALYSE - ERP =&gt; SOUS-SEGMENT'!$C$8:$C$154=$C8)*'ANALYSE - ERP =&gt; SOUS-SEGMENT'!$Q$8:$Q$154*'ANALYSE - ERP =&gt; SOUS-SEGMENT'!$GT$8:$GT$154)</f>
        <v>1072.4532439013349</v>
      </c>
      <c r="GR8" s="311">
        <f>SUMPRODUCT(('ANALYSE - ERP =&gt; SOUS-SEGMENT'!$C$8:$C$154=$C8)*'ANALYSE - ERP =&gt; SOUS-SEGMENT'!$Q$8:$Q$154*'ANALYSE - ERP =&gt; SOUS-SEGMENT'!$GU$8:$GU$154)</f>
        <v>872.07221844133426</v>
      </c>
      <c r="GS8" s="311">
        <f>SUMPRODUCT(('ANALYSE - ERP =&gt; SOUS-SEGMENT'!$C$8:$C$154=$C8)*'ANALYSE - ERP =&gt; SOUS-SEGMENT'!$Q$8:$Q$154*'ANALYSE - ERP =&gt; SOUS-SEGMENT'!$GV$8:$GV$154)</f>
        <v>200.38102546000061</v>
      </c>
      <c r="GT8" s="311">
        <f>SUMPRODUCT(('ANALYSE - ERP =&gt; SOUS-SEGMENT'!$C$8:$C$154=$C8)*'ANALYSE - ERP =&gt; SOUS-SEGMENT'!$Q$8:$Q$154*'ANALYSE - ERP =&gt; SOUS-SEGMENT'!$GW$8:$GW$154)</f>
        <v>97.979530094220053</v>
      </c>
      <c r="GU8" s="311">
        <f>SUMPRODUCT(('ANALYSE - ERP =&gt; SOUS-SEGMENT'!$C$8:$C$154=$C8)*'ANALYSE - ERP =&gt; SOUS-SEGMENT'!$Q$8:$Q$154*'ANALYSE - ERP =&gt; SOUS-SEGMENT'!$GX$8:$GX$154)</f>
        <v>77.486016126719989</v>
      </c>
      <c r="GV8" s="311">
        <f>SUMPRODUCT(('ANALYSE - ERP =&gt; SOUS-SEGMENT'!$C$8:$C$154=$C8)*'ANALYSE - ERP =&gt; SOUS-SEGMENT'!$Q$8:$Q$154*'ANALYSE - ERP =&gt; SOUS-SEGMENT'!$GY$8:$GY$154)</f>
        <v>20.493513967500064</v>
      </c>
      <c r="GW8" s="311">
        <f>SUMPRODUCT(('ANALYSE - ERP =&gt; SOUS-SEGMENT'!$C$8:$C$154=$C8)*'ANALYSE - ERP =&gt; SOUS-SEGMENT'!$Q$8:$Q$154*'ANALYSE - ERP =&gt; SOUS-SEGMENT'!$GZ$8:$GZ$154)</f>
        <v>26.332042045846688</v>
      </c>
      <c r="GX8" s="311">
        <f>SUMPRODUCT(('ANALYSE - ERP =&gt; SOUS-SEGMENT'!$C$8:$C$154=$C8)*'ANALYSE - ERP =&gt; SOUS-SEGMENT'!$Q$8:$Q$154*'ANALYSE - ERP =&gt; SOUS-SEGMENT'!$HA$8:$HA$154)</f>
        <v>19.500870723346665</v>
      </c>
      <c r="GY8" s="311">
        <f>SUMPRODUCT(('ANALYSE - ERP =&gt; SOUS-SEGMENT'!$C$8:$C$154=$C8)*'ANALYSE - ERP =&gt; SOUS-SEGMENT'!$Q$8:$Q$154*'ANALYSE - ERP =&gt; SOUS-SEGMENT'!$HB$8:$HB$154)</f>
        <v>6.8311713225000208</v>
      </c>
      <c r="GZ8" s="311">
        <f>SUMPRODUCT(('ANALYSE - ERP =&gt; SOUS-SEGMENT'!$C$8:$C$154=$C8)*'ANALYSE - ERP =&gt; SOUS-SEGMENT'!$Q$8:$Q$154*'ANALYSE - ERP =&gt; SOUS-SEGMENT'!$HC$8:$HC$154)</f>
        <v>0</v>
      </c>
      <c r="HA8" s="311">
        <f>SUMPRODUCT(('ANALYSE - ERP =&gt; SOUS-SEGMENT'!$C$8:$C$154=$C8)*'ANALYSE - ERP =&gt; SOUS-SEGMENT'!$Q$8:$Q$154*'ANALYSE - ERP =&gt; SOUS-SEGMENT'!$HD$8:$HD$154)</f>
        <v>0</v>
      </c>
      <c r="HB8" s="311">
        <f>SUMPRODUCT(('ANALYSE - ERP =&gt; SOUS-SEGMENT'!$C$8:$C$154=$C8)*'ANALYSE - ERP =&gt; SOUS-SEGMENT'!$Q$8:$Q$154*'ANALYSE - ERP =&gt; SOUS-SEGMENT'!$HE$8:$HE$154)</f>
        <v>0</v>
      </c>
      <c r="HC8" s="311">
        <f>SUMPRODUCT(('ANALYSE - ERP =&gt; SOUS-SEGMENT'!$C$8:$C$154=$C8)*'ANALYSE - ERP =&gt; SOUS-SEGMENT'!$Q$8:$Q$154*'ANALYSE - ERP =&gt; SOUS-SEGMENT'!$HF$8:$HF$154)</f>
        <v>0</v>
      </c>
      <c r="HD8" s="311">
        <f>SUMPRODUCT(('ANALYSE - ERP =&gt; SOUS-SEGMENT'!$C$8:$C$154=$C8)*'ANALYSE - ERP =&gt; SOUS-SEGMENT'!$Q$8:$Q$154*'ANALYSE - ERP =&gt; SOUS-SEGMENT'!$HG$8:$HG$154)</f>
        <v>0</v>
      </c>
      <c r="HE8" s="311">
        <f>SUMPRODUCT(('ANALYSE - ERP =&gt; SOUS-SEGMENT'!$C$8:$C$154=$C8)*'ANALYSE - ERP =&gt; SOUS-SEGMENT'!$Q$8:$Q$154*'ANALYSE - ERP =&gt; SOUS-SEGMENT'!$HH$8:$HH$154)</f>
        <v>0</v>
      </c>
      <c r="HF8" s="311">
        <f>SUMPRODUCT(('ANALYSE - ERP =&gt; SOUS-SEGMENT'!$C$8:$C$154=$C8)*'ANALYSE - ERP =&gt; SOUS-SEGMENT'!$Q$8:$Q$154*'ANALYSE - ERP =&gt; SOUS-SEGMENT'!$HI$8:$HI$154)</f>
        <v>0</v>
      </c>
      <c r="HG8" s="311">
        <f>SUMPRODUCT(('ANALYSE - ERP =&gt; SOUS-SEGMENT'!$C$8:$C$154=$C8)*'ANALYSE - ERP =&gt; SOUS-SEGMENT'!$Q$8:$Q$154*'ANALYSE - ERP =&gt; SOUS-SEGMENT'!$HJ$8:$HJ$154)</f>
        <v>0</v>
      </c>
      <c r="HH8" s="311">
        <f>SUMPRODUCT(('ANALYSE - ERP =&gt; SOUS-SEGMENT'!$C$8:$C$154=$C8)*'ANALYSE - ERP =&gt; SOUS-SEGMENT'!$Q$8:$Q$154*'ANALYSE - ERP =&gt; SOUS-SEGMENT'!$HK$8:$HK$154)</f>
        <v>0</v>
      </c>
      <c r="HI8" s="311">
        <f>SUMPRODUCT(('ANALYSE - ERP =&gt; SOUS-SEGMENT'!$C$8:$C$154=$C8)*'ANALYSE - ERP =&gt; SOUS-SEGMENT'!$Q$8:$Q$154*'ANALYSE - ERP =&gt; SOUS-SEGMENT'!$HL$8:$HL$154)</f>
        <v>0</v>
      </c>
      <c r="HJ8" s="311">
        <f>SUMPRODUCT(('ANALYSE - ERP =&gt; SOUS-SEGMENT'!$C$8:$C$154=$C8)*'ANALYSE - ERP =&gt; SOUS-SEGMENT'!$Q$8:$Q$154*'ANALYSE - ERP =&gt; SOUS-SEGMENT'!$HM$8:$HM$154)</f>
        <v>0</v>
      </c>
      <c r="HK8" s="311">
        <f>SUMPRODUCT(('ANALYSE - ERP =&gt; SOUS-SEGMENT'!$C$8:$C$154=$C8)*'ANALYSE - ERP =&gt; SOUS-SEGMENT'!$Q$8:$Q$154*'ANALYSE - ERP =&gt; SOUS-SEGMENT'!$HN$8:$HN$154)</f>
        <v>0</v>
      </c>
      <c r="HL8" s="311">
        <f>SUMPRODUCT(('ANALYSE - ERP =&gt; SOUS-SEGMENT'!$C$8:$C$154=$C8)*'ANALYSE - ERP =&gt; SOUS-SEGMENT'!$Q$8:$Q$154*'ANALYSE - ERP =&gt; SOUS-SEGMENT'!$HO$8:$HO$154)</f>
        <v>24473.288905320002</v>
      </c>
      <c r="HM8" s="311">
        <f>SUMPRODUCT(('ANALYSE - ERP =&gt; SOUS-SEGMENT'!$C$8:$C$154=$C8)*'ANALYSE - ERP =&gt; SOUS-SEGMENT'!$Q$8:$Q$154*'ANALYSE - ERP =&gt; SOUS-SEGMENT'!$HP$8:$HP$154)</f>
        <v>20038.643545319999</v>
      </c>
      <c r="HN8" s="311">
        <f>SUMPRODUCT(('ANALYSE - ERP =&gt; SOUS-SEGMENT'!$C$8:$C$154=$C8)*'ANALYSE - ERP =&gt; SOUS-SEGMENT'!$Q$8:$Q$154*'ANALYSE - ERP =&gt; SOUS-SEGMENT'!$HQ$8:$HQ$154)</f>
        <v>4434.6453599999995</v>
      </c>
      <c r="HO8" s="311">
        <f>SUMPRODUCT(('ANALYSE - ERP =&gt; SOUS-SEGMENT'!$C$8:$C$154=$C8)*'ANALYSE - ERP =&gt; SOUS-SEGMENT'!$Q$8:$Q$154*'ANALYSE - ERP =&gt; SOUS-SEGMENT'!$HR$8:$HR$154)</f>
        <v>4534.0264198799996</v>
      </c>
      <c r="HP8" s="311">
        <f>SUMPRODUCT(('ANALYSE - ERP =&gt; SOUS-SEGMENT'!$C$8:$C$154=$C8)*'ANALYSE - ERP =&gt; SOUS-SEGMENT'!$Q$8:$Q$154*'ANALYSE - ERP =&gt; SOUS-SEGMENT'!$HS$8:$HS$154)</f>
        <v>3536.2312138799998</v>
      </c>
      <c r="HQ8" s="311">
        <f>SUMPRODUCT(('ANALYSE - ERP =&gt; SOUS-SEGMENT'!$C$8:$C$154=$C8)*'ANALYSE - ERP =&gt; SOUS-SEGMENT'!$Q$8:$Q$154*'ANALYSE - ERP =&gt; SOUS-SEGMENT'!$HT$8:$HT$154)</f>
        <v>997.79520600000001</v>
      </c>
      <c r="HR8" s="311">
        <f>SUMPRODUCT(('ANALYSE - ERP =&gt; SOUS-SEGMENT'!$C$8:$C$154=$C8)*'ANALYSE - ERP =&gt; SOUS-SEGMENT'!$Q$8:$Q$154*'ANALYSE - ERP =&gt; SOUS-SEGMENT'!$HU$8:$HU$154)</f>
        <v>110.86613400000002</v>
      </c>
      <c r="HS8" s="311">
        <f>SUMPRODUCT(('ANALYSE - ERP =&gt; SOUS-SEGMENT'!$C$8:$C$154=$C8)*'ANALYSE - ERP =&gt; SOUS-SEGMENT'!$Q$8:$Q$154*'ANALYSE - ERP =&gt; SOUS-SEGMENT'!$HV$8:$HV$154)</f>
        <v>0</v>
      </c>
      <c r="HT8" s="311">
        <f>SUMPRODUCT(('ANALYSE - ERP =&gt; SOUS-SEGMENT'!$C$8:$C$154=$C8)*'ANALYSE - ERP =&gt; SOUS-SEGMENT'!$Q$8:$Q$154*'ANALYSE - ERP =&gt; SOUS-SEGMENT'!$HW$8:$HW$154)</f>
        <v>110.86613400000002</v>
      </c>
      <c r="HV8" s="313">
        <f t="shared" ref="HV8:HV13" si="39">SUM(HW8:IA8)</f>
        <v>251968.27499999999</v>
      </c>
      <c r="HW8" s="313">
        <f>SUMPRODUCT(('ANALYSE - ERP =&gt; SOUS-SEGMENT'!$C$8:$C$154=$C8)*'ANALYSE - ERP =&gt; SOUS-SEGMENT'!$Q$8:$Q$154*'ANALYSE - ERP =&gt; SOUS-SEGMENT'!$HZ$8:$HZ$154)</f>
        <v>3648.7450275000001</v>
      </c>
      <c r="HX8" s="313">
        <f>SUMPRODUCT(('ANALYSE - ERP =&gt; SOUS-SEGMENT'!$C$8:$C$154=$C8)*'ANALYSE - ERP =&gt; SOUS-SEGMENT'!$Q$8:$Q$154*'ANALYSE - ERP =&gt; SOUS-SEGMENT'!$IA$8:$IA$154)</f>
        <v>85913.864264999997</v>
      </c>
      <c r="HY8" s="313">
        <f>SUMPRODUCT(('ANALYSE - ERP =&gt; SOUS-SEGMENT'!$C$8:$C$154=$C8)*'ANALYSE - ERP =&gt; SOUS-SEGMENT'!$Q$8:$Q$154*'ANALYSE - ERP =&gt; SOUS-SEGMENT'!$IB$8:$IB$154)</f>
        <v>133773.86294250001</v>
      </c>
      <c r="HZ8" s="313">
        <f>SUMPRODUCT(('ANALYSE - ERP =&gt; SOUS-SEGMENT'!$C$8:$C$154=$C8)*'ANALYSE - ERP =&gt; SOUS-SEGMENT'!$Q$8:$Q$154*'ANALYSE - ERP =&gt; SOUS-SEGMENT'!$IC$8:$IC$154)</f>
        <v>28631.802764999997</v>
      </c>
      <c r="IA8" s="313">
        <f>SUMPRODUCT(('ANALYSE - ERP =&gt; SOUS-SEGMENT'!$C$8:$C$154=$C8)*'ANALYSE - ERP =&gt; SOUS-SEGMENT'!$Q$8:$Q$154*'ANALYSE - ERP =&gt; SOUS-SEGMENT'!$ID$8:$ID$154)</f>
        <v>0</v>
      </c>
      <c r="IB8" s="313">
        <f>SUMPRODUCT(('ANALYSE - ERP =&gt; SOUS-SEGMENT'!$C$8:$C$154=$C8)*'ANALYSE - ERP =&gt; SOUS-SEGMENT'!$Q$8:$Q$154*'ANALYSE - ERP =&gt; SOUS-SEGMENT'!$IE$8:$IE$154)</f>
        <v>48055.593237256893</v>
      </c>
      <c r="IC8" s="313">
        <f>SUMPRODUCT(('ANALYSE - ERP =&gt; SOUS-SEGMENT'!$C$8:$C$154=$C8)*'ANALYSE - ERP =&gt; SOUS-SEGMENT'!$Q$8:$Q$154*'ANALYSE - ERP =&gt; SOUS-SEGMENT'!$IF$8:$IF$154)</f>
        <v>338.73455419604221</v>
      </c>
      <c r="ID8" s="313">
        <f>SUMPRODUCT(('ANALYSE - ERP =&gt; SOUS-SEGMENT'!$C$8:$C$154=$C8)*'ANALYSE - ERP =&gt; SOUS-SEGMENT'!$Q$8:$Q$154*'ANALYSE - ERP =&gt; SOUS-SEGMENT'!$IG$8:$IG$154)</f>
        <v>9498.0868544789701</v>
      </c>
      <c r="IE8" s="313">
        <f>SUMPRODUCT(('ANALYSE - ERP =&gt; SOUS-SEGMENT'!$C$8:$C$154=$C8)*'ANALYSE - ERP =&gt; SOUS-SEGMENT'!$Q$8:$Q$154*'ANALYSE - ERP =&gt; SOUS-SEGMENT'!$IH$8:$IH$154)</f>
        <v>26291.329594596387</v>
      </c>
      <c r="IF8" s="313">
        <f>SUMPRODUCT(('ANALYSE - ERP =&gt; SOUS-SEGMENT'!$C$8:$C$154=$C8)*'ANALYSE - ERP =&gt; SOUS-SEGMENT'!$Q$8:$Q$154*'ANALYSE - ERP =&gt; SOUS-SEGMENT'!$II$8:$II$154)</f>
        <v>11911.083197723612</v>
      </c>
      <c r="IG8" s="313">
        <f>SUMPRODUCT(('ANALYSE - ERP =&gt; SOUS-SEGMENT'!$C$8:$C$154=$C8)*'ANALYSE - ERP =&gt; SOUS-SEGMENT'!$Q$8:$Q$154*'ANALYSE - ERP =&gt; SOUS-SEGMENT'!$IJ$8:$IJ$154)</f>
        <v>16.359036261882416</v>
      </c>
      <c r="IH8" s="866"/>
      <c r="II8" s="314" t="s">
        <v>2589</v>
      </c>
      <c r="IJ8" s="299" t="s">
        <v>6760</v>
      </c>
      <c r="IK8" s="657"/>
      <c r="IL8" s="747">
        <f>IFERROR(SUMPRODUCT(('ANALYSE - ERP =&gt; SOUS-SEGMENT'!$C$8:$C$154=$C8)*'ANALYSE - ERP =&gt; SOUS-SEGMENT'!$Q$8:$Q$154*'ANALYSE - ERP =&gt; SOUS-SEGMENT'!$BE$8:$BE$154*'ANALYSE - ERP =&gt; SOUS-SEGMENT'!$IO$8:$IO$154)/SUMPRODUCT(('ANALYSE - ERP =&gt; SOUS-SEGMENT'!$C$8:$C$154=$C8)*'ANALYSE - ERP =&gt; SOUS-SEGMENT'!$Q$8:$Q$154*'ANALYSE - ERP =&gt; SOUS-SEGMENT'!$BE$8:$BE$154),0)</f>
        <v>8.7780342046448363E-3</v>
      </c>
      <c r="IM8" s="748">
        <f>IFERROR(SUMPRODUCT(('ANALYSE - ERP =&gt; SOUS-SEGMENT'!$C$8:$C$154=$C8)*'ANALYSE - ERP =&gt; SOUS-SEGMENT'!$Q$8:$Q$154*'ANALYSE - ERP =&gt; SOUS-SEGMENT'!$BE$8:$BE$154*'ANALYSE - ERP =&gt; SOUS-SEGMENT'!$IP$8:$IP$154)/SUMPRODUCT(('ANALYSE - ERP =&gt; SOUS-SEGMENT'!$C$8:$C$154=$C8)*'ANALYSE - ERP =&gt; SOUS-SEGMENT'!$Q$8:$Q$154*'ANALYSE - ERP =&gt; SOUS-SEGMENT'!$BE$8:$BE$154),0)</f>
        <v>0.31598297055679719</v>
      </c>
      <c r="IN8" s="748">
        <f>IFERROR(SUMPRODUCT(('ANALYSE - ERP =&gt; SOUS-SEGMENT'!$C$8:$C$154=$C8)*'ANALYSE - ERP =&gt; SOUS-SEGMENT'!$Q$8:$Q$154*'ANALYSE - ERP =&gt; SOUS-SEGMENT'!$BE$8:$BE$154*'ANALYSE - ERP =&gt; SOUS-SEGMENT'!$IQ$8:$IQ$154)/SUMPRODUCT(('ANALYSE - ERP =&gt; SOUS-SEGMENT'!$C$8:$C$154=$C8)*'ANALYSE - ERP =&gt; SOUS-SEGMENT'!$Q$8:$Q$154*'ANALYSE - ERP =&gt; SOUS-SEGMENT'!$BE$8:$BE$154),0)</f>
        <v>0.54624518997182003</v>
      </c>
      <c r="IO8" s="748">
        <f>IFERROR(SUMPRODUCT(('ANALYSE - ERP =&gt; SOUS-SEGMENT'!$C$8:$C$154=$C8)*'ANALYSE - ERP =&gt; SOUS-SEGMENT'!$Q$8:$Q$154*'ANALYSE - ERP =&gt; SOUS-SEGMENT'!$BE$8:$BE$154*'ANALYSE - ERP =&gt; SOUS-SEGMENT'!$IR$8:$IR$154)/SUMPRODUCT(('ANALYSE - ERP =&gt; SOUS-SEGMENT'!$C$8:$C$154=$C8)*'ANALYSE - ERP =&gt; SOUS-SEGMENT'!$Q$8:$Q$154*'ANALYSE - ERP =&gt; SOUS-SEGMENT'!$BE$8:$BE$154),0)</f>
        <v>0.1289938052667379</v>
      </c>
      <c r="IP8" s="749">
        <f>IFERROR(SUMPRODUCT(('ANALYSE - ERP =&gt; SOUS-SEGMENT'!$C$8:$C$154=$C8)*'ANALYSE - ERP =&gt; SOUS-SEGMENT'!$Q$8:$Q$154*'ANALYSE - ERP =&gt; SOUS-SEGMENT'!$BE$8:$BE$154*'ANALYSE - ERP =&gt; SOUS-SEGMENT'!$IS$8:$IS$154)/SUMPRODUCT(('ANALYSE - ERP =&gt; SOUS-SEGMENT'!$C$8:$C$154=$C8)*'ANALYSE - ERP =&gt; SOUS-SEGMENT'!$Q$8:$Q$154*'ANALYSE - ERP =&gt; SOUS-SEGMENT'!$BE$8:$BE$154),0)</f>
        <v>0</v>
      </c>
      <c r="IQ8" s="748">
        <f>IFERROR(SUMPRODUCT(('ANALYSE - ERP =&gt; SOUS-SEGMENT'!$C$8:$C$154=$C8)*'ANALYSE - ERP =&gt; SOUS-SEGMENT'!$Q$8:$Q$154*'ANALYSE - ERP =&gt; SOUS-SEGMENT'!$FB$8:$FB$154*'ANALYSE - ERP =&gt; SOUS-SEGMENT'!$IT$8:$IT$154)/SUMPRODUCT(('ANALYSE - ERP =&gt; SOUS-SEGMENT'!$C$8:$C$154=$C8)*'ANALYSE - ERP =&gt; SOUS-SEGMENT'!$Q$8:$Q$154*'ANALYSE - ERP =&gt; SOUS-SEGMENT'!$FB$8:$FB$154),0)</f>
        <v>6.7527207646315467E-3</v>
      </c>
      <c r="IR8" s="748">
        <f>IFERROR(SUMPRODUCT(('ANALYSE - ERP =&gt; SOUS-SEGMENT'!$C$8:$C$154=$C8)*'ANALYSE - ERP =&gt; SOUS-SEGMENT'!$Q$8:$Q$154*'ANALYSE - ERP =&gt; SOUS-SEGMENT'!$FB$8:$FB$154*'ANALYSE - ERP =&gt; SOUS-SEGMENT'!$IU$8:$IU$154)/SUMPRODUCT(('ANALYSE - ERP =&gt; SOUS-SEGMENT'!$C$8:$C$154=$C8)*'ANALYSE - ERP =&gt; SOUS-SEGMENT'!$Q$8:$Q$154*'ANALYSE - ERP =&gt; SOUS-SEGMENT'!$FB$8:$FB$154),0)</f>
        <v>0.18025454597231994</v>
      </c>
      <c r="IS8" s="748">
        <f>IFERROR(SUMPRODUCT(('ANALYSE - ERP =&gt; SOUS-SEGMENT'!$C$8:$C$154=$C8)*'ANALYSE - ERP =&gt; SOUS-SEGMENT'!$Q$8:$Q$154*'ANALYSE - ERP =&gt; SOUS-SEGMENT'!$FB$8:$FB$154*'ANALYSE - ERP =&gt; SOUS-SEGMENT'!$IV$8:$IV$154)/SUMPRODUCT(('ANALYSE - ERP =&gt; SOUS-SEGMENT'!$C$8:$C$154=$C8)*'ANALYSE - ERP =&gt; SOUS-SEGMENT'!$Q$8:$Q$154*'ANALYSE - ERP =&gt; SOUS-SEGMENT'!$FB$8:$FB$154),0)</f>
        <v>0.54173719164601419</v>
      </c>
      <c r="IT8" s="748">
        <f>IFERROR(SUMPRODUCT(('ANALYSE - ERP =&gt; SOUS-SEGMENT'!$C$8:$C$154=$C8)*'ANALYSE - ERP =&gt; SOUS-SEGMENT'!$Q$8:$Q$154*'ANALYSE - ERP =&gt; SOUS-SEGMENT'!$FB$8:$FB$154*'ANALYSE - ERP =&gt; SOUS-SEGMENT'!$IW$8:$IW$154)/SUMPRODUCT(('ANALYSE - ERP =&gt; SOUS-SEGMENT'!$C$8:$C$154=$C8)*'ANALYSE - ERP =&gt; SOUS-SEGMENT'!$Q$8:$Q$154*'ANALYSE - ERP =&gt; SOUS-SEGMENT'!$FB$8:$FB$154),0)</f>
        <v>0.27089926309816426</v>
      </c>
      <c r="IU8" s="748">
        <f>IFERROR(SUMPRODUCT(('ANALYSE - ERP =&gt; SOUS-SEGMENT'!$C$8:$C$154=$C8)*'ANALYSE - ERP =&gt; SOUS-SEGMENT'!$Q$8:$Q$154*'ANALYSE - ERP =&gt; SOUS-SEGMENT'!$FB$8:$FB$154*'ANALYSE - ERP =&gt; SOUS-SEGMENT'!$IX$8:$IX$154)/SUMPRODUCT(('ANALYSE - ERP =&gt; SOUS-SEGMENT'!$C$8:$C$154=$C8)*'ANALYSE - ERP =&gt; SOUS-SEGMENT'!$Q$8:$Q$154*'ANALYSE - ERP =&gt; SOUS-SEGMENT'!$FB$8:$FB$154),0)</f>
        <v>3.5627851887013069E-4</v>
      </c>
      <c r="IV8" s="771">
        <f>IFERROR(SUMPRODUCT(('ANALYSE - ERP =&gt; SOUS-SEGMENT'!$C$8:$C$154=$C8)*'ANALYSE - ERP =&gt; SOUS-SEGMENT'!$Q$8:$Q$154*'ANALYSE - ERP =&gt; SOUS-SEGMENT'!$BF$8:$BF$154*'ANALYSE - ERP =&gt; SOUS-SEGMENT'!$IY$8:$IY$154)/SUMPRODUCT(('ANALYSE - ERP =&gt; SOUS-SEGMENT'!$C$8:$C$154=$C8)*'ANALYSE - ERP =&gt; SOUS-SEGMENT'!$Q$8:$Q$154*'ANALYSE - ERP =&gt; SOUS-SEGMENT'!$BF$8:$BF$154),0)</f>
        <v>1.535616257900268E-2</v>
      </c>
      <c r="IW8" s="748">
        <f>IFERROR(SUMPRODUCT(('ANALYSE - ERP =&gt; SOUS-SEGMENT'!$C$8:$C$154=$C8)*'ANALYSE - ERP =&gt; SOUS-SEGMENT'!$Q$8:$Q$154*'ANALYSE - ERP =&gt; SOUS-SEGMENT'!$BF$8:$BF$154*'ANALYSE - ERP =&gt; SOUS-SEGMENT'!$IZ$8:$IZ$154)/SUMPRODUCT(('ANALYSE - ERP =&gt; SOUS-SEGMENT'!$C$8:$C$154=$C8)*'ANALYSE - ERP =&gt; SOUS-SEGMENT'!$Q$8:$Q$154*'ANALYSE - ERP =&gt; SOUS-SEGMENT'!$BF$8:$BF$154),0)</f>
        <v>0.34423170468169506</v>
      </c>
      <c r="IX8" s="748">
        <f>IFERROR(SUMPRODUCT(('ANALYSE - ERP =&gt; SOUS-SEGMENT'!$C$8:$C$154=$C8)*'ANALYSE - ERP =&gt; SOUS-SEGMENT'!$Q$8:$Q$154*'ANALYSE - ERP =&gt; SOUS-SEGMENT'!$BF$8:$BF$154*'ANALYSE - ERP =&gt; SOUS-SEGMENT'!$JA$8:$JA$154)/SUMPRODUCT(('ANALYSE - ERP =&gt; SOUS-SEGMENT'!$C$8:$C$154=$C8)*'ANALYSE - ERP =&gt; SOUS-SEGMENT'!$Q$8:$Q$154*'ANALYSE - ERP =&gt; SOUS-SEGMENT'!$BF$8:$BF$154),0)</f>
        <v>0.51865996506860457</v>
      </c>
      <c r="IY8" s="748">
        <f>IFERROR(SUMPRODUCT(('ANALYSE - ERP =&gt; SOUS-SEGMENT'!$C$8:$C$154=$C8)*'ANALYSE - ERP =&gt; SOUS-SEGMENT'!$Q$8:$Q$154*'ANALYSE - ERP =&gt; SOUS-SEGMENT'!$BF$8:$BF$154*'ANALYSE - ERP =&gt; SOUS-SEGMENT'!$JB$8:$JB$154)/SUMPRODUCT(('ANALYSE - ERP =&gt; SOUS-SEGMENT'!$C$8:$C$154=$C8)*'ANALYSE - ERP =&gt; SOUS-SEGMENT'!$Q$8:$Q$154*'ANALYSE - ERP =&gt; SOUS-SEGMENT'!$BF$8:$BF$154),0)</f>
        <v>0.10541137934607243</v>
      </c>
      <c r="IZ8" s="749">
        <f>IFERROR(SUMPRODUCT(('ANALYSE - ERP =&gt; SOUS-SEGMENT'!$C$8:$C$154=$C8)*'ANALYSE - ERP =&gt; SOUS-SEGMENT'!$Q$8:$Q$154*'ANALYSE - ERP =&gt; SOUS-SEGMENT'!$BF$8:$BF$154*'ANALYSE - ERP =&gt; SOUS-SEGMENT'!$JC$8:$JC$154)/SUMPRODUCT(('ANALYSE - ERP =&gt; SOUS-SEGMENT'!$C$8:$C$154=$C8)*'ANALYSE - ERP =&gt; SOUS-SEGMENT'!$Q$8:$Q$154*'ANALYSE - ERP =&gt; SOUS-SEGMENT'!$BF$8:$BF$154),0)</f>
        <v>0</v>
      </c>
      <c r="JA8" s="748">
        <f>IFERROR(SUMPRODUCT(('ANALYSE - ERP =&gt; SOUS-SEGMENT'!$C$8:$C$154=$C8)*'ANALYSE - ERP =&gt; SOUS-SEGMENT'!$Q$8:$Q$154*'ANALYSE - ERP =&gt; SOUS-SEGMENT'!$FE$8:$FE$154*'ANALYSE - ERP =&gt; SOUS-SEGMENT'!$JD$8:$JD$154)/SUMPRODUCT(('ANALYSE - ERP =&gt; SOUS-SEGMENT'!$C$8:$C$154=$C8)*'ANALYSE - ERP =&gt; SOUS-SEGMENT'!$Q$8:$Q$154*'ANALYSE - ERP =&gt; SOUS-SEGMENT'!$FE$8:$FE$154),0)</f>
        <v>4.9538538189326164E-3</v>
      </c>
      <c r="JB8" s="748">
        <f>IFERROR(SUMPRODUCT(('ANALYSE - ERP =&gt; SOUS-SEGMENT'!$C$8:$C$154=$C8)*'ANALYSE - ERP =&gt; SOUS-SEGMENT'!$Q$8:$Q$154*'ANALYSE - ERP =&gt; SOUS-SEGMENT'!$FE$8:$FE$154*'ANALYSE - ERP =&gt; SOUS-SEGMENT'!$JE$8:$JE$154)/SUMPRODUCT(('ANALYSE - ERP =&gt; SOUS-SEGMENT'!$C$8:$C$154=$C8)*'ANALYSE - ERP =&gt; SOUS-SEGMENT'!$Q$8:$Q$154*'ANALYSE - ERP =&gt; SOUS-SEGMENT'!$FE$8:$FE$154),0)</f>
        <v>0.19150081444163597</v>
      </c>
      <c r="JC8" s="748">
        <f>IFERROR(SUMPRODUCT(('ANALYSE - ERP =&gt; SOUS-SEGMENT'!$C$8:$C$154=$C8)*'ANALYSE - ERP =&gt; SOUS-SEGMENT'!$Q$8:$Q$154*'ANALYSE - ERP =&gt; SOUS-SEGMENT'!$FE$8:$FE$154*'ANALYSE - ERP =&gt; SOUS-SEGMENT'!$JF$8:$JF$154)/SUMPRODUCT(('ANALYSE - ERP =&gt; SOUS-SEGMENT'!$C$8:$C$154=$C8)*'ANALYSE - ERP =&gt; SOUS-SEGMENT'!$Q$8:$Q$154*'ANALYSE - ERP =&gt; SOUS-SEGMENT'!$FE$8:$FE$154),0)</f>
        <v>0.53781536552730547</v>
      </c>
      <c r="JD8" s="748">
        <f>IFERROR(SUMPRODUCT(('ANALYSE - ERP =&gt; SOUS-SEGMENT'!$C$8:$C$154=$C8)*'ANALYSE - ERP =&gt; SOUS-SEGMENT'!$Q$8:$Q$154*'ANALYSE - ERP =&gt; SOUS-SEGMENT'!$FE$8:$FE$154*'ANALYSE - ERP =&gt; SOUS-SEGMENT'!$JG$8:$JG$154)/SUMPRODUCT(('ANALYSE - ERP =&gt; SOUS-SEGMENT'!$C$8:$C$154=$C8)*'ANALYSE - ERP =&gt; SOUS-SEGMENT'!$Q$8:$Q$154*'ANALYSE - ERP =&gt; SOUS-SEGMENT'!$FE$8:$FE$154),0)</f>
        <v>0.23446201355968962</v>
      </c>
      <c r="JE8" s="748">
        <f>IFERROR(SUMPRODUCT(('ANALYSE - ERP =&gt; SOUS-SEGMENT'!$C$8:$C$154=$C8)*'ANALYSE - ERP =&gt; SOUS-SEGMENT'!$Q$8:$Q$154*'ANALYSE - ERP =&gt; SOUS-SEGMENT'!$FE$8:$FE$154*'ANALYSE - ERP =&gt; SOUS-SEGMENT'!$JH$8:$JH$154)/SUMPRODUCT(('ANALYSE - ERP =&gt; SOUS-SEGMENT'!$C$8:$C$154=$C8)*'ANALYSE - ERP =&gt; SOUS-SEGMENT'!$Q$8:$Q$154*'ANALYSE - ERP =&gt; SOUS-SEGMENT'!$FE$8:$FE$154),0)</f>
        <v>2.4266189555106009E-4</v>
      </c>
      <c r="JF8" s="772">
        <f>IFERROR(SUMPRODUCT(('ANALYSE - ERP =&gt; SOUS-SEGMENT'!$C$8:$C$154=$C8)*'ANALYSE - ERP =&gt; SOUS-SEGMENT'!$Q$8:$Q$154*'ANALYSE - ERP =&gt; SOUS-SEGMENT'!$BG$8:$BG$154*'ANALYSE - ERP =&gt; SOUS-SEGMENT'!$JI$8:$JI$154)/SUMPRODUCT(('ANALYSE - ERP =&gt; SOUS-SEGMENT'!$C$8:$C$154=$C8)*'ANALYSE - ERP =&gt; SOUS-SEGMENT'!$Q$8:$Q$154*'ANALYSE - ERP =&gt; SOUS-SEGMENT'!$BG$8:$BG$154),0)</f>
        <v>0</v>
      </c>
      <c r="JG8" s="773">
        <f>IFERROR(SUMPRODUCT(('ANALYSE - ERP =&gt; SOUS-SEGMENT'!$C$8:$C$154=$C8)*'ANALYSE - ERP =&gt; SOUS-SEGMENT'!$Q$8:$Q$154*'ANALYSE - ERP =&gt; SOUS-SEGMENT'!$BG$8:$BG$154*'ANALYSE - ERP =&gt; SOUS-SEGMENT'!$JJ$8:$JJ$154)/SUMPRODUCT(('ANALYSE - ERP =&gt; SOUS-SEGMENT'!$C$8:$C$154=$C8)*'ANALYSE - ERP =&gt; SOUS-SEGMENT'!$Q$8:$Q$154*'ANALYSE - ERP =&gt; SOUS-SEGMENT'!$BG$8:$BG$154),0)</f>
        <v>0</v>
      </c>
      <c r="JH8" s="773">
        <f>IFERROR(SUMPRODUCT(('ANALYSE - ERP =&gt; SOUS-SEGMENT'!$C$8:$C$154=$C8)*'ANALYSE - ERP =&gt; SOUS-SEGMENT'!$Q$8:$Q$154*'ANALYSE - ERP =&gt; SOUS-SEGMENT'!$BG$8:$BG$154*'ANALYSE - ERP =&gt; SOUS-SEGMENT'!$JK$8:$JK$154)/SUMPRODUCT(('ANALYSE - ERP =&gt; SOUS-SEGMENT'!$C$8:$C$154=$C8)*'ANALYSE - ERP =&gt; SOUS-SEGMENT'!$Q$8:$Q$154*'ANALYSE - ERP =&gt; SOUS-SEGMENT'!$BG$8:$BG$154),0)</f>
        <v>0</v>
      </c>
      <c r="JI8" s="773">
        <f>IFERROR(SUMPRODUCT(('ANALYSE - ERP =&gt; SOUS-SEGMENT'!$C$8:$C$154=$C8)*'ANALYSE - ERP =&gt; SOUS-SEGMENT'!$Q$8:$Q$154*'ANALYSE - ERP =&gt; SOUS-SEGMENT'!$BG$8:$BG$154*'ANALYSE - ERP =&gt; SOUS-SEGMENT'!$JL$8:$JL$154)/SUMPRODUCT(('ANALYSE - ERP =&gt; SOUS-SEGMENT'!$C$8:$C$154=$C8)*'ANALYSE - ERP =&gt; SOUS-SEGMENT'!$Q$8:$Q$154*'ANALYSE - ERP =&gt; SOUS-SEGMENT'!$BG$8:$BG$154),0)</f>
        <v>0</v>
      </c>
      <c r="JJ8" s="774">
        <f>IFERROR(SUMPRODUCT(('ANALYSE - ERP =&gt; SOUS-SEGMENT'!$C$8:$C$154=$C8)*'ANALYSE - ERP =&gt; SOUS-SEGMENT'!$Q$8:$Q$154*'ANALYSE - ERP =&gt; SOUS-SEGMENT'!$BG$8:$BG$154*'ANALYSE - ERP =&gt; SOUS-SEGMENT'!$JM$8:$JM$154)/SUMPRODUCT(('ANALYSE - ERP =&gt; SOUS-SEGMENT'!$C$8:$C$154=$C8)*'ANALYSE - ERP =&gt; SOUS-SEGMENT'!$Q$8:$Q$154*'ANALYSE - ERP =&gt; SOUS-SEGMENT'!$BG$8:$BG$154),0)</f>
        <v>0</v>
      </c>
      <c r="JK8" s="773">
        <f>IFERROR(SUMPRODUCT(('ANALYSE - ERP =&gt; SOUS-SEGMENT'!$C$8:$C$154=$C8)*'ANALYSE - ERP =&gt; SOUS-SEGMENT'!$Q$8:$Q$154*'ANALYSE - ERP =&gt; SOUS-SEGMENT'!$FH$8:$FH$154*'ANALYSE - ERP =&gt; SOUS-SEGMENT'!$JN$8:$JN$154)/SUMPRODUCT(('ANALYSE - ERP =&gt; SOUS-SEGMENT'!$C$8:$C$154=$C8)*'ANALYSE - ERP =&gt; SOUS-SEGMENT'!$Q$8:$Q$154*'ANALYSE - ERP =&gt; SOUS-SEGMENT'!$FH$8:$FH$154),0)</f>
        <v>0</v>
      </c>
      <c r="JL8" s="773">
        <f>IFERROR(SUMPRODUCT(('ANALYSE - ERP =&gt; SOUS-SEGMENT'!$C$8:$C$154=$C8)*'ANALYSE - ERP =&gt; SOUS-SEGMENT'!$Q$8:$Q$154*'ANALYSE - ERP =&gt; SOUS-SEGMENT'!$FH$8:$FH$154*'ANALYSE - ERP =&gt; SOUS-SEGMENT'!$JO$8:$JO$154)/SUMPRODUCT(('ANALYSE - ERP =&gt; SOUS-SEGMENT'!$C$8:$C$154=$C8)*'ANALYSE - ERP =&gt; SOUS-SEGMENT'!$Q$8:$Q$154*'ANALYSE - ERP =&gt; SOUS-SEGMENT'!$FH$8:$FH$154),0)</f>
        <v>0</v>
      </c>
      <c r="JM8" s="773">
        <f>IFERROR(SUMPRODUCT(('ANALYSE - ERP =&gt; SOUS-SEGMENT'!$C$8:$C$154=$C8)*'ANALYSE - ERP =&gt; SOUS-SEGMENT'!$Q$8:$Q$154*'ANALYSE - ERP =&gt; SOUS-SEGMENT'!$FH$8:$FH$154*'ANALYSE - ERP =&gt; SOUS-SEGMENT'!$JP$8:$JP$154)/SUMPRODUCT(('ANALYSE - ERP =&gt; SOUS-SEGMENT'!$C$8:$C$154=$C8)*'ANALYSE - ERP =&gt; SOUS-SEGMENT'!$Q$8:$Q$154*'ANALYSE - ERP =&gt; SOUS-SEGMENT'!$FH$8:$FH$154),0)</f>
        <v>0</v>
      </c>
      <c r="JN8" s="773">
        <f>IFERROR(SUMPRODUCT(('ANALYSE - ERP =&gt; SOUS-SEGMENT'!$C$8:$C$154=$C8)*'ANALYSE - ERP =&gt; SOUS-SEGMENT'!$Q$8:$Q$154*'ANALYSE - ERP =&gt; SOUS-SEGMENT'!$FH$8:$FH$154*'ANALYSE - ERP =&gt; SOUS-SEGMENT'!$JQ$8:$JQ$154)/SUMPRODUCT(('ANALYSE - ERP =&gt; SOUS-SEGMENT'!$C$8:$C$154=$C8)*'ANALYSE - ERP =&gt; SOUS-SEGMENT'!$Q$8:$Q$154*'ANALYSE - ERP =&gt; SOUS-SEGMENT'!$FH$8:$FH$154),0)</f>
        <v>0</v>
      </c>
      <c r="JO8" s="773">
        <f>IFERROR(SUMPRODUCT(('ANALYSE - ERP =&gt; SOUS-SEGMENT'!$C$8:$C$154=$C8)*'ANALYSE - ERP =&gt; SOUS-SEGMENT'!$Q$8:$Q$154*'ANALYSE - ERP =&gt; SOUS-SEGMENT'!$FH$8:$FH$154*'ANALYSE - ERP =&gt; SOUS-SEGMENT'!$JR$8:$JR$154)/SUMPRODUCT(('ANALYSE - ERP =&gt; SOUS-SEGMENT'!$C$8:$C$154=$C8)*'ANALYSE - ERP =&gt; SOUS-SEGMENT'!$Q$8:$Q$154*'ANALYSE - ERP =&gt; SOUS-SEGMENT'!$FH$8:$FH$154),0)</f>
        <v>0</v>
      </c>
      <c r="JP8" s="771">
        <f>IFERROR(SUMPRODUCT(('ANALYSE - ERP =&gt; SOUS-SEGMENT'!$C$8:$C$154=$C8)*'ANALYSE - ERP =&gt; SOUS-SEGMENT'!$Q$8:$Q$154*'ANALYSE - ERP =&gt; SOUS-SEGMENT'!$BH$8:$BH$154*'ANALYSE - ERP =&gt; SOUS-SEGMENT'!$JS$8:$JS$154)/SUMPRODUCT(('ANALYSE - ERP =&gt; SOUS-SEGMENT'!$C$8:$C$154=$C8)*'ANALYSE - ERP =&gt; SOUS-SEGMENT'!$Q$8:$Q$154*'ANALYSE - ERP =&gt; SOUS-SEGMENT'!$BH$8:$BH$154),0)</f>
        <v>2.0138285880866781E-2</v>
      </c>
      <c r="JQ8" s="748">
        <f>IFERROR(SUMPRODUCT(('ANALYSE - ERP =&gt; SOUS-SEGMENT'!$C$8:$C$154=$C8)*'ANALYSE - ERP =&gt; SOUS-SEGMENT'!$Q$8:$Q$154*'ANALYSE - ERP =&gt; SOUS-SEGMENT'!$BH$8:$BH$154*'ANALYSE - ERP =&gt; SOUS-SEGMENT'!$JT$8:$JT$154)/SUMPRODUCT(('ANALYSE - ERP =&gt; SOUS-SEGMENT'!$C$8:$C$154=$C8)*'ANALYSE - ERP =&gt; SOUS-SEGMENT'!$Q$8:$Q$154*'ANALYSE - ERP =&gt; SOUS-SEGMENT'!$BH$8:$BH$154),0)</f>
        <v>0.36559653580798751</v>
      </c>
      <c r="JR8" s="748">
        <f>IFERROR(SUMPRODUCT(('ANALYSE - ERP =&gt; SOUS-SEGMENT'!$C$8:$C$154=$C8)*'ANALYSE - ERP =&gt; SOUS-SEGMENT'!$Q$8:$Q$154*'ANALYSE - ERP =&gt; SOUS-SEGMENT'!$BH$8:$BH$154*'ANALYSE - ERP =&gt; SOUS-SEGMENT'!$JU$8:$JU$154)/SUMPRODUCT(('ANALYSE - ERP =&gt; SOUS-SEGMENT'!$C$8:$C$154=$C8)*'ANALYSE - ERP =&gt; SOUS-SEGMENT'!$Q$8:$Q$154*'ANALYSE - ERP =&gt; SOUS-SEGMENT'!$BH$8:$BH$154),0)</f>
        <v>0.51573270333300947</v>
      </c>
      <c r="JS8" s="748">
        <f>IFERROR(SUMPRODUCT(('ANALYSE - ERP =&gt; SOUS-SEGMENT'!$C$8:$C$154=$C8)*'ANALYSE - ERP =&gt; SOUS-SEGMENT'!$Q$8:$Q$154*'ANALYSE - ERP =&gt; SOUS-SEGMENT'!$BH$8:$BH$154*'ANALYSE - ERP =&gt; SOUS-SEGMENT'!$JV$8:$JV$154)/SUMPRODUCT(('ANALYSE - ERP =&gt; SOUS-SEGMENT'!$C$8:$C$154=$C8)*'ANALYSE - ERP =&gt; SOUS-SEGMENT'!$Q$8:$Q$154*'ANALYSE - ERP =&gt; SOUS-SEGMENT'!$BH$8:$BH$154),0)</f>
        <v>9.8532474978136234E-2</v>
      </c>
      <c r="JT8" s="749">
        <f>IFERROR(SUMPRODUCT(('ANALYSE - ERP =&gt; SOUS-SEGMENT'!$C$8:$C$154=$C8)*'ANALYSE - ERP =&gt; SOUS-SEGMENT'!$Q$8:$Q$154*'ANALYSE - ERP =&gt; SOUS-SEGMENT'!$BH$8:$BH$154*'ANALYSE - ERP =&gt; SOUS-SEGMENT'!$JW$8:$JW$154)/SUMPRODUCT(('ANALYSE - ERP =&gt; SOUS-SEGMENT'!$C$8:$C$154=$C8)*'ANALYSE - ERP =&gt; SOUS-SEGMENT'!$Q$8:$Q$154*'ANALYSE - ERP =&gt; SOUS-SEGMENT'!$BH$8:$BH$154),0)</f>
        <v>0</v>
      </c>
      <c r="JU8" s="771">
        <f>IFERROR(SUMPRODUCT(('ANALYSE - ERP =&gt; SOUS-SEGMENT'!$C$8:$C$154=$C8)*'ANALYSE - ERP =&gt; SOUS-SEGMENT'!$Q$8:$Q$154*'ANALYSE - ERP =&gt; SOUS-SEGMENT'!$FK$8:$FK$154*'ANALYSE - ERP =&gt; SOUS-SEGMENT'!$JX$8:$JX$154)/SUMPRODUCT(('ANALYSE - ERP =&gt; SOUS-SEGMENT'!$C$8:$C$154=$C8)*'ANALYSE - ERP =&gt; SOUS-SEGMENT'!$Q$8:$Q$154*'ANALYSE - ERP =&gt; SOUS-SEGMENT'!$FK$8:$FK$154),0)</f>
        <v>7.4215997127077557E-3</v>
      </c>
      <c r="JV8" s="748">
        <f>IFERROR(SUMPRODUCT(('ANALYSE - ERP =&gt; SOUS-SEGMENT'!$C$8:$C$154=$C8)*'ANALYSE - ERP =&gt; SOUS-SEGMENT'!$Q$8:$Q$154*'ANALYSE - ERP =&gt; SOUS-SEGMENT'!$FK$8:$FK$154*'ANALYSE - ERP =&gt; SOUS-SEGMENT'!$JY$8:$JY$154)/SUMPRODUCT(('ANALYSE - ERP =&gt; SOUS-SEGMENT'!$C$8:$C$154=$C8)*'ANALYSE - ERP =&gt; SOUS-SEGMENT'!$Q$8:$Q$154*'ANALYSE - ERP =&gt; SOUS-SEGMENT'!$FK$8:$FK$154),0)</f>
        <v>0.21501740300868402</v>
      </c>
      <c r="JW8" s="748">
        <f>IFERROR(SUMPRODUCT(('ANALYSE - ERP =&gt; SOUS-SEGMENT'!$C$8:$C$154=$C8)*'ANALYSE - ERP =&gt; SOUS-SEGMENT'!$Q$8:$Q$154*'ANALYSE - ERP =&gt; SOUS-SEGMENT'!$FK$8:$FK$154*'ANALYSE - ERP =&gt; SOUS-SEGMENT'!$JZ$8:$JZ$154)/SUMPRODUCT(('ANALYSE - ERP =&gt; SOUS-SEGMENT'!$C$8:$C$154=$C8)*'ANALYSE - ERP =&gt; SOUS-SEGMENT'!$Q$8:$Q$154*'ANALYSE - ERP =&gt; SOUS-SEGMENT'!$FK$8:$FK$154),0)</f>
        <v>0.55214405242672826</v>
      </c>
      <c r="JX8" s="748">
        <f>IFERROR(SUMPRODUCT(('ANALYSE - ERP =&gt; SOUS-SEGMENT'!$C$8:$C$154=$C8)*'ANALYSE - ERP =&gt; SOUS-SEGMENT'!$Q$8:$Q$154*'ANALYSE - ERP =&gt; SOUS-SEGMENT'!$FK$8:$FK$154*'ANALYSE - ERP =&gt; SOUS-SEGMENT'!$KA$8:$KA$154)/SUMPRODUCT(('ANALYSE - ERP =&gt; SOUS-SEGMENT'!$C$8:$C$154=$C8)*'ANALYSE - ERP =&gt; SOUS-SEGMENT'!$Q$8:$Q$154*'ANALYSE - ERP =&gt; SOUS-SEGMENT'!$FK$8:$FK$154),0)</f>
        <v>0.22508877887818862</v>
      </c>
      <c r="JY8" s="775">
        <f>IFERROR(SUMPRODUCT(('ANALYSE - ERP =&gt; SOUS-SEGMENT'!$C$8:$C$154=$C8)*'ANALYSE - ERP =&gt; SOUS-SEGMENT'!$Q$8:$Q$154*'ANALYSE - ERP =&gt; SOUS-SEGMENT'!$FK$8:$FK$154*'ANALYSE - ERP =&gt; SOUS-SEGMENT'!$KB$8:$KB$154)/SUMPRODUCT(('ANALYSE - ERP =&gt; SOUS-SEGMENT'!$C$8:$C$154=$C8)*'ANALYSE - ERP =&gt; SOUS-SEGMENT'!$Q$8:$Q$154*'ANALYSE - ERP =&gt; SOUS-SEGMENT'!$FK$8:$FK$154),0)</f>
        <v>3.2816597369115917E-4</v>
      </c>
      <c r="JZ8" s="657"/>
      <c r="KA8" s="314" t="s">
        <v>2591</v>
      </c>
      <c r="KB8" s="314" t="s">
        <v>2625</v>
      </c>
      <c r="KC8" s="866">
        <f>IFERROR(SUMPRODUCT(('ANALYSE - ERP =&gt; SOUS-SEGMENT'!$C$8:$C$154=$C8)*'ANALYSE - ERP =&gt; SOUS-SEGMENT'!$Q$8:$Q$154*'ANALYSE - ERP =&gt; SOUS-SEGMENT'!$EX$8:$EX$154*'ANALYSE - ERP =&gt; SOUS-SEGMENT'!$KF$8:$KF$154)/SUMPRODUCT(('ANALYSE - ERP =&gt; SOUS-SEGMENT'!$C$8:$C$154=$C8)*'ANALYSE - ERP =&gt; SOUS-SEGMENT'!$Q$8:$Q$154*'ANALYSE - ERP =&gt; SOUS-SEGMENT'!$EX$8:$EX$154),"")</f>
        <v>3.9678607398411745</v>
      </c>
      <c r="KD8" s="314" t="s">
        <v>2589</v>
      </c>
      <c r="KE8" s="315" t="s">
        <v>2627</v>
      </c>
      <c r="KF8" s="617" t="s">
        <v>6760</v>
      </c>
      <c r="KG8" s="315" t="s">
        <v>6760</v>
      </c>
    </row>
    <row r="9" spans="1:293" ht="108" customHeight="1">
      <c r="A9" s="265">
        <v>2</v>
      </c>
      <c r="B9" s="482" t="s">
        <v>6739</v>
      </c>
      <c r="C9" s="482" t="s">
        <v>2678</v>
      </c>
      <c r="D9" s="482" t="s">
        <v>6761</v>
      </c>
      <c r="E9" s="267" t="s">
        <v>2106</v>
      </c>
      <c r="F9" s="267" t="s">
        <v>6762</v>
      </c>
      <c r="G9" s="267" t="s">
        <v>300</v>
      </c>
      <c r="H9" s="267" t="s">
        <v>2109</v>
      </c>
      <c r="I9" s="268" t="s">
        <v>6763</v>
      </c>
      <c r="J9" s="268" t="s">
        <v>6764</v>
      </c>
      <c r="K9" s="269" t="s">
        <v>2117</v>
      </c>
      <c r="L9" s="269" t="s">
        <v>2109</v>
      </c>
      <c r="M9" s="269" t="s">
        <v>2603</v>
      </c>
      <c r="N9" s="269" t="s">
        <v>6742</v>
      </c>
      <c r="O9" s="269" t="s">
        <v>2212</v>
      </c>
      <c r="P9" s="268"/>
      <c r="Q9" s="270">
        <f>IF(SUMPRODUCT(('ANALYSE - ERP =&gt; SOUS-SEGMENT'!$C$8:$C$154=$C9)*'ANALYSE - ERP =&gt; SOUS-SEGMENT'!$Q$8:$Q$154)&gt;0,1,0)</f>
        <v>1</v>
      </c>
      <c r="R9" s="271">
        <f>IFERROR(SUMPRODUCT(('ANALYSE - ERP =&gt; SOUS-SEGMENT'!$C$8:$C$154=$C9)*'ANALYSE - ERP =&gt; SOUS-SEGMENT'!$Q$8:$Q$154*'ANALYSE - ERP =&gt; SOUS-SEGMENT'!$AG$8:$AG$154*'ANALYSE - ERP =&gt; SOUS-SEGMENT'!$R$8:$R$154)/SUMPRODUCT(('ANALYSE - ERP =&gt; SOUS-SEGMENT'!$C$8:$C$154=$C9)*'ANALYSE - ERP =&gt; SOUS-SEGMENT'!$Q$8:$Q$154*'ANALYSE - ERP =&gt; SOUS-SEGMENT'!$AG$8:$AG$154),"")</f>
        <v>3005.2624984337804</v>
      </c>
      <c r="S9" s="272">
        <f>SUMPRODUCT(('ANALYSE - ERP =&gt; SOUS-SEGMENT'!$C$8:$C$154=$C9)*'ANALYSE - ERP =&gt; SOUS-SEGMENT'!$Q$8:$Q$154*'ANALYSE - ERP =&gt; SOUS-SEGMENT'!$S$8:$S$154)</f>
        <v>66850</v>
      </c>
      <c r="T9" s="272">
        <f>SUMPRODUCT(('ANALYSE - ERP =&gt; SOUS-SEGMENT'!$C$8:$C$154=$C9)*'ANALYSE - ERP =&gt; SOUS-SEGMENT'!$Q$8:$Q$154*'ANALYSE - ERP =&gt; SOUS-SEGMENT'!$T$8:$T$154)</f>
        <v>66130</v>
      </c>
      <c r="U9" s="272">
        <f>SUMPRODUCT(('ANALYSE - ERP =&gt; SOUS-SEGMENT'!$C$8:$C$154=$C9)*'ANALYSE - ERP =&gt; SOUS-SEGMENT'!$Q$8:$Q$154*'ANALYSE - ERP =&gt; SOUS-SEGMENT'!$U$8:$U$154)</f>
        <v>65353</v>
      </c>
      <c r="V9" s="272">
        <f>SUMPRODUCT(('ANALYSE - ERP =&gt; SOUS-SEGMENT'!$C$8:$C$154=$C9)*'ANALYSE - ERP =&gt; SOUS-SEGMENT'!$Q$8:$Q$154*'ANALYSE - ERP =&gt; SOUS-SEGMENT'!$V$8:$V$154)</f>
        <v>64548</v>
      </c>
      <c r="W9" s="272">
        <f>SUMPRODUCT(('ANALYSE - ERP =&gt; SOUS-SEGMENT'!$C$8:$C$154=$C9)*'ANALYSE - ERP =&gt; SOUS-SEGMENT'!$Q$8:$Q$154*'ANALYSE - ERP =&gt; SOUS-SEGMENT'!$W$8:$W$154)</f>
        <v>64453</v>
      </c>
      <c r="X9" s="272">
        <f>SUMPRODUCT(('ANALYSE - ERP =&gt; SOUS-SEGMENT'!$C$8:$C$154=$C9)*'ANALYSE - ERP =&gt; SOUS-SEGMENT'!$Q$8:$Q$154*'ANALYSE - ERP =&gt; SOUS-SEGMENT'!$X$8:$X$154)</f>
        <v>64370</v>
      </c>
      <c r="Y9" s="272">
        <f>SUMPRODUCT(('ANALYSE - ERP =&gt; SOUS-SEGMENT'!$C$8:$C$154=$C9)*'ANALYSE - ERP =&gt; SOUS-SEGMENT'!$Q$8:$Q$154*'ANALYSE - ERP =&gt; SOUS-SEGMENT'!$Y$8:$Y$154)</f>
        <v>64289</v>
      </c>
      <c r="Z9" s="272">
        <f>SUMPRODUCT(('ANALYSE - ERP =&gt; SOUS-SEGMENT'!$C$8:$C$154=$C9)*'ANALYSE - ERP =&gt; SOUS-SEGMENT'!$Q$8:$Q$154*'ANALYSE - ERP =&gt; SOUS-SEGMENT'!$Z$8:$Z$154)</f>
        <v>64223</v>
      </c>
      <c r="AA9" s="272">
        <f>SUMPRODUCT(('ANALYSE - ERP =&gt; SOUS-SEGMENT'!$C$8:$C$154=$C9)*'ANALYSE - ERP =&gt; SOUS-SEGMENT'!$Q$8:$Q$154*'ANALYSE - ERP =&gt; SOUS-SEGMENT'!$AA$8:$AA$154)</f>
        <v>64159</v>
      </c>
      <c r="AB9" s="272">
        <f>SUMPRODUCT(('ANALYSE - ERP =&gt; SOUS-SEGMENT'!$C$8:$C$154=$C9)*'ANALYSE - ERP =&gt; SOUS-SEGMENT'!$Q$8:$Q$154*'ANALYSE - ERP =&gt; SOUS-SEGMENT'!$AB$8:$AB$154)</f>
        <v>64109</v>
      </c>
      <c r="AC9" s="272">
        <f>SUMPRODUCT(('ANALYSE - ERP =&gt; SOUS-SEGMENT'!$C$8:$C$154=$C9)*'ANALYSE - ERP =&gt; SOUS-SEGMENT'!$Q$8:$Q$154*'ANALYSE - ERP =&gt; SOUS-SEGMENT'!$AC$8:$AC$154)</f>
        <v>64072</v>
      </c>
      <c r="AD9" s="272">
        <f>SUMPRODUCT(('ANALYSE - ERP =&gt; SOUS-SEGMENT'!$C$8:$C$154=$C9)*'ANALYSE - ERP =&gt; SOUS-SEGMENT'!$Q$8:$Q$154*'ANALYSE - ERP =&gt; SOUS-SEGMENT'!$AD$8:$AD$154)</f>
        <v>64053</v>
      </c>
      <c r="AE9" s="272">
        <f>SUMPRODUCT(('ANALYSE - ERP =&gt; SOUS-SEGMENT'!$C$8:$C$154=$C9)*'ANALYSE - ERP =&gt; SOUS-SEGMENT'!$Q$8:$Q$154*'ANALYSE - ERP =&gt; SOUS-SEGMENT'!$AE$8:$AE$154)</f>
        <v>64034</v>
      </c>
      <c r="AF9" s="272">
        <f>SUMPRODUCT(('ANALYSE - ERP =&gt; SOUS-SEGMENT'!$C$8:$C$154=$C9)*'ANALYSE - ERP =&gt; SOUS-SEGMENT'!$Q$8:$Q$154*'ANALYSE - ERP =&gt; SOUS-SEGMENT'!$AF$8:$AF$154)</f>
        <v>63949</v>
      </c>
      <c r="AG9" s="272">
        <f>SUMPRODUCT(('ANALYSE - ERP =&gt; SOUS-SEGMENT'!$C$8:$C$154=$C9)*'ANALYSE - ERP =&gt; SOUS-SEGMENT'!$Q$8:$Q$154*'ANALYSE - ERP =&gt; SOUS-SEGMENT'!$AG$8:$AG$154)</f>
        <v>63848</v>
      </c>
      <c r="AH9" s="272">
        <f>SUMPRODUCT(('ANALYSE - ERP =&gt; SOUS-SEGMENT'!$C$8:$C$154=$C9)*'ANALYSE - ERP =&gt; SOUS-SEGMENT'!$Q$8:$Q$154*'ANALYSE - ERP =&gt; SOUS-SEGMENT'!$AH$8:$AH$154)</f>
        <v>63743</v>
      </c>
      <c r="AI9" s="272">
        <f>SUMPRODUCT(('ANALYSE - ERP =&gt; SOUS-SEGMENT'!$C$8:$C$154=$C9)*'ANALYSE - ERP =&gt; SOUS-SEGMENT'!$Q$8:$Q$154*'ANALYSE - ERP =&gt; SOUS-SEGMENT'!$AI$8:$AI$154)</f>
        <v>63638</v>
      </c>
      <c r="AJ9" s="272">
        <f>SUMPRODUCT(('ANALYSE - ERP =&gt; SOUS-SEGMENT'!$C$8:$C$154=$C9)*'ANALYSE - ERP =&gt; SOUS-SEGMENT'!$Q$8:$Q$154*'ANALYSE - ERP =&gt; SOUS-SEGMENT'!$AJ$8:$AJ$154)</f>
        <v>63532</v>
      </c>
      <c r="AK9" s="272">
        <f>SUMPRODUCT(('ANALYSE - ERP =&gt; SOUS-SEGMENT'!$C$8:$C$154=$C9)*'ANALYSE - ERP =&gt; SOUS-SEGMENT'!$Q$8:$Q$154*'ANALYSE - ERP =&gt; SOUS-SEGMENT'!$AK$8:$AK$154)</f>
        <v>63426</v>
      </c>
      <c r="AL9" s="268" t="s">
        <v>6765</v>
      </c>
      <c r="AM9" s="268" t="s">
        <v>6766</v>
      </c>
      <c r="AN9" s="268" t="s">
        <v>6767</v>
      </c>
      <c r="AO9" s="657"/>
      <c r="AP9" s="271">
        <f>IFERROR(SUMPRODUCT(('ANALYSE - ERP =&gt; SOUS-SEGMENT'!$C$8:$C$154=$C9)*'ANALYSE - ERP =&gt; SOUS-SEGMENT'!$Q$8:$Q$154*'ANALYSE - ERP =&gt; SOUS-SEGMENT'!$AG$8:$AG$154*'ANALYSE - ERP =&gt; SOUS-SEGMENT'!$AP$8:$AP$154)/SUMPRODUCT(('ANALYSE - ERP =&gt; SOUS-SEGMENT'!$C$8:$C$154=$C9)*'ANALYSE - ERP =&gt; SOUS-SEGMENT'!$Q$8:$Q$154*'ANALYSE - ERP =&gt; SOUS-SEGMENT'!$AG$8:$AG$154),"")</f>
        <v>279.72638140583888</v>
      </c>
      <c r="AQ9" s="280">
        <f>IFERROR(SUMPRODUCT(('ANALYSE - ERP =&gt; SOUS-SEGMENT'!$C$8:$C$154=$C9)*'ANALYSE - ERP =&gt; SOUS-SEGMENT'!$Q$8:$Q$154*'ANALYSE - ERP =&gt; SOUS-SEGMENT'!$AF$8:$AF$154*'ANALYSE - ERP =&gt; SOUS-SEGMENT'!$AQ$8:$AQ$154)/SUMPRODUCT(('ANALYSE - ERP =&gt; SOUS-SEGMENT'!$C$8:$C$154=$C9)*'ANALYSE - ERP =&gt; SOUS-SEGMENT'!$Q$8:$Q$154*'ANALYSE - ERP =&gt; SOUS-SEGMENT'!$AF$8:$AF$154),"")</f>
        <v>249.9629235797276</v>
      </c>
      <c r="AR9" s="974">
        <f>IFERROR(SUMPRODUCT(('ANALYSE - ERP =&gt; SOUS-SEGMENT'!$C$8:$C$154=$C9)*'ANALYSE - ERP =&gt; SOUS-SEGMENT'!$Q$8:$Q$154*'ANALYSE - ERP =&gt; SOUS-SEGMENT'!$AF$8:$AF$154*'ANALYSE - ERP =&gt; SOUS-SEGMENT'!$AR$8:$AR$154)/SUMPRODUCT(('ANALYSE - ERP =&gt; SOUS-SEGMENT'!$C$8:$C$154=$C9)*'ANALYSE - ERP =&gt; SOUS-SEGMENT'!$Q$8:$Q$154*'ANALYSE - ERP =&gt; SOUS-SEGMENT'!$AF$8:$AF$154),"")</f>
        <v>23.19406089227353</v>
      </c>
      <c r="AS9" s="974">
        <f>IFERROR(SUMPRODUCT(('ANALYSE - ERP =&gt; SOUS-SEGMENT'!$C$8:$C$154=$C9)*'ANALYSE - ERP =&gt; SOUS-SEGMENT'!$Q$8:$Q$154*'ANALYSE - ERP =&gt; SOUS-SEGMENT'!$AF$8:$AF$154*'ANALYSE - ERP =&gt; SOUS-SEGMENT'!$AS$8:$AS$154)/SUMPRODUCT(('ANALYSE - ERP =&gt; SOUS-SEGMENT'!$C$8:$C$154=$C9)*'ANALYSE - ERP =&gt; SOUS-SEGMENT'!$Q$8:$Q$154*'ANALYSE - ERP =&gt; SOUS-SEGMENT'!$AF$8:$AF$154),"")</f>
        <v>6.4925800247071885</v>
      </c>
      <c r="AT9" s="657" t="s">
        <v>6768</v>
      </c>
      <c r="AU9" s="290" t="s">
        <v>6769</v>
      </c>
      <c r="AV9" s="572" t="s">
        <v>2687</v>
      </c>
      <c r="AW9" s="290" t="s">
        <v>6770</v>
      </c>
      <c r="AX9" s="657"/>
      <c r="AY9" s="303">
        <f>IFERROR(SUMPRODUCT(('ANALYSE - ERP =&gt; SOUS-SEGMENT'!$C$8:$C$154=$C9)*'ANALYSE - ERP =&gt; SOUS-SEGMENT'!$Q$8:$Q$154*'ANALYSE - ERP =&gt; SOUS-SEGMENT'!$AF$8:$AF$154*'ANALYSE - ERP =&gt; SOUS-SEGMENT'!$AZ$8:$AZ$154)/SUMPRODUCT(('ANALYSE - ERP =&gt; SOUS-SEGMENT'!$C$8:$C$154=$C9)*'ANALYSE - ERP =&gt; SOUS-SEGMENT'!$Q$8:$Q$154*'ANALYSE - ERP =&gt; SOUS-SEGMENT'!$AF$8:$AF$154),"")</f>
        <v>15.681120893211778</v>
      </c>
      <c r="AZ9" s="948">
        <f>IFERROR(SUMPRODUCT(('ANALYSE - ERP =&gt; SOUS-SEGMENT'!$C$8:$C$154=$C9)*'ANALYSE - ERP =&gt; SOUS-SEGMENT'!$Q$8:$Q$154*'ANALYSE - ERP =&gt; SOUS-SEGMENT'!$AF$8:$AF$154*'ANALYSE - ERP =&gt; SOUS-SEGMENT'!$BA$8:$BA$154)/SUMPRODUCT(('ANALYSE - ERP =&gt; SOUS-SEGMENT'!$C$8:$C$154=$C9)*'ANALYSE - ERP =&gt; SOUS-SEGMENT'!$Q$8:$Q$154*'ANALYSE - ERP =&gt; SOUS-SEGMENT'!$AF$8:$AF$154),"")</f>
        <v>2.2932009882875417</v>
      </c>
      <c r="BA9" s="303">
        <f>IFERROR(SUMPRODUCT(('ANALYSE - ERP =&gt; SOUS-SEGMENT'!$C$8:$C$154=$C9)*'ANALYSE - ERP =&gt; SOUS-SEGMENT'!$Q$8:$Q$154*'ANALYSE - ERP =&gt; SOUS-SEGMENT'!$AF$8:$AF$154*'ANALYSE - ERP =&gt; SOUS-SEGMENT'!$BB$8:$BB$154)/SUMPRODUCT(('ANALYSE - ERP =&gt; SOUS-SEGMENT'!$C$8:$C$154=$C9)*'ANALYSE - ERP =&gt; SOUS-SEGMENT'!$Q$8:$Q$154*'ANALYSE - ERP =&gt; SOUS-SEGMENT'!$AF$8:$AF$154),"")</f>
        <v>3.5978201379224068</v>
      </c>
      <c r="BB9" s="303">
        <f>IFERROR(SUMPRODUCT(('ANALYSE - ERP =&gt; SOUS-SEGMENT'!$C$8:$C$154=$C9)*'ANALYSE - ERP =&gt; SOUS-SEGMENT'!$Q$8:$Q$154*'ANALYSE - ERP =&gt; SOUS-SEGMENT'!$AF$8:$AF$154*'ANALYSE - ERP =&gt; SOUS-SEGMENT'!$BC$8:$BC$154)/SUMPRODUCT(('ANALYSE - ERP =&gt; SOUS-SEGMENT'!$C$8:$C$154=$C9)*'ANALYSE - ERP =&gt; SOUS-SEGMENT'!$Q$8:$Q$154*'ANALYSE - ERP =&gt; SOUS-SEGMENT'!$AF$8:$AF$154),"")</f>
        <v>13.494863094028053</v>
      </c>
      <c r="BC9" s="304">
        <f>SUMPRODUCT(('ANALYSE - ERP =&gt; SOUS-SEGMENT'!$C$8:$C$154=$C9)*'ANALYSE - ERP =&gt; SOUS-SEGMENT'!$Q$8:$Q$154*'ANALYSE - ERP =&gt; SOUS-SEGMENT'!$BE$8:$BE$154)</f>
        <v>1002792</v>
      </c>
      <c r="BD9" s="304">
        <f>SUMPRODUCT(('ANALYSE - ERP =&gt; SOUS-SEGMENT'!$C$8:$C$154=$C9)*'ANALYSE - ERP =&gt; SOUS-SEGMENT'!$Q$8:$Q$154*'ANALYSE - ERP =&gt; SOUS-SEGMENT'!$BF$8:$BF$154)</f>
        <v>146647.91</v>
      </c>
      <c r="BE9" s="304">
        <f>SUMPRODUCT(('ANALYSE - ERP =&gt; SOUS-SEGMENT'!$C$8:$C$154=$C9)*'ANALYSE - ERP =&gt; SOUS-SEGMENT'!$Q$8:$Q$154*'ANALYSE - ERP =&gt; SOUS-SEGMENT'!$BG$8:$BG$154)</f>
        <v>230077</v>
      </c>
      <c r="BF9" s="304">
        <f>SUMPRODUCT(('ANALYSE - ERP =&gt; SOUS-SEGMENT'!$C$8:$C$154=$C9)*'ANALYSE - ERP =&gt; SOUS-SEGMENT'!$Q$8:$Q$154*'ANALYSE - ERP =&gt; SOUS-SEGMENT'!$BH$8:$BH$154)</f>
        <v>862983</v>
      </c>
      <c r="BG9" s="304">
        <f>SUMPRODUCT(('ANALYSE - ERP =&gt; SOUS-SEGMENT'!$C$8:$C$154=$C9)*'ANALYSE - ERP =&gt; SOUS-SEGMENT'!$Q$8:$Q$154*'ANALYSE - ERP =&gt; SOUS-SEGMENT'!$BJ$8:$BJ$154)</f>
        <v>995794</v>
      </c>
      <c r="BH9" s="304">
        <f>SUMPRODUCT(('ANALYSE - ERP =&gt; SOUS-SEGMENT'!$C$8:$C$154=$C9)*'ANALYSE - ERP =&gt; SOUS-SEGMENT'!$Q$8:$Q$154*'ANALYSE - ERP =&gt; SOUS-SEGMENT'!$BK$8:$BK$154)</f>
        <v>146412.46</v>
      </c>
      <c r="BI9" s="304">
        <f>SUMPRODUCT(('ANALYSE - ERP =&gt; SOUS-SEGMENT'!$C$8:$C$154=$C9)*'ANALYSE - ERP =&gt; SOUS-SEGMENT'!$Q$8:$Q$154*'ANALYSE - ERP =&gt; SOUS-SEGMENT'!$BL$8:$BL$154)</f>
        <v>228925</v>
      </c>
      <c r="BJ9" s="304">
        <f>SUMPRODUCT(('ANALYSE - ERP =&gt; SOUS-SEGMENT'!$C$8:$C$154=$C9)*'ANALYSE - ERP =&gt; SOUS-SEGMENT'!$Q$8:$Q$154*'ANALYSE - ERP =&gt; SOUS-SEGMENT'!$BM$8:$BM$154)</f>
        <v>856721</v>
      </c>
      <c r="BK9" s="657"/>
      <c r="BL9" s="580">
        <f>IFERROR(SUMPRODUCT(('ANALYSE - ERP =&gt; SOUS-SEGMENT'!$C$8:$C$154=$C9)*'ANALYSE - ERP =&gt; SOUS-SEGMENT'!$Q$8:$Q$154*'ANALYSE - ERP =&gt; SOUS-SEGMENT'!$BE$8:$BE$154*'ANALYSE - ERP =&gt; SOUS-SEGMENT'!$BO$8:$BO$154)/SUMPRODUCT(('ANALYSE - ERP =&gt; SOUS-SEGMENT'!$C$8:$C$154=$C9)*'ANALYSE - ERP =&gt; SOUS-SEGMENT'!$Q$8:$Q$154*'ANALYSE - ERP =&gt; SOUS-SEGMENT'!$BE$8:$BE$154),"")</f>
        <v>0.19951678912476362</v>
      </c>
      <c r="BM9" s="305">
        <f>IFERROR(SUMPRODUCT(('ANALYSE - ERP =&gt; SOUS-SEGMENT'!$C$8:$C$154=$C9)*'ANALYSE - ERP =&gt; SOUS-SEGMENT'!$Q$8:$Q$154*'ANALYSE - ERP =&gt; SOUS-SEGMENT'!$BE$8:$BE$154*'ANALYSE - ERP =&gt; SOUS-SEGMENT'!$BP$8:$BP$154)/SUMPRODUCT(('ANALYSE - ERP =&gt; SOUS-SEGMENT'!$C$8:$C$154=$C9)*'ANALYSE - ERP =&gt; SOUS-SEGMENT'!$Q$8:$Q$154*'ANALYSE - ERP =&gt; SOUS-SEGMENT'!$BE$8:$BE$154),"")</f>
        <v>0.71944879895332237</v>
      </c>
      <c r="BN9" s="305">
        <f>IFERROR(SUMPRODUCT(('ANALYSE - ERP =&gt; SOUS-SEGMENT'!$C$8:$C$154=$C9)*'ANALYSE - ERP =&gt; SOUS-SEGMENT'!$Q$8:$Q$154*'ANALYSE - ERP =&gt; SOUS-SEGMENT'!$BE$8:$BE$154*'ANALYSE - ERP =&gt; SOUS-SEGMENT'!$BQ$8:$BQ$154)/SUMPRODUCT(('ANALYSE - ERP =&gt; SOUS-SEGMENT'!$C$8:$C$154=$C9)*'ANALYSE - ERP =&gt; SOUS-SEGMENT'!$Q$8:$Q$154*'ANALYSE - ERP =&gt; SOUS-SEGMENT'!$BE$8:$BE$154),"")</f>
        <v>4.3289834781290636E-2</v>
      </c>
      <c r="BO9" s="581">
        <f>IFERROR(SUMPRODUCT(('ANALYSE - ERP =&gt; SOUS-SEGMENT'!$C$8:$C$154=$C9)*'ANALYSE - ERP =&gt; SOUS-SEGMENT'!$Q$8:$Q$154*'ANALYSE - ERP =&gt; SOUS-SEGMENT'!$BE$8:$BE$154*'ANALYSE - ERP =&gt; SOUS-SEGMENT'!$BR$8:$BR$154)/SUMPRODUCT(('ANALYSE - ERP =&gt; SOUS-SEGMENT'!$C$8:$C$154=$C9)*'ANALYSE - ERP =&gt; SOUS-SEGMENT'!$Q$8:$Q$154*'ANALYSE - ERP =&gt; SOUS-SEGMENT'!$BE$8:$BE$154),"")</f>
        <v>3.7744577140623375E-2</v>
      </c>
      <c r="BP9" s="580">
        <f>IFERROR(SUMPRODUCT(('ANALYSE - ERP =&gt; SOUS-SEGMENT'!$C$8:$C$154=$C9)*'ANALYSE - ERP =&gt; SOUS-SEGMENT'!$Q$8:$Q$154*'ANALYSE - ERP =&gt; SOUS-SEGMENT'!$BJ$8:$BJ$154*'ANALYSE - ERP =&gt; SOUS-SEGMENT'!$BS$8:$BS$154)/SUMPRODUCT(('ANALYSE - ERP =&gt; SOUS-SEGMENT'!$C$8:$C$154=$C9)*'ANALYSE - ERP =&gt; SOUS-SEGMENT'!$Q$8:$Q$154*'ANALYSE - ERP =&gt; SOUS-SEGMENT'!$BJ$8:$BJ$154),"")</f>
        <v>0.17942968123929248</v>
      </c>
      <c r="BQ9" s="305">
        <f>IFERROR(SUMPRODUCT(('ANALYSE - ERP =&gt; SOUS-SEGMENT'!$C$8:$C$154=$C9)*'ANALYSE - ERP =&gt; SOUS-SEGMENT'!$Q$8:$Q$154*'ANALYSE - ERP =&gt; SOUS-SEGMENT'!$BJ$8:$BJ$154*'ANALYSE - ERP =&gt; SOUS-SEGMENT'!$BT$8:$BT$154)/SUMPRODUCT(('ANALYSE - ERP =&gt; SOUS-SEGMENT'!$C$8:$C$154=$C9)*'ANALYSE - ERP =&gt; SOUS-SEGMENT'!$Q$8:$Q$154*'ANALYSE - ERP =&gt; SOUS-SEGMENT'!$BJ$8:$BJ$154),"")</f>
        <v>0.72753876805845386</v>
      </c>
      <c r="BR9" s="305">
        <f>IFERROR(SUMPRODUCT(('ANALYSE - ERP =&gt; SOUS-SEGMENT'!$C$8:$C$154=$C9)*'ANALYSE - ERP =&gt; SOUS-SEGMENT'!$Q$8:$Q$154*'ANALYSE - ERP =&gt; SOUS-SEGMENT'!$BJ$8:$BJ$154*'ANALYSE - ERP =&gt; SOUS-SEGMENT'!$BU$8:$BU$154)/SUMPRODUCT(('ANALYSE - ERP =&gt; SOUS-SEGMENT'!$C$8:$C$154=$C9)*'ANALYSE - ERP =&gt; SOUS-SEGMENT'!$Q$8:$Q$154*'ANALYSE - ERP =&gt; SOUS-SEGMENT'!$BJ$8:$BJ$154),"")</f>
        <v>6.3626934888139516E-2</v>
      </c>
      <c r="BS9" s="581">
        <f>IFERROR(SUMPRODUCT(('ANALYSE - ERP =&gt; SOUS-SEGMENT'!$C$8:$C$154=$C9)*'ANALYSE - ERP =&gt; SOUS-SEGMENT'!$Q$8:$Q$154*'ANALYSE - ERP =&gt; SOUS-SEGMENT'!$BJ$8:$BJ$154*'ANALYSE - ERP =&gt; SOUS-SEGMENT'!$BV$8:$BV$154)/SUMPRODUCT(('ANALYSE - ERP =&gt; SOUS-SEGMENT'!$C$8:$C$154=$C9)*'ANALYSE - ERP =&gt; SOUS-SEGMENT'!$Q$8:$Q$154*'ANALYSE - ERP =&gt; SOUS-SEGMENT'!$BJ$8:$BJ$154),"")</f>
        <v>2.9404615814114164E-2</v>
      </c>
      <c r="BT9" s="589">
        <f>IFERROR(SUMPRODUCT(('ANALYSE - ERP =&gt; SOUS-SEGMENT'!$C$8:$C$154=$C9)*'ANALYSE - ERP =&gt; SOUS-SEGMENT'!$Q$8:$Q$154*'ANALYSE - ERP =&gt; SOUS-SEGMENT'!$BF$8:$BF$154*'ANALYSE - ERP =&gt; SOUS-SEGMENT'!$BW$8:$BW$154)/SUMPRODUCT(('ANALYSE - ERP =&gt; SOUS-SEGMENT'!$C$8:$C$154=$C9)*'ANALYSE - ERP =&gt; SOUS-SEGMENT'!$Q$8:$Q$154*'ANALYSE - ERP =&gt; SOUS-SEGMENT'!$BF$8:$BF$154),"")</f>
        <v>0.33449305550962161</v>
      </c>
      <c r="BU9" s="306">
        <f>IFERROR(SUMPRODUCT(('ANALYSE - ERP =&gt; SOUS-SEGMENT'!$C$8:$C$154=$C9)*'ANALYSE - ERP =&gt; SOUS-SEGMENT'!$Q$8:$Q$154*'ANALYSE - ERP =&gt; SOUS-SEGMENT'!$BF$8:$BF$154*'ANALYSE - ERP =&gt; SOUS-SEGMENT'!$BX$8:$BX$154)/SUMPRODUCT(('ANALYSE - ERP =&gt; SOUS-SEGMENT'!$C$8:$C$154=$C9)*'ANALYSE - ERP =&gt; SOUS-SEGMENT'!$Q$8:$Q$154*'ANALYSE - ERP =&gt; SOUS-SEGMENT'!$BF$8:$BF$154),"")</f>
        <v>0.56888735748092156</v>
      </c>
      <c r="BV9" s="590">
        <f>IFERROR(SUMPRODUCT(('ANALYSE - ERP =&gt; SOUS-SEGMENT'!$C$8:$C$154=$C9)*'ANALYSE - ERP =&gt; SOUS-SEGMENT'!$Q$8:$Q$154*'ANALYSE - ERP =&gt; SOUS-SEGMENT'!$BF$8:$BF$154*'ANALYSE - ERP =&gt; SOUS-SEGMENT'!$BY$8:$BY$154)/SUMPRODUCT(('ANALYSE - ERP =&gt; SOUS-SEGMENT'!$C$8:$C$154=$C9)*'ANALYSE - ERP =&gt; SOUS-SEGMENT'!$Q$8:$Q$154*'ANALYSE - ERP =&gt; SOUS-SEGMENT'!$BF$8:$BF$154),"")</f>
        <v>9.6619587009456873E-2</v>
      </c>
      <c r="BW9" s="589">
        <f>IFERROR(SUMPRODUCT(('ANALYSE - ERP =&gt; SOUS-SEGMENT'!$C$8:$C$154=$C9)*'ANALYSE - ERP =&gt; SOUS-SEGMENT'!$Q$8:$Q$154*'ANALYSE - ERP =&gt; SOUS-SEGMENT'!$BK$8:$BK$154*'ANALYSE - ERP =&gt; SOUS-SEGMENT'!$BZ$8:$BZ$154)/SUMPRODUCT(('ANALYSE - ERP =&gt; SOUS-SEGMENT'!$C$8:$C$154=$C9)*'ANALYSE - ERP =&gt; SOUS-SEGMENT'!$Q$8:$Q$154*'ANALYSE - ERP =&gt; SOUS-SEGMENT'!$BK$8:$BK$154),"")</f>
        <v>0.28502759942698869</v>
      </c>
      <c r="BX9" s="306">
        <f>IFERROR(SUMPRODUCT(('ANALYSE - ERP =&gt; SOUS-SEGMENT'!$C$8:$C$154=$C9)*'ANALYSE - ERP =&gt; SOUS-SEGMENT'!$Q$8:$Q$154*'ANALYSE - ERP =&gt; SOUS-SEGMENT'!$BK$8:$BK$154*'ANALYSE - ERP =&gt; SOUS-SEGMENT'!$CA$8:$CA$154)/SUMPRODUCT(('ANALYSE - ERP =&gt; SOUS-SEGMENT'!$C$8:$C$154=$C9)*'ANALYSE - ERP =&gt; SOUS-SEGMENT'!$Q$8:$Q$154*'ANALYSE - ERP =&gt; SOUS-SEGMENT'!$BK$8:$BK$154),"")</f>
        <v>0.59679566069718393</v>
      </c>
      <c r="BY9" s="590">
        <f>IFERROR(SUMPRODUCT(('ANALYSE - ERP =&gt; SOUS-SEGMENT'!$C$8:$C$154=$C9)*'ANALYSE - ERP =&gt; SOUS-SEGMENT'!$Q$8:$Q$154*'ANALYSE - ERP =&gt; SOUS-SEGMENT'!$BK$8:$BK$154*'ANALYSE - ERP =&gt; SOUS-SEGMENT'!$CB$8:$CB$154)/SUMPRODUCT(('ANALYSE - ERP =&gt; SOUS-SEGMENT'!$C$8:$C$154=$C9)*'ANALYSE - ERP =&gt; SOUS-SEGMENT'!$Q$8:$Q$154*'ANALYSE - ERP =&gt; SOUS-SEGMENT'!$BK$8:$BK$154),"")</f>
        <v>0.11817673987582752</v>
      </c>
      <c r="BZ9" s="580">
        <f>IFERROR(SUMPRODUCT(('ANALYSE - ERP =&gt; SOUS-SEGMENT'!$C$8:$C$154=$C9)*'ANALYSE - ERP =&gt; SOUS-SEGMENT'!$Q$8:$Q$154*'ANALYSE - ERP =&gt; SOUS-SEGMENT'!$BG$8:$BG$154*'ANALYSE - ERP =&gt; SOUS-SEGMENT'!$CC$8:$CC$154)/SUMPRODUCT(('ANALYSE - ERP =&gt; SOUS-SEGMENT'!$C$8:$C$154=$C9)*'ANALYSE - ERP =&gt; SOUS-SEGMENT'!$Q$8:$Q$154*'ANALYSE - ERP =&gt; SOUS-SEGMENT'!$BG$8:$BG$154),"")</f>
        <v>7.5675621639711921E-2</v>
      </c>
      <c r="CA9" s="305">
        <f>IFERROR(SUMPRODUCT(('ANALYSE - ERP =&gt; SOUS-SEGMENT'!$C$8:$C$154=$C9)*'ANALYSE - ERP =&gt; SOUS-SEGMENT'!$Q$8:$Q$154*'ANALYSE - ERP =&gt; SOUS-SEGMENT'!$BG$8:$BG$154*'ANALYSE - ERP =&gt; SOUS-SEGMENT'!$CD$8:$CD$154)/SUMPRODUCT(('ANALYSE - ERP =&gt; SOUS-SEGMENT'!$C$8:$C$154=$C9)*'ANALYSE - ERP =&gt; SOUS-SEGMENT'!$Q$8:$Q$154*'ANALYSE - ERP =&gt; SOUS-SEGMENT'!$BG$8:$BG$154),"")</f>
        <v>0.63538967389178413</v>
      </c>
      <c r="CB9" s="305">
        <f>IFERROR(SUMPRODUCT(('ANALYSE - ERP =&gt; SOUS-SEGMENT'!$C$8:$C$154=$C9)*'ANALYSE - ERP =&gt; SOUS-SEGMENT'!$Q$8:$Q$154*'ANALYSE - ERP =&gt; SOUS-SEGMENT'!$BG$8:$BG$154*'ANALYSE - ERP =&gt; SOUS-SEGMENT'!$CE$8:$CE$154)/SUMPRODUCT(('ANALYSE - ERP =&gt; SOUS-SEGMENT'!$C$8:$C$154=$C9)*'ANALYSE - ERP =&gt; SOUS-SEGMENT'!$Q$8:$Q$154*'ANALYSE - ERP =&gt; SOUS-SEGMENT'!$BG$8:$BG$154),"")</f>
        <v>6.3569587572856037E-2</v>
      </c>
      <c r="CC9" s="581">
        <f>IFERROR(SUMPRODUCT(('ANALYSE - ERP =&gt; SOUS-SEGMENT'!$C$8:$C$154=$C9)*'ANALYSE - ERP =&gt; SOUS-SEGMENT'!$Q$8:$Q$154*'ANALYSE - ERP =&gt; SOUS-SEGMENT'!$BG$8:$BG$154*'ANALYSE - ERP =&gt; SOUS-SEGMENT'!$CF$8:$CF$154)/SUMPRODUCT(('ANALYSE - ERP =&gt; SOUS-SEGMENT'!$C$8:$C$154=$C9)*'ANALYSE - ERP =&gt; SOUS-SEGMENT'!$Q$8:$Q$154*'ANALYSE - ERP =&gt; SOUS-SEGMENT'!$BG$8:$BG$154),"")</f>
        <v>0.225365116895648</v>
      </c>
      <c r="CD9" s="580">
        <f>IFERROR(SUMPRODUCT(('ANALYSE - ERP =&gt; SOUS-SEGMENT'!$C$8:$C$154=$C9)*'ANALYSE - ERP =&gt; SOUS-SEGMENT'!$Q$8:$Q$154*'ANALYSE - ERP =&gt; SOUS-SEGMENT'!$BL$8:$BL$154*'ANALYSE - ERP =&gt; SOUS-SEGMENT'!$CG$8:$CG$154)/SUMPRODUCT(('ANALYSE - ERP =&gt; SOUS-SEGMENT'!$C$8:$C$154=$C9)*'ANALYSE - ERP =&gt; SOUS-SEGMENT'!$Q$8:$Q$154*'ANALYSE - ERP =&gt; SOUS-SEGMENT'!$BL$8:$BL$154),"")</f>
        <v>6.1900360380037128E-2</v>
      </c>
      <c r="CE9" s="305">
        <f>IFERROR(SUMPRODUCT(('ANALYSE - ERP =&gt; SOUS-SEGMENT'!$C$8:$C$154=$C9)*'ANALYSE - ERP =&gt; SOUS-SEGMENT'!$Q$8:$Q$154*'ANALYSE - ERP =&gt; SOUS-SEGMENT'!$BL$8:$BL$154*'ANALYSE - ERP =&gt; SOUS-SEGMENT'!$CH$8:$CH$154)/SUMPRODUCT(('ANALYSE - ERP =&gt; SOUS-SEGMENT'!$C$8:$C$154=$C9)*'ANALYSE - ERP =&gt; SOUS-SEGMENT'!$Q$8:$Q$154*'ANALYSE - ERP =&gt; SOUS-SEGMENT'!$BL$8:$BL$154),"")</f>
        <v>0.63541181609697495</v>
      </c>
      <c r="CF9" s="305">
        <f>IFERROR(SUMPRODUCT(('ANALYSE - ERP =&gt; SOUS-SEGMENT'!$C$8:$C$154=$C9)*'ANALYSE - ERP =&gt; SOUS-SEGMENT'!$Q$8:$Q$154*'ANALYSE - ERP =&gt; SOUS-SEGMENT'!$BL$8:$BL$154*'ANALYSE - ERP =&gt; SOUS-SEGMENT'!$CI$8:$CI$154)/SUMPRODUCT(('ANALYSE - ERP =&gt; SOUS-SEGMENT'!$C$8:$C$154=$C9)*'ANALYSE - ERP =&gt; SOUS-SEGMENT'!$Q$8:$Q$154*'ANALYSE - ERP =&gt; SOUS-SEGMENT'!$BL$8:$BL$154),"")</f>
        <v>8.388970186742381E-2</v>
      </c>
      <c r="CG9" s="581">
        <f>IFERROR(SUMPRODUCT(('ANALYSE - ERP =&gt; SOUS-SEGMENT'!$C$8:$C$154=$C9)*'ANALYSE - ERP =&gt; SOUS-SEGMENT'!$Q$8:$Q$154*'ANALYSE - ERP =&gt; SOUS-SEGMENT'!$BL$8:$BL$154*'ANALYSE - ERP =&gt; SOUS-SEGMENT'!$CJ$8:$CJ$154)/SUMPRODUCT(('ANALYSE - ERP =&gt; SOUS-SEGMENT'!$C$8:$C$154=$C9)*'ANALYSE - ERP =&gt; SOUS-SEGMENT'!$Q$8:$Q$154*'ANALYSE - ERP =&gt; SOUS-SEGMENT'!$BL$8:$BL$154),"")</f>
        <v>0.21879812165556406</v>
      </c>
      <c r="CH9" s="589">
        <f>IFERROR(SUMPRODUCT(('ANALYSE - ERP =&gt; SOUS-SEGMENT'!$C$8:$C$154=$C9)*'ANALYSE - ERP =&gt; SOUS-SEGMENT'!$Q$8:$Q$154*'ANALYSE - ERP =&gt; SOUS-SEGMENT'!$BH$8:$BH$154*'ANALYSE - ERP =&gt; SOUS-SEGMENT'!$CK$8:$CK$154)/SUMPRODUCT(('ANALYSE - ERP =&gt; SOUS-SEGMENT'!$C$8:$C$154=$C9)*'ANALYSE - ERP =&gt; SOUS-SEGMENT'!$Q$8:$Q$154*'ANALYSE - ERP =&gt; SOUS-SEGMENT'!$BH$8:$BH$154),"")</f>
        <v>0.63002469341806266</v>
      </c>
      <c r="CI9" s="306">
        <f>IFERROR(SUMPRODUCT(('ANALYSE - ERP =&gt; SOUS-SEGMENT'!$C$8:$C$154=$C9)*'ANALYSE - ERP =&gt; SOUS-SEGMENT'!$Q$8:$Q$154*'ANALYSE - ERP =&gt; SOUS-SEGMENT'!$BH$8:$BH$154*'ANALYSE - ERP =&gt; SOUS-SEGMENT'!$CL$8:$CL$154)/SUMPRODUCT(('ANALYSE - ERP =&gt; SOUS-SEGMENT'!$C$8:$C$154=$C9)*'ANALYSE - ERP =&gt; SOUS-SEGMENT'!$Q$8:$Q$154*'ANALYSE - ERP =&gt; SOUS-SEGMENT'!$BH$8:$BH$154),"")</f>
        <v>0.35186817121542369</v>
      </c>
      <c r="CJ9" s="590">
        <f>IFERROR(SUMPRODUCT(('ANALYSE - ERP =&gt; SOUS-SEGMENT'!$C$8:$C$154=$C9)*'ANALYSE - ERP =&gt; SOUS-SEGMENT'!$Q$8:$Q$154*'ANALYSE - ERP =&gt; SOUS-SEGMENT'!$BH$8:$BH$154*'ANALYSE - ERP =&gt; SOUS-SEGMENT'!$CM$8:$CM$154)/SUMPRODUCT(('ANALYSE - ERP =&gt; SOUS-SEGMENT'!$C$8:$C$154=$C9)*'ANALYSE - ERP =&gt; SOUS-SEGMENT'!$Q$8:$Q$154*'ANALYSE - ERP =&gt; SOUS-SEGMENT'!$BH$8:$BH$154),"")</f>
        <v>1.8107135366513594E-2</v>
      </c>
      <c r="CK9" s="589">
        <f>IFERROR(SUMPRODUCT(('ANALYSE - ERP =&gt; SOUS-SEGMENT'!$C$8:$C$154=$C9)*'ANALYSE - ERP =&gt; SOUS-SEGMENT'!$Q$8:$Q$154*'ANALYSE - ERP =&gt; SOUS-SEGMENT'!$BM$8:$BM$154*'ANALYSE - ERP =&gt; SOUS-SEGMENT'!$CN$8:$CN$154)/SUMPRODUCT(('ANALYSE - ERP =&gt; SOUS-SEGMENT'!$C$8:$C$154=$C9)*'ANALYSE - ERP =&gt; SOUS-SEGMENT'!$Q$8:$Q$154*'ANALYSE - ERP =&gt; SOUS-SEGMENT'!$BM$8:$BM$154),"")</f>
        <v>0.53096253039204133</v>
      </c>
      <c r="CL9" s="306">
        <f>IFERROR(SUMPRODUCT(('ANALYSE - ERP =&gt; SOUS-SEGMENT'!$C$8:$C$154=$C9)*'ANALYSE - ERP =&gt; SOUS-SEGMENT'!$Q$8:$Q$154*'ANALYSE - ERP =&gt; SOUS-SEGMENT'!$BM$8:$BM$154*'ANALYSE - ERP =&gt; SOUS-SEGMENT'!$CO$8:$CO$154)/SUMPRODUCT(('ANALYSE - ERP =&gt; SOUS-SEGMENT'!$C$8:$C$154=$C9)*'ANALYSE - ERP =&gt; SOUS-SEGMENT'!$Q$8:$Q$154*'ANALYSE - ERP =&gt; SOUS-SEGMENT'!$BM$8:$BM$154),"")</f>
        <v>0.40157416475141849</v>
      </c>
      <c r="CM9" s="590">
        <f>IFERROR(SUMPRODUCT(('ANALYSE - ERP =&gt; SOUS-SEGMENT'!$C$8:$C$154=$C9)*'ANALYSE - ERP =&gt; SOUS-SEGMENT'!$Q$8:$Q$154*'ANALYSE - ERP =&gt; SOUS-SEGMENT'!$BM$8:$BM$154*'ANALYSE - ERP =&gt; SOUS-SEGMENT'!$CP$8:$CP$154)/SUMPRODUCT(('ANALYSE - ERP =&gt; SOUS-SEGMENT'!$C$8:$C$154=$C9)*'ANALYSE - ERP =&gt; SOUS-SEGMENT'!$Q$8:$Q$154*'ANALYSE - ERP =&gt; SOUS-SEGMENT'!$BM$8:$BM$154),"")</f>
        <v>6.7463304856540229E-2</v>
      </c>
      <c r="CN9" s="657"/>
      <c r="CO9" s="882">
        <f>IFERROR(SUMPRODUCT(('ANALYSE - ERP =&gt; SOUS-SEGMENT'!$C$8:$C$154=$C9)*'ANALYSE - ERP =&gt; SOUS-SEGMENT'!$DH$8:$DH$154*('ANALYSE - ERP =&gt; SOUS-SEGMENT'!$CR$8:$CR$154&gt;0)*'ANALYSE - ERP =&gt; SOUS-SEGMENT'!$CR$8:$CR$154)/SUMPRODUCT(('ANALYSE - ERP =&gt; SOUS-SEGMENT'!$C$8:$C$154=$C9)*'ANALYSE - ERP =&gt; SOUS-SEGMENT'!$DH$8:$DH$154*('ANALYSE - ERP =&gt; SOUS-SEGMENT'!$CR$8:$CR$154&gt;0)),"")</f>
        <v>12.109294048637246</v>
      </c>
      <c r="CP9" s="883">
        <f>IFERROR(SUMPRODUCT(('ANALYSE - ERP =&gt; SOUS-SEGMENT'!$C$8:$C$154=$C9)*'ANALYSE - ERP =&gt; SOUS-SEGMENT'!$DI$8:$DI$154*('ANALYSE - ERP =&gt; SOUS-SEGMENT'!$CS$8:$CS$154&gt;0)*'ANALYSE - ERP =&gt; SOUS-SEGMENT'!$CS$8:$CS$154)/SUMPRODUCT(('ANALYSE - ERP =&gt; SOUS-SEGMENT'!$C$8:$C$154=$C9)*'ANALYSE - ERP =&gt; SOUS-SEGMENT'!$DI$8:$DI$154*('ANALYSE - ERP =&gt; SOUS-SEGMENT'!$CS$8:$CS$154&gt;0)),"")</f>
        <v>13</v>
      </c>
      <c r="CQ9" s="883">
        <f>IFERROR(SUMPRODUCT(('ANALYSE - ERP =&gt; SOUS-SEGMENT'!$C$8:$C$154=$C9)*'ANALYSE - ERP =&gt; SOUS-SEGMENT'!$DJ$8:$DJ$154*('ANALYSE - ERP =&gt; SOUS-SEGMENT'!$CT$8:$CT$154&gt;0)*'ANALYSE - ERP =&gt; SOUS-SEGMENT'!$CT$8:$CT$154)/SUMPRODUCT(('ANALYSE - ERP =&gt; SOUS-SEGMENT'!$C$8:$C$154=$C9)*'ANALYSE - ERP =&gt; SOUS-SEGMENT'!$DJ$8:$DJ$154*('ANALYSE - ERP =&gt; SOUS-SEGMENT'!$CT$8:$CT$154&gt;0)),"")</f>
        <v>9.059966782383146</v>
      </c>
      <c r="CR9" s="884">
        <f>IFERROR(SUMPRODUCT(('ANALYSE - ERP =&gt; SOUS-SEGMENT'!$C$8:$C$154=$C9)*'ANALYSE - ERP =&gt; SOUS-SEGMENT'!$DK$8:$DK$154*('ANALYSE - ERP =&gt; SOUS-SEGMENT'!$CU$8:$CU$154&gt;0)*'ANALYSE - ERP =&gt; SOUS-SEGMENT'!$CU$8:$CU$154)/SUMPRODUCT(('ANALYSE - ERP =&gt; SOUS-SEGMENT'!$C$8:$C$154=$C9)*'ANALYSE - ERP =&gt; SOUS-SEGMENT'!$DK$8:$DK$154*('ANALYSE - ERP =&gt; SOUS-SEGMENT'!$CU$8:$CU$154&gt;0)),"")</f>
        <v>11.142287072430195</v>
      </c>
      <c r="CS9" s="882">
        <f>IFERROR(SUMPRODUCT(('ANALYSE - ERP =&gt; SOUS-SEGMENT'!$C$8:$C$154=$C9)*'ANALYSE - ERP =&gt; SOUS-SEGMENT'!$DS$8:$DS$154*('ANALYSE - ERP =&gt; SOUS-SEGMENT'!$CV$8:$CV$154&gt;0)*'ANALYSE - ERP =&gt; SOUS-SEGMENT'!$CV$8:$CV$154)/SUMPRODUCT(('ANALYSE - ERP =&gt; SOUS-SEGMENT'!$C$8:$C$154=$C9)*'ANALYSE - ERP =&gt; SOUS-SEGMENT'!$DS$8:$DS$154*('ANALYSE - ERP =&gt; SOUS-SEGMENT'!$CV$8:$CV$154&gt;0)),"")</f>
        <v>11.148153035181597</v>
      </c>
      <c r="CT9" s="883">
        <f>IFERROR(SUMPRODUCT(('ANALYSE - ERP =&gt; SOUS-SEGMENT'!$C$8:$C$154=$C9)*'ANALYSE - ERP =&gt; SOUS-SEGMENT'!$DT$8:$DT$154*('ANALYSE - ERP =&gt; SOUS-SEGMENT'!$CW$8:$CW$154&gt;0)*'ANALYSE - ERP =&gt; SOUS-SEGMENT'!$CW$8:$CW$154)/SUMPRODUCT(('ANALYSE - ERP =&gt; SOUS-SEGMENT'!$C$8:$C$154=$C9)*'ANALYSE - ERP =&gt; SOUS-SEGMENT'!$DT$8:$DT$154*('ANALYSE - ERP =&gt; SOUS-SEGMENT'!$CW$8:$CW$154&gt;0)),"")</f>
        <v>10.251533673941196</v>
      </c>
      <c r="CU9" s="884">
        <f>IFERROR(SUMPRODUCT(('ANALYSE - ERP =&gt; SOUS-SEGMENT'!$C$8:$C$154=$C9)*'ANALYSE - ERP =&gt; SOUS-SEGMENT'!$DU$8:$DU$154*('ANALYSE - ERP =&gt; SOUS-SEGMENT'!$CX$8:$CX$154&gt;0)*'ANALYSE - ERP =&gt; SOUS-SEGMENT'!$CX$8:$CX$154)/SUMPRODUCT(('ANALYSE - ERP =&gt; SOUS-SEGMENT'!$C$8:$C$154=$C9)*'ANALYSE - ERP =&gt; SOUS-SEGMENT'!$DU$8:$DU$154*('ANALYSE - ERP =&gt; SOUS-SEGMENT'!$CX$8:$CX$154&gt;0)),"")</f>
        <v>8.2080914609687774</v>
      </c>
      <c r="CV9" s="882">
        <f>IFERROR(SUMPRODUCT(('ANALYSE - ERP =&gt; SOUS-SEGMENT'!$C$8:$C$154=$C9)*'ANALYSE - ERP =&gt; SOUS-SEGMENT'!$EB$8:$EB$154*('ANALYSE - ERP =&gt; SOUS-SEGMENT'!$CY$8:$CY$154&gt;0)*'ANALYSE - ERP =&gt; SOUS-SEGMENT'!$CY$8:$CY$154)/SUMPRODUCT(('ANALYSE - ERP =&gt; SOUS-SEGMENT'!$C$8:$C$154=$C9)*'ANALYSE - ERP =&gt; SOUS-SEGMENT'!$EB$8:$EB$154*('ANALYSE - ERP =&gt; SOUS-SEGMENT'!$CY$8:$CY$154&gt;0)),"")</f>
        <v>10.067280753445193</v>
      </c>
      <c r="CW9" s="883">
        <f>IFERROR(SUMPRODUCT(('ANALYSE - ERP =&gt; SOUS-SEGMENT'!$C$8:$C$154=$C9)*'ANALYSE - ERP =&gt; SOUS-SEGMENT'!$EC$8:$EC$154*('ANALYSE - ERP =&gt; SOUS-SEGMENT'!$CZ$8:$CZ$154&gt;0)*'ANALYSE - ERP =&gt; SOUS-SEGMENT'!$CZ$8:$CZ$154)/SUMPRODUCT(('ANALYSE - ERP =&gt; SOUS-SEGMENT'!$C$8:$C$154=$C9)*'ANALYSE - ERP =&gt; SOUS-SEGMENT'!$EC$8:$EC$154*('ANALYSE - ERP =&gt; SOUS-SEGMENT'!$CZ$8:$CZ$154&gt;0)),"")</f>
        <v>13.000000000000002</v>
      </c>
      <c r="CX9" s="883">
        <f>IFERROR(SUMPRODUCT(('ANALYSE - ERP =&gt; SOUS-SEGMENT'!$C$8:$C$154=$C9)*'ANALYSE - ERP =&gt; SOUS-SEGMENT'!$ED$8:$ED$154*('ANALYSE - ERP =&gt; SOUS-SEGMENT'!$DA$8:$DA$154&gt;0)*'ANALYSE - ERP =&gt; SOUS-SEGMENT'!$DA$8:$DA$154)/SUMPRODUCT(('ANALYSE - ERP =&gt; SOUS-SEGMENT'!$C$8:$C$154=$C9)*'ANALYSE - ERP =&gt; SOUS-SEGMENT'!$ED$8:$ED$154*('ANALYSE - ERP =&gt; SOUS-SEGMENT'!$DA$8:$DA$154&gt;0)),"")</f>
        <v>9</v>
      </c>
      <c r="CY9" s="885">
        <f>IFERROR(SUMPRODUCT(('ANALYSE - ERP =&gt; SOUS-SEGMENT'!$C$8:$C$154=$C9)*'ANALYSE - ERP =&gt; SOUS-SEGMENT'!$EE$8:$EE$154*('ANALYSE - ERP =&gt; SOUS-SEGMENT'!$DB$8:$DB$154&gt;0)*'ANALYSE - ERP =&gt; SOUS-SEGMENT'!$DB$8:$DB$154)/SUMPRODUCT(('ANALYSE - ERP =&gt; SOUS-SEGMENT'!$C$8:$C$154=$C9)*'ANALYSE - ERP =&gt; SOUS-SEGMENT'!$EE$8:$EE$154*('ANALYSE - ERP =&gt; SOUS-SEGMENT'!$DB$8:$DB$154&gt;0)),"")</f>
        <v>10.999999999999996</v>
      </c>
      <c r="CZ9" s="886">
        <f>IFERROR(SUMPRODUCT(('ANALYSE - ERP =&gt; SOUS-SEGMENT'!$C$8:$C$154=$C9)*'ANALYSE - ERP =&gt; SOUS-SEGMENT'!$EM$8:$EM$154*('ANALYSE - ERP =&gt; SOUS-SEGMENT'!$DC$8:$DC$154&gt;0)*'ANALYSE - ERP =&gt; SOUS-SEGMENT'!$DC$8:$DC$154)/SUMPRODUCT(('ANALYSE - ERP =&gt; SOUS-SEGMENT'!$C$8:$C$154=$C9)*'ANALYSE - ERP =&gt; SOUS-SEGMENT'!$EM$8:$EM$154*('ANALYSE - ERP =&gt; SOUS-SEGMENT'!$DC$8:$DC$154&gt;0)),"")</f>
        <v>11.070023465120327</v>
      </c>
      <c r="DA9" s="883">
        <f>IFERROR(SUMPRODUCT(('ANALYSE - ERP =&gt; SOUS-SEGMENT'!$C$8:$C$154=$C9)*'ANALYSE - ERP =&gt; SOUS-SEGMENT'!$EN$8:$EN$154*('ANALYSE - ERP =&gt; SOUS-SEGMENT'!$DD$8:$DD$154&gt;0)*'ANALYSE - ERP =&gt; SOUS-SEGMENT'!$DD$8:$DD$154)/SUMPRODUCT(('ANALYSE - ERP =&gt; SOUS-SEGMENT'!$C$8:$C$154=$C9)*'ANALYSE - ERP =&gt; SOUS-SEGMENT'!$EN$8:$EN$154*('ANALYSE - ERP =&gt; SOUS-SEGMENT'!$DD$8:$DD$154&gt;0)),"")</f>
        <v>13</v>
      </c>
      <c r="DB9" s="885">
        <f>IFERROR(SUMPRODUCT(('ANALYSE - ERP =&gt; SOUS-SEGMENT'!$C$8:$C$154=$C9)*'ANALYSE - ERP =&gt; SOUS-SEGMENT'!$EO$8:$EO$154*('ANALYSE - ERP =&gt; SOUS-SEGMENT'!$DE$8:$DE$154&gt;0)*'ANALYSE - ERP =&gt; SOUS-SEGMENT'!$DE$8:$DE$154)/SUMPRODUCT(('ANALYSE - ERP =&gt; SOUS-SEGMENT'!$C$8:$C$154=$C9)*'ANALYSE - ERP =&gt; SOUS-SEGMENT'!$EO$8:$EO$154*('ANALYSE - ERP =&gt; SOUS-SEGMENT'!$DE$8:$DE$154&gt;0)),"")</f>
        <v>10</v>
      </c>
      <c r="DC9" s="610" t="s">
        <v>6771</v>
      </c>
      <c r="DD9" s="657"/>
      <c r="DE9" s="288">
        <f t="shared" si="2"/>
        <v>200073.83999999997</v>
      </c>
      <c r="DF9" s="288">
        <f t="shared" si="3"/>
        <v>721457.5</v>
      </c>
      <c r="DG9" s="288">
        <f t="shared" si="4"/>
        <v>43410.7</v>
      </c>
      <c r="DH9" s="288">
        <f t="shared" si="5"/>
        <v>37849.96</v>
      </c>
      <c r="DI9" s="317" t="s">
        <v>6772</v>
      </c>
      <c r="DJ9" s="288">
        <f t="shared" si="6"/>
        <v>178675.00000000003</v>
      </c>
      <c r="DK9" s="288">
        <f t="shared" si="7"/>
        <v>724478.74</v>
      </c>
      <c r="DL9" s="288">
        <f t="shared" si="8"/>
        <v>63359.32</v>
      </c>
      <c r="DM9" s="288">
        <f t="shared" si="9"/>
        <v>29280.94</v>
      </c>
      <c r="DN9" s="317" t="s">
        <v>6773</v>
      </c>
      <c r="DO9" s="657"/>
      <c r="DP9" s="288">
        <f t="shared" si="10"/>
        <v>49052.707499999997</v>
      </c>
      <c r="DQ9" s="288">
        <f t="shared" si="11"/>
        <v>83426.142000000007</v>
      </c>
      <c r="DR9" s="288">
        <f t="shared" si="12"/>
        <v>14169.060500000001</v>
      </c>
      <c r="DS9" s="317" t="s">
        <v>6774</v>
      </c>
      <c r="DT9" s="288">
        <f t="shared" si="13"/>
        <v>41731.592000000004</v>
      </c>
      <c r="DU9" s="288">
        <f t="shared" si="14"/>
        <v>87378.320800000016</v>
      </c>
      <c r="DV9" s="288">
        <f t="shared" si="15"/>
        <v>17302.547200000001</v>
      </c>
      <c r="DW9" s="317" t="s">
        <v>6775</v>
      </c>
      <c r="DX9" s="657"/>
      <c r="DY9" s="288">
        <f t="shared" si="16"/>
        <v>17411.22</v>
      </c>
      <c r="DZ9" s="288">
        <f t="shared" si="17"/>
        <v>146188.55000000002</v>
      </c>
      <c r="EA9" s="288">
        <f t="shared" si="18"/>
        <v>14625.899999999998</v>
      </c>
      <c r="EB9" s="288">
        <f t="shared" si="19"/>
        <v>51851.330000000009</v>
      </c>
      <c r="EC9" s="317" t="s">
        <v>6776</v>
      </c>
      <c r="ED9" s="288">
        <f t="shared" si="20"/>
        <v>14170.539999999999</v>
      </c>
      <c r="EE9" s="288">
        <f t="shared" si="21"/>
        <v>145461.65</v>
      </c>
      <c r="EF9" s="288">
        <f t="shared" si="22"/>
        <v>19204.449999999997</v>
      </c>
      <c r="EG9" s="288">
        <f t="shared" si="23"/>
        <v>50088.36</v>
      </c>
      <c r="EH9" s="317" t="s">
        <v>6777</v>
      </c>
      <c r="EI9" s="290"/>
      <c r="EJ9" s="288">
        <f t="shared" si="24"/>
        <v>543700.6</v>
      </c>
      <c r="EK9" s="291">
        <f t="shared" si="25"/>
        <v>303656.25</v>
      </c>
      <c r="EL9" s="291">
        <f t="shared" si="26"/>
        <v>15626.150000000001</v>
      </c>
      <c r="EM9" s="317" t="s">
        <v>6778</v>
      </c>
      <c r="EN9" s="288">
        <f t="shared" si="27"/>
        <v>454886.75000000006</v>
      </c>
      <c r="EO9" s="291">
        <f t="shared" si="28"/>
        <v>344037.02</v>
      </c>
      <c r="EP9" s="291">
        <f t="shared" si="29"/>
        <v>57797.23</v>
      </c>
      <c r="EQ9" s="318" t="s">
        <v>6779</v>
      </c>
      <c r="ER9" s="657"/>
      <c r="ES9" s="731">
        <f t="shared" si="30"/>
        <v>0.87261963160244937</v>
      </c>
      <c r="ET9" s="731">
        <f t="shared" si="31"/>
        <v>8.3159760622985676E-2</v>
      </c>
      <c r="EU9" s="292">
        <f t="shared" si="32"/>
        <v>640195.16437499272</v>
      </c>
      <c r="EV9" s="292">
        <f t="shared" si="33"/>
        <v>476568.3433238928</v>
      </c>
      <c r="EW9" s="292">
        <f t="shared" si="34"/>
        <v>163626.82105109998</v>
      </c>
      <c r="EX9" s="292">
        <f t="shared" si="35"/>
        <v>285658.20756434801</v>
      </c>
      <c r="EY9" s="292">
        <f>SUMPRODUCT(('ANALYSE - ERP =&gt; SOUS-SEGMENT'!$C$8:$C$154=$C9)*'ANALYSE - ERP =&gt; SOUS-SEGMENT'!$Q$8:$Q$154*'ANALYSE - ERP =&gt; SOUS-SEGMENT'!$FB$8:$FB$154)</f>
        <v>212778.37568434802</v>
      </c>
      <c r="EZ9" s="292">
        <f>SUMPRODUCT(('ANALYSE - ERP =&gt; SOUS-SEGMENT'!$C$8:$C$154=$C9)*'ANALYSE - ERP =&gt; SOUS-SEGMENT'!$Q$8:$Q$154*'ANALYSE - ERP =&gt; SOUS-SEGMENT'!$FC$8:$FC$154)</f>
        <v>72879.831879999998</v>
      </c>
      <c r="FA9" s="292">
        <f t="shared" si="36"/>
        <v>43472.488247576795</v>
      </c>
      <c r="FB9" s="292">
        <f>SUMPRODUCT(('ANALYSE - ERP =&gt; SOUS-SEGMENT'!$C$8:$C$154=$C9)*'ANALYSE - ERP =&gt; SOUS-SEGMENT'!$Q$8:$Q$154*'ANALYSE - ERP =&gt; SOUS-SEGMENT'!$FE$8:$FE$154)</f>
        <v>31885.809996476801</v>
      </c>
      <c r="FC9" s="292">
        <f>SUMPRODUCT(('ANALYSE - ERP =&gt; SOUS-SEGMENT'!$C$8:$C$154=$C9)*'ANALYSE - ERP =&gt; SOUS-SEGMENT'!$Q$8:$Q$154*'ANALYSE - ERP =&gt; SOUS-SEGMENT'!$FF$8:$FF$154)</f>
        <v>11586.678251099998</v>
      </c>
      <c r="FD9" s="292">
        <f t="shared" si="37"/>
        <v>67130.465314924004</v>
      </c>
      <c r="FE9" s="292">
        <f>SUMPRODUCT(('ANALYSE - ERP =&gt; SOUS-SEGMENT'!$C$8:$C$154=$C9)*'ANALYSE - ERP =&gt; SOUS-SEGMENT'!$Q$8:$Q$154*'ANALYSE - ERP =&gt; SOUS-SEGMENT'!$FH$8:$FH$154)</f>
        <v>49594.990204924005</v>
      </c>
      <c r="FF9" s="292">
        <f>SUMPRODUCT(('ANALYSE - ERP =&gt; SOUS-SEGMENT'!$C$8:$C$154=$C9)*'ANALYSE - ERP =&gt; SOUS-SEGMENT'!$Q$8:$Q$154*'ANALYSE - ERP =&gt; SOUS-SEGMENT'!$FI$8:$FI$154)</f>
        <v>17535.475109999999</v>
      </c>
      <c r="FG9" s="292">
        <f t="shared" si="38"/>
        <v>243934.003248144</v>
      </c>
      <c r="FH9" s="292">
        <f>SUMPRODUCT(('ANALYSE - ERP =&gt; SOUS-SEGMENT'!$C$8:$C$154=$C9)*'ANALYSE - ERP =&gt; SOUS-SEGMENT'!$Q$8:$Q$154*'ANALYSE - ERP =&gt; SOUS-SEGMENT'!$FK$8:$FK$154)</f>
        <v>182309.16743814401</v>
      </c>
      <c r="FI9" s="292">
        <f>SUMPRODUCT(('ANALYSE - ERP =&gt; SOUS-SEGMENT'!$C$8:$C$154=$C9)*'ANALYSE - ERP =&gt; SOUS-SEGMENT'!$Q$8:$Q$154*'ANALYSE - ERP =&gt; SOUS-SEGMENT'!$FL$8:$FL$154)</f>
        <v>61624.835809999997</v>
      </c>
      <c r="FJ9" s="657"/>
      <c r="FK9" s="319" t="s">
        <v>2649</v>
      </c>
      <c r="FL9" s="731">
        <f>IFERROR(SUMPRODUCT(('ANALYSE - ERP =&gt; SOUS-SEGMENT'!$C$8:$C$154=$C9)*'ANALYSE - ERP =&gt; SOUS-SEGMENT'!$Q$8:$Q$154*'ANALYSE - ERP =&gt; SOUS-SEGMENT'!$AF$8:$AF$154*'ANALYSE - ERP =&gt; SOUS-SEGMENT'!$FO$8:$FO$154)/SUMPRODUCT(('ANALYSE - ERP =&gt; SOUS-SEGMENT'!$C$8:$C$154=$C9)*'ANALYSE - ERP =&gt; SOUS-SEGMENT'!$Q$8:$Q$154*'ANALYSE - ERP =&gt; SOUS-SEGMENT'!$AF$8:$AF$154),"")</f>
        <v>6.890345400240816E-2</v>
      </c>
      <c r="FM9" s="732">
        <f>IFERROR(SUMPRODUCT(('ANALYSE - ERP =&gt; SOUS-SEGMENT'!$C$8:$C$154=$C9)*'ANALYSE - ERP =&gt; SOUS-SEGMENT'!$Q$8:$Q$154*'ANALYSE - ERP =&gt; SOUS-SEGMENT'!$AF$8:$AF$154*'ANALYSE - ERP =&gt; SOUS-SEGMENT'!$FP$8:$FP$154)/SUMPRODUCT(('ANALYSE - ERP =&gt; SOUS-SEGMENT'!$C$8:$C$154=$C9)*'ANALYSE - ERP =&gt; SOUS-SEGMENT'!$Q$8:$Q$154*'ANALYSE - ERP =&gt; SOUS-SEGMENT'!$AF$8:$AF$154),"")</f>
        <v>0.87452959045489376</v>
      </c>
      <c r="FN9" s="320" t="s">
        <v>6780</v>
      </c>
      <c r="FO9" s="657"/>
      <c r="FP9" s="887">
        <f>IFERROR(SUMPRODUCT(('ANALYSE - ERP =&gt; SOUS-SEGMENT'!$C$8:$C$154=$C9)*'ANALYSE - ERP =&gt; SOUS-SEGMENT'!$Q$8:$Q$154*'ANALYSE - ERP =&gt; SOUS-SEGMENT'!$EX$8:$EX$154*'ANALYSE - ERP =&gt; SOUS-SEGMENT'!$FS$8:$FS$154)/SUMPRODUCT(('ANALYSE - ERP =&gt; SOUS-SEGMENT'!$C$8:$C$154=$C9)*'ANALYSE - ERP =&gt; SOUS-SEGMENT'!$Q$8:$Q$154*'ANALYSE - ERP =&gt; SOUS-SEGMENT'!$EX$8:$EX$154),"")</f>
        <v>3.2114428821638321</v>
      </c>
      <c r="FQ9" s="295">
        <f>RANK($FP9,$FP$8:$FP$143,0)+COUNTIF($FP$8:$FP9,$FP9)-1</f>
        <v>24</v>
      </c>
      <c r="FR9" s="887">
        <f>IFERROR(SUMPRODUCT(('ANALYSE - ERP =&gt; SOUS-SEGMENT'!$C$8:$C$154=$C9)*'ANALYSE - ERP =&gt; SOUS-SEGMENT'!$Q$8:$Q$154*'ANALYSE - ERP =&gt; SOUS-SEGMENT'!$EY$8:$EY$154*'ANALYSE - ERP =&gt; SOUS-SEGMENT'!$FU$8:$FU$154)/SUMPRODUCT(('ANALYSE - ERP =&gt; SOUS-SEGMENT'!$C$8:$C$154=$C9)*'ANALYSE - ERP =&gt; SOUS-SEGMENT'!$Q$8:$Q$154*'ANALYSE - ERP =&gt; SOUS-SEGMENT'!$EY$8:$EY$154),"")</f>
        <v>4.1302971078299127</v>
      </c>
      <c r="FS9" s="295">
        <f>RANK($FR9,$FR$8:$FR$143,0)+COUNTIF($FR$8:$FR9,$FR9)-1</f>
        <v>15</v>
      </c>
      <c r="FT9" s="887">
        <f>IFERROR(SUMPRODUCT(('ANALYSE - ERP =&gt; SOUS-SEGMENT'!$C$8:$C$154=$C9)*'ANALYSE - ERP =&gt; SOUS-SEGMENT'!$Q$8:$Q$154*'ANALYSE - ERP =&gt; SOUS-SEGMENT'!$EZ$8:$EZ$154*'ANALYSE - ERP =&gt; SOUS-SEGMENT'!$FW$8:$FW$154)/SUMPRODUCT(('ANALYSE - ERP =&gt; SOUS-SEGMENT'!$C$8:$C$154=$C9)*'ANALYSE - ERP =&gt; SOUS-SEGMENT'!$Q$8:$Q$154*'ANALYSE - ERP =&gt; SOUS-SEGMENT'!$EZ$8:$EZ$154),"")</f>
        <v>2.0965775550408203</v>
      </c>
      <c r="FU9" s="295">
        <f>RANK($FT9,$FT$8:$FT$143,0)+COUNTIF($FT$8:$FT9,$FT9)-1</f>
        <v>22</v>
      </c>
      <c r="FV9" s="657"/>
      <c r="FW9" s="321" t="s">
        <v>6781</v>
      </c>
      <c r="FX9" s="321" t="s">
        <v>6782</v>
      </c>
      <c r="FY9" s="321" t="s">
        <v>6783</v>
      </c>
      <c r="FZ9" s="321" t="s">
        <v>6784</v>
      </c>
      <c r="GA9" s="321" t="s">
        <v>6785</v>
      </c>
      <c r="GB9" s="321" t="s">
        <v>6786</v>
      </c>
      <c r="GC9" s="321" t="s">
        <v>6759</v>
      </c>
      <c r="GD9" s="657"/>
      <c r="GE9" s="292">
        <f>SUMPRODUCT(('ANALYSE - ERP =&gt; SOUS-SEGMENT'!$C$8:$C$154=$C9)*'ANALYSE - ERP =&gt; SOUS-SEGMENT'!$Q$8:$Q$154*'ANALYSE - ERP =&gt; SOUS-SEGMENT'!$GH$8:$GH$154)</f>
        <v>54058.075830672155</v>
      </c>
      <c r="GF9" s="292">
        <f>SUMPRODUCT(('ANALYSE - ERP =&gt; SOUS-SEGMENT'!$C$8:$C$154=$C9)*'ANALYSE - ERP =&gt; SOUS-SEGMENT'!$Q$8:$Q$154*'ANALYSE - ERP =&gt; SOUS-SEGMENT'!$GI$8:$GI$154)</f>
        <v>41814.272894672169</v>
      </c>
      <c r="GG9" s="292">
        <f>SUMPRODUCT(('ANALYSE - ERP =&gt; SOUS-SEGMENT'!$C$8:$C$154=$C9)*'ANALYSE - ERP =&gt; SOUS-SEGMENT'!$Q$8:$Q$154*'ANALYSE - ERP =&gt; SOUS-SEGMENT'!$GJ$8:$GJ$154)</f>
        <v>12243.802936</v>
      </c>
      <c r="GH9" s="292">
        <f>SUMPRODUCT(('ANALYSE - ERP =&gt; SOUS-SEGMENT'!$C$8:$C$154=$C9)*'ANALYSE - ERP =&gt; SOUS-SEGMENT'!$Q$8:$Q$154*'ANALYSE - ERP =&gt; SOUS-SEGMENT'!$GK$8:$GK$154)</f>
        <v>207323.71992079722</v>
      </c>
      <c r="GI9" s="292">
        <f>SUMPRODUCT(('ANALYSE - ERP =&gt; SOUS-SEGMENT'!$C$8:$C$154=$C9)*'ANALYSE - ERP =&gt; SOUS-SEGMENT'!$Q$8:$Q$154*'ANALYSE - ERP =&gt; SOUS-SEGMENT'!$GL$8:$GL$154)</f>
        <v>153597.13975239723</v>
      </c>
      <c r="GJ9" s="292">
        <f>SUMPRODUCT(('ANALYSE - ERP =&gt; SOUS-SEGMENT'!$C$8:$C$154=$C9)*'ANALYSE - ERP =&gt; SOUS-SEGMENT'!$Q$8:$Q$154*'ANALYSE - ERP =&gt; SOUS-SEGMENT'!$GM$8:$GM$154)</f>
        <v>53726.580168400003</v>
      </c>
      <c r="GK9" s="292">
        <f>SUMPRODUCT(('ANALYSE - ERP =&gt; SOUS-SEGMENT'!$C$8:$C$154=$C9)*'ANALYSE - ERP =&gt; SOUS-SEGMENT'!$Q$8:$Q$154*'ANALYSE - ERP =&gt; SOUS-SEGMENT'!$GN$8:$GN$154)</f>
        <v>14028.762438198799</v>
      </c>
      <c r="GL9" s="292">
        <f>SUMPRODUCT(('ANALYSE - ERP =&gt; SOUS-SEGMENT'!$C$8:$C$154=$C9)*'ANALYSE - ERP =&gt; SOUS-SEGMENT'!$Q$8:$Q$154*'ANALYSE - ERP =&gt; SOUS-SEGMENT'!$GO$8:$GO$154)</f>
        <v>9297.5993027988006</v>
      </c>
      <c r="GM9" s="292">
        <f>SUMPRODUCT(('ANALYSE - ERP =&gt; SOUS-SEGMENT'!$C$8:$C$154=$C9)*'ANALYSE - ERP =&gt; SOUS-SEGMENT'!$Q$8:$Q$154*'ANALYSE - ERP =&gt; SOUS-SEGMENT'!$GP$8:$GP$154)</f>
        <v>4731.1631354000001</v>
      </c>
      <c r="GN9" s="292">
        <f>SUMPRODUCT(('ANALYSE - ERP =&gt; SOUS-SEGMENT'!$C$8:$C$154=$C9)*'ANALYSE - ERP =&gt; SOUS-SEGMENT'!$Q$8:$Q$154*'ANALYSE - ERP =&gt; SOUS-SEGMENT'!$GQ$8:$GQ$154)</f>
        <v>10247.649374679841</v>
      </c>
      <c r="GO9" s="292">
        <f>SUMPRODUCT(('ANALYSE - ERP =&gt; SOUS-SEGMENT'!$C$8:$C$154=$C9)*'ANALYSE - ERP =&gt; SOUS-SEGMENT'!$Q$8:$Q$154*'ANALYSE - ERP =&gt; SOUS-SEGMENT'!$GR$8:$GR$154)</f>
        <v>8069.3637344798399</v>
      </c>
      <c r="GP9" s="292">
        <f>SUMPRODUCT(('ANALYSE - ERP =&gt; SOUS-SEGMENT'!$C$8:$C$154=$C9)*'ANALYSE - ERP =&gt; SOUS-SEGMENT'!$Q$8:$Q$154*'ANALYSE - ERP =&gt; SOUS-SEGMENT'!$GS$8:$GS$154)</f>
        <v>2178.2856401999998</v>
      </c>
      <c r="GQ9" s="292">
        <f>SUMPRODUCT(('ANALYSE - ERP =&gt; SOUS-SEGMENT'!$C$8:$C$154=$C9)*'ANALYSE - ERP =&gt; SOUS-SEGMENT'!$Q$8:$Q$154*'ANALYSE - ERP =&gt; SOUS-SEGMENT'!$GT$8:$GT$154)</f>
        <v>13767.034445841999</v>
      </c>
      <c r="GR9" s="292">
        <f>SUMPRODUCT(('ANALYSE - ERP =&gt; SOUS-SEGMENT'!$C$8:$C$154=$C9)*'ANALYSE - ERP =&gt; SOUS-SEGMENT'!$Q$8:$Q$154*'ANALYSE - ERP =&gt; SOUS-SEGMENT'!$GU$8:$GU$154)</f>
        <v>10551.002295472001</v>
      </c>
      <c r="GS9" s="292">
        <f>SUMPRODUCT(('ANALYSE - ERP =&gt; SOUS-SEGMENT'!$C$8:$C$154=$C9)*'ANALYSE - ERP =&gt; SOUS-SEGMENT'!$Q$8:$Q$154*'ANALYSE - ERP =&gt; SOUS-SEGMENT'!$GV$8:$GV$154)</f>
        <v>3216.0321503700002</v>
      </c>
      <c r="GT9" s="292">
        <f>SUMPRODUCT(('ANALYSE - ERP =&gt; SOUS-SEGMENT'!$C$8:$C$154=$C9)*'ANALYSE - ERP =&gt; SOUS-SEGMENT'!$Q$8:$Q$154*'ANALYSE - ERP =&gt; SOUS-SEGMENT'!$GW$8:$GW$154)</f>
        <v>25240.843340682361</v>
      </c>
      <c r="GU9" s="292">
        <f>SUMPRODUCT(('ANALYSE - ERP =&gt; SOUS-SEGMENT'!$C$8:$C$154=$C9)*'ANALYSE - ERP =&gt; SOUS-SEGMENT'!$Q$8:$Q$154*'ANALYSE - ERP =&gt; SOUS-SEGMENT'!$GX$8:$GX$154)</f>
        <v>18247.68494420436</v>
      </c>
      <c r="GV9" s="292">
        <f>SUMPRODUCT(('ANALYSE - ERP =&gt; SOUS-SEGMENT'!$C$8:$C$154=$C9)*'ANALYSE - ERP =&gt; SOUS-SEGMENT'!$Q$8:$Q$154*'ANALYSE - ERP =&gt; SOUS-SEGMENT'!$GY$8:$GY$154)</f>
        <v>6993.1583964780002</v>
      </c>
      <c r="GW9" s="292">
        <f>SUMPRODUCT(('ANALYSE - ERP =&gt; SOUS-SEGMENT'!$C$8:$C$154=$C9)*'ANALYSE - ERP =&gt; SOUS-SEGMENT'!$Q$8:$Q$154*'ANALYSE - ERP =&gt; SOUS-SEGMENT'!$GZ$8:$GZ$154)</f>
        <v>4464.6104610524399</v>
      </c>
      <c r="GX9" s="292">
        <f>SUMPRODUCT(('ANALYSE - ERP =&gt; SOUS-SEGMENT'!$C$8:$C$154=$C9)*'ANALYSE - ERP =&gt; SOUS-SEGMENT'!$Q$8:$Q$154*'ANALYSE - ERP =&gt; SOUS-SEGMENT'!$HA$8:$HA$154)</f>
        <v>3087.1227568004397</v>
      </c>
      <c r="GY9" s="292">
        <f>SUMPRODUCT(('ANALYSE - ERP =&gt; SOUS-SEGMENT'!$C$8:$C$154=$C9)*'ANALYSE - ERP =&gt; SOUS-SEGMENT'!$Q$8:$Q$154*'ANALYSE - ERP =&gt; SOUS-SEGMENT'!$HB$8:$HB$154)</f>
        <v>1377.4877042520002</v>
      </c>
      <c r="GZ9" s="292">
        <f>SUMPRODUCT(('ANALYSE - ERP =&gt; SOUS-SEGMENT'!$C$8:$C$154=$C9)*'ANALYSE - ERP =&gt; SOUS-SEGMENT'!$Q$8:$Q$154*'ANALYSE - ERP =&gt; SOUS-SEGMENT'!$HC$8:$HC$154)</f>
        <v>4757.4248942950808</v>
      </c>
      <c r="HA9" s="292">
        <f>SUMPRODUCT(('ANALYSE - ERP =&gt; SOUS-SEGMENT'!$C$8:$C$154=$C9)*'ANALYSE - ERP =&gt; SOUS-SEGMENT'!$Q$8:$Q$154*'ANALYSE - ERP =&gt; SOUS-SEGMENT'!$HD$8:$HD$154)</f>
        <v>3707.3878532950798</v>
      </c>
      <c r="HB9" s="292">
        <f>SUMPRODUCT(('ANALYSE - ERP =&gt; SOUS-SEGMENT'!$C$8:$C$154=$C9)*'ANALYSE - ERP =&gt; SOUS-SEGMENT'!$Q$8:$Q$154*'ANALYSE - ERP =&gt; SOUS-SEGMENT'!$HE$8:$HE$154)</f>
        <v>1050.037041</v>
      </c>
      <c r="HC9" s="292">
        <f>SUMPRODUCT(('ANALYSE - ERP =&gt; SOUS-SEGMENT'!$C$8:$C$154=$C9)*'ANALYSE - ERP =&gt; SOUS-SEGMENT'!$Q$8:$Q$154*'ANALYSE - ERP =&gt; SOUS-SEGMENT'!$HF$8:$HF$154)</f>
        <v>42695.870529159802</v>
      </c>
      <c r="HD9" s="292">
        <f>SUMPRODUCT(('ANALYSE - ERP =&gt; SOUS-SEGMENT'!$C$8:$C$154=$C9)*'ANALYSE - ERP =&gt; SOUS-SEGMENT'!$Q$8:$Q$154*'ANALYSE - ERP =&gt; SOUS-SEGMENT'!$HG$8:$HG$154)</f>
        <v>31536.343072659802</v>
      </c>
      <c r="HE9" s="292">
        <f>SUMPRODUCT(('ANALYSE - ERP =&gt; SOUS-SEGMENT'!$C$8:$C$154=$C9)*'ANALYSE - ERP =&gt; SOUS-SEGMENT'!$Q$8:$Q$154*'ANALYSE - ERP =&gt; SOUS-SEGMENT'!$HH$8:$HH$154)</f>
        <v>11159.5274565</v>
      </c>
      <c r="HF9" s="292">
        <f>SUMPRODUCT(('ANALYSE - ERP =&gt; SOUS-SEGMENT'!$C$8:$C$154=$C9)*'ANALYSE - ERP =&gt; SOUS-SEGMENT'!$Q$8:$Q$154*'ANALYSE - ERP =&gt; SOUS-SEGMENT'!$HI$8:$HI$154)</f>
        <v>4683.7855217812794</v>
      </c>
      <c r="HG9" s="292">
        <f>SUMPRODUCT(('ANALYSE - ERP =&gt; SOUS-SEGMENT'!$C$8:$C$154=$C9)*'ANALYSE - ERP =&gt; SOUS-SEGMENT'!$Q$8:$Q$154*'ANALYSE - ERP =&gt; SOUS-SEGMENT'!$HJ$8:$HJ$154)</f>
        <v>3182.97519028128</v>
      </c>
      <c r="HH9" s="292">
        <f>SUMPRODUCT(('ANALYSE - ERP =&gt; SOUS-SEGMENT'!$C$8:$C$154=$C9)*'ANALYSE - ERP =&gt; SOUS-SEGMENT'!$Q$8:$Q$154*'ANALYSE - ERP =&gt; SOUS-SEGMENT'!$HK$8:$HK$154)</f>
        <v>1500.8103315000001</v>
      </c>
      <c r="HI9" s="292">
        <f>SUMPRODUCT(('ANALYSE - ERP =&gt; SOUS-SEGMENT'!$C$8:$C$154=$C9)*'ANALYSE - ERP =&gt; SOUS-SEGMENT'!$Q$8:$Q$154*'ANALYSE - ERP =&gt; SOUS-SEGMENT'!$HL$8:$HL$154)</f>
        <v>14993.384369687839</v>
      </c>
      <c r="HJ9" s="292">
        <f>SUMPRODUCT(('ANALYSE - ERP =&gt; SOUS-SEGMENT'!$C$8:$C$154=$C9)*'ANALYSE - ERP =&gt; SOUS-SEGMENT'!$Q$8:$Q$154*'ANALYSE - ERP =&gt; SOUS-SEGMENT'!$HM$8:$HM$154)</f>
        <v>11168.28408868784</v>
      </c>
      <c r="HK9" s="292">
        <f>SUMPRODUCT(('ANALYSE - ERP =&gt; SOUS-SEGMENT'!$C$8:$C$154=$C9)*'ANALYSE - ERP =&gt; SOUS-SEGMENT'!$Q$8:$Q$154*'ANALYSE - ERP =&gt; SOUS-SEGMENT'!$HN$8:$HN$154)</f>
        <v>3825.1002809999995</v>
      </c>
      <c r="HL9" s="292">
        <f>SUMPRODUCT(('ANALYSE - ERP =&gt; SOUS-SEGMENT'!$C$8:$C$154=$C9)*'ANALYSE - ERP =&gt; SOUS-SEGMENT'!$Q$8:$Q$154*'ANALYSE - ERP =&gt; SOUS-SEGMENT'!$HO$8:$HO$154)</f>
        <v>146019.99259303842</v>
      </c>
      <c r="HM9" s="292">
        <f>SUMPRODUCT(('ANALYSE - ERP =&gt; SOUS-SEGMENT'!$C$8:$C$154=$C9)*'ANALYSE - ERP =&gt; SOUS-SEGMENT'!$Q$8:$Q$154*'ANALYSE - ERP =&gt; SOUS-SEGMENT'!$HP$8:$HP$154)</f>
        <v>114165.5174975384</v>
      </c>
      <c r="HN9" s="292">
        <f>SUMPRODUCT(('ANALYSE - ERP =&gt; SOUS-SEGMENT'!$C$8:$C$154=$C9)*'ANALYSE - ERP =&gt; SOUS-SEGMENT'!$Q$8:$Q$154*'ANALYSE - ERP =&gt; SOUS-SEGMENT'!$HQ$8:$HQ$154)</f>
        <v>31854.475095500002</v>
      </c>
      <c r="HO9" s="292">
        <f>SUMPRODUCT(('ANALYSE - ERP =&gt; SOUS-SEGMENT'!$C$8:$C$154=$C9)*'ANALYSE - ERP =&gt; SOUS-SEGMENT'!$Q$8:$Q$154*'ANALYSE - ERP =&gt; SOUS-SEGMENT'!$HR$8:$HR$154)</f>
        <v>90199.672029138397</v>
      </c>
      <c r="HP9" s="292">
        <f>SUMPRODUCT(('ANALYSE - ERP =&gt; SOUS-SEGMENT'!$C$8:$C$154=$C9)*'ANALYSE - ERP =&gt; SOUS-SEGMENT'!$Q$8:$Q$154*'ANALYSE - ERP =&gt; SOUS-SEGMENT'!$HS$8:$HS$154)</f>
        <v>64715.81135933839</v>
      </c>
      <c r="HQ9" s="292">
        <f>SUMPRODUCT(('ANALYSE - ERP =&gt; SOUS-SEGMENT'!$C$8:$C$154=$C9)*'ANALYSE - ERP =&gt; SOUS-SEGMENT'!$Q$8:$Q$154*'ANALYSE - ERP =&gt; SOUS-SEGMENT'!$HT$8:$HT$154)</f>
        <v>25483.8606698</v>
      </c>
      <c r="HR9" s="292">
        <f>SUMPRODUCT(('ANALYSE - ERP =&gt; SOUS-SEGMENT'!$C$8:$C$154=$C9)*'ANALYSE - ERP =&gt; SOUS-SEGMENT'!$Q$8:$Q$154*'ANALYSE - ERP =&gt; SOUS-SEGMENT'!$HU$8:$HU$154)</f>
        <v>7714.3386259671997</v>
      </c>
      <c r="HS9" s="292">
        <f>SUMPRODUCT(('ANALYSE - ERP =&gt; SOUS-SEGMENT'!$C$8:$C$154=$C9)*'ANALYSE - ERP =&gt; SOUS-SEGMENT'!$Q$8:$Q$154*'ANALYSE - ERP =&gt; SOUS-SEGMENT'!$HV$8:$HV$154)</f>
        <v>3427.8385812672004</v>
      </c>
      <c r="HT9" s="292">
        <f>SUMPRODUCT(('ANALYSE - ERP =&gt; SOUS-SEGMENT'!$C$8:$C$154=$C9)*'ANALYSE - ERP =&gt; SOUS-SEGMENT'!$Q$8:$Q$154*'ANALYSE - ERP =&gt; SOUS-SEGMENT'!$HW$8:$HW$154)</f>
        <v>4286.5000447000011</v>
      </c>
      <c r="HV9" s="297">
        <f t="shared" si="39"/>
        <v>2224149.9099999997</v>
      </c>
      <c r="HW9" s="297">
        <f>SUMPRODUCT(('ANALYSE - ERP =&gt; SOUS-SEGMENT'!$C$8:$C$154=$C9)*'ANALYSE - ERP =&gt; SOUS-SEGMENT'!$Q$8:$Q$154*'ANALYSE - ERP =&gt; SOUS-SEGMENT'!$HZ$8:$HZ$154)</f>
        <v>234985.37009499996</v>
      </c>
      <c r="HX9" s="297">
        <f>SUMPRODUCT(('ANALYSE - ERP =&gt; SOUS-SEGMENT'!$C$8:$C$154=$C9)*'ANALYSE - ERP =&gt; SOUS-SEGMENT'!$Q$8:$Q$154*'ANALYSE - ERP =&gt; SOUS-SEGMENT'!$IA$8:$IA$154)</f>
        <v>1189430.9577939999</v>
      </c>
      <c r="HY9" s="297">
        <f>SUMPRODUCT(('ANALYSE - ERP =&gt; SOUS-SEGMENT'!$C$8:$C$154=$C9)*'ANALYSE - ERP =&gt; SOUS-SEGMENT'!$Q$8:$Q$154*'ANALYSE - ERP =&gt; SOUS-SEGMENT'!$IB$8:$IB$154)</f>
        <v>732360.00865099998</v>
      </c>
      <c r="HZ9" s="297">
        <f>SUMPRODUCT(('ANALYSE - ERP =&gt; SOUS-SEGMENT'!$C$8:$C$154=$C9)*'ANALYSE - ERP =&gt; SOUS-SEGMENT'!$Q$8:$Q$154*'ANALYSE - ERP =&gt; SOUS-SEGMENT'!$IC$8:$IC$154)</f>
        <v>65868.849077999999</v>
      </c>
      <c r="IA9" s="297">
        <f>SUMPRODUCT(('ANALYSE - ERP =&gt; SOUS-SEGMENT'!$C$8:$C$154=$C9)*'ANALYSE - ERP =&gt; SOUS-SEGMENT'!$Q$8:$Q$154*'ANALYSE - ERP =&gt; SOUS-SEGMENT'!$ID$8:$ID$154)</f>
        <v>1504.7243820000001</v>
      </c>
      <c r="IB9" s="297">
        <f>SUMPRODUCT(('ANALYSE - ERP =&gt; SOUS-SEGMENT'!$C$8:$C$154=$C9)*'ANALYSE - ERP =&gt; SOUS-SEGMENT'!$Q$8:$Q$154*'ANALYSE - ERP =&gt; SOUS-SEGMENT'!$IE$8:$IE$154)</f>
        <v>472899.10521589284</v>
      </c>
      <c r="IC9" s="297">
        <f>SUMPRODUCT(('ANALYSE - ERP =&gt; SOUS-SEGMENT'!$C$8:$C$154=$C9)*'ANALYSE - ERP =&gt; SOUS-SEGMENT'!$Q$8:$Q$154*'ANALYSE - ERP =&gt; SOUS-SEGMENT'!$IF$8:$IF$154)</f>
        <v>19127.016624494885</v>
      </c>
      <c r="ID9" s="297">
        <f>SUMPRODUCT(('ANALYSE - ERP =&gt; SOUS-SEGMENT'!$C$8:$C$154=$C9)*'ANALYSE - ERP =&gt; SOUS-SEGMENT'!$Q$8:$Q$154*'ANALYSE - ERP =&gt; SOUS-SEGMENT'!$IG$8:$IG$154)</f>
        <v>190021.39926197246</v>
      </c>
      <c r="IE9" s="297">
        <f>SUMPRODUCT(('ANALYSE - ERP =&gt; SOUS-SEGMENT'!$C$8:$C$154=$C9)*'ANALYSE - ERP =&gt; SOUS-SEGMENT'!$Q$8:$Q$154*'ANALYSE - ERP =&gt; SOUS-SEGMENT'!$IH$8:$IH$154)</f>
        <v>226830.80852461766</v>
      </c>
      <c r="IF9" s="297">
        <f>SUMPRODUCT(('ANALYSE - ERP =&gt; SOUS-SEGMENT'!$C$8:$C$154=$C9)*'ANALYSE - ERP =&gt; SOUS-SEGMENT'!$Q$8:$Q$154*'ANALYSE - ERP =&gt; SOUS-SEGMENT'!$II$8:$II$154)</f>
        <v>35767.813925128699</v>
      </c>
      <c r="IG9" s="297">
        <f>SUMPRODUCT(('ANALYSE - ERP =&gt; SOUS-SEGMENT'!$C$8:$C$154=$C9)*'ANALYSE - ERP =&gt; SOUS-SEGMENT'!$Q$8:$Q$154*'ANALYSE - ERP =&gt; SOUS-SEGMENT'!$IJ$8:$IJ$154)</f>
        <v>1152.0668796791524</v>
      </c>
      <c r="IH9" s="888"/>
      <c r="II9" s="298" t="s">
        <v>2701</v>
      </c>
      <c r="IJ9" s="322" t="s">
        <v>6760</v>
      </c>
      <c r="IK9" s="657"/>
      <c r="IL9" s="747">
        <f>IFERROR(SUMPRODUCT(('ANALYSE - ERP =&gt; SOUS-SEGMENT'!$C$8:$C$154=$C9)*'ANALYSE - ERP =&gt; SOUS-SEGMENT'!$Q$8:$Q$154*'ANALYSE - ERP =&gt; SOUS-SEGMENT'!$BE$8:$BE$154*'ANALYSE - ERP =&gt; SOUS-SEGMENT'!$IO$8:$IO$154)/SUMPRODUCT(('ANALYSE - ERP =&gt; SOUS-SEGMENT'!$C$8:$C$154=$C9)*'ANALYSE - ERP =&gt; SOUS-SEGMENT'!$Q$8:$Q$154*'ANALYSE - ERP =&gt; SOUS-SEGMENT'!$BE$8:$BE$154),0)</f>
        <v>9.5824485436660847E-2</v>
      </c>
      <c r="IM9" s="748">
        <f>IFERROR(SUMPRODUCT(('ANALYSE - ERP =&gt; SOUS-SEGMENT'!$C$8:$C$154=$C9)*'ANALYSE - ERP =&gt; SOUS-SEGMENT'!$Q$8:$Q$154*'ANALYSE - ERP =&gt; SOUS-SEGMENT'!$BE$8:$BE$154*'ANALYSE - ERP =&gt; SOUS-SEGMENT'!$IP$8:$IP$154)/SUMPRODUCT(('ANALYSE - ERP =&gt; SOUS-SEGMENT'!$C$8:$C$154=$C9)*'ANALYSE - ERP =&gt; SOUS-SEGMENT'!$Q$8:$Q$154*'ANALYSE - ERP =&gt; SOUS-SEGMENT'!$BE$8:$BE$154),0)</f>
        <v>0.53014464315630749</v>
      </c>
      <c r="IN9" s="748">
        <f>IFERROR(SUMPRODUCT(('ANALYSE - ERP =&gt; SOUS-SEGMENT'!$C$8:$C$154=$C9)*'ANALYSE - ERP =&gt; SOUS-SEGMENT'!$Q$8:$Q$154*'ANALYSE - ERP =&gt; SOUS-SEGMENT'!$BE$8:$BE$154*'ANALYSE - ERP =&gt; SOUS-SEGMENT'!$IQ$8:$IQ$154)/SUMPRODUCT(('ANALYSE - ERP =&gt; SOUS-SEGMENT'!$C$8:$C$154=$C9)*'ANALYSE - ERP =&gt; SOUS-SEGMENT'!$Q$8:$Q$154*'ANALYSE - ERP =&gt; SOUS-SEGMENT'!$BE$8:$BE$154),0)</f>
        <v>0.34433724880134664</v>
      </c>
      <c r="IO9" s="748">
        <f>IFERROR(SUMPRODUCT(('ANALYSE - ERP =&gt; SOUS-SEGMENT'!$C$8:$C$154=$C9)*'ANALYSE - ERP =&gt; SOUS-SEGMENT'!$Q$8:$Q$154*'ANALYSE - ERP =&gt; SOUS-SEGMENT'!$BE$8:$BE$154*'ANALYSE - ERP =&gt; SOUS-SEGMENT'!$IR$8:$IR$154)/SUMPRODUCT(('ANALYSE - ERP =&gt; SOUS-SEGMENT'!$C$8:$C$154=$C9)*'ANALYSE - ERP =&gt; SOUS-SEGMENT'!$Q$8:$Q$154*'ANALYSE - ERP =&gt; SOUS-SEGMENT'!$BE$8:$BE$154),0)</f>
        <v>2.9244411203918661E-2</v>
      </c>
      <c r="IP9" s="749">
        <f>IFERROR(SUMPRODUCT(('ANALYSE - ERP =&gt; SOUS-SEGMENT'!$C$8:$C$154=$C9)*'ANALYSE - ERP =&gt; SOUS-SEGMENT'!$Q$8:$Q$154*'ANALYSE - ERP =&gt; SOUS-SEGMENT'!$BE$8:$BE$154*'ANALYSE - ERP =&gt; SOUS-SEGMENT'!$IS$8:$IS$154)/SUMPRODUCT(('ANALYSE - ERP =&gt; SOUS-SEGMENT'!$C$8:$C$154=$C9)*'ANALYSE - ERP =&gt; SOUS-SEGMENT'!$Q$8:$Q$154*'ANALYSE - ERP =&gt; SOUS-SEGMENT'!$BE$8:$BE$154),0)</f>
        <v>4.4921140176626856E-4</v>
      </c>
      <c r="IQ9" s="748">
        <f>IFERROR(SUMPRODUCT(('ANALYSE - ERP =&gt; SOUS-SEGMENT'!$C$8:$C$154=$C9)*'ANALYSE - ERP =&gt; SOUS-SEGMENT'!$Q$8:$Q$154*'ANALYSE - ERP =&gt; SOUS-SEGMENT'!$FB$8:$FB$154*'ANALYSE - ERP =&gt; SOUS-SEGMENT'!$IT$8:$IT$154)/SUMPRODUCT(('ANALYSE - ERP =&gt; SOUS-SEGMENT'!$C$8:$C$154=$C9)*'ANALYSE - ERP =&gt; SOUS-SEGMENT'!$Q$8:$Q$154*'ANALYSE - ERP =&gt; SOUS-SEGMENT'!$FB$8:$FB$154),0)</f>
        <v>3.5513007328225911E-2</v>
      </c>
      <c r="IR9" s="748">
        <f>IFERROR(SUMPRODUCT(('ANALYSE - ERP =&gt; SOUS-SEGMENT'!$C$8:$C$154=$C9)*'ANALYSE - ERP =&gt; SOUS-SEGMENT'!$Q$8:$Q$154*'ANALYSE - ERP =&gt; SOUS-SEGMENT'!$FB$8:$FB$154*'ANALYSE - ERP =&gt; SOUS-SEGMENT'!$IU$8:$IU$154)/SUMPRODUCT(('ANALYSE - ERP =&gt; SOUS-SEGMENT'!$C$8:$C$154=$C9)*'ANALYSE - ERP =&gt; SOUS-SEGMENT'!$Q$8:$Q$154*'ANALYSE - ERP =&gt; SOUS-SEGMENT'!$FB$8:$FB$154),0)</f>
        <v>0.38871654509956083</v>
      </c>
      <c r="IS9" s="748">
        <f>IFERROR(SUMPRODUCT(('ANALYSE - ERP =&gt; SOUS-SEGMENT'!$C$8:$C$154=$C9)*'ANALYSE - ERP =&gt; SOUS-SEGMENT'!$Q$8:$Q$154*'ANALYSE - ERP =&gt; SOUS-SEGMENT'!$FB$8:$FB$154*'ANALYSE - ERP =&gt; SOUS-SEGMENT'!$IV$8:$IV$154)/SUMPRODUCT(('ANALYSE - ERP =&gt; SOUS-SEGMENT'!$C$8:$C$154=$C9)*'ANALYSE - ERP =&gt; SOUS-SEGMENT'!$Q$8:$Q$154*'ANALYSE - ERP =&gt; SOUS-SEGMENT'!$FB$8:$FB$154),0)</f>
        <v>0.49574976958405864</v>
      </c>
      <c r="IT9" s="748">
        <f>IFERROR(SUMPRODUCT(('ANALYSE - ERP =&gt; SOUS-SEGMENT'!$C$8:$C$154=$C9)*'ANALYSE - ERP =&gt; SOUS-SEGMENT'!$Q$8:$Q$154*'ANALYSE - ERP =&gt; SOUS-SEGMENT'!$FB$8:$FB$154*'ANALYSE - ERP =&gt; SOUS-SEGMENT'!$IW$8:$IW$154)/SUMPRODUCT(('ANALYSE - ERP =&gt; SOUS-SEGMENT'!$C$8:$C$154=$C9)*'ANALYSE - ERP =&gt; SOUS-SEGMENT'!$Q$8:$Q$154*'ANALYSE - ERP =&gt; SOUS-SEGMENT'!$FB$8:$FB$154),0)</f>
        <v>7.8078899995916398E-2</v>
      </c>
      <c r="IU9" s="748">
        <f>IFERROR(SUMPRODUCT(('ANALYSE - ERP =&gt; SOUS-SEGMENT'!$C$8:$C$154=$C9)*'ANALYSE - ERP =&gt; SOUS-SEGMENT'!$Q$8:$Q$154*'ANALYSE - ERP =&gt; SOUS-SEGMENT'!$FB$8:$FB$154*'ANALYSE - ERP =&gt; SOUS-SEGMENT'!$IX$8:$IX$154)/SUMPRODUCT(('ANALYSE - ERP =&gt; SOUS-SEGMENT'!$C$8:$C$154=$C9)*'ANALYSE - ERP =&gt; SOUS-SEGMENT'!$Q$8:$Q$154*'ANALYSE - ERP =&gt; SOUS-SEGMENT'!$FB$8:$FB$154),0)</f>
        <v>1.9417779922381909E-3</v>
      </c>
      <c r="IV9" s="771">
        <f>IFERROR(SUMPRODUCT(('ANALYSE - ERP =&gt; SOUS-SEGMENT'!$C$8:$C$154=$C9)*'ANALYSE - ERP =&gt; SOUS-SEGMENT'!$Q$8:$Q$154*'ANALYSE - ERP =&gt; SOUS-SEGMENT'!$BF$8:$BF$154*'ANALYSE - ERP =&gt; SOUS-SEGMENT'!$IY$8:$IY$154)/SUMPRODUCT(('ANALYSE - ERP =&gt; SOUS-SEGMENT'!$C$8:$C$154=$C9)*'ANALYSE - ERP =&gt; SOUS-SEGMENT'!$Q$8:$Q$154*'ANALYSE - ERP =&gt; SOUS-SEGMENT'!$BF$8:$BF$154),0)</f>
        <v>8.5235902748290099E-2</v>
      </c>
      <c r="IW9" s="748">
        <f>IFERROR(SUMPRODUCT(('ANALYSE - ERP =&gt; SOUS-SEGMENT'!$C$8:$C$154=$C9)*'ANALYSE - ERP =&gt; SOUS-SEGMENT'!$Q$8:$Q$154*'ANALYSE - ERP =&gt; SOUS-SEGMENT'!$BF$8:$BF$154*'ANALYSE - ERP =&gt; SOUS-SEGMENT'!$IZ$8:$IZ$154)/SUMPRODUCT(('ANALYSE - ERP =&gt; SOUS-SEGMENT'!$C$8:$C$154=$C9)*'ANALYSE - ERP =&gt; SOUS-SEGMENT'!$Q$8:$Q$154*'ANALYSE - ERP =&gt; SOUS-SEGMENT'!$BF$8:$BF$154),0)</f>
        <v>0.47442068962319345</v>
      </c>
      <c r="IX9" s="748">
        <f>IFERROR(SUMPRODUCT(('ANALYSE - ERP =&gt; SOUS-SEGMENT'!$C$8:$C$154=$C9)*'ANALYSE - ERP =&gt; SOUS-SEGMENT'!$Q$8:$Q$154*'ANALYSE - ERP =&gt; SOUS-SEGMENT'!$BF$8:$BF$154*'ANALYSE - ERP =&gt; SOUS-SEGMENT'!$JA$8:$JA$154)/SUMPRODUCT(('ANALYSE - ERP =&gt; SOUS-SEGMENT'!$C$8:$C$154=$C9)*'ANALYSE - ERP =&gt; SOUS-SEGMENT'!$Q$8:$Q$154*'ANALYSE - ERP =&gt; SOUS-SEGMENT'!$BF$8:$BF$154),0)</f>
        <v>0.36621651853749565</v>
      </c>
      <c r="IY9" s="748">
        <f>IFERROR(SUMPRODUCT(('ANALYSE - ERP =&gt; SOUS-SEGMENT'!$C$8:$C$154=$C9)*'ANALYSE - ERP =&gt; SOUS-SEGMENT'!$Q$8:$Q$154*'ANALYSE - ERP =&gt; SOUS-SEGMENT'!$BF$8:$BF$154*'ANALYSE - ERP =&gt; SOUS-SEGMENT'!$JB$8:$JB$154)/SUMPRODUCT(('ANALYSE - ERP =&gt; SOUS-SEGMENT'!$C$8:$C$154=$C9)*'ANALYSE - ERP =&gt; SOUS-SEGMENT'!$Q$8:$Q$154*'ANALYSE - ERP =&gt; SOUS-SEGMENT'!$BF$8:$BF$154),0)</f>
        <v>7.0145849183939957E-2</v>
      </c>
      <c r="IZ9" s="749">
        <f>IFERROR(SUMPRODUCT(('ANALYSE - ERP =&gt; SOUS-SEGMENT'!$C$8:$C$154=$C9)*'ANALYSE - ERP =&gt; SOUS-SEGMENT'!$Q$8:$Q$154*'ANALYSE - ERP =&gt; SOUS-SEGMENT'!$BF$8:$BF$154*'ANALYSE - ERP =&gt; SOUS-SEGMENT'!$JC$8:$JC$154)/SUMPRODUCT(('ANALYSE - ERP =&gt; SOUS-SEGMENT'!$C$8:$C$154=$C9)*'ANALYSE - ERP =&gt; SOUS-SEGMENT'!$Q$8:$Q$154*'ANALYSE - ERP =&gt; SOUS-SEGMENT'!$BF$8:$BF$154),0)</f>
        <v>3.981039907080844E-3</v>
      </c>
      <c r="JA9" s="748">
        <f>IFERROR(SUMPRODUCT(('ANALYSE - ERP =&gt; SOUS-SEGMENT'!$C$8:$C$154=$C9)*'ANALYSE - ERP =&gt; SOUS-SEGMENT'!$Q$8:$Q$154*'ANALYSE - ERP =&gt; SOUS-SEGMENT'!$FE$8:$FE$154*'ANALYSE - ERP =&gt; SOUS-SEGMENT'!$JD$8:$JD$154)/SUMPRODUCT(('ANALYSE - ERP =&gt; SOUS-SEGMENT'!$C$8:$C$154=$C9)*'ANALYSE - ERP =&gt; SOUS-SEGMENT'!$Q$8:$Q$154*'ANALYSE - ERP =&gt; SOUS-SEGMENT'!$FE$8:$FE$154),0)</f>
        <v>3.134385108308059E-2</v>
      </c>
      <c r="JB9" s="748">
        <f>IFERROR(SUMPRODUCT(('ANALYSE - ERP =&gt; SOUS-SEGMENT'!$C$8:$C$154=$C9)*'ANALYSE - ERP =&gt; SOUS-SEGMENT'!$Q$8:$Q$154*'ANALYSE - ERP =&gt; SOUS-SEGMENT'!$FE$8:$FE$154*'ANALYSE - ERP =&gt; SOUS-SEGMENT'!$JE$8:$JE$154)/SUMPRODUCT(('ANALYSE - ERP =&gt; SOUS-SEGMENT'!$C$8:$C$154=$C9)*'ANALYSE - ERP =&gt; SOUS-SEGMENT'!$Q$8:$Q$154*'ANALYSE - ERP =&gt; SOUS-SEGMENT'!$FE$8:$FE$154),0)</f>
        <v>0.34249938791456885</v>
      </c>
      <c r="JC9" s="748">
        <f>IFERROR(SUMPRODUCT(('ANALYSE - ERP =&gt; SOUS-SEGMENT'!$C$8:$C$154=$C9)*'ANALYSE - ERP =&gt; SOUS-SEGMENT'!$Q$8:$Q$154*'ANALYSE - ERP =&gt; SOUS-SEGMENT'!$FE$8:$FE$154*'ANALYSE - ERP =&gt; SOUS-SEGMENT'!$JF$8:$JF$154)/SUMPRODUCT(('ANALYSE - ERP =&gt; SOUS-SEGMENT'!$C$8:$C$154=$C9)*'ANALYSE - ERP =&gt; SOUS-SEGMENT'!$Q$8:$Q$154*'ANALYSE - ERP =&gt; SOUS-SEGMENT'!$FE$8:$FE$154),0)</f>
        <v>0.48451712372839828</v>
      </c>
      <c r="JD9" s="748">
        <f>IFERROR(SUMPRODUCT(('ANALYSE - ERP =&gt; SOUS-SEGMENT'!$C$8:$C$154=$C9)*'ANALYSE - ERP =&gt; SOUS-SEGMENT'!$Q$8:$Q$154*'ANALYSE - ERP =&gt; SOUS-SEGMENT'!$FE$8:$FE$154*'ANALYSE - ERP =&gt; SOUS-SEGMENT'!$JG$8:$JG$154)/SUMPRODUCT(('ANALYSE - ERP =&gt; SOUS-SEGMENT'!$C$8:$C$154=$C9)*'ANALYSE - ERP =&gt; SOUS-SEGMENT'!$Q$8:$Q$154*'ANALYSE - ERP =&gt; SOUS-SEGMENT'!$FE$8:$FE$154),0)</f>
        <v>0.13057171488877636</v>
      </c>
      <c r="JE9" s="748">
        <f>IFERROR(SUMPRODUCT(('ANALYSE - ERP =&gt; SOUS-SEGMENT'!$C$8:$C$154=$C9)*'ANALYSE - ERP =&gt; SOUS-SEGMENT'!$Q$8:$Q$154*'ANALYSE - ERP =&gt; SOUS-SEGMENT'!$FE$8:$FE$154*'ANALYSE - ERP =&gt; SOUS-SEGMENT'!$JH$8:$JH$154)/SUMPRODUCT(('ANALYSE - ERP =&gt; SOUS-SEGMENT'!$C$8:$C$154=$C9)*'ANALYSE - ERP =&gt; SOUS-SEGMENT'!$Q$8:$Q$154*'ANALYSE - ERP =&gt; SOUS-SEGMENT'!$FE$8:$FE$154),0)</f>
        <v>1.1067922385175928E-2</v>
      </c>
      <c r="JF9" s="771">
        <f>IFERROR(SUMPRODUCT(('ANALYSE - ERP =&gt; SOUS-SEGMENT'!$C$8:$C$154=$C9)*'ANALYSE - ERP =&gt; SOUS-SEGMENT'!$Q$8:$Q$154*'ANALYSE - ERP =&gt; SOUS-SEGMENT'!$BG$8:$BG$154*'ANALYSE - ERP =&gt; SOUS-SEGMENT'!$JI$8:$JI$154)/SUMPRODUCT(('ANALYSE - ERP =&gt; SOUS-SEGMENT'!$C$8:$C$154=$C9)*'ANALYSE - ERP =&gt; SOUS-SEGMENT'!$Q$8:$Q$154*'ANALYSE - ERP =&gt; SOUS-SEGMENT'!$BG$8:$BG$154),0)</f>
        <v>0.15993232917675387</v>
      </c>
      <c r="JG9" s="748">
        <f>IFERROR(SUMPRODUCT(('ANALYSE - ERP =&gt; SOUS-SEGMENT'!$C$8:$C$154=$C9)*'ANALYSE - ERP =&gt; SOUS-SEGMENT'!$Q$8:$Q$154*'ANALYSE - ERP =&gt; SOUS-SEGMENT'!$BG$8:$BG$154*'ANALYSE - ERP =&gt; SOUS-SEGMENT'!$JJ$8:$JJ$154)/SUMPRODUCT(('ANALYSE - ERP =&gt; SOUS-SEGMENT'!$C$8:$C$154=$C9)*'ANALYSE - ERP =&gt; SOUS-SEGMENT'!$Q$8:$Q$154*'ANALYSE - ERP =&gt; SOUS-SEGMENT'!$BG$8:$BG$154),0)</f>
        <v>0.53632800844934525</v>
      </c>
      <c r="JH9" s="748">
        <f>IFERROR(SUMPRODUCT(('ANALYSE - ERP =&gt; SOUS-SEGMENT'!$C$8:$C$154=$C9)*'ANALYSE - ERP =&gt; SOUS-SEGMENT'!$Q$8:$Q$154*'ANALYSE - ERP =&gt; SOUS-SEGMENT'!$BG$8:$BG$154*'ANALYSE - ERP =&gt; SOUS-SEGMENT'!$JK$8:$JK$154)/SUMPRODUCT(('ANALYSE - ERP =&gt; SOUS-SEGMENT'!$C$8:$C$154=$C9)*'ANALYSE - ERP =&gt; SOUS-SEGMENT'!$Q$8:$Q$154*'ANALYSE - ERP =&gt; SOUS-SEGMENT'!$BG$8:$BG$154),0)</f>
        <v>0.21241899233734796</v>
      </c>
      <c r="JI9" s="748">
        <f>IFERROR(SUMPRODUCT(('ANALYSE - ERP =&gt; SOUS-SEGMENT'!$C$8:$C$154=$C9)*'ANALYSE - ERP =&gt; SOUS-SEGMENT'!$Q$8:$Q$154*'ANALYSE - ERP =&gt; SOUS-SEGMENT'!$BG$8:$BG$154*'ANALYSE - ERP =&gt; SOUS-SEGMENT'!$JL$8:$JL$154)/SUMPRODUCT(('ANALYSE - ERP =&gt; SOUS-SEGMENT'!$C$8:$C$154=$C9)*'ANALYSE - ERP =&gt; SOUS-SEGMENT'!$Q$8:$Q$154*'ANALYSE - ERP =&gt; SOUS-SEGMENT'!$BG$8:$BG$154),0)</f>
        <v>1.1445973739226433E-2</v>
      </c>
      <c r="JJ9" s="749">
        <f>IFERROR(SUMPRODUCT(('ANALYSE - ERP =&gt; SOUS-SEGMENT'!$C$8:$C$154=$C9)*'ANALYSE - ERP =&gt; SOUS-SEGMENT'!$Q$8:$Q$154*'ANALYSE - ERP =&gt; SOUS-SEGMENT'!$BG$8:$BG$154*'ANALYSE - ERP =&gt; SOUS-SEGMENT'!$JM$8:$JM$154)/SUMPRODUCT(('ANALYSE - ERP =&gt; SOUS-SEGMENT'!$C$8:$C$154=$C9)*'ANALYSE - ERP =&gt; SOUS-SEGMENT'!$Q$8:$Q$154*'ANALYSE - ERP =&gt; SOUS-SEGMENT'!$BG$8:$BG$154),0)</f>
        <v>1.1878849254814692E-4</v>
      </c>
      <c r="JK9" s="748">
        <f>IFERROR(SUMPRODUCT(('ANALYSE - ERP =&gt; SOUS-SEGMENT'!$C$8:$C$154=$C9)*'ANALYSE - ERP =&gt; SOUS-SEGMENT'!$Q$8:$Q$154*'ANALYSE - ERP =&gt; SOUS-SEGMENT'!$FH$8:$FH$154*'ANALYSE - ERP =&gt; SOUS-SEGMENT'!$JN$8:$JN$154)/SUMPRODUCT(('ANALYSE - ERP =&gt; SOUS-SEGMENT'!$C$8:$C$154=$C9)*'ANALYSE - ERP =&gt; SOUS-SEGMENT'!$Q$8:$Q$154*'ANALYSE - ERP =&gt; SOUS-SEGMENT'!$FH$8:$FH$154),0)</f>
        <v>6.8061426923573976E-2</v>
      </c>
      <c r="JL9" s="748">
        <f>IFERROR(SUMPRODUCT(('ANALYSE - ERP =&gt; SOUS-SEGMENT'!$C$8:$C$154=$C9)*'ANALYSE - ERP =&gt; SOUS-SEGMENT'!$Q$8:$Q$154*'ANALYSE - ERP =&gt; SOUS-SEGMENT'!$FH$8:$FH$154*'ANALYSE - ERP =&gt; SOUS-SEGMENT'!$JO$8:$JO$154)/SUMPRODUCT(('ANALYSE - ERP =&gt; SOUS-SEGMENT'!$C$8:$C$154=$C9)*'ANALYSE - ERP =&gt; SOUS-SEGMENT'!$Q$8:$Q$154*'ANALYSE - ERP =&gt; SOUS-SEGMENT'!$FH$8:$FH$154),0)</f>
        <v>0.45984087577494004</v>
      </c>
      <c r="JM9" s="748">
        <f>IFERROR(SUMPRODUCT(('ANALYSE - ERP =&gt; SOUS-SEGMENT'!$C$8:$C$154=$C9)*'ANALYSE - ERP =&gt; SOUS-SEGMENT'!$Q$8:$Q$154*'ANALYSE - ERP =&gt; SOUS-SEGMENT'!$FH$8:$FH$154*'ANALYSE - ERP =&gt; SOUS-SEGMENT'!$JP$8:$JP$154)/SUMPRODUCT(('ANALYSE - ERP =&gt; SOUS-SEGMENT'!$C$8:$C$154=$C9)*'ANALYSE - ERP =&gt; SOUS-SEGMENT'!$Q$8:$Q$154*'ANALYSE - ERP =&gt; SOUS-SEGMENT'!$FH$8:$FH$154),0)</f>
        <v>0.36201759021237878</v>
      </c>
      <c r="JN9" s="748">
        <f>IFERROR(SUMPRODUCT(('ANALYSE - ERP =&gt; SOUS-SEGMENT'!$C$8:$C$154=$C9)*'ANALYSE - ERP =&gt; SOUS-SEGMENT'!$Q$8:$Q$154*'ANALYSE - ERP =&gt; SOUS-SEGMENT'!$FH$8:$FH$154*'ANALYSE - ERP =&gt; SOUS-SEGMENT'!$JQ$8:$JQ$154)/SUMPRODUCT(('ANALYSE - ERP =&gt; SOUS-SEGMENT'!$C$8:$C$154=$C9)*'ANALYSE - ERP =&gt; SOUS-SEGMENT'!$Q$8:$Q$154*'ANALYSE - ERP =&gt; SOUS-SEGMENT'!$FH$8:$FH$154),0)</f>
        <v>3.5541936796383441E-2</v>
      </c>
      <c r="JO9" s="748">
        <f>IFERROR(SUMPRODUCT(('ANALYSE - ERP =&gt; SOUS-SEGMENT'!$C$8:$C$154=$C9)*'ANALYSE - ERP =&gt; SOUS-SEGMENT'!$Q$8:$Q$154*'ANALYSE - ERP =&gt; SOUS-SEGMENT'!$FH$8:$FH$154*'ANALYSE - ERP =&gt; SOUS-SEGMENT'!$JR$8:$JR$154)/SUMPRODUCT(('ANALYSE - ERP =&gt; SOUS-SEGMENT'!$C$8:$C$154=$C9)*'ANALYSE - ERP =&gt; SOUS-SEGMENT'!$Q$8:$Q$154*'ANALYSE - ERP =&gt; SOUS-SEGMENT'!$FH$8:$FH$154),0)</f>
        <v>5.5412285488995016E-4</v>
      </c>
      <c r="JP9" s="771">
        <f>IFERROR(SUMPRODUCT(('ANALYSE - ERP =&gt; SOUS-SEGMENT'!$C$8:$C$154=$C9)*'ANALYSE - ERP =&gt; SOUS-SEGMENT'!$Q$8:$Q$154*'ANALYSE - ERP =&gt; SOUS-SEGMENT'!$BH$8:$BH$154*'ANALYSE - ERP =&gt; SOUS-SEGMENT'!$JS$8:$JS$154)/SUMPRODUCT(('ANALYSE - ERP =&gt; SOUS-SEGMENT'!$C$8:$C$154=$C9)*'ANALYSE - ERP =&gt; SOUS-SEGMENT'!$Q$8:$Q$154*'ANALYSE - ERP =&gt; SOUS-SEGMENT'!$BH$8:$BH$154),0)</f>
        <v>0.10382235246812509</v>
      </c>
      <c r="JQ9" s="748">
        <f>IFERROR(SUMPRODUCT(('ANALYSE - ERP =&gt; SOUS-SEGMENT'!$C$8:$C$154=$C9)*'ANALYSE - ERP =&gt; SOUS-SEGMENT'!$Q$8:$Q$154*'ANALYSE - ERP =&gt; SOUS-SEGMENT'!$BH$8:$BH$154*'ANALYSE - ERP =&gt; SOUS-SEGMENT'!$JT$8:$JT$154)/SUMPRODUCT(('ANALYSE - ERP =&gt; SOUS-SEGMENT'!$C$8:$C$154=$C9)*'ANALYSE - ERP =&gt; SOUS-SEGMENT'!$Q$8:$Q$154*'ANALYSE - ERP =&gt; SOUS-SEGMENT'!$BH$8:$BH$154),0)</f>
        <v>0.538639357901604</v>
      </c>
      <c r="JR9" s="748">
        <f>IFERROR(SUMPRODUCT(('ANALYSE - ERP =&gt; SOUS-SEGMENT'!$C$8:$C$154=$C9)*'ANALYSE - ERP =&gt; SOUS-SEGMENT'!$Q$8:$Q$154*'ANALYSE - ERP =&gt; SOUS-SEGMENT'!$BH$8:$BH$154*'ANALYSE - ERP =&gt; SOUS-SEGMENT'!$JU$8:$JU$154)/SUMPRODUCT(('ANALYSE - ERP =&gt; SOUS-SEGMENT'!$C$8:$C$154=$C9)*'ANALYSE - ERP =&gt; SOUS-SEGMENT'!$Q$8:$Q$154*'ANALYSE - ERP =&gt; SOUS-SEGMENT'!$BH$8:$BH$154),0)</f>
        <v>0.32965163705426409</v>
      </c>
      <c r="JS9" s="748">
        <f>IFERROR(SUMPRODUCT(('ANALYSE - ERP =&gt; SOUS-SEGMENT'!$C$8:$C$154=$C9)*'ANALYSE - ERP =&gt; SOUS-SEGMENT'!$Q$8:$Q$154*'ANALYSE - ERP =&gt; SOUS-SEGMENT'!$BH$8:$BH$154*'ANALYSE - ERP =&gt; SOUS-SEGMENT'!$JV$8:$JV$154)/SUMPRODUCT(('ANALYSE - ERP =&gt; SOUS-SEGMENT'!$C$8:$C$154=$C9)*'ANALYSE - ERP =&gt; SOUS-SEGMENT'!$Q$8:$Q$154*'ANALYSE - ERP =&gt; SOUS-SEGMENT'!$BH$8:$BH$154),0)</f>
        <v>2.7373181163475993E-2</v>
      </c>
      <c r="JT9" s="749">
        <f>IFERROR(SUMPRODUCT(('ANALYSE - ERP =&gt; SOUS-SEGMENT'!$C$8:$C$154=$C9)*'ANALYSE - ERP =&gt; SOUS-SEGMENT'!$Q$8:$Q$154*'ANALYSE - ERP =&gt; SOUS-SEGMENT'!$BH$8:$BH$154*'ANALYSE - ERP =&gt; SOUS-SEGMENT'!$JW$8:$JW$154)/SUMPRODUCT(('ANALYSE - ERP =&gt; SOUS-SEGMENT'!$C$8:$C$154=$C9)*'ANALYSE - ERP =&gt; SOUS-SEGMENT'!$Q$8:$Q$154*'ANALYSE - ERP =&gt; SOUS-SEGMENT'!$BH$8:$BH$154),0)</f>
        <v>5.1347141253072198E-4</v>
      </c>
      <c r="JU9" s="771">
        <f>IFERROR(SUMPRODUCT(('ANALYSE - ERP =&gt; SOUS-SEGMENT'!$C$8:$C$154=$C9)*'ANALYSE - ERP =&gt; SOUS-SEGMENT'!$Q$8:$Q$154*'ANALYSE - ERP =&gt; SOUS-SEGMENT'!$FK$8:$FK$154*'ANALYSE - ERP =&gt; SOUS-SEGMENT'!$JX$8:$JX$154)/SUMPRODUCT(('ANALYSE - ERP =&gt; SOUS-SEGMENT'!$C$8:$C$154=$C9)*'ANALYSE - ERP =&gt; SOUS-SEGMENT'!$Q$8:$Q$154*'ANALYSE - ERP =&gt; SOUS-SEGMENT'!$FK$8:$FK$154),0)</f>
        <v>3.946969222032836E-2</v>
      </c>
      <c r="JV9" s="748">
        <f>IFERROR(SUMPRODUCT(('ANALYSE - ERP =&gt; SOUS-SEGMENT'!$C$8:$C$154=$C9)*'ANALYSE - ERP =&gt; SOUS-SEGMENT'!$Q$8:$Q$154*'ANALYSE - ERP =&gt; SOUS-SEGMENT'!$FK$8:$FK$154*'ANALYSE - ERP =&gt; SOUS-SEGMENT'!$JY$8:$JY$154)/SUMPRODUCT(('ANALYSE - ERP =&gt; SOUS-SEGMENT'!$C$8:$C$154=$C9)*'ANALYSE - ERP =&gt; SOUS-SEGMENT'!$Q$8:$Q$154*'ANALYSE - ERP =&gt; SOUS-SEGMENT'!$FK$8:$FK$154),0)</f>
        <v>0.40362342218576275</v>
      </c>
      <c r="JW9" s="748">
        <f>IFERROR(SUMPRODUCT(('ANALYSE - ERP =&gt; SOUS-SEGMENT'!$C$8:$C$154=$C9)*'ANALYSE - ERP =&gt; SOUS-SEGMENT'!$Q$8:$Q$154*'ANALYSE - ERP =&gt; SOUS-SEGMENT'!$FK$8:$FK$154*'ANALYSE - ERP =&gt; SOUS-SEGMENT'!$JZ$8:$JZ$154)/SUMPRODUCT(('ANALYSE - ERP =&gt; SOUS-SEGMENT'!$C$8:$C$154=$C9)*'ANALYSE - ERP =&gt; SOUS-SEGMENT'!$Q$8:$Q$154*'ANALYSE - ERP =&gt; SOUS-SEGMENT'!$FK$8:$FK$154),0)</f>
        <v>0.48238110707534082</v>
      </c>
      <c r="JX9" s="748">
        <f>IFERROR(SUMPRODUCT(('ANALYSE - ERP =&gt; SOUS-SEGMENT'!$C$8:$C$154=$C9)*'ANALYSE - ERP =&gt; SOUS-SEGMENT'!$Q$8:$Q$154*'ANALYSE - ERP =&gt; SOUS-SEGMENT'!$FK$8:$FK$154*'ANALYSE - ERP =&gt; SOUS-SEGMENT'!$KA$8:$KA$154)/SUMPRODUCT(('ANALYSE - ERP =&gt; SOUS-SEGMENT'!$C$8:$C$154=$C9)*'ANALYSE - ERP =&gt; SOUS-SEGMENT'!$Q$8:$Q$154*'ANALYSE - ERP =&gt; SOUS-SEGMENT'!$FK$8:$FK$154),0)</f>
        <v>7.2559299653029596E-2</v>
      </c>
      <c r="JY9" s="775">
        <f>IFERROR(SUMPRODUCT(('ANALYSE - ERP =&gt; SOUS-SEGMENT'!$C$8:$C$154=$C9)*'ANALYSE - ERP =&gt; SOUS-SEGMENT'!$Q$8:$Q$154*'ANALYSE - ERP =&gt; SOUS-SEGMENT'!$FK$8:$FK$154*'ANALYSE - ERP =&gt; SOUS-SEGMENT'!$KB$8:$KB$154)/SUMPRODUCT(('ANALYSE - ERP =&gt; SOUS-SEGMENT'!$C$8:$C$154=$C9)*'ANALYSE - ERP =&gt; SOUS-SEGMENT'!$Q$8:$Q$154*'ANALYSE - ERP =&gt; SOUS-SEGMENT'!$FK$8:$FK$154),0)</f>
        <v>1.9664788655385118E-3</v>
      </c>
      <c r="JZ9" s="657"/>
      <c r="KA9" s="298" t="s">
        <v>2590</v>
      </c>
      <c r="KB9" s="298" t="s">
        <v>2591</v>
      </c>
      <c r="KC9" s="888">
        <f>IFERROR(SUMPRODUCT(('ANALYSE - ERP =&gt; SOUS-SEGMENT'!$C$8:$C$154=$C9)*'ANALYSE - ERP =&gt; SOUS-SEGMENT'!$Q$8:$Q$154*'ANALYSE - ERP =&gt; SOUS-SEGMENT'!$EX$8:$EX$154*'ANALYSE - ERP =&gt; SOUS-SEGMENT'!$KF$8:$KF$154)/SUMPRODUCT(('ANALYSE - ERP =&gt; SOUS-SEGMENT'!$C$8:$C$154=$C9)*'ANALYSE - ERP =&gt; SOUS-SEGMENT'!$Q$8:$Q$154*'ANALYSE - ERP =&gt; SOUS-SEGMENT'!$EX$8:$EX$154),"")</f>
        <v>4.5142720651141426</v>
      </c>
      <c r="KD9" s="298" t="s">
        <v>2719</v>
      </c>
      <c r="KE9" s="300" t="s">
        <v>2703</v>
      </c>
      <c r="KF9" s="620" t="s">
        <v>6760</v>
      </c>
      <c r="KG9" s="300" t="s">
        <v>6760</v>
      </c>
    </row>
    <row r="10" spans="1:293" ht="108" customHeight="1">
      <c r="A10" s="273">
        <v>3</v>
      </c>
      <c r="B10" s="482" t="s">
        <v>6739</v>
      </c>
      <c r="C10" s="482" t="s">
        <v>1014</v>
      </c>
      <c r="D10" s="482" t="s">
        <v>6787</v>
      </c>
      <c r="E10" s="275" t="s">
        <v>6788</v>
      </c>
      <c r="F10" s="275" t="s">
        <v>6789</v>
      </c>
      <c r="G10" s="275" t="s">
        <v>6790</v>
      </c>
      <c r="H10" s="275" t="s">
        <v>2117</v>
      </c>
      <c r="I10" s="276" t="s">
        <v>6791</v>
      </c>
      <c r="J10" s="276" t="s">
        <v>6792</v>
      </c>
      <c r="K10" s="277" t="s">
        <v>2117</v>
      </c>
      <c r="L10" s="277" t="s">
        <v>2109</v>
      </c>
      <c r="M10" s="277" t="s">
        <v>2603</v>
      </c>
      <c r="N10" s="277" t="s">
        <v>6742</v>
      </c>
      <c r="O10" s="277" t="s">
        <v>2212</v>
      </c>
      <c r="P10" s="276"/>
      <c r="Q10" s="270">
        <f>IF(SUMPRODUCT(('ANALYSE - ERP =&gt; SOUS-SEGMENT'!$C$8:$C$154=$C10)*'ANALYSE - ERP =&gt; SOUS-SEGMENT'!$Q$8:$Q$154)&gt;0,1,0)</f>
        <v>1</v>
      </c>
      <c r="R10" s="278">
        <f>IFERROR(SUMPRODUCT(('ANALYSE - ERP =&gt; SOUS-SEGMENT'!$C$8:$C$154=$C10)*'ANALYSE - ERP =&gt; SOUS-SEGMENT'!$Q$8:$Q$154*'ANALYSE - ERP =&gt; SOUS-SEGMENT'!$AG$8:$AG$154*'ANALYSE - ERP =&gt; SOUS-SEGMENT'!$R$8:$R$154)/SUMPRODUCT(('ANALYSE - ERP =&gt; SOUS-SEGMENT'!$C$8:$C$154=$C10)*'ANALYSE - ERP =&gt; SOUS-SEGMENT'!$Q$8:$Q$154*'ANALYSE - ERP =&gt; SOUS-SEGMENT'!$AG$8:$AG$154),"")</f>
        <v>8212.686567164179</v>
      </c>
      <c r="S10" s="279">
        <f>SUMPRODUCT(('ANALYSE - ERP =&gt; SOUS-SEGMENT'!$C$8:$C$154=$C10)*'ANALYSE - ERP =&gt; SOUS-SEGMENT'!$Q$8:$Q$154*'ANALYSE - ERP =&gt; SOUS-SEGMENT'!$S$8:$S$154)</f>
        <v>709</v>
      </c>
      <c r="T10" s="279">
        <f>SUMPRODUCT(('ANALYSE - ERP =&gt; SOUS-SEGMENT'!$C$8:$C$154=$C10)*'ANALYSE - ERP =&gt; SOUS-SEGMENT'!$Q$8:$Q$154*'ANALYSE - ERP =&gt; SOUS-SEGMENT'!$T$8:$T$154)</f>
        <v>800</v>
      </c>
      <c r="U10" s="279">
        <f>SUMPRODUCT(('ANALYSE - ERP =&gt; SOUS-SEGMENT'!$C$8:$C$154=$C10)*'ANALYSE - ERP =&gt; SOUS-SEGMENT'!$Q$8:$Q$154*'ANALYSE - ERP =&gt; SOUS-SEGMENT'!$U$8:$U$154)</f>
        <v>903</v>
      </c>
      <c r="V10" s="279">
        <f>SUMPRODUCT(('ANALYSE - ERP =&gt; SOUS-SEGMENT'!$C$8:$C$154=$C10)*'ANALYSE - ERP =&gt; SOUS-SEGMENT'!$Q$8:$Q$154*'ANALYSE - ERP =&gt; SOUS-SEGMENT'!$V$8:$V$154)</f>
        <v>1016</v>
      </c>
      <c r="W10" s="279">
        <f>SUMPRODUCT(('ANALYSE - ERP =&gt; SOUS-SEGMENT'!$C$8:$C$154=$C10)*'ANALYSE - ERP =&gt; SOUS-SEGMENT'!$Q$8:$Q$154*'ANALYSE - ERP =&gt; SOUS-SEGMENT'!$W$8:$W$154)</f>
        <v>1040</v>
      </c>
      <c r="X10" s="279">
        <f>SUMPRODUCT(('ANALYSE - ERP =&gt; SOUS-SEGMENT'!$C$8:$C$154=$C10)*'ANALYSE - ERP =&gt; SOUS-SEGMENT'!$Q$8:$Q$154*'ANALYSE - ERP =&gt; SOUS-SEGMENT'!$X$8:$X$154)</f>
        <v>1065</v>
      </c>
      <c r="Y10" s="279">
        <f>SUMPRODUCT(('ANALYSE - ERP =&gt; SOUS-SEGMENT'!$C$8:$C$154=$C10)*'ANALYSE - ERP =&gt; SOUS-SEGMENT'!$Q$8:$Q$154*'ANALYSE - ERP =&gt; SOUS-SEGMENT'!$Y$8:$Y$154)</f>
        <v>1091</v>
      </c>
      <c r="Z10" s="279">
        <f>SUMPRODUCT(('ANALYSE - ERP =&gt; SOUS-SEGMENT'!$C$8:$C$154=$C10)*'ANALYSE - ERP =&gt; SOUS-SEGMENT'!$Q$8:$Q$154*'ANALYSE - ERP =&gt; SOUS-SEGMENT'!$Z$8:$Z$154)</f>
        <v>1116</v>
      </c>
      <c r="AA10" s="279">
        <f>SUMPRODUCT(('ANALYSE - ERP =&gt; SOUS-SEGMENT'!$C$8:$C$154=$C10)*'ANALYSE - ERP =&gt; SOUS-SEGMENT'!$Q$8:$Q$154*'ANALYSE - ERP =&gt; SOUS-SEGMENT'!$AA$8:$AA$154)</f>
        <v>1128</v>
      </c>
      <c r="AB10" s="279">
        <f>SUMPRODUCT(('ANALYSE - ERP =&gt; SOUS-SEGMENT'!$C$8:$C$154=$C10)*'ANALYSE - ERP =&gt; SOUS-SEGMENT'!$Q$8:$Q$154*'ANALYSE - ERP =&gt; SOUS-SEGMENT'!$AB$8:$AB$154)</f>
        <v>1140</v>
      </c>
      <c r="AC10" s="279">
        <f>SUMPRODUCT(('ANALYSE - ERP =&gt; SOUS-SEGMENT'!$C$8:$C$154=$C10)*'ANALYSE - ERP =&gt; SOUS-SEGMENT'!$Q$8:$Q$154*'ANALYSE - ERP =&gt; SOUS-SEGMENT'!$AC$8:$AC$154)</f>
        <v>1152</v>
      </c>
      <c r="AD10" s="279">
        <f>SUMPRODUCT(('ANALYSE - ERP =&gt; SOUS-SEGMENT'!$C$8:$C$154=$C10)*'ANALYSE - ERP =&gt; SOUS-SEGMENT'!$Q$8:$Q$154*'ANALYSE - ERP =&gt; SOUS-SEGMENT'!$AD$8:$AD$154)</f>
        <v>1165</v>
      </c>
      <c r="AE10" s="279">
        <f>SUMPRODUCT(('ANALYSE - ERP =&gt; SOUS-SEGMENT'!$C$8:$C$154=$C10)*'ANALYSE - ERP =&gt; SOUS-SEGMENT'!$Q$8:$Q$154*'ANALYSE - ERP =&gt; SOUS-SEGMENT'!$AE$8:$AE$154)</f>
        <v>1177</v>
      </c>
      <c r="AF10" s="279">
        <f>SUMPRODUCT(('ANALYSE - ERP =&gt; SOUS-SEGMENT'!$C$8:$C$154=$C10)*'ANALYSE - ERP =&gt; SOUS-SEGMENT'!$Q$8:$Q$154*'ANALYSE - ERP =&gt; SOUS-SEGMENT'!$AF$8:$AF$154)</f>
        <v>1190</v>
      </c>
      <c r="AG10" s="279">
        <f>SUMPRODUCT(('ANALYSE - ERP =&gt; SOUS-SEGMENT'!$C$8:$C$154=$C10)*'ANALYSE - ERP =&gt; SOUS-SEGMENT'!$Q$8:$Q$154*'ANALYSE - ERP =&gt; SOUS-SEGMENT'!$AG$8:$AG$154)</f>
        <v>1206</v>
      </c>
      <c r="AH10" s="279">
        <f>SUMPRODUCT(('ANALYSE - ERP =&gt; SOUS-SEGMENT'!$C$8:$C$154=$C10)*'ANALYSE - ERP =&gt; SOUS-SEGMENT'!$Q$8:$Q$154*'ANALYSE - ERP =&gt; SOUS-SEGMENT'!$AH$8:$AH$154)</f>
        <v>1221</v>
      </c>
      <c r="AI10" s="279">
        <f>SUMPRODUCT(('ANALYSE - ERP =&gt; SOUS-SEGMENT'!$C$8:$C$154=$C10)*'ANALYSE - ERP =&gt; SOUS-SEGMENT'!$Q$8:$Q$154*'ANALYSE - ERP =&gt; SOUS-SEGMENT'!$AI$8:$AI$154)</f>
        <v>1236</v>
      </c>
      <c r="AJ10" s="279">
        <f>SUMPRODUCT(('ANALYSE - ERP =&gt; SOUS-SEGMENT'!$C$8:$C$154=$C10)*'ANALYSE - ERP =&gt; SOUS-SEGMENT'!$Q$8:$Q$154*'ANALYSE - ERP =&gt; SOUS-SEGMENT'!$AJ$8:$AJ$154)</f>
        <v>1252</v>
      </c>
      <c r="AK10" s="279">
        <f>SUMPRODUCT(('ANALYSE - ERP =&gt; SOUS-SEGMENT'!$C$8:$C$154=$C10)*'ANALYSE - ERP =&gt; SOUS-SEGMENT'!$Q$8:$Q$154*'ANALYSE - ERP =&gt; SOUS-SEGMENT'!$AK$8:$AK$154)</f>
        <v>1268</v>
      </c>
      <c r="AL10" s="276" t="s">
        <v>6793</v>
      </c>
      <c r="AM10" s="276" t="s">
        <v>6794</v>
      </c>
      <c r="AN10" s="276" t="s">
        <v>6795</v>
      </c>
      <c r="AO10" s="657"/>
      <c r="AP10" s="278">
        <f>IFERROR(SUMPRODUCT(('ANALYSE - ERP =&gt; SOUS-SEGMENT'!$C$8:$C$154=$C10)*'ANALYSE - ERP =&gt; SOUS-SEGMENT'!$Q$8:$Q$154*'ANALYSE - ERP =&gt; SOUS-SEGMENT'!$AG$8:$AG$154*'ANALYSE - ERP =&gt; SOUS-SEGMENT'!$AP$8:$AP$154)/SUMPRODUCT(('ANALYSE - ERP =&gt; SOUS-SEGMENT'!$C$8:$C$154=$C10)*'ANALYSE - ERP =&gt; SOUS-SEGMENT'!$Q$8:$Q$154*'ANALYSE - ERP =&gt; SOUS-SEGMENT'!$AG$8:$AG$154),"")</f>
        <v>877.16417910447763</v>
      </c>
      <c r="AQ10" s="278">
        <f>IFERROR(SUMPRODUCT(('ANALYSE - ERP =&gt; SOUS-SEGMENT'!$C$8:$C$154=$C10)*'ANALYSE - ERP =&gt; SOUS-SEGMENT'!$Q$8:$Q$154*'ANALYSE - ERP =&gt; SOUS-SEGMENT'!$AF$8:$AF$154*'ANALYSE - ERP =&gt; SOUS-SEGMENT'!$AQ$8:$AQ$154)/SUMPRODUCT(('ANALYSE - ERP =&gt; SOUS-SEGMENT'!$C$8:$C$154=$C10)*'ANALYSE - ERP =&gt; SOUS-SEGMENT'!$Q$8:$Q$154*'ANALYSE - ERP =&gt; SOUS-SEGMENT'!$AF$8:$AF$154),"")</f>
        <v>766.03865546218492</v>
      </c>
      <c r="AR10" s="973">
        <f>IFERROR(SUMPRODUCT(('ANALYSE - ERP =&gt; SOUS-SEGMENT'!$C$8:$C$154=$C10)*'ANALYSE - ERP =&gt; SOUS-SEGMENT'!$Q$8:$Q$154*'ANALYSE - ERP =&gt; SOUS-SEGMENT'!$AF$8:$AF$154*'ANALYSE - ERP =&gt; SOUS-SEGMENT'!$AR$8:$AR$154)/SUMPRODUCT(('ANALYSE - ERP =&gt; SOUS-SEGMENT'!$C$8:$C$154=$C10)*'ANALYSE - ERP =&gt; SOUS-SEGMENT'!$Q$8:$Q$154*'ANALYSE - ERP =&gt; SOUS-SEGMENT'!$AF$8:$AF$154),"")</f>
        <v>85.363025210084032</v>
      </c>
      <c r="AS10" s="973">
        <f>IFERROR(SUMPRODUCT(('ANALYSE - ERP =&gt; SOUS-SEGMENT'!$C$8:$C$154=$C10)*'ANALYSE - ERP =&gt; SOUS-SEGMENT'!$Q$8:$Q$154*'ANALYSE - ERP =&gt; SOUS-SEGMENT'!$AF$8:$AF$154*'ANALYSE - ERP =&gt; SOUS-SEGMENT'!$AS$8:$AS$154)/SUMPRODUCT(('ANALYSE - ERP =&gt; SOUS-SEGMENT'!$C$8:$C$154=$C10)*'ANALYSE - ERP =&gt; SOUS-SEGMENT'!$Q$8:$Q$154*'ANALYSE - ERP =&gt; SOUS-SEGMENT'!$AF$8:$AF$154),"")</f>
        <v>32.917647058823526</v>
      </c>
      <c r="AT10" s="657" t="s">
        <v>6796</v>
      </c>
      <c r="AU10" s="276" t="s">
        <v>6797</v>
      </c>
      <c r="AV10" s="296" t="s">
        <v>2687</v>
      </c>
      <c r="AW10" s="276" t="s">
        <v>6770</v>
      </c>
      <c r="AX10" s="657"/>
      <c r="AY10" s="282">
        <f>IFERROR(SUMPRODUCT(('ANALYSE - ERP =&gt; SOUS-SEGMENT'!$C$8:$C$154=$C10)*'ANALYSE - ERP =&gt; SOUS-SEGMENT'!$Q$8:$Q$154*'ANALYSE - ERP =&gt; SOUS-SEGMENT'!$AF$8:$AF$154*'ANALYSE - ERP =&gt; SOUS-SEGMENT'!$AZ$8:$AZ$154)/SUMPRODUCT(('ANALYSE - ERP =&gt; SOUS-SEGMENT'!$C$8:$C$154=$C10)*'ANALYSE - ERP =&gt; SOUS-SEGMENT'!$Q$8:$Q$154*'ANALYSE - ERP =&gt; SOUS-SEGMENT'!$AF$8:$AF$154),"")</f>
        <v>37.208403361344537</v>
      </c>
      <c r="AZ10" s="947">
        <f>IFERROR(SUMPRODUCT(('ANALYSE - ERP =&gt; SOUS-SEGMENT'!$C$8:$C$154=$C10)*'ANALYSE - ERP =&gt; SOUS-SEGMENT'!$Q$8:$Q$154*'ANALYSE - ERP =&gt; SOUS-SEGMENT'!$AF$8:$AF$154*'ANALYSE - ERP =&gt; SOUS-SEGMENT'!$BA$8:$BA$154)/SUMPRODUCT(('ANALYSE - ERP =&gt; SOUS-SEGMENT'!$C$8:$C$154=$C10)*'ANALYSE - ERP =&gt; SOUS-SEGMENT'!$Q$8:$Q$154*'ANALYSE - ERP =&gt; SOUS-SEGMENT'!$AF$8:$AF$154),"")</f>
        <v>13.735294117647058</v>
      </c>
      <c r="BA10" s="282">
        <f>IFERROR(SUMPRODUCT(('ANALYSE - ERP =&gt; SOUS-SEGMENT'!$C$8:$C$154=$C10)*'ANALYSE - ERP =&gt; SOUS-SEGMENT'!$Q$8:$Q$154*'ANALYSE - ERP =&gt; SOUS-SEGMENT'!$AF$8:$AF$154*'ANALYSE - ERP =&gt; SOUS-SEGMENT'!$BB$8:$BB$154)/SUMPRODUCT(('ANALYSE - ERP =&gt; SOUS-SEGMENT'!$C$8:$C$154=$C10)*'ANALYSE - ERP =&gt; SOUS-SEGMENT'!$Q$8:$Q$154*'ANALYSE - ERP =&gt; SOUS-SEGMENT'!$AF$8:$AF$154),"")</f>
        <v>8.6235294117647054</v>
      </c>
      <c r="BB10" s="282">
        <f>IFERROR(SUMPRODUCT(('ANALYSE - ERP =&gt; SOUS-SEGMENT'!$C$8:$C$154=$C10)*'ANALYSE - ERP =&gt; SOUS-SEGMENT'!$Q$8:$Q$154*'ANALYSE - ERP =&gt; SOUS-SEGMENT'!$AF$8:$AF$154*'ANALYSE - ERP =&gt; SOUS-SEGMENT'!$BC$8:$BC$154)/SUMPRODUCT(('ANALYSE - ERP =&gt; SOUS-SEGMENT'!$C$8:$C$154=$C10)*'ANALYSE - ERP =&gt; SOUS-SEGMENT'!$Q$8:$Q$154*'ANALYSE - ERP =&gt; SOUS-SEGMENT'!$AF$8:$AF$154),"")</f>
        <v>25.116806722689077</v>
      </c>
      <c r="BC10" s="283">
        <f>SUMPRODUCT(('ANALYSE - ERP =&gt; SOUS-SEGMENT'!$C$8:$C$154=$C10)*'ANALYSE - ERP =&gt; SOUS-SEGMENT'!$Q$8:$Q$154*'ANALYSE - ERP =&gt; SOUS-SEGMENT'!$BE$8:$BE$154)</f>
        <v>44278</v>
      </c>
      <c r="BD10" s="283">
        <f>SUMPRODUCT(('ANALYSE - ERP =&gt; SOUS-SEGMENT'!$C$8:$C$154=$C10)*'ANALYSE - ERP =&gt; SOUS-SEGMENT'!$Q$8:$Q$154*'ANALYSE - ERP =&gt; SOUS-SEGMENT'!$BF$8:$BF$154)</f>
        <v>16345</v>
      </c>
      <c r="BE10" s="283">
        <f>SUMPRODUCT(('ANALYSE - ERP =&gt; SOUS-SEGMENT'!$C$8:$C$154=$C10)*'ANALYSE - ERP =&gt; SOUS-SEGMENT'!$Q$8:$Q$154*'ANALYSE - ERP =&gt; SOUS-SEGMENT'!$BG$8:$BG$154)</f>
        <v>10262</v>
      </c>
      <c r="BF10" s="283">
        <f>SUMPRODUCT(('ANALYSE - ERP =&gt; SOUS-SEGMENT'!$C$8:$C$154=$C10)*'ANALYSE - ERP =&gt; SOUS-SEGMENT'!$Q$8:$Q$154*'ANALYSE - ERP =&gt; SOUS-SEGMENT'!$BH$8:$BH$154)</f>
        <v>29889</v>
      </c>
      <c r="BG10" s="283">
        <f>SUMPRODUCT(('ANALYSE - ERP =&gt; SOUS-SEGMENT'!$C$8:$C$154=$C10)*'ANALYSE - ERP =&gt; SOUS-SEGMENT'!$Q$8:$Q$154*'ANALYSE - ERP =&gt; SOUS-SEGMENT'!$BJ$8:$BJ$154)</f>
        <v>44964</v>
      </c>
      <c r="BH10" s="283">
        <f>SUMPRODUCT(('ANALYSE - ERP =&gt; SOUS-SEGMENT'!$C$8:$C$154=$C10)*'ANALYSE - ERP =&gt; SOUS-SEGMENT'!$Q$8:$Q$154*'ANALYSE - ERP =&gt; SOUS-SEGMENT'!$BK$8:$BK$154)</f>
        <v>17548</v>
      </c>
      <c r="BI10" s="283">
        <f>SUMPRODUCT(('ANALYSE - ERP =&gt; SOUS-SEGMENT'!$C$8:$C$154=$C10)*'ANALYSE - ERP =&gt; SOUS-SEGMENT'!$Q$8:$Q$154*'ANALYSE - ERP =&gt; SOUS-SEGMENT'!$BL$8:$BL$154)</f>
        <v>10330</v>
      </c>
      <c r="BJ10" s="283">
        <f>SUMPRODUCT(('ANALYSE - ERP =&gt; SOUS-SEGMENT'!$C$8:$C$154=$C10)*'ANALYSE - ERP =&gt; SOUS-SEGMENT'!$Q$8:$Q$154*'ANALYSE - ERP =&gt; SOUS-SEGMENT'!$BM$8:$BM$154)</f>
        <v>30502</v>
      </c>
      <c r="BK10" s="657"/>
      <c r="BL10" s="580">
        <f>IFERROR(SUMPRODUCT(('ANALYSE - ERP =&gt; SOUS-SEGMENT'!$C$8:$C$154=$C10)*'ANALYSE - ERP =&gt; SOUS-SEGMENT'!$Q$8:$Q$154*'ANALYSE - ERP =&gt; SOUS-SEGMENT'!$BE$8:$BE$154*'ANALYSE - ERP =&gt; SOUS-SEGMENT'!$BO$8:$BO$154)/SUMPRODUCT(('ANALYSE - ERP =&gt; SOUS-SEGMENT'!$C$8:$C$154=$C10)*'ANALYSE - ERP =&gt; SOUS-SEGMENT'!$Q$8:$Q$154*'ANALYSE - ERP =&gt; SOUS-SEGMENT'!$BE$8:$BE$154),"")</f>
        <v>0.27258141740819369</v>
      </c>
      <c r="BM10" s="305">
        <f>IFERROR(SUMPRODUCT(('ANALYSE - ERP =&gt; SOUS-SEGMENT'!$C$8:$C$154=$C10)*'ANALYSE - ERP =&gt; SOUS-SEGMENT'!$Q$8:$Q$154*'ANALYSE - ERP =&gt; SOUS-SEGMENT'!$BE$8:$BE$154*'ANALYSE - ERP =&gt; SOUS-SEGMENT'!$BP$8:$BP$154)/SUMPRODUCT(('ANALYSE - ERP =&gt; SOUS-SEGMENT'!$C$8:$C$154=$C10)*'ANALYSE - ERP =&gt; SOUS-SEGMENT'!$Q$8:$Q$154*'ANALYSE - ERP =&gt; SOUS-SEGMENT'!$BE$8:$BE$154),"")</f>
        <v>0.50051266994895882</v>
      </c>
      <c r="BN10" s="305">
        <f>IFERROR(SUMPRODUCT(('ANALYSE - ERP =&gt; SOUS-SEGMENT'!$C$8:$C$154=$C10)*'ANALYSE - ERP =&gt; SOUS-SEGMENT'!$Q$8:$Q$154*'ANALYSE - ERP =&gt; SOUS-SEGMENT'!$BE$8:$BE$154*'ANALYSE - ERP =&gt; SOUS-SEGMENT'!$BQ$8:$BQ$154)/SUMPRODUCT(('ANALYSE - ERP =&gt; SOUS-SEGMENT'!$C$8:$C$154=$C10)*'ANALYSE - ERP =&gt; SOUS-SEGMENT'!$Q$8:$Q$154*'ANALYSE - ERP =&gt; SOUS-SEGMENT'!$BE$8:$BE$154),"")</f>
        <v>0.16700844663263925</v>
      </c>
      <c r="BO10" s="581">
        <f>IFERROR(SUMPRODUCT(('ANALYSE - ERP =&gt; SOUS-SEGMENT'!$C$8:$C$154=$C10)*'ANALYSE - ERP =&gt; SOUS-SEGMENT'!$Q$8:$Q$154*'ANALYSE - ERP =&gt; SOUS-SEGMENT'!$BE$8:$BE$154*'ANALYSE - ERP =&gt; SOUS-SEGMENT'!$BR$8:$BR$154)/SUMPRODUCT(('ANALYSE - ERP =&gt; SOUS-SEGMENT'!$C$8:$C$154=$C10)*'ANALYSE - ERP =&gt; SOUS-SEGMENT'!$Q$8:$Q$154*'ANALYSE - ERP =&gt; SOUS-SEGMENT'!$BE$8:$BE$154),"")</f>
        <v>5.989746601020824E-2</v>
      </c>
      <c r="BP10" s="580">
        <f>IFERROR(SUMPRODUCT(('ANALYSE - ERP =&gt; SOUS-SEGMENT'!$C$8:$C$154=$C10)*'ANALYSE - ERP =&gt; SOUS-SEGMENT'!$Q$8:$Q$154*'ANALYSE - ERP =&gt; SOUS-SEGMENT'!$BJ$8:$BJ$154*'ANALYSE - ERP =&gt; SOUS-SEGMENT'!$BS$8:$BS$154)/SUMPRODUCT(('ANALYSE - ERP =&gt; SOUS-SEGMENT'!$C$8:$C$154=$C10)*'ANALYSE - ERP =&gt; SOUS-SEGMENT'!$Q$8:$Q$154*'ANALYSE - ERP =&gt; SOUS-SEGMENT'!$BJ$8:$BJ$154),"")</f>
        <v>0.25703229250066723</v>
      </c>
      <c r="BQ10" s="305">
        <f>IFERROR(SUMPRODUCT(('ANALYSE - ERP =&gt; SOUS-SEGMENT'!$C$8:$C$154=$C10)*'ANALYSE - ERP =&gt; SOUS-SEGMENT'!$Q$8:$Q$154*'ANALYSE - ERP =&gt; SOUS-SEGMENT'!$BJ$8:$BJ$154*'ANALYSE - ERP =&gt; SOUS-SEGMENT'!$BT$8:$BT$154)/SUMPRODUCT(('ANALYSE - ERP =&gt; SOUS-SEGMENT'!$C$8:$C$154=$C10)*'ANALYSE - ERP =&gt; SOUS-SEGMENT'!$Q$8:$Q$154*'ANALYSE - ERP =&gt; SOUS-SEGMENT'!$BJ$8:$BJ$154),"")</f>
        <v>0.49747798238590879</v>
      </c>
      <c r="BR10" s="305">
        <f>IFERROR(SUMPRODUCT(('ANALYSE - ERP =&gt; SOUS-SEGMENT'!$C$8:$C$154=$C10)*'ANALYSE - ERP =&gt; SOUS-SEGMENT'!$Q$8:$Q$154*'ANALYSE - ERP =&gt; SOUS-SEGMENT'!$BJ$8:$BJ$154*'ANALYSE - ERP =&gt; SOUS-SEGMENT'!$BU$8:$BU$154)/SUMPRODUCT(('ANALYSE - ERP =&gt; SOUS-SEGMENT'!$C$8:$C$154=$C10)*'ANALYSE - ERP =&gt; SOUS-SEGMENT'!$Q$8:$Q$154*'ANALYSE - ERP =&gt; SOUS-SEGMENT'!$BJ$8:$BJ$154),"")</f>
        <v>0.1949853215906058</v>
      </c>
      <c r="BS10" s="581">
        <f>IFERROR(SUMPRODUCT(('ANALYSE - ERP =&gt; SOUS-SEGMENT'!$C$8:$C$154=$C10)*'ANALYSE - ERP =&gt; SOUS-SEGMENT'!$Q$8:$Q$154*'ANALYSE - ERP =&gt; SOUS-SEGMENT'!$BJ$8:$BJ$154*'ANALYSE - ERP =&gt; SOUS-SEGMENT'!$BV$8:$BV$154)/SUMPRODUCT(('ANALYSE - ERP =&gt; SOUS-SEGMENT'!$C$8:$C$154=$C10)*'ANALYSE - ERP =&gt; SOUS-SEGMENT'!$Q$8:$Q$154*'ANALYSE - ERP =&gt; SOUS-SEGMENT'!$BJ$8:$BJ$154),"")</f>
        <v>5.0504403522818257E-2</v>
      </c>
      <c r="BT10" s="589">
        <f>IFERROR(SUMPRODUCT(('ANALYSE - ERP =&gt; SOUS-SEGMENT'!$C$8:$C$154=$C10)*'ANALYSE - ERP =&gt; SOUS-SEGMENT'!$Q$8:$Q$154*'ANALYSE - ERP =&gt; SOUS-SEGMENT'!$BF$8:$BF$154*'ANALYSE - ERP =&gt; SOUS-SEGMENT'!$BW$8:$BW$154)/SUMPRODUCT(('ANALYSE - ERP =&gt; SOUS-SEGMENT'!$C$8:$C$154=$C10)*'ANALYSE - ERP =&gt; SOUS-SEGMENT'!$Q$8:$Q$154*'ANALYSE - ERP =&gt; SOUS-SEGMENT'!$BF$8:$BF$154),"")</f>
        <v>0.53487610890180493</v>
      </c>
      <c r="BU10" s="306">
        <f>IFERROR(SUMPRODUCT(('ANALYSE - ERP =&gt; SOUS-SEGMENT'!$C$8:$C$154=$C10)*'ANALYSE - ERP =&gt; SOUS-SEGMENT'!$Q$8:$Q$154*'ANALYSE - ERP =&gt; SOUS-SEGMENT'!$BF$8:$BF$154*'ANALYSE - ERP =&gt; SOUS-SEGMENT'!$BX$8:$BX$154)/SUMPRODUCT(('ANALYSE - ERP =&gt; SOUS-SEGMENT'!$C$8:$C$154=$C10)*'ANALYSE - ERP =&gt; SOUS-SEGMENT'!$Q$8:$Q$154*'ANALYSE - ERP =&gt; SOUS-SEGMENT'!$BF$8:$BF$154),"")</f>
        <v>0.36512389109819515</v>
      </c>
      <c r="BV10" s="590">
        <f>IFERROR(SUMPRODUCT(('ANALYSE - ERP =&gt; SOUS-SEGMENT'!$C$8:$C$154=$C10)*'ANALYSE - ERP =&gt; SOUS-SEGMENT'!$Q$8:$Q$154*'ANALYSE - ERP =&gt; SOUS-SEGMENT'!$BF$8:$BF$154*'ANALYSE - ERP =&gt; SOUS-SEGMENT'!$BY$8:$BY$154)/SUMPRODUCT(('ANALYSE - ERP =&gt; SOUS-SEGMENT'!$C$8:$C$154=$C10)*'ANALYSE - ERP =&gt; SOUS-SEGMENT'!$Q$8:$Q$154*'ANALYSE - ERP =&gt; SOUS-SEGMENT'!$BF$8:$BF$154),"")</f>
        <v>0.10000000000000002</v>
      </c>
      <c r="BW10" s="589">
        <f>IFERROR(SUMPRODUCT(('ANALYSE - ERP =&gt; SOUS-SEGMENT'!$C$8:$C$154=$C10)*'ANALYSE - ERP =&gt; SOUS-SEGMENT'!$Q$8:$Q$154*'ANALYSE - ERP =&gt; SOUS-SEGMENT'!$BK$8:$BK$154*'ANALYSE - ERP =&gt; SOUS-SEGMENT'!$BZ$8:$BZ$154)/SUMPRODUCT(('ANALYSE - ERP =&gt; SOUS-SEGMENT'!$C$8:$C$154=$C10)*'ANALYSE - ERP =&gt; SOUS-SEGMENT'!$Q$8:$Q$154*'ANALYSE - ERP =&gt; SOUS-SEGMENT'!$BK$8:$BK$154),"")</f>
        <v>0.48598130841121495</v>
      </c>
      <c r="BX10" s="306">
        <f>IFERROR(SUMPRODUCT(('ANALYSE - ERP =&gt; SOUS-SEGMENT'!$C$8:$C$154=$C10)*'ANALYSE - ERP =&gt; SOUS-SEGMENT'!$Q$8:$Q$154*'ANALYSE - ERP =&gt; SOUS-SEGMENT'!$BK$8:$BK$154*'ANALYSE - ERP =&gt; SOUS-SEGMENT'!$CA$8:$CA$154)/SUMPRODUCT(('ANALYSE - ERP =&gt; SOUS-SEGMENT'!$C$8:$C$154=$C10)*'ANALYSE - ERP =&gt; SOUS-SEGMENT'!$Q$8:$Q$154*'ANALYSE - ERP =&gt; SOUS-SEGMENT'!$BK$8:$BK$154),"")</f>
        <v>0.38401869158878504</v>
      </c>
      <c r="BY10" s="590">
        <f>IFERROR(SUMPRODUCT(('ANALYSE - ERP =&gt; SOUS-SEGMENT'!$C$8:$C$154=$C10)*'ANALYSE - ERP =&gt; SOUS-SEGMENT'!$Q$8:$Q$154*'ANALYSE - ERP =&gt; SOUS-SEGMENT'!$BK$8:$BK$154*'ANALYSE - ERP =&gt; SOUS-SEGMENT'!$CB$8:$CB$154)/SUMPRODUCT(('ANALYSE - ERP =&gt; SOUS-SEGMENT'!$C$8:$C$154=$C10)*'ANALYSE - ERP =&gt; SOUS-SEGMENT'!$Q$8:$Q$154*'ANALYSE - ERP =&gt; SOUS-SEGMENT'!$BK$8:$BK$154),"")</f>
        <v>0.12999999999999998</v>
      </c>
      <c r="BZ10" s="580">
        <f>IFERROR(SUMPRODUCT(('ANALYSE - ERP =&gt; SOUS-SEGMENT'!$C$8:$C$154=$C10)*'ANALYSE - ERP =&gt; SOUS-SEGMENT'!$Q$8:$Q$154*'ANALYSE - ERP =&gt; SOUS-SEGMENT'!$BG$8:$BG$154*'ANALYSE - ERP =&gt; SOUS-SEGMENT'!$CC$8:$CC$154)/SUMPRODUCT(('ANALYSE - ERP =&gt; SOUS-SEGMENT'!$C$8:$C$154=$C10)*'ANALYSE - ERP =&gt; SOUS-SEGMENT'!$Q$8:$Q$154*'ANALYSE - ERP =&gt; SOUS-SEGMENT'!$BG$8:$BG$154),"")</f>
        <v>9.0676281426622485E-2</v>
      </c>
      <c r="CA10" s="305">
        <f>IFERROR(SUMPRODUCT(('ANALYSE - ERP =&gt; SOUS-SEGMENT'!$C$8:$C$154=$C10)*'ANALYSE - ERP =&gt; SOUS-SEGMENT'!$Q$8:$Q$154*'ANALYSE - ERP =&gt; SOUS-SEGMENT'!$BG$8:$BG$154*'ANALYSE - ERP =&gt; SOUS-SEGMENT'!$CD$8:$CD$154)/SUMPRODUCT(('ANALYSE - ERP =&gt; SOUS-SEGMENT'!$C$8:$C$154=$C10)*'ANALYSE - ERP =&gt; SOUS-SEGMENT'!$Q$8:$Q$154*'ANALYSE - ERP =&gt; SOUS-SEGMENT'!$BG$8:$BG$154),"")</f>
        <v>0.45000000000000007</v>
      </c>
      <c r="CB10" s="305">
        <f>IFERROR(SUMPRODUCT(('ANALYSE - ERP =&gt; SOUS-SEGMENT'!$C$8:$C$154=$C10)*'ANALYSE - ERP =&gt; SOUS-SEGMENT'!$Q$8:$Q$154*'ANALYSE - ERP =&gt; SOUS-SEGMENT'!$BG$8:$BG$154*'ANALYSE - ERP =&gt; SOUS-SEGMENT'!$CE$8:$CE$154)/SUMPRODUCT(('ANALYSE - ERP =&gt; SOUS-SEGMENT'!$C$8:$C$154=$C10)*'ANALYSE - ERP =&gt; SOUS-SEGMENT'!$Q$8:$Q$154*'ANALYSE - ERP =&gt; SOUS-SEGMENT'!$BG$8:$BG$154),"")</f>
        <v>0.21530208536347689</v>
      </c>
      <c r="CC10" s="581">
        <f>IFERROR(SUMPRODUCT(('ANALYSE - ERP =&gt; SOUS-SEGMENT'!$C$8:$C$154=$C10)*'ANALYSE - ERP =&gt; SOUS-SEGMENT'!$Q$8:$Q$154*'ANALYSE - ERP =&gt; SOUS-SEGMENT'!$BG$8:$BG$154*'ANALYSE - ERP =&gt; SOUS-SEGMENT'!$CF$8:$CF$154)/SUMPRODUCT(('ANALYSE - ERP =&gt; SOUS-SEGMENT'!$C$8:$C$154=$C10)*'ANALYSE - ERP =&gt; SOUS-SEGMENT'!$Q$8:$Q$154*'ANALYSE - ERP =&gt; SOUS-SEGMENT'!$BG$8:$BG$154),"")</f>
        <v>0.24402163320990061</v>
      </c>
      <c r="CD10" s="580">
        <f>IFERROR(SUMPRODUCT(('ANALYSE - ERP =&gt; SOUS-SEGMENT'!$C$8:$C$154=$C10)*'ANALYSE - ERP =&gt; SOUS-SEGMENT'!$Q$8:$Q$154*'ANALYSE - ERP =&gt; SOUS-SEGMENT'!$BL$8:$BL$154*'ANALYSE - ERP =&gt; SOUS-SEGMENT'!$CG$8:$CG$154)/SUMPRODUCT(('ANALYSE - ERP =&gt; SOUS-SEGMENT'!$C$8:$C$154=$C10)*'ANALYSE - ERP =&gt; SOUS-SEGMENT'!$Q$8:$Q$154*'ANALYSE - ERP =&gt; SOUS-SEGMENT'!$BL$8:$BL$154),"")</f>
        <v>7.1430784123910934E-2</v>
      </c>
      <c r="CE10" s="305">
        <f>IFERROR(SUMPRODUCT(('ANALYSE - ERP =&gt; SOUS-SEGMENT'!$C$8:$C$154=$C10)*'ANALYSE - ERP =&gt; SOUS-SEGMENT'!$Q$8:$Q$154*'ANALYSE - ERP =&gt; SOUS-SEGMENT'!$BL$8:$BL$154*'ANALYSE - ERP =&gt; SOUS-SEGMENT'!$CH$8:$CH$154)/SUMPRODUCT(('ANALYSE - ERP =&gt; SOUS-SEGMENT'!$C$8:$C$154=$C10)*'ANALYSE - ERP =&gt; SOUS-SEGMENT'!$Q$8:$Q$154*'ANALYSE - ERP =&gt; SOUS-SEGMENT'!$BL$8:$BL$154),"")</f>
        <v>0.45</v>
      </c>
      <c r="CF10" s="305">
        <f>IFERROR(SUMPRODUCT(('ANALYSE - ERP =&gt; SOUS-SEGMENT'!$C$8:$C$154=$C10)*'ANALYSE - ERP =&gt; SOUS-SEGMENT'!$Q$8:$Q$154*'ANALYSE - ERP =&gt; SOUS-SEGMENT'!$BL$8:$BL$154*'ANALYSE - ERP =&gt; SOUS-SEGMENT'!$CI$8:$CI$154)/SUMPRODUCT(('ANALYSE - ERP =&gt; SOUS-SEGMENT'!$C$8:$C$154=$C10)*'ANALYSE - ERP =&gt; SOUS-SEGMENT'!$Q$8:$Q$154*'ANALYSE - ERP =&gt; SOUS-SEGMENT'!$BL$8:$BL$154),"")</f>
        <v>0.24284995159728948</v>
      </c>
      <c r="CG10" s="581">
        <f>IFERROR(SUMPRODUCT(('ANALYSE - ERP =&gt; SOUS-SEGMENT'!$C$8:$C$154=$C10)*'ANALYSE - ERP =&gt; SOUS-SEGMENT'!$Q$8:$Q$154*'ANALYSE - ERP =&gt; SOUS-SEGMENT'!$BL$8:$BL$154*'ANALYSE - ERP =&gt; SOUS-SEGMENT'!$CJ$8:$CJ$154)/SUMPRODUCT(('ANALYSE - ERP =&gt; SOUS-SEGMENT'!$C$8:$C$154=$C10)*'ANALYSE - ERP =&gt; SOUS-SEGMENT'!$Q$8:$Q$154*'ANALYSE - ERP =&gt; SOUS-SEGMENT'!$BL$8:$BL$154),"")</f>
        <v>0.23571926427879961</v>
      </c>
      <c r="CH10" s="589">
        <f>IFERROR(SUMPRODUCT(('ANALYSE - ERP =&gt; SOUS-SEGMENT'!$C$8:$C$154=$C10)*'ANALYSE - ERP =&gt; SOUS-SEGMENT'!$Q$8:$Q$154*'ANALYSE - ERP =&gt; SOUS-SEGMENT'!$BH$8:$BH$154*'ANALYSE - ERP =&gt; SOUS-SEGMENT'!$CK$8:$CK$154)/SUMPRODUCT(('ANALYSE - ERP =&gt; SOUS-SEGMENT'!$C$8:$C$154=$C10)*'ANALYSE - ERP =&gt; SOUS-SEGMENT'!$Q$8:$Q$154*'ANALYSE - ERP =&gt; SOUS-SEGMENT'!$BH$8:$BH$154),"")</f>
        <v>0.44927565325035967</v>
      </c>
      <c r="CI10" s="306">
        <f>IFERROR(SUMPRODUCT(('ANALYSE - ERP =&gt; SOUS-SEGMENT'!$C$8:$C$154=$C10)*'ANALYSE - ERP =&gt; SOUS-SEGMENT'!$Q$8:$Q$154*'ANALYSE - ERP =&gt; SOUS-SEGMENT'!$BH$8:$BH$154*'ANALYSE - ERP =&gt; SOUS-SEGMENT'!$CL$8:$CL$154)/SUMPRODUCT(('ANALYSE - ERP =&gt; SOUS-SEGMENT'!$C$8:$C$154=$C10)*'ANALYSE - ERP =&gt; SOUS-SEGMENT'!$Q$8:$Q$154*'ANALYSE - ERP =&gt; SOUS-SEGMENT'!$BH$8:$BH$154),"")</f>
        <v>0.44043460804978418</v>
      </c>
      <c r="CJ10" s="590">
        <f>IFERROR(SUMPRODUCT(('ANALYSE - ERP =&gt; SOUS-SEGMENT'!$C$8:$C$154=$C10)*'ANALYSE - ERP =&gt; SOUS-SEGMENT'!$Q$8:$Q$154*'ANALYSE - ERP =&gt; SOUS-SEGMENT'!$BH$8:$BH$154*'ANALYSE - ERP =&gt; SOUS-SEGMENT'!$CM$8:$CM$154)/SUMPRODUCT(('ANALYSE - ERP =&gt; SOUS-SEGMENT'!$C$8:$C$154=$C10)*'ANALYSE - ERP =&gt; SOUS-SEGMENT'!$Q$8:$Q$154*'ANALYSE - ERP =&gt; SOUS-SEGMENT'!$BH$8:$BH$154),"")</f>
        <v>0.11028973869985613</v>
      </c>
      <c r="CK10" s="589">
        <f>IFERROR(SUMPRODUCT(('ANALYSE - ERP =&gt; SOUS-SEGMENT'!$C$8:$C$154=$C10)*'ANALYSE - ERP =&gt; SOUS-SEGMENT'!$Q$8:$Q$154*'ANALYSE - ERP =&gt; SOUS-SEGMENT'!$BM$8:$BM$154*'ANALYSE - ERP =&gt; SOUS-SEGMENT'!$CN$8:$CN$154)/SUMPRODUCT(('ANALYSE - ERP =&gt; SOUS-SEGMENT'!$C$8:$C$154=$C10)*'ANALYSE - ERP =&gt; SOUS-SEGMENT'!$Q$8:$Q$154*'ANALYSE - ERP =&gt; SOUS-SEGMENT'!$BM$8:$BM$154),"")</f>
        <v>0.37581470067536554</v>
      </c>
      <c r="CL10" s="306">
        <f>IFERROR(SUMPRODUCT(('ANALYSE - ERP =&gt; SOUS-SEGMENT'!$C$8:$C$154=$C10)*'ANALYSE - ERP =&gt; SOUS-SEGMENT'!$Q$8:$Q$154*'ANALYSE - ERP =&gt; SOUS-SEGMENT'!$BM$8:$BM$154*'ANALYSE - ERP =&gt; SOUS-SEGMENT'!$CO$8:$CO$154)/SUMPRODUCT(('ANALYSE - ERP =&gt; SOUS-SEGMENT'!$C$8:$C$154=$C10)*'ANALYSE - ERP =&gt; SOUS-SEGMENT'!$Q$8:$Q$154*'ANALYSE - ERP =&gt; SOUS-SEGMENT'!$BM$8:$BM$154),"")</f>
        <v>0.44967411972985377</v>
      </c>
      <c r="CM10" s="590">
        <f>IFERROR(SUMPRODUCT(('ANALYSE - ERP =&gt; SOUS-SEGMENT'!$C$8:$C$154=$C10)*'ANALYSE - ERP =&gt; SOUS-SEGMENT'!$Q$8:$Q$154*'ANALYSE - ERP =&gt; SOUS-SEGMENT'!$BM$8:$BM$154*'ANALYSE - ERP =&gt; SOUS-SEGMENT'!$CP$8:$CP$154)/SUMPRODUCT(('ANALYSE - ERP =&gt; SOUS-SEGMENT'!$C$8:$C$154=$C10)*'ANALYSE - ERP =&gt; SOUS-SEGMENT'!$Q$8:$Q$154*'ANALYSE - ERP =&gt; SOUS-SEGMENT'!$BM$8:$BM$154),"")</f>
        <v>0.17451117959478069</v>
      </c>
      <c r="CN10" s="657"/>
      <c r="CO10" s="889">
        <f>IFERROR(SUMPRODUCT(('ANALYSE - ERP =&gt; SOUS-SEGMENT'!$C$8:$C$154=$C10)*'ANALYSE - ERP =&gt; SOUS-SEGMENT'!$DH$8:$DH$154*('ANALYSE - ERP =&gt; SOUS-SEGMENT'!$CR$8:$CR$154&gt;0)*'ANALYSE - ERP =&gt; SOUS-SEGMENT'!$CR$8:$CR$154)/SUMPRODUCT(('ANALYSE - ERP =&gt; SOUS-SEGMENT'!$C$8:$C$154=$C10)*'ANALYSE - ERP =&gt; SOUS-SEGMENT'!$DH$8:$DH$154*('ANALYSE - ERP =&gt; SOUS-SEGMENT'!$CR$8:$CR$154&gt;0)),"")</f>
        <v>13.508341784485671</v>
      </c>
      <c r="CP10" s="890">
        <f>IFERROR(SUMPRODUCT(('ANALYSE - ERP =&gt; SOUS-SEGMENT'!$C$8:$C$154=$C10)*'ANALYSE - ERP =&gt; SOUS-SEGMENT'!$DI$8:$DI$154*('ANALYSE - ERP =&gt; SOUS-SEGMENT'!$CS$8:$CS$154&gt;0)*'ANALYSE - ERP =&gt; SOUS-SEGMENT'!$CS$8:$CS$154)/SUMPRODUCT(('ANALYSE - ERP =&gt; SOUS-SEGMENT'!$C$8:$C$154=$C10)*'ANALYSE - ERP =&gt; SOUS-SEGMENT'!$DI$8:$DI$154*('ANALYSE - ERP =&gt; SOUS-SEGMENT'!$CS$8:$CS$154&gt;0)),"")</f>
        <v>13.736337916315083</v>
      </c>
      <c r="CQ10" s="890">
        <f>IFERROR(SUMPRODUCT(('ANALYSE - ERP =&gt; SOUS-SEGMENT'!$C$8:$C$154=$C10)*'ANALYSE - ERP =&gt; SOUS-SEGMENT'!$DJ$8:$DJ$154*('ANALYSE - ERP =&gt; SOUS-SEGMENT'!$CT$8:$CT$154&gt;0)*'ANALYSE - ERP =&gt; SOUS-SEGMENT'!$CT$8:$CT$154)/SUMPRODUCT(('ANALYSE - ERP =&gt; SOUS-SEGMENT'!$C$8:$C$154=$C10)*'ANALYSE - ERP =&gt; SOUS-SEGMENT'!$DJ$8:$DJ$154*('ANALYSE - ERP =&gt; SOUS-SEGMENT'!$CT$8:$CT$154&gt;0)),"")</f>
        <v>10</v>
      </c>
      <c r="CR10" s="891">
        <f>IFERROR(SUMPRODUCT(('ANALYSE - ERP =&gt; SOUS-SEGMENT'!$C$8:$C$154=$C10)*'ANALYSE - ERP =&gt; SOUS-SEGMENT'!$DK$8:$DK$154*('ANALYSE - ERP =&gt; SOUS-SEGMENT'!$CU$8:$CU$154&gt;0)*'ANALYSE - ERP =&gt; SOUS-SEGMENT'!$CU$8:$CU$154)/SUMPRODUCT(('ANALYSE - ERP =&gt; SOUS-SEGMENT'!$C$8:$C$154=$C10)*'ANALYSE - ERP =&gt; SOUS-SEGMENT'!$DK$8:$DK$154*('ANALYSE - ERP =&gt; SOUS-SEGMENT'!$CU$8:$CU$154&gt;0)),"")</f>
        <v>11.999999999999998</v>
      </c>
      <c r="CS10" s="889">
        <f>IFERROR(SUMPRODUCT(('ANALYSE - ERP =&gt; SOUS-SEGMENT'!$C$8:$C$154=$C10)*'ANALYSE - ERP =&gt; SOUS-SEGMENT'!$DS$8:$DS$154*('ANALYSE - ERP =&gt; SOUS-SEGMENT'!$CV$8:$CV$154&gt;0)*'ANALYSE - ERP =&gt; SOUS-SEGMENT'!$CV$8:$CV$154)/SUMPRODUCT(('ANALYSE - ERP =&gt; SOUS-SEGMENT'!$C$8:$C$154=$C10)*'ANALYSE - ERP =&gt; SOUS-SEGMENT'!$DS$8:$DS$154*('ANALYSE - ERP =&gt; SOUS-SEGMENT'!$CV$8:$CV$154&gt;0)),"")</f>
        <v>13</v>
      </c>
      <c r="CT10" s="890">
        <f>IFERROR(SUMPRODUCT(('ANALYSE - ERP =&gt; SOUS-SEGMENT'!$C$8:$C$154=$C10)*'ANALYSE - ERP =&gt; SOUS-SEGMENT'!$DT$8:$DT$154*('ANALYSE - ERP =&gt; SOUS-SEGMENT'!$CW$8:$CW$154&gt;0)*'ANALYSE - ERP =&gt; SOUS-SEGMENT'!$CW$8:$CW$154)/SUMPRODUCT(('ANALYSE - ERP =&gt; SOUS-SEGMENT'!$C$8:$C$154=$C10)*'ANALYSE - ERP =&gt; SOUS-SEGMENT'!$DT$8:$DT$154*('ANALYSE - ERP =&gt; SOUS-SEGMENT'!$CW$8:$CW$154&gt;0)),"")</f>
        <v>12</v>
      </c>
      <c r="CU10" s="891">
        <f>IFERROR(SUMPRODUCT(('ANALYSE - ERP =&gt; SOUS-SEGMENT'!$C$8:$C$154=$C10)*'ANALYSE - ERP =&gt; SOUS-SEGMENT'!$DU$8:$DU$154*('ANALYSE - ERP =&gt; SOUS-SEGMENT'!$CX$8:$CX$154&gt;0)*'ANALYSE - ERP =&gt; SOUS-SEGMENT'!$CX$8:$CX$154)/SUMPRODUCT(('ANALYSE - ERP =&gt; SOUS-SEGMENT'!$C$8:$C$154=$C10)*'ANALYSE - ERP =&gt; SOUS-SEGMENT'!$DU$8:$DU$154*('ANALYSE - ERP =&gt; SOUS-SEGMENT'!$CX$8:$CX$154&gt;0)),"")</f>
        <v>9</v>
      </c>
      <c r="CV10" s="889">
        <f>IFERROR(SUMPRODUCT(('ANALYSE - ERP =&gt; SOUS-SEGMENT'!$C$8:$C$154=$C10)*'ANALYSE - ERP =&gt; SOUS-SEGMENT'!$EB$8:$EB$154*('ANALYSE - ERP =&gt; SOUS-SEGMENT'!$CY$8:$CY$154&gt;0)*'ANALYSE - ERP =&gt; SOUS-SEGMENT'!$CY$8:$CY$154)/SUMPRODUCT(('ANALYSE - ERP =&gt; SOUS-SEGMENT'!$C$8:$C$154=$C10)*'ANALYSE - ERP =&gt; SOUS-SEGMENT'!$EB$8:$EB$154*('ANALYSE - ERP =&gt; SOUS-SEGMENT'!$CY$8:$CY$154&gt;0)),"")</f>
        <v>11.353221854446975</v>
      </c>
      <c r="CW10" s="890">
        <f>IFERROR(SUMPRODUCT(('ANALYSE - ERP =&gt; SOUS-SEGMENT'!$C$8:$C$154=$C10)*'ANALYSE - ERP =&gt; SOUS-SEGMENT'!$EC$8:$EC$154*('ANALYSE - ERP =&gt; SOUS-SEGMENT'!$CZ$8:$CZ$154&gt;0)*'ANALYSE - ERP =&gt; SOUS-SEGMENT'!$CZ$8:$CZ$154)/SUMPRODUCT(('ANALYSE - ERP =&gt; SOUS-SEGMENT'!$C$8:$C$154=$C10)*'ANALYSE - ERP =&gt; SOUS-SEGMENT'!$EC$8:$EC$154*('ANALYSE - ERP =&gt; SOUS-SEGMENT'!$CZ$8:$CZ$154&gt;0)),"")</f>
        <v>13.733092964334437</v>
      </c>
      <c r="CX10" s="890">
        <f>IFERROR(SUMPRODUCT(('ANALYSE - ERP =&gt; SOUS-SEGMENT'!$C$8:$C$154=$C10)*'ANALYSE - ERP =&gt; SOUS-SEGMENT'!$ED$8:$ED$154*('ANALYSE - ERP =&gt; SOUS-SEGMENT'!$DA$8:$DA$154&gt;0)*'ANALYSE - ERP =&gt; SOUS-SEGMENT'!$DA$8:$DA$154)/SUMPRODUCT(('ANALYSE - ERP =&gt; SOUS-SEGMENT'!$C$8:$C$154=$C10)*'ANALYSE - ERP =&gt; SOUS-SEGMENT'!$ED$8:$ED$154*('ANALYSE - ERP =&gt; SOUS-SEGMENT'!$DA$8:$DA$154&gt;0)),"")</f>
        <v>9.8512376495295175</v>
      </c>
      <c r="CY10" s="892">
        <f>IFERROR(SUMPRODUCT(('ANALYSE - ERP =&gt; SOUS-SEGMENT'!$C$8:$C$154=$C10)*'ANALYSE - ERP =&gt; SOUS-SEGMENT'!$EE$8:$EE$154*('ANALYSE - ERP =&gt; SOUS-SEGMENT'!$DB$8:$DB$154&gt;0)*'ANALYSE - ERP =&gt; SOUS-SEGMENT'!$DB$8:$DB$154)/SUMPRODUCT(('ANALYSE - ERP =&gt; SOUS-SEGMENT'!$C$8:$C$154=$C10)*'ANALYSE - ERP =&gt; SOUS-SEGMENT'!$EE$8:$EE$154*('ANALYSE - ERP =&gt; SOUS-SEGMENT'!$DB$8:$DB$154&gt;0)),"")</f>
        <v>11.660926861410058</v>
      </c>
      <c r="CZ10" s="893">
        <f>IFERROR(SUMPRODUCT(('ANALYSE - ERP =&gt; SOUS-SEGMENT'!$C$8:$C$154=$C10)*'ANALYSE - ERP =&gt; SOUS-SEGMENT'!$EM$8:$EM$154*('ANALYSE - ERP =&gt; SOUS-SEGMENT'!$DC$8:$DC$154&gt;0)*'ANALYSE - ERP =&gt; SOUS-SEGMENT'!$DC$8:$DC$154)/SUMPRODUCT(('ANALYSE - ERP =&gt; SOUS-SEGMENT'!$C$8:$C$154=$C10)*'ANALYSE - ERP =&gt; SOUS-SEGMENT'!$EM$8:$EM$154*('ANALYSE - ERP =&gt; SOUS-SEGMENT'!$DC$8:$DC$154&gt;0)),"")</f>
        <v>13.060647582735097</v>
      </c>
      <c r="DA10" s="890">
        <f>IFERROR(SUMPRODUCT(('ANALYSE - ERP =&gt; SOUS-SEGMENT'!$C$8:$C$154=$C10)*'ANALYSE - ERP =&gt; SOUS-SEGMENT'!$EN$8:$EN$154*('ANALYSE - ERP =&gt; SOUS-SEGMENT'!$DD$8:$DD$154&gt;0)*'ANALYSE - ERP =&gt; SOUS-SEGMENT'!$DD$8:$DD$154)/SUMPRODUCT(('ANALYSE - ERP =&gt; SOUS-SEGMENT'!$C$8:$C$154=$C10)*'ANALYSE - ERP =&gt; SOUS-SEGMENT'!$EN$8:$EN$154*('ANALYSE - ERP =&gt; SOUS-SEGMENT'!$DD$8:$DD$154&gt;0)),"")</f>
        <v>13.684434619781758</v>
      </c>
      <c r="DB10" s="892">
        <f>IFERROR(SUMPRODUCT(('ANALYSE - ERP =&gt; SOUS-SEGMENT'!$C$8:$C$154=$C10)*'ANALYSE - ERP =&gt; SOUS-SEGMENT'!$EO$8:$EO$154*('ANALYSE - ERP =&gt; SOUS-SEGMENT'!$DE$8:$DE$154&gt;0)*'ANALYSE - ERP =&gt; SOUS-SEGMENT'!$DE$8:$DE$154)/SUMPRODUCT(('ANALYSE - ERP =&gt; SOUS-SEGMENT'!$C$8:$C$154=$C10)*'ANALYSE - ERP =&gt; SOUS-SEGMENT'!$EO$8:$EO$154*('ANALYSE - ERP =&gt; SOUS-SEGMENT'!$DE$8:$DE$154&gt;0)),"")</f>
        <v>10.81997300125893</v>
      </c>
      <c r="DC10" s="609" t="s">
        <v>6798</v>
      </c>
      <c r="DD10" s="657"/>
      <c r="DE10" s="308">
        <f t="shared" si="2"/>
        <v>12069.36</v>
      </c>
      <c r="DF10" s="308">
        <f t="shared" si="3"/>
        <v>22161.699999999997</v>
      </c>
      <c r="DG10" s="308">
        <f t="shared" si="4"/>
        <v>7394.8000000000011</v>
      </c>
      <c r="DH10" s="308">
        <f t="shared" si="5"/>
        <v>2652.1400000000003</v>
      </c>
      <c r="DI10" s="287" t="s">
        <v>6799</v>
      </c>
      <c r="DJ10" s="308">
        <f t="shared" si="6"/>
        <v>11557.2</v>
      </c>
      <c r="DK10" s="308">
        <f t="shared" si="7"/>
        <v>22368.600000000002</v>
      </c>
      <c r="DL10" s="308">
        <f t="shared" si="8"/>
        <v>8767.32</v>
      </c>
      <c r="DM10" s="308">
        <f t="shared" si="9"/>
        <v>2270.88</v>
      </c>
      <c r="DN10" s="287" t="s">
        <v>6800</v>
      </c>
      <c r="DO10" s="657"/>
      <c r="DP10" s="308">
        <f t="shared" si="10"/>
        <v>8742.5500000000011</v>
      </c>
      <c r="DQ10" s="308">
        <f t="shared" si="11"/>
        <v>5967.95</v>
      </c>
      <c r="DR10" s="308">
        <f t="shared" si="12"/>
        <v>1634.5000000000002</v>
      </c>
      <c r="DS10" s="287" t="s">
        <v>6801</v>
      </c>
      <c r="DT10" s="308">
        <f t="shared" si="13"/>
        <v>8528</v>
      </c>
      <c r="DU10" s="308">
        <f t="shared" si="14"/>
        <v>6738.76</v>
      </c>
      <c r="DV10" s="308">
        <f t="shared" si="15"/>
        <v>2281.2399999999998</v>
      </c>
      <c r="DW10" s="287" t="s">
        <v>6802</v>
      </c>
      <c r="DX10" s="657"/>
      <c r="DY10" s="308">
        <f t="shared" si="16"/>
        <v>930.52</v>
      </c>
      <c r="DZ10" s="308">
        <f t="shared" si="17"/>
        <v>4617.9000000000005</v>
      </c>
      <c r="EA10" s="308">
        <f t="shared" si="18"/>
        <v>2209.4299999999998</v>
      </c>
      <c r="EB10" s="308">
        <f t="shared" si="19"/>
        <v>2504.15</v>
      </c>
      <c r="EC10" s="287" t="s">
        <v>6803</v>
      </c>
      <c r="ED10" s="308">
        <f t="shared" si="20"/>
        <v>737.88</v>
      </c>
      <c r="EE10" s="308">
        <f t="shared" si="21"/>
        <v>4648.5</v>
      </c>
      <c r="EF10" s="308">
        <f t="shared" si="22"/>
        <v>2508.6400000000003</v>
      </c>
      <c r="EG10" s="308">
        <f t="shared" si="23"/>
        <v>2434.98</v>
      </c>
      <c r="EH10" s="614" t="s">
        <v>6804</v>
      </c>
      <c r="EI10" s="290"/>
      <c r="EJ10" s="308">
        <f t="shared" si="24"/>
        <v>13428.4</v>
      </c>
      <c r="EK10" s="310">
        <f t="shared" si="25"/>
        <v>13164.15</v>
      </c>
      <c r="EL10" s="310">
        <f t="shared" si="26"/>
        <v>3296.45</v>
      </c>
      <c r="EM10" s="287" t="s">
        <v>6805</v>
      </c>
      <c r="EN10" s="308">
        <f t="shared" si="27"/>
        <v>11463.1</v>
      </c>
      <c r="EO10" s="310">
        <f t="shared" si="28"/>
        <v>13715.96</v>
      </c>
      <c r="EP10" s="310">
        <f t="shared" si="29"/>
        <v>5322.9400000000005</v>
      </c>
      <c r="EQ10" s="289" t="s">
        <v>6806</v>
      </c>
      <c r="ER10" s="657"/>
      <c r="ES10" s="728">
        <f t="shared" si="30"/>
        <v>0.70674999916917891</v>
      </c>
      <c r="ET10" s="728">
        <f t="shared" si="31"/>
        <v>0.2291215437676819</v>
      </c>
      <c r="EU10" s="311">
        <f t="shared" si="32"/>
        <v>27637.882584027997</v>
      </c>
      <c r="EV10" s="311">
        <f t="shared" si="33"/>
        <v>17085.941864027998</v>
      </c>
      <c r="EW10" s="311">
        <f t="shared" si="34"/>
        <v>10551.940720000001</v>
      </c>
      <c r="EX10" s="311">
        <f t="shared" si="35"/>
        <v>11976.744171232</v>
      </c>
      <c r="EY10" s="311">
        <f>SUMPRODUCT(('ANALYSE - ERP =&gt; SOUS-SEGMENT'!$C$8:$C$154=$C10)*'ANALYSE - ERP =&gt; SOUS-SEGMENT'!$Q$8:$Q$154*'ANALYSE - ERP =&gt; SOUS-SEGMENT'!$FB$8:$FB$154)</f>
        <v>7508.566991232</v>
      </c>
      <c r="EZ10" s="311">
        <f>SUMPRODUCT(('ANALYSE - ERP =&gt; SOUS-SEGMENT'!$C$8:$C$154=$C10)*'ANALYSE - ERP =&gt; SOUS-SEGMENT'!$Q$8:$Q$154*'ANALYSE - ERP =&gt; SOUS-SEGMENT'!$FC$8:$FC$154)</f>
        <v>4468.1771799999997</v>
      </c>
      <c r="FA10" s="311">
        <f t="shared" si="36"/>
        <v>4771.145229404</v>
      </c>
      <c r="FB10" s="311">
        <f>SUMPRODUCT(('ANALYSE - ERP =&gt; SOUS-SEGMENT'!$C$8:$C$154=$C10)*'ANALYSE - ERP =&gt; SOUS-SEGMENT'!$Q$8:$Q$154*'ANALYSE - ERP =&gt; SOUS-SEGMENT'!$FE$8:$FE$154)</f>
        <v>2780.0703194040002</v>
      </c>
      <c r="FC10" s="311">
        <f>SUMPRODUCT(('ANALYSE - ERP =&gt; SOUS-SEGMENT'!$C$8:$C$154=$C10)*'ANALYSE - ERP =&gt; SOUS-SEGMENT'!$Q$8:$Q$154*'ANALYSE - ERP =&gt; SOUS-SEGMENT'!$FF$8:$FF$154)</f>
        <v>1991.07491</v>
      </c>
      <c r="FD10" s="311">
        <f t="shared" si="37"/>
        <v>2745.6987317160001</v>
      </c>
      <c r="FE10" s="311">
        <f>SUMPRODUCT(('ANALYSE - ERP =&gt; SOUS-SEGMENT'!$C$8:$C$154=$C10)*'ANALYSE - ERP =&gt; SOUS-SEGMENT'!$Q$8:$Q$154*'ANALYSE - ERP =&gt; SOUS-SEGMENT'!$FH$8:$FH$154)</f>
        <v>1734.1410917159999</v>
      </c>
      <c r="FF10" s="311">
        <f>SUMPRODUCT(('ANALYSE - ERP =&gt; SOUS-SEGMENT'!$C$8:$C$154=$C10)*'ANALYSE - ERP =&gt; SOUS-SEGMENT'!$Q$8:$Q$154*'ANALYSE - ERP =&gt; SOUS-SEGMENT'!$FI$8:$FI$154)</f>
        <v>1011.5576400000001</v>
      </c>
      <c r="FG10" s="311">
        <f t="shared" si="38"/>
        <v>8144.2944516759999</v>
      </c>
      <c r="FH10" s="311">
        <f>SUMPRODUCT(('ANALYSE - ERP =&gt; SOUS-SEGMENT'!$C$8:$C$154=$C10)*'ANALYSE - ERP =&gt; SOUS-SEGMENT'!$Q$8:$Q$154*'ANALYSE - ERP =&gt; SOUS-SEGMENT'!$FK$8:$FK$154)</f>
        <v>5063.1634616760002</v>
      </c>
      <c r="FI10" s="311">
        <f>SUMPRODUCT(('ANALYSE - ERP =&gt; SOUS-SEGMENT'!$C$8:$C$154=$C10)*'ANALYSE - ERP =&gt; SOUS-SEGMENT'!$Q$8:$Q$154*'ANALYSE - ERP =&gt; SOUS-SEGMENT'!$FL$8:$FL$154)</f>
        <v>3081.1309900000001</v>
      </c>
      <c r="FJ10" s="657"/>
      <c r="FK10" s="293" t="s">
        <v>2649</v>
      </c>
      <c r="FL10" s="728">
        <f>IFERROR(SUMPRODUCT(('ANALYSE - ERP =&gt; SOUS-SEGMENT'!$C$8:$C$154=$C10)*'ANALYSE - ERP =&gt; SOUS-SEGMENT'!$Q$8:$Q$154*'ANALYSE - ERP =&gt; SOUS-SEGMENT'!$AF$8:$AF$154*'ANALYSE - ERP =&gt; SOUS-SEGMENT'!$FO$8:$FO$154)/SUMPRODUCT(('ANALYSE - ERP =&gt; SOUS-SEGMENT'!$C$8:$C$154=$C10)*'ANALYSE - ERP =&gt; SOUS-SEGMENT'!$Q$8:$Q$154*'ANALYSE - ERP =&gt; SOUS-SEGMENT'!$AF$8:$AF$154),"")</f>
        <v>4.8248806722689074E-2</v>
      </c>
      <c r="FM10" s="729">
        <f>IFERROR(SUMPRODUCT(('ANALYSE - ERP =&gt; SOUS-SEGMENT'!$C$8:$C$154=$C10)*'ANALYSE - ERP =&gt; SOUS-SEGMENT'!$Q$8:$Q$154*'ANALYSE - ERP =&gt; SOUS-SEGMENT'!$AF$8:$AF$154*'ANALYSE - ERP =&gt; SOUS-SEGMENT'!$FP$8:$FP$154)/SUMPRODUCT(('ANALYSE - ERP =&gt; SOUS-SEGMENT'!$C$8:$C$154=$C10)*'ANALYSE - ERP =&gt; SOUS-SEGMENT'!$Q$8:$Q$154*'ANALYSE - ERP =&gt; SOUS-SEGMENT'!$AF$8:$AF$154),"")</f>
        <v>0.85139256302520994</v>
      </c>
      <c r="FN10" s="294" t="s">
        <v>6780</v>
      </c>
      <c r="FO10" s="657"/>
      <c r="FP10" s="865">
        <f>IFERROR(SUMPRODUCT(('ANALYSE - ERP =&gt; SOUS-SEGMENT'!$C$8:$C$154=$C10)*'ANALYSE - ERP =&gt; SOUS-SEGMENT'!$Q$8:$Q$154*'ANALYSE - ERP =&gt; SOUS-SEGMENT'!$EX$8:$EX$154*'ANALYSE - ERP =&gt; SOUS-SEGMENT'!$FS$8:$FS$154)/SUMPRODUCT(('ANALYSE - ERP =&gt; SOUS-SEGMENT'!$C$8:$C$154=$C10)*'ANALYSE - ERP =&gt; SOUS-SEGMENT'!$Q$8:$Q$154*'ANALYSE - ERP =&gt; SOUS-SEGMENT'!$EX$8:$EX$154),"")</f>
        <v>3.3194198930377254</v>
      </c>
      <c r="FQ10" s="312">
        <f>RANK($FP10,$FP$8:$FP$143,0)+COUNTIF($FP$8:$FP10,$FP10)-1</f>
        <v>18</v>
      </c>
      <c r="FR10" s="865">
        <f>IFERROR(SUMPRODUCT(('ANALYSE - ERP =&gt; SOUS-SEGMENT'!$C$8:$C$154=$C10)*'ANALYSE - ERP =&gt; SOUS-SEGMENT'!$Q$8:$Q$154*'ANALYSE - ERP =&gt; SOUS-SEGMENT'!$EY$8:$EY$154*'ANALYSE - ERP =&gt; SOUS-SEGMENT'!$FU$8:$FU$154)/SUMPRODUCT(('ANALYSE - ERP =&gt; SOUS-SEGMENT'!$C$8:$C$154=$C10)*'ANALYSE - ERP =&gt; SOUS-SEGMENT'!$Q$8:$Q$154*'ANALYSE - ERP =&gt; SOUS-SEGMENT'!$EY$8:$EY$154),"")</f>
        <v>3.9167112382357887</v>
      </c>
      <c r="FS10" s="312">
        <f>RANK($FR10,$FR$8:$FR$143,0)+COUNTIF($FR$8:$FR10,$FR10)-1</f>
        <v>25</v>
      </c>
      <c r="FT10" s="865">
        <f>IFERROR(SUMPRODUCT(('ANALYSE - ERP =&gt; SOUS-SEGMENT'!$C$8:$C$154=$C10)*'ANALYSE - ERP =&gt; SOUS-SEGMENT'!$Q$8:$Q$154*'ANALYSE - ERP =&gt; SOUS-SEGMENT'!$EZ$8:$EZ$154*'ANALYSE - ERP =&gt; SOUS-SEGMENT'!$FW$8:$FW$154)/SUMPRODUCT(('ANALYSE - ERP =&gt; SOUS-SEGMENT'!$C$8:$C$154=$C10)*'ANALYSE - ERP =&gt; SOUS-SEGMENT'!$Q$8:$Q$154*'ANALYSE - ERP =&gt; SOUS-SEGMENT'!$EZ$8:$EZ$154),"")</f>
        <v>2.5935229604474124</v>
      </c>
      <c r="FU10" s="312">
        <f>RANK($FT10,$FT$8:$FT$143,0)+COUNTIF($FT$8:$FT10,$FT10)-1</f>
        <v>8</v>
      </c>
      <c r="FV10" s="657"/>
      <c r="FW10" s="296" t="s">
        <v>6807</v>
      </c>
      <c r="FX10" s="296" t="s">
        <v>6808</v>
      </c>
      <c r="FY10" s="296" t="s">
        <v>6809</v>
      </c>
      <c r="FZ10" s="296" t="s">
        <v>6810</v>
      </c>
      <c r="GA10" s="296" t="s">
        <v>6811</v>
      </c>
      <c r="GB10" s="296" t="s">
        <v>6812</v>
      </c>
      <c r="GC10" s="296" t="s">
        <v>6759</v>
      </c>
      <c r="GD10" s="657"/>
      <c r="GE10" s="311">
        <f>SUMPRODUCT(('ANALYSE - ERP =&gt; SOUS-SEGMENT'!$C$8:$C$154=$C10)*'ANALYSE - ERP =&gt; SOUS-SEGMENT'!$Q$8:$Q$154*'ANALYSE - ERP =&gt; SOUS-SEGMENT'!$GH$8:$GH$154)</f>
        <v>3249.2283881094399</v>
      </c>
      <c r="GF10" s="311">
        <f>SUMPRODUCT(('ANALYSE - ERP =&gt; SOUS-SEGMENT'!$C$8:$C$154=$C10)*'ANALYSE - ERP =&gt; SOUS-SEGMENT'!$Q$8:$Q$154*'ANALYSE - ERP =&gt; SOUS-SEGMENT'!$GI$8:$GI$154)</f>
        <v>2048.1355261094395</v>
      </c>
      <c r="GG10" s="311">
        <f>SUMPRODUCT(('ANALYSE - ERP =&gt; SOUS-SEGMENT'!$C$8:$C$154=$C10)*'ANALYSE - ERP =&gt; SOUS-SEGMENT'!$Q$8:$Q$154*'ANALYSE - ERP =&gt; SOUS-SEGMENT'!$GJ$8:$GJ$154)</f>
        <v>1201.092862</v>
      </c>
      <c r="GH10" s="311">
        <f>SUMPRODUCT(('ANALYSE - ERP =&gt; SOUS-SEGMENT'!$C$8:$C$154=$C10)*'ANALYSE - ERP =&gt; SOUS-SEGMENT'!$Q$8:$Q$154*'ANALYSE - ERP =&gt; SOUS-SEGMENT'!$GK$8:$GK$154)</f>
        <v>5944.0890004528001</v>
      </c>
      <c r="GI10" s="311">
        <f>SUMPRODUCT(('ANALYSE - ERP =&gt; SOUS-SEGMENT'!$C$8:$C$154=$C10)*'ANALYSE - ERP =&gt; SOUS-SEGMENT'!$Q$8:$Q$154*'ANALYSE - ERP =&gt; SOUS-SEGMENT'!$GL$8:$GL$154)</f>
        <v>3757.1513034528002</v>
      </c>
      <c r="GJ10" s="311">
        <f>SUMPRODUCT(('ANALYSE - ERP =&gt; SOUS-SEGMENT'!$C$8:$C$154=$C10)*'ANALYSE - ERP =&gt; SOUS-SEGMENT'!$Q$8:$Q$154*'ANALYSE - ERP =&gt; SOUS-SEGMENT'!$GM$8:$GM$154)</f>
        <v>2186.9376969999998</v>
      </c>
      <c r="GK10" s="311">
        <f>SUMPRODUCT(('ANALYSE - ERP =&gt; SOUS-SEGMENT'!$C$8:$C$154=$C10)*'ANALYSE - ERP =&gt; SOUS-SEGMENT'!$Q$8:$Q$154*'ANALYSE - ERP =&gt; SOUS-SEGMENT'!$GN$8:$GN$154)</f>
        <v>2100.6472871632</v>
      </c>
      <c r="GL10" s="311">
        <f>SUMPRODUCT(('ANALYSE - ERP =&gt; SOUS-SEGMENT'!$C$8:$C$154=$C10)*'ANALYSE - ERP =&gt; SOUS-SEGMENT'!$Q$8:$Q$154*'ANALYSE - ERP =&gt; SOUS-SEGMENT'!$GO$8:$GO$154)</f>
        <v>1253.3397037631999</v>
      </c>
      <c r="GM10" s="311">
        <f>SUMPRODUCT(('ANALYSE - ERP =&gt; SOUS-SEGMENT'!$C$8:$C$154=$C10)*'ANALYSE - ERP =&gt; SOUS-SEGMENT'!$Q$8:$Q$154*'ANALYSE - ERP =&gt; SOUS-SEGMENT'!$GP$8:$GP$154)</f>
        <v>847.30758340000011</v>
      </c>
      <c r="GN10" s="311">
        <f>SUMPRODUCT(('ANALYSE - ERP =&gt; SOUS-SEGMENT'!$C$8:$C$154=$C10)*'ANALYSE - ERP =&gt; SOUS-SEGMENT'!$Q$8:$Q$154*'ANALYSE - ERP =&gt; SOUS-SEGMENT'!$GQ$8:$GQ$154)</f>
        <v>682.7794955065599</v>
      </c>
      <c r="GO10" s="311">
        <f>SUMPRODUCT(('ANALYSE - ERP =&gt; SOUS-SEGMENT'!$C$8:$C$154=$C10)*'ANALYSE - ERP =&gt; SOUS-SEGMENT'!$Q$8:$Q$154*'ANALYSE - ERP =&gt; SOUS-SEGMENT'!$GR$8:$GR$154)</f>
        <v>449.94045790655997</v>
      </c>
      <c r="GP10" s="311">
        <f>SUMPRODUCT(('ANALYSE - ERP =&gt; SOUS-SEGMENT'!$C$8:$C$154=$C10)*'ANALYSE - ERP =&gt; SOUS-SEGMENT'!$Q$8:$Q$154*'ANALYSE - ERP =&gt; SOUS-SEGMENT'!$GS$8:$GS$154)</f>
        <v>232.83903760000001</v>
      </c>
      <c r="GQ10" s="311">
        <f>SUMPRODUCT(('ANALYSE - ERP =&gt; SOUS-SEGMENT'!$C$8:$C$154=$C10)*'ANALYSE - ERP =&gt; SOUS-SEGMENT'!$Q$8:$Q$154*'ANALYSE - ERP =&gt; SOUS-SEGMENT'!$GT$8:$GT$154)</f>
        <v>2459.8631860162</v>
      </c>
      <c r="GR10" s="311">
        <f>SUMPRODUCT(('ANALYSE - ERP =&gt; SOUS-SEGMENT'!$C$8:$C$154=$C10)*'ANALYSE - ERP =&gt; SOUS-SEGMENT'!$Q$8:$Q$154*'ANALYSE - ERP =&gt; SOUS-SEGMENT'!$GU$8:$GU$154)</f>
        <v>1486.7087310162001</v>
      </c>
      <c r="GS10" s="311">
        <f>SUMPRODUCT(('ANALYSE - ERP =&gt; SOUS-SEGMENT'!$C$8:$C$154=$C10)*'ANALYSE - ERP =&gt; SOUS-SEGMENT'!$Q$8:$Q$154*'ANALYSE - ERP =&gt; SOUS-SEGMENT'!$GV$8:$GV$154)</f>
        <v>973.1544550000001</v>
      </c>
      <c r="GT10" s="311">
        <f>SUMPRODUCT(('ANALYSE - ERP =&gt; SOUS-SEGMENT'!$C$8:$C$154=$C10)*'ANALYSE - ERP =&gt; SOUS-SEGMENT'!$Q$8:$Q$154*'ANALYSE - ERP =&gt; SOUS-SEGMENT'!$GW$8:$GW$154)</f>
        <v>1774.4352731473998</v>
      </c>
      <c r="GU10" s="311">
        <f>SUMPRODUCT(('ANALYSE - ERP =&gt; SOUS-SEGMENT'!$C$8:$C$154=$C10)*'ANALYSE - ERP =&gt; SOUS-SEGMENT'!$Q$8:$Q$154*'ANALYSE - ERP =&gt; SOUS-SEGMENT'!$GX$8:$GX$154)</f>
        <v>1015.3545564473998</v>
      </c>
      <c r="GV10" s="311">
        <f>SUMPRODUCT(('ANALYSE - ERP =&gt; SOUS-SEGMENT'!$C$8:$C$154=$C10)*'ANALYSE - ERP =&gt; SOUS-SEGMENT'!$Q$8:$Q$154*'ANALYSE - ERP =&gt; SOUS-SEGMENT'!$GY$8:$GY$154)</f>
        <v>759.08071670000004</v>
      </c>
      <c r="GW10" s="311">
        <f>SUMPRODUCT(('ANALYSE - ERP =&gt; SOUS-SEGMENT'!$C$8:$C$154=$C10)*'ANALYSE - ERP =&gt; SOUS-SEGMENT'!$Q$8:$Q$154*'ANALYSE - ERP =&gt; SOUS-SEGMENT'!$GZ$8:$GZ$154)</f>
        <v>536.84677024040002</v>
      </c>
      <c r="GX10" s="311">
        <f>SUMPRODUCT(('ANALYSE - ERP =&gt; SOUS-SEGMENT'!$C$8:$C$154=$C10)*'ANALYSE - ERP =&gt; SOUS-SEGMENT'!$Q$8:$Q$154*'ANALYSE - ERP =&gt; SOUS-SEGMENT'!$HA$8:$HA$154)</f>
        <v>278.0070319404</v>
      </c>
      <c r="GY10" s="311">
        <f>SUMPRODUCT(('ANALYSE - ERP =&gt; SOUS-SEGMENT'!$C$8:$C$154=$C10)*'ANALYSE - ERP =&gt; SOUS-SEGMENT'!$Q$8:$Q$154*'ANALYSE - ERP =&gt; SOUS-SEGMENT'!$HB$8:$HB$154)</f>
        <v>258.83973830000002</v>
      </c>
      <c r="GZ10" s="311">
        <f>SUMPRODUCT(('ANALYSE - ERP =&gt; SOUS-SEGMENT'!$C$8:$C$154=$C10)*'ANALYSE - ERP =&gt; SOUS-SEGMENT'!$Q$8:$Q$154*'ANALYSE - ERP =&gt; SOUS-SEGMENT'!$HC$8:$HC$154)</f>
        <v>231.58076042351999</v>
      </c>
      <c r="HA10" s="311">
        <f>SUMPRODUCT(('ANALYSE - ERP =&gt; SOUS-SEGMENT'!$C$8:$C$154=$C10)*'ANALYSE - ERP =&gt; SOUS-SEGMENT'!$Q$8:$Q$154*'ANALYSE - ERP =&gt; SOUS-SEGMENT'!$HD$8:$HD$154)</f>
        <v>157.35931442351998</v>
      </c>
      <c r="HB10" s="311">
        <f>SUMPRODUCT(('ANALYSE - ERP =&gt; SOUS-SEGMENT'!$C$8:$C$154=$C10)*'ANALYSE - ERP =&gt; SOUS-SEGMENT'!$Q$8:$Q$154*'ANALYSE - ERP =&gt; SOUS-SEGMENT'!$HE$8:$HE$154)</f>
        <v>74.221446000000014</v>
      </c>
      <c r="HC10" s="311">
        <f>SUMPRODUCT(('ANALYSE - ERP =&gt; SOUS-SEGMENT'!$C$8:$C$154=$C10)*'ANALYSE - ERP =&gt; SOUS-SEGMENT'!$Q$8:$Q$154*'ANALYSE - ERP =&gt; SOUS-SEGMENT'!$HF$8:$HF$154)</f>
        <v>1235.5644292722</v>
      </c>
      <c r="HD10" s="311">
        <f>SUMPRODUCT(('ANALYSE - ERP =&gt; SOUS-SEGMENT'!$C$8:$C$154=$C10)*'ANALYSE - ERP =&gt; SOUS-SEGMENT'!$Q$8:$Q$154*'ANALYSE - ERP =&gt; SOUS-SEGMENT'!$HG$8:$HG$154)</f>
        <v>780.36349127220001</v>
      </c>
      <c r="HE10" s="311">
        <f>SUMPRODUCT(('ANALYSE - ERP =&gt; SOUS-SEGMENT'!$C$8:$C$154=$C10)*'ANALYSE - ERP =&gt; SOUS-SEGMENT'!$Q$8:$Q$154*'ANALYSE - ERP =&gt; SOUS-SEGMENT'!$HH$8:$HH$154)</f>
        <v>455.20093800000006</v>
      </c>
      <c r="HF10" s="311">
        <f>SUMPRODUCT(('ANALYSE - ERP =&gt; SOUS-SEGMENT'!$C$8:$C$154=$C10)*'ANALYSE - ERP =&gt; SOUS-SEGMENT'!$Q$8:$Q$154*'ANALYSE - ERP =&gt; SOUS-SEGMENT'!$HI$8:$HI$154)</f>
        <v>612.26436439871998</v>
      </c>
      <c r="HG10" s="311">
        <f>SUMPRODUCT(('ANALYSE - ERP =&gt; SOUS-SEGMENT'!$C$8:$C$154=$C10)*'ANALYSE - ERP =&gt; SOUS-SEGMENT'!$Q$8:$Q$154*'ANALYSE - ERP =&gt; SOUS-SEGMENT'!$HJ$8:$HJ$154)</f>
        <v>372.99418489871999</v>
      </c>
      <c r="HH10" s="311">
        <f>SUMPRODUCT(('ANALYSE - ERP =&gt; SOUS-SEGMENT'!$C$8:$C$154=$C10)*'ANALYSE - ERP =&gt; SOUS-SEGMENT'!$Q$8:$Q$154*'ANALYSE - ERP =&gt; SOUS-SEGMENT'!$HK$8:$HK$154)</f>
        <v>239.27017950000001</v>
      </c>
      <c r="HI10" s="311">
        <f>SUMPRODUCT(('ANALYSE - ERP =&gt; SOUS-SEGMENT'!$C$8:$C$154=$C10)*'ANALYSE - ERP =&gt; SOUS-SEGMENT'!$Q$8:$Q$154*'ANALYSE - ERP =&gt; SOUS-SEGMENT'!$HL$8:$HL$154)</f>
        <v>666.28917762155993</v>
      </c>
      <c r="HJ10" s="311">
        <f>SUMPRODUCT(('ANALYSE - ERP =&gt; SOUS-SEGMENT'!$C$8:$C$154=$C10)*'ANALYSE - ERP =&gt; SOUS-SEGMENT'!$Q$8:$Q$154*'ANALYSE - ERP =&gt; SOUS-SEGMENT'!$HM$8:$HM$154)</f>
        <v>423.42410112156</v>
      </c>
      <c r="HK10" s="311">
        <f>SUMPRODUCT(('ANALYSE - ERP =&gt; SOUS-SEGMENT'!$C$8:$C$154=$C10)*'ANALYSE - ERP =&gt; SOUS-SEGMENT'!$Q$8:$Q$154*'ANALYSE - ERP =&gt; SOUS-SEGMENT'!$HN$8:$HN$154)</f>
        <v>242.86507649999999</v>
      </c>
      <c r="HL10" s="311">
        <f>SUMPRODUCT(('ANALYSE - ERP =&gt; SOUS-SEGMENT'!$C$8:$C$154=$C10)*'ANALYSE - ERP =&gt; SOUS-SEGMENT'!$Q$8:$Q$154*'ANALYSE - ERP =&gt; SOUS-SEGMENT'!$HO$8:$HO$154)</f>
        <v>3486.5586230056001</v>
      </c>
      <c r="HM10" s="311">
        <f>SUMPRODUCT(('ANALYSE - ERP =&gt; SOUS-SEGMENT'!$C$8:$C$154=$C10)*'ANALYSE - ERP =&gt; SOUS-SEGMENT'!$Q$8:$Q$154*'ANALYSE - ERP =&gt; SOUS-SEGMENT'!$HP$8:$HP$154)</f>
        <v>2276.6162785055999</v>
      </c>
      <c r="HN10" s="311">
        <f>SUMPRODUCT(('ANALYSE - ERP =&gt; SOUS-SEGMENT'!$C$8:$C$154=$C10)*'ANALYSE - ERP =&gt; SOUS-SEGMENT'!$Q$8:$Q$154*'ANALYSE - ERP =&gt; SOUS-SEGMENT'!$HQ$8:$HQ$154)</f>
        <v>1209.9423445000002</v>
      </c>
      <c r="HO10" s="311">
        <f>SUMPRODUCT(('ANALYSE - ERP =&gt; SOUS-SEGMENT'!$C$8:$C$154=$C10)*'ANALYSE - ERP =&gt; SOUS-SEGMENT'!$Q$8:$Q$154*'ANALYSE - ERP =&gt; SOUS-SEGMENT'!$HR$8:$HR$154)</f>
        <v>3593.5779468865999</v>
      </c>
      <c r="HP10" s="311">
        <f>SUMPRODUCT(('ANALYSE - ERP =&gt; SOUS-SEGMENT'!$C$8:$C$154=$C10)*'ANALYSE - ERP =&gt; SOUS-SEGMENT'!$Q$8:$Q$154*'ANALYSE - ERP =&gt; SOUS-SEGMENT'!$HS$8:$HS$154)</f>
        <v>2228.8762906866</v>
      </c>
      <c r="HQ10" s="311">
        <f>SUMPRODUCT(('ANALYSE - ERP =&gt; SOUS-SEGMENT'!$C$8:$C$154=$C10)*'ANALYSE - ERP =&gt; SOUS-SEGMENT'!$Q$8:$Q$154*'ANALYSE - ERP =&gt; SOUS-SEGMENT'!$HT$8:$HT$154)</f>
        <v>1364.7016562000001</v>
      </c>
      <c r="HR10" s="311">
        <f>SUMPRODUCT(('ANALYSE - ERP =&gt; SOUS-SEGMENT'!$C$8:$C$154=$C10)*'ANALYSE - ERP =&gt; SOUS-SEGMENT'!$Q$8:$Q$154*'ANALYSE - ERP =&gt; SOUS-SEGMENT'!$HU$8:$HU$154)</f>
        <v>1064.1578817837999</v>
      </c>
      <c r="HS10" s="311">
        <f>SUMPRODUCT(('ANALYSE - ERP =&gt; SOUS-SEGMENT'!$C$8:$C$154=$C10)*'ANALYSE - ERP =&gt; SOUS-SEGMENT'!$Q$8:$Q$154*'ANALYSE - ERP =&gt; SOUS-SEGMENT'!$HV$8:$HV$154)</f>
        <v>557.6708924838</v>
      </c>
      <c r="HT10" s="311">
        <f>SUMPRODUCT(('ANALYSE - ERP =&gt; SOUS-SEGMENT'!$C$8:$C$154=$C10)*'ANALYSE - ERP =&gt; SOUS-SEGMENT'!$Q$8:$Q$154*'ANALYSE - ERP =&gt; SOUS-SEGMENT'!$HW$8:$HW$154)</f>
        <v>506.48698930000006</v>
      </c>
      <c r="HV10" s="313">
        <f t="shared" si="39"/>
        <v>100774</v>
      </c>
      <c r="HW10" s="313">
        <f>SUMPRODUCT(('ANALYSE - ERP =&gt; SOUS-SEGMENT'!$C$8:$C$154=$C10)*'ANALYSE - ERP =&gt; SOUS-SEGMENT'!$Q$8:$Q$154*'ANALYSE - ERP =&gt; SOUS-SEGMENT'!$HZ$8:$HZ$154)</f>
        <v>845.03820000000007</v>
      </c>
      <c r="HX10" s="313">
        <f>SUMPRODUCT(('ANALYSE - ERP =&gt; SOUS-SEGMENT'!$C$8:$C$154=$C10)*'ANALYSE - ERP =&gt; SOUS-SEGMENT'!$Q$8:$Q$154*'ANALYSE - ERP =&gt; SOUS-SEGMENT'!$IA$8:$IA$154)</f>
        <v>22584.939599999998</v>
      </c>
      <c r="HY10" s="313">
        <f>SUMPRODUCT(('ANALYSE - ERP =&gt; SOUS-SEGMENT'!$C$8:$C$154=$C10)*'ANALYSE - ERP =&gt; SOUS-SEGMENT'!$Q$8:$Q$154*'ANALYSE - ERP =&gt; SOUS-SEGMENT'!$IB$8:$IB$154)</f>
        <v>51654.804000000004</v>
      </c>
      <c r="HZ10" s="313">
        <f>SUMPRODUCT(('ANALYSE - ERP =&gt; SOUS-SEGMENT'!$C$8:$C$154=$C10)*'ANALYSE - ERP =&gt; SOUS-SEGMENT'!$Q$8:$Q$154*'ANALYSE - ERP =&gt; SOUS-SEGMENT'!$IC$8:$IC$154)</f>
        <v>23706.014999999999</v>
      </c>
      <c r="IA10" s="313">
        <f>SUMPRODUCT(('ANALYSE - ERP =&gt; SOUS-SEGMENT'!$C$8:$C$154=$C10)*'ANALYSE - ERP =&gt; SOUS-SEGMENT'!$Q$8:$Q$154*'ANALYSE - ERP =&gt; SOUS-SEGMENT'!$ID$8:$ID$154)</f>
        <v>1983.2032000000002</v>
      </c>
      <c r="IB10" s="313">
        <f>SUMPRODUCT(('ANALYSE - ERP =&gt; SOUS-SEGMENT'!$C$8:$C$154=$C10)*'ANALYSE - ERP =&gt; SOUS-SEGMENT'!$Q$8:$Q$154*'ANALYSE - ERP =&gt; SOUS-SEGMENT'!$IE$8:$IE$154)</f>
        <v>17085.941864027998</v>
      </c>
      <c r="IC10" s="313">
        <f>SUMPRODUCT(('ANALYSE - ERP =&gt; SOUS-SEGMENT'!$C$8:$C$154=$C10)*'ANALYSE - ERP =&gt; SOUS-SEGMENT'!$Q$8:$Q$154*'ANALYSE - ERP =&gt; SOUS-SEGMENT'!$IF$8:$IF$154)</f>
        <v>0</v>
      </c>
      <c r="ID10" s="313">
        <f>SUMPRODUCT(('ANALYSE - ERP =&gt; SOUS-SEGMENT'!$C$8:$C$154=$C10)*'ANALYSE - ERP =&gt; SOUS-SEGMENT'!$Q$8:$Q$154*'ANALYSE - ERP =&gt; SOUS-SEGMENT'!$IG$8:$IG$154)</f>
        <v>1439.4709635710831</v>
      </c>
      <c r="IE10" s="313">
        <f>SUMPRODUCT(('ANALYSE - ERP =&gt; SOUS-SEGMENT'!$C$8:$C$154=$C10)*'ANALYSE - ERP =&gt; SOUS-SEGMENT'!$Q$8:$Q$154*'ANALYSE - ERP =&gt; SOUS-SEGMENT'!$IH$8:$IH$154)</f>
        <v>7730.2859088376081</v>
      </c>
      <c r="IF10" s="313">
        <f>SUMPRODUCT(('ANALYSE - ERP =&gt; SOUS-SEGMENT'!$C$8:$C$154=$C10)*'ANALYSE - ERP =&gt; SOUS-SEGMENT'!$Q$8:$Q$154*'ANALYSE - ERP =&gt; SOUS-SEGMENT'!$II$8:$II$154)</f>
        <v>6789.2439572248604</v>
      </c>
      <c r="IG10" s="313">
        <f>SUMPRODUCT(('ANALYSE - ERP =&gt; SOUS-SEGMENT'!$C$8:$C$154=$C10)*'ANALYSE - ERP =&gt; SOUS-SEGMENT'!$Q$8:$Q$154*'ANALYSE - ERP =&gt; SOUS-SEGMENT'!$IJ$8:$IJ$154)</f>
        <v>1126.941034394448</v>
      </c>
      <c r="IH10" s="866"/>
      <c r="II10" s="314" t="s">
        <v>2589</v>
      </c>
      <c r="IJ10" s="299" t="s">
        <v>6760</v>
      </c>
      <c r="IK10" s="657"/>
      <c r="IL10" s="747">
        <f>IFERROR(SUMPRODUCT(('ANALYSE - ERP =&gt; SOUS-SEGMENT'!$C$8:$C$154=$C10)*'ANALYSE - ERP =&gt; SOUS-SEGMENT'!$Q$8:$Q$154*'ANALYSE - ERP =&gt; SOUS-SEGMENT'!$BE$8:$BE$154*'ANALYSE - ERP =&gt; SOUS-SEGMENT'!$IO$8:$IO$154)/SUMPRODUCT(('ANALYSE - ERP =&gt; SOUS-SEGMENT'!$C$8:$C$154=$C10)*'ANALYSE - ERP =&gt; SOUS-SEGMENT'!$Q$8:$Q$154*'ANALYSE - ERP =&gt; SOUS-SEGMENT'!$BE$8:$BE$154),0)</f>
        <v>4.5530511766565798E-3</v>
      </c>
      <c r="IM10" s="748">
        <f>IFERROR(SUMPRODUCT(('ANALYSE - ERP =&gt; SOUS-SEGMENT'!$C$8:$C$154=$C10)*'ANALYSE - ERP =&gt; SOUS-SEGMENT'!$Q$8:$Q$154*'ANALYSE - ERP =&gt; SOUS-SEGMENT'!$BE$8:$BE$154*'ANALYSE - ERP =&gt; SOUS-SEGMENT'!$IP$8:$IP$154)/SUMPRODUCT(('ANALYSE - ERP =&gt; SOUS-SEGMENT'!$C$8:$C$154=$C10)*'ANALYSE - ERP =&gt; SOUS-SEGMENT'!$Q$8:$Q$154*'ANALYSE - ERP =&gt; SOUS-SEGMENT'!$BE$8:$BE$154),0)</f>
        <v>0.21971208726681427</v>
      </c>
      <c r="IN10" s="748">
        <f>IFERROR(SUMPRODUCT(('ANALYSE - ERP =&gt; SOUS-SEGMENT'!$C$8:$C$154=$C10)*'ANALYSE - ERP =&gt; SOUS-SEGMENT'!$Q$8:$Q$154*'ANALYSE - ERP =&gt; SOUS-SEGMENT'!$BE$8:$BE$154*'ANALYSE - ERP =&gt; SOUS-SEGMENT'!$IQ$8:$IQ$154)/SUMPRODUCT(('ANALYSE - ERP =&gt; SOUS-SEGMENT'!$C$8:$C$154=$C10)*'ANALYSE - ERP =&gt; SOUS-SEGMENT'!$Q$8:$Q$154*'ANALYSE - ERP =&gt; SOUS-SEGMENT'!$BE$8:$BE$154),0)</f>
        <v>0.5182252721441799</v>
      </c>
      <c r="IO10" s="748">
        <f>IFERROR(SUMPRODUCT(('ANALYSE - ERP =&gt; SOUS-SEGMENT'!$C$8:$C$154=$C10)*'ANALYSE - ERP =&gt; SOUS-SEGMENT'!$Q$8:$Q$154*'ANALYSE - ERP =&gt; SOUS-SEGMENT'!$BE$8:$BE$154*'ANALYSE - ERP =&gt; SOUS-SEGMENT'!$IR$8:$IR$154)/SUMPRODUCT(('ANALYSE - ERP =&gt; SOUS-SEGMENT'!$C$8:$C$154=$C10)*'ANALYSE - ERP =&gt; SOUS-SEGMENT'!$Q$8:$Q$154*'ANALYSE - ERP =&gt; SOUS-SEGMENT'!$BE$8:$BE$154),0)</f>
        <v>0.23565077465106826</v>
      </c>
      <c r="IP10" s="749">
        <f>IFERROR(SUMPRODUCT(('ANALYSE - ERP =&gt; SOUS-SEGMENT'!$C$8:$C$154=$C10)*'ANALYSE - ERP =&gt; SOUS-SEGMENT'!$Q$8:$Q$154*'ANALYSE - ERP =&gt; SOUS-SEGMENT'!$BE$8:$BE$154*'ANALYSE - ERP =&gt; SOUS-SEGMENT'!$IS$8:$IS$154)/SUMPRODUCT(('ANALYSE - ERP =&gt; SOUS-SEGMENT'!$C$8:$C$154=$C10)*'ANALYSE - ERP =&gt; SOUS-SEGMENT'!$Q$8:$Q$154*'ANALYSE - ERP =&gt; SOUS-SEGMENT'!$BE$8:$BE$154),0)</f>
        <v>2.1858814761281001E-2</v>
      </c>
      <c r="IQ10" s="748">
        <f>IFERROR(SUMPRODUCT(('ANALYSE - ERP =&gt; SOUS-SEGMENT'!$C$8:$C$154=$C10)*'ANALYSE - ERP =&gt; SOUS-SEGMENT'!$Q$8:$Q$154*'ANALYSE - ERP =&gt; SOUS-SEGMENT'!$FB$8:$FB$154*'ANALYSE - ERP =&gt; SOUS-SEGMENT'!$IT$8:$IT$154)/SUMPRODUCT(('ANALYSE - ERP =&gt; SOUS-SEGMENT'!$C$8:$C$154=$C10)*'ANALYSE - ERP =&gt; SOUS-SEGMENT'!$Q$8:$Q$154*'ANALYSE - ERP =&gt; SOUS-SEGMENT'!$FB$8:$FB$154),0)</f>
        <v>0</v>
      </c>
      <c r="IR10" s="748">
        <f>IFERROR(SUMPRODUCT(('ANALYSE - ERP =&gt; SOUS-SEGMENT'!$C$8:$C$154=$C10)*'ANALYSE - ERP =&gt; SOUS-SEGMENT'!$Q$8:$Q$154*'ANALYSE - ERP =&gt; SOUS-SEGMENT'!$FB$8:$FB$154*'ANALYSE - ERP =&gt; SOUS-SEGMENT'!$IU$8:$IU$154)/SUMPRODUCT(('ANALYSE - ERP =&gt; SOUS-SEGMENT'!$C$8:$C$154=$C10)*'ANALYSE - ERP =&gt; SOUS-SEGMENT'!$Q$8:$Q$154*'ANALYSE - ERP =&gt; SOUS-SEGMENT'!$FB$8:$FB$154),0)</f>
        <v>7.8162523222770716E-2</v>
      </c>
      <c r="IS10" s="748">
        <f>IFERROR(SUMPRODUCT(('ANALYSE - ERP =&gt; SOUS-SEGMENT'!$C$8:$C$154=$C10)*'ANALYSE - ERP =&gt; SOUS-SEGMENT'!$Q$8:$Q$154*'ANALYSE - ERP =&gt; SOUS-SEGMENT'!$FB$8:$FB$154*'ANALYSE - ERP =&gt; SOUS-SEGMENT'!$IV$8:$IV$154)/SUMPRODUCT(('ANALYSE - ERP =&gt; SOUS-SEGMENT'!$C$8:$C$154=$C10)*'ANALYSE - ERP =&gt; SOUS-SEGMENT'!$Q$8:$Q$154*'ANALYSE - ERP =&gt; SOUS-SEGMENT'!$FB$8:$FB$154),0)</f>
        <v>0.45240729274090374</v>
      </c>
      <c r="IT10" s="748">
        <f>IFERROR(SUMPRODUCT(('ANALYSE - ERP =&gt; SOUS-SEGMENT'!$C$8:$C$154=$C10)*'ANALYSE - ERP =&gt; SOUS-SEGMENT'!$Q$8:$Q$154*'ANALYSE - ERP =&gt; SOUS-SEGMENT'!$FB$8:$FB$154*'ANALYSE - ERP =&gt; SOUS-SEGMENT'!$IW$8:$IW$154)/SUMPRODUCT(('ANALYSE - ERP =&gt; SOUS-SEGMENT'!$C$8:$C$154=$C10)*'ANALYSE - ERP =&gt; SOUS-SEGMENT'!$Q$8:$Q$154*'ANALYSE - ERP =&gt; SOUS-SEGMENT'!$FB$8:$FB$154),0)</f>
        <v>0.39935956924616356</v>
      </c>
      <c r="IU10" s="748">
        <f>IFERROR(SUMPRODUCT(('ANALYSE - ERP =&gt; SOUS-SEGMENT'!$C$8:$C$154=$C10)*'ANALYSE - ERP =&gt; SOUS-SEGMENT'!$Q$8:$Q$154*'ANALYSE - ERP =&gt; SOUS-SEGMENT'!$FB$8:$FB$154*'ANALYSE - ERP =&gt; SOUS-SEGMENT'!$IX$8:$IX$154)/SUMPRODUCT(('ANALYSE - ERP =&gt; SOUS-SEGMENT'!$C$8:$C$154=$C10)*'ANALYSE - ERP =&gt; SOUS-SEGMENT'!$Q$8:$Q$154*'ANALYSE - ERP =&gt; SOUS-SEGMENT'!$FB$8:$FB$154),0)</f>
        <v>7.0070614790161898E-2</v>
      </c>
      <c r="IV10" s="771">
        <f>IFERROR(SUMPRODUCT(('ANALYSE - ERP =&gt; SOUS-SEGMENT'!$C$8:$C$154=$C10)*'ANALYSE - ERP =&gt; SOUS-SEGMENT'!$Q$8:$Q$154*'ANALYSE - ERP =&gt; SOUS-SEGMENT'!$BF$8:$BF$154*'ANALYSE - ERP =&gt; SOUS-SEGMENT'!$IY$8:$IY$154)/SUMPRODUCT(('ANALYSE - ERP =&gt; SOUS-SEGMENT'!$C$8:$C$154=$C10)*'ANALYSE - ERP =&gt; SOUS-SEGMENT'!$Q$8:$Q$154*'ANALYSE - ERP =&gt; SOUS-SEGMENT'!$BF$8:$BF$154),0)</f>
        <v>5.440195778525543E-4</v>
      </c>
      <c r="IW10" s="748">
        <f>IFERROR(SUMPRODUCT(('ANALYSE - ERP =&gt; SOUS-SEGMENT'!$C$8:$C$154=$C10)*'ANALYSE - ERP =&gt; SOUS-SEGMENT'!$Q$8:$Q$154*'ANALYSE - ERP =&gt; SOUS-SEGMENT'!$BF$8:$BF$154*'ANALYSE - ERP =&gt; SOUS-SEGMENT'!$IZ$8:$IZ$154)/SUMPRODUCT(('ANALYSE - ERP =&gt; SOUS-SEGMENT'!$C$8:$C$154=$C10)*'ANALYSE - ERP =&gt; SOUS-SEGMENT'!$Q$8:$Q$154*'ANALYSE - ERP =&gt; SOUS-SEGMENT'!$BF$8:$BF$154),0)</f>
        <v>0.12481911287855613</v>
      </c>
      <c r="IX10" s="748">
        <f>IFERROR(SUMPRODUCT(('ANALYSE - ERP =&gt; SOUS-SEGMENT'!$C$8:$C$154=$C10)*'ANALYSE - ERP =&gt; SOUS-SEGMENT'!$Q$8:$Q$154*'ANALYSE - ERP =&gt; SOUS-SEGMENT'!$BF$8:$BF$154*'ANALYSE - ERP =&gt; SOUS-SEGMENT'!$JA$8:$JA$154)/SUMPRODUCT(('ANALYSE - ERP =&gt; SOUS-SEGMENT'!$C$8:$C$154=$C10)*'ANALYSE - ERP =&gt; SOUS-SEGMENT'!$Q$8:$Q$154*'ANALYSE - ERP =&gt; SOUS-SEGMENT'!$BF$8:$BF$154),0)</f>
        <v>0.52011962067910689</v>
      </c>
      <c r="IY10" s="748">
        <f>IFERROR(SUMPRODUCT(('ANALYSE - ERP =&gt; SOUS-SEGMENT'!$C$8:$C$154=$C10)*'ANALYSE - ERP =&gt; SOUS-SEGMENT'!$Q$8:$Q$154*'ANALYSE - ERP =&gt; SOUS-SEGMENT'!$BF$8:$BF$154*'ANALYSE - ERP =&gt; SOUS-SEGMENT'!$JB$8:$JB$154)/SUMPRODUCT(('ANALYSE - ERP =&gt; SOUS-SEGMENT'!$C$8:$C$154=$C10)*'ANALYSE - ERP =&gt; SOUS-SEGMENT'!$Q$8:$Q$154*'ANALYSE - ERP =&gt; SOUS-SEGMENT'!$BF$8:$BF$154),0)</f>
        <v>0.32521564392780666</v>
      </c>
      <c r="IZ10" s="749">
        <f>IFERROR(SUMPRODUCT(('ANALYSE - ERP =&gt; SOUS-SEGMENT'!$C$8:$C$154=$C10)*'ANALYSE - ERP =&gt; SOUS-SEGMENT'!$Q$8:$Q$154*'ANALYSE - ERP =&gt; SOUS-SEGMENT'!$BF$8:$BF$154*'ANALYSE - ERP =&gt; SOUS-SEGMENT'!$JC$8:$JC$154)/SUMPRODUCT(('ANALYSE - ERP =&gt; SOUS-SEGMENT'!$C$8:$C$154=$C10)*'ANALYSE - ERP =&gt; SOUS-SEGMENT'!$Q$8:$Q$154*'ANALYSE - ERP =&gt; SOUS-SEGMENT'!$BF$8:$BF$154),0)</f>
        <v>2.9301602936677884E-2</v>
      </c>
      <c r="JA10" s="748">
        <f>IFERROR(SUMPRODUCT(('ANALYSE - ERP =&gt; SOUS-SEGMENT'!$C$8:$C$154=$C10)*'ANALYSE - ERP =&gt; SOUS-SEGMENT'!$Q$8:$Q$154*'ANALYSE - ERP =&gt; SOUS-SEGMENT'!$FE$8:$FE$154*'ANALYSE - ERP =&gt; SOUS-SEGMENT'!$JD$8:$JD$154)/SUMPRODUCT(('ANALYSE - ERP =&gt; SOUS-SEGMENT'!$C$8:$C$154=$C10)*'ANALYSE - ERP =&gt; SOUS-SEGMENT'!$Q$8:$Q$154*'ANALYSE - ERP =&gt; SOUS-SEGMENT'!$FE$8:$FE$154),0)</f>
        <v>0</v>
      </c>
      <c r="JB10" s="748">
        <f>IFERROR(SUMPRODUCT(('ANALYSE - ERP =&gt; SOUS-SEGMENT'!$C$8:$C$154=$C10)*'ANALYSE - ERP =&gt; SOUS-SEGMENT'!$Q$8:$Q$154*'ANALYSE - ERP =&gt; SOUS-SEGMENT'!$FE$8:$FE$154*'ANALYSE - ERP =&gt; SOUS-SEGMENT'!$JE$8:$JE$154)/SUMPRODUCT(('ANALYSE - ERP =&gt; SOUS-SEGMENT'!$C$8:$C$154=$C10)*'ANALYSE - ERP =&gt; SOUS-SEGMENT'!$Q$8:$Q$154*'ANALYSE - ERP =&gt; SOUS-SEGMENT'!$FE$8:$FE$154),0)</f>
        <v>2.5504640703692835E-2</v>
      </c>
      <c r="JC10" s="748">
        <f>IFERROR(SUMPRODUCT(('ANALYSE - ERP =&gt; SOUS-SEGMENT'!$C$8:$C$154=$C10)*'ANALYSE - ERP =&gt; SOUS-SEGMENT'!$Q$8:$Q$154*'ANALYSE - ERP =&gt; SOUS-SEGMENT'!$FE$8:$FE$154*'ANALYSE - ERP =&gt; SOUS-SEGMENT'!$JF$8:$JF$154)/SUMPRODUCT(('ANALYSE - ERP =&gt; SOUS-SEGMENT'!$C$8:$C$154=$C10)*'ANALYSE - ERP =&gt; SOUS-SEGMENT'!$Q$8:$Q$154*'ANALYSE - ERP =&gt; SOUS-SEGMENT'!$FE$8:$FE$154),0)</f>
        <v>0.38153207186438981</v>
      </c>
      <c r="JD10" s="748">
        <f>IFERROR(SUMPRODUCT(('ANALYSE - ERP =&gt; SOUS-SEGMENT'!$C$8:$C$154=$C10)*'ANALYSE - ERP =&gt; SOUS-SEGMENT'!$Q$8:$Q$154*'ANALYSE - ERP =&gt; SOUS-SEGMENT'!$FE$8:$FE$154*'ANALYSE - ERP =&gt; SOUS-SEGMENT'!$JG$8:$JG$154)/SUMPRODUCT(('ANALYSE - ERP =&gt; SOUS-SEGMENT'!$C$8:$C$154=$C10)*'ANALYSE - ERP =&gt; SOUS-SEGMENT'!$Q$8:$Q$154*'ANALYSE - ERP =&gt; SOUS-SEGMENT'!$FE$8:$FE$154),0)</f>
        <v>0.49428475151967782</v>
      </c>
      <c r="JE10" s="748">
        <f>IFERROR(SUMPRODUCT(('ANALYSE - ERP =&gt; SOUS-SEGMENT'!$C$8:$C$154=$C10)*'ANALYSE - ERP =&gt; SOUS-SEGMENT'!$Q$8:$Q$154*'ANALYSE - ERP =&gt; SOUS-SEGMENT'!$FE$8:$FE$154*'ANALYSE - ERP =&gt; SOUS-SEGMENT'!$JH$8:$JH$154)/SUMPRODUCT(('ANALYSE - ERP =&gt; SOUS-SEGMENT'!$C$8:$C$154=$C10)*'ANALYSE - ERP =&gt; SOUS-SEGMENT'!$Q$8:$Q$154*'ANALYSE - ERP =&gt; SOUS-SEGMENT'!$FE$8:$FE$154),0)</f>
        <v>9.8678535912239532E-2</v>
      </c>
      <c r="JF10" s="771">
        <f>IFERROR(SUMPRODUCT(('ANALYSE - ERP =&gt; SOUS-SEGMENT'!$C$8:$C$154=$C10)*'ANALYSE - ERP =&gt; SOUS-SEGMENT'!$Q$8:$Q$154*'ANALYSE - ERP =&gt; SOUS-SEGMENT'!$BG$8:$BG$154*'ANALYSE - ERP =&gt; SOUS-SEGMENT'!$JI$8:$JI$154)/SUMPRODUCT(('ANALYSE - ERP =&gt; SOUS-SEGMENT'!$C$8:$C$154=$C10)*'ANALYSE - ERP =&gt; SOUS-SEGMENT'!$Q$8:$Q$154*'ANALYSE - ERP =&gt; SOUS-SEGMENT'!$BG$8:$BG$154),0)</f>
        <v>3.3085772753849156E-2</v>
      </c>
      <c r="JG10" s="748">
        <f>IFERROR(SUMPRODUCT(('ANALYSE - ERP =&gt; SOUS-SEGMENT'!$C$8:$C$154=$C10)*'ANALYSE - ERP =&gt; SOUS-SEGMENT'!$Q$8:$Q$154*'ANALYSE - ERP =&gt; SOUS-SEGMENT'!$BG$8:$BG$154*'ANALYSE - ERP =&gt; SOUS-SEGMENT'!$JJ$8:$JJ$154)/SUMPRODUCT(('ANALYSE - ERP =&gt; SOUS-SEGMENT'!$C$8:$C$154=$C10)*'ANALYSE - ERP =&gt; SOUS-SEGMENT'!$Q$8:$Q$154*'ANALYSE - ERP =&gt; SOUS-SEGMENT'!$BG$8:$BG$154),0)</f>
        <v>0.35505444357824989</v>
      </c>
      <c r="JH10" s="748">
        <f>IFERROR(SUMPRODUCT(('ANALYSE - ERP =&gt; SOUS-SEGMENT'!$C$8:$C$154=$C10)*'ANALYSE - ERP =&gt; SOUS-SEGMENT'!$Q$8:$Q$154*'ANALYSE - ERP =&gt; SOUS-SEGMENT'!$BG$8:$BG$154*'ANALYSE - ERP =&gt; SOUS-SEGMENT'!$JK$8:$JK$154)/SUMPRODUCT(('ANALYSE - ERP =&gt; SOUS-SEGMENT'!$C$8:$C$154=$C10)*'ANALYSE - ERP =&gt; SOUS-SEGMENT'!$Q$8:$Q$154*'ANALYSE - ERP =&gt; SOUS-SEGMENT'!$BG$8:$BG$154),0)</f>
        <v>0.46842952640810759</v>
      </c>
      <c r="JI10" s="748">
        <f>IFERROR(SUMPRODUCT(('ANALYSE - ERP =&gt; SOUS-SEGMENT'!$C$8:$C$154=$C10)*'ANALYSE - ERP =&gt; SOUS-SEGMENT'!$Q$8:$Q$154*'ANALYSE - ERP =&gt; SOUS-SEGMENT'!$BG$8:$BG$154*'ANALYSE - ERP =&gt; SOUS-SEGMENT'!$JL$8:$JL$154)/SUMPRODUCT(('ANALYSE - ERP =&gt; SOUS-SEGMENT'!$C$8:$C$154=$C10)*'ANALYSE - ERP =&gt; SOUS-SEGMENT'!$Q$8:$Q$154*'ANALYSE - ERP =&gt; SOUS-SEGMENT'!$BG$8:$BG$154),0)</f>
        <v>0.13719996102124343</v>
      </c>
      <c r="JJ10" s="749">
        <f>IFERROR(SUMPRODUCT(('ANALYSE - ERP =&gt; SOUS-SEGMENT'!$C$8:$C$154=$C10)*'ANALYSE - ERP =&gt; SOUS-SEGMENT'!$Q$8:$Q$154*'ANALYSE - ERP =&gt; SOUS-SEGMENT'!$BG$8:$BG$154*'ANALYSE - ERP =&gt; SOUS-SEGMENT'!$JM$8:$JM$154)/SUMPRODUCT(('ANALYSE - ERP =&gt; SOUS-SEGMENT'!$C$8:$C$154=$C10)*'ANALYSE - ERP =&gt; SOUS-SEGMENT'!$Q$8:$Q$154*'ANALYSE - ERP =&gt; SOUS-SEGMENT'!$BG$8:$BG$154),0)</f>
        <v>6.2302962385499903E-3</v>
      </c>
      <c r="JK10" s="748">
        <f>IFERROR(SUMPRODUCT(('ANALYSE - ERP =&gt; SOUS-SEGMENT'!$C$8:$C$154=$C10)*'ANALYSE - ERP =&gt; SOUS-SEGMENT'!$Q$8:$Q$154*'ANALYSE - ERP =&gt; SOUS-SEGMENT'!$FH$8:$FH$154*'ANALYSE - ERP =&gt; SOUS-SEGMENT'!$JN$8:$JN$154)/SUMPRODUCT(('ANALYSE - ERP =&gt; SOUS-SEGMENT'!$C$8:$C$154=$C10)*'ANALYSE - ERP =&gt; SOUS-SEGMENT'!$Q$8:$Q$154*'ANALYSE - ERP =&gt; SOUS-SEGMENT'!$FH$8:$FH$154),0)</f>
        <v>0</v>
      </c>
      <c r="JL10" s="748">
        <f>IFERROR(SUMPRODUCT(('ANALYSE - ERP =&gt; SOUS-SEGMENT'!$C$8:$C$154=$C10)*'ANALYSE - ERP =&gt; SOUS-SEGMENT'!$Q$8:$Q$154*'ANALYSE - ERP =&gt; SOUS-SEGMENT'!$FH$8:$FH$154*'ANALYSE - ERP =&gt; SOUS-SEGMENT'!$JO$8:$JO$154)/SUMPRODUCT(('ANALYSE - ERP =&gt; SOUS-SEGMENT'!$C$8:$C$154=$C10)*'ANALYSE - ERP =&gt; SOUS-SEGMENT'!$Q$8:$Q$154*'ANALYSE - ERP =&gt; SOUS-SEGMENT'!$FH$8:$FH$154),0)</f>
        <v>0.18053795922427471</v>
      </c>
      <c r="JM10" s="748">
        <f>IFERROR(SUMPRODUCT(('ANALYSE - ERP =&gt; SOUS-SEGMENT'!$C$8:$C$154=$C10)*'ANALYSE - ERP =&gt; SOUS-SEGMENT'!$Q$8:$Q$154*'ANALYSE - ERP =&gt; SOUS-SEGMENT'!$FH$8:$FH$154*'ANALYSE - ERP =&gt; SOUS-SEGMENT'!$JP$8:$JP$154)/SUMPRODUCT(('ANALYSE - ERP =&gt; SOUS-SEGMENT'!$C$8:$C$154=$C10)*'ANALYSE - ERP =&gt; SOUS-SEGMENT'!$Q$8:$Q$154*'ANALYSE - ERP =&gt; SOUS-SEGMENT'!$FH$8:$FH$154),0)</f>
        <v>0.52005746923103735</v>
      </c>
      <c r="JN10" s="748">
        <f>IFERROR(SUMPRODUCT(('ANALYSE - ERP =&gt; SOUS-SEGMENT'!$C$8:$C$154=$C10)*'ANALYSE - ERP =&gt; SOUS-SEGMENT'!$Q$8:$Q$154*'ANALYSE - ERP =&gt; SOUS-SEGMENT'!$FH$8:$FH$154*'ANALYSE - ERP =&gt; SOUS-SEGMENT'!$JQ$8:$JQ$154)/SUMPRODUCT(('ANALYSE - ERP =&gt; SOUS-SEGMENT'!$C$8:$C$154=$C10)*'ANALYSE - ERP =&gt; SOUS-SEGMENT'!$Q$8:$Q$154*'ANALYSE - ERP =&gt; SOUS-SEGMENT'!$FH$8:$FH$154),0)</f>
        <v>0.27041595853127048</v>
      </c>
      <c r="JO10" s="748">
        <f>IFERROR(SUMPRODUCT(('ANALYSE - ERP =&gt; SOUS-SEGMENT'!$C$8:$C$154=$C10)*'ANALYSE - ERP =&gt; SOUS-SEGMENT'!$Q$8:$Q$154*'ANALYSE - ERP =&gt; SOUS-SEGMENT'!$FH$8:$FH$154*'ANALYSE - ERP =&gt; SOUS-SEGMENT'!$JR$8:$JR$154)/SUMPRODUCT(('ANALYSE - ERP =&gt; SOUS-SEGMENT'!$C$8:$C$154=$C10)*'ANALYSE - ERP =&gt; SOUS-SEGMENT'!$Q$8:$Q$154*'ANALYSE - ERP =&gt; SOUS-SEGMENT'!$FH$8:$FH$154),0)</f>
        <v>2.8988613013417461E-2</v>
      </c>
      <c r="JP10" s="771">
        <f>IFERROR(SUMPRODUCT(('ANALYSE - ERP =&gt; SOUS-SEGMENT'!$C$8:$C$154=$C10)*'ANALYSE - ERP =&gt; SOUS-SEGMENT'!$Q$8:$Q$154*'ANALYSE - ERP =&gt; SOUS-SEGMENT'!$BH$8:$BH$154*'ANALYSE - ERP =&gt; SOUS-SEGMENT'!$JS$8:$JS$154)/SUMPRODUCT(('ANALYSE - ERP =&gt; SOUS-SEGMENT'!$C$8:$C$154=$C10)*'ANALYSE - ERP =&gt; SOUS-SEGMENT'!$Q$8:$Q$154*'ANALYSE - ERP =&gt; SOUS-SEGMENT'!$BH$8:$BH$154),0)</f>
        <v>9.8705209274314951E-3</v>
      </c>
      <c r="JQ10" s="748">
        <f>IFERROR(SUMPRODUCT(('ANALYSE - ERP =&gt; SOUS-SEGMENT'!$C$8:$C$154=$C10)*'ANALYSE - ERP =&gt; SOUS-SEGMENT'!$Q$8:$Q$154*'ANALYSE - ERP =&gt; SOUS-SEGMENT'!$BH$8:$BH$154*'ANALYSE - ERP =&gt; SOUS-SEGMENT'!$JT$8:$JT$154)/SUMPRODUCT(('ANALYSE - ERP =&gt; SOUS-SEGMENT'!$C$8:$C$154=$C10)*'ANALYSE - ERP =&gt; SOUS-SEGMENT'!$Q$8:$Q$154*'ANALYSE - ERP =&gt; SOUS-SEGMENT'!$BH$8:$BH$154),0)</f>
        <v>0.2399809528589113</v>
      </c>
      <c r="JR10" s="748">
        <f>IFERROR(SUMPRODUCT(('ANALYSE - ERP =&gt; SOUS-SEGMENT'!$C$8:$C$154=$C10)*'ANALYSE - ERP =&gt; SOUS-SEGMENT'!$Q$8:$Q$154*'ANALYSE - ERP =&gt; SOUS-SEGMENT'!$BH$8:$BH$154*'ANALYSE - ERP =&gt; SOUS-SEGMENT'!$JU$8:$JU$154)/SUMPRODUCT(('ANALYSE - ERP =&gt; SOUS-SEGMENT'!$C$8:$C$154=$C10)*'ANALYSE - ERP =&gt; SOUS-SEGMENT'!$Q$8:$Q$154*'ANALYSE - ERP =&gt; SOUS-SEGMENT'!$BH$8:$BH$154),0)</f>
        <v>0.51525465555890126</v>
      </c>
      <c r="JS10" s="748">
        <f>IFERROR(SUMPRODUCT(('ANALYSE - ERP =&gt; SOUS-SEGMENT'!$C$8:$C$154=$C10)*'ANALYSE - ERP =&gt; SOUS-SEGMENT'!$Q$8:$Q$154*'ANALYSE - ERP =&gt; SOUS-SEGMENT'!$BH$8:$BH$154*'ANALYSE - ERP =&gt; SOUS-SEGMENT'!$JV$8:$JV$154)/SUMPRODUCT(('ANALYSE - ERP =&gt; SOUS-SEGMENT'!$C$8:$C$154=$C10)*'ANALYSE - ERP =&gt; SOUS-SEGMENT'!$Q$8:$Q$154*'ANALYSE - ERP =&gt; SOUS-SEGMENT'!$BH$8:$BH$154),0)</f>
        <v>0.21908642979022386</v>
      </c>
      <c r="JT10" s="749">
        <f>IFERROR(SUMPRODUCT(('ANALYSE - ERP =&gt; SOUS-SEGMENT'!$C$8:$C$154=$C10)*'ANALYSE - ERP =&gt; SOUS-SEGMENT'!$Q$8:$Q$154*'ANALYSE - ERP =&gt; SOUS-SEGMENT'!$BH$8:$BH$154*'ANALYSE - ERP =&gt; SOUS-SEGMENT'!$JW$8:$JW$154)/SUMPRODUCT(('ANALYSE - ERP =&gt; SOUS-SEGMENT'!$C$8:$C$154=$C10)*'ANALYSE - ERP =&gt; SOUS-SEGMENT'!$Q$8:$Q$154*'ANALYSE - ERP =&gt; SOUS-SEGMENT'!$BH$8:$BH$154),0)</f>
        <v>1.5807440864532105E-2</v>
      </c>
      <c r="JU10" s="771">
        <f>IFERROR(SUMPRODUCT(('ANALYSE - ERP =&gt; SOUS-SEGMENT'!$C$8:$C$154=$C10)*'ANALYSE - ERP =&gt; SOUS-SEGMENT'!$Q$8:$Q$154*'ANALYSE - ERP =&gt; SOUS-SEGMENT'!$FK$8:$FK$154*'ANALYSE - ERP =&gt; SOUS-SEGMENT'!$JX$8:$JX$154)/SUMPRODUCT(('ANALYSE - ERP =&gt; SOUS-SEGMENT'!$C$8:$C$154=$C10)*'ANALYSE - ERP =&gt; SOUS-SEGMENT'!$Q$8:$Q$154*'ANALYSE - ERP =&gt; SOUS-SEGMENT'!$FK$8:$FK$154),0)</f>
        <v>0</v>
      </c>
      <c r="JV10" s="748">
        <f>IFERROR(SUMPRODUCT(('ANALYSE - ERP =&gt; SOUS-SEGMENT'!$C$8:$C$154=$C10)*'ANALYSE - ERP =&gt; SOUS-SEGMENT'!$Q$8:$Q$154*'ANALYSE - ERP =&gt; SOUS-SEGMENT'!$FK$8:$FK$154*'ANALYSE - ERP =&gt; SOUS-SEGMENT'!$JY$8:$JY$154)/SUMPRODUCT(('ANALYSE - ERP =&gt; SOUS-SEGMENT'!$C$8:$C$154=$C10)*'ANALYSE - ERP =&gt; SOUS-SEGMENT'!$Q$8:$Q$154*'ANALYSE - ERP =&gt; SOUS-SEGMENT'!$FK$8:$FK$154),0)</f>
        <v>9.2550721888268919E-2</v>
      </c>
      <c r="JW10" s="748">
        <f>IFERROR(SUMPRODUCT(('ANALYSE - ERP =&gt; SOUS-SEGMENT'!$C$8:$C$154=$C10)*'ANALYSE - ERP =&gt; SOUS-SEGMENT'!$Q$8:$Q$154*'ANALYSE - ERP =&gt; SOUS-SEGMENT'!$FK$8:$FK$154*'ANALYSE - ERP =&gt; SOUS-SEGMENT'!$JZ$8:$JZ$154)/SUMPRODUCT(('ANALYSE - ERP =&gt; SOUS-SEGMENT'!$C$8:$C$154=$C10)*'ANALYSE - ERP =&gt; SOUS-SEGMENT'!$Q$8:$Q$154*'ANALYSE - ERP =&gt; SOUS-SEGMENT'!$FK$8:$FK$154),0)</f>
        <v>0.46824805194963354</v>
      </c>
      <c r="JX10" s="748">
        <f>IFERROR(SUMPRODUCT(('ANALYSE - ERP =&gt; SOUS-SEGMENT'!$C$8:$C$154=$C10)*'ANALYSE - ERP =&gt; SOUS-SEGMENT'!$Q$8:$Q$154*'ANALYSE - ERP =&gt; SOUS-SEGMENT'!$FK$8:$FK$154*'ANALYSE - ERP =&gt; SOUS-SEGMENT'!$KA$8:$KA$154)/SUMPRODUCT(('ANALYSE - ERP =&gt; SOUS-SEGMENT'!$C$8:$C$154=$C10)*'ANALYSE - ERP =&gt; SOUS-SEGMENT'!$Q$8:$Q$154*'ANALYSE - ERP =&gt; SOUS-SEGMENT'!$FK$8:$FK$154),0)</f>
        <v>0.38464886628944256</v>
      </c>
      <c r="JY10" s="775">
        <f>IFERROR(SUMPRODUCT(('ANALYSE - ERP =&gt; SOUS-SEGMENT'!$C$8:$C$154=$C10)*'ANALYSE - ERP =&gt; SOUS-SEGMENT'!$Q$8:$Q$154*'ANALYSE - ERP =&gt; SOUS-SEGMENT'!$FK$8:$FK$154*'ANALYSE - ERP =&gt; SOUS-SEGMENT'!$KB$8:$KB$154)/SUMPRODUCT(('ANALYSE - ERP =&gt; SOUS-SEGMENT'!$C$8:$C$154=$C10)*'ANALYSE - ERP =&gt; SOUS-SEGMENT'!$Q$8:$Q$154*'ANALYSE - ERP =&gt; SOUS-SEGMENT'!$FK$8:$FK$154),0)</f>
        <v>5.4552359872654922E-2</v>
      </c>
      <c r="JZ10" s="657"/>
      <c r="KA10" s="314" t="s">
        <v>2591</v>
      </c>
      <c r="KB10" s="314" t="s">
        <v>2625</v>
      </c>
      <c r="KC10" s="866">
        <f>IFERROR(SUMPRODUCT(('ANALYSE - ERP =&gt; SOUS-SEGMENT'!$C$8:$C$154=$C10)*'ANALYSE - ERP =&gt; SOUS-SEGMENT'!$Q$8:$Q$154*'ANALYSE - ERP =&gt; SOUS-SEGMENT'!$EX$8:$EX$154*'ANALYSE - ERP =&gt; SOUS-SEGMENT'!$KF$8:$KF$154)/SUMPRODUCT(('ANALYSE - ERP =&gt; SOUS-SEGMENT'!$C$8:$C$154=$C10)*'ANALYSE - ERP =&gt; SOUS-SEGMENT'!$Q$8:$Q$154*'ANALYSE - ERP =&gt; SOUS-SEGMENT'!$EX$8:$EX$154),"")</f>
        <v>3.9324913942896043</v>
      </c>
      <c r="KD10" s="314" t="s">
        <v>2589</v>
      </c>
      <c r="KE10" s="315" t="s">
        <v>2808</v>
      </c>
      <c r="KF10" s="617" t="s">
        <v>6760</v>
      </c>
      <c r="KG10" s="315" t="s">
        <v>6760</v>
      </c>
    </row>
    <row r="11" spans="1:293" ht="108" customHeight="1">
      <c r="A11" s="265">
        <v>4</v>
      </c>
      <c r="B11" s="482" t="s">
        <v>6739</v>
      </c>
      <c r="C11" s="482" t="s">
        <v>991</v>
      </c>
      <c r="D11" s="482" t="s">
        <v>6813</v>
      </c>
      <c r="E11" s="267" t="s">
        <v>2106</v>
      </c>
      <c r="F11" s="267" t="s">
        <v>300</v>
      </c>
      <c r="G11" s="267" t="s">
        <v>300</v>
      </c>
      <c r="H11" s="267" t="s">
        <v>2109</v>
      </c>
      <c r="I11" s="268" t="s">
        <v>6814</v>
      </c>
      <c r="J11" s="268" t="s">
        <v>6815</v>
      </c>
      <c r="K11" s="269" t="s">
        <v>2117</v>
      </c>
      <c r="L11" s="269" t="s">
        <v>2109</v>
      </c>
      <c r="M11" s="269" t="s">
        <v>2603</v>
      </c>
      <c r="N11" s="269" t="s">
        <v>6742</v>
      </c>
      <c r="O11" s="269" t="s">
        <v>2616</v>
      </c>
      <c r="P11" s="268"/>
      <c r="Q11" s="270">
        <f>IF(SUMPRODUCT(('ANALYSE - ERP =&gt; SOUS-SEGMENT'!$C$8:$C$154=$C11)*'ANALYSE - ERP =&gt; SOUS-SEGMENT'!$Q$8:$Q$154)&gt;0,1,0)</f>
        <v>0</v>
      </c>
      <c r="R11" s="271" t="str">
        <f>IFERROR(SUMPRODUCT(('ANALYSE - ERP =&gt; SOUS-SEGMENT'!$C$8:$C$154=$C11)*'ANALYSE - ERP =&gt; SOUS-SEGMENT'!$Q$8:$Q$154*'ANALYSE - ERP =&gt; SOUS-SEGMENT'!$AG$8:$AG$154*'ANALYSE - ERP =&gt; SOUS-SEGMENT'!$R$8:$R$154)/SUMPRODUCT(('ANALYSE - ERP =&gt; SOUS-SEGMENT'!$C$8:$C$154=$C11)*'ANALYSE - ERP =&gt; SOUS-SEGMENT'!$Q$8:$Q$154*'ANALYSE - ERP =&gt; SOUS-SEGMENT'!$AG$8:$AG$154),"")</f>
        <v/>
      </c>
      <c r="S11" s="272">
        <f>SUMPRODUCT(('ANALYSE - ERP =&gt; SOUS-SEGMENT'!$C$8:$C$154=$C11)*'ANALYSE - ERP =&gt; SOUS-SEGMENT'!$Q$8:$Q$154*'ANALYSE - ERP =&gt; SOUS-SEGMENT'!$S$8:$S$154)</f>
        <v>0</v>
      </c>
      <c r="T11" s="272">
        <f>SUMPRODUCT(('ANALYSE - ERP =&gt; SOUS-SEGMENT'!$C$8:$C$154=$C11)*'ANALYSE - ERP =&gt; SOUS-SEGMENT'!$Q$8:$Q$154*'ANALYSE - ERP =&gt; SOUS-SEGMENT'!$T$8:$T$154)</f>
        <v>0</v>
      </c>
      <c r="U11" s="272">
        <f>SUMPRODUCT(('ANALYSE - ERP =&gt; SOUS-SEGMENT'!$C$8:$C$154=$C11)*'ANALYSE - ERP =&gt; SOUS-SEGMENT'!$Q$8:$Q$154*'ANALYSE - ERP =&gt; SOUS-SEGMENT'!$U$8:$U$154)</f>
        <v>0</v>
      </c>
      <c r="V11" s="272">
        <f>SUMPRODUCT(('ANALYSE - ERP =&gt; SOUS-SEGMENT'!$C$8:$C$154=$C11)*'ANALYSE - ERP =&gt; SOUS-SEGMENT'!$Q$8:$Q$154*'ANALYSE - ERP =&gt; SOUS-SEGMENT'!$V$8:$V$154)</f>
        <v>0</v>
      </c>
      <c r="W11" s="272">
        <f>SUMPRODUCT(('ANALYSE - ERP =&gt; SOUS-SEGMENT'!$C$8:$C$154=$C11)*'ANALYSE - ERP =&gt; SOUS-SEGMENT'!$Q$8:$Q$154*'ANALYSE - ERP =&gt; SOUS-SEGMENT'!$W$8:$W$154)</f>
        <v>0</v>
      </c>
      <c r="X11" s="272">
        <f>SUMPRODUCT(('ANALYSE - ERP =&gt; SOUS-SEGMENT'!$C$8:$C$154=$C11)*'ANALYSE - ERP =&gt; SOUS-SEGMENT'!$Q$8:$Q$154*'ANALYSE - ERP =&gt; SOUS-SEGMENT'!$X$8:$X$154)</f>
        <v>0</v>
      </c>
      <c r="Y11" s="272">
        <f>SUMPRODUCT(('ANALYSE - ERP =&gt; SOUS-SEGMENT'!$C$8:$C$154=$C11)*'ANALYSE - ERP =&gt; SOUS-SEGMENT'!$Q$8:$Q$154*'ANALYSE - ERP =&gt; SOUS-SEGMENT'!$Y$8:$Y$154)</f>
        <v>0</v>
      </c>
      <c r="Z11" s="272">
        <f>SUMPRODUCT(('ANALYSE - ERP =&gt; SOUS-SEGMENT'!$C$8:$C$154=$C11)*'ANALYSE - ERP =&gt; SOUS-SEGMENT'!$Q$8:$Q$154*'ANALYSE - ERP =&gt; SOUS-SEGMENT'!$Z$8:$Z$154)</f>
        <v>0</v>
      </c>
      <c r="AA11" s="272">
        <f>SUMPRODUCT(('ANALYSE - ERP =&gt; SOUS-SEGMENT'!$C$8:$C$154=$C11)*'ANALYSE - ERP =&gt; SOUS-SEGMENT'!$Q$8:$Q$154*'ANALYSE - ERP =&gt; SOUS-SEGMENT'!$AA$8:$AA$154)</f>
        <v>0</v>
      </c>
      <c r="AB11" s="272">
        <f>SUMPRODUCT(('ANALYSE - ERP =&gt; SOUS-SEGMENT'!$C$8:$C$154=$C11)*'ANALYSE - ERP =&gt; SOUS-SEGMENT'!$Q$8:$Q$154*'ANALYSE - ERP =&gt; SOUS-SEGMENT'!$AB$8:$AB$154)</f>
        <v>0</v>
      </c>
      <c r="AC11" s="272">
        <f>SUMPRODUCT(('ANALYSE - ERP =&gt; SOUS-SEGMENT'!$C$8:$C$154=$C11)*'ANALYSE - ERP =&gt; SOUS-SEGMENT'!$Q$8:$Q$154*'ANALYSE - ERP =&gt; SOUS-SEGMENT'!$AC$8:$AC$154)</f>
        <v>0</v>
      </c>
      <c r="AD11" s="272">
        <f>SUMPRODUCT(('ANALYSE - ERP =&gt; SOUS-SEGMENT'!$C$8:$C$154=$C11)*'ANALYSE - ERP =&gt; SOUS-SEGMENT'!$Q$8:$Q$154*'ANALYSE - ERP =&gt; SOUS-SEGMENT'!$AD$8:$AD$154)</f>
        <v>0</v>
      </c>
      <c r="AE11" s="272">
        <f>SUMPRODUCT(('ANALYSE - ERP =&gt; SOUS-SEGMENT'!$C$8:$C$154=$C11)*'ANALYSE - ERP =&gt; SOUS-SEGMENT'!$Q$8:$Q$154*'ANALYSE - ERP =&gt; SOUS-SEGMENT'!$AE$8:$AE$154)</f>
        <v>0</v>
      </c>
      <c r="AF11" s="272">
        <f>SUMPRODUCT(('ANALYSE - ERP =&gt; SOUS-SEGMENT'!$C$8:$C$154=$C11)*'ANALYSE - ERP =&gt; SOUS-SEGMENT'!$Q$8:$Q$154*'ANALYSE - ERP =&gt; SOUS-SEGMENT'!$AF$8:$AF$154)</f>
        <v>0</v>
      </c>
      <c r="AG11" s="272">
        <f>SUMPRODUCT(('ANALYSE - ERP =&gt; SOUS-SEGMENT'!$C$8:$C$154=$C11)*'ANALYSE - ERP =&gt; SOUS-SEGMENT'!$Q$8:$Q$154*'ANALYSE - ERP =&gt; SOUS-SEGMENT'!$AG$8:$AG$154)</f>
        <v>0</v>
      </c>
      <c r="AH11" s="272">
        <f>SUMPRODUCT(('ANALYSE - ERP =&gt; SOUS-SEGMENT'!$C$8:$C$154=$C11)*'ANALYSE - ERP =&gt; SOUS-SEGMENT'!$Q$8:$Q$154*'ANALYSE - ERP =&gt; SOUS-SEGMENT'!$AH$8:$AH$154)</f>
        <v>0</v>
      </c>
      <c r="AI11" s="272">
        <f>SUMPRODUCT(('ANALYSE - ERP =&gt; SOUS-SEGMENT'!$C$8:$C$154=$C11)*'ANALYSE - ERP =&gt; SOUS-SEGMENT'!$Q$8:$Q$154*'ANALYSE - ERP =&gt; SOUS-SEGMENT'!$AI$8:$AI$154)</f>
        <v>0</v>
      </c>
      <c r="AJ11" s="272">
        <f>SUMPRODUCT(('ANALYSE - ERP =&gt; SOUS-SEGMENT'!$C$8:$C$154=$C11)*'ANALYSE - ERP =&gt; SOUS-SEGMENT'!$Q$8:$Q$154*'ANALYSE - ERP =&gt; SOUS-SEGMENT'!$AJ$8:$AJ$154)</f>
        <v>0</v>
      </c>
      <c r="AK11" s="272">
        <f>SUMPRODUCT(('ANALYSE - ERP =&gt; SOUS-SEGMENT'!$C$8:$C$154=$C11)*'ANALYSE - ERP =&gt; SOUS-SEGMENT'!$Q$8:$Q$154*'ANALYSE - ERP =&gt; SOUS-SEGMENT'!$AK$8:$AK$154)</f>
        <v>0</v>
      </c>
      <c r="AL11" s="268" t="s">
        <v>6816</v>
      </c>
      <c r="AM11" s="268" t="s">
        <v>6817</v>
      </c>
      <c r="AN11" s="268" t="s">
        <v>2842</v>
      </c>
      <c r="AO11" s="657"/>
      <c r="AP11" s="271" t="str">
        <f>IFERROR(SUMPRODUCT(('ANALYSE - ERP =&gt; SOUS-SEGMENT'!$C$8:$C$154=$C11)*'ANALYSE - ERP =&gt; SOUS-SEGMENT'!$Q$8:$Q$154*'ANALYSE - ERP =&gt; SOUS-SEGMENT'!$AG$8:$AG$154*'ANALYSE - ERP =&gt; SOUS-SEGMENT'!$AP$8:$AP$154)/SUMPRODUCT(('ANALYSE - ERP =&gt; SOUS-SEGMENT'!$C$8:$C$154=$C11)*'ANALYSE - ERP =&gt; SOUS-SEGMENT'!$Q$8:$Q$154*'ANALYSE - ERP =&gt; SOUS-SEGMENT'!$AG$8:$AG$154),"")</f>
        <v/>
      </c>
      <c r="AQ11" s="280" t="str">
        <f>IFERROR(SUMPRODUCT(('ANALYSE - ERP =&gt; SOUS-SEGMENT'!$C$8:$C$154=$C11)*'ANALYSE - ERP =&gt; SOUS-SEGMENT'!$Q$8:$Q$154*'ANALYSE - ERP =&gt; SOUS-SEGMENT'!$AF$8:$AF$154*'ANALYSE - ERP =&gt; SOUS-SEGMENT'!$AQ$8:$AQ$154)/SUMPRODUCT(('ANALYSE - ERP =&gt; SOUS-SEGMENT'!$C$8:$C$154=$C11)*'ANALYSE - ERP =&gt; SOUS-SEGMENT'!$Q$8:$Q$154*'ANALYSE - ERP =&gt; SOUS-SEGMENT'!$AF$8:$AF$154),"")</f>
        <v/>
      </c>
      <c r="AR11" s="974" t="str">
        <f>IFERROR(SUMPRODUCT(('ANALYSE - ERP =&gt; SOUS-SEGMENT'!$C$8:$C$154=$C11)*'ANALYSE - ERP =&gt; SOUS-SEGMENT'!$Q$8:$Q$154*'ANALYSE - ERP =&gt; SOUS-SEGMENT'!$AF$8:$AF$154*'ANALYSE - ERP =&gt; SOUS-SEGMENT'!$AR$8:$AR$154)/SUMPRODUCT(('ANALYSE - ERP =&gt; SOUS-SEGMENT'!$C$8:$C$154=$C11)*'ANALYSE - ERP =&gt; SOUS-SEGMENT'!$Q$8:$Q$154*'ANALYSE - ERP =&gt; SOUS-SEGMENT'!$AF$8:$AF$154),"")</f>
        <v/>
      </c>
      <c r="AS11" s="974" t="str">
        <f>IFERROR(SUMPRODUCT(('ANALYSE - ERP =&gt; SOUS-SEGMENT'!$C$8:$C$154=$C11)*'ANALYSE - ERP =&gt; SOUS-SEGMENT'!$Q$8:$Q$154*'ANALYSE - ERP =&gt; SOUS-SEGMENT'!$AF$8:$AF$154*'ANALYSE - ERP =&gt; SOUS-SEGMENT'!$AS$8:$AS$154)/SUMPRODUCT(('ANALYSE - ERP =&gt; SOUS-SEGMENT'!$C$8:$C$154=$C11)*'ANALYSE - ERP =&gt; SOUS-SEGMENT'!$Q$8:$Q$154*'ANALYSE - ERP =&gt; SOUS-SEGMENT'!$AF$8:$AF$154),"")</f>
        <v/>
      </c>
      <c r="AT11" s="657" t="s">
        <v>6818</v>
      </c>
      <c r="AU11" s="290" t="s">
        <v>6819</v>
      </c>
      <c r="AV11" s="572" t="s">
        <v>2687</v>
      </c>
      <c r="AW11" s="290" t="s">
        <v>6770</v>
      </c>
      <c r="AX11" s="657"/>
      <c r="AY11" s="303" t="str">
        <f>IFERROR(SUMPRODUCT(('ANALYSE - ERP =&gt; SOUS-SEGMENT'!$C$8:$C$154=$C11)*'ANALYSE - ERP =&gt; SOUS-SEGMENT'!$Q$8:$Q$154*'ANALYSE - ERP =&gt; SOUS-SEGMENT'!$AF$8:$AF$154*'ANALYSE - ERP =&gt; SOUS-SEGMENT'!$AZ$8:$AZ$154)/SUMPRODUCT(('ANALYSE - ERP =&gt; SOUS-SEGMENT'!$C$8:$C$154=$C11)*'ANALYSE - ERP =&gt; SOUS-SEGMENT'!$Q$8:$Q$154*'ANALYSE - ERP =&gt; SOUS-SEGMENT'!$AF$8:$AF$154),"")</f>
        <v/>
      </c>
      <c r="AZ11" s="948" t="str">
        <f>IFERROR(SUMPRODUCT(('ANALYSE - ERP =&gt; SOUS-SEGMENT'!$C$8:$C$154=$C11)*'ANALYSE - ERP =&gt; SOUS-SEGMENT'!$Q$8:$Q$154*'ANALYSE - ERP =&gt; SOUS-SEGMENT'!$AF$8:$AF$154*'ANALYSE - ERP =&gt; SOUS-SEGMENT'!$BA$8:$BA$154)/SUMPRODUCT(('ANALYSE - ERP =&gt; SOUS-SEGMENT'!$C$8:$C$154=$C11)*'ANALYSE - ERP =&gt; SOUS-SEGMENT'!$Q$8:$Q$154*'ANALYSE - ERP =&gt; SOUS-SEGMENT'!$AF$8:$AF$154),"")</f>
        <v/>
      </c>
      <c r="BA11" s="303" t="str">
        <f>IFERROR(SUMPRODUCT(('ANALYSE - ERP =&gt; SOUS-SEGMENT'!$C$8:$C$154=$C11)*'ANALYSE - ERP =&gt; SOUS-SEGMENT'!$Q$8:$Q$154*'ANALYSE - ERP =&gt; SOUS-SEGMENT'!$AF$8:$AF$154*'ANALYSE - ERP =&gt; SOUS-SEGMENT'!$BB$8:$BB$154)/SUMPRODUCT(('ANALYSE - ERP =&gt; SOUS-SEGMENT'!$C$8:$C$154=$C11)*'ANALYSE - ERP =&gt; SOUS-SEGMENT'!$Q$8:$Q$154*'ANALYSE - ERP =&gt; SOUS-SEGMENT'!$AF$8:$AF$154),"")</f>
        <v/>
      </c>
      <c r="BB11" s="303" t="str">
        <f>IFERROR(SUMPRODUCT(('ANALYSE - ERP =&gt; SOUS-SEGMENT'!$C$8:$C$154=$C11)*'ANALYSE - ERP =&gt; SOUS-SEGMENT'!$Q$8:$Q$154*'ANALYSE - ERP =&gt; SOUS-SEGMENT'!$AF$8:$AF$154*'ANALYSE - ERP =&gt; SOUS-SEGMENT'!$BC$8:$BC$154)/SUMPRODUCT(('ANALYSE - ERP =&gt; SOUS-SEGMENT'!$C$8:$C$154=$C11)*'ANALYSE - ERP =&gt; SOUS-SEGMENT'!$Q$8:$Q$154*'ANALYSE - ERP =&gt; SOUS-SEGMENT'!$AF$8:$AF$154),"")</f>
        <v/>
      </c>
      <c r="BC11" s="304">
        <f>SUMPRODUCT(('ANALYSE - ERP =&gt; SOUS-SEGMENT'!$C$8:$C$154=$C11)*'ANALYSE - ERP =&gt; SOUS-SEGMENT'!$Q$8:$Q$154*'ANALYSE - ERP =&gt; SOUS-SEGMENT'!$BE$8:$BE$154)</f>
        <v>0</v>
      </c>
      <c r="BD11" s="304">
        <f>SUMPRODUCT(('ANALYSE - ERP =&gt; SOUS-SEGMENT'!$C$8:$C$154=$C11)*'ANALYSE - ERP =&gt; SOUS-SEGMENT'!$Q$8:$Q$154*'ANALYSE - ERP =&gt; SOUS-SEGMENT'!$BF$8:$BF$154)</f>
        <v>0</v>
      </c>
      <c r="BE11" s="304">
        <f>SUMPRODUCT(('ANALYSE - ERP =&gt; SOUS-SEGMENT'!$C$8:$C$154=$C11)*'ANALYSE - ERP =&gt; SOUS-SEGMENT'!$Q$8:$Q$154*'ANALYSE - ERP =&gt; SOUS-SEGMENT'!$BG$8:$BG$154)</f>
        <v>0</v>
      </c>
      <c r="BF11" s="304">
        <f>SUMPRODUCT(('ANALYSE - ERP =&gt; SOUS-SEGMENT'!$C$8:$C$154=$C11)*'ANALYSE - ERP =&gt; SOUS-SEGMENT'!$Q$8:$Q$154*'ANALYSE - ERP =&gt; SOUS-SEGMENT'!$BH$8:$BH$154)</f>
        <v>0</v>
      </c>
      <c r="BG11" s="304">
        <f>SUMPRODUCT(('ANALYSE - ERP =&gt; SOUS-SEGMENT'!$C$8:$C$154=$C11)*'ANALYSE - ERP =&gt; SOUS-SEGMENT'!$Q$8:$Q$154*'ANALYSE - ERP =&gt; SOUS-SEGMENT'!$BJ$8:$BJ$154)</f>
        <v>0</v>
      </c>
      <c r="BH11" s="304">
        <f>SUMPRODUCT(('ANALYSE - ERP =&gt; SOUS-SEGMENT'!$C$8:$C$154=$C11)*'ANALYSE - ERP =&gt; SOUS-SEGMENT'!$Q$8:$Q$154*'ANALYSE - ERP =&gt; SOUS-SEGMENT'!$BK$8:$BK$154)</f>
        <v>0</v>
      </c>
      <c r="BI11" s="304">
        <f>SUMPRODUCT(('ANALYSE - ERP =&gt; SOUS-SEGMENT'!$C$8:$C$154=$C11)*'ANALYSE - ERP =&gt; SOUS-SEGMENT'!$Q$8:$Q$154*'ANALYSE - ERP =&gt; SOUS-SEGMENT'!$BL$8:$BL$154)</f>
        <v>0</v>
      </c>
      <c r="BJ11" s="304">
        <f>SUMPRODUCT(('ANALYSE - ERP =&gt; SOUS-SEGMENT'!$C$8:$C$154=$C11)*'ANALYSE - ERP =&gt; SOUS-SEGMENT'!$Q$8:$Q$154*'ANALYSE - ERP =&gt; SOUS-SEGMENT'!$BM$8:$BM$154)</f>
        <v>0</v>
      </c>
      <c r="BK11" s="657"/>
      <c r="BL11" s="580" t="str">
        <f>IFERROR(SUMPRODUCT(('ANALYSE - ERP =&gt; SOUS-SEGMENT'!$C$8:$C$154=$C11)*'ANALYSE - ERP =&gt; SOUS-SEGMENT'!$Q$8:$Q$154*'ANALYSE - ERP =&gt; SOUS-SEGMENT'!$BE$8:$BE$154*'ANALYSE - ERP =&gt; SOUS-SEGMENT'!$BO$8:$BO$154)/SUMPRODUCT(('ANALYSE - ERP =&gt; SOUS-SEGMENT'!$C$8:$C$154=$C11)*'ANALYSE - ERP =&gt; SOUS-SEGMENT'!$Q$8:$Q$154*'ANALYSE - ERP =&gt; SOUS-SEGMENT'!$BE$8:$BE$154),"")</f>
        <v/>
      </c>
      <c r="BM11" s="305" t="str">
        <f>IFERROR(SUMPRODUCT(('ANALYSE - ERP =&gt; SOUS-SEGMENT'!$C$8:$C$154=$C11)*'ANALYSE - ERP =&gt; SOUS-SEGMENT'!$Q$8:$Q$154*'ANALYSE - ERP =&gt; SOUS-SEGMENT'!$BE$8:$BE$154*'ANALYSE - ERP =&gt; SOUS-SEGMENT'!$BP$8:$BP$154)/SUMPRODUCT(('ANALYSE - ERP =&gt; SOUS-SEGMENT'!$C$8:$C$154=$C11)*'ANALYSE - ERP =&gt; SOUS-SEGMENT'!$Q$8:$Q$154*'ANALYSE - ERP =&gt; SOUS-SEGMENT'!$BE$8:$BE$154),"")</f>
        <v/>
      </c>
      <c r="BN11" s="305" t="str">
        <f>IFERROR(SUMPRODUCT(('ANALYSE - ERP =&gt; SOUS-SEGMENT'!$C$8:$C$154=$C11)*'ANALYSE - ERP =&gt; SOUS-SEGMENT'!$Q$8:$Q$154*'ANALYSE - ERP =&gt; SOUS-SEGMENT'!$BE$8:$BE$154*'ANALYSE - ERP =&gt; SOUS-SEGMENT'!$BQ$8:$BQ$154)/SUMPRODUCT(('ANALYSE - ERP =&gt; SOUS-SEGMENT'!$C$8:$C$154=$C11)*'ANALYSE - ERP =&gt; SOUS-SEGMENT'!$Q$8:$Q$154*'ANALYSE - ERP =&gt; SOUS-SEGMENT'!$BE$8:$BE$154),"")</f>
        <v/>
      </c>
      <c r="BO11" s="581" t="str">
        <f>IFERROR(SUMPRODUCT(('ANALYSE - ERP =&gt; SOUS-SEGMENT'!$C$8:$C$154=$C11)*'ANALYSE - ERP =&gt; SOUS-SEGMENT'!$Q$8:$Q$154*'ANALYSE - ERP =&gt; SOUS-SEGMENT'!$BE$8:$BE$154*'ANALYSE - ERP =&gt; SOUS-SEGMENT'!$BR$8:$BR$154)/SUMPRODUCT(('ANALYSE - ERP =&gt; SOUS-SEGMENT'!$C$8:$C$154=$C11)*'ANALYSE - ERP =&gt; SOUS-SEGMENT'!$Q$8:$Q$154*'ANALYSE - ERP =&gt; SOUS-SEGMENT'!$BE$8:$BE$154),"")</f>
        <v/>
      </c>
      <c r="BP11" s="580" t="str">
        <f>IFERROR(SUMPRODUCT(('ANALYSE - ERP =&gt; SOUS-SEGMENT'!$C$8:$C$154=$C11)*'ANALYSE - ERP =&gt; SOUS-SEGMENT'!$Q$8:$Q$154*'ANALYSE - ERP =&gt; SOUS-SEGMENT'!$BJ$8:$BJ$154*'ANALYSE - ERP =&gt; SOUS-SEGMENT'!$BS$8:$BS$154)/SUMPRODUCT(('ANALYSE - ERP =&gt; SOUS-SEGMENT'!$C$8:$C$154=$C11)*'ANALYSE - ERP =&gt; SOUS-SEGMENT'!$Q$8:$Q$154*'ANALYSE - ERP =&gt; SOUS-SEGMENT'!$BJ$8:$BJ$154),"")</f>
        <v/>
      </c>
      <c r="BQ11" s="305" t="str">
        <f>IFERROR(SUMPRODUCT(('ANALYSE - ERP =&gt; SOUS-SEGMENT'!$C$8:$C$154=$C11)*'ANALYSE - ERP =&gt; SOUS-SEGMENT'!$Q$8:$Q$154*'ANALYSE - ERP =&gt; SOUS-SEGMENT'!$BJ$8:$BJ$154*'ANALYSE - ERP =&gt; SOUS-SEGMENT'!$BT$8:$BT$154)/SUMPRODUCT(('ANALYSE - ERP =&gt; SOUS-SEGMENT'!$C$8:$C$154=$C11)*'ANALYSE - ERP =&gt; SOUS-SEGMENT'!$Q$8:$Q$154*'ANALYSE - ERP =&gt; SOUS-SEGMENT'!$BJ$8:$BJ$154),"")</f>
        <v/>
      </c>
      <c r="BR11" s="305" t="str">
        <f>IFERROR(SUMPRODUCT(('ANALYSE - ERP =&gt; SOUS-SEGMENT'!$C$8:$C$154=$C11)*'ANALYSE - ERP =&gt; SOUS-SEGMENT'!$Q$8:$Q$154*'ANALYSE - ERP =&gt; SOUS-SEGMENT'!$BJ$8:$BJ$154*'ANALYSE - ERP =&gt; SOUS-SEGMENT'!$BU$8:$BU$154)/SUMPRODUCT(('ANALYSE - ERP =&gt; SOUS-SEGMENT'!$C$8:$C$154=$C11)*'ANALYSE - ERP =&gt; SOUS-SEGMENT'!$Q$8:$Q$154*'ANALYSE - ERP =&gt; SOUS-SEGMENT'!$BJ$8:$BJ$154),"")</f>
        <v/>
      </c>
      <c r="BS11" s="581" t="str">
        <f>IFERROR(SUMPRODUCT(('ANALYSE - ERP =&gt; SOUS-SEGMENT'!$C$8:$C$154=$C11)*'ANALYSE - ERP =&gt; SOUS-SEGMENT'!$Q$8:$Q$154*'ANALYSE - ERP =&gt; SOUS-SEGMENT'!$BJ$8:$BJ$154*'ANALYSE - ERP =&gt; SOUS-SEGMENT'!$BV$8:$BV$154)/SUMPRODUCT(('ANALYSE - ERP =&gt; SOUS-SEGMENT'!$C$8:$C$154=$C11)*'ANALYSE - ERP =&gt; SOUS-SEGMENT'!$Q$8:$Q$154*'ANALYSE - ERP =&gt; SOUS-SEGMENT'!$BJ$8:$BJ$154),"")</f>
        <v/>
      </c>
      <c r="BT11" s="589" t="str">
        <f>IFERROR(SUMPRODUCT(('ANALYSE - ERP =&gt; SOUS-SEGMENT'!$C$8:$C$154=$C11)*'ANALYSE - ERP =&gt; SOUS-SEGMENT'!$Q$8:$Q$154*'ANALYSE - ERP =&gt; SOUS-SEGMENT'!$BF$8:$BF$154*'ANALYSE - ERP =&gt; SOUS-SEGMENT'!$BW$8:$BW$154)/SUMPRODUCT(('ANALYSE - ERP =&gt; SOUS-SEGMENT'!$C$8:$C$154=$C11)*'ANALYSE - ERP =&gt; SOUS-SEGMENT'!$Q$8:$Q$154*'ANALYSE - ERP =&gt; SOUS-SEGMENT'!$BF$8:$BF$154),"")</f>
        <v/>
      </c>
      <c r="BU11" s="306" t="str">
        <f>IFERROR(SUMPRODUCT(('ANALYSE - ERP =&gt; SOUS-SEGMENT'!$C$8:$C$154=$C11)*'ANALYSE - ERP =&gt; SOUS-SEGMENT'!$Q$8:$Q$154*'ANALYSE - ERP =&gt; SOUS-SEGMENT'!$BF$8:$BF$154*'ANALYSE - ERP =&gt; SOUS-SEGMENT'!$BX$8:$BX$154)/SUMPRODUCT(('ANALYSE - ERP =&gt; SOUS-SEGMENT'!$C$8:$C$154=$C11)*'ANALYSE - ERP =&gt; SOUS-SEGMENT'!$Q$8:$Q$154*'ANALYSE - ERP =&gt; SOUS-SEGMENT'!$BF$8:$BF$154),"")</f>
        <v/>
      </c>
      <c r="BV11" s="590" t="str">
        <f>IFERROR(SUMPRODUCT(('ANALYSE - ERP =&gt; SOUS-SEGMENT'!$C$8:$C$154=$C11)*'ANALYSE - ERP =&gt; SOUS-SEGMENT'!$Q$8:$Q$154*'ANALYSE - ERP =&gt; SOUS-SEGMENT'!$BF$8:$BF$154*'ANALYSE - ERP =&gt; SOUS-SEGMENT'!$BY$8:$BY$154)/SUMPRODUCT(('ANALYSE - ERP =&gt; SOUS-SEGMENT'!$C$8:$C$154=$C11)*'ANALYSE - ERP =&gt; SOUS-SEGMENT'!$Q$8:$Q$154*'ANALYSE - ERP =&gt; SOUS-SEGMENT'!$BF$8:$BF$154),"")</f>
        <v/>
      </c>
      <c r="BW11" s="589" t="str">
        <f>IFERROR(SUMPRODUCT(('ANALYSE - ERP =&gt; SOUS-SEGMENT'!$C$8:$C$154=$C11)*'ANALYSE - ERP =&gt; SOUS-SEGMENT'!$Q$8:$Q$154*'ANALYSE - ERP =&gt; SOUS-SEGMENT'!$BK$8:$BK$154*'ANALYSE - ERP =&gt; SOUS-SEGMENT'!$BZ$8:$BZ$154)/SUMPRODUCT(('ANALYSE - ERP =&gt; SOUS-SEGMENT'!$C$8:$C$154=$C11)*'ANALYSE - ERP =&gt; SOUS-SEGMENT'!$Q$8:$Q$154*'ANALYSE - ERP =&gt; SOUS-SEGMENT'!$BK$8:$BK$154),"")</f>
        <v/>
      </c>
      <c r="BX11" s="306" t="str">
        <f>IFERROR(SUMPRODUCT(('ANALYSE - ERP =&gt; SOUS-SEGMENT'!$C$8:$C$154=$C11)*'ANALYSE - ERP =&gt; SOUS-SEGMENT'!$Q$8:$Q$154*'ANALYSE - ERP =&gt; SOUS-SEGMENT'!$BK$8:$BK$154*'ANALYSE - ERP =&gt; SOUS-SEGMENT'!$CA$8:$CA$154)/SUMPRODUCT(('ANALYSE - ERP =&gt; SOUS-SEGMENT'!$C$8:$C$154=$C11)*'ANALYSE - ERP =&gt; SOUS-SEGMENT'!$Q$8:$Q$154*'ANALYSE - ERP =&gt; SOUS-SEGMENT'!$BK$8:$BK$154),"")</f>
        <v/>
      </c>
      <c r="BY11" s="590" t="str">
        <f>IFERROR(SUMPRODUCT(('ANALYSE - ERP =&gt; SOUS-SEGMENT'!$C$8:$C$154=$C11)*'ANALYSE - ERP =&gt; SOUS-SEGMENT'!$Q$8:$Q$154*'ANALYSE - ERP =&gt; SOUS-SEGMENT'!$BK$8:$BK$154*'ANALYSE - ERP =&gt; SOUS-SEGMENT'!$CB$8:$CB$154)/SUMPRODUCT(('ANALYSE - ERP =&gt; SOUS-SEGMENT'!$C$8:$C$154=$C11)*'ANALYSE - ERP =&gt; SOUS-SEGMENT'!$Q$8:$Q$154*'ANALYSE - ERP =&gt; SOUS-SEGMENT'!$BK$8:$BK$154),"")</f>
        <v/>
      </c>
      <c r="BZ11" s="580" t="str">
        <f>IFERROR(SUMPRODUCT(('ANALYSE - ERP =&gt; SOUS-SEGMENT'!$C$8:$C$154=$C11)*'ANALYSE - ERP =&gt; SOUS-SEGMENT'!$Q$8:$Q$154*'ANALYSE - ERP =&gt; SOUS-SEGMENT'!$BG$8:$BG$154*'ANALYSE - ERP =&gt; SOUS-SEGMENT'!$CC$8:$CC$154)/SUMPRODUCT(('ANALYSE - ERP =&gt; SOUS-SEGMENT'!$C$8:$C$154=$C11)*'ANALYSE - ERP =&gt; SOUS-SEGMENT'!$Q$8:$Q$154*'ANALYSE - ERP =&gt; SOUS-SEGMENT'!$BG$8:$BG$154),"")</f>
        <v/>
      </c>
      <c r="CA11" s="305" t="str">
        <f>IFERROR(SUMPRODUCT(('ANALYSE - ERP =&gt; SOUS-SEGMENT'!$C$8:$C$154=$C11)*'ANALYSE - ERP =&gt; SOUS-SEGMENT'!$Q$8:$Q$154*'ANALYSE - ERP =&gt; SOUS-SEGMENT'!$BG$8:$BG$154*'ANALYSE - ERP =&gt; SOUS-SEGMENT'!$CD$8:$CD$154)/SUMPRODUCT(('ANALYSE - ERP =&gt; SOUS-SEGMENT'!$C$8:$C$154=$C11)*'ANALYSE - ERP =&gt; SOUS-SEGMENT'!$Q$8:$Q$154*'ANALYSE - ERP =&gt; SOUS-SEGMENT'!$BG$8:$BG$154),"")</f>
        <v/>
      </c>
      <c r="CB11" s="305" t="str">
        <f>IFERROR(SUMPRODUCT(('ANALYSE - ERP =&gt; SOUS-SEGMENT'!$C$8:$C$154=$C11)*'ANALYSE - ERP =&gt; SOUS-SEGMENT'!$Q$8:$Q$154*'ANALYSE - ERP =&gt; SOUS-SEGMENT'!$BG$8:$BG$154*'ANALYSE - ERP =&gt; SOUS-SEGMENT'!$CE$8:$CE$154)/SUMPRODUCT(('ANALYSE - ERP =&gt; SOUS-SEGMENT'!$C$8:$C$154=$C11)*'ANALYSE - ERP =&gt; SOUS-SEGMENT'!$Q$8:$Q$154*'ANALYSE - ERP =&gt; SOUS-SEGMENT'!$BG$8:$BG$154),"")</f>
        <v/>
      </c>
      <c r="CC11" s="581" t="str">
        <f>IFERROR(SUMPRODUCT(('ANALYSE - ERP =&gt; SOUS-SEGMENT'!$C$8:$C$154=$C11)*'ANALYSE - ERP =&gt; SOUS-SEGMENT'!$Q$8:$Q$154*'ANALYSE - ERP =&gt; SOUS-SEGMENT'!$BG$8:$BG$154*'ANALYSE - ERP =&gt; SOUS-SEGMENT'!$CF$8:$CF$154)/SUMPRODUCT(('ANALYSE - ERP =&gt; SOUS-SEGMENT'!$C$8:$C$154=$C11)*'ANALYSE - ERP =&gt; SOUS-SEGMENT'!$Q$8:$Q$154*'ANALYSE - ERP =&gt; SOUS-SEGMENT'!$BG$8:$BG$154),"")</f>
        <v/>
      </c>
      <c r="CD11" s="580" t="str">
        <f>IFERROR(SUMPRODUCT(('ANALYSE - ERP =&gt; SOUS-SEGMENT'!$C$8:$C$154=$C11)*'ANALYSE - ERP =&gt; SOUS-SEGMENT'!$Q$8:$Q$154*'ANALYSE - ERP =&gt; SOUS-SEGMENT'!$BL$8:$BL$154*'ANALYSE - ERP =&gt; SOUS-SEGMENT'!$CG$8:$CG$154)/SUMPRODUCT(('ANALYSE - ERP =&gt; SOUS-SEGMENT'!$C$8:$C$154=$C11)*'ANALYSE - ERP =&gt; SOUS-SEGMENT'!$Q$8:$Q$154*'ANALYSE - ERP =&gt; SOUS-SEGMENT'!$BL$8:$BL$154),"")</f>
        <v/>
      </c>
      <c r="CE11" s="305" t="str">
        <f>IFERROR(SUMPRODUCT(('ANALYSE - ERP =&gt; SOUS-SEGMENT'!$C$8:$C$154=$C11)*'ANALYSE - ERP =&gt; SOUS-SEGMENT'!$Q$8:$Q$154*'ANALYSE - ERP =&gt; SOUS-SEGMENT'!$BL$8:$BL$154*'ANALYSE - ERP =&gt; SOUS-SEGMENT'!$CH$8:$CH$154)/SUMPRODUCT(('ANALYSE - ERP =&gt; SOUS-SEGMENT'!$C$8:$C$154=$C11)*'ANALYSE - ERP =&gt; SOUS-SEGMENT'!$Q$8:$Q$154*'ANALYSE - ERP =&gt; SOUS-SEGMENT'!$BL$8:$BL$154),"")</f>
        <v/>
      </c>
      <c r="CF11" s="305" t="str">
        <f>IFERROR(SUMPRODUCT(('ANALYSE - ERP =&gt; SOUS-SEGMENT'!$C$8:$C$154=$C11)*'ANALYSE - ERP =&gt; SOUS-SEGMENT'!$Q$8:$Q$154*'ANALYSE - ERP =&gt; SOUS-SEGMENT'!$BL$8:$BL$154*'ANALYSE - ERP =&gt; SOUS-SEGMENT'!$CI$8:$CI$154)/SUMPRODUCT(('ANALYSE - ERP =&gt; SOUS-SEGMENT'!$C$8:$C$154=$C11)*'ANALYSE - ERP =&gt; SOUS-SEGMENT'!$Q$8:$Q$154*'ANALYSE - ERP =&gt; SOUS-SEGMENT'!$BL$8:$BL$154),"")</f>
        <v/>
      </c>
      <c r="CG11" s="581" t="str">
        <f>IFERROR(SUMPRODUCT(('ANALYSE - ERP =&gt; SOUS-SEGMENT'!$C$8:$C$154=$C11)*'ANALYSE - ERP =&gt; SOUS-SEGMENT'!$Q$8:$Q$154*'ANALYSE - ERP =&gt; SOUS-SEGMENT'!$BL$8:$BL$154*'ANALYSE - ERP =&gt; SOUS-SEGMENT'!$CJ$8:$CJ$154)/SUMPRODUCT(('ANALYSE - ERP =&gt; SOUS-SEGMENT'!$C$8:$C$154=$C11)*'ANALYSE - ERP =&gt; SOUS-SEGMENT'!$Q$8:$Q$154*'ANALYSE - ERP =&gt; SOUS-SEGMENT'!$BL$8:$BL$154),"")</f>
        <v/>
      </c>
      <c r="CH11" s="589" t="str">
        <f>IFERROR(SUMPRODUCT(('ANALYSE - ERP =&gt; SOUS-SEGMENT'!$C$8:$C$154=$C11)*'ANALYSE - ERP =&gt; SOUS-SEGMENT'!$Q$8:$Q$154*'ANALYSE - ERP =&gt; SOUS-SEGMENT'!$BH$8:$BH$154*'ANALYSE - ERP =&gt; SOUS-SEGMENT'!$CK$8:$CK$154)/SUMPRODUCT(('ANALYSE - ERP =&gt; SOUS-SEGMENT'!$C$8:$C$154=$C11)*'ANALYSE - ERP =&gt; SOUS-SEGMENT'!$Q$8:$Q$154*'ANALYSE - ERP =&gt; SOUS-SEGMENT'!$BH$8:$BH$154),"")</f>
        <v/>
      </c>
      <c r="CI11" s="306" t="str">
        <f>IFERROR(SUMPRODUCT(('ANALYSE - ERP =&gt; SOUS-SEGMENT'!$C$8:$C$154=$C11)*'ANALYSE - ERP =&gt; SOUS-SEGMENT'!$Q$8:$Q$154*'ANALYSE - ERP =&gt; SOUS-SEGMENT'!$BH$8:$BH$154*'ANALYSE - ERP =&gt; SOUS-SEGMENT'!$CL$8:$CL$154)/SUMPRODUCT(('ANALYSE - ERP =&gt; SOUS-SEGMENT'!$C$8:$C$154=$C11)*'ANALYSE - ERP =&gt; SOUS-SEGMENT'!$Q$8:$Q$154*'ANALYSE - ERP =&gt; SOUS-SEGMENT'!$BH$8:$BH$154),"")</f>
        <v/>
      </c>
      <c r="CJ11" s="590" t="str">
        <f>IFERROR(SUMPRODUCT(('ANALYSE - ERP =&gt; SOUS-SEGMENT'!$C$8:$C$154=$C11)*'ANALYSE - ERP =&gt; SOUS-SEGMENT'!$Q$8:$Q$154*'ANALYSE - ERP =&gt; SOUS-SEGMENT'!$BH$8:$BH$154*'ANALYSE - ERP =&gt; SOUS-SEGMENT'!$CM$8:$CM$154)/SUMPRODUCT(('ANALYSE - ERP =&gt; SOUS-SEGMENT'!$C$8:$C$154=$C11)*'ANALYSE - ERP =&gt; SOUS-SEGMENT'!$Q$8:$Q$154*'ANALYSE - ERP =&gt; SOUS-SEGMENT'!$BH$8:$BH$154),"")</f>
        <v/>
      </c>
      <c r="CK11" s="589" t="str">
        <f>IFERROR(SUMPRODUCT(('ANALYSE - ERP =&gt; SOUS-SEGMENT'!$C$8:$C$154=$C11)*'ANALYSE - ERP =&gt; SOUS-SEGMENT'!$Q$8:$Q$154*'ANALYSE - ERP =&gt; SOUS-SEGMENT'!$BM$8:$BM$154*'ANALYSE - ERP =&gt; SOUS-SEGMENT'!$CN$8:$CN$154)/SUMPRODUCT(('ANALYSE - ERP =&gt; SOUS-SEGMENT'!$C$8:$C$154=$C11)*'ANALYSE - ERP =&gt; SOUS-SEGMENT'!$Q$8:$Q$154*'ANALYSE - ERP =&gt; SOUS-SEGMENT'!$BM$8:$BM$154),"")</f>
        <v/>
      </c>
      <c r="CL11" s="306" t="str">
        <f>IFERROR(SUMPRODUCT(('ANALYSE - ERP =&gt; SOUS-SEGMENT'!$C$8:$C$154=$C11)*'ANALYSE - ERP =&gt; SOUS-SEGMENT'!$Q$8:$Q$154*'ANALYSE - ERP =&gt; SOUS-SEGMENT'!$BM$8:$BM$154*'ANALYSE - ERP =&gt; SOUS-SEGMENT'!$CO$8:$CO$154)/SUMPRODUCT(('ANALYSE - ERP =&gt; SOUS-SEGMENT'!$C$8:$C$154=$C11)*'ANALYSE - ERP =&gt; SOUS-SEGMENT'!$Q$8:$Q$154*'ANALYSE - ERP =&gt; SOUS-SEGMENT'!$BM$8:$BM$154),"")</f>
        <v/>
      </c>
      <c r="CM11" s="590" t="str">
        <f>IFERROR(SUMPRODUCT(('ANALYSE - ERP =&gt; SOUS-SEGMENT'!$C$8:$C$154=$C11)*'ANALYSE - ERP =&gt; SOUS-SEGMENT'!$Q$8:$Q$154*'ANALYSE - ERP =&gt; SOUS-SEGMENT'!$BM$8:$BM$154*'ANALYSE - ERP =&gt; SOUS-SEGMENT'!$CP$8:$CP$154)/SUMPRODUCT(('ANALYSE - ERP =&gt; SOUS-SEGMENT'!$C$8:$C$154=$C11)*'ANALYSE - ERP =&gt; SOUS-SEGMENT'!$Q$8:$Q$154*'ANALYSE - ERP =&gt; SOUS-SEGMENT'!$BM$8:$BM$154),"")</f>
        <v/>
      </c>
      <c r="CN11" s="657"/>
      <c r="CO11" s="882" t="str">
        <f>IFERROR(SUMPRODUCT(('ANALYSE - ERP =&gt; SOUS-SEGMENT'!$C$8:$C$154=$C11)*'ANALYSE - ERP =&gt; SOUS-SEGMENT'!$DH$8:$DH$154*('ANALYSE - ERP =&gt; SOUS-SEGMENT'!$CR$8:$CR$154&gt;0)*'ANALYSE - ERP =&gt; SOUS-SEGMENT'!$CR$8:$CR$154)/SUMPRODUCT(('ANALYSE - ERP =&gt; SOUS-SEGMENT'!$C$8:$C$154=$C11)*'ANALYSE - ERP =&gt; SOUS-SEGMENT'!$DH$8:$DH$154*('ANALYSE - ERP =&gt; SOUS-SEGMENT'!$CR$8:$CR$154&gt;0)),"")</f>
        <v/>
      </c>
      <c r="CP11" s="883" t="str">
        <f>IFERROR(SUMPRODUCT(('ANALYSE - ERP =&gt; SOUS-SEGMENT'!$C$8:$C$154=$C11)*'ANALYSE - ERP =&gt; SOUS-SEGMENT'!$DI$8:$DI$154*('ANALYSE - ERP =&gt; SOUS-SEGMENT'!$CS$8:$CS$154&gt;0)*'ANALYSE - ERP =&gt; SOUS-SEGMENT'!$CS$8:$CS$154)/SUMPRODUCT(('ANALYSE - ERP =&gt; SOUS-SEGMENT'!$C$8:$C$154=$C11)*'ANALYSE - ERP =&gt; SOUS-SEGMENT'!$DI$8:$DI$154*('ANALYSE - ERP =&gt; SOUS-SEGMENT'!$CS$8:$CS$154&gt;0)),"")</f>
        <v/>
      </c>
      <c r="CQ11" s="883" t="str">
        <f>IFERROR(SUMPRODUCT(('ANALYSE - ERP =&gt; SOUS-SEGMENT'!$C$8:$C$154=$C11)*'ANALYSE - ERP =&gt; SOUS-SEGMENT'!$DJ$8:$DJ$154*('ANALYSE - ERP =&gt; SOUS-SEGMENT'!$CT$8:$CT$154&gt;0)*'ANALYSE - ERP =&gt; SOUS-SEGMENT'!$CT$8:$CT$154)/SUMPRODUCT(('ANALYSE - ERP =&gt; SOUS-SEGMENT'!$C$8:$C$154=$C11)*'ANALYSE - ERP =&gt; SOUS-SEGMENT'!$DJ$8:$DJ$154*('ANALYSE - ERP =&gt; SOUS-SEGMENT'!$CT$8:$CT$154&gt;0)),"")</f>
        <v/>
      </c>
      <c r="CR11" s="884" t="str">
        <f>IFERROR(SUMPRODUCT(('ANALYSE - ERP =&gt; SOUS-SEGMENT'!$C$8:$C$154=$C11)*'ANALYSE - ERP =&gt; SOUS-SEGMENT'!$DK$8:$DK$154*('ANALYSE - ERP =&gt; SOUS-SEGMENT'!$CU$8:$CU$154&gt;0)*'ANALYSE - ERP =&gt; SOUS-SEGMENT'!$CU$8:$CU$154)/SUMPRODUCT(('ANALYSE - ERP =&gt; SOUS-SEGMENT'!$C$8:$C$154=$C11)*'ANALYSE - ERP =&gt; SOUS-SEGMENT'!$DK$8:$DK$154*('ANALYSE - ERP =&gt; SOUS-SEGMENT'!$CU$8:$CU$154&gt;0)),"")</f>
        <v/>
      </c>
      <c r="CS11" s="882" t="str">
        <f>IFERROR(SUMPRODUCT(('ANALYSE - ERP =&gt; SOUS-SEGMENT'!$C$8:$C$154=$C11)*'ANALYSE - ERP =&gt; SOUS-SEGMENT'!$DS$8:$DS$154*('ANALYSE - ERP =&gt; SOUS-SEGMENT'!$CV$8:$CV$154&gt;0)*'ANALYSE - ERP =&gt; SOUS-SEGMENT'!$CV$8:$CV$154)/SUMPRODUCT(('ANALYSE - ERP =&gt; SOUS-SEGMENT'!$C$8:$C$154=$C11)*'ANALYSE - ERP =&gt; SOUS-SEGMENT'!$DS$8:$DS$154*('ANALYSE - ERP =&gt; SOUS-SEGMENT'!$CV$8:$CV$154&gt;0)),"")</f>
        <v/>
      </c>
      <c r="CT11" s="883" t="str">
        <f>IFERROR(SUMPRODUCT(('ANALYSE - ERP =&gt; SOUS-SEGMENT'!$C$8:$C$154=$C11)*'ANALYSE - ERP =&gt; SOUS-SEGMENT'!$DT$8:$DT$154*('ANALYSE - ERP =&gt; SOUS-SEGMENT'!$CW$8:$CW$154&gt;0)*'ANALYSE - ERP =&gt; SOUS-SEGMENT'!$CW$8:$CW$154)/SUMPRODUCT(('ANALYSE - ERP =&gt; SOUS-SEGMENT'!$C$8:$C$154=$C11)*'ANALYSE - ERP =&gt; SOUS-SEGMENT'!$DT$8:$DT$154*('ANALYSE - ERP =&gt; SOUS-SEGMENT'!$CW$8:$CW$154&gt;0)),"")</f>
        <v/>
      </c>
      <c r="CU11" s="884" t="str">
        <f>IFERROR(SUMPRODUCT(('ANALYSE - ERP =&gt; SOUS-SEGMENT'!$C$8:$C$154=$C11)*'ANALYSE - ERP =&gt; SOUS-SEGMENT'!$DU$8:$DU$154*('ANALYSE - ERP =&gt; SOUS-SEGMENT'!$CX$8:$CX$154&gt;0)*'ANALYSE - ERP =&gt; SOUS-SEGMENT'!$CX$8:$CX$154)/SUMPRODUCT(('ANALYSE - ERP =&gt; SOUS-SEGMENT'!$C$8:$C$154=$C11)*'ANALYSE - ERP =&gt; SOUS-SEGMENT'!$DU$8:$DU$154*('ANALYSE - ERP =&gt; SOUS-SEGMENT'!$CX$8:$CX$154&gt;0)),"")</f>
        <v/>
      </c>
      <c r="CV11" s="882" t="str">
        <f>IFERROR(SUMPRODUCT(('ANALYSE - ERP =&gt; SOUS-SEGMENT'!$C$8:$C$154=$C11)*'ANALYSE - ERP =&gt; SOUS-SEGMENT'!$EB$8:$EB$154*('ANALYSE - ERP =&gt; SOUS-SEGMENT'!$CY$8:$CY$154&gt;0)*'ANALYSE - ERP =&gt; SOUS-SEGMENT'!$CY$8:$CY$154)/SUMPRODUCT(('ANALYSE - ERP =&gt; SOUS-SEGMENT'!$C$8:$C$154=$C11)*'ANALYSE - ERP =&gt; SOUS-SEGMENT'!$EB$8:$EB$154*('ANALYSE - ERP =&gt; SOUS-SEGMENT'!$CY$8:$CY$154&gt;0)),"")</f>
        <v/>
      </c>
      <c r="CW11" s="883" t="str">
        <f>IFERROR(SUMPRODUCT(('ANALYSE - ERP =&gt; SOUS-SEGMENT'!$C$8:$C$154=$C11)*'ANALYSE - ERP =&gt; SOUS-SEGMENT'!$EC$8:$EC$154*('ANALYSE - ERP =&gt; SOUS-SEGMENT'!$CZ$8:$CZ$154&gt;0)*'ANALYSE - ERP =&gt; SOUS-SEGMENT'!$CZ$8:$CZ$154)/SUMPRODUCT(('ANALYSE - ERP =&gt; SOUS-SEGMENT'!$C$8:$C$154=$C11)*'ANALYSE - ERP =&gt; SOUS-SEGMENT'!$EC$8:$EC$154*('ANALYSE - ERP =&gt; SOUS-SEGMENT'!$CZ$8:$CZ$154&gt;0)),"")</f>
        <v/>
      </c>
      <c r="CX11" s="883" t="str">
        <f>IFERROR(SUMPRODUCT(('ANALYSE - ERP =&gt; SOUS-SEGMENT'!$C$8:$C$154=$C11)*'ANALYSE - ERP =&gt; SOUS-SEGMENT'!$ED$8:$ED$154*('ANALYSE - ERP =&gt; SOUS-SEGMENT'!$DA$8:$DA$154&gt;0)*'ANALYSE - ERP =&gt; SOUS-SEGMENT'!$DA$8:$DA$154)/SUMPRODUCT(('ANALYSE - ERP =&gt; SOUS-SEGMENT'!$C$8:$C$154=$C11)*'ANALYSE - ERP =&gt; SOUS-SEGMENT'!$ED$8:$ED$154*('ANALYSE - ERP =&gt; SOUS-SEGMENT'!$DA$8:$DA$154&gt;0)),"")</f>
        <v/>
      </c>
      <c r="CY11" s="885" t="str">
        <f>IFERROR(SUMPRODUCT(('ANALYSE - ERP =&gt; SOUS-SEGMENT'!$C$8:$C$154=$C11)*'ANALYSE - ERP =&gt; SOUS-SEGMENT'!$EE$8:$EE$154*('ANALYSE - ERP =&gt; SOUS-SEGMENT'!$DB$8:$DB$154&gt;0)*'ANALYSE - ERP =&gt; SOUS-SEGMENT'!$DB$8:$DB$154)/SUMPRODUCT(('ANALYSE - ERP =&gt; SOUS-SEGMENT'!$C$8:$C$154=$C11)*'ANALYSE - ERP =&gt; SOUS-SEGMENT'!$EE$8:$EE$154*('ANALYSE - ERP =&gt; SOUS-SEGMENT'!$DB$8:$DB$154&gt;0)),"")</f>
        <v/>
      </c>
      <c r="CZ11" s="886" t="str">
        <f>IFERROR(SUMPRODUCT(('ANALYSE - ERP =&gt; SOUS-SEGMENT'!$C$8:$C$154=$C11)*'ANALYSE - ERP =&gt; SOUS-SEGMENT'!$EM$8:$EM$154*('ANALYSE - ERP =&gt; SOUS-SEGMENT'!$DC$8:$DC$154&gt;0)*'ANALYSE - ERP =&gt; SOUS-SEGMENT'!$DC$8:$DC$154)/SUMPRODUCT(('ANALYSE - ERP =&gt; SOUS-SEGMENT'!$C$8:$C$154=$C11)*'ANALYSE - ERP =&gt; SOUS-SEGMENT'!$EM$8:$EM$154*('ANALYSE - ERP =&gt; SOUS-SEGMENT'!$DC$8:$DC$154&gt;0)),"")</f>
        <v/>
      </c>
      <c r="DA11" s="883" t="str">
        <f>IFERROR(SUMPRODUCT(('ANALYSE - ERP =&gt; SOUS-SEGMENT'!$C$8:$C$154=$C11)*'ANALYSE - ERP =&gt; SOUS-SEGMENT'!$EN$8:$EN$154*('ANALYSE - ERP =&gt; SOUS-SEGMENT'!$DD$8:$DD$154&gt;0)*'ANALYSE - ERP =&gt; SOUS-SEGMENT'!$DD$8:$DD$154)/SUMPRODUCT(('ANALYSE - ERP =&gt; SOUS-SEGMENT'!$C$8:$C$154=$C11)*'ANALYSE - ERP =&gt; SOUS-SEGMENT'!$EN$8:$EN$154*('ANALYSE - ERP =&gt; SOUS-SEGMENT'!$DD$8:$DD$154&gt;0)),"")</f>
        <v/>
      </c>
      <c r="DB11" s="885" t="str">
        <f>IFERROR(SUMPRODUCT(('ANALYSE - ERP =&gt; SOUS-SEGMENT'!$C$8:$C$154=$C11)*'ANALYSE - ERP =&gt; SOUS-SEGMENT'!$EO$8:$EO$154*('ANALYSE - ERP =&gt; SOUS-SEGMENT'!$DE$8:$DE$154&gt;0)*'ANALYSE - ERP =&gt; SOUS-SEGMENT'!$DE$8:$DE$154)/SUMPRODUCT(('ANALYSE - ERP =&gt; SOUS-SEGMENT'!$C$8:$C$154=$C11)*'ANALYSE - ERP =&gt; SOUS-SEGMENT'!$EO$8:$EO$154*('ANALYSE - ERP =&gt; SOUS-SEGMENT'!$DE$8:$DE$154&gt;0)),"")</f>
        <v/>
      </c>
      <c r="DC11" s="610" t="s">
        <v>6820</v>
      </c>
      <c r="DD11" s="657"/>
      <c r="DE11" s="288" t="e">
        <f t="shared" si="2"/>
        <v>#VALUE!</v>
      </c>
      <c r="DF11" s="288" t="e">
        <f t="shared" si="3"/>
        <v>#VALUE!</v>
      </c>
      <c r="DG11" s="288" t="e">
        <f t="shared" si="4"/>
        <v>#VALUE!</v>
      </c>
      <c r="DH11" s="288" t="e">
        <f t="shared" si="5"/>
        <v>#VALUE!</v>
      </c>
      <c r="DI11" s="317" t="s">
        <v>6821</v>
      </c>
      <c r="DJ11" s="288" t="e">
        <f t="shared" si="6"/>
        <v>#VALUE!</v>
      </c>
      <c r="DK11" s="288" t="e">
        <f t="shared" si="7"/>
        <v>#VALUE!</v>
      </c>
      <c r="DL11" s="288" t="e">
        <f t="shared" si="8"/>
        <v>#VALUE!</v>
      </c>
      <c r="DM11" s="288" t="e">
        <f t="shared" si="9"/>
        <v>#VALUE!</v>
      </c>
      <c r="DN11" s="317" t="s">
        <v>6822</v>
      </c>
      <c r="DO11" s="657"/>
      <c r="DP11" s="288">
        <f t="shared" si="10"/>
        <v>0</v>
      </c>
      <c r="DQ11" s="288">
        <f t="shared" si="11"/>
        <v>0</v>
      </c>
      <c r="DR11" s="288">
        <f t="shared" si="12"/>
        <v>0</v>
      </c>
      <c r="DS11" s="317" t="s">
        <v>6823</v>
      </c>
      <c r="DT11" s="288">
        <f t="shared" si="13"/>
        <v>0</v>
      </c>
      <c r="DU11" s="288">
        <f t="shared" si="14"/>
        <v>0</v>
      </c>
      <c r="DV11" s="288">
        <f t="shared" si="15"/>
        <v>0</v>
      </c>
      <c r="DW11" s="317" t="s">
        <v>6824</v>
      </c>
      <c r="DX11" s="657"/>
      <c r="DY11" s="288">
        <f t="shared" si="16"/>
        <v>0</v>
      </c>
      <c r="DZ11" s="288">
        <f t="shared" si="17"/>
        <v>0</v>
      </c>
      <c r="EA11" s="288">
        <f t="shared" si="18"/>
        <v>0</v>
      </c>
      <c r="EB11" s="288">
        <f t="shared" si="19"/>
        <v>0</v>
      </c>
      <c r="EC11" s="317" t="s">
        <v>6825</v>
      </c>
      <c r="ED11" s="288">
        <f t="shared" si="20"/>
        <v>0</v>
      </c>
      <c r="EE11" s="288">
        <f t="shared" si="21"/>
        <v>0</v>
      </c>
      <c r="EF11" s="288">
        <f t="shared" si="22"/>
        <v>0</v>
      </c>
      <c r="EG11" s="288">
        <f t="shared" si="23"/>
        <v>0</v>
      </c>
      <c r="EH11" s="317" t="s">
        <v>6826</v>
      </c>
      <c r="EI11" s="290"/>
      <c r="EJ11" s="288" t="e">
        <f t="shared" si="24"/>
        <v>#VALUE!</v>
      </c>
      <c r="EK11" s="291" t="e">
        <f t="shared" si="25"/>
        <v>#VALUE!</v>
      </c>
      <c r="EL11" s="291" t="e">
        <f t="shared" si="26"/>
        <v>#VALUE!</v>
      </c>
      <c r="EM11" s="317" t="s">
        <v>6827</v>
      </c>
      <c r="EN11" s="288" t="e">
        <f t="shared" si="27"/>
        <v>#VALUE!</v>
      </c>
      <c r="EO11" s="291" t="e">
        <f t="shared" si="28"/>
        <v>#VALUE!</v>
      </c>
      <c r="EP11" s="291" t="e">
        <f t="shared" si="29"/>
        <v>#VALUE!</v>
      </c>
      <c r="EQ11" s="318" t="s">
        <v>6828</v>
      </c>
      <c r="ER11" s="657"/>
      <c r="ES11" s="731">
        <f t="shared" si="30"/>
        <v>0</v>
      </c>
      <c r="ET11" s="731">
        <f t="shared" si="31"/>
        <v>0</v>
      </c>
      <c r="EU11" s="292">
        <f t="shared" si="32"/>
        <v>0</v>
      </c>
      <c r="EV11" s="292">
        <f t="shared" si="33"/>
        <v>0</v>
      </c>
      <c r="EW11" s="292">
        <f t="shared" si="34"/>
        <v>0</v>
      </c>
      <c r="EX11" s="292">
        <f t="shared" si="35"/>
        <v>0</v>
      </c>
      <c r="EY11" s="292">
        <f>SUMPRODUCT(('ANALYSE - ERP =&gt; SOUS-SEGMENT'!$C$8:$C$154=$C11)*'ANALYSE - ERP =&gt; SOUS-SEGMENT'!$Q$8:$Q$154*'ANALYSE - ERP =&gt; SOUS-SEGMENT'!$FB$8:$FB$154)</f>
        <v>0</v>
      </c>
      <c r="EZ11" s="292">
        <f>SUMPRODUCT(('ANALYSE - ERP =&gt; SOUS-SEGMENT'!$C$8:$C$154=$C11)*'ANALYSE - ERP =&gt; SOUS-SEGMENT'!$Q$8:$Q$154*'ANALYSE - ERP =&gt; SOUS-SEGMENT'!$FC$8:$FC$154)</f>
        <v>0</v>
      </c>
      <c r="FA11" s="292">
        <f t="shared" si="36"/>
        <v>0</v>
      </c>
      <c r="FB11" s="292">
        <f>SUMPRODUCT(('ANALYSE - ERP =&gt; SOUS-SEGMENT'!$C$8:$C$154=$C11)*'ANALYSE - ERP =&gt; SOUS-SEGMENT'!$Q$8:$Q$154*'ANALYSE - ERP =&gt; SOUS-SEGMENT'!$FE$8:$FE$154)</f>
        <v>0</v>
      </c>
      <c r="FC11" s="292">
        <f>SUMPRODUCT(('ANALYSE - ERP =&gt; SOUS-SEGMENT'!$C$8:$C$154=$C11)*'ANALYSE - ERP =&gt; SOUS-SEGMENT'!$Q$8:$Q$154*'ANALYSE - ERP =&gt; SOUS-SEGMENT'!$FF$8:$FF$154)</f>
        <v>0</v>
      </c>
      <c r="FD11" s="292">
        <f t="shared" si="37"/>
        <v>0</v>
      </c>
      <c r="FE11" s="292">
        <f>SUMPRODUCT(('ANALYSE - ERP =&gt; SOUS-SEGMENT'!$C$8:$C$154=$C11)*'ANALYSE - ERP =&gt; SOUS-SEGMENT'!$Q$8:$Q$154*'ANALYSE - ERP =&gt; SOUS-SEGMENT'!$FH$8:$FH$154)</f>
        <v>0</v>
      </c>
      <c r="FF11" s="292">
        <f>SUMPRODUCT(('ANALYSE - ERP =&gt; SOUS-SEGMENT'!$C$8:$C$154=$C11)*'ANALYSE - ERP =&gt; SOUS-SEGMENT'!$Q$8:$Q$154*'ANALYSE - ERP =&gt; SOUS-SEGMENT'!$FI$8:$FI$154)</f>
        <v>0</v>
      </c>
      <c r="FG11" s="292">
        <f t="shared" si="38"/>
        <v>0</v>
      </c>
      <c r="FH11" s="292">
        <f>SUMPRODUCT(('ANALYSE - ERP =&gt; SOUS-SEGMENT'!$C$8:$C$154=$C11)*'ANALYSE - ERP =&gt; SOUS-SEGMENT'!$Q$8:$Q$154*'ANALYSE - ERP =&gt; SOUS-SEGMENT'!$FK$8:$FK$154)</f>
        <v>0</v>
      </c>
      <c r="FI11" s="292">
        <f>SUMPRODUCT(('ANALYSE - ERP =&gt; SOUS-SEGMENT'!$C$8:$C$154=$C11)*'ANALYSE - ERP =&gt; SOUS-SEGMENT'!$Q$8:$Q$154*'ANALYSE - ERP =&gt; SOUS-SEGMENT'!$FL$8:$FL$154)</f>
        <v>0</v>
      </c>
      <c r="FJ11" s="657"/>
      <c r="FK11" s="319" t="s">
        <v>2649</v>
      </c>
      <c r="FL11" s="731" t="str">
        <f>IFERROR(SUMPRODUCT(('ANALYSE - ERP =&gt; SOUS-SEGMENT'!$C$8:$C$154=$C11)*'ANALYSE - ERP =&gt; SOUS-SEGMENT'!$Q$8:$Q$154*'ANALYSE - ERP =&gt; SOUS-SEGMENT'!$AF$8:$AF$154*'ANALYSE - ERP =&gt; SOUS-SEGMENT'!$FO$8:$FO$154)/SUMPRODUCT(('ANALYSE - ERP =&gt; SOUS-SEGMENT'!$C$8:$C$154=$C11)*'ANALYSE - ERP =&gt; SOUS-SEGMENT'!$Q$8:$Q$154*'ANALYSE - ERP =&gt; SOUS-SEGMENT'!$AF$8:$AF$154),"")</f>
        <v/>
      </c>
      <c r="FM11" s="732" t="str">
        <f>IFERROR(SUMPRODUCT(('ANALYSE - ERP =&gt; SOUS-SEGMENT'!$C$8:$C$154=$C11)*'ANALYSE - ERP =&gt; SOUS-SEGMENT'!$Q$8:$Q$154*'ANALYSE - ERP =&gt; SOUS-SEGMENT'!$AF$8:$AF$154*'ANALYSE - ERP =&gt; SOUS-SEGMENT'!$FP$8:$FP$154)/SUMPRODUCT(('ANALYSE - ERP =&gt; SOUS-SEGMENT'!$C$8:$C$154=$C11)*'ANALYSE - ERP =&gt; SOUS-SEGMENT'!$Q$8:$Q$154*'ANALYSE - ERP =&gt; SOUS-SEGMENT'!$AF$8:$AF$154),"")</f>
        <v/>
      </c>
      <c r="FN11" s="320" t="s">
        <v>3154</v>
      </c>
      <c r="FO11" s="657"/>
      <c r="FP11" s="887" t="str">
        <f>IFERROR(SUMPRODUCT(('ANALYSE - ERP =&gt; SOUS-SEGMENT'!$C$8:$C$154=$C11)*'ANALYSE - ERP =&gt; SOUS-SEGMENT'!$Q$8:$Q$154*'ANALYSE - ERP =&gt; SOUS-SEGMENT'!$EX$8:$EX$154*'ANALYSE - ERP =&gt; SOUS-SEGMENT'!$FS$8:$FS$154)/SUMPRODUCT(('ANALYSE - ERP =&gt; SOUS-SEGMENT'!$C$8:$C$154=$C11)*'ANALYSE - ERP =&gt; SOUS-SEGMENT'!$Q$8:$Q$154*'ANALYSE - ERP =&gt; SOUS-SEGMENT'!$EX$8:$EX$154),"")</f>
        <v/>
      </c>
      <c r="FQ11" s="295" t="e">
        <f>RANK($FP11,$FP$8:$FP$143,0)+COUNTIF($FP$8:$FP11,$FP11)-1</f>
        <v>#VALUE!</v>
      </c>
      <c r="FR11" s="887" t="str">
        <f>IFERROR(SUMPRODUCT(('ANALYSE - ERP =&gt; SOUS-SEGMENT'!$C$8:$C$154=$C11)*'ANALYSE - ERP =&gt; SOUS-SEGMENT'!$Q$8:$Q$154*'ANALYSE - ERP =&gt; SOUS-SEGMENT'!$EY$8:$EY$154*'ANALYSE - ERP =&gt; SOUS-SEGMENT'!$FU$8:$FU$154)/SUMPRODUCT(('ANALYSE - ERP =&gt; SOUS-SEGMENT'!$C$8:$C$154=$C11)*'ANALYSE - ERP =&gt; SOUS-SEGMENT'!$Q$8:$Q$154*'ANALYSE - ERP =&gt; SOUS-SEGMENT'!$EY$8:$EY$154),"")</f>
        <v/>
      </c>
      <c r="FS11" s="295" t="e">
        <f>RANK($FR11,$FR$8:$FR$143,0)+COUNTIF($FR$8:$FR11,$FR11)-1</f>
        <v>#VALUE!</v>
      </c>
      <c r="FT11" s="887" t="str">
        <f>IFERROR(SUMPRODUCT(('ANALYSE - ERP =&gt; SOUS-SEGMENT'!$C$8:$C$154=$C11)*'ANALYSE - ERP =&gt; SOUS-SEGMENT'!$Q$8:$Q$154*'ANALYSE - ERP =&gt; SOUS-SEGMENT'!$EZ$8:$EZ$154*'ANALYSE - ERP =&gt; SOUS-SEGMENT'!$FW$8:$FW$154)/SUMPRODUCT(('ANALYSE - ERP =&gt; SOUS-SEGMENT'!$C$8:$C$154=$C11)*'ANALYSE - ERP =&gt; SOUS-SEGMENT'!$Q$8:$Q$154*'ANALYSE - ERP =&gt; SOUS-SEGMENT'!$EZ$8:$EZ$154),"")</f>
        <v/>
      </c>
      <c r="FU11" s="295" t="e">
        <f>RANK($FT11,$FT$8:$FT$143,0)+COUNTIF($FT$8:$FT11,$FT11)-1</f>
        <v>#VALUE!</v>
      </c>
      <c r="FV11" s="657"/>
      <c r="FW11" s="321" t="s">
        <v>6829</v>
      </c>
      <c r="FX11" s="321" t="s">
        <v>6830</v>
      </c>
      <c r="FY11" s="321" t="s">
        <v>6831</v>
      </c>
      <c r="FZ11" s="321" t="s">
        <v>6832</v>
      </c>
      <c r="GA11" s="321" t="s">
        <v>6833</v>
      </c>
      <c r="GB11" s="321" t="s">
        <v>6834</v>
      </c>
      <c r="GC11" s="321" t="s">
        <v>6759</v>
      </c>
      <c r="GD11" s="657"/>
      <c r="GE11" s="292">
        <f>SUMPRODUCT(('ANALYSE - ERP =&gt; SOUS-SEGMENT'!$C$8:$C$154=$C11)*'ANALYSE - ERP =&gt; SOUS-SEGMENT'!$Q$8:$Q$154*'ANALYSE - ERP =&gt; SOUS-SEGMENT'!$GH$8:$GH$154)</f>
        <v>0</v>
      </c>
      <c r="GF11" s="292">
        <f>SUMPRODUCT(('ANALYSE - ERP =&gt; SOUS-SEGMENT'!$C$8:$C$154=$C11)*'ANALYSE - ERP =&gt; SOUS-SEGMENT'!$Q$8:$Q$154*'ANALYSE - ERP =&gt; SOUS-SEGMENT'!$GI$8:$GI$154)</f>
        <v>0</v>
      </c>
      <c r="GG11" s="292">
        <f>SUMPRODUCT(('ANALYSE - ERP =&gt; SOUS-SEGMENT'!$C$8:$C$154=$C11)*'ANALYSE - ERP =&gt; SOUS-SEGMENT'!$Q$8:$Q$154*'ANALYSE - ERP =&gt; SOUS-SEGMENT'!$GJ$8:$GJ$154)</f>
        <v>0</v>
      </c>
      <c r="GH11" s="292">
        <f>SUMPRODUCT(('ANALYSE - ERP =&gt; SOUS-SEGMENT'!$C$8:$C$154=$C11)*'ANALYSE - ERP =&gt; SOUS-SEGMENT'!$Q$8:$Q$154*'ANALYSE - ERP =&gt; SOUS-SEGMENT'!$GK$8:$GK$154)</f>
        <v>0</v>
      </c>
      <c r="GI11" s="292">
        <f>SUMPRODUCT(('ANALYSE - ERP =&gt; SOUS-SEGMENT'!$C$8:$C$154=$C11)*'ANALYSE - ERP =&gt; SOUS-SEGMENT'!$Q$8:$Q$154*'ANALYSE - ERP =&gt; SOUS-SEGMENT'!$GL$8:$GL$154)</f>
        <v>0</v>
      </c>
      <c r="GJ11" s="292">
        <f>SUMPRODUCT(('ANALYSE - ERP =&gt; SOUS-SEGMENT'!$C$8:$C$154=$C11)*'ANALYSE - ERP =&gt; SOUS-SEGMENT'!$Q$8:$Q$154*'ANALYSE - ERP =&gt; SOUS-SEGMENT'!$GM$8:$GM$154)</f>
        <v>0</v>
      </c>
      <c r="GK11" s="292">
        <f>SUMPRODUCT(('ANALYSE - ERP =&gt; SOUS-SEGMENT'!$C$8:$C$154=$C11)*'ANALYSE - ERP =&gt; SOUS-SEGMENT'!$Q$8:$Q$154*'ANALYSE - ERP =&gt; SOUS-SEGMENT'!$GN$8:$GN$154)</f>
        <v>0</v>
      </c>
      <c r="GL11" s="292">
        <f>SUMPRODUCT(('ANALYSE - ERP =&gt; SOUS-SEGMENT'!$C$8:$C$154=$C11)*'ANALYSE - ERP =&gt; SOUS-SEGMENT'!$Q$8:$Q$154*'ANALYSE - ERP =&gt; SOUS-SEGMENT'!$GO$8:$GO$154)</f>
        <v>0</v>
      </c>
      <c r="GM11" s="292">
        <f>SUMPRODUCT(('ANALYSE - ERP =&gt; SOUS-SEGMENT'!$C$8:$C$154=$C11)*'ANALYSE - ERP =&gt; SOUS-SEGMENT'!$Q$8:$Q$154*'ANALYSE - ERP =&gt; SOUS-SEGMENT'!$GP$8:$GP$154)</f>
        <v>0</v>
      </c>
      <c r="GN11" s="292">
        <f>SUMPRODUCT(('ANALYSE - ERP =&gt; SOUS-SEGMENT'!$C$8:$C$154=$C11)*'ANALYSE - ERP =&gt; SOUS-SEGMENT'!$Q$8:$Q$154*'ANALYSE - ERP =&gt; SOUS-SEGMENT'!$GQ$8:$GQ$154)</f>
        <v>0</v>
      </c>
      <c r="GO11" s="292">
        <f>SUMPRODUCT(('ANALYSE - ERP =&gt; SOUS-SEGMENT'!$C$8:$C$154=$C11)*'ANALYSE - ERP =&gt; SOUS-SEGMENT'!$Q$8:$Q$154*'ANALYSE - ERP =&gt; SOUS-SEGMENT'!$GR$8:$GR$154)</f>
        <v>0</v>
      </c>
      <c r="GP11" s="292">
        <f>SUMPRODUCT(('ANALYSE - ERP =&gt; SOUS-SEGMENT'!$C$8:$C$154=$C11)*'ANALYSE - ERP =&gt; SOUS-SEGMENT'!$Q$8:$Q$154*'ANALYSE - ERP =&gt; SOUS-SEGMENT'!$GS$8:$GS$154)</f>
        <v>0</v>
      </c>
      <c r="GQ11" s="292">
        <f>SUMPRODUCT(('ANALYSE - ERP =&gt; SOUS-SEGMENT'!$C$8:$C$154=$C11)*'ANALYSE - ERP =&gt; SOUS-SEGMENT'!$Q$8:$Q$154*'ANALYSE - ERP =&gt; SOUS-SEGMENT'!$GT$8:$GT$154)</f>
        <v>0</v>
      </c>
      <c r="GR11" s="292">
        <f>SUMPRODUCT(('ANALYSE - ERP =&gt; SOUS-SEGMENT'!$C$8:$C$154=$C11)*'ANALYSE - ERP =&gt; SOUS-SEGMENT'!$Q$8:$Q$154*'ANALYSE - ERP =&gt; SOUS-SEGMENT'!$GU$8:$GU$154)</f>
        <v>0</v>
      </c>
      <c r="GS11" s="292">
        <f>SUMPRODUCT(('ANALYSE - ERP =&gt; SOUS-SEGMENT'!$C$8:$C$154=$C11)*'ANALYSE - ERP =&gt; SOUS-SEGMENT'!$Q$8:$Q$154*'ANALYSE - ERP =&gt; SOUS-SEGMENT'!$GV$8:$GV$154)</f>
        <v>0</v>
      </c>
      <c r="GT11" s="292">
        <f>SUMPRODUCT(('ANALYSE - ERP =&gt; SOUS-SEGMENT'!$C$8:$C$154=$C11)*'ANALYSE - ERP =&gt; SOUS-SEGMENT'!$Q$8:$Q$154*'ANALYSE - ERP =&gt; SOUS-SEGMENT'!$GW$8:$GW$154)</f>
        <v>0</v>
      </c>
      <c r="GU11" s="292">
        <f>SUMPRODUCT(('ANALYSE - ERP =&gt; SOUS-SEGMENT'!$C$8:$C$154=$C11)*'ANALYSE - ERP =&gt; SOUS-SEGMENT'!$Q$8:$Q$154*'ANALYSE - ERP =&gt; SOUS-SEGMENT'!$GX$8:$GX$154)</f>
        <v>0</v>
      </c>
      <c r="GV11" s="292">
        <f>SUMPRODUCT(('ANALYSE - ERP =&gt; SOUS-SEGMENT'!$C$8:$C$154=$C11)*'ANALYSE - ERP =&gt; SOUS-SEGMENT'!$Q$8:$Q$154*'ANALYSE - ERP =&gt; SOUS-SEGMENT'!$GY$8:$GY$154)</f>
        <v>0</v>
      </c>
      <c r="GW11" s="292">
        <f>SUMPRODUCT(('ANALYSE - ERP =&gt; SOUS-SEGMENT'!$C$8:$C$154=$C11)*'ANALYSE - ERP =&gt; SOUS-SEGMENT'!$Q$8:$Q$154*'ANALYSE - ERP =&gt; SOUS-SEGMENT'!$GZ$8:$GZ$154)</f>
        <v>0</v>
      </c>
      <c r="GX11" s="292">
        <f>SUMPRODUCT(('ANALYSE - ERP =&gt; SOUS-SEGMENT'!$C$8:$C$154=$C11)*'ANALYSE - ERP =&gt; SOUS-SEGMENT'!$Q$8:$Q$154*'ANALYSE - ERP =&gt; SOUS-SEGMENT'!$HA$8:$HA$154)</f>
        <v>0</v>
      </c>
      <c r="GY11" s="292">
        <f>SUMPRODUCT(('ANALYSE - ERP =&gt; SOUS-SEGMENT'!$C$8:$C$154=$C11)*'ANALYSE - ERP =&gt; SOUS-SEGMENT'!$Q$8:$Q$154*'ANALYSE - ERP =&gt; SOUS-SEGMENT'!$HB$8:$HB$154)</f>
        <v>0</v>
      </c>
      <c r="GZ11" s="292">
        <f>SUMPRODUCT(('ANALYSE - ERP =&gt; SOUS-SEGMENT'!$C$8:$C$154=$C11)*'ANALYSE - ERP =&gt; SOUS-SEGMENT'!$Q$8:$Q$154*'ANALYSE - ERP =&gt; SOUS-SEGMENT'!$HC$8:$HC$154)</f>
        <v>0</v>
      </c>
      <c r="HA11" s="292">
        <f>SUMPRODUCT(('ANALYSE - ERP =&gt; SOUS-SEGMENT'!$C$8:$C$154=$C11)*'ANALYSE - ERP =&gt; SOUS-SEGMENT'!$Q$8:$Q$154*'ANALYSE - ERP =&gt; SOUS-SEGMENT'!$HD$8:$HD$154)</f>
        <v>0</v>
      </c>
      <c r="HB11" s="292">
        <f>SUMPRODUCT(('ANALYSE - ERP =&gt; SOUS-SEGMENT'!$C$8:$C$154=$C11)*'ANALYSE - ERP =&gt; SOUS-SEGMENT'!$Q$8:$Q$154*'ANALYSE - ERP =&gt; SOUS-SEGMENT'!$HE$8:$HE$154)</f>
        <v>0</v>
      </c>
      <c r="HC11" s="292">
        <f>SUMPRODUCT(('ANALYSE - ERP =&gt; SOUS-SEGMENT'!$C$8:$C$154=$C11)*'ANALYSE - ERP =&gt; SOUS-SEGMENT'!$Q$8:$Q$154*'ANALYSE - ERP =&gt; SOUS-SEGMENT'!$HF$8:$HF$154)</f>
        <v>0</v>
      </c>
      <c r="HD11" s="292">
        <f>SUMPRODUCT(('ANALYSE - ERP =&gt; SOUS-SEGMENT'!$C$8:$C$154=$C11)*'ANALYSE - ERP =&gt; SOUS-SEGMENT'!$Q$8:$Q$154*'ANALYSE - ERP =&gt; SOUS-SEGMENT'!$HG$8:$HG$154)</f>
        <v>0</v>
      </c>
      <c r="HE11" s="292">
        <f>SUMPRODUCT(('ANALYSE - ERP =&gt; SOUS-SEGMENT'!$C$8:$C$154=$C11)*'ANALYSE - ERP =&gt; SOUS-SEGMENT'!$Q$8:$Q$154*'ANALYSE - ERP =&gt; SOUS-SEGMENT'!$HH$8:$HH$154)</f>
        <v>0</v>
      </c>
      <c r="HF11" s="292">
        <f>SUMPRODUCT(('ANALYSE - ERP =&gt; SOUS-SEGMENT'!$C$8:$C$154=$C11)*'ANALYSE - ERP =&gt; SOUS-SEGMENT'!$Q$8:$Q$154*'ANALYSE - ERP =&gt; SOUS-SEGMENT'!$HI$8:$HI$154)</f>
        <v>0</v>
      </c>
      <c r="HG11" s="292">
        <f>SUMPRODUCT(('ANALYSE - ERP =&gt; SOUS-SEGMENT'!$C$8:$C$154=$C11)*'ANALYSE - ERP =&gt; SOUS-SEGMENT'!$Q$8:$Q$154*'ANALYSE - ERP =&gt; SOUS-SEGMENT'!$HJ$8:$HJ$154)</f>
        <v>0</v>
      </c>
      <c r="HH11" s="292">
        <f>SUMPRODUCT(('ANALYSE - ERP =&gt; SOUS-SEGMENT'!$C$8:$C$154=$C11)*'ANALYSE - ERP =&gt; SOUS-SEGMENT'!$Q$8:$Q$154*'ANALYSE - ERP =&gt; SOUS-SEGMENT'!$HK$8:$HK$154)</f>
        <v>0</v>
      </c>
      <c r="HI11" s="292">
        <f>SUMPRODUCT(('ANALYSE - ERP =&gt; SOUS-SEGMENT'!$C$8:$C$154=$C11)*'ANALYSE - ERP =&gt; SOUS-SEGMENT'!$Q$8:$Q$154*'ANALYSE - ERP =&gt; SOUS-SEGMENT'!$HL$8:$HL$154)</f>
        <v>0</v>
      </c>
      <c r="HJ11" s="292">
        <f>SUMPRODUCT(('ANALYSE - ERP =&gt; SOUS-SEGMENT'!$C$8:$C$154=$C11)*'ANALYSE - ERP =&gt; SOUS-SEGMENT'!$Q$8:$Q$154*'ANALYSE - ERP =&gt; SOUS-SEGMENT'!$HM$8:$HM$154)</f>
        <v>0</v>
      </c>
      <c r="HK11" s="292">
        <f>SUMPRODUCT(('ANALYSE - ERP =&gt; SOUS-SEGMENT'!$C$8:$C$154=$C11)*'ANALYSE - ERP =&gt; SOUS-SEGMENT'!$Q$8:$Q$154*'ANALYSE - ERP =&gt; SOUS-SEGMENT'!$HN$8:$HN$154)</f>
        <v>0</v>
      </c>
      <c r="HL11" s="292">
        <f>SUMPRODUCT(('ANALYSE - ERP =&gt; SOUS-SEGMENT'!$C$8:$C$154=$C11)*'ANALYSE - ERP =&gt; SOUS-SEGMENT'!$Q$8:$Q$154*'ANALYSE - ERP =&gt; SOUS-SEGMENT'!$HO$8:$HO$154)</f>
        <v>0</v>
      </c>
      <c r="HM11" s="292">
        <f>SUMPRODUCT(('ANALYSE - ERP =&gt; SOUS-SEGMENT'!$C$8:$C$154=$C11)*'ANALYSE - ERP =&gt; SOUS-SEGMENT'!$Q$8:$Q$154*'ANALYSE - ERP =&gt; SOUS-SEGMENT'!$HP$8:$HP$154)</f>
        <v>0</v>
      </c>
      <c r="HN11" s="292">
        <f>SUMPRODUCT(('ANALYSE - ERP =&gt; SOUS-SEGMENT'!$C$8:$C$154=$C11)*'ANALYSE - ERP =&gt; SOUS-SEGMENT'!$Q$8:$Q$154*'ANALYSE - ERP =&gt; SOUS-SEGMENT'!$HQ$8:$HQ$154)</f>
        <v>0</v>
      </c>
      <c r="HO11" s="292">
        <f>SUMPRODUCT(('ANALYSE - ERP =&gt; SOUS-SEGMENT'!$C$8:$C$154=$C11)*'ANALYSE - ERP =&gt; SOUS-SEGMENT'!$Q$8:$Q$154*'ANALYSE - ERP =&gt; SOUS-SEGMENT'!$HR$8:$HR$154)</f>
        <v>0</v>
      </c>
      <c r="HP11" s="292">
        <f>SUMPRODUCT(('ANALYSE - ERP =&gt; SOUS-SEGMENT'!$C$8:$C$154=$C11)*'ANALYSE - ERP =&gt; SOUS-SEGMENT'!$Q$8:$Q$154*'ANALYSE - ERP =&gt; SOUS-SEGMENT'!$HS$8:$HS$154)</f>
        <v>0</v>
      </c>
      <c r="HQ11" s="292">
        <f>SUMPRODUCT(('ANALYSE - ERP =&gt; SOUS-SEGMENT'!$C$8:$C$154=$C11)*'ANALYSE - ERP =&gt; SOUS-SEGMENT'!$Q$8:$Q$154*'ANALYSE - ERP =&gt; SOUS-SEGMENT'!$HT$8:$HT$154)</f>
        <v>0</v>
      </c>
      <c r="HR11" s="292">
        <f>SUMPRODUCT(('ANALYSE - ERP =&gt; SOUS-SEGMENT'!$C$8:$C$154=$C11)*'ANALYSE - ERP =&gt; SOUS-SEGMENT'!$Q$8:$Q$154*'ANALYSE - ERP =&gt; SOUS-SEGMENT'!$HU$8:$HU$154)</f>
        <v>0</v>
      </c>
      <c r="HS11" s="292">
        <f>SUMPRODUCT(('ANALYSE - ERP =&gt; SOUS-SEGMENT'!$C$8:$C$154=$C11)*'ANALYSE - ERP =&gt; SOUS-SEGMENT'!$Q$8:$Q$154*'ANALYSE - ERP =&gt; SOUS-SEGMENT'!$HV$8:$HV$154)</f>
        <v>0</v>
      </c>
      <c r="HT11" s="292">
        <f>SUMPRODUCT(('ANALYSE - ERP =&gt; SOUS-SEGMENT'!$C$8:$C$154=$C11)*'ANALYSE - ERP =&gt; SOUS-SEGMENT'!$Q$8:$Q$154*'ANALYSE - ERP =&gt; SOUS-SEGMENT'!$HW$8:$HW$154)</f>
        <v>0</v>
      </c>
      <c r="HV11" s="297">
        <f t="shared" si="39"/>
        <v>0</v>
      </c>
      <c r="HW11" s="297">
        <f>SUMPRODUCT(('ANALYSE - ERP =&gt; SOUS-SEGMENT'!$C$8:$C$154=$C11)*'ANALYSE - ERP =&gt; SOUS-SEGMENT'!$Q$8:$Q$154*'ANALYSE - ERP =&gt; SOUS-SEGMENT'!$HZ$8:$HZ$154)</f>
        <v>0</v>
      </c>
      <c r="HX11" s="297">
        <f>SUMPRODUCT(('ANALYSE - ERP =&gt; SOUS-SEGMENT'!$C$8:$C$154=$C11)*'ANALYSE - ERP =&gt; SOUS-SEGMENT'!$Q$8:$Q$154*'ANALYSE - ERP =&gt; SOUS-SEGMENT'!$IA$8:$IA$154)</f>
        <v>0</v>
      </c>
      <c r="HY11" s="297">
        <f>SUMPRODUCT(('ANALYSE - ERP =&gt; SOUS-SEGMENT'!$C$8:$C$154=$C11)*'ANALYSE - ERP =&gt; SOUS-SEGMENT'!$Q$8:$Q$154*'ANALYSE - ERP =&gt; SOUS-SEGMENT'!$IB$8:$IB$154)</f>
        <v>0</v>
      </c>
      <c r="HZ11" s="297">
        <f>SUMPRODUCT(('ANALYSE - ERP =&gt; SOUS-SEGMENT'!$C$8:$C$154=$C11)*'ANALYSE - ERP =&gt; SOUS-SEGMENT'!$Q$8:$Q$154*'ANALYSE - ERP =&gt; SOUS-SEGMENT'!$IC$8:$IC$154)</f>
        <v>0</v>
      </c>
      <c r="IA11" s="297">
        <f>SUMPRODUCT(('ANALYSE - ERP =&gt; SOUS-SEGMENT'!$C$8:$C$154=$C11)*'ANALYSE - ERP =&gt; SOUS-SEGMENT'!$Q$8:$Q$154*'ANALYSE - ERP =&gt; SOUS-SEGMENT'!$ID$8:$ID$154)</f>
        <v>0</v>
      </c>
      <c r="IB11" s="297">
        <f>SUMPRODUCT(('ANALYSE - ERP =&gt; SOUS-SEGMENT'!$C$8:$C$154=$C11)*'ANALYSE - ERP =&gt; SOUS-SEGMENT'!$Q$8:$Q$154*'ANALYSE - ERP =&gt; SOUS-SEGMENT'!$IE$8:$IE$154)</f>
        <v>0</v>
      </c>
      <c r="IC11" s="297">
        <f>SUMPRODUCT(('ANALYSE - ERP =&gt; SOUS-SEGMENT'!$C$8:$C$154=$C11)*'ANALYSE - ERP =&gt; SOUS-SEGMENT'!$Q$8:$Q$154*'ANALYSE - ERP =&gt; SOUS-SEGMENT'!$IF$8:$IF$154)</f>
        <v>0</v>
      </c>
      <c r="ID11" s="297">
        <f>SUMPRODUCT(('ANALYSE - ERP =&gt; SOUS-SEGMENT'!$C$8:$C$154=$C11)*'ANALYSE - ERP =&gt; SOUS-SEGMENT'!$Q$8:$Q$154*'ANALYSE - ERP =&gt; SOUS-SEGMENT'!$IG$8:$IG$154)</f>
        <v>0</v>
      </c>
      <c r="IE11" s="297">
        <f>SUMPRODUCT(('ANALYSE - ERP =&gt; SOUS-SEGMENT'!$C$8:$C$154=$C11)*'ANALYSE - ERP =&gt; SOUS-SEGMENT'!$Q$8:$Q$154*'ANALYSE - ERP =&gt; SOUS-SEGMENT'!$IH$8:$IH$154)</f>
        <v>0</v>
      </c>
      <c r="IF11" s="297">
        <f>SUMPRODUCT(('ANALYSE - ERP =&gt; SOUS-SEGMENT'!$C$8:$C$154=$C11)*'ANALYSE - ERP =&gt; SOUS-SEGMENT'!$Q$8:$Q$154*'ANALYSE - ERP =&gt; SOUS-SEGMENT'!$II$8:$II$154)</f>
        <v>0</v>
      </c>
      <c r="IG11" s="297">
        <f>SUMPRODUCT(('ANALYSE - ERP =&gt; SOUS-SEGMENT'!$C$8:$C$154=$C11)*'ANALYSE - ERP =&gt; SOUS-SEGMENT'!$Q$8:$Q$154*'ANALYSE - ERP =&gt; SOUS-SEGMENT'!$IJ$8:$IJ$154)</f>
        <v>0</v>
      </c>
      <c r="IH11" s="888"/>
      <c r="II11" s="298" t="s">
        <v>2780</v>
      </c>
      <c r="IJ11" s="322" t="s">
        <v>6760</v>
      </c>
      <c r="IK11" s="657"/>
      <c r="IL11" s="747">
        <f>IFERROR(SUMPRODUCT(('ANALYSE - ERP =&gt; SOUS-SEGMENT'!$C$8:$C$154=$C11)*'ANALYSE - ERP =&gt; SOUS-SEGMENT'!$Q$8:$Q$154*'ANALYSE - ERP =&gt; SOUS-SEGMENT'!$BE$8:$BE$154*'ANALYSE - ERP =&gt; SOUS-SEGMENT'!$IO$8:$IO$154)/SUMPRODUCT(('ANALYSE - ERP =&gt; SOUS-SEGMENT'!$C$8:$C$154=$C11)*'ANALYSE - ERP =&gt; SOUS-SEGMENT'!$Q$8:$Q$154*'ANALYSE - ERP =&gt; SOUS-SEGMENT'!$BE$8:$BE$154),0)</f>
        <v>0</v>
      </c>
      <c r="IM11" s="748">
        <f>IFERROR(SUMPRODUCT(('ANALYSE - ERP =&gt; SOUS-SEGMENT'!$C$8:$C$154=$C11)*'ANALYSE - ERP =&gt; SOUS-SEGMENT'!$Q$8:$Q$154*'ANALYSE - ERP =&gt; SOUS-SEGMENT'!$BE$8:$BE$154*'ANALYSE - ERP =&gt; SOUS-SEGMENT'!$IP$8:$IP$154)/SUMPRODUCT(('ANALYSE - ERP =&gt; SOUS-SEGMENT'!$C$8:$C$154=$C11)*'ANALYSE - ERP =&gt; SOUS-SEGMENT'!$Q$8:$Q$154*'ANALYSE - ERP =&gt; SOUS-SEGMENT'!$BE$8:$BE$154),0)</f>
        <v>0</v>
      </c>
      <c r="IN11" s="748">
        <f>IFERROR(SUMPRODUCT(('ANALYSE - ERP =&gt; SOUS-SEGMENT'!$C$8:$C$154=$C11)*'ANALYSE - ERP =&gt; SOUS-SEGMENT'!$Q$8:$Q$154*'ANALYSE - ERP =&gt; SOUS-SEGMENT'!$BE$8:$BE$154*'ANALYSE - ERP =&gt; SOUS-SEGMENT'!$IQ$8:$IQ$154)/SUMPRODUCT(('ANALYSE - ERP =&gt; SOUS-SEGMENT'!$C$8:$C$154=$C11)*'ANALYSE - ERP =&gt; SOUS-SEGMENT'!$Q$8:$Q$154*'ANALYSE - ERP =&gt; SOUS-SEGMENT'!$BE$8:$BE$154),0)</f>
        <v>0</v>
      </c>
      <c r="IO11" s="748">
        <f>IFERROR(SUMPRODUCT(('ANALYSE - ERP =&gt; SOUS-SEGMENT'!$C$8:$C$154=$C11)*'ANALYSE - ERP =&gt; SOUS-SEGMENT'!$Q$8:$Q$154*'ANALYSE - ERP =&gt; SOUS-SEGMENT'!$BE$8:$BE$154*'ANALYSE - ERP =&gt; SOUS-SEGMENT'!$IR$8:$IR$154)/SUMPRODUCT(('ANALYSE - ERP =&gt; SOUS-SEGMENT'!$C$8:$C$154=$C11)*'ANALYSE - ERP =&gt; SOUS-SEGMENT'!$Q$8:$Q$154*'ANALYSE - ERP =&gt; SOUS-SEGMENT'!$BE$8:$BE$154),0)</f>
        <v>0</v>
      </c>
      <c r="IP11" s="749">
        <f>IFERROR(SUMPRODUCT(('ANALYSE - ERP =&gt; SOUS-SEGMENT'!$C$8:$C$154=$C11)*'ANALYSE - ERP =&gt; SOUS-SEGMENT'!$Q$8:$Q$154*'ANALYSE - ERP =&gt; SOUS-SEGMENT'!$BE$8:$BE$154*'ANALYSE - ERP =&gt; SOUS-SEGMENT'!$IS$8:$IS$154)/SUMPRODUCT(('ANALYSE - ERP =&gt; SOUS-SEGMENT'!$C$8:$C$154=$C11)*'ANALYSE - ERP =&gt; SOUS-SEGMENT'!$Q$8:$Q$154*'ANALYSE - ERP =&gt; SOUS-SEGMENT'!$BE$8:$BE$154),0)</f>
        <v>0</v>
      </c>
      <c r="IQ11" s="748">
        <f>IFERROR(SUMPRODUCT(('ANALYSE - ERP =&gt; SOUS-SEGMENT'!$C$8:$C$154=$C11)*'ANALYSE - ERP =&gt; SOUS-SEGMENT'!$Q$8:$Q$154*'ANALYSE - ERP =&gt; SOUS-SEGMENT'!$FB$8:$FB$154*'ANALYSE - ERP =&gt; SOUS-SEGMENT'!$IT$8:$IT$154)/SUMPRODUCT(('ANALYSE - ERP =&gt; SOUS-SEGMENT'!$C$8:$C$154=$C11)*'ANALYSE - ERP =&gt; SOUS-SEGMENT'!$Q$8:$Q$154*'ANALYSE - ERP =&gt; SOUS-SEGMENT'!$FB$8:$FB$154),0)</f>
        <v>0</v>
      </c>
      <c r="IR11" s="748">
        <f>IFERROR(SUMPRODUCT(('ANALYSE - ERP =&gt; SOUS-SEGMENT'!$C$8:$C$154=$C11)*'ANALYSE - ERP =&gt; SOUS-SEGMENT'!$Q$8:$Q$154*'ANALYSE - ERP =&gt; SOUS-SEGMENT'!$FB$8:$FB$154*'ANALYSE - ERP =&gt; SOUS-SEGMENT'!$IU$8:$IU$154)/SUMPRODUCT(('ANALYSE - ERP =&gt; SOUS-SEGMENT'!$C$8:$C$154=$C11)*'ANALYSE - ERP =&gt; SOUS-SEGMENT'!$Q$8:$Q$154*'ANALYSE - ERP =&gt; SOUS-SEGMENT'!$FB$8:$FB$154),0)</f>
        <v>0</v>
      </c>
      <c r="IS11" s="748">
        <f>IFERROR(SUMPRODUCT(('ANALYSE - ERP =&gt; SOUS-SEGMENT'!$C$8:$C$154=$C11)*'ANALYSE - ERP =&gt; SOUS-SEGMENT'!$Q$8:$Q$154*'ANALYSE - ERP =&gt; SOUS-SEGMENT'!$FB$8:$FB$154*'ANALYSE - ERP =&gt; SOUS-SEGMENT'!$IV$8:$IV$154)/SUMPRODUCT(('ANALYSE - ERP =&gt; SOUS-SEGMENT'!$C$8:$C$154=$C11)*'ANALYSE - ERP =&gt; SOUS-SEGMENT'!$Q$8:$Q$154*'ANALYSE - ERP =&gt; SOUS-SEGMENT'!$FB$8:$FB$154),0)</f>
        <v>0</v>
      </c>
      <c r="IT11" s="748">
        <f>IFERROR(SUMPRODUCT(('ANALYSE - ERP =&gt; SOUS-SEGMENT'!$C$8:$C$154=$C11)*'ANALYSE - ERP =&gt; SOUS-SEGMENT'!$Q$8:$Q$154*'ANALYSE - ERP =&gt; SOUS-SEGMENT'!$FB$8:$FB$154*'ANALYSE - ERP =&gt; SOUS-SEGMENT'!$IW$8:$IW$154)/SUMPRODUCT(('ANALYSE - ERP =&gt; SOUS-SEGMENT'!$C$8:$C$154=$C11)*'ANALYSE - ERP =&gt; SOUS-SEGMENT'!$Q$8:$Q$154*'ANALYSE - ERP =&gt; SOUS-SEGMENT'!$FB$8:$FB$154),0)</f>
        <v>0</v>
      </c>
      <c r="IU11" s="748">
        <f>IFERROR(SUMPRODUCT(('ANALYSE - ERP =&gt; SOUS-SEGMENT'!$C$8:$C$154=$C11)*'ANALYSE - ERP =&gt; SOUS-SEGMENT'!$Q$8:$Q$154*'ANALYSE - ERP =&gt; SOUS-SEGMENT'!$FB$8:$FB$154*'ANALYSE - ERP =&gt; SOUS-SEGMENT'!$IX$8:$IX$154)/SUMPRODUCT(('ANALYSE - ERP =&gt; SOUS-SEGMENT'!$C$8:$C$154=$C11)*'ANALYSE - ERP =&gt; SOUS-SEGMENT'!$Q$8:$Q$154*'ANALYSE - ERP =&gt; SOUS-SEGMENT'!$FB$8:$FB$154),0)</f>
        <v>0</v>
      </c>
      <c r="IV11" s="771">
        <f>IFERROR(SUMPRODUCT(('ANALYSE - ERP =&gt; SOUS-SEGMENT'!$C$8:$C$154=$C11)*'ANALYSE - ERP =&gt; SOUS-SEGMENT'!$Q$8:$Q$154*'ANALYSE - ERP =&gt; SOUS-SEGMENT'!$BF$8:$BF$154*'ANALYSE - ERP =&gt; SOUS-SEGMENT'!$IY$8:$IY$154)/SUMPRODUCT(('ANALYSE - ERP =&gt; SOUS-SEGMENT'!$C$8:$C$154=$C11)*'ANALYSE - ERP =&gt; SOUS-SEGMENT'!$Q$8:$Q$154*'ANALYSE - ERP =&gt; SOUS-SEGMENT'!$BF$8:$BF$154),0)</f>
        <v>0</v>
      </c>
      <c r="IW11" s="748">
        <f>IFERROR(SUMPRODUCT(('ANALYSE - ERP =&gt; SOUS-SEGMENT'!$C$8:$C$154=$C11)*'ANALYSE - ERP =&gt; SOUS-SEGMENT'!$Q$8:$Q$154*'ANALYSE - ERP =&gt; SOUS-SEGMENT'!$BF$8:$BF$154*'ANALYSE - ERP =&gt; SOUS-SEGMENT'!$IZ$8:$IZ$154)/SUMPRODUCT(('ANALYSE - ERP =&gt; SOUS-SEGMENT'!$C$8:$C$154=$C11)*'ANALYSE - ERP =&gt; SOUS-SEGMENT'!$Q$8:$Q$154*'ANALYSE - ERP =&gt; SOUS-SEGMENT'!$BF$8:$BF$154),0)</f>
        <v>0</v>
      </c>
      <c r="IX11" s="748">
        <f>IFERROR(SUMPRODUCT(('ANALYSE - ERP =&gt; SOUS-SEGMENT'!$C$8:$C$154=$C11)*'ANALYSE - ERP =&gt; SOUS-SEGMENT'!$Q$8:$Q$154*'ANALYSE - ERP =&gt; SOUS-SEGMENT'!$BF$8:$BF$154*'ANALYSE - ERP =&gt; SOUS-SEGMENT'!$JA$8:$JA$154)/SUMPRODUCT(('ANALYSE - ERP =&gt; SOUS-SEGMENT'!$C$8:$C$154=$C11)*'ANALYSE - ERP =&gt; SOUS-SEGMENT'!$Q$8:$Q$154*'ANALYSE - ERP =&gt; SOUS-SEGMENT'!$BF$8:$BF$154),0)</f>
        <v>0</v>
      </c>
      <c r="IY11" s="748">
        <f>IFERROR(SUMPRODUCT(('ANALYSE - ERP =&gt; SOUS-SEGMENT'!$C$8:$C$154=$C11)*'ANALYSE - ERP =&gt; SOUS-SEGMENT'!$Q$8:$Q$154*'ANALYSE - ERP =&gt; SOUS-SEGMENT'!$BF$8:$BF$154*'ANALYSE - ERP =&gt; SOUS-SEGMENT'!$JB$8:$JB$154)/SUMPRODUCT(('ANALYSE - ERP =&gt; SOUS-SEGMENT'!$C$8:$C$154=$C11)*'ANALYSE - ERP =&gt; SOUS-SEGMENT'!$Q$8:$Q$154*'ANALYSE - ERP =&gt; SOUS-SEGMENT'!$BF$8:$BF$154),0)</f>
        <v>0</v>
      </c>
      <c r="IZ11" s="749">
        <f>IFERROR(SUMPRODUCT(('ANALYSE - ERP =&gt; SOUS-SEGMENT'!$C$8:$C$154=$C11)*'ANALYSE - ERP =&gt; SOUS-SEGMENT'!$Q$8:$Q$154*'ANALYSE - ERP =&gt; SOUS-SEGMENT'!$BF$8:$BF$154*'ANALYSE - ERP =&gt; SOUS-SEGMENT'!$JC$8:$JC$154)/SUMPRODUCT(('ANALYSE - ERP =&gt; SOUS-SEGMENT'!$C$8:$C$154=$C11)*'ANALYSE - ERP =&gt; SOUS-SEGMENT'!$Q$8:$Q$154*'ANALYSE - ERP =&gt; SOUS-SEGMENT'!$BF$8:$BF$154),0)</f>
        <v>0</v>
      </c>
      <c r="JA11" s="748">
        <f>IFERROR(SUMPRODUCT(('ANALYSE - ERP =&gt; SOUS-SEGMENT'!$C$8:$C$154=$C11)*'ANALYSE - ERP =&gt; SOUS-SEGMENT'!$Q$8:$Q$154*'ANALYSE - ERP =&gt; SOUS-SEGMENT'!$FE$8:$FE$154*'ANALYSE - ERP =&gt; SOUS-SEGMENT'!$JD$8:$JD$154)/SUMPRODUCT(('ANALYSE - ERP =&gt; SOUS-SEGMENT'!$C$8:$C$154=$C11)*'ANALYSE - ERP =&gt; SOUS-SEGMENT'!$Q$8:$Q$154*'ANALYSE - ERP =&gt; SOUS-SEGMENT'!$FE$8:$FE$154),0)</f>
        <v>0</v>
      </c>
      <c r="JB11" s="748">
        <f>IFERROR(SUMPRODUCT(('ANALYSE - ERP =&gt; SOUS-SEGMENT'!$C$8:$C$154=$C11)*'ANALYSE - ERP =&gt; SOUS-SEGMENT'!$Q$8:$Q$154*'ANALYSE - ERP =&gt; SOUS-SEGMENT'!$FE$8:$FE$154*'ANALYSE - ERP =&gt; SOUS-SEGMENT'!$JE$8:$JE$154)/SUMPRODUCT(('ANALYSE - ERP =&gt; SOUS-SEGMENT'!$C$8:$C$154=$C11)*'ANALYSE - ERP =&gt; SOUS-SEGMENT'!$Q$8:$Q$154*'ANALYSE - ERP =&gt; SOUS-SEGMENT'!$FE$8:$FE$154),0)</f>
        <v>0</v>
      </c>
      <c r="JC11" s="748">
        <f>IFERROR(SUMPRODUCT(('ANALYSE - ERP =&gt; SOUS-SEGMENT'!$C$8:$C$154=$C11)*'ANALYSE - ERP =&gt; SOUS-SEGMENT'!$Q$8:$Q$154*'ANALYSE - ERP =&gt; SOUS-SEGMENT'!$FE$8:$FE$154*'ANALYSE - ERP =&gt; SOUS-SEGMENT'!$JF$8:$JF$154)/SUMPRODUCT(('ANALYSE - ERP =&gt; SOUS-SEGMENT'!$C$8:$C$154=$C11)*'ANALYSE - ERP =&gt; SOUS-SEGMENT'!$Q$8:$Q$154*'ANALYSE - ERP =&gt; SOUS-SEGMENT'!$FE$8:$FE$154),0)</f>
        <v>0</v>
      </c>
      <c r="JD11" s="748">
        <f>IFERROR(SUMPRODUCT(('ANALYSE - ERP =&gt; SOUS-SEGMENT'!$C$8:$C$154=$C11)*'ANALYSE - ERP =&gt; SOUS-SEGMENT'!$Q$8:$Q$154*'ANALYSE - ERP =&gt; SOUS-SEGMENT'!$FE$8:$FE$154*'ANALYSE - ERP =&gt; SOUS-SEGMENT'!$JG$8:$JG$154)/SUMPRODUCT(('ANALYSE - ERP =&gt; SOUS-SEGMENT'!$C$8:$C$154=$C11)*'ANALYSE - ERP =&gt; SOUS-SEGMENT'!$Q$8:$Q$154*'ANALYSE - ERP =&gt; SOUS-SEGMENT'!$FE$8:$FE$154),0)</f>
        <v>0</v>
      </c>
      <c r="JE11" s="748">
        <f>IFERROR(SUMPRODUCT(('ANALYSE - ERP =&gt; SOUS-SEGMENT'!$C$8:$C$154=$C11)*'ANALYSE - ERP =&gt; SOUS-SEGMENT'!$Q$8:$Q$154*'ANALYSE - ERP =&gt; SOUS-SEGMENT'!$FE$8:$FE$154*'ANALYSE - ERP =&gt; SOUS-SEGMENT'!$JH$8:$JH$154)/SUMPRODUCT(('ANALYSE - ERP =&gt; SOUS-SEGMENT'!$C$8:$C$154=$C11)*'ANALYSE - ERP =&gt; SOUS-SEGMENT'!$Q$8:$Q$154*'ANALYSE - ERP =&gt; SOUS-SEGMENT'!$FE$8:$FE$154),0)</f>
        <v>0</v>
      </c>
      <c r="JF11" s="771">
        <f>IFERROR(SUMPRODUCT(('ANALYSE - ERP =&gt; SOUS-SEGMENT'!$C$8:$C$154=$C11)*'ANALYSE - ERP =&gt; SOUS-SEGMENT'!$Q$8:$Q$154*'ANALYSE - ERP =&gt; SOUS-SEGMENT'!$BG$8:$BG$154*'ANALYSE - ERP =&gt; SOUS-SEGMENT'!$JI$8:$JI$154)/SUMPRODUCT(('ANALYSE - ERP =&gt; SOUS-SEGMENT'!$C$8:$C$154=$C11)*'ANALYSE - ERP =&gt; SOUS-SEGMENT'!$Q$8:$Q$154*'ANALYSE - ERP =&gt; SOUS-SEGMENT'!$BG$8:$BG$154),0)</f>
        <v>0</v>
      </c>
      <c r="JG11" s="748">
        <f>IFERROR(SUMPRODUCT(('ANALYSE - ERP =&gt; SOUS-SEGMENT'!$C$8:$C$154=$C11)*'ANALYSE - ERP =&gt; SOUS-SEGMENT'!$Q$8:$Q$154*'ANALYSE - ERP =&gt; SOUS-SEGMENT'!$BG$8:$BG$154*'ANALYSE - ERP =&gt; SOUS-SEGMENT'!$JJ$8:$JJ$154)/SUMPRODUCT(('ANALYSE - ERP =&gt; SOUS-SEGMENT'!$C$8:$C$154=$C11)*'ANALYSE - ERP =&gt; SOUS-SEGMENT'!$Q$8:$Q$154*'ANALYSE - ERP =&gt; SOUS-SEGMENT'!$BG$8:$BG$154),0)</f>
        <v>0</v>
      </c>
      <c r="JH11" s="748">
        <f>IFERROR(SUMPRODUCT(('ANALYSE - ERP =&gt; SOUS-SEGMENT'!$C$8:$C$154=$C11)*'ANALYSE - ERP =&gt; SOUS-SEGMENT'!$Q$8:$Q$154*'ANALYSE - ERP =&gt; SOUS-SEGMENT'!$BG$8:$BG$154*'ANALYSE - ERP =&gt; SOUS-SEGMENT'!$JK$8:$JK$154)/SUMPRODUCT(('ANALYSE - ERP =&gt; SOUS-SEGMENT'!$C$8:$C$154=$C11)*'ANALYSE - ERP =&gt; SOUS-SEGMENT'!$Q$8:$Q$154*'ANALYSE - ERP =&gt; SOUS-SEGMENT'!$BG$8:$BG$154),0)</f>
        <v>0</v>
      </c>
      <c r="JI11" s="748">
        <f>IFERROR(SUMPRODUCT(('ANALYSE - ERP =&gt; SOUS-SEGMENT'!$C$8:$C$154=$C11)*'ANALYSE - ERP =&gt; SOUS-SEGMENT'!$Q$8:$Q$154*'ANALYSE - ERP =&gt; SOUS-SEGMENT'!$BG$8:$BG$154*'ANALYSE - ERP =&gt; SOUS-SEGMENT'!$JL$8:$JL$154)/SUMPRODUCT(('ANALYSE - ERP =&gt; SOUS-SEGMENT'!$C$8:$C$154=$C11)*'ANALYSE - ERP =&gt; SOUS-SEGMENT'!$Q$8:$Q$154*'ANALYSE - ERP =&gt; SOUS-SEGMENT'!$BG$8:$BG$154),0)</f>
        <v>0</v>
      </c>
      <c r="JJ11" s="749">
        <f>IFERROR(SUMPRODUCT(('ANALYSE - ERP =&gt; SOUS-SEGMENT'!$C$8:$C$154=$C11)*'ANALYSE - ERP =&gt; SOUS-SEGMENT'!$Q$8:$Q$154*'ANALYSE - ERP =&gt; SOUS-SEGMENT'!$BG$8:$BG$154*'ANALYSE - ERP =&gt; SOUS-SEGMENT'!$JM$8:$JM$154)/SUMPRODUCT(('ANALYSE - ERP =&gt; SOUS-SEGMENT'!$C$8:$C$154=$C11)*'ANALYSE - ERP =&gt; SOUS-SEGMENT'!$Q$8:$Q$154*'ANALYSE - ERP =&gt; SOUS-SEGMENT'!$BG$8:$BG$154),0)</f>
        <v>0</v>
      </c>
      <c r="JK11" s="748">
        <f>IFERROR(SUMPRODUCT(('ANALYSE - ERP =&gt; SOUS-SEGMENT'!$C$8:$C$154=$C11)*'ANALYSE - ERP =&gt; SOUS-SEGMENT'!$Q$8:$Q$154*'ANALYSE - ERP =&gt; SOUS-SEGMENT'!$FH$8:$FH$154*'ANALYSE - ERP =&gt; SOUS-SEGMENT'!$JN$8:$JN$154)/SUMPRODUCT(('ANALYSE - ERP =&gt; SOUS-SEGMENT'!$C$8:$C$154=$C11)*'ANALYSE - ERP =&gt; SOUS-SEGMENT'!$Q$8:$Q$154*'ANALYSE - ERP =&gt; SOUS-SEGMENT'!$FH$8:$FH$154),0)</f>
        <v>0</v>
      </c>
      <c r="JL11" s="748">
        <f>IFERROR(SUMPRODUCT(('ANALYSE - ERP =&gt; SOUS-SEGMENT'!$C$8:$C$154=$C11)*'ANALYSE - ERP =&gt; SOUS-SEGMENT'!$Q$8:$Q$154*'ANALYSE - ERP =&gt; SOUS-SEGMENT'!$FH$8:$FH$154*'ANALYSE - ERP =&gt; SOUS-SEGMENT'!$JO$8:$JO$154)/SUMPRODUCT(('ANALYSE - ERP =&gt; SOUS-SEGMENT'!$C$8:$C$154=$C11)*'ANALYSE - ERP =&gt; SOUS-SEGMENT'!$Q$8:$Q$154*'ANALYSE - ERP =&gt; SOUS-SEGMENT'!$FH$8:$FH$154),0)</f>
        <v>0</v>
      </c>
      <c r="JM11" s="748">
        <f>IFERROR(SUMPRODUCT(('ANALYSE - ERP =&gt; SOUS-SEGMENT'!$C$8:$C$154=$C11)*'ANALYSE - ERP =&gt; SOUS-SEGMENT'!$Q$8:$Q$154*'ANALYSE - ERP =&gt; SOUS-SEGMENT'!$FH$8:$FH$154*'ANALYSE - ERP =&gt; SOUS-SEGMENT'!$JP$8:$JP$154)/SUMPRODUCT(('ANALYSE - ERP =&gt; SOUS-SEGMENT'!$C$8:$C$154=$C11)*'ANALYSE - ERP =&gt; SOUS-SEGMENT'!$Q$8:$Q$154*'ANALYSE - ERP =&gt; SOUS-SEGMENT'!$FH$8:$FH$154),0)</f>
        <v>0</v>
      </c>
      <c r="JN11" s="748">
        <f>IFERROR(SUMPRODUCT(('ANALYSE - ERP =&gt; SOUS-SEGMENT'!$C$8:$C$154=$C11)*'ANALYSE - ERP =&gt; SOUS-SEGMENT'!$Q$8:$Q$154*'ANALYSE - ERP =&gt; SOUS-SEGMENT'!$FH$8:$FH$154*'ANALYSE - ERP =&gt; SOUS-SEGMENT'!$JQ$8:$JQ$154)/SUMPRODUCT(('ANALYSE - ERP =&gt; SOUS-SEGMENT'!$C$8:$C$154=$C11)*'ANALYSE - ERP =&gt; SOUS-SEGMENT'!$Q$8:$Q$154*'ANALYSE - ERP =&gt; SOUS-SEGMENT'!$FH$8:$FH$154),0)</f>
        <v>0</v>
      </c>
      <c r="JO11" s="748">
        <f>IFERROR(SUMPRODUCT(('ANALYSE - ERP =&gt; SOUS-SEGMENT'!$C$8:$C$154=$C11)*'ANALYSE - ERP =&gt; SOUS-SEGMENT'!$Q$8:$Q$154*'ANALYSE - ERP =&gt; SOUS-SEGMENT'!$FH$8:$FH$154*'ANALYSE - ERP =&gt; SOUS-SEGMENT'!$JR$8:$JR$154)/SUMPRODUCT(('ANALYSE - ERP =&gt; SOUS-SEGMENT'!$C$8:$C$154=$C11)*'ANALYSE - ERP =&gt; SOUS-SEGMENT'!$Q$8:$Q$154*'ANALYSE - ERP =&gt; SOUS-SEGMENT'!$FH$8:$FH$154),0)</f>
        <v>0</v>
      </c>
      <c r="JP11" s="771">
        <f>IFERROR(SUMPRODUCT(('ANALYSE - ERP =&gt; SOUS-SEGMENT'!$C$8:$C$154=$C11)*'ANALYSE - ERP =&gt; SOUS-SEGMENT'!$Q$8:$Q$154*'ANALYSE - ERP =&gt; SOUS-SEGMENT'!$BH$8:$BH$154*'ANALYSE - ERP =&gt; SOUS-SEGMENT'!$JS$8:$JS$154)/SUMPRODUCT(('ANALYSE - ERP =&gt; SOUS-SEGMENT'!$C$8:$C$154=$C11)*'ANALYSE - ERP =&gt; SOUS-SEGMENT'!$Q$8:$Q$154*'ANALYSE - ERP =&gt; SOUS-SEGMENT'!$BH$8:$BH$154),0)</f>
        <v>0</v>
      </c>
      <c r="JQ11" s="748">
        <f>IFERROR(SUMPRODUCT(('ANALYSE - ERP =&gt; SOUS-SEGMENT'!$C$8:$C$154=$C11)*'ANALYSE - ERP =&gt; SOUS-SEGMENT'!$Q$8:$Q$154*'ANALYSE - ERP =&gt; SOUS-SEGMENT'!$BH$8:$BH$154*'ANALYSE - ERP =&gt; SOUS-SEGMENT'!$JT$8:$JT$154)/SUMPRODUCT(('ANALYSE - ERP =&gt; SOUS-SEGMENT'!$C$8:$C$154=$C11)*'ANALYSE - ERP =&gt; SOUS-SEGMENT'!$Q$8:$Q$154*'ANALYSE - ERP =&gt; SOUS-SEGMENT'!$BH$8:$BH$154),0)</f>
        <v>0</v>
      </c>
      <c r="JR11" s="748">
        <f>IFERROR(SUMPRODUCT(('ANALYSE - ERP =&gt; SOUS-SEGMENT'!$C$8:$C$154=$C11)*'ANALYSE - ERP =&gt; SOUS-SEGMENT'!$Q$8:$Q$154*'ANALYSE - ERP =&gt; SOUS-SEGMENT'!$BH$8:$BH$154*'ANALYSE - ERP =&gt; SOUS-SEGMENT'!$JU$8:$JU$154)/SUMPRODUCT(('ANALYSE - ERP =&gt; SOUS-SEGMENT'!$C$8:$C$154=$C11)*'ANALYSE - ERP =&gt; SOUS-SEGMENT'!$Q$8:$Q$154*'ANALYSE - ERP =&gt; SOUS-SEGMENT'!$BH$8:$BH$154),0)</f>
        <v>0</v>
      </c>
      <c r="JS11" s="748">
        <f>IFERROR(SUMPRODUCT(('ANALYSE - ERP =&gt; SOUS-SEGMENT'!$C$8:$C$154=$C11)*'ANALYSE - ERP =&gt; SOUS-SEGMENT'!$Q$8:$Q$154*'ANALYSE - ERP =&gt; SOUS-SEGMENT'!$BH$8:$BH$154*'ANALYSE - ERP =&gt; SOUS-SEGMENT'!$JV$8:$JV$154)/SUMPRODUCT(('ANALYSE - ERP =&gt; SOUS-SEGMENT'!$C$8:$C$154=$C11)*'ANALYSE - ERP =&gt; SOUS-SEGMENT'!$Q$8:$Q$154*'ANALYSE - ERP =&gt; SOUS-SEGMENT'!$BH$8:$BH$154),0)</f>
        <v>0</v>
      </c>
      <c r="JT11" s="749">
        <f>IFERROR(SUMPRODUCT(('ANALYSE - ERP =&gt; SOUS-SEGMENT'!$C$8:$C$154=$C11)*'ANALYSE - ERP =&gt; SOUS-SEGMENT'!$Q$8:$Q$154*'ANALYSE - ERP =&gt; SOUS-SEGMENT'!$BH$8:$BH$154*'ANALYSE - ERP =&gt; SOUS-SEGMENT'!$JW$8:$JW$154)/SUMPRODUCT(('ANALYSE - ERP =&gt; SOUS-SEGMENT'!$C$8:$C$154=$C11)*'ANALYSE - ERP =&gt; SOUS-SEGMENT'!$Q$8:$Q$154*'ANALYSE - ERP =&gt; SOUS-SEGMENT'!$BH$8:$BH$154),0)</f>
        <v>0</v>
      </c>
      <c r="JU11" s="771">
        <f>IFERROR(SUMPRODUCT(('ANALYSE - ERP =&gt; SOUS-SEGMENT'!$C$8:$C$154=$C11)*'ANALYSE - ERP =&gt; SOUS-SEGMENT'!$Q$8:$Q$154*'ANALYSE - ERP =&gt; SOUS-SEGMENT'!$FK$8:$FK$154*'ANALYSE - ERP =&gt; SOUS-SEGMENT'!$JX$8:$JX$154)/SUMPRODUCT(('ANALYSE - ERP =&gt; SOUS-SEGMENT'!$C$8:$C$154=$C11)*'ANALYSE - ERP =&gt; SOUS-SEGMENT'!$Q$8:$Q$154*'ANALYSE - ERP =&gt; SOUS-SEGMENT'!$FK$8:$FK$154),0)</f>
        <v>0</v>
      </c>
      <c r="JV11" s="748">
        <f>IFERROR(SUMPRODUCT(('ANALYSE - ERP =&gt; SOUS-SEGMENT'!$C$8:$C$154=$C11)*'ANALYSE - ERP =&gt; SOUS-SEGMENT'!$Q$8:$Q$154*'ANALYSE - ERP =&gt; SOUS-SEGMENT'!$FK$8:$FK$154*'ANALYSE - ERP =&gt; SOUS-SEGMENT'!$JY$8:$JY$154)/SUMPRODUCT(('ANALYSE - ERP =&gt; SOUS-SEGMENT'!$C$8:$C$154=$C11)*'ANALYSE - ERP =&gt; SOUS-SEGMENT'!$Q$8:$Q$154*'ANALYSE - ERP =&gt; SOUS-SEGMENT'!$FK$8:$FK$154),0)</f>
        <v>0</v>
      </c>
      <c r="JW11" s="748">
        <f>IFERROR(SUMPRODUCT(('ANALYSE - ERP =&gt; SOUS-SEGMENT'!$C$8:$C$154=$C11)*'ANALYSE - ERP =&gt; SOUS-SEGMENT'!$Q$8:$Q$154*'ANALYSE - ERP =&gt; SOUS-SEGMENT'!$FK$8:$FK$154*'ANALYSE - ERP =&gt; SOUS-SEGMENT'!$JZ$8:$JZ$154)/SUMPRODUCT(('ANALYSE - ERP =&gt; SOUS-SEGMENT'!$C$8:$C$154=$C11)*'ANALYSE - ERP =&gt; SOUS-SEGMENT'!$Q$8:$Q$154*'ANALYSE - ERP =&gt; SOUS-SEGMENT'!$FK$8:$FK$154),0)</f>
        <v>0</v>
      </c>
      <c r="JX11" s="748">
        <f>IFERROR(SUMPRODUCT(('ANALYSE - ERP =&gt; SOUS-SEGMENT'!$C$8:$C$154=$C11)*'ANALYSE - ERP =&gt; SOUS-SEGMENT'!$Q$8:$Q$154*'ANALYSE - ERP =&gt; SOUS-SEGMENT'!$FK$8:$FK$154*'ANALYSE - ERP =&gt; SOUS-SEGMENT'!$KA$8:$KA$154)/SUMPRODUCT(('ANALYSE - ERP =&gt; SOUS-SEGMENT'!$C$8:$C$154=$C11)*'ANALYSE - ERP =&gt; SOUS-SEGMENT'!$Q$8:$Q$154*'ANALYSE - ERP =&gt; SOUS-SEGMENT'!$FK$8:$FK$154),0)</f>
        <v>0</v>
      </c>
      <c r="JY11" s="775">
        <f>IFERROR(SUMPRODUCT(('ANALYSE - ERP =&gt; SOUS-SEGMENT'!$C$8:$C$154=$C11)*'ANALYSE - ERP =&gt; SOUS-SEGMENT'!$Q$8:$Q$154*'ANALYSE - ERP =&gt; SOUS-SEGMENT'!$FK$8:$FK$154*'ANALYSE - ERP =&gt; SOUS-SEGMENT'!$KB$8:$KB$154)/SUMPRODUCT(('ANALYSE - ERP =&gt; SOUS-SEGMENT'!$C$8:$C$154=$C11)*'ANALYSE - ERP =&gt; SOUS-SEGMENT'!$Q$8:$Q$154*'ANALYSE - ERP =&gt; SOUS-SEGMENT'!$FK$8:$FK$154),0)</f>
        <v>0</v>
      </c>
      <c r="JZ11" s="657"/>
      <c r="KA11" s="298" t="s">
        <v>2591</v>
      </c>
      <c r="KB11" s="298" t="s">
        <v>2625</v>
      </c>
      <c r="KC11" s="888" t="str">
        <f>IFERROR(SUMPRODUCT(('ANALYSE - ERP =&gt; SOUS-SEGMENT'!$C$8:$C$154=$C11)*'ANALYSE - ERP =&gt; SOUS-SEGMENT'!$Q$8:$Q$154*'ANALYSE - ERP =&gt; SOUS-SEGMENT'!$EX$8:$EX$154*'ANALYSE - ERP =&gt; SOUS-SEGMENT'!$KF$8:$KF$154)/SUMPRODUCT(('ANALYSE - ERP =&gt; SOUS-SEGMENT'!$C$8:$C$154=$C11)*'ANALYSE - ERP =&gt; SOUS-SEGMENT'!$Q$8:$Q$154*'ANALYSE - ERP =&gt; SOUS-SEGMENT'!$EX$8:$EX$154),"")</f>
        <v/>
      </c>
      <c r="KD11" s="298" t="s">
        <v>2589</v>
      </c>
      <c r="KE11" s="300" t="s">
        <v>3162</v>
      </c>
      <c r="KF11" s="620" t="s">
        <v>6760</v>
      </c>
      <c r="KG11" s="300" t="s">
        <v>6760</v>
      </c>
    </row>
    <row r="12" spans="1:293" ht="108" customHeight="1">
      <c r="A12" s="273">
        <v>5</v>
      </c>
      <c r="B12" s="482" t="s">
        <v>6739</v>
      </c>
      <c r="C12" s="482" t="s">
        <v>2091</v>
      </c>
      <c r="D12" s="482" t="s">
        <v>2836</v>
      </c>
      <c r="E12" s="275" t="s">
        <v>2106</v>
      </c>
      <c r="F12" s="275" t="s">
        <v>300</v>
      </c>
      <c r="G12" s="275" t="s">
        <v>300</v>
      </c>
      <c r="H12" s="275" t="s">
        <v>2109</v>
      </c>
      <c r="I12" s="276" t="s">
        <v>6835</v>
      </c>
      <c r="J12" s="276" t="s">
        <v>6836</v>
      </c>
      <c r="K12" s="277" t="s">
        <v>2097</v>
      </c>
      <c r="L12" s="277" t="s">
        <v>2109</v>
      </c>
      <c r="M12" s="277" t="s">
        <v>2603</v>
      </c>
      <c r="N12" s="277" t="s">
        <v>6742</v>
      </c>
      <c r="O12" s="277" t="s">
        <v>2212</v>
      </c>
      <c r="P12" s="276"/>
      <c r="Q12" s="270">
        <f>IF(SUMPRODUCT(('ANALYSE - ERP =&gt; SOUS-SEGMENT'!$C$8:$C$154=$C12)*'ANALYSE - ERP =&gt; SOUS-SEGMENT'!$Q$8:$Q$154)&gt;0,1,0)</f>
        <v>1</v>
      </c>
      <c r="R12" s="278">
        <f>IFERROR(SUMPRODUCT(('ANALYSE - ERP =&gt; SOUS-SEGMENT'!$C$8:$C$154=$C12)*'ANALYSE - ERP =&gt; SOUS-SEGMENT'!$Q$8:$Q$154*'ANALYSE - ERP =&gt; SOUS-SEGMENT'!$AG$8:$AG$154*'ANALYSE - ERP =&gt; SOUS-SEGMENT'!$R$8:$R$154)/SUMPRODUCT(('ANALYSE - ERP =&gt; SOUS-SEGMENT'!$C$8:$C$154=$C12)*'ANALYSE - ERP =&gt; SOUS-SEGMENT'!$Q$8:$Q$154*'ANALYSE - ERP =&gt; SOUS-SEGMENT'!$AG$8:$AG$154),"")</f>
        <v>2716.4179104477612</v>
      </c>
      <c r="S12" s="279">
        <f>SUMPRODUCT(('ANALYSE - ERP =&gt; SOUS-SEGMENT'!$C$8:$C$154=$C12)*'ANALYSE - ERP =&gt; SOUS-SEGMENT'!$Q$8:$Q$154*'ANALYSE - ERP =&gt; SOUS-SEGMENT'!$S$8:$S$154)</f>
        <v>3650</v>
      </c>
      <c r="T12" s="279">
        <f>SUMPRODUCT(('ANALYSE - ERP =&gt; SOUS-SEGMENT'!$C$8:$C$154=$C12)*'ANALYSE - ERP =&gt; SOUS-SEGMENT'!$Q$8:$Q$154*'ANALYSE - ERP =&gt; SOUS-SEGMENT'!$T$8:$T$154)</f>
        <v>4000</v>
      </c>
      <c r="U12" s="279">
        <f>SUMPRODUCT(('ANALYSE - ERP =&gt; SOUS-SEGMENT'!$C$8:$C$154=$C12)*'ANALYSE - ERP =&gt; SOUS-SEGMENT'!$Q$8:$Q$154*'ANALYSE - ERP =&gt; SOUS-SEGMENT'!$U$8:$U$154)</f>
        <v>4050</v>
      </c>
      <c r="V12" s="279">
        <f>SUMPRODUCT(('ANALYSE - ERP =&gt; SOUS-SEGMENT'!$C$8:$C$154=$C12)*'ANALYSE - ERP =&gt; SOUS-SEGMENT'!$Q$8:$Q$154*'ANALYSE - ERP =&gt; SOUS-SEGMENT'!$V$8:$V$154)</f>
        <v>4340</v>
      </c>
      <c r="W12" s="279">
        <f>SUMPRODUCT(('ANALYSE - ERP =&gt; SOUS-SEGMENT'!$C$8:$C$154=$C12)*'ANALYSE - ERP =&gt; SOUS-SEGMENT'!$Q$8:$Q$154*'ANALYSE - ERP =&gt; SOUS-SEGMENT'!$W$8:$W$154)</f>
        <v>4435</v>
      </c>
      <c r="X12" s="279">
        <f>SUMPRODUCT(('ANALYSE - ERP =&gt; SOUS-SEGMENT'!$C$8:$C$154=$C12)*'ANALYSE - ERP =&gt; SOUS-SEGMENT'!$Q$8:$Q$154*'ANALYSE - ERP =&gt; SOUS-SEGMENT'!$X$8:$X$154)</f>
        <v>4530</v>
      </c>
      <c r="Y12" s="279">
        <f>SUMPRODUCT(('ANALYSE - ERP =&gt; SOUS-SEGMENT'!$C$8:$C$154=$C12)*'ANALYSE - ERP =&gt; SOUS-SEGMENT'!$Q$8:$Q$154*'ANALYSE - ERP =&gt; SOUS-SEGMENT'!$Y$8:$Y$154)</f>
        <v>4615</v>
      </c>
      <c r="Z12" s="279">
        <f>SUMPRODUCT(('ANALYSE - ERP =&gt; SOUS-SEGMENT'!$C$8:$C$154=$C12)*'ANALYSE - ERP =&gt; SOUS-SEGMENT'!$Q$8:$Q$154*'ANALYSE - ERP =&gt; SOUS-SEGMENT'!$Z$8:$Z$154)</f>
        <v>4710</v>
      </c>
      <c r="AA12" s="279">
        <f>SUMPRODUCT(('ANALYSE - ERP =&gt; SOUS-SEGMENT'!$C$8:$C$154=$C12)*'ANALYSE - ERP =&gt; SOUS-SEGMENT'!$Q$8:$Q$154*'ANALYSE - ERP =&gt; SOUS-SEGMENT'!$AA$8:$AA$154)</f>
        <v>4755</v>
      </c>
      <c r="AB12" s="279">
        <f>SUMPRODUCT(('ANALYSE - ERP =&gt; SOUS-SEGMENT'!$C$8:$C$154=$C12)*'ANALYSE - ERP =&gt; SOUS-SEGMENT'!$Q$8:$Q$154*'ANALYSE - ERP =&gt; SOUS-SEGMENT'!$AB$8:$AB$154)</f>
        <v>4805</v>
      </c>
      <c r="AC12" s="279">
        <f>SUMPRODUCT(('ANALYSE - ERP =&gt; SOUS-SEGMENT'!$C$8:$C$154=$C12)*'ANALYSE - ERP =&gt; SOUS-SEGMENT'!$Q$8:$Q$154*'ANALYSE - ERP =&gt; SOUS-SEGMENT'!$AC$8:$AC$154)</f>
        <v>4875</v>
      </c>
      <c r="AD12" s="279">
        <f>SUMPRODUCT(('ANALYSE - ERP =&gt; SOUS-SEGMENT'!$C$8:$C$154=$C12)*'ANALYSE - ERP =&gt; SOUS-SEGMENT'!$Q$8:$Q$154*'ANALYSE - ERP =&gt; SOUS-SEGMENT'!$AD$8:$AD$154)</f>
        <v>4959</v>
      </c>
      <c r="AE12" s="279">
        <f>SUMPRODUCT(('ANALYSE - ERP =&gt; SOUS-SEGMENT'!$C$8:$C$154=$C12)*'ANALYSE - ERP =&gt; SOUS-SEGMENT'!$Q$8:$Q$154*'ANALYSE - ERP =&gt; SOUS-SEGMENT'!$AE$8:$AE$154)</f>
        <v>5199</v>
      </c>
      <c r="AF12" s="279">
        <f>SUMPRODUCT(('ANALYSE - ERP =&gt; SOUS-SEGMENT'!$C$8:$C$154=$C12)*'ANALYSE - ERP =&gt; SOUS-SEGMENT'!$Q$8:$Q$154*'ANALYSE - ERP =&gt; SOUS-SEGMENT'!$AF$8:$AF$154)</f>
        <v>5280</v>
      </c>
      <c r="AG12" s="279">
        <f>SUMPRODUCT(('ANALYSE - ERP =&gt; SOUS-SEGMENT'!$C$8:$C$154=$C12)*'ANALYSE - ERP =&gt; SOUS-SEGMENT'!$Q$8:$Q$154*'ANALYSE - ERP =&gt; SOUS-SEGMENT'!$AG$8:$AG$154)</f>
        <v>5360</v>
      </c>
      <c r="AH12" s="279">
        <f>SUMPRODUCT(('ANALYSE - ERP =&gt; SOUS-SEGMENT'!$C$8:$C$154=$C12)*'ANALYSE - ERP =&gt; SOUS-SEGMENT'!$Q$8:$Q$154*'ANALYSE - ERP =&gt; SOUS-SEGMENT'!$AH$8:$AH$154)</f>
        <v>5440</v>
      </c>
      <c r="AI12" s="279">
        <f>SUMPRODUCT(('ANALYSE - ERP =&gt; SOUS-SEGMENT'!$C$8:$C$154=$C12)*'ANALYSE - ERP =&gt; SOUS-SEGMENT'!$Q$8:$Q$154*'ANALYSE - ERP =&gt; SOUS-SEGMENT'!$AI$8:$AI$154)</f>
        <v>5522</v>
      </c>
      <c r="AJ12" s="279">
        <f>SUMPRODUCT(('ANALYSE - ERP =&gt; SOUS-SEGMENT'!$C$8:$C$154=$C12)*'ANALYSE - ERP =&gt; SOUS-SEGMENT'!$Q$8:$Q$154*'ANALYSE - ERP =&gt; SOUS-SEGMENT'!$AJ$8:$AJ$154)</f>
        <v>5605</v>
      </c>
      <c r="AK12" s="279">
        <f>SUMPRODUCT(('ANALYSE - ERP =&gt; SOUS-SEGMENT'!$C$8:$C$154=$C12)*'ANALYSE - ERP =&gt; SOUS-SEGMENT'!$Q$8:$Q$154*'ANALYSE - ERP =&gt; SOUS-SEGMENT'!$AK$8:$AK$154)</f>
        <v>5685</v>
      </c>
      <c r="AL12" s="276" t="s">
        <v>6837</v>
      </c>
      <c r="AM12" s="276" t="s">
        <v>6838</v>
      </c>
      <c r="AN12" s="276" t="s">
        <v>2842</v>
      </c>
      <c r="AO12" s="657"/>
      <c r="AP12" s="278">
        <f>IFERROR(SUMPRODUCT(('ANALYSE - ERP =&gt; SOUS-SEGMENT'!$C$8:$C$154=$C12)*'ANALYSE - ERP =&gt; SOUS-SEGMENT'!$Q$8:$Q$154*'ANALYSE - ERP =&gt; SOUS-SEGMENT'!$AG$8:$AG$154*'ANALYSE - ERP =&gt; SOUS-SEGMENT'!$AP$8:$AP$154)/SUMPRODUCT(('ANALYSE - ERP =&gt; SOUS-SEGMENT'!$C$8:$C$154=$C12)*'ANALYSE - ERP =&gt; SOUS-SEGMENT'!$Q$8:$Q$154*'ANALYSE - ERP =&gt; SOUS-SEGMENT'!$AG$8:$AG$154),"")</f>
        <v>352.05223880597015</v>
      </c>
      <c r="AQ12" s="278">
        <f>IFERROR(SUMPRODUCT(('ANALYSE - ERP =&gt; SOUS-SEGMENT'!$C$8:$C$154=$C12)*'ANALYSE - ERP =&gt; SOUS-SEGMENT'!$Q$8:$Q$154*'ANALYSE - ERP =&gt; SOUS-SEGMENT'!$AF$8:$AF$154*'ANALYSE - ERP =&gt; SOUS-SEGMENT'!$AQ$8:$AQ$154)/SUMPRODUCT(('ANALYSE - ERP =&gt; SOUS-SEGMENT'!$C$8:$C$154=$C12)*'ANALYSE - ERP =&gt; SOUS-SEGMENT'!$Q$8:$Q$154*'ANALYSE - ERP =&gt; SOUS-SEGMENT'!$AF$8:$AF$154),"")</f>
        <v>309.82954545454544</v>
      </c>
      <c r="AR12" s="973">
        <f>IFERROR(SUMPRODUCT(('ANALYSE - ERP =&gt; SOUS-SEGMENT'!$C$8:$C$154=$C12)*'ANALYSE - ERP =&gt; SOUS-SEGMENT'!$Q$8:$Q$154*'ANALYSE - ERP =&gt; SOUS-SEGMENT'!$AF$8:$AF$154*'ANALYSE - ERP =&gt; SOUS-SEGMENT'!$AR$8:$AR$154)/SUMPRODUCT(('ANALYSE - ERP =&gt; SOUS-SEGMENT'!$C$8:$C$154=$C12)*'ANALYSE - ERP =&gt; SOUS-SEGMENT'!$Q$8:$Q$154*'ANALYSE - ERP =&gt; SOUS-SEGMENT'!$AF$8:$AF$154),"")</f>
        <v>32.875</v>
      </c>
      <c r="AS12" s="973">
        <f>IFERROR(SUMPRODUCT(('ANALYSE - ERP =&gt; SOUS-SEGMENT'!$C$8:$C$154=$C12)*'ANALYSE - ERP =&gt; SOUS-SEGMENT'!$Q$8:$Q$154*'ANALYSE - ERP =&gt; SOUS-SEGMENT'!$AF$8:$AF$154*'ANALYSE - ERP =&gt; SOUS-SEGMENT'!$AS$8:$AS$154)/SUMPRODUCT(('ANALYSE - ERP =&gt; SOUS-SEGMENT'!$C$8:$C$154=$C12)*'ANALYSE - ERP =&gt; SOUS-SEGMENT'!$Q$8:$Q$154*'ANALYSE - ERP =&gt; SOUS-SEGMENT'!$AF$8:$AF$154),"")</f>
        <v>7.8636363636363633</v>
      </c>
      <c r="AT12" s="657" t="s">
        <v>6839</v>
      </c>
      <c r="AU12" s="276" t="s">
        <v>6840</v>
      </c>
      <c r="AV12" s="296" t="s">
        <v>2687</v>
      </c>
      <c r="AW12" s="276" t="s">
        <v>6770</v>
      </c>
      <c r="AX12" s="657"/>
      <c r="AY12" s="282">
        <f>IFERROR(SUMPRODUCT(('ANALYSE - ERP =&gt; SOUS-SEGMENT'!$C$8:$C$154=$C12)*'ANALYSE - ERP =&gt; SOUS-SEGMENT'!$Q$8:$Q$154*'ANALYSE - ERP =&gt; SOUS-SEGMENT'!$AF$8:$AF$154*'ANALYSE - ERP =&gt; SOUS-SEGMENT'!$AZ$8:$AZ$154)/SUMPRODUCT(('ANALYSE - ERP =&gt; SOUS-SEGMENT'!$C$8:$C$154=$C12)*'ANALYSE - ERP =&gt; SOUS-SEGMENT'!$Q$8:$Q$154*'ANALYSE - ERP =&gt; SOUS-SEGMENT'!$AF$8:$AF$154),"")</f>
        <v>18.602272727272727</v>
      </c>
      <c r="AZ12" s="947">
        <f>IFERROR(SUMPRODUCT(('ANALYSE - ERP =&gt; SOUS-SEGMENT'!$C$8:$C$154=$C12)*'ANALYSE - ERP =&gt; SOUS-SEGMENT'!$Q$8:$Q$154*'ANALYSE - ERP =&gt; SOUS-SEGMENT'!$AF$8:$AF$154*'ANALYSE - ERP =&gt; SOUS-SEGMENT'!$BA$8:$BA$154)/SUMPRODUCT(('ANALYSE - ERP =&gt; SOUS-SEGMENT'!$C$8:$C$154=$C12)*'ANALYSE - ERP =&gt; SOUS-SEGMENT'!$Q$8:$Q$154*'ANALYSE - ERP =&gt; SOUS-SEGMENT'!$AF$8:$AF$154),"")</f>
        <v>5.0113636363636367</v>
      </c>
      <c r="BA12" s="282">
        <f>IFERROR(SUMPRODUCT(('ANALYSE - ERP =&gt; SOUS-SEGMENT'!$C$8:$C$154=$C12)*'ANALYSE - ERP =&gt; SOUS-SEGMENT'!$Q$8:$Q$154*'ANALYSE - ERP =&gt; SOUS-SEGMENT'!$AF$8:$AF$154*'ANALYSE - ERP =&gt; SOUS-SEGMENT'!$BB$8:$BB$154)/SUMPRODUCT(('ANALYSE - ERP =&gt; SOUS-SEGMENT'!$C$8:$C$154=$C12)*'ANALYSE - ERP =&gt; SOUS-SEGMENT'!$Q$8:$Q$154*'ANALYSE - ERP =&gt; SOUS-SEGMENT'!$AF$8:$AF$154),"")</f>
        <v>6.0113636363636367</v>
      </c>
      <c r="BB12" s="282">
        <f>IFERROR(SUMPRODUCT(('ANALYSE - ERP =&gt; SOUS-SEGMENT'!$C$8:$C$154=$C12)*'ANALYSE - ERP =&gt; SOUS-SEGMENT'!$Q$8:$Q$154*'ANALYSE - ERP =&gt; SOUS-SEGMENT'!$AF$8:$AF$154*'ANALYSE - ERP =&gt; SOUS-SEGMENT'!$BC$8:$BC$154)/SUMPRODUCT(('ANALYSE - ERP =&gt; SOUS-SEGMENT'!$C$8:$C$154=$C12)*'ANALYSE - ERP =&gt; SOUS-SEGMENT'!$Q$8:$Q$154*'ANALYSE - ERP =&gt; SOUS-SEGMENT'!$AF$8:$AF$154),"")</f>
        <v>14.022727272727273</v>
      </c>
      <c r="BC12" s="283">
        <f>SUMPRODUCT(('ANALYSE - ERP =&gt; SOUS-SEGMENT'!$C$8:$C$154=$C12)*'ANALYSE - ERP =&gt; SOUS-SEGMENT'!$Q$8:$Q$154*'ANALYSE - ERP =&gt; SOUS-SEGMENT'!$BE$8:$BE$154)</f>
        <v>98220</v>
      </c>
      <c r="BD12" s="283">
        <f>SUMPRODUCT(('ANALYSE - ERP =&gt; SOUS-SEGMENT'!$C$8:$C$154=$C12)*'ANALYSE - ERP =&gt; SOUS-SEGMENT'!$Q$8:$Q$154*'ANALYSE - ERP =&gt; SOUS-SEGMENT'!$BF$8:$BF$154)</f>
        <v>26460</v>
      </c>
      <c r="BE12" s="283">
        <f>SUMPRODUCT(('ANALYSE - ERP =&gt; SOUS-SEGMENT'!$C$8:$C$154=$C12)*'ANALYSE - ERP =&gt; SOUS-SEGMENT'!$Q$8:$Q$154*'ANALYSE - ERP =&gt; SOUS-SEGMENT'!$BG$8:$BG$154)</f>
        <v>31740</v>
      </c>
      <c r="BF12" s="283">
        <f>SUMPRODUCT(('ANALYSE - ERP =&gt; SOUS-SEGMENT'!$C$8:$C$154=$C12)*'ANALYSE - ERP =&gt; SOUS-SEGMENT'!$Q$8:$Q$154*'ANALYSE - ERP =&gt; SOUS-SEGMENT'!$BH$8:$BH$154)</f>
        <v>74040</v>
      </c>
      <c r="BG12" s="283">
        <f>SUMPRODUCT(('ANALYSE - ERP =&gt; SOUS-SEGMENT'!$C$8:$C$154=$C12)*'ANALYSE - ERP =&gt; SOUS-SEGMENT'!$Q$8:$Q$154*'ANALYSE - ERP =&gt; SOUS-SEGMENT'!$BJ$8:$BJ$154)</f>
        <v>107845</v>
      </c>
      <c r="BH12" s="283">
        <f>SUMPRODUCT(('ANALYSE - ERP =&gt; SOUS-SEGMENT'!$C$8:$C$154=$C12)*'ANALYSE - ERP =&gt; SOUS-SEGMENT'!$Q$8:$Q$154*'ANALYSE - ERP =&gt; SOUS-SEGMENT'!$BK$8:$BK$154)</f>
        <v>29260</v>
      </c>
      <c r="BI12" s="283">
        <f>SUMPRODUCT(('ANALYSE - ERP =&gt; SOUS-SEGMENT'!$C$8:$C$154=$C12)*'ANALYSE - ERP =&gt; SOUS-SEGMENT'!$Q$8:$Q$154*'ANALYSE - ERP =&gt; SOUS-SEGMENT'!$BL$8:$BL$154)</f>
        <v>34945</v>
      </c>
      <c r="BJ12" s="283">
        <f>SUMPRODUCT(('ANALYSE - ERP =&gt; SOUS-SEGMENT'!$C$8:$C$154=$C12)*'ANALYSE - ERP =&gt; SOUS-SEGMENT'!$Q$8:$Q$154*'ANALYSE - ERP =&gt; SOUS-SEGMENT'!$BM$8:$BM$154)</f>
        <v>81260</v>
      </c>
      <c r="BK12" s="657"/>
      <c r="BL12" s="580">
        <f>IFERROR(SUMPRODUCT(('ANALYSE - ERP =&gt; SOUS-SEGMENT'!$C$8:$C$154=$C12)*'ANALYSE - ERP =&gt; SOUS-SEGMENT'!$Q$8:$Q$154*'ANALYSE - ERP =&gt; SOUS-SEGMENT'!$BE$8:$BE$154*'ANALYSE - ERP =&gt; SOUS-SEGMENT'!$BO$8:$BO$154)/SUMPRODUCT(('ANALYSE - ERP =&gt; SOUS-SEGMENT'!$C$8:$C$154=$C12)*'ANALYSE - ERP =&gt; SOUS-SEGMENT'!$Q$8:$Q$154*'ANALYSE - ERP =&gt; SOUS-SEGMENT'!$BE$8:$BE$154),"")</f>
        <v>0.13832620647525962</v>
      </c>
      <c r="BM12" s="305">
        <f>IFERROR(SUMPRODUCT(('ANALYSE - ERP =&gt; SOUS-SEGMENT'!$C$8:$C$154=$C12)*'ANALYSE - ERP =&gt; SOUS-SEGMENT'!$Q$8:$Q$154*'ANALYSE - ERP =&gt; SOUS-SEGMENT'!$BE$8:$BE$154*'ANALYSE - ERP =&gt; SOUS-SEGMENT'!$BP$8:$BP$154)/SUMPRODUCT(('ANALYSE - ERP =&gt; SOUS-SEGMENT'!$C$8:$C$154=$C12)*'ANALYSE - ERP =&gt; SOUS-SEGMENT'!$Q$8:$Q$154*'ANALYSE - ERP =&gt; SOUS-SEGMENT'!$BE$8:$BE$154),"")</f>
        <v>0.75861942577886388</v>
      </c>
      <c r="BN12" s="305">
        <f>IFERROR(SUMPRODUCT(('ANALYSE - ERP =&gt; SOUS-SEGMENT'!$C$8:$C$154=$C12)*'ANALYSE - ERP =&gt; SOUS-SEGMENT'!$Q$8:$Q$154*'ANALYSE - ERP =&gt; SOUS-SEGMENT'!$BE$8:$BE$154*'ANALYSE - ERP =&gt; SOUS-SEGMENT'!$BQ$8:$BQ$154)/SUMPRODUCT(('ANALYSE - ERP =&gt; SOUS-SEGMENT'!$C$8:$C$154=$C12)*'ANALYSE - ERP =&gt; SOUS-SEGMENT'!$Q$8:$Q$154*'ANALYSE - ERP =&gt; SOUS-SEGMENT'!$BE$8:$BE$154),"")</f>
        <v>6.3054367745876597E-2</v>
      </c>
      <c r="BO12" s="581">
        <f>IFERROR(SUMPRODUCT(('ANALYSE - ERP =&gt; SOUS-SEGMENT'!$C$8:$C$154=$C12)*'ANALYSE - ERP =&gt; SOUS-SEGMENT'!$Q$8:$Q$154*'ANALYSE - ERP =&gt; SOUS-SEGMENT'!$BE$8:$BE$154*'ANALYSE - ERP =&gt; SOUS-SEGMENT'!$BR$8:$BR$154)/SUMPRODUCT(('ANALYSE - ERP =&gt; SOUS-SEGMENT'!$C$8:$C$154=$C12)*'ANALYSE - ERP =&gt; SOUS-SEGMENT'!$Q$8:$Q$154*'ANALYSE - ERP =&gt; SOUS-SEGMENT'!$BE$8:$BE$154),"")</f>
        <v>0.04</v>
      </c>
      <c r="BP12" s="580">
        <f>IFERROR(SUMPRODUCT(('ANALYSE - ERP =&gt; SOUS-SEGMENT'!$C$8:$C$154=$C12)*'ANALYSE - ERP =&gt; SOUS-SEGMENT'!$Q$8:$Q$154*'ANALYSE - ERP =&gt; SOUS-SEGMENT'!$BJ$8:$BJ$154*'ANALYSE - ERP =&gt; SOUS-SEGMENT'!$BS$8:$BS$154)/SUMPRODUCT(('ANALYSE - ERP =&gt; SOUS-SEGMENT'!$C$8:$C$154=$C12)*'ANALYSE - ERP =&gt; SOUS-SEGMENT'!$Q$8:$Q$154*'ANALYSE - ERP =&gt; SOUS-SEGMENT'!$BJ$8:$BJ$154),"")</f>
        <v>0.1146529741759006</v>
      </c>
      <c r="BQ12" s="305">
        <f>IFERROR(SUMPRODUCT(('ANALYSE - ERP =&gt; SOUS-SEGMENT'!$C$8:$C$154=$C12)*'ANALYSE - ERP =&gt; SOUS-SEGMENT'!$Q$8:$Q$154*'ANALYSE - ERP =&gt; SOUS-SEGMENT'!$BJ$8:$BJ$154*'ANALYSE - ERP =&gt; SOUS-SEGMENT'!$BT$8:$BT$154)/SUMPRODUCT(('ANALYSE - ERP =&gt; SOUS-SEGMENT'!$C$8:$C$154=$C12)*'ANALYSE - ERP =&gt; SOUS-SEGMENT'!$Q$8:$Q$154*'ANALYSE - ERP =&gt; SOUS-SEGMENT'!$BJ$8:$BJ$154),"")</f>
        <v>0.77046270109879922</v>
      </c>
      <c r="BR12" s="305">
        <f>IFERROR(SUMPRODUCT(('ANALYSE - ERP =&gt; SOUS-SEGMENT'!$C$8:$C$154=$C12)*'ANALYSE - ERP =&gt; SOUS-SEGMENT'!$Q$8:$Q$154*'ANALYSE - ERP =&gt; SOUS-SEGMENT'!$BJ$8:$BJ$154*'ANALYSE - ERP =&gt; SOUS-SEGMENT'!$BU$8:$BU$154)/SUMPRODUCT(('ANALYSE - ERP =&gt; SOUS-SEGMENT'!$C$8:$C$154=$C12)*'ANALYSE - ERP =&gt; SOUS-SEGMENT'!$Q$8:$Q$154*'ANALYSE - ERP =&gt; SOUS-SEGMENT'!$BJ$8:$BJ$154),"")</f>
        <v>8.4884324725300206E-2</v>
      </c>
      <c r="BS12" s="581">
        <f>IFERROR(SUMPRODUCT(('ANALYSE - ERP =&gt; SOUS-SEGMENT'!$C$8:$C$154=$C12)*'ANALYSE - ERP =&gt; SOUS-SEGMENT'!$Q$8:$Q$154*'ANALYSE - ERP =&gt; SOUS-SEGMENT'!$BJ$8:$BJ$154*'ANALYSE - ERP =&gt; SOUS-SEGMENT'!$BV$8:$BV$154)/SUMPRODUCT(('ANALYSE - ERP =&gt; SOUS-SEGMENT'!$C$8:$C$154=$C12)*'ANALYSE - ERP =&gt; SOUS-SEGMENT'!$Q$8:$Q$154*'ANALYSE - ERP =&gt; SOUS-SEGMENT'!$BJ$8:$BJ$154),"")</f>
        <v>0.03</v>
      </c>
      <c r="BT12" s="589">
        <f>IFERROR(SUMPRODUCT(('ANALYSE - ERP =&gt; SOUS-SEGMENT'!$C$8:$C$154=$C12)*'ANALYSE - ERP =&gt; SOUS-SEGMENT'!$Q$8:$Q$154*'ANALYSE - ERP =&gt; SOUS-SEGMENT'!$BF$8:$BF$154*'ANALYSE - ERP =&gt; SOUS-SEGMENT'!$BW$8:$BW$154)/SUMPRODUCT(('ANALYSE - ERP =&gt; SOUS-SEGMENT'!$C$8:$C$154=$C12)*'ANALYSE - ERP =&gt; SOUS-SEGMENT'!$Q$8:$Q$154*'ANALYSE - ERP =&gt; SOUS-SEGMENT'!$BF$8:$BF$154),"")</f>
        <v>0.25</v>
      </c>
      <c r="BU12" s="306">
        <f>IFERROR(SUMPRODUCT(('ANALYSE - ERP =&gt; SOUS-SEGMENT'!$C$8:$C$154=$C12)*'ANALYSE - ERP =&gt; SOUS-SEGMENT'!$Q$8:$Q$154*'ANALYSE - ERP =&gt; SOUS-SEGMENT'!$BF$8:$BF$154*'ANALYSE - ERP =&gt; SOUS-SEGMENT'!$BX$8:$BX$154)/SUMPRODUCT(('ANALYSE - ERP =&gt; SOUS-SEGMENT'!$C$8:$C$154=$C12)*'ANALYSE - ERP =&gt; SOUS-SEGMENT'!$Q$8:$Q$154*'ANALYSE - ERP =&gt; SOUS-SEGMENT'!$BF$8:$BF$154),"")</f>
        <v>0.65</v>
      </c>
      <c r="BV12" s="590">
        <f>IFERROR(SUMPRODUCT(('ANALYSE - ERP =&gt; SOUS-SEGMENT'!$C$8:$C$154=$C12)*'ANALYSE - ERP =&gt; SOUS-SEGMENT'!$Q$8:$Q$154*'ANALYSE - ERP =&gt; SOUS-SEGMENT'!$BF$8:$BF$154*'ANALYSE - ERP =&gt; SOUS-SEGMENT'!$BY$8:$BY$154)/SUMPRODUCT(('ANALYSE - ERP =&gt; SOUS-SEGMENT'!$C$8:$C$154=$C12)*'ANALYSE - ERP =&gt; SOUS-SEGMENT'!$Q$8:$Q$154*'ANALYSE - ERP =&gt; SOUS-SEGMENT'!$BF$8:$BF$154),"")</f>
        <v>0.1</v>
      </c>
      <c r="BW12" s="589">
        <f>IFERROR(SUMPRODUCT(('ANALYSE - ERP =&gt; SOUS-SEGMENT'!$C$8:$C$154=$C12)*'ANALYSE - ERP =&gt; SOUS-SEGMENT'!$Q$8:$Q$154*'ANALYSE - ERP =&gt; SOUS-SEGMENT'!$BK$8:$BK$154*'ANALYSE - ERP =&gt; SOUS-SEGMENT'!$BZ$8:$BZ$154)/SUMPRODUCT(('ANALYSE - ERP =&gt; SOUS-SEGMENT'!$C$8:$C$154=$C12)*'ANALYSE - ERP =&gt; SOUS-SEGMENT'!$Q$8:$Q$154*'ANALYSE - ERP =&gt; SOUS-SEGMENT'!$BK$8:$BK$154),"")</f>
        <v>0.2</v>
      </c>
      <c r="BX12" s="306">
        <f>IFERROR(SUMPRODUCT(('ANALYSE - ERP =&gt; SOUS-SEGMENT'!$C$8:$C$154=$C12)*'ANALYSE - ERP =&gt; SOUS-SEGMENT'!$Q$8:$Q$154*'ANALYSE - ERP =&gt; SOUS-SEGMENT'!$BK$8:$BK$154*'ANALYSE - ERP =&gt; SOUS-SEGMENT'!$CA$8:$CA$154)/SUMPRODUCT(('ANALYSE - ERP =&gt; SOUS-SEGMENT'!$C$8:$C$154=$C12)*'ANALYSE - ERP =&gt; SOUS-SEGMENT'!$Q$8:$Q$154*'ANALYSE - ERP =&gt; SOUS-SEGMENT'!$BK$8:$BK$154),"")</f>
        <v>0.68</v>
      </c>
      <c r="BY12" s="590">
        <f>IFERROR(SUMPRODUCT(('ANALYSE - ERP =&gt; SOUS-SEGMENT'!$C$8:$C$154=$C12)*'ANALYSE - ERP =&gt; SOUS-SEGMENT'!$Q$8:$Q$154*'ANALYSE - ERP =&gt; SOUS-SEGMENT'!$BK$8:$BK$154*'ANALYSE - ERP =&gt; SOUS-SEGMENT'!$CB$8:$CB$154)/SUMPRODUCT(('ANALYSE - ERP =&gt; SOUS-SEGMENT'!$C$8:$C$154=$C12)*'ANALYSE - ERP =&gt; SOUS-SEGMENT'!$Q$8:$Q$154*'ANALYSE - ERP =&gt; SOUS-SEGMENT'!$BK$8:$BK$154),"")</f>
        <v>0.12</v>
      </c>
      <c r="BZ12" s="580">
        <f>IFERROR(SUMPRODUCT(('ANALYSE - ERP =&gt; SOUS-SEGMENT'!$C$8:$C$154=$C12)*'ANALYSE - ERP =&gt; SOUS-SEGMENT'!$Q$8:$Q$154*'ANALYSE - ERP =&gt; SOUS-SEGMENT'!$BG$8:$BG$154*'ANALYSE - ERP =&gt; SOUS-SEGMENT'!$CC$8:$CC$154)/SUMPRODUCT(('ANALYSE - ERP =&gt; SOUS-SEGMENT'!$C$8:$C$154=$C12)*'ANALYSE - ERP =&gt; SOUS-SEGMENT'!$Q$8:$Q$154*'ANALYSE - ERP =&gt; SOUS-SEGMENT'!$BG$8:$BG$154),"")</f>
        <v>5.330812854442344E-2</v>
      </c>
      <c r="CA12" s="305">
        <f>IFERROR(SUMPRODUCT(('ANALYSE - ERP =&gt; SOUS-SEGMENT'!$C$8:$C$154=$C12)*'ANALYSE - ERP =&gt; SOUS-SEGMENT'!$Q$8:$Q$154*'ANALYSE - ERP =&gt; SOUS-SEGMENT'!$BG$8:$BG$154*'ANALYSE - ERP =&gt; SOUS-SEGMENT'!$CD$8:$CD$154)/SUMPRODUCT(('ANALYSE - ERP =&gt; SOUS-SEGMENT'!$C$8:$C$154=$C12)*'ANALYSE - ERP =&gt; SOUS-SEGMENT'!$Q$8:$Q$154*'ANALYSE - ERP =&gt; SOUS-SEGMENT'!$BG$8:$BG$154),"")</f>
        <v>0.59527410207939513</v>
      </c>
      <c r="CB12" s="305">
        <f>IFERROR(SUMPRODUCT(('ANALYSE - ERP =&gt; SOUS-SEGMENT'!$C$8:$C$154=$C12)*'ANALYSE - ERP =&gt; SOUS-SEGMENT'!$Q$8:$Q$154*'ANALYSE - ERP =&gt; SOUS-SEGMENT'!$BG$8:$BG$154*'ANALYSE - ERP =&gt; SOUS-SEGMENT'!$CE$8:$CE$154)/SUMPRODUCT(('ANALYSE - ERP =&gt; SOUS-SEGMENT'!$C$8:$C$154=$C12)*'ANALYSE - ERP =&gt; SOUS-SEGMENT'!$Q$8:$Q$154*'ANALYSE - ERP =&gt; SOUS-SEGMENT'!$BG$8:$BG$154),"")</f>
        <v>9.2835538752362945E-2</v>
      </c>
      <c r="CC12" s="581">
        <f>IFERROR(SUMPRODUCT(('ANALYSE - ERP =&gt; SOUS-SEGMENT'!$C$8:$C$154=$C12)*'ANALYSE - ERP =&gt; SOUS-SEGMENT'!$Q$8:$Q$154*'ANALYSE - ERP =&gt; SOUS-SEGMENT'!$BG$8:$BG$154*'ANALYSE - ERP =&gt; SOUS-SEGMENT'!$CF$8:$CF$154)/SUMPRODUCT(('ANALYSE - ERP =&gt; SOUS-SEGMENT'!$C$8:$C$154=$C12)*'ANALYSE - ERP =&gt; SOUS-SEGMENT'!$Q$8:$Q$154*'ANALYSE - ERP =&gt; SOUS-SEGMENT'!$BG$8:$BG$154),"")</f>
        <v>0.25858223062381858</v>
      </c>
      <c r="CD12" s="580">
        <f>IFERROR(SUMPRODUCT(('ANALYSE - ERP =&gt; SOUS-SEGMENT'!$C$8:$C$154=$C12)*'ANALYSE - ERP =&gt; SOUS-SEGMENT'!$Q$8:$Q$154*'ANALYSE - ERP =&gt; SOUS-SEGMENT'!$BL$8:$BL$154*'ANALYSE - ERP =&gt; SOUS-SEGMENT'!$CG$8:$CG$154)/SUMPRODUCT(('ANALYSE - ERP =&gt; SOUS-SEGMENT'!$C$8:$C$154=$C12)*'ANALYSE - ERP =&gt; SOUS-SEGMENT'!$Q$8:$Q$154*'ANALYSE - ERP =&gt; SOUS-SEGMENT'!$BL$8:$BL$154),"")</f>
        <v>4.2584060666762055E-2</v>
      </c>
      <c r="CE12" s="305">
        <f>IFERROR(SUMPRODUCT(('ANALYSE - ERP =&gt; SOUS-SEGMENT'!$C$8:$C$154=$C12)*'ANALYSE - ERP =&gt; SOUS-SEGMENT'!$Q$8:$Q$154*'ANALYSE - ERP =&gt; SOUS-SEGMENT'!$BL$8:$BL$154*'ANALYSE - ERP =&gt; SOUS-SEGMENT'!$CH$8:$CH$154)/SUMPRODUCT(('ANALYSE - ERP =&gt; SOUS-SEGMENT'!$C$8:$C$154=$C12)*'ANALYSE - ERP =&gt; SOUS-SEGMENT'!$Q$8:$Q$154*'ANALYSE - ERP =&gt; SOUS-SEGMENT'!$BL$8:$BL$154),"")</f>
        <v>0.59569323222206327</v>
      </c>
      <c r="CF12" s="305">
        <f>IFERROR(SUMPRODUCT(('ANALYSE - ERP =&gt; SOUS-SEGMENT'!$C$8:$C$154=$C12)*'ANALYSE - ERP =&gt; SOUS-SEGMENT'!$Q$8:$Q$154*'ANALYSE - ERP =&gt; SOUS-SEGMENT'!$BL$8:$BL$154*'ANALYSE - ERP =&gt; SOUS-SEGMENT'!$CI$8:$CI$154)/SUMPRODUCT(('ANALYSE - ERP =&gt; SOUS-SEGMENT'!$C$8:$C$154=$C12)*'ANALYSE - ERP =&gt; SOUS-SEGMENT'!$Q$8:$Q$154*'ANALYSE - ERP =&gt; SOUS-SEGMENT'!$BL$8:$BL$154),"")</f>
        <v>0.11301473744455573</v>
      </c>
      <c r="CG12" s="581">
        <f>IFERROR(SUMPRODUCT(('ANALYSE - ERP =&gt; SOUS-SEGMENT'!$C$8:$C$154=$C12)*'ANALYSE - ERP =&gt; SOUS-SEGMENT'!$Q$8:$Q$154*'ANALYSE - ERP =&gt; SOUS-SEGMENT'!$BL$8:$BL$154*'ANALYSE - ERP =&gt; SOUS-SEGMENT'!$CJ$8:$CJ$154)/SUMPRODUCT(('ANALYSE - ERP =&gt; SOUS-SEGMENT'!$C$8:$C$154=$C12)*'ANALYSE - ERP =&gt; SOUS-SEGMENT'!$Q$8:$Q$154*'ANALYSE - ERP =&gt; SOUS-SEGMENT'!$BL$8:$BL$154),"")</f>
        <v>0.24870796966661898</v>
      </c>
      <c r="CH12" s="589">
        <f>IFERROR(SUMPRODUCT(('ANALYSE - ERP =&gt; SOUS-SEGMENT'!$C$8:$C$154=$C12)*'ANALYSE - ERP =&gt; SOUS-SEGMENT'!$Q$8:$Q$154*'ANALYSE - ERP =&gt; SOUS-SEGMENT'!$BH$8:$BH$154*'ANALYSE - ERP =&gt; SOUS-SEGMENT'!$CK$8:$CK$154)/SUMPRODUCT(('ANALYSE - ERP =&gt; SOUS-SEGMENT'!$C$8:$C$154=$C12)*'ANALYSE - ERP =&gt; SOUS-SEGMENT'!$Q$8:$Q$154*'ANALYSE - ERP =&gt; SOUS-SEGMENT'!$BH$8:$BH$154),"")</f>
        <v>0.50405186385737444</v>
      </c>
      <c r="CI12" s="306">
        <f>IFERROR(SUMPRODUCT(('ANALYSE - ERP =&gt; SOUS-SEGMENT'!$C$8:$C$154=$C12)*'ANALYSE - ERP =&gt; SOUS-SEGMENT'!$Q$8:$Q$154*'ANALYSE - ERP =&gt; SOUS-SEGMENT'!$BH$8:$BH$154*'ANALYSE - ERP =&gt; SOUS-SEGMENT'!$CL$8:$CL$154)/SUMPRODUCT(('ANALYSE - ERP =&gt; SOUS-SEGMENT'!$C$8:$C$154=$C12)*'ANALYSE - ERP =&gt; SOUS-SEGMENT'!$Q$8:$Q$154*'ANALYSE - ERP =&gt; SOUS-SEGMENT'!$BH$8:$BH$154),"")</f>
        <v>0.43784440842787681</v>
      </c>
      <c r="CJ12" s="590">
        <f>IFERROR(SUMPRODUCT(('ANALYSE - ERP =&gt; SOUS-SEGMENT'!$C$8:$C$154=$C12)*'ANALYSE - ERP =&gt; SOUS-SEGMENT'!$Q$8:$Q$154*'ANALYSE - ERP =&gt; SOUS-SEGMENT'!$BH$8:$BH$154*'ANALYSE - ERP =&gt; SOUS-SEGMENT'!$CM$8:$CM$154)/SUMPRODUCT(('ANALYSE - ERP =&gt; SOUS-SEGMENT'!$C$8:$C$154=$C12)*'ANALYSE - ERP =&gt; SOUS-SEGMENT'!$Q$8:$Q$154*'ANALYSE - ERP =&gt; SOUS-SEGMENT'!$BH$8:$BH$154),"")</f>
        <v>5.8103727714748782E-2</v>
      </c>
      <c r="CK12" s="589">
        <f>IFERROR(SUMPRODUCT(('ANALYSE - ERP =&gt; SOUS-SEGMENT'!$C$8:$C$154=$C12)*'ANALYSE - ERP =&gt; SOUS-SEGMENT'!$Q$8:$Q$154*'ANALYSE - ERP =&gt; SOUS-SEGMENT'!$BM$8:$BM$154*'ANALYSE - ERP =&gt; SOUS-SEGMENT'!$CN$8:$CN$154)/SUMPRODUCT(('ANALYSE - ERP =&gt; SOUS-SEGMENT'!$C$8:$C$154=$C12)*'ANALYSE - ERP =&gt; SOUS-SEGMENT'!$Q$8:$Q$154*'ANALYSE - ERP =&gt; SOUS-SEGMENT'!$BM$8:$BM$154),"")</f>
        <v>0.40518582328328823</v>
      </c>
      <c r="CL12" s="306">
        <f>IFERROR(SUMPRODUCT(('ANALYSE - ERP =&gt; SOUS-SEGMENT'!$C$8:$C$154=$C12)*'ANALYSE - ERP =&gt; SOUS-SEGMENT'!$Q$8:$Q$154*'ANALYSE - ERP =&gt; SOUS-SEGMENT'!$BM$8:$BM$154*'ANALYSE - ERP =&gt; SOUS-SEGMENT'!$CO$8:$CO$154)/SUMPRODUCT(('ANALYSE - ERP =&gt; SOUS-SEGMENT'!$C$8:$C$154=$C12)*'ANALYSE - ERP =&gt; SOUS-SEGMENT'!$Q$8:$Q$154*'ANALYSE - ERP =&gt; SOUS-SEGMENT'!$BM$8:$BM$154),"")</f>
        <v>0.48740585774058576</v>
      </c>
      <c r="CM12" s="590">
        <f>IFERROR(SUMPRODUCT(('ANALYSE - ERP =&gt; SOUS-SEGMENT'!$C$8:$C$154=$C12)*'ANALYSE - ERP =&gt; SOUS-SEGMENT'!$Q$8:$Q$154*'ANALYSE - ERP =&gt; SOUS-SEGMENT'!$BM$8:$BM$154*'ANALYSE - ERP =&gt; SOUS-SEGMENT'!$CP$8:$CP$154)/SUMPRODUCT(('ANALYSE - ERP =&gt; SOUS-SEGMENT'!$C$8:$C$154=$C12)*'ANALYSE - ERP =&gt; SOUS-SEGMENT'!$Q$8:$Q$154*'ANALYSE - ERP =&gt; SOUS-SEGMENT'!$BM$8:$BM$154),"")</f>
        <v>0.10740831897612602</v>
      </c>
      <c r="CN12" s="657"/>
      <c r="CO12" s="889">
        <f>IFERROR(SUMPRODUCT(('ANALYSE - ERP =&gt; SOUS-SEGMENT'!$C$8:$C$154=$C12)*'ANALYSE - ERP =&gt; SOUS-SEGMENT'!$DH$8:$DH$154*('ANALYSE - ERP =&gt; SOUS-SEGMENT'!$CR$8:$CR$154&gt;0)*'ANALYSE - ERP =&gt; SOUS-SEGMENT'!$CR$8:$CR$154)/SUMPRODUCT(('ANALYSE - ERP =&gt; SOUS-SEGMENT'!$C$8:$C$154=$C12)*'ANALYSE - ERP =&gt; SOUS-SEGMENT'!$DH$8:$DH$154*('ANALYSE - ERP =&gt; SOUS-SEGMENT'!$CR$8:$CR$154&gt;0)),"")</f>
        <v>12.19872813990461</v>
      </c>
      <c r="CP12" s="890">
        <f>IFERROR(SUMPRODUCT(('ANALYSE - ERP =&gt; SOUS-SEGMENT'!$C$8:$C$154=$C12)*'ANALYSE - ERP =&gt; SOUS-SEGMENT'!$DI$8:$DI$154*('ANALYSE - ERP =&gt; SOUS-SEGMENT'!$CS$8:$CS$154&gt;0)*'ANALYSE - ERP =&gt; SOUS-SEGMENT'!$CS$8:$CS$154)/SUMPRODUCT(('ANALYSE - ERP =&gt; SOUS-SEGMENT'!$C$8:$C$154=$C12)*'ANALYSE - ERP =&gt; SOUS-SEGMENT'!$DI$8:$DI$154*('ANALYSE - ERP =&gt; SOUS-SEGMENT'!$CS$8:$CS$154&gt;0)),"")</f>
        <v>13.050327734205144</v>
      </c>
      <c r="CQ12" s="890">
        <f>IFERROR(SUMPRODUCT(('ANALYSE - ERP =&gt; SOUS-SEGMENT'!$C$8:$C$154=$C12)*'ANALYSE - ERP =&gt; SOUS-SEGMENT'!$DJ$8:$DJ$154*('ANALYSE - ERP =&gt; SOUS-SEGMENT'!$CT$8:$CT$154&gt;0)*'ANALYSE - ERP =&gt; SOUS-SEGMENT'!$CT$8:$CT$154)/SUMPRODUCT(('ANALYSE - ERP =&gt; SOUS-SEGMENT'!$C$8:$C$154=$C12)*'ANALYSE - ERP =&gt; SOUS-SEGMENT'!$DJ$8:$DJ$154*('ANALYSE - ERP =&gt; SOUS-SEGMENT'!$CT$8:$CT$154&gt;0)),"")</f>
        <v>9.1211005619066068</v>
      </c>
      <c r="CR12" s="891">
        <f>IFERROR(SUMPRODUCT(('ANALYSE - ERP =&gt; SOUS-SEGMENT'!$C$8:$C$154=$C12)*'ANALYSE - ERP =&gt; SOUS-SEGMENT'!$DK$8:$DK$154*('ANALYSE - ERP =&gt; SOUS-SEGMENT'!$CU$8:$CU$154&gt;0)*'ANALYSE - ERP =&gt; SOUS-SEGMENT'!$CU$8:$CU$154)/SUMPRODUCT(('ANALYSE - ERP =&gt; SOUS-SEGMENT'!$C$8:$C$154=$C12)*'ANALYSE - ERP =&gt; SOUS-SEGMENT'!$DK$8:$DK$154*('ANALYSE - ERP =&gt; SOUS-SEGMENT'!$CU$8:$CU$154&gt;0)),"")</f>
        <v>11.076359193646915</v>
      </c>
      <c r="CS12" s="889">
        <f>IFERROR(SUMPRODUCT(('ANALYSE - ERP =&gt; SOUS-SEGMENT'!$C$8:$C$154=$C12)*'ANALYSE - ERP =&gt; SOUS-SEGMENT'!$DS$8:$DS$154*('ANALYSE - ERP =&gt; SOUS-SEGMENT'!$CV$8:$CV$154&gt;0)*'ANALYSE - ERP =&gt; SOUS-SEGMENT'!$CV$8:$CV$154)/SUMPRODUCT(('ANALYSE - ERP =&gt; SOUS-SEGMENT'!$C$8:$C$154=$C12)*'ANALYSE - ERP =&gt; SOUS-SEGMENT'!$DS$8:$DS$154*('ANALYSE - ERP =&gt; SOUS-SEGMENT'!$CV$8:$CV$154&gt;0)),"")</f>
        <v>10</v>
      </c>
      <c r="CT12" s="890">
        <f>IFERROR(SUMPRODUCT(('ANALYSE - ERP =&gt; SOUS-SEGMENT'!$C$8:$C$154=$C12)*'ANALYSE - ERP =&gt; SOUS-SEGMENT'!$DT$8:$DT$154*('ANALYSE - ERP =&gt; SOUS-SEGMENT'!$CW$8:$CW$154&gt;0)*'ANALYSE - ERP =&gt; SOUS-SEGMENT'!$CW$8:$CW$154)/SUMPRODUCT(('ANALYSE - ERP =&gt; SOUS-SEGMENT'!$C$8:$C$154=$C12)*'ANALYSE - ERP =&gt; SOUS-SEGMENT'!$DT$8:$DT$154*('ANALYSE - ERP =&gt; SOUS-SEGMENT'!$CW$8:$CW$154&gt;0)),"")</f>
        <v>10</v>
      </c>
      <c r="CU12" s="891">
        <f>IFERROR(SUMPRODUCT(('ANALYSE - ERP =&gt; SOUS-SEGMENT'!$C$8:$C$154=$C12)*'ANALYSE - ERP =&gt; SOUS-SEGMENT'!$DU$8:$DU$154*('ANALYSE - ERP =&gt; SOUS-SEGMENT'!$CX$8:$CX$154&gt;0)*'ANALYSE - ERP =&gt; SOUS-SEGMENT'!$CX$8:$CX$154)/SUMPRODUCT(('ANALYSE - ERP =&gt; SOUS-SEGMENT'!$C$8:$C$154=$C12)*'ANALYSE - ERP =&gt; SOUS-SEGMENT'!$DU$8:$DU$154*('ANALYSE - ERP =&gt; SOUS-SEGMENT'!$CX$8:$CX$154&gt;0)),"")</f>
        <v>8</v>
      </c>
      <c r="CV12" s="889">
        <f>IFERROR(SUMPRODUCT(('ANALYSE - ERP =&gt; SOUS-SEGMENT'!$C$8:$C$154=$C12)*'ANALYSE - ERP =&gt; SOUS-SEGMENT'!$EB$8:$EB$154*('ANALYSE - ERP =&gt; SOUS-SEGMENT'!$CY$8:$CY$154&gt;0)*'ANALYSE - ERP =&gt; SOUS-SEGMENT'!$CY$8:$CY$154)/SUMPRODUCT(('ANALYSE - ERP =&gt; SOUS-SEGMENT'!$C$8:$C$154=$C12)*'ANALYSE - ERP =&gt; SOUS-SEGMENT'!$EB$8:$EB$154*('ANALYSE - ERP =&gt; SOUS-SEGMENT'!$CY$8:$CY$154&gt;0)),"")</f>
        <v>10.106382978723405</v>
      </c>
      <c r="CW12" s="890">
        <f>IFERROR(SUMPRODUCT(('ANALYSE - ERP =&gt; SOUS-SEGMENT'!$C$8:$C$154=$C12)*'ANALYSE - ERP =&gt; SOUS-SEGMENT'!$EC$8:$EC$154*('ANALYSE - ERP =&gt; SOUS-SEGMENT'!$CZ$8:$CZ$154&gt;0)*'ANALYSE - ERP =&gt; SOUS-SEGMENT'!$CZ$8:$CZ$154)/SUMPRODUCT(('ANALYSE - ERP =&gt; SOUS-SEGMENT'!$C$8:$C$154=$C12)*'ANALYSE - ERP =&gt; SOUS-SEGMENT'!$EC$8:$EC$154*('ANALYSE - ERP =&gt; SOUS-SEGMENT'!$CZ$8:$CZ$154&gt;0)),"")</f>
        <v>13</v>
      </c>
      <c r="CX12" s="890">
        <f>IFERROR(SUMPRODUCT(('ANALYSE - ERP =&gt; SOUS-SEGMENT'!$C$8:$C$154=$C12)*'ANALYSE - ERP =&gt; SOUS-SEGMENT'!$ED$8:$ED$154*('ANALYSE - ERP =&gt; SOUS-SEGMENT'!$DA$8:$DA$154&gt;0)*'ANALYSE - ERP =&gt; SOUS-SEGMENT'!$DA$8:$DA$154)/SUMPRODUCT(('ANALYSE - ERP =&gt; SOUS-SEGMENT'!$C$8:$C$154=$C12)*'ANALYSE - ERP =&gt; SOUS-SEGMENT'!$ED$8:$ED$154*('ANALYSE - ERP =&gt; SOUS-SEGMENT'!$DA$8:$DA$154&gt;0)),"")</f>
        <v>9</v>
      </c>
      <c r="CY12" s="892">
        <f>IFERROR(SUMPRODUCT(('ANALYSE - ERP =&gt; SOUS-SEGMENT'!$C$8:$C$154=$C12)*'ANALYSE - ERP =&gt; SOUS-SEGMENT'!$EE$8:$EE$154*('ANALYSE - ERP =&gt; SOUS-SEGMENT'!$DB$8:$DB$154&gt;0)*'ANALYSE - ERP =&gt; SOUS-SEGMENT'!$DB$8:$DB$154)/SUMPRODUCT(('ANALYSE - ERP =&gt; SOUS-SEGMENT'!$C$8:$C$154=$C12)*'ANALYSE - ERP =&gt; SOUS-SEGMENT'!$EE$8:$EE$154*('ANALYSE - ERP =&gt; SOUS-SEGMENT'!$DB$8:$DB$154&gt;0)),"")</f>
        <v>11</v>
      </c>
      <c r="CZ12" s="893">
        <f>IFERROR(SUMPRODUCT(('ANALYSE - ERP =&gt; SOUS-SEGMENT'!$C$8:$C$154=$C12)*'ANALYSE - ERP =&gt; SOUS-SEGMENT'!$EM$8:$EM$154*('ANALYSE - ERP =&gt; SOUS-SEGMENT'!$DC$8:$DC$154&gt;0)*'ANALYSE - ERP =&gt; SOUS-SEGMENT'!$DC$8:$DC$154)/SUMPRODUCT(('ANALYSE - ERP =&gt; SOUS-SEGMENT'!$C$8:$C$154=$C12)*'ANALYSE - ERP =&gt; SOUS-SEGMENT'!$EM$8:$EM$154*('ANALYSE - ERP =&gt; SOUS-SEGMENT'!$DC$8:$DC$154&gt;0)),"")</f>
        <v>11.265273311897106</v>
      </c>
      <c r="DA12" s="890">
        <f>IFERROR(SUMPRODUCT(('ANALYSE - ERP =&gt; SOUS-SEGMENT'!$C$8:$C$154=$C12)*'ANALYSE - ERP =&gt; SOUS-SEGMENT'!$EN$8:$EN$154*('ANALYSE - ERP =&gt; SOUS-SEGMENT'!$DD$8:$DD$154&gt;0)*'ANALYSE - ERP =&gt; SOUS-SEGMENT'!$DD$8:$DD$154)/SUMPRODUCT(('ANALYSE - ERP =&gt; SOUS-SEGMENT'!$C$8:$C$154=$C12)*'ANALYSE - ERP =&gt; SOUS-SEGMENT'!$EN$8:$EN$154*('ANALYSE - ERP =&gt; SOUS-SEGMENT'!$DD$8:$DD$154&gt;0)),"")</f>
        <v>13.05552470849528</v>
      </c>
      <c r="DB12" s="892">
        <f>IFERROR(SUMPRODUCT(('ANALYSE - ERP =&gt; SOUS-SEGMENT'!$C$8:$C$154=$C12)*'ANALYSE - ERP =&gt; SOUS-SEGMENT'!$EO$8:$EO$154*('ANALYSE - ERP =&gt; SOUS-SEGMENT'!$DE$8:$DE$154&gt;0)*'ANALYSE - ERP =&gt; SOUS-SEGMENT'!$DE$8:$DE$154)/SUMPRODUCT(('ANALYSE - ERP =&gt; SOUS-SEGMENT'!$C$8:$C$154=$C12)*'ANALYSE - ERP =&gt; SOUS-SEGMENT'!$EO$8:$EO$154*('ANALYSE - ERP =&gt; SOUS-SEGMENT'!$DE$8:$DE$154&gt;0)),"")</f>
        <v>10</v>
      </c>
      <c r="DC12" s="609" t="s">
        <v>6841</v>
      </c>
      <c r="DD12" s="657"/>
      <c r="DE12" s="308">
        <f t="shared" si="2"/>
        <v>13586.4</v>
      </c>
      <c r="DF12" s="308">
        <f t="shared" si="3"/>
        <v>74511.600000000006</v>
      </c>
      <c r="DG12" s="308">
        <f t="shared" si="4"/>
        <v>6193.1999999999989</v>
      </c>
      <c r="DH12" s="308">
        <f t="shared" si="5"/>
        <v>3928.8</v>
      </c>
      <c r="DI12" s="287" t="s">
        <v>6842</v>
      </c>
      <c r="DJ12" s="308">
        <f t="shared" si="6"/>
        <v>12364.75</v>
      </c>
      <c r="DK12" s="308">
        <f t="shared" si="7"/>
        <v>83090.55</v>
      </c>
      <c r="DL12" s="308">
        <f t="shared" si="8"/>
        <v>9154.35</v>
      </c>
      <c r="DM12" s="308">
        <f t="shared" si="9"/>
        <v>3235.35</v>
      </c>
      <c r="DN12" s="287" t="s">
        <v>6843</v>
      </c>
      <c r="DO12" s="657"/>
      <c r="DP12" s="308">
        <f t="shared" si="10"/>
        <v>6615</v>
      </c>
      <c r="DQ12" s="308">
        <f t="shared" si="11"/>
        <v>17199</v>
      </c>
      <c r="DR12" s="308">
        <f t="shared" si="12"/>
        <v>2646</v>
      </c>
      <c r="DS12" s="287" t="s">
        <v>6844</v>
      </c>
      <c r="DT12" s="308">
        <f t="shared" si="13"/>
        <v>5852</v>
      </c>
      <c r="DU12" s="308">
        <f t="shared" si="14"/>
        <v>19896.800000000003</v>
      </c>
      <c r="DV12" s="308">
        <f t="shared" si="15"/>
        <v>3511.2</v>
      </c>
      <c r="DW12" s="287" t="s">
        <v>6844</v>
      </c>
      <c r="DX12" s="657"/>
      <c r="DY12" s="308">
        <f t="shared" si="16"/>
        <v>1692</v>
      </c>
      <c r="DZ12" s="308">
        <f t="shared" si="17"/>
        <v>18894</v>
      </c>
      <c r="EA12" s="308">
        <f t="shared" si="18"/>
        <v>2946.6</v>
      </c>
      <c r="EB12" s="308">
        <f t="shared" si="19"/>
        <v>8207.4000000000015</v>
      </c>
      <c r="EC12" s="287" t="s">
        <v>6845</v>
      </c>
      <c r="ED12" s="308">
        <f t="shared" si="20"/>
        <v>1488.1</v>
      </c>
      <c r="EE12" s="308">
        <f t="shared" si="21"/>
        <v>20816.5</v>
      </c>
      <c r="EF12" s="308">
        <f t="shared" si="22"/>
        <v>3949.3</v>
      </c>
      <c r="EG12" s="308">
        <f t="shared" si="23"/>
        <v>8691.1</v>
      </c>
      <c r="EH12" s="614" t="s">
        <v>6846</v>
      </c>
      <c r="EI12" s="290"/>
      <c r="EJ12" s="308">
        <f t="shared" si="24"/>
        <v>37320</v>
      </c>
      <c r="EK12" s="310">
        <f t="shared" si="25"/>
        <v>32418</v>
      </c>
      <c r="EL12" s="310">
        <f t="shared" si="26"/>
        <v>4302</v>
      </c>
      <c r="EM12" s="287" t="s">
        <v>6847</v>
      </c>
      <c r="EN12" s="308">
        <f t="shared" si="27"/>
        <v>32925.4</v>
      </c>
      <c r="EO12" s="310">
        <f t="shared" si="28"/>
        <v>39606.6</v>
      </c>
      <c r="EP12" s="310">
        <f t="shared" si="29"/>
        <v>8728</v>
      </c>
      <c r="EQ12" s="289" t="s">
        <v>6848</v>
      </c>
      <c r="ER12" s="657"/>
      <c r="ES12" s="728">
        <f t="shared" si="30"/>
        <v>0.72915010233690281</v>
      </c>
      <c r="ET12" s="728">
        <f t="shared" si="31"/>
        <v>0.20792553009173834</v>
      </c>
      <c r="EU12" s="311">
        <f t="shared" si="32"/>
        <v>88138.207871312319</v>
      </c>
      <c r="EV12" s="311">
        <f t="shared" si="33"/>
        <v>49927.099071312317</v>
      </c>
      <c r="EW12" s="311">
        <f t="shared" si="34"/>
        <v>38211.108800000002</v>
      </c>
      <c r="EX12" s="311">
        <f t="shared" si="35"/>
        <v>37519.742181816116</v>
      </c>
      <c r="EY12" s="311">
        <f>SUMPRODUCT(('ANALYSE - ERP =&gt; SOUS-SEGMENT'!$C$8:$C$154=$C12)*'ANALYSE - ERP =&gt; SOUS-SEGMENT'!$Q$8:$Q$154*'ANALYSE - ERP =&gt; SOUS-SEGMENT'!$FB$8:$FB$154)</f>
        <v>21375.630581816116</v>
      </c>
      <c r="EZ12" s="311">
        <f>SUMPRODUCT(('ANALYSE - ERP =&gt; SOUS-SEGMENT'!$C$8:$C$154=$C12)*'ANALYSE - ERP =&gt; SOUS-SEGMENT'!$Q$8:$Q$154*'ANALYSE - ERP =&gt; SOUS-SEGMENT'!$FC$8:$FC$154)</f>
        <v>16144.1116</v>
      </c>
      <c r="FA12" s="311">
        <f t="shared" si="36"/>
        <v>10163.174492800001</v>
      </c>
      <c r="FB12" s="311">
        <f>SUMPRODUCT(('ANALYSE - ERP =&gt; SOUS-SEGMENT'!$C$8:$C$154=$C12)*'ANALYSE - ERP =&gt; SOUS-SEGMENT'!$Q$8:$Q$154*'ANALYSE - ERP =&gt; SOUS-SEGMENT'!$FE$8:$FE$154)</f>
        <v>5556.4856927999999</v>
      </c>
      <c r="FC12" s="311">
        <f>SUMPRODUCT(('ANALYSE - ERP =&gt; SOUS-SEGMENT'!$C$8:$C$154=$C12)*'ANALYSE - ERP =&gt; SOUS-SEGMENT'!$Q$8:$Q$154*'ANALYSE - ERP =&gt; SOUS-SEGMENT'!$FF$8:$FF$154)</f>
        <v>4606.6887999999999</v>
      </c>
      <c r="FD12" s="311">
        <f t="shared" si="37"/>
        <v>12200.553615210491</v>
      </c>
      <c r="FE12" s="311">
        <f>SUMPRODUCT(('ANALYSE - ERP =&gt; SOUS-SEGMENT'!$C$8:$C$154=$C12)*'ANALYSE - ERP =&gt; SOUS-SEGMENT'!$Q$8:$Q$154*'ANALYSE - ERP =&gt; SOUS-SEGMENT'!$FH$8:$FH$154)</f>
        <v>6865.816415210491</v>
      </c>
      <c r="FF12" s="311">
        <f>SUMPRODUCT(('ANALYSE - ERP =&gt; SOUS-SEGMENT'!$C$8:$C$154=$C12)*'ANALYSE - ERP =&gt; SOUS-SEGMENT'!$Q$8:$Q$154*'ANALYSE - ERP =&gt; SOUS-SEGMENT'!$FI$8:$FI$154)</f>
        <v>5334.7371999999996</v>
      </c>
      <c r="FG12" s="311">
        <f t="shared" si="38"/>
        <v>28254.737581485711</v>
      </c>
      <c r="FH12" s="311">
        <f>SUMPRODUCT(('ANALYSE - ERP =&gt; SOUS-SEGMENT'!$C$8:$C$154=$C12)*'ANALYSE - ERP =&gt; SOUS-SEGMENT'!$Q$8:$Q$154*'ANALYSE - ERP =&gt; SOUS-SEGMENT'!$FK$8:$FK$154)</f>
        <v>16129.166381485713</v>
      </c>
      <c r="FI12" s="311">
        <f>SUMPRODUCT(('ANALYSE - ERP =&gt; SOUS-SEGMENT'!$C$8:$C$154=$C12)*'ANALYSE - ERP =&gt; SOUS-SEGMENT'!$Q$8:$Q$154*'ANALYSE - ERP =&gt; SOUS-SEGMENT'!$FL$8:$FL$154)</f>
        <v>12125.571199999998</v>
      </c>
      <c r="FJ12" s="657"/>
      <c r="FK12" s="293" t="s">
        <v>2649</v>
      </c>
      <c r="FL12" s="728">
        <f>IFERROR(SUMPRODUCT(('ANALYSE - ERP =&gt; SOUS-SEGMENT'!$C$8:$C$154=$C12)*'ANALYSE - ERP =&gt; SOUS-SEGMENT'!$Q$8:$Q$154*'ANALYSE - ERP =&gt; SOUS-SEGMENT'!$AF$8:$AF$154*'ANALYSE - ERP =&gt; SOUS-SEGMENT'!$FO$8:$FO$154)/SUMPRODUCT(('ANALYSE - ERP =&gt; SOUS-SEGMENT'!$C$8:$C$154=$C12)*'ANALYSE - ERP =&gt; SOUS-SEGMENT'!$Q$8:$Q$154*'ANALYSE - ERP =&gt; SOUS-SEGMENT'!$AF$8:$AF$154),"")</f>
        <v>6.118340909090908E-2</v>
      </c>
      <c r="FM12" s="729">
        <f>IFERROR(SUMPRODUCT(('ANALYSE - ERP =&gt; SOUS-SEGMENT'!$C$8:$C$154=$C12)*'ANALYSE - ERP =&gt; SOUS-SEGMENT'!$Q$8:$Q$154*'ANALYSE - ERP =&gt; SOUS-SEGMENT'!$AF$8:$AF$154*'ANALYSE - ERP =&gt; SOUS-SEGMENT'!$FP$8:$FP$154)/SUMPRODUCT(('ANALYSE - ERP =&gt; SOUS-SEGMENT'!$C$8:$C$154=$C12)*'ANALYSE - ERP =&gt; SOUS-SEGMENT'!$Q$8:$Q$154*'ANALYSE - ERP =&gt; SOUS-SEGMENT'!$AF$8:$AF$154),"")</f>
        <v>0.84224602272727278</v>
      </c>
      <c r="FN12" s="294" t="s">
        <v>2847</v>
      </c>
      <c r="FO12" s="657"/>
      <c r="FP12" s="865">
        <f>IFERROR(SUMPRODUCT(('ANALYSE - ERP =&gt; SOUS-SEGMENT'!$C$8:$C$154=$C12)*'ANALYSE - ERP =&gt; SOUS-SEGMENT'!$Q$8:$Q$154*'ANALYSE - ERP =&gt; SOUS-SEGMENT'!$EX$8:$EX$154*'ANALYSE - ERP =&gt; SOUS-SEGMENT'!$FS$8:$FS$154)/SUMPRODUCT(('ANALYSE - ERP =&gt; SOUS-SEGMENT'!$C$8:$C$154=$C12)*'ANALYSE - ERP =&gt; SOUS-SEGMENT'!$Q$8:$Q$154*'ANALYSE - ERP =&gt; SOUS-SEGMENT'!$EX$8:$EX$154),"")</f>
        <v>3.3431375393835747</v>
      </c>
      <c r="FQ12" s="312">
        <f>RANK($FP12,$FP$8:$FP$143,0)+COUNTIF($FP$8:$FP12,$FP12)-1</f>
        <v>17</v>
      </c>
      <c r="FR12" s="865">
        <f>IFERROR(SUMPRODUCT(('ANALYSE - ERP =&gt; SOUS-SEGMENT'!$C$8:$C$154=$C12)*'ANALYSE - ERP =&gt; SOUS-SEGMENT'!$Q$8:$Q$154*'ANALYSE - ERP =&gt; SOUS-SEGMENT'!$EY$8:$EY$154*'ANALYSE - ERP =&gt; SOUS-SEGMENT'!$FU$8:$FU$154)/SUMPRODUCT(('ANALYSE - ERP =&gt; SOUS-SEGMENT'!$C$8:$C$154=$C12)*'ANALYSE - ERP =&gt; SOUS-SEGMENT'!$Q$8:$Q$154*'ANALYSE - ERP =&gt; SOUS-SEGMENT'!$EY$8:$EY$154),"")</f>
        <v>3.9668679579833017</v>
      </c>
      <c r="FS12" s="312">
        <f>RANK($FR12,$FR$8:$FR$143,0)+COUNTIF($FR$8:$FR12,$FR12)-1</f>
        <v>20</v>
      </c>
      <c r="FT12" s="865">
        <f>IFERROR(SUMPRODUCT(('ANALYSE - ERP =&gt; SOUS-SEGMENT'!$C$8:$C$154=$C12)*'ANALYSE - ERP =&gt; SOUS-SEGMENT'!$Q$8:$Q$154*'ANALYSE - ERP =&gt; SOUS-SEGMENT'!$EZ$8:$EZ$154*'ANALYSE - ERP =&gt; SOUS-SEGMENT'!$FW$8:$FW$154)/SUMPRODUCT(('ANALYSE - ERP =&gt; SOUS-SEGMENT'!$C$8:$C$154=$C12)*'ANALYSE - ERP =&gt; SOUS-SEGMENT'!$Q$8:$Q$154*'ANALYSE - ERP =&gt; SOUS-SEGMENT'!$EZ$8:$EZ$154),"")</f>
        <v>2.5664534158715644</v>
      </c>
      <c r="FU12" s="312">
        <f>RANK($FT12,$FT$8:$FT$143,0)+COUNTIF($FT$8:$FT12,$FT12)-1</f>
        <v>9</v>
      </c>
      <c r="FV12" s="657"/>
      <c r="FW12" s="296" t="s">
        <v>6849</v>
      </c>
      <c r="FX12" s="296" t="s">
        <v>6850</v>
      </c>
      <c r="FY12" s="296" t="s">
        <v>6851</v>
      </c>
      <c r="FZ12" s="296" t="s">
        <v>6852</v>
      </c>
      <c r="GA12" s="296" t="s">
        <v>6853</v>
      </c>
      <c r="GB12" s="296" t="s">
        <v>6854</v>
      </c>
      <c r="GC12" s="296" t="s">
        <v>6759</v>
      </c>
      <c r="GD12" s="657"/>
      <c r="GE12" s="311">
        <f>SUMPRODUCT(('ANALYSE - ERP =&gt; SOUS-SEGMENT'!$C$8:$C$154=$C12)*'ANALYSE - ERP =&gt; SOUS-SEGMENT'!$Q$8:$Q$154*'ANALYSE - ERP =&gt; SOUS-SEGMENT'!$GH$8:$GH$154)</f>
        <v>4811.5511884443076</v>
      </c>
      <c r="GF12" s="311">
        <f>SUMPRODUCT(('ANALYSE - ERP =&gt; SOUS-SEGMENT'!$C$8:$C$154=$C12)*'ANALYSE - ERP =&gt; SOUS-SEGMENT'!$Q$8:$Q$154*'ANALYSE - ERP =&gt; SOUS-SEGMENT'!$GI$8:$GI$154)</f>
        <v>3123.6925284443078</v>
      </c>
      <c r="GG12" s="311">
        <f>SUMPRODUCT(('ANALYSE - ERP =&gt; SOUS-SEGMENT'!$C$8:$C$154=$C12)*'ANALYSE - ERP =&gt; SOUS-SEGMENT'!$Q$8:$Q$154*'ANALYSE - ERP =&gt; SOUS-SEGMENT'!$GJ$8:$GJ$154)</f>
        <v>1687.8586600000001</v>
      </c>
      <c r="GH12" s="311">
        <f>SUMPRODUCT(('ANALYSE - ERP =&gt; SOUS-SEGMENT'!$C$8:$C$154=$C12)*'ANALYSE - ERP =&gt; SOUS-SEGMENT'!$Q$8:$Q$154*'ANALYSE - ERP =&gt; SOUS-SEGMENT'!$GK$8:$GK$154)</f>
        <v>28612.179054245142</v>
      </c>
      <c r="GI12" s="311">
        <f>SUMPRODUCT(('ANALYSE - ERP =&gt; SOUS-SEGMENT'!$C$8:$C$154=$C12)*'ANALYSE - ERP =&gt; SOUS-SEGMENT'!$Q$8:$Q$154*'ANALYSE - ERP =&gt; SOUS-SEGMENT'!$GL$8:$GL$154)</f>
        <v>15956.260890245143</v>
      </c>
      <c r="GJ12" s="311">
        <f>SUMPRODUCT(('ANALYSE - ERP =&gt; SOUS-SEGMENT'!$C$8:$C$154=$C12)*'ANALYSE - ERP =&gt; SOUS-SEGMENT'!$Q$8:$Q$154*'ANALYSE - ERP =&gt; SOUS-SEGMENT'!$GM$8:$GM$154)</f>
        <v>12655.918164000001</v>
      </c>
      <c r="GK12" s="311">
        <f>SUMPRODUCT(('ANALYSE - ERP =&gt; SOUS-SEGMENT'!$C$8:$C$154=$C12)*'ANALYSE - ERP =&gt; SOUS-SEGMENT'!$Q$8:$Q$154*'ANALYSE - ERP =&gt; SOUS-SEGMENT'!$GN$8:$GN$154)</f>
        <v>2750.4288508760001</v>
      </c>
      <c r="GL12" s="311">
        <f>SUMPRODUCT(('ANALYSE - ERP =&gt; SOUS-SEGMENT'!$C$8:$C$154=$C12)*'ANALYSE - ERP =&gt; SOUS-SEGMENT'!$Q$8:$Q$154*'ANALYSE - ERP =&gt; SOUS-SEGMENT'!$GO$8:$GO$154)</f>
        <v>1434.4174228759998</v>
      </c>
      <c r="GM12" s="311">
        <f>SUMPRODUCT(('ANALYSE - ERP =&gt; SOUS-SEGMENT'!$C$8:$C$154=$C12)*'ANALYSE - ERP =&gt; SOUS-SEGMENT'!$Q$8:$Q$154*'ANALYSE - ERP =&gt; SOUS-SEGMENT'!$GP$8:$GP$154)</f>
        <v>1316.011428</v>
      </c>
      <c r="GN12" s="311">
        <f>SUMPRODUCT(('ANALYSE - ERP =&gt; SOUS-SEGMENT'!$C$8:$C$154=$C12)*'ANALYSE - ERP =&gt; SOUS-SEGMENT'!$Q$8:$Q$154*'ANALYSE - ERP =&gt; SOUS-SEGMENT'!$GQ$8:$GQ$154)</f>
        <v>1345.5830882506666</v>
      </c>
      <c r="GO12" s="311">
        <f>SUMPRODUCT(('ANALYSE - ERP =&gt; SOUS-SEGMENT'!$C$8:$C$154=$C12)*'ANALYSE - ERP =&gt; SOUS-SEGMENT'!$Q$8:$Q$154*'ANALYSE - ERP =&gt; SOUS-SEGMENT'!$GR$8:$GR$154)</f>
        <v>861.2597402506666</v>
      </c>
      <c r="GP12" s="311">
        <f>SUMPRODUCT(('ANALYSE - ERP =&gt; SOUS-SEGMENT'!$C$8:$C$154=$C12)*'ANALYSE - ERP =&gt; SOUS-SEGMENT'!$Q$8:$Q$154*'ANALYSE - ERP =&gt; SOUS-SEGMENT'!$GS$8:$GS$154)</f>
        <v>484.32334800000001</v>
      </c>
      <c r="GQ12" s="311">
        <f>SUMPRODUCT(('ANALYSE - ERP =&gt; SOUS-SEGMENT'!$C$8:$C$154=$C12)*'ANALYSE - ERP =&gt; SOUS-SEGMENT'!$Q$8:$Q$154*'ANALYSE - ERP =&gt; SOUS-SEGMENT'!$GT$8:$GT$154)</f>
        <v>2310.4591832000001</v>
      </c>
      <c r="GR12" s="311">
        <f>SUMPRODUCT(('ANALYSE - ERP =&gt; SOUS-SEGMENT'!$C$8:$C$154=$C12)*'ANALYSE - ERP =&gt; SOUS-SEGMENT'!$Q$8:$Q$154*'ANALYSE - ERP =&gt; SOUS-SEGMENT'!$GU$8:$GU$154)</f>
        <v>1389.1214232</v>
      </c>
      <c r="GS12" s="311">
        <f>SUMPRODUCT(('ANALYSE - ERP =&gt; SOUS-SEGMENT'!$C$8:$C$154=$C12)*'ANALYSE - ERP =&gt; SOUS-SEGMENT'!$Q$8:$Q$154*'ANALYSE - ERP =&gt; SOUS-SEGMENT'!$GV$8:$GV$154)</f>
        <v>921.33776</v>
      </c>
      <c r="GT12" s="311">
        <f>SUMPRODUCT(('ANALYSE - ERP =&gt; SOUS-SEGMENT'!$C$8:$C$154=$C12)*'ANALYSE - ERP =&gt; SOUS-SEGMENT'!$Q$8:$Q$154*'ANALYSE - ERP =&gt; SOUS-SEGMENT'!$GW$8:$GW$154)</f>
        <v>6744.2640843200006</v>
      </c>
      <c r="GU12" s="311">
        <f>SUMPRODUCT(('ANALYSE - ERP =&gt; SOUS-SEGMENT'!$C$8:$C$154=$C12)*'ANALYSE - ERP =&gt; SOUS-SEGMENT'!$Q$8:$Q$154*'ANALYSE - ERP =&gt; SOUS-SEGMENT'!$GX$8:$GX$154)</f>
        <v>3611.71570032</v>
      </c>
      <c r="GV12" s="311">
        <f>SUMPRODUCT(('ANALYSE - ERP =&gt; SOUS-SEGMENT'!$C$8:$C$154=$C12)*'ANALYSE - ERP =&gt; SOUS-SEGMENT'!$Q$8:$Q$154*'ANALYSE - ERP =&gt; SOUS-SEGMENT'!$GY$8:$GY$154)</f>
        <v>3132.5483840000002</v>
      </c>
      <c r="GW12" s="311">
        <f>SUMPRODUCT(('ANALYSE - ERP =&gt; SOUS-SEGMENT'!$C$8:$C$154=$C12)*'ANALYSE - ERP =&gt; SOUS-SEGMENT'!$Q$8:$Q$154*'ANALYSE - ERP =&gt; SOUS-SEGMENT'!$GZ$8:$GZ$154)</f>
        <v>1108.45122528</v>
      </c>
      <c r="GX12" s="311">
        <f>SUMPRODUCT(('ANALYSE - ERP =&gt; SOUS-SEGMENT'!$C$8:$C$154=$C12)*'ANALYSE - ERP =&gt; SOUS-SEGMENT'!$Q$8:$Q$154*'ANALYSE - ERP =&gt; SOUS-SEGMENT'!$HA$8:$HA$154)</f>
        <v>555.64856928000006</v>
      </c>
      <c r="GY12" s="311">
        <f>SUMPRODUCT(('ANALYSE - ERP =&gt; SOUS-SEGMENT'!$C$8:$C$154=$C12)*'ANALYSE - ERP =&gt; SOUS-SEGMENT'!$Q$8:$Q$154*'ANALYSE - ERP =&gt; SOUS-SEGMENT'!$HB$8:$HB$154)</f>
        <v>552.80265599999996</v>
      </c>
      <c r="GZ12" s="311">
        <f>SUMPRODUCT(('ANALYSE - ERP =&gt; SOUS-SEGMENT'!$C$8:$C$154=$C12)*'ANALYSE - ERP =&gt; SOUS-SEGMENT'!$Q$8:$Q$154*'ANALYSE - ERP =&gt; SOUS-SEGMENT'!$HC$8:$HC$154)</f>
        <v>598.96354706909096</v>
      </c>
      <c r="HA12" s="311">
        <f>SUMPRODUCT(('ANALYSE - ERP =&gt; SOUS-SEGMENT'!$C$8:$C$154=$C12)*'ANALYSE - ERP =&gt; SOUS-SEGMENT'!$Q$8:$Q$154*'ANALYSE - ERP =&gt; SOUS-SEGMENT'!$HD$8:$HD$154)</f>
        <v>381.37705906909099</v>
      </c>
      <c r="HB12" s="311">
        <f>SUMPRODUCT(('ANALYSE - ERP =&gt; SOUS-SEGMENT'!$C$8:$C$154=$C12)*'ANALYSE - ERP =&gt; SOUS-SEGMENT'!$Q$8:$Q$154*'ANALYSE - ERP =&gt; SOUS-SEGMENT'!$HE$8:$HE$154)</f>
        <v>217.586488</v>
      </c>
      <c r="HC12" s="311">
        <f>SUMPRODUCT(('ANALYSE - ERP =&gt; SOUS-SEGMENT'!$C$8:$C$154=$C12)*'ANALYSE - ERP =&gt; SOUS-SEGMENT'!$Q$8:$Q$154*'ANALYSE - ERP =&gt; SOUS-SEGMENT'!$HF$8:$HF$154)</f>
        <v>7236.6743706123079</v>
      </c>
      <c r="HD12" s="311">
        <f>SUMPRODUCT(('ANALYSE - ERP =&gt; SOUS-SEGMENT'!$C$8:$C$154=$C12)*'ANALYSE - ERP =&gt; SOUS-SEGMENT'!$Q$8:$Q$154*'ANALYSE - ERP =&gt; SOUS-SEGMENT'!$HG$8:$HG$154)</f>
        <v>4042.8270506123081</v>
      </c>
      <c r="HE12" s="311">
        <f>SUMPRODUCT(('ANALYSE - ERP =&gt; SOUS-SEGMENT'!$C$8:$C$154=$C12)*'ANALYSE - ERP =&gt; SOUS-SEGMENT'!$Q$8:$Q$154*'ANALYSE - ERP =&gt; SOUS-SEGMENT'!$HH$8:$HH$154)</f>
        <v>3193.8473199999999</v>
      </c>
      <c r="HF12" s="311">
        <f>SUMPRODUCT(('ANALYSE - ERP =&gt; SOUS-SEGMENT'!$C$8:$C$154=$C12)*'ANALYSE - ERP =&gt; SOUS-SEGMENT'!$Q$8:$Q$154*'ANALYSE - ERP =&gt; SOUS-SEGMENT'!$HI$8:$HI$154)</f>
        <v>1259.8546471879999</v>
      </c>
      <c r="HG12" s="311">
        <f>SUMPRODUCT(('ANALYSE - ERP =&gt; SOUS-SEGMENT'!$C$8:$C$154=$C12)*'ANALYSE - ERP =&gt; SOUS-SEGMENT'!$Q$8:$Q$154*'ANALYSE - ERP =&gt; SOUS-SEGMENT'!$HJ$8:$HJ$154)</f>
        <v>668.13705518800009</v>
      </c>
      <c r="HH12" s="311">
        <f>SUMPRODUCT(('ANALYSE - ERP =&gt; SOUS-SEGMENT'!$C$8:$C$154=$C12)*'ANALYSE - ERP =&gt; SOUS-SEGMENT'!$Q$8:$Q$154*'ANALYSE - ERP =&gt; SOUS-SEGMENT'!$HK$8:$HK$154)</f>
        <v>591.71759199999997</v>
      </c>
      <c r="HI12" s="311">
        <f>SUMPRODUCT(('ANALYSE - ERP =&gt; SOUS-SEGMENT'!$C$8:$C$154=$C12)*'ANALYSE - ERP =&gt; SOUS-SEGMENT'!$Q$8:$Q$154*'ANALYSE - ERP =&gt; SOUS-SEGMENT'!$HL$8:$HL$154)</f>
        <v>3105.0610503410908</v>
      </c>
      <c r="HJ12" s="311">
        <f>SUMPRODUCT(('ANALYSE - ERP =&gt; SOUS-SEGMENT'!$C$8:$C$154=$C12)*'ANALYSE - ERP =&gt; SOUS-SEGMENT'!$Q$8:$Q$154*'ANALYSE - ERP =&gt; SOUS-SEGMENT'!$HM$8:$HM$154)</f>
        <v>1773.4752503410912</v>
      </c>
      <c r="HK12" s="311">
        <f>SUMPRODUCT(('ANALYSE - ERP =&gt; SOUS-SEGMENT'!$C$8:$C$154=$C12)*'ANALYSE - ERP =&gt; SOUS-SEGMENT'!$Q$8:$Q$154*'ANALYSE - ERP =&gt; SOUS-SEGMENT'!$HN$8:$HN$154)</f>
        <v>1331.5857999999998</v>
      </c>
      <c r="HL12" s="311">
        <f>SUMPRODUCT(('ANALYSE - ERP =&gt; SOUS-SEGMENT'!$C$8:$C$154=$C12)*'ANALYSE - ERP =&gt; SOUS-SEGMENT'!$Q$8:$Q$154*'ANALYSE - ERP =&gt; SOUS-SEGMENT'!$HO$8:$HO$154)</f>
        <v>12978.902424314287</v>
      </c>
      <c r="HM12" s="311">
        <f>SUMPRODUCT(('ANALYSE - ERP =&gt; SOUS-SEGMENT'!$C$8:$C$154=$C12)*'ANALYSE - ERP =&gt; SOUS-SEGMENT'!$Q$8:$Q$154*'ANALYSE - ERP =&gt; SOUS-SEGMENT'!$HP$8:$HP$154)</f>
        <v>8109.0879443142858</v>
      </c>
      <c r="HN12" s="311">
        <f>SUMPRODUCT(('ANALYSE - ERP =&gt; SOUS-SEGMENT'!$C$8:$C$154=$C12)*'ANALYSE - ERP =&gt; SOUS-SEGMENT'!$Q$8:$Q$154*'ANALYSE - ERP =&gt; SOUS-SEGMENT'!$HQ$8:$HQ$154)</f>
        <v>4869.81448</v>
      </c>
      <c r="HO12" s="311">
        <f>SUMPRODUCT(('ANALYSE - ERP =&gt; SOUS-SEGMENT'!$C$8:$C$154=$C12)*'ANALYSE - ERP =&gt; SOUS-SEGMENT'!$Q$8:$Q$154*'ANALYSE - ERP =&gt; SOUS-SEGMENT'!$HR$8:$HR$154)</f>
        <v>12971.250008811428</v>
      </c>
      <c r="HP12" s="311">
        <f>SUMPRODUCT(('ANALYSE - ERP =&gt; SOUS-SEGMENT'!$C$8:$C$154=$C12)*'ANALYSE - ERP =&gt; SOUS-SEGMENT'!$Q$8:$Q$154*'ANALYSE - ERP =&gt; SOUS-SEGMENT'!$HS$8:$HS$154)</f>
        <v>6956.0304088114281</v>
      </c>
      <c r="HQ12" s="311">
        <f>SUMPRODUCT(('ANALYSE - ERP =&gt; SOUS-SEGMENT'!$C$8:$C$154=$C12)*'ANALYSE - ERP =&gt; SOUS-SEGMENT'!$Q$8:$Q$154*'ANALYSE - ERP =&gt; SOUS-SEGMENT'!$HT$8:$HT$154)</f>
        <v>6015.2195999999994</v>
      </c>
      <c r="HR12" s="311">
        <f>SUMPRODUCT(('ANALYSE - ERP =&gt; SOUS-SEGMENT'!$C$8:$C$154=$C12)*'ANALYSE - ERP =&gt; SOUS-SEGMENT'!$Q$8:$Q$154*'ANALYSE - ERP =&gt; SOUS-SEGMENT'!$HU$8:$HU$154)</f>
        <v>2304.5851483599999</v>
      </c>
      <c r="HS12" s="311">
        <f>SUMPRODUCT(('ANALYSE - ERP =&gt; SOUS-SEGMENT'!$C$8:$C$154=$C12)*'ANALYSE - ERP =&gt; SOUS-SEGMENT'!$Q$8:$Q$154*'ANALYSE - ERP =&gt; SOUS-SEGMENT'!$HV$8:$HV$154)</f>
        <v>1064.04802836</v>
      </c>
      <c r="HT12" s="311">
        <f>SUMPRODUCT(('ANALYSE - ERP =&gt; SOUS-SEGMENT'!$C$8:$C$154=$C12)*'ANALYSE - ERP =&gt; SOUS-SEGMENT'!$Q$8:$Q$154*'ANALYSE - ERP =&gt; SOUS-SEGMENT'!$HW$8:$HW$154)</f>
        <v>1240.53712</v>
      </c>
      <c r="HV12" s="313">
        <f t="shared" si="39"/>
        <v>230460.00000000003</v>
      </c>
      <c r="HW12" s="313">
        <f>SUMPRODUCT(('ANALYSE - ERP =&gt; SOUS-SEGMENT'!$C$8:$C$154=$C12)*'ANALYSE - ERP =&gt; SOUS-SEGMENT'!$Q$8:$Q$154*'ANALYSE - ERP =&gt; SOUS-SEGMENT'!$HZ$8:$HZ$154)</f>
        <v>7005.09</v>
      </c>
      <c r="HX12" s="313">
        <f>SUMPRODUCT(('ANALYSE - ERP =&gt; SOUS-SEGMENT'!$C$8:$C$154=$C12)*'ANALYSE - ERP =&gt; SOUS-SEGMENT'!$Q$8:$Q$154*'ANALYSE - ERP =&gt; SOUS-SEGMENT'!$IA$8:$IA$154)</f>
        <v>83042.934000000008</v>
      </c>
      <c r="HY12" s="313">
        <f>SUMPRODUCT(('ANALYSE - ERP =&gt; SOUS-SEGMENT'!$C$8:$C$154=$C12)*'ANALYSE - ERP =&gt; SOUS-SEGMENT'!$Q$8:$Q$154*'ANALYSE - ERP =&gt; SOUS-SEGMENT'!$IB$8:$IB$154)</f>
        <v>111374.31</v>
      </c>
      <c r="HZ12" s="313">
        <f>SUMPRODUCT(('ANALYSE - ERP =&gt; SOUS-SEGMENT'!$C$8:$C$154=$C12)*'ANALYSE - ERP =&gt; SOUS-SEGMENT'!$Q$8:$Q$154*'ANALYSE - ERP =&gt; SOUS-SEGMENT'!$IC$8:$IC$154)</f>
        <v>28228.745999999999</v>
      </c>
      <c r="IA12" s="313">
        <f>SUMPRODUCT(('ANALYSE - ERP =&gt; SOUS-SEGMENT'!$C$8:$C$154=$C12)*'ANALYSE - ERP =&gt; SOUS-SEGMENT'!$Q$8:$Q$154*'ANALYSE - ERP =&gt; SOUS-SEGMENT'!$ID$8:$ID$154)</f>
        <v>808.92000000000007</v>
      </c>
      <c r="IB12" s="313">
        <f>SUMPRODUCT(('ANALYSE - ERP =&gt; SOUS-SEGMENT'!$C$8:$C$154=$C12)*'ANALYSE - ERP =&gt; SOUS-SEGMENT'!$Q$8:$Q$154*'ANALYSE - ERP =&gt; SOUS-SEGMENT'!$IE$8:$IE$154)</f>
        <v>49927.099071312317</v>
      </c>
      <c r="IC12" s="313">
        <f>SUMPRODUCT(('ANALYSE - ERP =&gt; SOUS-SEGMENT'!$C$8:$C$154=$C12)*'ANALYSE - ERP =&gt; SOUS-SEGMENT'!$Q$8:$Q$154*'ANALYSE - ERP =&gt; SOUS-SEGMENT'!$IF$8:$IF$154)</f>
        <v>78.018474226054778</v>
      </c>
      <c r="ID12" s="313">
        <f>SUMPRODUCT(('ANALYSE - ERP =&gt; SOUS-SEGMENT'!$C$8:$C$154=$C12)*'ANALYSE - ERP =&gt; SOUS-SEGMENT'!$Q$8:$Q$154*'ANALYSE - ERP =&gt; SOUS-SEGMENT'!$IG$8:$IG$154)</f>
        <v>9076.2289246032451</v>
      </c>
      <c r="IE12" s="313">
        <f>SUMPRODUCT(('ANALYSE - ERP =&gt; SOUS-SEGMENT'!$C$8:$C$154=$C12)*'ANALYSE - ERP =&gt; SOUS-SEGMENT'!$Q$8:$Q$154*'ANALYSE - ERP =&gt; SOUS-SEGMENT'!$IH$8:$IH$154)</f>
        <v>26315.731856033144</v>
      </c>
      <c r="IF12" s="313">
        <f>SUMPRODUCT(('ANALYSE - ERP =&gt; SOUS-SEGMENT'!$C$8:$C$154=$C12)*'ANALYSE - ERP =&gt; SOUS-SEGMENT'!$Q$8:$Q$154*'ANALYSE - ERP =&gt; SOUS-SEGMENT'!$II$8:$II$154)</f>
        <v>13385.106290329286</v>
      </c>
      <c r="IG12" s="313">
        <f>SUMPRODUCT(('ANALYSE - ERP =&gt; SOUS-SEGMENT'!$C$8:$C$154=$C12)*'ANALYSE - ERP =&gt; SOUS-SEGMENT'!$Q$8:$Q$154*'ANALYSE - ERP =&gt; SOUS-SEGMENT'!$IJ$8:$IJ$154)</f>
        <v>1072.0135261205869</v>
      </c>
      <c r="IH12" s="866"/>
      <c r="II12" s="314" t="s">
        <v>2589</v>
      </c>
      <c r="IJ12" s="299" t="s">
        <v>6760</v>
      </c>
      <c r="IK12" s="657"/>
      <c r="IL12" s="747">
        <f>IFERROR(SUMPRODUCT(('ANALYSE - ERP =&gt; SOUS-SEGMENT'!$C$8:$C$154=$C12)*'ANALYSE - ERP =&gt; SOUS-SEGMENT'!$Q$8:$Q$154*'ANALYSE - ERP =&gt; SOUS-SEGMENT'!$BE$8:$BE$154*'ANALYSE - ERP =&gt; SOUS-SEGMENT'!$IO$8:$IO$154)/SUMPRODUCT(('ANALYSE - ERP =&gt; SOUS-SEGMENT'!$C$8:$C$154=$C12)*'ANALYSE - ERP =&gt; SOUS-SEGMENT'!$Q$8:$Q$154*'ANALYSE - ERP =&gt; SOUS-SEGMENT'!$BE$8:$BE$154),0)</f>
        <v>1.6791936469150885E-2</v>
      </c>
      <c r="IM12" s="748">
        <f>IFERROR(SUMPRODUCT(('ANALYSE - ERP =&gt; SOUS-SEGMENT'!$C$8:$C$154=$C12)*'ANALYSE - ERP =&gt; SOUS-SEGMENT'!$Q$8:$Q$154*'ANALYSE - ERP =&gt; SOUS-SEGMENT'!$BE$8:$BE$154*'ANALYSE - ERP =&gt; SOUS-SEGMENT'!$IP$8:$IP$154)/SUMPRODUCT(('ANALYSE - ERP =&gt; SOUS-SEGMENT'!$C$8:$C$154=$C12)*'ANALYSE - ERP =&gt; SOUS-SEGMENT'!$Q$8:$Q$154*'ANALYSE - ERP =&gt; SOUS-SEGMENT'!$BE$8:$BE$154),0)</f>
        <v>0.32814074526573001</v>
      </c>
      <c r="IN12" s="748">
        <f>IFERROR(SUMPRODUCT(('ANALYSE - ERP =&gt; SOUS-SEGMENT'!$C$8:$C$154=$C12)*'ANALYSE - ERP =&gt; SOUS-SEGMENT'!$Q$8:$Q$154*'ANALYSE - ERP =&gt; SOUS-SEGMENT'!$BE$8:$BE$154*'ANALYSE - ERP =&gt; SOUS-SEGMENT'!$IQ$8:$IQ$154)/SUMPRODUCT(('ANALYSE - ERP =&gt; SOUS-SEGMENT'!$C$8:$C$154=$C12)*'ANALYSE - ERP =&gt; SOUS-SEGMENT'!$Q$8:$Q$154*'ANALYSE - ERP =&gt; SOUS-SEGMENT'!$BE$8:$BE$154),0)</f>
        <v>0.5099753207086134</v>
      </c>
      <c r="IO12" s="748">
        <f>IFERROR(SUMPRODUCT(('ANALYSE - ERP =&gt; SOUS-SEGMENT'!$C$8:$C$154=$C12)*'ANALYSE - ERP =&gt; SOUS-SEGMENT'!$Q$8:$Q$154*'ANALYSE - ERP =&gt; SOUS-SEGMENT'!$BE$8:$BE$154*'ANALYSE - ERP =&gt; SOUS-SEGMENT'!$IR$8:$IR$154)/SUMPRODUCT(('ANALYSE - ERP =&gt; SOUS-SEGMENT'!$C$8:$C$154=$C12)*'ANALYSE - ERP =&gt; SOUS-SEGMENT'!$Q$8:$Q$154*'ANALYSE - ERP =&gt; SOUS-SEGMENT'!$BE$8:$BE$154),0)</f>
        <v>0.1404737935247404</v>
      </c>
      <c r="IP12" s="749">
        <f>IFERROR(SUMPRODUCT(('ANALYSE - ERP =&gt; SOUS-SEGMENT'!$C$8:$C$154=$C12)*'ANALYSE - ERP =&gt; SOUS-SEGMENT'!$Q$8:$Q$154*'ANALYSE - ERP =&gt; SOUS-SEGMENT'!$BE$8:$BE$154*'ANALYSE - ERP =&gt; SOUS-SEGMENT'!$IS$8:$IS$154)/SUMPRODUCT(('ANALYSE - ERP =&gt; SOUS-SEGMENT'!$C$8:$C$154=$C12)*'ANALYSE - ERP =&gt; SOUS-SEGMENT'!$Q$8:$Q$154*'ANALYSE - ERP =&gt; SOUS-SEGMENT'!$BE$8:$BE$154),0)</f>
        <v>4.6182040317654244E-3</v>
      </c>
      <c r="IQ12" s="748">
        <f>IFERROR(SUMPRODUCT(('ANALYSE - ERP =&gt; SOUS-SEGMENT'!$C$8:$C$154=$C12)*'ANALYSE - ERP =&gt; SOUS-SEGMENT'!$Q$8:$Q$154*'ANALYSE - ERP =&gt; SOUS-SEGMENT'!$FB$8:$FB$154*'ANALYSE - ERP =&gt; SOUS-SEGMENT'!$IT$8:$IT$154)/SUMPRODUCT(('ANALYSE - ERP =&gt; SOUS-SEGMENT'!$C$8:$C$154=$C12)*'ANALYSE - ERP =&gt; SOUS-SEGMENT'!$Q$8:$Q$154*'ANALYSE - ERP =&gt; SOUS-SEGMENT'!$FB$8:$FB$154),0)</f>
        <v>1.4138854188713128E-3</v>
      </c>
      <c r="IR12" s="748">
        <f>IFERROR(SUMPRODUCT(('ANALYSE - ERP =&gt; SOUS-SEGMENT'!$C$8:$C$154=$C12)*'ANALYSE - ERP =&gt; SOUS-SEGMENT'!$Q$8:$Q$154*'ANALYSE - ERP =&gt; SOUS-SEGMENT'!$FB$8:$FB$154*'ANALYSE - ERP =&gt; SOUS-SEGMENT'!$IU$8:$IU$154)/SUMPRODUCT(('ANALYSE - ERP =&gt; SOUS-SEGMENT'!$C$8:$C$154=$C12)*'ANALYSE - ERP =&gt; SOUS-SEGMENT'!$Q$8:$Q$154*'ANALYSE - ERP =&gt; SOUS-SEGMENT'!$FB$8:$FB$154),0)</f>
        <v>0.15558798858421632</v>
      </c>
      <c r="IS12" s="748">
        <f>IFERROR(SUMPRODUCT(('ANALYSE - ERP =&gt; SOUS-SEGMENT'!$C$8:$C$154=$C12)*'ANALYSE - ERP =&gt; SOUS-SEGMENT'!$Q$8:$Q$154*'ANALYSE - ERP =&gt; SOUS-SEGMENT'!$FB$8:$FB$154*'ANALYSE - ERP =&gt; SOUS-SEGMENT'!$IV$8:$IV$154)/SUMPRODUCT(('ANALYSE - ERP =&gt; SOUS-SEGMENT'!$C$8:$C$154=$C12)*'ANALYSE - ERP =&gt; SOUS-SEGMENT'!$Q$8:$Q$154*'ANALYSE - ERP =&gt; SOUS-SEGMENT'!$FB$8:$FB$154),0)</f>
        <v>0.51949547083285852</v>
      </c>
      <c r="IT12" s="748">
        <f>IFERROR(SUMPRODUCT(('ANALYSE - ERP =&gt; SOUS-SEGMENT'!$C$8:$C$154=$C12)*'ANALYSE - ERP =&gt; SOUS-SEGMENT'!$Q$8:$Q$154*'ANALYSE - ERP =&gt; SOUS-SEGMENT'!$FB$8:$FB$154*'ANALYSE - ERP =&gt; SOUS-SEGMENT'!$IW$8:$IW$154)/SUMPRODUCT(('ANALYSE - ERP =&gt; SOUS-SEGMENT'!$C$8:$C$154=$C12)*'ANALYSE - ERP =&gt; SOUS-SEGMENT'!$Q$8:$Q$154*'ANALYSE - ERP =&gt; SOUS-SEGMENT'!$FB$8:$FB$154),0)</f>
        <v>0.2967086739184292</v>
      </c>
      <c r="IU12" s="748">
        <f>IFERROR(SUMPRODUCT(('ANALYSE - ERP =&gt; SOUS-SEGMENT'!$C$8:$C$154=$C12)*'ANALYSE - ERP =&gt; SOUS-SEGMENT'!$Q$8:$Q$154*'ANALYSE - ERP =&gt; SOUS-SEGMENT'!$FB$8:$FB$154*'ANALYSE - ERP =&gt; SOUS-SEGMENT'!$IX$8:$IX$154)/SUMPRODUCT(('ANALYSE - ERP =&gt; SOUS-SEGMENT'!$C$8:$C$154=$C12)*'ANALYSE - ERP =&gt; SOUS-SEGMENT'!$Q$8:$Q$154*'ANALYSE - ERP =&gt; SOUS-SEGMENT'!$FB$8:$FB$154),0)</f>
        <v>2.679398124562463E-2</v>
      </c>
      <c r="IV12" s="771">
        <f>IFERROR(SUMPRODUCT(('ANALYSE - ERP =&gt; SOUS-SEGMENT'!$C$8:$C$154=$C12)*'ANALYSE - ERP =&gt; SOUS-SEGMENT'!$Q$8:$Q$154*'ANALYSE - ERP =&gt; SOUS-SEGMENT'!$BF$8:$BF$154*'ANALYSE - ERP =&gt; SOUS-SEGMENT'!$IY$8:$IY$154)/SUMPRODUCT(('ANALYSE - ERP =&gt; SOUS-SEGMENT'!$C$8:$C$154=$C12)*'ANALYSE - ERP =&gt; SOUS-SEGMENT'!$Q$8:$Q$154*'ANALYSE - ERP =&gt; SOUS-SEGMENT'!$BF$8:$BF$154),0)</f>
        <v>2.7300000000000001E-2</v>
      </c>
      <c r="IW12" s="748">
        <f>IFERROR(SUMPRODUCT(('ANALYSE - ERP =&gt; SOUS-SEGMENT'!$C$8:$C$154=$C12)*'ANALYSE - ERP =&gt; SOUS-SEGMENT'!$Q$8:$Q$154*'ANALYSE - ERP =&gt; SOUS-SEGMENT'!$BF$8:$BF$154*'ANALYSE - ERP =&gt; SOUS-SEGMENT'!$IZ$8:$IZ$154)/SUMPRODUCT(('ANALYSE - ERP =&gt; SOUS-SEGMENT'!$C$8:$C$154=$C12)*'ANALYSE - ERP =&gt; SOUS-SEGMENT'!$Q$8:$Q$154*'ANALYSE - ERP =&gt; SOUS-SEGMENT'!$BF$8:$BF$154),0)</f>
        <v>0.35499999999999998</v>
      </c>
      <c r="IX12" s="748">
        <f>IFERROR(SUMPRODUCT(('ANALYSE - ERP =&gt; SOUS-SEGMENT'!$C$8:$C$154=$C12)*'ANALYSE - ERP =&gt; SOUS-SEGMENT'!$Q$8:$Q$154*'ANALYSE - ERP =&gt; SOUS-SEGMENT'!$BF$8:$BF$154*'ANALYSE - ERP =&gt; SOUS-SEGMENT'!$JA$8:$JA$154)/SUMPRODUCT(('ANALYSE - ERP =&gt; SOUS-SEGMENT'!$C$8:$C$154=$C12)*'ANALYSE - ERP =&gt; SOUS-SEGMENT'!$Q$8:$Q$154*'ANALYSE - ERP =&gt; SOUS-SEGMENT'!$BF$8:$BF$154),0)</f>
        <v>0.48770000000000002</v>
      </c>
      <c r="IY12" s="748">
        <f>IFERROR(SUMPRODUCT(('ANALYSE - ERP =&gt; SOUS-SEGMENT'!$C$8:$C$154=$C12)*'ANALYSE - ERP =&gt; SOUS-SEGMENT'!$Q$8:$Q$154*'ANALYSE - ERP =&gt; SOUS-SEGMENT'!$BF$8:$BF$154*'ANALYSE - ERP =&gt; SOUS-SEGMENT'!$JB$8:$JB$154)/SUMPRODUCT(('ANALYSE - ERP =&gt; SOUS-SEGMENT'!$C$8:$C$154=$C12)*'ANALYSE - ERP =&gt; SOUS-SEGMENT'!$Q$8:$Q$154*'ANALYSE - ERP =&gt; SOUS-SEGMENT'!$BF$8:$BF$154),0)</f>
        <v>0.12640000000000001</v>
      </c>
      <c r="IZ12" s="749">
        <f>IFERROR(SUMPRODUCT(('ANALYSE - ERP =&gt; SOUS-SEGMENT'!$C$8:$C$154=$C12)*'ANALYSE - ERP =&gt; SOUS-SEGMENT'!$Q$8:$Q$154*'ANALYSE - ERP =&gt; SOUS-SEGMENT'!$BF$8:$BF$154*'ANALYSE - ERP =&gt; SOUS-SEGMENT'!$JC$8:$JC$154)/SUMPRODUCT(('ANALYSE - ERP =&gt; SOUS-SEGMENT'!$C$8:$C$154=$C12)*'ANALYSE - ERP =&gt; SOUS-SEGMENT'!$Q$8:$Q$154*'ANALYSE - ERP =&gt; SOUS-SEGMENT'!$BF$8:$BF$154),0)</f>
        <v>3.5999999999999999E-3</v>
      </c>
      <c r="JA12" s="748">
        <f>IFERROR(SUMPRODUCT(('ANALYSE - ERP =&gt; SOUS-SEGMENT'!$C$8:$C$154=$C12)*'ANALYSE - ERP =&gt; SOUS-SEGMENT'!$Q$8:$Q$154*'ANALYSE - ERP =&gt; SOUS-SEGMENT'!$FE$8:$FE$154*'ANALYSE - ERP =&gt; SOUS-SEGMENT'!$JD$8:$JD$154)/SUMPRODUCT(('ANALYSE - ERP =&gt; SOUS-SEGMENT'!$C$8:$C$154=$C12)*'ANALYSE - ERP =&gt; SOUS-SEGMENT'!$Q$8:$Q$154*'ANALYSE - ERP =&gt; SOUS-SEGMENT'!$FE$8:$FE$154),0)</f>
        <v>0</v>
      </c>
      <c r="JB12" s="748">
        <f>IFERROR(SUMPRODUCT(('ANALYSE - ERP =&gt; SOUS-SEGMENT'!$C$8:$C$154=$C12)*'ANALYSE - ERP =&gt; SOUS-SEGMENT'!$Q$8:$Q$154*'ANALYSE - ERP =&gt; SOUS-SEGMENT'!$FE$8:$FE$154*'ANALYSE - ERP =&gt; SOUS-SEGMENT'!$JE$8:$JE$154)/SUMPRODUCT(('ANALYSE - ERP =&gt; SOUS-SEGMENT'!$C$8:$C$154=$C12)*'ANALYSE - ERP =&gt; SOUS-SEGMENT'!$Q$8:$Q$154*'ANALYSE - ERP =&gt; SOUS-SEGMENT'!$FE$8:$FE$154),0)</f>
        <v>0.15529999999999999</v>
      </c>
      <c r="JC12" s="748">
        <f>IFERROR(SUMPRODUCT(('ANALYSE - ERP =&gt; SOUS-SEGMENT'!$C$8:$C$154=$C12)*'ANALYSE - ERP =&gt; SOUS-SEGMENT'!$Q$8:$Q$154*'ANALYSE - ERP =&gt; SOUS-SEGMENT'!$FE$8:$FE$154*'ANALYSE - ERP =&gt; SOUS-SEGMENT'!$JF$8:$JF$154)/SUMPRODUCT(('ANALYSE - ERP =&gt; SOUS-SEGMENT'!$C$8:$C$154=$C12)*'ANALYSE - ERP =&gt; SOUS-SEGMENT'!$Q$8:$Q$154*'ANALYSE - ERP =&gt; SOUS-SEGMENT'!$FE$8:$FE$154),0)</f>
        <v>0.53249999999999997</v>
      </c>
      <c r="JD12" s="748">
        <f>IFERROR(SUMPRODUCT(('ANALYSE - ERP =&gt; SOUS-SEGMENT'!$C$8:$C$154=$C12)*'ANALYSE - ERP =&gt; SOUS-SEGMENT'!$Q$8:$Q$154*'ANALYSE - ERP =&gt; SOUS-SEGMENT'!$FE$8:$FE$154*'ANALYSE - ERP =&gt; SOUS-SEGMENT'!$JG$8:$JG$154)/SUMPRODUCT(('ANALYSE - ERP =&gt; SOUS-SEGMENT'!$C$8:$C$154=$C12)*'ANALYSE - ERP =&gt; SOUS-SEGMENT'!$Q$8:$Q$154*'ANALYSE - ERP =&gt; SOUS-SEGMENT'!$FE$8:$FE$154),0)</f>
        <v>0.2893</v>
      </c>
      <c r="JE12" s="748">
        <f>IFERROR(SUMPRODUCT(('ANALYSE - ERP =&gt; SOUS-SEGMENT'!$C$8:$C$154=$C12)*'ANALYSE - ERP =&gt; SOUS-SEGMENT'!$Q$8:$Q$154*'ANALYSE - ERP =&gt; SOUS-SEGMENT'!$FE$8:$FE$154*'ANALYSE - ERP =&gt; SOUS-SEGMENT'!$JH$8:$JH$154)/SUMPRODUCT(('ANALYSE - ERP =&gt; SOUS-SEGMENT'!$C$8:$C$154=$C12)*'ANALYSE - ERP =&gt; SOUS-SEGMENT'!$Q$8:$Q$154*'ANALYSE - ERP =&gt; SOUS-SEGMENT'!$FE$8:$FE$154),0)</f>
        <v>2.29E-2</v>
      </c>
      <c r="JF12" s="771">
        <f>IFERROR(SUMPRODUCT(('ANALYSE - ERP =&gt; SOUS-SEGMENT'!$C$8:$C$154=$C12)*'ANALYSE - ERP =&gt; SOUS-SEGMENT'!$Q$8:$Q$154*'ANALYSE - ERP =&gt; SOUS-SEGMENT'!$BG$8:$BG$154*'ANALYSE - ERP =&gt; SOUS-SEGMENT'!$JI$8:$JI$154)/SUMPRODUCT(('ANALYSE - ERP =&gt; SOUS-SEGMENT'!$C$8:$C$154=$C12)*'ANALYSE - ERP =&gt; SOUS-SEGMENT'!$Q$8:$Q$154*'ANALYSE - ERP =&gt; SOUS-SEGMENT'!$BG$8:$BG$154),0)</f>
        <v>7.0577693761814747E-2</v>
      </c>
      <c r="JG12" s="748">
        <f>IFERROR(SUMPRODUCT(('ANALYSE - ERP =&gt; SOUS-SEGMENT'!$C$8:$C$154=$C12)*'ANALYSE - ERP =&gt; SOUS-SEGMENT'!$Q$8:$Q$154*'ANALYSE - ERP =&gt; SOUS-SEGMENT'!$BG$8:$BG$154*'ANALYSE - ERP =&gt; SOUS-SEGMENT'!$JJ$8:$JJ$154)/SUMPRODUCT(('ANALYSE - ERP =&gt; SOUS-SEGMENT'!$C$8:$C$154=$C12)*'ANALYSE - ERP =&gt; SOUS-SEGMENT'!$Q$8:$Q$154*'ANALYSE - ERP =&gt; SOUS-SEGMENT'!$BG$8:$BG$154),0)</f>
        <v>0.44004328922495267</v>
      </c>
      <c r="JH12" s="748">
        <f>IFERROR(SUMPRODUCT(('ANALYSE - ERP =&gt; SOUS-SEGMENT'!$C$8:$C$154=$C12)*'ANALYSE - ERP =&gt; SOUS-SEGMENT'!$Q$8:$Q$154*'ANALYSE - ERP =&gt; SOUS-SEGMENT'!$BG$8:$BG$154*'ANALYSE - ERP =&gt; SOUS-SEGMENT'!$JK$8:$JK$154)/SUMPRODUCT(('ANALYSE - ERP =&gt; SOUS-SEGMENT'!$C$8:$C$154=$C12)*'ANALYSE - ERP =&gt; SOUS-SEGMENT'!$Q$8:$Q$154*'ANALYSE - ERP =&gt; SOUS-SEGMENT'!$BG$8:$BG$154),0)</f>
        <v>0.40624045368620038</v>
      </c>
      <c r="JI12" s="748">
        <f>IFERROR(SUMPRODUCT(('ANALYSE - ERP =&gt; SOUS-SEGMENT'!$C$8:$C$154=$C12)*'ANALYSE - ERP =&gt; SOUS-SEGMENT'!$Q$8:$Q$154*'ANALYSE - ERP =&gt; SOUS-SEGMENT'!$BG$8:$BG$154*'ANALYSE - ERP =&gt; SOUS-SEGMENT'!$JL$8:$JL$154)/SUMPRODUCT(('ANALYSE - ERP =&gt; SOUS-SEGMENT'!$C$8:$C$154=$C12)*'ANALYSE - ERP =&gt; SOUS-SEGMENT'!$Q$8:$Q$154*'ANALYSE - ERP =&gt; SOUS-SEGMENT'!$BG$8:$BG$154),0)</f>
        <v>8.1804725897920608E-2</v>
      </c>
      <c r="JJ12" s="749">
        <f>IFERROR(SUMPRODUCT(('ANALYSE - ERP =&gt; SOUS-SEGMENT'!$C$8:$C$154=$C12)*'ANALYSE - ERP =&gt; SOUS-SEGMENT'!$Q$8:$Q$154*'ANALYSE - ERP =&gt; SOUS-SEGMENT'!$BG$8:$BG$154*'ANALYSE - ERP =&gt; SOUS-SEGMENT'!$JM$8:$JM$154)/SUMPRODUCT(('ANALYSE - ERP =&gt; SOUS-SEGMENT'!$C$8:$C$154=$C12)*'ANALYSE - ERP =&gt; SOUS-SEGMENT'!$Q$8:$Q$154*'ANALYSE - ERP =&gt; SOUS-SEGMENT'!$BG$8:$BG$154),0)</f>
        <v>1.3338374291115311E-3</v>
      </c>
      <c r="JK12" s="748">
        <f>IFERROR(SUMPRODUCT(('ANALYSE - ERP =&gt; SOUS-SEGMENT'!$C$8:$C$154=$C12)*'ANALYSE - ERP =&gt; SOUS-SEGMENT'!$Q$8:$Q$154*'ANALYSE - ERP =&gt; SOUS-SEGMENT'!$FH$8:$FH$154*'ANALYSE - ERP =&gt; SOUS-SEGMENT'!$JN$8:$JN$154)/SUMPRODUCT(('ANALYSE - ERP =&gt; SOUS-SEGMENT'!$C$8:$C$154=$C12)*'ANALYSE - ERP =&gt; SOUS-SEGMENT'!$Q$8:$Q$154*'ANALYSE - ERP =&gt; SOUS-SEGMENT'!$FH$8:$FH$154),0)</f>
        <v>2.7782917239279701E-3</v>
      </c>
      <c r="JL12" s="748">
        <f>IFERROR(SUMPRODUCT(('ANALYSE - ERP =&gt; SOUS-SEGMENT'!$C$8:$C$154=$C12)*'ANALYSE - ERP =&gt; SOUS-SEGMENT'!$Q$8:$Q$154*'ANALYSE - ERP =&gt; SOUS-SEGMENT'!$FH$8:$FH$154*'ANALYSE - ERP =&gt; SOUS-SEGMENT'!$JO$8:$JO$154)/SUMPRODUCT(('ANALYSE - ERP =&gt; SOUS-SEGMENT'!$C$8:$C$154=$C12)*'ANALYSE - ERP =&gt; SOUS-SEGMENT'!$Q$8:$Q$154*'ANALYSE - ERP =&gt; SOUS-SEGMENT'!$FH$8:$FH$154),0)</f>
        <v>0.26075733027427828</v>
      </c>
      <c r="JM12" s="748">
        <f>IFERROR(SUMPRODUCT(('ANALYSE - ERP =&gt; SOUS-SEGMENT'!$C$8:$C$154=$C12)*'ANALYSE - ERP =&gt; SOUS-SEGMENT'!$Q$8:$Q$154*'ANALYSE - ERP =&gt; SOUS-SEGMENT'!$FH$8:$FH$154*'ANALYSE - ERP =&gt; SOUS-SEGMENT'!$JP$8:$JP$154)/SUMPRODUCT(('ANALYSE - ERP =&gt; SOUS-SEGMENT'!$C$8:$C$154=$C12)*'ANALYSE - ERP =&gt; SOUS-SEGMENT'!$Q$8:$Q$154*'ANALYSE - ERP =&gt; SOUS-SEGMENT'!$FH$8:$FH$154),0)</f>
        <v>0.53192402172499764</v>
      </c>
      <c r="JN12" s="748">
        <f>IFERROR(SUMPRODUCT(('ANALYSE - ERP =&gt; SOUS-SEGMENT'!$C$8:$C$154=$C12)*'ANALYSE - ERP =&gt; SOUS-SEGMENT'!$Q$8:$Q$154*'ANALYSE - ERP =&gt; SOUS-SEGMENT'!$FH$8:$FH$154*'ANALYSE - ERP =&gt; SOUS-SEGMENT'!$JQ$8:$JQ$154)/SUMPRODUCT(('ANALYSE - ERP =&gt; SOUS-SEGMENT'!$C$8:$C$154=$C12)*'ANALYSE - ERP =&gt; SOUS-SEGMENT'!$Q$8:$Q$154*'ANALYSE - ERP =&gt; SOUS-SEGMENT'!$FH$8:$FH$154),0)</f>
        <v>0.19445096124227473</v>
      </c>
      <c r="JO12" s="748">
        <f>IFERROR(SUMPRODUCT(('ANALYSE - ERP =&gt; SOUS-SEGMENT'!$C$8:$C$154=$C12)*'ANALYSE - ERP =&gt; SOUS-SEGMENT'!$Q$8:$Q$154*'ANALYSE - ERP =&gt; SOUS-SEGMENT'!$FH$8:$FH$154*'ANALYSE - ERP =&gt; SOUS-SEGMENT'!$JR$8:$JR$154)/SUMPRODUCT(('ANALYSE - ERP =&gt; SOUS-SEGMENT'!$C$8:$C$154=$C12)*'ANALYSE - ERP =&gt; SOUS-SEGMENT'!$Q$8:$Q$154*'ANALYSE - ERP =&gt; SOUS-SEGMENT'!$FH$8:$FH$154),0)</f>
        <v>1.0089395034521345E-2</v>
      </c>
      <c r="JP12" s="771">
        <f>IFERROR(SUMPRODUCT(('ANALYSE - ERP =&gt; SOUS-SEGMENT'!$C$8:$C$154=$C12)*'ANALYSE - ERP =&gt; SOUS-SEGMENT'!$Q$8:$Q$154*'ANALYSE - ERP =&gt; SOUS-SEGMENT'!$BH$8:$BH$154*'ANALYSE - ERP =&gt; SOUS-SEGMENT'!$JS$8:$JS$154)/SUMPRODUCT(('ANALYSE - ERP =&gt; SOUS-SEGMENT'!$C$8:$C$154=$C12)*'ANALYSE - ERP =&gt; SOUS-SEGMENT'!$Q$8:$Q$154*'ANALYSE - ERP =&gt; SOUS-SEGMENT'!$BH$8:$BH$154),0)</f>
        <v>3.2324311183144244E-2</v>
      </c>
      <c r="JQ12" s="748">
        <f>IFERROR(SUMPRODUCT(('ANALYSE - ERP =&gt; SOUS-SEGMENT'!$C$8:$C$154=$C12)*'ANALYSE - ERP =&gt; SOUS-SEGMENT'!$Q$8:$Q$154*'ANALYSE - ERP =&gt; SOUS-SEGMENT'!$BH$8:$BH$154*'ANALYSE - ERP =&gt; SOUS-SEGMENT'!$JT$8:$JT$154)/SUMPRODUCT(('ANALYSE - ERP =&gt; SOUS-SEGMENT'!$C$8:$C$154=$C12)*'ANALYSE - ERP =&gt; SOUS-SEGMENT'!$Q$8:$Q$154*'ANALYSE - ERP =&gt; SOUS-SEGMENT'!$BH$8:$BH$154),0)</f>
        <v>0.37078168557536467</v>
      </c>
      <c r="JR12" s="748">
        <f>IFERROR(SUMPRODUCT(('ANALYSE - ERP =&gt; SOUS-SEGMENT'!$C$8:$C$154=$C12)*'ANALYSE - ERP =&gt; SOUS-SEGMENT'!$Q$8:$Q$154*'ANALYSE - ERP =&gt; SOUS-SEGMENT'!$BH$8:$BH$154*'ANALYSE - ERP =&gt; SOUS-SEGMENT'!$JU$8:$JU$154)/SUMPRODUCT(('ANALYSE - ERP =&gt; SOUS-SEGMENT'!$C$8:$C$154=$C12)*'ANALYSE - ERP =&gt; SOUS-SEGMENT'!$Q$8:$Q$154*'ANALYSE - ERP =&gt; SOUS-SEGMENT'!$BH$8:$BH$154),0)</f>
        <v>0.47928038897893027</v>
      </c>
      <c r="JS12" s="748">
        <f>IFERROR(SUMPRODUCT(('ANALYSE - ERP =&gt; SOUS-SEGMENT'!$C$8:$C$154=$C12)*'ANALYSE - ERP =&gt; SOUS-SEGMENT'!$Q$8:$Q$154*'ANALYSE - ERP =&gt; SOUS-SEGMENT'!$BH$8:$BH$154*'ANALYSE - ERP =&gt; SOUS-SEGMENT'!$JV$8:$JV$154)/SUMPRODUCT(('ANALYSE - ERP =&gt; SOUS-SEGMENT'!$C$8:$C$154=$C12)*'ANALYSE - ERP =&gt; SOUS-SEGMENT'!$Q$8:$Q$154*'ANALYSE - ERP =&gt; SOUS-SEGMENT'!$BH$8:$BH$154),0)</f>
        <v>0.11467293354943274</v>
      </c>
      <c r="JT12" s="749">
        <f>IFERROR(SUMPRODUCT(('ANALYSE - ERP =&gt; SOUS-SEGMENT'!$C$8:$C$154=$C12)*'ANALYSE - ERP =&gt; SOUS-SEGMENT'!$Q$8:$Q$154*'ANALYSE - ERP =&gt; SOUS-SEGMENT'!$BH$8:$BH$154*'ANALYSE - ERP =&gt; SOUS-SEGMENT'!$JW$8:$JW$154)/SUMPRODUCT(('ANALYSE - ERP =&gt; SOUS-SEGMENT'!$C$8:$C$154=$C12)*'ANALYSE - ERP =&gt; SOUS-SEGMENT'!$Q$8:$Q$154*'ANALYSE - ERP =&gt; SOUS-SEGMENT'!$BH$8:$BH$154),0)</f>
        <v>2.940680713128039E-3</v>
      </c>
      <c r="JU12" s="771">
        <f>IFERROR(SUMPRODUCT(('ANALYSE - ERP =&gt; SOUS-SEGMENT'!$C$8:$C$154=$C12)*'ANALYSE - ERP =&gt; SOUS-SEGMENT'!$Q$8:$Q$154*'ANALYSE - ERP =&gt; SOUS-SEGMENT'!$FK$8:$FK$154*'ANALYSE - ERP =&gt; SOUS-SEGMENT'!$JX$8:$JX$154)/SUMPRODUCT(('ANALYSE - ERP =&gt; SOUS-SEGMENT'!$C$8:$C$154=$C12)*'ANALYSE - ERP =&gt; SOUS-SEGMENT'!$Q$8:$Q$154*'ANALYSE - ERP =&gt; SOUS-SEGMENT'!$FK$8:$FK$154),0)</f>
        <v>1.7806587286386215E-3</v>
      </c>
      <c r="JV12" s="748">
        <f>IFERROR(SUMPRODUCT(('ANALYSE - ERP =&gt; SOUS-SEGMENT'!$C$8:$C$154=$C12)*'ANALYSE - ERP =&gt; SOUS-SEGMENT'!$Q$8:$Q$154*'ANALYSE - ERP =&gt; SOUS-SEGMENT'!$FK$8:$FK$154*'ANALYSE - ERP =&gt; SOUS-SEGMENT'!$JY$8:$JY$154)/SUMPRODUCT(('ANALYSE - ERP =&gt; SOUS-SEGMENT'!$C$8:$C$154=$C12)*'ANALYSE - ERP =&gt; SOUS-SEGMENT'!$Q$8:$Q$154*'ANALYSE - ERP =&gt; SOUS-SEGMENT'!$FK$8:$FK$154),0)</f>
        <v>0.19202501218779525</v>
      </c>
      <c r="JW12" s="748">
        <f>IFERROR(SUMPRODUCT(('ANALYSE - ERP =&gt; SOUS-SEGMENT'!$C$8:$C$154=$C12)*'ANALYSE - ERP =&gt; SOUS-SEGMENT'!$Q$8:$Q$154*'ANALYSE - ERP =&gt; SOUS-SEGMENT'!$FK$8:$FK$154*'ANALYSE - ERP =&gt; SOUS-SEGMENT'!$JZ$8:$JZ$154)/SUMPRODUCT(('ANALYSE - ERP =&gt; SOUS-SEGMENT'!$C$8:$C$154=$C12)*'ANALYSE - ERP =&gt; SOUS-SEGMENT'!$Q$8:$Q$154*'ANALYSE - ERP =&gt; SOUS-SEGMENT'!$FK$8:$FK$154),0)</f>
        <v>0.53321213680547708</v>
      </c>
      <c r="JX12" s="748">
        <f>IFERROR(SUMPRODUCT(('ANALYSE - ERP =&gt; SOUS-SEGMENT'!$C$8:$C$154=$C12)*'ANALYSE - ERP =&gt; SOUS-SEGMENT'!$Q$8:$Q$154*'ANALYSE - ERP =&gt; SOUS-SEGMENT'!$FK$8:$FK$154*'ANALYSE - ERP =&gt; SOUS-SEGMENT'!$KA$8:$KA$154)/SUMPRODUCT(('ANALYSE - ERP =&gt; SOUS-SEGMENT'!$C$8:$C$154=$C12)*'ANALYSE - ERP =&gt; SOUS-SEGMENT'!$Q$8:$Q$154*'ANALYSE - ERP =&gt; SOUS-SEGMENT'!$FK$8:$FK$154),0)</f>
        <v>0.25421123923411421</v>
      </c>
      <c r="JY12" s="775">
        <f>IFERROR(SUMPRODUCT(('ANALYSE - ERP =&gt; SOUS-SEGMENT'!$C$8:$C$154=$C12)*'ANALYSE - ERP =&gt; SOUS-SEGMENT'!$Q$8:$Q$154*'ANALYSE - ERP =&gt; SOUS-SEGMENT'!$FK$8:$FK$154*'ANALYSE - ERP =&gt; SOUS-SEGMENT'!$KB$8:$KB$154)/SUMPRODUCT(('ANALYSE - ERP =&gt; SOUS-SEGMENT'!$C$8:$C$154=$C12)*'ANALYSE - ERP =&gt; SOUS-SEGMENT'!$Q$8:$Q$154*'ANALYSE - ERP =&gt; SOUS-SEGMENT'!$FK$8:$FK$154),0)</f>
        <v>1.8770953043974827E-2</v>
      </c>
      <c r="JZ12" s="657"/>
      <c r="KA12" s="314" t="s">
        <v>2591</v>
      </c>
      <c r="KB12" s="314" t="s">
        <v>2625</v>
      </c>
      <c r="KC12" s="866">
        <f>IFERROR(SUMPRODUCT(('ANALYSE - ERP =&gt; SOUS-SEGMENT'!$C$8:$C$154=$C12)*'ANALYSE - ERP =&gt; SOUS-SEGMENT'!$Q$8:$Q$154*'ANALYSE - ERP =&gt; SOUS-SEGMENT'!$EX$8:$EX$154*'ANALYSE - ERP =&gt; SOUS-SEGMENT'!$KF$8:$KF$154)/SUMPRODUCT(('ANALYSE - ERP =&gt; SOUS-SEGMENT'!$C$8:$C$154=$C12)*'ANALYSE - ERP =&gt; SOUS-SEGMENT'!$Q$8:$Q$154*'ANALYSE - ERP =&gt; SOUS-SEGMENT'!$EX$8:$EX$154),"")</f>
        <v>3.8683153140566535</v>
      </c>
      <c r="KD12" s="314" t="s">
        <v>2589</v>
      </c>
      <c r="KE12" s="315" t="s">
        <v>2855</v>
      </c>
      <c r="KF12" s="617" t="s">
        <v>6760</v>
      </c>
      <c r="KG12" s="315" t="s">
        <v>6760</v>
      </c>
    </row>
    <row r="13" spans="1:293" ht="108" customHeight="1">
      <c r="A13" s="265">
        <v>6</v>
      </c>
      <c r="B13" s="483" t="s">
        <v>2241</v>
      </c>
      <c r="C13" s="483" t="s">
        <v>1053</v>
      </c>
      <c r="D13" s="483" t="s">
        <v>6855</v>
      </c>
      <c r="E13" s="267" t="s">
        <v>2256</v>
      </c>
      <c r="F13" s="267" t="s">
        <v>300</v>
      </c>
      <c r="G13" s="267" t="s">
        <v>300</v>
      </c>
      <c r="H13" s="267" t="s">
        <v>2109</v>
      </c>
      <c r="I13" s="268" t="s">
        <v>6856</v>
      </c>
      <c r="J13" s="268" t="s">
        <v>6857</v>
      </c>
      <c r="K13" s="269" t="s">
        <v>2117</v>
      </c>
      <c r="L13" s="269" t="s">
        <v>2109</v>
      </c>
      <c r="M13" s="269" t="s">
        <v>2603</v>
      </c>
      <c r="N13" s="269" t="s">
        <v>6742</v>
      </c>
      <c r="O13" s="269" t="s">
        <v>2212</v>
      </c>
      <c r="P13" s="268"/>
      <c r="Q13" s="270">
        <f>IF(SUMPRODUCT(('ANALYSE - ERP =&gt; SOUS-SEGMENT'!$C$8:$C$154=$C13)*'ANALYSE - ERP =&gt; SOUS-SEGMENT'!$Q$8:$Q$154)&gt;0,1,0)</f>
        <v>1</v>
      </c>
      <c r="R13" s="271">
        <f>IFERROR(SUMPRODUCT(('ANALYSE - ERP =&gt; SOUS-SEGMENT'!$C$8:$C$154=$C13)*'ANALYSE - ERP =&gt; SOUS-SEGMENT'!$Q$8:$Q$154*'ANALYSE - ERP =&gt; SOUS-SEGMENT'!$AG$8:$AG$154*'ANALYSE - ERP =&gt; SOUS-SEGMENT'!$R$8:$R$154)/SUMPRODUCT(('ANALYSE - ERP =&gt; SOUS-SEGMENT'!$C$8:$C$154=$C13)*'ANALYSE - ERP =&gt; SOUS-SEGMENT'!$Q$8:$Q$154*'ANALYSE - ERP =&gt; SOUS-SEGMENT'!$AG$8:$AG$154),"")</f>
        <v>23066.176470588234</v>
      </c>
      <c r="S13" s="272">
        <f t="array" ref="S13">SUMPRODUCT(('ANALYSE - ERP =&gt; SOUS-SEGMENT'!$C$8:$C$154=$C13)*'ANALYSE - ERP =&gt; SOUS-SEGMENT'!$Q$8:$Q$154*'ANALYSE - ERP =&gt; SOUS-SEGMENT'!$S$8:$S$154)</f>
        <v>3553</v>
      </c>
      <c r="T13" s="272">
        <f>SUMPRODUCT(('ANALYSE - ERP =&gt; SOUS-SEGMENT'!$C$8:$C$154=$C13)*'ANALYSE - ERP =&gt; SOUS-SEGMENT'!$Q$8:$Q$154*'ANALYSE - ERP =&gt; SOUS-SEGMENT'!$T$8:$T$154)</f>
        <v>3398</v>
      </c>
      <c r="U13" s="272">
        <f>SUMPRODUCT(('ANALYSE - ERP =&gt; SOUS-SEGMENT'!$C$8:$C$154=$C13)*'ANALYSE - ERP =&gt; SOUS-SEGMENT'!$Q$8:$Q$154*'ANALYSE - ERP =&gt; SOUS-SEGMENT'!$U$8:$U$154)</f>
        <v>3257</v>
      </c>
      <c r="V13" s="272">
        <f>SUMPRODUCT(('ANALYSE - ERP =&gt; SOUS-SEGMENT'!$C$8:$C$154=$C13)*'ANALYSE - ERP =&gt; SOUS-SEGMENT'!$Q$8:$Q$154*'ANALYSE - ERP =&gt; SOUS-SEGMENT'!$V$8:$V$154)</f>
        <v>3132</v>
      </c>
      <c r="W13" s="272">
        <f>SUMPRODUCT(('ANALYSE - ERP =&gt; SOUS-SEGMENT'!$C$8:$C$154=$C13)*'ANALYSE - ERP =&gt; SOUS-SEGMENT'!$Q$8:$Q$154*'ANALYSE - ERP =&gt; SOUS-SEGMENT'!$W$8:$W$154)</f>
        <v>3103</v>
      </c>
      <c r="X13" s="272">
        <f>SUMPRODUCT(('ANALYSE - ERP =&gt; SOUS-SEGMENT'!$C$8:$C$154=$C13)*'ANALYSE - ERP =&gt; SOUS-SEGMENT'!$Q$8:$Q$154*'ANALYSE - ERP =&gt; SOUS-SEGMENT'!$X$8:$X$154)</f>
        <v>3075</v>
      </c>
      <c r="Y13" s="272">
        <f>SUMPRODUCT(('ANALYSE - ERP =&gt; SOUS-SEGMENT'!$C$8:$C$154=$C13)*'ANALYSE - ERP =&gt; SOUS-SEGMENT'!$Q$8:$Q$154*'ANALYSE - ERP =&gt; SOUS-SEGMENT'!$Y$8:$Y$154)</f>
        <v>3048</v>
      </c>
      <c r="Z13" s="272">
        <f>SUMPRODUCT(('ANALYSE - ERP =&gt; SOUS-SEGMENT'!$C$8:$C$154=$C13)*'ANALYSE - ERP =&gt; SOUS-SEGMENT'!$Q$8:$Q$154*'ANALYSE - ERP =&gt; SOUS-SEGMENT'!$Z$8:$Z$154)</f>
        <v>3021</v>
      </c>
      <c r="AA13" s="272">
        <f>SUMPRODUCT(('ANALYSE - ERP =&gt; SOUS-SEGMENT'!$C$8:$C$154=$C13)*'ANALYSE - ERP =&gt; SOUS-SEGMENT'!$Q$8:$Q$154*'ANALYSE - ERP =&gt; SOUS-SEGMENT'!$AA$8:$AA$154)</f>
        <v>3006</v>
      </c>
      <c r="AB13" s="272">
        <f>SUMPRODUCT(('ANALYSE - ERP =&gt; SOUS-SEGMENT'!$C$8:$C$154=$C13)*'ANALYSE - ERP =&gt; SOUS-SEGMENT'!$Q$8:$Q$154*'ANALYSE - ERP =&gt; SOUS-SEGMENT'!$AB$8:$AB$154)</f>
        <v>2993</v>
      </c>
      <c r="AC13" s="272">
        <f>SUMPRODUCT(('ANALYSE - ERP =&gt; SOUS-SEGMENT'!$C$8:$C$154=$C13)*'ANALYSE - ERP =&gt; SOUS-SEGMENT'!$Q$8:$Q$154*'ANALYSE - ERP =&gt; SOUS-SEGMENT'!$AC$8:$AC$154)</f>
        <v>2979</v>
      </c>
      <c r="AD13" s="272">
        <f>SUMPRODUCT(('ANALYSE - ERP =&gt; SOUS-SEGMENT'!$C$8:$C$154=$C13)*'ANALYSE - ERP =&gt; SOUS-SEGMENT'!$Q$8:$Q$154*'ANALYSE - ERP =&gt; SOUS-SEGMENT'!$AD$8:$AD$154)</f>
        <v>2966</v>
      </c>
      <c r="AE13" s="272">
        <f>SUMPRODUCT(('ANALYSE - ERP =&gt; SOUS-SEGMENT'!$C$8:$C$154=$C13)*'ANALYSE - ERP =&gt; SOUS-SEGMENT'!$Q$8:$Q$154*'ANALYSE - ERP =&gt; SOUS-SEGMENT'!$AE$8:$AE$154)</f>
        <v>2951</v>
      </c>
      <c r="AF13" s="272">
        <f>SUMPRODUCT(('ANALYSE - ERP =&gt; SOUS-SEGMENT'!$C$8:$C$154=$C13)*'ANALYSE - ERP =&gt; SOUS-SEGMENT'!$Q$8:$Q$154*'ANALYSE - ERP =&gt; SOUS-SEGMENT'!$AF$8:$AF$154)</f>
        <v>2936</v>
      </c>
      <c r="AG13" s="272">
        <f>SUMPRODUCT(('ANALYSE - ERP =&gt; SOUS-SEGMENT'!$C$8:$C$154=$C13)*'ANALYSE - ERP =&gt; SOUS-SEGMENT'!$Q$8:$Q$154*'ANALYSE - ERP =&gt; SOUS-SEGMENT'!$AG$8:$AG$154)</f>
        <v>2924</v>
      </c>
      <c r="AH13" s="272">
        <f>SUMPRODUCT(('ANALYSE - ERP =&gt; SOUS-SEGMENT'!$C$8:$C$154=$C13)*'ANALYSE - ERP =&gt; SOUS-SEGMENT'!$Q$8:$Q$154*'ANALYSE - ERP =&gt; SOUS-SEGMENT'!$AH$8:$AH$154)</f>
        <v>2913</v>
      </c>
      <c r="AI13" s="272">
        <f>SUMPRODUCT(('ANALYSE - ERP =&gt; SOUS-SEGMENT'!$C$8:$C$154=$C13)*'ANALYSE - ERP =&gt; SOUS-SEGMENT'!$Q$8:$Q$154*'ANALYSE - ERP =&gt; SOUS-SEGMENT'!$AI$8:$AI$154)</f>
        <v>2902</v>
      </c>
      <c r="AJ13" s="272">
        <f>SUMPRODUCT(('ANALYSE - ERP =&gt; SOUS-SEGMENT'!$C$8:$C$154=$C13)*'ANALYSE - ERP =&gt; SOUS-SEGMENT'!$Q$8:$Q$154*'ANALYSE - ERP =&gt; SOUS-SEGMENT'!$AJ$8:$AJ$154)</f>
        <v>2891</v>
      </c>
      <c r="AK13" s="272">
        <f>SUMPRODUCT(('ANALYSE - ERP =&gt; SOUS-SEGMENT'!$C$8:$C$154=$C13)*'ANALYSE - ERP =&gt; SOUS-SEGMENT'!$Q$8:$Q$154*'ANALYSE - ERP =&gt; SOUS-SEGMENT'!$AK$8:$AK$154)</f>
        <v>2879</v>
      </c>
      <c r="AL13" s="268" t="s">
        <v>6858</v>
      </c>
      <c r="AM13" s="268" t="s">
        <v>6859</v>
      </c>
      <c r="AN13" s="268" t="s">
        <v>2334</v>
      </c>
      <c r="AO13" s="657"/>
      <c r="AP13" s="271">
        <f>IFERROR(SUMPRODUCT(('ANALYSE - ERP =&gt; SOUS-SEGMENT'!$C$8:$C$154=$C13)*'ANALYSE - ERP =&gt; SOUS-SEGMENT'!$Q$8:$Q$154*'ANALYSE - ERP =&gt; SOUS-SEGMENT'!$AG$8:$AG$154*'ANALYSE - ERP =&gt; SOUS-SEGMENT'!$AP$8:$AP$154)/SUMPRODUCT(('ANALYSE - ERP =&gt; SOUS-SEGMENT'!$C$8:$C$154=$C13)*'ANALYSE - ERP =&gt; SOUS-SEGMENT'!$Q$8:$Q$154*'ANALYSE - ERP =&gt; SOUS-SEGMENT'!$AG$8:$AG$154),"")</f>
        <v>271.05677154582764</v>
      </c>
      <c r="AQ13" s="280">
        <f>IFERROR(SUMPRODUCT(('ANALYSE - ERP =&gt; SOUS-SEGMENT'!$C$8:$C$154=$C13)*'ANALYSE - ERP =&gt; SOUS-SEGMENT'!$Q$8:$Q$154*'ANALYSE - ERP =&gt; SOUS-SEGMENT'!$AF$8:$AF$154*'ANALYSE - ERP =&gt; SOUS-SEGMENT'!$AQ$8:$AQ$154)/SUMPRODUCT(('ANALYSE - ERP =&gt; SOUS-SEGMENT'!$C$8:$C$154=$C13)*'ANALYSE - ERP =&gt; SOUS-SEGMENT'!$Q$8:$Q$154*'ANALYSE - ERP =&gt; SOUS-SEGMENT'!$AF$8:$AF$154),"")</f>
        <v>154.66246594005449</v>
      </c>
      <c r="AR13" s="974">
        <f>IFERROR(SUMPRODUCT(('ANALYSE - ERP =&gt; SOUS-SEGMENT'!$C$8:$C$154=$C13)*'ANALYSE - ERP =&gt; SOUS-SEGMENT'!$Q$8:$Q$154*'ANALYSE - ERP =&gt; SOUS-SEGMENT'!$AF$8:$AF$154*'ANALYSE - ERP =&gt; SOUS-SEGMENT'!$AR$8:$AR$154)/SUMPRODUCT(('ANALYSE - ERP =&gt; SOUS-SEGMENT'!$C$8:$C$154=$C13)*'ANALYSE - ERP =&gt; SOUS-SEGMENT'!$Q$8:$Q$154*'ANALYSE - ERP =&gt; SOUS-SEGMENT'!$AF$8:$AF$154),"")</f>
        <v>67.366144414168943</v>
      </c>
      <c r="AS13" s="974">
        <f>IFERROR(SUMPRODUCT(('ANALYSE - ERP =&gt; SOUS-SEGMENT'!$C$8:$C$154=$C13)*'ANALYSE - ERP =&gt; SOUS-SEGMENT'!$Q$8:$Q$154*'ANALYSE - ERP =&gt; SOUS-SEGMENT'!$AF$8:$AF$154*'ANALYSE - ERP =&gt; SOUS-SEGMENT'!$AS$8:$AS$154)/SUMPRODUCT(('ANALYSE - ERP =&gt; SOUS-SEGMENT'!$C$8:$C$154=$C13)*'ANALYSE - ERP =&gt; SOUS-SEGMENT'!$Q$8:$Q$154*'ANALYSE - ERP =&gt; SOUS-SEGMENT'!$AF$8:$AF$154),"")</f>
        <v>48.972752043596728</v>
      </c>
      <c r="AT13" s="657" t="s">
        <v>6860</v>
      </c>
      <c r="AU13" s="290" t="s">
        <v>6861</v>
      </c>
      <c r="AV13" s="572" t="s">
        <v>3299</v>
      </c>
      <c r="AW13" s="290" t="s">
        <v>6862</v>
      </c>
      <c r="AX13" s="657"/>
      <c r="AY13" s="303">
        <f>IFERROR(SUMPRODUCT(('ANALYSE - ERP =&gt; SOUS-SEGMENT'!$C$8:$C$154=$C13)*'ANALYSE - ERP =&gt; SOUS-SEGMENT'!$Q$8:$Q$154*'ANALYSE - ERP =&gt; SOUS-SEGMENT'!$AF$8:$AF$154*'ANALYSE - ERP =&gt; SOUS-SEGMENT'!$AZ$8:$AZ$154)/SUMPRODUCT(('ANALYSE - ERP =&gt; SOUS-SEGMENT'!$C$8:$C$154=$C13)*'ANALYSE - ERP =&gt; SOUS-SEGMENT'!$Q$8:$Q$154*'ANALYSE - ERP =&gt; SOUS-SEGMENT'!$AF$8:$AF$154),"")</f>
        <v>87.307561307901906</v>
      </c>
      <c r="AZ13" s="948">
        <f>IFERROR(SUMPRODUCT(('ANALYSE - ERP =&gt; SOUS-SEGMENT'!$C$8:$C$154=$C13)*'ANALYSE - ERP =&gt; SOUS-SEGMENT'!$Q$8:$Q$154*'ANALYSE - ERP =&gt; SOUS-SEGMENT'!$AF$8:$AF$154*'ANALYSE - ERP =&gt; SOUS-SEGMENT'!$BA$8:$BA$154)/SUMPRODUCT(('ANALYSE - ERP =&gt; SOUS-SEGMENT'!$C$8:$C$154=$C13)*'ANALYSE - ERP =&gt; SOUS-SEGMENT'!$Q$8:$Q$154*'ANALYSE - ERP =&gt; SOUS-SEGMENT'!$AF$8:$AF$154),"")</f>
        <v>46.371253405994551</v>
      </c>
      <c r="BA13" s="303">
        <f>IFERROR(SUMPRODUCT(('ANALYSE - ERP =&gt; SOUS-SEGMENT'!$C$8:$C$154=$C13)*'ANALYSE - ERP =&gt; SOUS-SEGMENT'!$Q$8:$Q$154*'ANALYSE - ERP =&gt; SOUS-SEGMENT'!$AF$8:$AF$154*'ANALYSE - ERP =&gt; SOUS-SEGMENT'!$BB$8:$BB$154)/SUMPRODUCT(('ANALYSE - ERP =&gt; SOUS-SEGMENT'!$C$8:$C$154=$C13)*'ANALYSE - ERP =&gt; SOUS-SEGMENT'!$Q$8:$Q$154*'ANALYSE - ERP =&gt; SOUS-SEGMENT'!$AF$8:$AF$154),"")</f>
        <v>1.4846730245231607</v>
      </c>
      <c r="BB13" s="303">
        <f>IFERROR(SUMPRODUCT(('ANALYSE - ERP =&gt; SOUS-SEGMENT'!$C$8:$C$154=$C13)*'ANALYSE - ERP =&gt; SOUS-SEGMENT'!$Q$8:$Q$154*'ANALYSE - ERP =&gt; SOUS-SEGMENT'!$AF$8:$AF$154*'ANALYSE - ERP =&gt; SOUS-SEGMENT'!$BC$8:$BC$154)/SUMPRODUCT(('ANALYSE - ERP =&gt; SOUS-SEGMENT'!$C$8:$C$154=$C13)*'ANALYSE - ERP =&gt; SOUS-SEGMENT'!$Q$8:$Q$154*'ANALYSE - ERP =&gt; SOUS-SEGMENT'!$AF$8:$AF$154),"")</f>
        <v>83.597411444141684</v>
      </c>
      <c r="BC13" s="304">
        <f>SUMPRODUCT(('ANALYSE - ERP =&gt; SOUS-SEGMENT'!$C$8:$C$154=$C13)*'ANALYSE - ERP =&gt; SOUS-SEGMENT'!$Q$8:$Q$154*'ANALYSE - ERP =&gt; SOUS-SEGMENT'!$BE$8:$BE$154)</f>
        <v>256335</v>
      </c>
      <c r="BD13" s="304">
        <f>SUMPRODUCT(('ANALYSE - ERP =&gt; SOUS-SEGMENT'!$C$8:$C$154=$C13)*'ANALYSE - ERP =&gt; SOUS-SEGMENT'!$Q$8:$Q$154*'ANALYSE - ERP =&gt; SOUS-SEGMENT'!$BF$8:$BF$154)</f>
        <v>136146</v>
      </c>
      <c r="BE13" s="304">
        <f>SUMPRODUCT(('ANALYSE - ERP =&gt; SOUS-SEGMENT'!$C$8:$C$154=$C13)*'ANALYSE - ERP =&gt; SOUS-SEGMENT'!$Q$8:$Q$154*'ANALYSE - ERP =&gt; SOUS-SEGMENT'!$BG$8:$BG$154)</f>
        <v>4359</v>
      </c>
      <c r="BF13" s="304">
        <f>SUMPRODUCT(('ANALYSE - ERP =&gt; SOUS-SEGMENT'!$C$8:$C$154=$C13)*'ANALYSE - ERP =&gt; SOUS-SEGMENT'!$Q$8:$Q$154*'ANALYSE - ERP =&gt; SOUS-SEGMENT'!$BH$8:$BH$154)</f>
        <v>245442</v>
      </c>
      <c r="BG13" s="304">
        <f>SUMPRODUCT(('ANALYSE - ERP =&gt; SOUS-SEGMENT'!$C$8:$C$154=$C13)*'ANALYSE - ERP =&gt; SOUS-SEGMENT'!$Q$8:$Q$154*'ANALYSE - ERP =&gt; SOUS-SEGMENT'!$BJ$8:$BJ$154)</f>
        <v>251505</v>
      </c>
      <c r="BH13" s="304">
        <f>SUMPRODUCT(('ANALYSE - ERP =&gt; SOUS-SEGMENT'!$C$8:$C$154=$C13)*'ANALYSE - ERP =&gt; SOUS-SEGMENT'!$Q$8:$Q$154*'ANALYSE - ERP =&gt; SOUS-SEGMENT'!$BK$8:$BK$154)</f>
        <v>133563</v>
      </c>
      <c r="BI13" s="304">
        <f>SUMPRODUCT(('ANALYSE - ERP =&gt; SOUS-SEGMENT'!$C$8:$C$154=$C13)*'ANALYSE - ERP =&gt; SOUS-SEGMENT'!$Q$8:$Q$154*'ANALYSE - ERP =&gt; SOUS-SEGMENT'!$BL$8:$BL$154)</f>
        <v>4277</v>
      </c>
      <c r="BJ13" s="304">
        <f>SUMPRODUCT(('ANALYSE - ERP =&gt; SOUS-SEGMENT'!$C$8:$C$154=$C13)*'ANALYSE - ERP =&gt; SOUS-SEGMENT'!$Q$8:$Q$154*'ANALYSE - ERP =&gt; SOUS-SEGMENT'!$BM$8:$BM$154)</f>
        <v>240809</v>
      </c>
      <c r="BK13" s="657"/>
      <c r="BL13" s="580">
        <f>IFERROR(SUMPRODUCT(('ANALYSE - ERP =&gt; SOUS-SEGMENT'!$C$8:$C$154=$C13)*'ANALYSE - ERP =&gt; SOUS-SEGMENT'!$Q$8:$Q$154*'ANALYSE - ERP =&gt; SOUS-SEGMENT'!$BE$8:$BE$154*'ANALYSE - ERP =&gt; SOUS-SEGMENT'!$BO$8:$BO$154)/SUMPRODUCT(('ANALYSE - ERP =&gt; SOUS-SEGMENT'!$C$8:$C$154=$C13)*'ANALYSE - ERP =&gt; SOUS-SEGMENT'!$Q$8:$Q$154*'ANALYSE - ERP =&gt; SOUS-SEGMENT'!$BE$8:$BE$154),"")</f>
        <v>0.47170655587414911</v>
      </c>
      <c r="BM13" s="305">
        <f>IFERROR(SUMPRODUCT(('ANALYSE - ERP =&gt; SOUS-SEGMENT'!$C$8:$C$154=$C13)*'ANALYSE - ERP =&gt; SOUS-SEGMENT'!$Q$8:$Q$154*'ANALYSE - ERP =&gt; SOUS-SEGMENT'!$BE$8:$BE$154*'ANALYSE - ERP =&gt; SOUS-SEGMENT'!$BP$8:$BP$154)/SUMPRODUCT(('ANALYSE - ERP =&gt; SOUS-SEGMENT'!$C$8:$C$154=$C13)*'ANALYSE - ERP =&gt; SOUS-SEGMENT'!$Q$8:$Q$154*'ANALYSE - ERP =&gt; SOUS-SEGMENT'!$BE$8:$BE$154),"")</f>
        <v>0.24420621452396279</v>
      </c>
      <c r="BN13" s="305">
        <f>IFERROR(SUMPRODUCT(('ANALYSE - ERP =&gt; SOUS-SEGMENT'!$C$8:$C$154=$C13)*'ANALYSE - ERP =&gt; SOUS-SEGMENT'!$Q$8:$Q$154*'ANALYSE - ERP =&gt; SOUS-SEGMENT'!$BE$8:$BE$154*'ANALYSE - ERP =&gt; SOUS-SEGMENT'!$BQ$8:$BQ$154)/SUMPRODUCT(('ANALYSE - ERP =&gt; SOUS-SEGMENT'!$C$8:$C$154=$C13)*'ANALYSE - ERP =&gt; SOUS-SEGMENT'!$Q$8:$Q$154*'ANALYSE - ERP =&gt; SOUS-SEGMENT'!$BE$8:$BE$154),"")</f>
        <v>0.18386174342169428</v>
      </c>
      <c r="BO13" s="581">
        <f>IFERROR(SUMPRODUCT(('ANALYSE - ERP =&gt; SOUS-SEGMENT'!$C$8:$C$154=$C13)*'ANALYSE - ERP =&gt; SOUS-SEGMENT'!$Q$8:$Q$154*'ANALYSE - ERP =&gt; SOUS-SEGMENT'!$BE$8:$BE$154*'ANALYSE - ERP =&gt; SOUS-SEGMENT'!$BR$8:$BR$154)/SUMPRODUCT(('ANALYSE - ERP =&gt; SOUS-SEGMENT'!$C$8:$C$154=$C13)*'ANALYSE - ERP =&gt; SOUS-SEGMENT'!$Q$8:$Q$154*'ANALYSE - ERP =&gt; SOUS-SEGMENT'!$BE$8:$BE$154),"")</f>
        <v>0.10022548618019389</v>
      </c>
      <c r="BP13" s="580">
        <f>IFERROR(SUMPRODUCT(('ANALYSE - ERP =&gt; SOUS-SEGMENT'!$C$8:$C$154=$C13)*'ANALYSE - ERP =&gt; SOUS-SEGMENT'!$Q$8:$Q$154*'ANALYSE - ERP =&gt; SOUS-SEGMENT'!$BJ$8:$BJ$154*'ANALYSE - ERP =&gt; SOUS-SEGMENT'!$BS$8:$BS$154)/SUMPRODUCT(('ANALYSE - ERP =&gt; SOUS-SEGMENT'!$C$8:$C$154=$C13)*'ANALYSE - ERP =&gt; SOUS-SEGMENT'!$Q$8:$Q$154*'ANALYSE - ERP =&gt; SOUS-SEGMENT'!$BJ$8:$BJ$154),"")</f>
        <v>0.44171467764060351</v>
      </c>
      <c r="BQ13" s="305">
        <f>IFERROR(SUMPRODUCT(('ANALYSE - ERP =&gt; SOUS-SEGMENT'!$C$8:$C$154=$C13)*'ANALYSE - ERP =&gt; SOUS-SEGMENT'!$Q$8:$Q$154*'ANALYSE - ERP =&gt; SOUS-SEGMENT'!$BJ$8:$BJ$154*'ANALYSE - ERP =&gt; SOUS-SEGMENT'!$BT$8:$BT$154)/SUMPRODUCT(('ANALYSE - ERP =&gt; SOUS-SEGMENT'!$C$8:$C$154=$C13)*'ANALYSE - ERP =&gt; SOUS-SEGMENT'!$Q$8:$Q$154*'ANALYSE - ERP =&gt; SOUS-SEGMENT'!$BJ$8:$BJ$154),"")</f>
        <v>0.24420588059879528</v>
      </c>
      <c r="BR13" s="305">
        <f>IFERROR(SUMPRODUCT(('ANALYSE - ERP =&gt; SOUS-SEGMENT'!$C$8:$C$154=$C13)*'ANALYSE - ERP =&gt; SOUS-SEGMENT'!$Q$8:$Q$154*'ANALYSE - ERP =&gt; SOUS-SEGMENT'!$BJ$8:$BJ$154*'ANALYSE - ERP =&gt; SOUS-SEGMENT'!$BU$8:$BU$154)/SUMPRODUCT(('ANALYSE - ERP =&gt; SOUS-SEGMENT'!$C$8:$C$154=$C13)*'ANALYSE - ERP =&gt; SOUS-SEGMENT'!$Q$8:$Q$154*'ANALYSE - ERP =&gt; SOUS-SEGMENT'!$BJ$8:$BJ$154),"")</f>
        <v>0.21383610663803901</v>
      </c>
      <c r="BS13" s="581">
        <f>IFERROR(SUMPRODUCT(('ANALYSE - ERP =&gt; SOUS-SEGMENT'!$C$8:$C$154=$C13)*'ANALYSE - ERP =&gt; SOUS-SEGMENT'!$Q$8:$Q$154*'ANALYSE - ERP =&gt; SOUS-SEGMENT'!$BJ$8:$BJ$154*'ANALYSE - ERP =&gt; SOUS-SEGMENT'!$BV$8:$BV$154)/SUMPRODUCT(('ANALYSE - ERP =&gt; SOUS-SEGMENT'!$C$8:$C$154=$C13)*'ANALYSE - ERP =&gt; SOUS-SEGMENT'!$Q$8:$Q$154*'ANALYSE - ERP =&gt; SOUS-SEGMENT'!$BJ$8:$BJ$154),"")</f>
        <v>0.10024333512256219</v>
      </c>
      <c r="BT13" s="589">
        <f>IFERROR(SUMPRODUCT(('ANALYSE - ERP =&gt; SOUS-SEGMENT'!$C$8:$C$154=$C13)*'ANALYSE - ERP =&gt; SOUS-SEGMENT'!$Q$8:$Q$154*'ANALYSE - ERP =&gt; SOUS-SEGMENT'!$BF$8:$BF$154*'ANALYSE - ERP =&gt; SOUS-SEGMENT'!$BW$8:$BW$154)/SUMPRODUCT(('ANALYSE - ERP =&gt; SOUS-SEGMENT'!$C$8:$C$154=$C13)*'ANALYSE - ERP =&gt; SOUS-SEGMENT'!$Q$8:$Q$154*'ANALYSE - ERP =&gt; SOUS-SEGMENT'!$BF$8:$BF$154),"")</f>
        <v>0.80591277011443596</v>
      </c>
      <c r="BU13" s="306">
        <f>IFERROR(SUMPRODUCT(('ANALYSE - ERP =&gt; SOUS-SEGMENT'!$C$8:$C$154=$C13)*'ANALYSE - ERP =&gt; SOUS-SEGMENT'!$Q$8:$Q$154*'ANALYSE - ERP =&gt; SOUS-SEGMENT'!$BF$8:$BF$154*'ANALYSE - ERP =&gt; SOUS-SEGMENT'!$BX$8:$BX$154)/SUMPRODUCT(('ANALYSE - ERP =&gt; SOUS-SEGMENT'!$C$8:$C$154=$C13)*'ANALYSE - ERP =&gt; SOUS-SEGMENT'!$Q$8:$Q$154*'ANALYSE - ERP =&gt; SOUS-SEGMENT'!$BF$8:$BF$154),"")</f>
        <v>0.15371086921393209</v>
      </c>
      <c r="BV13" s="590">
        <f>IFERROR(SUMPRODUCT(('ANALYSE - ERP =&gt; SOUS-SEGMENT'!$C$8:$C$154=$C13)*'ANALYSE - ERP =&gt; SOUS-SEGMENT'!$Q$8:$Q$154*'ANALYSE - ERP =&gt; SOUS-SEGMENT'!$BF$8:$BF$154*'ANALYSE - ERP =&gt; SOUS-SEGMENT'!$BY$8:$BY$154)/SUMPRODUCT(('ANALYSE - ERP =&gt; SOUS-SEGMENT'!$C$8:$C$154=$C13)*'ANALYSE - ERP =&gt; SOUS-SEGMENT'!$Q$8:$Q$154*'ANALYSE - ERP =&gt; SOUS-SEGMENT'!$BF$8:$BF$154),"")</f>
        <v>4.0376360671631924E-2</v>
      </c>
      <c r="BW13" s="589">
        <f>IFERROR(SUMPRODUCT(('ANALYSE - ERP =&gt; SOUS-SEGMENT'!$C$8:$C$154=$C13)*'ANALYSE - ERP =&gt; SOUS-SEGMENT'!$Q$8:$Q$154*'ANALYSE - ERP =&gt; SOUS-SEGMENT'!$BK$8:$BK$154*'ANALYSE - ERP =&gt; SOUS-SEGMENT'!$BZ$8:$BZ$154)/SUMPRODUCT(('ANALYSE - ERP =&gt; SOUS-SEGMENT'!$C$8:$C$154=$C13)*'ANALYSE - ERP =&gt; SOUS-SEGMENT'!$Q$8:$Q$154*'ANALYSE - ERP =&gt; SOUS-SEGMENT'!$BK$8:$BK$154),"")</f>
        <v>0.77580669796275936</v>
      </c>
      <c r="BX13" s="306">
        <f>IFERROR(SUMPRODUCT(('ANALYSE - ERP =&gt; SOUS-SEGMENT'!$C$8:$C$154=$C13)*'ANALYSE - ERP =&gt; SOUS-SEGMENT'!$Q$8:$Q$154*'ANALYSE - ERP =&gt; SOUS-SEGMENT'!$BK$8:$BK$154*'ANALYSE - ERP =&gt; SOUS-SEGMENT'!$CA$8:$CA$154)/SUMPRODUCT(('ANALYSE - ERP =&gt; SOUS-SEGMENT'!$C$8:$C$154=$C13)*'ANALYSE - ERP =&gt; SOUS-SEGMENT'!$Q$8:$Q$154*'ANALYSE - ERP =&gt; SOUS-SEGMENT'!$BK$8:$BK$154),"")</f>
        <v>0.17382942880887672</v>
      </c>
      <c r="BY13" s="590">
        <f>IFERROR(SUMPRODUCT(('ANALYSE - ERP =&gt; SOUS-SEGMENT'!$C$8:$C$154=$C13)*'ANALYSE - ERP =&gt; SOUS-SEGMENT'!$Q$8:$Q$154*'ANALYSE - ERP =&gt; SOUS-SEGMENT'!$BK$8:$BK$154*'ANALYSE - ERP =&gt; SOUS-SEGMENT'!$CB$8:$CB$154)/SUMPRODUCT(('ANALYSE - ERP =&gt; SOUS-SEGMENT'!$C$8:$C$154=$C13)*'ANALYSE - ERP =&gt; SOUS-SEGMENT'!$Q$8:$Q$154*'ANALYSE - ERP =&gt; SOUS-SEGMENT'!$BK$8:$BK$154),"")</f>
        <v>5.0363873228364144E-2</v>
      </c>
      <c r="BZ13" s="580">
        <f>IFERROR(SUMPRODUCT(('ANALYSE - ERP =&gt; SOUS-SEGMENT'!$C$8:$C$154=$C13)*'ANALYSE - ERP =&gt; SOUS-SEGMENT'!$Q$8:$Q$154*'ANALYSE - ERP =&gt; SOUS-SEGMENT'!$BG$8:$BG$154*'ANALYSE - ERP =&gt; SOUS-SEGMENT'!$CC$8:$CC$154)/SUMPRODUCT(('ANALYSE - ERP =&gt; SOUS-SEGMENT'!$C$8:$C$154=$C13)*'ANALYSE - ERP =&gt; SOUS-SEGMENT'!$Q$8:$Q$154*'ANALYSE - ERP =&gt; SOUS-SEGMENT'!$BG$8:$BG$154),"")</f>
        <v>0.2301904106446433</v>
      </c>
      <c r="CA13" s="305">
        <f>IFERROR(SUMPRODUCT(('ANALYSE - ERP =&gt; SOUS-SEGMENT'!$C$8:$C$154=$C13)*'ANALYSE - ERP =&gt; SOUS-SEGMENT'!$Q$8:$Q$154*'ANALYSE - ERP =&gt; SOUS-SEGMENT'!$BG$8:$BG$154*'ANALYSE - ERP =&gt; SOUS-SEGMENT'!$CD$8:$CD$154)/SUMPRODUCT(('ANALYSE - ERP =&gt; SOUS-SEGMENT'!$C$8:$C$154=$C13)*'ANALYSE - ERP =&gt; SOUS-SEGMENT'!$Q$8:$Q$154*'ANALYSE - ERP =&gt; SOUS-SEGMENT'!$BG$8:$BG$154),"")</f>
        <v>0.4021105758201422</v>
      </c>
      <c r="CB13" s="305">
        <f>IFERROR(SUMPRODUCT(('ANALYSE - ERP =&gt; SOUS-SEGMENT'!$C$8:$C$154=$C13)*'ANALYSE - ERP =&gt; SOUS-SEGMENT'!$Q$8:$Q$154*'ANALYSE - ERP =&gt; SOUS-SEGMENT'!$BG$8:$BG$154*'ANALYSE - ERP =&gt; SOUS-SEGMENT'!$CE$8:$CE$154)/SUMPRODUCT(('ANALYSE - ERP =&gt; SOUS-SEGMENT'!$C$8:$C$154=$C13)*'ANALYSE - ERP =&gt; SOUS-SEGMENT'!$Q$8:$Q$154*'ANALYSE - ERP =&gt; SOUS-SEGMENT'!$BG$8:$BG$154),"")</f>
        <v>0.2180110116999312</v>
      </c>
      <c r="CC13" s="581">
        <f>IFERROR(SUMPRODUCT(('ANALYSE - ERP =&gt; SOUS-SEGMENT'!$C$8:$C$154=$C13)*'ANALYSE - ERP =&gt; SOUS-SEGMENT'!$Q$8:$Q$154*'ANALYSE - ERP =&gt; SOUS-SEGMENT'!$BG$8:$BG$154*'ANALYSE - ERP =&gt; SOUS-SEGMENT'!$CF$8:$CF$154)/SUMPRODUCT(('ANALYSE - ERP =&gt; SOUS-SEGMENT'!$C$8:$C$154=$C13)*'ANALYSE - ERP =&gt; SOUS-SEGMENT'!$Q$8:$Q$154*'ANALYSE - ERP =&gt; SOUS-SEGMENT'!$BG$8:$BG$154),"")</f>
        <v>0.14968800183528333</v>
      </c>
      <c r="CD13" s="580">
        <f>IFERROR(SUMPRODUCT(('ANALYSE - ERP =&gt; SOUS-SEGMENT'!$C$8:$C$154=$C13)*'ANALYSE - ERP =&gt; SOUS-SEGMENT'!$Q$8:$Q$154*'ANALYSE - ERP =&gt; SOUS-SEGMENT'!$BL$8:$BL$154*'ANALYSE - ERP =&gt; SOUS-SEGMENT'!$CG$8:$CG$154)/SUMPRODUCT(('ANALYSE - ERP =&gt; SOUS-SEGMENT'!$C$8:$C$154=$C13)*'ANALYSE - ERP =&gt; SOUS-SEGMENT'!$Q$8:$Q$154*'ANALYSE - ERP =&gt; SOUS-SEGMENT'!$BL$8:$BL$154),"")</f>
        <v>0.20412906242693477</v>
      </c>
      <c r="CE13" s="305">
        <f>IFERROR(SUMPRODUCT(('ANALYSE - ERP =&gt; SOUS-SEGMENT'!$C$8:$C$154=$C13)*'ANALYSE - ERP =&gt; SOUS-SEGMENT'!$Q$8:$Q$154*'ANALYSE - ERP =&gt; SOUS-SEGMENT'!$BL$8:$BL$154*'ANALYSE - ERP =&gt; SOUS-SEGMENT'!$CH$8:$CH$154)/SUMPRODUCT(('ANALYSE - ERP =&gt; SOUS-SEGMENT'!$C$8:$C$154=$C13)*'ANALYSE - ERP =&gt; SOUS-SEGMENT'!$Q$8:$Q$154*'ANALYSE - ERP =&gt; SOUS-SEGMENT'!$BL$8:$BL$154),"")</f>
        <v>0.40220247837269113</v>
      </c>
      <c r="CF13" s="305">
        <f>IFERROR(SUMPRODUCT(('ANALYSE - ERP =&gt; SOUS-SEGMENT'!$C$8:$C$154=$C13)*'ANALYSE - ERP =&gt; SOUS-SEGMENT'!$Q$8:$Q$154*'ANALYSE - ERP =&gt; SOUS-SEGMENT'!$BL$8:$BL$154*'ANALYSE - ERP =&gt; SOUS-SEGMENT'!$CI$8:$CI$154)/SUMPRODUCT(('ANALYSE - ERP =&gt; SOUS-SEGMENT'!$C$8:$C$154=$C13)*'ANALYSE - ERP =&gt; SOUS-SEGMENT'!$Q$8:$Q$154*'ANALYSE - ERP =&gt; SOUS-SEGMENT'!$BL$8:$BL$154),"")</f>
        <v>0.24784662146364272</v>
      </c>
      <c r="CG13" s="581">
        <f>IFERROR(SUMPRODUCT(('ANALYSE - ERP =&gt; SOUS-SEGMENT'!$C$8:$C$154=$C13)*'ANALYSE - ERP =&gt; SOUS-SEGMENT'!$Q$8:$Q$154*'ANALYSE - ERP =&gt; SOUS-SEGMENT'!$BL$8:$BL$154*'ANALYSE - ERP =&gt; SOUS-SEGMENT'!$CJ$8:$CJ$154)/SUMPRODUCT(('ANALYSE - ERP =&gt; SOUS-SEGMENT'!$C$8:$C$154=$C13)*'ANALYSE - ERP =&gt; SOUS-SEGMENT'!$Q$8:$Q$154*'ANALYSE - ERP =&gt; SOUS-SEGMENT'!$BL$8:$BL$154),"")</f>
        <v>0.14582183773673138</v>
      </c>
      <c r="CH13" s="589">
        <f>IFERROR(SUMPRODUCT(('ANALYSE - ERP =&gt; SOUS-SEGMENT'!$C$8:$C$154=$C13)*'ANALYSE - ERP =&gt; SOUS-SEGMENT'!$Q$8:$Q$154*'ANALYSE - ERP =&gt; SOUS-SEGMENT'!$BH$8:$BH$154*'ANALYSE - ERP =&gt; SOUS-SEGMENT'!$CK$8:$CK$154)/SUMPRODUCT(('ANALYSE - ERP =&gt; SOUS-SEGMENT'!$C$8:$C$154=$C13)*'ANALYSE - ERP =&gt; SOUS-SEGMENT'!$Q$8:$Q$154*'ANALYSE - ERP =&gt; SOUS-SEGMENT'!$BH$8:$BH$154),"")</f>
        <v>0.74772410589874594</v>
      </c>
      <c r="CI13" s="306">
        <f>IFERROR(SUMPRODUCT(('ANALYSE - ERP =&gt; SOUS-SEGMENT'!$C$8:$C$154=$C13)*'ANALYSE - ERP =&gt; SOUS-SEGMENT'!$Q$8:$Q$154*'ANALYSE - ERP =&gt; SOUS-SEGMENT'!$BH$8:$BH$154*'ANALYSE - ERP =&gt; SOUS-SEGMENT'!$CL$8:$CL$154)/SUMPRODUCT(('ANALYSE - ERP =&gt; SOUS-SEGMENT'!$C$8:$C$154=$C13)*'ANALYSE - ERP =&gt; SOUS-SEGMENT'!$Q$8:$Q$154*'ANALYSE - ERP =&gt; SOUS-SEGMENT'!$BH$8:$BH$154),"")</f>
        <v>0.17902681692619846</v>
      </c>
      <c r="CJ13" s="590">
        <f>IFERROR(SUMPRODUCT(('ANALYSE - ERP =&gt; SOUS-SEGMENT'!$C$8:$C$154=$C13)*'ANALYSE - ERP =&gt; SOUS-SEGMENT'!$Q$8:$Q$154*'ANALYSE - ERP =&gt; SOUS-SEGMENT'!$BH$8:$BH$154*'ANALYSE - ERP =&gt; SOUS-SEGMENT'!$CM$8:$CM$154)/SUMPRODUCT(('ANALYSE - ERP =&gt; SOUS-SEGMENT'!$C$8:$C$154=$C13)*'ANALYSE - ERP =&gt; SOUS-SEGMENT'!$Q$8:$Q$154*'ANALYSE - ERP =&gt; SOUS-SEGMENT'!$BH$8:$BH$154),"")</f>
        <v>7.3249077175055605E-2</v>
      </c>
      <c r="CK13" s="589">
        <f>IFERROR(SUMPRODUCT(('ANALYSE - ERP =&gt; SOUS-SEGMENT'!$C$8:$C$154=$C13)*'ANALYSE - ERP =&gt; SOUS-SEGMENT'!$Q$8:$Q$154*'ANALYSE - ERP =&gt; SOUS-SEGMENT'!$BM$8:$BM$154*'ANALYSE - ERP =&gt; SOUS-SEGMENT'!$CN$8:$CN$154)/SUMPRODUCT(('ANALYSE - ERP =&gt; SOUS-SEGMENT'!$C$8:$C$154=$C13)*'ANALYSE - ERP =&gt; SOUS-SEGMENT'!$Q$8:$Q$154*'ANALYSE - ERP =&gt; SOUS-SEGMENT'!$BM$8:$BM$154),"")</f>
        <v>0.69767284445348798</v>
      </c>
      <c r="CL13" s="306">
        <f>IFERROR(SUMPRODUCT(('ANALYSE - ERP =&gt; SOUS-SEGMENT'!$C$8:$C$154=$C13)*'ANALYSE - ERP =&gt; SOUS-SEGMENT'!$Q$8:$Q$154*'ANALYSE - ERP =&gt; SOUS-SEGMENT'!$BM$8:$BM$154*'ANALYSE - ERP =&gt; SOUS-SEGMENT'!$CO$8:$CO$154)/SUMPRODUCT(('ANALYSE - ERP =&gt; SOUS-SEGMENT'!$C$8:$C$154=$C13)*'ANALYSE - ERP =&gt; SOUS-SEGMENT'!$Q$8:$Q$154*'ANALYSE - ERP =&gt; SOUS-SEGMENT'!$BM$8:$BM$154),"")</f>
        <v>0.19913815513539776</v>
      </c>
      <c r="CM13" s="590">
        <f>IFERROR(SUMPRODUCT(('ANALYSE - ERP =&gt; SOUS-SEGMENT'!$C$8:$C$154=$C13)*'ANALYSE - ERP =&gt; SOUS-SEGMENT'!$Q$8:$Q$154*'ANALYSE - ERP =&gt; SOUS-SEGMENT'!$BM$8:$BM$154*'ANALYSE - ERP =&gt; SOUS-SEGMENT'!$CP$8:$CP$154)/SUMPRODUCT(('ANALYSE - ERP =&gt; SOUS-SEGMENT'!$C$8:$C$154=$C13)*'ANALYSE - ERP =&gt; SOUS-SEGMENT'!$Q$8:$Q$154*'ANALYSE - ERP =&gt; SOUS-SEGMENT'!$BM$8:$BM$154),"")</f>
        <v>0.10318900041111419</v>
      </c>
      <c r="CN13" s="657"/>
      <c r="CO13" s="882">
        <f>IFERROR(SUMPRODUCT(('ANALYSE - ERP =&gt; SOUS-SEGMENT'!$C$8:$C$154=$C13)*'ANALYSE - ERP =&gt; SOUS-SEGMENT'!$DH$8:$DH$154*('ANALYSE - ERP =&gt; SOUS-SEGMENT'!$CR$8:$CR$154&gt;0)*'ANALYSE - ERP =&gt; SOUS-SEGMENT'!$CR$8:$CR$154)/SUMPRODUCT(('ANALYSE - ERP =&gt; SOUS-SEGMENT'!$C$8:$C$154=$C13)*'ANALYSE - ERP =&gt; SOUS-SEGMENT'!$DH$8:$DH$154*('ANALYSE - ERP =&gt; SOUS-SEGMENT'!$CR$8:$CR$154&gt;0)),"")</f>
        <v>12</v>
      </c>
      <c r="CP13" s="883">
        <f>IFERROR(SUMPRODUCT(('ANALYSE - ERP =&gt; SOUS-SEGMENT'!$C$8:$C$154=$C13)*'ANALYSE - ERP =&gt; SOUS-SEGMENT'!$DI$8:$DI$154*('ANALYSE - ERP =&gt; SOUS-SEGMENT'!$CS$8:$CS$154&gt;0)*'ANALYSE - ERP =&gt; SOUS-SEGMENT'!$CS$8:$CS$154)/SUMPRODUCT(('ANALYSE - ERP =&gt; SOUS-SEGMENT'!$C$8:$C$154=$C13)*'ANALYSE - ERP =&gt; SOUS-SEGMENT'!$DI$8:$DI$154*('ANALYSE - ERP =&gt; SOUS-SEGMENT'!$CS$8:$CS$154&gt;0)),"")</f>
        <v>11</v>
      </c>
      <c r="CQ13" s="883">
        <f>IFERROR(SUMPRODUCT(('ANALYSE - ERP =&gt; SOUS-SEGMENT'!$C$8:$C$154=$C13)*'ANALYSE - ERP =&gt; SOUS-SEGMENT'!$DJ$8:$DJ$154*('ANALYSE - ERP =&gt; SOUS-SEGMENT'!$CT$8:$CT$154&gt;0)*'ANALYSE - ERP =&gt; SOUS-SEGMENT'!$CT$8:$CT$154)/SUMPRODUCT(('ANALYSE - ERP =&gt; SOUS-SEGMENT'!$C$8:$C$154=$C13)*'ANALYSE - ERP =&gt; SOUS-SEGMENT'!$DJ$8:$DJ$154*('ANALYSE - ERP =&gt; SOUS-SEGMENT'!$CT$8:$CT$154&gt;0)),"")</f>
        <v>8</v>
      </c>
      <c r="CR13" s="884">
        <f>IFERROR(SUMPRODUCT(('ANALYSE - ERP =&gt; SOUS-SEGMENT'!$C$8:$C$154=$C13)*'ANALYSE - ERP =&gt; SOUS-SEGMENT'!$DK$8:$DK$154*('ANALYSE - ERP =&gt; SOUS-SEGMENT'!$CU$8:$CU$154&gt;0)*'ANALYSE - ERP =&gt; SOUS-SEGMENT'!$CU$8:$CU$154)/SUMPRODUCT(('ANALYSE - ERP =&gt; SOUS-SEGMENT'!$C$8:$C$154=$C13)*'ANALYSE - ERP =&gt; SOUS-SEGMENT'!$DK$8:$DK$154*('ANALYSE - ERP =&gt; SOUS-SEGMENT'!$CU$8:$CU$154&gt;0)),"")</f>
        <v>10</v>
      </c>
      <c r="CS13" s="882">
        <f>IFERROR(SUMPRODUCT(('ANALYSE - ERP =&gt; SOUS-SEGMENT'!$C$8:$C$154=$C13)*'ANALYSE - ERP =&gt; SOUS-SEGMENT'!$DS$8:$DS$154*('ANALYSE - ERP =&gt; SOUS-SEGMENT'!$CV$8:$CV$154&gt;0)*'ANALYSE - ERP =&gt; SOUS-SEGMENT'!$CV$8:$CV$154)/SUMPRODUCT(('ANALYSE - ERP =&gt; SOUS-SEGMENT'!$C$8:$C$154=$C13)*'ANALYSE - ERP =&gt; SOUS-SEGMENT'!$DS$8:$DS$154*('ANALYSE - ERP =&gt; SOUS-SEGMENT'!$CV$8:$CV$154&gt;0)),"")</f>
        <v>11</v>
      </c>
      <c r="CT13" s="883">
        <f>IFERROR(SUMPRODUCT(('ANALYSE - ERP =&gt; SOUS-SEGMENT'!$C$8:$C$154=$C13)*'ANALYSE - ERP =&gt; SOUS-SEGMENT'!$DT$8:$DT$154*('ANALYSE - ERP =&gt; SOUS-SEGMENT'!$CW$8:$CW$154&gt;0)*'ANALYSE - ERP =&gt; SOUS-SEGMENT'!$CW$8:$CW$154)/SUMPRODUCT(('ANALYSE - ERP =&gt; SOUS-SEGMENT'!$C$8:$C$154=$C13)*'ANALYSE - ERP =&gt; SOUS-SEGMENT'!$DT$8:$DT$154*('ANALYSE - ERP =&gt; SOUS-SEGMENT'!$CW$8:$CW$154&gt;0)),"")</f>
        <v>10.000000000000002</v>
      </c>
      <c r="CU13" s="884">
        <f>IFERROR(SUMPRODUCT(('ANALYSE - ERP =&gt; SOUS-SEGMENT'!$C$8:$C$154=$C13)*'ANALYSE - ERP =&gt; SOUS-SEGMENT'!$DU$8:$DU$154*('ANALYSE - ERP =&gt; SOUS-SEGMENT'!$CX$8:$CX$154&gt;0)*'ANALYSE - ERP =&gt; SOUS-SEGMENT'!$CX$8:$CX$154)/SUMPRODUCT(('ANALYSE - ERP =&gt; SOUS-SEGMENT'!$C$8:$C$154=$C13)*'ANALYSE - ERP =&gt; SOUS-SEGMENT'!$DU$8:$DU$154*('ANALYSE - ERP =&gt; SOUS-SEGMENT'!$CX$8:$CX$154&gt;0)),"")</f>
        <v>8</v>
      </c>
      <c r="CV13" s="882">
        <f>IFERROR(SUMPRODUCT(('ANALYSE - ERP =&gt; SOUS-SEGMENT'!$C$8:$C$154=$C13)*'ANALYSE - ERP =&gt; SOUS-SEGMENT'!$EB$8:$EB$154*('ANALYSE - ERP =&gt; SOUS-SEGMENT'!$CY$8:$CY$154&gt;0)*'ANALYSE - ERP =&gt; SOUS-SEGMENT'!$CY$8:$CY$154)/SUMPRODUCT(('ANALYSE - ERP =&gt; SOUS-SEGMENT'!$C$8:$C$154=$C13)*'ANALYSE - ERP =&gt; SOUS-SEGMENT'!$EB$8:$EB$154*('ANALYSE - ERP =&gt; SOUS-SEGMENT'!$CY$8:$CY$154&gt;0)),"")</f>
        <v>9.9999999999999982</v>
      </c>
      <c r="CW13" s="883">
        <f>IFERROR(SUMPRODUCT(('ANALYSE - ERP =&gt; SOUS-SEGMENT'!$C$8:$C$154=$C13)*'ANALYSE - ERP =&gt; SOUS-SEGMENT'!$EC$8:$EC$154*('ANALYSE - ERP =&gt; SOUS-SEGMENT'!$CZ$8:$CZ$154&gt;0)*'ANALYSE - ERP =&gt; SOUS-SEGMENT'!$CZ$8:$CZ$154)/SUMPRODUCT(('ANALYSE - ERP =&gt; SOUS-SEGMENT'!$C$8:$C$154=$C13)*'ANALYSE - ERP =&gt; SOUS-SEGMENT'!$EC$8:$EC$154*('ANALYSE - ERP =&gt; SOUS-SEGMENT'!$CZ$8:$CZ$154&gt;0)),"")</f>
        <v>12.000000000000002</v>
      </c>
      <c r="CX13" s="883">
        <f>IFERROR(SUMPRODUCT(('ANALYSE - ERP =&gt; SOUS-SEGMENT'!$C$8:$C$154=$C13)*'ANALYSE - ERP =&gt; SOUS-SEGMENT'!$ED$8:$ED$154*('ANALYSE - ERP =&gt; SOUS-SEGMENT'!$DA$8:$DA$154&gt;0)*'ANALYSE - ERP =&gt; SOUS-SEGMENT'!$DA$8:$DA$154)/SUMPRODUCT(('ANALYSE - ERP =&gt; SOUS-SEGMENT'!$C$8:$C$154=$C13)*'ANALYSE - ERP =&gt; SOUS-SEGMENT'!$ED$8:$ED$154*('ANALYSE - ERP =&gt; SOUS-SEGMENT'!$DA$8:$DA$154&gt;0)),"")</f>
        <v>8</v>
      </c>
      <c r="CY13" s="885">
        <f>IFERROR(SUMPRODUCT(('ANALYSE - ERP =&gt; SOUS-SEGMENT'!$C$8:$C$154=$C13)*'ANALYSE - ERP =&gt; SOUS-SEGMENT'!$EE$8:$EE$154*('ANALYSE - ERP =&gt; SOUS-SEGMENT'!$DB$8:$DB$154&gt;0)*'ANALYSE - ERP =&gt; SOUS-SEGMENT'!$DB$8:$DB$154)/SUMPRODUCT(('ANALYSE - ERP =&gt; SOUS-SEGMENT'!$C$8:$C$154=$C13)*'ANALYSE - ERP =&gt; SOUS-SEGMENT'!$EE$8:$EE$154*('ANALYSE - ERP =&gt; SOUS-SEGMENT'!$DB$8:$DB$154&gt;0)),"")</f>
        <v>10</v>
      </c>
      <c r="CZ13" s="886">
        <f>IFERROR(SUMPRODUCT(('ANALYSE - ERP =&gt; SOUS-SEGMENT'!$C$8:$C$154=$C13)*'ANALYSE - ERP =&gt; SOUS-SEGMENT'!$EM$8:$EM$154*('ANALYSE - ERP =&gt; SOUS-SEGMENT'!$DC$8:$DC$154&gt;0)*'ANALYSE - ERP =&gt; SOUS-SEGMENT'!$DC$8:$DC$154)/SUMPRODUCT(('ANALYSE - ERP =&gt; SOUS-SEGMENT'!$C$8:$C$154=$C13)*'ANALYSE - ERP =&gt; SOUS-SEGMENT'!$EM$8:$EM$154*('ANALYSE - ERP =&gt; SOUS-SEGMENT'!$DC$8:$DC$154&gt;0)),"")</f>
        <v>12</v>
      </c>
      <c r="DA13" s="883">
        <f>IFERROR(SUMPRODUCT(('ANALYSE - ERP =&gt; SOUS-SEGMENT'!$C$8:$C$154=$C13)*'ANALYSE - ERP =&gt; SOUS-SEGMENT'!$EN$8:$EN$154*('ANALYSE - ERP =&gt; SOUS-SEGMENT'!$DD$8:$DD$154&gt;0)*'ANALYSE - ERP =&gt; SOUS-SEGMENT'!$DD$8:$DD$154)/SUMPRODUCT(('ANALYSE - ERP =&gt; SOUS-SEGMENT'!$C$8:$C$154=$C13)*'ANALYSE - ERP =&gt; SOUS-SEGMENT'!$EN$8:$EN$154*('ANALYSE - ERP =&gt; SOUS-SEGMENT'!$DD$8:$DD$154&gt;0)),"")</f>
        <v>12</v>
      </c>
      <c r="DB13" s="885">
        <f>IFERROR(SUMPRODUCT(('ANALYSE - ERP =&gt; SOUS-SEGMENT'!$C$8:$C$154=$C13)*'ANALYSE - ERP =&gt; SOUS-SEGMENT'!$EO$8:$EO$154*('ANALYSE - ERP =&gt; SOUS-SEGMENT'!$DE$8:$DE$154&gt;0)*'ANALYSE - ERP =&gt; SOUS-SEGMENT'!$DE$8:$DE$154)/SUMPRODUCT(('ANALYSE - ERP =&gt; SOUS-SEGMENT'!$C$8:$C$154=$C13)*'ANALYSE - ERP =&gt; SOUS-SEGMENT'!$EO$8:$EO$154*('ANALYSE - ERP =&gt; SOUS-SEGMENT'!$DE$8:$DE$154&gt;0)),"")</f>
        <v>9.0000000000000018</v>
      </c>
      <c r="DC13" s="610" t="s">
        <v>6863</v>
      </c>
      <c r="DD13" s="657"/>
      <c r="DE13" s="559">
        <f t="shared" si="2"/>
        <v>120914.90000000001</v>
      </c>
      <c r="DF13" s="288">
        <f t="shared" si="3"/>
        <v>62598.600000000006</v>
      </c>
      <c r="DG13" s="288">
        <f t="shared" si="4"/>
        <v>47130.200000000004</v>
      </c>
      <c r="DH13" s="288">
        <f t="shared" si="5"/>
        <v>25691.3</v>
      </c>
      <c r="DI13" s="317" t="s">
        <v>6864</v>
      </c>
      <c r="DJ13" s="288">
        <f t="shared" si="6"/>
        <v>111093.44999999998</v>
      </c>
      <c r="DK13" s="288">
        <f t="shared" si="7"/>
        <v>61419.000000000007</v>
      </c>
      <c r="DL13" s="288">
        <f t="shared" si="8"/>
        <v>53780.85</v>
      </c>
      <c r="DM13" s="288">
        <f t="shared" si="9"/>
        <v>25211.7</v>
      </c>
      <c r="DN13" s="317" t="s">
        <v>6865</v>
      </c>
      <c r="DO13" s="657"/>
      <c r="DP13" s="288">
        <f t="shared" si="10"/>
        <v>109721.8</v>
      </c>
      <c r="DQ13" s="288">
        <f t="shared" si="11"/>
        <v>20927.12</v>
      </c>
      <c r="DR13" s="288">
        <f t="shared" si="12"/>
        <v>5497.08</v>
      </c>
      <c r="DS13" s="317" t="s">
        <v>6866</v>
      </c>
      <c r="DT13" s="288">
        <f t="shared" si="13"/>
        <v>103619.07000000002</v>
      </c>
      <c r="DU13" s="288">
        <f t="shared" si="14"/>
        <v>23217.18</v>
      </c>
      <c r="DV13" s="288">
        <f t="shared" si="15"/>
        <v>6726.75</v>
      </c>
      <c r="DW13" s="317" t="s">
        <v>6867</v>
      </c>
      <c r="DX13" s="657"/>
      <c r="DY13" s="288">
        <f t="shared" si="16"/>
        <v>1003.4000000000001</v>
      </c>
      <c r="DZ13" s="288">
        <f t="shared" si="17"/>
        <v>1752.8</v>
      </c>
      <c r="EA13" s="288">
        <f t="shared" si="18"/>
        <v>950.31000000000006</v>
      </c>
      <c r="EB13" s="288">
        <f t="shared" si="19"/>
        <v>652.49</v>
      </c>
      <c r="EC13" s="317" t="s">
        <v>6868</v>
      </c>
      <c r="ED13" s="288">
        <f t="shared" si="20"/>
        <v>873.06</v>
      </c>
      <c r="EE13" s="288">
        <f t="shared" si="21"/>
        <v>1720.22</v>
      </c>
      <c r="EF13" s="288">
        <f t="shared" si="22"/>
        <v>1060.04</v>
      </c>
      <c r="EG13" s="288">
        <f t="shared" si="23"/>
        <v>623.68000000000006</v>
      </c>
      <c r="EH13" s="317" t="s">
        <v>6869</v>
      </c>
      <c r="EI13" s="290"/>
      <c r="EJ13" s="288">
        <f t="shared" si="24"/>
        <v>183522.9</v>
      </c>
      <c r="EK13" s="291">
        <f t="shared" si="25"/>
        <v>43940.700000000004</v>
      </c>
      <c r="EL13" s="291">
        <f t="shared" si="26"/>
        <v>17978.399999999998</v>
      </c>
      <c r="EM13" s="317" t="s">
        <v>6870</v>
      </c>
      <c r="EN13" s="288">
        <f t="shared" si="27"/>
        <v>168005.9</v>
      </c>
      <c r="EO13" s="291">
        <f t="shared" si="28"/>
        <v>47954.26</v>
      </c>
      <c r="EP13" s="291">
        <f t="shared" si="29"/>
        <v>24848.839999999997</v>
      </c>
      <c r="EQ13" s="318" t="s">
        <v>6871</v>
      </c>
      <c r="ER13" s="657"/>
      <c r="ES13" s="731">
        <f t="shared" si="30"/>
        <v>0.4493750083639646</v>
      </c>
      <c r="ET13" s="731">
        <f t="shared" si="31"/>
        <v>0.41868766007201863</v>
      </c>
      <c r="EU13" s="292">
        <f t="shared" si="32"/>
        <v>335032.89926644985</v>
      </c>
      <c r="EV13" s="292">
        <f t="shared" si="33"/>
        <v>274963.39875644987</v>
      </c>
      <c r="EW13" s="292">
        <f t="shared" si="34"/>
        <v>60069.500509999998</v>
      </c>
      <c r="EX13" s="292">
        <f t="shared" si="35"/>
        <v>137713.90848131818</v>
      </c>
      <c r="EY13" s="292">
        <f>SUMPRODUCT(('ANALYSE - ERP =&gt; SOUS-SEGMENT'!$C$8:$C$154=$C13)*'ANALYSE - ERP =&gt; SOUS-SEGMENT'!$Q$8:$Q$154*'ANALYSE - ERP =&gt; SOUS-SEGMENT'!$FB$8:$FB$154)</f>
        <v>113722.47133131819</v>
      </c>
      <c r="EZ13" s="292">
        <f>SUMPRODUCT(('ANALYSE - ERP =&gt; SOUS-SEGMENT'!$C$8:$C$154=$C13)*'ANALYSE - ERP =&gt; SOUS-SEGMENT'!$Q$8:$Q$154*'ANALYSE - ERP =&gt; SOUS-SEGMENT'!$FC$8:$FC$154)</f>
        <v>23991.437149999998</v>
      </c>
      <c r="FA13" s="292">
        <f t="shared" si="36"/>
        <v>72368.836263839999</v>
      </c>
      <c r="FB13" s="292">
        <f>SUMPRODUCT(('ANALYSE - ERP =&gt; SOUS-SEGMENT'!$C$8:$C$154=$C13)*'ANALYSE - ERP =&gt; SOUS-SEGMENT'!$Q$8:$Q$154*'ANALYSE - ERP =&gt; SOUS-SEGMENT'!$FE$8:$FE$154)</f>
        <v>59664.116063839996</v>
      </c>
      <c r="FC13" s="292">
        <f>SUMPRODUCT(('ANALYSE - ERP =&gt; SOUS-SEGMENT'!$C$8:$C$154=$C13)*'ANALYSE - ERP =&gt; SOUS-SEGMENT'!$Q$8:$Q$154*'ANALYSE - ERP =&gt; SOUS-SEGMENT'!$FF$8:$FF$154)</f>
        <v>12704.720199999998</v>
      </c>
      <c r="FD13" s="292">
        <f t="shared" si="37"/>
        <v>2421.2400842916668</v>
      </c>
      <c r="FE13" s="292">
        <f>SUMPRODUCT(('ANALYSE - ERP =&gt; SOUS-SEGMENT'!$C$8:$C$154=$C13)*'ANALYSE - ERP =&gt; SOUS-SEGMENT'!$Q$8:$Q$154*'ANALYSE - ERP =&gt; SOUS-SEGMENT'!$FH$8:$FH$154)</f>
        <v>2010.5446242916669</v>
      </c>
      <c r="FF13" s="292">
        <f>SUMPRODUCT(('ANALYSE - ERP =&gt; SOUS-SEGMENT'!$C$8:$C$154=$C13)*'ANALYSE - ERP =&gt; SOUS-SEGMENT'!$Q$8:$Q$154*'ANALYSE - ERP =&gt; SOUS-SEGMENT'!$FI$8:$FI$154)</f>
        <v>410.69545999999997</v>
      </c>
      <c r="FG13" s="292">
        <f t="shared" si="38"/>
        <v>122528.914437</v>
      </c>
      <c r="FH13" s="292">
        <f>SUMPRODUCT(('ANALYSE - ERP =&gt; SOUS-SEGMENT'!$C$8:$C$154=$C13)*'ANALYSE - ERP =&gt; SOUS-SEGMENT'!$Q$8:$Q$154*'ANALYSE - ERP =&gt; SOUS-SEGMENT'!$FK$8:$FK$154)</f>
        <v>99566.266736999998</v>
      </c>
      <c r="FI13" s="292">
        <f>SUMPRODUCT(('ANALYSE - ERP =&gt; SOUS-SEGMENT'!$C$8:$C$154=$C13)*'ANALYSE - ERP =&gt; SOUS-SEGMENT'!$Q$8:$Q$154*'ANALYSE - ERP =&gt; SOUS-SEGMENT'!$FL$8:$FL$154)</f>
        <v>22962.647700000001</v>
      </c>
      <c r="FJ13" s="657"/>
      <c r="FK13" s="319" t="s">
        <v>2649</v>
      </c>
      <c r="FL13" s="731">
        <f>IFERROR(SUMPRODUCT(('ANALYSE - ERP =&gt; SOUS-SEGMENT'!$C$8:$C$154=$C13)*'ANALYSE - ERP =&gt; SOUS-SEGMENT'!$Q$8:$Q$154*'ANALYSE - ERP =&gt; SOUS-SEGMENT'!$AF$8:$AF$154*'ANALYSE - ERP =&gt; SOUS-SEGMENT'!$FO$8:$FO$154)/SUMPRODUCT(('ANALYSE - ERP =&gt; SOUS-SEGMENT'!$C$8:$C$154=$C13)*'ANALYSE - ERP =&gt; SOUS-SEGMENT'!$Q$8:$Q$154*'ANALYSE - ERP =&gt; SOUS-SEGMENT'!$AF$8:$AF$154),"")</f>
        <v>9.1781008174386919E-2</v>
      </c>
      <c r="FM13" s="732">
        <f>IFERROR(SUMPRODUCT(('ANALYSE - ERP =&gt; SOUS-SEGMENT'!$C$8:$C$154=$C13)*'ANALYSE - ERP =&gt; SOUS-SEGMENT'!$Q$8:$Q$154*'ANALYSE - ERP =&gt; SOUS-SEGMENT'!$AF$8:$AF$154*'ANALYSE - ERP =&gt; SOUS-SEGMENT'!$FP$8:$FP$154)/SUMPRODUCT(('ANALYSE - ERP =&gt; SOUS-SEGMENT'!$C$8:$C$154=$C13)*'ANALYSE - ERP =&gt; SOUS-SEGMENT'!$Q$8:$Q$154*'ANALYSE - ERP =&gt; SOUS-SEGMENT'!$AF$8:$AF$154),"")</f>
        <v>0.89661610354223431</v>
      </c>
      <c r="FN13" s="320" t="s">
        <v>6780</v>
      </c>
      <c r="FO13" s="657"/>
      <c r="FP13" s="887">
        <f>IFERROR(SUMPRODUCT(('ANALYSE - ERP =&gt; SOUS-SEGMENT'!$C$8:$C$154=$C13)*'ANALYSE - ERP =&gt; SOUS-SEGMENT'!$Q$8:$Q$154*'ANALYSE - ERP =&gt; SOUS-SEGMENT'!$EX$8:$EX$154*'ANALYSE - ERP =&gt; SOUS-SEGMENT'!$FS$8:$FS$154)/SUMPRODUCT(('ANALYSE - ERP =&gt; SOUS-SEGMENT'!$C$8:$C$154=$C13)*'ANALYSE - ERP =&gt; SOUS-SEGMENT'!$Q$8:$Q$154*'ANALYSE - ERP =&gt; SOUS-SEGMENT'!$EX$8:$EX$154),"")</f>
        <v>3.6759386796387994</v>
      </c>
      <c r="FQ13" s="295">
        <f>RANK($FP13,$FP$8:$FP$143,0)+COUNTIF($FP$8:$FP13,$FP13)-1</f>
        <v>4</v>
      </c>
      <c r="FR13" s="887">
        <f>IFERROR(SUMPRODUCT(('ANALYSE - ERP =&gt; SOUS-SEGMENT'!$C$8:$C$154=$C13)*'ANALYSE - ERP =&gt; SOUS-SEGMENT'!$Q$8:$Q$154*'ANALYSE - ERP =&gt; SOUS-SEGMENT'!$EY$8:$EY$154*'ANALYSE - ERP =&gt; SOUS-SEGMENT'!$FU$8:$FU$154)/SUMPRODUCT(('ANALYSE - ERP =&gt; SOUS-SEGMENT'!$C$8:$C$154=$C13)*'ANALYSE - ERP =&gt; SOUS-SEGMENT'!$Q$8:$Q$154*'ANALYSE - ERP =&gt; SOUS-SEGMENT'!$EY$8:$EY$154),"")</f>
        <v>4.3985664514291525</v>
      </c>
      <c r="FS13" s="295">
        <f>RANK($FR13,$FR$8:$FR$143,0)+COUNTIF($FR$8:$FR13,$FR13)-1</f>
        <v>5</v>
      </c>
      <c r="FT13" s="887">
        <f>IFERROR(SUMPRODUCT(('ANALYSE - ERP =&gt; SOUS-SEGMENT'!$C$8:$C$154=$C13)*'ANALYSE - ERP =&gt; SOUS-SEGMENT'!$Q$8:$Q$154*'ANALYSE - ERP =&gt; SOUS-SEGMENT'!$EZ$8:$EZ$154*'ANALYSE - ERP =&gt; SOUS-SEGMENT'!$FW$8:$FW$154)/SUMPRODUCT(('ANALYSE - ERP =&gt; SOUS-SEGMENT'!$C$8:$C$154=$C13)*'ANALYSE - ERP =&gt; SOUS-SEGMENT'!$Q$8:$Q$154*'ANALYSE - ERP =&gt; SOUS-SEGMENT'!$EZ$8:$EZ$154),"")</f>
        <v>2.7951331445622505</v>
      </c>
      <c r="FU13" s="295">
        <f>RANK($FT13,$FT$8:$FT$143,0)+COUNTIF($FT$8:$FT13,$FT13)-1</f>
        <v>3</v>
      </c>
      <c r="FV13" s="657"/>
      <c r="FW13" s="321" t="s">
        <v>6872</v>
      </c>
      <c r="FX13" s="321" t="s">
        <v>6873</v>
      </c>
      <c r="FY13" s="321" t="s">
        <v>6874</v>
      </c>
      <c r="FZ13" s="321" t="s">
        <v>6875</v>
      </c>
      <c r="GA13" s="321" t="s">
        <v>6876</v>
      </c>
      <c r="GB13" s="321" t="s">
        <v>6877</v>
      </c>
      <c r="GC13" s="321" t="s">
        <v>6759</v>
      </c>
      <c r="GD13" s="657"/>
      <c r="GE13" s="292">
        <f>SUMPRODUCT(('ANALYSE - ERP =&gt; SOUS-SEGMENT'!$C$8:$C$154=$C13)*'ANALYSE - ERP =&gt; SOUS-SEGMENT'!$Q$8:$Q$154*'ANALYSE - ERP =&gt; SOUS-SEGMENT'!$GH$8:$GH$154)</f>
        <v>58550.815024000003</v>
      </c>
      <c r="GF13" s="292">
        <f>SUMPRODUCT(('ANALYSE - ERP =&gt; SOUS-SEGMENT'!$C$8:$C$154=$C13)*'ANALYSE - ERP =&gt; SOUS-SEGMENT'!$Q$8:$Q$154*'ANALYSE - ERP =&gt; SOUS-SEGMENT'!$GI$8:$GI$154)</f>
        <v>47990.648887500007</v>
      </c>
      <c r="GG13" s="292">
        <f>SUMPRODUCT(('ANALYSE - ERP =&gt; SOUS-SEGMENT'!$C$8:$C$154=$C13)*'ANALYSE - ERP =&gt; SOUS-SEGMENT'!$Q$8:$Q$154*'ANALYSE - ERP =&gt; SOUS-SEGMENT'!$GJ$8:$GJ$154)</f>
        <v>10560.1661365</v>
      </c>
      <c r="GH13" s="292">
        <f>SUMPRODUCT(('ANALYSE - ERP =&gt; SOUS-SEGMENT'!$C$8:$C$154=$C13)*'ANALYSE - ERP =&gt; SOUS-SEGMENT'!$Q$8:$Q$154*'ANALYSE - ERP =&gt; SOUS-SEGMENT'!$GK$8:$GK$154)</f>
        <v>32651.535351818187</v>
      </c>
      <c r="GI13" s="292">
        <f>SUMPRODUCT(('ANALYSE - ERP =&gt; SOUS-SEGMENT'!$C$8:$C$154=$C13)*'ANALYSE - ERP =&gt; SOUS-SEGMENT'!$Q$8:$Q$154*'ANALYSE - ERP =&gt; SOUS-SEGMENT'!$GL$8:$GL$154)</f>
        <v>26739.424581818184</v>
      </c>
      <c r="GJ13" s="292">
        <f>SUMPRODUCT(('ANALYSE - ERP =&gt; SOUS-SEGMENT'!$C$8:$C$154=$C13)*'ANALYSE - ERP =&gt; SOUS-SEGMENT'!$Q$8:$Q$154*'ANALYSE - ERP =&gt; SOUS-SEGMENT'!$GM$8:$GM$154)</f>
        <v>5912.1107700000011</v>
      </c>
      <c r="GK13" s="292">
        <f>SUMPRODUCT(('ANALYSE - ERP =&gt; SOUS-SEGMENT'!$C$8:$C$154=$C13)*'ANALYSE - ERP =&gt; SOUS-SEGMENT'!$Q$8:$Q$154*'ANALYSE - ERP =&gt; SOUS-SEGMENT'!$GN$8:$GN$154)</f>
        <v>32150.208380500004</v>
      </c>
      <c r="GL13" s="292">
        <f>SUMPRODUCT(('ANALYSE - ERP =&gt; SOUS-SEGMENT'!$C$8:$C$154=$C13)*'ANALYSE - ERP =&gt; SOUS-SEGMENT'!$Q$8:$Q$154*'ANALYSE - ERP =&gt; SOUS-SEGMENT'!$GO$8:$GO$154)</f>
        <v>27039.525600000004</v>
      </c>
      <c r="GM13" s="292">
        <f>SUMPRODUCT(('ANALYSE - ERP =&gt; SOUS-SEGMENT'!$C$8:$C$154=$C13)*'ANALYSE - ERP =&gt; SOUS-SEGMENT'!$Q$8:$Q$154*'ANALYSE - ERP =&gt; SOUS-SEGMENT'!$GP$8:$GP$154)</f>
        <v>5110.6827804999994</v>
      </c>
      <c r="GN13" s="292">
        <f>SUMPRODUCT(('ANALYSE - ERP =&gt; SOUS-SEGMENT'!$C$8:$C$154=$C13)*'ANALYSE - ERP =&gt; SOUS-SEGMENT'!$Q$8:$Q$154*'ANALYSE - ERP =&gt; SOUS-SEGMENT'!$GQ$8:$GQ$154)</f>
        <v>14361.349725</v>
      </c>
      <c r="GO13" s="292">
        <f>SUMPRODUCT(('ANALYSE - ERP =&gt; SOUS-SEGMENT'!$C$8:$C$154=$C13)*'ANALYSE - ERP =&gt; SOUS-SEGMENT'!$Q$8:$Q$154*'ANALYSE - ERP =&gt; SOUS-SEGMENT'!$GR$8:$GR$154)</f>
        <v>11952.872262000001</v>
      </c>
      <c r="GP13" s="292">
        <f>SUMPRODUCT(('ANALYSE - ERP =&gt; SOUS-SEGMENT'!$C$8:$C$154=$C13)*'ANALYSE - ERP =&gt; SOUS-SEGMENT'!$Q$8:$Q$154*'ANALYSE - ERP =&gt; SOUS-SEGMENT'!$GS$8:$GS$154)</f>
        <v>2408.4774630000002</v>
      </c>
      <c r="GQ13" s="292">
        <f>SUMPRODUCT(('ANALYSE - ERP =&gt; SOUS-SEGMENT'!$C$8:$C$154=$C13)*'ANALYSE - ERP =&gt; SOUS-SEGMENT'!$Q$8:$Q$154*'ANALYSE - ERP =&gt; SOUS-SEGMENT'!$GT$8:$GT$154)</f>
        <v>56631.054004400008</v>
      </c>
      <c r="GR13" s="292">
        <f>SUMPRODUCT(('ANALYSE - ERP =&gt; SOUS-SEGMENT'!$C$8:$C$154=$C13)*'ANALYSE - ERP =&gt; SOUS-SEGMENT'!$Q$8:$Q$154*'ANALYSE - ERP =&gt; SOUS-SEGMENT'!$GU$8:$GU$154)</f>
        <v>46793.909032000003</v>
      </c>
      <c r="GS13" s="292">
        <f>SUMPRODUCT(('ANALYSE - ERP =&gt; SOUS-SEGMENT'!$C$8:$C$154=$C13)*'ANALYSE - ERP =&gt; SOUS-SEGMENT'!$Q$8:$Q$154*'ANALYSE - ERP =&gt; SOUS-SEGMENT'!$GV$8:$GV$154)</f>
        <v>9837.1449723999995</v>
      </c>
      <c r="GT13" s="292">
        <f>SUMPRODUCT(('ANALYSE - ERP =&gt; SOUS-SEGMENT'!$C$8:$C$154=$C13)*'ANALYSE - ERP =&gt; SOUS-SEGMENT'!$Q$8:$Q$154*'ANALYSE - ERP =&gt; SOUS-SEGMENT'!$GW$8:$GW$154)</f>
        <v>11944.77142144</v>
      </c>
      <c r="GU13" s="292">
        <f>SUMPRODUCT(('ANALYSE - ERP =&gt; SOUS-SEGMENT'!$C$8:$C$154=$C13)*'ANALYSE - ERP =&gt; SOUS-SEGMENT'!$Q$8:$Q$154*'ANALYSE - ERP =&gt; SOUS-SEGMENT'!$GX$8:$GX$154)</f>
        <v>9717.3582758400007</v>
      </c>
      <c r="GV13" s="292">
        <f>SUMPRODUCT(('ANALYSE - ERP =&gt; SOUS-SEGMENT'!$C$8:$C$154=$C13)*'ANALYSE - ERP =&gt; SOUS-SEGMENT'!$Q$8:$Q$154*'ANALYSE - ERP =&gt; SOUS-SEGMENT'!$GY$8:$GY$154)</f>
        <v>2227.4131456000005</v>
      </c>
      <c r="GW13" s="292">
        <f>SUMPRODUCT(('ANALYSE - ERP =&gt; SOUS-SEGMENT'!$C$8:$C$154=$C13)*'ANALYSE - ERP =&gt; SOUS-SEGMENT'!$Q$8:$Q$154*'ANALYSE - ERP =&gt; SOUS-SEGMENT'!$GZ$8:$GZ$154)</f>
        <v>3793.0108379999997</v>
      </c>
      <c r="GX13" s="292">
        <f>SUMPRODUCT(('ANALYSE - ERP =&gt; SOUS-SEGMENT'!$C$8:$C$154=$C13)*'ANALYSE - ERP =&gt; SOUS-SEGMENT'!$Q$8:$Q$154*'ANALYSE - ERP =&gt; SOUS-SEGMENT'!$HA$8:$HA$154)</f>
        <v>3152.8487559999999</v>
      </c>
      <c r="GY13" s="292">
        <f>SUMPRODUCT(('ANALYSE - ERP =&gt; SOUS-SEGMENT'!$C$8:$C$154=$C13)*'ANALYSE - ERP =&gt; SOUS-SEGMENT'!$Q$8:$Q$154*'ANALYSE - ERP =&gt; SOUS-SEGMENT'!$HB$8:$HB$154)</f>
        <v>640.16208199999994</v>
      </c>
      <c r="GZ13" s="292">
        <f>SUMPRODUCT(('ANALYSE - ERP =&gt; SOUS-SEGMENT'!$C$8:$C$154=$C13)*'ANALYSE - ERP =&gt; SOUS-SEGMENT'!$Q$8:$Q$154*'ANALYSE - ERP =&gt; SOUS-SEGMENT'!$HC$8:$HC$154)</f>
        <v>551.2132964000001</v>
      </c>
      <c r="HA13" s="292">
        <f>SUMPRODUCT(('ANALYSE - ERP =&gt; SOUS-SEGMENT'!$C$8:$C$154=$C13)*'ANALYSE - ERP =&gt; SOUS-SEGMENT'!$Q$8:$Q$154*'ANALYSE - ERP =&gt; SOUS-SEGMENT'!$HD$8:$HD$154)</f>
        <v>467.03572000000003</v>
      </c>
      <c r="HB13" s="292">
        <f>SUMPRODUCT(('ANALYSE - ERP =&gt; SOUS-SEGMENT'!$C$8:$C$154=$C13)*'ANALYSE - ERP =&gt; SOUS-SEGMENT'!$Q$8:$Q$154*'ANALYSE - ERP =&gt; SOUS-SEGMENT'!$HE$8:$HE$154)</f>
        <v>84.177576399999992</v>
      </c>
      <c r="HC13" s="292">
        <f>SUMPRODUCT(('ANALYSE - ERP =&gt; SOUS-SEGMENT'!$C$8:$C$154=$C13)*'ANALYSE - ERP =&gt; SOUS-SEGMENT'!$Q$8:$Q$154*'ANALYSE - ERP =&gt; SOUS-SEGMENT'!$HF$8:$HF$154)</f>
        <v>860.14436046666663</v>
      </c>
      <c r="HD13" s="292">
        <f>SUMPRODUCT(('ANALYSE - ERP =&gt; SOUS-SEGMENT'!$C$8:$C$154=$C13)*'ANALYSE - ERP =&gt; SOUS-SEGMENT'!$Q$8:$Q$154*'ANALYSE - ERP =&gt; SOUS-SEGMENT'!$HG$8:$HG$154)</f>
        <v>694.59326866666663</v>
      </c>
      <c r="HE13" s="292">
        <f>SUMPRODUCT(('ANALYSE - ERP =&gt; SOUS-SEGMENT'!$C$8:$C$154=$C13)*'ANALYSE - ERP =&gt; SOUS-SEGMENT'!$Q$8:$Q$154*'ANALYSE - ERP =&gt; SOUS-SEGMENT'!$HH$8:$HH$154)</f>
        <v>165.55109179999999</v>
      </c>
      <c r="HF13" s="292">
        <f>SUMPRODUCT(('ANALYSE - ERP =&gt; SOUS-SEGMENT'!$C$8:$C$154=$C13)*'ANALYSE - ERP =&gt; SOUS-SEGMENT'!$Q$8:$Q$154*'ANALYSE - ERP =&gt; SOUS-SEGMENT'!$HI$8:$HI$154)</f>
        <v>646.44148562499993</v>
      </c>
      <c r="HG13" s="292">
        <f>SUMPRODUCT(('ANALYSE - ERP =&gt; SOUS-SEGMENT'!$C$8:$C$154=$C13)*'ANALYSE - ERP =&gt; SOUS-SEGMENT'!$Q$8:$Q$154*'ANALYSE - ERP =&gt; SOUS-SEGMENT'!$HJ$8:$HJ$154)</f>
        <v>545.39789562500005</v>
      </c>
      <c r="HH13" s="292">
        <f>SUMPRODUCT(('ANALYSE - ERP =&gt; SOUS-SEGMENT'!$C$8:$C$154=$C13)*'ANALYSE - ERP =&gt; SOUS-SEGMENT'!$Q$8:$Q$154*'ANALYSE - ERP =&gt; SOUS-SEGMENT'!$HK$8:$HK$154)</f>
        <v>101.04358999999998</v>
      </c>
      <c r="HI13" s="292">
        <f>SUMPRODUCT(('ANALYSE - ERP =&gt; SOUS-SEGMENT'!$C$8:$C$154=$C13)*'ANALYSE - ERP =&gt; SOUS-SEGMENT'!$Q$8:$Q$154*'ANALYSE - ERP =&gt; SOUS-SEGMENT'!$HL$8:$HL$154)</f>
        <v>363.44094179999996</v>
      </c>
      <c r="HJ13" s="292">
        <f>SUMPRODUCT(('ANALYSE - ERP =&gt; SOUS-SEGMENT'!$C$8:$C$154=$C13)*'ANALYSE - ERP =&gt; SOUS-SEGMENT'!$Q$8:$Q$154*'ANALYSE - ERP =&gt; SOUS-SEGMENT'!$HM$8:$HM$154)</f>
        <v>303.51774</v>
      </c>
      <c r="HK13" s="292">
        <f>SUMPRODUCT(('ANALYSE - ERP =&gt; SOUS-SEGMENT'!$C$8:$C$154=$C13)*'ANALYSE - ERP =&gt; SOUS-SEGMENT'!$Q$8:$Q$154*'ANALYSE - ERP =&gt; SOUS-SEGMENT'!$HN$8:$HN$154)</f>
        <v>59.923201799999994</v>
      </c>
      <c r="HL13" s="292">
        <f>SUMPRODUCT(('ANALYSE - ERP =&gt; SOUS-SEGMENT'!$C$8:$C$154=$C13)*'ANALYSE - ERP =&gt; SOUS-SEGMENT'!$Q$8:$Q$154*'ANALYSE - ERP =&gt; SOUS-SEGMENT'!$HO$8:$HO$154)</f>
        <v>88918.312226499998</v>
      </c>
      <c r="HM13" s="292">
        <f>SUMPRODUCT(('ANALYSE - ERP =&gt; SOUS-SEGMENT'!$C$8:$C$154=$C13)*'ANALYSE - ERP =&gt; SOUS-SEGMENT'!$Q$8:$Q$154*'ANALYSE - ERP =&gt; SOUS-SEGMENT'!$HP$8:$HP$154)</f>
        <v>72907.828712499992</v>
      </c>
      <c r="HN13" s="292">
        <f>SUMPRODUCT(('ANALYSE - ERP =&gt; SOUS-SEGMENT'!$C$8:$C$154=$C13)*'ANALYSE - ERP =&gt; SOUS-SEGMENT'!$Q$8:$Q$154*'ANALYSE - ERP =&gt; SOUS-SEGMENT'!$HQ$8:$HQ$154)</f>
        <v>16010.483513999996</v>
      </c>
      <c r="HO13" s="292">
        <f>SUMPRODUCT(('ANALYSE - ERP =&gt; SOUS-SEGMENT'!$C$8:$C$154=$C13)*'ANALYSE - ERP =&gt; SOUS-SEGMENT'!$Q$8:$Q$154*'ANALYSE - ERP =&gt; SOUS-SEGMENT'!$HR$8:$HR$154)</f>
        <v>22063.569946700001</v>
      </c>
      <c r="HP13" s="292">
        <f>SUMPRODUCT(('ANALYSE - ERP =&gt; SOUS-SEGMENT'!$C$8:$C$154=$C13)*'ANALYSE - ERP =&gt; SOUS-SEGMENT'!$Q$8:$Q$154*'ANALYSE - ERP =&gt; SOUS-SEGMENT'!$HS$8:$HS$154)</f>
        <v>17456.098992499999</v>
      </c>
      <c r="HQ13" s="292">
        <f>SUMPRODUCT(('ANALYSE - ERP =&gt; SOUS-SEGMENT'!$C$8:$C$154=$C13)*'ANALYSE - ERP =&gt; SOUS-SEGMENT'!$Q$8:$Q$154*'ANALYSE - ERP =&gt; SOUS-SEGMENT'!$HT$8:$HT$154)</f>
        <v>4607.4709542000001</v>
      </c>
      <c r="HR13" s="292">
        <f>SUMPRODUCT(('ANALYSE - ERP =&gt; SOUS-SEGMENT'!$C$8:$C$154=$C13)*'ANALYSE - ERP =&gt; SOUS-SEGMENT'!$Q$8:$Q$154*'ANALYSE - ERP =&gt; SOUS-SEGMENT'!$HU$8:$HU$154)</f>
        <v>11547.0322638</v>
      </c>
      <c r="HS13" s="292">
        <f>SUMPRODUCT(('ANALYSE - ERP =&gt; SOUS-SEGMENT'!$C$8:$C$154=$C13)*'ANALYSE - ERP =&gt; SOUS-SEGMENT'!$Q$8:$Q$154*'ANALYSE - ERP =&gt; SOUS-SEGMENT'!$HV$8:$HV$154)</f>
        <v>9202.3390320000017</v>
      </c>
      <c r="HT13" s="292">
        <f>SUMPRODUCT(('ANALYSE - ERP =&gt; SOUS-SEGMENT'!$C$8:$C$154=$C13)*'ANALYSE - ERP =&gt; SOUS-SEGMENT'!$Q$8:$Q$154*'ANALYSE - ERP =&gt; SOUS-SEGMENT'!$HW$8:$HW$154)</f>
        <v>2344.6932317999999</v>
      </c>
      <c r="HV13" s="297">
        <f t="shared" si="39"/>
        <v>642282</v>
      </c>
      <c r="HW13" s="297">
        <f>SUMPRODUCT(('ANALYSE - ERP =&gt; SOUS-SEGMENT'!$C$8:$C$154=$C13)*'ANALYSE - ERP =&gt; SOUS-SEGMENT'!$Q$8:$Q$154*'ANALYSE - ERP =&gt; SOUS-SEGMENT'!$HZ$8:$HZ$154)</f>
        <v>91.369799999999998</v>
      </c>
      <c r="HX13" s="297">
        <f>SUMPRODUCT(('ANALYSE - ERP =&gt; SOUS-SEGMENT'!$C$8:$C$154=$C13)*'ANALYSE - ERP =&gt; SOUS-SEGMENT'!$Q$8:$Q$154*'ANALYSE - ERP =&gt; SOUS-SEGMENT'!$IA$8:$IA$154)</f>
        <v>120854.3802</v>
      </c>
      <c r="HY13" s="297">
        <f>SUMPRODUCT(('ANALYSE - ERP =&gt; SOUS-SEGMENT'!$C$8:$C$154=$C13)*'ANALYSE - ERP =&gt; SOUS-SEGMENT'!$Q$8:$Q$154*'ANALYSE - ERP =&gt; SOUS-SEGMENT'!$IB$8:$IB$154)</f>
        <v>362512.26699999999</v>
      </c>
      <c r="HZ13" s="297">
        <f>SUMPRODUCT(('ANALYSE - ERP =&gt; SOUS-SEGMENT'!$C$8:$C$154=$C13)*'ANALYSE - ERP =&gt; SOUS-SEGMENT'!$Q$8:$Q$154*'ANALYSE - ERP =&gt; SOUS-SEGMENT'!$IC$8:$IC$154)</f>
        <v>149622.7942</v>
      </c>
      <c r="IA13" s="297">
        <f>SUMPRODUCT(('ANALYSE - ERP =&gt; SOUS-SEGMENT'!$C$8:$C$154=$C13)*'ANALYSE - ERP =&gt; SOUS-SEGMENT'!$Q$8:$Q$154*'ANALYSE - ERP =&gt; SOUS-SEGMENT'!$ID$8:$ID$154)</f>
        <v>9201.1887999999999</v>
      </c>
      <c r="IB13" s="297">
        <f>SUMPRODUCT(('ANALYSE - ERP =&gt; SOUS-SEGMENT'!$C$8:$C$154=$C13)*'ANALYSE - ERP =&gt; SOUS-SEGMENT'!$Q$8:$Q$154*'ANALYSE - ERP =&gt; SOUS-SEGMENT'!$IE$8:$IE$154)</f>
        <v>274963.39875644987</v>
      </c>
      <c r="IC13" s="297">
        <f>SUMPRODUCT(('ANALYSE - ERP =&gt; SOUS-SEGMENT'!$C$8:$C$154=$C13)*'ANALYSE - ERP =&gt; SOUS-SEGMENT'!$Q$8:$Q$154*'ANALYSE - ERP =&gt; SOUS-SEGMENT'!$IF$8:$IF$154)</f>
        <v>4.6708539801600004</v>
      </c>
      <c r="ID13" s="297">
        <f>SUMPRODUCT(('ANALYSE - ERP =&gt; SOUS-SEGMENT'!$C$8:$C$154=$C13)*'ANALYSE - ERP =&gt; SOUS-SEGMENT'!$Q$8:$Q$154*'ANALYSE - ERP =&gt; SOUS-SEGMENT'!$IG$8:$IG$154)</f>
        <v>25535.791625232185</v>
      </c>
      <c r="IE13" s="297">
        <f>SUMPRODUCT(('ANALYSE - ERP =&gt; SOUS-SEGMENT'!$C$8:$C$154=$C13)*'ANALYSE - ERP =&gt; SOUS-SEGMENT'!$Q$8:$Q$154*'ANALYSE - ERP =&gt; SOUS-SEGMENT'!$IH$8:$IH$154)</f>
        <v>142714.4296996273</v>
      </c>
      <c r="IF13" s="297">
        <f>SUMPRODUCT(('ANALYSE - ERP =&gt; SOUS-SEGMENT'!$C$8:$C$154=$C13)*'ANALYSE - ERP =&gt; SOUS-SEGMENT'!$Q$8:$Q$154*'ANALYSE - ERP =&gt; SOUS-SEGMENT'!$II$8:$II$154)</f>
        <v>96665.087944715429</v>
      </c>
      <c r="IG13" s="297">
        <f>SUMPRODUCT(('ANALYSE - ERP =&gt; SOUS-SEGMENT'!$C$8:$C$154=$C13)*'ANALYSE - ERP =&gt; SOUS-SEGMENT'!$Q$8:$Q$154*'ANALYSE - ERP =&gt; SOUS-SEGMENT'!$IJ$8:$IJ$154)</f>
        <v>10043.418632894769</v>
      </c>
      <c r="IH13" s="888"/>
      <c r="II13" s="298" t="s">
        <v>2589</v>
      </c>
      <c r="IJ13" s="322" t="s">
        <v>6760</v>
      </c>
      <c r="IK13" s="657"/>
      <c r="IL13" s="747">
        <f>IFERROR(SUMPRODUCT(('ANALYSE - ERP =&gt; SOUS-SEGMENT'!$C$8:$C$154=$C13)*'ANALYSE - ERP =&gt; SOUS-SEGMENT'!$Q$8:$Q$154*'ANALYSE - ERP =&gt; SOUS-SEGMENT'!$BE$8:$BE$154*'ANALYSE - ERP =&gt; SOUS-SEGMENT'!$IO$8:$IO$154)/SUMPRODUCT(('ANALYSE - ERP =&gt; SOUS-SEGMENT'!$C$8:$C$154=$C13)*'ANALYSE - ERP =&gt; SOUS-SEGMENT'!$Q$8:$Q$154*'ANALYSE - ERP =&gt; SOUS-SEGMENT'!$BE$8:$BE$154),0)</f>
        <v>5.9820157216142936E-5</v>
      </c>
      <c r="IM13" s="748">
        <f>IFERROR(SUMPRODUCT(('ANALYSE - ERP =&gt; SOUS-SEGMENT'!$C$8:$C$154=$C13)*'ANALYSE - ERP =&gt; SOUS-SEGMENT'!$Q$8:$Q$154*'ANALYSE - ERP =&gt; SOUS-SEGMENT'!$BE$8:$BE$154*'ANALYSE - ERP =&gt; SOUS-SEGMENT'!$IP$8:$IP$154)/SUMPRODUCT(('ANALYSE - ERP =&gt; SOUS-SEGMENT'!$C$8:$C$154=$C13)*'ANALYSE - ERP =&gt; SOUS-SEGMENT'!$Q$8:$Q$154*'ANALYSE - ERP =&gt; SOUS-SEGMENT'!$BE$8:$BE$154),0)</f>
        <v>0.1692431583669807</v>
      </c>
      <c r="IN13" s="748">
        <f>IFERROR(SUMPRODUCT(('ANALYSE - ERP =&gt; SOUS-SEGMENT'!$C$8:$C$154=$C13)*'ANALYSE - ERP =&gt; SOUS-SEGMENT'!$Q$8:$Q$154*'ANALYSE - ERP =&gt; SOUS-SEGMENT'!$BE$8:$BE$154*'ANALYSE - ERP =&gt; SOUS-SEGMENT'!$IQ$8:$IQ$154)/SUMPRODUCT(('ANALYSE - ERP =&gt; SOUS-SEGMENT'!$C$8:$C$154=$C13)*'ANALYSE - ERP =&gt; SOUS-SEGMENT'!$Q$8:$Q$154*'ANALYSE - ERP =&gt; SOUS-SEGMENT'!$BE$8:$BE$154),0)</f>
        <v>0.56802464548344944</v>
      </c>
      <c r="IO13" s="748">
        <f>IFERROR(SUMPRODUCT(('ANALYSE - ERP =&gt; SOUS-SEGMENT'!$C$8:$C$154=$C13)*'ANALYSE - ERP =&gt; SOUS-SEGMENT'!$Q$8:$Q$154*'ANALYSE - ERP =&gt; SOUS-SEGMENT'!$BE$8:$BE$154*'ANALYSE - ERP =&gt; SOUS-SEGMENT'!$IR$8:$IR$154)/SUMPRODUCT(('ANALYSE - ERP =&gt; SOUS-SEGMENT'!$C$8:$C$154=$C13)*'ANALYSE - ERP =&gt; SOUS-SEGMENT'!$Q$8:$Q$154*'ANALYSE - ERP =&gt; SOUS-SEGMENT'!$BE$8:$BE$154),0)</f>
        <v>0.24742494977275833</v>
      </c>
      <c r="IP13" s="749">
        <f>IFERROR(SUMPRODUCT(('ANALYSE - ERP =&gt; SOUS-SEGMENT'!$C$8:$C$154=$C13)*'ANALYSE - ERP =&gt; SOUS-SEGMENT'!$Q$8:$Q$154*'ANALYSE - ERP =&gt; SOUS-SEGMENT'!$BE$8:$BE$154*'ANALYSE - ERP =&gt; SOUS-SEGMENT'!$IS$8:$IS$154)/SUMPRODUCT(('ANALYSE - ERP =&gt; SOUS-SEGMENT'!$C$8:$C$154=$C13)*'ANALYSE - ERP =&gt; SOUS-SEGMENT'!$Q$8:$Q$154*'ANALYSE - ERP =&gt; SOUS-SEGMENT'!$BE$8:$BE$154),0)</f>
        <v>1.5247426219595451E-2</v>
      </c>
      <c r="IQ13" s="748">
        <f>IFERROR(SUMPRODUCT(('ANALYSE - ERP =&gt; SOUS-SEGMENT'!$C$8:$C$154=$C13)*'ANALYSE - ERP =&gt; SOUS-SEGMENT'!$Q$8:$Q$154*'ANALYSE - ERP =&gt; SOUS-SEGMENT'!$FB$8:$FB$154*'ANALYSE - ERP =&gt; SOUS-SEGMENT'!$IT$8:$IT$154)/SUMPRODUCT(('ANALYSE - ERP =&gt; SOUS-SEGMENT'!$C$8:$C$154=$C13)*'ANALYSE - ERP =&gt; SOUS-SEGMENT'!$Q$8:$Q$154*'ANALYSE - ERP =&gt; SOUS-SEGMENT'!$FB$8:$FB$154),0)</f>
        <v>1.4924926271212492E-5</v>
      </c>
      <c r="IR13" s="748">
        <f>IFERROR(SUMPRODUCT(('ANALYSE - ERP =&gt; SOUS-SEGMENT'!$C$8:$C$154=$C13)*'ANALYSE - ERP =&gt; SOUS-SEGMENT'!$Q$8:$Q$154*'ANALYSE - ERP =&gt; SOUS-SEGMENT'!$FB$8:$FB$154*'ANALYSE - ERP =&gt; SOUS-SEGMENT'!$IU$8:$IU$154)/SUMPRODUCT(('ANALYSE - ERP =&gt; SOUS-SEGMENT'!$C$8:$C$154=$C13)*'ANALYSE - ERP =&gt; SOUS-SEGMENT'!$Q$8:$Q$154*'ANALYSE - ERP =&gt; SOUS-SEGMENT'!$FB$8:$FB$154),0)</f>
        <v>8.1367701759774855E-2</v>
      </c>
      <c r="IS13" s="748">
        <f>IFERROR(SUMPRODUCT(('ANALYSE - ERP =&gt; SOUS-SEGMENT'!$C$8:$C$154=$C13)*'ANALYSE - ERP =&gt; SOUS-SEGMENT'!$Q$8:$Q$154*'ANALYSE - ERP =&gt; SOUS-SEGMENT'!$FB$8:$FB$154*'ANALYSE - ERP =&gt; SOUS-SEGMENT'!$IV$8:$IV$154)/SUMPRODUCT(('ANALYSE - ERP =&gt; SOUS-SEGMENT'!$C$8:$C$154=$C13)*'ANALYSE - ERP =&gt; SOUS-SEGMENT'!$Q$8:$Q$154*'ANALYSE - ERP =&gt; SOUS-SEGMENT'!$FB$8:$FB$154),0)</f>
        <v>0.5121878995727408</v>
      </c>
      <c r="IT13" s="748">
        <f>IFERROR(SUMPRODUCT(('ANALYSE - ERP =&gt; SOUS-SEGMENT'!$C$8:$C$154=$C13)*'ANALYSE - ERP =&gt; SOUS-SEGMENT'!$Q$8:$Q$154*'ANALYSE - ERP =&gt; SOUS-SEGMENT'!$FB$8:$FB$154*'ANALYSE - ERP =&gt; SOUS-SEGMENT'!$IW$8:$IW$154)/SUMPRODUCT(('ANALYSE - ERP =&gt; SOUS-SEGMENT'!$C$8:$C$154=$C13)*'ANALYSE - ERP =&gt; SOUS-SEGMENT'!$Q$8:$Q$154*'ANALYSE - ERP =&gt; SOUS-SEGMENT'!$FB$8:$FB$154),0)</f>
        <v>0.3682798055345799</v>
      </c>
      <c r="IU13" s="748">
        <f>IFERROR(SUMPRODUCT(('ANALYSE - ERP =&gt; SOUS-SEGMENT'!$C$8:$C$154=$C13)*'ANALYSE - ERP =&gt; SOUS-SEGMENT'!$Q$8:$Q$154*'ANALYSE - ERP =&gt; SOUS-SEGMENT'!$FB$8:$FB$154*'ANALYSE - ERP =&gt; SOUS-SEGMENT'!$IX$8:$IX$154)/SUMPRODUCT(('ANALYSE - ERP =&gt; SOUS-SEGMENT'!$C$8:$C$154=$C13)*'ANALYSE - ERP =&gt; SOUS-SEGMENT'!$Q$8:$Q$154*'ANALYSE - ERP =&gt; SOUS-SEGMENT'!$FB$8:$FB$154),0)</f>
        <v>3.8149668206633285E-2</v>
      </c>
      <c r="IV13" s="771">
        <f>IFERROR(SUMPRODUCT(('ANALYSE - ERP =&gt; SOUS-SEGMENT'!$C$8:$C$154=$C13)*'ANALYSE - ERP =&gt; SOUS-SEGMENT'!$Q$8:$Q$154*'ANALYSE - ERP =&gt; SOUS-SEGMENT'!$BF$8:$BF$154*'ANALYSE - ERP =&gt; SOUS-SEGMENT'!$IY$8:$IY$154)/SUMPRODUCT(('ANALYSE - ERP =&gt; SOUS-SEGMENT'!$C$8:$C$154=$C13)*'ANALYSE - ERP =&gt; SOUS-SEGMENT'!$Q$8:$Q$154*'ANALYSE - ERP =&gt; SOUS-SEGMENT'!$BF$8:$BF$154),0)</f>
        <v>6.7577453615971087E-5</v>
      </c>
      <c r="IW13" s="748">
        <f>IFERROR(SUMPRODUCT(('ANALYSE - ERP =&gt; SOUS-SEGMENT'!$C$8:$C$154=$C13)*'ANALYSE - ERP =&gt; SOUS-SEGMENT'!$Q$8:$Q$154*'ANALYSE - ERP =&gt; SOUS-SEGMENT'!$BF$8:$BF$154*'ANALYSE - ERP =&gt; SOUS-SEGMENT'!$IZ$8:$IZ$154)/SUMPRODUCT(('ANALYSE - ERP =&gt; SOUS-SEGMENT'!$C$8:$C$154=$C13)*'ANALYSE - ERP =&gt; SOUS-SEGMENT'!$Q$8:$Q$154*'ANALYSE - ERP =&gt; SOUS-SEGMENT'!$BF$8:$BF$154),0)</f>
        <v>0.18310242974453897</v>
      </c>
      <c r="IX13" s="748">
        <f>IFERROR(SUMPRODUCT(('ANALYSE - ERP =&gt; SOUS-SEGMENT'!$C$8:$C$154=$C13)*'ANALYSE - ERP =&gt; SOUS-SEGMENT'!$Q$8:$Q$154*'ANALYSE - ERP =&gt; SOUS-SEGMENT'!$BF$8:$BF$154*'ANALYSE - ERP =&gt; SOUS-SEGMENT'!$JA$8:$JA$154)/SUMPRODUCT(('ANALYSE - ERP =&gt; SOUS-SEGMENT'!$C$8:$C$154=$C13)*'ANALYSE - ERP =&gt; SOUS-SEGMENT'!$Q$8:$Q$154*'ANALYSE - ERP =&gt; SOUS-SEGMENT'!$BF$8:$BF$154),0)</f>
        <v>0.55724090021006878</v>
      </c>
      <c r="IY13" s="748">
        <f>IFERROR(SUMPRODUCT(('ANALYSE - ERP =&gt; SOUS-SEGMENT'!$C$8:$C$154=$C13)*'ANALYSE - ERP =&gt; SOUS-SEGMENT'!$Q$8:$Q$154*'ANALYSE - ERP =&gt; SOUS-SEGMENT'!$BF$8:$BF$154*'ANALYSE - ERP =&gt; SOUS-SEGMENT'!$JB$8:$JB$154)/SUMPRODUCT(('ANALYSE - ERP =&gt; SOUS-SEGMENT'!$C$8:$C$154=$C13)*'ANALYSE - ERP =&gt; SOUS-SEGMENT'!$Q$8:$Q$154*'ANALYSE - ERP =&gt; SOUS-SEGMENT'!$BF$8:$BF$154),0)</f>
        <v>0.24269713249012087</v>
      </c>
      <c r="IZ13" s="749">
        <f>IFERROR(SUMPRODUCT(('ANALYSE - ERP =&gt; SOUS-SEGMENT'!$C$8:$C$154=$C13)*'ANALYSE - ERP =&gt; SOUS-SEGMENT'!$Q$8:$Q$154*'ANALYSE - ERP =&gt; SOUS-SEGMENT'!$BF$8:$BF$154*'ANALYSE - ERP =&gt; SOUS-SEGMENT'!$JC$8:$JC$154)/SUMPRODUCT(('ANALYSE - ERP =&gt; SOUS-SEGMENT'!$C$8:$C$154=$C13)*'ANALYSE - ERP =&gt; SOUS-SEGMENT'!$Q$8:$Q$154*'ANALYSE - ERP =&gt; SOUS-SEGMENT'!$BF$8:$BF$154),0)</f>
        <v>1.6891960101655577E-2</v>
      </c>
      <c r="JA13" s="748">
        <f>IFERROR(SUMPRODUCT(('ANALYSE - ERP =&gt; SOUS-SEGMENT'!$C$8:$C$154=$C13)*'ANALYSE - ERP =&gt; SOUS-SEGMENT'!$Q$8:$Q$154*'ANALYSE - ERP =&gt; SOUS-SEGMENT'!$FE$8:$FE$154*'ANALYSE - ERP =&gt; SOUS-SEGMENT'!$JD$8:$JD$154)/SUMPRODUCT(('ANALYSE - ERP =&gt; SOUS-SEGMENT'!$C$8:$C$154=$C13)*'ANALYSE - ERP =&gt; SOUS-SEGMENT'!$Q$8:$Q$154*'ANALYSE - ERP =&gt; SOUS-SEGMENT'!$FE$8:$FE$154),0)</f>
        <v>1.8166497243338876E-5</v>
      </c>
      <c r="JB13" s="748">
        <f>IFERROR(SUMPRODUCT(('ANALYSE - ERP =&gt; SOUS-SEGMENT'!$C$8:$C$154=$C13)*'ANALYSE - ERP =&gt; SOUS-SEGMENT'!$Q$8:$Q$154*'ANALYSE - ERP =&gt; SOUS-SEGMENT'!$FE$8:$FE$154*'ANALYSE - ERP =&gt; SOUS-SEGMENT'!$JE$8:$JE$154)/SUMPRODUCT(('ANALYSE - ERP =&gt; SOUS-SEGMENT'!$C$8:$C$154=$C13)*'ANALYSE - ERP =&gt; SOUS-SEGMENT'!$Q$8:$Q$154*'ANALYSE - ERP =&gt; SOUS-SEGMENT'!$FE$8:$FE$154),0)</f>
        <v>9.2217574149337081E-2</v>
      </c>
      <c r="JC13" s="748">
        <f>IFERROR(SUMPRODUCT(('ANALYSE - ERP =&gt; SOUS-SEGMENT'!$C$8:$C$154=$C13)*'ANALYSE - ERP =&gt; SOUS-SEGMENT'!$Q$8:$Q$154*'ANALYSE - ERP =&gt; SOUS-SEGMENT'!$FE$8:$FE$154*'ANALYSE - ERP =&gt; SOUS-SEGMENT'!$JF$8:$JF$154)/SUMPRODUCT(('ANALYSE - ERP =&gt; SOUS-SEGMENT'!$C$8:$C$154=$C13)*'ANALYSE - ERP =&gt; SOUS-SEGMENT'!$Q$8:$Q$154*'ANALYSE - ERP =&gt; SOUS-SEGMENT'!$FE$8:$FE$154),0)</f>
        <v>0.5094764955795682</v>
      </c>
      <c r="JD13" s="748">
        <f>IFERROR(SUMPRODUCT(('ANALYSE - ERP =&gt; SOUS-SEGMENT'!$C$8:$C$154=$C13)*'ANALYSE - ERP =&gt; SOUS-SEGMENT'!$Q$8:$Q$154*'ANALYSE - ERP =&gt; SOUS-SEGMENT'!$FE$8:$FE$154*'ANALYSE - ERP =&gt; SOUS-SEGMENT'!$JG$8:$JG$154)/SUMPRODUCT(('ANALYSE - ERP =&gt; SOUS-SEGMENT'!$C$8:$C$154=$C13)*'ANALYSE - ERP =&gt; SOUS-SEGMENT'!$Q$8:$Q$154*'ANALYSE - ERP =&gt; SOUS-SEGMENT'!$FE$8:$FE$154),0)</f>
        <v>0.3562397790422917</v>
      </c>
      <c r="JE13" s="748">
        <f>IFERROR(SUMPRODUCT(('ANALYSE - ERP =&gt; SOUS-SEGMENT'!$C$8:$C$154=$C13)*'ANALYSE - ERP =&gt; SOUS-SEGMENT'!$Q$8:$Q$154*'ANALYSE - ERP =&gt; SOUS-SEGMENT'!$FE$8:$FE$154*'ANALYSE - ERP =&gt; SOUS-SEGMENT'!$JH$8:$JH$154)/SUMPRODUCT(('ANALYSE - ERP =&gt; SOUS-SEGMENT'!$C$8:$C$154=$C13)*'ANALYSE - ERP =&gt; SOUS-SEGMENT'!$Q$8:$Q$154*'ANALYSE - ERP =&gt; SOUS-SEGMENT'!$FE$8:$FE$154),0)</f>
        <v>4.2047984731559795E-2</v>
      </c>
      <c r="JF13" s="771">
        <f>IFERROR(SUMPRODUCT(('ANALYSE - ERP =&gt; SOUS-SEGMENT'!$C$8:$C$154=$C13)*'ANALYSE - ERP =&gt; SOUS-SEGMENT'!$Q$8:$Q$154*'ANALYSE - ERP =&gt; SOUS-SEGMENT'!$BG$8:$BG$154*'ANALYSE - ERP =&gt; SOUS-SEGMENT'!$JI$8:$JI$154)/SUMPRODUCT(('ANALYSE - ERP =&gt; SOUS-SEGMENT'!$C$8:$C$154=$C13)*'ANALYSE - ERP =&gt; SOUS-SEGMENT'!$Q$8:$Q$154*'ANALYSE - ERP =&gt; SOUS-SEGMENT'!$BG$8:$BG$154),0)</f>
        <v>1.114099564120211E-2</v>
      </c>
      <c r="JG13" s="748">
        <f>IFERROR(SUMPRODUCT(('ANALYSE - ERP =&gt; SOUS-SEGMENT'!$C$8:$C$154=$C13)*'ANALYSE - ERP =&gt; SOUS-SEGMENT'!$Q$8:$Q$154*'ANALYSE - ERP =&gt; SOUS-SEGMENT'!$BG$8:$BG$154*'ANALYSE - ERP =&gt; SOUS-SEGMENT'!$JJ$8:$JJ$154)/SUMPRODUCT(('ANALYSE - ERP =&gt; SOUS-SEGMENT'!$C$8:$C$154=$C13)*'ANALYSE - ERP =&gt; SOUS-SEGMENT'!$Q$8:$Q$154*'ANALYSE - ERP =&gt; SOUS-SEGMENT'!$BG$8:$BG$154),0)</f>
        <v>0.32224230328056885</v>
      </c>
      <c r="JH13" s="748">
        <f>IFERROR(SUMPRODUCT(('ANALYSE - ERP =&gt; SOUS-SEGMENT'!$C$8:$C$154=$C13)*'ANALYSE - ERP =&gt; SOUS-SEGMENT'!$Q$8:$Q$154*'ANALYSE - ERP =&gt; SOUS-SEGMENT'!$BG$8:$BG$154*'ANALYSE - ERP =&gt; SOUS-SEGMENT'!$JK$8:$JK$154)/SUMPRODUCT(('ANALYSE - ERP =&gt; SOUS-SEGMENT'!$C$8:$C$154=$C13)*'ANALYSE - ERP =&gt; SOUS-SEGMENT'!$Q$8:$Q$154*'ANALYSE - ERP =&gt; SOUS-SEGMENT'!$BG$8:$BG$154),0)</f>
        <v>0.53342902041752693</v>
      </c>
      <c r="JI13" s="748">
        <f>IFERROR(SUMPRODUCT(('ANALYSE - ERP =&gt; SOUS-SEGMENT'!$C$8:$C$154=$C13)*'ANALYSE - ERP =&gt; SOUS-SEGMENT'!$Q$8:$Q$154*'ANALYSE - ERP =&gt; SOUS-SEGMENT'!$BG$8:$BG$154*'ANALYSE - ERP =&gt; SOUS-SEGMENT'!$JL$8:$JL$154)/SUMPRODUCT(('ANALYSE - ERP =&gt; SOUS-SEGMENT'!$C$8:$C$154=$C13)*'ANALYSE - ERP =&gt; SOUS-SEGMENT'!$Q$8:$Q$154*'ANALYSE - ERP =&gt; SOUS-SEGMENT'!$BG$8:$BG$154),0)</f>
        <v>0.12942356044964443</v>
      </c>
      <c r="JJ13" s="749">
        <f>IFERROR(SUMPRODUCT(('ANALYSE - ERP =&gt; SOUS-SEGMENT'!$C$8:$C$154=$C13)*'ANALYSE - ERP =&gt; SOUS-SEGMENT'!$Q$8:$Q$154*'ANALYSE - ERP =&gt; SOUS-SEGMENT'!$BG$8:$BG$154*'ANALYSE - ERP =&gt; SOUS-SEGMENT'!$JM$8:$JM$154)/SUMPRODUCT(('ANALYSE - ERP =&gt; SOUS-SEGMENT'!$C$8:$C$154=$C13)*'ANALYSE - ERP =&gt; SOUS-SEGMENT'!$Q$8:$Q$154*'ANALYSE - ERP =&gt; SOUS-SEGMENT'!$BG$8:$BG$154),0)</f>
        <v>3.764120211057583E-3</v>
      </c>
      <c r="JK13" s="748">
        <f>IFERROR(SUMPRODUCT(('ANALYSE - ERP =&gt; SOUS-SEGMENT'!$C$8:$C$154=$C13)*'ANALYSE - ERP =&gt; SOUS-SEGMENT'!$Q$8:$Q$154*'ANALYSE - ERP =&gt; SOUS-SEGMENT'!$FH$8:$FH$154*'ANALYSE - ERP =&gt; SOUS-SEGMENT'!$JN$8:$JN$154)/SUMPRODUCT(('ANALYSE - ERP =&gt; SOUS-SEGMENT'!$C$8:$C$154=$C13)*'ANALYSE - ERP =&gt; SOUS-SEGMENT'!$Q$8:$Q$154*'ANALYSE - ERP =&gt; SOUS-SEGMENT'!$FH$8:$FH$154),0)</f>
        <v>2.2053625410886529E-4</v>
      </c>
      <c r="JL13" s="748">
        <f>IFERROR(SUMPRODUCT(('ANALYSE - ERP =&gt; SOUS-SEGMENT'!$C$8:$C$154=$C13)*'ANALYSE - ERP =&gt; SOUS-SEGMENT'!$Q$8:$Q$154*'ANALYSE - ERP =&gt; SOUS-SEGMENT'!$FH$8:$FH$154*'ANALYSE - ERP =&gt; SOUS-SEGMENT'!$JO$8:$JO$154)/SUMPRODUCT(('ANALYSE - ERP =&gt; SOUS-SEGMENT'!$C$8:$C$154=$C13)*'ANALYSE - ERP =&gt; SOUS-SEGMENT'!$Q$8:$Q$154*'ANALYSE - ERP =&gt; SOUS-SEGMENT'!$FH$8:$FH$154),0)</f>
        <v>0.1901655341591936</v>
      </c>
      <c r="JM13" s="748">
        <f>IFERROR(SUMPRODUCT(('ANALYSE - ERP =&gt; SOUS-SEGMENT'!$C$8:$C$154=$C13)*'ANALYSE - ERP =&gt; SOUS-SEGMENT'!$Q$8:$Q$154*'ANALYSE - ERP =&gt; SOUS-SEGMENT'!$FH$8:$FH$154*'ANALYSE - ERP =&gt; SOUS-SEGMENT'!$JP$8:$JP$154)/SUMPRODUCT(('ANALYSE - ERP =&gt; SOUS-SEGMENT'!$C$8:$C$154=$C13)*'ANALYSE - ERP =&gt; SOUS-SEGMENT'!$Q$8:$Q$154*'ANALYSE - ERP =&gt; SOUS-SEGMENT'!$FH$8:$FH$154),0)</f>
        <v>0.57346176160521123</v>
      </c>
      <c r="JN13" s="748">
        <f>IFERROR(SUMPRODUCT(('ANALYSE - ERP =&gt; SOUS-SEGMENT'!$C$8:$C$154=$C13)*'ANALYSE - ERP =&gt; SOUS-SEGMENT'!$Q$8:$Q$154*'ANALYSE - ERP =&gt; SOUS-SEGMENT'!$FH$8:$FH$154*'ANALYSE - ERP =&gt; SOUS-SEGMENT'!$JQ$8:$JQ$154)/SUMPRODUCT(('ANALYSE - ERP =&gt; SOUS-SEGMENT'!$C$8:$C$154=$C13)*'ANALYSE - ERP =&gt; SOUS-SEGMENT'!$Q$8:$Q$154*'ANALYSE - ERP =&gt; SOUS-SEGMENT'!$FH$8:$FH$154),0)</f>
        <v>0.22437481292128644</v>
      </c>
      <c r="JO13" s="748">
        <f>IFERROR(SUMPRODUCT(('ANALYSE - ERP =&gt; SOUS-SEGMENT'!$C$8:$C$154=$C13)*'ANALYSE - ERP =&gt; SOUS-SEGMENT'!$Q$8:$Q$154*'ANALYSE - ERP =&gt; SOUS-SEGMENT'!$FH$8:$FH$154*'ANALYSE - ERP =&gt; SOUS-SEGMENT'!$JR$8:$JR$154)/SUMPRODUCT(('ANALYSE - ERP =&gt; SOUS-SEGMENT'!$C$8:$C$154=$C13)*'ANALYSE - ERP =&gt; SOUS-SEGMENT'!$Q$8:$Q$154*'ANALYSE - ERP =&gt; SOUS-SEGMENT'!$FH$8:$FH$154),0)</f>
        <v>1.17773550601999E-2</v>
      </c>
      <c r="JP13" s="771">
        <f>IFERROR(SUMPRODUCT(('ANALYSE - ERP =&gt; SOUS-SEGMENT'!$C$8:$C$154=$C13)*'ANALYSE - ERP =&gt; SOUS-SEGMENT'!$Q$8:$Q$154*'ANALYSE - ERP =&gt; SOUS-SEGMENT'!$BH$8:$BH$154*'ANALYSE - ERP =&gt; SOUS-SEGMENT'!$JS$8:$JS$154)/SUMPRODUCT(('ANALYSE - ERP =&gt; SOUS-SEGMENT'!$C$8:$C$154=$C13)*'ANALYSE - ERP =&gt; SOUS-SEGMENT'!$Q$8:$Q$154*'ANALYSE - ERP =&gt; SOUS-SEGMENT'!$BH$8:$BH$154),0)</f>
        <v>7.4444471606326535E-5</v>
      </c>
      <c r="JQ13" s="748">
        <f>IFERROR(SUMPRODUCT(('ANALYSE - ERP =&gt; SOUS-SEGMENT'!$C$8:$C$154=$C13)*'ANALYSE - ERP =&gt; SOUS-SEGMENT'!$Q$8:$Q$154*'ANALYSE - ERP =&gt; SOUS-SEGMENT'!$BH$8:$BH$154*'ANALYSE - ERP =&gt; SOUS-SEGMENT'!$JT$8:$JT$154)/SUMPRODUCT(('ANALYSE - ERP =&gt; SOUS-SEGMENT'!$C$8:$C$154=$C13)*'ANALYSE - ERP =&gt; SOUS-SEGMENT'!$Q$8:$Q$154*'ANALYSE - ERP =&gt; SOUS-SEGMENT'!$BH$8:$BH$154),0)</f>
        <v>0.20835112816877305</v>
      </c>
      <c r="JR13" s="748">
        <f>IFERROR(SUMPRODUCT(('ANALYSE - ERP =&gt; SOUS-SEGMENT'!$C$8:$C$154=$C13)*'ANALYSE - ERP =&gt; SOUS-SEGMENT'!$Q$8:$Q$154*'ANALYSE - ERP =&gt; SOUS-SEGMENT'!$BH$8:$BH$154*'ANALYSE - ERP =&gt; SOUS-SEGMENT'!$JU$8:$JU$154)/SUMPRODUCT(('ANALYSE - ERP =&gt; SOUS-SEGMENT'!$C$8:$C$154=$C13)*'ANALYSE - ERP =&gt; SOUS-SEGMENT'!$Q$8:$Q$154*'ANALYSE - ERP =&gt; SOUS-SEGMENT'!$BH$8:$BH$154),0)</f>
        <v>0.56516950155230161</v>
      </c>
      <c r="JS13" s="748">
        <f>IFERROR(SUMPRODUCT(('ANALYSE - ERP =&gt; SOUS-SEGMENT'!$C$8:$C$154=$C13)*'ANALYSE - ERP =&gt; SOUS-SEGMENT'!$Q$8:$Q$154*'ANALYSE - ERP =&gt; SOUS-SEGMENT'!$BH$8:$BH$154*'ANALYSE - ERP =&gt; SOUS-SEGMENT'!$JV$8:$JV$154)/SUMPRODUCT(('ANALYSE - ERP =&gt; SOUS-SEGMENT'!$C$8:$C$154=$C13)*'ANALYSE - ERP =&gt; SOUS-SEGMENT'!$Q$8:$Q$154*'ANALYSE - ERP =&gt; SOUS-SEGMENT'!$BH$8:$BH$154),0)</f>
        <v>0.21427758329870195</v>
      </c>
      <c r="JT13" s="749">
        <f>IFERROR(SUMPRODUCT(('ANALYSE - ERP =&gt; SOUS-SEGMENT'!$C$8:$C$154=$C13)*'ANALYSE - ERP =&gt; SOUS-SEGMENT'!$Q$8:$Q$154*'ANALYSE - ERP =&gt; SOUS-SEGMENT'!$BH$8:$BH$154*'ANALYSE - ERP =&gt; SOUS-SEGMENT'!$JW$8:$JW$154)/SUMPRODUCT(('ANALYSE - ERP =&gt; SOUS-SEGMENT'!$C$8:$C$154=$C13)*'ANALYSE - ERP =&gt; SOUS-SEGMENT'!$Q$8:$Q$154*'ANALYSE - ERP =&gt; SOUS-SEGMENT'!$BH$8:$BH$154),0)</f>
        <v>1.2127342508617108E-2</v>
      </c>
      <c r="JU13" s="771">
        <f>IFERROR(SUMPRODUCT(('ANALYSE - ERP =&gt; SOUS-SEGMENT'!$C$8:$C$154=$C13)*'ANALYSE - ERP =&gt; SOUS-SEGMENT'!$Q$8:$Q$154*'ANALYSE - ERP =&gt; SOUS-SEGMENT'!$FK$8:$FK$154*'ANALYSE - ERP =&gt; SOUS-SEGMENT'!$JX$8:$JX$154)/SUMPRODUCT(('ANALYSE - ERP =&gt; SOUS-SEGMENT'!$C$8:$C$154=$C13)*'ANALYSE - ERP =&gt; SOUS-SEGMENT'!$Q$8:$Q$154*'ANALYSE - ERP =&gt; SOUS-SEGMENT'!$FK$8:$FK$154),0)</f>
        <v>1.4525687739405316E-5</v>
      </c>
      <c r="JV13" s="748">
        <f>IFERROR(SUMPRODUCT(('ANALYSE - ERP =&gt; SOUS-SEGMENT'!$C$8:$C$154=$C13)*'ANALYSE - ERP =&gt; SOUS-SEGMENT'!$Q$8:$Q$154*'ANALYSE - ERP =&gt; SOUS-SEGMENT'!$FK$8:$FK$154*'ANALYSE - ERP =&gt; SOUS-SEGMENT'!$JY$8:$JY$154)/SUMPRODUCT(('ANALYSE - ERP =&gt; SOUS-SEGMENT'!$C$8:$C$154=$C13)*'ANALYSE - ERP =&gt; SOUS-SEGMENT'!$Q$8:$Q$154*'ANALYSE - ERP =&gt; SOUS-SEGMENT'!$FK$8:$FK$154),0)</f>
        <v>0.10443335374244545</v>
      </c>
      <c r="JW13" s="748">
        <f>IFERROR(SUMPRODUCT(('ANALYSE - ERP =&gt; SOUS-SEGMENT'!$C$8:$C$154=$C13)*'ANALYSE - ERP =&gt; SOUS-SEGMENT'!$Q$8:$Q$154*'ANALYSE - ERP =&gt; SOUS-SEGMENT'!$FK$8:$FK$154*'ANALYSE - ERP =&gt; SOUS-SEGMENT'!$JZ$8:$JZ$154)/SUMPRODUCT(('ANALYSE - ERP =&gt; SOUS-SEGMENT'!$C$8:$C$154=$C13)*'ANALYSE - ERP =&gt; SOUS-SEGMENT'!$Q$8:$Q$154*'ANALYSE - ERP =&gt; SOUS-SEGMENT'!$FK$8:$FK$154),0)</f>
        <v>0.53147237997689956</v>
      </c>
      <c r="JX13" s="748">
        <f>IFERROR(SUMPRODUCT(('ANALYSE - ERP =&gt; SOUS-SEGMENT'!$C$8:$C$154=$C13)*'ANALYSE - ERP =&gt; SOUS-SEGMENT'!$Q$8:$Q$154*'ANALYSE - ERP =&gt; SOUS-SEGMENT'!$FK$8:$FK$154*'ANALYSE - ERP =&gt; SOUS-SEGMENT'!$KA$8:$KA$154)/SUMPRODUCT(('ANALYSE - ERP =&gt; SOUS-SEGMENT'!$C$8:$C$154=$C13)*'ANALYSE - ERP =&gt; SOUS-SEGMENT'!$Q$8:$Q$154*'ANALYSE - ERP =&gt; SOUS-SEGMENT'!$FK$8:$FK$154),0)</f>
        <v>0.33221644543525297</v>
      </c>
      <c r="JY13" s="775">
        <f>IFERROR(SUMPRODUCT(('ANALYSE - ERP =&gt; SOUS-SEGMENT'!$C$8:$C$154=$C13)*'ANALYSE - ERP =&gt; SOUS-SEGMENT'!$Q$8:$Q$154*'ANALYSE - ERP =&gt; SOUS-SEGMENT'!$FK$8:$FK$154*'ANALYSE - ERP =&gt; SOUS-SEGMENT'!$KB$8:$KB$154)/SUMPRODUCT(('ANALYSE - ERP =&gt; SOUS-SEGMENT'!$C$8:$C$154=$C13)*'ANALYSE - ERP =&gt; SOUS-SEGMENT'!$Q$8:$Q$154*'ANALYSE - ERP =&gt; SOUS-SEGMENT'!$FK$8:$FK$154),0)</f>
        <v>3.1863295157662647E-2</v>
      </c>
      <c r="JZ13" s="657"/>
      <c r="KA13" s="298" t="s">
        <v>2590</v>
      </c>
      <c r="KB13" s="298" t="s">
        <v>2591</v>
      </c>
      <c r="KC13" s="888">
        <f>IFERROR(SUMPRODUCT(('ANALYSE - ERP =&gt; SOUS-SEGMENT'!$C$8:$C$154=$C13)*'ANALYSE - ERP =&gt; SOUS-SEGMENT'!$Q$8:$Q$154*'ANALYSE - ERP =&gt; SOUS-SEGMENT'!$EX$8:$EX$154*'ANALYSE - ERP =&gt; SOUS-SEGMENT'!$KF$8:$KF$154)/SUMPRODUCT(('ANALYSE - ERP =&gt; SOUS-SEGMENT'!$C$8:$C$154=$C13)*'ANALYSE - ERP =&gt; SOUS-SEGMENT'!$Q$8:$Q$154*'ANALYSE - ERP =&gt; SOUS-SEGMENT'!$EX$8:$EX$154),"")</f>
        <v>4.5451649293382506</v>
      </c>
      <c r="KD13" s="298" t="s">
        <v>2719</v>
      </c>
      <c r="KE13" s="300" t="s">
        <v>3316</v>
      </c>
      <c r="KF13" s="620" t="s">
        <v>6760</v>
      </c>
      <c r="KG13" s="300" t="s">
        <v>6760</v>
      </c>
    </row>
    <row r="14" spans="1:293" ht="108" customHeight="1">
      <c r="A14" s="273">
        <v>7</v>
      </c>
      <c r="B14" s="483" t="s">
        <v>2241</v>
      </c>
      <c r="C14" s="483" t="s">
        <v>1032</v>
      </c>
      <c r="D14" s="483" t="s">
        <v>6878</v>
      </c>
      <c r="E14" s="275" t="s">
        <v>6879</v>
      </c>
      <c r="F14" s="275" t="s">
        <v>6789</v>
      </c>
      <c r="G14" s="275" t="s">
        <v>6790</v>
      </c>
      <c r="H14" s="275" t="s">
        <v>2117</v>
      </c>
      <c r="I14" s="276" t="s">
        <v>6880</v>
      </c>
      <c r="J14" s="276" t="s">
        <v>6881</v>
      </c>
      <c r="K14" s="277" t="s">
        <v>2109</v>
      </c>
      <c r="L14" s="277" t="s">
        <v>2109</v>
      </c>
      <c r="M14" s="277" t="s">
        <v>2603</v>
      </c>
      <c r="N14" s="277" t="s">
        <v>6742</v>
      </c>
      <c r="O14" s="277" t="s">
        <v>2616</v>
      </c>
      <c r="P14" s="276"/>
      <c r="Q14" s="270">
        <f>IF(SUMPRODUCT(('ANALYSE - ERP =&gt; SOUS-SEGMENT'!$C$8:$C$154=$C14)*'ANALYSE - ERP =&gt; SOUS-SEGMENT'!$Q$8:$Q$154)&gt;0,1,0)</f>
        <v>1</v>
      </c>
      <c r="R14" s="278">
        <f>IFERROR(SUMPRODUCT(('ANALYSE - ERP =&gt; SOUS-SEGMENT'!$C$8:$C$154=$C14)*'ANALYSE - ERP =&gt; SOUS-SEGMENT'!$Q$8:$Q$154*'ANALYSE - ERP =&gt; SOUS-SEGMENT'!$AG$8:$AG$154*'ANALYSE - ERP =&gt; SOUS-SEGMENT'!$R$8:$R$154)/SUMPRODUCT(('ANALYSE - ERP =&gt; SOUS-SEGMENT'!$C$8:$C$154=$C14)*'ANALYSE - ERP =&gt; SOUS-SEGMENT'!$Q$8:$Q$154*'ANALYSE - ERP =&gt; SOUS-SEGMENT'!$AG$8:$AG$154),"")</f>
        <v>4939.7643514284173</v>
      </c>
      <c r="S14" s="279">
        <f t="array" ref="S14">SUMPRODUCT(('ANALYSE - ERP =&gt; SOUS-SEGMENT'!$C$8:$C$154=$C14)*'ANALYSE - ERP =&gt; SOUS-SEGMENT'!$Q$8:$Q$154*'ANALYSE - ERP =&gt; SOUS-SEGMENT'!$S$8:$S$154)</f>
        <v>16848</v>
      </c>
      <c r="T14" s="279">
        <f>SUMPRODUCT(('ANALYSE - ERP =&gt; SOUS-SEGMENT'!$C$8:$C$154=$C14)*'ANALYSE - ERP =&gt; SOUS-SEGMENT'!$Q$8:$Q$154*'ANALYSE - ERP =&gt; SOUS-SEGMENT'!$T$8:$T$154)</f>
        <v>17389</v>
      </c>
      <c r="U14" s="279">
        <f>SUMPRODUCT(('ANALYSE - ERP =&gt; SOUS-SEGMENT'!$C$8:$C$154=$C14)*'ANALYSE - ERP =&gt; SOUS-SEGMENT'!$Q$8:$Q$154*'ANALYSE - ERP =&gt; SOUS-SEGMENT'!$U$8:$U$154)</f>
        <v>18077</v>
      </c>
      <c r="V14" s="279">
        <f>SUMPRODUCT(('ANALYSE - ERP =&gt; SOUS-SEGMENT'!$C$8:$C$154=$C14)*'ANALYSE - ERP =&gt; SOUS-SEGMENT'!$Q$8:$Q$154*'ANALYSE - ERP =&gt; SOUS-SEGMENT'!$V$8:$V$154)</f>
        <v>18169</v>
      </c>
      <c r="W14" s="279">
        <f>SUMPRODUCT(('ANALYSE - ERP =&gt; SOUS-SEGMENT'!$C$8:$C$154=$C14)*'ANALYSE - ERP =&gt; SOUS-SEGMENT'!$Q$8:$Q$154*'ANALYSE - ERP =&gt; SOUS-SEGMENT'!$W$8:$W$154)</f>
        <v>18178</v>
      </c>
      <c r="X14" s="279">
        <f>SUMPRODUCT(('ANALYSE - ERP =&gt; SOUS-SEGMENT'!$C$8:$C$154=$C14)*'ANALYSE - ERP =&gt; SOUS-SEGMENT'!$Q$8:$Q$154*'ANALYSE - ERP =&gt; SOUS-SEGMENT'!$X$8:$X$154)</f>
        <v>18189</v>
      </c>
      <c r="Y14" s="279">
        <f>SUMPRODUCT(('ANALYSE - ERP =&gt; SOUS-SEGMENT'!$C$8:$C$154=$C14)*'ANALYSE - ERP =&gt; SOUS-SEGMENT'!$Q$8:$Q$154*'ANALYSE - ERP =&gt; SOUS-SEGMENT'!$Y$8:$Y$154)</f>
        <v>18203</v>
      </c>
      <c r="Z14" s="279">
        <f>SUMPRODUCT(('ANALYSE - ERP =&gt; SOUS-SEGMENT'!$C$8:$C$154=$C14)*'ANALYSE - ERP =&gt; SOUS-SEGMENT'!$Q$8:$Q$154*'ANALYSE - ERP =&gt; SOUS-SEGMENT'!$Z$8:$Z$154)</f>
        <v>18220</v>
      </c>
      <c r="AA14" s="279">
        <f>SUMPRODUCT(('ANALYSE - ERP =&gt; SOUS-SEGMENT'!$C$8:$C$154=$C14)*'ANALYSE - ERP =&gt; SOUS-SEGMENT'!$Q$8:$Q$154*'ANALYSE - ERP =&gt; SOUS-SEGMENT'!$AA$8:$AA$154)</f>
        <v>18251</v>
      </c>
      <c r="AB14" s="279">
        <f>SUMPRODUCT(('ANALYSE - ERP =&gt; SOUS-SEGMENT'!$C$8:$C$154=$C14)*'ANALYSE - ERP =&gt; SOUS-SEGMENT'!$Q$8:$Q$154*'ANALYSE - ERP =&gt; SOUS-SEGMENT'!$AB$8:$AB$154)</f>
        <v>18290</v>
      </c>
      <c r="AC14" s="279">
        <f>SUMPRODUCT(('ANALYSE - ERP =&gt; SOUS-SEGMENT'!$C$8:$C$154=$C14)*'ANALYSE - ERP =&gt; SOUS-SEGMENT'!$Q$8:$Q$154*'ANALYSE - ERP =&gt; SOUS-SEGMENT'!$AC$8:$AC$154)</f>
        <v>18335</v>
      </c>
      <c r="AD14" s="279">
        <f>SUMPRODUCT(('ANALYSE - ERP =&gt; SOUS-SEGMENT'!$C$8:$C$154=$C14)*'ANALYSE - ERP =&gt; SOUS-SEGMENT'!$Q$8:$Q$154*'ANALYSE - ERP =&gt; SOUS-SEGMENT'!$AD$8:$AD$154)</f>
        <v>18346</v>
      </c>
      <c r="AE14" s="279">
        <f>SUMPRODUCT(('ANALYSE - ERP =&gt; SOUS-SEGMENT'!$C$8:$C$154=$C14)*'ANALYSE - ERP =&gt; SOUS-SEGMENT'!$Q$8:$Q$154*'ANALYSE - ERP =&gt; SOUS-SEGMENT'!$AE$8:$AE$154)</f>
        <v>18423</v>
      </c>
      <c r="AF14" s="279">
        <f>SUMPRODUCT(('ANALYSE - ERP =&gt; SOUS-SEGMENT'!$C$8:$C$154=$C14)*'ANALYSE - ERP =&gt; SOUS-SEGMENT'!$Q$8:$Q$154*'ANALYSE - ERP =&gt; SOUS-SEGMENT'!$AF$8:$AF$154)</f>
        <v>18505</v>
      </c>
      <c r="AG14" s="279">
        <f>SUMPRODUCT(('ANALYSE - ERP =&gt; SOUS-SEGMENT'!$C$8:$C$154=$C14)*'ANALYSE - ERP =&gt; SOUS-SEGMENT'!$Q$8:$Q$154*'ANALYSE - ERP =&gt; SOUS-SEGMENT'!$AG$8:$AG$154)</f>
        <v>18587</v>
      </c>
      <c r="AH14" s="279">
        <f>SUMPRODUCT(('ANALYSE - ERP =&gt; SOUS-SEGMENT'!$C$8:$C$154=$C14)*'ANALYSE - ERP =&gt; SOUS-SEGMENT'!$Q$8:$Q$154*'ANALYSE - ERP =&gt; SOUS-SEGMENT'!$AH$8:$AH$154)</f>
        <v>18679</v>
      </c>
      <c r="AI14" s="279">
        <f>SUMPRODUCT(('ANALYSE - ERP =&gt; SOUS-SEGMENT'!$C$8:$C$154=$C14)*'ANALYSE - ERP =&gt; SOUS-SEGMENT'!$Q$8:$Q$154*'ANALYSE - ERP =&gt; SOUS-SEGMENT'!$AI$8:$AI$154)</f>
        <v>18771</v>
      </c>
      <c r="AJ14" s="279">
        <f>SUMPRODUCT(('ANALYSE - ERP =&gt; SOUS-SEGMENT'!$C$8:$C$154=$C14)*'ANALYSE - ERP =&gt; SOUS-SEGMENT'!$Q$8:$Q$154*'ANALYSE - ERP =&gt; SOUS-SEGMENT'!$AJ$8:$AJ$154)</f>
        <v>18863</v>
      </c>
      <c r="AK14" s="279">
        <f>SUMPRODUCT(('ANALYSE - ERP =&gt; SOUS-SEGMENT'!$C$8:$C$154=$C14)*'ANALYSE - ERP =&gt; SOUS-SEGMENT'!$Q$8:$Q$154*'ANALYSE - ERP =&gt; SOUS-SEGMENT'!$AK$8:$AK$154)</f>
        <v>18965</v>
      </c>
      <c r="AL14" s="276" t="s">
        <v>6882</v>
      </c>
      <c r="AM14" s="276" t="s">
        <v>6883</v>
      </c>
      <c r="AN14" s="276" t="s">
        <v>6884</v>
      </c>
      <c r="AO14" s="657"/>
      <c r="AP14" s="278">
        <f>IFERROR(SUMPRODUCT(('ANALYSE - ERP =&gt; SOUS-SEGMENT'!$C$8:$C$154=$C14)*'ANALYSE - ERP =&gt; SOUS-SEGMENT'!$Q$8:$Q$154*'ANALYSE - ERP =&gt; SOUS-SEGMENT'!$AG$8:$AG$154*'ANALYSE - ERP =&gt; SOUS-SEGMENT'!$AP$8:$AP$154)/SUMPRODUCT(('ANALYSE - ERP =&gt; SOUS-SEGMENT'!$C$8:$C$154=$C14)*'ANALYSE - ERP =&gt; SOUS-SEGMENT'!$Q$8:$Q$154*'ANALYSE - ERP =&gt; SOUS-SEGMENT'!$AG$8:$AG$154),"")</f>
        <v>74.498843277559587</v>
      </c>
      <c r="AQ14" s="278">
        <f>IFERROR(SUMPRODUCT(('ANALYSE - ERP =&gt; SOUS-SEGMENT'!$C$8:$C$154=$C14)*'ANALYSE - ERP =&gt; SOUS-SEGMENT'!$Q$8:$Q$154*'ANALYSE - ERP =&gt; SOUS-SEGMENT'!$AF$8:$AF$154*'ANALYSE - ERP =&gt; SOUS-SEGMENT'!$AQ$8:$AQ$154)/SUMPRODUCT(('ANALYSE - ERP =&gt; SOUS-SEGMENT'!$C$8:$C$154=$C14)*'ANALYSE - ERP =&gt; SOUS-SEGMENT'!$Q$8:$Q$154*'ANALYSE - ERP =&gt; SOUS-SEGMENT'!$AF$8:$AF$154),"")</f>
        <v>58.217562820859229</v>
      </c>
      <c r="AR14" s="973">
        <f>IFERROR(SUMPRODUCT(('ANALYSE - ERP =&gt; SOUS-SEGMENT'!$C$8:$C$154=$C14)*'ANALYSE - ERP =&gt; SOUS-SEGMENT'!$Q$8:$Q$154*'ANALYSE - ERP =&gt; SOUS-SEGMENT'!$AF$8:$AF$154*'ANALYSE - ERP =&gt; SOUS-SEGMENT'!$AR$8:$AR$154)/SUMPRODUCT(('ANALYSE - ERP =&gt; SOUS-SEGMENT'!$C$8:$C$154=$C14)*'ANALYSE - ERP =&gt; SOUS-SEGMENT'!$Q$8:$Q$154*'ANALYSE - ERP =&gt; SOUS-SEGMENT'!$AF$8:$AF$154),"")</f>
        <v>13.401080788975952</v>
      </c>
      <c r="AS14" s="973">
        <f>IFERROR(SUMPRODUCT(('ANALYSE - ERP =&gt; SOUS-SEGMENT'!$C$8:$C$154=$C14)*'ANALYSE - ERP =&gt; SOUS-SEGMENT'!$Q$8:$Q$154*'ANALYSE - ERP =&gt; SOUS-SEGMENT'!$AF$8:$AF$154*'ANALYSE - ERP =&gt; SOUS-SEGMENT'!$AS$8:$AS$154)/SUMPRODUCT(('ANALYSE - ERP =&gt; SOUS-SEGMENT'!$C$8:$C$154=$C14)*'ANALYSE - ERP =&gt; SOUS-SEGMENT'!$Q$8:$Q$154*'ANALYSE - ERP =&gt; SOUS-SEGMENT'!$AF$8:$AF$154),"")</f>
        <v>2.8355579573088354</v>
      </c>
      <c r="AT14" s="657" t="s">
        <v>6885</v>
      </c>
      <c r="AU14" s="276" t="s">
        <v>6886</v>
      </c>
      <c r="AV14" s="296" t="s">
        <v>6887</v>
      </c>
      <c r="AW14" s="276" t="s">
        <v>6888</v>
      </c>
      <c r="AX14" s="657"/>
      <c r="AY14" s="282">
        <f>IFERROR(SUMPRODUCT(('ANALYSE - ERP =&gt; SOUS-SEGMENT'!$C$8:$C$154=$C14)*'ANALYSE - ERP =&gt; SOUS-SEGMENT'!$Q$8:$Q$154*'ANALYSE - ERP =&gt; SOUS-SEGMENT'!$AF$8:$AF$154*'ANALYSE - ERP =&gt; SOUS-SEGMENT'!$AZ$8:$AZ$154)/SUMPRODUCT(('ANALYSE - ERP =&gt; SOUS-SEGMENT'!$C$8:$C$154=$C14)*'ANALYSE - ERP =&gt; SOUS-SEGMENT'!$Q$8:$Q$154*'ANALYSE - ERP =&gt; SOUS-SEGMENT'!$AF$8:$AF$154),"")</f>
        <v>36.472358821940013</v>
      </c>
      <c r="AZ14" s="947">
        <f>IFERROR(SUMPRODUCT(('ANALYSE - ERP =&gt; SOUS-SEGMENT'!$C$8:$C$154=$C14)*'ANALYSE - ERP =&gt; SOUS-SEGMENT'!$Q$8:$Q$154*'ANALYSE - ERP =&gt; SOUS-SEGMENT'!$AF$8:$AF$154*'ANALYSE - ERP =&gt; SOUS-SEGMENT'!$BA$8:$BA$154)/SUMPRODUCT(('ANALYSE - ERP =&gt; SOUS-SEGMENT'!$C$8:$C$154=$C14)*'ANALYSE - ERP =&gt; SOUS-SEGMENT'!$Q$8:$Q$154*'ANALYSE - ERP =&gt; SOUS-SEGMENT'!$AF$8:$AF$154),"")</f>
        <v>14.515482302080519</v>
      </c>
      <c r="BA14" s="282">
        <f>IFERROR(SUMPRODUCT(('ANALYSE - ERP =&gt; SOUS-SEGMENT'!$C$8:$C$154=$C14)*'ANALYSE - ERP =&gt; SOUS-SEGMENT'!$Q$8:$Q$154*'ANALYSE - ERP =&gt; SOUS-SEGMENT'!$AF$8:$AF$154*'ANALYSE - ERP =&gt; SOUS-SEGMENT'!$BB$8:$BB$154)/SUMPRODUCT(('ANALYSE - ERP =&gt; SOUS-SEGMENT'!$C$8:$C$154=$C14)*'ANALYSE - ERP =&gt; SOUS-SEGMENT'!$Q$8:$Q$154*'ANALYSE - ERP =&gt; SOUS-SEGMENT'!$AF$8:$AF$154),"")</f>
        <v>1.1323155903809781</v>
      </c>
      <c r="BB14" s="282">
        <f>IFERROR(SUMPRODUCT(('ANALYSE - ERP =&gt; SOUS-SEGMENT'!$C$8:$C$154=$C14)*'ANALYSE - ERP =&gt; SOUS-SEGMENT'!$Q$8:$Q$154*'ANALYSE - ERP =&gt; SOUS-SEGMENT'!$AF$8:$AF$154*'ANALYSE - ERP =&gt; SOUS-SEGMENT'!$BC$8:$BC$154)/SUMPRODUCT(('ANALYSE - ERP =&gt; SOUS-SEGMENT'!$C$8:$C$154=$C14)*'ANALYSE - ERP =&gt; SOUS-SEGMENT'!$Q$8:$Q$154*'ANALYSE - ERP =&gt; SOUS-SEGMENT'!$AF$8:$AF$154),"")</f>
        <v>34.900621453661174</v>
      </c>
      <c r="BC14" s="283">
        <f>SUMPRODUCT(('ANALYSE - ERP =&gt; SOUS-SEGMENT'!$C$8:$C$154=$C14)*'ANALYSE - ERP =&gt; SOUS-SEGMENT'!$Q$8:$Q$154*'ANALYSE - ERP =&gt; SOUS-SEGMENT'!$BE$8:$BE$154)</f>
        <v>674921</v>
      </c>
      <c r="BD14" s="283">
        <f>SUMPRODUCT(('ANALYSE - ERP =&gt; SOUS-SEGMENT'!$C$8:$C$154=$C14)*'ANALYSE - ERP =&gt; SOUS-SEGMENT'!$Q$8:$Q$154*'ANALYSE - ERP =&gt; SOUS-SEGMENT'!$BF$8:$BF$154)</f>
        <v>268609</v>
      </c>
      <c r="BE14" s="283">
        <f>SUMPRODUCT(('ANALYSE - ERP =&gt; SOUS-SEGMENT'!$C$8:$C$154=$C14)*'ANALYSE - ERP =&gt; SOUS-SEGMENT'!$Q$8:$Q$154*'ANALYSE - ERP =&gt; SOUS-SEGMENT'!$BG$8:$BG$154)</f>
        <v>20953.5</v>
      </c>
      <c r="BF14" s="283">
        <f>SUMPRODUCT(('ANALYSE - ERP =&gt; SOUS-SEGMENT'!$C$8:$C$154=$C14)*'ANALYSE - ERP =&gt; SOUS-SEGMENT'!$Q$8:$Q$154*'ANALYSE - ERP =&gt; SOUS-SEGMENT'!$BH$8:$BH$154)</f>
        <v>645836</v>
      </c>
      <c r="BG14" s="283">
        <f>SUMPRODUCT(('ANALYSE - ERP =&gt; SOUS-SEGMENT'!$C$8:$C$154=$C14)*'ANALYSE - ERP =&gt; SOUS-SEGMENT'!$Q$8:$Q$154*'ANALYSE - ERP =&gt; SOUS-SEGMENT'!$BJ$8:$BJ$154)</f>
        <v>674466</v>
      </c>
      <c r="BH14" s="283">
        <f>SUMPRODUCT(('ANALYSE - ERP =&gt; SOUS-SEGMENT'!$C$8:$C$154=$C14)*'ANALYSE - ERP =&gt; SOUS-SEGMENT'!$Q$8:$Q$154*'ANALYSE - ERP =&gt; SOUS-SEGMENT'!$BK$8:$BK$154)</f>
        <v>268604</v>
      </c>
      <c r="BI14" s="283">
        <f>SUMPRODUCT(('ANALYSE - ERP =&gt; SOUS-SEGMENT'!$C$8:$C$154=$C14)*'ANALYSE - ERP =&gt; SOUS-SEGMENT'!$Q$8:$Q$154*'ANALYSE - ERP =&gt; SOUS-SEGMENT'!$BL$8:$BL$154)</f>
        <v>21463.5</v>
      </c>
      <c r="BJ14" s="283">
        <f>SUMPRODUCT(('ANALYSE - ERP =&gt; SOUS-SEGMENT'!$C$8:$C$154=$C14)*'ANALYSE - ERP =&gt; SOUS-SEGMENT'!$Q$8:$Q$154*'ANALYSE - ERP =&gt; SOUS-SEGMENT'!$BM$8:$BM$154)</f>
        <v>645006</v>
      </c>
      <c r="BK14" s="657"/>
      <c r="BL14" s="580">
        <f>IFERROR(SUMPRODUCT(('ANALYSE - ERP =&gt; SOUS-SEGMENT'!$C$8:$C$154=$C14)*'ANALYSE - ERP =&gt; SOUS-SEGMENT'!$Q$8:$Q$154*'ANALYSE - ERP =&gt; SOUS-SEGMENT'!$BE$8:$BE$154*'ANALYSE - ERP =&gt; SOUS-SEGMENT'!$BO$8:$BO$154)/SUMPRODUCT(('ANALYSE - ERP =&gt; SOUS-SEGMENT'!$C$8:$C$154=$C14)*'ANALYSE - ERP =&gt; SOUS-SEGMENT'!$Q$8:$Q$154*'ANALYSE - ERP =&gt; SOUS-SEGMENT'!$BE$8:$BE$154),"")</f>
        <v>0.58920697385323617</v>
      </c>
      <c r="BM14" s="305">
        <f>IFERROR(SUMPRODUCT(('ANALYSE - ERP =&gt; SOUS-SEGMENT'!$C$8:$C$154=$C14)*'ANALYSE - ERP =&gt; SOUS-SEGMENT'!$Q$8:$Q$154*'ANALYSE - ERP =&gt; SOUS-SEGMENT'!$BE$8:$BE$154*'ANALYSE - ERP =&gt; SOUS-SEGMENT'!$BP$8:$BP$154)/SUMPRODUCT(('ANALYSE - ERP =&gt; SOUS-SEGMENT'!$C$8:$C$154=$C14)*'ANALYSE - ERP =&gt; SOUS-SEGMENT'!$Q$8:$Q$154*'ANALYSE - ERP =&gt; SOUS-SEGMENT'!$BE$8:$BE$154),"")</f>
        <v>0.16175894660263943</v>
      </c>
      <c r="BN14" s="305">
        <f>IFERROR(SUMPRODUCT(('ANALYSE - ERP =&gt; SOUS-SEGMENT'!$C$8:$C$154=$C14)*'ANALYSE - ERP =&gt; SOUS-SEGMENT'!$Q$8:$Q$154*'ANALYSE - ERP =&gt; SOUS-SEGMENT'!$BE$8:$BE$154*'ANALYSE - ERP =&gt; SOUS-SEGMENT'!$BQ$8:$BQ$154)/SUMPRODUCT(('ANALYSE - ERP =&gt; SOUS-SEGMENT'!$C$8:$C$154=$C14)*'ANALYSE - ERP =&gt; SOUS-SEGMENT'!$Q$8:$Q$154*'ANALYSE - ERP =&gt; SOUS-SEGMENT'!$BE$8:$BE$154),"")</f>
        <v>9.9623007729793572E-2</v>
      </c>
      <c r="BO14" s="581">
        <f>IFERROR(SUMPRODUCT(('ANALYSE - ERP =&gt; SOUS-SEGMENT'!$C$8:$C$154=$C14)*'ANALYSE - ERP =&gt; SOUS-SEGMENT'!$Q$8:$Q$154*'ANALYSE - ERP =&gt; SOUS-SEGMENT'!$BE$8:$BE$154*'ANALYSE - ERP =&gt; SOUS-SEGMENT'!$BR$8:$BR$154)/SUMPRODUCT(('ANALYSE - ERP =&gt; SOUS-SEGMENT'!$C$8:$C$154=$C14)*'ANALYSE - ERP =&gt; SOUS-SEGMENT'!$Q$8:$Q$154*'ANALYSE - ERP =&gt; SOUS-SEGMENT'!$BE$8:$BE$154),"")</f>
        <v>0.14941107181433083</v>
      </c>
      <c r="BP14" s="580">
        <f>IFERROR(SUMPRODUCT(('ANALYSE - ERP =&gt; SOUS-SEGMENT'!$C$8:$C$154=$C14)*'ANALYSE - ERP =&gt; SOUS-SEGMENT'!$Q$8:$Q$154*'ANALYSE - ERP =&gt; SOUS-SEGMENT'!$BJ$8:$BJ$154*'ANALYSE - ERP =&gt; SOUS-SEGMENT'!$BS$8:$BS$154)/SUMPRODUCT(('ANALYSE - ERP =&gt; SOUS-SEGMENT'!$C$8:$C$154=$C14)*'ANALYSE - ERP =&gt; SOUS-SEGMENT'!$Q$8:$Q$154*'ANALYSE - ERP =&gt; SOUS-SEGMENT'!$BJ$8:$BJ$154),"")</f>
        <v>0.56729560867412143</v>
      </c>
      <c r="BQ14" s="305">
        <f>IFERROR(SUMPRODUCT(('ANALYSE - ERP =&gt; SOUS-SEGMENT'!$C$8:$C$154=$C14)*'ANALYSE - ERP =&gt; SOUS-SEGMENT'!$Q$8:$Q$154*'ANALYSE - ERP =&gt; SOUS-SEGMENT'!$BJ$8:$BJ$154*'ANALYSE - ERP =&gt; SOUS-SEGMENT'!$BT$8:$BT$154)/SUMPRODUCT(('ANALYSE - ERP =&gt; SOUS-SEGMENT'!$C$8:$C$154=$C14)*'ANALYSE - ERP =&gt; SOUS-SEGMENT'!$Q$8:$Q$154*'ANALYSE - ERP =&gt; SOUS-SEGMENT'!$BJ$8:$BJ$154),"")</f>
        <v>0.16206447767567234</v>
      </c>
      <c r="BR14" s="305">
        <f>IFERROR(SUMPRODUCT(('ANALYSE - ERP =&gt; SOUS-SEGMENT'!$C$8:$C$154=$C14)*'ANALYSE - ERP =&gt; SOUS-SEGMENT'!$Q$8:$Q$154*'ANALYSE - ERP =&gt; SOUS-SEGMENT'!$BJ$8:$BJ$154*'ANALYSE - ERP =&gt; SOUS-SEGMENT'!$BU$8:$BU$154)/SUMPRODUCT(('ANALYSE - ERP =&gt; SOUS-SEGMENT'!$C$8:$C$154=$C14)*'ANALYSE - ERP =&gt; SOUS-SEGMENT'!$Q$8:$Q$154*'ANALYSE - ERP =&gt; SOUS-SEGMENT'!$BJ$8:$BJ$154),"")</f>
        <v>0.12137056575127582</v>
      </c>
      <c r="BS14" s="581">
        <f>IFERROR(SUMPRODUCT(('ANALYSE - ERP =&gt; SOUS-SEGMENT'!$C$8:$C$154=$C14)*'ANALYSE - ERP =&gt; SOUS-SEGMENT'!$Q$8:$Q$154*'ANALYSE - ERP =&gt; SOUS-SEGMENT'!$BJ$8:$BJ$154*'ANALYSE - ERP =&gt; SOUS-SEGMENT'!$BV$8:$BV$154)/SUMPRODUCT(('ANALYSE - ERP =&gt; SOUS-SEGMENT'!$C$8:$C$154=$C14)*'ANALYSE - ERP =&gt; SOUS-SEGMENT'!$Q$8:$Q$154*'ANALYSE - ERP =&gt; SOUS-SEGMENT'!$BJ$8:$BJ$154),"")</f>
        <v>0.1492693478989304</v>
      </c>
      <c r="BT14" s="589">
        <f>IFERROR(SUMPRODUCT(('ANALYSE - ERP =&gt; SOUS-SEGMENT'!$C$8:$C$154=$C14)*'ANALYSE - ERP =&gt; SOUS-SEGMENT'!$Q$8:$Q$154*'ANALYSE - ERP =&gt; SOUS-SEGMENT'!$BF$8:$BF$154*'ANALYSE - ERP =&gt; SOUS-SEGMENT'!$BW$8:$BW$154)/SUMPRODUCT(('ANALYSE - ERP =&gt; SOUS-SEGMENT'!$C$8:$C$154=$C14)*'ANALYSE - ERP =&gt; SOUS-SEGMENT'!$Q$8:$Q$154*'ANALYSE - ERP =&gt; SOUS-SEGMENT'!$BF$8:$BF$154),"")</f>
        <v>0.82820731993343488</v>
      </c>
      <c r="BU14" s="306">
        <f>IFERROR(SUMPRODUCT(('ANALYSE - ERP =&gt; SOUS-SEGMENT'!$C$8:$C$154=$C14)*'ANALYSE - ERP =&gt; SOUS-SEGMENT'!$Q$8:$Q$154*'ANALYSE - ERP =&gt; SOUS-SEGMENT'!$BF$8:$BF$154*'ANALYSE - ERP =&gt; SOUS-SEGMENT'!$BX$8:$BX$154)/SUMPRODUCT(('ANALYSE - ERP =&gt; SOUS-SEGMENT'!$C$8:$C$154=$C14)*'ANALYSE - ERP =&gt; SOUS-SEGMENT'!$Q$8:$Q$154*'ANALYSE - ERP =&gt; SOUS-SEGMENT'!$BF$8:$BF$154),"")</f>
        <v>0.13812191698714488</v>
      </c>
      <c r="BV14" s="590">
        <f>IFERROR(SUMPRODUCT(('ANALYSE - ERP =&gt; SOUS-SEGMENT'!$C$8:$C$154=$C14)*'ANALYSE - ERP =&gt; SOUS-SEGMENT'!$Q$8:$Q$154*'ANALYSE - ERP =&gt; SOUS-SEGMENT'!$BF$8:$BF$154*'ANALYSE - ERP =&gt; SOUS-SEGMENT'!$BY$8:$BY$154)/SUMPRODUCT(('ANALYSE - ERP =&gt; SOUS-SEGMENT'!$C$8:$C$154=$C14)*'ANALYSE - ERP =&gt; SOUS-SEGMENT'!$Q$8:$Q$154*'ANALYSE - ERP =&gt; SOUS-SEGMENT'!$BF$8:$BF$154),"")</f>
        <v>3.3670763079420275E-2</v>
      </c>
      <c r="BW14" s="589">
        <f>IFERROR(SUMPRODUCT(('ANALYSE - ERP =&gt; SOUS-SEGMENT'!$C$8:$C$154=$C14)*'ANALYSE - ERP =&gt; SOUS-SEGMENT'!$Q$8:$Q$154*'ANALYSE - ERP =&gt; SOUS-SEGMENT'!$BK$8:$BK$154*'ANALYSE - ERP =&gt; SOUS-SEGMENT'!$BZ$8:$BZ$154)/SUMPRODUCT(('ANALYSE - ERP =&gt; SOUS-SEGMENT'!$C$8:$C$154=$C14)*'ANALYSE - ERP =&gt; SOUS-SEGMENT'!$Q$8:$Q$154*'ANALYSE - ERP =&gt; SOUS-SEGMENT'!$BK$8:$BK$154),"")</f>
        <v>0.79534779824574453</v>
      </c>
      <c r="BX14" s="306">
        <f>IFERROR(SUMPRODUCT(('ANALYSE - ERP =&gt; SOUS-SEGMENT'!$C$8:$C$154=$C14)*'ANALYSE - ERP =&gt; SOUS-SEGMENT'!$Q$8:$Q$154*'ANALYSE - ERP =&gt; SOUS-SEGMENT'!$BK$8:$BK$154*'ANALYSE - ERP =&gt; SOUS-SEGMENT'!$CA$8:$CA$154)/SUMPRODUCT(('ANALYSE - ERP =&gt; SOUS-SEGMENT'!$C$8:$C$154=$C14)*'ANALYSE - ERP =&gt; SOUS-SEGMENT'!$Q$8:$Q$154*'ANALYSE - ERP =&gt; SOUS-SEGMENT'!$BK$8:$BK$154),"")</f>
        <v>0.16090318833673362</v>
      </c>
      <c r="BY14" s="590">
        <f>IFERROR(SUMPRODUCT(('ANALYSE - ERP =&gt; SOUS-SEGMENT'!$C$8:$C$154=$C14)*'ANALYSE - ERP =&gt; SOUS-SEGMENT'!$Q$8:$Q$154*'ANALYSE - ERP =&gt; SOUS-SEGMENT'!$BK$8:$BK$154*'ANALYSE - ERP =&gt; SOUS-SEGMENT'!$CB$8:$CB$154)/SUMPRODUCT(('ANALYSE - ERP =&gt; SOUS-SEGMENT'!$C$8:$C$154=$C14)*'ANALYSE - ERP =&gt; SOUS-SEGMENT'!$Q$8:$Q$154*'ANALYSE - ERP =&gt; SOUS-SEGMENT'!$BK$8:$BK$154),"")</f>
        <v>4.3749013417521708E-2</v>
      </c>
      <c r="BZ14" s="580">
        <f>IFERROR(SUMPRODUCT(('ANALYSE - ERP =&gt; SOUS-SEGMENT'!$C$8:$C$154=$C14)*'ANALYSE - ERP =&gt; SOUS-SEGMENT'!$Q$8:$Q$154*'ANALYSE - ERP =&gt; SOUS-SEGMENT'!$BG$8:$BG$154*'ANALYSE - ERP =&gt; SOUS-SEGMENT'!$CC$8:$CC$154)/SUMPRODUCT(('ANALYSE - ERP =&gt; SOUS-SEGMENT'!$C$8:$C$154=$C14)*'ANALYSE - ERP =&gt; SOUS-SEGMENT'!$Q$8:$Q$154*'ANALYSE - ERP =&gt; SOUS-SEGMENT'!$BG$8:$BG$154),"")</f>
        <v>0.24698403607989119</v>
      </c>
      <c r="CA14" s="305">
        <f>IFERROR(SUMPRODUCT(('ANALYSE - ERP =&gt; SOUS-SEGMENT'!$C$8:$C$154=$C14)*'ANALYSE - ERP =&gt; SOUS-SEGMENT'!$Q$8:$Q$154*'ANALYSE - ERP =&gt; SOUS-SEGMENT'!$BG$8:$BG$154*'ANALYSE - ERP =&gt; SOUS-SEGMENT'!$CD$8:$CD$154)/SUMPRODUCT(('ANALYSE - ERP =&gt; SOUS-SEGMENT'!$C$8:$C$154=$C14)*'ANALYSE - ERP =&gt; SOUS-SEGMENT'!$Q$8:$Q$154*'ANALYSE - ERP =&gt; SOUS-SEGMENT'!$BG$8:$BG$154),"")</f>
        <v>0.40029493879304184</v>
      </c>
      <c r="CB14" s="305">
        <f>IFERROR(SUMPRODUCT(('ANALYSE - ERP =&gt; SOUS-SEGMENT'!$C$8:$C$154=$C14)*'ANALYSE - ERP =&gt; SOUS-SEGMENT'!$Q$8:$Q$154*'ANALYSE - ERP =&gt; SOUS-SEGMENT'!$BG$8:$BG$154*'ANALYSE - ERP =&gt; SOUS-SEGMENT'!$CE$8:$CE$154)/SUMPRODUCT(('ANALYSE - ERP =&gt; SOUS-SEGMENT'!$C$8:$C$154=$C14)*'ANALYSE - ERP =&gt; SOUS-SEGMENT'!$Q$8:$Q$154*'ANALYSE - ERP =&gt; SOUS-SEGMENT'!$BG$8:$BG$154),"")</f>
        <v>0.20249982103228578</v>
      </c>
      <c r="CC14" s="581">
        <f>IFERROR(SUMPRODUCT(('ANALYSE - ERP =&gt; SOUS-SEGMENT'!$C$8:$C$154=$C14)*'ANALYSE - ERP =&gt; SOUS-SEGMENT'!$Q$8:$Q$154*'ANALYSE - ERP =&gt; SOUS-SEGMENT'!$BG$8:$BG$154*'ANALYSE - ERP =&gt; SOUS-SEGMENT'!$CF$8:$CF$154)/SUMPRODUCT(('ANALYSE - ERP =&gt; SOUS-SEGMENT'!$C$8:$C$154=$C14)*'ANALYSE - ERP =&gt; SOUS-SEGMENT'!$Q$8:$Q$154*'ANALYSE - ERP =&gt; SOUS-SEGMENT'!$BG$8:$BG$154),"")</f>
        <v>0.15022120409478126</v>
      </c>
      <c r="CD14" s="580">
        <f>IFERROR(SUMPRODUCT(('ANALYSE - ERP =&gt; SOUS-SEGMENT'!$C$8:$C$154=$C14)*'ANALYSE - ERP =&gt; SOUS-SEGMENT'!$Q$8:$Q$154*'ANALYSE - ERP =&gt; SOUS-SEGMENT'!$BL$8:$BL$154*'ANALYSE - ERP =&gt; SOUS-SEGMENT'!$CG$8:$CG$154)/SUMPRODUCT(('ANALYSE - ERP =&gt; SOUS-SEGMENT'!$C$8:$C$154=$C14)*'ANALYSE - ERP =&gt; SOUS-SEGMENT'!$Q$8:$Q$154*'ANALYSE - ERP =&gt; SOUS-SEGMENT'!$BL$8:$BL$154),"")</f>
        <v>0.21676753558366529</v>
      </c>
      <c r="CE14" s="305">
        <f>IFERROR(SUMPRODUCT(('ANALYSE - ERP =&gt; SOUS-SEGMENT'!$C$8:$C$154=$C14)*'ANALYSE - ERP =&gt; SOUS-SEGMENT'!$Q$8:$Q$154*'ANALYSE - ERP =&gt; SOUS-SEGMENT'!$BL$8:$BL$154*'ANALYSE - ERP =&gt; SOUS-SEGMENT'!$CH$8:$CH$154)/SUMPRODUCT(('ANALYSE - ERP =&gt; SOUS-SEGMENT'!$C$8:$C$154=$C14)*'ANALYSE - ERP =&gt; SOUS-SEGMENT'!$Q$8:$Q$154*'ANALYSE - ERP =&gt; SOUS-SEGMENT'!$BL$8:$BL$154),"")</f>
        <v>0.40028793067300311</v>
      </c>
      <c r="CF14" s="305">
        <f>IFERROR(SUMPRODUCT(('ANALYSE - ERP =&gt; SOUS-SEGMENT'!$C$8:$C$154=$C14)*'ANALYSE - ERP =&gt; SOUS-SEGMENT'!$Q$8:$Q$154*'ANALYSE - ERP =&gt; SOUS-SEGMENT'!$BL$8:$BL$154*'ANALYSE - ERP =&gt; SOUS-SEGMENT'!$CI$8:$CI$154)/SUMPRODUCT(('ANALYSE - ERP =&gt; SOUS-SEGMENT'!$C$8:$C$154=$C14)*'ANALYSE - ERP =&gt; SOUS-SEGMENT'!$Q$8:$Q$154*'ANALYSE - ERP =&gt; SOUS-SEGMENT'!$BL$8:$BL$154),"")</f>
        <v>0.23348871339716262</v>
      </c>
      <c r="CG14" s="581">
        <f>IFERROR(SUMPRODUCT(('ANALYSE - ERP =&gt; SOUS-SEGMENT'!$C$8:$C$154=$C14)*'ANALYSE - ERP =&gt; SOUS-SEGMENT'!$Q$8:$Q$154*'ANALYSE - ERP =&gt; SOUS-SEGMENT'!$BL$8:$BL$154*'ANALYSE - ERP =&gt; SOUS-SEGMENT'!$CJ$8:$CJ$154)/SUMPRODUCT(('ANALYSE - ERP =&gt; SOUS-SEGMENT'!$C$8:$C$154=$C14)*'ANALYSE - ERP =&gt; SOUS-SEGMENT'!$Q$8:$Q$154*'ANALYSE - ERP =&gt; SOUS-SEGMENT'!$BL$8:$BL$154),"")</f>
        <v>0.14945582034616905</v>
      </c>
      <c r="CH14" s="589">
        <f>IFERROR(SUMPRODUCT(('ANALYSE - ERP =&gt; SOUS-SEGMENT'!$C$8:$C$154=$C14)*'ANALYSE - ERP =&gt; SOUS-SEGMENT'!$Q$8:$Q$154*'ANALYSE - ERP =&gt; SOUS-SEGMENT'!$BH$8:$BH$154*'ANALYSE - ERP =&gt; SOUS-SEGMENT'!$CK$8:$CK$154)/SUMPRODUCT(('ANALYSE - ERP =&gt; SOUS-SEGMENT'!$C$8:$C$154=$C14)*'ANALYSE - ERP =&gt; SOUS-SEGMENT'!$Q$8:$Q$154*'ANALYSE - ERP =&gt; SOUS-SEGMENT'!$BH$8:$BH$154),"")</f>
        <v>0.82116884162542814</v>
      </c>
      <c r="CI14" s="306">
        <f>IFERROR(SUMPRODUCT(('ANALYSE - ERP =&gt; SOUS-SEGMENT'!$C$8:$C$154=$C14)*'ANALYSE - ERP =&gt; SOUS-SEGMENT'!$Q$8:$Q$154*'ANALYSE - ERP =&gt; SOUS-SEGMENT'!$BH$8:$BH$154*'ANALYSE - ERP =&gt; SOUS-SEGMENT'!$CL$8:$CL$154)/SUMPRODUCT(('ANALYSE - ERP =&gt; SOUS-SEGMENT'!$C$8:$C$154=$C14)*'ANALYSE - ERP =&gt; SOUS-SEGMENT'!$Q$8:$Q$154*'ANALYSE - ERP =&gt; SOUS-SEGMENT'!$BH$8:$BH$154),"")</f>
        <v>0.12968617419902267</v>
      </c>
      <c r="CJ14" s="590">
        <f>IFERROR(SUMPRODUCT(('ANALYSE - ERP =&gt; SOUS-SEGMENT'!$C$8:$C$154=$C14)*'ANALYSE - ERP =&gt; SOUS-SEGMENT'!$Q$8:$Q$154*'ANALYSE - ERP =&gt; SOUS-SEGMENT'!$BH$8:$BH$154*'ANALYSE - ERP =&gt; SOUS-SEGMENT'!$CM$8:$CM$154)/SUMPRODUCT(('ANALYSE - ERP =&gt; SOUS-SEGMENT'!$C$8:$C$154=$C14)*'ANALYSE - ERP =&gt; SOUS-SEGMENT'!$Q$8:$Q$154*'ANALYSE - ERP =&gt; SOUS-SEGMENT'!$BH$8:$BH$154),"")</f>
        <v>4.9144984175549217E-2</v>
      </c>
      <c r="CK14" s="589">
        <f>IFERROR(SUMPRODUCT(('ANALYSE - ERP =&gt; SOUS-SEGMENT'!$C$8:$C$154=$C14)*'ANALYSE - ERP =&gt; SOUS-SEGMENT'!$Q$8:$Q$154*'ANALYSE - ERP =&gt; SOUS-SEGMENT'!$BM$8:$BM$154*'ANALYSE - ERP =&gt; SOUS-SEGMENT'!$CN$8:$CN$154)/SUMPRODUCT(('ANALYSE - ERP =&gt; SOUS-SEGMENT'!$C$8:$C$154=$C14)*'ANALYSE - ERP =&gt; SOUS-SEGMENT'!$Q$8:$Q$154*'ANALYSE - ERP =&gt; SOUS-SEGMENT'!$BM$8:$BM$154),"")</f>
        <v>0.7900164959705801</v>
      </c>
      <c r="CL14" s="306">
        <f>IFERROR(SUMPRODUCT(('ANALYSE - ERP =&gt; SOUS-SEGMENT'!$C$8:$C$154=$C14)*'ANALYSE - ERP =&gt; SOUS-SEGMENT'!$Q$8:$Q$154*'ANALYSE - ERP =&gt; SOUS-SEGMENT'!$BM$8:$BM$154*'ANALYSE - ERP =&gt; SOUS-SEGMENT'!$CO$8:$CO$154)/SUMPRODUCT(('ANALYSE - ERP =&gt; SOUS-SEGMENT'!$C$8:$C$154=$C14)*'ANALYSE - ERP =&gt; SOUS-SEGMENT'!$Q$8:$Q$154*'ANALYSE - ERP =&gt; SOUS-SEGMENT'!$BM$8:$BM$154),"")</f>
        <v>0.14564904822590796</v>
      </c>
      <c r="CM14" s="590">
        <f>IFERROR(SUMPRODUCT(('ANALYSE - ERP =&gt; SOUS-SEGMENT'!$C$8:$C$154=$C14)*'ANALYSE - ERP =&gt; SOUS-SEGMENT'!$Q$8:$Q$154*'ANALYSE - ERP =&gt; SOUS-SEGMENT'!$BM$8:$BM$154*'ANALYSE - ERP =&gt; SOUS-SEGMENT'!$CP$8:$CP$154)/SUMPRODUCT(('ANALYSE - ERP =&gt; SOUS-SEGMENT'!$C$8:$C$154=$C14)*'ANALYSE - ERP =&gt; SOUS-SEGMENT'!$Q$8:$Q$154*'ANALYSE - ERP =&gt; SOUS-SEGMENT'!$BM$8:$BM$154),"")</f>
        <v>6.4334455803511909E-2</v>
      </c>
      <c r="CN14" s="657"/>
      <c r="CO14" s="889">
        <f>IFERROR(SUMPRODUCT(('ANALYSE - ERP =&gt; SOUS-SEGMENT'!$C$8:$C$154=$C14)*'ANALYSE - ERP =&gt; SOUS-SEGMENT'!$DH$8:$DH$154*('ANALYSE - ERP =&gt; SOUS-SEGMENT'!$CR$8:$CR$154&gt;0)*'ANALYSE - ERP =&gt; SOUS-SEGMENT'!$CR$8:$CR$154)/SUMPRODUCT(('ANALYSE - ERP =&gt; SOUS-SEGMENT'!$C$8:$C$154=$C14)*'ANALYSE - ERP =&gt; SOUS-SEGMENT'!$DH$8:$DH$154*('ANALYSE - ERP =&gt; SOUS-SEGMENT'!$CR$8:$CR$154&gt;0)),"")</f>
        <v>13.886052934185122</v>
      </c>
      <c r="CP14" s="890">
        <f>IFERROR(SUMPRODUCT(('ANALYSE - ERP =&gt; SOUS-SEGMENT'!$C$8:$C$154=$C14)*'ANALYSE - ERP =&gt; SOUS-SEGMENT'!$DI$8:$DI$154*('ANALYSE - ERP =&gt; SOUS-SEGMENT'!$CS$8:$CS$154&gt;0)*'ANALYSE - ERP =&gt; SOUS-SEGMENT'!$CS$8:$CS$154)/SUMPRODUCT(('ANALYSE - ERP =&gt; SOUS-SEGMENT'!$C$8:$C$154=$C14)*'ANALYSE - ERP =&gt; SOUS-SEGMENT'!$DI$8:$DI$154*('ANALYSE - ERP =&gt; SOUS-SEGMENT'!$CS$8:$CS$154&gt;0)),"")</f>
        <v>12.896953968467548</v>
      </c>
      <c r="CQ14" s="890">
        <f>IFERROR(SUMPRODUCT(('ANALYSE - ERP =&gt; SOUS-SEGMENT'!$C$8:$C$154=$C14)*'ANALYSE - ERP =&gt; SOUS-SEGMENT'!$DJ$8:$DJ$154*('ANALYSE - ERP =&gt; SOUS-SEGMENT'!$CT$8:$CT$154&gt;0)*'ANALYSE - ERP =&gt; SOUS-SEGMENT'!$CT$8:$CT$154)/SUMPRODUCT(('ANALYSE - ERP =&gt; SOUS-SEGMENT'!$C$8:$C$154=$C14)*'ANALYSE - ERP =&gt; SOUS-SEGMENT'!$DJ$8:$DJ$154*('ANALYSE - ERP =&gt; SOUS-SEGMENT'!$CT$8:$CT$154&gt;0)),"")</f>
        <v>9.9323379189579164</v>
      </c>
      <c r="CR14" s="891">
        <f>IFERROR(SUMPRODUCT(('ANALYSE - ERP =&gt; SOUS-SEGMENT'!$C$8:$C$154=$C14)*'ANALYSE - ERP =&gt; SOUS-SEGMENT'!$DK$8:$DK$154*('ANALYSE - ERP =&gt; SOUS-SEGMENT'!$CU$8:$CU$154&gt;0)*'ANALYSE - ERP =&gt; SOUS-SEGMENT'!$CU$8:$CU$154)/SUMPRODUCT(('ANALYSE - ERP =&gt; SOUS-SEGMENT'!$C$8:$C$154=$C14)*'ANALYSE - ERP =&gt; SOUS-SEGMENT'!$DK$8:$DK$154*('ANALYSE - ERP =&gt; SOUS-SEGMENT'!$CU$8:$CU$154&gt;0)),"")</f>
        <v>11.865798590985168</v>
      </c>
      <c r="CS14" s="889">
        <f>IFERROR(SUMPRODUCT(('ANALYSE - ERP =&gt; SOUS-SEGMENT'!$C$8:$C$154=$C14)*'ANALYSE - ERP =&gt; SOUS-SEGMENT'!$DS$8:$DS$154*('ANALYSE - ERP =&gt; SOUS-SEGMENT'!$CV$8:$CV$154&gt;0)*'ANALYSE - ERP =&gt; SOUS-SEGMENT'!$CV$8:$CV$154)/SUMPRODUCT(('ANALYSE - ERP =&gt; SOUS-SEGMENT'!$C$8:$C$154=$C14)*'ANALYSE - ERP =&gt; SOUS-SEGMENT'!$DS$8:$DS$154*('ANALYSE - ERP =&gt; SOUS-SEGMENT'!$CV$8:$CV$154&gt;0)),"")</f>
        <v>12.96066778283258</v>
      </c>
      <c r="CT14" s="890">
        <f>IFERROR(SUMPRODUCT(('ANALYSE - ERP =&gt; SOUS-SEGMENT'!$C$8:$C$154=$C14)*'ANALYSE - ERP =&gt; SOUS-SEGMENT'!$DT$8:$DT$154*('ANALYSE - ERP =&gt; SOUS-SEGMENT'!$CW$8:$CW$154&gt;0)*'ANALYSE - ERP =&gt; SOUS-SEGMENT'!$CW$8:$CW$154)/SUMPRODUCT(('ANALYSE - ERP =&gt; SOUS-SEGMENT'!$C$8:$C$154=$C14)*'ANALYSE - ERP =&gt; SOUS-SEGMENT'!$DT$8:$DT$154*('ANALYSE - ERP =&gt; SOUS-SEGMENT'!$CW$8:$CW$154&gt;0)),"")</f>
        <v>11.915769987647163</v>
      </c>
      <c r="CU14" s="891">
        <f>IFERROR(SUMPRODUCT(('ANALYSE - ERP =&gt; SOUS-SEGMENT'!$C$8:$C$154=$C14)*'ANALYSE - ERP =&gt; SOUS-SEGMENT'!$DU$8:$DU$154*('ANALYSE - ERP =&gt; SOUS-SEGMENT'!$CX$8:$CX$154&gt;0)*'ANALYSE - ERP =&gt; SOUS-SEGMENT'!$CX$8:$CX$154)/SUMPRODUCT(('ANALYSE - ERP =&gt; SOUS-SEGMENT'!$C$8:$C$154=$C14)*'ANALYSE - ERP =&gt; SOUS-SEGMENT'!$DU$8:$DU$154*('ANALYSE - ERP =&gt; SOUS-SEGMENT'!$CX$8:$CX$154&gt;0)),"")</f>
        <v>8.9308954730453642</v>
      </c>
      <c r="CV14" s="889">
        <f>IFERROR(SUMPRODUCT(('ANALYSE - ERP =&gt; SOUS-SEGMENT'!$C$8:$C$154=$C14)*'ANALYSE - ERP =&gt; SOUS-SEGMENT'!$EB$8:$EB$154*('ANALYSE - ERP =&gt; SOUS-SEGMENT'!$CY$8:$CY$154&gt;0)*'ANALYSE - ERP =&gt; SOUS-SEGMENT'!$CY$8:$CY$154)/SUMPRODUCT(('ANALYSE - ERP =&gt; SOUS-SEGMENT'!$C$8:$C$154=$C14)*'ANALYSE - ERP =&gt; SOUS-SEGMENT'!$EB$8:$EB$154*('ANALYSE - ERP =&gt; SOUS-SEGMENT'!$CY$8:$CY$154&gt;0)),"")</f>
        <v>12.513342531081044</v>
      </c>
      <c r="CW14" s="890">
        <f>IFERROR(SUMPRODUCT(('ANALYSE - ERP =&gt; SOUS-SEGMENT'!$C$8:$C$154=$C14)*'ANALYSE - ERP =&gt; SOUS-SEGMENT'!$EC$8:$EC$154*('ANALYSE - ERP =&gt; SOUS-SEGMENT'!$CZ$8:$CZ$154&gt;0)*'ANALYSE - ERP =&gt; SOUS-SEGMENT'!$CZ$8:$CZ$154)/SUMPRODUCT(('ANALYSE - ERP =&gt; SOUS-SEGMENT'!$C$8:$C$154=$C14)*'ANALYSE - ERP =&gt; SOUS-SEGMENT'!$EC$8:$EC$154*('ANALYSE - ERP =&gt; SOUS-SEGMENT'!$CZ$8:$CZ$154&gt;0)),"")</f>
        <v>12.758359383755504</v>
      </c>
      <c r="CX14" s="890">
        <f>IFERROR(SUMPRODUCT(('ANALYSE - ERP =&gt; SOUS-SEGMENT'!$C$8:$C$154=$C14)*'ANALYSE - ERP =&gt; SOUS-SEGMENT'!$ED$8:$ED$154*('ANALYSE - ERP =&gt; SOUS-SEGMENT'!$DA$8:$DA$154&gt;0)*'ANALYSE - ERP =&gt; SOUS-SEGMENT'!$DA$8:$DA$154)/SUMPRODUCT(('ANALYSE - ERP =&gt; SOUS-SEGMENT'!$C$8:$C$154=$C14)*'ANALYSE - ERP =&gt; SOUS-SEGMENT'!$ED$8:$ED$154*('ANALYSE - ERP =&gt; SOUS-SEGMENT'!$DA$8:$DA$154&gt;0)),"")</f>
        <v>8.7628656541945951</v>
      </c>
      <c r="CY14" s="892">
        <f>IFERROR(SUMPRODUCT(('ANALYSE - ERP =&gt; SOUS-SEGMENT'!$C$8:$C$154=$C14)*'ANALYSE - ERP =&gt; SOUS-SEGMENT'!$EE$8:$EE$154*('ANALYSE - ERP =&gt; SOUS-SEGMENT'!$DB$8:$DB$154&gt;0)*'ANALYSE - ERP =&gt; SOUS-SEGMENT'!$DB$8:$DB$154)/SUMPRODUCT(('ANALYSE - ERP =&gt; SOUS-SEGMENT'!$C$8:$C$154=$C14)*'ANALYSE - ERP =&gt; SOUS-SEGMENT'!$EE$8:$EE$154*('ANALYSE - ERP =&gt; SOUS-SEGMENT'!$DB$8:$DB$154&gt;0)),"")</f>
        <v>10.757801033148434</v>
      </c>
      <c r="CZ14" s="893">
        <f>IFERROR(SUMPRODUCT(('ANALYSE - ERP =&gt; SOUS-SEGMENT'!$C$8:$C$154=$C14)*'ANALYSE - ERP =&gt; SOUS-SEGMENT'!$EM$8:$EM$154*('ANALYSE - ERP =&gt; SOUS-SEGMENT'!$DC$8:$DC$154&gt;0)*'ANALYSE - ERP =&gt; SOUS-SEGMENT'!$DC$8:$DC$154)/SUMPRODUCT(('ANALYSE - ERP =&gt; SOUS-SEGMENT'!$C$8:$C$154=$C14)*'ANALYSE - ERP =&gt; SOUS-SEGMENT'!$EM$8:$EM$154*('ANALYSE - ERP =&gt; SOUS-SEGMENT'!$DC$8:$DC$154&gt;0)),"")</f>
        <v>14.8704545231704</v>
      </c>
      <c r="DA14" s="890">
        <f>IFERROR(SUMPRODUCT(('ANALYSE - ERP =&gt; SOUS-SEGMENT'!$C$8:$C$154=$C14)*'ANALYSE - ERP =&gt; SOUS-SEGMENT'!$EN$8:$EN$154*('ANALYSE - ERP =&gt; SOUS-SEGMENT'!$DD$8:$DD$154&gt;0)*'ANALYSE - ERP =&gt; SOUS-SEGMENT'!$DD$8:$DD$154)/SUMPRODUCT(('ANALYSE - ERP =&gt; SOUS-SEGMENT'!$C$8:$C$154=$C14)*'ANALYSE - ERP =&gt; SOUS-SEGMENT'!$EN$8:$EN$154*('ANALYSE - ERP =&gt; SOUS-SEGMENT'!$DD$8:$DD$154&gt;0)),"")</f>
        <v>12.883590429342375</v>
      </c>
      <c r="DB14" s="892">
        <f>IFERROR(SUMPRODUCT(('ANALYSE - ERP =&gt; SOUS-SEGMENT'!$C$8:$C$154=$C14)*'ANALYSE - ERP =&gt; SOUS-SEGMENT'!$EO$8:$EO$154*('ANALYSE - ERP =&gt; SOUS-SEGMENT'!$DE$8:$DE$154&gt;0)*'ANALYSE - ERP =&gt; SOUS-SEGMENT'!$DE$8:$DE$154)/SUMPRODUCT(('ANALYSE - ERP =&gt; SOUS-SEGMENT'!$C$8:$C$154=$C14)*'ANALYSE - ERP =&gt; SOUS-SEGMENT'!$EO$8:$EO$154*('ANALYSE - ERP =&gt; SOUS-SEGMENT'!$DE$8:$DE$154&gt;0)),"")</f>
        <v>9.9987019370124379</v>
      </c>
      <c r="DC14" s="609" t="s">
        <v>6889</v>
      </c>
      <c r="DD14" s="657"/>
      <c r="DE14" s="308">
        <f t="shared" si="2"/>
        <v>397668.16000000003</v>
      </c>
      <c r="DF14" s="308">
        <f t="shared" si="3"/>
        <v>109174.51000000001</v>
      </c>
      <c r="DG14" s="308">
        <f t="shared" si="4"/>
        <v>67237.66</v>
      </c>
      <c r="DH14" s="308">
        <f t="shared" si="5"/>
        <v>100840.66999999998</v>
      </c>
      <c r="DI14" s="287" t="s">
        <v>6890</v>
      </c>
      <c r="DJ14" s="308">
        <f t="shared" si="6"/>
        <v>382621.6</v>
      </c>
      <c r="DK14" s="308">
        <f t="shared" si="7"/>
        <v>109306.98000000001</v>
      </c>
      <c r="DL14" s="308">
        <f t="shared" si="8"/>
        <v>81860.319999999992</v>
      </c>
      <c r="DM14" s="308">
        <f t="shared" si="9"/>
        <v>100677.09999999999</v>
      </c>
      <c r="DN14" s="287" t="s">
        <v>6891</v>
      </c>
      <c r="DO14" s="657"/>
      <c r="DP14" s="308">
        <f t="shared" si="10"/>
        <v>222463.94</v>
      </c>
      <c r="DQ14" s="308">
        <f t="shared" si="11"/>
        <v>37100.79</v>
      </c>
      <c r="DR14" s="308">
        <f t="shared" si="12"/>
        <v>9044.27</v>
      </c>
      <c r="DS14" s="287" t="s">
        <v>6892</v>
      </c>
      <c r="DT14" s="308">
        <f t="shared" si="13"/>
        <v>213633.59999999998</v>
      </c>
      <c r="DU14" s="308">
        <f t="shared" si="14"/>
        <v>43219.24</v>
      </c>
      <c r="DV14" s="308">
        <f t="shared" si="15"/>
        <v>11751.160000000002</v>
      </c>
      <c r="DW14" s="287" t="s">
        <v>6893</v>
      </c>
      <c r="DX14" s="657"/>
      <c r="DY14" s="308">
        <f t="shared" si="16"/>
        <v>5175.18</v>
      </c>
      <c r="DZ14" s="308">
        <f t="shared" si="17"/>
        <v>8387.5800000000017</v>
      </c>
      <c r="EA14" s="308">
        <f t="shared" si="18"/>
        <v>4243.08</v>
      </c>
      <c r="EB14" s="308">
        <f t="shared" si="19"/>
        <v>3147.6599999999994</v>
      </c>
      <c r="EC14" s="287" t="s">
        <v>6894</v>
      </c>
      <c r="ED14" s="308">
        <f t="shared" si="20"/>
        <v>4652.59</v>
      </c>
      <c r="EE14" s="308">
        <f t="shared" si="21"/>
        <v>8591.5800000000017</v>
      </c>
      <c r="EF14" s="308">
        <f t="shared" si="22"/>
        <v>5011.4849999999997</v>
      </c>
      <c r="EG14" s="308">
        <f t="shared" si="23"/>
        <v>3207.8449999999993</v>
      </c>
      <c r="EH14" s="614" t="s">
        <v>6895</v>
      </c>
      <c r="EI14" s="290"/>
      <c r="EJ14" s="308">
        <f t="shared" si="24"/>
        <v>530340.4</v>
      </c>
      <c r="EK14" s="310">
        <f t="shared" si="25"/>
        <v>83756.000000000015</v>
      </c>
      <c r="EL14" s="310">
        <f t="shared" si="26"/>
        <v>31739.600000000002</v>
      </c>
      <c r="EM14" s="287" t="s">
        <v>6896</v>
      </c>
      <c r="EN14" s="308">
        <f t="shared" si="27"/>
        <v>509565.38</v>
      </c>
      <c r="EO14" s="310">
        <f t="shared" si="28"/>
        <v>93944.51</v>
      </c>
      <c r="EP14" s="310">
        <f t="shared" si="29"/>
        <v>41496.11</v>
      </c>
      <c r="EQ14" s="289" t="s">
        <v>6897</v>
      </c>
      <c r="ER14" s="657"/>
      <c r="ES14" s="728">
        <f t="shared" si="30"/>
        <v>0.66679492223551229</v>
      </c>
      <c r="ET14" s="728">
        <f t="shared" si="31"/>
        <v>0.25085076825097202</v>
      </c>
      <c r="EU14" s="311">
        <f t="shared" si="32"/>
        <v>679969.29580447555</v>
      </c>
      <c r="EV14" s="311">
        <f t="shared" si="33"/>
        <v>550228.97086447559</v>
      </c>
      <c r="EW14" s="311">
        <f t="shared" si="34"/>
        <v>129740.32493999999</v>
      </c>
      <c r="EX14" s="311">
        <f t="shared" si="35"/>
        <v>292159.58099822607</v>
      </c>
      <c r="EY14" s="311">
        <f>SUMPRODUCT(('ANALYSE - ERP =&gt; SOUS-SEGMENT'!$C$8:$C$154=$C14)*'ANALYSE - ERP =&gt; SOUS-SEGMENT'!$Q$8:$Q$154*'ANALYSE - ERP =&gt; SOUS-SEGMENT'!$FB$8:$FB$154)</f>
        <v>237919.91640822607</v>
      </c>
      <c r="EZ14" s="311">
        <f>SUMPRODUCT(('ANALYSE - ERP =&gt; SOUS-SEGMENT'!$C$8:$C$154=$C14)*'ANALYSE - ERP =&gt; SOUS-SEGMENT'!$Q$8:$Q$154*'ANALYSE - ERP =&gt; SOUS-SEGMENT'!$FC$8:$FC$154)</f>
        <v>54239.66459</v>
      </c>
      <c r="FA14" s="311">
        <f t="shared" si="36"/>
        <v>118223.41828933654</v>
      </c>
      <c r="FB14" s="311">
        <f>SUMPRODUCT(('ANALYSE - ERP =&gt; SOUS-SEGMENT'!$C$8:$C$154=$C14)*'ANALYSE - ERP =&gt; SOUS-SEGMENT'!$Q$8:$Q$154*'ANALYSE - ERP =&gt; SOUS-SEGMENT'!$FE$8:$FE$154)</f>
        <v>96427.971079336538</v>
      </c>
      <c r="FC14" s="311">
        <f>SUMPRODUCT(('ANALYSE - ERP =&gt; SOUS-SEGMENT'!$C$8:$C$154=$C14)*'ANALYSE - ERP =&gt; SOUS-SEGMENT'!$Q$8:$Q$154*'ANALYSE - ERP =&gt; SOUS-SEGMENT'!$FF$8:$FF$154)</f>
        <v>21795.447209999998</v>
      </c>
      <c r="FD14" s="311">
        <f t="shared" si="37"/>
        <v>10083.967749566824</v>
      </c>
      <c r="FE14" s="311">
        <f>SUMPRODUCT(('ANALYSE - ERP =&gt; SOUS-SEGMENT'!$C$8:$C$154=$C14)*'ANALYSE - ERP =&gt; SOUS-SEGMENT'!$Q$8:$Q$154*'ANALYSE - ERP =&gt; SOUS-SEGMENT'!$FH$8:$FH$154)</f>
        <v>7868.9958495668234</v>
      </c>
      <c r="FF14" s="311">
        <f>SUMPRODUCT(('ANALYSE - ERP =&gt; SOUS-SEGMENT'!$C$8:$C$154=$C14)*'ANALYSE - ERP =&gt; SOUS-SEGMENT'!$Q$8:$Q$154*'ANALYSE - ERP =&gt; SOUS-SEGMENT'!$FI$8:$FI$154)</f>
        <v>2214.9719</v>
      </c>
      <c r="FG14" s="311">
        <f t="shared" si="38"/>
        <v>259502.32876734616</v>
      </c>
      <c r="FH14" s="311">
        <f>SUMPRODUCT(('ANALYSE - ERP =&gt; SOUS-SEGMENT'!$C$8:$C$154=$C14)*'ANALYSE - ERP =&gt; SOUS-SEGMENT'!$Q$8:$Q$154*'ANALYSE - ERP =&gt; SOUS-SEGMENT'!$FK$8:$FK$154)</f>
        <v>208012.08752734616</v>
      </c>
      <c r="FI14" s="311">
        <f>SUMPRODUCT(('ANALYSE - ERP =&gt; SOUS-SEGMENT'!$C$8:$C$154=$C14)*'ANALYSE - ERP =&gt; SOUS-SEGMENT'!$Q$8:$Q$154*'ANALYSE - ERP =&gt; SOUS-SEGMENT'!$FL$8:$FL$154)</f>
        <v>51490.241239999996</v>
      </c>
      <c r="FJ14" s="657"/>
      <c r="FK14" s="293" t="s">
        <v>2649</v>
      </c>
      <c r="FL14" s="728">
        <f>IFERROR(SUMPRODUCT(('ANALYSE - ERP =&gt; SOUS-SEGMENT'!$C$8:$C$154=$C14)*'ANALYSE - ERP =&gt; SOUS-SEGMENT'!$Q$8:$Q$154*'ANALYSE - ERP =&gt; SOUS-SEGMENT'!$AF$8:$AF$154*'ANALYSE - ERP =&gt; SOUS-SEGMENT'!$FO$8:$FO$154)/SUMPRODUCT(('ANALYSE - ERP =&gt; SOUS-SEGMENT'!$C$8:$C$154=$C14)*'ANALYSE - ERP =&gt; SOUS-SEGMENT'!$Q$8:$Q$154*'ANALYSE - ERP =&gt; SOUS-SEGMENT'!$AF$8:$AF$154),"")</f>
        <v>7.364201026749527E-2</v>
      </c>
      <c r="FM14" s="729">
        <f>IFERROR(SUMPRODUCT(('ANALYSE - ERP =&gt; SOUS-SEGMENT'!$C$8:$C$154=$C14)*'ANALYSE - ERP =&gt; SOUS-SEGMENT'!$Q$8:$Q$154*'ANALYSE - ERP =&gt; SOUS-SEGMENT'!$AF$8:$AF$154*'ANALYSE - ERP =&gt; SOUS-SEGMENT'!$FP$8:$FP$154)/SUMPRODUCT(('ANALYSE - ERP =&gt; SOUS-SEGMENT'!$C$8:$C$154=$C14)*'ANALYSE - ERP =&gt; SOUS-SEGMENT'!$Q$8:$Q$154*'ANALYSE - ERP =&gt; SOUS-SEGMENT'!$AF$8:$AF$154),"")</f>
        <v>0.87138523372061605</v>
      </c>
      <c r="FN14" s="294" t="s">
        <v>6780</v>
      </c>
      <c r="FO14" s="657"/>
      <c r="FP14" s="865">
        <f>IFERROR(SUMPRODUCT(('ANALYSE - ERP =&gt; SOUS-SEGMENT'!$C$8:$C$154=$C14)*'ANALYSE - ERP =&gt; SOUS-SEGMENT'!$Q$8:$Q$154*'ANALYSE - ERP =&gt; SOUS-SEGMENT'!$EX$8:$EX$154*'ANALYSE - ERP =&gt; SOUS-SEGMENT'!$FS$8:$FS$154)/SUMPRODUCT(('ANALYSE - ERP =&gt; SOUS-SEGMENT'!$C$8:$C$154=$C14)*'ANALYSE - ERP =&gt; SOUS-SEGMENT'!$Q$8:$Q$154*'ANALYSE - ERP =&gt; SOUS-SEGMENT'!$EX$8:$EX$154),"")</f>
        <v>3.4979803633351554</v>
      </c>
      <c r="FQ14" s="312">
        <f>RANK($FP14,$FP$8:$FP$143,0)+COUNTIF($FP$8:$FP14,$FP14)-1</f>
        <v>13</v>
      </c>
      <c r="FR14" s="865">
        <f>IFERROR(SUMPRODUCT(('ANALYSE - ERP =&gt; SOUS-SEGMENT'!$C$8:$C$154=$C14)*'ANALYSE - ERP =&gt; SOUS-SEGMENT'!$Q$8:$Q$154*'ANALYSE - ERP =&gt; SOUS-SEGMENT'!$EY$8:$EY$154*'ANALYSE - ERP =&gt; SOUS-SEGMENT'!$FU$8:$FU$154)/SUMPRODUCT(('ANALYSE - ERP =&gt; SOUS-SEGMENT'!$C$8:$C$154=$C14)*'ANALYSE - ERP =&gt; SOUS-SEGMENT'!$Q$8:$Q$154*'ANALYSE - ERP =&gt; SOUS-SEGMENT'!$EY$8:$EY$154),"")</f>
        <v>4.223460393476806</v>
      </c>
      <c r="FS14" s="312">
        <f>RANK($FR14,$FR$8:$FR$143,0)+COUNTIF($FR$8:$FR14,$FR14)-1</f>
        <v>8</v>
      </c>
      <c r="FT14" s="865">
        <f>IFERROR(SUMPRODUCT(('ANALYSE - ERP =&gt; SOUS-SEGMENT'!$C$8:$C$154=$C14)*'ANALYSE - ERP =&gt; SOUS-SEGMENT'!$Q$8:$Q$154*'ANALYSE - ERP =&gt; SOUS-SEGMENT'!$EZ$8:$EZ$154*'ANALYSE - ERP =&gt; SOUS-SEGMENT'!$FW$8:$FW$154)/SUMPRODUCT(('ANALYSE - ERP =&gt; SOUS-SEGMENT'!$C$8:$C$154=$C14)*'ANALYSE - ERP =&gt; SOUS-SEGMENT'!$Q$8:$Q$154*'ANALYSE - ERP =&gt; SOUS-SEGMENT'!$EZ$8:$EZ$154),"")</f>
        <v>2.6334264392262425</v>
      </c>
      <c r="FU14" s="312">
        <f>RANK($FT14,$FT$8:$FT$143,0)+COUNTIF($FT$8:$FT14,$FT14)-1</f>
        <v>7</v>
      </c>
      <c r="FV14" s="657"/>
      <c r="FW14" s="296" t="s">
        <v>6898</v>
      </c>
      <c r="FX14" s="296" t="s">
        <v>6899</v>
      </c>
      <c r="FY14" s="296" t="s">
        <v>6900</v>
      </c>
      <c r="FZ14" s="296" t="s">
        <v>6901</v>
      </c>
      <c r="GA14" s="296" t="s">
        <v>6902</v>
      </c>
      <c r="GB14" s="296" t="s">
        <v>6903</v>
      </c>
      <c r="GC14" s="296" t="s">
        <v>6759</v>
      </c>
      <c r="GD14" s="657"/>
      <c r="GE14" s="311">
        <f>SUMPRODUCT(('ANALYSE - ERP =&gt; SOUS-SEGMENT'!$C$8:$C$154=$C14)*'ANALYSE - ERP =&gt; SOUS-SEGMENT'!$Q$8:$Q$154*'ANALYSE - ERP =&gt; SOUS-SEGMENT'!$GH$8:$GH$154)</f>
        <v>161619.11631005714</v>
      </c>
      <c r="GF14" s="311">
        <f>SUMPRODUCT(('ANALYSE - ERP =&gt; SOUS-SEGMENT'!$C$8:$C$154=$C14)*'ANALYSE - ERP =&gt; SOUS-SEGMENT'!$Q$8:$Q$154*'ANALYSE - ERP =&gt; SOUS-SEGMENT'!$GI$8:$GI$154)</f>
        <v>130988.75840185717</v>
      </c>
      <c r="GG14" s="311">
        <f>SUMPRODUCT(('ANALYSE - ERP =&gt; SOUS-SEGMENT'!$C$8:$C$154=$C14)*'ANALYSE - ERP =&gt; SOUS-SEGMENT'!$Q$8:$Q$154*'ANALYSE - ERP =&gt; SOUS-SEGMENT'!$GJ$8:$GJ$154)</f>
        <v>30630.3579082</v>
      </c>
      <c r="GH14" s="311">
        <f>SUMPRODUCT(('ANALYSE - ERP =&gt; SOUS-SEGMENT'!$C$8:$C$154=$C14)*'ANALYSE - ERP =&gt; SOUS-SEGMENT'!$Q$8:$Q$154*'ANALYSE - ERP =&gt; SOUS-SEGMENT'!$GK$8:$GK$154)</f>
        <v>47069.58790954615</v>
      </c>
      <c r="GI14" s="311">
        <f>SUMPRODUCT(('ANALYSE - ERP =&gt; SOUS-SEGMENT'!$C$8:$C$154=$C14)*'ANALYSE - ERP =&gt; SOUS-SEGMENT'!$Q$8:$Q$154*'ANALYSE - ERP =&gt; SOUS-SEGMENT'!$GL$8:$GL$154)</f>
        <v>38086.774523846158</v>
      </c>
      <c r="GJ14" s="311">
        <f>SUMPRODUCT(('ANALYSE - ERP =&gt; SOUS-SEGMENT'!$C$8:$C$154=$C14)*'ANALYSE - ERP =&gt; SOUS-SEGMENT'!$Q$8:$Q$154*'ANALYSE - ERP =&gt; SOUS-SEGMENT'!$GM$8:$GM$154)</f>
        <v>8982.8133856999993</v>
      </c>
      <c r="GK14" s="311">
        <f>SUMPRODUCT(('ANALYSE - ERP =&gt; SOUS-SEGMENT'!$C$8:$C$154=$C14)*'ANALYSE - ERP =&gt; SOUS-SEGMENT'!$Q$8:$Q$154*'ANALYSE - ERP =&gt; SOUS-SEGMENT'!$GN$8:$GN$154)</f>
        <v>36957.584923999995</v>
      </c>
      <c r="GL14" s="311">
        <f>SUMPRODUCT(('ANALYSE - ERP =&gt; SOUS-SEGMENT'!$C$8:$C$154=$C14)*'ANALYSE - ERP =&gt; SOUS-SEGMENT'!$Q$8:$Q$154*'ANALYSE - ERP =&gt; SOUS-SEGMENT'!$GO$8:$GO$154)</f>
        <v>30350.013796000003</v>
      </c>
      <c r="GM14" s="311">
        <f>SUMPRODUCT(('ANALYSE - ERP =&gt; SOUS-SEGMENT'!$C$8:$C$154=$C14)*'ANALYSE - ERP =&gt; SOUS-SEGMENT'!$Q$8:$Q$154*'ANALYSE - ERP =&gt; SOUS-SEGMENT'!$GP$8:$GP$154)</f>
        <v>6607.5711279999996</v>
      </c>
      <c r="GN14" s="311">
        <f>SUMPRODUCT(('ANALYSE - ERP =&gt; SOUS-SEGMENT'!$C$8:$C$154=$C14)*'ANALYSE - ERP =&gt; SOUS-SEGMENT'!$Q$8:$Q$154*'ANALYSE - ERP =&gt; SOUS-SEGMENT'!$GQ$8:$GQ$154)</f>
        <v>46513.291854622716</v>
      </c>
      <c r="GO14" s="311">
        <f>SUMPRODUCT(('ANALYSE - ERP =&gt; SOUS-SEGMENT'!$C$8:$C$154=$C14)*'ANALYSE - ERP =&gt; SOUS-SEGMENT'!$Q$8:$Q$154*'ANALYSE - ERP =&gt; SOUS-SEGMENT'!$GR$8:$GR$154)</f>
        <v>38494.369686522725</v>
      </c>
      <c r="GP14" s="311">
        <f>SUMPRODUCT(('ANALYSE - ERP =&gt; SOUS-SEGMENT'!$C$8:$C$154=$C14)*'ANALYSE - ERP =&gt; SOUS-SEGMENT'!$Q$8:$Q$154*'ANALYSE - ERP =&gt; SOUS-SEGMENT'!$GS$8:$GS$154)</f>
        <v>8018.9221681000008</v>
      </c>
      <c r="GQ14" s="311">
        <f>SUMPRODUCT(('ANALYSE - ERP =&gt; SOUS-SEGMENT'!$C$8:$C$154=$C14)*'ANALYSE - ERP =&gt; SOUS-SEGMENT'!$Q$8:$Q$154*'ANALYSE - ERP =&gt; SOUS-SEGMENT'!$GT$8:$GT$154)</f>
        <v>95218.383887476928</v>
      </c>
      <c r="GR14" s="311">
        <f>SUMPRODUCT(('ANALYSE - ERP =&gt; SOUS-SEGMENT'!$C$8:$C$154=$C14)*'ANALYSE - ERP =&gt; SOUS-SEGMENT'!$Q$8:$Q$154*'ANALYSE - ERP =&gt; SOUS-SEGMENT'!$GU$8:$GU$154)</f>
        <v>78049.228466076936</v>
      </c>
      <c r="GS14" s="311">
        <f>SUMPRODUCT(('ANALYSE - ERP =&gt; SOUS-SEGMENT'!$C$8:$C$154=$C14)*'ANALYSE - ERP =&gt; SOUS-SEGMENT'!$Q$8:$Q$154*'ANALYSE - ERP =&gt; SOUS-SEGMENT'!$GV$8:$GV$154)</f>
        <v>17169.155421399999</v>
      </c>
      <c r="GT14" s="311">
        <f>SUMPRODUCT(('ANALYSE - ERP =&gt; SOUS-SEGMENT'!$C$8:$C$154=$C14)*'ANALYSE - ERP =&gt; SOUS-SEGMENT'!$Q$8:$Q$154*'ANALYSE - ERP =&gt; SOUS-SEGMENT'!$GW$8:$GW$154)</f>
        <v>17534.118374240152</v>
      </c>
      <c r="GU14" s="311">
        <f>SUMPRODUCT(('ANALYSE - ERP =&gt; SOUS-SEGMENT'!$C$8:$C$154=$C14)*'ANALYSE - ERP =&gt; SOUS-SEGMENT'!$Q$8:$Q$154*'ANALYSE - ERP =&gt; SOUS-SEGMENT'!$GX$8:$GX$154)</f>
        <v>13881.397874040151</v>
      </c>
      <c r="GV14" s="311">
        <f>SUMPRODUCT(('ANALYSE - ERP =&gt; SOUS-SEGMENT'!$C$8:$C$154=$C14)*'ANALYSE - ERP =&gt; SOUS-SEGMENT'!$Q$8:$Q$154*'ANALYSE - ERP =&gt; SOUS-SEGMENT'!$GY$8:$GY$154)</f>
        <v>3652.7205002000001</v>
      </c>
      <c r="GW14" s="311">
        <f>SUMPRODUCT(('ANALYSE - ERP =&gt; SOUS-SEGMENT'!$C$8:$C$154=$C14)*'ANALYSE - ERP =&gt; SOUS-SEGMENT'!$Q$8:$Q$154*'ANALYSE - ERP =&gt; SOUS-SEGMENT'!$GZ$8:$GZ$154)</f>
        <v>5470.9160276194443</v>
      </c>
      <c r="GX14" s="311">
        <f>SUMPRODUCT(('ANALYSE - ERP =&gt; SOUS-SEGMENT'!$C$8:$C$154=$C14)*'ANALYSE - ERP =&gt; SOUS-SEGMENT'!$Q$8:$Q$154*'ANALYSE - ERP =&gt; SOUS-SEGMENT'!$HA$8:$HA$154)</f>
        <v>4497.3447392194448</v>
      </c>
      <c r="GY14" s="311">
        <f>SUMPRODUCT(('ANALYSE - ERP =&gt; SOUS-SEGMENT'!$C$8:$C$154=$C14)*'ANALYSE - ERP =&gt; SOUS-SEGMENT'!$Q$8:$Q$154*'ANALYSE - ERP =&gt; SOUS-SEGMENT'!$HB$8:$HB$154)</f>
        <v>973.57128840000007</v>
      </c>
      <c r="GZ14" s="311">
        <f>SUMPRODUCT(('ANALYSE - ERP =&gt; SOUS-SEGMENT'!$C$8:$C$154=$C14)*'ANALYSE - ERP =&gt; SOUS-SEGMENT'!$Q$8:$Q$154*'ANALYSE - ERP =&gt; SOUS-SEGMENT'!$HC$8:$HC$154)</f>
        <v>2237.9351504650353</v>
      </c>
      <c r="HA14" s="311">
        <f>SUMPRODUCT(('ANALYSE - ERP =&gt; SOUS-SEGMENT'!$C$8:$C$154=$C14)*'ANALYSE - ERP =&gt; SOUS-SEGMENT'!$Q$8:$Q$154*'ANALYSE - ERP =&gt; SOUS-SEGMENT'!$HD$8:$HD$154)</f>
        <v>1771.0834684650349</v>
      </c>
      <c r="HB14" s="311">
        <f>SUMPRODUCT(('ANALYSE - ERP =&gt; SOUS-SEGMENT'!$C$8:$C$154=$C14)*'ANALYSE - ERP =&gt; SOUS-SEGMENT'!$Q$8:$Q$154*'ANALYSE - ERP =&gt; SOUS-SEGMENT'!$HE$8:$HE$154)</f>
        <v>466.85168199999998</v>
      </c>
      <c r="HC14" s="311">
        <f>SUMPRODUCT(('ANALYSE - ERP =&gt; SOUS-SEGMENT'!$C$8:$C$154=$C14)*'ANALYSE - ERP =&gt; SOUS-SEGMENT'!$Q$8:$Q$154*'ANALYSE - ERP =&gt; SOUS-SEGMENT'!$HF$8:$HF$154)</f>
        <v>3672.957745384615</v>
      </c>
      <c r="HD14" s="311">
        <f>SUMPRODUCT(('ANALYSE - ERP =&gt; SOUS-SEGMENT'!$C$8:$C$154=$C14)*'ANALYSE - ERP =&gt; SOUS-SEGMENT'!$Q$8:$Q$154*'ANALYSE - ERP =&gt; SOUS-SEGMENT'!$HG$8:$HG$154)</f>
        <v>2786.6661653846149</v>
      </c>
      <c r="HE14" s="311">
        <f>SUMPRODUCT(('ANALYSE - ERP =&gt; SOUS-SEGMENT'!$C$8:$C$154=$C14)*'ANALYSE - ERP =&gt; SOUS-SEGMENT'!$Q$8:$Q$154*'ANALYSE - ERP =&gt; SOUS-SEGMENT'!$HH$8:$HH$154)</f>
        <v>886.29158000000007</v>
      </c>
      <c r="HF14" s="311">
        <f>SUMPRODUCT(('ANALYSE - ERP =&gt; SOUS-SEGMENT'!$C$8:$C$154=$C14)*'ANALYSE - ERP =&gt; SOUS-SEGMENT'!$Q$8:$Q$154*'ANALYSE - ERP =&gt; SOUS-SEGMENT'!$HI$8:$HI$154)</f>
        <v>2599.9772224444446</v>
      </c>
      <c r="HG14" s="311">
        <f>SUMPRODUCT(('ANALYSE - ERP =&gt; SOUS-SEGMENT'!$C$8:$C$154=$C14)*'ANALYSE - ERP =&gt; SOUS-SEGMENT'!$Q$8:$Q$154*'ANALYSE - ERP =&gt; SOUS-SEGMENT'!$HJ$8:$HJ$154)</f>
        <v>2065.5614204444446</v>
      </c>
      <c r="HH14" s="311">
        <f>SUMPRODUCT(('ANALYSE - ERP =&gt; SOUS-SEGMENT'!$C$8:$C$154=$C14)*'ANALYSE - ERP =&gt; SOUS-SEGMENT'!$Q$8:$Q$154*'ANALYSE - ERP =&gt; SOUS-SEGMENT'!$HK$8:$HK$154)</f>
        <v>534.41580199999999</v>
      </c>
      <c r="HI14" s="311">
        <f>SUMPRODUCT(('ANALYSE - ERP =&gt; SOUS-SEGMENT'!$C$8:$C$154=$C14)*'ANALYSE - ERP =&gt; SOUS-SEGMENT'!$Q$8:$Q$154*'ANALYSE - ERP =&gt; SOUS-SEGMENT'!$HL$8:$HL$154)</f>
        <v>1573.0976312727271</v>
      </c>
      <c r="HJ14" s="311">
        <f>SUMPRODUCT(('ANALYSE - ERP =&gt; SOUS-SEGMENT'!$C$8:$C$154=$C14)*'ANALYSE - ERP =&gt; SOUS-SEGMENT'!$Q$8:$Q$154*'ANALYSE - ERP =&gt; SOUS-SEGMENT'!$HM$8:$HM$154)</f>
        <v>1245.6847952727271</v>
      </c>
      <c r="HK14" s="311">
        <f>SUMPRODUCT(('ANALYSE - ERP =&gt; SOUS-SEGMENT'!$C$8:$C$154=$C14)*'ANALYSE - ERP =&gt; SOUS-SEGMENT'!$Q$8:$Q$154*'ANALYSE - ERP =&gt; SOUS-SEGMENT'!$HN$8:$HN$154)</f>
        <v>327.41283599999997</v>
      </c>
      <c r="HL14" s="311">
        <f>SUMPRODUCT(('ANALYSE - ERP =&gt; SOUS-SEGMENT'!$C$8:$C$154=$C14)*'ANALYSE - ERP =&gt; SOUS-SEGMENT'!$Q$8:$Q$154*'ANALYSE - ERP =&gt; SOUS-SEGMENT'!$HO$8:$HO$154)</f>
        <v>204876.4287495692</v>
      </c>
      <c r="HM14" s="311">
        <f>SUMPRODUCT(('ANALYSE - ERP =&gt; SOUS-SEGMENT'!$C$8:$C$154=$C14)*'ANALYSE - ERP =&gt; SOUS-SEGMENT'!$Q$8:$Q$154*'ANALYSE - ERP =&gt; SOUS-SEGMENT'!$HP$8:$HP$154)</f>
        <v>164860.13150876923</v>
      </c>
      <c r="HN14" s="311">
        <f>SUMPRODUCT(('ANALYSE - ERP =&gt; SOUS-SEGMENT'!$C$8:$C$154=$C14)*'ANALYSE - ERP =&gt; SOUS-SEGMENT'!$Q$8:$Q$154*'ANALYSE - ERP =&gt; SOUS-SEGMENT'!$HQ$8:$HQ$154)</f>
        <v>40016.297240799999</v>
      </c>
      <c r="HO14" s="311">
        <f>SUMPRODUCT(('ANALYSE - ERP =&gt; SOUS-SEGMENT'!$C$8:$C$154=$C14)*'ANALYSE - ERP =&gt; SOUS-SEGMENT'!$Q$8:$Q$154*'ANALYSE - ERP =&gt; SOUS-SEGMENT'!$HR$8:$HR$154)</f>
        <v>36952.360162676916</v>
      </c>
      <c r="HP14" s="311">
        <f>SUMPRODUCT(('ANALYSE - ERP =&gt; SOUS-SEGMENT'!$C$8:$C$154=$C14)*'ANALYSE - ERP =&gt; SOUS-SEGMENT'!$Q$8:$Q$154*'ANALYSE - ERP =&gt; SOUS-SEGMENT'!$HS$8:$HS$154)</f>
        <v>28886.03469607692</v>
      </c>
      <c r="HQ14" s="311">
        <f>SUMPRODUCT(('ANALYSE - ERP =&gt; SOUS-SEGMENT'!$C$8:$C$154=$C14)*'ANALYSE - ERP =&gt; SOUS-SEGMENT'!$Q$8:$Q$154*'ANALYSE - ERP =&gt; SOUS-SEGMENT'!$HT$8:$HT$154)</f>
        <v>8066.3254665999993</v>
      </c>
      <c r="HR14" s="311">
        <f>SUMPRODUCT(('ANALYSE - ERP =&gt; SOUS-SEGMENT'!$C$8:$C$154=$C14)*'ANALYSE - ERP =&gt; SOUS-SEGMENT'!$Q$8:$Q$154*'ANALYSE - ERP =&gt; SOUS-SEGMENT'!$HU$8:$HU$154)</f>
        <v>17673.5398551</v>
      </c>
      <c r="HS14" s="311">
        <f>SUMPRODUCT(('ANALYSE - ERP =&gt; SOUS-SEGMENT'!$C$8:$C$154=$C14)*'ANALYSE - ERP =&gt; SOUS-SEGMENT'!$Q$8:$Q$154*'ANALYSE - ERP =&gt; SOUS-SEGMENT'!$HV$8:$HV$154)</f>
        <v>14265.921322499997</v>
      </c>
      <c r="HT14" s="311">
        <f>SUMPRODUCT(('ANALYSE - ERP =&gt; SOUS-SEGMENT'!$C$8:$C$154=$C14)*'ANALYSE - ERP =&gt; SOUS-SEGMENT'!$Q$8:$Q$154*'ANALYSE - ERP =&gt; SOUS-SEGMENT'!$HW$8:$HW$154)</f>
        <v>3407.6185326000004</v>
      </c>
      <c r="HV14" s="313">
        <f t="shared" ref="HV14:HV47" si="40">SUM(HW15:IA15)</f>
        <v>44530</v>
      </c>
      <c r="HW14" s="313">
        <f>SUMPRODUCT(('ANALYSE - ERP =&gt; SOUS-SEGMENT'!$C$8:$C$154=$C14)*'ANALYSE - ERP =&gt; SOUS-SEGMENT'!$Q$8:$Q$154*'ANALYSE - ERP =&gt; SOUS-SEGMENT'!$HZ$8:$HZ$154)</f>
        <v>304.13660000000004</v>
      </c>
      <c r="HX14" s="313">
        <f>SUMPRODUCT(('ANALYSE - ERP =&gt; SOUS-SEGMENT'!$C$8:$C$154=$C14)*'ANALYSE - ERP =&gt; SOUS-SEGMENT'!$Q$8:$Q$154*'ANALYSE - ERP =&gt; SOUS-SEGMENT'!$IA$8:$IA$154)</f>
        <v>220183.34239999999</v>
      </c>
      <c r="HY14" s="313">
        <f>SUMPRODUCT(('ANALYSE - ERP =&gt; SOUS-SEGMENT'!$C$8:$C$154=$C14)*'ANALYSE - ERP =&gt; SOUS-SEGMENT'!$Q$8:$Q$154*'ANALYSE - ERP =&gt; SOUS-SEGMENT'!$IB$8:$IB$154)</f>
        <v>872766.40299999993</v>
      </c>
      <c r="HZ14" s="313">
        <f>SUMPRODUCT(('ANALYSE - ERP =&gt; SOUS-SEGMENT'!$C$8:$C$154=$C14)*'ANALYSE - ERP =&gt; SOUS-SEGMENT'!$Q$8:$Q$154*'ANALYSE - ERP =&gt; SOUS-SEGMENT'!$IC$8:$IC$154)</f>
        <v>510746.42719999998</v>
      </c>
      <c r="IA14" s="313">
        <f>SUMPRODUCT(('ANALYSE - ERP =&gt; SOUS-SEGMENT'!$C$8:$C$154=$C14)*'ANALYSE - ERP =&gt; SOUS-SEGMENT'!$Q$8:$Q$154*'ANALYSE - ERP =&gt; SOUS-SEGMENT'!$ID$8:$ID$154)</f>
        <v>6319.1907999999994</v>
      </c>
      <c r="IB14" s="313">
        <f>SUMPRODUCT(('ANALYSE - ERP =&gt; SOUS-SEGMENT'!$C$8:$C$154=$C14)*'ANALYSE - ERP =&gt; SOUS-SEGMENT'!$Q$8:$Q$154*'ANALYSE - ERP =&gt; SOUS-SEGMENT'!$IE$8:$IE$154)</f>
        <v>550228.97086447559</v>
      </c>
      <c r="IC14" s="313">
        <f>SUMPRODUCT(('ANALYSE - ERP =&gt; SOUS-SEGMENT'!$C$8:$C$154=$C14)*'ANALYSE - ERP =&gt; SOUS-SEGMENT'!$Q$8:$Q$154*'ANALYSE - ERP =&gt; SOUS-SEGMENT'!$IF$8:$IF$154)</f>
        <v>0</v>
      </c>
      <c r="ID14" s="313">
        <f>SUMPRODUCT(('ANALYSE - ERP =&gt; SOUS-SEGMENT'!$C$8:$C$154=$C14)*'ANALYSE - ERP =&gt; SOUS-SEGMENT'!$Q$8:$Q$154*'ANALYSE - ERP =&gt; SOUS-SEGMENT'!$IG$8:$IG$154)</f>
        <v>38767.182862602385</v>
      </c>
      <c r="IE14" s="313">
        <f>SUMPRODUCT(('ANALYSE - ERP =&gt; SOUS-SEGMENT'!$C$8:$C$154=$C14)*'ANALYSE - ERP =&gt; SOUS-SEGMENT'!$Q$8:$Q$154*'ANALYSE - ERP =&gt; SOUS-SEGMENT'!$IH$8:$IH$154)</f>
        <v>268443.01615213475</v>
      </c>
      <c r="IF14" s="313">
        <f>SUMPRODUCT(('ANALYSE - ERP =&gt; SOUS-SEGMENT'!$C$8:$C$154=$C14)*'ANALYSE - ERP =&gt; SOUS-SEGMENT'!$Q$8:$Q$154*'ANALYSE - ERP =&gt; SOUS-SEGMENT'!$II$8:$II$154)</f>
        <v>229722.64933998702</v>
      </c>
      <c r="IG14" s="313">
        <f>SUMPRODUCT(('ANALYSE - ERP =&gt; SOUS-SEGMENT'!$C$8:$C$154=$C14)*'ANALYSE - ERP =&gt; SOUS-SEGMENT'!$Q$8:$Q$154*'ANALYSE - ERP =&gt; SOUS-SEGMENT'!$IJ$8:$IJ$154)</f>
        <v>13296.122509751369</v>
      </c>
      <c r="IH14" s="866"/>
      <c r="II14" s="314" t="s">
        <v>2589</v>
      </c>
      <c r="IJ14" s="299" t="s">
        <v>6760</v>
      </c>
      <c r="IK14" s="657"/>
      <c r="IL14" s="747">
        <f>IFERROR(SUMPRODUCT(('ANALYSE - ERP =&gt; SOUS-SEGMENT'!$C$8:$C$154=$C14)*'ANALYSE - ERP =&gt; SOUS-SEGMENT'!$Q$8:$Q$154*'ANALYSE - ERP =&gt; SOUS-SEGMENT'!$BE$8:$BE$154*'ANALYSE - ERP =&gt; SOUS-SEGMENT'!$IO$8:$IO$154)/SUMPRODUCT(('ANALYSE - ERP =&gt; SOUS-SEGMENT'!$C$8:$C$154=$C14)*'ANALYSE - ERP =&gt; SOUS-SEGMENT'!$Q$8:$Q$154*'ANALYSE - ERP =&gt; SOUS-SEGMENT'!$BE$8:$BE$154),0)</f>
        <v>6.1044181467164305E-6</v>
      </c>
      <c r="IM14" s="748">
        <f>IFERROR(SUMPRODUCT(('ANALYSE - ERP =&gt; SOUS-SEGMENT'!$C$8:$C$154=$C14)*'ANALYSE - ERP =&gt; SOUS-SEGMENT'!$Q$8:$Q$154*'ANALYSE - ERP =&gt; SOUS-SEGMENT'!$BE$8:$BE$154*'ANALYSE - ERP =&gt; SOUS-SEGMENT'!$IP$8:$IP$154)/SUMPRODUCT(('ANALYSE - ERP =&gt; SOUS-SEGMENT'!$C$8:$C$154=$C14)*'ANALYSE - ERP =&gt; SOUS-SEGMENT'!$Q$8:$Q$154*'ANALYSE - ERP =&gt; SOUS-SEGMENT'!$BE$8:$BE$154),0)</f>
        <v>0.15326013370453725</v>
      </c>
      <c r="IN14" s="748">
        <f>IFERROR(SUMPRODUCT(('ANALYSE - ERP =&gt; SOUS-SEGMENT'!$C$8:$C$154=$C14)*'ANALYSE - ERP =&gt; SOUS-SEGMENT'!$Q$8:$Q$154*'ANALYSE - ERP =&gt; SOUS-SEGMENT'!$BE$8:$BE$154*'ANALYSE - ERP =&gt; SOUS-SEGMENT'!$IQ$8:$IQ$154)/SUMPRODUCT(('ANALYSE - ERP =&gt; SOUS-SEGMENT'!$C$8:$C$154=$C14)*'ANALYSE - ERP =&gt; SOUS-SEGMENT'!$Q$8:$Q$154*'ANALYSE - ERP =&gt; SOUS-SEGMENT'!$BE$8:$BE$154),0)</f>
        <v>0.5557996881116456</v>
      </c>
      <c r="IO14" s="748">
        <f>IFERROR(SUMPRODUCT(('ANALYSE - ERP =&gt; SOUS-SEGMENT'!$C$8:$C$154=$C14)*'ANALYSE - ERP =&gt; SOUS-SEGMENT'!$Q$8:$Q$154*'ANALYSE - ERP =&gt; SOUS-SEGMENT'!$BE$8:$BE$154*'ANALYSE - ERP =&gt; SOUS-SEGMENT'!$IR$8:$IR$154)/SUMPRODUCT(('ANALYSE - ERP =&gt; SOUS-SEGMENT'!$C$8:$C$154=$C14)*'ANALYSE - ERP =&gt; SOUS-SEGMENT'!$Q$8:$Q$154*'ANALYSE - ERP =&gt; SOUS-SEGMENT'!$BE$8:$BE$154),0)</f>
        <v>0.28957137620551143</v>
      </c>
      <c r="IP14" s="749">
        <f>IFERROR(SUMPRODUCT(('ANALYSE - ERP =&gt; SOUS-SEGMENT'!$C$8:$C$154=$C14)*'ANALYSE - ERP =&gt; SOUS-SEGMENT'!$Q$8:$Q$154*'ANALYSE - ERP =&gt; SOUS-SEGMENT'!$BE$8:$BE$154*'ANALYSE - ERP =&gt; SOUS-SEGMENT'!$IS$8:$IS$154)/SUMPRODUCT(('ANALYSE - ERP =&gt; SOUS-SEGMENT'!$C$8:$C$154=$C14)*'ANALYSE - ERP =&gt; SOUS-SEGMENT'!$Q$8:$Q$154*'ANALYSE - ERP =&gt; SOUS-SEGMENT'!$BE$8:$BE$154),0)</f>
        <v>1.3626975601588927E-3</v>
      </c>
      <c r="IQ14" s="748">
        <f>IFERROR(SUMPRODUCT(('ANALYSE - ERP =&gt; SOUS-SEGMENT'!$C$8:$C$154=$C14)*'ANALYSE - ERP =&gt; SOUS-SEGMENT'!$Q$8:$Q$154*'ANALYSE - ERP =&gt; SOUS-SEGMENT'!$FB$8:$FB$154*'ANALYSE - ERP =&gt; SOUS-SEGMENT'!$IT$8:$IT$154)/SUMPRODUCT(('ANALYSE - ERP =&gt; SOUS-SEGMENT'!$C$8:$C$154=$C14)*'ANALYSE - ERP =&gt; SOUS-SEGMENT'!$Q$8:$Q$154*'ANALYSE - ERP =&gt; SOUS-SEGMENT'!$FB$8:$FB$154),0)</f>
        <v>0</v>
      </c>
      <c r="IR14" s="748">
        <f>IFERROR(SUMPRODUCT(('ANALYSE - ERP =&gt; SOUS-SEGMENT'!$C$8:$C$154=$C14)*'ANALYSE - ERP =&gt; SOUS-SEGMENT'!$Q$8:$Q$154*'ANALYSE - ERP =&gt; SOUS-SEGMENT'!$FB$8:$FB$154*'ANALYSE - ERP =&gt; SOUS-SEGMENT'!$IU$8:$IU$154)/SUMPRODUCT(('ANALYSE - ERP =&gt; SOUS-SEGMENT'!$C$8:$C$154=$C14)*'ANALYSE - ERP =&gt; SOUS-SEGMENT'!$Q$8:$Q$154*'ANALYSE - ERP =&gt; SOUS-SEGMENT'!$FB$8:$FB$154),0)</f>
        <v>8.1936780297008585E-2</v>
      </c>
      <c r="IS14" s="748">
        <f>IFERROR(SUMPRODUCT(('ANALYSE - ERP =&gt; SOUS-SEGMENT'!$C$8:$C$154=$C14)*'ANALYSE - ERP =&gt; SOUS-SEGMENT'!$Q$8:$Q$154*'ANALYSE - ERP =&gt; SOUS-SEGMENT'!$FB$8:$FB$154*'ANALYSE - ERP =&gt; SOUS-SEGMENT'!$IV$8:$IV$154)/SUMPRODUCT(('ANALYSE - ERP =&gt; SOUS-SEGMENT'!$C$8:$C$154=$C14)*'ANALYSE - ERP =&gt; SOUS-SEGMENT'!$Q$8:$Q$154*'ANALYSE - ERP =&gt; SOUS-SEGMENT'!$FB$8:$FB$154),0)</f>
        <v>0.51243331414044579</v>
      </c>
      <c r="IT14" s="748">
        <f>IFERROR(SUMPRODUCT(('ANALYSE - ERP =&gt; SOUS-SEGMENT'!$C$8:$C$154=$C14)*'ANALYSE - ERP =&gt; SOUS-SEGMENT'!$Q$8:$Q$154*'ANALYSE - ERP =&gt; SOUS-SEGMENT'!$FB$8:$FB$154*'ANALYSE - ERP =&gt; SOUS-SEGMENT'!$IW$8:$IW$154)/SUMPRODUCT(('ANALYSE - ERP =&gt; SOUS-SEGMENT'!$C$8:$C$154=$C14)*'ANALYSE - ERP =&gt; SOUS-SEGMENT'!$Q$8:$Q$154*'ANALYSE - ERP =&gt; SOUS-SEGMENT'!$FB$8:$FB$154),0)</f>
        <v>0.39179714054515741</v>
      </c>
      <c r="IU14" s="748">
        <f>IFERROR(SUMPRODUCT(('ANALYSE - ERP =&gt; SOUS-SEGMENT'!$C$8:$C$154=$C14)*'ANALYSE - ERP =&gt; SOUS-SEGMENT'!$Q$8:$Q$154*'ANALYSE - ERP =&gt; SOUS-SEGMENT'!$FB$8:$FB$154*'ANALYSE - ERP =&gt; SOUS-SEGMENT'!$IX$8:$IX$154)/SUMPRODUCT(('ANALYSE - ERP =&gt; SOUS-SEGMENT'!$C$8:$C$154=$C14)*'ANALYSE - ERP =&gt; SOUS-SEGMENT'!$Q$8:$Q$154*'ANALYSE - ERP =&gt; SOUS-SEGMENT'!$FB$8:$FB$154),0)</f>
        <v>1.3832765017388268E-2</v>
      </c>
      <c r="IV14" s="771">
        <f>IFERROR(SUMPRODUCT(('ANALYSE - ERP =&gt; SOUS-SEGMENT'!$C$8:$C$154=$C14)*'ANALYSE - ERP =&gt; SOUS-SEGMENT'!$Q$8:$Q$154*'ANALYSE - ERP =&gt; SOUS-SEGMENT'!$BF$8:$BF$154*'ANALYSE - ERP =&gt; SOUS-SEGMENT'!$IY$8:$IY$154)/SUMPRODUCT(('ANALYSE - ERP =&gt; SOUS-SEGMENT'!$C$8:$C$154=$C14)*'ANALYSE - ERP =&gt; SOUS-SEGMENT'!$Q$8:$Q$154*'ANALYSE - ERP =&gt; SOUS-SEGMENT'!$BF$8:$BF$154),0)</f>
        <v>0</v>
      </c>
      <c r="IW14" s="748">
        <f>IFERROR(SUMPRODUCT(('ANALYSE - ERP =&gt; SOUS-SEGMENT'!$C$8:$C$154=$C14)*'ANALYSE - ERP =&gt; SOUS-SEGMENT'!$Q$8:$Q$154*'ANALYSE - ERP =&gt; SOUS-SEGMENT'!$BF$8:$BF$154*'ANALYSE - ERP =&gt; SOUS-SEGMENT'!$IZ$8:$IZ$154)/SUMPRODUCT(('ANALYSE - ERP =&gt; SOUS-SEGMENT'!$C$8:$C$154=$C14)*'ANALYSE - ERP =&gt; SOUS-SEGMENT'!$Q$8:$Q$154*'ANALYSE - ERP =&gt; SOUS-SEGMENT'!$BF$8:$BF$154),0)</f>
        <v>0.1024151197465461</v>
      </c>
      <c r="IX14" s="748">
        <f>IFERROR(SUMPRODUCT(('ANALYSE - ERP =&gt; SOUS-SEGMENT'!$C$8:$C$154=$C14)*'ANALYSE - ERP =&gt; SOUS-SEGMENT'!$Q$8:$Q$154*'ANALYSE - ERP =&gt; SOUS-SEGMENT'!$BF$8:$BF$154*'ANALYSE - ERP =&gt; SOUS-SEGMENT'!$JA$8:$JA$154)/SUMPRODUCT(('ANALYSE - ERP =&gt; SOUS-SEGMENT'!$C$8:$C$154=$C14)*'ANALYSE - ERP =&gt; SOUS-SEGMENT'!$Q$8:$Q$154*'ANALYSE - ERP =&gt; SOUS-SEGMENT'!$BF$8:$BF$154),0)</f>
        <v>0.51057533664173582</v>
      </c>
      <c r="IY14" s="748">
        <f>IFERROR(SUMPRODUCT(('ANALYSE - ERP =&gt; SOUS-SEGMENT'!$C$8:$C$154=$C14)*'ANALYSE - ERP =&gt; SOUS-SEGMENT'!$Q$8:$Q$154*'ANALYSE - ERP =&gt; SOUS-SEGMENT'!$BF$8:$BF$154*'ANALYSE - ERP =&gt; SOUS-SEGMENT'!$JB$8:$JB$154)/SUMPRODUCT(('ANALYSE - ERP =&gt; SOUS-SEGMENT'!$C$8:$C$154=$C14)*'ANALYSE - ERP =&gt; SOUS-SEGMENT'!$Q$8:$Q$154*'ANALYSE - ERP =&gt; SOUS-SEGMENT'!$BF$8:$BF$154),0)</f>
        <v>0.37247690620939722</v>
      </c>
      <c r="IZ14" s="749">
        <f>IFERROR(SUMPRODUCT(('ANALYSE - ERP =&gt; SOUS-SEGMENT'!$C$8:$C$154=$C14)*'ANALYSE - ERP =&gt; SOUS-SEGMENT'!$Q$8:$Q$154*'ANALYSE - ERP =&gt; SOUS-SEGMENT'!$BF$8:$BF$154*'ANALYSE - ERP =&gt; SOUS-SEGMENT'!$JC$8:$JC$154)/SUMPRODUCT(('ANALYSE - ERP =&gt; SOUS-SEGMENT'!$C$8:$C$154=$C14)*'ANALYSE - ERP =&gt; SOUS-SEGMENT'!$Q$8:$Q$154*'ANALYSE - ERP =&gt; SOUS-SEGMENT'!$BF$8:$BF$154),0)</f>
        <v>1.4532637402320844E-2</v>
      </c>
      <c r="JA14" s="748">
        <f>IFERROR(SUMPRODUCT(('ANALYSE - ERP =&gt; SOUS-SEGMENT'!$C$8:$C$154=$C14)*'ANALYSE - ERP =&gt; SOUS-SEGMENT'!$Q$8:$Q$154*'ANALYSE - ERP =&gt; SOUS-SEGMENT'!$FE$8:$FE$154*'ANALYSE - ERP =&gt; SOUS-SEGMENT'!$JD$8:$JD$154)/SUMPRODUCT(('ANALYSE - ERP =&gt; SOUS-SEGMENT'!$C$8:$C$154=$C14)*'ANALYSE - ERP =&gt; SOUS-SEGMENT'!$Q$8:$Q$154*'ANALYSE - ERP =&gt; SOUS-SEGMENT'!$FE$8:$FE$154),0)</f>
        <v>0</v>
      </c>
      <c r="JB14" s="748">
        <f>IFERROR(SUMPRODUCT(('ANALYSE - ERP =&gt; SOUS-SEGMENT'!$C$8:$C$154=$C14)*'ANALYSE - ERP =&gt; SOUS-SEGMENT'!$Q$8:$Q$154*'ANALYSE - ERP =&gt; SOUS-SEGMENT'!$FE$8:$FE$154*'ANALYSE - ERP =&gt; SOUS-SEGMENT'!$JE$8:$JE$154)/SUMPRODUCT(('ANALYSE - ERP =&gt; SOUS-SEGMENT'!$C$8:$C$154=$C14)*'ANALYSE - ERP =&gt; SOUS-SEGMENT'!$Q$8:$Q$154*'ANALYSE - ERP =&gt; SOUS-SEGMENT'!$FE$8:$FE$154),0)</f>
        <v>4.4605921885032436E-2</v>
      </c>
      <c r="JC14" s="748">
        <f>IFERROR(SUMPRODUCT(('ANALYSE - ERP =&gt; SOUS-SEGMENT'!$C$8:$C$154=$C14)*'ANALYSE - ERP =&gt; SOUS-SEGMENT'!$Q$8:$Q$154*'ANALYSE - ERP =&gt; SOUS-SEGMENT'!$FE$8:$FE$154*'ANALYSE - ERP =&gt; SOUS-SEGMENT'!$JF$8:$JF$154)/SUMPRODUCT(('ANALYSE - ERP =&gt; SOUS-SEGMENT'!$C$8:$C$154=$C14)*'ANALYSE - ERP =&gt; SOUS-SEGMENT'!$Q$8:$Q$154*'ANALYSE - ERP =&gt; SOUS-SEGMENT'!$FE$8:$FE$154),0)</f>
        <v>0.43733678392769731</v>
      </c>
      <c r="JD14" s="748">
        <f>IFERROR(SUMPRODUCT(('ANALYSE - ERP =&gt; SOUS-SEGMENT'!$C$8:$C$154=$C14)*'ANALYSE - ERP =&gt; SOUS-SEGMENT'!$Q$8:$Q$154*'ANALYSE - ERP =&gt; SOUS-SEGMENT'!$FE$8:$FE$154*'ANALYSE - ERP =&gt; SOUS-SEGMENT'!$JG$8:$JG$154)/SUMPRODUCT(('ANALYSE - ERP =&gt; SOUS-SEGMENT'!$C$8:$C$154=$C14)*'ANALYSE - ERP =&gt; SOUS-SEGMENT'!$Q$8:$Q$154*'ANALYSE - ERP =&gt; SOUS-SEGMENT'!$FE$8:$FE$154),0)</f>
        <v>0.47160289690905222</v>
      </c>
      <c r="JE14" s="748">
        <f>IFERROR(SUMPRODUCT(('ANALYSE - ERP =&gt; SOUS-SEGMENT'!$C$8:$C$154=$C14)*'ANALYSE - ERP =&gt; SOUS-SEGMENT'!$Q$8:$Q$154*'ANALYSE - ERP =&gt; SOUS-SEGMENT'!$FE$8:$FE$154*'ANALYSE - ERP =&gt; SOUS-SEGMENT'!$JH$8:$JH$154)/SUMPRODUCT(('ANALYSE - ERP =&gt; SOUS-SEGMENT'!$C$8:$C$154=$C14)*'ANALYSE - ERP =&gt; SOUS-SEGMENT'!$Q$8:$Q$154*'ANALYSE - ERP =&gt; SOUS-SEGMENT'!$FE$8:$FE$154),0)</f>
        <v>4.6454397278217936E-2</v>
      </c>
      <c r="JF14" s="771">
        <f>IFERROR(SUMPRODUCT(('ANALYSE - ERP =&gt; SOUS-SEGMENT'!$C$8:$C$154=$C14)*'ANALYSE - ERP =&gt; SOUS-SEGMENT'!$Q$8:$Q$154*'ANALYSE - ERP =&gt; SOUS-SEGMENT'!$BG$8:$BG$154*'ANALYSE - ERP =&gt; SOUS-SEGMENT'!$JI$8:$JI$154)/SUMPRODUCT(('ANALYSE - ERP =&gt; SOUS-SEGMENT'!$C$8:$C$154=$C14)*'ANALYSE - ERP =&gt; SOUS-SEGMENT'!$Q$8:$Q$154*'ANALYSE - ERP =&gt; SOUS-SEGMENT'!$BG$8:$BG$154),0)</f>
        <v>1.4099954661512397E-2</v>
      </c>
      <c r="JG14" s="748">
        <f>IFERROR(SUMPRODUCT(('ANALYSE - ERP =&gt; SOUS-SEGMENT'!$C$8:$C$154=$C14)*'ANALYSE - ERP =&gt; SOUS-SEGMENT'!$Q$8:$Q$154*'ANALYSE - ERP =&gt; SOUS-SEGMENT'!$BG$8:$BG$154*'ANALYSE - ERP =&gt; SOUS-SEGMENT'!$JJ$8:$JJ$154)/SUMPRODUCT(('ANALYSE - ERP =&gt; SOUS-SEGMENT'!$C$8:$C$154=$C14)*'ANALYSE - ERP =&gt; SOUS-SEGMENT'!$Q$8:$Q$154*'ANALYSE - ERP =&gt; SOUS-SEGMENT'!$BG$8:$BG$154),0)</f>
        <v>0.33167880306392716</v>
      </c>
      <c r="JH14" s="748">
        <f>IFERROR(SUMPRODUCT(('ANALYSE - ERP =&gt; SOUS-SEGMENT'!$C$8:$C$154=$C14)*'ANALYSE - ERP =&gt; SOUS-SEGMENT'!$Q$8:$Q$154*'ANALYSE - ERP =&gt; SOUS-SEGMENT'!$BG$8:$BG$154*'ANALYSE - ERP =&gt; SOUS-SEGMENT'!$JK$8:$JK$154)/SUMPRODUCT(('ANALYSE - ERP =&gt; SOUS-SEGMENT'!$C$8:$C$154=$C14)*'ANALYSE - ERP =&gt; SOUS-SEGMENT'!$Q$8:$Q$154*'ANALYSE - ERP =&gt; SOUS-SEGMENT'!$BG$8:$BG$154),0)</f>
        <v>0.50858259956570506</v>
      </c>
      <c r="JI14" s="748">
        <f>IFERROR(SUMPRODUCT(('ANALYSE - ERP =&gt; SOUS-SEGMENT'!$C$8:$C$154=$C14)*'ANALYSE - ERP =&gt; SOUS-SEGMENT'!$Q$8:$Q$154*'ANALYSE - ERP =&gt; SOUS-SEGMENT'!$BG$8:$BG$154*'ANALYSE - ERP =&gt; SOUS-SEGMENT'!$JL$8:$JL$154)/SUMPRODUCT(('ANALYSE - ERP =&gt; SOUS-SEGMENT'!$C$8:$C$154=$C14)*'ANALYSE - ERP =&gt; SOUS-SEGMENT'!$Q$8:$Q$154*'ANALYSE - ERP =&gt; SOUS-SEGMENT'!$BG$8:$BG$154),0)</f>
        <v>0.14221824993437854</v>
      </c>
      <c r="JJ14" s="749">
        <f>IFERROR(SUMPRODUCT(('ANALYSE - ERP =&gt; SOUS-SEGMENT'!$C$8:$C$154=$C14)*'ANALYSE - ERP =&gt; SOUS-SEGMENT'!$Q$8:$Q$154*'ANALYSE - ERP =&gt; SOUS-SEGMENT'!$BG$8:$BG$154*'ANALYSE - ERP =&gt; SOUS-SEGMENT'!$JM$8:$JM$154)/SUMPRODUCT(('ANALYSE - ERP =&gt; SOUS-SEGMENT'!$C$8:$C$154=$C14)*'ANALYSE - ERP =&gt; SOUS-SEGMENT'!$Q$8:$Q$154*'ANALYSE - ERP =&gt; SOUS-SEGMENT'!$BG$8:$BG$154),0)</f>
        <v>3.4203927744768177E-3</v>
      </c>
      <c r="JK14" s="748">
        <f>IFERROR(SUMPRODUCT(('ANALYSE - ERP =&gt; SOUS-SEGMENT'!$C$8:$C$154=$C14)*'ANALYSE - ERP =&gt; SOUS-SEGMENT'!$Q$8:$Q$154*'ANALYSE - ERP =&gt; SOUS-SEGMENT'!$FH$8:$FH$154*'ANALYSE - ERP =&gt; SOUS-SEGMENT'!$JN$8:$JN$154)/SUMPRODUCT(('ANALYSE - ERP =&gt; SOUS-SEGMENT'!$C$8:$C$154=$C14)*'ANALYSE - ERP =&gt; SOUS-SEGMENT'!$Q$8:$Q$154*'ANALYSE - ERP =&gt; SOUS-SEGMENT'!$FH$8:$FH$154),0)</f>
        <v>0</v>
      </c>
      <c r="JL14" s="748">
        <f>IFERROR(SUMPRODUCT(('ANALYSE - ERP =&gt; SOUS-SEGMENT'!$C$8:$C$154=$C14)*'ANALYSE - ERP =&gt; SOUS-SEGMENT'!$Q$8:$Q$154*'ANALYSE - ERP =&gt; SOUS-SEGMENT'!$FH$8:$FH$154*'ANALYSE - ERP =&gt; SOUS-SEGMENT'!$JO$8:$JO$154)/SUMPRODUCT(('ANALYSE - ERP =&gt; SOUS-SEGMENT'!$C$8:$C$154=$C14)*'ANALYSE - ERP =&gt; SOUS-SEGMENT'!$Q$8:$Q$154*'ANALYSE - ERP =&gt; SOUS-SEGMENT'!$FH$8:$FH$154),0)</f>
        <v>0.22293292245548366</v>
      </c>
      <c r="JM14" s="748">
        <f>IFERROR(SUMPRODUCT(('ANALYSE - ERP =&gt; SOUS-SEGMENT'!$C$8:$C$154=$C14)*'ANALYSE - ERP =&gt; SOUS-SEGMENT'!$Q$8:$Q$154*'ANALYSE - ERP =&gt; SOUS-SEGMENT'!$FH$8:$FH$154*'ANALYSE - ERP =&gt; SOUS-SEGMENT'!$JP$8:$JP$154)/SUMPRODUCT(('ANALYSE - ERP =&gt; SOUS-SEGMENT'!$C$8:$C$154=$C14)*'ANALYSE - ERP =&gt; SOUS-SEGMENT'!$Q$8:$Q$154*'ANALYSE - ERP =&gt; SOUS-SEGMENT'!$FH$8:$FH$154),0)</f>
        <v>0.55138306116114522</v>
      </c>
      <c r="JN14" s="748">
        <f>IFERROR(SUMPRODUCT(('ANALYSE - ERP =&gt; SOUS-SEGMENT'!$C$8:$C$154=$C14)*'ANALYSE - ERP =&gt; SOUS-SEGMENT'!$Q$8:$Q$154*'ANALYSE - ERP =&gt; SOUS-SEGMENT'!$FH$8:$FH$154*'ANALYSE - ERP =&gt; SOUS-SEGMENT'!$JQ$8:$JQ$154)/SUMPRODUCT(('ANALYSE - ERP =&gt; SOUS-SEGMENT'!$C$8:$C$154=$C14)*'ANALYSE - ERP =&gt; SOUS-SEGMENT'!$Q$8:$Q$154*'ANALYSE - ERP =&gt; SOUS-SEGMENT'!$FH$8:$FH$154),0)</f>
        <v>0.21997844911195888</v>
      </c>
      <c r="JO14" s="748">
        <f>IFERROR(SUMPRODUCT(('ANALYSE - ERP =&gt; SOUS-SEGMENT'!$C$8:$C$154=$C14)*'ANALYSE - ERP =&gt; SOUS-SEGMENT'!$Q$8:$Q$154*'ANALYSE - ERP =&gt; SOUS-SEGMENT'!$FH$8:$FH$154*'ANALYSE - ERP =&gt; SOUS-SEGMENT'!$JR$8:$JR$154)/SUMPRODUCT(('ANALYSE - ERP =&gt; SOUS-SEGMENT'!$C$8:$C$154=$C14)*'ANALYSE - ERP =&gt; SOUS-SEGMENT'!$Q$8:$Q$154*'ANALYSE - ERP =&gt; SOUS-SEGMENT'!$FH$8:$FH$154),0)</f>
        <v>5.7055672714120473E-3</v>
      </c>
      <c r="JP14" s="771">
        <f>IFERROR(SUMPRODUCT(('ANALYSE - ERP =&gt; SOUS-SEGMENT'!$C$8:$C$154=$C14)*'ANALYSE - ERP =&gt; SOUS-SEGMENT'!$Q$8:$Q$154*'ANALYSE - ERP =&gt; SOUS-SEGMENT'!$BH$8:$BH$154*'ANALYSE - ERP =&gt; SOUS-SEGMENT'!$JS$8:$JS$154)/SUMPRODUCT(('ANALYSE - ERP =&gt; SOUS-SEGMENT'!$C$8:$C$154=$C14)*'ANALYSE - ERP =&gt; SOUS-SEGMENT'!$Q$8:$Q$154*'ANALYSE - ERP =&gt; SOUS-SEGMENT'!$BH$8:$BH$154),0)</f>
        <v>7.0810546330647412E-6</v>
      </c>
      <c r="JQ14" s="748">
        <f>IFERROR(SUMPRODUCT(('ANALYSE - ERP =&gt; SOUS-SEGMENT'!$C$8:$C$154=$C14)*'ANALYSE - ERP =&gt; SOUS-SEGMENT'!$Q$8:$Q$154*'ANALYSE - ERP =&gt; SOUS-SEGMENT'!$BH$8:$BH$154*'ANALYSE - ERP =&gt; SOUS-SEGMENT'!$JT$8:$JT$154)/SUMPRODUCT(('ANALYSE - ERP =&gt; SOUS-SEGMENT'!$C$8:$C$154=$C14)*'ANALYSE - ERP =&gt; SOUS-SEGMENT'!$Q$8:$Q$154*'ANALYSE - ERP =&gt; SOUS-SEGMENT'!$BH$8:$BH$154),0)</f>
        <v>0.12740913327841744</v>
      </c>
      <c r="JR14" s="748">
        <f>IFERROR(SUMPRODUCT(('ANALYSE - ERP =&gt; SOUS-SEGMENT'!$C$8:$C$154=$C14)*'ANALYSE - ERP =&gt; SOUS-SEGMENT'!$Q$8:$Q$154*'ANALYSE - ERP =&gt; SOUS-SEGMENT'!$BH$8:$BH$154*'ANALYSE - ERP =&gt; SOUS-SEGMENT'!$JU$8:$JU$154)/SUMPRODUCT(('ANALYSE - ERP =&gt; SOUS-SEGMENT'!$C$8:$C$154=$C14)*'ANALYSE - ERP =&gt; SOUS-SEGMENT'!$Q$8:$Q$154*'ANALYSE - ERP =&gt; SOUS-SEGMENT'!$BH$8:$BH$154),0)</f>
        <v>0.54169139781616382</v>
      </c>
      <c r="JS14" s="748">
        <f>IFERROR(SUMPRODUCT(('ANALYSE - ERP =&gt; SOUS-SEGMENT'!$C$8:$C$154=$C14)*'ANALYSE - ERP =&gt; SOUS-SEGMENT'!$Q$8:$Q$154*'ANALYSE - ERP =&gt; SOUS-SEGMENT'!$BH$8:$BH$154*'ANALYSE - ERP =&gt; SOUS-SEGMENT'!$JV$8:$JV$154)/SUMPRODUCT(('ANALYSE - ERP =&gt; SOUS-SEGMENT'!$C$8:$C$154=$C14)*'ANALYSE - ERP =&gt; SOUS-SEGMENT'!$Q$8:$Q$154*'ANALYSE - ERP =&gt; SOUS-SEGMENT'!$BH$8:$BH$154),0)</f>
        <v>0.32868716671105358</v>
      </c>
      <c r="JT14" s="749">
        <f>IFERROR(SUMPRODUCT(('ANALYSE - ERP =&gt; SOUS-SEGMENT'!$C$8:$C$154=$C14)*'ANALYSE - ERP =&gt; SOUS-SEGMENT'!$Q$8:$Q$154*'ANALYSE - ERP =&gt; SOUS-SEGMENT'!$BH$8:$BH$154*'ANALYSE - ERP =&gt; SOUS-SEGMENT'!$JW$8:$JW$154)/SUMPRODUCT(('ANALYSE - ERP =&gt; SOUS-SEGMENT'!$C$8:$C$154=$C14)*'ANALYSE - ERP =&gt; SOUS-SEGMENT'!$Q$8:$Q$154*'ANALYSE - ERP =&gt; SOUS-SEGMENT'!$BH$8:$BH$154),0)</f>
        <v>2.2052211397320682E-3</v>
      </c>
      <c r="JU14" s="771">
        <f>IFERROR(SUMPRODUCT(('ANALYSE - ERP =&gt; SOUS-SEGMENT'!$C$8:$C$154=$C14)*'ANALYSE - ERP =&gt; SOUS-SEGMENT'!$Q$8:$Q$154*'ANALYSE - ERP =&gt; SOUS-SEGMENT'!$FK$8:$FK$154*'ANALYSE - ERP =&gt; SOUS-SEGMENT'!$JX$8:$JX$154)/SUMPRODUCT(('ANALYSE - ERP =&gt; SOUS-SEGMENT'!$C$8:$C$154=$C14)*'ANALYSE - ERP =&gt; SOUS-SEGMENT'!$Q$8:$Q$154*'ANALYSE - ERP =&gt; SOUS-SEGMENT'!$FK$8:$FK$154),0)</f>
        <v>0</v>
      </c>
      <c r="JV14" s="748">
        <f>IFERROR(SUMPRODUCT(('ANALYSE - ERP =&gt; SOUS-SEGMENT'!$C$8:$C$154=$C14)*'ANALYSE - ERP =&gt; SOUS-SEGMENT'!$Q$8:$Q$154*'ANALYSE - ERP =&gt; SOUS-SEGMENT'!$FK$8:$FK$154*'ANALYSE - ERP =&gt; SOUS-SEGMENT'!$JY$8:$JY$154)/SUMPRODUCT(('ANALYSE - ERP =&gt; SOUS-SEGMENT'!$C$8:$C$154=$C14)*'ANALYSE - ERP =&gt; SOUS-SEGMENT'!$Q$8:$Q$154*'ANALYSE - ERP =&gt; SOUS-SEGMENT'!$FK$8:$FK$154),0)</f>
        <v>6.3540894731948044E-2</v>
      </c>
      <c r="JW14" s="748">
        <f>IFERROR(SUMPRODUCT(('ANALYSE - ERP =&gt; SOUS-SEGMENT'!$C$8:$C$154=$C14)*'ANALYSE - ERP =&gt; SOUS-SEGMENT'!$Q$8:$Q$154*'ANALYSE - ERP =&gt; SOUS-SEGMENT'!$FK$8:$FK$154*'ANALYSE - ERP =&gt; SOUS-SEGMENT'!$JZ$8:$JZ$154)/SUMPRODUCT(('ANALYSE - ERP =&gt; SOUS-SEGMENT'!$C$8:$C$154=$C14)*'ANALYSE - ERP =&gt; SOUS-SEGMENT'!$Q$8:$Q$154*'ANALYSE - ERP =&gt; SOUS-SEGMENT'!$FK$8:$FK$154),0)</f>
        <v>0.4808114581398677</v>
      </c>
      <c r="JX14" s="748">
        <f>IFERROR(SUMPRODUCT(('ANALYSE - ERP =&gt; SOUS-SEGMENT'!$C$8:$C$154=$C14)*'ANALYSE - ERP =&gt; SOUS-SEGMENT'!$Q$8:$Q$154*'ANALYSE - ERP =&gt; SOUS-SEGMENT'!$FK$8:$FK$154*'ANALYSE - ERP =&gt; SOUS-SEGMENT'!$KA$8:$KA$154)/SUMPRODUCT(('ANALYSE - ERP =&gt; SOUS-SEGMENT'!$C$8:$C$154=$C14)*'ANALYSE - ERP =&gt; SOUS-SEGMENT'!$Q$8:$Q$154*'ANALYSE - ERP =&gt; SOUS-SEGMENT'!$FK$8:$FK$154),0)</f>
        <v>0.42929998668287933</v>
      </c>
      <c r="JY14" s="775">
        <f>IFERROR(SUMPRODUCT(('ANALYSE - ERP =&gt; SOUS-SEGMENT'!$C$8:$C$154=$C14)*'ANALYSE - ERP =&gt; SOUS-SEGMENT'!$Q$8:$Q$154*'ANALYSE - ERP =&gt; SOUS-SEGMENT'!$FK$8:$FK$154*'ANALYSE - ERP =&gt; SOUS-SEGMENT'!$KB$8:$KB$154)/SUMPRODUCT(('ANALYSE - ERP =&gt; SOUS-SEGMENT'!$C$8:$C$154=$C14)*'ANALYSE - ERP =&gt; SOUS-SEGMENT'!$Q$8:$Q$154*'ANALYSE - ERP =&gt; SOUS-SEGMENT'!$FK$8:$FK$154),0)</f>
        <v>2.6347660445304823E-2</v>
      </c>
      <c r="JZ14" s="657"/>
      <c r="KA14" s="314" t="s">
        <v>2590</v>
      </c>
      <c r="KB14" s="314" t="s">
        <v>2591</v>
      </c>
      <c r="KC14" s="866">
        <f>IFERROR(SUMPRODUCT(('ANALYSE - ERP =&gt; SOUS-SEGMENT'!$C$8:$C$154=$C15)*'ANALYSE - ERP =&gt; SOUS-SEGMENT'!$Q$8:$Q$154*'ANALYSE - ERP =&gt; SOUS-SEGMENT'!$EX$8:$EX$154*'ANALYSE - ERP =&gt; SOUS-SEGMENT'!$KF$8:$KF$154)/SUMPRODUCT(('ANALYSE - ERP =&gt; SOUS-SEGMENT'!$C$8:$C$154=$C15)*'ANALYSE - ERP =&gt; SOUS-SEGMENT'!$Q$8:$Q$154*'ANALYSE - ERP =&gt; SOUS-SEGMENT'!$EX$8:$EX$154),"")</f>
        <v>3.8977288224840163</v>
      </c>
      <c r="KD14" s="314" t="s">
        <v>2719</v>
      </c>
      <c r="KE14" s="315" t="s">
        <v>3500</v>
      </c>
      <c r="KF14" s="617" t="s">
        <v>6760</v>
      </c>
      <c r="KG14" s="315" t="s">
        <v>6760</v>
      </c>
    </row>
    <row r="15" spans="1:293" ht="108" customHeight="1">
      <c r="A15" s="265">
        <v>8</v>
      </c>
      <c r="B15" s="483" t="s">
        <v>2241</v>
      </c>
      <c r="C15" s="483" t="s">
        <v>2242</v>
      </c>
      <c r="D15" s="483" t="s">
        <v>6904</v>
      </c>
      <c r="E15" s="267" t="s">
        <v>6905</v>
      </c>
      <c r="F15" s="267" t="s">
        <v>300</v>
      </c>
      <c r="G15" s="267" t="s">
        <v>300</v>
      </c>
      <c r="H15" s="267" t="s">
        <v>2117</v>
      </c>
      <c r="I15" s="268" t="s">
        <v>6906</v>
      </c>
      <c r="J15" s="268" t="s">
        <v>6907</v>
      </c>
      <c r="K15" s="269" t="s">
        <v>2117</v>
      </c>
      <c r="L15" s="269" t="s">
        <v>2109</v>
      </c>
      <c r="M15" s="269" t="s">
        <v>2603</v>
      </c>
      <c r="N15" s="269" t="s">
        <v>6742</v>
      </c>
      <c r="O15" s="269" t="s">
        <v>2616</v>
      </c>
      <c r="P15" s="268"/>
      <c r="Q15" s="270">
        <f>IF(SUMPRODUCT(('ANALYSE - ERP =&gt; SOUS-SEGMENT'!$C$8:$C$154=$C15)*'ANALYSE - ERP =&gt; SOUS-SEGMENT'!$Q$8:$Q$154)&gt;0,1,0)</f>
        <v>1</v>
      </c>
      <c r="R15" s="271">
        <f>IFERROR(SUMPRODUCT(('ANALYSE - ERP =&gt; SOUS-SEGMENT'!$C$8:$C$154=$C15)*'ANALYSE - ERP =&gt; SOUS-SEGMENT'!$Q$8:$Q$154*'ANALYSE - ERP =&gt; SOUS-SEGMENT'!$AG$8:$AG$154*'ANALYSE - ERP =&gt; SOUS-SEGMENT'!$R$8:$R$154)/SUMPRODUCT(('ANALYSE - ERP =&gt; SOUS-SEGMENT'!$C$8:$C$154=$C15)*'ANALYSE - ERP =&gt; SOUS-SEGMENT'!$Q$8:$Q$154*'ANALYSE - ERP =&gt; SOUS-SEGMENT'!$AG$8:$AG$154),"")</f>
        <v>551.89403801093465</v>
      </c>
      <c r="S15" s="272">
        <f>SUMPRODUCT(('ANALYSE - ERP =&gt; SOUS-SEGMENT'!$C$8:$C$154=$C15)*'ANALYSE - ERP =&gt; SOUS-SEGMENT'!$Q$8:$Q$154*'ANALYSE - ERP =&gt; SOUS-SEGMENT'!$S$8:$S$154)</f>
        <v>2603</v>
      </c>
      <c r="T15" s="272">
        <f>SUMPRODUCT(('ANALYSE - ERP =&gt; SOUS-SEGMENT'!$C$8:$C$154=$C15)*'ANALYSE - ERP =&gt; SOUS-SEGMENT'!$Q$8:$Q$154*'ANALYSE - ERP =&gt; SOUS-SEGMENT'!$T$8:$T$154)</f>
        <v>3182</v>
      </c>
      <c r="U15" s="272">
        <f>SUMPRODUCT(('ANALYSE - ERP =&gt; SOUS-SEGMENT'!$C$8:$C$154=$C15)*'ANALYSE - ERP =&gt; SOUS-SEGMENT'!$Q$8:$Q$154*'ANALYSE - ERP =&gt; SOUS-SEGMENT'!$U$8:$U$154)</f>
        <v>3852</v>
      </c>
      <c r="V15" s="272">
        <f>SUMPRODUCT(('ANALYSE - ERP =&gt; SOUS-SEGMENT'!$C$8:$C$154=$C15)*'ANALYSE - ERP =&gt; SOUS-SEGMENT'!$Q$8:$Q$154*'ANALYSE - ERP =&gt; SOUS-SEGMENT'!$V$8:$V$154)</f>
        <v>4685</v>
      </c>
      <c r="W15" s="272">
        <f>SUMPRODUCT(('ANALYSE - ERP =&gt; SOUS-SEGMENT'!$C$8:$C$154=$C15)*'ANALYSE - ERP =&gt; SOUS-SEGMENT'!$Q$8:$Q$154*'ANALYSE - ERP =&gt; SOUS-SEGMENT'!$W$8:$W$154)</f>
        <v>4908</v>
      </c>
      <c r="X15" s="272">
        <f>SUMPRODUCT(('ANALYSE - ERP =&gt; SOUS-SEGMENT'!$C$8:$C$154=$C15)*'ANALYSE - ERP =&gt; SOUS-SEGMENT'!$Q$8:$Q$154*'ANALYSE - ERP =&gt; SOUS-SEGMENT'!$X$8:$X$154)</f>
        <v>5139</v>
      </c>
      <c r="Y15" s="272">
        <f>SUMPRODUCT(('ANALYSE - ERP =&gt; SOUS-SEGMENT'!$C$8:$C$154=$C15)*'ANALYSE - ERP =&gt; SOUS-SEGMENT'!$Q$8:$Q$154*'ANALYSE - ERP =&gt; SOUS-SEGMENT'!$Y$8:$Y$154)</f>
        <v>5378</v>
      </c>
      <c r="Z15" s="272">
        <f>SUMPRODUCT(('ANALYSE - ERP =&gt; SOUS-SEGMENT'!$C$8:$C$154=$C15)*'ANALYSE - ERP =&gt; SOUS-SEGMENT'!$Q$8:$Q$154*'ANALYSE - ERP =&gt; SOUS-SEGMENT'!$Z$8:$Z$154)</f>
        <v>5627</v>
      </c>
      <c r="AA15" s="272">
        <f>SUMPRODUCT(('ANALYSE - ERP =&gt; SOUS-SEGMENT'!$C$8:$C$154=$C15)*'ANALYSE - ERP =&gt; SOUS-SEGMENT'!$Q$8:$Q$154*'ANALYSE - ERP =&gt; SOUS-SEGMENT'!$AA$8:$AA$154)</f>
        <v>5803</v>
      </c>
      <c r="AB15" s="272">
        <f>SUMPRODUCT(('ANALYSE - ERP =&gt; SOUS-SEGMENT'!$C$8:$C$154=$C15)*'ANALYSE - ERP =&gt; SOUS-SEGMENT'!$Q$8:$Q$154*'ANALYSE - ERP =&gt; SOUS-SEGMENT'!$AB$8:$AB$154)</f>
        <v>6009</v>
      </c>
      <c r="AC15" s="272">
        <f>SUMPRODUCT(('ANALYSE - ERP =&gt; SOUS-SEGMENT'!$C$8:$C$154=$C15)*'ANALYSE - ERP =&gt; SOUS-SEGMENT'!$Q$8:$Q$154*'ANALYSE - ERP =&gt; SOUS-SEGMENT'!$AC$8:$AC$154)</f>
        <v>6218</v>
      </c>
      <c r="AD15" s="272">
        <f>SUMPRODUCT(('ANALYSE - ERP =&gt; SOUS-SEGMENT'!$C$8:$C$154=$C15)*'ANALYSE - ERP =&gt; SOUS-SEGMENT'!$Q$8:$Q$154*'ANALYSE - ERP =&gt; SOUS-SEGMENT'!$AD$8:$AD$154)</f>
        <v>6385</v>
      </c>
      <c r="AE15" s="272">
        <f>SUMPRODUCT(('ANALYSE - ERP =&gt; SOUS-SEGMENT'!$C$8:$C$154=$C15)*'ANALYSE - ERP =&gt; SOUS-SEGMENT'!$Q$8:$Q$154*'ANALYSE - ERP =&gt; SOUS-SEGMENT'!$AE$8:$AE$154)</f>
        <v>6650</v>
      </c>
      <c r="AF15" s="272">
        <f>SUMPRODUCT(('ANALYSE - ERP =&gt; SOUS-SEGMENT'!$C$8:$C$154=$C15)*'ANALYSE - ERP =&gt; SOUS-SEGMENT'!$Q$8:$Q$154*'ANALYSE - ERP =&gt; SOUS-SEGMENT'!$AF$8:$AF$154)</f>
        <v>7126</v>
      </c>
      <c r="AG15" s="272">
        <f>SUMPRODUCT(('ANALYSE - ERP =&gt; SOUS-SEGMENT'!$C$8:$C$154=$C15)*'ANALYSE - ERP =&gt; SOUS-SEGMENT'!$Q$8:$Q$154*'ANALYSE - ERP =&gt; SOUS-SEGMENT'!$AG$8:$AG$154)</f>
        <v>7682</v>
      </c>
      <c r="AH15" s="272">
        <f>SUMPRODUCT(('ANALYSE - ERP =&gt; SOUS-SEGMENT'!$C$8:$C$154=$C15)*'ANALYSE - ERP =&gt; SOUS-SEGMENT'!$Q$8:$Q$154*'ANALYSE - ERP =&gt; SOUS-SEGMENT'!$AH$8:$AH$154)</f>
        <v>8338</v>
      </c>
      <c r="AI15" s="272">
        <f>SUMPRODUCT(('ANALYSE - ERP =&gt; SOUS-SEGMENT'!$C$8:$C$154=$C15)*'ANALYSE - ERP =&gt; SOUS-SEGMENT'!$Q$8:$Q$154*'ANALYSE - ERP =&gt; SOUS-SEGMENT'!$AI$8:$AI$154)</f>
        <v>8845</v>
      </c>
      <c r="AJ15" s="272">
        <f>SUMPRODUCT(('ANALYSE - ERP =&gt; SOUS-SEGMENT'!$C$8:$C$154=$C15)*'ANALYSE - ERP =&gt; SOUS-SEGMENT'!$Q$8:$Q$154*'ANALYSE - ERP =&gt; SOUS-SEGMENT'!$AJ$8:$AJ$154)</f>
        <v>9153</v>
      </c>
      <c r="AK15" s="272">
        <f>SUMPRODUCT(('ANALYSE - ERP =&gt; SOUS-SEGMENT'!$C$8:$C$154=$C15)*'ANALYSE - ERP =&gt; SOUS-SEGMENT'!$Q$8:$Q$154*'ANALYSE - ERP =&gt; SOUS-SEGMENT'!$AK$8:$AK$154)</f>
        <v>9412</v>
      </c>
      <c r="AL15" s="268" t="s">
        <v>6908</v>
      </c>
      <c r="AM15" s="268" t="s">
        <v>6909</v>
      </c>
      <c r="AN15" s="268" t="s">
        <v>6910</v>
      </c>
      <c r="AO15" s="657"/>
      <c r="AP15" s="271">
        <f>IFERROR(SUMPRODUCT(('ANALYSE - ERP =&gt; SOUS-SEGMENT'!$C$8:$C$154=$C15)*'ANALYSE - ERP =&gt; SOUS-SEGMENT'!$Q$8:$Q$154*'ANALYSE - ERP =&gt; SOUS-SEGMENT'!$AG$8:$AG$154*'ANALYSE - ERP =&gt; SOUS-SEGMENT'!$AP$8:$AP$154)/SUMPRODUCT(('ANALYSE - ERP =&gt; SOUS-SEGMENT'!$C$8:$C$154=$C15)*'ANALYSE - ERP =&gt; SOUS-SEGMENT'!$Q$8:$Q$154*'ANALYSE - ERP =&gt; SOUS-SEGMENT'!$AG$8:$AG$154),"")</f>
        <v>21.877766206717002</v>
      </c>
      <c r="AQ15" s="280">
        <f>IFERROR(SUMPRODUCT(('ANALYSE - ERP =&gt; SOUS-SEGMENT'!$C$8:$C$154=$C15)*'ANALYSE - ERP =&gt; SOUS-SEGMENT'!$Q$8:$Q$154*'ANALYSE - ERP =&gt; SOUS-SEGMENT'!$AF$8:$AF$154*'ANALYSE - ERP =&gt; SOUS-SEGMENT'!$AQ$8:$AQ$154)/SUMPRODUCT(('ANALYSE - ERP =&gt; SOUS-SEGMENT'!$C$8:$C$154=$C15)*'ANALYSE - ERP =&gt; SOUS-SEGMENT'!$Q$8:$Q$154*'ANALYSE - ERP =&gt; SOUS-SEGMENT'!$AF$8:$AF$154),"")</f>
        <v>15.234914397979232</v>
      </c>
      <c r="AR15" s="974">
        <f>IFERROR(SUMPRODUCT(('ANALYSE - ERP =&gt; SOUS-SEGMENT'!$C$8:$C$154=$C15)*'ANALYSE - ERP =&gt; SOUS-SEGMENT'!$Q$8:$Q$154*'ANALYSE - ERP =&gt; SOUS-SEGMENT'!$AF$8:$AF$154*'ANALYSE - ERP =&gt; SOUS-SEGMENT'!$AR$8:$AR$154)/SUMPRODUCT(('ANALYSE - ERP =&gt; SOUS-SEGMENT'!$C$8:$C$154=$C15)*'ANALYSE - ERP =&gt; SOUS-SEGMENT'!$Q$8:$Q$154*'ANALYSE - ERP =&gt; SOUS-SEGMENT'!$AF$8:$AF$154),"")</f>
        <v>4.75919169239405</v>
      </c>
      <c r="AS15" s="974">
        <f>IFERROR(SUMPRODUCT(('ANALYSE - ERP =&gt; SOUS-SEGMENT'!$C$8:$C$154=$C15)*'ANALYSE - ERP =&gt; SOUS-SEGMENT'!$Q$8:$Q$154*'ANALYSE - ERP =&gt; SOUS-SEGMENT'!$AF$8:$AF$154*'ANALYSE - ERP =&gt; SOUS-SEGMENT'!$AS$8:$AS$154)/SUMPRODUCT(('ANALYSE - ERP =&gt; SOUS-SEGMENT'!$C$8:$C$154=$C15)*'ANALYSE - ERP =&gt; SOUS-SEGMENT'!$Q$8:$Q$154*'ANALYSE - ERP =&gt; SOUS-SEGMENT'!$AF$8:$AF$154),"")</f>
        <v>2</v>
      </c>
      <c r="AT15" s="657" t="s">
        <v>6911</v>
      </c>
      <c r="AU15" s="290" t="s">
        <v>6912</v>
      </c>
      <c r="AV15" s="572" t="s">
        <v>3299</v>
      </c>
      <c r="AW15" s="290" t="s">
        <v>6862</v>
      </c>
      <c r="AX15" s="657"/>
      <c r="AY15" s="303">
        <f>IFERROR(SUMPRODUCT(('ANALYSE - ERP =&gt; SOUS-SEGMENT'!$C$8:$C$154=$C15)*'ANALYSE - ERP =&gt; SOUS-SEGMENT'!$Q$8:$Q$154*'ANALYSE - ERP =&gt; SOUS-SEGMENT'!$AF$8:$AF$154*'ANALYSE - ERP =&gt; SOUS-SEGMENT'!$AZ$8:$AZ$154)/SUMPRODUCT(('ANALYSE - ERP =&gt; SOUS-SEGMENT'!$C$8:$C$154=$C15)*'ANALYSE - ERP =&gt; SOUS-SEGMENT'!$Q$8:$Q$154*'ANALYSE - ERP =&gt; SOUS-SEGMENT'!$AF$8:$AF$154),"")</f>
        <v>2.819814762840303</v>
      </c>
      <c r="AZ15" s="948">
        <f>IFERROR(SUMPRODUCT(('ANALYSE - ERP =&gt; SOUS-SEGMENT'!$C$8:$C$154=$C15)*'ANALYSE - ERP =&gt; SOUS-SEGMENT'!$Q$8:$Q$154*'ANALYSE - ERP =&gt; SOUS-SEGMENT'!$AF$8:$AF$154*'ANALYSE - ERP =&gt; SOUS-SEGMENT'!$BA$8:$BA$154)/SUMPRODUCT(('ANALYSE - ERP =&gt; SOUS-SEGMENT'!$C$8:$C$154=$C15)*'ANALYSE - ERP =&gt; SOUS-SEGMENT'!$Q$8:$Q$154*'ANALYSE - ERP =&gt; SOUS-SEGMENT'!$AF$8:$AF$154),"")</f>
        <v>9.9705304518664051E-2</v>
      </c>
      <c r="BA15" s="303">
        <f>IFERROR(SUMPRODUCT(('ANALYSE - ERP =&gt; SOUS-SEGMENT'!$C$8:$C$154=$C15)*'ANALYSE - ERP =&gt; SOUS-SEGMENT'!$Q$8:$Q$154*'ANALYSE - ERP =&gt; SOUS-SEGMENT'!$AF$8:$AF$154*'ANALYSE - ERP =&gt; SOUS-SEGMENT'!$BB$8:$BB$154)/SUMPRODUCT(('ANALYSE - ERP =&gt; SOUS-SEGMENT'!$C$8:$C$154=$C15)*'ANALYSE - ERP =&gt; SOUS-SEGMENT'!$Q$8:$Q$154*'ANALYSE - ERP =&gt; SOUS-SEGMENT'!$AF$8:$AF$154),"")</f>
        <v>0.6093179904574797</v>
      </c>
      <c r="BB15" s="303">
        <f>IFERROR(SUMPRODUCT(('ANALYSE - ERP =&gt; SOUS-SEGMENT'!$C$8:$C$154=$C15)*'ANALYSE - ERP =&gt; SOUS-SEGMENT'!$Q$8:$Q$154*'ANALYSE - ERP =&gt; SOUS-SEGMENT'!$AF$8:$AF$154*'ANALYSE - ERP =&gt; SOUS-SEGMENT'!$BC$8:$BC$154)/SUMPRODUCT(('ANALYSE - ERP =&gt; SOUS-SEGMENT'!$C$8:$C$154=$C15)*'ANALYSE - ERP =&gt; SOUS-SEGMENT'!$Q$8:$Q$154*'ANALYSE - ERP =&gt; SOUS-SEGMENT'!$AF$8:$AF$154),"")</f>
        <v>2.819814762840303</v>
      </c>
      <c r="BC15" s="304">
        <f>SUMPRODUCT(('ANALYSE - ERP =&gt; SOUS-SEGMENT'!$C$8:$C$154=$C15)*'ANALYSE - ERP =&gt; SOUS-SEGMENT'!$Q$8:$Q$154*'ANALYSE - ERP =&gt; SOUS-SEGMENT'!$BE$8:$BE$154)</f>
        <v>20094</v>
      </c>
      <c r="BD15" s="304">
        <f>SUMPRODUCT(('ANALYSE - ERP =&gt; SOUS-SEGMENT'!$C$8:$C$154=$C15)*'ANALYSE - ERP =&gt; SOUS-SEGMENT'!$Q$8:$Q$154*'ANALYSE - ERP =&gt; SOUS-SEGMENT'!$BF$8:$BF$154)</f>
        <v>710.5</v>
      </c>
      <c r="BE15" s="304">
        <f>SUMPRODUCT(('ANALYSE - ERP =&gt; SOUS-SEGMENT'!$C$8:$C$154=$C15)*'ANALYSE - ERP =&gt; SOUS-SEGMENT'!$Q$8:$Q$154*'ANALYSE - ERP =&gt; SOUS-SEGMENT'!$BG$8:$BG$154)</f>
        <v>4342</v>
      </c>
      <c r="BF15" s="304">
        <f>SUMPRODUCT(('ANALYSE - ERP =&gt; SOUS-SEGMENT'!$C$8:$C$154=$C15)*'ANALYSE - ERP =&gt; SOUS-SEGMENT'!$Q$8:$Q$154*'ANALYSE - ERP =&gt; SOUS-SEGMENT'!$BH$8:$BH$154)</f>
        <v>20094</v>
      </c>
      <c r="BG15" s="304">
        <f>SUMPRODUCT(('ANALYSE - ERP =&gt; SOUS-SEGMENT'!$C$8:$C$154=$C15)*'ANALYSE - ERP =&gt; SOUS-SEGMENT'!$Q$8:$Q$154*'ANALYSE - ERP =&gt; SOUS-SEGMENT'!$BJ$8:$BJ$154)</f>
        <v>26886</v>
      </c>
      <c r="BH15" s="304">
        <f>SUMPRODUCT(('ANALYSE - ERP =&gt; SOUS-SEGMENT'!$C$8:$C$154=$C15)*'ANALYSE - ERP =&gt; SOUS-SEGMENT'!$Q$8:$Q$154*'ANALYSE - ERP =&gt; SOUS-SEGMENT'!$BK$8:$BK$154)</f>
        <v>765.5</v>
      </c>
      <c r="BI15" s="304">
        <f>SUMPRODUCT(('ANALYSE - ERP =&gt; SOUS-SEGMENT'!$C$8:$C$154=$C15)*'ANALYSE - ERP =&gt; SOUS-SEGMENT'!$Q$8:$Q$154*'ANALYSE - ERP =&gt; SOUS-SEGMENT'!$BL$8:$BL$154)</f>
        <v>5562</v>
      </c>
      <c r="BJ15" s="304">
        <f>SUMPRODUCT(('ANALYSE - ERP =&gt; SOUS-SEGMENT'!$C$8:$C$154=$C15)*'ANALYSE - ERP =&gt; SOUS-SEGMENT'!$Q$8:$Q$154*'ANALYSE - ERP =&gt; SOUS-SEGMENT'!$BM$8:$BM$154)</f>
        <v>26886</v>
      </c>
      <c r="BK15" s="657"/>
      <c r="BL15" s="580">
        <f>IFERROR(SUMPRODUCT(('ANALYSE - ERP =&gt; SOUS-SEGMENT'!$C$8:$C$154=$C15)*'ANALYSE - ERP =&gt; SOUS-SEGMENT'!$Q$8:$Q$154*'ANALYSE - ERP =&gt; SOUS-SEGMENT'!$BE$8:$BE$154*'ANALYSE - ERP =&gt; SOUS-SEGMENT'!$BO$8:$BO$154)/SUMPRODUCT(('ANALYSE - ERP =&gt; SOUS-SEGMENT'!$C$8:$C$154=$C15)*'ANALYSE - ERP =&gt; SOUS-SEGMENT'!$Q$8:$Q$154*'ANALYSE - ERP =&gt; SOUS-SEGMENT'!$BE$8:$BE$154),"")</f>
        <v>0.46344879068378625</v>
      </c>
      <c r="BM15" s="305">
        <f>IFERROR(SUMPRODUCT(('ANALYSE - ERP =&gt; SOUS-SEGMENT'!$C$8:$C$154=$C15)*'ANALYSE - ERP =&gt; SOUS-SEGMENT'!$Q$8:$Q$154*'ANALYSE - ERP =&gt; SOUS-SEGMENT'!$BE$8:$BE$154*'ANALYSE - ERP =&gt; SOUS-SEGMENT'!$BP$8:$BP$154)/SUMPRODUCT(('ANALYSE - ERP =&gt; SOUS-SEGMENT'!$C$8:$C$154=$C15)*'ANALYSE - ERP =&gt; SOUS-SEGMENT'!$Q$8:$Q$154*'ANALYSE - ERP =&gt; SOUS-SEGMENT'!$BE$8:$BE$154),"")</f>
        <v>0.27172588832487304</v>
      </c>
      <c r="BN15" s="305">
        <f>IFERROR(SUMPRODUCT(('ANALYSE - ERP =&gt; SOUS-SEGMENT'!$C$8:$C$154=$C15)*'ANALYSE - ERP =&gt; SOUS-SEGMENT'!$Q$8:$Q$154*'ANALYSE - ERP =&gt; SOUS-SEGMENT'!$BE$8:$BE$154*'ANALYSE - ERP =&gt; SOUS-SEGMENT'!$BQ$8:$BQ$154)/SUMPRODUCT(('ANALYSE - ERP =&gt; SOUS-SEGMENT'!$C$8:$C$154=$C15)*'ANALYSE - ERP =&gt; SOUS-SEGMENT'!$Q$8:$Q$154*'ANALYSE - ERP =&gt; SOUS-SEGMENT'!$BE$8:$BE$154),"")</f>
        <v>0.18081815467303672</v>
      </c>
      <c r="BO15" s="581">
        <f>IFERROR(SUMPRODUCT(('ANALYSE - ERP =&gt; SOUS-SEGMENT'!$C$8:$C$154=$C15)*'ANALYSE - ERP =&gt; SOUS-SEGMENT'!$Q$8:$Q$154*'ANALYSE - ERP =&gt; SOUS-SEGMENT'!$BE$8:$BE$154*'ANALYSE - ERP =&gt; SOUS-SEGMENT'!$BR$8:$BR$154)/SUMPRODUCT(('ANALYSE - ERP =&gt; SOUS-SEGMENT'!$C$8:$C$154=$C15)*'ANALYSE - ERP =&gt; SOUS-SEGMENT'!$Q$8:$Q$154*'ANALYSE - ERP =&gt; SOUS-SEGMENT'!$BE$8:$BE$154),"")</f>
        <v>8.4007166318303975E-2</v>
      </c>
      <c r="BP15" s="580">
        <f>IFERROR(SUMPRODUCT(('ANALYSE - ERP =&gt; SOUS-SEGMENT'!$C$8:$C$154=$C15)*'ANALYSE - ERP =&gt; SOUS-SEGMENT'!$Q$8:$Q$154*'ANALYSE - ERP =&gt; SOUS-SEGMENT'!$BJ$8:$BJ$154*'ANALYSE - ERP =&gt; SOUS-SEGMENT'!$BS$8:$BS$154)/SUMPRODUCT(('ANALYSE - ERP =&gt; SOUS-SEGMENT'!$C$8:$C$154=$C15)*'ANALYSE - ERP =&gt; SOUS-SEGMENT'!$Q$8:$Q$154*'ANALYSE - ERP =&gt; SOUS-SEGMENT'!$BJ$8:$BJ$154),"")</f>
        <v>0.43986163802722605</v>
      </c>
      <c r="BQ15" s="305">
        <f>IFERROR(SUMPRODUCT(('ANALYSE - ERP =&gt; SOUS-SEGMENT'!$C$8:$C$154=$C15)*'ANALYSE - ERP =&gt; SOUS-SEGMENT'!$Q$8:$Q$154*'ANALYSE - ERP =&gt; SOUS-SEGMENT'!$BJ$8:$BJ$154*'ANALYSE - ERP =&gt; SOUS-SEGMENT'!$BT$8:$BT$154)/SUMPRODUCT(('ANALYSE - ERP =&gt; SOUS-SEGMENT'!$C$8:$C$154=$C15)*'ANALYSE - ERP =&gt; SOUS-SEGMENT'!$Q$8:$Q$154*'ANALYSE - ERP =&gt; SOUS-SEGMENT'!$BJ$8:$BJ$154),"")</f>
        <v>0.2680763222494979</v>
      </c>
      <c r="BR15" s="305">
        <f>IFERROR(SUMPRODUCT(('ANALYSE - ERP =&gt; SOUS-SEGMENT'!$C$8:$C$154=$C15)*'ANALYSE - ERP =&gt; SOUS-SEGMENT'!$Q$8:$Q$154*'ANALYSE - ERP =&gt; SOUS-SEGMENT'!$BJ$8:$BJ$154*'ANALYSE - ERP =&gt; SOUS-SEGMENT'!$BU$8:$BU$154)/SUMPRODUCT(('ANALYSE - ERP =&gt; SOUS-SEGMENT'!$C$8:$C$154=$C15)*'ANALYSE - ERP =&gt; SOUS-SEGMENT'!$Q$8:$Q$154*'ANALYSE - ERP =&gt; SOUS-SEGMENT'!$BJ$8:$BJ$154),"")</f>
        <v>0.21739120731979472</v>
      </c>
      <c r="BS15" s="581">
        <f>IFERROR(SUMPRODUCT(('ANALYSE - ERP =&gt; SOUS-SEGMENT'!$C$8:$C$154=$C15)*'ANALYSE - ERP =&gt; SOUS-SEGMENT'!$Q$8:$Q$154*'ANALYSE - ERP =&gt; SOUS-SEGMENT'!$BJ$8:$BJ$154*'ANALYSE - ERP =&gt; SOUS-SEGMENT'!$BV$8:$BV$154)/SUMPRODUCT(('ANALYSE - ERP =&gt; SOUS-SEGMENT'!$C$8:$C$154=$C15)*'ANALYSE - ERP =&gt; SOUS-SEGMENT'!$Q$8:$Q$154*'ANALYSE - ERP =&gt; SOUS-SEGMENT'!$BJ$8:$BJ$154),"")</f>
        <v>7.4670832403481366E-2</v>
      </c>
      <c r="BT15" s="589">
        <f>IFERROR(SUMPRODUCT(('ANALYSE - ERP =&gt; SOUS-SEGMENT'!$C$8:$C$154=$C15)*'ANALYSE - ERP =&gt; SOUS-SEGMENT'!$Q$8:$Q$154*'ANALYSE - ERP =&gt; SOUS-SEGMENT'!$BF$8:$BF$154*'ANALYSE - ERP =&gt; SOUS-SEGMENT'!$BW$8:$BW$154)/SUMPRODUCT(('ANALYSE - ERP =&gt; SOUS-SEGMENT'!$C$8:$C$154=$C15)*'ANALYSE - ERP =&gt; SOUS-SEGMENT'!$Q$8:$Q$154*'ANALYSE - ERP =&gt; SOUS-SEGMENT'!$BF$8:$BF$154),"")</f>
        <v>0.82000000000000006</v>
      </c>
      <c r="BU15" s="306">
        <f>IFERROR(SUMPRODUCT(('ANALYSE - ERP =&gt; SOUS-SEGMENT'!$C$8:$C$154=$C15)*'ANALYSE - ERP =&gt; SOUS-SEGMENT'!$Q$8:$Q$154*'ANALYSE - ERP =&gt; SOUS-SEGMENT'!$BF$8:$BF$154*'ANALYSE - ERP =&gt; SOUS-SEGMENT'!$BX$8:$BX$154)/SUMPRODUCT(('ANALYSE - ERP =&gt; SOUS-SEGMENT'!$C$8:$C$154=$C15)*'ANALYSE - ERP =&gt; SOUS-SEGMENT'!$Q$8:$Q$154*'ANALYSE - ERP =&gt; SOUS-SEGMENT'!$BF$8:$BF$154),"")</f>
        <v>0.14000000000000001</v>
      </c>
      <c r="BV15" s="590">
        <f>IFERROR(SUMPRODUCT(('ANALYSE - ERP =&gt; SOUS-SEGMENT'!$C$8:$C$154=$C15)*'ANALYSE - ERP =&gt; SOUS-SEGMENT'!$Q$8:$Q$154*'ANALYSE - ERP =&gt; SOUS-SEGMENT'!$BF$8:$BF$154*'ANALYSE - ERP =&gt; SOUS-SEGMENT'!$BY$8:$BY$154)/SUMPRODUCT(('ANALYSE - ERP =&gt; SOUS-SEGMENT'!$C$8:$C$154=$C15)*'ANALYSE - ERP =&gt; SOUS-SEGMENT'!$Q$8:$Q$154*'ANALYSE - ERP =&gt; SOUS-SEGMENT'!$BF$8:$BF$154),"")</f>
        <v>0.04</v>
      </c>
      <c r="BW15" s="589">
        <f>IFERROR(SUMPRODUCT(('ANALYSE - ERP =&gt; SOUS-SEGMENT'!$C$8:$C$154=$C15)*'ANALYSE - ERP =&gt; SOUS-SEGMENT'!$Q$8:$Q$154*'ANALYSE - ERP =&gt; SOUS-SEGMENT'!$BK$8:$BK$154*'ANALYSE - ERP =&gt; SOUS-SEGMENT'!$BZ$8:$BZ$154)/SUMPRODUCT(('ANALYSE - ERP =&gt; SOUS-SEGMENT'!$C$8:$C$154=$C15)*'ANALYSE - ERP =&gt; SOUS-SEGMENT'!$Q$8:$Q$154*'ANALYSE - ERP =&gt; SOUS-SEGMENT'!$BK$8:$BK$154),"")</f>
        <v>0.79</v>
      </c>
      <c r="BX15" s="306">
        <f>IFERROR(SUMPRODUCT(('ANALYSE - ERP =&gt; SOUS-SEGMENT'!$C$8:$C$154=$C15)*'ANALYSE - ERP =&gt; SOUS-SEGMENT'!$Q$8:$Q$154*'ANALYSE - ERP =&gt; SOUS-SEGMENT'!$BK$8:$BK$154*'ANALYSE - ERP =&gt; SOUS-SEGMENT'!$CA$8:$CA$154)/SUMPRODUCT(('ANALYSE - ERP =&gt; SOUS-SEGMENT'!$C$8:$C$154=$C15)*'ANALYSE - ERP =&gt; SOUS-SEGMENT'!$Q$8:$Q$154*'ANALYSE - ERP =&gt; SOUS-SEGMENT'!$BK$8:$BK$154),"")</f>
        <v>0.16</v>
      </c>
      <c r="BY15" s="590">
        <f>IFERROR(SUMPRODUCT(('ANALYSE - ERP =&gt; SOUS-SEGMENT'!$C$8:$C$154=$C15)*'ANALYSE - ERP =&gt; SOUS-SEGMENT'!$Q$8:$Q$154*'ANALYSE - ERP =&gt; SOUS-SEGMENT'!$BK$8:$BK$154*'ANALYSE - ERP =&gt; SOUS-SEGMENT'!$CB$8:$CB$154)/SUMPRODUCT(('ANALYSE - ERP =&gt; SOUS-SEGMENT'!$C$8:$C$154=$C15)*'ANALYSE - ERP =&gt; SOUS-SEGMENT'!$Q$8:$Q$154*'ANALYSE - ERP =&gt; SOUS-SEGMENT'!$BK$8:$BK$154),"")</f>
        <v>4.9999999999999996E-2</v>
      </c>
      <c r="BZ15" s="580">
        <f>IFERROR(SUMPRODUCT(('ANALYSE - ERP =&gt; SOUS-SEGMENT'!$C$8:$C$154=$C15)*'ANALYSE - ERP =&gt; SOUS-SEGMENT'!$Q$8:$Q$154*'ANALYSE - ERP =&gt; SOUS-SEGMENT'!$BG$8:$BG$154*'ANALYSE - ERP =&gt; SOUS-SEGMENT'!$CC$8:$CC$154)/SUMPRODUCT(('ANALYSE - ERP =&gt; SOUS-SEGMENT'!$C$8:$C$154=$C15)*'ANALYSE - ERP =&gt; SOUS-SEGMENT'!$Q$8:$Q$154*'ANALYSE - ERP =&gt; SOUS-SEGMENT'!$BG$8:$BG$154),"")</f>
        <v>0.19999999999999998</v>
      </c>
      <c r="CA15" s="305">
        <f>IFERROR(SUMPRODUCT(('ANALYSE - ERP =&gt; SOUS-SEGMENT'!$C$8:$C$154=$C15)*'ANALYSE - ERP =&gt; SOUS-SEGMENT'!$Q$8:$Q$154*'ANALYSE - ERP =&gt; SOUS-SEGMENT'!$BG$8:$BG$154*'ANALYSE - ERP =&gt; SOUS-SEGMENT'!$CD$8:$CD$154)/SUMPRODUCT(('ANALYSE - ERP =&gt; SOUS-SEGMENT'!$C$8:$C$154=$C15)*'ANALYSE - ERP =&gt; SOUS-SEGMENT'!$Q$8:$Q$154*'ANALYSE - ERP =&gt; SOUS-SEGMENT'!$BG$8:$BG$154),"")</f>
        <v>0.39999999999999997</v>
      </c>
      <c r="CB15" s="305">
        <f>IFERROR(SUMPRODUCT(('ANALYSE - ERP =&gt; SOUS-SEGMENT'!$C$8:$C$154=$C15)*'ANALYSE - ERP =&gt; SOUS-SEGMENT'!$Q$8:$Q$154*'ANALYSE - ERP =&gt; SOUS-SEGMENT'!$BG$8:$BG$154*'ANALYSE - ERP =&gt; SOUS-SEGMENT'!$CE$8:$CE$154)/SUMPRODUCT(('ANALYSE - ERP =&gt; SOUS-SEGMENT'!$C$8:$C$154=$C15)*'ANALYSE - ERP =&gt; SOUS-SEGMENT'!$Q$8:$Q$154*'ANALYSE - ERP =&gt; SOUS-SEGMENT'!$BG$8:$BG$154),"")</f>
        <v>0.25</v>
      </c>
      <c r="CC15" s="581">
        <f>IFERROR(SUMPRODUCT(('ANALYSE - ERP =&gt; SOUS-SEGMENT'!$C$8:$C$154=$C15)*'ANALYSE - ERP =&gt; SOUS-SEGMENT'!$Q$8:$Q$154*'ANALYSE - ERP =&gt; SOUS-SEGMENT'!$BG$8:$BG$154*'ANALYSE - ERP =&gt; SOUS-SEGMENT'!$CF$8:$CF$154)/SUMPRODUCT(('ANALYSE - ERP =&gt; SOUS-SEGMENT'!$C$8:$C$154=$C15)*'ANALYSE - ERP =&gt; SOUS-SEGMENT'!$Q$8:$Q$154*'ANALYSE - ERP =&gt; SOUS-SEGMENT'!$BG$8:$BG$154),"")</f>
        <v>0.15</v>
      </c>
      <c r="CD15" s="580">
        <f>IFERROR(SUMPRODUCT(('ANALYSE - ERP =&gt; SOUS-SEGMENT'!$C$8:$C$154=$C15)*'ANALYSE - ERP =&gt; SOUS-SEGMENT'!$Q$8:$Q$154*'ANALYSE - ERP =&gt; SOUS-SEGMENT'!$BL$8:$BL$154*'ANALYSE - ERP =&gt; SOUS-SEGMENT'!$CG$8:$CG$154)/SUMPRODUCT(('ANALYSE - ERP =&gt; SOUS-SEGMENT'!$C$8:$C$154=$C15)*'ANALYSE - ERP =&gt; SOUS-SEGMENT'!$Q$8:$Q$154*'ANALYSE - ERP =&gt; SOUS-SEGMENT'!$BL$8:$BL$154),"")</f>
        <v>0.18</v>
      </c>
      <c r="CE15" s="305">
        <f>IFERROR(SUMPRODUCT(('ANALYSE - ERP =&gt; SOUS-SEGMENT'!$C$8:$C$154=$C15)*'ANALYSE - ERP =&gt; SOUS-SEGMENT'!$Q$8:$Q$154*'ANALYSE - ERP =&gt; SOUS-SEGMENT'!$BL$8:$BL$154*'ANALYSE - ERP =&gt; SOUS-SEGMENT'!$CH$8:$CH$154)/SUMPRODUCT(('ANALYSE - ERP =&gt; SOUS-SEGMENT'!$C$8:$C$154=$C15)*'ANALYSE - ERP =&gt; SOUS-SEGMENT'!$Q$8:$Q$154*'ANALYSE - ERP =&gt; SOUS-SEGMENT'!$BL$8:$BL$154),"")</f>
        <v>0.4</v>
      </c>
      <c r="CF15" s="305">
        <f>IFERROR(SUMPRODUCT(('ANALYSE - ERP =&gt; SOUS-SEGMENT'!$C$8:$C$154=$C15)*'ANALYSE - ERP =&gt; SOUS-SEGMENT'!$Q$8:$Q$154*'ANALYSE - ERP =&gt; SOUS-SEGMENT'!$BL$8:$BL$154*'ANALYSE - ERP =&gt; SOUS-SEGMENT'!$CI$8:$CI$154)/SUMPRODUCT(('ANALYSE - ERP =&gt; SOUS-SEGMENT'!$C$8:$C$154=$C15)*'ANALYSE - ERP =&gt; SOUS-SEGMENT'!$Q$8:$Q$154*'ANALYSE - ERP =&gt; SOUS-SEGMENT'!$BL$8:$BL$154),"")</f>
        <v>0.28000000000000003</v>
      </c>
      <c r="CG15" s="581">
        <f>IFERROR(SUMPRODUCT(('ANALYSE - ERP =&gt; SOUS-SEGMENT'!$C$8:$C$154=$C15)*'ANALYSE - ERP =&gt; SOUS-SEGMENT'!$Q$8:$Q$154*'ANALYSE - ERP =&gt; SOUS-SEGMENT'!$BL$8:$BL$154*'ANALYSE - ERP =&gt; SOUS-SEGMENT'!$CJ$8:$CJ$154)/SUMPRODUCT(('ANALYSE - ERP =&gt; SOUS-SEGMENT'!$C$8:$C$154=$C15)*'ANALYSE - ERP =&gt; SOUS-SEGMENT'!$Q$8:$Q$154*'ANALYSE - ERP =&gt; SOUS-SEGMENT'!$BL$8:$BL$154),"")</f>
        <v>0.14000000000000001</v>
      </c>
      <c r="CH15" s="589">
        <f>IFERROR(SUMPRODUCT(('ANALYSE - ERP =&gt; SOUS-SEGMENT'!$C$8:$C$154=$C15)*'ANALYSE - ERP =&gt; SOUS-SEGMENT'!$Q$8:$Q$154*'ANALYSE - ERP =&gt; SOUS-SEGMENT'!$BH$8:$BH$154*'ANALYSE - ERP =&gt; SOUS-SEGMENT'!$CK$8:$CK$154)/SUMPRODUCT(('ANALYSE - ERP =&gt; SOUS-SEGMENT'!$C$8:$C$154=$C15)*'ANALYSE - ERP =&gt; SOUS-SEGMENT'!$Q$8:$Q$154*'ANALYSE - ERP =&gt; SOUS-SEGMENT'!$BH$8:$BH$154),"")</f>
        <v>0.59361003284562552</v>
      </c>
      <c r="CI15" s="306">
        <f>IFERROR(SUMPRODUCT(('ANALYSE - ERP =&gt; SOUS-SEGMENT'!$C$8:$C$154=$C15)*'ANALYSE - ERP =&gt; SOUS-SEGMENT'!$Q$8:$Q$154*'ANALYSE - ERP =&gt; SOUS-SEGMENT'!$BH$8:$BH$154*'ANALYSE - ERP =&gt; SOUS-SEGMENT'!$CL$8:$CL$154)/SUMPRODUCT(('ANALYSE - ERP =&gt; SOUS-SEGMENT'!$C$8:$C$154=$C15)*'ANALYSE - ERP =&gt; SOUS-SEGMENT'!$Q$8:$Q$154*'ANALYSE - ERP =&gt; SOUS-SEGMENT'!$BH$8:$BH$154),"")</f>
        <v>0.21916990146312332</v>
      </c>
      <c r="CJ15" s="590">
        <f>IFERROR(SUMPRODUCT(('ANALYSE - ERP =&gt; SOUS-SEGMENT'!$C$8:$C$154=$C15)*'ANALYSE - ERP =&gt; SOUS-SEGMENT'!$Q$8:$Q$154*'ANALYSE - ERP =&gt; SOUS-SEGMENT'!$BH$8:$BH$154*'ANALYSE - ERP =&gt; SOUS-SEGMENT'!$CM$8:$CM$154)/SUMPRODUCT(('ANALYSE - ERP =&gt; SOUS-SEGMENT'!$C$8:$C$154=$C15)*'ANALYSE - ERP =&gt; SOUS-SEGMENT'!$Q$8:$Q$154*'ANALYSE - ERP =&gt; SOUS-SEGMENT'!$BH$8:$BH$154),"")</f>
        <v>0.18722006569125113</v>
      </c>
      <c r="CK15" s="589">
        <f>IFERROR(SUMPRODUCT(('ANALYSE - ERP =&gt; SOUS-SEGMENT'!$C$8:$C$154=$C15)*'ANALYSE - ERP =&gt; SOUS-SEGMENT'!$Q$8:$Q$154*'ANALYSE - ERP =&gt; SOUS-SEGMENT'!$BM$8:$BM$154*'ANALYSE - ERP =&gt; SOUS-SEGMENT'!$CN$8:$CN$154)/SUMPRODUCT(('ANALYSE - ERP =&gt; SOUS-SEGMENT'!$C$8:$C$154=$C15)*'ANALYSE - ERP =&gt; SOUS-SEGMENT'!$Q$8:$Q$154*'ANALYSE - ERP =&gt; SOUS-SEGMENT'!$BM$8:$BM$154),"")</f>
        <v>0.53995759875027893</v>
      </c>
      <c r="CL15" s="306">
        <f>IFERROR(SUMPRODUCT(('ANALYSE - ERP =&gt; SOUS-SEGMENT'!$C$8:$C$154=$C15)*'ANALYSE - ERP =&gt; SOUS-SEGMENT'!$Q$8:$Q$154*'ANALYSE - ERP =&gt; SOUS-SEGMENT'!$BM$8:$BM$154*'ANALYSE - ERP =&gt; SOUS-SEGMENT'!$CO$8:$CO$154)/SUMPRODUCT(('ANALYSE - ERP =&gt; SOUS-SEGMENT'!$C$8:$C$154=$C15)*'ANALYSE - ERP =&gt; SOUS-SEGMENT'!$Q$8:$Q$154*'ANALYSE - ERP =&gt; SOUS-SEGMENT'!$BM$8:$BM$154),"")</f>
        <v>0.23807632224949787</v>
      </c>
      <c r="CM15" s="590">
        <f>IFERROR(SUMPRODUCT(('ANALYSE - ERP =&gt; SOUS-SEGMENT'!$C$8:$C$154=$C15)*'ANALYSE - ERP =&gt; SOUS-SEGMENT'!$Q$8:$Q$154*'ANALYSE - ERP =&gt; SOUS-SEGMENT'!$BM$8:$BM$154*'ANALYSE - ERP =&gt; SOUS-SEGMENT'!$CP$8:$CP$154)/SUMPRODUCT(('ANALYSE - ERP =&gt; SOUS-SEGMENT'!$C$8:$C$154=$C15)*'ANALYSE - ERP =&gt; SOUS-SEGMENT'!$Q$8:$Q$154*'ANALYSE - ERP =&gt; SOUS-SEGMENT'!$BM$8:$BM$154),"")</f>
        <v>0.22196607900022319</v>
      </c>
      <c r="CN15" s="657"/>
      <c r="CO15" s="882">
        <f>IFERROR(SUMPRODUCT(('ANALYSE - ERP =&gt; SOUS-SEGMENT'!$C$8:$C$154=$C15)*'ANALYSE - ERP =&gt; SOUS-SEGMENT'!$DH$8:$DH$154*('ANALYSE - ERP =&gt; SOUS-SEGMENT'!$CR$8:$CR$154&gt;0)*'ANALYSE - ERP =&gt; SOUS-SEGMENT'!$CR$8:$CR$154)/SUMPRODUCT(('ANALYSE - ERP =&gt; SOUS-SEGMENT'!$C$8:$C$154=$C15)*'ANALYSE - ERP =&gt; SOUS-SEGMENT'!$DH$8:$DH$154*('ANALYSE - ERP =&gt; SOUS-SEGMENT'!$CR$8:$CR$154&gt;0)),"")</f>
        <v>11.999999999999998</v>
      </c>
      <c r="CP15" s="883">
        <f>IFERROR(SUMPRODUCT(('ANALYSE - ERP =&gt; SOUS-SEGMENT'!$C$8:$C$154=$C15)*'ANALYSE - ERP =&gt; SOUS-SEGMENT'!$DI$8:$DI$154*('ANALYSE - ERP =&gt; SOUS-SEGMENT'!$CS$8:$CS$154&gt;0)*'ANALYSE - ERP =&gt; SOUS-SEGMENT'!$CS$8:$CS$154)/SUMPRODUCT(('ANALYSE - ERP =&gt; SOUS-SEGMENT'!$C$8:$C$154=$C15)*'ANALYSE - ERP =&gt; SOUS-SEGMENT'!$DI$8:$DI$154*('ANALYSE - ERP =&gt; SOUS-SEGMENT'!$CS$8:$CS$154&gt;0)),"")</f>
        <v>12.197536290809992</v>
      </c>
      <c r="CQ15" s="883">
        <f>IFERROR(SUMPRODUCT(('ANALYSE - ERP =&gt; SOUS-SEGMENT'!$C$8:$C$154=$C15)*'ANALYSE - ERP =&gt; SOUS-SEGMENT'!$DJ$8:$DJ$154*('ANALYSE - ERP =&gt; SOUS-SEGMENT'!$CT$8:$CT$154&gt;0)*'ANALYSE - ERP =&gt; SOUS-SEGMENT'!$CT$8:$CT$154)/SUMPRODUCT(('ANALYSE - ERP =&gt; SOUS-SEGMENT'!$C$8:$C$154=$C15)*'ANALYSE - ERP =&gt; SOUS-SEGMENT'!$DJ$8:$DJ$154*('ANALYSE - ERP =&gt; SOUS-SEGMENT'!$CT$8:$CT$154&gt;0)),"")</f>
        <v>9.0000000000000018</v>
      </c>
      <c r="CR15" s="884">
        <f>IFERROR(SUMPRODUCT(('ANALYSE - ERP =&gt; SOUS-SEGMENT'!$C$8:$C$154=$C15)*'ANALYSE - ERP =&gt; SOUS-SEGMENT'!$DK$8:$DK$154*('ANALYSE - ERP =&gt; SOUS-SEGMENT'!$CU$8:$CU$154&gt;0)*'ANALYSE - ERP =&gt; SOUS-SEGMENT'!$CU$8:$CU$154)/SUMPRODUCT(('ANALYSE - ERP =&gt; SOUS-SEGMENT'!$C$8:$C$154=$C15)*'ANALYSE - ERP =&gt; SOUS-SEGMENT'!$DK$8:$DK$154*('ANALYSE - ERP =&gt; SOUS-SEGMENT'!$CU$8:$CU$154&gt;0)),"")</f>
        <v>10.121703277173525</v>
      </c>
      <c r="CS15" s="882">
        <f>IFERROR(SUMPRODUCT(('ANALYSE - ERP =&gt; SOUS-SEGMENT'!$C$8:$C$154=$C15)*'ANALYSE - ERP =&gt; SOUS-SEGMENT'!$DS$8:$DS$154*('ANALYSE - ERP =&gt; SOUS-SEGMENT'!$CV$8:$CV$154&gt;0)*'ANALYSE - ERP =&gt; SOUS-SEGMENT'!$CV$8:$CV$154)/SUMPRODUCT(('ANALYSE - ERP =&gt; SOUS-SEGMENT'!$C$8:$C$154=$C15)*'ANALYSE - ERP =&gt; SOUS-SEGMENT'!$DS$8:$DS$154*('ANALYSE - ERP =&gt; SOUS-SEGMENT'!$CV$8:$CV$154&gt;0)),"")</f>
        <v>11</v>
      </c>
      <c r="CT15" s="883">
        <f>IFERROR(SUMPRODUCT(('ANALYSE - ERP =&gt; SOUS-SEGMENT'!$C$8:$C$154=$C15)*'ANALYSE - ERP =&gt; SOUS-SEGMENT'!$DT$8:$DT$154*('ANALYSE - ERP =&gt; SOUS-SEGMENT'!$CW$8:$CW$154&gt;0)*'ANALYSE - ERP =&gt; SOUS-SEGMENT'!$CW$8:$CW$154)/SUMPRODUCT(('ANALYSE - ERP =&gt; SOUS-SEGMENT'!$C$8:$C$154=$C15)*'ANALYSE - ERP =&gt; SOUS-SEGMENT'!$DT$8:$DT$154*('ANALYSE - ERP =&gt; SOUS-SEGMENT'!$CW$8:$CW$154&gt;0)),"")</f>
        <v>10</v>
      </c>
      <c r="CU15" s="884">
        <f>IFERROR(SUMPRODUCT(('ANALYSE - ERP =&gt; SOUS-SEGMENT'!$C$8:$C$154=$C15)*'ANALYSE - ERP =&gt; SOUS-SEGMENT'!$DU$8:$DU$154*('ANALYSE - ERP =&gt; SOUS-SEGMENT'!$CX$8:$CX$154&gt;0)*'ANALYSE - ERP =&gt; SOUS-SEGMENT'!$CX$8:$CX$154)/SUMPRODUCT(('ANALYSE - ERP =&gt; SOUS-SEGMENT'!$C$8:$C$154=$C15)*'ANALYSE - ERP =&gt; SOUS-SEGMENT'!$DU$8:$DU$154*('ANALYSE - ERP =&gt; SOUS-SEGMENT'!$CX$8:$CX$154&gt;0)),"")</f>
        <v>8</v>
      </c>
      <c r="CV15" s="882">
        <f>IFERROR(SUMPRODUCT(('ANALYSE - ERP =&gt; SOUS-SEGMENT'!$C$8:$C$154=$C15)*'ANALYSE - ERP =&gt; SOUS-SEGMENT'!$EB$8:$EB$154*('ANALYSE - ERP =&gt; SOUS-SEGMENT'!$CY$8:$CY$154&gt;0)*'ANALYSE - ERP =&gt; SOUS-SEGMENT'!$CY$8:$CY$154)/SUMPRODUCT(('ANALYSE - ERP =&gt; SOUS-SEGMENT'!$C$8:$C$154=$C15)*'ANALYSE - ERP =&gt; SOUS-SEGMENT'!$EB$8:$EB$154*('ANALYSE - ERP =&gt; SOUS-SEGMENT'!$CY$8:$CY$154&gt;0)),"")</f>
        <v>11</v>
      </c>
      <c r="CW15" s="883">
        <f>IFERROR(SUMPRODUCT(('ANALYSE - ERP =&gt; SOUS-SEGMENT'!$C$8:$C$154=$C15)*'ANALYSE - ERP =&gt; SOUS-SEGMENT'!$EC$8:$EC$154*('ANALYSE - ERP =&gt; SOUS-SEGMENT'!$CZ$8:$CZ$154&gt;0)*'ANALYSE - ERP =&gt; SOUS-SEGMENT'!$CZ$8:$CZ$154)/SUMPRODUCT(('ANALYSE - ERP =&gt; SOUS-SEGMENT'!$C$8:$C$154=$C15)*'ANALYSE - ERP =&gt; SOUS-SEGMENT'!$EC$8:$EC$154*('ANALYSE - ERP =&gt; SOUS-SEGMENT'!$CZ$8:$CZ$154&gt;0)),"")</f>
        <v>12</v>
      </c>
      <c r="CX15" s="883">
        <f>IFERROR(SUMPRODUCT(('ANALYSE - ERP =&gt; SOUS-SEGMENT'!$C$8:$C$154=$C15)*'ANALYSE - ERP =&gt; SOUS-SEGMENT'!$ED$8:$ED$154*('ANALYSE - ERP =&gt; SOUS-SEGMENT'!$DA$8:$DA$154&gt;0)*'ANALYSE - ERP =&gt; SOUS-SEGMENT'!$DA$8:$DA$154)/SUMPRODUCT(('ANALYSE - ERP =&gt; SOUS-SEGMENT'!$C$8:$C$154=$C15)*'ANALYSE - ERP =&gt; SOUS-SEGMENT'!$ED$8:$ED$154*('ANALYSE - ERP =&gt; SOUS-SEGMENT'!$DA$8:$DA$154&gt;0)),"")</f>
        <v>8</v>
      </c>
      <c r="CY15" s="885">
        <f>IFERROR(SUMPRODUCT(('ANALYSE - ERP =&gt; SOUS-SEGMENT'!$C$8:$C$154=$C15)*'ANALYSE - ERP =&gt; SOUS-SEGMENT'!$EE$8:$EE$154*('ANALYSE - ERP =&gt; SOUS-SEGMENT'!$DB$8:$DB$154&gt;0)*'ANALYSE - ERP =&gt; SOUS-SEGMENT'!$DB$8:$DB$154)/SUMPRODUCT(('ANALYSE - ERP =&gt; SOUS-SEGMENT'!$C$8:$C$154=$C15)*'ANALYSE - ERP =&gt; SOUS-SEGMENT'!$EE$8:$EE$154*('ANALYSE - ERP =&gt; SOUS-SEGMENT'!$DB$8:$DB$154&gt;0)),"")</f>
        <v>10</v>
      </c>
      <c r="CZ15" s="886">
        <f>IFERROR(SUMPRODUCT(('ANALYSE - ERP =&gt; SOUS-SEGMENT'!$C$8:$C$154=$C15)*'ANALYSE - ERP =&gt; SOUS-SEGMENT'!$EM$8:$EM$154*('ANALYSE - ERP =&gt; SOUS-SEGMENT'!$DC$8:$DC$154&gt;0)*'ANALYSE - ERP =&gt; SOUS-SEGMENT'!$DC$8:$DC$154)/SUMPRODUCT(('ANALYSE - ERP =&gt; SOUS-SEGMENT'!$C$8:$C$154=$C15)*'ANALYSE - ERP =&gt; SOUS-SEGMENT'!$EM$8:$EM$154*('ANALYSE - ERP =&gt; SOUS-SEGMENT'!$DC$8:$DC$154&gt;0)),"")</f>
        <v>12.11841046277666</v>
      </c>
      <c r="DA15" s="883">
        <f>IFERROR(SUMPRODUCT(('ANALYSE - ERP =&gt; SOUS-SEGMENT'!$C$8:$C$154=$C15)*'ANALYSE - ERP =&gt; SOUS-SEGMENT'!$EN$8:$EN$154*('ANALYSE - ERP =&gt; SOUS-SEGMENT'!$DD$8:$DD$154&gt;0)*'ANALYSE - ERP =&gt; SOUS-SEGMENT'!$DD$8:$DD$154)/SUMPRODUCT(('ANALYSE - ERP =&gt; SOUS-SEGMENT'!$C$8:$C$154=$C15)*'ANALYSE - ERP =&gt; SOUS-SEGMENT'!$EN$8:$EN$154*('ANALYSE - ERP =&gt; SOUS-SEGMENT'!$DD$8:$DD$154&gt;0)),"")</f>
        <v>12.204087193460492</v>
      </c>
      <c r="DB15" s="885">
        <f>IFERROR(SUMPRODUCT(('ANALYSE - ERP =&gt; SOUS-SEGMENT'!$C$8:$C$154=$C15)*'ANALYSE - ERP =&gt; SOUS-SEGMENT'!$EO$8:$EO$154*('ANALYSE - ERP =&gt; SOUS-SEGMENT'!$DE$8:$DE$154&gt;0)*'ANALYSE - ERP =&gt; SOUS-SEGMENT'!$DE$8:$DE$154)/SUMPRODUCT(('ANALYSE - ERP =&gt; SOUS-SEGMENT'!$C$8:$C$154=$C15)*'ANALYSE - ERP =&gt; SOUS-SEGMENT'!$EO$8:$EO$154*('ANALYSE - ERP =&gt; SOUS-SEGMENT'!$DE$8:$DE$154&gt;0)),"")</f>
        <v>9</v>
      </c>
      <c r="DC15" s="610" t="s">
        <v>6913</v>
      </c>
      <c r="DD15" s="657"/>
      <c r="DE15" s="288">
        <f t="shared" si="2"/>
        <v>9312.5400000000009</v>
      </c>
      <c r="DF15" s="288">
        <f t="shared" si="3"/>
        <v>5460.0599999999986</v>
      </c>
      <c r="DG15" s="288">
        <f t="shared" si="4"/>
        <v>3633.3599999999997</v>
      </c>
      <c r="DH15" s="288">
        <f t="shared" si="5"/>
        <v>1688.04</v>
      </c>
      <c r="DI15" s="317" t="s">
        <v>6914</v>
      </c>
      <c r="DJ15" s="288">
        <f t="shared" si="6"/>
        <v>11826.119999999999</v>
      </c>
      <c r="DK15" s="288">
        <f t="shared" si="7"/>
        <v>7207.5000000000009</v>
      </c>
      <c r="DL15" s="288">
        <f t="shared" si="8"/>
        <v>5844.7800000000007</v>
      </c>
      <c r="DM15" s="288">
        <f t="shared" si="9"/>
        <v>2007.6</v>
      </c>
      <c r="DN15" s="317" t="s">
        <v>6915</v>
      </c>
      <c r="DO15" s="657"/>
      <c r="DP15" s="288">
        <f t="shared" si="10"/>
        <v>582.61</v>
      </c>
      <c r="DQ15" s="288">
        <f t="shared" si="11"/>
        <v>99.470000000000013</v>
      </c>
      <c r="DR15" s="288">
        <f t="shared" si="12"/>
        <v>28.42</v>
      </c>
      <c r="DS15" s="317" t="s">
        <v>6916</v>
      </c>
      <c r="DT15" s="288">
        <f t="shared" si="13"/>
        <v>604.745</v>
      </c>
      <c r="DU15" s="288">
        <f t="shared" si="14"/>
        <v>122.48</v>
      </c>
      <c r="DV15" s="288">
        <f t="shared" si="15"/>
        <v>38.274999999999999</v>
      </c>
      <c r="DW15" s="317" t="s">
        <v>6917</v>
      </c>
      <c r="DX15" s="657"/>
      <c r="DY15" s="288">
        <f t="shared" si="16"/>
        <v>868.4</v>
      </c>
      <c r="DZ15" s="288">
        <f t="shared" si="17"/>
        <v>1736.8</v>
      </c>
      <c r="EA15" s="288">
        <f t="shared" si="18"/>
        <v>1085.5</v>
      </c>
      <c r="EB15" s="288">
        <f t="shared" si="19"/>
        <v>651.29999999999995</v>
      </c>
      <c r="EC15" s="317" t="s">
        <v>6918</v>
      </c>
      <c r="ED15" s="288">
        <f t="shared" si="20"/>
        <v>1001.16</v>
      </c>
      <c r="EE15" s="288">
        <f t="shared" si="21"/>
        <v>2224.8000000000002</v>
      </c>
      <c r="EF15" s="288">
        <f t="shared" si="22"/>
        <v>1557.3600000000001</v>
      </c>
      <c r="EG15" s="288">
        <f t="shared" si="23"/>
        <v>778.68000000000006</v>
      </c>
      <c r="EH15" s="317" t="s">
        <v>6919</v>
      </c>
      <c r="EI15" s="290"/>
      <c r="EJ15" s="288">
        <f t="shared" si="24"/>
        <v>11928</v>
      </c>
      <c r="EK15" s="291">
        <f t="shared" si="25"/>
        <v>4404</v>
      </c>
      <c r="EL15" s="291">
        <f t="shared" si="26"/>
        <v>3762</v>
      </c>
      <c r="EM15" s="317" t="s">
        <v>6920</v>
      </c>
      <c r="EN15" s="288">
        <f t="shared" si="27"/>
        <v>14517.3</v>
      </c>
      <c r="EO15" s="291">
        <f t="shared" si="28"/>
        <v>6400.92</v>
      </c>
      <c r="EP15" s="291">
        <f t="shared" si="29"/>
        <v>5967.7800000000007</v>
      </c>
      <c r="EQ15" s="318" t="s">
        <v>6921</v>
      </c>
      <c r="ER15" s="657"/>
      <c r="ES15" s="731">
        <f t="shared" si="30"/>
        <v>0.20830877640979195</v>
      </c>
      <c r="ET15" s="731">
        <f t="shared" si="31"/>
        <v>0.80768541890127488</v>
      </c>
      <c r="EU15" s="292">
        <f t="shared" si="32"/>
        <v>30808.46864134787</v>
      </c>
      <c r="EV15" s="292">
        <f t="shared" si="33"/>
        <v>12465.744381347868</v>
      </c>
      <c r="EW15" s="292">
        <f t="shared" si="34"/>
        <v>18342.724260000003</v>
      </c>
      <c r="EX15" s="292">
        <f t="shared" si="35"/>
        <v>13764.078267224755</v>
      </c>
      <c r="EY15" s="292">
        <f>SUMPRODUCT(('ANALYSE - ERP =&gt; SOUS-SEGMENT'!$C$8:$C$154=$C15)*'ANALYSE - ERP =&gt; SOUS-SEGMENT'!$Q$8:$Q$154*'ANALYSE - ERP =&gt; SOUS-SEGMENT'!$FB$8:$FB$154)</f>
        <v>5451.2109872247556</v>
      </c>
      <c r="EZ15" s="292">
        <f>SUMPRODUCT(('ANALYSE - ERP =&gt; SOUS-SEGMENT'!$C$8:$C$154=$C15)*'ANALYSE - ERP =&gt; SOUS-SEGMENT'!$Q$8:$Q$154*'ANALYSE - ERP =&gt; SOUS-SEGMENT'!$FC$8:$FC$154)</f>
        <v>8312.8672800000004</v>
      </c>
      <c r="FA15" s="292">
        <f t="shared" si="36"/>
        <v>373.92014405318184</v>
      </c>
      <c r="FB15" s="292">
        <f>SUMPRODUCT(('ANALYSE - ERP =&gt; SOUS-SEGMENT'!$C$8:$C$154=$C15)*'ANALYSE - ERP =&gt; SOUS-SEGMENT'!$Q$8:$Q$154*'ANALYSE - ERP =&gt; SOUS-SEGMENT'!$FE$8:$FE$154)</f>
        <v>249.09220405318183</v>
      </c>
      <c r="FC15" s="292">
        <f>SUMPRODUCT(('ANALYSE - ERP =&gt; SOUS-SEGMENT'!$C$8:$C$154=$C15)*'ANALYSE - ERP =&gt; SOUS-SEGMENT'!$Q$8:$Q$154*'ANALYSE - ERP =&gt; SOUS-SEGMENT'!$FF$8:$FF$154)</f>
        <v>124.82794</v>
      </c>
      <c r="FD15" s="292">
        <f t="shared" si="37"/>
        <v>3052.6471594545455</v>
      </c>
      <c r="FE15" s="292">
        <f>SUMPRODUCT(('ANALYSE - ERP =&gt; SOUS-SEGMENT'!$C$8:$C$154=$C15)*'ANALYSE - ERP =&gt; SOUS-SEGMENT'!$Q$8:$Q$154*'ANALYSE - ERP =&gt; SOUS-SEGMENT'!$FH$8:$FH$154)</f>
        <v>1460.4853994545456</v>
      </c>
      <c r="FF15" s="292">
        <f>SUMPRODUCT(('ANALYSE - ERP =&gt; SOUS-SEGMENT'!$C$8:$C$154=$C15)*'ANALYSE - ERP =&gt; SOUS-SEGMENT'!$Q$8:$Q$154*'ANALYSE - ERP =&gt; SOUS-SEGMENT'!$FI$8:$FI$154)</f>
        <v>1592.16176</v>
      </c>
      <c r="FG15" s="292">
        <f t="shared" si="38"/>
        <v>13617.823070615384</v>
      </c>
      <c r="FH15" s="292">
        <f>SUMPRODUCT(('ANALYSE - ERP =&gt; SOUS-SEGMENT'!$C$8:$C$154=$C15)*'ANALYSE - ERP =&gt; SOUS-SEGMENT'!$Q$8:$Q$154*'ANALYSE - ERP =&gt; SOUS-SEGMENT'!$FK$8:$FK$154)</f>
        <v>5304.955790615385</v>
      </c>
      <c r="FI15" s="292">
        <f>SUMPRODUCT(('ANALYSE - ERP =&gt; SOUS-SEGMENT'!$C$8:$C$154=$C15)*'ANALYSE - ERP =&gt; SOUS-SEGMENT'!$Q$8:$Q$154*'ANALYSE - ERP =&gt; SOUS-SEGMENT'!$FL$8:$FL$154)</f>
        <v>8312.8672800000004</v>
      </c>
      <c r="FJ15" s="657"/>
      <c r="FK15" s="319" t="s">
        <v>2649</v>
      </c>
      <c r="FL15" s="731">
        <f>IFERROR(SUMPRODUCT(('ANALYSE - ERP =&gt; SOUS-SEGMENT'!$C$8:$C$154=$C15)*'ANALYSE - ERP =&gt; SOUS-SEGMENT'!$Q$8:$Q$154*'ANALYSE - ERP =&gt; SOUS-SEGMENT'!$AF$8:$AF$154*'ANALYSE - ERP =&gt; SOUS-SEGMENT'!$FO$8:$FO$154)/SUMPRODUCT(('ANALYSE - ERP =&gt; SOUS-SEGMENT'!$C$8:$C$154=$C15)*'ANALYSE - ERP =&gt; SOUS-SEGMENT'!$Q$8:$Q$154*'ANALYSE - ERP =&gt; SOUS-SEGMENT'!$AF$8:$AF$154),"")</f>
        <v>7.4084726354195912E-2</v>
      </c>
      <c r="FM15" s="732">
        <f>IFERROR(SUMPRODUCT(('ANALYSE - ERP =&gt; SOUS-SEGMENT'!$C$8:$C$154=$C15)*'ANALYSE - ERP =&gt; SOUS-SEGMENT'!$Q$8:$Q$154*'ANALYSE - ERP =&gt; SOUS-SEGMENT'!$AF$8:$AF$154*'ANALYSE - ERP =&gt; SOUS-SEGMENT'!$FP$8:$FP$154)/SUMPRODUCT(('ANALYSE - ERP =&gt; SOUS-SEGMENT'!$C$8:$C$154=$C15)*'ANALYSE - ERP =&gt; SOUS-SEGMENT'!$Q$8:$Q$154*'ANALYSE - ERP =&gt; SOUS-SEGMENT'!$AF$8:$AF$154),"")</f>
        <v>0.84751470390120676</v>
      </c>
      <c r="FN15" s="320" t="s">
        <v>6780</v>
      </c>
      <c r="FO15" s="657"/>
      <c r="FP15" s="887">
        <f>IFERROR(SUMPRODUCT(('ANALYSE - ERP =&gt; SOUS-SEGMENT'!$C$8:$C$154=$C15)*'ANALYSE - ERP =&gt; SOUS-SEGMENT'!$Q$8:$Q$154*'ANALYSE - ERP =&gt; SOUS-SEGMENT'!$EX$8:$EX$154*'ANALYSE - ERP =&gt; SOUS-SEGMENT'!$FS$8:$FS$154)/SUMPRODUCT(('ANALYSE - ERP =&gt; SOUS-SEGMENT'!$C$8:$C$154=$C15)*'ANALYSE - ERP =&gt; SOUS-SEGMENT'!$Q$8:$Q$154*'ANALYSE - ERP =&gt; SOUS-SEGMENT'!$EX$8:$EX$154),"")</f>
        <v>3.8005658582179316</v>
      </c>
      <c r="FQ15" s="295">
        <f>RANK($FP15,$FP$8:$FP$143,0)+COUNTIF($FP$8:$FP15,$FP15)-1</f>
        <v>2</v>
      </c>
      <c r="FR15" s="887">
        <f>IFERROR(SUMPRODUCT(('ANALYSE - ERP =&gt; SOUS-SEGMENT'!$C$8:$C$154=$C15)*'ANALYSE - ERP =&gt; SOUS-SEGMENT'!$Q$8:$Q$154*'ANALYSE - ERP =&gt; SOUS-SEGMENT'!$EY$8:$EY$154*'ANALYSE - ERP =&gt; SOUS-SEGMENT'!$FU$8:$FU$154)/SUMPRODUCT(('ANALYSE - ERP =&gt; SOUS-SEGMENT'!$C$8:$C$154=$C15)*'ANALYSE - ERP =&gt; SOUS-SEGMENT'!$Q$8:$Q$154*'ANALYSE - ERP =&gt; SOUS-SEGMENT'!$EY$8:$EY$154),"")</f>
        <v>3.9251205083432308</v>
      </c>
      <c r="FS15" s="295">
        <f>RANK($FR15,$FR$8:$FR$143,0)+COUNTIF($FR$8:$FR15,$FR15)-1</f>
        <v>23</v>
      </c>
      <c r="FT15" s="887">
        <f>IFERROR(SUMPRODUCT(('ANALYSE - ERP =&gt; SOUS-SEGMENT'!$C$8:$C$154=$C15)*'ANALYSE - ERP =&gt; SOUS-SEGMENT'!$Q$8:$Q$154*'ANALYSE - ERP =&gt; SOUS-SEGMENT'!$EZ$8:$EZ$154*'ANALYSE - ERP =&gt; SOUS-SEGMENT'!$FW$8:$FW$154)/SUMPRODUCT(('ANALYSE - ERP =&gt; SOUS-SEGMENT'!$C$8:$C$154=$C15)*'ANALYSE - ERP =&gt; SOUS-SEGMENT'!$Q$8:$Q$154*'ANALYSE - ERP =&gt; SOUS-SEGMENT'!$EZ$8:$EZ$154),"")</f>
        <v>3.8773470461579076</v>
      </c>
      <c r="FU15" s="295">
        <f>RANK($FT15,$FT$8:$FT$143,0)+COUNTIF($FT$8:$FT15,$FT15)-1</f>
        <v>1</v>
      </c>
      <c r="FV15" s="657"/>
      <c r="FW15" s="321" t="s">
        <v>6922</v>
      </c>
      <c r="FX15" s="321" t="s">
        <v>6923</v>
      </c>
      <c r="FY15" s="321" t="s">
        <v>6924</v>
      </c>
      <c r="FZ15" s="321" t="s">
        <v>6925</v>
      </c>
      <c r="GA15" s="321" t="s">
        <v>6926</v>
      </c>
      <c r="GB15" s="321" t="s">
        <v>6927</v>
      </c>
      <c r="GC15" s="321" t="s">
        <v>6759</v>
      </c>
      <c r="GD15" s="657"/>
      <c r="GE15" s="292">
        <f>SUMPRODUCT(('ANALYSE - ERP =&gt; SOUS-SEGMENT'!$C$8:$C$154=$C15)*'ANALYSE - ERP =&gt; SOUS-SEGMENT'!$Q$8:$Q$154*'ANALYSE - ERP =&gt; SOUS-SEGMENT'!$GH$8:$GH$154)</f>
        <v>6046.2294344750007</v>
      </c>
      <c r="GF15" s="292">
        <f>SUMPRODUCT(('ANALYSE - ERP =&gt; SOUS-SEGMENT'!$C$8:$C$154=$C15)*'ANALYSE - ERP =&gt; SOUS-SEGMENT'!$Q$8:$Q$154*'ANALYSE - ERP =&gt; SOUS-SEGMENT'!$GI$8:$GI$154)</f>
        <v>2247.5967368750003</v>
      </c>
      <c r="GG15" s="292">
        <f>SUMPRODUCT(('ANALYSE - ERP =&gt; SOUS-SEGMENT'!$C$8:$C$154=$C15)*'ANALYSE - ERP =&gt; SOUS-SEGMENT'!$Q$8:$Q$154*'ANALYSE - ERP =&gt; SOUS-SEGMENT'!$GJ$8:$GJ$154)</f>
        <v>3798.6326976</v>
      </c>
      <c r="GH15" s="292">
        <f>SUMPRODUCT(('ANALYSE - ERP =&gt; SOUS-SEGMENT'!$C$8:$C$154=$C15)*'ANALYSE - ERP =&gt; SOUS-SEGMENT'!$Q$8:$Q$154*'ANALYSE - ERP =&gt; SOUS-SEGMENT'!$GK$8:$GK$154)</f>
        <v>3391.5406342788465</v>
      </c>
      <c r="GI15" s="292">
        <f>SUMPRODUCT(('ANALYSE - ERP =&gt; SOUS-SEGMENT'!$C$8:$C$154=$C15)*'ANALYSE - ERP =&gt; SOUS-SEGMENT'!$Q$8:$Q$154*'ANALYSE - ERP =&gt; SOUS-SEGMENT'!$GL$8:$GL$154)</f>
        <v>1266.9140542788462</v>
      </c>
      <c r="GJ15" s="292">
        <f>SUMPRODUCT(('ANALYSE - ERP =&gt; SOUS-SEGMENT'!$C$8:$C$154=$C15)*'ANALYSE - ERP =&gt; SOUS-SEGMENT'!$Q$8:$Q$154*'ANALYSE - ERP =&gt; SOUS-SEGMENT'!$GM$8:$GM$154)</f>
        <v>2124.6265800000001</v>
      </c>
      <c r="GK15" s="292">
        <f>SUMPRODUCT(('ANALYSE - ERP =&gt; SOUS-SEGMENT'!$C$8:$C$154=$C15)*'ANALYSE - ERP =&gt; SOUS-SEGMENT'!$Q$8:$Q$154*'ANALYSE - ERP =&gt; SOUS-SEGMENT'!$GN$8:$GN$154)</f>
        <v>3212.0201508</v>
      </c>
      <c r="GL15" s="292">
        <f>SUMPRODUCT(('ANALYSE - ERP =&gt; SOUS-SEGMENT'!$C$8:$C$154=$C15)*'ANALYSE - ERP =&gt; SOUS-SEGMENT'!$Q$8:$Q$154*'ANALYSE - ERP =&gt; SOUS-SEGMENT'!$GO$8:$GO$154)</f>
        <v>1383.6799163999997</v>
      </c>
      <c r="GM15" s="292">
        <f>SUMPRODUCT(('ANALYSE - ERP =&gt; SOUS-SEGMENT'!$C$8:$C$154=$C15)*'ANALYSE - ERP =&gt; SOUS-SEGMENT'!$Q$8:$Q$154*'ANALYSE - ERP =&gt; SOUS-SEGMENT'!$GP$8:$GP$154)</f>
        <v>1828.3402344000003</v>
      </c>
      <c r="GN15" s="292">
        <f>SUMPRODUCT(('ANALYSE - ERP =&gt; SOUS-SEGMENT'!$C$8:$C$154=$C15)*'ANALYSE - ERP =&gt; SOUS-SEGMENT'!$Q$8:$Q$154*'ANALYSE - ERP =&gt; SOUS-SEGMENT'!$GQ$8:$GQ$154)</f>
        <v>1114.2880476709092</v>
      </c>
      <c r="GO15" s="292">
        <f>SUMPRODUCT(('ANALYSE - ERP =&gt; SOUS-SEGMENT'!$C$8:$C$154=$C15)*'ANALYSE - ERP =&gt; SOUS-SEGMENT'!$Q$8:$Q$154*'ANALYSE - ERP =&gt; SOUS-SEGMENT'!$GR$8:$GR$154)</f>
        <v>553.02027967090908</v>
      </c>
      <c r="GP15" s="292">
        <f>SUMPRODUCT(('ANALYSE - ERP =&gt; SOUS-SEGMENT'!$C$8:$C$154=$C15)*'ANALYSE - ERP =&gt; SOUS-SEGMENT'!$Q$8:$Q$154*'ANALYSE - ERP =&gt; SOUS-SEGMENT'!$GS$8:$GS$154)</f>
        <v>561.26776799999993</v>
      </c>
      <c r="GQ15" s="292">
        <f>SUMPRODUCT(('ANALYSE - ERP =&gt; SOUS-SEGMENT'!$C$8:$C$154=$C15)*'ANALYSE - ERP =&gt; SOUS-SEGMENT'!$Q$8:$Q$154*'ANALYSE - ERP =&gt; SOUS-SEGMENT'!$GT$8:$GT$154)</f>
        <v>295.55632936818182</v>
      </c>
      <c r="GR15" s="292">
        <f>SUMPRODUCT(('ANALYSE - ERP =&gt; SOUS-SEGMENT'!$C$8:$C$154=$C15)*'ANALYSE - ERP =&gt; SOUS-SEGMENT'!$Q$8:$Q$154*'ANALYSE - ERP =&gt; SOUS-SEGMENT'!$GU$8:$GU$154)</f>
        <v>196.94225676818181</v>
      </c>
      <c r="GS15" s="292">
        <f>SUMPRODUCT(('ANALYSE - ERP =&gt; SOUS-SEGMENT'!$C$8:$C$154=$C15)*'ANALYSE - ERP =&gt; SOUS-SEGMENT'!$Q$8:$Q$154*'ANALYSE - ERP =&gt; SOUS-SEGMENT'!$GV$8:$GV$154)</f>
        <v>98.6140726</v>
      </c>
      <c r="GT15" s="292">
        <f>SUMPRODUCT(('ANALYSE - ERP =&gt; SOUS-SEGMENT'!$C$8:$C$154=$C15)*'ANALYSE - ERP =&gt; SOUS-SEGMENT'!$Q$8:$Q$154*'ANALYSE - ERP =&gt; SOUS-SEGMENT'!$GW$8:$GW$154)</f>
        <v>57.948636635000014</v>
      </c>
      <c r="GU15" s="292">
        <f>SUMPRODUCT(('ANALYSE - ERP =&gt; SOUS-SEGMENT'!$C$8:$C$154=$C15)*'ANALYSE - ERP =&gt; SOUS-SEGMENT'!$Q$8:$Q$154*'ANALYSE - ERP =&gt; SOUS-SEGMENT'!$GX$8:$GX$154)</f>
        <v>37.976166235000015</v>
      </c>
      <c r="GV15" s="292">
        <f>SUMPRODUCT(('ANALYSE - ERP =&gt; SOUS-SEGMENT'!$C$8:$C$154=$C15)*'ANALYSE - ERP =&gt; SOUS-SEGMENT'!$Q$8:$Q$154*'ANALYSE - ERP =&gt; SOUS-SEGMENT'!$GY$8:$GY$154)</f>
        <v>19.972470399999999</v>
      </c>
      <c r="GW15" s="292">
        <f>SUMPRODUCT(('ANALYSE - ERP =&gt; SOUS-SEGMENT'!$C$8:$C$154=$C15)*'ANALYSE - ERP =&gt; SOUS-SEGMENT'!$Q$8:$Q$154*'ANALYSE - ERP =&gt; SOUS-SEGMENT'!$GZ$8:$GZ$154)</f>
        <v>20.415178050000002</v>
      </c>
      <c r="GX15" s="292">
        <f>SUMPRODUCT(('ANALYSE - ERP =&gt; SOUS-SEGMENT'!$C$8:$C$154=$C15)*'ANALYSE - ERP =&gt; SOUS-SEGMENT'!$Q$8:$Q$154*'ANALYSE - ERP =&gt; SOUS-SEGMENT'!$HA$8:$HA$154)</f>
        <v>14.173781050000002</v>
      </c>
      <c r="GY15" s="292">
        <f>SUMPRODUCT(('ANALYSE - ERP =&gt; SOUS-SEGMENT'!$C$8:$C$154=$C15)*'ANALYSE - ERP =&gt; SOUS-SEGMENT'!$Q$8:$Q$154*'ANALYSE - ERP =&gt; SOUS-SEGMENT'!$HB$8:$HB$154)</f>
        <v>6.2413970000000001</v>
      </c>
      <c r="GZ15" s="292">
        <f>SUMPRODUCT(('ANALYSE - ERP =&gt; SOUS-SEGMENT'!$C$8:$C$154=$C15)*'ANALYSE - ERP =&gt; SOUS-SEGMENT'!$Q$8:$Q$154*'ANALYSE - ERP =&gt; SOUS-SEGMENT'!$HC$8:$HC$154)</f>
        <v>553.97000825454541</v>
      </c>
      <c r="HA15" s="292">
        <f>SUMPRODUCT(('ANALYSE - ERP =&gt; SOUS-SEGMENT'!$C$8:$C$154=$C15)*'ANALYSE - ERP =&gt; SOUS-SEGMENT'!$Q$8:$Q$154*'ANALYSE - ERP =&gt; SOUS-SEGMENT'!$HD$8:$HD$154)</f>
        <v>267.38089145454546</v>
      </c>
      <c r="HB15" s="292">
        <f>SUMPRODUCT(('ANALYSE - ERP =&gt; SOUS-SEGMENT'!$C$8:$C$154=$C15)*'ANALYSE - ERP =&gt; SOUS-SEGMENT'!$Q$8:$Q$154*'ANALYSE - ERP =&gt; SOUS-SEGMENT'!$HE$8:$HE$154)</f>
        <v>286.58911679999994</v>
      </c>
      <c r="HC15" s="292">
        <f>SUMPRODUCT(('ANALYSE - ERP =&gt; SOUS-SEGMENT'!$C$8:$C$154=$C15)*'ANALYSE - ERP =&gt; SOUS-SEGMENT'!$Q$8:$Q$154*'ANALYSE - ERP =&gt; SOUS-SEGMENT'!$HF$8:$HF$154)</f>
        <v>1097.04414</v>
      </c>
      <c r="HD15" s="292">
        <f>SUMPRODUCT(('ANALYSE - ERP =&gt; SOUS-SEGMENT'!$C$8:$C$154=$C15)*'ANALYSE - ERP =&gt; SOUS-SEGMENT'!$Q$8:$Q$154*'ANALYSE - ERP =&gt; SOUS-SEGMENT'!$HG$8:$HG$154)</f>
        <v>460.17943600000007</v>
      </c>
      <c r="HE15" s="292">
        <f>SUMPRODUCT(('ANALYSE - ERP =&gt; SOUS-SEGMENT'!$C$8:$C$154=$C15)*'ANALYSE - ERP =&gt; SOUS-SEGMENT'!$Q$8:$Q$154*'ANALYSE - ERP =&gt; SOUS-SEGMENT'!$HH$8:$HH$154)</f>
        <v>636.86470399999996</v>
      </c>
      <c r="HF15" s="292">
        <f>SUMPRODUCT(('ANALYSE - ERP =&gt; SOUS-SEGMENT'!$C$8:$C$154=$C15)*'ANALYSE - ERP =&gt; SOUS-SEGMENT'!$Q$8:$Q$154*'ANALYSE - ERP =&gt; SOUS-SEGMENT'!$HI$8:$HI$154)</f>
        <v>950.45416154999998</v>
      </c>
      <c r="HG15" s="292">
        <f>SUMPRODUCT(('ANALYSE - ERP =&gt; SOUS-SEGMENT'!$C$8:$C$154=$C15)*'ANALYSE - ERP =&gt; SOUS-SEGMENT'!$Q$8:$Q$154*'ANALYSE - ERP =&gt; SOUS-SEGMENT'!$HJ$8:$HJ$154)</f>
        <v>504.64886875000002</v>
      </c>
      <c r="HH15" s="292">
        <f>SUMPRODUCT(('ANALYSE - ERP =&gt; SOUS-SEGMENT'!$C$8:$C$154=$C15)*'ANALYSE - ERP =&gt; SOUS-SEGMENT'!$Q$8:$Q$154*'ANALYSE - ERP =&gt; SOUS-SEGMENT'!$HK$8:$HK$154)</f>
        <v>445.80529279999996</v>
      </c>
      <c r="HI15" s="292">
        <f>SUMPRODUCT(('ANALYSE - ERP =&gt; SOUS-SEGMENT'!$C$8:$C$154=$C15)*'ANALYSE - ERP =&gt; SOUS-SEGMENT'!$Q$8:$Q$154*'ANALYSE - ERP =&gt; SOUS-SEGMENT'!$HL$8:$HL$154)</f>
        <v>451.17884965000002</v>
      </c>
      <c r="HJ15" s="292">
        <f>SUMPRODUCT(('ANALYSE - ERP =&gt; SOUS-SEGMENT'!$C$8:$C$154=$C15)*'ANALYSE - ERP =&gt; SOUS-SEGMENT'!$Q$8:$Q$154*'ANALYSE - ERP =&gt; SOUS-SEGMENT'!$HM$8:$HM$154)</f>
        <v>228.27620325000001</v>
      </c>
      <c r="HK15" s="292">
        <f>SUMPRODUCT(('ANALYSE - ERP =&gt; SOUS-SEGMENT'!$C$8:$C$154=$C15)*'ANALYSE - ERP =&gt; SOUS-SEGMENT'!$Q$8:$Q$154*'ANALYSE - ERP =&gt; SOUS-SEGMENT'!$HN$8:$HN$154)</f>
        <v>222.90264639999998</v>
      </c>
      <c r="HL15" s="292">
        <f>SUMPRODUCT(('ANALYSE - ERP =&gt; SOUS-SEGMENT'!$C$8:$C$154=$C15)*'ANALYSE - ERP =&gt; SOUS-SEGMENT'!$Q$8:$Q$154*'ANALYSE - ERP =&gt; SOUS-SEGMENT'!$HO$8:$HO$154)</f>
        <v>7402.5161816538475</v>
      </c>
      <c r="HM15" s="292">
        <f>SUMPRODUCT(('ANALYSE - ERP =&gt; SOUS-SEGMENT'!$C$8:$C$154=$C15)*'ANALYSE - ERP =&gt; SOUS-SEGMENT'!$Q$8:$Q$154*'ANALYSE - ERP =&gt; SOUS-SEGMENT'!$HP$8:$HP$154)</f>
        <v>2856.2223776538458</v>
      </c>
      <c r="HN15" s="292">
        <f>SUMPRODUCT(('ANALYSE - ERP =&gt; SOUS-SEGMENT'!$C$8:$C$154=$C15)*'ANALYSE - ERP =&gt; SOUS-SEGMENT'!$Q$8:$Q$154*'ANALYSE - ERP =&gt; SOUS-SEGMENT'!$HQ$8:$HQ$154)</f>
        <v>4546.2938040000008</v>
      </c>
      <c r="HO15" s="292">
        <f>SUMPRODUCT(('ANALYSE - ERP =&gt; SOUS-SEGMENT'!$C$8:$C$154=$C15)*'ANALYSE - ERP =&gt; SOUS-SEGMENT'!$Q$8:$Q$154*'ANALYSE - ERP =&gt; SOUS-SEGMENT'!$HR$8:$HR$154)</f>
        <v>2894.4076105615381</v>
      </c>
      <c r="HP15" s="292">
        <f>SUMPRODUCT(('ANALYSE - ERP =&gt; SOUS-SEGMENT'!$C$8:$C$154=$C15)*'ANALYSE - ERP =&gt; SOUS-SEGMENT'!$Q$8:$Q$154*'ANALYSE - ERP =&gt; SOUS-SEGMENT'!$HS$8:$HS$154)</f>
        <v>1019.1670489615385</v>
      </c>
      <c r="HQ15" s="292">
        <f>SUMPRODUCT(('ANALYSE - ERP =&gt; SOUS-SEGMENT'!$C$8:$C$154=$C15)*'ANALYSE - ERP =&gt; SOUS-SEGMENT'!$Q$8:$Q$154*'ANALYSE - ERP =&gt; SOUS-SEGMENT'!$HT$8:$HT$154)</f>
        <v>1875.2405616000003</v>
      </c>
      <c r="HR15" s="292">
        <f>SUMPRODUCT(('ANALYSE - ERP =&gt; SOUS-SEGMENT'!$C$8:$C$154=$C15)*'ANALYSE - ERP =&gt; SOUS-SEGMENT'!$Q$8:$Q$154*'ANALYSE - ERP =&gt; SOUS-SEGMENT'!$HU$8:$HU$154)</f>
        <v>3320.8992783999997</v>
      </c>
      <c r="HS15" s="292">
        <f>SUMPRODUCT(('ANALYSE - ERP =&gt; SOUS-SEGMENT'!$C$8:$C$154=$C15)*'ANALYSE - ERP =&gt; SOUS-SEGMENT'!$Q$8:$Q$154*'ANALYSE - ERP =&gt; SOUS-SEGMENT'!$HV$8:$HV$154)</f>
        <v>1429.566364</v>
      </c>
      <c r="HT15" s="292">
        <f>SUMPRODUCT(('ANALYSE - ERP =&gt; SOUS-SEGMENT'!$C$8:$C$154=$C15)*'ANALYSE - ERP =&gt; SOUS-SEGMENT'!$Q$8:$Q$154*'ANALYSE - ERP =&gt; SOUS-SEGMENT'!$HW$8:$HW$154)</f>
        <v>1891.3329144000002</v>
      </c>
      <c r="HV15" s="297">
        <f t="shared" si="40"/>
        <v>792545.48399999994</v>
      </c>
      <c r="HW15" s="297">
        <f>SUMPRODUCT(('ANALYSE - ERP =&gt; SOUS-SEGMENT'!$C$8:$C$154=$C15)*'ANALYSE - ERP =&gt; SOUS-SEGMENT'!$Q$8:$Q$154*'ANALYSE - ERP =&gt; SOUS-SEGMENT'!$HZ$8:$HZ$154)</f>
        <v>105.0566</v>
      </c>
      <c r="HX15" s="297">
        <f>SUMPRODUCT(('ANALYSE - ERP =&gt; SOUS-SEGMENT'!$C$8:$C$154=$C15)*'ANALYSE - ERP =&gt; SOUS-SEGMENT'!$Q$8:$Q$154*'ANALYSE - ERP =&gt; SOUS-SEGMENT'!$IA$8:$IA$154)</f>
        <v>9328.9832000000006</v>
      </c>
      <c r="HY15" s="297">
        <f>SUMPRODUCT(('ANALYSE - ERP =&gt; SOUS-SEGMENT'!$C$8:$C$154=$C15)*'ANALYSE - ERP =&gt; SOUS-SEGMENT'!$Q$8:$Q$154*'ANALYSE - ERP =&gt; SOUS-SEGMENT'!$IB$8:$IB$154)</f>
        <v>24953.2068</v>
      </c>
      <c r="HZ15" s="297">
        <f>SUMPRODUCT(('ANALYSE - ERP =&gt; SOUS-SEGMENT'!$C$8:$C$154=$C15)*'ANALYSE - ERP =&gt; SOUS-SEGMENT'!$Q$8:$Q$154*'ANALYSE - ERP =&gt; SOUS-SEGMENT'!$IC$8:$IC$154)</f>
        <v>9641.4534000000003</v>
      </c>
      <c r="IA15" s="297">
        <f>SUMPRODUCT(('ANALYSE - ERP =&gt; SOUS-SEGMENT'!$C$8:$C$154=$C15)*'ANALYSE - ERP =&gt; SOUS-SEGMENT'!$Q$8:$Q$154*'ANALYSE - ERP =&gt; SOUS-SEGMENT'!$ID$8:$ID$154)</f>
        <v>501.29999999999995</v>
      </c>
      <c r="IB15" s="297">
        <f>SUMPRODUCT(('ANALYSE - ERP =&gt; SOUS-SEGMENT'!$C$8:$C$154=$C15)*'ANALYSE - ERP =&gt; SOUS-SEGMENT'!$Q$8:$Q$154*'ANALYSE - ERP =&gt; SOUS-SEGMENT'!$IE$8:$IE$154)</f>
        <v>12216.652177294683</v>
      </c>
      <c r="IC15" s="297">
        <f>SUMPRODUCT(('ANALYSE - ERP =&gt; SOUS-SEGMENT'!$C$8:$C$154=$C15)*'ANALYSE - ERP =&gt; SOUS-SEGMENT'!$Q$8:$Q$154*'ANALYSE - ERP =&gt; SOUS-SEGMENT'!$IF$8:$IF$154)</f>
        <v>0</v>
      </c>
      <c r="ID15" s="297">
        <f>SUMPRODUCT(('ANALYSE - ERP =&gt; SOUS-SEGMENT'!$C$8:$C$154=$C15)*'ANALYSE - ERP =&gt; SOUS-SEGMENT'!$Q$8:$Q$154*'ANALYSE - ERP =&gt; SOUS-SEGMENT'!$IG$8:$IG$154)</f>
        <v>1189.1236137975302</v>
      </c>
      <c r="IE15" s="297">
        <f>SUMPRODUCT(('ANALYSE - ERP =&gt; SOUS-SEGMENT'!$C$8:$C$154=$C15)*'ANALYSE - ERP =&gt; SOUS-SEGMENT'!$Q$8:$Q$154*'ANALYSE - ERP =&gt; SOUS-SEGMENT'!$IH$8:$IH$154)</f>
        <v>5749.8340472865511</v>
      </c>
      <c r="IF15" s="297">
        <f>SUMPRODUCT(('ANALYSE - ERP =&gt; SOUS-SEGMENT'!$C$8:$C$154=$C15)*'ANALYSE - ERP =&gt; SOUS-SEGMENT'!$Q$8:$Q$154*'ANALYSE - ERP =&gt; SOUS-SEGMENT'!$II$8:$II$154)</f>
        <v>4854.734146457351</v>
      </c>
      <c r="IG15" s="297">
        <f>SUMPRODUCT(('ANALYSE - ERP =&gt; SOUS-SEGMENT'!$C$8:$C$154=$C15)*'ANALYSE - ERP =&gt; SOUS-SEGMENT'!$Q$8:$Q$154*'ANALYSE - ERP =&gt; SOUS-SEGMENT'!$IJ$8:$IJ$154)</f>
        <v>422.96036975325313</v>
      </c>
      <c r="IH15" s="888"/>
      <c r="II15" s="298" t="s">
        <v>2589</v>
      </c>
      <c r="IJ15" s="322" t="s">
        <v>6760</v>
      </c>
      <c r="IK15" s="657"/>
      <c r="IL15" s="747">
        <f>IFERROR(SUMPRODUCT(('ANALYSE - ERP =&gt; SOUS-SEGMENT'!$C$8:$C$154=$C15)*'ANALYSE - ERP =&gt; SOUS-SEGMENT'!$Q$8:$Q$154*'ANALYSE - ERP =&gt; SOUS-SEGMENT'!$BE$8:$BE$154*'ANALYSE - ERP =&gt; SOUS-SEGMENT'!$IO$8:$IO$154)/SUMPRODUCT(('ANALYSE - ERP =&gt; SOUS-SEGMENT'!$C$8:$C$154=$C15)*'ANALYSE - ERP =&gt; SOUS-SEGMENT'!$Q$8:$Q$154*'ANALYSE - ERP =&gt; SOUS-SEGMENT'!$BE$8:$BE$154),0)</f>
        <v>1.2779934308748879E-3</v>
      </c>
      <c r="IM15" s="748">
        <f>IFERROR(SUMPRODUCT(('ANALYSE - ERP =&gt; SOUS-SEGMENT'!$C$8:$C$154=$C15)*'ANALYSE - ERP =&gt; SOUS-SEGMENT'!$Q$8:$Q$154*'ANALYSE - ERP =&gt; SOUS-SEGMENT'!$BE$8:$BE$154*'ANALYSE - ERP =&gt; SOUS-SEGMENT'!$IP$8:$IP$154)/SUMPRODUCT(('ANALYSE - ERP =&gt; SOUS-SEGMENT'!$C$8:$C$154=$C15)*'ANALYSE - ERP =&gt; SOUS-SEGMENT'!$Q$8:$Q$154*'ANALYSE - ERP =&gt; SOUS-SEGMENT'!$BE$8:$BE$154),0)</f>
        <v>0.17851239175873393</v>
      </c>
      <c r="IN15" s="748">
        <f>IFERROR(SUMPRODUCT(('ANALYSE - ERP =&gt; SOUS-SEGMENT'!$C$8:$C$154=$C15)*'ANALYSE - ERP =&gt; SOUS-SEGMENT'!$Q$8:$Q$154*'ANALYSE - ERP =&gt; SOUS-SEGMENT'!$BE$8:$BE$154*'ANALYSE - ERP =&gt; SOUS-SEGMENT'!$IQ$8:$IQ$154)/SUMPRODUCT(('ANALYSE - ERP =&gt; SOUS-SEGMENT'!$C$8:$C$154=$C15)*'ANALYSE - ERP =&gt; SOUS-SEGMENT'!$Q$8:$Q$154*'ANALYSE - ERP =&gt; SOUS-SEGMENT'!$BE$8:$BE$154),0)</f>
        <v>0.55928062108091969</v>
      </c>
      <c r="IO15" s="748">
        <f>IFERROR(SUMPRODUCT(('ANALYSE - ERP =&gt; SOUS-SEGMENT'!$C$8:$C$154=$C15)*'ANALYSE - ERP =&gt; SOUS-SEGMENT'!$Q$8:$Q$154*'ANALYSE - ERP =&gt; SOUS-SEGMENT'!$BE$8:$BE$154*'ANALYSE - ERP =&gt; SOUS-SEGMENT'!$IR$8:$IR$154)/SUMPRODUCT(('ANALYSE - ERP =&gt; SOUS-SEGMENT'!$C$8:$C$154=$C15)*'ANALYSE - ERP =&gt; SOUS-SEGMENT'!$Q$8:$Q$154*'ANALYSE - ERP =&gt; SOUS-SEGMENT'!$BE$8:$BE$154),0)</f>
        <v>0.24659635712152878</v>
      </c>
      <c r="IP15" s="749">
        <f>IFERROR(SUMPRODUCT(('ANALYSE - ERP =&gt; SOUS-SEGMENT'!$C$8:$C$154=$C15)*'ANALYSE - ERP =&gt; SOUS-SEGMENT'!$Q$8:$Q$154*'ANALYSE - ERP =&gt; SOUS-SEGMENT'!$BE$8:$BE$154*'ANALYSE - ERP =&gt; SOUS-SEGMENT'!$IS$8:$IS$154)/SUMPRODUCT(('ANALYSE - ERP =&gt; SOUS-SEGMENT'!$C$8:$C$154=$C15)*'ANALYSE - ERP =&gt; SOUS-SEGMENT'!$Q$8:$Q$154*'ANALYSE - ERP =&gt; SOUS-SEGMENT'!$BE$8:$BE$154),0)</f>
        <v>1.4332636607942669E-2</v>
      </c>
      <c r="IQ15" s="748">
        <f>IFERROR(SUMPRODUCT(('ANALYSE - ERP =&gt; SOUS-SEGMENT'!$C$8:$C$154=$C15)*'ANALYSE - ERP =&gt; SOUS-SEGMENT'!$Q$8:$Q$154*'ANALYSE - ERP =&gt; SOUS-SEGMENT'!$FB$8:$FB$154*'ANALYSE - ERP =&gt; SOUS-SEGMENT'!$IT$8:$IT$154)/SUMPRODUCT(('ANALYSE - ERP =&gt; SOUS-SEGMENT'!$C$8:$C$154=$C15)*'ANALYSE - ERP =&gt; SOUS-SEGMENT'!$Q$8:$Q$154*'ANALYSE - ERP =&gt; SOUS-SEGMENT'!$FB$8:$FB$154),0)</f>
        <v>0</v>
      </c>
      <c r="IR15" s="748">
        <f>IFERROR(SUMPRODUCT(('ANALYSE - ERP =&gt; SOUS-SEGMENT'!$C$8:$C$154=$C15)*'ANALYSE - ERP =&gt; SOUS-SEGMENT'!$Q$8:$Q$154*'ANALYSE - ERP =&gt; SOUS-SEGMENT'!$FB$8:$FB$154*'ANALYSE - ERP =&gt; SOUS-SEGMENT'!$IU$8:$IU$154)/SUMPRODUCT(('ANALYSE - ERP =&gt; SOUS-SEGMENT'!$C$8:$C$154=$C15)*'ANALYSE - ERP =&gt; SOUS-SEGMENT'!$Q$8:$Q$154*'ANALYSE - ERP =&gt; SOUS-SEGMENT'!$FB$8:$FB$154),0)</f>
        <v>8.2165516537796426E-2</v>
      </c>
      <c r="IS15" s="748">
        <f>IFERROR(SUMPRODUCT(('ANALYSE - ERP =&gt; SOUS-SEGMENT'!$C$8:$C$154=$C15)*'ANALYSE - ERP =&gt; SOUS-SEGMENT'!$Q$8:$Q$154*'ANALYSE - ERP =&gt; SOUS-SEGMENT'!$FB$8:$FB$154*'ANALYSE - ERP =&gt; SOUS-SEGMENT'!$IV$8:$IV$154)/SUMPRODUCT(('ANALYSE - ERP =&gt; SOUS-SEGMENT'!$C$8:$C$154=$C15)*'ANALYSE - ERP =&gt; SOUS-SEGMENT'!$Q$8:$Q$154*'ANALYSE - ERP =&gt; SOUS-SEGMENT'!$FB$8:$FB$154),0)</f>
        <v>0.44736426055216011</v>
      </c>
      <c r="IT15" s="748">
        <f>IFERROR(SUMPRODUCT(('ANALYSE - ERP =&gt; SOUS-SEGMENT'!$C$8:$C$154=$C15)*'ANALYSE - ERP =&gt; SOUS-SEGMENT'!$Q$8:$Q$154*'ANALYSE - ERP =&gt; SOUS-SEGMENT'!$FB$8:$FB$154*'ANALYSE - ERP =&gt; SOUS-SEGMENT'!$IW$8:$IW$154)/SUMPRODUCT(('ANALYSE - ERP =&gt; SOUS-SEGMENT'!$C$8:$C$154=$C15)*'ANALYSE - ERP =&gt; SOUS-SEGMENT'!$Q$8:$Q$154*'ANALYSE - ERP =&gt; SOUS-SEGMENT'!$FB$8:$FB$154),0)</f>
        <v>0.43042000420110277</v>
      </c>
      <c r="IU15" s="748">
        <f>IFERROR(SUMPRODUCT(('ANALYSE - ERP =&gt; SOUS-SEGMENT'!$C$8:$C$154=$C15)*'ANALYSE - ERP =&gt; SOUS-SEGMENT'!$Q$8:$Q$154*'ANALYSE - ERP =&gt; SOUS-SEGMENT'!$FB$8:$FB$154*'ANALYSE - ERP =&gt; SOUS-SEGMENT'!$IX$8:$IX$154)/SUMPRODUCT(('ANALYSE - ERP =&gt; SOUS-SEGMENT'!$C$8:$C$154=$C15)*'ANALYSE - ERP =&gt; SOUS-SEGMENT'!$Q$8:$Q$154*'ANALYSE - ERP =&gt; SOUS-SEGMENT'!$FB$8:$FB$154),0)</f>
        <v>4.0050218708940592E-2</v>
      </c>
      <c r="IV15" s="772">
        <f>IFERROR(SUMPRODUCT(('ANALYSE - ERP =&gt; SOUS-SEGMENT'!$C$8:$C$154=$C15)*'ANALYSE - ERP =&gt; SOUS-SEGMENT'!$Q$8:$Q$154*'ANALYSE - ERP =&gt; SOUS-SEGMENT'!$BF$8:$BF$154*'ANALYSE - ERP =&gt; SOUS-SEGMENT'!$IY$8:$IY$154)/SUMPRODUCT(('ANALYSE - ERP =&gt; SOUS-SEGMENT'!$C$8:$C$154=$C15)*'ANALYSE - ERP =&gt; SOUS-SEGMENT'!$Q$8:$Q$154*'ANALYSE - ERP =&gt; SOUS-SEGMENT'!$BF$8:$BF$154),0)</f>
        <v>0</v>
      </c>
      <c r="IW15" s="773">
        <f>IFERROR(SUMPRODUCT(('ANALYSE - ERP =&gt; SOUS-SEGMENT'!$C$8:$C$154=$C15)*'ANALYSE - ERP =&gt; SOUS-SEGMENT'!$Q$8:$Q$154*'ANALYSE - ERP =&gt; SOUS-SEGMENT'!$BF$8:$BF$154*'ANALYSE - ERP =&gt; SOUS-SEGMENT'!$IZ$8:$IZ$154)/SUMPRODUCT(('ANALYSE - ERP =&gt; SOUS-SEGMENT'!$C$8:$C$154=$C15)*'ANALYSE - ERP =&gt; SOUS-SEGMENT'!$Q$8:$Q$154*'ANALYSE - ERP =&gt; SOUS-SEGMENT'!$BF$8:$BF$154),0)</f>
        <v>0</v>
      </c>
      <c r="IX15" s="773">
        <f>IFERROR(SUMPRODUCT(('ANALYSE - ERP =&gt; SOUS-SEGMENT'!$C$8:$C$154=$C15)*'ANALYSE - ERP =&gt; SOUS-SEGMENT'!$Q$8:$Q$154*'ANALYSE - ERP =&gt; SOUS-SEGMENT'!$BF$8:$BF$154*'ANALYSE - ERP =&gt; SOUS-SEGMENT'!$JA$8:$JA$154)/SUMPRODUCT(('ANALYSE - ERP =&gt; SOUS-SEGMENT'!$C$8:$C$154=$C15)*'ANALYSE - ERP =&gt; SOUS-SEGMENT'!$Q$8:$Q$154*'ANALYSE - ERP =&gt; SOUS-SEGMENT'!$BF$8:$BF$154),0)</f>
        <v>0</v>
      </c>
      <c r="IY15" s="773">
        <f>IFERROR(SUMPRODUCT(('ANALYSE - ERP =&gt; SOUS-SEGMENT'!$C$8:$C$154=$C15)*'ANALYSE - ERP =&gt; SOUS-SEGMENT'!$Q$8:$Q$154*'ANALYSE - ERP =&gt; SOUS-SEGMENT'!$BF$8:$BF$154*'ANALYSE - ERP =&gt; SOUS-SEGMENT'!$JB$8:$JB$154)/SUMPRODUCT(('ANALYSE - ERP =&gt; SOUS-SEGMENT'!$C$8:$C$154=$C15)*'ANALYSE - ERP =&gt; SOUS-SEGMENT'!$Q$8:$Q$154*'ANALYSE - ERP =&gt; SOUS-SEGMENT'!$BF$8:$BF$154),0)</f>
        <v>0</v>
      </c>
      <c r="IZ15" s="774">
        <f>IFERROR(SUMPRODUCT(('ANALYSE - ERP =&gt; SOUS-SEGMENT'!$C$8:$C$154=$C15)*'ANALYSE - ERP =&gt; SOUS-SEGMENT'!$Q$8:$Q$154*'ANALYSE - ERP =&gt; SOUS-SEGMENT'!$BF$8:$BF$154*'ANALYSE - ERP =&gt; SOUS-SEGMENT'!$JC$8:$JC$154)/SUMPRODUCT(('ANALYSE - ERP =&gt; SOUS-SEGMENT'!$C$8:$C$154=$C15)*'ANALYSE - ERP =&gt; SOUS-SEGMENT'!$Q$8:$Q$154*'ANALYSE - ERP =&gt; SOUS-SEGMENT'!$BF$8:$BF$154),0)</f>
        <v>0</v>
      </c>
      <c r="JA15" s="773">
        <f>IFERROR(SUMPRODUCT(('ANALYSE - ERP =&gt; SOUS-SEGMENT'!$C$8:$C$154=$C15)*'ANALYSE - ERP =&gt; SOUS-SEGMENT'!$Q$8:$Q$154*'ANALYSE - ERP =&gt; SOUS-SEGMENT'!$FE$8:$FE$154*'ANALYSE - ERP =&gt; SOUS-SEGMENT'!$JD$8:$JD$154)/SUMPRODUCT(('ANALYSE - ERP =&gt; SOUS-SEGMENT'!$C$8:$C$154=$C15)*'ANALYSE - ERP =&gt; SOUS-SEGMENT'!$Q$8:$Q$154*'ANALYSE - ERP =&gt; SOUS-SEGMENT'!$FE$8:$FE$154),0)</f>
        <v>0</v>
      </c>
      <c r="JB15" s="773">
        <f>IFERROR(SUMPRODUCT(('ANALYSE - ERP =&gt; SOUS-SEGMENT'!$C$8:$C$154=$C15)*'ANALYSE - ERP =&gt; SOUS-SEGMENT'!$Q$8:$Q$154*'ANALYSE - ERP =&gt; SOUS-SEGMENT'!$FE$8:$FE$154*'ANALYSE - ERP =&gt; SOUS-SEGMENT'!$JE$8:$JE$154)/SUMPRODUCT(('ANALYSE - ERP =&gt; SOUS-SEGMENT'!$C$8:$C$154=$C15)*'ANALYSE - ERP =&gt; SOUS-SEGMENT'!$Q$8:$Q$154*'ANALYSE - ERP =&gt; SOUS-SEGMENT'!$FE$8:$FE$154),0)</f>
        <v>0</v>
      </c>
      <c r="JC15" s="773">
        <f>IFERROR(SUMPRODUCT(('ANALYSE - ERP =&gt; SOUS-SEGMENT'!$C$8:$C$154=$C15)*'ANALYSE - ERP =&gt; SOUS-SEGMENT'!$Q$8:$Q$154*'ANALYSE - ERP =&gt; SOUS-SEGMENT'!$FE$8:$FE$154*'ANALYSE - ERP =&gt; SOUS-SEGMENT'!$JF$8:$JF$154)/SUMPRODUCT(('ANALYSE - ERP =&gt; SOUS-SEGMENT'!$C$8:$C$154=$C15)*'ANALYSE - ERP =&gt; SOUS-SEGMENT'!$Q$8:$Q$154*'ANALYSE - ERP =&gt; SOUS-SEGMENT'!$FE$8:$FE$154),0)</f>
        <v>0</v>
      </c>
      <c r="JD15" s="773">
        <f>IFERROR(SUMPRODUCT(('ANALYSE - ERP =&gt; SOUS-SEGMENT'!$C$8:$C$154=$C15)*'ANALYSE - ERP =&gt; SOUS-SEGMENT'!$Q$8:$Q$154*'ANALYSE - ERP =&gt; SOUS-SEGMENT'!$FE$8:$FE$154*'ANALYSE - ERP =&gt; SOUS-SEGMENT'!$JG$8:$JG$154)/SUMPRODUCT(('ANALYSE - ERP =&gt; SOUS-SEGMENT'!$C$8:$C$154=$C15)*'ANALYSE - ERP =&gt; SOUS-SEGMENT'!$Q$8:$Q$154*'ANALYSE - ERP =&gt; SOUS-SEGMENT'!$FE$8:$FE$154),0)</f>
        <v>0</v>
      </c>
      <c r="JE15" s="773">
        <f>IFERROR(SUMPRODUCT(('ANALYSE - ERP =&gt; SOUS-SEGMENT'!$C$8:$C$154=$C15)*'ANALYSE - ERP =&gt; SOUS-SEGMENT'!$Q$8:$Q$154*'ANALYSE - ERP =&gt; SOUS-SEGMENT'!$FE$8:$FE$154*'ANALYSE - ERP =&gt; SOUS-SEGMENT'!$JH$8:$JH$154)/SUMPRODUCT(('ANALYSE - ERP =&gt; SOUS-SEGMENT'!$C$8:$C$154=$C15)*'ANALYSE - ERP =&gt; SOUS-SEGMENT'!$Q$8:$Q$154*'ANALYSE - ERP =&gt; SOUS-SEGMENT'!$FE$8:$FE$154),0)</f>
        <v>0</v>
      </c>
      <c r="JF15" s="771">
        <f>IFERROR(SUMPRODUCT(('ANALYSE - ERP =&gt; SOUS-SEGMENT'!$C$8:$C$154=$C15)*'ANALYSE - ERP =&gt; SOUS-SEGMENT'!$Q$8:$Q$154*'ANALYSE - ERP =&gt; SOUS-SEGMENT'!$BG$8:$BG$154*'ANALYSE - ERP =&gt; SOUS-SEGMENT'!$JI$8:$JI$154)/SUMPRODUCT(('ANALYSE - ERP =&gt; SOUS-SEGMENT'!$C$8:$C$154=$C15)*'ANALYSE - ERP =&gt; SOUS-SEGMENT'!$Q$8:$Q$154*'ANALYSE - ERP =&gt; SOUS-SEGMENT'!$BG$8:$BG$154),0)</f>
        <v>1.1716213726393367E-2</v>
      </c>
      <c r="JG15" s="748">
        <f>IFERROR(SUMPRODUCT(('ANALYSE - ERP =&gt; SOUS-SEGMENT'!$C$8:$C$154=$C15)*'ANALYSE - ERP =&gt; SOUS-SEGMENT'!$Q$8:$Q$154*'ANALYSE - ERP =&gt; SOUS-SEGMENT'!$BG$8:$BG$154*'ANALYSE - ERP =&gt; SOUS-SEGMENT'!$JJ$8:$JJ$154)/SUMPRODUCT(('ANALYSE - ERP =&gt; SOUS-SEGMENT'!$C$8:$C$154=$C15)*'ANALYSE - ERP =&gt; SOUS-SEGMENT'!$Q$8:$Q$154*'ANALYSE - ERP =&gt; SOUS-SEGMENT'!$BG$8:$BG$154),0)</f>
        <v>0.31788756333486873</v>
      </c>
      <c r="JH15" s="748">
        <f>IFERROR(SUMPRODUCT(('ANALYSE - ERP =&gt; SOUS-SEGMENT'!$C$8:$C$154=$C15)*'ANALYSE - ERP =&gt; SOUS-SEGMENT'!$Q$8:$Q$154*'ANALYSE - ERP =&gt; SOUS-SEGMENT'!$BG$8:$BG$154*'ANALYSE - ERP =&gt; SOUS-SEGMENT'!$JK$8:$JK$154)/SUMPRODUCT(('ANALYSE - ERP =&gt; SOUS-SEGMENT'!$C$8:$C$154=$C15)*'ANALYSE - ERP =&gt; SOUS-SEGMENT'!$Q$8:$Q$154*'ANALYSE - ERP =&gt; SOUS-SEGMENT'!$BG$8:$BG$154),0)</f>
        <v>0.53713321050207274</v>
      </c>
      <c r="JI15" s="748">
        <f>IFERROR(SUMPRODUCT(('ANALYSE - ERP =&gt; SOUS-SEGMENT'!$C$8:$C$154=$C15)*'ANALYSE - ERP =&gt; SOUS-SEGMENT'!$Q$8:$Q$154*'ANALYSE - ERP =&gt; SOUS-SEGMENT'!$BG$8:$BG$154*'ANALYSE - ERP =&gt; SOUS-SEGMENT'!$JL$8:$JL$154)/SUMPRODUCT(('ANALYSE - ERP =&gt; SOUS-SEGMENT'!$C$8:$C$154=$C15)*'ANALYSE - ERP =&gt; SOUS-SEGMENT'!$Q$8:$Q$154*'ANALYSE - ERP =&gt; SOUS-SEGMENT'!$BG$8:$BG$154),0)</f>
        <v>0.12953201289728236</v>
      </c>
      <c r="JJ15" s="749">
        <f>IFERROR(SUMPRODUCT(('ANALYSE - ERP =&gt; SOUS-SEGMENT'!$C$8:$C$154=$C15)*'ANALYSE - ERP =&gt; SOUS-SEGMENT'!$Q$8:$Q$154*'ANALYSE - ERP =&gt; SOUS-SEGMENT'!$BG$8:$BG$154*'ANALYSE - ERP =&gt; SOUS-SEGMENT'!$JM$8:$JM$154)/SUMPRODUCT(('ANALYSE - ERP =&gt; SOUS-SEGMENT'!$C$8:$C$154=$C15)*'ANALYSE - ERP =&gt; SOUS-SEGMENT'!$Q$8:$Q$154*'ANALYSE - ERP =&gt; SOUS-SEGMENT'!$BG$8:$BG$154),0)</f>
        <v>3.7309995393827729E-3</v>
      </c>
      <c r="JK15" s="748">
        <f>IFERROR(SUMPRODUCT(('ANALYSE - ERP =&gt; SOUS-SEGMENT'!$C$8:$C$154=$C15)*'ANALYSE - ERP =&gt; SOUS-SEGMENT'!$Q$8:$Q$154*'ANALYSE - ERP =&gt; SOUS-SEGMENT'!$FH$8:$FH$154*'ANALYSE - ERP =&gt; SOUS-SEGMENT'!$JN$8:$JN$154)/SUMPRODUCT(('ANALYSE - ERP =&gt; SOUS-SEGMENT'!$C$8:$C$154=$C15)*'ANALYSE - ERP =&gt; SOUS-SEGMENT'!$Q$8:$Q$154*'ANALYSE - ERP =&gt; SOUS-SEGMENT'!$FH$8:$FH$154),0)</f>
        <v>0</v>
      </c>
      <c r="JL15" s="748">
        <f>IFERROR(SUMPRODUCT(('ANALYSE - ERP =&gt; SOUS-SEGMENT'!$C$8:$C$154=$C15)*'ANALYSE - ERP =&gt; SOUS-SEGMENT'!$Q$8:$Q$154*'ANALYSE - ERP =&gt; SOUS-SEGMENT'!$FH$8:$FH$154*'ANALYSE - ERP =&gt; SOUS-SEGMENT'!$JO$8:$JO$154)/SUMPRODUCT(('ANALYSE - ERP =&gt; SOUS-SEGMENT'!$C$8:$C$154=$C15)*'ANALYSE - ERP =&gt; SOUS-SEGMENT'!$Q$8:$Q$154*'ANALYSE - ERP =&gt; SOUS-SEGMENT'!$FH$8:$FH$154),0)</f>
        <v>0.15345248010537485</v>
      </c>
      <c r="JM15" s="748">
        <f>IFERROR(SUMPRODUCT(('ANALYSE - ERP =&gt; SOUS-SEGMENT'!$C$8:$C$154=$C15)*'ANALYSE - ERP =&gt; SOUS-SEGMENT'!$Q$8:$Q$154*'ANALYSE - ERP =&gt; SOUS-SEGMENT'!$FH$8:$FH$154*'ANALYSE - ERP =&gt; SOUS-SEGMENT'!$JP$8:$JP$154)/SUMPRODUCT(('ANALYSE - ERP =&gt; SOUS-SEGMENT'!$C$8:$C$154=$C15)*'ANALYSE - ERP =&gt; SOUS-SEGMENT'!$Q$8:$Q$154*'ANALYSE - ERP =&gt; SOUS-SEGMENT'!$FH$8:$FH$154),0)</f>
        <v>0.53530739681015049</v>
      </c>
      <c r="JN15" s="748">
        <f>IFERROR(SUMPRODUCT(('ANALYSE - ERP =&gt; SOUS-SEGMENT'!$C$8:$C$154=$C15)*'ANALYSE - ERP =&gt; SOUS-SEGMENT'!$Q$8:$Q$154*'ANALYSE - ERP =&gt; SOUS-SEGMENT'!$FH$8:$FH$154*'ANALYSE - ERP =&gt; SOUS-SEGMENT'!$JQ$8:$JQ$154)/SUMPRODUCT(('ANALYSE - ERP =&gt; SOUS-SEGMENT'!$C$8:$C$154=$C15)*'ANALYSE - ERP =&gt; SOUS-SEGMENT'!$Q$8:$Q$154*'ANALYSE - ERP =&gt; SOUS-SEGMENT'!$FH$8:$FH$154),0)</f>
        <v>0.28843111325148885</v>
      </c>
      <c r="JO15" s="748">
        <f>IFERROR(SUMPRODUCT(('ANALYSE - ERP =&gt; SOUS-SEGMENT'!$C$8:$C$154=$C15)*'ANALYSE - ERP =&gt; SOUS-SEGMENT'!$Q$8:$Q$154*'ANALYSE - ERP =&gt; SOUS-SEGMENT'!$FH$8:$FH$154*'ANALYSE - ERP =&gt; SOUS-SEGMENT'!$JR$8:$JR$154)/SUMPRODUCT(('ANALYSE - ERP =&gt; SOUS-SEGMENT'!$C$8:$C$154=$C15)*'ANALYSE - ERP =&gt; SOUS-SEGMENT'!$Q$8:$Q$154*'ANALYSE - ERP =&gt; SOUS-SEGMENT'!$FH$8:$FH$154),0)</f>
        <v>2.280900983298579E-2</v>
      </c>
      <c r="JP15" s="771">
        <f>IFERROR(SUMPRODUCT(('ANALYSE - ERP =&gt; SOUS-SEGMENT'!$C$8:$C$154=$C15)*'ANALYSE - ERP =&gt; SOUS-SEGMENT'!$Q$8:$Q$154*'ANALYSE - ERP =&gt; SOUS-SEGMENT'!$BH$8:$BH$154*'ANALYSE - ERP =&gt; SOUS-SEGMENT'!$JS$8:$JS$154)/SUMPRODUCT(('ANALYSE - ERP =&gt; SOUS-SEGMENT'!$C$8:$C$154=$C15)*'ANALYSE - ERP =&gt; SOUS-SEGMENT'!$Q$8:$Q$154*'ANALYSE - ERP =&gt; SOUS-SEGMENT'!$BH$8:$BH$154),0)</f>
        <v>1.4185727082711259E-3</v>
      </c>
      <c r="JQ15" s="748">
        <f>IFERROR(SUMPRODUCT(('ANALYSE - ERP =&gt; SOUS-SEGMENT'!$C$8:$C$154=$C15)*'ANALYSE - ERP =&gt; SOUS-SEGMENT'!$Q$8:$Q$154*'ANALYSE - ERP =&gt; SOUS-SEGMENT'!$BH$8:$BH$154*'ANALYSE - ERP =&gt; SOUS-SEGMENT'!$JT$8:$JT$154)/SUMPRODUCT(('ANALYSE - ERP =&gt; SOUS-SEGMENT'!$C$8:$C$154=$C15)*'ANALYSE - ERP =&gt; SOUS-SEGMENT'!$Q$8:$Q$154*'ANALYSE - ERP =&gt; SOUS-SEGMENT'!$BH$8:$BH$154),0)</f>
        <v>0.21706416840848014</v>
      </c>
      <c r="JR15" s="748">
        <f>IFERROR(SUMPRODUCT(('ANALYSE - ERP =&gt; SOUS-SEGMENT'!$C$8:$C$154=$C15)*'ANALYSE - ERP =&gt; SOUS-SEGMENT'!$Q$8:$Q$154*'ANALYSE - ERP =&gt; SOUS-SEGMENT'!$BH$8:$BH$154*'ANALYSE - ERP =&gt; SOUS-SEGMENT'!$JU$8:$JU$154)/SUMPRODUCT(('ANALYSE - ERP =&gt; SOUS-SEGMENT'!$C$8:$C$154=$C15)*'ANALYSE - ERP =&gt; SOUS-SEGMENT'!$Q$8:$Q$154*'ANALYSE - ERP =&gt; SOUS-SEGMENT'!$BH$8:$BH$154),0)</f>
        <v>0.56647703792176773</v>
      </c>
      <c r="JS15" s="748">
        <f>IFERROR(SUMPRODUCT(('ANALYSE - ERP =&gt; SOUS-SEGMENT'!$C$8:$C$154=$C15)*'ANALYSE - ERP =&gt; SOUS-SEGMENT'!$Q$8:$Q$154*'ANALYSE - ERP =&gt; SOUS-SEGMENT'!$BH$8:$BH$154*'ANALYSE - ERP =&gt; SOUS-SEGMENT'!$JV$8:$JV$154)/SUMPRODUCT(('ANALYSE - ERP =&gt; SOUS-SEGMENT'!$C$8:$C$154=$C15)*'ANALYSE - ERP =&gt; SOUS-SEGMENT'!$Q$8:$Q$154*'ANALYSE - ERP =&gt; SOUS-SEGMENT'!$BH$8:$BH$154),0)</f>
        <v>0.20523132278292028</v>
      </c>
      <c r="JT15" s="749">
        <f>IFERROR(SUMPRODUCT(('ANALYSE - ERP =&gt; SOUS-SEGMENT'!$C$8:$C$154=$C15)*'ANALYSE - ERP =&gt; SOUS-SEGMENT'!$Q$8:$Q$154*'ANALYSE - ERP =&gt; SOUS-SEGMENT'!$BH$8:$BH$154*'ANALYSE - ERP =&gt; SOUS-SEGMENT'!$JW$8:$JW$154)/SUMPRODUCT(('ANALYSE - ERP =&gt; SOUS-SEGMENT'!$C$8:$C$154=$C15)*'ANALYSE - ERP =&gt; SOUS-SEGMENT'!$Q$8:$Q$154*'ANALYSE - ERP =&gt; SOUS-SEGMENT'!$BH$8:$BH$154),0)</f>
        <v>9.8088981785607633E-3</v>
      </c>
      <c r="JU15" s="771">
        <f>IFERROR(SUMPRODUCT(('ANALYSE - ERP =&gt; SOUS-SEGMENT'!$C$8:$C$154=$C15)*'ANALYSE - ERP =&gt; SOUS-SEGMENT'!$Q$8:$Q$154*'ANALYSE - ERP =&gt; SOUS-SEGMENT'!$FK$8:$FK$154*'ANALYSE - ERP =&gt; SOUS-SEGMENT'!$JX$8:$JX$154)/SUMPRODUCT(('ANALYSE - ERP =&gt; SOUS-SEGMENT'!$C$8:$C$154=$C15)*'ANALYSE - ERP =&gt; SOUS-SEGMENT'!$Q$8:$Q$154*'ANALYSE - ERP =&gt; SOUS-SEGMENT'!$FK$8:$FK$154),0)</f>
        <v>0</v>
      </c>
      <c r="JV15" s="748">
        <f>IFERROR(SUMPRODUCT(('ANALYSE - ERP =&gt; SOUS-SEGMENT'!$C$8:$C$154=$C15)*'ANALYSE - ERP =&gt; SOUS-SEGMENT'!$Q$8:$Q$154*'ANALYSE - ERP =&gt; SOUS-SEGMENT'!$FK$8:$FK$154*'ANALYSE - ERP =&gt; SOUS-SEGMENT'!$JY$8:$JY$154)/SUMPRODUCT(('ANALYSE - ERP =&gt; SOUS-SEGMENT'!$C$8:$C$154=$C15)*'ANALYSE - ERP =&gt; SOUS-SEGMENT'!$Q$8:$Q$154*'ANALYSE - ERP =&gt; SOUS-SEGMENT'!$FK$8:$FK$154),0)</f>
        <v>9.7476201684184499E-2</v>
      </c>
      <c r="JW15" s="748">
        <f>IFERROR(SUMPRODUCT(('ANALYSE - ERP =&gt; SOUS-SEGMENT'!$C$8:$C$154=$C15)*'ANALYSE - ERP =&gt; SOUS-SEGMENT'!$Q$8:$Q$154*'ANALYSE - ERP =&gt; SOUS-SEGMENT'!$FK$8:$FK$154*'ANALYSE - ERP =&gt; SOUS-SEGMENT'!$JZ$8:$JZ$154)/SUMPRODUCT(('ANALYSE - ERP =&gt; SOUS-SEGMENT'!$C$8:$C$154=$C15)*'ANALYSE - ERP =&gt; SOUS-SEGMENT'!$Q$8:$Q$154*'ANALYSE - ERP =&gt; SOUS-SEGMENT'!$FK$8:$FK$154),0)</f>
        <v>0.47678972972520917</v>
      </c>
      <c r="JX15" s="748">
        <f>IFERROR(SUMPRODUCT(('ANALYSE - ERP =&gt; SOUS-SEGMENT'!$C$8:$C$154=$C15)*'ANALYSE - ERP =&gt; SOUS-SEGMENT'!$Q$8:$Q$154*'ANALYSE - ERP =&gt; SOUS-SEGMENT'!$FK$8:$FK$154*'ANALYSE - ERP =&gt; SOUS-SEGMENT'!$KA$8:$KA$154)/SUMPRODUCT(('ANALYSE - ERP =&gt; SOUS-SEGMENT'!$C$8:$C$154=$C15)*'ANALYSE - ERP =&gt; SOUS-SEGMENT'!$Q$8:$Q$154*'ANALYSE - ERP =&gt; SOUS-SEGMENT'!$FK$8:$FK$154),0)</f>
        <v>0.39343861535566865</v>
      </c>
      <c r="JY15" s="775">
        <f>IFERROR(SUMPRODUCT(('ANALYSE - ERP =&gt; SOUS-SEGMENT'!$C$8:$C$154=$C15)*'ANALYSE - ERP =&gt; SOUS-SEGMENT'!$Q$8:$Q$154*'ANALYSE - ERP =&gt; SOUS-SEGMENT'!$FK$8:$FK$154*'ANALYSE - ERP =&gt; SOUS-SEGMENT'!$KB$8:$KB$154)/SUMPRODUCT(('ANALYSE - ERP =&gt; SOUS-SEGMENT'!$C$8:$C$154=$C15)*'ANALYSE - ERP =&gt; SOUS-SEGMENT'!$Q$8:$Q$154*'ANALYSE - ERP =&gt; SOUS-SEGMENT'!$FK$8:$FK$154),0)</f>
        <v>3.2295453234937634E-2</v>
      </c>
      <c r="JZ15" s="657"/>
      <c r="KA15" s="298" t="s">
        <v>2591</v>
      </c>
      <c r="KB15" s="298" t="s">
        <v>2625</v>
      </c>
      <c r="KC15" s="888">
        <f>IFERROR(SUMPRODUCT(('ANALYSE - ERP =&gt; SOUS-SEGMENT'!$C$8:$C$154=$C16)*'ANALYSE - ERP =&gt; SOUS-SEGMENT'!$Q$8:$Q$154*'ANALYSE - ERP =&gt; SOUS-SEGMENT'!$EX$8:$EX$154*'ANALYSE - ERP =&gt; SOUS-SEGMENT'!$KF$8:$KF$154)/SUMPRODUCT(('ANALYSE - ERP =&gt; SOUS-SEGMENT'!$C$8:$C$154=$C16)*'ANALYSE - ERP =&gt; SOUS-SEGMENT'!$Q$8:$Q$154*'ANALYSE - ERP =&gt; SOUS-SEGMENT'!$EX$8:$EX$154),"")</f>
        <v>3.8942226160416422</v>
      </c>
      <c r="KD15" s="298" t="s">
        <v>2589</v>
      </c>
      <c r="KE15" s="300" t="s">
        <v>3523</v>
      </c>
      <c r="KF15" s="620" t="s">
        <v>6760</v>
      </c>
      <c r="KG15" s="300" t="s">
        <v>6760</v>
      </c>
    </row>
    <row r="16" spans="1:293" ht="108" customHeight="1">
      <c r="A16" s="273">
        <v>10</v>
      </c>
      <c r="B16" s="484" t="s">
        <v>3662</v>
      </c>
      <c r="C16" s="484" t="s">
        <v>1114</v>
      </c>
      <c r="D16" s="484" t="s">
        <v>6928</v>
      </c>
      <c r="E16" s="275" t="s">
        <v>6929</v>
      </c>
      <c r="F16" s="275" t="s">
        <v>300</v>
      </c>
      <c r="G16" s="275" t="s">
        <v>300</v>
      </c>
      <c r="H16" s="275" t="s">
        <v>2109</v>
      </c>
      <c r="I16" s="276" t="s">
        <v>6930</v>
      </c>
      <c r="J16" s="276" t="s">
        <v>6931</v>
      </c>
      <c r="K16" s="277" t="s">
        <v>2097</v>
      </c>
      <c r="L16" s="277" t="s">
        <v>2109</v>
      </c>
      <c r="M16" s="277" t="s">
        <v>2603</v>
      </c>
      <c r="N16" s="277" t="s">
        <v>6742</v>
      </c>
      <c r="O16" s="277" t="s">
        <v>2212</v>
      </c>
      <c r="P16" s="276"/>
      <c r="Q16" s="270">
        <f>IF(SUMPRODUCT(('ANALYSE - ERP =&gt; SOUS-SEGMENT'!$C$8:$C$154=$C16)*'ANALYSE - ERP =&gt; SOUS-SEGMENT'!$Q$8:$Q$154)&gt;0,1,0)</f>
        <v>1</v>
      </c>
      <c r="R16" s="278">
        <f>IFERROR(SUMPRODUCT(('ANALYSE - ERP =&gt; SOUS-SEGMENT'!$C$8:$C$154=$C16)*'ANALYSE - ERP =&gt; SOUS-SEGMENT'!$Q$8:$Q$154*'ANALYSE - ERP =&gt; SOUS-SEGMENT'!$AG$8:$AG$154*'ANALYSE - ERP =&gt; SOUS-SEGMENT'!$R$8:$R$154)/SUMPRODUCT(('ANALYSE - ERP =&gt; SOUS-SEGMENT'!$C$8:$C$154=$C16)*'ANALYSE - ERP =&gt; SOUS-SEGMENT'!$Q$8:$Q$154*'ANALYSE - ERP =&gt; SOUS-SEGMENT'!$AG$8:$AG$154),"")</f>
        <v>918.63281172330142</v>
      </c>
      <c r="S16" s="279">
        <f>SUMPRODUCT(('ANALYSE - ERP =&gt; SOUS-SEGMENT'!$C$8:$C$154=$C16)*'ANALYSE - ERP =&gt; SOUS-SEGMENT'!$Q$8:$Q$154*'ANALYSE - ERP =&gt; SOUS-SEGMENT'!$S$8:$S$154)</f>
        <v>48218</v>
      </c>
      <c r="T16" s="279">
        <f>SUMPRODUCT(('ANALYSE - ERP =&gt; SOUS-SEGMENT'!$C$8:$C$154=$C16)*'ANALYSE - ERP =&gt; SOUS-SEGMENT'!$Q$8:$Q$154*'ANALYSE - ERP =&gt; SOUS-SEGMENT'!$T$8:$T$154)</f>
        <v>48943</v>
      </c>
      <c r="U16" s="279">
        <f>SUMPRODUCT(('ANALYSE - ERP =&gt; SOUS-SEGMENT'!$C$8:$C$154=$C16)*'ANALYSE - ERP =&gt; SOUS-SEGMENT'!$Q$8:$Q$154*'ANALYSE - ERP =&gt; SOUS-SEGMENT'!$U$8:$U$154)</f>
        <v>49717</v>
      </c>
      <c r="V16" s="279">
        <f>SUMPRODUCT(('ANALYSE - ERP =&gt; SOUS-SEGMENT'!$C$8:$C$154=$C16)*'ANALYSE - ERP =&gt; SOUS-SEGMENT'!$Q$8:$Q$154*'ANALYSE - ERP =&gt; SOUS-SEGMENT'!$V$8:$V$154)</f>
        <v>50604</v>
      </c>
      <c r="W16" s="279">
        <f>SUMPRODUCT(('ANALYSE - ERP =&gt; SOUS-SEGMENT'!$C$8:$C$154=$C16)*'ANALYSE - ERP =&gt; SOUS-SEGMENT'!$Q$8:$Q$154*'ANALYSE - ERP =&gt; SOUS-SEGMENT'!$W$8:$W$154)</f>
        <v>50583</v>
      </c>
      <c r="X16" s="279">
        <f>SUMPRODUCT(('ANALYSE - ERP =&gt; SOUS-SEGMENT'!$C$8:$C$154=$C16)*'ANALYSE - ERP =&gt; SOUS-SEGMENT'!$Q$8:$Q$154*'ANALYSE - ERP =&gt; SOUS-SEGMENT'!$X$8:$X$154)</f>
        <v>50464</v>
      </c>
      <c r="Y16" s="279">
        <f>SUMPRODUCT(('ANALYSE - ERP =&gt; SOUS-SEGMENT'!$C$8:$C$154=$C16)*'ANALYSE - ERP =&gt; SOUS-SEGMENT'!$Q$8:$Q$154*'ANALYSE - ERP =&gt; SOUS-SEGMENT'!$Y$8:$Y$154)</f>
        <v>50446</v>
      </c>
      <c r="Z16" s="279">
        <f>SUMPRODUCT(('ANALYSE - ERP =&gt; SOUS-SEGMENT'!$C$8:$C$154=$C16)*'ANALYSE - ERP =&gt; SOUS-SEGMENT'!$Q$8:$Q$154*'ANALYSE - ERP =&gt; SOUS-SEGMENT'!$Z$8:$Z$154)</f>
        <v>50428</v>
      </c>
      <c r="AA16" s="279">
        <f>SUMPRODUCT(('ANALYSE - ERP =&gt; SOUS-SEGMENT'!$C$8:$C$154=$C16)*'ANALYSE - ERP =&gt; SOUS-SEGMENT'!$Q$8:$Q$154*'ANALYSE - ERP =&gt; SOUS-SEGMENT'!$AA$8:$AA$154)</f>
        <v>50167</v>
      </c>
      <c r="AB16" s="279">
        <f>SUMPRODUCT(('ANALYSE - ERP =&gt; SOUS-SEGMENT'!$C$8:$C$154=$C16)*'ANALYSE - ERP =&gt; SOUS-SEGMENT'!$Q$8:$Q$154*'ANALYSE - ERP =&gt; SOUS-SEGMENT'!$AB$8:$AB$154)</f>
        <v>50093</v>
      </c>
      <c r="AC16" s="279">
        <f>SUMPRODUCT(('ANALYSE - ERP =&gt; SOUS-SEGMENT'!$C$8:$C$154=$C16)*'ANALYSE - ERP =&gt; SOUS-SEGMENT'!$Q$8:$Q$154*'ANALYSE - ERP =&gt; SOUS-SEGMENT'!$AC$8:$AC$154)</f>
        <v>50151</v>
      </c>
      <c r="AD16" s="279">
        <f>SUMPRODUCT(('ANALYSE - ERP =&gt; SOUS-SEGMENT'!$C$8:$C$154=$C16)*'ANALYSE - ERP =&gt; SOUS-SEGMENT'!$Q$8:$Q$154*'ANALYSE - ERP =&gt; SOUS-SEGMENT'!$AD$8:$AD$154)</f>
        <v>50186</v>
      </c>
      <c r="AE16" s="279">
        <f>SUMPRODUCT(('ANALYSE - ERP =&gt; SOUS-SEGMENT'!$C$8:$C$154=$C16)*'ANALYSE - ERP =&gt; SOUS-SEGMENT'!$Q$8:$Q$154*'ANALYSE - ERP =&gt; SOUS-SEGMENT'!$AE$8:$AE$154)</f>
        <v>50169</v>
      </c>
      <c r="AF16" s="279">
        <f>SUMPRODUCT(('ANALYSE - ERP =&gt; SOUS-SEGMENT'!$C$8:$C$154=$C16)*'ANALYSE - ERP =&gt; SOUS-SEGMENT'!$Q$8:$Q$154*'ANALYSE - ERP =&gt; SOUS-SEGMENT'!$AF$8:$AF$154)</f>
        <v>50207</v>
      </c>
      <c r="AG16" s="279">
        <f>SUMPRODUCT(('ANALYSE - ERP =&gt; SOUS-SEGMENT'!$C$8:$C$154=$C16)*'ANALYSE - ERP =&gt; SOUS-SEGMENT'!$Q$8:$Q$154*'ANALYSE - ERP =&gt; SOUS-SEGMENT'!$AG$8:$AG$154)</f>
        <v>50293</v>
      </c>
      <c r="AH16" s="279">
        <f>SUMPRODUCT(('ANALYSE - ERP =&gt; SOUS-SEGMENT'!$C$8:$C$154=$C16)*'ANALYSE - ERP =&gt; SOUS-SEGMENT'!$Q$8:$Q$154*'ANALYSE - ERP =&gt; SOUS-SEGMENT'!$AH$8:$AH$154)</f>
        <v>50386</v>
      </c>
      <c r="AI16" s="279">
        <f>SUMPRODUCT(('ANALYSE - ERP =&gt; SOUS-SEGMENT'!$C$8:$C$154=$C16)*'ANALYSE - ERP =&gt; SOUS-SEGMENT'!$Q$8:$Q$154*'ANALYSE - ERP =&gt; SOUS-SEGMENT'!$AI$8:$AI$154)</f>
        <v>50478</v>
      </c>
      <c r="AJ16" s="279">
        <f>SUMPRODUCT(('ANALYSE - ERP =&gt; SOUS-SEGMENT'!$C$8:$C$154=$C16)*'ANALYSE - ERP =&gt; SOUS-SEGMENT'!$Q$8:$Q$154*'ANALYSE - ERP =&gt; SOUS-SEGMENT'!$AJ$8:$AJ$154)</f>
        <v>50571</v>
      </c>
      <c r="AK16" s="279">
        <f>SUMPRODUCT(('ANALYSE - ERP =&gt; SOUS-SEGMENT'!$C$8:$C$154=$C16)*'ANALYSE - ERP =&gt; SOUS-SEGMENT'!$Q$8:$Q$154*'ANALYSE - ERP =&gt; SOUS-SEGMENT'!$AK$8:$AK$154)</f>
        <v>50665</v>
      </c>
      <c r="AL16" s="276" t="s">
        <v>6932</v>
      </c>
      <c r="AM16" s="276" t="s">
        <v>6933</v>
      </c>
      <c r="AN16" s="276" t="s">
        <v>6934</v>
      </c>
      <c r="AO16" s="657"/>
      <c r="AP16" s="278">
        <f>IFERROR(SUMPRODUCT(('ANALYSE - ERP =&gt; SOUS-SEGMENT'!$C$8:$C$154=$C16)*'ANALYSE - ERP =&gt; SOUS-SEGMENT'!$Q$8:$Q$154*'ANALYSE - ERP =&gt; SOUS-SEGMENT'!$AG$8:$AG$154*'ANALYSE - ERP =&gt; SOUS-SEGMENT'!$AP$8:$AP$154)/SUMPRODUCT(('ANALYSE - ERP =&gt; SOUS-SEGMENT'!$C$8:$C$154=$C16)*'ANALYSE - ERP =&gt; SOUS-SEGMENT'!$Q$8:$Q$154*'ANALYSE - ERP =&gt; SOUS-SEGMENT'!$AG$8:$AG$154),"")</f>
        <v>295.50275386236655</v>
      </c>
      <c r="AQ16" s="278">
        <f>IFERROR(SUMPRODUCT(('ANALYSE - ERP =&gt; SOUS-SEGMENT'!$C$8:$C$154=$C16)*'ANALYSE - ERP =&gt; SOUS-SEGMENT'!$Q$8:$Q$154*'ANALYSE - ERP =&gt; SOUS-SEGMENT'!$AF$8:$AF$154*'ANALYSE - ERP =&gt; SOUS-SEGMENT'!$AQ$8:$AQ$154)/SUMPRODUCT(('ANALYSE - ERP =&gt; SOUS-SEGMENT'!$C$8:$C$154=$C16)*'ANALYSE - ERP =&gt; SOUS-SEGMENT'!$Q$8:$Q$154*'ANALYSE - ERP =&gt; SOUS-SEGMENT'!$AF$8:$AF$154),"")</f>
        <v>259.55920489174815</v>
      </c>
      <c r="AR16" s="973">
        <f>IFERROR(SUMPRODUCT(('ANALYSE - ERP =&gt; SOUS-SEGMENT'!$C$8:$C$154=$C16)*'ANALYSE - ERP =&gt; SOUS-SEGMENT'!$Q$8:$Q$154*'ANALYSE - ERP =&gt; SOUS-SEGMENT'!$AF$8:$AF$154*'ANALYSE - ERP =&gt; SOUS-SEGMENT'!$AR$8:$AR$154)/SUMPRODUCT(('ANALYSE - ERP =&gt; SOUS-SEGMENT'!$C$8:$C$154=$C16)*'ANALYSE - ERP =&gt; SOUS-SEGMENT'!$Q$8:$Q$154*'ANALYSE - ERP =&gt; SOUS-SEGMENT'!$AF$8:$AF$154),"")</f>
        <v>25.877706295934829</v>
      </c>
      <c r="AS16" s="973">
        <f>IFERROR(SUMPRODUCT(('ANALYSE - ERP =&gt; SOUS-SEGMENT'!$C$8:$C$154=$C16)*'ANALYSE - ERP =&gt; SOUS-SEGMENT'!$Q$8:$Q$154*'ANALYSE - ERP =&gt; SOUS-SEGMENT'!$AF$8:$AF$154*'ANALYSE - ERP =&gt; SOUS-SEGMENT'!$AS$8:$AS$154)/SUMPRODUCT(('ANALYSE - ERP =&gt; SOUS-SEGMENT'!$C$8:$C$154=$C16)*'ANALYSE - ERP =&gt; SOUS-SEGMENT'!$Q$8:$Q$154*'ANALYSE - ERP =&gt; SOUS-SEGMENT'!$AF$8:$AF$154),"")</f>
        <v>9.5495448841794968</v>
      </c>
      <c r="AT16" s="657" t="s">
        <v>6935</v>
      </c>
      <c r="AU16" s="276" t="s">
        <v>6936</v>
      </c>
      <c r="AV16" s="296" t="s">
        <v>2609</v>
      </c>
      <c r="AW16" s="276"/>
      <c r="AX16" s="657"/>
      <c r="AY16" s="282">
        <f>IFERROR(SUMPRODUCT(('ANALYSE - ERP =&gt; SOUS-SEGMENT'!$C$8:$C$154=$C16)*'ANALYSE - ERP =&gt; SOUS-SEGMENT'!$Q$8:$Q$154*'ANALYSE - ERP =&gt; SOUS-SEGMENT'!$AF$8:$AF$154*'ANALYSE - ERP =&gt; SOUS-SEGMENT'!$AZ$8:$AZ$154)/SUMPRODUCT(('ANALYSE - ERP =&gt; SOUS-SEGMENT'!$C$8:$C$154=$C16)*'ANALYSE - ERP =&gt; SOUS-SEGMENT'!$Q$8:$Q$154*'ANALYSE - ERP =&gt; SOUS-SEGMENT'!$AF$8:$AF$154),"")</f>
        <v>7.7791941362758177</v>
      </c>
      <c r="AZ16" s="947">
        <f>IFERROR(SUMPRODUCT(('ANALYSE - ERP =&gt; SOUS-SEGMENT'!$C$8:$C$154=$C16)*'ANALYSE - ERP =&gt; SOUS-SEGMENT'!$Q$8:$Q$154*'ANALYSE - ERP =&gt; SOUS-SEGMENT'!$AF$8:$AF$154*'ANALYSE - ERP =&gt; SOUS-SEGMENT'!$BA$8:$BA$154)/SUMPRODUCT(('ANALYSE - ERP =&gt; SOUS-SEGMENT'!$C$8:$C$154=$C16)*'ANALYSE - ERP =&gt; SOUS-SEGMENT'!$Q$8:$Q$154*'ANALYSE - ERP =&gt; SOUS-SEGMENT'!$AF$8:$AF$154),"")</f>
        <v>0.17721632441691398</v>
      </c>
      <c r="BA16" s="282">
        <f>IFERROR(SUMPRODUCT(('ANALYSE - ERP =&gt; SOUS-SEGMENT'!$C$8:$C$154=$C16)*'ANALYSE - ERP =&gt; SOUS-SEGMENT'!$Q$8:$Q$154*'ANALYSE - ERP =&gt; SOUS-SEGMENT'!$AF$8:$AF$154*'ANALYSE - ERP =&gt; SOUS-SEGMENT'!$BB$8:$BB$154)/SUMPRODUCT(('ANALYSE - ERP =&gt; SOUS-SEGMENT'!$C$8:$C$154=$C16)*'ANALYSE - ERP =&gt; SOUS-SEGMENT'!$Q$8:$Q$154*'ANALYSE - ERP =&gt; SOUS-SEGMENT'!$AF$8:$AF$154),"")</f>
        <v>1.4563606668392854</v>
      </c>
      <c r="BB16" s="282">
        <f>IFERROR(SUMPRODUCT(('ANALYSE - ERP =&gt; SOUS-SEGMENT'!$C$8:$C$154=$C16)*'ANALYSE - ERP =&gt; SOUS-SEGMENT'!$Q$8:$Q$154*'ANALYSE - ERP =&gt; SOUS-SEGMENT'!$AF$8:$AF$154*'ANALYSE - ERP =&gt; SOUS-SEGMENT'!$BC$8:$BC$154)/SUMPRODUCT(('ANALYSE - ERP =&gt; SOUS-SEGMENT'!$C$8:$C$154=$C16)*'ANALYSE - ERP =&gt; SOUS-SEGMENT'!$Q$8:$Q$154*'ANALYSE - ERP =&gt; SOUS-SEGMENT'!$AF$8:$AF$154),"")</f>
        <v>6.4001135299858589</v>
      </c>
      <c r="BC16" s="283">
        <f>SUMPRODUCT(('ANALYSE - ERP =&gt; SOUS-SEGMENT'!$C$8:$C$154=$C16)*'ANALYSE - ERP =&gt; SOUS-SEGMENT'!$Q$8:$Q$154*'ANALYSE - ERP =&gt; SOUS-SEGMENT'!$BE$8:$BE$154)</f>
        <v>390570</v>
      </c>
      <c r="BD16" s="283">
        <f>SUMPRODUCT(('ANALYSE - ERP =&gt; SOUS-SEGMENT'!$C$8:$C$154=$C16)*'ANALYSE - ERP =&gt; SOUS-SEGMENT'!$Q$8:$Q$154*'ANALYSE - ERP =&gt; SOUS-SEGMENT'!$BF$8:$BF$154)</f>
        <v>8897.5</v>
      </c>
      <c r="BE16" s="283">
        <f>SUMPRODUCT(('ANALYSE - ERP =&gt; SOUS-SEGMENT'!$C$8:$C$154=$C16)*'ANALYSE - ERP =&gt; SOUS-SEGMENT'!$Q$8:$Q$154*'ANALYSE - ERP =&gt; SOUS-SEGMENT'!$BG$8:$BG$154)</f>
        <v>73119.5</v>
      </c>
      <c r="BF16" s="283">
        <f>SUMPRODUCT(('ANALYSE - ERP =&gt; SOUS-SEGMENT'!$C$8:$C$154=$C16)*'ANALYSE - ERP =&gt; SOUS-SEGMENT'!$Q$8:$Q$154*'ANALYSE - ERP =&gt; SOUS-SEGMENT'!$BH$8:$BH$154)</f>
        <v>321330.5</v>
      </c>
      <c r="BG16" s="283">
        <f>SUMPRODUCT(('ANALYSE - ERP =&gt; SOUS-SEGMENT'!$C$8:$C$154=$C16)*'ANALYSE - ERP =&gt; SOUS-SEGMENT'!$Q$8:$Q$154*'ANALYSE - ERP =&gt; SOUS-SEGMENT'!$BJ$8:$BJ$154)</f>
        <v>397865</v>
      </c>
      <c r="BH16" s="283">
        <f>SUMPRODUCT(('ANALYSE - ERP =&gt; SOUS-SEGMENT'!$C$8:$C$154=$C16)*'ANALYSE - ERP =&gt; SOUS-SEGMENT'!$Q$8:$Q$154*'ANALYSE - ERP =&gt; SOUS-SEGMENT'!$BK$8:$BK$154)</f>
        <v>9187.5</v>
      </c>
      <c r="BI16" s="283">
        <f>SUMPRODUCT(('ANALYSE - ERP =&gt; SOUS-SEGMENT'!$C$8:$C$154=$C16)*'ANALYSE - ERP =&gt; SOUS-SEGMENT'!$Q$8:$Q$154*'ANALYSE - ERP =&gt; SOUS-SEGMENT'!$BL$8:$BL$154)</f>
        <v>74390</v>
      </c>
      <c r="BJ16" s="283">
        <f>SUMPRODUCT(('ANALYSE - ERP =&gt; SOUS-SEGMENT'!$C$8:$C$154=$C16)*'ANALYSE - ERP =&gt; SOUS-SEGMENT'!$Q$8:$Q$154*'ANALYSE - ERP =&gt; SOUS-SEGMENT'!$BM$8:$BM$154)</f>
        <v>326690</v>
      </c>
      <c r="BK16" s="657"/>
      <c r="BL16" s="580">
        <f>IFERROR(SUMPRODUCT(('ANALYSE - ERP =&gt; SOUS-SEGMENT'!$C$8:$C$154=$C16)*'ANALYSE - ERP =&gt; SOUS-SEGMENT'!$Q$8:$Q$154*'ANALYSE - ERP =&gt; SOUS-SEGMENT'!$BE$8:$BE$154*'ANALYSE - ERP =&gt; SOUS-SEGMENT'!$BO$8:$BO$154)/SUMPRODUCT(('ANALYSE - ERP =&gt; SOUS-SEGMENT'!$C$8:$C$154=$C16)*'ANALYSE - ERP =&gt; SOUS-SEGMENT'!$Q$8:$Q$154*'ANALYSE - ERP =&gt; SOUS-SEGMENT'!$BE$8:$BE$154),"")</f>
        <v>0.21938582072355789</v>
      </c>
      <c r="BM16" s="305">
        <f>IFERROR(SUMPRODUCT(('ANALYSE - ERP =&gt; SOUS-SEGMENT'!$C$8:$C$154=$C16)*'ANALYSE - ERP =&gt; SOUS-SEGMENT'!$Q$8:$Q$154*'ANALYSE - ERP =&gt; SOUS-SEGMENT'!$BE$8:$BE$154*'ANALYSE - ERP =&gt; SOUS-SEGMENT'!$BP$8:$BP$154)/SUMPRODUCT(('ANALYSE - ERP =&gt; SOUS-SEGMENT'!$C$8:$C$154=$C16)*'ANALYSE - ERP =&gt; SOUS-SEGMENT'!$Q$8:$Q$154*'ANALYSE - ERP =&gt; SOUS-SEGMENT'!$BE$8:$BE$154),"")</f>
        <v>0.62225931331131423</v>
      </c>
      <c r="BN16" s="305">
        <f>IFERROR(SUMPRODUCT(('ANALYSE - ERP =&gt; SOUS-SEGMENT'!$C$8:$C$154=$C16)*'ANALYSE - ERP =&gt; SOUS-SEGMENT'!$Q$8:$Q$154*'ANALYSE - ERP =&gt; SOUS-SEGMENT'!$BE$8:$BE$154*'ANALYSE - ERP =&gt; SOUS-SEGMENT'!$BQ$8:$BQ$154)/SUMPRODUCT(('ANALYSE - ERP =&gt; SOUS-SEGMENT'!$C$8:$C$154=$C16)*'ANALYSE - ERP =&gt; SOUS-SEGMENT'!$Q$8:$Q$154*'ANALYSE - ERP =&gt; SOUS-SEGMENT'!$BE$8:$BE$154),"")</f>
        <v>0.1083548659651279</v>
      </c>
      <c r="BO16" s="581">
        <f>IFERROR(SUMPRODUCT(('ANALYSE - ERP =&gt; SOUS-SEGMENT'!$C$8:$C$154=$C16)*'ANALYSE - ERP =&gt; SOUS-SEGMENT'!$Q$8:$Q$154*'ANALYSE - ERP =&gt; SOUS-SEGMENT'!$BE$8:$BE$154*'ANALYSE - ERP =&gt; SOUS-SEGMENT'!$BR$8:$BR$154)/SUMPRODUCT(('ANALYSE - ERP =&gt; SOUS-SEGMENT'!$C$8:$C$154=$C16)*'ANALYSE - ERP =&gt; SOUS-SEGMENT'!$Q$8:$Q$154*'ANALYSE - ERP =&gt; SOUS-SEGMENT'!$BE$8:$BE$154),"")</f>
        <v>0.05</v>
      </c>
      <c r="BP16" s="580">
        <f>IFERROR(SUMPRODUCT(('ANALYSE - ERP =&gt; SOUS-SEGMENT'!$C$8:$C$154=$C16)*'ANALYSE - ERP =&gt; SOUS-SEGMENT'!$Q$8:$Q$154*'ANALYSE - ERP =&gt; SOUS-SEGMENT'!$BJ$8:$BJ$154*'ANALYSE - ERP =&gt; SOUS-SEGMENT'!$BS$8:$BS$154)/SUMPRODUCT(('ANALYSE - ERP =&gt; SOUS-SEGMENT'!$C$8:$C$154=$C16)*'ANALYSE - ERP =&gt; SOUS-SEGMENT'!$Q$8:$Q$154*'ANALYSE - ERP =&gt; SOUS-SEGMENT'!$BJ$8:$BJ$154),"")</f>
        <v>0.19380443115126991</v>
      </c>
      <c r="BQ16" s="305">
        <f>IFERROR(SUMPRODUCT(('ANALYSE - ERP =&gt; SOUS-SEGMENT'!$C$8:$C$154=$C16)*'ANALYSE - ERP =&gt; SOUS-SEGMENT'!$Q$8:$Q$154*'ANALYSE - ERP =&gt; SOUS-SEGMENT'!$BJ$8:$BJ$154*'ANALYSE - ERP =&gt; SOUS-SEGMENT'!$BT$8:$BT$154)/SUMPRODUCT(('ANALYSE - ERP =&gt; SOUS-SEGMENT'!$C$8:$C$154=$C16)*'ANALYSE - ERP =&gt; SOUS-SEGMENT'!$Q$8:$Q$154*'ANALYSE - ERP =&gt; SOUS-SEGMENT'!$BJ$8:$BJ$154),"")</f>
        <v>0.62466037475022929</v>
      </c>
      <c r="BR16" s="305">
        <f>IFERROR(SUMPRODUCT(('ANALYSE - ERP =&gt; SOUS-SEGMENT'!$C$8:$C$154=$C16)*'ANALYSE - ERP =&gt; SOUS-SEGMENT'!$Q$8:$Q$154*'ANALYSE - ERP =&gt; SOUS-SEGMENT'!$BJ$8:$BJ$154*'ANALYSE - ERP =&gt; SOUS-SEGMENT'!$BU$8:$BU$154)/SUMPRODUCT(('ANALYSE - ERP =&gt; SOUS-SEGMENT'!$C$8:$C$154=$C16)*'ANALYSE - ERP =&gt; SOUS-SEGMENT'!$Q$8:$Q$154*'ANALYSE - ERP =&gt; SOUS-SEGMENT'!$BJ$8:$BJ$154),"")</f>
        <v>0.13866663315446193</v>
      </c>
      <c r="BS16" s="581">
        <f>IFERROR(SUMPRODUCT(('ANALYSE - ERP =&gt; SOUS-SEGMENT'!$C$8:$C$154=$C16)*'ANALYSE - ERP =&gt; SOUS-SEGMENT'!$Q$8:$Q$154*'ANALYSE - ERP =&gt; SOUS-SEGMENT'!$BJ$8:$BJ$154*'ANALYSE - ERP =&gt; SOUS-SEGMENT'!$BV$8:$BV$154)/SUMPRODUCT(('ANALYSE - ERP =&gt; SOUS-SEGMENT'!$C$8:$C$154=$C16)*'ANALYSE - ERP =&gt; SOUS-SEGMENT'!$Q$8:$Q$154*'ANALYSE - ERP =&gt; SOUS-SEGMENT'!$BJ$8:$BJ$154),"")</f>
        <v>4.2868560944038812E-2</v>
      </c>
      <c r="BT16" s="589">
        <f>IFERROR(SUMPRODUCT(('ANALYSE - ERP =&gt; SOUS-SEGMENT'!$C$8:$C$154=$C16)*'ANALYSE - ERP =&gt; SOUS-SEGMENT'!$Q$8:$Q$154*'ANALYSE - ERP =&gt; SOUS-SEGMENT'!$BF$8:$BF$154*'ANALYSE - ERP =&gt; SOUS-SEGMENT'!$BW$8:$BW$154)/SUMPRODUCT(('ANALYSE - ERP =&gt; SOUS-SEGMENT'!$C$8:$C$154=$C16)*'ANALYSE - ERP =&gt; SOUS-SEGMENT'!$Q$8:$Q$154*'ANALYSE - ERP =&gt; SOUS-SEGMENT'!$BF$8:$BF$154),"")</f>
        <v>0.42280134869345321</v>
      </c>
      <c r="BU16" s="306">
        <f>IFERROR(SUMPRODUCT(('ANALYSE - ERP =&gt; SOUS-SEGMENT'!$C$8:$C$154=$C16)*'ANALYSE - ERP =&gt; SOUS-SEGMENT'!$Q$8:$Q$154*'ANALYSE - ERP =&gt; SOUS-SEGMENT'!$BF$8:$BF$154*'ANALYSE - ERP =&gt; SOUS-SEGMENT'!$BX$8:$BX$154)/SUMPRODUCT(('ANALYSE - ERP =&gt; SOUS-SEGMENT'!$C$8:$C$154=$C16)*'ANALYSE - ERP =&gt; SOUS-SEGMENT'!$Q$8:$Q$154*'ANALYSE - ERP =&gt; SOUS-SEGMENT'!$BF$8:$BF$154),"")</f>
        <v>0.47719865130654676</v>
      </c>
      <c r="BV16" s="590">
        <f>IFERROR(SUMPRODUCT(('ANALYSE - ERP =&gt; SOUS-SEGMENT'!$C$8:$C$154=$C16)*'ANALYSE - ERP =&gt; SOUS-SEGMENT'!$Q$8:$Q$154*'ANALYSE - ERP =&gt; SOUS-SEGMENT'!$BF$8:$BF$154*'ANALYSE - ERP =&gt; SOUS-SEGMENT'!$BY$8:$BY$154)/SUMPRODUCT(('ANALYSE - ERP =&gt; SOUS-SEGMENT'!$C$8:$C$154=$C16)*'ANALYSE - ERP =&gt; SOUS-SEGMENT'!$Q$8:$Q$154*'ANALYSE - ERP =&gt; SOUS-SEGMENT'!$BF$8:$BF$154),"")</f>
        <v>0.1</v>
      </c>
      <c r="BW16" s="589">
        <f>IFERROR(SUMPRODUCT(('ANALYSE - ERP =&gt; SOUS-SEGMENT'!$C$8:$C$154=$C16)*'ANALYSE - ERP =&gt; SOUS-SEGMENT'!$Q$8:$Q$154*'ANALYSE - ERP =&gt; SOUS-SEGMENT'!$BK$8:$BK$154*'ANALYSE - ERP =&gt; SOUS-SEGMENT'!$BZ$8:$BZ$154)/SUMPRODUCT(('ANALYSE - ERP =&gt; SOUS-SEGMENT'!$C$8:$C$154=$C16)*'ANALYSE - ERP =&gt; SOUS-SEGMENT'!$Q$8:$Q$154*'ANALYSE - ERP =&gt; SOUS-SEGMENT'!$BK$8:$BK$154),"")</f>
        <v>0.37311564625850341</v>
      </c>
      <c r="BX16" s="306">
        <f>IFERROR(SUMPRODUCT(('ANALYSE - ERP =&gt; SOUS-SEGMENT'!$C$8:$C$154=$C16)*'ANALYSE - ERP =&gt; SOUS-SEGMENT'!$Q$8:$Q$154*'ANALYSE - ERP =&gt; SOUS-SEGMENT'!$BK$8:$BK$154*'ANALYSE - ERP =&gt; SOUS-SEGMENT'!$CA$8:$CA$154)/SUMPRODUCT(('ANALYSE - ERP =&gt; SOUS-SEGMENT'!$C$8:$C$154=$C16)*'ANALYSE - ERP =&gt; SOUS-SEGMENT'!$Q$8:$Q$154*'ANALYSE - ERP =&gt; SOUS-SEGMENT'!$BK$8:$BK$154),"")</f>
        <v>0.49688435374149659</v>
      </c>
      <c r="BY16" s="590">
        <f>IFERROR(SUMPRODUCT(('ANALYSE - ERP =&gt; SOUS-SEGMENT'!$C$8:$C$154=$C16)*'ANALYSE - ERP =&gt; SOUS-SEGMENT'!$Q$8:$Q$154*'ANALYSE - ERP =&gt; SOUS-SEGMENT'!$BK$8:$BK$154*'ANALYSE - ERP =&gt; SOUS-SEGMENT'!$CB$8:$CB$154)/SUMPRODUCT(('ANALYSE - ERP =&gt; SOUS-SEGMENT'!$C$8:$C$154=$C16)*'ANALYSE - ERP =&gt; SOUS-SEGMENT'!$Q$8:$Q$154*'ANALYSE - ERP =&gt; SOUS-SEGMENT'!$BK$8:$BK$154),"")</f>
        <v>0.13</v>
      </c>
      <c r="BZ16" s="580">
        <f>IFERROR(SUMPRODUCT(('ANALYSE - ERP =&gt; SOUS-SEGMENT'!$C$8:$C$154=$C16)*'ANALYSE - ERP =&gt; SOUS-SEGMENT'!$Q$8:$Q$154*'ANALYSE - ERP =&gt; SOUS-SEGMENT'!$BG$8:$BG$154*'ANALYSE - ERP =&gt; SOUS-SEGMENT'!$CC$8:$CC$154)/SUMPRODUCT(('ANALYSE - ERP =&gt; SOUS-SEGMENT'!$C$8:$C$154=$C16)*'ANALYSE - ERP =&gt; SOUS-SEGMENT'!$Q$8:$Q$154*'ANALYSE - ERP =&gt; SOUS-SEGMENT'!$BG$8:$BG$154),"")</f>
        <v>8.6747310908854666E-2</v>
      </c>
      <c r="CA16" s="305">
        <f>IFERROR(SUMPRODUCT(('ANALYSE - ERP =&gt; SOUS-SEGMENT'!$C$8:$C$154=$C16)*'ANALYSE - ERP =&gt; SOUS-SEGMENT'!$Q$8:$Q$154*'ANALYSE - ERP =&gt; SOUS-SEGMENT'!$BG$8:$BG$154*'ANALYSE - ERP =&gt; SOUS-SEGMENT'!$CD$8:$CD$154)/SUMPRODUCT(('ANALYSE - ERP =&gt; SOUS-SEGMENT'!$C$8:$C$154=$C16)*'ANALYSE - ERP =&gt; SOUS-SEGMENT'!$Q$8:$Q$154*'ANALYSE - ERP =&gt; SOUS-SEGMENT'!$BG$8:$BG$154),"")</f>
        <v>0.54185032720409743</v>
      </c>
      <c r="CB16" s="305">
        <f>IFERROR(SUMPRODUCT(('ANALYSE - ERP =&gt; SOUS-SEGMENT'!$C$8:$C$154=$C16)*'ANALYSE - ERP =&gt; SOUS-SEGMENT'!$Q$8:$Q$154*'ANALYSE - ERP =&gt; SOUS-SEGMENT'!$BG$8:$BG$154*'ANALYSE - ERP =&gt; SOUS-SEGMENT'!$CE$8:$CE$154)/SUMPRODUCT(('ANALYSE - ERP =&gt; SOUS-SEGMENT'!$C$8:$C$154=$C16)*'ANALYSE - ERP =&gt; SOUS-SEGMENT'!$Q$8:$Q$154*'ANALYSE - ERP =&gt; SOUS-SEGMENT'!$BG$8:$BG$154),"")</f>
        <v>0.15131011563262881</v>
      </c>
      <c r="CC16" s="581">
        <f>IFERROR(SUMPRODUCT(('ANALYSE - ERP =&gt; SOUS-SEGMENT'!$C$8:$C$154=$C16)*'ANALYSE - ERP =&gt; SOUS-SEGMENT'!$Q$8:$Q$154*'ANALYSE - ERP =&gt; SOUS-SEGMENT'!$BG$8:$BG$154*'ANALYSE - ERP =&gt; SOUS-SEGMENT'!$CF$8:$CF$154)/SUMPRODUCT(('ANALYSE - ERP =&gt; SOUS-SEGMENT'!$C$8:$C$154=$C16)*'ANALYSE - ERP =&gt; SOUS-SEGMENT'!$Q$8:$Q$154*'ANALYSE - ERP =&gt; SOUS-SEGMENT'!$BG$8:$BG$154),"")</f>
        <v>0.22009224625441914</v>
      </c>
      <c r="CD16" s="580">
        <f>IFERROR(SUMPRODUCT(('ANALYSE - ERP =&gt; SOUS-SEGMENT'!$C$8:$C$154=$C16)*'ANALYSE - ERP =&gt; SOUS-SEGMENT'!$Q$8:$Q$154*'ANALYSE - ERP =&gt; SOUS-SEGMENT'!$BL$8:$BL$154*'ANALYSE - ERP =&gt; SOUS-SEGMENT'!$CG$8:$CG$154)/SUMPRODUCT(('ANALYSE - ERP =&gt; SOUS-SEGMENT'!$C$8:$C$154=$C16)*'ANALYSE - ERP =&gt; SOUS-SEGMENT'!$Q$8:$Q$154*'ANALYSE - ERP =&gt; SOUS-SEGMENT'!$BL$8:$BL$154),"")</f>
        <v>6.6611103642962771E-2</v>
      </c>
      <c r="CE16" s="305">
        <f>IFERROR(SUMPRODUCT(('ANALYSE - ERP =&gt; SOUS-SEGMENT'!$C$8:$C$154=$C16)*'ANALYSE - ERP =&gt; SOUS-SEGMENT'!$Q$8:$Q$154*'ANALYSE - ERP =&gt; SOUS-SEGMENT'!$BL$8:$BL$154*'ANALYSE - ERP =&gt; SOUS-SEGMENT'!$CH$8:$CH$154)/SUMPRODUCT(('ANALYSE - ERP =&gt; SOUS-SEGMENT'!$C$8:$C$154=$C16)*'ANALYSE - ERP =&gt; SOUS-SEGMENT'!$Q$8:$Q$154*'ANALYSE - ERP =&gt; SOUS-SEGMENT'!$BL$8:$BL$154),"")</f>
        <v>0.54158354617556126</v>
      </c>
      <c r="CF16" s="305">
        <f>IFERROR(SUMPRODUCT(('ANALYSE - ERP =&gt; SOUS-SEGMENT'!$C$8:$C$154=$C16)*'ANALYSE - ERP =&gt; SOUS-SEGMENT'!$Q$8:$Q$154*'ANALYSE - ERP =&gt; SOUS-SEGMENT'!$BL$8:$BL$154*'ANALYSE - ERP =&gt; SOUS-SEGMENT'!$CI$8:$CI$154)/SUMPRODUCT(('ANALYSE - ERP =&gt; SOUS-SEGMENT'!$C$8:$C$154=$C16)*'ANALYSE - ERP =&gt; SOUS-SEGMENT'!$Q$8:$Q$154*'ANALYSE - ERP =&gt; SOUS-SEGMENT'!$BL$8:$BL$154),"")</f>
        <v>0.18179943540798493</v>
      </c>
      <c r="CG16" s="581">
        <f>IFERROR(SUMPRODUCT(('ANALYSE - ERP =&gt; SOUS-SEGMENT'!$C$8:$C$154=$C16)*'ANALYSE - ERP =&gt; SOUS-SEGMENT'!$Q$8:$Q$154*'ANALYSE - ERP =&gt; SOUS-SEGMENT'!$BL$8:$BL$154*'ANALYSE - ERP =&gt; SOUS-SEGMENT'!$CJ$8:$CJ$154)/SUMPRODUCT(('ANALYSE - ERP =&gt; SOUS-SEGMENT'!$C$8:$C$154=$C16)*'ANALYSE - ERP =&gt; SOUS-SEGMENT'!$Q$8:$Q$154*'ANALYSE - ERP =&gt; SOUS-SEGMENT'!$BL$8:$BL$154),"")</f>
        <v>0.21000591477349106</v>
      </c>
      <c r="CH16" s="589">
        <f>IFERROR(SUMPRODUCT(('ANALYSE - ERP =&gt; SOUS-SEGMENT'!$C$8:$C$154=$C16)*'ANALYSE - ERP =&gt; SOUS-SEGMENT'!$Q$8:$Q$154*'ANALYSE - ERP =&gt; SOUS-SEGMENT'!$BH$8:$BH$154*'ANALYSE - ERP =&gt; SOUS-SEGMENT'!$CK$8:$CK$154)/SUMPRODUCT(('ANALYSE - ERP =&gt; SOUS-SEGMENT'!$C$8:$C$154=$C16)*'ANALYSE - ERP =&gt; SOUS-SEGMENT'!$Q$8:$Q$154*'ANALYSE - ERP =&gt; SOUS-SEGMENT'!$BH$8:$BH$154),"")</f>
        <v>0.46537451315701445</v>
      </c>
      <c r="CI16" s="306">
        <f>IFERROR(SUMPRODUCT(('ANALYSE - ERP =&gt; SOUS-SEGMENT'!$C$8:$C$154=$C16)*'ANALYSE - ERP =&gt; SOUS-SEGMENT'!$Q$8:$Q$154*'ANALYSE - ERP =&gt; SOUS-SEGMENT'!$BH$8:$BH$154*'ANALYSE - ERP =&gt; SOUS-SEGMENT'!$CL$8:$CL$154)/SUMPRODUCT(('ANALYSE - ERP =&gt; SOUS-SEGMENT'!$C$8:$C$154=$C16)*'ANALYSE - ERP =&gt; SOUS-SEGMENT'!$Q$8:$Q$154*'ANALYSE - ERP =&gt; SOUS-SEGMENT'!$BH$8:$BH$154),"")</f>
        <v>0.39254428073276582</v>
      </c>
      <c r="CJ16" s="590">
        <f>IFERROR(SUMPRODUCT(('ANALYSE - ERP =&gt; SOUS-SEGMENT'!$C$8:$C$154=$C16)*'ANALYSE - ERP =&gt; SOUS-SEGMENT'!$Q$8:$Q$154*'ANALYSE - ERP =&gt; SOUS-SEGMENT'!$BH$8:$BH$154*'ANALYSE - ERP =&gt; SOUS-SEGMENT'!$CM$8:$CM$154)/SUMPRODUCT(('ANALYSE - ERP =&gt; SOUS-SEGMENT'!$C$8:$C$154=$C16)*'ANALYSE - ERP =&gt; SOUS-SEGMENT'!$Q$8:$Q$154*'ANALYSE - ERP =&gt; SOUS-SEGMENT'!$BH$8:$BH$154),"")</f>
        <v>0.14208120611021985</v>
      </c>
      <c r="CK16" s="589">
        <f>IFERROR(SUMPRODUCT(('ANALYSE - ERP =&gt; SOUS-SEGMENT'!$C$8:$C$154=$C16)*'ANALYSE - ERP =&gt; SOUS-SEGMENT'!$Q$8:$Q$154*'ANALYSE - ERP =&gt; SOUS-SEGMENT'!$BM$8:$BM$154*'ANALYSE - ERP =&gt; SOUS-SEGMENT'!$CN$8:$CN$154)/SUMPRODUCT(('ANALYSE - ERP =&gt; SOUS-SEGMENT'!$C$8:$C$154=$C16)*'ANALYSE - ERP =&gt; SOUS-SEGMENT'!$Q$8:$Q$154*'ANALYSE - ERP =&gt; SOUS-SEGMENT'!$BM$8:$BM$154),"")</f>
        <v>0.37447788423275885</v>
      </c>
      <c r="CL16" s="306">
        <f>IFERROR(SUMPRODUCT(('ANALYSE - ERP =&gt; SOUS-SEGMENT'!$C$8:$C$154=$C16)*'ANALYSE - ERP =&gt; SOUS-SEGMENT'!$Q$8:$Q$154*'ANALYSE - ERP =&gt; SOUS-SEGMENT'!$BM$8:$BM$154*'ANALYSE - ERP =&gt; SOUS-SEGMENT'!$CO$8:$CO$154)/SUMPRODUCT(('ANALYSE - ERP =&gt; SOUS-SEGMENT'!$C$8:$C$154=$C16)*'ANALYSE - ERP =&gt; SOUS-SEGMENT'!$Q$8:$Q$154*'ANALYSE - ERP =&gt; SOUS-SEGMENT'!$BM$8:$BM$154),"")</f>
        <v>0.43354562429214244</v>
      </c>
      <c r="CM16" s="590">
        <f>IFERROR(SUMPRODUCT(('ANALYSE - ERP =&gt; SOUS-SEGMENT'!$C$8:$C$154=$C16)*'ANALYSE - ERP =&gt; SOUS-SEGMENT'!$Q$8:$Q$154*'ANALYSE - ERP =&gt; SOUS-SEGMENT'!$BM$8:$BM$154*'ANALYSE - ERP =&gt; SOUS-SEGMENT'!$CP$8:$CP$154)/SUMPRODUCT(('ANALYSE - ERP =&gt; SOUS-SEGMENT'!$C$8:$C$154=$C16)*'ANALYSE - ERP =&gt; SOUS-SEGMENT'!$Q$8:$Q$154*'ANALYSE - ERP =&gt; SOUS-SEGMENT'!$BM$8:$BM$154),"")</f>
        <v>0.19197649147509871</v>
      </c>
      <c r="CN16" s="657"/>
      <c r="CO16" s="889">
        <f>IFERROR(SUMPRODUCT(('ANALYSE - ERP =&gt; SOUS-SEGMENT'!$C$8:$C$154=$C16)*'ANALYSE - ERP =&gt; SOUS-SEGMENT'!$DH$8:$DH$154*('ANALYSE - ERP =&gt; SOUS-SEGMENT'!$CR$8:$CR$154&gt;0)*'ANALYSE - ERP =&gt; SOUS-SEGMENT'!$CR$8:$CR$154)/SUMPRODUCT(('ANALYSE - ERP =&gt; SOUS-SEGMENT'!$C$8:$C$154=$C16)*'ANALYSE - ERP =&gt; SOUS-SEGMENT'!$DH$8:$DH$154*('ANALYSE - ERP =&gt; SOUS-SEGMENT'!$CR$8:$CR$154&gt;0)),"")</f>
        <v>12.358829823288696</v>
      </c>
      <c r="CP16" s="890">
        <f>IFERROR(SUMPRODUCT(('ANALYSE - ERP =&gt; SOUS-SEGMENT'!$C$8:$C$154=$C16)*'ANALYSE - ERP =&gt; SOUS-SEGMENT'!$DI$8:$DI$154*('ANALYSE - ERP =&gt; SOUS-SEGMENT'!$CS$8:$CS$154&gt;0)*'ANALYSE - ERP =&gt; SOUS-SEGMENT'!$CS$8:$CS$154)/SUMPRODUCT(('ANALYSE - ERP =&gt; SOUS-SEGMENT'!$C$8:$C$154=$C16)*'ANALYSE - ERP =&gt; SOUS-SEGMENT'!$DI$8:$DI$154*('ANALYSE - ERP =&gt; SOUS-SEGMENT'!$CS$8:$CS$154&gt;0)),"")</f>
        <v>12.999999999999998</v>
      </c>
      <c r="CQ16" s="890">
        <f>IFERROR(SUMPRODUCT(('ANALYSE - ERP =&gt; SOUS-SEGMENT'!$C$8:$C$154=$C16)*'ANALYSE - ERP =&gt; SOUS-SEGMENT'!$DJ$8:$DJ$154*('ANALYSE - ERP =&gt; SOUS-SEGMENT'!$CT$8:$CT$154&gt;0)*'ANALYSE - ERP =&gt; SOUS-SEGMENT'!$CT$8:$CT$154)/SUMPRODUCT(('ANALYSE - ERP =&gt; SOUS-SEGMENT'!$C$8:$C$154=$C16)*'ANALYSE - ERP =&gt; SOUS-SEGMENT'!$DJ$8:$DJ$154*('ANALYSE - ERP =&gt; SOUS-SEGMENT'!$CT$8:$CT$154&gt;0)),"")</f>
        <v>9.5845838011954569</v>
      </c>
      <c r="CR16" s="891">
        <f>IFERROR(SUMPRODUCT(('ANALYSE - ERP =&gt; SOUS-SEGMENT'!$C$8:$C$154=$C16)*'ANALYSE - ERP =&gt; SOUS-SEGMENT'!$DK$8:$DK$154*('ANALYSE - ERP =&gt; SOUS-SEGMENT'!$CU$8:$CU$154&gt;0)*'ANALYSE - ERP =&gt; SOUS-SEGMENT'!$CU$8:$CU$154)/SUMPRODUCT(('ANALYSE - ERP =&gt; SOUS-SEGMENT'!$C$8:$C$154=$C16)*'ANALYSE - ERP =&gt; SOUS-SEGMENT'!$DK$8:$DK$154*('ANALYSE - ERP =&gt; SOUS-SEGMENT'!$CU$8:$CU$154&gt;0)),"")</f>
        <v>11.437345418234887</v>
      </c>
      <c r="CS16" s="889">
        <f>IFERROR(SUMPRODUCT(('ANALYSE - ERP =&gt; SOUS-SEGMENT'!$C$8:$C$154=$C16)*'ANALYSE - ERP =&gt; SOUS-SEGMENT'!$DS$8:$DS$154*('ANALYSE - ERP =&gt; SOUS-SEGMENT'!$CV$8:$CV$154&gt;0)*'ANALYSE - ERP =&gt; SOUS-SEGMENT'!$CV$8:$CV$154)/SUMPRODUCT(('ANALYSE - ERP =&gt; SOUS-SEGMENT'!$C$8:$C$154=$C16)*'ANALYSE - ERP =&gt; SOUS-SEGMENT'!$DS$8:$DS$154*('ANALYSE - ERP =&gt; SOUS-SEGMENT'!$CV$8:$CV$154&gt;0)),"")</f>
        <v>11.970726034224954</v>
      </c>
      <c r="CT16" s="890">
        <f>IFERROR(SUMPRODUCT(('ANALYSE - ERP =&gt; SOUS-SEGMENT'!$C$8:$C$154=$C16)*'ANALYSE - ERP =&gt; SOUS-SEGMENT'!$DT$8:$DT$154*('ANALYSE - ERP =&gt; SOUS-SEGMENT'!$CW$8:$CW$154&gt;0)*'ANALYSE - ERP =&gt; SOUS-SEGMENT'!$CW$8:$CW$154)/SUMPRODUCT(('ANALYSE - ERP =&gt; SOUS-SEGMENT'!$C$8:$C$154=$C16)*'ANALYSE - ERP =&gt; SOUS-SEGMENT'!$DT$8:$DT$154*('ANALYSE - ERP =&gt; SOUS-SEGMENT'!$CW$8:$CW$154&gt;0)),"")</f>
        <v>11.430035034003591</v>
      </c>
      <c r="CU16" s="891">
        <f>IFERROR(SUMPRODUCT(('ANALYSE - ERP =&gt; SOUS-SEGMENT'!$C$8:$C$154=$C16)*'ANALYSE - ERP =&gt; SOUS-SEGMENT'!$DU$8:$DU$154*('ANALYSE - ERP =&gt; SOUS-SEGMENT'!$CX$8:$CX$154&gt;0)*'ANALYSE - ERP =&gt; SOUS-SEGMENT'!$CX$8:$CX$154)/SUMPRODUCT(('ANALYSE - ERP =&gt; SOUS-SEGMENT'!$C$8:$C$154=$C16)*'ANALYSE - ERP =&gt; SOUS-SEGMENT'!$DU$8:$DU$154*('ANALYSE - ERP =&gt; SOUS-SEGMENT'!$CX$8:$CX$154&gt;0)),"")</f>
        <v>8.456026973869065</v>
      </c>
      <c r="CV16" s="889">
        <f>IFERROR(SUMPRODUCT(('ANALYSE - ERP =&gt; SOUS-SEGMENT'!$C$8:$C$154=$C16)*'ANALYSE - ERP =&gt; SOUS-SEGMENT'!$EB$8:$EB$154*('ANALYSE - ERP =&gt; SOUS-SEGMENT'!$CY$8:$CY$154&gt;0)*'ANALYSE - ERP =&gt; SOUS-SEGMENT'!$CY$8:$CY$154)/SUMPRODUCT(('ANALYSE - ERP =&gt; SOUS-SEGMENT'!$C$8:$C$154=$C16)*'ANALYSE - ERP =&gt; SOUS-SEGMENT'!$EB$8:$EB$154*('ANALYSE - ERP =&gt; SOUS-SEGMENT'!$CY$8:$CY$154&gt;0)),"")</f>
        <v>10.539221683388725</v>
      </c>
      <c r="CW16" s="890">
        <f>IFERROR(SUMPRODUCT(('ANALYSE - ERP =&gt; SOUS-SEGMENT'!$C$8:$C$154=$C16)*'ANALYSE - ERP =&gt; SOUS-SEGMENT'!$EC$8:$EC$154*('ANALYSE - ERP =&gt; SOUS-SEGMENT'!$CZ$8:$CZ$154&gt;0)*'ANALYSE - ERP =&gt; SOUS-SEGMENT'!$CZ$8:$CZ$154)/SUMPRODUCT(('ANALYSE - ERP =&gt; SOUS-SEGMENT'!$C$8:$C$154=$C16)*'ANALYSE - ERP =&gt; SOUS-SEGMENT'!$EC$8:$EC$154*('ANALYSE - ERP =&gt; SOUS-SEGMENT'!$CZ$8:$CZ$154&gt;0)),"")</f>
        <v>12.492844175863976</v>
      </c>
      <c r="CX16" s="890">
        <f>IFERROR(SUMPRODUCT(('ANALYSE - ERP =&gt; SOUS-SEGMENT'!$C$8:$C$154=$C16)*'ANALYSE - ERP =&gt; SOUS-SEGMENT'!$ED$8:$ED$154*('ANALYSE - ERP =&gt; SOUS-SEGMENT'!$DA$8:$DA$154&gt;0)*'ANALYSE - ERP =&gt; SOUS-SEGMENT'!$DA$8:$DA$154)/SUMPRODUCT(('ANALYSE - ERP =&gt; SOUS-SEGMENT'!$C$8:$C$154=$C16)*'ANALYSE - ERP =&gt; SOUS-SEGMENT'!$ED$8:$ED$154*('ANALYSE - ERP =&gt; SOUS-SEGMENT'!$DA$8:$DA$154&gt;0)),"")</f>
        <v>8.6037481064235166</v>
      </c>
      <c r="CY16" s="892">
        <f>IFERROR(SUMPRODUCT(('ANALYSE - ERP =&gt; SOUS-SEGMENT'!$C$8:$C$154=$C16)*'ANALYSE - ERP =&gt; SOUS-SEGMENT'!$EE$8:$EE$154*('ANALYSE - ERP =&gt; SOUS-SEGMENT'!$DB$8:$DB$154&gt;0)*'ANALYSE - ERP =&gt; SOUS-SEGMENT'!$DB$8:$DB$154)/SUMPRODUCT(('ANALYSE - ERP =&gt; SOUS-SEGMENT'!$C$8:$C$154=$C16)*'ANALYSE - ERP =&gt; SOUS-SEGMENT'!$EE$8:$EE$154*('ANALYSE - ERP =&gt; SOUS-SEGMENT'!$DB$8:$DB$154&gt;0)),"")</f>
        <v>10.432464106366513</v>
      </c>
      <c r="CZ16" s="893">
        <f>IFERROR(SUMPRODUCT(('ANALYSE - ERP =&gt; SOUS-SEGMENT'!$C$8:$C$154=$C16)*'ANALYSE - ERP =&gt; SOUS-SEGMENT'!$EM$8:$EM$154*('ANALYSE - ERP =&gt; SOUS-SEGMENT'!$DC$8:$DC$154&gt;0)*'ANALYSE - ERP =&gt; SOUS-SEGMENT'!$DC$8:$DC$154)/SUMPRODUCT(('ANALYSE - ERP =&gt; SOUS-SEGMENT'!$C$8:$C$154=$C16)*'ANALYSE - ERP =&gt; SOUS-SEGMENT'!$EM$8:$EM$154*('ANALYSE - ERP =&gt; SOUS-SEGMENT'!$DC$8:$DC$154&gt;0)),"")</f>
        <v>12.516487752946093</v>
      </c>
      <c r="DA16" s="890">
        <f>IFERROR(SUMPRODUCT(('ANALYSE - ERP =&gt; SOUS-SEGMENT'!$C$8:$C$154=$C16)*'ANALYSE - ERP =&gt; SOUS-SEGMENT'!$EN$8:$EN$154*('ANALYSE - ERP =&gt; SOUS-SEGMENT'!$DD$8:$DD$154&gt;0)*'ANALYSE - ERP =&gt; SOUS-SEGMENT'!$DD$8:$DD$154)/SUMPRODUCT(('ANALYSE - ERP =&gt; SOUS-SEGMENT'!$C$8:$C$154=$C16)*'ANALYSE - ERP =&gt; SOUS-SEGMENT'!$EN$8:$EN$154*('ANALYSE - ERP =&gt; SOUS-SEGMENT'!$DD$8:$DD$154&gt;0)),"")</f>
        <v>13</v>
      </c>
      <c r="DB16" s="892">
        <f>IFERROR(SUMPRODUCT(('ANALYSE - ERP =&gt; SOUS-SEGMENT'!$C$8:$C$154=$C16)*'ANALYSE - ERP =&gt; SOUS-SEGMENT'!$EO$8:$EO$154*('ANALYSE - ERP =&gt; SOUS-SEGMENT'!$DE$8:$DE$154&gt;0)*'ANALYSE - ERP =&gt; SOUS-SEGMENT'!$DE$8:$DE$154)/SUMPRODUCT(('ANALYSE - ERP =&gt; SOUS-SEGMENT'!$C$8:$C$154=$C16)*'ANALYSE - ERP =&gt; SOUS-SEGMENT'!$EO$8:$EO$154*('ANALYSE - ERP =&gt; SOUS-SEGMENT'!$DE$8:$DE$154&gt;0)),"")</f>
        <v>9.4360965742544209</v>
      </c>
      <c r="DC16" s="609" t="s">
        <v>6937</v>
      </c>
      <c r="DD16" s="657"/>
      <c r="DE16" s="308">
        <f t="shared" si="2"/>
        <v>85685.52</v>
      </c>
      <c r="DF16" s="308">
        <f t="shared" si="3"/>
        <v>243035.82</v>
      </c>
      <c r="DG16" s="308">
        <f t="shared" si="4"/>
        <v>42320.160000000003</v>
      </c>
      <c r="DH16" s="308">
        <f t="shared" si="5"/>
        <v>19528.5</v>
      </c>
      <c r="DI16" s="287" t="s">
        <v>6938</v>
      </c>
      <c r="DJ16" s="308">
        <f t="shared" si="6"/>
        <v>77108</v>
      </c>
      <c r="DK16" s="308">
        <f t="shared" si="7"/>
        <v>248530.49999999997</v>
      </c>
      <c r="DL16" s="308">
        <f t="shared" si="8"/>
        <v>55170.599999999991</v>
      </c>
      <c r="DM16" s="308">
        <f t="shared" si="9"/>
        <v>17055.900000000001</v>
      </c>
      <c r="DN16" s="287" t="s">
        <v>6939</v>
      </c>
      <c r="DO16" s="657"/>
      <c r="DP16" s="308">
        <f t="shared" si="10"/>
        <v>3761.875</v>
      </c>
      <c r="DQ16" s="308">
        <f t="shared" si="11"/>
        <v>4245.875</v>
      </c>
      <c r="DR16" s="308">
        <f t="shared" si="12"/>
        <v>889.75</v>
      </c>
      <c r="DS16" s="287" t="s">
        <v>6940</v>
      </c>
      <c r="DT16" s="308">
        <f t="shared" si="13"/>
        <v>3428</v>
      </c>
      <c r="DU16" s="308">
        <f t="shared" si="14"/>
        <v>4565.125</v>
      </c>
      <c r="DV16" s="308">
        <f t="shared" si="15"/>
        <v>1194.375</v>
      </c>
      <c r="DW16" s="287" t="s">
        <v>6941</v>
      </c>
      <c r="DX16" s="657"/>
      <c r="DY16" s="308">
        <f t="shared" si="16"/>
        <v>6342.9199999999992</v>
      </c>
      <c r="DZ16" s="308">
        <f t="shared" si="17"/>
        <v>39619.825000000004</v>
      </c>
      <c r="EA16" s="308">
        <f t="shared" si="18"/>
        <v>11063.720000000001</v>
      </c>
      <c r="EB16" s="308">
        <f t="shared" si="19"/>
        <v>16093.035</v>
      </c>
      <c r="EC16" s="287" t="s">
        <v>6942</v>
      </c>
      <c r="ED16" s="308">
        <f t="shared" si="20"/>
        <v>4955.2000000000007</v>
      </c>
      <c r="EE16" s="308">
        <f t="shared" si="21"/>
        <v>40288.400000000001</v>
      </c>
      <c r="EF16" s="308">
        <f t="shared" si="22"/>
        <v>13524.06</v>
      </c>
      <c r="EG16" s="308">
        <f t="shared" si="23"/>
        <v>15622.34</v>
      </c>
      <c r="EH16" s="614" t="s">
        <v>6943</v>
      </c>
      <c r="EI16" s="290"/>
      <c r="EJ16" s="308">
        <f t="shared" si="24"/>
        <v>149539.02500000002</v>
      </c>
      <c r="EK16" s="310">
        <f t="shared" si="25"/>
        <v>126136.45000000001</v>
      </c>
      <c r="EL16" s="310">
        <f t="shared" si="26"/>
        <v>45655.025000000001</v>
      </c>
      <c r="EM16" s="287" t="s">
        <v>6944</v>
      </c>
      <c r="EN16" s="308">
        <f t="shared" si="27"/>
        <v>122338.18</v>
      </c>
      <c r="EO16" s="310">
        <f t="shared" si="28"/>
        <v>141635.02000000002</v>
      </c>
      <c r="EP16" s="310">
        <f t="shared" si="29"/>
        <v>62716.799999999996</v>
      </c>
      <c r="EQ16" s="289" t="s">
        <v>6945</v>
      </c>
      <c r="ER16" s="657"/>
      <c r="ES16" s="728">
        <f t="shared" si="30"/>
        <v>0.90226373695459328</v>
      </c>
      <c r="ET16" s="728">
        <f t="shared" si="31"/>
        <v>6.3905487058600691E-2</v>
      </c>
      <c r="EU16" s="311">
        <f t="shared" si="32"/>
        <v>311275.99895722669</v>
      </c>
      <c r="EV16" s="311">
        <f t="shared" si="33"/>
        <v>252204.61653722671</v>
      </c>
      <c r="EW16" s="311">
        <f t="shared" si="34"/>
        <v>59071.382419999994</v>
      </c>
      <c r="EX16" s="311">
        <f t="shared" si="35"/>
        <v>150331.01981684813</v>
      </c>
      <c r="EY16" s="311">
        <f>SUMPRODUCT(('ANALYSE - ERP =&gt; SOUS-SEGMENT'!$C$8:$C$154=$C16)*'ANALYSE - ERP =&gt; SOUS-SEGMENT'!$Q$8:$Q$154*'ANALYSE - ERP =&gt; SOUS-SEGMENT'!$FB$8:$FB$154)</f>
        <v>121213.22353684813</v>
      </c>
      <c r="EZ16" s="311">
        <f>SUMPRODUCT(('ANALYSE - ERP =&gt; SOUS-SEGMENT'!$C$8:$C$154=$C16)*'ANALYSE - ERP =&gt; SOUS-SEGMENT'!$Q$8:$Q$154*'ANALYSE - ERP =&gt; SOUS-SEGMENT'!$FC$8:$FC$154)</f>
        <v>29117.796279999995</v>
      </c>
      <c r="FA16" s="311">
        <f t="shared" si="36"/>
        <v>3697.2322308454545</v>
      </c>
      <c r="FB16" s="311">
        <f>SUMPRODUCT(('ANALYSE - ERP =&gt; SOUS-SEGMENT'!$C$8:$C$154=$C16)*'ANALYSE - ERP =&gt; SOUS-SEGMENT'!$Q$8:$Q$154*'ANALYSE - ERP =&gt; SOUS-SEGMENT'!$FE$8:$FE$154)</f>
        <v>2946.8902508454544</v>
      </c>
      <c r="FC16" s="311">
        <f>SUMPRODUCT(('ANALYSE - ERP =&gt; SOUS-SEGMENT'!$C$8:$C$154=$C16)*'ANALYSE - ERP =&gt; SOUS-SEGMENT'!$Q$8:$Q$154*'ANALYSE - ERP =&gt; SOUS-SEGMENT'!$FF$8:$FF$154)</f>
        <v>750.34198000000004</v>
      </c>
      <c r="FD16" s="311">
        <f t="shared" si="37"/>
        <v>31146.87783792799</v>
      </c>
      <c r="FE16" s="311">
        <f>SUMPRODUCT(('ANALYSE - ERP =&gt; SOUS-SEGMENT'!$C$8:$C$154=$C16)*'ANALYSE - ERP =&gt; SOUS-SEGMENT'!$Q$8:$Q$154*'ANALYSE - ERP =&gt; SOUS-SEGMENT'!$FH$8:$FH$154)</f>
        <v>25652.25126792799</v>
      </c>
      <c r="FF16" s="311">
        <f>SUMPRODUCT(('ANALYSE - ERP =&gt; SOUS-SEGMENT'!$C$8:$C$154=$C16)*'ANALYSE - ERP =&gt; SOUS-SEGMENT'!$Q$8:$Q$154*'ANALYSE - ERP =&gt; SOUS-SEGMENT'!$FI$8:$FI$154)</f>
        <v>5494.6265699999985</v>
      </c>
      <c r="FG16" s="311">
        <f t="shared" si="38"/>
        <v>126100.86907160514</v>
      </c>
      <c r="FH16" s="311">
        <f>SUMPRODUCT(('ANALYSE - ERP =&gt; SOUS-SEGMENT'!$C$8:$C$154=$C16)*'ANALYSE - ERP =&gt; SOUS-SEGMENT'!$Q$8:$Q$154*'ANALYSE - ERP =&gt; SOUS-SEGMENT'!$FK$8:$FK$154)</f>
        <v>102392.25148160514</v>
      </c>
      <c r="FI16" s="311">
        <f>SUMPRODUCT(('ANALYSE - ERP =&gt; SOUS-SEGMENT'!$C$8:$C$154=$C16)*'ANALYSE - ERP =&gt; SOUS-SEGMENT'!$Q$8:$Q$154*'ANALYSE - ERP =&gt; SOUS-SEGMENT'!$FL$8:$FL$154)</f>
        <v>23708.617589999998</v>
      </c>
      <c r="FJ16" s="657"/>
      <c r="FK16" s="293" t="s">
        <v>2649</v>
      </c>
      <c r="FL16" s="728">
        <f>IFERROR(SUMPRODUCT(('ANALYSE - ERP =&gt; SOUS-SEGMENT'!$C$8:$C$154=$C16)*'ANALYSE - ERP =&gt; SOUS-SEGMENT'!$Q$8:$Q$154*'ANALYSE - ERP =&gt; SOUS-SEGMENT'!$AF$8:$AF$154*'ANALYSE - ERP =&gt; SOUS-SEGMENT'!$FO$8:$FO$154)/SUMPRODUCT(('ANALYSE - ERP =&gt; SOUS-SEGMENT'!$C$8:$C$154=$C16)*'ANALYSE - ERP =&gt; SOUS-SEGMENT'!$Q$8:$Q$154*'ANALYSE - ERP =&gt; SOUS-SEGMENT'!$AF$8:$AF$154),"")</f>
        <v>5.4502605214412331E-2</v>
      </c>
      <c r="FM16" s="729">
        <f>IFERROR(SUMPRODUCT(('ANALYSE - ERP =&gt; SOUS-SEGMENT'!$C$8:$C$154=$C16)*'ANALYSE - ERP =&gt; SOUS-SEGMENT'!$Q$8:$Q$154*'ANALYSE - ERP =&gt; SOUS-SEGMENT'!$AF$8:$AF$154*'ANALYSE - ERP =&gt; SOUS-SEGMENT'!$FP$8:$FP$154)/SUMPRODUCT(('ANALYSE - ERP =&gt; SOUS-SEGMENT'!$C$8:$C$154=$C16)*'ANALYSE - ERP =&gt; SOUS-SEGMENT'!$Q$8:$Q$154*'ANALYSE - ERP =&gt; SOUS-SEGMENT'!$AF$8:$AF$154),"")</f>
        <v>0.80074186567610095</v>
      </c>
      <c r="FN16" s="294" t="s">
        <v>3678</v>
      </c>
      <c r="FO16" s="657"/>
      <c r="FP16" s="865">
        <f>IFERROR(SUMPRODUCT(('ANALYSE - ERP =&gt; SOUS-SEGMENT'!$C$8:$C$154=$C16)*'ANALYSE - ERP =&gt; SOUS-SEGMENT'!$Q$8:$Q$154*'ANALYSE - ERP =&gt; SOUS-SEGMENT'!$EX$8:$EX$154*'ANALYSE - ERP =&gt; SOUS-SEGMENT'!$FS$8:$FS$154)/SUMPRODUCT(('ANALYSE - ERP =&gt; SOUS-SEGMENT'!$C$8:$C$154=$C16)*'ANALYSE - ERP =&gt; SOUS-SEGMENT'!$Q$8:$Q$154*'ANALYSE - ERP =&gt; SOUS-SEGMENT'!$EX$8:$EX$154),"")</f>
        <v>3.0330548077974129</v>
      </c>
      <c r="FQ16" s="312">
        <f>RANK($FP16,$FP$8:$FP$143,0)+COUNTIF($FP$8:$FP16,$FP16)-1</f>
        <v>26</v>
      </c>
      <c r="FR16" s="865">
        <f>IFERROR(SUMPRODUCT(('ANALYSE - ERP =&gt; SOUS-SEGMENT'!$C$8:$C$154=$C16)*'ANALYSE - ERP =&gt; SOUS-SEGMENT'!$Q$8:$Q$154*'ANALYSE - ERP =&gt; SOUS-SEGMENT'!$EY$8:$EY$154*'ANALYSE - ERP =&gt; SOUS-SEGMENT'!$FU$8:$FU$154)/SUMPRODUCT(('ANALYSE - ERP =&gt; SOUS-SEGMENT'!$C$8:$C$154=$C16)*'ANALYSE - ERP =&gt; SOUS-SEGMENT'!$Q$8:$Q$154*'ANALYSE - ERP =&gt; SOUS-SEGMENT'!$EY$8:$EY$154),"")</f>
        <v>3.7623601330583925</v>
      </c>
      <c r="FS16" s="312">
        <f>RANK($FR16,$FR$8:$FR$143,0)+COUNTIF($FR$8:$FR16,$FR16)-1</f>
        <v>28</v>
      </c>
      <c r="FT16" s="865">
        <f>IFERROR(SUMPRODUCT(('ANALYSE - ERP =&gt; SOUS-SEGMENT'!$C$8:$C$154=$C16)*'ANALYSE - ERP =&gt; SOUS-SEGMENT'!$Q$8:$Q$154*'ANALYSE - ERP =&gt; SOUS-SEGMENT'!$EZ$8:$EZ$154*'ANALYSE - ERP =&gt; SOUS-SEGMENT'!$FW$8:$FW$154)/SUMPRODUCT(('ANALYSE - ERP =&gt; SOUS-SEGMENT'!$C$8:$C$154=$C16)*'ANALYSE - ERP =&gt; SOUS-SEGMENT'!$Q$8:$Q$154*'ANALYSE - ERP =&gt; SOUS-SEGMENT'!$EZ$8:$EZ$154),"")</f>
        <v>1.9831824824085433</v>
      </c>
      <c r="FU16" s="312">
        <f>RANK($FT16,$FT$8:$FT$143,0)+COUNTIF($FT$8:$FT16,$FT16)-1</f>
        <v>28</v>
      </c>
      <c r="FV16" s="657"/>
      <c r="FW16" s="296" t="s">
        <v>6946</v>
      </c>
      <c r="FX16" s="296" t="s">
        <v>6947</v>
      </c>
      <c r="FY16" s="296" t="s">
        <v>6948</v>
      </c>
      <c r="FZ16" s="296" t="s">
        <v>6949</v>
      </c>
      <c r="GA16" s="296" t="s">
        <v>6950</v>
      </c>
      <c r="GB16" s="296" t="s">
        <v>6951</v>
      </c>
      <c r="GC16" s="296" t="s">
        <v>6759</v>
      </c>
      <c r="GD16" s="657"/>
      <c r="GE16" s="311">
        <f>SUMPRODUCT(('ANALYSE - ERP =&gt; SOUS-SEGMENT'!$C$8:$C$154=$C16)*'ANALYSE - ERP =&gt; SOUS-SEGMENT'!$Q$8:$Q$154*'ANALYSE - ERP =&gt; SOUS-SEGMENT'!$GH$8:$GH$154)</f>
        <v>31793.75882293846</v>
      </c>
      <c r="GF16" s="311">
        <f>SUMPRODUCT(('ANALYSE - ERP =&gt; SOUS-SEGMENT'!$C$8:$C$154=$C16)*'ANALYSE - ERP =&gt; SOUS-SEGMENT'!$Q$8:$Q$154*'ANALYSE - ERP =&gt; SOUS-SEGMENT'!$GI$8:$GI$154)</f>
        <v>26272.427270138462</v>
      </c>
      <c r="GG16" s="311">
        <f>SUMPRODUCT(('ANALYSE - ERP =&gt; SOUS-SEGMENT'!$C$8:$C$154=$C16)*'ANALYSE - ERP =&gt; SOUS-SEGMENT'!$Q$8:$Q$154*'ANALYSE - ERP =&gt; SOUS-SEGMENT'!$GJ$8:$GJ$154)</f>
        <v>5521.3315527999994</v>
      </c>
      <c r="GH16" s="311">
        <f>SUMPRODUCT(('ANALYSE - ERP =&gt; SOUS-SEGMENT'!$C$8:$C$154=$C16)*'ANALYSE - ERP =&gt; SOUS-SEGMENT'!$Q$8:$Q$154*'ANALYSE - ERP =&gt; SOUS-SEGMENT'!$GK$8:$GK$154)</f>
        <v>89111.059613276928</v>
      </c>
      <c r="GI16" s="311">
        <f>SUMPRODUCT(('ANALYSE - ERP =&gt; SOUS-SEGMENT'!$C$8:$C$154=$C16)*'ANALYSE - ERP =&gt; SOUS-SEGMENT'!$Q$8:$Q$154*'ANALYSE - ERP =&gt; SOUS-SEGMENT'!$GL$8:$GL$154)</f>
        <v>71027.270988476928</v>
      </c>
      <c r="GJ16" s="311">
        <f>SUMPRODUCT(('ANALYSE - ERP =&gt; SOUS-SEGMENT'!$C$8:$C$154=$C16)*'ANALYSE - ERP =&gt; SOUS-SEGMENT'!$Q$8:$Q$154*'ANALYSE - ERP =&gt; SOUS-SEGMENT'!$GM$8:$GM$154)</f>
        <v>18083.7886248</v>
      </c>
      <c r="GK16" s="311">
        <f>SUMPRODUCT(('ANALYSE - ERP =&gt; SOUS-SEGMENT'!$C$8:$C$154=$C16)*'ANALYSE - ERP =&gt; SOUS-SEGMENT'!$Q$8:$Q$154*'ANALYSE - ERP =&gt; SOUS-SEGMENT'!$GN$8:$GN$154)</f>
        <v>21609.839173960001</v>
      </c>
      <c r="GL16" s="311">
        <f>SUMPRODUCT(('ANALYSE - ERP =&gt; SOUS-SEGMENT'!$C$8:$C$154=$C16)*'ANALYSE - ERP =&gt; SOUS-SEGMENT'!$Q$8:$Q$154*'ANALYSE - ERP =&gt; SOUS-SEGMENT'!$GO$8:$GO$154)</f>
        <v>17328.062611959998</v>
      </c>
      <c r="GM16" s="311">
        <f>SUMPRODUCT(('ANALYSE - ERP =&gt; SOUS-SEGMENT'!$C$8:$C$154=$C16)*'ANALYSE - ERP =&gt; SOUS-SEGMENT'!$Q$8:$Q$154*'ANALYSE - ERP =&gt; SOUS-SEGMENT'!$GP$8:$GP$154)</f>
        <v>4281.7765620000009</v>
      </c>
      <c r="GN16" s="311">
        <f>SUMPRODUCT(('ANALYSE - ERP =&gt; SOUS-SEGMENT'!$C$8:$C$154=$C16)*'ANALYSE - ERP =&gt; SOUS-SEGMENT'!$Q$8:$Q$154*'ANALYSE - ERP =&gt; SOUS-SEGMENT'!$GQ$8:$GQ$154)</f>
        <v>7816.3622066727276</v>
      </c>
      <c r="GO16" s="311">
        <f>SUMPRODUCT(('ANALYSE - ERP =&gt; SOUS-SEGMENT'!$C$8:$C$154=$C16)*'ANALYSE - ERP =&gt; SOUS-SEGMENT'!$Q$8:$Q$154*'ANALYSE - ERP =&gt; SOUS-SEGMENT'!$GR$8:$GR$154)</f>
        <v>6585.4626662727269</v>
      </c>
      <c r="GP16" s="311">
        <f>SUMPRODUCT(('ANALYSE - ERP =&gt; SOUS-SEGMENT'!$C$8:$C$154=$C16)*'ANALYSE - ERP =&gt; SOUS-SEGMENT'!$Q$8:$Q$154*'ANALYSE - ERP =&gt; SOUS-SEGMENT'!$GS$8:$GS$154)</f>
        <v>1230.8995404</v>
      </c>
      <c r="GQ16" s="311">
        <f>SUMPRODUCT(('ANALYSE - ERP =&gt; SOUS-SEGMENT'!$C$8:$C$154=$C16)*'ANALYSE - ERP =&gt; SOUS-SEGMENT'!$Q$8:$Q$154*'ANALYSE - ERP =&gt; SOUS-SEGMENT'!$GT$8:$GT$154)</f>
        <v>1447.6081107090909</v>
      </c>
      <c r="GR16" s="311">
        <f>SUMPRODUCT(('ANALYSE - ERP =&gt; SOUS-SEGMENT'!$C$8:$C$154=$C16)*'ANALYSE - ERP =&gt; SOUS-SEGMENT'!$Q$8:$Q$154*'ANALYSE - ERP =&gt; SOUS-SEGMENT'!$GU$8:$GU$154)</f>
        <v>1163.3129187090908</v>
      </c>
      <c r="GS16" s="311">
        <f>SUMPRODUCT(('ANALYSE - ERP =&gt; SOUS-SEGMENT'!$C$8:$C$154=$C16)*'ANALYSE - ERP =&gt; SOUS-SEGMENT'!$Q$8:$Q$154*'ANALYSE - ERP =&gt; SOUS-SEGMENT'!$GV$8:$GV$154)</f>
        <v>284.29519200000004</v>
      </c>
      <c r="GT16" s="311">
        <f>SUMPRODUCT(('ANALYSE - ERP =&gt; SOUS-SEGMENT'!$C$8:$C$154=$C16)*'ANALYSE - ERP =&gt; SOUS-SEGMENT'!$Q$8:$Q$154*'ANALYSE - ERP =&gt; SOUS-SEGMENT'!$GW$8:$GW$154)</f>
        <v>1751.255912336364</v>
      </c>
      <c r="GU16" s="311">
        <f>SUMPRODUCT(('ANALYSE - ERP =&gt; SOUS-SEGMENT'!$C$8:$C$154=$C16)*'ANALYSE - ERP =&gt; SOUS-SEGMENT'!$Q$8:$Q$154*'ANALYSE - ERP =&gt; SOUS-SEGMENT'!$GX$8:$GX$154)</f>
        <v>1382.7535817363637</v>
      </c>
      <c r="GV16" s="311">
        <f>SUMPRODUCT(('ANALYSE - ERP =&gt; SOUS-SEGMENT'!$C$8:$C$154=$C16)*'ANALYSE - ERP =&gt; SOUS-SEGMENT'!$Q$8:$Q$154*'ANALYSE - ERP =&gt; SOUS-SEGMENT'!$GY$8:$GY$154)</f>
        <v>368.50233059999999</v>
      </c>
      <c r="GW16" s="311">
        <f>SUMPRODUCT(('ANALYSE - ERP =&gt; SOUS-SEGMENT'!$C$8:$C$154=$C16)*'ANALYSE - ERP =&gt; SOUS-SEGMENT'!$Q$8:$Q$154*'ANALYSE - ERP =&gt; SOUS-SEGMENT'!$GZ$8:$GZ$154)</f>
        <v>498.36820779999999</v>
      </c>
      <c r="GX16" s="311">
        <f>SUMPRODUCT(('ANALYSE - ERP =&gt; SOUS-SEGMENT'!$C$8:$C$154=$C16)*'ANALYSE - ERP =&gt; SOUS-SEGMENT'!$Q$8:$Q$154*'ANALYSE - ERP =&gt; SOUS-SEGMENT'!$HA$8:$HA$154)</f>
        <v>400.82375039999999</v>
      </c>
      <c r="GY16" s="311">
        <f>SUMPRODUCT(('ANALYSE - ERP =&gt; SOUS-SEGMENT'!$C$8:$C$154=$C16)*'ANALYSE - ERP =&gt; SOUS-SEGMENT'!$Q$8:$Q$154*'ANALYSE - ERP =&gt; SOUS-SEGMENT'!$HB$8:$HB$154)</f>
        <v>97.544457399999999</v>
      </c>
      <c r="GZ16" s="311">
        <f>SUMPRODUCT(('ANALYSE - ERP =&gt; SOUS-SEGMENT'!$C$8:$C$154=$C16)*'ANALYSE - ERP =&gt; SOUS-SEGMENT'!$Q$8:$Q$154*'ANALYSE - ERP =&gt; SOUS-SEGMENT'!$HC$8:$HC$154)</f>
        <v>2737.2448801090909</v>
      </c>
      <c r="HA16" s="311">
        <f>SUMPRODUCT(('ANALYSE - ERP =&gt; SOUS-SEGMENT'!$C$8:$C$154=$C16)*'ANALYSE - ERP =&gt; SOUS-SEGMENT'!$Q$8:$Q$154*'ANALYSE - ERP =&gt; SOUS-SEGMENT'!$HD$8:$HD$154)</f>
        <v>2372.9381147090908</v>
      </c>
      <c r="HB16" s="311">
        <f>SUMPRODUCT(('ANALYSE - ERP =&gt; SOUS-SEGMENT'!$C$8:$C$154=$C16)*'ANALYSE - ERP =&gt; SOUS-SEGMENT'!$Q$8:$Q$154*'ANALYSE - ERP =&gt; SOUS-SEGMENT'!$HE$8:$HE$154)</f>
        <v>364.30676540000002</v>
      </c>
      <c r="HC16" s="311">
        <f>SUMPRODUCT(('ANALYSE - ERP =&gt; SOUS-SEGMENT'!$C$8:$C$154=$C16)*'ANALYSE - ERP =&gt; SOUS-SEGMENT'!$Q$8:$Q$154*'ANALYSE - ERP =&gt; SOUS-SEGMENT'!$HF$8:$HF$154)</f>
        <v>15143.382289564104</v>
      </c>
      <c r="HD16" s="311">
        <f>SUMPRODUCT(('ANALYSE - ERP =&gt; SOUS-SEGMENT'!$C$8:$C$154=$C16)*'ANALYSE - ERP =&gt; SOUS-SEGMENT'!$Q$8:$Q$154*'ANALYSE - ERP =&gt; SOUS-SEGMENT'!$HG$8:$HG$154)</f>
        <v>12189.912424064105</v>
      </c>
      <c r="HE16" s="311">
        <f>SUMPRODUCT(('ANALYSE - ERP =&gt; SOUS-SEGMENT'!$C$8:$C$154=$C16)*'ANALYSE - ERP =&gt; SOUS-SEGMENT'!$Q$8:$Q$154*'ANALYSE - ERP =&gt; SOUS-SEGMENT'!$HH$8:$HH$154)</f>
        <v>2953.4698654999997</v>
      </c>
      <c r="HF16" s="311">
        <f>SUMPRODUCT(('ANALYSE - ERP =&gt; SOUS-SEGMENT'!$C$8:$C$154=$C16)*'ANALYSE - ERP =&gt; SOUS-SEGMENT'!$Q$8:$Q$154*'ANALYSE - ERP =&gt; SOUS-SEGMENT'!$HI$8:$HI$154)</f>
        <v>6126.63029898889</v>
      </c>
      <c r="HG16" s="311">
        <f>SUMPRODUCT(('ANALYSE - ERP =&gt; SOUS-SEGMENT'!$C$8:$C$154=$C16)*'ANALYSE - ERP =&gt; SOUS-SEGMENT'!$Q$8:$Q$154*'ANALYSE - ERP =&gt; SOUS-SEGMENT'!$HJ$8:$HJ$154)</f>
        <v>5072.19821188889</v>
      </c>
      <c r="HH16" s="311">
        <f>SUMPRODUCT(('ANALYSE - ERP =&gt; SOUS-SEGMENT'!$C$8:$C$154=$C16)*'ANALYSE - ERP =&gt; SOUS-SEGMENT'!$Q$8:$Q$154*'ANALYSE - ERP =&gt; SOUS-SEGMENT'!$HK$8:$HK$154)</f>
        <v>1054.4320871</v>
      </c>
      <c r="HI16" s="311">
        <f>SUMPRODUCT(('ANALYSE - ERP =&gt; SOUS-SEGMENT'!$C$8:$C$154=$C16)*'ANALYSE - ERP =&gt; SOUS-SEGMENT'!$Q$8:$Q$154*'ANALYSE - ERP =&gt; SOUS-SEGMENT'!$HL$8:$HL$154)</f>
        <v>7139.6203692659092</v>
      </c>
      <c r="HJ16" s="311">
        <f>SUMPRODUCT(('ANALYSE - ERP =&gt; SOUS-SEGMENT'!$C$8:$C$154=$C16)*'ANALYSE - ERP =&gt; SOUS-SEGMENT'!$Q$8:$Q$154*'ANALYSE - ERP =&gt; SOUS-SEGMENT'!$HM$8:$HM$154)</f>
        <v>6017.2025172659087</v>
      </c>
      <c r="HK16" s="311">
        <f>SUMPRODUCT(('ANALYSE - ERP =&gt; SOUS-SEGMENT'!$C$8:$C$154=$C16)*'ANALYSE - ERP =&gt; SOUS-SEGMENT'!$Q$8:$Q$154*'ANALYSE - ERP =&gt; SOUS-SEGMENT'!$HN$8:$HN$154)</f>
        <v>1122.417852</v>
      </c>
      <c r="HL16" s="311">
        <f>SUMPRODUCT(('ANALYSE - ERP =&gt; SOUS-SEGMENT'!$C$8:$C$154=$C16)*'ANALYSE - ERP =&gt; SOUS-SEGMENT'!$Q$8:$Q$154*'ANALYSE - ERP =&gt; SOUS-SEGMENT'!$HO$8:$HO$154)</f>
        <v>55225.218781184609</v>
      </c>
      <c r="HM16" s="311">
        <f>SUMPRODUCT(('ANALYSE - ERP =&gt; SOUS-SEGMENT'!$C$8:$C$154=$C16)*'ANALYSE - ERP =&gt; SOUS-SEGMENT'!$Q$8:$Q$154*'ANALYSE - ERP =&gt; SOUS-SEGMENT'!$HP$8:$HP$154)</f>
        <v>46283.457587884615</v>
      </c>
      <c r="HN16" s="311">
        <f>SUMPRODUCT(('ANALYSE - ERP =&gt; SOUS-SEGMENT'!$C$8:$C$154=$C16)*'ANALYSE - ERP =&gt; SOUS-SEGMENT'!$Q$8:$Q$154*'ANALYSE - ERP =&gt; SOUS-SEGMENT'!$HQ$8:$HQ$154)</f>
        <v>8941.7611932999989</v>
      </c>
      <c r="HO16" s="311">
        <f>SUMPRODUCT(('ANALYSE - ERP =&gt; SOUS-SEGMENT'!$C$8:$C$154=$C16)*'ANALYSE - ERP =&gt; SOUS-SEGMENT'!$Q$8:$Q$154*'ANALYSE - ERP =&gt; SOUS-SEGMENT'!$HR$8:$HR$154)</f>
        <v>47351.551410853848</v>
      </c>
      <c r="HP16" s="311">
        <f>SUMPRODUCT(('ANALYSE - ERP =&gt; SOUS-SEGMENT'!$C$8:$C$154=$C16)*'ANALYSE - ERP =&gt; SOUS-SEGMENT'!$Q$8:$Q$154*'ANALYSE - ERP =&gt; SOUS-SEGMENT'!$HS$8:$HS$154)</f>
        <v>37095.873856153848</v>
      </c>
      <c r="HQ16" s="311">
        <f>SUMPRODUCT(('ANALYSE - ERP =&gt; SOUS-SEGMENT'!$C$8:$C$154=$C16)*'ANALYSE - ERP =&gt; SOUS-SEGMENT'!$Q$8:$Q$154*'ANALYSE - ERP =&gt; SOUS-SEGMENT'!$HT$8:$HT$154)</f>
        <v>10255.6775547</v>
      </c>
      <c r="HR16" s="311">
        <f>SUMPRODUCT(('ANALYSE - ERP =&gt; SOUS-SEGMENT'!$C$8:$C$154=$C16)*'ANALYSE - ERP =&gt; SOUS-SEGMENT'!$Q$8:$Q$154*'ANALYSE - ERP =&gt; SOUS-SEGMENT'!$HU$8:$HU$154)</f>
        <v>23524.098879566667</v>
      </c>
      <c r="HS16" s="311">
        <f>SUMPRODUCT(('ANALYSE - ERP =&gt; SOUS-SEGMENT'!$C$8:$C$154=$C16)*'ANALYSE - ERP =&gt; SOUS-SEGMENT'!$Q$8:$Q$154*'ANALYSE - ERP =&gt; SOUS-SEGMENT'!$HV$8:$HV$154)</f>
        <v>19012.920037566666</v>
      </c>
      <c r="HT16" s="311">
        <f>SUMPRODUCT(('ANALYSE - ERP =&gt; SOUS-SEGMENT'!$C$8:$C$154=$C16)*'ANALYSE - ERP =&gt; SOUS-SEGMENT'!$Q$8:$Q$154*'ANALYSE - ERP =&gt; SOUS-SEGMENT'!$HW$8:$HW$154)</f>
        <v>4511.1788420000003</v>
      </c>
      <c r="HV16" s="313">
        <f t="shared" si="40"/>
        <v>34808</v>
      </c>
      <c r="HW16" s="313">
        <f>SUMPRODUCT(('ANALYSE - ERP =&gt; SOUS-SEGMENT'!$C$8:$C$154=$C16)*'ANALYSE - ERP =&gt; SOUS-SEGMENT'!$Q$8:$Q$154*'ANALYSE - ERP =&gt; SOUS-SEGMENT'!$HZ$8:$HZ$154)</f>
        <v>20994.911100000001</v>
      </c>
      <c r="HX16" s="313">
        <f>SUMPRODUCT(('ANALYSE - ERP =&gt; SOUS-SEGMENT'!$C$8:$C$154=$C16)*'ANALYSE - ERP =&gt; SOUS-SEGMENT'!$Q$8:$Q$154*'ANALYSE - ERP =&gt; SOUS-SEGMENT'!$IA$8:$IA$154)</f>
        <v>284313.85820000002</v>
      </c>
      <c r="HY16" s="313">
        <f>SUMPRODUCT(('ANALYSE - ERP =&gt; SOUS-SEGMENT'!$C$8:$C$154=$C16)*'ANALYSE - ERP =&gt; SOUS-SEGMENT'!$Q$8:$Q$154*'ANALYSE - ERP =&gt; SOUS-SEGMENT'!$IB$8:$IB$154)</f>
        <v>388621.03690000001</v>
      </c>
      <c r="HZ16" s="313">
        <f>SUMPRODUCT(('ANALYSE - ERP =&gt; SOUS-SEGMENT'!$C$8:$C$154=$C16)*'ANALYSE - ERP =&gt; SOUS-SEGMENT'!$Q$8:$Q$154*'ANALYSE - ERP =&gt; SOUS-SEGMENT'!$IC$8:$IC$154)</f>
        <v>93885.323399999994</v>
      </c>
      <c r="IA16" s="313">
        <f>SUMPRODUCT(('ANALYSE - ERP =&gt; SOUS-SEGMENT'!$C$8:$C$154=$C16)*'ANALYSE - ERP =&gt; SOUS-SEGMENT'!$Q$8:$Q$154*'ANALYSE - ERP =&gt; SOUS-SEGMENT'!$ID$8:$ID$154)</f>
        <v>4730.3544000000002</v>
      </c>
      <c r="IB16" s="313">
        <f>SUMPRODUCT(('ANALYSE - ERP =&gt; SOUS-SEGMENT'!$C$8:$C$154=$C16)*'ANALYSE - ERP =&gt; SOUS-SEGMENT'!$Q$8:$Q$154*'ANALYSE - ERP =&gt; SOUS-SEGMENT'!$IE$8:$IE$154)</f>
        <v>251716.07797752373</v>
      </c>
      <c r="IC16" s="313">
        <f>SUMPRODUCT(('ANALYSE - ERP =&gt; SOUS-SEGMENT'!$C$8:$C$154=$C16)*'ANALYSE - ERP =&gt; SOUS-SEGMENT'!$Q$8:$Q$154*'ANALYSE - ERP =&gt; SOUS-SEGMENT'!$IF$8:$IF$154)</f>
        <v>2440.4772721984218</v>
      </c>
      <c r="ID16" s="313">
        <f>SUMPRODUCT(('ANALYSE - ERP =&gt; SOUS-SEGMENT'!$C$8:$C$154=$C16)*'ANALYSE - ERP =&gt; SOUS-SEGMENT'!$Q$8:$Q$154*'ANALYSE - ERP =&gt; SOUS-SEGMENT'!$IG$8:$IG$154)</f>
        <v>75093.473134787928</v>
      </c>
      <c r="IE16" s="313">
        <f>SUMPRODUCT(('ANALYSE - ERP =&gt; SOUS-SEGMENT'!$C$8:$C$154=$C16)*'ANALYSE - ERP =&gt; SOUS-SEGMENT'!$Q$8:$Q$154*'ANALYSE - ERP =&gt; SOUS-SEGMENT'!$IH$8:$IH$154)</f>
        <v>126352.87783897265</v>
      </c>
      <c r="IF16" s="313">
        <f>SUMPRODUCT(('ANALYSE - ERP =&gt; SOUS-SEGMENT'!$C$8:$C$154=$C16)*'ANALYSE - ERP =&gt; SOUS-SEGMENT'!$Q$8:$Q$154*'ANALYSE - ERP =&gt; SOUS-SEGMENT'!$II$8:$II$154)</f>
        <v>43503.313340173983</v>
      </c>
      <c r="IG16" s="313">
        <f>SUMPRODUCT(('ANALYSE - ERP =&gt; SOUS-SEGMENT'!$C$8:$C$154=$C16)*'ANALYSE - ERP =&gt; SOUS-SEGMENT'!$Q$8:$Q$154*'ANALYSE - ERP =&gt; SOUS-SEGMENT'!$IJ$8:$IJ$154)</f>
        <v>4325.9363913907073</v>
      </c>
      <c r="IH16" s="866"/>
      <c r="II16" s="314" t="s">
        <v>2589</v>
      </c>
      <c r="IJ16" s="299" t="s">
        <v>6760</v>
      </c>
      <c r="IK16" s="657"/>
      <c r="IL16" s="747">
        <f>IFERROR(SUMPRODUCT(('ANALYSE - ERP =&gt; SOUS-SEGMENT'!$C$8:$C$154=$C16)*'ANALYSE - ERP =&gt; SOUS-SEGMENT'!$Q$8:$Q$154*'ANALYSE - ERP =&gt; SOUS-SEGMENT'!$BE$8:$BE$154*'ANALYSE - ERP =&gt; SOUS-SEGMENT'!$IO$8:$IO$154)/SUMPRODUCT(('ANALYSE - ERP =&gt; SOUS-SEGMENT'!$C$8:$C$154=$C16)*'ANALYSE - ERP =&gt; SOUS-SEGMENT'!$Q$8:$Q$154*'ANALYSE - ERP =&gt; SOUS-SEGMENT'!$BE$8:$BE$154),0)</f>
        <v>2.0971602529636174E-2</v>
      </c>
      <c r="IM16" s="748">
        <f>IFERROR(SUMPRODUCT(('ANALYSE - ERP =&gt; SOUS-SEGMENT'!$C$8:$C$154=$C16)*'ANALYSE - ERP =&gt; SOUS-SEGMENT'!$Q$8:$Q$154*'ANALYSE - ERP =&gt; SOUS-SEGMENT'!$BE$8:$BE$154*'ANALYSE - ERP =&gt; SOUS-SEGMENT'!$IP$8:$IP$154)/SUMPRODUCT(('ANALYSE - ERP =&gt; SOUS-SEGMENT'!$C$8:$C$154=$C16)*'ANALYSE - ERP =&gt; SOUS-SEGMENT'!$Q$8:$Q$154*'ANALYSE - ERP =&gt; SOUS-SEGMENT'!$BE$8:$BE$154),0)</f>
        <v>0.33681043193281618</v>
      </c>
      <c r="IN16" s="748">
        <f>IFERROR(SUMPRODUCT(('ANALYSE - ERP =&gt; SOUS-SEGMENT'!$C$8:$C$154=$C16)*'ANALYSE - ERP =&gt; SOUS-SEGMENT'!$Q$8:$Q$154*'ANALYSE - ERP =&gt; SOUS-SEGMENT'!$BE$8:$BE$154*'ANALYSE - ERP =&gt; SOUS-SEGMENT'!$IQ$8:$IQ$154)/SUMPRODUCT(('ANALYSE - ERP =&gt; SOUS-SEGMENT'!$C$8:$C$154=$C16)*'ANALYSE - ERP =&gt; SOUS-SEGMENT'!$Q$8:$Q$154*'ANALYSE - ERP =&gt; SOUS-SEGMENT'!$BE$8:$BE$154),0)</f>
        <v>0.50283985354737948</v>
      </c>
      <c r="IO16" s="748">
        <f>IFERROR(SUMPRODUCT(('ANALYSE - ERP =&gt; SOUS-SEGMENT'!$C$8:$C$154=$C16)*'ANALYSE - ERP =&gt; SOUS-SEGMENT'!$Q$8:$Q$154*'ANALYSE - ERP =&gt; SOUS-SEGMENT'!$BE$8:$BE$154*'ANALYSE - ERP =&gt; SOUS-SEGMENT'!$IR$8:$IR$154)/SUMPRODUCT(('ANALYSE - ERP =&gt; SOUS-SEGMENT'!$C$8:$C$154=$C16)*'ANALYSE - ERP =&gt; SOUS-SEGMENT'!$Q$8:$Q$154*'ANALYSE - ERP =&gt; SOUS-SEGMENT'!$BE$8:$BE$154),0)</f>
        <v>0.13185291138592314</v>
      </c>
      <c r="IP16" s="749">
        <f>IFERROR(SUMPRODUCT(('ANALYSE - ERP =&gt; SOUS-SEGMENT'!$C$8:$C$154=$C16)*'ANALYSE - ERP =&gt; SOUS-SEGMENT'!$Q$8:$Q$154*'ANALYSE - ERP =&gt; SOUS-SEGMENT'!$BE$8:$BE$154*'ANALYSE - ERP =&gt; SOUS-SEGMENT'!$IS$8:$IS$154)/SUMPRODUCT(('ANALYSE - ERP =&gt; SOUS-SEGMENT'!$C$8:$C$154=$C16)*'ANALYSE - ERP =&gt; SOUS-SEGMENT'!$Q$8:$Q$154*'ANALYSE - ERP =&gt; SOUS-SEGMENT'!$BE$8:$BE$154),0)</f>
        <v>7.5252006042450777E-3</v>
      </c>
      <c r="IQ16" s="748">
        <f>IFERROR(SUMPRODUCT(('ANALYSE - ERP =&gt; SOUS-SEGMENT'!$C$8:$C$154=$C16)*'ANALYSE - ERP =&gt; SOUS-SEGMENT'!$Q$8:$Q$154*'ANALYSE - ERP =&gt; SOUS-SEGMENT'!$FB$8:$FB$154*'ANALYSE - ERP =&gt; SOUS-SEGMENT'!$IT$8:$IT$154)/SUMPRODUCT(('ANALYSE - ERP =&gt; SOUS-SEGMENT'!$C$8:$C$154=$C16)*'ANALYSE - ERP =&gt; SOUS-SEGMENT'!$Q$8:$Q$154*'ANALYSE - ERP =&gt; SOUS-SEGMENT'!$FB$8:$FB$154),0)</f>
        <v>7.3708980522806996E-3</v>
      </c>
      <c r="IR16" s="748">
        <f>IFERROR(SUMPRODUCT(('ANALYSE - ERP =&gt; SOUS-SEGMENT'!$C$8:$C$154=$C16)*'ANALYSE - ERP =&gt; SOUS-SEGMENT'!$Q$8:$Q$154*'ANALYSE - ERP =&gt; SOUS-SEGMENT'!$FB$8:$FB$154*'ANALYSE - ERP =&gt; SOUS-SEGMENT'!$IU$8:$IU$154)/SUMPRODUCT(('ANALYSE - ERP =&gt; SOUS-SEGMENT'!$C$8:$C$154=$C16)*'ANALYSE - ERP =&gt; SOUS-SEGMENT'!$Q$8:$Q$154*'ANALYSE - ERP =&gt; SOUS-SEGMENT'!$FB$8:$FB$154),0)</f>
        <v>0.27776785320634262</v>
      </c>
      <c r="IS16" s="748">
        <f>IFERROR(SUMPRODUCT(('ANALYSE - ERP =&gt; SOUS-SEGMENT'!$C$8:$C$154=$C16)*'ANALYSE - ERP =&gt; SOUS-SEGMENT'!$Q$8:$Q$154*'ANALYSE - ERP =&gt; SOUS-SEGMENT'!$FB$8:$FB$154*'ANALYSE - ERP =&gt; SOUS-SEGMENT'!$IV$8:$IV$154)/SUMPRODUCT(('ANALYSE - ERP =&gt; SOUS-SEGMENT'!$C$8:$C$154=$C16)*'ANALYSE - ERP =&gt; SOUS-SEGMENT'!$Q$8:$Q$154*'ANALYSE - ERP =&gt; SOUS-SEGMENT'!$FB$8:$FB$154),0)</f>
        <v>0.50627550511973396</v>
      </c>
      <c r="IT16" s="748">
        <f>IFERROR(SUMPRODUCT(('ANALYSE - ERP =&gt; SOUS-SEGMENT'!$C$8:$C$154=$C16)*'ANALYSE - ERP =&gt; SOUS-SEGMENT'!$Q$8:$Q$154*'ANALYSE - ERP =&gt; SOUS-SEGMENT'!$FB$8:$FB$154*'ANALYSE - ERP =&gt; SOUS-SEGMENT'!$IW$8:$IW$154)/SUMPRODUCT(('ANALYSE - ERP =&gt; SOUS-SEGMENT'!$C$8:$C$154=$C16)*'ANALYSE - ERP =&gt; SOUS-SEGMENT'!$Q$8:$Q$154*'ANALYSE - ERP =&gt; SOUS-SEGMENT'!$FB$8:$FB$154),0)</f>
        <v>0.18790746757391649</v>
      </c>
      <c r="IU16" s="748">
        <f>IFERROR(SUMPRODUCT(('ANALYSE - ERP =&gt; SOUS-SEGMENT'!$C$8:$C$154=$C16)*'ANALYSE - ERP =&gt; SOUS-SEGMENT'!$Q$8:$Q$154*'ANALYSE - ERP =&gt; SOUS-SEGMENT'!$FB$8:$FB$154*'ANALYSE - ERP =&gt; SOUS-SEGMENT'!$IX$8:$IX$154)/SUMPRODUCT(('ANALYSE - ERP =&gt; SOUS-SEGMENT'!$C$8:$C$154=$C16)*'ANALYSE - ERP =&gt; SOUS-SEGMENT'!$Q$8:$Q$154*'ANALYSE - ERP =&gt; SOUS-SEGMENT'!$FB$8:$FB$154),0)</f>
        <v>2.067827604772611E-2</v>
      </c>
      <c r="IV16" s="771">
        <f>IFERROR(SUMPRODUCT(('ANALYSE - ERP =&gt; SOUS-SEGMENT'!$C$8:$C$154=$C16)*'ANALYSE - ERP =&gt; SOUS-SEGMENT'!$Q$8:$Q$154*'ANALYSE - ERP =&gt; SOUS-SEGMENT'!$BF$8:$BF$154*'ANALYSE - ERP =&gt; SOUS-SEGMENT'!$IY$8:$IY$154)/SUMPRODUCT(('ANALYSE - ERP =&gt; SOUS-SEGMENT'!$C$8:$C$154=$C16)*'ANALYSE - ERP =&gt; SOUS-SEGMENT'!$Q$8:$Q$154*'ANALYSE - ERP =&gt; SOUS-SEGMENT'!$BF$8:$BF$154),0)</f>
        <v>1.7671211014329866E-2</v>
      </c>
      <c r="IW16" s="748">
        <f>IFERROR(SUMPRODUCT(('ANALYSE - ERP =&gt; SOUS-SEGMENT'!$C$8:$C$154=$C16)*'ANALYSE - ERP =&gt; SOUS-SEGMENT'!$Q$8:$Q$154*'ANALYSE - ERP =&gt; SOUS-SEGMENT'!$BF$8:$BF$154*'ANALYSE - ERP =&gt; SOUS-SEGMENT'!$IZ$8:$IZ$154)/SUMPRODUCT(('ANALYSE - ERP =&gt; SOUS-SEGMENT'!$C$8:$C$154=$C16)*'ANALYSE - ERP =&gt; SOUS-SEGMENT'!$Q$8:$Q$154*'ANALYSE - ERP =&gt; SOUS-SEGMENT'!$BF$8:$BF$154),0)</f>
        <v>0.29330124192188817</v>
      </c>
      <c r="IX16" s="748">
        <f>IFERROR(SUMPRODUCT(('ANALYSE - ERP =&gt; SOUS-SEGMENT'!$C$8:$C$154=$C16)*'ANALYSE - ERP =&gt; SOUS-SEGMENT'!$Q$8:$Q$154*'ANALYSE - ERP =&gt; SOUS-SEGMENT'!$BF$8:$BF$154*'ANALYSE - ERP =&gt; SOUS-SEGMENT'!$JA$8:$JA$154)/SUMPRODUCT(('ANALYSE - ERP =&gt; SOUS-SEGMENT'!$C$8:$C$154=$C16)*'ANALYSE - ERP =&gt; SOUS-SEGMENT'!$Q$8:$Q$154*'ANALYSE - ERP =&gt; SOUS-SEGMENT'!$BF$8:$BF$154),0)</f>
        <v>0.42860067996628265</v>
      </c>
      <c r="IY16" s="748">
        <f>IFERROR(SUMPRODUCT(('ANALYSE - ERP =&gt; SOUS-SEGMENT'!$C$8:$C$154=$C16)*'ANALYSE - ERP =&gt; SOUS-SEGMENT'!$Q$8:$Q$154*'ANALYSE - ERP =&gt; SOUS-SEGMENT'!$BF$8:$BF$154*'ANALYSE - ERP =&gt; SOUS-SEGMENT'!$JB$8:$JB$154)/SUMPRODUCT(('ANALYSE - ERP =&gt; SOUS-SEGMENT'!$C$8:$C$154=$C16)*'ANALYSE - ERP =&gt; SOUS-SEGMENT'!$Q$8:$Q$154*'ANALYSE - ERP =&gt; SOUS-SEGMENT'!$BF$8:$BF$154),0)</f>
        <v>0.10957475133464456</v>
      </c>
      <c r="IZ16" s="749">
        <f>IFERROR(SUMPRODUCT(('ANALYSE - ERP =&gt; SOUS-SEGMENT'!$C$8:$C$154=$C16)*'ANALYSE - ERP =&gt; SOUS-SEGMENT'!$Q$8:$Q$154*'ANALYSE - ERP =&gt; SOUS-SEGMENT'!$BF$8:$BF$154*'ANALYSE - ERP =&gt; SOUS-SEGMENT'!$JC$8:$JC$154)/SUMPRODUCT(('ANALYSE - ERP =&gt; SOUS-SEGMENT'!$C$8:$C$154=$C16)*'ANALYSE - ERP =&gt; SOUS-SEGMENT'!$Q$8:$Q$154*'ANALYSE - ERP =&gt; SOUS-SEGMENT'!$BF$8:$BF$154),0)</f>
        <v>7.0458780556336047E-3</v>
      </c>
      <c r="JA16" s="748">
        <f>IFERROR(SUMPRODUCT(('ANALYSE - ERP =&gt; SOUS-SEGMENT'!$C$8:$C$154=$C16)*'ANALYSE - ERP =&gt; SOUS-SEGMENT'!$Q$8:$Q$154*'ANALYSE - ERP =&gt; SOUS-SEGMENT'!$FE$8:$FE$154*'ANALYSE - ERP =&gt; SOUS-SEGMENT'!$JD$8:$JD$154)/SUMPRODUCT(('ANALYSE - ERP =&gt; SOUS-SEGMENT'!$C$8:$C$154=$C16)*'ANALYSE - ERP =&gt; SOUS-SEGMENT'!$Q$8:$Q$154*'ANALYSE - ERP =&gt; SOUS-SEGMENT'!$FE$8:$FE$154),0)</f>
        <v>7.9431967668329891E-3</v>
      </c>
      <c r="JB16" s="748">
        <f>IFERROR(SUMPRODUCT(('ANALYSE - ERP =&gt; SOUS-SEGMENT'!$C$8:$C$154=$C16)*'ANALYSE - ERP =&gt; SOUS-SEGMENT'!$Q$8:$Q$154*'ANALYSE - ERP =&gt; SOUS-SEGMENT'!$FE$8:$FE$154*'ANALYSE - ERP =&gt; SOUS-SEGMENT'!$JE$8:$JE$154)/SUMPRODUCT(('ANALYSE - ERP =&gt; SOUS-SEGMENT'!$C$8:$C$154=$C16)*'ANALYSE - ERP =&gt; SOUS-SEGMENT'!$Q$8:$Q$154*'ANALYSE - ERP =&gt; SOUS-SEGMENT'!$FE$8:$FE$154),0)</f>
        <v>0.25505391116031689</v>
      </c>
      <c r="JC16" s="748">
        <f>IFERROR(SUMPRODUCT(('ANALYSE - ERP =&gt; SOUS-SEGMENT'!$C$8:$C$154=$C16)*'ANALYSE - ERP =&gt; SOUS-SEGMENT'!$Q$8:$Q$154*'ANALYSE - ERP =&gt; SOUS-SEGMENT'!$FE$8:$FE$154*'ANALYSE - ERP =&gt; SOUS-SEGMENT'!$JF$8:$JF$154)/SUMPRODUCT(('ANALYSE - ERP =&gt; SOUS-SEGMENT'!$C$8:$C$154=$C16)*'ANALYSE - ERP =&gt; SOUS-SEGMENT'!$Q$8:$Q$154*'ANALYSE - ERP =&gt; SOUS-SEGMENT'!$FE$8:$FE$154),0)</f>
        <v>0.42323187333864665</v>
      </c>
      <c r="JD16" s="748">
        <f>IFERROR(SUMPRODUCT(('ANALYSE - ERP =&gt; SOUS-SEGMENT'!$C$8:$C$154=$C16)*'ANALYSE - ERP =&gt; SOUS-SEGMENT'!$Q$8:$Q$154*'ANALYSE - ERP =&gt; SOUS-SEGMENT'!$FE$8:$FE$154*'ANALYSE - ERP =&gt; SOUS-SEGMENT'!$JG$8:$JG$154)/SUMPRODUCT(('ANALYSE - ERP =&gt; SOUS-SEGMENT'!$C$8:$C$154=$C16)*'ANALYSE - ERP =&gt; SOUS-SEGMENT'!$Q$8:$Q$154*'ANALYSE - ERP =&gt; SOUS-SEGMENT'!$FE$8:$FE$154),0)</f>
        <v>0.15138991985035477</v>
      </c>
      <c r="JE16" s="748">
        <f>IFERROR(SUMPRODUCT(('ANALYSE - ERP =&gt; SOUS-SEGMENT'!$C$8:$C$154=$C16)*'ANALYSE - ERP =&gt; SOUS-SEGMENT'!$Q$8:$Q$154*'ANALYSE - ERP =&gt; SOUS-SEGMENT'!$FE$8:$FE$154*'ANALYSE - ERP =&gt; SOUS-SEGMENT'!$JH$8:$JH$154)/SUMPRODUCT(('ANALYSE - ERP =&gt; SOUS-SEGMENT'!$C$8:$C$154=$C16)*'ANALYSE - ERP =&gt; SOUS-SEGMENT'!$Q$8:$Q$154*'ANALYSE - ERP =&gt; SOUS-SEGMENT'!$FE$8:$FE$154),0)</f>
        <v>2.0166755023314536E-2</v>
      </c>
      <c r="JF16" s="771">
        <f>IFERROR(SUMPRODUCT(('ANALYSE - ERP =&gt; SOUS-SEGMENT'!$C$8:$C$154=$C16)*'ANALYSE - ERP =&gt; SOUS-SEGMENT'!$Q$8:$Q$154*'ANALYSE - ERP =&gt; SOUS-SEGMENT'!$BG$8:$BG$154*'ANALYSE - ERP =&gt; SOUS-SEGMENT'!$JI$8:$JI$154)/SUMPRODUCT(('ANALYSE - ERP =&gt; SOUS-SEGMENT'!$C$8:$C$154=$C16)*'ANALYSE - ERP =&gt; SOUS-SEGMENT'!$Q$8:$Q$154*'ANALYSE - ERP =&gt; SOUS-SEGMENT'!$BG$8:$BG$154),0)</f>
        <v>5.2138130047388175E-2</v>
      </c>
      <c r="JG16" s="748">
        <f>IFERROR(SUMPRODUCT(('ANALYSE - ERP =&gt; SOUS-SEGMENT'!$C$8:$C$154=$C16)*'ANALYSE - ERP =&gt; SOUS-SEGMENT'!$Q$8:$Q$154*'ANALYSE - ERP =&gt; SOUS-SEGMENT'!$BG$8:$BG$154*'ANALYSE - ERP =&gt; SOUS-SEGMENT'!$JJ$8:$JJ$154)/SUMPRODUCT(('ANALYSE - ERP =&gt; SOUS-SEGMENT'!$C$8:$C$154=$C16)*'ANALYSE - ERP =&gt; SOUS-SEGMENT'!$Q$8:$Q$154*'ANALYSE - ERP =&gt; SOUS-SEGMENT'!$BG$8:$BG$154),0)</f>
        <v>0.45474419682847939</v>
      </c>
      <c r="JH16" s="748">
        <f>IFERROR(SUMPRODUCT(('ANALYSE - ERP =&gt; SOUS-SEGMENT'!$C$8:$C$154=$C16)*'ANALYSE - ERP =&gt; SOUS-SEGMENT'!$Q$8:$Q$154*'ANALYSE - ERP =&gt; SOUS-SEGMENT'!$BG$8:$BG$154*'ANALYSE - ERP =&gt; SOUS-SEGMENT'!$JK$8:$JK$154)/SUMPRODUCT(('ANALYSE - ERP =&gt; SOUS-SEGMENT'!$C$8:$C$154=$C16)*'ANALYSE - ERP =&gt; SOUS-SEGMENT'!$Q$8:$Q$154*'ANALYSE - ERP =&gt; SOUS-SEGMENT'!$BG$8:$BG$154),0)</f>
        <v>0.41031270728054758</v>
      </c>
      <c r="JI16" s="748">
        <f>IFERROR(SUMPRODUCT(('ANALYSE - ERP =&gt; SOUS-SEGMENT'!$C$8:$C$154=$C16)*'ANALYSE - ERP =&gt; SOUS-SEGMENT'!$Q$8:$Q$154*'ANALYSE - ERP =&gt; SOUS-SEGMENT'!$BG$8:$BG$154*'ANALYSE - ERP =&gt; SOUS-SEGMENT'!$JL$8:$JL$154)/SUMPRODUCT(('ANALYSE - ERP =&gt; SOUS-SEGMENT'!$C$8:$C$154=$C16)*'ANALYSE - ERP =&gt; SOUS-SEGMENT'!$Q$8:$Q$154*'ANALYSE - ERP =&gt; SOUS-SEGMENT'!$BG$8:$BG$154),0)</f>
        <v>7.8819438043203252E-2</v>
      </c>
      <c r="JJ16" s="749">
        <f>IFERROR(SUMPRODUCT(('ANALYSE - ERP =&gt; SOUS-SEGMENT'!$C$8:$C$154=$C16)*'ANALYSE - ERP =&gt; SOUS-SEGMENT'!$Q$8:$Q$154*'ANALYSE - ERP =&gt; SOUS-SEGMENT'!$BG$8:$BG$154*'ANALYSE - ERP =&gt; SOUS-SEGMENT'!$JM$8:$JM$154)/SUMPRODUCT(('ANALYSE - ERP =&gt; SOUS-SEGMENT'!$C$8:$C$154=$C16)*'ANALYSE - ERP =&gt; SOUS-SEGMENT'!$Q$8:$Q$154*'ANALYSE - ERP =&gt; SOUS-SEGMENT'!$BG$8:$BG$154),0)</f>
        <v>2.7204753861828921E-3</v>
      </c>
      <c r="JK16" s="748">
        <f>IFERROR(SUMPRODUCT(('ANALYSE - ERP =&gt; SOUS-SEGMENT'!$C$8:$C$154=$C16)*'ANALYSE - ERP =&gt; SOUS-SEGMENT'!$Q$8:$Q$154*'ANALYSE - ERP =&gt; SOUS-SEGMENT'!$FH$8:$FH$154*'ANALYSE - ERP =&gt; SOUS-SEGMENT'!$JN$8:$JN$154)/SUMPRODUCT(('ANALYSE - ERP =&gt; SOUS-SEGMENT'!$C$8:$C$154=$C16)*'ANALYSE - ERP =&gt; SOUS-SEGMENT'!$Q$8:$Q$154*'ANALYSE - ERP =&gt; SOUS-SEGMENT'!$FH$8:$FH$154),0)</f>
        <v>2.4276562501545314E-2</v>
      </c>
      <c r="JL16" s="748">
        <f>IFERROR(SUMPRODUCT(('ANALYSE - ERP =&gt; SOUS-SEGMENT'!$C$8:$C$154=$C16)*'ANALYSE - ERP =&gt; SOUS-SEGMENT'!$Q$8:$Q$154*'ANALYSE - ERP =&gt; SOUS-SEGMENT'!$FH$8:$FH$154*'ANALYSE - ERP =&gt; SOUS-SEGMENT'!$JO$8:$JO$154)/SUMPRODUCT(('ANALYSE - ERP =&gt; SOUS-SEGMENT'!$C$8:$C$154=$C16)*'ANALYSE - ERP =&gt; SOUS-SEGMENT'!$Q$8:$Q$154*'ANALYSE - ERP =&gt; SOUS-SEGMENT'!$FH$8:$FH$154),0)</f>
        <v>0.39046891347603602</v>
      </c>
      <c r="JM16" s="748">
        <f>IFERROR(SUMPRODUCT(('ANALYSE - ERP =&gt; SOUS-SEGMENT'!$C$8:$C$154=$C16)*'ANALYSE - ERP =&gt; SOUS-SEGMENT'!$Q$8:$Q$154*'ANALYSE - ERP =&gt; SOUS-SEGMENT'!$FH$8:$FH$154*'ANALYSE - ERP =&gt; SOUS-SEGMENT'!$JP$8:$JP$154)/SUMPRODUCT(('ANALYSE - ERP =&gt; SOUS-SEGMENT'!$C$8:$C$154=$C16)*'ANALYSE - ERP =&gt; SOUS-SEGMENT'!$Q$8:$Q$154*'ANALYSE - ERP =&gt; SOUS-SEGMENT'!$FH$8:$FH$154),0)</f>
        <v>0.44724623502475191</v>
      </c>
      <c r="JN16" s="748">
        <f>IFERROR(SUMPRODUCT(('ANALYSE - ERP =&gt; SOUS-SEGMENT'!$C$8:$C$154=$C16)*'ANALYSE - ERP =&gt; SOUS-SEGMENT'!$Q$8:$Q$154*'ANALYSE - ERP =&gt; SOUS-SEGMENT'!$FH$8:$FH$154*'ANALYSE - ERP =&gt; SOUS-SEGMENT'!$JQ$8:$JQ$154)/SUMPRODUCT(('ANALYSE - ERP =&gt; SOUS-SEGMENT'!$C$8:$C$154=$C16)*'ANALYSE - ERP =&gt; SOUS-SEGMENT'!$Q$8:$Q$154*'ANALYSE - ERP =&gt; SOUS-SEGMENT'!$FH$8:$FH$154),0)</f>
        <v>0.12571181759868788</v>
      </c>
      <c r="JO16" s="748">
        <f>IFERROR(SUMPRODUCT(('ANALYSE - ERP =&gt; SOUS-SEGMENT'!$C$8:$C$154=$C16)*'ANALYSE - ERP =&gt; SOUS-SEGMENT'!$Q$8:$Q$154*'ANALYSE - ERP =&gt; SOUS-SEGMENT'!$FH$8:$FH$154*'ANALYSE - ERP =&gt; SOUS-SEGMENT'!$JR$8:$JR$154)/SUMPRODUCT(('ANALYSE - ERP =&gt; SOUS-SEGMENT'!$C$8:$C$154=$C16)*'ANALYSE - ERP =&gt; SOUS-SEGMENT'!$Q$8:$Q$154*'ANALYSE - ERP =&gt; SOUS-SEGMENT'!$FH$8:$FH$154),0)</f>
        <v>9.5891653023469116E-3</v>
      </c>
      <c r="JP16" s="771">
        <f>IFERROR(SUMPRODUCT(('ANALYSE - ERP =&gt; SOUS-SEGMENT'!$C$8:$C$154=$C16)*'ANALYSE - ERP =&gt; SOUS-SEGMENT'!$Q$8:$Q$154*'ANALYSE - ERP =&gt; SOUS-SEGMENT'!$BH$8:$BH$154*'ANALYSE - ERP =&gt; SOUS-SEGMENT'!$JS$8:$JS$154)/SUMPRODUCT(('ANALYSE - ERP =&gt; SOUS-SEGMENT'!$C$8:$C$154=$C16)*'ANALYSE - ERP =&gt; SOUS-SEGMENT'!$Q$8:$Q$154*'ANALYSE - ERP =&gt; SOUS-SEGMENT'!$BH$8:$BH$154),0)</f>
        <v>2.7493464517062645E-2</v>
      </c>
      <c r="JQ16" s="748">
        <f>IFERROR(SUMPRODUCT(('ANALYSE - ERP =&gt; SOUS-SEGMENT'!$C$8:$C$154=$C16)*'ANALYSE - ERP =&gt; SOUS-SEGMENT'!$Q$8:$Q$154*'ANALYSE - ERP =&gt; SOUS-SEGMENT'!$BH$8:$BH$154*'ANALYSE - ERP =&gt; SOUS-SEGMENT'!$JT$8:$JT$154)/SUMPRODUCT(('ANALYSE - ERP =&gt; SOUS-SEGMENT'!$C$8:$C$154=$C16)*'ANALYSE - ERP =&gt; SOUS-SEGMENT'!$Q$8:$Q$154*'ANALYSE - ERP =&gt; SOUS-SEGMENT'!$BH$8:$BH$154),0)</f>
        <v>0.36381697878041458</v>
      </c>
      <c r="JR16" s="748">
        <f>IFERROR(SUMPRODUCT(('ANALYSE - ERP =&gt; SOUS-SEGMENT'!$C$8:$C$154=$C16)*'ANALYSE - ERP =&gt; SOUS-SEGMENT'!$Q$8:$Q$154*'ANALYSE - ERP =&gt; SOUS-SEGMENT'!$BH$8:$BH$154*'ANALYSE - ERP =&gt; SOUS-SEGMENT'!$JU$8:$JU$154)/SUMPRODUCT(('ANALYSE - ERP =&gt; SOUS-SEGMENT'!$C$8:$C$154=$C16)*'ANALYSE - ERP =&gt; SOUS-SEGMENT'!$Q$8:$Q$154*'ANALYSE - ERP =&gt; SOUS-SEGMENT'!$BH$8:$BH$154),0)</f>
        <v>0.49298632015946192</v>
      </c>
      <c r="JS16" s="748">
        <f>IFERROR(SUMPRODUCT(('ANALYSE - ERP =&gt; SOUS-SEGMENT'!$C$8:$C$154=$C16)*'ANALYSE - ERP =&gt; SOUS-SEGMENT'!$Q$8:$Q$154*'ANALYSE - ERP =&gt; SOUS-SEGMENT'!$BH$8:$BH$154*'ANALYSE - ERP =&gt; SOUS-SEGMENT'!$JV$8:$JV$154)/SUMPRODUCT(('ANALYSE - ERP =&gt; SOUS-SEGMENT'!$C$8:$C$154=$C16)*'ANALYSE - ERP =&gt; SOUS-SEGMENT'!$Q$8:$Q$154*'ANALYSE - ERP =&gt; SOUS-SEGMENT'!$BH$8:$BH$154),0)</f>
        <v>0.11094294674797442</v>
      </c>
      <c r="JT16" s="749">
        <f>IFERROR(SUMPRODUCT(('ANALYSE - ERP =&gt; SOUS-SEGMENT'!$C$8:$C$154=$C16)*'ANALYSE - ERP =&gt; SOUS-SEGMENT'!$Q$8:$Q$154*'ANALYSE - ERP =&gt; SOUS-SEGMENT'!$BH$8:$BH$154*'ANALYSE - ERP =&gt; SOUS-SEGMENT'!$JW$8:$JW$154)/SUMPRODUCT(('ANALYSE - ERP =&gt; SOUS-SEGMENT'!$C$8:$C$154=$C16)*'ANALYSE - ERP =&gt; SOUS-SEGMENT'!$Q$8:$Q$154*'ANALYSE - ERP =&gt; SOUS-SEGMENT'!$BH$8:$BH$154),0)</f>
        <v>4.7602897950863683E-3</v>
      </c>
      <c r="JU16" s="771">
        <f>IFERROR(SUMPRODUCT(('ANALYSE - ERP =&gt; SOUS-SEGMENT'!$C$8:$C$154=$C16)*'ANALYSE - ERP =&gt; SOUS-SEGMENT'!$Q$8:$Q$154*'ANALYSE - ERP =&gt; SOUS-SEGMENT'!$FK$8:$FK$154*'ANALYSE - ERP =&gt; SOUS-SEGMENT'!$JX$8:$JX$154)/SUMPRODUCT(('ANALYSE - ERP =&gt; SOUS-SEGMENT'!$C$8:$C$154=$C16)*'ANALYSE - ERP =&gt; SOUS-SEGMENT'!$Q$8:$Q$154*'ANALYSE - ERP =&gt; SOUS-SEGMENT'!$FK$8:$FK$154),0)</f>
        <v>8.7982316587492879E-3</v>
      </c>
      <c r="JV16" s="748">
        <f>IFERROR(SUMPRODUCT(('ANALYSE - ERP =&gt; SOUS-SEGMENT'!$C$8:$C$154=$C16)*'ANALYSE - ERP =&gt; SOUS-SEGMENT'!$Q$8:$Q$154*'ANALYSE - ERP =&gt; SOUS-SEGMENT'!$FK$8:$FK$154*'ANALYSE - ERP =&gt; SOUS-SEGMENT'!$JY$8:$JY$154)/SUMPRODUCT(('ANALYSE - ERP =&gt; SOUS-SEGMENT'!$C$8:$C$154=$C16)*'ANALYSE - ERP =&gt; SOUS-SEGMENT'!$Q$8:$Q$154*'ANALYSE - ERP =&gt; SOUS-SEGMENT'!$FK$8:$FK$154),0)</f>
        <v>0.29940071874680962</v>
      </c>
      <c r="JW16" s="748">
        <f>IFERROR(SUMPRODUCT(('ANALYSE - ERP =&gt; SOUS-SEGMENT'!$C$8:$C$154=$C16)*'ANALYSE - ERP =&gt; SOUS-SEGMENT'!$Q$8:$Q$154*'ANALYSE - ERP =&gt; SOUS-SEGMENT'!$FK$8:$FK$154*'ANALYSE - ERP =&gt; SOUS-SEGMENT'!$JZ$8:$JZ$154)/SUMPRODUCT(('ANALYSE - ERP =&gt; SOUS-SEGMENT'!$C$8:$C$154=$C16)*'ANALYSE - ERP =&gt; SOUS-SEGMENT'!$Q$8:$Q$154*'ANALYSE - ERP =&gt; SOUS-SEGMENT'!$FK$8:$FK$154),0)</f>
        <v>0.51044390985166255</v>
      </c>
      <c r="JX16" s="748">
        <f>IFERROR(SUMPRODUCT(('ANALYSE - ERP =&gt; SOUS-SEGMENT'!$C$8:$C$154=$C16)*'ANALYSE - ERP =&gt; SOUS-SEGMENT'!$Q$8:$Q$154*'ANALYSE - ERP =&gt; SOUS-SEGMENT'!$FK$8:$FK$154*'ANALYSE - ERP =&gt; SOUS-SEGMENT'!$KA$8:$KA$154)/SUMPRODUCT(('ANALYSE - ERP =&gt; SOUS-SEGMENT'!$C$8:$C$154=$C16)*'ANALYSE - ERP =&gt; SOUS-SEGMENT'!$Q$8:$Q$154*'ANALYSE - ERP =&gt; SOUS-SEGMENT'!$FK$8:$FK$154),0)</f>
        <v>0.16657044464624438</v>
      </c>
      <c r="JY16" s="775">
        <f>IFERROR(SUMPRODUCT(('ANALYSE - ERP =&gt; SOUS-SEGMENT'!$C$8:$C$154=$C16)*'ANALYSE - ERP =&gt; SOUS-SEGMENT'!$Q$8:$Q$154*'ANALYSE - ERP =&gt; SOUS-SEGMENT'!$FK$8:$FK$154*'ANALYSE - ERP =&gt; SOUS-SEGMENT'!$KB$8:$KB$154)/SUMPRODUCT(('ANALYSE - ERP =&gt; SOUS-SEGMENT'!$C$8:$C$154=$C16)*'ANALYSE - ERP =&gt; SOUS-SEGMENT'!$Q$8:$Q$154*'ANALYSE - ERP =&gt; SOUS-SEGMENT'!$FK$8:$FK$154),0)</f>
        <v>1.478669509653409E-2</v>
      </c>
      <c r="JZ16" s="657"/>
      <c r="KA16" s="314" t="s">
        <v>2591</v>
      </c>
      <c r="KB16" s="314" t="s">
        <v>2625</v>
      </c>
      <c r="KC16" s="866">
        <f>IFERROR(SUMPRODUCT(('ANALYSE - ERP =&gt; SOUS-SEGMENT'!$C$8:$C$154=$C17)*'ANALYSE - ERP =&gt; SOUS-SEGMENT'!$Q$8:$Q$154*'ANALYSE - ERP =&gt; SOUS-SEGMENT'!$EX$8:$EX$154*'ANALYSE - ERP =&gt; SOUS-SEGMENT'!$KF$8:$KF$154)/SUMPRODUCT(('ANALYSE - ERP =&gt; SOUS-SEGMENT'!$C$8:$C$154=$C17)*'ANALYSE - ERP =&gt; SOUS-SEGMENT'!$Q$8:$Q$154*'ANALYSE - ERP =&gt; SOUS-SEGMENT'!$EX$8:$EX$154),"")</f>
        <v>3.4668287666947166</v>
      </c>
      <c r="KD16" s="314" t="s">
        <v>2589</v>
      </c>
      <c r="KE16" s="315" t="s">
        <v>3686</v>
      </c>
      <c r="KF16" s="617" t="s">
        <v>6760</v>
      </c>
      <c r="KG16" s="315" t="s">
        <v>6760</v>
      </c>
    </row>
    <row r="17" spans="1:293" ht="108" customHeight="1">
      <c r="A17" s="265">
        <v>11</v>
      </c>
      <c r="B17" s="484" t="s">
        <v>3662</v>
      </c>
      <c r="C17" s="484" t="s">
        <v>1240</v>
      </c>
      <c r="D17" s="484" t="s">
        <v>6952</v>
      </c>
      <c r="E17" s="267" t="s">
        <v>3795</v>
      </c>
      <c r="F17" s="267" t="s">
        <v>300</v>
      </c>
      <c r="G17" s="267" t="s">
        <v>300</v>
      </c>
      <c r="H17" s="267" t="s">
        <v>2109</v>
      </c>
      <c r="I17" s="268" t="s">
        <v>6953</v>
      </c>
      <c r="J17" s="268" t="s">
        <v>6954</v>
      </c>
      <c r="K17" s="269" t="s">
        <v>2097</v>
      </c>
      <c r="L17" s="269" t="s">
        <v>2109</v>
      </c>
      <c r="M17" s="269" t="s">
        <v>2603</v>
      </c>
      <c r="N17" s="269" t="s">
        <v>6742</v>
      </c>
      <c r="O17" s="269" t="s">
        <v>2616</v>
      </c>
      <c r="P17" s="268"/>
      <c r="Q17" s="270">
        <f>IF(SUMPRODUCT(('ANALYSE - ERP =&gt; SOUS-SEGMENT'!$C$8:$C$154=$C17)*'ANALYSE - ERP =&gt; SOUS-SEGMENT'!$Q$8:$Q$154)&gt;0,1,0)</f>
        <v>1</v>
      </c>
      <c r="R17" s="271">
        <f>IFERROR(SUMPRODUCT(('ANALYSE - ERP =&gt; SOUS-SEGMENT'!$C$8:$C$154=$C17)*'ANALYSE - ERP =&gt; SOUS-SEGMENT'!$Q$8:$Q$154*'ANALYSE - ERP =&gt; SOUS-SEGMENT'!$AG$8:$AG$154*'ANALYSE - ERP =&gt; SOUS-SEGMENT'!$R$8:$R$154)/SUMPRODUCT(('ANALYSE - ERP =&gt; SOUS-SEGMENT'!$C$8:$C$154=$C17)*'ANALYSE - ERP =&gt; SOUS-SEGMENT'!$Q$8:$Q$154*'ANALYSE - ERP =&gt; SOUS-SEGMENT'!$AG$8:$AG$154),"")</f>
        <v>11153.583617747441</v>
      </c>
      <c r="S17" s="272">
        <f>SUMPRODUCT(('ANALYSE - ERP =&gt; SOUS-SEGMENT'!$C$8:$C$154=$C17)*'ANALYSE - ERP =&gt; SOUS-SEGMENT'!$Q$8:$Q$154*'ANALYSE - ERP =&gt; SOUS-SEGMENT'!$S$8:$S$154)</f>
        <v>265</v>
      </c>
      <c r="T17" s="272">
        <f>SUMPRODUCT(('ANALYSE - ERP =&gt; SOUS-SEGMENT'!$C$8:$C$154=$C17)*'ANALYSE - ERP =&gt; SOUS-SEGMENT'!$Q$8:$Q$154*'ANALYSE - ERP =&gt; SOUS-SEGMENT'!$T$8:$T$154)</f>
        <v>272</v>
      </c>
      <c r="U17" s="272">
        <f>SUMPRODUCT(('ANALYSE - ERP =&gt; SOUS-SEGMENT'!$C$8:$C$154=$C17)*'ANALYSE - ERP =&gt; SOUS-SEGMENT'!$Q$8:$Q$154*'ANALYSE - ERP =&gt; SOUS-SEGMENT'!$U$8:$U$154)</f>
        <v>279</v>
      </c>
      <c r="V17" s="272">
        <f>SUMPRODUCT(('ANALYSE - ERP =&gt; SOUS-SEGMENT'!$C$8:$C$154=$C17)*'ANALYSE - ERP =&gt; SOUS-SEGMENT'!$Q$8:$Q$154*'ANALYSE - ERP =&gt; SOUS-SEGMENT'!$V$8:$V$154)</f>
        <v>285</v>
      </c>
      <c r="W17" s="272">
        <f>SUMPRODUCT(('ANALYSE - ERP =&gt; SOUS-SEGMENT'!$C$8:$C$154=$C17)*'ANALYSE - ERP =&gt; SOUS-SEGMENT'!$Q$8:$Q$154*'ANALYSE - ERP =&gt; SOUS-SEGMENT'!$W$8:$W$154)</f>
        <v>286</v>
      </c>
      <c r="X17" s="272">
        <f>SUMPRODUCT(('ANALYSE - ERP =&gt; SOUS-SEGMENT'!$C$8:$C$154=$C17)*'ANALYSE - ERP =&gt; SOUS-SEGMENT'!$Q$8:$Q$154*'ANALYSE - ERP =&gt; SOUS-SEGMENT'!$X$8:$X$154)</f>
        <v>287</v>
      </c>
      <c r="Y17" s="272">
        <f>SUMPRODUCT(('ANALYSE - ERP =&gt; SOUS-SEGMENT'!$C$8:$C$154=$C17)*'ANALYSE - ERP =&gt; SOUS-SEGMENT'!$Q$8:$Q$154*'ANALYSE - ERP =&gt; SOUS-SEGMENT'!$Y$8:$Y$154)</f>
        <v>288</v>
      </c>
      <c r="Z17" s="272">
        <f>SUMPRODUCT(('ANALYSE - ERP =&gt; SOUS-SEGMENT'!$C$8:$C$154=$C17)*'ANALYSE - ERP =&gt; SOUS-SEGMENT'!$Q$8:$Q$154*'ANALYSE - ERP =&gt; SOUS-SEGMENT'!$Z$8:$Z$154)</f>
        <v>290</v>
      </c>
      <c r="AA17" s="272">
        <f>SUMPRODUCT(('ANALYSE - ERP =&gt; SOUS-SEGMENT'!$C$8:$C$154=$C17)*'ANALYSE - ERP =&gt; SOUS-SEGMENT'!$Q$8:$Q$154*'ANALYSE - ERP =&gt; SOUS-SEGMENT'!$AA$8:$AA$154)</f>
        <v>281</v>
      </c>
      <c r="AB17" s="272">
        <f>SUMPRODUCT(('ANALYSE - ERP =&gt; SOUS-SEGMENT'!$C$8:$C$154=$C17)*'ANALYSE - ERP =&gt; SOUS-SEGMENT'!$Q$8:$Q$154*'ANALYSE - ERP =&gt; SOUS-SEGMENT'!$AB$8:$AB$154)</f>
        <v>283</v>
      </c>
      <c r="AC17" s="272">
        <f>SUMPRODUCT(('ANALYSE - ERP =&gt; SOUS-SEGMENT'!$C$8:$C$154=$C17)*'ANALYSE - ERP =&gt; SOUS-SEGMENT'!$Q$8:$Q$154*'ANALYSE - ERP =&gt; SOUS-SEGMENT'!$AC$8:$AC$154)</f>
        <v>285</v>
      </c>
      <c r="AD17" s="272">
        <f>SUMPRODUCT(('ANALYSE - ERP =&gt; SOUS-SEGMENT'!$C$8:$C$154=$C17)*'ANALYSE - ERP =&gt; SOUS-SEGMENT'!$Q$8:$Q$154*'ANALYSE - ERP =&gt; SOUS-SEGMENT'!$AD$8:$AD$154)</f>
        <v>288</v>
      </c>
      <c r="AE17" s="272">
        <f>SUMPRODUCT(('ANALYSE - ERP =&gt; SOUS-SEGMENT'!$C$8:$C$154=$C17)*'ANALYSE - ERP =&gt; SOUS-SEGMENT'!$Q$8:$Q$154*'ANALYSE - ERP =&gt; SOUS-SEGMENT'!$AE$8:$AE$154)</f>
        <v>290</v>
      </c>
      <c r="AF17" s="272">
        <f>SUMPRODUCT(('ANALYSE - ERP =&gt; SOUS-SEGMENT'!$C$8:$C$154=$C17)*'ANALYSE - ERP =&gt; SOUS-SEGMENT'!$Q$8:$Q$154*'ANALYSE - ERP =&gt; SOUS-SEGMENT'!$AF$8:$AF$154)</f>
        <v>292</v>
      </c>
      <c r="AG17" s="272">
        <f>SUMPRODUCT(('ANALYSE - ERP =&gt; SOUS-SEGMENT'!$C$8:$C$154=$C17)*'ANALYSE - ERP =&gt; SOUS-SEGMENT'!$Q$8:$Q$154*'ANALYSE - ERP =&gt; SOUS-SEGMENT'!$AG$8:$AG$154)</f>
        <v>293</v>
      </c>
      <c r="AH17" s="272">
        <f>SUMPRODUCT(('ANALYSE - ERP =&gt; SOUS-SEGMENT'!$C$8:$C$154=$C17)*'ANALYSE - ERP =&gt; SOUS-SEGMENT'!$Q$8:$Q$154*'ANALYSE - ERP =&gt; SOUS-SEGMENT'!$AH$8:$AH$154)</f>
        <v>294</v>
      </c>
      <c r="AI17" s="272">
        <f>SUMPRODUCT(('ANALYSE - ERP =&gt; SOUS-SEGMENT'!$C$8:$C$154=$C17)*'ANALYSE - ERP =&gt; SOUS-SEGMENT'!$Q$8:$Q$154*'ANALYSE - ERP =&gt; SOUS-SEGMENT'!$AI$8:$AI$154)</f>
        <v>295</v>
      </c>
      <c r="AJ17" s="272">
        <f>SUMPRODUCT(('ANALYSE - ERP =&gt; SOUS-SEGMENT'!$C$8:$C$154=$C17)*'ANALYSE - ERP =&gt; SOUS-SEGMENT'!$Q$8:$Q$154*'ANALYSE - ERP =&gt; SOUS-SEGMENT'!$AJ$8:$AJ$154)</f>
        <v>297</v>
      </c>
      <c r="AK17" s="272">
        <f>SUMPRODUCT(('ANALYSE - ERP =&gt; SOUS-SEGMENT'!$C$8:$C$154=$C17)*'ANALYSE - ERP =&gt; SOUS-SEGMENT'!$Q$8:$Q$154*'ANALYSE - ERP =&gt; SOUS-SEGMENT'!$AK$8:$AK$154)</f>
        <v>298</v>
      </c>
      <c r="AL17" s="268" t="s">
        <v>6955</v>
      </c>
      <c r="AM17" s="268" t="s">
        <v>6956</v>
      </c>
      <c r="AN17" s="268" t="s">
        <v>2148</v>
      </c>
      <c r="AO17" s="657"/>
      <c r="AP17" s="271">
        <f>IFERROR(SUMPRODUCT(('ANALYSE - ERP =&gt; SOUS-SEGMENT'!$C$8:$C$154=$C17)*'ANALYSE - ERP =&gt; SOUS-SEGMENT'!$Q$8:$Q$154*'ANALYSE - ERP =&gt; SOUS-SEGMENT'!$AG$8:$AG$154*'ANALYSE - ERP =&gt; SOUS-SEGMENT'!$AP$8:$AP$154)/SUMPRODUCT(('ANALYSE - ERP =&gt; SOUS-SEGMENT'!$C$8:$C$154=$C17)*'ANALYSE - ERP =&gt; SOUS-SEGMENT'!$Q$8:$Q$154*'ANALYSE - ERP =&gt; SOUS-SEGMENT'!$AG$8:$AG$154),"")</f>
        <v>2351.8771331058019</v>
      </c>
      <c r="AQ17" s="280">
        <f>IFERROR(SUMPRODUCT(('ANALYSE - ERP =&gt; SOUS-SEGMENT'!$C$8:$C$154=$C17)*'ANALYSE - ERP =&gt; SOUS-SEGMENT'!$Q$8:$Q$154*'ANALYSE - ERP =&gt; SOUS-SEGMENT'!$AF$8:$AF$154*'ANALYSE - ERP =&gt; SOUS-SEGMENT'!$AQ$8:$AQ$154)/SUMPRODUCT(('ANALYSE - ERP =&gt; SOUS-SEGMENT'!$C$8:$C$154=$C17)*'ANALYSE - ERP =&gt; SOUS-SEGMENT'!$Q$8:$Q$154*'ANALYSE - ERP =&gt; SOUS-SEGMENT'!$AF$8:$AF$154),"")</f>
        <v>1998.6643835616439</v>
      </c>
      <c r="AR17" s="974">
        <f>IFERROR(SUMPRODUCT(('ANALYSE - ERP =&gt; SOUS-SEGMENT'!$C$8:$C$154=$C17)*'ANALYSE - ERP =&gt; SOUS-SEGMENT'!$Q$8:$Q$154*'ANALYSE - ERP =&gt; SOUS-SEGMENT'!$AF$8:$AF$154*'ANALYSE - ERP =&gt; SOUS-SEGMENT'!$AR$8:$AR$154)/SUMPRODUCT(('ANALYSE - ERP =&gt; SOUS-SEGMENT'!$C$8:$C$154=$C17)*'ANALYSE - ERP =&gt; SOUS-SEGMENT'!$Q$8:$Q$154*'ANALYSE - ERP =&gt; SOUS-SEGMENT'!$AF$8:$AF$154),"")</f>
        <v>235.13698630136986</v>
      </c>
      <c r="AS17" s="974">
        <f>IFERROR(SUMPRODUCT(('ANALYSE - ERP =&gt; SOUS-SEGMENT'!$C$8:$C$154=$C17)*'ANALYSE - ERP =&gt; SOUS-SEGMENT'!$Q$8:$Q$154*'ANALYSE - ERP =&gt; SOUS-SEGMENT'!$AF$8:$AF$154*'ANALYSE - ERP =&gt; SOUS-SEGMENT'!$AS$8:$AS$154)/SUMPRODUCT(('ANALYSE - ERP =&gt; SOUS-SEGMENT'!$C$8:$C$154=$C17)*'ANALYSE - ERP =&gt; SOUS-SEGMENT'!$Q$8:$Q$154*'ANALYSE - ERP =&gt; SOUS-SEGMENT'!$AF$8:$AF$154),"")</f>
        <v>117.56849315068493</v>
      </c>
      <c r="AT17" s="657" t="s">
        <v>6957</v>
      </c>
      <c r="AU17" s="290" t="s">
        <v>6958</v>
      </c>
      <c r="AV17" s="572" t="s">
        <v>2609</v>
      </c>
      <c r="AW17" s="290"/>
      <c r="AX17" s="657"/>
      <c r="AY17" s="303">
        <f>IFERROR(SUMPRODUCT(('ANALYSE - ERP =&gt; SOUS-SEGMENT'!$C$8:$C$154=$C17)*'ANALYSE - ERP =&gt; SOUS-SEGMENT'!$Q$8:$Q$154*'ANALYSE - ERP =&gt; SOUS-SEGMENT'!$AF$8:$AF$154*'ANALYSE - ERP =&gt; SOUS-SEGMENT'!$AZ$8:$AZ$154)/SUMPRODUCT(('ANALYSE - ERP =&gt; SOUS-SEGMENT'!$C$8:$C$154=$C17)*'ANALYSE - ERP =&gt; SOUS-SEGMENT'!$Q$8:$Q$154*'ANALYSE - ERP =&gt; SOUS-SEGMENT'!$AF$8:$AF$154),"")</f>
        <v>53.027397260273972</v>
      </c>
      <c r="AZ17" s="948">
        <f>IFERROR(SUMPRODUCT(('ANALYSE - ERP =&gt; SOUS-SEGMENT'!$C$8:$C$154=$C17)*'ANALYSE - ERP =&gt; SOUS-SEGMENT'!$Q$8:$Q$154*'ANALYSE - ERP =&gt; SOUS-SEGMENT'!$AF$8:$AF$154*'ANALYSE - ERP =&gt; SOUS-SEGMENT'!$BA$8:$BA$154)/SUMPRODUCT(('ANALYSE - ERP =&gt; SOUS-SEGMENT'!$C$8:$C$154=$C17)*'ANALYSE - ERP =&gt; SOUS-SEGMENT'!$Q$8:$Q$154*'ANALYSE - ERP =&gt; SOUS-SEGMENT'!$AF$8:$AF$154),"")</f>
        <v>4.5753424657534243</v>
      </c>
      <c r="BA17" s="303">
        <f>IFERROR(SUMPRODUCT(('ANALYSE - ERP =&gt; SOUS-SEGMENT'!$C$8:$C$154=$C17)*'ANALYSE - ERP =&gt; SOUS-SEGMENT'!$Q$8:$Q$154*'ANALYSE - ERP =&gt; SOUS-SEGMENT'!$AF$8:$AF$154*'ANALYSE - ERP =&gt; SOUS-SEGMENT'!$BB$8:$BB$154)/SUMPRODUCT(('ANALYSE - ERP =&gt; SOUS-SEGMENT'!$C$8:$C$154=$C17)*'ANALYSE - ERP =&gt; SOUS-SEGMENT'!$Q$8:$Q$154*'ANALYSE - ERP =&gt; SOUS-SEGMENT'!$AF$8:$AF$154),"")</f>
        <v>11.363013698630137</v>
      </c>
      <c r="BB17" s="303">
        <f>IFERROR(SUMPRODUCT(('ANALYSE - ERP =&gt; SOUS-SEGMENT'!$C$8:$C$154=$C17)*'ANALYSE - ERP =&gt; SOUS-SEGMENT'!$Q$8:$Q$154*'ANALYSE - ERP =&gt; SOUS-SEGMENT'!$AF$8:$AF$154*'ANALYSE - ERP =&gt; SOUS-SEGMENT'!$BC$8:$BC$154)/SUMPRODUCT(('ANALYSE - ERP =&gt; SOUS-SEGMENT'!$C$8:$C$154=$C17)*'ANALYSE - ERP =&gt; SOUS-SEGMENT'!$Q$8:$Q$154*'ANALYSE - ERP =&gt; SOUS-SEGMENT'!$AF$8:$AF$154),"")</f>
        <v>50.239726027397261</v>
      </c>
      <c r="BC17" s="304">
        <f>SUMPRODUCT(('ANALYSE - ERP =&gt; SOUS-SEGMENT'!$C$8:$C$154=$C17)*'ANALYSE - ERP =&gt; SOUS-SEGMENT'!$Q$8:$Q$154*'ANALYSE - ERP =&gt; SOUS-SEGMENT'!$BE$8:$BE$154)</f>
        <v>15484</v>
      </c>
      <c r="BD17" s="304">
        <f>SUMPRODUCT(('ANALYSE - ERP =&gt; SOUS-SEGMENT'!$C$8:$C$154=$C17)*'ANALYSE - ERP =&gt; SOUS-SEGMENT'!$Q$8:$Q$154*'ANALYSE - ERP =&gt; SOUS-SEGMENT'!$BF$8:$BF$154)</f>
        <v>1336</v>
      </c>
      <c r="BE17" s="304">
        <f>SUMPRODUCT(('ANALYSE - ERP =&gt; SOUS-SEGMENT'!$C$8:$C$154=$C17)*'ANALYSE - ERP =&gt; SOUS-SEGMENT'!$Q$8:$Q$154*'ANALYSE - ERP =&gt; SOUS-SEGMENT'!$BG$8:$BG$154)</f>
        <v>3318</v>
      </c>
      <c r="BF17" s="304">
        <f>SUMPRODUCT(('ANALYSE - ERP =&gt; SOUS-SEGMENT'!$C$8:$C$154=$C17)*'ANALYSE - ERP =&gt; SOUS-SEGMENT'!$Q$8:$Q$154*'ANALYSE - ERP =&gt; SOUS-SEGMENT'!$BH$8:$BH$154)</f>
        <v>14670</v>
      </c>
      <c r="BG17" s="304">
        <f>SUMPRODUCT(('ANALYSE - ERP =&gt; SOUS-SEGMENT'!$C$8:$C$154=$C17)*'ANALYSE - ERP =&gt; SOUS-SEGMENT'!$Q$8:$Q$154*'ANALYSE - ERP =&gt; SOUS-SEGMENT'!$BJ$8:$BJ$154)</f>
        <v>15806</v>
      </c>
      <c r="BH17" s="304">
        <f>SUMPRODUCT(('ANALYSE - ERP =&gt; SOUS-SEGMENT'!$C$8:$C$154=$C17)*'ANALYSE - ERP =&gt; SOUS-SEGMENT'!$Q$8:$Q$154*'ANALYSE - ERP =&gt; SOUS-SEGMENT'!$BK$8:$BK$154)</f>
        <v>1364</v>
      </c>
      <c r="BI17" s="304">
        <f>SUMPRODUCT(('ANALYSE - ERP =&gt; SOUS-SEGMENT'!$C$8:$C$154=$C17)*'ANALYSE - ERP =&gt; SOUS-SEGMENT'!$Q$8:$Q$154*'ANALYSE - ERP =&gt; SOUS-SEGMENT'!$BL$8:$BL$154)</f>
        <v>3387</v>
      </c>
      <c r="BJ17" s="304">
        <f>SUMPRODUCT(('ANALYSE - ERP =&gt; SOUS-SEGMENT'!$C$8:$C$154=$C17)*'ANALYSE - ERP =&gt; SOUS-SEGMENT'!$Q$8:$Q$154*'ANALYSE - ERP =&gt; SOUS-SEGMENT'!$BM$8:$BM$154)</f>
        <v>14975</v>
      </c>
      <c r="BK17" s="657"/>
      <c r="BL17" s="580">
        <f>IFERROR(SUMPRODUCT(('ANALYSE - ERP =&gt; SOUS-SEGMENT'!$C$8:$C$154=$C17)*'ANALYSE - ERP =&gt; SOUS-SEGMENT'!$Q$8:$Q$154*'ANALYSE - ERP =&gt; SOUS-SEGMENT'!$BE$8:$BE$154*'ANALYSE - ERP =&gt; SOUS-SEGMENT'!$BO$8:$BO$154)/SUMPRODUCT(('ANALYSE - ERP =&gt; SOUS-SEGMENT'!$C$8:$C$154=$C17)*'ANALYSE - ERP =&gt; SOUS-SEGMENT'!$Q$8:$Q$154*'ANALYSE - ERP =&gt; SOUS-SEGMENT'!$BE$8:$BE$154),"")</f>
        <v>0.16</v>
      </c>
      <c r="BM17" s="305">
        <f>IFERROR(SUMPRODUCT(('ANALYSE - ERP =&gt; SOUS-SEGMENT'!$C$8:$C$154=$C17)*'ANALYSE - ERP =&gt; SOUS-SEGMENT'!$Q$8:$Q$154*'ANALYSE - ERP =&gt; SOUS-SEGMENT'!$BE$8:$BE$154*'ANALYSE - ERP =&gt; SOUS-SEGMENT'!$BP$8:$BP$154)/SUMPRODUCT(('ANALYSE - ERP =&gt; SOUS-SEGMENT'!$C$8:$C$154=$C17)*'ANALYSE - ERP =&gt; SOUS-SEGMENT'!$Q$8:$Q$154*'ANALYSE - ERP =&gt; SOUS-SEGMENT'!$BE$8:$BE$154),"")</f>
        <v>0.56000000000000005</v>
      </c>
      <c r="BN17" s="305">
        <f>IFERROR(SUMPRODUCT(('ANALYSE - ERP =&gt; SOUS-SEGMENT'!$C$8:$C$154=$C17)*'ANALYSE - ERP =&gt; SOUS-SEGMENT'!$Q$8:$Q$154*'ANALYSE - ERP =&gt; SOUS-SEGMENT'!$BE$8:$BE$154*'ANALYSE - ERP =&gt; SOUS-SEGMENT'!$BQ$8:$BQ$154)/SUMPRODUCT(('ANALYSE - ERP =&gt; SOUS-SEGMENT'!$C$8:$C$154=$C17)*'ANALYSE - ERP =&gt; SOUS-SEGMENT'!$Q$8:$Q$154*'ANALYSE - ERP =&gt; SOUS-SEGMENT'!$BE$8:$BE$154),"")</f>
        <v>0.23</v>
      </c>
      <c r="BO17" s="581">
        <f>IFERROR(SUMPRODUCT(('ANALYSE - ERP =&gt; SOUS-SEGMENT'!$C$8:$C$154=$C17)*'ANALYSE - ERP =&gt; SOUS-SEGMENT'!$Q$8:$Q$154*'ANALYSE - ERP =&gt; SOUS-SEGMENT'!$BE$8:$BE$154*'ANALYSE - ERP =&gt; SOUS-SEGMENT'!$BR$8:$BR$154)/SUMPRODUCT(('ANALYSE - ERP =&gt; SOUS-SEGMENT'!$C$8:$C$154=$C17)*'ANALYSE - ERP =&gt; SOUS-SEGMENT'!$Q$8:$Q$154*'ANALYSE - ERP =&gt; SOUS-SEGMENT'!$BE$8:$BE$154),"")</f>
        <v>0.05</v>
      </c>
      <c r="BP17" s="580">
        <f>IFERROR(SUMPRODUCT(('ANALYSE - ERP =&gt; SOUS-SEGMENT'!$C$8:$C$154=$C17)*'ANALYSE - ERP =&gt; SOUS-SEGMENT'!$Q$8:$Q$154*'ANALYSE - ERP =&gt; SOUS-SEGMENT'!$BJ$8:$BJ$154*'ANALYSE - ERP =&gt; SOUS-SEGMENT'!$BS$8:$BS$154)/SUMPRODUCT(('ANALYSE - ERP =&gt; SOUS-SEGMENT'!$C$8:$C$154=$C17)*'ANALYSE - ERP =&gt; SOUS-SEGMENT'!$Q$8:$Q$154*'ANALYSE - ERP =&gt; SOUS-SEGMENT'!$BJ$8:$BJ$154),"")</f>
        <v>0.14000000000000001</v>
      </c>
      <c r="BQ17" s="305">
        <f>IFERROR(SUMPRODUCT(('ANALYSE - ERP =&gt; SOUS-SEGMENT'!$C$8:$C$154=$C17)*'ANALYSE - ERP =&gt; SOUS-SEGMENT'!$Q$8:$Q$154*'ANALYSE - ERP =&gt; SOUS-SEGMENT'!$BJ$8:$BJ$154*'ANALYSE - ERP =&gt; SOUS-SEGMENT'!$BT$8:$BT$154)/SUMPRODUCT(('ANALYSE - ERP =&gt; SOUS-SEGMENT'!$C$8:$C$154=$C17)*'ANALYSE - ERP =&gt; SOUS-SEGMENT'!$Q$8:$Q$154*'ANALYSE - ERP =&gt; SOUS-SEGMENT'!$BJ$8:$BJ$154),"")</f>
        <v>0.56000000000000005</v>
      </c>
      <c r="BR17" s="305">
        <f>IFERROR(SUMPRODUCT(('ANALYSE - ERP =&gt; SOUS-SEGMENT'!$C$8:$C$154=$C17)*'ANALYSE - ERP =&gt; SOUS-SEGMENT'!$Q$8:$Q$154*'ANALYSE - ERP =&gt; SOUS-SEGMENT'!$BJ$8:$BJ$154*'ANALYSE - ERP =&gt; SOUS-SEGMENT'!$BU$8:$BU$154)/SUMPRODUCT(('ANALYSE - ERP =&gt; SOUS-SEGMENT'!$C$8:$C$154=$C17)*'ANALYSE - ERP =&gt; SOUS-SEGMENT'!$Q$8:$Q$154*'ANALYSE - ERP =&gt; SOUS-SEGMENT'!$BJ$8:$BJ$154),"")</f>
        <v>0.27000000000000007</v>
      </c>
      <c r="BS17" s="581">
        <f>IFERROR(SUMPRODUCT(('ANALYSE - ERP =&gt; SOUS-SEGMENT'!$C$8:$C$154=$C17)*'ANALYSE - ERP =&gt; SOUS-SEGMENT'!$Q$8:$Q$154*'ANALYSE - ERP =&gt; SOUS-SEGMENT'!$BJ$8:$BJ$154*'ANALYSE - ERP =&gt; SOUS-SEGMENT'!$BV$8:$BV$154)/SUMPRODUCT(('ANALYSE - ERP =&gt; SOUS-SEGMENT'!$C$8:$C$154=$C17)*'ANALYSE - ERP =&gt; SOUS-SEGMENT'!$Q$8:$Q$154*'ANALYSE - ERP =&gt; SOUS-SEGMENT'!$BJ$8:$BJ$154),"")</f>
        <v>0.03</v>
      </c>
      <c r="BT17" s="589">
        <f>IFERROR(SUMPRODUCT(('ANALYSE - ERP =&gt; SOUS-SEGMENT'!$C$8:$C$154=$C17)*'ANALYSE - ERP =&gt; SOUS-SEGMENT'!$Q$8:$Q$154*'ANALYSE - ERP =&gt; SOUS-SEGMENT'!$BF$8:$BF$154*'ANALYSE - ERP =&gt; SOUS-SEGMENT'!$BW$8:$BW$154)/SUMPRODUCT(('ANALYSE - ERP =&gt; SOUS-SEGMENT'!$C$8:$C$154=$C17)*'ANALYSE - ERP =&gt; SOUS-SEGMENT'!$Q$8:$Q$154*'ANALYSE - ERP =&gt; SOUS-SEGMENT'!$BF$8:$BF$154),"")</f>
        <v>0.25</v>
      </c>
      <c r="BU17" s="306">
        <f>IFERROR(SUMPRODUCT(('ANALYSE - ERP =&gt; SOUS-SEGMENT'!$C$8:$C$154=$C17)*'ANALYSE - ERP =&gt; SOUS-SEGMENT'!$Q$8:$Q$154*'ANALYSE - ERP =&gt; SOUS-SEGMENT'!$BF$8:$BF$154*'ANALYSE - ERP =&gt; SOUS-SEGMENT'!$BX$8:$BX$154)/SUMPRODUCT(('ANALYSE - ERP =&gt; SOUS-SEGMENT'!$C$8:$C$154=$C17)*'ANALYSE - ERP =&gt; SOUS-SEGMENT'!$Q$8:$Q$154*'ANALYSE - ERP =&gt; SOUS-SEGMENT'!$BF$8:$BF$154),"")</f>
        <v>0.65</v>
      </c>
      <c r="BV17" s="590">
        <f>IFERROR(SUMPRODUCT(('ANALYSE - ERP =&gt; SOUS-SEGMENT'!$C$8:$C$154=$C17)*'ANALYSE - ERP =&gt; SOUS-SEGMENT'!$Q$8:$Q$154*'ANALYSE - ERP =&gt; SOUS-SEGMENT'!$BF$8:$BF$154*'ANALYSE - ERP =&gt; SOUS-SEGMENT'!$BY$8:$BY$154)/SUMPRODUCT(('ANALYSE - ERP =&gt; SOUS-SEGMENT'!$C$8:$C$154=$C17)*'ANALYSE - ERP =&gt; SOUS-SEGMENT'!$Q$8:$Q$154*'ANALYSE - ERP =&gt; SOUS-SEGMENT'!$BF$8:$BF$154),"")</f>
        <v>9.9999999999999992E-2</v>
      </c>
      <c r="BW17" s="589">
        <f>IFERROR(SUMPRODUCT(('ANALYSE - ERP =&gt; SOUS-SEGMENT'!$C$8:$C$154=$C17)*'ANALYSE - ERP =&gt; SOUS-SEGMENT'!$Q$8:$Q$154*'ANALYSE - ERP =&gt; SOUS-SEGMENT'!$BK$8:$BK$154*'ANALYSE - ERP =&gt; SOUS-SEGMENT'!$BZ$8:$BZ$154)/SUMPRODUCT(('ANALYSE - ERP =&gt; SOUS-SEGMENT'!$C$8:$C$154=$C17)*'ANALYSE - ERP =&gt; SOUS-SEGMENT'!$Q$8:$Q$154*'ANALYSE - ERP =&gt; SOUS-SEGMENT'!$BK$8:$BK$154),"")</f>
        <v>0.2</v>
      </c>
      <c r="BX17" s="306">
        <f>IFERROR(SUMPRODUCT(('ANALYSE - ERP =&gt; SOUS-SEGMENT'!$C$8:$C$154=$C17)*'ANALYSE - ERP =&gt; SOUS-SEGMENT'!$Q$8:$Q$154*'ANALYSE - ERP =&gt; SOUS-SEGMENT'!$BK$8:$BK$154*'ANALYSE - ERP =&gt; SOUS-SEGMENT'!$CA$8:$CA$154)/SUMPRODUCT(('ANALYSE - ERP =&gt; SOUS-SEGMENT'!$C$8:$C$154=$C17)*'ANALYSE - ERP =&gt; SOUS-SEGMENT'!$Q$8:$Q$154*'ANALYSE - ERP =&gt; SOUS-SEGMENT'!$BK$8:$BK$154),"")</f>
        <v>0.68</v>
      </c>
      <c r="BY17" s="590">
        <f>IFERROR(SUMPRODUCT(('ANALYSE - ERP =&gt; SOUS-SEGMENT'!$C$8:$C$154=$C17)*'ANALYSE - ERP =&gt; SOUS-SEGMENT'!$Q$8:$Q$154*'ANALYSE - ERP =&gt; SOUS-SEGMENT'!$BK$8:$BK$154*'ANALYSE - ERP =&gt; SOUS-SEGMENT'!$CB$8:$CB$154)/SUMPRODUCT(('ANALYSE - ERP =&gt; SOUS-SEGMENT'!$C$8:$C$154=$C17)*'ANALYSE - ERP =&gt; SOUS-SEGMENT'!$Q$8:$Q$154*'ANALYSE - ERP =&gt; SOUS-SEGMENT'!$BK$8:$BK$154),"")</f>
        <v>0.12000000000000001</v>
      </c>
      <c r="BZ17" s="580">
        <f>IFERROR(SUMPRODUCT(('ANALYSE - ERP =&gt; SOUS-SEGMENT'!$C$8:$C$154=$C17)*'ANALYSE - ERP =&gt; SOUS-SEGMENT'!$Q$8:$Q$154*'ANALYSE - ERP =&gt; SOUS-SEGMENT'!$BG$8:$BG$154*'ANALYSE - ERP =&gt; SOUS-SEGMENT'!$CC$8:$CC$154)/SUMPRODUCT(('ANALYSE - ERP =&gt; SOUS-SEGMENT'!$C$8:$C$154=$C17)*'ANALYSE - ERP =&gt; SOUS-SEGMENT'!$Q$8:$Q$154*'ANALYSE - ERP =&gt; SOUS-SEGMENT'!$BG$8:$BG$154),"")</f>
        <v>0.08</v>
      </c>
      <c r="CA17" s="305">
        <f>IFERROR(SUMPRODUCT(('ANALYSE - ERP =&gt; SOUS-SEGMENT'!$C$8:$C$154=$C17)*'ANALYSE - ERP =&gt; SOUS-SEGMENT'!$Q$8:$Q$154*'ANALYSE - ERP =&gt; SOUS-SEGMENT'!$BG$8:$BG$154*'ANALYSE - ERP =&gt; SOUS-SEGMENT'!$CD$8:$CD$154)/SUMPRODUCT(('ANALYSE - ERP =&gt; SOUS-SEGMENT'!$C$8:$C$154=$C17)*'ANALYSE - ERP =&gt; SOUS-SEGMENT'!$Q$8:$Q$154*'ANALYSE - ERP =&gt; SOUS-SEGMENT'!$BG$8:$BG$154),"")</f>
        <v>0.5</v>
      </c>
      <c r="CB17" s="305">
        <f>IFERROR(SUMPRODUCT(('ANALYSE - ERP =&gt; SOUS-SEGMENT'!$C$8:$C$154=$C17)*'ANALYSE - ERP =&gt; SOUS-SEGMENT'!$Q$8:$Q$154*'ANALYSE - ERP =&gt; SOUS-SEGMENT'!$BG$8:$BG$154*'ANALYSE - ERP =&gt; SOUS-SEGMENT'!$CE$8:$CE$154)/SUMPRODUCT(('ANALYSE - ERP =&gt; SOUS-SEGMENT'!$C$8:$C$154=$C17)*'ANALYSE - ERP =&gt; SOUS-SEGMENT'!$Q$8:$Q$154*'ANALYSE - ERP =&gt; SOUS-SEGMENT'!$BG$8:$BG$154),"")</f>
        <v>0.25</v>
      </c>
      <c r="CC17" s="581">
        <f>IFERROR(SUMPRODUCT(('ANALYSE - ERP =&gt; SOUS-SEGMENT'!$C$8:$C$154=$C17)*'ANALYSE - ERP =&gt; SOUS-SEGMENT'!$Q$8:$Q$154*'ANALYSE - ERP =&gt; SOUS-SEGMENT'!$BG$8:$BG$154*'ANALYSE - ERP =&gt; SOUS-SEGMENT'!$CF$8:$CF$154)/SUMPRODUCT(('ANALYSE - ERP =&gt; SOUS-SEGMENT'!$C$8:$C$154=$C17)*'ANALYSE - ERP =&gt; SOUS-SEGMENT'!$Q$8:$Q$154*'ANALYSE - ERP =&gt; SOUS-SEGMENT'!$BG$8:$BG$154),"")</f>
        <v>0.17</v>
      </c>
      <c r="CD17" s="580">
        <f>IFERROR(SUMPRODUCT(('ANALYSE - ERP =&gt; SOUS-SEGMENT'!$C$8:$C$154=$C17)*'ANALYSE - ERP =&gt; SOUS-SEGMENT'!$Q$8:$Q$154*'ANALYSE - ERP =&gt; SOUS-SEGMENT'!$BL$8:$BL$154*'ANALYSE - ERP =&gt; SOUS-SEGMENT'!$CG$8:$CG$154)/SUMPRODUCT(('ANALYSE - ERP =&gt; SOUS-SEGMENT'!$C$8:$C$154=$C17)*'ANALYSE - ERP =&gt; SOUS-SEGMENT'!$Q$8:$Q$154*'ANALYSE - ERP =&gt; SOUS-SEGMENT'!$BL$8:$BL$154),"")</f>
        <v>5.9999999999999991E-2</v>
      </c>
      <c r="CE17" s="305">
        <f>IFERROR(SUMPRODUCT(('ANALYSE - ERP =&gt; SOUS-SEGMENT'!$C$8:$C$154=$C17)*'ANALYSE - ERP =&gt; SOUS-SEGMENT'!$Q$8:$Q$154*'ANALYSE - ERP =&gt; SOUS-SEGMENT'!$BL$8:$BL$154*'ANALYSE - ERP =&gt; SOUS-SEGMENT'!$CH$8:$CH$154)/SUMPRODUCT(('ANALYSE - ERP =&gt; SOUS-SEGMENT'!$C$8:$C$154=$C17)*'ANALYSE - ERP =&gt; SOUS-SEGMENT'!$Q$8:$Q$154*'ANALYSE - ERP =&gt; SOUS-SEGMENT'!$BL$8:$BL$154),"")</f>
        <v>0.5</v>
      </c>
      <c r="CF17" s="305">
        <f>IFERROR(SUMPRODUCT(('ANALYSE - ERP =&gt; SOUS-SEGMENT'!$C$8:$C$154=$C17)*'ANALYSE - ERP =&gt; SOUS-SEGMENT'!$Q$8:$Q$154*'ANALYSE - ERP =&gt; SOUS-SEGMENT'!$BL$8:$BL$154*'ANALYSE - ERP =&gt; SOUS-SEGMENT'!$CI$8:$CI$154)/SUMPRODUCT(('ANALYSE - ERP =&gt; SOUS-SEGMENT'!$C$8:$C$154=$C17)*'ANALYSE - ERP =&gt; SOUS-SEGMENT'!$Q$8:$Q$154*'ANALYSE - ERP =&gt; SOUS-SEGMENT'!$BL$8:$BL$154),"")</f>
        <v>0.28000000000000003</v>
      </c>
      <c r="CG17" s="581">
        <f>IFERROR(SUMPRODUCT(('ANALYSE - ERP =&gt; SOUS-SEGMENT'!$C$8:$C$154=$C17)*'ANALYSE - ERP =&gt; SOUS-SEGMENT'!$Q$8:$Q$154*'ANALYSE - ERP =&gt; SOUS-SEGMENT'!$BL$8:$BL$154*'ANALYSE - ERP =&gt; SOUS-SEGMENT'!$CJ$8:$CJ$154)/SUMPRODUCT(('ANALYSE - ERP =&gt; SOUS-SEGMENT'!$C$8:$C$154=$C17)*'ANALYSE - ERP =&gt; SOUS-SEGMENT'!$Q$8:$Q$154*'ANALYSE - ERP =&gt; SOUS-SEGMENT'!$BL$8:$BL$154),"")</f>
        <v>0.15999999999999998</v>
      </c>
      <c r="CH17" s="589">
        <f>IFERROR(SUMPRODUCT(('ANALYSE - ERP =&gt; SOUS-SEGMENT'!$C$8:$C$154=$C17)*'ANALYSE - ERP =&gt; SOUS-SEGMENT'!$Q$8:$Q$154*'ANALYSE - ERP =&gt; SOUS-SEGMENT'!$BH$8:$BH$154*'ANALYSE - ERP =&gt; SOUS-SEGMENT'!$CK$8:$CK$154)/SUMPRODUCT(('ANALYSE - ERP =&gt; SOUS-SEGMENT'!$C$8:$C$154=$C17)*'ANALYSE - ERP =&gt; SOUS-SEGMENT'!$Q$8:$Q$154*'ANALYSE - ERP =&gt; SOUS-SEGMENT'!$BH$8:$BH$154),"")</f>
        <v>0.25</v>
      </c>
      <c r="CI17" s="306">
        <f>IFERROR(SUMPRODUCT(('ANALYSE - ERP =&gt; SOUS-SEGMENT'!$C$8:$C$154=$C17)*'ANALYSE - ERP =&gt; SOUS-SEGMENT'!$Q$8:$Q$154*'ANALYSE - ERP =&gt; SOUS-SEGMENT'!$BH$8:$BH$154*'ANALYSE - ERP =&gt; SOUS-SEGMENT'!$CL$8:$CL$154)/SUMPRODUCT(('ANALYSE - ERP =&gt; SOUS-SEGMENT'!$C$8:$C$154=$C17)*'ANALYSE - ERP =&gt; SOUS-SEGMENT'!$Q$8:$Q$154*'ANALYSE - ERP =&gt; SOUS-SEGMENT'!$BH$8:$BH$154),"")</f>
        <v>0.55000000000000004</v>
      </c>
      <c r="CJ17" s="590">
        <f>IFERROR(SUMPRODUCT(('ANALYSE - ERP =&gt; SOUS-SEGMENT'!$C$8:$C$154=$C17)*'ANALYSE - ERP =&gt; SOUS-SEGMENT'!$Q$8:$Q$154*'ANALYSE - ERP =&gt; SOUS-SEGMENT'!$BH$8:$BH$154*'ANALYSE - ERP =&gt; SOUS-SEGMENT'!$CM$8:$CM$154)/SUMPRODUCT(('ANALYSE - ERP =&gt; SOUS-SEGMENT'!$C$8:$C$154=$C17)*'ANALYSE - ERP =&gt; SOUS-SEGMENT'!$Q$8:$Q$154*'ANALYSE - ERP =&gt; SOUS-SEGMENT'!$BH$8:$BH$154),"")</f>
        <v>0.2</v>
      </c>
      <c r="CK17" s="589">
        <f>IFERROR(SUMPRODUCT(('ANALYSE - ERP =&gt; SOUS-SEGMENT'!$C$8:$C$154=$C17)*'ANALYSE - ERP =&gt; SOUS-SEGMENT'!$Q$8:$Q$154*'ANALYSE - ERP =&gt; SOUS-SEGMENT'!$BM$8:$BM$154*'ANALYSE - ERP =&gt; SOUS-SEGMENT'!$CN$8:$CN$154)/SUMPRODUCT(('ANALYSE - ERP =&gt; SOUS-SEGMENT'!$C$8:$C$154=$C17)*'ANALYSE - ERP =&gt; SOUS-SEGMENT'!$Q$8:$Q$154*'ANALYSE - ERP =&gt; SOUS-SEGMENT'!$BM$8:$BM$154),"")</f>
        <v>0.17000000000000004</v>
      </c>
      <c r="CL17" s="306">
        <f>IFERROR(SUMPRODUCT(('ANALYSE - ERP =&gt; SOUS-SEGMENT'!$C$8:$C$154=$C17)*'ANALYSE - ERP =&gt; SOUS-SEGMENT'!$Q$8:$Q$154*'ANALYSE - ERP =&gt; SOUS-SEGMENT'!$BM$8:$BM$154*'ANALYSE - ERP =&gt; SOUS-SEGMENT'!$CO$8:$CO$154)/SUMPRODUCT(('ANALYSE - ERP =&gt; SOUS-SEGMENT'!$C$8:$C$154=$C17)*'ANALYSE - ERP =&gt; SOUS-SEGMENT'!$Q$8:$Q$154*'ANALYSE - ERP =&gt; SOUS-SEGMENT'!$BM$8:$BM$154),"")</f>
        <v>0.57999999999999996</v>
      </c>
      <c r="CM17" s="590">
        <f>IFERROR(SUMPRODUCT(('ANALYSE - ERP =&gt; SOUS-SEGMENT'!$C$8:$C$154=$C17)*'ANALYSE - ERP =&gt; SOUS-SEGMENT'!$Q$8:$Q$154*'ANALYSE - ERP =&gt; SOUS-SEGMENT'!$BM$8:$BM$154*'ANALYSE - ERP =&gt; SOUS-SEGMENT'!$CP$8:$CP$154)/SUMPRODUCT(('ANALYSE - ERP =&gt; SOUS-SEGMENT'!$C$8:$C$154=$C17)*'ANALYSE - ERP =&gt; SOUS-SEGMENT'!$Q$8:$Q$154*'ANALYSE - ERP =&gt; SOUS-SEGMENT'!$BM$8:$BM$154),"")</f>
        <v>0.25</v>
      </c>
      <c r="CN17" s="657"/>
      <c r="CO17" s="882">
        <f>IFERROR(SUMPRODUCT(('ANALYSE - ERP =&gt; SOUS-SEGMENT'!$C$8:$C$154=$C17)*'ANALYSE - ERP =&gt; SOUS-SEGMENT'!$DH$8:$DH$154*('ANALYSE - ERP =&gt; SOUS-SEGMENT'!$CR$8:$CR$154&gt;0)*'ANALYSE - ERP =&gt; SOUS-SEGMENT'!$CR$8:$CR$154)/SUMPRODUCT(('ANALYSE - ERP =&gt; SOUS-SEGMENT'!$C$8:$C$154=$C17)*'ANALYSE - ERP =&gt; SOUS-SEGMENT'!$DH$8:$DH$154*('ANALYSE - ERP =&gt; SOUS-SEGMENT'!$CR$8:$CR$154&gt;0)),"")</f>
        <v>13</v>
      </c>
      <c r="CP17" s="883">
        <f>IFERROR(SUMPRODUCT(('ANALYSE - ERP =&gt; SOUS-SEGMENT'!$C$8:$C$154=$C17)*'ANALYSE - ERP =&gt; SOUS-SEGMENT'!$DI$8:$DI$154*('ANALYSE - ERP =&gt; SOUS-SEGMENT'!$CS$8:$CS$154&gt;0)*'ANALYSE - ERP =&gt; SOUS-SEGMENT'!$CS$8:$CS$154)/SUMPRODUCT(('ANALYSE - ERP =&gt; SOUS-SEGMENT'!$C$8:$C$154=$C17)*'ANALYSE - ERP =&gt; SOUS-SEGMENT'!$DI$8:$DI$154*('ANALYSE - ERP =&gt; SOUS-SEGMENT'!$CS$8:$CS$154&gt;0)),"")</f>
        <v>13</v>
      </c>
      <c r="CQ17" s="883">
        <f>IFERROR(SUMPRODUCT(('ANALYSE - ERP =&gt; SOUS-SEGMENT'!$C$8:$C$154=$C17)*'ANALYSE - ERP =&gt; SOUS-SEGMENT'!$DJ$8:$DJ$154*('ANALYSE - ERP =&gt; SOUS-SEGMENT'!$CT$8:$CT$154&gt;0)*'ANALYSE - ERP =&gt; SOUS-SEGMENT'!$CT$8:$CT$154)/SUMPRODUCT(('ANALYSE - ERP =&gt; SOUS-SEGMENT'!$C$8:$C$154=$C17)*'ANALYSE - ERP =&gt; SOUS-SEGMENT'!$DJ$8:$DJ$154*('ANALYSE - ERP =&gt; SOUS-SEGMENT'!$CT$8:$CT$154&gt;0)),"")</f>
        <v>9.9999999999999982</v>
      </c>
      <c r="CR17" s="884">
        <f>IFERROR(SUMPRODUCT(('ANALYSE - ERP =&gt; SOUS-SEGMENT'!$C$8:$C$154=$C17)*'ANALYSE - ERP =&gt; SOUS-SEGMENT'!$DK$8:$DK$154*('ANALYSE - ERP =&gt; SOUS-SEGMENT'!$CU$8:$CU$154&gt;0)*'ANALYSE - ERP =&gt; SOUS-SEGMENT'!$CU$8:$CU$154)/SUMPRODUCT(('ANALYSE - ERP =&gt; SOUS-SEGMENT'!$C$8:$C$154=$C17)*'ANALYSE - ERP =&gt; SOUS-SEGMENT'!$DK$8:$DK$154*('ANALYSE - ERP =&gt; SOUS-SEGMENT'!$CU$8:$CU$154&gt;0)),"")</f>
        <v>11.999999999999998</v>
      </c>
      <c r="CS17" s="882">
        <f>IFERROR(SUMPRODUCT(('ANALYSE - ERP =&gt; SOUS-SEGMENT'!$C$8:$C$154=$C17)*'ANALYSE - ERP =&gt; SOUS-SEGMENT'!$DS$8:$DS$154*('ANALYSE - ERP =&gt; SOUS-SEGMENT'!$CV$8:$CV$154&gt;0)*'ANALYSE - ERP =&gt; SOUS-SEGMENT'!$CV$8:$CV$154)/SUMPRODUCT(('ANALYSE - ERP =&gt; SOUS-SEGMENT'!$C$8:$C$154=$C17)*'ANALYSE - ERP =&gt; SOUS-SEGMENT'!$DS$8:$DS$154*('ANALYSE - ERP =&gt; SOUS-SEGMENT'!$CV$8:$CV$154&gt;0)),"")</f>
        <v>13</v>
      </c>
      <c r="CT17" s="883">
        <f>IFERROR(SUMPRODUCT(('ANALYSE - ERP =&gt; SOUS-SEGMENT'!$C$8:$C$154=$C17)*'ANALYSE - ERP =&gt; SOUS-SEGMENT'!$DT$8:$DT$154*('ANALYSE - ERP =&gt; SOUS-SEGMENT'!$CW$8:$CW$154&gt;0)*'ANALYSE - ERP =&gt; SOUS-SEGMENT'!$CW$8:$CW$154)/SUMPRODUCT(('ANALYSE - ERP =&gt; SOUS-SEGMENT'!$C$8:$C$154=$C17)*'ANALYSE - ERP =&gt; SOUS-SEGMENT'!$DT$8:$DT$154*('ANALYSE - ERP =&gt; SOUS-SEGMENT'!$CW$8:$CW$154&gt;0)),"")</f>
        <v>12</v>
      </c>
      <c r="CU17" s="884">
        <f>IFERROR(SUMPRODUCT(('ANALYSE - ERP =&gt; SOUS-SEGMENT'!$C$8:$C$154=$C17)*'ANALYSE - ERP =&gt; SOUS-SEGMENT'!$DU$8:$DU$154*('ANALYSE - ERP =&gt; SOUS-SEGMENT'!$CX$8:$CX$154&gt;0)*'ANALYSE - ERP =&gt; SOUS-SEGMENT'!$CX$8:$CX$154)/SUMPRODUCT(('ANALYSE - ERP =&gt; SOUS-SEGMENT'!$C$8:$C$154=$C17)*'ANALYSE - ERP =&gt; SOUS-SEGMENT'!$DU$8:$DU$154*('ANALYSE - ERP =&gt; SOUS-SEGMENT'!$CX$8:$CX$154&gt;0)),"")</f>
        <v>9.0000000000000018</v>
      </c>
      <c r="CV17" s="882">
        <f>IFERROR(SUMPRODUCT(('ANALYSE - ERP =&gt; SOUS-SEGMENT'!$C$8:$C$154=$C17)*'ANALYSE - ERP =&gt; SOUS-SEGMENT'!$EB$8:$EB$154*('ANALYSE - ERP =&gt; SOUS-SEGMENT'!$CY$8:$CY$154&gt;0)*'ANALYSE - ERP =&gt; SOUS-SEGMENT'!$CY$8:$CY$154)/SUMPRODUCT(('ANALYSE - ERP =&gt; SOUS-SEGMENT'!$C$8:$C$154=$C17)*'ANALYSE - ERP =&gt; SOUS-SEGMENT'!$EB$8:$EB$154*('ANALYSE - ERP =&gt; SOUS-SEGMENT'!$CY$8:$CY$154&gt;0)),"")</f>
        <v>11</v>
      </c>
      <c r="CW17" s="883">
        <f>IFERROR(SUMPRODUCT(('ANALYSE - ERP =&gt; SOUS-SEGMENT'!$C$8:$C$154=$C17)*'ANALYSE - ERP =&gt; SOUS-SEGMENT'!$EC$8:$EC$154*('ANALYSE - ERP =&gt; SOUS-SEGMENT'!$CZ$8:$CZ$154&gt;0)*'ANALYSE - ERP =&gt; SOUS-SEGMENT'!$CZ$8:$CZ$154)/SUMPRODUCT(('ANALYSE - ERP =&gt; SOUS-SEGMENT'!$C$8:$C$154=$C17)*'ANALYSE - ERP =&gt; SOUS-SEGMENT'!$EC$8:$EC$154*('ANALYSE - ERP =&gt; SOUS-SEGMENT'!$CZ$8:$CZ$154&gt;0)),"")</f>
        <v>13</v>
      </c>
      <c r="CX17" s="883">
        <f>IFERROR(SUMPRODUCT(('ANALYSE - ERP =&gt; SOUS-SEGMENT'!$C$8:$C$154=$C17)*'ANALYSE - ERP =&gt; SOUS-SEGMENT'!$ED$8:$ED$154*('ANALYSE - ERP =&gt; SOUS-SEGMENT'!$DA$8:$DA$154&gt;0)*'ANALYSE - ERP =&gt; SOUS-SEGMENT'!$DA$8:$DA$154)/SUMPRODUCT(('ANALYSE - ERP =&gt; SOUS-SEGMENT'!$C$8:$C$154=$C17)*'ANALYSE - ERP =&gt; SOUS-SEGMENT'!$ED$8:$ED$154*('ANALYSE - ERP =&gt; SOUS-SEGMENT'!$DA$8:$DA$154&gt;0)),"")</f>
        <v>9</v>
      </c>
      <c r="CY17" s="885">
        <f>IFERROR(SUMPRODUCT(('ANALYSE - ERP =&gt; SOUS-SEGMENT'!$C$8:$C$154=$C17)*'ANALYSE - ERP =&gt; SOUS-SEGMENT'!$EE$8:$EE$154*('ANALYSE - ERP =&gt; SOUS-SEGMENT'!$DB$8:$DB$154&gt;0)*'ANALYSE - ERP =&gt; SOUS-SEGMENT'!$DB$8:$DB$154)/SUMPRODUCT(('ANALYSE - ERP =&gt; SOUS-SEGMENT'!$C$8:$C$154=$C17)*'ANALYSE - ERP =&gt; SOUS-SEGMENT'!$EE$8:$EE$154*('ANALYSE - ERP =&gt; SOUS-SEGMENT'!$DB$8:$DB$154&gt;0)),"")</f>
        <v>11</v>
      </c>
      <c r="CZ17" s="886">
        <f>IFERROR(SUMPRODUCT(('ANALYSE - ERP =&gt; SOUS-SEGMENT'!$C$8:$C$154=$C17)*'ANALYSE - ERP =&gt; SOUS-SEGMENT'!$EM$8:$EM$154*('ANALYSE - ERP =&gt; SOUS-SEGMENT'!$DC$8:$DC$154&gt;0)*'ANALYSE - ERP =&gt; SOUS-SEGMENT'!$DC$8:$DC$154)/SUMPRODUCT(('ANALYSE - ERP =&gt; SOUS-SEGMENT'!$C$8:$C$154=$C17)*'ANALYSE - ERP =&gt; SOUS-SEGMENT'!$EM$8:$EM$154*('ANALYSE - ERP =&gt; SOUS-SEGMENT'!$DC$8:$DC$154&gt;0)),"")</f>
        <v>12</v>
      </c>
      <c r="DA17" s="883">
        <f>IFERROR(SUMPRODUCT(('ANALYSE - ERP =&gt; SOUS-SEGMENT'!$C$8:$C$154=$C17)*'ANALYSE - ERP =&gt; SOUS-SEGMENT'!$EN$8:$EN$154*('ANALYSE - ERP =&gt; SOUS-SEGMENT'!$DD$8:$DD$154&gt;0)*'ANALYSE - ERP =&gt; SOUS-SEGMENT'!$DD$8:$DD$154)/SUMPRODUCT(('ANALYSE - ERP =&gt; SOUS-SEGMENT'!$C$8:$C$154=$C17)*'ANALYSE - ERP =&gt; SOUS-SEGMENT'!$EN$8:$EN$154*('ANALYSE - ERP =&gt; SOUS-SEGMENT'!$DD$8:$DD$154&gt;0)),"")</f>
        <v>13</v>
      </c>
      <c r="DB17" s="885">
        <f>IFERROR(SUMPRODUCT(('ANALYSE - ERP =&gt; SOUS-SEGMENT'!$C$8:$C$154=$C17)*'ANALYSE - ERP =&gt; SOUS-SEGMENT'!$EO$8:$EO$154*('ANALYSE - ERP =&gt; SOUS-SEGMENT'!$DE$8:$DE$154&gt;0)*'ANALYSE - ERP =&gt; SOUS-SEGMENT'!$DE$8:$DE$154)/SUMPRODUCT(('ANALYSE - ERP =&gt; SOUS-SEGMENT'!$C$8:$C$154=$C17)*'ANALYSE - ERP =&gt; SOUS-SEGMENT'!$EO$8:$EO$154*('ANALYSE - ERP =&gt; SOUS-SEGMENT'!$DE$8:$DE$154&gt;0)),"")</f>
        <v>10</v>
      </c>
      <c r="DC17" s="610" t="s">
        <v>6959</v>
      </c>
      <c r="DD17" s="657"/>
      <c r="DE17" s="288">
        <f t="shared" si="2"/>
        <v>2477.44</v>
      </c>
      <c r="DF17" s="288">
        <f t="shared" si="3"/>
        <v>8671.0400000000009</v>
      </c>
      <c r="DG17" s="288">
        <f t="shared" si="4"/>
        <v>3561.32</v>
      </c>
      <c r="DH17" s="288">
        <f t="shared" si="5"/>
        <v>774.2</v>
      </c>
      <c r="DI17" s="317" t="s">
        <v>6960</v>
      </c>
      <c r="DJ17" s="288">
        <f t="shared" si="6"/>
        <v>2212.84</v>
      </c>
      <c r="DK17" s="288">
        <f t="shared" si="7"/>
        <v>8851.36</v>
      </c>
      <c r="DL17" s="288">
        <f t="shared" si="8"/>
        <v>4267.6200000000008</v>
      </c>
      <c r="DM17" s="288">
        <f t="shared" si="9"/>
        <v>474.18</v>
      </c>
      <c r="DN17" s="317" t="s">
        <v>6961</v>
      </c>
      <c r="DO17" s="657"/>
      <c r="DP17" s="288">
        <f t="shared" si="10"/>
        <v>334</v>
      </c>
      <c r="DQ17" s="288">
        <f t="shared" si="11"/>
        <v>868.4</v>
      </c>
      <c r="DR17" s="288">
        <f t="shared" si="12"/>
        <v>133.6</v>
      </c>
      <c r="DS17" s="317" t="s">
        <v>6962</v>
      </c>
      <c r="DT17" s="288">
        <f t="shared" si="13"/>
        <v>272.8</v>
      </c>
      <c r="DU17" s="288">
        <f t="shared" si="14"/>
        <v>927.5200000000001</v>
      </c>
      <c r="DV17" s="288">
        <f t="shared" si="15"/>
        <v>163.68</v>
      </c>
      <c r="DW17" s="317" t="s">
        <v>6963</v>
      </c>
      <c r="DX17" s="657"/>
      <c r="DY17" s="288">
        <f t="shared" si="16"/>
        <v>265.44</v>
      </c>
      <c r="DZ17" s="288">
        <f t="shared" si="17"/>
        <v>1659</v>
      </c>
      <c r="EA17" s="288">
        <f t="shared" si="18"/>
        <v>829.5</v>
      </c>
      <c r="EB17" s="288">
        <f t="shared" si="19"/>
        <v>564.06000000000006</v>
      </c>
      <c r="EC17" s="317" t="s">
        <v>6964</v>
      </c>
      <c r="ED17" s="288">
        <f t="shared" si="20"/>
        <v>203.21999999999997</v>
      </c>
      <c r="EE17" s="288">
        <f t="shared" si="21"/>
        <v>1693.5</v>
      </c>
      <c r="EF17" s="288">
        <f t="shared" si="22"/>
        <v>948.36000000000013</v>
      </c>
      <c r="EG17" s="288">
        <f t="shared" si="23"/>
        <v>541.91999999999996</v>
      </c>
      <c r="EH17" s="317" t="s">
        <v>6965</v>
      </c>
      <c r="EI17" s="290"/>
      <c r="EJ17" s="288">
        <f t="shared" si="24"/>
        <v>3667.5</v>
      </c>
      <c r="EK17" s="291">
        <f t="shared" si="25"/>
        <v>8068.5000000000009</v>
      </c>
      <c r="EL17" s="291">
        <f t="shared" si="26"/>
        <v>2934</v>
      </c>
      <c r="EM17" s="317" t="s">
        <v>6966</v>
      </c>
      <c r="EN17" s="288">
        <f t="shared" si="27"/>
        <v>2545.7500000000005</v>
      </c>
      <c r="EO17" s="291">
        <f t="shared" si="28"/>
        <v>8685.5</v>
      </c>
      <c r="EP17" s="291">
        <f t="shared" si="29"/>
        <v>3743.75</v>
      </c>
      <c r="EQ17" s="318" t="s">
        <v>6967</v>
      </c>
      <c r="ER17" s="657"/>
      <c r="ES17" s="731">
        <f t="shared" si="30"/>
        <v>0.86409379934645769</v>
      </c>
      <c r="ET17" s="731">
        <f t="shared" si="31"/>
        <v>9.679681736979745E-2</v>
      </c>
      <c r="EU17" s="292">
        <f t="shared" si="32"/>
        <v>14336.549523675068</v>
      </c>
      <c r="EV17" s="292">
        <f t="shared" si="33"/>
        <v>11430.525363675068</v>
      </c>
      <c r="EW17" s="292">
        <f t="shared" si="34"/>
        <v>2906.0241599999999</v>
      </c>
      <c r="EX17" s="292">
        <f t="shared" si="35"/>
        <v>6316.6954338671794</v>
      </c>
      <c r="EY17" s="292">
        <f>SUMPRODUCT(('ANALYSE - ERP =&gt; SOUS-SEGMENT'!$C$8:$C$154=$C17)*'ANALYSE - ERP =&gt; SOUS-SEGMENT'!$Q$8:$Q$154*'ANALYSE - ERP =&gt; SOUS-SEGMENT'!$FB$8:$FB$154)</f>
        <v>5024.0317538671798</v>
      </c>
      <c r="EZ17" s="292">
        <f>SUMPRODUCT(('ANALYSE - ERP =&gt; SOUS-SEGMENT'!$C$8:$C$154=$C17)*'ANALYSE - ERP =&gt; SOUS-SEGMENT'!$Q$8:$Q$154*'ANALYSE - ERP =&gt; SOUS-SEGMENT'!$FC$8:$FC$154)</f>
        <v>1292.6636799999999</v>
      </c>
      <c r="FA17" s="292">
        <f t="shared" si="36"/>
        <v>556.47123699786323</v>
      </c>
      <c r="FB17" s="292">
        <f>SUMPRODUCT(('ANALYSE - ERP =&gt; SOUS-SEGMENT'!$C$8:$C$154=$C17)*'ANALYSE - ERP =&gt; SOUS-SEGMENT'!$Q$8:$Q$154*'ANALYSE - ERP =&gt; SOUS-SEGMENT'!$FE$8:$FE$154)</f>
        <v>444.75851699786324</v>
      </c>
      <c r="FC17" s="292">
        <f>SUMPRODUCT(('ANALYSE - ERP =&gt; SOUS-SEGMENT'!$C$8:$C$154=$C17)*'ANALYSE - ERP =&gt; SOUS-SEGMENT'!$Q$8:$Q$154*'ANALYSE - ERP =&gt; SOUS-SEGMENT'!$FF$8:$FF$154)</f>
        <v>111.71272</v>
      </c>
      <c r="FD17" s="292">
        <f t="shared" si="37"/>
        <v>1440.6595276689977</v>
      </c>
      <c r="FE17" s="292">
        <f>SUMPRODUCT(('ANALYSE - ERP =&gt; SOUS-SEGMENT'!$C$8:$C$154=$C17)*'ANALYSE - ERP =&gt; SOUS-SEGMENT'!$Q$8:$Q$154*'ANALYSE - ERP =&gt; SOUS-SEGMENT'!$FH$8:$FH$154)</f>
        <v>1163.6601676689977</v>
      </c>
      <c r="FF17" s="292">
        <f>SUMPRODUCT(('ANALYSE - ERP =&gt; SOUS-SEGMENT'!$C$8:$C$154=$C17)*'ANALYSE - ERP =&gt; SOUS-SEGMENT'!$Q$8:$Q$154*'ANALYSE - ERP =&gt; SOUS-SEGMENT'!$FI$8:$FI$154)</f>
        <v>276.99936000000002</v>
      </c>
      <c r="FG17" s="292">
        <f t="shared" si="38"/>
        <v>6022.7233251410262</v>
      </c>
      <c r="FH17" s="292">
        <f>SUMPRODUCT(('ANALYSE - ERP =&gt; SOUS-SEGMENT'!$C$8:$C$154=$C17)*'ANALYSE - ERP =&gt; SOUS-SEGMENT'!$Q$8:$Q$154*'ANALYSE - ERP =&gt; SOUS-SEGMENT'!$FK$8:$FK$154)</f>
        <v>4798.0749251410261</v>
      </c>
      <c r="FI17" s="292">
        <f>SUMPRODUCT(('ANALYSE - ERP =&gt; SOUS-SEGMENT'!$C$8:$C$154=$C17)*'ANALYSE - ERP =&gt; SOUS-SEGMENT'!$Q$8:$Q$154*'ANALYSE - ERP =&gt; SOUS-SEGMENT'!$FL$8:$FL$154)</f>
        <v>1224.6484000000003</v>
      </c>
      <c r="FJ17" s="657"/>
      <c r="FK17" s="319" t="s">
        <v>2649</v>
      </c>
      <c r="FL17" s="731">
        <f>IFERROR(SUMPRODUCT(('ANALYSE - ERP =&gt; SOUS-SEGMENT'!$C$8:$C$154=$C17)*'ANALYSE - ERP =&gt; SOUS-SEGMENT'!$Q$8:$Q$154*'ANALYSE - ERP =&gt; SOUS-SEGMENT'!$AF$8:$AF$154*'ANALYSE - ERP =&gt; SOUS-SEGMENT'!$FO$8:$FO$154)/SUMPRODUCT(('ANALYSE - ERP =&gt; SOUS-SEGMENT'!$C$8:$C$154=$C17)*'ANALYSE - ERP =&gt; SOUS-SEGMENT'!$Q$8:$Q$154*'ANALYSE - ERP =&gt; SOUS-SEGMENT'!$AF$8:$AF$154),"")</f>
        <v>6.2732328767123285E-2</v>
      </c>
      <c r="FM17" s="732">
        <f>IFERROR(SUMPRODUCT(('ANALYSE - ERP =&gt; SOUS-SEGMENT'!$C$8:$C$154=$C17)*'ANALYSE - ERP =&gt; SOUS-SEGMENT'!$Q$8:$Q$154*'ANALYSE - ERP =&gt; SOUS-SEGMENT'!$AF$8:$AF$154*'ANALYSE - ERP =&gt; SOUS-SEGMENT'!$FP$8:$FP$154)/SUMPRODUCT(('ANALYSE - ERP =&gt; SOUS-SEGMENT'!$C$8:$C$154=$C17)*'ANALYSE - ERP =&gt; SOUS-SEGMENT'!$Q$8:$Q$154*'ANALYSE - ERP =&gt; SOUS-SEGMENT'!$AF$8:$AF$154),"")</f>
        <v>0.80733999999999995</v>
      </c>
      <c r="FN17" s="320" t="s">
        <v>3807</v>
      </c>
      <c r="FO17" s="657"/>
      <c r="FP17" s="887">
        <f>IFERROR(SUMPRODUCT(('ANALYSE - ERP =&gt; SOUS-SEGMENT'!$C$8:$C$154=$C17)*'ANALYSE - ERP =&gt; SOUS-SEGMENT'!$Q$8:$Q$154*'ANALYSE - ERP =&gt; SOUS-SEGMENT'!$EX$8:$EX$154*'ANALYSE - ERP =&gt; SOUS-SEGMENT'!$FS$8:$FS$154)/SUMPRODUCT(('ANALYSE - ERP =&gt; SOUS-SEGMENT'!$C$8:$C$154=$C17)*'ANALYSE - ERP =&gt; SOUS-SEGMENT'!$Q$8:$Q$154*'ANALYSE - ERP =&gt; SOUS-SEGMENT'!$EX$8:$EX$154),"")</f>
        <v>2.9883535958368395</v>
      </c>
      <c r="FQ17" s="295">
        <f>RANK($FP17,$FP$8:$FP$143,0)+COUNTIF($FP$8:$FP17,$FP17)-1</f>
        <v>29</v>
      </c>
      <c r="FR17" s="887">
        <f>IFERROR(SUMPRODUCT(('ANALYSE - ERP =&gt; SOUS-SEGMENT'!$C$8:$C$154=$C17)*'ANALYSE - ERP =&gt; SOUS-SEGMENT'!$Q$8:$Q$154*'ANALYSE - ERP =&gt; SOUS-SEGMENT'!$EY$8:$EY$154*'ANALYSE - ERP =&gt; SOUS-SEGMENT'!$FU$8:$FU$154)/SUMPRODUCT(('ANALYSE - ERP =&gt; SOUS-SEGMENT'!$C$8:$C$154=$C17)*'ANALYSE - ERP =&gt; SOUS-SEGMENT'!$Q$8:$Q$154*'ANALYSE - ERP =&gt; SOUS-SEGMENT'!$EY$8:$EY$154),"")</f>
        <v>3.69</v>
      </c>
      <c r="FS17" s="295">
        <f>RANK($FR17,$FR$8:$FR$143,0)+COUNTIF($FR$8:$FR17,$FR17)-1</f>
        <v>30</v>
      </c>
      <c r="FT17" s="887">
        <f>IFERROR(SUMPRODUCT(('ANALYSE - ERP =&gt; SOUS-SEGMENT'!$C$8:$C$154=$C17)*'ANALYSE - ERP =&gt; SOUS-SEGMENT'!$Q$8:$Q$154*'ANALYSE - ERP =&gt; SOUS-SEGMENT'!$EZ$8:$EZ$154*'ANALYSE - ERP =&gt; SOUS-SEGMENT'!$FW$8:$FW$154)/SUMPRODUCT(('ANALYSE - ERP =&gt; SOUS-SEGMENT'!$C$8:$C$154=$C17)*'ANALYSE - ERP =&gt; SOUS-SEGMENT'!$Q$8:$Q$154*'ANALYSE - ERP =&gt; SOUS-SEGMENT'!$EZ$8:$EZ$154),"")</f>
        <v>2.1284026472787478</v>
      </c>
      <c r="FU17" s="295">
        <f>RANK($FT17,$FT$8:$FT$143,0)+COUNTIF($FT$8:$FT17,$FT17)-1</f>
        <v>19</v>
      </c>
      <c r="FV17" s="657"/>
      <c r="FW17" s="321" t="s">
        <v>6968</v>
      </c>
      <c r="FX17" s="321" t="s">
        <v>6969</v>
      </c>
      <c r="FY17" s="321" t="s">
        <v>6970</v>
      </c>
      <c r="FZ17" s="321" t="s">
        <v>6971</v>
      </c>
      <c r="GA17" s="321" t="s">
        <v>6972</v>
      </c>
      <c r="GB17" s="321" t="s">
        <v>6973</v>
      </c>
      <c r="GC17" s="321" t="s">
        <v>6759</v>
      </c>
      <c r="GD17" s="657"/>
      <c r="GE17" s="292">
        <f>SUMPRODUCT(('ANALYSE - ERP =&gt; SOUS-SEGMENT'!$C$8:$C$154=$C17)*'ANALYSE - ERP =&gt; SOUS-SEGMENT'!$Q$8:$Q$154*'ANALYSE - ERP =&gt; SOUS-SEGMENT'!$GH$8:$GH$154)</f>
        <v>927.44196332307706</v>
      </c>
      <c r="GF17" s="292">
        <f>SUMPRODUCT(('ANALYSE - ERP =&gt; SOUS-SEGMENT'!$C$8:$C$154=$C17)*'ANALYSE - ERP =&gt; SOUS-SEGMENT'!$Q$8:$Q$154*'ANALYSE - ERP =&gt; SOUS-SEGMENT'!$GI$8:$GI$154)</f>
        <v>746.46904812307707</v>
      </c>
      <c r="GG17" s="292">
        <f>SUMPRODUCT(('ANALYSE - ERP =&gt; SOUS-SEGMENT'!$C$8:$C$154=$C17)*'ANALYSE - ERP =&gt; SOUS-SEGMENT'!$Q$8:$Q$154*'ANALYSE - ERP =&gt; SOUS-SEGMENT'!$GJ$8:$GJ$154)</f>
        <v>180.97291520000002</v>
      </c>
      <c r="GH17" s="292">
        <f>SUMPRODUCT(('ANALYSE - ERP =&gt; SOUS-SEGMENT'!$C$8:$C$154=$C17)*'ANALYSE - ERP =&gt; SOUS-SEGMENT'!$Q$8:$Q$154*'ANALYSE - ERP =&gt; SOUS-SEGMENT'!$GK$8:$GK$154)</f>
        <v>3336.5333292307696</v>
      </c>
      <c r="GI17" s="292">
        <f>SUMPRODUCT(('ANALYSE - ERP =&gt; SOUS-SEGMENT'!$C$8:$C$154=$C17)*'ANALYSE - ERP =&gt; SOUS-SEGMENT'!$Q$8:$Q$154*'ANALYSE - ERP =&gt; SOUS-SEGMENT'!$GL$8:$GL$154)</f>
        <v>2612.6416684307696</v>
      </c>
      <c r="GJ17" s="292">
        <f>SUMPRODUCT(('ANALYSE - ERP =&gt; SOUS-SEGMENT'!$C$8:$C$154=$C17)*'ANALYSE - ERP =&gt; SOUS-SEGMENT'!$Q$8:$Q$154*'ANALYSE - ERP =&gt; SOUS-SEGMENT'!$GM$8:$GM$154)</f>
        <v>723.89166080000007</v>
      </c>
      <c r="GK17" s="292">
        <f>SUMPRODUCT(('ANALYSE - ERP =&gt; SOUS-SEGMENT'!$C$8:$C$154=$C17)*'ANALYSE - ERP =&gt; SOUS-SEGMENT'!$Q$8:$Q$154*'ANALYSE - ERP =&gt; SOUS-SEGMENT'!$GN$8:$GN$154)</f>
        <v>1759.5810360799999</v>
      </c>
      <c r="GL17" s="292">
        <f>SUMPRODUCT(('ANALYSE - ERP =&gt; SOUS-SEGMENT'!$C$8:$C$154=$C17)*'ANALYSE - ERP =&gt; SOUS-SEGMENT'!$Q$8:$Q$154*'ANALYSE - ERP =&gt; SOUS-SEGMENT'!$GO$8:$GO$154)</f>
        <v>1410.56184248</v>
      </c>
      <c r="GM17" s="292">
        <f>SUMPRODUCT(('ANALYSE - ERP =&gt; SOUS-SEGMENT'!$C$8:$C$154=$C17)*'ANALYSE - ERP =&gt; SOUS-SEGMENT'!$Q$8:$Q$154*'ANALYSE - ERP =&gt; SOUS-SEGMENT'!$GP$8:$GP$154)</f>
        <v>349.01919359999999</v>
      </c>
      <c r="GN17" s="292">
        <f>SUMPRODUCT(('ANALYSE - ERP =&gt; SOUS-SEGMENT'!$C$8:$C$154=$C17)*'ANALYSE - ERP =&gt; SOUS-SEGMENT'!$Q$8:$Q$154*'ANALYSE - ERP =&gt; SOUS-SEGMENT'!$GQ$8:$GQ$154)</f>
        <v>293.13910523333334</v>
      </c>
      <c r="GO17" s="292">
        <f>SUMPRODUCT(('ANALYSE - ERP =&gt; SOUS-SEGMENT'!$C$8:$C$154=$C17)*'ANALYSE - ERP =&gt; SOUS-SEGMENT'!$Q$8:$Q$154*'ANALYSE - ERP =&gt; SOUS-SEGMENT'!$GR$8:$GR$154)</f>
        <v>254.35919483333333</v>
      </c>
      <c r="GP17" s="292">
        <f>SUMPRODUCT(('ANALYSE - ERP =&gt; SOUS-SEGMENT'!$C$8:$C$154=$C17)*'ANALYSE - ERP =&gt; SOUS-SEGMENT'!$Q$8:$Q$154*'ANALYSE - ERP =&gt; SOUS-SEGMENT'!$GS$8:$GS$154)</f>
        <v>38.779910399999999</v>
      </c>
      <c r="GQ17" s="292">
        <f>SUMPRODUCT(('ANALYSE - ERP =&gt; SOUS-SEGMENT'!$C$8:$C$154=$C17)*'ANALYSE - ERP =&gt; SOUS-SEGMENT'!$Q$8:$Q$154*'ANALYSE - ERP =&gt; SOUS-SEGMENT'!$GT$8:$GT$154)</f>
        <v>123.01163169230767</v>
      </c>
      <c r="GR17" s="292">
        <f>SUMPRODUCT(('ANALYSE - ERP =&gt; SOUS-SEGMENT'!$C$8:$C$154=$C17)*'ANALYSE - ERP =&gt; SOUS-SEGMENT'!$Q$8:$Q$154*'ANALYSE - ERP =&gt; SOUS-SEGMENT'!$GU$8:$GU$154)</f>
        <v>100.66908769230768</v>
      </c>
      <c r="GS17" s="292">
        <f>SUMPRODUCT(('ANALYSE - ERP =&gt; SOUS-SEGMENT'!$C$8:$C$154=$C17)*'ANALYSE - ERP =&gt; SOUS-SEGMENT'!$Q$8:$Q$154*'ANALYSE - ERP =&gt; SOUS-SEGMENT'!$GV$8:$GV$154)</f>
        <v>22.342544000000004</v>
      </c>
      <c r="GT17" s="292">
        <f>SUMPRODUCT(('ANALYSE - ERP =&gt; SOUS-SEGMENT'!$C$8:$C$154=$C17)*'ANALYSE - ERP =&gt; SOUS-SEGMENT'!$Q$8:$Q$154*'ANALYSE - ERP =&gt; SOUS-SEGMENT'!$GW$8:$GW$154)</f>
        <v>361.39634268333327</v>
      </c>
      <c r="GU17" s="292">
        <f>SUMPRODUCT(('ANALYSE - ERP =&gt; SOUS-SEGMENT'!$C$8:$C$154=$C17)*'ANALYSE - ERP =&gt; SOUS-SEGMENT'!$Q$8:$Q$154*'ANALYSE - ERP =&gt; SOUS-SEGMENT'!$GX$8:$GX$154)</f>
        <v>285.4316930833333</v>
      </c>
      <c r="GV17" s="292">
        <f>SUMPRODUCT(('ANALYSE - ERP =&gt; SOUS-SEGMENT'!$C$8:$C$154=$C17)*'ANALYSE - ERP =&gt; SOUS-SEGMENT'!$Q$8:$Q$154*'ANALYSE - ERP =&gt; SOUS-SEGMENT'!$GY$8:$GY$154)</f>
        <v>75.964649600000001</v>
      </c>
      <c r="GW17" s="292">
        <f>SUMPRODUCT(('ANALYSE - ERP =&gt; SOUS-SEGMENT'!$C$8:$C$154=$C17)*'ANALYSE - ERP =&gt; SOUS-SEGMENT'!$Q$8:$Q$154*'ANALYSE - ERP =&gt; SOUS-SEGMENT'!$GZ$8:$GZ$154)</f>
        <v>72.063262622222226</v>
      </c>
      <c r="GX17" s="292">
        <f>SUMPRODUCT(('ANALYSE - ERP =&gt; SOUS-SEGMENT'!$C$8:$C$154=$C17)*'ANALYSE - ERP =&gt; SOUS-SEGMENT'!$Q$8:$Q$154*'ANALYSE - ERP =&gt; SOUS-SEGMENT'!$HA$8:$HA$154)</f>
        <v>58.657736222222219</v>
      </c>
      <c r="GY17" s="292">
        <f>SUMPRODUCT(('ANALYSE - ERP =&gt; SOUS-SEGMENT'!$C$8:$C$154=$C17)*'ANALYSE - ERP =&gt; SOUS-SEGMENT'!$Q$8:$Q$154*'ANALYSE - ERP =&gt; SOUS-SEGMENT'!$HB$8:$HB$154)</f>
        <v>13.405526399999999</v>
      </c>
      <c r="GZ17" s="292">
        <f>SUMPRODUCT(('ANALYSE - ERP =&gt; SOUS-SEGMENT'!$C$8:$C$154=$C17)*'ANALYSE - ERP =&gt; SOUS-SEGMENT'!$Q$8:$Q$154*'ANALYSE - ERP =&gt; SOUS-SEGMENT'!$HC$8:$HC$154)</f>
        <v>112.49672421818181</v>
      </c>
      <c r="HA17" s="292">
        <f>SUMPRODUCT(('ANALYSE - ERP =&gt; SOUS-SEGMENT'!$C$8:$C$154=$C17)*'ANALYSE - ERP =&gt; SOUS-SEGMENT'!$Q$8:$Q$154*'ANALYSE - ERP =&gt; SOUS-SEGMENT'!$HD$8:$HD$154)</f>
        <v>95.876762618181814</v>
      </c>
      <c r="HB17" s="292">
        <f>SUMPRODUCT(('ANALYSE - ERP =&gt; SOUS-SEGMENT'!$C$8:$C$154=$C17)*'ANALYSE - ERP =&gt; SOUS-SEGMENT'!$Q$8:$Q$154*'ANALYSE - ERP =&gt; SOUS-SEGMENT'!$HE$8:$HE$154)</f>
        <v>16.6199616</v>
      </c>
      <c r="HC17" s="292">
        <f>SUMPRODUCT(('ANALYSE - ERP =&gt; SOUS-SEGMENT'!$C$8:$C$154=$C17)*'ANALYSE - ERP =&gt; SOUS-SEGMENT'!$Q$8:$Q$154*'ANALYSE - ERP =&gt; SOUS-SEGMENT'!$HF$8:$HF$154)</f>
        <v>638.36734615384614</v>
      </c>
      <c r="HD17" s="292">
        <f>SUMPRODUCT(('ANALYSE - ERP =&gt; SOUS-SEGMENT'!$C$8:$C$154=$C17)*'ANALYSE - ERP =&gt; SOUS-SEGMENT'!$Q$8:$Q$154*'ANALYSE - ERP =&gt; SOUS-SEGMENT'!$HG$8:$HG$154)</f>
        <v>499.86766615384619</v>
      </c>
      <c r="HE17" s="292">
        <f>SUMPRODUCT(('ANALYSE - ERP =&gt; SOUS-SEGMENT'!$C$8:$C$154=$C17)*'ANALYSE - ERP =&gt; SOUS-SEGMENT'!$Q$8:$Q$154*'ANALYSE - ERP =&gt; SOUS-SEGMENT'!$HH$8:$HH$154)</f>
        <v>138.49968000000001</v>
      </c>
      <c r="HF17" s="292">
        <f>SUMPRODUCT(('ANALYSE - ERP =&gt; SOUS-SEGMENT'!$C$8:$C$154=$C17)*'ANALYSE - ERP =&gt; SOUS-SEGMENT'!$Q$8:$Q$154*'ANALYSE - ERP =&gt; SOUS-SEGMENT'!$HI$8:$HI$154)</f>
        <v>441.73743913333328</v>
      </c>
      <c r="HG17" s="292">
        <f>SUMPRODUCT(('ANALYSE - ERP =&gt; SOUS-SEGMENT'!$C$8:$C$154=$C17)*'ANALYSE - ERP =&gt; SOUS-SEGMENT'!$Q$8:$Q$154*'ANALYSE - ERP =&gt; SOUS-SEGMENT'!$HJ$8:$HJ$154)</f>
        <v>364.17761833333327</v>
      </c>
      <c r="HH17" s="292">
        <f>SUMPRODUCT(('ANALYSE - ERP =&gt; SOUS-SEGMENT'!$C$8:$C$154=$C17)*'ANALYSE - ERP =&gt; SOUS-SEGMENT'!$Q$8:$Q$154*'ANALYSE - ERP =&gt; SOUS-SEGMENT'!$HK$8:$HK$154)</f>
        <v>77.559820800000011</v>
      </c>
      <c r="HI17" s="292">
        <f>SUMPRODUCT(('ANALYSE - ERP =&gt; SOUS-SEGMENT'!$C$8:$C$154=$C17)*'ANALYSE - ERP =&gt; SOUS-SEGMENT'!$Q$8:$Q$154*'ANALYSE - ERP =&gt; SOUS-SEGMENT'!$HL$8:$HL$154)</f>
        <v>248.05801816363635</v>
      </c>
      <c r="HJ17" s="292">
        <f>SUMPRODUCT(('ANALYSE - ERP =&gt; SOUS-SEGMENT'!$C$8:$C$154=$C17)*'ANALYSE - ERP =&gt; SOUS-SEGMENT'!$Q$8:$Q$154*'ANALYSE - ERP =&gt; SOUS-SEGMENT'!$HM$8:$HM$154)</f>
        <v>203.73812056363636</v>
      </c>
      <c r="HK17" s="292">
        <f>SUMPRODUCT(('ANALYSE - ERP =&gt; SOUS-SEGMENT'!$C$8:$C$154=$C17)*'ANALYSE - ERP =&gt; SOUS-SEGMENT'!$Q$8:$Q$154*'ANALYSE - ERP =&gt; SOUS-SEGMENT'!$HN$8:$HN$154)</f>
        <v>44.319897600000004</v>
      </c>
      <c r="HL17" s="292">
        <f>SUMPRODUCT(('ANALYSE - ERP =&gt; SOUS-SEGMENT'!$C$8:$C$154=$C17)*'ANALYSE - ERP =&gt; SOUS-SEGMENT'!$Q$8:$Q$154*'ANALYSE - ERP =&gt; SOUS-SEGMENT'!$HO$8:$HO$154)</f>
        <v>1413.1115388333335</v>
      </c>
      <c r="HM17" s="292">
        <f>SUMPRODUCT(('ANALYSE - ERP =&gt; SOUS-SEGMENT'!$C$8:$C$154=$C17)*'ANALYSE - ERP =&gt; SOUS-SEGMENT'!$Q$8:$Q$154*'ANALYSE - ERP =&gt; SOUS-SEGMENT'!$HP$8:$HP$154)</f>
        <v>1204.9213108333333</v>
      </c>
      <c r="HN17" s="292">
        <f>SUMPRODUCT(('ANALYSE - ERP =&gt; SOUS-SEGMENT'!$C$8:$C$154=$C17)*'ANALYSE - ERP =&gt; SOUS-SEGMENT'!$Q$8:$Q$154*'ANALYSE - ERP =&gt; SOUS-SEGMENT'!$HQ$8:$HQ$154)</f>
        <v>208.19022800000005</v>
      </c>
      <c r="HO17" s="292">
        <f>SUMPRODUCT(('ANALYSE - ERP =&gt; SOUS-SEGMENT'!$C$8:$C$154=$C17)*'ANALYSE - ERP =&gt; SOUS-SEGMENT'!$Q$8:$Q$154*'ANALYSE - ERP =&gt; SOUS-SEGMENT'!$HR$8:$HR$154)</f>
        <v>3141.364490307692</v>
      </c>
      <c r="HP17" s="292">
        <f>SUMPRODUCT(('ANALYSE - ERP =&gt; SOUS-SEGMENT'!$C$8:$C$154=$C17)*'ANALYSE - ERP =&gt; SOUS-SEGMENT'!$Q$8:$Q$154*'ANALYSE - ERP =&gt; SOUS-SEGMENT'!$HS$8:$HS$154)</f>
        <v>2431.0684183076924</v>
      </c>
      <c r="HQ17" s="292">
        <f>SUMPRODUCT(('ANALYSE - ERP =&gt; SOUS-SEGMENT'!$C$8:$C$154=$C17)*'ANALYSE - ERP =&gt; SOUS-SEGMENT'!$Q$8:$Q$154*'ANALYSE - ERP =&gt; SOUS-SEGMENT'!$HT$8:$HT$154)</f>
        <v>710.29607200000009</v>
      </c>
      <c r="HR17" s="292">
        <f>SUMPRODUCT(('ANALYSE - ERP =&gt; SOUS-SEGMENT'!$C$8:$C$154=$C17)*'ANALYSE - ERP =&gt; SOUS-SEGMENT'!$Q$8:$Q$154*'ANALYSE - ERP =&gt; SOUS-SEGMENT'!$HU$8:$HU$154)</f>
        <v>1468.247296</v>
      </c>
      <c r="HS17" s="292">
        <f>SUMPRODUCT(('ANALYSE - ERP =&gt; SOUS-SEGMENT'!$C$8:$C$154=$C17)*'ANALYSE - ERP =&gt; SOUS-SEGMENT'!$Q$8:$Q$154*'ANALYSE - ERP =&gt; SOUS-SEGMENT'!$HV$8:$HV$154)</f>
        <v>1162.085196</v>
      </c>
      <c r="HT17" s="292">
        <f>SUMPRODUCT(('ANALYSE - ERP =&gt; SOUS-SEGMENT'!$C$8:$C$154=$C17)*'ANALYSE - ERP =&gt; SOUS-SEGMENT'!$Q$8:$Q$154*'ANALYSE - ERP =&gt; SOUS-SEGMENT'!$HW$8:$HW$154)</f>
        <v>306.16210000000007</v>
      </c>
      <c r="HV17" s="297">
        <f t="shared" si="40"/>
        <v>9335.0000000000018</v>
      </c>
      <c r="HW17" s="297">
        <f>SUMPRODUCT(('ANALYSE - ERP =&gt; SOUS-SEGMENT'!$C$8:$C$154=$C17)*'ANALYSE - ERP =&gt; SOUS-SEGMENT'!$Q$8:$Q$154*'ANALYSE - ERP =&gt; SOUS-SEGMENT'!$HZ$8:$HZ$154)</f>
        <v>14.630999999999998</v>
      </c>
      <c r="HX17" s="297">
        <f>SUMPRODUCT(('ANALYSE - ERP =&gt; SOUS-SEGMENT'!$C$8:$C$154=$C17)*'ANALYSE - ERP =&gt; SOUS-SEGMENT'!$Q$8:$Q$154*'ANALYSE - ERP =&gt; SOUS-SEGMENT'!$IA$8:$IA$154)</f>
        <v>5324.2086000000008</v>
      </c>
      <c r="HY17" s="297">
        <f>SUMPRODUCT(('ANALYSE - ERP =&gt; SOUS-SEGMENT'!$C$8:$C$154=$C17)*'ANALYSE - ERP =&gt; SOUS-SEGMENT'!$Q$8:$Q$154*'ANALYSE - ERP =&gt; SOUS-SEGMENT'!$IB$8:$IB$154)</f>
        <v>17020.120599999998</v>
      </c>
      <c r="HZ17" s="297">
        <f>SUMPRODUCT(('ANALYSE - ERP =&gt; SOUS-SEGMENT'!$C$8:$C$154=$C17)*'ANALYSE - ERP =&gt; SOUS-SEGMENT'!$Q$8:$Q$154*'ANALYSE - ERP =&gt; SOUS-SEGMENT'!$IC$8:$IC$154)</f>
        <v>11030.7156</v>
      </c>
      <c r="IA17" s="297">
        <f>SUMPRODUCT(('ANALYSE - ERP =&gt; SOUS-SEGMENT'!$C$8:$C$154=$C17)*'ANALYSE - ERP =&gt; SOUS-SEGMENT'!$Q$8:$Q$154*'ANALYSE - ERP =&gt; SOUS-SEGMENT'!$ID$8:$ID$154)</f>
        <v>1418.3242</v>
      </c>
      <c r="IB17" s="297">
        <f>SUMPRODUCT(('ANALYSE - ERP =&gt; SOUS-SEGMENT'!$C$8:$C$154=$C17)*'ANALYSE - ERP =&gt; SOUS-SEGMENT'!$Q$8:$Q$154*'ANALYSE - ERP =&gt; SOUS-SEGMENT'!$IE$8:$IE$154)</f>
        <v>11430.525363675066</v>
      </c>
      <c r="IC17" s="297">
        <f>SUMPRODUCT(('ANALYSE - ERP =&gt; SOUS-SEGMENT'!$C$8:$C$154=$C17)*'ANALYSE - ERP =&gt; SOUS-SEGMENT'!$Q$8:$Q$154*'ANALYSE - ERP =&gt; SOUS-SEGMENT'!$IF$8:$IF$154)</f>
        <v>0</v>
      </c>
      <c r="ID17" s="297">
        <f>SUMPRODUCT(('ANALYSE - ERP =&gt; SOUS-SEGMENT'!$C$8:$C$154=$C17)*'ANALYSE - ERP =&gt; SOUS-SEGMENT'!$Q$8:$Q$154*'ANALYSE - ERP =&gt; SOUS-SEGMENT'!$IG$8:$IG$154)</f>
        <v>770.51171170769874</v>
      </c>
      <c r="IE17" s="297">
        <f>SUMPRODUCT(('ANALYSE - ERP =&gt; SOUS-SEGMENT'!$C$8:$C$154=$C17)*'ANALYSE - ERP =&gt; SOUS-SEGMENT'!$Q$8:$Q$154*'ANALYSE - ERP =&gt; SOUS-SEGMENT'!$IH$8:$IH$154)</f>
        <v>4705.5901831317969</v>
      </c>
      <c r="IF17" s="297">
        <f>SUMPRODUCT(('ANALYSE - ERP =&gt; SOUS-SEGMENT'!$C$8:$C$154=$C17)*'ANALYSE - ERP =&gt; SOUS-SEGMENT'!$Q$8:$Q$154*'ANALYSE - ERP =&gt; SOUS-SEGMENT'!$II$8:$II$154)</f>
        <v>4903.0164777645368</v>
      </c>
      <c r="IG17" s="297">
        <f>SUMPRODUCT(('ANALYSE - ERP =&gt; SOUS-SEGMENT'!$C$8:$C$154=$C17)*'ANALYSE - ERP =&gt; SOUS-SEGMENT'!$Q$8:$Q$154*'ANALYSE - ERP =&gt; SOUS-SEGMENT'!$IJ$8:$IJ$154)</f>
        <v>1051.4069910710352</v>
      </c>
      <c r="IH17" s="888"/>
      <c r="II17" s="298" t="s">
        <v>2589</v>
      </c>
      <c r="IJ17" s="322" t="s">
        <v>6760</v>
      </c>
      <c r="IK17" s="657"/>
      <c r="IL17" s="747">
        <f>IFERROR(SUMPRODUCT(('ANALYSE - ERP =&gt; SOUS-SEGMENT'!$C$8:$C$154=$C17)*'ANALYSE - ERP =&gt; SOUS-SEGMENT'!$Q$8:$Q$154*'ANALYSE - ERP =&gt; SOUS-SEGMENT'!$BE$8:$BE$154*'ANALYSE - ERP =&gt; SOUS-SEGMENT'!$IO$8:$IO$154)/SUMPRODUCT(('ANALYSE - ERP =&gt; SOUS-SEGMENT'!$C$8:$C$154=$C17)*'ANALYSE - ERP =&gt; SOUS-SEGMENT'!$Q$8:$Q$154*'ANALYSE - ERP =&gt; SOUS-SEGMENT'!$BE$8:$BE$154),0)</f>
        <v>0</v>
      </c>
      <c r="IM17" s="748">
        <f>IFERROR(SUMPRODUCT(('ANALYSE - ERP =&gt; SOUS-SEGMENT'!$C$8:$C$154=$C17)*'ANALYSE - ERP =&gt; SOUS-SEGMENT'!$Q$8:$Q$154*'ANALYSE - ERP =&gt; SOUS-SEGMENT'!$BE$8:$BE$154*'ANALYSE - ERP =&gt; SOUS-SEGMENT'!$IP$8:$IP$154)/SUMPRODUCT(('ANALYSE - ERP =&gt; SOUS-SEGMENT'!$C$8:$C$154=$C17)*'ANALYSE - ERP =&gt; SOUS-SEGMENT'!$Q$8:$Q$154*'ANALYSE - ERP =&gt; SOUS-SEGMENT'!$BE$8:$BE$154),0)</f>
        <v>0.1119632911392405</v>
      </c>
      <c r="IN17" s="748">
        <f>IFERROR(SUMPRODUCT(('ANALYSE - ERP =&gt; SOUS-SEGMENT'!$C$8:$C$154=$C17)*'ANALYSE - ERP =&gt; SOUS-SEGMENT'!$Q$8:$Q$154*'ANALYSE - ERP =&gt; SOUS-SEGMENT'!$BE$8:$BE$154*'ANALYSE - ERP =&gt; SOUS-SEGMENT'!$IQ$8:$IQ$154)/SUMPRODUCT(('ANALYSE - ERP =&gt; SOUS-SEGMENT'!$C$8:$C$154=$C17)*'ANALYSE - ERP =&gt; SOUS-SEGMENT'!$Q$8:$Q$154*'ANALYSE - ERP =&gt; SOUS-SEGMENT'!$BE$8:$BE$154),0)</f>
        <v>0.46823236889692588</v>
      </c>
      <c r="IO17" s="748">
        <f>IFERROR(SUMPRODUCT(('ANALYSE - ERP =&gt; SOUS-SEGMENT'!$C$8:$C$154=$C17)*'ANALYSE - ERP =&gt; SOUS-SEGMENT'!$Q$8:$Q$154*'ANALYSE - ERP =&gt; SOUS-SEGMENT'!$BE$8:$BE$154*'ANALYSE - ERP =&gt; SOUS-SEGMENT'!$IR$8:$IR$154)/SUMPRODUCT(('ANALYSE - ERP =&gt; SOUS-SEGMENT'!$C$8:$C$154=$C17)*'ANALYSE - ERP =&gt; SOUS-SEGMENT'!$Q$8:$Q$154*'ANALYSE - ERP =&gt; SOUS-SEGMENT'!$BE$8:$BE$154),0)</f>
        <v>0.3645766726943942</v>
      </c>
      <c r="IP17" s="749">
        <f>IFERROR(SUMPRODUCT(('ANALYSE - ERP =&gt; SOUS-SEGMENT'!$C$8:$C$154=$C17)*'ANALYSE - ERP =&gt; SOUS-SEGMENT'!$Q$8:$Q$154*'ANALYSE - ERP =&gt; SOUS-SEGMENT'!$BE$8:$BE$154*'ANALYSE - ERP =&gt; SOUS-SEGMENT'!$IS$8:$IS$154)/SUMPRODUCT(('ANALYSE - ERP =&gt; SOUS-SEGMENT'!$C$8:$C$154=$C17)*'ANALYSE - ERP =&gt; SOUS-SEGMENT'!$Q$8:$Q$154*'ANALYSE - ERP =&gt; SOUS-SEGMENT'!$BE$8:$BE$154),0)</f>
        <v>5.5227667269439416E-2</v>
      </c>
      <c r="IQ17" s="748">
        <f>IFERROR(SUMPRODUCT(('ANALYSE - ERP =&gt; SOUS-SEGMENT'!$C$8:$C$154=$C17)*'ANALYSE - ERP =&gt; SOUS-SEGMENT'!$Q$8:$Q$154*'ANALYSE - ERP =&gt; SOUS-SEGMENT'!$FB$8:$FB$154*'ANALYSE - ERP =&gt; SOUS-SEGMENT'!$IT$8:$IT$154)/SUMPRODUCT(('ANALYSE - ERP =&gt; SOUS-SEGMENT'!$C$8:$C$154=$C17)*'ANALYSE - ERP =&gt; SOUS-SEGMENT'!$Q$8:$Q$154*'ANALYSE - ERP =&gt; SOUS-SEGMENT'!$FB$8:$FB$154),0)</f>
        <v>0</v>
      </c>
      <c r="IR17" s="748">
        <f>IFERROR(SUMPRODUCT(('ANALYSE - ERP =&gt; SOUS-SEGMENT'!$C$8:$C$154=$C17)*'ANALYSE - ERP =&gt; SOUS-SEGMENT'!$Q$8:$Q$154*'ANALYSE - ERP =&gt; SOUS-SEGMENT'!$FB$8:$FB$154*'ANALYSE - ERP =&gt; SOUS-SEGMENT'!$IU$8:$IU$154)/SUMPRODUCT(('ANALYSE - ERP =&gt; SOUS-SEGMENT'!$C$8:$C$154=$C17)*'ANALYSE - ERP =&gt; SOUS-SEGMENT'!$Q$8:$Q$154*'ANALYSE - ERP =&gt; SOUS-SEGMENT'!$FB$8:$FB$154),0)</f>
        <v>3.9283223670576614E-2</v>
      </c>
      <c r="IS17" s="748">
        <f>IFERROR(SUMPRODUCT(('ANALYSE - ERP =&gt; SOUS-SEGMENT'!$C$8:$C$154=$C17)*'ANALYSE - ERP =&gt; SOUS-SEGMENT'!$Q$8:$Q$154*'ANALYSE - ERP =&gt; SOUS-SEGMENT'!$FB$8:$FB$154*'ANALYSE - ERP =&gt; SOUS-SEGMENT'!$IV$8:$IV$154)/SUMPRODUCT(('ANALYSE - ERP =&gt; SOUS-SEGMENT'!$C$8:$C$154=$C17)*'ANALYSE - ERP =&gt; SOUS-SEGMENT'!$Q$8:$Q$154*'ANALYSE - ERP =&gt; SOUS-SEGMENT'!$FB$8:$FB$154),0)</f>
        <v>0.37029976565219114</v>
      </c>
      <c r="IT17" s="748">
        <f>IFERROR(SUMPRODUCT(('ANALYSE - ERP =&gt; SOUS-SEGMENT'!$C$8:$C$154=$C17)*'ANALYSE - ERP =&gt; SOUS-SEGMENT'!$Q$8:$Q$154*'ANALYSE - ERP =&gt; SOUS-SEGMENT'!$FB$8:$FB$154*'ANALYSE - ERP =&gt; SOUS-SEGMENT'!$IW$8:$IW$154)/SUMPRODUCT(('ANALYSE - ERP =&gt; SOUS-SEGMENT'!$C$8:$C$154=$C17)*'ANALYSE - ERP =&gt; SOUS-SEGMENT'!$Q$8:$Q$154*'ANALYSE - ERP =&gt; SOUS-SEGMENT'!$FB$8:$FB$154),0)</f>
        <v>0.47080017125416801</v>
      </c>
      <c r="IU17" s="748">
        <f>IFERROR(SUMPRODUCT(('ANALYSE - ERP =&gt; SOUS-SEGMENT'!$C$8:$C$154=$C17)*'ANALYSE - ERP =&gt; SOUS-SEGMENT'!$Q$8:$Q$154*'ANALYSE - ERP =&gt; SOUS-SEGMENT'!$FB$8:$FB$154*'ANALYSE - ERP =&gt; SOUS-SEGMENT'!$IX$8:$IX$154)/SUMPRODUCT(('ANALYSE - ERP =&gt; SOUS-SEGMENT'!$C$8:$C$154=$C17)*'ANALYSE - ERP =&gt; SOUS-SEGMENT'!$Q$8:$Q$154*'ANALYSE - ERP =&gt; SOUS-SEGMENT'!$FB$8:$FB$154),0)</f>
        <v>0.11961683942306427</v>
      </c>
      <c r="IV17" s="771">
        <f>IFERROR(SUMPRODUCT(('ANALYSE - ERP =&gt; SOUS-SEGMENT'!$C$8:$C$154=$C17)*'ANALYSE - ERP =&gt; SOUS-SEGMENT'!$Q$8:$Q$154*'ANALYSE - ERP =&gt; SOUS-SEGMENT'!$BF$8:$BF$154*'ANALYSE - ERP =&gt; SOUS-SEGMENT'!$IY$8:$IY$154)/SUMPRODUCT(('ANALYSE - ERP =&gt; SOUS-SEGMENT'!$C$8:$C$154=$C17)*'ANALYSE - ERP =&gt; SOUS-SEGMENT'!$Q$8:$Q$154*'ANALYSE - ERP =&gt; SOUS-SEGMENT'!$BF$8:$BF$154),0)</f>
        <v>0</v>
      </c>
      <c r="IW17" s="748">
        <f>IFERROR(SUMPRODUCT(('ANALYSE - ERP =&gt; SOUS-SEGMENT'!$C$8:$C$154=$C17)*'ANALYSE - ERP =&gt; SOUS-SEGMENT'!$Q$8:$Q$154*'ANALYSE - ERP =&gt; SOUS-SEGMENT'!$BF$8:$BF$154*'ANALYSE - ERP =&gt; SOUS-SEGMENT'!$IZ$8:$IZ$154)/SUMPRODUCT(('ANALYSE - ERP =&gt; SOUS-SEGMENT'!$C$8:$C$154=$C17)*'ANALYSE - ERP =&gt; SOUS-SEGMENT'!$Q$8:$Q$154*'ANALYSE - ERP =&gt; SOUS-SEGMENT'!$BF$8:$BF$154),0)</f>
        <v>0.16588637724550898</v>
      </c>
      <c r="IX17" s="748">
        <f>IFERROR(SUMPRODUCT(('ANALYSE - ERP =&gt; SOUS-SEGMENT'!$C$8:$C$154=$C17)*'ANALYSE - ERP =&gt; SOUS-SEGMENT'!$Q$8:$Q$154*'ANALYSE - ERP =&gt; SOUS-SEGMENT'!$BF$8:$BF$154*'ANALYSE - ERP =&gt; SOUS-SEGMENT'!$JA$8:$JA$154)/SUMPRODUCT(('ANALYSE - ERP =&gt; SOUS-SEGMENT'!$C$8:$C$154=$C17)*'ANALYSE - ERP =&gt; SOUS-SEGMENT'!$Q$8:$Q$154*'ANALYSE - ERP =&gt; SOUS-SEGMENT'!$BF$8:$BF$154),0)</f>
        <v>0.50092544910179637</v>
      </c>
      <c r="IY17" s="748">
        <f>IFERROR(SUMPRODUCT(('ANALYSE - ERP =&gt; SOUS-SEGMENT'!$C$8:$C$154=$C17)*'ANALYSE - ERP =&gt; SOUS-SEGMENT'!$Q$8:$Q$154*'ANALYSE - ERP =&gt; SOUS-SEGMENT'!$BF$8:$BF$154*'ANALYSE - ERP =&gt; SOUS-SEGMENT'!$JB$8:$JB$154)/SUMPRODUCT(('ANALYSE - ERP =&gt; SOUS-SEGMENT'!$C$8:$C$154=$C17)*'ANALYSE - ERP =&gt; SOUS-SEGMENT'!$Q$8:$Q$154*'ANALYSE - ERP =&gt; SOUS-SEGMENT'!$BF$8:$BF$154),0)</f>
        <v>0.29920598802395215</v>
      </c>
      <c r="IZ17" s="749">
        <f>IFERROR(SUMPRODUCT(('ANALYSE - ERP =&gt; SOUS-SEGMENT'!$C$8:$C$154=$C17)*'ANALYSE - ERP =&gt; SOUS-SEGMENT'!$Q$8:$Q$154*'ANALYSE - ERP =&gt; SOUS-SEGMENT'!$BF$8:$BF$154*'ANALYSE - ERP =&gt; SOUS-SEGMENT'!$JC$8:$JC$154)/SUMPRODUCT(('ANALYSE - ERP =&gt; SOUS-SEGMENT'!$C$8:$C$154=$C17)*'ANALYSE - ERP =&gt; SOUS-SEGMENT'!$Q$8:$Q$154*'ANALYSE - ERP =&gt; SOUS-SEGMENT'!$BF$8:$BF$154),0)</f>
        <v>3.3982185628742514E-2</v>
      </c>
      <c r="JA17" s="748">
        <f>IFERROR(SUMPRODUCT(('ANALYSE - ERP =&gt; SOUS-SEGMENT'!$C$8:$C$154=$C17)*'ANALYSE - ERP =&gt; SOUS-SEGMENT'!$Q$8:$Q$154*'ANALYSE - ERP =&gt; SOUS-SEGMENT'!$FE$8:$FE$154*'ANALYSE - ERP =&gt; SOUS-SEGMENT'!$JD$8:$JD$154)/SUMPRODUCT(('ANALYSE - ERP =&gt; SOUS-SEGMENT'!$C$8:$C$154=$C17)*'ANALYSE - ERP =&gt; SOUS-SEGMENT'!$Q$8:$Q$154*'ANALYSE - ERP =&gt; SOUS-SEGMENT'!$FE$8:$FE$154),0)</f>
        <v>0</v>
      </c>
      <c r="JB17" s="748">
        <f>IFERROR(SUMPRODUCT(('ANALYSE - ERP =&gt; SOUS-SEGMENT'!$C$8:$C$154=$C17)*'ANALYSE - ERP =&gt; SOUS-SEGMENT'!$Q$8:$Q$154*'ANALYSE - ERP =&gt; SOUS-SEGMENT'!$FE$8:$FE$154*'ANALYSE - ERP =&gt; SOUS-SEGMENT'!$JE$8:$JE$154)/SUMPRODUCT(('ANALYSE - ERP =&gt; SOUS-SEGMENT'!$C$8:$C$154=$C17)*'ANALYSE - ERP =&gt; SOUS-SEGMENT'!$Q$8:$Q$154*'ANALYSE - ERP =&gt; SOUS-SEGMENT'!$FE$8:$FE$154),0)</f>
        <v>7.6013218420340686E-2</v>
      </c>
      <c r="JC17" s="748">
        <f>IFERROR(SUMPRODUCT(('ANALYSE - ERP =&gt; SOUS-SEGMENT'!$C$8:$C$154=$C17)*'ANALYSE - ERP =&gt; SOUS-SEGMENT'!$Q$8:$Q$154*'ANALYSE - ERP =&gt; SOUS-SEGMENT'!$FE$8:$FE$154*'ANALYSE - ERP =&gt; SOUS-SEGMENT'!$JF$8:$JF$154)/SUMPRODUCT(('ANALYSE - ERP =&gt; SOUS-SEGMENT'!$C$8:$C$154=$C17)*'ANALYSE - ERP =&gt; SOUS-SEGMENT'!$Q$8:$Q$154*'ANALYSE - ERP =&gt; SOUS-SEGMENT'!$FE$8:$FE$154),0)</f>
        <v>0.4266600955324148</v>
      </c>
      <c r="JD17" s="748">
        <f>IFERROR(SUMPRODUCT(('ANALYSE - ERP =&gt; SOUS-SEGMENT'!$C$8:$C$154=$C17)*'ANALYSE - ERP =&gt; SOUS-SEGMENT'!$Q$8:$Q$154*'ANALYSE - ERP =&gt; SOUS-SEGMENT'!$FE$8:$FE$154*'ANALYSE - ERP =&gt; SOUS-SEGMENT'!$JG$8:$JG$154)/SUMPRODUCT(('ANALYSE - ERP =&gt; SOUS-SEGMENT'!$C$8:$C$154=$C17)*'ANALYSE - ERP =&gt; SOUS-SEGMENT'!$Q$8:$Q$154*'ANALYSE - ERP =&gt; SOUS-SEGMENT'!$FE$8:$FE$154),0)</f>
        <v>0.41536528736813627</v>
      </c>
      <c r="JE17" s="748">
        <f>IFERROR(SUMPRODUCT(('ANALYSE - ERP =&gt; SOUS-SEGMENT'!$C$8:$C$154=$C17)*'ANALYSE - ERP =&gt; SOUS-SEGMENT'!$Q$8:$Q$154*'ANALYSE - ERP =&gt; SOUS-SEGMENT'!$FE$8:$FE$154*'ANALYSE - ERP =&gt; SOUS-SEGMENT'!$JH$8:$JH$154)/SUMPRODUCT(('ANALYSE - ERP =&gt; SOUS-SEGMENT'!$C$8:$C$154=$C17)*'ANALYSE - ERP =&gt; SOUS-SEGMENT'!$Q$8:$Q$154*'ANALYSE - ERP =&gt; SOUS-SEGMENT'!$FE$8:$FE$154),0)</f>
        <v>8.196139867910826E-2</v>
      </c>
      <c r="JF17" s="771">
        <f>IFERROR(SUMPRODUCT(('ANALYSE - ERP =&gt; SOUS-SEGMENT'!$C$8:$C$154=$C17)*'ANALYSE - ERP =&gt; SOUS-SEGMENT'!$Q$8:$Q$154*'ANALYSE - ERP =&gt; SOUS-SEGMENT'!$BG$8:$BG$154*'ANALYSE - ERP =&gt; SOUS-SEGMENT'!$JI$8:$JI$154)/SUMPRODUCT(('ANALYSE - ERP =&gt; SOUS-SEGMENT'!$C$8:$C$154=$C17)*'ANALYSE - ERP =&gt; SOUS-SEGMENT'!$Q$8:$Q$154*'ANALYSE - ERP =&gt; SOUS-SEGMENT'!$BG$8:$BG$154),0)</f>
        <v>4.4095840867992763E-3</v>
      </c>
      <c r="JG17" s="748">
        <f>IFERROR(SUMPRODUCT(('ANALYSE - ERP =&gt; SOUS-SEGMENT'!$C$8:$C$154=$C17)*'ANALYSE - ERP =&gt; SOUS-SEGMENT'!$Q$8:$Q$154*'ANALYSE - ERP =&gt; SOUS-SEGMENT'!$BG$8:$BG$154*'ANALYSE - ERP =&gt; SOUS-SEGMENT'!$JJ$8:$JJ$154)/SUMPRODUCT(('ANALYSE - ERP =&gt; SOUS-SEGMENT'!$C$8:$C$154=$C17)*'ANALYSE - ERP =&gt; SOUS-SEGMENT'!$Q$8:$Q$154*'ANALYSE - ERP =&gt; SOUS-SEGMENT'!$BG$8:$BG$154),0)</f>
        <v>0.24090650994575047</v>
      </c>
      <c r="JH17" s="748">
        <f>IFERROR(SUMPRODUCT(('ANALYSE - ERP =&gt; SOUS-SEGMENT'!$C$8:$C$154=$C17)*'ANALYSE - ERP =&gt; SOUS-SEGMENT'!$Q$8:$Q$154*'ANALYSE - ERP =&gt; SOUS-SEGMENT'!$BG$8:$BG$154*'ANALYSE - ERP =&gt; SOUS-SEGMENT'!$JK$8:$JK$154)/SUMPRODUCT(('ANALYSE - ERP =&gt; SOUS-SEGMENT'!$C$8:$C$154=$C17)*'ANALYSE - ERP =&gt; SOUS-SEGMENT'!$Q$8:$Q$154*'ANALYSE - ERP =&gt; SOUS-SEGMENT'!$BG$8:$BG$154),0)</f>
        <v>0.51257179023508137</v>
      </c>
      <c r="JI17" s="748">
        <f>IFERROR(SUMPRODUCT(('ANALYSE - ERP =&gt; SOUS-SEGMENT'!$C$8:$C$154=$C17)*'ANALYSE - ERP =&gt; SOUS-SEGMENT'!$Q$8:$Q$154*'ANALYSE - ERP =&gt; SOUS-SEGMENT'!$BG$8:$BG$154*'ANALYSE - ERP =&gt; SOUS-SEGMENT'!$JL$8:$JL$154)/SUMPRODUCT(('ANALYSE - ERP =&gt; SOUS-SEGMENT'!$C$8:$C$154=$C17)*'ANALYSE - ERP =&gt; SOUS-SEGMENT'!$Q$8:$Q$154*'ANALYSE - ERP =&gt; SOUS-SEGMENT'!$BG$8:$BG$154),0)</f>
        <v>0.22442441229656421</v>
      </c>
      <c r="JJ17" s="749">
        <f>IFERROR(SUMPRODUCT(('ANALYSE - ERP =&gt; SOUS-SEGMENT'!$C$8:$C$154=$C17)*'ANALYSE - ERP =&gt; SOUS-SEGMENT'!$Q$8:$Q$154*'ANALYSE - ERP =&gt; SOUS-SEGMENT'!$BG$8:$BG$154*'ANALYSE - ERP =&gt; SOUS-SEGMENT'!$JM$8:$JM$154)/SUMPRODUCT(('ANALYSE - ERP =&gt; SOUS-SEGMENT'!$C$8:$C$154=$C17)*'ANALYSE - ERP =&gt; SOUS-SEGMENT'!$Q$8:$Q$154*'ANALYSE - ERP =&gt; SOUS-SEGMENT'!$BG$8:$BG$154),0)</f>
        <v>1.7687703435804704E-2</v>
      </c>
      <c r="JK17" s="748">
        <f>IFERROR(SUMPRODUCT(('ANALYSE - ERP =&gt; SOUS-SEGMENT'!$C$8:$C$154=$C17)*'ANALYSE - ERP =&gt; SOUS-SEGMENT'!$Q$8:$Q$154*'ANALYSE - ERP =&gt; SOUS-SEGMENT'!$FH$8:$FH$154*'ANALYSE - ERP =&gt; SOUS-SEGMENT'!$JN$8:$JN$154)/SUMPRODUCT(('ANALYSE - ERP =&gt; SOUS-SEGMENT'!$C$8:$C$154=$C17)*'ANALYSE - ERP =&gt; SOUS-SEGMENT'!$Q$8:$Q$154*'ANALYSE - ERP =&gt; SOUS-SEGMENT'!$FH$8:$FH$154),0)</f>
        <v>0</v>
      </c>
      <c r="JL17" s="748">
        <f>IFERROR(SUMPRODUCT(('ANALYSE - ERP =&gt; SOUS-SEGMENT'!$C$8:$C$154=$C17)*'ANALYSE - ERP =&gt; SOUS-SEGMENT'!$Q$8:$Q$154*'ANALYSE - ERP =&gt; SOUS-SEGMENT'!$FH$8:$FH$154*'ANALYSE - ERP =&gt; SOUS-SEGMENT'!$JO$8:$JO$154)/SUMPRODUCT(('ANALYSE - ERP =&gt; SOUS-SEGMENT'!$C$8:$C$154=$C17)*'ANALYSE - ERP =&gt; SOUS-SEGMENT'!$Q$8:$Q$154*'ANALYSE - ERP =&gt; SOUS-SEGMENT'!$FH$8:$FH$154),0)</f>
        <v>0.13043110653613427</v>
      </c>
      <c r="JM17" s="748">
        <f>IFERROR(SUMPRODUCT(('ANALYSE - ERP =&gt; SOUS-SEGMENT'!$C$8:$C$154=$C17)*'ANALYSE - ERP =&gt; SOUS-SEGMENT'!$Q$8:$Q$154*'ANALYSE - ERP =&gt; SOUS-SEGMENT'!$FH$8:$FH$154*'ANALYSE - ERP =&gt; SOUS-SEGMENT'!$JP$8:$JP$154)/SUMPRODUCT(('ANALYSE - ERP =&gt; SOUS-SEGMENT'!$C$8:$C$154=$C17)*'ANALYSE - ERP =&gt; SOUS-SEGMENT'!$Q$8:$Q$154*'ANALYSE - ERP =&gt; SOUS-SEGMENT'!$FH$8:$FH$154),0)</f>
        <v>0.48206509077941812</v>
      </c>
      <c r="JN17" s="748">
        <f>IFERROR(SUMPRODUCT(('ANALYSE - ERP =&gt; SOUS-SEGMENT'!$C$8:$C$154=$C17)*'ANALYSE - ERP =&gt; SOUS-SEGMENT'!$Q$8:$Q$154*'ANALYSE - ERP =&gt; SOUS-SEGMENT'!$FH$8:$FH$154*'ANALYSE - ERP =&gt; SOUS-SEGMENT'!$JQ$8:$JQ$154)/SUMPRODUCT(('ANALYSE - ERP =&gt; SOUS-SEGMENT'!$C$8:$C$154=$C17)*'ANALYSE - ERP =&gt; SOUS-SEGMENT'!$Q$8:$Q$154*'ANALYSE - ERP =&gt; SOUS-SEGMENT'!$FH$8:$FH$154),0)</f>
        <v>0.34093614252364596</v>
      </c>
      <c r="JO17" s="748">
        <f>IFERROR(SUMPRODUCT(('ANALYSE - ERP =&gt; SOUS-SEGMENT'!$C$8:$C$154=$C17)*'ANALYSE - ERP =&gt; SOUS-SEGMENT'!$Q$8:$Q$154*'ANALYSE - ERP =&gt; SOUS-SEGMENT'!$FH$8:$FH$154*'ANALYSE - ERP =&gt; SOUS-SEGMENT'!$JR$8:$JR$154)/SUMPRODUCT(('ANALYSE - ERP =&gt; SOUS-SEGMENT'!$C$8:$C$154=$C17)*'ANALYSE - ERP =&gt; SOUS-SEGMENT'!$Q$8:$Q$154*'ANALYSE - ERP =&gt; SOUS-SEGMENT'!$FH$8:$FH$154),0)</f>
        <v>4.656766016080164E-2</v>
      </c>
      <c r="JP17" s="771">
        <f>IFERROR(SUMPRODUCT(('ANALYSE - ERP =&gt; SOUS-SEGMENT'!$C$8:$C$154=$C17)*'ANALYSE - ERP =&gt; SOUS-SEGMENT'!$Q$8:$Q$154*'ANALYSE - ERP =&gt; SOUS-SEGMENT'!$BH$8:$BH$154*'ANALYSE - ERP =&gt; SOUS-SEGMENT'!$JS$8:$JS$154)/SUMPRODUCT(('ANALYSE - ERP =&gt; SOUS-SEGMENT'!$C$8:$C$154=$C17)*'ANALYSE - ERP =&gt; SOUS-SEGMENT'!$Q$8:$Q$154*'ANALYSE - ERP =&gt; SOUS-SEGMENT'!$BH$8:$BH$154),0)</f>
        <v>0</v>
      </c>
      <c r="JQ17" s="748">
        <f>IFERROR(SUMPRODUCT(('ANALYSE - ERP =&gt; SOUS-SEGMENT'!$C$8:$C$154=$C17)*'ANALYSE - ERP =&gt; SOUS-SEGMENT'!$Q$8:$Q$154*'ANALYSE - ERP =&gt; SOUS-SEGMENT'!$BH$8:$BH$154*'ANALYSE - ERP =&gt; SOUS-SEGMENT'!$JT$8:$JT$154)/SUMPRODUCT(('ANALYSE - ERP =&gt; SOUS-SEGMENT'!$C$8:$C$154=$C17)*'ANALYSE - ERP =&gt; SOUS-SEGMENT'!$Q$8:$Q$154*'ANALYSE - ERP =&gt; SOUS-SEGMENT'!$BH$8:$BH$154),0)</f>
        <v>0.17516134969325153</v>
      </c>
      <c r="JR17" s="748">
        <f>IFERROR(SUMPRODUCT(('ANALYSE - ERP =&gt; SOUS-SEGMENT'!$C$8:$C$154=$C17)*'ANALYSE - ERP =&gt; SOUS-SEGMENT'!$Q$8:$Q$154*'ANALYSE - ERP =&gt; SOUS-SEGMENT'!$BH$8:$BH$154*'ANALYSE - ERP =&gt; SOUS-SEGMENT'!$JU$8:$JU$154)/SUMPRODUCT(('ANALYSE - ERP =&gt; SOUS-SEGMENT'!$C$8:$C$154=$C17)*'ANALYSE - ERP =&gt; SOUS-SEGMENT'!$Q$8:$Q$154*'ANALYSE - ERP =&gt; SOUS-SEGMENT'!$BH$8:$BH$154),0)</f>
        <v>0.5044349693251533</v>
      </c>
      <c r="JS17" s="748">
        <f>IFERROR(SUMPRODUCT(('ANALYSE - ERP =&gt; SOUS-SEGMENT'!$C$8:$C$154=$C17)*'ANALYSE - ERP =&gt; SOUS-SEGMENT'!$Q$8:$Q$154*'ANALYSE - ERP =&gt; SOUS-SEGMENT'!$BH$8:$BH$154*'ANALYSE - ERP =&gt; SOUS-SEGMENT'!$JV$8:$JV$154)/SUMPRODUCT(('ANALYSE - ERP =&gt; SOUS-SEGMENT'!$C$8:$C$154=$C17)*'ANALYSE - ERP =&gt; SOUS-SEGMENT'!$Q$8:$Q$154*'ANALYSE - ERP =&gt; SOUS-SEGMENT'!$BH$8:$BH$154),0)</f>
        <v>0.28910913428766188</v>
      </c>
      <c r="JT17" s="749">
        <f>IFERROR(SUMPRODUCT(('ANALYSE - ERP =&gt; SOUS-SEGMENT'!$C$8:$C$154=$C17)*'ANALYSE - ERP =&gt; SOUS-SEGMENT'!$Q$8:$Q$154*'ANALYSE - ERP =&gt; SOUS-SEGMENT'!$BH$8:$BH$154*'ANALYSE - ERP =&gt; SOUS-SEGMENT'!$JW$8:$JW$154)/SUMPRODUCT(('ANALYSE - ERP =&gt; SOUS-SEGMENT'!$C$8:$C$154=$C17)*'ANALYSE - ERP =&gt; SOUS-SEGMENT'!$Q$8:$Q$154*'ANALYSE - ERP =&gt; SOUS-SEGMENT'!$BH$8:$BH$154),0)</f>
        <v>3.1294546693933195E-2</v>
      </c>
      <c r="JU17" s="771">
        <f>IFERROR(SUMPRODUCT(('ANALYSE - ERP =&gt; SOUS-SEGMENT'!$C$8:$C$154=$C17)*'ANALYSE - ERP =&gt; SOUS-SEGMENT'!$Q$8:$Q$154*'ANALYSE - ERP =&gt; SOUS-SEGMENT'!$FK$8:$FK$154*'ANALYSE - ERP =&gt; SOUS-SEGMENT'!$JX$8:$JX$154)/SUMPRODUCT(('ANALYSE - ERP =&gt; SOUS-SEGMENT'!$C$8:$C$154=$C17)*'ANALYSE - ERP =&gt; SOUS-SEGMENT'!$Q$8:$Q$154*'ANALYSE - ERP =&gt; SOUS-SEGMENT'!$FK$8:$FK$154),0)</f>
        <v>0</v>
      </c>
      <c r="JV17" s="748">
        <f>IFERROR(SUMPRODUCT(('ANALYSE - ERP =&gt; SOUS-SEGMENT'!$C$8:$C$154=$C17)*'ANALYSE - ERP =&gt; SOUS-SEGMENT'!$Q$8:$Q$154*'ANALYSE - ERP =&gt; SOUS-SEGMENT'!$FK$8:$FK$154*'ANALYSE - ERP =&gt; SOUS-SEGMENT'!$JY$8:$JY$154)/SUMPRODUCT(('ANALYSE - ERP =&gt; SOUS-SEGMENT'!$C$8:$C$154=$C17)*'ANALYSE - ERP =&gt; SOUS-SEGMENT'!$Q$8:$Q$154*'ANALYSE - ERP =&gt; SOUS-SEGMENT'!$FK$8:$FK$154),0)</f>
        <v>8.0775424527808379E-2</v>
      </c>
      <c r="JW17" s="748">
        <f>IFERROR(SUMPRODUCT(('ANALYSE - ERP =&gt; SOUS-SEGMENT'!$C$8:$C$154=$C17)*'ANALYSE - ERP =&gt; SOUS-SEGMENT'!$Q$8:$Q$154*'ANALYSE - ERP =&gt; SOUS-SEGMENT'!$FK$8:$FK$154*'ANALYSE - ERP =&gt; SOUS-SEGMENT'!$JZ$8:$JZ$154)/SUMPRODUCT(('ANALYSE - ERP =&gt; SOUS-SEGMENT'!$C$8:$C$154=$C17)*'ANALYSE - ERP =&gt; SOUS-SEGMENT'!$Q$8:$Q$154*'ANALYSE - ERP =&gt; SOUS-SEGMENT'!$FK$8:$FK$154),0)</f>
        <v>0.43652335134577758</v>
      </c>
      <c r="JX17" s="748">
        <f>IFERROR(SUMPRODUCT(('ANALYSE - ERP =&gt; SOUS-SEGMENT'!$C$8:$C$154=$C17)*'ANALYSE - ERP =&gt; SOUS-SEGMENT'!$Q$8:$Q$154*'ANALYSE - ERP =&gt; SOUS-SEGMENT'!$FK$8:$FK$154*'ANALYSE - ERP =&gt; SOUS-SEGMENT'!$KA$8:$KA$154)/SUMPRODUCT(('ANALYSE - ERP =&gt; SOUS-SEGMENT'!$C$8:$C$154=$C17)*'ANALYSE - ERP =&gt; SOUS-SEGMENT'!$Q$8:$Q$154*'ANALYSE - ERP =&gt; SOUS-SEGMENT'!$FK$8:$FK$154),0)</f>
        <v>0.40771151767794894</v>
      </c>
      <c r="JY17" s="775">
        <f>IFERROR(SUMPRODUCT(('ANALYSE - ERP =&gt; SOUS-SEGMENT'!$C$8:$C$154=$C17)*'ANALYSE - ERP =&gt; SOUS-SEGMENT'!$Q$8:$Q$154*'ANALYSE - ERP =&gt; SOUS-SEGMENT'!$FK$8:$FK$154*'ANALYSE - ERP =&gt; SOUS-SEGMENT'!$KB$8:$KB$154)/SUMPRODUCT(('ANALYSE - ERP =&gt; SOUS-SEGMENT'!$C$8:$C$154=$C17)*'ANALYSE - ERP =&gt; SOUS-SEGMENT'!$Q$8:$Q$154*'ANALYSE - ERP =&gt; SOUS-SEGMENT'!$FK$8:$FK$154),0)</f>
        <v>7.4989706448465102E-2</v>
      </c>
      <c r="JZ17" s="657"/>
      <c r="KA17" s="298" t="s">
        <v>2591</v>
      </c>
      <c r="KB17" s="298" t="s">
        <v>2625</v>
      </c>
      <c r="KC17" s="888">
        <f>IFERROR(SUMPRODUCT(('ANALYSE - ERP =&gt; SOUS-SEGMENT'!$C$8:$C$154=$C18)*'ANALYSE - ERP =&gt; SOUS-SEGMENT'!$Q$8:$Q$154*'ANALYSE - ERP =&gt; SOUS-SEGMENT'!$EX$8:$EX$154*'ANALYSE - ERP =&gt; SOUS-SEGMENT'!$KF$8:$KF$154)/SUMPRODUCT(('ANALYSE - ERP =&gt; SOUS-SEGMENT'!$C$8:$C$154=$C18)*'ANALYSE - ERP =&gt; SOUS-SEGMENT'!$Q$8:$Q$154*'ANALYSE - ERP =&gt; SOUS-SEGMENT'!$EX$8:$EX$154),"")</f>
        <v>3.7624187621794674</v>
      </c>
      <c r="KD17" s="298" t="s">
        <v>2616</v>
      </c>
      <c r="KE17" s="300" t="s">
        <v>3732</v>
      </c>
      <c r="KF17" s="620" t="s">
        <v>6760</v>
      </c>
      <c r="KG17" s="300" t="s">
        <v>6760</v>
      </c>
    </row>
    <row r="18" spans="1:293" ht="108" customHeight="1">
      <c r="A18" s="273">
        <v>12</v>
      </c>
      <c r="B18" s="484" t="s">
        <v>3662</v>
      </c>
      <c r="C18" s="484" t="s">
        <v>1337</v>
      </c>
      <c r="D18" s="484" t="s">
        <v>6974</v>
      </c>
      <c r="E18" s="275" t="s">
        <v>6975</v>
      </c>
      <c r="F18" s="275" t="s">
        <v>3009</v>
      </c>
      <c r="G18" s="275" t="s">
        <v>300</v>
      </c>
      <c r="H18" s="275" t="s">
        <v>2109</v>
      </c>
      <c r="I18" s="276" t="s">
        <v>6976</v>
      </c>
      <c r="J18" s="276" t="s">
        <v>6977</v>
      </c>
      <c r="K18" s="277" t="s">
        <v>2097</v>
      </c>
      <c r="L18" s="277" t="s">
        <v>2109</v>
      </c>
      <c r="M18" s="277" t="s">
        <v>2603</v>
      </c>
      <c r="N18" s="277" t="s">
        <v>6742</v>
      </c>
      <c r="O18" s="277" t="s">
        <v>2616</v>
      </c>
      <c r="P18" s="276"/>
      <c r="Q18" s="270">
        <f>IF(SUMPRODUCT(('ANALYSE - ERP =&gt; SOUS-SEGMENT'!$C$8:$C$154=$C18)*'ANALYSE - ERP =&gt; SOUS-SEGMENT'!$Q$8:$Q$154)&gt;0,1,0)</f>
        <v>1</v>
      </c>
      <c r="R18" s="278">
        <f>IFERROR(SUMPRODUCT(('ANALYSE - ERP =&gt; SOUS-SEGMENT'!$C$8:$C$154=$C18)*'ANALYSE - ERP =&gt; SOUS-SEGMENT'!$Q$8:$Q$154*'ANALYSE - ERP =&gt; SOUS-SEGMENT'!$AG$8:$AG$154*'ANALYSE - ERP =&gt; SOUS-SEGMENT'!$R$8:$R$154)/SUMPRODUCT(('ANALYSE - ERP =&gt; SOUS-SEGMENT'!$C$8:$C$154=$C18)*'ANALYSE - ERP =&gt; SOUS-SEGMENT'!$Q$8:$Q$154*'ANALYSE - ERP =&gt; SOUS-SEGMENT'!$AG$8:$AG$154),"")</f>
        <v>461.09693877551018</v>
      </c>
      <c r="S18" s="279">
        <f>SUMPRODUCT(('ANALYSE - ERP =&gt; SOUS-SEGMENT'!$C$8:$C$154=$C18)*'ANALYSE - ERP =&gt; SOUS-SEGMENT'!$Q$8:$Q$154*'ANALYSE - ERP =&gt; SOUS-SEGMENT'!$S$8:$S$154)</f>
        <v>470</v>
      </c>
      <c r="T18" s="279">
        <f>SUMPRODUCT(('ANALYSE - ERP =&gt; SOUS-SEGMENT'!$C$8:$C$154=$C18)*'ANALYSE - ERP =&gt; SOUS-SEGMENT'!$Q$8:$Q$154*'ANALYSE - ERP =&gt; SOUS-SEGMENT'!$T$8:$T$154)</f>
        <v>545</v>
      </c>
      <c r="U18" s="279">
        <f>SUMPRODUCT(('ANALYSE - ERP =&gt; SOUS-SEGMENT'!$C$8:$C$154=$C18)*'ANALYSE - ERP =&gt; SOUS-SEGMENT'!$Q$8:$Q$154*'ANALYSE - ERP =&gt; SOUS-SEGMENT'!$U$8:$U$154)</f>
        <v>620</v>
      </c>
      <c r="V18" s="279">
        <f>SUMPRODUCT(('ANALYSE - ERP =&gt; SOUS-SEGMENT'!$C$8:$C$154=$C18)*'ANALYSE - ERP =&gt; SOUS-SEGMENT'!$Q$8:$Q$154*'ANALYSE - ERP =&gt; SOUS-SEGMENT'!$V$8:$V$154)</f>
        <v>700</v>
      </c>
      <c r="W18" s="279">
        <f>SUMPRODUCT(('ANALYSE - ERP =&gt; SOUS-SEGMENT'!$C$8:$C$154=$C18)*'ANALYSE - ERP =&gt; SOUS-SEGMENT'!$Q$8:$Q$154*'ANALYSE - ERP =&gt; SOUS-SEGMENT'!$W$8:$W$154)</f>
        <v>702</v>
      </c>
      <c r="X18" s="279">
        <f>SUMPRODUCT(('ANALYSE - ERP =&gt; SOUS-SEGMENT'!$C$8:$C$154=$C18)*'ANALYSE - ERP =&gt; SOUS-SEGMENT'!$Q$8:$Q$154*'ANALYSE - ERP =&gt; SOUS-SEGMENT'!$X$8:$X$154)</f>
        <v>705</v>
      </c>
      <c r="Y18" s="279">
        <f>SUMPRODUCT(('ANALYSE - ERP =&gt; SOUS-SEGMENT'!$C$8:$C$154=$C18)*'ANALYSE - ERP =&gt; SOUS-SEGMENT'!$Q$8:$Q$154*'ANALYSE - ERP =&gt; SOUS-SEGMENT'!$Y$8:$Y$154)</f>
        <v>708</v>
      </c>
      <c r="Z18" s="279">
        <f>SUMPRODUCT(('ANALYSE - ERP =&gt; SOUS-SEGMENT'!$C$8:$C$154=$C18)*'ANALYSE - ERP =&gt; SOUS-SEGMENT'!$Q$8:$Q$154*'ANALYSE - ERP =&gt; SOUS-SEGMENT'!$Z$8:$Z$154)</f>
        <v>712</v>
      </c>
      <c r="AA18" s="279">
        <f>SUMPRODUCT(('ANALYSE - ERP =&gt; SOUS-SEGMENT'!$C$8:$C$154=$C18)*'ANALYSE - ERP =&gt; SOUS-SEGMENT'!$Q$8:$Q$154*'ANALYSE - ERP =&gt; SOUS-SEGMENT'!$AA$8:$AA$154)</f>
        <v>666</v>
      </c>
      <c r="AB18" s="279">
        <f>SUMPRODUCT(('ANALYSE - ERP =&gt; SOUS-SEGMENT'!$C$8:$C$154=$C18)*'ANALYSE - ERP =&gt; SOUS-SEGMENT'!$Q$8:$Q$154*'ANALYSE - ERP =&gt; SOUS-SEGMENT'!$AB$8:$AB$154)</f>
        <v>693</v>
      </c>
      <c r="AC18" s="279">
        <f>SUMPRODUCT(('ANALYSE - ERP =&gt; SOUS-SEGMENT'!$C$8:$C$154=$C18)*'ANALYSE - ERP =&gt; SOUS-SEGMENT'!$Q$8:$Q$154*'ANALYSE - ERP =&gt; SOUS-SEGMENT'!$AC$8:$AC$154)</f>
        <v>720</v>
      </c>
      <c r="AD18" s="279">
        <f>SUMPRODUCT(('ANALYSE - ERP =&gt; SOUS-SEGMENT'!$C$8:$C$154=$C18)*'ANALYSE - ERP =&gt; SOUS-SEGMENT'!$Q$8:$Q$154*'ANALYSE - ERP =&gt; SOUS-SEGMENT'!$AD$8:$AD$154)</f>
        <v>742</v>
      </c>
      <c r="AE18" s="279">
        <f>SUMPRODUCT(('ANALYSE - ERP =&gt; SOUS-SEGMENT'!$C$8:$C$154=$C18)*'ANALYSE - ERP =&gt; SOUS-SEGMENT'!$Q$8:$Q$154*'ANALYSE - ERP =&gt; SOUS-SEGMENT'!$AE$8:$AE$154)</f>
        <v>759</v>
      </c>
      <c r="AF18" s="279">
        <f>SUMPRODUCT(('ANALYSE - ERP =&gt; SOUS-SEGMENT'!$C$8:$C$154=$C18)*'ANALYSE - ERP =&gt; SOUS-SEGMENT'!$Q$8:$Q$154*'ANALYSE - ERP =&gt; SOUS-SEGMENT'!$AF$8:$AF$154)</f>
        <v>775</v>
      </c>
      <c r="AG18" s="279">
        <f>SUMPRODUCT(('ANALYSE - ERP =&gt; SOUS-SEGMENT'!$C$8:$C$154=$C18)*'ANALYSE - ERP =&gt; SOUS-SEGMENT'!$Q$8:$Q$154*'ANALYSE - ERP =&gt; SOUS-SEGMENT'!$AG$8:$AG$154)</f>
        <v>784</v>
      </c>
      <c r="AH18" s="279">
        <f>SUMPRODUCT(('ANALYSE - ERP =&gt; SOUS-SEGMENT'!$C$8:$C$154=$C18)*'ANALYSE - ERP =&gt; SOUS-SEGMENT'!$Q$8:$Q$154*'ANALYSE - ERP =&gt; SOUS-SEGMENT'!$AH$8:$AH$154)</f>
        <v>793</v>
      </c>
      <c r="AI18" s="279">
        <f>SUMPRODUCT(('ANALYSE - ERP =&gt; SOUS-SEGMENT'!$C$8:$C$154=$C18)*'ANALYSE - ERP =&gt; SOUS-SEGMENT'!$Q$8:$Q$154*'ANALYSE - ERP =&gt; SOUS-SEGMENT'!$AI$8:$AI$154)</f>
        <v>802</v>
      </c>
      <c r="AJ18" s="279">
        <f>SUMPRODUCT(('ANALYSE - ERP =&gt; SOUS-SEGMENT'!$C$8:$C$154=$C18)*'ANALYSE - ERP =&gt; SOUS-SEGMENT'!$Q$8:$Q$154*'ANALYSE - ERP =&gt; SOUS-SEGMENT'!$AJ$8:$AJ$154)</f>
        <v>811</v>
      </c>
      <c r="AK18" s="279">
        <f>SUMPRODUCT(('ANALYSE - ERP =&gt; SOUS-SEGMENT'!$C$8:$C$154=$C18)*'ANALYSE - ERP =&gt; SOUS-SEGMENT'!$Q$8:$Q$154*'ANALYSE - ERP =&gt; SOUS-SEGMENT'!$AK$8:$AK$154)</f>
        <v>820</v>
      </c>
      <c r="AL18" s="276" t="s">
        <v>6978</v>
      </c>
      <c r="AM18" s="276" t="s">
        <v>6979</v>
      </c>
      <c r="AN18" s="276" t="s">
        <v>3823</v>
      </c>
      <c r="AO18" s="657"/>
      <c r="AP18" s="278">
        <f>IFERROR(SUMPRODUCT(('ANALYSE - ERP =&gt; SOUS-SEGMENT'!$C$8:$C$154=$C18)*'ANALYSE - ERP =&gt; SOUS-SEGMENT'!$Q$8:$Q$154*'ANALYSE - ERP =&gt; SOUS-SEGMENT'!$AG$8:$AG$154*'ANALYSE - ERP =&gt; SOUS-SEGMENT'!$AP$8:$AP$154)/SUMPRODUCT(('ANALYSE - ERP =&gt; SOUS-SEGMENT'!$C$8:$C$154=$C18)*'ANALYSE - ERP =&gt; SOUS-SEGMENT'!$Q$8:$Q$154*'ANALYSE - ERP =&gt; SOUS-SEGMENT'!$AG$8:$AG$154),"")</f>
        <v>202.67857142857142</v>
      </c>
      <c r="AQ18" s="278">
        <f>IFERROR(SUMPRODUCT(('ANALYSE - ERP =&gt; SOUS-SEGMENT'!$C$8:$C$154=$C18)*'ANALYSE - ERP =&gt; SOUS-SEGMENT'!$Q$8:$Q$154*'ANALYSE - ERP =&gt; SOUS-SEGMENT'!$AF$8:$AF$154*'ANALYSE - ERP =&gt; SOUS-SEGMENT'!$AQ$8:$AQ$154)/SUMPRODUCT(('ANALYSE - ERP =&gt; SOUS-SEGMENT'!$C$8:$C$154=$C18)*'ANALYSE - ERP =&gt; SOUS-SEGMENT'!$Q$8:$Q$154*'ANALYSE - ERP =&gt; SOUS-SEGMENT'!$AF$8:$AF$154),"")</f>
        <v>178.12903225806451</v>
      </c>
      <c r="AR18" s="973">
        <f>IFERROR(SUMPRODUCT(('ANALYSE - ERP =&gt; SOUS-SEGMENT'!$C$8:$C$154=$C18)*'ANALYSE - ERP =&gt; SOUS-SEGMENT'!$Q$8:$Q$154*'ANALYSE - ERP =&gt; SOUS-SEGMENT'!$AF$8:$AF$154*'ANALYSE - ERP =&gt; SOUS-SEGMENT'!$AR$8:$AR$154)/SUMPRODUCT(('ANALYSE - ERP =&gt; SOUS-SEGMENT'!$C$8:$C$154=$C18)*'ANALYSE - ERP =&gt; SOUS-SEGMENT'!$Q$8:$Q$154*'ANALYSE - ERP =&gt; SOUS-SEGMENT'!$AF$8:$AF$154),"")</f>
        <v>15.870967741935484</v>
      </c>
      <c r="AS18" s="973">
        <f>IFERROR(SUMPRODUCT(('ANALYSE - ERP =&gt; SOUS-SEGMENT'!$C$8:$C$154=$C18)*'ANALYSE - ERP =&gt; SOUS-SEGMENT'!$Q$8:$Q$154*'ANALYSE - ERP =&gt; SOUS-SEGMENT'!$AF$8:$AF$154*'ANALYSE - ERP =&gt; SOUS-SEGMENT'!$AS$8:$AS$154)/SUMPRODUCT(('ANALYSE - ERP =&gt; SOUS-SEGMENT'!$C$8:$C$154=$C18)*'ANALYSE - ERP =&gt; SOUS-SEGMENT'!$Q$8:$Q$154*'ANALYSE - ERP =&gt; SOUS-SEGMENT'!$AF$8:$AF$154),"")</f>
        <v>7.935483870967742</v>
      </c>
      <c r="AT18" s="657" t="s">
        <v>6980</v>
      </c>
      <c r="AU18" s="276" t="s">
        <v>6981</v>
      </c>
      <c r="AV18" s="296" t="s">
        <v>2609</v>
      </c>
      <c r="AW18" s="276"/>
      <c r="AX18" s="657"/>
      <c r="AY18" s="282">
        <f>IFERROR(SUMPRODUCT(('ANALYSE - ERP =&gt; SOUS-SEGMENT'!$C$8:$C$154=$C18)*'ANALYSE - ERP =&gt; SOUS-SEGMENT'!$Q$8:$Q$154*'ANALYSE - ERP =&gt; SOUS-SEGMENT'!$AF$8:$AF$154*'ANALYSE - ERP =&gt; SOUS-SEGMENT'!$AZ$8:$AZ$154)/SUMPRODUCT(('ANALYSE - ERP =&gt; SOUS-SEGMENT'!$C$8:$C$154=$C18)*'ANALYSE - ERP =&gt; SOUS-SEGMENT'!$Q$8:$Q$154*'ANALYSE - ERP =&gt; SOUS-SEGMENT'!$AF$8:$AF$154),"")</f>
        <v>5.4838709677419351</v>
      </c>
      <c r="AZ18" s="947">
        <f>IFERROR(SUMPRODUCT(('ANALYSE - ERP =&gt; SOUS-SEGMENT'!$C$8:$C$154=$C18)*'ANALYSE - ERP =&gt; SOUS-SEGMENT'!$Q$8:$Q$154*'ANALYSE - ERP =&gt; SOUS-SEGMENT'!$AF$8:$AF$154*'ANALYSE - ERP =&gt; SOUS-SEGMENT'!$BA$8:$BA$154)/SUMPRODUCT(('ANALYSE - ERP =&gt; SOUS-SEGMENT'!$C$8:$C$154=$C18)*'ANALYSE - ERP =&gt; SOUS-SEGMENT'!$Q$8:$Q$154*'ANALYSE - ERP =&gt; SOUS-SEGMENT'!$AF$8:$AF$154),"")</f>
        <v>0.22903225806451613</v>
      </c>
      <c r="BA18" s="282">
        <f>IFERROR(SUMPRODUCT(('ANALYSE - ERP =&gt; SOUS-SEGMENT'!$C$8:$C$154=$C18)*'ANALYSE - ERP =&gt; SOUS-SEGMENT'!$Q$8:$Q$154*'ANALYSE - ERP =&gt; SOUS-SEGMENT'!$AF$8:$AF$154*'ANALYSE - ERP =&gt; SOUS-SEGMENT'!$BB$8:$BB$154)/SUMPRODUCT(('ANALYSE - ERP =&gt; SOUS-SEGMENT'!$C$8:$C$154=$C18)*'ANALYSE - ERP =&gt; SOUS-SEGMENT'!$Q$8:$Q$154*'ANALYSE - ERP =&gt; SOUS-SEGMENT'!$AF$8:$AF$154),"")</f>
        <v>1.5161290322580645</v>
      </c>
      <c r="BB18" s="282">
        <f>IFERROR(SUMPRODUCT(('ANALYSE - ERP =&gt; SOUS-SEGMENT'!$C$8:$C$154=$C18)*'ANALYSE - ERP =&gt; SOUS-SEGMENT'!$Q$8:$Q$154*'ANALYSE - ERP =&gt; SOUS-SEGMENT'!$AF$8:$AF$154*'ANALYSE - ERP =&gt; SOUS-SEGMENT'!$BC$8:$BC$154)/SUMPRODUCT(('ANALYSE - ERP =&gt; SOUS-SEGMENT'!$C$8:$C$154=$C18)*'ANALYSE - ERP =&gt; SOUS-SEGMENT'!$Q$8:$Q$154*'ANALYSE - ERP =&gt; SOUS-SEGMENT'!$AF$8:$AF$154),"")</f>
        <v>4.903225806451613</v>
      </c>
      <c r="BC18" s="283">
        <f>SUMPRODUCT(('ANALYSE - ERP =&gt; SOUS-SEGMENT'!$C$8:$C$154=$C18)*'ANALYSE - ERP =&gt; SOUS-SEGMENT'!$Q$8:$Q$154*'ANALYSE - ERP =&gt; SOUS-SEGMENT'!$BE$8:$BE$154)</f>
        <v>4250</v>
      </c>
      <c r="BD18" s="283">
        <f>SUMPRODUCT(('ANALYSE - ERP =&gt; SOUS-SEGMENT'!$C$8:$C$154=$C18)*'ANALYSE - ERP =&gt; SOUS-SEGMENT'!$Q$8:$Q$154*'ANALYSE - ERP =&gt; SOUS-SEGMENT'!$BF$8:$BF$154)</f>
        <v>177.5</v>
      </c>
      <c r="BE18" s="283">
        <f>SUMPRODUCT(('ANALYSE - ERP =&gt; SOUS-SEGMENT'!$C$8:$C$154=$C18)*'ANALYSE - ERP =&gt; SOUS-SEGMENT'!$Q$8:$Q$154*'ANALYSE - ERP =&gt; SOUS-SEGMENT'!$BG$8:$BG$154)</f>
        <v>1175</v>
      </c>
      <c r="BF18" s="283">
        <f>SUMPRODUCT(('ANALYSE - ERP =&gt; SOUS-SEGMENT'!$C$8:$C$154=$C18)*'ANALYSE - ERP =&gt; SOUS-SEGMENT'!$Q$8:$Q$154*'ANALYSE - ERP =&gt; SOUS-SEGMENT'!$BH$8:$BH$154)</f>
        <v>3800</v>
      </c>
      <c r="BG18" s="283">
        <f>SUMPRODUCT(('ANALYSE - ERP =&gt; SOUS-SEGMENT'!$C$8:$C$154=$C18)*'ANALYSE - ERP =&gt; SOUS-SEGMENT'!$Q$8:$Q$154*'ANALYSE - ERP =&gt; SOUS-SEGMENT'!$BJ$8:$BJ$154)</f>
        <v>4580</v>
      </c>
      <c r="BH18" s="283">
        <f>SUMPRODUCT(('ANALYSE - ERP =&gt; SOUS-SEGMENT'!$C$8:$C$154=$C18)*'ANALYSE - ERP =&gt; SOUS-SEGMENT'!$Q$8:$Q$154*'ANALYSE - ERP =&gt; SOUS-SEGMENT'!$BK$8:$BK$154)</f>
        <v>188.5</v>
      </c>
      <c r="BI18" s="283">
        <f>SUMPRODUCT(('ANALYSE - ERP =&gt; SOUS-SEGMENT'!$C$8:$C$154=$C18)*'ANALYSE - ERP =&gt; SOUS-SEGMENT'!$Q$8:$Q$154*'ANALYSE - ERP =&gt; SOUS-SEGMENT'!$BL$8:$BL$154)</f>
        <v>1267.5</v>
      </c>
      <c r="BJ18" s="283">
        <f>SUMPRODUCT(('ANALYSE - ERP =&gt; SOUS-SEGMENT'!$C$8:$C$154=$C18)*'ANALYSE - ERP =&gt; SOUS-SEGMENT'!$Q$8:$Q$154*'ANALYSE - ERP =&gt; SOUS-SEGMENT'!$BM$8:$BM$154)</f>
        <v>4090</v>
      </c>
      <c r="BK18" s="657"/>
      <c r="BL18" s="580">
        <f>IFERROR(SUMPRODUCT(('ANALYSE - ERP =&gt; SOUS-SEGMENT'!$C$8:$C$154=$C18)*'ANALYSE - ERP =&gt; SOUS-SEGMENT'!$Q$8:$Q$154*'ANALYSE - ERP =&gt; SOUS-SEGMENT'!$BE$8:$BE$154*'ANALYSE - ERP =&gt; SOUS-SEGMENT'!$BO$8:$BO$154)/SUMPRODUCT(('ANALYSE - ERP =&gt; SOUS-SEGMENT'!$C$8:$C$154=$C18)*'ANALYSE - ERP =&gt; SOUS-SEGMENT'!$Q$8:$Q$154*'ANALYSE - ERP =&gt; SOUS-SEGMENT'!$BE$8:$BE$154),"")</f>
        <v>0.21635294117647058</v>
      </c>
      <c r="BM18" s="305">
        <f>IFERROR(SUMPRODUCT(('ANALYSE - ERP =&gt; SOUS-SEGMENT'!$C$8:$C$154=$C18)*'ANALYSE - ERP =&gt; SOUS-SEGMENT'!$Q$8:$Q$154*'ANALYSE - ERP =&gt; SOUS-SEGMENT'!$BE$8:$BE$154*'ANALYSE - ERP =&gt; SOUS-SEGMENT'!$BP$8:$BP$154)/SUMPRODUCT(('ANALYSE - ERP =&gt; SOUS-SEGMENT'!$C$8:$C$154=$C18)*'ANALYSE - ERP =&gt; SOUS-SEGMENT'!$Q$8:$Q$154*'ANALYSE - ERP =&gt; SOUS-SEGMENT'!$BE$8:$BE$154),"")</f>
        <v>0.64588235294117646</v>
      </c>
      <c r="BN18" s="305">
        <f>IFERROR(SUMPRODUCT(('ANALYSE - ERP =&gt; SOUS-SEGMENT'!$C$8:$C$154=$C18)*'ANALYSE - ERP =&gt; SOUS-SEGMENT'!$Q$8:$Q$154*'ANALYSE - ERP =&gt; SOUS-SEGMENT'!$BE$8:$BE$154*'ANALYSE - ERP =&gt; SOUS-SEGMENT'!$BQ$8:$BQ$154)/SUMPRODUCT(('ANALYSE - ERP =&gt; SOUS-SEGMENT'!$C$8:$C$154=$C18)*'ANALYSE - ERP =&gt; SOUS-SEGMENT'!$Q$8:$Q$154*'ANALYSE - ERP =&gt; SOUS-SEGMENT'!$BE$8:$BE$154),"")</f>
        <v>6.7058823529411768E-2</v>
      </c>
      <c r="BO18" s="581">
        <f>IFERROR(SUMPRODUCT(('ANALYSE - ERP =&gt; SOUS-SEGMENT'!$C$8:$C$154=$C18)*'ANALYSE - ERP =&gt; SOUS-SEGMENT'!$Q$8:$Q$154*'ANALYSE - ERP =&gt; SOUS-SEGMENT'!$BE$8:$BE$154*'ANALYSE - ERP =&gt; SOUS-SEGMENT'!$BR$8:$BR$154)/SUMPRODUCT(('ANALYSE - ERP =&gt; SOUS-SEGMENT'!$C$8:$C$154=$C18)*'ANALYSE - ERP =&gt; SOUS-SEGMENT'!$Q$8:$Q$154*'ANALYSE - ERP =&gt; SOUS-SEGMENT'!$BE$8:$BE$154),"")</f>
        <v>7.0705882352941174E-2</v>
      </c>
      <c r="BP18" s="580">
        <f>IFERROR(SUMPRODUCT(('ANALYSE - ERP =&gt; SOUS-SEGMENT'!$C$8:$C$154=$C18)*'ANALYSE - ERP =&gt; SOUS-SEGMENT'!$Q$8:$Q$154*'ANALYSE - ERP =&gt; SOUS-SEGMENT'!$BJ$8:$BJ$154*'ANALYSE - ERP =&gt; SOUS-SEGMENT'!$BS$8:$BS$154)/SUMPRODUCT(('ANALYSE - ERP =&gt; SOUS-SEGMENT'!$C$8:$C$154=$C18)*'ANALYSE - ERP =&gt; SOUS-SEGMENT'!$Q$8:$Q$154*'ANALYSE - ERP =&gt; SOUS-SEGMENT'!$BJ$8:$BJ$154),"")</f>
        <v>0.19237991266375545</v>
      </c>
      <c r="BQ18" s="305">
        <f>IFERROR(SUMPRODUCT(('ANALYSE - ERP =&gt; SOUS-SEGMENT'!$C$8:$C$154=$C18)*'ANALYSE - ERP =&gt; SOUS-SEGMENT'!$Q$8:$Q$154*'ANALYSE - ERP =&gt; SOUS-SEGMENT'!$BJ$8:$BJ$154*'ANALYSE - ERP =&gt; SOUS-SEGMENT'!$BT$8:$BT$154)/SUMPRODUCT(('ANALYSE - ERP =&gt; SOUS-SEGMENT'!$C$8:$C$154=$C18)*'ANALYSE - ERP =&gt; SOUS-SEGMENT'!$Q$8:$Q$154*'ANALYSE - ERP =&gt; SOUS-SEGMENT'!$BJ$8:$BJ$154),"")</f>
        <v>0.64762008733624454</v>
      </c>
      <c r="BR18" s="305">
        <f>IFERROR(SUMPRODUCT(('ANALYSE - ERP =&gt; SOUS-SEGMENT'!$C$8:$C$154=$C18)*'ANALYSE - ERP =&gt; SOUS-SEGMENT'!$Q$8:$Q$154*'ANALYSE - ERP =&gt; SOUS-SEGMENT'!$BJ$8:$BJ$154*'ANALYSE - ERP =&gt; SOUS-SEGMENT'!$BU$8:$BU$154)/SUMPRODUCT(('ANALYSE - ERP =&gt; SOUS-SEGMENT'!$C$8:$C$154=$C18)*'ANALYSE - ERP =&gt; SOUS-SEGMENT'!$Q$8:$Q$154*'ANALYSE - ERP =&gt; SOUS-SEGMENT'!$BJ$8:$BJ$154),"")</f>
        <v>9.2423580786026208E-2</v>
      </c>
      <c r="BS18" s="581">
        <f>IFERROR(SUMPRODUCT(('ANALYSE - ERP =&gt; SOUS-SEGMENT'!$C$8:$C$154=$C18)*'ANALYSE - ERP =&gt; SOUS-SEGMENT'!$Q$8:$Q$154*'ANALYSE - ERP =&gt; SOUS-SEGMENT'!$BJ$8:$BJ$154*'ANALYSE - ERP =&gt; SOUS-SEGMENT'!$BV$8:$BV$154)/SUMPRODUCT(('ANALYSE - ERP =&gt; SOUS-SEGMENT'!$C$8:$C$154=$C18)*'ANALYSE - ERP =&gt; SOUS-SEGMENT'!$Q$8:$Q$154*'ANALYSE - ERP =&gt; SOUS-SEGMENT'!$BJ$8:$BJ$154),"")</f>
        <v>6.7576419213973796E-2</v>
      </c>
      <c r="BT18" s="589">
        <f>IFERROR(SUMPRODUCT(('ANALYSE - ERP =&gt; SOUS-SEGMENT'!$C$8:$C$154=$C18)*'ANALYSE - ERP =&gt; SOUS-SEGMENT'!$Q$8:$Q$154*'ANALYSE - ERP =&gt; SOUS-SEGMENT'!$BF$8:$BF$154*'ANALYSE - ERP =&gt; SOUS-SEGMENT'!$BW$8:$BW$154)/SUMPRODUCT(('ANALYSE - ERP =&gt; SOUS-SEGMENT'!$C$8:$C$154=$C18)*'ANALYSE - ERP =&gt; SOUS-SEGMENT'!$Q$8:$Q$154*'ANALYSE - ERP =&gt; SOUS-SEGMENT'!$BF$8:$BF$154),"")</f>
        <v>0.7</v>
      </c>
      <c r="BU18" s="306">
        <f>IFERROR(SUMPRODUCT(('ANALYSE - ERP =&gt; SOUS-SEGMENT'!$C$8:$C$154=$C18)*'ANALYSE - ERP =&gt; SOUS-SEGMENT'!$Q$8:$Q$154*'ANALYSE - ERP =&gt; SOUS-SEGMENT'!$BF$8:$BF$154*'ANALYSE - ERP =&gt; SOUS-SEGMENT'!$BX$8:$BX$154)/SUMPRODUCT(('ANALYSE - ERP =&gt; SOUS-SEGMENT'!$C$8:$C$154=$C18)*'ANALYSE - ERP =&gt; SOUS-SEGMENT'!$Q$8:$Q$154*'ANALYSE - ERP =&gt; SOUS-SEGMENT'!$BF$8:$BF$154),"")</f>
        <v>0.25</v>
      </c>
      <c r="BV18" s="590">
        <f>IFERROR(SUMPRODUCT(('ANALYSE - ERP =&gt; SOUS-SEGMENT'!$C$8:$C$154=$C18)*'ANALYSE - ERP =&gt; SOUS-SEGMENT'!$Q$8:$Q$154*'ANALYSE - ERP =&gt; SOUS-SEGMENT'!$BF$8:$BF$154*'ANALYSE - ERP =&gt; SOUS-SEGMENT'!$BY$8:$BY$154)/SUMPRODUCT(('ANALYSE - ERP =&gt; SOUS-SEGMENT'!$C$8:$C$154=$C18)*'ANALYSE - ERP =&gt; SOUS-SEGMENT'!$Q$8:$Q$154*'ANALYSE - ERP =&gt; SOUS-SEGMENT'!$BF$8:$BF$154),"")</f>
        <v>0.05</v>
      </c>
      <c r="BW18" s="589">
        <f>IFERROR(SUMPRODUCT(('ANALYSE - ERP =&gt; SOUS-SEGMENT'!$C$8:$C$154=$C18)*'ANALYSE - ERP =&gt; SOUS-SEGMENT'!$Q$8:$Q$154*'ANALYSE - ERP =&gt; SOUS-SEGMENT'!$BK$8:$BK$154*'ANALYSE - ERP =&gt; SOUS-SEGMENT'!$BZ$8:$BZ$154)/SUMPRODUCT(('ANALYSE - ERP =&gt; SOUS-SEGMENT'!$C$8:$C$154=$C18)*'ANALYSE - ERP =&gt; SOUS-SEGMENT'!$Q$8:$Q$154*'ANALYSE - ERP =&gt; SOUS-SEGMENT'!$BK$8:$BK$154),"")</f>
        <v>0.53302387267904505</v>
      </c>
      <c r="BX18" s="306">
        <f>IFERROR(SUMPRODUCT(('ANALYSE - ERP =&gt; SOUS-SEGMENT'!$C$8:$C$154=$C18)*'ANALYSE - ERP =&gt; SOUS-SEGMENT'!$Q$8:$Q$154*'ANALYSE - ERP =&gt; SOUS-SEGMENT'!$BK$8:$BK$154*'ANALYSE - ERP =&gt; SOUS-SEGMENT'!$CA$8:$CA$154)/SUMPRODUCT(('ANALYSE - ERP =&gt; SOUS-SEGMENT'!$C$8:$C$154=$C18)*'ANALYSE - ERP =&gt; SOUS-SEGMENT'!$Q$8:$Q$154*'ANALYSE - ERP =&gt; SOUS-SEGMENT'!$BK$8:$BK$154),"")</f>
        <v>0.37358090185676396</v>
      </c>
      <c r="BY18" s="590">
        <f>IFERROR(SUMPRODUCT(('ANALYSE - ERP =&gt; SOUS-SEGMENT'!$C$8:$C$154=$C18)*'ANALYSE - ERP =&gt; SOUS-SEGMENT'!$Q$8:$Q$154*'ANALYSE - ERP =&gt; SOUS-SEGMENT'!$BK$8:$BK$154*'ANALYSE - ERP =&gt; SOUS-SEGMENT'!$CB$8:$CB$154)/SUMPRODUCT(('ANALYSE - ERP =&gt; SOUS-SEGMENT'!$C$8:$C$154=$C18)*'ANALYSE - ERP =&gt; SOUS-SEGMENT'!$Q$8:$Q$154*'ANALYSE - ERP =&gt; SOUS-SEGMENT'!$BK$8:$BK$154),"")</f>
        <v>9.339522546419099E-2</v>
      </c>
      <c r="BZ18" s="580">
        <f>IFERROR(SUMPRODUCT(('ANALYSE - ERP =&gt; SOUS-SEGMENT'!$C$8:$C$154=$C18)*'ANALYSE - ERP =&gt; SOUS-SEGMENT'!$Q$8:$Q$154*'ANALYSE - ERP =&gt; SOUS-SEGMENT'!$BG$8:$BG$154*'ANALYSE - ERP =&gt; SOUS-SEGMENT'!$CC$8:$CC$154)/SUMPRODUCT(('ANALYSE - ERP =&gt; SOUS-SEGMENT'!$C$8:$C$154=$C18)*'ANALYSE - ERP =&gt; SOUS-SEGMENT'!$Q$8:$Q$154*'ANALYSE - ERP =&gt; SOUS-SEGMENT'!$BG$8:$BG$154),"")</f>
        <v>0.10340425531914893</v>
      </c>
      <c r="CA18" s="305">
        <f>IFERROR(SUMPRODUCT(('ANALYSE - ERP =&gt; SOUS-SEGMENT'!$C$8:$C$154=$C18)*'ANALYSE - ERP =&gt; SOUS-SEGMENT'!$Q$8:$Q$154*'ANALYSE - ERP =&gt; SOUS-SEGMENT'!$BG$8:$BG$154*'ANALYSE - ERP =&gt; SOUS-SEGMENT'!$CD$8:$CD$154)/SUMPRODUCT(('ANALYSE - ERP =&gt; SOUS-SEGMENT'!$C$8:$C$154=$C18)*'ANALYSE - ERP =&gt; SOUS-SEGMENT'!$Q$8:$Q$154*'ANALYSE - ERP =&gt; SOUS-SEGMENT'!$BG$8:$BG$154),"")</f>
        <v>0.54297872340425535</v>
      </c>
      <c r="CB18" s="305">
        <f>IFERROR(SUMPRODUCT(('ANALYSE - ERP =&gt; SOUS-SEGMENT'!$C$8:$C$154=$C18)*'ANALYSE - ERP =&gt; SOUS-SEGMENT'!$Q$8:$Q$154*'ANALYSE - ERP =&gt; SOUS-SEGMENT'!$BG$8:$BG$154*'ANALYSE - ERP =&gt; SOUS-SEGMENT'!$CE$8:$CE$154)/SUMPRODUCT(('ANALYSE - ERP =&gt; SOUS-SEGMENT'!$C$8:$C$154=$C18)*'ANALYSE - ERP =&gt; SOUS-SEGMENT'!$Q$8:$Q$154*'ANALYSE - ERP =&gt; SOUS-SEGMENT'!$BG$8:$BG$154),"")</f>
        <v>0.10595744680851064</v>
      </c>
      <c r="CC18" s="581">
        <f>IFERROR(SUMPRODUCT(('ANALYSE - ERP =&gt; SOUS-SEGMENT'!$C$8:$C$154=$C18)*'ANALYSE - ERP =&gt; SOUS-SEGMENT'!$Q$8:$Q$154*'ANALYSE - ERP =&gt; SOUS-SEGMENT'!$BG$8:$BG$154*'ANALYSE - ERP =&gt; SOUS-SEGMENT'!$CF$8:$CF$154)/SUMPRODUCT(('ANALYSE - ERP =&gt; SOUS-SEGMENT'!$C$8:$C$154=$C18)*'ANALYSE - ERP =&gt; SOUS-SEGMENT'!$Q$8:$Q$154*'ANALYSE - ERP =&gt; SOUS-SEGMENT'!$BG$8:$BG$154),"")</f>
        <v>0.24765957446808512</v>
      </c>
      <c r="CD18" s="580">
        <f>IFERROR(SUMPRODUCT(('ANALYSE - ERP =&gt; SOUS-SEGMENT'!$C$8:$C$154=$C18)*'ANALYSE - ERP =&gt; SOUS-SEGMENT'!$Q$8:$Q$154*'ANALYSE - ERP =&gt; SOUS-SEGMENT'!$BL$8:$BL$154*'ANALYSE - ERP =&gt; SOUS-SEGMENT'!$CG$8:$CG$154)/SUMPRODUCT(('ANALYSE - ERP =&gt; SOUS-SEGMENT'!$C$8:$C$154=$C18)*'ANALYSE - ERP =&gt; SOUS-SEGMENT'!$Q$8:$Q$154*'ANALYSE - ERP =&gt; SOUS-SEGMENT'!$BL$8:$BL$154),"")</f>
        <v>8.2682445759368839E-2</v>
      </c>
      <c r="CE18" s="305">
        <f>IFERROR(SUMPRODUCT(('ANALYSE - ERP =&gt; SOUS-SEGMENT'!$C$8:$C$154=$C18)*'ANALYSE - ERP =&gt; SOUS-SEGMENT'!$Q$8:$Q$154*'ANALYSE - ERP =&gt; SOUS-SEGMENT'!$BL$8:$BL$154*'ANALYSE - ERP =&gt; SOUS-SEGMENT'!$CH$8:$CH$154)/SUMPRODUCT(('ANALYSE - ERP =&gt; SOUS-SEGMENT'!$C$8:$C$154=$C18)*'ANALYSE - ERP =&gt; SOUS-SEGMENT'!$Q$8:$Q$154*'ANALYSE - ERP =&gt; SOUS-SEGMENT'!$BL$8:$BL$154),"")</f>
        <v>0.54319526627218939</v>
      </c>
      <c r="CF18" s="305">
        <f>IFERROR(SUMPRODUCT(('ANALYSE - ERP =&gt; SOUS-SEGMENT'!$C$8:$C$154=$C18)*'ANALYSE - ERP =&gt; SOUS-SEGMENT'!$Q$8:$Q$154*'ANALYSE - ERP =&gt; SOUS-SEGMENT'!$BL$8:$BL$154*'ANALYSE - ERP =&gt; SOUS-SEGMENT'!$CI$8:$CI$154)/SUMPRODUCT(('ANALYSE - ERP =&gt; SOUS-SEGMENT'!$C$8:$C$154=$C18)*'ANALYSE - ERP =&gt; SOUS-SEGMENT'!$Q$8:$Q$154*'ANALYSE - ERP =&gt; SOUS-SEGMENT'!$BL$8:$BL$154),"")</f>
        <v>0.13412228796844181</v>
      </c>
      <c r="CG18" s="581">
        <f>IFERROR(SUMPRODUCT(('ANALYSE - ERP =&gt; SOUS-SEGMENT'!$C$8:$C$154=$C18)*'ANALYSE - ERP =&gt; SOUS-SEGMENT'!$Q$8:$Q$154*'ANALYSE - ERP =&gt; SOUS-SEGMENT'!$BL$8:$BL$154*'ANALYSE - ERP =&gt; SOUS-SEGMENT'!$CJ$8:$CJ$154)/SUMPRODUCT(('ANALYSE - ERP =&gt; SOUS-SEGMENT'!$C$8:$C$154=$C18)*'ANALYSE - ERP =&gt; SOUS-SEGMENT'!$Q$8:$Q$154*'ANALYSE - ERP =&gt; SOUS-SEGMENT'!$BL$8:$BL$154),"")</f>
        <v>0.24</v>
      </c>
      <c r="CH18" s="589">
        <f>IFERROR(SUMPRODUCT(('ANALYSE - ERP =&gt; SOUS-SEGMENT'!$C$8:$C$154=$C18)*'ANALYSE - ERP =&gt; SOUS-SEGMENT'!$Q$8:$Q$154*'ANALYSE - ERP =&gt; SOUS-SEGMENT'!$BH$8:$BH$154*'ANALYSE - ERP =&gt; SOUS-SEGMENT'!$CK$8:$CK$154)/SUMPRODUCT(('ANALYSE - ERP =&gt; SOUS-SEGMENT'!$C$8:$C$154=$C18)*'ANALYSE - ERP =&gt; SOUS-SEGMENT'!$Q$8:$Q$154*'ANALYSE - ERP =&gt; SOUS-SEGMENT'!$BH$8:$BH$154),"")</f>
        <v>0.5513157894736842</v>
      </c>
      <c r="CI18" s="306">
        <f>IFERROR(SUMPRODUCT(('ANALYSE - ERP =&gt; SOUS-SEGMENT'!$C$8:$C$154=$C18)*'ANALYSE - ERP =&gt; SOUS-SEGMENT'!$Q$8:$Q$154*'ANALYSE - ERP =&gt; SOUS-SEGMENT'!$BH$8:$BH$154*'ANALYSE - ERP =&gt; SOUS-SEGMENT'!$CL$8:$CL$154)/SUMPRODUCT(('ANALYSE - ERP =&gt; SOUS-SEGMENT'!$C$8:$C$154=$C18)*'ANALYSE - ERP =&gt; SOUS-SEGMENT'!$Q$8:$Q$154*'ANALYSE - ERP =&gt; SOUS-SEGMENT'!$BH$8:$BH$154),"")</f>
        <v>0.32763157894736844</v>
      </c>
      <c r="CJ18" s="590">
        <f>IFERROR(SUMPRODUCT(('ANALYSE - ERP =&gt; SOUS-SEGMENT'!$C$8:$C$154=$C18)*'ANALYSE - ERP =&gt; SOUS-SEGMENT'!$Q$8:$Q$154*'ANALYSE - ERP =&gt; SOUS-SEGMENT'!$BH$8:$BH$154*'ANALYSE - ERP =&gt; SOUS-SEGMENT'!$CM$8:$CM$154)/SUMPRODUCT(('ANALYSE - ERP =&gt; SOUS-SEGMENT'!$C$8:$C$154=$C18)*'ANALYSE - ERP =&gt; SOUS-SEGMENT'!$Q$8:$Q$154*'ANALYSE - ERP =&gt; SOUS-SEGMENT'!$BH$8:$BH$154),"")</f>
        <v>0.12105263157894737</v>
      </c>
      <c r="CK18" s="589">
        <f>IFERROR(SUMPRODUCT(('ANALYSE - ERP =&gt; SOUS-SEGMENT'!$C$8:$C$154=$C18)*'ANALYSE - ERP =&gt; SOUS-SEGMENT'!$Q$8:$Q$154*'ANALYSE - ERP =&gt; SOUS-SEGMENT'!$BM$8:$BM$154*'ANALYSE - ERP =&gt; SOUS-SEGMENT'!$CN$8:$CN$154)/SUMPRODUCT(('ANALYSE - ERP =&gt; SOUS-SEGMENT'!$C$8:$C$154=$C18)*'ANALYSE - ERP =&gt; SOUS-SEGMENT'!$Q$8:$Q$154*'ANALYSE - ERP =&gt; SOUS-SEGMENT'!$BM$8:$BM$154),"")</f>
        <v>0.45403422982885083</v>
      </c>
      <c r="CL18" s="306">
        <f>IFERROR(SUMPRODUCT(('ANALYSE - ERP =&gt; SOUS-SEGMENT'!$C$8:$C$154=$C18)*'ANALYSE - ERP =&gt; SOUS-SEGMENT'!$Q$8:$Q$154*'ANALYSE - ERP =&gt; SOUS-SEGMENT'!$BM$8:$BM$154*'ANALYSE - ERP =&gt; SOUS-SEGMENT'!$CO$8:$CO$154)/SUMPRODUCT(('ANALYSE - ERP =&gt; SOUS-SEGMENT'!$C$8:$C$154=$C18)*'ANALYSE - ERP =&gt; SOUS-SEGMENT'!$Q$8:$Q$154*'ANALYSE - ERP =&gt; SOUS-SEGMENT'!$BM$8:$BM$154),"")</f>
        <v>0.37408312958435208</v>
      </c>
      <c r="CM18" s="590">
        <f>IFERROR(SUMPRODUCT(('ANALYSE - ERP =&gt; SOUS-SEGMENT'!$C$8:$C$154=$C18)*'ANALYSE - ERP =&gt; SOUS-SEGMENT'!$Q$8:$Q$154*'ANALYSE - ERP =&gt; SOUS-SEGMENT'!$BM$8:$BM$154*'ANALYSE - ERP =&gt; SOUS-SEGMENT'!$CP$8:$CP$154)/SUMPRODUCT(('ANALYSE - ERP =&gt; SOUS-SEGMENT'!$C$8:$C$154=$C18)*'ANALYSE - ERP =&gt; SOUS-SEGMENT'!$Q$8:$Q$154*'ANALYSE - ERP =&gt; SOUS-SEGMENT'!$BM$8:$BM$154),"")</f>
        <v>0.17188264058679706</v>
      </c>
      <c r="CN18" s="657"/>
      <c r="CO18" s="889">
        <f>IFERROR(SUMPRODUCT(('ANALYSE - ERP =&gt; SOUS-SEGMENT'!$C$8:$C$154=$C18)*'ANALYSE - ERP =&gt; SOUS-SEGMENT'!$DH$8:$DH$154*('ANALYSE - ERP =&gt; SOUS-SEGMENT'!$CR$8:$CR$154&gt;0)*'ANALYSE - ERP =&gt; SOUS-SEGMENT'!$CR$8:$CR$154)/SUMPRODUCT(('ANALYSE - ERP =&gt; SOUS-SEGMENT'!$C$8:$C$154=$C18)*'ANALYSE - ERP =&gt; SOUS-SEGMENT'!$DH$8:$DH$154*('ANALYSE - ERP =&gt; SOUS-SEGMENT'!$CR$8:$CR$154&gt;0)),"")</f>
        <v>12</v>
      </c>
      <c r="CP18" s="890">
        <f>IFERROR(SUMPRODUCT(('ANALYSE - ERP =&gt; SOUS-SEGMENT'!$C$8:$C$154=$C18)*'ANALYSE - ERP =&gt; SOUS-SEGMENT'!$DI$8:$DI$154*('ANALYSE - ERP =&gt; SOUS-SEGMENT'!$CS$8:$CS$154&gt;0)*'ANALYSE - ERP =&gt; SOUS-SEGMENT'!$CS$8:$CS$154)/SUMPRODUCT(('ANALYSE - ERP =&gt; SOUS-SEGMENT'!$C$8:$C$154=$C18)*'ANALYSE - ERP =&gt; SOUS-SEGMENT'!$DI$8:$DI$154*('ANALYSE - ERP =&gt; SOUS-SEGMENT'!$CS$8:$CS$154&gt;0)),"")</f>
        <v>12.711475409836066</v>
      </c>
      <c r="CQ18" s="890">
        <f>IFERROR(SUMPRODUCT(('ANALYSE - ERP =&gt; SOUS-SEGMENT'!$C$8:$C$154=$C18)*'ANALYSE - ERP =&gt; SOUS-SEGMENT'!$DJ$8:$DJ$154*('ANALYSE - ERP =&gt; SOUS-SEGMENT'!$CT$8:$CT$154&gt;0)*'ANALYSE - ERP =&gt; SOUS-SEGMENT'!$CT$8:$CT$154)/SUMPRODUCT(('ANALYSE - ERP =&gt; SOUS-SEGMENT'!$C$8:$C$154=$C18)*'ANALYSE - ERP =&gt; SOUS-SEGMENT'!$DJ$8:$DJ$154*('ANALYSE - ERP =&gt; SOUS-SEGMENT'!$CT$8:$CT$154&gt;0)),"")</f>
        <v>9</v>
      </c>
      <c r="CR18" s="891">
        <f>IFERROR(SUMPRODUCT(('ANALYSE - ERP =&gt; SOUS-SEGMENT'!$C$8:$C$154=$C18)*'ANALYSE - ERP =&gt; SOUS-SEGMENT'!$DK$8:$DK$154*('ANALYSE - ERP =&gt; SOUS-SEGMENT'!$CU$8:$CU$154&gt;0)*'ANALYSE - ERP =&gt; SOUS-SEGMENT'!$CU$8:$CU$154)/SUMPRODUCT(('ANALYSE - ERP =&gt; SOUS-SEGMENT'!$C$8:$C$154=$C18)*'ANALYSE - ERP =&gt; SOUS-SEGMENT'!$DK$8:$DK$154*('ANALYSE - ERP =&gt; SOUS-SEGMENT'!$CU$8:$CU$154&gt;0)),"")</f>
        <v>11</v>
      </c>
      <c r="CS18" s="889">
        <f>IFERROR(SUMPRODUCT(('ANALYSE - ERP =&gt; SOUS-SEGMENT'!$C$8:$C$154=$C18)*'ANALYSE - ERP =&gt; SOUS-SEGMENT'!$DS$8:$DS$154*('ANALYSE - ERP =&gt; SOUS-SEGMENT'!$CV$8:$CV$154&gt;0)*'ANALYSE - ERP =&gt; SOUS-SEGMENT'!$CV$8:$CV$154)/SUMPRODUCT(('ANALYSE - ERP =&gt; SOUS-SEGMENT'!$C$8:$C$154=$C18)*'ANALYSE - ERP =&gt; SOUS-SEGMENT'!$DS$8:$DS$154*('ANALYSE - ERP =&gt; SOUS-SEGMENT'!$CV$8:$CV$154&gt;0)),"")</f>
        <v>10</v>
      </c>
      <c r="CT18" s="890">
        <f>IFERROR(SUMPRODUCT(('ANALYSE - ERP =&gt; SOUS-SEGMENT'!$C$8:$C$154=$C18)*'ANALYSE - ERP =&gt; SOUS-SEGMENT'!$DT$8:$DT$154*('ANALYSE - ERP =&gt; SOUS-SEGMENT'!$CW$8:$CW$154&gt;0)*'ANALYSE - ERP =&gt; SOUS-SEGMENT'!$CW$8:$CW$154)/SUMPRODUCT(('ANALYSE - ERP =&gt; SOUS-SEGMENT'!$C$8:$C$154=$C18)*'ANALYSE - ERP =&gt; SOUS-SEGMENT'!$DT$8:$DT$154*('ANALYSE - ERP =&gt; SOUS-SEGMENT'!$CW$8:$CW$154&gt;0)),"")</f>
        <v>10</v>
      </c>
      <c r="CU18" s="891">
        <f>IFERROR(SUMPRODUCT(('ANALYSE - ERP =&gt; SOUS-SEGMENT'!$C$8:$C$154=$C18)*'ANALYSE - ERP =&gt; SOUS-SEGMENT'!$DU$8:$DU$154*('ANALYSE - ERP =&gt; SOUS-SEGMENT'!$CX$8:$CX$154&gt;0)*'ANALYSE - ERP =&gt; SOUS-SEGMENT'!$CX$8:$CX$154)/SUMPRODUCT(('ANALYSE - ERP =&gt; SOUS-SEGMENT'!$C$8:$C$154=$C18)*'ANALYSE - ERP =&gt; SOUS-SEGMENT'!$DU$8:$DU$154*('ANALYSE - ERP =&gt; SOUS-SEGMENT'!$CX$8:$CX$154&gt;0)),"")</f>
        <v>8</v>
      </c>
      <c r="CV18" s="889">
        <f>IFERROR(SUMPRODUCT(('ANALYSE - ERP =&gt; SOUS-SEGMENT'!$C$8:$C$154=$C18)*'ANALYSE - ERP =&gt; SOUS-SEGMENT'!$EB$8:$EB$154*('ANALYSE - ERP =&gt; SOUS-SEGMENT'!$CY$8:$CY$154&gt;0)*'ANALYSE - ERP =&gt; SOUS-SEGMENT'!$CY$8:$CY$154)/SUMPRODUCT(('ANALYSE - ERP =&gt; SOUS-SEGMENT'!$C$8:$C$154=$C18)*'ANALYSE - ERP =&gt; SOUS-SEGMENT'!$EB$8:$EB$154*('ANALYSE - ERP =&gt; SOUS-SEGMENT'!$CY$8:$CY$154&gt;0)),"")</f>
        <v>10</v>
      </c>
      <c r="CW18" s="890">
        <f>IFERROR(SUMPRODUCT(('ANALYSE - ERP =&gt; SOUS-SEGMENT'!$C$8:$C$154=$C18)*'ANALYSE - ERP =&gt; SOUS-SEGMENT'!$EC$8:$EC$154*('ANALYSE - ERP =&gt; SOUS-SEGMENT'!$CZ$8:$CZ$154&gt;0)*'ANALYSE - ERP =&gt; SOUS-SEGMENT'!$CZ$8:$CZ$154)/SUMPRODUCT(('ANALYSE - ERP =&gt; SOUS-SEGMENT'!$C$8:$C$154=$C18)*'ANALYSE - ERP =&gt; SOUS-SEGMENT'!$EC$8:$EC$154*('ANALYSE - ERP =&gt; SOUS-SEGMENT'!$CZ$8:$CZ$154&gt;0)),"")</f>
        <v>11.775862068965518</v>
      </c>
      <c r="CX18" s="890">
        <f>IFERROR(SUMPRODUCT(('ANALYSE - ERP =&gt; SOUS-SEGMENT'!$C$8:$C$154=$C18)*'ANALYSE - ERP =&gt; SOUS-SEGMENT'!$ED$8:$ED$154*('ANALYSE - ERP =&gt; SOUS-SEGMENT'!$DA$8:$DA$154&gt;0)*'ANALYSE - ERP =&gt; SOUS-SEGMENT'!$DA$8:$DA$154)/SUMPRODUCT(('ANALYSE - ERP =&gt; SOUS-SEGMENT'!$C$8:$C$154=$C18)*'ANALYSE - ERP =&gt; SOUS-SEGMENT'!$ED$8:$ED$154*('ANALYSE - ERP =&gt; SOUS-SEGMENT'!$DA$8:$DA$154&gt;0)),"")</f>
        <v>8</v>
      </c>
      <c r="CY18" s="892">
        <f>IFERROR(SUMPRODUCT(('ANALYSE - ERP =&gt; SOUS-SEGMENT'!$C$8:$C$154=$C18)*'ANALYSE - ERP =&gt; SOUS-SEGMENT'!$EE$8:$EE$154*('ANALYSE - ERP =&gt; SOUS-SEGMENT'!$DB$8:$DB$154&gt;0)*'ANALYSE - ERP =&gt; SOUS-SEGMENT'!$DB$8:$DB$154)/SUMPRODUCT(('ANALYSE - ERP =&gt; SOUS-SEGMENT'!$C$8:$C$154=$C18)*'ANALYSE - ERP =&gt; SOUS-SEGMENT'!$EE$8:$EE$154*('ANALYSE - ERP =&gt; SOUS-SEGMENT'!$DB$8:$DB$154&gt;0)),"")</f>
        <v>9.7731958762886606</v>
      </c>
      <c r="CZ18" s="893">
        <f>IFERROR(SUMPRODUCT(('ANALYSE - ERP =&gt; SOUS-SEGMENT'!$C$8:$C$154=$C18)*'ANALYSE - ERP =&gt; SOUS-SEGMENT'!$EM$8:$EM$154*('ANALYSE - ERP =&gt; SOUS-SEGMENT'!$DC$8:$DC$154&gt;0)*'ANALYSE - ERP =&gt; SOUS-SEGMENT'!$DC$8:$DC$154)/SUMPRODUCT(('ANALYSE - ERP =&gt; SOUS-SEGMENT'!$C$8:$C$154=$C18)*'ANALYSE - ERP =&gt; SOUS-SEGMENT'!$EM$8:$EM$154*('ANALYSE - ERP =&gt; SOUS-SEGMENT'!$DC$8:$DC$154&gt;0)),"")</f>
        <v>12.159904534606206</v>
      </c>
      <c r="DA18" s="890">
        <f>IFERROR(SUMPRODUCT(('ANALYSE - ERP =&gt; SOUS-SEGMENT'!$C$8:$C$154=$C18)*'ANALYSE - ERP =&gt; SOUS-SEGMENT'!$EN$8:$EN$154*('ANALYSE - ERP =&gt; SOUS-SEGMENT'!$DD$8:$DD$154&gt;0)*'ANALYSE - ERP =&gt; SOUS-SEGMENT'!$DD$8:$DD$154)/SUMPRODUCT(('ANALYSE - ERP =&gt; SOUS-SEGMENT'!$C$8:$C$154=$C18)*'ANALYSE - ERP =&gt; SOUS-SEGMENT'!$EN$8:$EN$154*('ANALYSE - ERP =&gt; SOUS-SEGMENT'!$DD$8:$DD$154&gt;0)),"")</f>
        <v>12.734939759036145</v>
      </c>
      <c r="DB18" s="892">
        <f>IFERROR(SUMPRODUCT(('ANALYSE - ERP =&gt; SOUS-SEGMENT'!$C$8:$C$154=$C18)*'ANALYSE - ERP =&gt; SOUS-SEGMENT'!$EO$8:$EO$154*('ANALYSE - ERP =&gt; SOUS-SEGMENT'!$DE$8:$DE$154&gt;0)*'ANALYSE - ERP =&gt; SOUS-SEGMENT'!$DE$8:$DE$154)/SUMPRODUCT(('ANALYSE - ERP =&gt; SOUS-SEGMENT'!$C$8:$C$154=$C18)*'ANALYSE - ERP =&gt; SOUS-SEGMENT'!$EO$8:$EO$154*('ANALYSE - ERP =&gt; SOUS-SEGMENT'!$DE$8:$DE$154&gt;0)),"")</f>
        <v>9</v>
      </c>
      <c r="DC18" s="609" t="s">
        <v>6982</v>
      </c>
      <c r="DD18" s="657"/>
      <c r="DE18" s="308">
        <f t="shared" si="2"/>
        <v>919.5</v>
      </c>
      <c r="DF18" s="308">
        <f t="shared" si="3"/>
        <v>2745</v>
      </c>
      <c r="DG18" s="308">
        <f t="shared" si="4"/>
        <v>285</v>
      </c>
      <c r="DH18" s="308">
        <f t="shared" si="5"/>
        <v>300.5</v>
      </c>
      <c r="DI18" s="287" t="s">
        <v>6983</v>
      </c>
      <c r="DJ18" s="308">
        <f t="shared" si="6"/>
        <v>881.1</v>
      </c>
      <c r="DK18" s="308">
        <f t="shared" si="7"/>
        <v>2966.1</v>
      </c>
      <c r="DL18" s="308">
        <f t="shared" si="8"/>
        <v>423.3</v>
      </c>
      <c r="DM18" s="308">
        <f t="shared" si="9"/>
        <v>309.5</v>
      </c>
      <c r="DN18" s="287" t="s">
        <v>6984</v>
      </c>
      <c r="DO18" s="657"/>
      <c r="DP18" s="308">
        <f t="shared" si="10"/>
        <v>124.24999999999999</v>
      </c>
      <c r="DQ18" s="308">
        <f t="shared" si="11"/>
        <v>44.375</v>
      </c>
      <c r="DR18" s="308">
        <f t="shared" si="12"/>
        <v>8.875</v>
      </c>
      <c r="DS18" s="287" t="s">
        <v>6985</v>
      </c>
      <c r="DT18" s="308">
        <f t="shared" si="13"/>
        <v>100.47499999999999</v>
      </c>
      <c r="DU18" s="308">
        <f t="shared" si="14"/>
        <v>70.42</v>
      </c>
      <c r="DV18" s="308">
        <f t="shared" si="15"/>
        <v>17.605</v>
      </c>
      <c r="DW18" s="287" t="s">
        <v>6986</v>
      </c>
      <c r="DX18" s="657"/>
      <c r="DY18" s="308">
        <f t="shared" si="16"/>
        <v>121.49999999999999</v>
      </c>
      <c r="DZ18" s="308">
        <f t="shared" si="17"/>
        <v>638</v>
      </c>
      <c r="EA18" s="308">
        <f t="shared" si="18"/>
        <v>124.5</v>
      </c>
      <c r="EB18" s="308">
        <f t="shared" si="19"/>
        <v>291</v>
      </c>
      <c r="EC18" s="287" t="s">
        <v>6987</v>
      </c>
      <c r="ED18" s="308">
        <f t="shared" si="20"/>
        <v>104.8</v>
      </c>
      <c r="EE18" s="308">
        <f t="shared" si="21"/>
        <v>688.5</v>
      </c>
      <c r="EF18" s="308">
        <f t="shared" si="22"/>
        <v>170</v>
      </c>
      <c r="EG18" s="308">
        <f t="shared" si="23"/>
        <v>304.2</v>
      </c>
      <c r="EH18" s="614" t="s">
        <v>6988</v>
      </c>
      <c r="EI18" s="290"/>
      <c r="EJ18" s="308">
        <f t="shared" si="24"/>
        <v>2095</v>
      </c>
      <c r="EK18" s="310">
        <f t="shared" si="25"/>
        <v>1245</v>
      </c>
      <c r="EL18" s="310">
        <f t="shared" si="26"/>
        <v>460</v>
      </c>
      <c r="EM18" s="287" t="s">
        <v>6989</v>
      </c>
      <c r="EN18" s="308">
        <f t="shared" si="27"/>
        <v>1857</v>
      </c>
      <c r="EO18" s="310">
        <f t="shared" si="28"/>
        <v>1530</v>
      </c>
      <c r="EP18" s="310">
        <f t="shared" si="29"/>
        <v>703</v>
      </c>
      <c r="EQ18" s="289" t="s">
        <v>6990</v>
      </c>
      <c r="ER18" s="657"/>
      <c r="ES18" s="728">
        <f t="shared" si="30"/>
        <v>0.89439284485724113</v>
      </c>
      <c r="ET18" s="728">
        <f t="shared" si="31"/>
        <v>7.0446495842206691E-2</v>
      </c>
      <c r="EU18" s="311">
        <f t="shared" si="32"/>
        <v>3843.0905271201627</v>
      </c>
      <c r="EV18" s="311">
        <f t="shared" si="33"/>
        <v>2644.7973271201631</v>
      </c>
      <c r="EW18" s="311">
        <f t="shared" si="34"/>
        <v>1198.2931999999998</v>
      </c>
      <c r="EX18" s="311">
        <f t="shared" si="35"/>
        <v>1693.1843961707459</v>
      </c>
      <c r="EY18" s="311">
        <f>SUMPRODUCT(('ANALYSE - ERP =&gt; SOUS-SEGMENT'!$C$8:$C$154=$C18)*'ANALYSE - ERP =&gt; SOUS-SEGMENT'!$Q$8:$Q$154*'ANALYSE - ERP =&gt; SOUS-SEGMENT'!$FB$8:$FB$154)</f>
        <v>1149.9923961707459</v>
      </c>
      <c r="EZ18" s="311">
        <f>SUMPRODUCT(('ANALYSE - ERP =&gt; SOUS-SEGMENT'!$C$8:$C$154=$C18)*'ANALYSE - ERP =&gt; SOUS-SEGMENT'!$Q$8:$Q$154*'ANALYSE - ERP =&gt; SOUS-SEGMENT'!$FC$8:$FC$154)</f>
        <v>543.19200000000001</v>
      </c>
      <c r="FA18" s="311">
        <f t="shared" si="36"/>
        <v>83.559395899999998</v>
      </c>
      <c r="FB18" s="311">
        <f>SUMPRODUCT(('ANALYSE - ERP =&gt; SOUS-SEGMENT'!$C$8:$C$154=$C18)*'ANALYSE - ERP =&gt; SOUS-SEGMENT'!$Q$8:$Q$154*'ANALYSE - ERP =&gt; SOUS-SEGMENT'!$FE$8:$FE$154)</f>
        <v>62.328195899999997</v>
      </c>
      <c r="FC18" s="311">
        <f>SUMPRODUCT(('ANALYSE - ERP =&gt; SOUS-SEGMENT'!$C$8:$C$154=$C18)*'ANALYSE - ERP =&gt; SOUS-SEGMENT'!$Q$8:$Q$154*'ANALYSE - ERP =&gt; SOUS-SEGMENT'!$FF$8:$FF$154)</f>
        <v>21.231200000000001</v>
      </c>
      <c r="FD18" s="311">
        <f t="shared" si="37"/>
        <v>515.70268567878782</v>
      </c>
      <c r="FE18" s="311">
        <f>SUMPRODUCT(('ANALYSE - ERP =&gt; SOUS-SEGMENT'!$C$8:$C$154=$C18)*'ANALYSE - ERP =&gt; SOUS-SEGMENT'!$Q$8:$Q$154*'ANALYSE - ERP =&gt; SOUS-SEGMENT'!$FH$8:$FH$154)</f>
        <v>364.86468567878785</v>
      </c>
      <c r="FF18" s="311">
        <f>SUMPRODUCT(('ANALYSE - ERP =&gt; SOUS-SEGMENT'!$C$8:$C$154=$C18)*'ANALYSE - ERP =&gt; SOUS-SEGMENT'!$Q$8:$Q$154*'ANALYSE - ERP =&gt; SOUS-SEGMENT'!$FI$8:$FI$154)</f>
        <v>150.83799999999999</v>
      </c>
      <c r="FG18" s="311">
        <f t="shared" si="38"/>
        <v>1550.6440493706293</v>
      </c>
      <c r="FH18" s="311">
        <f>SUMPRODUCT(('ANALYSE - ERP =&gt; SOUS-SEGMENT'!$C$8:$C$154=$C18)*'ANALYSE - ERP =&gt; SOUS-SEGMENT'!$Q$8:$Q$154*'ANALYSE - ERP =&gt; SOUS-SEGMENT'!$FK$8:$FK$154)</f>
        <v>1067.6120493706294</v>
      </c>
      <c r="FI18" s="311">
        <f>SUMPRODUCT(('ANALYSE - ERP =&gt; SOUS-SEGMENT'!$C$8:$C$154=$C18)*'ANALYSE - ERP =&gt; SOUS-SEGMENT'!$Q$8:$Q$154*'ANALYSE - ERP =&gt; SOUS-SEGMENT'!$FL$8:$FL$154)</f>
        <v>483.03199999999998</v>
      </c>
      <c r="FJ18" s="657"/>
      <c r="FK18" s="293" t="s">
        <v>2649</v>
      </c>
      <c r="FL18" s="728">
        <f>IFERROR(SUMPRODUCT(('ANALYSE - ERP =&gt; SOUS-SEGMENT'!$C$8:$C$154=$C18)*'ANALYSE - ERP =&gt; SOUS-SEGMENT'!$Q$8:$Q$154*'ANALYSE - ERP =&gt; SOUS-SEGMENT'!$AF$8:$AF$154*'ANALYSE - ERP =&gt; SOUS-SEGMENT'!$FO$8:$FO$154)/SUMPRODUCT(('ANALYSE - ERP =&gt; SOUS-SEGMENT'!$C$8:$C$154=$C18)*'ANALYSE - ERP =&gt; SOUS-SEGMENT'!$Q$8:$Q$154*'ANALYSE - ERP =&gt; SOUS-SEGMENT'!$AF$8:$AF$154),"")</f>
        <v>5.9504516129032251E-2</v>
      </c>
      <c r="FM18" s="729">
        <f>IFERROR(SUMPRODUCT(('ANALYSE - ERP =&gt; SOUS-SEGMENT'!$C$8:$C$154=$C18)*'ANALYSE - ERP =&gt; SOUS-SEGMENT'!$Q$8:$Q$154*'ANALYSE - ERP =&gt; SOUS-SEGMENT'!$AF$8:$AF$154*'ANALYSE - ERP =&gt; SOUS-SEGMENT'!$FP$8:$FP$154)/SUMPRODUCT(('ANALYSE - ERP =&gt; SOUS-SEGMENT'!$C$8:$C$154=$C18)*'ANALYSE - ERP =&gt; SOUS-SEGMENT'!$Q$8:$Q$154*'ANALYSE - ERP =&gt; SOUS-SEGMENT'!$AF$8:$AF$154),"")</f>
        <v>0.78189967741935484</v>
      </c>
      <c r="FN18" s="294" t="s">
        <v>3849</v>
      </c>
      <c r="FO18" s="657"/>
      <c r="FP18" s="865">
        <f>IFERROR(SUMPRODUCT(('ANALYSE - ERP =&gt; SOUS-SEGMENT'!$C$8:$C$154=$C18)*'ANALYSE - ERP =&gt; SOUS-SEGMENT'!$Q$8:$Q$154*'ANALYSE - ERP =&gt; SOUS-SEGMENT'!$EX$8:$EX$154*'ANALYSE - ERP =&gt; SOUS-SEGMENT'!$FS$8:$FS$154)/SUMPRODUCT(('ANALYSE - ERP =&gt; SOUS-SEGMENT'!$C$8:$C$154=$C18)*'ANALYSE - ERP =&gt; SOUS-SEGMENT'!$Q$8:$Q$154*'ANALYSE - ERP =&gt; SOUS-SEGMENT'!$EX$8:$EX$154),"")</f>
        <v>3.07</v>
      </c>
      <c r="FQ18" s="312">
        <f>RANK($FP18,$FP$8:$FP$143,0)+COUNTIF($FP$8:$FP18,$FP18)-1</f>
        <v>25</v>
      </c>
      <c r="FR18" s="865">
        <f>IFERROR(SUMPRODUCT(('ANALYSE - ERP =&gt; SOUS-SEGMENT'!$C$8:$C$154=$C18)*'ANALYSE - ERP =&gt; SOUS-SEGMENT'!$Q$8:$Q$154*'ANALYSE - ERP =&gt; SOUS-SEGMENT'!$EY$8:$EY$154*'ANALYSE - ERP =&gt; SOUS-SEGMENT'!$FU$8:$FU$154)/SUMPRODUCT(('ANALYSE - ERP =&gt; SOUS-SEGMENT'!$C$8:$C$154=$C18)*'ANALYSE - ERP =&gt; SOUS-SEGMENT'!$Q$8:$Q$154*'ANALYSE - ERP =&gt; SOUS-SEGMENT'!$EY$8:$EY$154),"")</f>
        <v>3.705621425254003</v>
      </c>
      <c r="FS18" s="312">
        <f>RANK($FR18,$FR$8:$FR$143,0)+COUNTIF($FR$8:$FR18,$FR18)-1</f>
        <v>29</v>
      </c>
      <c r="FT18" s="865">
        <f>IFERROR(SUMPRODUCT(('ANALYSE - ERP =&gt; SOUS-SEGMENT'!$C$8:$C$154=$C18)*'ANALYSE - ERP =&gt; SOUS-SEGMENT'!$Q$8:$Q$154*'ANALYSE - ERP =&gt; SOUS-SEGMENT'!$EZ$8:$EZ$154*'ANALYSE - ERP =&gt; SOUS-SEGMENT'!$FW$8:$FW$154)/SUMPRODUCT(('ANALYSE - ERP =&gt; SOUS-SEGMENT'!$C$8:$C$154=$C18)*'ANALYSE - ERP =&gt; SOUS-SEGMENT'!$Q$8:$Q$154*'ANALYSE - ERP =&gt; SOUS-SEGMENT'!$EZ$8:$EZ$154),"")</f>
        <v>2.0478796341329484</v>
      </c>
      <c r="FU18" s="312">
        <f>RANK($FT18,$FT$8:$FT$143,0)+COUNTIF($FT$8:$FT18,$FT18)-1</f>
        <v>26</v>
      </c>
      <c r="FV18" s="657"/>
      <c r="FW18" s="296" t="s">
        <v>6991</v>
      </c>
      <c r="FX18" s="296" t="s">
        <v>6992</v>
      </c>
      <c r="FY18" s="296" t="s">
        <v>6993</v>
      </c>
      <c r="FZ18" s="296" t="s">
        <v>6994</v>
      </c>
      <c r="GA18" s="296" t="s">
        <v>6995</v>
      </c>
      <c r="GB18" s="296" t="s">
        <v>6996</v>
      </c>
      <c r="GC18" s="296" t="s">
        <v>6759</v>
      </c>
      <c r="GD18" s="657"/>
      <c r="GE18" s="311">
        <f>SUMPRODUCT(('ANALYSE - ERP =&gt; SOUS-SEGMENT'!$C$8:$C$154=$C18)*'ANALYSE - ERP =&gt; SOUS-SEGMENT'!$Q$8:$Q$154*'ANALYSE - ERP =&gt; SOUS-SEGMENT'!$GH$8:$GH$154)</f>
        <v>354.06987191666661</v>
      </c>
      <c r="GF18" s="311">
        <f>SUMPRODUCT(('ANALYSE - ERP =&gt; SOUS-SEGMENT'!$C$8:$C$154=$C18)*'ANALYSE - ERP =&gt; SOUS-SEGMENT'!$Q$8:$Q$154*'ANALYSE - ERP =&gt; SOUS-SEGMENT'!$GI$8:$GI$154)</f>
        <v>247.99555191666667</v>
      </c>
      <c r="GG18" s="311">
        <f>SUMPRODUCT(('ANALYSE - ERP =&gt; SOUS-SEGMENT'!$C$8:$C$154=$C18)*'ANALYSE - ERP =&gt; SOUS-SEGMENT'!$Q$8:$Q$154*'ANALYSE - ERP =&gt; SOUS-SEGMENT'!$GJ$8:$GJ$154)</f>
        <v>106.07432</v>
      </c>
      <c r="GH18" s="311">
        <f>SUMPRODUCT(('ANALYSE - ERP =&gt; SOUS-SEGMENT'!$C$8:$C$154=$C18)*'ANALYSE - ERP =&gt; SOUS-SEGMENT'!$Q$8:$Q$154*'ANALYSE - ERP =&gt; SOUS-SEGMENT'!$GK$8:$GK$154)</f>
        <v>1060.1238807692307</v>
      </c>
      <c r="GI18" s="311">
        <f>SUMPRODUCT(('ANALYSE - ERP =&gt; SOUS-SEGMENT'!$C$8:$C$154=$C18)*'ANALYSE - ERP =&gt; SOUS-SEGMENT'!$Q$8:$Q$154*'ANALYSE - ERP =&gt; SOUS-SEGMENT'!$GL$8:$GL$154)</f>
        <v>709.91692076923073</v>
      </c>
      <c r="GJ18" s="311">
        <f>SUMPRODUCT(('ANALYSE - ERP =&gt; SOUS-SEGMENT'!$C$8:$C$154=$C18)*'ANALYSE - ERP =&gt; SOUS-SEGMENT'!$Q$8:$Q$154*'ANALYSE - ERP =&gt; SOUS-SEGMENT'!$GM$8:$GM$154)</f>
        <v>350.20695999999998</v>
      </c>
      <c r="GK18" s="311">
        <f>SUMPRODUCT(('ANALYSE - ERP =&gt; SOUS-SEGMENT'!$C$8:$C$154=$C18)*'ANALYSE - ERP =&gt; SOUS-SEGMENT'!$Q$8:$Q$154*'ANALYSE - ERP =&gt; SOUS-SEGMENT'!$GN$8:$GN$154)</f>
        <v>149.40930666666668</v>
      </c>
      <c r="GL18" s="311">
        <f>SUMPRODUCT(('ANALYSE - ERP =&gt; SOUS-SEGMENT'!$C$8:$C$154=$C18)*'ANALYSE - ERP =&gt; SOUS-SEGMENT'!$Q$8:$Q$154*'ANALYSE - ERP =&gt; SOUS-SEGMENT'!$GO$8:$GO$154)</f>
        <v>98.20322666666668</v>
      </c>
      <c r="GM18" s="311">
        <f>SUMPRODUCT(('ANALYSE - ERP =&gt; SOUS-SEGMENT'!$C$8:$C$154=$C18)*'ANALYSE - ERP =&gt; SOUS-SEGMENT'!$Q$8:$Q$154*'ANALYSE - ERP =&gt; SOUS-SEGMENT'!$GP$8:$GP$154)</f>
        <v>51.20608</v>
      </c>
      <c r="GN18" s="311">
        <f>SUMPRODUCT(('ANALYSE - ERP =&gt; SOUS-SEGMENT'!$C$8:$C$154=$C18)*'ANALYSE - ERP =&gt; SOUS-SEGMENT'!$Q$8:$Q$154*'ANALYSE - ERP =&gt; SOUS-SEGMENT'!$GQ$8:$GQ$154)</f>
        <v>129.58133681818182</v>
      </c>
      <c r="GO18" s="311">
        <f>SUMPRODUCT(('ANALYSE - ERP =&gt; SOUS-SEGMENT'!$C$8:$C$154=$C18)*'ANALYSE - ERP =&gt; SOUS-SEGMENT'!$Q$8:$Q$154*'ANALYSE - ERP =&gt; SOUS-SEGMENT'!$GR$8:$GR$154)</f>
        <v>93.876696818181827</v>
      </c>
      <c r="GP18" s="311">
        <f>SUMPRODUCT(('ANALYSE - ERP =&gt; SOUS-SEGMENT'!$C$8:$C$154=$C18)*'ANALYSE - ERP =&gt; SOUS-SEGMENT'!$Q$8:$Q$154*'ANALYSE - ERP =&gt; SOUS-SEGMENT'!$GS$8:$GS$154)</f>
        <v>35.704639999999998</v>
      </c>
      <c r="GQ18" s="311">
        <f>SUMPRODUCT(('ANALYSE - ERP =&gt; SOUS-SEGMENT'!$C$8:$C$154=$C18)*'ANALYSE - ERP =&gt; SOUS-SEGMENT'!$Q$8:$Q$154*'ANALYSE - ERP =&gt; SOUS-SEGMENT'!$GT$8:$GT$154)</f>
        <v>54.183014650000004</v>
      </c>
      <c r="GR18" s="311">
        <f>SUMPRODUCT(('ANALYSE - ERP =&gt; SOUS-SEGMENT'!$C$8:$C$154=$C18)*'ANALYSE - ERP =&gt; SOUS-SEGMENT'!$Q$8:$Q$154*'ANALYSE - ERP =&gt; SOUS-SEGMENT'!$GU$8:$GU$154)</f>
        <v>43.089934649999996</v>
      </c>
      <c r="GS18" s="311">
        <f>SUMPRODUCT(('ANALYSE - ERP =&gt; SOUS-SEGMENT'!$C$8:$C$154=$C18)*'ANALYSE - ERP =&gt; SOUS-SEGMENT'!$Q$8:$Q$154*'ANALYSE - ERP =&gt; SOUS-SEGMENT'!$GV$8:$GV$154)</f>
        <v>11.09308</v>
      </c>
      <c r="GT18" s="311">
        <f>SUMPRODUCT(('ANALYSE - ERP =&gt; SOUS-SEGMENT'!$C$8:$C$154=$C18)*'ANALYSE - ERP =&gt; SOUS-SEGMENT'!$Q$8:$Q$154*'ANALYSE - ERP =&gt; SOUS-SEGMENT'!$GW$8:$GW$154)</f>
        <v>23.499758374999999</v>
      </c>
      <c r="GU18" s="311">
        <f>SUMPRODUCT(('ANALYSE - ERP =&gt; SOUS-SEGMENT'!$C$8:$C$154=$C18)*'ANALYSE - ERP =&gt; SOUS-SEGMENT'!$Q$8:$Q$154*'ANALYSE - ERP =&gt; SOUS-SEGMENT'!$GX$8:$GX$154)</f>
        <v>15.389262375000001</v>
      </c>
      <c r="GV18" s="311">
        <f>SUMPRODUCT(('ANALYSE - ERP =&gt; SOUS-SEGMENT'!$C$8:$C$154=$C18)*'ANALYSE - ERP =&gt; SOUS-SEGMENT'!$Q$8:$Q$154*'ANALYSE - ERP =&gt; SOUS-SEGMENT'!$GY$8:$GY$154)</f>
        <v>8.1104960000000013</v>
      </c>
      <c r="GW18" s="311">
        <f>SUMPRODUCT(('ANALYSE - ERP =&gt; SOUS-SEGMENT'!$C$8:$C$154=$C18)*'ANALYSE - ERP =&gt; SOUS-SEGMENT'!$Q$8:$Q$154*'ANALYSE - ERP =&gt; SOUS-SEGMENT'!$GZ$8:$GZ$154)</f>
        <v>5.8766228750000007</v>
      </c>
      <c r="GX18" s="311">
        <f>SUMPRODUCT(('ANALYSE - ERP =&gt; SOUS-SEGMENT'!$C$8:$C$154=$C18)*'ANALYSE - ERP =&gt; SOUS-SEGMENT'!$Q$8:$Q$154*'ANALYSE - ERP =&gt; SOUS-SEGMENT'!$HA$8:$HA$154)</f>
        <v>3.8489988750000004</v>
      </c>
      <c r="GY18" s="311">
        <f>SUMPRODUCT(('ANALYSE - ERP =&gt; SOUS-SEGMENT'!$C$8:$C$154=$C18)*'ANALYSE - ERP =&gt; SOUS-SEGMENT'!$Q$8:$Q$154*'ANALYSE - ERP =&gt; SOUS-SEGMENT'!$HB$8:$HB$154)</f>
        <v>2.0276240000000003</v>
      </c>
      <c r="GZ18" s="311">
        <f>SUMPRODUCT(('ANALYSE - ERP =&gt; SOUS-SEGMENT'!$C$8:$C$154=$C18)*'ANALYSE - ERP =&gt; SOUS-SEGMENT'!$Q$8:$Q$154*'ANALYSE - ERP =&gt; SOUS-SEGMENT'!$HC$8:$HC$154)</f>
        <v>52.5739248</v>
      </c>
      <c r="HA18" s="311">
        <f>SUMPRODUCT(('ANALYSE - ERP =&gt; SOUS-SEGMENT'!$C$8:$C$154=$C18)*'ANALYSE - ERP =&gt; SOUS-SEGMENT'!$Q$8:$Q$154*'ANALYSE - ERP =&gt; SOUS-SEGMENT'!$HD$8:$HD$154)</f>
        <v>40.4718448</v>
      </c>
      <c r="HB18" s="311">
        <f>SUMPRODUCT(('ANALYSE - ERP =&gt; SOUS-SEGMENT'!$C$8:$C$154=$C18)*'ANALYSE - ERP =&gt; SOUS-SEGMENT'!$Q$8:$Q$154*'ANALYSE - ERP =&gt; SOUS-SEGMENT'!$HE$8:$HE$154)</f>
        <v>12.102079999999997</v>
      </c>
      <c r="HC18" s="311">
        <f>SUMPRODUCT(('ANALYSE - ERP =&gt; SOUS-SEGMENT'!$C$8:$C$154=$C18)*'ANALYSE - ERP =&gt; SOUS-SEGMENT'!$Q$8:$Q$154*'ANALYSE - ERP =&gt; SOUS-SEGMENT'!$HF$8:$HF$154)</f>
        <v>261.41553037878788</v>
      </c>
      <c r="HD18" s="311">
        <f>SUMPRODUCT(('ANALYSE - ERP =&gt; SOUS-SEGMENT'!$C$8:$C$154=$C18)*'ANALYSE - ERP =&gt; SOUS-SEGMENT'!$Q$8:$Q$154*'ANALYSE - ERP =&gt; SOUS-SEGMENT'!$HG$8:$HG$154)</f>
        <v>179.37017037878789</v>
      </c>
      <c r="HE18" s="311">
        <f>SUMPRODUCT(('ANALYSE - ERP =&gt; SOUS-SEGMENT'!$C$8:$C$154=$C18)*'ANALYSE - ERP =&gt; SOUS-SEGMENT'!$Q$8:$Q$154*'ANALYSE - ERP =&gt; SOUS-SEGMENT'!$HH$8:$HH$154)</f>
        <v>82.045360000000002</v>
      </c>
      <c r="HF18" s="311">
        <f>SUMPRODUCT(('ANALYSE - ERP =&gt; SOUS-SEGMENT'!$C$8:$C$154=$C18)*'ANALYSE - ERP =&gt; SOUS-SEGMENT'!$Q$8:$Q$154*'ANALYSE - ERP =&gt; SOUS-SEGMENT'!$HI$8:$HI$154)</f>
        <v>69.195017500000006</v>
      </c>
      <c r="HG18" s="311">
        <f>SUMPRODUCT(('ANALYSE - ERP =&gt; SOUS-SEGMENT'!$C$8:$C$154=$C18)*'ANALYSE - ERP =&gt; SOUS-SEGMENT'!$Q$8:$Q$154*'ANALYSE - ERP =&gt; SOUS-SEGMENT'!$HJ$8:$HJ$154)</f>
        <v>48.705577500000004</v>
      </c>
      <c r="HH18" s="311">
        <f>SUMPRODUCT(('ANALYSE - ERP =&gt; SOUS-SEGMENT'!$C$8:$C$154=$C18)*'ANALYSE - ERP =&gt; SOUS-SEGMENT'!$Q$8:$Q$154*'ANALYSE - ERP =&gt; SOUS-SEGMENT'!$HK$8:$HK$154)</f>
        <v>20.489439999999998</v>
      </c>
      <c r="HI18" s="311">
        <f>SUMPRODUCT(('ANALYSE - ERP =&gt; SOUS-SEGMENT'!$C$8:$C$154=$C18)*'ANALYSE - ERP =&gt; SOUS-SEGMENT'!$Q$8:$Q$154*'ANALYSE - ERP =&gt; SOUS-SEGMENT'!$HL$8:$HL$154)</f>
        <v>132.518213</v>
      </c>
      <c r="HJ18" s="311">
        <f>SUMPRODUCT(('ANALYSE - ERP =&gt; SOUS-SEGMENT'!$C$8:$C$154=$C18)*'ANALYSE - ERP =&gt; SOUS-SEGMENT'!$Q$8:$Q$154*'ANALYSE - ERP =&gt; SOUS-SEGMENT'!$HM$8:$HM$154)</f>
        <v>96.317093</v>
      </c>
      <c r="HK18" s="311">
        <f>SUMPRODUCT(('ANALYSE - ERP =&gt; SOUS-SEGMENT'!$C$8:$C$154=$C18)*'ANALYSE - ERP =&gt; SOUS-SEGMENT'!$Q$8:$Q$154*'ANALYSE - ERP =&gt; SOUS-SEGMENT'!$HN$8:$HN$154)</f>
        <v>36.201119999999996</v>
      </c>
      <c r="HL18" s="311">
        <f>SUMPRODUCT(('ANALYSE - ERP =&gt; SOUS-SEGMENT'!$C$8:$C$154=$C18)*'ANALYSE - ERP =&gt; SOUS-SEGMENT'!$Q$8:$Q$154*'ANALYSE - ERP =&gt; SOUS-SEGMENT'!$HO$8:$HO$154)</f>
        <v>805.75791335664348</v>
      </c>
      <c r="HM18" s="311">
        <f>SUMPRODUCT(('ANALYSE - ERP =&gt; SOUS-SEGMENT'!$C$8:$C$154=$C18)*'ANALYSE - ERP =&gt; SOUS-SEGMENT'!$Q$8:$Q$154*'ANALYSE - ERP =&gt; SOUS-SEGMENT'!$HP$8:$HP$154)</f>
        <v>591.53007335664347</v>
      </c>
      <c r="HN18" s="311">
        <f>SUMPRODUCT(('ANALYSE - ERP =&gt; SOUS-SEGMENT'!$C$8:$C$154=$C18)*'ANALYSE - ERP =&gt; SOUS-SEGMENT'!$Q$8:$Q$154*'ANALYSE - ERP =&gt; SOUS-SEGMENT'!$HQ$8:$HQ$154)</f>
        <v>214.22783999999996</v>
      </c>
      <c r="HO18" s="311">
        <f>SUMPRODUCT(('ANALYSE - ERP =&gt; SOUS-SEGMENT'!$C$8:$C$154=$C18)*'ANALYSE - ERP =&gt; SOUS-SEGMENT'!$Q$8:$Q$154*'ANALYSE - ERP =&gt; SOUS-SEGMENT'!$HR$8:$HR$154)</f>
        <v>501.84830601398596</v>
      </c>
      <c r="HP18" s="311">
        <f>SUMPRODUCT(('ANALYSE - ERP =&gt; SOUS-SEGMENT'!$C$8:$C$154=$C18)*'ANALYSE - ERP =&gt; SOUS-SEGMENT'!$Q$8:$Q$154*'ANALYSE - ERP =&gt; SOUS-SEGMENT'!$HS$8:$HS$154)</f>
        <v>317.443346013986</v>
      </c>
      <c r="HQ18" s="311">
        <f>SUMPRODUCT(('ANALYSE - ERP =&gt; SOUS-SEGMENT'!$C$8:$C$154=$C18)*'ANALYSE - ERP =&gt; SOUS-SEGMENT'!$Q$8:$Q$154*'ANALYSE - ERP =&gt; SOUS-SEGMENT'!$HT$8:$HT$154)</f>
        <v>184.40495999999999</v>
      </c>
      <c r="HR18" s="311">
        <f>SUMPRODUCT(('ANALYSE - ERP =&gt; SOUS-SEGMENT'!$C$8:$C$154=$C18)*'ANALYSE - ERP =&gt; SOUS-SEGMENT'!$Q$8:$Q$154*'ANALYSE - ERP =&gt; SOUS-SEGMENT'!$HU$8:$HU$154)</f>
        <v>243.03783000000004</v>
      </c>
      <c r="HS18" s="311">
        <f>SUMPRODUCT(('ANALYSE - ERP =&gt; SOUS-SEGMENT'!$C$8:$C$154=$C18)*'ANALYSE - ERP =&gt; SOUS-SEGMENT'!$Q$8:$Q$154*'ANALYSE - ERP =&gt; SOUS-SEGMENT'!$HV$8:$HV$154)</f>
        <v>158.63863000000001</v>
      </c>
      <c r="HT18" s="311">
        <f>SUMPRODUCT(('ANALYSE - ERP =&gt; SOUS-SEGMENT'!$C$8:$C$154=$C18)*'ANALYSE - ERP =&gt; SOUS-SEGMENT'!$Q$8:$Q$154*'ANALYSE - ERP =&gt; SOUS-SEGMENT'!$HW$8:$HW$154)</f>
        <v>84.399199999999993</v>
      </c>
      <c r="HV18" s="313">
        <f t="shared" si="40"/>
        <v>1607340.5000000002</v>
      </c>
      <c r="HW18" s="313">
        <f>SUMPRODUCT(('ANALYSE - ERP =&gt; SOUS-SEGMENT'!$C$8:$C$154=$C18)*'ANALYSE - ERP =&gt; SOUS-SEGMENT'!$Q$8:$Q$154*'ANALYSE - ERP =&gt; SOUS-SEGMENT'!$HZ$8:$HZ$154)</f>
        <v>1065.5030000000002</v>
      </c>
      <c r="HX18" s="313">
        <f>SUMPRODUCT(('ANALYSE - ERP =&gt; SOUS-SEGMENT'!$C$8:$C$154=$C18)*'ANALYSE - ERP =&gt; SOUS-SEGMENT'!$Q$8:$Q$154*'ANALYSE - ERP =&gt; SOUS-SEGMENT'!$IA$8:$IA$154)</f>
        <v>4460.1895000000004</v>
      </c>
      <c r="HY18" s="313">
        <f>SUMPRODUCT(('ANALYSE - ERP =&gt; SOUS-SEGMENT'!$C$8:$C$154=$C18)*'ANALYSE - ERP =&gt; SOUS-SEGMENT'!$Q$8:$Q$154*'ANALYSE - ERP =&gt; SOUS-SEGMENT'!$IB$8:$IB$154)</f>
        <v>3401.6974999999998</v>
      </c>
      <c r="HZ18" s="313">
        <f>SUMPRODUCT(('ANALYSE - ERP =&gt; SOUS-SEGMENT'!$C$8:$C$154=$C18)*'ANALYSE - ERP =&gt; SOUS-SEGMENT'!$Q$8:$Q$154*'ANALYSE - ERP =&gt; SOUS-SEGMENT'!$IC$8:$IC$154)</f>
        <v>407.61</v>
      </c>
      <c r="IA18" s="313">
        <f>SUMPRODUCT(('ANALYSE - ERP =&gt; SOUS-SEGMENT'!$C$8:$C$154=$C18)*'ANALYSE - ERP =&gt; SOUS-SEGMENT'!$Q$8:$Q$154*'ANALYSE - ERP =&gt; SOUS-SEGMENT'!$ID$8:$ID$154)</f>
        <v>0</v>
      </c>
      <c r="IB18" s="313">
        <f>SUMPRODUCT(('ANALYSE - ERP =&gt; SOUS-SEGMENT'!$C$8:$C$154=$C18)*'ANALYSE - ERP =&gt; SOUS-SEGMENT'!$Q$8:$Q$154*'ANALYSE - ERP =&gt; SOUS-SEGMENT'!$IE$8:$IE$154)</f>
        <v>2623.8414877201635</v>
      </c>
      <c r="IC18" s="313">
        <f>SUMPRODUCT(('ANALYSE - ERP =&gt; SOUS-SEGMENT'!$C$8:$C$154=$C18)*'ANALYSE - ERP =&gt; SOUS-SEGMENT'!$Q$8:$Q$154*'ANALYSE - ERP =&gt; SOUS-SEGMENT'!$IF$8:$IF$154)</f>
        <v>179.17581542951953</v>
      </c>
      <c r="ID18" s="313">
        <f>SUMPRODUCT(('ANALYSE - ERP =&gt; SOUS-SEGMENT'!$C$8:$C$154=$C18)*'ANALYSE - ERP =&gt; SOUS-SEGMENT'!$Q$8:$Q$154*'ANALYSE - ERP =&gt; SOUS-SEGMENT'!$IG$8:$IG$154)</f>
        <v>1284.6974235621872</v>
      </c>
      <c r="IE18" s="313">
        <f>SUMPRODUCT(('ANALYSE - ERP =&gt; SOUS-SEGMENT'!$C$8:$C$154=$C18)*'ANALYSE - ERP =&gt; SOUS-SEGMENT'!$Q$8:$Q$154*'ANALYSE - ERP =&gt; SOUS-SEGMENT'!$IH$8:$IH$154)</f>
        <v>1016.6694319420302</v>
      </c>
      <c r="IF18" s="313">
        <f>SUMPRODUCT(('ANALYSE - ERP =&gt; SOUS-SEGMENT'!$C$8:$C$154=$C18)*'ANALYSE - ERP =&gt; SOUS-SEGMENT'!$Q$8:$Q$154*'ANALYSE - ERP =&gt; SOUS-SEGMENT'!$II$8:$II$154)</f>
        <v>136.58279650708971</v>
      </c>
      <c r="IG18" s="313">
        <f>SUMPRODUCT(('ANALYSE - ERP =&gt; SOUS-SEGMENT'!$C$8:$C$154=$C18)*'ANALYSE - ERP =&gt; SOUS-SEGMENT'!$Q$8:$Q$154*'ANALYSE - ERP =&gt; SOUS-SEGMENT'!$IJ$8:$IJ$154)</f>
        <v>6.7160202793366199</v>
      </c>
      <c r="IH18" s="866"/>
      <c r="II18" s="314" t="s">
        <v>2780</v>
      </c>
      <c r="IJ18" s="299" t="s">
        <v>6760</v>
      </c>
      <c r="IK18" s="657"/>
      <c r="IL18" s="747">
        <f>IFERROR(SUMPRODUCT(('ANALYSE - ERP =&gt; SOUS-SEGMENT'!$C$8:$C$154=$C18)*'ANALYSE - ERP =&gt; SOUS-SEGMENT'!$Q$8:$Q$154*'ANALYSE - ERP =&gt; SOUS-SEGMENT'!$BE$8:$BE$154*'ANALYSE - ERP =&gt; SOUS-SEGMENT'!$IO$8:$IO$154)/SUMPRODUCT(('ANALYSE - ERP =&gt; SOUS-SEGMENT'!$C$8:$C$154=$C18)*'ANALYSE - ERP =&gt; SOUS-SEGMENT'!$Q$8:$Q$154*'ANALYSE - ERP =&gt; SOUS-SEGMENT'!$BE$8:$BE$154),0)</f>
        <v>9.8640000000000005E-2</v>
      </c>
      <c r="IM18" s="748">
        <f>IFERROR(SUMPRODUCT(('ANALYSE - ERP =&gt; SOUS-SEGMENT'!$C$8:$C$154=$C18)*'ANALYSE - ERP =&gt; SOUS-SEGMENT'!$Q$8:$Q$154*'ANALYSE - ERP =&gt; SOUS-SEGMENT'!$BE$8:$BE$154*'ANALYSE - ERP =&gt; SOUS-SEGMENT'!$IP$8:$IP$154)/SUMPRODUCT(('ANALYSE - ERP =&gt; SOUS-SEGMENT'!$C$8:$C$154=$C18)*'ANALYSE - ERP =&gt; SOUS-SEGMENT'!$Q$8:$Q$154*'ANALYSE - ERP =&gt; SOUS-SEGMENT'!$BE$8:$BE$154),0)</f>
        <v>0.46061647058823529</v>
      </c>
      <c r="IN18" s="748">
        <f>IFERROR(SUMPRODUCT(('ANALYSE - ERP =&gt; SOUS-SEGMENT'!$C$8:$C$154=$C18)*'ANALYSE - ERP =&gt; SOUS-SEGMENT'!$Q$8:$Q$154*'ANALYSE - ERP =&gt; SOUS-SEGMENT'!$BE$8:$BE$154*'ANALYSE - ERP =&gt; SOUS-SEGMENT'!$IQ$8:$IQ$154)/SUMPRODUCT(('ANALYSE - ERP =&gt; SOUS-SEGMENT'!$C$8:$C$154=$C18)*'ANALYSE - ERP =&gt; SOUS-SEGMENT'!$Q$8:$Q$154*'ANALYSE - ERP =&gt; SOUS-SEGMENT'!$BE$8:$BE$154),0)</f>
        <v>0.38886117647058827</v>
      </c>
      <c r="IO18" s="748">
        <f>IFERROR(SUMPRODUCT(('ANALYSE - ERP =&gt; SOUS-SEGMENT'!$C$8:$C$154=$C18)*'ANALYSE - ERP =&gt; SOUS-SEGMENT'!$Q$8:$Q$154*'ANALYSE - ERP =&gt; SOUS-SEGMENT'!$BE$8:$BE$154*'ANALYSE - ERP =&gt; SOUS-SEGMENT'!$IR$8:$IR$154)/SUMPRODUCT(('ANALYSE - ERP =&gt; SOUS-SEGMENT'!$C$8:$C$154=$C18)*'ANALYSE - ERP =&gt; SOUS-SEGMENT'!$Q$8:$Q$154*'ANALYSE - ERP =&gt; SOUS-SEGMENT'!$BE$8:$BE$154),0)</f>
        <v>5.1882352941176477E-2</v>
      </c>
      <c r="IP18" s="749">
        <f>IFERROR(SUMPRODUCT(('ANALYSE - ERP =&gt; SOUS-SEGMENT'!$C$8:$C$154=$C18)*'ANALYSE - ERP =&gt; SOUS-SEGMENT'!$Q$8:$Q$154*'ANALYSE - ERP =&gt; SOUS-SEGMENT'!$BE$8:$BE$154*'ANALYSE - ERP =&gt; SOUS-SEGMENT'!$IS$8:$IS$154)/SUMPRODUCT(('ANALYSE - ERP =&gt; SOUS-SEGMENT'!$C$8:$C$154=$C18)*'ANALYSE - ERP =&gt; SOUS-SEGMENT'!$Q$8:$Q$154*'ANALYSE - ERP =&gt; SOUS-SEGMENT'!$BE$8:$BE$154),0)</f>
        <v>0</v>
      </c>
      <c r="IQ18" s="748">
        <f>IFERROR(SUMPRODUCT(('ANALYSE - ERP =&gt; SOUS-SEGMENT'!$C$8:$C$154=$C18)*'ANALYSE - ERP =&gt; SOUS-SEGMENT'!$Q$8:$Q$154*'ANALYSE - ERP =&gt; SOUS-SEGMENT'!$FB$8:$FB$154*'ANALYSE - ERP =&gt; SOUS-SEGMENT'!$IT$8:$IT$154)/SUMPRODUCT(('ANALYSE - ERP =&gt; SOUS-SEGMENT'!$C$8:$C$154=$C18)*'ANALYSE - ERP =&gt; SOUS-SEGMENT'!$Q$8:$Q$154*'ANALYSE - ERP =&gt; SOUS-SEGMENT'!$FB$8:$FB$154),0)</f>
        <v>5.382985133137129E-2</v>
      </c>
      <c r="IR18" s="748">
        <f>IFERROR(SUMPRODUCT(('ANALYSE - ERP =&gt; SOUS-SEGMENT'!$C$8:$C$154=$C18)*'ANALYSE - ERP =&gt; SOUS-SEGMENT'!$Q$8:$Q$154*'ANALYSE - ERP =&gt; SOUS-SEGMENT'!$FB$8:$FB$154*'ANALYSE - ERP =&gt; SOUS-SEGMENT'!$IU$8:$IU$154)/SUMPRODUCT(('ANALYSE - ERP =&gt; SOUS-SEGMENT'!$C$8:$C$154=$C18)*'ANALYSE - ERP =&gt; SOUS-SEGMENT'!$Q$8:$Q$154*'ANALYSE - ERP =&gt; SOUS-SEGMENT'!$FB$8:$FB$154),0)</f>
        <v>0.46249395337971877</v>
      </c>
      <c r="IS18" s="748">
        <f>IFERROR(SUMPRODUCT(('ANALYSE - ERP =&gt; SOUS-SEGMENT'!$C$8:$C$154=$C18)*'ANALYSE - ERP =&gt; SOUS-SEGMENT'!$Q$8:$Q$154*'ANALYSE - ERP =&gt; SOUS-SEGMENT'!$FB$8:$FB$154*'ANALYSE - ERP =&gt; SOUS-SEGMENT'!$IV$8:$IV$154)/SUMPRODUCT(('ANALYSE - ERP =&gt; SOUS-SEGMENT'!$C$8:$C$154=$C18)*'ANALYSE - ERP =&gt; SOUS-SEGMENT'!$Q$8:$Q$154*'ANALYSE - ERP =&gt; SOUS-SEGMENT'!$FB$8:$FB$154),0)</f>
        <v>0.41927706800039294</v>
      </c>
      <c r="IT18" s="748">
        <f>IFERROR(SUMPRODUCT(('ANALYSE - ERP =&gt; SOUS-SEGMENT'!$C$8:$C$154=$C18)*'ANALYSE - ERP =&gt; SOUS-SEGMENT'!$Q$8:$Q$154*'ANALYSE - ERP =&gt; SOUS-SEGMENT'!$FB$8:$FB$154*'ANALYSE - ERP =&gt; SOUS-SEGMENT'!$IW$8:$IW$154)/SUMPRODUCT(('ANALYSE - ERP =&gt; SOUS-SEGMENT'!$C$8:$C$154=$C18)*'ANALYSE - ERP =&gt; SOUS-SEGMENT'!$Q$8:$Q$154*'ANALYSE - ERP =&gt; SOUS-SEGMENT'!$FB$8:$FB$154),0)</f>
        <v>6.1715830318162163E-2</v>
      </c>
      <c r="IU18" s="748">
        <f>IFERROR(SUMPRODUCT(('ANALYSE - ERP =&gt; SOUS-SEGMENT'!$C$8:$C$154=$C18)*'ANALYSE - ERP =&gt; SOUS-SEGMENT'!$Q$8:$Q$154*'ANALYSE - ERP =&gt; SOUS-SEGMENT'!$FB$8:$FB$154*'ANALYSE - ERP =&gt; SOUS-SEGMENT'!$IX$8:$IX$154)/SUMPRODUCT(('ANALYSE - ERP =&gt; SOUS-SEGMENT'!$C$8:$C$154=$C18)*'ANALYSE - ERP =&gt; SOUS-SEGMENT'!$Q$8:$Q$154*'ANALYSE - ERP =&gt; SOUS-SEGMENT'!$FB$8:$FB$154),0)</f>
        <v>2.6832969703548767E-3</v>
      </c>
      <c r="IV18" s="771">
        <f>IFERROR(SUMPRODUCT(('ANALYSE - ERP =&gt; SOUS-SEGMENT'!$C$8:$C$154=$C18)*'ANALYSE - ERP =&gt; SOUS-SEGMENT'!$Q$8:$Q$154*'ANALYSE - ERP =&gt; SOUS-SEGMENT'!$BF$8:$BF$154*'ANALYSE - ERP =&gt; SOUS-SEGMENT'!$IY$8:$IY$154)/SUMPRODUCT(('ANALYSE - ERP =&gt; SOUS-SEGMENT'!$C$8:$C$154=$C18)*'ANALYSE - ERP =&gt; SOUS-SEGMENT'!$Q$8:$Q$154*'ANALYSE - ERP =&gt; SOUS-SEGMENT'!$BF$8:$BF$154),0)</f>
        <v>0.23227042253521127</v>
      </c>
      <c r="IW18" s="748">
        <f>IFERROR(SUMPRODUCT(('ANALYSE - ERP =&gt; SOUS-SEGMENT'!$C$8:$C$154=$C18)*'ANALYSE - ERP =&gt; SOUS-SEGMENT'!$Q$8:$Q$154*'ANALYSE - ERP =&gt; SOUS-SEGMENT'!$BF$8:$BF$154*'ANALYSE - ERP =&gt; SOUS-SEGMENT'!$IZ$8:$IZ$154)/SUMPRODUCT(('ANALYSE - ERP =&gt; SOUS-SEGMENT'!$C$8:$C$154=$C18)*'ANALYSE - ERP =&gt; SOUS-SEGMENT'!$Q$8:$Q$154*'ANALYSE - ERP =&gt; SOUS-SEGMENT'!$BF$8:$BF$154),0)</f>
        <v>0.36265915492957745</v>
      </c>
      <c r="IX18" s="748">
        <f>IFERROR(SUMPRODUCT(('ANALYSE - ERP =&gt; SOUS-SEGMENT'!$C$8:$C$154=$C18)*'ANALYSE - ERP =&gt; SOUS-SEGMENT'!$Q$8:$Q$154*'ANALYSE - ERP =&gt; SOUS-SEGMENT'!$BF$8:$BF$154*'ANALYSE - ERP =&gt; SOUS-SEGMENT'!$JA$8:$JA$154)/SUMPRODUCT(('ANALYSE - ERP =&gt; SOUS-SEGMENT'!$C$8:$C$154=$C18)*'ANALYSE - ERP =&gt; SOUS-SEGMENT'!$Q$8:$Q$154*'ANALYSE - ERP =&gt; SOUS-SEGMENT'!$BF$8:$BF$154),0)</f>
        <v>2.47887323943662E-2</v>
      </c>
      <c r="IY18" s="748">
        <f>IFERROR(SUMPRODUCT(('ANALYSE - ERP =&gt; SOUS-SEGMENT'!$C$8:$C$154=$C18)*'ANALYSE - ERP =&gt; SOUS-SEGMENT'!$Q$8:$Q$154*'ANALYSE - ERP =&gt; SOUS-SEGMENT'!$BF$8:$BF$154*'ANALYSE - ERP =&gt; SOUS-SEGMENT'!$JB$8:$JB$154)/SUMPRODUCT(('ANALYSE - ERP =&gt; SOUS-SEGMENT'!$C$8:$C$154=$C18)*'ANALYSE - ERP =&gt; SOUS-SEGMENT'!$Q$8:$Q$154*'ANALYSE - ERP =&gt; SOUS-SEGMENT'!$BF$8:$BF$154),0)</f>
        <v>0</v>
      </c>
      <c r="IZ18" s="749">
        <f>IFERROR(SUMPRODUCT(('ANALYSE - ERP =&gt; SOUS-SEGMENT'!$C$8:$C$154=$C18)*'ANALYSE - ERP =&gt; SOUS-SEGMENT'!$Q$8:$Q$154*'ANALYSE - ERP =&gt; SOUS-SEGMENT'!$BF$8:$BF$154*'ANALYSE - ERP =&gt; SOUS-SEGMENT'!$JC$8:$JC$154)/SUMPRODUCT(('ANALYSE - ERP =&gt; SOUS-SEGMENT'!$C$8:$C$154=$C18)*'ANALYSE - ERP =&gt; SOUS-SEGMENT'!$Q$8:$Q$154*'ANALYSE - ERP =&gt; SOUS-SEGMENT'!$BF$8:$BF$154),0)</f>
        <v>0</v>
      </c>
      <c r="JA18" s="748">
        <f>IFERROR(SUMPRODUCT(('ANALYSE - ERP =&gt; SOUS-SEGMENT'!$C$8:$C$154=$C18)*'ANALYSE - ERP =&gt; SOUS-SEGMENT'!$Q$8:$Q$154*'ANALYSE - ERP =&gt; SOUS-SEGMENT'!$FE$8:$FE$154*'ANALYSE - ERP =&gt; SOUS-SEGMENT'!$JD$8:$JD$154)/SUMPRODUCT(('ANALYSE - ERP =&gt; SOUS-SEGMENT'!$C$8:$C$154=$C18)*'ANALYSE - ERP =&gt; SOUS-SEGMENT'!$Q$8:$Q$154*'ANALYSE - ERP =&gt; SOUS-SEGMENT'!$FE$8:$FE$154),0)</f>
        <v>0.13727019049174824</v>
      </c>
      <c r="JB18" s="748">
        <f>IFERROR(SUMPRODUCT(('ANALYSE - ERP =&gt; SOUS-SEGMENT'!$C$8:$C$154=$C18)*'ANALYSE - ERP =&gt; SOUS-SEGMENT'!$Q$8:$Q$154*'ANALYSE - ERP =&gt; SOUS-SEGMENT'!$FE$8:$FE$154*'ANALYSE - ERP =&gt; SOUS-SEGMENT'!$JE$8:$JE$154)/SUMPRODUCT(('ANALYSE - ERP =&gt; SOUS-SEGMENT'!$C$8:$C$154=$C18)*'ANALYSE - ERP =&gt; SOUS-SEGMENT'!$Q$8:$Q$154*'ANALYSE - ERP =&gt; SOUS-SEGMENT'!$FE$8:$FE$154),0)</f>
        <v>0.44227818145382902</v>
      </c>
      <c r="JC18" s="748">
        <f>IFERROR(SUMPRODUCT(('ANALYSE - ERP =&gt; SOUS-SEGMENT'!$C$8:$C$154=$C18)*'ANALYSE - ERP =&gt; SOUS-SEGMENT'!$Q$8:$Q$154*'ANALYSE - ERP =&gt; SOUS-SEGMENT'!$FE$8:$FE$154*'ANALYSE - ERP =&gt; SOUS-SEGMENT'!$JF$8:$JF$154)/SUMPRODUCT(('ANALYSE - ERP =&gt; SOUS-SEGMENT'!$C$8:$C$154=$C18)*'ANALYSE - ERP =&gt; SOUS-SEGMENT'!$Q$8:$Q$154*'ANALYSE - ERP =&gt; SOUS-SEGMENT'!$FE$8:$FE$154),0)</f>
        <v>8.4233980529027322E-2</v>
      </c>
      <c r="JD18" s="748">
        <f>IFERROR(SUMPRODUCT(('ANALYSE - ERP =&gt; SOUS-SEGMENT'!$C$8:$C$154=$C18)*'ANALYSE - ERP =&gt; SOUS-SEGMENT'!$Q$8:$Q$154*'ANALYSE - ERP =&gt; SOUS-SEGMENT'!$FE$8:$FE$154*'ANALYSE - ERP =&gt; SOUS-SEGMENT'!$JG$8:$JG$154)/SUMPRODUCT(('ANALYSE - ERP =&gt; SOUS-SEGMENT'!$C$8:$C$154=$C18)*'ANALYSE - ERP =&gt; SOUS-SEGMENT'!$Q$8:$Q$154*'ANALYSE - ERP =&gt; SOUS-SEGMENT'!$FE$8:$FE$154),0)</f>
        <v>0</v>
      </c>
      <c r="JE18" s="748">
        <f>IFERROR(SUMPRODUCT(('ANALYSE - ERP =&gt; SOUS-SEGMENT'!$C$8:$C$154=$C18)*'ANALYSE - ERP =&gt; SOUS-SEGMENT'!$Q$8:$Q$154*'ANALYSE - ERP =&gt; SOUS-SEGMENT'!$FE$8:$FE$154*'ANALYSE - ERP =&gt; SOUS-SEGMENT'!$JH$8:$JH$154)/SUMPRODUCT(('ANALYSE - ERP =&gt; SOUS-SEGMENT'!$C$8:$C$154=$C18)*'ANALYSE - ERP =&gt; SOUS-SEGMENT'!$Q$8:$Q$154*'ANALYSE - ERP =&gt; SOUS-SEGMENT'!$FE$8:$FE$154),0)</f>
        <v>0</v>
      </c>
      <c r="JF18" s="771">
        <f>IFERROR(SUMPRODUCT(('ANALYSE - ERP =&gt; SOUS-SEGMENT'!$C$8:$C$154=$C18)*'ANALYSE - ERP =&gt; SOUS-SEGMENT'!$Q$8:$Q$154*'ANALYSE - ERP =&gt; SOUS-SEGMENT'!$BG$8:$BG$154*'ANALYSE - ERP =&gt; SOUS-SEGMENT'!$JI$8:$JI$154)/SUMPRODUCT(('ANALYSE - ERP =&gt; SOUS-SEGMENT'!$C$8:$C$154=$C18)*'ANALYSE - ERP =&gt; SOUS-SEGMENT'!$Q$8:$Q$154*'ANALYSE - ERP =&gt; SOUS-SEGMENT'!$BG$8:$BG$154),0)</f>
        <v>0.14579148936170214</v>
      </c>
      <c r="JG18" s="748">
        <f>IFERROR(SUMPRODUCT(('ANALYSE - ERP =&gt; SOUS-SEGMENT'!$C$8:$C$154=$C18)*'ANALYSE - ERP =&gt; SOUS-SEGMENT'!$Q$8:$Q$154*'ANALYSE - ERP =&gt; SOUS-SEGMENT'!$BG$8:$BG$154*'ANALYSE - ERP =&gt; SOUS-SEGMENT'!$JJ$8:$JJ$154)/SUMPRODUCT(('ANALYSE - ERP =&gt; SOUS-SEGMENT'!$C$8:$C$154=$C18)*'ANALYSE - ERP =&gt; SOUS-SEGMENT'!$Q$8:$Q$154*'ANALYSE - ERP =&gt; SOUS-SEGMENT'!$BG$8:$BG$154),0)</f>
        <v>0.53801489361702126</v>
      </c>
      <c r="JH18" s="748">
        <f>IFERROR(SUMPRODUCT(('ANALYSE - ERP =&gt; SOUS-SEGMENT'!$C$8:$C$154=$C18)*'ANALYSE - ERP =&gt; SOUS-SEGMENT'!$Q$8:$Q$154*'ANALYSE - ERP =&gt; SOUS-SEGMENT'!$BG$8:$BG$154*'ANALYSE - ERP =&gt; SOUS-SEGMENT'!$JK$8:$JK$154)/SUMPRODUCT(('ANALYSE - ERP =&gt; SOUS-SEGMENT'!$C$8:$C$154=$C18)*'ANALYSE - ERP =&gt; SOUS-SEGMENT'!$Q$8:$Q$154*'ANALYSE - ERP =&gt; SOUS-SEGMENT'!$BG$8:$BG$154),0)</f>
        <v>0.29206595744680852</v>
      </c>
      <c r="JI18" s="748">
        <f>IFERROR(SUMPRODUCT(('ANALYSE - ERP =&gt; SOUS-SEGMENT'!$C$8:$C$154=$C18)*'ANALYSE - ERP =&gt; SOUS-SEGMENT'!$Q$8:$Q$154*'ANALYSE - ERP =&gt; SOUS-SEGMENT'!$BG$8:$BG$154*'ANALYSE - ERP =&gt; SOUS-SEGMENT'!$JL$8:$JL$154)/SUMPRODUCT(('ANALYSE - ERP =&gt; SOUS-SEGMENT'!$C$8:$C$154=$C18)*'ANALYSE - ERP =&gt; SOUS-SEGMENT'!$Q$8:$Q$154*'ANALYSE - ERP =&gt; SOUS-SEGMENT'!$BG$8:$BG$154),0)</f>
        <v>2.4127659574468087E-2</v>
      </c>
      <c r="JJ18" s="749">
        <f>IFERROR(SUMPRODUCT(('ANALYSE - ERP =&gt; SOUS-SEGMENT'!$C$8:$C$154=$C18)*'ANALYSE - ERP =&gt; SOUS-SEGMENT'!$Q$8:$Q$154*'ANALYSE - ERP =&gt; SOUS-SEGMENT'!$BG$8:$BG$154*'ANALYSE - ERP =&gt; SOUS-SEGMENT'!$JM$8:$JM$154)/SUMPRODUCT(('ANALYSE - ERP =&gt; SOUS-SEGMENT'!$C$8:$C$154=$C18)*'ANALYSE - ERP =&gt; SOUS-SEGMENT'!$Q$8:$Q$154*'ANALYSE - ERP =&gt; SOUS-SEGMENT'!$BG$8:$BG$154),0)</f>
        <v>0</v>
      </c>
      <c r="JK18" s="748">
        <f>IFERROR(SUMPRODUCT(('ANALYSE - ERP =&gt; SOUS-SEGMENT'!$C$8:$C$154=$C18)*'ANALYSE - ERP =&gt; SOUS-SEGMENT'!$Q$8:$Q$154*'ANALYSE - ERP =&gt; SOUS-SEGMENT'!$FH$8:$FH$154*'ANALYSE - ERP =&gt; SOUS-SEGMENT'!$JN$8:$JN$154)/SUMPRODUCT(('ANALYSE - ERP =&gt; SOUS-SEGMENT'!$C$8:$C$154=$C18)*'ANALYSE - ERP =&gt; SOUS-SEGMENT'!$Q$8:$Q$154*'ANALYSE - ERP =&gt; SOUS-SEGMENT'!$FH$8:$FH$154),0)</f>
        <v>9.9111920171632034E-2</v>
      </c>
      <c r="JL18" s="748">
        <f>IFERROR(SUMPRODUCT(('ANALYSE - ERP =&gt; SOUS-SEGMENT'!$C$8:$C$154=$C18)*'ANALYSE - ERP =&gt; SOUS-SEGMENT'!$Q$8:$Q$154*'ANALYSE - ERP =&gt; SOUS-SEGMENT'!$FH$8:$FH$154*'ANALYSE - ERP =&gt; SOUS-SEGMENT'!$JO$8:$JO$154)/SUMPRODUCT(('ANALYSE - ERP =&gt; SOUS-SEGMENT'!$C$8:$C$154=$C18)*'ANALYSE - ERP =&gt; SOUS-SEGMENT'!$Q$8:$Q$154*'ANALYSE - ERP =&gt; SOUS-SEGMENT'!$FH$8:$FH$154),0)</f>
        <v>0.55521600302415819</v>
      </c>
      <c r="JM18" s="748">
        <f>IFERROR(SUMPRODUCT(('ANALYSE - ERP =&gt; SOUS-SEGMENT'!$C$8:$C$154=$C18)*'ANALYSE - ERP =&gt; SOUS-SEGMENT'!$Q$8:$Q$154*'ANALYSE - ERP =&gt; SOUS-SEGMENT'!$FH$8:$FH$154*'ANALYSE - ERP =&gt; SOUS-SEGMENT'!$JP$8:$JP$154)/SUMPRODUCT(('ANALYSE - ERP =&gt; SOUS-SEGMENT'!$C$8:$C$154=$C18)*'ANALYSE - ERP =&gt; SOUS-SEGMENT'!$Q$8:$Q$154*'ANALYSE - ERP =&gt; SOUS-SEGMENT'!$FH$8:$FH$154),0)</f>
        <v>0.30765290654148703</v>
      </c>
      <c r="JN18" s="748">
        <f>IFERROR(SUMPRODUCT(('ANALYSE - ERP =&gt; SOUS-SEGMENT'!$C$8:$C$154=$C18)*'ANALYSE - ERP =&gt; SOUS-SEGMENT'!$Q$8:$Q$154*'ANALYSE - ERP =&gt; SOUS-SEGMENT'!$FH$8:$FH$154*'ANALYSE - ERP =&gt; SOUS-SEGMENT'!$JQ$8:$JQ$154)/SUMPRODUCT(('ANALYSE - ERP =&gt; SOUS-SEGMENT'!$C$8:$C$154=$C18)*'ANALYSE - ERP =&gt; SOUS-SEGMENT'!$Q$8:$Q$154*'ANALYSE - ERP =&gt; SOUS-SEGMENT'!$FH$8:$FH$154),0)</f>
        <v>3.5277750016074839E-2</v>
      </c>
      <c r="JO18" s="748">
        <f>IFERROR(SUMPRODUCT(('ANALYSE - ERP =&gt; SOUS-SEGMENT'!$C$8:$C$154=$C18)*'ANALYSE - ERP =&gt; SOUS-SEGMENT'!$Q$8:$Q$154*'ANALYSE - ERP =&gt; SOUS-SEGMENT'!$FH$8:$FH$154*'ANALYSE - ERP =&gt; SOUS-SEGMENT'!$JR$8:$JR$154)/SUMPRODUCT(('ANALYSE - ERP =&gt; SOUS-SEGMENT'!$C$8:$C$154=$C18)*'ANALYSE - ERP =&gt; SOUS-SEGMENT'!$Q$8:$Q$154*'ANALYSE - ERP =&gt; SOUS-SEGMENT'!$FH$8:$FH$154),0)</f>
        <v>2.7414202466479426E-3</v>
      </c>
      <c r="JP18" s="771">
        <f>IFERROR(SUMPRODUCT(('ANALYSE - ERP =&gt; SOUS-SEGMENT'!$C$8:$C$154=$C18)*'ANALYSE - ERP =&gt; SOUS-SEGMENT'!$Q$8:$Q$154*'ANALYSE - ERP =&gt; SOUS-SEGMENT'!$BH$8:$BH$154*'ANALYSE - ERP =&gt; SOUS-SEGMENT'!$JS$8:$JS$154)/SUMPRODUCT(('ANALYSE - ERP =&gt; SOUS-SEGMENT'!$C$8:$C$154=$C18)*'ANALYSE - ERP =&gt; SOUS-SEGMENT'!$Q$8:$Q$154*'ANALYSE - ERP =&gt; SOUS-SEGMENT'!$BH$8:$BH$154),0)</f>
        <v>0.11414473684210526</v>
      </c>
      <c r="JQ18" s="748">
        <f>IFERROR(SUMPRODUCT(('ANALYSE - ERP =&gt; SOUS-SEGMENT'!$C$8:$C$154=$C18)*'ANALYSE - ERP =&gt; SOUS-SEGMENT'!$Q$8:$Q$154*'ANALYSE - ERP =&gt; SOUS-SEGMENT'!$BH$8:$BH$154*'ANALYSE - ERP =&gt; SOUS-SEGMENT'!$JT$8:$JT$154)/SUMPRODUCT(('ANALYSE - ERP =&gt; SOUS-SEGMENT'!$C$8:$C$154=$C18)*'ANALYSE - ERP =&gt; SOUS-SEGMENT'!$Q$8:$Q$154*'ANALYSE - ERP =&gt; SOUS-SEGMENT'!$BH$8:$BH$154),0)</f>
        <v>0.47527105263157898</v>
      </c>
      <c r="JR18" s="748">
        <f>IFERROR(SUMPRODUCT(('ANALYSE - ERP =&gt; SOUS-SEGMENT'!$C$8:$C$154=$C18)*'ANALYSE - ERP =&gt; SOUS-SEGMENT'!$Q$8:$Q$154*'ANALYSE - ERP =&gt; SOUS-SEGMENT'!$BH$8:$BH$154*'ANALYSE - ERP =&gt; SOUS-SEGMENT'!$JU$8:$JU$154)/SUMPRODUCT(('ANALYSE - ERP =&gt; SOUS-SEGMENT'!$C$8:$C$154=$C18)*'ANALYSE - ERP =&gt; SOUS-SEGMENT'!$Q$8:$Q$154*'ANALYSE - ERP =&gt; SOUS-SEGMENT'!$BH$8:$BH$154),0)</f>
        <v>0.36880526315789475</v>
      </c>
      <c r="JS18" s="748">
        <f>IFERROR(SUMPRODUCT(('ANALYSE - ERP =&gt; SOUS-SEGMENT'!$C$8:$C$154=$C18)*'ANALYSE - ERP =&gt; SOUS-SEGMENT'!$Q$8:$Q$154*'ANALYSE - ERP =&gt; SOUS-SEGMENT'!$BH$8:$BH$154*'ANALYSE - ERP =&gt; SOUS-SEGMENT'!$JV$8:$JV$154)/SUMPRODUCT(('ANALYSE - ERP =&gt; SOUS-SEGMENT'!$C$8:$C$154=$C18)*'ANALYSE - ERP =&gt; SOUS-SEGMENT'!$Q$8:$Q$154*'ANALYSE - ERP =&gt; SOUS-SEGMENT'!$BH$8:$BH$154),0)</f>
        <v>4.1778947368421047E-2</v>
      </c>
      <c r="JT18" s="749">
        <f>IFERROR(SUMPRODUCT(('ANALYSE - ERP =&gt; SOUS-SEGMENT'!$C$8:$C$154=$C18)*'ANALYSE - ERP =&gt; SOUS-SEGMENT'!$Q$8:$Q$154*'ANALYSE - ERP =&gt; SOUS-SEGMENT'!$BH$8:$BH$154*'ANALYSE - ERP =&gt; SOUS-SEGMENT'!$JW$8:$JW$154)/SUMPRODUCT(('ANALYSE - ERP =&gt; SOUS-SEGMENT'!$C$8:$C$154=$C18)*'ANALYSE - ERP =&gt; SOUS-SEGMENT'!$Q$8:$Q$154*'ANALYSE - ERP =&gt; SOUS-SEGMENT'!$BH$8:$BH$154),0)</f>
        <v>0</v>
      </c>
      <c r="JU18" s="771">
        <f>IFERROR(SUMPRODUCT(('ANALYSE - ERP =&gt; SOUS-SEGMENT'!$C$8:$C$154=$C18)*'ANALYSE - ERP =&gt; SOUS-SEGMENT'!$Q$8:$Q$154*'ANALYSE - ERP =&gt; SOUS-SEGMENT'!$FK$8:$FK$154*'ANALYSE - ERP =&gt; SOUS-SEGMENT'!$JX$8:$JX$154)/SUMPRODUCT(('ANALYSE - ERP =&gt; SOUS-SEGMENT'!$C$8:$C$154=$C18)*'ANALYSE - ERP =&gt; SOUS-SEGMENT'!$Q$8:$Q$154*'ANALYSE - ERP =&gt; SOUS-SEGMENT'!$FK$8:$FK$154),0)</f>
        <v>6.7958817839840327E-2</v>
      </c>
      <c r="JV18" s="748">
        <f>IFERROR(SUMPRODUCT(('ANALYSE - ERP =&gt; SOUS-SEGMENT'!$C$8:$C$154=$C18)*'ANALYSE - ERP =&gt; SOUS-SEGMENT'!$Q$8:$Q$154*'ANALYSE - ERP =&gt; SOUS-SEGMENT'!$FK$8:$FK$154*'ANALYSE - ERP =&gt; SOUS-SEGMENT'!$JY$8:$JY$154)/SUMPRODUCT(('ANALYSE - ERP =&gt; SOUS-SEGMENT'!$C$8:$C$154=$C18)*'ANALYSE - ERP =&gt; SOUS-SEGMENT'!$Q$8:$Q$154*'ANALYSE - ERP =&gt; SOUS-SEGMENT'!$FK$8:$FK$154),0)</f>
        <v>0.48958587592328284</v>
      </c>
      <c r="JW18" s="748">
        <f>IFERROR(SUMPRODUCT(('ANALYSE - ERP =&gt; SOUS-SEGMENT'!$C$8:$C$154=$C18)*'ANALYSE - ERP =&gt; SOUS-SEGMENT'!$Q$8:$Q$154*'ANALYSE - ERP =&gt; SOUS-SEGMENT'!$FK$8:$FK$154*'ANALYSE - ERP =&gt; SOUS-SEGMENT'!$JZ$8:$JZ$154)/SUMPRODUCT(('ANALYSE - ERP =&gt; SOUS-SEGMENT'!$C$8:$C$154=$C18)*'ANALYSE - ERP =&gt; SOUS-SEGMENT'!$Q$8:$Q$154*'ANALYSE - ERP =&gt; SOUS-SEGMENT'!$FK$8:$FK$154),0)</f>
        <v>0.39059334241812504</v>
      </c>
      <c r="JX18" s="748">
        <f>IFERROR(SUMPRODUCT(('ANALYSE - ERP =&gt; SOUS-SEGMENT'!$C$8:$C$154=$C18)*'ANALYSE - ERP =&gt; SOUS-SEGMENT'!$Q$8:$Q$154*'ANALYSE - ERP =&gt; SOUS-SEGMENT'!$FK$8:$FK$154*'ANALYSE - ERP =&gt; SOUS-SEGMENT'!$KA$8:$KA$154)/SUMPRODUCT(('ANALYSE - ERP =&gt; SOUS-SEGMENT'!$C$8:$C$154=$C18)*'ANALYSE - ERP =&gt; SOUS-SEGMENT'!$Q$8:$Q$154*'ANALYSE - ERP =&gt; SOUS-SEGMENT'!$FK$8:$FK$154),0)</f>
        <v>4.9398520537361122E-2</v>
      </c>
      <c r="JY18" s="775">
        <f>IFERROR(SUMPRODUCT(('ANALYSE - ERP =&gt; SOUS-SEGMENT'!$C$8:$C$154=$C18)*'ANALYSE - ERP =&gt; SOUS-SEGMENT'!$Q$8:$Q$154*'ANALYSE - ERP =&gt; SOUS-SEGMENT'!$FK$8:$FK$154*'ANALYSE - ERP =&gt; SOUS-SEGMENT'!$KB$8:$KB$154)/SUMPRODUCT(('ANALYSE - ERP =&gt; SOUS-SEGMENT'!$C$8:$C$154=$C18)*'ANALYSE - ERP =&gt; SOUS-SEGMENT'!$Q$8:$Q$154*'ANALYSE - ERP =&gt; SOUS-SEGMENT'!$FK$8:$FK$154),0)</f>
        <v>2.463443281390712E-3</v>
      </c>
      <c r="JZ18" s="657"/>
      <c r="KA18" s="314" t="s">
        <v>6997</v>
      </c>
      <c r="KB18" s="314" t="s">
        <v>6998</v>
      </c>
      <c r="KC18" s="866">
        <f>IFERROR(SUMPRODUCT(('ANALYSE - ERP =&gt; SOUS-SEGMENT'!$C$8:$C$154=$C19)*'ANALYSE - ERP =&gt; SOUS-SEGMENT'!$Q$8:$Q$154*'ANALYSE - ERP =&gt; SOUS-SEGMENT'!$EX$8:$EX$154*'ANALYSE - ERP =&gt; SOUS-SEGMENT'!$KF$8:$KF$154)/SUMPRODUCT(('ANALYSE - ERP =&gt; SOUS-SEGMENT'!$C$8:$C$154=$C19)*'ANALYSE - ERP =&gt; SOUS-SEGMENT'!$Q$8:$Q$154*'ANALYSE - ERP =&gt; SOUS-SEGMENT'!$EX$8:$EX$154),"")</f>
        <v>3.9471703366170199</v>
      </c>
      <c r="KD18" s="314" t="s">
        <v>2616</v>
      </c>
      <c r="KE18" s="315" t="s">
        <v>3857</v>
      </c>
      <c r="KF18" s="617" t="s">
        <v>6760</v>
      </c>
      <c r="KG18" s="315" t="s">
        <v>6760</v>
      </c>
    </row>
    <row r="19" spans="1:293" ht="108" customHeight="1">
      <c r="A19" s="265">
        <v>15</v>
      </c>
      <c r="B19" s="485" t="s">
        <v>2187</v>
      </c>
      <c r="C19" s="485" t="s">
        <v>3877</v>
      </c>
      <c r="D19" s="485" t="s">
        <v>6999</v>
      </c>
      <c r="E19" s="267" t="s">
        <v>3879</v>
      </c>
      <c r="F19" s="267" t="s">
        <v>300</v>
      </c>
      <c r="G19" s="267" t="s">
        <v>300</v>
      </c>
      <c r="H19" s="267" t="s">
        <v>2109</v>
      </c>
      <c r="I19" s="268" t="s">
        <v>7000</v>
      </c>
      <c r="J19" s="268" t="s">
        <v>7001</v>
      </c>
      <c r="K19" s="269" t="s">
        <v>2097</v>
      </c>
      <c r="L19" s="269" t="s">
        <v>2109</v>
      </c>
      <c r="M19" s="269" t="s">
        <v>2603</v>
      </c>
      <c r="N19" s="269" t="s">
        <v>6742</v>
      </c>
      <c r="O19" s="269" t="s">
        <v>2616</v>
      </c>
      <c r="P19" s="268"/>
      <c r="Q19" s="270">
        <f>IF(SUMPRODUCT(('ANALYSE - ERP =&gt; SOUS-SEGMENT'!$C$8:$C$154=$C19)*'ANALYSE - ERP =&gt; SOUS-SEGMENT'!$Q$8:$Q$154)&gt;0,1,0)</f>
        <v>1</v>
      </c>
      <c r="R19" s="271">
        <f>IFERROR(SUMPRODUCT(('ANALYSE - ERP =&gt; SOUS-SEGMENT'!$C$8:$C$154=$C19)*'ANALYSE - ERP =&gt; SOUS-SEGMENT'!$Q$8:$Q$154*'ANALYSE - ERP =&gt; SOUS-SEGMENT'!$AG$8:$AG$154*'ANALYSE - ERP =&gt; SOUS-SEGMENT'!$R$8:$R$154)/SUMPRODUCT(('ANALYSE - ERP =&gt; SOUS-SEGMENT'!$C$8:$C$154=$C19)*'ANALYSE - ERP =&gt; SOUS-SEGMENT'!$Q$8:$Q$154*'ANALYSE - ERP =&gt; SOUS-SEGMENT'!$AG$8:$AG$154),"")</f>
        <v>219.87444108215527</v>
      </c>
      <c r="S19" s="272">
        <f>SUMPRODUCT(('ANALYSE - ERP =&gt; SOUS-SEGMENT'!$C$8:$C$154=$C19)*'ANALYSE - ERP =&gt; SOUS-SEGMENT'!$Q$8:$Q$154*'ANALYSE - ERP =&gt; SOUS-SEGMENT'!$S$8:$S$154)</f>
        <v>159212</v>
      </c>
      <c r="T19" s="272">
        <f>SUMPRODUCT(('ANALYSE - ERP =&gt; SOUS-SEGMENT'!$C$8:$C$154=$C19)*'ANALYSE - ERP =&gt; SOUS-SEGMENT'!$Q$8:$Q$154*'ANALYSE - ERP =&gt; SOUS-SEGMENT'!$T$8:$T$154)</f>
        <v>164155</v>
      </c>
      <c r="U19" s="272">
        <f>SUMPRODUCT(('ANALYSE - ERP =&gt; SOUS-SEGMENT'!$C$8:$C$154=$C19)*'ANALYSE - ERP =&gt; SOUS-SEGMENT'!$Q$8:$Q$154*'ANALYSE - ERP =&gt; SOUS-SEGMENT'!$U$8:$U$154)</f>
        <v>167990</v>
      </c>
      <c r="V19" s="272">
        <f>SUMPRODUCT(('ANALYSE - ERP =&gt; SOUS-SEGMENT'!$C$8:$C$154=$C19)*'ANALYSE - ERP =&gt; SOUS-SEGMENT'!$Q$8:$Q$154*'ANALYSE - ERP =&gt; SOUS-SEGMENT'!$V$8:$V$154)</f>
        <v>172787</v>
      </c>
      <c r="W19" s="272">
        <f>SUMPRODUCT(('ANALYSE - ERP =&gt; SOUS-SEGMENT'!$C$8:$C$154=$C19)*'ANALYSE - ERP =&gt; SOUS-SEGMENT'!$Q$8:$Q$154*'ANALYSE - ERP =&gt; SOUS-SEGMENT'!$W$8:$W$154)</f>
        <v>173466</v>
      </c>
      <c r="X19" s="272">
        <f>SUMPRODUCT(('ANALYSE - ERP =&gt; SOUS-SEGMENT'!$C$8:$C$154=$C19)*'ANALYSE - ERP =&gt; SOUS-SEGMENT'!$Q$8:$Q$154*'ANALYSE - ERP =&gt; SOUS-SEGMENT'!$X$8:$X$154)</f>
        <v>174289</v>
      </c>
      <c r="Y19" s="272">
        <f>SUMPRODUCT(('ANALYSE - ERP =&gt; SOUS-SEGMENT'!$C$8:$C$154=$C19)*'ANALYSE - ERP =&gt; SOUS-SEGMENT'!$Q$8:$Q$154*'ANALYSE - ERP =&gt; SOUS-SEGMENT'!$Y$8:$Y$154)</f>
        <v>175155</v>
      </c>
      <c r="Z19" s="272">
        <f>SUMPRODUCT(('ANALYSE - ERP =&gt; SOUS-SEGMENT'!$C$8:$C$154=$C19)*'ANALYSE - ERP =&gt; SOUS-SEGMENT'!$Q$8:$Q$154*'ANALYSE - ERP =&gt; SOUS-SEGMENT'!$Z$8:$Z$154)</f>
        <v>175967</v>
      </c>
      <c r="AA19" s="272">
        <f>SUMPRODUCT(('ANALYSE - ERP =&gt; SOUS-SEGMENT'!$C$8:$C$154=$C19)*'ANALYSE - ERP =&gt; SOUS-SEGMENT'!$Q$8:$Q$154*'ANALYSE - ERP =&gt; SOUS-SEGMENT'!$AA$8:$AA$154)</f>
        <v>169431</v>
      </c>
      <c r="AB19" s="272">
        <f>SUMPRODUCT(('ANALYSE - ERP =&gt; SOUS-SEGMENT'!$C$8:$C$154=$C19)*'ANALYSE - ERP =&gt; SOUS-SEGMENT'!$Q$8:$Q$154*'ANALYSE - ERP =&gt; SOUS-SEGMENT'!$AB$8:$AB$154)</f>
        <v>167703</v>
      </c>
      <c r="AC19" s="272">
        <f>SUMPRODUCT(('ANALYSE - ERP =&gt; SOUS-SEGMENT'!$C$8:$C$154=$C19)*'ANALYSE - ERP =&gt; SOUS-SEGMENT'!$Q$8:$Q$154*'ANALYSE - ERP =&gt; SOUS-SEGMENT'!$AC$8:$AC$154)</f>
        <v>171695</v>
      </c>
      <c r="AD19" s="272">
        <f>SUMPRODUCT(('ANALYSE - ERP =&gt; SOUS-SEGMENT'!$C$8:$C$154=$C19)*'ANALYSE - ERP =&gt; SOUS-SEGMENT'!$Q$8:$Q$154*'ANALYSE - ERP =&gt; SOUS-SEGMENT'!$AD$8:$AD$154)</f>
        <v>174104</v>
      </c>
      <c r="AE19" s="272">
        <f>SUMPRODUCT(('ANALYSE - ERP =&gt; SOUS-SEGMENT'!$C$8:$C$154=$C19)*'ANALYSE - ERP =&gt; SOUS-SEGMENT'!$Q$8:$Q$154*'ANALYSE - ERP =&gt; SOUS-SEGMENT'!$AE$8:$AE$154)</f>
        <v>176914</v>
      </c>
      <c r="AF19" s="272">
        <f>SUMPRODUCT(('ANALYSE - ERP =&gt; SOUS-SEGMENT'!$C$8:$C$154=$C19)*'ANALYSE - ERP =&gt; SOUS-SEGMENT'!$Q$8:$Q$154*'ANALYSE - ERP =&gt; SOUS-SEGMENT'!$AF$8:$AF$154)</f>
        <v>177065</v>
      </c>
      <c r="AG19" s="272">
        <f>SUMPRODUCT(('ANALYSE - ERP =&gt; SOUS-SEGMENT'!$C$8:$C$154=$C19)*'ANALYSE - ERP =&gt; SOUS-SEGMENT'!$Q$8:$Q$154*'ANALYSE - ERP =&gt; SOUS-SEGMENT'!$AG$8:$AG$154)</f>
        <v>177128</v>
      </c>
      <c r="AH19" s="272">
        <f>SUMPRODUCT(('ANALYSE - ERP =&gt; SOUS-SEGMENT'!$C$8:$C$154=$C19)*'ANALYSE - ERP =&gt; SOUS-SEGMENT'!$Q$8:$Q$154*'ANALYSE - ERP =&gt; SOUS-SEGMENT'!$AH$8:$AH$154)</f>
        <v>177205</v>
      </c>
      <c r="AI19" s="272">
        <f>SUMPRODUCT(('ANALYSE - ERP =&gt; SOUS-SEGMENT'!$C$8:$C$154=$C19)*'ANALYSE - ERP =&gt; SOUS-SEGMENT'!$Q$8:$Q$154*'ANALYSE - ERP =&gt; SOUS-SEGMENT'!$AI$8:$AI$154)</f>
        <v>177296</v>
      </c>
      <c r="AJ19" s="272">
        <f>SUMPRODUCT(('ANALYSE - ERP =&gt; SOUS-SEGMENT'!$C$8:$C$154=$C19)*'ANALYSE - ERP =&gt; SOUS-SEGMENT'!$Q$8:$Q$154*'ANALYSE - ERP =&gt; SOUS-SEGMENT'!$AJ$8:$AJ$154)</f>
        <v>177301</v>
      </c>
      <c r="AK19" s="272">
        <f>SUMPRODUCT(('ANALYSE - ERP =&gt; SOUS-SEGMENT'!$C$8:$C$154=$C19)*'ANALYSE - ERP =&gt; SOUS-SEGMENT'!$Q$8:$Q$154*'ANALYSE - ERP =&gt; SOUS-SEGMENT'!$AK$8:$AK$154)</f>
        <v>177271</v>
      </c>
      <c r="AL19" s="268" t="s">
        <v>7002</v>
      </c>
      <c r="AM19" s="268" t="s">
        <v>7003</v>
      </c>
      <c r="AN19" s="268" t="s">
        <v>2103</v>
      </c>
      <c r="AO19" s="657"/>
      <c r="AP19" s="271">
        <f>IFERROR(SUMPRODUCT(('ANALYSE - ERP =&gt; SOUS-SEGMENT'!$C$8:$C$154=$C19)*'ANALYSE - ERP =&gt; SOUS-SEGMENT'!$Q$8:$Q$154*'ANALYSE - ERP =&gt; SOUS-SEGMENT'!$AG$8:$AG$154*'ANALYSE - ERP =&gt; SOUS-SEGMENT'!$AP$8:$AP$154)/SUMPRODUCT(('ANALYSE - ERP =&gt; SOUS-SEGMENT'!$C$8:$C$154=$C19)*'ANALYSE - ERP =&gt; SOUS-SEGMENT'!$Q$8:$Q$154*'ANALYSE - ERP =&gt; SOUS-SEGMENT'!$AG$8:$AG$154),"")</f>
        <v>103.16291043764961</v>
      </c>
      <c r="AQ19" s="280">
        <f>IFERROR(SUMPRODUCT(('ANALYSE - ERP =&gt; SOUS-SEGMENT'!$C$8:$C$154=$C19)*'ANALYSE - ERP =&gt; SOUS-SEGMENT'!$Q$8:$Q$154*'ANALYSE - ERP =&gt; SOUS-SEGMENT'!$AF$8:$AF$154*'ANALYSE - ERP =&gt; SOUS-SEGMENT'!$AQ$8:$AQ$154)/SUMPRODUCT(('ANALYSE - ERP =&gt; SOUS-SEGMENT'!$C$8:$C$154=$C19)*'ANALYSE - ERP =&gt; SOUS-SEGMENT'!$Q$8:$Q$154*'ANALYSE - ERP =&gt; SOUS-SEGMENT'!$AF$8:$AF$154),"")</f>
        <v>83.957275576765596</v>
      </c>
      <c r="AR19" s="974">
        <f>IFERROR(SUMPRODUCT(('ANALYSE - ERP =&gt; SOUS-SEGMENT'!$C$8:$C$154=$C19)*'ANALYSE - ERP =&gt; SOUS-SEGMENT'!$Q$8:$Q$154*'ANALYSE - ERP =&gt; SOUS-SEGMENT'!$AF$8:$AF$154*'ANALYSE - ERP =&gt; SOUS-SEGMENT'!$AR$8:$AR$154)/SUMPRODUCT(('ANALYSE - ERP =&gt; SOUS-SEGMENT'!$C$8:$C$154=$C19)*'ANALYSE - ERP =&gt; SOUS-SEGMENT'!$Q$8:$Q$154*'ANALYSE - ERP =&gt; SOUS-SEGMENT'!$AF$8:$AF$154),"")</f>
        <v>15.298873295117613</v>
      </c>
      <c r="AS19" s="974">
        <f>IFERROR(SUMPRODUCT(('ANALYSE - ERP =&gt; SOUS-SEGMENT'!$C$8:$C$154=$C19)*'ANALYSE - ERP =&gt; SOUS-SEGMENT'!$Q$8:$Q$154*'ANALYSE - ERP =&gt; SOUS-SEGMENT'!$AF$8:$AF$154*'ANALYSE - ERP =&gt; SOUS-SEGMENT'!$AS$8:$AS$154)/SUMPRODUCT(('ANALYSE - ERP =&gt; SOUS-SEGMENT'!$C$8:$C$154=$C19)*'ANALYSE - ERP =&gt; SOUS-SEGMENT'!$Q$8:$Q$154*'ANALYSE - ERP =&gt; SOUS-SEGMENT'!$AF$8:$AF$154),"")</f>
        <v>3.8088272668229179</v>
      </c>
      <c r="AT19" s="657" t="s">
        <v>7004</v>
      </c>
      <c r="AU19" s="290" t="s">
        <v>7005</v>
      </c>
      <c r="AV19" s="572" t="s">
        <v>2609</v>
      </c>
      <c r="AW19" s="290"/>
      <c r="AX19" s="657"/>
      <c r="AY19" s="303">
        <f>IFERROR(SUMPRODUCT(('ANALYSE - ERP =&gt; SOUS-SEGMENT'!$C$8:$C$154=$C19)*'ANALYSE - ERP =&gt; SOUS-SEGMENT'!$Q$8:$Q$154*'ANALYSE - ERP =&gt; SOUS-SEGMENT'!$AF$8:$AF$154*'ANALYSE - ERP =&gt; SOUS-SEGMENT'!$AZ$8:$AZ$154)/SUMPRODUCT(('ANALYSE - ERP =&gt; SOUS-SEGMENT'!$C$8:$C$154=$C19)*'ANALYSE - ERP =&gt; SOUS-SEGMENT'!$Q$8:$Q$154*'ANALYSE - ERP =&gt; SOUS-SEGMENT'!$AF$8:$AF$154),"")</f>
        <v>5.1289780589049219</v>
      </c>
      <c r="AZ19" s="948">
        <f>IFERROR(SUMPRODUCT(('ANALYSE - ERP =&gt; SOUS-SEGMENT'!$C$8:$C$154=$C19)*'ANALYSE - ERP =&gt; SOUS-SEGMENT'!$Q$8:$Q$154*'ANALYSE - ERP =&gt; SOUS-SEGMENT'!$AF$8:$AF$154*'ANALYSE - ERP =&gt; SOUS-SEGMENT'!$BA$8:$BA$154)/SUMPRODUCT(('ANALYSE - ERP =&gt; SOUS-SEGMENT'!$C$8:$C$154=$C19)*'ANALYSE - ERP =&gt; SOUS-SEGMENT'!$Q$8:$Q$154*'ANALYSE - ERP =&gt; SOUS-SEGMENT'!$AF$8:$AF$154),"")</f>
        <v>0</v>
      </c>
      <c r="BA19" s="303">
        <f>IFERROR(SUMPRODUCT(('ANALYSE - ERP =&gt; SOUS-SEGMENT'!$C$8:$C$154=$C19)*'ANALYSE - ERP =&gt; SOUS-SEGMENT'!$Q$8:$Q$154*'ANALYSE - ERP =&gt; SOUS-SEGMENT'!$AF$8:$AF$154*'ANALYSE - ERP =&gt; SOUS-SEGMENT'!$BB$8:$BB$154)/SUMPRODUCT(('ANALYSE - ERP =&gt; SOUS-SEGMENT'!$C$8:$C$154=$C19)*'ANALYSE - ERP =&gt; SOUS-SEGMENT'!$Q$8:$Q$154*'ANALYSE - ERP =&gt; SOUS-SEGMENT'!$AF$8:$AF$154),"")</f>
        <v>0.68922711998418662</v>
      </c>
      <c r="BB19" s="303">
        <f>IFERROR(SUMPRODUCT(('ANALYSE - ERP =&gt; SOUS-SEGMENT'!$C$8:$C$154=$C19)*'ANALYSE - ERP =&gt; SOUS-SEGMENT'!$Q$8:$Q$154*'ANALYSE - ERP =&gt; SOUS-SEGMENT'!$AF$8:$AF$154*'ANALYSE - ERP =&gt; SOUS-SEGMENT'!$BC$8:$BC$154)/SUMPRODUCT(('ANALYSE - ERP =&gt; SOUS-SEGMENT'!$C$8:$C$154=$C19)*'ANALYSE - ERP =&gt; SOUS-SEGMENT'!$Q$8:$Q$154*'ANALYSE - ERP =&gt; SOUS-SEGMENT'!$AF$8:$AF$154),"")</f>
        <v>3.259480981560444</v>
      </c>
      <c r="BC19" s="304">
        <f>SUMPRODUCT(('ANALYSE - ERP =&gt; SOUS-SEGMENT'!$C$8:$C$154=$C19)*'ANALYSE - ERP =&gt; SOUS-SEGMENT'!$Q$8:$Q$154*'ANALYSE - ERP =&gt; SOUS-SEGMENT'!$BE$8:$BE$154)</f>
        <v>908162.5</v>
      </c>
      <c r="BD19" s="304">
        <f>SUMPRODUCT(('ANALYSE - ERP =&gt; SOUS-SEGMENT'!$C$8:$C$154=$C19)*'ANALYSE - ERP =&gt; SOUS-SEGMENT'!$Q$8:$Q$154*'ANALYSE - ERP =&gt; SOUS-SEGMENT'!$BF$8:$BF$154)</f>
        <v>0</v>
      </c>
      <c r="BE19" s="304">
        <f>SUMPRODUCT(('ANALYSE - ERP =&gt; SOUS-SEGMENT'!$C$8:$C$154=$C19)*'ANALYSE - ERP =&gt; SOUS-SEGMENT'!$Q$8:$Q$154*'ANALYSE - ERP =&gt; SOUS-SEGMENT'!$BG$8:$BG$154)</f>
        <v>122038</v>
      </c>
      <c r="BF19" s="304">
        <f>SUMPRODUCT(('ANALYSE - ERP =&gt; SOUS-SEGMENT'!$C$8:$C$154=$C19)*'ANALYSE - ERP =&gt; SOUS-SEGMENT'!$Q$8:$Q$154*'ANALYSE - ERP =&gt; SOUS-SEGMENT'!$BH$8:$BH$154)</f>
        <v>577140</v>
      </c>
      <c r="BG19" s="304">
        <f>SUMPRODUCT(('ANALYSE - ERP =&gt; SOUS-SEGMENT'!$C$8:$C$154=$C19)*'ANALYSE - ERP =&gt; SOUS-SEGMENT'!$Q$8:$Q$154*'ANALYSE - ERP =&gt; SOUS-SEGMENT'!$BJ$8:$BJ$154)</f>
        <v>910957</v>
      </c>
      <c r="BH19" s="304">
        <f>SUMPRODUCT(('ANALYSE - ERP =&gt; SOUS-SEGMENT'!$C$8:$C$154=$C19)*'ANALYSE - ERP =&gt; SOUS-SEGMENT'!$Q$8:$Q$154*'ANALYSE - ERP =&gt; SOUS-SEGMENT'!$BK$8:$BK$154)</f>
        <v>0</v>
      </c>
      <c r="BI19" s="304">
        <f>SUMPRODUCT(('ANALYSE - ERP =&gt; SOUS-SEGMENT'!$C$8:$C$154=$C19)*'ANALYSE - ERP =&gt; SOUS-SEGMENT'!$Q$8:$Q$154*'ANALYSE - ERP =&gt; SOUS-SEGMENT'!$BL$8:$BL$154)</f>
        <v>122708.25</v>
      </c>
      <c r="BJ19" s="304">
        <f>SUMPRODUCT(('ANALYSE - ERP =&gt; SOUS-SEGMENT'!$C$8:$C$154=$C19)*'ANALYSE - ERP =&gt; SOUS-SEGMENT'!$Q$8:$Q$154*'ANALYSE - ERP =&gt; SOUS-SEGMENT'!$BM$8:$BM$154)</f>
        <v>581307</v>
      </c>
      <c r="BK19" s="657"/>
      <c r="BL19" s="580">
        <f>IFERROR(SUMPRODUCT(('ANALYSE - ERP =&gt; SOUS-SEGMENT'!$C$8:$C$154=$C19)*'ANALYSE - ERP =&gt; SOUS-SEGMENT'!$Q$8:$Q$154*'ANALYSE - ERP =&gt; SOUS-SEGMENT'!$BE$8:$BE$154*'ANALYSE - ERP =&gt; SOUS-SEGMENT'!$BO$8:$BO$154)/SUMPRODUCT(('ANALYSE - ERP =&gt; SOUS-SEGMENT'!$C$8:$C$154=$C19)*'ANALYSE - ERP =&gt; SOUS-SEGMENT'!$Q$8:$Q$154*'ANALYSE - ERP =&gt; SOUS-SEGMENT'!$BE$8:$BE$154),"")</f>
        <v>0.28131832133566403</v>
      </c>
      <c r="BM19" s="305">
        <f>IFERROR(SUMPRODUCT(('ANALYSE - ERP =&gt; SOUS-SEGMENT'!$C$8:$C$154=$C19)*'ANALYSE - ERP =&gt; SOUS-SEGMENT'!$Q$8:$Q$154*'ANALYSE - ERP =&gt; SOUS-SEGMENT'!$BE$8:$BE$154*'ANALYSE - ERP =&gt; SOUS-SEGMENT'!$BP$8:$BP$154)/SUMPRODUCT(('ANALYSE - ERP =&gt; SOUS-SEGMENT'!$C$8:$C$154=$C19)*'ANALYSE - ERP =&gt; SOUS-SEGMENT'!$Q$8:$Q$154*'ANALYSE - ERP =&gt; SOUS-SEGMENT'!$BE$8:$BE$154),"")</f>
        <v>0.54903500199578825</v>
      </c>
      <c r="BN19" s="305">
        <f>IFERROR(SUMPRODUCT(('ANALYSE - ERP =&gt; SOUS-SEGMENT'!$C$8:$C$154=$C19)*'ANALYSE - ERP =&gt; SOUS-SEGMENT'!$Q$8:$Q$154*'ANALYSE - ERP =&gt; SOUS-SEGMENT'!$BE$8:$BE$154*'ANALYSE - ERP =&gt; SOUS-SEGMENT'!$BQ$8:$BQ$154)/SUMPRODUCT(('ANALYSE - ERP =&gt; SOUS-SEGMENT'!$C$8:$C$154=$C19)*'ANALYSE - ERP =&gt; SOUS-SEGMENT'!$Q$8:$Q$154*'ANALYSE - ERP =&gt; SOUS-SEGMENT'!$BE$8:$BE$154),"")</f>
        <v>0.12218986139595062</v>
      </c>
      <c r="BO19" s="581">
        <f>IFERROR(SUMPRODUCT(('ANALYSE - ERP =&gt; SOUS-SEGMENT'!$C$8:$C$154=$C19)*'ANALYSE - ERP =&gt; SOUS-SEGMENT'!$Q$8:$Q$154*'ANALYSE - ERP =&gt; SOUS-SEGMENT'!$BE$8:$BE$154*'ANALYSE - ERP =&gt; SOUS-SEGMENT'!$BR$8:$BR$154)/SUMPRODUCT(('ANALYSE - ERP =&gt; SOUS-SEGMENT'!$C$8:$C$154=$C19)*'ANALYSE - ERP =&gt; SOUS-SEGMENT'!$Q$8:$Q$154*'ANALYSE - ERP =&gt; SOUS-SEGMENT'!$BE$8:$BE$154),"")</f>
        <v>4.7456815272597139E-2</v>
      </c>
      <c r="BP19" s="580">
        <f>IFERROR(SUMPRODUCT(('ANALYSE - ERP =&gt; SOUS-SEGMENT'!$C$8:$C$154=$C19)*'ANALYSE - ERP =&gt; SOUS-SEGMENT'!$Q$8:$Q$154*'ANALYSE - ERP =&gt; SOUS-SEGMENT'!$BJ$8:$BJ$154*'ANALYSE - ERP =&gt; SOUS-SEGMENT'!$BS$8:$BS$154)/SUMPRODUCT(('ANALYSE - ERP =&gt; SOUS-SEGMENT'!$C$8:$C$154=$C19)*'ANALYSE - ERP =&gt; SOUS-SEGMENT'!$Q$8:$Q$154*'ANALYSE - ERP =&gt; SOUS-SEGMENT'!$BJ$8:$BJ$154),"")</f>
        <v>0.2483580673950582</v>
      </c>
      <c r="BQ19" s="305">
        <f>IFERROR(SUMPRODUCT(('ANALYSE - ERP =&gt; SOUS-SEGMENT'!$C$8:$C$154=$C19)*'ANALYSE - ERP =&gt; SOUS-SEGMENT'!$Q$8:$Q$154*'ANALYSE - ERP =&gt; SOUS-SEGMENT'!$BJ$8:$BJ$154*'ANALYSE - ERP =&gt; SOUS-SEGMENT'!$BT$8:$BT$154)/SUMPRODUCT(('ANALYSE - ERP =&gt; SOUS-SEGMENT'!$C$8:$C$154=$C19)*'ANALYSE - ERP =&gt; SOUS-SEGMENT'!$Q$8:$Q$154*'ANALYSE - ERP =&gt; SOUS-SEGMENT'!$BJ$8:$BJ$154),"")</f>
        <v>0.55078944450725997</v>
      </c>
      <c r="BR19" s="305">
        <f>IFERROR(SUMPRODUCT(('ANALYSE - ERP =&gt; SOUS-SEGMENT'!$C$8:$C$154=$C19)*'ANALYSE - ERP =&gt; SOUS-SEGMENT'!$Q$8:$Q$154*'ANALYSE - ERP =&gt; SOUS-SEGMENT'!$BJ$8:$BJ$154*'ANALYSE - ERP =&gt; SOUS-SEGMENT'!$BU$8:$BU$154)/SUMPRODUCT(('ANALYSE - ERP =&gt; SOUS-SEGMENT'!$C$8:$C$154=$C19)*'ANALYSE - ERP =&gt; SOUS-SEGMENT'!$Q$8:$Q$154*'ANALYSE - ERP =&gt; SOUS-SEGMENT'!$BJ$8:$BJ$154),"")</f>
        <v>0.15851892021247982</v>
      </c>
      <c r="BS19" s="581">
        <f>IFERROR(SUMPRODUCT(('ANALYSE - ERP =&gt; SOUS-SEGMENT'!$C$8:$C$154=$C19)*'ANALYSE - ERP =&gt; SOUS-SEGMENT'!$Q$8:$Q$154*'ANALYSE - ERP =&gt; SOUS-SEGMENT'!$BJ$8:$BJ$154*'ANALYSE - ERP =&gt; SOUS-SEGMENT'!$BV$8:$BV$154)/SUMPRODUCT(('ANALYSE - ERP =&gt; SOUS-SEGMENT'!$C$8:$C$154=$C19)*'ANALYSE - ERP =&gt; SOUS-SEGMENT'!$Q$8:$Q$154*'ANALYSE - ERP =&gt; SOUS-SEGMENT'!$BJ$8:$BJ$154),"")</f>
        <v>4.2333567885202046E-2</v>
      </c>
      <c r="BT19" s="589" t="str">
        <f>IFERROR(SUMPRODUCT(('ANALYSE - ERP =&gt; SOUS-SEGMENT'!$C$8:$C$154=$C19)*'ANALYSE - ERP =&gt; SOUS-SEGMENT'!$Q$8:$Q$154*'ANALYSE - ERP =&gt; SOUS-SEGMENT'!$BF$8:$BF$154*'ANALYSE - ERP =&gt; SOUS-SEGMENT'!$BW$8:$BW$154)/SUMPRODUCT(('ANALYSE - ERP =&gt; SOUS-SEGMENT'!$C$8:$C$154=$C19)*'ANALYSE - ERP =&gt; SOUS-SEGMENT'!$Q$8:$Q$154*'ANALYSE - ERP =&gt; SOUS-SEGMENT'!$BF$8:$BF$154),"")</f>
        <v/>
      </c>
      <c r="BU19" s="306" t="str">
        <f>IFERROR(SUMPRODUCT(('ANALYSE - ERP =&gt; SOUS-SEGMENT'!$C$8:$C$154=$C19)*'ANALYSE - ERP =&gt; SOUS-SEGMENT'!$Q$8:$Q$154*'ANALYSE - ERP =&gt; SOUS-SEGMENT'!$BF$8:$BF$154*'ANALYSE - ERP =&gt; SOUS-SEGMENT'!$BX$8:$BX$154)/SUMPRODUCT(('ANALYSE - ERP =&gt; SOUS-SEGMENT'!$C$8:$C$154=$C19)*'ANALYSE - ERP =&gt; SOUS-SEGMENT'!$Q$8:$Q$154*'ANALYSE - ERP =&gt; SOUS-SEGMENT'!$BF$8:$BF$154),"")</f>
        <v/>
      </c>
      <c r="BV19" s="590" t="str">
        <f>IFERROR(SUMPRODUCT(('ANALYSE - ERP =&gt; SOUS-SEGMENT'!$C$8:$C$154=$C19)*'ANALYSE - ERP =&gt; SOUS-SEGMENT'!$Q$8:$Q$154*'ANALYSE - ERP =&gt; SOUS-SEGMENT'!$BF$8:$BF$154*'ANALYSE - ERP =&gt; SOUS-SEGMENT'!$BY$8:$BY$154)/SUMPRODUCT(('ANALYSE - ERP =&gt; SOUS-SEGMENT'!$C$8:$C$154=$C19)*'ANALYSE - ERP =&gt; SOUS-SEGMENT'!$Q$8:$Q$154*'ANALYSE - ERP =&gt; SOUS-SEGMENT'!$BF$8:$BF$154),"")</f>
        <v/>
      </c>
      <c r="BW19" s="589" t="str">
        <f>IFERROR(SUMPRODUCT(('ANALYSE - ERP =&gt; SOUS-SEGMENT'!$C$8:$C$154=$C19)*'ANALYSE - ERP =&gt; SOUS-SEGMENT'!$Q$8:$Q$154*'ANALYSE - ERP =&gt; SOUS-SEGMENT'!$BK$8:$BK$154*'ANALYSE - ERP =&gt; SOUS-SEGMENT'!$BZ$8:$BZ$154)/SUMPRODUCT(('ANALYSE - ERP =&gt; SOUS-SEGMENT'!$C$8:$C$154=$C19)*'ANALYSE - ERP =&gt; SOUS-SEGMENT'!$Q$8:$Q$154*'ANALYSE - ERP =&gt; SOUS-SEGMENT'!$BK$8:$BK$154),"")</f>
        <v/>
      </c>
      <c r="BX19" s="306" t="str">
        <f>IFERROR(SUMPRODUCT(('ANALYSE - ERP =&gt; SOUS-SEGMENT'!$C$8:$C$154=$C19)*'ANALYSE - ERP =&gt; SOUS-SEGMENT'!$Q$8:$Q$154*'ANALYSE - ERP =&gt; SOUS-SEGMENT'!$BK$8:$BK$154*'ANALYSE - ERP =&gt; SOUS-SEGMENT'!$CA$8:$CA$154)/SUMPRODUCT(('ANALYSE - ERP =&gt; SOUS-SEGMENT'!$C$8:$C$154=$C19)*'ANALYSE - ERP =&gt; SOUS-SEGMENT'!$Q$8:$Q$154*'ANALYSE - ERP =&gt; SOUS-SEGMENT'!$BK$8:$BK$154),"")</f>
        <v/>
      </c>
      <c r="BY19" s="590" t="str">
        <f>IFERROR(SUMPRODUCT(('ANALYSE - ERP =&gt; SOUS-SEGMENT'!$C$8:$C$154=$C19)*'ANALYSE - ERP =&gt; SOUS-SEGMENT'!$Q$8:$Q$154*'ANALYSE - ERP =&gt; SOUS-SEGMENT'!$BK$8:$BK$154*'ANALYSE - ERP =&gt; SOUS-SEGMENT'!$CB$8:$CB$154)/SUMPRODUCT(('ANALYSE - ERP =&gt; SOUS-SEGMENT'!$C$8:$C$154=$C19)*'ANALYSE - ERP =&gt; SOUS-SEGMENT'!$Q$8:$Q$154*'ANALYSE - ERP =&gt; SOUS-SEGMENT'!$BK$8:$BK$154),"")</f>
        <v/>
      </c>
      <c r="BZ19" s="580">
        <f>IFERROR(SUMPRODUCT(('ANALYSE - ERP =&gt; SOUS-SEGMENT'!$C$8:$C$154=$C19)*'ANALYSE - ERP =&gt; SOUS-SEGMENT'!$Q$8:$Q$154*'ANALYSE - ERP =&gt; SOUS-SEGMENT'!$BG$8:$BG$154*'ANALYSE - ERP =&gt; SOUS-SEGMENT'!$CC$8:$CC$154)/SUMPRODUCT(('ANALYSE - ERP =&gt; SOUS-SEGMENT'!$C$8:$C$154=$C19)*'ANALYSE - ERP =&gt; SOUS-SEGMENT'!$Q$8:$Q$154*'ANALYSE - ERP =&gt; SOUS-SEGMENT'!$BG$8:$BG$154),"")</f>
        <v>8.1132434159851843E-2</v>
      </c>
      <c r="CA19" s="305">
        <f>IFERROR(SUMPRODUCT(('ANALYSE - ERP =&gt; SOUS-SEGMENT'!$C$8:$C$154=$C19)*'ANALYSE - ERP =&gt; SOUS-SEGMENT'!$Q$8:$Q$154*'ANALYSE - ERP =&gt; SOUS-SEGMENT'!$BG$8:$BG$154*'ANALYSE - ERP =&gt; SOUS-SEGMENT'!$CD$8:$CD$154)/SUMPRODUCT(('ANALYSE - ERP =&gt; SOUS-SEGMENT'!$C$8:$C$154=$C19)*'ANALYSE - ERP =&gt; SOUS-SEGMENT'!$Q$8:$Q$154*'ANALYSE - ERP =&gt; SOUS-SEGMENT'!$BG$8:$BG$154),"")</f>
        <v>0.50970804175748541</v>
      </c>
      <c r="CB19" s="305">
        <f>IFERROR(SUMPRODUCT(('ANALYSE - ERP =&gt; SOUS-SEGMENT'!$C$8:$C$154=$C19)*'ANALYSE - ERP =&gt; SOUS-SEGMENT'!$Q$8:$Q$154*'ANALYSE - ERP =&gt; SOUS-SEGMENT'!$BG$8:$BG$154*'ANALYSE - ERP =&gt; SOUS-SEGMENT'!$CE$8:$CE$154)/SUMPRODUCT(('ANALYSE - ERP =&gt; SOUS-SEGMENT'!$C$8:$C$154=$C19)*'ANALYSE - ERP =&gt; SOUS-SEGMENT'!$Q$8:$Q$154*'ANALYSE - ERP =&gt; SOUS-SEGMENT'!$BG$8:$BG$154),"")</f>
        <v>0.16990158802995789</v>
      </c>
      <c r="CC19" s="581">
        <f>IFERROR(SUMPRODUCT(('ANALYSE - ERP =&gt; SOUS-SEGMENT'!$C$8:$C$154=$C19)*'ANALYSE - ERP =&gt; SOUS-SEGMENT'!$Q$8:$Q$154*'ANALYSE - ERP =&gt; SOUS-SEGMENT'!$BG$8:$BG$154*'ANALYSE - ERP =&gt; SOUS-SEGMENT'!$CF$8:$CF$154)/SUMPRODUCT(('ANALYSE - ERP =&gt; SOUS-SEGMENT'!$C$8:$C$154=$C19)*'ANALYSE - ERP =&gt; SOUS-SEGMENT'!$Q$8:$Q$154*'ANALYSE - ERP =&gt; SOUS-SEGMENT'!$BG$8:$BG$154),"")</f>
        <v>0.2392579360527049</v>
      </c>
      <c r="CD19" s="580">
        <f>IFERROR(SUMPRODUCT(('ANALYSE - ERP =&gt; SOUS-SEGMENT'!$C$8:$C$154=$C19)*'ANALYSE - ERP =&gt; SOUS-SEGMENT'!$Q$8:$Q$154*'ANALYSE - ERP =&gt; SOUS-SEGMENT'!$BL$8:$BL$154*'ANALYSE - ERP =&gt; SOUS-SEGMENT'!$CG$8:$CG$154)/SUMPRODUCT(('ANALYSE - ERP =&gt; SOUS-SEGMENT'!$C$8:$C$154=$C19)*'ANALYSE - ERP =&gt; SOUS-SEGMENT'!$Q$8:$Q$154*'ANALYSE - ERP =&gt; SOUS-SEGMENT'!$BL$8:$BL$154),"")</f>
        <v>6.5391540503592874E-2</v>
      </c>
      <c r="CE19" s="305">
        <f>IFERROR(SUMPRODUCT(('ANALYSE - ERP =&gt; SOUS-SEGMENT'!$C$8:$C$154=$C19)*'ANALYSE - ERP =&gt; SOUS-SEGMENT'!$Q$8:$Q$154*'ANALYSE - ERP =&gt; SOUS-SEGMENT'!$BL$8:$BL$154*'ANALYSE - ERP =&gt; SOUS-SEGMENT'!$CH$8:$CH$154)/SUMPRODUCT(('ANALYSE - ERP =&gt; SOUS-SEGMENT'!$C$8:$C$154=$C19)*'ANALYSE - ERP =&gt; SOUS-SEGMENT'!$Q$8:$Q$154*'ANALYSE - ERP =&gt; SOUS-SEGMENT'!$BL$8:$BL$154),"")</f>
        <v>0.50809106152194339</v>
      </c>
      <c r="CF19" s="305">
        <f>IFERROR(SUMPRODUCT(('ANALYSE - ERP =&gt; SOUS-SEGMENT'!$C$8:$C$154=$C19)*'ANALYSE - ERP =&gt; SOUS-SEGMENT'!$Q$8:$Q$154*'ANALYSE - ERP =&gt; SOUS-SEGMENT'!$BL$8:$BL$154*'ANALYSE - ERP =&gt; SOUS-SEGMENT'!$CI$8:$CI$154)/SUMPRODUCT(('ANALYSE - ERP =&gt; SOUS-SEGMENT'!$C$8:$C$154=$C19)*'ANALYSE - ERP =&gt; SOUS-SEGMENT'!$Q$8:$Q$154*'ANALYSE - ERP =&gt; SOUS-SEGMENT'!$BL$8:$BL$154),"")</f>
        <v>0.20360949650899593</v>
      </c>
      <c r="CG19" s="581">
        <f>IFERROR(SUMPRODUCT(('ANALYSE - ERP =&gt; SOUS-SEGMENT'!$C$8:$C$154=$C19)*'ANALYSE - ERP =&gt; SOUS-SEGMENT'!$Q$8:$Q$154*'ANALYSE - ERP =&gt; SOUS-SEGMENT'!$BL$8:$BL$154*'ANALYSE - ERP =&gt; SOUS-SEGMENT'!$CJ$8:$CJ$154)/SUMPRODUCT(('ANALYSE - ERP =&gt; SOUS-SEGMENT'!$C$8:$C$154=$C19)*'ANALYSE - ERP =&gt; SOUS-SEGMENT'!$Q$8:$Q$154*'ANALYSE - ERP =&gt; SOUS-SEGMENT'!$BL$8:$BL$154),"")</f>
        <v>0.22290790146546791</v>
      </c>
      <c r="CH19" s="589">
        <f>IFERROR(SUMPRODUCT(('ANALYSE - ERP =&gt; SOUS-SEGMENT'!$C$8:$C$154=$C19)*'ANALYSE - ERP =&gt; SOUS-SEGMENT'!$Q$8:$Q$154*'ANALYSE - ERP =&gt; SOUS-SEGMENT'!$BH$8:$BH$154*'ANALYSE - ERP =&gt; SOUS-SEGMENT'!$CK$8:$CK$154)/SUMPRODUCT(('ANALYSE - ERP =&gt; SOUS-SEGMENT'!$C$8:$C$154=$C19)*'ANALYSE - ERP =&gt; SOUS-SEGMENT'!$Q$8:$Q$154*'ANALYSE - ERP =&gt; SOUS-SEGMENT'!$BH$8:$BH$154),"")</f>
        <v>0.52346917558997819</v>
      </c>
      <c r="CI19" s="306">
        <f>IFERROR(SUMPRODUCT(('ANALYSE - ERP =&gt; SOUS-SEGMENT'!$C$8:$C$154=$C19)*'ANALYSE - ERP =&gt; SOUS-SEGMENT'!$Q$8:$Q$154*'ANALYSE - ERP =&gt; SOUS-SEGMENT'!$BH$8:$BH$154*'ANALYSE - ERP =&gt; SOUS-SEGMENT'!$CL$8:$CL$154)/SUMPRODUCT(('ANALYSE - ERP =&gt; SOUS-SEGMENT'!$C$8:$C$154=$C19)*'ANALYSE - ERP =&gt; SOUS-SEGMENT'!$Q$8:$Q$154*'ANALYSE - ERP =&gt; SOUS-SEGMENT'!$BH$8:$BH$154),"")</f>
        <v>0.33630834806112903</v>
      </c>
      <c r="CJ19" s="590">
        <f>IFERROR(SUMPRODUCT(('ANALYSE - ERP =&gt; SOUS-SEGMENT'!$C$8:$C$154=$C19)*'ANALYSE - ERP =&gt; SOUS-SEGMENT'!$Q$8:$Q$154*'ANALYSE - ERP =&gt; SOUS-SEGMENT'!$BH$8:$BH$154*'ANALYSE - ERP =&gt; SOUS-SEGMENT'!$CM$8:$CM$154)/SUMPRODUCT(('ANALYSE - ERP =&gt; SOUS-SEGMENT'!$C$8:$C$154=$C19)*'ANALYSE - ERP =&gt; SOUS-SEGMENT'!$Q$8:$Q$154*'ANALYSE - ERP =&gt; SOUS-SEGMENT'!$BH$8:$BH$154),"")</f>
        <v>0.14022247634889282</v>
      </c>
      <c r="CK19" s="589">
        <f>IFERROR(SUMPRODUCT(('ANALYSE - ERP =&gt; SOUS-SEGMENT'!$C$8:$C$154=$C19)*'ANALYSE - ERP =&gt; SOUS-SEGMENT'!$Q$8:$Q$154*'ANALYSE - ERP =&gt; SOUS-SEGMENT'!$BM$8:$BM$154*'ANALYSE - ERP =&gt; SOUS-SEGMENT'!$CN$8:$CN$154)/SUMPRODUCT(('ANALYSE - ERP =&gt; SOUS-SEGMENT'!$C$8:$C$154=$C19)*'ANALYSE - ERP =&gt; SOUS-SEGMENT'!$Q$8:$Q$154*'ANALYSE - ERP =&gt; SOUS-SEGMENT'!$BM$8:$BM$154),"")</f>
        <v>0.4238910248801408</v>
      </c>
      <c r="CL19" s="306">
        <f>IFERROR(SUMPRODUCT(('ANALYSE - ERP =&gt; SOUS-SEGMENT'!$C$8:$C$154=$C19)*'ANALYSE - ERP =&gt; SOUS-SEGMENT'!$Q$8:$Q$154*'ANALYSE - ERP =&gt; SOUS-SEGMENT'!$BM$8:$BM$154*'ANALYSE - ERP =&gt; SOUS-SEGMENT'!$CO$8:$CO$154)/SUMPRODUCT(('ANALYSE - ERP =&gt; SOUS-SEGMENT'!$C$8:$C$154=$C19)*'ANALYSE - ERP =&gt; SOUS-SEGMENT'!$Q$8:$Q$154*'ANALYSE - ERP =&gt; SOUS-SEGMENT'!$BM$8:$BM$154),"")</f>
        <v>0.37846956943577148</v>
      </c>
      <c r="CM19" s="590">
        <f>IFERROR(SUMPRODUCT(('ANALYSE - ERP =&gt; SOUS-SEGMENT'!$C$8:$C$154=$C19)*'ANALYSE - ERP =&gt; SOUS-SEGMENT'!$Q$8:$Q$154*'ANALYSE - ERP =&gt; SOUS-SEGMENT'!$BM$8:$BM$154*'ANALYSE - ERP =&gt; SOUS-SEGMENT'!$CP$8:$CP$154)/SUMPRODUCT(('ANALYSE - ERP =&gt; SOUS-SEGMENT'!$C$8:$C$154=$C19)*'ANALYSE - ERP =&gt; SOUS-SEGMENT'!$Q$8:$Q$154*'ANALYSE - ERP =&gt; SOUS-SEGMENT'!$BM$8:$BM$154),"")</f>
        <v>0.19763940568408772</v>
      </c>
      <c r="CN19" s="657"/>
      <c r="CO19" s="882">
        <f>IFERROR(SUMPRODUCT(('ANALYSE - ERP =&gt; SOUS-SEGMENT'!$C$8:$C$154=$C19)*'ANALYSE - ERP =&gt; SOUS-SEGMENT'!$DH$8:$DH$154*('ANALYSE - ERP =&gt; SOUS-SEGMENT'!$CR$8:$CR$154&gt;0)*'ANALYSE - ERP =&gt; SOUS-SEGMENT'!$CR$8:$CR$154)/SUMPRODUCT(('ANALYSE - ERP =&gt; SOUS-SEGMENT'!$C$8:$C$154=$C19)*'ANALYSE - ERP =&gt; SOUS-SEGMENT'!$DH$8:$DH$154*('ANALYSE - ERP =&gt; SOUS-SEGMENT'!$CR$8:$CR$154&gt;0)),"")</f>
        <v>10.589257004631428</v>
      </c>
      <c r="CP19" s="883">
        <f>IFERROR(SUMPRODUCT(('ANALYSE - ERP =&gt; SOUS-SEGMENT'!$C$8:$C$154=$C19)*'ANALYSE - ERP =&gt; SOUS-SEGMENT'!$DI$8:$DI$154*('ANALYSE - ERP =&gt; SOUS-SEGMENT'!$CS$8:$CS$154&gt;0)*'ANALYSE - ERP =&gt; SOUS-SEGMENT'!$CS$8:$CS$154)/SUMPRODUCT(('ANALYSE - ERP =&gt; SOUS-SEGMENT'!$C$8:$C$154=$C19)*'ANALYSE - ERP =&gt; SOUS-SEGMENT'!$DI$8:$DI$154*('ANALYSE - ERP =&gt; SOUS-SEGMENT'!$CS$8:$CS$154&gt;0)),"")</f>
        <v>11.516628126422697</v>
      </c>
      <c r="CQ19" s="883">
        <f>IFERROR(SUMPRODUCT(('ANALYSE - ERP =&gt; SOUS-SEGMENT'!$C$8:$C$154=$C19)*'ANALYSE - ERP =&gt; SOUS-SEGMENT'!$DJ$8:$DJ$154*('ANALYSE - ERP =&gt; SOUS-SEGMENT'!$CT$8:$CT$154&gt;0)*'ANALYSE - ERP =&gt; SOUS-SEGMENT'!$CT$8:$CT$154)/SUMPRODUCT(('ANALYSE - ERP =&gt; SOUS-SEGMENT'!$C$8:$C$154=$C19)*'ANALYSE - ERP =&gt; SOUS-SEGMENT'!$DJ$8:$DJ$154*('ANALYSE - ERP =&gt; SOUS-SEGMENT'!$CT$8:$CT$154&gt;0)),"")</f>
        <v>8.0012165641974171</v>
      </c>
      <c r="CR19" s="884">
        <f>IFERROR(SUMPRODUCT(('ANALYSE - ERP =&gt; SOUS-SEGMENT'!$C$8:$C$154=$C19)*'ANALYSE - ERP =&gt; SOUS-SEGMENT'!$DK$8:$DK$154*('ANALYSE - ERP =&gt; SOUS-SEGMENT'!$CU$8:$CU$154&gt;0)*'ANALYSE - ERP =&gt; SOUS-SEGMENT'!$CU$8:$CU$154)/SUMPRODUCT(('ANALYSE - ERP =&gt; SOUS-SEGMENT'!$C$8:$C$154=$C19)*'ANALYSE - ERP =&gt; SOUS-SEGMENT'!$DK$8:$DK$154*('ANALYSE - ERP =&gt; SOUS-SEGMENT'!$CU$8:$CU$154&gt;0)),"")</f>
        <v>9.5548917015673407</v>
      </c>
      <c r="CS19" s="882" t="str">
        <f>IFERROR(SUMPRODUCT(('ANALYSE - ERP =&gt; SOUS-SEGMENT'!$C$8:$C$154=$C19)*'ANALYSE - ERP =&gt; SOUS-SEGMENT'!$DS$8:$DS$154*('ANALYSE - ERP =&gt; SOUS-SEGMENT'!$CV$8:$CV$154&gt;0)*'ANALYSE - ERP =&gt; SOUS-SEGMENT'!$CV$8:$CV$154)/SUMPRODUCT(('ANALYSE - ERP =&gt; SOUS-SEGMENT'!$C$8:$C$154=$C19)*'ANALYSE - ERP =&gt; SOUS-SEGMENT'!$DS$8:$DS$154*('ANALYSE - ERP =&gt; SOUS-SEGMENT'!$CV$8:$CV$154&gt;0)),"")</f>
        <v/>
      </c>
      <c r="CT19" s="883" t="str">
        <f>IFERROR(SUMPRODUCT(('ANALYSE - ERP =&gt; SOUS-SEGMENT'!$C$8:$C$154=$C19)*'ANALYSE - ERP =&gt; SOUS-SEGMENT'!$DT$8:$DT$154*('ANALYSE - ERP =&gt; SOUS-SEGMENT'!$CW$8:$CW$154&gt;0)*'ANALYSE - ERP =&gt; SOUS-SEGMENT'!$CW$8:$CW$154)/SUMPRODUCT(('ANALYSE - ERP =&gt; SOUS-SEGMENT'!$C$8:$C$154=$C19)*'ANALYSE - ERP =&gt; SOUS-SEGMENT'!$DT$8:$DT$154*('ANALYSE - ERP =&gt; SOUS-SEGMENT'!$CW$8:$CW$154&gt;0)),"")</f>
        <v/>
      </c>
      <c r="CU19" s="884" t="str">
        <f>IFERROR(SUMPRODUCT(('ANALYSE - ERP =&gt; SOUS-SEGMENT'!$C$8:$C$154=$C19)*'ANALYSE - ERP =&gt; SOUS-SEGMENT'!$DU$8:$DU$154*('ANALYSE - ERP =&gt; SOUS-SEGMENT'!$CX$8:$CX$154&gt;0)*'ANALYSE - ERP =&gt; SOUS-SEGMENT'!$CX$8:$CX$154)/SUMPRODUCT(('ANALYSE - ERP =&gt; SOUS-SEGMENT'!$C$8:$C$154=$C19)*'ANALYSE - ERP =&gt; SOUS-SEGMENT'!$DU$8:$DU$154*('ANALYSE - ERP =&gt; SOUS-SEGMENT'!$CX$8:$CX$154&gt;0)),"")</f>
        <v/>
      </c>
      <c r="CV19" s="882">
        <f>IFERROR(SUMPRODUCT(('ANALYSE - ERP =&gt; SOUS-SEGMENT'!$C$8:$C$154=$C19)*'ANALYSE - ERP =&gt; SOUS-SEGMENT'!$EB$8:$EB$154*('ANALYSE - ERP =&gt; SOUS-SEGMENT'!$CY$8:$CY$154&gt;0)*'ANALYSE - ERP =&gt; SOUS-SEGMENT'!$CY$8:$CY$154)/SUMPRODUCT(('ANALYSE - ERP =&gt; SOUS-SEGMENT'!$C$8:$C$154=$C19)*'ANALYSE - ERP =&gt; SOUS-SEGMENT'!$EB$8:$EB$154*('ANALYSE - ERP =&gt; SOUS-SEGMENT'!$CY$8:$CY$154&gt;0)),"")</f>
        <v>9.0040903967583859</v>
      </c>
      <c r="CW19" s="883">
        <f>IFERROR(SUMPRODUCT(('ANALYSE - ERP =&gt; SOUS-SEGMENT'!$C$8:$C$154=$C19)*'ANALYSE - ERP =&gt; SOUS-SEGMENT'!$EC$8:$EC$154*('ANALYSE - ERP =&gt; SOUS-SEGMENT'!$CZ$8:$CZ$154&gt;0)*'ANALYSE - ERP =&gt; SOUS-SEGMENT'!$CZ$8:$CZ$154)/SUMPRODUCT(('ANALYSE - ERP =&gt; SOUS-SEGMENT'!$C$8:$C$154=$C19)*'ANALYSE - ERP =&gt; SOUS-SEGMENT'!$EC$8:$EC$154*('ANALYSE - ERP =&gt; SOUS-SEGMENT'!$CZ$8:$CZ$154&gt;0)),"")</f>
        <v>11</v>
      </c>
      <c r="CX19" s="883">
        <f>IFERROR(SUMPRODUCT(('ANALYSE - ERP =&gt; SOUS-SEGMENT'!$C$8:$C$154=$C19)*'ANALYSE - ERP =&gt; SOUS-SEGMENT'!$ED$8:$ED$154*('ANALYSE - ERP =&gt; SOUS-SEGMENT'!$DA$8:$DA$154&gt;0)*'ANALYSE - ERP =&gt; SOUS-SEGMENT'!$DA$8:$DA$154)/SUMPRODUCT(('ANALYSE - ERP =&gt; SOUS-SEGMENT'!$C$8:$C$154=$C19)*'ANALYSE - ERP =&gt; SOUS-SEGMENT'!$ED$8:$ED$154*('ANALYSE - ERP =&gt; SOUS-SEGMENT'!$DA$8:$DA$154&gt;0)),"")</f>
        <v>7.7068887768906338</v>
      </c>
      <c r="CY19" s="885">
        <f>IFERROR(SUMPRODUCT(('ANALYSE - ERP =&gt; SOUS-SEGMENT'!$C$8:$C$154=$C19)*'ANALYSE - ERP =&gt; SOUS-SEGMENT'!$EE$8:$EE$154*('ANALYSE - ERP =&gt; SOUS-SEGMENT'!$DB$8:$DB$154&gt;0)*'ANALYSE - ERP =&gt; SOUS-SEGMENT'!$DB$8:$DB$154)/SUMPRODUCT(('ANALYSE - ERP =&gt; SOUS-SEGMENT'!$C$8:$C$154=$C19)*'ANALYSE - ERP =&gt; SOUS-SEGMENT'!$EE$8:$EE$154*('ANALYSE - ERP =&gt; SOUS-SEGMENT'!$DB$8:$DB$154&gt;0)),"")</f>
        <v>9</v>
      </c>
      <c r="CZ19" s="886">
        <f>IFERROR(SUMPRODUCT(('ANALYSE - ERP =&gt; SOUS-SEGMENT'!$C$8:$C$154=$C19)*'ANALYSE - ERP =&gt; SOUS-SEGMENT'!$EM$8:$EM$154*('ANALYSE - ERP =&gt; SOUS-SEGMENT'!$DC$8:$DC$154&gt;0)*'ANALYSE - ERP =&gt; SOUS-SEGMENT'!$DC$8:$DC$154)/SUMPRODUCT(('ANALYSE - ERP =&gt; SOUS-SEGMENT'!$C$8:$C$154=$C19)*'ANALYSE - ERP =&gt; SOUS-SEGMENT'!$EM$8:$EM$154*('ANALYSE - ERP =&gt; SOUS-SEGMENT'!$DC$8:$DC$154&gt;0)),"")</f>
        <v>10.93059927511047</v>
      </c>
      <c r="DA19" s="883">
        <f>IFERROR(SUMPRODUCT(('ANALYSE - ERP =&gt; SOUS-SEGMENT'!$C$8:$C$154=$C19)*'ANALYSE - ERP =&gt; SOUS-SEGMENT'!$EN$8:$EN$154*('ANALYSE - ERP =&gt; SOUS-SEGMENT'!$DD$8:$DD$154&gt;0)*'ANALYSE - ERP =&gt; SOUS-SEGMENT'!$DD$8:$DD$154)/SUMPRODUCT(('ANALYSE - ERP =&gt; SOUS-SEGMENT'!$C$8:$C$154=$C19)*'ANALYSE - ERP =&gt; SOUS-SEGMENT'!$EN$8:$EN$154*('ANALYSE - ERP =&gt; SOUS-SEGMENT'!$DD$8:$DD$154&gt;0)),"")</f>
        <v>11.505803799131362</v>
      </c>
      <c r="DB19" s="885">
        <f>IFERROR(SUMPRODUCT(('ANALYSE - ERP =&gt; SOUS-SEGMENT'!$C$8:$C$154=$C19)*'ANALYSE - ERP =&gt; SOUS-SEGMENT'!$EO$8:$EO$154*('ANALYSE - ERP =&gt; SOUS-SEGMENT'!$DE$8:$DE$154&gt;0)*'ANALYSE - ERP =&gt; SOUS-SEGMENT'!$DE$8:$DE$154)/SUMPRODUCT(('ANALYSE - ERP =&gt; SOUS-SEGMENT'!$C$8:$C$154=$C19)*'ANALYSE - ERP =&gt; SOUS-SEGMENT'!$EO$8:$EO$154*('ANALYSE - ERP =&gt; SOUS-SEGMENT'!$DE$8:$DE$154&gt;0)),"")</f>
        <v>8.4800934163701065</v>
      </c>
      <c r="DC19" s="610" t="s">
        <v>7006</v>
      </c>
      <c r="DD19" s="657"/>
      <c r="DE19" s="288">
        <f t="shared" si="2"/>
        <v>255482.75</v>
      </c>
      <c r="DF19" s="288">
        <f t="shared" si="3"/>
        <v>498613.00000000006</v>
      </c>
      <c r="DG19" s="288">
        <f t="shared" si="4"/>
        <v>110968.25</v>
      </c>
      <c r="DH19" s="288">
        <f t="shared" si="5"/>
        <v>43098.5</v>
      </c>
      <c r="DI19" s="317" t="s">
        <v>7007</v>
      </c>
      <c r="DJ19" s="288">
        <f t="shared" si="6"/>
        <v>226243.52000000002</v>
      </c>
      <c r="DK19" s="288">
        <f t="shared" si="7"/>
        <v>501745.5</v>
      </c>
      <c r="DL19" s="288">
        <f t="shared" si="8"/>
        <v>144403.91999999998</v>
      </c>
      <c r="DM19" s="288">
        <f t="shared" si="9"/>
        <v>38564.06</v>
      </c>
      <c r="DN19" s="317" t="s">
        <v>7008</v>
      </c>
      <c r="DO19" s="657"/>
      <c r="DP19" s="288">
        <f t="shared" si="10"/>
        <v>0</v>
      </c>
      <c r="DQ19" s="288">
        <f t="shared" si="11"/>
        <v>0</v>
      </c>
      <c r="DR19" s="288">
        <f t="shared" si="12"/>
        <v>0</v>
      </c>
      <c r="DS19" s="317" t="s">
        <v>7009</v>
      </c>
      <c r="DT19" s="288">
        <f t="shared" si="13"/>
        <v>0</v>
      </c>
      <c r="DU19" s="288">
        <f t="shared" si="14"/>
        <v>0</v>
      </c>
      <c r="DV19" s="288">
        <f t="shared" si="15"/>
        <v>0</v>
      </c>
      <c r="DW19" s="317" t="s">
        <v>7010</v>
      </c>
      <c r="DX19" s="657"/>
      <c r="DY19" s="288">
        <f t="shared" si="16"/>
        <v>9901.24</v>
      </c>
      <c r="DZ19" s="288">
        <f t="shared" si="17"/>
        <v>62203.750000000007</v>
      </c>
      <c r="EA19" s="288">
        <f t="shared" si="18"/>
        <v>20734.45</v>
      </c>
      <c r="EB19" s="288">
        <f t="shared" si="19"/>
        <v>29198.560000000001</v>
      </c>
      <c r="EC19" s="317" t="s">
        <v>7011</v>
      </c>
      <c r="ED19" s="288">
        <f t="shared" si="20"/>
        <v>8024.0815000000002</v>
      </c>
      <c r="EE19" s="288">
        <f t="shared" si="21"/>
        <v>62346.965000000011</v>
      </c>
      <c r="EF19" s="288">
        <f t="shared" si="22"/>
        <v>24984.564999999999</v>
      </c>
      <c r="EG19" s="288">
        <f t="shared" si="23"/>
        <v>27352.638500000001</v>
      </c>
      <c r="EH19" s="317" t="s">
        <v>7012</v>
      </c>
      <c r="EI19" s="290"/>
      <c r="EJ19" s="288">
        <f t="shared" si="24"/>
        <v>302115</v>
      </c>
      <c r="EK19" s="291">
        <f t="shared" si="25"/>
        <v>194097</v>
      </c>
      <c r="EL19" s="291">
        <f t="shared" si="26"/>
        <v>80928</v>
      </c>
      <c r="EM19" s="317" t="s">
        <v>7013</v>
      </c>
      <c r="EN19" s="288">
        <f t="shared" si="27"/>
        <v>246410.82</v>
      </c>
      <c r="EO19" s="291">
        <f t="shared" si="28"/>
        <v>220007.01</v>
      </c>
      <c r="EP19" s="291">
        <f t="shared" si="29"/>
        <v>114889.16999999998</v>
      </c>
      <c r="EQ19" s="318" t="s">
        <v>7014</v>
      </c>
      <c r="ER19" s="657"/>
      <c r="ES19" s="731">
        <f t="shared" si="30"/>
        <v>0.63084358349320213</v>
      </c>
      <c r="ET19" s="731">
        <f t="shared" si="31"/>
        <v>0.27994297863070267</v>
      </c>
      <c r="EU19" s="292">
        <f t="shared" si="32"/>
        <v>764499.86907890835</v>
      </c>
      <c r="EV19" s="292">
        <f t="shared" si="33"/>
        <v>625715.40212390828</v>
      </c>
      <c r="EW19" s="292">
        <f t="shared" si="34"/>
        <v>138784.46695500001</v>
      </c>
      <c r="EX19" s="292">
        <f t="shared" si="35"/>
        <v>429245.43901845603</v>
      </c>
      <c r="EY19" s="292">
        <f>SUMPRODUCT(('ANALYSE - ERP =&gt; SOUS-SEGMENT'!$C$8:$C$154=$C19)*'ANALYSE - ERP =&gt; SOUS-SEGMENT'!$Q$8:$Q$154*'ANALYSE - ERP =&gt; SOUS-SEGMENT'!$FB$8:$FB$154)</f>
        <v>352251.30139345606</v>
      </c>
      <c r="EZ19" s="292">
        <f>SUMPRODUCT(('ANALYSE - ERP =&gt; SOUS-SEGMENT'!$C$8:$C$154=$C19)*'ANALYSE - ERP =&gt; SOUS-SEGMENT'!$Q$8:$Q$154*'ANALYSE - ERP =&gt; SOUS-SEGMENT'!$FC$8:$FC$154)</f>
        <v>76994.137625000003</v>
      </c>
      <c r="FA19" s="292">
        <f t="shared" si="36"/>
        <v>0</v>
      </c>
      <c r="FB19" s="292">
        <f>SUMPRODUCT(('ANALYSE - ERP =&gt; SOUS-SEGMENT'!$C$8:$C$154=$C19)*'ANALYSE - ERP =&gt; SOUS-SEGMENT'!$Q$8:$Q$154*'ANALYSE - ERP =&gt; SOUS-SEGMENT'!$FE$8:$FE$154)</f>
        <v>0</v>
      </c>
      <c r="FC19" s="292">
        <f>SUMPRODUCT(('ANALYSE - ERP =&gt; SOUS-SEGMENT'!$C$8:$C$154=$C19)*'ANALYSE - ERP =&gt; SOUS-SEGMENT'!$Q$8:$Q$154*'ANALYSE - ERP =&gt; SOUS-SEGMENT'!$FF$8:$FF$154)</f>
        <v>0</v>
      </c>
      <c r="FD19" s="292">
        <f t="shared" si="37"/>
        <v>62500.099784944628</v>
      </c>
      <c r="FE19" s="292">
        <f>SUMPRODUCT(('ANALYSE - ERP =&gt; SOUS-SEGMENT'!$C$8:$C$154=$C19)*'ANALYSE - ERP =&gt; SOUS-SEGMENT'!$Q$8:$Q$154*'ANALYSE - ERP =&gt; SOUS-SEGMENT'!$FH$8:$FH$154)</f>
        <v>51878.566054944626</v>
      </c>
      <c r="FF19" s="292">
        <f>SUMPRODUCT(('ANALYSE - ERP =&gt; SOUS-SEGMENT'!$C$8:$C$154=$C19)*'ANALYSE - ERP =&gt; SOUS-SEGMENT'!$Q$8:$Q$154*'ANALYSE - ERP =&gt; SOUS-SEGMENT'!$FI$8:$FI$154)</f>
        <v>10621.533730000005</v>
      </c>
      <c r="FG19" s="292">
        <f t="shared" si="38"/>
        <v>272754.33027550753</v>
      </c>
      <c r="FH19" s="292">
        <f>SUMPRODUCT(('ANALYSE - ERP =&gt; SOUS-SEGMENT'!$C$8:$C$154=$C19)*'ANALYSE - ERP =&gt; SOUS-SEGMENT'!$Q$8:$Q$154*'ANALYSE - ERP =&gt; SOUS-SEGMENT'!$FK$8:$FK$154)</f>
        <v>221585.53467550754</v>
      </c>
      <c r="FI19" s="292">
        <f>SUMPRODUCT(('ANALYSE - ERP =&gt; SOUS-SEGMENT'!$C$8:$C$154=$C19)*'ANALYSE - ERP =&gt; SOUS-SEGMENT'!$Q$8:$Q$154*'ANALYSE - ERP =&gt; SOUS-SEGMENT'!$FL$8:$FL$154)</f>
        <v>51168.795600000005</v>
      </c>
      <c r="FJ19" s="657"/>
      <c r="FK19" s="319" t="s">
        <v>2649</v>
      </c>
      <c r="FL19" s="731">
        <f>IFERROR(SUMPRODUCT(('ANALYSE - ERP =&gt; SOUS-SEGMENT'!$C$8:$C$154=$C19)*'ANALYSE - ERP =&gt; SOUS-SEGMENT'!$Q$8:$Q$154*'ANALYSE - ERP =&gt; SOUS-SEGMENT'!$AF$8:$AF$154*'ANALYSE - ERP =&gt; SOUS-SEGMENT'!$FO$8:$FO$154)/SUMPRODUCT(('ANALYSE - ERP =&gt; SOUS-SEGMENT'!$C$8:$C$154=$C19)*'ANALYSE - ERP =&gt; SOUS-SEGMENT'!$Q$8:$Q$154*'ANALYSE - ERP =&gt; SOUS-SEGMENT'!$AF$8:$AF$154),"")</f>
        <v>6.2941964532798697E-2</v>
      </c>
      <c r="FM19" s="732">
        <f>IFERROR(SUMPRODUCT(('ANALYSE - ERP =&gt; SOUS-SEGMENT'!$C$8:$C$154=$C19)*'ANALYSE - ERP =&gt; SOUS-SEGMENT'!$Q$8:$Q$154*'ANALYSE - ERP =&gt; SOUS-SEGMENT'!$AF$8:$AF$154*'ANALYSE - ERP =&gt; SOUS-SEGMENT'!$FP$8:$FP$154)/SUMPRODUCT(('ANALYSE - ERP =&gt; SOUS-SEGMENT'!$C$8:$C$154=$C19)*'ANALYSE - ERP =&gt; SOUS-SEGMENT'!$Q$8:$Q$154*'ANALYSE - ERP =&gt; SOUS-SEGMENT'!$AF$8:$AF$154),"")</f>
        <v>0.84040674272159932</v>
      </c>
      <c r="FN19" s="320" t="s">
        <v>2617</v>
      </c>
      <c r="FO19" s="657"/>
      <c r="FP19" s="887">
        <f>IFERROR(SUMPRODUCT(('ANALYSE - ERP =&gt; SOUS-SEGMENT'!$C$8:$C$154=$C19)*'ANALYSE - ERP =&gt; SOUS-SEGMENT'!$Q$8:$Q$154*'ANALYSE - ERP =&gt; SOUS-SEGMENT'!$EX$8:$EX$154*'ANALYSE - ERP =&gt; SOUS-SEGMENT'!$FS$8:$FS$154)/SUMPRODUCT(('ANALYSE - ERP =&gt; SOUS-SEGMENT'!$C$8:$C$154=$C19)*'ANALYSE - ERP =&gt; SOUS-SEGMENT'!$Q$8:$Q$154*'ANALYSE - ERP =&gt; SOUS-SEGMENT'!$EX$8:$EX$154),"")</f>
        <v>3.5110739920280967</v>
      </c>
      <c r="FQ19" s="295">
        <f>RANK($FP19,$FP$8:$FP$143,0)+COUNTIF($FP$8:$FP19,$FP19)-1</f>
        <v>12</v>
      </c>
      <c r="FR19" s="887">
        <f>IFERROR(SUMPRODUCT(('ANALYSE - ERP =&gt; SOUS-SEGMENT'!$C$8:$C$154=$C19)*'ANALYSE - ERP =&gt; SOUS-SEGMENT'!$Q$8:$Q$154*'ANALYSE - ERP =&gt; SOUS-SEGMENT'!$EY$8:$EY$154*'ANALYSE - ERP =&gt; SOUS-SEGMENT'!$FU$8:$FU$154)/SUMPRODUCT(('ANALYSE - ERP =&gt; SOUS-SEGMENT'!$C$8:$C$154=$C19)*'ANALYSE - ERP =&gt; SOUS-SEGMENT'!$Q$8:$Q$154*'ANALYSE - ERP =&gt; SOUS-SEGMENT'!$EY$8:$EY$154),"")</f>
        <v>4.1475809880760748</v>
      </c>
      <c r="FS19" s="295">
        <f>RANK($FR19,$FR$8:$FR$143,0)+COUNTIF($FR$8:$FR19,$FR19)-1</f>
        <v>13</v>
      </c>
      <c r="FT19" s="887">
        <f>IFERROR(SUMPRODUCT(('ANALYSE - ERP =&gt; SOUS-SEGMENT'!$C$8:$C$154=$C19)*'ANALYSE - ERP =&gt; SOUS-SEGMENT'!$Q$8:$Q$154*'ANALYSE - ERP =&gt; SOUS-SEGMENT'!$EZ$8:$EZ$154*'ANALYSE - ERP =&gt; SOUS-SEGMENT'!$FW$8:$FW$154)/SUMPRODUCT(('ANALYSE - ERP =&gt; SOUS-SEGMENT'!$C$8:$C$154=$C19)*'ANALYSE - ERP =&gt; SOUS-SEGMENT'!$Q$8:$Q$154*'ANALYSE - ERP =&gt; SOUS-SEGMENT'!$EZ$8:$EZ$154),"")</f>
        <v>2.6625583833053534</v>
      </c>
      <c r="FU19" s="295">
        <f>RANK($FT19,$FT$8:$FT$143,0)+COUNTIF($FT$8:$FT19,$FT19)-1</f>
        <v>6</v>
      </c>
      <c r="FV19" s="657"/>
      <c r="FW19" s="321" t="s">
        <v>7015</v>
      </c>
      <c r="FX19" s="321" t="s">
        <v>7016</v>
      </c>
      <c r="FY19" s="321" t="s">
        <v>7017</v>
      </c>
      <c r="FZ19" s="321" t="s">
        <v>7018</v>
      </c>
      <c r="GA19" s="321" t="s">
        <v>7019</v>
      </c>
      <c r="GB19" s="321" t="s">
        <v>7020</v>
      </c>
      <c r="GC19" s="321" t="s">
        <v>6759</v>
      </c>
      <c r="GD19" s="657"/>
      <c r="GE19" s="292">
        <f>SUMPRODUCT(('ANALYSE - ERP =&gt; SOUS-SEGMENT'!$C$8:$C$154=$C19)*'ANALYSE - ERP =&gt; SOUS-SEGMENT'!$Q$8:$Q$154*'ANALYSE - ERP =&gt; SOUS-SEGMENT'!$GH$8:$GH$154)</f>
        <v>117614.40288947501</v>
      </c>
      <c r="GF19" s="292">
        <f>SUMPRODUCT(('ANALYSE - ERP =&gt; SOUS-SEGMENT'!$C$8:$C$154=$C19)*'ANALYSE - ERP =&gt; SOUS-SEGMENT'!$Q$8:$Q$154*'ANALYSE - ERP =&gt; SOUS-SEGMENT'!$GI$8:$GI$154)</f>
        <v>100430.014679475</v>
      </c>
      <c r="GG19" s="292">
        <f>SUMPRODUCT(('ANALYSE - ERP =&gt; SOUS-SEGMENT'!$C$8:$C$154=$C19)*'ANALYSE - ERP =&gt; SOUS-SEGMENT'!$Q$8:$Q$154*'ANALYSE - ERP =&gt; SOUS-SEGMENT'!$GJ$8:$GJ$154)</f>
        <v>17184.388210000001</v>
      </c>
      <c r="GH19" s="292">
        <f>SUMPRODUCT(('ANALYSE - ERP =&gt; SOUS-SEGMENT'!$C$8:$C$154=$C19)*'ANALYSE - ERP =&gt; SOUS-SEGMENT'!$Q$8:$Q$154*'ANALYSE - ERP =&gt; SOUS-SEGMENT'!$GK$8:$GK$154)</f>
        <v>220457.85697664774</v>
      </c>
      <c r="GI19" s="292">
        <f>SUMPRODUCT(('ANALYSE - ERP =&gt; SOUS-SEGMENT'!$C$8:$C$154=$C19)*'ANALYSE - ERP =&gt; SOUS-SEGMENT'!$Q$8:$Q$154*'ANALYSE - ERP =&gt; SOUS-SEGMENT'!$GL$8:$GL$154)</f>
        <v>177153.76627164771</v>
      </c>
      <c r="GJ19" s="292">
        <f>SUMPRODUCT(('ANALYSE - ERP =&gt; SOUS-SEGMENT'!$C$8:$C$154=$C19)*'ANALYSE - ERP =&gt; SOUS-SEGMENT'!$Q$8:$Q$154*'ANALYSE - ERP =&gt; SOUS-SEGMENT'!$GM$8:$GM$154)</f>
        <v>43304.09070500001</v>
      </c>
      <c r="GK19" s="292">
        <f>SUMPRODUCT(('ANALYSE - ERP =&gt; SOUS-SEGMENT'!$C$8:$C$154=$C19)*'ANALYSE - ERP =&gt; SOUS-SEGMENT'!$Q$8:$Q$154*'ANALYSE - ERP =&gt; SOUS-SEGMENT'!$GN$8:$GN$154)</f>
        <v>69680.063981250001</v>
      </c>
      <c r="GL19" s="292">
        <f>SUMPRODUCT(('ANALYSE - ERP =&gt; SOUS-SEGMENT'!$C$8:$C$154=$C19)*'ANALYSE - ERP =&gt; SOUS-SEGMENT'!$Q$8:$Q$154*'ANALYSE - ERP =&gt; SOUS-SEGMENT'!$GO$8:$GO$154)</f>
        <v>56141.655960000004</v>
      </c>
      <c r="GM19" s="292">
        <f>SUMPRODUCT(('ANALYSE - ERP =&gt; SOUS-SEGMENT'!$C$8:$C$154=$C19)*'ANALYSE - ERP =&gt; SOUS-SEGMENT'!$Q$8:$Q$154*'ANALYSE - ERP =&gt; SOUS-SEGMENT'!$GP$8:$GP$154)</f>
        <v>13538.408021250001</v>
      </c>
      <c r="GN19" s="292">
        <f>SUMPRODUCT(('ANALYSE - ERP =&gt; SOUS-SEGMENT'!$C$8:$C$154=$C19)*'ANALYSE - ERP =&gt; SOUS-SEGMENT'!$Q$8:$Q$154*'ANALYSE - ERP =&gt; SOUS-SEGMENT'!$GQ$8:$GQ$154)</f>
        <v>21493.115171083336</v>
      </c>
      <c r="GO19" s="292">
        <f>SUMPRODUCT(('ANALYSE - ERP =&gt; SOUS-SEGMENT'!$C$8:$C$154=$C19)*'ANALYSE - ERP =&gt; SOUS-SEGMENT'!$Q$8:$Q$154*'ANALYSE - ERP =&gt; SOUS-SEGMENT'!$GR$8:$GR$154)</f>
        <v>18525.864482333334</v>
      </c>
      <c r="GP19" s="292">
        <f>SUMPRODUCT(('ANALYSE - ERP =&gt; SOUS-SEGMENT'!$C$8:$C$154=$C19)*'ANALYSE - ERP =&gt; SOUS-SEGMENT'!$Q$8:$Q$154*'ANALYSE - ERP =&gt; SOUS-SEGMENT'!$GS$8:$GS$154)</f>
        <v>2967.2506887500003</v>
      </c>
      <c r="GQ19" s="292">
        <f>SUMPRODUCT(('ANALYSE - ERP =&gt; SOUS-SEGMENT'!$C$8:$C$154=$C19)*'ANALYSE - ERP =&gt; SOUS-SEGMENT'!$Q$8:$Q$154*'ANALYSE - ERP =&gt; SOUS-SEGMENT'!$GT$8:$GT$154)</f>
        <v>0</v>
      </c>
      <c r="GR19" s="292">
        <f>SUMPRODUCT(('ANALYSE - ERP =&gt; SOUS-SEGMENT'!$C$8:$C$154=$C19)*'ANALYSE - ERP =&gt; SOUS-SEGMENT'!$Q$8:$Q$154*'ANALYSE - ERP =&gt; SOUS-SEGMENT'!$GU$8:$GU$154)</f>
        <v>0</v>
      </c>
      <c r="GS19" s="292">
        <f>SUMPRODUCT(('ANALYSE - ERP =&gt; SOUS-SEGMENT'!$C$8:$C$154=$C19)*'ANALYSE - ERP =&gt; SOUS-SEGMENT'!$Q$8:$Q$154*'ANALYSE - ERP =&gt; SOUS-SEGMENT'!$GV$8:$GV$154)</f>
        <v>0</v>
      </c>
      <c r="GT19" s="292">
        <f>SUMPRODUCT(('ANALYSE - ERP =&gt; SOUS-SEGMENT'!$C$8:$C$154=$C19)*'ANALYSE - ERP =&gt; SOUS-SEGMENT'!$Q$8:$Q$154*'ANALYSE - ERP =&gt; SOUS-SEGMENT'!$GW$8:$GW$154)</f>
        <v>0</v>
      </c>
      <c r="GU19" s="292">
        <f>SUMPRODUCT(('ANALYSE - ERP =&gt; SOUS-SEGMENT'!$C$8:$C$154=$C19)*'ANALYSE - ERP =&gt; SOUS-SEGMENT'!$Q$8:$Q$154*'ANALYSE - ERP =&gt; SOUS-SEGMENT'!$GX$8:$GX$154)</f>
        <v>0</v>
      </c>
      <c r="GV19" s="292">
        <f>SUMPRODUCT(('ANALYSE - ERP =&gt; SOUS-SEGMENT'!$C$8:$C$154=$C19)*'ANALYSE - ERP =&gt; SOUS-SEGMENT'!$Q$8:$Q$154*'ANALYSE - ERP =&gt; SOUS-SEGMENT'!$GY$8:$GY$154)</f>
        <v>0</v>
      </c>
      <c r="GW19" s="292">
        <f>SUMPRODUCT(('ANALYSE - ERP =&gt; SOUS-SEGMENT'!$C$8:$C$154=$C19)*'ANALYSE - ERP =&gt; SOUS-SEGMENT'!$Q$8:$Q$154*'ANALYSE - ERP =&gt; SOUS-SEGMENT'!$GZ$8:$GZ$154)</f>
        <v>0</v>
      </c>
      <c r="GX19" s="292">
        <f>SUMPRODUCT(('ANALYSE - ERP =&gt; SOUS-SEGMENT'!$C$8:$C$154=$C19)*'ANALYSE - ERP =&gt; SOUS-SEGMENT'!$Q$8:$Q$154*'ANALYSE - ERP =&gt; SOUS-SEGMENT'!$HA$8:$HA$154)</f>
        <v>0</v>
      </c>
      <c r="GY19" s="292">
        <f>SUMPRODUCT(('ANALYSE - ERP =&gt; SOUS-SEGMENT'!$C$8:$C$154=$C19)*'ANALYSE - ERP =&gt; SOUS-SEGMENT'!$Q$8:$Q$154*'ANALYSE - ERP =&gt; SOUS-SEGMENT'!$HB$8:$HB$154)</f>
        <v>0</v>
      </c>
      <c r="GZ19" s="292">
        <f>SUMPRODUCT(('ANALYSE - ERP =&gt; SOUS-SEGMENT'!$C$8:$C$154=$C19)*'ANALYSE - ERP =&gt; SOUS-SEGMENT'!$Q$8:$Q$154*'ANALYSE - ERP =&gt; SOUS-SEGMENT'!$HC$8:$HC$154)</f>
        <v>5120.7494316666671</v>
      </c>
      <c r="HA19" s="292">
        <f>SUMPRODUCT(('ANALYSE - ERP =&gt; SOUS-SEGMENT'!$C$8:$C$154=$C19)*'ANALYSE - ERP =&gt; SOUS-SEGMENT'!$Q$8:$Q$154*'ANALYSE - ERP =&gt; SOUS-SEGMENT'!$HD$8:$HD$154)</f>
        <v>4512.3020735666669</v>
      </c>
      <c r="HB19" s="292">
        <f>SUMPRODUCT(('ANALYSE - ERP =&gt; SOUS-SEGMENT'!$C$8:$C$154=$C19)*'ANALYSE - ERP =&gt; SOUS-SEGMENT'!$Q$8:$Q$154*'ANALYSE - ERP =&gt; SOUS-SEGMENT'!$HE$8:$HE$154)</f>
        <v>608.4473581000002</v>
      </c>
      <c r="HC19" s="292">
        <f>SUMPRODUCT(('ANALYSE - ERP =&gt; SOUS-SEGMENT'!$C$8:$C$154=$C19)*'ANALYSE - ERP =&gt; SOUS-SEGMENT'!$Q$8:$Q$154*'ANALYSE - ERP =&gt; SOUS-SEGMENT'!$HF$8:$HF$154)</f>
        <v>28490.049803954545</v>
      </c>
      <c r="HD19" s="292">
        <f>SUMPRODUCT(('ANALYSE - ERP =&gt; SOUS-SEGMENT'!$C$8:$C$154=$C19)*'ANALYSE - ERP =&gt; SOUS-SEGMENT'!$Q$8:$Q$154*'ANALYSE - ERP =&gt; SOUS-SEGMENT'!$HG$8:$HG$154)</f>
        <v>23305.477293954547</v>
      </c>
      <c r="HE19" s="292">
        <f>SUMPRODUCT(('ANALYSE - ERP =&gt; SOUS-SEGMENT'!$C$8:$C$154=$C19)*'ANALYSE - ERP =&gt; SOUS-SEGMENT'!$Q$8:$Q$154*'ANALYSE - ERP =&gt; SOUS-SEGMENT'!$HH$8:$HH$154)</f>
        <v>5184.5725100000018</v>
      </c>
      <c r="HF19" s="292">
        <f>SUMPRODUCT(('ANALYSE - ERP =&gt; SOUS-SEGMENT'!$C$8:$C$154=$C19)*'ANALYSE - ERP =&gt; SOUS-SEGMENT'!$Q$8:$Q$154*'ANALYSE - ERP =&gt; SOUS-SEGMENT'!$HI$8:$HI$154)</f>
        <v>13365.768834667859</v>
      </c>
      <c r="HG19" s="292">
        <f>SUMPRODUCT(('ANALYSE - ERP =&gt; SOUS-SEGMENT'!$C$8:$C$154=$C19)*'ANALYSE - ERP =&gt; SOUS-SEGMENT'!$Q$8:$Q$154*'ANALYSE - ERP =&gt; SOUS-SEGMENT'!$HJ$8:$HJ$154)</f>
        <v>10769.652028267858</v>
      </c>
      <c r="HH19" s="292">
        <f>SUMPRODUCT(('ANALYSE - ERP =&gt; SOUS-SEGMENT'!$C$8:$C$154=$C19)*'ANALYSE - ERP =&gt; SOUS-SEGMENT'!$Q$8:$Q$154*'ANALYSE - ERP =&gt; SOUS-SEGMENT'!$HK$8:$HK$154)</f>
        <v>2596.1168064000012</v>
      </c>
      <c r="HI19" s="292">
        <f>SUMPRODUCT(('ANALYSE - ERP =&gt; SOUS-SEGMENT'!$C$8:$C$154=$C19)*'ANALYSE - ERP =&gt; SOUS-SEGMENT'!$Q$8:$Q$154*'ANALYSE - ERP =&gt; SOUS-SEGMENT'!$HL$8:$HL$154)</f>
        <v>15523.531714655559</v>
      </c>
      <c r="HJ19" s="292">
        <f>SUMPRODUCT(('ANALYSE - ERP =&gt; SOUS-SEGMENT'!$C$8:$C$154=$C19)*'ANALYSE - ERP =&gt; SOUS-SEGMENT'!$Q$8:$Q$154*'ANALYSE - ERP =&gt; SOUS-SEGMENT'!$HM$8:$HM$154)</f>
        <v>13291.134659155558</v>
      </c>
      <c r="HK19" s="292">
        <f>SUMPRODUCT(('ANALYSE - ERP =&gt; SOUS-SEGMENT'!$C$8:$C$154=$C19)*'ANALYSE - ERP =&gt; SOUS-SEGMENT'!$Q$8:$Q$154*'ANALYSE - ERP =&gt; SOUS-SEGMENT'!$HN$8:$HN$154)</f>
        <v>2232.3970555000005</v>
      </c>
      <c r="HL19" s="292">
        <f>SUMPRODUCT(('ANALYSE - ERP =&gt; SOUS-SEGMENT'!$C$8:$C$154=$C19)*'ANALYSE - ERP =&gt; SOUS-SEGMENT'!$Q$8:$Q$154*'ANALYSE - ERP =&gt; SOUS-SEGMENT'!$HO$8:$HO$154)</f>
        <v>135955.535859</v>
      </c>
      <c r="HM19" s="292">
        <f>SUMPRODUCT(('ANALYSE - ERP =&gt; SOUS-SEGMENT'!$C$8:$C$154=$C19)*'ANALYSE - ERP =&gt; SOUS-SEGMENT'!$Q$8:$Q$154*'ANALYSE - ERP =&gt; SOUS-SEGMENT'!$HP$8:$HP$154)</f>
        <v>115102.631637</v>
      </c>
      <c r="HN19" s="292">
        <f>SUMPRODUCT(('ANALYSE - ERP =&gt; SOUS-SEGMENT'!$C$8:$C$154=$C19)*'ANALYSE - ERP =&gt; SOUS-SEGMENT'!$Q$8:$Q$154*'ANALYSE - ERP =&gt; SOUS-SEGMENT'!$HQ$8:$HQ$154)</f>
        <v>20852.904222000001</v>
      </c>
      <c r="HO19" s="292">
        <f>SUMPRODUCT(('ANALYSE - ERP =&gt; SOUS-SEGMENT'!$C$8:$C$154=$C19)*'ANALYSE - ERP =&gt; SOUS-SEGMENT'!$Q$8:$Q$154*'ANALYSE - ERP =&gt; SOUS-SEGMENT'!$HR$8:$HR$154)</f>
        <v>87737.512794590904</v>
      </c>
      <c r="HP19" s="292">
        <f>SUMPRODUCT(('ANALYSE - ERP =&gt; SOUS-SEGMENT'!$C$8:$C$154=$C19)*'ANALYSE - ERP =&gt; SOUS-SEGMENT'!$Q$8:$Q$154*'ANALYSE - ERP =&gt; SOUS-SEGMENT'!$HS$8:$HS$154)</f>
        <v>67822.178466590907</v>
      </c>
      <c r="HQ19" s="292">
        <f>SUMPRODUCT(('ANALYSE - ERP =&gt; SOUS-SEGMENT'!$C$8:$C$154=$C19)*'ANALYSE - ERP =&gt; SOUS-SEGMENT'!$Q$8:$Q$154*'ANALYSE - ERP =&gt; SOUS-SEGMENT'!$HT$8:$HT$154)</f>
        <v>19915.334328000001</v>
      </c>
      <c r="HR19" s="292">
        <f>SUMPRODUCT(('ANALYSE - ERP =&gt; SOUS-SEGMENT'!$C$8:$C$154=$C19)*'ANALYSE - ERP =&gt; SOUS-SEGMENT'!$Q$8:$Q$154*'ANALYSE - ERP =&gt; SOUS-SEGMENT'!$HU$8:$HU$154)</f>
        <v>49061.281621916671</v>
      </c>
      <c r="HS19" s="292">
        <f>SUMPRODUCT(('ANALYSE - ERP =&gt; SOUS-SEGMENT'!$C$8:$C$154=$C19)*'ANALYSE - ERP =&gt; SOUS-SEGMENT'!$Q$8:$Q$154*'ANALYSE - ERP =&gt; SOUS-SEGMENT'!$HV$8:$HV$154)</f>
        <v>38660.72457191666</v>
      </c>
      <c r="HT19" s="292">
        <f>SUMPRODUCT(('ANALYSE - ERP =&gt; SOUS-SEGMENT'!$C$8:$C$154=$C19)*'ANALYSE - ERP =&gt; SOUS-SEGMENT'!$Q$8:$Q$154*'ANALYSE - ERP =&gt; SOUS-SEGMENT'!$HW$8:$HW$154)</f>
        <v>10400.557049999999</v>
      </c>
      <c r="HV19" s="297">
        <f t="shared" si="40"/>
        <v>103824</v>
      </c>
      <c r="HW19" s="297">
        <f>SUMPRODUCT(('ANALYSE - ERP =&gt; SOUS-SEGMENT'!$C$8:$C$154=$C19)*'ANALYSE - ERP =&gt; SOUS-SEGMENT'!$Q$8:$Q$154*'ANALYSE - ERP =&gt; SOUS-SEGMENT'!$HZ$8:$HZ$154)</f>
        <v>38986.151099999995</v>
      </c>
      <c r="HX19" s="297">
        <f>SUMPRODUCT(('ANALYSE - ERP =&gt; SOUS-SEGMENT'!$C$8:$C$154=$C19)*'ANALYSE - ERP =&gt; SOUS-SEGMENT'!$Q$8:$Q$154*'ANALYSE - ERP =&gt; SOUS-SEGMENT'!$IA$8:$IA$154)</f>
        <v>578997.12320000003</v>
      </c>
      <c r="HY19" s="297">
        <f>SUMPRODUCT(('ANALYSE - ERP =&gt; SOUS-SEGMENT'!$C$8:$C$154=$C19)*'ANALYSE - ERP =&gt; SOUS-SEGMENT'!$Q$8:$Q$154*'ANALYSE - ERP =&gt; SOUS-SEGMENT'!$IB$8:$IB$154)</f>
        <v>726478.47370000009</v>
      </c>
      <c r="HZ19" s="297">
        <f>SUMPRODUCT(('ANALYSE - ERP =&gt; SOUS-SEGMENT'!$C$8:$C$154=$C19)*'ANALYSE - ERP =&gt; SOUS-SEGMENT'!$Q$8:$Q$154*'ANALYSE - ERP =&gt; SOUS-SEGMENT'!$IC$8:$IC$154)</f>
        <v>221196.7598</v>
      </c>
      <c r="IA19" s="297">
        <f>SUMPRODUCT(('ANALYSE - ERP =&gt; SOUS-SEGMENT'!$C$8:$C$154=$C19)*'ANALYSE - ERP =&gt; SOUS-SEGMENT'!$Q$8:$Q$154*'ANALYSE - ERP =&gt; SOUS-SEGMENT'!$ID$8:$ID$154)</f>
        <v>41681.992200000001</v>
      </c>
      <c r="IB19" s="297">
        <f>SUMPRODUCT(('ANALYSE - ERP =&gt; SOUS-SEGMENT'!$C$8:$C$154=$C19)*'ANALYSE - ERP =&gt; SOUS-SEGMENT'!$Q$8:$Q$154*'ANALYSE - ERP =&gt; SOUS-SEGMENT'!$IE$8:$IE$154)</f>
        <v>625715.40212390816</v>
      </c>
      <c r="IC19" s="297">
        <f>SUMPRODUCT(('ANALYSE - ERP =&gt; SOUS-SEGMENT'!$C$8:$C$154=$C19)*'ANALYSE - ERP =&gt; SOUS-SEGMENT'!$Q$8:$Q$154*'ANALYSE - ERP =&gt; SOUS-SEGMENT'!$IF$8:$IF$154)</f>
        <v>1397.3173080139309</v>
      </c>
      <c r="ID19" s="297">
        <f>SUMPRODUCT(('ANALYSE - ERP =&gt; SOUS-SEGMENT'!$C$8:$C$154=$C19)*'ANALYSE - ERP =&gt; SOUS-SEGMENT'!$Q$8:$Q$154*'ANALYSE - ERP =&gt; SOUS-SEGMENT'!$IG$8:$IG$154)</f>
        <v>172719.85326666292</v>
      </c>
      <c r="IE19" s="297">
        <f>SUMPRODUCT(('ANALYSE - ERP =&gt; SOUS-SEGMENT'!$C$8:$C$154=$C19)*'ANALYSE - ERP =&gt; SOUS-SEGMENT'!$Q$8:$Q$154*'ANALYSE - ERP =&gt; SOUS-SEGMENT'!$IH$8:$IH$154)</f>
        <v>318410.02661151288</v>
      </c>
      <c r="IF19" s="297">
        <f>SUMPRODUCT(('ANALYSE - ERP =&gt; SOUS-SEGMENT'!$C$8:$C$154=$C19)*'ANALYSE - ERP =&gt; SOUS-SEGMENT'!$Q$8:$Q$154*'ANALYSE - ERP =&gt; SOUS-SEGMENT'!$II$8:$II$154)</f>
        <v>112668.52219923971</v>
      </c>
      <c r="IG19" s="297">
        <f>SUMPRODUCT(('ANALYSE - ERP =&gt; SOUS-SEGMENT'!$C$8:$C$154=$C19)*'ANALYSE - ERP =&gt; SOUS-SEGMENT'!$Q$8:$Q$154*'ANALYSE - ERP =&gt; SOUS-SEGMENT'!$IJ$8:$IJ$154)</f>
        <v>20519.682738478878</v>
      </c>
      <c r="IH19" s="888"/>
      <c r="II19" s="298" t="s">
        <v>2589</v>
      </c>
      <c r="IJ19" s="322" t="s">
        <v>6760</v>
      </c>
      <c r="IK19" s="657"/>
      <c r="IL19" s="747">
        <f>IFERROR(SUMPRODUCT(('ANALYSE - ERP =&gt; SOUS-SEGMENT'!$C$8:$C$154=$C19)*'ANALYSE - ERP =&gt; SOUS-SEGMENT'!$Q$8:$Q$154*'ANALYSE - ERP =&gt; SOUS-SEGMENT'!$BE$8:$BE$154*'ANALYSE - ERP =&gt; SOUS-SEGMENT'!$IO$8:$IO$154)/SUMPRODUCT(('ANALYSE - ERP =&gt; SOUS-SEGMENT'!$C$8:$C$154=$C19)*'ANALYSE - ERP =&gt; SOUS-SEGMENT'!$Q$8:$Q$154*'ANALYSE - ERP =&gt; SOUS-SEGMENT'!$BE$8:$BE$154),0)</f>
        <v>1.8032896095137158E-2</v>
      </c>
      <c r="IM19" s="748">
        <f>IFERROR(SUMPRODUCT(('ANALYSE - ERP =&gt; SOUS-SEGMENT'!$C$8:$C$154=$C19)*'ANALYSE - ERP =&gt; SOUS-SEGMENT'!$Q$8:$Q$154*'ANALYSE - ERP =&gt; SOUS-SEGMENT'!$BE$8:$BE$154*'ANALYSE - ERP =&gt; SOUS-SEGMENT'!$IP$8:$IP$154)/SUMPRODUCT(('ANALYSE - ERP =&gt; SOUS-SEGMENT'!$C$8:$C$154=$C19)*'ANALYSE - ERP =&gt; SOUS-SEGMENT'!$Q$8:$Q$154*'ANALYSE - ERP =&gt; SOUS-SEGMENT'!$BE$8:$BE$154),0)</f>
        <v>0.33683694548057203</v>
      </c>
      <c r="IN19" s="748">
        <f>IFERROR(SUMPRODUCT(('ANALYSE - ERP =&gt; SOUS-SEGMENT'!$C$8:$C$154=$C19)*'ANALYSE - ERP =&gt; SOUS-SEGMENT'!$Q$8:$Q$154*'ANALYSE - ERP =&gt; SOUS-SEGMENT'!$BE$8:$BE$154*'ANALYSE - ERP =&gt; SOUS-SEGMENT'!$IQ$8:$IQ$154)/SUMPRODUCT(('ANALYSE - ERP =&gt; SOUS-SEGMENT'!$C$8:$C$154=$C19)*'ANALYSE - ERP =&gt; SOUS-SEGMENT'!$Q$8:$Q$154*'ANALYSE - ERP =&gt; SOUS-SEGMENT'!$BE$8:$BE$154),0)</f>
        <v>0.46618223335581466</v>
      </c>
      <c r="IO19" s="748">
        <f>IFERROR(SUMPRODUCT(('ANALYSE - ERP =&gt; SOUS-SEGMENT'!$C$8:$C$154=$C19)*'ANALYSE - ERP =&gt; SOUS-SEGMENT'!$Q$8:$Q$154*'ANALYSE - ERP =&gt; SOUS-SEGMENT'!$BE$8:$BE$154*'ANALYSE - ERP =&gt; SOUS-SEGMENT'!$IR$8:$IR$154)/SUMPRODUCT(('ANALYSE - ERP =&gt; SOUS-SEGMENT'!$C$8:$C$154=$C19)*'ANALYSE - ERP =&gt; SOUS-SEGMENT'!$Q$8:$Q$154*'ANALYSE - ERP =&gt; SOUS-SEGMENT'!$BE$8:$BE$154),0)</f>
        <v>0.15106085639959807</v>
      </c>
      <c r="IP19" s="749">
        <f>IFERROR(SUMPRODUCT(('ANALYSE - ERP =&gt; SOUS-SEGMENT'!$C$8:$C$154=$C19)*'ANALYSE - ERP =&gt; SOUS-SEGMENT'!$Q$8:$Q$154*'ANALYSE - ERP =&gt; SOUS-SEGMENT'!$BE$8:$BE$154*'ANALYSE - ERP =&gt; SOUS-SEGMENT'!$IS$8:$IS$154)/SUMPRODUCT(('ANALYSE - ERP =&gt; SOUS-SEGMENT'!$C$8:$C$154=$C19)*'ANALYSE - ERP =&gt; SOUS-SEGMENT'!$Q$8:$Q$154*'ANALYSE - ERP =&gt; SOUS-SEGMENT'!$BE$8:$BE$154),0)</f>
        <v>2.7887068668878093E-2</v>
      </c>
      <c r="IQ19" s="748">
        <f>IFERROR(SUMPRODUCT(('ANALYSE - ERP =&gt; SOUS-SEGMENT'!$C$8:$C$154=$C19)*'ANALYSE - ERP =&gt; SOUS-SEGMENT'!$Q$8:$Q$154*'ANALYSE - ERP =&gt; SOUS-SEGMENT'!$FB$8:$FB$154*'ANALYSE - ERP =&gt; SOUS-SEGMENT'!$IT$8:$IT$154)/SUMPRODUCT(('ANALYSE - ERP =&gt; SOUS-SEGMENT'!$C$8:$C$154=$C19)*'ANALYSE - ERP =&gt; SOUS-SEGMENT'!$Q$8:$Q$154*'ANALYSE - ERP =&gt; SOUS-SEGMENT'!$FB$8:$FB$154),0)</f>
        <v>0</v>
      </c>
      <c r="IR19" s="748">
        <f>IFERROR(SUMPRODUCT(('ANALYSE - ERP =&gt; SOUS-SEGMENT'!$C$8:$C$154=$C19)*'ANALYSE - ERP =&gt; SOUS-SEGMENT'!$Q$8:$Q$154*'ANALYSE - ERP =&gt; SOUS-SEGMENT'!$FB$8:$FB$154*'ANALYSE - ERP =&gt; SOUS-SEGMENT'!$IU$8:$IU$154)/SUMPRODUCT(('ANALYSE - ERP =&gt; SOUS-SEGMENT'!$C$8:$C$154=$C19)*'ANALYSE - ERP =&gt; SOUS-SEGMENT'!$Q$8:$Q$154*'ANALYSE - ERP =&gt; SOUS-SEGMENT'!$FB$8:$FB$154),0)</f>
        <v>0.25046490536911953</v>
      </c>
      <c r="IS19" s="748">
        <f>IFERROR(SUMPRODUCT(('ANALYSE - ERP =&gt; SOUS-SEGMENT'!$C$8:$C$154=$C19)*'ANALYSE - ERP =&gt; SOUS-SEGMENT'!$Q$8:$Q$154*'ANALYSE - ERP =&gt; SOUS-SEGMENT'!$FB$8:$FB$154*'ANALYSE - ERP =&gt; SOUS-SEGMENT'!$IV$8:$IV$154)/SUMPRODUCT(('ANALYSE - ERP =&gt; SOUS-SEGMENT'!$C$8:$C$154=$C19)*'ANALYSE - ERP =&gt; SOUS-SEGMENT'!$Q$8:$Q$154*'ANALYSE - ERP =&gt; SOUS-SEGMENT'!$FB$8:$FB$154),0)</f>
        <v>0.5161741957674485</v>
      </c>
      <c r="IT19" s="748">
        <f>IFERROR(SUMPRODUCT(('ANALYSE - ERP =&gt; SOUS-SEGMENT'!$C$8:$C$154=$C19)*'ANALYSE - ERP =&gt; SOUS-SEGMENT'!$Q$8:$Q$154*'ANALYSE - ERP =&gt; SOUS-SEGMENT'!$FB$8:$FB$154*'ANALYSE - ERP =&gt; SOUS-SEGMENT'!$IW$8:$IW$154)/SUMPRODUCT(('ANALYSE - ERP =&gt; SOUS-SEGMENT'!$C$8:$C$154=$C19)*'ANALYSE - ERP =&gt; SOUS-SEGMENT'!$Q$8:$Q$154*'ANALYSE - ERP =&gt; SOUS-SEGMENT'!$FB$8:$FB$154),0)</f>
        <v>0.19787403394581116</v>
      </c>
      <c r="IU19" s="748">
        <f>IFERROR(SUMPRODUCT(('ANALYSE - ERP =&gt; SOUS-SEGMENT'!$C$8:$C$154=$C19)*'ANALYSE - ERP =&gt; SOUS-SEGMENT'!$Q$8:$Q$154*'ANALYSE - ERP =&gt; SOUS-SEGMENT'!$FB$8:$FB$154*'ANALYSE - ERP =&gt; SOUS-SEGMENT'!$IX$8:$IX$154)/SUMPRODUCT(('ANALYSE - ERP =&gt; SOUS-SEGMENT'!$C$8:$C$154=$C19)*'ANALYSE - ERP =&gt; SOUS-SEGMENT'!$Q$8:$Q$154*'ANALYSE - ERP =&gt; SOUS-SEGMENT'!$FB$8:$FB$154),0)</f>
        <v>3.548686491762082E-2</v>
      </c>
      <c r="IV19" s="771">
        <f>IFERROR(SUMPRODUCT(('ANALYSE - ERP =&gt; SOUS-SEGMENT'!$C$8:$C$154=$C19)*'ANALYSE - ERP =&gt; SOUS-SEGMENT'!$Q$8:$Q$154*'ANALYSE - ERP =&gt; SOUS-SEGMENT'!$BF$8:$BF$154*'ANALYSE - ERP =&gt; SOUS-SEGMENT'!$IY$8:$IY$154)/SUMPRODUCT(('ANALYSE - ERP =&gt; SOUS-SEGMENT'!$C$8:$C$154=$C19)*'ANALYSE - ERP =&gt; SOUS-SEGMENT'!$Q$8:$Q$154*'ANALYSE - ERP =&gt; SOUS-SEGMENT'!$BF$8:$BF$154),0)</f>
        <v>0</v>
      </c>
      <c r="IW19" s="748">
        <f>IFERROR(SUMPRODUCT(('ANALYSE - ERP =&gt; SOUS-SEGMENT'!$C$8:$C$154=$C19)*'ANALYSE - ERP =&gt; SOUS-SEGMENT'!$Q$8:$Q$154*'ANALYSE - ERP =&gt; SOUS-SEGMENT'!$BF$8:$BF$154*'ANALYSE - ERP =&gt; SOUS-SEGMENT'!$IZ$8:$IZ$154)/SUMPRODUCT(('ANALYSE - ERP =&gt; SOUS-SEGMENT'!$C$8:$C$154=$C19)*'ANALYSE - ERP =&gt; SOUS-SEGMENT'!$Q$8:$Q$154*'ANALYSE - ERP =&gt; SOUS-SEGMENT'!$BF$8:$BF$154),0)</f>
        <v>0</v>
      </c>
      <c r="IX19" s="748">
        <f>IFERROR(SUMPRODUCT(('ANALYSE - ERP =&gt; SOUS-SEGMENT'!$C$8:$C$154=$C19)*'ANALYSE - ERP =&gt; SOUS-SEGMENT'!$Q$8:$Q$154*'ANALYSE - ERP =&gt; SOUS-SEGMENT'!$BF$8:$BF$154*'ANALYSE - ERP =&gt; SOUS-SEGMENT'!$JA$8:$JA$154)/SUMPRODUCT(('ANALYSE - ERP =&gt; SOUS-SEGMENT'!$C$8:$C$154=$C19)*'ANALYSE - ERP =&gt; SOUS-SEGMENT'!$Q$8:$Q$154*'ANALYSE - ERP =&gt; SOUS-SEGMENT'!$BF$8:$BF$154),0)</f>
        <v>0</v>
      </c>
      <c r="IY19" s="748">
        <f>IFERROR(SUMPRODUCT(('ANALYSE - ERP =&gt; SOUS-SEGMENT'!$C$8:$C$154=$C19)*'ANALYSE - ERP =&gt; SOUS-SEGMENT'!$Q$8:$Q$154*'ANALYSE - ERP =&gt; SOUS-SEGMENT'!$BF$8:$BF$154*'ANALYSE - ERP =&gt; SOUS-SEGMENT'!$JB$8:$JB$154)/SUMPRODUCT(('ANALYSE - ERP =&gt; SOUS-SEGMENT'!$C$8:$C$154=$C19)*'ANALYSE - ERP =&gt; SOUS-SEGMENT'!$Q$8:$Q$154*'ANALYSE - ERP =&gt; SOUS-SEGMENT'!$BF$8:$BF$154),0)</f>
        <v>0</v>
      </c>
      <c r="IZ19" s="749">
        <f>IFERROR(SUMPRODUCT(('ANALYSE - ERP =&gt; SOUS-SEGMENT'!$C$8:$C$154=$C19)*'ANALYSE - ERP =&gt; SOUS-SEGMENT'!$Q$8:$Q$154*'ANALYSE - ERP =&gt; SOUS-SEGMENT'!$BF$8:$BF$154*'ANALYSE - ERP =&gt; SOUS-SEGMENT'!$JC$8:$JC$154)/SUMPRODUCT(('ANALYSE - ERP =&gt; SOUS-SEGMENT'!$C$8:$C$154=$C19)*'ANALYSE - ERP =&gt; SOUS-SEGMENT'!$Q$8:$Q$154*'ANALYSE - ERP =&gt; SOUS-SEGMENT'!$BF$8:$BF$154),0)</f>
        <v>0</v>
      </c>
      <c r="JA19" s="748">
        <f>IFERROR(SUMPRODUCT(('ANALYSE - ERP =&gt; SOUS-SEGMENT'!$C$8:$C$154=$C19)*'ANALYSE - ERP =&gt; SOUS-SEGMENT'!$Q$8:$Q$154*'ANALYSE - ERP =&gt; SOUS-SEGMENT'!$FE$8:$FE$154*'ANALYSE - ERP =&gt; SOUS-SEGMENT'!$JD$8:$JD$154)/SUMPRODUCT(('ANALYSE - ERP =&gt; SOUS-SEGMENT'!$C$8:$C$154=$C19)*'ANALYSE - ERP =&gt; SOUS-SEGMENT'!$Q$8:$Q$154*'ANALYSE - ERP =&gt; SOUS-SEGMENT'!$FE$8:$FE$154),0)</f>
        <v>0</v>
      </c>
      <c r="JB19" s="748">
        <f>IFERROR(SUMPRODUCT(('ANALYSE - ERP =&gt; SOUS-SEGMENT'!$C$8:$C$154=$C19)*'ANALYSE - ERP =&gt; SOUS-SEGMENT'!$Q$8:$Q$154*'ANALYSE - ERP =&gt; SOUS-SEGMENT'!$FE$8:$FE$154*'ANALYSE - ERP =&gt; SOUS-SEGMENT'!$JE$8:$JE$154)/SUMPRODUCT(('ANALYSE - ERP =&gt; SOUS-SEGMENT'!$C$8:$C$154=$C19)*'ANALYSE - ERP =&gt; SOUS-SEGMENT'!$Q$8:$Q$154*'ANALYSE - ERP =&gt; SOUS-SEGMENT'!$FE$8:$FE$154),0)</f>
        <v>0</v>
      </c>
      <c r="JC19" s="748">
        <f>IFERROR(SUMPRODUCT(('ANALYSE - ERP =&gt; SOUS-SEGMENT'!$C$8:$C$154=$C19)*'ANALYSE - ERP =&gt; SOUS-SEGMENT'!$Q$8:$Q$154*'ANALYSE - ERP =&gt; SOUS-SEGMENT'!$FE$8:$FE$154*'ANALYSE - ERP =&gt; SOUS-SEGMENT'!$JF$8:$JF$154)/SUMPRODUCT(('ANALYSE - ERP =&gt; SOUS-SEGMENT'!$C$8:$C$154=$C19)*'ANALYSE - ERP =&gt; SOUS-SEGMENT'!$Q$8:$Q$154*'ANALYSE - ERP =&gt; SOUS-SEGMENT'!$FE$8:$FE$154),0)</f>
        <v>0</v>
      </c>
      <c r="JD19" s="748">
        <f>IFERROR(SUMPRODUCT(('ANALYSE - ERP =&gt; SOUS-SEGMENT'!$C$8:$C$154=$C19)*'ANALYSE - ERP =&gt; SOUS-SEGMENT'!$Q$8:$Q$154*'ANALYSE - ERP =&gt; SOUS-SEGMENT'!$FE$8:$FE$154*'ANALYSE - ERP =&gt; SOUS-SEGMENT'!$JG$8:$JG$154)/SUMPRODUCT(('ANALYSE - ERP =&gt; SOUS-SEGMENT'!$C$8:$C$154=$C19)*'ANALYSE - ERP =&gt; SOUS-SEGMENT'!$Q$8:$Q$154*'ANALYSE - ERP =&gt; SOUS-SEGMENT'!$FE$8:$FE$154),0)</f>
        <v>0</v>
      </c>
      <c r="JE19" s="748">
        <f>IFERROR(SUMPRODUCT(('ANALYSE - ERP =&gt; SOUS-SEGMENT'!$C$8:$C$154=$C19)*'ANALYSE - ERP =&gt; SOUS-SEGMENT'!$Q$8:$Q$154*'ANALYSE - ERP =&gt; SOUS-SEGMENT'!$FE$8:$FE$154*'ANALYSE - ERP =&gt; SOUS-SEGMENT'!$JH$8:$JH$154)/SUMPRODUCT(('ANALYSE - ERP =&gt; SOUS-SEGMENT'!$C$8:$C$154=$C19)*'ANALYSE - ERP =&gt; SOUS-SEGMENT'!$Q$8:$Q$154*'ANALYSE - ERP =&gt; SOUS-SEGMENT'!$FE$8:$FE$154),0)</f>
        <v>0</v>
      </c>
      <c r="JF19" s="771">
        <f>IFERROR(SUMPRODUCT(('ANALYSE - ERP =&gt; SOUS-SEGMENT'!$C$8:$C$154=$C19)*'ANALYSE - ERP =&gt; SOUS-SEGMENT'!$Q$8:$Q$154*'ANALYSE - ERP =&gt; SOUS-SEGMENT'!$BG$8:$BG$154*'ANALYSE - ERP =&gt; SOUS-SEGMENT'!$JI$8:$JI$154)/SUMPRODUCT(('ANALYSE - ERP =&gt; SOUS-SEGMENT'!$C$8:$C$154=$C19)*'ANALYSE - ERP =&gt; SOUS-SEGMENT'!$Q$8:$Q$154*'ANALYSE - ERP =&gt; SOUS-SEGMENT'!$BG$8:$BG$154),0)</f>
        <v>5.6492773562333051E-2</v>
      </c>
      <c r="JG19" s="748">
        <f>IFERROR(SUMPRODUCT(('ANALYSE - ERP =&gt; SOUS-SEGMENT'!$C$8:$C$154=$C19)*'ANALYSE - ERP =&gt; SOUS-SEGMENT'!$Q$8:$Q$154*'ANALYSE - ERP =&gt; SOUS-SEGMENT'!$BG$8:$BG$154*'ANALYSE - ERP =&gt; SOUS-SEGMENT'!$JJ$8:$JJ$154)/SUMPRODUCT(('ANALYSE - ERP =&gt; SOUS-SEGMENT'!$C$8:$C$154=$C19)*'ANALYSE - ERP =&gt; SOUS-SEGMENT'!$Q$8:$Q$154*'ANALYSE - ERP =&gt; SOUS-SEGMENT'!$BG$8:$BG$154),0)</f>
        <v>0.46372161703731624</v>
      </c>
      <c r="JH19" s="748">
        <f>IFERROR(SUMPRODUCT(('ANALYSE - ERP =&gt; SOUS-SEGMENT'!$C$8:$C$154=$C19)*'ANALYSE - ERP =&gt; SOUS-SEGMENT'!$Q$8:$Q$154*'ANALYSE - ERP =&gt; SOUS-SEGMENT'!$BG$8:$BG$154*'ANALYSE - ERP =&gt; SOUS-SEGMENT'!$JK$8:$JK$154)/SUMPRODUCT(('ANALYSE - ERP =&gt; SOUS-SEGMENT'!$C$8:$C$154=$C19)*'ANALYSE - ERP =&gt; SOUS-SEGMENT'!$Q$8:$Q$154*'ANALYSE - ERP =&gt; SOUS-SEGMENT'!$BG$8:$BG$154),0)</f>
        <v>0.37324670348579947</v>
      </c>
      <c r="JI19" s="748">
        <f>IFERROR(SUMPRODUCT(('ANALYSE - ERP =&gt; SOUS-SEGMENT'!$C$8:$C$154=$C19)*'ANALYSE - ERP =&gt; SOUS-SEGMENT'!$Q$8:$Q$154*'ANALYSE - ERP =&gt; SOUS-SEGMENT'!$BG$8:$BG$154*'ANALYSE - ERP =&gt; SOUS-SEGMENT'!$JL$8:$JL$154)/SUMPRODUCT(('ANALYSE - ERP =&gt; SOUS-SEGMENT'!$C$8:$C$154=$C19)*'ANALYSE - ERP =&gt; SOUS-SEGMENT'!$Q$8:$Q$154*'ANALYSE - ERP =&gt; SOUS-SEGMENT'!$BG$8:$BG$154),0)</f>
        <v>8.8101466756256255E-2</v>
      </c>
      <c r="JJ19" s="749">
        <f>IFERROR(SUMPRODUCT(('ANALYSE - ERP =&gt; SOUS-SEGMENT'!$C$8:$C$154=$C19)*'ANALYSE - ERP =&gt; SOUS-SEGMENT'!$Q$8:$Q$154*'ANALYSE - ERP =&gt; SOUS-SEGMENT'!$BG$8:$BG$154*'ANALYSE - ERP =&gt; SOUS-SEGMENT'!$JM$8:$JM$154)/SUMPRODUCT(('ANALYSE - ERP =&gt; SOUS-SEGMENT'!$C$8:$C$154=$C19)*'ANALYSE - ERP =&gt; SOUS-SEGMENT'!$Q$8:$Q$154*'ANALYSE - ERP =&gt; SOUS-SEGMENT'!$BG$8:$BG$154),0)</f>
        <v>1.8437439158294957E-2</v>
      </c>
      <c r="JK19" s="748">
        <f>IFERROR(SUMPRODUCT(('ANALYSE - ERP =&gt; SOUS-SEGMENT'!$C$8:$C$154=$C19)*'ANALYSE - ERP =&gt; SOUS-SEGMENT'!$Q$8:$Q$154*'ANALYSE - ERP =&gt; SOUS-SEGMENT'!$FH$8:$FH$154*'ANALYSE - ERP =&gt; SOUS-SEGMENT'!$JN$8:$JN$154)/SUMPRODUCT(('ANALYSE - ERP =&gt; SOUS-SEGMENT'!$C$8:$C$154=$C19)*'ANALYSE - ERP =&gt; SOUS-SEGMENT'!$Q$8:$Q$154*'ANALYSE - ERP =&gt; SOUS-SEGMENT'!$FH$8:$FH$154),0)</f>
        <v>1.4409838198788487E-2</v>
      </c>
      <c r="JL19" s="748">
        <f>IFERROR(SUMPRODUCT(('ANALYSE - ERP =&gt; SOUS-SEGMENT'!$C$8:$C$154=$C19)*'ANALYSE - ERP =&gt; SOUS-SEGMENT'!$Q$8:$Q$154*'ANALYSE - ERP =&gt; SOUS-SEGMENT'!$FH$8:$FH$154*'ANALYSE - ERP =&gt; SOUS-SEGMENT'!$JO$8:$JO$154)/SUMPRODUCT(('ANALYSE - ERP =&gt; SOUS-SEGMENT'!$C$8:$C$154=$C19)*'ANALYSE - ERP =&gt; SOUS-SEGMENT'!$Q$8:$Q$154*'ANALYSE - ERP =&gt; SOUS-SEGMENT'!$FH$8:$FH$154),0)</f>
        <v>0.39683573610805556</v>
      </c>
      <c r="JM19" s="748">
        <f>IFERROR(SUMPRODUCT(('ANALYSE - ERP =&gt; SOUS-SEGMENT'!$C$8:$C$154=$C19)*'ANALYSE - ERP =&gt; SOUS-SEGMENT'!$Q$8:$Q$154*'ANALYSE - ERP =&gt; SOUS-SEGMENT'!$FH$8:$FH$154*'ANALYSE - ERP =&gt; SOUS-SEGMENT'!$JP$8:$JP$154)/SUMPRODUCT(('ANALYSE - ERP =&gt; SOUS-SEGMENT'!$C$8:$C$154=$C19)*'ANALYSE - ERP =&gt; SOUS-SEGMENT'!$Q$8:$Q$154*'ANALYSE - ERP =&gt; SOUS-SEGMENT'!$FH$8:$FH$154),0)</f>
        <v>0.44948898497942946</v>
      </c>
      <c r="JN19" s="748">
        <f>IFERROR(SUMPRODUCT(('ANALYSE - ERP =&gt; SOUS-SEGMENT'!$C$8:$C$154=$C19)*'ANALYSE - ERP =&gt; SOUS-SEGMENT'!$Q$8:$Q$154*'ANALYSE - ERP =&gt; SOUS-SEGMENT'!$FH$8:$FH$154*'ANALYSE - ERP =&gt; SOUS-SEGMENT'!$JQ$8:$JQ$154)/SUMPRODUCT(('ANALYSE - ERP =&gt; SOUS-SEGMENT'!$C$8:$C$154=$C19)*'ANALYSE - ERP =&gt; SOUS-SEGMENT'!$Q$8:$Q$154*'ANALYSE - ERP =&gt; SOUS-SEGMENT'!$FH$8:$FH$154),0)</f>
        <v>0.11592915760378666</v>
      </c>
      <c r="JO19" s="748">
        <f>IFERROR(SUMPRODUCT(('ANALYSE - ERP =&gt; SOUS-SEGMENT'!$C$8:$C$154=$C19)*'ANALYSE - ERP =&gt; SOUS-SEGMENT'!$Q$8:$Q$154*'ANALYSE - ERP =&gt; SOUS-SEGMENT'!$FH$8:$FH$154*'ANALYSE - ERP =&gt; SOUS-SEGMENT'!$JR$8:$JR$154)/SUMPRODUCT(('ANALYSE - ERP =&gt; SOUS-SEGMENT'!$C$8:$C$154=$C19)*'ANALYSE - ERP =&gt; SOUS-SEGMENT'!$Q$8:$Q$154*'ANALYSE - ERP =&gt; SOUS-SEGMENT'!$FH$8:$FH$154),0)</f>
        <v>2.3336283109939831E-2</v>
      </c>
      <c r="JP19" s="771">
        <f>IFERROR(SUMPRODUCT(('ANALYSE - ERP =&gt; SOUS-SEGMENT'!$C$8:$C$154=$C19)*'ANALYSE - ERP =&gt; SOUS-SEGMENT'!$Q$8:$Q$154*'ANALYSE - ERP =&gt; SOUS-SEGMENT'!$BH$8:$BH$154*'ANALYSE - ERP =&gt; SOUS-SEGMENT'!$JS$8:$JS$154)/SUMPRODUCT(('ANALYSE - ERP =&gt; SOUS-SEGMENT'!$C$8:$C$154=$C19)*'ANALYSE - ERP =&gt; SOUS-SEGMENT'!$Q$8:$Q$154*'ANALYSE - ERP =&gt; SOUS-SEGMENT'!$BH$8:$BH$154),0)</f>
        <v>2.7229244204179229E-2</v>
      </c>
      <c r="JQ19" s="748">
        <f>IFERROR(SUMPRODUCT(('ANALYSE - ERP =&gt; SOUS-SEGMENT'!$C$8:$C$154=$C19)*'ANALYSE - ERP =&gt; SOUS-SEGMENT'!$Q$8:$Q$154*'ANALYSE - ERP =&gt; SOUS-SEGMENT'!$BH$8:$BH$154*'ANALYSE - ERP =&gt; SOUS-SEGMENT'!$JT$8:$JT$154)/SUMPRODUCT(('ANALYSE - ERP =&gt; SOUS-SEGMENT'!$C$8:$C$154=$C19)*'ANALYSE - ERP =&gt; SOUS-SEGMENT'!$Q$8:$Q$154*'ANALYSE - ERP =&gt; SOUS-SEGMENT'!$BH$8:$BH$154),0)</f>
        <v>0.37513043975465227</v>
      </c>
      <c r="JR19" s="748">
        <f>IFERROR(SUMPRODUCT(('ANALYSE - ERP =&gt; SOUS-SEGMENT'!$C$8:$C$154=$C19)*'ANALYSE - ERP =&gt; SOUS-SEGMENT'!$Q$8:$Q$154*'ANALYSE - ERP =&gt; SOUS-SEGMENT'!$BH$8:$BH$154*'ANALYSE - ERP =&gt; SOUS-SEGMENT'!$JU$8:$JU$154)/SUMPRODUCT(('ANALYSE - ERP =&gt; SOUS-SEGMENT'!$C$8:$C$154=$C19)*'ANALYSE - ERP =&gt; SOUS-SEGMENT'!$Q$8:$Q$154*'ANALYSE - ERP =&gt; SOUS-SEGMENT'!$BH$8:$BH$154),0)</f>
        <v>0.44626775132550156</v>
      </c>
      <c r="JS19" s="748">
        <f>IFERROR(SUMPRODUCT(('ANALYSE - ERP =&gt; SOUS-SEGMENT'!$C$8:$C$154=$C19)*'ANALYSE - ERP =&gt; SOUS-SEGMENT'!$Q$8:$Q$154*'ANALYSE - ERP =&gt; SOUS-SEGMENT'!$BH$8:$BH$154*'ANALYSE - ERP =&gt; SOUS-SEGMENT'!$JV$8:$JV$154)/SUMPRODUCT(('ANALYSE - ERP =&gt; SOUS-SEGMENT'!$C$8:$C$154=$C19)*'ANALYSE - ERP =&gt; SOUS-SEGMENT'!$Q$8:$Q$154*'ANALYSE - ERP =&gt; SOUS-SEGMENT'!$BH$8:$BH$154),0)</f>
        <v>0.12693146896766816</v>
      </c>
      <c r="JT19" s="749">
        <f>IFERROR(SUMPRODUCT(('ANALYSE - ERP =&gt; SOUS-SEGMENT'!$C$8:$C$154=$C19)*'ANALYSE - ERP =&gt; SOUS-SEGMENT'!$Q$8:$Q$154*'ANALYSE - ERP =&gt; SOUS-SEGMENT'!$BH$8:$BH$154*'ANALYSE - ERP =&gt; SOUS-SEGMENT'!$JW$8:$JW$154)/SUMPRODUCT(('ANALYSE - ERP =&gt; SOUS-SEGMENT'!$C$8:$C$154=$C19)*'ANALYSE - ERP =&gt; SOUS-SEGMENT'!$Q$8:$Q$154*'ANALYSE - ERP =&gt; SOUS-SEGMENT'!$BH$8:$BH$154),0)</f>
        <v>2.4441095747998753E-2</v>
      </c>
      <c r="JU19" s="771">
        <f>IFERROR(SUMPRODUCT(('ANALYSE - ERP =&gt; SOUS-SEGMENT'!$C$8:$C$154=$C19)*'ANALYSE - ERP =&gt; SOUS-SEGMENT'!$Q$8:$Q$154*'ANALYSE - ERP =&gt; SOUS-SEGMENT'!$FK$8:$FK$154*'ANALYSE - ERP =&gt; SOUS-SEGMENT'!$JX$8:$JX$154)/SUMPRODUCT(('ANALYSE - ERP =&gt; SOUS-SEGMENT'!$C$8:$C$154=$C19)*'ANALYSE - ERP =&gt; SOUS-SEGMENT'!$Q$8:$Q$154*'ANALYSE - ERP =&gt; SOUS-SEGMENT'!$FK$8:$FK$154),0)</f>
        <v>2.9323013622190087E-3</v>
      </c>
      <c r="JV19" s="748">
        <f>IFERROR(SUMPRODUCT(('ANALYSE - ERP =&gt; SOUS-SEGMENT'!$C$8:$C$154=$C19)*'ANALYSE - ERP =&gt; SOUS-SEGMENT'!$Q$8:$Q$154*'ANALYSE - ERP =&gt; SOUS-SEGMENT'!$FK$8:$FK$154*'ANALYSE - ERP =&gt; SOUS-SEGMENT'!$JY$8:$JY$154)/SUMPRODUCT(('ANALYSE - ERP =&gt; SOUS-SEGMENT'!$C$8:$C$154=$C19)*'ANALYSE - ERP =&gt; SOUS-SEGMENT'!$Q$8:$Q$154*'ANALYSE - ERP =&gt; SOUS-SEGMENT'!$FK$8:$FK$154),0)</f>
        <v>0.2884032820190276</v>
      </c>
      <c r="JW19" s="748">
        <f>IFERROR(SUMPRODUCT(('ANALYSE - ERP =&gt; SOUS-SEGMENT'!$C$8:$C$154=$C19)*'ANALYSE - ERP =&gt; SOUS-SEGMENT'!$Q$8:$Q$154*'ANALYSE - ERP =&gt; SOUS-SEGMENT'!$FK$8:$FK$154*'ANALYSE - ERP =&gt; SOUS-SEGMENT'!$JZ$8:$JZ$154)/SUMPRODUCT(('ANALYSE - ERP =&gt; SOUS-SEGMENT'!$C$8:$C$154=$C19)*'ANALYSE - ERP =&gt; SOUS-SEGMENT'!$Q$8:$Q$154*'ANALYSE - ERP =&gt; SOUS-SEGMENT'!$FK$8:$FK$154),0)</f>
        <v>0.51117123044315316</v>
      </c>
      <c r="JX19" s="748">
        <f>IFERROR(SUMPRODUCT(('ANALYSE - ERP =&gt; SOUS-SEGMENT'!$C$8:$C$154=$C19)*'ANALYSE - ERP =&gt; SOUS-SEGMENT'!$Q$8:$Q$154*'ANALYSE - ERP =&gt; SOUS-SEGMENT'!$FK$8:$FK$154*'ANALYSE - ERP =&gt; SOUS-SEGMENT'!$KA$8:$KA$154)/SUMPRODUCT(('ANALYSE - ERP =&gt; SOUS-SEGMENT'!$C$8:$C$154=$C19)*'ANALYSE - ERP =&gt; SOUS-SEGMENT'!$Q$8:$Q$154*'ANALYSE - ERP =&gt; SOUS-SEGMENT'!$FK$8:$FK$154),0)</f>
        <v>0.1667658397626314</v>
      </c>
      <c r="JY19" s="775">
        <f>IFERROR(SUMPRODUCT(('ANALYSE - ERP =&gt; SOUS-SEGMENT'!$C$8:$C$154=$C19)*'ANALYSE - ERP =&gt; SOUS-SEGMENT'!$Q$8:$Q$154*'ANALYSE - ERP =&gt; SOUS-SEGMENT'!$FK$8:$FK$154*'ANALYSE - ERP =&gt; SOUS-SEGMENT'!$KB$8:$KB$154)/SUMPRODUCT(('ANALYSE - ERP =&gt; SOUS-SEGMENT'!$C$8:$C$154=$C19)*'ANALYSE - ERP =&gt; SOUS-SEGMENT'!$Q$8:$Q$154*'ANALYSE - ERP =&gt; SOUS-SEGMENT'!$FK$8:$FK$154),0)</f>
        <v>3.072734641296896E-2</v>
      </c>
      <c r="JZ19" s="657"/>
      <c r="KA19" s="298" t="s">
        <v>2591</v>
      </c>
      <c r="KB19" s="298" t="s">
        <v>2625</v>
      </c>
      <c r="KC19" s="888">
        <f>IFERROR(SUMPRODUCT(('ANALYSE - ERP =&gt; SOUS-SEGMENT'!$C$8:$C$154=$C20)*'ANALYSE - ERP =&gt; SOUS-SEGMENT'!$Q$8:$Q$154*'ANALYSE - ERP =&gt; SOUS-SEGMENT'!$EX$8:$EX$154*'ANALYSE - ERP =&gt; SOUS-SEGMENT'!$KF$8:$KF$154)/SUMPRODUCT(('ANALYSE - ERP =&gt; SOUS-SEGMENT'!$C$8:$C$154=$C20)*'ANALYSE - ERP =&gt; SOUS-SEGMENT'!$Q$8:$Q$154*'ANALYSE - ERP =&gt; SOUS-SEGMENT'!$EX$8:$EX$154),"")</f>
        <v>4.0999999999999996</v>
      </c>
      <c r="KD19" s="298" t="s">
        <v>2589</v>
      </c>
      <c r="KE19" s="300" t="s">
        <v>3927</v>
      </c>
      <c r="KF19" s="620" t="s">
        <v>6760</v>
      </c>
      <c r="KG19" s="300" t="s">
        <v>6760</v>
      </c>
    </row>
    <row r="20" spans="1:293" ht="108" customHeight="1">
      <c r="A20" s="273">
        <v>16</v>
      </c>
      <c r="B20" s="485" t="s">
        <v>2187</v>
      </c>
      <c r="C20" s="485" t="s">
        <v>1435</v>
      </c>
      <c r="D20" s="485" t="s">
        <v>7021</v>
      </c>
      <c r="E20" s="275" t="s">
        <v>7022</v>
      </c>
      <c r="F20" s="275" t="s">
        <v>7023</v>
      </c>
      <c r="G20" s="275" t="s">
        <v>300</v>
      </c>
      <c r="H20" s="275" t="s">
        <v>2109</v>
      </c>
      <c r="I20" s="276" t="s">
        <v>7024</v>
      </c>
      <c r="J20" s="276" t="s">
        <v>7025</v>
      </c>
      <c r="K20" s="277" t="s">
        <v>2097</v>
      </c>
      <c r="L20" s="277" t="s">
        <v>2109</v>
      </c>
      <c r="M20" s="277" t="s">
        <v>7026</v>
      </c>
      <c r="N20" s="277" t="s">
        <v>6742</v>
      </c>
      <c r="O20" s="277" t="s">
        <v>3170</v>
      </c>
      <c r="P20" s="276"/>
      <c r="Q20" s="270">
        <f>IF(SUMPRODUCT(('ANALYSE - ERP =&gt; SOUS-SEGMENT'!$C$8:$C$154=$C20)*'ANALYSE - ERP =&gt; SOUS-SEGMENT'!$Q$8:$Q$154)&gt;0,1,0)</f>
        <v>1</v>
      </c>
      <c r="R20" s="278">
        <f>IFERROR(SUMPRODUCT(('ANALYSE - ERP =&gt; SOUS-SEGMENT'!$C$8:$C$154=$C20)*'ANALYSE - ERP =&gt; SOUS-SEGMENT'!$Q$8:$Q$154*'ANALYSE - ERP =&gt; SOUS-SEGMENT'!$AG$8:$AG$154*'ANALYSE - ERP =&gt; SOUS-SEGMENT'!$R$8:$R$154)/SUMPRODUCT(('ANALYSE - ERP =&gt; SOUS-SEGMENT'!$C$8:$C$154=$C20)*'ANALYSE - ERP =&gt; SOUS-SEGMENT'!$Q$8:$Q$154*'ANALYSE - ERP =&gt; SOUS-SEGMENT'!$AG$8:$AG$154),"")</f>
        <v>1516.1954624781849</v>
      </c>
      <c r="S20" s="279">
        <f>SUMPRODUCT(('ANALYSE - ERP =&gt; SOUS-SEGMENT'!$C$8:$C$154=$C20)*'ANALYSE - ERP =&gt; SOUS-SEGMENT'!$Q$8:$Q$154*'ANALYSE - ERP =&gt; SOUS-SEGMENT'!$S$8:$S$154)</f>
        <v>3922</v>
      </c>
      <c r="T20" s="279">
        <f>SUMPRODUCT(('ANALYSE - ERP =&gt; SOUS-SEGMENT'!$C$8:$C$154=$C20)*'ANALYSE - ERP =&gt; SOUS-SEGMENT'!$Q$8:$Q$154*'ANALYSE - ERP =&gt; SOUS-SEGMENT'!$T$8:$T$154)</f>
        <v>3707</v>
      </c>
      <c r="U20" s="279">
        <f>SUMPRODUCT(('ANALYSE - ERP =&gt; SOUS-SEGMENT'!$C$8:$C$154=$C20)*'ANALYSE - ERP =&gt; SOUS-SEGMENT'!$Q$8:$Q$154*'ANALYSE - ERP =&gt; SOUS-SEGMENT'!$U$8:$U$154)</f>
        <v>3474</v>
      </c>
      <c r="V20" s="279">
        <f>SUMPRODUCT(('ANALYSE - ERP =&gt; SOUS-SEGMENT'!$C$8:$C$154=$C20)*'ANALYSE - ERP =&gt; SOUS-SEGMENT'!$Q$8:$Q$154*'ANALYSE - ERP =&gt; SOUS-SEGMENT'!$V$8:$V$154)</f>
        <v>3167</v>
      </c>
      <c r="W20" s="279">
        <f>SUMPRODUCT(('ANALYSE - ERP =&gt; SOUS-SEGMENT'!$C$8:$C$154=$C20)*'ANALYSE - ERP =&gt; SOUS-SEGMENT'!$Q$8:$Q$154*'ANALYSE - ERP =&gt; SOUS-SEGMENT'!$W$8:$W$154)</f>
        <v>3056</v>
      </c>
      <c r="X20" s="279">
        <f>SUMPRODUCT(('ANALYSE - ERP =&gt; SOUS-SEGMENT'!$C$8:$C$154=$C20)*'ANALYSE - ERP =&gt; SOUS-SEGMENT'!$Q$8:$Q$154*'ANALYSE - ERP =&gt; SOUS-SEGMENT'!$X$8:$X$154)</f>
        <v>2996</v>
      </c>
      <c r="Y20" s="279">
        <f>SUMPRODUCT(('ANALYSE - ERP =&gt; SOUS-SEGMENT'!$C$8:$C$154=$C20)*'ANALYSE - ERP =&gt; SOUS-SEGMENT'!$Q$8:$Q$154*'ANALYSE - ERP =&gt; SOUS-SEGMENT'!$Y$8:$Y$154)</f>
        <v>2955</v>
      </c>
      <c r="Z20" s="279">
        <f>SUMPRODUCT(('ANALYSE - ERP =&gt; SOUS-SEGMENT'!$C$8:$C$154=$C20)*'ANALYSE - ERP =&gt; SOUS-SEGMENT'!$Q$8:$Q$154*'ANALYSE - ERP =&gt; SOUS-SEGMENT'!$Z$8:$Z$154)</f>
        <v>2916</v>
      </c>
      <c r="AA20" s="279">
        <f>SUMPRODUCT(('ANALYSE - ERP =&gt; SOUS-SEGMENT'!$C$8:$C$154=$C20)*'ANALYSE - ERP =&gt; SOUS-SEGMENT'!$Q$8:$Q$154*'ANALYSE - ERP =&gt; SOUS-SEGMENT'!$AA$8:$AA$154)</f>
        <v>2727</v>
      </c>
      <c r="AB20" s="279">
        <f>SUMPRODUCT(('ANALYSE - ERP =&gt; SOUS-SEGMENT'!$C$8:$C$154=$C20)*'ANALYSE - ERP =&gt; SOUS-SEGMENT'!$Q$8:$Q$154*'ANALYSE - ERP =&gt; SOUS-SEGMENT'!$AB$8:$AB$154)</f>
        <v>2711</v>
      </c>
      <c r="AC20" s="279">
        <f>SUMPRODUCT(('ANALYSE - ERP =&gt; SOUS-SEGMENT'!$C$8:$C$154=$C20)*'ANALYSE - ERP =&gt; SOUS-SEGMENT'!$Q$8:$Q$154*'ANALYSE - ERP =&gt; SOUS-SEGMENT'!$AC$8:$AC$154)</f>
        <v>2766</v>
      </c>
      <c r="AD20" s="279">
        <f>SUMPRODUCT(('ANALYSE - ERP =&gt; SOUS-SEGMENT'!$C$8:$C$154=$C20)*'ANALYSE - ERP =&gt; SOUS-SEGMENT'!$Q$8:$Q$154*'ANALYSE - ERP =&gt; SOUS-SEGMENT'!$AD$8:$AD$154)</f>
        <v>2806</v>
      </c>
      <c r="AE20" s="279">
        <f>SUMPRODUCT(('ANALYSE - ERP =&gt; SOUS-SEGMENT'!$C$8:$C$154=$C20)*'ANALYSE - ERP =&gt; SOUS-SEGMENT'!$Q$8:$Q$154*'ANALYSE - ERP =&gt; SOUS-SEGMENT'!$AE$8:$AE$154)</f>
        <v>2835</v>
      </c>
      <c r="AF20" s="279">
        <f>SUMPRODUCT(('ANALYSE - ERP =&gt; SOUS-SEGMENT'!$C$8:$C$154=$C20)*'ANALYSE - ERP =&gt; SOUS-SEGMENT'!$Q$8:$Q$154*'ANALYSE - ERP =&gt; SOUS-SEGMENT'!$AF$8:$AF$154)</f>
        <v>2865</v>
      </c>
      <c r="AG20" s="279">
        <f>SUMPRODUCT(('ANALYSE - ERP =&gt; SOUS-SEGMENT'!$C$8:$C$154=$C20)*'ANALYSE - ERP =&gt; SOUS-SEGMENT'!$Q$8:$Q$154*'ANALYSE - ERP =&gt; SOUS-SEGMENT'!$AG$8:$AG$154)</f>
        <v>2865</v>
      </c>
      <c r="AH20" s="279">
        <f>SUMPRODUCT(('ANALYSE - ERP =&gt; SOUS-SEGMENT'!$C$8:$C$154=$C20)*'ANALYSE - ERP =&gt; SOUS-SEGMENT'!$Q$8:$Q$154*'ANALYSE - ERP =&gt; SOUS-SEGMENT'!$AH$8:$AH$154)</f>
        <v>2866</v>
      </c>
      <c r="AI20" s="279">
        <f>SUMPRODUCT(('ANALYSE - ERP =&gt; SOUS-SEGMENT'!$C$8:$C$154=$C20)*'ANALYSE - ERP =&gt; SOUS-SEGMENT'!$Q$8:$Q$154*'ANALYSE - ERP =&gt; SOUS-SEGMENT'!$AI$8:$AI$154)</f>
        <v>2867</v>
      </c>
      <c r="AJ20" s="279">
        <f>SUMPRODUCT(('ANALYSE - ERP =&gt; SOUS-SEGMENT'!$C$8:$C$154=$C20)*'ANALYSE - ERP =&gt; SOUS-SEGMENT'!$Q$8:$Q$154*'ANALYSE - ERP =&gt; SOUS-SEGMENT'!$AJ$8:$AJ$154)</f>
        <v>2867</v>
      </c>
      <c r="AK20" s="279">
        <f>SUMPRODUCT(('ANALYSE - ERP =&gt; SOUS-SEGMENT'!$C$8:$C$154=$C20)*'ANALYSE - ERP =&gt; SOUS-SEGMENT'!$Q$8:$Q$154*'ANALYSE - ERP =&gt; SOUS-SEGMENT'!$AK$8:$AK$154)</f>
        <v>2867</v>
      </c>
      <c r="AL20" s="276" t="s">
        <v>7027</v>
      </c>
      <c r="AM20" s="276" t="s">
        <v>7028</v>
      </c>
      <c r="AN20" s="276" t="s">
        <v>7029</v>
      </c>
      <c r="AO20" s="657"/>
      <c r="AP20" s="278">
        <f>IFERROR(SUMPRODUCT(('ANALYSE - ERP =&gt; SOUS-SEGMENT'!$C$8:$C$154=$C20)*'ANALYSE - ERP =&gt; SOUS-SEGMENT'!$Q$8:$Q$154*'ANALYSE - ERP =&gt; SOUS-SEGMENT'!$AG$8:$AG$154*'ANALYSE - ERP =&gt; SOUS-SEGMENT'!$AP$8:$AP$154)/SUMPRODUCT(('ANALYSE - ERP =&gt; SOUS-SEGMENT'!$C$8:$C$154=$C20)*'ANALYSE - ERP =&gt; SOUS-SEGMENT'!$Q$8:$Q$154*'ANALYSE - ERP =&gt; SOUS-SEGMENT'!$AG$8:$AG$154),"")</f>
        <v>430.78534031413614</v>
      </c>
      <c r="AQ20" s="278">
        <f>IFERROR(SUMPRODUCT(('ANALYSE - ERP =&gt; SOUS-SEGMENT'!$C$8:$C$154=$C20)*'ANALYSE - ERP =&gt; SOUS-SEGMENT'!$Q$8:$Q$154*'ANALYSE - ERP =&gt; SOUS-SEGMENT'!$AF$8:$AF$154*'ANALYSE - ERP =&gt; SOUS-SEGMENT'!$AQ$8:$AQ$154)/SUMPRODUCT(('ANALYSE - ERP =&gt; SOUS-SEGMENT'!$C$8:$C$154=$C20)*'ANALYSE - ERP =&gt; SOUS-SEGMENT'!$Q$8:$Q$154*'ANALYSE - ERP =&gt; SOUS-SEGMENT'!$AF$8:$AF$154),"")</f>
        <v>361.5455497382199</v>
      </c>
      <c r="AR20" s="973">
        <f>IFERROR(SUMPRODUCT(('ANALYSE - ERP =&gt; SOUS-SEGMENT'!$C$8:$C$154=$C20)*'ANALYSE - ERP =&gt; SOUS-SEGMENT'!$Q$8:$Q$154*'ANALYSE - ERP =&gt; SOUS-SEGMENT'!$AF$8:$AF$154*'ANALYSE - ERP =&gt; SOUS-SEGMENT'!$AR$8:$AR$154)/SUMPRODUCT(('ANALYSE - ERP =&gt; SOUS-SEGMENT'!$C$8:$C$154=$C20)*'ANALYSE - ERP =&gt; SOUS-SEGMENT'!$Q$8:$Q$154*'ANALYSE - ERP =&gt; SOUS-SEGMENT'!$AF$8:$AF$154),"")</f>
        <v>48.945200698080278</v>
      </c>
      <c r="AS20" s="973">
        <f>IFERROR(SUMPRODUCT(('ANALYSE - ERP =&gt; SOUS-SEGMENT'!$C$8:$C$154=$C20)*'ANALYSE - ERP =&gt; SOUS-SEGMENT'!$Q$8:$Q$154*'ANALYSE - ERP =&gt; SOUS-SEGMENT'!$AF$8:$AF$154*'ANALYSE - ERP =&gt; SOUS-SEGMENT'!$AS$8:$AS$154)/SUMPRODUCT(('ANALYSE - ERP =&gt; SOUS-SEGMENT'!$C$8:$C$154=$C20)*'ANALYSE - ERP =&gt; SOUS-SEGMENT'!$Q$8:$Q$154*'ANALYSE - ERP =&gt; SOUS-SEGMENT'!$AF$8:$AF$154),"")</f>
        <v>21.620942408376962</v>
      </c>
      <c r="AT20" s="657" t="s">
        <v>7030</v>
      </c>
      <c r="AU20" s="276" t="s">
        <v>7031</v>
      </c>
      <c r="AV20" s="296" t="s">
        <v>2609</v>
      </c>
      <c r="AW20" s="276"/>
      <c r="AX20" s="657"/>
      <c r="AY20" s="282">
        <f>IFERROR(SUMPRODUCT(('ANALYSE - ERP =&gt; SOUS-SEGMENT'!$C$8:$C$154=$C20)*'ANALYSE - ERP =&gt; SOUS-SEGMENT'!$Q$8:$Q$154*'ANALYSE - ERP =&gt; SOUS-SEGMENT'!$AF$8:$AF$154*'ANALYSE - ERP =&gt; SOUS-SEGMENT'!$AZ$8:$AZ$154)/SUMPRODUCT(('ANALYSE - ERP =&gt; SOUS-SEGMENT'!$C$8:$C$154=$C20)*'ANALYSE - ERP =&gt; SOUS-SEGMENT'!$Q$8:$Q$154*'ANALYSE - ERP =&gt; SOUS-SEGMENT'!$AF$8:$AF$154),"")</f>
        <v>16.35671902268761</v>
      </c>
      <c r="AZ20" s="947">
        <f>IFERROR(SUMPRODUCT(('ANALYSE - ERP =&gt; SOUS-SEGMENT'!$C$8:$C$154=$C20)*'ANALYSE - ERP =&gt; SOUS-SEGMENT'!$Q$8:$Q$154*'ANALYSE - ERP =&gt; SOUS-SEGMENT'!$AF$8:$AF$154*'ANALYSE - ERP =&gt; SOUS-SEGMENT'!$BA$8:$BA$154)/SUMPRODUCT(('ANALYSE - ERP =&gt; SOUS-SEGMENT'!$C$8:$C$154=$C20)*'ANALYSE - ERP =&gt; SOUS-SEGMENT'!$Q$8:$Q$154*'ANALYSE - ERP =&gt; SOUS-SEGMENT'!$AF$8:$AF$154),"")</f>
        <v>5.7591623036649213E-3</v>
      </c>
      <c r="BA20" s="282">
        <f>IFERROR(SUMPRODUCT(('ANALYSE - ERP =&gt; SOUS-SEGMENT'!$C$8:$C$154=$C20)*'ANALYSE - ERP =&gt; SOUS-SEGMENT'!$Q$8:$Q$154*'ANALYSE - ERP =&gt; SOUS-SEGMENT'!$AF$8:$AF$154*'ANALYSE - ERP =&gt; SOUS-SEGMENT'!$BB$8:$BB$154)/SUMPRODUCT(('ANALYSE - ERP =&gt; SOUS-SEGMENT'!$C$8:$C$154=$C20)*'ANALYSE - ERP =&gt; SOUS-SEGMENT'!$Q$8:$Q$154*'ANALYSE - ERP =&gt; SOUS-SEGMENT'!$AF$8:$AF$154),"")</f>
        <v>5.0139616055846421</v>
      </c>
      <c r="BB20" s="282">
        <f>IFERROR(SUMPRODUCT(('ANALYSE - ERP =&gt; SOUS-SEGMENT'!$C$8:$C$154=$C20)*'ANALYSE - ERP =&gt; SOUS-SEGMENT'!$Q$8:$Q$154*'ANALYSE - ERP =&gt; SOUS-SEGMENT'!$AF$8:$AF$154*'ANALYSE - ERP =&gt; SOUS-SEGMENT'!$BC$8:$BC$154)/SUMPRODUCT(('ANALYSE - ERP =&gt; SOUS-SEGMENT'!$C$8:$C$154=$C20)*'ANALYSE - ERP =&gt; SOUS-SEGMENT'!$Q$8:$Q$154*'ANALYSE - ERP =&gt; SOUS-SEGMENT'!$AF$8:$AF$154),"")</f>
        <v>14.868062827225131</v>
      </c>
      <c r="BC20" s="283">
        <f>SUMPRODUCT(('ANALYSE - ERP =&gt; SOUS-SEGMENT'!$C$8:$C$154=$C20)*'ANALYSE - ERP =&gt; SOUS-SEGMENT'!$Q$8:$Q$154*'ANALYSE - ERP =&gt; SOUS-SEGMENT'!$BE$8:$BE$154)</f>
        <v>46862</v>
      </c>
      <c r="BD20" s="283">
        <f>SUMPRODUCT(('ANALYSE - ERP =&gt; SOUS-SEGMENT'!$C$8:$C$154=$C20)*'ANALYSE - ERP =&gt; SOUS-SEGMENT'!$Q$8:$Q$154*'ANALYSE - ERP =&gt; SOUS-SEGMENT'!$BF$8:$BF$154)</f>
        <v>16.5</v>
      </c>
      <c r="BE20" s="283">
        <f>SUMPRODUCT(('ANALYSE - ERP =&gt; SOUS-SEGMENT'!$C$8:$C$154=$C20)*'ANALYSE - ERP =&gt; SOUS-SEGMENT'!$Q$8:$Q$154*'ANALYSE - ERP =&gt; SOUS-SEGMENT'!$BG$8:$BG$154)</f>
        <v>14365</v>
      </c>
      <c r="BF20" s="283">
        <f>SUMPRODUCT(('ANALYSE - ERP =&gt; SOUS-SEGMENT'!$C$8:$C$154=$C20)*'ANALYSE - ERP =&gt; SOUS-SEGMENT'!$Q$8:$Q$154*'ANALYSE - ERP =&gt; SOUS-SEGMENT'!$BH$8:$BH$154)</f>
        <v>42597</v>
      </c>
      <c r="BG20" s="283">
        <f>SUMPRODUCT(('ANALYSE - ERP =&gt; SOUS-SEGMENT'!$C$8:$C$154=$C20)*'ANALYSE - ERP =&gt; SOUS-SEGMENT'!$Q$8:$Q$154*'ANALYSE - ERP =&gt; SOUS-SEGMENT'!$BJ$8:$BJ$154)</f>
        <v>46094</v>
      </c>
      <c r="BH20" s="283">
        <f>SUMPRODUCT(('ANALYSE - ERP =&gt; SOUS-SEGMENT'!$C$8:$C$154=$C20)*'ANALYSE - ERP =&gt; SOUS-SEGMENT'!$Q$8:$Q$154*'ANALYSE - ERP =&gt; SOUS-SEGMENT'!$BK$8:$BK$154)</f>
        <v>17</v>
      </c>
      <c r="BI20" s="283">
        <f>SUMPRODUCT(('ANALYSE - ERP =&gt; SOUS-SEGMENT'!$C$8:$C$154=$C20)*'ANALYSE - ERP =&gt; SOUS-SEGMENT'!$Q$8:$Q$154*'ANALYSE - ERP =&gt; SOUS-SEGMENT'!$BL$8:$BL$154)</f>
        <v>14071</v>
      </c>
      <c r="BJ20" s="283">
        <f>SUMPRODUCT(('ANALYSE - ERP =&gt; SOUS-SEGMENT'!$C$8:$C$154=$C20)*'ANALYSE - ERP =&gt; SOUS-SEGMENT'!$Q$8:$Q$154*'ANALYSE - ERP =&gt; SOUS-SEGMENT'!$BM$8:$BM$154)</f>
        <v>41877</v>
      </c>
      <c r="BK20" s="657"/>
      <c r="BL20" s="580">
        <f>IFERROR(SUMPRODUCT(('ANALYSE - ERP =&gt; SOUS-SEGMENT'!$C$8:$C$154=$C20)*'ANALYSE - ERP =&gt; SOUS-SEGMENT'!$Q$8:$Q$154*'ANALYSE - ERP =&gt; SOUS-SEGMENT'!$BE$8:$BE$154*'ANALYSE - ERP =&gt; SOUS-SEGMENT'!$BO$8:$BO$154)/SUMPRODUCT(('ANALYSE - ERP =&gt; SOUS-SEGMENT'!$C$8:$C$154=$C20)*'ANALYSE - ERP =&gt; SOUS-SEGMENT'!$Q$8:$Q$154*'ANALYSE - ERP =&gt; SOUS-SEGMENT'!$BE$8:$BE$154),"")</f>
        <v>9.9999999999999992E-2</v>
      </c>
      <c r="BM20" s="305">
        <f>IFERROR(SUMPRODUCT(('ANALYSE - ERP =&gt; SOUS-SEGMENT'!$C$8:$C$154=$C20)*'ANALYSE - ERP =&gt; SOUS-SEGMENT'!$Q$8:$Q$154*'ANALYSE - ERP =&gt; SOUS-SEGMENT'!$BE$8:$BE$154*'ANALYSE - ERP =&gt; SOUS-SEGMENT'!$BP$8:$BP$154)/SUMPRODUCT(('ANALYSE - ERP =&gt; SOUS-SEGMENT'!$C$8:$C$154=$C20)*'ANALYSE - ERP =&gt; SOUS-SEGMENT'!$Q$8:$Q$154*'ANALYSE - ERP =&gt; SOUS-SEGMENT'!$BE$8:$BE$154),"")</f>
        <v>0.7599999999999999</v>
      </c>
      <c r="BN20" s="305">
        <f>IFERROR(SUMPRODUCT(('ANALYSE - ERP =&gt; SOUS-SEGMENT'!$C$8:$C$154=$C20)*'ANALYSE - ERP =&gt; SOUS-SEGMENT'!$Q$8:$Q$154*'ANALYSE - ERP =&gt; SOUS-SEGMENT'!$BE$8:$BE$154*'ANALYSE - ERP =&gt; SOUS-SEGMENT'!$BQ$8:$BQ$154)/SUMPRODUCT(('ANALYSE - ERP =&gt; SOUS-SEGMENT'!$C$8:$C$154=$C20)*'ANALYSE - ERP =&gt; SOUS-SEGMENT'!$Q$8:$Q$154*'ANALYSE - ERP =&gt; SOUS-SEGMENT'!$BE$8:$BE$154),"")</f>
        <v>0.08</v>
      </c>
      <c r="BO20" s="581">
        <f>IFERROR(SUMPRODUCT(('ANALYSE - ERP =&gt; SOUS-SEGMENT'!$C$8:$C$154=$C20)*'ANALYSE - ERP =&gt; SOUS-SEGMENT'!$Q$8:$Q$154*'ANALYSE - ERP =&gt; SOUS-SEGMENT'!$BE$8:$BE$154*'ANALYSE - ERP =&gt; SOUS-SEGMENT'!$BR$8:$BR$154)/SUMPRODUCT(('ANALYSE - ERP =&gt; SOUS-SEGMENT'!$C$8:$C$154=$C20)*'ANALYSE - ERP =&gt; SOUS-SEGMENT'!$Q$8:$Q$154*'ANALYSE - ERP =&gt; SOUS-SEGMENT'!$BE$8:$BE$154),"")</f>
        <v>6.0000000000000005E-2</v>
      </c>
      <c r="BP20" s="580">
        <f>IFERROR(SUMPRODUCT(('ANALYSE - ERP =&gt; SOUS-SEGMENT'!$C$8:$C$154=$C20)*'ANALYSE - ERP =&gt; SOUS-SEGMENT'!$Q$8:$Q$154*'ANALYSE - ERP =&gt; SOUS-SEGMENT'!$BJ$8:$BJ$154*'ANALYSE - ERP =&gt; SOUS-SEGMENT'!$BS$8:$BS$154)/SUMPRODUCT(('ANALYSE - ERP =&gt; SOUS-SEGMENT'!$C$8:$C$154=$C20)*'ANALYSE - ERP =&gt; SOUS-SEGMENT'!$Q$8:$Q$154*'ANALYSE - ERP =&gt; SOUS-SEGMENT'!$BJ$8:$BJ$154),"")</f>
        <v>0.08</v>
      </c>
      <c r="BQ20" s="305">
        <f>IFERROR(SUMPRODUCT(('ANALYSE - ERP =&gt; SOUS-SEGMENT'!$C$8:$C$154=$C20)*'ANALYSE - ERP =&gt; SOUS-SEGMENT'!$Q$8:$Q$154*'ANALYSE - ERP =&gt; SOUS-SEGMENT'!$BJ$8:$BJ$154*'ANALYSE - ERP =&gt; SOUS-SEGMENT'!$BT$8:$BT$154)/SUMPRODUCT(('ANALYSE - ERP =&gt; SOUS-SEGMENT'!$C$8:$C$154=$C20)*'ANALYSE - ERP =&gt; SOUS-SEGMENT'!$Q$8:$Q$154*'ANALYSE - ERP =&gt; SOUS-SEGMENT'!$BJ$8:$BJ$154),"")</f>
        <v>0.76</v>
      </c>
      <c r="BR20" s="305">
        <f>IFERROR(SUMPRODUCT(('ANALYSE - ERP =&gt; SOUS-SEGMENT'!$C$8:$C$154=$C20)*'ANALYSE - ERP =&gt; SOUS-SEGMENT'!$Q$8:$Q$154*'ANALYSE - ERP =&gt; SOUS-SEGMENT'!$BJ$8:$BJ$154*'ANALYSE - ERP =&gt; SOUS-SEGMENT'!$BU$8:$BU$154)/SUMPRODUCT(('ANALYSE - ERP =&gt; SOUS-SEGMENT'!$C$8:$C$154=$C20)*'ANALYSE - ERP =&gt; SOUS-SEGMENT'!$Q$8:$Q$154*'ANALYSE - ERP =&gt; SOUS-SEGMENT'!$BJ$8:$BJ$154),"")</f>
        <v>9.9999999999999992E-2</v>
      </c>
      <c r="BS20" s="581">
        <f>IFERROR(SUMPRODUCT(('ANALYSE - ERP =&gt; SOUS-SEGMENT'!$C$8:$C$154=$C20)*'ANALYSE - ERP =&gt; SOUS-SEGMENT'!$Q$8:$Q$154*'ANALYSE - ERP =&gt; SOUS-SEGMENT'!$BJ$8:$BJ$154*'ANALYSE - ERP =&gt; SOUS-SEGMENT'!$BV$8:$BV$154)/SUMPRODUCT(('ANALYSE - ERP =&gt; SOUS-SEGMENT'!$C$8:$C$154=$C20)*'ANALYSE - ERP =&gt; SOUS-SEGMENT'!$Q$8:$Q$154*'ANALYSE - ERP =&gt; SOUS-SEGMENT'!$BJ$8:$BJ$154),"")</f>
        <v>0.06</v>
      </c>
      <c r="BT20" s="589">
        <f>IFERROR(SUMPRODUCT(('ANALYSE - ERP =&gt; SOUS-SEGMENT'!$C$8:$C$154=$C20)*'ANALYSE - ERP =&gt; SOUS-SEGMENT'!$Q$8:$Q$154*'ANALYSE - ERP =&gt; SOUS-SEGMENT'!$BF$8:$BF$154*'ANALYSE - ERP =&gt; SOUS-SEGMENT'!$BW$8:$BW$154)/SUMPRODUCT(('ANALYSE - ERP =&gt; SOUS-SEGMENT'!$C$8:$C$154=$C20)*'ANALYSE - ERP =&gt; SOUS-SEGMENT'!$Q$8:$Q$154*'ANALYSE - ERP =&gt; SOUS-SEGMENT'!$BF$8:$BF$154),"")</f>
        <v>0.6</v>
      </c>
      <c r="BU20" s="306">
        <f>IFERROR(SUMPRODUCT(('ANALYSE - ERP =&gt; SOUS-SEGMENT'!$C$8:$C$154=$C20)*'ANALYSE - ERP =&gt; SOUS-SEGMENT'!$Q$8:$Q$154*'ANALYSE - ERP =&gt; SOUS-SEGMENT'!$BF$8:$BF$154*'ANALYSE - ERP =&gt; SOUS-SEGMENT'!$BX$8:$BX$154)/SUMPRODUCT(('ANALYSE - ERP =&gt; SOUS-SEGMENT'!$C$8:$C$154=$C20)*'ANALYSE - ERP =&gt; SOUS-SEGMENT'!$Q$8:$Q$154*'ANALYSE - ERP =&gt; SOUS-SEGMENT'!$BF$8:$BF$154),"")</f>
        <v>0.35</v>
      </c>
      <c r="BV20" s="590">
        <f>IFERROR(SUMPRODUCT(('ANALYSE - ERP =&gt; SOUS-SEGMENT'!$C$8:$C$154=$C20)*'ANALYSE - ERP =&gt; SOUS-SEGMENT'!$Q$8:$Q$154*'ANALYSE - ERP =&gt; SOUS-SEGMENT'!$BF$8:$BF$154*'ANALYSE - ERP =&gt; SOUS-SEGMENT'!$BY$8:$BY$154)/SUMPRODUCT(('ANALYSE - ERP =&gt; SOUS-SEGMENT'!$C$8:$C$154=$C20)*'ANALYSE - ERP =&gt; SOUS-SEGMENT'!$Q$8:$Q$154*'ANALYSE - ERP =&gt; SOUS-SEGMENT'!$BF$8:$BF$154),"")</f>
        <v>0.05</v>
      </c>
      <c r="BW20" s="589">
        <f>IFERROR(SUMPRODUCT(('ANALYSE - ERP =&gt; SOUS-SEGMENT'!$C$8:$C$154=$C20)*'ANALYSE - ERP =&gt; SOUS-SEGMENT'!$Q$8:$Q$154*'ANALYSE - ERP =&gt; SOUS-SEGMENT'!$BK$8:$BK$154*'ANALYSE - ERP =&gt; SOUS-SEGMENT'!$BZ$8:$BZ$154)/SUMPRODUCT(('ANALYSE - ERP =&gt; SOUS-SEGMENT'!$C$8:$C$154=$C20)*'ANALYSE - ERP =&gt; SOUS-SEGMENT'!$Q$8:$Q$154*'ANALYSE - ERP =&gt; SOUS-SEGMENT'!$BK$8:$BK$154),"")</f>
        <v>0.55000000000000004</v>
      </c>
      <c r="BX20" s="306">
        <f>IFERROR(SUMPRODUCT(('ANALYSE - ERP =&gt; SOUS-SEGMENT'!$C$8:$C$154=$C20)*'ANALYSE - ERP =&gt; SOUS-SEGMENT'!$Q$8:$Q$154*'ANALYSE - ERP =&gt; SOUS-SEGMENT'!$BK$8:$BK$154*'ANALYSE - ERP =&gt; SOUS-SEGMENT'!$CA$8:$CA$154)/SUMPRODUCT(('ANALYSE - ERP =&gt; SOUS-SEGMENT'!$C$8:$C$154=$C20)*'ANALYSE - ERP =&gt; SOUS-SEGMENT'!$Q$8:$Q$154*'ANALYSE - ERP =&gt; SOUS-SEGMENT'!$BK$8:$BK$154),"")</f>
        <v>0.38</v>
      </c>
      <c r="BY20" s="590">
        <f>IFERROR(SUMPRODUCT(('ANALYSE - ERP =&gt; SOUS-SEGMENT'!$C$8:$C$154=$C20)*'ANALYSE - ERP =&gt; SOUS-SEGMENT'!$Q$8:$Q$154*'ANALYSE - ERP =&gt; SOUS-SEGMENT'!$BK$8:$BK$154*'ANALYSE - ERP =&gt; SOUS-SEGMENT'!$CB$8:$CB$154)/SUMPRODUCT(('ANALYSE - ERP =&gt; SOUS-SEGMENT'!$C$8:$C$154=$C20)*'ANALYSE - ERP =&gt; SOUS-SEGMENT'!$Q$8:$Q$154*'ANALYSE - ERP =&gt; SOUS-SEGMENT'!$BK$8:$BK$154),"")</f>
        <v>7.0000000000000007E-2</v>
      </c>
      <c r="BZ20" s="580">
        <f>IFERROR(SUMPRODUCT(('ANALYSE - ERP =&gt; SOUS-SEGMENT'!$C$8:$C$154=$C20)*'ANALYSE - ERP =&gt; SOUS-SEGMENT'!$Q$8:$Q$154*'ANALYSE - ERP =&gt; SOUS-SEGMENT'!$BG$8:$BG$154*'ANALYSE - ERP =&gt; SOUS-SEGMENT'!$CC$8:$CC$154)/SUMPRODUCT(('ANALYSE - ERP =&gt; SOUS-SEGMENT'!$C$8:$C$154=$C20)*'ANALYSE - ERP =&gt; SOUS-SEGMENT'!$Q$8:$Q$154*'ANALYSE - ERP =&gt; SOUS-SEGMENT'!$BG$8:$BG$154),"")</f>
        <v>0.05</v>
      </c>
      <c r="CA20" s="305">
        <f>IFERROR(SUMPRODUCT(('ANALYSE - ERP =&gt; SOUS-SEGMENT'!$C$8:$C$154=$C20)*'ANALYSE - ERP =&gt; SOUS-SEGMENT'!$Q$8:$Q$154*'ANALYSE - ERP =&gt; SOUS-SEGMENT'!$BG$8:$BG$154*'ANALYSE - ERP =&gt; SOUS-SEGMENT'!$CD$8:$CD$154)/SUMPRODUCT(('ANALYSE - ERP =&gt; SOUS-SEGMENT'!$C$8:$C$154=$C20)*'ANALYSE - ERP =&gt; SOUS-SEGMENT'!$Q$8:$Q$154*'ANALYSE - ERP =&gt; SOUS-SEGMENT'!$BG$8:$BG$154),"")</f>
        <v>0.55000000000000004</v>
      </c>
      <c r="CB20" s="305">
        <f>IFERROR(SUMPRODUCT(('ANALYSE - ERP =&gt; SOUS-SEGMENT'!$C$8:$C$154=$C20)*'ANALYSE - ERP =&gt; SOUS-SEGMENT'!$Q$8:$Q$154*'ANALYSE - ERP =&gt; SOUS-SEGMENT'!$BG$8:$BG$154*'ANALYSE - ERP =&gt; SOUS-SEGMENT'!$CE$8:$CE$154)/SUMPRODUCT(('ANALYSE - ERP =&gt; SOUS-SEGMENT'!$C$8:$C$154=$C20)*'ANALYSE - ERP =&gt; SOUS-SEGMENT'!$Q$8:$Q$154*'ANALYSE - ERP =&gt; SOUS-SEGMENT'!$BG$8:$BG$154),"")</f>
        <v>0.1</v>
      </c>
      <c r="CC20" s="581">
        <f>IFERROR(SUMPRODUCT(('ANALYSE - ERP =&gt; SOUS-SEGMENT'!$C$8:$C$154=$C20)*'ANALYSE - ERP =&gt; SOUS-SEGMENT'!$Q$8:$Q$154*'ANALYSE - ERP =&gt; SOUS-SEGMENT'!$BG$8:$BG$154*'ANALYSE - ERP =&gt; SOUS-SEGMENT'!$CF$8:$CF$154)/SUMPRODUCT(('ANALYSE - ERP =&gt; SOUS-SEGMENT'!$C$8:$C$154=$C20)*'ANALYSE - ERP =&gt; SOUS-SEGMENT'!$Q$8:$Q$154*'ANALYSE - ERP =&gt; SOUS-SEGMENT'!$BG$8:$BG$154),"")</f>
        <v>0.3</v>
      </c>
      <c r="CD20" s="580">
        <f>IFERROR(SUMPRODUCT(('ANALYSE - ERP =&gt; SOUS-SEGMENT'!$C$8:$C$154=$C20)*'ANALYSE - ERP =&gt; SOUS-SEGMENT'!$Q$8:$Q$154*'ANALYSE - ERP =&gt; SOUS-SEGMENT'!$BL$8:$BL$154*'ANALYSE - ERP =&gt; SOUS-SEGMENT'!$CG$8:$CG$154)/SUMPRODUCT(('ANALYSE - ERP =&gt; SOUS-SEGMENT'!$C$8:$C$154=$C20)*'ANALYSE - ERP =&gt; SOUS-SEGMENT'!$Q$8:$Q$154*'ANALYSE - ERP =&gt; SOUS-SEGMENT'!$BL$8:$BL$154),"")</f>
        <v>0.04</v>
      </c>
      <c r="CE20" s="305">
        <f>IFERROR(SUMPRODUCT(('ANALYSE - ERP =&gt; SOUS-SEGMENT'!$C$8:$C$154=$C20)*'ANALYSE - ERP =&gt; SOUS-SEGMENT'!$Q$8:$Q$154*'ANALYSE - ERP =&gt; SOUS-SEGMENT'!$BL$8:$BL$154*'ANALYSE - ERP =&gt; SOUS-SEGMENT'!$CH$8:$CH$154)/SUMPRODUCT(('ANALYSE - ERP =&gt; SOUS-SEGMENT'!$C$8:$C$154=$C20)*'ANALYSE - ERP =&gt; SOUS-SEGMENT'!$Q$8:$Q$154*'ANALYSE - ERP =&gt; SOUS-SEGMENT'!$BL$8:$BL$154),"")</f>
        <v>0.55000000000000004</v>
      </c>
      <c r="CF20" s="305">
        <f>IFERROR(SUMPRODUCT(('ANALYSE - ERP =&gt; SOUS-SEGMENT'!$C$8:$C$154=$C20)*'ANALYSE - ERP =&gt; SOUS-SEGMENT'!$Q$8:$Q$154*'ANALYSE - ERP =&gt; SOUS-SEGMENT'!$BL$8:$BL$154*'ANALYSE - ERP =&gt; SOUS-SEGMENT'!$CI$8:$CI$154)/SUMPRODUCT(('ANALYSE - ERP =&gt; SOUS-SEGMENT'!$C$8:$C$154=$C20)*'ANALYSE - ERP =&gt; SOUS-SEGMENT'!$Q$8:$Q$154*'ANALYSE - ERP =&gt; SOUS-SEGMENT'!$BL$8:$BL$154),"")</f>
        <v>0.12</v>
      </c>
      <c r="CG20" s="581">
        <f>IFERROR(SUMPRODUCT(('ANALYSE - ERP =&gt; SOUS-SEGMENT'!$C$8:$C$154=$C20)*'ANALYSE - ERP =&gt; SOUS-SEGMENT'!$Q$8:$Q$154*'ANALYSE - ERP =&gt; SOUS-SEGMENT'!$BL$8:$BL$154*'ANALYSE - ERP =&gt; SOUS-SEGMENT'!$CJ$8:$CJ$154)/SUMPRODUCT(('ANALYSE - ERP =&gt; SOUS-SEGMENT'!$C$8:$C$154=$C20)*'ANALYSE - ERP =&gt; SOUS-SEGMENT'!$Q$8:$Q$154*'ANALYSE - ERP =&gt; SOUS-SEGMENT'!$BL$8:$BL$154),"")</f>
        <v>0.29000000000000004</v>
      </c>
      <c r="CH20" s="589">
        <f>IFERROR(SUMPRODUCT(('ANALYSE - ERP =&gt; SOUS-SEGMENT'!$C$8:$C$154=$C20)*'ANALYSE - ERP =&gt; SOUS-SEGMENT'!$Q$8:$Q$154*'ANALYSE - ERP =&gt; SOUS-SEGMENT'!$BH$8:$BH$154*'ANALYSE - ERP =&gt; SOUS-SEGMENT'!$CK$8:$CK$154)/SUMPRODUCT(('ANALYSE - ERP =&gt; SOUS-SEGMENT'!$C$8:$C$154=$C20)*'ANALYSE - ERP =&gt; SOUS-SEGMENT'!$Q$8:$Q$154*'ANALYSE - ERP =&gt; SOUS-SEGMENT'!$BH$8:$BH$154),"")</f>
        <v>0.25</v>
      </c>
      <c r="CI20" s="306">
        <f>IFERROR(SUMPRODUCT(('ANALYSE - ERP =&gt; SOUS-SEGMENT'!$C$8:$C$154=$C20)*'ANALYSE - ERP =&gt; SOUS-SEGMENT'!$Q$8:$Q$154*'ANALYSE - ERP =&gt; SOUS-SEGMENT'!$BH$8:$BH$154*'ANALYSE - ERP =&gt; SOUS-SEGMENT'!$CL$8:$CL$154)/SUMPRODUCT(('ANALYSE - ERP =&gt; SOUS-SEGMENT'!$C$8:$C$154=$C20)*'ANALYSE - ERP =&gt; SOUS-SEGMENT'!$Q$8:$Q$154*'ANALYSE - ERP =&gt; SOUS-SEGMENT'!$BH$8:$BH$154),"")</f>
        <v>0.54999999999999993</v>
      </c>
      <c r="CJ20" s="590">
        <f>IFERROR(SUMPRODUCT(('ANALYSE - ERP =&gt; SOUS-SEGMENT'!$C$8:$C$154=$C20)*'ANALYSE - ERP =&gt; SOUS-SEGMENT'!$Q$8:$Q$154*'ANALYSE - ERP =&gt; SOUS-SEGMENT'!$BH$8:$BH$154*'ANALYSE - ERP =&gt; SOUS-SEGMENT'!$CM$8:$CM$154)/SUMPRODUCT(('ANALYSE - ERP =&gt; SOUS-SEGMENT'!$C$8:$C$154=$C20)*'ANALYSE - ERP =&gt; SOUS-SEGMENT'!$Q$8:$Q$154*'ANALYSE - ERP =&gt; SOUS-SEGMENT'!$BH$8:$BH$154),"")</f>
        <v>0.19999999999999998</v>
      </c>
      <c r="CK20" s="589">
        <f>IFERROR(SUMPRODUCT(('ANALYSE - ERP =&gt; SOUS-SEGMENT'!$C$8:$C$154=$C20)*'ANALYSE - ERP =&gt; SOUS-SEGMENT'!$Q$8:$Q$154*'ANALYSE - ERP =&gt; SOUS-SEGMENT'!$BM$8:$BM$154*'ANALYSE - ERP =&gt; SOUS-SEGMENT'!$CN$8:$CN$154)/SUMPRODUCT(('ANALYSE - ERP =&gt; SOUS-SEGMENT'!$C$8:$C$154=$C20)*'ANALYSE - ERP =&gt; SOUS-SEGMENT'!$Q$8:$Q$154*'ANALYSE - ERP =&gt; SOUS-SEGMENT'!$BM$8:$BM$154),"")</f>
        <v>0.15</v>
      </c>
      <c r="CL20" s="306">
        <f>IFERROR(SUMPRODUCT(('ANALYSE - ERP =&gt; SOUS-SEGMENT'!$C$8:$C$154=$C20)*'ANALYSE - ERP =&gt; SOUS-SEGMENT'!$Q$8:$Q$154*'ANALYSE - ERP =&gt; SOUS-SEGMENT'!$BM$8:$BM$154*'ANALYSE - ERP =&gt; SOUS-SEGMENT'!$CO$8:$CO$154)/SUMPRODUCT(('ANALYSE - ERP =&gt; SOUS-SEGMENT'!$C$8:$C$154=$C20)*'ANALYSE - ERP =&gt; SOUS-SEGMENT'!$Q$8:$Q$154*'ANALYSE - ERP =&gt; SOUS-SEGMENT'!$BM$8:$BM$154),"")</f>
        <v>0.57999999999999996</v>
      </c>
      <c r="CM20" s="590">
        <f>IFERROR(SUMPRODUCT(('ANALYSE - ERP =&gt; SOUS-SEGMENT'!$C$8:$C$154=$C20)*'ANALYSE - ERP =&gt; SOUS-SEGMENT'!$Q$8:$Q$154*'ANALYSE - ERP =&gt; SOUS-SEGMENT'!$BM$8:$BM$154*'ANALYSE - ERP =&gt; SOUS-SEGMENT'!$CP$8:$CP$154)/SUMPRODUCT(('ANALYSE - ERP =&gt; SOUS-SEGMENT'!$C$8:$C$154=$C20)*'ANALYSE - ERP =&gt; SOUS-SEGMENT'!$Q$8:$Q$154*'ANALYSE - ERP =&gt; SOUS-SEGMENT'!$BM$8:$BM$154),"")</f>
        <v>0.27</v>
      </c>
      <c r="CN20" s="657"/>
      <c r="CO20" s="889">
        <f>IFERROR(SUMPRODUCT(('ANALYSE - ERP =&gt; SOUS-SEGMENT'!$C$8:$C$154=$C20)*'ANALYSE - ERP =&gt; SOUS-SEGMENT'!$DH$8:$DH$154*('ANALYSE - ERP =&gt; SOUS-SEGMENT'!$CR$8:$CR$154&gt;0)*'ANALYSE - ERP =&gt; SOUS-SEGMENT'!$CR$8:$CR$154)/SUMPRODUCT(('ANALYSE - ERP =&gt; SOUS-SEGMENT'!$C$8:$C$154=$C20)*'ANALYSE - ERP =&gt; SOUS-SEGMENT'!$DH$8:$DH$154*('ANALYSE - ERP =&gt; SOUS-SEGMENT'!$CR$8:$CR$154&gt;0)),"")</f>
        <v>10</v>
      </c>
      <c r="CP20" s="890">
        <f>IFERROR(SUMPRODUCT(('ANALYSE - ERP =&gt; SOUS-SEGMENT'!$C$8:$C$154=$C20)*'ANALYSE - ERP =&gt; SOUS-SEGMENT'!$DI$8:$DI$154*('ANALYSE - ERP =&gt; SOUS-SEGMENT'!$CS$8:$CS$154&gt;0)*'ANALYSE - ERP =&gt; SOUS-SEGMENT'!$CS$8:$CS$154)/SUMPRODUCT(('ANALYSE - ERP =&gt; SOUS-SEGMENT'!$C$8:$C$154=$C20)*'ANALYSE - ERP =&gt; SOUS-SEGMENT'!$DI$8:$DI$154*('ANALYSE - ERP =&gt; SOUS-SEGMENT'!$CS$8:$CS$154&gt;0)),"")</f>
        <v>11.000000000000002</v>
      </c>
      <c r="CQ20" s="890">
        <f>IFERROR(SUMPRODUCT(('ANALYSE - ERP =&gt; SOUS-SEGMENT'!$C$8:$C$154=$C20)*'ANALYSE - ERP =&gt; SOUS-SEGMENT'!$DJ$8:$DJ$154*('ANALYSE - ERP =&gt; SOUS-SEGMENT'!$CT$8:$CT$154&gt;0)*'ANALYSE - ERP =&gt; SOUS-SEGMENT'!$CT$8:$CT$154)/SUMPRODUCT(('ANALYSE - ERP =&gt; SOUS-SEGMENT'!$C$8:$C$154=$C20)*'ANALYSE - ERP =&gt; SOUS-SEGMENT'!$DJ$8:$DJ$154*('ANALYSE - ERP =&gt; SOUS-SEGMENT'!$CT$8:$CT$154&gt;0)),"")</f>
        <v>8</v>
      </c>
      <c r="CR20" s="891">
        <f>IFERROR(SUMPRODUCT(('ANALYSE - ERP =&gt; SOUS-SEGMENT'!$C$8:$C$154=$C20)*'ANALYSE - ERP =&gt; SOUS-SEGMENT'!$DK$8:$DK$154*('ANALYSE - ERP =&gt; SOUS-SEGMENT'!$CU$8:$CU$154&gt;0)*'ANALYSE - ERP =&gt; SOUS-SEGMENT'!$CU$8:$CU$154)/SUMPRODUCT(('ANALYSE - ERP =&gt; SOUS-SEGMENT'!$C$8:$C$154=$C20)*'ANALYSE - ERP =&gt; SOUS-SEGMENT'!$DK$8:$DK$154*('ANALYSE - ERP =&gt; SOUS-SEGMENT'!$CU$8:$CU$154&gt;0)),"")</f>
        <v>10</v>
      </c>
      <c r="CS20" s="889">
        <f>IFERROR(SUMPRODUCT(('ANALYSE - ERP =&gt; SOUS-SEGMENT'!$C$8:$C$154=$C20)*'ANALYSE - ERP =&gt; SOUS-SEGMENT'!$DS$8:$DS$154*('ANALYSE - ERP =&gt; SOUS-SEGMENT'!$CV$8:$CV$154&gt;0)*'ANALYSE - ERP =&gt; SOUS-SEGMENT'!$CV$8:$CV$154)/SUMPRODUCT(('ANALYSE - ERP =&gt; SOUS-SEGMENT'!$C$8:$C$154=$C20)*'ANALYSE - ERP =&gt; SOUS-SEGMENT'!$DS$8:$DS$154*('ANALYSE - ERP =&gt; SOUS-SEGMENT'!$CV$8:$CV$154&gt;0)),"")</f>
        <v>11</v>
      </c>
      <c r="CT20" s="890">
        <f>IFERROR(SUMPRODUCT(('ANALYSE - ERP =&gt; SOUS-SEGMENT'!$C$8:$C$154=$C20)*'ANALYSE - ERP =&gt; SOUS-SEGMENT'!$DT$8:$DT$154*('ANALYSE - ERP =&gt; SOUS-SEGMENT'!$CW$8:$CW$154&gt;0)*'ANALYSE - ERP =&gt; SOUS-SEGMENT'!$CW$8:$CW$154)/SUMPRODUCT(('ANALYSE - ERP =&gt; SOUS-SEGMENT'!$C$8:$C$154=$C20)*'ANALYSE - ERP =&gt; SOUS-SEGMENT'!$DT$8:$DT$154*('ANALYSE - ERP =&gt; SOUS-SEGMENT'!$CW$8:$CW$154&gt;0)),"")</f>
        <v>10</v>
      </c>
      <c r="CU20" s="891">
        <f>IFERROR(SUMPRODUCT(('ANALYSE - ERP =&gt; SOUS-SEGMENT'!$C$8:$C$154=$C20)*'ANALYSE - ERP =&gt; SOUS-SEGMENT'!$DU$8:$DU$154*('ANALYSE - ERP =&gt; SOUS-SEGMENT'!$CX$8:$CX$154&gt;0)*'ANALYSE - ERP =&gt; SOUS-SEGMENT'!$CX$8:$CX$154)/SUMPRODUCT(('ANALYSE - ERP =&gt; SOUS-SEGMENT'!$C$8:$C$154=$C20)*'ANALYSE - ERP =&gt; SOUS-SEGMENT'!$DU$8:$DU$154*('ANALYSE - ERP =&gt; SOUS-SEGMENT'!$CX$8:$CX$154&gt;0)),"")</f>
        <v>8</v>
      </c>
      <c r="CV20" s="889">
        <f>IFERROR(SUMPRODUCT(('ANALYSE - ERP =&gt; SOUS-SEGMENT'!$C$8:$C$154=$C20)*'ANALYSE - ERP =&gt; SOUS-SEGMENT'!$EB$8:$EB$154*('ANALYSE - ERP =&gt; SOUS-SEGMENT'!$CY$8:$CY$154&gt;0)*'ANALYSE - ERP =&gt; SOUS-SEGMENT'!$CY$8:$CY$154)/SUMPRODUCT(('ANALYSE - ERP =&gt; SOUS-SEGMENT'!$C$8:$C$154=$C20)*'ANALYSE - ERP =&gt; SOUS-SEGMENT'!$EB$8:$EB$154*('ANALYSE - ERP =&gt; SOUS-SEGMENT'!$CY$8:$CY$154&gt;0)),"")</f>
        <v>8</v>
      </c>
      <c r="CW20" s="890">
        <f>IFERROR(SUMPRODUCT(('ANALYSE - ERP =&gt; SOUS-SEGMENT'!$C$8:$C$154=$C20)*'ANALYSE - ERP =&gt; SOUS-SEGMENT'!$EC$8:$EC$154*('ANALYSE - ERP =&gt; SOUS-SEGMENT'!$CZ$8:$CZ$154&gt;0)*'ANALYSE - ERP =&gt; SOUS-SEGMENT'!$CZ$8:$CZ$154)/SUMPRODUCT(('ANALYSE - ERP =&gt; SOUS-SEGMENT'!$C$8:$C$154=$C20)*'ANALYSE - ERP =&gt; SOUS-SEGMENT'!$EC$8:$EC$154*('ANALYSE - ERP =&gt; SOUS-SEGMENT'!$CZ$8:$CZ$154&gt;0)),"")</f>
        <v>9.9999999999999982</v>
      </c>
      <c r="CX20" s="890">
        <f>IFERROR(SUMPRODUCT(('ANALYSE - ERP =&gt; SOUS-SEGMENT'!$C$8:$C$154=$C20)*'ANALYSE - ERP =&gt; SOUS-SEGMENT'!$ED$8:$ED$154*('ANALYSE - ERP =&gt; SOUS-SEGMENT'!$DA$8:$DA$154&gt;0)*'ANALYSE - ERP =&gt; SOUS-SEGMENT'!$DA$8:$DA$154)/SUMPRODUCT(('ANALYSE - ERP =&gt; SOUS-SEGMENT'!$C$8:$C$154=$C20)*'ANALYSE - ERP =&gt; SOUS-SEGMENT'!$ED$8:$ED$154*('ANALYSE - ERP =&gt; SOUS-SEGMENT'!$DA$8:$DA$154&gt;0)),"")</f>
        <v>7</v>
      </c>
      <c r="CY20" s="892">
        <f>IFERROR(SUMPRODUCT(('ANALYSE - ERP =&gt; SOUS-SEGMENT'!$C$8:$C$154=$C20)*'ANALYSE - ERP =&gt; SOUS-SEGMENT'!$EE$8:$EE$154*('ANALYSE - ERP =&gt; SOUS-SEGMENT'!$DB$8:$DB$154&gt;0)*'ANALYSE - ERP =&gt; SOUS-SEGMENT'!$DB$8:$DB$154)/SUMPRODUCT(('ANALYSE - ERP =&gt; SOUS-SEGMENT'!$C$8:$C$154=$C20)*'ANALYSE - ERP =&gt; SOUS-SEGMENT'!$EE$8:$EE$154*('ANALYSE - ERP =&gt; SOUS-SEGMENT'!$DB$8:$DB$154&gt;0)),"")</f>
        <v>9</v>
      </c>
      <c r="CZ20" s="893">
        <f>IFERROR(SUMPRODUCT(('ANALYSE - ERP =&gt; SOUS-SEGMENT'!$C$8:$C$154=$C20)*'ANALYSE - ERP =&gt; SOUS-SEGMENT'!$EM$8:$EM$154*('ANALYSE - ERP =&gt; SOUS-SEGMENT'!$DC$8:$DC$154&gt;0)*'ANALYSE - ERP =&gt; SOUS-SEGMENT'!$DC$8:$DC$154)/SUMPRODUCT(('ANALYSE - ERP =&gt; SOUS-SEGMENT'!$C$8:$C$154=$C20)*'ANALYSE - ERP =&gt; SOUS-SEGMENT'!$EM$8:$EM$154*('ANALYSE - ERP =&gt; SOUS-SEGMENT'!$DC$8:$DC$154&gt;0)),"")</f>
        <v>10</v>
      </c>
      <c r="DA20" s="890">
        <f>IFERROR(SUMPRODUCT(('ANALYSE - ERP =&gt; SOUS-SEGMENT'!$C$8:$C$154=$C20)*'ANALYSE - ERP =&gt; SOUS-SEGMENT'!$EN$8:$EN$154*('ANALYSE - ERP =&gt; SOUS-SEGMENT'!$DD$8:$DD$154&gt;0)*'ANALYSE - ERP =&gt; SOUS-SEGMENT'!$DD$8:$DD$154)/SUMPRODUCT(('ANALYSE - ERP =&gt; SOUS-SEGMENT'!$C$8:$C$154=$C20)*'ANALYSE - ERP =&gt; SOUS-SEGMENT'!$EN$8:$EN$154*('ANALYSE - ERP =&gt; SOUS-SEGMENT'!$DD$8:$DD$154&gt;0)),"")</f>
        <v>11.000000000000002</v>
      </c>
      <c r="DB20" s="892">
        <f>IFERROR(SUMPRODUCT(('ANALYSE - ERP =&gt; SOUS-SEGMENT'!$C$8:$C$154=$C20)*'ANALYSE - ERP =&gt; SOUS-SEGMENT'!$EO$8:$EO$154*('ANALYSE - ERP =&gt; SOUS-SEGMENT'!$DE$8:$DE$154&gt;0)*'ANALYSE - ERP =&gt; SOUS-SEGMENT'!$DE$8:$DE$154)/SUMPRODUCT(('ANALYSE - ERP =&gt; SOUS-SEGMENT'!$C$8:$C$154=$C20)*'ANALYSE - ERP =&gt; SOUS-SEGMENT'!$EO$8:$EO$154*('ANALYSE - ERP =&gt; SOUS-SEGMENT'!$DE$8:$DE$154&gt;0)),"")</f>
        <v>8</v>
      </c>
      <c r="DC20" s="609" t="s">
        <v>7032</v>
      </c>
      <c r="DD20" s="657"/>
      <c r="DE20" s="308">
        <f t="shared" si="2"/>
        <v>4686.2</v>
      </c>
      <c r="DF20" s="308">
        <f t="shared" si="3"/>
        <v>35615.119999999995</v>
      </c>
      <c r="DG20" s="308">
        <f t="shared" si="4"/>
        <v>3748.96</v>
      </c>
      <c r="DH20" s="308">
        <f t="shared" si="5"/>
        <v>2811.7200000000003</v>
      </c>
      <c r="DI20" s="287" t="s">
        <v>7033</v>
      </c>
      <c r="DJ20" s="308">
        <f t="shared" si="6"/>
        <v>3687.52</v>
      </c>
      <c r="DK20" s="308">
        <f t="shared" si="7"/>
        <v>35031.440000000002</v>
      </c>
      <c r="DL20" s="308">
        <f t="shared" si="8"/>
        <v>4609.3999999999996</v>
      </c>
      <c r="DM20" s="308">
        <f t="shared" si="9"/>
        <v>2765.64</v>
      </c>
      <c r="DN20" s="287" t="s">
        <v>7034</v>
      </c>
      <c r="DO20" s="657"/>
      <c r="DP20" s="308">
        <f t="shared" si="10"/>
        <v>9.9</v>
      </c>
      <c r="DQ20" s="308">
        <f t="shared" si="11"/>
        <v>5.7749999999999995</v>
      </c>
      <c r="DR20" s="308">
        <f t="shared" si="12"/>
        <v>0.82500000000000007</v>
      </c>
      <c r="DS20" s="287" t="s">
        <v>7035</v>
      </c>
      <c r="DT20" s="308">
        <f t="shared" si="13"/>
        <v>9.3500000000000014</v>
      </c>
      <c r="DU20" s="308">
        <f t="shared" si="14"/>
        <v>6.46</v>
      </c>
      <c r="DV20" s="308">
        <f t="shared" si="15"/>
        <v>1.1900000000000002</v>
      </c>
      <c r="DW20" s="287" t="s">
        <v>7035</v>
      </c>
      <c r="DX20" s="657"/>
      <c r="DY20" s="308">
        <f t="shared" si="16"/>
        <v>718.25</v>
      </c>
      <c r="DZ20" s="308">
        <f t="shared" si="17"/>
        <v>7900.7500000000009</v>
      </c>
      <c r="EA20" s="308">
        <f t="shared" si="18"/>
        <v>1436.5</v>
      </c>
      <c r="EB20" s="308">
        <f t="shared" si="19"/>
        <v>4309.5</v>
      </c>
      <c r="EC20" s="287" t="s">
        <v>7036</v>
      </c>
      <c r="ED20" s="308">
        <f t="shared" si="20"/>
        <v>562.84</v>
      </c>
      <c r="EE20" s="308">
        <f t="shared" si="21"/>
        <v>7739.05</v>
      </c>
      <c r="EF20" s="308">
        <f t="shared" si="22"/>
        <v>1688.52</v>
      </c>
      <c r="EG20" s="308">
        <f t="shared" si="23"/>
        <v>4080.5900000000006</v>
      </c>
      <c r="EH20" s="614" t="s">
        <v>7037</v>
      </c>
      <c r="EI20" s="290"/>
      <c r="EJ20" s="308">
        <f t="shared" si="24"/>
        <v>10649.25</v>
      </c>
      <c r="EK20" s="310">
        <f t="shared" si="25"/>
        <v>23428.35</v>
      </c>
      <c r="EL20" s="310">
        <f t="shared" si="26"/>
        <v>8519.4</v>
      </c>
      <c r="EM20" s="287" t="s">
        <v>7038</v>
      </c>
      <c r="EN20" s="308">
        <f t="shared" si="27"/>
        <v>6281.55</v>
      </c>
      <c r="EO20" s="310">
        <f t="shared" si="28"/>
        <v>24288.66</v>
      </c>
      <c r="EP20" s="310">
        <f t="shared" si="29"/>
        <v>11306.79</v>
      </c>
      <c r="EQ20" s="289" t="s">
        <v>7039</v>
      </c>
      <c r="ER20" s="657"/>
      <c r="ES20" s="728">
        <f t="shared" si="30"/>
        <v>0.58072009291521487</v>
      </c>
      <c r="ET20" s="728">
        <f t="shared" si="31"/>
        <v>0.31242740998838558</v>
      </c>
      <c r="EU20" s="311">
        <f t="shared" si="32"/>
        <v>51142.258952831413</v>
      </c>
      <c r="EV20" s="311">
        <f t="shared" si="33"/>
        <v>44709.828402831416</v>
      </c>
      <c r="EW20" s="311">
        <f t="shared" si="34"/>
        <v>6432.43055</v>
      </c>
      <c r="EX20" s="311">
        <f t="shared" si="35"/>
        <v>22544.970978218182</v>
      </c>
      <c r="EY20" s="311">
        <f>SUMPRODUCT(('ANALYSE - ERP =&gt; SOUS-SEGMENT'!$C$8:$C$154=$C20)*'ANALYSE - ERP =&gt; SOUS-SEGMENT'!$Q$8:$Q$154*'ANALYSE - ERP =&gt; SOUS-SEGMENT'!$FB$8:$FB$154)</f>
        <v>19624.598778218184</v>
      </c>
      <c r="EZ20" s="311">
        <f>SUMPRODUCT(('ANALYSE - ERP =&gt; SOUS-SEGMENT'!$C$8:$C$154=$C20)*'ANALYSE - ERP =&gt; SOUS-SEGMENT'!$Q$8:$Q$154*'ANALYSE - ERP =&gt; SOUS-SEGMENT'!$FC$8:$FC$154)</f>
        <v>2920.3721999999998</v>
      </c>
      <c r="FA20" s="311">
        <f t="shared" si="36"/>
        <v>8.2174206846590891</v>
      </c>
      <c r="FB20" s="311">
        <f>SUMPRODUCT(('ANALYSE - ERP =&gt; SOUS-SEGMENT'!$C$8:$C$154=$C20)*'ANALYSE - ERP =&gt; SOUS-SEGMENT'!$Q$8:$Q$154*'ANALYSE - ERP =&gt; SOUS-SEGMENT'!$FE$8:$FE$154)</f>
        <v>6.8412706846590901</v>
      </c>
      <c r="FC20" s="311">
        <f>SUMPRODUCT(('ANALYSE - ERP =&gt; SOUS-SEGMENT'!$C$8:$C$154=$C20)*'ANALYSE - ERP =&gt; SOUS-SEGMENT'!$Q$8:$Q$154*'ANALYSE - ERP =&gt; SOUS-SEGMENT'!$FF$8:$FF$154)</f>
        <v>1.37615</v>
      </c>
      <c r="FD20" s="311">
        <f t="shared" si="37"/>
        <v>7489.9249239285718</v>
      </c>
      <c r="FE20" s="311">
        <f>SUMPRODUCT(('ANALYSE - ERP =&gt; SOUS-SEGMENT'!$C$8:$C$154=$C20)*'ANALYSE - ERP =&gt; SOUS-SEGMENT'!$Q$8:$Q$154*'ANALYSE - ERP =&gt; SOUS-SEGMENT'!$FH$8:$FH$154)</f>
        <v>6621.1434239285718</v>
      </c>
      <c r="FF20" s="311">
        <f>SUMPRODUCT(('ANALYSE - ERP =&gt; SOUS-SEGMENT'!$C$8:$C$154=$C20)*'ANALYSE - ERP =&gt; SOUS-SEGMENT'!$Q$8:$Q$154*'ANALYSE - ERP =&gt; SOUS-SEGMENT'!$FI$8:$FI$154)</f>
        <v>868.78150000000005</v>
      </c>
      <c r="FG20" s="311">
        <f t="shared" si="38"/>
        <v>21099.145629999999</v>
      </c>
      <c r="FH20" s="311">
        <f>SUMPRODUCT(('ANALYSE - ERP =&gt; SOUS-SEGMENT'!$C$8:$C$154=$C20)*'ANALYSE - ERP =&gt; SOUS-SEGMENT'!$Q$8:$Q$154*'ANALYSE - ERP =&gt; SOUS-SEGMENT'!$FK$8:$FK$154)</f>
        <v>18457.244930000001</v>
      </c>
      <c r="FI20" s="311">
        <f>SUMPRODUCT(('ANALYSE - ERP =&gt; SOUS-SEGMENT'!$C$8:$C$154=$C20)*'ANALYSE - ERP =&gt; SOUS-SEGMENT'!$Q$8:$Q$154*'ANALYSE - ERP =&gt; SOUS-SEGMENT'!$FL$8:$FL$154)</f>
        <v>2641.9007000000001</v>
      </c>
      <c r="FJ20" s="657"/>
      <c r="FK20" s="293" t="s">
        <v>2649</v>
      </c>
      <c r="FL20" s="728">
        <f>IFERROR(SUMPRODUCT(('ANALYSE - ERP =&gt; SOUS-SEGMENT'!$C$8:$C$154=$C20)*'ANALYSE - ERP =&gt; SOUS-SEGMENT'!$Q$8:$Q$154*'ANALYSE - ERP =&gt; SOUS-SEGMENT'!$AF$8:$AF$154*'ANALYSE - ERP =&gt; SOUS-SEGMENT'!$FO$8:$FO$154)/SUMPRODUCT(('ANALYSE - ERP =&gt; SOUS-SEGMENT'!$C$8:$C$154=$C20)*'ANALYSE - ERP =&gt; SOUS-SEGMENT'!$Q$8:$Q$154*'ANALYSE - ERP =&gt; SOUS-SEGMENT'!$AF$8:$AF$154),"")</f>
        <v>5.3100000000000008E-2</v>
      </c>
      <c r="FM20" s="729">
        <f>IFERROR(SUMPRODUCT(('ANALYSE - ERP =&gt; SOUS-SEGMENT'!$C$8:$C$154=$C20)*'ANALYSE - ERP =&gt; SOUS-SEGMENT'!$Q$8:$Q$154*'ANALYSE - ERP =&gt; SOUS-SEGMENT'!$AF$8:$AF$154*'ANALYSE - ERP =&gt; SOUS-SEGMENT'!$FP$8:$FP$154)/SUMPRODUCT(('ANALYSE - ERP =&gt; SOUS-SEGMENT'!$C$8:$C$154=$C20)*'ANALYSE - ERP =&gt; SOUS-SEGMENT'!$Q$8:$Q$154*'ANALYSE - ERP =&gt; SOUS-SEGMENT'!$AF$8:$AF$154),"")</f>
        <v>0.80554999999999988</v>
      </c>
      <c r="FN20" s="294" t="s">
        <v>2831</v>
      </c>
      <c r="FO20" s="657"/>
      <c r="FP20" s="865">
        <f>IFERROR(SUMPRODUCT(('ANALYSE - ERP =&gt; SOUS-SEGMENT'!$C$8:$C$154=$C20)*'ANALYSE - ERP =&gt; SOUS-SEGMENT'!$Q$8:$Q$154*'ANALYSE - ERP =&gt; SOUS-SEGMENT'!$EX$8:$EX$154*'ANALYSE - ERP =&gt; SOUS-SEGMENT'!$FS$8:$FS$154)/SUMPRODUCT(('ANALYSE - ERP =&gt; SOUS-SEGMENT'!$C$8:$C$154=$C20)*'ANALYSE - ERP =&gt; SOUS-SEGMENT'!$Q$8:$Q$154*'ANALYSE - ERP =&gt; SOUS-SEGMENT'!$EX$8:$EX$154),"")</f>
        <v>3.6100000000000003</v>
      </c>
      <c r="FQ20" s="312">
        <f>RANK($FP20,$FP$8:$FP$143,0)+COUNTIF($FP$8:$FP20,$FP20)-1</f>
        <v>7</v>
      </c>
      <c r="FR20" s="865">
        <f>IFERROR(SUMPRODUCT(('ANALYSE - ERP =&gt; SOUS-SEGMENT'!$C$8:$C$154=$C20)*'ANALYSE - ERP =&gt; SOUS-SEGMENT'!$Q$8:$Q$154*'ANALYSE - ERP =&gt; SOUS-SEGMENT'!$EY$8:$EY$154*'ANALYSE - ERP =&gt; SOUS-SEGMENT'!$FU$8:$FU$154)/SUMPRODUCT(('ANALYSE - ERP =&gt; SOUS-SEGMENT'!$C$8:$C$154=$C20)*'ANALYSE - ERP =&gt; SOUS-SEGMENT'!$Q$8:$Q$154*'ANALYSE - ERP =&gt; SOUS-SEGMENT'!$EY$8:$EY$154),"")</f>
        <v>4.1300000000000008</v>
      </c>
      <c r="FS20" s="312">
        <f>RANK($FR20,$FR$8:$FR$143,0)+COUNTIF($FR$8:$FR20,$FR20)-1</f>
        <v>16</v>
      </c>
      <c r="FT20" s="865">
        <f>IFERROR(SUMPRODUCT(('ANALYSE - ERP =&gt; SOUS-SEGMENT'!$C$8:$C$154=$C20)*'ANALYSE - ERP =&gt; SOUS-SEGMENT'!$Q$8:$Q$154*'ANALYSE - ERP =&gt; SOUS-SEGMENT'!$EZ$8:$EZ$154*'ANALYSE - ERP =&gt; SOUS-SEGMENT'!$FW$8:$FW$154)/SUMPRODUCT(('ANALYSE - ERP =&gt; SOUS-SEGMENT'!$C$8:$C$154=$C20)*'ANALYSE - ERP =&gt; SOUS-SEGMENT'!$Q$8:$Q$154*'ANALYSE - ERP =&gt; SOUS-SEGMENT'!$EZ$8:$EZ$154),"")</f>
        <v>2.6899999999999995</v>
      </c>
      <c r="FU20" s="312">
        <f>RANK($FT20,$FT$8:$FT$143,0)+COUNTIF($FT$8:$FT20,$FT20)-1</f>
        <v>5</v>
      </c>
      <c r="FV20" s="657"/>
      <c r="FW20" s="296" t="s">
        <v>7040</v>
      </c>
      <c r="FX20" s="296" t="s">
        <v>7041</v>
      </c>
      <c r="FY20" s="296" t="s">
        <v>7042</v>
      </c>
      <c r="FZ20" s="296" t="s">
        <v>7043</v>
      </c>
      <c r="GA20" s="296" t="s">
        <v>7044</v>
      </c>
      <c r="GB20" s="296" t="s">
        <v>7045</v>
      </c>
      <c r="GC20" s="296" t="s">
        <v>6759</v>
      </c>
      <c r="GD20" s="657"/>
      <c r="GE20" s="311">
        <f>SUMPRODUCT(('ANALYSE - ERP =&gt; SOUS-SEGMENT'!$C$8:$C$154=$C20)*'ANALYSE - ERP =&gt; SOUS-SEGMENT'!$Q$8:$Q$154*'ANALYSE - ERP =&gt; SOUS-SEGMENT'!$GH$8:$GH$154)</f>
        <v>2252.2414100000001</v>
      </c>
      <c r="GF20" s="311">
        <f>SUMPRODUCT(('ANALYSE - ERP =&gt; SOUS-SEGMENT'!$C$8:$C$154=$C20)*'ANALYSE - ERP =&gt; SOUS-SEGMENT'!$Q$8:$Q$154*'ANALYSE - ERP =&gt; SOUS-SEGMENT'!$GI$8:$GI$154)</f>
        <v>2018.6116340000001</v>
      </c>
      <c r="GG20" s="311">
        <f>SUMPRODUCT(('ANALYSE - ERP =&gt; SOUS-SEGMENT'!$C$8:$C$154=$C20)*'ANALYSE - ERP =&gt; SOUS-SEGMENT'!$Q$8:$Q$154*'ANALYSE - ERP =&gt; SOUS-SEGMENT'!$GJ$8:$GJ$154)</f>
        <v>233.62977599999999</v>
      </c>
      <c r="GH20" s="311">
        <f>SUMPRODUCT(('ANALYSE - ERP =&gt; SOUS-SEGMENT'!$C$8:$C$154=$C20)*'ANALYSE - ERP =&gt; SOUS-SEGMENT'!$Q$8:$Q$154*'ANALYSE - ERP =&gt; SOUS-SEGMENT'!$GK$8:$GK$154)</f>
        <v>16718.586109818181</v>
      </c>
      <c r="GI20" s="311">
        <f>SUMPRODUCT(('ANALYSE - ERP =&gt; SOUS-SEGMENT'!$C$8:$C$154=$C20)*'ANALYSE - ERP =&gt; SOUS-SEGMENT'!$Q$8:$Q$154*'ANALYSE - ERP =&gt; SOUS-SEGMENT'!$GL$8:$GL$154)</f>
        <v>14499.103237818181</v>
      </c>
      <c r="GJ20" s="311">
        <f>SUMPRODUCT(('ANALYSE - ERP =&gt; SOUS-SEGMENT'!$C$8:$C$154=$C20)*'ANALYSE - ERP =&gt; SOUS-SEGMENT'!$Q$8:$Q$154*'ANALYSE - ERP =&gt; SOUS-SEGMENT'!$GM$8:$GM$154)</f>
        <v>2219.482872</v>
      </c>
      <c r="GK20" s="311">
        <f>SUMPRODUCT(('ANALYSE - ERP =&gt; SOUS-SEGMENT'!$C$8:$C$154=$C20)*'ANALYSE - ERP =&gt; SOUS-SEGMENT'!$Q$8:$Q$154*'ANALYSE - ERP =&gt; SOUS-SEGMENT'!$GN$8:$GN$154)</f>
        <v>2187.7541460000002</v>
      </c>
      <c r="GL20" s="311">
        <f>SUMPRODUCT(('ANALYSE - ERP =&gt; SOUS-SEGMENT'!$C$8:$C$154=$C20)*'ANALYSE - ERP =&gt; SOUS-SEGMENT'!$Q$8:$Q$154*'ANALYSE - ERP =&gt; SOUS-SEGMENT'!$GO$8:$GO$154)</f>
        <v>1895.7169260000001</v>
      </c>
      <c r="GM20" s="311">
        <f>SUMPRODUCT(('ANALYSE - ERP =&gt; SOUS-SEGMENT'!$C$8:$C$154=$C20)*'ANALYSE - ERP =&gt; SOUS-SEGMENT'!$Q$8:$Q$154*'ANALYSE - ERP =&gt; SOUS-SEGMENT'!$GP$8:$GP$154)</f>
        <v>292.03722000000005</v>
      </c>
      <c r="GN20" s="311">
        <f>SUMPRODUCT(('ANALYSE - ERP =&gt; SOUS-SEGMENT'!$C$8:$C$154=$C20)*'ANALYSE - ERP =&gt; SOUS-SEGMENT'!$Q$8:$Q$154*'ANALYSE - ERP =&gt; SOUS-SEGMENT'!$GQ$8:$GQ$154)</f>
        <v>1386.3893124000001</v>
      </c>
      <c r="GO20" s="311">
        <f>SUMPRODUCT(('ANALYSE - ERP =&gt; SOUS-SEGMENT'!$C$8:$C$154=$C20)*'ANALYSE - ERP =&gt; SOUS-SEGMENT'!$Q$8:$Q$154*'ANALYSE - ERP =&gt; SOUS-SEGMENT'!$GR$8:$GR$154)</f>
        <v>1211.1669804000001</v>
      </c>
      <c r="GP20" s="311">
        <f>SUMPRODUCT(('ANALYSE - ERP =&gt; SOUS-SEGMENT'!$C$8:$C$154=$C20)*'ANALYSE - ERP =&gt; SOUS-SEGMENT'!$Q$8:$Q$154*'ANALYSE - ERP =&gt; SOUS-SEGMENT'!$GS$8:$GS$154)</f>
        <v>175.22233199999999</v>
      </c>
      <c r="GQ20" s="311">
        <f>SUMPRODUCT(('ANALYSE - ERP =&gt; SOUS-SEGMENT'!$C$8:$C$154=$C20)*'ANALYSE - ERP =&gt; SOUS-SEGMENT'!$Q$8:$Q$154*'ANALYSE - ERP =&gt; SOUS-SEGMENT'!$GT$8:$GT$154)</f>
        <v>4.66746159090909</v>
      </c>
      <c r="GR20" s="311">
        <f>SUMPRODUCT(('ANALYSE - ERP =&gt; SOUS-SEGMENT'!$C$8:$C$154=$C20)*'ANALYSE - ERP =&gt; SOUS-SEGMENT'!$Q$8:$Q$154*'ANALYSE - ERP =&gt; SOUS-SEGMENT'!$GU$8:$GU$154)</f>
        <v>3.9105790909090903</v>
      </c>
      <c r="GS20" s="311">
        <f>SUMPRODUCT(('ANALYSE - ERP =&gt; SOUS-SEGMENT'!$C$8:$C$154=$C20)*'ANALYSE - ERP =&gt; SOUS-SEGMENT'!$Q$8:$Q$154*'ANALYSE - ERP =&gt; SOUS-SEGMENT'!$GV$8:$GV$154)</f>
        <v>0.75688250000000001</v>
      </c>
      <c r="GT20" s="311">
        <f>SUMPRODUCT(('ANALYSE - ERP =&gt; SOUS-SEGMENT'!$C$8:$C$154=$C20)*'ANALYSE - ERP =&gt; SOUS-SEGMENT'!$Q$8:$Q$154*'ANALYSE - ERP =&gt; SOUS-SEGMENT'!$GW$8:$GW$154)</f>
        <v>3.0181281249999996</v>
      </c>
      <c r="GU20" s="311">
        <f>SUMPRODUCT(('ANALYSE - ERP =&gt; SOUS-SEGMENT'!$C$8:$C$154=$C20)*'ANALYSE - ERP =&gt; SOUS-SEGMENT'!$Q$8:$Q$154*'ANALYSE - ERP =&gt; SOUS-SEGMENT'!$GX$8:$GX$154)</f>
        <v>2.4951911249999994</v>
      </c>
      <c r="GV20" s="311">
        <f>SUMPRODUCT(('ANALYSE - ERP =&gt; SOUS-SEGMENT'!$C$8:$C$154=$C20)*'ANALYSE - ERP =&gt; SOUS-SEGMENT'!$Q$8:$Q$154*'ANALYSE - ERP =&gt; SOUS-SEGMENT'!$GY$8:$GY$154)</f>
        <v>0.52293699999999999</v>
      </c>
      <c r="GW20" s="311">
        <f>SUMPRODUCT(('ANALYSE - ERP =&gt; SOUS-SEGMENT'!$C$8:$C$154=$C20)*'ANALYSE - ERP =&gt; SOUS-SEGMENT'!$Q$8:$Q$154*'ANALYSE - ERP =&gt; SOUS-SEGMENT'!$GZ$8:$GZ$154)</f>
        <v>0.53183096875000002</v>
      </c>
      <c r="GX20" s="311">
        <f>SUMPRODUCT(('ANALYSE - ERP =&gt; SOUS-SEGMENT'!$C$8:$C$154=$C20)*'ANALYSE - ERP =&gt; SOUS-SEGMENT'!$Q$8:$Q$154*'ANALYSE - ERP =&gt; SOUS-SEGMENT'!$HA$8:$HA$154)</f>
        <v>0.43550046874999998</v>
      </c>
      <c r="GY20" s="311">
        <f>SUMPRODUCT(('ANALYSE - ERP =&gt; SOUS-SEGMENT'!$C$8:$C$154=$C20)*'ANALYSE - ERP =&gt; SOUS-SEGMENT'!$Q$8:$Q$154*'ANALYSE - ERP =&gt; SOUS-SEGMENT'!$HB$8:$HB$154)</f>
        <v>9.6330500000000013E-2</v>
      </c>
      <c r="GZ20" s="311">
        <f>SUMPRODUCT(('ANALYSE - ERP =&gt; SOUS-SEGMENT'!$C$8:$C$154=$C20)*'ANALYSE - ERP =&gt; SOUS-SEGMENT'!$Q$8:$Q$154*'ANALYSE - ERP =&gt; SOUS-SEGMENT'!$HC$8:$HC$154)</f>
        <v>399.4640225</v>
      </c>
      <c r="HA20" s="311">
        <f>SUMPRODUCT(('ANALYSE - ERP =&gt; SOUS-SEGMENT'!$C$8:$C$154=$C20)*'ANALYSE - ERP =&gt; SOUS-SEGMENT'!$Q$8:$Q$154*'ANALYSE - ERP =&gt; SOUS-SEGMENT'!$HD$8:$HD$154)</f>
        <v>364.7127625</v>
      </c>
      <c r="HB20" s="311">
        <f>SUMPRODUCT(('ANALYSE - ERP =&gt; SOUS-SEGMENT'!$C$8:$C$154=$C20)*'ANALYSE - ERP =&gt; SOUS-SEGMENT'!$Q$8:$Q$154*'ANALYSE - ERP =&gt; SOUS-SEGMENT'!$HE$8:$HE$154)</f>
        <v>34.751260000000002</v>
      </c>
      <c r="HC20" s="311">
        <f>SUMPRODUCT(('ANALYSE - ERP =&gt; SOUS-SEGMENT'!$C$8:$C$154=$C20)*'ANALYSE - ERP =&gt; SOUS-SEGMENT'!$Q$8:$Q$154*'ANALYSE - ERP =&gt; SOUS-SEGMENT'!$HF$8:$HF$154)</f>
        <v>3915.0311200000006</v>
      </c>
      <c r="HD20" s="311">
        <f>SUMPRODUCT(('ANALYSE - ERP =&gt; SOUS-SEGMENT'!$C$8:$C$154=$C20)*'ANALYSE - ERP =&gt; SOUS-SEGMENT'!$Q$8:$Q$154*'ANALYSE - ERP =&gt; SOUS-SEGMENT'!$HG$8:$HG$154)</f>
        <v>3437.2012950000008</v>
      </c>
      <c r="HE20" s="311">
        <f>SUMPRODUCT(('ANALYSE - ERP =&gt; SOUS-SEGMENT'!$C$8:$C$154=$C20)*'ANALYSE - ERP =&gt; SOUS-SEGMENT'!$Q$8:$Q$154*'ANALYSE - ERP =&gt; SOUS-SEGMENT'!$HH$8:$HH$154)</f>
        <v>477.82982500000008</v>
      </c>
      <c r="HF20" s="311">
        <f>SUMPRODUCT(('ANALYSE - ERP =&gt; SOUS-SEGMENT'!$C$8:$C$154=$C20)*'ANALYSE - ERP =&gt; SOUS-SEGMENT'!$Q$8:$Q$154*'ANALYSE - ERP =&gt; SOUS-SEGMENT'!$HI$8:$HI$154)</f>
        <v>919.27474642857146</v>
      </c>
      <c r="HG20" s="311">
        <f>SUMPRODUCT(('ANALYSE - ERP =&gt; SOUS-SEGMENT'!$C$8:$C$154=$C20)*'ANALYSE - ERP =&gt; SOUS-SEGMENT'!$Q$8:$Q$154*'ANALYSE - ERP =&gt; SOUS-SEGMENT'!$HJ$8:$HJ$154)</f>
        <v>815.02096642857146</v>
      </c>
      <c r="HH20" s="311">
        <f>SUMPRODUCT(('ANALYSE - ERP =&gt; SOUS-SEGMENT'!$C$8:$C$154=$C20)*'ANALYSE - ERP =&gt; SOUS-SEGMENT'!$Q$8:$Q$154*'ANALYSE - ERP =&gt; SOUS-SEGMENT'!$HK$8:$HK$154)</f>
        <v>104.25378000000001</v>
      </c>
      <c r="HI20" s="311">
        <f>SUMPRODUCT(('ANALYSE - ERP =&gt; SOUS-SEGMENT'!$C$8:$C$154=$C20)*'ANALYSE - ERP =&gt; SOUS-SEGMENT'!$Q$8:$Q$154*'ANALYSE - ERP =&gt; SOUS-SEGMENT'!$HL$8:$HL$154)</f>
        <v>2256.1550350000002</v>
      </c>
      <c r="HJ20" s="311">
        <f>SUMPRODUCT(('ANALYSE - ERP =&gt; SOUS-SEGMENT'!$C$8:$C$154=$C20)*'ANALYSE - ERP =&gt; SOUS-SEGMENT'!$Q$8:$Q$154*'ANALYSE - ERP =&gt; SOUS-SEGMENT'!$HM$8:$HM$154)</f>
        <v>2004.2084000000002</v>
      </c>
      <c r="HK20" s="311">
        <f>SUMPRODUCT(('ANALYSE - ERP =&gt; SOUS-SEGMENT'!$C$8:$C$154=$C20)*'ANALYSE - ERP =&gt; SOUS-SEGMENT'!$Q$8:$Q$154*'ANALYSE - ERP =&gt; SOUS-SEGMENT'!$HN$8:$HN$154)</f>
        <v>251.94663499999999</v>
      </c>
      <c r="HL20" s="311">
        <f>SUMPRODUCT(('ANALYSE - ERP =&gt; SOUS-SEGMENT'!$C$8:$C$154=$C20)*'ANALYSE - ERP =&gt; SOUS-SEGMENT'!$Q$8:$Q$154*'ANALYSE - ERP =&gt; SOUS-SEGMENT'!$HO$8:$HO$154)</f>
        <v>4989.6923150000002</v>
      </c>
      <c r="HM20" s="311">
        <f>SUMPRODUCT(('ANALYSE - ERP =&gt; SOUS-SEGMENT'!$C$8:$C$154=$C20)*'ANALYSE - ERP =&gt; SOUS-SEGMENT'!$Q$8:$Q$154*'ANALYSE - ERP =&gt; SOUS-SEGMENT'!$HP$8:$HP$154)</f>
        <v>4593.4072100000003</v>
      </c>
      <c r="HN20" s="311">
        <f>SUMPRODUCT(('ANALYSE - ERP =&gt; SOUS-SEGMENT'!$C$8:$C$154=$C20)*'ANALYSE - ERP =&gt; SOUS-SEGMENT'!$Q$8:$Q$154*'ANALYSE - ERP =&gt; SOUS-SEGMENT'!$HQ$8:$HQ$154)</f>
        <v>396.28510499999999</v>
      </c>
      <c r="HO20" s="311">
        <f>SUMPRODUCT(('ANALYSE - ERP =&gt; SOUS-SEGMENT'!$C$8:$C$154=$C20)*'ANALYSE - ERP =&gt; SOUS-SEGMENT'!$Q$8:$Q$154*'ANALYSE - ERP =&gt; SOUS-SEGMENT'!$HR$8:$HR$154)</f>
        <v>11084.997636</v>
      </c>
      <c r="HP20" s="311">
        <f>SUMPRODUCT(('ANALYSE - ERP =&gt; SOUS-SEGMENT'!$C$8:$C$154=$C20)*'ANALYSE - ERP =&gt; SOUS-SEGMENT'!$Q$8:$Q$154*'ANALYSE - ERP =&gt; SOUS-SEGMENT'!$HS$8:$HS$154)</f>
        <v>9552.6952300000012</v>
      </c>
      <c r="HQ20" s="311">
        <f>SUMPRODUCT(('ANALYSE - ERP =&gt; SOUS-SEGMENT'!$C$8:$C$154=$C20)*'ANALYSE - ERP =&gt; SOUS-SEGMENT'!$Q$8:$Q$154*'ANALYSE - ERP =&gt; SOUS-SEGMENT'!$HT$8:$HT$154)</f>
        <v>1532.3024059999998</v>
      </c>
      <c r="HR20" s="311">
        <f>SUMPRODUCT(('ANALYSE - ERP =&gt; SOUS-SEGMENT'!$C$8:$C$154=$C20)*'ANALYSE - ERP =&gt; SOUS-SEGMENT'!$Q$8:$Q$154*'ANALYSE - ERP =&gt; SOUS-SEGMENT'!$HU$8:$HU$154)</f>
        <v>5024.4556789999997</v>
      </c>
      <c r="HS20" s="311">
        <f>SUMPRODUCT(('ANALYSE - ERP =&gt; SOUS-SEGMENT'!$C$8:$C$154=$C20)*'ANALYSE - ERP =&gt; SOUS-SEGMENT'!$Q$8:$Q$154*'ANALYSE - ERP =&gt; SOUS-SEGMENT'!$HV$8:$HV$154)</f>
        <v>4311.1424900000002</v>
      </c>
      <c r="HT20" s="311">
        <f>SUMPRODUCT(('ANALYSE - ERP =&gt; SOUS-SEGMENT'!$C$8:$C$154=$C20)*'ANALYSE - ERP =&gt; SOUS-SEGMENT'!$Q$8:$Q$154*'ANALYSE - ERP =&gt; SOUS-SEGMENT'!$HW$8:$HW$154)</f>
        <v>713.31318900000008</v>
      </c>
      <c r="HV20" s="313">
        <f t="shared" si="40"/>
        <v>225992</v>
      </c>
      <c r="HW20" s="313">
        <f>SUMPRODUCT(('ANALYSE - ERP =&gt; SOUS-SEGMENT'!$C$8:$C$154=$C20)*'ANALYSE - ERP =&gt; SOUS-SEGMENT'!$Q$8:$Q$154*'ANALYSE - ERP =&gt; SOUS-SEGMENT'!$HZ$8:$HZ$154)</f>
        <v>1245.9349</v>
      </c>
      <c r="HX20" s="313">
        <f>SUMPRODUCT(('ANALYSE - ERP =&gt; SOUS-SEGMENT'!$C$8:$C$154=$C20)*'ANALYSE - ERP =&gt; SOUS-SEGMENT'!$Q$8:$Q$154*'ANALYSE - ERP =&gt; SOUS-SEGMENT'!$IA$8:$IA$154)</f>
        <v>32202.485100000002</v>
      </c>
      <c r="HY20" s="313">
        <f>SUMPRODUCT(('ANALYSE - ERP =&gt; SOUS-SEGMENT'!$C$8:$C$154=$C20)*'ANALYSE - ERP =&gt; SOUS-SEGMENT'!$Q$8:$Q$154*'ANALYSE - ERP =&gt; SOUS-SEGMENT'!$IB$8:$IB$154)</f>
        <v>51411.477299999999</v>
      </c>
      <c r="HZ20" s="313">
        <f>SUMPRODUCT(('ANALYSE - ERP =&gt; SOUS-SEGMENT'!$C$8:$C$154=$C20)*'ANALYSE - ERP =&gt; SOUS-SEGMENT'!$Q$8:$Q$154*'ANALYSE - ERP =&gt; SOUS-SEGMENT'!$IC$8:$IC$154)</f>
        <v>17347.386900000001</v>
      </c>
      <c r="IA20" s="313">
        <f>SUMPRODUCT(('ANALYSE - ERP =&gt; SOUS-SEGMENT'!$C$8:$C$154=$C20)*'ANALYSE - ERP =&gt; SOUS-SEGMENT'!$Q$8:$Q$154*'ANALYSE - ERP =&gt; SOUS-SEGMENT'!$ID$8:$ID$154)</f>
        <v>1616.7157999999999</v>
      </c>
      <c r="IB20" s="313">
        <f>SUMPRODUCT(('ANALYSE - ERP =&gt; SOUS-SEGMENT'!$C$8:$C$154=$C20)*'ANALYSE - ERP =&gt; SOUS-SEGMENT'!$Q$8:$Q$154*'ANALYSE - ERP =&gt; SOUS-SEGMENT'!$IE$8:$IE$154)</f>
        <v>44702.987132146758</v>
      </c>
      <c r="IC20" s="313">
        <f>SUMPRODUCT(('ANALYSE - ERP =&gt; SOUS-SEGMENT'!$C$8:$C$154=$C20)*'ANALYSE - ERP =&gt; SOUS-SEGMENT'!$Q$8:$Q$154*'ANALYSE - ERP =&gt; SOUS-SEGMENT'!$IF$8:$IF$154)</f>
        <v>0</v>
      </c>
      <c r="ID20" s="313">
        <f>SUMPRODUCT(('ANALYSE - ERP =&gt; SOUS-SEGMENT'!$C$8:$C$154=$C20)*'ANALYSE - ERP =&gt; SOUS-SEGMENT'!$Q$8:$Q$154*'ANALYSE - ERP =&gt; SOUS-SEGMENT'!$IG$8:$IG$154)</f>
        <v>12216.964107168726</v>
      </c>
      <c r="IE20" s="313">
        <f>SUMPRODUCT(('ANALYSE - ERP =&gt; SOUS-SEGMENT'!$C$8:$C$154=$C20)*'ANALYSE - ERP =&gt; SOUS-SEGMENT'!$Q$8:$Q$154*'ANALYSE - ERP =&gt; SOUS-SEGMENT'!$IH$8:$IH$154)</f>
        <v>22992.860615293273</v>
      </c>
      <c r="IF20" s="313">
        <f>SUMPRODUCT(('ANALYSE - ERP =&gt; SOUS-SEGMENT'!$C$8:$C$154=$C20)*'ANALYSE - ERP =&gt; SOUS-SEGMENT'!$Q$8:$Q$154*'ANALYSE - ERP =&gt; SOUS-SEGMENT'!$II$8:$II$154)</f>
        <v>8541.3194544916914</v>
      </c>
      <c r="IG20" s="313">
        <f>SUMPRODUCT(('ANALYSE - ERP =&gt; SOUS-SEGMENT'!$C$8:$C$154=$C20)*'ANALYSE - ERP =&gt; SOUS-SEGMENT'!$Q$8:$Q$154*'ANALYSE - ERP =&gt; SOUS-SEGMENT'!$IJ$8:$IJ$154)</f>
        <v>951.84295519306488</v>
      </c>
      <c r="IH20" s="866"/>
      <c r="II20" s="314" t="s">
        <v>2780</v>
      </c>
      <c r="IJ20" s="299" t="s">
        <v>6760</v>
      </c>
      <c r="IK20" s="657"/>
      <c r="IL20" s="747">
        <f>IFERROR(SUMPRODUCT(('ANALYSE - ERP =&gt; SOUS-SEGMENT'!$C$8:$C$154=$C20)*'ANALYSE - ERP =&gt; SOUS-SEGMENT'!$Q$8:$Q$154*'ANALYSE - ERP =&gt; SOUS-SEGMENT'!$BE$8:$BE$154*'ANALYSE - ERP =&gt; SOUS-SEGMENT'!$IO$8:$IO$154)/SUMPRODUCT(('ANALYSE - ERP =&gt; SOUS-SEGMENT'!$C$8:$C$154=$C20)*'ANALYSE - ERP =&gt; SOUS-SEGMENT'!$Q$8:$Q$154*'ANALYSE - ERP =&gt; SOUS-SEGMENT'!$BE$8:$BE$154),0)</f>
        <v>0.01</v>
      </c>
      <c r="IM20" s="748">
        <f>IFERROR(SUMPRODUCT(('ANALYSE - ERP =&gt; SOUS-SEGMENT'!$C$8:$C$154=$C20)*'ANALYSE - ERP =&gt; SOUS-SEGMENT'!$Q$8:$Q$154*'ANALYSE - ERP =&gt; SOUS-SEGMENT'!$BE$8:$BE$154*'ANALYSE - ERP =&gt; SOUS-SEGMENT'!$IP$8:$IP$154)/SUMPRODUCT(('ANALYSE - ERP =&gt; SOUS-SEGMENT'!$C$8:$C$154=$C20)*'ANALYSE - ERP =&gt; SOUS-SEGMENT'!$Q$8:$Q$154*'ANALYSE - ERP =&gt; SOUS-SEGMENT'!$BE$8:$BE$154),0)</f>
        <v>0.28000000000000003</v>
      </c>
      <c r="IN20" s="748">
        <f>IFERROR(SUMPRODUCT(('ANALYSE - ERP =&gt; SOUS-SEGMENT'!$C$8:$C$154=$C20)*'ANALYSE - ERP =&gt; SOUS-SEGMENT'!$Q$8:$Q$154*'ANALYSE - ERP =&gt; SOUS-SEGMENT'!$BE$8:$BE$154*'ANALYSE - ERP =&gt; SOUS-SEGMENT'!$IQ$8:$IQ$154)/SUMPRODUCT(('ANALYSE - ERP =&gt; SOUS-SEGMENT'!$C$8:$C$154=$C20)*'ANALYSE - ERP =&gt; SOUS-SEGMENT'!$Q$8:$Q$154*'ANALYSE - ERP =&gt; SOUS-SEGMENT'!$BE$8:$BE$154),0)</f>
        <v>0.5</v>
      </c>
      <c r="IO20" s="748">
        <f>IFERROR(SUMPRODUCT(('ANALYSE - ERP =&gt; SOUS-SEGMENT'!$C$8:$C$154=$C20)*'ANALYSE - ERP =&gt; SOUS-SEGMENT'!$Q$8:$Q$154*'ANALYSE - ERP =&gt; SOUS-SEGMENT'!$BE$8:$BE$154*'ANALYSE - ERP =&gt; SOUS-SEGMENT'!$IR$8:$IR$154)/SUMPRODUCT(('ANALYSE - ERP =&gt; SOUS-SEGMENT'!$C$8:$C$154=$C20)*'ANALYSE - ERP =&gt; SOUS-SEGMENT'!$Q$8:$Q$154*'ANALYSE - ERP =&gt; SOUS-SEGMENT'!$BE$8:$BE$154),0)</f>
        <v>0.18999999999999997</v>
      </c>
      <c r="IP20" s="749">
        <f>IFERROR(SUMPRODUCT(('ANALYSE - ERP =&gt; SOUS-SEGMENT'!$C$8:$C$154=$C20)*'ANALYSE - ERP =&gt; SOUS-SEGMENT'!$Q$8:$Q$154*'ANALYSE - ERP =&gt; SOUS-SEGMENT'!$BE$8:$BE$154*'ANALYSE - ERP =&gt; SOUS-SEGMENT'!$IS$8:$IS$154)/SUMPRODUCT(('ANALYSE - ERP =&gt; SOUS-SEGMENT'!$C$8:$C$154=$C20)*'ANALYSE - ERP =&gt; SOUS-SEGMENT'!$Q$8:$Q$154*'ANALYSE - ERP =&gt; SOUS-SEGMENT'!$BE$8:$BE$154),0)</f>
        <v>0.02</v>
      </c>
      <c r="IQ20" s="748">
        <f>IFERROR(SUMPRODUCT(('ANALYSE - ERP =&gt; SOUS-SEGMENT'!$C$8:$C$154=$C20)*'ANALYSE - ERP =&gt; SOUS-SEGMENT'!$Q$8:$Q$154*'ANALYSE - ERP =&gt; SOUS-SEGMENT'!$FB$8:$FB$154*'ANALYSE - ERP =&gt; SOUS-SEGMENT'!$IT$8:$IT$154)/SUMPRODUCT(('ANALYSE - ERP =&gt; SOUS-SEGMENT'!$C$8:$C$154=$C20)*'ANALYSE - ERP =&gt; SOUS-SEGMENT'!$Q$8:$Q$154*'ANALYSE - ERP =&gt; SOUS-SEGMENT'!$FB$8:$FB$154),0)</f>
        <v>0</v>
      </c>
      <c r="IR20" s="748">
        <f>IFERROR(SUMPRODUCT(('ANALYSE - ERP =&gt; SOUS-SEGMENT'!$C$8:$C$154=$C20)*'ANALYSE - ERP =&gt; SOUS-SEGMENT'!$Q$8:$Q$154*'ANALYSE - ERP =&gt; SOUS-SEGMENT'!$FB$8:$FB$154*'ANALYSE - ERP =&gt; SOUS-SEGMENT'!$IU$8:$IU$154)/SUMPRODUCT(('ANALYSE - ERP =&gt; SOUS-SEGMENT'!$C$8:$C$154=$C20)*'ANALYSE - ERP =&gt; SOUS-SEGMENT'!$Q$8:$Q$154*'ANALYSE - ERP =&gt; SOUS-SEGMENT'!$FB$8:$FB$154),0)</f>
        <v>0.24129999999999996</v>
      </c>
      <c r="IS20" s="748">
        <f>IFERROR(SUMPRODUCT(('ANALYSE - ERP =&gt; SOUS-SEGMENT'!$C$8:$C$154=$C20)*'ANALYSE - ERP =&gt; SOUS-SEGMENT'!$Q$8:$Q$154*'ANALYSE - ERP =&gt; SOUS-SEGMENT'!$FB$8:$FB$154*'ANALYSE - ERP =&gt; SOUS-SEGMENT'!$IV$8:$IV$154)/SUMPRODUCT(('ANALYSE - ERP =&gt; SOUS-SEGMENT'!$C$8:$C$154=$C20)*'ANALYSE - ERP =&gt; SOUS-SEGMENT'!$Q$8:$Q$154*'ANALYSE - ERP =&gt; SOUS-SEGMENT'!$FB$8:$FB$154),0)</f>
        <v>0.51870000000000005</v>
      </c>
      <c r="IT20" s="748">
        <f>IFERROR(SUMPRODUCT(('ANALYSE - ERP =&gt; SOUS-SEGMENT'!$C$8:$C$154=$C20)*'ANALYSE - ERP =&gt; SOUS-SEGMENT'!$Q$8:$Q$154*'ANALYSE - ERP =&gt; SOUS-SEGMENT'!$FB$8:$FB$154*'ANALYSE - ERP =&gt; SOUS-SEGMENT'!$IW$8:$IW$154)/SUMPRODUCT(('ANALYSE - ERP =&gt; SOUS-SEGMENT'!$C$8:$C$154=$C20)*'ANALYSE - ERP =&gt; SOUS-SEGMENT'!$Q$8:$Q$154*'ANALYSE - ERP =&gt; SOUS-SEGMENT'!$FB$8:$FB$154),0)</f>
        <v>0.2142</v>
      </c>
      <c r="IU20" s="748">
        <f>IFERROR(SUMPRODUCT(('ANALYSE - ERP =&gt; SOUS-SEGMENT'!$C$8:$C$154=$C20)*'ANALYSE - ERP =&gt; SOUS-SEGMENT'!$Q$8:$Q$154*'ANALYSE - ERP =&gt; SOUS-SEGMENT'!$FB$8:$FB$154*'ANALYSE - ERP =&gt; SOUS-SEGMENT'!$IX$8:$IX$154)/SUMPRODUCT(('ANALYSE - ERP =&gt; SOUS-SEGMENT'!$C$8:$C$154=$C20)*'ANALYSE - ERP =&gt; SOUS-SEGMENT'!$Q$8:$Q$154*'ANALYSE - ERP =&gt; SOUS-SEGMENT'!$FB$8:$FB$154),0)</f>
        <v>2.58E-2</v>
      </c>
      <c r="IV20" s="772">
        <f>IFERROR(SUMPRODUCT(('ANALYSE - ERP =&gt; SOUS-SEGMENT'!$C$8:$C$154=$C20)*'ANALYSE - ERP =&gt; SOUS-SEGMENT'!$Q$8:$Q$154*'ANALYSE - ERP =&gt; SOUS-SEGMENT'!$BF$8:$BF$154*'ANALYSE - ERP =&gt; SOUS-SEGMENT'!$IY$8:$IY$154)/SUMPRODUCT(('ANALYSE - ERP =&gt; SOUS-SEGMENT'!$C$8:$C$154=$C20)*'ANALYSE - ERP =&gt; SOUS-SEGMENT'!$Q$8:$Q$154*'ANALYSE - ERP =&gt; SOUS-SEGMENT'!$BF$8:$BF$154),0)</f>
        <v>0</v>
      </c>
      <c r="IW20" s="773">
        <f>IFERROR(SUMPRODUCT(('ANALYSE - ERP =&gt; SOUS-SEGMENT'!$C$8:$C$154=$C20)*'ANALYSE - ERP =&gt; SOUS-SEGMENT'!$Q$8:$Q$154*'ANALYSE - ERP =&gt; SOUS-SEGMENT'!$BF$8:$BF$154*'ANALYSE - ERP =&gt; SOUS-SEGMENT'!$IZ$8:$IZ$154)/SUMPRODUCT(('ANALYSE - ERP =&gt; SOUS-SEGMENT'!$C$8:$C$154=$C20)*'ANALYSE - ERP =&gt; SOUS-SEGMENT'!$Q$8:$Q$154*'ANALYSE - ERP =&gt; SOUS-SEGMENT'!$BF$8:$BF$154),0)</f>
        <v>0</v>
      </c>
      <c r="IX20" s="773">
        <f>IFERROR(SUMPRODUCT(('ANALYSE - ERP =&gt; SOUS-SEGMENT'!$C$8:$C$154=$C20)*'ANALYSE - ERP =&gt; SOUS-SEGMENT'!$Q$8:$Q$154*'ANALYSE - ERP =&gt; SOUS-SEGMENT'!$BF$8:$BF$154*'ANALYSE - ERP =&gt; SOUS-SEGMENT'!$JA$8:$JA$154)/SUMPRODUCT(('ANALYSE - ERP =&gt; SOUS-SEGMENT'!$C$8:$C$154=$C20)*'ANALYSE - ERP =&gt; SOUS-SEGMENT'!$Q$8:$Q$154*'ANALYSE - ERP =&gt; SOUS-SEGMENT'!$BF$8:$BF$154),0)</f>
        <v>0</v>
      </c>
      <c r="IY20" s="773">
        <f>IFERROR(SUMPRODUCT(('ANALYSE - ERP =&gt; SOUS-SEGMENT'!$C$8:$C$154=$C20)*'ANALYSE - ERP =&gt; SOUS-SEGMENT'!$Q$8:$Q$154*'ANALYSE - ERP =&gt; SOUS-SEGMENT'!$BF$8:$BF$154*'ANALYSE - ERP =&gt; SOUS-SEGMENT'!$JB$8:$JB$154)/SUMPRODUCT(('ANALYSE - ERP =&gt; SOUS-SEGMENT'!$C$8:$C$154=$C20)*'ANALYSE - ERP =&gt; SOUS-SEGMENT'!$Q$8:$Q$154*'ANALYSE - ERP =&gt; SOUS-SEGMENT'!$BF$8:$BF$154),0)</f>
        <v>0</v>
      </c>
      <c r="IZ20" s="774">
        <f>IFERROR(SUMPRODUCT(('ANALYSE - ERP =&gt; SOUS-SEGMENT'!$C$8:$C$154=$C20)*'ANALYSE - ERP =&gt; SOUS-SEGMENT'!$Q$8:$Q$154*'ANALYSE - ERP =&gt; SOUS-SEGMENT'!$BF$8:$BF$154*'ANALYSE - ERP =&gt; SOUS-SEGMENT'!$JC$8:$JC$154)/SUMPRODUCT(('ANALYSE - ERP =&gt; SOUS-SEGMENT'!$C$8:$C$154=$C20)*'ANALYSE - ERP =&gt; SOUS-SEGMENT'!$Q$8:$Q$154*'ANALYSE - ERP =&gt; SOUS-SEGMENT'!$BF$8:$BF$154),0)</f>
        <v>0</v>
      </c>
      <c r="JA20" s="773">
        <f>IFERROR(SUMPRODUCT(('ANALYSE - ERP =&gt; SOUS-SEGMENT'!$C$8:$C$154=$C20)*'ANALYSE - ERP =&gt; SOUS-SEGMENT'!$Q$8:$Q$154*'ANALYSE - ERP =&gt; SOUS-SEGMENT'!$FE$8:$FE$154*'ANALYSE - ERP =&gt; SOUS-SEGMENT'!$JD$8:$JD$154)/SUMPRODUCT(('ANALYSE - ERP =&gt; SOUS-SEGMENT'!$C$8:$C$154=$C20)*'ANALYSE - ERP =&gt; SOUS-SEGMENT'!$Q$8:$Q$154*'ANALYSE - ERP =&gt; SOUS-SEGMENT'!$FE$8:$FE$154),0)</f>
        <v>0</v>
      </c>
      <c r="JB20" s="773">
        <f>IFERROR(SUMPRODUCT(('ANALYSE - ERP =&gt; SOUS-SEGMENT'!$C$8:$C$154=$C20)*'ANALYSE - ERP =&gt; SOUS-SEGMENT'!$Q$8:$Q$154*'ANALYSE - ERP =&gt; SOUS-SEGMENT'!$FE$8:$FE$154*'ANALYSE - ERP =&gt; SOUS-SEGMENT'!$JE$8:$JE$154)/SUMPRODUCT(('ANALYSE - ERP =&gt; SOUS-SEGMENT'!$C$8:$C$154=$C20)*'ANALYSE - ERP =&gt; SOUS-SEGMENT'!$Q$8:$Q$154*'ANALYSE - ERP =&gt; SOUS-SEGMENT'!$FE$8:$FE$154),0)</f>
        <v>0</v>
      </c>
      <c r="JC20" s="773">
        <f>IFERROR(SUMPRODUCT(('ANALYSE - ERP =&gt; SOUS-SEGMENT'!$C$8:$C$154=$C20)*'ANALYSE - ERP =&gt; SOUS-SEGMENT'!$Q$8:$Q$154*'ANALYSE - ERP =&gt; SOUS-SEGMENT'!$FE$8:$FE$154*'ANALYSE - ERP =&gt; SOUS-SEGMENT'!$JF$8:$JF$154)/SUMPRODUCT(('ANALYSE - ERP =&gt; SOUS-SEGMENT'!$C$8:$C$154=$C20)*'ANALYSE - ERP =&gt; SOUS-SEGMENT'!$Q$8:$Q$154*'ANALYSE - ERP =&gt; SOUS-SEGMENT'!$FE$8:$FE$154),0)</f>
        <v>0</v>
      </c>
      <c r="JD20" s="773">
        <f>IFERROR(SUMPRODUCT(('ANALYSE - ERP =&gt; SOUS-SEGMENT'!$C$8:$C$154=$C20)*'ANALYSE - ERP =&gt; SOUS-SEGMENT'!$Q$8:$Q$154*'ANALYSE - ERP =&gt; SOUS-SEGMENT'!$FE$8:$FE$154*'ANALYSE - ERP =&gt; SOUS-SEGMENT'!$JG$8:$JG$154)/SUMPRODUCT(('ANALYSE - ERP =&gt; SOUS-SEGMENT'!$C$8:$C$154=$C20)*'ANALYSE - ERP =&gt; SOUS-SEGMENT'!$Q$8:$Q$154*'ANALYSE - ERP =&gt; SOUS-SEGMENT'!$FE$8:$FE$154),0)</f>
        <v>0</v>
      </c>
      <c r="JE20" s="773">
        <f>IFERROR(SUMPRODUCT(('ANALYSE - ERP =&gt; SOUS-SEGMENT'!$C$8:$C$154=$C20)*'ANALYSE - ERP =&gt; SOUS-SEGMENT'!$Q$8:$Q$154*'ANALYSE - ERP =&gt; SOUS-SEGMENT'!$FE$8:$FE$154*'ANALYSE - ERP =&gt; SOUS-SEGMENT'!$JH$8:$JH$154)/SUMPRODUCT(('ANALYSE - ERP =&gt; SOUS-SEGMENT'!$C$8:$C$154=$C20)*'ANALYSE - ERP =&gt; SOUS-SEGMENT'!$Q$8:$Q$154*'ANALYSE - ERP =&gt; SOUS-SEGMENT'!$FE$8:$FE$154),0)</f>
        <v>0</v>
      </c>
      <c r="JF20" s="771">
        <f>IFERROR(SUMPRODUCT(('ANALYSE - ERP =&gt; SOUS-SEGMENT'!$C$8:$C$154=$C20)*'ANALYSE - ERP =&gt; SOUS-SEGMENT'!$Q$8:$Q$154*'ANALYSE - ERP =&gt; SOUS-SEGMENT'!$BG$8:$BG$154*'ANALYSE - ERP =&gt; SOUS-SEGMENT'!$JI$8:$JI$154)/SUMPRODUCT(('ANALYSE - ERP =&gt; SOUS-SEGMENT'!$C$8:$C$154=$C20)*'ANALYSE - ERP =&gt; SOUS-SEGMENT'!$Q$8:$Q$154*'ANALYSE - ERP =&gt; SOUS-SEGMENT'!$BG$8:$BG$154),0)</f>
        <v>2.0899999999999995E-2</v>
      </c>
      <c r="JG20" s="748">
        <f>IFERROR(SUMPRODUCT(('ANALYSE - ERP =&gt; SOUS-SEGMENT'!$C$8:$C$154=$C20)*'ANALYSE - ERP =&gt; SOUS-SEGMENT'!$Q$8:$Q$154*'ANALYSE - ERP =&gt; SOUS-SEGMENT'!$BG$8:$BG$154*'ANALYSE - ERP =&gt; SOUS-SEGMENT'!$JJ$8:$JJ$154)/SUMPRODUCT(('ANALYSE - ERP =&gt; SOUS-SEGMENT'!$C$8:$C$154=$C20)*'ANALYSE - ERP =&gt; SOUS-SEGMENT'!$Q$8:$Q$154*'ANALYSE - ERP =&gt; SOUS-SEGMENT'!$BG$8:$BG$154),0)</f>
        <v>0.43930000000000002</v>
      </c>
      <c r="JH20" s="748">
        <f>IFERROR(SUMPRODUCT(('ANALYSE - ERP =&gt; SOUS-SEGMENT'!$C$8:$C$154=$C20)*'ANALYSE - ERP =&gt; SOUS-SEGMENT'!$Q$8:$Q$154*'ANALYSE - ERP =&gt; SOUS-SEGMENT'!$BG$8:$BG$154*'ANALYSE - ERP =&gt; SOUS-SEGMENT'!$JK$8:$JK$154)/SUMPRODUCT(('ANALYSE - ERP =&gt; SOUS-SEGMENT'!$C$8:$C$154=$C20)*'ANALYSE - ERP =&gt; SOUS-SEGMENT'!$Q$8:$Q$154*'ANALYSE - ERP =&gt; SOUS-SEGMENT'!$BG$8:$BG$154),0)</f>
        <v>0.43579999999999997</v>
      </c>
      <c r="JI20" s="748">
        <f>IFERROR(SUMPRODUCT(('ANALYSE - ERP =&gt; SOUS-SEGMENT'!$C$8:$C$154=$C20)*'ANALYSE - ERP =&gt; SOUS-SEGMENT'!$Q$8:$Q$154*'ANALYSE - ERP =&gt; SOUS-SEGMENT'!$BG$8:$BG$154*'ANALYSE - ERP =&gt; SOUS-SEGMENT'!$JL$8:$JL$154)/SUMPRODUCT(('ANALYSE - ERP =&gt; SOUS-SEGMENT'!$C$8:$C$154=$C20)*'ANALYSE - ERP =&gt; SOUS-SEGMENT'!$Q$8:$Q$154*'ANALYSE - ERP =&gt; SOUS-SEGMENT'!$BG$8:$BG$154),0)</f>
        <v>9.9399999999999988E-2</v>
      </c>
      <c r="JJ20" s="749">
        <f>IFERROR(SUMPRODUCT(('ANALYSE - ERP =&gt; SOUS-SEGMENT'!$C$8:$C$154=$C20)*'ANALYSE - ERP =&gt; SOUS-SEGMENT'!$Q$8:$Q$154*'ANALYSE - ERP =&gt; SOUS-SEGMENT'!$BG$8:$BG$154*'ANALYSE - ERP =&gt; SOUS-SEGMENT'!$JM$8:$JM$154)/SUMPRODUCT(('ANALYSE - ERP =&gt; SOUS-SEGMENT'!$C$8:$C$154=$C20)*'ANALYSE - ERP =&gt; SOUS-SEGMENT'!$Q$8:$Q$154*'ANALYSE - ERP =&gt; SOUS-SEGMENT'!$BG$8:$BG$154),0)</f>
        <v>4.5999999999999999E-3</v>
      </c>
      <c r="JK20" s="748">
        <f>IFERROR(SUMPRODUCT(('ANALYSE - ERP =&gt; SOUS-SEGMENT'!$C$8:$C$154=$C20)*'ANALYSE - ERP =&gt; SOUS-SEGMENT'!$Q$8:$Q$154*'ANALYSE - ERP =&gt; SOUS-SEGMENT'!$FH$8:$FH$154*'ANALYSE - ERP =&gt; SOUS-SEGMENT'!$JN$8:$JN$154)/SUMPRODUCT(('ANALYSE - ERP =&gt; SOUS-SEGMENT'!$C$8:$C$154=$C20)*'ANALYSE - ERP =&gt; SOUS-SEGMENT'!$Q$8:$Q$154*'ANALYSE - ERP =&gt; SOUS-SEGMENT'!$FH$8:$FH$154),0)</f>
        <v>0</v>
      </c>
      <c r="JL20" s="748">
        <f>IFERROR(SUMPRODUCT(('ANALYSE - ERP =&gt; SOUS-SEGMENT'!$C$8:$C$154=$C20)*'ANALYSE - ERP =&gt; SOUS-SEGMENT'!$Q$8:$Q$154*'ANALYSE - ERP =&gt; SOUS-SEGMENT'!$FH$8:$FH$154*'ANALYSE - ERP =&gt; SOUS-SEGMENT'!$JO$8:$JO$154)/SUMPRODUCT(('ANALYSE - ERP =&gt; SOUS-SEGMENT'!$C$8:$C$154=$C20)*'ANALYSE - ERP =&gt; SOUS-SEGMENT'!$Q$8:$Q$154*'ANALYSE - ERP =&gt; SOUS-SEGMENT'!$FH$8:$FH$154),0)</f>
        <v>0.40210000000000007</v>
      </c>
      <c r="JM20" s="748">
        <f>IFERROR(SUMPRODUCT(('ANALYSE - ERP =&gt; SOUS-SEGMENT'!$C$8:$C$154=$C20)*'ANALYSE - ERP =&gt; SOUS-SEGMENT'!$Q$8:$Q$154*'ANALYSE - ERP =&gt; SOUS-SEGMENT'!$FH$8:$FH$154*'ANALYSE - ERP =&gt; SOUS-SEGMENT'!$JP$8:$JP$154)/SUMPRODUCT(('ANALYSE - ERP =&gt; SOUS-SEGMENT'!$C$8:$C$154=$C20)*'ANALYSE - ERP =&gt; SOUS-SEGMENT'!$Q$8:$Q$154*'ANALYSE - ERP =&gt; SOUS-SEGMENT'!$FH$8:$FH$154),0)</f>
        <v>0.46060000000000001</v>
      </c>
      <c r="JN20" s="748">
        <f>IFERROR(SUMPRODUCT(('ANALYSE - ERP =&gt; SOUS-SEGMENT'!$C$8:$C$154=$C20)*'ANALYSE - ERP =&gt; SOUS-SEGMENT'!$Q$8:$Q$154*'ANALYSE - ERP =&gt; SOUS-SEGMENT'!$FH$8:$FH$154*'ANALYSE - ERP =&gt; SOUS-SEGMENT'!$JQ$8:$JQ$154)/SUMPRODUCT(('ANALYSE - ERP =&gt; SOUS-SEGMENT'!$C$8:$C$154=$C20)*'ANALYSE - ERP =&gt; SOUS-SEGMENT'!$Q$8:$Q$154*'ANALYSE - ERP =&gt; SOUS-SEGMENT'!$FH$8:$FH$154),0)</f>
        <v>0.12660000000000002</v>
      </c>
      <c r="JO20" s="748">
        <f>IFERROR(SUMPRODUCT(('ANALYSE - ERP =&gt; SOUS-SEGMENT'!$C$8:$C$154=$C20)*'ANALYSE - ERP =&gt; SOUS-SEGMENT'!$Q$8:$Q$154*'ANALYSE - ERP =&gt; SOUS-SEGMENT'!$FH$8:$FH$154*'ANALYSE - ERP =&gt; SOUS-SEGMENT'!$JR$8:$JR$154)/SUMPRODUCT(('ANALYSE - ERP =&gt; SOUS-SEGMENT'!$C$8:$C$154=$C20)*'ANALYSE - ERP =&gt; SOUS-SEGMENT'!$Q$8:$Q$154*'ANALYSE - ERP =&gt; SOUS-SEGMENT'!$FH$8:$FH$154),0)</f>
        <v>1.0699999999999999E-2</v>
      </c>
      <c r="JP20" s="771">
        <f>IFERROR(SUMPRODUCT(('ANALYSE - ERP =&gt; SOUS-SEGMENT'!$C$8:$C$154=$C20)*'ANALYSE - ERP =&gt; SOUS-SEGMENT'!$Q$8:$Q$154*'ANALYSE - ERP =&gt; SOUS-SEGMENT'!$BH$8:$BH$154*'ANALYSE - ERP =&gt; SOUS-SEGMENT'!$JS$8:$JS$154)/SUMPRODUCT(('ANALYSE - ERP =&gt; SOUS-SEGMENT'!$C$8:$C$154=$C20)*'ANALYSE - ERP =&gt; SOUS-SEGMENT'!$Q$8:$Q$154*'ANALYSE - ERP =&gt; SOUS-SEGMENT'!$BH$8:$BH$154),0)</f>
        <v>1.12E-2</v>
      </c>
      <c r="JQ20" s="748">
        <f>IFERROR(SUMPRODUCT(('ANALYSE - ERP =&gt; SOUS-SEGMENT'!$C$8:$C$154=$C20)*'ANALYSE - ERP =&gt; SOUS-SEGMENT'!$Q$8:$Q$154*'ANALYSE - ERP =&gt; SOUS-SEGMENT'!$BH$8:$BH$154*'ANALYSE - ERP =&gt; SOUS-SEGMENT'!$JT$8:$JT$154)/SUMPRODUCT(('ANALYSE - ERP =&gt; SOUS-SEGMENT'!$C$8:$C$154=$C20)*'ANALYSE - ERP =&gt; SOUS-SEGMENT'!$Q$8:$Q$154*'ANALYSE - ERP =&gt; SOUS-SEGMENT'!$BH$8:$BH$154),0)</f>
        <v>0.29980000000000001</v>
      </c>
      <c r="JR20" s="748">
        <f>IFERROR(SUMPRODUCT(('ANALYSE - ERP =&gt; SOUS-SEGMENT'!$C$8:$C$154=$C20)*'ANALYSE - ERP =&gt; SOUS-SEGMENT'!$Q$8:$Q$154*'ANALYSE - ERP =&gt; SOUS-SEGMENT'!$BH$8:$BH$154*'ANALYSE - ERP =&gt; SOUS-SEGMENT'!$JU$8:$JU$154)/SUMPRODUCT(('ANALYSE - ERP =&gt; SOUS-SEGMENT'!$C$8:$C$154=$C20)*'ANALYSE - ERP =&gt; SOUS-SEGMENT'!$Q$8:$Q$154*'ANALYSE - ERP =&gt; SOUS-SEGMENT'!$BH$8:$BH$154),0)</f>
        <v>0.50990000000000002</v>
      </c>
      <c r="JS20" s="748">
        <f>IFERROR(SUMPRODUCT(('ANALYSE - ERP =&gt; SOUS-SEGMENT'!$C$8:$C$154=$C20)*'ANALYSE - ERP =&gt; SOUS-SEGMENT'!$Q$8:$Q$154*'ANALYSE - ERP =&gt; SOUS-SEGMENT'!$BH$8:$BH$154*'ANALYSE - ERP =&gt; SOUS-SEGMENT'!$JV$8:$JV$154)/SUMPRODUCT(('ANALYSE - ERP =&gt; SOUS-SEGMENT'!$C$8:$C$154=$C20)*'ANALYSE - ERP =&gt; SOUS-SEGMENT'!$Q$8:$Q$154*'ANALYSE - ERP =&gt; SOUS-SEGMENT'!$BH$8:$BH$154),0)</f>
        <v>0.16470000000000001</v>
      </c>
      <c r="JT20" s="749">
        <f>IFERROR(SUMPRODUCT(('ANALYSE - ERP =&gt; SOUS-SEGMENT'!$C$8:$C$154=$C20)*'ANALYSE - ERP =&gt; SOUS-SEGMENT'!$Q$8:$Q$154*'ANALYSE - ERP =&gt; SOUS-SEGMENT'!$BH$8:$BH$154*'ANALYSE - ERP =&gt; SOUS-SEGMENT'!$JW$8:$JW$154)/SUMPRODUCT(('ANALYSE - ERP =&gt; SOUS-SEGMENT'!$C$8:$C$154=$C20)*'ANALYSE - ERP =&gt; SOUS-SEGMENT'!$Q$8:$Q$154*'ANALYSE - ERP =&gt; SOUS-SEGMENT'!$BH$8:$BH$154),0)</f>
        <v>1.44E-2</v>
      </c>
      <c r="JU20" s="771">
        <f>IFERROR(SUMPRODUCT(('ANALYSE - ERP =&gt; SOUS-SEGMENT'!$C$8:$C$154=$C20)*'ANALYSE - ERP =&gt; SOUS-SEGMENT'!$Q$8:$Q$154*'ANALYSE - ERP =&gt; SOUS-SEGMENT'!$FK$8:$FK$154*'ANALYSE - ERP =&gt; SOUS-SEGMENT'!$JX$8:$JX$154)/SUMPRODUCT(('ANALYSE - ERP =&gt; SOUS-SEGMENT'!$C$8:$C$154=$C20)*'ANALYSE - ERP =&gt; SOUS-SEGMENT'!$Q$8:$Q$154*'ANALYSE - ERP =&gt; SOUS-SEGMENT'!$FK$8:$FK$154),0)</f>
        <v>0</v>
      </c>
      <c r="JV20" s="748">
        <f>IFERROR(SUMPRODUCT(('ANALYSE - ERP =&gt; SOUS-SEGMENT'!$C$8:$C$154=$C20)*'ANALYSE - ERP =&gt; SOUS-SEGMENT'!$Q$8:$Q$154*'ANALYSE - ERP =&gt; SOUS-SEGMENT'!$FK$8:$FK$154*'ANALYSE - ERP =&gt; SOUS-SEGMENT'!$JY$8:$JY$154)/SUMPRODUCT(('ANALYSE - ERP =&gt; SOUS-SEGMENT'!$C$8:$C$154=$C20)*'ANALYSE - ERP =&gt; SOUS-SEGMENT'!$Q$8:$Q$154*'ANALYSE - ERP =&gt; SOUS-SEGMENT'!$FK$8:$FK$154),0)</f>
        <v>0.2611</v>
      </c>
      <c r="JW20" s="748">
        <f>IFERROR(SUMPRODUCT(('ANALYSE - ERP =&gt; SOUS-SEGMENT'!$C$8:$C$154=$C20)*'ANALYSE - ERP =&gt; SOUS-SEGMENT'!$Q$8:$Q$154*'ANALYSE - ERP =&gt; SOUS-SEGMENT'!$FK$8:$FK$154*'ANALYSE - ERP =&gt; SOUS-SEGMENT'!$JZ$8:$JZ$154)/SUMPRODUCT(('ANALYSE - ERP =&gt; SOUS-SEGMENT'!$C$8:$C$154=$C20)*'ANALYSE - ERP =&gt; SOUS-SEGMENT'!$Q$8:$Q$154*'ANALYSE - ERP =&gt; SOUS-SEGMENT'!$FK$8:$FK$154),0)</f>
        <v>0.52900000000000014</v>
      </c>
      <c r="JX20" s="748">
        <f>IFERROR(SUMPRODUCT(('ANALYSE - ERP =&gt; SOUS-SEGMENT'!$C$8:$C$154=$C20)*'ANALYSE - ERP =&gt; SOUS-SEGMENT'!$Q$8:$Q$154*'ANALYSE - ERP =&gt; SOUS-SEGMENT'!$FK$8:$FK$154*'ANALYSE - ERP =&gt; SOUS-SEGMENT'!$KA$8:$KA$154)/SUMPRODUCT(('ANALYSE - ERP =&gt; SOUS-SEGMENT'!$C$8:$C$154=$C20)*'ANALYSE - ERP =&gt; SOUS-SEGMENT'!$Q$8:$Q$154*'ANALYSE - ERP =&gt; SOUS-SEGMENT'!$FK$8:$FK$154),0)</f>
        <v>0.18959999999999999</v>
      </c>
      <c r="JY20" s="775">
        <f>IFERROR(SUMPRODUCT(('ANALYSE - ERP =&gt; SOUS-SEGMENT'!$C$8:$C$154=$C20)*'ANALYSE - ERP =&gt; SOUS-SEGMENT'!$Q$8:$Q$154*'ANALYSE - ERP =&gt; SOUS-SEGMENT'!$FK$8:$FK$154*'ANALYSE - ERP =&gt; SOUS-SEGMENT'!$KB$8:$KB$154)/SUMPRODUCT(('ANALYSE - ERP =&gt; SOUS-SEGMENT'!$C$8:$C$154=$C20)*'ANALYSE - ERP =&gt; SOUS-SEGMENT'!$Q$8:$Q$154*'ANALYSE - ERP =&gt; SOUS-SEGMENT'!$FK$8:$FK$154),0)</f>
        <v>2.0299999999999999E-2</v>
      </c>
      <c r="JZ20" s="657"/>
      <c r="KA20" s="314" t="s">
        <v>2591</v>
      </c>
      <c r="KB20" s="314" t="s">
        <v>2625</v>
      </c>
      <c r="KC20" s="866">
        <f>IFERROR(SUMPRODUCT(('ANALYSE - ERP =&gt; SOUS-SEGMENT'!$C$8:$C$154=$C21)*'ANALYSE - ERP =&gt; SOUS-SEGMENT'!$Q$8:$Q$154*'ANALYSE - ERP =&gt; SOUS-SEGMENT'!$EX$8:$EX$154*'ANALYSE - ERP =&gt; SOUS-SEGMENT'!$KF$8:$KF$154)/SUMPRODUCT(('ANALYSE - ERP =&gt; SOUS-SEGMENT'!$C$8:$C$154=$C21)*'ANALYSE - ERP =&gt; SOUS-SEGMENT'!$Q$8:$Q$154*'ANALYSE - ERP =&gt; SOUS-SEGMENT'!$EX$8:$EX$154),"")</f>
        <v>4.0771907831114227</v>
      </c>
      <c r="KD20" s="314" t="s">
        <v>2616</v>
      </c>
      <c r="KE20" s="315" t="s">
        <v>7046</v>
      </c>
      <c r="KF20" s="617" t="s">
        <v>6760</v>
      </c>
      <c r="KG20" s="315" t="s">
        <v>6760</v>
      </c>
    </row>
    <row r="21" spans="1:293" s="549" customFormat="1" ht="108" customHeight="1">
      <c r="A21" s="550">
        <v>17</v>
      </c>
      <c r="B21" s="601" t="s">
        <v>2187</v>
      </c>
      <c r="C21" s="601" t="s">
        <v>1372</v>
      </c>
      <c r="D21" s="601" t="s">
        <v>7047</v>
      </c>
      <c r="E21" s="551" t="s">
        <v>2150</v>
      </c>
      <c r="F21" s="551" t="s">
        <v>300</v>
      </c>
      <c r="G21" s="551" t="s">
        <v>300</v>
      </c>
      <c r="H21" s="551" t="s">
        <v>2109</v>
      </c>
      <c r="I21" s="552" t="s">
        <v>7048</v>
      </c>
      <c r="J21" s="552" t="s">
        <v>7049</v>
      </c>
      <c r="K21" s="553" t="s">
        <v>2097</v>
      </c>
      <c r="L21" s="553" t="s">
        <v>2109</v>
      </c>
      <c r="M21" s="553" t="s">
        <v>2603</v>
      </c>
      <c r="N21" s="553" t="s">
        <v>6742</v>
      </c>
      <c r="O21" s="553" t="s">
        <v>2616</v>
      </c>
      <c r="P21" s="552"/>
      <c r="Q21" s="270">
        <f>IF(SUMPRODUCT(('ANALYSE - ERP =&gt; SOUS-SEGMENT'!$C$8:$C$154=$C21)*'ANALYSE - ERP =&gt; SOUS-SEGMENT'!$Q$8:$Q$154)&gt;0,1,0)</f>
        <v>1</v>
      </c>
      <c r="R21" s="554">
        <f>IFERROR(SUMPRODUCT(('ANALYSE - ERP =&gt; SOUS-SEGMENT'!$C$8:$C$154=$C21)*'ANALYSE - ERP =&gt; SOUS-SEGMENT'!$Q$8:$Q$154*'ANALYSE - ERP =&gt; SOUS-SEGMENT'!$AG$8:$AG$154*'ANALYSE - ERP =&gt; SOUS-SEGMENT'!$R$8:$R$154)/SUMPRODUCT(('ANALYSE - ERP =&gt; SOUS-SEGMENT'!$C$8:$C$154=$C21)*'ANALYSE - ERP =&gt; SOUS-SEGMENT'!$Q$8:$Q$154*'ANALYSE - ERP =&gt; SOUS-SEGMENT'!$AG$8:$AG$154),"")</f>
        <v>8894.145288290576</v>
      </c>
      <c r="S21" s="555">
        <f>SUMPRODUCT(('ANALYSE - ERP =&gt; SOUS-SEGMENT'!$C$8:$C$154=$C21)*'ANALYSE - ERP =&gt; SOUS-SEGMENT'!$Q$8:$Q$154*'ANALYSE - ERP =&gt; SOUS-SEGMENT'!$S$8:$S$154)</f>
        <v>3630</v>
      </c>
      <c r="T21" s="555">
        <f>SUMPRODUCT(('ANALYSE - ERP =&gt; SOUS-SEGMENT'!$C$8:$C$154=$C21)*'ANALYSE - ERP =&gt; SOUS-SEGMENT'!$Q$8:$Q$154*'ANALYSE - ERP =&gt; SOUS-SEGMENT'!$T$8:$T$154)</f>
        <v>3830</v>
      </c>
      <c r="U21" s="555">
        <f>SUMPRODUCT(('ANALYSE - ERP =&gt; SOUS-SEGMENT'!$C$8:$C$154=$C21)*'ANALYSE - ERP =&gt; SOUS-SEGMENT'!$Q$8:$Q$154*'ANALYSE - ERP =&gt; SOUS-SEGMENT'!$U$8:$U$154)</f>
        <v>3970</v>
      </c>
      <c r="V21" s="555">
        <f>SUMPRODUCT(('ANALYSE - ERP =&gt; SOUS-SEGMENT'!$C$8:$C$154=$C21)*'ANALYSE - ERP =&gt; SOUS-SEGMENT'!$Q$8:$Q$154*'ANALYSE - ERP =&gt; SOUS-SEGMENT'!$V$8:$V$154)</f>
        <v>4165</v>
      </c>
      <c r="W21" s="555">
        <f>SUMPRODUCT(('ANALYSE - ERP =&gt; SOUS-SEGMENT'!$C$8:$C$154=$C21)*'ANALYSE - ERP =&gt; SOUS-SEGMENT'!$Q$8:$Q$154*'ANALYSE - ERP =&gt; SOUS-SEGMENT'!$W$8:$W$154)</f>
        <v>4170</v>
      </c>
      <c r="X21" s="555">
        <f>SUMPRODUCT(('ANALYSE - ERP =&gt; SOUS-SEGMENT'!$C$8:$C$154=$C21)*'ANALYSE - ERP =&gt; SOUS-SEGMENT'!$Q$8:$Q$154*'ANALYSE - ERP =&gt; SOUS-SEGMENT'!$X$8:$X$154)</f>
        <v>4170</v>
      </c>
      <c r="Y21" s="555">
        <f>SUMPRODUCT(('ANALYSE - ERP =&gt; SOUS-SEGMENT'!$C$8:$C$154=$C21)*'ANALYSE - ERP =&gt; SOUS-SEGMENT'!$Q$8:$Q$154*'ANALYSE - ERP =&gt; SOUS-SEGMENT'!$Y$8:$Y$154)</f>
        <v>4165</v>
      </c>
      <c r="Z21" s="555">
        <f>SUMPRODUCT(('ANALYSE - ERP =&gt; SOUS-SEGMENT'!$C$8:$C$154=$C21)*'ANALYSE - ERP =&gt; SOUS-SEGMENT'!$Q$8:$Q$154*'ANALYSE - ERP =&gt; SOUS-SEGMENT'!$Z$8:$Z$154)</f>
        <v>4155</v>
      </c>
      <c r="AA21" s="555">
        <f>SUMPRODUCT(('ANALYSE - ERP =&gt; SOUS-SEGMENT'!$C$8:$C$154=$C21)*'ANALYSE - ERP =&gt; SOUS-SEGMENT'!$Q$8:$Q$154*'ANALYSE - ERP =&gt; SOUS-SEGMENT'!$AA$8:$AA$154)</f>
        <v>4130</v>
      </c>
      <c r="AB21" s="555">
        <f>SUMPRODUCT(('ANALYSE - ERP =&gt; SOUS-SEGMENT'!$C$8:$C$154=$C21)*'ANALYSE - ERP =&gt; SOUS-SEGMENT'!$Q$8:$Q$154*'ANALYSE - ERP =&gt; SOUS-SEGMENT'!$AB$8:$AB$154)</f>
        <v>4091</v>
      </c>
      <c r="AC21" s="555">
        <f>SUMPRODUCT(('ANALYSE - ERP =&gt; SOUS-SEGMENT'!$C$8:$C$154=$C21)*'ANALYSE - ERP =&gt; SOUS-SEGMENT'!$Q$8:$Q$154*'ANALYSE - ERP =&gt; SOUS-SEGMENT'!$AC$8:$AC$154)</f>
        <v>4047</v>
      </c>
      <c r="AD21" s="555">
        <f>SUMPRODUCT(('ANALYSE - ERP =&gt; SOUS-SEGMENT'!$C$8:$C$154=$C21)*'ANALYSE - ERP =&gt; SOUS-SEGMENT'!$Q$8:$Q$154*'ANALYSE - ERP =&gt; SOUS-SEGMENT'!$AD$8:$AD$154)</f>
        <v>4016</v>
      </c>
      <c r="AE21" s="555">
        <f>SUMPRODUCT(('ANALYSE - ERP =&gt; SOUS-SEGMENT'!$C$8:$C$154=$C21)*'ANALYSE - ERP =&gt; SOUS-SEGMENT'!$Q$8:$Q$154*'ANALYSE - ERP =&gt; SOUS-SEGMENT'!$AE$8:$AE$154)</f>
        <v>3994</v>
      </c>
      <c r="AF21" s="555">
        <f>SUMPRODUCT(('ANALYSE - ERP =&gt; SOUS-SEGMENT'!$C$8:$C$154=$C21)*'ANALYSE - ERP =&gt; SOUS-SEGMENT'!$Q$8:$Q$154*'ANALYSE - ERP =&gt; SOUS-SEGMENT'!$AF$8:$AF$154)</f>
        <v>3960</v>
      </c>
      <c r="AG21" s="555">
        <f>SUMPRODUCT(('ANALYSE - ERP =&gt; SOUS-SEGMENT'!$C$8:$C$154=$C21)*'ANALYSE - ERP =&gt; SOUS-SEGMENT'!$Q$8:$Q$154*'ANALYSE - ERP =&gt; SOUS-SEGMENT'!$AG$8:$AG$154)</f>
        <v>3937</v>
      </c>
      <c r="AH21" s="555">
        <f>SUMPRODUCT(('ANALYSE - ERP =&gt; SOUS-SEGMENT'!$C$8:$C$154=$C21)*'ANALYSE - ERP =&gt; SOUS-SEGMENT'!$Q$8:$Q$154*'ANALYSE - ERP =&gt; SOUS-SEGMENT'!$AH$8:$AH$154)</f>
        <v>3907</v>
      </c>
      <c r="AI21" s="555">
        <f>SUMPRODUCT(('ANALYSE - ERP =&gt; SOUS-SEGMENT'!$C$8:$C$154=$C21)*'ANALYSE - ERP =&gt; SOUS-SEGMENT'!$Q$8:$Q$154*'ANALYSE - ERP =&gt; SOUS-SEGMENT'!$AI$8:$AI$154)</f>
        <v>3877</v>
      </c>
      <c r="AJ21" s="555">
        <f>SUMPRODUCT(('ANALYSE - ERP =&gt; SOUS-SEGMENT'!$C$8:$C$154=$C21)*'ANALYSE - ERP =&gt; SOUS-SEGMENT'!$Q$8:$Q$154*'ANALYSE - ERP =&gt; SOUS-SEGMENT'!$AJ$8:$AJ$154)</f>
        <v>3844</v>
      </c>
      <c r="AK21" s="555">
        <f>SUMPRODUCT(('ANALYSE - ERP =&gt; SOUS-SEGMENT'!$C$8:$C$154=$C21)*'ANALYSE - ERP =&gt; SOUS-SEGMENT'!$Q$8:$Q$154*'ANALYSE - ERP =&gt; SOUS-SEGMENT'!$AK$8:$AK$154)</f>
        <v>3815</v>
      </c>
      <c r="AL21" s="552" t="s">
        <v>7050</v>
      </c>
      <c r="AM21" s="552" t="s">
        <v>7051</v>
      </c>
      <c r="AN21" s="552" t="s">
        <v>2148</v>
      </c>
      <c r="AO21" s="529"/>
      <c r="AP21" s="554">
        <f>IFERROR(SUMPRODUCT(('ANALYSE - ERP =&gt; SOUS-SEGMENT'!$C$8:$C$154=$C21)*'ANALYSE - ERP =&gt; SOUS-SEGMENT'!$Q$8:$Q$154*'ANALYSE - ERP =&gt; SOUS-SEGMENT'!$AG$8:$AG$154*'ANALYSE - ERP =&gt; SOUS-SEGMENT'!$AP$8:$AP$154)/SUMPRODUCT(('ANALYSE - ERP =&gt; SOUS-SEGMENT'!$C$8:$C$154=$C21)*'ANALYSE - ERP =&gt; SOUS-SEGMENT'!$Q$8:$Q$154*'ANALYSE - ERP =&gt; SOUS-SEGMENT'!$AG$8:$AG$154),"")</f>
        <v>1056.6929133858268</v>
      </c>
      <c r="AQ21" s="556">
        <f>IFERROR(SUMPRODUCT(('ANALYSE - ERP =&gt; SOUS-SEGMENT'!$C$8:$C$154=$C21)*'ANALYSE - ERP =&gt; SOUS-SEGMENT'!$Q$8:$Q$154*'ANALYSE - ERP =&gt; SOUS-SEGMENT'!$AF$8:$AF$154*'ANALYSE - ERP =&gt; SOUS-SEGMENT'!$AQ$8:$AQ$154)/SUMPRODUCT(('ANALYSE - ERP =&gt; SOUS-SEGMENT'!$C$8:$C$154=$C21)*'ANALYSE - ERP =&gt; SOUS-SEGMENT'!$Q$8:$Q$154*'ANALYSE - ERP =&gt; SOUS-SEGMENT'!$AF$8:$AF$154),"")</f>
        <v>861.29292929292933</v>
      </c>
      <c r="AR21" s="975">
        <f>IFERROR(SUMPRODUCT(('ANALYSE - ERP =&gt; SOUS-SEGMENT'!$C$8:$C$154=$C21)*'ANALYSE - ERP =&gt; SOUS-SEGMENT'!$Q$8:$Q$154*'ANALYSE - ERP =&gt; SOUS-SEGMENT'!$AF$8:$AF$154*'ANALYSE - ERP =&gt; SOUS-SEGMENT'!$AR$8:$AR$154)/SUMPRODUCT(('ANALYSE - ERP =&gt; SOUS-SEGMENT'!$C$8:$C$154=$C21)*'ANALYSE - ERP =&gt; SOUS-SEGMENT'!$Q$8:$Q$154*'ANALYSE - ERP =&gt; SOUS-SEGMENT'!$AF$8:$AF$154),"")</f>
        <v>138.64646464646464</v>
      </c>
      <c r="AS21" s="975">
        <f>IFERROR(SUMPRODUCT(('ANALYSE - ERP =&gt; SOUS-SEGMENT'!$C$8:$C$154=$C21)*'ANALYSE - ERP =&gt; SOUS-SEGMENT'!$Q$8:$Q$154*'ANALYSE - ERP =&gt; SOUS-SEGMENT'!$AF$8:$AF$154*'ANALYSE - ERP =&gt; SOUS-SEGMENT'!$AS$8:$AS$154)/SUMPRODUCT(('ANALYSE - ERP =&gt; SOUS-SEGMENT'!$C$8:$C$154=$C21)*'ANALYSE - ERP =&gt; SOUS-SEGMENT'!$Q$8:$Q$154*'ANALYSE - ERP =&gt; SOUS-SEGMENT'!$AF$8:$AF$154),"")</f>
        <v>51.373737373737377</v>
      </c>
      <c r="AT21" s="529" t="s">
        <v>7052</v>
      </c>
      <c r="AU21" s="537" t="s">
        <v>7053</v>
      </c>
      <c r="AV21" s="573" t="s">
        <v>2609</v>
      </c>
      <c r="AW21" s="537"/>
      <c r="AX21" s="529"/>
      <c r="AY21" s="557">
        <f>IFERROR(SUMPRODUCT(('ANALYSE - ERP =&gt; SOUS-SEGMENT'!$C$8:$C$154=$C21)*'ANALYSE - ERP =&gt; SOUS-SEGMENT'!$Q$8:$Q$154*'ANALYSE - ERP =&gt; SOUS-SEGMENT'!$AF$8:$AF$154*'ANALYSE - ERP =&gt; SOUS-SEGMENT'!$AZ$8:$AZ$154)/SUMPRODUCT(('ANALYSE - ERP =&gt; SOUS-SEGMENT'!$C$8:$C$154=$C21)*'ANALYSE - ERP =&gt; SOUS-SEGMENT'!$Q$8:$Q$154*'ANALYSE - ERP =&gt; SOUS-SEGMENT'!$AF$8:$AF$154),"")</f>
        <v>26.024242424242424</v>
      </c>
      <c r="AZ21" s="976">
        <f>IFERROR(SUMPRODUCT(('ANALYSE - ERP =&gt; SOUS-SEGMENT'!$C$8:$C$154=$C21)*'ANALYSE - ERP =&gt; SOUS-SEGMENT'!$Q$8:$Q$154*'ANALYSE - ERP =&gt; SOUS-SEGMENT'!$AF$8:$AF$154*'ANALYSE - ERP =&gt; SOUS-SEGMENT'!$BA$8:$BA$154)/SUMPRODUCT(('ANALYSE - ERP =&gt; SOUS-SEGMENT'!$C$8:$C$154=$C21)*'ANALYSE - ERP =&gt; SOUS-SEGMENT'!$Q$8:$Q$154*'ANALYSE - ERP =&gt; SOUS-SEGMENT'!$AF$8:$AF$154),"")</f>
        <v>1.1038383838383838</v>
      </c>
      <c r="BA21" s="557">
        <f>IFERROR(SUMPRODUCT(('ANALYSE - ERP =&gt; SOUS-SEGMENT'!$C$8:$C$154=$C21)*'ANALYSE - ERP =&gt; SOUS-SEGMENT'!$Q$8:$Q$154*'ANALYSE - ERP =&gt; SOUS-SEGMENT'!$AF$8:$AF$154*'ANALYSE - ERP =&gt; SOUS-SEGMENT'!$BB$8:$BB$154)/SUMPRODUCT(('ANALYSE - ERP =&gt; SOUS-SEGMENT'!$C$8:$C$154=$C21)*'ANALYSE - ERP =&gt; SOUS-SEGMENT'!$Q$8:$Q$154*'ANALYSE - ERP =&gt; SOUS-SEGMENT'!$AF$8:$AF$154),"")</f>
        <v>6.0202020202020199</v>
      </c>
      <c r="BB21" s="557">
        <f>IFERROR(SUMPRODUCT(('ANALYSE - ERP =&gt; SOUS-SEGMENT'!$C$8:$C$154=$C21)*'ANALYSE - ERP =&gt; SOUS-SEGMENT'!$Q$8:$Q$154*'ANALYSE - ERP =&gt; SOUS-SEGMENT'!$AF$8:$AF$154*'ANALYSE - ERP =&gt; SOUS-SEGMENT'!$BC$8:$BC$154)/SUMPRODUCT(('ANALYSE - ERP =&gt; SOUS-SEGMENT'!$C$8:$C$154=$C21)*'ANALYSE - ERP =&gt; SOUS-SEGMENT'!$Q$8:$Q$154*'ANALYSE - ERP =&gt; SOUS-SEGMENT'!$AF$8:$AF$154),"")</f>
        <v>24.183838383838385</v>
      </c>
      <c r="BC21" s="558">
        <f>SUMPRODUCT(('ANALYSE - ERP =&gt; SOUS-SEGMENT'!$C$8:$C$154=$C21)*'ANALYSE - ERP =&gt; SOUS-SEGMENT'!$Q$8:$Q$154*'ANALYSE - ERP =&gt; SOUS-SEGMENT'!$BE$8:$BE$154)</f>
        <v>103056</v>
      </c>
      <c r="BD21" s="558">
        <f>SUMPRODUCT(('ANALYSE - ERP =&gt; SOUS-SEGMENT'!$C$8:$C$154=$C21)*'ANALYSE - ERP =&gt; SOUS-SEGMENT'!$Q$8:$Q$154*'ANALYSE - ERP =&gt; SOUS-SEGMENT'!$BF$8:$BF$154)</f>
        <v>4371.2</v>
      </c>
      <c r="BE21" s="558">
        <f>SUMPRODUCT(('ANALYSE - ERP =&gt; SOUS-SEGMENT'!$C$8:$C$154=$C21)*'ANALYSE - ERP =&gt; SOUS-SEGMENT'!$Q$8:$Q$154*'ANALYSE - ERP =&gt; SOUS-SEGMENT'!$BG$8:$BG$154)</f>
        <v>23840</v>
      </c>
      <c r="BF21" s="558">
        <f>SUMPRODUCT(('ANALYSE - ERP =&gt; SOUS-SEGMENT'!$C$8:$C$154=$C21)*'ANALYSE - ERP =&gt; SOUS-SEGMENT'!$Q$8:$Q$154*'ANALYSE - ERP =&gt; SOUS-SEGMENT'!$BH$8:$BH$154)</f>
        <v>95768</v>
      </c>
      <c r="BG21" s="558">
        <f>SUMPRODUCT(('ANALYSE - ERP =&gt; SOUS-SEGMENT'!$C$8:$C$154=$C21)*'ANALYSE - ERP =&gt; SOUS-SEGMENT'!$Q$8:$Q$154*'ANALYSE - ERP =&gt; SOUS-SEGMENT'!$BJ$8:$BJ$154)</f>
        <v>102120</v>
      </c>
      <c r="BH21" s="558">
        <f>SUMPRODUCT(('ANALYSE - ERP =&gt; SOUS-SEGMENT'!$C$8:$C$154=$C21)*'ANALYSE - ERP =&gt; SOUS-SEGMENT'!$Q$8:$Q$154*'ANALYSE - ERP =&gt; SOUS-SEGMENT'!$BK$8:$BK$154)</f>
        <v>4344</v>
      </c>
      <c r="BI21" s="558">
        <f>SUMPRODUCT(('ANALYSE - ERP =&gt; SOUS-SEGMENT'!$C$8:$C$154=$C21)*'ANALYSE - ERP =&gt; SOUS-SEGMENT'!$Q$8:$Q$154*'ANALYSE - ERP =&gt; SOUS-SEGMENT'!$BL$8:$BL$154)</f>
        <v>23560</v>
      </c>
      <c r="BJ21" s="558">
        <f>SUMPRODUCT(('ANALYSE - ERP =&gt; SOUS-SEGMENT'!$C$8:$C$154=$C21)*'ANALYSE - ERP =&gt; SOUS-SEGMENT'!$Q$8:$Q$154*'ANALYSE - ERP =&gt; SOUS-SEGMENT'!$BM$8:$BM$154)</f>
        <v>94925</v>
      </c>
      <c r="BK21" s="529"/>
      <c r="BL21" s="602">
        <f>IFERROR(SUMPRODUCT(('ANALYSE - ERP =&gt; SOUS-SEGMENT'!$C$8:$C$154=$C21)*'ANALYSE - ERP =&gt; SOUS-SEGMENT'!$Q$8:$Q$154*'ANALYSE - ERP =&gt; SOUS-SEGMENT'!$BE$8:$BE$154*'ANALYSE - ERP =&gt; SOUS-SEGMENT'!$BO$8:$BO$154)/SUMPRODUCT(('ANALYSE - ERP =&gt; SOUS-SEGMENT'!$C$8:$C$154=$C21)*'ANALYSE - ERP =&gt; SOUS-SEGMENT'!$Q$8:$Q$154*'ANALYSE - ERP =&gt; SOUS-SEGMENT'!$BE$8:$BE$154),"")</f>
        <v>0.31061481136469493</v>
      </c>
      <c r="BM21" s="532">
        <f>IFERROR(SUMPRODUCT(('ANALYSE - ERP =&gt; SOUS-SEGMENT'!$C$8:$C$154=$C21)*'ANALYSE - ERP =&gt; SOUS-SEGMENT'!$Q$8:$Q$154*'ANALYSE - ERP =&gt; SOUS-SEGMENT'!$BE$8:$BE$154*'ANALYSE - ERP =&gt; SOUS-SEGMENT'!$BP$8:$BP$154)/SUMPRODUCT(('ANALYSE - ERP =&gt; SOUS-SEGMENT'!$C$8:$C$154=$C21)*'ANALYSE - ERP =&gt; SOUS-SEGMENT'!$Q$8:$Q$154*'ANALYSE - ERP =&gt; SOUS-SEGMENT'!$BE$8:$BE$154),"")</f>
        <v>0.47834963514982148</v>
      </c>
      <c r="BN21" s="532">
        <f>IFERROR(SUMPRODUCT(('ANALYSE - ERP =&gt; SOUS-SEGMENT'!$C$8:$C$154=$C21)*'ANALYSE - ERP =&gt; SOUS-SEGMENT'!$Q$8:$Q$154*'ANALYSE - ERP =&gt; SOUS-SEGMENT'!$BE$8:$BE$154*'ANALYSE - ERP =&gt; SOUS-SEGMENT'!$BQ$8:$BQ$154)/SUMPRODUCT(('ANALYSE - ERP =&gt; SOUS-SEGMENT'!$C$8:$C$154=$C21)*'ANALYSE - ERP =&gt; SOUS-SEGMENT'!$Q$8:$Q$154*'ANALYSE - ERP =&gt; SOUS-SEGMENT'!$BE$8:$BE$154),"")</f>
        <v>0.16103555348548362</v>
      </c>
      <c r="BO21" s="603">
        <f>IFERROR(SUMPRODUCT(('ANALYSE - ERP =&gt; SOUS-SEGMENT'!$C$8:$C$154=$C21)*'ANALYSE - ERP =&gt; SOUS-SEGMENT'!$Q$8:$Q$154*'ANALYSE - ERP =&gt; SOUS-SEGMENT'!$BE$8:$BE$154*'ANALYSE - ERP =&gt; SOUS-SEGMENT'!$BR$8:$BR$154)/SUMPRODUCT(('ANALYSE - ERP =&gt; SOUS-SEGMENT'!$C$8:$C$154=$C21)*'ANALYSE - ERP =&gt; SOUS-SEGMENT'!$Q$8:$Q$154*'ANALYSE - ERP =&gt; SOUS-SEGMENT'!$BE$8:$BE$154),"")</f>
        <v>0.05</v>
      </c>
      <c r="BP21" s="602">
        <f>IFERROR(SUMPRODUCT(('ANALYSE - ERP =&gt; SOUS-SEGMENT'!$C$8:$C$154=$C21)*'ANALYSE - ERP =&gt; SOUS-SEGMENT'!$Q$8:$Q$154*'ANALYSE - ERP =&gt; SOUS-SEGMENT'!$BJ$8:$BJ$154*'ANALYSE - ERP =&gt; SOUS-SEGMENT'!$BS$8:$BS$154)/SUMPRODUCT(('ANALYSE - ERP =&gt; SOUS-SEGMENT'!$C$8:$C$154=$C21)*'ANALYSE - ERP =&gt; SOUS-SEGMENT'!$Q$8:$Q$154*'ANALYSE - ERP =&gt; SOUS-SEGMENT'!$BJ$8:$BJ$154),"")</f>
        <v>0.27114766940853896</v>
      </c>
      <c r="BQ21" s="532">
        <f>IFERROR(SUMPRODUCT(('ANALYSE - ERP =&gt; SOUS-SEGMENT'!$C$8:$C$154=$C21)*'ANALYSE - ERP =&gt; SOUS-SEGMENT'!$Q$8:$Q$154*'ANALYSE - ERP =&gt; SOUS-SEGMENT'!$BJ$8:$BJ$154*'ANALYSE - ERP =&gt; SOUS-SEGMENT'!$BT$8:$BT$154)/SUMPRODUCT(('ANALYSE - ERP =&gt; SOUS-SEGMENT'!$C$8:$C$154=$C21)*'ANALYSE - ERP =&gt; SOUS-SEGMENT'!$Q$8:$Q$154*'ANALYSE - ERP =&gt; SOUS-SEGMENT'!$BJ$8:$BJ$154),"")</f>
        <v>0.46840971406188797</v>
      </c>
      <c r="BR21" s="532">
        <f>IFERROR(SUMPRODUCT(('ANALYSE - ERP =&gt; SOUS-SEGMENT'!$C$8:$C$154=$C21)*'ANALYSE - ERP =&gt; SOUS-SEGMENT'!$Q$8:$Q$154*'ANALYSE - ERP =&gt; SOUS-SEGMENT'!$BJ$8:$BJ$154*'ANALYSE - ERP =&gt; SOUS-SEGMENT'!$BU$8:$BU$154)/SUMPRODUCT(('ANALYSE - ERP =&gt; SOUS-SEGMENT'!$C$8:$C$154=$C21)*'ANALYSE - ERP =&gt; SOUS-SEGMENT'!$Q$8:$Q$154*'ANALYSE - ERP =&gt; SOUS-SEGMENT'!$BJ$8:$BJ$154),"")</f>
        <v>0.21706227967097533</v>
      </c>
      <c r="BS21" s="603">
        <f>IFERROR(SUMPRODUCT(('ANALYSE - ERP =&gt; SOUS-SEGMENT'!$C$8:$C$154=$C21)*'ANALYSE - ERP =&gt; SOUS-SEGMENT'!$Q$8:$Q$154*'ANALYSE - ERP =&gt; SOUS-SEGMENT'!$BJ$8:$BJ$154*'ANALYSE - ERP =&gt; SOUS-SEGMENT'!$BV$8:$BV$154)/SUMPRODUCT(('ANALYSE - ERP =&gt; SOUS-SEGMENT'!$C$8:$C$154=$C21)*'ANALYSE - ERP =&gt; SOUS-SEGMENT'!$Q$8:$Q$154*'ANALYSE - ERP =&gt; SOUS-SEGMENT'!$BJ$8:$BJ$154),"")</f>
        <v>4.3380336858597726E-2</v>
      </c>
      <c r="BT21" s="604">
        <f>IFERROR(SUMPRODUCT(('ANALYSE - ERP =&gt; SOUS-SEGMENT'!$C$8:$C$154=$C21)*'ANALYSE - ERP =&gt; SOUS-SEGMENT'!$Q$8:$Q$154*'ANALYSE - ERP =&gt; SOUS-SEGMENT'!$BF$8:$BF$154*'ANALYSE - ERP =&gt; SOUS-SEGMENT'!$BW$8:$BW$154)/SUMPRODUCT(('ANALYSE - ERP =&gt; SOUS-SEGMENT'!$C$8:$C$154=$C21)*'ANALYSE - ERP =&gt; SOUS-SEGMENT'!$Q$8:$Q$154*'ANALYSE - ERP =&gt; SOUS-SEGMENT'!$BF$8:$BF$154),"")</f>
        <v>0.36295754026354321</v>
      </c>
      <c r="BU21" s="533">
        <f>IFERROR(SUMPRODUCT(('ANALYSE - ERP =&gt; SOUS-SEGMENT'!$C$8:$C$154=$C21)*'ANALYSE - ERP =&gt; SOUS-SEGMENT'!$Q$8:$Q$154*'ANALYSE - ERP =&gt; SOUS-SEGMENT'!$BF$8:$BF$154*'ANALYSE - ERP =&gt; SOUS-SEGMENT'!$BX$8:$BX$154)/SUMPRODUCT(('ANALYSE - ERP =&gt; SOUS-SEGMENT'!$C$8:$C$154=$C21)*'ANALYSE - ERP =&gt; SOUS-SEGMENT'!$Q$8:$Q$154*'ANALYSE - ERP =&gt; SOUS-SEGMENT'!$BF$8:$BF$154),"")</f>
        <v>0.43806734992679358</v>
      </c>
      <c r="BV21" s="605">
        <f>IFERROR(SUMPRODUCT(('ANALYSE - ERP =&gt; SOUS-SEGMENT'!$C$8:$C$154=$C21)*'ANALYSE - ERP =&gt; SOUS-SEGMENT'!$Q$8:$Q$154*'ANALYSE - ERP =&gt; SOUS-SEGMENT'!$BF$8:$BF$154*'ANALYSE - ERP =&gt; SOUS-SEGMENT'!$BY$8:$BY$154)/SUMPRODUCT(('ANALYSE - ERP =&gt; SOUS-SEGMENT'!$C$8:$C$154=$C21)*'ANALYSE - ERP =&gt; SOUS-SEGMENT'!$Q$8:$Q$154*'ANALYSE - ERP =&gt; SOUS-SEGMENT'!$BF$8:$BF$154),"")</f>
        <v>0.19897510980966329</v>
      </c>
      <c r="BW21" s="604">
        <f>IFERROR(SUMPRODUCT(('ANALYSE - ERP =&gt; SOUS-SEGMENT'!$C$8:$C$154=$C21)*'ANALYSE - ERP =&gt; SOUS-SEGMENT'!$Q$8:$Q$154*'ANALYSE - ERP =&gt; SOUS-SEGMENT'!$BK$8:$BK$154*'ANALYSE - ERP =&gt; SOUS-SEGMENT'!$BZ$8:$BZ$154)/SUMPRODUCT(('ANALYSE - ERP =&gt; SOUS-SEGMENT'!$C$8:$C$154=$C21)*'ANALYSE - ERP =&gt; SOUS-SEGMENT'!$Q$8:$Q$154*'ANALYSE - ERP =&gt; SOUS-SEGMENT'!$BK$8:$BK$154),"")</f>
        <v>0.31550644567219155</v>
      </c>
      <c r="BX21" s="533">
        <f>IFERROR(SUMPRODUCT(('ANALYSE - ERP =&gt; SOUS-SEGMENT'!$C$8:$C$154=$C21)*'ANALYSE - ERP =&gt; SOUS-SEGMENT'!$Q$8:$Q$154*'ANALYSE - ERP =&gt; SOUS-SEGMENT'!$BK$8:$BK$154*'ANALYSE - ERP =&gt; SOUS-SEGMENT'!$CA$8:$CA$154)/SUMPRODUCT(('ANALYSE - ERP =&gt; SOUS-SEGMENT'!$C$8:$C$154=$C21)*'ANALYSE - ERP =&gt; SOUS-SEGMENT'!$Q$8:$Q$154*'ANALYSE - ERP =&gt; SOUS-SEGMENT'!$BK$8:$BK$154),"")</f>
        <v>0.45334254143646407</v>
      </c>
      <c r="BY21" s="605">
        <f>IFERROR(SUMPRODUCT(('ANALYSE - ERP =&gt; SOUS-SEGMENT'!$C$8:$C$154=$C21)*'ANALYSE - ERP =&gt; SOUS-SEGMENT'!$Q$8:$Q$154*'ANALYSE - ERP =&gt; SOUS-SEGMENT'!$BK$8:$BK$154*'ANALYSE - ERP =&gt; SOUS-SEGMENT'!$CB$8:$CB$154)/SUMPRODUCT(('ANALYSE - ERP =&gt; SOUS-SEGMENT'!$C$8:$C$154=$C21)*'ANALYSE - ERP =&gt; SOUS-SEGMENT'!$Q$8:$Q$154*'ANALYSE - ERP =&gt; SOUS-SEGMENT'!$BK$8:$BK$154),"")</f>
        <v>0.2311510128913444</v>
      </c>
      <c r="BZ21" s="602">
        <f>IFERROR(SUMPRODUCT(('ANALYSE - ERP =&gt; SOUS-SEGMENT'!$C$8:$C$154=$C21)*'ANALYSE - ERP =&gt; SOUS-SEGMENT'!$Q$8:$Q$154*'ANALYSE - ERP =&gt; SOUS-SEGMENT'!$BG$8:$BG$154*'ANALYSE - ERP =&gt; SOUS-SEGMENT'!$CC$8:$CC$154)/SUMPRODUCT(('ANALYSE - ERP =&gt; SOUS-SEGMENT'!$C$8:$C$154=$C21)*'ANALYSE - ERP =&gt; SOUS-SEGMENT'!$Q$8:$Q$154*'ANALYSE - ERP =&gt; SOUS-SEGMENT'!$BG$8:$BG$154),"")</f>
        <v>0.10436241610738255</v>
      </c>
      <c r="CA21" s="532">
        <f>IFERROR(SUMPRODUCT(('ANALYSE - ERP =&gt; SOUS-SEGMENT'!$C$8:$C$154=$C21)*'ANALYSE - ERP =&gt; SOUS-SEGMENT'!$Q$8:$Q$154*'ANALYSE - ERP =&gt; SOUS-SEGMENT'!$BG$8:$BG$154*'ANALYSE - ERP =&gt; SOUS-SEGMENT'!$CD$8:$CD$154)/SUMPRODUCT(('ANALYSE - ERP =&gt; SOUS-SEGMENT'!$C$8:$C$154=$C21)*'ANALYSE - ERP =&gt; SOUS-SEGMENT'!$Q$8:$Q$154*'ANALYSE - ERP =&gt; SOUS-SEGMENT'!$BG$8:$BG$154),"")</f>
        <v>0.49756375838926176</v>
      </c>
      <c r="CB21" s="532">
        <f>IFERROR(SUMPRODUCT(('ANALYSE - ERP =&gt; SOUS-SEGMENT'!$C$8:$C$154=$C21)*'ANALYSE - ERP =&gt; SOUS-SEGMENT'!$Q$8:$Q$154*'ANALYSE - ERP =&gt; SOUS-SEGMENT'!$BG$8:$BG$154*'ANALYSE - ERP =&gt; SOUS-SEGMENT'!$CE$8:$CE$154)/SUMPRODUCT(('ANALYSE - ERP =&gt; SOUS-SEGMENT'!$C$8:$C$154=$C21)*'ANALYSE - ERP =&gt; SOUS-SEGMENT'!$Q$8:$Q$154*'ANALYSE - ERP =&gt; SOUS-SEGMENT'!$BG$8:$BG$154),"")</f>
        <v>0.19859060402684561</v>
      </c>
      <c r="CC21" s="603">
        <f>IFERROR(SUMPRODUCT(('ANALYSE - ERP =&gt; SOUS-SEGMENT'!$C$8:$C$154=$C21)*'ANALYSE - ERP =&gt; SOUS-SEGMENT'!$Q$8:$Q$154*'ANALYSE - ERP =&gt; SOUS-SEGMENT'!$BG$8:$BG$154*'ANALYSE - ERP =&gt; SOUS-SEGMENT'!$CF$8:$CF$154)/SUMPRODUCT(('ANALYSE - ERP =&gt; SOUS-SEGMENT'!$C$8:$C$154=$C21)*'ANALYSE - ERP =&gt; SOUS-SEGMENT'!$Q$8:$Q$154*'ANALYSE - ERP =&gt; SOUS-SEGMENT'!$BG$8:$BG$154),"")</f>
        <v>0.19948322147651007</v>
      </c>
      <c r="CD21" s="602">
        <f>IFERROR(SUMPRODUCT(('ANALYSE - ERP =&gt; SOUS-SEGMENT'!$C$8:$C$154=$C21)*'ANALYSE - ERP =&gt; SOUS-SEGMENT'!$Q$8:$Q$154*'ANALYSE - ERP =&gt; SOUS-SEGMENT'!$BL$8:$BL$154*'ANALYSE - ERP =&gt; SOUS-SEGMENT'!$CG$8:$CG$154)/SUMPRODUCT(('ANALYSE - ERP =&gt; SOUS-SEGMENT'!$C$8:$C$154=$C21)*'ANALYSE - ERP =&gt; SOUS-SEGMENT'!$Q$8:$Q$154*'ANALYSE - ERP =&gt; SOUS-SEGMENT'!$BL$8:$BL$154),"")</f>
        <v>8.3327674023769088E-2</v>
      </c>
      <c r="CE21" s="532">
        <f>IFERROR(SUMPRODUCT(('ANALYSE - ERP =&gt; SOUS-SEGMENT'!$C$8:$C$154=$C21)*'ANALYSE - ERP =&gt; SOUS-SEGMENT'!$Q$8:$Q$154*'ANALYSE - ERP =&gt; SOUS-SEGMENT'!$BL$8:$BL$154*'ANALYSE - ERP =&gt; SOUS-SEGMENT'!$CH$8:$CH$154)/SUMPRODUCT(('ANALYSE - ERP =&gt; SOUS-SEGMENT'!$C$8:$C$154=$C21)*'ANALYSE - ERP =&gt; SOUS-SEGMENT'!$Q$8:$Q$154*'ANALYSE - ERP =&gt; SOUS-SEGMENT'!$BL$8:$BL$154),"")</f>
        <v>0.48258913412563664</v>
      </c>
      <c r="CF21" s="532">
        <f>IFERROR(SUMPRODUCT(('ANALYSE - ERP =&gt; SOUS-SEGMENT'!$C$8:$C$154=$C21)*'ANALYSE - ERP =&gt; SOUS-SEGMENT'!$Q$8:$Q$154*'ANALYSE - ERP =&gt; SOUS-SEGMENT'!$BL$8:$BL$154*'ANALYSE - ERP =&gt; SOUS-SEGMENT'!$CI$8:$CI$154)/SUMPRODUCT(('ANALYSE - ERP =&gt; SOUS-SEGMENT'!$C$8:$C$154=$C21)*'ANALYSE - ERP =&gt; SOUS-SEGMENT'!$Q$8:$Q$154*'ANALYSE - ERP =&gt; SOUS-SEGMENT'!$BL$8:$BL$154),"")</f>
        <v>0.22561120543293717</v>
      </c>
      <c r="CG21" s="603">
        <f>IFERROR(SUMPRODUCT(('ANALYSE - ERP =&gt; SOUS-SEGMENT'!$C$8:$C$154=$C21)*'ANALYSE - ERP =&gt; SOUS-SEGMENT'!$Q$8:$Q$154*'ANALYSE - ERP =&gt; SOUS-SEGMENT'!$BL$8:$BL$154*'ANALYSE - ERP =&gt; SOUS-SEGMENT'!$CJ$8:$CJ$154)/SUMPRODUCT(('ANALYSE - ERP =&gt; SOUS-SEGMENT'!$C$8:$C$154=$C21)*'ANALYSE - ERP =&gt; SOUS-SEGMENT'!$Q$8:$Q$154*'ANALYSE - ERP =&gt; SOUS-SEGMENT'!$BL$8:$BL$154),"")</f>
        <v>0.20847198641765702</v>
      </c>
      <c r="CH21" s="604">
        <f>IFERROR(SUMPRODUCT(('ANALYSE - ERP =&gt; SOUS-SEGMENT'!$C$8:$C$154=$C21)*'ANALYSE - ERP =&gt; SOUS-SEGMENT'!$Q$8:$Q$154*'ANALYSE - ERP =&gt; SOUS-SEGMENT'!$BH$8:$BH$154*'ANALYSE - ERP =&gt; SOUS-SEGMENT'!$CK$8:$CK$154)/SUMPRODUCT(('ANALYSE - ERP =&gt; SOUS-SEGMENT'!$C$8:$C$154=$C21)*'ANALYSE - ERP =&gt; SOUS-SEGMENT'!$Q$8:$Q$154*'ANALYSE - ERP =&gt; SOUS-SEGMENT'!$BH$8:$BH$154),"")</f>
        <v>0.4828961657338568</v>
      </c>
      <c r="CI21" s="533">
        <f>IFERROR(SUMPRODUCT(('ANALYSE - ERP =&gt; SOUS-SEGMENT'!$C$8:$C$154=$C21)*'ANALYSE - ERP =&gt; SOUS-SEGMENT'!$Q$8:$Q$154*'ANALYSE - ERP =&gt; SOUS-SEGMENT'!$BH$8:$BH$154*'ANALYSE - ERP =&gt; SOUS-SEGMENT'!$CL$8:$CL$154)/SUMPRODUCT(('ANALYSE - ERP =&gt; SOUS-SEGMENT'!$C$8:$C$154=$C21)*'ANALYSE - ERP =&gt; SOUS-SEGMENT'!$Q$8:$Q$154*'ANALYSE - ERP =&gt; SOUS-SEGMENT'!$BH$8:$BH$154),"")</f>
        <v>0.35407234149193889</v>
      </c>
      <c r="CJ21" s="605">
        <f>IFERROR(SUMPRODUCT(('ANALYSE - ERP =&gt; SOUS-SEGMENT'!$C$8:$C$154=$C21)*'ANALYSE - ERP =&gt; SOUS-SEGMENT'!$Q$8:$Q$154*'ANALYSE - ERP =&gt; SOUS-SEGMENT'!$BH$8:$BH$154*'ANALYSE - ERP =&gt; SOUS-SEGMENT'!$CM$8:$CM$154)/SUMPRODUCT(('ANALYSE - ERP =&gt; SOUS-SEGMENT'!$C$8:$C$154=$C21)*'ANALYSE - ERP =&gt; SOUS-SEGMENT'!$Q$8:$Q$154*'ANALYSE - ERP =&gt; SOUS-SEGMENT'!$BH$8:$BH$154),"")</f>
        <v>0.16303149277420434</v>
      </c>
      <c r="CK21" s="604">
        <f>IFERROR(SUMPRODUCT(('ANALYSE - ERP =&gt; SOUS-SEGMENT'!$C$8:$C$154=$C21)*'ANALYSE - ERP =&gt; SOUS-SEGMENT'!$Q$8:$Q$154*'ANALYSE - ERP =&gt; SOUS-SEGMENT'!$BM$8:$BM$154*'ANALYSE - ERP =&gt; SOUS-SEGMENT'!$CN$8:$CN$154)/SUMPRODUCT(('ANALYSE - ERP =&gt; SOUS-SEGMENT'!$C$8:$C$154=$C21)*'ANALYSE - ERP =&gt; SOUS-SEGMENT'!$Q$8:$Q$154*'ANALYSE - ERP =&gt; SOUS-SEGMENT'!$BM$8:$BM$154),"")</f>
        <v>0.41706926520937587</v>
      </c>
      <c r="CL21" s="533">
        <f>IFERROR(SUMPRODUCT(('ANALYSE - ERP =&gt; SOUS-SEGMENT'!$C$8:$C$154=$C21)*'ANALYSE - ERP =&gt; SOUS-SEGMENT'!$Q$8:$Q$154*'ANALYSE - ERP =&gt; SOUS-SEGMENT'!$BM$8:$BM$154*'ANALYSE - ERP =&gt; SOUS-SEGMENT'!$CO$8:$CO$154)/SUMPRODUCT(('ANALYSE - ERP =&gt; SOUS-SEGMENT'!$C$8:$C$154=$C21)*'ANALYSE - ERP =&gt; SOUS-SEGMENT'!$Q$8:$Q$154*'ANALYSE - ERP =&gt; SOUS-SEGMENT'!$BM$8:$BM$154),"")</f>
        <v>0.39066894917039768</v>
      </c>
      <c r="CM21" s="605">
        <f>IFERROR(SUMPRODUCT(('ANALYSE - ERP =&gt; SOUS-SEGMENT'!$C$8:$C$154=$C21)*'ANALYSE - ERP =&gt; SOUS-SEGMENT'!$Q$8:$Q$154*'ANALYSE - ERP =&gt; SOUS-SEGMENT'!$BM$8:$BM$154*'ANALYSE - ERP =&gt; SOUS-SEGMENT'!$CP$8:$CP$154)/SUMPRODUCT(('ANALYSE - ERP =&gt; SOUS-SEGMENT'!$C$8:$C$154=$C21)*'ANALYSE - ERP =&gt; SOUS-SEGMENT'!$Q$8:$Q$154*'ANALYSE - ERP =&gt; SOUS-SEGMENT'!$BM$8:$BM$154),"")</f>
        <v>0.1922617856202265</v>
      </c>
      <c r="CN21" s="529"/>
      <c r="CO21" s="894">
        <f>IFERROR(SUMPRODUCT(('ANALYSE - ERP =&gt; SOUS-SEGMENT'!$C$8:$C$154=$C21)*'ANALYSE - ERP =&gt; SOUS-SEGMENT'!$DH$8:$DH$154*('ANALYSE - ERP =&gt; SOUS-SEGMENT'!$CR$8:$CR$154&gt;0)*'ANALYSE - ERP =&gt; SOUS-SEGMENT'!$CR$8:$CR$154)/SUMPRODUCT(('ANALYSE - ERP =&gt; SOUS-SEGMENT'!$C$8:$C$154=$C21)*'ANALYSE - ERP =&gt; SOUS-SEGMENT'!$DH$8:$DH$154*('ANALYSE - ERP =&gt; SOUS-SEGMENT'!$CR$8:$CR$154&gt;0)),"")</f>
        <v>10.873292447030243</v>
      </c>
      <c r="CP21" s="895">
        <f>IFERROR(SUMPRODUCT(('ANALYSE - ERP =&gt; SOUS-SEGMENT'!$C$8:$C$154=$C21)*'ANALYSE - ERP =&gt; SOUS-SEGMENT'!$DI$8:$DI$154*('ANALYSE - ERP =&gt; SOUS-SEGMENT'!$CS$8:$CS$154&gt;0)*'ANALYSE - ERP =&gt; SOUS-SEGMENT'!$CS$8:$CS$154)/SUMPRODUCT(('ANALYSE - ERP =&gt; SOUS-SEGMENT'!$C$8:$C$154=$C21)*'ANALYSE - ERP =&gt; SOUS-SEGMENT'!$DI$8:$DI$154*('ANALYSE - ERP =&gt; SOUS-SEGMENT'!$CS$8:$CS$154&gt;0)),"")</f>
        <v>11.95675175670632</v>
      </c>
      <c r="CQ21" s="895">
        <f>IFERROR(SUMPRODUCT(('ANALYSE - ERP =&gt; SOUS-SEGMENT'!$C$8:$C$154=$C21)*'ANALYSE - ERP =&gt; SOUS-SEGMENT'!$DJ$8:$DJ$154*('ANALYSE - ERP =&gt; SOUS-SEGMENT'!$CT$8:$CT$154&gt;0)*'ANALYSE - ERP =&gt; SOUS-SEGMENT'!$CT$8:$CT$154)/SUMPRODUCT(('ANALYSE - ERP =&gt; SOUS-SEGMENT'!$C$8:$C$154=$C21)*'ANALYSE - ERP =&gt; SOUS-SEGMENT'!$DJ$8:$DJ$154*('ANALYSE - ERP =&gt; SOUS-SEGMENT'!$CT$8:$CT$154&gt;0)),"")</f>
        <v>8</v>
      </c>
      <c r="CR21" s="896">
        <f>IFERROR(SUMPRODUCT(('ANALYSE - ERP =&gt; SOUS-SEGMENT'!$C$8:$C$154=$C21)*'ANALYSE - ERP =&gt; SOUS-SEGMENT'!$DK$8:$DK$154*('ANALYSE - ERP =&gt; SOUS-SEGMENT'!$CU$8:$CU$154&gt;0)*'ANALYSE - ERP =&gt; SOUS-SEGMENT'!$CU$8:$CU$154)/SUMPRODUCT(('ANALYSE - ERP =&gt; SOUS-SEGMENT'!$C$8:$C$154=$C21)*'ANALYSE - ERP =&gt; SOUS-SEGMENT'!$DK$8:$DK$154*('ANALYSE - ERP =&gt; SOUS-SEGMENT'!$CU$8:$CU$154&gt;0)),"")</f>
        <v>9.9495419965843812</v>
      </c>
      <c r="CS21" s="894">
        <f>IFERROR(SUMPRODUCT(('ANALYSE - ERP =&gt; SOUS-SEGMENT'!$C$8:$C$154=$C21)*'ANALYSE - ERP =&gt; SOUS-SEGMENT'!$DS$8:$DS$154*('ANALYSE - ERP =&gt; SOUS-SEGMENT'!$CV$8:$CV$154&gt;0)*'ANALYSE - ERP =&gt; SOUS-SEGMENT'!$CV$8:$CV$154)/SUMPRODUCT(('ANALYSE - ERP =&gt; SOUS-SEGMENT'!$C$8:$C$154=$C21)*'ANALYSE - ERP =&gt; SOUS-SEGMENT'!$DS$8:$DS$154*('ANALYSE - ERP =&gt; SOUS-SEGMENT'!$CV$8:$CV$154&gt;0)),"")</f>
        <v>10.65752319483663</v>
      </c>
      <c r="CT21" s="895">
        <f>IFERROR(SUMPRODUCT(('ANALYSE - ERP =&gt; SOUS-SEGMENT'!$C$8:$C$154=$C21)*'ANALYSE - ERP =&gt; SOUS-SEGMENT'!$DT$8:$DT$154*('ANALYSE - ERP =&gt; SOUS-SEGMENT'!$CW$8:$CW$154&gt;0)*'ANALYSE - ERP =&gt; SOUS-SEGMENT'!$CW$8:$CW$154)/SUMPRODUCT(('ANALYSE - ERP =&gt; SOUS-SEGMENT'!$C$8:$C$154=$C21)*'ANALYSE - ERP =&gt; SOUS-SEGMENT'!$DT$8:$DT$154*('ANALYSE - ERP =&gt; SOUS-SEGMENT'!$CW$8:$CW$154&gt;0)),"")</f>
        <v>9.4358288770053491</v>
      </c>
      <c r="CU21" s="896">
        <f>IFERROR(SUMPRODUCT(('ANALYSE - ERP =&gt; SOUS-SEGMENT'!$C$8:$C$154=$C21)*'ANALYSE - ERP =&gt; SOUS-SEGMENT'!$DU$8:$DU$154*('ANALYSE - ERP =&gt; SOUS-SEGMENT'!$CX$8:$CX$154&gt;0)*'ANALYSE - ERP =&gt; SOUS-SEGMENT'!$CX$8:$CX$154)/SUMPRODUCT(('ANALYSE - ERP =&gt; SOUS-SEGMENT'!$C$8:$C$154=$C21)*'ANALYSE - ERP =&gt; SOUS-SEGMENT'!$DU$8:$DU$154*('ANALYSE - ERP =&gt; SOUS-SEGMENT'!$CX$8:$CX$154&gt;0)),"")</f>
        <v>7.2398822663723319</v>
      </c>
      <c r="CV21" s="894">
        <f>IFERROR(SUMPRODUCT(('ANALYSE - ERP =&gt; SOUS-SEGMENT'!$C$8:$C$154=$C21)*'ANALYSE - ERP =&gt; SOUS-SEGMENT'!$EB$8:$EB$154*('ANALYSE - ERP =&gt; SOUS-SEGMENT'!$CY$8:$CY$154&gt;0)*'ANALYSE - ERP =&gt; SOUS-SEGMENT'!$CY$8:$CY$154)/SUMPRODUCT(('ANALYSE - ERP =&gt; SOUS-SEGMENT'!$C$8:$C$154=$C21)*'ANALYSE - ERP =&gt; SOUS-SEGMENT'!$EB$8:$EB$154*('ANALYSE - ERP =&gt; SOUS-SEGMENT'!$CY$8:$CY$154&gt;0)),"")</f>
        <v>8.9163987138263661</v>
      </c>
      <c r="CW21" s="895">
        <f>IFERROR(SUMPRODUCT(('ANALYSE - ERP =&gt; SOUS-SEGMENT'!$C$8:$C$154=$C21)*'ANALYSE - ERP =&gt; SOUS-SEGMENT'!$EC$8:$EC$154*('ANALYSE - ERP =&gt; SOUS-SEGMENT'!$CZ$8:$CZ$154&gt;0)*'ANALYSE - ERP =&gt; SOUS-SEGMENT'!$CZ$8:$CZ$154)/SUMPRODUCT(('ANALYSE - ERP =&gt; SOUS-SEGMENT'!$C$8:$C$154=$C21)*'ANALYSE - ERP =&gt; SOUS-SEGMENT'!$EC$8:$EC$154*('ANALYSE - ERP =&gt; SOUS-SEGMENT'!$CZ$8:$CZ$154&gt;0)),"")</f>
        <v>11</v>
      </c>
      <c r="CX21" s="895">
        <f>IFERROR(SUMPRODUCT(('ANALYSE - ERP =&gt; SOUS-SEGMENT'!$C$8:$C$154=$C21)*'ANALYSE - ERP =&gt; SOUS-SEGMENT'!$ED$8:$ED$154*('ANALYSE - ERP =&gt; SOUS-SEGMENT'!$DA$8:$DA$154&gt;0)*'ANALYSE - ERP =&gt; SOUS-SEGMENT'!$DA$8:$DA$154)/SUMPRODUCT(('ANALYSE - ERP =&gt; SOUS-SEGMENT'!$C$8:$C$154=$C21)*'ANALYSE - ERP =&gt; SOUS-SEGMENT'!$ED$8:$ED$154*('ANALYSE - ERP =&gt; SOUS-SEGMENT'!$DA$8:$DA$154&gt;0)),"")</f>
        <v>7.0439337614058815</v>
      </c>
      <c r="CY21" s="897">
        <f>IFERROR(SUMPRODUCT(('ANALYSE - ERP =&gt; SOUS-SEGMENT'!$C$8:$C$154=$C21)*'ANALYSE - ERP =&gt; SOUS-SEGMENT'!$EE$8:$EE$154*('ANALYSE - ERP =&gt; SOUS-SEGMENT'!$DB$8:$DB$154&gt;0)*'ANALYSE - ERP =&gt; SOUS-SEGMENT'!$DB$8:$DB$154)/SUMPRODUCT(('ANALYSE - ERP =&gt; SOUS-SEGMENT'!$C$8:$C$154=$C21)*'ANALYSE - ERP =&gt; SOUS-SEGMENT'!$EE$8:$EE$154*('ANALYSE - ERP =&gt; SOUS-SEGMENT'!$DB$8:$DB$154&gt;0)),"")</f>
        <v>8.9999999999999982</v>
      </c>
      <c r="CZ21" s="898">
        <f>IFERROR(SUMPRODUCT(('ANALYSE - ERP =&gt; SOUS-SEGMENT'!$C$8:$C$154=$C21)*'ANALYSE - ERP =&gt; SOUS-SEGMENT'!$EM$8:$EM$154*('ANALYSE - ERP =&gt; SOUS-SEGMENT'!$DC$8:$DC$154&gt;0)*'ANALYSE - ERP =&gt; SOUS-SEGMENT'!$DC$8:$DC$154)/SUMPRODUCT(('ANALYSE - ERP =&gt; SOUS-SEGMENT'!$C$8:$C$154=$C21)*'ANALYSE - ERP =&gt; SOUS-SEGMENT'!$EM$8:$EM$154*('ANALYSE - ERP =&gt; SOUS-SEGMENT'!$DC$8:$DC$154&gt;0)),"")</f>
        <v>11.833023396618087</v>
      </c>
      <c r="DA21" s="895">
        <f>IFERROR(SUMPRODUCT(('ANALYSE - ERP =&gt; SOUS-SEGMENT'!$C$8:$C$154=$C21)*'ANALYSE - ERP =&gt; SOUS-SEGMENT'!$EN$8:$EN$154*('ANALYSE - ERP =&gt; SOUS-SEGMENT'!$DD$8:$DD$154&gt;0)*'ANALYSE - ERP =&gt; SOUS-SEGMENT'!$DD$8:$DD$154)/SUMPRODUCT(('ANALYSE - ERP =&gt; SOUS-SEGMENT'!$C$8:$C$154=$C21)*'ANALYSE - ERP =&gt; SOUS-SEGMENT'!$EN$8:$EN$154*('ANALYSE - ERP =&gt; SOUS-SEGMENT'!$DD$8:$DD$154&gt;0)),"")</f>
        <v>11.999999999999998</v>
      </c>
      <c r="DB21" s="897">
        <f>IFERROR(SUMPRODUCT(('ANALYSE - ERP =&gt; SOUS-SEGMENT'!$C$8:$C$154=$C21)*'ANALYSE - ERP =&gt; SOUS-SEGMENT'!$EO$8:$EO$154*('ANALYSE - ERP =&gt; SOUS-SEGMENT'!$DE$8:$DE$154&gt;0)*'ANALYSE - ERP =&gt; SOUS-SEGMENT'!$DE$8:$DE$154)/SUMPRODUCT(('ANALYSE - ERP =&gt; SOUS-SEGMENT'!$C$8:$C$154=$C21)*'ANALYSE - ERP =&gt; SOUS-SEGMENT'!$EO$8:$EO$154*('ANALYSE - ERP =&gt; SOUS-SEGMENT'!$DE$8:$DE$154&gt;0)),"")</f>
        <v>8.0449619552686187</v>
      </c>
      <c r="DC21" s="611" t="s">
        <v>7054</v>
      </c>
      <c r="DD21" s="529"/>
      <c r="DE21" s="559">
        <f t="shared" si="2"/>
        <v>32010.720000000001</v>
      </c>
      <c r="DF21" s="559">
        <f t="shared" si="3"/>
        <v>49296.800000000003</v>
      </c>
      <c r="DG21" s="559">
        <f t="shared" si="4"/>
        <v>16595.68</v>
      </c>
      <c r="DH21" s="559">
        <f t="shared" si="5"/>
        <v>5152.8</v>
      </c>
      <c r="DI21" s="560" t="s">
        <v>7055</v>
      </c>
      <c r="DJ21" s="559">
        <f t="shared" si="6"/>
        <v>27689.599999999999</v>
      </c>
      <c r="DK21" s="559">
        <f t="shared" si="7"/>
        <v>47834</v>
      </c>
      <c r="DL21" s="559">
        <f t="shared" si="8"/>
        <v>22166.400000000001</v>
      </c>
      <c r="DM21" s="559">
        <f t="shared" si="9"/>
        <v>4430</v>
      </c>
      <c r="DN21" s="560" t="s">
        <v>7056</v>
      </c>
      <c r="DO21" s="529"/>
      <c r="DP21" s="559">
        <f t="shared" si="10"/>
        <v>1586.56</v>
      </c>
      <c r="DQ21" s="559">
        <f t="shared" si="11"/>
        <v>1914.88</v>
      </c>
      <c r="DR21" s="559">
        <f t="shared" si="12"/>
        <v>869.7600000000001</v>
      </c>
      <c r="DS21" s="560" t="s">
        <v>7057</v>
      </c>
      <c r="DT21" s="559">
        <f t="shared" si="13"/>
        <v>1370.5600000000002</v>
      </c>
      <c r="DU21" s="559">
        <f t="shared" si="14"/>
        <v>1969.32</v>
      </c>
      <c r="DV21" s="559">
        <f t="shared" si="15"/>
        <v>1004.1200000000001</v>
      </c>
      <c r="DW21" s="560" t="s">
        <v>7058</v>
      </c>
      <c r="DX21" s="529"/>
      <c r="DY21" s="559">
        <f t="shared" si="16"/>
        <v>2488</v>
      </c>
      <c r="DZ21" s="559">
        <f t="shared" si="17"/>
        <v>11861.92</v>
      </c>
      <c r="EA21" s="559">
        <f t="shared" si="18"/>
        <v>4734.3999999999996</v>
      </c>
      <c r="EB21" s="559">
        <f t="shared" si="19"/>
        <v>4755.68</v>
      </c>
      <c r="EC21" s="560" t="s">
        <v>7059</v>
      </c>
      <c r="ED21" s="559">
        <f t="shared" si="20"/>
        <v>1963.1999999999998</v>
      </c>
      <c r="EE21" s="559">
        <f t="shared" si="21"/>
        <v>11369.8</v>
      </c>
      <c r="EF21" s="559">
        <f t="shared" si="22"/>
        <v>5315.4</v>
      </c>
      <c r="EG21" s="559">
        <f t="shared" si="23"/>
        <v>4911.5999999999995</v>
      </c>
      <c r="EH21" s="560" t="s">
        <v>7060</v>
      </c>
      <c r="EI21" s="537"/>
      <c r="EJ21" s="559">
        <f t="shared" si="24"/>
        <v>46246</v>
      </c>
      <c r="EK21" s="562">
        <f t="shared" si="25"/>
        <v>33908.800000000003</v>
      </c>
      <c r="EL21" s="562">
        <f t="shared" si="26"/>
        <v>15613.2</v>
      </c>
      <c r="EM21" s="560" t="s">
        <v>7061</v>
      </c>
      <c r="EN21" s="559">
        <f t="shared" si="27"/>
        <v>39590.300000000003</v>
      </c>
      <c r="EO21" s="562">
        <f t="shared" si="28"/>
        <v>37084.25</v>
      </c>
      <c r="EP21" s="562">
        <f t="shared" si="29"/>
        <v>18250.45</v>
      </c>
      <c r="EQ21" s="561" t="s">
        <v>7062</v>
      </c>
      <c r="ER21" s="529"/>
      <c r="ES21" s="740">
        <f t="shared" si="30"/>
        <v>0.78731406494849787</v>
      </c>
      <c r="ET21" s="740">
        <f t="shared" si="31"/>
        <v>0.1455892843368789</v>
      </c>
      <c r="EU21" s="563">
        <f t="shared" si="32"/>
        <v>103090.67102021519</v>
      </c>
      <c r="EV21" s="563">
        <f t="shared" si="33"/>
        <v>87798.709820215183</v>
      </c>
      <c r="EW21" s="563">
        <f t="shared" si="34"/>
        <v>15291.9612</v>
      </c>
      <c r="EX21" s="563">
        <f t="shared" si="35"/>
        <v>46671.190011106053</v>
      </c>
      <c r="EY21" s="563">
        <f>SUMPRODUCT(('ANALYSE - ERP =&gt; SOUS-SEGMENT'!$C$8:$C$154=$C21)*'ANALYSE - ERP =&gt; SOUS-SEGMENT'!$Q$8:$Q$154*'ANALYSE - ERP =&gt; SOUS-SEGMENT'!$FB$8:$FB$154)</f>
        <v>39710.458011106057</v>
      </c>
      <c r="EZ21" s="563">
        <f>SUMPRODUCT(('ANALYSE - ERP =&gt; SOUS-SEGMENT'!$C$8:$C$154=$C21)*'ANALYSE - ERP =&gt; SOUS-SEGMENT'!$Q$8:$Q$154*'ANALYSE - ERP =&gt; SOUS-SEGMENT'!$FC$8:$FC$154)</f>
        <v>6960.732</v>
      </c>
      <c r="FA21" s="563">
        <f t="shared" si="36"/>
        <v>2227.1270124819625</v>
      </c>
      <c r="FB21" s="563">
        <f>SUMPRODUCT(('ANALYSE - ERP =&gt; SOUS-SEGMENT'!$C$8:$C$154=$C21)*'ANALYSE - ERP =&gt; SOUS-SEGMENT'!$Q$8:$Q$154*'ANALYSE - ERP =&gt; SOUS-SEGMENT'!$FE$8:$FE$154)</f>
        <v>1945.6390124819627</v>
      </c>
      <c r="FC21" s="563">
        <f>SUMPRODUCT(('ANALYSE - ERP =&gt; SOUS-SEGMENT'!$C$8:$C$154=$C21)*'ANALYSE - ERP =&gt; SOUS-SEGMENT'!$Q$8:$Q$154*'ANALYSE - ERP =&gt; SOUS-SEGMENT'!$FF$8:$FF$154)</f>
        <v>281.488</v>
      </c>
      <c r="FD21" s="563">
        <f t="shared" si="37"/>
        <v>12159.989233335498</v>
      </c>
      <c r="FE21" s="563">
        <f>SUMPRODUCT(('ANALYSE - ERP =&gt; SOUS-SEGMENT'!$C$8:$C$154=$C21)*'ANALYSE - ERP =&gt; SOUS-SEGMENT'!$Q$8:$Q$154*'ANALYSE - ERP =&gt; SOUS-SEGMENT'!$FH$8:$FH$154)</f>
        <v>10572.330833335498</v>
      </c>
      <c r="FF21" s="563">
        <f>SUMPRODUCT(('ANALYSE - ERP =&gt; SOUS-SEGMENT'!$C$8:$C$154=$C21)*'ANALYSE - ERP =&gt; SOUS-SEGMENT'!$Q$8:$Q$154*'ANALYSE - ERP =&gt; SOUS-SEGMENT'!$FI$8:$FI$154)</f>
        <v>1587.6584</v>
      </c>
      <c r="FG21" s="563">
        <f t="shared" si="38"/>
        <v>42032.364763291669</v>
      </c>
      <c r="FH21" s="563">
        <f>SUMPRODUCT(('ANALYSE - ERP =&gt; SOUS-SEGMENT'!$C$8:$C$154=$C21)*'ANALYSE - ERP =&gt; SOUS-SEGMENT'!$Q$8:$Q$154*'ANALYSE - ERP =&gt; SOUS-SEGMENT'!$FK$8:$FK$154)</f>
        <v>35570.281963291665</v>
      </c>
      <c r="FI21" s="563">
        <f>SUMPRODUCT(('ANALYSE - ERP =&gt; SOUS-SEGMENT'!$C$8:$C$154=$C21)*'ANALYSE - ERP =&gt; SOUS-SEGMENT'!$Q$8:$Q$154*'ANALYSE - ERP =&gt; SOUS-SEGMENT'!$FL$8:$FL$154)</f>
        <v>6462.0828000000001</v>
      </c>
      <c r="FJ21" s="529"/>
      <c r="FK21" s="564" t="s">
        <v>2649</v>
      </c>
      <c r="FL21" s="740">
        <f>IFERROR(SUMPRODUCT(('ANALYSE - ERP =&gt; SOUS-SEGMENT'!$C$8:$C$154=$C21)*'ANALYSE - ERP =&gt; SOUS-SEGMENT'!$Q$8:$Q$154*'ANALYSE - ERP =&gt; SOUS-SEGMENT'!$AF$8:$AF$154*'ANALYSE - ERP =&gt; SOUS-SEGMENT'!$FO$8:$FO$154)/SUMPRODUCT(('ANALYSE - ERP =&gt; SOUS-SEGMENT'!$C$8:$C$154=$C21)*'ANALYSE - ERP =&gt; SOUS-SEGMENT'!$Q$8:$Q$154*'ANALYSE - ERP =&gt; SOUS-SEGMENT'!$AF$8:$AF$154),"")</f>
        <v>5.5285151515151509E-2</v>
      </c>
      <c r="FM21" s="741">
        <f>IFERROR(SUMPRODUCT(('ANALYSE - ERP =&gt; SOUS-SEGMENT'!$C$8:$C$154=$C21)*'ANALYSE - ERP =&gt; SOUS-SEGMENT'!$Q$8:$Q$154*'ANALYSE - ERP =&gt; SOUS-SEGMENT'!$AF$8:$AF$154*'ANALYSE - ERP =&gt; SOUS-SEGMENT'!$FP$8:$FP$154)/SUMPRODUCT(('ANALYSE - ERP =&gt; SOUS-SEGMENT'!$C$8:$C$154=$C21)*'ANALYSE - ERP =&gt; SOUS-SEGMENT'!$Q$8:$Q$154*'ANALYSE - ERP =&gt; SOUS-SEGMENT'!$AF$8:$AF$154),"")</f>
        <v>0.81672767676767677</v>
      </c>
      <c r="FN21" s="565" t="s">
        <v>2831</v>
      </c>
      <c r="FO21" s="529"/>
      <c r="FP21" s="867">
        <f>IFERROR(SUMPRODUCT(('ANALYSE - ERP =&gt; SOUS-SEGMENT'!$C$8:$C$154=$C21)*'ANALYSE - ERP =&gt; SOUS-SEGMENT'!$Q$8:$Q$154*'ANALYSE - ERP =&gt; SOUS-SEGMENT'!$EX$8:$EX$154*'ANALYSE - ERP =&gt; SOUS-SEGMENT'!$FS$8:$FS$154)/SUMPRODUCT(('ANALYSE - ERP =&gt; SOUS-SEGMENT'!$C$8:$C$154=$C21)*'ANALYSE - ERP =&gt; SOUS-SEGMENT'!$Q$8:$Q$154*'ANALYSE - ERP =&gt; SOUS-SEGMENT'!$EX$8:$EX$154),"")</f>
        <v>3.5118350843260924</v>
      </c>
      <c r="FQ21" s="566">
        <f>RANK($FP21,$FP$8:$FP$143,0)+COUNTIF($FP$8:$FP21,$FP21)-1</f>
        <v>11</v>
      </c>
      <c r="FR21" s="867">
        <f>IFERROR(SUMPRODUCT(('ANALYSE - ERP =&gt; SOUS-SEGMENT'!$C$8:$C$154=$C21)*'ANALYSE - ERP =&gt; SOUS-SEGMENT'!$Q$8:$Q$154*'ANALYSE - ERP =&gt; SOUS-SEGMENT'!$EY$8:$EY$154*'ANALYSE - ERP =&gt; SOUS-SEGMENT'!$FU$8:$FU$154)/SUMPRODUCT(('ANALYSE - ERP =&gt; SOUS-SEGMENT'!$C$8:$C$154=$C21)*'ANALYSE - ERP =&gt; SOUS-SEGMENT'!$Q$8:$Q$154*'ANALYSE - ERP =&gt; SOUS-SEGMENT'!$EY$8:$EY$154),"")</f>
        <v>4.1325080827454403</v>
      </c>
      <c r="FS21" s="566">
        <f>RANK($FR21,$FR$8:$FR$143,0)+COUNTIF($FR$8:$FR21,$FR21)-1</f>
        <v>14</v>
      </c>
      <c r="FT21" s="867">
        <f>IFERROR(SUMPRODUCT(('ANALYSE - ERP =&gt; SOUS-SEGMENT'!$C$8:$C$154=$C21)*'ANALYSE - ERP =&gt; SOUS-SEGMENT'!$Q$8:$Q$154*'ANALYSE - ERP =&gt; SOUS-SEGMENT'!$EZ$8:$EZ$154*'ANALYSE - ERP =&gt; SOUS-SEGMENT'!$FW$8:$FW$154)/SUMPRODUCT(('ANALYSE - ERP =&gt; SOUS-SEGMENT'!$C$8:$C$154=$C21)*'ANALYSE - ERP =&gt; SOUS-SEGMENT'!$Q$8:$Q$154*'ANALYSE - ERP =&gt; SOUS-SEGMENT'!$EZ$8:$EZ$154),"")</f>
        <v>2.4039462530156044</v>
      </c>
      <c r="FU21" s="566">
        <f>RANK($FT21,$FT$8:$FT$143,0)+COUNTIF($FT$8:$FT21,$FT21)-1</f>
        <v>13</v>
      </c>
      <c r="FV21" s="529"/>
      <c r="FW21" s="567" t="s">
        <v>7063</v>
      </c>
      <c r="FX21" s="567" t="s">
        <v>7064</v>
      </c>
      <c r="FY21" s="567" t="s">
        <v>7065</v>
      </c>
      <c r="FZ21" s="567" t="s">
        <v>7066</v>
      </c>
      <c r="GA21" s="567" t="s">
        <v>7067</v>
      </c>
      <c r="GB21" s="567" t="s">
        <v>7068</v>
      </c>
      <c r="GC21" s="567" t="s">
        <v>6759</v>
      </c>
      <c r="GD21" s="529"/>
      <c r="GE21" s="563">
        <f>SUMPRODUCT(('ANALYSE - ERP =&gt; SOUS-SEGMENT'!$C$8:$C$154=$C21)*'ANALYSE - ERP =&gt; SOUS-SEGMENT'!$Q$8:$Q$154*'ANALYSE - ERP =&gt; SOUS-SEGMENT'!$GH$8:$GH$154)</f>
        <v>14113.695069818181</v>
      </c>
      <c r="GF21" s="563">
        <f>SUMPRODUCT(('ANALYSE - ERP =&gt; SOUS-SEGMENT'!$C$8:$C$154=$C21)*'ANALYSE - ERP =&gt; SOUS-SEGMENT'!$Q$8:$Q$154*'ANALYSE - ERP =&gt; SOUS-SEGMENT'!$GI$8:$GI$154)</f>
        <v>12192.71474981818</v>
      </c>
      <c r="GG21" s="563">
        <f>SUMPRODUCT(('ANALYSE - ERP =&gt; SOUS-SEGMENT'!$C$8:$C$154=$C21)*'ANALYSE - ERP =&gt; SOUS-SEGMENT'!$Q$8:$Q$154*'ANALYSE - ERP =&gt; SOUS-SEGMENT'!$GJ$8:$GJ$154)</f>
        <v>1920.9803200000001</v>
      </c>
      <c r="GH21" s="563">
        <f>SUMPRODUCT(('ANALYSE - ERP =&gt; SOUS-SEGMENT'!$C$8:$C$154=$C21)*'ANALYSE - ERP =&gt; SOUS-SEGMENT'!$Q$8:$Q$154*'ANALYSE - ERP =&gt; SOUS-SEGMENT'!$GK$8:$GK$154)</f>
        <v>20155.075225454548</v>
      </c>
      <c r="GI21" s="563">
        <f>SUMPRODUCT(('ANALYSE - ERP =&gt; SOUS-SEGMENT'!$C$8:$C$154=$C21)*'ANALYSE - ERP =&gt; SOUS-SEGMENT'!$Q$8:$Q$154*'ANALYSE - ERP =&gt; SOUS-SEGMENT'!$GL$8:$GL$154)</f>
        <v>16950.783345454547</v>
      </c>
      <c r="GJ21" s="563">
        <f>SUMPRODUCT(('ANALYSE - ERP =&gt; SOUS-SEGMENT'!$C$8:$C$154=$C21)*'ANALYSE - ERP =&gt; SOUS-SEGMENT'!$Q$8:$Q$154*'ANALYSE - ERP =&gt; SOUS-SEGMENT'!$GM$8:$GM$154)</f>
        <v>3204.2918799999998</v>
      </c>
      <c r="GK21" s="563">
        <f>SUMPRODUCT(('ANALYSE - ERP =&gt; SOUS-SEGMENT'!$C$8:$C$154=$C21)*'ANALYSE - ERP =&gt; SOUS-SEGMENT'!$Q$8:$Q$154*'ANALYSE - ERP =&gt; SOUS-SEGMENT'!$GN$8:$GN$154)</f>
        <v>9960.0118724999993</v>
      </c>
      <c r="GL21" s="563">
        <f>SUMPRODUCT(('ANALYSE - ERP =&gt; SOUS-SEGMENT'!$C$8:$C$154=$C21)*'ANALYSE - ERP =&gt; SOUS-SEGMENT'!$Q$8:$Q$154*'ANALYSE - ERP =&gt; SOUS-SEGMENT'!$GO$8:$GO$154)</f>
        <v>8427.2446725000009</v>
      </c>
      <c r="GM21" s="563">
        <f>SUMPRODUCT(('ANALYSE - ERP =&gt; SOUS-SEGMENT'!$C$8:$C$154=$C21)*'ANALYSE - ERP =&gt; SOUS-SEGMENT'!$Q$8:$Q$154*'ANALYSE - ERP =&gt; SOUS-SEGMENT'!$GP$8:$GP$154)</f>
        <v>1532.7672</v>
      </c>
      <c r="GN21" s="563">
        <f>SUMPRODUCT(('ANALYSE - ERP =&gt; SOUS-SEGMENT'!$C$8:$C$154=$C21)*'ANALYSE - ERP =&gt; SOUS-SEGMENT'!$Q$8:$Q$154*'ANALYSE - ERP =&gt; SOUS-SEGMENT'!$GQ$8:$GQ$154)</f>
        <v>2442.4078433333334</v>
      </c>
      <c r="GO21" s="563">
        <f>SUMPRODUCT(('ANALYSE - ERP =&gt; SOUS-SEGMENT'!$C$8:$C$154=$C21)*'ANALYSE - ERP =&gt; SOUS-SEGMENT'!$Q$8:$Q$154*'ANALYSE - ERP =&gt; SOUS-SEGMENT'!$GR$8:$GR$154)</f>
        <v>2139.7152433333331</v>
      </c>
      <c r="GP21" s="563">
        <f>SUMPRODUCT(('ANALYSE - ERP =&gt; SOUS-SEGMENT'!$C$8:$C$154=$C21)*'ANALYSE - ERP =&gt; SOUS-SEGMENT'!$Q$8:$Q$154*'ANALYSE - ERP =&gt; SOUS-SEGMENT'!$GS$8:$GS$154)</f>
        <v>302.69259999999997</v>
      </c>
      <c r="GQ21" s="563">
        <f>SUMPRODUCT(('ANALYSE - ERP =&gt; SOUS-SEGMENT'!$C$8:$C$154=$C21)*'ANALYSE - ERP =&gt; SOUS-SEGMENT'!$Q$8:$Q$154*'ANALYSE - ERP =&gt; SOUS-SEGMENT'!$GT$8:$GT$154)</f>
        <v>706.67314266666665</v>
      </c>
      <c r="GR21" s="563">
        <f>SUMPRODUCT(('ANALYSE - ERP =&gt; SOUS-SEGMENT'!$C$8:$C$154=$C21)*'ANALYSE - ERP =&gt; SOUS-SEGMENT'!$Q$8:$Q$154*'ANALYSE - ERP =&gt; SOUS-SEGMENT'!$GU$8:$GU$154)</f>
        <v>619.09362266666665</v>
      </c>
      <c r="GS21" s="563">
        <f>SUMPRODUCT(('ANALYSE - ERP =&gt; SOUS-SEGMENT'!$C$8:$C$154=$C21)*'ANALYSE - ERP =&gt; SOUS-SEGMENT'!$Q$8:$Q$154*'ANALYSE - ERP =&gt; SOUS-SEGMENT'!$GV$8:$GV$154)</f>
        <v>87.579520000000002</v>
      </c>
      <c r="GT21" s="563">
        <f>SUMPRODUCT(('ANALYSE - ERP =&gt; SOUS-SEGMENT'!$C$8:$C$154=$C21)*'ANALYSE - ERP =&gt; SOUS-SEGMENT'!$Q$8:$Q$154*'ANALYSE - ERP =&gt; SOUS-SEGMENT'!$GW$8:$GW$154)</f>
        <v>963.88549454545455</v>
      </c>
      <c r="GU21" s="563">
        <f>SUMPRODUCT(('ANALYSE - ERP =&gt; SOUS-SEGMENT'!$C$8:$C$154=$C21)*'ANALYSE - ERP =&gt; SOUS-SEGMENT'!$Q$8:$Q$154*'ANALYSE - ERP =&gt; SOUS-SEGMENT'!$GX$8:$GX$154)</f>
        <v>836.04405454545463</v>
      </c>
      <c r="GV21" s="563">
        <f>SUMPRODUCT(('ANALYSE - ERP =&gt; SOUS-SEGMENT'!$C$8:$C$154=$C21)*'ANALYSE - ERP =&gt; SOUS-SEGMENT'!$Q$8:$Q$154*'ANALYSE - ERP =&gt; SOUS-SEGMENT'!$GY$8:$GY$154)</f>
        <v>127.84144000000001</v>
      </c>
      <c r="GW21" s="563">
        <f>SUMPRODUCT(('ANALYSE - ERP =&gt; SOUS-SEGMENT'!$C$8:$C$154=$C21)*'ANALYSE - ERP =&gt; SOUS-SEGMENT'!$Q$8:$Q$154*'ANALYSE - ERP =&gt; SOUS-SEGMENT'!$GZ$8:$GZ$154)</f>
        <v>556.56837526984134</v>
      </c>
      <c r="GX21" s="563">
        <f>SUMPRODUCT(('ANALYSE - ERP =&gt; SOUS-SEGMENT'!$C$8:$C$154=$C21)*'ANALYSE - ERP =&gt; SOUS-SEGMENT'!$Q$8:$Q$154*'ANALYSE - ERP =&gt; SOUS-SEGMENT'!$HA$8:$HA$154)</f>
        <v>490.50133526984132</v>
      </c>
      <c r="GY21" s="563">
        <f>SUMPRODUCT(('ANALYSE - ERP =&gt; SOUS-SEGMENT'!$C$8:$C$154=$C21)*'ANALYSE - ERP =&gt; SOUS-SEGMENT'!$Q$8:$Q$154*'ANALYSE - ERP =&gt; SOUS-SEGMENT'!$HB$8:$HB$154)</f>
        <v>66.067040000000006</v>
      </c>
      <c r="GZ21" s="563">
        <f>SUMPRODUCT(('ANALYSE - ERP =&gt; SOUS-SEGMENT'!$C$8:$C$154=$C21)*'ANALYSE - ERP =&gt; SOUS-SEGMENT'!$Q$8:$Q$154*'ANALYSE - ERP =&gt; SOUS-SEGMENT'!$HC$8:$HC$154)</f>
        <v>1291.7236636666667</v>
      </c>
      <c r="HA21" s="563">
        <f>SUMPRODUCT(('ANALYSE - ERP =&gt; SOUS-SEGMENT'!$C$8:$C$154=$C21)*'ANALYSE - ERP =&gt; SOUS-SEGMENT'!$Q$8:$Q$154*'ANALYSE - ERP =&gt; SOUS-SEGMENT'!$HD$8:$HD$154)</f>
        <v>1153.7449036666667</v>
      </c>
      <c r="HB21" s="563">
        <f>SUMPRODUCT(('ANALYSE - ERP =&gt; SOUS-SEGMENT'!$C$8:$C$154=$C21)*'ANALYSE - ERP =&gt; SOUS-SEGMENT'!$Q$8:$Q$154*'ANALYSE - ERP =&gt; SOUS-SEGMENT'!$HE$8:$HE$154)</f>
        <v>137.97875999999999</v>
      </c>
      <c r="HC21" s="563">
        <f>SUMPRODUCT(('ANALYSE - ERP =&gt; SOUS-SEGMENT'!$C$8:$C$154=$C21)*'ANALYSE - ERP =&gt; SOUS-SEGMENT'!$Q$8:$Q$154*'ANALYSE - ERP =&gt; SOUS-SEGMENT'!$HF$8:$HF$154)</f>
        <v>5242.190011454546</v>
      </c>
      <c r="HD21" s="563">
        <f>SUMPRODUCT(('ANALYSE - ERP =&gt; SOUS-SEGMENT'!$C$8:$C$154=$C21)*'ANALYSE - ERP =&gt; SOUS-SEGMENT'!$Q$8:$Q$154*'ANALYSE - ERP =&gt; SOUS-SEGMENT'!$HG$8:$HG$154)</f>
        <v>4480.4013954545453</v>
      </c>
      <c r="HE21" s="563">
        <f>SUMPRODUCT(('ANALYSE - ERP =&gt; SOUS-SEGMENT'!$C$8:$C$154=$C21)*'ANALYSE - ERP =&gt; SOUS-SEGMENT'!$Q$8:$Q$154*'ANALYSE - ERP =&gt; SOUS-SEGMENT'!$HH$8:$HH$154)</f>
        <v>761.78861600000005</v>
      </c>
      <c r="HF21" s="563">
        <f>SUMPRODUCT(('ANALYSE - ERP =&gt; SOUS-SEGMENT'!$C$8:$C$154=$C21)*'ANALYSE - ERP =&gt; SOUS-SEGMENT'!$Q$8:$Q$154*'ANALYSE - ERP =&gt; SOUS-SEGMENT'!$HI$8:$HI$154)</f>
        <v>3100.1397887142857</v>
      </c>
      <c r="HG21" s="563">
        <f>SUMPRODUCT(('ANALYSE - ERP =&gt; SOUS-SEGMENT'!$C$8:$C$154=$C21)*'ANALYSE - ERP =&gt; SOUS-SEGMENT'!$Q$8:$Q$154*'ANALYSE - ERP =&gt; SOUS-SEGMENT'!$HJ$8:$HJ$154)</f>
        <v>2733.6781727142857</v>
      </c>
      <c r="HH21" s="563">
        <f>SUMPRODUCT(('ANALYSE - ERP =&gt; SOUS-SEGMENT'!$C$8:$C$154=$C21)*'ANALYSE - ERP =&gt; SOUS-SEGMENT'!$Q$8:$Q$154*'ANALYSE - ERP =&gt; SOUS-SEGMENT'!$HK$8:$HK$154)</f>
        <v>366.46161600000005</v>
      </c>
      <c r="HI21" s="563">
        <f>SUMPRODUCT(('ANALYSE - ERP =&gt; SOUS-SEGMENT'!$C$8:$C$154=$C21)*'ANALYSE - ERP =&gt; SOUS-SEGMENT'!$Q$8:$Q$154*'ANALYSE - ERP =&gt; SOUS-SEGMENT'!$HL$8:$HL$154)</f>
        <v>2525.9357694999994</v>
      </c>
      <c r="HJ21" s="563">
        <f>SUMPRODUCT(('ANALYSE - ERP =&gt; SOUS-SEGMENT'!$C$8:$C$154=$C21)*'ANALYSE - ERP =&gt; SOUS-SEGMENT'!$Q$8:$Q$154*'ANALYSE - ERP =&gt; SOUS-SEGMENT'!$HM$8:$HM$154)</f>
        <v>2204.5063614999995</v>
      </c>
      <c r="HK21" s="563">
        <f>SUMPRODUCT(('ANALYSE - ERP =&gt; SOUS-SEGMENT'!$C$8:$C$154=$C21)*'ANALYSE - ERP =&gt; SOUS-SEGMENT'!$Q$8:$Q$154*'ANALYSE - ERP =&gt; SOUS-SEGMENT'!$HN$8:$HN$154)</f>
        <v>321.42940800000002</v>
      </c>
      <c r="HL21" s="563">
        <f>SUMPRODUCT(('ANALYSE - ERP =&gt; SOUS-SEGMENT'!$C$8:$C$154=$C21)*'ANALYSE - ERP =&gt; SOUS-SEGMENT'!$Q$8:$Q$154*'ANALYSE - ERP =&gt; SOUS-SEGMENT'!$HO$8:$HO$154)</f>
        <v>18789.203887083331</v>
      </c>
      <c r="HM21" s="563">
        <f>SUMPRODUCT(('ANALYSE - ERP =&gt; SOUS-SEGMENT'!$C$8:$C$154=$C21)*'ANALYSE - ERP =&gt; SOUS-SEGMENT'!$Q$8:$Q$154*'ANALYSE - ERP =&gt; SOUS-SEGMENT'!$HP$8:$HP$154)</f>
        <v>16070.003371083334</v>
      </c>
      <c r="HN21" s="563">
        <f>SUMPRODUCT(('ANALYSE - ERP =&gt; SOUS-SEGMENT'!$C$8:$C$154=$C21)*'ANALYSE - ERP =&gt; SOUS-SEGMENT'!$Q$8:$Q$154*'ANALYSE - ERP =&gt; SOUS-SEGMENT'!$HQ$8:$HQ$154)</f>
        <v>2719.2005159999999</v>
      </c>
      <c r="HO21" s="563">
        <f>SUMPRODUCT(('ANALYSE - ERP =&gt; SOUS-SEGMENT'!$C$8:$C$154=$C21)*'ANALYSE - ERP =&gt; SOUS-SEGMENT'!$Q$8:$Q$154*'ANALYSE - ERP =&gt; SOUS-SEGMENT'!$HR$8:$HR$154)</f>
        <v>14035.559338333333</v>
      </c>
      <c r="HP21" s="563">
        <f>SUMPRODUCT(('ANALYSE - ERP =&gt; SOUS-SEGMENT'!$C$8:$C$154=$C21)*'ANALYSE - ERP =&gt; SOUS-SEGMENT'!$Q$8:$Q$154*'ANALYSE - ERP =&gt; SOUS-SEGMENT'!$HS$8:$HS$154)</f>
        <v>11528.484358333331</v>
      </c>
      <c r="HQ21" s="563">
        <f>SUMPRODUCT(('ANALYSE - ERP =&gt; SOUS-SEGMENT'!$C$8:$C$154=$C21)*'ANALYSE - ERP =&gt; SOUS-SEGMENT'!$Q$8:$Q$154*'ANALYSE - ERP =&gt; SOUS-SEGMENT'!$HT$8:$HT$154)</f>
        <v>2507.0749800000003</v>
      </c>
      <c r="HR21" s="563">
        <f>SUMPRODUCT(('ANALYSE - ERP =&gt; SOUS-SEGMENT'!$C$8:$C$154=$C21)*'ANALYSE - ERP =&gt; SOUS-SEGMENT'!$Q$8:$Q$154*'ANALYSE - ERP =&gt; SOUS-SEGMENT'!$HU$8:$HU$154)</f>
        <v>9207.6015378749998</v>
      </c>
      <c r="HS21" s="563">
        <f>SUMPRODUCT(('ANALYSE - ERP =&gt; SOUS-SEGMENT'!$C$8:$C$154=$C21)*'ANALYSE - ERP =&gt; SOUS-SEGMENT'!$Q$8:$Q$154*'ANALYSE - ERP =&gt; SOUS-SEGMENT'!$HV$8:$HV$154)</f>
        <v>7971.7942338749999</v>
      </c>
      <c r="HT21" s="563">
        <f>SUMPRODUCT(('ANALYSE - ERP =&gt; SOUS-SEGMENT'!$C$8:$C$154=$C21)*'ANALYSE - ERP =&gt; SOUS-SEGMENT'!$Q$8:$Q$154*'ANALYSE - ERP =&gt; SOUS-SEGMENT'!$HW$8:$HW$154)</f>
        <v>1235.8073039999999</v>
      </c>
      <c r="HU21" s="544"/>
      <c r="HV21" s="568">
        <f t="shared" si="40"/>
        <v>1200573.13225</v>
      </c>
      <c r="HW21" s="568">
        <f>SUMPRODUCT(('ANALYSE - ERP =&gt; SOUS-SEGMENT'!$C$8:$C$154=$C21)*'ANALYSE - ERP =&gt; SOUS-SEGMENT'!$Q$8:$Q$154*'ANALYSE - ERP =&gt; SOUS-SEGMENT'!$HZ$8:$HZ$154)</f>
        <v>4761.4664000000002</v>
      </c>
      <c r="HX21" s="568">
        <f>SUMPRODUCT(('ANALYSE - ERP =&gt; SOUS-SEGMENT'!$C$8:$C$154=$C21)*'ANALYSE - ERP =&gt; SOUS-SEGMENT'!$Q$8:$Q$154*'ANALYSE - ERP =&gt; SOUS-SEGMENT'!$IA$8:$IA$154)</f>
        <v>71693.296000000002</v>
      </c>
      <c r="HY21" s="568">
        <f>SUMPRODUCT(('ANALYSE - ERP =&gt; SOUS-SEGMENT'!$C$8:$C$154=$C21)*'ANALYSE - ERP =&gt; SOUS-SEGMENT'!$Q$8:$Q$154*'ANALYSE - ERP =&gt; SOUS-SEGMENT'!$IB$8:$IB$154)</f>
        <v>109367.73759999999</v>
      </c>
      <c r="HZ21" s="568">
        <f>SUMPRODUCT(('ANALYSE - ERP =&gt; SOUS-SEGMENT'!$C$8:$C$154=$C21)*'ANALYSE - ERP =&gt; SOUS-SEGMENT'!$Q$8:$Q$154*'ANALYSE - ERP =&gt; SOUS-SEGMENT'!$IC$8:$IC$154)</f>
        <v>36719.112000000001</v>
      </c>
      <c r="IA21" s="568">
        <f>SUMPRODUCT(('ANALYSE - ERP =&gt; SOUS-SEGMENT'!$C$8:$C$154=$C21)*'ANALYSE - ERP =&gt; SOUS-SEGMENT'!$Q$8:$Q$154*'ANALYSE - ERP =&gt; SOUS-SEGMENT'!$ID$8:$ID$154)</f>
        <v>3450.3879999999999</v>
      </c>
      <c r="IB21" s="568">
        <f>SUMPRODUCT(('ANALYSE - ERP =&gt; SOUS-SEGMENT'!$C$8:$C$154=$C21)*'ANALYSE - ERP =&gt; SOUS-SEGMENT'!$Q$8:$Q$154*'ANALYSE - ERP =&gt; SOUS-SEGMENT'!$IE$8:$IE$154)</f>
        <v>87382.633873447514</v>
      </c>
      <c r="IC21" s="568">
        <f>SUMPRODUCT(('ANALYSE - ERP =&gt; SOUS-SEGMENT'!$C$8:$C$154=$C21)*'ANALYSE - ERP =&gt; SOUS-SEGMENT'!$Q$8:$Q$154*'ANALYSE - ERP =&gt; SOUS-SEGMENT'!$IF$8:$IF$154)</f>
        <v>514.27176066852576</v>
      </c>
      <c r="ID21" s="568">
        <f>SUMPRODUCT(('ANALYSE - ERP =&gt; SOUS-SEGMENT'!$C$8:$C$154=$C21)*'ANALYSE - ERP =&gt; SOUS-SEGMENT'!$Q$8:$Q$154*'ANALYSE - ERP =&gt; SOUS-SEGMENT'!$IG$8:$IG$154)</f>
        <v>24529.596871435584</v>
      </c>
      <c r="IE21" s="568">
        <f>SUMPRODUCT(('ANALYSE - ERP =&gt; SOUS-SEGMENT'!$C$8:$C$154=$C21)*'ANALYSE - ERP =&gt; SOUS-SEGMENT'!$Q$8:$Q$154*'ANALYSE - ERP =&gt; SOUS-SEGMENT'!$IH$8:$IH$154)</f>
        <v>44322.419713000076</v>
      </c>
      <c r="IF21" s="568">
        <f>SUMPRODUCT(('ANALYSE - ERP =&gt; SOUS-SEGMENT'!$C$8:$C$154=$C21)*'ANALYSE - ERP =&gt; SOUS-SEGMENT'!$Q$8:$Q$154*'ANALYSE - ERP =&gt; SOUS-SEGMENT'!$II$8:$II$154)</f>
        <v>16207.491490513121</v>
      </c>
      <c r="IG21" s="568">
        <f>SUMPRODUCT(('ANALYSE - ERP =&gt; SOUS-SEGMENT'!$C$8:$C$154=$C21)*'ANALYSE - ERP =&gt; SOUS-SEGMENT'!$Q$8:$Q$154*'ANALYSE - ERP =&gt; SOUS-SEGMENT'!$IJ$8:$IJ$154)</f>
        <v>1808.8540378302018</v>
      </c>
      <c r="IH21" s="868"/>
      <c r="II21" s="569" t="s">
        <v>2589</v>
      </c>
      <c r="IJ21" s="570" t="s">
        <v>6760</v>
      </c>
      <c r="IK21" s="529"/>
      <c r="IL21" s="747">
        <f>IFERROR(SUMPRODUCT(('ANALYSE - ERP =&gt; SOUS-SEGMENT'!$C$8:$C$154=$C21)*'ANALYSE - ERP =&gt; SOUS-SEGMENT'!$Q$8:$Q$154*'ANALYSE - ERP =&gt; SOUS-SEGMENT'!$BE$8:$BE$154*'ANALYSE - ERP =&gt; SOUS-SEGMENT'!$IO$8:$IO$154)/SUMPRODUCT(('ANALYSE - ERP =&gt; SOUS-SEGMENT'!$C$8:$C$154=$C21)*'ANALYSE - ERP =&gt; SOUS-SEGMENT'!$Q$8:$Q$154*'ANALYSE - ERP =&gt; SOUS-SEGMENT'!$BE$8:$BE$154),0)</f>
        <v>1.9274181027790716E-2</v>
      </c>
      <c r="IM21" s="748">
        <f>IFERROR(SUMPRODUCT(('ANALYSE - ERP =&gt; SOUS-SEGMENT'!$C$8:$C$154=$C21)*'ANALYSE - ERP =&gt; SOUS-SEGMENT'!$Q$8:$Q$154*'ANALYSE - ERP =&gt; SOUS-SEGMENT'!$BE$8:$BE$154*'ANALYSE - ERP =&gt; SOUS-SEGMENT'!$IP$8:$IP$154)/SUMPRODUCT(('ANALYSE - ERP =&gt; SOUS-SEGMENT'!$C$8:$C$154=$C21)*'ANALYSE - ERP =&gt; SOUS-SEGMENT'!$Q$8:$Q$154*'ANALYSE - ERP =&gt; SOUS-SEGMENT'!$BE$8:$BE$154),0)</f>
        <v>0.29464795839155417</v>
      </c>
      <c r="IN21" s="748">
        <f>IFERROR(SUMPRODUCT(('ANALYSE - ERP =&gt; SOUS-SEGMENT'!$C$8:$C$154=$C21)*'ANALYSE - ERP =&gt; SOUS-SEGMENT'!$Q$8:$Q$154*'ANALYSE - ERP =&gt; SOUS-SEGMENT'!$BE$8:$BE$154*'ANALYSE - ERP =&gt; SOUS-SEGMENT'!$IQ$8:$IQ$154)/SUMPRODUCT(('ANALYSE - ERP =&gt; SOUS-SEGMENT'!$C$8:$C$154=$C21)*'ANALYSE - ERP =&gt; SOUS-SEGMENT'!$Q$8:$Q$154*'ANALYSE - ERP =&gt; SOUS-SEGMENT'!$BE$8:$BE$154),0)</f>
        <v>0.48666394969725196</v>
      </c>
      <c r="IO21" s="748">
        <f>IFERROR(SUMPRODUCT(('ANALYSE - ERP =&gt; SOUS-SEGMENT'!$C$8:$C$154=$C21)*'ANALYSE - ERP =&gt; SOUS-SEGMENT'!$Q$8:$Q$154*'ANALYSE - ERP =&gt; SOUS-SEGMENT'!$BE$8:$BE$154*'ANALYSE - ERP =&gt; SOUS-SEGMENT'!$IR$8:$IR$154)/SUMPRODUCT(('ANALYSE - ERP =&gt; SOUS-SEGMENT'!$C$8:$C$154=$C21)*'ANALYSE - ERP =&gt; SOUS-SEGMENT'!$Q$8:$Q$154*'ANALYSE - ERP =&gt; SOUS-SEGMENT'!$BE$8:$BE$154),0)</f>
        <v>0.18041297935103245</v>
      </c>
      <c r="IP21" s="749">
        <f>IFERROR(SUMPRODUCT(('ANALYSE - ERP =&gt; SOUS-SEGMENT'!$C$8:$C$154=$C21)*'ANALYSE - ERP =&gt; SOUS-SEGMENT'!$Q$8:$Q$154*'ANALYSE - ERP =&gt; SOUS-SEGMENT'!$BE$8:$BE$154*'ANALYSE - ERP =&gt; SOUS-SEGMENT'!$IS$8:$IS$154)/SUMPRODUCT(('ANALYSE - ERP =&gt; SOUS-SEGMENT'!$C$8:$C$154=$C21)*'ANALYSE - ERP =&gt; SOUS-SEGMENT'!$Q$8:$Q$154*'ANALYSE - ERP =&gt; SOUS-SEGMENT'!$BE$8:$BE$154),0)</f>
        <v>1.9000931532370747E-2</v>
      </c>
      <c r="IQ21" s="748">
        <f>IFERROR(SUMPRODUCT(('ANALYSE - ERP =&gt; SOUS-SEGMENT'!$C$8:$C$154=$C21)*'ANALYSE - ERP =&gt; SOUS-SEGMENT'!$Q$8:$Q$154*'ANALYSE - ERP =&gt; SOUS-SEGMENT'!$FB$8:$FB$154*'ANALYSE - ERP =&gt; SOUS-SEGMENT'!$IT$8:$IT$154)/SUMPRODUCT(('ANALYSE - ERP =&gt; SOUS-SEGMENT'!$C$8:$C$154=$C21)*'ANALYSE - ERP =&gt; SOUS-SEGMENT'!$Q$8:$Q$154*'ANALYSE - ERP =&gt; SOUS-SEGMENT'!$FB$8:$FB$154),0)</f>
        <v>5.7264414618398186E-3</v>
      </c>
      <c r="IR21" s="748">
        <f>IFERROR(SUMPRODUCT(('ANALYSE - ERP =&gt; SOUS-SEGMENT'!$C$8:$C$154=$C21)*'ANALYSE - ERP =&gt; SOUS-SEGMENT'!$Q$8:$Q$154*'ANALYSE - ERP =&gt; SOUS-SEGMENT'!$FB$8:$FB$154*'ANALYSE - ERP =&gt; SOUS-SEGMENT'!$IU$8:$IU$154)/SUMPRODUCT(('ANALYSE - ERP =&gt; SOUS-SEGMENT'!$C$8:$C$154=$C21)*'ANALYSE - ERP =&gt; SOUS-SEGMENT'!$Q$8:$Q$154*'ANALYSE - ERP =&gt; SOUS-SEGMENT'!$FB$8:$FB$154),0)</f>
        <v>0.25569867095009585</v>
      </c>
      <c r="IS21" s="748">
        <f>IFERROR(SUMPRODUCT(('ANALYSE - ERP =&gt; SOUS-SEGMENT'!$C$8:$C$154=$C21)*'ANALYSE - ERP =&gt; SOUS-SEGMENT'!$Q$8:$Q$154*'ANALYSE - ERP =&gt; SOUS-SEGMENT'!$FB$8:$FB$154*'ANALYSE - ERP =&gt; SOUS-SEGMENT'!$IV$8:$IV$154)/SUMPRODUCT(('ANALYSE - ERP =&gt; SOUS-SEGMENT'!$C$8:$C$154=$C21)*'ANALYSE - ERP =&gt; SOUS-SEGMENT'!$Q$8:$Q$154*'ANALYSE - ERP =&gt; SOUS-SEGMENT'!$FB$8:$FB$154),0)</f>
        <v>0.51052850120701188</v>
      </c>
      <c r="IT21" s="748">
        <f>IFERROR(SUMPRODUCT(('ANALYSE - ERP =&gt; SOUS-SEGMENT'!$C$8:$C$154=$C21)*'ANALYSE - ERP =&gt; SOUS-SEGMENT'!$Q$8:$Q$154*'ANALYSE - ERP =&gt; SOUS-SEGMENT'!$FB$8:$FB$154*'ANALYSE - ERP =&gt; SOUS-SEGMENT'!$IW$8:$IW$154)/SUMPRODUCT(('ANALYSE - ERP =&gt; SOUS-SEGMENT'!$C$8:$C$154=$C21)*'ANALYSE - ERP =&gt; SOUS-SEGMENT'!$Q$8:$Q$154*'ANALYSE - ERP =&gt; SOUS-SEGMENT'!$FB$8:$FB$154),0)</f>
        <v>0.20357811695357342</v>
      </c>
      <c r="IU21" s="748">
        <f>IFERROR(SUMPRODUCT(('ANALYSE - ERP =&gt; SOUS-SEGMENT'!$C$8:$C$154=$C21)*'ANALYSE - ERP =&gt; SOUS-SEGMENT'!$Q$8:$Q$154*'ANALYSE - ERP =&gt; SOUS-SEGMENT'!$FB$8:$FB$154*'ANALYSE - ERP =&gt; SOUS-SEGMENT'!$IX$8:$IX$154)/SUMPRODUCT(('ANALYSE - ERP =&gt; SOUS-SEGMENT'!$C$8:$C$154=$C21)*'ANALYSE - ERP =&gt; SOUS-SEGMENT'!$Q$8:$Q$154*'ANALYSE - ERP =&gt; SOUS-SEGMENT'!$FB$8:$FB$154),0)</f>
        <v>2.4468269427479112E-2</v>
      </c>
      <c r="IV21" s="771">
        <f>IFERROR(SUMPRODUCT(('ANALYSE - ERP =&gt; SOUS-SEGMENT'!$C$8:$C$154=$C21)*'ANALYSE - ERP =&gt; SOUS-SEGMENT'!$Q$8:$Q$154*'ANALYSE - ERP =&gt; SOUS-SEGMENT'!$BF$8:$BF$154*'ANALYSE - ERP =&gt; SOUS-SEGMENT'!$IY$8:$IY$154)/SUMPRODUCT(('ANALYSE - ERP =&gt; SOUS-SEGMENT'!$C$8:$C$154=$C21)*'ANALYSE - ERP =&gt; SOUS-SEGMENT'!$Q$8:$Q$154*'ANALYSE - ERP =&gt; SOUS-SEGMENT'!$BF$8:$BF$154),0)</f>
        <v>4.2635431918008788E-3</v>
      </c>
      <c r="IW21" s="748">
        <f>IFERROR(SUMPRODUCT(('ANALYSE - ERP =&gt; SOUS-SEGMENT'!$C$8:$C$154=$C21)*'ANALYSE - ERP =&gt; SOUS-SEGMENT'!$Q$8:$Q$154*'ANALYSE - ERP =&gt; SOUS-SEGMENT'!$BF$8:$BF$154*'ANALYSE - ERP =&gt; SOUS-SEGMENT'!$IZ$8:$IZ$154)/SUMPRODUCT(('ANALYSE - ERP =&gt; SOUS-SEGMENT'!$C$8:$C$154=$C21)*'ANALYSE - ERP =&gt; SOUS-SEGMENT'!$Q$8:$Q$154*'ANALYSE - ERP =&gt; SOUS-SEGMENT'!$BF$8:$BF$154),0)</f>
        <v>0.16955197657393853</v>
      </c>
      <c r="IX21" s="748">
        <f>IFERROR(SUMPRODUCT(('ANALYSE - ERP =&gt; SOUS-SEGMENT'!$C$8:$C$154=$C21)*'ANALYSE - ERP =&gt; SOUS-SEGMENT'!$Q$8:$Q$154*'ANALYSE - ERP =&gt; SOUS-SEGMENT'!$BF$8:$BF$154*'ANALYSE - ERP =&gt; SOUS-SEGMENT'!$JA$8:$JA$154)/SUMPRODUCT(('ANALYSE - ERP =&gt; SOUS-SEGMENT'!$C$8:$C$154=$C21)*'ANALYSE - ERP =&gt; SOUS-SEGMENT'!$Q$8:$Q$154*'ANALYSE - ERP =&gt; SOUS-SEGMENT'!$BF$8:$BF$154),0)</f>
        <v>0.37404978038067349</v>
      </c>
      <c r="IY21" s="748">
        <f>IFERROR(SUMPRODUCT(('ANALYSE - ERP =&gt; SOUS-SEGMENT'!$C$8:$C$154=$C21)*'ANALYSE - ERP =&gt; SOUS-SEGMENT'!$Q$8:$Q$154*'ANALYSE - ERP =&gt; SOUS-SEGMENT'!$BF$8:$BF$154*'ANALYSE - ERP =&gt; SOUS-SEGMENT'!$JB$8:$JB$154)/SUMPRODUCT(('ANALYSE - ERP =&gt; SOUS-SEGMENT'!$C$8:$C$154=$C21)*'ANALYSE - ERP =&gt; SOUS-SEGMENT'!$Q$8:$Q$154*'ANALYSE - ERP =&gt; SOUS-SEGMENT'!$BF$8:$BF$154),0)</f>
        <v>0.19627525622254757</v>
      </c>
      <c r="IZ21" s="749">
        <f>IFERROR(SUMPRODUCT(('ANALYSE - ERP =&gt; SOUS-SEGMENT'!$C$8:$C$154=$C21)*'ANALYSE - ERP =&gt; SOUS-SEGMENT'!$Q$8:$Q$154*'ANALYSE - ERP =&gt; SOUS-SEGMENT'!$BF$8:$BF$154*'ANALYSE - ERP =&gt; SOUS-SEGMENT'!$JC$8:$JC$154)/SUMPRODUCT(('ANALYSE - ERP =&gt; SOUS-SEGMENT'!$C$8:$C$154=$C21)*'ANALYSE - ERP =&gt; SOUS-SEGMENT'!$Q$8:$Q$154*'ANALYSE - ERP =&gt; SOUS-SEGMENT'!$BF$8:$BF$154),0)</f>
        <v>1.7206442166910689E-2</v>
      </c>
      <c r="JA21" s="748">
        <f>IFERROR(SUMPRODUCT(('ANALYSE - ERP =&gt; SOUS-SEGMENT'!$C$8:$C$154=$C21)*'ANALYSE - ERP =&gt; SOUS-SEGMENT'!$Q$8:$Q$154*'ANALYSE - ERP =&gt; SOUS-SEGMENT'!$FE$8:$FE$154*'ANALYSE - ERP =&gt; SOUS-SEGMENT'!$JD$8:$JD$154)/SUMPRODUCT(('ANALYSE - ERP =&gt; SOUS-SEGMENT'!$C$8:$C$154=$C21)*'ANALYSE - ERP =&gt; SOUS-SEGMENT'!$Q$8:$Q$154*'ANALYSE - ERP =&gt; SOUS-SEGMENT'!$FE$8:$FE$154),0)</f>
        <v>0</v>
      </c>
      <c r="JB21" s="748">
        <f>IFERROR(SUMPRODUCT(('ANALYSE - ERP =&gt; SOUS-SEGMENT'!$C$8:$C$154=$C21)*'ANALYSE - ERP =&gt; SOUS-SEGMENT'!$Q$8:$Q$154*'ANALYSE - ERP =&gt; SOUS-SEGMENT'!$FE$8:$FE$154*'ANALYSE - ERP =&gt; SOUS-SEGMENT'!$JE$8:$JE$154)/SUMPRODUCT(('ANALYSE - ERP =&gt; SOUS-SEGMENT'!$C$8:$C$154=$C21)*'ANALYSE - ERP =&gt; SOUS-SEGMENT'!$Q$8:$Q$154*'ANALYSE - ERP =&gt; SOUS-SEGMENT'!$FE$8:$FE$154),0)</f>
        <v>0.14480873116599444</v>
      </c>
      <c r="JC21" s="748">
        <f>IFERROR(SUMPRODUCT(('ANALYSE - ERP =&gt; SOUS-SEGMENT'!$C$8:$C$154=$C21)*'ANALYSE - ERP =&gt; SOUS-SEGMENT'!$Q$8:$Q$154*'ANALYSE - ERP =&gt; SOUS-SEGMENT'!$FE$8:$FE$154*'ANALYSE - ERP =&gt; SOUS-SEGMENT'!$JF$8:$JF$154)/SUMPRODUCT(('ANALYSE - ERP =&gt; SOUS-SEGMENT'!$C$8:$C$154=$C21)*'ANALYSE - ERP =&gt; SOUS-SEGMENT'!$Q$8:$Q$154*'ANALYSE - ERP =&gt; SOUS-SEGMENT'!$FE$8:$FE$154),0)</f>
        <v>0.39936392742847543</v>
      </c>
      <c r="JD21" s="748">
        <f>IFERROR(SUMPRODUCT(('ANALYSE - ERP =&gt; SOUS-SEGMENT'!$C$8:$C$154=$C21)*'ANALYSE - ERP =&gt; SOUS-SEGMENT'!$Q$8:$Q$154*'ANALYSE - ERP =&gt; SOUS-SEGMENT'!$FE$8:$FE$154*'ANALYSE - ERP =&gt; SOUS-SEGMENT'!$JG$8:$JG$154)/SUMPRODUCT(('ANALYSE - ERP =&gt; SOUS-SEGMENT'!$C$8:$C$154=$C21)*'ANALYSE - ERP =&gt; SOUS-SEGMENT'!$Q$8:$Q$154*'ANALYSE - ERP =&gt; SOUS-SEGMENT'!$FE$8:$FE$154),0)</f>
        <v>0.21980738997834989</v>
      </c>
      <c r="JE21" s="748">
        <f>IFERROR(SUMPRODUCT(('ANALYSE - ERP =&gt; SOUS-SEGMENT'!$C$8:$C$154=$C21)*'ANALYSE - ERP =&gt; SOUS-SEGMENT'!$Q$8:$Q$154*'ANALYSE - ERP =&gt; SOUS-SEGMENT'!$FE$8:$FE$154*'ANALYSE - ERP =&gt; SOUS-SEGMENT'!$JH$8:$JH$154)/SUMPRODUCT(('ANALYSE - ERP =&gt; SOUS-SEGMENT'!$C$8:$C$154=$C21)*'ANALYSE - ERP =&gt; SOUS-SEGMENT'!$Q$8:$Q$154*'ANALYSE - ERP =&gt; SOUS-SEGMENT'!$FE$8:$FE$154),0)</f>
        <v>2.2169414869061037E-2</v>
      </c>
      <c r="JF21" s="771">
        <f>IFERROR(SUMPRODUCT(('ANALYSE - ERP =&gt; SOUS-SEGMENT'!$C$8:$C$154=$C21)*'ANALYSE - ERP =&gt; SOUS-SEGMENT'!$Q$8:$Q$154*'ANALYSE - ERP =&gt; SOUS-SEGMENT'!$BG$8:$BG$154*'ANALYSE - ERP =&gt; SOUS-SEGMENT'!$JI$8:$JI$154)/SUMPRODUCT(('ANALYSE - ERP =&gt; SOUS-SEGMENT'!$C$8:$C$154=$C21)*'ANALYSE - ERP =&gt; SOUS-SEGMENT'!$Q$8:$Q$154*'ANALYSE - ERP =&gt; SOUS-SEGMENT'!$BG$8:$BG$154),0)</f>
        <v>3.2530201342281878E-2</v>
      </c>
      <c r="JG21" s="748">
        <f>IFERROR(SUMPRODUCT(('ANALYSE - ERP =&gt; SOUS-SEGMENT'!$C$8:$C$154=$C21)*'ANALYSE - ERP =&gt; SOUS-SEGMENT'!$Q$8:$Q$154*'ANALYSE - ERP =&gt; SOUS-SEGMENT'!$BG$8:$BG$154*'ANALYSE - ERP =&gt; SOUS-SEGMENT'!$JJ$8:$JJ$154)/SUMPRODUCT(('ANALYSE - ERP =&gt; SOUS-SEGMENT'!$C$8:$C$154=$C21)*'ANALYSE - ERP =&gt; SOUS-SEGMENT'!$Q$8:$Q$154*'ANALYSE - ERP =&gt; SOUS-SEGMENT'!$BG$8:$BG$154),0)</f>
        <v>0.44474429530201348</v>
      </c>
      <c r="JH21" s="748">
        <f>IFERROR(SUMPRODUCT(('ANALYSE - ERP =&gt; SOUS-SEGMENT'!$C$8:$C$154=$C21)*'ANALYSE - ERP =&gt; SOUS-SEGMENT'!$Q$8:$Q$154*'ANALYSE - ERP =&gt; SOUS-SEGMENT'!$BG$8:$BG$154*'ANALYSE - ERP =&gt; SOUS-SEGMENT'!$JK$8:$JK$154)/SUMPRODUCT(('ANALYSE - ERP =&gt; SOUS-SEGMENT'!$C$8:$C$154=$C21)*'ANALYSE - ERP =&gt; SOUS-SEGMENT'!$Q$8:$Q$154*'ANALYSE - ERP =&gt; SOUS-SEGMENT'!$BG$8:$BG$154),0)</f>
        <v>0.42326241610738258</v>
      </c>
      <c r="JI21" s="748">
        <f>IFERROR(SUMPRODUCT(('ANALYSE - ERP =&gt; SOUS-SEGMENT'!$C$8:$C$154=$C21)*'ANALYSE - ERP =&gt; SOUS-SEGMENT'!$Q$8:$Q$154*'ANALYSE - ERP =&gt; SOUS-SEGMENT'!$BG$8:$BG$154*'ANALYSE - ERP =&gt; SOUS-SEGMENT'!$JL$8:$JL$154)/SUMPRODUCT(('ANALYSE - ERP =&gt; SOUS-SEGMENT'!$C$8:$C$154=$C21)*'ANALYSE - ERP =&gt; SOUS-SEGMENT'!$Q$8:$Q$154*'ANALYSE - ERP =&gt; SOUS-SEGMENT'!$BG$8:$BG$154),0)</f>
        <v>9.5063758389261732E-2</v>
      </c>
      <c r="JJ21" s="749">
        <f>IFERROR(SUMPRODUCT(('ANALYSE - ERP =&gt; SOUS-SEGMENT'!$C$8:$C$154=$C21)*'ANALYSE - ERP =&gt; SOUS-SEGMENT'!$Q$8:$Q$154*'ANALYSE - ERP =&gt; SOUS-SEGMENT'!$BG$8:$BG$154*'ANALYSE - ERP =&gt; SOUS-SEGMENT'!$JM$8:$JM$154)/SUMPRODUCT(('ANALYSE - ERP =&gt; SOUS-SEGMENT'!$C$8:$C$154=$C21)*'ANALYSE - ERP =&gt; SOUS-SEGMENT'!$Q$8:$Q$154*'ANALYSE - ERP =&gt; SOUS-SEGMENT'!$BG$8:$BG$154),0)</f>
        <v>4.3993288590604028E-3</v>
      </c>
      <c r="JK21" s="748">
        <f>IFERROR(SUMPRODUCT(('ANALYSE - ERP =&gt; SOUS-SEGMENT'!$C$8:$C$154=$C21)*'ANALYSE - ERP =&gt; SOUS-SEGMENT'!$Q$8:$Q$154*'ANALYSE - ERP =&gt; SOUS-SEGMENT'!$FH$8:$FH$154*'ANALYSE - ERP =&gt; SOUS-SEGMENT'!$JN$8:$JN$154)/SUMPRODUCT(('ANALYSE - ERP =&gt; SOUS-SEGMENT'!$C$8:$C$154=$C21)*'ANALYSE - ERP =&gt; SOUS-SEGMENT'!$Q$8:$Q$154*'ANALYSE - ERP =&gt; SOUS-SEGMENT'!$FH$8:$FH$154),0)</f>
        <v>6.9582999951458566E-3</v>
      </c>
      <c r="JL21" s="748">
        <f>IFERROR(SUMPRODUCT(('ANALYSE - ERP =&gt; SOUS-SEGMENT'!$C$8:$C$154=$C21)*'ANALYSE - ERP =&gt; SOUS-SEGMENT'!$Q$8:$Q$154*'ANALYSE - ERP =&gt; SOUS-SEGMENT'!$FH$8:$FH$154*'ANALYSE - ERP =&gt; SOUS-SEGMENT'!$JO$8:$JO$154)/SUMPRODUCT(('ANALYSE - ERP =&gt; SOUS-SEGMENT'!$C$8:$C$154=$C21)*'ANALYSE - ERP =&gt; SOUS-SEGMENT'!$Q$8:$Q$154*'ANALYSE - ERP =&gt; SOUS-SEGMENT'!$FH$8:$FH$154),0)</f>
        <v>0.4087283103583737</v>
      </c>
      <c r="JM21" s="748">
        <f>IFERROR(SUMPRODUCT(('ANALYSE - ERP =&gt; SOUS-SEGMENT'!$C$8:$C$154=$C21)*'ANALYSE - ERP =&gt; SOUS-SEGMENT'!$Q$8:$Q$154*'ANALYSE - ERP =&gt; SOUS-SEGMENT'!$FH$8:$FH$154*'ANALYSE - ERP =&gt; SOUS-SEGMENT'!$JP$8:$JP$154)/SUMPRODUCT(('ANALYSE - ERP =&gt; SOUS-SEGMENT'!$C$8:$C$154=$C21)*'ANALYSE - ERP =&gt; SOUS-SEGMENT'!$Q$8:$Q$154*'ANALYSE - ERP =&gt; SOUS-SEGMENT'!$FH$8:$FH$154),0)</f>
        <v>0.4525987697948089</v>
      </c>
      <c r="JN21" s="748">
        <f>IFERROR(SUMPRODUCT(('ANALYSE - ERP =&gt; SOUS-SEGMENT'!$C$8:$C$154=$C21)*'ANALYSE - ERP =&gt; SOUS-SEGMENT'!$Q$8:$Q$154*'ANALYSE - ERP =&gt; SOUS-SEGMENT'!$FH$8:$FH$154*'ANALYSE - ERP =&gt; SOUS-SEGMENT'!$JQ$8:$JQ$154)/SUMPRODUCT(('ANALYSE - ERP =&gt; SOUS-SEGMENT'!$C$8:$C$154=$C21)*'ANALYSE - ERP =&gt; SOUS-SEGMENT'!$Q$8:$Q$154*'ANALYSE - ERP =&gt; SOUS-SEGMENT'!$FH$8:$FH$154),0)</f>
        <v>0.12144238419563544</v>
      </c>
      <c r="JO21" s="748">
        <f>IFERROR(SUMPRODUCT(('ANALYSE - ERP =&gt; SOUS-SEGMENT'!$C$8:$C$154=$C21)*'ANALYSE - ERP =&gt; SOUS-SEGMENT'!$Q$8:$Q$154*'ANALYSE - ERP =&gt; SOUS-SEGMENT'!$FH$8:$FH$154*'ANALYSE - ERP =&gt; SOUS-SEGMENT'!$JR$8:$JR$154)/SUMPRODUCT(('ANALYSE - ERP =&gt; SOUS-SEGMENT'!$C$8:$C$154=$C21)*'ANALYSE - ERP =&gt; SOUS-SEGMENT'!$Q$8:$Q$154*'ANALYSE - ERP =&gt; SOUS-SEGMENT'!$FH$8:$FH$154),0)</f>
        <v>1.0272235656036114E-2</v>
      </c>
      <c r="JP21" s="771">
        <f>IFERROR(SUMPRODUCT(('ANALYSE - ERP =&gt; SOUS-SEGMENT'!$C$8:$C$154=$C21)*'ANALYSE - ERP =&gt; SOUS-SEGMENT'!$Q$8:$Q$154*'ANALYSE - ERP =&gt; SOUS-SEGMENT'!$BH$8:$BH$154*'ANALYSE - ERP =&gt; SOUS-SEGMENT'!$JS$8:$JS$154)/SUMPRODUCT(('ANALYSE - ERP =&gt; SOUS-SEGMENT'!$C$8:$C$154=$C21)*'ANALYSE - ERP =&gt; SOUS-SEGMENT'!$Q$8:$Q$154*'ANALYSE - ERP =&gt; SOUS-SEGMENT'!$BH$8:$BH$154),0)</f>
        <v>2.0685297803023975E-2</v>
      </c>
      <c r="JQ21" s="748">
        <f>IFERROR(SUMPRODUCT(('ANALYSE - ERP =&gt; SOUS-SEGMENT'!$C$8:$C$154=$C21)*'ANALYSE - ERP =&gt; SOUS-SEGMENT'!$Q$8:$Q$154*'ANALYSE - ERP =&gt; SOUS-SEGMENT'!$BH$8:$BH$154*'ANALYSE - ERP =&gt; SOUS-SEGMENT'!$JT$8:$JT$154)/SUMPRODUCT(('ANALYSE - ERP =&gt; SOUS-SEGMENT'!$C$8:$C$154=$C21)*'ANALYSE - ERP =&gt; SOUS-SEGMENT'!$Q$8:$Q$154*'ANALYSE - ERP =&gt; SOUS-SEGMENT'!$BH$8:$BH$154),0)</f>
        <v>0.31309212262968844</v>
      </c>
      <c r="JR21" s="748">
        <f>IFERROR(SUMPRODUCT(('ANALYSE - ERP =&gt; SOUS-SEGMENT'!$C$8:$C$154=$C21)*'ANALYSE - ERP =&gt; SOUS-SEGMENT'!$Q$8:$Q$154*'ANALYSE - ERP =&gt; SOUS-SEGMENT'!$BH$8:$BH$154*'ANALYSE - ERP =&gt; SOUS-SEGMENT'!$JU$8:$JU$154)/SUMPRODUCT(('ANALYSE - ERP =&gt; SOUS-SEGMENT'!$C$8:$C$154=$C21)*'ANALYSE - ERP =&gt; SOUS-SEGMENT'!$Q$8:$Q$154*'ANALYSE - ERP =&gt; SOUS-SEGMENT'!$BH$8:$BH$154),0)</f>
        <v>0.49586996909197228</v>
      </c>
      <c r="JS21" s="748">
        <f>IFERROR(SUMPRODUCT(('ANALYSE - ERP =&gt; SOUS-SEGMENT'!$C$8:$C$154=$C21)*'ANALYSE - ERP =&gt; SOUS-SEGMENT'!$Q$8:$Q$154*'ANALYSE - ERP =&gt; SOUS-SEGMENT'!$BH$8:$BH$154*'ANALYSE - ERP =&gt; SOUS-SEGMENT'!$JV$8:$JV$154)/SUMPRODUCT(('ANALYSE - ERP =&gt; SOUS-SEGMENT'!$C$8:$C$154=$C21)*'ANALYSE - ERP =&gt; SOUS-SEGMENT'!$Q$8:$Q$154*'ANALYSE - ERP =&gt; SOUS-SEGMENT'!$BH$8:$BH$154),0)</f>
        <v>0.15665142427533207</v>
      </c>
      <c r="JT21" s="749">
        <f>IFERROR(SUMPRODUCT(('ANALYSE - ERP =&gt; SOUS-SEGMENT'!$C$8:$C$154=$C21)*'ANALYSE - ERP =&gt; SOUS-SEGMENT'!$Q$8:$Q$154*'ANALYSE - ERP =&gt; SOUS-SEGMENT'!$BH$8:$BH$154*'ANALYSE - ERP =&gt; SOUS-SEGMENT'!$JW$8:$JW$154)/SUMPRODUCT(('ANALYSE - ERP =&gt; SOUS-SEGMENT'!$C$8:$C$154=$C21)*'ANALYSE - ERP =&gt; SOUS-SEGMENT'!$Q$8:$Q$154*'ANALYSE - ERP =&gt; SOUS-SEGMENT'!$BH$8:$BH$154),0)</f>
        <v>1.3701186199983293E-2</v>
      </c>
      <c r="JU21" s="771">
        <f>IFERROR(SUMPRODUCT(('ANALYSE - ERP =&gt; SOUS-SEGMENT'!$C$8:$C$154=$C21)*'ANALYSE - ERP =&gt; SOUS-SEGMENT'!$Q$8:$Q$154*'ANALYSE - ERP =&gt; SOUS-SEGMENT'!$FK$8:$FK$154*'ANALYSE - ERP =&gt; SOUS-SEGMENT'!$JX$8:$JX$154)/SUMPRODUCT(('ANALYSE - ERP =&gt; SOUS-SEGMENT'!$C$8:$C$154=$C21)*'ANALYSE - ERP =&gt; SOUS-SEGMENT'!$Q$8:$Q$154*'ANALYSE - ERP =&gt; SOUS-SEGMENT'!$FK$8:$FK$154),0)</f>
        <v>5.9967671349620251E-3</v>
      </c>
      <c r="JV21" s="748">
        <f>IFERROR(SUMPRODUCT(('ANALYSE - ERP =&gt; SOUS-SEGMENT'!$C$8:$C$154=$C21)*'ANALYSE - ERP =&gt; SOUS-SEGMENT'!$Q$8:$Q$154*'ANALYSE - ERP =&gt; SOUS-SEGMENT'!$FK$8:$FK$154*'ANALYSE - ERP =&gt; SOUS-SEGMENT'!$JY$8:$JY$154)/SUMPRODUCT(('ANALYSE - ERP =&gt; SOUS-SEGMENT'!$C$8:$C$154=$C21)*'ANALYSE - ERP =&gt; SOUS-SEGMENT'!$Q$8:$Q$154*'ANALYSE - ERP =&gt; SOUS-SEGMENT'!$FK$8:$FK$154),0)</f>
        <v>0.27474421233146407</v>
      </c>
      <c r="JW21" s="748">
        <f>IFERROR(SUMPRODUCT(('ANALYSE - ERP =&gt; SOUS-SEGMENT'!$C$8:$C$154=$C21)*'ANALYSE - ERP =&gt; SOUS-SEGMENT'!$Q$8:$Q$154*'ANALYSE - ERP =&gt; SOUS-SEGMENT'!$FK$8:$FK$154*'ANALYSE - ERP =&gt; SOUS-SEGMENT'!$JZ$8:$JZ$154)/SUMPRODUCT(('ANALYSE - ERP =&gt; SOUS-SEGMENT'!$C$8:$C$154=$C21)*'ANALYSE - ERP =&gt; SOUS-SEGMENT'!$Q$8:$Q$154*'ANALYSE - ERP =&gt; SOUS-SEGMENT'!$FK$8:$FK$154),0)</f>
        <v>0.51973321873046807</v>
      </c>
      <c r="JX21" s="748">
        <f>IFERROR(SUMPRODUCT(('ANALYSE - ERP =&gt; SOUS-SEGMENT'!$C$8:$C$154=$C21)*'ANALYSE - ERP =&gt; SOUS-SEGMENT'!$Q$8:$Q$154*'ANALYSE - ERP =&gt; SOUS-SEGMENT'!$FK$8:$FK$154*'ANALYSE - ERP =&gt; SOUS-SEGMENT'!$KA$8:$KA$154)/SUMPRODUCT(('ANALYSE - ERP =&gt; SOUS-SEGMENT'!$C$8:$C$154=$C21)*'ANALYSE - ERP =&gt; SOUS-SEGMENT'!$Q$8:$Q$154*'ANALYSE - ERP =&gt; SOUS-SEGMENT'!$FK$8:$FK$154),0)</f>
        <v>0.18025486375919245</v>
      </c>
      <c r="JY21" s="775">
        <f>IFERROR(SUMPRODUCT(('ANALYSE - ERP =&gt; SOUS-SEGMENT'!$C$8:$C$154=$C21)*'ANALYSE - ERP =&gt; SOUS-SEGMENT'!$Q$8:$Q$154*'ANALYSE - ERP =&gt; SOUS-SEGMENT'!$FK$8:$FK$154*'ANALYSE - ERP =&gt; SOUS-SEGMENT'!$KB$8:$KB$154)/SUMPRODUCT(('ANALYSE - ERP =&gt; SOUS-SEGMENT'!$C$8:$C$154=$C21)*'ANALYSE - ERP =&gt; SOUS-SEGMENT'!$Q$8:$Q$154*'ANALYSE - ERP =&gt; SOUS-SEGMENT'!$FK$8:$FK$154),0)</f>
        <v>1.9270938043913308E-2</v>
      </c>
      <c r="JZ21" s="529"/>
      <c r="KA21" s="569" t="s">
        <v>2591</v>
      </c>
      <c r="KB21" s="569" t="s">
        <v>2625</v>
      </c>
      <c r="KC21" s="868">
        <f>IFERROR(SUMPRODUCT(('ANALYSE - ERP =&gt; SOUS-SEGMENT'!$C$8:$C$154=$C22)*'ANALYSE - ERP =&gt; SOUS-SEGMENT'!$Q$8:$Q$154*'ANALYSE - ERP =&gt; SOUS-SEGMENT'!$EX$8:$EX$154*'ANALYSE - ERP =&gt; SOUS-SEGMENT'!$KF$8:$KF$154)/SUMPRODUCT(('ANALYSE - ERP =&gt; SOUS-SEGMENT'!$C$8:$C$154=$C22)*'ANALYSE - ERP =&gt; SOUS-SEGMENT'!$Q$8:$Q$154*'ANALYSE - ERP =&gt; SOUS-SEGMENT'!$EX$8:$EX$154),"")</f>
        <v>4.2300000000000004</v>
      </c>
      <c r="KD21" s="569" t="s">
        <v>2589</v>
      </c>
      <c r="KE21" s="571" t="s">
        <v>7069</v>
      </c>
      <c r="KF21" s="621" t="s">
        <v>6760</v>
      </c>
      <c r="KG21" s="571" t="s">
        <v>6760</v>
      </c>
    </row>
    <row r="22" spans="1:293" s="549" customFormat="1" ht="108" customHeight="1">
      <c r="A22" s="522">
        <v>18</v>
      </c>
      <c r="B22" s="606" t="s">
        <v>2264</v>
      </c>
      <c r="C22" s="606" t="s">
        <v>4024</v>
      </c>
      <c r="D22" s="606" t="s">
        <v>679</v>
      </c>
      <c r="E22" s="524" t="s">
        <v>4026</v>
      </c>
      <c r="F22" s="524" t="s">
        <v>4027</v>
      </c>
      <c r="G22" s="524" t="s">
        <v>2121</v>
      </c>
      <c r="H22" s="524" t="s">
        <v>2097</v>
      </c>
      <c r="I22" s="525" t="s">
        <v>7070</v>
      </c>
      <c r="J22" s="525" t="s">
        <v>7071</v>
      </c>
      <c r="K22" s="526" t="s">
        <v>2097</v>
      </c>
      <c r="L22" s="526" t="s">
        <v>2109</v>
      </c>
      <c r="M22" s="526" t="s">
        <v>2603</v>
      </c>
      <c r="N22" s="526" t="s">
        <v>6742</v>
      </c>
      <c r="O22" s="526" t="s">
        <v>2616</v>
      </c>
      <c r="P22" s="525"/>
      <c r="Q22" s="270">
        <f>IF(SUMPRODUCT(('ANALYSE - ERP =&gt; SOUS-SEGMENT'!$C$8:$C$154=$C22)*'ANALYSE - ERP =&gt; SOUS-SEGMENT'!$Q$8:$Q$154)&gt;0,1,0)</f>
        <v>1</v>
      </c>
      <c r="R22" s="527">
        <f>IFERROR(SUMPRODUCT(('ANALYSE - ERP =&gt; SOUS-SEGMENT'!$C$8:$C$154=$C22)*'ANALYSE - ERP =&gt; SOUS-SEGMENT'!$Q$8:$Q$154*'ANALYSE - ERP =&gt; SOUS-SEGMENT'!$AG$8:$AG$154*'ANALYSE - ERP =&gt; SOUS-SEGMENT'!$R$8:$R$154)/SUMPRODUCT(('ANALYSE - ERP =&gt; SOUS-SEGMENT'!$C$8:$C$154=$C22)*'ANALYSE - ERP =&gt; SOUS-SEGMENT'!$Q$8:$Q$154*'ANALYSE - ERP =&gt; SOUS-SEGMENT'!$AG$8:$AG$154),"")</f>
        <v>4200</v>
      </c>
      <c r="S22" s="528">
        <f>SUMPRODUCT(('ANALYSE - ERP =&gt; SOUS-SEGMENT'!$C$8:$C$154=$C22)*'ANALYSE - ERP =&gt; SOUS-SEGMENT'!$Q$8:$Q$154*'ANALYSE - ERP =&gt; SOUS-SEGMENT'!$S$8:$S$154)</f>
        <v>18000</v>
      </c>
      <c r="T22" s="528">
        <f>SUMPRODUCT(('ANALYSE - ERP =&gt; SOUS-SEGMENT'!$C$8:$C$154=$C22)*'ANALYSE - ERP =&gt; SOUS-SEGMENT'!$Q$8:$Q$154*'ANALYSE - ERP =&gt; SOUS-SEGMENT'!$T$8:$T$154)</f>
        <v>19500</v>
      </c>
      <c r="U22" s="528">
        <f>SUMPRODUCT(('ANALYSE - ERP =&gt; SOUS-SEGMENT'!$C$8:$C$154=$C22)*'ANALYSE - ERP =&gt; SOUS-SEGMENT'!$Q$8:$Q$154*'ANALYSE - ERP =&gt; SOUS-SEGMENT'!$U$8:$U$154)</f>
        <v>22000</v>
      </c>
      <c r="V22" s="528">
        <f>SUMPRODUCT(('ANALYSE - ERP =&gt; SOUS-SEGMENT'!$C$8:$C$154=$C22)*'ANALYSE - ERP =&gt; SOUS-SEGMENT'!$Q$8:$Q$154*'ANALYSE - ERP =&gt; SOUS-SEGMENT'!$V$8:$V$154)</f>
        <v>25500</v>
      </c>
      <c r="W22" s="528">
        <f>SUMPRODUCT(('ANALYSE - ERP =&gt; SOUS-SEGMENT'!$C$8:$C$154=$C22)*'ANALYSE - ERP =&gt; SOUS-SEGMENT'!$Q$8:$Q$154*'ANALYSE - ERP =&gt; SOUS-SEGMENT'!$W$8:$W$154)</f>
        <v>26200</v>
      </c>
      <c r="X22" s="528">
        <f>SUMPRODUCT(('ANALYSE - ERP =&gt; SOUS-SEGMENT'!$C$8:$C$154=$C22)*'ANALYSE - ERP =&gt; SOUS-SEGMENT'!$Q$8:$Q$154*'ANALYSE - ERP =&gt; SOUS-SEGMENT'!$X$8:$X$154)</f>
        <v>26900</v>
      </c>
      <c r="Y22" s="528">
        <f>SUMPRODUCT(('ANALYSE - ERP =&gt; SOUS-SEGMENT'!$C$8:$C$154=$C22)*'ANALYSE - ERP =&gt; SOUS-SEGMENT'!$Q$8:$Q$154*'ANALYSE - ERP =&gt; SOUS-SEGMENT'!$Y$8:$Y$154)</f>
        <v>27600</v>
      </c>
      <c r="Z22" s="528">
        <f>SUMPRODUCT(('ANALYSE - ERP =&gt; SOUS-SEGMENT'!$C$8:$C$154=$C22)*'ANALYSE - ERP =&gt; SOUS-SEGMENT'!$Q$8:$Q$154*'ANALYSE - ERP =&gt; SOUS-SEGMENT'!$Z$8:$Z$154)</f>
        <v>28400</v>
      </c>
      <c r="AA22" s="528">
        <f>SUMPRODUCT(('ANALYSE - ERP =&gt; SOUS-SEGMENT'!$C$8:$C$154=$C22)*'ANALYSE - ERP =&gt; SOUS-SEGMENT'!$Q$8:$Q$154*'ANALYSE - ERP =&gt; SOUS-SEGMENT'!$AA$8:$AA$154)</f>
        <v>27800</v>
      </c>
      <c r="AB22" s="528">
        <f>SUMPRODUCT(('ANALYSE - ERP =&gt; SOUS-SEGMENT'!$C$8:$C$154=$C22)*'ANALYSE - ERP =&gt; SOUS-SEGMENT'!$Q$8:$Q$154*'ANALYSE - ERP =&gt; SOUS-SEGMENT'!$AB$8:$AB$154)</f>
        <v>27900</v>
      </c>
      <c r="AC22" s="528">
        <f>SUMPRODUCT(('ANALYSE - ERP =&gt; SOUS-SEGMENT'!$C$8:$C$154=$C22)*'ANALYSE - ERP =&gt; SOUS-SEGMENT'!$Q$8:$Q$154*'ANALYSE - ERP =&gt; SOUS-SEGMENT'!$AC$8:$AC$154)</f>
        <v>28000</v>
      </c>
      <c r="AD22" s="528">
        <f>SUMPRODUCT(('ANALYSE - ERP =&gt; SOUS-SEGMENT'!$C$8:$C$154=$C22)*'ANALYSE - ERP =&gt; SOUS-SEGMENT'!$Q$8:$Q$154*'ANALYSE - ERP =&gt; SOUS-SEGMENT'!$AD$8:$AD$154)</f>
        <v>28050</v>
      </c>
      <c r="AE22" s="528">
        <f>SUMPRODUCT(('ANALYSE - ERP =&gt; SOUS-SEGMENT'!$C$8:$C$154=$C22)*'ANALYSE - ERP =&gt; SOUS-SEGMENT'!$Q$8:$Q$154*'ANALYSE - ERP =&gt; SOUS-SEGMENT'!$AE$8:$AE$154)</f>
        <v>28100</v>
      </c>
      <c r="AF22" s="528">
        <f>SUMPRODUCT(('ANALYSE - ERP =&gt; SOUS-SEGMENT'!$C$8:$C$154=$C22)*'ANALYSE - ERP =&gt; SOUS-SEGMENT'!$Q$8:$Q$154*'ANALYSE - ERP =&gt; SOUS-SEGMENT'!$AF$8:$AF$154)</f>
        <v>28100</v>
      </c>
      <c r="AG22" s="528">
        <f>SUMPRODUCT(('ANALYSE - ERP =&gt; SOUS-SEGMENT'!$C$8:$C$154=$C22)*'ANALYSE - ERP =&gt; SOUS-SEGMENT'!$Q$8:$Q$154*'ANALYSE - ERP =&gt; SOUS-SEGMENT'!$AG$8:$AG$154)</f>
        <v>28000</v>
      </c>
      <c r="AH22" s="528">
        <f>SUMPRODUCT(('ANALYSE - ERP =&gt; SOUS-SEGMENT'!$C$8:$C$154=$C22)*'ANALYSE - ERP =&gt; SOUS-SEGMENT'!$Q$8:$Q$154*'ANALYSE - ERP =&gt; SOUS-SEGMENT'!$AH$8:$AH$154)</f>
        <v>27900</v>
      </c>
      <c r="AI22" s="528">
        <f>SUMPRODUCT(('ANALYSE - ERP =&gt; SOUS-SEGMENT'!$C$8:$C$154=$C22)*'ANALYSE - ERP =&gt; SOUS-SEGMENT'!$Q$8:$Q$154*'ANALYSE - ERP =&gt; SOUS-SEGMENT'!$AI$8:$AI$154)</f>
        <v>27800</v>
      </c>
      <c r="AJ22" s="528">
        <f>SUMPRODUCT(('ANALYSE - ERP =&gt; SOUS-SEGMENT'!$C$8:$C$154=$C22)*'ANALYSE - ERP =&gt; SOUS-SEGMENT'!$Q$8:$Q$154*'ANALYSE - ERP =&gt; SOUS-SEGMENT'!$AJ$8:$AJ$154)</f>
        <v>27700</v>
      </c>
      <c r="AK22" s="528">
        <f>SUMPRODUCT(('ANALYSE - ERP =&gt; SOUS-SEGMENT'!$C$8:$C$154=$C22)*'ANALYSE - ERP =&gt; SOUS-SEGMENT'!$Q$8:$Q$154*'ANALYSE - ERP =&gt; SOUS-SEGMENT'!$AK$8:$AK$154)</f>
        <v>27600</v>
      </c>
      <c r="AL22" s="525" t="s">
        <v>7072</v>
      </c>
      <c r="AM22" s="525" t="s">
        <v>7073</v>
      </c>
      <c r="AN22" s="525" t="s">
        <v>4033</v>
      </c>
      <c r="AO22" s="529"/>
      <c r="AP22" s="527">
        <f>IFERROR(SUMPRODUCT(('ANALYSE - ERP =&gt; SOUS-SEGMENT'!$C$8:$C$154=$C22)*'ANALYSE - ERP =&gt; SOUS-SEGMENT'!$Q$8:$Q$154*'ANALYSE - ERP =&gt; SOUS-SEGMENT'!$AG$8:$AG$154*'ANALYSE - ERP =&gt; SOUS-SEGMENT'!$AP$8:$AP$154)/SUMPRODUCT(('ANALYSE - ERP =&gt; SOUS-SEGMENT'!$C$8:$C$154=$C22)*'ANALYSE - ERP =&gt; SOUS-SEGMENT'!$Q$8:$Q$154*'ANALYSE - ERP =&gt; SOUS-SEGMENT'!$AG$8:$AG$154),"")</f>
        <v>250</v>
      </c>
      <c r="AQ22" s="527">
        <f>IFERROR(SUMPRODUCT(('ANALYSE - ERP =&gt; SOUS-SEGMENT'!$C$8:$C$154=$C22)*'ANALYSE - ERP =&gt; SOUS-SEGMENT'!$Q$8:$Q$154*'ANALYSE - ERP =&gt; SOUS-SEGMENT'!$AF$8:$AF$154*'ANALYSE - ERP =&gt; SOUS-SEGMENT'!$AQ$8:$AQ$154)/SUMPRODUCT(('ANALYSE - ERP =&gt; SOUS-SEGMENT'!$C$8:$C$154=$C22)*'ANALYSE - ERP =&gt; SOUS-SEGMENT'!$Q$8:$Q$154*'ANALYSE - ERP =&gt; SOUS-SEGMENT'!$AF$8:$AF$154),"")</f>
        <v>225</v>
      </c>
      <c r="AR22" s="977">
        <f>IFERROR(SUMPRODUCT(('ANALYSE - ERP =&gt; SOUS-SEGMENT'!$C$8:$C$154=$C22)*'ANALYSE - ERP =&gt; SOUS-SEGMENT'!$Q$8:$Q$154*'ANALYSE - ERP =&gt; SOUS-SEGMENT'!$AF$8:$AF$154*'ANALYSE - ERP =&gt; SOUS-SEGMENT'!$AR$8:$AR$154)/SUMPRODUCT(('ANALYSE - ERP =&gt; SOUS-SEGMENT'!$C$8:$C$154=$C22)*'ANALYSE - ERP =&gt; SOUS-SEGMENT'!$Q$8:$Q$154*'ANALYSE - ERP =&gt; SOUS-SEGMENT'!$AF$8:$AF$154),"")</f>
        <v>25</v>
      </c>
      <c r="AS22" s="977">
        <f>IFERROR(SUMPRODUCT(('ANALYSE - ERP =&gt; SOUS-SEGMENT'!$C$8:$C$154=$C22)*'ANALYSE - ERP =&gt; SOUS-SEGMENT'!$Q$8:$Q$154*'ANALYSE - ERP =&gt; SOUS-SEGMENT'!$AF$8:$AF$154*'ANALYSE - ERP =&gt; SOUS-SEGMENT'!$AS$8:$AS$154)/SUMPRODUCT(('ANALYSE - ERP =&gt; SOUS-SEGMENT'!$C$8:$C$154=$C22)*'ANALYSE - ERP =&gt; SOUS-SEGMENT'!$Q$8:$Q$154*'ANALYSE - ERP =&gt; SOUS-SEGMENT'!$AF$8:$AF$154),"")</f>
        <v>0</v>
      </c>
      <c r="AT22" s="529" t="s">
        <v>7074</v>
      </c>
      <c r="AU22" s="525" t="s">
        <v>7075</v>
      </c>
      <c r="AV22" s="543" t="s">
        <v>4061</v>
      </c>
      <c r="AW22" s="525" t="s">
        <v>7076</v>
      </c>
      <c r="AX22" s="529"/>
      <c r="AY22" s="530">
        <f>IFERROR(SUMPRODUCT(('ANALYSE - ERP =&gt; SOUS-SEGMENT'!$C$8:$C$154=$C22)*'ANALYSE - ERP =&gt; SOUS-SEGMENT'!$Q$8:$Q$154*'ANALYSE - ERP =&gt; SOUS-SEGMENT'!$AF$8:$AF$154*'ANALYSE - ERP =&gt; SOUS-SEGMENT'!$AZ$8:$AZ$154)/SUMPRODUCT(('ANALYSE - ERP =&gt; SOUS-SEGMENT'!$C$8:$C$154=$C22)*'ANALYSE - ERP =&gt; SOUS-SEGMENT'!$Q$8:$Q$154*'ANALYSE - ERP =&gt; SOUS-SEGMENT'!$AF$8:$AF$154),"")</f>
        <v>22</v>
      </c>
      <c r="AZ22" s="978">
        <f>IFERROR(SUMPRODUCT(('ANALYSE - ERP =&gt; SOUS-SEGMENT'!$C$8:$C$154=$C22)*'ANALYSE - ERP =&gt; SOUS-SEGMENT'!$Q$8:$Q$154*'ANALYSE - ERP =&gt; SOUS-SEGMENT'!$AF$8:$AF$154*'ANALYSE - ERP =&gt; SOUS-SEGMENT'!$BA$8:$BA$154)/SUMPRODUCT(('ANALYSE - ERP =&gt; SOUS-SEGMENT'!$C$8:$C$154=$C22)*'ANALYSE - ERP =&gt; SOUS-SEGMENT'!$Q$8:$Q$154*'ANALYSE - ERP =&gt; SOUS-SEGMENT'!$AF$8:$AF$154),"")</f>
        <v>0.22500000000000001</v>
      </c>
      <c r="BA22" s="530">
        <f>IFERROR(SUMPRODUCT(('ANALYSE - ERP =&gt; SOUS-SEGMENT'!$C$8:$C$154=$C22)*'ANALYSE - ERP =&gt; SOUS-SEGMENT'!$Q$8:$Q$154*'ANALYSE - ERP =&gt; SOUS-SEGMENT'!$AF$8:$AF$154*'ANALYSE - ERP =&gt; SOUS-SEGMENT'!$BB$8:$BB$154)/SUMPRODUCT(('ANALYSE - ERP =&gt; SOUS-SEGMENT'!$C$8:$C$154=$C22)*'ANALYSE - ERP =&gt; SOUS-SEGMENT'!$Q$8:$Q$154*'ANALYSE - ERP =&gt; SOUS-SEGMENT'!$AF$8:$AF$154),"")</f>
        <v>4.5</v>
      </c>
      <c r="BB22" s="530">
        <f>IFERROR(SUMPRODUCT(('ANALYSE - ERP =&gt; SOUS-SEGMENT'!$C$8:$C$154=$C22)*'ANALYSE - ERP =&gt; SOUS-SEGMENT'!$Q$8:$Q$154*'ANALYSE - ERP =&gt; SOUS-SEGMENT'!$AF$8:$AF$154*'ANALYSE - ERP =&gt; SOUS-SEGMENT'!$BC$8:$BC$154)/SUMPRODUCT(('ANALYSE - ERP =&gt; SOUS-SEGMENT'!$C$8:$C$154=$C22)*'ANALYSE - ERP =&gt; SOUS-SEGMENT'!$Q$8:$Q$154*'ANALYSE - ERP =&gt; SOUS-SEGMENT'!$AF$8:$AF$154),"")</f>
        <v>16</v>
      </c>
      <c r="BC22" s="531">
        <f>SUMPRODUCT(('ANALYSE - ERP =&gt; SOUS-SEGMENT'!$C$8:$C$154=$C22)*'ANALYSE - ERP =&gt; SOUS-SEGMENT'!$Q$8:$Q$154*'ANALYSE - ERP =&gt; SOUS-SEGMENT'!$BE$8:$BE$154)</f>
        <v>618200</v>
      </c>
      <c r="BD22" s="531">
        <f>SUMPRODUCT(('ANALYSE - ERP =&gt; SOUS-SEGMENT'!$C$8:$C$154=$C22)*'ANALYSE - ERP =&gt; SOUS-SEGMENT'!$Q$8:$Q$154*'ANALYSE - ERP =&gt; SOUS-SEGMENT'!$BF$8:$BF$154)</f>
        <v>6322.5</v>
      </c>
      <c r="BE22" s="531">
        <f>SUMPRODUCT(('ANALYSE - ERP =&gt; SOUS-SEGMENT'!$C$8:$C$154=$C22)*'ANALYSE - ERP =&gt; SOUS-SEGMENT'!$Q$8:$Q$154*'ANALYSE - ERP =&gt; SOUS-SEGMENT'!$BG$8:$BG$154)</f>
        <v>126450</v>
      </c>
      <c r="BF22" s="531">
        <f>SUMPRODUCT(('ANALYSE - ERP =&gt; SOUS-SEGMENT'!$C$8:$C$154=$C22)*'ANALYSE - ERP =&gt; SOUS-SEGMENT'!$Q$8:$Q$154*'ANALYSE - ERP =&gt; SOUS-SEGMENT'!$BH$8:$BH$154)</f>
        <v>449600</v>
      </c>
      <c r="BG22" s="531">
        <f>SUMPRODUCT(('ANALYSE - ERP =&gt; SOUS-SEGMENT'!$C$8:$C$154=$C22)*'ANALYSE - ERP =&gt; SOUS-SEGMENT'!$Q$8:$Q$154*'ANALYSE - ERP =&gt; SOUS-SEGMENT'!$BJ$8:$BJ$154)</f>
        <v>607200</v>
      </c>
      <c r="BH22" s="531">
        <f>SUMPRODUCT(('ANALYSE - ERP =&gt; SOUS-SEGMENT'!$C$8:$C$154=$C22)*'ANALYSE - ERP =&gt; SOUS-SEGMENT'!$Q$8:$Q$154*'ANALYSE - ERP =&gt; SOUS-SEGMENT'!$BK$8:$BK$154)</f>
        <v>6210</v>
      </c>
      <c r="BI22" s="531">
        <f>SUMPRODUCT(('ANALYSE - ERP =&gt; SOUS-SEGMENT'!$C$8:$C$154=$C22)*'ANALYSE - ERP =&gt; SOUS-SEGMENT'!$Q$8:$Q$154*'ANALYSE - ERP =&gt; SOUS-SEGMENT'!$BL$8:$BL$154)</f>
        <v>124200</v>
      </c>
      <c r="BJ22" s="531">
        <f>SUMPRODUCT(('ANALYSE - ERP =&gt; SOUS-SEGMENT'!$C$8:$C$154=$C22)*'ANALYSE - ERP =&gt; SOUS-SEGMENT'!$Q$8:$Q$154*'ANALYSE - ERP =&gt; SOUS-SEGMENT'!$BM$8:$BM$154)</f>
        <v>441600</v>
      </c>
      <c r="BK22" s="529"/>
      <c r="BL22" s="602">
        <f>IFERROR(SUMPRODUCT(('ANALYSE - ERP =&gt; SOUS-SEGMENT'!$C$8:$C$154=$C22)*'ANALYSE - ERP =&gt; SOUS-SEGMENT'!$Q$8:$Q$154*'ANALYSE - ERP =&gt; SOUS-SEGMENT'!$BE$8:$BE$154*'ANALYSE - ERP =&gt; SOUS-SEGMENT'!$BO$8:$BO$154)/SUMPRODUCT(('ANALYSE - ERP =&gt; SOUS-SEGMENT'!$C$8:$C$154=$C22)*'ANALYSE - ERP =&gt; SOUS-SEGMENT'!$Q$8:$Q$154*'ANALYSE - ERP =&gt; SOUS-SEGMENT'!$BE$8:$BE$154),"")</f>
        <v>0.43</v>
      </c>
      <c r="BM22" s="532">
        <f>IFERROR(SUMPRODUCT(('ANALYSE - ERP =&gt; SOUS-SEGMENT'!$C$8:$C$154=$C22)*'ANALYSE - ERP =&gt; SOUS-SEGMENT'!$Q$8:$Q$154*'ANALYSE - ERP =&gt; SOUS-SEGMENT'!$BE$8:$BE$154*'ANALYSE - ERP =&gt; SOUS-SEGMENT'!$BP$8:$BP$154)/SUMPRODUCT(('ANALYSE - ERP =&gt; SOUS-SEGMENT'!$C$8:$C$154=$C22)*'ANALYSE - ERP =&gt; SOUS-SEGMENT'!$Q$8:$Q$154*'ANALYSE - ERP =&gt; SOUS-SEGMENT'!$BE$8:$BE$154),"")</f>
        <v>0.35</v>
      </c>
      <c r="BN22" s="532">
        <f>IFERROR(SUMPRODUCT(('ANALYSE - ERP =&gt; SOUS-SEGMENT'!$C$8:$C$154=$C22)*'ANALYSE - ERP =&gt; SOUS-SEGMENT'!$Q$8:$Q$154*'ANALYSE - ERP =&gt; SOUS-SEGMENT'!$BE$8:$BE$154*'ANALYSE - ERP =&gt; SOUS-SEGMENT'!$BQ$8:$BQ$154)/SUMPRODUCT(('ANALYSE - ERP =&gt; SOUS-SEGMENT'!$C$8:$C$154=$C22)*'ANALYSE - ERP =&gt; SOUS-SEGMENT'!$Q$8:$Q$154*'ANALYSE - ERP =&gt; SOUS-SEGMENT'!$BE$8:$BE$154),"")</f>
        <v>0.17</v>
      </c>
      <c r="BO22" s="603">
        <f>IFERROR(SUMPRODUCT(('ANALYSE - ERP =&gt; SOUS-SEGMENT'!$C$8:$C$154=$C22)*'ANALYSE - ERP =&gt; SOUS-SEGMENT'!$Q$8:$Q$154*'ANALYSE - ERP =&gt; SOUS-SEGMENT'!$BE$8:$BE$154*'ANALYSE - ERP =&gt; SOUS-SEGMENT'!$BR$8:$BR$154)/SUMPRODUCT(('ANALYSE - ERP =&gt; SOUS-SEGMENT'!$C$8:$C$154=$C22)*'ANALYSE - ERP =&gt; SOUS-SEGMENT'!$Q$8:$Q$154*'ANALYSE - ERP =&gt; SOUS-SEGMENT'!$BE$8:$BE$154),"")</f>
        <v>0.05</v>
      </c>
      <c r="BP22" s="602">
        <f>IFERROR(SUMPRODUCT(('ANALYSE - ERP =&gt; SOUS-SEGMENT'!$C$8:$C$154=$C22)*'ANALYSE - ERP =&gt; SOUS-SEGMENT'!$Q$8:$Q$154*'ANALYSE - ERP =&gt; SOUS-SEGMENT'!$BJ$8:$BJ$154*'ANALYSE - ERP =&gt; SOUS-SEGMENT'!$BS$8:$BS$154)/SUMPRODUCT(('ANALYSE - ERP =&gt; SOUS-SEGMENT'!$C$8:$C$154=$C22)*'ANALYSE - ERP =&gt; SOUS-SEGMENT'!$Q$8:$Q$154*'ANALYSE - ERP =&gt; SOUS-SEGMENT'!$BJ$8:$BJ$154),"")</f>
        <v>0.36</v>
      </c>
      <c r="BQ22" s="532">
        <f>IFERROR(SUMPRODUCT(('ANALYSE - ERP =&gt; SOUS-SEGMENT'!$C$8:$C$154=$C22)*'ANALYSE - ERP =&gt; SOUS-SEGMENT'!$Q$8:$Q$154*'ANALYSE - ERP =&gt; SOUS-SEGMENT'!$BJ$8:$BJ$154*'ANALYSE - ERP =&gt; SOUS-SEGMENT'!$BT$8:$BT$154)/SUMPRODUCT(('ANALYSE - ERP =&gt; SOUS-SEGMENT'!$C$8:$C$154=$C22)*'ANALYSE - ERP =&gt; SOUS-SEGMENT'!$Q$8:$Q$154*'ANALYSE - ERP =&gt; SOUS-SEGMENT'!$BJ$8:$BJ$154),"")</f>
        <v>0.36</v>
      </c>
      <c r="BR22" s="532">
        <f>IFERROR(SUMPRODUCT(('ANALYSE - ERP =&gt; SOUS-SEGMENT'!$C$8:$C$154=$C22)*'ANALYSE - ERP =&gt; SOUS-SEGMENT'!$Q$8:$Q$154*'ANALYSE - ERP =&gt; SOUS-SEGMENT'!$BJ$8:$BJ$154*'ANALYSE - ERP =&gt; SOUS-SEGMENT'!$BU$8:$BU$154)/SUMPRODUCT(('ANALYSE - ERP =&gt; SOUS-SEGMENT'!$C$8:$C$154=$C22)*'ANALYSE - ERP =&gt; SOUS-SEGMENT'!$Q$8:$Q$154*'ANALYSE - ERP =&gt; SOUS-SEGMENT'!$BJ$8:$BJ$154),"")</f>
        <v>0.24</v>
      </c>
      <c r="BS22" s="603">
        <f>IFERROR(SUMPRODUCT(('ANALYSE - ERP =&gt; SOUS-SEGMENT'!$C$8:$C$154=$C22)*'ANALYSE - ERP =&gt; SOUS-SEGMENT'!$Q$8:$Q$154*'ANALYSE - ERP =&gt; SOUS-SEGMENT'!$BJ$8:$BJ$154*'ANALYSE - ERP =&gt; SOUS-SEGMENT'!$BV$8:$BV$154)/SUMPRODUCT(('ANALYSE - ERP =&gt; SOUS-SEGMENT'!$C$8:$C$154=$C22)*'ANALYSE - ERP =&gt; SOUS-SEGMENT'!$Q$8:$Q$154*'ANALYSE - ERP =&gt; SOUS-SEGMENT'!$BJ$8:$BJ$154),"")</f>
        <v>0.04</v>
      </c>
      <c r="BT22" s="604">
        <f>IFERROR(SUMPRODUCT(('ANALYSE - ERP =&gt; SOUS-SEGMENT'!$C$8:$C$154=$C22)*'ANALYSE - ERP =&gt; SOUS-SEGMENT'!$Q$8:$Q$154*'ANALYSE - ERP =&gt; SOUS-SEGMENT'!$BF$8:$BF$154*'ANALYSE - ERP =&gt; SOUS-SEGMENT'!$BW$8:$BW$154)/SUMPRODUCT(('ANALYSE - ERP =&gt; SOUS-SEGMENT'!$C$8:$C$154=$C22)*'ANALYSE - ERP =&gt; SOUS-SEGMENT'!$Q$8:$Q$154*'ANALYSE - ERP =&gt; SOUS-SEGMENT'!$BF$8:$BF$154),"")</f>
        <v>0.5</v>
      </c>
      <c r="BU22" s="533">
        <f>IFERROR(SUMPRODUCT(('ANALYSE - ERP =&gt; SOUS-SEGMENT'!$C$8:$C$154=$C22)*'ANALYSE - ERP =&gt; SOUS-SEGMENT'!$Q$8:$Q$154*'ANALYSE - ERP =&gt; SOUS-SEGMENT'!$BF$8:$BF$154*'ANALYSE - ERP =&gt; SOUS-SEGMENT'!$BX$8:$BX$154)/SUMPRODUCT(('ANALYSE - ERP =&gt; SOUS-SEGMENT'!$C$8:$C$154=$C22)*'ANALYSE - ERP =&gt; SOUS-SEGMENT'!$Q$8:$Q$154*'ANALYSE - ERP =&gt; SOUS-SEGMENT'!$BF$8:$BF$154),"")</f>
        <v>0.36</v>
      </c>
      <c r="BV22" s="605">
        <f>IFERROR(SUMPRODUCT(('ANALYSE - ERP =&gt; SOUS-SEGMENT'!$C$8:$C$154=$C22)*'ANALYSE - ERP =&gt; SOUS-SEGMENT'!$Q$8:$Q$154*'ANALYSE - ERP =&gt; SOUS-SEGMENT'!$BF$8:$BF$154*'ANALYSE - ERP =&gt; SOUS-SEGMENT'!$BY$8:$BY$154)/SUMPRODUCT(('ANALYSE - ERP =&gt; SOUS-SEGMENT'!$C$8:$C$154=$C22)*'ANALYSE - ERP =&gt; SOUS-SEGMENT'!$Q$8:$Q$154*'ANALYSE - ERP =&gt; SOUS-SEGMENT'!$BF$8:$BF$154),"")</f>
        <v>0.14000000000000001</v>
      </c>
      <c r="BW22" s="604">
        <f>IFERROR(SUMPRODUCT(('ANALYSE - ERP =&gt; SOUS-SEGMENT'!$C$8:$C$154=$C22)*'ANALYSE - ERP =&gt; SOUS-SEGMENT'!$Q$8:$Q$154*'ANALYSE - ERP =&gt; SOUS-SEGMENT'!$BK$8:$BK$154*'ANALYSE - ERP =&gt; SOUS-SEGMENT'!$BZ$8:$BZ$154)/SUMPRODUCT(('ANALYSE - ERP =&gt; SOUS-SEGMENT'!$C$8:$C$154=$C22)*'ANALYSE - ERP =&gt; SOUS-SEGMENT'!$Q$8:$Q$154*'ANALYSE - ERP =&gt; SOUS-SEGMENT'!$BK$8:$BK$154),"")</f>
        <v>0.45</v>
      </c>
      <c r="BX22" s="533">
        <f>IFERROR(SUMPRODUCT(('ANALYSE - ERP =&gt; SOUS-SEGMENT'!$C$8:$C$154=$C22)*'ANALYSE - ERP =&gt; SOUS-SEGMENT'!$Q$8:$Q$154*'ANALYSE - ERP =&gt; SOUS-SEGMENT'!$BK$8:$BK$154*'ANALYSE - ERP =&gt; SOUS-SEGMENT'!$CA$8:$CA$154)/SUMPRODUCT(('ANALYSE - ERP =&gt; SOUS-SEGMENT'!$C$8:$C$154=$C22)*'ANALYSE - ERP =&gt; SOUS-SEGMENT'!$Q$8:$Q$154*'ANALYSE - ERP =&gt; SOUS-SEGMENT'!$BK$8:$BK$154),"")</f>
        <v>0.36</v>
      </c>
      <c r="BY22" s="605">
        <f>IFERROR(SUMPRODUCT(('ANALYSE - ERP =&gt; SOUS-SEGMENT'!$C$8:$C$154=$C22)*'ANALYSE - ERP =&gt; SOUS-SEGMENT'!$Q$8:$Q$154*'ANALYSE - ERP =&gt; SOUS-SEGMENT'!$BK$8:$BK$154*'ANALYSE - ERP =&gt; SOUS-SEGMENT'!$CB$8:$CB$154)/SUMPRODUCT(('ANALYSE - ERP =&gt; SOUS-SEGMENT'!$C$8:$C$154=$C22)*'ANALYSE - ERP =&gt; SOUS-SEGMENT'!$Q$8:$Q$154*'ANALYSE - ERP =&gt; SOUS-SEGMENT'!$BK$8:$BK$154),"")</f>
        <v>0.19</v>
      </c>
      <c r="BZ22" s="602">
        <f>IFERROR(SUMPRODUCT(('ANALYSE - ERP =&gt; SOUS-SEGMENT'!$C$8:$C$154=$C22)*'ANALYSE - ERP =&gt; SOUS-SEGMENT'!$Q$8:$Q$154*'ANALYSE - ERP =&gt; SOUS-SEGMENT'!$BG$8:$BG$154*'ANALYSE - ERP =&gt; SOUS-SEGMENT'!$CC$8:$CC$154)/SUMPRODUCT(('ANALYSE - ERP =&gt; SOUS-SEGMENT'!$C$8:$C$154=$C22)*'ANALYSE - ERP =&gt; SOUS-SEGMENT'!$Q$8:$Q$154*'ANALYSE - ERP =&gt; SOUS-SEGMENT'!$BG$8:$BG$154),"")</f>
        <v>0.15</v>
      </c>
      <c r="CA22" s="532">
        <f>IFERROR(SUMPRODUCT(('ANALYSE - ERP =&gt; SOUS-SEGMENT'!$C$8:$C$154=$C22)*'ANALYSE - ERP =&gt; SOUS-SEGMENT'!$Q$8:$Q$154*'ANALYSE - ERP =&gt; SOUS-SEGMENT'!$BG$8:$BG$154*'ANALYSE - ERP =&gt; SOUS-SEGMENT'!$CD$8:$CD$154)/SUMPRODUCT(('ANALYSE - ERP =&gt; SOUS-SEGMENT'!$C$8:$C$154=$C22)*'ANALYSE - ERP =&gt; SOUS-SEGMENT'!$Q$8:$Q$154*'ANALYSE - ERP =&gt; SOUS-SEGMENT'!$BG$8:$BG$154),"")</f>
        <v>0.5</v>
      </c>
      <c r="CB22" s="532">
        <f>IFERROR(SUMPRODUCT(('ANALYSE - ERP =&gt; SOUS-SEGMENT'!$C$8:$C$154=$C22)*'ANALYSE - ERP =&gt; SOUS-SEGMENT'!$Q$8:$Q$154*'ANALYSE - ERP =&gt; SOUS-SEGMENT'!$BG$8:$BG$154*'ANALYSE - ERP =&gt; SOUS-SEGMENT'!$CE$8:$CE$154)/SUMPRODUCT(('ANALYSE - ERP =&gt; SOUS-SEGMENT'!$C$8:$C$154=$C22)*'ANALYSE - ERP =&gt; SOUS-SEGMENT'!$Q$8:$Q$154*'ANALYSE - ERP =&gt; SOUS-SEGMENT'!$BG$8:$BG$154),"")</f>
        <v>0.2</v>
      </c>
      <c r="CC22" s="603">
        <f>IFERROR(SUMPRODUCT(('ANALYSE - ERP =&gt; SOUS-SEGMENT'!$C$8:$C$154=$C22)*'ANALYSE - ERP =&gt; SOUS-SEGMENT'!$Q$8:$Q$154*'ANALYSE - ERP =&gt; SOUS-SEGMENT'!$BG$8:$BG$154*'ANALYSE - ERP =&gt; SOUS-SEGMENT'!$CF$8:$CF$154)/SUMPRODUCT(('ANALYSE - ERP =&gt; SOUS-SEGMENT'!$C$8:$C$154=$C22)*'ANALYSE - ERP =&gt; SOUS-SEGMENT'!$Q$8:$Q$154*'ANALYSE - ERP =&gt; SOUS-SEGMENT'!$BG$8:$BG$154),"")</f>
        <v>0.15</v>
      </c>
      <c r="CD22" s="602">
        <f>IFERROR(SUMPRODUCT(('ANALYSE - ERP =&gt; SOUS-SEGMENT'!$C$8:$C$154=$C22)*'ANALYSE - ERP =&gt; SOUS-SEGMENT'!$Q$8:$Q$154*'ANALYSE - ERP =&gt; SOUS-SEGMENT'!$BL$8:$BL$154*'ANALYSE - ERP =&gt; SOUS-SEGMENT'!$CG$8:$CG$154)/SUMPRODUCT(('ANALYSE - ERP =&gt; SOUS-SEGMENT'!$C$8:$C$154=$C22)*'ANALYSE - ERP =&gt; SOUS-SEGMENT'!$Q$8:$Q$154*'ANALYSE - ERP =&gt; SOUS-SEGMENT'!$BL$8:$BL$154),"")</f>
        <v>0.12</v>
      </c>
      <c r="CE22" s="532">
        <f>IFERROR(SUMPRODUCT(('ANALYSE - ERP =&gt; SOUS-SEGMENT'!$C$8:$C$154=$C22)*'ANALYSE - ERP =&gt; SOUS-SEGMENT'!$Q$8:$Q$154*'ANALYSE - ERP =&gt; SOUS-SEGMENT'!$BL$8:$BL$154*'ANALYSE - ERP =&gt; SOUS-SEGMENT'!$CH$8:$CH$154)/SUMPRODUCT(('ANALYSE - ERP =&gt; SOUS-SEGMENT'!$C$8:$C$154=$C22)*'ANALYSE - ERP =&gt; SOUS-SEGMENT'!$Q$8:$Q$154*'ANALYSE - ERP =&gt; SOUS-SEGMENT'!$BL$8:$BL$154),"")</f>
        <v>0.47</v>
      </c>
      <c r="CF22" s="532">
        <f>IFERROR(SUMPRODUCT(('ANALYSE - ERP =&gt; SOUS-SEGMENT'!$C$8:$C$154=$C22)*'ANALYSE - ERP =&gt; SOUS-SEGMENT'!$Q$8:$Q$154*'ANALYSE - ERP =&gt; SOUS-SEGMENT'!$BL$8:$BL$154*'ANALYSE - ERP =&gt; SOUS-SEGMENT'!$CI$8:$CI$154)/SUMPRODUCT(('ANALYSE - ERP =&gt; SOUS-SEGMENT'!$C$8:$C$154=$C22)*'ANALYSE - ERP =&gt; SOUS-SEGMENT'!$Q$8:$Q$154*'ANALYSE - ERP =&gt; SOUS-SEGMENT'!$BL$8:$BL$154),"")</f>
        <v>0.23</v>
      </c>
      <c r="CG22" s="603">
        <f>IFERROR(SUMPRODUCT(('ANALYSE - ERP =&gt; SOUS-SEGMENT'!$C$8:$C$154=$C22)*'ANALYSE - ERP =&gt; SOUS-SEGMENT'!$Q$8:$Q$154*'ANALYSE - ERP =&gt; SOUS-SEGMENT'!$BL$8:$BL$154*'ANALYSE - ERP =&gt; SOUS-SEGMENT'!$CJ$8:$CJ$154)/SUMPRODUCT(('ANALYSE - ERP =&gt; SOUS-SEGMENT'!$C$8:$C$154=$C22)*'ANALYSE - ERP =&gt; SOUS-SEGMENT'!$Q$8:$Q$154*'ANALYSE - ERP =&gt; SOUS-SEGMENT'!$BL$8:$BL$154),"")</f>
        <v>0.18</v>
      </c>
      <c r="CH22" s="604">
        <f>IFERROR(SUMPRODUCT(('ANALYSE - ERP =&gt; SOUS-SEGMENT'!$C$8:$C$154=$C22)*'ANALYSE - ERP =&gt; SOUS-SEGMENT'!$Q$8:$Q$154*'ANALYSE - ERP =&gt; SOUS-SEGMENT'!$BH$8:$BH$154*'ANALYSE - ERP =&gt; SOUS-SEGMENT'!$CK$8:$CK$154)/SUMPRODUCT(('ANALYSE - ERP =&gt; SOUS-SEGMENT'!$C$8:$C$154=$C22)*'ANALYSE - ERP =&gt; SOUS-SEGMENT'!$Q$8:$Q$154*'ANALYSE - ERP =&gt; SOUS-SEGMENT'!$BH$8:$BH$154),"")</f>
        <v>0.56000000000000005</v>
      </c>
      <c r="CI22" s="533">
        <f>IFERROR(SUMPRODUCT(('ANALYSE - ERP =&gt; SOUS-SEGMENT'!$C$8:$C$154=$C22)*'ANALYSE - ERP =&gt; SOUS-SEGMENT'!$Q$8:$Q$154*'ANALYSE - ERP =&gt; SOUS-SEGMENT'!$BH$8:$BH$154*'ANALYSE - ERP =&gt; SOUS-SEGMENT'!$CL$8:$CL$154)/SUMPRODUCT(('ANALYSE - ERP =&gt; SOUS-SEGMENT'!$C$8:$C$154=$C22)*'ANALYSE - ERP =&gt; SOUS-SEGMENT'!$Q$8:$Q$154*'ANALYSE - ERP =&gt; SOUS-SEGMENT'!$BH$8:$BH$154),"")</f>
        <v>0.28999999999999998</v>
      </c>
      <c r="CJ22" s="605">
        <f>IFERROR(SUMPRODUCT(('ANALYSE - ERP =&gt; SOUS-SEGMENT'!$C$8:$C$154=$C22)*'ANALYSE - ERP =&gt; SOUS-SEGMENT'!$Q$8:$Q$154*'ANALYSE - ERP =&gt; SOUS-SEGMENT'!$BH$8:$BH$154*'ANALYSE - ERP =&gt; SOUS-SEGMENT'!$CM$8:$CM$154)/SUMPRODUCT(('ANALYSE - ERP =&gt; SOUS-SEGMENT'!$C$8:$C$154=$C22)*'ANALYSE - ERP =&gt; SOUS-SEGMENT'!$Q$8:$Q$154*'ANALYSE - ERP =&gt; SOUS-SEGMENT'!$BH$8:$BH$154),"")</f>
        <v>0.15</v>
      </c>
      <c r="CK22" s="604">
        <f>IFERROR(SUMPRODUCT(('ANALYSE - ERP =&gt; SOUS-SEGMENT'!$C$8:$C$154=$C22)*'ANALYSE - ERP =&gt; SOUS-SEGMENT'!$Q$8:$Q$154*'ANALYSE - ERP =&gt; SOUS-SEGMENT'!$BM$8:$BM$154*'ANALYSE - ERP =&gt; SOUS-SEGMENT'!$CN$8:$CN$154)/SUMPRODUCT(('ANALYSE - ERP =&gt; SOUS-SEGMENT'!$C$8:$C$154=$C22)*'ANALYSE - ERP =&gt; SOUS-SEGMENT'!$Q$8:$Q$154*'ANALYSE - ERP =&gt; SOUS-SEGMENT'!$BM$8:$BM$154),"")</f>
        <v>0.49</v>
      </c>
      <c r="CL22" s="533">
        <f>IFERROR(SUMPRODUCT(('ANALYSE - ERP =&gt; SOUS-SEGMENT'!$C$8:$C$154=$C22)*'ANALYSE - ERP =&gt; SOUS-SEGMENT'!$Q$8:$Q$154*'ANALYSE - ERP =&gt; SOUS-SEGMENT'!$BM$8:$BM$154*'ANALYSE - ERP =&gt; SOUS-SEGMENT'!$CO$8:$CO$154)/SUMPRODUCT(('ANALYSE - ERP =&gt; SOUS-SEGMENT'!$C$8:$C$154=$C22)*'ANALYSE - ERP =&gt; SOUS-SEGMENT'!$Q$8:$Q$154*'ANALYSE - ERP =&gt; SOUS-SEGMENT'!$BM$8:$BM$154),"")</f>
        <v>0.33</v>
      </c>
      <c r="CM22" s="605">
        <f>IFERROR(SUMPRODUCT(('ANALYSE - ERP =&gt; SOUS-SEGMENT'!$C$8:$C$154=$C22)*'ANALYSE - ERP =&gt; SOUS-SEGMENT'!$Q$8:$Q$154*'ANALYSE - ERP =&gt; SOUS-SEGMENT'!$BM$8:$BM$154*'ANALYSE - ERP =&gt; SOUS-SEGMENT'!$CP$8:$CP$154)/SUMPRODUCT(('ANALYSE - ERP =&gt; SOUS-SEGMENT'!$C$8:$C$154=$C22)*'ANALYSE - ERP =&gt; SOUS-SEGMENT'!$Q$8:$Q$154*'ANALYSE - ERP =&gt; SOUS-SEGMENT'!$BM$8:$BM$154),"")</f>
        <v>0.18</v>
      </c>
      <c r="CN22" s="529"/>
      <c r="CO22" s="899">
        <f>IFERROR(SUMPRODUCT(('ANALYSE - ERP =&gt; SOUS-SEGMENT'!$C$8:$C$154=$C22)*'ANALYSE - ERP =&gt; SOUS-SEGMENT'!$DH$8:$DH$154*('ANALYSE - ERP =&gt; SOUS-SEGMENT'!$CR$8:$CR$154&gt;0)*'ANALYSE - ERP =&gt; SOUS-SEGMENT'!$CR$8:$CR$154)/SUMPRODUCT(('ANALYSE - ERP =&gt; SOUS-SEGMENT'!$C$8:$C$154=$C22)*'ANALYSE - ERP =&gt; SOUS-SEGMENT'!$DH$8:$DH$154*('ANALYSE - ERP =&gt; SOUS-SEGMENT'!$CR$8:$CR$154&gt;0)),"")</f>
        <v>13</v>
      </c>
      <c r="CP22" s="900">
        <f>IFERROR(SUMPRODUCT(('ANALYSE - ERP =&gt; SOUS-SEGMENT'!$C$8:$C$154=$C22)*'ANALYSE - ERP =&gt; SOUS-SEGMENT'!$DI$8:$DI$154*('ANALYSE - ERP =&gt; SOUS-SEGMENT'!$CS$8:$CS$154&gt;0)*'ANALYSE - ERP =&gt; SOUS-SEGMENT'!$CS$8:$CS$154)/SUMPRODUCT(('ANALYSE - ERP =&gt; SOUS-SEGMENT'!$C$8:$C$154=$C22)*'ANALYSE - ERP =&gt; SOUS-SEGMENT'!$DI$8:$DI$154*('ANALYSE - ERP =&gt; SOUS-SEGMENT'!$CS$8:$CS$154&gt;0)),"")</f>
        <v>14</v>
      </c>
      <c r="CQ22" s="900">
        <f>IFERROR(SUMPRODUCT(('ANALYSE - ERP =&gt; SOUS-SEGMENT'!$C$8:$C$154=$C22)*'ANALYSE - ERP =&gt; SOUS-SEGMENT'!$DJ$8:$DJ$154*('ANALYSE - ERP =&gt; SOUS-SEGMENT'!$CT$8:$CT$154&gt;0)*'ANALYSE - ERP =&gt; SOUS-SEGMENT'!$CT$8:$CT$154)/SUMPRODUCT(('ANALYSE - ERP =&gt; SOUS-SEGMENT'!$C$8:$C$154=$C22)*'ANALYSE - ERP =&gt; SOUS-SEGMENT'!$DJ$8:$DJ$154*('ANALYSE - ERP =&gt; SOUS-SEGMENT'!$CT$8:$CT$154&gt;0)),"")</f>
        <v>10</v>
      </c>
      <c r="CR22" s="901">
        <f>IFERROR(SUMPRODUCT(('ANALYSE - ERP =&gt; SOUS-SEGMENT'!$C$8:$C$154=$C22)*'ANALYSE - ERP =&gt; SOUS-SEGMENT'!$DK$8:$DK$154*('ANALYSE - ERP =&gt; SOUS-SEGMENT'!$CU$8:$CU$154&gt;0)*'ANALYSE - ERP =&gt; SOUS-SEGMENT'!$CU$8:$CU$154)/SUMPRODUCT(('ANALYSE - ERP =&gt; SOUS-SEGMENT'!$C$8:$C$154=$C22)*'ANALYSE - ERP =&gt; SOUS-SEGMENT'!$DK$8:$DK$154*('ANALYSE - ERP =&gt; SOUS-SEGMENT'!$CU$8:$CU$154&gt;0)),"")</f>
        <v>12</v>
      </c>
      <c r="CS22" s="899">
        <f>IFERROR(SUMPRODUCT(('ANALYSE - ERP =&gt; SOUS-SEGMENT'!$C$8:$C$154=$C22)*'ANALYSE - ERP =&gt; SOUS-SEGMENT'!$DS$8:$DS$154*('ANALYSE - ERP =&gt; SOUS-SEGMENT'!$CV$8:$CV$154&gt;0)*'ANALYSE - ERP =&gt; SOUS-SEGMENT'!$CV$8:$CV$154)/SUMPRODUCT(('ANALYSE - ERP =&gt; SOUS-SEGMENT'!$C$8:$C$154=$C22)*'ANALYSE - ERP =&gt; SOUS-SEGMENT'!$DS$8:$DS$154*('ANALYSE - ERP =&gt; SOUS-SEGMENT'!$CV$8:$CV$154&gt;0)),"")</f>
        <v>12</v>
      </c>
      <c r="CT22" s="900">
        <f>IFERROR(SUMPRODUCT(('ANALYSE - ERP =&gt; SOUS-SEGMENT'!$C$8:$C$154=$C22)*'ANALYSE - ERP =&gt; SOUS-SEGMENT'!$DT$8:$DT$154*('ANALYSE - ERP =&gt; SOUS-SEGMENT'!$CW$8:$CW$154&gt;0)*'ANALYSE - ERP =&gt; SOUS-SEGMENT'!$CW$8:$CW$154)/SUMPRODUCT(('ANALYSE - ERP =&gt; SOUS-SEGMENT'!$C$8:$C$154=$C22)*'ANALYSE - ERP =&gt; SOUS-SEGMENT'!$DT$8:$DT$154*('ANALYSE - ERP =&gt; SOUS-SEGMENT'!$CW$8:$CW$154&gt;0)),"")</f>
        <v>11</v>
      </c>
      <c r="CU22" s="901">
        <f>IFERROR(SUMPRODUCT(('ANALYSE - ERP =&gt; SOUS-SEGMENT'!$C$8:$C$154=$C22)*'ANALYSE - ERP =&gt; SOUS-SEGMENT'!$DU$8:$DU$154*('ANALYSE - ERP =&gt; SOUS-SEGMENT'!$CX$8:$CX$154&gt;0)*'ANALYSE - ERP =&gt; SOUS-SEGMENT'!$CX$8:$CX$154)/SUMPRODUCT(('ANALYSE - ERP =&gt; SOUS-SEGMENT'!$C$8:$C$154=$C22)*'ANALYSE - ERP =&gt; SOUS-SEGMENT'!$DU$8:$DU$154*('ANALYSE - ERP =&gt; SOUS-SEGMENT'!$CX$8:$CX$154&gt;0)),"")</f>
        <v>9</v>
      </c>
      <c r="CV22" s="899">
        <f>IFERROR(SUMPRODUCT(('ANALYSE - ERP =&gt; SOUS-SEGMENT'!$C$8:$C$154=$C22)*'ANALYSE - ERP =&gt; SOUS-SEGMENT'!$EB$8:$EB$154*('ANALYSE - ERP =&gt; SOUS-SEGMENT'!$CY$8:$CY$154&gt;0)*'ANALYSE - ERP =&gt; SOUS-SEGMENT'!$CY$8:$CY$154)/SUMPRODUCT(('ANALYSE - ERP =&gt; SOUS-SEGMENT'!$C$8:$C$154=$C22)*'ANALYSE - ERP =&gt; SOUS-SEGMENT'!$EB$8:$EB$154*('ANALYSE - ERP =&gt; SOUS-SEGMENT'!$CY$8:$CY$154&gt;0)),"")</f>
        <v>11</v>
      </c>
      <c r="CW22" s="900">
        <f>IFERROR(SUMPRODUCT(('ANALYSE - ERP =&gt; SOUS-SEGMENT'!$C$8:$C$154=$C22)*'ANALYSE - ERP =&gt; SOUS-SEGMENT'!$EC$8:$EC$154*('ANALYSE - ERP =&gt; SOUS-SEGMENT'!$CZ$8:$CZ$154&gt;0)*'ANALYSE - ERP =&gt; SOUS-SEGMENT'!$CZ$8:$CZ$154)/SUMPRODUCT(('ANALYSE - ERP =&gt; SOUS-SEGMENT'!$C$8:$C$154=$C22)*'ANALYSE - ERP =&gt; SOUS-SEGMENT'!$EC$8:$EC$154*('ANALYSE - ERP =&gt; SOUS-SEGMENT'!$CZ$8:$CZ$154&gt;0)),"")</f>
        <v>13</v>
      </c>
      <c r="CX22" s="900">
        <f>IFERROR(SUMPRODUCT(('ANALYSE - ERP =&gt; SOUS-SEGMENT'!$C$8:$C$154=$C22)*'ANALYSE - ERP =&gt; SOUS-SEGMENT'!$ED$8:$ED$154*('ANALYSE - ERP =&gt; SOUS-SEGMENT'!$DA$8:$DA$154&gt;0)*'ANALYSE - ERP =&gt; SOUS-SEGMENT'!$DA$8:$DA$154)/SUMPRODUCT(('ANALYSE - ERP =&gt; SOUS-SEGMENT'!$C$8:$C$154=$C22)*'ANALYSE - ERP =&gt; SOUS-SEGMENT'!$ED$8:$ED$154*('ANALYSE - ERP =&gt; SOUS-SEGMENT'!$DA$8:$DA$154&gt;0)),"")</f>
        <v>9</v>
      </c>
      <c r="CY22" s="902">
        <f>IFERROR(SUMPRODUCT(('ANALYSE - ERP =&gt; SOUS-SEGMENT'!$C$8:$C$154=$C22)*'ANALYSE - ERP =&gt; SOUS-SEGMENT'!$EE$8:$EE$154*('ANALYSE - ERP =&gt; SOUS-SEGMENT'!$DB$8:$DB$154&gt;0)*'ANALYSE - ERP =&gt; SOUS-SEGMENT'!$DB$8:$DB$154)/SUMPRODUCT(('ANALYSE - ERP =&gt; SOUS-SEGMENT'!$C$8:$C$154=$C22)*'ANALYSE - ERP =&gt; SOUS-SEGMENT'!$EE$8:$EE$154*('ANALYSE - ERP =&gt; SOUS-SEGMENT'!$DB$8:$DB$154&gt;0)),"")</f>
        <v>11</v>
      </c>
      <c r="CZ22" s="903">
        <f>IFERROR(SUMPRODUCT(('ANALYSE - ERP =&gt; SOUS-SEGMENT'!$C$8:$C$154=$C22)*'ANALYSE - ERP =&gt; SOUS-SEGMENT'!$EM$8:$EM$154*('ANALYSE - ERP =&gt; SOUS-SEGMENT'!$DC$8:$DC$154&gt;0)*'ANALYSE - ERP =&gt; SOUS-SEGMENT'!$DC$8:$DC$154)/SUMPRODUCT(('ANALYSE - ERP =&gt; SOUS-SEGMENT'!$C$8:$C$154=$C22)*'ANALYSE - ERP =&gt; SOUS-SEGMENT'!$EM$8:$EM$154*('ANALYSE - ERP =&gt; SOUS-SEGMENT'!$DC$8:$DC$154&gt;0)),"")</f>
        <v>14</v>
      </c>
      <c r="DA22" s="900">
        <f>IFERROR(SUMPRODUCT(('ANALYSE - ERP =&gt; SOUS-SEGMENT'!$C$8:$C$154=$C22)*'ANALYSE - ERP =&gt; SOUS-SEGMENT'!$EN$8:$EN$154*('ANALYSE - ERP =&gt; SOUS-SEGMENT'!$DD$8:$DD$154&gt;0)*'ANALYSE - ERP =&gt; SOUS-SEGMENT'!$DD$8:$DD$154)/SUMPRODUCT(('ANALYSE - ERP =&gt; SOUS-SEGMENT'!$C$8:$C$154=$C22)*'ANALYSE - ERP =&gt; SOUS-SEGMENT'!$EN$8:$EN$154*('ANALYSE - ERP =&gt; SOUS-SEGMENT'!$DD$8:$DD$154&gt;0)),"")</f>
        <v>14</v>
      </c>
      <c r="DB22" s="902">
        <f>IFERROR(SUMPRODUCT(('ANALYSE - ERP =&gt; SOUS-SEGMENT'!$C$8:$C$154=$C22)*'ANALYSE - ERP =&gt; SOUS-SEGMENT'!$EO$8:$EO$154*('ANALYSE - ERP =&gt; SOUS-SEGMENT'!$DE$8:$DE$154&gt;0)*'ANALYSE - ERP =&gt; SOUS-SEGMENT'!$DE$8:$DE$154)/SUMPRODUCT(('ANALYSE - ERP =&gt; SOUS-SEGMENT'!$C$8:$C$154=$C22)*'ANALYSE - ERP =&gt; SOUS-SEGMENT'!$EO$8:$EO$154*('ANALYSE - ERP =&gt; SOUS-SEGMENT'!$DE$8:$DE$154&gt;0)),"")</f>
        <v>10</v>
      </c>
      <c r="DC22" s="612" t="s">
        <v>7077</v>
      </c>
      <c r="DD22" s="529"/>
      <c r="DE22" s="535">
        <f t="shared" si="2"/>
        <v>265826</v>
      </c>
      <c r="DF22" s="535">
        <f t="shared" si="3"/>
        <v>216370</v>
      </c>
      <c r="DG22" s="535">
        <f t="shared" si="4"/>
        <v>105094.00000000001</v>
      </c>
      <c r="DH22" s="535">
        <f t="shared" si="5"/>
        <v>30910</v>
      </c>
      <c r="DI22" s="534" t="s">
        <v>7078</v>
      </c>
      <c r="DJ22" s="535">
        <f t="shared" si="6"/>
        <v>218592</v>
      </c>
      <c r="DK22" s="535">
        <f t="shared" si="7"/>
        <v>218592</v>
      </c>
      <c r="DL22" s="535">
        <f t="shared" si="8"/>
        <v>145728</v>
      </c>
      <c r="DM22" s="535">
        <f t="shared" si="9"/>
        <v>24288</v>
      </c>
      <c r="DN22" s="534" t="s">
        <v>7079</v>
      </c>
      <c r="DO22" s="529"/>
      <c r="DP22" s="535">
        <f t="shared" si="10"/>
        <v>3161.25</v>
      </c>
      <c r="DQ22" s="535">
        <f t="shared" si="11"/>
        <v>2276.1</v>
      </c>
      <c r="DR22" s="535">
        <f t="shared" si="12"/>
        <v>885.15000000000009</v>
      </c>
      <c r="DS22" s="534" t="s">
        <v>7080</v>
      </c>
      <c r="DT22" s="535">
        <f t="shared" si="13"/>
        <v>2794.5</v>
      </c>
      <c r="DU22" s="535">
        <f t="shared" si="14"/>
        <v>2235.6</v>
      </c>
      <c r="DV22" s="535">
        <f t="shared" si="15"/>
        <v>1179.9000000000001</v>
      </c>
      <c r="DW22" s="534" t="s">
        <v>7080</v>
      </c>
      <c r="DX22" s="529"/>
      <c r="DY22" s="535">
        <f t="shared" si="16"/>
        <v>18967.5</v>
      </c>
      <c r="DZ22" s="535">
        <f t="shared" si="17"/>
        <v>63225</v>
      </c>
      <c r="EA22" s="535">
        <f t="shared" si="18"/>
        <v>25290</v>
      </c>
      <c r="EB22" s="535">
        <f t="shared" si="19"/>
        <v>18967.5</v>
      </c>
      <c r="EC22" s="534" t="s">
        <v>7081</v>
      </c>
      <c r="ED22" s="535">
        <f t="shared" si="20"/>
        <v>14904</v>
      </c>
      <c r="EE22" s="535">
        <f t="shared" si="21"/>
        <v>58374</v>
      </c>
      <c r="EF22" s="535">
        <f t="shared" si="22"/>
        <v>28566</v>
      </c>
      <c r="EG22" s="535">
        <f t="shared" si="23"/>
        <v>22356</v>
      </c>
      <c r="EH22" s="615" t="s">
        <v>7082</v>
      </c>
      <c r="EI22" s="537"/>
      <c r="EJ22" s="535">
        <f t="shared" si="24"/>
        <v>251776.00000000003</v>
      </c>
      <c r="EK22" s="538">
        <f t="shared" si="25"/>
        <v>130383.99999999999</v>
      </c>
      <c r="EL22" s="538">
        <f t="shared" si="26"/>
        <v>67440</v>
      </c>
      <c r="EM22" s="534" t="s">
        <v>7083</v>
      </c>
      <c r="EN22" s="535">
        <f t="shared" si="27"/>
        <v>216384</v>
      </c>
      <c r="EO22" s="538">
        <f t="shared" si="28"/>
        <v>145728</v>
      </c>
      <c r="EP22" s="538">
        <f t="shared" si="29"/>
        <v>79488</v>
      </c>
      <c r="EQ22" s="536" t="s">
        <v>7084</v>
      </c>
      <c r="ER22" s="529"/>
      <c r="ES22" s="776">
        <f t="shared" si="30"/>
        <v>0.86633663366336644</v>
      </c>
      <c r="ET22" s="776">
        <f t="shared" si="31"/>
        <v>8.7458745874587462E-2</v>
      </c>
      <c r="EU22" s="539">
        <f t="shared" si="32"/>
        <v>392051.22165311902</v>
      </c>
      <c r="EV22" s="539">
        <f t="shared" si="33"/>
        <v>336224.600403119</v>
      </c>
      <c r="EW22" s="539">
        <f t="shared" si="34"/>
        <v>55826.621250000004</v>
      </c>
      <c r="EX22" s="539">
        <f t="shared" si="35"/>
        <v>203059.86842589744</v>
      </c>
      <c r="EY22" s="539">
        <f>SUMPRODUCT(('ANALYSE - ERP =&gt; SOUS-SEGMENT'!$C$8:$C$154=$C22)*'ANALYSE - ERP =&gt; SOUS-SEGMENT'!$Q$8:$Q$154*'ANALYSE - ERP =&gt; SOUS-SEGMENT'!$FB$8:$FB$154)</f>
        <v>174313.56842589745</v>
      </c>
      <c r="EZ22" s="539">
        <f>SUMPRODUCT(('ANALYSE - ERP =&gt; SOUS-SEGMENT'!$C$8:$C$154=$C22)*'ANALYSE - ERP =&gt; SOUS-SEGMENT'!$Q$8:$Q$154*'ANALYSE - ERP =&gt; SOUS-SEGMENT'!$FC$8:$FC$154)</f>
        <v>28746.3</v>
      </c>
      <c r="FA22" s="539">
        <f t="shared" si="36"/>
        <v>2446.2677532954544</v>
      </c>
      <c r="FB22" s="539">
        <f>SUMPRODUCT(('ANALYSE - ERP =&gt; SOUS-SEGMENT'!$C$8:$C$154=$C22)*'ANALYSE - ERP =&gt; SOUS-SEGMENT'!$Q$8:$Q$154*'ANALYSE - ERP =&gt; SOUS-SEGMENT'!$FE$8:$FE$154)</f>
        <v>2152.2715032954543</v>
      </c>
      <c r="FC22" s="539">
        <f>SUMPRODUCT(('ANALYSE - ERP =&gt; SOUS-SEGMENT'!$C$8:$C$154=$C22)*'ANALYSE - ERP =&gt; SOUS-SEGMENT'!$Q$8:$Q$154*'ANALYSE - ERP =&gt; SOUS-SEGMENT'!$FF$8:$FF$154)</f>
        <v>293.99624999999997</v>
      </c>
      <c r="FD22" s="539">
        <f t="shared" si="37"/>
        <v>47346.916216783211</v>
      </c>
      <c r="FE22" s="539">
        <f>SUMPRODUCT(('ANALYSE - ERP =&gt; SOUS-SEGMENT'!$C$8:$C$154=$C22)*'ANALYSE - ERP =&gt; SOUS-SEGMENT'!$Q$8:$Q$154*'ANALYSE - ERP =&gt; SOUS-SEGMENT'!$FH$8:$FH$154)</f>
        <v>41466.991216783208</v>
      </c>
      <c r="FF22" s="539">
        <f>SUMPRODUCT(('ANALYSE - ERP =&gt; SOUS-SEGMENT'!$C$8:$C$154=$C22)*'ANALYSE - ERP =&gt; SOUS-SEGMENT'!$Q$8:$Q$154*'ANALYSE - ERP =&gt; SOUS-SEGMENT'!$FI$8:$FI$154)</f>
        <v>5879.9250000000002</v>
      </c>
      <c r="FG22" s="539">
        <f t="shared" si="38"/>
        <v>139198.16925714284</v>
      </c>
      <c r="FH22" s="539">
        <f>SUMPRODUCT(('ANALYSE - ERP =&gt; SOUS-SEGMENT'!$C$8:$C$154=$C22)*'ANALYSE - ERP =&gt; SOUS-SEGMENT'!$Q$8:$Q$154*'ANALYSE - ERP =&gt; SOUS-SEGMENT'!$FK$8:$FK$154)</f>
        <v>118291.76925714285</v>
      </c>
      <c r="FI22" s="539">
        <f>SUMPRODUCT(('ANALYSE - ERP =&gt; SOUS-SEGMENT'!$C$8:$C$154=$C22)*'ANALYSE - ERP =&gt; SOUS-SEGMENT'!$Q$8:$Q$154*'ANALYSE - ERP =&gt; SOUS-SEGMENT'!$FL$8:$FL$154)</f>
        <v>20906.400000000001</v>
      </c>
      <c r="FJ22" s="529"/>
      <c r="FK22" s="540" t="s">
        <v>2649</v>
      </c>
      <c r="FL22" s="776">
        <f>IFERROR(SUMPRODUCT(('ANALYSE - ERP =&gt; SOUS-SEGMENT'!$C$8:$C$154=$C22)*'ANALYSE - ERP =&gt; SOUS-SEGMENT'!$Q$8:$Q$154*'ANALYSE - ERP =&gt; SOUS-SEGMENT'!$AF$8:$AF$154*'ANALYSE - ERP =&gt; SOUS-SEGMENT'!$FO$8:$FO$154)/SUMPRODUCT(('ANALYSE - ERP =&gt; SOUS-SEGMENT'!$C$8:$C$154=$C22)*'ANALYSE - ERP =&gt; SOUS-SEGMENT'!$Q$8:$Q$154*'ANALYSE - ERP =&gt; SOUS-SEGMENT'!$AF$8:$AF$154),"")</f>
        <v>4.6500000000000007E-2</v>
      </c>
      <c r="FM22" s="777">
        <f>IFERROR(SUMPRODUCT(('ANALYSE - ERP =&gt; SOUS-SEGMENT'!$C$8:$C$154=$C22)*'ANALYSE - ERP =&gt; SOUS-SEGMENT'!$Q$8:$Q$154*'ANALYSE - ERP =&gt; SOUS-SEGMENT'!$AF$8:$AF$154*'ANALYSE - ERP =&gt; SOUS-SEGMENT'!$FP$8:$FP$154)/SUMPRODUCT(('ANALYSE - ERP =&gt; SOUS-SEGMENT'!$C$8:$C$154=$C22)*'ANALYSE - ERP =&gt; SOUS-SEGMENT'!$Q$8:$Q$154*'ANALYSE - ERP =&gt; SOUS-SEGMENT'!$AF$8:$AF$154),"")</f>
        <v>0.80364999999999998</v>
      </c>
      <c r="FN22" s="541" t="s">
        <v>4071</v>
      </c>
      <c r="FO22" s="529"/>
      <c r="FP22" s="904">
        <f>IFERROR(SUMPRODUCT(('ANALYSE - ERP =&gt; SOUS-SEGMENT'!$C$8:$C$154=$C22)*'ANALYSE - ERP =&gt; SOUS-SEGMENT'!$Q$8:$Q$154*'ANALYSE - ERP =&gt; SOUS-SEGMENT'!$EX$8:$EX$154*'ANALYSE - ERP =&gt; SOUS-SEGMENT'!$FS$8:$FS$154)/SUMPRODUCT(('ANALYSE - ERP =&gt; SOUS-SEGMENT'!$C$8:$C$154=$C22)*'ANALYSE - ERP =&gt; SOUS-SEGMENT'!$Q$8:$Q$154*'ANALYSE - ERP =&gt; SOUS-SEGMENT'!$EX$8:$EX$154),"")</f>
        <v>3.2399999999999998</v>
      </c>
      <c r="FQ22" s="542">
        <f>RANK($FP22,$FP$8:$FP$143,0)+COUNTIF($FP$8:$FP22,$FP22)-1</f>
        <v>22</v>
      </c>
      <c r="FR22" s="904">
        <f>IFERROR(SUMPRODUCT(('ANALYSE - ERP =&gt; SOUS-SEGMENT'!$C$8:$C$154=$C22)*'ANALYSE - ERP =&gt; SOUS-SEGMENT'!$Q$8:$Q$154*'ANALYSE - ERP =&gt; SOUS-SEGMENT'!$EY$8:$EY$154*'ANALYSE - ERP =&gt; SOUS-SEGMENT'!$FU$8:$FU$154)/SUMPRODUCT(('ANALYSE - ERP =&gt; SOUS-SEGMENT'!$C$8:$C$154=$C22)*'ANALYSE - ERP =&gt; SOUS-SEGMENT'!$Q$8:$Q$154*'ANALYSE - ERP =&gt; SOUS-SEGMENT'!$EY$8:$EY$154),"")</f>
        <v>3.87</v>
      </c>
      <c r="FS22" s="542">
        <f>RANK($FR22,$FR$8:$FR$143,0)+COUNTIF($FR$8:$FR22,$FR22)-1</f>
        <v>27</v>
      </c>
      <c r="FT22" s="904">
        <f>IFERROR(SUMPRODUCT(('ANALYSE - ERP =&gt; SOUS-SEGMENT'!$C$8:$C$154=$C22)*'ANALYSE - ERP =&gt; SOUS-SEGMENT'!$Q$8:$Q$154*'ANALYSE - ERP =&gt; SOUS-SEGMENT'!$EZ$8:$EZ$154*'ANALYSE - ERP =&gt; SOUS-SEGMENT'!$FW$8:$FW$154)/SUMPRODUCT(('ANALYSE - ERP =&gt; SOUS-SEGMENT'!$C$8:$C$154=$C22)*'ANALYSE - ERP =&gt; SOUS-SEGMENT'!$Q$8:$Q$154*'ANALYSE - ERP =&gt; SOUS-SEGMENT'!$EZ$8:$EZ$154),"")</f>
        <v>2.12</v>
      </c>
      <c r="FU22" s="542">
        <f>RANK($FT22,$FT$8:$FT$143,0)+COUNTIF($FT$8:$FT22,$FT22)-1</f>
        <v>21</v>
      </c>
      <c r="FV22" s="529"/>
      <c r="FW22" s="543" t="s">
        <v>7085</v>
      </c>
      <c r="FX22" s="543" t="s">
        <v>7086</v>
      </c>
      <c r="FY22" s="543" t="s">
        <v>7087</v>
      </c>
      <c r="FZ22" s="543" t="s">
        <v>7088</v>
      </c>
      <c r="GA22" s="543" t="s">
        <v>7089</v>
      </c>
      <c r="GB22" s="543" t="s">
        <v>7090</v>
      </c>
      <c r="GC22" s="543" t="s">
        <v>6759</v>
      </c>
      <c r="GD22" s="529"/>
      <c r="GE22" s="539">
        <f>SUMPRODUCT(('ANALYSE - ERP =&gt; SOUS-SEGMENT'!$C$8:$C$154=$C22)*'ANALYSE - ERP =&gt; SOUS-SEGMENT'!$Q$8:$Q$154*'ANALYSE - ERP =&gt; SOUS-SEGMENT'!$GH$8:$GH$154)</f>
        <v>82046.364569230776</v>
      </c>
      <c r="GF22" s="539">
        <f>SUMPRODUCT(('ANALYSE - ERP =&gt; SOUS-SEGMENT'!$C$8:$C$154=$C22)*'ANALYSE - ERP =&gt; SOUS-SEGMENT'!$Q$8:$Q$154*'ANALYSE - ERP =&gt; SOUS-SEGMENT'!$GI$8:$GI$154)</f>
        <v>71697.696569230771</v>
      </c>
      <c r="GG22" s="539">
        <f>SUMPRODUCT(('ANALYSE - ERP =&gt; SOUS-SEGMENT'!$C$8:$C$154=$C22)*'ANALYSE - ERP =&gt; SOUS-SEGMENT'!$Q$8:$Q$154*'ANALYSE - ERP =&gt; SOUS-SEGMENT'!$GJ$8:$GJ$154)</f>
        <v>10348.668</v>
      </c>
      <c r="GH22" s="539">
        <f>SUMPRODUCT(('ANALYSE - ERP =&gt; SOUS-SEGMENT'!$C$8:$C$154=$C22)*'ANALYSE - ERP =&gt; SOUS-SEGMENT'!$Q$8:$Q$154*'ANALYSE - ERP =&gt; SOUS-SEGMENT'!$GK$8:$GK$154)</f>
        <v>62372.950749999996</v>
      </c>
      <c r="GI22" s="539">
        <f>SUMPRODUCT(('ANALYSE - ERP =&gt; SOUS-SEGMENT'!$C$8:$C$154=$C22)*'ANALYSE - ERP =&gt; SOUS-SEGMENT'!$Q$8:$Q$154*'ANALYSE - ERP =&gt; SOUS-SEGMENT'!$GL$8:$GL$154)</f>
        <v>52024.282749999998</v>
      </c>
      <c r="GJ22" s="539">
        <f>SUMPRODUCT(('ANALYSE - ERP =&gt; SOUS-SEGMENT'!$C$8:$C$154=$C22)*'ANALYSE - ERP =&gt; SOUS-SEGMENT'!$Q$8:$Q$154*'ANALYSE - ERP =&gt; SOUS-SEGMENT'!$GM$8:$GM$154)</f>
        <v>10348.668</v>
      </c>
      <c r="GK22" s="539">
        <f>SUMPRODUCT(('ANALYSE - ERP =&gt; SOUS-SEGMENT'!$C$8:$C$154=$C22)*'ANALYSE - ERP =&gt; SOUS-SEGMENT'!$Q$8:$Q$154*'ANALYSE - ERP =&gt; SOUS-SEGMENT'!$GN$8:$GN$154)</f>
        <v>48046.474190000001</v>
      </c>
      <c r="GL22" s="539">
        <f>SUMPRODUCT(('ANALYSE - ERP =&gt; SOUS-SEGMENT'!$C$8:$C$154=$C22)*'ANALYSE - ERP =&gt; SOUS-SEGMENT'!$Q$8:$Q$154*'ANALYSE - ERP =&gt; SOUS-SEGMENT'!$GO$8:$GO$154)</f>
        <v>41147.36219</v>
      </c>
      <c r="GM22" s="539">
        <f>SUMPRODUCT(('ANALYSE - ERP =&gt; SOUS-SEGMENT'!$C$8:$C$154=$C22)*'ANALYSE - ERP =&gt; SOUS-SEGMENT'!$Q$8:$Q$154*'ANALYSE - ERP =&gt; SOUS-SEGMENT'!$GP$8:$GP$154)</f>
        <v>6899.1119999999992</v>
      </c>
      <c r="GN22" s="539">
        <f>SUMPRODUCT(('ANALYSE - ERP =&gt; SOUS-SEGMENT'!$C$8:$C$154=$C22)*'ANALYSE - ERP =&gt; SOUS-SEGMENT'!$Q$8:$Q$154*'ANALYSE - ERP =&gt; SOUS-SEGMENT'!$GQ$8:$GQ$154)</f>
        <v>10594.078916666667</v>
      </c>
      <c r="GO22" s="539">
        <f>SUMPRODUCT(('ANALYSE - ERP =&gt; SOUS-SEGMENT'!$C$8:$C$154=$C22)*'ANALYSE - ERP =&gt; SOUS-SEGMENT'!$Q$8:$Q$154*'ANALYSE - ERP =&gt; SOUS-SEGMENT'!$GR$8:$GR$154)</f>
        <v>9444.2269166666665</v>
      </c>
      <c r="GP22" s="539">
        <f>SUMPRODUCT(('ANALYSE - ERP =&gt; SOUS-SEGMENT'!$C$8:$C$154=$C22)*'ANALYSE - ERP =&gt; SOUS-SEGMENT'!$Q$8:$Q$154*'ANALYSE - ERP =&gt; SOUS-SEGMENT'!$GS$8:$GS$154)</f>
        <v>1149.8520000000001</v>
      </c>
      <c r="GQ22" s="539">
        <f>SUMPRODUCT(('ANALYSE - ERP =&gt; SOUS-SEGMENT'!$C$8:$C$154=$C22)*'ANALYSE - ERP =&gt; SOUS-SEGMENT'!$Q$8:$Q$154*'ANALYSE - ERP =&gt; SOUS-SEGMENT'!$GT$8:$GT$154)</f>
        <v>1098.1851562500001</v>
      </c>
      <c r="GR22" s="539">
        <f>SUMPRODUCT(('ANALYSE - ERP =&gt; SOUS-SEGMENT'!$C$8:$C$154=$C22)*'ANALYSE - ERP =&gt; SOUS-SEGMENT'!$Q$8:$Q$154*'ANALYSE - ERP =&gt; SOUS-SEGMENT'!$GU$8:$GU$154)</f>
        <v>965.88684375000003</v>
      </c>
      <c r="GS22" s="539">
        <f>SUMPRODUCT(('ANALYSE - ERP =&gt; SOUS-SEGMENT'!$C$8:$C$154=$C22)*'ANALYSE - ERP =&gt; SOUS-SEGMENT'!$Q$8:$Q$154*'ANALYSE - ERP =&gt; SOUS-SEGMENT'!$GV$8:$GV$154)</f>
        <v>132.29831249999998</v>
      </c>
      <c r="GT22" s="539">
        <f>SUMPRODUCT(('ANALYSE - ERP =&gt; SOUS-SEGMENT'!$C$8:$C$154=$C22)*'ANALYSE - ERP =&gt; SOUS-SEGMENT'!$Q$8:$Q$154*'ANALYSE - ERP =&gt; SOUS-SEGMENT'!$GW$8:$GW$154)</f>
        <v>902.37269454545446</v>
      </c>
      <c r="GU22" s="539">
        <f>SUMPRODUCT(('ANALYSE - ERP =&gt; SOUS-SEGMENT'!$C$8:$C$154=$C22)*'ANALYSE - ERP =&gt; SOUS-SEGMENT'!$Q$8:$Q$154*'ANALYSE - ERP =&gt; SOUS-SEGMENT'!$GX$8:$GX$154)</f>
        <v>796.53404454545444</v>
      </c>
      <c r="GV22" s="539">
        <f>SUMPRODUCT(('ANALYSE - ERP =&gt; SOUS-SEGMENT'!$C$8:$C$154=$C22)*'ANALYSE - ERP =&gt; SOUS-SEGMENT'!$Q$8:$Q$154*'ANALYSE - ERP =&gt; SOUS-SEGMENT'!$GY$8:$GY$154)</f>
        <v>105.83864999999999</v>
      </c>
      <c r="GW22" s="539">
        <f>SUMPRODUCT(('ANALYSE - ERP =&gt; SOUS-SEGMENT'!$C$8:$C$154=$C22)*'ANALYSE - ERP =&gt; SOUS-SEGMENT'!$Q$8:$Q$154*'ANALYSE - ERP =&gt; SOUS-SEGMENT'!$GZ$8:$GZ$154)</f>
        <v>445.7099025</v>
      </c>
      <c r="GX22" s="539">
        <f>SUMPRODUCT(('ANALYSE - ERP =&gt; SOUS-SEGMENT'!$C$8:$C$154=$C22)*'ANALYSE - ERP =&gt; SOUS-SEGMENT'!$Q$8:$Q$154*'ANALYSE - ERP =&gt; SOUS-SEGMENT'!$HA$8:$HA$154)</f>
        <v>389.850615</v>
      </c>
      <c r="GY22" s="539">
        <f>SUMPRODUCT(('ANALYSE - ERP =&gt; SOUS-SEGMENT'!$C$8:$C$154=$C22)*'ANALYSE - ERP =&gt; SOUS-SEGMENT'!$Q$8:$Q$154*'ANALYSE - ERP =&gt; SOUS-SEGMENT'!$HB$8:$HB$154)</f>
        <v>55.859287499999994</v>
      </c>
      <c r="GZ22" s="539">
        <f>SUMPRODUCT(('ANALYSE - ERP =&gt; SOUS-SEGMENT'!$C$8:$C$154=$C22)*'ANALYSE - ERP =&gt; SOUS-SEGMENT'!$Q$8:$Q$154*'ANALYSE - ERP =&gt; SOUS-SEGMENT'!$HC$8:$HC$154)</f>
        <v>7343.3747045454547</v>
      </c>
      <c r="HA22" s="539">
        <f>SUMPRODUCT(('ANALYSE - ERP =&gt; SOUS-SEGMENT'!$C$8:$C$154=$C22)*'ANALYSE - ERP =&gt; SOUS-SEGMENT'!$Q$8:$Q$154*'ANALYSE - ERP =&gt; SOUS-SEGMENT'!$HD$8:$HD$154)</f>
        <v>6637.7837045454544</v>
      </c>
      <c r="HB22" s="539">
        <f>SUMPRODUCT(('ANALYSE - ERP =&gt; SOUS-SEGMENT'!$C$8:$C$154=$C22)*'ANALYSE - ERP =&gt; SOUS-SEGMENT'!$Q$8:$Q$154*'ANALYSE - ERP =&gt; SOUS-SEGMENT'!$HE$8:$HE$154)</f>
        <v>705.59100000000001</v>
      </c>
      <c r="HC22" s="539">
        <f>SUMPRODUCT(('ANALYSE - ERP =&gt; SOUS-SEGMENT'!$C$8:$C$154=$C22)*'ANALYSE - ERP =&gt; SOUS-SEGMENT'!$Q$8:$Q$154*'ANALYSE - ERP =&gt; SOUS-SEGMENT'!$HF$8:$HF$154)</f>
        <v>19816.399557692308</v>
      </c>
      <c r="HD22" s="539">
        <f>SUMPRODUCT(('ANALYSE - ERP =&gt; SOUS-SEGMENT'!$C$8:$C$154=$C22)*'ANALYSE - ERP =&gt; SOUS-SEGMENT'!$Q$8:$Q$154*'ANALYSE - ERP =&gt; SOUS-SEGMENT'!$HG$8:$HG$154)</f>
        <v>17052.834807692307</v>
      </c>
      <c r="HE22" s="539">
        <f>SUMPRODUCT(('ANALYSE - ERP =&gt; SOUS-SEGMENT'!$C$8:$C$154=$C22)*'ANALYSE - ERP =&gt; SOUS-SEGMENT'!$Q$8:$Q$154*'ANALYSE - ERP =&gt; SOUS-SEGMENT'!$HH$8:$HH$154)</f>
        <v>2763.56475</v>
      </c>
      <c r="HF22" s="539">
        <f>SUMPRODUCT(('ANALYSE - ERP =&gt; SOUS-SEGMENT'!$C$8:$C$154=$C22)*'ANALYSE - ERP =&gt; SOUS-SEGMENT'!$Q$8:$Q$154*'ANALYSE - ERP =&gt; SOUS-SEGMENT'!$HI$8:$HI$154)</f>
        <v>12490.971750000001</v>
      </c>
      <c r="HG22" s="539">
        <f>SUMPRODUCT(('ANALYSE - ERP =&gt; SOUS-SEGMENT'!$C$8:$C$154=$C22)*'ANALYSE - ERP =&gt; SOUS-SEGMENT'!$Q$8:$Q$154*'ANALYSE - ERP =&gt; SOUS-SEGMENT'!$HJ$8:$HJ$154)</f>
        <v>11138.589</v>
      </c>
      <c r="HH22" s="539">
        <f>SUMPRODUCT(('ANALYSE - ERP =&gt; SOUS-SEGMENT'!$C$8:$C$154=$C22)*'ANALYSE - ERP =&gt; SOUS-SEGMENT'!$Q$8:$Q$154*'ANALYSE - ERP =&gt; SOUS-SEGMENT'!$HK$8:$HK$154)</f>
        <v>1352.38275</v>
      </c>
      <c r="HI22" s="539">
        <f>SUMPRODUCT(('ANALYSE - ERP =&gt; SOUS-SEGMENT'!$C$8:$C$154=$C22)*'ANALYSE - ERP =&gt; SOUS-SEGMENT'!$Q$8:$Q$154*'ANALYSE - ERP =&gt; SOUS-SEGMENT'!$HL$8:$HL$154)</f>
        <v>7696.1702045454549</v>
      </c>
      <c r="HJ22" s="539">
        <f>SUMPRODUCT(('ANALYSE - ERP =&gt; SOUS-SEGMENT'!$C$8:$C$154=$C22)*'ANALYSE - ERP =&gt; SOUS-SEGMENT'!$Q$8:$Q$154*'ANALYSE - ERP =&gt; SOUS-SEGMENT'!$HM$8:$HM$154)</f>
        <v>6637.7837045454544</v>
      </c>
      <c r="HK22" s="539">
        <f>SUMPRODUCT(('ANALYSE - ERP =&gt; SOUS-SEGMENT'!$C$8:$C$154=$C22)*'ANALYSE - ERP =&gt; SOUS-SEGMENT'!$Q$8:$Q$154*'ANALYSE - ERP =&gt; SOUS-SEGMENT'!$HN$8:$HN$154)</f>
        <v>1058.3865000000001</v>
      </c>
      <c r="HL22" s="539">
        <f>SUMPRODUCT(('ANALYSE - ERP =&gt; SOUS-SEGMENT'!$C$8:$C$154=$C22)*'ANALYSE - ERP =&gt; SOUS-SEGMENT'!$Q$8:$Q$154*'ANALYSE - ERP =&gt; SOUS-SEGMENT'!$HO$8:$HO$154)</f>
        <v>70781.483200000002</v>
      </c>
      <c r="HM22" s="539">
        <f>SUMPRODUCT(('ANALYSE - ERP =&gt; SOUS-SEGMENT'!$C$8:$C$154=$C22)*'ANALYSE - ERP =&gt; SOUS-SEGMENT'!$Q$8:$Q$154*'ANALYSE - ERP =&gt; SOUS-SEGMENT'!$HP$8:$HP$154)</f>
        <v>60537.347200000004</v>
      </c>
      <c r="HN22" s="539">
        <f>SUMPRODUCT(('ANALYSE - ERP =&gt; SOUS-SEGMENT'!$C$8:$C$154=$C22)*'ANALYSE - ERP =&gt; SOUS-SEGMENT'!$Q$8:$Q$154*'ANALYSE - ERP =&gt; SOUS-SEGMENT'!$HQ$8:$HQ$154)</f>
        <v>10244.136</v>
      </c>
      <c r="HO22" s="539">
        <f>SUMPRODUCT(('ANALYSE - ERP =&gt; SOUS-SEGMENT'!$C$8:$C$154=$C22)*'ANALYSE - ERP =&gt; SOUS-SEGMENT'!$Q$8:$Q$154*'ANALYSE - ERP =&gt; SOUS-SEGMENT'!$HR$8:$HR$154)</f>
        <v>38248.809657142854</v>
      </c>
      <c r="HP22" s="539">
        <f>SUMPRODUCT(('ANALYSE - ERP =&gt; SOUS-SEGMENT'!$C$8:$C$154=$C22)*'ANALYSE - ERP =&gt; SOUS-SEGMENT'!$Q$8:$Q$154*'ANALYSE - ERP =&gt; SOUS-SEGMENT'!$HS$8:$HS$154)</f>
        <v>31349.697657142853</v>
      </c>
      <c r="HQ22" s="539">
        <f>SUMPRODUCT(('ANALYSE - ERP =&gt; SOUS-SEGMENT'!$C$8:$C$154=$C22)*'ANALYSE - ERP =&gt; SOUS-SEGMENT'!$Q$8:$Q$154*'ANALYSE - ERP =&gt; SOUS-SEGMENT'!$HT$8:$HT$154)</f>
        <v>6899.112000000001</v>
      </c>
      <c r="HR22" s="539">
        <f>SUMPRODUCT(('ANALYSE - ERP =&gt; SOUS-SEGMENT'!$C$8:$C$154=$C22)*'ANALYSE - ERP =&gt; SOUS-SEGMENT'!$Q$8:$Q$154*'ANALYSE - ERP =&gt; SOUS-SEGMENT'!$HU$8:$HU$154)</f>
        <v>30167.876400000001</v>
      </c>
      <c r="HS22" s="539">
        <f>SUMPRODUCT(('ANALYSE - ERP =&gt; SOUS-SEGMENT'!$C$8:$C$154=$C22)*'ANALYSE - ERP =&gt; SOUS-SEGMENT'!$Q$8:$Q$154*'ANALYSE - ERP =&gt; SOUS-SEGMENT'!$HV$8:$HV$154)</f>
        <v>26404.724399999999</v>
      </c>
      <c r="HT22" s="539">
        <f>SUMPRODUCT(('ANALYSE - ERP =&gt; SOUS-SEGMENT'!$C$8:$C$154=$C22)*'ANALYSE - ERP =&gt; SOUS-SEGMENT'!$Q$8:$Q$154*'ANALYSE - ERP =&gt; SOUS-SEGMENT'!$HW$8:$HW$154)</f>
        <v>3763.152</v>
      </c>
      <c r="HU22" s="544"/>
      <c r="HV22" s="545">
        <f t="shared" si="40"/>
        <v>680071.96</v>
      </c>
      <c r="HW22" s="545">
        <f>SUMPRODUCT(('ANALYSE - ERP =&gt; SOUS-SEGMENT'!$C$8:$C$154=$C22)*'ANALYSE - ERP =&gt; SOUS-SEGMENT'!$Q$8:$Q$154*'ANALYSE - ERP =&gt; SOUS-SEGMENT'!$HZ$8:$HZ$154)</f>
        <v>40228.521999999997</v>
      </c>
      <c r="HX22" s="545">
        <f>SUMPRODUCT(('ANALYSE - ERP =&gt; SOUS-SEGMENT'!$C$8:$C$154=$C22)*'ANALYSE - ERP =&gt; SOUS-SEGMENT'!$Q$8:$Q$154*'ANALYSE - ERP =&gt; SOUS-SEGMENT'!$IA$8:$IA$154)</f>
        <v>504645.51150000002</v>
      </c>
      <c r="HY22" s="545">
        <f>SUMPRODUCT(('ANALYSE - ERP =&gt; SOUS-SEGMENT'!$C$8:$C$154=$C22)*'ANALYSE - ERP =&gt; SOUS-SEGMENT'!$Q$8:$Q$154*'ANALYSE - ERP =&gt; SOUS-SEGMENT'!$IB$8:$IB$154)</f>
        <v>581633.04850000003</v>
      </c>
      <c r="HZ22" s="545">
        <f>SUMPRODUCT(('ANALYSE - ERP =&gt; SOUS-SEGMENT'!$C$8:$C$154=$C22)*'ANALYSE - ERP =&gt; SOUS-SEGMENT'!$Q$8:$Q$154*'ANALYSE - ERP =&gt; SOUS-SEGMENT'!$IC$8:$IC$154)</f>
        <v>74066.050250000015</v>
      </c>
      <c r="IA22" s="545">
        <f>SUMPRODUCT(('ANALYSE - ERP =&gt; SOUS-SEGMENT'!$C$8:$C$154=$C22)*'ANALYSE - ERP =&gt; SOUS-SEGMENT'!$Q$8:$Q$154*'ANALYSE - ERP =&gt; SOUS-SEGMENT'!$ID$8:$ID$154)</f>
        <v>0</v>
      </c>
      <c r="IB22" s="545">
        <f>SUMPRODUCT(('ANALYSE - ERP =&gt; SOUS-SEGMENT'!$C$8:$C$154=$C22)*'ANALYSE - ERP =&gt; SOUS-SEGMENT'!$Q$8:$Q$154*'ANALYSE - ERP =&gt; SOUS-SEGMENT'!$IE$8:$IE$154)</f>
        <v>336224.60040311894</v>
      </c>
      <c r="IC22" s="545">
        <f>SUMPRODUCT(('ANALYSE - ERP =&gt; SOUS-SEGMENT'!$C$8:$C$154=$C22)*'ANALYSE - ERP =&gt; SOUS-SEGMENT'!$Q$8:$Q$154*'ANALYSE - ERP =&gt; SOUS-SEGMENT'!$IF$8:$IF$154)</f>
        <v>3927.9009982196512</v>
      </c>
      <c r="ID22" s="545">
        <f>SUMPRODUCT(('ANALYSE - ERP =&gt; SOUS-SEGMENT'!$C$8:$C$154=$C22)*'ANALYSE - ERP =&gt; SOUS-SEGMENT'!$Q$8:$Q$154*'ANALYSE - ERP =&gt; SOUS-SEGMENT'!$IG$8:$IG$154)</f>
        <v>132921.33286942382</v>
      </c>
      <c r="IE22" s="545">
        <f>SUMPRODUCT(('ANALYSE - ERP =&gt; SOUS-SEGMENT'!$C$8:$C$154=$C22)*'ANALYSE - ERP =&gt; SOUS-SEGMENT'!$Q$8:$Q$154*'ANALYSE - ERP =&gt; SOUS-SEGMENT'!$IH$8:$IH$154)</f>
        <v>169639.78779465536</v>
      </c>
      <c r="IF22" s="545">
        <f>SUMPRODUCT(('ANALYSE - ERP =&gt; SOUS-SEGMENT'!$C$8:$C$154=$C22)*'ANALYSE - ERP =&gt; SOUS-SEGMENT'!$Q$8:$Q$154*'ANALYSE - ERP =&gt; SOUS-SEGMENT'!$II$8:$II$154)</f>
        <v>28054.670965954836</v>
      </c>
      <c r="IG22" s="545">
        <f>SUMPRODUCT(('ANALYSE - ERP =&gt; SOUS-SEGMENT'!$C$8:$C$154=$C22)*'ANALYSE - ERP =&gt; SOUS-SEGMENT'!$Q$8:$Q$154*'ANALYSE - ERP =&gt; SOUS-SEGMENT'!$IJ$8:$IJ$154)</f>
        <v>1680.9077748652653</v>
      </c>
      <c r="IH22" s="905"/>
      <c r="II22" s="546" t="s">
        <v>2589</v>
      </c>
      <c r="IJ22" s="547" t="s">
        <v>6760</v>
      </c>
      <c r="IK22" s="529"/>
      <c r="IL22" s="747">
        <f>IFERROR(SUMPRODUCT(('ANALYSE - ERP =&gt; SOUS-SEGMENT'!$C$8:$C$154=$C22)*'ANALYSE - ERP =&gt; SOUS-SEGMENT'!$Q$8:$Q$154*'ANALYSE - ERP =&gt; SOUS-SEGMENT'!$BE$8:$BE$154*'ANALYSE - ERP =&gt; SOUS-SEGMENT'!$IO$8:$IO$154)/SUMPRODUCT(('ANALYSE - ERP =&gt; SOUS-SEGMENT'!$C$8:$C$154=$C22)*'ANALYSE - ERP =&gt; SOUS-SEGMENT'!$Q$8:$Q$154*'ANALYSE - ERP =&gt; SOUS-SEGMENT'!$BE$8:$BE$154),0)</f>
        <v>0.03</v>
      </c>
      <c r="IM22" s="748">
        <f>IFERROR(SUMPRODUCT(('ANALYSE - ERP =&gt; SOUS-SEGMENT'!$C$8:$C$154=$C22)*'ANALYSE - ERP =&gt; SOUS-SEGMENT'!$Q$8:$Q$154*'ANALYSE - ERP =&gt; SOUS-SEGMENT'!$BE$8:$BE$154*'ANALYSE - ERP =&gt; SOUS-SEGMENT'!$IP$8:$IP$154)/SUMPRODUCT(('ANALYSE - ERP =&gt; SOUS-SEGMENT'!$C$8:$C$154=$C22)*'ANALYSE - ERP =&gt; SOUS-SEGMENT'!$Q$8:$Q$154*'ANALYSE - ERP =&gt; SOUS-SEGMENT'!$BE$8:$BE$154),0)</f>
        <v>0.4</v>
      </c>
      <c r="IN22" s="748">
        <f>IFERROR(SUMPRODUCT(('ANALYSE - ERP =&gt; SOUS-SEGMENT'!$C$8:$C$154=$C22)*'ANALYSE - ERP =&gt; SOUS-SEGMENT'!$Q$8:$Q$154*'ANALYSE - ERP =&gt; SOUS-SEGMENT'!$BE$8:$BE$154*'ANALYSE - ERP =&gt; SOUS-SEGMENT'!$IQ$8:$IQ$154)/SUMPRODUCT(('ANALYSE - ERP =&gt; SOUS-SEGMENT'!$C$8:$C$154=$C22)*'ANALYSE - ERP =&gt; SOUS-SEGMENT'!$Q$8:$Q$154*'ANALYSE - ERP =&gt; SOUS-SEGMENT'!$BE$8:$BE$154),0)</f>
        <v>0.5</v>
      </c>
      <c r="IO22" s="748">
        <f>IFERROR(SUMPRODUCT(('ANALYSE - ERP =&gt; SOUS-SEGMENT'!$C$8:$C$154=$C22)*'ANALYSE - ERP =&gt; SOUS-SEGMENT'!$Q$8:$Q$154*'ANALYSE - ERP =&gt; SOUS-SEGMENT'!$BE$8:$BE$154*'ANALYSE - ERP =&gt; SOUS-SEGMENT'!$IR$8:$IR$154)/SUMPRODUCT(('ANALYSE - ERP =&gt; SOUS-SEGMENT'!$C$8:$C$154=$C22)*'ANALYSE - ERP =&gt; SOUS-SEGMENT'!$Q$8:$Q$154*'ANALYSE - ERP =&gt; SOUS-SEGMENT'!$BE$8:$BE$154),0)</f>
        <v>7.0000000000000007E-2</v>
      </c>
      <c r="IP22" s="749">
        <f>IFERROR(SUMPRODUCT(('ANALYSE - ERP =&gt; SOUS-SEGMENT'!$C$8:$C$154=$C22)*'ANALYSE - ERP =&gt; SOUS-SEGMENT'!$Q$8:$Q$154*'ANALYSE - ERP =&gt; SOUS-SEGMENT'!$BE$8:$BE$154*'ANALYSE - ERP =&gt; SOUS-SEGMENT'!$IS$8:$IS$154)/SUMPRODUCT(('ANALYSE - ERP =&gt; SOUS-SEGMENT'!$C$8:$C$154=$C22)*'ANALYSE - ERP =&gt; SOUS-SEGMENT'!$Q$8:$Q$154*'ANALYSE - ERP =&gt; SOUS-SEGMENT'!$BE$8:$BE$154),0)</f>
        <v>0</v>
      </c>
      <c r="IQ22" s="748">
        <f>IFERROR(SUMPRODUCT(('ANALYSE - ERP =&gt; SOUS-SEGMENT'!$C$8:$C$154=$C22)*'ANALYSE - ERP =&gt; SOUS-SEGMENT'!$Q$8:$Q$154*'ANALYSE - ERP =&gt; SOUS-SEGMENT'!$FB$8:$FB$154*'ANALYSE - ERP =&gt; SOUS-SEGMENT'!$IT$8:$IT$154)/SUMPRODUCT(('ANALYSE - ERP =&gt; SOUS-SEGMENT'!$C$8:$C$154=$C22)*'ANALYSE - ERP =&gt; SOUS-SEGMENT'!$Q$8:$Q$154*'ANALYSE - ERP =&gt; SOUS-SEGMENT'!$FB$8:$FB$154),0)</f>
        <v>7.8000000000000005E-3</v>
      </c>
      <c r="IR22" s="748">
        <f>IFERROR(SUMPRODUCT(('ANALYSE - ERP =&gt; SOUS-SEGMENT'!$C$8:$C$154=$C22)*'ANALYSE - ERP =&gt; SOUS-SEGMENT'!$Q$8:$Q$154*'ANALYSE - ERP =&gt; SOUS-SEGMENT'!$FB$8:$FB$154*'ANALYSE - ERP =&gt; SOUS-SEGMENT'!$IU$8:$IU$154)/SUMPRODUCT(('ANALYSE - ERP =&gt; SOUS-SEGMENT'!$C$8:$C$154=$C22)*'ANALYSE - ERP =&gt; SOUS-SEGMENT'!$Q$8:$Q$154*'ANALYSE - ERP =&gt; SOUS-SEGMENT'!$FB$8:$FB$154),0)</f>
        <v>0.37280000000000002</v>
      </c>
      <c r="IS22" s="748">
        <f>IFERROR(SUMPRODUCT(('ANALYSE - ERP =&gt; SOUS-SEGMENT'!$C$8:$C$154=$C22)*'ANALYSE - ERP =&gt; SOUS-SEGMENT'!$Q$8:$Q$154*'ANALYSE - ERP =&gt; SOUS-SEGMENT'!$FB$8:$FB$154*'ANALYSE - ERP =&gt; SOUS-SEGMENT'!$IV$8:$IV$154)/SUMPRODUCT(('ANALYSE - ERP =&gt; SOUS-SEGMENT'!$C$8:$C$154=$C22)*'ANALYSE - ERP =&gt; SOUS-SEGMENT'!$Q$8:$Q$154*'ANALYSE - ERP =&gt; SOUS-SEGMENT'!$FB$8:$FB$154),0)</f>
        <v>0.5222</v>
      </c>
      <c r="IT22" s="748">
        <f>IFERROR(SUMPRODUCT(('ANALYSE - ERP =&gt; SOUS-SEGMENT'!$C$8:$C$154=$C22)*'ANALYSE - ERP =&gt; SOUS-SEGMENT'!$Q$8:$Q$154*'ANALYSE - ERP =&gt; SOUS-SEGMENT'!$FB$8:$FB$154*'ANALYSE - ERP =&gt; SOUS-SEGMENT'!$IW$8:$IW$154)/SUMPRODUCT(('ANALYSE - ERP =&gt; SOUS-SEGMENT'!$C$8:$C$154=$C22)*'ANALYSE - ERP =&gt; SOUS-SEGMENT'!$Q$8:$Q$154*'ANALYSE - ERP =&gt; SOUS-SEGMENT'!$FB$8:$FB$154),0)</f>
        <v>9.2200000000000004E-2</v>
      </c>
      <c r="IU22" s="748">
        <f>IFERROR(SUMPRODUCT(('ANALYSE - ERP =&gt; SOUS-SEGMENT'!$C$8:$C$154=$C22)*'ANALYSE - ERP =&gt; SOUS-SEGMENT'!$Q$8:$Q$154*'ANALYSE - ERP =&gt; SOUS-SEGMENT'!$FB$8:$FB$154*'ANALYSE - ERP =&gt; SOUS-SEGMENT'!$IX$8:$IX$154)/SUMPRODUCT(('ANALYSE - ERP =&gt; SOUS-SEGMENT'!$C$8:$C$154=$C22)*'ANALYSE - ERP =&gt; SOUS-SEGMENT'!$Q$8:$Q$154*'ANALYSE - ERP =&gt; SOUS-SEGMENT'!$FB$8:$FB$154),0)</f>
        <v>5.0000000000000001E-3</v>
      </c>
      <c r="IV22" s="772">
        <f>IFERROR(SUMPRODUCT(('ANALYSE - ERP =&gt; SOUS-SEGMENT'!$C$8:$C$154=$C22)*'ANALYSE - ERP =&gt; SOUS-SEGMENT'!$Q$8:$Q$154*'ANALYSE - ERP =&gt; SOUS-SEGMENT'!$BF$8:$BF$154*'ANALYSE - ERP =&gt; SOUS-SEGMENT'!$IY$8:$IY$154)/SUMPRODUCT(('ANALYSE - ERP =&gt; SOUS-SEGMENT'!$C$8:$C$154=$C22)*'ANALYSE - ERP =&gt; SOUS-SEGMENT'!$Q$8:$Q$154*'ANALYSE - ERP =&gt; SOUS-SEGMENT'!$BF$8:$BF$154),0)</f>
        <v>3.1199999999999999E-2</v>
      </c>
      <c r="IW22" s="773">
        <f>IFERROR(SUMPRODUCT(('ANALYSE - ERP =&gt; SOUS-SEGMENT'!$C$8:$C$154=$C22)*'ANALYSE - ERP =&gt; SOUS-SEGMENT'!$Q$8:$Q$154*'ANALYSE - ERP =&gt; SOUS-SEGMENT'!$BF$8:$BF$154*'ANALYSE - ERP =&gt; SOUS-SEGMENT'!$IZ$8:$IZ$154)/SUMPRODUCT(('ANALYSE - ERP =&gt; SOUS-SEGMENT'!$C$8:$C$154=$C22)*'ANALYSE - ERP =&gt; SOUS-SEGMENT'!$Q$8:$Q$154*'ANALYSE - ERP =&gt; SOUS-SEGMENT'!$BF$8:$BF$154),0)</f>
        <v>0.41539999999999999</v>
      </c>
      <c r="IX22" s="773">
        <f>IFERROR(SUMPRODUCT(('ANALYSE - ERP =&gt; SOUS-SEGMENT'!$C$8:$C$154=$C22)*'ANALYSE - ERP =&gt; SOUS-SEGMENT'!$Q$8:$Q$154*'ANALYSE - ERP =&gt; SOUS-SEGMENT'!$BF$8:$BF$154*'ANALYSE - ERP =&gt; SOUS-SEGMENT'!$JA$8:$JA$154)/SUMPRODUCT(('ANALYSE - ERP =&gt; SOUS-SEGMENT'!$C$8:$C$154=$C22)*'ANALYSE - ERP =&gt; SOUS-SEGMENT'!$Q$8:$Q$154*'ANALYSE - ERP =&gt; SOUS-SEGMENT'!$BF$8:$BF$154),0)</f>
        <v>0.49459999999999998</v>
      </c>
      <c r="IY22" s="773">
        <f>IFERROR(SUMPRODUCT(('ANALYSE - ERP =&gt; SOUS-SEGMENT'!$C$8:$C$154=$C22)*'ANALYSE - ERP =&gt; SOUS-SEGMENT'!$Q$8:$Q$154*'ANALYSE - ERP =&gt; SOUS-SEGMENT'!$BF$8:$BF$154*'ANALYSE - ERP =&gt; SOUS-SEGMENT'!$JB$8:$JB$154)/SUMPRODUCT(('ANALYSE - ERP =&gt; SOUS-SEGMENT'!$C$8:$C$154=$C22)*'ANALYSE - ERP =&gt; SOUS-SEGMENT'!$Q$8:$Q$154*'ANALYSE - ERP =&gt; SOUS-SEGMENT'!$BF$8:$BF$154),0)</f>
        <v>5.8900000000000008E-2</v>
      </c>
      <c r="IZ22" s="774">
        <f>IFERROR(SUMPRODUCT(('ANALYSE - ERP =&gt; SOUS-SEGMENT'!$C$8:$C$154=$C22)*'ANALYSE - ERP =&gt; SOUS-SEGMENT'!$Q$8:$Q$154*'ANALYSE - ERP =&gt; SOUS-SEGMENT'!$BF$8:$BF$154*'ANALYSE - ERP =&gt; SOUS-SEGMENT'!$JC$8:$JC$154)/SUMPRODUCT(('ANALYSE - ERP =&gt; SOUS-SEGMENT'!$C$8:$C$154=$C22)*'ANALYSE - ERP =&gt; SOUS-SEGMENT'!$Q$8:$Q$154*'ANALYSE - ERP =&gt; SOUS-SEGMENT'!$BF$8:$BF$154),0)</f>
        <v>0</v>
      </c>
      <c r="JA22" s="773">
        <f>IFERROR(SUMPRODUCT(('ANALYSE - ERP =&gt; SOUS-SEGMENT'!$C$8:$C$154=$C22)*'ANALYSE - ERP =&gt; SOUS-SEGMENT'!$Q$8:$Q$154*'ANALYSE - ERP =&gt; SOUS-SEGMENT'!$FE$8:$FE$154*'ANALYSE - ERP =&gt; SOUS-SEGMENT'!$JD$8:$JD$154)/SUMPRODUCT(('ANALYSE - ERP =&gt; SOUS-SEGMENT'!$C$8:$C$154=$C22)*'ANALYSE - ERP =&gt; SOUS-SEGMENT'!$Q$8:$Q$154*'ANALYSE - ERP =&gt; SOUS-SEGMENT'!$FE$8:$FE$154),0)</f>
        <v>8.9999999999999993E-3</v>
      </c>
      <c r="JB22" s="773">
        <f>IFERROR(SUMPRODUCT(('ANALYSE - ERP =&gt; SOUS-SEGMENT'!$C$8:$C$154=$C22)*'ANALYSE - ERP =&gt; SOUS-SEGMENT'!$Q$8:$Q$154*'ANALYSE - ERP =&gt; SOUS-SEGMENT'!$FE$8:$FE$154*'ANALYSE - ERP =&gt; SOUS-SEGMENT'!$JE$8:$JE$154)/SUMPRODUCT(('ANALYSE - ERP =&gt; SOUS-SEGMENT'!$C$8:$C$154=$C22)*'ANALYSE - ERP =&gt; SOUS-SEGMENT'!$Q$8:$Q$154*'ANALYSE - ERP =&gt; SOUS-SEGMENT'!$FE$8:$FE$154),0)</f>
        <v>0.38819999999999999</v>
      </c>
      <c r="JC22" s="773">
        <f>IFERROR(SUMPRODUCT(('ANALYSE - ERP =&gt; SOUS-SEGMENT'!$C$8:$C$154=$C22)*'ANALYSE - ERP =&gt; SOUS-SEGMENT'!$Q$8:$Q$154*'ANALYSE - ERP =&gt; SOUS-SEGMENT'!$FE$8:$FE$154*'ANALYSE - ERP =&gt; SOUS-SEGMENT'!$JF$8:$JF$154)/SUMPRODUCT(('ANALYSE - ERP =&gt; SOUS-SEGMENT'!$C$8:$C$154=$C22)*'ANALYSE - ERP =&gt; SOUS-SEGMENT'!$Q$8:$Q$154*'ANALYSE - ERP =&gt; SOUS-SEGMENT'!$FE$8:$FE$154),0)</f>
        <v>0.51680000000000004</v>
      </c>
      <c r="JD22" s="773">
        <f>IFERROR(SUMPRODUCT(('ANALYSE - ERP =&gt; SOUS-SEGMENT'!$C$8:$C$154=$C22)*'ANALYSE - ERP =&gt; SOUS-SEGMENT'!$Q$8:$Q$154*'ANALYSE - ERP =&gt; SOUS-SEGMENT'!$FE$8:$FE$154*'ANALYSE - ERP =&gt; SOUS-SEGMENT'!$JG$8:$JG$154)/SUMPRODUCT(('ANALYSE - ERP =&gt; SOUS-SEGMENT'!$C$8:$C$154=$C22)*'ANALYSE - ERP =&gt; SOUS-SEGMENT'!$Q$8:$Q$154*'ANALYSE - ERP =&gt; SOUS-SEGMENT'!$FE$8:$FE$154),0)</f>
        <v>8.1100000000000005E-2</v>
      </c>
      <c r="JE22" s="773">
        <f>IFERROR(SUMPRODUCT(('ANALYSE - ERP =&gt; SOUS-SEGMENT'!$C$8:$C$154=$C22)*'ANALYSE - ERP =&gt; SOUS-SEGMENT'!$Q$8:$Q$154*'ANALYSE - ERP =&gt; SOUS-SEGMENT'!$FE$8:$FE$154*'ANALYSE - ERP =&gt; SOUS-SEGMENT'!$JH$8:$JH$154)/SUMPRODUCT(('ANALYSE - ERP =&gt; SOUS-SEGMENT'!$C$8:$C$154=$C22)*'ANALYSE - ERP =&gt; SOUS-SEGMENT'!$Q$8:$Q$154*'ANALYSE - ERP =&gt; SOUS-SEGMENT'!$FE$8:$FE$154),0)</f>
        <v>4.8999999999999998E-3</v>
      </c>
      <c r="JF22" s="771">
        <f>IFERROR(SUMPRODUCT(('ANALYSE - ERP =&gt; SOUS-SEGMENT'!$C$8:$C$154=$C22)*'ANALYSE - ERP =&gt; SOUS-SEGMENT'!$Q$8:$Q$154*'ANALYSE - ERP =&gt; SOUS-SEGMENT'!$BG$8:$BG$154*'ANALYSE - ERP =&gt; SOUS-SEGMENT'!$JI$8:$JI$154)/SUMPRODUCT(('ANALYSE - ERP =&gt; SOUS-SEGMENT'!$C$8:$C$154=$C22)*'ANALYSE - ERP =&gt; SOUS-SEGMENT'!$Q$8:$Q$154*'ANALYSE - ERP =&gt; SOUS-SEGMENT'!$BG$8:$BG$154),0)</f>
        <v>5.3999999999999999E-2</v>
      </c>
      <c r="JG22" s="748">
        <f>IFERROR(SUMPRODUCT(('ANALYSE - ERP =&gt; SOUS-SEGMENT'!$C$8:$C$154=$C22)*'ANALYSE - ERP =&gt; SOUS-SEGMENT'!$Q$8:$Q$154*'ANALYSE - ERP =&gt; SOUS-SEGMENT'!$BG$8:$BG$154*'ANALYSE - ERP =&gt; SOUS-SEGMENT'!$JJ$8:$JJ$154)/SUMPRODUCT(('ANALYSE - ERP =&gt; SOUS-SEGMENT'!$C$8:$C$154=$C22)*'ANALYSE - ERP =&gt; SOUS-SEGMENT'!$Q$8:$Q$154*'ANALYSE - ERP =&gt; SOUS-SEGMENT'!$BG$8:$BG$154),0)</f>
        <v>0.53969999999999996</v>
      </c>
      <c r="JH22" s="748">
        <f>IFERROR(SUMPRODUCT(('ANALYSE - ERP =&gt; SOUS-SEGMENT'!$C$8:$C$154=$C22)*'ANALYSE - ERP =&gt; SOUS-SEGMENT'!$Q$8:$Q$154*'ANALYSE - ERP =&gt; SOUS-SEGMENT'!$BG$8:$BG$154*'ANALYSE - ERP =&gt; SOUS-SEGMENT'!$JK$8:$JK$154)/SUMPRODUCT(('ANALYSE - ERP =&gt; SOUS-SEGMENT'!$C$8:$C$154=$C22)*'ANALYSE - ERP =&gt; SOUS-SEGMENT'!$Q$8:$Q$154*'ANALYSE - ERP =&gt; SOUS-SEGMENT'!$BG$8:$BG$154),0)</f>
        <v>0.37480000000000008</v>
      </c>
      <c r="JI22" s="748">
        <f>IFERROR(SUMPRODUCT(('ANALYSE - ERP =&gt; SOUS-SEGMENT'!$C$8:$C$154=$C22)*'ANALYSE - ERP =&gt; SOUS-SEGMENT'!$Q$8:$Q$154*'ANALYSE - ERP =&gt; SOUS-SEGMENT'!$BG$8:$BG$154*'ANALYSE - ERP =&gt; SOUS-SEGMENT'!$JL$8:$JL$154)/SUMPRODUCT(('ANALYSE - ERP =&gt; SOUS-SEGMENT'!$C$8:$C$154=$C22)*'ANALYSE - ERP =&gt; SOUS-SEGMENT'!$Q$8:$Q$154*'ANALYSE - ERP =&gt; SOUS-SEGMENT'!$BG$8:$BG$154),0)</f>
        <v>3.15E-2</v>
      </c>
      <c r="JJ22" s="749">
        <f>IFERROR(SUMPRODUCT(('ANALYSE - ERP =&gt; SOUS-SEGMENT'!$C$8:$C$154=$C22)*'ANALYSE - ERP =&gt; SOUS-SEGMENT'!$Q$8:$Q$154*'ANALYSE - ERP =&gt; SOUS-SEGMENT'!$BG$8:$BG$154*'ANALYSE - ERP =&gt; SOUS-SEGMENT'!$JM$8:$JM$154)/SUMPRODUCT(('ANALYSE - ERP =&gt; SOUS-SEGMENT'!$C$8:$C$154=$C22)*'ANALYSE - ERP =&gt; SOUS-SEGMENT'!$Q$8:$Q$154*'ANALYSE - ERP =&gt; SOUS-SEGMENT'!$BG$8:$BG$154),0)</f>
        <v>0</v>
      </c>
      <c r="JK22" s="748">
        <f>IFERROR(SUMPRODUCT(('ANALYSE - ERP =&gt; SOUS-SEGMENT'!$C$8:$C$154=$C22)*'ANALYSE - ERP =&gt; SOUS-SEGMENT'!$Q$8:$Q$154*'ANALYSE - ERP =&gt; SOUS-SEGMENT'!$FH$8:$FH$154*'ANALYSE - ERP =&gt; SOUS-SEGMENT'!$JN$8:$JN$154)/SUMPRODUCT(('ANALYSE - ERP =&gt; SOUS-SEGMENT'!$C$8:$C$154=$C22)*'ANALYSE - ERP =&gt; SOUS-SEGMENT'!$Q$8:$Q$154*'ANALYSE - ERP =&gt; SOUS-SEGMENT'!$FH$8:$FH$154),0)</f>
        <v>3.1800000000000002E-2</v>
      </c>
      <c r="JL22" s="748">
        <f>IFERROR(SUMPRODUCT(('ANALYSE - ERP =&gt; SOUS-SEGMENT'!$C$8:$C$154=$C22)*'ANALYSE - ERP =&gt; SOUS-SEGMENT'!$Q$8:$Q$154*'ANALYSE - ERP =&gt; SOUS-SEGMENT'!$FH$8:$FH$154*'ANALYSE - ERP =&gt; SOUS-SEGMENT'!$JO$8:$JO$154)/SUMPRODUCT(('ANALYSE - ERP =&gt; SOUS-SEGMENT'!$C$8:$C$154=$C22)*'ANALYSE - ERP =&gt; SOUS-SEGMENT'!$Q$8:$Q$154*'ANALYSE - ERP =&gt; SOUS-SEGMENT'!$FH$8:$FH$154),0)</f>
        <v>0.51249999999999996</v>
      </c>
      <c r="JM22" s="748">
        <f>IFERROR(SUMPRODUCT(('ANALYSE - ERP =&gt; SOUS-SEGMENT'!$C$8:$C$154=$C22)*'ANALYSE - ERP =&gt; SOUS-SEGMENT'!$Q$8:$Q$154*'ANALYSE - ERP =&gt; SOUS-SEGMENT'!$FH$8:$FH$154*'ANALYSE - ERP =&gt; SOUS-SEGMENT'!$JP$8:$JP$154)/SUMPRODUCT(('ANALYSE - ERP =&gt; SOUS-SEGMENT'!$C$8:$C$154=$C22)*'ANALYSE - ERP =&gt; SOUS-SEGMENT'!$Q$8:$Q$154*'ANALYSE - ERP =&gt; SOUS-SEGMENT'!$FH$8:$FH$154),0)</f>
        <v>0.39699999999999996</v>
      </c>
      <c r="JN22" s="748">
        <f>IFERROR(SUMPRODUCT(('ANALYSE - ERP =&gt; SOUS-SEGMENT'!$C$8:$C$154=$C22)*'ANALYSE - ERP =&gt; SOUS-SEGMENT'!$Q$8:$Q$154*'ANALYSE - ERP =&gt; SOUS-SEGMENT'!$FH$8:$FH$154*'ANALYSE - ERP =&gt; SOUS-SEGMENT'!$JQ$8:$JQ$154)/SUMPRODUCT(('ANALYSE - ERP =&gt; SOUS-SEGMENT'!$C$8:$C$154=$C22)*'ANALYSE - ERP =&gt; SOUS-SEGMENT'!$Q$8:$Q$154*'ANALYSE - ERP =&gt; SOUS-SEGMENT'!$FH$8:$FH$154),0)</f>
        <v>5.3699999999999998E-2</v>
      </c>
      <c r="JO22" s="748">
        <f>IFERROR(SUMPRODUCT(('ANALYSE - ERP =&gt; SOUS-SEGMENT'!$C$8:$C$154=$C22)*'ANALYSE - ERP =&gt; SOUS-SEGMENT'!$Q$8:$Q$154*'ANALYSE - ERP =&gt; SOUS-SEGMENT'!$FH$8:$FH$154*'ANALYSE - ERP =&gt; SOUS-SEGMENT'!$JR$8:$JR$154)/SUMPRODUCT(('ANALYSE - ERP =&gt; SOUS-SEGMENT'!$C$8:$C$154=$C22)*'ANALYSE - ERP =&gt; SOUS-SEGMENT'!$Q$8:$Q$154*'ANALYSE - ERP =&gt; SOUS-SEGMENT'!$FH$8:$FH$154),0)</f>
        <v>5.0000000000000001E-3</v>
      </c>
      <c r="JP22" s="771">
        <f>IFERROR(SUMPRODUCT(('ANALYSE - ERP =&gt; SOUS-SEGMENT'!$C$8:$C$154=$C22)*'ANALYSE - ERP =&gt; SOUS-SEGMENT'!$Q$8:$Q$154*'ANALYSE - ERP =&gt; SOUS-SEGMENT'!$BH$8:$BH$154*'ANALYSE - ERP =&gt; SOUS-SEGMENT'!$JS$8:$JS$154)/SUMPRODUCT(('ANALYSE - ERP =&gt; SOUS-SEGMENT'!$C$8:$C$154=$C22)*'ANALYSE - ERP =&gt; SOUS-SEGMENT'!$Q$8:$Q$154*'ANALYSE - ERP =&gt; SOUS-SEGMENT'!$BH$8:$BH$154),0)</f>
        <v>3.2599999999999997E-2</v>
      </c>
      <c r="JQ22" s="748">
        <f>IFERROR(SUMPRODUCT(('ANALYSE - ERP =&gt; SOUS-SEGMENT'!$C$8:$C$154=$C22)*'ANALYSE - ERP =&gt; SOUS-SEGMENT'!$Q$8:$Q$154*'ANALYSE - ERP =&gt; SOUS-SEGMENT'!$BH$8:$BH$154*'ANALYSE - ERP =&gt; SOUS-SEGMENT'!$JT$8:$JT$154)/SUMPRODUCT(('ANALYSE - ERP =&gt; SOUS-SEGMENT'!$C$8:$C$154=$C22)*'ANALYSE - ERP =&gt; SOUS-SEGMENT'!$Q$8:$Q$154*'ANALYSE - ERP =&gt; SOUS-SEGMENT'!$BH$8:$BH$154),0)</f>
        <v>0.41479999999999995</v>
      </c>
      <c r="JR22" s="748">
        <f>IFERROR(SUMPRODUCT(('ANALYSE - ERP =&gt; SOUS-SEGMENT'!$C$8:$C$154=$C22)*'ANALYSE - ERP =&gt; SOUS-SEGMENT'!$Q$8:$Q$154*'ANALYSE - ERP =&gt; SOUS-SEGMENT'!$BH$8:$BH$154*'ANALYSE - ERP =&gt; SOUS-SEGMENT'!$JU$8:$JU$154)/SUMPRODUCT(('ANALYSE - ERP =&gt; SOUS-SEGMENT'!$C$8:$C$154=$C22)*'ANALYSE - ERP =&gt; SOUS-SEGMENT'!$Q$8:$Q$154*'ANALYSE - ERP =&gt; SOUS-SEGMENT'!$BH$8:$BH$154),0)</f>
        <v>0.49380000000000002</v>
      </c>
      <c r="JS22" s="748">
        <f>IFERROR(SUMPRODUCT(('ANALYSE - ERP =&gt; SOUS-SEGMENT'!$C$8:$C$154=$C22)*'ANALYSE - ERP =&gt; SOUS-SEGMENT'!$Q$8:$Q$154*'ANALYSE - ERP =&gt; SOUS-SEGMENT'!$BH$8:$BH$154*'ANALYSE - ERP =&gt; SOUS-SEGMENT'!$JV$8:$JV$154)/SUMPRODUCT(('ANALYSE - ERP =&gt; SOUS-SEGMENT'!$C$8:$C$154=$C22)*'ANALYSE - ERP =&gt; SOUS-SEGMENT'!$Q$8:$Q$154*'ANALYSE - ERP =&gt; SOUS-SEGMENT'!$BH$8:$BH$154),0)</f>
        <v>5.8799999999999998E-2</v>
      </c>
      <c r="JT22" s="749">
        <f>IFERROR(SUMPRODUCT(('ANALYSE - ERP =&gt; SOUS-SEGMENT'!$C$8:$C$154=$C22)*'ANALYSE - ERP =&gt; SOUS-SEGMENT'!$Q$8:$Q$154*'ANALYSE - ERP =&gt; SOUS-SEGMENT'!$BH$8:$BH$154*'ANALYSE - ERP =&gt; SOUS-SEGMENT'!$JW$8:$JW$154)/SUMPRODUCT(('ANALYSE - ERP =&gt; SOUS-SEGMENT'!$C$8:$C$154=$C22)*'ANALYSE - ERP =&gt; SOUS-SEGMENT'!$Q$8:$Q$154*'ANALYSE - ERP =&gt; SOUS-SEGMENT'!$BH$8:$BH$154),0)</f>
        <v>0</v>
      </c>
      <c r="JU22" s="771">
        <f>IFERROR(SUMPRODUCT(('ANALYSE - ERP =&gt; SOUS-SEGMENT'!$C$8:$C$154=$C22)*'ANALYSE - ERP =&gt; SOUS-SEGMENT'!$Q$8:$Q$154*'ANALYSE - ERP =&gt; SOUS-SEGMENT'!$FK$8:$FK$154*'ANALYSE - ERP =&gt; SOUS-SEGMENT'!$JX$8:$JX$154)/SUMPRODUCT(('ANALYSE - ERP =&gt; SOUS-SEGMENT'!$C$8:$C$154=$C22)*'ANALYSE - ERP =&gt; SOUS-SEGMENT'!$Q$8:$Q$154*'ANALYSE - ERP =&gt; SOUS-SEGMENT'!$FK$8:$FK$154),0)</f>
        <v>1.0399999999999998E-2</v>
      </c>
      <c r="JV22" s="748">
        <f>IFERROR(SUMPRODUCT(('ANALYSE - ERP =&gt; SOUS-SEGMENT'!$C$8:$C$154=$C22)*'ANALYSE - ERP =&gt; SOUS-SEGMENT'!$Q$8:$Q$154*'ANALYSE - ERP =&gt; SOUS-SEGMENT'!$FK$8:$FK$154*'ANALYSE - ERP =&gt; SOUS-SEGMENT'!$JY$8:$JY$154)/SUMPRODUCT(('ANALYSE - ERP =&gt; SOUS-SEGMENT'!$C$8:$C$154=$C22)*'ANALYSE - ERP =&gt; SOUS-SEGMENT'!$Q$8:$Q$154*'ANALYSE - ERP =&gt; SOUS-SEGMENT'!$FK$8:$FK$154),0)</f>
        <v>0.3876</v>
      </c>
      <c r="JW22" s="748">
        <f>IFERROR(SUMPRODUCT(('ANALYSE - ERP =&gt; SOUS-SEGMENT'!$C$8:$C$154=$C22)*'ANALYSE - ERP =&gt; SOUS-SEGMENT'!$Q$8:$Q$154*'ANALYSE - ERP =&gt; SOUS-SEGMENT'!$FK$8:$FK$154*'ANALYSE - ERP =&gt; SOUS-SEGMENT'!$JZ$8:$JZ$154)/SUMPRODUCT(('ANALYSE - ERP =&gt; SOUS-SEGMENT'!$C$8:$C$154=$C22)*'ANALYSE - ERP =&gt; SOUS-SEGMENT'!$Q$8:$Q$154*'ANALYSE - ERP =&gt; SOUS-SEGMENT'!$FK$8:$FK$154),0)</f>
        <v>0.51600000000000001</v>
      </c>
      <c r="JX22" s="748">
        <f>IFERROR(SUMPRODUCT(('ANALYSE - ERP =&gt; SOUS-SEGMENT'!$C$8:$C$154=$C22)*'ANALYSE - ERP =&gt; SOUS-SEGMENT'!$Q$8:$Q$154*'ANALYSE - ERP =&gt; SOUS-SEGMENT'!$FK$8:$FK$154*'ANALYSE - ERP =&gt; SOUS-SEGMENT'!$KA$8:$KA$154)/SUMPRODUCT(('ANALYSE - ERP =&gt; SOUS-SEGMENT'!$C$8:$C$154=$C22)*'ANALYSE - ERP =&gt; SOUS-SEGMENT'!$Q$8:$Q$154*'ANALYSE - ERP =&gt; SOUS-SEGMENT'!$FK$8:$FK$154),0)</f>
        <v>8.1000000000000003E-2</v>
      </c>
      <c r="JY22" s="775">
        <f>IFERROR(SUMPRODUCT(('ANALYSE - ERP =&gt; SOUS-SEGMENT'!$C$8:$C$154=$C22)*'ANALYSE - ERP =&gt; SOUS-SEGMENT'!$Q$8:$Q$154*'ANALYSE - ERP =&gt; SOUS-SEGMENT'!$FK$8:$FK$154*'ANALYSE - ERP =&gt; SOUS-SEGMENT'!$KB$8:$KB$154)/SUMPRODUCT(('ANALYSE - ERP =&gt; SOUS-SEGMENT'!$C$8:$C$154=$C22)*'ANALYSE - ERP =&gt; SOUS-SEGMENT'!$Q$8:$Q$154*'ANALYSE - ERP =&gt; SOUS-SEGMENT'!$FK$8:$FK$154),0)</f>
        <v>5.0000000000000001E-3</v>
      </c>
      <c r="JZ22" s="529"/>
      <c r="KA22" s="546" t="s">
        <v>2590</v>
      </c>
      <c r="KB22" s="546" t="s">
        <v>2591</v>
      </c>
      <c r="KC22" s="905">
        <f>IFERROR(SUMPRODUCT(('ANALYSE - ERP =&gt; SOUS-SEGMENT'!$C$8:$C$154=$C23)*'ANALYSE - ERP =&gt; SOUS-SEGMENT'!$Q$8:$Q$154*'ANALYSE - ERP =&gt; SOUS-SEGMENT'!$EX$8:$EX$154*'ANALYSE - ERP =&gt; SOUS-SEGMENT'!$KF$8:$KF$154)/SUMPRODUCT(('ANALYSE - ERP =&gt; SOUS-SEGMENT'!$C$8:$C$154=$C23)*'ANALYSE - ERP =&gt; SOUS-SEGMENT'!$Q$8:$Q$154*'ANALYSE - ERP =&gt; SOUS-SEGMENT'!$EX$8:$EX$154),"")</f>
        <v>4.2722050359762518</v>
      </c>
      <c r="KD22" s="546" t="s">
        <v>2719</v>
      </c>
      <c r="KE22" s="548" t="s">
        <v>4079</v>
      </c>
      <c r="KF22" s="622" t="s">
        <v>6760</v>
      </c>
      <c r="KG22" s="548" t="s">
        <v>6760</v>
      </c>
    </row>
    <row r="23" spans="1:293" s="549" customFormat="1" ht="108" customHeight="1">
      <c r="A23" s="550">
        <v>19</v>
      </c>
      <c r="B23" s="606" t="s">
        <v>2264</v>
      </c>
      <c r="C23" s="606" t="s">
        <v>4081</v>
      </c>
      <c r="D23" s="606" t="s">
        <v>7091</v>
      </c>
      <c r="E23" s="551" t="s">
        <v>7092</v>
      </c>
      <c r="F23" s="551" t="s">
        <v>7093</v>
      </c>
      <c r="G23" s="551" t="s">
        <v>7094</v>
      </c>
      <c r="H23" s="551" t="s">
        <v>2117</v>
      </c>
      <c r="I23" s="552" t="s">
        <v>7095</v>
      </c>
      <c r="J23" s="552" t="s">
        <v>7096</v>
      </c>
      <c r="K23" s="553" t="s">
        <v>2097</v>
      </c>
      <c r="L23" s="553" t="s">
        <v>2109</v>
      </c>
      <c r="M23" s="553" t="s">
        <v>7097</v>
      </c>
      <c r="N23" s="553" t="s">
        <v>6742</v>
      </c>
      <c r="O23" s="553" t="s">
        <v>2616</v>
      </c>
      <c r="P23" s="552"/>
      <c r="Q23" s="270">
        <f>IF(SUMPRODUCT(('ANALYSE - ERP =&gt; SOUS-SEGMENT'!$C$8:$C$154=$C23)*'ANALYSE - ERP =&gt; SOUS-SEGMENT'!$Q$8:$Q$154)&gt;0,1,0)</f>
        <v>1</v>
      </c>
      <c r="R23" s="554">
        <f>IFERROR(SUMPRODUCT(('ANALYSE - ERP =&gt; SOUS-SEGMENT'!$C$8:$C$154=$C23)*'ANALYSE - ERP =&gt; SOUS-SEGMENT'!$Q$8:$Q$154*'ANALYSE - ERP =&gt; SOUS-SEGMENT'!$AG$8:$AG$154*'ANALYSE - ERP =&gt; SOUS-SEGMENT'!$R$8:$R$154)/SUMPRODUCT(('ANALYSE - ERP =&gt; SOUS-SEGMENT'!$C$8:$C$154=$C23)*'ANALYSE - ERP =&gt; SOUS-SEGMENT'!$Q$8:$Q$154*'ANALYSE - ERP =&gt; SOUS-SEGMENT'!$AG$8:$AG$154),"")</f>
        <v>10479.617047560223</v>
      </c>
      <c r="S23" s="555">
        <f>SUMPRODUCT(('ANALYSE - ERP =&gt; SOUS-SEGMENT'!$C$8:$C$154=$C23)*'ANALYSE - ERP =&gt; SOUS-SEGMENT'!$Q$8:$Q$154*'ANALYSE - ERP =&gt; SOUS-SEGMENT'!$S$8:$S$154)</f>
        <v>18000</v>
      </c>
      <c r="T23" s="555">
        <f>SUMPRODUCT(('ANALYSE - ERP =&gt; SOUS-SEGMENT'!$C$8:$C$154=$C23)*'ANALYSE - ERP =&gt; SOUS-SEGMENT'!$Q$8:$Q$154*'ANALYSE - ERP =&gt; SOUS-SEGMENT'!$T$8:$T$154)</f>
        <v>17300</v>
      </c>
      <c r="U23" s="555">
        <f>SUMPRODUCT(('ANALYSE - ERP =&gt; SOUS-SEGMENT'!$C$8:$C$154=$C23)*'ANALYSE - ERP =&gt; SOUS-SEGMENT'!$Q$8:$Q$154*'ANALYSE - ERP =&gt; SOUS-SEGMENT'!$U$8:$U$154)</f>
        <v>16350</v>
      </c>
      <c r="V23" s="555">
        <f>SUMPRODUCT(('ANALYSE - ERP =&gt; SOUS-SEGMENT'!$C$8:$C$154=$C23)*'ANALYSE - ERP =&gt; SOUS-SEGMENT'!$Q$8:$Q$154*'ANALYSE - ERP =&gt; SOUS-SEGMENT'!$V$8:$V$154)</f>
        <v>15550</v>
      </c>
      <c r="W23" s="555">
        <f>SUMPRODUCT(('ANALYSE - ERP =&gt; SOUS-SEGMENT'!$C$8:$C$154=$C23)*'ANALYSE - ERP =&gt; SOUS-SEGMENT'!$Q$8:$Q$154*'ANALYSE - ERP =&gt; SOUS-SEGMENT'!$W$8:$W$154)</f>
        <v>15450</v>
      </c>
      <c r="X23" s="555">
        <f>SUMPRODUCT(('ANALYSE - ERP =&gt; SOUS-SEGMENT'!$C$8:$C$154=$C23)*'ANALYSE - ERP =&gt; SOUS-SEGMENT'!$Q$8:$Q$154*'ANALYSE - ERP =&gt; SOUS-SEGMENT'!$X$8:$X$154)</f>
        <v>15370</v>
      </c>
      <c r="Y23" s="555">
        <f>SUMPRODUCT(('ANALYSE - ERP =&gt; SOUS-SEGMENT'!$C$8:$C$154=$C23)*'ANALYSE - ERP =&gt; SOUS-SEGMENT'!$Q$8:$Q$154*'ANALYSE - ERP =&gt; SOUS-SEGMENT'!$Y$8:$Y$154)</f>
        <v>15320</v>
      </c>
      <c r="Z23" s="555">
        <f>SUMPRODUCT(('ANALYSE - ERP =&gt; SOUS-SEGMENT'!$C$8:$C$154=$C23)*'ANALYSE - ERP =&gt; SOUS-SEGMENT'!$Q$8:$Q$154*'ANALYSE - ERP =&gt; SOUS-SEGMENT'!$Z$8:$Z$154)</f>
        <v>15290</v>
      </c>
      <c r="AA23" s="555">
        <f>SUMPRODUCT(('ANALYSE - ERP =&gt; SOUS-SEGMENT'!$C$8:$C$154=$C23)*'ANALYSE - ERP =&gt; SOUS-SEGMENT'!$Q$8:$Q$154*'ANALYSE - ERP =&gt; SOUS-SEGMENT'!$AA$8:$AA$154)</f>
        <v>15120</v>
      </c>
      <c r="AB23" s="555">
        <f>SUMPRODUCT(('ANALYSE - ERP =&gt; SOUS-SEGMENT'!$C$8:$C$154=$C23)*'ANALYSE - ERP =&gt; SOUS-SEGMENT'!$Q$8:$Q$154*'ANALYSE - ERP =&gt; SOUS-SEGMENT'!$AB$8:$AB$154)</f>
        <v>15260</v>
      </c>
      <c r="AC23" s="555">
        <f>SUMPRODUCT(('ANALYSE - ERP =&gt; SOUS-SEGMENT'!$C$8:$C$154=$C23)*'ANALYSE - ERP =&gt; SOUS-SEGMENT'!$Q$8:$Q$154*'ANALYSE - ERP =&gt; SOUS-SEGMENT'!$AC$8:$AC$154)</f>
        <v>15450</v>
      </c>
      <c r="AD23" s="555">
        <f>SUMPRODUCT(('ANALYSE - ERP =&gt; SOUS-SEGMENT'!$C$8:$C$154=$C23)*'ANALYSE - ERP =&gt; SOUS-SEGMENT'!$Q$8:$Q$154*'ANALYSE - ERP =&gt; SOUS-SEGMENT'!$AD$8:$AD$154)</f>
        <v>15670</v>
      </c>
      <c r="AE23" s="555">
        <f>SUMPRODUCT(('ANALYSE - ERP =&gt; SOUS-SEGMENT'!$C$8:$C$154=$C23)*'ANALYSE - ERP =&gt; SOUS-SEGMENT'!$Q$8:$Q$154*'ANALYSE - ERP =&gt; SOUS-SEGMENT'!$AE$8:$AE$154)</f>
        <v>15870</v>
      </c>
      <c r="AF23" s="555">
        <f>SUMPRODUCT(('ANALYSE - ERP =&gt; SOUS-SEGMENT'!$C$8:$C$154=$C23)*'ANALYSE - ERP =&gt; SOUS-SEGMENT'!$Q$8:$Q$154*'ANALYSE - ERP =&gt; SOUS-SEGMENT'!$AF$8:$AF$154)</f>
        <v>16050</v>
      </c>
      <c r="AG23" s="555">
        <f>SUMPRODUCT(('ANALYSE - ERP =&gt; SOUS-SEGMENT'!$C$8:$C$154=$C23)*'ANALYSE - ERP =&gt; SOUS-SEGMENT'!$Q$8:$Q$154*'ANALYSE - ERP =&gt; SOUS-SEGMENT'!$AG$8:$AG$154)</f>
        <v>16190</v>
      </c>
      <c r="AH23" s="555">
        <f>SUMPRODUCT(('ANALYSE - ERP =&gt; SOUS-SEGMENT'!$C$8:$C$154=$C23)*'ANALYSE - ERP =&gt; SOUS-SEGMENT'!$Q$8:$Q$154*'ANALYSE - ERP =&gt; SOUS-SEGMENT'!$AH$8:$AH$154)</f>
        <v>16330</v>
      </c>
      <c r="AI23" s="555">
        <f>SUMPRODUCT(('ANALYSE - ERP =&gt; SOUS-SEGMENT'!$C$8:$C$154=$C23)*'ANALYSE - ERP =&gt; SOUS-SEGMENT'!$Q$8:$Q$154*'ANALYSE - ERP =&gt; SOUS-SEGMENT'!$AI$8:$AI$154)</f>
        <v>16470</v>
      </c>
      <c r="AJ23" s="555">
        <f>SUMPRODUCT(('ANALYSE - ERP =&gt; SOUS-SEGMENT'!$C$8:$C$154=$C23)*'ANALYSE - ERP =&gt; SOUS-SEGMENT'!$Q$8:$Q$154*'ANALYSE - ERP =&gt; SOUS-SEGMENT'!$AJ$8:$AJ$154)</f>
        <v>16580</v>
      </c>
      <c r="AK23" s="555">
        <f>SUMPRODUCT(('ANALYSE - ERP =&gt; SOUS-SEGMENT'!$C$8:$C$154=$C23)*'ANALYSE - ERP =&gt; SOUS-SEGMENT'!$Q$8:$Q$154*'ANALYSE - ERP =&gt; SOUS-SEGMENT'!$AK$8:$AK$154)</f>
        <v>16680</v>
      </c>
      <c r="AL23" s="552" t="s">
        <v>7098</v>
      </c>
      <c r="AM23" s="552" t="s">
        <v>7099</v>
      </c>
      <c r="AN23" s="552" t="s">
        <v>4089</v>
      </c>
      <c r="AO23" s="529"/>
      <c r="AP23" s="554">
        <f>IFERROR(SUMPRODUCT(('ANALYSE - ERP =&gt; SOUS-SEGMENT'!$C$8:$C$154=$C23)*'ANALYSE - ERP =&gt; SOUS-SEGMENT'!$Q$8:$Q$154*'ANALYSE - ERP =&gt; SOUS-SEGMENT'!$AG$8:$AG$154*'ANALYSE - ERP =&gt; SOUS-SEGMENT'!$AP$8:$AP$154)/SUMPRODUCT(('ANALYSE - ERP =&gt; SOUS-SEGMENT'!$C$8:$C$154=$C23)*'ANALYSE - ERP =&gt; SOUS-SEGMENT'!$Q$8:$Q$154*'ANALYSE - ERP =&gt; SOUS-SEGMENT'!$AG$8:$AG$154),"")</f>
        <v>183.89129092032118</v>
      </c>
      <c r="AQ23" s="556">
        <f>IFERROR(SUMPRODUCT(('ANALYSE - ERP =&gt; SOUS-SEGMENT'!$C$8:$C$154=$C23)*'ANALYSE - ERP =&gt; SOUS-SEGMENT'!$Q$8:$Q$154*'ANALYSE - ERP =&gt; SOUS-SEGMENT'!$AF$8:$AF$154*'ANALYSE - ERP =&gt; SOUS-SEGMENT'!$AQ$8:$AQ$154)/SUMPRODUCT(('ANALYSE - ERP =&gt; SOUS-SEGMENT'!$C$8:$C$154=$C23)*'ANALYSE - ERP =&gt; SOUS-SEGMENT'!$Q$8:$Q$154*'ANALYSE - ERP =&gt; SOUS-SEGMENT'!$AF$8:$AF$154),"")</f>
        <v>162.8442367601246</v>
      </c>
      <c r="AR23" s="975">
        <f>IFERROR(SUMPRODUCT(('ANALYSE - ERP =&gt; SOUS-SEGMENT'!$C$8:$C$154=$C23)*'ANALYSE - ERP =&gt; SOUS-SEGMENT'!$Q$8:$Q$154*'ANALYSE - ERP =&gt; SOUS-SEGMENT'!$AF$8:$AF$154*'ANALYSE - ERP =&gt; SOUS-SEGMENT'!$AR$8:$AR$154)/SUMPRODUCT(('ANALYSE - ERP =&gt; SOUS-SEGMENT'!$C$8:$C$154=$C23)*'ANALYSE - ERP =&gt; SOUS-SEGMENT'!$Q$8:$Q$154*'ANALYSE - ERP =&gt; SOUS-SEGMENT'!$AF$8:$AF$154),"")</f>
        <v>15.962616822429906</v>
      </c>
      <c r="AS23" s="975">
        <f>IFERROR(SUMPRODUCT(('ANALYSE - ERP =&gt; SOUS-SEGMENT'!$C$8:$C$154=$C23)*'ANALYSE - ERP =&gt; SOUS-SEGMENT'!$Q$8:$Q$154*'ANALYSE - ERP =&gt; SOUS-SEGMENT'!$AF$8:$AF$154*'ANALYSE - ERP =&gt; SOUS-SEGMENT'!$AS$8:$AS$154)/SUMPRODUCT(('ANALYSE - ERP =&gt; SOUS-SEGMENT'!$C$8:$C$154=$C23)*'ANALYSE - ERP =&gt; SOUS-SEGMENT'!$Q$8:$Q$154*'ANALYSE - ERP =&gt; SOUS-SEGMENT'!$AF$8:$AF$154),"")</f>
        <v>5.05607476635514</v>
      </c>
      <c r="AT23" s="529" t="s">
        <v>7100</v>
      </c>
      <c r="AU23" s="537" t="s">
        <v>7101</v>
      </c>
      <c r="AV23" s="573" t="s">
        <v>4061</v>
      </c>
      <c r="AW23" s="537" t="s">
        <v>7076</v>
      </c>
      <c r="AX23" s="529"/>
      <c r="AY23" s="557">
        <f>IFERROR(SUMPRODUCT(('ANALYSE - ERP =&gt; SOUS-SEGMENT'!$C$8:$C$154=$C23)*'ANALYSE - ERP =&gt; SOUS-SEGMENT'!$Q$8:$Q$154*'ANALYSE - ERP =&gt; SOUS-SEGMENT'!$AF$8:$AF$154*'ANALYSE - ERP =&gt; SOUS-SEGMENT'!$AZ$8:$AZ$154)/SUMPRODUCT(('ANALYSE - ERP =&gt; SOUS-SEGMENT'!$C$8:$C$154=$C23)*'ANALYSE - ERP =&gt; SOUS-SEGMENT'!$Q$8:$Q$154*'ANALYSE - ERP =&gt; SOUS-SEGMENT'!$AF$8:$AF$154),"")</f>
        <v>18.529595015576323</v>
      </c>
      <c r="AZ23" s="976">
        <f>IFERROR(SUMPRODUCT(('ANALYSE - ERP =&gt; SOUS-SEGMENT'!$C$8:$C$154=$C23)*'ANALYSE - ERP =&gt; SOUS-SEGMENT'!$Q$8:$Q$154*'ANALYSE - ERP =&gt; SOUS-SEGMENT'!$AF$8:$AF$154*'ANALYSE - ERP =&gt; SOUS-SEGMENT'!$BA$8:$BA$154)/SUMPRODUCT(('ANALYSE - ERP =&gt; SOUS-SEGMENT'!$C$8:$C$154=$C23)*'ANALYSE - ERP =&gt; SOUS-SEGMENT'!$Q$8:$Q$154*'ANALYSE - ERP =&gt; SOUS-SEGMENT'!$AF$8:$AF$154),"")</f>
        <v>6.6535825545171337</v>
      </c>
      <c r="BA23" s="557">
        <f>IFERROR(SUMPRODUCT(('ANALYSE - ERP =&gt; SOUS-SEGMENT'!$C$8:$C$154=$C23)*'ANALYSE - ERP =&gt; SOUS-SEGMENT'!$Q$8:$Q$154*'ANALYSE - ERP =&gt; SOUS-SEGMENT'!$AF$8:$AF$154*'ANALYSE - ERP =&gt; SOUS-SEGMENT'!$BB$8:$BB$154)/SUMPRODUCT(('ANALYSE - ERP =&gt; SOUS-SEGMENT'!$C$8:$C$154=$C23)*'ANALYSE - ERP =&gt; SOUS-SEGMENT'!$Q$8:$Q$154*'ANALYSE - ERP =&gt; SOUS-SEGMENT'!$AF$8:$AF$154),"")</f>
        <v>4.5118380062305299</v>
      </c>
      <c r="BB23" s="557">
        <f>IFERROR(SUMPRODUCT(('ANALYSE - ERP =&gt; SOUS-SEGMENT'!$C$8:$C$154=$C23)*'ANALYSE - ERP =&gt; SOUS-SEGMENT'!$Q$8:$Q$154*'ANALYSE - ERP =&gt; SOUS-SEGMENT'!$AF$8:$AF$154*'ANALYSE - ERP =&gt; SOUS-SEGMENT'!$BC$8:$BC$154)/SUMPRODUCT(('ANALYSE - ERP =&gt; SOUS-SEGMENT'!$C$8:$C$154=$C23)*'ANALYSE - ERP =&gt; SOUS-SEGMENT'!$Q$8:$Q$154*'ANALYSE - ERP =&gt; SOUS-SEGMENT'!$AF$8:$AF$154),"")</f>
        <v>12.791277258566979</v>
      </c>
      <c r="BC23" s="558">
        <f>SUMPRODUCT(('ANALYSE - ERP =&gt; SOUS-SEGMENT'!$C$8:$C$154=$C23)*'ANALYSE - ERP =&gt; SOUS-SEGMENT'!$Q$8:$Q$154*'ANALYSE - ERP =&gt; SOUS-SEGMENT'!$BE$8:$BE$154)</f>
        <v>297400</v>
      </c>
      <c r="BD23" s="558">
        <f>SUMPRODUCT(('ANALYSE - ERP =&gt; SOUS-SEGMENT'!$C$8:$C$154=$C23)*'ANALYSE - ERP =&gt; SOUS-SEGMENT'!$Q$8:$Q$154*'ANALYSE - ERP =&gt; SOUS-SEGMENT'!$BF$8:$BF$154)</f>
        <v>106790</v>
      </c>
      <c r="BE23" s="558">
        <f>SUMPRODUCT(('ANALYSE - ERP =&gt; SOUS-SEGMENT'!$C$8:$C$154=$C23)*'ANALYSE - ERP =&gt; SOUS-SEGMENT'!$Q$8:$Q$154*'ANALYSE - ERP =&gt; SOUS-SEGMENT'!$BG$8:$BG$154)</f>
        <v>72415</v>
      </c>
      <c r="BF23" s="558">
        <f>SUMPRODUCT(('ANALYSE - ERP =&gt; SOUS-SEGMENT'!$C$8:$C$154=$C23)*'ANALYSE - ERP =&gt; SOUS-SEGMENT'!$Q$8:$Q$154*'ANALYSE - ERP =&gt; SOUS-SEGMENT'!$BH$8:$BH$154)</f>
        <v>205300</v>
      </c>
      <c r="BG23" s="558">
        <f>SUMPRODUCT(('ANALYSE - ERP =&gt; SOUS-SEGMENT'!$C$8:$C$154=$C23)*'ANALYSE - ERP =&gt; SOUS-SEGMENT'!$Q$8:$Q$154*'ANALYSE - ERP =&gt; SOUS-SEGMENT'!$BJ$8:$BJ$154)</f>
        <v>309070</v>
      </c>
      <c r="BH23" s="558">
        <f>SUMPRODUCT(('ANALYSE - ERP =&gt; SOUS-SEGMENT'!$C$8:$C$154=$C23)*'ANALYSE - ERP =&gt; SOUS-SEGMENT'!$Q$8:$Q$154*'ANALYSE - ERP =&gt; SOUS-SEGMENT'!$BK$8:$BK$154)</f>
        <v>110930</v>
      </c>
      <c r="BI23" s="558">
        <f>SUMPRODUCT(('ANALYSE - ERP =&gt; SOUS-SEGMENT'!$C$8:$C$154=$C23)*'ANALYSE - ERP =&gt; SOUS-SEGMENT'!$Q$8:$Q$154*'ANALYSE - ERP =&gt; SOUS-SEGMENT'!$BL$8:$BL$154)</f>
        <v>75230</v>
      </c>
      <c r="BJ23" s="558">
        <f>SUMPRODUCT(('ANALYSE - ERP =&gt; SOUS-SEGMENT'!$C$8:$C$154=$C23)*'ANALYSE - ERP =&gt; SOUS-SEGMENT'!$Q$8:$Q$154*'ANALYSE - ERP =&gt; SOUS-SEGMENT'!$BM$8:$BM$154)</f>
        <v>213350</v>
      </c>
      <c r="BK23" s="529"/>
      <c r="BL23" s="602">
        <f>IFERROR(SUMPRODUCT(('ANALYSE - ERP =&gt; SOUS-SEGMENT'!$C$8:$C$154=$C23)*'ANALYSE - ERP =&gt; SOUS-SEGMENT'!$Q$8:$Q$154*'ANALYSE - ERP =&gt; SOUS-SEGMENT'!$BE$8:$BE$154*'ANALYSE - ERP =&gt; SOUS-SEGMENT'!$BO$8:$BO$154)/SUMPRODUCT(('ANALYSE - ERP =&gt; SOUS-SEGMENT'!$C$8:$C$154=$C23)*'ANALYSE - ERP =&gt; SOUS-SEGMENT'!$Q$8:$Q$154*'ANALYSE - ERP =&gt; SOUS-SEGMENT'!$BE$8:$BE$154),"")</f>
        <v>0.4101983860121049</v>
      </c>
      <c r="BM23" s="532">
        <f>IFERROR(SUMPRODUCT(('ANALYSE - ERP =&gt; SOUS-SEGMENT'!$C$8:$C$154=$C23)*'ANALYSE - ERP =&gt; SOUS-SEGMENT'!$Q$8:$Q$154*'ANALYSE - ERP =&gt; SOUS-SEGMENT'!$BE$8:$BE$154*'ANALYSE - ERP =&gt; SOUS-SEGMENT'!$BP$8:$BP$154)/SUMPRODUCT(('ANALYSE - ERP =&gt; SOUS-SEGMENT'!$C$8:$C$154=$C23)*'ANALYSE - ERP =&gt; SOUS-SEGMENT'!$Q$8:$Q$154*'ANALYSE - ERP =&gt; SOUS-SEGMENT'!$BE$8:$BE$154),"")</f>
        <v>0.40538668459986549</v>
      </c>
      <c r="BN23" s="532">
        <f>IFERROR(SUMPRODUCT(('ANALYSE - ERP =&gt; SOUS-SEGMENT'!$C$8:$C$154=$C23)*'ANALYSE - ERP =&gt; SOUS-SEGMENT'!$Q$8:$Q$154*'ANALYSE - ERP =&gt; SOUS-SEGMENT'!$BE$8:$BE$154*'ANALYSE - ERP =&gt; SOUS-SEGMENT'!$BQ$8:$BQ$154)/SUMPRODUCT(('ANALYSE - ERP =&gt; SOUS-SEGMENT'!$C$8:$C$154=$C23)*'ANALYSE - ERP =&gt; SOUS-SEGMENT'!$Q$8:$Q$154*'ANALYSE - ERP =&gt; SOUS-SEGMENT'!$BE$8:$BE$154),"")</f>
        <v>0.13710154673839947</v>
      </c>
      <c r="BO23" s="603">
        <f>IFERROR(SUMPRODUCT(('ANALYSE - ERP =&gt; SOUS-SEGMENT'!$C$8:$C$154=$C23)*'ANALYSE - ERP =&gt; SOUS-SEGMENT'!$Q$8:$Q$154*'ANALYSE - ERP =&gt; SOUS-SEGMENT'!$BE$8:$BE$154*'ANALYSE - ERP =&gt; SOUS-SEGMENT'!$BR$8:$BR$154)/SUMPRODUCT(('ANALYSE - ERP =&gt; SOUS-SEGMENT'!$C$8:$C$154=$C23)*'ANALYSE - ERP =&gt; SOUS-SEGMENT'!$Q$8:$Q$154*'ANALYSE - ERP =&gt; SOUS-SEGMENT'!$BE$8:$BE$154),"")</f>
        <v>4.7313382649630129E-2</v>
      </c>
      <c r="BP23" s="602">
        <f>IFERROR(SUMPRODUCT(('ANALYSE - ERP =&gt; SOUS-SEGMENT'!$C$8:$C$154=$C23)*'ANALYSE - ERP =&gt; SOUS-SEGMENT'!$Q$8:$Q$154*'ANALYSE - ERP =&gt; SOUS-SEGMENT'!$BJ$8:$BJ$154*'ANALYSE - ERP =&gt; SOUS-SEGMENT'!$BS$8:$BS$154)/SUMPRODUCT(('ANALYSE - ERP =&gt; SOUS-SEGMENT'!$C$8:$C$154=$C23)*'ANALYSE - ERP =&gt; SOUS-SEGMENT'!$Q$8:$Q$154*'ANALYSE - ERP =&gt; SOUS-SEGMENT'!$BJ$8:$BJ$154),"")</f>
        <v>0.38048694470508299</v>
      </c>
      <c r="BQ23" s="532">
        <f>IFERROR(SUMPRODUCT(('ANALYSE - ERP =&gt; SOUS-SEGMENT'!$C$8:$C$154=$C23)*'ANALYSE - ERP =&gt; SOUS-SEGMENT'!$Q$8:$Q$154*'ANALYSE - ERP =&gt; SOUS-SEGMENT'!$BJ$8:$BJ$154*'ANALYSE - ERP =&gt; SOUS-SEGMENT'!$BT$8:$BT$154)/SUMPRODUCT(('ANALYSE - ERP =&gt; SOUS-SEGMENT'!$C$8:$C$154=$C23)*'ANALYSE - ERP =&gt; SOUS-SEGMENT'!$Q$8:$Q$154*'ANALYSE - ERP =&gt; SOUS-SEGMENT'!$BJ$8:$BJ$154),"")</f>
        <v>0.41269809428284854</v>
      </c>
      <c r="BR23" s="532">
        <f>IFERROR(SUMPRODUCT(('ANALYSE - ERP =&gt; SOUS-SEGMENT'!$C$8:$C$154=$C23)*'ANALYSE - ERP =&gt; SOUS-SEGMENT'!$Q$8:$Q$154*'ANALYSE - ERP =&gt; SOUS-SEGMENT'!$BJ$8:$BJ$154*'ANALYSE - ERP =&gt; SOUS-SEGMENT'!$BU$8:$BU$154)/SUMPRODUCT(('ANALYSE - ERP =&gt; SOUS-SEGMENT'!$C$8:$C$154=$C23)*'ANALYSE - ERP =&gt; SOUS-SEGMENT'!$Q$8:$Q$154*'ANALYSE - ERP =&gt; SOUS-SEGMENT'!$BJ$8:$BJ$154),"")</f>
        <v>0.17444591840036239</v>
      </c>
      <c r="BS23" s="603">
        <f>IFERROR(SUMPRODUCT(('ANALYSE - ERP =&gt; SOUS-SEGMENT'!$C$8:$C$154=$C23)*'ANALYSE - ERP =&gt; SOUS-SEGMENT'!$Q$8:$Q$154*'ANALYSE - ERP =&gt; SOUS-SEGMENT'!$BJ$8:$BJ$154*'ANALYSE - ERP =&gt; SOUS-SEGMENT'!$BV$8:$BV$154)/SUMPRODUCT(('ANALYSE - ERP =&gt; SOUS-SEGMENT'!$C$8:$C$154=$C23)*'ANALYSE - ERP =&gt; SOUS-SEGMENT'!$Q$8:$Q$154*'ANALYSE - ERP =&gt; SOUS-SEGMENT'!$BJ$8:$BJ$154),"")</f>
        <v>3.2369042611706082E-2</v>
      </c>
      <c r="BT23" s="604">
        <f>IFERROR(SUMPRODUCT(('ANALYSE - ERP =&gt; SOUS-SEGMENT'!$C$8:$C$154=$C23)*'ANALYSE - ERP =&gt; SOUS-SEGMENT'!$Q$8:$Q$154*'ANALYSE - ERP =&gt; SOUS-SEGMENT'!$BF$8:$BF$154*'ANALYSE - ERP =&gt; SOUS-SEGMENT'!$BW$8:$BW$154)/SUMPRODUCT(('ANALYSE - ERP =&gt; SOUS-SEGMENT'!$C$8:$C$154=$C23)*'ANALYSE - ERP =&gt; SOUS-SEGMENT'!$Q$8:$Q$154*'ANALYSE - ERP =&gt; SOUS-SEGMENT'!$BF$8:$BF$154),"")</f>
        <v>0.3745528607547523</v>
      </c>
      <c r="BU23" s="533">
        <f>IFERROR(SUMPRODUCT(('ANALYSE - ERP =&gt; SOUS-SEGMENT'!$C$8:$C$154=$C23)*'ANALYSE - ERP =&gt; SOUS-SEGMENT'!$Q$8:$Q$154*'ANALYSE - ERP =&gt; SOUS-SEGMENT'!$BF$8:$BF$154*'ANALYSE - ERP =&gt; SOUS-SEGMENT'!$BX$8:$BX$154)/SUMPRODUCT(('ANALYSE - ERP =&gt; SOUS-SEGMENT'!$C$8:$C$154=$C23)*'ANALYSE - ERP =&gt; SOUS-SEGMENT'!$Q$8:$Q$154*'ANALYSE - ERP =&gt; SOUS-SEGMENT'!$BF$8:$BF$154),"")</f>
        <v>0.43465212098511097</v>
      </c>
      <c r="BV23" s="605">
        <f>IFERROR(SUMPRODUCT(('ANALYSE - ERP =&gt; SOUS-SEGMENT'!$C$8:$C$154=$C23)*'ANALYSE - ERP =&gt; SOUS-SEGMENT'!$Q$8:$Q$154*'ANALYSE - ERP =&gt; SOUS-SEGMENT'!$BF$8:$BF$154*'ANALYSE - ERP =&gt; SOUS-SEGMENT'!$BY$8:$BY$154)/SUMPRODUCT(('ANALYSE - ERP =&gt; SOUS-SEGMENT'!$C$8:$C$154=$C23)*'ANALYSE - ERP =&gt; SOUS-SEGMENT'!$Q$8:$Q$154*'ANALYSE - ERP =&gt; SOUS-SEGMENT'!$BF$8:$BF$154),"")</f>
        <v>0.19079501826013673</v>
      </c>
      <c r="BW23" s="604">
        <f>IFERROR(SUMPRODUCT(('ANALYSE - ERP =&gt; SOUS-SEGMENT'!$C$8:$C$154=$C23)*'ANALYSE - ERP =&gt; SOUS-SEGMENT'!$Q$8:$Q$154*'ANALYSE - ERP =&gt; SOUS-SEGMENT'!$BK$8:$BK$154*'ANALYSE - ERP =&gt; SOUS-SEGMENT'!$BZ$8:$BZ$154)/SUMPRODUCT(('ANALYSE - ERP =&gt; SOUS-SEGMENT'!$C$8:$C$154=$C23)*'ANALYSE - ERP =&gt; SOUS-SEGMENT'!$Q$8:$Q$154*'ANALYSE - ERP =&gt; SOUS-SEGMENT'!$BK$8:$BK$154),"")</f>
        <v>0.33435049130082034</v>
      </c>
      <c r="BX23" s="533">
        <f>IFERROR(SUMPRODUCT(('ANALYSE - ERP =&gt; SOUS-SEGMENT'!$C$8:$C$154=$C23)*'ANALYSE - ERP =&gt; SOUS-SEGMENT'!$Q$8:$Q$154*'ANALYSE - ERP =&gt; SOUS-SEGMENT'!$BK$8:$BK$154*'ANALYSE - ERP =&gt; SOUS-SEGMENT'!$CA$8:$CA$154)/SUMPRODUCT(('ANALYSE - ERP =&gt; SOUS-SEGMENT'!$C$8:$C$154=$C23)*'ANALYSE - ERP =&gt; SOUS-SEGMENT'!$Q$8:$Q$154*'ANALYSE - ERP =&gt; SOUS-SEGMENT'!$BK$8:$BK$154),"")</f>
        <v>0.43206526638420628</v>
      </c>
      <c r="BY23" s="605">
        <f>IFERROR(SUMPRODUCT(('ANALYSE - ERP =&gt; SOUS-SEGMENT'!$C$8:$C$154=$C23)*'ANALYSE - ERP =&gt; SOUS-SEGMENT'!$Q$8:$Q$154*'ANALYSE - ERP =&gt; SOUS-SEGMENT'!$BK$8:$BK$154*'ANALYSE - ERP =&gt; SOUS-SEGMENT'!$CB$8:$CB$154)/SUMPRODUCT(('ANALYSE - ERP =&gt; SOUS-SEGMENT'!$C$8:$C$154=$C23)*'ANALYSE - ERP =&gt; SOUS-SEGMENT'!$Q$8:$Q$154*'ANALYSE - ERP =&gt; SOUS-SEGMENT'!$BK$8:$BK$154),"")</f>
        <v>0.23358424231497343</v>
      </c>
      <c r="BZ23" s="602">
        <f>IFERROR(SUMPRODUCT(('ANALYSE - ERP =&gt; SOUS-SEGMENT'!$C$8:$C$154=$C23)*'ANALYSE - ERP =&gt; SOUS-SEGMENT'!$Q$8:$Q$154*'ANALYSE - ERP =&gt; SOUS-SEGMENT'!$BG$8:$BG$154*'ANALYSE - ERP =&gt; SOUS-SEGMENT'!$CC$8:$CC$154)/SUMPRODUCT(('ANALYSE - ERP =&gt; SOUS-SEGMENT'!$C$8:$C$154=$C23)*'ANALYSE - ERP =&gt; SOUS-SEGMENT'!$Q$8:$Q$154*'ANALYSE - ERP =&gt; SOUS-SEGMENT'!$BG$8:$BG$154),"")</f>
        <v>0.17389007802250914</v>
      </c>
      <c r="CA23" s="532">
        <f>IFERROR(SUMPRODUCT(('ANALYSE - ERP =&gt; SOUS-SEGMENT'!$C$8:$C$154=$C23)*'ANALYSE - ERP =&gt; SOUS-SEGMENT'!$Q$8:$Q$154*'ANALYSE - ERP =&gt; SOUS-SEGMENT'!$BG$8:$BG$154*'ANALYSE - ERP =&gt; SOUS-SEGMENT'!$CD$8:$CD$154)/SUMPRODUCT(('ANALYSE - ERP =&gt; SOUS-SEGMENT'!$C$8:$C$154=$C23)*'ANALYSE - ERP =&gt; SOUS-SEGMENT'!$Q$8:$Q$154*'ANALYSE - ERP =&gt; SOUS-SEGMENT'!$BG$8:$BG$154),"")</f>
        <v>0.54018849685838566</v>
      </c>
      <c r="CB23" s="532">
        <f>IFERROR(SUMPRODUCT(('ANALYSE - ERP =&gt; SOUS-SEGMENT'!$C$8:$C$154=$C23)*'ANALYSE - ERP =&gt; SOUS-SEGMENT'!$Q$8:$Q$154*'ANALYSE - ERP =&gt; SOUS-SEGMENT'!$BG$8:$BG$154*'ANALYSE - ERP =&gt; SOUS-SEGMENT'!$CE$8:$CE$154)/SUMPRODUCT(('ANALYSE - ERP =&gt; SOUS-SEGMENT'!$C$8:$C$154=$C23)*'ANALYSE - ERP =&gt; SOUS-SEGMENT'!$Q$8:$Q$154*'ANALYSE - ERP =&gt; SOUS-SEGMENT'!$BG$8:$BG$154),"")</f>
        <v>0.16041911206241802</v>
      </c>
      <c r="CC23" s="603">
        <f>IFERROR(SUMPRODUCT(('ANALYSE - ERP =&gt; SOUS-SEGMENT'!$C$8:$C$154=$C23)*'ANALYSE - ERP =&gt; SOUS-SEGMENT'!$Q$8:$Q$154*'ANALYSE - ERP =&gt; SOUS-SEGMENT'!$BG$8:$BG$154*'ANALYSE - ERP =&gt; SOUS-SEGMENT'!$CF$8:$CF$154)/SUMPRODUCT(('ANALYSE - ERP =&gt; SOUS-SEGMENT'!$C$8:$C$154=$C23)*'ANALYSE - ERP =&gt; SOUS-SEGMENT'!$Q$8:$Q$154*'ANALYSE - ERP =&gt; SOUS-SEGMENT'!$BG$8:$BG$154),"")</f>
        <v>0.12550231305668716</v>
      </c>
      <c r="CD23" s="602">
        <f>IFERROR(SUMPRODUCT(('ANALYSE - ERP =&gt; SOUS-SEGMENT'!$C$8:$C$154=$C23)*'ANALYSE - ERP =&gt; SOUS-SEGMENT'!$Q$8:$Q$154*'ANALYSE - ERP =&gt; SOUS-SEGMENT'!$BL$8:$BL$154*'ANALYSE - ERP =&gt; SOUS-SEGMENT'!$CG$8:$CG$154)/SUMPRODUCT(('ANALYSE - ERP =&gt; SOUS-SEGMENT'!$C$8:$C$154=$C23)*'ANALYSE - ERP =&gt; SOUS-SEGMENT'!$Q$8:$Q$154*'ANALYSE - ERP =&gt; SOUS-SEGMENT'!$BL$8:$BL$154),"")</f>
        <v>0.13780739066861625</v>
      </c>
      <c r="CE23" s="532">
        <f>IFERROR(SUMPRODUCT(('ANALYSE - ERP =&gt; SOUS-SEGMENT'!$C$8:$C$154=$C23)*'ANALYSE - ERP =&gt; SOUS-SEGMENT'!$Q$8:$Q$154*'ANALYSE - ERP =&gt; SOUS-SEGMENT'!$BL$8:$BL$154*'ANALYSE - ERP =&gt; SOUS-SEGMENT'!$CH$8:$CH$154)/SUMPRODUCT(('ANALYSE - ERP =&gt; SOUS-SEGMENT'!$C$8:$C$154=$C23)*'ANALYSE - ERP =&gt; SOUS-SEGMENT'!$Q$8:$Q$154*'ANALYSE - ERP =&gt; SOUS-SEGMENT'!$BL$8:$BL$154),"")</f>
        <v>0.52723913332447159</v>
      </c>
      <c r="CF23" s="532">
        <f>IFERROR(SUMPRODUCT(('ANALYSE - ERP =&gt; SOUS-SEGMENT'!$C$8:$C$154=$C23)*'ANALYSE - ERP =&gt; SOUS-SEGMENT'!$Q$8:$Q$154*'ANALYSE - ERP =&gt; SOUS-SEGMENT'!$BL$8:$BL$154*'ANALYSE - ERP =&gt; SOUS-SEGMENT'!$CI$8:$CI$154)/SUMPRODUCT(('ANALYSE - ERP =&gt; SOUS-SEGMENT'!$C$8:$C$154=$C23)*'ANALYSE - ERP =&gt; SOUS-SEGMENT'!$Q$8:$Q$154*'ANALYSE - ERP =&gt; SOUS-SEGMENT'!$BL$8:$BL$154),"")</f>
        <v>0.19706101289379235</v>
      </c>
      <c r="CG23" s="603">
        <f>IFERROR(SUMPRODUCT(('ANALYSE - ERP =&gt; SOUS-SEGMENT'!$C$8:$C$154=$C23)*'ANALYSE - ERP =&gt; SOUS-SEGMENT'!$Q$8:$Q$154*'ANALYSE - ERP =&gt; SOUS-SEGMENT'!$BL$8:$BL$154*'ANALYSE - ERP =&gt; SOUS-SEGMENT'!$CJ$8:$CJ$154)/SUMPRODUCT(('ANALYSE - ERP =&gt; SOUS-SEGMENT'!$C$8:$C$154=$C23)*'ANALYSE - ERP =&gt; SOUS-SEGMENT'!$Q$8:$Q$154*'ANALYSE - ERP =&gt; SOUS-SEGMENT'!$BL$8:$BL$154),"")</f>
        <v>0.13789246311311978</v>
      </c>
      <c r="CH23" s="604">
        <f>IFERROR(SUMPRODUCT(('ANALYSE - ERP =&gt; SOUS-SEGMENT'!$C$8:$C$154=$C23)*'ANALYSE - ERP =&gt; SOUS-SEGMENT'!$Q$8:$Q$154*'ANALYSE - ERP =&gt; SOUS-SEGMENT'!$BH$8:$BH$154*'ANALYSE - ERP =&gt; SOUS-SEGMENT'!$CK$8:$CK$154)/SUMPRODUCT(('ANALYSE - ERP =&gt; SOUS-SEGMENT'!$C$8:$C$154=$C23)*'ANALYSE - ERP =&gt; SOUS-SEGMENT'!$Q$8:$Q$154*'ANALYSE - ERP =&gt; SOUS-SEGMENT'!$BH$8:$BH$154),"")</f>
        <v>0.55323916220165614</v>
      </c>
      <c r="CI23" s="533">
        <f>IFERROR(SUMPRODUCT(('ANALYSE - ERP =&gt; SOUS-SEGMENT'!$C$8:$C$154=$C23)*'ANALYSE - ERP =&gt; SOUS-SEGMENT'!$Q$8:$Q$154*'ANALYSE - ERP =&gt; SOUS-SEGMENT'!$BH$8:$BH$154*'ANALYSE - ERP =&gt; SOUS-SEGMENT'!$CL$8:$CL$154)/SUMPRODUCT(('ANALYSE - ERP =&gt; SOUS-SEGMENT'!$C$8:$C$154=$C23)*'ANALYSE - ERP =&gt; SOUS-SEGMENT'!$Q$8:$Q$154*'ANALYSE - ERP =&gt; SOUS-SEGMENT'!$BH$8:$BH$154),"")</f>
        <v>0.30306380905991231</v>
      </c>
      <c r="CJ23" s="605">
        <f>IFERROR(SUMPRODUCT(('ANALYSE - ERP =&gt; SOUS-SEGMENT'!$C$8:$C$154=$C23)*'ANALYSE - ERP =&gt; SOUS-SEGMENT'!$Q$8:$Q$154*'ANALYSE - ERP =&gt; SOUS-SEGMENT'!$BH$8:$BH$154*'ANALYSE - ERP =&gt; SOUS-SEGMENT'!$CM$8:$CM$154)/SUMPRODUCT(('ANALYSE - ERP =&gt; SOUS-SEGMENT'!$C$8:$C$154=$C23)*'ANALYSE - ERP =&gt; SOUS-SEGMENT'!$Q$8:$Q$154*'ANALYSE - ERP =&gt; SOUS-SEGMENT'!$BH$8:$BH$154),"")</f>
        <v>0.14369702873843157</v>
      </c>
      <c r="CK23" s="604">
        <f>IFERROR(SUMPRODUCT(('ANALYSE - ERP =&gt; SOUS-SEGMENT'!$C$8:$C$154=$C23)*'ANALYSE - ERP =&gt; SOUS-SEGMENT'!$Q$8:$Q$154*'ANALYSE - ERP =&gt; SOUS-SEGMENT'!$BM$8:$BM$154*'ANALYSE - ERP =&gt; SOUS-SEGMENT'!$CN$8:$CN$154)/SUMPRODUCT(('ANALYSE - ERP =&gt; SOUS-SEGMENT'!$C$8:$C$154=$C23)*'ANALYSE - ERP =&gt; SOUS-SEGMENT'!$Q$8:$Q$154*'ANALYSE - ERP =&gt; SOUS-SEGMENT'!$BM$8:$BM$154),"")</f>
        <v>0.49008905554253573</v>
      </c>
      <c r="CL23" s="533">
        <f>IFERROR(SUMPRODUCT(('ANALYSE - ERP =&gt; SOUS-SEGMENT'!$C$8:$C$154=$C23)*'ANALYSE - ERP =&gt; SOUS-SEGMENT'!$Q$8:$Q$154*'ANALYSE - ERP =&gt; SOUS-SEGMENT'!$BM$8:$BM$154*'ANALYSE - ERP =&gt; SOUS-SEGMENT'!$CO$8:$CO$154)/SUMPRODUCT(('ANALYSE - ERP =&gt; SOUS-SEGMENT'!$C$8:$C$154=$C23)*'ANALYSE - ERP =&gt; SOUS-SEGMENT'!$Q$8:$Q$154*'ANALYSE - ERP =&gt; SOUS-SEGMENT'!$BM$8:$BM$154),"")</f>
        <v>0.33205999531286617</v>
      </c>
      <c r="CM23" s="605">
        <f>IFERROR(SUMPRODUCT(('ANALYSE - ERP =&gt; SOUS-SEGMENT'!$C$8:$C$154=$C23)*'ANALYSE - ERP =&gt; SOUS-SEGMENT'!$Q$8:$Q$154*'ANALYSE - ERP =&gt; SOUS-SEGMENT'!$BM$8:$BM$154*'ANALYSE - ERP =&gt; SOUS-SEGMENT'!$CP$8:$CP$154)/SUMPRODUCT(('ANALYSE - ERP =&gt; SOUS-SEGMENT'!$C$8:$C$154=$C23)*'ANALYSE - ERP =&gt; SOUS-SEGMENT'!$Q$8:$Q$154*'ANALYSE - ERP =&gt; SOUS-SEGMENT'!$BM$8:$BM$154),"")</f>
        <v>0.17785094914459809</v>
      </c>
      <c r="CN23" s="529"/>
      <c r="CO23" s="894">
        <f>IFERROR(SUMPRODUCT(('ANALYSE - ERP =&gt; SOUS-SEGMENT'!$C$8:$C$154=$C23)*'ANALYSE - ERP =&gt; SOUS-SEGMENT'!$DH$8:$DH$154*('ANALYSE - ERP =&gt; SOUS-SEGMENT'!$CR$8:$CR$154&gt;0)*'ANALYSE - ERP =&gt; SOUS-SEGMENT'!$CR$8:$CR$154)/SUMPRODUCT(('ANALYSE - ERP =&gt; SOUS-SEGMENT'!$C$8:$C$154=$C23)*'ANALYSE - ERP =&gt; SOUS-SEGMENT'!$DH$8:$DH$154*('ANALYSE - ERP =&gt; SOUS-SEGMENT'!$CR$8:$CR$154&gt;0)),"")</f>
        <v>12.762388005869189</v>
      </c>
      <c r="CP23" s="895">
        <f>IFERROR(SUMPRODUCT(('ANALYSE - ERP =&gt; SOUS-SEGMENT'!$C$8:$C$154=$C23)*'ANALYSE - ERP =&gt; SOUS-SEGMENT'!$DI$8:$DI$154*('ANALYSE - ERP =&gt; SOUS-SEGMENT'!$CS$8:$CS$154&gt;0)*'ANALYSE - ERP =&gt; SOUS-SEGMENT'!$CS$8:$CS$154)/SUMPRODUCT(('ANALYSE - ERP =&gt; SOUS-SEGMENT'!$C$8:$C$154=$C23)*'ANALYSE - ERP =&gt; SOUS-SEGMENT'!$DI$8:$DI$154*('ANALYSE - ERP =&gt; SOUS-SEGMENT'!$CS$8:$CS$154&gt;0)),"")</f>
        <v>13.70357990079793</v>
      </c>
      <c r="CQ23" s="895">
        <f>IFERROR(SUMPRODUCT(('ANALYSE - ERP =&gt; SOUS-SEGMENT'!$C$8:$C$154=$C23)*'ANALYSE - ERP =&gt; SOUS-SEGMENT'!$DJ$8:$DJ$154*('ANALYSE - ERP =&gt; SOUS-SEGMENT'!$CT$8:$CT$154&gt;0)*'ANALYSE - ERP =&gt; SOUS-SEGMENT'!$CT$8:$CT$154)/SUMPRODUCT(('ANALYSE - ERP =&gt; SOUS-SEGMENT'!$C$8:$C$154=$C23)*'ANALYSE - ERP =&gt; SOUS-SEGMENT'!$DJ$8:$DJ$154*('ANALYSE - ERP =&gt; SOUS-SEGMENT'!$CT$8:$CT$154&gt;0)),"")</f>
        <v>9.7919262274979175</v>
      </c>
      <c r="CR23" s="896">
        <f>IFERROR(SUMPRODUCT(('ANALYSE - ERP =&gt; SOUS-SEGMENT'!$C$8:$C$154=$C23)*'ANALYSE - ERP =&gt; SOUS-SEGMENT'!$DK$8:$DK$154*('ANALYSE - ERP =&gt; SOUS-SEGMENT'!$CU$8:$CU$154&gt;0)*'ANALYSE - ERP =&gt; SOUS-SEGMENT'!$CU$8:$CU$154)/SUMPRODUCT(('ANALYSE - ERP =&gt; SOUS-SEGMENT'!$C$8:$C$154=$C23)*'ANALYSE - ERP =&gt; SOUS-SEGMENT'!$DK$8:$DK$154*('ANALYSE - ERP =&gt; SOUS-SEGMENT'!$CU$8:$CU$154&gt;0)),"")</f>
        <v>11.799019259469832</v>
      </c>
      <c r="CS23" s="894">
        <f>IFERROR(SUMPRODUCT(('ANALYSE - ERP =&gt; SOUS-SEGMENT'!$C$8:$C$154=$C23)*'ANALYSE - ERP =&gt; SOUS-SEGMENT'!$DS$8:$DS$154*('ANALYSE - ERP =&gt; SOUS-SEGMENT'!$CV$8:$CV$154&gt;0)*'ANALYSE - ERP =&gt; SOUS-SEGMENT'!$CV$8:$CV$154)/SUMPRODUCT(('ANALYSE - ERP =&gt; SOUS-SEGMENT'!$C$8:$C$154=$C23)*'ANALYSE - ERP =&gt; SOUS-SEGMENT'!$DS$8:$DS$154*('ANALYSE - ERP =&gt; SOUS-SEGMENT'!$CV$8:$CV$154&gt;0)),"")</f>
        <v>11.643824143405377</v>
      </c>
      <c r="CT23" s="895">
        <f>IFERROR(SUMPRODUCT(('ANALYSE - ERP =&gt; SOUS-SEGMENT'!$C$8:$C$154=$C23)*'ANALYSE - ERP =&gt; SOUS-SEGMENT'!$DT$8:$DT$154*('ANALYSE - ERP =&gt; SOUS-SEGMENT'!$CW$8:$CW$154&gt;0)*'ANALYSE - ERP =&gt; SOUS-SEGMENT'!$CW$8:$CW$154)/SUMPRODUCT(('ANALYSE - ERP =&gt; SOUS-SEGMENT'!$C$8:$C$154=$C23)*'ANALYSE - ERP =&gt; SOUS-SEGMENT'!$DT$8:$DT$154*('ANALYSE - ERP =&gt; SOUS-SEGMENT'!$CW$8:$CW$154&gt;0)),"")</f>
        <v>11</v>
      </c>
      <c r="CU23" s="896">
        <f>IFERROR(SUMPRODUCT(('ANALYSE - ERP =&gt; SOUS-SEGMENT'!$C$8:$C$154=$C23)*'ANALYSE - ERP =&gt; SOUS-SEGMENT'!$DU$8:$DU$154*('ANALYSE - ERP =&gt; SOUS-SEGMENT'!$CX$8:$CX$154&gt;0)*'ANALYSE - ERP =&gt; SOUS-SEGMENT'!$CX$8:$CX$154)/SUMPRODUCT(('ANALYSE - ERP =&gt; SOUS-SEGMENT'!$C$8:$C$154=$C23)*'ANALYSE - ERP =&gt; SOUS-SEGMENT'!$DU$8:$DU$154*('ANALYSE - ERP =&gt; SOUS-SEGMENT'!$CX$8:$CX$154&gt;0)),"")</f>
        <v>8.6831901840490797</v>
      </c>
      <c r="CV23" s="894">
        <f>IFERROR(SUMPRODUCT(('ANALYSE - ERP =&gt; SOUS-SEGMENT'!$C$8:$C$154=$C23)*'ANALYSE - ERP =&gt; SOUS-SEGMENT'!$EB$8:$EB$154*('ANALYSE - ERP =&gt; SOUS-SEGMENT'!$CY$8:$CY$154&gt;0)*'ANALYSE - ERP =&gt; SOUS-SEGMENT'!$CY$8:$CY$154)/SUMPRODUCT(('ANALYSE - ERP =&gt; SOUS-SEGMENT'!$C$8:$C$154=$C23)*'ANALYSE - ERP =&gt; SOUS-SEGMENT'!$EB$8:$EB$154*('ANALYSE - ERP =&gt; SOUS-SEGMENT'!$CY$8:$CY$154&gt;0)),"")</f>
        <v>10.729297782366137</v>
      </c>
      <c r="CW23" s="895">
        <f>IFERROR(SUMPRODUCT(('ANALYSE - ERP =&gt; SOUS-SEGMENT'!$C$8:$C$154=$C23)*'ANALYSE - ERP =&gt; SOUS-SEGMENT'!$EC$8:$EC$154*('ANALYSE - ERP =&gt; SOUS-SEGMENT'!$CZ$8:$CZ$154&gt;0)*'ANALYSE - ERP =&gt; SOUS-SEGMENT'!$CZ$8:$CZ$154)/SUMPRODUCT(('ANALYSE - ERP =&gt; SOUS-SEGMENT'!$C$8:$C$154=$C23)*'ANALYSE - ERP =&gt; SOUS-SEGMENT'!$EC$8:$EC$154*('ANALYSE - ERP =&gt; SOUS-SEGMENT'!$CZ$8:$CZ$154&gt;0)),"")</f>
        <v>12.657246390704987</v>
      </c>
      <c r="CX23" s="895">
        <f>IFERROR(SUMPRODUCT(('ANALYSE - ERP =&gt; SOUS-SEGMENT'!$C$8:$C$154=$C23)*'ANALYSE - ERP =&gt; SOUS-SEGMENT'!$ED$8:$ED$154*('ANALYSE - ERP =&gt; SOUS-SEGMENT'!$DA$8:$DA$154&gt;0)*'ANALYSE - ERP =&gt; SOUS-SEGMENT'!$DA$8:$DA$154)/SUMPRODUCT(('ANALYSE - ERP =&gt; SOUS-SEGMENT'!$C$8:$C$154=$C23)*'ANALYSE - ERP =&gt; SOUS-SEGMENT'!$ED$8:$ED$154*('ANALYSE - ERP =&gt; SOUS-SEGMENT'!$DA$8:$DA$154&gt;0)),"")</f>
        <v>8.7065659500290522</v>
      </c>
      <c r="CY23" s="897">
        <f>IFERROR(SUMPRODUCT(('ANALYSE - ERP =&gt; SOUS-SEGMENT'!$C$8:$C$154=$C23)*'ANALYSE - ERP =&gt; SOUS-SEGMENT'!$EE$8:$EE$154*('ANALYSE - ERP =&gt; SOUS-SEGMENT'!$DB$8:$DB$154&gt;0)*'ANALYSE - ERP =&gt; SOUS-SEGMENT'!$DB$8:$DB$154)/SUMPRODUCT(('ANALYSE - ERP =&gt; SOUS-SEGMENT'!$C$8:$C$154=$C23)*'ANALYSE - ERP =&gt; SOUS-SEGMENT'!$EE$8:$EE$154*('ANALYSE - ERP =&gt; SOUS-SEGMENT'!$DB$8:$DB$154&gt;0)),"")</f>
        <v>10.72494704701125</v>
      </c>
      <c r="CZ23" s="898">
        <f>IFERROR(SUMPRODUCT(('ANALYSE - ERP =&gt; SOUS-SEGMENT'!$C$8:$C$154=$C23)*'ANALYSE - ERP =&gt; SOUS-SEGMENT'!$EM$8:$EM$154*('ANALYSE - ERP =&gt; SOUS-SEGMENT'!$DC$8:$DC$154&gt;0)*'ANALYSE - ERP =&gt; SOUS-SEGMENT'!$DC$8:$DC$154)/SUMPRODUCT(('ANALYSE - ERP =&gt; SOUS-SEGMENT'!$C$8:$C$154=$C23)*'ANALYSE - ERP =&gt; SOUS-SEGMENT'!$EM$8:$EM$154*('ANALYSE - ERP =&gt; SOUS-SEGMENT'!$DC$8:$DC$154&gt;0)),"")</f>
        <v>13.178948758584259</v>
      </c>
      <c r="DA23" s="895">
        <f>IFERROR(SUMPRODUCT(('ANALYSE - ERP =&gt; SOUS-SEGMENT'!$C$8:$C$154=$C23)*'ANALYSE - ERP =&gt; SOUS-SEGMENT'!$EN$8:$EN$154*('ANALYSE - ERP =&gt; SOUS-SEGMENT'!$DD$8:$DD$154&gt;0)*'ANALYSE - ERP =&gt; SOUS-SEGMENT'!$DD$8:$DD$154)/SUMPRODUCT(('ANALYSE - ERP =&gt; SOUS-SEGMENT'!$C$8:$C$154=$C23)*'ANALYSE - ERP =&gt; SOUS-SEGMENT'!$EN$8:$EN$154*('ANALYSE - ERP =&gt; SOUS-SEGMENT'!$DD$8:$DD$154&gt;0)),"")</f>
        <v>13.501518828653627</v>
      </c>
      <c r="DB23" s="897">
        <f>IFERROR(SUMPRODUCT(('ANALYSE - ERP =&gt; SOUS-SEGMENT'!$C$8:$C$154=$C23)*'ANALYSE - ERP =&gt; SOUS-SEGMENT'!$EO$8:$EO$154*('ANALYSE - ERP =&gt; SOUS-SEGMENT'!$DE$8:$DE$154&gt;0)*'ANALYSE - ERP =&gt; SOUS-SEGMENT'!$DE$8:$DE$154)/SUMPRODUCT(('ANALYSE - ERP =&gt; SOUS-SEGMENT'!$C$8:$C$154=$C23)*'ANALYSE - ERP =&gt; SOUS-SEGMENT'!$EO$8:$EO$154*('ANALYSE - ERP =&gt; SOUS-SEGMENT'!$DE$8:$DE$154&gt;0)),"")</f>
        <v>9.7603471068777345</v>
      </c>
      <c r="DC23" s="611" t="s">
        <v>7102</v>
      </c>
      <c r="DD23" s="529"/>
      <c r="DE23" s="559">
        <f t="shared" si="2"/>
        <v>121993</v>
      </c>
      <c r="DF23" s="559">
        <f t="shared" si="3"/>
        <v>120562</v>
      </c>
      <c r="DG23" s="559">
        <f t="shared" si="4"/>
        <v>40774</v>
      </c>
      <c r="DH23" s="559">
        <f t="shared" si="5"/>
        <v>14071</v>
      </c>
      <c r="DI23" s="560" t="s">
        <v>7103</v>
      </c>
      <c r="DJ23" s="559">
        <f t="shared" si="6"/>
        <v>117597.09999999999</v>
      </c>
      <c r="DK23" s="559">
        <f t="shared" si="7"/>
        <v>127552.59999999999</v>
      </c>
      <c r="DL23" s="559">
        <f t="shared" si="8"/>
        <v>53916</v>
      </c>
      <c r="DM23" s="559">
        <f t="shared" si="9"/>
        <v>10004.299999999999</v>
      </c>
      <c r="DN23" s="560" t="s">
        <v>7104</v>
      </c>
      <c r="DO23" s="529"/>
      <c r="DP23" s="559">
        <f t="shared" si="10"/>
        <v>39998.5</v>
      </c>
      <c r="DQ23" s="559">
        <f t="shared" si="11"/>
        <v>46416.5</v>
      </c>
      <c r="DR23" s="559">
        <f t="shared" si="12"/>
        <v>20375</v>
      </c>
      <c r="DS23" s="560" t="s">
        <v>7105</v>
      </c>
      <c r="DT23" s="559">
        <f t="shared" si="13"/>
        <v>37089.5</v>
      </c>
      <c r="DU23" s="559">
        <f t="shared" si="14"/>
        <v>47929</v>
      </c>
      <c r="DV23" s="559">
        <f t="shared" si="15"/>
        <v>25911.500000000004</v>
      </c>
      <c r="DW23" s="560" t="s">
        <v>7106</v>
      </c>
      <c r="DX23" s="529"/>
      <c r="DY23" s="559">
        <f t="shared" si="16"/>
        <v>12592.25</v>
      </c>
      <c r="DZ23" s="559">
        <f t="shared" si="17"/>
        <v>39117.75</v>
      </c>
      <c r="EA23" s="559">
        <f t="shared" si="18"/>
        <v>11616.75</v>
      </c>
      <c r="EB23" s="559">
        <f t="shared" si="19"/>
        <v>9088.25</v>
      </c>
      <c r="EC23" s="560" t="s">
        <v>7107</v>
      </c>
      <c r="ED23" s="559">
        <f t="shared" si="20"/>
        <v>10367.25</v>
      </c>
      <c r="EE23" s="559">
        <f t="shared" si="21"/>
        <v>39664.199999999997</v>
      </c>
      <c r="EF23" s="559">
        <f t="shared" si="22"/>
        <v>14824.9</v>
      </c>
      <c r="EG23" s="559">
        <f t="shared" si="23"/>
        <v>10373.650000000001</v>
      </c>
      <c r="EH23" s="560" t="s">
        <v>7108</v>
      </c>
      <c r="EI23" s="537"/>
      <c r="EJ23" s="559">
        <f t="shared" si="24"/>
        <v>113580</v>
      </c>
      <c r="EK23" s="562">
        <f t="shared" si="25"/>
        <v>62219</v>
      </c>
      <c r="EL23" s="562">
        <f t="shared" si="26"/>
        <v>29501</v>
      </c>
      <c r="EM23" s="560" t="s">
        <v>7109</v>
      </c>
      <c r="EN23" s="559">
        <f t="shared" si="27"/>
        <v>104560.5</v>
      </c>
      <c r="EO23" s="562">
        <f t="shared" si="28"/>
        <v>70845</v>
      </c>
      <c r="EP23" s="562">
        <f t="shared" si="29"/>
        <v>37944.5</v>
      </c>
      <c r="EQ23" s="561" t="s">
        <v>7110</v>
      </c>
      <c r="ER23" s="529"/>
      <c r="ES23" s="740">
        <f t="shared" si="30"/>
        <v>0.8372327755994361</v>
      </c>
      <c r="ET23" s="740">
        <f t="shared" si="31"/>
        <v>0.11445328444840669</v>
      </c>
      <c r="EU23" s="563">
        <f t="shared" si="32"/>
        <v>298889.97348331468</v>
      </c>
      <c r="EV23" s="563">
        <f t="shared" si="33"/>
        <v>230741.39083331468</v>
      </c>
      <c r="EW23" s="563">
        <f t="shared" si="34"/>
        <v>68148.582649999997</v>
      </c>
      <c r="EX23" s="563">
        <f t="shared" si="35"/>
        <v>126601.44027594372</v>
      </c>
      <c r="EY23" s="563">
        <f>SUMPRODUCT(('ANALYSE - ERP =&gt; SOUS-SEGMENT'!$C$8:$C$154=$C23)*'ANALYSE - ERP =&gt; SOUS-SEGMENT'!$Q$8:$Q$154*'ANALYSE - ERP =&gt; SOUS-SEGMENT'!$FB$8:$FB$154)</f>
        <v>97194.285275943723</v>
      </c>
      <c r="EZ23" s="563">
        <f>SUMPRODUCT(('ANALYSE - ERP =&gt; SOUS-SEGMENT'!$C$8:$C$154=$C23)*'ANALYSE - ERP =&gt; SOUS-SEGMENT'!$Q$8:$Q$154*'ANALYSE - ERP =&gt; SOUS-SEGMENT'!$FC$8:$FC$154)</f>
        <v>29407.154999999999</v>
      </c>
      <c r="FA23" s="563">
        <f t="shared" si="36"/>
        <v>51206.753438588377</v>
      </c>
      <c r="FB23" s="563">
        <f>SUMPRODUCT(('ANALYSE - ERP =&gt; SOUS-SEGMENT'!$C$8:$C$154=$C23)*'ANALYSE - ERP =&gt; SOUS-SEGMENT'!$Q$8:$Q$154*'ANALYSE - ERP =&gt; SOUS-SEGMENT'!$FE$8:$FE$154)</f>
        <v>40259.543738588378</v>
      </c>
      <c r="FC23" s="563">
        <f>SUMPRODUCT(('ANALYSE - ERP =&gt; SOUS-SEGMENT'!$C$8:$C$154=$C23)*'ANALYSE - ERP =&gt; SOUS-SEGMENT'!$Q$8:$Q$154*'ANALYSE - ERP =&gt; SOUS-SEGMENT'!$FF$8:$FF$154)</f>
        <v>10947.209699999999</v>
      </c>
      <c r="FD23" s="563">
        <f t="shared" si="37"/>
        <v>33567.243550753687</v>
      </c>
      <c r="FE23" s="563">
        <f>SUMPRODUCT(('ANALYSE - ERP =&gt; SOUS-SEGMENT'!$C$8:$C$154=$C23)*'ANALYSE - ERP =&gt; SOUS-SEGMENT'!$Q$8:$Q$154*'ANALYSE - ERP =&gt; SOUS-SEGMENT'!$FH$8:$FH$154)</f>
        <v>26174.342600753684</v>
      </c>
      <c r="FF23" s="563">
        <f>SUMPRODUCT(('ANALYSE - ERP =&gt; SOUS-SEGMENT'!$C$8:$C$154=$C23)*'ANALYSE - ERP =&gt; SOUS-SEGMENT'!$Q$8:$Q$154*'ANALYSE - ERP =&gt; SOUS-SEGMENT'!$FI$8:$FI$154)</f>
        <v>7392.9009499999993</v>
      </c>
      <c r="FG23" s="563">
        <f t="shared" si="38"/>
        <v>87514.536218028908</v>
      </c>
      <c r="FH23" s="563">
        <f>SUMPRODUCT(('ANALYSE - ERP =&gt; SOUS-SEGMENT'!$C$8:$C$154=$C23)*'ANALYSE - ERP =&gt; SOUS-SEGMENT'!$Q$8:$Q$154*'ANALYSE - ERP =&gt; SOUS-SEGMENT'!$FK$8:$FK$154)</f>
        <v>67113.219218028913</v>
      </c>
      <c r="FI23" s="563">
        <f>SUMPRODUCT(('ANALYSE - ERP =&gt; SOUS-SEGMENT'!$C$8:$C$154=$C23)*'ANALYSE - ERP =&gt; SOUS-SEGMENT'!$Q$8:$Q$154*'ANALYSE - ERP =&gt; SOUS-SEGMENT'!$FL$8:$FL$154)</f>
        <v>20401.316999999999</v>
      </c>
      <c r="FJ23" s="529"/>
      <c r="FK23" s="564" t="s">
        <v>2649</v>
      </c>
      <c r="FL23" s="740">
        <f>IFERROR(SUMPRODUCT(('ANALYSE - ERP =&gt; SOUS-SEGMENT'!$C$8:$C$154=$C23)*'ANALYSE - ERP =&gt; SOUS-SEGMENT'!$Q$8:$Q$154*'ANALYSE - ERP =&gt; SOUS-SEGMENT'!$AF$8:$AF$154*'ANALYSE - ERP =&gt; SOUS-SEGMENT'!$FO$8:$FO$154)/SUMPRODUCT(('ANALYSE - ERP =&gt; SOUS-SEGMENT'!$C$8:$C$154=$C23)*'ANALYSE - ERP =&gt; SOUS-SEGMENT'!$Q$8:$Q$154*'ANALYSE - ERP =&gt; SOUS-SEGMENT'!$AF$8:$AF$154),"")</f>
        <v>6.8066510903426788E-2</v>
      </c>
      <c r="FM23" s="741">
        <f>IFERROR(SUMPRODUCT(('ANALYSE - ERP =&gt; SOUS-SEGMENT'!$C$8:$C$154=$C23)*'ANALYSE - ERP =&gt; SOUS-SEGMENT'!$Q$8:$Q$154*'ANALYSE - ERP =&gt; SOUS-SEGMENT'!$AF$8:$AF$154*'ANALYSE - ERP =&gt; SOUS-SEGMENT'!$FP$8:$FP$154)/SUMPRODUCT(('ANALYSE - ERP =&gt; SOUS-SEGMENT'!$C$8:$C$154=$C23)*'ANALYSE - ERP =&gt; SOUS-SEGMENT'!$Q$8:$Q$154*'ANALYSE - ERP =&gt; SOUS-SEGMENT'!$AF$8:$AF$154),"")</f>
        <v>0.82563037383177573</v>
      </c>
      <c r="FN23" s="565" t="s">
        <v>4109</v>
      </c>
      <c r="FO23" s="529"/>
      <c r="FP23" s="867">
        <f>IFERROR(SUMPRODUCT(('ANALYSE - ERP =&gt; SOUS-SEGMENT'!$C$8:$C$154=$C23)*'ANALYSE - ERP =&gt; SOUS-SEGMENT'!$Q$8:$Q$154*'ANALYSE - ERP =&gt; SOUS-SEGMENT'!$EX$8:$EX$154*'ANALYSE - ERP =&gt; SOUS-SEGMENT'!$FS$8:$FS$154)/SUMPRODUCT(('ANALYSE - ERP =&gt; SOUS-SEGMENT'!$C$8:$C$154=$C23)*'ANALYSE - ERP =&gt; SOUS-SEGMENT'!$Q$8:$Q$154*'ANALYSE - ERP =&gt; SOUS-SEGMENT'!$EX$8:$EX$154),"")</f>
        <v>3.3049862540659118</v>
      </c>
      <c r="FQ23" s="566">
        <f>RANK($FP23,$FP$8:$FP$143,0)+COUNTIF($FP$8:$FP23,$FP23)-1</f>
        <v>19</v>
      </c>
      <c r="FR23" s="867">
        <f>IFERROR(SUMPRODUCT(('ANALYSE - ERP =&gt; SOUS-SEGMENT'!$C$8:$C$154=$C23)*'ANALYSE - ERP =&gt; SOUS-SEGMENT'!$Q$8:$Q$154*'ANALYSE - ERP =&gt; SOUS-SEGMENT'!$EY$8:$EY$154*'ANALYSE - ERP =&gt; SOUS-SEGMENT'!$FU$8:$FU$154)/SUMPRODUCT(('ANALYSE - ERP =&gt; SOUS-SEGMENT'!$C$8:$C$154=$C23)*'ANALYSE - ERP =&gt; SOUS-SEGMENT'!$Q$8:$Q$154*'ANALYSE - ERP =&gt; SOUS-SEGMENT'!$EY$8:$EY$154),"")</f>
        <v>3.9330446167923911</v>
      </c>
      <c r="FS23" s="566">
        <f>RANK($FR23,$FR$8:$FR$143,0)+COUNTIF($FR$8:$FR23,$FR23)-1</f>
        <v>22</v>
      </c>
      <c r="FT23" s="867">
        <f>IFERROR(SUMPRODUCT(('ANALYSE - ERP =&gt; SOUS-SEGMENT'!$C$8:$C$154=$C23)*'ANALYSE - ERP =&gt; SOUS-SEGMENT'!$Q$8:$Q$154*'ANALYSE - ERP =&gt; SOUS-SEGMENT'!$EZ$8:$EZ$154*'ANALYSE - ERP =&gt; SOUS-SEGMENT'!$FW$8:$FW$154)/SUMPRODUCT(('ANALYSE - ERP =&gt; SOUS-SEGMENT'!$C$8:$C$154=$C23)*'ANALYSE - ERP =&gt; SOUS-SEGMENT'!$Q$8:$Q$154*'ANALYSE - ERP =&gt; SOUS-SEGMENT'!$EZ$8:$EZ$154),"")</f>
        <v>2.3239723674575936</v>
      </c>
      <c r="FU23" s="566">
        <f>RANK($FT23,$FT$8:$FT$143,0)+COUNTIF($FT$8:$FT23,$FT23)-1</f>
        <v>17</v>
      </c>
      <c r="FV23" s="529"/>
      <c r="FW23" s="567" t="s">
        <v>7111</v>
      </c>
      <c r="FX23" s="567" t="s">
        <v>7112</v>
      </c>
      <c r="FY23" s="567" t="s">
        <v>7113</v>
      </c>
      <c r="FZ23" s="567" t="s">
        <v>7114</v>
      </c>
      <c r="GA23" s="567" t="s">
        <v>7115</v>
      </c>
      <c r="GB23" s="567" t="s">
        <v>7116</v>
      </c>
      <c r="GC23" s="567" t="s">
        <v>6759</v>
      </c>
      <c r="GD23" s="529"/>
      <c r="GE23" s="563">
        <f>SUMPRODUCT(('ANALYSE - ERP =&gt; SOUS-SEGMENT'!$C$8:$C$154=$C23)*'ANALYSE - ERP =&gt; SOUS-SEGMENT'!$Q$8:$Q$154*'ANALYSE - ERP =&gt; SOUS-SEGMENT'!$GH$8:$GH$154)</f>
        <v>50458.179721525637</v>
      </c>
      <c r="GF23" s="563">
        <f>SUMPRODUCT(('ANALYSE - ERP =&gt; SOUS-SEGMENT'!$C$8:$C$154=$C23)*'ANALYSE - ERP =&gt; SOUS-SEGMENT'!$Q$8:$Q$154*'ANALYSE - ERP =&gt; SOUS-SEGMENT'!$GI$8:$GI$154)</f>
        <v>39359.478041525639</v>
      </c>
      <c r="GG23" s="563">
        <f>SUMPRODUCT(('ANALYSE - ERP =&gt; SOUS-SEGMENT'!$C$8:$C$154=$C23)*'ANALYSE - ERP =&gt; SOUS-SEGMENT'!$Q$8:$Q$154*'ANALYSE - ERP =&gt; SOUS-SEGMENT'!$GJ$8:$GJ$154)</f>
        <v>11098.70168</v>
      </c>
      <c r="GH23" s="563">
        <f>SUMPRODUCT(('ANALYSE - ERP =&gt; SOUS-SEGMENT'!$C$8:$C$154=$C23)*'ANALYSE - ERP =&gt; SOUS-SEGMENT'!$Q$8:$Q$154*'ANALYSE - ERP =&gt; SOUS-SEGMENT'!$GK$8:$GK$154)</f>
        <v>48907.993583736272</v>
      </c>
      <c r="GI23" s="563">
        <f>SUMPRODUCT(('ANALYSE - ERP =&gt; SOUS-SEGMENT'!$C$8:$C$154=$C23)*'ANALYSE - ERP =&gt; SOUS-SEGMENT'!$Q$8:$Q$154*'ANALYSE - ERP =&gt; SOUS-SEGMENT'!$GL$8:$GL$154)</f>
        <v>36648.383033736267</v>
      </c>
      <c r="GJ23" s="563">
        <f>SUMPRODUCT(('ANALYSE - ERP =&gt; SOUS-SEGMENT'!$C$8:$C$154=$C23)*'ANALYSE - ERP =&gt; SOUS-SEGMENT'!$Q$8:$Q$154*'ANALYSE - ERP =&gt; SOUS-SEGMENT'!$GM$8:$GM$154)</f>
        <v>12259.610550000001</v>
      </c>
      <c r="GK23" s="563">
        <f>SUMPRODUCT(('ANALYSE - ERP =&gt; SOUS-SEGMENT'!$C$8:$C$154=$C23)*'ANALYSE - ERP =&gt; SOUS-SEGMENT'!$Q$8:$Q$154*'ANALYSE - ERP =&gt; SOUS-SEGMENT'!$GN$8:$GN$154)</f>
        <v>21458.898599666667</v>
      </c>
      <c r="GL23" s="563">
        <f>SUMPRODUCT(('ANALYSE - ERP =&gt; SOUS-SEGMENT'!$C$8:$C$154=$C23)*'ANALYSE - ERP =&gt; SOUS-SEGMENT'!$Q$8:$Q$154*'ANALYSE - ERP =&gt; SOUS-SEGMENT'!$GO$8:$GO$154)</f>
        <v>16385.674769666664</v>
      </c>
      <c r="GM23" s="563">
        <f>SUMPRODUCT(('ANALYSE - ERP =&gt; SOUS-SEGMENT'!$C$8:$C$154=$C23)*'ANALYSE - ERP =&gt; SOUS-SEGMENT'!$Q$8:$Q$154*'ANALYSE - ERP =&gt; SOUS-SEGMENT'!$GP$8:$GP$154)</f>
        <v>5073.2238299999999</v>
      </c>
      <c r="GN23" s="563">
        <f>SUMPRODUCT(('ANALYSE - ERP =&gt; SOUS-SEGMENT'!$C$8:$C$154=$C23)*'ANALYSE - ERP =&gt; SOUS-SEGMENT'!$Q$8:$Q$154*'ANALYSE - ERP =&gt; SOUS-SEGMENT'!$GQ$8:$GQ$154)</f>
        <v>5776.3683710151527</v>
      </c>
      <c r="GO23" s="563">
        <f>SUMPRODUCT(('ANALYSE - ERP =&gt; SOUS-SEGMENT'!$C$8:$C$154=$C23)*'ANALYSE - ERP =&gt; SOUS-SEGMENT'!$Q$8:$Q$154*'ANALYSE - ERP =&gt; SOUS-SEGMENT'!$GR$8:$GR$154)</f>
        <v>4800.7494310151515</v>
      </c>
      <c r="GP23" s="563">
        <f>SUMPRODUCT(('ANALYSE - ERP =&gt; SOUS-SEGMENT'!$C$8:$C$154=$C23)*'ANALYSE - ERP =&gt; SOUS-SEGMENT'!$Q$8:$Q$154*'ANALYSE - ERP =&gt; SOUS-SEGMENT'!$GS$8:$GS$154)</f>
        <v>975.61894000000007</v>
      </c>
      <c r="GQ23" s="563">
        <f>SUMPRODUCT(('ANALYSE - ERP =&gt; SOUS-SEGMENT'!$C$8:$C$154=$C23)*'ANALYSE - ERP =&gt; SOUS-SEGMENT'!$Q$8:$Q$154*'ANALYSE - ERP =&gt; SOUS-SEGMENT'!$GT$8:$GT$154)</f>
        <v>17695.82940751515</v>
      </c>
      <c r="GR23" s="563">
        <f>SUMPRODUCT(('ANALYSE - ERP =&gt; SOUS-SEGMENT'!$C$8:$C$154=$C23)*'ANALYSE - ERP =&gt; SOUS-SEGMENT'!$Q$8:$Q$154*'ANALYSE - ERP =&gt; SOUS-SEGMENT'!$GU$8:$GU$154)</f>
        <v>14021.123292515153</v>
      </c>
      <c r="GS23" s="563">
        <f>SUMPRODUCT(('ANALYSE - ERP =&gt; SOUS-SEGMENT'!$C$8:$C$154=$C23)*'ANALYSE - ERP =&gt; SOUS-SEGMENT'!$Q$8:$Q$154*'ANALYSE - ERP =&gt; SOUS-SEGMENT'!$GV$8:$GV$154)</f>
        <v>3674.706115</v>
      </c>
      <c r="GT23" s="563">
        <f>SUMPRODUCT(('ANALYSE - ERP =&gt; SOUS-SEGMENT'!$C$8:$C$154=$C23)*'ANALYSE - ERP =&gt; SOUS-SEGMENT'!$Q$8:$Q$154*'ANALYSE - ERP =&gt; SOUS-SEGMENT'!$GW$8:$GW$154)</f>
        <v>21655.775989545458</v>
      </c>
      <c r="GU23" s="563">
        <f>SUMPRODUCT(('ANALYSE - ERP =&gt; SOUS-SEGMENT'!$C$8:$C$154=$C23)*'ANALYSE - ERP =&gt; SOUS-SEGMENT'!$Q$8:$Q$154*'ANALYSE - ERP =&gt; SOUS-SEGMENT'!$GX$8:$GX$154)</f>
        <v>16920.593451545454</v>
      </c>
      <c r="GV23" s="563">
        <f>SUMPRODUCT(('ANALYSE - ERP =&gt; SOUS-SEGMENT'!$C$8:$C$154=$C23)*'ANALYSE - ERP =&gt; SOUS-SEGMENT'!$Q$8:$Q$154*'ANALYSE - ERP =&gt; SOUS-SEGMENT'!$GY$8:$GY$154)</f>
        <v>4735.1825379999991</v>
      </c>
      <c r="GW23" s="563">
        <f>SUMPRODUCT(('ANALYSE - ERP =&gt; SOUS-SEGMENT'!$C$8:$C$154=$C23)*'ANALYSE - ERP =&gt; SOUS-SEGMENT'!$Q$8:$Q$154*'ANALYSE - ERP =&gt; SOUS-SEGMENT'!$GZ$8:$GZ$154)</f>
        <v>11855.148041527778</v>
      </c>
      <c r="GX23" s="563">
        <f>SUMPRODUCT(('ANALYSE - ERP =&gt; SOUS-SEGMENT'!$C$8:$C$154=$C23)*'ANALYSE - ERP =&gt; SOUS-SEGMENT'!$Q$8:$Q$154*'ANALYSE - ERP =&gt; SOUS-SEGMENT'!$HA$8:$HA$154)</f>
        <v>9317.8269945277789</v>
      </c>
      <c r="GY23" s="563">
        <f>SUMPRODUCT(('ANALYSE - ERP =&gt; SOUS-SEGMENT'!$C$8:$C$154=$C23)*'ANALYSE - ERP =&gt; SOUS-SEGMENT'!$Q$8:$Q$154*'ANALYSE - ERP =&gt; SOUS-SEGMENT'!$HB$8:$HB$154)</f>
        <v>2537.3210469999999</v>
      </c>
      <c r="GZ23" s="563">
        <f>SUMPRODUCT(('ANALYSE - ERP =&gt; SOUS-SEGMENT'!$C$8:$C$154=$C23)*'ANALYSE - ERP =&gt; SOUS-SEGMENT'!$Q$8:$Q$154*'ANALYSE - ERP =&gt; SOUS-SEGMENT'!$HC$8:$HC$154)</f>
        <v>5685.2718974090903</v>
      </c>
      <c r="HA23" s="563">
        <f>SUMPRODUCT(('ANALYSE - ERP =&gt; SOUS-SEGMENT'!$C$8:$C$154=$C23)*'ANALYSE - ERP =&gt; SOUS-SEGMENT'!$Q$8:$Q$154*'ANALYSE - ERP =&gt; SOUS-SEGMENT'!$HD$8:$HD$154)</f>
        <v>4692.8706494090911</v>
      </c>
      <c r="HB23" s="563">
        <f>SUMPRODUCT(('ANALYSE - ERP =&gt; SOUS-SEGMENT'!$C$8:$C$154=$C23)*'ANALYSE - ERP =&gt; SOUS-SEGMENT'!$Q$8:$Q$154*'ANALYSE - ERP =&gt; SOUS-SEGMENT'!$HE$8:$HE$154)</f>
        <v>992.40124800000001</v>
      </c>
      <c r="HC23" s="563">
        <f>SUMPRODUCT(('ANALYSE - ERP =&gt; SOUS-SEGMENT'!$C$8:$C$154=$C23)*'ANALYSE - ERP =&gt; SOUS-SEGMENT'!$Q$8:$Q$154*'ANALYSE - ERP =&gt; SOUS-SEGMENT'!$HF$8:$HF$154)</f>
        <v>16760.804124509614</v>
      </c>
      <c r="HD23" s="563">
        <f>SUMPRODUCT(('ANALYSE - ERP =&gt; SOUS-SEGMENT'!$C$8:$C$154=$C23)*'ANALYSE - ERP =&gt; SOUS-SEGMENT'!$Q$8:$Q$154*'ANALYSE - ERP =&gt; SOUS-SEGMENT'!$HG$8:$HG$154)</f>
        <v>12824.723507009616</v>
      </c>
      <c r="HE23" s="563">
        <f>SUMPRODUCT(('ANALYSE - ERP =&gt; SOUS-SEGMENT'!$C$8:$C$154=$C23)*'ANALYSE - ERP =&gt; SOUS-SEGMENT'!$Q$8:$Q$154*'ANALYSE - ERP =&gt; SOUS-SEGMENT'!$HH$8:$HH$154)</f>
        <v>3936.0806174999993</v>
      </c>
      <c r="HF23" s="563">
        <f>SUMPRODUCT(('ANALYSE - ERP =&gt; SOUS-SEGMENT'!$C$8:$C$154=$C23)*'ANALYSE - ERP =&gt; SOUS-SEGMENT'!$Q$8:$Q$154*'ANALYSE - ERP =&gt; SOUS-SEGMENT'!$HI$8:$HI$154)</f>
        <v>6727.3555887986113</v>
      </c>
      <c r="HG23" s="563">
        <f>SUMPRODUCT(('ANALYSE - ERP =&gt; SOUS-SEGMENT'!$C$8:$C$154=$C23)*'ANALYSE - ERP =&gt; SOUS-SEGMENT'!$Q$8:$Q$154*'ANALYSE - ERP =&gt; SOUS-SEGMENT'!$HJ$8:$HJ$154)</f>
        <v>5277.5436377986107</v>
      </c>
      <c r="HH23" s="563">
        <f>SUMPRODUCT(('ANALYSE - ERP =&gt; SOUS-SEGMENT'!$C$8:$C$154=$C23)*'ANALYSE - ERP =&gt; SOUS-SEGMENT'!$Q$8:$Q$154*'ANALYSE - ERP =&gt; SOUS-SEGMENT'!$HK$8:$HK$154)</f>
        <v>1449.8119510000001</v>
      </c>
      <c r="HI23" s="563">
        <f>SUMPRODUCT(('ANALYSE - ERP =&gt; SOUS-SEGMENT'!$C$8:$C$154=$C23)*'ANALYSE - ERP =&gt; SOUS-SEGMENT'!$Q$8:$Q$154*'ANALYSE - ERP =&gt; SOUS-SEGMENT'!$HL$8:$HL$154)</f>
        <v>4393.811940036363</v>
      </c>
      <c r="HJ23" s="563">
        <f>SUMPRODUCT(('ANALYSE - ERP =&gt; SOUS-SEGMENT'!$C$8:$C$154=$C23)*'ANALYSE - ERP =&gt; SOUS-SEGMENT'!$Q$8:$Q$154*'ANALYSE - ERP =&gt; SOUS-SEGMENT'!$HM$8:$HM$154)</f>
        <v>3379.2048065363633</v>
      </c>
      <c r="HK23" s="563">
        <f>SUMPRODUCT(('ANALYSE - ERP =&gt; SOUS-SEGMENT'!$C$8:$C$154=$C23)*'ANALYSE - ERP =&gt; SOUS-SEGMENT'!$Q$8:$Q$154*'ANALYSE - ERP =&gt; SOUS-SEGMENT'!$HN$8:$HN$154)</f>
        <v>1014.6071335</v>
      </c>
      <c r="HL23" s="563">
        <f>SUMPRODUCT(('ANALYSE - ERP =&gt; SOUS-SEGMENT'!$C$8:$C$154=$C23)*'ANALYSE - ERP =&gt; SOUS-SEGMENT'!$Q$8:$Q$154*'ANALYSE - ERP =&gt; SOUS-SEGMENT'!$HO$8:$HO$154)</f>
        <v>45988.961986493501</v>
      </c>
      <c r="HM23" s="563">
        <f>SUMPRODUCT(('ANALYSE - ERP =&gt; SOUS-SEGMENT'!$C$8:$C$154=$C23)*'ANALYSE - ERP =&gt; SOUS-SEGMENT'!$Q$8:$Q$154*'ANALYSE - ERP =&gt; SOUS-SEGMENT'!$HP$8:$HP$154)</f>
        <v>35988.755546493499</v>
      </c>
      <c r="HN23" s="563">
        <f>SUMPRODUCT(('ANALYSE - ERP =&gt; SOUS-SEGMENT'!$C$8:$C$154=$C23)*'ANALYSE - ERP =&gt; SOUS-SEGMENT'!$Q$8:$Q$154*'ANALYSE - ERP =&gt; SOUS-SEGMENT'!$HQ$8:$HQ$154)</f>
        <v>10000.20644</v>
      </c>
      <c r="HO23" s="563">
        <f>SUMPRODUCT(('ANALYSE - ERP =&gt; SOUS-SEGMENT'!$C$8:$C$154=$C23)*'ANALYSE - ERP =&gt; SOUS-SEGMENT'!$Q$8:$Q$154*'ANALYSE - ERP =&gt; SOUS-SEGMENT'!$HR$8:$HR$154)</f>
        <v>25927.960720979852</v>
      </c>
      <c r="HP23" s="563">
        <f>SUMPRODUCT(('ANALYSE - ERP =&gt; SOUS-SEGMENT'!$C$8:$C$154=$C23)*'ANALYSE - ERP =&gt; SOUS-SEGMENT'!$Q$8:$Q$154*'ANALYSE - ERP =&gt; SOUS-SEGMENT'!$HS$8:$HS$154)</f>
        <v>19206.148520979852</v>
      </c>
      <c r="HQ23" s="563">
        <f>SUMPRODUCT(('ANALYSE - ERP =&gt; SOUS-SEGMENT'!$C$8:$C$154=$C23)*'ANALYSE - ERP =&gt; SOUS-SEGMENT'!$Q$8:$Q$154*'ANALYSE - ERP =&gt; SOUS-SEGMENT'!$HT$8:$HT$154)</f>
        <v>6721.8122000000012</v>
      </c>
      <c r="HR23" s="563">
        <f>SUMPRODUCT(('ANALYSE - ERP =&gt; SOUS-SEGMENT'!$C$8:$C$154=$C23)*'ANALYSE - ERP =&gt; SOUS-SEGMENT'!$Q$8:$Q$154*'ANALYSE - ERP =&gt; SOUS-SEGMENT'!$HU$8:$HU$154)</f>
        <v>15597.613510555559</v>
      </c>
      <c r="HS23" s="563">
        <f>SUMPRODUCT(('ANALYSE - ERP =&gt; SOUS-SEGMENT'!$C$8:$C$154=$C23)*'ANALYSE - ERP =&gt; SOUS-SEGMENT'!$Q$8:$Q$154*'ANALYSE - ERP =&gt; SOUS-SEGMENT'!$HV$8:$HV$154)</f>
        <v>11918.315150555558</v>
      </c>
      <c r="HT23" s="563">
        <f>SUMPRODUCT(('ANALYSE - ERP =&gt; SOUS-SEGMENT'!$C$8:$C$154=$C23)*'ANALYSE - ERP =&gt; SOUS-SEGMENT'!$Q$8:$Q$154*'ANALYSE - ERP =&gt; SOUS-SEGMENT'!$HW$8:$HW$154)</f>
        <v>3679.2983600000002</v>
      </c>
      <c r="HU23" s="544"/>
      <c r="HV23" s="568">
        <f t="shared" si="40"/>
        <v>184912.50000000003</v>
      </c>
      <c r="HW23" s="568">
        <f>SUMPRODUCT(('ANALYSE - ERP =&gt; SOUS-SEGMENT'!$C$8:$C$154=$C23)*'ANALYSE - ERP =&gt; SOUS-SEGMENT'!$Q$8:$Q$154*'ANALYSE - ERP =&gt; SOUS-SEGMENT'!$HZ$8:$HZ$154)</f>
        <v>45582.85</v>
      </c>
      <c r="HX23" s="568">
        <f>SUMPRODUCT(('ANALYSE - ERP =&gt; SOUS-SEGMENT'!$C$8:$C$154=$C23)*'ANALYSE - ERP =&gt; SOUS-SEGMENT'!$Q$8:$Q$154*'ANALYSE - ERP =&gt; SOUS-SEGMENT'!$IA$8:$IA$154)</f>
        <v>317244.223</v>
      </c>
      <c r="HY23" s="568">
        <f>SUMPRODUCT(('ANALYSE - ERP =&gt; SOUS-SEGMENT'!$C$8:$C$154=$C23)*'ANALYSE - ERP =&gt; SOUS-SEGMENT'!$Q$8:$Q$154*'ANALYSE - ERP =&gt; SOUS-SEGMENT'!$IB$8:$IB$154)</f>
        <v>284001.92200000002</v>
      </c>
      <c r="HZ23" s="568">
        <f>SUMPRODUCT(('ANALYSE - ERP =&gt; SOUS-SEGMENT'!$C$8:$C$154=$C23)*'ANALYSE - ERP =&gt; SOUS-SEGMENT'!$Q$8:$Q$154*'ANALYSE - ERP =&gt; SOUS-SEGMENT'!$IC$8:$IC$154)</f>
        <v>33054.917000000001</v>
      </c>
      <c r="IA23" s="568">
        <f>SUMPRODUCT(('ANALYSE - ERP =&gt; SOUS-SEGMENT'!$C$8:$C$154=$C23)*'ANALYSE - ERP =&gt; SOUS-SEGMENT'!$Q$8:$Q$154*'ANALYSE - ERP =&gt; SOUS-SEGMENT'!$ID$8:$ID$154)</f>
        <v>188.048</v>
      </c>
      <c r="IB23" s="568">
        <f>SUMPRODUCT(('ANALYSE - ERP =&gt; SOUS-SEGMENT'!$C$8:$C$154=$C23)*'ANALYSE - ERP =&gt; SOUS-SEGMENT'!$Q$8:$Q$154*'ANALYSE - ERP =&gt; SOUS-SEGMENT'!$IE$8:$IE$154)</f>
        <v>230140.05385004199</v>
      </c>
      <c r="IC23" s="568">
        <f>SUMPRODUCT(('ANALYSE - ERP =&gt; SOUS-SEGMENT'!$C$8:$C$154=$C23)*'ANALYSE - ERP =&gt; SOUS-SEGMENT'!$Q$8:$Q$154*'ANALYSE - ERP =&gt; SOUS-SEGMENT'!$IF$8:$IF$154)</f>
        <v>7962.5021321203922</v>
      </c>
      <c r="ID23" s="568">
        <f>SUMPRODUCT(('ANALYSE - ERP =&gt; SOUS-SEGMENT'!$C$8:$C$154=$C23)*'ANALYSE - ERP =&gt; SOUS-SEGMENT'!$Q$8:$Q$154*'ANALYSE - ERP =&gt; SOUS-SEGMENT'!$IG$8:$IG$154)</f>
        <v>99451.727276746024</v>
      </c>
      <c r="IE23" s="568">
        <f>SUMPRODUCT(('ANALYSE - ERP =&gt; SOUS-SEGMENT'!$C$8:$C$154=$C23)*'ANALYSE - ERP =&gt; SOUS-SEGMENT'!$Q$8:$Q$154*'ANALYSE - ERP =&gt; SOUS-SEGMENT'!$IH$8:$IH$154)</f>
        <v>107299.08683216153</v>
      </c>
      <c r="IF23" s="568">
        <f>SUMPRODUCT(('ANALYSE - ERP =&gt; SOUS-SEGMENT'!$C$8:$C$154=$C23)*'ANALYSE - ERP =&gt; SOUS-SEGMENT'!$Q$8:$Q$154*'ANALYSE - ERP =&gt; SOUS-SEGMENT'!$II$8:$II$154)</f>
        <v>14482.418139350244</v>
      </c>
      <c r="IG23" s="568">
        <f>SUMPRODUCT(('ANALYSE - ERP =&gt; SOUS-SEGMENT'!$C$8:$C$154=$C23)*'ANALYSE - ERP =&gt; SOUS-SEGMENT'!$Q$8:$Q$154*'ANALYSE - ERP =&gt; SOUS-SEGMENT'!$IJ$8:$IJ$154)</f>
        <v>944.31946966379633</v>
      </c>
      <c r="IH23" s="868"/>
      <c r="II23" s="569" t="s">
        <v>2589</v>
      </c>
      <c r="IJ23" s="570" t="s">
        <v>6760</v>
      </c>
      <c r="IK23" s="529"/>
      <c r="IL23" s="747">
        <f>IFERROR(SUMPRODUCT(('ANALYSE - ERP =&gt; SOUS-SEGMENT'!$C$8:$C$154=$C23)*'ANALYSE - ERP =&gt; SOUS-SEGMENT'!$Q$8:$Q$154*'ANALYSE - ERP =&gt; SOUS-SEGMENT'!$BE$8:$BE$154*'ANALYSE - ERP =&gt; SOUS-SEGMENT'!$IO$8:$IO$154)/SUMPRODUCT(('ANALYSE - ERP =&gt; SOUS-SEGMENT'!$C$8:$C$154=$C23)*'ANALYSE - ERP =&gt; SOUS-SEGMENT'!$Q$8:$Q$154*'ANALYSE - ERP =&gt; SOUS-SEGMENT'!$BE$8:$BE$154),0)</f>
        <v>5.3296334902488231E-2</v>
      </c>
      <c r="IM23" s="748">
        <f>IFERROR(SUMPRODUCT(('ANALYSE - ERP =&gt; SOUS-SEGMENT'!$C$8:$C$154=$C23)*'ANALYSE - ERP =&gt; SOUS-SEGMENT'!$Q$8:$Q$154*'ANALYSE - ERP =&gt; SOUS-SEGMENT'!$BE$8:$BE$154*'ANALYSE - ERP =&gt; SOUS-SEGMENT'!$IP$8:$IP$154)/SUMPRODUCT(('ANALYSE - ERP =&gt; SOUS-SEGMENT'!$C$8:$C$154=$C23)*'ANALYSE - ERP =&gt; SOUS-SEGMENT'!$Q$8:$Q$154*'ANALYSE - ERP =&gt; SOUS-SEGMENT'!$BE$8:$BE$154),0)</f>
        <v>0.4424523873570948</v>
      </c>
      <c r="IN23" s="748">
        <f>IFERROR(SUMPRODUCT(('ANALYSE - ERP =&gt; SOUS-SEGMENT'!$C$8:$C$154=$C23)*'ANALYSE - ERP =&gt; SOUS-SEGMENT'!$Q$8:$Q$154*'ANALYSE - ERP =&gt; SOUS-SEGMENT'!$BE$8:$BE$154*'ANALYSE - ERP =&gt; SOUS-SEGMENT'!$IQ$8:$IQ$154)/SUMPRODUCT(('ANALYSE - ERP =&gt; SOUS-SEGMENT'!$C$8:$C$154=$C23)*'ANALYSE - ERP =&gt; SOUS-SEGMENT'!$Q$8:$Q$154*'ANALYSE - ERP =&gt; SOUS-SEGMENT'!$BE$8:$BE$154),0)</f>
        <v>0.4460292199058507</v>
      </c>
      <c r="IO23" s="748">
        <f>IFERROR(SUMPRODUCT(('ANALYSE - ERP =&gt; SOUS-SEGMENT'!$C$8:$C$154=$C23)*'ANALYSE - ERP =&gt; SOUS-SEGMENT'!$Q$8:$Q$154*'ANALYSE - ERP =&gt; SOUS-SEGMENT'!$BE$8:$BE$154*'ANALYSE - ERP =&gt; SOUS-SEGMENT'!$IR$8:$IR$154)/SUMPRODUCT(('ANALYSE - ERP =&gt; SOUS-SEGMENT'!$C$8:$C$154=$C23)*'ANALYSE - ERP =&gt; SOUS-SEGMENT'!$Q$8:$Q$154*'ANALYSE - ERP =&gt; SOUS-SEGMENT'!$BE$8:$BE$154),0)</f>
        <v>5.7819905850706128E-2</v>
      </c>
      <c r="IP23" s="749">
        <f>IFERROR(SUMPRODUCT(('ANALYSE - ERP =&gt; SOUS-SEGMENT'!$C$8:$C$154=$C23)*'ANALYSE - ERP =&gt; SOUS-SEGMENT'!$Q$8:$Q$154*'ANALYSE - ERP =&gt; SOUS-SEGMENT'!$BE$8:$BE$154*'ANALYSE - ERP =&gt; SOUS-SEGMENT'!$IS$8:$IS$154)/SUMPRODUCT(('ANALYSE - ERP =&gt; SOUS-SEGMENT'!$C$8:$C$154=$C23)*'ANALYSE - ERP =&gt; SOUS-SEGMENT'!$Q$8:$Q$154*'ANALYSE - ERP =&gt; SOUS-SEGMENT'!$BE$8:$BE$154),0)</f>
        <v>4.0215198386012104E-4</v>
      </c>
      <c r="IQ23" s="748">
        <f>IFERROR(SUMPRODUCT(('ANALYSE - ERP =&gt; SOUS-SEGMENT'!$C$8:$C$154=$C23)*'ANALYSE - ERP =&gt; SOUS-SEGMENT'!$Q$8:$Q$154*'ANALYSE - ERP =&gt; SOUS-SEGMENT'!$FB$8:$FB$154*'ANALYSE - ERP =&gt; SOUS-SEGMENT'!$IT$8:$IT$154)/SUMPRODUCT(('ANALYSE - ERP =&gt; SOUS-SEGMENT'!$C$8:$C$154=$C23)*'ANALYSE - ERP =&gt; SOUS-SEGMENT'!$Q$8:$Q$154*'ANALYSE - ERP =&gt; SOUS-SEGMENT'!$FB$8:$FB$154),0)</f>
        <v>2.5874421034506382E-2</v>
      </c>
      <c r="IR23" s="748">
        <f>IFERROR(SUMPRODUCT(('ANALYSE - ERP =&gt; SOUS-SEGMENT'!$C$8:$C$154=$C23)*'ANALYSE - ERP =&gt; SOUS-SEGMENT'!$Q$8:$Q$154*'ANALYSE - ERP =&gt; SOUS-SEGMENT'!$FB$8:$FB$154*'ANALYSE - ERP =&gt; SOUS-SEGMENT'!$IU$8:$IU$154)/SUMPRODUCT(('ANALYSE - ERP =&gt; SOUS-SEGMENT'!$C$8:$C$154=$C23)*'ANALYSE - ERP =&gt; SOUS-SEGMENT'!$Q$8:$Q$154*'ANALYSE - ERP =&gt; SOUS-SEGMENT'!$FB$8:$FB$154),0)</f>
        <v>0.40047254462520754</v>
      </c>
      <c r="IS23" s="748">
        <f>IFERROR(SUMPRODUCT(('ANALYSE - ERP =&gt; SOUS-SEGMENT'!$C$8:$C$154=$C23)*'ANALYSE - ERP =&gt; SOUS-SEGMENT'!$Q$8:$Q$154*'ANALYSE - ERP =&gt; SOUS-SEGMENT'!$FB$8:$FB$154*'ANALYSE - ERP =&gt; SOUS-SEGMENT'!$IV$8:$IV$154)/SUMPRODUCT(('ANALYSE - ERP =&gt; SOUS-SEGMENT'!$C$8:$C$154=$C23)*'ANALYSE - ERP =&gt; SOUS-SEGMENT'!$Q$8:$Q$154*'ANALYSE - ERP =&gt; SOUS-SEGMENT'!$FB$8:$FB$154),0)</f>
        <v>0.49527091380383631</v>
      </c>
      <c r="IT23" s="748">
        <f>IFERROR(SUMPRODUCT(('ANALYSE - ERP =&gt; SOUS-SEGMENT'!$C$8:$C$154=$C23)*'ANALYSE - ERP =&gt; SOUS-SEGMENT'!$Q$8:$Q$154*'ANALYSE - ERP =&gt; SOUS-SEGMENT'!$FB$8:$FB$154*'ANALYSE - ERP =&gt; SOUS-SEGMENT'!$IW$8:$IW$154)/SUMPRODUCT(('ANALYSE - ERP =&gt; SOUS-SEGMENT'!$C$8:$C$154=$C23)*'ANALYSE - ERP =&gt; SOUS-SEGMENT'!$Q$8:$Q$154*'ANALYSE - ERP =&gt; SOUS-SEGMENT'!$FB$8:$FB$154),0)</f>
        <v>7.3800021515659189E-2</v>
      </c>
      <c r="IU23" s="748">
        <f>IFERROR(SUMPRODUCT(('ANALYSE - ERP =&gt; SOUS-SEGMENT'!$C$8:$C$154=$C23)*'ANALYSE - ERP =&gt; SOUS-SEGMENT'!$Q$8:$Q$154*'ANALYSE - ERP =&gt; SOUS-SEGMENT'!$FB$8:$FB$154*'ANALYSE - ERP =&gt; SOUS-SEGMENT'!$IX$8:$IX$154)/SUMPRODUCT(('ANALYSE - ERP =&gt; SOUS-SEGMENT'!$C$8:$C$154=$C23)*'ANALYSE - ERP =&gt; SOUS-SEGMENT'!$Q$8:$Q$154*'ANALYSE - ERP =&gt; SOUS-SEGMENT'!$FB$8:$FB$154),0)</f>
        <v>4.5820990207907208E-3</v>
      </c>
      <c r="IV23" s="771">
        <f>IFERROR(SUMPRODUCT(('ANALYSE - ERP =&gt; SOUS-SEGMENT'!$C$8:$C$154=$C23)*'ANALYSE - ERP =&gt; SOUS-SEGMENT'!$Q$8:$Q$154*'ANALYSE - ERP =&gt; SOUS-SEGMENT'!$BF$8:$BF$154*'ANALYSE - ERP =&gt; SOUS-SEGMENT'!$IY$8:$IY$154)/SUMPRODUCT(('ANALYSE - ERP =&gt; SOUS-SEGMENT'!$C$8:$C$154=$C23)*'ANALYSE - ERP =&gt; SOUS-SEGMENT'!$Q$8:$Q$154*'ANALYSE - ERP =&gt; SOUS-SEGMENT'!$BF$8:$BF$154),0)</f>
        <v>7.8230499110403598E-2</v>
      </c>
      <c r="IW23" s="748">
        <f>IFERROR(SUMPRODUCT(('ANALYSE - ERP =&gt; SOUS-SEGMENT'!$C$8:$C$154=$C23)*'ANALYSE - ERP =&gt; SOUS-SEGMENT'!$Q$8:$Q$154*'ANALYSE - ERP =&gt; SOUS-SEGMENT'!$BF$8:$BF$154*'ANALYSE - ERP =&gt; SOUS-SEGMENT'!$IZ$8:$IZ$154)/SUMPRODUCT(('ANALYSE - ERP =&gt; SOUS-SEGMENT'!$C$8:$C$154=$C23)*'ANALYSE - ERP =&gt; SOUS-SEGMENT'!$Q$8:$Q$154*'ANALYSE - ERP =&gt; SOUS-SEGMENT'!$BF$8:$BF$154),0)</f>
        <v>0.47560590879295817</v>
      </c>
      <c r="IX23" s="748">
        <f>IFERROR(SUMPRODUCT(('ANALYSE - ERP =&gt; SOUS-SEGMENT'!$C$8:$C$154=$C23)*'ANALYSE - ERP =&gt; SOUS-SEGMENT'!$Q$8:$Q$154*'ANALYSE - ERP =&gt; SOUS-SEGMENT'!$BF$8:$BF$154*'ANALYSE - ERP =&gt; SOUS-SEGMENT'!$JA$8:$JA$154)/SUMPRODUCT(('ANALYSE - ERP =&gt; SOUS-SEGMENT'!$C$8:$C$154=$C23)*'ANALYSE - ERP =&gt; SOUS-SEGMENT'!$Q$8:$Q$154*'ANALYSE - ERP =&gt; SOUS-SEGMENT'!$BF$8:$BF$154),0)</f>
        <v>0.39061082498361266</v>
      </c>
      <c r="IY23" s="748">
        <f>IFERROR(SUMPRODUCT(('ANALYSE - ERP =&gt; SOUS-SEGMENT'!$C$8:$C$154=$C23)*'ANALYSE - ERP =&gt; SOUS-SEGMENT'!$Q$8:$Q$154*'ANALYSE - ERP =&gt; SOUS-SEGMENT'!$BF$8:$BF$154*'ANALYSE - ERP =&gt; SOUS-SEGMENT'!$JB$8:$JB$154)/SUMPRODUCT(('ANALYSE - ERP =&gt; SOUS-SEGMENT'!$C$8:$C$154=$C23)*'ANALYSE - ERP =&gt; SOUS-SEGMENT'!$Q$8:$Q$154*'ANALYSE - ERP =&gt; SOUS-SEGMENT'!$BF$8:$BF$154),0)</f>
        <v>3.8387864032212761E-2</v>
      </c>
      <c r="IZ23" s="749">
        <f>IFERROR(SUMPRODUCT(('ANALYSE - ERP =&gt; SOUS-SEGMENT'!$C$8:$C$154=$C23)*'ANALYSE - ERP =&gt; SOUS-SEGMENT'!$Q$8:$Q$154*'ANALYSE - ERP =&gt; SOUS-SEGMENT'!$BF$8:$BF$154*'ANALYSE - ERP =&gt; SOUS-SEGMENT'!$JC$8:$JC$154)/SUMPRODUCT(('ANALYSE - ERP =&gt; SOUS-SEGMENT'!$C$8:$C$154=$C23)*'ANALYSE - ERP =&gt; SOUS-SEGMENT'!$Q$8:$Q$154*'ANALYSE - ERP =&gt; SOUS-SEGMENT'!$BF$8:$BF$154),0)</f>
        <v>0</v>
      </c>
      <c r="JA23" s="748">
        <f>IFERROR(SUMPRODUCT(('ANALYSE - ERP =&gt; SOUS-SEGMENT'!$C$8:$C$154=$C23)*'ANALYSE - ERP =&gt; SOUS-SEGMENT'!$Q$8:$Q$154*'ANALYSE - ERP =&gt; SOUS-SEGMENT'!$FE$8:$FE$154*'ANALYSE - ERP =&gt; SOUS-SEGMENT'!$JD$8:$JD$154)/SUMPRODUCT(('ANALYSE - ERP =&gt; SOUS-SEGMENT'!$C$8:$C$154=$C23)*'ANALYSE - ERP =&gt; SOUS-SEGMENT'!$Q$8:$Q$154*'ANALYSE - ERP =&gt; SOUS-SEGMENT'!$FE$8:$FE$154),0)</f>
        <v>3.8275592507027723E-2</v>
      </c>
      <c r="JB23" s="748">
        <f>IFERROR(SUMPRODUCT(('ANALYSE - ERP =&gt; SOUS-SEGMENT'!$C$8:$C$154=$C23)*'ANALYSE - ERP =&gt; SOUS-SEGMENT'!$Q$8:$Q$154*'ANALYSE - ERP =&gt; SOUS-SEGMENT'!$FE$8:$FE$154*'ANALYSE - ERP =&gt; SOUS-SEGMENT'!$JE$8:$JE$154)/SUMPRODUCT(('ANALYSE - ERP =&gt; SOUS-SEGMENT'!$C$8:$C$154=$C23)*'ANALYSE - ERP =&gt; SOUS-SEGMENT'!$Q$8:$Q$154*'ANALYSE - ERP =&gt; SOUS-SEGMENT'!$FE$8:$FE$154),0)</f>
        <v>0.44274289786654336</v>
      </c>
      <c r="JC23" s="748">
        <f>IFERROR(SUMPRODUCT(('ANALYSE - ERP =&gt; SOUS-SEGMENT'!$C$8:$C$154=$C23)*'ANALYSE - ERP =&gt; SOUS-SEGMENT'!$Q$8:$Q$154*'ANALYSE - ERP =&gt; SOUS-SEGMENT'!$FE$8:$FE$154*'ANALYSE - ERP =&gt; SOUS-SEGMENT'!$JF$8:$JF$154)/SUMPRODUCT(('ANALYSE - ERP =&gt; SOUS-SEGMENT'!$C$8:$C$154=$C23)*'ANALYSE - ERP =&gt; SOUS-SEGMENT'!$Q$8:$Q$154*'ANALYSE - ERP =&gt; SOUS-SEGMENT'!$FE$8:$FE$154),0)</f>
        <v>0.45047808611826179</v>
      </c>
      <c r="JD23" s="748">
        <f>IFERROR(SUMPRODUCT(('ANALYSE - ERP =&gt; SOUS-SEGMENT'!$C$8:$C$154=$C23)*'ANALYSE - ERP =&gt; SOUS-SEGMENT'!$Q$8:$Q$154*'ANALYSE - ERP =&gt; SOUS-SEGMENT'!$FE$8:$FE$154*'ANALYSE - ERP =&gt; SOUS-SEGMENT'!$JG$8:$JG$154)/SUMPRODUCT(('ANALYSE - ERP =&gt; SOUS-SEGMENT'!$C$8:$C$154=$C23)*'ANALYSE - ERP =&gt; SOUS-SEGMENT'!$Q$8:$Q$154*'ANALYSE - ERP =&gt; SOUS-SEGMENT'!$FE$8:$FE$154),0)</f>
        <v>5.051484739095783E-2</v>
      </c>
      <c r="JE23" s="748">
        <f>IFERROR(SUMPRODUCT(('ANALYSE - ERP =&gt; SOUS-SEGMENT'!$C$8:$C$154=$C23)*'ANALYSE - ERP =&gt; SOUS-SEGMENT'!$Q$8:$Q$154*'ANALYSE - ERP =&gt; SOUS-SEGMENT'!$FE$8:$FE$154*'ANALYSE - ERP =&gt; SOUS-SEGMENT'!$JH$8:$JH$154)/SUMPRODUCT(('ANALYSE - ERP =&gt; SOUS-SEGMENT'!$C$8:$C$154=$C23)*'ANALYSE - ERP =&gt; SOUS-SEGMENT'!$Q$8:$Q$154*'ANALYSE - ERP =&gt; SOUS-SEGMENT'!$FE$8:$FE$154),0)</f>
        <v>3.0520684613525692E-3</v>
      </c>
      <c r="JF23" s="771">
        <f>IFERROR(SUMPRODUCT(('ANALYSE - ERP =&gt; SOUS-SEGMENT'!$C$8:$C$154=$C23)*'ANALYSE - ERP =&gt; SOUS-SEGMENT'!$Q$8:$Q$154*'ANALYSE - ERP =&gt; SOUS-SEGMENT'!$BG$8:$BG$154*'ANALYSE - ERP =&gt; SOUS-SEGMENT'!$JI$8:$JI$154)/SUMPRODUCT(('ANALYSE - ERP =&gt; SOUS-SEGMENT'!$C$8:$C$154=$C23)*'ANALYSE - ERP =&gt; SOUS-SEGMENT'!$Q$8:$Q$154*'ANALYSE - ERP =&gt; SOUS-SEGMENT'!$BG$8:$BG$154),0)</f>
        <v>0.11482627908582477</v>
      </c>
      <c r="JG23" s="748">
        <f>IFERROR(SUMPRODUCT(('ANALYSE - ERP =&gt; SOUS-SEGMENT'!$C$8:$C$154=$C23)*'ANALYSE - ERP =&gt; SOUS-SEGMENT'!$Q$8:$Q$154*'ANALYSE - ERP =&gt; SOUS-SEGMENT'!$BG$8:$BG$154*'ANALYSE - ERP =&gt; SOUS-SEGMENT'!$JJ$8:$JJ$154)/SUMPRODUCT(('ANALYSE - ERP =&gt; SOUS-SEGMENT'!$C$8:$C$154=$C23)*'ANALYSE - ERP =&gt; SOUS-SEGMENT'!$Q$8:$Q$154*'ANALYSE - ERP =&gt; SOUS-SEGMENT'!$BG$8:$BG$154),0)</f>
        <v>0.55909518746116127</v>
      </c>
      <c r="JH23" s="748">
        <f>IFERROR(SUMPRODUCT(('ANALYSE - ERP =&gt; SOUS-SEGMENT'!$C$8:$C$154=$C23)*'ANALYSE - ERP =&gt; SOUS-SEGMENT'!$Q$8:$Q$154*'ANALYSE - ERP =&gt; SOUS-SEGMENT'!$BG$8:$BG$154*'ANALYSE - ERP =&gt; SOUS-SEGMENT'!$JK$8:$JK$154)/SUMPRODUCT(('ANALYSE - ERP =&gt; SOUS-SEGMENT'!$C$8:$C$154=$C23)*'ANALYSE - ERP =&gt; SOUS-SEGMENT'!$Q$8:$Q$154*'ANALYSE - ERP =&gt; SOUS-SEGMENT'!$BG$8:$BG$154),0)</f>
        <v>0.30155440171235243</v>
      </c>
      <c r="JI23" s="748">
        <f>IFERROR(SUMPRODUCT(('ANALYSE - ERP =&gt; SOUS-SEGMENT'!$C$8:$C$154=$C23)*'ANALYSE - ERP =&gt; SOUS-SEGMENT'!$Q$8:$Q$154*'ANALYSE - ERP =&gt; SOUS-SEGMENT'!$BG$8:$BG$154*'ANALYSE - ERP =&gt; SOUS-SEGMENT'!$JL$8:$JL$154)/SUMPRODUCT(('ANALYSE - ERP =&gt; SOUS-SEGMENT'!$C$8:$C$154=$C23)*'ANALYSE - ERP =&gt; SOUS-SEGMENT'!$Q$8:$Q$154*'ANALYSE - ERP =&gt; SOUS-SEGMENT'!$BG$8:$BG$154),0)</f>
        <v>2.4417413519298489E-2</v>
      </c>
      <c r="JJ23" s="749">
        <f>IFERROR(SUMPRODUCT(('ANALYSE - ERP =&gt; SOUS-SEGMENT'!$C$8:$C$154=$C23)*'ANALYSE - ERP =&gt; SOUS-SEGMENT'!$Q$8:$Q$154*'ANALYSE - ERP =&gt; SOUS-SEGMENT'!$BG$8:$BG$154*'ANALYSE - ERP =&gt; SOUS-SEGMENT'!$JM$8:$JM$154)/SUMPRODUCT(('ANALYSE - ERP =&gt; SOUS-SEGMENT'!$C$8:$C$154=$C23)*'ANALYSE - ERP =&gt; SOUS-SEGMENT'!$Q$8:$Q$154*'ANALYSE - ERP =&gt; SOUS-SEGMENT'!$BG$8:$BG$154),0)</f>
        <v>1.0671822136297728E-4</v>
      </c>
      <c r="JK23" s="748">
        <f>IFERROR(SUMPRODUCT(('ANALYSE - ERP =&gt; SOUS-SEGMENT'!$C$8:$C$154=$C23)*'ANALYSE - ERP =&gt; SOUS-SEGMENT'!$Q$8:$Q$154*'ANALYSE - ERP =&gt; SOUS-SEGMENT'!$FH$8:$FH$154*'ANALYSE - ERP =&gt; SOUS-SEGMENT'!$JN$8:$JN$154)/SUMPRODUCT(('ANALYSE - ERP =&gt; SOUS-SEGMENT'!$C$8:$C$154=$C23)*'ANALYSE - ERP =&gt; SOUS-SEGMENT'!$Q$8:$Q$154*'ANALYSE - ERP =&gt; SOUS-SEGMENT'!$FH$8:$FH$154),0)</f>
        <v>6.7922708795244174E-2</v>
      </c>
      <c r="JL23" s="748">
        <f>IFERROR(SUMPRODUCT(('ANALYSE - ERP =&gt; SOUS-SEGMENT'!$C$8:$C$154=$C23)*'ANALYSE - ERP =&gt; SOUS-SEGMENT'!$Q$8:$Q$154*'ANALYSE - ERP =&gt; SOUS-SEGMENT'!$FH$8:$FH$154*'ANALYSE - ERP =&gt; SOUS-SEGMENT'!$JO$8:$JO$154)/SUMPRODUCT(('ANALYSE - ERP =&gt; SOUS-SEGMENT'!$C$8:$C$154=$C23)*'ANALYSE - ERP =&gt; SOUS-SEGMENT'!$Q$8:$Q$154*'ANALYSE - ERP =&gt; SOUS-SEGMENT'!$FH$8:$FH$154),0)</f>
        <v>0.53774015323449609</v>
      </c>
      <c r="JM23" s="748">
        <f>IFERROR(SUMPRODUCT(('ANALYSE - ERP =&gt; SOUS-SEGMENT'!$C$8:$C$154=$C23)*'ANALYSE - ERP =&gt; SOUS-SEGMENT'!$Q$8:$Q$154*'ANALYSE - ERP =&gt; SOUS-SEGMENT'!$FH$8:$FH$154*'ANALYSE - ERP =&gt; SOUS-SEGMENT'!$JP$8:$JP$154)/SUMPRODUCT(('ANALYSE - ERP =&gt; SOUS-SEGMENT'!$C$8:$C$154=$C23)*'ANALYSE - ERP =&gt; SOUS-SEGMENT'!$Q$8:$Q$154*'ANALYSE - ERP =&gt; SOUS-SEGMENT'!$FH$8:$FH$154),0)</f>
        <v>0.35208074023109281</v>
      </c>
      <c r="JN23" s="748">
        <f>IFERROR(SUMPRODUCT(('ANALYSE - ERP =&gt; SOUS-SEGMENT'!$C$8:$C$154=$C23)*'ANALYSE - ERP =&gt; SOUS-SEGMENT'!$Q$8:$Q$154*'ANALYSE - ERP =&gt; SOUS-SEGMENT'!$FH$8:$FH$154*'ANALYSE - ERP =&gt; SOUS-SEGMENT'!$JQ$8:$JQ$154)/SUMPRODUCT(('ANALYSE - ERP =&gt; SOUS-SEGMENT'!$C$8:$C$154=$C23)*'ANALYSE - ERP =&gt; SOUS-SEGMENT'!$Q$8:$Q$154*'ANALYSE - ERP =&gt; SOUS-SEGMENT'!$FH$8:$FH$154),0)</f>
        <v>3.8775615920512096E-2</v>
      </c>
      <c r="JO23" s="748">
        <f>IFERROR(SUMPRODUCT(('ANALYSE - ERP =&gt; SOUS-SEGMENT'!$C$8:$C$154=$C23)*'ANALYSE - ERP =&gt; SOUS-SEGMENT'!$Q$8:$Q$154*'ANALYSE - ERP =&gt; SOUS-SEGMENT'!$FH$8:$FH$154*'ANALYSE - ERP =&gt; SOUS-SEGMENT'!$JR$8:$JR$154)/SUMPRODUCT(('ANALYSE - ERP =&gt; SOUS-SEGMENT'!$C$8:$C$154=$C23)*'ANALYSE - ERP =&gt; SOUS-SEGMENT'!$Q$8:$Q$154*'ANALYSE - ERP =&gt; SOUS-SEGMENT'!$FH$8:$FH$154),0)</f>
        <v>3.4807818186548033E-3</v>
      </c>
      <c r="JP23" s="771">
        <f>IFERROR(SUMPRODUCT(('ANALYSE - ERP =&gt; SOUS-SEGMENT'!$C$8:$C$154=$C23)*'ANALYSE - ERP =&gt; SOUS-SEGMENT'!$Q$8:$Q$154*'ANALYSE - ERP =&gt; SOUS-SEGMENT'!$BH$8:$BH$154*'ANALYSE - ERP =&gt; SOUS-SEGMENT'!$JS$8:$JS$154)/SUMPRODUCT(('ANALYSE - ERP =&gt; SOUS-SEGMENT'!$C$8:$C$154=$C23)*'ANALYSE - ERP =&gt; SOUS-SEGMENT'!$Q$8:$Q$154*'ANALYSE - ERP =&gt; SOUS-SEGMENT'!$BH$8:$BH$154),0)</f>
        <v>6.3629517778860195E-2</v>
      </c>
      <c r="JQ23" s="748">
        <f>IFERROR(SUMPRODUCT(('ANALYSE - ERP =&gt; SOUS-SEGMENT'!$C$8:$C$154=$C23)*'ANALYSE - ERP =&gt; SOUS-SEGMENT'!$Q$8:$Q$154*'ANALYSE - ERP =&gt; SOUS-SEGMENT'!$BH$8:$BH$154*'ANALYSE - ERP =&gt; SOUS-SEGMENT'!$JT$8:$JT$154)/SUMPRODUCT(('ANALYSE - ERP =&gt; SOUS-SEGMENT'!$C$8:$C$154=$C23)*'ANALYSE - ERP =&gt; SOUS-SEGMENT'!$Q$8:$Q$154*'ANALYSE - ERP =&gt; SOUS-SEGMENT'!$BH$8:$BH$154),0)</f>
        <v>0.45972747199220654</v>
      </c>
      <c r="JR23" s="748">
        <f>IFERROR(SUMPRODUCT(('ANALYSE - ERP =&gt; SOUS-SEGMENT'!$C$8:$C$154=$C23)*'ANALYSE - ERP =&gt; SOUS-SEGMENT'!$Q$8:$Q$154*'ANALYSE - ERP =&gt; SOUS-SEGMENT'!$BH$8:$BH$154*'ANALYSE - ERP =&gt; SOUS-SEGMENT'!$JU$8:$JU$154)/SUMPRODUCT(('ANALYSE - ERP =&gt; SOUS-SEGMENT'!$C$8:$C$154=$C23)*'ANALYSE - ERP =&gt; SOUS-SEGMENT'!$Q$8:$Q$154*'ANALYSE - ERP =&gt; SOUS-SEGMENT'!$BH$8:$BH$154),0)</f>
        <v>0.42767871407696056</v>
      </c>
      <c r="JS23" s="748">
        <f>IFERROR(SUMPRODUCT(('ANALYSE - ERP =&gt; SOUS-SEGMENT'!$C$8:$C$154=$C23)*'ANALYSE - ERP =&gt; SOUS-SEGMENT'!$Q$8:$Q$154*'ANALYSE - ERP =&gt; SOUS-SEGMENT'!$BH$8:$BH$154*'ANALYSE - ERP =&gt; SOUS-SEGMENT'!$JV$8:$JV$154)/SUMPRODUCT(('ANALYSE - ERP =&gt; SOUS-SEGMENT'!$C$8:$C$154=$C23)*'ANALYSE - ERP =&gt; SOUS-SEGMENT'!$Q$8:$Q$154*'ANALYSE - ERP =&gt; SOUS-SEGMENT'!$BH$8:$BH$154),0)</f>
        <v>4.8668533852898203E-2</v>
      </c>
      <c r="JT23" s="749">
        <f>IFERROR(SUMPRODUCT(('ANALYSE - ERP =&gt; SOUS-SEGMENT'!$C$8:$C$154=$C23)*'ANALYSE - ERP =&gt; SOUS-SEGMENT'!$Q$8:$Q$154*'ANALYSE - ERP =&gt; SOUS-SEGMENT'!$BH$8:$BH$154*'ANALYSE - ERP =&gt; SOUS-SEGMENT'!$JW$8:$JW$154)/SUMPRODUCT(('ANALYSE - ERP =&gt; SOUS-SEGMENT'!$C$8:$C$154=$C23)*'ANALYSE - ERP =&gt; SOUS-SEGMENT'!$Q$8:$Q$154*'ANALYSE - ERP =&gt; SOUS-SEGMENT'!$BH$8:$BH$154),0)</f>
        <v>2.9576229907452511E-4</v>
      </c>
      <c r="JU23" s="771">
        <f>IFERROR(SUMPRODUCT(('ANALYSE - ERP =&gt; SOUS-SEGMENT'!$C$8:$C$154=$C23)*'ANALYSE - ERP =&gt; SOUS-SEGMENT'!$Q$8:$Q$154*'ANALYSE - ERP =&gt; SOUS-SEGMENT'!$FK$8:$FK$154*'ANALYSE - ERP =&gt; SOUS-SEGMENT'!$JX$8:$JX$154)/SUMPRODUCT(('ANALYSE - ERP =&gt; SOUS-SEGMENT'!$C$8:$C$154=$C23)*'ANALYSE - ERP =&gt; SOUS-SEGMENT'!$Q$8:$Q$154*'ANALYSE - ERP =&gt; SOUS-SEGMENT'!$FK$8:$FK$154),0)</f>
        <v>3.172051879662776E-2</v>
      </c>
      <c r="JV23" s="748">
        <f>IFERROR(SUMPRODUCT(('ANALYSE - ERP =&gt; SOUS-SEGMENT'!$C$8:$C$154=$C23)*'ANALYSE - ERP =&gt; SOUS-SEGMENT'!$Q$8:$Q$154*'ANALYSE - ERP =&gt; SOUS-SEGMENT'!$FK$8:$FK$154*'ANALYSE - ERP =&gt; SOUS-SEGMENT'!$JY$8:$JY$154)/SUMPRODUCT(('ANALYSE - ERP =&gt; SOUS-SEGMENT'!$C$8:$C$154=$C23)*'ANALYSE - ERP =&gt; SOUS-SEGMENT'!$Q$8:$Q$154*'ANALYSE - ERP =&gt; SOUS-SEGMENT'!$FK$8:$FK$154),0)</f>
        <v>0.42656965051411166</v>
      </c>
      <c r="JW23" s="748">
        <f>IFERROR(SUMPRODUCT(('ANALYSE - ERP =&gt; SOUS-SEGMENT'!$C$8:$C$154=$C23)*'ANALYSE - ERP =&gt; SOUS-SEGMENT'!$Q$8:$Q$154*'ANALYSE - ERP =&gt; SOUS-SEGMENT'!$FK$8:$FK$154*'ANALYSE - ERP =&gt; SOUS-SEGMENT'!$JZ$8:$JZ$154)/SUMPRODUCT(('ANALYSE - ERP =&gt; SOUS-SEGMENT'!$C$8:$C$154=$C23)*'ANALYSE - ERP =&gt; SOUS-SEGMENT'!$Q$8:$Q$154*'ANALYSE - ERP =&gt; SOUS-SEGMENT'!$FK$8:$FK$154),0)</f>
        <v>0.47397607488331489</v>
      </c>
      <c r="JX23" s="748">
        <f>IFERROR(SUMPRODUCT(('ANALYSE - ERP =&gt; SOUS-SEGMENT'!$C$8:$C$154=$C23)*'ANALYSE - ERP =&gt; SOUS-SEGMENT'!$Q$8:$Q$154*'ANALYSE - ERP =&gt; SOUS-SEGMENT'!$FK$8:$FK$154*'ANALYSE - ERP =&gt; SOUS-SEGMENT'!$KA$8:$KA$154)/SUMPRODUCT(('ANALYSE - ERP =&gt; SOUS-SEGMENT'!$C$8:$C$154=$C23)*'ANALYSE - ERP =&gt; SOUS-SEGMENT'!$Q$8:$Q$154*'ANALYSE - ERP =&gt; SOUS-SEGMENT'!$FK$8:$FK$154),0)</f>
        <v>6.3487445257264075E-2</v>
      </c>
      <c r="JY23" s="775">
        <f>IFERROR(SUMPRODUCT(('ANALYSE - ERP =&gt; SOUS-SEGMENT'!$C$8:$C$154=$C23)*'ANALYSE - ERP =&gt; SOUS-SEGMENT'!$Q$8:$Q$154*'ANALYSE - ERP =&gt; SOUS-SEGMENT'!$FK$8:$FK$154*'ANALYSE - ERP =&gt; SOUS-SEGMENT'!$KB$8:$KB$154)/SUMPRODUCT(('ANALYSE - ERP =&gt; SOUS-SEGMENT'!$C$8:$C$154=$C23)*'ANALYSE - ERP =&gt; SOUS-SEGMENT'!$Q$8:$Q$154*'ANALYSE - ERP =&gt; SOUS-SEGMENT'!$FK$8:$FK$154),0)</f>
        <v>4.2463105486817282E-3</v>
      </c>
      <c r="JZ23" s="529"/>
      <c r="KA23" s="569" t="s">
        <v>2590</v>
      </c>
      <c r="KB23" s="569" t="s">
        <v>2591</v>
      </c>
      <c r="KC23" s="868">
        <f>IFERROR(SUMPRODUCT(('ANALYSE - ERP =&gt; SOUS-SEGMENT'!$C$8:$C$154=$C24)*'ANALYSE - ERP =&gt; SOUS-SEGMENT'!$Q$8:$Q$154*'ANALYSE - ERP =&gt; SOUS-SEGMENT'!$EX$8:$EX$154*'ANALYSE - ERP =&gt; SOUS-SEGMENT'!$KF$8:$KF$154)/SUMPRODUCT(('ANALYSE - ERP =&gt; SOUS-SEGMENT'!$C$8:$C$154=$C24)*'ANALYSE - ERP =&gt; SOUS-SEGMENT'!$Q$8:$Q$154*'ANALYSE - ERP =&gt; SOUS-SEGMENT'!$EX$8:$EX$154),"")</f>
        <v>4.1264072694867124</v>
      </c>
      <c r="KD23" s="569" t="s">
        <v>2589</v>
      </c>
      <c r="KE23" s="571" t="s">
        <v>4117</v>
      </c>
      <c r="KF23" s="621" t="s">
        <v>6760</v>
      </c>
      <c r="KG23" s="571" t="s">
        <v>6760</v>
      </c>
    </row>
    <row r="24" spans="1:293" s="549" customFormat="1" ht="108" customHeight="1">
      <c r="A24" s="522">
        <v>21</v>
      </c>
      <c r="B24" s="523" t="s">
        <v>7117</v>
      </c>
      <c r="C24" s="523" t="s">
        <v>4135</v>
      </c>
      <c r="D24" s="523" t="s">
        <v>7118</v>
      </c>
      <c r="E24" s="524" t="s">
        <v>7119</v>
      </c>
      <c r="F24" s="524" t="s">
        <v>7120</v>
      </c>
      <c r="G24" s="524" t="s">
        <v>300</v>
      </c>
      <c r="H24" s="524" t="s">
        <v>2117</v>
      </c>
      <c r="I24" s="525" t="s">
        <v>7121</v>
      </c>
      <c r="J24" s="525" t="s">
        <v>7122</v>
      </c>
      <c r="K24" s="526" t="s">
        <v>2109</v>
      </c>
      <c r="L24" s="526" t="s">
        <v>2109</v>
      </c>
      <c r="M24" s="526" t="s">
        <v>7026</v>
      </c>
      <c r="N24" s="526" t="s">
        <v>6742</v>
      </c>
      <c r="O24" s="526" t="s">
        <v>3170</v>
      </c>
      <c r="P24" s="525"/>
      <c r="Q24" s="270">
        <f>IF(SUMPRODUCT(('ANALYSE - ERP =&gt; SOUS-SEGMENT'!$C$8:$C$154=$C24)*'ANALYSE - ERP =&gt; SOUS-SEGMENT'!$Q$8:$Q$154)&gt;0,1,0)</f>
        <v>1</v>
      </c>
      <c r="R24" s="527">
        <f>IFERROR(SUMPRODUCT(('ANALYSE - ERP =&gt; SOUS-SEGMENT'!$C$8:$C$154=$C24)*'ANALYSE - ERP =&gt; SOUS-SEGMENT'!$Q$8:$Q$154*'ANALYSE - ERP =&gt; SOUS-SEGMENT'!$AG$8:$AG$154*'ANALYSE - ERP =&gt; SOUS-SEGMENT'!$R$8:$R$154)/SUMPRODUCT(('ANALYSE - ERP =&gt; SOUS-SEGMENT'!$C$8:$C$154=$C24)*'ANALYSE - ERP =&gt; SOUS-SEGMENT'!$Q$8:$Q$154*'ANALYSE - ERP =&gt; SOUS-SEGMENT'!$AG$8:$AG$154),"")</f>
        <v>2277.6862058308438</v>
      </c>
      <c r="S24" s="528">
        <f>SUMPRODUCT(('ANALYSE - ERP =&gt; SOUS-SEGMENT'!$C$8:$C$154=$C24)*'ANALYSE - ERP =&gt; SOUS-SEGMENT'!$Q$8:$Q$154*'ANALYSE - ERP =&gt; SOUS-SEGMENT'!$S$8:$S$154)</f>
        <v>22508</v>
      </c>
      <c r="T24" s="528">
        <f>SUMPRODUCT(('ANALYSE - ERP =&gt; SOUS-SEGMENT'!$C$8:$C$154=$C24)*'ANALYSE - ERP =&gt; SOUS-SEGMENT'!$Q$8:$Q$154*'ANALYSE - ERP =&gt; SOUS-SEGMENT'!$T$8:$T$154)</f>
        <v>22124</v>
      </c>
      <c r="U24" s="528">
        <f>SUMPRODUCT(('ANALYSE - ERP =&gt; SOUS-SEGMENT'!$C$8:$C$154=$C24)*'ANALYSE - ERP =&gt; SOUS-SEGMENT'!$Q$8:$Q$154*'ANALYSE - ERP =&gt; SOUS-SEGMENT'!$U$8:$U$154)</f>
        <v>22146</v>
      </c>
      <c r="V24" s="528">
        <f>SUMPRODUCT(('ANALYSE - ERP =&gt; SOUS-SEGMENT'!$C$8:$C$154=$C24)*'ANALYSE - ERP =&gt; SOUS-SEGMENT'!$Q$8:$Q$154*'ANALYSE - ERP =&gt; SOUS-SEGMENT'!$V$8:$V$154)</f>
        <v>22272</v>
      </c>
      <c r="W24" s="528">
        <f>SUMPRODUCT(('ANALYSE - ERP =&gt; SOUS-SEGMENT'!$C$8:$C$154=$C24)*'ANALYSE - ERP =&gt; SOUS-SEGMENT'!$Q$8:$Q$154*'ANALYSE - ERP =&gt; SOUS-SEGMENT'!$W$8:$W$154)</f>
        <v>22015</v>
      </c>
      <c r="X24" s="528">
        <f>SUMPRODUCT(('ANALYSE - ERP =&gt; SOUS-SEGMENT'!$C$8:$C$154=$C24)*'ANALYSE - ERP =&gt; SOUS-SEGMENT'!$Q$8:$Q$154*'ANALYSE - ERP =&gt; SOUS-SEGMENT'!$X$8:$X$154)</f>
        <v>21750</v>
      </c>
      <c r="Y24" s="528">
        <f>SUMPRODUCT(('ANALYSE - ERP =&gt; SOUS-SEGMENT'!$C$8:$C$154=$C24)*'ANALYSE - ERP =&gt; SOUS-SEGMENT'!$Q$8:$Q$154*'ANALYSE - ERP =&gt; SOUS-SEGMENT'!$Y$8:$Y$154)</f>
        <v>21937</v>
      </c>
      <c r="Z24" s="528">
        <f>SUMPRODUCT(('ANALYSE - ERP =&gt; SOUS-SEGMENT'!$C$8:$C$154=$C24)*'ANALYSE - ERP =&gt; SOUS-SEGMENT'!$Q$8:$Q$154*'ANALYSE - ERP =&gt; SOUS-SEGMENT'!$Z$8:$Z$154)</f>
        <v>21765</v>
      </c>
      <c r="AA24" s="528">
        <f>SUMPRODUCT(('ANALYSE - ERP =&gt; SOUS-SEGMENT'!$C$8:$C$154=$C24)*'ANALYSE - ERP =&gt; SOUS-SEGMENT'!$Q$8:$Q$154*'ANALYSE - ERP =&gt; SOUS-SEGMENT'!$AA$8:$AA$154)</f>
        <v>20555</v>
      </c>
      <c r="AB24" s="528">
        <f>SUMPRODUCT(('ANALYSE - ERP =&gt; SOUS-SEGMENT'!$C$8:$C$154=$C24)*'ANALYSE - ERP =&gt; SOUS-SEGMENT'!$Q$8:$Q$154*'ANALYSE - ERP =&gt; SOUS-SEGMENT'!$AB$8:$AB$154)</f>
        <v>20265</v>
      </c>
      <c r="AC24" s="528">
        <f>SUMPRODUCT(('ANALYSE - ERP =&gt; SOUS-SEGMENT'!$C$8:$C$154=$C24)*'ANALYSE - ERP =&gt; SOUS-SEGMENT'!$Q$8:$Q$154*'ANALYSE - ERP =&gt; SOUS-SEGMENT'!$AC$8:$AC$154)</f>
        <v>20074</v>
      </c>
      <c r="AD24" s="528">
        <f>SUMPRODUCT(('ANALYSE - ERP =&gt; SOUS-SEGMENT'!$C$8:$C$154=$C24)*'ANALYSE - ERP =&gt; SOUS-SEGMENT'!$Q$8:$Q$154*'ANALYSE - ERP =&gt; SOUS-SEGMENT'!$AD$8:$AD$154)</f>
        <v>19784</v>
      </c>
      <c r="AE24" s="528">
        <f>SUMPRODUCT(('ANALYSE - ERP =&gt; SOUS-SEGMENT'!$C$8:$C$154=$C24)*'ANALYSE - ERP =&gt; SOUS-SEGMENT'!$Q$8:$Q$154*'ANALYSE - ERP =&gt; SOUS-SEGMENT'!$AE$8:$AE$154)</f>
        <v>19499</v>
      </c>
      <c r="AF24" s="528">
        <f>SUMPRODUCT(('ANALYSE - ERP =&gt; SOUS-SEGMENT'!$C$8:$C$154=$C24)*'ANALYSE - ERP =&gt; SOUS-SEGMENT'!$Q$8:$Q$154*'ANALYSE - ERP =&gt; SOUS-SEGMENT'!$AF$8:$AF$154)</f>
        <v>19454</v>
      </c>
      <c r="AG24" s="528">
        <f>SUMPRODUCT(('ANALYSE - ERP =&gt; SOUS-SEGMENT'!$C$8:$C$154=$C24)*'ANALYSE - ERP =&gt; SOUS-SEGMENT'!$Q$8:$Q$154*'ANALYSE - ERP =&gt; SOUS-SEGMENT'!$AG$8:$AG$154)</f>
        <v>19414</v>
      </c>
      <c r="AH24" s="528">
        <f>SUMPRODUCT(('ANALYSE - ERP =&gt; SOUS-SEGMENT'!$C$8:$C$154=$C24)*'ANALYSE - ERP =&gt; SOUS-SEGMENT'!$Q$8:$Q$154*'ANALYSE - ERP =&gt; SOUS-SEGMENT'!$AH$8:$AH$154)</f>
        <v>19424</v>
      </c>
      <c r="AI24" s="528">
        <f>SUMPRODUCT(('ANALYSE - ERP =&gt; SOUS-SEGMENT'!$C$8:$C$154=$C24)*'ANALYSE - ERP =&gt; SOUS-SEGMENT'!$Q$8:$Q$154*'ANALYSE - ERP =&gt; SOUS-SEGMENT'!$AI$8:$AI$154)</f>
        <v>19434</v>
      </c>
      <c r="AJ24" s="528">
        <f>SUMPRODUCT(('ANALYSE - ERP =&gt; SOUS-SEGMENT'!$C$8:$C$154=$C24)*'ANALYSE - ERP =&gt; SOUS-SEGMENT'!$Q$8:$Q$154*'ANALYSE - ERP =&gt; SOUS-SEGMENT'!$AJ$8:$AJ$154)</f>
        <v>19444</v>
      </c>
      <c r="AK24" s="528">
        <f>SUMPRODUCT(('ANALYSE - ERP =&gt; SOUS-SEGMENT'!$C$8:$C$154=$C24)*'ANALYSE - ERP =&gt; SOUS-SEGMENT'!$Q$8:$Q$154*'ANALYSE - ERP =&gt; SOUS-SEGMENT'!$AK$8:$AK$154)</f>
        <v>19454</v>
      </c>
      <c r="AL24" s="525" t="s">
        <v>7123</v>
      </c>
      <c r="AM24" s="525" t="s">
        <v>7124</v>
      </c>
      <c r="AN24" s="525" t="s">
        <v>7125</v>
      </c>
      <c r="AO24" s="529"/>
      <c r="AP24" s="527">
        <f>IFERROR(SUMPRODUCT(('ANALYSE - ERP =&gt; SOUS-SEGMENT'!$C$8:$C$154=$C24)*'ANALYSE - ERP =&gt; SOUS-SEGMENT'!$Q$8:$Q$154*'ANALYSE - ERP =&gt; SOUS-SEGMENT'!$AG$8:$AG$154*'ANALYSE - ERP =&gt; SOUS-SEGMENT'!$AP$8:$AP$154)/SUMPRODUCT(('ANALYSE - ERP =&gt; SOUS-SEGMENT'!$C$8:$C$154=$C24)*'ANALYSE - ERP =&gt; SOUS-SEGMENT'!$Q$8:$Q$154*'ANALYSE - ERP =&gt; SOUS-SEGMENT'!$AG$8:$AG$154),"")</f>
        <v>97.372514680127736</v>
      </c>
      <c r="AQ24" s="527">
        <f>IFERROR(SUMPRODUCT(('ANALYSE - ERP =&gt; SOUS-SEGMENT'!$C$8:$C$154=$C24)*'ANALYSE - ERP =&gt; SOUS-SEGMENT'!$Q$8:$Q$154*'ANALYSE - ERP =&gt; SOUS-SEGMENT'!$AF$8:$AF$154*'ANALYSE - ERP =&gt; SOUS-SEGMENT'!$AQ$8:$AQ$154)/SUMPRODUCT(('ANALYSE - ERP =&gt; SOUS-SEGMENT'!$C$8:$C$154=$C24)*'ANALYSE - ERP =&gt; SOUS-SEGMENT'!$Q$8:$Q$154*'ANALYSE - ERP =&gt; SOUS-SEGMENT'!$AF$8:$AF$154),"")</f>
        <v>72.473732908399299</v>
      </c>
      <c r="AR24" s="977">
        <f>IFERROR(SUMPRODUCT(('ANALYSE - ERP =&gt; SOUS-SEGMENT'!$C$8:$C$154=$C24)*'ANALYSE - ERP =&gt; SOUS-SEGMENT'!$Q$8:$Q$154*'ANALYSE - ERP =&gt; SOUS-SEGMENT'!$AF$8:$AF$154*'ANALYSE - ERP =&gt; SOUS-SEGMENT'!$AR$8:$AR$154)/SUMPRODUCT(('ANALYSE - ERP =&gt; SOUS-SEGMENT'!$C$8:$C$154=$C24)*'ANALYSE - ERP =&gt; SOUS-SEGMENT'!$Q$8:$Q$154*'ANALYSE - ERP =&gt; SOUS-SEGMENT'!$AF$8:$AF$154),"")</f>
        <v>19.624344607792743</v>
      </c>
      <c r="AS24" s="977">
        <f>IFERROR(SUMPRODUCT(('ANALYSE - ERP =&gt; SOUS-SEGMENT'!$C$8:$C$154=$C24)*'ANALYSE - ERP =&gt; SOUS-SEGMENT'!$Q$8:$Q$154*'ANALYSE - ERP =&gt; SOUS-SEGMENT'!$AF$8:$AF$154*'ANALYSE - ERP =&gt; SOUS-SEGMENT'!$AS$8:$AS$154)/SUMPRODUCT(('ANALYSE - ERP =&gt; SOUS-SEGMENT'!$C$8:$C$154=$C24)*'ANALYSE - ERP =&gt; SOUS-SEGMENT'!$Q$8:$Q$154*'ANALYSE - ERP =&gt; SOUS-SEGMENT'!$AF$8:$AF$154),"")</f>
        <v>5.1582707926390459</v>
      </c>
      <c r="AT24" s="529" t="s">
        <v>7126</v>
      </c>
      <c r="AU24" s="525" t="s">
        <v>7127</v>
      </c>
      <c r="AV24" s="543" t="s">
        <v>4197</v>
      </c>
      <c r="AW24" s="525"/>
      <c r="AX24" s="529"/>
      <c r="AY24" s="530">
        <f>IFERROR(SUMPRODUCT(('ANALYSE - ERP =&gt; SOUS-SEGMENT'!$C$8:$C$154=$C24)*'ANALYSE - ERP =&gt; SOUS-SEGMENT'!$Q$8:$Q$154*'ANALYSE - ERP =&gt; SOUS-SEGMENT'!$AF$8:$AF$154*'ANALYSE - ERP =&gt; SOUS-SEGMENT'!$AZ$8:$AZ$154)/SUMPRODUCT(('ANALYSE - ERP =&gt; SOUS-SEGMENT'!$C$8:$C$154=$C24)*'ANALYSE - ERP =&gt; SOUS-SEGMENT'!$Q$8:$Q$154*'ANALYSE - ERP =&gt; SOUS-SEGMENT'!$AF$8:$AF$154),"")</f>
        <v>4.3506219800555153</v>
      </c>
      <c r="AZ24" s="978">
        <f>IFERROR(SUMPRODUCT(('ANALYSE - ERP =&gt; SOUS-SEGMENT'!$C$8:$C$154=$C24)*'ANALYSE - ERP =&gt; SOUS-SEGMENT'!$Q$8:$Q$154*'ANALYSE - ERP =&gt; SOUS-SEGMENT'!$AF$8:$AF$154*'ANALYSE - ERP =&gt; SOUS-SEGMENT'!$BA$8:$BA$154)/SUMPRODUCT(('ANALYSE - ERP =&gt; SOUS-SEGMENT'!$C$8:$C$154=$C24)*'ANALYSE - ERP =&gt; SOUS-SEGMENT'!$Q$8:$Q$154*'ANALYSE - ERP =&gt; SOUS-SEGMENT'!$AF$8:$AF$154),"")</f>
        <v>0.70103834686953836</v>
      </c>
      <c r="BA24" s="530">
        <f>IFERROR(SUMPRODUCT(('ANALYSE - ERP =&gt; SOUS-SEGMENT'!$C$8:$C$154=$C24)*'ANALYSE - ERP =&gt; SOUS-SEGMENT'!$Q$8:$Q$154*'ANALYSE - ERP =&gt; SOUS-SEGMENT'!$AF$8:$AF$154*'ANALYSE - ERP =&gt; SOUS-SEGMENT'!$BB$8:$BB$154)/SUMPRODUCT(('ANALYSE - ERP =&gt; SOUS-SEGMENT'!$C$8:$C$154=$C24)*'ANALYSE - ERP =&gt; SOUS-SEGMENT'!$Q$8:$Q$154*'ANALYSE - ERP =&gt; SOUS-SEGMENT'!$AF$8:$AF$154),"")</f>
        <v>0.71602241184332271</v>
      </c>
      <c r="BB24" s="530">
        <f>IFERROR(SUMPRODUCT(('ANALYSE - ERP =&gt; SOUS-SEGMENT'!$C$8:$C$154=$C24)*'ANALYSE - ERP =&gt; SOUS-SEGMENT'!$Q$8:$Q$154*'ANALYSE - ERP =&gt; SOUS-SEGMENT'!$AF$8:$AF$154*'ANALYSE - ERP =&gt; SOUS-SEGMENT'!$BC$8:$BC$154)/SUMPRODUCT(('ANALYSE - ERP =&gt; SOUS-SEGMENT'!$C$8:$C$154=$C24)*'ANALYSE - ERP =&gt; SOUS-SEGMENT'!$Q$8:$Q$154*'ANALYSE - ERP =&gt; SOUS-SEGMENT'!$AF$8:$AF$154),"")</f>
        <v>3.7374318906137556</v>
      </c>
      <c r="BC24" s="531">
        <f>SUMPRODUCT(('ANALYSE - ERP =&gt; SOUS-SEGMENT'!$C$8:$C$154=$C24)*'ANALYSE - ERP =&gt; SOUS-SEGMENT'!$Q$8:$Q$154*'ANALYSE - ERP =&gt; SOUS-SEGMENT'!$BE$8:$BE$154)</f>
        <v>84637</v>
      </c>
      <c r="BD24" s="531">
        <f>SUMPRODUCT(('ANALYSE - ERP =&gt; SOUS-SEGMENT'!$C$8:$C$154=$C24)*'ANALYSE - ERP =&gt; SOUS-SEGMENT'!$Q$8:$Q$154*'ANALYSE - ERP =&gt; SOUS-SEGMENT'!$BF$8:$BF$154)</f>
        <v>13638</v>
      </c>
      <c r="BE24" s="531">
        <f>SUMPRODUCT(('ANALYSE - ERP =&gt; SOUS-SEGMENT'!$C$8:$C$154=$C24)*'ANALYSE - ERP =&gt; SOUS-SEGMENT'!$Q$8:$Q$154*'ANALYSE - ERP =&gt; SOUS-SEGMENT'!$BG$8:$BG$154)</f>
        <v>13929.5</v>
      </c>
      <c r="BF24" s="531">
        <f>SUMPRODUCT(('ANALYSE - ERP =&gt; SOUS-SEGMENT'!$C$8:$C$154=$C24)*'ANALYSE - ERP =&gt; SOUS-SEGMENT'!$Q$8:$Q$154*'ANALYSE - ERP =&gt; SOUS-SEGMENT'!$BH$8:$BH$154)</f>
        <v>72708</v>
      </c>
      <c r="BG24" s="531">
        <f>SUMPRODUCT(('ANALYSE - ERP =&gt; SOUS-SEGMENT'!$C$8:$C$154=$C24)*'ANALYSE - ERP =&gt; SOUS-SEGMENT'!$Q$8:$Q$154*'ANALYSE - ERP =&gt; SOUS-SEGMENT'!$BJ$8:$BJ$154)</f>
        <v>85062</v>
      </c>
      <c r="BH24" s="531">
        <f>SUMPRODUCT(('ANALYSE - ERP =&gt; SOUS-SEGMENT'!$C$8:$C$154=$C24)*'ANALYSE - ERP =&gt; SOUS-SEGMENT'!$Q$8:$Q$154*'ANALYSE - ERP =&gt; SOUS-SEGMENT'!$BK$8:$BK$154)</f>
        <v>14258</v>
      </c>
      <c r="BI24" s="531">
        <f>SUMPRODUCT(('ANALYSE - ERP =&gt; SOUS-SEGMENT'!$C$8:$C$154=$C24)*'ANALYSE - ERP =&gt; SOUS-SEGMENT'!$Q$8:$Q$154*'ANALYSE - ERP =&gt; SOUS-SEGMENT'!$BL$8:$BL$154)</f>
        <v>14077</v>
      </c>
      <c r="BJ24" s="531">
        <f>SUMPRODUCT(('ANALYSE - ERP =&gt; SOUS-SEGMENT'!$C$8:$C$154=$C24)*'ANALYSE - ERP =&gt; SOUS-SEGMENT'!$Q$8:$Q$154*'ANALYSE - ERP =&gt; SOUS-SEGMENT'!$BM$8:$BM$154)</f>
        <v>72983</v>
      </c>
      <c r="BK24" s="529"/>
      <c r="BL24" s="602">
        <f>IFERROR(SUMPRODUCT(('ANALYSE - ERP =&gt; SOUS-SEGMENT'!$C$8:$C$154=$C24)*'ANALYSE - ERP =&gt; SOUS-SEGMENT'!$Q$8:$Q$154*'ANALYSE - ERP =&gt; SOUS-SEGMENT'!$BE$8:$BE$154*'ANALYSE - ERP =&gt; SOUS-SEGMENT'!$BO$8:$BO$154)/SUMPRODUCT(('ANALYSE - ERP =&gt; SOUS-SEGMENT'!$C$8:$C$154=$C24)*'ANALYSE - ERP =&gt; SOUS-SEGMENT'!$Q$8:$Q$154*'ANALYSE - ERP =&gt; SOUS-SEGMENT'!$BE$8:$BE$154),"")</f>
        <v>0.55547739168448795</v>
      </c>
      <c r="BM24" s="532">
        <f>IFERROR(SUMPRODUCT(('ANALYSE - ERP =&gt; SOUS-SEGMENT'!$C$8:$C$154=$C24)*'ANALYSE - ERP =&gt; SOUS-SEGMENT'!$Q$8:$Q$154*'ANALYSE - ERP =&gt; SOUS-SEGMENT'!$BE$8:$BE$154*'ANALYSE - ERP =&gt; SOUS-SEGMENT'!$BP$8:$BP$154)/SUMPRODUCT(('ANALYSE - ERP =&gt; SOUS-SEGMENT'!$C$8:$C$154=$C24)*'ANALYSE - ERP =&gt; SOUS-SEGMENT'!$Q$8:$Q$154*'ANALYSE - ERP =&gt; SOUS-SEGMENT'!$BE$8:$BE$154),"")</f>
        <v>0.34194501222869433</v>
      </c>
      <c r="BN24" s="532">
        <f>IFERROR(SUMPRODUCT(('ANALYSE - ERP =&gt; SOUS-SEGMENT'!$C$8:$C$154=$C24)*'ANALYSE - ERP =&gt; SOUS-SEGMENT'!$Q$8:$Q$154*'ANALYSE - ERP =&gt; SOUS-SEGMENT'!$BE$8:$BE$154*'ANALYSE - ERP =&gt; SOUS-SEGMENT'!$BQ$8:$BQ$154)/SUMPRODUCT(('ANALYSE - ERP =&gt; SOUS-SEGMENT'!$C$8:$C$154=$C24)*'ANALYSE - ERP =&gt; SOUS-SEGMENT'!$Q$8:$Q$154*'ANALYSE - ERP =&gt; SOUS-SEGMENT'!$BE$8:$BE$154),"")</f>
        <v>5.0322199510852227E-2</v>
      </c>
      <c r="BO24" s="603">
        <f>IFERROR(SUMPRODUCT(('ANALYSE - ERP =&gt; SOUS-SEGMENT'!$C$8:$C$154=$C24)*'ANALYSE - ERP =&gt; SOUS-SEGMENT'!$Q$8:$Q$154*'ANALYSE - ERP =&gt; SOUS-SEGMENT'!$BE$8:$BE$154*'ANALYSE - ERP =&gt; SOUS-SEGMENT'!$BR$8:$BR$154)/SUMPRODUCT(('ANALYSE - ERP =&gt; SOUS-SEGMENT'!$C$8:$C$154=$C24)*'ANALYSE - ERP =&gt; SOUS-SEGMENT'!$Q$8:$Q$154*'ANALYSE - ERP =&gt; SOUS-SEGMENT'!$BE$8:$BE$154),"")</f>
        <v>5.225539657596559E-2</v>
      </c>
      <c r="BP24" s="602">
        <f>IFERROR(SUMPRODUCT(('ANALYSE - ERP =&gt; SOUS-SEGMENT'!$C$8:$C$154=$C24)*'ANALYSE - ERP =&gt; SOUS-SEGMENT'!$Q$8:$Q$154*'ANALYSE - ERP =&gt; SOUS-SEGMENT'!$BJ$8:$BJ$154*'ANALYSE - ERP =&gt; SOUS-SEGMENT'!$BS$8:$BS$154)/SUMPRODUCT(('ANALYSE - ERP =&gt; SOUS-SEGMENT'!$C$8:$C$154=$C24)*'ANALYSE - ERP =&gt; SOUS-SEGMENT'!$Q$8:$Q$154*'ANALYSE - ERP =&gt; SOUS-SEGMENT'!$BJ$8:$BJ$154),"")</f>
        <v>0.50672920928264087</v>
      </c>
      <c r="BQ24" s="532">
        <f>IFERROR(SUMPRODUCT(('ANALYSE - ERP =&gt; SOUS-SEGMENT'!$C$8:$C$154=$C24)*'ANALYSE - ERP =&gt; SOUS-SEGMENT'!$Q$8:$Q$154*'ANALYSE - ERP =&gt; SOUS-SEGMENT'!$BJ$8:$BJ$154*'ANALYSE - ERP =&gt; SOUS-SEGMENT'!$BT$8:$BT$154)/SUMPRODUCT(('ANALYSE - ERP =&gt; SOUS-SEGMENT'!$C$8:$C$154=$C24)*'ANALYSE - ERP =&gt; SOUS-SEGMENT'!$Q$8:$Q$154*'ANALYSE - ERP =&gt; SOUS-SEGMENT'!$BJ$8:$BJ$154),"")</f>
        <v>0.36091556746843478</v>
      </c>
      <c r="BR24" s="532">
        <f>IFERROR(SUMPRODUCT(('ANALYSE - ERP =&gt; SOUS-SEGMENT'!$C$8:$C$154=$C24)*'ANALYSE - ERP =&gt; SOUS-SEGMENT'!$Q$8:$Q$154*'ANALYSE - ERP =&gt; SOUS-SEGMENT'!$BJ$8:$BJ$154*'ANALYSE - ERP =&gt; SOUS-SEGMENT'!$BU$8:$BU$154)/SUMPRODUCT(('ANALYSE - ERP =&gt; SOUS-SEGMENT'!$C$8:$C$154=$C24)*'ANALYSE - ERP =&gt; SOUS-SEGMENT'!$Q$8:$Q$154*'ANALYSE - ERP =&gt; SOUS-SEGMENT'!$BJ$8:$BJ$154),"")</f>
        <v>0.08</v>
      </c>
      <c r="BS24" s="603">
        <f>IFERROR(SUMPRODUCT(('ANALYSE - ERP =&gt; SOUS-SEGMENT'!$C$8:$C$154=$C24)*'ANALYSE - ERP =&gt; SOUS-SEGMENT'!$Q$8:$Q$154*'ANALYSE - ERP =&gt; SOUS-SEGMENT'!$BJ$8:$BJ$154*'ANALYSE - ERP =&gt; SOUS-SEGMENT'!$BV$8:$BV$154)/SUMPRODUCT(('ANALYSE - ERP =&gt; SOUS-SEGMENT'!$C$8:$C$154=$C24)*'ANALYSE - ERP =&gt; SOUS-SEGMENT'!$Q$8:$Q$154*'ANALYSE - ERP =&gt; SOUS-SEGMENT'!$BJ$8:$BJ$154),"")</f>
        <v>5.2355223248924311E-2</v>
      </c>
      <c r="BT24" s="604">
        <f>IFERROR(SUMPRODUCT(('ANALYSE - ERP =&gt; SOUS-SEGMENT'!$C$8:$C$154=$C24)*'ANALYSE - ERP =&gt; SOUS-SEGMENT'!$Q$8:$Q$154*'ANALYSE - ERP =&gt; SOUS-SEGMENT'!$BF$8:$BF$154*'ANALYSE - ERP =&gt; SOUS-SEGMENT'!$BW$8:$BW$154)/SUMPRODUCT(('ANALYSE - ERP =&gt; SOUS-SEGMENT'!$C$8:$C$154=$C24)*'ANALYSE - ERP =&gt; SOUS-SEGMENT'!$Q$8:$Q$154*'ANALYSE - ERP =&gt; SOUS-SEGMENT'!$BF$8:$BF$154),"")</f>
        <v>0.61333040035195774</v>
      </c>
      <c r="BU24" s="533">
        <f>IFERROR(SUMPRODUCT(('ANALYSE - ERP =&gt; SOUS-SEGMENT'!$C$8:$C$154=$C24)*'ANALYSE - ERP =&gt; SOUS-SEGMENT'!$Q$8:$Q$154*'ANALYSE - ERP =&gt; SOUS-SEGMENT'!$BF$8:$BF$154*'ANALYSE - ERP =&gt; SOUS-SEGMENT'!$BX$8:$BX$154)/SUMPRODUCT(('ANALYSE - ERP =&gt; SOUS-SEGMENT'!$C$8:$C$154=$C24)*'ANALYSE - ERP =&gt; SOUS-SEGMENT'!$Q$8:$Q$154*'ANALYSE - ERP =&gt; SOUS-SEGMENT'!$BF$8:$BF$154),"")</f>
        <v>0.33666959964804222</v>
      </c>
      <c r="BV24" s="605">
        <f>IFERROR(SUMPRODUCT(('ANALYSE - ERP =&gt; SOUS-SEGMENT'!$C$8:$C$154=$C24)*'ANALYSE - ERP =&gt; SOUS-SEGMENT'!$Q$8:$Q$154*'ANALYSE - ERP =&gt; SOUS-SEGMENT'!$BF$8:$BF$154*'ANALYSE - ERP =&gt; SOUS-SEGMENT'!$BY$8:$BY$154)/SUMPRODUCT(('ANALYSE - ERP =&gt; SOUS-SEGMENT'!$C$8:$C$154=$C24)*'ANALYSE - ERP =&gt; SOUS-SEGMENT'!$Q$8:$Q$154*'ANALYSE - ERP =&gt; SOUS-SEGMENT'!$BF$8:$BF$154),"")</f>
        <v>4.9999999999999996E-2</v>
      </c>
      <c r="BW24" s="604">
        <f>IFERROR(SUMPRODUCT(('ANALYSE - ERP =&gt; SOUS-SEGMENT'!$C$8:$C$154=$C24)*'ANALYSE - ERP =&gt; SOUS-SEGMENT'!$Q$8:$Q$154*'ANALYSE - ERP =&gt; SOUS-SEGMENT'!$BK$8:$BK$154*'ANALYSE - ERP =&gt; SOUS-SEGMENT'!$BZ$8:$BZ$154)/SUMPRODUCT(('ANALYSE - ERP =&gt; SOUS-SEGMENT'!$C$8:$C$154=$C24)*'ANALYSE - ERP =&gt; SOUS-SEGMENT'!$Q$8:$Q$154*'ANALYSE - ERP =&gt; SOUS-SEGMENT'!$BK$8:$BK$154),"")</f>
        <v>0.56472015710478329</v>
      </c>
      <c r="BX24" s="533">
        <f>IFERROR(SUMPRODUCT(('ANALYSE - ERP =&gt; SOUS-SEGMENT'!$C$8:$C$154=$C24)*'ANALYSE - ERP =&gt; SOUS-SEGMENT'!$Q$8:$Q$154*'ANALYSE - ERP =&gt; SOUS-SEGMENT'!$BK$8:$BK$154*'ANALYSE - ERP =&gt; SOUS-SEGMENT'!$CA$8:$CA$154)/SUMPRODUCT(('ANALYSE - ERP =&gt; SOUS-SEGMENT'!$C$8:$C$154=$C24)*'ANALYSE - ERP =&gt; SOUS-SEGMENT'!$Q$8:$Q$154*'ANALYSE - ERP =&gt; SOUS-SEGMENT'!$BK$8:$BK$154),"")</f>
        <v>0.36661803899565154</v>
      </c>
      <c r="BY24" s="605">
        <f>IFERROR(SUMPRODUCT(('ANALYSE - ERP =&gt; SOUS-SEGMENT'!$C$8:$C$154=$C24)*'ANALYSE - ERP =&gt; SOUS-SEGMENT'!$Q$8:$Q$154*'ANALYSE - ERP =&gt; SOUS-SEGMENT'!$BK$8:$BK$154*'ANALYSE - ERP =&gt; SOUS-SEGMENT'!$CB$8:$CB$154)/SUMPRODUCT(('ANALYSE - ERP =&gt; SOUS-SEGMENT'!$C$8:$C$154=$C24)*'ANALYSE - ERP =&gt; SOUS-SEGMENT'!$Q$8:$Q$154*'ANALYSE - ERP =&gt; SOUS-SEGMENT'!$BK$8:$BK$154),"")</f>
        <v>6.8661803899565166E-2</v>
      </c>
      <c r="BZ24" s="602">
        <f>IFERROR(SUMPRODUCT(('ANALYSE - ERP =&gt; SOUS-SEGMENT'!$C$8:$C$154=$C24)*'ANALYSE - ERP =&gt; SOUS-SEGMENT'!$Q$8:$Q$154*'ANALYSE - ERP =&gt; SOUS-SEGMENT'!$BG$8:$BG$154*'ANALYSE - ERP =&gt; SOUS-SEGMENT'!$CC$8:$CC$154)/SUMPRODUCT(('ANALYSE - ERP =&gt; SOUS-SEGMENT'!$C$8:$C$154=$C24)*'ANALYSE - ERP =&gt; SOUS-SEGMENT'!$Q$8:$Q$154*'ANALYSE - ERP =&gt; SOUS-SEGMENT'!$BG$8:$BG$154),"")</f>
        <v>0.12261028751929359</v>
      </c>
      <c r="CA24" s="532">
        <f>IFERROR(SUMPRODUCT(('ANALYSE - ERP =&gt; SOUS-SEGMENT'!$C$8:$C$154=$C24)*'ANALYSE - ERP =&gt; SOUS-SEGMENT'!$Q$8:$Q$154*'ANALYSE - ERP =&gt; SOUS-SEGMENT'!$BG$8:$BG$154*'ANALYSE - ERP =&gt; SOUS-SEGMENT'!$CD$8:$CD$154)/SUMPRODUCT(('ANALYSE - ERP =&gt; SOUS-SEGMENT'!$C$8:$C$154=$C24)*'ANALYSE - ERP =&gt; SOUS-SEGMENT'!$Q$8:$Q$154*'ANALYSE - ERP =&gt; SOUS-SEGMENT'!$BG$8:$BG$154),"")</f>
        <v>0.4516314296995585</v>
      </c>
      <c r="CB24" s="532">
        <f>IFERROR(SUMPRODUCT(('ANALYSE - ERP =&gt; SOUS-SEGMENT'!$C$8:$C$154=$C24)*'ANALYSE - ERP =&gt; SOUS-SEGMENT'!$Q$8:$Q$154*'ANALYSE - ERP =&gt; SOUS-SEGMENT'!$BG$8:$BG$154*'ANALYSE - ERP =&gt; SOUS-SEGMENT'!$CE$8:$CE$154)/SUMPRODUCT(('ANALYSE - ERP =&gt; SOUS-SEGMENT'!$C$8:$C$154=$C24)*'ANALYSE - ERP =&gt; SOUS-SEGMENT'!$Q$8:$Q$154*'ANALYSE - ERP =&gt; SOUS-SEGMENT'!$BG$8:$BG$154),"")</f>
        <v>0.11934742812017661</v>
      </c>
      <c r="CC24" s="603">
        <f>IFERROR(SUMPRODUCT(('ANALYSE - ERP =&gt; SOUS-SEGMENT'!$C$8:$C$154=$C24)*'ANALYSE - ERP =&gt; SOUS-SEGMENT'!$Q$8:$Q$154*'ANALYSE - ERP =&gt; SOUS-SEGMENT'!$BG$8:$BG$154*'ANALYSE - ERP =&gt; SOUS-SEGMENT'!$CF$8:$CF$154)/SUMPRODUCT(('ANALYSE - ERP =&gt; SOUS-SEGMENT'!$C$8:$C$154=$C24)*'ANALYSE - ERP =&gt; SOUS-SEGMENT'!$Q$8:$Q$154*'ANALYSE - ERP =&gt; SOUS-SEGMENT'!$BG$8:$BG$154),"")</f>
        <v>0.30641085466097129</v>
      </c>
      <c r="CD24" s="602">
        <f>IFERROR(SUMPRODUCT(('ANALYSE - ERP =&gt; SOUS-SEGMENT'!$C$8:$C$154=$C24)*'ANALYSE - ERP =&gt; SOUS-SEGMENT'!$Q$8:$Q$154*'ANALYSE - ERP =&gt; SOUS-SEGMENT'!$BL$8:$BL$154*'ANALYSE - ERP =&gt; SOUS-SEGMENT'!$CG$8:$CG$154)/SUMPRODUCT(('ANALYSE - ERP =&gt; SOUS-SEGMENT'!$C$8:$C$154=$C24)*'ANALYSE - ERP =&gt; SOUS-SEGMENT'!$Q$8:$Q$154*'ANALYSE - ERP =&gt; SOUS-SEGMENT'!$BL$8:$BL$154),"")</f>
        <v>0.10271080485898984</v>
      </c>
      <c r="CE24" s="532">
        <f>IFERROR(SUMPRODUCT(('ANALYSE - ERP =&gt; SOUS-SEGMENT'!$C$8:$C$154=$C24)*'ANALYSE - ERP =&gt; SOUS-SEGMENT'!$Q$8:$Q$154*'ANALYSE - ERP =&gt; SOUS-SEGMENT'!$BL$8:$BL$154*'ANALYSE - ERP =&gt; SOUS-SEGMENT'!$CH$8:$CH$154)/SUMPRODUCT(('ANALYSE - ERP =&gt; SOUS-SEGMENT'!$C$8:$C$154=$C24)*'ANALYSE - ERP =&gt; SOUS-SEGMENT'!$Q$8:$Q$154*'ANALYSE - ERP =&gt; SOUS-SEGMENT'!$BL$8:$BL$154),"")</f>
        <v>0.45169425303686866</v>
      </c>
      <c r="CF24" s="532">
        <f>IFERROR(SUMPRODUCT(('ANALYSE - ERP =&gt; SOUS-SEGMENT'!$C$8:$C$154=$C24)*'ANALYSE - ERP =&gt; SOUS-SEGMENT'!$Q$8:$Q$154*'ANALYSE - ERP =&gt; SOUS-SEGMENT'!$BL$8:$BL$154*'ANALYSE - ERP =&gt; SOUS-SEGMENT'!$CI$8:$CI$154)/SUMPRODUCT(('ANALYSE - ERP =&gt; SOUS-SEGMENT'!$C$8:$C$154=$C24)*'ANALYSE - ERP =&gt; SOUS-SEGMENT'!$Q$8:$Q$154*'ANALYSE - ERP =&gt; SOUS-SEGMENT'!$BL$8:$BL$154),"")</f>
        <v>0.14898344817787879</v>
      </c>
      <c r="CG24" s="603">
        <f>IFERROR(SUMPRODUCT(('ANALYSE - ERP =&gt; SOUS-SEGMENT'!$C$8:$C$154=$C24)*'ANALYSE - ERP =&gt; SOUS-SEGMENT'!$Q$8:$Q$154*'ANALYSE - ERP =&gt; SOUS-SEGMENT'!$BL$8:$BL$154*'ANALYSE - ERP =&gt; SOUS-SEGMENT'!$CJ$8:$CJ$154)/SUMPRODUCT(('ANALYSE - ERP =&gt; SOUS-SEGMENT'!$C$8:$C$154=$C24)*'ANALYSE - ERP =&gt; SOUS-SEGMENT'!$Q$8:$Q$154*'ANALYSE - ERP =&gt; SOUS-SEGMENT'!$BL$8:$BL$154),"")</f>
        <v>0.29661149392626268</v>
      </c>
      <c r="CH24" s="604">
        <f>IFERROR(SUMPRODUCT(('ANALYSE - ERP =&gt; SOUS-SEGMENT'!$C$8:$C$154=$C24)*'ANALYSE - ERP =&gt; SOUS-SEGMENT'!$Q$8:$Q$154*'ANALYSE - ERP =&gt; SOUS-SEGMENT'!$BH$8:$BH$154*'ANALYSE - ERP =&gt; SOUS-SEGMENT'!$CK$8:$CK$154)/SUMPRODUCT(('ANALYSE - ERP =&gt; SOUS-SEGMENT'!$C$8:$C$154=$C24)*'ANALYSE - ERP =&gt; SOUS-SEGMENT'!$Q$8:$Q$154*'ANALYSE - ERP =&gt; SOUS-SEGMENT'!$BH$8:$BH$154),"")</f>
        <v>0.60375061891401216</v>
      </c>
      <c r="CI24" s="533">
        <f>IFERROR(SUMPRODUCT(('ANALYSE - ERP =&gt; SOUS-SEGMENT'!$C$8:$C$154=$C24)*'ANALYSE - ERP =&gt; SOUS-SEGMENT'!$Q$8:$Q$154*'ANALYSE - ERP =&gt; SOUS-SEGMENT'!$BH$8:$BH$154*'ANALYSE - ERP =&gt; SOUS-SEGMENT'!$CL$8:$CL$154)/SUMPRODUCT(('ANALYSE - ERP =&gt; SOUS-SEGMENT'!$C$8:$C$154=$C24)*'ANALYSE - ERP =&gt; SOUS-SEGMENT'!$Q$8:$Q$154*'ANALYSE - ERP =&gt; SOUS-SEGMENT'!$BH$8:$BH$154),"")</f>
        <v>0.34624938108598774</v>
      </c>
      <c r="CJ24" s="605">
        <f>IFERROR(SUMPRODUCT(('ANALYSE - ERP =&gt; SOUS-SEGMENT'!$C$8:$C$154=$C24)*'ANALYSE - ERP =&gt; SOUS-SEGMENT'!$Q$8:$Q$154*'ANALYSE - ERP =&gt; SOUS-SEGMENT'!$BH$8:$BH$154*'ANALYSE - ERP =&gt; SOUS-SEGMENT'!$CM$8:$CM$154)/SUMPRODUCT(('ANALYSE - ERP =&gt; SOUS-SEGMENT'!$C$8:$C$154=$C24)*'ANALYSE - ERP =&gt; SOUS-SEGMENT'!$Q$8:$Q$154*'ANALYSE - ERP =&gt; SOUS-SEGMENT'!$BH$8:$BH$154),"")</f>
        <v>0.05</v>
      </c>
      <c r="CK24" s="604">
        <f>IFERROR(SUMPRODUCT(('ANALYSE - ERP =&gt; SOUS-SEGMENT'!$C$8:$C$154=$C24)*'ANALYSE - ERP =&gt; SOUS-SEGMENT'!$Q$8:$Q$154*'ANALYSE - ERP =&gt; SOUS-SEGMENT'!$BM$8:$BM$154*'ANALYSE - ERP =&gt; SOUS-SEGMENT'!$CN$8:$CN$154)/SUMPRODUCT(('ANALYSE - ERP =&gt; SOUS-SEGMENT'!$C$8:$C$154=$C24)*'ANALYSE - ERP =&gt; SOUS-SEGMENT'!$Q$8:$Q$154*'ANALYSE - ERP =&gt; SOUS-SEGMENT'!$BM$8:$BM$154),"")</f>
        <v>0.55392146116218843</v>
      </c>
      <c r="CL24" s="533">
        <f>IFERROR(SUMPRODUCT(('ANALYSE - ERP =&gt; SOUS-SEGMENT'!$C$8:$C$154=$C24)*'ANALYSE - ERP =&gt; SOUS-SEGMENT'!$Q$8:$Q$154*'ANALYSE - ERP =&gt; SOUS-SEGMENT'!$BM$8:$BM$154*'ANALYSE - ERP =&gt; SOUS-SEGMENT'!$CO$8:$CO$154)/SUMPRODUCT(('ANALYSE - ERP =&gt; SOUS-SEGMENT'!$C$8:$C$154=$C24)*'ANALYSE - ERP =&gt; SOUS-SEGMENT'!$Q$8:$Q$154*'ANALYSE - ERP =&gt; SOUS-SEGMENT'!$BM$8:$BM$154),"")</f>
        <v>0.37581710809366564</v>
      </c>
      <c r="CM24" s="605">
        <f>IFERROR(SUMPRODUCT(('ANALYSE - ERP =&gt; SOUS-SEGMENT'!$C$8:$C$154=$C24)*'ANALYSE - ERP =&gt; SOUS-SEGMENT'!$Q$8:$Q$154*'ANALYSE - ERP =&gt; SOUS-SEGMENT'!$BM$8:$BM$154*'ANALYSE - ERP =&gt; SOUS-SEGMENT'!$CP$8:$CP$154)/SUMPRODUCT(('ANALYSE - ERP =&gt; SOUS-SEGMENT'!$C$8:$C$154=$C24)*'ANALYSE - ERP =&gt; SOUS-SEGMENT'!$Q$8:$Q$154*'ANALYSE - ERP =&gt; SOUS-SEGMENT'!$BM$8:$BM$154),"")</f>
        <v>7.0261430744145897E-2</v>
      </c>
      <c r="CN24" s="529"/>
      <c r="CO24" s="899">
        <f>IFERROR(SUMPRODUCT(('ANALYSE - ERP =&gt; SOUS-SEGMENT'!$C$8:$C$154=$C24)*'ANALYSE - ERP =&gt; SOUS-SEGMENT'!$DH$8:$DH$154*('ANALYSE - ERP =&gt; SOUS-SEGMENT'!$CR$8:$CR$154&gt;0)*'ANALYSE - ERP =&gt; SOUS-SEGMENT'!$CR$8:$CR$154)/SUMPRODUCT(('ANALYSE - ERP =&gt; SOUS-SEGMENT'!$C$8:$C$154=$C24)*'ANALYSE - ERP =&gt; SOUS-SEGMENT'!$DH$8:$DH$154*('ANALYSE - ERP =&gt; SOUS-SEGMENT'!$CR$8:$CR$154&gt;0)),"")</f>
        <v>12</v>
      </c>
      <c r="CP24" s="900">
        <f>IFERROR(SUMPRODUCT(('ANALYSE - ERP =&gt; SOUS-SEGMENT'!$C$8:$C$154=$C24)*'ANALYSE - ERP =&gt; SOUS-SEGMENT'!$DI$8:$DI$154*('ANALYSE - ERP =&gt; SOUS-SEGMENT'!$CS$8:$CS$154&gt;0)*'ANALYSE - ERP =&gt; SOUS-SEGMENT'!$CS$8:$CS$154)/SUMPRODUCT(('ANALYSE - ERP =&gt; SOUS-SEGMENT'!$C$8:$C$154=$C24)*'ANALYSE - ERP =&gt; SOUS-SEGMENT'!$DI$8:$DI$154*('ANALYSE - ERP =&gt; SOUS-SEGMENT'!$CS$8:$CS$154&gt;0)),"")</f>
        <v>12.990577446685004</v>
      </c>
      <c r="CQ24" s="900">
        <f>IFERROR(SUMPRODUCT(('ANALYSE - ERP =&gt; SOUS-SEGMENT'!$C$8:$C$154=$C24)*'ANALYSE - ERP =&gt; SOUS-SEGMENT'!$DJ$8:$DJ$154*('ANALYSE - ERP =&gt; SOUS-SEGMENT'!$CT$8:$CT$154&gt;0)*'ANALYSE - ERP =&gt; SOUS-SEGMENT'!$CT$8:$CT$154)/SUMPRODUCT(('ANALYSE - ERP =&gt; SOUS-SEGMENT'!$C$8:$C$154=$C24)*'ANALYSE - ERP =&gt; SOUS-SEGMENT'!$DJ$8:$DJ$154*('ANALYSE - ERP =&gt; SOUS-SEGMENT'!$CT$8:$CT$154&gt;0)),"")</f>
        <v>9</v>
      </c>
      <c r="CR24" s="901">
        <f>IFERROR(SUMPRODUCT(('ANALYSE - ERP =&gt; SOUS-SEGMENT'!$C$8:$C$154=$C24)*'ANALYSE - ERP =&gt; SOUS-SEGMENT'!$DK$8:$DK$154*('ANALYSE - ERP =&gt; SOUS-SEGMENT'!$CU$8:$CU$154&gt;0)*'ANALYSE - ERP =&gt; SOUS-SEGMENT'!$CU$8:$CU$154)/SUMPRODUCT(('ANALYSE - ERP =&gt; SOUS-SEGMENT'!$C$8:$C$154=$C24)*'ANALYSE - ERP =&gt; SOUS-SEGMENT'!$DK$8:$DK$154*('ANALYSE - ERP =&gt; SOUS-SEGMENT'!$CU$8:$CU$154&gt;0)),"")</f>
        <v>11</v>
      </c>
      <c r="CS24" s="899">
        <f>IFERROR(SUMPRODUCT(('ANALYSE - ERP =&gt; SOUS-SEGMENT'!$C$8:$C$154=$C24)*'ANALYSE - ERP =&gt; SOUS-SEGMENT'!$DS$8:$DS$154*('ANALYSE - ERP =&gt; SOUS-SEGMENT'!$CV$8:$CV$154&gt;0)*'ANALYSE - ERP =&gt; SOUS-SEGMENT'!$CV$8:$CV$154)/SUMPRODUCT(('ANALYSE - ERP =&gt; SOUS-SEGMENT'!$C$8:$C$154=$C24)*'ANALYSE - ERP =&gt; SOUS-SEGMENT'!$DS$8:$DS$154*('ANALYSE - ERP =&gt; SOUS-SEGMENT'!$CV$8:$CV$154&gt;0)),"")</f>
        <v>11</v>
      </c>
      <c r="CT24" s="900">
        <f>IFERROR(SUMPRODUCT(('ANALYSE - ERP =&gt; SOUS-SEGMENT'!$C$8:$C$154=$C24)*'ANALYSE - ERP =&gt; SOUS-SEGMENT'!$DT$8:$DT$154*('ANALYSE - ERP =&gt; SOUS-SEGMENT'!$CW$8:$CW$154&gt;0)*'ANALYSE - ERP =&gt; SOUS-SEGMENT'!$CW$8:$CW$154)/SUMPRODUCT(('ANALYSE - ERP =&gt; SOUS-SEGMENT'!$C$8:$C$154=$C24)*'ANALYSE - ERP =&gt; SOUS-SEGMENT'!$DT$8:$DT$154*('ANALYSE - ERP =&gt; SOUS-SEGMENT'!$CW$8:$CW$154&gt;0)),"")</f>
        <v>10.098987259065664</v>
      </c>
      <c r="CU24" s="901">
        <f>IFERROR(SUMPRODUCT(('ANALYSE - ERP =&gt; SOUS-SEGMENT'!$C$8:$C$154=$C24)*'ANALYSE - ERP =&gt; SOUS-SEGMENT'!$DU$8:$DU$154*('ANALYSE - ERP =&gt; SOUS-SEGMENT'!$CX$8:$CX$154&gt;0)*'ANALYSE - ERP =&gt; SOUS-SEGMENT'!$CX$8:$CX$154)/SUMPRODUCT(('ANALYSE - ERP =&gt; SOUS-SEGMENT'!$C$8:$C$154=$C24)*'ANALYSE - ERP =&gt; SOUS-SEGMENT'!$DU$8:$DU$154*('ANALYSE - ERP =&gt; SOUS-SEGMENT'!$CX$8:$CX$154&gt;0)),"")</f>
        <v>8</v>
      </c>
      <c r="CV24" s="899">
        <f>IFERROR(SUMPRODUCT(('ANALYSE - ERP =&gt; SOUS-SEGMENT'!$C$8:$C$154=$C24)*'ANALYSE - ERP =&gt; SOUS-SEGMENT'!$EB$8:$EB$154*('ANALYSE - ERP =&gt; SOUS-SEGMENT'!$CY$8:$CY$154&gt;0)*'ANALYSE - ERP =&gt; SOUS-SEGMENT'!$CY$8:$CY$154)/SUMPRODUCT(('ANALYSE - ERP =&gt; SOUS-SEGMENT'!$C$8:$C$154=$C24)*'ANALYSE - ERP =&gt; SOUS-SEGMENT'!$EB$8:$EB$154*('ANALYSE - ERP =&gt; SOUS-SEGMENT'!$CY$8:$CY$154&gt;0)),"")</f>
        <v>10</v>
      </c>
      <c r="CW24" s="900">
        <f>IFERROR(SUMPRODUCT(('ANALYSE - ERP =&gt; SOUS-SEGMENT'!$C$8:$C$154=$C24)*'ANALYSE - ERP =&gt; SOUS-SEGMENT'!$EC$8:$EC$154*('ANALYSE - ERP =&gt; SOUS-SEGMENT'!$CZ$8:$CZ$154&gt;0)*'ANALYSE - ERP =&gt; SOUS-SEGMENT'!$CZ$8:$CZ$154)/SUMPRODUCT(('ANALYSE - ERP =&gt; SOUS-SEGMENT'!$C$8:$C$154=$C24)*'ANALYSE - ERP =&gt; SOUS-SEGMENT'!$EC$8:$EC$154*('ANALYSE - ERP =&gt; SOUS-SEGMENT'!$CZ$8:$CZ$154&gt;0)),"")</f>
        <v>11.963876967095851</v>
      </c>
      <c r="CX24" s="900">
        <f>IFERROR(SUMPRODUCT(('ANALYSE - ERP =&gt; SOUS-SEGMENT'!$C$8:$C$154=$C24)*'ANALYSE - ERP =&gt; SOUS-SEGMENT'!$ED$8:$ED$154*('ANALYSE - ERP =&gt; SOUS-SEGMENT'!$DA$8:$DA$154&gt;0)*'ANALYSE - ERP =&gt; SOUS-SEGMENT'!$DA$8:$DA$154)/SUMPRODUCT(('ANALYSE - ERP =&gt; SOUS-SEGMENT'!$C$8:$C$154=$C24)*'ANALYSE - ERP =&gt; SOUS-SEGMENT'!$ED$8:$ED$154*('ANALYSE - ERP =&gt; SOUS-SEGMENT'!$DA$8:$DA$154&gt;0)),"")</f>
        <v>8</v>
      </c>
      <c r="CY24" s="902">
        <f>IFERROR(SUMPRODUCT(('ANALYSE - ERP =&gt; SOUS-SEGMENT'!$C$8:$C$154=$C24)*'ANALYSE - ERP =&gt; SOUS-SEGMENT'!$EE$8:$EE$154*('ANALYSE - ERP =&gt; SOUS-SEGMENT'!$DB$8:$DB$154&gt;0)*'ANALYSE - ERP =&gt; SOUS-SEGMENT'!$DB$8:$DB$154)/SUMPRODUCT(('ANALYSE - ERP =&gt; SOUS-SEGMENT'!$C$8:$C$154=$C24)*'ANALYSE - ERP =&gt; SOUS-SEGMENT'!$EE$8:$EE$154*('ANALYSE - ERP =&gt; SOUS-SEGMENT'!$DB$8:$DB$154&gt;0)),"")</f>
        <v>9.9787027166336717</v>
      </c>
      <c r="CZ24" s="903">
        <f>IFERROR(SUMPRODUCT(('ANALYSE - ERP =&gt; SOUS-SEGMENT'!$C$8:$C$154=$C24)*'ANALYSE - ERP =&gt; SOUS-SEGMENT'!$EM$8:$EM$154*('ANALYSE - ERP =&gt; SOUS-SEGMENT'!$DC$8:$DC$154&gt;0)*'ANALYSE - ERP =&gt; SOUS-SEGMENT'!$DC$8:$DC$154)/SUMPRODUCT(('ANALYSE - ERP =&gt; SOUS-SEGMENT'!$C$8:$C$154=$C24)*'ANALYSE - ERP =&gt; SOUS-SEGMENT'!$EM$8:$EM$154*('ANALYSE - ERP =&gt; SOUS-SEGMENT'!$DC$8:$DC$154&gt;0)),"")</f>
        <v>12.968939005638134</v>
      </c>
      <c r="DA24" s="900">
        <f>IFERROR(SUMPRODUCT(('ANALYSE - ERP =&gt; SOUS-SEGMENT'!$C$8:$C$154=$C24)*'ANALYSE - ERP =&gt; SOUS-SEGMENT'!$EN$8:$EN$154*('ANALYSE - ERP =&gt; SOUS-SEGMENT'!$DD$8:$DD$154&gt;0)*'ANALYSE - ERP =&gt; SOUS-SEGMENT'!$DD$8:$DD$154)/SUMPRODUCT(('ANALYSE - ERP =&gt; SOUS-SEGMENT'!$C$8:$C$154=$C24)*'ANALYSE - ERP =&gt; SOUS-SEGMENT'!$EN$8:$EN$154*('ANALYSE - ERP =&gt; SOUS-SEGMENT'!$DD$8:$DD$154&gt;0)),"")</f>
        <v>12.971114315335392</v>
      </c>
      <c r="DB24" s="902">
        <f>IFERROR(SUMPRODUCT(('ANALYSE - ERP =&gt; SOUS-SEGMENT'!$C$8:$C$154=$C24)*'ANALYSE - ERP =&gt; SOUS-SEGMENT'!$EO$8:$EO$154*('ANALYSE - ERP =&gt; SOUS-SEGMENT'!$DE$8:$DE$154&gt;0)*'ANALYSE - ERP =&gt; SOUS-SEGMENT'!$DE$8:$DE$154)/SUMPRODUCT(('ANALYSE - ERP =&gt; SOUS-SEGMENT'!$C$8:$C$154=$C24)*'ANALYSE - ERP =&gt; SOUS-SEGMENT'!$EO$8:$EO$154*('ANALYSE - ERP =&gt; SOUS-SEGMENT'!$DE$8:$DE$154&gt;0)),"")</f>
        <v>9</v>
      </c>
      <c r="DC24" s="612" t="s">
        <v>7128</v>
      </c>
      <c r="DD24" s="529"/>
      <c r="DE24" s="535">
        <f t="shared" si="2"/>
        <v>47013.94000000001</v>
      </c>
      <c r="DF24" s="535">
        <f t="shared" si="3"/>
        <v>28941.200000000001</v>
      </c>
      <c r="DG24" s="535">
        <f t="shared" si="4"/>
        <v>4259.12</v>
      </c>
      <c r="DH24" s="535">
        <f t="shared" si="5"/>
        <v>4422.74</v>
      </c>
      <c r="DI24" s="534" t="s">
        <v>7129</v>
      </c>
      <c r="DJ24" s="535">
        <f t="shared" si="6"/>
        <v>43103.399999999994</v>
      </c>
      <c r="DK24" s="535">
        <f t="shared" si="7"/>
        <v>30700.2</v>
      </c>
      <c r="DL24" s="535">
        <f t="shared" si="8"/>
        <v>6804.96</v>
      </c>
      <c r="DM24" s="535">
        <f t="shared" si="9"/>
        <v>4453.4399999999996</v>
      </c>
      <c r="DN24" s="534" t="s">
        <v>7130</v>
      </c>
      <c r="DO24" s="529"/>
      <c r="DP24" s="535">
        <f t="shared" si="10"/>
        <v>8364.6</v>
      </c>
      <c r="DQ24" s="535">
        <f t="shared" si="11"/>
        <v>4591.5</v>
      </c>
      <c r="DR24" s="535">
        <f t="shared" si="12"/>
        <v>681.9</v>
      </c>
      <c r="DS24" s="534" t="s">
        <v>7131</v>
      </c>
      <c r="DT24" s="535">
        <f t="shared" si="13"/>
        <v>8051.78</v>
      </c>
      <c r="DU24" s="535">
        <f t="shared" si="14"/>
        <v>5227.24</v>
      </c>
      <c r="DV24" s="535">
        <f t="shared" si="15"/>
        <v>978.98000000000013</v>
      </c>
      <c r="DW24" s="534" t="s">
        <v>7132</v>
      </c>
      <c r="DX24" s="529"/>
      <c r="DY24" s="535">
        <f t="shared" si="16"/>
        <v>1707.9</v>
      </c>
      <c r="DZ24" s="535">
        <f t="shared" si="17"/>
        <v>6291</v>
      </c>
      <c r="EA24" s="535">
        <f t="shared" si="18"/>
        <v>1662.45</v>
      </c>
      <c r="EB24" s="535">
        <f t="shared" si="19"/>
        <v>4268.1499999999996</v>
      </c>
      <c r="EC24" s="534" t="s">
        <v>7133</v>
      </c>
      <c r="ED24" s="535">
        <f t="shared" si="20"/>
        <v>1445.86</v>
      </c>
      <c r="EE24" s="535">
        <f t="shared" si="21"/>
        <v>6358.5</v>
      </c>
      <c r="EF24" s="535">
        <f t="shared" si="22"/>
        <v>2097.2399999999998</v>
      </c>
      <c r="EG24" s="535">
        <f t="shared" si="23"/>
        <v>4175.3999999999996</v>
      </c>
      <c r="EH24" s="615" t="s">
        <v>7134</v>
      </c>
      <c r="EI24" s="537"/>
      <c r="EJ24" s="535">
        <f t="shared" si="24"/>
        <v>43897.499999999993</v>
      </c>
      <c r="EK24" s="538">
        <f t="shared" si="25"/>
        <v>25175.099999999995</v>
      </c>
      <c r="EL24" s="538">
        <f t="shared" si="26"/>
        <v>3635.4</v>
      </c>
      <c r="EM24" s="534" t="s">
        <v>7135</v>
      </c>
      <c r="EN24" s="535">
        <f t="shared" si="27"/>
        <v>40426.85</v>
      </c>
      <c r="EO24" s="538">
        <f t="shared" si="28"/>
        <v>27428.26</v>
      </c>
      <c r="EP24" s="538">
        <f t="shared" si="29"/>
        <v>5127.8900000000003</v>
      </c>
      <c r="EQ24" s="536" t="s">
        <v>7136</v>
      </c>
      <c r="ER24" s="529"/>
      <c r="ES24" s="776">
        <f t="shared" si="30"/>
        <v>0.79613381415598738</v>
      </c>
      <c r="ET24" s="776">
        <f t="shared" si="31"/>
        <v>0.13357760138926414</v>
      </c>
      <c r="EU24" s="539">
        <f t="shared" si="32"/>
        <v>82765.62452527805</v>
      </c>
      <c r="EV24" s="539">
        <f t="shared" si="33"/>
        <v>68351.830750278052</v>
      </c>
      <c r="EW24" s="539">
        <f t="shared" si="34"/>
        <v>14413.793774999998</v>
      </c>
      <c r="EX24" s="539">
        <f t="shared" si="35"/>
        <v>38065.019977125099</v>
      </c>
      <c r="EY24" s="539">
        <f>SUMPRODUCT(('ANALYSE - ERP =&gt; SOUS-SEGMENT'!$C$8:$C$154=$C24)*'ANALYSE - ERP =&gt; SOUS-SEGMENT'!$Q$8:$Q$154*'ANALYSE - ERP =&gt; SOUS-SEGMENT'!$FB$8:$FB$154)</f>
        <v>31610.564067125099</v>
      </c>
      <c r="EZ24" s="539">
        <f>SUMPRODUCT(('ANALYSE - ERP =&gt; SOUS-SEGMENT'!$C$8:$C$154=$C24)*'ANALYSE - ERP =&gt; SOUS-SEGMENT'!$Q$8:$Q$154*'ANALYSE - ERP =&gt; SOUS-SEGMENT'!$FC$8:$FC$154)</f>
        <v>6454.4559099999997</v>
      </c>
      <c r="FA24" s="539">
        <f t="shared" si="36"/>
        <v>6347.6681529136367</v>
      </c>
      <c r="FB24" s="539">
        <f>SUMPRODUCT(('ANALYSE - ERP =&gt; SOUS-SEGMENT'!$C$8:$C$154=$C24)*'ANALYSE - ERP =&gt; SOUS-SEGMENT'!$Q$8:$Q$154*'ANALYSE - ERP =&gt; SOUS-SEGMENT'!$FE$8:$FE$154)</f>
        <v>4983.9082129136368</v>
      </c>
      <c r="FC24" s="539">
        <f>SUMPRODUCT(('ANALYSE - ERP =&gt; SOUS-SEGMENT'!$C$8:$C$154=$C24)*'ANALYSE - ERP =&gt; SOUS-SEGMENT'!$Q$8:$Q$154*'ANALYSE - ERP =&gt; SOUS-SEGMENT'!$FF$8:$FF$154)</f>
        <v>1363.7599399999999</v>
      </c>
      <c r="FD24" s="539">
        <f t="shared" si="37"/>
        <v>6914.0939699518185</v>
      </c>
      <c r="FE24" s="539">
        <f>SUMPRODUCT(('ANALYSE - ERP =&gt; SOUS-SEGMENT'!$C$8:$C$154=$C24)*'ANALYSE - ERP =&gt; SOUS-SEGMENT'!$Q$8:$Q$154*'ANALYSE - ERP =&gt; SOUS-SEGMENT'!$FH$8:$FH$154)</f>
        <v>5807.6349849518183</v>
      </c>
      <c r="FF24" s="539">
        <f>SUMPRODUCT(('ANALYSE - ERP =&gt; SOUS-SEGMENT'!$C$8:$C$154=$C24)*'ANALYSE - ERP =&gt; SOUS-SEGMENT'!$Q$8:$Q$154*'ANALYSE - ERP =&gt; SOUS-SEGMENT'!$FI$8:$FI$154)</f>
        <v>1106.458985</v>
      </c>
      <c r="FG24" s="539">
        <f t="shared" si="38"/>
        <v>31438.842425287494</v>
      </c>
      <c r="FH24" s="539">
        <f>SUMPRODUCT(('ANALYSE - ERP =&gt; SOUS-SEGMENT'!$C$8:$C$154=$C24)*'ANALYSE - ERP =&gt; SOUS-SEGMENT'!$Q$8:$Q$154*'ANALYSE - ERP =&gt; SOUS-SEGMENT'!$FK$8:$FK$154)</f>
        <v>25949.723485287494</v>
      </c>
      <c r="FI24" s="539">
        <f>SUMPRODUCT(('ANALYSE - ERP =&gt; SOUS-SEGMENT'!$C$8:$C$154=$C24)*'ANALYSE - ERP =&gt; SOUS-SEGMENT'!$Q$8:$Q$154*'ANALYSE - ERP =&gt; SOUS-SEGMENT'!$FL$8:$FL$154)</f>
        <v>5489.1189399999994</v>
      </c>
      <c r="FJ24" s="529"/>
      <c r="FK24" s="540" t="s">
        <v>2649</v>
      </c>
      <c r="FL24" s="776">
        <f>IFERROR(SUMPRODUCT(('ANALYSE - ERP =&gt; SOUS-SEGMENT'!$C$8:$C$154=$C24)*'ANALYSE - ERP =&gt; SOUS-SEGMENT'!$Q$8:$Q$154*'ANALYSE - ERP =&gt; SOUS-SEGMENT'!$AF$8:$AF$154*'ANALYSE - ERP =&gt; SOUS-SEGMENT'!$FO$8:$FO$154)/SUMPRODUCT(('ANALYSE - ERP =&gt; SOUS-SEGMENT'!$C$8:$C$154=$C24)*'ANALYSE - ERP =&gt; SOUS-SEGMENT'!$Q$8:$Q$154*'ANALYSE - ERP =&gt; SOUS-SEGMENT'!$AF$8:$AF$154),"")</f>
        <v>5.8066694253109896E-2</v>
      </c>
      <c r="FM24" s="777">
        <f>IFERROR(SUMPRODUCT(('ANALYSE - ERP =&gt; SOUS-SEGMENT'!$C$8:$C$154=$C24)*'ANALYSE - ERP =&gt; SOUS-SEGMENT'!$Q$8:$Q$154*'ANALYSE - ERP =&gt; SOUS-SEGMENT'!$AF$8:$AF$154*'ANALYSE - ERP =&gt; SOUS-SEGMENT'!$FP$8:$FP$154)/SUMPRODUCT(('ANALYSE - ERP =&gt; SOUS-SEGMENT'!$C$8:$C$154=$C24)*'ANALYSE - ERP =&gt; SOUS-SEGMENT'!$Q$8:$Q$154*'ANALYSE - ERP =&gt; SOUS-SEGMENT'!$AF$8:$AF$154),"")</f>
        <v>0.81215627891436215</v>
      </c>
      <c r="FN24" s="541" t="s">
        <v>6780</v>
      </c>
      <c r="FO24" s="529"/>
      <c r="FP24" s="904">
        <f>IFERROR(SUMPRODUCT(('ANALYSE - ERP =&gt; SOUS-SEGMENT'!$C$8:$C$154=$C24)*'ANALYSE - ERP =&gt; SOUS-SEGMENT'!$Q$8:$Q$154*'ANALYSE - ERP =&gt; SOUS-SEGMENT'!$EX$8:$EX$154*'ANALYSE - ERP =&gt; SOUS-SEGMENT'!$FS$8:$FS$154)/SUMPRODUCT(('ANALYSE - ERP =&gt; SOUS-SEGMENT'!$C$8:$C$154=$C24)*'ANALYSE - ERP =&gt; SOUS-SEGMENT'!$Q$8:$Q$154*'ANALYSE - ERP =&gt; SOUS-SEGMENT'!$EX$8:$EX$154),"")</f>
        <v>3.5849835179302727</v>
      </c>
      <c r="FQ24" s="542">
        <f>RANK($FP24,$FP$8:$FP$143,0)+COUNTIF($FP$8:$FP24,$FP24)-1</f>
        <v>9</v>
      </c>
      <c r="FR24" s="904">
        <f>IFERROR(SUMPRODUCT(('ANALYSE - ERP =&gt; SOUS-SEGMENT'!$C$8:$C$154=$C24)*'ANALYSE - ERP =&gt; SOUS-SEGMENT'!$Q$8:$Q$154*'ANALYSE - ERP =&gt; SOUS-SEGMENT'!$EY$8:$EY$154*'ANALYSE - ERP =&gt; SOUS-SEGMENT'!$FU$8:$FU$154)/SUMPRODUCT(('ANALYSE - ERP =&gt; SOUS-SEGMENT'!$C$8:$C$154=$C24)*'ANALYSE - ERP =&gt; SOUS-SEGMENT'!$Q$8:$Q$154*'ANALYSE - ERP =&gt; SOUS-SEGMENT'!$EY$8:$EY$154),"")</f>
        <v>4.2525739863220693</v>
      </c>
      <c r="FS24" s="542">
        <f>RANK($FR24,$FR$8:$FR$143,0)+COUNTIF($FR$8:$FR24,$FR24)-1</f>
        <v>7</v>
      </c>
      <c r="FT24" s="904">
        <f>IFERROR(SUMPRODUCT(('ANALYSE - ERP =&gt; SOUS-SEGMENT'!$C$8:$C$154=$C24)*'ANALYSE - ERP =&gt; SOUS-SEGMENT'!$Q$8:$Q$154*'ANALYSE - ERP =&gt; SOUS-SEGMENT'!$EZ$8:$EZ$154*'ANALYSE - ERP =&gt; SOUS-SEGMENT'!$FW$8:$FW$154)/SUMPRODUCT(('ANALYSE - ERP =&gt; SOUS-SEGMENT'!$C$8:$C$154=$C24)*'ANALYSE - ERP =&gt; SOUS-SEGMENT'!$Q$8:$Q$154*'ANALYSE - ERP =&gt; SOUS-SEGMENT'!$EZ$8:$EZ$154),"")</f>
        <v>2.3489599187948698</v>
      </c>
      <c r="FU24" s="542">
        <f>RANK($FT24,$FT$8:$FT$143,0)+COUNTIF($FT$8:$FT24,$FT24)-1</f>
        <v>14</v>
      </c>
      <c r="FV24" s="529"/>
      <c r="FW24" s="543" t="s">
        <v>7137</v>
      </c>
      <c r="FX24" s="543" t="s">
        <v>7138</v>
      </c>
      <c r="FY24" s="543" t="s">
        <v>7139</v>
      </c>
      <c r="FZ24" s="543" t="s">
        <v>7140</v>
      </c>
      <c r="GA24" s="543" t="s">
        <v>7141</v>
      </c>
      <c r="GB24" s="543" t="s">
        <v>7142</v>
      </c>
      <c r="GC24" s="543" t="s">
        <v>6759</v>
      </c>
      <c r="GD24" s="529"/>
      <c r="GE24" s="539">
        <f>SUMPRODUCT(('ANALYSE - ERP =&gt; SOUS-SEGMENT'!$C$8:$C$154=$C24)*'ANALYSE - ERP =&gt; SOUS-SEGMENT'!$Q$8:$Q$154*'ANALYSE - ERP =&gt; SOUS-SEGMENT'!$GH$8:$GH$154)</f>
        <v>20915.546338666667</v>
      </c>
      <c r="GF24" s="539">
        <f>SUMPRODUCT(('ANALYSE - ERP =&gt; SOUS-SEGMENT'!$C$8:$C$154=$C24)*'ANALYSE - ERP =&gt; SOUS-SEGMENT'!$Q$8:$Q$154*'ANALYSE - ERP =&gt; SOUS-SEGMENT'!$GI$8:$GI$154)</f>
        <v>17635.504601666667</v>
      </c>
      <c r="GG24" s="539">
        <f>SUMPRODUCT(('ANALYSE - ERP =&gt; SOUS-SEGMENT'!$C$8:$C$154=$C24)*'ANALYSE - ERP =&gt; SOUS-SEGMENT'!$Q$8:$Q$154*'ANALYSE - ERP =&gt; SOUS-SEGMENT'!$GJ$8:$GJ$154)</f>
        <v>3280.041737</v>
      </c>
      <c r="GH24" s="539">
        <f>SUMPRODUCT(('ANALYSE - ERP =&gt; SOUS-SEGMENT'!$C$8:$C$154=$C24)*'ANALYSE - ERP =&gt; SOUS-SEGMENT'!$Q$8:$Q$154*'ANALYSE - ERP =&gt; SOUS-SEGMENT'!$GK$8:$GK$154)</f>
        <v>12427.743697923077</v>
      </c>
      <c r="GI24" s="539">
        <f>SUMPRODUCT(('ANALYSE - ERP =&gt; SOUS-SEGMENT'!$C$8:$C$154=$C24)*'ANALYSE - ERP =&gt; SOUS-SEGMENT'!$Q$8:$Q$154*'ANALYSE - ERP =&gt; SOUS-SEGMENT'!$GL$8:$GL$154)</f>
        <v>10110.893616923076</v>
      </c>
      <c r="GJ24" s="539">
        <f>SUMPRODUCT(('ANALYSE - ERP =&gt; SOUS-SEGMENT'!$C$8:$C$154=$C24)*'ANALYSE - ERP =&gt; SOUS-SEGMENT'!$Q$8:$Q$154*'ANALYSE - ERP =&gt; SOUS-SEGMENT'!$GM$8:$GM$154)</f>
        <v>2316.850081</v>
      </c>
      <c r="GK24" s="539">
        <f>SUMPRODUCT(('ANALYSE - ERP =&gt; SOUS-SEGMENT'!$C$8:$C$154=$C24)*'ANALYSE - ERP =&gt; SOUS-SEGMENT'!$Q$8:$Q$154*'ANALYSE - ERP =&gt; SOUS-SEGMENT'!$GN$8:$GN$154)</f>
        <v>2584.3376972444448</v>
      </c>
      <c r="GL24" s="539">
        <f>SUMPRODUCT(('ANALYSE - ERP =&gt; SOUS-SEGMENT'!$C$8:$C$154=$C24)*'ANALYSE - ERP =&gt; SOUS-SEGMENT'!$Q$8:$Q$154*'ANALYSE - ERP =&gt; SOUS-SEGMENT'!$GO$8:$GO$154)</f>
        <v>2067.9812244444447</v>
      </c>
      <c r="GM24" s="539">
        <f>SUMPRODUCT(('ANALYSE - ERP =&gt; SOUS-SEGMENT'!$C$8:$C$154=$C24)*'ANALYSE - ERP =&gt; SOUS-SEGMENT'!$Q$8:$Q$154*'ANALYSE - ERP =&gt; SOUS-SEGMENT'!$GP$8:$GP$154)</f>
        <v>516.35647280000001</v>
      </c>
      <c r="GN24" s="539">
        <f>SUMPRODUCT(('ANALYSE - ERP =&gt; SOUS-SEGMENT'!$C$8:$C$154=$C24)*'ANALYSE - ERP =&gt; SOUS-SEGMENT'!$Q$8:$Q$154*'ANALYSE - ERP =&gt; SOUS-SEGMENT'!$GQ$8:$GQ$154)</f>
        <v>2137.3922432909094</v>
      </c>
      <c r="GO24" s="539">
        <f>SUMPRODUCT(('ANALYSE - ERP =&gt; SOUS-SEGMENT'!$C$8:$C$154=$C24)*'ANALYSE - ERP =&gt; SOUS-SEGMENT'!$Q$8:$Q$154*'ANALYSE - ERP =&gt; SOUS-SEGMENT'!$GR$8:$GR$154)</f>
        <v>1796.1846240909092</v>
      </c>
      <c r="GP24" s="539">
        <f>SUMPRODUCT(('ANALYSE - ERP =&gt; SOUS-SEGMENT'!$C$8:$C$154=$C24)*'ANALYSE - ERP =&gt; SOUS-SEGMENT'!$Q$8:$Q$154*'ANALYSE - ERP =&gt; SOUS-SEGMENT'!$GS$8:$GS$154)</f>
        <v>341.20761919999995</v>
      </c>
      <c r="GQ24" s="539">
        <f>SUMPRODUCT(('ANALYSE - ERP =&gt; SOUS-SEGMENT'!$C$8:$C$154=$C24)*'ANALYSE - ERP =&gt; SOUS-SEGMENT'!$Q$8:$Q$154*'ANALYSE - ERP =&gt; SOUS-SEGMENT'!$GT$8:$GT$154)</f>
        <v>3675.7841924000004</v>
      </c>
      <c r="GR24" s="539">
        <f>SUMPRODUCT(('ANALYSE - ERP =&gt; SOUS-SEGMENT'!$C$8:$C$154=$C24)*'ANALYSE - ERP =&gt; SOUS-SEGMENT'!$Q$8:$Q$154*'ANALYSE - ERP =&gt; SOUS-SEGMENT'!$GU$8:$GU$154)</f>
        <v>2906.3511720000001</v>
      </c>
      <c r="GS24" s="539">
        <f>SUMPRODUCT(('ANALYSE - ERP =&gt; SOUS-SEGMENT'!$C$8:$C$154=$C24)*'ANALYSE - ERP =&gt; SOUS-SEGMENT'!$Q$8:$Q$154*'ANALYSE - ERP =&gt; SOUS-SEGMENT'!$GV$8:$GV$154)</f>
        <v>769.43302040000003</v>
      </c>
      <c r="GT24" s="539">
        <f>SUMPRODUCT(('ANALYSE - ERP =&gt; SOUS-SEGMENT'!$C$8:$C$154=$C24)*'ANALYSE - ERP =&gt; SOUS-SEGMENT'!$Q$8:$Q$154*'ANALYSE - ERP =&gt; SOUS-SEGMENT'!$GW$8:$GW$154)</f>
        <v>2247.8245353636366</v>
      </c>
      <c r="GU24" s="539">
        <f>SUMPRODUCT(('ANALYSE - ERP =&gt; SOUS-SEGMENT'!$C$8:$C$154=$C24)*'ANALYSE - ERP =&gt; SOUS-SEGMENT'!$Q$8:$Q$154*'ANALYSE - ERP =&gt; SOUS-SEGMENT'!$GX$8:$GX$154)</f>
        <v>1747.2003521636364</v>
      </c>
      <c r="GV24" s="539">
        <f>SUMPRODUCT(('ANALYSE - ERP =&gt; SOUS-SEGMENT'!$C$8:$C$154=$C24)*'ANALYSE - ERP =&gt; SOUS-SEGMENT'!$Q$8:$Q$154*'ANALYSE - ERP =&gt; SOUS-SEGMENT'!$GY$8:$GY$154)</f>
        <v>500.6241832</v>
      </c>
      <c r="GW24" s="539">
        <f>SUMPRODUCT(('ANALYSE - ERP =&gt; SOUS-SEGMENT'!$C$8:$C$154=$C24)*'ANALYSE - ERP =&gt; SOUS-SEGMENT'!$Q$8:$Q$154*'ANALYSE - ERP =&gt; SOUS-SEGMENT'!$GZ$8:$GZ$154)</f>
        <v>424.05942514999998</v>
      </c>
      <c r="GX24" s="539">
        <f>SUMPRODUCT(('ANALYSE - ERP =&gt; SOUS-SEGMENT'!$C$8:$C$154=$C24)*'ANALYSE - ERP =&gt; SOUS-SEGMENT'!$Q$8:$Q$154*'ANALYSE - ERP =&gt; SOUS-SEGMENT'!$HA$8:$HA$154)</f>
        <v>330.35668874999999</v>
      </c>
      <c r="GY24" s="539">
        <f>SUMPRODUCT(('ANALYSE - ERP =&gt; SOUS-SEGMENT'!$C$8:$C$154=$C24)*'ANALYSE - ERP =&gt; SOUS-SEGMENT'!$Q$8:$Q$154*'ANALYSE - ERP =&gt; SOUS-SEGMENT'!$HB$8:$HB$154)</f>
        <v>93.702736400000006</v>
      </c>
      <c r="GZ24" s="539">
        <f>SUMPRODUCT(('ANALYSE - ERP =&gt; SOUS-SEGMENT'!$C$8:$C$154=$C24)*'ANALYSE - ERP =&gt; SOUS-SEGMENT'!$Q$8:$Q$154*'ANALYSE - ERP =&gt; SOUS-SEGMENT'!$HC$8:$HC$154)</f>
        <v>855.74489198000015</v>
      </c>
      <c r="HA24" s="539">
        <f>SUMPRODUCT(('ANALYSE - ERP =&gt; SOUS-SEGMENT'!$C$8:$C$154=$C24)*'ANALYSE - ERP =&gt; SOUS-SEGMENT'!$Q$8:$Q$154*'ANALYSE - ERP =&gt; SOUS-SEGMENT'!$HD$8:$HD$154)</f>
        <v>741.57807467999999</v>
      </c>
      <c r="HB24" s="539">
        <f>SUMPRODUCT(('ANALYSE - ERP =&gt; SOUS-SEGMENT'!$C$8:$C$154=$C24)*'ANALYSE - ERP =&gt; SOUS-SEGMENT'!$Q$8:$Q$154*'ANALYSE - ERP =&gt; SOUS-SEGMENT'!$HE$8:$HE$154)</f>
        <v>114.16681730000001</v>
      </c>
      <c r="HC24" s="539">
        <f>SUMPRODUCT(('ANALYSE - ERP =&gt; SOUS-SEGMENT'!$C$8:$C$154=$C24)*'ANALYSE - ERP =&gt; SOUS-SEGMENT'!$Q$8:$Q$154*'ANALYSE - ERP =&gt; SOUS-SEGMENT'!$HF$8:$HF$154)</f>
        <v>2817.0314391818174</v>
      </c>
      <c r="HD24" s="539">
        <f>SUMPRODUCT(('ANALYSE - ERP =&gt; SOUS-SEGMENT'!$C$8:$C$154=$C24)*'ANALYSE - ERP =&gt; SOUS-SEGMENT'!$Q$8:$Q$154*'ANALYSE - ERP =&gt; SOUS-SEGMENT'!$HG$8:$HG$154)</f>
        <v>2316.9243216818181</v>
      </c>
      <c r="HE24" s="539">
        <f>SUMPRODUCT(('ANALYSE - ERP =&gt; SOUS-SEGMENT'!$C$8:$C$154=$C24)*'ANALYSE - ERP =&gt; SOUS-SEGMENT'!$Q$8:$Q$154*'ANALYSE - ERP =&gt; SOUS-SEGMENT'!$HH$8:$HH$154)</f>
        <v>500.10711749999996</v>
      </c>
      <c r="HF24" s="539">
        <f>SUMPRODUCT(('ANALYSE - ERP =&gt; SOUS-SEGMENT'!$C$8:$C$154=$C24)*'ANALYSE - ERP =&gt; SOUS-SEGMENT'!$Q$8:$Q$154*'ANALYSE - ERP =&gt; SOUS-SEGMENT'!$HI$8:$HI$154)</f>
        <v>1047.9032509499998</v>
      </c>
      <c r="HG24" s="539">
        <f>SUMPRODUCT(('ANALYSE - ERP =&gt; SOUS-SEGMENT'!$C$8:$C$154=$C24)*'ANALYSE - ERP =&gt; SOUS-SEGMENT'!$Q$8:$Q$154*'ANALYSE - ERP =&gt; SOUS-SEGMENT'!$HJ$8:$HJ$154)</f>
        <v>883.25474774999986</v>
      </c>
      <c r="HH24" s="539">
        <f>SUMPRODUCT(('ANALYSE - ERP =&gt; SOUS-SEGMENT'!$C$8:$C$154=$C24)*'ANALYSE - ERP =&gt; SOUS-SEGMENT'!$Q$8:$Q$154*'ANALYSE - ERP =&gt; SOUS-SEGMENT'!$HK$8:$HK$154)</f>
        <v>164.64850319999999</v>
      </c>
      <c r="HI24" s="539">
        <f>SUMPRODUCT(('ANALYSE - ERP =&gt; SOUS-SEGMENT'!$C$8:$C$154=$C24)*'ANALYSE - ERP =&gt; SOUS-SEGMENT'!$Q$8:$Q$154*'ANALYSE - ERP =&gt; SOUS-SEGMENT'!$HL$8:$HL$154)</f>
        <v>2193.41438784</v>
      </c>
      <c r="HJ24" s="539">
        <f>SUMPRODUCT(('ANALYSE - ERP =&gt; SOUS-SEGMENT'!$C$8:$C$154=$C24)*'ANALYSE - ERP =&gt; SOUS-SEGMENT'!$Q$8:$Q$154*'ANALYSE - ERP =&gt; SOUS-SEGMENT'!$HM$8:$HM$154)</f>
        <v>1865.8778408400001</v>
      </c>
      <c r="HK24" s="539">
        <f>SUMPRODUCT(('ANALYSE - ERP =&gt; SOUS-SEGMENT'!$C$8:$C$154=$C24)*'ANALYSE - ERP =&gt; SOUS-SEGMENT'!$Q$8:$Q$154*'ANALYSE - ERP =&gt; SOUS-SEGMENT'!$HN$8:$HN$154)</f>
        <v>327.53654699999998</v>
      </c>
      <c r="HL24" s="539">
        <f>SUMPRODUCT(('ANALYSE - ERP =&gt; SOUS-SEGMENT'!$C$8:$C$154=$C24)*'ANALYSE - ERP =&gt; SOUS-SEGMENT'!$Q$8:$Q$154*'ANALYSE - ERP =&gt; SOUS-SEGMENT'!$HO$8:$HO$154)</f>
        <v>18387.882302615384</v>
      </c>
      <c r="HM24" s="539">
        <f>SUMPRODUCT(('ANALYSE - ERP =&gt; SOUS-SEGMENT'!$C$8:$C$154=$C24)*'ANALYSE - ERP =&gt; SOUS-SEGMENT'!$Q$8:$Q$154*'ANALYSE - ERP =&gt; SOUS-SEGMENT'!$HP$8:$HP$154)</f>
        <v>15342.459994615385</v>
      </c>
      <c r="HN24" s="539">
        <f>SUMPRODUCT(('ANALYSE - ERP =&gt; SOUS-SEGMENT'!$C$8:$C$154=$C24)*'ANALYSE - ERP =&gt; SOUS-SEGMENT'!$Q$8:$Q$154*'ANALYSE - ERP =&gt; SOUS-SEGMENT'!$HQ$8:$HQ$154)</f>
        <v>3045.4223079999997</v>
      </c>
      <c r="HO24" s="539">
        <f>SUMPRODUCT(('ANALYSE - ERP =&gt; SOUS-SEGMENT'!$C$8:$C$154=$C24)*'ANALYSE - ERP =&gt; SOUS-SEGMENT'!$Q$8:$Q$154*'ANALYSE - ERP =&gt; SOUS-SEGMENT'!$HR$8:$HR$154)</f>
        <v>10892.711573583216</v>
      </c>
      <c r="HP24" s="539">
        <f>SUMPRODUCT(('ANALYSE - ERP =&gt; SOUS-SEGMENT'!$C$8:$C$154=$C24)*'ANALYSE - ERP =&gt; SOUS-SEGMENT'!$Q$8:$Q$154*'ANALYSE - ERP =&gt; SOUS-SEGMENT'!$HS$8:$HS$154)</f>
        <v>8835.013726783216</v>
      </c>
      <c r="HQ24" s="539">
        <f>SUMPRODUCT(('ANALYSE - ERP =&gt; SOUS-SEGMENT'!$C$8:$C$154=$C24)*'ANALYSE - ERP =&gt; SOUS-SEGMENT'!$Q$8:$Q$154*'ANALYSE - ERP =&gt; SOUS-SEGMENT'!$HT$8:$HT$154)</f>
        <v>2057.6978468000002</v>
      </c>
      <c r="HR24" s="539">
        <f>SUMPRODUCT(('ANALYSE - ERP =&gt; SOUS-SEGMENT'!$C$8:$C$154=$C24)*'ANALYSE - ERP =&gt; SOUS-SEGMENT'!$Q$8:$Q$154*'ANALYSE - ERP =&gt; SOUS-SEGMENT'!$HU$8:$HU$154)</f>
        <v>2158.2485490888889</v>
      </c>
      <c r="HS24" s="539">
        <f>SUMPRODUCT(('ANALYSE - ERP =&gt; SOUS-SEGMENT'!$C$8:$C$154=$C24)*'ANALYSE - ERP =&gt; SOUS-SEGMENT'!$Q$8:$Q$154*'ANALYSE - ERP =&gt; SOUS-SEGMENT'!$HV$8:$HV$154)</f>
        <v>1772.249763888889</v>
      </c>
      <c r="HT24" s="539">
        <f>SUMPRODUCT(('ANALYSE - ERP =&gt; SOUS-SEGMENT'!$C$8:$C$154=$C24)*'ANALYSE - ERP =&gt; SOUS-SEGMENT'!$Q$8:$Q$154*'ANALYSE - ERP =&gt; SOUS-SEGMENT'!$HW$8:$HW$154)</f>
        <v>385.99878519999999</v>
      </c>
      <c r="HU24" s="544"/>
      <c r="HV24" s="545">
        <f t="shared" si="40"/>
        <v>9750</v>
      </c>
      <c r="HW24" s="545">
        <f>SUMPRODUCT(('ANALYSE - ERP =&gt; SOUS-SEGMENT'!$C$8:$C$154=$C24)*'ANALYSE - ERP =&gt; SOUS-SEGMENT'!$Q$8:$Q$154*'ANALYSE - ERP =&gt; SOUS-SEGMENT'!$HZ$8:$HZ$154)</f>
        <v>7106.0425000000005</v>
      </c>
      <c r="HX24" s="545">
        <f>SUMPRODUCT(('ANALYSE - ERP =&gt; SOUS-SEGMENT'!$C$8:$C$154=$C24)*'ANALYSE - ERP =&gt; SOUS-SEGMENT'!$Q$8:$Q$154*'ANALYSE - ERP =&gt; SOUS-SEGMENT'!$IA$8:$IA$154)</f>
        <v>67885.241300000009</v>
      </c>
      <c r="HY24" s="545">
        <f>SUMPRODUCT(('ANALYSE - ERP =&gt; SOUS-SEGMENT'!$C$8:$C$154=$C24)*'ANALYSE - ERP =&gt; SOUS-SEGMENT'!$Q$8:$Q$154*'ANALYSE - ERP =&gt; SOUS-SEGMENT'!$IB$8:$IB$154)</f>
        <v>83386.619350000008</v>
      </c>
      <c r="HZ24" s="545">
        <f>SUMPRODUCT(('ANALYSE - ERP =&gt; SOUS-SEGMENT'!$C$8:$C$154=$C24)*'ANALYSE - ERP =&gt; SOUS-SEGMENT'!$Q$8:$Q$154*'ANALYSE - ERP =&gt; SOUS-SEGMENT'!$IC$8:$IC$154)</f>
        <v>24377.406800000001</v>
      </c>
      <c r="IA24" s="545">
        <f>SUMPRODUCT(('ANALYSE - ERP =&gt; SOUS-SEGMENT'!$C$8:$C$154=$C24)*'ANALYSE - ERP =&gt; SOUS-SEGMENT'!$Q$8:$Q$154*'ANALYSE - ERP =&gt; SOUS-SEGMENT'!$ID$8:$ID$154)</f>
        <v>2157.1900499999997</v>
      </c>
      <c r="IB24" s="545">
        <f>SUMPRODUCT(('ANALYSE - ERP =&gt; SOUS-SEGMENT'!$C$8:$C$154=$C24)*'ANALYSE - ERP =&gt; SOUS-SEGMENT'!$Q$8:$Q$154*'ANALYSE - ERP =&gt; SOUS-SEGMENT'!$IE$8:$IE$154)</f>
        <v>68351.830750278037</v>
      </c>
      <c r="IC24" s="545">
        <f>SUMPRODUCT(('ANALYSE - ERP =&gt; SOUS-SEGMENT'!$C$8:$C$154=$C24)*'ANALYSE - ERP =&gt; SOUS-SEGMENT'!$Q$8:$Q$154*'ANALYSE - ERP =&gt; SOUS-SEGMENT'!$IF$8:$IF$154)</f>
        <v>1277.7818929939174</v>
      </c>
      <c r="ID24" s="545">
        <f>SUMPRODUCT(('ANALYSE - ERP =&gt; SOUS-SEGMENT'!$C$8:$C$154=$C24)*'ANALYSE - ERP =&gt; SOUS-SEGMENT'!$Q$8:$Q$154*'ANALYSE - ERP =&gt; SOUS-SEGMENT'!$IG$8:$IG$154)</f>
        <v>21535.348064011807</v>
      </c>
      <c r="IE24" s="545">
        <f>SUMPRODUCT(('ANALYSE - ERP =&gt; SOUS-SEGMENT'!$C$8:$C$154=$C24)*'ANALYSE - ERP =&gt; SOUS-SEGMENT'!$Q$8:$Q$154*'ANALYSE - ERP =&gt; SOUS-SEGMENT'!$IH$8:$IH$154)</f>
        <v>32935.114107512178</v>
      </c>
      <c r="IF24" s="545">
        <f>SUMPRODUCT(('ANALYSE - ERP =&gt; SOUS-SEGMENT'!$C$8:$C$154=$C24)*'ANALYSE - ERP =&gt; SOUS-SEGMENT'!$Q$8:$Q$154*'ANALYSE - ERP =&gt; SOUS-SEGMENT'!$II$8:$II$154)</f>
        <v>11364.440580778029</v>
      </c>
      <c r="IG24" s="545">
        <f>SUMPRODUCT(('ANALYSE - ERP =&gt; SOUS-SEGMENT'!$C$8:$C$154=$C24)*'ANALYSE - ERP =&gt; SOUS-SEGMENT'!$Q$8:$Q$154*'ANALYSE - ERP =&gt; SOUS-SEGMENT'!$IJ$8:$IJ$154)</f>
        <v>1239.1461049821171</v>
      </c>
      <c r="IH24" s="905"/>
      <c r="II24" s="546" t="s">
        <v>2589</v>
      </c>
      <c r="IJ24" s="547" t="s">
        <v>6760</v>
      </c>
      <c r="IK24" s="529"/>
      <c r="IL24" s="747">
        <f>IFERROR(SUMPRODUCT(('ANALYSE - ERP =&gt; SOUS-SEGMENT'!$C$8:$C$154=$C24)*'ANALYSE - ERP =&gt; SOUS-SEGMENT'!$Q$8:$Q$154*'ANALYSE - ERP =&gt; SOUS-SEGMENT'!$BE$8:$BE$154*'ANALYSE - ERP =&gt; SOUS-SEGMENT'!$IO$8:$IO$154)/SUMPRODUCT(('ANALYSE - ERP =&gt; SOUS-SEGMENT'!$C$8:$C$154=$C24)*'ANALYSE - ERP =&gt; SOUS-SEGMENT'!$Q$8:$Q$154*'ANALYSE - ERP =&gt; SOUS-SEGMENT'!$BE$8:$BE$154),0)</f>
        <v>3.3073281189078062E-2</v>
      </c>
      <c r="IM24" s="748">
        <f>IFERROR(SUMPRODUCT(('ANALYSE - ERP =&gt; SOUS-SEGMENT'!$C$8:$C$154=$C24)*'ANALYSE - ERP =&gt; SOUS-SEGMENT'!$Q$8:$Q$154*'ANALYSE - ERP =&gt; SOUS-SEGMENT'!$BE$8:$BE$154*'ANALYSE - ERP =&gt; SOUS-SEGMENT'!$IP$8:$IP$154)/SUMPRODUCT(('ANALYSE - ERP =&gt; SOUS-SEGMENT'!$C$8:$C$154=$C24)*'ANALYSE - ERP =&gt; SOUS-SEGMENT'!$Q$8:$Q$154*'ANALYSE - ERP =&gt; SOUS-SEGMENT'!$BE$8:$BE$154),0)</f>
        <v>0.34440569727187875</v>
      </c>
      <c r="IN24" s="748">
        <f>IFERROR(SUMPRODUCT(('ANALYSE - ERP =&gt; SOUS-SEGMENT'!$C$8:$C$154=$C24)*'ANALYSE - ERP =&gt; SOUS-SEGMENT'!$Q$8:$Q$154*'ANALYSE - ERP =&gt; SOUS-SEGMENT'!$BE$8:$BE$154*'ANALYSE - ERP =&gt; SOUS-SEGMENT'!$IQ$8:$IQ$154)/SUMPRODUCT(('ANALYSE - ERP =&gt; SOUS-SEGMENT'!$C$8:$C$154=$C24)*'ANALYSE - ERP =&gt; SOUS-SEGMENT'!$Q$8:$Q$154*'ANALYSE - ERP =&gt; SOUS-SEGMENT'!$BE$8:$BE$154),0)</f>
        <v>0.46004015383342983</v>
      </c>
      <c r="IO24" s="748">
        <f>IFERROR(SUMPRODUCT(('ANALYSE - ERP =&gt; SOUS-SEGMENT'!$C$8:$C$154=$C24)*'ANALYSE - ERP =&gt; SOUS-SEGMENT'!$Q$8:$Q$154*'ANALYSE - ERP =&gt; SOUS-SEGMENT'!$BE$8:$BE$154*'ANALYSE - ERP =&gt; SOUS-SEGMENT'!$IR$8:$IR$154)/SUMPRODUCT(('ANALYSE - ERP =&gt; SOUS-SEGMENT'!$C$8:$C$154=$C24)*'ANALYSE - ERP =&gt; SOUS-SEGMENT'!$Q$8:$Q$154*'ANALYSE - ERP =&gt; SOUS-SEGMENT'!$BE$8:$BE$154),0)</f>
        <v>0.14788786110093693</v>
      </c>
      <c r="IP24" s="749">
        <f>IFERROR(SUMPRODUCT(('ANALYSE - ERP =&gt; SOUS-SEGMENT'!$C$8:$C$154=$C24)*'ANALYSE - ERP =&gt; SOUS-SEGMENT'!$Q$8:$Q$154*'ANALYSE - ERP =&gt; SOUS-SEGMENT'!$BE$8:$BE$154*'ANALYSE - ERP =&gt; SOUS-SEGMENT'!$IS$8:$IS$154)/SUMPRODUCT(('ANALYSE - ERP =&gt; SOUS-SEGMENT'!$C$8:$C$154=$C24)*'ANALYSE - ERP =&gt; SOUS-SEGMENT'!$Q$8:$Q$154*'ANALYSE - ERP =&gt; SOUS-SEGMENT'!$BE$8:$BE$154),0)</f>
        <v>1.4593006604676443E-2</v>
      </c>
      <c r="IQ24" s="748">
        <f>IFERROR(SUMPRODUCT(('ANALYSE - ERP =&gt; SOUS-SEGMENT'!$C$8:$C$154=$C24)*'ANALYSE - ERP =&gt; SOUS-SEGMENT'!$Q$8:$Q$154*'ANALYSE - ERP =&gt; SOUS-SEGMENT'!$FB$8:$FB$154*'ANALYSE - ERP =&gt; SOUS-SEGMENT'!$IT$8:$IT$154)/SUMPRODUCT(('ANALYSE - ERP =&gt; SOUS-SEGMENT'!$C$8:$C$154=$C24)*'ANALYSE - ERP =&gt; SOUS-SEGMENT'!$Q$8:$Q$154*'ANALYSE - ERP =&gt; SOUS-SEGMENT'!$FB$8:$FB$154),0)</f>
        <v>1.4803957900663873E-2</v>
      </c>
      <c r="IR24" s="748">
        <f>IFERROR(SUMPRODUCT(('ANALYSE - ERP =&gt; SOUS-SEGMENT'!$C$8:$C$154=$C24)*'ANALYSE - ERP =&gt; SOUS-SEGMENT'!$Q$8:$Q$154*'ANALYSE - ERP =&gt; SOUS-SEGMENT'!$FB$8:$FB$154*'ANALYSE - ERP =&gt; SOUS-SEGMENT'!$IU$8:$IU$154)/SUMPRODUCT(('ANALYSE - ERP =&gt; SOUS-SEGMENT'!$C$8:$C$154=$C24)*'ANALYSE - ERP =&gt; SOUS-SEGMENT'!$Q$8:$Q$154*'ANALYSE - ERP =&gt; SOUS-SEGMENT'!$FB$8:$FB$154),0)</f>
        <v>0.29062797747008057</v>
      </c>
      <c r="IS24" s="748">
        <f>IFERROR(SUMPRODUCT(('ANALYSE - ERP =&gt; SOUS-SEGMENT'!$C$8:$C$154=$C24)*'ANALYSE - ERP =&gt; SOUS-SEGMENT'!$Q$8:$Q$154*'ANALYSE - ERP =&gt; SOUS-SEGMENT'!$FB$8:$FB$154*'ANALYSE - ERP =&gt; SOUS-SEGMENT'!$IV$8:$IV$154)/SUMPRODUCT(('ANALYSE - ERP =&gt; SOUS-SEGMENT'!$C$8:$C$154=$C24)*'ANALYSE - ERP =&gt; SOUS-SEGMENT'!$Q$8:$Q$154*'ANALYSE - ERP =&gt; SOUS-SEGMENT'!$FB$8:$FB$154),0)</f>
        <v>0.49023749594415583</v>
      </c>
      <c r="IT24" s="748">
        <f>IFERROR(SUMPRODUCT(('ANALYSE - ERP =&gt; SOUS-SEGMENT'!$C$8:$C$154=$C24)*'ANALYSE - ERP =&gt; SOUS-SEGMENT'!$Q$8:$Q$154*'ANALYSE - ERP =&gt; SOUS-SEGMENT'!$FB$8:$FB$154*'ANALYSE - ERP =&gt; SOUS-SEGMENT'!$IW$8:$IW$154)/SUMPRODUCT(('ANALYSE - ERP =&gt; SOUS-SEGMENT'!$C$8:$C$154=$C24)*'ANALYSE - ERP =&gt; SOUS-SEGMENT'!$Q$8:$Q$154*'ANALYSE - ERP =&gt; SOUS-SEGMENT'!$FB$8:$FB$154),0)</f>
        <v>0.18293253286760866</v>
      </c>
      <c r="IU24" s="748">
        <f>IFERROR(SUMPRODUCT(('ANALYSE - ERP =&gt; SOUS-SEGMENT'!$C$8:$C$154=$C24)*'ANALYSE - ERP =&gt; SOUS-SEGMENT'!$Q$8:$Q$154*'ANALYSE - ERP =&gt; SOUS-SEGMENT'!$FB$8:$FB$154*'ANALYSE - ERP =&gt; SOUS-SEGMENT'!$IX$8:$IX$154)/SUMPRODUCT(('ANALYSE - ERP =&gt; SOUS-SEGMENT'!$C$8:$C$154=$C24)*'ANALYSE - ERP =&gt; SOUS-SEGMENT'!$Q$8:$Q$154*'ANALYSE - ERP =&gt; SOUS-SEGMENT'!$FB$8:$FB$154),0)</f>
        <v>2.1398035817491137E-2</v>
      </c>
      <c r="IV24" s="771">
        <f>IFERROR(SUMPRODUCT(('ANALYSE - ERP =&gt; SOUS-SEGMENT'!$C$8:$C$154=$C24)*'ANALYSE - ERP =&gt; SOUS-SEGMENT'!$Q$8:$Q$154*'ANALYSE - ERP =&gt; SOUS-SEGMENT'!$BF$8:$BF$154*'ANALYSE - ERP =&gt; SOUS-SEGMENT'!$IY$8:$IY$154)/SUMPRODUCT(('ANALYSE - ERP =&gt; SOUS-SEGMENT'!$C$8:$C$154=$C24)*'ANALYSE - ERP =&gt; SOUS-SEGMENT'!$Q$8:$Q$154*'ANALYSE - ERP =&gt; SOUS-SEGMENT'!$BF$8:$BF$154),0)</f>
        <v>6.4025164980202373E-2</v>
      </c>
      <c r="IW24" s="748">
        <f>IFERROR(SUMPRODUCT(('ANALYSE - ERP =&gt; SOUS-SEGMENT'!$C$8:$C$154=$C24)*'ANALYSE - ERP =&gt; SOUS-SEGMENT'!$Q$8:$Q$154*'ANALYSE - ERP =&gt; SOUS-SEGMENT'!$BF$8:$BF$154*'ANALYSE - ERP =&gt; SOUS-SEGMENT'!$IZ$8:$IZ$154)/SUMPRODUCT(('ANALYSE - ERP =&gt; SOUS-SEGMENT'!$C$8:$C$154=$C24)*'ANALYSE - ERP =&gt; SOUS-SEGMENT'!$Q$8:$Q$154*'ANALYSE - ERP =&gt; SOUS-SEGMENT'!$BF$8:$BF$154),0)</f>
        <v>0.42082551693796755</v>
      </c>
      <c r="IX24" s="748">
        <f>IFERROR(SUMPRODUCT(('ANALYSE - ERP =&gt; SOUS-SEGMENT'!$C$8:$C$154=$C24)*'ANALYSE - ERP =&gt; SOUS-SEGMENT'!$Q$8:$Q$154*'ANALYSE - ERP =&gt; SOUS-SEGMENT'!$BF$8:$BF$154*'ANALYSE - ERP =&gt; SOUS-SEGMENT'!$JA$8:$JA$154)/SUMPRODUCT(('ANALYSE - ERP =&gt; SOUS-SEGMENT'!$C$8:$C$154=$C24)*'ANALYSE - ERP =&gt; SOUS-SEGMENT'!$Q$8:$Q$154*'ANALYSE - ERP =&gt; SOUS-SEGMENT'!$BF$8:$BF$154),0)</f>
        <v>0.40093202815662121</v>
      </c>
      <c r="IY24" s="748">
        <f>IFERROR(SUMPRODUCT(('ANALYSE - ERP =&gt; SOUS-SEGMENT'!$C$8:$C$154=$C24)*'ANALYSE - ERP =&gt; SOUS-SEGMENT'!$Q$8:$Q$154*'ANALYSE - ERP =&gt; SOUS-SEGMENT'!$BF$8:$BF$154*'ANALYSE - ERP =&gt; SOUS-SEGMENT'!$JB$8:$JB$154)/SUMPRODUCT(('ANALYSE - ERP =&gt; SOUS-SEGMENT'!$C$8:$C$154=$C24)*'ANALYSE - ERP =&gt; SOUS-SEGMENT'!$Q$8:$Q$154*'ANALYSE - ERP =&gt; SOUS-SEGMENT'!$BF$8:$BF$154),0)</f>
        <v>0.10678715354157499</v>
      </c>
      <c r="IZ24" s="749">
        <f>IFERROR(SUMPRODUCT(('ANALYSE - ERP =&gt; SOUS-SEGMENT'!$C$8:$C$154=$C24)*'ANALYSE - ERP =&gt; SOUS-SEGMENT'!$Q$8:$Q$154*'ANALYSE - ERP =&gt; SOUS-SEGMENT'!$BF$8:$BF$154*'ANALYSE - ERP =&gt; SOUS-SEGMENT'!$JC$8:$JC$154)/SUMPRODUCT(('ANALYSE - ERP =&gt; SOUS-SEGMENT'!$C$8:$C$154=$C24)*'ANALYSE - ERP =&gt; SOUS-SEGMENT'!$Q$8:$Q$154*'ANALYSE - ERP =&gt; SOUS-SEGMENT'!$BF$8:$BF$154),0)</f>
        <v>7.4301363836339627E-3</v>
      </c>
      <c r="JA24" s="748">
        <f>IFERROR(SUMPRODUCT(('ANALYSE - ERP =&gt; SOUS-SEGMENT'!$C$8:$C$154=$C24)*'ANALYSE - ERP =&gt; SOUS-SEGMENT'!$Q$8:$Q$154*'ANALYSE - ERP =&gt; SOUS-SEGMENT'!$FE$8:$FE$154*'ANALYSE - ERP =&gt; SOUS-SEGMENT'!$JD$8:$JD$154)/SUMPRODUCT(('ANALYSE - ERP =&gt; SOUS-SEGMENT'!$C$8:$C$154=$C24)*'ANALYSE - ERP =&gt; SOUS-SEGMENT'!$Q$8:$Q$154*'ANALYSE - ERP =&gt; SOUS-SEGMENT'!$FE$8:$FE$154),0)</f>
        <v>4.3428047427613151E-2</v>
      </c>
      <c r="JB24" s="748">
        <f>IFERROR(SUMPRODUCT(('ANALYSE - ERP =&gt; SOUS-SEGMENT'!$C$8:$C$154=$C24)*'ANALYSE - ERP =&gt; SOUS-SEGMENT'!$Q$8:$Q$154*'ANALYSE - ERP =&gt; SOUS-SEGMENT'!$FE$8:$FE$154*'ANALYSE - ERP =&gt; SOUS-SEGMENT'!$JE$8:$JE$154)/SUMPRODUCT(('ANALYSE - ERP =&gt; SOUS-SEGMENT'!$C$8:$C$154=$C24)*'ANALYSE - ERP =&gt; SOUS-SEGMENT'!$Q$8:$Q$154*'ANALYSE - ERP =&gt; SOUS-SEGMENT'!$FE$8:$FE$154),0)</f>
        <v>0.36150183669578395</v>
      </c>
      <c r="JC24" s="748">
        <f>IFERROR(SUMPRODUCT(('ANALYSE - ERP =&gt; SOUS-SEGMENT'!$C$8:$C$154=$C24)*'ANALYSE - ERP =&gt; SOUS-SEGMENT'!$Q$8:$Q$154*'ANALYSE - ERP =&gt; SOUS-SEGMENT'!$FE$8:$FE$154*'ANALYSE - ERP =&gt; SOUS-SEGMENT'!$JF$8:$JF$154)/SUMPRODUCT(('ANALYSE - ERP =&gt; SOUS-SEGMENT'!$C$8:$C$154=$C24)*'ANALYSE - ERP =&gt; SOUS-SEGMENT'!$Q$8:$Q$154*'ANALYSE - ERP =&gt; SOUS-SEGMENT'!$FE$8:$FE$154),0)</f>
        <v>0.43164952383134242</v>
      </c>
      <c r="JD24" s="748">
        <f>IFERROR(SUMPRODUCT(('ANALYSE - ERP =&gt; SOUS-SEGMENT'!$C$8:$C$154=$C24)*'ANALYSE - ERP =&gt; SOUS-SEGMENT'!$Q$8:$Q$154*'ANALYSE - ERP =&gt; SOUS-SEGMENT'!$FE$8:$FE$154*'ANALYSE - ERP =&gt; SOUS-SEGMENT'!$JG$8:$JG$154)/SUMPRODUCT(('ANALYSE - ERP =&gt; SOUS-SEGMENT'!$C$8:$C$154=$C24)*'ANALYSE - ERP =&gt; SOUS-SEGMENT'!$Q$8:$Q$154*'ANALYSE - ERP =&gt; SOUS-SEGMENT'!$FE$8:$FE$154),0)</f>
        <v>0.1494888759183837</v>
      </c>
      <c r="JE24" s="748">
        <f>IFERROR(SUMPRODUCT(('ANALYSE - ERP =&gt; SOUS-SEGMENT'!$C$8:$C$154=$C24)*'ANALYSE - ERP =&gt; SOUS-SEGMENT'!$Q$8:$Q$154*'ANALYSE - ERP =&gt; SOUS-SEGMENT'!$FE$8:$FE$154*'ANALYSE - ERP =&gt; SOUS-SEGMENT'!$JH$8:$JH$154)/SUMPRODUCT(('ANALYSE - ERP =&gt; SOUS-SEGMENT'!$C$8:$C$154=$C24)*'ANALYSE - ERP =&gt; SOUS-SEGMENT'!$Q$8:$Q$154*'ANALYSE - ERP =&gt; SOUS-SEGMENT'!$FE$8:$FE$154),0)</f>
        <v>1.3931716126876725E-2</v>
      </c>
      <c r="JF24" s="771">
        <f>IFERROR(SUMPRODUCT(('ANALYSE - ERP =&gt; SOUS-SEGMENT'!$C$8:$C$154=$C24)*'ANALYSE - ERP =&gt; SOUS-SEGMENT'!$Q$8:$Q$154*'ANALYSE - ERP =&gt; SOUS-SEGMENT'!$BG$8:$BG$154*'ANALYSE - ERP =&gt; SOUS-SEGMENT'!$JI$8:$JI$154)/SUMPRODUCT(('ANALYSE - ERP =&gt; SOUS-SEGMENT'!$C$8:$C$154=$C24)*'ANALYSE - ERP =&gt; SOUS-SEGMENT'!$Q$8:$Q$154*'ANALYSE - ERP =&gt; SOUS-SEGMENT'!$BG$8:$BG$154),0)</f>
        <v>6.5230137478014275E-2</v>
      </c>
      <c r="JG24" s="748">
        <f>IFERROR(SUMPRODUCT(('ANALYSE - ERP =&gt; SOUS-SEGMENT'!$C$8:$C$154=$C24)*'ANALYSE - ERP =&gt; SOUS-SEGMENT'!$Q$8:$Q$154*'ANALYSE - ERP =&gt; SOUS-SEGMENT'!$BG$8:$BG$154*'ANALYSE - ERP =&gt; SOUS-SEGMENT'!$JJ$8:$JJ$154)/SUMPRODUCT(('ANALYSE - ERP =&gt; SOUS-SEGMENT'!$C$8:$C$154=$C24)*'ANALYSE - ERP =&gt; SOUS-SEGMENT'!$Q$8:$Q$154*'ANALYSE - ERP =&gt; SOUS-SEGMENT'!$BG$8:$BG$154),0)</f>
        <v>0.49538691984636923</v>
      </c>
      <c r="JH24" s="748">
        <f>IFERROR(SUMPRODUCT(('ANALYSE - ERP =&gt; SOUS-SEGMENT'!$C$8:$C$154=$C24)*'ANALYSE - ERP =&gt; SOUS-SEGMENT'!$Q$8:$Q$154*'ANALYSE - ERP =&gt; SOUS-SEGMENT'!$BG$8:$BG$154*'ANALYSE - ERP =&gt; SOUS-SEGMENT'!$JK$8:$JK$154)/SUMPRODUCT(('ANALYSE - ERP =&gt; SOUS-SEGMENT'!$C$8:$C$154=$C24)*'ANALYSE - ERP =&gt; SOUS-SEGMENT'!$Q$8:$Q$154*'ANALYSE - ERP =&gt; SOUS-SEGMENT'!$BG$8:$BG$154),0)</f>
        <v>0.36601764959259131</v>
      </c>
      <c r="JI24" s="748">
        <f>IFERROR(SUMPRODUCT(('ANALYSE - ERP =&gt; SOUS-SEGMENT'!$C$8:$C$154=$C24)*'ANALYSE - ERP =&gt; SOUS-SEGMENT'!$Q$8:$Q$154*'ANALYSE - ERP =&gt; SOUS-SEGMENT'!$BG$8:$BG$154*'ANALYSE - ERP =&gt; SOUS-SEGMENT'!$JL$8:$JL$154)/SUMPRODUCT(('ANALYSE - ERP =&gt; SOUS-SEGMENT'!$C$8:$C$154=$C24)*'ANALYSE - ERP =&gt; SOUS-SEGMENT'!$Q$8:$Q$154*'ANALYSE - ERP =&gt; SOUS-SEGMENT'!$BG$8:$BG$154),0)</f>
        <v>7.031255249650023E-2</v>
      </c>
      <c r="JJ24" s="749">
        <f>IFERROR(SUMPRODUCT(('ANALYSE - ERP =&gt; SOUS-SEGMENT'!$C$8:$C$154=$C24)*'ANALYSE - ERP =&gt; SOUS-SEGMENT'!$Q$8:$Q$154*'ANALYSE - ERP =&gt; SOUS-SEGMENT'!$BG$8:$BG$154*'ANALYSE - ERP =&gt; SOUS-SEGMENT'!$JM$8:$JM$154)/SUMPRODUCT(('ANALYSE - ERP =&gt; SOUS-SEGMENT'!$C$8:$C$154=$C24)*'ANALYSE - ERP =&gt; SOUS-SEGMENT'!$Q$8:$Q$154*'ANALYSE - ERP =&gt; SOUS-SEGMENT'!$BG$8:$BG$154),0)</f>
        <v>3.0527405865250008E-3</v>
      </c>
      <c r="JK24" s="748">
        <f>IFERROR(SUMPRODUCT(('ANALYSE - ERP =&gt; SOUS-SEGMENT'!$C$8:$C$154=$C24)*'ANALYSE - ERP =&gt; SOUS-SEGMENT'!$Q$8:$Q$154*'ANALYSE - ERP =&gt; SOUS-SEGMENT'!$FH$8:$FH$154*'ANALYSE - ERP =&gt; SOUS-SEGMENT'!$JN$8:$JN$154)/SUMPRODUCT(('ANALYSE - ERP =&gt; SOUS-SEGMENT'!$C$8:$C$154=$C24)*'ANALYSE - ERP =&gt; SOUS-SEGMENT'!$Q$8:$Q$154*'ANALYSE - ERP =&gt; SOUS-SEGMENT'!$FH$8:$FH$154),0)</f>
        <v>3.4445028951961672E-2</v>
      </c>
      <c r="JL24" s="748">
        <f>IFERROR(SUMPRODUCT(('ANALYSE - ERP =&gt; SOUS-SEGMENT'!$C$8:$C$154=$C24)*'ANALYSE - ERP =&gt; SOUS-SEGMENT'!$Q$8:$Q$154*'ANALYSE - ERP =&gt; SOUS-SEGMENT'!$FH$8:$FH$154*'ANALYSE - ERP =&gt; SOUS-SEGMENT'!$JO$8:$JO$154)/SUMPRODUCT(('ANALYSE - ERP =&gt; SOUS-SEGMENT'!$C$8:$C$154=$C24)*'ANALYSE - ERP =&gt; SOUS-SEGMENT'!$Q$8:$Q$154*'ANALYSE - ERP =&gt; SOUS-SEGMENT'!$FH$8:$FH$154),0)</f>
        <v>0.44947573136903624</v>
      </c>
      <c r="JM24" s="748">
        <f>IFERROR(SUMPRODUCT(('ANALYSE - ERP =&gt; SOUS-SEGMENT'!$C$8:$C$154=$C24)*'ANALYSE - ERP =&gt; SOUS-SEGMENT'!$Q$8:$Q$154*'ANALYSE - ERP =&gt; SOUS-SEGMENT'!$FH$8:$FH$154*'ANALYSE - ERP =&gt; SOUS-SEGMENT'!$JP$8:$JP$154)/SUMPRODUCT(('ANALYSE - ERP =&gt; SOUS-SEGMENT'!$C$8:$C$154=$C24)*'ANALYSE - ERP =&gt; SOUS-SEGMENT'!$Q$8:$Q$154*'ANALYSE - ERP =&gt; SOUS-SEGMENT'!$FH$8:$FH$154),0)</f>
        <v>0.40609299199579635</v>
      </c>
      <c r="JN24" s="748">
        <f>IFERROR(SUMPRODUCT(('ANALYSE - ERP =&gt; SOUS-SEGMENT'!$C$8:$C$154=$C24)*'ANALYSE - ERP =&gt; SOUS-SEGMENT'!$Q$8:$Q$154*'ANALYSE - ERP =&gt; SOUS-SEGMENT'!$FH$8:$FH$154*'ANALYSE - ERP =&gt; SOUS-SEGMENT'!$JQ$8:$JQ$154)/SUMPRODUCT(('ANALYSE - ERP =&gt; SOUS-SEGMENT'!$C$8:$C$154=$C24)*'ANALYSE - ERP =&gt; SOUS-SEGMENT'!$Q$8:$Q$154*'ANALYSE - ERP =&gt; SOUS-SEGMENT'!$FH$8:$FH$154),0)</f>
        <v>0.10126414702733383</v>
      </c>
      <c r="JO24" s="748">
        <f>IFERROR(SUMPRODUCT(('ANALYSE - ERP =&gt; SOUS-SEGMENT'!$C$8:$C$154=$C24)*'ANALYSE - ERP =&gt; SOUS-SEGMENT'!$Q$8:$Q$154*'ANALYSE - ERP =&gt; SOUS-SEGMENT'!$FH$8:$FH$154*'ANALYSE - ERP =&gt; SOUS-SEGMENT'!$JR$8:$JR$154)/SUMPRODUCT(('ANALYSE - ERP =&gt; SOUS-SEGMENT'!$C$8:$C$154=$C24)*'ANALYSE - ERP =&gt; SOUS-SEGMENT'!$Q$8:$Q$154*'ANALYSE - ERP =&gt; SOUS-SEGMENT'!$FH$8:$FH$154),0)</f>
        <v>8.7221006558718013E-3</v>
      </c>
      <c r="JP24" s="771">
        <f>IFERROR(SUMPRODUCT(('ANALYSE - ERP =&gt; SOUS-SEGMENT'!$C$8:$C$154=$C24)*'ANALYSE - ERP =&gt; SOUS-SEGMENT'!$Q$8:$Q$154*'ANALYSE - ERP =&gt; SOUS-SEGMENT'!$BH$8:$BH$154*'ANALYSE - ERP =&gt; SOUS-SEGMENT'!$JS$8:$JS$154)/SUMPRODUCT(('ANALYSE - ERP =&gt; SOUS-SEGMENT'!$C$8:$C$154=$C24)*'ANALYSE - ERP =&gt; SOUS-SEGMENT'!$Q$8:$Q$154*'ANALYSE - ERP =&gt; SOUS-SEGMENT'!$BH$8:$BH$154),0)</f>
        <v>3.4728238983330578E-2</v>
      </c>
      <c r="JQ24" s="748">
        <f>IFERROR(SUMPRODUCT(('ANALYSE - ERP =&gt; SOUS-SEGMENT'!$C$8:$C$154=$C24)*'ANALYSE - ERP =&gt; SOUS-SEGMENT'!$Q$8:$Q$154*'ANALYSE - ERP =&gt; SOUS-SEGMENT'!$BH$8:$BH$154*'ANALYSE - ERP =&gt; SOUS-SEGMENT'!$JT$8:$JT$154)/SUMPRODUCT(('ANALYSE - ERP =&gt; SOUS-SEGMENT'!$C$8:$C$154=$C24)*'ANALYSE - ERP =&gt; SOUS-SEGMENT'!$Q$8:$Q$154*'ANALYSE - ERP =&gt; SOUS-SEGMENT'!$BH$8:$BH$154),0)</f>
        <v>0.35891601749463609</v>
      </c>
      <c r="JR24" s="748">
        <f>IFERROR(SUMPRODUCT(('ANALYSE - ERP =&gt; SOUS-SEGMENT'!$C$8:$C$154=$C24)*'ANALYSE - ERP =&gt; SOUS-SEGMENT'!$Q$8:$Q$154*'ANALYSE - ERP =&gt; SOUS-SEGMENT'!$BH$8:$BH$154*'ANALYSE - ERP =&gt; SOUS-SEGMENT'!$JU$8:$JU$154)/SUMPRODUCT(('ANALYSE - ERP =&gt; SOUS-SEGMENT'!$C$8:$C$154=$C24)*'ANALYSE - ERP =&gt; SOUS-SEGMENT'!$Q$8:$Q$154*'ANALYSE - ERP =&gt; SOUS-SEGMENT'!$BH$8:$BH$154),0)</f>
        <v>0.46602639324420975</v>
      </c>
      <c r="JS24" s="748">
        <f>IFERROR(SUMPRODUCT(('ANALYSE - ERP =&gt; SOUS-SEGMENT'!$C$8:$C$154=$C24)*'ANALYSE - ERP =&gt; SOUS-SEGMENT'!$Q$8:$Q$154*'ANALYSE - ERP =&gt; SOUS-SEGMENT'!$BH$8:$BH$154*'ANALYSE - ERP =&gt; SOUS-SEGMENT'!$JV$8:$JV$154)/SUMPRODUCT(('ANALYSE - ERP =&gt; SOUS-SEGMENT'!$C$8:$C$154=$C24)*'ANALYSE - ERP =&gt; SOUS-SEGMENT'!$Q$8:$Q$154*'ANALYSE - ERP =&gt; SOUS-SEGMENT'!$BH$8:$BH$154),0)</f>
        <v>0.12962590086372888</v>
      </c>
      <c r="JT24" s="749">
        <f>IFERROR(SUMPRODUCT(('ANALYSE - ERP =&gt; SOUS-SEGMENT'!$C$8:$C$154=$C24)*'ANALYSE - ERP =&gt; SOUS-SEGMENT'!$Q$8:$Q$154*'ANALYSE - ERP =&gt; SOUS-SEGMENT'!$BH$8:$BH$154*'ANALYSE - ERP =&gt; SOUS-SEGMENT'!$JW$8:$JW$154)/SUMPRODUCT(('ANALYSE - ERP =&gt; SOUS-SEGMENT'!$C$8:$C$154=$C24)*'ANALYSE - ERP =&gt; SOUS-SEGMENT'!$Q$8:$Q$154*'ANALYSE - ERP =&gt; SOUS-SEGMENT'!$BH$8:$BH$154),0)</f>
        <v>1.0703449414094734E-2</v>
      </c>
      <c r="JU24" s="771">
        <f>IFERROR(SUMPRODUCT(('ANALYSE - ERP =&gt; SOUS-SEGMENT'!$C$8:$C$154=$C24)*'ANALYSE - ERP =&gt; SOUS-SEGMENT'!$Q$8:$Q$154*'ANALYSE - ERP =&gt; SOUS-SEGMENT'!$FK$8:$FK$154*'ANALYSE - ERP =&gt; SOUS-SEGMENT'!$JX$8:$JX$154)/SUMPRODUCT(('ANALYSE - ERP =&gt; SOUS-SEGMENT'!$C$8:$C$154=$C24)*'ANALYSE - ERP =&gt; SOUS-SEGMENT'!$Q$8:$Q$154*'ANALYSE - ERP =&gt; SOUS-SEGMENT'!$FK$8:$FK$154),0)</f>
        <v>1.515757484300709E-2</v>
      </c>
      <c r="JV24" s="748">
        <f>IFERROR(SUMPRODUCT(('ANALYSE - ERP =&gt; SOUS-SEGMENT'!$C$8:$C$154=$C24)*'ANALYSE - ERP =&gt; SOUS-SEGMENT'!$Q$8:$Q$154*'ANALYSE - ERP =&gt; SOUS-SEGMENT'!$FK$8:$FK$154*'ANALYSE - ERP =&gt; SOUS-SEGMENT'!$JY$8:$JY$154)/SUMPRODUCT(('ANALYSE - ERP =&gt; SOUS-SEGMENT'!$C$8:$C$154=$C24)*'ANALYSE - ERP =&gt; SOUS-SEGMENT'!$Q$8:$Q$154*'ANALYSE - ERP =&gt; SOUS-SEGMENT'!$FK$8:$FK$154),0)</f>
        <v>0.305835659933615</v>
      </c>
      <c r="JW24" s="748">
        <f>IFERROR(SUMPRODUCT(('ANALYSE - ERP =&gt; SOUS-SEGMENT'!$C$8:$C$154=$C24)*'ANALYSE - ERP =&gt; SOUS-SEGMENT'!$Q$8:$Q$154*'ANALYSE - ERP =&gt; SOUS-SEGMENT'!$FK$8:$FK$154*'ANALYSE - ERP =&gt; SOUS-SEGMENT'!$JZ$8:$JZ$154)/SUMPRODUCT(('ANALYSE - ERP =&gt; SOUS-SEGMENT'!$C$8:$C$154=$C24)*'ANALYSE - ERP =&gt; SOUS-SEGMENT'!$Q$8:$Q$154*'ANALYSE - ERP =&gt; SOUS-SEGMENT'!$FK$8:$FK$154),0)</f>
        <v>0.49822067918414242</v>
      </c>
      <c r="JX24" s="748">
        <f>IFERROR(SUMPRODUCT(('ANALYSE - ERP =&gt; SOUS-SEGMENT'!$C$8:$C$154=$C24)*'ANALYSE - ERP =&gt; SOUS-SEGMENT'!$Q$8:$Q$154*'ANALYSE - ERP =&gt; SOUS-SEGMENT'!$FK$8:$FK$154*'ANALYSE - ERP =&gt; SOUS-SEGMENT'!$KA$8:$KA$154)/SUMPRODUCT(('ANALYSE - ERP =&gt; SOUS-SEGMENT'!$C$8:$C$154=$C24)*'ANALYSE - ERP =&gt; SOUS-SEGMENT'!$Q$8:$Q$154*'ANALYSE - ERP =&gt; SOUS-SEGMENT'!$FK$8:$FK$154),0)</f>
        <v>0.16372798706651956</v>
      </c>
      <c r="JY24" s="775">
        <f>IFERROR(SUMPRODUCT(('ANALYSE - ERP =&gt; SOUS-SEGMENT'!$C$8:$C$154=$C24)*'ANALYSE - ERP =&gt; SOUS-SEGMENT'!$Q$8:$Q$154*'ANALYSE - ERP =&gt; SOUS-SEGMENT'!$FK$8:$FK$154*'ANALYSE - ERP =&gt; SOUS-SEGMENT'!$KB$8:$KB$154)/SUMPRODUCT(('ANALYSE - ERP =&gt; SOUS-SEGMENT'!$C$8:$C$154=$C24)*'ANALYSE - ERP =&gt; SOUS-SEGMENT'!$Q$8:$Q$154*'ANALYSE - ERP =&gt; SOUS-SEGMENT'!$FK$8:$FK$154),0)</f>
        <v>1.7058098972715791E-2</v>
      </c>
      <c r="JZ24" s="529"/>
      <c r="KA24" s="546" t="s">
        <v>2590</v>
      </c>
      <c r="KB24" s="546" t="s">
        <v>2591</v>
      </c>
      <c r="KC24" s="905">
        <f>IFERROR(SUMPRODUCT(('ANALYSE - ERP =&gt; SOUS-SEGMENT'!$C$8:$C$154=$C25)*'ANALYSE - ERP =&gt; SOUS-SEGMENT'!$Q$8:$Q$154*'ANALYSE - ERP =&gt; SOUS-SEGMENT'!$EX$8:$EX$154*'ANALYSE - ERP =&gt; SOUS-SEGMENT'!$KF$8:$KF$154)/SUMPRODUCT(('ANALYSE - ERP =&gt; SOUS-SEGMENT'!$C$8:$C$154=$C25)*'ANALYSE - ERP =&gt; SOUS-SEGMENT'!$Q$8:$Q$154*'ANALYSE - ERP =&gt; SOUS-SEGMENT'!$EX$8:$EX$154),"")</f>
        <v>3.5133337702865566</v>
      </c>
      <c r="KD24" s="546" t="s">
        <v>2589</v>
      </c>
      <c r="KE24" s="548" t="s">
        <v>7143</v>
      </c>
      <c r="KF24" s="622" t="s">
        <v>6760</v>
      </c>
      <c r="KG24" s="548" t="s">
        <v>6760</v>
      </c>
    </row>
    <row r="25" spans="1:293" s="549" customFormat="1" ht="108" customHeight="1">
      <c r="A25" s="550">
        <v>22</v>
      </c>
      <c r="B25" s="523" t="s">
        <v>7117</v>
      </c>
      <c r="C25" s="523" t="s">
        <v>4229</v>
      </c>
      <c r="D25" s="523" t="s">
        <v>7144</v>
      </c>
      <c r="E25" s="551" t="s">
        <v>7145</v>
      </c>
      <c r="F25" s="551" t="s">
        <v>3009</v>
      </c>
      <c r="G25" s="551" t="s">
        <v>300</v>
      </c>
      <c r="H25" s="551" t="s">
        <v>2109</v>
      </c>
      <c r="I25" s="552" t="s">
        <v>7146</v>
      </c>
      <c r="J25" s="552" t="s">
        <v>7147</v>
      </c>
      <c r="K25" s="553" t="s">
        <v>2109</v>
      </c>
      <c r="L25" s="553" t="s">
        <v>2109</v>
      </c>
      <c r="M25" s="553" t="s">
        <v>2603</v>
      </c>
      <c r="N25" s="553" t="s">
        <v>6742</v>
      </c>
      <c r="O25" s="553" t="s">
        <v>2616</v>
      </c>
      <c r="P25" s="552"/>
      <c r="Q25" s="270">
        <f>IF(SUMPRODUCT(('ANALYSE - ERP =&gt; SOUS-SEGMENT'!$C$8:$C$154=$C25)*'ANALYSE - ERP =&gt; SOUS-SEGMENT'!$Q$8:$Q$154)&gt;0,1,0)</f>
        <v>1</v>
      </c>
      <c r="R25" s="554">
        <f>IFERROR(SUMPRODUCT(('ANALYSE - ERP =&gt; SOUS-SEGMENT'!$C$8:$C$154=$C25)*'ANALYSE - ERP =&gt; SOUS-SEGMENT'!$Q$8:$Q$154*'ANALYSE - ERP =&gt; SOUS-SEGMENT'!$AG$8:$AG$154*'ANALYSE - ERP =&gt; SOUS-SEGMENT'!$R$8:$R$154)/SUMPRODUCT(('ANALYSE - ERP =&gt; SOUS-SEGMENT'!$C$8:$C$154=$C25)*'ANALYSE - ERP =&gt; SOUS-SEGMENT'!$Q$8:$Q$154*'ANALYSE - ERP =&gt; SOUS-SEGMENT'!$AG$8:$AG$154),"")</f>
        <v>1029.4617563739378</v>
      </c>
      <c r="S25" s="555">
        <f>SUMPRODUCT(('ANALYSE - ERP =&gt; SOUS-SEGMENT'!$C$8:$C$154=$C25)*'ANALYSE - ERP =&gt; SOUS-SEGMENT'!$Q$8:$Q$154*'ANALYSE - ERP =&gt; SOUS-SEGMENT'!$S$8:$S$154)</f>
        <v>550</v>
      </c>
      <c r="T25" s="555">
        <f>SUMPRODUCT(('ANALYSE - ERP =&gt; SOUS-SEGMENT'!$C$8:$C$154=$C25)*'ANALYSE - ERP =&gt; SOUS-SEGMENT'!$Q$8:$Q$154*'ANALYSE - ERP =&gt; SOUS-SEGMENT'!$T$8:$T$154)</f>
        <v>580</v>
      </c>
      <c r="U25" s="555">
        <f>SUMPRODUCT(('ANALYSE - ERP =&gt; SOUS-SEGMENT'!$C$8:$C$154=$C25)*'ANALYSE - ERP =&gt; SOUS-SEGMENT'!$Q$8:$Q$154*'ANALYSE - ERP =&gt; SOUS-SEGMENT'!$U$8:$U$154)</f>
        <v>610</v>
      </c>
      <c r="V25" s="555">
        <f>SUMPRODUCT(('ANALYSE - ERP =&gt; SOUS-SEGMENT'!$C$8:$C$154=$C25)*'ANALYSE - ERP =&gt; SOUS-SEGMENT'!$Q$8:$Q$154*'ANALYSE - ERP =&gt; SOUS-SEGMENT'!$V$8:$V$154)</f>
        <v>640</v>
      </c>
      <c r="W25" s="555">
        <f>SUMPRODUCT(('ANALYSE - ERP =&gt; SOUS-SEGMENT'!$C$8:$C$154=$C25)*'ANALYSE - ERP =&gt; SOUS-SEGMENT'!$Q$8:$Q$154*'ANALYSE - ERP =&gt; SOUS-SEGMENT'!$W$8:$W$154)</f>
        <v>646</v>
      </c>
      <c r="X25" s="555">
        <f>SUMPRODUCT(('ANALYSE - ERP =&gt; SOUS-SEGMENT'!$C$8:$C$154=$C25)*'ANALYSE - ERP =&gt; SOUS-SEGMENT'!$Q$8:$Q$154*'ANALYSE - ERP =&gt; SOUS-SEGMENT'!$X$8:$X$154)</f>
        <v>652</v>
      </c>
      <c r="Y25" s="555">
        <f>SUMPRODUCT(('ANALYSE - ERP =&gt; SOUS-SEGMENT'!$C$8:$C$154=$C25)*'ANALYSE - ERP =&gt; SOUS-SEGMENT'!$Q$8:$Q$154*'ANALYSE - ERP =&gt; SOUS-SEGMENT'!$Y$8:$Y$154)</f>
        <v>658</v>
      </c>
      <c r="Z25" s="555">
        <f>SUMPRODUCT(('ANALYSE - ERP =&gt; SOUS-SEGMENT'!$C$8:$C$154=$C25)*'ANALYSE - ERP =&gt; SOUS-SEGMENT'!$Q$8:$Q$154*'ANALYSE - ERP =&gt; SOUS-SEGMENT'!$Z$8:$Z$154)</f>
        <v>664</v>
      </c>
      <c r="AA25" s="555">
        <f>SUMPRODUCT(('ANALYSE - ERP =&gt; SOUS-SEGMENT'!$C$8:$C$154=$C25)*'ANALYSE - ERP =&gt; SOUS-SEGMENT'!$Q$8:$Q$154*'ANALYSE - ERP =&gt; SOUS-SEGMENT'!$AA$8:$AA$154)</f>
        <v>670</v>
      </c>
      <c r="AB25" s="555">
        <f>SUMPRODUCT(('ANALYSE - ERP =&gt; SOUS-SEGMENT'!$C$8:$C$154=$C25)*'ANALYSE - ERP =&gt; SOUS-SEGMENT'!$Q$8:$Q$154*'ANALYSE - ERP =&gt; SOUS-SEGMENT'!$AB$8:$AB$154)</f>
        <v>676</v>
      </c>
      <c r="AC25" s="555">
        <f>SUMPRODUCT(('ANALYSE - ERP =&gt; SOUS-SEGMENT'!$C$8:$C$154=$C25)*'ANALYSE - ERP =&gt; SOUS-SEGMENT'!$Q$8:$Q$154*'ANALYSE - ERP =&gt; SOUS-SEGMENT'!$AC$8:$AC$154)</f>
        <v>682</v>
      </c>
      <c r="AD25" s="555">
        <f>SUMPRODUCT(('ANALYSE - ERP =&gt; SOUS-SEGMENT'!$C$8:$C$154=$C25)*'ANALYSE - ERP =&gt; SOUS-SEGMENT'!$Q$8:$Q$154*'ANALYSE - ERP =&gt; SOUS-SEGMENT'!$AD$8:$AD$154)</f>
        <v>688</v>
      </c>
      <c r="AE25" s="555">
        <f>SUMPRODUCT(('ANALYSE - ERP =&gt; SOUS-SEGMENT'!$C$8:$C$154=$C25)*'ANALYSE - ERP =&gt; SOUS-SEGMENT'!$Q$8:$Q$154*'ANALYSE - ERP =&gt; SOUS-SEGMENT'!$AE$8:$AE$154)</f>
        <v>694</v>
      </c>
      <c r="AF25" s="555">
        <f>SUMPRODUCT(('ANALYSE - ERP =&gt; SOUS-SEGMENT'!$C$8:$C$154=$C25)*'ANALYSE - ERP =&gt; SOUS-SEGMENT'!$Q$8:$Q$154*'ANALYSE - ERP =&gt; SOUS-SEGMENT'!$AF$8:$AF$154)</f>
        <v>700</v>
      </c>
      <c r="AG25" s="555">
        <f>SUMPRODUCT(('ANALYSE - ERP =&gt; SOUS-SEGMENT'!$C$8:$C$154=$C25)*'ANALYSE - ERP =&gt; SOUS-SEGMENT'!$Q$8:$Q$154*'ANALYSE - ERP =&gt; SOUS-SEGMENT'!$AG$8:$AG$154)</f>
        <v>706</v>
      </c>
      <c r="AH25" s="555">
        <f>SUMPRODUCT(('ANALYSE - ERP =&gt; SOUS-SEGMENT'!$C$8:$C$154=$C25)*'ANALYSE - ERP =&gt; SOUS-SEGMENT'!$Q$8:$Q$154*'ANALYSE - ERP =&gt; SOUS-SEGMENT'!$AH$8:$AH$154)</f>
        <v>712</v>
      </c>
      <c r="AI25" s="555">
        <f>SUMPRODUCT(('ANALYSE - ERP =&gt; SOUS-SEGMENT'!$C$8:$C$154=$C25)*'ANALYSE - ERP =&gt; SOUS-SEGMENT'!$Q$8:$Q$154*'ANALYSE - ERP =&gt; SOUS-SEGMENT'!$AI$8:$AI$154)</f>
        <v>718</v>
      </c>
      <c r="AJ25" s="555">
        <f>SUMPRODUCT(('ANALYSE - ERP =&gt; SOUS-SEGMENT'!$C$8:$C$154=$C25)*'ANALYSE - ERP =&gt; SOUS-SEGMENT'!$Q$8:$Q$154*'ANALYSE - ERP =&gt; SOUS-SEGMENT'!$AJ$8:$AJ$154)</f>
        <v>724</v>
      </c>
      <c r="AK25" s="555">
        <f>SUMPRODUCT(('ANALYSE - ERP =&gt; SOUS-SEGMENT'!$C$8:$C$154=$C25)*'ANALYSE - ERP =&gt; SOUS-SEGMENT'!$Q$8:$Q$154*'ANALYSE - ERP =&gt; SOUS-SEGMENT'!$AK$8:$AK$154)</f>
        <v>730</v>
      </c>
      <c r="AL25" s="552" t="s">
        <v>7148</v>
      </c>
      <c r="AM25" s="552" t="s">
        <v>7149</v>
      </c>
      <c r="AN25" s="552" t="s">
        <v>3823</v>
      </c>
      <c r="AO25" s="529"/>
      <c r="AP25" s="554">
        <f>IFERROR(SUMPRODUCT(('ANALYSE - ERP =&gt; SOUS-SEGMENT'!$C$8:$C$154=$C25)*'ANALYSE - ERP =&gt; SOUS-SEGMENT'!$Q$8:$Q$154*'ANALYSE - ERP =&gt; SOUS-SEGMENT'!$AG$8:$AG$154*'ANALYSE - ERP =&gt; SOUS-SEGMENT'!$AP$8:$AP$154)/SUMPRODUCT(('ANALYSE - ERP =&gt; SOUS-SEGMENT'!$C$8:$C$154=$C25)*'ANALYSE - ERP =&gt; SOUS-SEGMENT'!$Q$8:$Q$154*'ANALYSE - ERP =&gt; SOUS-SEGMENT'!$AG$8:$AG$154),"")</f>
        <v>87.917847025495746</v>
      </c>
      <c r="AQ25" s="556">
        <f>IFERROR(SUMPRODUCT(('ANALYSE - ERP =&gt; SOUS-SEGMENT'!$C$8:$C$154=$C25)*'ANALYSE - ERP =&gt; SOUS-SEGMENT'!$Q$8:$Q$154*'ANALYSE - ERP =&gt; SOUS-SEGMENT'!$AF$8:$AF$154*'ANALYSE - ERP =&gt; SOUS-SEGMENT'!$AQ$8:$AQ$154)/SUMPRODUCT(('ANALYSE - ERP =&gt; SOUS-SEGMENT'!$C$8:$C$154=$C25)*'ANALYSE - ERP =&gt; SOUS-SEGMENT'!$Q$8:$Q$154*'ANALYSE - ERP =&gt; SOUS-SEGMENT'!$AF$8:$AF$154),"")</f>
        <v>73.142857142857139</v>
      </c>
      <c r="AR25" s="975">
        <f>IFERROR(SUMPRODUCT(('ANALYSE - ERP =&gt; SOUS-SEGMENT'!$C$8:$C$154=$C25)*'ANALYSE - ERP =&gt; SOUS-SEGMENT'!$Q$8:$Q$154*'ANALYSE - ERP =&gt; SOUS-SEGMENT'!$AF$8:$AF$154*'ANALYSE - ERP =&gt; SOUS-SEGMENT'!$AR$8:$AR$154)/SUMPRODUCT(('ANALYSE - ERP =&gt; SOUS-SEGMENT'!$C$8:$C$154=$C25)*'ANALYSE - ERP =&gt; SOUS-SEGMENT'!$Q$8:$Q$154*'ANALYSE - ERP =&gt; SOUS-SEGMENT'!$AF$8:$AF$154),"")</f>
        <v>12</v>
      </c>
      <c r="AS25" s="975">
        <f>IFERROR(SUMPRODUCT(('ANALYSE - ERP =&gt; SOUS-SEGMENT'!$C$8:$C$154=$C25)*'ANALYSE - ERP =&gt; SOUS-SEGMENT'!$Q$8:$Q$154*'ANALYSE - ERP =&gt; SOUS-SEGMENT'!$AF$8:$AF$154*'ANALYSE - ERP =&gt; SOUS-SEGMENT'!$AS$8:$AS$154)/SUMPRODUCT(('ANALYSE - ERP =&gt; SOUS-SEGMENT'!$C$8:$C$154=$C25)*'ANALYSE - ERP =&gt; SOUS-SEGMENT'!$Q$8:$Q$154*'ANALYSE - ERP =&gt; SOUS-SEGMENT'!$AF$8:$AF$154),"")</f>
        <v>2.7142857142857144</v>
      </c>
      <c r="AT25" s="529" t="s">
        <v>7150</v>
      </c>
      <c r="AU25" s="537" t="s">
        <v>7151</v>
      </c>
      <c r="AV25" s="573" t="s">
        <v>4197</v>
      </c>
      <c r="AW25" s="537"/>
      <c r="AX25" s="529"/>
      <c r="AY25" s="557">
        <f>IFERROR(SUMPRODUCT(('ANALYSE - ERP =&gt; SOUS-SEGMENT'!$C$8:$C$154=$C25)*'ANALYSE - ERP =&gt; SOUS-SEGMENT'!$Q$8:$Q$154*'ANALYSE - ERP =&gt; SOUS-SEGMENT'!$AF$8:$AF$154*'ANALYSE - ERP =&gt; SOUS-SEGMENT'!$AZ$8:$AZ$154)/SUMPRODUCT(('ANALYSE - ERP =&gt; SOUS-SEGMENT'!$C$8:$C$154=$C25)*'ANALYSE - ERP =&gt; SOUS-SEGMENT'!$Q$8:$Q$154*'ANALYSE - ERP =&gt; SOUS-SEGMENT'!$AF$8:$AF$154),"")</f>
        <v>4.5714285714285712</v>
      </c>
      <c r="AZ25" s="976">
        <f>IFERROR(SUMPRODUCT(('ANALYSE - ERP =&gt; SOUS-SEGMENT'!$C$8:$C$154=$C25)*'ANALYSE - ERP =&gt; SOUS-SEGMENT'!$Q$8:$Q$154*'ANALYSE - ERP =&gt; SOUS-SEGMENT'!$AF$8:$AF$154*'ANALYSE - ERP =&gt; SOUS-SEGMENT'!$BA$8:$BA$154)/SUMPRODUCT(('ANALYSE - ERP =&gt; SOUS-SEGMENT'!$C$8:$C$154=$C25)*'ANALYSE - ERP =&gt; SOUS-SEGMENT'!$Q$8:$Q$154*'ANALYSE - ERP =&gt; SOUS-SEGMENT'!$AF$8:$AF$154),"")</f>
        <v>4</v>
      </c>
      <c r="BA25" s="557">
        <f>IFERROR(SUMPRODUCT(('ANALYSE - ERP =&gt; SOUS-SEGMENT'!$C$8:$C$154=$C25)*'ANALYSE - ERP =&gt; SOUS-SEGMENT'!$Q$8:$Q$154*'ANALYSE - ERP =&gt; SOUS-SEGMENT'!$AF$8:$AF$154*'ANALYSE - ERP =&gt; SOUS-SEGMENT'!$BB$8:$BB$154)/SUMPRODUCT(('ANALYSE - ERP =&gt; SOUS-SEGMENT'!$C$8:$C$154=$C25)*'ANALYSE - ERP =&gt; SOUS-SEGMENT'!$Q$8:$Q$154*'ANALYSE - ERP =&gt; SOUS-SEGMENT'!$AF$8:$AF$154),"")</f>
        <v>0.7857142857142857</v>
      </c>
      <c r="BB25" s="557">
        <f>IFERROR(SUMPRODUCT(('ANALYSE - ERP =&gt; SOUS-SEGMENT'!$C$8:$C$154=$C25)*'ANALYSE - ERP =&gt; SOUS-SEGMENT'!$Q$8:$Q$154*'ANALYSE - ERP =&gt; SOUS-SEGMENT'!$AF$8:$AF$154*'ANALYSE - ERP =&gt; SOUS-SEGMENT'!$BC$8:$BC$154)/SUMPRODUCT(('ANALYSE - ERP =&gt; SOUS-SEGMENT'!$C$8:$C$154=$C25)*'ANALYSE - ERP =&gt; SOUS-SEGMENT'!$Q$8:$Q$154*'ANALYSE - ERP =&gt; SOUS-SEGMENT'!$AF$8:$AF$154),"")</f>
        <v>4.5714285714285712</v>
      </c>
      <c r="BC25" s="558">
        <f>SUMPRODUCT(('ANALYSE - ERP =&gt; SOUS-SEGMENT'!$C$8:$C$154=$C25)*'ANALYSE - ERP =&gt; SOUS-SEGMENT'!$Q$8:$Q$154*'ANALYSE - ERP =&gt; SOUS-SEGMENT'!$BE$8:$BE$154)</f>
        <v>3200</v>
      </c>
      <c r="BD25" s="558">
        <f>SUMPRODUCT(('ANALYSE - ERP =&gt; SOUS-SEGMENT'!$C$8:$C$154=$C25)*'ANALYSE - ERP =&gt; SOUS-SEGMENT'!$Q$8:$Q$154*'ANALYSE - ERP =&gt; SOUS-SEGMENT'!$BF$8:$BF$154)</f>
        <v>2800</v>
      </c>
      <c r="BE25" s="558">
        <f>SUMPRODUCT(('ANALYSE - ERP =&gt; SOUS-SEGMENT'!$C$8:$C$154=$C25)*'ANALYSE - ERP =&gt; SOUS-SEGMENT'!$Q$8:$Q$154*'ANALYSE - ERP =&gt; SOUS-SEGMENT'!$BG$8:$BG$154)</f>
        <v>550</v>
      </c>
      <c r="BF25" s="558">
        <f>SUMPRODUCT(('ANALYSE - ERP =&gt; SOUS-SEGMENT'!$C$8:$C$154=$C25)*'ANALYSE - ERP =&gt; SOUS-SEGMENT'!$Q$8:$Q$154*'ANALYSE - ERP =&gt; SOUS-SEGMENT'!$BH$8:$BH$154)</f>
        <v>3200</v>
      </c>
      <c r="BG25" s="558">
        <f>SUMPRODUCT(('ANALYSE - ERP =&gt; SOUS-SEGMENT'!$C$8:$C$154=$C25)*'ANALYSE - ERP =&gt; SOUS-SEGMENT'!$Q$8:$Q$154*'ANALYSE - ERP =&gt; SOUS-SEGMENT'!$BJ$8:$BJ$154)</f>
        <v>3340</v>
      </c>
      <c r="BH25" s="558">
        <f>SUMPRODUCT(('ANALYSE - ERP =&gt; SOUS-SEGMENT'!$C$8:$C$154=$C25)*'ANALYSE - ERP =&gt; SOUS-SEGMENT'!$Q$8:$Q$154*'ANALYSE - ERP =&gt; SOUS-SEGMENT'!$BK$8:$BK$154)</f>
        <v>2920</v>
      </c>
      <c r="BI25" s="558">
        <f>SUMPRODUCT(('ANALYSE - ERP =&gt; SOUS-SEGMENT'!$C$8:$C$154=$C25)*'ANALYSE - ERP =&gt; SOUS-SEGMENT'!$Q$8:$Q$154*'ANALYSE - ERP =&gt; SOUS-SEGMENT'!$BL$8:$BL$154)</f>
        <v>575</v>
      </c>
      <c r="BJ25" s="558">
        <f>SUMPRODUCT(('ANALYSE - ERP =&gt; SOUS-SEGMENT'!$C$8:$C$154=$C25)*'ANALYSE - ERP =&gt; SOUS-SEGMENT'!$Q$8:$Q$154*'ANALYSE - ERP =&gt; SOUS-SEGMENT'!$BM$8:$BM$154)</f>
        <v>3340</v>
      </c>
      <c r="BK25" s="529"/>
      <c r="BL25" s="602">
        <f>IFERROR(SUMPRODUCT(('ANALYSE - ERP =&gt; SOUS-SEGMENT'!$C$8:$C$154=$C25)*'ANALYSE - ERP =&gt; SOUS-SEGMENT'!$Q$8:$Q$154*'ANALYSE - ERP =&gt; SOUS-SEGMENT'!$BE$8:$BE$154*'ANALYSE - ERP =&gt; SOUS-SEGMENT'!$BO$8:$BO$154)/SUMPRODUCT(('ANALYSE - ERP =&gt; SOUS-SEGMENT'!$C$8:$C$154=$C25)*'ANALYSE - ERP =&gt; SOUS-SEGMENT'!$Q$8:$Q$154*'ANALYSE - ERP =&gt; SOUS-SEGMENT'!$BE$8:$BE$154),"")</f>
        <v>0.72</v>
      </c>
      <c r="BM25" s="532">
        <f>IFERROR(SUMPRODUCT(('ANALYSE - ERP =&gt; SOUS-SEGMENT'!$C$8:$C$154=$C25)*'ANALYSE - ERP =&gt; SOUS-SEGMENT'!$Q$8:$Q$154*'ANALYSE - ERP =&gt; SOUS-SEGMENT'!$BE$8:$BE$154*'ANALYSE - ERP =&gt; SOUS-SEGMENT'!$BP$8:$BP$154)/SUMPRODUCT(('ANALYSE - ERP =&gt; SOUS-SEGMENT'!$C$8:$C$154=$C25)*'ANALYSE - ERP =&gt; SOUS-SEGMENT'!$Q$8:$Q$154*'ANALYSE - ERP =&gt; SOUS-SEGMENT'!$BE$8:$BE$154),"")</f>
        <v>0.14249999999999999</v>
      </c>
      <c r="BN25" s="532">
        <f>IFERROR(SUMPRODUCT(('ANALYSE - ERP =&gt; SOUS-SEGMENT'!$C$8:$C$154=$C25)*'ANALYSE - ERP =&gt; SOUS-SEGMENT'!$Q$8:$Q$154*'ANALYSE - ERP =&gt; SOUS-SEGMENT'!$BE$8:$BE$154*'ANALYSE - ERP =&gt; SOUS-SEGMENT'!$BQ$8:$BQ$154)/SUMPRODUCT(('ANALYSE - ERP =&gt; SOUS-SEGMENT'!$C$8:$C$154=$C25)*'ANALYSE - ERP =&gt; SOUS-SEGMENT'!$Q$8:$Q$154*'ANALYSE - ERP =&gt; SOUS-SEGMENT'!$BE$8:$BE$154),"")</f>
        <v>4.4999999999999998E-2</v>
      </c>
      <c r="BO25" s="603">
        <f>IFERROR(SUMPRODUCT(('ANALYSE - ERP =&gt; SOUS-SEGMENT'!$C$8:$C$154=$C25)*'ANALYSE - ERP =&gt; SOUS-SEGMENT'!$Q$8:$Q$154*'ANALYSE - ERP =&gt; SOUS-SEGMENT'!$BE$8:$BE$154*'ANALYSE - ERP =&gt; SOUS-SEGMENT'!$BR$8:$BR$154)/SUMPRODUCT(('ANALYSE - ERP =&gt; SOUS-SEGMENT'!$C$8:$C$154=$C25)*'ANALYSE - ERP =&gt; SOUS-SEGMENT'!$Q$8:$Q$154*'ANALYSE - ERP =&gt; SOUS-SEGMENT'!$BE$8:$BE$154),"")</f>
        <v>9.2499999999999999E-2</v>
      </c>
      <c r="BP25" s="602">
        <f>IFERROR(SUMPRODUCT(('ANALYSE - ERP =&gt; SOUS-SEGMENT'!$C$8:$C$154=$C25)*'ANALYSE - ERP =&gt; SOUS-SEGMENT'!$Q$8:$Q$154*'ANALYSE - ERP =&gt; SOUS-SEGMENT'!$BJ$8:$BJ$154*'ANALYSE - ERP =&gt; SOUS-SEGMENT'!$BS$8:$BS$154)/SUMPRODUCT(('ANALYSE - ERP =&gt; SOUS-SEGMENT'!$C$8:$C$154=$C25)*'ANALYSE - ERP =&gt; SOUS-SEGMENT'!$Q$8:$Q$154*'ANALYSE - ERP =&gt; SOUS-SEGMENT'!$BJ$8:$BJ$154),"")</f>
        <v>0.7</v>
      </c>
      <c r="BQ25" s="532">
        <f>IFERROR(SUMPRODUCT(('ANALYSE - ERP =&gt; SOUS-SEGMENT'!$C$8:$C$154=$C25)*'ANALYSE - ERP =&gt; SOUS-SEGMENT'!$Q$8:$Q$154*'ANALYSE - ERP =&gt; SOUS-SEGMENT'!$BJ$8:$BJ$154*'ANALYSE - ERP =&gt; SOUS-SEGMENT'!$BT$8:$BT$154)/SUMPRODUCT(('ANALYSE - ERP =&gt; SOUS-SEGMENT'!$C$8:$C$154=$C25)*'ANALYSE - ERP =&gt; SOUS-SEGMENT'!$Q$8:$Q$154*'ANALYSE - ERP =&gt; SOUS-SEGMENT'!$BJ$8:$BJ$154),"")</f>
        <v>0.1422754491017964</v>
      </c>
      <c r="BR25" s="532">
        <f>IFERROR(SUMPRODUCT(('ANALYSE - ERP =&gt; SOUS-SEGMENT'!$C$8:$C$154=$C25)*'ANALYSE - ERP =&gt; SOUS-SEGMENT'!$Q$8:$Q$154*'ANALYSE - ERP =&gt; SOUS-SEGMENT'!$BJ$8:$BJ$154*'ANALYSE - ERP =&gt; SOUS-SEGMENT'!$BU$8:$BU$154)/SUMPRODUCT(('ANALYSE - ERP =&gt; SOUS-SEGMENT'!$C$8:$C$154=$C25)*'ANALYSE - ERP =&gt; SOUS-SEGMENT'!$Q$8:$Q$154*'ANALYSE - ERP =&gt; SOUS-SEGMENT'!$BJ$8:$BJ$154),"")</f>
        <v>6.5149700598802388E-2</v>
      </c>
      <c r="BS25" s="603">
        <f>IFERROR(SUMPRODUCT(('ANALYSE - ERP =&gt; SOUS-SEGMENT'!$C$8:$C$154=$C25)*'ANALYSE - ERP =&gt; SOUS-SEGMENT'!$Q$8:$Q$154*'ANALYSE - ERP =&gt; SOUS-SEGMENT'!$BJ$8:$BJ$154*'ANALYSE - ERP =&gt; SOUS-SEGMENT'!$BV$8:$BV$154)/SUMPRODUCT(('ANALYSE - ERP =&gt; SOUS-SEGMENT'!$C$8:$C$154=$C25)*'ANALYSE - ERP =&gt; SOUS-SEGMENT'!$Q$8:$Q$154*'ANALYSE - ERP =&gt; SOUS-SEGMENT'!$BJ$8:$BJ$154),"")</f>
        <v>9.2574850299401198E-2</v>
      </c>
      <c r="BT25" s="604">
        <f>IFERROR(SUMPRODUCT(('ANALYSE - ERP =&gt; SOUS-SEGMENT'!$C$8:$C$154=$C25)*'ANALYSE - ERP =&gt; SOUS-SEGMENT'!$Q$8:$Q$154*'ANALYSE - ERP =&gt; SOUS-SEGMENT'!$BF$8:$BF$154*'ANALYSE - ERP =&gt; SOUS-SEGMENT'!$BW$8:$BW$154)/SUMPRODUCT(('ANALYSE - ERP =&gt; SOUS-SEGMENT'!$C$8:$C$154=$C25)*'ANALYSE - ERP =&gt; SOUS-SEGMENT'!$Q$8:$Q$154*'ANALYSE - ERP =&gt; SOUS-SEGMENT'!$BF$8:$BF$154),"")</f>
        <v>0.79285714285714282</v>
      </c>
      <c r="BU25" s="533">
        <f>IFERROR(SUMPRODUCT(('ANALYSE - ERP =&gt; SOUS-SEGMENT'!$C$8:$C$154=$C25)*'ANALYSE - ERP =&gt; SOUS-SEGMENT'!$Q$8:$Q$154*'ANALYSE - ERP =&gt; SOUS-SEGMENT'!$BF$8:$BF$154*'ANALYSE - ERP =&gt; SOUS-SEGMENT'!$BX$8:$BX$154)/SUMPRODUCT(('ANALYSE - ERP =&gt; SOUS-SEGMENT'!$C$8:$C$154=$C25)*'ANALYSE - ERP =&gt; SOUS-SEGMENT'!$Q$8:$Q$154*'ANALYSE - ERP =&gt; SOUS-SEGMENT'!$BF$8:$BF$154),"")</f>
        <v>0.15428571428571428</v>
      </c>
      <c r="BV25" s="605">
        <f>IFERROR(SUMPRODUCT(('ANALYSE - ERP =&gt; SOUS-SEGMENT'!$C$8:$C$154=$C25)*'ANALYSE - ERP =&gt; SOUS-SEGMENT'!$Q$8:$Q$154*'ANALYSE - ERP =&gt; SOUS-SEGMENT'!$BF$8:$BF$154*'ANALYSE - ERP =&gt; SOUS-SEGMENT'!$BY$8:$BY$154)/SUMPRODUCT(('ANALYSE - ERP =&gt; SOUS-SEGMENT'!$C$8:$C$154=$C25)*'ANALYSE - ERP =&gt; SOUS-SEGMENT'!$Q$8:$Q$154*'ANALYSE - ERP =&gt; SOUS-SEGMENT'!$BF$8:$BF$154),"")</f>
        <v>5.2857142857142859E-2</v>
      </c>
      <c r="BW25" s="604">
        <f>IFERROR(SUMPRODUCT(('ANALYSE - ERP =&gt; SOUS-SEGMENT'!$C$8:$C$154=$C25)*'ANALYSE - ERP =&gt; SOUS-SEGMENT'!$Q$8:$Q$154*'ANALYSE - ERP =&gt; SOUS-SEGMENT'!$BK$8:$BK$154*'ANALYSE - ERP =&gt; SOUS-SEGMENT'!$BZ$8:$BZ$154)/SUMPRODUCT(('ANALYSE - ERP =&gt; SOUS-SEGMENT'!$C$8:$C$154=$C25)*'ANALYSE - ERP =&gt; SOUS-SEGMENT'!$Q$8:$Q$154*'ANALYSE - ERP =&gt; SOUS-SEGMENT'!$BK$8:$BK$154),"")</f>
        <v>0.7509589041095891</v>
      </c>
      <c r="BX25" s="533">
        <f>IFERROR(SUMPRODUCT(('ANALYSE - ERP =&gt; SOUS-SEGMENT'!$C$8:$C$154=$C25)*'ANALYSE - ERP =&gt; SOUS-SEGMENT'!$Q$8:$Q$154*'ANALYSE - ERP =&gt; SOUS-SEGMENT'!$BK$8:$BK$154*'ANALYSE - ERP =&gt; SOUS-SEGMENT'!$CA$8:$CA$154)/SUMPRODUCT(('ANALYSE - ERP =&gt; SOUS-SEGMENT'!$C$8:$C$154=$C25)*'ANALYSE - ERP =&gt; SOUS-SEGMENT'!$Q$8:$Q$154*'ANALYSE - ERP =&gt; SOUS-SEGMENT'!$BK$8:$BK$154),"")</f>
        <v>0.18027397260273975</v>
      </c>
      <c r="BY25" s="605">
        <f>IFERROR(SUMPRODUCT(('ANALYSE - ERP =&gt; SOUS-SEGMENT'!$C$8:$C$154=$C25)*'ANALYSE - ERP =&gt; SOUS-SEGMENT'!$Q$8:$Q$154*'ANALYSE - ERP =&gt; SOUS-SEGMENT'!$BK$8:$BK$154*'ANALYSE - ERP =&gt; SOUS-SEGMENT'!$CB$8:$CB$154)/SUMPRODUCT(('ANALYSE - ERP =&gt; SOUS-SEGMENT'!$C$8:$C$154=$C25)*'ANALYSE - ERP =&gt; SOUS-SEGMENT'!$Q$8:$Q$154*'ANALYSE - ERP =&gt; SOUS-SEGMENT'!$BK$8:$BK$154),"")</f>
        <v>6.8767123287671234E-2</v>
      </c>
      <c r="BZ25" s="602">
        <f>IFERROR(SUMPRODUCT(('ANALYSE - ERP =&gt; SOUS-SEGMENT'!$C$8:$C$154=$C25)*'ANALYSE - ERP =&gt; SOUS-SEGMENT'!$Q$8:$Q$154*'ANALYSE - ERP =&gt; SOUS-SEGMENT'!$BG$8:$BG$154*'ANALYSE - ERP =&gt; SOUS-SEGMENT'!$CC$8:$CC$154)/SUMPRODUCT(('ANALYSE - ERP =&gt; SOUS-SEGMENT'!$C$8:$C$154=$C25)*'ANALYSE - ERP =&gt; SOUS-SEGMENT'!$Q$8:$Q$154*'ANALYSE - ERP =&gt; SOUS-SEGMENT'!$BG$8:$BG$154),"")</f>
        <v>0.17727272727272728</v>
      </c>
      <c r="CA25" s="532">
        <f>IFERROR(SUMPRODUCT(('ANALYSE - ERP =&gt; SOUS-SEGMENT'!$C$8:$C$154=$C25)*'ANALYSE - ERP =&gt; SOUS-SEGMENT'!$Q$8:$Q$154*'ANALYSE - ERP =&gt; SOUS-SEGMENT'!$BG$8:$BG$154*'ANALYSE - ERP =&gt; SOUS-SEGMENT'!$CD$8:$CD$154)/SUMPRODUCT(('ANALYSE - ERP =&gt; SOUS-SEGMENT'!$C$8:$C$154=$C25)*'ANALYSE - ERP =&gt; SOUS-SEGMENT'!$Q$8:$Q$154*'ANALYSE - ERP =&gt; SOUS-SEGMENT'!$BG$8:$BG$154),"")</f>
        <v>0.45</v>
      </c>
      <c r="CB25" s="532">
        <f>IFERROR(SUMPRODUCT(('ANALYSE - ERP =&gt; SOUS-SEGMENT'!$C$8:$C$154=$C25)*'ANALYSE - ERP =&gt; SOUS-SEGMENT'!$Q$8:$Q$154*'ANALYSE - ERP =&gt; SOUS-SEGMENT'!$BG$8:$BG$154*'ANALYSE - ERP =&gt; SOUS-SEGMENT'!$CE$8:$CE$154)/SUMPRODUCT(('ANALYSE - ERP =&gt; SOUS-SEGMENT'!$C$8:$C$154=$C25)*'ANALYSE - ERP =&gt; SOUS-SEGMENT'!$Q$8:$Q$154*'ANALYSE - ERP =&gt; SOUS-SEGMENT'!$BG$8:$BG$154),"")</f>
        <v>0.15909090909090909</v>
      </c>
      <c r="CC25" s="603">
        <f>IFERROR(SUMPRODUCT(('ANALYSE - ERP =&gt; SOUS-SEGMENT'!$C$8:$C$154=$C25)*'ANALYSE - ERP =&gt; SOUS-SEGMENT'!$Q$8:$Q$154*'ANALYSE - ERP =&gt; SOUS-SEGMENT'!$BG$8:$BG$154*'ANALYSE - ERP =&gt; SOUS-SEGMENT'!$CF$8:$CF$154)/SUMPRODUCT(('ANALYSE - ERP =&gt; SOUS-SEGMENT'!$C$8:$C$154=$C25)*'ANALYSE - ERP =&gt; SOUS-SEGMENT'!$Q$8:$Q$154*'ANALYSE - ERP =&gt; SOUS-SEGMENT'!$BG$8:$BG$154),"")</f>
        <v>0.21363636363636362</v>
      </c>
      <c r="CD25" s="602">
        <f>IFERROR(SUMPRODUCT(('ANALYSE - ERP =&gt; SOUS-SEGMENT'!$C$8:$C$154=$C25)*'ANALYSE - ERP =&gt; SOUS-SEGMENT'!$Q$8:$Q$154*'ANALYSE - ERP =&gt; SOUS-SEGMENT'!$BL$8:$BL$154*'ANALYSE - ERP =&gt; SOUS-SEGMENT'!$CG$8:$CG$154)/SUMPRODUCT(('ANALYSE - ERP =&gt; SOUS-SEGMENT'!$C$8:$C$154=$C25)*'ANALYSE - ERP =&gt; SOUS-SEGMENT'!$Q$8:$Q$154*'ANALYSE - ERP =&gt; SOUS-SEGMENT'!$BL$8:$BL$154),"")</f>
        <v>0.15695652173913044</v>
      </c>
      <c r="CE25" s="532">
        <f>IFERROR(SUMPRODUCT(('ANALYSE - ERP =&gt; SOUS-SEGMENT'!$C$8:$C$154=$C25)*'ANALYSE - ERP =&gt; SOUS-SEGMENT'!$Q$8:$Q$154*'ANALYSE - ERP =&gt; SOUS-SEGMENT'!$BL$8:$BL$154*'ANALYSE - ERP =&gt; SOUS-SEGMENT'!$CH$8:$CH$154)/SUMPRODUCT(('ANALYSE - ERP =&gt; SOUS-SEGMENT'!$C$8:$C$154=$C25)*'ANALYSE - ERP =&gt; SOUS-SEGMENT'!$Q$8:$Q$154*'ANALYSE - ERP =&gt; SOUS-SEGMENT'!$BL$8:$BL$154),"")</f>
        <v>0.45269565217391305</v>
      </c>
      <c r="CF25" s="532">
        <f>IFERROR(SUMPRODUCT(('ANALYSE - ERP =&gt; SOUS-SEGMENT'!$C$8:$C$154=$C25)*'ANALYSE - ERP =&gt; SOUS-SEGMENT'!$Q$8:$Q$154*'ANALYSE - ERP =&gt; SOUS-SEGMENT'!$BL$8:$BL$154*'ANALYSE - ERP =&gt; SOUS-SEGMENT'!$CI$8:$CI$154)/SUMPRODUCT(('ANALYSE - ERP =&gt; SOUS-SEGMENT'!$C$8:$C$154=$C25)*'ANALYSE - ERP =&gt; SOUS-SEGMENT'!$Q$8:$Q$154*'ANALYSE - ERP =&gt; SOUS-SEGMENT'!$BL$8:$BL$154),"")</f>
        <v>0.18417391304347827</v>
      </c>
      <c r="CG25" s="603">
        <f>IFERROR(SUMPRODUCT(('ANALYSE - ERP =&gt; SOUS-SEGMENT'!$C$8:$C$154=$C25)*'ANALYSE - ERP =&gt; SOUS-SEGMENT'!$Q$8:$Q$154*'ANALYSE - ERP =&gt; SOUS-SEGMENT'!$BL$8:$BL$154*'ANALYSE - ERP =&gt; SOUS-SEGMENT'!$CJ$8:$CJ$154)/SUMPRODUCT(('ANALYSE - ERP =&gt; SOUS-SEGMENT'!$C$8:$C$154=$C25)*'ANALYSE - ERP =&gt; SOUS-SEGMENT'!$Q$8:$Q$154*'ANALYSE - ERP =&gt; SOUS-SEGMENT'!$BL$8:$BL$154),"")</f>
        <v>0.20617391304347826</v>
      </c>
      <c r="CH25" s="604">
        <f>IFERROR(SUMPRODUCT(('ANALYSE - ERP =&gt; SOUS-SEGMENT'!$C$8:$C$154=$C25)*'ANALYSE - ERP =&gt; SOUS-SEGMENT'!$Q$8:$Q$154*'ANALYSE - ERP =&gt; SOUS-SEGMENT'!$BH$8:$BH$154*'ANALYSE - ERP =&gt; SOUS-SEGMENT'!$CK$8:$CK$154)/SUMPRODUCT(('ANALYSE - ERP =&gt; SOUS-SEGMENT'!$C$8:$C$154=$C25)*'ANALYSE - ERP =&gt; SOUS-SEGMENT'!$Q$8:$Q$154*'ANALYSE - ERP =&gt; SOUS-SEGMENT'!$BH$8:$BH$154),"")</f>
        <v>0.6875</v>
      </c>
      <c r="CI25" s="533">
        <f>IFERROR(SUMPRODUCT(('ANALYSE - ERP =&gt; SOUS-SEGMENT'!$C$8:$C$154=$C25)*'ANALYSE - ERP =&gt; SOUS-SEGMENT'!$Q$8:$Q$154*'ANALYSE - ERP =&gt; SOUS-SEGMENT'!$BH$8:$BH$154*'ANALYSE - ERP =&gt; SOUS-SEGMENT'!$CL$8:$CL$154)/SUMPRODUCT(('ANALYSE - ERP =&gt; SOUS-SEGMENT'!$C$8:$C$154=$C25)*'ANALYSE - ERP =&gt; SOUS-SEGMENT'!$Q$8:$Q$154*'ANALYSE - ERP =&gt; SOUS-SEGMENT'!$BH$8:$BH$154),"")</f>
        <v>0.23125000000000001</v>
      </c>
      <c r="CJ25" s="605">
        <f>IFERROR(SUMPRODUCT(('ANALYSE - ERP =&gt; SOUS-SEGMENT'!$C$8:$C$154=$C25)*'ANALYSE - ERP =&gt; SOUS-SEGMENT'!$Q$8:$Q$154*'ANALYSE - ERP =&gt; SOUS-SEGMENT'!$BH$8:$BH$154*'ANALYSE - ERP =&gt; SOUS-SEGMENT'!$CM$8:$CM$154)/SUMPRODUCT(('ANALYSE - ERP =&gt; SOUS-SEGMENT'!$C$8:$C$154=$C25)*'ANALYSE - ERP =&gt; SOUS-SEGMENT'!$Q$8:$Q$154*'ANALYSE - ERP =&gt; SOUS-SEGMENT'!$BH$8:$BH$154),"")</f>
        <v>8.1250000000000003E-2</v>
      </c>
      <c r="CK25" s="604">
        <f>IFERROR(SUMPRODUCT(('ANALYSE - ERP =&gt; SOUS-SEGMENT'!$C$8:$C$154=$C25)*'ANALYSE - ERP =&gt; SOUS-SEGMENT'!$Q$8:$Q$154*'ANALYSE - ERP =&gt; SOUS-SEGMENT'!$BM$8:$BM$154*'ANALYSE - ERP =&gt; SOUS-SEGMENT'!$CN$8:$CN$154)/SUMPRODUCT(('ANALYSE - ERP =&gt; SOUS-SEGMENT'!$C$8:$C$154=$C25)*'ANALYSE - ERP =&gt; SOUS-SEGMENT'!$Q$8:$Q$154*'ANALYSE - ERP =&gt; SOUS-SEGMENT'!$BM$8:$BM$154),"")</f>
        <v>0.63712574850299397</v>
      </c>
      <c r="CL25" s="533">
        <f>IFERROR(SUMPRODUCT(('ANALYSE - ERP =&gt; SOUS-SEGMENT'!$C$8:$C$154=$C25)*'ANALYSE - ERP =&gt; SOUS-SEGMENT'!$Q$8:$Q$154*'ANALYSE - ERP =&gt; SOUS-SEGMENT'!$BM$8:$BM$154*'ANALYSE - ERP =&gt; SOUS-SEGMENT'!$CO$8:$CO$154)/SUMPRODUCT(('ANALYSE - ERP =&gt; SOUS-SEGMENT'!$C$8:$C$154=$C25)*'ANALYSE - ERP =&gt; SOUS-SEGMENT'!$Q$8:$Q$154*'ANALYSE - ERP =&gt; SOUS-SEGMENT'!$BM$8:$BM$154),"")</f>
        <v>0.25143712574850297</v>
      </c>
      <c r="CM25" s="605">
        <f>IFERROR(SUMPRODUCT(('ANALYSE - ERP =&gt; SOUS-SEGMENT'!$C$8:$C$154=$C25)*'ANALYSE - ERP =&gt; SOUS-SEGMENT'!$Q$8:$Q$154*'ANALYSE - ERP =&gt; SOUS-SEGMENT'!$BM$8:$BM$154*'ANALYSE - ERP =&gt; SOUS-SEGMENT'!$CP$8:$CP$154)/SUMPRODUCT(('ANALYSE - ERP =&gt; SOUS-SEGMENT'!$C$8:$C$154=$C25)*'ANALYSE - ERP =&gt; SOUS-SEGMENT'!$Q$8:$Q$154*'ANALYSE - ERP =&gt; SOUS-SEGMENT'!$BM$8:$BM$154),"")</f>
        <v>0.11143712574850299</v>
      </c>
      <c r="CN25" s="529"/>
      <c r="CO25" s="894">
        <f>IFERROR(SUMPRODUCT(('ANALYSE - ERP =&gt; SOUS-SEGMENT'!$C$8:$C$154=$C25)*'ANALYSE - ERP =&gt; SOUS-SEGMENT'!$DH$8:$DH$154*('ANALYSE - ERP =&gt; SOUS-SEGMENT'!$CR$8:$CR$154&gt;0)*'ANALYSE - ERP =&gt; SOUS-SEGMENT'!$CR$8:$CR$154)/SUMPRODUCT(('ANALYSE - ERP =&gt; SOUS-SEGMENT'!$C$8:$C$154=$C25)*'ANALYSE - ERP =&gt; SOUS-SEGMENT'!$DH$8:$DH$154*('ANALYSE - ERP =&gt; SOUS-SEGMENT'!$CR$8:$CR$154&gt;0)),"")</f>
        <v>12</v>
      </c>
      <c r="CP25" s="895">
        <f>IFERROR(SUMPRODUCT(('ANALYSE - ERP =&gt; SOUS-SEGMENT'!$C$8:$C$154=$C25)*'ANALYSE - ERP =&gt; SOUS-SEGMENT'!$DI$8:$DI$154*('ANALYSE - ERP =&gt; SOUS-SEGMENT'!$CS$8:$CS$154&gt;0)*'ANALYSE - ERP =&gt; SOUS-SEGMENT'!$CS$8:$CS$154)/SUMPRODUCT(('ANALYSE - ERP =&gt; SOUS-SEGMENT'!$C$8:$C$154=$C25)*'ANALYSE - ERP =&gt; SOUS-SEGMENT'!$DI$8:$DI$154*('ANALYSE - ERP =&gt; SOUS-SEGMENT'!$CS$8:$CS$154&gt;0)),"")</f>
        <v>12</v>
      </c>
      <c r="CQ25" s="895">
        <f>IFERROR(SUMPRODUCT(('ANALYSE - ERP =&gt; SOUS-SEGMENT'!$C$8:$C$154=$C25)*'ANALYSE - ERP =&gt; SOUS-SEGMENT'!$DJ$8:$DJ$154*('ANALYSE - ERP =&gt; SOUS-SEGMENT'!$CT$8:$CT$154&gt;0)*'ANALYSE - ERP =&gt; SOUS-SEGMENT'!$CT$8:$CT$154)/SUMPRODUCT(('ANALYSE - ERP =&gt; SOUS-SEGMENT'!$C$8:$C$154=$C25)*'ANALYSE - ERP =&gt; SOUS-SEGMENT'!$DJ$8:$DJ$154*('ANALYSE - ERP =&gt; SOUS-SEGMENT'!$CT$8:$CT$154&gt;0)),"")</f>
        <v>9</v>
      </c>
      <c r="CR25" s="896">
        <f>IFERROR(SUMPRODUCT(('ANALYSE - ERP =&gt; SOUS-SEGMENT'!$C$8:$C$154=$C25)*'ANALYSE - ERP =&gt; SOUS-SEGMENT'!$DK$8:$DK$154*('ANALYSE - ERP =&gt; SOUS-SEGMENT'!$CU$8:$CU$154&gt;0)*'ANALYSE - ERP =&gt; SOUS-SEGMENT'!$CU$8:$CU$154)/SUMPRODUCT(('ANALYSE - ERP =&gt; SOUS-SEGMENT'!$C$8:$C$154=$C25)*'ANALYSE - ERP =&gt; SOUS-SEGMENT'!$DK$8:$DK$154*('ANALYSE - ERP =&gt; SOUS-SEGMENT'!$CU$8:$CU$154&gt;0)),"")</f>
        <v>11</v>
      </c>
      <c r="CS25" s="894">
        <f>IFERROR(SUMPRODUCT(('ANALYSE - ERP =&gt; SOUS-SEGMENT'!$C$8:$C$154=$C25)*'ANALYSE - ERP =&gt; SOUS-SEGMENT'!$DS$8:$DS$154*('ANALYSE - ERP =&gt; SOUS-SEGMENT'!$CV$8:$CV$154&gt;0)*'ANALYSE - ERP =&gt; SOUS-SEGMENT'!$CV$8:$CV$154)/SUMPRODUCT(('ANALYSE - ERP =&gt; SOUS-SEGMENT'!$C$8:$C$154=$C25)*'ANALYSE - ERP =&gt; SOUS-SEGMENT'!$DS$8:$DS$154*('ANALYSE - ERP =&gt; SOUS-SEGMENT'!$CV$8:$CV$154&gt;0)),"")</f>
        <v>10</v>
      </c>
      <c r="CT25" s="895">
        <f>IFERROR(SUMPRODUCT(('ANALYSE - ERP =&gt; SOUS-SEGMENT'!$C$8:$C$154=$C25)*'ANALYSE - ERP =&gt; SOUS-SEGMENT'!$DT$8:$DT$154*('ANALYSE - ERP =&gt; SOUS-SEGMENT'!$CW$8:$CW$154&gt;0)*'ANALYSE - ERP =&gt; SOUS-SEGMENT'!$CW$8:$CW$154)/SUMPRODUCT(('ANALYSE - ERP =&gt; SOUS-SEGMENT'!$C$8:$C$154=$C25)*'ANALYSE - ERP =&gt; SOUS-SEGMENT'!$DT$8:$DT$154*('ANALYSE - ERP =&gt; SOUS-SEGMENT'!$CW$8:$CW$154&gt;0)),"")</f>
        <v>10</v>
      </c>
      <c r="CU25" s="896">
        <f>IFERROR(SUMPRODUCT(('ANALYSE - ERP =&gt; SOUS-SEGMENT'!$C$8:$C$154=$C25)*'ANALYSE - ERP =&gt; SOUS-SEGMENT'!$DU$8:$DU$154*('ANALYSE - ERP =&gt; SOUS-SEGMENT'!$CX$8:$CX$154&gt;0)*'ANALYSE - ERP =&gt; SOUS-SEGMENT'!$CX$8:$CX$154)/SUMPRODUCT(('ANALYSE - ERP =&gt; SOUS-SEGMENT'!$C$8:$C$154=$C25)*'ANALYSE - ERP =&gt; SOUS-SEGMENT'!$DU$8:$DU$154*('ANALYSE - ERP =&gt; SOUS-SEGMENT'!$CX$8:$CX$154&gt;0)),"")</f>
        <v>8</v>
      </c>
      <c r="CV25" s="894">
        <f>IFERROR(SUMPRODUCT(('ANALYSE - ERP =&gt; SOUS-SEGMENT'!$C$8:$C$154=$C25)*'ANALYSE - ERP =&gt; SOUS-SEGMENT'!$EB$8:$EB$154*('ANALYSE - ERP =&gt; SOUS-SEGMENT'!$CY$8:$CY$154&gt;0)*'ANALYSE - ERP =&gt; SOUS-SEGMENT'!$CY$8:$CY$154)/SUMPRODUCT(('ANALYSE - ERP =&gt; SOUS-SEGMENT'!$C$8:$C$154=$C25)*'ANALYSE - ERP =&gt; SOUS-SEGMENT'!$EB$8:$EB$154*('ANALYSE - ERP =&gt; SOUS-SEGMENT'!$CY$8:$CY$154&gt;0)),"")</f>
        <v>10</v>
      </c>
      <c r="CW25" s="895">
        <f>IFERROR(SUMPRODUCT(('ANALYSE - ERP =&gt; SOUS-SEGMENT'!$C$8:$C$154=$C25)*'ANALYSE - ERP =&gt; SOUS-SEGMENT'!$EC$8:$EC$154*('ANALYSE - ERP =&gt; SOUS-SEGMENT'!$CZ$8:$CZ$154&gt;0)*'ANALYSE - ERP =&gt; SOUS-SEGMENT'!$CZ$8:$CZ$154)/SUMPRODUCT(('ANALYSE - ERP =&gt; SOUS-SEGMENT'!$C$8:$C$154=$C25)*'ANALYSE - ERP =&gt; SOUS-SEGMENT'!$EC$8:$EC$154*('ANALYSE - ERP =&gt; SOUS-SEGMENT'!$CZ$8:$CZ$154&gt;0)),"")</f>
        <v>11</v>
      </c>
      <c r="CX25" s="895">
        <f>IFERROR(SUMPRODUCT(('ANALYSE - ERP =&gt; SOUS-SEGMENT'!$C$8:$C$154=$C25)*'ANALYSE - ERP =&gt; SOUS-SEGMENT'!$ED$8:$ED$154*('ANALYSE - ERP =&gt; SOUS-SEGMENT'!$DA$8:$DA$154&gt;0)*'ANALYSE - ERP =&gt; SOUS-SEGMENT'!$DA$8:$DA$154)/SUMPRODUCT(('ANALYSE - ERP =&gt; SOUS-SEGMENT'!$C$8:$C$154=$C25)*'ANALYSE - ERP =&gt; SOUS-SEGMENT'!$ED$8:$ED$154*('ANALYSE - ERP =&gt; SOUS-SEGMENT'!$DA$8:$DA$154&gt;0)),"")</f>
        <v>8</v>
      </c>
      <c r="CY25" s="897">
        <f>IFERROR(SUMPRODUCT(('ANALYSE - ERP =&gt; SOUS-SEGMENT'!$C$8:$C$154=$C25)*'ANALYSE - ERP =&gt; SOUS-SEGMENT'!$EE$8:$EE$154*('ANALYSE - ERP =&gt; SOUS-SEGMENT'!$DB$8:$DB$154&gt;0)*'ANALYSE - ERP =&gt; SOUS-SEGMENT'!$DB$8:$DB$154)/SUMPRODUCT(('ANALYSE - ERP =&gt; SOUS-SEGMENT'!$C$8:$C$154=$C25)*'ANALYSE - ERP =&gt; SOUS-SEGMENT'!$EE$8:$EE$154*('ANALYSE - ERP =&gt; SOUS-SEGMENT'!$DB$8:$DB$154&gt;0)),"")</f>
        <v>9</v>
      </c>
      <c r="CZ25" s="898">
        <f>IFERROR(SUMPRODUCT(('ANALYSE - ERP =&gt; SOUS-SEGMENT'!$C$8:$C$154=$C25)*'ANALYSE - ERP =&gt; SOUS-SEGMENT'!$EM$8:$EM$154*('ANALYSE - ERP =&gt; SOUS-SEGMENT'!$DC$8:$DC$154&gt;0)*'ANALYSE - ERP =&gt; SOUS-SEGMENT'!$DC$8:$DC$154)/SUMPRODUCT(('ANALYSE - ERP =&gt; SOUS-SEGMENT'!$C$8:$C$154=$C25)*'ANALYSE - ERP =&gt; SOUS-SEGMENT'!$EM$8:$EM$154*('ANALYSE - ERP =&gt; SOUS-SEGMENT'!$DC$8:$DC$154&gt;0)),"")</f>
        <v>11</v>
      </c>
      <c r="DA25" s="895">
        <f>IFERROR(SUMPRODUCT(('ANALYSE - ERP =&gt; SOUS-SEGMENT'!$C$8:$C$154=$C25)*'ANALYSE - ERP =&gt; SOUS-SEGMENT'!$EN$8:$EN$154*('ANALYSE - ERP =&gt; SOUS-SEGMENT'!$DD$8:$DD$154&gt;0)*'ANALYSE - ERP =&gt; SOUS-SEGMENT'!$DD$8:$DD$154)/SUMPRODUCT(('ANALYSE - ERP =&gt; SOUS-SEGMENT'!$C$8:$C$154=$C25)*'ANALYSE - ERP =&gt; SOUS-SEGMENT'!$EN$8:$EN$154*('ANALYSE - ERP =&gt; SOUS-SEGMENT'!$DD$8:$DD$154&gt;0)),"")</f>
        <v>11</v>
      </c>
      <c r="DB25" s="897">
        <f>IFERROR(SUMPRODUCT(('ANALYSE - ERP =&gt; SOUS-SEGMENT'!$C$8:$C$154=$C25)*'ANALYSE - ERP =&gt; SOUS-SEGMENT'!$EO$8:$EO$154*('ANALYSE - ERP =&gt; SOUS-SEGMENT'!$DE$8:$DE$154&gt;0)*'ANALYSE - ERP =&gt; SOUS-SEGMENT'!$DE$8:$DE$154)/SUMPRODUCT(('ANALYSE - ERP =&gt; SOUS-SEGMENT'!$C$8:$C$154=$C25)*'ANALYSE - ERP =&gt; SOUS-SEGMENT'!$EO$8:$EO$154*('ANALYSE - ERP =&gt; SOUS-SEGMENT'!$DE$8:$DE$154&gt;0)),"")</f>
        <v>9</v>
      </c>
      <c r="DC25" s="611" t="s">
        <v>7152</v>
      </c>
      <c r="DD25" s="529"/>
      <c r="DE25" s="559">
        <f t="shared" si="2"/>
        <v>2304</v>
      </c>
      <c r="DF25" s="559">
        <f t="shared" si="3"/>
        <v>455.99999999999994</v>
      </c>
      <c r="DG25" s="559">
        <f t="shared" si="4"/>
        <v>144</v>
      </c>
      <c r="DH25" s="559">
        <f t="shared" si="5"/>
        <v>296</v>
      </c>
      <c r="DI25" s="560" t="s">
        <v>7153</v>
      </c>
      <c r="DJ25" s="559">
        <f t="shared" si="6"/>
        <v>2338</v>
      </c>
      <c r="DK25" s="559">
        <f t="shared" si="7"/>
        <v>475.2</v>
      </c>
      <c r="DL25" s="559">
        <f t="shared" si="8"/>
        <v>217.59999999999997</v>
      </c>
      <c r="DM25" s="559">
        <f t="shared" si="9"/>
        <v>309.2</v>
      </c>
      <c r="DN25" s="560" t="s">
        <v>7154</v>
      </c>
      <c r="DO25" s="529"/>
      <c r="DP25" s="559">
        <f t="shared" si="10"/>
        <v>2220</v>
      </c>
      <c r="DQ25" s="559">
        <f t="shared" si="11"/>
        <v>432</v>
      </c>
      <c r="DR25" s="559">
        <f t="shared" si="12"/>
        <v>148</v>
      </c>
      <c r="DS25" s="560" t="s">
        <v>7155</v>
      </c>
      <c r="DT25" s="559">
        <f t="shared" si="13"/>
        <v>2192.8000000000002</v>
      </c>
      <c r="DU25" s="559">
        <f t="shared" si="14"/>
        <v>526.40000000000009</v>
      </c>
      <c r="DV25" s="559">
        <f t="shared" si="15"/>
        <v>200.8</v>
      </c>
      <c r="DW25" s="560" t="s">
        <v>7156</v>
      </c>
      <c r="DX25" s="529"/>
      <c r="DY25" s="559">
        <f t="shared" si="16"/>
        <v>97.5</v>
      </c>
      <c r="DZ25" s="559">
        <f t="shared" si="17"/>
        <v>247.5</v>
      </c>
      <c r="EA25" s="559">
        <f t="shared" si="18"/>
        <v>87.5</v>
      </c>
      <c r="EB25" s="559">
        <f t="shared" si="19"/>
        <v>117.5</v>
      </c>
      <c r="EC25" s="560" t="s">
        <v>7157</v>
      </c>
      <c r="ED25" s="559">
        <f t="shared" si="20"/>
        <v>90.25</v>
      </c>
      <c r="EE25" s="559">
        <f t="shared" si="21"/>
        <v>260.3</v>
      </c>
      <c r="EF25" s="559">
        <f t="shared" si="22"/>
        <v>105.9</v>
      </c>
      <c r="EG25" s="559">
        <f t="shared" si="23"/>
        <v>118.55</v>
      </c>
      <c r="EH25" s="560" t="s">
        <v>7158</v>
      </c>
      <c r="EI25" s="537"/>
      <c r="EJ25" s="559">
        <f t="shared" si="24"/>
        <v>2200</v>
      </c>
      <c r="EK25" s="562">
        <f t="shared" si="25"/>
        <v>740</v>
      </c>
      <c r="EL25" s="562">
        <f t="shared" si="26"/>
        <v>260</v>
      </c>
      <c r="EM25" s="560" t="s">
        <v>7159</v>
      </c>
      <c r="EN25" s="559">
        <f t="shared" si="27"/>
        <v>2128</v>
      </c>
      <c r="EO25" s="562">
        <f t="shared" si="28"/>
        <v>839.8</v>
      </c>
      <c r="EP25" s="562">
        <f t="shared" si="29"/>
        <v>372.2</v>
      </c>
      <c r="EQ25" s="561" t="s">
        <v>7160</v>
      </c>
      <c r="ER25" s="529"/>
      <c r="ES25" s="740">
        <f t="shared" si="30"/>
        <v>0.91674083331708944</v>
      </c>
      <c r="ET25" s="740">
        <f t="shared" si="31"/>
        <v>4.6410004686677664E-2</v>
      </c>
      <c r="EU25" s="563">
        <f t="shared" si="32"/>
        <v>4268.0143452662878</v>
      </c>
      <c r="EV25" s="563">
        <f t="shared" si="33"/>
        <v>3426.149345266288</v>
      </c>
      <c r="EW25" s="563">
        <f t="shared" si="34"/>
        <v>841.86500000000001</v>
      </c>
      <c r="EX25" s="563">
        <f t="shared" si="35"/>
        <v>1291.2760658181817</v>
      </c>
      <c r="EY25" s="563">
        <f>SUMPRODUCT(('ANALYSE - ERP =&gt; SOUS-SEGMENT'!$C$8:$C$154=$C25)*'ANALYSE - ERP =&gt; SOUS-SEGMENT'!$Q$8:$Q$154*'ANALYSE - ERP =&gt; SOUS-SEGMENT'!$FB$8:$FB$154)</f>
        <v>1014.4280658181817</v>
      </c>
      <c r="EZ25" s="563">
        <f>SUMPRODUCT(('ANALYSE - ERP =&gt; SOUS-SEGMENT'!$C$8:$C$154=$C25)*'ANALYSE - ERP =&gt; SOUS-SEGMENT'!$Q$8:$Q$154*'ANALYSE - ERP =&gt; SOUS-SEGMENT'!$FC$8:$FC$154)</f>
        <v>276.84800000000001</v>
      </c>
      <c r="FA25" s="563">
        <f t="shared" si="36"/>
        <v>1319.3827387000001</v>
      </c>
      <c r="FB25" s="563">
        <f>SUMPRODUCT(('ANALYSE - ERP =&gt; SOUS-SEGMENT'!$C$8:$C$154=$C25)*'ANALYSE - ERP =&gt; SOUS-SEGMENT'!$Q$8:$Q$154*'ANALYSE - ERP =&gt; SOUS-SEGMENT'!$FE$8:$FE$154)</f>
        <v>1079.7907387</v>
      </c>
      <c r="FC25" s="563">
        <f>SUMPRODUCT(('ANALYSE - ERP =&gt; SOUS-SEGMENT'!$C$8:$C$154=$C25)*'ANALYSE - ERP =&gt; SOUS-SEGMENT'!$Q$8:$Q$154*'ANALYSE - ERP =&gt; SOUS-SEGMENT'!$FF$8:$FF$154)</f>
        <v>239.59199999999998</v>
      </c>
      <c r="FD25" s="563">
        <f t="shared" si="37"/>
        <v>262.95590680871209</v>
      </c>
      <c r="FE25" s="563">
        <f>SUMPRODUCT(('ANALYSE - ERP =&gt; SOUS-SEGMENT'!$C$8:$C$154=$C25)*'ANALYSE - ERP =&gt; SOUS-SEGMENT'!$Q$8:$Q$154*'ANALYSE - ERP =&gt; SOUS-SEGMENT'!$FH$8:$FH$154)</f>
        <v>214.37890680871209</v>
      </c>
      <c r="FF25" s="563">
        <f>SUMPRODUCT(('ANALYSE - ERP =&gt; SOUS-SEGMENT'!$C$8:$C$154=$C25)*'ANALYSE - ERP =&gt; SOUS-SEGMENT'!$Q$8:$Q$154*'ANALYSE - ERP =&gt; SOUS-SEGMENT'!$FI$8:$FI$154)</f>
        <v>48.576999999999998</v>
      </c>
      <c r="FG25" s="563">
        <f t="shared" si="38"/>
        <v>1394.3996339393937</v>
      </c>
      <c r="FH25" s="563">
        <f>SUMPRODUCT(('ANALYSE - ERP =&gt; SOUS-SEGMENT'!$C$8:$C$154=$C25)*'ANALYSE - ERP =&gt; SOUS-SEGMENT'!$Q$8:$Q$154*'ANALYSE - ERP =&gt; SOUS-SEGMENT'!$FK$8:$FK$154)</f>
        <v>1117.5516339393937</v>
      </c>
      <c r="FI25" s="563">
        <f>SUMPRODUCT(('ANALYSE - ERP =&gt; SOUS-SEGMENT'!$C$8:$C$154=$C25)*'ANALYSE - ERP =&gt; SOUS-SEGMENT'!$Q$8:$Q$154*'ANALYSE - ERP =&gt; SOUS-SEGMENT'!$FL$8:$FL$154)</f>
        <v>276.84800000000001</v>
      </c>
      <c r="FJ25" s="529"/>
      <c r="FK25" s="564" t="s">
        <v>2649</v>
      </c>
      <c r="FL25" s="740">
        <f>IFERROR(SUMPRODUCT(('ANALYSE - ERP =&gt; SOUS-SEGMENT'!$C$8:$C$154=$C25)*'ANALYSE - ERP =&gt; SOUS-SEGMENT'!$Q$8:$Q$154*'ANALYSE - ERP =&gt; SOUS-SEGMENT'!$AF$8:$AF$154*'ANALYSE - ERP =&gt; SOUS-SEGMENT'!$FO$8:$FO$154)/SUMPRODUCT(('ANALYSE - ERP =&gt; SOUS-SEGMENT'!$C$8:$C$154=$C25)*'ANALYSE - ERP =&gt; SOUS-SEGMENT'!$Q$8:$Q$154*'ANALYSE - ERP =&gt; SOUS-SEGMENT'!$AF$8:$AF$154),"")</f>
        <v>4.2711428571428574E-2</v>
      </c>
      <c r="FM25" s="741">
        <f>IFERROR(SUMPRODUCT(('ANALYSE - ERP =&gt; SOUS-SEGMENT'!$C$8:$C$154=$C25)*'ANALYSE - ERP =&gt; SOUS-SEGMENT'!$Q$8:$Q$154*'ANALYSE - ERP =&gt; SOUS-SEGMENT'!$AF$8:$AF$154*'ANALYSE - ERP =&gt; SOUS-SEGMENT'!$FP$8:$FP$154)/SUMPRODUCT(('ANALYSE - ERP =&gt; SOUS-SEGMENT'!$C$8:$C$154=$C25)*'ANALYSE - ERP =&gt; SOUS-SEGMENT'!$Q$8:$Q$154*'ANALYSE - ERP =&gt; SOUS-SEGMENT'!$AF$8:$AF$154),"")</f>
        <v>0.80889857142857136</v>
      </c>
      <c r="FN25" s="565" t="s">
        <v>6780</v>
      </c>
      <c r="FO25" s="529"/>
      <c r="FP25" s="867">
        <f>IFERROR(SUMPRODUCT(('ANALYSE - ERP =&gt; SOUS-SEGMENT'!$C$8:$C$154=$C25)*'ANALYSE - ERP =&gt; SOUS-SEGMENT'!$Q$8:$Q$154*'ANALYSE - ERP =&gt; SOUS-SEGMENT'!$EX$8:$EX$154*'ANALYSE - ERP =&gt; SOUS-SEGMENT'!$FS$8:$FS$154)/SUMPRODUCT(('ANALYSE - ERP =&gt; SOUS-SEGMENT'!$C$8:$C$154=$C25)*'ANALYSE - ERP =&gt; SOUS-SEGMENT'!$Q$8:$Q$154*'ANALYSE - ERP =&gt; SOUS-SEGMENT'!$EX$8:$EX$154),"")</f>
        <v>2.9062666754057309</v>
      </c>
      <c r="FQ25" s="566">
        <f>RANK($FP25,$FP$8:$FP$143,0)+COUNTIF($FP$8:$FP25,$FP25)-1</f>
        <v>31</v>
      </c>
      <c r="FR25" s="867">
        <f>IFERROR(SUMPRODUCT(('ANALYSE - ERP =&gt; SOUS-SEGMENT'!$C$8:$C$154=$C25)*'ANALYSE - ERP =&gt; SOUS-SEGMENT'!$Q$8:$Q$154*'ANALYSE - ERP =&gt; SOUS-SEGMENT'!$EY$8:$EY$154*'ANALYSE - ERP =&gt; SOUS-SEGMENT'!$FU$8:$FU$154)/SUMPRODUCT(('ANALYSE - ERP =&gt; SOUS-SEGMENT'!$C$8:$C$154=$C25)*'ANALYSE - ERP =&gt; SOUS-SEGMENT'!$Q$8:$Q$154*'ANALYSE - ERP =&gt; SOUS-SEGMENT'!$EY$8:$EY$154),"")</f>
        <v>3.9561754052134419</v>
      </c>
      <c r="FS25" s="566">
        <f>RANK($FR25,$FR$8:$FR$143,0)+COUNTIF($FR$8:$FR25,$FR25)-1</f>
        <v>21</v>
      </c>
      <c r="FT25" s="867">
        <f>IFERROR(SUMPRODUCT(('ANALYSE - ERP =&gt; SOUS-SEGMENT'!$C$8:$C$154=$C25)*'ANALYSE - ERP =&gt; SOUS-SEGMENT'!$Q$8:$Q$154*'ANALYSE - ERP =&gt; SOUS-SEGMENT'!$EZ$8:$EZ$154*'ANALYSE - ERP =&gt; SOUS-SEGMENT'!$FW$8:$FW$154)/SUMPRODUCT(('ANALYSE - ERP =&gt; SOUS-SEGMENT'!$C$8:$C$154=$C25)*'ANALYSE - ERP =&gt; SOUS-SEGMENT'!$Q$8:$Q$154*'ANALYSE - ERP =&gt; SOUS-SEGMENT'!$EZ$8:$EZ$154),"")</f>
        <v>1.6200000000000003</v>
      </c>
      <c r="FU25" s="566">
        <f>RANK($FT25,$FT$8:$FT$143,0)+COUNTIF($FT$8:$FT25,$FT25)-1</f>
        <v>32</v>
      </c>
      <c r="FV25" s="529"/>
      <c r="FW25" s="567" t="s">
        <v>7161</v>
      </c>
      <c r="FX25" s="567" t="s">
        <v>7162</v>
      </c>
      <c r="FY25" s="567" t="s">
        <v>7163</v>
      </c>
      <c r="FZ25" s="567" t="s">
        <v>7164</v>
      </c>
      <c r="GA25" s="567" t="s">
        <v>7165</v>
      </c>
      <c r="GB25" s="567" t="s">
        <v>7166</v>
      </c>
      <c r="GC25" s="567" t="s">
        <v>6759</v>
      </c>
      <c r="GD25" s="529"/>
      <c r="GE25" s="563">
        <f>SUMPRODUCT(('ANALYSE - ERP =&gt; SOUS-SEGMENT'!$C$8:$C$154=$C25)*'ANALYSE - ERP =&gt; SOUS-SEGMENT'!$Q$8:$Q$154*'ANALYSE - ERP =&gt; SOUS-SEGMENT'!$GH$8:$GH$154)</f>
        <v>904.61326639999993</v>
      </c>
      <c r="GF25" s="563">
        <f>SUMPRODUCT(('ANALYSE - ERP =&gt; SOUS-SEGMENT'!$C$8:$C$154=$C25)*'ANALYSE - ERP =&gt; SOUS-SEGMENT'!$Q$8:$Q$154*'ANALYSE - ERP =&gt; SOUS-SEGMENT'!$GI$8:$GI$154)</f>
        <v>710.81966639999996</v>
      </c>
      <c r="GG25" s="563">
        <f>SUMPRODUCT(('ANALYSE - ERP =&gt; SOUS-SEGMENT'!$C$8:$C$154=$C25)*'ANALYSE - ERP =&gt; SOUS-SEGMENT'!$Q$8:$Q$154*'ANALYSE - ERP =&gt; SOUS-SEGMENT'!$GJ$8:$GJ$154)</f>
        <v>193.79359999999997</v>
      </c>
      <c r="GH25" s="563">
        <f>SUMPRODUCT(('ANALYSE - ERP =&gt; SOUS-SEGMENT'!$C$8:$C$154=$C25)*'ANALYSE - ERP =&gt; SOUS-SEGMENT'!$Q$8:$Q$154*'ANALYSE - ERP =&gt; SOUS-SEGMENT'!$GK$8:$GK$154)</f>
        <v>179.4576816</v>
      </c>
      <c r="GI25" s="563">
        <f>SUMPRODUCT(('ANALYSE - ERP =&gt; SOUS-SEGMENT'!$C$8:$C$154=$C25)*'ANALYSE - ERP =&gt; SOUS-SEGMENT'!$Q$8:$Q$154*'ANALYSE - ERP =&gt; SOUS-SEGMENT'!$GL$8:$GL$154)</f>
        <v>140.80184159999999</v>
      </c>
      <c r="GJ25" s="563">
        <f>SUMPRODUCT(('ANALYSE - ERP =&gt; SOUS-SEGMENT'!$C$8:$C$154=$C25)*'ANALYSE - ERP =&gt; SOUS-SEGMENT'!$Q$8:$Q$154*'ANALYSE - ERP =&gt; SOUS-SEGMENT'!$GM$8:$GM$154)</f>
        <v>38.655839999999998</v>
      </c>
      <c r="GK25" s="563">
        <f>SUMPRODUCT(('ANALYSE - ERP =&gt; SOUS-SEGMENT'!$C$8:$C$154=$C25)*'ANALYSE - ERP =&gt; SOUS-SEGMENT'!$Q$8:$Q$154*'ANALYSE - ERP =&gt; SOUS-SEGMENT'!$GN$8:$GN$154)</f>
        <v>79.996424000000005</v>
      </c>
      <c r="GL25" s="563">
        <f>SUMPRODUCT(('ANALYSE - ERP =&gt; SOUS-SEGMENT'!$C$8:$C$154=$C25)*'ANALYSE - ERP =&gt; SOUS-SEGMENT'!$Q$8:$Q$154*'ANALYSE - ERP =&gt; SOUS-SEGMENT'!$GO$8:$GO$154)</f>
        <v>61.471304000000003</v>
      </c>
      <c r="GM25" s="563">
        <f>SUMPRODUCT(('ANALYSE - ERP =&gt; SOUS-SEGMENT'!$C$8:$C$154=$C25)*'ANALYSE - ERP =&gt; SOUS-SEGMENT'!$Q$8:$Q$154*'ANALYSE - ERP =&gt; SOUS-SEGMENT'!$GP$8:$GP$154)</f>
        <v>18.525120000000001</v>
      </c>
      <c r="GN25" s="563">
        <f>SUMPRODUCT(('ANALYSE - ERP =&gt; SOUS-SEGMENT'!$C$8:$C$154=$C25)*'ANALYSE - ERP =&gt; SOUS-SEGMENT'!$Q$8:$Q$154*'ANALYSE - ERP =&gt; SOUS-SEGMENT'!$GQ$8:$GQ$154)</f>
        <v>127.20869381818181</v>
      </c>
      <c r="GO25" s="563">
        <f>SUMPRODUCT(('ANALYSE - ERP =&gt; SOUS-SEGMENT'!$C$8:$C$154=$C25)*'ANALYSE - ERP =&gt; SOUS-SEGMENT'!$Q$8:$Q$154*'ANALYSE - ERP =&gt; SOUS-SEGMENT'!$GR$8:$GR$154)</f>
        <v>101.33525381818183</v>
      </c>
      <c r="GP25" s="563">
        <f>SUMPRODUCT(('ANALYSE - ERP =&gt; SOUS-SEGMENT'!$C$8:$C$154=$C25)*'ANALYSE - ERP =&gt; SOUS-SEGMENT'!$Q$8:$Q$154*'ANALYSE - ERP =&gt; SOUS-SEGMENT'!$GS$8:$GS$154)</f>
        <v>25.873440000000002</v>
      </c>
      <c r="GQ25" s="563">
        <f>SUMPRODUCT(('ANALYSE - ERP =&gt; SOUS-SEGMENT'!$C$8:$C$154=$C25)*'ANALYSE - ERP =&gt; SOUS-SEGMENT'!$Q$8:$Q$154*'ANALYSE - ERP =&gt; SOUS-SEGMENT'!$GT$8:$GT$154)</f>
        <v>1022.390326</v>
      </c>
      <c r="GR25" s="563">
        <f>SUMPRODUCT(('ANALYSE - ERP =&gt; SOUS-SEGMENT'!$C$8:$C$154=$C25)*'ANALYSE - ERP =&gt; SOUS-SEGMENT'!$Q$8:$Q$154*'ANALYSE - ERP =&gt; SOUS-SEGMENT'!$GU$8:$GU$154)</f>
        <v>843.8077659999999</v>
      </c>
      <c r="GS25" s="563">
        <f>SUMPRODUCT(('ANALYSE - ERP =&gt; SOUS-SEGMENT'!$C$8:$C$154=$C25)*'ANALYSE - ERP =&gt; SOUS-SEGMENT'!$Q$8:$Q$154*'ANALYSE - ERP =&gt; SOUS-SEGMENT'!$GV$8:$GV$154)</f>
        <v>178.58256</v>
      </c>
      <c r="GT25" s="563">
        <f>SUMPRODUCT(('ANALYSE - ERP =&gt; SOUS-SEGMENT'!$C$8:$C$154=$C25)*'ANALYSE - ERP =&gt; SOUS-SEGMENT'!$Q$8:$Q$154*'ANALYSE - ERP =&gt; SOUS-SEGMENT'!$GW$8:$GW$154)</f>
        <v>208.22155520000001</v>
      </c>
      <c r="GU25" s="563">
        <f>SUMPRODUCT(('ANALYSE - ERP =&gt; SOUS-SEGMENT'!$C$8:$C$154=$C25)*'ANALYSE - ERP =&gt; SOUS-SEGMENT'!$Q$8:$Q$154*'ANALYSE - ERP =&gt; SOUS-SEGMENT'!$GX$8:$GX$154)</f>
        <v>164.24699519999999</v>
      </c>
      <c r="GV25" s="563">
        <f>SUMPRODUCT(('ANALYSE - ERP =&gt; SOUS-SEGMENT'!$C$8:$C$154=$C25)*'ANALYSE - ERP =&gt; SOUS-SEGMENT'!$Q$8:$Q$154*'ANALYSE - ERP =&gt; SOUS-SEGMENT'!$GY$8:$GY$154)</f>
        <v>43.974559999999997</v>
      </c>
      <c r="GW25" s="563">
        <f>SUMPRODUCT(('ANALYSE - ERP =&gt; SOUS-SEGMENT'!$C$8:$C$154=$C25)*'ANALYSE - ERP =&gt; SOUS-SEGMENT'!$Q$8:$Q$154*'ANALYSE - ERP =&gt; SOUS-SEGMENT'!$GZ$8:$GZ$154)</f>
        <v>88.770857500000005</v>
      </c>
      <c r="GX25" s="563">
        <f>SUMPRODUCT(('ANALYSE - ERP =&gt; SOUS-SEGMENT'!$C$8:$C$154=$C25)*'ANALYSE - ERP =&gt; SOUS-SEGMENT'!$Q$8:$Q$154*'ANALYSE - ERP =&gt; SOUS-SEGMENT'!$HA$8:$HA$154)</f>
        <v>71.735977500000004</v>
      </c>
      <c r="GY25" s="563">
        <f>SUMPRODUCT(('ANALYSE - ERP =&gt; SOUS-SEGMENT'!$C$8:$C$154=$C25)*'ANALYSE - ERP =&gt; SOUS-SEGMENT'!$Q$8:$Q$154*'ANALYSE - ERP =&gt; SOUS-SEGMENT'!$HB$8:$HB$154)</f>
        <v>17.034880000000001</v>
      </c>
      <c r="GZ25" s="563">
        <f>SUMPRODUCT(('ANALYSE - ERP =&gt; SOUS-SEGMENT'!$C$8:$C$154=$C25)*'ANALYSE - ERP =&gt; SOUS-SEGMENT'!$Q$8:$Q$154*'ANALYSE - ERP =&gt; SOUS-SEGMENT'!$HC$8:$HC$154)</f>
        <v>44.512471249999997</v>
      </c>
      <c r="HA25" s="563">
        <f>SUMPRODUCT(('ANALYSE - ERP =&gt; SOUS-SEGMENT'!$C$8:$C$154=$C25)*'ANALYSE - ERP =&gt; SOUS-SEGMENT'!$Q$8:$Q$154*'ANALYSE - ERP =&gt; SOUS-SEGMENT'!$HD$8:$HD$154)</f>
        <v>37.065361249999995</v>
      </c>
      <c r="HB25" s="563">
        <f>SUMPRODUCT(('ANALYSE - ERP =&gt; SOUS-SEGMENT'!$C$8:$C$154=$C25)*'ANALYSE - ERP =&gt; SOUS-SEGMENT'!$Q$8:$Q$154*'ANALYSE - ERP =&gt; SOUS-SEGMENT'!$HE$8:$HE$154)</f>
        <v>7.4471100000000003</v>
      </c>
      <c r="HC25" s="563">
        <f>SUMPRODUCT(('ANALYSE - ERP =&gt; SOUS-SEGMENT'!$C$8:$C$154=$C25)*'ANALYSE - ERP =&gt; SOUS-SEGMENT'!$Q$8:$Q$154*'ANALYSE - ERP =&gt; SOUS-SEGMENT'!$HF$8:$HF$154)</f>
        <v>106.69744045454546</v>
      </c>
      <c r="HD25" s="563">
        <f>SUMPRODUCT(('ANALYSE - ERP =&gt; SOUS-SEGMENT'!$C$8:$C$154=$C25)*'ANALYSE - ERP =&gt; SOUS-SEGMENT'!$Q$8:$Q$154*'ANALYSE - ERP =&gt; SOUS-SEGMENT'!$HG$8:$HG$154)</f>
        <v>84.724580454545446</v>
      </c>
      <c r="HE25" s="563">
        <f>SUMPRODUCT(('ANALYSE - ERP =&gt; SOUS-SEGMENT'!$C$8:$C$154=$C25)*'ANALYSE - ERP =&gt; SOUS-SEGMENT'!$Q$8:$Q$154*'ANALYSE - ERP =&gt; SOUS-SEGMENT'!$HH$8:$HH$154)</f>
        <v>21.972860000000001</v>
      </c>
      <c r="HF25" s="563">
        <f>SUMPRODUCT(('ANALYSE - ERP =&gt; SOUS-SEGMENT'!$C$8:$C$154=$C25)*'ANALYSE - ERP =&gt; SOUS-SEGMENT'!$Q$8:$Q$154*'ANALYSE - ERP =&gt; SOUS-SEGMENT'!$HI$8:$HI$154)</f>
        <v>51.723838437499992</v>
      </c>
      <c r="HG25" s="563">
        <f>SUMPRODUCT(('ANALYSE - ERP =&gt; SOUS-SEGMENT'!$C$8:$C$154=$C25)*'ANALYSE - ERP =&gt; SOUS-SEGMENT'!$Q$8:$Q$154*'ANALYSE - ERP =&gt; SOUS-SEGMENT'!$HJ$8:$HJ$154)</f>
        <v>42.475698437499993</v>
      </c>
      <c r="HH25" s="563">
        <f>SUMPRODUCT(('ANALYSE - ERP =&gt; SOUS-SEGMENT'!$C$8:$C$154=$C25)*'ANALYSE - ERP =&gt; SOUS-SEGMENT'!$Q$8:$Q$154*'ANALYSE - ERP =&gt; SOUS-SEGMENT'!$HK$8:$HK$154)</f>
        <v>9.2481399999999994</v>
      </c>
      <c r="HI25" s="563">
        <f>SUMPRODUCT(('ANALYSE - ERP =&gt; SOUS-SEGMENT'!$C$8:$C$154=$C25)*'ANALYSE - ERP =&gt; SOUS-SEGMENT'!$Q$8:$Q$154*'ANALYSE - ERP =&gt; SOUS-SEGMENT'!$HL$8:$HL$154)</f>
        <v>60.02215666666666</v>
      </c>
      <c r="HJ25" s="563">
        <f>SUMPRODUCT(('ANALYSE - ERP =&gt; SOUS-SEGMENT'!$C$8:$C$154=$C25)*'ANALYSE - ERP =&gt; SOUS-SEGMENT'!$Q$8:$Q$154*'ANALYSE - ERP =&gt; SOUS-SEGMENT'!$HM$8:$HM$154)</f>
        <v>50.113266666666661</v>
      </c>
      <c r="HK25" s="563">
        <f>SUMPRODUCT(('ANALYSE - ERP =&gt; SOUS-SEGMENT'!$C$8:$C$154=$C25)*'ANALYSE - ERP =&gt; SOUS-SEGMENT'!$Q$8:$Q$154*'ANALYSE - ERP =&gt; SOUS-SEGMENT'!$HN$8:$HN$154)</f>
        <v>9.9088899999999995</v>
      </c>
      <c r="HL25" s="563">
        <f>SUMPRODUCT(('ANALYSE - ERP =&gt; SOUS-SEGMENT'!$C$8:$C$154=$C25)*'ANALYSE - ERP =&gt; SOUS-SEGMENT'!$Q$8:$Q$154*'ANALYSE - ERP =&gt; SOUS-SEGMENT'!$HO$8:$HO$154)</f>
        <v>928.4316727272726</v>
      </c>
      <c r="HM25" s="563">
        <f>SUMPRODUCT(('ANALYSE - ERP =&gt; SOUS-SEGMENT'!$C$8:$C$154=$C25)*'ANALYSE - ERP =&gt; SOUS-SEGMENT'!$Q$8:$Q$154*'ANALYSE - ERP =&gt; SOUS-SEGMENT'!$HP$8:$HP$154)</f>
        <v>753.26607272727256</v>
      </c>
      <c r="HN25" s="563">
        <f>SUMPRODUCT(('ANALYSE - ERP =&gt; SOUS-SEGMENT'!$C$8:$C$154=$C25)*'ANALYSE - ERP =&gt; SOUS-SEGMENT'!$Q$8:$Q$154*'ANALYSE - ERP =&gt; SOUS-SEGMENT'!$HQ$8:$HQ$154)</f>
        <v>175.16559999999998</v>
      </c>
      <c r="HO25" s="563">
        <f>SUMPRODUCT(('ANALYSE - ERP =&gt; SOUS-SEGMENT'!$C$8:$C$154=$C25)*'ANALYSE - ERP =&gt; SOUS-SEGMENT'!$Q$8:$Q$154*'ANALYSE - ERP =&gt; SOUS-SEGMENT'!$HR$8:$HR$154)</f>
        <v>323.5586945454545</v>
      </c>
      <c r="HP25" s="563">
        <f>SUMPRODUCT(('ANALYSE - ERP =&gt; SOUS-SEGMENT'!$C$8:$C$154=$C25)*'ANALYSE - ERP =&gt; SOUS-SEGMENT'!$Q$8:$Q$154*'ANALYSE - ERP =&gt; SOUS-SEGMENT'!$HS$8:$HS$154)</f>
        <v>253.33813454545447</v>
      </c>
      <c r="HQ25" s="563">
        <f>SUMPRODUCT(('ANALYSE - ERP =&gt; SOUS-SEGMENT'!$C$8:$C$154=$C25)*'ANALYSE - ERP =&gt; SOUS-SEGMENT'!$Q$8:$Q$154*'ANALYSE - ERP =&gt; SOUS-SEGMENT'!$HT$8:$HT$154)</f>
        <v>70.220560000000006</v>
      </c>
      <c r="HR25" s="563">
        <f>SUMPRODUCT(('ANALYSE - ERP =&gt; SOUS-SEGMENT'!$C$8:$C$154=$C25)*'ANALYSE - ERP =&gt; SOUS-SEGMENT'!$Q$8:$Q$154*'ANALYSE - ERP =&gt; SOUS-SEGMENT'!$HU$8:$HU$154)</f>
        <v>142.40926666666664</v>
      </c>
      <c r="HS25" s="563">
        <f>SUMPRODUCT(('ANALYSE - ERP =&gt; SOUS-SEGMENT'!$C$8:$C$154=$C25)*'ANALYSE - ERP =&gt; SOUS-SEGMENT'!$Q$8:$Q$154*'ANALYSE - ERP =&gt; SOUS-SEGMENT'!$HV$8:$HV$154)</f>
        <v>110.94742666666664</v>
      </c>
      <c r="HT25" s="563">
        <f>SUMPRODUCT(('ANALYSE - ERP =&gt; SOUS-SEGMENT'!$C$8:$C$154=$C25)*'ANALYSE - ERP =&gt; SOUS-SEGMENT'!$Q$8:$Q$154*'ANALYSE - ERP =&gt; SOUS-SEGMENT'!$HW$8:$HW$154)</f>
        <v>31.461840000000002</v>
      </c>
      <c r="HU25" s="544"/>
      <c r="HV25" s="568">
        <f t="shared" si="40"/>
        <v>400567.50000000006</v>
      </c>
      <c r="HW25" s="568">
        <f>SUMPRODUCT(('ANALYSE - ERP =&gt; SOUS-SEGMENT'!$C$8:$C$154=$C25)*'ANALYSE - ERP =&gt; SOUS-SEGMENT'!$Q$8:$Q$154*'ANALYSE - ERP =&gt; SOUS-SEGMENT'!$HZ$8:$HZ$154)</f>
        <v>733.57500000000005</v>
      </c>
      <c r="HX25" s="568">
        <f>SUMPRODUCT(('ANALYSE - ERP =&gt; SOUS-SEGMENT'!$C$8:$C$154=$C25)*'ANALYSE - ERP =&gt; SOUS-SEGMENT'!$Q$8:$Q$154*'ANALYSE - ERP =&gt; SOUS-SEGMENT'!$IA$8:$IA$154)</f>
        <v>2435.4149999999995</v>
      </c>
      <c r="HY25" s="568">
        <f>SUMPRODUCT(('ANALYSE - ERP =&gt; SOUS-SEGMENT'!$C$8:$C$154=$C25)*'ANALYSE - ERP =&gt; SOUS-SEGMENT'!$Q$8:$Q$154*'ANALYSE - ERP =&gt; SOUS-SEGMENT'!$IB$8:$IB$154)</f>
        <v>2281.9300000000003</v>
      </c>
      <c r="HZ25" s="568">
        <f>SUMPRODUCT(('ANALYSE - ERP =&gt; SOUS-SEGMENT'!$C$8:$C$154=$C25)*'ANALYSE - ERP =&gt; SOUS-SEGMENT'!$Q$8:$Q$154*'ANALYSE - ERP =&gt; SOUS-SEGMENT'!$IC$8:$IC$154)</f>
        <v>3242.04</v>
      </c>
      <c r="IA25" s="568">
        <f>SUMPRODUCT(('ANALYSE - ERP =&gt; SOUS-SEGMENT'!$C$8:$C$154=$C25)*'ANALYSE - ERP =&gt; SOUS-SEGMENT'!$Q$8:$Q$154*'ANALYSE - ERP =&gt; SOUS-SEGMENT'!$ID$8:$ID$154)</f>
        <v>1057.04</v>
      </c>
      <c r="IB25" s="568">
        <f>SUMPRODUCT(('ANALYSE - ERP =&gt; SOUS-SEGMENT'!$C$8:$C$154=$C25)*'ANALYSE - ERP =&gt; SOUS-SEGMENT'!$Q$8:$Q$154*'ANALYSE - ERP =&gt; SOUS-SEGMENT'!$IE$8:$IE$154)</f>
        <v>3426.1493452662871</v>
      </c>
      <c r="IC25" s="568">
        <f>SUMPRODUCT(('ANALYSE - ERP =&gt; SOUS-SEGMENT'!$C$8:$C$154=$C25)*'ANALYSE - ERP =&gt; SOUS-SEGMENT'!$Q$8:$Q$154*'ANALYSE - ERP =&gt; SOUS-SEGMENT'!$IF$8:$IF$154)</f>
        <v>156.48062784412829</v>
      </c>
      <c r="ID25" s="568">
        <f>SUMPRODUCT(('ANALYSE - ERP =&gt; SOUS-SEGMENT'!$C$8:$C$154=$C25)*'ANALYSE - ERP =&gt; SOUS-SEGMENT'!$Q$8:$Q$154*'ANALYSE - ERP =&gt; SOUS-SEGMENT'!$IG$8:$IG$154)</f>
        <v>811.53200262535256</v>
      </c>
      <c r="IE25" s="568">
        <f>SUMPRODUCT(('ANALYSE - ERP =&gt; SOUS-SEGMENT'!$C$8:$C$154=$C25)*'ANALYSE - ERP =&gt; SOUS-SEGMENT'!$Q$8:$Q$154*'ANALYSE - ERP =&gt; SOUS-SEGMENT'!$IH$8:$IH$154)</f>
        <v>765.43408822989795</v>
      </c>
      <c r="IF25" s="568">
        <f>SUMPRODUCT(('ANALYSE - ERP =&gt; SOUS-SEGMENT'!$C$8:$C$154=$C25)*'ANALYSE - ERP =&gt; SOUS-SEGMENT'!$Q$8:$Q$154*'ANALYSE - ERP =&gt; SOUS-SEGMENT'!$II$8:$II$154)</f>
        <v>1171.094337707515</v>
      </c>
      <c r="IG25" s="568">
        <f>SUMPRODUCT(('ANALYSE - ERP =&gt; SOUS-SEGMENT'!$C$8:$C$154=$C25)*'ANALYSE - ERP =&gt; SOUS-SEGMENT'!$Q$8:$Q$154*'ANALYSE - ERP =&gt; SOUS-SEGMENT'!$IJ$8:$IJ$154)</f>
        <v>521.60828885939384</v>
      </c>
      <c r="IH25" s="868"/>
      <c r="II25" s="569" t="s">
        <v>2780</v>
      </c>
      <c r="IJ25" s="570" t="s">
        <v>6760</v>
      </c>
      <c r="IK25" s="529"/>
      <c r="IL25" s="747">
        <f>IFERROR(SUMPRODUCT(('ANALYSE - ERP =&gt; SOUS-SEGMENT'!$C$8:$C$154=$C25)*'ANALYSE - ERP =&gt; SOUS-SEGMENT'!$Q$8:$Q$154*'ANALYSE - ERP =&gt; SOUS-SEGMENT'!$BE$8:$BE$154*'ANALYSE - ERP =&gt; SOUS-SEGMENT'!$IO$8:$IO$154)/SUMPRODUCT(('ANALYSE - ERP =&gt; SOUS-SEGMENT'!$C$8:$C$154=$C25)*'ANALYSE - ERP =&gt; SOUS-SEGMENT'!$Q$8:$Q$154*'ANALYSE - ERP =&gt; SOUS-SEGMENT'!$BE$8:$BE$154),0)</f>
        <v>6.9974999999999996E-2</v>
      </c>
      <c r="IM25" s="748">
        <f>IFERROR(SUMPRODUCT(('ANALYSE - ERP =&gt; SOUS-SEGMENT'!$C$8:$C$154=$C25)*'ANALYSE - ERP =&gt; SOUS-SEGMENT'!$Q$8:$Q$154*'ANALYSE - ERP =&gt; SOUS-SEGMENT'!$BE$8:$BE$154*'ANALYSE - ERP =&gt; SOUS-SEGMENT'!$IP$8:$IP$154)/SUMPRODUCT(('ANALYSE - ERP =&gt; SOUS-SEGMENT'!$C$8:$C$154=$C25)*'ANALYSE - ERP =&gt; SOUS-SEGMENT'!$Q$8:$Q$154*'ANALYSE - ERP =&gt; SOUS-SEGMENT'!$BE$8:$BE$154),0)</f>
        <v>0.24318749999999997</v>
      </c>
      <c r="IN25" s="748">
        <f>IFERROR(SUMPRODUCT(('ANALYSE - ERP =&gt; SOUS-SEGMENT'!$C$8:$C$154=$C25)*'ANALYSE - ERP =&gt; SOUS-SEGMENT'!$Q$8:$Q$154*'ANALYSE - ERP =&gt; SOUS-SEGMENT'!$BE$8:$BE$154*'ANALYSE - ERP =&gt; SOUS-SEGMENT'!$IQ$8:$IQ$154)/SUMPRODUCT(('ANALYSE - ERP =&gt; SOUS-SEGMENT'!$C$8:$C$154=$C25)*'ANALYSE - ERP =&gt; SOUS-SEGMENT'!$Q$8:$Q$154*'ANALYSE - ERP =&gt; SOUS-SEGMENT'!$BE$8:$BE$154),0)</f>
        <v>0.23708749999999998</v>
      </c>
      <c r="IO25" s="748">
        <f>IFERROR(SUMPRODUCT(('ANALYSE - ERP =&gt; SOUS-SEGMENT'!$C$8:$C$154=$C25)*'ANALYSE - ERP =&gt; SOUS-SEGMENT'!$Q$8:$Q$154*'ANALYSE - ERP =&gt; SOUS-SEGMENT'!$BE$8:$BE$154*'ANALYSE - ERP =&gt; SOUS-SEGMENT'!$IR$8:$IR$154)/SUMPRODUCT(('ANALYSE - ERP =&gt; SOUS-SEGMENT'!$C$8:$C$154=$C25)*'ANALYSE - ERP =&gt; SOUS-SEGMENT'!$Q$8:$Q$154*'ANALYSE - ERP =&gt; SOUS-SEGMENT'!$BE$8:$BE$154),0)</f>
        <v>0.33724999999999999</v>
      </c>
      <c r="IP25" s="749">
        <f>IFERROR(SUMPRODUCT(('ANALYSE - ERP =&gt; SOUS-SEGMENT'!$C$8:$C$154=$C25)*'ANALYSE - ERP =&gt; SOUS-SEGMENT'!$Q$8:$Q$154*'ANALYSE - ERP =&gt; SOUS-SEGMENT'!$BE$8:$BE$154*'ANALYSE - ERP =&gt; SOUS-SEGMENT'!$IS$8:$IS$154)/SUMPRODUCT(('ANALYSE - ERP =&gt; SOUS-SEGMENT'!$C$8:$C$154=$C25)*'ANALYSE - ERP =&gt; SOUS-SEGMENT'!$Q$8:$Q$154*'ANALYSE - ERP =&gt; SOUS-SEGMENT'!$BE$8:$BE$154),0)</f>
        <v>0.1125</v>
      </c>
      <c r="IQ25" s="748">
        <f>IFERROR(SUMPRODUCT(('ANALYSE - ERP =&gt; SOUS-SEGMENT'!$C$8:$C$154=$C25)*'ANALYSE - ERP =&gt; SOUS-SEGMENT'!$Q$8:$Q$154*'ANALYSE - ERP =&gt; SOUS-SEGMENT'!$FB$8:$FB$154*'ANALYSE - ERP =&gt; SOUS-SEGMENT'!$IT$8:$IT$154)/SUMPRODUCT(('ANALYSE - ERP =&gt; SOUS-SEGMENT'!$C$8:$C$154=$C25)*'ANALYSE - ERP =&gt; SOUS-SEGMENT'!$Q$8:$Q$154*'ANALYSE - ERP =&gt; SOUS-SEGMENT'!$FB$8:$FB$154),0)</f>
        <v>4.2077298140666117E-2</v>
      </c>
      <c r="IR25" s="748">
        <f>IFERROR(SUMPRODUCT(('ANALYSE - ERP =&gt; SOUS-SEGMENT'!$C$8:$C$154=$C25)*'ANALYSE - ERP =&gt; SOUS-SEGMENT'!$Q$8:$Q$154*'ANALYSE - ERP =&gt; SOUS-SEGMENT'!$FB$8:$FB$154*'ANALYSE - ERP =&gt; SOUS-SEGMENT'!$IU$8:$IU$154)/SUMPRODUCT(('ANALYSE - ERP =&gt; SOUS-SEGMENT'!$C$8:$C$154=$C25)*'ANALYSE - ERP =&gt; SOUS-SEGMENT'!$Q$8:$Q$154*'ANALYSE - ERP =&gt; SOUS-SEGMENT'!$FB$8:$FB$154),0)</f>
        <v>0.22928214186127366</v>
      </c>
      <c r="IS25" s="748">
        <f>IFERROR(SUMPRODUCT(('ANALYSE - ERP =&gt; SOUS-SEGMENT'!$C$8:$C$154=$C25)*'ANALYSE - ERP =&gt; SOUS-SEGMENT'!$Q$8:$Q$154*'ANALYSE - ERP =&gt; SOUS-SEGMENT'!$FB$8:$FB$154*'ANALYSE - ERP =&gt; SOUS-SEGMENT'!$IV$8:$IV$154)/SUMPRODUCT(('ANALYSE - ERP =&gt; SOUS-SEGMENT'!$C$8:$C$154=$C25)*'ANALYSE - ERP =&gt; SOUS-SEGMENT'!$Q$8:$Q$154*'ANALYSE - ERP =&gt; SOUS-SEGMENT'!$FB$8:$FB$154),0)</f>
        <v>0.22409938103028129</v>
      </c>
      <c r="IT25" s="748">
        <f>IFERROR(SUMPRODUCT(('ANALYSE - ERP =&gt; SOUS-SEGMENT'!$C$8:$C$154=$C25)*'ANALYSE - ERP =&gt; SOUS-SEGMENT'!$Q$8:$Q$154*'ANALYSE - ERP =&gt; SOUS-SEGMENT'!$FB$8:$FB$154*'ANALYSE - ERP =&gt; SOUS-SEGMENT'!$IW$8:$IW$154)/SUMPRODUCT(('ANALYSE - ERP =&gt; SOUS-SEGMENT'!$C$8:$C$154=$C25)*'ANALYSE - ERP =&gt; SOUS-SEGMENT'!$Q$8:$Q$154*'ANALYSE - ERP =&gt; SOUS-SEGMENT'!$FB$8:$FB$154),0)</f>
        <v>0.34771500124560478</v>
      </c>
      <c r="IU25" s="748">
        <f>IFERROR(SUMPRODUCT(('ANALYSE - ERP =&gt; SOUS-SEGMENT'!$C$8:$C$154=$C25)*'ANALYSE - ERP =&gt; SOUS-SEGMENT'!$Q$8:$Q$154*'ANALYSE - ERP =&gt; SOUS-SEGMENT'!$FB$8:$FB$154*'ANALYSE - ERP =&gt; SOUS-SEGMENT'!$IX$8:$IX$154)/SUMPRODUCT(('ANALYSE - ERP =&gt; SOUS-SEGMENT'!$C$8:$C$154=$C25)*'ANALYSE - ERP =&gt; SOUS-SEGMENT'!$Q$8:$Q$154*'ANALYSE - ERP =&gt; SOUS-SEGMENT'!$FB$8:$FB$154),0)</f>
        <v>0.15682617772217425</v>
      </c>
      <c r="IV25" s="771">
        <f>IFERROR(SUMPRODUCT(('ANALYSE - ERP =&gt; SOUS-SEGMENT'!$C$8:$C$154=$C25)*'ANALYSE - ERP =&gt; SOUS-SEGMENT'!$Q$8:$Q$154*'ANALYSE - ERP =&gt; SOUS-SEGMENT'!$BF$8:$BF$154*'ANALYSE - ERP =&gt; SOUS-SEGMENT'!$IY$8:$IY$154)/SUMPRODUCT(('ANALYSE - ERP =&gt; SOUS-SEGMENT'!$C$8:$C$154=$C25)*'ANALYSE - ERP =&gt; SOUS-SEGMENT'!$Q$8:$Q$154*'ANALYSE - ERP =&gt; SOUS-SEGMENT'!$BF$8:$BF$154),0)</f>
        <v>7.9971428571428568E-2</v>
      </c>
      <c r="IW25" s="748">
        <f>IFERROR(SUMPRODUCT(('ANALYSE - ERP =&gt; SOUS-SEGMENT'!$C$8:$C$154=$C25)*'ANALYSE - ERP =&gt; SOUS-SEGMENT'!$Q$8:$Q$154*'ANALYSE - ERP =&gt; SOUS-SEGMENT'!$BF$8:$BF$154*'ANALYSE - ERP =&gt; SOUS-SEGMENT'!$IZ$8:$IZ$154)/SUMPRODUCT(('ANALYSE - ERP =&gt; SOUS-SEGMENT'!$C$8:$C$154=$C25)*'ANALYSE - ERP =&gt; SOUS-SEGMENT'!$Q$8:$Q$154*'ANALYSE - ERP =&gt; SOUS-SEGMENT'!$BF$8:$BF$154),0)</f>
        <v>0.27792857142857141</v>
      </c>
      <c r="IX25" s="748">
        <f>IFERROR(SUMPRODUCT(('ANALYSE - ERP =&gt; SOUS-SEGMENT'!$C$8:$C$154=$C25)*'ANALYSE - ERP =&gt; SOUS-SEGMENT'!$Q$8:$Q$154*'ANALYSE - ERP =&gt; SOUS-SEGMENT'!$BF$8:$BF$154*'ANALYSE - ERP =&gt; SOUS-SEGMENT'!$JA$8:$JA$154)/SUMPRODUCT(('ANALYSE - ERP =&gt; SOUS-SEGMENT'!$C$8:$C$154=$C25)*'ANALYSE - ERP =&gt; SOUS-SEGMENT'!$Q$8:$Q$154*'ANALYSE - ERP =&gt; SOUS-SEGMENT'!$BF$8:$BF$154),0)</f>
        <v>0.21541428571428575</v>
      </c>
      <c r="IY25" s="748">
        <f>IFERROR(SUMPRODUCT(('ANALYSE - ERP =&gt; SOUS-SEGMENT'!$C$8:$C$154=$C25)*'ANALYSE - ERP =&gt; SOUS-SEGMENT'!$Q$8:$Q$154*'ANALYSE - ERP =&gt; SOUS-SEGMENT'!$BF$8:$BF$154*'ANALYSE - ERP =&gt; SOUS-SEGMENT'!$JB$8:$JB$154)/SUMPRODUCT(('ANALYSE - ERP =&gt; SOUS-SEGMENT'!$C$8:$C$154=$C25)*'ANALYSE - ERP =&gt; SOUS-SEGMENT'!$Q$8:$Q$154*'ANALYSE - ERP =&gt; SOUS-SEGMENT'!$BF$8:$BF$154),0)</f>
        <v>0.32382857142857147</v>
      </c>
      <c r="IZ25" s="749">
        <f>IFERROR(SUMPRODUCT(('ANALYSE - ERP =&gt; SOUS-SEGMENT'!$C$8:$C$154=$C25)*'ANALYSE - ERP =&gt; SOUS-SEGMENT'!$Q$8:$Q$154*'ANALYSE - ERP =&gt; SOUS-SEGMENT'!$BF$8:$BF$154*'ANALYSE - ERP =&gt; SOUS-SEGMENT'!$JC$8:$JC$154)/SUMPRODUCT(('ANALYSE - ERP =&gt; SOUS-SEGMENT'!$C$8:$C$154=$C25)*'ANALYSE - ERP =&gt; SOUS-SEGMENT'!$Q$8:$Q$154*'ANALYSE - ERP =&gt; SOUS-SEGMENT'!$BF$8:$BF$154),0)</f>
        <v>0.10285714285714286</v>
      </c>
      <c r="JA25" s="748">
        <f>IFERROR(SUMPRODUCT(('ANALYSE - ERP =&gt; SOUS-SEGMENT'!$C$8:$C$154=$C25)*'ANALYSE - ERP =&gt; SOUS-SEGMENT'!$Q$8:$Q$154*'ANALYSE - ERP =&gt; SOUS-SEGMENT'!$FE$8:$FE$154*'ANALYSE - ERP =&gt; SOUS-SEGMENT'!$JD$8:$JD$154)/SUMPRODUCT(('ANALYSE - ERP =&gt; SOUS-SEGMENT'!$C$8:$C$154=$C25)*'ANALYSE - ERP =&gt; SOUS-SEGMENT'!$Q$8:$Q$154*'ANALYSE - ERP =&gt; SOUS-SEGMENT'!$FE$8:$FE$154),0)</f>
        <v>4.8014129601767444E-2</v>
      </c>
      <c r="JB25" s="748">
        <f>IFERROR(SUMPRODUCT(('ANALYSE - ERP =&gt; SOUS-SEGMENT'!$C$8:$C$154=$C25)*'ANALYSE - ERP =&gt; SOUS-SEGMENT'!$Q$8:$Q$154*'ANALYSE - ERP =&gt; SOUS-SEGMENT'!$FE$8:$FE$154*'ANALYSE - ERP =&gt; SOUS-SEGMENT'!$JE$8:$JE$154)/SUMPRODUCT(('ANALYSE - ERP =&gt; SOUS-SEGMENT'!$C$8:$C$154=$C25)*'ANALYSE - ERP =&gt; SOUS-SEGMENT'!$Q$8:$Q$154*'ANALYSE - ERP =&gt; SOUS-SEGMENT'!$FE$8:$FE$154),0)</f>
        <v>0.26163235191326245</v>
      </c>
      <c r="JC25" s="748">
        <f>IFERROR(SUMPRODUCT(('ANALYSE - ERP =&gt; SOUS-SEGMENT'!$C$8:$C$154=$C25)*'ANALYSE - ERP =&gt; SOUS-SEGMENT'!$Q$8:$Q$154*'ANALYSE - ERP =&gt; SOUS-SEGMENT'!$FE$8:$FE$154*'ANALYSE - ERP =&gt; SOUS-SEGMENT'!$JF$8:$JF$154)/SUMPRODUCT(('ANALYSE - ERP =&gt; SOUS-SEGMENT'!$C$8:$C$154=$C25)*'ANALYSE - ERP =&gt; SOUS-SEGMENT'!$Q$8:$Q$154*'ANALYSE - ERP =&gt; SOUS-SEGMENT'!$FE$8:$FE$154),0)</f>
        <v>0.22115223776648418</v>
      </c>
      <c r="JD25" s="748">
        <f>IFERROR(SUMPRODUCT(('ANALYSE - ERP =&gt; SOUS-SEGMENT'!$C$8:$C$154=$C25)*'ANALYSE - ERP =&gt; SOUS-SEGMENT'!$Q$8:$Q$154*'ANALYSE - ERP =&gt; SOUS-SEGMENT'!$FE$8:$FE$154*'ANALYSE - ERP =&gt; SOUS-SEGMENT'!$JG$8:$JG$154)/SUMPRODUCT(('ANALYSE - ERP =&gt; SOUS-SEGMENT'!$C$8:$C$154=$C25)*'ANALYSE - ERP =&gt; SOUS-SEGMENT'!$Q$8:$Q$154*'ANALYSE - ERP =&gt; SOUS-SEGMENT'!$FE$8:$FE$154),0)</f>
        <v>0.32552131969494169</v>
      </c>
      <c r="JE25" s="748">
        <f>IFERROR(SUMPRODUCT(('ANALYSE - ERP =&gt; SOUS-SEGMENT'!$C$8:$C$154=$C25)*'ANALYSE - ERP =&gt; SOUS-SEGMENT'!$Q$8:$Q$154*'ANALYSE - ERP =&gt; SOUS-SEGMENT'!$FE$8:$FE$154*'ANALYSE - ERP =&gt; SOUS-SEGMENT'!$JH$8:$JH$154)/SUMPRODUCT(('ANALYSE - ERP =&gt; SOUS-SEGMENT'!$C$8:$C$154=$C25)*'ANALYSE - ERP =&gt; SOUS-SEGMENT'!$Q$8:$Q$154*'ANALYSE - ERP =&gt; SOUS-SEGMENT'!$FE$8:$FE$154),0)</f>
        <v>0.14367996102354419</v>
      </c>
      <c r="JF25" s="771">
        <f>IFERROR(SUMPRODUCT(('ANALYSE - ERP =&gt; SOUS-SEGMENT'!$C$8:$C$154=$C25)*'ANALYSE - ERP =&gt; SOUS-SEGMENT'!$Q$8:$Q$154*'ANALYSE - ERP =&gt; SOUS-SEGMENT'!$BG$8:$BG$154*'ANALYSE - ERP =&gt; SOUS-SEGMENT'!$JI$8:$JI$154)/SUMPRODUCT(('ANALYSE - ERP =&gt; SOUS-SEGMENT'!$C$8:$C$154=$C25)*'ANALYSE - ERP =&gt; SOUS-SEGMENT'!$Q$8:$Q$154*'ANALYSE - ERP =&gt; SOUS-SEGMENT'!$BG$8:$BG$154),0)</f>
        <v>8.2500000000000004E-2</v>
      </c>
      <c r="JG25" s="748">
        <f>IFERROR(SUMPRODUCT(('ANALYSE - ERP =&gt; SOUS-SEGMENT'!$C$8:$C$154=$C25)*'ANALYSE - ERP =&gt; SOUS-SEGMENT'!$Q$8:$Q$154*'ANALYSE - ERP =&gt; SOUS-SEGMENT'!$BG$8:$BG$154*'ANALYSE - ERP =&gt; SOUS-SEGMENT'!$JJ$8:$JJ$154)/SUMPRODUCT(('ANALYSE - ERP =&gt; SOUS-SEGMENT'!$C$8:$C$154=$C25)*'ANALYSE - ERP =&gt; SOUS-SEGMENT'!$Q$8:$Q$154*'ANALYSE - ERP =&gt; SOUS-SEGMENT'!$BG$8:$BG$154),0)</f>
        <v>0.18329999999999999</v>
      </c>
      <c r="JH25" s="748">
        <f>IFERROR(SUMPRODUCT(('ANALYSE - ERP =&gt; SOUS-SEGMENT'!$C$8:$C$154=$C25)*'ANALYSE - ERP =&gt; SOUS-SEGMENT'!$Q$8:$Q$154*'ANALYSE - ERP =&gt; SOUS-SEGMENT'!$BG$8:$BG$154*'ANALYSE - ERP =&gt; SOUS-SEGMENT'!$JK$8:$JK$154)/SUMPRODUCT(('ANALYSE - ERP =&gt; SOUS-SEGMENT'!$C$8:$C$154=$C25)*'ANALYSE - ERP =&gt; SOUS-SEGMENT'!$Q$8:$Q$154*'ANALYSE - ERP =&gt; SOUS-SEGMENT'!$BG$8:$BG$154),0)</f>
        <v>0.31427272727272726</v>
      </c>
      <c r="JI25" s="748">
        <f>IFERROR(SUMPRODUCT(('ANALYSE - ERP =&gt; SOUS-SEGMENT'!$C$8:$C$154=$C25)*'ANALYSE - ERP =&gt; SOUS-SEGMENT'!$Q$8:$Q$154*'ANALYSE - ERP =&gt; SOUS-SEGMENT'!$BG$8:$BG$154*'ANALYSE - ERP =&gt; SOUS-SEGMENT'!$JL$8:$JL$154)/SUMPRODUCT(('ANALYSE - ERP =&gt; SOUS-SEGMENT'!$C$8:$C$154=$C25)*'ANALYSE - ERP =&gt; SOUS-SEGMENT'!$Q$8:$Q$154*'ANALYSE - ERP =&gt; SOUS-SEGMENT'!$BG$8:$BG$154),0)</f>
        <v>0.33076363636363632</v>
      </c>
      <c r="JJ25" s="749">
        <f>IFERROR(SUMPRODUCT(('ANALYSE - ERP =&gt; SOUS-SEGMENT'!$C$8:$C$154=$C25)*'ANALYSE - ERP =&gt; SOUS-SEGMENT'!$Q$8:$Q$154*'ANALYSE - ERP =&gt; SOUS-SEGMENT'!$BG$8:$BG$154*'ANALYSE - ERP =&gt; SOUS-SEGMENT'!$JM$8:$JM$154)/SUMPRODUCT(('ANALYSE - ERP =&gt; SOUS-SEGMENT'!$C$8:$C$154=$C25)*'ANALYSE - ERP =&gt; SOUS-SEGMENT'!$Q$8:$Q$154*'ANALYSE - ERP =&gt; SOUS-SEGMENT'!$BG$8:$BG$154),0)</f>
        <v>8.9163636363636362E-2</v>
      </c>
      <c r="JK25" s="748">
        <f>IFERROR(SUMPRODUCT(('ANALYSE - ERP =&gt; SOUS-SEGMENT'!$C$8:$C$154=$C25)*'ANALYSE - ERP =&gt; SOUS-SEGMENT'!$Q$8:$Q$154*'ANALYSE - ERP =&gt; SOUS-SEGMENT'!$FH$8:$FH$154*'ANALYSE - ERP =&gt; SOUS-SEGMENT'!$JN$8:$JN$154)/SUMPRODUCT(('ANALYSE - ERP =&gt; SOUS-SEGMENT'!$C$8:$C$154=$C25)*'ANALYSE - ERP =&gt; SOUS-SEGMENT'!$Q$8:$Q$154*'ANALYSE - ERP =&gt; SOUS-SEGMENT'!$FH$8:$FH$154),0)</f>
        <v>5.1948017496163533E-2</v>
      </c>
      <c r="JL25" s="748">
        <f>IFERROR(SUMPRODUCT(('ANALYSE - ERP =&gt; SOUS-SEGMENT'!$C$8:$C$154=$C25)*'ANALYSE - ERP =&gt; SOUS-SEGMENT'!$Q$8:$Q$154*'ANALYSE - ERP =&gt; SOUS-SEGMENT'!$FH$8:$FH$154*'ANALYSE - ERP =&gt; SOUS-SEGMENT'!$JO$8:$JO$154)/SUMPRODUCT(('ANALYSE - ERP =&gt; SOUS-SEGMENT'!$C$8:$C$154=$C25)*'ANALYSE - ERP =&gt; SOUS-SEGMENT'!$Q$8:$Q$154*'ANALYSE - ERP =&gt; SOUS-SEGMENT'!$FH$8:$FH$154),0)</f>
        <v>0.17216905543184291</v>
      </c>
      <c r="JM25" s="748">
        <f>IFERROR(SUMPRODUCT(('ANALYSE - ERP =&gt; SOUS-SEGMENT'!$C$8:$C$154=$C25)*'ANALYSE - ERP =&gt; SOUS-SEGMENT'!$Q$8:$Q$154*'ANALYSE - ERP =&gt; SOUS-SEGMENT'!$FH$8:$FH$154*'ANALYSE - ERP =&gt; SOUS-SEGMENT'!$JP$8:$JP$154)/SUMPRODUCT(('ANALYSE - ERP =&gt; SOUS-SEGMENT'!$C$8:$C$154=$C25)*'ANALYSE - ERP =&gt; SOUS-SEGMENT'!$Q$8:$Q$154*'ANALYSE - ERP =&gt; SOUS-SEGMENT'!$FH$8:$FH$154),0)</f>
        <v>0.25794974943553417</v>
      </c>
      <c r="JN25" s="748">
        <f>IFERROR(SUMPRODUCT(('ANALYSE - ERP =&gt; SOUS-SEGMENT'!$C$8:$C$154=$C25)*'ANALYSE - ERP =&gt; SOUS-SEGMENT'!$Q$8:$Q$154*'ANALYSE - ERP =&gt; SOUS-SEGMENT'!$FH$8:$FH$154*'ANALYSE - ERP =&gt; SOUS-SEGMENT'!$JQ$8:$JQ$154)/SUMPRODUCT(('ANALYSE - ERP =&gt; SOUS-SEGMENT'!$C$8:$C$154=$C25)*'ANALYSE - ERP =&gt; SOUS-SEGMENT'!$Q$8:$Q$154*'ANALYSE - ERP =&gt; SOUS-SEGMENT'!$FH$8:$FH$154),0)</f>
        <v>0.36852513859057112</v>
      </c>
      <c r="JO25" s="748">
        <f>IFERROR(SUMPRODUCT(('ANALYSE - ERP =&gt; SOUS-SEGMENT'!$C$8:$C$154=$C25)*'ANALYSE - ERP =&gt; SOUS-SEGMENT'!$Q$8:$Q$154*'ANALYSE - ERP =&gt; SOUS-SEGMENT'!$FH$8:$FH$154*'ANALYSE - ERP =&gt; SOUS-SEGMENT'!$JR$8:$JR$154)/SUMPRODUCT(('ANALYSE - ERP =&gt; SOUS-SEGMENT'!$C$8:$C$154=$C25)*'ANALYSE - ERP =&gt; SOUS-SEGMENT'!$Q$8:$Q$154*'ANALYSE - ERP =&gt; SOUS-SEGMENT'!$FH$8:$FH$154),0)</f>
        <v>0.14940803904588831</v>
      </c>
      <c r="JP25" s="771">
        <f>IFERROR(SUMPRODUCT(('ANALYSE - ERP =&gt; SOUS-SEGMENT'!$C$8:$C$154=$C25)*'ANALYSE - ERP =&gt; SOUS-SEGMENT'!$Q$8:$Q$154*'ANALYSE - ERP =&gt; SOUS-SEGMENT'!$BH$8:$BH$154*'ANALYSE - ERP =&gt; SOUS-SEGMENT'!$JS$8:$JS$154)/SUMPRODUCT(('ANALYSE - ERP =&gt; SOUS-SEGMENT'!$C$8:$C$154=$C25)*'ANALYSE - ERP =&gt; SOUS-SEGMENT'!$Q$8:$Q$154*'ANALYSE - ERP =&gt; SOUS-SEGMENT'!$BH$8:$BH$154),0)</f>
        <v>7.5112499999999999E-2</v>
      </c>
      <c r="JQ25" s="748">
        <f>IFERROR(SUMPRODUCT(('ANALYSE - ERP =&gt; SOUS-SEGMENT'!$C$8:$C$154=$C25)*'ANALYSE - ERP =&gt; SOUS-SEGMENT'!$Q$8:$Q$154*'ANALYSE - ERP =&gt; SOUS-SEGMENT'!$BH$8:$BH$154*'ANALYSE - ERP =&gt; SOUS-SEGMENT'!$JT$8:$JT$154)/SUMPRODUCT(('ANALYSE - ERP =&gt; SOUS-SEGMENT'!$C$8:$C$154=$C25)*'ANALYSE - ERP =&gt; SOUS-SEGMENT'!$Q$8:$Q$154*'ANALYSE - ERP =&gt; SOUS-SEGMENT'!$BH$8:$BH$154),0)</f>
        <v>0.24318749999999997</v>
      </c>
      <c r="JR25" s="748">
        <f>IFERROR(SUMPRODUCT(('ANALYSE - ERP =&gt; SOUS-SEGMENT'!$C$8:$C$154=$C25)*'ANALYSE - ERP =&gt; SOUS-SEGMENT'!$Q$8:$Q$154*'ANALYSE - ERP =&gt; SOUS-SEGMENT'!$BH$8:$BH$154*'ANALYSE - ERP =&gt; SOUS-SEGMENT'!$JU$8:$JU$154)/SUMPRODUCT(('ANALYSE - ERP =&gt; SOUS-SEGMENT'!$C$8:$C$154=$C25)*'ANALYSE - ERP =&gt; SOUS-SEGMENT'!$Q$8:$Q$154*'ANALYSE - ERP =&gt; SOUS-SEGMENT'!$BH$8:$BH$154),0)</f>
        <v>0.23351250000000001</v>
      </c>
      <c r="JS25" s="748">
        <f>IFERROR(SUMPRODUCT(('ANALYSE - ERP =&gt; SOUS-SEGMENT'!$C$8:$C$154=$C25)*'ANALYSE - ERP =&gt; SOUS-SEGMENT'!$Q$8:$Q$154*'ANALYSE - ERP =&gt; SOUS-SEGMENT'!$BH$8:$BH$154*'ANALYSE - ERP =&gt; SOUS-SEGMENT'!$JV$8:$JV$154)/SUMPRODUCT(('ANALYSE - ERP =&gt; SOUS-SEGMENT'!$C$8:$C$154=$C25)*'ANALYSE - ERP =&gt; SOUS-SEGMENT'!$Q$8:$Q$154*'ANALYSE - ERP =&gt; SOUS-SEGMENT'!$BH$8:$BH$154),0)</f>
        <v>0.33568750000000003</v>
      </c>
      <c r="JT25" s="749">
        <f>IFERROR(SUMPRODUCT(('ANALYSE - ERP =&gt; SOUS-SEGMENT'!$C$8:$C$154=$C25)*'ANALYSE - ERP =&gt; SOUS-SEGMENT'!$Q$8:$Q$154*'ANALYSE - ERP =&gt; SOUS-SEGMENT'!$BH$8:$BH$154*'ANALYSE - ERP =&gt; SOUS-SEGMENT'!$JW$8:$JW$154)/SUMPRODUCT(('ANALYSE - ERP =&gt; SOUS-SEGMENT'!$C$8:$C$154=$C25)*'ANALYSE - ERP =&gt; SOUS-SEGMENT'!$Q$8:$Q$154*'ANALYSE - ERP =&gt; SOUS-SEGMENT'!$BH$8:$BH$154),0)</f>
        <v>0.1125</v>
      </c>
      <c r="JU25" s="771">
        <f>IFERROR(SUMPRODUCT(('ANALYSE - ERP =&gt; SOUS-SEGMENT'!$C$8:$C$154=$C25)*'ANALYSE - ERP =&gt; SOUS-SEGMENT'!$Q$8:$Q$154*'ANALYSE - ERP =&gt; SOUS-SEGMENT'!$FK$8:$FK$154*'ANALYSE - ERP =&gt; SOUS-SEGMENT'!$JX$8:$JX$154)/SUMPRODUCT(('ANALYSE - ERP =&gt; SOUS-SEGMENT'!$C$8:$C$154=$C25)*'ANALYSE - ERP =&gt; SOUS-SEGMENT'!$Q$8:$Q$154*'ANALYSE - ERP =&gt; SOUS-SEGMENT'!$FK$8:$FK$154),0)</f>
        <v>4.54694552455513E-2</v>
      </c>
      <c r="JV25" s="748">
        <f>IFERROR(SUMPRODUCT(('ANALYSE - ERP =&gt; SOUS-SEGMENT'!$C$8:$C$154=$C25)*'ANALYSE - ERP =&gt; SOUS-SEGMENT'!$Q$8:$Q$154*'ANALYSE - ERP =&gt; SOUS-SEGMENT'!$FK$8:$FK$154*'ANALYSE - ERP =&gt; SOUS-SEGMENT'!$JY$8:$JY$154)/SUMPRODUCT(('ANALYSE - ERP =&gt; SOUS-SEGMENT'!$C$8:$C$154=$C25)*'ANALYSE - ERP =&gt; SOUS-SEGMENT'!$Q$8:$Q$154*'ANALYSE - ERP =&gt; SOUS-SEGMENT'!$FK$8:$FK$154),0)</f>
        <v>0.23222565348997376</v>
      </c>
      <c r="JW25" s="748">
        <f>IFERROR(SUMPRODUCT(('ANALYSE - ERP =&gt; SOUS-SEGMENT'!$C$8:$C$154=$C25)*'ANALYSE - ERP =&gt; SOUS-SEGMENT'!$Q$8:$Q$154*'ANALYSE - ERP =&gt; SOUS-SEGMENT'!$FK$8:$FK$154*'ANALYSE - ERP =&gt; SOUS-SEGMENT'!$JZ$8:$JZ$154)/SUMPRODUCT(('ANALYSE - ERP =&gt; SOUS-SEGMENT'!$C$8:$C$154=$C25)*'ANALYSE - ERP =&gt; SOUS-SEGMENT'!$Q$8:$Q$154*'ANALYSE - ERP =&gt; SOUS-SEGMENT'!$FK$8:$FK$154),0)</f>
        <v>0.21833824558206461</v>
      </c>
      <c r="JX25" s="748">
        <f>IFERROR(SUMPRODUCT(('ANALYSE - ERP =&gt; SOUS-SEGMENT'!$C$8:$C$154=$C25)*'ANALYSE - ERP =&gt; SOUS-SEGMENT'!$Q$8:$Q$154*'ANALYSE - ERP =&gt; SOUS-SEGMENT'!$FK$8:$FK$154*'ANALYSE - ERP =&gt; SOUS-SEGMENT'!$KA$8:$KA$154)/SUMPRODUCT(('ANALYSE - ERP =&gt; SOUS-SEGMENT'!$C$8:$C$154=$C25)*'ANALYSE - ERP =&gt; SOUS-SEGMENT'!$Q$8:$Q$154*'ANALYSE - ERP =&gt; SOUS-SEGMENT'!$FK$8:$FK$154),0)</f>
        <v>0.34706544839647935</v>
      </c>
      <c r="JY25" s="775">
        <f>IFERROR(SUMPRODUCT(('ANALYSE - ERP =&gt; SOUS-SEGMENT'!$C$8:$C$154=$C25)*'ANALYSE - ERP =&gt; SOUS-SEGMENT'!$Q$8:$Q$154*'ANALYSE - ERP =&gt; SOUS-SEGMENT'!$FK$8:$FK$154*'ANALYSE - ERP =&gt; SOUS-SEGMENT'!$KB$8:$KB$154)/SUMPRODUCT(('ANALYSE - ERP =&gt; SOUS-SEGMENT'!$C$8:$C$154=$C25)*'ANALYSE - ERP =&gt; SOUS-SEGMENT'!$Q$8:$Q$154*'ANALYSE - ERP =&gt; SOUS-SEGMENT'!$FK$8:$FK$154),0)</f>
        <v>0.15690119728593099</v>
      </c>
      <c r="JZ25" s="529"/>
      <c r="KA25" s="569" t="s">
        <v>2591</v>
      </c>
      <c r="KB25" s="569" t="s">
        <v>2625</v>
      </c>
      <c r="KC25" s="868">
        <f>IFERROR(SUMPRODUCT(('ANALYSE - ERP =&gt; SOUS-SEGMENT'!$C$8:$C$154=$C26)*'ANALYSE - ERP =&gt; SOUS-SEGMENT'!$Q$8:$Q$154*'ANALYSE - ERP =&gt; SOUS-SEGMENT'!$EX$8:$EX$154*'ANALYSE - ERP =&gt; SOUS-SEGMENT'!$KF$8:$KF$154)/SUMPRODUCT(('ANALYSE - ERP =&gt; SOUS-SEGMENT'!$C$8:$C$154=$C26)*'ANALYSE - ERP =&gt; SOUS-SEGMENT'!$Q$8:$Q$154*'ANALYSE - ERP =&gt; SOUS-SEGMENT'!$EX$8:$EX$154),"")</f>
        <v>3.5037264530525647</v>
      </c>
      <c r="KD25" s="569" t="s">
        <v>2616</v>
      </c>
      <c r="KE25" s="571" t="s">
        <v>4252</v>
      </c>
      <c r="KF25" s="621" t="s">
        <v>6760</v>
      </c>
      <c r="KG25" s="571" t="s">
        <v>6760</v>
      </c>
    </row>
    <row r="26" spans="1:293" s="549" customFormat="1" ht="108" customHeight="1">
      <c r="A26" s="522">
        <v>23</v>
      </c>
      <c r="B26" s="523" t="s">
        <v>7117</v>
      </c>
      <c r="C26" s="523" t="s">
        <v>4268</v>
      </c>
      <c r="D26" s="523" t="s">
        <v>7167</v>
      </c>
      <c r="E26" s="524" t="s">
        <v>7168</v>
      </c>
      <c r="F26" s="524" t="s">
        <v>7169</v>
      </c>
      <c r="G26" s="524" t="s">
        <v>6790</v>
      </c>
      <c r="H26" s="524" t="s">
        <v>2117</v>
      </c>
      <c r="I26" s="525" t="s">
        <v>7170</v>
      </c>
      <c r="J26" s="525" t="s">
        <v>7171</v>
      </c>
      <c r="K26" s="526" t="s">
        <v>2109</v>
      </c>
      <c r="L26" s="526" t="s">
        <v>2109</v>
      </c>
      <c r="M26" s="526" t="s">
        <v>2603</v>
      </c>
      <c r="N26" s="526" t="s">
        <v>6742</v>
      </c>
      <c r="O26" s="526" t="s">
        <v>2212</v>
      </c>
      <c r="P26" s="525"/>
      <c r="Q26" s="270">
        <f>IF(SUMPRODUCT(('ANALYSE - ERP =&gt; SOUS-SEGMENT'!$C$8:$C$154=$C26)*'ANALYSE - ERP =&gt; SOUS-SEGMENT'!$Q$8:$Q$154)&gt;0,1,0)</f>
        <v>1</v>
      </c>
      <c r="R26" s="527">
        <f>IFERROR(SUMPRODUCT(('ANALYSE - ERP =&gt; SOUS-SEGMENT'!$C$8:$C$154=$C26)*'ANALYSE - ERP =&gt; SOUS-SEGMENT'!$Q$8:$Q$154*'ANALYSE - ERP =&gt; SOUS-SEGMENT'!$AG$8:$AG$154*'ANALYSE - ERP =&gt; SOUS-SEGMENT'!$R$8:$R$154)/SUMPRODUCT(('ANALYSE - ERP =&gt; SOUS-SEGMENT'!$C$8:$C$154=$C26)*'ANALYSE - ERP =&gt; SOUS-SEGMENT'!$Q$8:$Q$154*'ANALYSE - ERP =&gt; SOUS-SEGMENT'!$AG$8:$AG$154),"")</f>
        <v>16846.484572584723</v>
      </c>
      <c r="S26" s="528">
        <f>SUMPRODUCT(('ANALYSE - ERP =&gt; SOUS-SEGMENT'!$C$8:$C$154=$C26)*'ANALYSE - ERP =&gt; SOUS-SEGMENT'!$Q$8:$Q$154*'ANALYSE - ERP =&gt; SOUS-SEGMENT'!$S$8:$S$154)</f>
        <v>8652</v>
      </c>
      <c r="T26" s="528">
        <f>SUMPRODUCT(('ANALYSE - ERP =&gt; SOUS-SEGMENT'!$C$8:$C$154=$C26)*'ANALYSE - ERP =&gt; SOUS-SEGMENT'!$Q$8:$Q$154*'ANALYSE - ERP =&gt; SOUS-SEGMENT'!$T$8:$T$154)</f>
        <v>8650</v>
      </c>
      <c r="U26" s="528">
        <f>SUMPRODUCT(('ANALYSE - ERP =&gt; SOUS-SEGMENT'!$C$8:$C$154=$C26)*'ANALYSE - ERP =&gt; SOUS-SEGMENT'!$Q$8:$Q$154*'ANALYSE - ERP =&gt; SOUS-SEGMENT'!$U$8:$U$154)</f>
        <v>8528</v>
      </c>
      <c r="V26" s="528">
        <f>SUMPRODUCT(('ANALYSE - ERP =&gt; SOUS-SEGMENT'!$C$8:$C$154=$C26)*'ANALYSE - ERP =&gt; SOUS-SEGMENT'!$Q$8:$Q$154*'ANALYSE - ERP =&gt; SOUS-SEGMENT'!$V$8:$V$154)</f>
        <v>8294</v>
      </c>
      <c r="W26" s="528">
        <f>SUMPRODUCT(('ANALYSE - ERP =&gt; SOUS-SEGMENT'!$C$8:$C$154=$C26)*'ANALYSE - ERP =&gt; SOUS-SEGMENT'!$Q$8:$Q$154*'ANALYSE - ERP =&gt; SOUS-SEGMENT'!$W$8:$W$154)</f>
        <v>8243</v>
      </c>
      <c r="X26" s="528">
        <f>SUMPRODUCT(('ANALYSE - ERP =&gt; SOUS-SEGMENT'!$C$8:$C$154=$C26)*'ANALYSE - ERP =&gt; SOUS-SEGMENT'!$Q$8:$Q$154*'ANALYSE - ERP =&gt; SOUS-SEGMENT'!$X$8:$X$154)</f>
        <v>8188</v>
      </c>
      <c r="Y26" s="528">
        <f>SUMPRODUCT(('ANALYSE - ERP =&gt; SOUS-SEGMENT'!$C$8:$C$154=$C26)*'ANALYSE - ERP =&gt; SOUS-SEGMENT'!$Q$8:$Q$154*'ANALYSE - ERP =&gt; SOUS-SEGMENT'!$Y$8:$Y$154)</f>
        <v>8134</v>
      </c>
      <c r="Z26" s="528">
        <f>SUMPRODUCT(('ANALYSE - ERP =&gt; SOUS-SEGMENT'!$C$8:$C$154=$C26)*'ANALYSE - ERP =&gt; SOUS-SEGMENT'!$Q$8:$Q$154*'ANALYSE - ERP =&gt; SOUS-SEGMENT'!$Z$8:$Z$154)</f>
        <v>8081</v>
      </c>
      <c r="AA26" s="528">
        <f>SUMPRODUCT(('ANALYSE - ERP =&gt; SOUS-SEGMENT'!$C$8:$C$154=$C26)*'ANALYSE - ERP =&gt; SOUS-SEGMENT'!$Q$8:$Q$154*'ANALYSE - ERP =&gt; SOUS-SEGMENT'!$AA$8:$AA$154)</f>
        <v>7549</v>
      </c>
      <c r="AB26" s="528">
        <f>SUMPRODUCT(('ANALYSE - ERP =&gt; SOUS-SEGMENT'!$C$8:$C$154=$C26)*'ANALYSE - ERP =&gt; SOUS-SEGMENT'!$Q$8:$Q$154*'ANALYSE - ERP =&gt; SOUS-SEGMENT'!$AB$8:$AB$154)</f>
        <v>7423</v>
      </c>
      <c r="AC26" s="528">
        <f>SUMPRODUCT(('ANALYSE - ERP =&gt; SOUS-SEGMENT'!$C$8:$C$154=$C26)*'ANALYSE - ERP =&gt; SOUS-SEGMENT'!$Q$8:$Q$154*'ANALYSE - ERP =&gt; SOUS-SEGMENT'!$AC$8:$AC$154)</f>
        <v>7772</v>
      </c>
      <c r="AD26" s="528">
        <f>SUMPRODUCT(('ANALYSE - ERP =&gt; SOUS-SEGMENT'!$C$8:$C$154=$C26)*'ANALYSE - ERP =&gt; SOUS-SEGMENT'!$Q$8:$Q$154*'ANALYSE - ERP =&gt; SOUS-SEGMENT'!$AD$8:$AD$154)</f>
        <v>7982</v>
      </c>
      <c r="AE26" s="528">
        <f>SUMPRODUCT(('ANALYSE - ERP =&gt; SOUS-SEGMENT'!$C$8:$C$154=$C26)*'ANALYSE - ERP =&gt; SOUS-SEGMENT'!$Q$8:$Q$154*'ANALYSE - ERP =&gt; SOUS-SEGMENT'!$AE$8:$AE$154)</f>
        <v>7956</v>
      </c>
      <c r="AF26" s="528">
        <f>SUMPRODUCT(('ANALYSE - ERP =&gt; SOUS-SEGMENT'!$C$8:$C$154=$C26)*'ANALYSE - ERP =&gt; SOUS-SEGMENT'!$Q$8:$Q$154*'ANALYSE - ERP =&gt; SOUS-SEGMENT'!$AF$8:$AF$154)</f>
        <v>7935</v>
      </c>
      <c r="AG26" s="528">
        <f>SUMPRODUCT(('ANALYSE - ERP =&gt; SOUS-SEGMENT'!$C$8:$C$154=$C26)*'ANALYSE - ERP =&gt; SOUS-SEGMENT'!$Q$8:$Q$154*'ANALYSE - ERP =&gt; SOUS-SEGMENT'!$AG$8:$AG$154)</f>
        <v>7908</v>
      </c>
      <c r="AH26" s="528">
        <f>SUMPRODUCT(('ANALYSE - ERP =&gt; SOUS-SEGMENT'!$C$8:$C$154=$C26)*'ANALYSE - ERP =&gt; SOUS-SEGMENT'!$Q$8:$Q$154*'ANALYSE - ERP =&gt; SOUS-SEGMENT'!$AH$8:$AH$154)</f>
        <v>7885</v>
      </c>
      <c r="AI26" s="528">
        <f>SUMPRODUCT(('ANALYSE - ERP =&gt; SOUS-SEGMENT'!$C$8:$C$154=$C26)*'ANALYSE - ERP =&gt; SOUS-SEGMENT'!$Q$8:$Q$154*'ANALYSE - ERP =&gt; SOUS-SEGMENT'!$AI$8:$AI$154)</f>
        <v>7860</v>
      </c>
      <c r="AJ26" s="528">
        <f>SUMPRODUCT(('ANALYSE - ERP =&gt; SOUS-SEGMENT'!$C$8:$C$154=$C26)*'ANALYSE - ERP =&gt; SOUS-SEGMENT'!$Q$8:$Q$154*'ANALYSE - ERP =&gt; SOUS-SEGMENT'!$AJ$8:$AJ$154)</f>
        <v>7835</v>
      </c>
      <c r="AK26" s="528">
        <f>SUMPRODUCT(('ANALYSE - ERP =&gt; SOUS-SEGMENT'!$C$8:$C$154=$C26)*'ANALYSE - ERP =&gt; SOUS-SEGMENT'!$Q$8:$Q$154*'ANALYSE - ERP =&gt; SOUS-SEGMENT'!$AK$8:$AK$154)</f>
        <v>7810</v>
      </c>
      <c r="AL26" s="525" t="s">
        <v>7172</v>
      </c>
      <c r="AM26" s="525" t="s">
        <v>4273</v>
      </c>
      <c r="AN26" s="525" t="s">
        <v>4274</v>
      </c>
      <c r="AO26" s="529"/>
      <c r="AP26" s="527">
        <f>IFERROR(SUMPRODUCT(('ANALYSE - ERP =&gt; SOUS-SEGMENT'!$C$8:$C$154=$C26)*'ANALYSE - ERP =&gt; SOUS-SEGMENT'!$Q$8:$Q$154*'ANALYSE - ERP =&gt; SOUS-SEGMENT'!$AG$8:$AG$154*'ANALYSE - ERP =&gt; SOUS-SEGMENT'!$AP$8:$AP$154)/SUMPRODUCT(('ANALYSE - ERP =&gt; SOUS-SEGMENT'!$C$8:$C$154=$C26)*'ANALYSE - ERP =&gt; SOUS-SEGMENT'!$Q$8:$Q$154*'ANALYSE - ERP =&gt; SOUS-SEGMENT'!$AG$8:$AG$154),"")</f>
        <v>262.49873545776427</v>
      </c>
      <c r="AQ26" s="527">
        <f>IFERROR(SUMPRODUCT(('ANALYSE - ERP =&gt; SOUS-SEGMENT'!$C$8:$C$154=$C26)*'ANALYSE - ERP =&gt; SOUS-SEGMENT'!$Q$8:$Q$154*'ANALYSE - ERP =&gt; SOUS-SEGMENT'!$AF$8:$AF$154*'ANALYSE - ERP =&gt; SOUS-SEGMENT'!$AQ$8:$AQ$154)/SUMPRODUCT(('ANALYSE - ERP =&gt; SOUS-SEGMENT'!$C$8:$C$154=$C26)*'ANALYSE - ERP =&gt; SOUS-SEGMENT'!$Q$8:$Q$154*'ANALYSE - ERP =&gt; SOUS-SEGMENT'!$AF$8:$AF$154),"")</f>
        <v>235.97353497164463</v>
      </c>
      <c r="AR26" s="977">
        <f>IFERROR(SUMPRODUCT(('ANALYSE - ERP =&gt; SOUS-SEGMENT'!$C$8:$C$154=$C26)*'ANALYSE - ERP =&gt; SOUS-SEGMENT'!$Q$8:$Q$154*'ANALYSE - ERP =&gt; SOUS-SEGMENT'!$AF$8:$AF$154*'ANALYSE - ERP =&gt; SOUS-SEGMENT'!$AR$8:$AR$154)/SUMPRODUCT(('ANALYSE - ERP =&gt; SOUS-SEGMENT'!$C$8:$C$154=$C26)*'ANALYSE - ERP =&gt; SOUS-SEGMENT'!$Q$8:$Q$154*'ANALYSE - ERP =&gt; SOUS-SEGMENT'!$AF$8:$AF$154),"")</f>
        <v>21.277882797731568</v>
      </c>
      <c r="AS26" s="977">
        <f>IFERROR(SUMPRODUCT(('ANALYSE - ERP =&gt; SOUS-SEGMENT'!$C$8:$C$154=$C26)*'ANALYSE - ERP =&gt; SOUS-SEGMENT'!$Q$8:$Q$154*'ANALYSE - ERP =&gt; SOUS-SEGMENT'!$AF$8:$AF$154*'ANALYSE - ERP =&gt; SOUS-SEGMENT'!$AS$8:$AS$154)/SUMPRODUCT(('ANALYSE - ERP =&gt; SOUS-SEGMENT'!$C$8:$C$154=$C26)*'ANALYSE - ERP =&gt; SOUS-SEGMENT'!$Q$8:$Q$154*'ANALYSE - ERP =&gt; SOUS-SEGMENT'!$AF$8:$AF$154),"")</f>
        <v>5.319470699432892</v>
      </c>
      <c r="AT26" s="529" t="s">
        <v>7173</v>
      </c>
      <c r="AU26" s="525" t="s">
        <v>7174</v>
      </c>
      <c r="AV26" s="543" t="s">
        <v>4197</v>
      </c>
      <c r="AW26" s="525"/>
      <c r="AX26" s="529"/>
      <c r="AY26" s="530">
        <f>IFERROR(SUMPRODUCT(('ANALYSE - ERP =&gt; SOUS-SEGMENT'!$C$8:$C$154=$C26)*'ANALYSE - ERP =&gt; SOUS-SEGMENT'!$Q$8:$Q$154*'ANALYSE - ERP =&gt; SOUS-SEGMENT'!$AF$8:$AF$154*'ANALYSE - ERP =&gt; SOUS-SEGMENT'!$AZ$8:$AZ$154)/SUMPRODUCT(('ANALYSE - ERP =&gt; SOUS-SEGMENT'!$C$8:$C$154=$C26)*'ANALYSE - ERP =&gt; SOUS-SEGMENT'!$Q$8:$Q$154*'ANALYSE - ERP =&gt; SOUS-SEGMENT'!$AF$8:$AF$154),"")</f>
        <v>18.298676748582231</v>
      </c>
      <c r="AZ26" s="978">
        <f>IFERROR(SUMPRODUCT(('ANALYSE - ERP =&gt; SOUS-SEGMENT'!$C$8:$C$154=$C26)*'ANALYSE - ERP =&gt; SOUS-SEGMENT'!$Q$8:$Q$154*'ANALYSE - ERP =&gt; SOUS-SEGMENT'!$AF$8:$AF$154*'ANALYSE - ERP =&gt; SOUS-SEGMENT'!$BA$8:$BA$154)/SUMPRODUCT(('ANALYSE - ERP =&gt; SOUS-SEGMENT'!$C$8:$C$154=$C26)*'ANALYSE - ERP =&gt; SOUS-SEGMENT'!$Q$8:$Q$154*'ANALYSE - ERP =&gt; SOUS-SEGMENT'!$AF$8:$AF$154),"")</f>
        <v>14.638941398865784</v>
      </c>
      <c r="BA26" s="530">
        <f>IFERROR(SUMPRODUCT(('ANALYSE - ERP =&gt; SOUS-SEGMENT'!$C$8:$C$154=$C26)*'ANALYSE - ERP =&gt; SOUS-SEGMENT'!$Q$8:$Q$154*'ANALYSE - ERP =&gt; SOUS-SEGMENT'!$AF$8:$AF$154*'ANALYSE - ERP =&gt; SOUS-SEGMENT'!$BB$8:$BB$154)/SUMPRODUCT(('ANALYSE - ERP =&gt; SOUS-SEGMENT'!$C$8:$C$154=$C26)*'ANALYSE - ERP =&gt; SOUS-SEGMENT'!$Q$8:$Q$154*'ANALYSE - ERP =&gt; SOUS-SEGMENT'!$AF$8:$AF$154),"")</f>
        <v>2.9045368620037806</v>
      </c>
      <c r="BB26" s="530">
        <f>IFERROR(SUMPRODUCT(('ANALYSE - ERP =&gt; SOUS-SEGMENT'!$C$8:$C$154=$C26)*'ANALYSE - ERP =&gt; SOUS-SEGMENT'!$Q$8:$Q$154*'ANALYSE - ERP =&gt; SOUS-SEGMENT'!$AF$8:$AF$154*'ANALYSE - ERP =&gt; SOUS-SEGMENT'!$BC$8:$BC$154)/SUMPRODUCT(('ANALYSE - ERP =&gt; SOUS-SEGMENT'!$C$8:$C$154=$C26)*'ANALYSE - ERP =&gt; SOUS-SEGMENT'!$Q$8:$Q$154*'ANALYSE - ERP =&gt; SOUS-SEGMENT'!$AF$8:$AF$154),"")</f>
        <v>14.638941398865784</v>
      </c>
      <c r="BC26" s="531">
        <f>SUMPRODUCT(('ANALYSE - ERP =&gt; SOUS-SEGMENT'!$C$8:$C$154=$C26)*'ANALYSE - ERP =&gt; SOUS-SEGMENT'!$Q$8:$Q$154*'ANALYSE - ERP =&gt; SOUS-SEGMENT'!$BE$8:$BE$154)</f>
        <v>145200</v>
      </c>
      <c r="BD26" s="531">
        <f>SUMPRODUCT(('ANALYSE - ERP =&gt; SOUS-SEGMENT'!$C$8:$C$154=$C26)*'ANALYSE - ERP =&gt; SOUS-SEGMENT'!$Q$8:$Q$154*'ANALYSE - ERP =&gt; SOUS-SEGMENT'!$BF$8:$BF$154)</f>
        <v>116160</v>
      </c>
      <c r="BE26" s="531">
        <f>SUMPRODUCT(('ANALYSE - ERP =&gt; SOUS-SEGMENT'!$C$8:$C$154=$C26)*'ANALYSE - ERP =&gt; SOUS-SEGMENT'!$Q$8:$Q$154*'ANALYSE - ERP =&gt; SOUS-SEGMENT'!$BG$8:$BG$154)</f>
        <v>23047.5</v>
      </c>
      <c r="BF26" s="531">
        <f>SUMPRODUCT(('ANALYSE - ERP =&gt; SOUS-SEGMENT'!$C$8:$C$154=$C26)*'ANALYSE - ERP =&gt; SOUS-SEGMENT'!$Q$8:$Q$154*'ANALYSE - ERP =&gt; SOUS-SEGMENT'!$BH$8:$BH$154)</f>
        <v>116160</v>
      </c>
      <c r="BG26" s="531">
        <f>SUMPRODUCT(('ANALYSE - ERP =&gt; SOUS-SEGMENT'!$C$8:$C$154=$C26)*'ANALYSE - ERP =&gt; SOUS-SEGMENT'!$Q$8:$Q$154*'ANALYSE - ERP =&gt; SOUS-SEGMENT'!$BJ$8:$BJ$154)</f>
        <v>142900</v>
      </c>
      <c r="BH26" s="531">
        <f>SUMPRODUCT(('ANALYSE - ERP =&gt; SOUS-SEGMENT'!$C$8:$C$154=$C26)*'ANALYSE - ERP =&gt; SOUS-SEGMENT'!$Q$8:$Q$154*'ANALYSE - ERP =&gt; SOUS-SEGMENT'!$BK$8:$BK$154)</f>
        <v>114320</v>
      </c>
      <c r="BI26" s="531">
        <f>SUMPRODUCT(('ANALYSE - ERP =&gt; SOUS-SEGMENT'!$C$8:$C$154=$C26)*'ANALYSE - ERP =&gt; SOUS-SEGMENT'!$Q$8:$Q$154*'ANALYSE - ERP =&gt; SOUS-SEGMENT'!$BL$8:$BL$154)</f>
        <v>22680</v>
      </c>
      <c r="BJ26" s="531">
        <f>SUMPRODUCT(('ANALYSE - ERP =&gt; SOUS-SEGMENT'!$C$8:$C$154=$C26)*'ANALYSE - ERP =&gt; SOUS-SEGMENT'!$Q$8:$Q$154*'ANALYSE - ERP =&gt; SOUS-SEGMENT'!$BM$8:$BM$154)</f>
        <v>114320</v>
      </c>
      <c r="BK26" s="529"/>
      <c r="BL26" s="602">
        <f>IFERROR(SUMPRODUCT(('ANALYSE - ERP =&gt; SOUS-SEGMENT'!$C$8:$C$154=$C26)*'ANALYSE - ERP =&gt; SOUS-SEGMENT'!$Q$8:$Q$154*'ANALYSE - ERP =&gt; SOUS-SEGMENT'!$BE$8:$BE$154*'ANALYSE - ERP =&gt; SOUS-SEGMENT'!$BO$8:$BO$154)/SUMPRODUCT(('ANALYSE - ERP =&gt; SOUS-SEGMENT'!$C$8:$C$154=$C26)*'ANALYSE - ERP =&gt; SOUS-SEGMENT'!$Q$8:$Q$154*'ANALYSE - ERP =&gt; SOUS-SEGMENT'!$BE$8:$BE$154),"")</f>
        <v>0.21673553719008265</v>
      </c>
      <c r="BM26" s="532">
        <f>IFERROR(SUMPRODUCT(('ANALYSE - ERP =&gt; SOUS-SEGMENT'!$C$8:$C$154=$C26)*'ANALYSE - ERP =&gt; SOUS-SEGMENT'!$Q$8:$Q$154*'ANALYSE - ERP =&gt; SOUS-SEGMENT'!$BE$8:$BE$154*'ANALYSE - ERP =&gt; SOUS-SEGMENT'!$BP$8:$BP$154)/SUMPRODUCT(('ANALYSE - ERP =&gt; SOUS-SEGMENT'!$C$8:$C$154=$C26)*'ANALYSE - ERP =&gt; SOUS-SEGMENT'!$Q$8:$Q$154*'ANALYSE - ERP =&gt; SOUS-SEGMENT'!$BE$8:$BE$154),"")</f>
        <v>0.65582644628099174</v>
      </c>
      <c r="BN26" s="532">
        <f>IFERROR(SUMPRODUCT(('ANALYSE - ERP =&gt; SOUS-SEGMENT'!$C$8:$C$154=$C26)*'ANALYSE - ERP =&gt; SOUS-SEGMENT'!$Q$8:$Q$154*'ANALYSE - ERP =&gt; SOUS-SEGMENT'!$BE$8:$BE$154*'ANALYSE - ERP =&gt; SOUS-SEGMENT'!$BQ$8:$BQ$154)/SUMPRODUCT(('ANALYSE - ERP =&gt; SOUS-SEGMENT'!$C$8:$C$154=$C26)*'ANALYSE - ERP =&gt; SOUS-SEGMENT'!$Q$8:$Q$154*'ANALYSE - ERP =&gt; SOUS-SEGMENT'!$BE$8:$BE$154),"")</f>
        <v>4.7438016528925618E-2</v>
      </c>
      <c r="BO26" s="603">
        <f>IFERROR(SUMPRODUCT(('ANALYSE - ERP =&gt; SOUS-SEGMENT'!$C$8:$C$154=$C26)*'ANALYSE - ERP =&gt; SOUS-SEGMENT'!$Q$8:$Q$154*'ANALYSE - ERP =&gt; SOUS-SEGMENT'!$BE$8:$BE$154*'ANALYSE - ERP =&gt; SOUS-SEGMENT'!$BR$8:$BR$154)/SUMPRODUCT(('ANALYSE - ERP =&gt; SOUS-SEGMENT'!$C$8:$C$154=$C26)*'ANALYSE - ERP =&gt; SOUS-SEGMENT'!$Q$8:$Q$154*'ANALYSE - ERP =&gt; SOUS-SEGMENT'!$BE$8:$BE$154),"")</f>
        <v>0.08</v>
      </c>
      <c r="BP26" s="602">
        <f>IFERROR(SUMPRODUCT(('ANALYSE - ERP =&gt; SOUS-SEGMENT'!$C$8:$C$154=$C26)*'ANALYSE - ERP =&gt; SOUS-SEGMENT'!$Q$8:$Q$154*'ANALYSE - ERP =&gt; SOUS-SEGMENT'!$BJ$8:$BJ$154*'ANALYSE - ERP =&gt; SOUS-SEGMENT'!$BS$8:$BS$154)/SUMPRODUCT(('ANALYSE - ERP =&gt; SOUS-SEGMENT'!$C$8:$C$154=$C26)*'ANALYSE - ERP =&gt; SOUS-SEGMENT'!$Q$8:$Q$154*'ANALYSE - ERP =&gt; SOUS-SEGMENT'!$BJ$8:$BJ$154),"")</f>
        <v>0.19489153254023792</v>
      </c>
      <c r="BQ26" s="532">
        <f>IFERROR(SUMPRODUCT(('ANALYSE - ERP =&gt; SOUS-SEGMENT'!$C$8:$C$154=$C26)*'ANALYSE - ERP =&gt; SOUS-SEGMENT'!$Q$8:$Q$154*'ANALYSE - ERP =&gt; SOUS-SEGMENT'!$BJ$8:$BJ$154*'ANALYSE - ERP =&gt; SOUS-SEGMENT'!$BT$8:$BT$154)/SUMPRODUCT(('ANALYSE - ERP =&gt; SOUS-SEGMENT'!$C$8:$C$154=$C26)*'ANALYSE - ERP =&gt; SOUS-SEGMENT'!$Q$8:$Q$154*'ANALYSE - ERP =&gt; SOUS-SEGMENT'!$BJ$8:$BJ$154),"")</f>
        <v>0.66580125962211334</v>
      </c>
      <c r="BR26" s="532">
        <f>IFERROR(SUMPRODUCT(('ANALYSE - ERP =&gt; SOUS-SEGMENT'!$C$8:$C$154=$C26)*'ANALYSE - ERP =&gt; SOUS-SEGMENT'!$Q$8:$Q$154*'ANALYSE - ERP =&gt; SOUS-SEGMENT'!$BJ$8:$BJ$154*'ANALYSE - ERP =&gt; SOUS-SEGMENT'!$BU$8:$BU$154)/SUMPRODUCT(('ANALYSE - ERP =&gt; SOUS-SEGMENT'!$C$8:$C$154=$C26)*'ANALYSE - ERP =&gt; SOUS-SEGMENT'!$Q$8:$Q$154*'ANALYSE - ERP =&gt; SOUS-SEGMENT'!$BJ$8:$BJ$154),"")</f>
        <v>6.930720783764871E-2</v>
      </c>
      <c r="BS26" s="603">
        <f>IFERROR(SUMPRODUCT(('ANALYSE - ERP =&gt; SOUS-SEGMENT'!$C$8:$C$154=$C26)*'ANALYSE - ERP =&gt; SOUS-SEGMENT'!$Q$8:$Q$154*'ANALYSE - ERP =&gt; SOUS-SEGMENT'!$BJ$8:$BJ$154*'ANALYSE - ERP =&gt; SOUS-SEGMENT'!$BV$8:$BV$154)/SUMPRODUCT(('ANALYSE - ERP =&gt; SOUS-SEGMENT'!$C$8:$C$154=$C26)*'ANALYSE - ERP =&gt; SOUS-SEGMENT'!$Q$8:$Q$154*'ANALYSE - ERP =&gt; SOUS-SEGMENT'!$BJ$8:$BJ$154),"")</f>
        <v>7.0000000000000007E-2</v>
      </c>
      <c r="BT26" s="604">
        <f>IFERROR(SUMPRODUCT(('ANALYSE - ERP =&gt; SOUS-SEGMENT'!$C$8:$C$154=$C26)*'ANALYSE - ERP =&gt; SOUS-SEGMENT'!$Q$8:$Q$154*'ANALYSE - ERP =&gt; SOUS-SEGMENT'!$BF$8:$BF$154*'ANALYSE - ERP =&gt; SOUS-SEGMENT'!$BW$8:$BW$154)/SUMPRODUCT(('ANALYSE - ERP =&gt; SOUS-SEGMENT'!$C$8:$C$154=$C26)*'ANALYSE - ERP =&gt; SOUS-SEGMENT'!$Q$8:$Q$154*'ANALYSE - ERP =&gt; SOUS-SEGMENT'!$BF$8:$BF$154),"")</f>
        <v>0.3778925619834711</v>
      </c>
      <c r="BU26" s="533">
        <f>IFERROR(SUMPRODUCT(('ANALYSE - ERP =&gt; SOUS-SEGMENT'!$C$8:$C$154=$C26)*'ANALYSE - ERP =&gt; SOUS-SEGMENT'!$Q$8:$Q$154*'ANALYSE - ERP =&gt; SOUS-SEGMENT'!$BF$8:$BF$154*'ANALYSE - ERP =&gt; SOUS-SEGMENT'!$BX$8:$BX$154)/SUMPRODUCT(('ANALYSE - ERP =&gt; SOUS-SEGMENT'!$C$8:$C$154=$C26)*'ANALYSE - ERP =&gt; SOUS-SEGMENT'!$Q$8:$Q$154*'ANALYSE - ERP =&gt; SOUS-SEGMENT'!$BF$8:$BF$154),"")</f>
        <v>0.57024793388429751</v>
      </c>
      <c r="BV26" s="605">
        <f>IFERROR(SUMPRODUCT(('ANALYSE - ERP =&gt; SOUS-SEGMENT'!$C$8:$C$154=$C26)*'ANALYSE - ERP =&gt; SOUS-SEGMENT'!$Q$8:$Q$154*'ANALYSE - ERP =&gt; SOUS-SEGMENT'!$BF$8:$BF$154*'ANALYSE - ERP =&gt; SOUS-SEGMENT'!$BY$8:$BY$154)/SUMPRODUCT(('ANALYSE - ERP =&gt; SOUS-SEGMENT'!$C$8:$C$154=$C26)*'ANALYSE - ERP =&gt; SOUS-SEGMENT'!$Q$8:$Q$154*'ANALYSE - ERP =&gt; SOUS-SEGMENT'!$BF$8:$BF$154),"")</f>
        <v>5.1859504132231407E-2</v>
      </c>
      <c r="BW26" s="604">
        <f>IFERROR(SUMPRODUCT(('ANALYSE - ERP =&gt; SOUS-SEGMENT'!$C$8:$C$154=$C26)*'ANALYSE - ERP =&gt; SOUS-SEGMENT'!$Q$8:$Q$154*'ANALYSE - ERP =&gt; SOUS-SEGMENT'!$BK$8:$BK$154*'ANALYSE - ERP =&gt; SOUS-SEGMENT'!$BZ$8:$BZ$154)/SUMPRODUCT(('ANALYSE - ERP =&gt; SOUS-SEGMENT'!$C$8:$C$154=$C26)*'ANALYSE - ERP =&gt; SOUS-SEGMENT'!$Q$8:$Q$154*'ANALYSE - ERP =&gt; SOUS-SEGMENT'!$BK$8:$BK$154),"")</f>
        <v>0.32792162351294613</v>
      </c>
      <c r="BX26" s="533">
        <f>IFERROR(SUMPRODUCT(('ANALYSE - ERP =&gt; SOUS-SEGMENT'!$C$8:$C$154=$C26)*'ANALYSE - ERP =&gt; SOUS-SEGMENT'!$Q$8:$Q$154*'ANALYSE - ERP =&gt; SOUS-SEGMENT'!$BK$8:$BK$154*'ANALYSE - ERP =&gt; SOUS-SEGMENT'!$CA$8:$CA$154)/SUMPRODUCT(('ANALYSE - ERP =&gt; SOUS-SEGMENT'!$C$8:$C$154=$C26)*'ANALYSE - ERP =&gt; SOUS-SEGMENT'!$Q$8:$Q$154*'ANALYSE - ERP =&gt; SOUS-SEGMENT'!$BK$8:$BK$154),"")</f>
        <v>0.60928621413575923</v>
      </c>
      <c r="BY26" s="605">
        <f>IFERROR(SUMPRODUCT(('ANALYSE - ERP =&gt; SOUS-SEGMENT'!$C$8:$C$154=$C26)*'ANALYSE - ERP =&gt; SOUS-SEGMENT'!$Q$8:$Q$154*'ANALYSE - ERP =&gt; SOUS-SEGMENT'!$BK$8:$BK$154*'ANALYSE - ERP =&gt; SOUS-SEGMENT'!$CB$8:$CB$154)/SUMPRODUCT(('ANALYSE - ERP =&gt; SOUS-SEGMENT'!$C$8:$C$154=$C26)*'ANALYSE - ERP =&gt; SOUS-SEGMENT'!$Q$8:$Q$154*'ANALYSE - ERP =&gt; SOUS-SEGMENT'!$BK$8:$BK$154),"")</f>
        <v>6.2792162351294603E-2</v>
      </c>
      <c r="BZ26" s="602">
        <f>IFERROR(SUMPRODUCT(('ANALYSE - ERP =&gt; SOUS-SEGMENT'!$C$8:$C$154=$C26)*'ANALYSE - ERP =&gt; SOUS-SEGMENT'!$Q$8:$Q$154*'ANALYSE - ERP =&gt; SOUS-SEGMENT'!$BG$8:$BG$154*'ANALYSE - ERP =&gt; SOUS-SEGMENT'!$CC$8:$CC$154)/SUMPRODUCT(('ANALYSE - ERP =&gt; SOUS-SEGMENT'!$C$8:$C$154=$C26)*'ANALYSE - ERP =&gt; SOUS-SEGMENT'!$Q$8:$Q$154*'ANALYSE - ERP =&gt; SOUS-SEGMENT'!$BG$8:$BG$154),"")</f>
        <v>0.15</v>
      </c>
      <c r="CA26" s="532">
        <f>IFERROR(SUMPRODUCT(('ANALYSE - ERP =&gt; SOUS-SEGMENT'!$C$8:$C$154=$C26)*'ANALYSE - ERP =&gt; SOUS-SEGMENT'!$Q$8:$Q$154*'ANALYSE - ERP =&gt; SOUS-SEGMENT'!$BG$8:$BG$154*'ANALYSE - ERP =&gt; SOUS-SEGMENT'!$CD$8:$CD$154)/SUMPRODUCT(('ANALYSE - ERP =&gt; SOUS-SEGMENT'!$C$8:$C$154=$C26)*'ANALYSE - ERP =&gt; SOUS-SEGMENT'!$Q$8:$Q$154*'ANALYSE - ERP =&gt; SOUS-SEGMENT'!$BG$8:$BG$154),"")</f>
        <v>0.45</v>
      </c>
      <c r="CB26" s="532">
        <f>IFERROR(SUMPRODUCT(('ANALYSE - ERP =&gt; SOUS-SEGMENT'!$C$8:$C$154=$C26)*'ANALYSE - ERP =&gt; SOUS-SEGMENT'!$Q$8:$Q$154*'ANALYSE - ERP =&gt; SOUS-SEGMENT'!$BG$8:$BG$154*'ANALYSE - ERP =&gt; SOUS-SEGMENT'!$CE$8:$CE$154)/SUMPRODUCT(('ANALYSE - ERP =&gt; SOUS-SEGMENT'!$C$8:$C$154=$C26)*'ANALYSE - ERP =&gt; SOUS-SEGMENT'!$Q$8:$Q$154*'ANALYSE - ERP =&gt; SOUS-SEGMENT'!$BG$8:$BG$154),"")</f>
        <v>0.1</v>
      </c>
      <c r="CC26" s="603">
        <f>IFERROR(SUMPRODUCT(('ANALYSE - ERP =&gt; SOUS-SEGMENT'!$C$8:$C$154=$C26)*'ANALYSE - ERP =&gt; SOUS-SEGMENT'!$Q$8:$Q$154*'ANALYSE - ERP =&gt; SOUS-SEGMENT'!$BG$8:$BG$154*'ANALYSE - ERP =&gt; SOUS-SEGMENT'!$CF$8:$CF$154)/SUMPRODUCT(('ANALYSE - ERP =&gt; SOUS-SEGMENT'!$C$8:$C$154=$C26)*'ANALYSE - ERP =&gt; SOUS-SEGMENT'!$Q$8:$Q$154*'ANALYSE - ERP =&gt; SOUS-SEGMENT'!$BG$8:$BG$154),"")</f>
        <v>0.3</v>
      </c>
      <c r="CD26" s="602">
        <f>IFERROR(SUMPRODUCT(('ANALYSE - ERP =&gt; SOUS-SEGMENT'!$C$8:$C$154=$C26)*'ANALYSE - ERP =&gt; SOUS-SEGMENT'!$Q$8:$Q$154*'ANALYSE - ERP =&gt; SOUS-SEGMENT'!$BL$8:$BL$154*'ANALYSE - ERP =&gt; SOUS-SEGMENT'!$CG$8:$CG$154)/SUMPRODUCT(('ANALYSE - ERP =&gt; SOUS-SEGMENT'!$C$8:$C$154=$C26)*'ANALYSE - ERP =&gt; SOUS-SEGMENT'!$Q$8:$Q$154*'ANALYSE - ERP =&gt; SOUS-SEGMENT'!$BL$8:$BL$154),"")</f>
        <v>0.13</v>
      </c>
      <c r="CE26" s="532">
        <f>IFERROR(SUMPRODUCT(('ANALYSE - ERP =&gt; SOUS-SEGMENT'!$C$8:$C$154=$C26)*'ANALYSE - ERP =&gt; SOUS-SEGMENT'!$Q$8:$Q$154*'ANALYSE - ERP =&gt; SOUS-SEGMENT'!$BL$8:$BL$154*'ANALYSE - ERP =&gt; SOUS-SEGMENT'!$CH$8:$CH$154)/SUMPRODUCT(('ANALYSE - ERP =&gt; SOUS-SEGMENT'!$C$8:$C$154=$C26)*'ANALYSE - ERP =&gt; SOUS-SEGMENT'!$Q$8:$Q$154*'ANALYSE - ERP =&gt; SOUS-SEGMENT'!$BL$8:$BL$154),"")</f>
        <v>0.45</v>
      </c>
      <c r="CF26" s="532">
        <f>IFERROR(SUMPRODUCT(('ANALYSE - ERP =&gt; SOUS-SEGMENT'!$C$8:$C$154=$C26)*'ANALYSE - ERP =&gt; SOUS-SEGMENT'!$Q$8:$Q$154*'ANALYSE - ERP =&gt; SOUS-SEGMENT'!$BL$8:$BL$154*'ANALYSE - ERP =&gt; SOUS-SEGMENT'!$CI$8:$CI$154)/SUMPRODUCT(('ANALYSE - ERP =&gt; SOUS-SEGMENT'!$C$8:$C$154=$C26)*'ANALYSE - ERP =&gt; SOUS-SEGMENT'!$Q$8:$Q$154*'ANALYSE - ERP =&gt; SOUS-SEGMENT'!$BL$8:$BL$154),"")</f>
        <v>0.12</v>
      </c>
      <c r="CG26" s="603">
        <f>IFERROR(SUMPRODUCT(('ANALYSE - ERP =&gt; SOUS-SEGMENT'!$C$8:$C$154=$C26)*'ANALYSE - ERP =&gt; SOUS-SEGMENT'!$Q$8:$Q$154*'ANALYSE - ERP =&gt; SOUS-SEGMENT'!$BL$8:$BL$154*'ANALYSE - ERP =&gt; SOUS-SEGMENT'!$CJ$8:$CJ$154)/SUMPRODUCT(('ANALYSE - ERP =&gt; SOUS-SEGMENT'!$C$8:$C$154=$C26)*'ANALYSE - ERP =&gt; SOUS-SEGMENT'!$Q$8:$Q$154*'ANALYSE - ERP =&gt; SOUS-SEGMENT'!$BL$8:$BL$154),"")</f>
        <v>0.3</v>
      </c>
      <c r="CH26" s="604">
        <f>IFERROR(SUMPRODUCT(('ANALYSE - ERP =&gt; SOUS-SEGMENT'!$C$8:$C$154=$C26)*'ANALYSE - ERP =&gt; SOUS-SEGMENT'!$Q$8:$Q$154*'ANALYSE - ERP =&gt; SOUS-SEGMENT'!$BH$8:$BH$154*'ANALYSE - ERP =&gt; SOUS-SEGMENT'!$CK$8:$CK$154)/SUMPRODUCT(('ANALYSE - ERP =&gt; SOUS-SEGMENT'!$C$8:$C$154=$C26)*'ANALYSE - ERP =&gt; SOUS-SEGMENT'!$Q$8:$Q$154*'ANALYSE - ERP =&gt; SOUS-SEGMENT'!$BH$8:$BH$154),"")</f>
        <v>0.68605371900826451</v>
      </c>
      <c r="CI26" s="533">
        <f>IFERROR(SUMPRODUCT(('ANALYSE - ERP =&gt; SOUS-SEGMENT'!$C$8:$C$154=$C26)*'ANALYSE - ERP =&gt; SOUS-SEGMENT'!$Q$8:$Q$154*'ANALYSE - ERP =&gt; SOUS-SEGMENT'!$BH$8:$BH$154*'ANALYSE - ERP =&gt; SOUS-SEGMENT'!$CL$8:$CL$154)/SUMPRODUCT(('ANALYSE - ERP =&gt; SOUS-SEGMENT'!$C$8:$C$154=$C26)*'ANALYSE - ERP =&gt; SOUS-SEGMENT'!$Q$8:$Q$154*'ANALYSE - ERP =&gt; SOUS-SEGMENT'!$BH$8:$BH$154),"")</f>
        <v>0.21394628099173554</v>
      </c>
      <c r="CJ26" s="605">
        <f>IFERROR(SUMPRODUCT(('ANALYSE - ERP =&gt; SOUS-SEGMENT'!$C$8:$C$154=$C26)*'ANALYSE - ERP =&gt; SOUS-SEGMENT'!$Q$8:$Q$154*'ANALYSE - ERP =&gt; SOUS-SEGMENT'!$BH$8:$BH$154*'ANALYSE - ERP =&gt; SOUS-SEGMENT'!$CM$8:$CM$154)/SUMPRODUCT(('ANALYSE - ERP =&gt; SOUS-SEGMENT'!$C$8:$C$154=$C26)*'ANALYSE - ERP =&gt; SOUS-SEGMENT'!$Q$8:$Q$154*'ANALYSE - ERP =&gt; SOUS-SEGMENT'!$BH$8:$BH$154),"")</f>
        <v>0.1</v>
      </c>
      <c r="CK26" s="604">
        <f>IFERROR(SUMPRODUCT(('ANALYSE - ERP =&gt; SOUS-SEGMENT'!$C$8:$C$154=$C26)*'ANALYSE - ERP =&gt; SOUS-SEGMENT'!$Q$8:$Q$154*'ANALYSE - ERP =&gt; SOUS-SEGMENT'!$BM$8:$BM$154*'ANALYSE - ERP =&gt; SOUS-SEGMENT'!$CN$8:$CN$154)/SUMPRODUCT(('ANALYSE - ERP =&gt; SOUS-SEGMENT'!$C$8:$C$154=$C26)*'ANALYSE - ERP =&gt; SOUS-SEGMENT'!$Q$8:$Q$154*'ANALYSE - ERP =&gt; SOUS-SEGMENT'!$BM$8:$BM$154),"")</f>
        <v>0.6313855843247026</v>
      </c>
      <c r="CL26" s="533">
        <f>IFERROR(SUMPRODUCT(('ANALYSE - ERP =&gt; SOUS-SEGMENT'!$C$8:$C$154=$C26)*'ANALYSE - ERP =&gt; SOUS-SEGMENT'!$Q$8:$Q$154*'ANALYSE - ERP =&gt; SOUS-SEGMENT'!$BM$8:$BM$154*'ANALYSE - ERP =&gt; SOUS-SEGMENT'!$CO$8:$CO$154)/SUMPRODUCT(('ANALYSE - ERP =&gt; SOUS-SEGMENT'!$C$8:$C$154=$C26)*'ANALYSE - ERP =&gt; SOUS-SEGMENT'!$Q$8:$Q$154*'ANALYSE - ERP =&gt; SOUS-SEGMENT'!$BM$8:$BM$154),"")</f>
        <v>0.23675297410776766</v>
      </c>
      <c r="CM26" s="605">
        <f>IFERROR(SUMPRODUCT(('ANALYSE - ERP =&gt; SOUS-SEGMENT'!$C$8:$C$154=$C26)*'ANALYSE - ERP =&gt; SOUS-SEGMENT'!$Q$8:$Q$154*'ANALYSE - ERP =&gt; SOUS-SEGMENT'!$BM$8:$BM$154*'ANALYSE - ERP =&gt; SOUS-SEGMENT'!$CP$8:$CP$154)/SUMPRODUCT(('ANALYSE - ERP =&gt; SOUS-SEGMENT'!$C$8:$C$154=$C26)*'ANALYSE - ERP =&gt; SOUS-SEGMENT'!$Q$8:$Q$154*'ANALYSE - ERP =&gt; SOUS-SEGMENT'!$BM$8:$BM$154),"")</f>
        <v>0.13186144156752974</v>
      </c>
      <c r="CN26" s="529"/>
      <c r="CO26" s="899">
        <f>IFERROR(SUMPRODUCT(('ANALYSE - ERP =&gt; SOUS-SEGMENT'!$C$8:$C$154=$C26)*'ANALYSE - ERP =&gt; SOUS-SEGMENT'!$DH$8:$DH$154*('ANALYSE - ERP =&gt; SOUS-SEGMENT'!$CR$8:$CR$154&gt;0)*'ANALYSE - ERP =&gt; SOUS-SEGMENT'!$CR$8:$CR$154)/SUMPRODUCT(('ANALYSE - ERP =&gt; SOUS-SEGMENT'!$C$8:$C$154=$C26)*'ANALYSE - ERP =&gt; SOUS-SEGMENT'!$DH$8:$DH$154*('ANALYSE - ERP =&gt; SOUS-SEGMENT'!$CR$8:$CR$154&gt;0)),"")</f>
        <v>12</v>
      </c>
      <c r="CP26" s="900">
        <f>IFERROR(SUMPRODUCT(('ANALYSE - ERP =&gt; SOUS-SEGMENT'!$C$8:$C$154=$C26)*'ANALYSE - ERP =&gt; SOUS-SEGMENT'!$DI$8:$DI$154*('ANALYSE - ERP =&gt; SOUS-SEGMENT'!$CS$8:$CS$154&gt;0)*'ANALYSE - ERP =&gt; SOUS-SEGMENT'!$CS$8:$CS$154)/SUMPRODUCT(('ANALYSE - ERP =&gt; SOUS-SEGMENT'!$C$8:$C$154=$C26)*'ANALYSE - ERP =&gt; SOUS-SEGMENT'!$DI$8:$DI$154*('ANALYSE - ERP =&gt; SOUS-SEGMENT'!$CS$8:$CS$154&gt;0)),"")</f>
        <v>12.059542561905362</v>
      </c>
      <c r="CQ26" s="900">
        <f>IFERROR(SUMPRODUCT(('ANALYSE - ERP =&gt; SOUS-SEGMENT'!$C$8:$C$154=$C26)*'ANALYSE - ERP =&gt; SOUS-SEGMENT'!$DJ$8:$DJ$154*('ANALYSE - ERP =&gt; SOUS-SEGMENT'!$CT$8:$CT$154&gt;0)*'ANALYSE - ERP =&gt; SOUS-SEGMENT'!$CT$8:$CT$154)/SUMPRODUCT(('ANALYSE - ERP =&gt; SOUS-SEGMENT'!$C$8:$C$154=$C26)*'ANALYSE - ERP =&gt; SOUS-SEGMENT'!$DJ$8:$DJ$154*('ANALYSE - ERP =&gt; SOUS-SEGMENT'!$CT$8:$CT$154&gt;0)),"")</f>
        <v>9</v>
      </c>
      <c r="CR26" s="901">
        <f>IFERROR(SUMPRODUCT(('ANALYSE - ERP =&gt; SOUS-SEGMENT'!$C$8:$C$154=$C26)*'ANALYSE - ERP =&gt; SOUS-SEGMENT'!$DK$8:$DK$154*('ANALYSE - ERP =&gt; SOUS-SEGMENT'!$CU$8:$CU$154&gt;0)*'ANALYSE - ERP =&gt; SOUS-SEGMENT'!$CU$8:$CU$154)/SUMPRODUCT(('ANALYSE - ERP =&gt; SOUS-SEGMENT'!$C$8:$C$154=$C26)*'ANALYSE - ERP =&gt; SOUS-SEGMENT'!$DK$8:$DK$154*('ANALYSE - ERP =&gt; SOUS-SEGMENT'!$CU$8:$CU$154&gt;0)),"")</f>
        <v>11</v>
      </c>
      <c r="CS26" s="899">
        <f>IFERROR(SUMPRODUCT(('ANALYSE - ERP =&gt; SOUS-SEGMENT'!$C$8:$C$154=$C26)*'ANALYSE - ERP =&gt; SOUS-SEGMENT'!$DS$8:$DS$154*('ANALYSE - ERP =&gt; SOUS-SEGMENT'!$CV$8:$CV$154&gt;0)*'ANALYSE - ERP =&gt; SOUS-SEGMENT'!$CV$8:$CV$154)/SUMPRODUCT(('ANALYSE - ERP =&gt; SOUS-SEGMENT'!$C$8:$C$154=$C26)*'ANALYSE - ERP =&gt; SOUS-SEGMENT'!$DS$8:$DS$154*('ANALYSE - ERP =&gt; SOUS-SEGMENT'!$CV$8:$CV$154&gt;0)),"")</f>
        <v>10.159923455440131</v>
      </c>
      <c r="CT26" s="900">
        <f>IFERROR(SUMPRODUCT(('ANALYSE - ERP =&gt; SOUS-SEGMENT'!$C$8:$C$154=$C26)*'ANALYSE - ERP =&gt; SOUS-SEGMENT'!$DT$8:$DT$154*('ANALYSE - ERP =&gt; SOUS-SEGMENT'!$CW$8:$CW$154&gt;0)*'ANALYSE - ERP =&gt; SOUS-SEGMENT'!$CW$8:$CW$154)/SUMPRODUCT(('ANALYSE - ERP =&gt; SOUS-SEGMENT'!$C$8:$C$154=$C26)*'ANALYSE - ERP =&gt; SOUS-SEGMENT'!$DT$8:$DT$154*('ANALYSE - ERP =&gt; SOUS-SEGMENT'!$CW$8:$CW$154&gt;0)),"")</f>
        <v>10</v>
      </c>
      <c r="CU26" s="901">
        <f>IFERROR(SUMPRODUCT(('ANALYSE - ERP =&gt; SOUS-SEGMENT'!$C$8:$C$154=$C26)*'ANALYSE - ERP =&gt; SOUS-SEGMENT'!$DU$8:$DU$154*('ANALYSE - ERP =&gt; SOUS-SEGMENT'!$CX$8:$CX$154&gt;0)*'ANALYSE - ERP =&gt; SOUS-SEGMENT'!$CX$8:$CX$154)/SUMPRODUCT(('ANALYSE - ERP =&gt; SOUS-SEGMENT'!$C$8:$C$154=$C26)*'ANALYSE - ERP =&gt; SOUS-SEGMENT'!$DU$8:$DU$154*('ANALYSE - ERP =&gt; SOUS-SEGMENT'!$CX$8:$CX$154&gt;0)),"")</f>
        <v>8</v>
      </c>
      <c r="CV26" s="899">
        <f>IFERROR(SUMPRODUCT(('ANALYSE - ERP =&gt; SOUS-SEGMENT'!$C$8:$C$154=$C26)*'ANALYSE - ERP =&gt; SOUS-SEGMENT'!$EB$8:$EB$154*('ANALYSE - ERP =&gt; SOUS-SEGMENT'!$CY$8:$CY$154&gt;0)*'ANALYSE - ERP =&gt; SOUS-SEGMENT'!$CY$8:$CY$154)/SUMPRODUCT(('ANALYSE - ERP =&gt; SOUS-SEGMENT'!$C$8:$C$154=$C26)*'ANALYSE - ERP =&gt; SOUS-SEGMENT'!$EB$8:$EB$154*('ANALYSE - ERP =&gt; SOUS-SEGMENT'!$CY$8:$CY$154&gt;0)),"")</f>
        <v>10</v>
      </c>
      <c r="CW26" s="900">
        <f>IFERROR(SUMPRODUCT(('ANALYSE - ERP =&gt; SOUS-SEGMENT'!$C$8:$C$154=$C26)*'ANALYSE - ERP =&gt; SOUS-SEGMENT'!$EC$8:$EC$154*('ANALYSE - ERP =&gt; SOUS-SEGMENT'!$CZ$8:$CZ$154&gt;0)*'ANALYSE - ERP =&gt; SOUS-SEGMENT'!$CZ$8:$CZ$154)/SUMPRODUCT(('ANALYSE - ERP =&gt; SOUS-SEGMENT'!$C$8:$C$154=$C26)*'ANALYSE - ERP =&gt; SOUS-SEGMENT'!$EC$8:$EC$154*('ANALYSE - ERP =&gt; SOUS-SEGMENT'!$CZ$8:$CZ$154&gt;0)),"")</f>
        <v>11</v>
      </c>
      <c r="CX26" s="900">
        <f>IFERROR(SUMPRODUCT(('ANALYSE - ERP =&gt; SOUS-SEGMENT'!$C$8:$C$154=$C26)*'ANALYSE - ERP =&gt; SOUS-SEGMENT'!$ED$8:$ED$154*('ANALYSE - ERP =&gt; SOUS-SEGMENT'!$DA$8:$DA$154&gt;0)*'ANALYSE - ERP =&gt; SOUS-SEGMENT'!$DA$8:$DA$154)/SUMPRODUCT(('ANALYSE - ERP =&gt; SOUS-SEGMENT'!$C$8:$C$154=$C26)*'ANALYSE - ERP =&gt; SOUS-SEGMENT'!$ED$8:$ED$154*('ANALYSE - ERP =&gt; SOUS-SEGMENT'!$DA$8:$DA$154&gt;0)),"")</f>
        <v>8</v>
      </c>
      <c r="CY26" s="902">
        <f>IFERROR(SUMPRODUCT(('ANALYSE - ERP =&gt; SOUS-SEGMENT'!$C$8:$C$154=$C26)*'ANALYSE - ERP =&gt; SOUS-SEGMENT'!$EE$8:$EE$154*('ANALYSE - ERP =&gt; SOUS-SEGMENT'!$DB$8:$DB$154&gt;0)*'ANALYSE - ERP =&gt; SOUS-SEGMENT'!$DB$8:$DB$154)/SUMPRODUCT(('ANALYSE - ERP =&gt; SOUS-SEGMENT'!$C$8:$C$154=$C26)*'ANALYSE - ERP =&gt; SOUS-SEGMENT'!$EE$8:$EE$154*('ANALYSE - ERP =&gt; SOUS-SEGMENT'!$DB$8:$DB$154&gt;0)),"")</f>
        <v>9</v>
      </c>
      <c r="CZ26" s="903">
        <f>IFERROR(SUMPRODUCT(('ANALYSE - ERP =&gt; SOUS-SEGMENT'!$C$8:$C$154=$C26)*'ANALYSE - ERP =&gt; SOUS-SEGMENT'!$EM$8:$EM$154*('ANALYSE - ERP =&gt; SOUS-SEGMENT'!$DC$8:$DC$154&gt;0)*'ANALYSE - ERP =&gt; SOUS-SEGMENT'!$DC$8:$DC$154)/SUMPRODUCT(('ANALYSE - ERP =&gt; SOUS-SEGMENT'!$C$8:$C$154=$C26)*'ANALYSE - ERP =&gt; SOUS-SEGMENT'!$EM$8:$EM$154*('ANALYSE - ERP =&gt; SOUS-SEGMENT'!$DC$8:$DC$154&gt;0)),"")</f>
        <v>11.149073934648396</v>
      </c>
      <c r="DA26" s="900">
        <f>IFERROR(SUMPRODUCT(('ANALYSE - ERP =&gt; SOUS-SEGMENT'!$C$8:$C$154=$C26)*'ANALYSE - ERP =&gt; SOUS-SEGMENT'!$EN$8:$EN$154*('ANALYSE - ERP =&gt; SOUS-SEGMENT'!$DD$8:$DD$154&gt;0)*'ANALYSE - ERP =&gt; SOUS-SEGMENT'!$DD$8:$DD$154)/SUMPRODUCT(('ANALYSE - ERP =&gt; SOUS-SEGMENT'!$C$8:$C$154=$C26)*'ANALYSE - ERP =&gt; SOUS-SEGMENT'!$EN$8:$EN$154*('ANALYSE - ERP =&gt; SOUS-SEGMENT'!$DD$8:$DD$154&gt;0)),"")</f>
        <v>11.30420086914534</v>
      </c>
      <c r="DB26" s="902">
        <f>IFERROR(SUMPRODUCT(('ANALYSE - ERP =&gt; SOUS-SEGMENT'!$C$8:$C$154=$C26)*'ANALYSE - ERP =&gt; SOUS-SEGMENT'!$EO$8:$EO$154*('ANALYSE - ERP =&gt; SOUS-SEGMENT'!$DE$8:$DE$154&gt;0)*'ANALYSE - ERP =&gt; SOUS-SEGMENT'!$DE$8:$DE$154)/SUMPRODUCT(('ANALYSE - ERP =&gt; SOUS-SEGMENT'!$C$8:$C$154=$C26)*'ANALYSE - ERP =&gt; SOUS-SEGMENT'!$EO$8:$EO$154*('ANALYSE - ERP =&gt; SOUS-SEGMENT'!$DE$8:$DE$154&gt;0)),"")</f>
        <v>9</v>
      </c>
      <c r="DC26" s="612" t="s">
        <v>7175</v>
      </c>
      <c r="DD26" s="529"/>
      <c r="DE26" s="535">
        <f t="shared" si="2"/>
        <v>31470</v>
      </c>
      <c r="DF26" s="535">
        <f t="shared" si="3"/>
        <v>95226</v>
      </c>
      <c r="DG26" s="535">
        <f t="shared" si="4"/>
        <v>6888</v>
      </c>
      <c r="DH26" s="535">
        <f t="shared" si="5"/>
        <v>11616</v>
      </c>
      <c r="DI26" s="534" t="s">
        <v>7176</v>
      </c>
      <c r="DJ26" s="535">
        <f t="shared" si="6"/>
        <v>27850</v>
      </c>
      <c r="DK26" s="535">
        <f t="shared" si="7"/>
        <v>95143</v>
      </c>
      <c r="DL26" s="535">
        <f t="shared" si="8"/>
        <v>9904</v>
      </c>
      <c r="DM26" s="535">
        <f t="shared" si="9"/>
        <v>10003.000000000002</v>
      </c>
      <c r="DN26" s="534" t="s">
        <v>7177</v>
      </c>
      <c r="DO26" s="529"/>
      <c r="DP26" s="535">
        <f t="shared" si="10"/>
        <v>43896</v>
      </c>
      <c r="DQ26" s="535">
        <f t="shared" si="11"/>
        <v>66240</v>
      </c>
      <c r="DR26" s="535">
        <f t="shared" si="12"/>
        <v>6024</v>
      </c>
      <c r="DS26" s="534" t="s">
        <v>7178</v>
      </c>
      <c r="DT26" s="535">
        <f t="shared" si="13"/>
        <v>37488</v>
      </c>
      <c r="DU26" s="535">
        <f t="shared" si="14"/>
        <v>69653.599999999991</v>
      </c>
      <c r="DV26" s="535">
        <f t="shared" si="15"/>
        <v>7178.3999999999987</v>
      </c>
      <c r="DW26" s="534" t="s">
        <v>7179</v>
      </c>
      <c r="DX26" s="529"/>
      <c r="DY26" s="535">
        <f t="shared" si="16"/>
        <v>3457.125</v>
      </c>
      <c r="DZ26" s="535">
        <f t="shared" si="17"/>
        <v>10371.375</v>
      </c>
      <c r="EA26" s="535">
        <f t="shared" si="18"/>
        <v>2304.75</v>
      </c>
      <c r="EB26" s="535">
        <f t="shared" si="19"/>
        <v>6914.25</v>
      </c>
      <c r="EC26" s="534" t="s">
        <v>7180</v>
      </c>
      <c r="ED26" s="535">
        <f t="shared" si="20"/>
        <v>2948.4</v>
      </c>
      <c r="EE26" s="535">
        <f t="shared" si="21"/>
        <v>10206</v>
      </c>
      <c r="EF26" s="535">
        <f t="shared" si="22"/>
        <v>2721.6</v>
      </c>
      <c r="EG26" s="535">
        <f t="shared" si="23"/>
        <v>6804</v>
      </c>
      <c r="EH26" s="615" t="s">
        <v>7181</v>
      </c>
      <c r="EI26" s="537"/>
      <c r="EJ26" s="535">
        <f t="shared" si="24"/>
        <v>79692</v>
      </c>
      <c r="EK26" s="538">
        <f t="shared" si="25"/>
        <v>24852</v>
      </c>
      <c r="EL26" s="538">
        <f t="shared" si="26"/>
        <v>11616</v>
      </c>
      <c r="EM26" s="534" t="s">
        <v>7182</v>
      </c>
      <c r="EN26" s="535">
        <f t="shared" si="27"/>
        <v>72180</v>
      </c>
      <c r="EO26" s="538">
        <f t="shared" si="28"/>
        <v>27065.599999999999</v>
      </c>
      <c r="EP26" s="538">
        <f t="shared" si="29"/>
        <v>15074.4</v>
      </c>
      <c r="EQ26" s="536" t="s">
        <v>7183</v>
      </c>
      <c r="ER26" s="529"/>
      <c r="ES26" s="776">
        <f t="shared" si="30"/>
        <v>0.74415662952812256</v>
      </c>
      <c r="ET26" s="776">
        <f t="shared" si="31"/>
        <v>0.18741072244956622</v>
      </c>
      <c r="EU26" s="539">
        <f t="shared" si="32"/>
        <v>175768.76171685098</v>
      </c>
      <c r="EV26" s="539">
        <f t="shared" si="33"/>
        <v>152650.83994185098</v>
      </c>
      <c r="EW26" s="539">
        <f t="shared" si="34"/>
        <v>23117.921774999999</v>
      </c>
      <c r="EX26" s="539">
        <f t="shared" si="35"/>
        <v>60132.687082976699</v>
      </c>
      <c r="EY26" s="539">
        <f>SUMPRODUCT(('ANALYSE - ERP =&gt; SOUS-SEGMENT'!$C$8:$C$154=$C26)*'ANALYSE - ERP =&gt; SOUS-SEGMENT'!$Q$8:$Q$154*'ANALYSE - ERP =&gt; SOUS-SEGMENT'!$FB$8:$FB$154)</f>
        <v>51749.376082976698</v>
      </c>
      <c r="EZ26" s="539">
        <f>SUMPRODUCT(('ANALYSE - ERP =&gt; SOUS-SEGMENT'!$C$8:$C$154=$C26)*'ANALYSE - ERP =&gt; SOUS-SEGMENT'!$Q$8:$Q$154*'ANALYSE - ERP =&gt; SOUS-SEGMENT'!$FC$8:$FC$154)</f>
        <v>8383.3109999999997</v>
      </c>
      <c r="FA26" s="539">
        <f t="shared" si="36"/>
        <v>54176.684560272726</v>
      </c>
      <c r="FB26" s="539">
        <f>SUMPRODUCT(('ANALYSE - ERP =&gt; SOUS-SEGMENT'!$C$8:$C$154=$C26)*'ANALYSE - ERP =&gt; SOUS-SEGMENT'!$Q$8:$Q$154*'ANALYSE - ERP =&gt; SOUS-SEGMENT'!$FE$8:$FE$154)</f>
        <v>47470.035760272724</v>
      </c>
      <c r="FC26" s="539">
        <f>SUMPRODUCT(('ANALYSE - ERP =&gt; SOUS-SEGMENT'!$C$8:$C$154=$C26)*'ANALYSE - ERP =&gt; SOUS-SEGMENT'!$Q$8:$Q$154*'ANALYSE - ERP =&gt; SOUS-SEGMENT'!$FF$8:$FF$154)</f>
        <v>6706.6487999999999</v>
      </c>
      <c r="FD26" s="539">
        <f t="shared" si="37"/>
        <v>10856.921145676135</v>
      </c>
      <c r="FE26" s="539">
        <f>SUMPRODUCT(('ANALYSE - ERP =&gt; SOUS-SEGMENT'!$C$8:$C$154=$C26)*'ANALYSE - ERP =&gt; SOUS-SEGMENT'!$Q$8:$Q$154*'ANALYSE - ERP =&gt; SOUS-SEGMENT'!$FH$8:$FH$154)</f>
        <v>9535.6079706761357</v>
      </c>
      <c r="FF26" s="539">
        <f>SUMPRODUCT(('ANALYSE - ERP =&gt; SOUS-SEGMENT'!$C$8:$C$154=$C26)*'ANALYSE - ERP =&gt; SOUS-SEGMENT'!$Q$8:$Q$154*'ANALYSE - ERP =&gt; SOUS-SEGMENT'!$FI$8:$FI$154)</f>
        <v>1321.313175</v>
      </c>
      <c r="FG26" s="539">
        <f t="shared" si="38"/>
        <v>50602.468927925409</v>
      </c>
      <c r="FH26" s="539">
        <f>SUMPRODUCT(('ANALYSE - ERP =&gt; SOUS-SEGMENT'!$C$8:$C$154=$C26)*'ANALYSE - ERP =&gt; SOUS-SEGMENT'!$Q$8:$Q$154*'ANALYSE - ERP =&gt; SOUS-SEGMENT'!$FK$8:$FK$154)</f>
        <v>43895.820127925406</v>
      </c>
      <c r="FI26" s="539">
        <f>SUMPRODUCT(('ANALYSE - ERP =&gt; SOUS-SEGMENT'!$C$8:$C$154=$C26)*'ANALYSE - ERP =&gt; SOUS-SEGMENT'!$Q$8:$Q$154*'ANALYSE - ERP =&gt; SOUS-SEGMENT'!$FL$8:$FL$154)</f>
        <v>6706.6487999999999</v>
      </c>
      <c r="FJ26" s="529"/>
      <c r="FK26" s="540" t="s">
        <v>2649</v>
      </c>
      <c r="FL26" s="776">
        <f>IFERROR(SUMPRODUCT(('ANALYSE - ERP =&gt; SOUS-SEGMENT'!$C$8:$C$154=$C26)*'ANALYSE - ERP =&gt; SOUS-SEGMENT'!$Q$8:$Q$154*'ANALYSE - ERP =&gt; SOUS-SEGMENT'!$AF$8:$AF$154*'ANALYSE - ERP =&gt; SOUS-SEGMENT'!$FO$8:$FO$154)/SUMPRODUCT(('ANALYSE - ERP =&gt; SOUS-SEGMENT'!$C$8:$C$154=$C26)*'ANALYSE - ERP =&gt; SOUS-SEGMENT'!$Q$8:$Q$154*'ANALYSE - ERP =&gt; SOUS-SEGMENT'!$AF$8:$AF$154),"")</f>
        <v>5.8073478260869567E-2</v>
      </c>
      <c r="FM26" s="777">
        <f>IFERROR(SUMPRODUCT(('ANALYSE - ERP =&gt; SOUS-SEGMENT'!$C$8:$C$154=$C26)*'ANALYSE - ERP =&gt; SOUS-SEGMENT'!$Q$8:$Q$154*'ANALYSE - ERP =&gt; SOUS-SEGMENT'!$AF$8:$AF$154*'ANALYSE - ERP =&gt; SOUS-SEGMENT'!$FP$8:$FP$154)/SUMPRODUCT(('ANALYSE - ERP =&gt; SOUS-SEGMENT'!$C$8:$C$154=$C26)*'ANALYSE - ERP =&gt; SOUS-SEGMENT'!$Q$8:$Q$154*'ANALYSE - ERP =&gt; SOUS-SEGMENT'!$AF$8:$AF$154),"")</f>
        <v>0.80055911153119086</v>
      </c>
      <c r="FN26" s="541" t="s">
        <v>4265</v>
      </c>
      <c r="FO26" s="529"/>
      <c r="FP26" s="904">
        <f>IFERROR(SUMPRODUCT(('ANALYSE - ERP =&gt; SOUS-SEGMENT'!$C$8:$C$154=$C26)*'ANALYSE - ERP =&gt; SOUS-SEGMENT'!$Q$8:$Q$154*'ANALYSE - ERP =&gt; SOUS-SEGMENT'!$EX$8:$EX$154*'ANALYSE - ERP =&gt; SOUS-SEGMENT'!$FS$8:$FS$154)/SUMPRODUCT(('ANALYSE - ERP =&gt; SOUS-SEGMENT'!$C$8:$C$154=$C26)*'ANALYSE - ERP =&gt; SOUS-SEGMENT'!$Q$8:$Q$154*'ANALYSE - ERP =&gt; SOUS-SEGMENT'!$EX$8:$EX$154),"")</f>
        <v>3.4380311928969904</v>
      </c>
      <c r="FQ26" s="542">
        <f>RANK($FP26,$FP$8:$FP$143,0)+COUNTIF($FP$8:$FP26,$FP26)-1</f>
        <v>14</v>
      </c>
      <c r="FR26" s="904">
        <f>IFERROR(SUMPRODUCT(('ANALYSE - ERP =&gt; SOUS-SEGMENT'!$C$8:$C$154=$C26)*'ANALYSE - ERP =&gt; SOUS-SEGMENT'!$Q$8:$Q$154*'ANALYSE - ERP =&gt; SOUS-SEGMENT'!$EY$8:$EY$154*'ANALYSE - ERP =&gt; SOUS-SEGMENT'!$FU$8:$FU$154)/SUMPRODUCT(('ANALYSE - ERP =&gt; SOUS-SEGMENT'!$C$8:$C$154=$C26)*'ANALYSE - ERP =&gt; SOUS-SEGMENT'!$Q$8:$Q$154*'ANALYSE - ERP =&gt; SOUS-SEGMENT'!$EY$8:$EY$154),"")</f>
        <v>4.1703767313032651</v>
      </c>
      <c r="FS26" s="542">
        <f>RANK($FR26,$FR$8:$FR$143,0)+COUNTIF($FR$8:$FR26,$FR26)-1</f>
        <v>12</v>
      </c>
      <c r="FT26" s="904">
        <f>IFERROR(SUMPRODUCT(('ANALYSE - ERP =&gt; SOUS-SEGMENT'!$C$8:$C$154=$C26)*'ANALYSE - ERP =&gt; SOUS-SEGMENT'!$Q$8:$Q$154*'ANALYSE - ERP =&gt; SOUS-SEGMENT'!$EZ$8:$EZ$154*'ANALYSE - ERP =&gt; SOUS-SEGMENT'!$FW$8:$FW$154)/SUMPRODUCT(('ANALYSE - ERP =&gt; SOUS-SEGMENT'!$C$8:$C$154=$C26)*'ANALYSE - ERP =&gt; SOUS-SEGMENT'!$Q$8:$Q$154*'ANALYSE - ERP =&gt; SOUS-SEGMENT'!$EZ$8:$EZ$154),"")</f>
        <v>2.5184311341606311</v>
      </c>
      <c r="FU26" s="542">
        <f>RANK($FT26,$FT$8:$FT$143,0)+COUNTIF($FT$8:$FT26,$FT26)-1</f>
        <v>10</v>
      </c>
      <c r="FV26" s="529"/>
      <c r="FW26" s="543" t="s">
        <v>7184</v>
      </c>
      <c r="FX26" s="543" t="s">
        <v>7185</v>
      </c>
      <c r="FY26" s="543" t="s">
        <v>7186</v>
      </c>
      <c r="FZ26" s="543" t="s">
        <v>7187</v>
      </c>
      <c r="GA26" s="543" t="s">
        <v>7188</v>
      </c>
      <c r="GB26" s="543" t="s">
        <v>7189</v>
      </c>
      <c r="GC26" s="543" t="s">
        <v>6759</v>
      </c>
      <c r="GD26" s="529"/>
      <c r="GE26" s="539">
        <f>SUMPRODUCT(('ANALYSE - ERP =&gt; SOUS-SEGMENT'!$C$8:$C$154=$C26)*'ANALYSE - ERP =&gt; SOUS-SEGMENT'!$Q$8:$Q$154*'ANALYSE - ERP =&gt; SOUS-SEGMENT'!$GH$8:$GH$154)</f>
        <v>12595.042824999999</v>
      </c>
      <c r="GF26" s="539">
        <f>SUMPRODUCT(('ANALYSE - ERP =&gt; SOUS-SEGMENT'!$C$8:$C$154=$C26)*'ANALYSE - ERP =&gt; SOUS-SEGMENT'!$Q$8:$Q$154*'ANALYSE - ERP =&gt; SOUS-SEGMENT'!$GI$8:$GI$154)</f>
        <v>10952.774845</v>
      </c>
      <c r="GG26" s="539">
        <f>SUMPRODUCT(('ANALYSE - ERP =&gt; SOUS-SEGMENT'!$C$8:$C$154=$C26)*'ANALYSE - ERP =&gt; SOUS-SEGMENT'!$Q$8:$Q$154*'ANALYSE - ERP =&gt; SOUS-SEGMENT'!$GJ$8:$GJ$154)</f>
        <v>1642.2679799999999</v>
      </c>
      <c r="GH26" s="539">
        <f>SUMPRODUCT(('ANALYSE - ERP =&gt; SOUS-SEGMENT'!$C$8:$C$154=$C26)*'ANALYSE - ERP =&gt; SOUS-SEGMENT'!$Q$8:$Q$154*'ANALYSE - ERP =&gt; SOUS-SEGMENT'!$GK$8:$GK$154)</f>
        <v>38940.566143128206</v>
      </c>
      <c r="GI26" s="539">
        <f>SUMPRODUCT(('ANALYSE - ERP =&gt; SOUS-SEGMENT'!$C$8:$C$154=$C26)*'ANALYSE - ERP =&gt; SOUS-SEGMENT'!$Q$8:$Q$154*'ANALYSE - ERP =&gt; SOUS-SEGMENT'!$GL$8:$GL$154)</f>
        <v>33372.648553128209</v>
      </c>
      <c r="GJ26" s="539">
        <f>SUMPRODUCT(('ANALYSE - ERP =&gt; SOUS-SEGMENT'!$C$8:$C$154=$C26)*'ANALYSE - ERP =&gt; SOUS-SEGMENT'!$Q$8:$Q$154*'ANALYSE - ERP =&gt; SOUS-SEGMENT'!$GM$8:$GM$154)</f>
        <v>5567.9175899999991</v>
      </c>
      <c r="GK26" s="539">
        <f>SUMPRODUCT(('ANALYSE - ERP =&gt; SOUS-SEGMENT'!$C$8:$C$154=$C26)*'ANALYSE - ERP =&gt; SOUS-SEGMENT'!$Q$8:$Q$154*'ANALYSE - ERP =&gt; SOUS-SEGMENT'!$GN$8:$GN$154)</f>
        <v>3625.2987666666663</v>
      </c>
      <c r="GL26" s="539">
        <f>SUMPRODUCT(('ANALYSE - ERP =&gt; SOUS-SEGMENT'!$C$8:$C$154=$C26)*'ANALYSE - ERP =&gt; SOUS-SEGMENT'!$Q$8:$Q$154*'ANALYSE - ERP =&gt; SOUS-SEGMENT'!$GO$8:$GO$154)</f>
        <v>3039.0051066666665</v>
      </c>
      <c r="GM26" s="539">
        <f>SUMPRODUCT(('ANALYSE - ERP =&gt; SOUS-SEGMENT'!$C$8:$C$154=$C26)*'ANALYSE - ERP =&gt; SOUS-SEGMENT'!$Q$8:$Q$154*'ANALYSE - ERP =&gt; SOUS-SEGMENT'!$GP$8:$GP$154)</f>
        <v>586.29366000000005</v>
      </c>
      <c r="GN26" s="539">
        <f>SUMPRODUCT(('ANALYSE - ERP =&gt; SOUS-SEGMENT'!$C$8:$C$154=$C26)*'ANALYSE - ERP =&gt; SOUS-SEGMENT'!$Q$8:$Q$154*'ANALYSE - ERP =&gt; SOUS-SEGMENT'!$GQ$8:$GQ$154)</f>
        <v>4971.7793481818189</v>
      </c>
      <c r="GO26" s="539">
        <f>SUMPRODUCT(('ANALYSE - ERP =&gt; SOUS-SEGMENT'!$C$8:$C$154=$C26)*'ANALYSE - ERP =&gt; SOUS-SEGMENT'!$Q$8:$Q$154*'ANALYSE - ERP =&gt; SOUS-SEGMENT'!$GR$8:$GR$154)</f>
        <v>4384.9475781818182</v>
      </c>
      <c r="GP26" s="539">
        <f>SUMPRODUCT(('ANALYSE - ERP =&gt; SOUS-SEGMENT'!$C$8:$C$154=$C26)*'ANALYSE - ERP =&gt; SOUS-SEGMENT'!$Q$8:$Q$154*'ANALYSE - ERP =&gt; SOUS-SEGMENT'!$GS$8:$GS$154)</f>
        <v>586.83177000000012</v>
      </c>
      <c r="GQ26" s="539">
        <f>SUMPRODUCT(('ANALYSE - ERP =&gt; SOUS-SEGMENT'!$C$8:$C$154=$C26)*'ANALYSE - ERP =&gt; SOUS-SEGMENT'!$Q$8:$Q$154*'ANALYSE - ERP =&gt; SOUS-SEGMENT'!$GT$8:$GT$154)</f>
        <v>19735.781167272726</v>
      </c>
      <c r="GR26" s="539">
        <f>SUMPRODUCT(('ANALYSE - ERP =&gt; SOUS-SEGMENT'!$C$8:$C$154=$C26)*'ANALYSE - ERP =&gt; SOUS-SEGMENT'!$Q$8:$Q$154*'ANALYSE - ERP =&gt; SOUS-SEGMENT'!$GU$8:$GU$154)</f>
        <v>17523.878527272725</v>
      </c>
      <c r="GS26" s="539">
        <f>SUMPRODUCT(('ANALYSE - ERP =&gt; SOUS-SEGMENT'!$C$8:$C$154=$C26)*'ANALYSE - ERP =&gt; SOUS-SEGMENT'!$Q$8:$Q$154*'ANALYSE - ERP =&gt; SOUS-SEGMENT'!$GV$8:$GV$154)</f>
        <v>2211.9026399999998</v>
      </c>
      <c r="GT26" s="539">
        <f>SUMPRODUCT(('ANALYSE - ERP =&gt; SOUS-SEGMENT'!$C$8:$C$154=$C26)*'ANALYSE - ERP =&gt; SOUS-SEGMENT'!$Q$8:$Q$154*'ANALYSE - ERP =&gt; SOUS-SEGMENT'!$GW$8:$GW$154)</f>
        <v>31061.516607999998</v>
      </c>
      <c r="GU26" s="539">
        <f>SUMPRODUCT(('ANALYSE - ERP =&gt; SOUS-SEGMENT'!$C$8:$C$154=$C26)*'ANALYSE - ERP =&gt; SOUS-SEGMENT'!$Q$8:$Q$154*'ANALYSE - ERP =&gt; SOUS-SEGMENT'!$GX$8:$GX$154)</f>
        <v>26989.160175999998</v>
      </c>
      <c r="GV26" s="539">
        <f>SUMPRODUCT(('ANALYSE - ERP =&gt; SOUS-SEGMENT'!$C$8:$C$154=$C26)*'ANALYSE - ERP =&gt; SOUS-SEGMENT'!$Q$8:$Q$154*'ANALYSE - ERP =&gt; SOUS-SEGMENT'!$GY$8:$GY$154)</f>
        <v>4072.3564320000005</v>
      </c>
      <c r="GW26" s="539">
        <f>SUMPRODUCT(('ANALYSE - ERP =&gt; SOUS-SEGMENT'!$C$8:$C$154=$C26)*'ANALYSE - ERP =&gt; SOUS-SEGMENT'!$Q$8:$Q$154*'ANALYSE - ERP =&gt; SOUS-SEGMENT'!$GZ$8:$GZ$154)</f>
        <v>3379.3867850000001</v>
      </c>
      <c r="GX26" s="539">
        <f>SUMPRODUCT(('ANALYSE - ERP =&gt; SOUS-SEGMENT'!$C$8:$C$154=$C26)*'ANALYSE - ERP =&gt; SOUS-SEGMENT'!$Q$8:$Q$154*'ANALYSE - ERP =&gt; SOUS-SEGMENT'!$HA$8:$HA$154)</f>
        <v>2956.997057</v>
      </c>
      <c r="GY26" s="539">
        <f>SUMPRODUCT(('ANALYSE - ERP =&gt; SOUS-SEGMENT'!$C$8:$C$154=$C26)*'ANALYSE - ERP =&gt; SOUS-SEGMENT'!$Q$8:$Q$154*'ANALYSE - ERP =&gt; SOUS-SEGMENT'!$HB$8:$HB$154)</f>
        <v>422.38972799999999</v>
      </c>
      <c r="GZ26" s="539">
        <f>SUMPRODUCT(('ANALYSE - ERP =&gt; SOUS-SEGMENT'!$C$8:$C$154=$C26)*'ANALYSE - ERP =&gt; SOUS-SEGMENT'!$Q$8:$Q$154*'ANALYSE - ERP =&gt; SOUS-SEGMENT'!$HC$8:$HC$154)</f>
        <v>1582.945119</v>
      </c>
      <c r="HA26" s="539">
        <f>SUMPRODUCT(('ANALYSE - ERP =&gt; SOUS-SEGMENT'!$C$8:$C$154=$C26)*'ANALYSE - ERP =&gt; SOUS-SEGMENT'!$Q$8:$Q$154*'ANALYSE - ERP =&gt; SOUS-SEGMENT'!$HD$8:$HD$154)</f>
        <v>1411.1744062499999</v>
      </c>
      <c r="HB26" s="539">
        <f>SUMPRODUCT(('ANALYSE - ERP =&gt; SOUS-SEGMENT'!$C$8:$C$154=$C26)*'ANALYSE - ERP =&gt; SOUS-SEGMENT'!$Q$8:$Q$154*'ANALYSE - ERP =&gt; SOUS-SEGMENT'!$HE$8:$HE$154)</f>
        <v>171.77071275</v>
      </c>
      <c r="HC26" s="539">
        <f>SUMPRODUCT(('ANALYSE - ERP =&gt; SOUS-SEGMENT'!$C$8:$C$154=$C26)*'ANALYSE - ERP =&gt; SOUS-SEGMENT'!$Q$8:$Q$154*'ANALYSE - ERP =&gt; SOUS-SEGMENT'!$HF$8:$HF$154)</f>
        <v>4536.7565226136367</v>
      </c>
      <c r="HD26" s="539">
        <f>SUMPRODUCT(('ANALYSE - ERP =&gt; SOUS-SEGMENT'!$C$8:$C$154=$C26)*'ANALYSE - ERP =&gt; SOUS-SEGMENT'!$Q$8:$Q$154*'ANALYSE - ERP =&gt; SOUS-SEGMENT'!$HG$8:$HG$154)</f>
        <v>3942.1655938636363</v>
      </c>
      <c r="HE26" s="539">
        <f>SUMPRODUCT(('ANALYSE - ERP =&gt; SOUS-SEGMENT'!$C$8:$C$154=$C26)*'ANALYSE - ERP =&gt; SOUS-SEGMENT'!$Q$8:$Q$154*'ANALYSE - ERP =&gt; SOUS-SEGMENT'!$HH$8:$HH$154)</f>
        <v>594.59092874999999</v>
      </c>
      <c r="HF26" s="539">
        <f>SUMPRODUCT(('ANALYSE - ERP =&gt; SOUS-SEGMENT'!$C$8:$C$154=$C26)*'ANALYSE - ERP =&gt; SOUS-SEGMENT'!$Q$8:$Q$154*'ANALYSE - ERP =&gt; SOUS-SEGMENT'!$HI$8:$HI$154)</f>
        <v>1287.1138240625</v>
      </c>
      <c r="HG26" s="539">
        <f>SUMPRODUCT(('ANALYSE - ERP =&gt; SOUS-SEGMENT'!$C$8:$C$154=$C26)*'ANALYSE - ERP =&gt; SOUS-SEGMENT'!$Q$8:$Q$154*'ANALYSE - ERP =&gt; SOUS-SEGMENT'!$HJ$8:$HJ$154)</f>
        <v>1128.5562430625</v>
      </c>
      <c r="HH26" s="539">
        <f>SUMPRODUCT(('ANALYSE - ERP =&gt; SOUS-SEGMENT'!$C$8:$C$154=$C26)*'ANALYSE - ERP =&gt; SOUS-SEGMENT'!$Q$8:$Q$154*'ANALYSE - ERP =&gt; SOUS-SEGMENT'!$HK$8:$HK$154)</f>
        <v>158.557581</v>
      </c>
      <c r="HI26" s="539">
        <f>SUMPRODUCT(('ANALYSE - ERP =&gt; SOUS-SEGMENT'!$C$8:$C$154=$C26)*'ANALYSE - ERP =&gt; SOUS-SEGMENT'!$Q$8:$Q$154*'ANALYSE - ERP =&gt; SOUS-SEGMENT'!$HL$8:$HL$154)</f>
        <v>3450.1056799999997</v>
      </c>
      <c r="HJ26" s="539">
        <f>SUMPRODUCT(('ANALYSE - ERP =&gt; SOUS-SEGMENT'!$C$8:$C$154=$C26)*'ANALYSE - ERP =&gt; SOUS-SEGMENT'!$Q$8:$Q$154*'ANALYSE - ERP =&gt; SOUS-SEGMENT'!$HM$8:$HM$154)</f>
        <v>3053.7117274999996</v>
      </c>
      <c r="HK26" s="539">
        <f>SUMPRODUCT(('ANALYSE - ERP =&gt; SOUS-SEGMENT'!$C$8:$C$154=$C26)*'ANALYSE - ERP =&gt; SOUS-SEGMENT'!$Q$8:$Q$154*'ANALYSE - ERP =&gt; SOUS-SEGMENT'!$HN$8:$HN$154)</f>
        <v>396.39395250000001</v>
      </c>
      <c r="HL26" s="539">
        <f>SUMPRODUCT(('ANALYSE - ERP =&gt; SOUS-SEGMENT'!$C$8:$C$154=$C26)*'ANALYSE - ERP =&gt; SOUS-SEGMENT'!$Q$8:$Q$154*'ANALYSE - ERP =&gt; SOUS-SEGMENT'!$HO$8:$HO$154)</f>
        <v>33924.490707132871</v>
      </c>
      <c r="HM26" s="539">
        <f>SUMPRODUCT(('ANALYSE - ERP =&gt; SOUS-SEGMENT'!$C$8:$C$154=$C26)*'ANALYSE - ERP =&gt; SOUS-SEGMENT'!$Q$8:$Q$154*'ANALYSE - ERP =&gt; SOUS-SEGMENT'!$HP$8:$HP$154)</f>
        <v>29698.440987132868</v>
      </c>
      <c r="HN26" s="539">
        <f>SUMPRODUCT(('ANALYSE - ERP =&gt; SOUS-SEGMENT'!$C$8:$C$154=$C26)*'ANALYSE - ERP =&gt; SOUS-SEGMENT'!$Q$8:$Q$154*'ANALYSE - ERP =&gt; SOUS-SEGMENT'!$HQ$8:$HQ$154)</f>
        <v>4226.04972</v>
      </c>
      <c r="HO26" s="539">
        <f>SUMPRODUCT(('ANALYSE - ERP =&gt; SOUS-SEGMENT'!$C$8:$C$154=$C26)*'ANALYSE - ERP =&gt; SOUS-SEGMENT'!$Q$8:$Q$154*'ANALYSE - ERP =&gt; SOUS-SEGMENT'!$HR$8:$HR$154)</f>
        <v>10664.599930125876</v>
      </c>
      <c r="HP26" s="539">
        <f>SUMPRODUCT(('ANALYSE - ERP =&gt; SOUS-SEGMENT'!$C$8:$C$154=$C26)*'ANALYSE - ERP =&gt; SOUS-SEGMENT'!$Q$8:$Q$154*'ANALYSE - ERP =&gt; SOUS-SEGMENT'!$HS$8:$HS$154)</f>
        <v>9069.1923941258756</v>
      </c>
      <c r="HQ26" s="539">
        <f>SUMPRODUCT(('ANALYSE - ERP =&gt; SOUS-SEGMENT'!$C$8:$C$154=$C26)*'ANALYSE - ERP =&gt; SOUS-SEGMENT'!$Q$8:$Q$154*'ANALYSE - ERP =&gt; SOUS-SEGMENT'!$HT$8:$HT$154)</f>
        <v>1595.4075360000002</v>
      </c>
      <c r="HR26" s="539">
        <f>SUMPRODUCT(('ANALYSE - ERP =&gt; SOUS-SEGMENT'!$C$8:$C$154=$C26)*'ANALYSE - ERP =&gt; SOUS-SEGMENT'!$Q$8:$Q$154*'ANALYSE - ERP =&gt; SOUS-SEGMENT'!$HU$8:$HU$154)</f>
        <v>6013.3782906666665</v>
      </c>
      <c r="HS26" s="539">
        <f>SUMPRODUCT(('ANALYSE - ERP =&gt; SOUS-SEGMENT'!$C$8:$C$154=$C26)*'ANALYSE - ERP =&gt; SOUS-SEGMENT'!$Q$8:$Q$154*'ANALYSE - ERP =&gt; SOUS-SEGMENT'!$HV$8:$HV$154)</f>
        <v>5128.1867466666663</v>
      </c>
      <c r="HT26" s="539">
        <f>SUMPRODUCT(('ANALYSE - ERP =&gt; SOUS-SEGMENT'!$C$8:$C$154=$C26)*'ANALYSE - ERP =&gt; SOUS-SEGMENT'!$Q$8:$Q$154*'ANALYSE - ERP =&gt; SOUS-SEGMENT'!$HW$8:$HW$154)</f>
        <v>885.19154400000002</v>
      </c>
      <c r="HU26" s="544"/>
      <c r="HV26" s="545">
        <f t="shared" si="40"/>
        <v>341239.8</v>
      </c>
      <c r="HW26" s="545">
        <f>SUMPRODUCT(('ANALYSE - ERP =&gt; SOUS-SEGMENT'!$C$8:$C$154=$C26)*'ANALYSE - ERP =&gt; SOUS-SEGMENT'!$Q$8:$Q$154*'ANALYSE - ERP =&gt; SOUS-SEGMENT'!$HZ$8:$HZ$154)</f>
        <v>43743.527249999999</v>
      </c>
      <c r="HX26" s="545">
        <f>SUMPRODUCT(('ANALYSE - ERP =&gt; SOUS-SEGMENT'!$C$8:$C$154=$C26)*'ANALYSE - ERP =&gt; SOUS-SEGMENT'!$Q$8:$Q$154*'ANALYSE - ERP =&gt; SOUS-SEGMENT'!$IA$8:$IA$154)</f>
        <v>205190.11125000002</v>
      </c>
      <c r="HY26" s="545">
        <f>SUMPRODUCT(('ANALYSE - ERP =&gt; SOUS-SEGMENT'!$C$8:$C$154=$C26)*'ANALYSE - ERP =&gt; SOUS-SEGMENT'!$Q$8:$Q$154*'ANALYSE - ERP =&gt; SOUS-SEGMENT'!$IB$8:$IB$154)</f>
        <v>134540.217</v>
      </c>
      <c r="HZ26" s="545">
        <f>SUMPRODUCT(('ANALYSE - ERP =&gt; SOUS-SEGMENT'!$C$8:$C$154=$C26)*'ANALYSE - ERP =&gt; SOUS-SEGMENT'!$Q$8:$Q$154*'ANALYSE - ERP =&gt; SOUS-SEGMENT'!$IC$8:$IC$154)</f>
        <v>16332.18375</v>
      </c>
      <c r="IA26" s="545">
        <f>SUMPRODUCT(('ANALYSE - ERP =&gt; SOUS-SEGMENT'!$C$8:$C$154=$C26)*'ANALYSE - ERP =&gt; SOUS-SEGMENT'!$Q$8:$Q$154*'ANALYSE - ERP =&gt; SOUS-SEGMENT'!$ID$8:$ID$154)</f>
        <v>761.46074999999996</v>
      </c>
      <c r="IB26" s="545">
        <f>SUMPRODUCT(('ANALYSE - ERP =&gt; SOUS-SEGMENT'!$C$8:$C$154=$C26)*'ANALYSE - ERP =&gt; SOUS-SEGMENT'!$Q$8:$Q$154*'ANALYSE - ERP =&gt; SOUS-SEGMENT'!$IE$8:$IE$154)</f>
        <v>152650.83994185098</v>
      </c>
      <c r="IC26" s="545">
        <f>SUMPRODUCT(('ANALYSE - ERP =&gt; SOUS-SEGMENT'!$C$8:$C$154=$C26)*'ANALYSE - ERP =&gt; SOUS-SEGMENT'!$Q$8:$Q$154*'ANALYSE - ERP =&gt; SOUS-SEGMENT'!$IF$8:$IF$154)</f>
        <v>7196.8802605665514</v>
      </c>
      <c r="ID26" s="545">
        <f>SUMPRODUCT(('ANALYSE - ERP =&gt; SOUS-SEGMENT'!$C$8:$C$154=$C26)*'ANALYSE - ERP =&gt; SOUS-SEGMENT'!$Q$8:$Q$154*'ANALYSE - ERP =&gt; SOUS-SEGMENT'!$IG$8:$IG$154)</f>
        <v>61966.565486225634</v>
      </c>
      <c r="IE26" s="545">
        <f>SUMPRODUCT(('ANALYSE - ERP =&gt; SOUS-SEGMENT'!$C$8:$C$154=$C26)*'ANALYSE - ERP =&gt; SOUS-SEGMENT'!$Q$8:$Q$154*'ANALYSE - ERP =&gt; SOUS-SEGMENT'!$IH$8:$IH$154)</f>
        <v>70975.063162168037</v>
      </c>
      <c r="IF26" s="545">
        <f>SUMPRODUCT(('ANALYSE - ERP =&gt; SOUS-SEGMENT'!$C$8:$C$154=$C26)*'ANALYSE - ERP =&gt; SOUS-SEGMENT'!$Q$8:$Q$154*'ANALYSE - ERP =&gt; SOUS-SEGMENT'!$II$8:$II$154)</f>
        <v>12048.445478365507</v>
      </c>
      <c r="IG26" s="545">
        <f>SUMPRODUCT(('ANALYSE - ERP =&gt; SOUS-SEGMENT'!$C$8:$C$154=$C26)*'ANALYSE - ERP =&gt; SOUS-SEGMENT'!$Q$8:$Q$154*'ANALYSE - ERP =&gt; SOUS-SEGMENT'!$IJ$8:$IJ$154)</f>
        <v>463.88555452523946</v>
      </c>
      <c r="IH26" s="905"/>
      <c r="II26" s="546" t="s">
        <v>2589</v>
      </c>
      <c r="IJ26" s="547" t="s">
        <v>6760</v>
      </c>
      <c r="IK26" s="529"/>
      <c r="IL26" s="747">
        <f>IFERROR(SUMPRODUCT(('ANALYSE - ERP =&gt; SOUS-SEGMENT'!$C$8:$C$154=$C26)*'ANALYSE - ERP =&gt; SOUS-SEGMENT'!$Q$8:$Q$154*'ANALYSE - ERP =&gt; SOUS-SEGMENT'!$BE$8:$BE$154*'ANALYSE - ERP =&gt; SOUS-SEGMENT'!$IO$8:$IO$154)/SUMPRODUCT(('ANALYSE - ERP =&gt; SOUS-SEGMENT'!$C$8:$C$154=$C26)*'ANALYSE - ERP =&gt; SOUS-SEGMENT'!$Q$8:$Q$154*'ANALYSE - ERP =&gt; SOUS-SEGMENT'!$BE$8:$BE$154),0)</f>
        <v>0.11176818181818182</v>
      </c>
      <c r="IM26" s="748">
        <f>IFERROR(SUMPRODUCT(('ANALYSE - ERP =&gt; SOUS-SEGMENT'!$C$8:$C$154=$C26)*'ANALYSE - ERP =&gt; SOUS-SEGMENT'!$Q$8:$Q$154*'ANALYSE - ERP =&gt; SOUS-SEGMENT'!$BE$8:$BE$154*'ANALYSE - ERP =&gt; SOUS-SEGMENT'!$IP$8:$IP$154)/SUMPRODUCT(('ANALYSE - ERP =&gt; SOUS-SEGMENT'!$C$8:$C$154=$C26)*'ANALYSE - ERP =&gt; SOUS-SEGMENT'!$Q$8:$Q$154*'ANALYSE - ERP =&gt; SOUS-SEGMENT'!$BE$8:$BE$154),0)</f>
        <v>0.51754979338842988</v>
      </c>
      <c r="IN26" s="748">
        <f>IFERROR(SUMPRODUCT(('ANALYSE - ERP =&gt; SOUS-SEGMENT'!$C$8:$C$154=$C26)*'ANALYSE - ERP =&gt; SOUS-SEGMENT'!$Q$8:$Q$154*'ANALYSE - ERP =&gt; SOUS-SEGMENT'!$BE$8:$BE$154*'ANALYSE - ERP =&gt; SOUS-SEGMENT'!$IQ$8:$IQ$154)/SUMPRODUCT(('ANALYSE - ERP =&gt; SOUS-SEGMENT'!$C$8:$C$154=$C26)*'ANALYSE - ERP =&gt; SOUS-SEGMENT'!$Q$8:$Q$154*'ANALYSE - ERP =&gt; SOUS-SEGMENT'!$BE$8:$BE$154),0)</f>
        <v>0.32975144628099173</v>
      </c>
      <c r="IO26" s="748">
        <f>IFERROR(SUMPRODUCT(('ANALYSE - ERP =&gt; SOUS-SEGMENT'!$C$8:$C$154=$C26)*'ANALYSE - ERP =&gt; SOUS-SEGMENT'!$Q$8:$Q$154*'ANALYSE - ERP =&gt; SOUS-SEGMENT'!$BE$8:$BE$154*'ANALYSE - ERP =&gt; SOUS-SEGMENT'!$IR$8:$IR$154)/SUMPRODUCT(('ANALYSE - ERP =&gt; SOUS-SEGMENT'!$C$8:$C$154=$C26)*'ANALYSE - ERP =&gt; SOUS-SEGMENT'!$Q$8:$Q$154*'ANALYSE - ERP =&gt; SOUS-SEGMENT'!$BE$8:$BE$154),0)</f>
        <v>3.888966942148761E-2</v>
      </c>
      <c r="IP26" s="749">
        <f>IFERROR(SUMPRODUCT(('ANALYSE - ERP =&gt; SOUS-SEGMENT'!$C$8:$C$154=$C26)*'ANALYSE - ERP =&gt; SOUS-SEGMENT'!$Q$8:$Q$154*'ANALYSE - ERP =&gt; SOUS-SEGMENT'!$BE$8:$BE$154*'ANALYSE - ERP =&gt; SOUS-SEGMENT'!$IS$8:$IS$154)/SUMPRODUCT(('ANALYSE - ERP =&gt; SOUS-SEGMENT'!$C$8:$C$154=$C26)*'ANALYSE - ERP =&gt; SOUS-SEGMENT'!$Q$8:$Q$154*'ANALYSE - ERP =&gt; SOUS-SEGMENT'!$BE$8:$BE$154),0)</f>
        <v>2.0409090909090906E-3</v>
      </c>
      <c r="IQ26" s="748">
        <f>IFERROR(SUMPRODUCT(('ANALYSE - ERP =&gt; SOUS-SEGMENT'!$C$8:$C$154=$C26)*'ANALYSE - ERP =&gt; SOUS-SEGMENT'!$Q$8:$Q$154*'ANALYSE - ERP =&gt; SOUS-SEGMENT'!$FB$8:$FB$154*'ANALYSE - ERP =&gt; SOUS-SEGMENT'!$IT$8:$IT$154)/SUMPRODUCT(('ANALYSE - ERP =&gt; SOUS-SEGMENT'!$C$8:$C$154=$C26)*'ANALYSE - ERP =&gt; SOUS-SEGMENT'!$Q$8:$Q$154*'ANALYSE - ERP =&gt; SOUS-SEGMENT'!$FB$8:$FB$154),0)</f>
        <v>4.7967430293667054E-2</v>
      </c>
      <c r="IR26" s="748">
        <f>IFERROR(SUMPRODUCT(('ANALYSE - ERP =&gt; SOUS-SEGMENT'!$C$8:$C$154=$C26)*'ANALYSE - ERP =&gt; SOUS-SEGMENT'!$Q$8:$Q$154*'ANALYSE - ERP =&gt; SOUS-SEGMENT'!$FB$8:$FB$154*'ANALYSE - ERP =&gt; SOUS-SEGMENT'!$IU$8:$IU$154)/SUMPRODUCT(('ANALYSE - ERP =&gt; SOUS-SEGMENT'!$C$8:$C$154=$C26)*'ANALYSE - ERP =&gt; SOUS-SEGMENT'!$Q$8:$Q$154*'ANALYSE - ERP =&gt; SOUS-SEGMENT'!$FB$8:$FB$154),0)</f>
        <v>0.41295789847776554</v>
      </c>
      <c r="IS26" s="748">
        <f>IFERROR(SUMPRODUCT(('ANALYSE - ERP =&gt; SOUS-SEGMENT'!$C$8:$C$154=$C26)*'ANALYSE - ERP =&gt; SOUS-SEGMENT'!$Q$8:$Q$154*'ANALYSE - ERP =&gt; SOUS-SEGMENT'!$FB$8:$FB$154*'ANALYSE - ERP =&gt; SOUS-SEGMENT'!$IV$8:$IV$154)/SUMPRODUCT(('ANALYSE - ERP =&gt; SOUS-SEGMENT'!$C$8:$C$154=$C26)*'ANALYSE - ERP =&gt; SOUS-SEGMENT'!$Q$8:$Q$154*'ANALYSE - ERP =&gt; SOUS-SEGMENT'!$FB$8:$FB$154),0)</f>
        <v>0.46059411320434174</v>
      </c>
      <c r="IT26" s="748">
        <f>IFERROR(SUMPRODUCT(('ANALYSE - ERP =&gt; SOUS-SEGMENT'!$C$8:$C$154=$C26)*'ANALYSE - ERP =&gt; SOUS-SEGMENT'!$Q$8:$Q$154*'ANALYSE - ERP =&gt; SOUS-SEGMENT'!$FB$8:$FB$154*'ANALYSE - ERP =&gt; SOUS-SEGMENT'!$IW$8:$IW$154)/SUMPRODUCT(('ANALYSE - ERP =&gt; SOUS-SEGMENT'!$C$8:$C$154=$C26)*'ANALYSE - ERP =&gt; SOUS-SEGMENT'!$Q$8:$Q$154*'ANALYSE - ERP =&gt; SOUS-SEGMENT'!$FB$8:$FB$154),0)</f>
        <v>7.5350960360647048E-2</v>
      </c>
      <c r="IU26" s="748">
        <f>IFERROR(SUMPRODUCT(('ANALYSE - ERP =&gt; SOUS-SEGMENT'!$C$8:$C$154=$C26)*'ANALYSE - ERP =&gt; SOUS-SEGMENT'!$Q$8:$Q$154*'ANALYSE - ERP =&gt; SOUS-SEGMENT'!$FB$8:$FB$154*'ANALYSE - ERP =&gt; SOUS-SEGMENT'!$IX$8:$IX$154)/SUMPRODUCT(('ANALYSE - ERP =&gt; SOUS-SEGMENT'!$C$8:$C$154=$C26)*'ANALYSE - ERP =&gt; SOUS-SEGMENT'!$Q$8:$Q$154*'ANALYSE - ERP =&gt; SOUS-SEGMENT'!$FB$8:$FB$154),0)</f>
        <v>3.1295976635785307E-3</v>
      </c>
      <c r="IV26" s="771">
        <f>IFERROR(SUMPRODUCT(('ANALYSE - ERP =&gt; SOUS-SEGMENT'!$C$8:$C$154=$C26)*'ANALYSE - ERP =&gt; SOUS-SEGMENT'!$Q$8:$Q$154*'ANALYSE - ERP =&gt; SOUS-SEGMENT'!$BF$8:$BF$154*'ANALYSE - ERP =&gt; SOUS-SEGMENT'!$IY$8:$IY$154)/SUMPRODUCT(('ANALYSE - ERP =&gt; SOUS-SEGMENT'!$C$8:$C$154=$C26)*'ANALYSE - ERP =&gt; SOUS-SEGMENT'!$Q$8:$Q$154*'ANALYSE - ERP =&gt; SOUS-SEGMENT'!$BF$8:$BF$154),0)</f>
        <v>0.1031051652892562</v>
      </c>
      <c r="IW26" s="748">
        <f>IFERROR(SUMPRODUCT(('ANALYSE - ERP =&gt; SOUS-SEGMENT'!$C$8:$C$154=$C26)*'ANALYSE - ERP =&gt; SOUS-SEGMENT'!$Q$8:$Q$154*'ANALYSE - ERP =&gt; SOUS-SEGMENT'!$BF$8:$BF$154*'ANALYSE - ERP =&gt; SOUS-SEGMENT'!$IZ$8:$IZ$154)/SUMPRODUCT(('ANALYSE - ERP =&gt; SOUS-SEGMENT'!$C$8:$C$154=$C26)*'ANALYSE - ERP =&gt; SOUS-SEGMENT'!$Q$8:$Q$154*'ANALYSE - ERP =&gt; SOUS-SEGMENT'!$BF$8:$BF$154),0)</f>
        <v>0.50469400826446287</v>
      </c>
      <c r="IX26" s="748">
        <f>IFERROR(SUMPRODUCT(('ANALYSE - ERP =&gt; SOUS-SEGMENT'!$C$8:$C$154=$C26)*'ANALYSE - ERP =&gt; SOUS-SEGMENT'!$Q$8:$Q$154*'ANALYSE - ERP =&gt; SOUS-SEGMENT'!$BF$8:$BF$154*'ANALYSE - ERP =&gt; SOUS-SEGMENT'!$JA$8:$JA$154)/SUMPRODUCT(('ANALYSE - ERP =&gt; SOUS-SEGMENT'!$C$8:$C$154=$C26)*'ANALYSE - ERP =&gt; SOUS-SEGMENT'!$Q$8:$Q$154*'ANALYSE - ERP =&gt; SOUS-SEGMENT'!$BF$8:$BF$154),0)</f>
        <v>0.34227582644628102</v>
      </c>
      <c r="IY26" s="748">
        <f>IFERROR(SUMPRODUCT(('ANALYSE - ERP =&gt; SOUS-SEGMENT'!$C$8:$C$154=$C26)*'ANALYSE - ERP =&gt; SOUS-SEGMENT'!$Q$8:$Q$154*'ANALYSE - ERP =&gt; SOUS-SEGMENT'!$BF$8:$BF$154*'ANALYSE - ERP =&gt; SOUS-SEGMENT'!$JB$8:$JB$154)/SUMPRODUCT(('ANALYSE - ERP =&gt; SOUS-SEGMENT'!$C$8:$C$154=$C26)*'ANALYSE - ERP =&gt; SOUS-SEGMENT'!$Q$8:$Q$154*'ANALYSE - ERP =&gt; SOUS-SEGMENT'!$BF$8:$BF$154),0)</f>
        <v>4.7551652892561976E-2</v>
      </c>
      <c r="IZ26" s="749">
        <f>IFERROR(SUMPRODUCT(('ANALYSE - ERP =&gt; SOUS-SEGMENT'!$C$8:$C$154=$C26)*'ANALYSE - ERP =&gt; SOUS-SEGMENT'!$Q$8:$Q$154*'ANALYSE - ERP =&gt; SOUS-SEGMENT'!$BF$8:$BF$154*'ANALYSE - ERP =&gt; SOUS-SEGMENT'!$JC$8:$JC$154)/SUMPRODUCT(('ANALYSE - ERP =&gt; SOUS-SEGMENT'!$C$8:$C$154=$C26)*'ANALYSE - ERP =&gt; SOUS-SEGMENT'!$Q$8:$Q$154*'ANALYSE - ERP =&gt; SOUS-SEGMENT'!$BF$8:$BF$154),0)</f>
        <v>2.3733471074380164E-3</v>
      </c>
      <c r="JA26" s="748">
        <f>IFERROR(SUMPRODUCT(('ANALYSE - ERP =&gt; SOUS-SEGMENT'!$C$8:$C$154=$C26)*'ANALYSE - ERP =&gt; SOUS-SEGMENT'!$Q$8:$Q$154*'ANALYSE - ERP =&gt; SOUS-SEGMENT'!$FE$8:$FE$154*'ANALYSE - ERP =&gt; SOUS-SEGMENT'!$JD$8:$JD$154)/SUMPRODUCT(('ANALYSE - ERP =&gt; SOUS-SEGMENT'!$C$8:$C$154=$C26)*'ANALYSE - ERP =&gt; SOUS-SEGMENT'!$Q$8:$Q$154*'ANALYSE - ERP =&gt; SOUS-SEGMENT'!$FE$8:$FE$154),0)</f>
        <v>4.3555337056972156E-2</v>
      </c>
      <c r="JB26" s="748">
        <f>IFERROR(SUMPRODUCT(('ANALYSE - ERP =&gt; SOUS-SEGMENT'!$C$8:$C$154=$C26)*'ANALYSE - ERP =&gt; SOUS-SEGMENT'!$Q$8:$Q$154*'ANALYSE - ERP =&gt; SOUS-SEGMENT'!$FE$8:$FE$154*'ANALYSE - ERP =&gt; SOUS-SEGMENT'!$JE$8:$JE$154)/SUMPRODUCT(('ANALYSE - ERP =&gt; SOUS-SEGMENT'!$C$8:$C$154=$C26)*'ANALYSE - ERP =&gt; SOUS-SEGMENT'!$Q$8:$Q$154*'ANALYSE - ERP =&gt; SOUS-SEGMENT'!$FE$8:$FE$154),0)</f>
        <v>0.39480941000842529</v>
      </c>
      <c r="JC26" s="748">
        <f>IFERROR(SUMPRODUCT(('ANALYSE - ERP =&gt; SOUS-SEGMENT'!$C$8:$C$154=$C26)*'ANALYSE - ERP =&gt; SOUS-SEGMENT'!$Q$8:$Q$154*'ANALYSE - ERP =&gt; SOUS-SEGMENT'!$FE$8:$FE$154*'ANALYSE - ERP =&gt; SOUS-SEGMENT'!$JF$8:$JF$154)/SUMPRODUCT(('ANALYSE - ERP =&gt; SOUS-SEGMENT'!$C$8:$C$154=$C26)*'ANALYSE - ERP =&gt; SOUS-SEGMENT'!$Q$8:$Q$154*'ANALYSE - ERP =&gt; SOUS-SEGMENT'!$FE$8:$FE$154),0)</f>
        <v>0.47153089889425825</v>
      </c>
      <c r="JD26" s="748">
        <f>IFERROR(SUMPRODUCT(('ANALYSE - ERP =&gt; SOUS-SEGMENT'!$C$8:$C$154=$C26)*'ANALYSE - ERP =&gt; SOUS-SEGMENT'!$Q$8:$Q$154*'ANALYSE - ERP =&gt; SOUS-SEGMENT'!$FE$8:$FE$154*'ANALYSE - ERP =&gt; SOUS-SEGMENT'!$JG$8:$JG$154)/SUMPRODUCT(('ANALYSE - ERP =&gt; SOUS-SEGMENT'!$C$8:$C$154=$C26)*'ANALYSE - ERP =&gt; SOUS-SEGMENT'!$Q$8:$Q$154*'ANALYSE - ERP =&gt; SOUS-SEGMENT'!$FE$8:$FE$154),0)</f>
        <v>8.6544101219240513E-2</v>
      </c>
      <c r="JE26" s="748">
        <f>IFERROR(SUMPRODUCT(('ANALYSE - ERP =&gt; SOUS-SEGMENT'!$C$8:$C$154=$C26)*'ANALYSE - ERP =&gt; SOUS-SEGMENT'!$Q$8:$Q$154*'ANALYSE - ERP =&gt; SOUS-SEGMENT'!$FE$8:$FE$154*'ANALYSE - ERP =&gt; SOUS-SEGMENT'!$JH$8:$JH$154)/SUMPRODUCT(('ANALYSE - ERP =&gt; SOUS-SEGMENT'!$C$8:$C$154=$C26)*'ANALYSE - ERP =&gt; SOUS-SEGMENT'!$Q$8:$Q$154*'ANALYSE - ERP =&gt; SOUS-SEGMENT'!$FE$8:$FE$154),0)</f>
        <v>3.5602528211037972E-3</v>
      </c>
      <c r="JF26" s="771">
        <f>IFERROR(SUMPRODUCT(('ANALYSE - ERP =&gt; SOUS-SEGMENT'!$C$8:$C$154=$C26)*'ANALYSE - ERP =&gt; SOUS-SEGMENT'!$Q$8:$Q$154*'ANALYSE - ERP =&gt; SOUS-SEGMENT'!$BG$8:$BG$154*'ANALYSE - ERP =&gt; SOUS-SEGMENT'!$JI$8:$JI$154)/SUMPRODUCT(('ANALYSE - ERP =&gt; SOUS-SEGMENT'!$C$8:$C$154=$C26)*'ANALYSE - ERP =&gt; SOUS-SEGMENT'!$Q$8:$Q$154*'ANALYSE - ERP =&gt; SOUS-SEGMENT'!$BG$8:$BG$154),0)</f>
        <v>0.2031</v>
      </c>
      <c r="JG26" s="748">
        <f>IFERROR(SUMPRODUCT(('ANALYSE - ERP =&gt; SOUS-SEGMENT'!$C$8:$C$154=$C26)*'ANALYSE - ERP =&gt; SOUS-SEGMENT'!$Q$8:$Q$154*'ANALYSE - ERP =&gt; SOUS-SEGMENT'!$BG$8:$BG$154*'ANALYSE - ERP =&gt; SOUS-SEGMENT'!$JJ$8:$JJ$154)/SUMPRODUCT(('ANALYSE - ERP =&gt; SOUS-SEGMENT'!$C$8:$C$154=$C26)*'ANALYSE - ERP =&gt; SOUS-SEGMENT'!$Q$8:$Q$154*'ANALYSE - ERP =&gt; SOUS-SEGMENT'!$BG$8:$BG$154),0)</f>
        <v>0.57509999999999994</v>
      </c>
      <c r="JH26" s="748">
        <f>IFERROR(SUMPRODUCT(('ANALYSE - ERP =&gt; SOUS-SEGMENT'!$C$8:$C$154=$C26)*'ANALYSE - ERP =&gt; SOUS-SEGMENT'!$Q$8:$Q$154*'ANALYSE - ERP =&gt; SOUS-SEGMENT'!$BG$8:$BG$154*'ANALYSE - ERP =&gt; SOUS-SEGMENT'!$JK$8:$JK$154)/SUMPRODUCT(('ANALYSE - ERP =&gt; SOUS-SEGMENT'!$C$8:$C$154=$C26)*'ANALYSE - ERP =&gt; SOUS-SEGMENT'!$Q$8:$Q$154*'ANALYSE - ERP =&gt; SOUS-SEGMENT'!$BG$8:$BG$154),0)</f>
        <v>0.21160000000000004</v>
      </c>
      <c r="JI26" s="748">
        <f>IFERROR(SUMPRODUCT(('ANALYSE - ERP =&gt; SOUS-SEGMENT'!$C$8:$C$154=$C26)*'ANALYSE - ERP =&gt; SOUS-SEGMENT'!$Q$8:$Q$154*'ANALYSE - ERP =&gt; SOUS-SEGMENT'!$BG$8:$BG$154*'ANALYSE - ERP =&gt; SOUS-SEGMENT'!$JL$8:$JL$154)/SUMPRODUCT(('ANALYSE - ERP =&gt; SOUS-SEGMENT'!$C$8:$C$154=$C26)*'ANALYSE - ERP =&gt; SOUS-SEGMENT'!$Q$8:$Q$154*'ANALYSE - ERP =&gt; SOUS-SEGMENT'!$BG$8:$BG$154),0)</f>
        <v>1.01E-2</v>
      </c>
      <c r="JJ26" s="749">
        <f>IFERROR(SUMPRODUCT(('ANALYSE - ERP =&gt; SOUS-SEGMENT'!$C$8:$C$154=$C26)*'ANALYSE - ERP =&gt; SOUS-SEGMENT'!$Q$8:$Q$154*'ANALYSE - ERP =&gt; SOUS-SEGMENT'!$BG$8:$BG$154*'ANALYSE - ERP =&gt; SOUS-SEGMENT'!$JM$8:$JM$154)/SUMPRODUCT(('ANALYSE - ERP =&gt; SOUS-SEGMENT'!$C$8:$C$154=$C26)*'ANALYSE - ERP =&gt; SOUS-SEGMENT'!$Q$8:$Q$154*'ANALYSE - ERP =&gt; SOUS-SEGMENT'!$BG$8:$BG$154),0)</f>
        <v>1.0000000000000002E-4</v>
      </c>
      <c r="JK26" s="748">
        <f>IFERROR(SUMPRODUCT(('ANALYSE - ERP =&gt; SOUS-SEGMENT'!$C$8:$C$154=$C26)*'ANALYSE - ERP =&gt; SOUS-SEGMENT'!$Q$8:$Q$154*'ANALYSE - ERP =&gt; SOUS-SEGMENT'!$FH$8:$FH$154*'ANALYSE - ERP =&gt; SOUS-SEGMENT'!$JN$8:$JN$154)/SUMPRODUCT(('ANALYSE - ERP =&gt; SOUS-SEGMENT'!$C$8:$C$154=$C26)*'ANALYSE - ERP =&gt; SOUS-SEGMENT'!$Q$8:$Q$154*'ANALYSE - ERP =&gt; SOUS-SEGMENT'!$FH$8:$FH$154),0)</f>
        <v>9.9199999999999997E-2</v>
      </c>
      <c r="JL26" s="748">
        <f>IFERROR(SUMPRODUCT(('ANALYSE - ERP =&gt; SOUS-SEGMENT'!$C$8:$C$154=$C26)*'ANALYSE - ERP =&gt; SOUS-SEGMENT'!$Q$8:$Q$154*'ANALYSE - ERP =&gt; SOUS-SEGMENT'!$FH$8:$FH$154*'ANALYSE - ERP =&gt; SOUS-SEGMENT'!$JO$8:$JO$154)/SUMPRODUCT(('ANALYSE - ERP =&gt; SOUS-SEGMENT'!$C$8:$C$154=$C26)*'ANALYSE - ERP =&gt; SOUS-SEGMENT'!$Q$8:$Q$154*'ANALYSE - ERP =&gt; SOUS-SEGMENT'!$FH$8:$FH$154),0)</f>
        <v>0.51790000000000003</v>
      </c>
      <c r="JM26" s="748">
        <f>IFERROR(SUMPRODUCT(('ANALYSE - ERP =&gt; SOUS-SEGMENT'!$C$8:$C$154=$C26)*'ANALYSE - ERP =&gt; SOUS-SEGMENT'!$Q$8:$Q$154*'ANALYSE - ERP =&gt; SOUS-SEGMENT'!$FH$8:$FH$154*'ANALYSE - ERP =&gt; SOUS-SEGMENT'!$JP$8:$JP$154)/SUMPRODUCT(('ANALYSE - ERP =&gt; SOUS-SEGMENT'!$C$8:$C$154=$C26)*'ANALYSE - ERP =&gt; SOUS-SEGMENT'!$Q$8:$Q$154*'ANALYSE - ERP =&gt; SOUS-SEGMENT'!$FH$8:$FH$154),0)</f>
        <v>0.35149999999999998</v>
      </c>
      <c r="JN26" s="748">
        <f>IFERROR(SUMPRODUCT(('ANALYSE - ERP =&gt; SOUS-SEGMENT'!$C$8:$C$154=$C26)*'ANALYSE - ERP =&gt; SOUS-SEGMENT'!$Q$8:$Q$154*'ANALYSE - ERP =&gt; SOUS-SEGMENT'!$FH$8:$FH$154*'ANALYSE - ERP =&gt; SOUS-SEGMENT'!$JQ$8:$JQ$154)/SUMPRODUCT(('ANALYSE - ERP =&gt; SOUS-SEGMENT'!$C$8:$C$154=$C26)*'ANALYSE - ERP =&gt; SOUS-SEGMENT'!$Q$8:$Q$154*'ANALYSE - ERP =&gt; SOUS-SEGMENT'!$FH$8:$FH$154),0)</f>
        <v>3.1E-2</v>
      </c>
      <c r="JO26" s="748">
        <f>IFERROR(SUMPRODUCT(('ANALYSE - ERP =&gt; SOUS-SEGMENT'!$C$8:$C$154=$C26)*'ANALYSE - ERP =&gt; SOUS-SEGMENT'!$Q$8:$Q$154*'ANALYSE - ERP =&gt; SOUS-SEGMENT'!$FH$8:$FH$154*'ANALYSE - ERP =&gt; SOUS-SEGMENT'!$JR$8:$JR$154)/SUMPRODUCT(('ANALYSE - ERP =&gt; SOUS-SEGMENT'!$C$8:$C$154=$C26)*'ANALYSE - ERP =&gt; SOUS-SEGMENT'!$Q$8:$Q$154*'ANALYSE - ERP =&gt; SOUS-SEGMENT'!$FH$8:$FH$154),0)</f>
        <v>4.0000000000000002E-4</v>
      </c>
      <c r="JP26" s="771">
        <f>IFERROR(SUMPRODUCT(('ANALYSE - ERP =&gt; SOUS-SEGMENT'!$C$8:$C$154=$C26)*'ANALYSE - ERP =&gt; SOUS-SEGMENT'!$Q$8:$Q$154*'ANALYSE - ERP =&gt; SOUS-SEGMENT'!$BH$8:$BH$154*'ANALYSE - ERP =&gt; SOUS-SEGMENT'!$JS$8:$JS$154)/SUMPRODUCT(('ANALYSE - ERP =&gt; SOUS-SEGMENT'!$C$8:$C$154=$C26)*'ANALYSE - ERP =&gt; SOUS-SEGMENT'!$Q$8:$Q$154*'ANALYSE - ERP =&gt; SOUS-SEGMENT'!$BH$8:$BH$154),0)</f>
        <v>9.3467148760330576E-2</v>
      </c>
      <c r="JQ26" s="748">
        <f>IFERROR(SUMPRODUCT(('ANALYSE - ERP =&gt; SOUS-SEGMENT'!$C$8:$C$154=$C26)*'ANALYSE - ERP =&gt; SOUS-SEGMENT'!$Q$8:$Q$154*'ANALYSE - ERP =&gt; SOUS-SEGMENT'!$BH$8:$BH$154*'ANALYSE - ERP =&gt; SOUS-SEGMENT'!$JT$8:$JT$154)/SUMPRODUCT(('ANALYSE - ERP =&gt; SOUS-SEGMENT'!$C$8:$C$154=$C26)*'ANALYSE - ERP =&gt; SOUS-SEGMENT'!$Q$8:$Q$154*'ANALYSE - ERP =&gt; SOUS-SEGMENT'!$BH$8:$BH$154),0)</f>
        <v>0.5007059917355372</v>
      </c>
      <c r="JR26" s="748">
        <f>IFERROR(SUMPRODUCT(('ANALYSE - ERP =&gt; SOUS-SEGMENT'!$C$8:$C$154=$C26)*'ANALYSE - ERP =&gt; SOUS-SEGMENT'!$Q$8:$Q$154*'ANALYSE - ERP =&gt; SOUS-SEGMENT'!$BH$8:$BH$154*'ANALYSE - ERP =&gt; SOUS-SEGMENT'!$JU$8:$JU$154)/SUMPRODUCT(('ANALYSE - ERP =&gt; SOUS-SEGMENT'!$C$8:$C$154=$C26)*'ANALYSE - ERP =&gt; SOUS-SEGMENT'!$Q$8:$Q$154*'ANALYSE - ERP =&gt; SOUS-SEGMENT'!$BH$8:$BH$154),0)</f>
        <v>0.36178285123966947</v>
      </c>
      <c r="JS26" s="748">
        <f>IFERROR(SUMPRODUCT(('ANALYSE - ERP =&gt; SOUS-SEGMENT'!$C$8:$C$154=$C26)*'ANALYSE - ERP =&gt; SOUS-SEGMENT'!$Q$8:$Q$154*'ANALYSE - ERP =&gt; SOUS-SEGMENT'!$BH$8:$BH$154*'ANALYSE - ERP =&gt; SOUS-SEGMENT'!$JV$8:$JV$154)/SUMPRODUCT(('ANALYSE - ERP =&gt; SOUS-SEGMENT'!$C$8:$C$154=$C26)*'ANALYSE - ERP =&gt; SOUS-SEGMENT'!$Q$8:$Q$154*'ANALYSE - ERP =&gt; SOUS-SEGMENT'!$BH$8:$BH$154),0)</f>
        <v>4.2433057851239672E-2</v>
      </c>
      <c r="JT26" s="749">
        <f>IFERROR(SUMPRODUCT(('ANALYSE - ERP =&gt; SOUS-SEGMENT'!$C$8:$C$154=$C26)*'ANALYSE - ERP =&gt; SOUS-SEGMENT'!$Q$8:$Q$154*'ANALYSE - ERP =&gt; SOUS-SEGMENT'!$BH$8:$BH$154*'ANALYSE - ERP =&gt; SOUS-SEGMENT'!$JW$8:$JW$154)/SUMPRODUCT(('ANALYSE - ERP =&gt; SOUS-SEGMENT'!$C$8:$C$154=$C26)*'ANALYSE - ERP =&gt; SOUS-SEGMENT'!$Q$8:$Q$154*'ANALYSE - ERP =&gt; SOUS-SEGMENT'!$BH$8:$BH$154),0)</f>
        <v>1.6109504132231403E-3</v>
      </c>
      <c r="JU26" s="771">
        <f>IFERROR(SUMPRODUCT(('ANALYSE - ERP =&gt; SOUS-SEGMENT'!$C$8:$C$154=$C26)*'ANALYSE - ERP =&gt; SOUS-SEGMENT'!$Q$8:$Q$154*'ANALYSE - ERP =&gt; SOUS-SEGMENT'!$FK$8:$FK$154*'ANALYSE - ERP =&gt; SOUS-SEGMENT'!$JX$8:$JX$154)/SUMPRODUCT(('ANALYSE - ERP =&gt; SOUS-SEGMENT'!$C$8:$C$154=$C26)*'ANALYSE - ERP =&gt; SOUS-SEGMENT'!$Q$8:$Q$154*'ANALYSE - ERP =&gt; SOUS-SEGMENT'!$FK$8:$FK$154),0)</f>
        <v>3.8752891443236598E-2</v>
      </c>
      <c r="JV26" s="748">
        <f>IFERROR(SUMPRODUCT(('ANALYSE - ERP =&gt; SOUS-SEGMENT'!$C$8:$C$154=$C26)*'ANALYSE - ERP =&gt; SOUS-SEGMENT'!$Q$8:$Q$154*'ANALYSE - ERP =&gt; SOUS-SEGMENT'!$FK$8:$FK$154*'ANALYSE - ERP =&gt; SOUS-SEGMENT'!$JY$8:$JY$154)/SUMPRODUCT(('ANALYSE - ERP =&gt; SOUS-SEGMENT'!$C$8:$C$154=$C26)*'ANALYSE - ERP =&gt; SOUS-SEGMENT'!$Q$8:$Q$154*'ANALYSE - ERP =&gt; SOUS-SEGMENT'!$FK$8:$FK$154),0)</f>
        <v>0.38537026219262094</v>
      </c>
      <c r="JW26" s="748">
        <f>IFERROR(SUMPRODUCT(('ANALYSE - ERP =&gt; SOUS-SEGMENT'!$C$8:$C$154=$C26)*'ANALYSE - ERP =&gt; SOUS-SEGMENT'!$Q$8:$Q$154*'ANALYSE - ERP =&gt; SOUS-SEGMENT'!$FK$8:$FK$154*'ANALYSE - ERP =&gt; SOUS-SEGMENT'!$JZ$8:$JZ$154)/SUMPRODUCT(('ANALYSE - ERP =&gt; SOUS-SEGMENT'!$C$8:$C$154=$C26)*'ANALYSE - ERP =&gt; SOUS-SEGMENT'!$Q$8:$Q$154*'ANALYSE - ERP =&gt; SOUS-SEGMENT'!$FK$8:$FK$154),0)</f>
        <v>0.48761477242471929</v>
      </c>
      <c r="JX26" s="748">
        <f>IFERROR(SUMPRODUCT(('ANALYSE - ERP =&gt; SOUS-SEGMENT'!$C$8:$C$154=$C26)*'ANALYSE - ERP =&gt; SOUS-SEGMENT'!$Q$8:$Q$154*'ANALYSE - ERP =&gt; SOUS-SEGMENT'!$FK$8:$FK$154*'ANALYSE - ERP =&gt; SOUS-SEGMENT'!$KA$8:$KA$154)/SUMPRODUCT(('ANALYSE - ERP =&gt; SOUS-SEGMENT'!$C$8:$C$154=$C26)*'ANALYSE - ERP =&gt; SOUS-SEGMENT'!$Q$8:$Q$154*'ANALYSE - ERP =&gt; SOUS-SEGMENT'!$FK$8:$FK$154),0)</f>
        <v>8.5320762995776164E-2</v>
      </c>
      <c r="JY26" s="775">
        <f>IFERROR(SUMPRODUCT(('ANALYSE - ERP =&gt; SOUS-SEGMENT'!$C$8:$C$154=$C26)*'ANALYSE - ERP =&gt; SOUS-SEGMENT'!$Q$8:$Q$154*'ANALYSE - ERP =&gt; SOUS-SEGMENT'!$FK$8:$FK$154*'ANALYSE - ERP =&gt; SOUS-SEGMENT'!$KB$8:$KB$154)/SUMPRODUCT(('ANALYSE - ERP =&gt; SOUS-SEGMENT'!$C$8:$C$154=$C26)*'ANALYSE - ERP =&gt; SOUS-SEGMENT'!$Q$8:$Q$154*'ANALYSE - ERP =&gt; SOUS-SEGMENT'!$FK$8:$FK$154),0)</f>
        <v>2.9413109436470485E-3</v>
      </c>
      <c r="JZ26" s="529"/>
      <c r="KA26" s="546" t="s">
        <v>2591</v>
      </c>
      <c r="KB26" s="546" t="s">
        <v>2625</v>
      </c>
      <c r="KC26" s="905">
        <f>IFERROR(SUMPRODUCT(('ANALYSE - ERP =&gt; SOUS-SEGMENT'!$C$8:$C$154=$C27)*'ANALYSE - ERP =&gt; SOUS-SEGMENT'!$Q$8:$Q$154*'ANALYSE - ERP =&gt; SOUS-SEGMENT'!$EX$8:$EX$154*'ANALYSE - ERP =&gt; SOUS-SEGMENT'!$KF$8:$KF$154)/SUMPRODUCT(('ANALYSE - ERP =&gt; SOUS-SEGMENT'!$C$8:$C$154=$C27)*'ANALYSE - ERP =&gt; SOUS-SEGMENT'!$Q$8:$Q$154*'ANALYSE - ERP =&gt; SOUS-SEGMENT'!$EX$8:$EX$154),"")</f>
        <v>4.1555968182450007</v>
      </c>
      <c r="KD26" s="546" t="s">
        <v>2616</v>
      </c>
      <c r="KE26" s="548" t="s">
        <v>4290</v>
      </c>
      <c r="KF26" s="622" t="s">
        <v>6760</v>
      </c>
      <c r="KG26" s="548" t="s">
        <v>6760</v>
      </c>
    </row>
    <row r="27" spans="1:293" s="549" customFormat="1" ht="108" customHeight="1">
      <c r="A27" s="550">
        <v>26</v>
      </c>
      <c r="B27" s="607" t="s">
        <v>2278</v>
      </c>
      <c r="C27" s="607" t="s">
        <v>1527</v>
      </c>
      <c r="D27" s="607" t="s">
        <v>7190</v>
      </c>
      <c r="E27" s="551" t="s">
        <v>2158</v>
      </c>
      <c r="F27" s="551" t="s">
        <v>300</v>
      </c>
      <c r="G27" s="551" t="s">
        <v>300</v>
      </c>
      <c r="H27" s="551" t="s">
        <v>2109</v>
      </c>
      <c r="I27" s="552" t="s">
        <v>7191</v>
      </c>
      <c r="J27" s="552" t="s">
        <v>7192</v>
      </c>
      <c r="K27" s="553" t="s">
        <v>2117</v>
      </c>
      <c r="L27" s="553" t="s">
        <v>2109</v>
      </c>
      <c r="M27" s="553" t="s">
        <v>2603</v>
      </c>
      <c r="N27" s="553" t="s">
        <v>6742</v>
      </c>
      <c r="O27" s="553" t="s">
        <v>2212</v>
      </c>
      <c r="P27" s="552"/>
      <c r="Q27" s="270">
        <f>IF(SUMPRODUCT(('ANALYSE - ERP =&gt; SOUS-SEGMENT'!$C$8:$C$154=$C27)*'ANALYSE - ERP =&gt; SOUS-SEGMENT'!$Q$8:$Q$154)&gt;0,1,0)</f>
        <v>1</v>
      </c>
      <c r="R27" s="554">
        <f>IFERROR(SUMPRODUCT(('ANALYSE - ERP =&gt; SOUS-SEGMENT'!$C$8:$C$154=$C27)*'ANALYSE - ERP =&gt; SOUS-SEGMENT'!$Q$8:$Q$154*'ANALYSE - ERP =&gt; SOUS-SEGMENT'!$AG$8:$AG$154*'ANALYSE - ERP =&gt; SOUS-SEGMENT'!$R$8:$R$154)/SUMPRODUCT(('ANALYSE - ERP =&gt; SOUS-SEGMENT'!$C$8:$C$154=$C27)*'ANALYSE - ERP =&gt; SOUS-SEGMENT'!$Q$8:$Q$154*'ANALYSE - ERP =&gt; SOUS-SEGMENT'!$AG$8:$AG$154),"")</f>
        <v>381.13872918848449</v>
      </c>
      <c r="S27" s="555">
        <f>SUMPRODUCT(('ANALYSE - ERP =&gt; SOUS-SEGMENT'!$C$8:$C$154=$C27)*'ANALYSE - ERP =&gt; SOUS-SEGMENT'!$Q$8:$Q$154*'ANALYSE - ERP =&gt; SOUS-SEGMENT'!$S$8:$S$154)</f>
        <v>46296</v>
      </c>
      <c r="T27" s="555">
        <f>SUMPRODUCT(('ANALYSE - ERP =&gt; SOUS-SEGMENT'!$C$8:$C$154=$C27)*'ANALYSE - ERP =&gt; SOUS-SEGMENT'!$Q$8:$Q$154*'ANALYSE - ERP =&gt; SOUS-SEGMENT'!$T$8:$T$154)</f>
        <v>47157</v>
      </c>
      <c r="U27" s="555">
        <f>SUMPRODUCT(('ANALYSE - ERP =&gt; SOUS-SEGMENT'!$C$8:$C$154=$C27)*'ANALYSE - ERP =&gt; SOUS-SEGMENT'!$Q$8:$Q$154*'ANALYSE - ERP =&gt; SOUS-SEGMENT'!$U$8:$U$154)</f>
        <v>47216</v>
      </c>
      <c r="V27" s="555">
        <f>SUMPRODUCT(('ANALYSE - ERP =&gt; SOUS-SEGMENT'!$C$8:$C$154=$C27)*'ANALYSE - ERP =&gt; SOUS-SEGMENT'!$Q$8:$Q$154*'ANALYSE - ERP =&gt; SOUS-SEGMENT'!$V$8:$V$154)</f>
        <v>46808</v>
      </c>
      <c r="W27" s="555">
        <f>SUMPRODUCT(('ANALYSE - ERP =&gt; SOUS-SEGMENT'!$C$8:$C$154=$C27)*'ANALYSE - ERP =&gt; SOUS-SEGMENT'!$Q$8:$Q$154*'ANALYSE - ERP =&gt; SOUS-SEGMENT'!$W$8:$W$154)</f>
        <v>46733</v>
      </c>
      <c r="X27" s="555">
        <f>SUMPRODUCT(('ANALYSE - ERP =&gt; SOUS-SEGMENT'!$C$8:$C$154=$C27)*'ANALYSE - ERP =&gt; SOUS-SEGMENT'!$Q$8:$Q$154*'ANALYSE - ERP =&gt; SOUS-SEGMENT'!$X$8:$X$154)</f>
        <v>46088</v>
      </c>
      <c r="Y27" s="555">
        <f>SUMPRODUCT(('ANALYSE - ERP =&gt; SOUS-SEGMENT'!$C$8:$C$154=$C27)*'ANALYSE - ERP =&gt; SOUS-SEGMENT'!$Q$8:$Q$154*'ANALYSE - ERP =&gt; SOUS-SEGMENT'!$Y$8:$Y$154)</f>
        <v>46246</v>
      </c>
      <c r="Z27" s="555">
        <f>SUMPRODUCT(('ANALYSE - ERP =&gt; SOUS-SEGMENT'!$C$8:$C$154=$C27)*'ANALYSE - ERP =&gt; SOUS-SEGMENT'!$Q$8:$Q$154*'ANALYSE - ERP =&gt; SOUS-SEGMENT'!$Z$8:$Z$154)</f>
        <v>46300</v>
      </c>
      <c r="AA27" s="555">
        <f>SUMPRODUCT(('ANALYSE - ERP =&gt; SOUS-SEGMENT'!$C$8:$C$154=$C27)*'ANALYSE - ERP =&gt; SOUS-SEGMENT'!$Q$8:$Q$154*'ANALYSE - ERP =&gt; SOUS-SEGMENT'!$AA$8:$AA$154)</f>
        <v>46309</v>
      </c>
      <c r="AB27" s="555">
        <f>SUMPRODUCT(('ANALYSE - ERP =&gt; SOUS-SEGMENT'!$C$8:$C$154=$C27)*'ANALYSE - ERP =&gt; SOUS-SEGMENT'!$Q$8:$Q$154*'ANALYSE - ERP =&gt; SOUS-SEGMENT'!$AB$8:$AB$154)</f>
        <v>46424</v>
      </c>
      <c r="AC27" s="555">
        <f>SUMPRODUCT(('ANALYSE - ERP =&gt; SOUS-SEGMENT'!$C$8:$C$154=$C27)*'ANALYSE - ERP =&gt; SOUS-SEGMENT'!$Q$8:$Q$154*'ANALYSE - ERP =&gt; SOUS-SEGMENT'!$AC$8:$AC$154)</f>
        <v>46623</v>
      </c>
      <c r="AD27" s="555">
        <f>SUMPRODUCT(('ANALYSE - ERP =&gt; SOUS-SEGMENT'!$C$8:$C$154=$C27)*'ANALYSE - ERP =&gt; SOUS-SEGMENT'!$Q$8:$Q$154*'ANALYSE - ERP =&gt; SOUS-SEGMENT'!$AD$8:$AD$154)</f>
        <v>46711</v>
      </c>
      <c r="AE27" s="555">
        <f>SUMPRODUCT(('ANALYSE - ERP =&gt; SOUS-SEGMENT'!$C$8:$C$154=$C27)*'ANALYSE - ERP =&gt; SOUS-SEGMENT'!$Q$8:$Q$154*'ANALYSE - ERP =&gt; SOUS-SEGMENT'!$AE$8:$AE$154)</f>
        <v>46806</v>
      </c>
      <c r="AF27" s="555">
        <f>SUMPRODUCT(('ANALYSE - ERP =&gt; SOUS-SEGMENT'!$C$8:$C$154=$C27)*'ANALYSE - ERP =&gt; SOUS-SEGMENT'!$Q$8:$Q$154*'ANALYSE - ERP =&gt; SOUS-SEGMENT'!$AF$8:$AF$154)</f>
        <v>46764</v>
      </c>
      <c r="AG27" s="555">
        <f>SUMPRODUCT(('ANALYSE - ERP =&gt; SOUS-SEGMENT'!$C$8:$C$154=$C27)*'ANALYSE - ERP =&gt; SOUS-SEGMENT'!$Q$8:$Q$154*'ANALYSE - ERP =&gt; SOUS-SEGMENT'!$AG$8:$AG$154)</f>
        <v>46789</v>
      </c>
      <c r="AH27" s="555">
        <f>SUMPRODUCT(('ANALYSE - ERP =&gt; SOUS-SEGMENT'!$C$8:$C$154=$C27)*'ANALYSE - ERP =&gt; SOUS-SEGMENT'!$Q$8:$Q$154*'ANALYSE - ERP =&gt; SOUS-SEGMENT'!$AH$8:$AH$154)</f>
        <v>46809</v>
      </c>
      <c r="AI27" s="555">
        <f>SUMPRODUCT(('ANALYSE - ERP =&gt; SOUS-SEGMENT'!$C$8:$C$154=$C27)*'ANALYSE - ERP =&gt; SOUS-SEGMENT'!$Q$8:$Q$154*'ANALYSE - ERP =&gt; SOUS-SEGMENT'!$AI$8:$AI$154)</f>
        <v>46827</v>
      </c>
      <c r="AJ27" s="555">
        <f>SUMPRODUCT(('ANALYSE - ERP =&gt; SOUS-SEGMENT'!$C$8:$C$154=$C27)*'ANALYSE - ERP =&gt; SOUS-SEGMENT'!$Q$8:$Q$154*'ANALYSE - ERP =&gt; SOUS-SEGMENT'!$AJ$8:$AJ$154)</f>
        <v>46833</v>
      </c>
      <c r="AK27" s="555">
        <f>SUMPRODUCT(('ANALYSE - ERP =&gt; SOUS-SEGMENT'!$C$8:$C$154=$C27)*'ANALYSE - ERP =&gt; SOUS-SEGMENT'!$Q$8:$Q$154*'ANALYSE - ERP =&gt; SOUS-SEGMENT'!$AK$8:$AK$154)</f>
        <v>46840</v>
      </c>
      <c r="AL27" s="552" t="s">
        <v>7193</v>
      </c>
      <c r="AM27" s="552" t="s">
        <v>7194</v>
      </c>
      <c r="AN27" s="552" t="s">
        <v>7195</v>
      </c>
      <c r="AO27" s="529"/>
      <c r="AP27" s="554">
        <f>IFERROR(SUMPRODUCT(('ANALYSE - ERP =&gt; SOUS-SEGMENT'!$C$8:$C$154=$C27)*'ANALYSE - ERP =&gt; SOUS-SEGMENT'!$Q$8:$Q$154*'ANALYSE - ERP =&gt; SOUS-SEGMENT'!$AG$8:$AG$154*'ANALYSE - ERP =&gt; SOUS-SEGMENT'!$AP$8:$AP$154)/SUMPRODUCT(('ANALYSE - ERP =&gt; SOUS-SEGMENT'!$C$8:$C$154=$C27)*'ANALYSE - ERP =&gt; SOUS-SEGMENT'!$Q$8:$Q$154*'ANALYSE - ERP =&gt; SOUS-SEGMENT'!$AG$8:$AG$154),"")</f>
        <v>46.821368270319944</v>
      </c>
      <c r="AQ27" s="556">
        <f>IFERROR(SUMPRODUCT(('ANALYSE - ERP =&gt; SOUS-SEGMENT'!$C$8:$C$154=$C27)*'ANALYSE - ERP =&gt; SOUS-SEGMENT'!$Q$8:$Q$154*'ANALYSE - ERP =&gt; SOUS-SEGMENT'!$AF$8:$AF$154*'ANALYSE - ERP =&gt; SOUS-SEGMENT'!$AQ$8:$AQ$154)/SUMPRODUCT(('ANALYSE - ERP =&gt; SOUS-SEGMENT'!$C$8:$C$154=$C27)*'ANALYSE - ERP =&gt; SOUS-SEGMENT'!$Q$8:$Q$154*'ANALYSE - ERP =&gt; SOUS-SEGMENT'!$AF$8:$AF$154),"")</f>
        <v>30.557394577025061</v>
      </c>
      <c r="AR27" s="975">
        <f>IFERROR(SUMPRODUCT(('ANALYSE - ERP =&gt; SOUS-SEGMENT'!$C$8:$C$154=$C27)*'ANALYSE - ERP =&gt; SOUS-SEGMENT'!$Q$8:$Q$154*'ANALYSE - ERP =&gt; SOUS-SEGMENT'!$AF$8:$AF$154*'ANALYSE - ERP =&gt; SOUS-SEGMENT'!$AR$8:$AR$154)/SUMPRODUCT(('ANALYSE - ERP =&gt; SOUS-SEGMENT'!$C$8:$C$154=$C27)*'ANALYSE - ERP =&gt; SOUS-SEGMENT'!$Q$8:$Q$154*'ANALYSE - ERP =&gt; SOUS-SEGMENT'!$AF$8:$AF$154),"")</f>
        <v>13.183880762980071</v>
      </c>
      <c r="AS27" s="975">
        <f>IFERROR(SUMPRODUCT(('ANALYSE - ERP =&gt; SOUS-SEGMENT'!$C$8:$C$154=$C27)*'ANALYSE - ERP =&gt; SOUS-SEGMENT'!$Q$8:$Q$154*'ANALYSE - ERP =&gt; SOUS-SEGMENT'!$AF$8:$AF$154*'ANALYSE - ERP =&gt; SOUS-SEGMENT'!$AS$8:$AS$154)/SUMPRODUCT(('ANALYSE - ERP =&gt; SOUS-SEGMENT'!$C$8:$C$154=$C27)*'ANALYSE - ERP =&gt; SOUS-SEGMENT'!$Q$8:$Q$154*'ANALYSE - ERP =&gt; SOUS-SEGMENT'!$AF$8:$AF$154),"")</f>
        <v>3.1035198015567529</v>
      </c>
      <c r="AT27" s="529" t="s">
        <v>7196</v>
      </c>
      <c r="AU27" s="537" t="s">
        <v>7197</v>
      </c>
      <c r="AV27" s="573" t="s">
        <v>2609</v>
      </c>
      <c r="AW27" s="537"/>
      <c r="AX27" s="529"/>
      <c r="AY27" s="557">
        <f>IFERROR(SUMPRODUCT(('ANALYSE - ERP =&gt; SOUS-SEGMENT'!$C$8:$C$154=$C27)*'ANALYSE - ERP =&gt; SOUS-SEGMENT'!$Q$8:$Q$154*'ANALYSE - ERP =&gt; SOUS-SEGMENT'!$AF$8:$AF$154*'ANALYSE - ERP =&gt; SOUS-SEGMENT'!$AZ$8:$AZ$154)/SUMPRODUCT(('ANALYSE - ERP =&gt; SOUS-SEGMENT'!$C$8:$C$154=$C27)*'ANALYSE - ERP =&gt; SOUS-SEGMENT'!$Q$8:$Q$154*'ANALYSE - ERP =&gt; SOUS-SEGMENT'!$AF$8:$AF$154),"")</f>
        <v>3.5356470789496193</v>
      </c>
      <c r="AZ27" s="976">
        <f>IFERROR(SUMPRODUCT(('ANALYSE - ERP =&gt; SOUS-SEGMENT'!$C$8:$C$154=$C27)*'ANALYSE - ERP =&gt; SOUS-SEGMENT'!$Q$8:$Q$154*'ANALYSE - ERP =&gt; SOUS-SEGMENT'!$AF$8:$AF$154*'ANALYSE - ERP =&gt; SOUS-SEGMENT'!$BA$8:$BA$154)/SUMPRODUCT(('ANALYSE - ERP =&gt; SOUS-SEGMENT'!$C$8:$C$154=$C27)*'ANALYSE - ERP =&gt; SOUS-SEGMENT'!$Q$8:$Q$154*'ANALYSE - ERP =&gt; SOUS-SEGMENT'!$AF$8:$AF$154),"")</f>
        <v>0</v>
      </c>
      <c r="BA27" s="557">
        <f>IFERROR(SUMPRODUCT(('ANALYSE - ERP =&gt; SOUS-SEGMENT'!$C$8:$C$154=$C27)*'ANALYSE - ERP =&gt; SOUS-SEGMENT'!$Q$8:$Q$154*'ANALYSE - ERP =&gt; SOUS-SEGMENT'!$AF$8:$AF$154*'ANALYSE - ERP =&gt; SOUS-SEGMENT'!$BB$8:$BB$154)/SUMPRODUCT(('ANALYSE - ERP =&gt; SOUS-SEGMENT'!$C$8:$C$154=$C27)*'ANALYSE - ERP =&gt; SOUS-SEGMENT'!$Q$8:$Q$154*'ANALYSE - ERP =&gt; SOUS-SEGMENT'!$AF$8:$AF$154),"")</f>
        <v>0.47724317851338632</v>
      </c>
      <c r="BB27" s="557">
        <f>IFERROR(SUMPRODUCT(('ANALYSE - ERP =&gt; SOUS-SEGMENT'!$C$8:$C$154=$C27)*'ANALYSE - ERP =&gt; SOUS-SEGMENT'!$Q$8:$Q$154*'ANALYSE - ERP =&gt; SOUS-SEGMENT'!$AF$8:$AF$154*'ANALYSE - ERP =&gt; SOUS-SEGMENT'!$BC$8:$BC$154)/SUMPRODUCT(('ANALYSE - ERP =&gt; SOUS-SEGMENT'!$C$8:$C$154=$C27)*'ANALYSE - ERP =&gt; SOUS-SEGMENT'!$Q$8:$Q$154*'ANALYSE - ERP =&gt; SOUS-SEGMENT'!$AF$8:$AF$154),"")</f>
        <v>3.2841715849798989</v>
      </c>
      <c r="BC27" s="558">
        <f>SUMPRODUCT(('ANALYSE - ERP =&gt; SOUS-SEGMENT'!$C$8:$C$154=$C27)*'ANALYSE - ERP =&gt; SOUS-SEGMENT'!$Q$8:$Q$154*'ANALYSE - ERP =&gt; SOUS-SEGMENT'!$BE$8:$BE$154)</f>
        <v>165341</v>
      </c>
      <c r="BD27" s="558">
        <f>SUMPRODUCT(('ANALYSE - ERP =&gt; SOUS-SEGMENT'!$C$8:$C$154=$C27)*'ANALYSE - ERP =&gt; SOUS-SEGMENT'!$Q$8:$Q$154*'ANALYSE - ERP =&gt; SOUS-SEGMENT'!$BF$8:$BF$154)</f>
        <v>0</v>
      </c>
      <c r="BE27" s="558">
        <f>SUMPRODUCT(('ANALYSE - ERP =&gt; SOUS-SEGMENT'!$C$8:$C$154=$C27)*'ANALYSE - ERP =&gt; SOUS-SEGMENT'!$Q$8:$Q$154*'ANALYSE - ERP =&gt; SOUS-SEGMENT'!$BG$8:$BG$154)</f>
        <v>22317.8</v>
      </c>
      <c r="BF27" s="558">
        <f>SUMPRODUCT(('ANALYSE - ERP =&gt; SOUS-SEGMENT'!$C$8:$C$154=$C27)*'ANALYSE - ERP =&gt; SOUS-SEGMENT'!$Q$8:$Q$154*'ANALYSE - ERP =&gt; SOUS-SEGMENT'!$BH$8:$BH$154)</f>
        <v>153581</v>
      </c>
      <c r="BG27" s="558">
        <f>SUMPRODUCT(('ANALYSE - ERP =&gt; SOUS-SEGMENT'!$C$8:$C$154=$C27)*'ANALYSE - ERP =&gt; SOUS-SEGMENT'!$Q$8:$Q$154*'ANALYSE - ERP =&gt; SOUS-SEGMENT'!$BJ$8:$BJ$154)</f>
        <v>165301</v>
      </c>
      <c r="BH27" s="558">
        <f>SUMPRODUCT(('ANALYSE - ERP =&gt; SOUS-SEGMENT'!$C$8:$C$154=$C27)*'ANALYSE - ERP =&gt; SOUS-SEGMENT'!$Q$8:$Q$154*'ANALYSE - ERP =&gt; SOUS-SEGMENT'!$BK$8:$BK$154)</f>
        <v>0</v>
      </c>
      <c r="BI27" s="558">
        <f>SUMPRODUCT(('ANALYSE - ERP =&gt; SOUS-SEGMENT'!$C$8:$C$154=$C27)*'ANALYSE - ERP =&gt; SOUS-SEGMENT'!$Q$8:$Q$154*'ANALYSE - ERP =&gt; SOUS-SEGMENT'!$BL$8:$BL$154)</f>
        <v>22262</v>
      </c>
      <c r="BJ27" s="558">
        <f>SUMPRODUCT(('ANALYSE - ERP =&gt; SOUS-SEGMENT'!$C$8:$C$154=$C27)*'ANALYSE - ERP =&gt; SOUS-SEGMENT'!$Q$8:$Q$154*'ANALYSE - ERP =&gt; SOUS-SEGMENT'!$BM$8:$BM$154)</f>
        <v>153565</v>
      </c>
      <c r="BK27" s="529"/>
      <c r="BL27" s="602">
        <f>IFERROR(SUMPRODUCT(('ANALYSE - ERP =&gt; SOUS-SEGMENT'!$C$8:$C$154=$C27)*'ANALYSE - ERP =&gt; SOUS-SEGMENT'!$Q$8:$Q$154*'ANALYSE - ERP =&gt; SOUS-SEGMENT'!$BE$8:$BE$154*'ANALYSE - ERP =&gt; SOUS-SEGMENT'!$BO$8:$BO$154)/SUMPRODUCT(('ANALYSE - ERP =&gt; SOUS-SEGMENT'!$C$8:$C$154=$C27)*'ANALYSE - ERP =&gt; SOUS-SEGMENT'!$Q$8:$Q$154*'ANALYSE - ERP =&gt; SOUS-SEGMENT'!$BE$8:$BE$154),"")</f>
        <v>0.32992397529953255</v>
      </c>
      <c r="BM27" s="532">
        <f>IFERROR(SUMPRODUCT(('ANALYSE - ERP =&gt; SOUS-SEGMENT'!$C$8:$C$154=$C27)*'ANALYSE - ERP =&gt; SOUS-SEGMENT'!$Q$8:$Q$154*'ANALYSE - ERP =&gt; SOUS-SEGMENT'!$BE$8:$BE$154*'ANALYSE - ERP =&gt; SOUS-SEGMENT'!$BP$8:$BP$154)/SUMPRODUCT(('ANALYSE - ERP =&gt; SOUS-SEGMENT'!$C$8:$C$154=$C27)*'ANALYSE - ERP =&gt; SOUS-SEGMENT'!$Q$8:$Q$154*'ANALYSE - ERP =&gt; SOUS-SEGMENT'!$BE$8:$BE$154),"")</f>
        <v>0.47953417482657057</v>
      </c>
      <c r="BN27" s="532">
        <f>IFERROR(SUMPRODUCT(('ANALYSE - ERP =&gt; SOUS-SEGMENT'!$C$8:$C$154=$C27)*'ANALYSE - ERP =&gt; SOUS-SEGMENT'!$Q$8:$Q$154*'ANALYSE - ERP =&gt; SOUS-SEGMENT'!$BE$8:$BE$154*'ANALYSE - ERP =&gt; SOUS-SEGMENT'!$BQ$8:$BQ$154)/SUMPRODUCT(('ANALYSE - ERP =&gt; SOUS-SEGMENT'!$C$8:$C$154=$C27)*'ANALYSE - ERP =&gt; SOUS-SEGMENT'!$Q$8:$Q$154*'ANALYSE - ERP =&gt; SOUS-SEGMENT'!$BE$8:$BE$154),"")</f>
        <v>0.15054184987389702</v>
      </c>
      <c r="BO27" s="603">
        <f>IFERROR(SUMPRODUCT(('ANALYSE - ERP =&gt; SOUS-SEGMENT'!$C$8:$C$154=$C27)*'ANALYSE - ERP =&gt; SOUS-SEGMENT'!$Q$8:$Q$154*'ANALYSE - ERP =&gt; SOUS-SEGMENT'!$BE$8:$BE$154*'ANALYSE - ERP =&gt; SOUS-SEGMENT'!$BR$8:$BR$154)/SUMPRODUCT(('ANALYSE - ERP =&gt; SOUS-SEGMENT'!$C$8:$C$154=$C27)*'ANALYSE - ERP =&gt; SOUS-SEGMENT'!$Q$8:$Q$154*'ANALYSE - ERP =&gt; SOUS-SEGMENT'!$BE$8:$BE$154),"")</f>
        <v>3.9999999999999994E-2</v>
      </c>
      <c r="BP27" s="602">
        <f>IFERROR(SUMPRODUCT(('ANALYSE - ERP =&gt; SOUS-SEGMENT'!$C$8:$C$154=$C27)*'ANALYSE - ERP =&gt; SOUS-SEGMENT'!$Q$8:$Q$154*'ANALYSE - ERP =&gt; SOUS-SEGMENT'!$BJ$8:$BJ$154*'ANALYSE - ERP =&gt; SOUS-SEGMENT'!$BS$8:$BS$154)/SUMPRODUCT(('ANALYSE - ERP =&gt; SOUS-SEGMENT'!$C$8:$C$154=$C27)*'ANALYSE - ERP =&gt; SOUS-SEGMENT'!$Q$8:$Q$154*'ANALYSE - ERP =&gt; SOUS-SEGMENT'!$BJ$8:$BJ$154),"")</f>
        <v>0.28830956860515061</v>
      </c>
      <c r="BQ27" s="532">
        <f>IFERROR(SUMPRODUCT(('ANALYSE - ERP =&gt; SOUS-SEGMENT'!$C$8:$C$154=$C27)*'ANALYSE - ERP =&gt; SOUS-SEGMENT'!$Q$8:$Q$154*'ANALYSE - ERP =&gt; SOUS-SEGMENT'!$BJ$8:$BJ$154*'ANALYSE - ERP =&gt; SOUS-SEGMENT'!$BT$8:$BT$154)/SUMPRODUCT(('ANALYSE - ERP =&gt; SOUS-SEGMENT'!$C$8:$C$154=$C27)*'ANALYSE - ERP =&gt; SOUS-SEGMENT'!$Q$8:$Q$154*'ANALYSE - ERP =&gt; SOUS-SEGMENT'!$BJ$8:$BJ$154),"")</f>
        <v>0.48208522634466827</v>
      </c>
      <c r="BR27" s="532">
        <f>IFERROR(SUMPRODUCT(('ANALYSE - ERP =&gt; SOUS-SEGMENT'!$C$8:$C$154=$C27)*'ANALYSE - ERP =&gt; SOUS-SEGMENT'!$Q$8:$Q$154*'ANALYSE - ERP =&gt; SOUS-SEGMENT'!$BJ$8:$BJ$154*'ANALYSE - ERP =&gt; SOUS-SEGMENT'!$BU$8:$BU$154)/SUMPRODUCT(('ANALYSE - ERP =&gt; SOUS-SEGMENT'!$C$8:$C$154=$C27)*'ANALYSE - ERP =&gt; SOUS-SEGMENT'!$Q$8:$Q$154*'ANALYSE - ERP =&gt; SOUS-SEGMENT'!$BJ$8:$BJ$154),"")</f>
        <v>0.1996052050501812</v>
      </c>
      <c r="BS27" s="603">
        <f>IFERROR(SUMPRODUCT(('ANALYSE - ERP =&gt; SOUS-SEGMENT'!$C$8:$C$154=$C27)*'ANALYSE - ERP =&gt; SOUS-SEGMENT'!$Q$8:$Q$154*'ANALYSE - ERP =&gt; SOUS-SEGMENT'!$BJ$8:$BJ$154*'ANALYSE - ERP =&gt; SOUS-SEGMENT'!$BV$8:$BV$154)/SUMPRODUCT(('ANALYSE - ERP =&gt; SOUS-SEGMENT'!$C$8:$C$154=$C27)*'ANALYSE - ERP =&gt; SOUS-SEGMENT'!$Q$8:$Q$154*'ANALYSE - ERP =&gt; SOUS-SEGMENT'!$BJ$8:$BJ$154),"")</f>
        <v>0.03</v>
      </c>
      <c r="BT27" s="604" t="str">
        <f>IFERROR(SUMPRODUCT(('ANALYSE - ERP =&gt; SOUS-SEGMENT'!$C$8:$C$154=$C27)*'ANALYSE - ERP =&gt; SOUS-SEGMENT'!$Q$8:$Q$154*'ANALYSE - ERP =&gt; SOUS-SEGMENT'!$BF$8:$BF$154*'ANALYSE - ERP =&gt; SOUS-SEGMENT'!$BW$8:$BW$154)/SUMPRODUCT(('ANALYSE - ERP =&gt; SOUS-SEGMENT'!$C$8:$C$154=$C27)*'ANALYSE - ERP =&gt; SOUS-SEGMENT'!$Q$8:$Q$154*'ANALYSE - ERP =&gt; SOUS-SEGMENT'!$BF$8:$BF$154),"")</f>
        <v/>
      </c>
      <c r="BU27" s="533" t="str">
        <f>IFERROR(SUMPRODUCT(('ANALYSE - ERP =&gt; SOUS-SEGMENT'!$C$8:$C$154=$C27)*'ANALYSE - ERP =&gt; SOUS-SEGMENT'!$Q$8:$Q$154*'ANALYSE - ERP =&gt; SOUS-SEGMENT'!$BF$8:$BF$154*'ANALYSE - ERP =&gt; SOUS-SEGMENT'!$BX$8:$BX$154)/SUMPRODUCT(('ANALYSE - ERP =&gt; SOUS-SEGMENT'!$C$8:$C$154=$C27)*'ANALYSE - ERP =&gt; SOUS-SEGMENT'!$Q$8:$Q$154*'ANALYSE - ERP =&gt; SOUS-SEGMENT'!$BF$8:$BF$154),"")</f>
        <v/>
      </c>
      <c r="BV27" s="605" t="str">
        <f>IFERROR(SUMPRODUCT(('ANALYSE - ERP =&gt; SOUS-SEGMENT'!$C$8:$C$154=$C27)*'ANALYSE - ERP =&gt; SOUS-SEGMENT'!$Q$8:$Q$154*'ANALYSE - ERP =&gt; SOUS-SEGMENT'!$BF$8:$BF$154*'ANALYSE - ERP =&gt; SOUS-SEGMENT'!$BY$8:$BY$154)/SUMPRODUCT(('ANALYSE - ERP =&gt; SOUS-SEGMENT'!$C$8:$C$154=$C27)*'ANALYSE - ERP =&gt; SOUS-SEGMENT'!$Q$8:$Q$154*'ANALYSE - ERP =&gt; SOUS-SEGMENT'!$BF$8:$BF$154),"")</f>
        <v/>
      </c>
      <c r="BW27" s="604" t="str">
        <f>IFERROR(SUMPRODUCT(('ANALYSE - ERP =&gt; SOUS-SEGMENT'!$C$8:$C$154=$C27)*'ANALYSE - ERP =&gt; SOUS-SEGMENT'!$Q$8:$Q$154*'ANALYSE - ERP =&gt; SOUS-SEGMENT'!$BK$8:$BK$154*'ANALYSE - ERP =&gt; SOUS-SEGMENT'!$BZ$8:$BZ$154)/SUMPRODUCT(('ANALYSE - ERP =&gt; SOUS-SEGMENT'!$C$8:$C$154=$C27)*'ANALYSE - ERP =&gt; SOUS-SEGMENT'!$Q$8:$Q$154*'ANALYSE - ERP =&gt; SOUS-SEGMENT'!$BK$8:$BK$154),"")</f>
        <v/>
      </c>
      <c r="BX27" s="533" t="str">
        <f>IFERROR(SUMPRODUCT(('ANALYSE - ERP =&gt; SOUS-SEGMENT'!$C$8:$C$154=$C27)*'ANALYSE - ERP =&gt; SOUS-SEGMENT'!$Q$8:$Q$154*'ANALYSE - ERP =&gt; SOUS-SEGMENT'!$BK$8:$BK$154*'ANALYSE - ERP =&gt; SOUS-SEGMENT'!$CA$8:$CA$154)/SUMPRODUCT(('ANALYSE - ERP =&gt; SOUS-SEGMENT'!$C$8:$C$154=$C27)*'ANALYSE - ERP =&gt; SOUS-SEGMENT'!$Q$8:$Q$154*'ANALYSE - ERP =&gt; SOUS-SEGMENT'!$BK$8:$BK$154),"")</f>
        <v/>
      </c>
      <c r="BY27" s="605" t="str">
        <f>IFERROR(SUMPRODUCT(('ANALYSE - ERP =&gt; SOUS-SEGMENT'!$C$8:$C$154=$C27)*'ANALYSE - ERP =&gt; SOUS-SEGMENT'!$Q$8:$Q$154*'ANALYSE - ERP =&gt; SOUS-SEGMENT'!$BK$8:$BK$154*'ANALYSE - ERP =&gt; SOUS-SEGMENT'!$CB$8:$CB$154)/SUMPRODUCT(('ANALYSE - ERP =&gt; SOUS-SEGMENT'!$C$8:$C$154=$C27)*'ANALYSE - ERP =&gt; SOUS-SEGMENT'!$Q$8:$Q$154*'ANALYSE - ERP =&gt; SOUS-SEGMENT'!$BK$8:$BK$154),"")</f>
        <v/>
      </c>
      <c r="BZ27" s="602">
        <f>IFERROR(SUMPRODUCT(('ANALYSE - ERP =&gt; SOUS-SEGMENT'!$C$8:$C$154=$C27)*'ANALYSE - ERP =&gt; SOUS-SEGMENT'!$Q$8:$Q$154*'ANALYSE - ERP =&gt; SOUS-SEGMENT'!$BG$8:$BG$154*'ANALYSE - ERP =&gt; SOUS-SEGMENT'!$CC$8:$CC$154)/SUMPRODUCT(('ANALYSE - ERP =&gt; SOUS-SEGMENT'!$C$8:$C$154=$C27)*'ANALYSE - ERP =&gt; SOUS-SEGMENT'!$Q$8:$Q$154*'ANALYSE - ERP =&gt; SOUS-SEGMENT'!$BG$8:$BG$154),"")</f>
        <v>0.11914955775210814</v>
      </c>
      <c r="CA27" s="532">
        <f>IFERROR(SUMPRODUCT(('ANALYSE - ERP =&gt; SOUS-SEGMENT'!$C$8:$C$154=$C27)*'ANALYSE - ERP =&gt; SOUS-SEGMENT'!$Q$8:$Q$154*'ANALYSE - ERP =&gt; SOUS-SEGMENT'!$BG$8:$BG$154*'ANALYSE - ERP =&gt; SOUS-SEGMENT'!$CD$8:$CD$154)/SUMPRODUCT(('ANALYSE - ERP =&gt; SOUS-SEGMENT'!$C$8:$C$154=$C27)*'ANALYSE - ERP =&gt; SOUS-SEGMENT'!$Q$8:$Q$154*'ANALYSE - ERP =&gt; SOUS-SEGMENT'!$BG$8:$BG$154),"")</f>
        <v>0.4927673874665065</v>
      </c>
      <c r="CB27" s="532">
        <f>IFERROR(SUMPRODUCT(('ANALYSE - ERP =&gt; SOUS-SEGMENT'!$C$8:$C$154=$C27)*'ANALYSE - ERP =&gt; SOUS-SEGMENT'!$Q$8:$Q$154*'ANALYSE - ERP =&gt; SOUS-SEGMENT'!$BG$8:$BG$154*'ANALYSE - ERP =&gt; SOUS-SEGMENT'!$CE$8:$CE$154)/SUMPRODUCT(('ANALYSE - ERP =&gt; SOUS-SEGMENT'!$C$8:$C$154=$C27)*'ANALYSE - ERP =&gt; SOUS-SEGMENT'!$Q$8:$Q$154*'ANALYSE - ERP =&gt; SOUS-SEGMENT'!$BG$8:$BG$154),"")</f>
        <v>0.22281828854098523</v>
      </c>
      <c r="CC27" s="603">
        <f>IFERROR(SUMPRODUCT(('ANALYSE - ERP =&gt; SOUS-SEGMENT'!$C$8:$C$154=$C27)*'ANALYSE - ERP =&gt; SOUS-SEGMENT'!$Q$8:$Q$154*'ANALYSE - ERP =&gt; SOUS-SEGMENT'!$BG$8:$BG$154*'ANALYSE - ERP =&gt; SOUS-SEGMENT'!$CF$8:$CF$154)/SUMPRODUCT(('ANALYSE - ERP =&gt; SOUS-SEGMENT'!$C$8:$C$154=$C27)*'ANALYSE - ERP =&gt; SOUS-SEGMENT'!$Q$8:$Q$154*'ANALYSE - ERP =&gt; SOUS-SEGMENT'!$BG$8:$BG$154),"")</f>
        <v>0.16526476624040004</v>
      </c>
      <c r="CD27" s="602">
        <f>IFERROR(SUMPRODUCT(('ANALYSE - ERP =&gt; SOUS-SEGMENT'!$C$8:$C$154=$C27)*'ANALYSE - ERP =&gt; SOUS-SEGMENT'!$Q$8:$Q$154*'ANALYSE - ERP =&gt; SOUS-SEGMENT'!$BL$8:$BL$154*'ANALYSE - ERP =&gt; SOUS-SEGMENT'!$CG$8:$CG$154)/SUMPRODUCT(('ANALYSE - ERP =&gt; SOUS-SEGMENT'!$C$8:$C$154=$C27)*'ANALYSE - ERP =&gt; SOUS-SEGMENT'!$Q$8:$Q$154*'ANALYSE - ERP =&gt; SOUS-SEGMENT'!$BL$8:$BL$154),"")</f>
        <v>9.9168987512352882E-2</v>
      </c>
      <c r="CE27" s="532">
        <f>IFERROR(SUMPRODUCT(('ANALYSE - ERP =&gt; SOUS-SEGMENT'!$C$8:$C$154=$C27)*'ANALYSE - ERP =&gt; SOUS-SEGMENT'!$Q$8:$Q$154*'ANALYSE - ERP =&gt; SOUS-SEGMENT'!$BL$8:$BL$154*'ANALYSE - ERP =&gt; SOUS-SEGMENT'!$CH$8:$CH$154)/SUMPRODUCT(('ANALYSE - ERP =&gt; SOUS-SEGMENT'!$C$8:$C$154=$C27)*'ANALYSE - ERP =&gt; SOUS-SEGMENT'!$Q$8:$Q$154*'ANALYSE - ERP =&gt; SOUS-SEGMENT'!$BL$8:$BL$154),"")</f>
        <v>0.48716287844757883</v>
      </c>
      <c r="CF27" s="532">
        <f>IFERROR(SUMPRODUCT(('ANALYSE - ERP =&gt; SOUS-SEGMENT'!$C$8:$C$154=$C27)*'ANALYSE - ERP =&gt; SOUS-SEGMENT'!$Q$8:$Q$154*'ANALYSE - ERP =&gt; SOUS-SEGMENT'!$BL$8:$BL$154*'ANALYSE - ERP =&gt; SOUS-SEGMENT'!$CI$8:$CI$154)/SUMPRODUCT(('ANALYSE - ERP =&gt; SOUS-SEGMENT'!$C$8:$C$154=$C27)*'ANALYSE - ERP =&gt; SOUS-SEGMENT'!$Q$8:$Q$154*'ANALYSE - ERP =&gt; SOUS-SEGMENT'!$BL$8:$BL$154),"")</f>
        <v>0.24764980684574617</v>
      </c>
      <c r="CG27" s="603">
        <f>IFERROR(SUMPRODUCT(('ANALYSE - ERP =&gt; SOUS-SEGMENT'!$C$8:$C$154=$C27)*'ANALYSE - ERP =&gt; SOUS-SEGMENT'!$Q$8:$Q$154*'ANALYSE - ERP =&gt; SOUS-SEGMENT'!$BL$8:$BL$154*'ANALYSE - ERP =&gt; SOUS-SEGMENT'!$CJ$8:$CJ$154)/SUMPRODUCT(('ANALYSE - ERP =&gt; SOUS-SEGMENT'!$C$8:$C$154=$C27)*'ANALYSE - ERP =&gt; SOUS-SEGMENT'!$Q$8:$Q$154*'ANALYSE - ERP =&gt; SOUS-SEGMENT'!$BL$8:$BL$154),"")</f>
        <v>0.16601832719432216</v>
      </c>
      <c r="CH27" s="604">
        <f>IFERROR(SUMPRODUCT(('ANALYSE - ERP =&gt; SOUS-SEGMENT'!$C$8:$C$154=$C27)*'ANALYSE - ERP =&gt; SOUS-SEGMENT'!$Q$8:$Q$154*'ANALYSE - ERP =&gt; SOUS-SEGMENT'!$BH$8:$BH$154*'ANALYSE - ERP =&gt; SOUS-SEGMENT'!$CK$8:$CK$154)/SUMPRODUCT(('ANALYSE - ERP =&gt; SOUS-SEGMENT'!$C$8:$C$154=$C27)*'ANALYSE - ERP =&gt; SOUS-SEGMENT'!$Q$8:$Q$154*'ANALYSE - ERP =&gt; SOUS-SEGMENT'!$BH$8:$BH$154),"")</f>
        <v>0.49809930915933609</v>
      </c>
      <c r="CI27" s="533">
        <f>IFERROR(SUMPRODUCT(('ANALYSE - ERP =&gt; SOUS-SEGMENT'!$C$8:$C$154=$C27)*'ANALYSE - ERP =&gt; SOUS-SEGMENT'!$Q$8:$Q$154*'ANALYSE - ERP =&gt; SOUS-SEGMENT'!$BH$8:$BH$154*'ANALYSE - ERP =&gt; SOUS-SEGMENT'!$CL$8:$CL$154)/SUMPRODUCT(('ANALYSE - ERP =&gt; SOUS-SEGMENT'!$C$8:$C$154=$C27)*'ANALYSE - ERP =&gt; SOUS-SEGMENT'!$Q$8:$Q$154*'ANALYSE - ERP =&gt; SOUS-SEGMENT'!$BH$8:$BH$154),"")</f>
        <v>0.33641205617882419</v>
      </c>
      <c r="CJ27" s="605">
        <f>IFERROR(SUMPRODUCT(('ANALYSE - ERP =&gt; SOUS-SEGMENT'!$C$8:$C$154=$C27)*'ANALYSE - ERP =&gt; SOUS-SEGMENT'!$Q$8:$Q$154*'ANALYSE - ERP =&gt; SOUS-SEGMENT'!$BH$8:$BH$154*'ANALYSE - ERP =&gt; SOUS-SEGMENT'!$CM$8:$CM$154)/SUMPRODUCT(('ANALYSE - ERP =&gt; SOUS-SEGMENT'!$C$8:$C$154=$C27)*'ANALYSE - ERP =&gt; SOUS-SEGMENT'!$Q$8:$Q$154*'ANALYSE - ERP =&gt; SOUS-SEGMENT'!$BH$8:$BH$154),"")</f>
        <v>0.16548863466183969</v>
      </c>
      <c r="CK27" s="604">
        <f>IFERROR(SUMPRODUCT(('ANALYSE - ERP =&gt; SOUS-SEGMENT'!$C$8:$C$154=$C27)*'ANALYSE - ERP =&gt; SOUS-SEGMENT'!$Q$8:$Q$154*'ANALYSE - ERP =&gt; SOUS-SEGMENT'!$BM$8:$BM$154*'ANALYSE - ERP =&gt; SOUS-SEGMENT'!$CN$8:$CN$154)/SUMPRODUCT(('ANALYSE - ERP =&gt; SOUS-SEGMENT'!$C$8:$C$154=$C27)*'ANALYSE - ERP =&gt; SOUS-SEGMENT'!$Q$8:$Q$154*'ANALYSE - ERP =&gt; SOUS-SEGMENT'!$BM$8:$BM$154),"")</f>
        <v>0.42573340279360522</v>
      </c>
      <c r="CL27" s="533">
        <f>IFERROR(SUMPRODUCT(('ANALYSE - ERP =&gt; SOUS-SEGMENT'!$C$8:$C$154=$C27)*'ANALYSE - ERP =&gt; SOUS-SEGMENT'!$Q$8:$Q$154*'ANALYSE - ERP =&gt; SOUS-SEGMENT'!$BM$8:$BM$154*'ANALYSE - ERP =&gt; SOUS-SEGMENT'!$CO$8:$CO$154)/SUMPRODUCT(('ANALYSE - ERP =&gt; SOUS-SEGMENT'!$C$8:$C$154=$C27)*'ANALYSE - ERP =&gt; SOUS-SEGMENT'!$Q$8:$Q$154*'ANALYSE - ERP =&gt; SOUS-SEGMENT'!$BM$8:$BM$154),"")</f>
        <v>0.36599023214925286</v>
      </c>
      <c r="CM27" s="605">
        <f>IFERROR(SUMPRODUCT(('ANALYSE - ERP =&gt; SOUS-SEGMENT'!$C$8:$C$154=$C27)*'ANALYSE - ERP =&gt; SOUS-SEGMENT'!$Q$8:$Q$154*'ANALYSE - ERP =&gt; SOUS-SEGMENT'!$BM$8:$BM$154*'ANALYSE - ERP =&gt; SOUS-SEGMENT'!$CP$8:$CP$154)/SUMPRODUCT(('ANALYSE - ERP =&gt; SOUS-SEGMENT'!$C$8:$C$154=$C27)*'ANALYSE - ERP =&gt; SOUS-SEGMENT'!$Q$8:$Q$154*'ANALYSE - ERP =&gt; SOUS-SEGMENT'!$BM$8:$BM$154),"")</f>
        <v>0.20827636505714192</v>
      </c>
      <c r="CN27" s="529"/>
      <c r="CO27" s="894">
        <f>IFERROR(SUMPRODUCT(('ANALYSE - ERP =&gt; SOUS-SEGMENT'!$C$8:$C$154=$C27)*'ANALYSE - ERP =&gt; SOUS-SEGMENT'!$DH$8:$DH$154*('ANALYSE - ERP =&gt; SOUS-SEGMENT'!$CR$8:$CR$154&gt;0)*'ANALYSE - ERP =&gt; SOUS-SEGMENT'!$CR$8:$CR$154)/SUMPRODUCT(('ANALYSE - ERP =&gt; SOUS-SEGMENT'!$C$8:$C$154=$C27)*'ANALYSE - ERP =&gt; SOUS-SEGMENT'!$DH$8:$DH$154*('ANALYSE - ERP =&gt; SOUS-SEGMENT'!$CR$8:$CR$154&gt;0)),"")</f>
        <v>12.999999999999996</v>
      </c>
      <c r="CP27" s="895">
        <f>IFERROR(SUMPRODUCT(('ANALYSE - ERP =&gt; SOUS-SEGMENT'!$C$8:$C$154=$C27)*'ANALYSE - ERP =&gt; SOUS-SEGMENT'!$DI$8:$DI$154*('ANALYSE - ERP =&gt; SOUS-SEGMENT'!$CS$8:$CS$154&gt;0)*'ANALYSE - ERP =&gt; SOUS-SEGMENT'!$CS$8:$CS$154)/SUMPRODUCT(('ANALYSE - ERP =&gt; SOUS-SEGMENT'!$C$8:$C$154=$C27)*'ANALYSE - ERP =&gt; SOUS-SEGMENT'!$DI$8:$DI$154*('ANALYSE - ERP =&gt; SOUS-SEGMENT'!$CS$8:$CS$154&gt;0)),"")</f>
        <v>13.525624495580095</v>
      </c>
      <c r="CQ27" s="895">
        <f>IFERROR(SUMPRODUCT(('ANALYSE - ERP =&gt; SOUS-SEGMENT'!$C$8:$C$154=$C27)*'ANALYSE - ERP =&gt; SOUS-SEGMENT'!$DJ$8:$DJ$154*('ANALYSE - ERP =&gt; SOUS-SEGMENT'!$CT$8:$CT$154&gt;0)*'ANALYSE - ERP =&gt; SOUS-SEGMENT'!$CT$8:$CT$154)/SUMPRODUCT(('ANALYSE - ERP =&gt; SOUS-SEGMENT'!$C$8:$C$154=$C27)*'ANALYSE - ERP =&gt; SOUS-SEGMENT'!$DJ$8:$DJ$154*('ANALYSE - ERP =&gt; SOUS-SEGMENT'!$CT$8:$CT$154&gt;0)),"")</f>
        <v>9.9999999999999982</v>
      </c>
      <c r="CR27" s="896">
        <f>IFERROR(SUMPRODUCT(('ANALYSE - ERP =&gt; SOUS-SEGMENT'!$C$8:$C$154=$C27)*'ANALYSE - ERP =&gt; SOUS-SEGMENT'!$DK$8:$DK$154*('ANALYSE - ERP =&gt; SOUS-SEGMENT'!$CU$8:$CU$154&gt;0)*'ANALYSE - ERP =&gt; SOUS-SEGMENT'!$CU$8:$CU$154)/SUMPRODUCT(('ANALYSE - ERP =&gt; SOUS-SEGMENT'!$C$8:$C$154=$C27)*'ANALYSE - ERP =&gt; SOUS-SEGMENT'!$DK$8:$DK$154*('ANALYSE - ERP =&gt; SOUS-SEGMENT'!$CU$8:$CU$154&gt;0)),"")</f>
        <v>11.999999999999995</v>
      </c>
      <c r="CS27" s="894" t="str">
        <f>IFERROR(SUMPRODUCT(('ANALYSE - ERP =&gt; SOUS-SEGMENT'!$C$8:$C$154=$C27)*'ANALYSE - ERP =&gt; SOUS-SEGMENT'!$DS$8:$DS$154*('ANALYSE - ERP =&gt; SOUS-SEGMENT'!$CV$8:$CV$154&gt;0)*'ANALYSE - ERP =&gt; SOUS-SEGMENT'!$CV$8:$CV$154)/SUMPRODUCT(('ANALYSE - ERP =&gt; SOUS-SEGMENT'!$C$8:$C$154=$C27)*'ANALYSE - ERP =&gt; SOUS-SEGMENT'!$DS$8:$DS$154*('ANALYSE - ERP =&gt; SOUS-SEGMENT'!$CV$8:$CV$154&gt;0)),"")</f>
        <v/>
      </c>
      <c r="CT27" s="895" t="str">
        <f>IFERROR(SUMPRODUCT(('ANALYSE - ERP =&gt; SOUS-SEGMENT'!$C$8:$C$154=$C27)*'ANALYSE - ERP =&gt; SOUS-SEGMENT'!$DT$8:$DT$154*('ANALYSE - ERP =&gt; SOUS-SEGMENT'!$CW$8:$CW$154&gt;0)*'ANALYSE - ERP =&gt; SOUS-SEGMENT'!$CW$8:$CW$154)/SUMPRODUCT(('ANALYSE - ERP =&gt; SOUS-SEGMENT'!$C$8:$C$154=$C27)*'ANALYSE - ERP =&gt; SOUS-SEGMENT'!$DT$8:$DT$154*('ANALYSE - ERP =&gt; SOUS-SEGMENT'!$CW$8:$CW$154&gt;0)),"")</f>
        <v/>
      </c>
      <c r="CU27" s="896" t="str">
        <f>IFERROR(SUMPRODUCT(('ANALYSE - ERP =&gt; SOUS-SEGMENT'!$C$8:$C$154=$C27)*'ANALYSE - ERP =&gt; SOUS-SEGMENT'!$DU$8:$DU$154*('ANALYSE - ERP =&gt; SOUS-SEGMENT'!$CX$8:$CX$154&gt;0)*'ANALYSE - ERP =&gt; SOUS-SEGMENT'!$CX$8:$CX$154)/SUMPRODUCT(('ANALYSE - ERP =&gt; SOUS-SEGMENT'!$C$8:$C$154=$C27)*'ANALYSE - ERP =&gt; SOUS-SEGMENT'!$DU$8:$DU$154*('ANALYSE - ERP =&gt; SOUS-SEGMENT'!$CX$8:$CX$154&gt;0)),"")</f>
        <v/>
      </c>
      <c r="CV27" s="894">
        <f>IFERROR(SUMPRODUCT(('ANALYSE - ERP =&gt; SOUS-SEGMENT'!$C$8:$C$154=$C27)*'ANALYSE - ERP =&gt; SOUS-SEGMENT'!$EB$8:$EB$154*('ANALYSE - ERP =&gt; SOUS-SEGMENT'!$CY$8:$CY$154&gt;0)*'ANALYSE - ERP =&gt; SOUS-SEGMENT'!$CY$8:$CY$154)/SUMPRODUCT(('ANALYSE - ERP =&gt; SOUS-SEGMENT'!$C$8:$C$154=$C27)*'ANALYSE - ERP =&gt; SOUS-SEGMENT'!$EB$8:$EB$154*('ANALYSE - ERP =&gt; SOUS-SEGMENT'!$CY$8:$CY$154&gt;0)),"")</f>
        <v>11</v>
      </c>
      <c r="CW27" s="895">
        <f>IFERROR(SUMPRODUCT(('ANALYSE - ERP =&gt; SOUS-SEGMENT'!$C$8:$C$154=$C27)*'ANALYSE - ERP =&gt; SOUS-SEGMENT'!$EC$8:$EC$154*('ANALYSE - ERP =&gt; SOUS-SEGMENT'!$CZ$8:$CZ$154&gt;0)*'ANALYSE - ERP =&gt; SOUS-SEGMENT'!$CZ$8:$CZ$154)/SUMPRODUCT(('ANALYSE - ERP =&gt; SOUS-SEGMENT'!$C$8:$C$154=$C27)*'ANALYSE - ERP =&gt; SOUS-SEGMENT'!$EC$8:$EC$154*('ANALYSE - ERP =&gt; SOUS-SEGMENT'!$CZ$8:$CZ$154&gt;0)),"")</f>
        <v>13.000000000000002</v>
      </c>
      <c r="CX27" s="895">
        <f>IFERROR(SUMPRODUCT(('ANALYSE - ERP =&gt; SOUS-SEGMENT'!$C$8:$C$154=$C27)*'ANALYSE - ERP =&gt; SOUS-SEGMENT'!$ED$8:$ED$154*('ANALYSE - ERP =&gt; SOUS-SEGMENT'!$DA$8:$DA$154&gt;0)*'ANALYSE - ERP =&gt; SOUS-SEGMENT'!$DA$8:$DA$154)/SUMPRODUCT(('ANALYSE - ERP =&gt; SOUS-SEGMENT'!$C$8:$C$154=$C27)*'ANALYSE - ERP =&gt; SOUS-SEGMENT'!$ED$8:$ED$154*('ANALYSE - ERP =&gt; SOUS-SEGMENT'!$DA$8:$DA$154&gt;0)),"")</f>
        <v>9</v>
      </c>
      <c r="CY27" s="897">
        <f>IFERROR(SUMPRODUCT(('ANALYSE - ERP =&gt; SOUS-SEGMENT'!$C$8:$C$154=$C27)*'ANALYSE - ERP =&gt; SOUS-SEGMENT'!$EE$8:$EE$154*('ANALYSE - ERP =&gt; SOUS-SEGMENT'!$DB$8:$DB$154&gt;0)*'ANALYSE - ERP =&gt; SOUS-SEGMENT'!$DB$8:$DB$154)/SUMPRODUCT(('ANALYSE - ERP =&gt; SOUS-SEGMENT'!$C$8:$C$154=$C27)*'ANALYSE - ERP =&gt; SOUS-SEGMENT'!$EE$8:$EE$154*('ANALYSE - ERP =&gt; SOUS-SEGMENT'!$DB$8:$DB$154&gt;0)),"")</f>
        <v>11</v>
      </c>
      <c r="CZ27" s="898">
        <f>IFERROR(SUMPRODUCT(('ANALYSE - ERP =&gt; SOUS-SEGMENT'!$C$8:$C$154=$C27)*'ANALYSE - ERP =&gt; SOUS-SEGMENT'!$EM$8:$EM$154*('ANALYSE - ERP =&gt; SOUS-SEGMENT'!$DC$8:$DC$154&gt;0)*'ANALYSE - ERP =&gt; SOUS-SEGMENT'!$DC$8:$DC$154)/SUMPRODUCT(('ANALYSE - ERP =&gt; SOUS-SEGMENT'!$C$8:$C$154=$C27)*'ANALYSE - ERP =&gt; SOUS-SEGMENT'!$EM$8:$EM$154*('ANALYSE - ERP =&gt; SOUS-SEGMENT'!$DC$8:$DC$154&gt;0)),"")</f>
        <v>13.946358880200542</v>
      </c>
      <c r="DA27" s="895">
        <f>IFERROR(SUMPRODUCT(('ANALYSE - ERP =&gt; SOUS-SEGMENT'!$C$8:$C$154=$C27)*'ANALYSE - ERP =&gt; SOUS-SEGMENT'!$EN$8:$EN$154*('ANALYSE - ERP =&gt; SOUS-SEGMENT'!$DD$8:$DD$154&gt;0)*'ANALYSE - ERP =&gt; SOUS-SEGMENT'!$DD$8:$DD$154)/SUMPRODUCT(('ANALYSE - ERP =&gt; SOUS-SEGMENT'!$C$8:$C$154=$C27)*'ANALYSE - ERP =&gt; SOUS-SEGMENT'!$EN$8:$EN$154*('ANALYSE - ERP =&gt; SOUS-SEGMENT'!$DD$8:$DD$154&gt;0)),"")</f>
        <v>13.975983533978763</v>
      </c>
      <c r="DB27" s="897">
        <f>IFERROR(SUMPRODUCT(('ANALYSE - ERP =&gt; SOUS-SEGMENT'!$C$8:$C$154=$C27)*'ANALYSE - ERP =&gt; SOUS-SEGMENT'!$EO$8:$EO$154*('ANALYSE - ERP =&gt; SOUS-SEGMENT'!$DE$8:$DE$154&gt;0)*'ANALYSE - ERP =&gt; SOUS-SEGMENT'!$DE$8:$DE$154)/SUMPRODUCT(('ANALYSE - ERP =&gt; SOUS-SEGMENT'!$C$8:$C$154=$C27)*'ANALYSE - ERP =&gt; SOUS-SEGMENT'!$EO$8:$EO$154*('ANALYSE - ERP =&gt; SOUS-SEGMENT'!$DE$8:$DE$154&gt;0)),"")</f>
        <v>10.000000000000002</v>
      </c>
      <c r="DC27" s="611" t="s">
        <v>7198</v>
      </c>
      <c r="DD27" s="529"/>
      <c r="DE27" s="559">
        <f t="shared" si="2"/>
        <v>54549.960000000014</v>
      </c>
      <c r="DF27" s="559">
        <f t="shared" si="3"/>
        <v>79286.66</v>
      </c>
      <c r="DG27" s="559">
        <f t="shared" si="4"/>
        <v>24890.740000000005</v>
      </c>
      <c r="DH27" s="559">
        <f t="shared" si="5"/>
        <v>6613.6399999999994</v>
      </c>
      <c r="DI27" s="560" t="s">
        <v>7199</v>
      </c>
      <c r="DJ27" s="559">
        <f t="shared" si="6"/>
        <v>47657.86</v>
      </c>
      <c r="DK27" s="559">
        <f t="shared" si="7"/>
        <v>79689.170000000013</v>
      </c>
      <c r="DL27" s="559">
        <f t="shared" si="8"/>
        <v>32994.94</v>
      </c>
      <c r="DM27" s="559">
        <f t="shared" si="9"/>
        <v>4959.03</v>
      </c>
      <c r="DN27" s="560" t="s">
        <v>7200</v>
      </c>
      <c r="DO27" s="529"/>
      <c r="DP27" s="559">
        <f t="shared" si="10"/>
        <v>0</v>
      </c>
      <c r="DQ27" s="559">
        <f t="shared" si="11"/>
        <v>0</v>
      </c>
      <c r="DR27" s="559">
        <f t="shared" si="12"/>
        <v>0</v>
      </c>
      <c r="DS27" s="560" t="s">
        <v>7201</v>
      </c>
      <c r="DT27" s="559">
        <f t="shared" si="13"/>
        <v>0</v>
      </c>
      <c r="DU27" s="559">
        <f t="shared" si="14"/>
        <v>0</v>
      </c>
      <c r="DV27" s="559">
        <f t="shared" si="15"/>
        <v>0</v>
      </c>
      <c r="DW27" s="560" t="s">
        <v>7202</v>
      </c>
      <c r="DX27" s="529"/>
      <c r="DY27" s="559">
        <f t="shared" si="16"/>
        <v>2659.155999999999</v>
      </c>
      <c r="DZ27" s="559">
        <f t="shared" si="17"/>
        <v>10997.483999999999</v>
      </c>
      <c r="EA27" s="559">
        <f t="shared" si="18"/>
        <v>4972.8140000000003</v>
      </c>
      <c r="EB27" s="559">
        <f t="shared" si="19"/>
        <v>3688.346</v>
      </c>
      <c r="EC27" s="560" t="s">
        <v>7203</v>
      </c>
      <c r="ED27" s="559">
        <f t="shared" si="20"/>
        <v>2207.6999999999998</v>
      </c>
      <c r="EE27" s="559">
        <f t="shared" si="21"/>
        <v>10845.22</v>
      </c>
      <c r="EF27" s="559">
        <f t="shared" si="22"/>
        <v>5513.1800000000012</v>
      </c>
      <c r="EG27" s="559">
        <f t="shared" si="23"/>
        <v>3695.9</v>
      </c>
      <c r="EH27" s="560" t="s">
        <v>7204</v>
      </c>
      <c r="EI27" s="537"/>
      <c r="EJ27" s="559">
        <f t="shared" si="24"/>
        <v>76498.59</v>
      </c>
      <c r="EK27" s="562">
        <f t="shared" si="25"/>
        <v>51666.5</v>
      </c>
      <c r="EL27" s="562">
        <f t="shared" si="26"/>
        <v>25415.91</v>
      </c>
      <c r="EM27" s="560" t="s">
        <v>7205</v>
      </c>
      <c r="EN27" s="559">
        <f t="shared" si="27"/>
        <v>65377.749999999985</v>
      </c>
      <c r="EO27" s="562">
        <f t="shared" si="28"/>
        <v>56203.290000000015</v>
      </c>
      <c r="EP27" s="562">
        <f t="shared" si="29"/>
        <v>31983.96</v>
      </c>
      <c r="EQ27" s="561" t="s">
        <v>7206</v>
      </c>
      <c r="ER27" s="529"/>
      <c r="ES27" s="740">
        <f t="shared" si="30"/>
        <v>0.88796265955624476</v>
      </c>
      <c r="ET27" s="740">
        <f t="shared" si="31"/>
        <v>7.6898818532154467E-2</v>
      </c>
      <c r="EU27" s="563">
        <f t="shared" si="32"/>
        <v>124993.09881260674</v>
      </c>
      <c r="EV27" s="563">
        <f t="shared" si="33"/>
        <v>108576.91357260675</v>
      </c>
      <c r="EW27" s="563">
        <f t="shared" si="34"/>
        <v>16416.185239999999</v>
      </c>
      <c r="EX27" s="563">
        <f t="shared" si="35"/>
        <v>60811.153781151217</v>
      </c>
      <c r="EY27" s="563">
        <f>SUMPRODUCT(('ANALYSE - ERP =&gt; SOUS-SEGMENT'!$C$8:$C$154=$C27)*'ANALYSE - ERP =&gt; SOUS-SEGMENT'!$Q$8:$Q$154*'ANALYSE - ERP =&gt; SOUS-SEGMENT'!$FB$8:$FB$154)</f>
        <v>52826.961981151217</v>
      </c>
      <c r="EZ27" s="563">
        <f>SUMPRODUCT(('ANALYSE - ERP =&gt; SOUS-SEGMENT'!$C$8:$C$154=$C27)*'ANALYSE - ERP =&gt; SOUS-SEGMENT'!$Q$8:$Q$154*'ANALYSE - ERP =&gt; SOUS-SEGMENT'!$FC$8:$FC$154)</f>
        <v>7984.1918000000005</v>
      </c>
      <c r="FA27" s="563">
        <f t="shared" si="36"/>
        <v>0</v>
      </c>
      <c r="FB27" s="563">
        <f>SUMPRODUCT(('ANALYSE - ERP =&gt; SOUS-SEGMENT'!$C$8:$C$154=$C27)*'ANALYSE - ERP =&gt; SOUS-SEGMENT'!$Q$8:$Q$154*'ANALYSE - ERP =&gt; SOUS-SEGMENT'!$FE$8:$FE$154)</f>
        <v>0</v>
      </c>
      <c r="FC27" s="563">
        <f>SUMPRODUCT(('ANALYSE - ERP =&gt; SOUS-SEGMENT'!$C$8:$C$154=$C27)*'ANALYSE - ERP =&gt; SOUS-SEGMENT'!$Q$8:$Q$154*'ANALYSE - ERP =&gt; SOUS-SEGMENT'!$FF$8:$FF$154)</f>
        <v>0</v>
      </c>
      <c r="FD27" s="563">
        <f t="shared" si="37"/>
        <v>9458.0374944641426</v>
      </c>
      <c r="FE27" s="563">
        <f>SUMPRODUCT(('ANALYSE - ERP =&gt; SOUS-SEGMENT'!$C$8:$C$154=$C27)*'ANALYSE - ERP =&gt; SOUS-SEGMENT'!$Q$8:$Q$154*'ANALYSE - ERP =&gt; SOUS-SEGMENT'!$FH$8:$FH$154)</f>
        <v>8352.0352544641428</v>
      </c>
      <c r="FF27" s="563">
        <f>SUMPRODUCT(('ANALYSE - ERP =&gt; SOUS-SEGMENT'!$C$8:$C$154=$C27)*'ANALYSE - ERP =&gt; SOUS-SEGMENT'!$Q$8:$Q$154*'ANALYSE - ERP =&gt; SOUS-SEGMENT'!$FI$8:$FI$154)</f>
        <v>1106.0022399999998</v>
      </c>
      <c r="FG27" s="563">
        <f t="shared" si="38"/>
        <v>54723.907536991384</v>
      </c>
      <c r="FH27" s="563">
        <f>SUMPRODUCT(('ANALYSE - ERP =&gt; SOUS-SEGMENT'!$C$8:$C$154=$C27)*'ANALYSE - ERP =&gt; SOUS-SEGMENT'!$Q$8:$Q$154*'ANALYSE - ERP =&gt; SOUS-SEGMENT'!$FK$8:$FK$154)</f>
        <v>47397.916336991388</v>
      </c>
      <c r="FI27" s="563">
        <f>SUMPRODUCT(('ANALYSE - ERP =&gt; SOUS-SEGMENT'!$C$8:$C$154=$C27)*'ANALYSE - ERP =&gt; SOUS-SEGMENT'!$Q$8:$Q$154*'ANALYSE - ERP =&gt; SOUS-SEGMENT'!$FL$8:$FL$154)</f>
        <v>7325.9911999999986</v>
      </c>
      <c r="FJ27" s="529"/>
      <c r="FK27" s="564" t="s">
        <v>2649</v>
      </c>
      <c r="FL27" s="740">
        <f>IFERROR(SUMPRODUCT(('ANALYSE - ERP =&gt; SOUS-SEGMENT'!$C$8:$C$154=$C27)*'ANALYSE - ERP =&gt; SOUS-SEGMENT'!$Q$8:$Q$154*'ANALYSE - ERP =&gt; SOUS-SEGMENT'!$AF$8:$AF$154*'ANALYSE - ERP =&gt; SOUS-SEGMENT'!$FO$8:$FO$154)/SUMPRODUCT(('ANALYSE - ERP =&gt; SOUS-SEGMENT'!$C$8:$C$154=$C27)*'ANALYSE - ERP =&gt; SOUS-SEGMENT'!$Q$8:$Q$154*'ANALYSE - ERP =&gt; SOUS-SEGMENT'!$AF$8:$AF$154),"")</f>
        <v>4.3663287999315709E-2</v>
      </c>
      <c r="FM27" s="741">
        <f>IFERROR(SUMPRODUCT(('ANALYSE - ERP =&gt; SOUS-SEGMENT'!$C$8:$C$154=$C27)*'ANALYSE - ERP =&gt; SOUS-SEGMENT'!$Q$8:$Q$154*'ANALYSE - ERP =&gt; SOUS-SEGMENT'!$AF$8:$AF$154*'ANALYSE - ERP =&gt; SOUS-SEGMENT'!$FP$8:$FP$154)/SUMPRODUCT(('ANALYSE - ERP =&gt; SOUS-SEGMENT'!$C$8:$C$154=$C27)*'ANALYSE - ERP =&gt; SOUS-SEGMENT'!$Q$8:$Q$154*'ANALYSE - ERP =&gt; SOUS-SEGMENT'!$AF$8:$AF$154),"")</f>
        <v>0.77630188093405172</v>
      </c>
      <c r="FN27" s="565" t="s">
        <v>6780</v>
      </c>
      <c r="FO27" s="529"/>
      <c r="FP27" s="867">
        <f>IFERROR(SUMPRODUCT(('ANALYSE - ERP =&gt; SOUS-SEGMENT'!$C$8:$C$154=$C27)*'ANALYSE - ERP =&gt; SOUS-SEGMENT'!$Q$8:$Q$154*'ANALYSE - ERP =&gt; SOUS-SEGMENT'!$EX$8:$EX$154*'ANALYSE - ERP =&gt; SOUS-SEGMENT'!$FS$8:$FS$154)/SUMPRODUCT(('ANALYSE - ERP =&gt; SOUS-SEGMENT'!$C$8:$C$154=$C27)*'ANALYSE - ERP =&gt; SOUS-SEGMENT'!$Q$8:$Q$154*'ANALYSE - ERP =&gt; SOUS-SEGMENT'!$EX$8:$EX$154),"")</f>
        <v>3.0281635626366223</v>
      </c>
      <c r="FQ27" s="566">
        <f>RANK($FP27,$FP$8:$FP$143,0)+COUNTIF($FP$8:$FP27,$FP27)-1</f>
        <v>27</v>
      </c>
      <c r="FR27" s="867">
        <f>IFERROR(SUMPRODUCT(('ANALYSE - ERP =&gt; SOUS-SEGMENT'!$C$8:$C$154=$C27)*'ANALYSE - ERP =&gt; SOUS-SEGMENT'!$Q$8:$Q$154*'ANALYSE - ERP =&gt; SOUS-SEGMENT'!$EY$8:$EY$154*'ANALYSE - ERP =&gt; SOUS-SEGMENT'!$FU$8:$FU$154)/SUMPRODUCT(('ANALYSE - ERP =&gt; SOUS-SEGMENT'!$C$8:$C$154=$C27)*'ANALYSE - ERP =&gt; SOUS-SEGMENT'!$Q$8:$Q$154*'ANALYSE - ERP =&gt; SOUS-SEGMENT'!$EY$8:$EY$154),"")</f>
        <v>3.5874980346430281</v>
      </c>
      <c r="FS27" s="566">
        <f>RANK($FR27,$FR$8:$FR$143,0)+COUNTIF($FR$8:$FR27,$FR27)-1</f>
        <v>32</v>
      </c>
      <c r="FT27" s="867">
        <f>IFERROR(SUMPRODUCT(('ANALYSE - ERP =&gt; SOUS-SEGMENT'!$C$8:$C$154=$C27)*'ANALYSE - ERP =&gt; SOUS-SEGMENT'!$Q$8:$Q$154*'ANALYSE - ERP =&gt; SOUS-SEGMENT'!$EZ$8:$EZ$154*'ANALYSE - ERP =&gt; SOUS-SEGMENT'!$FW$8:$FW$154)/SUMPRODUCT(('ANALYSE - ERP =&gt; SOUS-SEGMENT'!$C$8:$C$154=$C27)*'ANALYSE - ERP =&gt; SOUS-SEGMENT'!$Q$8:$Q$154*'ANALYSE - ERP =&gt; SOUS-SEGMENT'!$EZ$8:$EZ$154),"")</f>
        <v>2.0784338450605833</v>
      </c>
      <c r="FU27" s="566">
        <f>RANK($FT27,$FT$8:$FT$143,0)+COUNTIF($FT$8:$FT27,$FT27)-1</f>
        <v>24</v>
      </c>
      <c r="FV27" s="529"/>
      <c r="FW27" s="567" t="s">
        <v>7207</v>
      </c>
      <c r="FX27" s="567" t="s">
        <v>7208</v>
      </c>
      <c r="FY27" s="567" t="s">
        <v>7209</v>
      </c>
      <c r="FZ27" s="567" t="s">
        <v>7210</v>
      </c>
      <c r="GA27" s="567" t="s">
        <v>7211</v>
      </c>
      <c r="GB27" s="567" t="s">
        <v>7212</v>
      </c>
      <c r="GC27" s="567" t="s">
        <v>6759</v>
      </c>
      <c r="GD27" s="529"/>
      <c r="GE27" s="563">
        <f>SUMPRODUCT(('ANALYSE - ERP =&gt; SOUS-SEGMENT'!$C$8:$C$154=$C27)*'ANALYSE - ERP =&gt; SOUS-SEGMENT'!$Q$8:$Q$154*'ANALYSE - ERP =&gt; SOUS-SEGMENT'!$GH$8:$GH$154)</f>
        <v>19582.336215361542</v>
      </c>
      <c r="GF27" s="563">
        <f>SUMPRODUCT(('ANALYSE - ERP =&gt; SOUS-SEGMENT'!$C$8:$C$154=$C27)*'ANALYSE - ERP =&gt; SOUS-SEGMENT'!$Q$8:$Q$154*'ANALYSE - ERP =&gt; SOUS-SEGMENT'!$GI$8:$GI$154)</f>
        <v>17330.43854536154</v>
      </c>
      <c r="GG27" s="563">
        <f>SUMPRODUCT(('ANALYSE - ERP =&gt; SOUS-SEGMENT'!$C$8:$C$154=$C27)*'ANALYSE - ERP =&gt; SOUS-SEGMENT'!$Q$8:$Q$154*'ANALYSE - ERP =&gt; SOUS-SEGMENT'!$GJ$8:$GJ$154)</f>
        <v>2251.8976699999998</v>
      </c>
      <c r="GH27" s="563">
        <f>SUMPRODUCT(('ANALYSE - ERP =&gt; SOUS-SEGMENT'!$C$8:$C$154=$C27)*'ANALYSE - ERP =&gt; SOUS-SEGMENT'!$Q$8:$Q$154*'ANALYSE - ERP =&gt; SOUS-SEGMENT'!$GK$8:$GK$154)</f>
        <v>27454.68006052967</v>
      </c>
      <c r="GI27" s="563">
        <f>SUMPRODUCT(('ANALYSE - ERP =&gt; SOUS-SEGMENT'!$C$8:$C$154=$C27)*'ANALYSE - ERP =&gt; SOUS-SEGMENT'!$Q$8:$Q$154*'ANALYSE - ERP =&gt; SOUS-SEGMENT'!$GL$8:$GL$154)</f>
        <v>23511.660418529671</v>
      </c>
      <c r="GJ27" s="563">
        <f>SUMPRODUCT(('ANALYSE - ERP =&gt; SOUS-SEGMENT'!$C$8:$C$154=$C27)*'ANALYSE - ERP =&gt; SOUS-SEGMENT'!$Q$8:$Q$154*'ANALYSE - ERP =&gt; SOUS-SEGMENT'!$GM$8:$GM$154)</f>
        <v>3943.0196420000002</v>
      </c>
      <c r="GK27" s="563">
        <f>SUMPRODUCT(('ANALYSE - ERP =&gt; SOUS-SEGMENT'!$C$8:$C$154=$C27)*'ANALYSE - ERP =&gt; SOUS-SEGMENT'!$Q$8:$Q$154*'ANALYSE - ERP =&gt; SOUS-SEGMENT'!$GN$8:$GN$154)</f>
        <v>11312.020346260002</v>
      </c>
      <c r="GL27" s="563">
        <f>SUMPRODUCT(('ANALYSE - ERP =&gt; SOUS-SEGMENT'!$C$8:$C$154=$C27)*'ANALYSE - ERP =&gt; SOUS-SEGMENT'!$Q$8:$Q$154*'ANALYSE - ERP =&gt; SOUS-SEGMENT'!$GO$8:$GO$154)</f>
        <v>9762.2716122599977</v>
      </c>
      <c r="GM27" s="563">
        <f>SUMPRODUCT(('ANALYSE - ERP =&gt; SOUS-SEGMENT'!$C$8:$C$154=$C27)*'ANALYSE - ERP =&gt; SOUS-SEGMENT'!$Q$8:$Q$154*'ANALYSE - ERP =&gt; SOUS-SEGMENT'!$GP$8:$GP$154)</f>
        <v>1549.7487339999993</v>
      </c>
      <c r="GN27" s="563">
        <f>SUMPRODUCT(('ANALYSE - ERP =&gt; SOUS-SEGMENT'!$C$8:$C$154=$C27)*'ANALYSE - ERP =&gt; SOUS-SEGMENT'!$Q$8:$Q$154*'ANALYSE - ERP =&gt; SOUS-SEGMENT'!$GQ$8:$GQ$154)</f>
        <v>2462.1171589999999</v>
      </c>
      <c r="GO27" s="563">
        <f>SUMPRODUCT(('ANALYSE - ERP =&gt; SOUS-SEGMENT'!$C$8:$C$154=$C27)*'ANALYSE - ERP =&gt; SOUS-SEGMENT'!$Q$8:$Q$154*'ANALYSE - ERP =&gt; SOUS-SEGMENT'!$GR$8:$GR$154)</f>
        <v>2222.5914050000001</v>
      </c>
      <c r="GP27" s="563">
        <f>SUMPRODUCT(('ANALYSE - ERP =&gt; SOUS-SEGMENT'!$C$8:$C$154=$C27)*'ANALYSE - ERP =&gt; SOUS-SEGMENT'!$Q$8:$Q$154*'ANALYSE - ERP =&gt; SOUS-SEGMENT'!$GS$8:$GS$154)</f>
        <v>239.52575400000001</v>
      </c>
      <c r="GQ27" s="563">
        <f>SUMPRODUCT(('ANALYSE - ERP =&gt; SOUS-SEGMENT'!$C$8:$C$154=$C27)*'ANALYSE - ERP =&gt; SOUS-SEGMENT'!$Q$8:$Q$154*'ANALYSE - ERP =&gt; SOUS-SEGMENT'!$GT$8:$GT$154)</f>
        <v>0</v>
      </c>
      <c r="GR27" s="563">
        <f>SUMPRODUCT(('ANALYSE - ERP =&gt; SOUS-SEGMENT'!$C$8:$C$154=$C27)*'ANALYSE - ERP =&gt; SOUS-SEGMENT'!$Q$8:$Q$154*'ANALYSE - ERP =&gt; SOUS-SEGMENT'!$GU$8:$GU$154)</f>
        <v>0</v>
      </c>
      <c r="GS27" s="563">
        <f>SUMPRODUCT(('ANALYSE - ERP =&gt; SOUS-SEGMENT'!$C$8:$C$154=$C27)*'ANALYSE - ERP =&gt; SOUS-SEGMENT'!$Q$8:$Q$154*'ANALYSE - ERP =&gt; SOUS-SEGMENT'!$GV$8:$GV$154)</f>
        <v>0</v>
      </c>
      <c r="GT27" s="563">
        <f>SUMPRODUCT(('ANALYSE - ERP =&gt; SOUS-SEGMENT'!$C$8:$C$154=$C27)*'ANALYSE - ERP =&gt; SOUS-SEGMENT'!$Q$8:$Q$154*'ANALYSE - ERP =&gt; SOUS-SEGMENT'!$GW$8:$GW$154)</f>
        <v>0</v>
      </c>
      <c r="GU27" s="563">
        <f>SUMPRODUCT(('ANALYSE - ERP =&gt; SOUS-SEGMENT'!$C$8:$C$154=$C27)*'ANALYSE - ERP =&gt; SOUS-SEGMENT'!$Q$8:$Q$154*'ANALYSE - ERP =&gt; SOUS-SEGMENT'!$GX$8:$GX$154)</f>
        <v>0</v>
      </c>
      <c r="GV27" s="563">
        <f>SUMPRODUCT(('ANALYSE - ERP =&gt; SOUS-SEGMENT'!$C$8:$C$154=$C27)*'ANALYSE - ERP =&gt; SOUS-SEGMENT'!$Q$8:$Q$154*'ANALYSE - ERP =&gt; SOUS-SEGMENT'!$GY$8:$GY$154)</f>
        <v>0</v>
      </c>
      <c r="GW27" s="563">
        <f>SUMPRODUCT(('ANALYSE - ERP =&gt; SOUS-SEGMENT'!$C$8:$C$154=$C27)*'ANALYSE - ERP =&gt; SOUS-SEGMENT'!$Q$8:$Q$154*'ANALYSE - ERP =&gt; SOUS-SEGMENT'!$GZ$8:$GZ$154)</f>
        <v>0</v>
      </c>
      <c r="GX27" s="563">
        <f>SUMPRODUCT(('ANALYSE - ERP =&gt; SOUS-SEGMENT'!$C$8:$C$154=$C27)*'ANALYSE - ERP =&gt; SOUS-SEGMENT'!$Q$8:$Q$154*'ANALYSE - ERP =&gt; SOUS-SEGMENT'!$HA$8:$HA$154)</f>
        <v>0</v>
      </c>
      <c r="GY27" s="563">
        <f>SUMPRODUCT(('ANALYSE - ERP =&gt; SOUS-SEGMENT'!$C$8:$C$154=$C27)*'ANALYSE - ERP =&gt; SOUS-SEGMENT'!$Q$8:$Q$154*'ANALYSE - ERP =&gt; SOUS-SEGMENT'!$HB$8:$HB$154)</f>
        <v>0</v>
      </c>
      <c r="GZ27" s="563">
        <f>SUMPRODUCT(('ANALYSE - ERP =&gt; SOUS-SEGMENT'!$C$8:$C$154=$C27)*'ANALYSE - ERP =&gt; SOUS-SEGMENT'!$Q$8:$Q$154*'ANALYSE - ERP =&gt; SOUS-SEGMENT'!$HC$8:$HC$154)</f>
        <v>1110.4221624181816</v>
      </c>
      <c r="HA27" s="563">
        <f>SUMPRODUCT(('ANALYSE - ERP =&gt; SOUS-SEGMENT'!$C$8:$C$154=$C27)*'ANALYSE - ERP =&gt; SOUS-SEGMENT'!$Q$8:$Q$154*'ANALYSE - ERP =&gt; SOUS-SEGMENT'!$HD$8:$HD$154)</f>
        <v>1001.0512004181817</v>
      </c>
      <c r="HB27" s="563">
        <f>SUMPRODUCT(('ANALYSE - ERP =&gt; SOUS-SEGMENT'!$C$8:$C$154=$C27)*'ANALYSE - ERP =&gt; SOUS-SEGMENT'!$Q$8:$Q$154*'ANALYSE - ERP =&gt; SOUS-SEGMENT'!$HE$8:$HE$154)</f>
        <v>109.37096199999999</v>
      </c>
      <c r="HC27" s="563">
        <f>SUMPRODUCT(('ANALYSE - ERP =&gt; SOUS-SEGMENT'!$C$8:$C$154=$C27)*'ANALYSE - ERP =&gt; SOUS-SEGMENT'!$Q$8:$Q$154*'ANALYSE - ERP =&gt; SOUS-SEGMENT'!$HF$8:$HF$154)</f>
        <v>4281.1392239999996</v>
      </c>
      <c r="HD27" s="563">
        <f>SUMPRODUCT(('ANALYSE - ERP =&gt; SOUS-SEGMENT'!$C$8:$C$154=$C27)*'ANALYSE - ERP =&gt; SOUS-SEGMENT'!$Q$8:$Q$154*'ANALYSE - ERP =&gt; SOUS-SEGMENT'!$HG$8:$HG$154)</f>
        <v>3735.7779912000001</v>
      </c>
      <c r="HE27" s="563">
        <f>SUMPRODUCT(('ANALYSE - ERP =&gt; SOUS-SEGMENT'!$C$8:$C$154=$C27)*'ANALYSE - ERP =&gt; SOUS-SEGMENT'!$Q$8:$Q$154*'ANALYSE - ERP =&gt; SOUS-SEGMENT'!$HH$8:$HH$154)</f>
        <v>545.36123279999993</v>
      </c>
      <c r="HF27" s="563">
        <f>SUMPRODUCT(('ANALYSE - ERP =&gt; SOUS-SEGMENT'!$C$8:$C$154=$C27)*'ANALYSE - ERP =&gt; SOUS-SEGMENT'!$Q$8:$Q$154*'ANALYSE - ERP =&gt; SOUS-SEGMENT'!$HI$8:$HI$154)</f>
        <v>2451.752072927778</v>
      </c>
      <c r="HG27" s="563">
        <f>SUMPRODUCT(('ANALYSE - ERP =&gt; SOUS-SEGMENT'!$C$8:$C$154=$C27)*'ANALYSE - ERP =&gt; SOUS-SEGMENT'!$Q$8:$Q$154*'ANALYSE - ERP =&gt; SOUS-SEGMENT'!$HJ$8:$HJ$154)</f>
        <v>2186.6842049277784</v>
      </c>
      <c r="HH27" s="563">
        <f>SUMPRODUCT(('ANALYSE - ERP =&gt; SOUS-SEGMENT'!$C$8:$C$154=$C27)*'ANALYSE - ERP =&gt; SOUS-SEGMENT'!$Q$8:$Q$154*'ANALYSE - ERP =&gt; SOUS-SEGMENT'!$HK$8:$HK$154)</f>
        <v>265.06786799999998</v>
      </c>
      <c r="HI27" s="563">
        <f>SUMPRODUCT(('ANALYSE - ERP =&gt; SOUS-SEGMENT'!$C$8:$C$154=$C27)*'ANALYSE - ERP =&gt; SOUS-SEGMENT'!$Q$8:$Q$154*'ANALYSE - ERP =&gt; SOUS-SEGMENT'!$HL$8:$HL$154)</f>
        <v>1614.724035118182</v>
      </c>
      <c r="HJ27" s="563">
        <f>SUMPRODUCT(('ANALYSE - ERP =&gt; SOUS-SEGMENT'!$C$8:$C$154=$C27)*'ANALYSE - ERP =&gt; SOUS-SEGMENT'!$Q$8:$Q$154*'ANALYSE - ERP =&gt; SOUS-SEGMENT'!$HM$8:$HM$154)</f>
        <v>1428.5218579181819</v>
      </c>
      <c r="HK27" s="563">
        <f>SUMPRODUCT(('ANALYSE - ERP =&gt; SOUS-SEGMENT'!$C$8:$C$154=$C27)*'ANALYSE - ERP =&gt; SOUS-SEGMENT'!$Q$8:$Q$154*'ANALYSE - ERP =&gt; SOUS-SEGMENT'!$HN$8:$HN$154)</f>
        <v>186.20217719999997</v>
      </c>
      <c r="HL27" s="563">
        <f>SUMPRODUCT(('ANALYSE - ERP =&gt; SOUS-SEGMENT'!$C$8:$C$154=$C27)*'ANALYSE - ERP =&gt; SOUS-SEGMENT'!$Q$8:$Q$154*'ANALYSE - ERP =&gt; SOUS-SEGMENT'!$HO$8:$HO$154)</f>
        <v>25580.409448238097</v>
      </c>
      <c r="HM27" s="563">
        <f>SUMPRODUCT(('ANALYSE - ERP =&gt; SOUS-SEGMENT'!$C$8:$C$154=$C27)*'ANALYSE - ERP =&gt; SOUS-SEGMENT'!$Q$8:$Q$154*'ANALYSE - ERP =&gt; SOUS-SEGMENT'!$HP$8:$HP$154)</f>
        <v>22417.3838282381</v>
      </c>
      <c r="HN27" s="563">
        <f>SUMPRODUCT(('ANALYSE - ERP =&gt; SOUS-SEGMENT'!$C$8:$C$154=$C27)*'ANALYSE - ERP =&gt; SOUS-SEGMENT'!$Q$8:$Q$154*'ANALYSE - ERP =&gt; SOUS-SEGMENT'!$HQ$8:$HQ$154)</f>
        <v>3163.0256199999994</v>
      </c>
      <c r="HO27" s="563">
        <f>SUMPRODUCT(('ANALYSE - ERP =&gt; SOUS-SEGMENT'!$C$8:$C$154=$C27)*'ANALYSE - ERP =&gt; SOUS-SEGMENT'!$Q$8:$Q$154*'ANALYSE - ERP =&gt; SOUS-SEGMENT'!$HR$8:$HR$154)</f>
        <v>17639.243778203298</v>
      </c>
      <c r="HP27" s="563">
        <f>SUMPRODUCT(('ANALYSE - ERP =&gt; SOUS-SEGMENT'!$C$8:$C$154=$C27)*'ANALYSE - ERP =&gt; SOUS-SEGMENT'!$Q$8:$Q$154*'ANALYSE - ERP =&gt; SOUS-SEGMENT'!$HS$8:$HS$154)</f>
        <v>14998.775326203298</v>
      </c>
      <c r="HQ27" s="563">
        <f>SUMPRODUCT(('ANALYSE - ERP =&gt; SOUS-SEGMENT'!$C$8:$C$154=$C27)*'ANALYSE - ERP =&gt; SOUS-SEGMENT'!$Q$8:$Q$154*'ANALYSE - ERP =&gt; SOUS-SEGMENT'!$HT$8:$HT$154)</f>
        <v>2640.4684519999996</v>
      </c>
      <c r="HR27" s="563">
        <f>SUMPRODUCT(('ANALYSE - ERP =&gt; SOUS-SEGMENT'!$C$8:$C$154=$C27)*'ANALYSE - ERP =&gt; SOUS-SEGMENT'!$Q$8:$Q$154*'ANALYSE - ERP =&gt; SOUS-SEGMENT'!$HU$8:$HU$154)</f>
        <v>11504.254310549999</v>
      </c>
      <c r="HS27" s="563">
        <f>SUMPRODUCT(('ANALYSE - ERP =&gt; SOUS-SEGMENT'!$C$8:$C$154=$C27)*'ANALYSE - ERP =&gt; SOUS-SEGMENT'!$Q$8:$Q$154*'ANALYSE - ERP =&gt; SOUS-SEGMENT'!$HV$8:$HV$154)</f>
        <v>9981.7571825499999</v>
      </c>
      <c r="HT27" s="563">
        <f>SUMPRODUCT(('ANALYSE - ERP =&gt; SOUS-SEGMENT'!$C$8:$C$154=$C27)*'ANALYSE - ERP =&gt; SOUS-SEGMENT'!$Q$8:$Q$154*'ANALYSE - ERP =&gt; SOUS-SEGMENT'!$HW$8:$HW$154)</f>
        <v>1522.4971279999997</v>
      </c>
      <c r="HU27" s="544"/>
      <c r="HV27" s="568">
        <f t="shared" si="40"/>
        <v>102820.00000000001</v>
      </c>
      <c r="HW27" s="568">
        <f>SUMPRODUCT(('ANALYSE - ERP =&gt; SOUS-SEGMENT'!$C$8:$C$154=$C27)*'ANALYSE - ERP =&gt; SOUS-SEGMENT'!$Q$8:$Q$154*'ANALYSE - ERP =&gt; SOUS-SEGMENT'!$HZ$8:$HZ$154)</f>
        <v>12099.078199999996</v>
      </c>
      <c r="HX27" s="568">
        <f>SUMPRODUCT(('ANALYSE - ERP =&gt; SOUS-SEGMENT'!$C$8:$C$154=$C27)*'ANALYSE - ERP =&gt; SOUS-SEGMENT'!$Q$8:$Q$154*'ANALYSE - ERP =&gt; SOUS-SEGMENT'!$IA$8:$IA$154)</f>
        <v>143168.36405999999</v>
      </c>
      <c r="HY27" s="568">
        <f>SUMPRODUCT(('ANALYSE - ERP =&gt; SOUS-SEGMENT'!$C$8:$C$154=$C27)*'ANALYSE - ERP =&gt; SOUS-SEGMENT'!$Q$8:$Q$154*'ANALYSE - ERP =&gt; SOUS-SEGMENT'!$IB$8:$IB$154)</f>
        <v>164521.97484000001</v>
      </c>
      <c r="HZ27" s="568">
        <f>SUMPRODUCT(('ANALYSE - ERP =&gt; SOUS-SEGMENT'!$C$8:$C$154=$C27)*'ANALYSE - ERP =&gt; SOUS-SEGMENT'!$Q$8:$Q$154*'ANALYSE - ERP =&gt; SOUS-SEGMENT'!$IC$8:$IC$154)</f>
        <v>21425.277100000003</v>
      </c>
      <c r="IA27" s="568">
        <f>SUMPRODUCT(('ANALYSE - ERP =&gt; SOUS-SEGMENT'!$C$8:$C$154=$C27)*'ANALYSE - ERP =&gt; SOUS-SEGMENT'!$Q$8:$Q$154*'ANALYSE - ERP =&gt; SOUS-SEGMENT'!$ID$8:$ID$154)</f>
        <v>25.105800000000002</v>
      </c>
      <c r="IB27" s="568">
        <f>SUMPRODUCT(('ANALYSE - ERP =&gt; SOUS-SEGMENT'!$C$8:$C$154=$C27)*'ANALYSE - ERP =&gt; SOUS-SEGMENT'!$Q$8:$Q$154*'ANALYSE - ERP =&gt; SOUS-SEGMENT'!$IE$8:$IE$154)</f>
        <v>108576.91357260672</v>
      </c>
      <c r="IC27" s="568">
        <f>SUMPRODUCT(('ANALYSE - ERP =&gt; SOUS-SEGMENT'!$C$8:$C$154=$C27)*'ANALYSE - ERP =&gt; SOUS-SEGMENT'!$Q$8:$Q$154*'ANALYSE - ERP =&gt; SOUS-SEGMENT'!$IF$8:$IF$154)</f>
        <v>1725.1953444856131</v>
      </c>
      <c r="ID27" s="568">
        <f>SUMPRODUCT(('ANALYSE - ERP =&gt; SOUS-SEGMENT'!$C$8:$C$154=$C27)*'ANALYSE - ERP =&gt; SOUS-SEGMENT'!$Q$8:$Q$154*'ANALYSE - ERP =&gt; SOUS-SEGMENT'!$IG$8:$IG$154)</f>
        <v>42571.707154448595</v>
      </c>
      <c r="IE27" s="568">
        <f>SUMPRODUCT(('ANALYSE - ERP =&gt; SOUS-SEGMENT'!$C$8:$C$154=$C27)*'ANALYSE - ERP =&gt; SOUS-SEGMENT'!$Q$8:$Q$154*'ANALYSE - ERP =&gt; SOUS-SEGMENT'!$IH$8:$IH$154)</f>
        <v>54674.197989615452</v>
      </c>
      <c r="IF27" s="568">
        <f>SUMPRODUCT(('ANALYSE - ERP =&gt; SOUS-SEGMENT'!$C$8:$C$154=$C27)*'ANALYSE - ERP =&gt; SOUS-SEGMENT'!$Q$8:$Q$154*'ANALYSE - ERP =&gt; SOUS-SEGMENT'!$II$8:$II$154)</f>
        <v>9137.4836140903935</v>
      </c>
      <c r="IG27" s="568">
        <f>SUMPRODUCT(('ANALYSE - ERP =&gt; SOUS-SEGMENT'!$C$8:$C$154=$C27)*'ANALYSE - ERP =&gt; SOUS-SEGMENT'!$Q$8:$Q$154*'ANALYSE - ERP =&gt; SOUS-SEGMENT'!$IJ$8:$IJ$154)</f>
        <v>468.32946996667567</v>
      </c>
      <c r="IH27" s="868"/>
      <c r="II27" s="569" t="s">
        <v>2589</v>
      </c>
      <c r="IJ27" s="570" t="s">
        <v>6760</v>
      </c>
      <c r="IK27" s="529"/>
      <c r="IL27" s="747">
        <f>IFERROR(SUMPRODUCT(('ANALYSE - ERP =&gt; SOUS-SEGMENT'!$C$8:$C$154=$C27)*'ANALYSE - ERP =&gt; SOUS-SEGMENT'!$Q$8:$Q$154*'ANALYSE - ERP =&gt; SOUS-SEGMENT'!$BE$8:$BE$154*'ANALYSE - ERP =&gt; SOUS-SEGMENT'!$IO$8:$IO$154)/SUMPRODUCT(('ANALYSE - ERP =&gt; SOUS-SEGMENT'!$C$8:$C$154=$C27)*'ANALYSE - ERP =&gt; SOUS-SEGMENT'!$Q$8:$Q$154*'ANALYSE - ERP =&gt; SOUS-SEGMENT'!$BE$8:$BE$154),0)</f>
        <v>3.2153767063220852E-2</v>
      </c>
      <c r="IM27" s="748">
        <f>IFERROR(SUMPRODUCT(('ANALYSE - ERP =&gt; SOUS-SEGMENT'!$C$8:$C$154=$C27)*'ANALYSE - ERP =&gt; SOUS-SEGMENT'!$Q$8:$Q$154*'ANALYSE - ERP =&gt; SOUS-SEGMENT'!$BE$8:$BE$154*'ANALYSE - ERP =&gt; SOUS-SEGMENT'!$IP$8:$IP$154)/SUMPRODUCT(('ANALYSE - ERP =&gt; SOUS-SEGMENT'!$C$8:$C$154=$C27)*'ANALYSE - ERP =&gt; SOUS-SEGMENT'!$Q$8:$Q$154*'ANALYSE - ERP =&gt; SOUS-SEGMENT'!$BE$8:$BE$154),0)</f>
        <v>0.40351786429258324</v>
      </c>
      <c r="IN27" s="748">
        <f>IFERROR(SUMPRODUCT(('ANALYSE - ERP =&gt; SOUS-SEGMENT'!$C$8:$C$154=$C27)*'ANALYSE - ERP =&gt; SOUS-SEGMENT'!$Q$8:$Q$154*'ANALYSE - ERP =&gt; SOUS-SEGMENT'!$BE$8:$BE$154*'ANALYSE - ERP =&gt; SOUS-SEGMENT'!$IQ$8:$IQ$154)/SUMPRODUCT(('ANALYSE - ERP =&gt; SOUS-SEGMENT'!$C$8:$C$154=$C27)*'ANALYSE - ERP =&gt; SOUS-SEGMENT'!$Q$8:$Q$154*'ANALYSE - ERP =&gt; SOUS-SEGMENT'!$BE$8:$BE$154),0)</f>
        <v>0.49380507919995648</v>
      </c>
      <c r="IO27" s="748">
        <f>IFERROR(SUMPRODUCT(('ANALYSE - ERP =&gt; SOUS-SEGMENT'!$C$8:$C$154=$C27)*'ANALYSE - ERP =&gt; SOUS-SEGMENT'!$Q$8:$Q$154*'ANALYSE - ERP =&gt; SOUS-SEGMENT'!$BE$8:$BE$154*'ANALYSE - ERP =&gt; SOUS-SEGMENT'!$IR$8:$IR$154)/SUMPRODUCT(('ANALYSE - ERP =&gt; SOUS-SEGMENT'!$C$8:$C$154=$C27)*'ANALYSE - ERP =&gt; SOUS-SEGMENT'!$Q$8:$Q$154*'ANALYSE - ERP =&gt; SOUS-SEGMENT'!$BE$8:$BE$154),0)</f>
        <v>7.0425585910330768E-2</v>
      </c>
      <c r="IP27" s="749">
        <f>IFERROR(SUMPRODUCT(('ANALYSE - ERP =&gt; SOUS-SEGMENT'!$C$8:$C$154=$C27)*'ANALYSE - ERP =&gt; SOUS-SEGMENT'!$Q$8:$Q$154*'ANALYSE - ERP =&gt; SOUS-SEGMENT'!$BE$8:$BE$154*'ANALYSE - ERP =&gt; SOUS-SEGMENT'!$IS$8:$IS$154)/SUMPRODUCT(('ANALYSE - ERP =&gt; SOUS-SEGMENT'!$C$8:$C$154=$C27)*'ANALYSE - ERP =&gt; SOUS-SEGMENT'!$Q$8:$Q$154*'ANALYSE - ERP =&gt; SOUS-SEGMENT'!$BE$8:$BE$154),0)</f>
        <v>9.7703533908709869E-5</v>
      </c>
      <c r="IQ27" s="748">
        <f>IFERROR(SUMPRODUCT(('ANALYSE - ERP =&gt; SOUS-SEGMENT'!$C$8:$C$154=$C27)*'ANALYSE - ERP =&gt; SOUS-SEGMENT'!$Q$8:$Q$154*'ANALYSE - ERP =&gt; SOUS-SEGMENT'!$FB$8:$FB$154*'ANALYSE - ERP =&gt; SOUS-SEGMENT'!$IT$8:$IT$154)/SUMPRODUCT(('ANALYSE - ERP =&gt; SOUS-SEGMENT'!$C$8:$C$154=$C27)*'ANALYSE - ERP =&gt; SOUS-SEGMENT'!$Q$8:$Q$154*'ANALYSE - ERP =&gt; SOUS-SEGMENT'!$FB$8:$FB$154),0)</f>
        <v>1.2886821711665563E-2</v>
      </c>
      <c r="IR27" s="748">
        <f>IFERROR(SUMPRODUCT(('ANALYSE - ERP =&gt; SOUS-SEGMENT'!$C$8:$C$154=$C27)*'ANALYSE - ERP =&gt; SOUS-SEGMENT'!$Q$8:$Q$154*'ANALYSE - ERP =&gt; SOUS-SEGMENT'!$FB$8:$FB$154*'ANALYSE - ERP =&gt; SOUS-SEGMENT'!$IU$8:$IU$154)/SUMPRODUCT(('ANALYSE - ERP =&gt; SOUS-SEGMENT'!$C$8:$C$154=$C27)*'ANALYSE - ERP =&gt; SOUS-SEGMENT'!$Q$8:$Q$154*'ANALYSE - ERP =&gt; SOUS-SEGMENT'!$FB$8:$FB$154),0)</f>
        <v>0.37479557086923737</v>
      </c>
      <c r="IS27" s="748">
        <f>IFERROR(SUMPRODUCT(('ANALYSE - ERP =&gt; SOUS-SEGMENT'!$C$8:$C$154=$C27)*'ANALYSE - ERP =&gt; SOUS-SEGMENT'!$Q$8:$Q$154*'ANALYSE - ERP =&gt; SOUS-SEGMENT'!$FB$8:$FB$154*'ANALYSE - ERP =&gt; SOUS-SEGMENT'!$IV$8:$IV$154)/SUMPRODUCT(('ANALYSE - ERP =&gt; SOUS-SEGMENT'!$C$8:$C$154=$C27)*'ANALYSE - ERP =&gt; SOUS-SEGMENT'!$Q$8:$Q$154*'ANALYSE - ERP =&gt; SOUS-SEGMENT'!$FB$8:$FB$154),0)</f>
        <v>0.51554459955115928</v>
      </c>
      <c r="IT27" s="748">
        <f>IFERROR(SUMPRODUCT(('ANALYSE - ERP =&gt; SOUS-SEGMENT'!$C$8:$C$154=$C27)*'ANALYSE - ERP =&gt; SOUS-SEGMENT'!$Q$8:$Q$154*'ANALYSE - ERP =&gt; SOUS-SEGMENT'!$FB$8:$FB$154*'ANALYSE - ERP =&gt; SOUS-SEGMENT'!$IW$8:$IW$154)/SUMPRODUCT(('ANALYSE - ERP =&gt; SOUS-SEGMENT'!$C$8:$C$154=$C27)*'ANALYSE - ERP =&gt; SOUS-SEGMENT'!$Q$8:$Q$154*'ANALYSE - ERP =&gt; SOUS-SEGMENT'!$FB$8:$FB$154),0)</f>
        <v>9.239679303409741E-2</v>
      </c>
      <c r="IU27" s="748">
        <f>IFERROR(SUMPRODUCT(('ANALYSE - ERP =&gt; SOUS-SEGMENT'!$C$8:$C$154=$C27)*'ANALYSE - ERP =&gt; SOUS-SEGMENT'!$Q$8:$Q$154*'ANALYSE - ERP =&gt; SOUS-SEGMENT'!$FB$8:$FB$154*'ANALYSE - ERP =&gt; SOUS-SEGMENT'!$IX$8:$IX$154)/SUMPRODUCT(('ANALYSE - ERP =&gt; SOUS-SEGMENT'!$C$8:$C$154=$C27)*'ANALYSE - ERP =&gt; SOUS-SEGMENT'!$Q$8:$Q$154*'ANALYSE - ERP =&gt; SOUS-SEGMENT'!$FB$8:$FB$154),0)</f>
        <v>4.376214833840316E-3</v>
      </c>
      <c r="IV27" s="772">
        <f>IFERROR(SUMPRODUCT(('ANALYSE - ERP =&gt; SOUS-SEGMENT'!$C$8:$C$154=$C27)*'ANALYSE - ERP =&gt; SOUS-SEGMENT'!$Q$8:$Q$154*'ANALYSE - ERP =&gt; SOUS-SEGMENT'!$BF$8:$BF$154*'ANALYSE - ERP =&gt; SOUS-SEGMENT'!$IY$8:$IY$154)/SUMPRODUCT(('ANALYSE - ERP =&gt; SOUS-SEGMENT'!$C$8:$C$154=$C27)*'ANALYSE - ERP =&gt; SOUS-SEGMENT'!$Q$8:$Q$154*'ANALYSE - ERP =&gt; SOUS-SEGMENT'!$BF$8:$BF$154),0)</f>
        <v>0</v>
      </c>
      <c r="IW27" s="773">
        <f>IFERROR(SUMPRODUCT(('ANALYSE - ERP =&gt; SOUS-SEGMENT'!$C$8:$C$154=$C27)*'ANALYSE - ERP =&gt; SOUS-SEGMENT'!$Q$8:$Q$154*'ANALYSE - ERP =&gt; SOUS-SEGMENT'!$BF$8:$BF$154*'ANALYSE - ERP =&gt; SOUS-SEGMENT'!$IZ$8:$IZ$154)/SUMPRODUCT(('ANALYSE - ERP =&gt; SOUS-SEGMENT'!$C$8:$C$154=$C27)*'ANALYSE - ERP =&gt; SOUS-SEGMENT'!$Q$8:$Q$154*'ANALYSE - ERP =&gt; SOUS-SEGMENT'!$BF$8:$BF$154),0)</f>
        <v>0</v>
      </c>
      <c r="IX27" s="773">
        <f>IFERROR(SUMPRODUCT(('ANALYSE - ERP =&gt; SOUS-SEGMENT'!$C$8:$C$154=$C27)*'ANALYSE - ERP =&gt; SOUS-SEGMENT'!$Q$8:$Q$154*'ANALYSE - ERP =&gt; SOUS-SEGMENT'!$BF$8:$BF$154*'ANALYSE - ERP =&gt; SOUS-SEGMENT'!$JA$8:$JA$154)/SUMPRODUCT(('ANALYSE - ERP =&gt; SOUS-SEGMENT'!$C$8:$C$154=$C27)*'ANALYSE - ERP =&gt; SOUS-SEGMENT'!$Q$8:$Q$154*'ANALYSE - ERP =&gt; SOUS-SEGMENT'!$BF$8:$BF$154),0)</f>
        <v>0</v>
      </c>
      <c r="IY27" s="773">
        <f>IFERROR(SUMPRODUCT(('ANALYSE - ERP =&gt; SOUS-SEGMENT'!$C$8:$C$154=$C27)*'ANALYSE - ERP =&gt; SOUS-SEGMENT'!$Q$8:$Q$154*'ANALYSE - ERP =&gt; SOUS-SEGMENT'!$BF$8:$BF$154*'ANALYSE - ERP =&gt; SOUS-SEGMENT'!$JB$8:$JB$154)/SUMPRODUCT(('ANALYSE - ERP =&gt; SOUS-SEGMENT'!$C$8:$C$154=$C27)*'ANALYSE - ERP =&gt; SOUS-SEGMENT'!$Q$8:$Q$154*'ANALYSE - ERP =&gt; SOUS-SEGMENT'!$BF$8:$BF$154),0)</f>
        <v>0</v>
      </c>
      <c r="IZ27" s="774">
        <f>IFERROR(SUMPRODUCT(('ANALYSE - ERP =&gt; SOUS-SEGMENT'!$C$8:$C$154=$C27)*'ANALYSE - ERP =&gt; SOUS-SEGMENT'!$Q$8:$Q$154*'ANALYSE - ERP =&gt; SOUS-SEGMENT'!$BF$8:$BF$154*'ANALYSE - ERP =&gt; SOUS-SEGMENT'!$JC$8:$JC$154)/SUMPRODUCT(('ANALYSE - ERP =&gt; SOUS-SEGMENT'!$C$8:$C$154=$C27)*'ANALYSE - ERP =&gt; SOUS-SEGMENT'!$Q$8:$Q$154*'ANALYSE - ERP =&gt; SOUS-SEGMENT'!$BF$8:$BF$154),0)</f>
        <v>0</v>
      </c>
      <c r="JA27" s="773">
        <f>IFERROR(SUMPRODUCT(('ANALYSE - ERP =&gt; SOUS-SEGMENT'!$C$8:$C$154=$C27)*'ANALYSE - ERP =&gt; SOUS-SEGMENT'!$Q$8:$Q$154*'ANALYSE - ERP =&gt; SOUS-SEGMENT'!$FE$8:$FE$154*'ANALYSE - ERP =&gt; SOUS-SEGMENT'!$JD$8:$JD$154)/SUMPRODUCT(('ANALYSE - ERP =&gt; SOUS-SEGMENT'!$C$8:$C$154=$C27)*'ANALYSE - ERP =&gt; SOUS-SEGMENT'!$Q$8:$Q$154*'ANALYSE - ERP =&gt; SOUS-SEGMENT'!$FE$8:$FE$154),0)</f>
        <v>0</v>
      </c>
      <c r="JB27" s="773">
        <f>IFERROR(SUMPRODUCT(('ANALYSE - ERP =&gt; SOUS-SEGMENT'!$C$8:$C$154=$C27)*'ANALYSE - ERP =&gt; SOUS-SEGMENT'!$Q$8:$Q$154*'ANALYSE - ERP =&gt; SOUS-SEGMENT'!$FE$8:$FE$154*'ANALYSE - ERP =&gt; SOUS-SEGMENT'!$JE$8:$JE$154)/SUMPRODUCT(('ANALYSE - ERP =&gt; SOUS-SEGMENT'!$C$8:$C$154=$C27)*'ANALYSE - ERP =&gt; SOUS-SEGMENT'!$Q$8:$Q$154*'ANALYSE - ERP =&gt; SOUS-SEGMENT'!$FE$8:$FE$154),0)</f>
        <v>0</v>
      </c>
      <c r="JC27" s="773">
        <f>IFERROR(SUMPRODUCT(('ANALYSE - ERP =&gt; SOUS-SEGMENT'!$C$8:$C$154=$C27)*'ANALYSE - ERP =&gt; SOUS-SEGMENT'!$Q$8:$Q$154*'ANALYSE - ERP =&gt; SOUS-SEGMENT'!$FE$8:$FE$154*'ANALYSE - ERP =&gt; SOUS-SEGMENT'!$JF$8:$JF$154)/SUMPRODUCT(('ANALYSE - ERP =&gt; SOUS-SEGMENT'!$C$8:$C$154=$C27)*'ANALYSE - ERP =&gt; SOUS-SEGMENT'!$Q$8:$Q$154*'ANALYSE - ERP =&gt; SOUS-SEGMENT'!$FE$8:$FE$154),0)</f>
        <v>0</v>
      </c>
      <c r="JD27" s="773">
        <f>IFERROR(SUMPRODUCT(('ANALYSE - ERP =&gt; SOUS-SEGMENT'!$C$8:$C$154=$C27)*'ANALYSE - ERP =&gt; SOUS-SEGMENT'!$Q$8:$Q$154*'ANALYSE - ERP =&gt; SOUS-SEGMENT'!$FE$8:$FE$154*'ANALYSE - ERP =&gt; SOUS-SEGMENT'!$JG$8:$JG$154)/SUMPRODUCT(('ANALYSE - ERP =&gt; SOUS-SEGMENT'!$C$8:$C$154=$C27)*'ANALYSE - ERP =&gt; SOUS-SEGMENT'!$Q$8:$Q$154*'ANALYSE - ERP =&gt; SOUS-SEGMENT'!$FE$8:$FE$154),0)</f>
        <v>0</v>
      </c>
      <c r="JE27" s="773">
        <f>IFERROR(SUMPRODUCT(('ANALYSE - ERP =&gt; SOUS-SEGMENT'!$C$8:$C$154=$C27)*'ANALYSE - ERP =&gt; SOUS-SEGMENT'!$Q$8:$Q$154*'ANALYSE - ERP =&gt; SOUS-SEGMENT'!$FE$8:$FE$154*'ANALYSE - ERP =&gt; SOUS-SEGMENT'!$JH$8:$JH$154)/SUMPRODUCT(('ANALYSE - ERP =&gt; SOUS-SEGMENT'!$C$8:$C$154=$C27)*'ANALYSE - ERP =&gt; SOUS-SEGMENT'!$Q$8:$Q$154*'ANALYSE - ERP =&gt; SOUS-SEGMENT'!$FE$8:$FE$154),0)</f>
        <v>0</v>
      </c>
      <c r="JF27" s="771">
        <f>IFERROR(SUMPRODUCT(('ANALYSE - ERP =&gt; SOUS-SEGMENT'!$C$8:$C$154=$C27)*'ANALYSE - ERP =&gt; SOUS-SEGMENT'!$Q$8:$Q$154*'ANALYSE - ERP =&gt; SOUS-SEGMENT'!$BG$8:$BG$154*'ANALYSE - ERP =&gt; SOUS-SEGMENT'!$JI$8:$JI$154)/SUMPRODUCT(('ANALYSE - ERP =&gt; SOUS-SEGMENT'!$C$8:$C$154=$C27)*'ANALYSE - ERP =&gt; SOUS-SEGMENT'!$Q$8:$Q$154*'ANALYSE - ERP =&gt; SOUS-SEGMENT'!$BG$8:$BG$154),0)</f>
        <v>6.1871277634892329E-2</v>
      </c>
      <c r="JG27" s="748">
        <f>IFERROR(SUMPRODUCT(('ANALYSE - ERP =&gt; SOUS-SEGMENT'!$C$8:$C$154=$C27)*'ANALYSE - ERP =&gt; SOUS-SEGMENT'!$Q$8:$Q$154*'ANALYSE - ERP =&gt; SOUS-SEGMENT'!$BG$8:$BG$154*'ANALYSE - ERP =&gt; SOUS-SEGMENT'!$JJ$8:$JJ$154)/SUMPRODUCT(('ANALYSE - ERP =&gt; SOUS-SEGMENT'!$C$8:$C$154=$C27)*'ANALYSE - ERP =&gt; SOUS-SEGMENT'!$Q$8:$Q$154*'ANALYSE - ERP =&gt; SOUS-SEGMENT'!$BG$8:$BG$154),0)</f>
        <v>0.54091898215773948</v>
      </c>
      <c r="JH27" s="748">
        <f>IFERROR(SUMPRODUCT(('ANALYSE - ERP =&gt; SOUS-SEGMENT'!$C$8:$C$154=$C27)*'ANALYSE - ERP =&gt; SOUS-SEGMENT'!$Q$8:$Q$154*'ANALYSE - ERP =&gt; SOUS-SEGMENT'!$BG$8:$BG$154*'ANALYSE - ERP =&gt; SOUS-SEGMENT'!$JK$8:$JK$154)/SUMPRODUCT(('ANALYSE - ERP =&gt; SOUS-SEGMENT'!$C$8:$C$154=$C27)*'ANALYSE - ERP =&gt; SOUS-SEGMENT'!$Q$8:$Q$154*'ANALYSE - ERP =&gt; SOUS-SEGMENT'!$BG$8:$BG$154),0)</f>
        <v>0.36486032852700534</v>
      </c>
      <c r="JI27" s="748">
        <f>IFERROR(SUMPRODUCT(('ANALYSE - ERP =&gt; SOUS-SEGMENT'!$C$8:$C$154=$C27)*'ANALYSE - ERP =&gt; SOUS-SEGMENT'!$Q$8:$Q$154*'ANALYSE - ERP =&gt; SOUS-SEGMENT'!$BG$8:$BG$154*'ANALYSE - ERP =&gt; SOUS-SEGMENT'!$JL$8:$JL$154)/SUMPRODUCT(('ANALYSE - ERP =&gt; SOUS-SEGMENT'!$C$8:$C$154=$C27)*'ANALYSE - ERP =&gt; SOUS-SEGMENT'!$Q$8:$Q$154*'ANALYSE - ERP =&gt; SOUS-SEGMENT'!$BG$8:$BG$154),0)</f>
        <v>3.2319686528242027E-2</v>
      </c>
      <c r="JJ27" s="749">
        <f>IFERROR(SUMPRODUCT(('ANALYSE - ERP =&gt; SOUS-SEGMENT'!$C$8:$C$154=$C27)*'ANALYSE - ERP =&gt; SOUS-SEGMENT'!$Q$8:$Q$154*'ANALYSE - ERP =&gt; SOUS-SEGMENT'!$BG$8:$BG$154*'ANALYSE - ERP =&gt; SOUS-SEGMENT'!$JM$8:$JM$154)/SUMPRODUCT(('ANALYSE - ERP =&gt; SOUS-SEGMENT'!$C$8:$C$154=$C27)*'ANALYSE - ERP =&gt; SOUS-SEGMENT'!$Q$8:$Q$154*'ANALYSE - ERP =&gt; SOUS-SEGMENT'!$BG$8:$BG$154),0)</f>
        <v>2.9725152120728748E-5</v>
      </c>
      <c r="JK27" s="748">
        <f>IFERROR(SUMPRODUCT(('ANALYSE - ERP =&gt; SOUS-SEGMENT'!$C$8:$C$154=$C27)*'ANALYSE - ERP =&gt; SOUS-SEGMENT'!$Q$8:$Q$154*'ANALYSE - ERP =&gt; SOUS-SEGMENT'!$FH$8:$FH$154*'ANALYSE - ERP =&gt; SOUS-SEGMENT'!$JN$8:$JN$154)/SUMPRODUCT(('ANALYSE - ERP =&gt; SOUS-SEGMENT'!$C$8:$C$154=$C27)*'ANALYSE - ERP =&gt; SOUS-SEGMENT'!$Q$8:$Q$154*'ANALYSE - ERP =&gt; SOUS-SEGMENT'!$FH$8:$FH$154),0)</f>
        <v>3.9632421728576991E-2</v>
      </c>
      <c r="JL27" s="748">
        <f>IFERROR(SUMPRODUCT(('ANALYSE - ERP =&gt; SOUS-SEGMENT'!$C$8:$C$154=$C27)*'ANALYSE - ERP =&gt; SOUS-SEGMENT'!$Q$8:$Q$154*'ANALYSE - ERP =&gt; SOUS-SEGMENT'!$FH$8:$FH$154*'ANALYSE - ERP =&gt; SOUS-SEGMENT'!$JO$8:$JO$154)/SUMPRODUCT(('ANALYSE - ERP =&gt; SOUS-SEGMENT'!$C$8:$C$154=$C27)*'ANALYSE - ERP =&gt; SOUS-SEGMENT'!$Q$8:$Q$154*'ANALYSE - ERP =&gt; SOUS-SEGMENT'!$FH$8:$FH$154),0)</f>
        <v>0.51176213854770636</v>
      </c>
      <c r="JM27" s="748">
        <f>IFERROR(SUMPRODUCT(('ANALYSE - ERP =&gt; SOUS-SEGMENT'!$C$8:$C$154=$C27)*'ANALYSE - ERP =&gt; SOUS-SEGMENT'!$Q$8:$Q$154*'ANALYSE - ERP =&gt; SOUS-SEGMENT'!$FH$8:$FH$154*'ANALYSE - ERP =&gt; SOUS-SEGMENT'!$JP$8:$JP$154)/SUMPRODUCT(('ANALYSE - ERP =&gt; SOUS-SEGMENT'!$C$8:$C$154=$C27)*'ANALYSE - ERP =&gt; SOUS-SEGMENT'!$Q$8:$Q$154*'ANALYSE - ERP =&gt; SOUS-SEGMENT'!$FH$8:$FH$154),0)</f>
        <v>0.39200417147161126</v>
      </c>
      <c r="JN27" s="748">
        <f>IFERROR(SUMPRODUCT(('ANALYSE - ERP =&gt; SOUS-SEGMENT'!$C$8:$C$154=$C27)*'ANALYSE - ERP =&gt; SOUS-SEGMENT'!$Q$8:$Q$154*'ANALYSE - ERP =&gt; SOUS-SEGMENT'!$FH$8:$FH$154*'ANALYSE - ERP =&gt; SOUS-SEGMENT'!$JQ$8:$JQ$154)/SUMPRODUCT(('ANALYSE - ERP =&gt; SOUS-SEGMENT'!$C$8:$C$154=$C27)*'ANALYSE - ERP =&gt; SOUS-SEGMENT'!$Q$8:$Q$154*'ANALYSE - ERP =&gt; SOUS-SEGMENT'!$FH$8:$FH$154),0)</f>
        <v>5.2658721517146116E-2</v>
      </c>
      <c r="JO27" s="748">
        <f>IFERROR(SUMPRODUCT(('ANALYSE - ERP =&gt; SOUS-SEGMENT'!$C$8:$C$154=$C27)*'ANALYSE - ERP =&gt; SOUS-SEGMENT'!$Q$8:$Q$154*'ANALYSE - ERP =&gt; SOUS-SEGMENT'!$FH$8:$FH$154*'ANALYSE - ERP =&gt; SOUS-SEGMENT'!$JR$8:$JR$154)/SUMPRODUCT(('ANALYSE - ERP =&gt; SOUS-SEGMENT'!$C$8:$C$154=$C27)*'ANALYSE - ERP =&gt; SOUS-SEGMENT'!$Q$8:$Q$154*'ANALYSE - ERP =&gt; SOUS-SEGMENT'!$FH$8:$FH$154),0)</f>
        <v>3.942546734959195E-3</v>
      </c>
      <c r="JP27" s="771">
        <f>IFERROR(SUMPRODUCT(('ANALYSE - ERP =&gt; SOUS-SEGMENT'!$C$8:$C$154=$C27)*'ANALYSE - ERP =&gt; SOUS-SEGMENT'!$Q$8:$Q$154*'ANALYSE - ERP =&gt; SOUS-SEGMENT'!$BH$8:$BH$154*'ANALYSE - ERP =&gt; SOUS-SEGMENT'!$JS$8:$JS$154)/SUMPRODUCT(('ANALYSE - ERP =&gt; SOUS-SEGMENT'!$C$8:$C$154=$C27)*'ANALYSE - ERP =&gt; SOUS-SEGMENT'!$Q$8:$Q$154*'ANALYSE - ERP =&gt; SOUS-SEGMENT'!$BH$8:$BH$154),0)</f>
        <v>3.5173044842786536E-2</v>
      </c>
      <c r="JQ27" s="748">
        <f>IFERROR(SUMPRODUCT(('ANALYSE - ERP =&gt; SOUS-SEGMENT'!$C$8:$C$154=$C27)*'ANALYSE - ERP =&gt; SOUS-SEGMENT'!$Q$8:$Q$154*'ANALYSE - ERP =&gt; SOUS-SEGMENT'!$BH$8:$BH$154*'ANALYSE - ERP =&gt; SOUS-SEGMENT'!$JT$8:$JT$154)/SUMPRODUCT(('ANALYSE - ERP =&gt; SOUS-SEGMENT'!$C$8:$C$154=$C27)*'ANALYSE - ERP =&gt; SOUS-SEGMENT'!$Q$8:$Q$154*'ANALYSE - ERP =&gt; SOUS-SEGMENT'!$BH$8:$BH$154),0)</f>
        <v>0.41918072678260981</v>
      </c>
      <c r="JR27" s="748">
        <f>IFERROR(SUMPRODUCT(('ANALYSE - ERP =&gt; SOUS-SEGMENT'!$C$8:$C$154=$C27)*'ANALYSE - ERP =&gt; SOUS-SEGMENT'!$Q$8:$Q$154*'ANALYSE - ERP =&gt; SOUS-SEGMENT'!$BH$8:$BH$154*'ANALYSE - ERP =&gt; SOUS-SEGMENT'!$JU$8:$JU$154)/SUMPRODUCT(('ANALYSE - ERP =&gt; SOUS-SEGMENT'!$C$8:$C$154=$C27)*'ANALYSE - ERP =&gt; SOUS-SEGMENT'!$Q$8:$Q$154*'ANALYSE - ERP =&gt; SOUS-SEGMENT'!$BH$8:$BH$154),0)</f>
        <v>0.48660231018159816</v>
      </c>
      <c r="JS27" s="748">
        <f>IFERROR(SUMPRODUCT(('ANALYSE - ERP =&gt; SOUS-SEGMENT'!$C$8:$C$154=$C27)*'ANALYSE - ERP =&gt; SOUS-SEGMENT'!$Q$8:$Q$154*'ANALYSE - ERP =&gt; SOUS-SEGMENT'!$BH$8:$BH$154*'ANALYSE - ERP =&gt; SOUS-SEGMENT'!$JV$8:$JV$154)/SUMPRODUCT(('ANALYSE - ERP =&gt; SOUS-SEGMENT'!$C$8:$C$154=$C27)*'ANALYSE - ERP =&gt; SOUS-SEGMENT'!$Q$8:$Q$154*'ANALYSE - ERP =&gt; SOUS-SEGMENT'!$BH$8:$BH$154),0)</f>
        <v>5.8989953184313167E-2</v>
      </c>
      <c r="JT27" s="749">
        <f>IFERROR(SUMPRODUCT(('ANALYSE - ERP =&gt; SOUS-SEGMENT'!$C$8:$C$154=$C27)*'ANALYSE - ERP =&gt; SOUS-SEGMENT'!$Q$8:$Q$154*'ANALYSE - ERP =&gt; SOUS-SEGMENT'!$BH$8:$BH$154*'ANALYSE - ERP =&gt; SOUS-SEGMENT'!$JW$8:$JW$154)/SUMPRODUCT(('ANALYSE - ERP =&gt; SOUS-SEGMENT'!$C$8:$C$154=$C27)*'ANALYSE - ERP =&gt; SOUS-SEGMENT'!$Q$8:$Q$154*'ANALYSE - ERP =&gt; SOUS-SEGMENT'!$BH$8:$BH$154),0)</f>
        <v>5.3965008692481491E-5</v>
      </c>
      <c r="JU27" s="771">
        <f>IFERROR(SUMPRODUCT(('ANALYSE - ERP =&gt; SOUS-SEGMENT'!$C$8:$C$154=$C27)*'ANALYSE - ERP =&gt; SOUS-SEGMENT'!$Q$8:$Q$154*'ANALYSE - ERP =&gt; SOUS-SEGMENT'!$FK$8:$FK$154*'ANALYSE - ERP =&gt; SOUS-SEGMENT'!$JX$8:$JX$154)/SUMPRODUCT(('ANALYSE - ERP =&gt; SOUS-SEGMENT'!$C$8:$C$154=$C27)*'ANALYSE - ERP =&gt; SOUS-SEGMENT'!$Q$8:$Q$154*'ANALYSE - ERP =&gt; SOUS-SEGMENT'!$FK$8:$FK$154),0)</f>
        <v>1.5051554488101804E-2</v>
      </c>
      <c r="JV27" s="748">
        <f>IFERROR(SUMPRODUCT(('ANALYSE - ERP =&gt; SOUS-SEGMENT'!$C$8:$C$154=$C27)*'ANALYSE - ERP =&gt; SOUS-SEGMENT'!$Q$8:$Q$154*'ANALYSE - ERP =&gt; SOUS-SEGMENT'!$FK$8:$FK$154*'ANALYSE - ERP =&gt; SOUS-SEGMENT'!$JY$8:$JY$154)/SUMPRODUCT(('ANALYSE - ERP =&gt; SOUS-SEGMENT'!$C$8:$C$154=$C27)*'ANALYSE - ERP =&gt; SOUS-SEGMENT'!$Q$8:$Q$154*'ANALYSE - ERP =&gt; SOUS-SEGMENT'!$FK$8:$FK$154),0)</f>
        <v>0.39027328178028731</v>
      </c>
      <c r="JW27" s="748">
        <f>IFERROR(SUMPRODUCT(('ANALYSE - ERP =&gt; SOUS-SEGMENT'!$C$8:$C$154=$C27)*'ANALYSE - ERP =&gt; SOUS-SEGMENT'!$Q$8:$Q$154*'ANALYSE - ERP =&gt; SOUS-SEGMENT'!$FK$8:$FK$154*'ANALYSE - ERP =&gt; SOUS-SEGMENT'!$JZ$8:$JZ$154)/SUMPRODUCT(('ANALYSE - ERP =&gt; SOUS-SEGMENT'!$C$8:$C$154=$C27)*'ANALYSE - ERP =&gt; SOUS-SEGMENT'!$Q$8:$Q$154*'ANALYSE - ERP =&gt; SOUS-SEGMENT'!$FK$8:$FK$154),0)</f>
        <v>0.50984330614235951</v>
      </c>
      <c r="JX27" s="748">
        <f>IFERROR(SUMPRODUCT(('ANALYSE - ERP =&gt; SOUS-SEGMENT'!$C$8:$C$154=$C27)*'ANALYSE - ERP =&gt; SOUS-SEGMENT'!$Q$8:$Q$154*'ANALYSE - ERP =&gt; SOUS-SEGMENT'!$FK$8:$FK$154*'ANALYSE - ERP =&gt; SOUS-SEGMENT'!$KA$8:$KA$154)/SUMPRODUCT(('ANALYSE - ERP =&gt; SOUS-SEGMENT'!$C$8:$C$154=$C27)*'ANALYSE - ERP =&gt; SOUS-SEGMENT'!$Q$8:$Q$154*'ANALYSE - ERP =&gt; SOUS-SEGMENT'!$FK$8:$FK$154),0)</f>
        <v>8.0523249494681925E-2</v>
      </c>
      <c r="JY27" s="775">
        <f>IFERROR(SUMPRODUCT(('ANALYSE - ERP =&gt; SOUS-SEGMENT'!$C$8:$C$154=$C27)*'ANALYSE - ERP =&gt; SOUS-SEGMENT'!$Q$8:$Q$154*'ANALYSE - ERP =&gt; SOUS-SEGMENT'!$FK$8:$FK$154*'ANALYSE - ERP =&gt; SOUS-SEGMENT'!$KB$8:$KB$154)/SUMPRODUCT(('ANALYSE - ERP =&gt; SOUS-SEGMENT'!$C$8:$C$154=$C27)*'ANALYSE - ERP =&gt; SOUS-SEGMENT'!$Q$8:$Q$154*'ANALYSE - ERP =&gt; SOUS-SEGMENT'!$FK$8:$FK$154),0)</f>
        <v>4.3086080945695538E-3</v>
      </c>
      <c r="JZ27" s="529"/>
      <c r="KA27" s="569" t="s">
        <v>2590</v>
      </c>
      <c r="KB27" s="569" t="s">
        <v>2591</v>
      </c>
      <c r="KC27" s="868">
        <f>IFERROR(SUMPRODUCT(('ANALYSE - ERP =&gt; SOUS-SEGMENT'!$C$8:$C$154=$C28)*'ANALYSE - ERP =&gt; SOUS-SEGMENT'!$Q$8:$Q$154*'ANALYSE - ERP =&gt; SOUS-SEGMENT'!$EX$8:$EX$154*'ANALYSE - ERP =&gt; SOUS-SEGMENT'!$KF$8:$KF$154)/SUMPRODUCT(('ANALYSE - ERP =&gt; SOUS-SEGMENT'!$C$8:$C$154=$C28)*'ANALYSE - ERP =&gt; SOUS-SEGMENT'!$Q$8:$Q$154*'ANALYSE - ERP =&gt; SOUS-SEGMENT'!$EX$8:$EX$154),"")</f>
        <v>4.01</v>
      </c>
      <c r="KD27" s="569" t="s">
        <v>2589</v>
      </c>
      <c r="KE27" s="571" t="s">
        <v>4467</v>
      </c>
      <c r="KF27" s="621" t="s">
        <v>6760</v>
      </c>
      <c r="KG27" s="571" t="s">
        <v>6760</v>
      </c>
    </row>
    <row r="28" spans="1:293" ht="108" customHeight="1">
      <c r="A28" s="273">
        <v>27</v>
      </c>
      <c r="B28" s="487" t="s">
        <v>2278</v>
      </c>
      <c r="C28" s="487" t="s">
        <v>4578</v>
      </c>
      <c r="D28" s="616" t="s">
        <v>7213</v>
      </c>
      <c r="E28" s="275" t="s">
        <v>7214</v>
      </c>
      <c r="F28" s="275" t="s">
        <v>7215</v>
      </c>
      <c r="G28" s="275" t="s">
        <v>6790</v>
      </c>
      <c r="H28" s="275" t="s">
        <v>2117</v>
      </c>
      <c r="I28" s="276" t="s">
        <v>7216</v>
      </c>
      <c r="J28" s="276" t="s">
        <v>7217</v>
      </c>
      <c r="K28" s="277" t="s">
        <v>2117</v>
      </c>
      <c r="L28" s="277" t="s">
        <v>2109</v>
      </c>
      <c r="M28" s="277" t="s">
        <v>2603</v>
      </c>
      <c r="N28" s="277" t="s">
        <v>6742</v>
      </c>
      <c r="O28" s="277" t="s">
        <v>2616</v>
      </c>
      <c r="P28" s="276"/>
      <c r="Q28" s="270">
        <f>IF(SUMPRODUCT(('ANALYSE - ERP =&gt; SOUS-SEGMENT'!$C$8:$C$154=$C28)*'ANALYSE - ERP =&gt; SOUS-SEGMENT'!$Q$8:$Q$154)&gt;0,1,0)</f>
        <v>1</v>
      </c>
      <c r="R28" s="278">
        <f>IFERROR(SUMPRODUCT(('ANALYSE - ERP =&gt; SOUS-SEGMENT'!$C$8:$C$154=$C28)*'ANALYSE - ERP =&gt; SOUS-SEGMENT'!$Q$8:$Q$154*'ANALYSE - ERP =&gt; SOUS-SEGMENT'!$AG$8:$AG$154*'ANALYSE - ERP =&gt; SOUS-SEGMENT'!$R$8:$R$154)/SUMPRODUCT(('ANALYSE - ERP =&gt; SOUS-SEGMENT'!$C$8:$C$154=$C28)*'ANALYSE - ERP =&gt; SOUS-SEGMENT'!$Q$8:$Q$154*'ANALYSE - ERP =&gt; SOUS-SEGMENT'!$AG$8:$AG$154),"")</f>
        <v>706.58955153124111</v>
      </c>
      <c r="S28" s="279">
        <f>SUMPRODUCT(('ANALYSE - ERP =&gt; SOUS-SEGMENT'!$C$8:$C$154=$C28)*'ANALYSE - ERP =&gt; SOUS-SEGMENT'!$Q$8:$Q$154*'ANALYSE - ERP =&gt; SOUS-SEGMENT'!$S$8:$S$154)</f>
        <v>8850</v>
      </c>
      <c r="T28" s="279">
        <f>SUMPRODUCT(('ANALYSE - ERP =&gt; SOUS-SEGMENT'!$C$8:$C$154=$C28)*'ANALYSE - ERP =&gt; SOUS-SEGMENT'!$Q$8:$Q$154*'ANALYSE - ERP =&gt; SOUS-SEGMENT'!$T$8:$T$154)</f>
        <v>9115</v>
      </c>
      <c r="U28" s="279">
        <f>SUMPRODUCT(('ANALYSE - ERP =&gt; SOUS-SEGMENT'!$C$8:$C$154=$C28)*'ANALYSE - ERP =&gt; SOUS-SEGMENT'!$Q$8:$Q$154*'ANALYSE - ERP =&gt; SOUS-SEGMENT'!$U$8:$U$154)</f>
        <v>9460</v>
      </c>
      <c r="V28" s="279">
        <f>SUMPRODUCT(('ANALYSE - ERP =&gt; SOUS-SEGMENT'!$C$8:$C$154=$C28)*'ANALYSE - ERP =&gt; SOUS-SEGMENT'!$Q$8:$Q$154*'ANALYSE - ERP =&gt; SOUS-SEGMENT'!$V$8:$V$154)</f>
        <v>9835</v>
      </c>
      <c r="W28" s="279">
        <f>SUMPRODUCT(('ANALYSE - ERP =&gt; SOUS-SEGMENT'!$C$8:$C$154=$C28)*'ANALYSE - ERP =&gt; SOUS-SEGMENT'!$Q$8:$Q$154*'ANALYSE - ERP =&gt; SOUS-SEGMENT'!$W$8:$W$154)</f>
        <v>9896</v>
      </c>
      <c r="X28" s="279">
        <f>SUMPRODUCT(('ANALYSE - ERP =&gt; SOUS-SEGMENT'!$C$8:$C$154=$C28)*'ANALYSE - ERP =&gt; SOUS-SEGMENT'!$Q$8:$Q$154*'ANALYSE - ERP =&gt; SOUS-SEGMENT'!$X$8:$X$154)</f>
        <v>9957</v>
      </c>
      <c r="Y28" s="279">
        <f>SUMPRODUCT(('ANALYSE - ERP =&gt; SOUS-SEGMENT'!$C$8:$C$154=$C28)*'ANALYSE - ERP =&gt; SOUS-SEGMENT'!$Q$8:$Q$154*'ANALYSE - ERP =&gt; SOUS-SEGMENT'!$Y$8:$Y$154)</f>
        <v>10018</v>
      </c>
      <c r="Z28" s="279">
        <f>SUMPRODUCT(('ANALYSE - ERP =&gt; SOUS-SEGMENT'!$C$8:$C$154=$C28)*'ANALYSE - ERP =&gt; SOUS-SEGMENT'!$Q$8:$Q$154*'ANALYSE - ERP =&gt; SOUS-SEGMENT'!$Z$8:$Z$154)</f>
        <v>10109</v>
      </c>
      <c r="AA28" s="279">
        <f>SUMPRODUCT(('ANALYSE - ERP =&gt; SOUS-SEGMENT'!$C$8:$C$154=$C28)*'ANALYSE - ERP =&gt; SOUS-SEGMENT'!$Q$8:$Q$154*'ANALYSE - ERP =&gt; SOUS-SEGMENT'!$AA$8:$AA$154)</f>
        <v>10185</v>
      </c>
      <c r="AB28" s="279">
        <f>SUMPRODUCT(('ANALYSE - ERP =&gt; SOUS-SEGMENT'!$C$8:$C$154=$C28)*'ANALYSE - ERP =&gt; SOUS-SEGMENT'!$Q$8:$Q$154*'ANALYSE - ERP =&gt; SOUS-SEGMENT'!$AB$8:$AB$154)</f>
        <v>10265</v>
      </c>
      <c r="AC28" s="279">
        <f>SUMPRODUCT(('ANALYSE - ERP =&gt; SOUS-SEGMENT'!$C$8:$C$154=$C28)*'ANALYSE - ERP =&gt; SOUS-SEGMENT'!$Q$8:$Q$154*'ANALYSE - ERP =&gt; SOUS-SEGMENT'!$AC$8:$AC$154)</f>
        <v>10345</v>
      </c>
      <c r="AD28" s="279">
        <f>SUMPRODUCT(('ANALYSE - ERP =&gt; SOUS-SEGMENT'!$C$8:$C$154=$C28)*'ANALYSE - ERP =&gt; SOUS-SEGMENT'!$Q$8:$Q$154*'ANALYSE - ERP =&gt; SOUS-SEGMENT'!$AD$8:$AD$154)</f>
        <v>10423</v>
      </c>
      <c r="AE28" s="279">
        <f>SUMPRODUCT(('ANALYSE - ERP =&gt; SOUS-SEGMENT'!$C$8:$C$154=$C28)*'ANALYSE - ERP =&gt; SOUS-SEGMENT'!$Q$8:$Q$154*'ANALYSE - ERP =&gt; SOUS-SEGMENT'!$AE$8:$AE$154)</f>
        <v>10500</v>
      </c>
      <c r="AF28" s="279">
        <f>SUMPRODUCT(('ANALYSE - ERP =&gt; SOUS-SEGMENT'!$C$8:$C$154=$C28)*'ANALYSE - ERP =&gt; SOUS-SEGMENT'!$Q$8:$Q$154*'ANALYSE - ERP =&gt; SOUS-SEGMENT'!$AF$8:$AF$154)</f>
        <v>10520</v>
      </c>
      <c r="AG28" s="279">
        <f>SUMPRODUCT(('ANALYSE - ERP =&gt; SOUS-SEGMENT'!$C$8:$C$154=$C28)*'ANALYSE - ERP =&gt; SOUS-SEGMENT'!$Q$8:$Q$154*'ANALYSE - ERP =&gt; SOUS-SEGMENT'!$AG$8:$AG$154)</f>
        <v>10547</v>
      </c>
      <c r="AH28" s="279">
        <f>SUMPRODUCT(('ANALYSE - ERP =&gt; SOUS-SEGMENT'!$C$8:$C$154=$C28)*'ANALYSE - ERP =&gt; SOUS-SEGMENT'!$Q$8:$Q$154*'ANALYSE - ERP =&gt; SOUS-SEGMENT'!$AH$8:$AH$154)</f>
        <v>10572</v>
      </c>
      <c r="AI28" s="279">
        <f>SUMPRODUCT(('ANALYSE - ERP =&gt; SOUS-SEGMENT'!$C$8:$C$154=$C28)*'ANALYSE - ERP =&gt; SOUS-SEGMENT'!$Q$8:$Q$154*'ANALYSE - ERP =&gt; SOUS-SEGMENT'!$AI$8:$AI$154)</f>
        <v>10597</v>
      </c>
      <c r="AJ28" s="279">
        <f>SUMPRODUCT(('ANALYSE - ERP =&gt; SOUS-SEGMENT'!$C$8:$C$154=$C28)*'ANALYSE - ERP =&gt; SOUS-SEGMENT'!$Q$8:$Q$154*'ANALYSE - ERP =&gt; SOUS-SEGMENT'!$AJ$8:$AJ$154)</f>
        <v>10622</v>
      </c>
      <c r="AK28" s="279">
        <f>SUMPRODUCT(('ANALYSE - ERP =&gt; SOUS-SEGMENT'!$C$8:$C$154=$C28)*'ANALYSE - ERP =&gt; SOUS-SEGMENT'!$Q$8:$Q$154*'ANALYSE - ERP =&gt; SOUS-SEGMENT'!$AK$8:$AK$154)</f>
        <v>10647</v>
      </c>
      <c r="AL28" s="276" t="s">
        <v>7218</v>
      </c>
      <c r="AM28" s="276" t="s">
        <v>7219</v>
      </c>
      <c r="AN28" s="276" t="s">
        <v>7220</v>
      </c>
      <c r="AO28" s="657"/>
      <c r="AP28" s="278">
        <f>IFERROR(SUMPRODUCT(('ANALYSE - ERP =&gt; SOUS-SEGMENT'!$C$8:$C$154=$C28)*'ANALYSE - ERP =&gt; SOUS-SEGMENT'!$Q$8:$Q$154*'ANALYSE - ERP =&gt; SOUS-SEGMENT'!$AG$8:$AG$154*'ANALYSE - ERP =&gt; SOUS-SEGMENT'!$AP$8:$AP$154)/SUMPRODUCT(('ANALYSE - ERP =&gt; SOUS-SEGMENT'!$C$8:$C$154=$C28)*'ANALYSE - ERP =&gt; SOUS-SEGMENT'!$Q$8:$Q$154*'ANALYSE - ERP =&gt; SOUS-SEGMENT'!$AG$8:$AG$154),"")</f>
        <v>120.84763439840712</v>
      </c>
      <c r="AQ28" s="278">
        <f>IFERROR(SUMPRODUCT(('ANALYSE - ERP =&gt; SOUS-SEGMENT'!$C$8:$C$154=$C28)*'ANALYSE - ERP =&gt; SOUS-SEGMENT'!$Q$8:$Q$154*'ANALYSE - ERP =&gt; SOUS-SEGMENT'!$AF$8:$AF$154*'ANALYSE - ERP =&gt; SOUS-SEGMENT'!$AQ$8:$AQ$154)/SUMPRODUCT(('ANALYSE - ERP =&gt; SOUS-SEGMENT'!$C$8:$C$154=$C28)*'ANALYSE - ERP =&gt; SOUS-SEGMENT'!$Q$8:$Q$154*'ANALYSE - ERP =&gt; SOUS-SEGMENT'!$AF$8:$AF$154),"")</f>
        <v>110.11216730038022</v>
      </c>
      <c r="AR28" s="973">
        <f>IFERROR(SUMPRODUCT(('ANALYSE - ERP =&gt; SOUS-SEGMENT'!$C$8:$C$154=$C28)*'ANALYSE - ERP =&gt; SOUS-SEGMENT'!$Q$8:$Q$154*'ANALYSE - ERP =&gt; SOUS-SEGMENT'!$AF$8:$AF$154*'ANALYSE - ERP =&gt; SOUS-SEGMENT'!$AR$8:$AR$154)/SUMPRODUCT(('ANALYSE - ERP =&gt; SOUS-SEGMENT'!$C$8:$C$154=$C28)*'ANALYSE - ERP =&gt; SOUS-SEGMENT'!$Q$8:$Q$154*'ANALYSE - ERP =&gt; SOUS-SEGMENT'!$AF$8:$AF$154),"")</f>
        <v>6.4543726235741445</v>
      </c>
      <c r="AS28" s="973">
        <f>IFERROR(SUMPRODUCT(('ANALYSE - ERP =&gt; SOUS-SEGMENT'!$C$8:$C$154=$C28)*'ANALYSE - ERP =&gt; SOUS-SEGMENT'!$Q$8:$Q$154*'ANALYSE - ERP =&gt; SOUS-SEGMENT'!$AF$8:$AF$154*'ANALYSE - ERP =&gt; SOUS-SEGMENT'!$AS$8:$AS$154)/SUMPRODUCT(('ANALYSE - ERP =&gt; SOUS-SEGMENT'!$C$8:$C$154=$C28)*'ANALYSE - ERP =&gt; SOUS-SEGMENT'!$Q$8:$Q$154*'ANALYSE - ERP =&gt; SOUS-SEGMENT'!$AF$8:$AF$154),"")</f>
        <v>4.250950570342205</v>
      </c>
      <c r="AT28" s="657" t="s">
        <v>7221</v>
      </c>
      <c r="AU28" s="276" t="s">
        <v>7222</v>
      </c>
      <c r="AV28" s="296" t="s">
        <v>2609</v>
      </c>
      <c r="AW28" s="276"/>
      <c r="AX28" s="657"/>
      <c r="AY28" s="282">
        <f>IFERROR(SUMPRODUCT(('ANALYSE - ERP =&gt; SOUS-SEGMENT'!$C$8:$C$154=$C28)*'ANALYSE - ERP =&gt; SOUS-SEGMENT'!$Q$8:$Q$154*'ANALYSE - ERP =&gt; SOUS-SEGMENT'!$AF$8:$AF$154*'ANALYSE - ERP =&gt; SOUS-SEGMENT'!$AZ$8:$AZ$154)/SUMPRODUCT(('ANALYSE - ERP =&gt; SOUS-SEGMENT'!$C$8:$C$154=$C28)*'ANALYSE - ERP =&gt; SOUS-SEGMENT'!$Q$8:$Q$154*'ANALYSE - ERP =&gt; SOUS-SEGMENT'!$AF$8:$AF$154),"")</f>
        <v>4.8555133079847907</v>
      </c>
      <c r="AZ28" s="947">
        <f>IFERROR(SUMPRODUCT(('ANALYSE - ERP =&gt; SOUS-SEGMENT'!$C$8:$C$154=$C28)*'ANALYSE - ERP =&gt; SOUS-SEGMENT'!$Q$8:$Q$154*'ANALYSE - ERP =&gt; SOUS-SEGMENT'!$AF$8:$AF$154*'ANALYSE - ERP =&gt; SOUS-SEGMENT'!$BA$8:$BA$154)/SUMPRODUCT(('ANALYSE - ERP =&gt; SOUS-SEGMENT'!$C$8:$C$154=$C28)*'ANALYSE - ERP =&gt; SOUS-SEGMENT'!$Q$8:$Q$154*'ANALYSE - ERP =&gt; SOUS-SEGMENT'!$AF$8:$AF$154),"")</f>
        <v>7.6045627376425853E-2</v>
      </c>
      <c r="BA28" s="282">
        <f>IFERROR(SUMPRODUCT(('ANALYSE - ERP =&gt; SOUS-SEGMENT'!$C$8:$C$154=$C28)*'ANALYSE - ERP =&gt; SOUS-SEGMENT'!$Q$8:$Q$154*'ANALYSE - ERP =&gt; SOUS-SEGMENT'!$AF$8:$AF$154*'ANALYSE - ERP =&gt; SOUS-SEGMENT'!$BB$8:$BB$154)/SUMPRODUCT(('ANALYSE - ERP =&gt; SOUS-SEGMENT'!$C$8:$C$154=$C28)*'ANALYSE - ERP =&gt; SOUS-SEGMENT'!$Q$8:$Q$154*'ANALYSE - ERP =&gt; SOUS-SEGMENT'!$AF$8:$AF$154),"")</f>
        <v>0.80038022813688214</v>
      </c>
      <c r="BB28" s="282">
        <f>IFERROR(SUMPRODUCT(('ANALYSE - ERP =&gt; SOUS-SEGMENT'!$C$8:$C$154=$C28)*'ANALYSE - ERP =&gt; SOUS-SEGMENT'!$Q$8:$Q$154*'ANALYSE - ERP =&gt; SOUS-SEGMENT'!$AF$8:$AF$154*'ANALYSE - ERP =&gt; SOUS-SEGMENT'!$BC$8:$BC$154)/SUMPRODUCT(('ANALYSE - ERP =&gt; SOUS-SEGMENT'!$C$8:$C$154=$C28)*'ANALYSE - ERP =&gt; SOUS-SEGMENT'!$Q$8:$Q$154*'ANALYSE - ERP =&gt; SOUS-SEGMENT'!$AF$8:$AF$154),"")</f>
        <v>4.0646387832699622</v>
      </c>
      <c r="BC28" s="283">
        <f>SUMPRODUCT(('ANALYSE - ERP =&gt; SOUS-SEGMENT'!$C$8:$C$154=$C28)*'ANALYSE - ERP =&gt; SOUS-SEGMENT'!$Q$8:$Q$154*'ANALYSE - ERP =&gt; SOUS-SEGMENT'!$BE$8:$BE$154)</f>
        <v>51080</v>
      </c>
      <c r="BD28" s="283">
        <f>SUMPRODUCT(('ANALYSE - ERP =&gt; SOUS-SEGMENT'!$C$8:$C$154=$C28)*'ANALYSE - ERP =&gt; SOUS-SEGMENT'!$Q$8:$Q$154*'ANALYSE - ERP =&gt; SOUS-SEGMENT'!$BF$8:$BF$154)</f>
        <v>800</v>
      </c>
      <c r="BE28" s="283">
        <f>SUMPRODUCT(('ANALYSE - ERP =&gt; SOUS-SEGMENT'!$C$8:$C$154=$C28)*'ANALYSE - ERP =&gt; SOUS-SEGMENT'!$Q$8:$Q$154*'ANALYSE - ERP =&gt; SOUS-SEGMENT'!$BG$8:$BG$154)</f>
        <v>8420</v>
      </c>
      <c r="BF28" s="283">
        <f>SUMPRODUCT(('ANALYSE - ERP =&gt; SOUS-SEGMENT'!$C$8:$C$154=$C28)*'ANALYSE - ERP =&gt; SOUS-SEGMENT'!$Q$8:$Q$154*'ANALYSE - ERP =&gt; SOUS-SEGMENT'!$BH$8:$BH$154)</f>
        <v>42760</v>
      </c>
      <c r="BG28" s="283">
        <f>SUMPRODUCT(('ANALYSE - ERP =&gt; SOUS-SEGMENT'!$C$8:$C$154=$C28)*'ANALYSE - ERP =&gt; SOUS-SEGMENT'!$Q$8:$Q$154*'ANALYSE - ERP =&gt; SOUS-SEGMENT'!$BJ$8:$BJ$154)</f>
        <v>52311</v>
      </c>
      <c r="BH28" s="283">
        <f>SUMPRODUCT(('ANALYSE - ERP =&gt; SOUS-SEGMENT'!$C$8:$C$154=$C28)*'ANALYSE - ERP =&gt; SOUS-SEGMENT'!$Q$8:$Q$154*'ANALYSE - ERP =&gt; SOUS-SEGMENT'!$BK$8:$BK$154)</f>
        <v>750</v>
      </c>
      <c r="BI28" s="283">
        <f>SUMPRODUCT(('ANALYSE - ERP =&gt; SOUS-SEGMENT'!$C$8:$C$154=$C28)*'ANALYSE - ERP =&gt; SOUS-SEGMENT'!$Q$8:$Q$154*'ANALYSE - ERP =&gt; SOUS-SEGMENT'!$BL$8:$BL$154)</f>
        <v>8631</v>
      </c>
      <c r="BJ28" s="283">
        <f>SUMPRODUCT(('ANALYSE - ERP =&gt; SOUS-SEGMENT'!$C$8:$C$154=$C28)*'ANALYSE - ERP =&gt; SOUS-SEGMENT'!$Q$8:$Q$154*'ANALYSE - ERP =&gt; SOUS-SEGMENT'!$BM$8:$BM$154)</f>
        <v>43591</v>
      </c>
      <c r="BK28" s="657"/>
      <c r="BL28" s="580">
        <f>IFERROR(SUMPRODUCT(('ANALYSE - ERP =&gt; SOUS-SEGMENT'!$C$8:$C$154=$C28)*'ANALYSE - ERP =&gt; SOUS-SEGMENT'!$Q$8:$Q$154*'ANALYSE - ERP =&gt; SOUS-SEGMENT'!$BE$8:$BE$154*'ANALYSE - ERP =&gt; SOUS-SEGMENT'!$BO$8:$BO$154)/SUMPRODUCT(('ANALYSE - ERP =&gt; SOUS-SEGMENT'!$C$8:$C$154=$C28)*'ANALYSE - ERP =&gt; SOUS-SEGMENT'!$Q$8:$Q$154*'ANALYSE - ERP =&gt; SOUS-SEGMENT'!$BE$8:$BE$154),"")</f>
        <v>0.21649373531714958</v>
      </c>
      <c r="BM28" s="305">
        <f>IFERROR(SUMPRODUCT(('ANALYSE - ERP =&gt; SOUS-SEGMENT'!$C$8:$C$154=$C28)*'ANALYSE - ERP =&gt; SOUS-SEGMENT'!$Q$8:$Q$154*'ANALYSE - ERP =&gt; SOUS-SEGMENT'!$BE$8:$BE$154*'ANALYSE - ERP =&gt; SOUS-SEGMENT'!$BP$8:$BP$154)/SUMPRODUCT(('ANALYSE - ERP =&gt; SOUS-SEGMENT'!$C$8:$C$154=$C28)*'ANALYSE - ERP =&gt; SOUS-SEGMENT'!$Q$8:$Q$154*'ANALYSE - ERP =&gt; SOUS-SEGMENT'!$BE$8:$BE$154),"")</f>
        <v>0.64456342991386051</v>
      </c>
      <c r="BN28" s="305">
        <f>IFERROR(SUMPRODUCT(('ANALYSE - ERP =&gt; SOUS-SEGMENT'!$C$8:$C$154=$C28)*'ANALYSE - ERP =&gt; SOUS-SEGMENT'!$Q$8:$Q$154*'ANALYSE - ERP =&gt; SOUS-SEGMENT'!$BE$8:$BE$154*'ANALYSE - ERP =&gt; SOUS-SEGMENT'!$BQ$8:$BQ$154)/SUMPRODUCT(('ANALYSE - ERP =&gt; SOUS-SEGMENT'!$C$8:$C$154=$C28)*'ANALYSE - ERP =&gt; SOUS-SEGMENT'!$Q$8:$Q$154*'ANALYSE - ERP =&gt; SOUS-SEGMENT'!$BE$8:$BE$154),"")</f>
        <v>8.7253328112764303E-2</v>
      </c>
      <c r="BO28" s="581">
        <f>IFERROR(SUMPRODUCT(('ANALYSE - ERP =&gt; SOUS-SEGMENT'!$C$8:$C$154=$C28)*'ANALYSE - ERP =&gt; SOUS-SEGMENT'!$Q$8:$Q$154*'ANALYSE - ERP =&gt; SOUS-SEGMENT'!$BE$8:$BE$154*'ANALYSE - ERP =&gt; SOUS-SEGMENT'!$BR$8:$BR$154)/SUMPRODUCT(('ANALYSE - ERP =&gt; SOUS-SEGMENT'!$C$8:$C$154=$C28)*'ANALYSE - ERP =&gt; SOUS-SEGMENT'!$Q$8:$Q$154*'ANALYSE - ERP =&gt; SOUS-SEGMENT'!$BE$8:$BE$154),"")</f>
        <v>5.1689506656225521E-2</v>
      </c>
      <c r="BP28" s="580">
        <f>IFERROR(SUMPRODUCT(('ANALYSE - ERP =&gt; SOUS-SEGMENT'!$C$8:$C$154=$C28)*'ANALYSE - ERP =&gt; SOUS-SEGMENT'!$Q$8:$Q$154*'ANALYSE - ERP =&gt; SOUS-SEGMENT'!$BJ$8:$BJ$154*'ANALYSE - ERP =&gt; SOUS-SEGMENT'!$BS$8:$BS$154)/SUMPRODUCT(('ANALYSE - ERP =&gt; SOUS-SEGMENT'!$C$8:$C$154=$C28)*'ANALYSE - ERP =&gt; SOUS-SEGMENT'!$Q$8:$Q$154*'ANALYSE - ERP =&gt; SOUS-SEGMENT'!$BJ$8:$BJ$154),"")</f>
        <v>0.18229167861444054</v>
      </c>
      <c r="BQ28" s="305">
        <f>IFERROR(SUMPRODUCT(('ANALYSE - ERP =&gt; SOUS-SEGMENT'!$C$8:$C$154=$C28)*'ANALYSE - ERP =&gt; SOUS-SEGMENT'!$Q$8:$Q$154*'ANALYSE - ERP =&gt; SOUS-SEGMENT'!$BJ$8:$BJ$154*'ANALYSE - ERP =&gt; SOUS-SEGMENT'!$BT$8:$BT$154)/SUMPRODUCT(('ANALYSE - ERP =&gt; SOUS-SEGMENT'!$C$8:$C$154=$C28)*'ANALYSE - ERP =&gt; SOUS-SEGMENT'!$Q$8:$Q$154*'ANALYSE - ERP =&gt; SOUS-SEGMENT'!$BJ$8:$BJ$154),"")</f>
        <v>0.65072088088547342</v>
      </c>
      <c r="BR28" s="305">
        <f>IFERROR(SUMPRODUCT(('ANALYSE - ERP =&gt; SOUS-SEGMENT'!$C$8:$C$154=$C28)*'ANALYSE - ERP =&gt; SOUS-SEGMENT'!$Q$8:$Q$154*'ANALYSE - ERP =&gt; SOUS-SEGMENT'!$BJ$8:$BJ$154*'ANALYSE - ERP =&gt; SOUS-SEGMENT'!$BU$8:$BU$154)/SUMPRODUCT(('ANALYSE - ERP =&gt; SOUS-SEGMENT'!$C$8:$C$154=$C28)*'ANALYSE - ERP =&gt; SOUS-SEGMENT'!$Q$8:$Q$154*'ANALYSE - ERP =&gt; SOUS-SEGMENT'!$BJ$8:$BJ$154),"")</f>
        <v>0.11904570740379652</v>
      </c>
      <c r="BS28" s="581">
        <f>IFERROR(SUMPRODUCT(('ANALYSE - ERP =&gt; SOUS-SEGMENT'!$C$8:$C$154=$C28)*'ANALYSE - ERP =&gt; SOUS-SEGMENT'!$Q$8:$Q$154*'ANALYSE - ERP =&gt; SOUS-SEGMENT'!$BJ$8:$BJ$154*'ANALYSE - ERP =&gt; SOUS-SEGMENT'!$BV$8:$BV$154)/SUMPRODUCT(('ANALYSE - ERP =&gt; SOUS-SEGMENT'!$C$8:$C$154=$C28)*'ANALYSE - ERP =&gt; SOUS-SEGMENT'!$Q$8:$Q$154*'ANALYSE - ERP =&gt; SOUS-SEGMENT'!$BJ$8:$BJ$154),"")</f>
        <v>4.7941733096289504E-2</v>
      </c>
      <c r="BT28" s="589">
        <f>IFERROR(SUMPRODUCT(('ANALYSE - ERP =&gt; SOUS-SEGMENT'!$C$8:$C$154=$C28)*'ANALYSE - ERP =&gt; SOUS-SEGMENT'!$Q$8:$Q$154*'ANALYSE - ERP =&gt; SOUS-SEGMENT'!$BF$8:$BF$154*'ANALYSE - ERP =&gt; SOUS-SEGMENT'!$BW$8:$BW$154)/SUMPRODUCT(('ANALYSE - ERP =&gt; SOUS-SEGMENT'!$C$8:$C$154=$C28)*'ANALYSE - ERP =&gt; SOUS-SEGMENT'!$Q$8:$Q$154*'ANALYSE - ERP =&gt; SOUS-SEGMENT'!$BF$8:$BF$154),"")</f>
        <v>0.15</v>
      </c>
      <c r="BU28" s="306">
        <f>IFERROR(SUMPRODUCT(('ANALYSE - ERP =&gt; SOUS-SEGMENT'!$C$8:$C$154=$C28)*'ANALYSE - ERP =&gt; SOUS-SEGMENT'!$Q$8:$Q$154*'ANALYSE - ERP =&gt; SOUS-SEGMENT'!$BF$8:$BF$154*'ANALYSE - ERP =&gt; SOUS-SEGMENT'!$BX$8:$BX$154)/SUMPRODUCT(('ANALYSE - ERP =&gt; SOUS-SEGMENT'!$C$8:$C$154=$C28)*'ANALYSE - ERP =&gt; SOUS-SEGMENT'!$Q$8:$Q$154*'ANALYSE - ERP =&gt; SOUS-SEGMENT'!$BF$8:$BF$154),"")</f>
        <v>0.8</v>
      </c>
      <c r="BV28" s="590">
        <f>IFERROR(SUMPRODUCT(('ANALYSE - ERP =&gt; SOUS-SEGMENT'!$C$8:$C$154=$C28)*'ANALYSE - ERP =&gt; SOUS-SEGMENT'!$Q$8:$Q$154*'ANALYSE - ERP =&gt; SOUS-SEGMENT'!$BF$8:$BF$154*'ANALYSE - ERP =&gt; SOUS-SEGMENT'!$BY$8:$BY$154)/SUMPRODUCT(('ANALYSE - ERP =&gt; SOUS-SEGMENT'!$C$8:$C$154=$C28)*'ANALYSE - ERP =&gt; SOUS-SEGMENT'!$Q$8:$Q$154*'ANALYSE - ERP =&gt; SOUS-SEGMENT'!$BF$8:$BF$154),"")</f>
        <v>0.05</v>
      </c>
      <c r="BW28" s="589">
        <f>IFERROR(SUMPRODUCT(('ANALYSE - ERP =&gt; SOUS-SEGMENT'!$C$8:$C$154=$C28)*'ANALYSE - ERP =&gt; SOUS-SEGMENT'!$Q$8:$Q$154*'ANALYSE - ERP =&gt; SOUS-SEGMENT'!$BK$8:$BK$154*'ANALYSE - ERP =&gt; SOUS-SEGMENT'!$BZ$8:$BZ$154)/SUMPRODUCT(('ANALYSE - ERP =&gt; SOUS-SEGMENT'!$C$8:$C$154=$C28)*'ANALYSE - ERP =&gt; SOUS-SEGMENT'!$Q$8:$Q$154*'ANALYSE - ERP =&gt; SOUS-SEGMENT'!$BK$8:$BK$154),"")</f>
        <v>0.12</v>
      </c>
      <c r="BX28" s="306">
        <f>IFERROR(SUMPRODUCT(('ANALYSE - ERP =&gt; SOUS-SEGMENT'!$C$8:$C$154=$C28)*'ANALYSE - ERP =&gt; SOUS-SEGMENT'!$Q$8:$Q$154*'ANALYSE - ERP =&gt; SOUS-SEGMENT'!$BK$8:$BK$154*'ANALYSE - ERP =&gt; SOUS-SEGMENT'!$CA$8:$CA$154)/SUMPRODUCT(('ANALYSE - ERP =&gt; SOUS-SEGMENT'!$C$8:$C$154=$C28)*'ANALYSE - ERP =&gt; SOUS-SEGMENT'!$Q$8:$Q$154*'ANALYSE - ERP =&gt; SOUS-SEGMENT'!$BK$8:$BK$154),"")</f>
        <v>0.82</v>
      </c>
      <c r="BY28" s="590">
        <f>IFERROR(SUMPRODUCT(('ANALYSE - ERP =&gt; SOUS-SEGMENT'!$C$8:$C$154=$C28)*'ANALYSE - ERP =&gt; SOUS-SEGMENT'!$Q$8:$Q$154*'ANALYSE - ERP =&gt; SOUS-SEGMENT'!$BK$8:$BK$154*'ANALYSE - ERP =&gt; SOUS-SEGMENT'!$CB$8:$CB$154)/SUMPRODUCT(('ANALYSE - ERP =&gt; SOUS-SEGMENT'!$C$8:$C$154=$C28)*'ANALYSE - ERP =&gt; SOUS-SEGMENT'!$Q$8:$Q$154*'ANALYSE - ERP =&gt; SOUS-SEGMENT'!$BK$8:$BK$154),"")</f>
        <v>0.06</v>
      </c>
      <c r="BZ28" s="580">
        <f>IFERROR(SUMPRODUCT(('ANALYSE - ERP =&gt; SOUS-SEGMENT'!$C$8:$C$154=$C28)*'ANALYSE - ERP =&gt; SOUS-SEGMENT'!$Q$8:$Q$154*'ANALYSE - ERP =&gt; SOUS-SEGMENT'!$BG$8:$BG$154*'ANALYSE - ERP =&gt; SOUS-SEGMENT'!$CC$8:$CC$154)/SUMPRODUCT(('ANALYSE - ERP =&gt; SOUS-SEGMENT'!$C$8:$C$154=$C28)*'ANALYSE - ERP =&gt; SOUS-SEGMENT'!$Q$8:$Q$154*'ANALYSE - ERP =&gt; SOUS-SEGMENT'!$BG$8:$BG$154),"")</f>
        <v>8.0344418052256533E-2</v>
      </c>
      <c r="CA28" s="305">
        <f>IFERROR(SUMPRODUCT(('ANALYSE - ERP =&gt; SOUS-SEGMENT'!$C$8:$C$154=$C28)*'ANALYSE - ERP =&gt; SOUS-SEGMENT'!$Q$8:$Q$154*'ANALYSE - ERP =&gt; SOUS-SEGMENT'!$BG$8:$BG$154*'ANALYSE - ERP =&gt; SOUS-SEGMENT'!$CD$8:$CD$154)/SUMPRODUCT(('ANALYSE - ERP =&gt; SOUS-SEGMENT'!$C$8:$C$154=$C28)*'ANALYSE - ERP =&gt; SOUS-SEGMENT'!$Q$8:$Q$154*'ANALYSE - ERP =&gt; SOUS-SEGMENT'!$BG$8:$BG$154),"")</f>
        <v>0.52698931116389547</v>
      </c>
      <c r="CB28" s="305">
        <f>IFERROR(SUMPRODUCT(('ANALYSE - ERP =&gt; SOUS-SEGMENT'!$C$8:$C$154=$C28)*'ANALYSE - ERP =&gt; SOUS-SEGMENT'!$Q$8:$Q$154*'ANALYSE - ERP =&gt; SOUS-SEGMENT'!$BG$8:$BG$154*'ANALYSE - ERP =&gt; SOUS-SEGMENT'!$CE$8:$CE$154)/SUMPRODUCT(('ANALYSE - ERP =&gt; SOUS-SEGMENT'!$C$8:$C$154=$C28)*'ANALYSE - ERP =&gt; SOUS-SEGMENT'!$Q$8:$Q$154*'ANALYSE - ERP =&gt; SOUS-SEGMENT'!$BG$8:$BG$154),"")</f>
        <v>0.1208729216152019</v>
      </c>
      <c r="CC28" s="581">
        <f>IFERROR(SUMPRODUCT(('ANALYSE - ERP =&gt; SOUS-SEGMENT'!$C$8:$C$154=$C28)*'ANALYSE - ERP =&gt; SOUS-SEGMENT'!$Q$8:$Q$154*'ANALYSE - ERP =&gt; SOUS-SEGMENT'!$BG$8:$BG$154*'ANALYSE - ERP =&gt; SOUS-SEGMENT'!$CF$8:$CF$154)/SUMPRODUCT(('ANALYSE - ERP =&gt; SOUS-SEGMENT'!$C$8:$C$154=$C28)*'ANALYSE - ERP =&gt; SOUS-SEGMENT'!$Q$8:$Q$154*'ANALYSE - ERP =&gt; SOUS-SEGMENT'!$BG$8:$BG$154),"")</f>
        <v>0.27179334916864606</v>
      </c>
      <c r="CD28" s="580">
        <f>IFERROR(SUMPRODUCT(('ANALYSE - ERP =&gt; SOUS-SEGMENT'!$C$8:$C$154=$C28)*'ANALYSE - ERP =&gt; SOUS-SEGMENT'!$Q$8:$Q$154*'ANALYSE - ERP =&gt; SOUS-SEGMENT'!$BL$8:$BL$154*'ANALYSE - ERP =&gt; SOUS-SEGMENT'!$CG$8:$CG$154)/SUMPRODUCT(('ANALYSE - ERP =&gt; SOUS-SEGMENT'!$C$8:$C$154=$C28)*'ANALYSE - ERP =&gt; SOUS-SEGMENT'!$Q$8:$Q$154*'ANALYSE - ERP =&gt; SOUS-SEGMENT'!$BL$8:$BL$154),"")</f>
        <v>6.5519638512339246E-2</v>
      </c>
      <c r="CE28" s="305">
        <f>IFERROR(SUMPRODUCT(('ANALYSE - ERP =&gt; SOUS-SEGMENT'!$C$8:$C$154=$C28)*'ANALYSE - ERP =&gt; SOUS-SEGMENT'!$Q$8:$Q$154*'ANALYSE - ERP =&gt; SOUS-SEGMENT'!$BL$8:$BL$154*'ANALYSE - ERP =&gt; SOUS-SEGMENT'!$CH$8:$CH$154)/SUMPRODUCT(('ANALYSE - ERP =&gt; SOUS-SEGMENT'!$C$8:$C$154=$C28)*'ANALYSE - ERP =&gt; SOUS-SEGMENT'!$Q$8:$Q$154*'ANALYSE - ERP =&gt; SOUS-SEGMENT'!$BL$8:$BL$154),"")</f>
        <v>0.52728536670142512</v>
      </c>
      <c r="CF28" s="305">
        <f>IFERROR(SUMPRODUCT(('ANALYSE - ERP =&gt; SOUS-SEGMENT'!$C$8:$C$154=$C28)*'ANALYSE - ERP =&gt; SOUS-SEGMENT'!$Q$8:$Q$154*'ANALYSE - ERP =&gt; SOUS-SEGMENT'!$BL$8:$BL$154*'ANALYSE - ERP =&gt; SOUS-SEGMENT'!$CI$8:$CI$154)/SUMPRODUCT(('ANALYSE - ERP =&gt; SOUS-SEGMENT'!$C$8:$C$154=$C28)*'ANALYSE - ERP =&gt; SOUS-SEGMENT'!$Q$8:$Q$154*'ANALYSE - ERP =&gt; SOUS-SEGMENT'!$BL$8:$BL$154),"")</f>
        <v>0.14465067778936389</v>
      </c>
      <c r="CG28" s="581">
        <f>IFERROR(SUMPRODUCT(('ANALYSE - ERP =&gt; SOUS-SEGMENT'!$C$8:$C$154=$C28)*'ANALYSE - ERP =&gt; SOUS-SEGMENT'!$Q$8:$Q$154*'ANALYSE - ERP =&gt; SOUS-SEGMENT'!$BL$8:$BL$154*'ANALYSE - ERP =&gt; SOUS-SEGMENT'!$CJ$8:$CJ$154)/SUMPRODUCT(('ANALYSE - ERP =&gt; SOUS-SEGMENT'!$C$8:$C$154=$C28)*'ANALYSE - ERP =&gt; SOUS-SEGMENT'!$Q$8:$Q$154*'ANALYSE - ERP =&gt; SOUS-SEGMENT'!$BL$8:$BL$154),"")</f>
        <v>0.2625443169968717</v>
      </c>
      <c r="CH28" s="589">
        <f>IFERROR(SUMPRODUCT(('ANALYSE - ERP =&gt; SOUS-SEGMENT'!$C$8:$C$154=$C28)*'ANALYSE - ERP =&gt; SOUS-SEGMENT'!$Q$8:$Q$154*'ANALYSE - ERP =&gt; SOUS-SEGMENT'!$BH$8:$BH$154*'ANALYSE - ERP =&gt; SOUS-SEGMENT'!$CK$8:$CK$154)/SUMPRODUCT(('ANALYSE - ERP =&gt; SOUS-SEGMENT'!$C$8:$C$154=$C28)*'ANALYSE - ERP =&gt; SOUS-SEGMENT'!$Q$8:$Q$154*'ANALYSE - ERP =&gt; SOUS-SEGMENT'!$BH$8:$BH$154),"")</f>
        <v>0.40522684752104771</v>
      </c>
      <c r="CI28" s="306">
        <f>IFERROR(SUMPRODUCT(('ANALYSE - ERP =&gt; SOUS-SEGMENT'!$C$8:$C$154=$C28)*'ANALYSE - ERP =&gt; SOUS-SEGMENT'!$Q$8:$Q$154*'ANALYSE - ERP =&gt; SOUS-SEGMENT'!$BH$8:$BH$154*'ANALYSE - ERP =&gt; SOUS-SEGMENT'!$CL$8:$CL$154)/SUMPRODUCT(('ANALYSE - ERP =&gt; SOUS-SEGMENT'!$C$8:$C$154=$C28)*'ANALYSE - ERP =&gt; SOUS-SEGMENT'!$Q$8:$Q$154*'ANALYSE - ERP =&gt; SOUS-SEGMENT'!$BH$8:$BH$154),"")</f>
        <v>0.42353835360149672</v>
      </c>
      <c r="CJ28" s="590">
        <f>IFERROR(SUMPRODUCT(('ANALYSE - ERP =&gt; SOUS-SEGMENT'!$C$8:$C$154=$C28)*'ANALYSE - ERP =&gt; SOUS-SEGMENT'!$Q$8:$Q$154*'ANALYSE - ERP =&gt; SOUS-SEGMENT'!$BH$8:$BH$154*'ANALYSE - ERP =&gt; SOUS-SEGMENT'!$CM$8:$CM$154)/SUMPRODUCT(('ANALYSE - ERP =&gt; SOUS-SEGMENT'!$C$8:$C$154=$C28)*'ANALYSE - ERP =&gt; SOUS-SEGMENT'!$Q$8:$Q$154*'ANALYSE - ERP =&gt; SOUS-SEGMENT'!$BH$8:$BH$154),"")</f>
        <v>0.17123479887745557</v>
      </c>
      <c r="CK28" s="589">
        <f>IFERROR(SUMPRODUCT(('ANALYSE - ERP =&gt; SOUS-SEGMENT'!$C$8:$C$154=$C28)*'ANALYSE - ERP =&gt; SOUS-SEGMENT'!$Q$8:$Q$154*'ANALYSE - ERP =&gt; SOUS-SEGMENT'!$BM$8:$BM$154*'ANALYSE - ERP =&gt; SOUS-SEGMENT'!$CN$8:$CN$154)/SUMPRODUCT(('ANALYSE - ERP =&gt; SOUS-SEGMENT'!$C$8:$C$154=$C28)*'ANALYSE - ERP =&gt; SOUS-SEGMENT'!$Q$8:$Q$154*'ANALYSE - ERP =&gt; SOUS-SEGMENT'!$BM$8:$BM$154),"")</f>
        <v>0.31444495423367208</v>
      </c>
      <c r="CL28" s="306">
        <f>IFERROR(SUMPRODUCT(('ANALYSE - ERP =&gt; SOUS-SEGMENT'!$C$8:$C$154=$C28)*'ANALYSE - ERP =&gt; SOUS-SEGMENT'!$Q$8:$Q$154*'ANALYSE - ERP =&gt; SOUS-SEGMENT'!$BM$8:$BM$154*'ANALYSE - ERP =&gt; SOUS-SEGMENT'!$CO$8:$CO$154)/SUMPRODUCT(('ANALYSE - ERP =&gt; SOUS-SEGMENT'!$C$8:$C$154=$C28)*'ANALYSE - ERP =&gt; SOUS-SEGMENT'!$Q$8:$Q$154*'ANALYSE - ERP =&gt; SOUS-SEGMENT'!$BM$8:$BM$154),"")</f>
        <v>0.455398591452364</v>
      </c>
      <c r="CM28" s="590">
        <f>IFERROR(SUMPRODUCT(('ANALYSE - ERP =&gt; SOUS-SEGMENT'!$C$8:$C$154=$C28)*'ANALYSE - ERP =&gt; SOUS-SEGMENT'!$Q$8:$Q$154*'ANALYSE - ERP =&gt; SOUS-SEGMENT'!$BM$8:$BM$154*'ANALYSE - ERP =&gt; SOUS-SEGMENT'!$CP$8:$CP$154)/SUMPRODUCT(('ANALYSE - ERP =&gt; SOUS-SEGMENT'!$C$8:$C$154=$C28)*'ANALYSE - ERP =&gt; SOUS-SEGMENT'!$Q$8:$Q$154*'ANALYSE - ERP =&gt; SOUS-SEGMENT'!$BM$8:$BM$154),"")</f>
        <v>0.23015645431396389</v>
      </c>
      <c r="CN28" s="657"/>
      <c r="CO28" s="889">
        <f>IFERROR(SUMPRODUCT(('ANALYSE - ERP =&gt; SOUS-SEGMENT'!$C$8:$C$154=$C28)*'ANALYSE - ERP =&gt; SOUS-SEGMENT'!$DH$8:$DH$154*('ANALYSE - ERP =&gt; SOUS-SEGMENT'!$CR$8:$CR$154&gt;0)*'ANALYSE - ERP =&gt; SOUS-SEGMENT'!$CR$8:$CR$154)/SUMPRODUCT(('ANALYSE - ERP =&gt; SOUS-SEGMENT'!$C$8:$C$154=$C28)*'ANALYSE - ERP =&gt; SOUS-SEGMENT'!$DH$8:$DH$154*('ANALYSE - ERP =&gt; SOUS-SEGMENT'!$CR$8:$CR$154&gt;0)),"")</f>
        <v>12.141248813130172</v>
      </c>
      <c r="CP28" s="890">
        <f>IFERROR(SUMPRODUCT(('ANALYSE - ERP =&gt; SOUS-SEGMENT'!$C$8:$C$154=$C28)*'ANALYSE - ERP =&gt; SOUS-SEGMENT'!$DI$8:$DI$154*('ANALYSE - ERP =&gt; SOUS-SEGMENT'!$CS$8:$CS$154&gt;0)*'ANALYSE - ERP =&gt; SOUS-SEGMENT'!$CS$8:$CS$154)/SUMPRODUCT(('ANALYSE - ERP =&gt; SOUS-SEGMENT'!$C$8:$C$154=$C28)*'ANALYSE - ERP =&gt; SOUS-SEGMENT'!$DI$8:$DI$154*('ANALYSE - ERP =&gt; SOUS-SEGMENT'!$CS$8:$CS$154&gt;0)),"")</f>
        <v>11.964940788414637</v>
      </c>
      <c r="CQ28" s="890">
        <f>IFERROR(SUMPRODUCT(('ANALYSE - ERP =&gt; SOUS-SEGMENT'!$C$8:$C$154=$C28)*'ANALYSE - ERP =&gt; SOUS-SEGMENT'!$DJ$8:$DJ$154*('ANALYSE - ERP =&gt; SOUS-SEGMENT'!$CT$8:$CT$154&gt;0)*'ANALYSE - ERP =&gt; SOUS-SEGMENT'!$CT$8:$CT$154)/SUMPRODUCT(('ANALYSE - ERP =&gt; SOUS-SEGMENT'!$C$8:$C$154=$C28)*'ANALYSE - ERP =&gt; SOUS-SEGMENT'!$DJ$8:$DJ$154*('ANALYSE - ERP =&gt; SOUS-SEGMENT'!$CT$8:$CT$154&gt;0)),"")</f>
        <v>8.9373106868002417</v>
      </c>
      <c r="CR28" s="891">
        <f>IFERROR(SUMPRODUCT(('ANALYSE - ERP =&gt; SOUS-SEGMENT'!$C$8:$C$154=$C28)*'ANALYSE - ERP =&gt; SOUS-SEGMENT'!$DK$8:$DK$154*('ANALYSE - ERP =&gt; SOUS-SEGMENT'!$CU$8:$CU$154&gt;0)*'ANALYSE - ERP =&gt; SOUS-SEGMENT'!$CU$8:$CU$154)/SUMPRODUCT(('ANALYSE - ERP =&gt; SOUS-SEGMENT'!$C$8:$C$154=$C28)*'ANALYSE - ERP =&gt; SOUS-SEGMENT'!$DK$8:$DK$154*('ANALYSE - ERP =&gt; SOUS-SEGMENT'!$CU$8:$CU$154&gt;0)),"")</f>
        <v>10.648221792978072</v>
      </c>
      <c r="CS28" s="889">
        <f>IFERROR(SUMPRODUCT(('ANALYSE - ERP =&gt; SOUS-SEGMENT'!$C$8:$C$154=$C28)*'ANALYSE - ERP =&gt; SOUS-SEGMENT'!$DS$8:$DS$154*('ANALYSE - ERP =&gt; SOUS-SEGMENT'!$CV$8:$CV$154&gt;0)*'ANALYSE - ERP =&gt; SOUS-SEGMENT'!$CV$8:$CV$154)/SUMPRODUCT(('ANALYSE - ERP =&gt; SOUS-SEGMENT'!$C$8:$C$154=$C28)*'ANALYSE - ERP =&gt; SOUS-SEGMENT'!$DS$8:$DS$154*('ANALYSE - ERP =&gt; SOUS-SEGMENT'!$CV$8:$CV$154&gt;0)),"")</f>
        <v>8</v>
      </c>
      <c r="CT28" s="890">
        <f>IFERROR(SUMPRODUCT(('ANALYSE - ERP =&gt; SOUS-SEGMENT'!$C$8:$C$154=$C28)*'ANALYSE - ERP =&gt; SOUS-SEGMENT'!$DT$8:$DT$154*('ANALYSE - ERP =&gt; SOUS-SEGMENT'!$CW$8:$CW$154&gt;0)*'ANALYSE - ERP =&gt; SOUS-SEGMENT'!$CW$8:$CW$154)/SUMPRODUCT(('ANALYSE - ERP =&gt; SOUS-SEGMENT'!$C$8:$C$154=$C28)*'ANALYSE - ERP =&gt; SOUS-SEGMENT'!$DT$8:$DT$154*('ANALYSE - ERP =&gt; SOUS-SEGMENT'!$CW$8:$CW$154&gt;0)),"")</f>
        <v>8</v>
      </c>
      <c r="CU28" s="891">
        <f>IFERROR(SUMPRODUCT(('ANALYSE - ERP =&gt; SOUS-SEGMENT'!$C$8:$C$154=$C28)*'ANALYSE - ERP =&gt; SOUS-SEGMENT'!$DU$8:$DU$154*('ANALYSE - ERP =&gt; SOUS-SEGMENT'!$CX$8:$CX$154&gt;0)*'ANALYSE - ERP =&gt; SOUS-SEGMENT'!$CX$8:$CX$154)/SUMPRODUCT(('ANALYSE - ERP =&gt; SOUS-SEGMENT'!$C$8:$C$154=$C28)*'ANALYSE - ERP =&gt; SOUS-SEGMENT'!$DU$8:$DU$154*('ANALYSE - ERP =&gt; SOUS-SEGMENT'!$CX$8:$CX$154&gt;0)),"")</f>
        <v>7</v>
      </c>
      <c r="CV28" s="889">
        <f>IFERROR(SUMPRODUCT(('ANALYSE - ERP =&gt; SOUS-SEGMENT'!$C$8:$C$154=$C28)*'ANALYSE - ERP =&gt; SOUS-SEGMENT'!$EB$8:$EB$154*('ANALYSE - ERP =&gt; SOUS-SEGMENT'!$CY$8:$CY$154&gt;0)*'ANALYSE - ERP =&gt; SOUS-SEGMENT'!$CY$8:$CY$154)/SUMPRODUCT(('ANALYSE - ERP =&gt; SOUS-SEGMENT'!$C$8:$C$154=$C28)*'ANALYSE - ERP =&gt; SOUS-SEGMENT'!$EB$8:$EB$154*('ANALYSE - ERP =&gt; SOUS-SEGMENT'!$CY$8:$CY$154&gt;0)),"")</f>
        <v>9.9024390243902438</v>
      </c>
      <c r="CW28" s="890">
        <f>IFERROR(SUMPRODUCT(('ANALYSE - ERP =&gt; SOUS-SEGMENT'!$C$8:$C$154=$C28)*'ANALYSE - ERP =&gt; SOUS-SEGMENT'!$EC$8:$EC$154*('ANALYSE - ERP =&gt; SOUS-SEGMENT'!$CZ$8:$CZ$154&gt;0)*'ANALYSE - ERP =&gt; SOUS-SEGMENT'!$CZ$8:$CZ$154)/SUMPRODUCT(('ANALYSE - ERP =&gt; SOUS-SEGMENT'!$C$8:$C$154=$C28)*'ANALYSE - ERP =&gt; SOUS-SEGMENT'!$EC$8:$EC$154*('ANALYSE - ERP =&gt; SOUS-SEGMENT'!$CZ$8:$CZ$154&gt;0)),"")</f>
        <v>11.203448081582062</v>
      </c>
      <c r="CX28" s="890">
        <f>IFERROR(SUMPRODUCT(('ANALYSE - ERP =&gt; SOUS-SEGMENT'!$C$8:$C$154=$C28)*'ANALYSE - ERP =&gt; SOUS-SEGMENT'!$ED$8:$ED$154*('ANALYSE - ERP =&gt; SOUS-SEGMENT'!$DA$8:$DA$154&gt;0)*'ANALYSE - ERP =&gt; SOUS-SEGMENT'!$DA$8:$DA$154)/SUMPRODUCT(('ANALYSE - ERP =&gt; SOUS-SEGMENT'!$C$8:$C$154=$C28)*'ANALYSE - ERP =&gt; SOUS-SEGMENT'!$ED$8:$ED$154*('ANALYSE - ERP =&gt; SOUS-SEGMENT'!$DA$8:$DA$154&gt;0)),"")</f>
        <v>8.0361090641120114</v>
      </c>
      <c r="CY28" s="892">
        <f>IFERROR(SUMPRODUCT(('ANALYSE - ERP =&gt; SOUS-SEGMENT'!$C$8:$C$154=$C28)*'ANALYSE - ERP =&gt; SOUS-SEGMENT'!$EE$8:$EE$154*('ANALYSE - ERP =&gt; SOUS-SEGMENT'!$DB$8:$DB$154&gt;0)*'ANALYSE - ERP =&gt; SOUS-SEGMENT'!$DB$8:$DB$154)/SUMPRODUCT(('ANALYSE - ERP =&gt; SOUS-SEGMENT'!$C$8:$C$154=$C28)*'ANALYSE - ERP =&gt; SOUS-SEGMENT'!$EE$8:$EE$154*('ANALYSE - ERP =&gt; SOUS-SEGMENT'!$DB$8:$DB$154&gt;0)),"")</f>
        <v>9.7189206904085648</v>
      </c>
      <c r="CZ28" s="893">
        <f>IFERROR(SUMPRODUCT(('ANALYSE - ERP =&gt; SOUS-SEGMENT'!$C$8:$C$154=$C28)*'ANALYSE - ERP =&gt; SOUS-SEGMENT'!$EM$8:$EM$154*('ANALYSE - ERP =&gt; SOUS-SEGMENT'!$DC$8:$DC$154&gt;0)*'ANALYSE - ERP =&gt; SOUS-SEGMENT'!$DC$8:$DC$154)/SUMPRODUCT(('ANALYSE - ERP =&gt; SOUS-SEGMENT'!$C$8:$C$154=$C28)*'ANALYSE - ERP =&gt; SOUS-SEGMENT'!$EM$8:$EM$154*('ANALYSE - ERP =&gt; SOUS-SEGMENT'!$DC$8:$DC$154&gt;0)),"")</f>
        <v>12.749386812869716</v>
      </c>
      <c r="DA28" s="890">
        <f>IFERROR(SUMPRODUCT(('ANALYSE - ERP =&gt; SOUS-SEGMENT'!$C$8:$C$154=$C28)*'ANALYSE - ERP =&gt; SOUS-SEGMENT'!$EN$8:$EN$154*('ANALYSE - ERP =&gt; SOUS-SEGMENT'!$DD$8:$DD$154&gt;0)*'ANALYSE - ERP =&gt; SOUS-SEGMENT'!$DD$8:$DD$154)/SUMPRODUCT(('ANALYSE - ERP =&gt; SOUS-SEGMENT'!$C$8:$C$154=$C28)*'ANALYSE - ERP =&gt; SOUS-SEGMENT'!$EN$8:$EN$154*('ANALYSE - ERP =&gt; SOUS-SEGMENT'!$DD$8:$DD$154&gt;0)),"")</f>
        <v>12.073410452499932</v>
      </c>
      <c r="DB28" s="892">
        <f>IFERROR(SUMPRODUCT(('ANALYSE - ERP =&gt; SOUS-SEGMENT'!$C$8:$C$154=$C28)*'ANALYSE - ERP =&gt; SOUS-SEGMENT'!$EO$8:$EO$154*('ANALYSE - ERP =&gt; SOUS-SEGMENT'!$DE$8:$DE$154&gt;0)*'ANALYSE - ERP =&gt; SOUS-SEGMENT'!$DE$8:$DE$154)/SUMPRODUCT(('ANALYSE - ERP =&gt; SOUS-SEGMENT'!$C$8:$C$154=$C28)*'ANALYSE - ERP =&gt; SOUS-SEGMENT'!$EO$8:$EO$154*('ANALYSE - ERP =&gt; SOUS-SEGMENT'!$DE$8:$DE$154&gt;0)),"")</f>
        <v>8.8512018574160063</v>
      </c>
      <c r="DC28" s="609" t="s">
        <v>7223</v>
      </c>
      <c r="DD28" s="657"/>
      <c r="DE28" s="308">
        <f t="shared" si="2"/>
        <v>11058.5</v>
      </c>
      <c r="DF28" s="308">
        <f t="shared" si="3"/>
        <v>32924.299999999996</v>
      </c>
      <c r="DG28" s="308">
        <f t="shared" si="4"/>
        <v>4456.9000000000005</v>
      </c>
      <c r="DH28" s="308">
        <f t="shared" si="5"/>
        <v>2640.2999999999997</v>
      </c>
      <c r="DI28" s="287" t="s">
        <v>7224</v>
      </c>
      <c r="DJ28" s="308">
        <f t="shared" si="6"/>
        <v>9535.8599999999988</v>
      </c>
      <c r="DK28" s="308">
        <f t="shared" si="7"/>
        <v>34039.86</v>
      </c>
      <c r="DL28" s="308">
        <f t="shared" si="8"/>
        <v>6227.4</v>
      </c>
      <c r="DM28" s="308">
        <f t="shared" si="9"/>
        <v>2507.88</v>
      </c>
      <c r="DN28" s="287" t="s">
        <v>7225</v>
      </c>
      <c r="DO28" s="657"/>
      <c r="DP28" s="308">
        <f t="shared" si="10"/>
        <v>120</v>
      </c>
      <c r="DQ28" s="308">
        <f t="shared" si="11"/>
        <v>640</v>
      </c>
      <c r="DR28" s="308">
        <f t="shared" si="12"/>
        <v>40</v>
      </c>
      <c r="DS28" s="287" t="s">
        <v>7226</v>
      </c>
      <c r="DT28" s="308">
        <f t="shared" si="13"/>
        <v>90</v>
      </c>
      <c r="DU28" s="308">
        <f t="shared" si="14"/>
        <v>615</v>
      </c>
      <c r="DV28" s="308">
        <f t="shared" si="15"/>
        <v>45</v>
      </c>
      <c r="DW28" s="287" t="s">
        <v>7226</v>
      </c>
      <c r="DX28" s="657"/>
      <c r="DY28" s="308">
        <f t="shared" si="16"/>
        <v>676.5</v>
      </c>
      <c r="DZ28" s="308">
        <f t="shared" si="17"/>
        <v>4437.25</v>
      </c>
      <c r="EA28" s="308">
        <f t="shared" si="18"/>
        <v>1017.75</v>
      </c>
      <c r="EB28" s="308">
        <f t="shared" si="19"/>
        <v>2288.5</v>
      </c>
      <c r="EC28" s="287" t="s">
        <v>7227</v>
      </c>
      <c r="ED28" s="308">
        <f t="shared" si="20"/>
        <v>565.5</v>
      </c>
      <c r="EE28" s="308">
        <f t="shared" si="21"/>
        <v>4551</v>
      </c>
      <c r="EF28" s="308">
        <f t="shared" si="22"/>
        <v>1248.4799999999998</v>
      </c>
      <c r="EG28" s="308">
        <f t="shared" si="23"/>
        <v>2266.0199999999995</v>
      </c>
      <c r="EH28" s="614" t="s">
        <v>7228</v>
      </c>
      <c r="EI28" s="290"/>
      <c r="EJ28" s="308">
        <f t="shared" si="24"/>
        <v>17327.5</v>
      </c>
      <c r="EK28" s="310">
        <f t="shared" si="25"/>
        <v>18110.5</v>
      </c>
      <c r="EL28" s="310">
        <f t="shared" si="26"/>
        <v>7322</v>
      </c>
      <c r="EM28" s="287" t="s">
        <v>7229</v>
      </c>
      <c r="EN28" s="308">
        <f t="shared" si="27"/>
        <v>13706.97</v>
      </c>
      <c r="EO28" s="310">
        <f t="shared" si="28"/>
        <v>19851.28</v>
      </c>
      <c r="EP28" s="310">
        <f t="shared" si="29"/>
        <v>10032.75</v>
      </c>
      <c r="EQ28" s="289" t="s">
        <v>7230</v>
      </c>
      <c r="ER28" s="657"/>
      <c r="ES28" s="728">
        <f t="shared" si="30"/>
        <v>0.92870800327779301</v>
      </c>
      <c r="ET28" s="728">
        <f t="shared" si="31"/>
        <v>4.1245561322043156E-2</v>
      </c>
      <c r="EU28" s="311">
        <f t="shared" si="32"/>
        <v>38579.507584453051</v>
      </c>
      <c r="EV28" s="311">
        <f t="shared" si="33"/>
        <v>31026.085584453049</v>
      </c>
      <c r="EW28" s="311">
        <f t="shared" si="34"/>
        <v>7553.4220000000005</v>
      </c>
      <c r="EX28" s="311">
        <f t="shared" si="35"/>
        <v>18797.159994605394</v>
      </c>
      <c r="EY28" s="311">
        <f>SUMPRODUCT(('ANALYSE - ERP =&gt; SOUS-SEGMENT'!$C$8:$C$154=$C28)*'ANALYSE - ERP =&gt; SOUS-SEGMENT'!$Q$8:$Q$154*'ANALYSE - ERP =&gt; SOUS-SEGMENT'!$FB$8:$FB$154)</f>
        <v>14990.363994605394</v>
      </c>
      <c r="EZ28" s="311">
        <f>SUMPRODUCT(('ANALYSE - ERP =&gt; SOUS-SEGMENT'!$C$8:$C$154=$C28)*'ANALYSE - ERP =&gt; SOUS-SEGMENT'!$Q$8:$Q$154*'ANALYSE - ERP =&gt; SOUS-SEGMENT'!$FC$8:$FC$154)</f>
        <v>3806.7960000000003</v>
      </c>
      <c r="FA28" s="311">
        <f t="shared" si="36"/>
        <v>426.62874999999997</v>
      </c>
      <c r="FB28" s="311">
        <f>SUMPRODUCT(('ANALYSE - ERP =&gt; SOUS-SEGMENT'!$C$8:$C$154=$C28)*'ANALYSE - ERP =&gt; SOUS-SEGMENT'!$Q$8:$Q$154*'ANALYSE - ERP =&gt; SOUS-SEGMENT'!$FE$8:$FE$154)</f>
        <v>395.66874999999999</v>
      </c>
      <c r="FC28" s="311">
        <f>SUMPRODUCT(('ANALYSE - ERP =&gt; SOUS-SEGMENT'!$C$8:$C$154=$C28)*'ANALYSE - ERP =&gt; SOUS-SEGMENT'!$Q$8:$Q$154*'ANALYSE - ERP =&gt; SOUS-SEGMENT'!$FF$8:$FF$154)</f>
        <v>30.959999999999997</v>
      </c>
      <c r="FD28" s="311">
        <f t="shared" si="37"/>
        <v>3494.1054662212782</v>
      </c>
      <c r="FE28" s="311">
        <f>SUMPRODUCT(('ANALYSE - ERP =&gt; SOUS-SEGMENT'!$C$8:$C$154=$C28)*'ANALYSE - ERP =&gt; SOUS-SEGMENT'!$Q$8:$Q$154*'ANALYSE - ERP =&gt; SOUS-SEGMENT'!$FH$8:$FH$154)</f>
        <v>2863.2514662212784</v>
      </c>
      <c r="FF28" s="311">
        <f>SUMPRODUCT(('ANALYSE - ERP =&gt; SOUS-SEGMENT'!$C$8:$C$154=$C28)*'ANALYSE - ERP =&gt; SOUS-SEGMENT'!$Q$8:$Q$154*'ANALYSE - ERP =&gt; SOUS-SEGMENT'!$FI$8:$FI$154)</f>
        <v>630.85399999999993</v>
      </c>
      <c r="FG28" s="311">
        <f t="shared" si="38"/>
        <v>15861.613373626375</v>
      </c>
      <c r="FH28" s="311">
        <f>SUMPRODUCT(('ANALYSE - ERP =&gt; SOUS-SEGMENT'!$C$8:$C$154=$C28)*'ANALYSE - ERP =&gt; SOUS-SEGMENT'!$Q$8:$Q$154*'ANALYSE - ERP =&gt; SOUS-SEGMENT'!$FK$8:$FK$154)</f>
        <v>12776.801373626375</v>
      </c>
      <c r="FI28" s="311">
        <f>SUMPRODUCT(('ANALYSE - ERP =&gt; SOUS-SEGMENT'!$C$8:$C$154=$C28)*'ANALYSE - ERP =&gt; SOUS-SEGMENT'!$Q$8:$Q$154*'ANALYSE - ERP =&gt; SOUS-SEGMENT'!$FL$8:$FL$154)</f>
        <v>3084.8119999999999</v>
      </c>
      <c r="FJ28" s="657"/>
      <c r="FK28" s="293" t="s">
        <v>2649</v>
      </c>
      <c r="FL28" s="728">
        <f>IFERROR(SUMPRODUCT(('ANALYSE - ERP =&gt; SOUS-SEGMENT'!$C$8:$C$154=$C28)*'ANALYSE - ERP =&gt; SOUS-SEGMENT'!$Q$8:$Q$154*'ANALYSE - ERP =&gt; SOUS-SEGMENT'!$AF$8:$AF$154*'ANALYSE - ERP =&gt; SOUS-SEGMENT'!$FO$8:$FO$154)/SUMPRODUCT(('ANALYSE - ERP =&gt; SOUS-SEGMENT'!$C$8:$C$154=$C28)*'ANALYSE - ERP =&gt; SOUS-SEGMENT'!$Q$8:$Q$154*'ANALYSE - ERP =&gt; SOUS-SEGMENT'!$AF$8:$AF$154),"")</f>
        <v>3.8699999999999998E-2</v>
      </c>
      <c r="FM28" s="729">
        <f>IFERROR(SUMPRODUCT(('ANALYSE - ERP =&gt; SOUS-SEGMENT'!$C$8:$C$154=$C28)*'ANALYSE - ERP =&gt; SOUS-SEGMENT'!$Q$8:$Q$154*'ANALYSE - ERP =&gt; SOUS-SEGMENT'!$AF$8:$AF$154*'ANALYSE - ERP =&gt; SOUS-SEGMENT'!$FP$8:$FP$154)/SUMPRODUCT(('ANALYSE - ERP =&gt; SOUS-SEGMENT'!$C$8:$C$154=$C28)*'ANALYSE - ERP =&gt; SOUS-SEGMENT'!$Q$8:$Q$154*'ANALYSE - ERP =&gt; SOUS-SEGMENT'!$AF$8:$AF$154),"")</f>
        <v>0.74</v>
      </c>
      <c r="FN28" s="294" t="s">
        <v>6780</v>
      </c>
      <c r="FO28" s="657"/>
      <c r="FP28" s="865">
        <f>IFERROR(SUMPRODUCT(('ANALYSE - ERP =&gt; SOUS-SEGMENT'!$C$8:$C$154=$C28)*'ANALYSE - ERP =&gt; SOUS-SEGMENT'!$Q$8:$Q$154*'ANALYSE - ERP =&gt; SOUS-SEGMENT'!$EX$8:$EX$154*'ANALYSE - ERP =&gt; SOUS-SEGMENT'!$FS$8:$FS$154)/SUMPRODUCT(('ANALYSE - ERP =&gt; SOUS-SEGMENT'!$C$8:$C$154=$C28)*'ANALYSE - ERP =&gt; SOUS-SEGMENT'!$Q$8:$Q$154*'ANALYSE - ERP =&gt; SOUS-SEGMENT'!$EX$8:$EX$154),"")</f>
        <v>2.61</v>
      </c>
      <c r="FQ28" s="312">
        <f>RANK($FP28,$FP$8:$FP$143,0)+COUNTIF($FP$8:$FP28,$FP28)-1</f>
        <v>34</v>
      </c>
      <c r="FR28" s="865">
        <f>IFERROR(SUMPRODUCT(('ANALYSE - ERP =&gt; SOUS-SEGMENT'!$C$8:$C$154=$C28)*'ANALYSE - ERP =&gt; SOUS-SEGMENT'!$Q$8:$Q$154*'ANALYSE - ERP =&gt; SOUS-SEGMENT'!$EY$8:$EY$154*'ANALYSE - ERP =&gt; SOUS-SEGMENT'!$FU$8:$FU$154)/SUMPRODUCT(('ANALYSE - ERP =&gt; SOUS-SEGMENT'!$C$8:$C$154=$C28)*'ANALYSE - ERP =&gt; SOUS-SEGMENT'!$Q$8:$Q$154*'ANALYSE - ERP =&gt; SOUS-SEGMENT'!$EY$8:$EY$154),"")</f>
        <v>3.2299999999999991</v>
      </c>
      <c r="FS28" s="312">
        <f>RANK($FR28,$FR$8:$FR$143,0)+COUNTIF($FR$8:$FR28,$FR28)-1</f>
        <v>34</v>
      </c>
      <c r="FT28" s="865">
        <f>IFERROR(SUMPRODUCT(('ANALYSE - ERP =&gt; SOUS-SEGMENT'!$C$8:$C$154=$C28)*'ANALYSE - ERP =&gt; SOUS-SEGMENT'!$Q$8:$Q$154*'ANALYSE - ERP =&gt; SOUS-SEGMENT'!$EZ$8:$EZ$154*'ANALYSE - ERP =&gt; SOUS-SEGMENT'!$FW$8:$FW$154)/SUMPRODUCT(('ANALYSE - ERP =&gt; SOUS-SEGMENT'!$C$8:$C$154=$C28)*'ANALYSE - ERP =&gt; SOUS-SEGMENT'!$Q$8:$Q$154*'ANALYSE - ERP =&gt; SOUS-SEGMENT'!$EZ$8:$EZ$154),"")</f>
        <v>1.51</v>
      </c>
      <c r="FU28" s="312">
        <f>RANK($FT28,$FT$8:$FT$143,0)+COUNTIF($FT$8:$FT28,$FT28)-1</f>
        <v>34</v>
      </c>
      <c r="FV28" s="657"/>
      <c r="FW28" s="296" t="s">
        <v>7231</v>
      </c>
      <c r="FX28" s="296" t="s">
        <v>7232</v>
      </c>
      <c r="FY28" s="296" t="s">
        <v>7233</v>
      </c>
      <c r="FZ28" s="296" t="s">
        <v>7234</v>
      </c>
      <c r="GA28" s="296" t="s">
        <v>7235</v>
      </c>
      <c r="GB28" s="296" t="s">
        <v>7236</v>
      </c>
      <c r="GC28" s="296" t="s">
        <v>6759</v>
      </c>
      <c r="GD28" s="657"/>
      <c r="GE28" s="311">
        <f>SUMPRODUCT(('ANALYSE - ERP =&gt; SOUS-SEGMENT'!$C$8:$C$154=$C28)*'ANALYSE - ERP =&gt; SOUS-SEGMENT'!$Q$8:$Q$154*'ANALYSE - ERP =&gt; SOUS-SEGMENT'!$GH$8:$GH$154)</f>
        <v>3833.6551761538458</v>
      </c>
      <c r="GF28" s="311">
        <f>SUMPRODUCT(('ANALYSE - ERP =&gt; SOUS-SEGMENT'!$C$8:$C$154=$C28)*'ANALYSE - ERP =&gt; SOUS-SEGMENT'!$Q$8:$Q$154*'ANALYSE - ERP =&gt; SOUS-SEGMENT'!$GI$8:$GI$154)</f>
        <v>3157.7530461538458</v>
      </c>
      <c r="GG28" s="311">
        <f>SUMPRODUCT(('ANALYSE - ERP =&gt; SOUS-SEGMENT'!$C$8:$C$154=$C28)*'ANALYSE - ERP =&gt; SOUS-SEGMENT'!$Q$8:$Q$154*'ANALYSE - ERP =&gt; SOUS-SEGMENT'!$GJ$8:$GJ$154)</f>
        <v>675.90213000000006</v>
      </c>
      <c r="GH28" s="311">
        <f>SUMPRODUCT(('ANALYSE - ERP =&gt; SOUS-SEGMENT'!$C$8:$C$154=$C28)*'ANALYSE - ERP =&gt; SOUS-SEGMENT'!$Q$8:$Q$154*'ANALYSE - ERP =&gt; SOUS-SEGMENT'!$GK$8:$GK$154)</f>
        <v>11731.474708451547</v>
      </c>
      <c r="GI28" s="311">
        <f>SUMPRODUCT(('ANALYSE - ERP =&gt; SOUS-SEGMENT'!$C$8:$C$154=$C28)*'ANALYSE - ERP =&gt; SOUS-SEGMENT'!$Q$8:$Q$154*'ANALYSE - ERP =&gt; SOUS-SEGMENT'!$GL$8:$GL$154)</f>
        <v>9228.5065484515471</v>
      </c>
      <c r="GJ28" s="311">
        <f>SUMPRODUCT(('ANALYSE - ERP =&gt; SOUS-SEGMENT'!$C$8:$C$154=$C28)*'ANALYSE - ERP =&gt; SOUS-SEGMENT'!$Q$8:$Q$154*'ANALYSE - ERP =&gt; SOUS-SEGMENT'!$GM$8:$GM$154)</f>
        <v>2502.9681599999999</v>
      </c>
      <c r="GK28" s="311">
        <f>SUMPRODUCT(('ANALYSE - ERP =&gt; SOUS-SEGMENT'!$C$8:$C$154=$C28)*'ANALYSE - ERP =&gt; SOUS-SEGMENT'!$Q$8:$Q$154*'ANALYSE - ERP =&gt; SOUS-SEGMENT'!$GN$8:$GN$154)</f>
        <v>2202.8369500000003</v>
      </c>
      <c r="GL28" s="311">
        <f>SUMPRODUCT(('ANALYSE - ERP =&gt; SOUS-SEGMENT'!$C$8:$C$154=$C28)*'ANALYSE - ERP =&gt; SOUS-SEGMENT'!$Q$8:$Q$154*'ANALYSE - ERP =&gt; SOUS-SEGMENT'!$GO$8:$GO$154)</f>
        <v>1763.9380000000001</v>
      </c>
      <c r="GM28" s="311">
        <f>SUMPRODUCT(('ANALYSE - ERP =&gt; SOUS-SEGMENT'!$C$8:$C$154=$C28)*'ANALYSE - ERP =&gt; SOUS-SEGMENT'!$Q$8:$Q$154*'ANALYSE - ERP =&gt; SOUS-SEGMENT'!$GP$8:$GP$154)</f>
        <v>438.89895000000001</v>
      </c>
      <c r="GN28" s="311">
        <f>SUMPRODUCT(('ANALYSE - ERP =&gt; SOUS-SEGMENT'!$C$8:$C$154=$C28)*'ANALYSE - ERP =&gt; SOUS-SEGMENT'!$Q$8:$Q$154*'ANALYSE - ERP =&gt; SOUS-SEGMENT'!$GQ$8:$GQ$154)</f>
        <v>1029.1931599999998</v>
      </c>
      <c r="GO28" s="311">
        <f>SUMPRODUCT(('ANALYSE - ERP =&gt; SOUS-SEGMENT'!$C$8:$C$154=$C28)*'ANALYSE - ERP =&gt; SOUS-SEGMENT'!$Q$8:$Q$154*'ANALYSE - ERP =&gt; SOUS-SEGMENT'!$GR$8:$GR$154)</f>
        <v>840.16639999999995</v>
      </c>
      <c r="GP28" s="311">
        <f>SUMPRODUCT(('ANALYSE - ERP =&gt; SOUS-SEGMENT'!$C$8:$C$154=$C28)*'ANALYSE - ERP =&gt; SOUS-SEGMENT'!$Q$8:$Q$154*'ANALYSE - ERP =&gt; SOUS-SEGMENT'!$GS$8:$GS$154)</f>
        <v>189.02675999999997</v>
      </c>
      <c r="GQ28" s="311">
        <f>SUMPRODUCT(('ANALYSE - ERP =&gt; SOUS-SEGMENT'!$C$8:$C$154=$C28)*'ANALYSE - ERP =&gt; SOUS-SEGMENT'!$Q$8:$Q$154*'ANALYSE - ERP =&gt; SOUS-SEGMENT'!$GT$8:$GT$154)</f>
        <v>62.683949999999996</v>
      </c>
      <c r="GR28" s="311">
        <f>SUMPRODUCT(('ANALYSE - ERP =&gt; SOUS-SEGMENT'!$C$8:$C$154=$C28)*'ANALYSE - ERP =&gt; SOUS-SEGMENT'!$Q$8:$Q$154*'ANALYSE - ERP =&gt; SOUS-SEGMENT'!$GU$8:$GU$154)</f>
        <v>58.96875</v>
      </c>
      <c r="GS28" s="311">
        <f>SUMPRODUCT(('ANALYSE - ERP =&gt; SOUS-SEGMENT'!$C$8:$C$154=$C28)*'ANALYSE - ERP =&gt; SOUS-SEGMENT'!$Q$8:$Q$154*'ANALYSE - ERP =&gt; SOUS-SEGMENT'!$GV$8:$GV$154)</f>
        <v>3.7151999999999994</v>
      </c>
      <c r="GT28" s="311">
        <f>SUMPRODUCT(('ANALYSE - ERP =&gt; SOUS-SEGMENT'!$C$8:$C$154=$C28)*'ANALYSE - ERP =&gt; SOUS-SEGMENT'!$Q$8:$Q$154*'ANALYSE - ERP =&gt; SOUS-SEGMENT'!$GW$8:$GW$154)</f>
        <v>339.88720000000001</v>
      </c>
      <c r="GU28" s="311">
        <f>SUMPRODUCT(('ANALYSE - ERP =&gt; SOUS-SEGMENT'!$C$8:$C$154=$C28)*'ANALYSE - ERP =&gt; SOUS-SEGMENT'!$Q$8:$Q$154*'ANALYSE - ERP =&gt; SOUS-SEGMENT'!$GX$8:$GX$154)</f>
        <v>314.5</v>
      </c>
      <c r="GV28" s="311">
        <f>SUMPRODUCT(('ANALYSE - ERP =&gt; SOUS-SEGMENT'!$C$8:$C$154=$C28)*'ANALYSE - ERP =&gt; SOUS-SEGMENT'!$Q$8:$Q$154*'ANALYSE - ERP =&gt; SOUS-SEGMENT'!$GY$8:$GY$154)</f>
        <v>25.387199999999996</v>
      </c>
      <c r="GW28" s="311">
        <f>SUMPRODUCT(('ANALYSE - ERP =&gt; SOUS-SEGMENT'!$C$8:$C$154=$C28)*'ANALYSE - ERP =&gt; SOUS-SEGMENT'!$Q$8:$Q$154*'ANALYSE - ERP =&gt; SOUS-SEGMENT'!$GZ$8:$GZ$154)</f>
        <v>24.057600000000001</v>
      </c>
      <c r="GX28" s="311">
        <f>SUMPRODUCT(('ANALYSE - ERP =&gt; SOUS-SEGMENT'!$C$8:$C$154=$C28)*'ANALYSE - ERP =&gt; SOUS-SEGMENT'!$Q$8:$Q$154*'ANALYSE - ERP =&gt; SOUS-SEGMENT'!$HA$8:$HA$154)</f>
        <v>22.2</v>
      </c>
      <c r="GY28" s="311">
        <f>SUMPRODUCT(('ANALYSE - ERP =&gt; SOUS-SEGMENT'!$C$8:$C$154=$C28)*'ANALYSE - ERP =&gt; SOUS-SEGMENT'!$Q$8:$Q$154*'ANALYSE - ERP =&gt; SOUS-SEGMENT'!$HB$8:$HB$154)</f>
        <v>1.8575999999999997</v>
      </c>
      <c r="GZ28" s="311">
        <f>SUMPRODUCT(('ANALYSE - ERP =&gt; SOUS-SEGMENT'!$C$8:$C$154=$C28)*'ANALYSE - ERP =&gt; SOUS-SEGMENT'!$Q$8:$Q$154*'ANALYSE - ERP =&gt; SOUS-SEGMENT'!$HC$8:$HC$154)</f>
        <v>284.10812477272725</v>
      </c>
      <c r="HA28" s="311">
        <f>SUMPRODUCT(('ANALYSE - ERP =&gt; SOUS-SEGMENT'!$C$8:$C$154=$C28)*'ANALYSE - ERP =&gt; SOUS-SEGMENT'!$Q$8:$Q$154*'ANALYSE - ERP =&gt; SOUS-SEGMENT'!$HD$8:$HD$154)</f>
        <v>244.39866477272724</v>
      </c>
      <c r="HB28" s="311">
        <f>SUMPRODUCT(('ANALYSE - ERP =&gt; SOUS-SEGMENT'!$C$8:$C$154=$C28)*'ANALYSE - ERP =&gt; SOUS-SEGMENT'!$Q$8:$Q$154*'ANALYSE - ERP =&gt; SOUS-SEGMENT'!$HE$8:$HE$154)</f>
        <v>39.70946</v>
      </c>
      <c r="HC28" s="311">
        <f>SUMPRODUCT(('ANALYSE - ERP =&gt; SOUS-SEGMENT'!$C$8:$C$154=$C28)*'ANALYSE - ERP =&gt; SOUS-SEGMENT'!$Q$8:$Q$154*'ANALYSE - ERP =&gt; SOUS-SEGMENT'!$HF$8:$HF$154)</f>
        <v>1687.4578634615386</v>
      </c>
      <c r="HD28" s="311">
        <f>SUMPRODUCT(('ANALYSE - ERP =&gt; SOUS-SEGMENT'!$C$8:$C$154=$C28)*'ANALYSE - ERP =&gt; SOUS-SEGMENT'!$Q$8:$Q$154*'ANALYSE - ERP =&gt; SOUS-SEGMENT'!$HG$8:$HG$154)</f>
        <v>1354.2362884615384</v>
      </c>
      <c r="HE28" s="311">
        <f>SUMPRODUCT(('ANALYSE - ERP =&gt; SOUS-SEGMENT'!$C$8:$C$154=$C28)*'ANALYSE - ERP =&gt; SOUS-SEGMENT'!$Q$8:$Q$154*'ANALYSE - ERP =&gt; SOUS-SEGMENT'!$HH$8:$HH$154)</f>
        <v>333.22157500000003</v>
      </c>
      <c r="HF28" s="311">
        <f>SUMPRODUCT(('ANALYSE - ERP =&gt; SOUS-SEGMENT'!$C$8:$C$154=$C28)*'ANALYSE - ERP =&gt; SOUS-SEGMENT'!$Q$8:$Q$154*'ANALYSE - ERP =&gt; SOUS-SEGMENT'!$HI$8:$HI$154)</f>
        <v>543.39309071428568</v>
      </c>
      <c r="HG28" s="311">
        <f>SUMPRODUCT(('ANALYSE - ERP =&gt; SOUS-SEGMENT'!$C$8:$C$154=$C28)*'ANALYSE - ERP =&gt; SOUS-SEGMENT'!$Q$8:$Q$154*'ANALYSE - ERP =&gt; SOUS-SEGMENT'!$HJ$8:$HJ$154)</f>
        <v>454.22653571428566</v>
      </c>
      <c r="HH28" s="311">
        <f>SUMPRODUCT(('ANALYSE - ERP =&gt; SOUS-SEGMENT'!$C$8:$C$154=$C28)*'ANALYSE - ERP =&gt; SOUS-SEGMENT'!$Q$8:$Q$154*'ANALYSE - ERP =&gt; SOUS-SEGMENT'!$HK$8:$HK$154)</f>
        <v>89.166554999999988</v>
      </c>
      <c r="HI28" s="311">
        <f>SUMPRODUCT(('ANALYSE - ERP =&gt; SOUS-SEGMENT'!$C$8:$C$154=$C28)*'ANALYSE - ERP =&gt; SOUS-SEGMENT'!$Q$8:$Q$154*'ANALYSE - ERP =&gt; SOUS-SEGMENT'!$HL$8:$HL$154)</f>
        <v>979.14638727272734</v>
      </c>
      <c r="HJ28" s="311">
        <f>SUMPRODUCT(('ANALYSE - ERP =&gt; SOUS-SEGMENT'!$C$8:$C$154=$C28)*'ANALYSE - ERP =&gt; SOUS-SEGMENT'!$Q$8:$Q$154*'ANALYSE - ERP =&gt; SOUS-SEGMENT'!$HM$8:$HM$154)</f>
        <v>810.38997727272726</v>
      </c>
      <c r="HK28" s="311">
        <f>SUMPRODUCT(('ANALYSE - ERP =&gt; SOUS-SEGMENT'!$C$8:$C$154=$C28)*'ANALYSE - ERP =&gt; SOUS-SEGMENT'!$Q$8:$Q$154*'ANALYSE - ERP =&gt; SOUS-SEGMENT'!$HN$8:$HN$154)</f>
        <v>168.75640999999996</v>
      </c>
      <c r="HL28" s="311">
        <f>SUMPRODUCT(('ANALYSE - ERP =&gt; SOUS-SEGMENT'!$C$8:$C$154=$C28)*'ANALYSE - ERP =&gt; SOUS-SEGMENT'!$Q$8:$Q$154*'ANALYSE - ERP =&gt; SOUS-SEGMENT'!$HO$8:$HO$154)</f>
        <v>5708.7913186813184</v>
      </c>
      <c r="HM28" s="311">
        <f>SUMPRODUCT(('ANALYSE - ERP =&gt; SOUS-SEGMENT'!$C$8:$C$154=$C28)*'ANALYSE - ERP =&gt; SOUS-SEGMENT'!$Q$8:$Q$154*'ANALYSE - ERP =&gt; SOUS-SEGMENT'!$HP$8:$HP$154)</f>
        <v>4766.6803186813195</v>
      </c>
      <c r="HN28" s="311">
        <f>SUMPRODUCT(('ANALYSE - ERP =&gt; SOUS-SEGMENT'!$C$8:$C$154=$C28)*'ANALYSE - ERP =&gt; SOUS-SEGMENT'!$Q$8:$Q$154*'ANALYSE - ERP =&gt; SOUS-SEGMENT'!$HQ$8:$HQ$154)</f>
        <v>942.11099999999988</v>
      </c>
      <c r="HO28" s="311">
        <f>SUMPRODUCT(('ANALYSE - ERP =&gt; SOUS-SEGMENT'!$C$8:$C$154=$C28)*'ANALYSE - ERP =&gt; SOUS-SEGMENT'!$Q$8:$Q$154*'ANALYSE - ERP =&gt; SOUS-SEGMENT'!$HR$8:$HR$154)</f>
        <v>6512.2947649450543</v>
      </c>
      <c r="HP28" s="311">
        <f>SUMPRODUCT(('ANALYSE - ERP =&gt; SOUS-SEGMENT'!$C$8:$C$154=$C28)*'ANALYSE - ERP =&gt; SOUS-SEGMENT'!$Q$8:$Q$154*'ANALYSE - ERP =&gt; SOUS-SEGMENT'!$HS$8:$HS$154)</f>
        <v>5074.8740549450549</v>
      </c>
      <c r="HQ28" s="311">
        <f>SUMPRODUCT(('ANALYSE - ERP =&gt; SOUS-SEGMENT'!$C$8:$C$154=$C28)*'ANALYSE - ERP =&gt; SOUS-SEGMENT'!$Q$8:$Q$154*'ANALYSE - ERP =&gt; SOUS-SEGMENT'!$HT$8:$HT$154)</f>
        <v>1437.4207099999999</v>
      </c>
      <c r="HR28" s="311">
        <f>SUMPRODUCT(('ANALYSE - ERP =&gt; SOUS-SEGMENT'!$C$8:$C$154=$C28)*'ANALYSE - ERP =&gt; SOUS-SEGMENT'!$Q$8:$Q$154*'ANALYSE - ERP =&gt; SOUS-SEGMENT'!$HU$8:$HU$154)</f>
        <v>3640.5272899999995</v>
      </c>
      <c r="HS28" s="311">
        <f>SUMPRODUCT(('ANALYSE - ERP =&gt; SOUS-SEGMENT'!$C$8:$C$154=$C28)*'ANALYSE - ERP =&gt; SOUS-SEGMENT'!$Q$8:$Q$154*'ANALYSE - ERP =&gt; SOUS-SEGMENT'!$HV$8:$HV$154)</f>
        <v>2935.2469999999998</v>
      </c>
      <c r="HT28" s="311">
        <f>SUMPRODUCT(('ANALYSE - ERP =&gt; SOUS-SEGMENT'!$C$8:$C$154=$C28)*'ANALYSE - ERP =&gt; SOUS-SEGMENT'!$Q$8:$Q$154*'ANALYSE - ERP =&gt; SOUS-SEGMENT'!$HW$8:$HW$154)</f>
        <v>705.28028999999992</v>
      </c>
      <c r="HV28" s="313">
        <f t="shared" si="40"/>
        <v>36140</v>
      </c>
      <c r="HW28" s="313">
        <f>SUMPRODUCT(('ANALYSE - ERP =&gt; SOUS-SEGMENT'!$C$8:$C$154=$C28)*'ANALYSE - ERP =&gt; SOUS-SEGMENT'!$Q$8:$Q$154*'ANALYSE - ERP =&gt; SOUS-SEGMENT'!$HZ$8:$HZ$154)</f>
        <v>11012.603999999998</v>
      </c>
      <c r="HX28" s="313">
        <f>SUMPRODUCT(('ANALYSE - ERP =&gt; SOUS-SEGMENT'!$C$8:$C$154=$C28)*'ANALYSE - ERP =&gt; SOUS-SEGMENT'!$Q$8:$Q$154*'ANALYSE - ERP =&gt; SOUS-SEGMENT'!$IA$8:$IA$154)</f>
        <v>55590.358000000007</v>
      </c>
      <c r="HY28" s="313">
        <f>SUMPRODUCT(('ANALYSE - ERP =&gt; SOUS-SEGMENT'!$C$8:$C$154=$C28)*'ANALYSE - ERP =&gt; SOUS-SEGMENT'!$Q$8:$Q$154*'ANALYSE - ERP =&gt; SOUS-SEGMENT'!$IB$8:$IB$154)</f>
        <v>33513.738000000005</v>
      </c>
      <c r="HZ28" s="313">
        <f>SUMPRODUCT(('ANALYSE - ERP =&gt; SOUS-SEGMENT'!$C$8:$C$154=$C28)*'ANALYSE - ERP =&gt; SOUS-SEGMENT'!$Q$8:$Q$154*'ANALYSE - ERP =&gt; SOUS-SEGMENT'!$IC$8:$IC$154)</f>
        <v>2703.2999999999997</v>
      </c>
      <c r="IA28" s="313">
        <f>SUMPRODUCT(('ANALYSE - ERP =&gt; SOUS-SEGMENT'!$C$8:$C$154=$C28)*'ANALYSE - ERP =&gt; SOUS-SEGMENT'!$Q$8:$Q$154*'ANALYSE - ERP =&gt; SOUS-SEGMENT'!$ID$8:$ID$154)</f>
        <v>0</v>
      </c>
      <c r="IB28" s="313">
        <f>SUMPRODUCT(('ANALYSE - ERP =&gt; SOUS-SEGMENT'!$C$8:$C$154=$C28)*'ANALYSE - ERP =&gt; SOUS-SEGMENT'!$Q$8:$Q$154*'ANALYSE - ERP =&gt; SOUS-SEGMENT'!$IE$8:$IE$154)</f>
        <v>30921.935209453051</v>
      </c>
      <c r="IC28" s="313">
        <f>SUMPRODUCT(('ANALYSE - ERP =&gt; SOUS-SEGMENT'!$C$8:$C$154=$C28)*'ANALYSE - ERP =&gt; SOUS-SEGMENT'!$Q$8:$Q$154*'ANALYSE - ERP =&gt; SOUS-SEGMENT'!$IF$8:$IF$154)</f>
        <v>2892.0385143886328</v>
      </c>
      <c r="ID28" s="313">
        <f>SUMPRODUCT(('ANALYSE - ERP =&gt; SOUS-SEGMENT'!$C$8:$C$154=$C28)*'ANALYSE - ERP =&gt; SOUS-SEGMENT'!$Q$8:$Q$154*'ANALYSE - ERP =&gt; SOUS-SEGMENT'!$IG$8:$IG$154)</f>
        <v>16209.627075075383</v>
      </c>
      <c r="IE28" s="313">
        <f>SUMPRODUCT(('ANALYSE - ERP =&gt; SOUS-SEGMENT'!$C$8:$C$154=$C28)*'ANALYSE - ERP =&gt; SOUS-SEGMENT'!$Q$8:$Q$154*'ANALYSE - ERP =&gt; SOUS-SEGMENT'!$IH$8:$IH$154)</f>
        <v>10478.204069440593</v>
      </c>
      <c r="IF28" s="313">
        <f>SUMPRODUCT(('ANALYSE - ERP =&gt; SOUS-SEGMENT'!$C$8:$C$154=$C28)*'ANALYSE - ERP =&gt; SOUS-SEGMENT'!$Q$8:$Q$154*'ANALYSE - ERP =&gt; SOUS-SEGMENT'!$II$8:$II$154)</f>
        <v>1243.115357878188</v>
      </c>
      <c r="IG28" s="313">
        <f>SUMPRODUCT(('ANALYSE - ERP =&gt; SOUS-SEGMENT'!$C$8:$C$154=$C28)*'ANALYSE - ERP =&gt; SOUS-SEGMENT'!$Q$8:$Q$154*'ANALYSE - ERP =&gt; SOUS-SEGMENT'!$IJ$8:$IJ$154)</f>
        <v>98.950192670249763</v>
      </c>
      <c r="IH28" s="866"/>
      <c r="II28" s="314" t="s">
        <v>2780</v>
      </c>
      <c r="IJ28" s="299" t="s">
        <v>6760</v>
      </c>
      <c r="IK28" s="657"/>
      <c r="IL28" s="747">
        <f>IFERROR(SUMPRODUCT(('ANALYSE - ERP =&gt; SOUS-SEGMENT'!$C$8:$C$154=$C28)*'ANALYSE - ERP =&gt; SOUS-SEGMENT'!$Q$8:$Q$154*'ANALYSE - ERP =&gt; SOUS-SEGMENT'!$BE$8:$BE$154*'ANALYSE - ERP =&gt; SOUS-SEGMENT'!$IO$8:$IO$154)/SUMPRODUCT(('ANALYSE - ERP =&gt; SOUS-SEGMENT'!$C$8:$C$154=$C28)*'ANALYSE - ERP =&gt; SOUS-SEGMENT'!$Q$8:$Q$154*'ANALYSE - ERP =&gt; SOUS-SEGMENT'!$BE$8:$BE$154),0)</f>
        <v>0.1</v>
      </c>
      <c r="IM28" s="748">
        <f>IFERROR(SUMPRODUCT(('ANALYSE - ERP =&gt; SOUS-SEGMENT'!$C$8:$C$154=$C28)*'ANALYSE - ERP =&gt; SOUS-SEGMENT'!$Q$8:$Q$154*'ANALYSE - ERP =&gt; SOUS-SEGMENT'!$BE$8:$BE$154*'ANALYSE - ERP =&gt; SOUS-SEGMENT'!$IP$8:$IP$154)/SUMPRODUCT(('ANALYSE - ERP =&gt; SOUS-SEGMENT'!$C$8:$C$154=$C28)*'ANALYSE - ERP =&gt; SOUS-SEGMENT'!$Q$8:$Q$154*'ANALYSE - ERP =&gt; SOUS-SEGMENT'!$BE$8:$BE$154),0)</f>
        <v>0.53</v>
      </c>
      <c r="IN28" s="748">
        <f>IFERROR(SUMPRODUCT(('ANALYSE - ERP =&gt; SOUS-SEGMENT'!$C$8:$C$154=$C28)*'ANALYSE - ERP =&gt; SOUS-SEGMENT'!$Q$8:$Q$154*'ANALYSE - ERP =&gt; SOUS-SEGMENT'!$BE$8:$BE$154*'ANALYSE - ERP =&gt; SOUS-SEGMENT'!$IQ$8:$IQ$154)/SUMPRODUCT(('ANALYSE - ERP =&gt; SOUS-SEGMENT'!$C$8:$C$154=$C28)*'ANALYSE - ERP =&gt; SOUS-SEGMENT'!$Q$8:$Q$154*'ANALYSE - ERP =&gt; SOUS-SEGMENT'!$BE$8:$BE$154),0)</f>
        <v>0.34</v>
      </c>
      <c r="IO28" s="748">
        <f>IFERROR(SUMPRODUCT(('ANALYSE - ERP =&gt; SOUS-SEGMENT'!$C$8:$C$154=$C28)*'ANALYSE - ERP =&gt; SOUS-SEGMENT'!$Q$8:$Q$154*'ANALYSE - ERP =&gt; SOUS-SEGMENT'!$BE$8:$BE$154*'ANALYSE - ERP =&gt; SOUS-SEGMENT'!$IR$8:$IR$154)/SUMPRODUCT(('ANALYSE - ERP =&gt; SOUS-SEGMENT'!$C$8:$C$154=$C28)*'ANALYSE - ERP =&gt; SOUS-SEGMENT'!$Q$8:$Q$154*'ANALYSE - ERP =&gt; SOUS-SEGMENT'!$BE$8:$BE$154),0)</f>
        <v>0.03</v>
      </c>
      <c r="IP28" s="749">
        <f>IFERROR(SUMPRODUCT(('ANALYSE - ERP =&gt; SOUS-SEGMENT'!$C$8:$C$154=$C28)*'ANALYSE - ERP =&gt; SOUS-SEGMENT'!$Q$8:$Q$154*'ANALYSE - ERP =&gt; SOUS-SEGMENT'!$BE$8:$BE$154*'ANALYSE - ERP =&gt; SOUS-SEGMENT'!$IS$8:$IS$154)/SUMPRODUCT(('ANALYSE - ERP =&gt; SOUS-SEGMENT'!$C$8:$C$154=$C28)*'ANALYSE - ERP =&gt; SOUS-SEGMENT'!$Q$8:$Q$154*'ANALYSE - ERP =&gt; SOUS-SEGMENT'!$BE$8:$BE$154),0)</f>
        <v>0</v>
      </c>
      <c r="IQ28" s="748">
        <f>IFERROR(SUMPRODUCT(('ANALYSE - ERP =&gt; SOUS-SEGMENT'!$C$8:$C$154=$C28)*'ANALYSE - ERP =&gt; SOUS-SEGMENT'!$Q$8:$Q$154*'ANALYSE - ERP =&gt; SOUS-SEGMENT'!$FB$8:$FB$154*'ANALYSE - ERP =&gt; SOUS-SEGMENT'!$IT$8:$IT$154)/SUMPRODUCT(('ANALYSE - ERP =&gt; SOUS-SEGMENT'!$C$8:$C$154=$C28)*'ANALYSE - ERP =&gt; SOUS-SEGMENT'!$Q$8:$Q$154*'ANALYSE - ERP =&gt; SOUS-SEGMENT'!$FB$8:$FB$154),0)</f>
        <v>8.5900000000000018E-2</v>
      </c>
      <c r="IR28" s="748">
        <f>IFERROR(SUMPRODUCT(('ANALYSE - ERP =&gt; SOUS-SEGMENT'!$C$8:$C$154=$C28)*'ANALYSE - ERP =&gt; SOUS-SEGMENT'!$Q$8:$Q$154*'ANALYSE - ERP =&gt; SOUS-SEGMENT'!$FB$8:$FB$154*'ANALYSE - ERP =&gt; SOUS-SEGMENT'!$IU$8:$IU$154)/SUMPRODUCT(('ANALYSE - ERP =&gt; SOUS-SEGMENT'!$C$8:$C$154=$C28)*'ANALYSE - ERP =&gt; SOUS-SEGMENT'!$Q$8:$Q$154*'ANALYSE - ERP =&gt; SOUS-SEGMENT'!$FB$8:$FB$154),0)</f>
        <v>0.51270000000000016</v>
      </c>
      <c r="IS28" s="748">
        <f>IFERROR(SUMPRODUCT(('ANALYSE - ERP =&gt; SOUS-SEGMENT'!$C$8:$C$154=$C28)*'ANALYSE - ERP =&gt; SOUS-SEGMENT'!$Q$8:$Q$154*'ANALYSE - ERP =&gt; SOUS-SEGMENT'!$FB$8:$FB$154*'ANALYSE - ERP =&gt; SOUS-SEGMENT'!$IV$8:$IV$154)/SUMPRODUCT(('ANALYSE - ERP =&gt; SOUS-SEGMENT'!$C$8:$C$154=$C28)*'ANALYSE - ERP =&gt; SOUS-SEGMENT'!$Q$8:$Q$154*'ANALYSE - ERP =&gt; SOUS-SEGMENT'!$FB$8:$FB$154),0)</f>
        <v>0.35410000000000008</v>
      </c>
      <c r="IT28" s="748">
        <f>IFERROR(SUMPRODUCT(('ANALYSE - ERP =&gt; SOUS-SEGMENT'!$C$8:$C$154=$C28)*'ANALYSE - ERP =&gt; SOUS-SEGMENT'!$Q$8:$Q$154*'ANALYSE - ERP =&gt; SOUS-SEGMENT'!$FB$8:$FB$154*'ANALYSE - ERP =&gt; SOUS-SEGMENT'!$IW$8:$IW$154)/SUMPRODUCT(('ANALYSE - ERP =&gt; SOUS-SEGMENT'!$C$8:$C$154=$C28)*'ANALYSE - ERP =&gt; SOUS-SEGMENT'!$Q$8:$Q$154*'ANALYSE - ERP =&gt; SOUS-SEGMENT'!$FB$8:$FB$154),0)</f>
        <v>4.41E-2</v>
      </c>
      <c r="IU28" s="748">
        <f>IFERROR(SUMPRODUCT(('ANALYSE - ERP =&gt; SOUS-SEGMENT'!$C$8:$C$154=$C28)*'ANALYSE - ERP =&gt; SOUS-SEGMENT'!$Q$8:$Q$154*'ANALYSE - ERP =&gt; SOUS-SEGMENT'!$FB$8:$FB$154*'ANALYSE - ERP =&gt; SOUS-SEGMENT'!$IX$8:$IX$154)/SUMPRODUCT(('ANALYSE - ERP =&gt; SOUS-SEGMENT'!$C$8:$C$154=$C28)*'ANALYSE - ERP =&gt; SOUS-SEGMENT'!$Q$8:$Q$154*'ANALYSE - ERP =&gt; SOUS-SEGMENT'!$FB$8:$FB$154),0)</f>
        <v>3.2000000000000006E-3</v>
      </c>
      <c r="IV28" s="772">
        <f>IFERROR(SUMPRODUCT(('ANALYSE - ERP =&gt; SOUS-SEGMENT'!$C$8:$C$154=$C28)*'ANALYSE - ERP =&gt; SOUS-SEGMENT'!$Q$8:$Q$154*'ANALYSE - ERP =&gt; SOUS-SEGMENT'!$BF$8:$BF$154*'ANALYSE - ERP =&gt; SOUS-SEGMENT'!$IY$8:$IY$154)/SUMPRODUCT(('ANALYSE - ERP =&gt; SOUS-SEGMENT'!$C$8:$C$154=$C28)*'ANALYSE - ERP =&gt; SOUS-SEGMENT'!$Q$8:$Q$154*'ANALYSE - ERP =&gt; SOUS-SEGMENT'!$BF$8:$BF$154),0)</f>
        <v>0.10220000000000001</v>
      </c>
      <c r="IW28" s="773">
        <f>IFERROR(SUMPRODUCT(('ANALYSE - ERP =&gt; SOUS-SEGMENT'!$C$8:$C$154=$C28)*'ANALYSE - ERP =&gt; SOUS-SEGMENT'!$Q$8:$Q$154*'ANALYSE - ERP =&gt; SOUS-SEGMENT'!$BF$8:$BF$154*'ANALYSE - ERP =&gt; SOUS-SEGMENT'!$IZ$8:$IZ$154)/SUMPRODUCT(('ANALYSE - ERP =&gt; SOUS-SEGMENT'!$C$8:$C$154=$C28)*'ANALYSE - ERP =&gt; SOUS-SEGMENT'!$Q$8:$Q$154*'ANALYSE - ERP =&gt; SOUS-SEGMENT'!$BF$8:$BF$154),0)</f>
        <v>0.54190000000000005</v>
      </c>
      <c r="IX28" s="773">
        <f>IFERROR(SUMPRODUCT(('ANALYSE - ERP =&gt; SOUS-SEGMENT'!$C$8:$C$154=$C28)*'ANALYSE - ERP =&gt; SOUS-SEGMENT'!$Q$8:$Q$154*'ANALYSE - ERP =&gt; SOUS-SEGMENT'!$BF$8:$BF$154*'ANALYSE - ERP =&gt; SOUS-SEGMENT'!$JA$8:$JA$154)/SUMPRODUCT(('ANALYSE - ERP =&gt; SOUS-SEGMENT'!$C$8:$C$154=$C28)*'ANALYSE - ERP =&gt; SOUS-SEGMENT'!$Q$8:$Q$154*'ANALYSE - ERP =&gt; SOUS-SEGMENT'!$BF$8:$BF$154),0)</f>
        <v>0.33110000000000001</v>
      </c>
      <c r="IY28" s="773">
        <f>IFERROR(SUMPRODUCT(('ANALYSE - ERP =&gt; SOUS-SEGMENT'!$C$8:$C$154=$C28)*'ANALYSE - ERP =&gt; SOUS-SEGMENT'!$Q$8:$Q$154*'ANALYSE - ERP =&gt; SOUS-SEGMENT'!$BF$8:$BF$154*'ANALYSE - ERP =&gt; SOUS-SEGMENT'!$JB$8:$JB$154)/SUMPRODUCT(('ANALYSE - ERP =&gt; SOUS-SEGMENT'!$C$8:$C$154=$C28)*'ANALYSE - ERP =&gt; SOUS-SEGMENT'!$Q$8:$Q$154*'ANALYSE - ERP =&gt; SOUS-SEGMENT'!$BF$8:$BF$154),0)</f>
        <v>2.4799999999999999E-2</v>
      </c>
      <c r="IZ28" s="774">
        <f>IFERROR(SUMPRODUCT(('ANALYSE - ERP =&gt; SOUS-SEGMENT'!$C$8:$C$154=$C28)*'ANALYSE - ERP =&gt; SOUS-SEGMENT'!$Q$8:$Q$154*'ANALYSE - ERP =&gt; SOUS-SEGMENT'!$BF$8:$BF$154*'ANALYSE - ERP =&gt; SOUS-SEGMENT'!$JC$8:$JC$154)/SUMPRODUCT(('ANALYSE - ERP =&gt; SOUS-SEGMENT'!$C$8:$C$154=$C28)*'ANALYSE - ERP =&gt; SOUS-SEGMENT'!$Q$8:$Q$154*'ANALYSE - ERP =&gt; SOUS-SEGMENT'!$BF$8:$BF$154),0)</f>
        <v>0</v>
      </c>
      <c r="JA28" s="773">
        <f>IFERROR(SUMPRODUCT(('ANALYSE - ERP =&gt; SOUS-SEGMENT'!$C$8:$C$154=$C28)*'ANALYSE - ERP =&gt; SOUS-SEGMENT'!$Q$8:$Q$154*'ANALYSE - ERP =&gt; SOUS-SEGMENT'!$FE$8:$FE$154*'ANALYSE - ERP =&gt; SOUS-SEGMENT'!$JD$8:$JD$154)/SUMPRODUCT(('ANALYSE - ERP =&gt; SOUS-SEGMENT'!$C$8:$C$154=$C28)*'ANALYSE - ERP =&gt; SOUS-SEGMENT'!$Q$8:$Q$154*'ANALYSE - ERP =&gt; SOUS-SEGMENT'!$FE$8:$FE$154),0)</f>
        <v>8.8099999999999998E-2</v>
      </c>
      <c r="JB28" s="773">
        <f>IFERROR(SUMPRODUCT(('ANALYSE - ERP =&gt; SOUS-SEGMENT'!$C$8:$C$154=$C28)*'ANALYSE - ERP =&gt; SOUS-SEGMENT'!$Q$8:$Q$154*'ANALYSE - ERP =&gt; SOUS-SEGMENT'!$FE$8:$FE$154*'ANALYSE - ERP =&gt; SOUS-SEGMENT'!$JE$8:$JE$154)/SUMPRODUCT(('ANALYSE - ERP =&gt; SOUS-SEGMENT'!$C$8:$C$154=$C28)*'ANALYSE - ERP =&gt; SOUS-SEGMENT'!$Q$8:$Q$154*'ANALYSE - ERP =&gt; SOUS-SEGMENT'!$FE$8:$FE$154),0)</f>
        <v>0.52459999999999996</v>
      </c>
      <c r="JC28" s="773">
        <f>IFERROR(SUMPRODUCT(('ANALYSE - ERP =&gt; SOUS-SEGMENT'!$C$8:$C$154=$C28)*'ANALYSE - ERP =&gt; SOUS-SEGMENT'!$Q$8:$Q$154*'ANALYSE - ERP =&gt; SOUS-SEGMENT'!$FE$8:$FE$154*'ANALYSE - ERP =&gt; SOUS-SEGMENT'!$JF$8:$JF$154)/SUMPRODUCT(('ANALYSE - ERP =&gt; SOUS-SEGMENT'!$C$8:$C$154=$C28)*'ANALYSE - ERP =&gt; SOUS-SEGMENT'!$Q$8:$Q$154*'ANALYSE - ERP =&gt; SOUS-SEGMENT'!$FE$8:$FE$154),0)</f>
        <v>0.34520000000000006</v>
      </c>
      <c r="JD28" s="773">
        <f>IFERROR(SUMPRODUCT(('ANALYSE - ERP =&gt; SOUS-SEGMENT'!$C$8:$C$154=$C28)*'ANALYSE - ERP =&gt; SOUS-SEGMENT'!$Q$8:$Q$154*'ANALYSE - ERP =&gt; SOUS-SEGMENT'!$FE$8:$FE$154*'ANALYSE - ERP =&gt; SOUS-SEGMENT'!$JG$8:$JG$154)/SUMPRODUCT(('ANALYSE - ERP =&gt; SOUS-SEGMENT'!$C$8:$C$154=$C28)*'ANALYSE - ERP =&gt; SOUS-SEGMENT'!$Q$8:$Q$154*'ANALYSE - ERP =&gt; SOUS-SEGMENT'!$FE$8:$FE$154),0)</f>
        <v>3.8899999999999997E-2</v>
      </c>
      <c r="JE28" s="773">
        <f>IFERROR(SUMPRODUCT(('ANALYSE - ERP =&gt; SOUS-SEGMENT'!$C$8:$C$154=$C28)*'ANALYSE - ERP =&gt; SOUS-SEGMENT'!$Q$8:$Q$154*'ANALYSE - ERP =&gt; SOUS-SEGMENT'!$FE$8:$FE$154*'ANALYSE - ERP =&gt; SOUS-SEGMENT'!$JH$8:$JH$154)/SUMPRODUCT(('ANALYSE - ERP =&gt; SOUS-SEGMENT'!$C$8:$C$154=$C28)*'ANALYSE - ERP =&gt; SOUS-SEGMENT'!$Q$8:$Q$154*'ANALYSE - ERP =&gt; SOUS-SEGMENT'!$FE$8:$FE$154),0)</f>
        <v>3.2000000000000002E-3</v>
      </c>
      <c r="JF28" s="771">
        <f>IFERROR(SUMPRODUCT(('ANALYSE - ERP =&gt; SOUS-SEGMENT'!$C$8:$C$154=$C28)*'ANALYSE - ERP =&gt; SOUS-SEGMENT'!$Q$8:$Q$154*'ANALYSE - ERP =&gt; SOUS-SEGMENT'!$BG$8:$BG$154*'ANALYSE - ERP =&gt; SOUS-SEGMENT'!$JI$8:$JI$154)/SUMPRODUCT(('ANALYSE - ERP =&gt; SOUS-SEGMENT'!$C$8:$C$154=$C28)*'ANALYSE - ERP =&gt; SOUS-SEGMENT'!$Q$8:$Q$154*'ANALYSE - ERP =&gt; SOUS-SEGMENT'!$BG$8:$BG$154),0)</f>
        <v>0.15019334916864607</v>
      </c>
      <c r="JG28" s="748">
        <f>IFERROR(SUMPRODUCT(('ANALYSE - ERP =&gt; SOUS-SEGMENT'!$C$8:$C$154=$C28)*'ANALYSE - ERP =&gt; SOUS-SEGMENT'!$Q$8:$Q$154*'ANALYSE - ERP =&gt; SOUS-SEGMENT'!$BG$8:$BG$154*'ANALYSE - ERP =&gt; SOUS-SEGMENT'!$JJ$8:$JJ$154)/SUMPRODUCT(('ANALYSE - ERP =&gt; SOUS-SEGMENT'!$C$8:$C$154=$C28)*'ANALYSE - ERP =&gt; SOUS-SEGMENT'!$Q$8:$Q$154*'ANALYSE - ERP =&gt; SOUS-SEGMENT'!$BG$8:$BG$154),0)</f>
        <v>0.5971788598574822</v>
      </c>
      <c r="JH28" s="748">
        <f>IFERROR(SUMPRODUCT(('ANALYSE - ERP =&gt; SOUS-SEGMENT'!$C$8:$C$154=$C28)*'ANALYSE - ERP =&gt; SOUS-SEGMENT'!$Q$8:$Q$154*'ANALYSE - ERP =&gt; SOUS-SEGMENT'!$BG$8:$BG$154*'ANALYSE - ERP =&gt; SOUS-SEGMENT'!$JK$8:$JK$154)/SUMPRODUCT(('ANALYSE - ERP =&gt; SOUS-SEGMENT'!$C$8:$C$154=$C28)*'ANALYSE - ERP =&gt; SOUS-SEGMENT'!$Q$8:$Q$154*'ANALYSE - ERP =&gt; SOUS-SEGMENT'!$BG$8:$BG$154),0)</f>
        <v>0.21285486935866982</v>
      </c>
      <c r="JI28" s="748">
        <f>IFERROR(SUMPRODUCT(('ANALYSE - ERP =&gt; SOUS-SEGMENT'!$C$8:$C$154=$C28)*'ANALYSE - ERP =&gt; SOUS-SEGMENT'!$Q$8:$Q$154*'ANALYSE - ERP =&gt; SOUS-SEGMENT'!$BG$8:$BG$154*'ANALYSE - ERP =&gt; SOUS-SEGMENT'!$JL$8:$JL$154)/SUMPRODUCT(('ANALYSE - ERP =&gt; SOUS-SEGMENT'!$C$8:$C$154=$C28)*'ANALYSE - ERP =&gt; SOUS-SEGMENT'!$Q$8:$Q$154*'ANALYSE - ERP =&gt; SOUS-SEGMENT'!$BG$8:$BG$154),0)</f>
        <v>1.126935866983373E-2</v>
      </c>
      <c r="JJ28" s="749">
        <f>IFERROR(SUMPRODUCT(('ANALYSE - ERP =&gt; SOUS-SEGMENT'!$C$8:$C$154=$C28)*'ANALYSE - ERP =&gt; SOUS-SEGMENT'!$Q$8:$Q$154*'ANALYSE - ERP =&gt; SOUS-SEGMENT'!$BG$8:$BG$154*'ANALYSE - ERP =&gt; SOUS-SEGMENT'!$JM$8:$JM$154)/SUMPRODUCT(('ANALYSE - ERP =&gt; SOUS-SEGMENT'!$C$8:$C$154=$C28)*'ANALYSE - ERP =&gt; SOUS-SEGMENT'!$Q$8:$Q$154*'ANALYSE - ERP =&gt; SOUS-SEGMENT'!$BG$8:$BG$154),0)</f>
        <v>0</v>
      </c>
      <c r="JK28" s="748">
        <f>IFERROR(SUMPRODUCT(('ANALYSE - ERP =&gt; SOUS-SEGMENT'!$C$8:$C$154=$C28)*'ANALYSE - ERP =&gt; SOUS-SEGMENT'!$Q$8:$Q$154*'ANALYSE - ERP =&gt; SOUS-SEGMENT'!$FH$8:$FH$154*'ANALYSE - ERP =&gt; SOUS-SEGMENT'!$JN$8:$JN$154)/SUMPRODUCT(('ANALYSE - ERP =&gt; SOUS-SEGMENT'!$C$8:$C$154=$C28)*'ANALYSE - ERP =&gt; SOUS-SEGMENT'!$Q$8:$Q$154*'ANALYSE - ERP =&gt; SOUS-SEGMENT'!$FH$8:$FH$154),0)</f>
        <v>0.13538933198493677</v>
      </c>
      <c r="JL28" s="748">
        <f>IFERROR(SUMPRODUCT(('ANALYSE - ERP =&gt; SOUS-SEGMENT'!$C$8:$C$154=$C28)*'ANALYSE - ERP =&gt; SOUS-SEGMENT'!$Q$8:$Q$154*'ANALYSE - ERP =&gt; SOUS-SEGMENT'!$FH$8:$FH$154*'ANALYSE - ERP =&gt; SOUS-SEGMENT'!$JO$8:$JO$154)/SUMPRODUCT(('ANALYSE - ERP =&gt; SOUS-SEGMENT'!$C$8:$C$154=$C28)*'ANALYSE - ERP =&gt; SOUS-SEGMENT'!$Q$8:$Q$154*'ANALYSE - ERP =&gt; SOUS-SEGMENT'!$FH$8:$FH$154),0)</f>
        <v>0.57566965784911905</v>
      </c>
      <c r="JM28" s="748">
        <f>IFERROR(SUMPRODUCT(('ANALYSE - ERP =&gt; SOUS-SEGMENT'!$C$8:$C$154=$C28)*'ANALYSE - ERP =&gt; SOUS-SEGMENT'!$Q$8:$Q$154*'ANALYSE - ERP =&gt; SOUS-SEGMENT'!$FH$8:$FH$154*'ANALYSE - ERP =&gt; SOUS-SEGMENT'!$JP$8:$JP$154)/SUMPRODUCT(('ANALYSE - ERP =&gt; SOUS-SEGMENT'!$C$8:$C$154=$C28)*'ANALYSE - ERP =&gt; SOUS-SEGMENT'!$Q$8:$Q$154*'ANALYSE - ERP =&gt; SOUS-SEGMENT'!$FH$8:$FH$154),0)</f>
        <v>0.22471738234083452</v>
      </c>
      <c r="JN28" s="748">
        <f>IFERROR(SUMPRODUCT(('ANALYSE - ERP =&gt; SOUS-SEGMENT'!$C$8:$C$154=$C28)*'ANALYSE - ERP =&gt; SOUS-SEGMENT'!$Q$8:$Q$154*'ANALYSE - ERP =&gt; SOUS-SEGMENT'!$FH$8:$FH$154*'ANALYSE - ERP =&gt; SOUS-SEGMENT'!$JQ$8:$JQ$154)/SUMPRODUCT(('ANALYSE - ERP =&gt; SOUS-SEGMENT'!$C$8:$C$154=$C28)*'ANALYSE - ERP =&gt; SOUS-SEGMENT'!$Q$8:$Q$154*'ANALYSE - ERP =&gt; SOUS-SEGMENT'!$FH$8:$FH$154),0)</f>
        <v>2.476516606414858E-2</v>
      </c>
      <c r="JO28" s="748">
        <f>IFERROR(SUMPRODUCT(('ANALYSE - ERP =&gt; SOUS-SEGMENT'!$C$8:$C$154=$C28)*'ANALYSE - ERP =&gt; SOUS-SEGMENT'!$Q$8:$Q$154*'ANALYSE - ERP =&gt; SOUS-SEGMENT'!$FH$8:$FH$154*'ANALYSE - ERP =&gt; SOUS-SEGMENT'!$JR$8:$JR$154)/SUMPRODUCT(('ANALYSE - ERP =&gt; SOUS-SEGMENT'!$C$8:$C$154=$C28)*'ANALYSE - ERP =&gt; SOUS-SEGMENT'!$Q$8:$Q$154*'ANALYSE - ERP =&gt; SOUS-SEGMENT'!$FH$8:$FH$154),0)</f>
        <v>3.0836004437850362E-3</v>
      </c>
      <c r="JP28" s="771">
        <f>IFERROR(SUMPRODUCT(('ANALYSE - ERP =&gt; SOUS-SEGMENT'!$C$8:$C$154=$C28)*'ANALYSE - ERP =&gt; SOUS-SEGMENT'!$Q$8:$Q$154*'ANALYSE - ERP =&gt; SOUS-SEGMENT'!$BH$8:$BH$154*'ANALYSE - ERP =&gt; SOUS-SEGMENT'!$JS$8:$JS$154)/SUMPRODUCT(('ANALYSE - ERP =&gt; SOUS-SEGMENT'!$C$8:$C$154=$C28)*'ANALYSE - ERP =&gt; SOUS-SEGMENT'!$Q$8:$Q$154*'ANALYSE - ERP =&gt; SOUS-SEGMENT'!$BH$8:$BH$154),0)</f>
        <v>0.10659999999999999</v>
      </c>
      <c r="JQ28" s="748">
        <f>IFERROR(SUMPRODUCT(('ANALYSE - ERP =&gt; SOUS-SEGMENT'!$C$8:$C$154=$C28)*'ANALYSE - ERP =&gt; SOUS-SEGMENT'!$Q$8:$Q$154*'ANALYSE - ERP =&gt; SOUS-SEGMENT'!$BH$8:$BH$154*'ANALYSE - ERP =&gt; SOUS-SEGMENT'!$JT$8:$JT$154)/SUMPRODUCT(('ANALYSE - ERP =&gt; SOUS-SEGMENT'!$C$8:$C$154=$C28)*'ANALYSE - ERP =&gt; SOUS-SEGMENT'!$Q$8:$Q$154*'ANALYSE - ERP =&gt; SOUS-SEGMENT'!$BH$8:$BH$154),0)</f>
        <v>0.53920000000000001</v>
      </c>
      <c r="JR28" s="748">
        <f>IFERROR(SUMPRODUCT(('ANALYSE - ERP =&gt; SOUS-SEGMENT'!$C$8:$C$154=$C28)*'ANALYSE - ERP =&gt; SOUS-SEGMENT'!$Q$8:$Q$154*'ANALYSE - ERP =&gt; SOUS-SEGMENT'!$BH$8:$BH$154*'ANALYSE - ERP =&gt; SOUS-SEGMENT'!$JU$8:$JU$154)/SUMPRODUCT(('ANALYSE - ERP =&gt; SOUS-SEGMENT'!$C$8:$C$154=$C28)*'ANALYSE - ERP =&gt; SOUS-SEGMENT'!$Q$8:$Q$154*'ANALYSE - ERP =&gt; SOUS-SEGMENT'!$BH$8:$BH$154),0)</f>
        <v>0.32950000000000002</v>
      </c>
      <c r="JS28" s="748">
        <f>IFERROR(SUMPRODUCT(('ANALYSE - ERP =&gt; SOUS-SEGMENT'!$C$8:$C$154=$C28)*'ANALYSE - ERP =&gt; SOUS-SEGMENT'!$Q$8:$Q$154*'ANALYSE - ERP =&gt; SOUS-SEGMENT'!$BH$8:$BH$154*'ANALYSE - ERP =&gt; SOUS-SEGMENT'!$JV$8:$JV$154)/SUMPRODUCT(('ANALYSE - ERP =&gt; SOUS-SEGMENT'!$C$8:$C$154=$C28)*'ANALYSE - ERP =&gt; SOUS-SEGMENT'!$Q$8:$Q$154*'ANALYSE - ERP =&gt; SOUS-SEGMENT'!$BH$8:$BH$154),0)</f>
        <v>2.47E-2</v>
      </c>
      <c r="JT28" s="749">
        <f>IFERROR(SUMPRODUCT(('ANALYSE - ERP =&gt; SOUS-SEGMENT'!$C$8:$C$154=$C28)*'ANALYSE - ERP =&gt; SOUS-SEGMENT'!$Q$8:$Q$154*'ANALYSE - ERP =&gt; SOUS-SEGMENT'!$BH$8:$BH$154*'ANALYSE - ERP =&gt; SOUS-SEGMENT'!$JW$8:$JW$154)/SUMPRODUCT(('ANALYSE - ERP =&gt; SOUS-SEGMENT'!$C$8:$C$154=$C28)*'ANALYSE - ERP =&gt; SOUS-SEGMENT'!$Q$8:$Q$154*'ANALYSE - ERP =&gt; SOUS-SEGMENT'!$BH$8:$BH$154),0)</f>
        <v>0</v>
      </c>
      <c r="JU28" s="771">
        <f>IFERROR(SUMPRODUCT(('ANALYSE - ERP =&gt; SOUS-SEGMENT'!$C$8:$C$154=$C28)*'ANALYSE - ERP =&gt; SOUS-SEGMENT'!$Q$8:$Q$154*'ANALYSE - ERP =&gt; SOUS-SEGMENT'!$FK$8:$FK$154*'ANALYSE - ERP =&gt; SOUS-SEGMENT'!$JX$8:$JX$154)/SUMPRODUCT(('ANALYSE - ERP =&gt; SOUS-SEGMENT'!$C$8:$C$154=$C28)*'ANALYSE - ERP =&gt; SOUS-SEGMENT'!$Q$8:$Q$154*'ANALYSE - ERP =&gt; SOUS-SEGMENT'!$FK$8:$FK$154),0)</f>
        <v>9.2499999999999999E-2</v>
      </c>
      <c r="JV28" s="748">
        <f>IFERROR(SUMPRODUCT(('ANALYSE - ERP =&gt; SOUS-SEGMENT'!$C$8:$C$154=$C28)*'ANALYSE - ERP =&gt; SOUS-SEGMENT'!$Q$8:$Q$154*'ANALYSE - ERP =&gt; SOUS-SEGMENT'!$FK$8:$FK$154*'ANALYSE - ERP =&gt; SOUS-SEGMENT'!$JY$8:$JY$154)/SUMPRODUCT(('ANALYSE - ERP =&gt; SOUS-SEGMENT'!$C$8:$C$154=$C28)*'ANALYSE - ERP =&gt; SOUS-SEGMENT'!$Q$8:$Q$154*'ANALYSE - ERP =&gt; SOUS-SEGMENT'!$FK$8:$FK$154),0)</f>
        <v>0.52190000000000003</v>
      </c>
      <c r="JW28" s="748">
        <f>IFERROR(SUMPRODUCT(('ANALYSE - ERP =&gt; SOUS-SEGMENT'!$C$8:$C$154=$C28)*'ANALYSE - ERP =&gt; SOUS-SEGMENT'!$Q$8:$Q$154*'ANALYSE - ERP =&gt; SOUS-SEGMENT'!$FK$8:$FK$154*'ANALYSE - ERP =&gt; SOUS-SEGMENT'!$JZ$8:$JZ$154)/SUMPRODUCT(('ANALYSE - ERP =&gt; SOUS-SEGMENT'!$C$8:$C$154=$C28)*'ANALYSE - ERP =&gt; SOUS-SEGMENT'!$Q$8:$Q$154*'ANALYSE - ERP =&gt; SOUS-SEGMENT'!$FK$8:$FK$154),0)</f>
        <v>0.34360000000000002</v>
      </c>
      <c r="JX28" s="748">
        <f>IFERROR(SUMPRODUCT(('ANALYSE - ERP =&gt; SOUS-SEGMENT'!$C$8:$C$154=$C28)*'ANALYSE - ERP =&gt; SOUS-SEGMENT'!$Q$8:$Q$154*'ANALYSE - ERP =&gt; SOUS-SEGMENT'!$FK$8:$FK$154*'ANALYSE - ERP =&gt; SOUS-SEGMENT'!$KA$8:$KA$154)/SUMPRODUCT(('ANALYSE - ERP =&gt; SOUS-SEGMENT'!$C$8:$C$154=$C28)*'ANALYSE - ERP =&gt; SOUS-SEGMENT'!$Q$8:$Q$154*'ANALYSE - ERP =&gt; SOUS-SEGMENT'!$FK$8:$FK$154),0)</f>
        <v>3.8800000000000008E-2</v>
      </c>
      <c r="JY28" s="775">
        <f>IFERROR(SUMPRODUCT(('ANALYSE - ERP =&gt; SOUS-SEGMENT'!$C$8:$C$154=$C28)*'ANALYSE - ERP =&gt; SOUS-SEGMENT'!$Q$8:$Q$154*'ANALYSE - ERP =&gt; SOUS-SEGMENT'!$FK$8:$FK$154*'ANALYSE - ERP =&gt; SOUS-SEGMENT'!$KB$8:$KB$154)/SUMPRODUCT(('ANALYSE - ERP =&gt; SOUS-SEGMENT'!$C$8:$C$154=$C28)*'ANALYSE - ERP =&gt; SOUS-SEGMENT'!$Q$8:$Q$154*'ANALYSE - ERP =&gt; SOUS-SEGMENT'!$FK$8:$FK$154),0)</f>
        <v>3.2000000000000006E-3</v>
      </c>
      <c r="JZ28" s="657"/>
      <c r="KA28" s="314" t="s">
        <v>2591</v>
      </c>
      <c r="KB28" s="314" t="s">
        <v>2625</v>
      </c>
      <c r="KC28" s="866">
        <f>IFERROR(SUMPRODUCT(('ANALYSE - ERP =&gt; SOUS-SEGMENT'!$C$8:$C$154=$C29)*'ANALYSE - ERP =&gt; SOUS-SEGMENT'!$Q$8:$Q$154*'ANALYSE - ERP =&gt; SOUS-SEGMENT'!$EX$8:$EX$154*'ANALYSE - ERP =&gt; SOUS-SEGMENT'!$KF$8:$KF$154)/SUMPRODUCT(('ANALYSE - ERP =&gt; SOUS-SEGMENT'!$C$8:$C$154=$C29)*'ANALYSE - ERP =&gt; SOUS-SEGMENT'!$Q$8:$Q$154*'ANALYSE - ERP =&gt; SOUS-SEGMENT'!$EX$8:$EX$154),"")</f>
        <v>4.0599999999999996</v>
      </c>
      <c r="KD28" s="314" t="s">
        <v>2616</v>
      </c>
      <c r="KE28" s="315" t="s">
        <v>7237</v>
      </c>
      <c r="KF28" s="617" t="s">
        <v>6760</v>
      </c>
      <c r="KG28" s="315" t="s">
        <v>6760</v>
      </c>
    </row>
    <row r="29" spans="1:293" ht="108" customHeight="1">
      <c r="A29" s="265">
        <v>28</v>
      </c>
      <c r="B29" s="487" t="s">
        <v>2278</v>
      </c>
      <c r="C29" s="487" t="s">
        <v>1576</v>
      </c>
      <c r="D29" s="487" t="s">
        <v>1577</v>
      </c>
      <c r="E29" s="267" t="s">
        <v>4692</v>
      </c>
      <c r="F29" s="267" t="s">
        <v>300</v>
      </c>
      <c r="G29" s="267" t="s">
        <v>300</v>
      </c>
      <c r="H29" s="267" t="s">
        <v>2109</v>
      </c>
      <c r="I29" s="268" t="s">
        <v>7238</v>
      </c>
      <c r="J29" s="268" t="s">
        <v>7239</v>
      </c>
      <c r="K29" s="269" t="s">
        <v>2096</v>
      </c>
      <c r="L29" s="269" t="s">
        <v>2109</v>
      </c>
      <c r="M29" s="269" t="s">
        <v>2603</v>
      </c>
      <c r="N29" s="269" t="s">
        <v>6742</v>
      </c>
      <c r="O29" s="269" t="s">
        <v>2616</v>
      </c>
      <c r="P29" s="268"/>
      <c r="Q29" s="270">
        <f>IF(SUMPRODUCT(('ANALYSE - ERP =&gt; SOUS-SEGMENT'!$C$8:$C$154=$C29)*'ANALYSE - ERP =&gt; SOUS-SEGMENT'!$Q$8:$Q$154)&gt;0,1,0)</f>
        <v>1</v>
      </c>
      <c r="R29" s="271">
        <f>IFERROR(SUMPRODUCT(('ANALYSE - ERP =&gt; SOUS-SEGMENT'!$C$8:$C$154=$C29)*'ANALYSE - ERP =&gt; SOUS-SEGMENT'!$Q$8:$Q$154*'ANALYSE - ERP =&gt; SOUS-SEGMENT'!$AG$8:$AG$154*'ANALYSE - ERP =&gt; SOUS-SEGMENT'!$R$8:$R$154)/SUMPRODUCT(('ANALYSE - ERP =&gt; SOUS-SEGMENT'!$C$8:$C$154=$C29)*'ANALYSE - ERP =&gt; SOUS-SEGMENT'!$Q$8:$Q$154*'ANALYSE - ERP =&gt; SOUS-SEGMENT'!$AG$8:$AG$154),"")</f>
        <v>520</v>
      </c>
      <c r="S29" s="272">
        <f>SUMPRODUCT(('ANALYSE - ERP =&gt; SOUS-SEGMENT'!$C$8:$C$154=$C29)*'ANALYSE - ERP =&gt; SOUS-SEGMENT'!$Q$8:$Q$154*'ANALYSE - ERP =&gt; SOUS-SEGMENT'!$S$8:$S$154)</f>
        <v>3800</v>
      </c>
      <c r="T29" s="272">
        <f>SUMPRODUCT(('ANALYSE - ERP =&gt; SOUS-SEGMENT'!$C$8:$C$154=$C29)*'ANALYSE - ERP =&gt; SOUS-SEGMENT'!$Q$8:$Q$154*'ANALYSE - ERP =&gt; SOUS-SEGMENT'!$T$8:$T$154)</f>
        <v>4050</v>
      </c>
      <c r="U29" s="272">
        <f>SUMPRODUCT(('ANALYSE - ERP =&gt; SOUS-SEGMENT'!$C$8:$C$154=$C29)*'ANALYSE - ERP =&gt; SOUS-SEGMENT'!$Q$8:$Q$154*'ANALYSE - ERP =&gt; SOUS-SEGMENT'!$U$8:$U$154)</f>
        <v>4300</v>
      </c>
      <c r="V29" s="272">
        <f>SUMPRODUCT(('ANALYSE - ERP =&gt; SOUS-SEGMENT'!$C$8:$C$154=$C29)*'ANALYSE - ERP =&gt; SOUS-SEGMENT'!$Q$8:$Q$154*'ANALYSE - ERP =&gt; SOUS-SEGMENT'!$V$8:$V$154)</f>
        <v>4580</v>
      </c>
      <c r="W29" s="272">
        <f>SUMPRODUCT(('ANALYSE - ERP =&gt; SOUS-SEGMENT'!$C$8:$C$154=$C29)*'ANALYSE - ERP =&gt; SOUS-SEGMENT'!$Q$8:$Q$154*'ANALYSE - ERP =&gt; SOUS-SEGMENT'!$W$8:$W$154)</f>
        <v>4680</v>
      </c>
      <c r="X29" s="272">
        <f>SUMPRODUCT(('ANALYSE - ERP =&gt; SOUS-SEGMENT'!$C$8:$C$154=$C29)*'ANALYSE - ERP =&gt; SOUS-SEGMENT'!$Q$8:$Q$154*'ANALYSE - ERP =&gt; SOUS-SEGMENT'!$X$8:$X$154)</f>
        <v>4820</v>
      </c>
      <c r="Y29" s="272">
        <f>SUMPRODUCT(('ANALYSE - ERP =&gt; SOUS-SEGMENT'!$C$8:$C$154=$C29)*'ANALYSE - ERP =&gt; SOUS-SEGMENT'!$Q$8:$Q$154*'ANALYSE - ERP =&gt; SOUS-SEGMENT'!$Y$8:$Y$154)</f>
        <v>4980</v>
      </c>
      <c r="Z29" s="272">
        <f>SUMPRODUCT(('ANALYSE - ERP =&gt; SOUS-SEGMENT'!$C$8:$C$154=$C29)*'ANALYSE - ERP =&gt; SOUS-SEGMENT'!$Q$8:$Q$154*'ANALYSE - ERP =&gt; SOUS-SEGMENT'!$Z$8:$Z$154)</f>
        <v>5130</v>
      </c>
      <c r="AA29" s="272">
        <f>SUMPRODUCT(('ANALYSE - ERP =&gt; SOUS-SEGMENT'!$C$8:$C$154=$C29)*'ANALYSE - ERP =&gt; SOUS-SEGMENT'!$Q$8:$Q$154*'ANALYSE - ERP =&gt; SOUS-SEGMENT'!$AA$8:$AA$154)</f>
        <v>5220</v>
      </c>
      <c r="AB29" s="272">
        <f>SUMPRODUCT(('ANALYSE - ERP =&gt; SOUS-SEGMENT'!$C$8:$C$154=$C29)*'ANALYSE - ERP =&gt; SOUS-SEGMENT'!$Q$8:$Q$154*'ANALYSE - ERP =&gt; SOUS-SEGMENT'!$AB$8:$AB$154)</f>
        <v>5290</v>
      </c>
      <c r="AC29" s="272">
        <f>SUMPRODUCT(('ANALYSE - ERP =&gt; SOUS-SEGMENT'!$C$8:$C$154=$C29)*'ANALYSE - ERP =&gt; SOUS-SEGMENT'!$Q$8:$Q$154*'ANALYSE - ERP =&gt; SOUS-SEGMENT'!$AC$8:$AC$154)</f>
        <v>5370</v>
      </c>
      <c r="AD29" s="272">
        <f>SUMPRODUCT(('ANALYSE - ERP =&gt; SOUS-SEGMENT'!$C$8:$C$154=$C29)*'ANALYSE - ERP =&gt; SOUS-SEGMENT'!$Q$8:$Q$154*'ANALYSE - ERP =&gt; SOUS-SEGMENT'!$AD$8:$AD$154)</f>
        <v>5450</v>
      </c>
      <c r="AE29" s="272">
        <f>SUMPRODUCT(('ANALYSE - ERP =&gt; SOUS-SEGMENT'!$C$8:$C$154=$C29)*'ANALYSE - ERP =&gt; SOUS-SEGMENT'!$Q$8:$Q$154*'ANALYSE - ERP =&gt; SOUS-SEGMENT'!$AE$8:$AE$154)</f>
        <v>5520</v>
      </c>
      <c r="AF29" s="272">
        <f>SUMPRODUCT(('ANALYSE - ERP =&gt; SOUS-SEGMENT'!$C$8:$C$154=$C29)*'ANALYSE - ERP =&gt; SOUS-SEGMENT'!$Q$8:$Q$154*'ANALYSE - ERP =&gt; SOUS-SEGMENT'!$AF$8:$AF$154)</f>
        <v>5560</v>
      </c>
      <c r="AG29" s="272">
        <f>SUMPRODUCT(('ANALYSE - ERP =&gt; SOUS-SEGMENT'!$C$8:$C$154=$C29)*'ANALYSE - ERP =&gt; SOUS-SEGMENT'!$Q$8:$Q$154*'ANALYSE - ERP =&gt; SOUS-SEGMENT'!$AG$8:$AG$154)</f>
        <v>5600</v>
      </c>
      <c r="AH29" s="272">
        <f>SUMPRODUCT(('ANALYSE - ERP =&gt; SOUS-SEGMENT'!$C$8:$C$154=$C29)*'ANALYSE - ERP =&gt; SOUS-SEGMENT'!$Q$8:$Q$154*'ANALYSE - ERP =&gt; SOUS-SEGMENT'!$AH$8:$AH$154)</f>
        <v>5630</v>
      </c>
      <c r="AI29" s="272">
        <f>SUMPRODUCT(('ANALYSE - ERP =&gt; SOUS-SEGMENT'!$C$8:$C$154=$C29)*'ANALYSE - ERP =&gt; SOUS-SEGMENT'!$Q$8:$Q$154*'ANALYSE - ERP =&gt; SOUS-SEGMENT'!$AI$8:$AI$154)</f>
        <v>5660</v>
      </c>
      <c r="AJ29" s="272">
        <f>SUMPRODUCT(('ANALYSE - ERP =&gt; SOUS-SEGMENT'!$C$8:$C$154=$C29)*'ANALYSE - ERP =&gt; SOUS-SEGMENT'!$Q$8:$Q$154*'ANALYSE - ERP =&gt; SOUS-SEGMENT'!$AJ$8:$AJ$154)</f>
        <v>5690</v>
      </c>
      <c r="AK29" s="272">
        <f>SUMPRODUCT(('ANALYSE - ERP =&gt; SOUS-SEGMENT'!$C$8:$C$154=$C29)*'ANALYSE - ERP =&gt; SOUS-SEGMENT'!$Q$8:$Q$154*'ANALYSE - ERP =&gt; SOUS-SEGMENT'!$AK$8:$AK$154)</f>
        <v>5720</v>
      </c>
      <c r="AL29" s="268" t="s">
        <v>7240</v>
      </c>
      <c r="AM29" s="268" t="s">
        <v>7241</v>
      </c>
      <c r="AN29" s="268" t="s">
        <v>2148</v>
      </c>
      <c r="AO29" s="657"/>
      <c r="AP29" s="271">
        <f>IFERROR(SUMPRODUCT(('ANALYSE - ERP =&gt; SOUS-SEGMENT'!$C$8:$C$154=$C29)*'ANALYSE - ERP =&gt; SOUS-SEGMENT'!$Q$8:$Q$154*'ANALYSE - ERP =&gt; SOUS-SEGMENT'!$AG$8:$AG$154*'ANALYSE - ERP =&gt; SOUS-SEGMENT'!$AP$8:$AP$154)/SUMPRODUCT(('ANALYSE - ERP =&gt; SOUS-SEGMENT'!$C$8:$C$154=$C29)*'ANALYSE - ERP =&gt; SOUS-SEGMENT'!$Q$8:$Q$154*'ANALYSE - ERP =&gt; SOUS-SEGMENT'!$AG$8:$AG$154),"")</f>
        <v>50</v>
      </c>
      <c r="AQ29" s="280">
        <f>IFERROR(SUMPRODUCT(('ANALYSE - ERP =&gt; SOUS-SEGMENT'!$C$8:$C$154=$C29)*'ANALYSE - ERP =&gt; SOUS-SEGMENT'!$Q$8:$Q$154*'ANALYSE - ERP =&gt; SOUS-SEGMENT'!$AF$8:$AF$154*'ANALYSE - ERP =&gt; SOUS-SEGMENT'!$AQ$8:$AQ$154)/SUMPRODUCT(('ANALYSE - ERP =&gt; SOUS-SEGMENT'!$C$8:$C$154=$C29)*'ANALYSE - ERP =&gt; SOUS-SEGMENT'!$Q$8:$Q$154*'ANALYSE - ERP =&gt; SOUS-SEGMENT'!$AF$8:$AF$154),"")</f>
        <v>44</v>
      </c>
      <c r="AR29" s="974">
        <f>IFERROR(SUMPRODUCT(('ANALYSE - ERP =&gt; SOUS-SEGMENT'!$C$8:$C$154=$C29)*'ANALYSE - ERP =&gt; SOUS-SEGMENT'!$Q$8:$Q$154*'ANALYSE - ERP =&gt; SOUS-SEGMENT'!$AF$8:$AF$154*'ANALYSE - ERP =&gt; SOUS-SEGMENT'!$AR$8:$AR$154)/SUMPRODUCT(('ANALYSE - ERP =&gt; SOUS-SEGMENT'!$C$8:$C$154=$C29)*'ANALYSE - ERP =&gt; SOUS-SEGMENT'!$Q$8:$Q$154*'ANALYSE - ERP =&gt; SOUS-SEGMENT'!$AF$8:$AF$154),"")</f>
        <v>5</v>
      </c>
      <c r="AS29" s="974">
        <f>IFERROR(SUMPRODUCT(('ANALYSE - ERP =&gt; SOUS-SEGMENT'!$C$8:$C$154=$C29)*'ANALYSE - ERP =&gt; SOUS-SEGMENT'!$Q$8:$Q$154*'ANALYSE - ERP =&gt; SOUS-SEGMENT'!$AF$8:$AF$154*'ANALYSE - ERP =&gt; SOUS-SEGMENT'!$AS$8:$AS$154)/SUMPRODUCT(('ANALYSE - ERP =&gt; SOUS-SEGMENT'!$C$8:$C$154=$C29)*'ANALYSE - ERP =&gt; SOUS-SEGMENT'!$Q$8:$Q$154*'ANALYSE - ERP =&gt; SOUS-SEGMENT'!$AF$8:$AF$154),"")</f>
        <v>1</v>
      </c>
      <c r="AT29" s="657" t="s">
        <v>7242</v>
      </c>
      <c r="AU29" s="290" t="s">
        <v>7243</v>
      </c>
      <c r="AV29" s="572" t="s">
        <v>2609</v>
      </c>
      <c r="AW29" s="290"/>
      <c r="AX29" s="657"/>
      <c r="AY29" s="303">
        <f>IFERROR(SUMPRODUCT(('ANALYSE - ERP =&gt; SOUS-SEGMENT'!$C$8:$C$154=$C29)*'ANALYSE - ERP =&gt; SOUS-SEGMENT'!$Q$8:$Q$154*'ANALYSE - ERP =&gt; SOUS-SEGMENT'!$AF$8:$AF$154*'ANALYSE - ERP =&gt; SOUS-SEGMENT'!$AZ$8:$AZ$154)/SUMPRODUCT(('ANALYSE - ERP =&gt; SOUS-SEGMENT'!$C$8:$C$154=$C29)*'ANALYSE - ERP =&gt; SOUS-SEGMENT'!$Q$8:$Q$154*'ANALYSE - ERP =&gt; SOUS-SEGMENT'!$AF$8:$AF$154),"")</f>
        <v>3</v>
      </c>
      <c r="AZ29" s="948">
        <f>IFERROR(SUMPRODUCT(('ANALYSE - ERP =&gt; SOUS-SEGMENT'!$C$8:$C$154=$C29)*'ANALYSE - ERP =&gt; SOUS-SEGMENT'!$Q$8:$Q$154*'ANALYSE - ERP =&gt; SOUS-SEGMENT'!$AF$8:$AF$154*'ANALYSE - ERP =&gt; SOUS-SEGMENT'!$BA$8:$BA$154)/SUMPRODUCT(('ANALYSE - ERP =&gt; SOUS-SEGMENT'!$C$8:$C$154=$C29)*'ANALYSE - ERP =&gt; SOUS-SEGMENT'!$Q$8:$Q$154*'ANALYSE - ERP =&gt; SOUS-SEGMENT'!$AF$8:$AF$154),"")</f>
        <v>0</v>
      </c>
      <c r="BA29" s="303">
        <f>IFERROR(SUMPRODUCT(('ANALYSE - ERP =&gt; SOUS-SEGMENT'!$C$8:$C$154=$C29)*'ANALYSE - ERP =&gt; SOUS-SEGMENT'!$Q$8:$Q$154*'ANALYSE - ERP =&gt; SOUS-SEGMENT'!$AF$8:$AF$154*'ANALYSE - ERP =&gt; SOUS-SEGMENT'!$BB$8:$BB$154)/SUMPRODUCT(('ANALYSE - ERP =&gt; SOUS-SEGMENT'!$C$8:$C$154=$C29)*'ANALYSE - ERP =&gt; SOUS-SEGMENT'!$Q$8:$Q$154*'ANALYSE - ERP =&gt; SOUS-SEGMENT'!$AF$8:$AF$154),"")</f>
        <v>0.5</v>
      </c>
      <c r="BB29" s="303">
        <f>IFERROR(SUMPRODUCT(('ANALYSE - ERP =&gt; SOUS-SEGMENT'!$C$8:$C$154=$C29)*'ANALYSE - ERP =&gt; SOUS-SEGMENT'!$Q$8:$Q$154*'ANALYSE - ERP =&gt; SOUS-SEGMENT'!$AF$8:$AF$154*'ANALYSE - ERP =&gt; SOUS-SEGMENT'!$BC$8:$BC$154)/SUMPRODUCT(('ANALYSE - ERP =&gt; SOUS-SEGMENT'!$C$8:$C$154=$C29)*'ANALYSE - ERP =&gt; SOUS-SEGMENT'!$Q$8:$Q$154*'ANALYSE - ERP =&gt; SOUS-SEGMENT'!$AF$8:$AF$154),"")</f>
        <v>3</v>
      </c>
      <c r="BC29" s="304">
        <f>SUMPRODUCT(('ANALYSE - ERP =&gt; SOUS-SEGMENT'!$C$8:$C$154=$C29)*'ANALYSE - ERP =&gt; SOUS-SEGMENT'!$Q$8:$Q$154*'ANALYSE - ERP =&gt; SOUS-SEGMENT'!$BE$8:$BE$154)</f>
        <v>16680</v>
      </c>
      <c r="BD29" s="304">
        <f>SUMPRODUCT(('ANALYSE - ERP =&gt; SOUS-SEGMENT'!$C$8:$C$154=$C29)*'ANALYSE - ERP =&gt; SOUS-SEGMENT'!$Q$8:$Q$154*'ANALYSE - ERP =&gt; SOUS-SEGMENT'!$BF$8:$BF$154)</f>
        <v>0</v>
      </c>
      <c r="BE29" s="304">
        <f>SUMPRODUCT(('ANALYSE - ERP =&gt; SOUS-SEGMENT'!$C$8:$C$154=$C29)*'ANALYSE - ERP =&gt; SOUS-SEGMENT'!$Q$8:$Q$154*'ANALYSE - ERP =&gt; SOUS-SEGMENT'!$BG$8:$BG$154)</f>
        <v>2780</v>
      </c>
      <c r="BF29" s="304">
        <f>SUMPRODUCT(('ANALYSE - ERP =&gt; SOUS-SEGMENT'!$C$8:$C$154=$C29)*'ANALYSE - ERP =&gt; SOUS-SEGMENT'!$Q$8:$Q$154*'ANALYSE - ERP =&gt; SOUS-SEGMENT'!$BH$8:$BH$154)</f>
        <v>16680</v>
      </c>
      <c r="BG29" s="304">
        <f>SUMPRODUCT(('ANALYSE - ERP =&gt; SOUS-SEGMENT'!$C$8:$C$154=$C29)*'ANALYSE - ERP =&gt; SOUS-SEGMENT'!$Q$8:$Q$154*'ANALYSE - ERP =&gt; SOUS-SEGMENT'!$BJ$8:$BJ$154)</f>
        <v>17160</v>
      </c>
      <c r="BH29" s="304">
        <f>SUMPRODUCT(('ANALYSE - ERP =&gt; SOUS-SEGMENT'!$C$8:$C$154=$C29)*'ANALYSE - ERP =&gt; SOUS-SEGMENT'!$Q$8:$Q$154*'ANALYSE - ERP =&gt; SOUS-SEGMENT'!$BK$8:$BK$154)</f>
        <v>0</v>
      </c>
      <c r="BI29" s="304">
        <f>SUMPRODUCT(('ANALYSE - ERP =&gt; SOUS-SEGMENT'!$C$8:$C$154=$C29)*'ANALYSE - ERP =&gt; SOUS-SEGMENT'!$Q$8:$Q$154*'ANALYSE - ERP =&gt; SOUS-SEGMENT'!$BL$8:$BL$154)</f>
        <v>2860</v>
      </c>
      <c r="BJ29" s="304">
        <f>SUMPRODUCT(('ANALYSE - ERP =&gt; SOUS-SEGMENT'!$C$8:$C$154=$C29)*'ANALYSE - ERP =&gt; SOUS-SEGMENT'!$Q$8:$Q$154*'ANALYSE - ERP =&gt; SOUS-SEGMENT'!$BM$8:$BM$154)</f>
        <v>17160</v>
      </c>
      <c r="BK29" s="657"/>
      <c r="BL29" s="580">
        <f>IFERROR(SUMPRODUCT(('ANALYSE - ERP =&gt; SOUS-SEGMENT'!$C$8:$C$154=$C29)*'ANALYSE - ERP =&gt; SOUS-SEGMENT'!$Q$8:$Q$154*'ANALYSE - ERP =&gt; SOUS-SEGMENT'!$BE$8:$BE$154*'ANALYSE - ERP =&gt; SOUS-SEGMENT'!$BO$8:$BO$154)/SUMPRODUCT(('ANALYSE - ERP =&gt; SOUS-SEGMENT'!$C$8:$C$154=$C29)*'ANALYSE - ERP =&gt; SOUS-SEGMENT'!$Q$8:$Q$154*'ANALYSE - ERP =&gt; SOUS-SEGMENT'!$BE$8:$BE$154),"")</f>
        <v>0.36</v>
      </c>
      <c r="BM29" s="305">
        <f>IFERROR(SUMPRODUCT(('ANALYSE - ERP =&gt; SOUS-SEGMENT'!$C$8:$C$154=$C29)*'ANALYSE - ERP =&gt; SOUS-SEGMENT'!$Q$8:$Q$154*'ANALYSE - ERP =&gt; SOUS-SEGMENT'!$BE$8:$BE$154*'ANALYSE - ERP =&gt; SOUS-SEGMENT'!$BP$8:$BP$154)/SUMPRODUCT(('ANALYSE - ERP =&gt; SOUS-SEGMENT'!$C$8:$C$154=$C29)*'ANALYSE - ERP =&gt; SOUS-SEGMENT'!$Q$8:$Q$154*'ANALYSE - ERP =&gt; SOUS-SEGMENT'!$BE$8:$BE$154),"")</f>
        <v>0.5</v>
      </c>
      <c r="BN29" s="305">
        <f>IFERROR(SUMPRODUCT(('ANALYSE - ERP =&gt; SOUS-SEGMENT'!$C$8:$C$154=$C29)*'ANALYSE - ERP =&gt; SOUS-SEGMENT'!$Q$8:$Q$154*'ANALYSE - ERP =&gt; SOUS-SEGMENT'!$BE$8:$BE$154*'ANALYSE - ERP =&gt; SOUS-SEGMENT'!$BQ$8:$BQ$154)/SUMPRODUCT(('ANALYSE - ERP =&gt; SOUS-SEGMENT'!$C$8:$C$154=$C29)*'ANALYSE - ERP =&gt; SOUS-SEGMENT'!$Q$8:$Q$154*'ANALYSE - ERP =&gt; SOUS-SEGMENT'!$BE$8:$BE$154),"")</f>
        <v>0.1</v>
      </c>
      <c r="BO29" s="581">
        <f>IFERROR(SUMPRODUCT(('ANALYSE - ERP =&gt; SOUS-SEGMENT'!$C$8:$C$154=$C29)*'ANALYSE - ERP =&gt; SOUS-SEGMENT'!$Q$8:$Q$154*'ANALYSE - ERP =&gt; SOUS-SEGMENT'!$BE$8:$BE$154*'ANALYSE - ERP =&gt; SOUS-SEGMENT'!$BR$8:$BR$154)/SUMPRODUCT(('ANALYSE - ERP =&gt; SOUS-SEGMENT'!$C$8:$C$154=$C29)*'ANALYSE - ERP =&gt; SOUS-SEGMENT'!$Q$8:$Q$154*'ANALYSE - ERP =&gt; SOUS-SEGMENT'!$BE$8:$BE$154),"")</f>
        <v>0.04</v>
      </c>
      <c r="BP29" s="580">
        <f>IFERROR(SUMPRODUCT(('ANALYSE - ERP =&gt; SOUS-SEGMENT'!$C$8:$C$154=$C29)*'ANALYSE - ERP =&gt; SOUS-SEGMENT'!$Q$8:$Q$154*'ANALYSE - ERP =&gt; SOUS-SEGMENT'!$BJ$8:$BJ$154*'ANALYSE - ERP =&gt; SOUS-SEGMENT'!$BS$8:$BS$154)/SUMPRODUCT(('ANALYSE - ERP =&gt; SOUS-SEGMENT'!$C$8:$C$154=$C29)*'ANALYSE - ERP =&gt; SOUS-SEGMENT'!$Q$8:$Q$154*'ANALYSE - ERP =&gt; SOUS-SEGMENT'!$BJ$8:$BJ$154),"")</f>
        <v>0.31</v>
      </c>
      <c r="BQ29" s="305">
        <f>IFERROR(SUMPRODUCT(('ANALYSE - ERP =&gt; SOUS-SEGMENT'!$C$8:$C$154=$C29)*'ANALYSE - ERP =&gt; SOUS-SEGMENT'!$Q$8:$Q$154*'ANALYSE - ERP =&gt; SOUS-SEGMENT'!$BJ$8:$BJ$154*'ANALYSE - ERP =&gt; SOUS-SEGMENT'!$BT$8:$BT$154)/SUMPRODUCT(('ANALYSE - ERP =&gt; SOUS-SEGMENT'!$C$8:$C$154=$C29)*'ANALYSE - ERP =&gt; SOUS-SEGMENT'!$Q$8:$Q$154*'ANALYSE - ERP =&gt; SOUS-SEGMENT'!$BJ$8:$BJ$154),"")</f>
        <v>0.51</v>
      </c>
      <c r="BR29" s="305">
        <f>IFERROR(SUMPRODUCT(('ANALYSE - ERP =&gt; SOUS-SEGMENT'!$C$8:$C$154=$C29)*'ANALYSE - ERP =&gt; SOUS-SEGMENT'!$Q$8:$Q$154*'ANALYSE - ERP =&gt; SOUS-SEGMENT'!$BJ$8:$BJ$154*'ANALYSE - ERP =&gt; SOUS-SEGMENT'!$BU$8:$BU$154)/SUMPRODUCT(('ANALYSE - ERP =&gt; SOUS-SEGMENT'!$C$8:$C$154=$C29)*'ANALYSE - ERP =&gt; SOUS-SEGMENT'!$Q$8:$Q$154*'ANALYSE - ERP =&gt; SOUS-SEGMENT'!$BJ$8:$BJ$154),"")</f>
        <v>0.15</v>
      </c>
      <c r="BS29" s="581">
        <f>IFERROR(SUMPRODUCT(('ANALYSE - ERP =&gt; SOUS-SEGMENT'!$C$8:$C$154=$C29)*'ANALYSE - ERP =&gt; SOUS-SEGMENT'!$Q$8:$Q$154*'ANALYSE - ERP =&gt; SOUS-SEGMENT'!$BJ$8:$BJ$154*'ANALYSE - ERP =&gt; SOUS-SEGMENT'!$BV$8:$BV$154)/SUMPRODUCT(('ANALYSE - ERP =&gt; SOUS-SEGMENT'!$C$8:$C$154=$C29)*'ANALYSE - ERP =&gt; SOUS-SEGMENT'!$Q$8:$Q$154*'ANALYSE - ERP =&gt; SOUS-SEGMENT'!$BJ$8:$BJ$154),"")</f>
        <v>0.03</v>
      </c>
      <c r="BT29" s="589" t="str">
        <f>IFERROR(SUMPRODUCT(('ANALYSE - ERP =&gt; SOUS-SEGMENT'!$C$8:$C$154=$C29)*'ANALYSE - ERP =&gt; SOUS-SEGMENT'!$Q$8:$Q$154*'ANALYSE - ERP =&gt; SOUS-SEGMENT'!$BF$8:$BF$154*'ANALYSE - ERP =&gt; SOUS-SEGMENT'!$BW$8:$BW$154)/SUMPRODUCT(('ANALYSE - ERP =&gt; SOUS-SEGMENT'!$C$8:$C$154=$C29)*'ANALYSE - ERP =&gt; SOUS-SEGMENT'!$Q$8:$Q$154*'ANALYSE - ERP =&gt; SOUS-SEGMENT'!$BF$8:$BF$154),"")</f>
        <v/>
      </c>
      <c r="BU29" s="306" t="str">
        <f>IFERROR(SUMPRODUCT(('ANALYSE - ERP =&gt; SOUS-SEGMENT'!$C$8:$C$154=$C29)*'ANALYSE - ERP =&gt; SOUS-SEGMENT'!$Q$8:$Q$154*'ANALYSE - ERP =&gt; SOUS-SEGMENT'!$BF$8:$BF$154*'ANALYSE - ERP =&gt; SOUS-SEGMENT'!$BX$8:$BX$154)/SUMPRODUCT(('ANALYSE - ERP =&gt; SOUS-SEGMENT'!$C$8:$C$154=$C29)*'ANALYSE - ERP =&gt; SOUS-SEGMENT'!$Q$8:$Q$154*'ANALYSE - ERP =&gt; SOUS-SEGMENT'!$BF$8:$BF$154),"")</f>
        <v/>
      </c>
      <c r="BV29" s="590" t="str">
        <f>IFERROR(SUMPRODUCT(('ANALYSE - ERP =&gt; SOUS-SEGMENT'!$C$8:$C$154=$C29)*'ANALYSE - ERP =&gt; SOUS-SEGMENT'!$Q$8:$Q$154*'ANALYSE - ERP =&gt; SOUS-SEGMENT'!$BF$8:$BF$154*'ANALYSE - ERP =&gt; SOUS-SEGMENT'!$BY$8:$BY$154)/SUMPRODUCT(('ANALYSE - ERP =&gt; SOUS-SEGMENT'!$C$8:$C$154=$C29)*'ANALYSE - ERP =&gt; SOUS-SEGMENT'!$Q$8:$Q$154*'ANALYSE - ERP =&gt; SOUS-SEGMENT'!$BF$8:$BF$154),"")</f>
        <v/>
      </c>
      <c r="BW29" s="589" t="str">
        <f>IFERROR(SUMPRODUCT(('ANALYSE - ERP =&gt; SOUS-SEGMENT'!$C$8:$C$154=$C29)*'ANALYSE - ERP =&gt; SOUS-SEGMENT'!$Q$8:$Q$154*'ANALYSE - ERP =&gt; SOUS-SEGMENT'!$BK$8:$BK$154*'ANALYSE - ERP =&gt; SOUS-SEGMENT'!$BZ$8:$BZ$154)/SUMPRODUCT(('ANALYSE - ERP =&gt; SOUS-SEGMENT'!$C$8:$C$154=$C29)*'ANALYSE - ERP =&gt; SOUS-SEGMENT'!$Q$8:$Q$154*'ANALYSE - ERP =&gt; SOUS-SEGMENT'!$BK$8:$BK$154),"")</f>
        <v/>
      </c>
      <c r="BX29" s="306" t="str">
        <f>IFERROR(SUMPRODUCT(('ANALYSE - ERP =&gt; SOUS-SEGMENT'!$C$8:$C$154=$C29)*'ANALYSE - ERP =&gt; SOUS-SEGMENT'!$Q$8:$Q$154*'ANALYSE - ERP =&gt; SOUS-SEGMENT'!$BK$8:$BK$154*'ANALYSE - ERP =&gt; SOUS-SEGMENT'!$CA$8:$CA$154)/SUMPRODUCT(('ANALYSE - ERP =&gt; SOUS-SEGMENT'!$C$8:$C$154=$C29)*'ANALYSE - ERP =&gt; SOUS-SEGMENT'!$Q$8:$Q$154*'ANALYSE - ERP =&gt; SOUS-SEGMENT'!$BK$8:$BK$154),"")</f>
        <v/>
      </c>
      <c r="BY29" s="590" t="str">
        <f>IFERROR(SUMPRODUCT(('ANALYSE - ERP =&gt; SOUS-SEGMENT'!$C$8:$C$154=$C29)*'ANALYSE - ERP =&gt; SOUS-SEGMENT'!$Q$8:$Q$154*'ANALYSE - ERP =&gt; SOUS-SEGMENT'!$BK$8:$BK$154*'ANALYSE - ERP =&gt; SOUS-SEGMENT'!$CB$8:$CB$154)/SUMPRODUCT(('ANALYSE - ERP =&gt; SOUS-SEGMENT'!$C$8:$C$154=$C29)*'ANALYSE - ERP =&gt; SOUS-SEGMENT'!$Q$8:$Q$154*'ANALYSE - ERP =&gt; SOUS-SEGMENT'!$BK$8:$BK$154),"")</f>
        <v/>
      </c>
      <c r="BZ29" s="580">
        <f>IFERROR(SUMPRODUCT(('ANALYSE - ERP =&gt; SOUS-SEGMENT'!$C$8:$C$154=$C29)*'ANALYSE - ERP =&gt; SOUS-SEGMENT'!$Q$8:$Q$154*'ANALYSE - ERP =&gt; SOUS-SEGMENT'!$BG$8:$BG$154*'ANALYSE - ERP =&gt; SOUS-SEGMENT'!$CC$8:$CC$154)/SUMPRODUCT(('ANALYSE - ERP =&gt; SOUS-SEGMENT'!$C$8:$C$154=$C29)*'ANALYSE - ERP =&gt; SOUS-SEGMENT'!$Q$8:$Q$154*'ANALYSE - ERP =&gt; SOUS-SEGMENT'!$BG$8:$BG$154),"")</f>
        <v>0.11999999999999998</v>
      </c>
      <c r="CA29" s="305">
        <f>IFERROR(SUMPRODUCT(('ANALYSE - ERP =&gt; SOUS-SEGMENT'!$C$8:$C$154=$C29)*'ANALYSE - ERP =&gt; SOUS-SEGMENT'!$Q$8:$Q$154*'ANALYSE - ERP =&gt; SOUS-SEGMENT'!$BG$8:$BG$154*'ANALYSE - ERP =&gt; SOUS-SEGMENT'!$CD$8:$CD$154)/SUMPRODUCT(('ANALYSE - ERP =&gt; SOUS-SEGMENT'!$C$8:$C$154=$C29)*'ANALYSE - ERP =&gt; SOUS-SEGMENT'!$Q$8:$Q$154*'ANALYSE - ERP =&gt; SOUS-SEGMENT'!$BG$8:$BG$154),"")</f>
        <v>0.5</v>
      </c>
      <c r="CB29" s="305">
        <f>IFERROR(SUMPRODUCT(('ANALYSE - ERP =&gt; SOUS-SEGMENT'!$C$8:$C$154=$C29)*'ANALYSE - ERP =&gt; SOUS-SEGMENT'!$Q$8:$Q$154*'ANALYSE - ERP =&gt; SOUS-SEGMENT'!$BG$8:$BG$154*'ANALYSE - ERP =&gt; SOUS-SEGMENT'!$CE$8:$CE$154)/SUMPRODUCT(('ANALYSE - ERP =&gt; SOUS-SEGMENT'!$C$8:$C$154=$C29)*'ANALYSE - ERP =&gt; SOUS-SEGMENT'!$Q$8:$Q$154*'ANALYSE - ERP =&gt; SOUS-SEGMENT'!$BG$8:$BG$154),"")</f>
        <v>0.15</v>
      </c>
      <c r="CC29" s="581">
        <f>IFERROR(SUMPRODUCT(('ANALYSE - ERP =&gt; SOUS-SEGMENT'!$C$8:$C$154=$C29)*'ANALYSE - ERP =&gt; SOUS-SEGMENT'!$Q$8:$Q$154*'ANALYSE - ERP =&gt; SOUS-SEGMENT'!$BG$8:$BG$154*'ANALYSE - ERP =&gt; SOUS-SEGMENT'!$CF$8:$CF$154)/SUMPRODUCT(('ANALYSE - ERP =&gt; SOUS-SEGMENT'!$C$8:$C$154=$C29)*'ANALYSE - ERP =&gt; SOUS-SEGMENT'!$Q$8:$Q$154*'ANALYSE - ERP =&gt; SOUS-SEGMENT'!$BG$8:$BG$154),"")</f>
        <v>0.22999999999999998</v>
      </c>
      <c r="CD29" s="580">
        <f>IFERROR(SUMPRODUCT(('ANALYSE - ERP =&gt; SOUS-SEGMENT'!$C$8:$C$154=$C29)*'ANALYSE - ERP =&gt; SOUS-SEGMENT'!$Q$8:$Q$154*'ANALYSE - ERP =&gt; SOUS-SEGMENT'!$BL$8:$BL$154*'ANALYSE - ERP =&gt; SOUS-SEGMENT'!$CG$8:$CG$154)/SUMPRODUCT(('ANALYSE - ERP =&gt; SOUS-SEGMENT'!$C$8:$C$154=$C29)*'ANALYSE - ERP =&gt; SOUS-SEGMENT'!$Q$8:$Q$154*'ANALYSE - ERP =&gt; SOUS-SEGMENT'!$BL$8:$BL$154),"")</f>
        <v>0.1</v>
      </c>
      <c r="CE29" s="305">
        <f>IFERROR(SUMPRODUCT(('ANALYSE - ERP =&gt; SOUS-SEGMENT'!$C$8:$C$154=$C29)*'ANALYSE - ERP =&gt; SOUS-SEGMENT'!$Q$8:$Q$154*'ANALYSE - ERP =&gt; SOUS-SEGMENT'!$BL$8:$BL$154*'ANALYSE - ERP =&gt; SOUS-SEGMENT'!$CH$8:$CH$154)/SUMPRODUCT(('ANALYSE - ERP =&gt; SOUS-SEGMENT'!$C$8:$C$154=$C29)*'ANALYSE - ERP =&gt; SOUS-SEGMENT'!$Q$8:$Q$154*'ANALYSE - ERP =&gt; SOUS-SEGMENT'!$BL$8:$BL$154),"")</f>
        <v>0.5</v>
      </c>
      <c r="CF29" s="305">
        <f>IFERROR(SUMPRODUCT(('ANALYSE - ERP =&gt; SOUS-SEGMENT'!$C$8:$C$154=$C29)*'ANALYSE - ERP =&gt; SOUS-SEGMENT'!$Q$8:$Q$154*'ANALYSE - ERP =&gt; SOUS-SEGMENT'!$BL$8:$BL$154*'ANALYSE - ERP =&gt; SOUS-SEGMENT'!$CI$8:$CI$154)/SUMPRODUCT(('ANALYSE - ERP =&gt; SOUS-SEGMENT'!$C$8:$C$154=$C29)*'ANALYSE - ERP =&gt; SOUS-SEGMENT'!$Q$8:$Q$154*'ANALYSE - ERP =&gt; SOUS-SEGMENT'!$BL$8:$BL$154),"")</f>
        <v>0.18</v>
      </c>
      <c r="CG29" s="581">
        <f>IFERROR(SUMPRODUCT(('ANALYSE - ERP =&gt; SOUS-SEGMENT'!$C$8:$C$154=$C29)*'ANALYSE - ERP =&gt; SOUS-SEGMENT'!$Q$8:$Q$154*'ANALYSE - ERP =&gt; SOUS-SEGMENT'!$BL$8:$BL$154*'ANALYSE - ERP =&gt; SOUS-SEGMENT'!$CJ$8:$CJ$154)/SUMPRODUCT(('ANALYSE - ERP =&gt; SOUS-SEGMENT'!$C$8:$C$154=$C29)*'ANALYSE - ERP =&gt; SOUS-SEGMENT'!$Q$8:$Q$154*'ANALYSE - ERP =&gt; SOUS-SEGMENT'!$BL$8:$BL$154),"")</f>
        <v>0.22000000000000003</v>
      </c>
      <c r="CH29" s="589">
        <f>IFERROR(SUMPRODUCT(('ANALYSE - ERP =&gt; SOUS-SEGMENT'!$C$8:$C$154=$C29)*'ANALYSE - ERP =&gt; SOUS-SEGMENT'!$Q$8:$Q$154*'ANALYSE - ERP =&gt; SOUS-SEGMENT'!$BH$8:$BH$154*'ANALYSE - ERP =&gt; SOUS-SEGMENT'!$CK$8:$CK$154)/SUMPRODUCT(('ANALYSE - ERP =&gt; SOUS-SEGMENT'!$C$8:$C$154=$C29)*'ANALYSE - ERP =&gt; SOUS-SEGMENT'!$Q$8:$Q$154*'ANALYSE - ERP =&gt; SOUS-SEGMENT'!$BH$8:$BH$154),"")</f>
        <v>0.55000000000000004</v>
      </c>
      <c r="CI29" s="306">
        <f>IFERROR(SUMPRODUCT(('ANALYSE - ERP =&gt; SOUS-SEGMENT'!$C$8:$C$154=$C29)*'ANALYSE - ERP =&gt; SOUS-SEGMENT'!$Q$8:$Q$154*'ANALYSE - ERP =&gt; SOUS-SEGMENT'!$BH$8:$BH$154*'ANALYSE - ERP =&gt; SOUS-SEGMENT'!$CL$8:$CL$154)/SUMPRODUCT(('ANALYSE - ERP =&gt; SOUS-SEGMENT'!$C$8:$C$154=$C29)*'ANALYSE - ERP =&gt; SOUS-SEGMENT'!$Q$8:$Q$154*'ANALYSE - ERP =&gt; SOUS-SEGMENT'!$BH$8:$BH$154),"")</f>
        <v>0.3</v>
      </c>
      <c r="CJ29" s="590">
        <f>IFERROR(SUMPRODUCT(('ANALYSE - ERP =&gt; SOUS-SEGMENT'!$C$8:$C$154=$C29)*'ANALYSE - ERP =&gt; SOUS-SEGMENT'!$Q$8:$Q$154*'ANALYSE - ERP =&gt; SOUS-SEGMENT'!$BH$8:$BH$154*'ANALYSE - ERP =&gt; SOUS-SEGMENT'!$CM$8:$CM$154)/SUMPRODUCT(('ANALYSE - ERP =&gt; SOUS-SEGMENT'!$C$8:$C$154=$C29)*'ANALYSE - ERP =&gt; SOUS-SEGMENT'!$Q$8:$Q$154*'ANALYSE - ERP =&gt; SOUS-SEGMENT'!$BH$8:$BH$154),"")</f>
        <v>0.15</v>
      </c>
      <c r="CK29" s="589">
        <f>IFERROR(SUMPRODUCT(('ANALYSE - ERP =&gt; SOUS-SEGMENT'!$C$8:$C$154=$C29)*'ANALYSE - ERP =&gt; SOUS-SEGMENT'!$Q$8:$Q$154*'ANALYSE - ERP =&gt; SOUS-SEGMENT'!$BM$8:$BM$154*'ANALYSE - ERP =&gt; SOUS-SEGMENT'!$CN$8:$CN$154)/SUMPRODUCT(('ANALYSE - ERP =&gt; SOUS-SEGMENT'!$C$8:$C$154=$C29)*'ANALYSE - ERP =&gt; SOUS-SEGMENT'!$Q$8:$Q$154*'ANALYSE - ERP =&gt; SOUS-SEGMENT'!$BM$8:$BM$154),"")</f>
        <v>0.47</v>
      </c>
      <c r="CL29" s="306">
        <f>IFERROR(SUMPRODUCT(('ANALYSE - ERP =&gt; SOUS-SEGMENT'!$C$8:$C$154=$C29)*'ANALYSE - ERP =&gt; SOUS-SEGMENT'!$Q$8:$Q$154*'ANALYSE - ERP =&gt; SOUS-SEGMENT'!$BM$8:$BM$154*'ANALYSE - ERP =&gt; SOUS-SEGMENT'!$CO$8:$CO$154)/SUMPRODUCT(('ANALYSE - ERP =&gt; SOUS-SEGMENT'!$C$8:$C$154=$C29)*'ANALYSE - ERP =&gt; SOUS-SEGMENT'!$Q$8:$Q$154*'ANALYSE - ERP =&gt; SOUS-SEGMENT'!$BM$8:$BM$154),"")</f>
        <v>0.33</v>
      </c>
      <c r="CM29" s="590">
        <f>IFERROR(SUMPRODUCT(('ANALYSE - ERP =&gt; SOUS-SEGMENT'!$C$8:$C$154=$C29)*'ANALYSE - ERP =&gt; SOUS-SEGMENT'!$Q$8:$Q$154*'ANALYSE - ERP =&gt; SOUS-SEGMENT'!$BM$8:$BM$154*'ANALYSE - ERP =&gt; SOUS-SEGMENT'!$CP$8:$CP$154)/SUMPRODUCT(('ANALYSE - ERP =&gt; SOUS-SEGMENT'!$C$8:$C$154=$C29)*'ANALYSE - ERP =&gt; SOUS-SEGMENT'!$Q$8:$Q$154*'ANALYSE - ERP =&gt; SOUS-SEGMENT'!$BM$8:$BM$154),"")</f>
        <v>0.2</v>
      </c>
      <c r="CN29" s="657"/>
      <c r="CO29" s="882">
        <f>IFERROR(SUMPRODUCT(('ANALYSE - ERP =&gt; SOUS-SEGMENT'!$C$8:$C$154=$C29)*'ANALYSE - ERP =&gt; SOUS-SEGMENT'!$DH$8:$DH$154*('ANALYSE - ERP =&gt; SOUS-SEGMENT'!$CR$8:$CR$154&gt;0)*'ANALYSE - ERP =&gt; SOUS-SEGMENT'!$CR$8:$CR$154)/SUMPRODUCT(('ANALYSE - ERP =&gt; SOUS-SEGMENT'!$C$8:$C$154=$C29)*'ANALYSE - ERP =&gt; SOUS-SEGMENT'!$DH$8:$DH$154*('ANALYSE - ERP =&gt; SOUS-SEGMENT'!$CR$8:$CR$154&gt;0)),"")</f>
        <v>13.000000000000002</v>
      </c>
      <c r="CP29" s="883">
        <f>IFERROR(SUMPRODUCT(('ANALYSE - ERP =&gt; SOUS-SEGMENT'!$C$8:$C$154=$C29)*'ANALYSE - ERP =&gt; SOUS-SEGMENT'!$DI$8:$DI$154*('ANALYSE - ERP =&gt; SOUS-SEGMENT'!$CS$8:$CS$154&gt;0)*'ANALYSE - ERP =&gt; SOUS-SEGMENT'!$CS$8:$CS$154)/SUMPRODUCT(('ANALYSE - ERP =&gt; SOUS-SEGMENT'!$C$8:$C$154=$C29)*'ANALYSE - ERP =&gt; SOUS-SEGMENT'!$DI$8:$DI$154*('ANALYSE - ERP =&gt; SOUS-SEGMENT'!$CS$8:$CS$154&gt;0)),"")</f>
        <v>14</v>
      </c>
      <c r="CQ29" s="883">
        <f>IFERROR(SUMPRODUCT(('ANALYSE - ERP =&gt; SOUS-SEGMENT'!$C$8:$C$154=$C29)*'ANALYSE - ERP =&gt; SOUS-SEGMENT'!$DJ$8:$DJ$154*('ANALYSE - ERP =&gt; SOUS-SEGMENT'!$CT$8:$CT$154&gt;0)*'ANALYSE - ERP =&gt; SOUS-SEGMENT'!$CT$8:$CT$154)/SUMPRODUCT(('ANALYSE - ERP =&gt; SOUS-SEGMENT'!$C$8:$C$154=$C29)*'ANALYSE - ERP =&gt; SOUS-SEGMENT'!$DJ$8:$DJ$154*('ANALYSE - ERP =&gt; SOUS-SEGMENT'!$CT$8:$CT$154&gt;0)),"")</f>
        <v>10</v>
      </c>
      <c r="CR29" s="884">
        <f>IFERROR(SUMPRODUCT(('ANALYSE - ERP =&gt; SOUS-SEGMENT'!$C$8:$C$154=$C29)*'ANALYSE - ERP =&gt; SOUS-SEGMENT'!$DK$8:$DK$154*('ANALYSE - ERP =&gt; SOUS-SEGMENT'!$CU$8:$CU$154&gt;0)*'ANALYSE - ERP =&gt; SOUS-SEGMENT'!$CU$8:$CU$154)/SUMPRODUCT(('ANALYSE - ERP =&gt; SOUS-SEGMENT'!$C$8:$C$154=$C29)*'ANALYSE - ERP =&gt; SOUS-SEGMENT'!$DK$8:$DK$154*('ANALYSE - ERP =&gt; SOUS-SEGMENT'!$CU$8:$CU$154&gt;0)),"")</f>
        <v>12</v>
      </c>
      <c r="CS29" s="882" t="str">
        <f>IFERROR(SUMPRODUCT(('ANALYSE - ERP =&gt; SOUS-SEGMENT'!$C$8:$C$154=$C29)*'ANALYSE - ERP =&gt; SOUS-SEGMENT'!$DS$8:$DS$154*('ANALYSE - ERP =&gt; SOUS-SEGMENT'!$CV$8:$CV$154&gt;0)*'ANALYSE - ERP =&gt; SOUS-SEGMENT'!$CV$8:$CV$154)/SUMPRODUCT(('ANALYSE - ERP =&gt; SOUS-SEGMENT'!$C$8:$C$154=$C29)*'ANALYSE - ERP =&gt; SOUS-SEGMENT'!$DS$8:$DS$154*('ANALYSE - ERP =&gt; SOUS-SEGMENT'!$CV$8:$CV$154&gt;0)),"")</f>
        <v/>
      </c>
      <c r="CT29" s="883" t="str">
        <f>IFERROR(SUMPRODUCT(('ANALYSE - ERP =&gt; SOUS-SEGMENT'!$C$8:$C$154=$C29)*'ANALYSE - ERP =&gt; SOUS-SEGMENT'!$DT$8:$DT$154*('ANALYSE - ERP =&gt; SOUS-SEGMENT'!$CW$8:$CW$154&gt;0)*'ANALYSE - ERP =&gt; SOUS-SEGMENT'!$CW$8:$CW$154)/SUMPRODUCT(('ANALYSE - ERP =&gt; SOUS-SEGMENT'!$C$8:$C$154=$C29)*'ANALYSE - ERP =&gt; SOUS-SEGMENT'!$DT$8:$DT$154*('ANALYSE - ERP =&gt; SOUS-SEGMENT'!$CW$8:$CW$154&gt;0)),"")</f>
        <v/>
      </c>
      <c r="CU29" s="884" t="str">
        <f>IFERROR(SUMPRODUCT(('ANALYSE - ERP =&gt; SOUS-SEGMENT'!$C$8:$C$154=$C29)*'ANALYSE - ERP =&gt; SOUS-SEGMENT'!$DU$8:$DU$154*('ANALYSE - ERP =&gt; SOUS-SEGMENT'!$CX$8:$CX$154&gt;0)*'ANALYSE - ERP =&gt; SOUS-SEGMENT'!$CX$8:$CX$154)/SUMPRODUCT(('ANALYSE - ERP =&gt; SOUS-SEGMENT'!$C$8:$C$154=$C29)*'ANALYSE - ERP =&gt; SOUS-SEGMENT'!$DU$8:$DU$154*('ANALYSE - ERP =&gt; SOUS-SEGMENT'!$CX$8:$CX$154&gt;0)),"")</f>
        <v/>
      </c>
      <c r="CV29" s="882">
        <f>IFERROR(SUMPRODUCT(('ANALYSE - ERP =&gt; SOUS-SEGMENT'!$C$8:$C$154=$C29)*'ANALYSE - ERP =&gt; SOUS-SEGMENT'!$EB$8:$EB$154*('ANALYSE - ERP =&gt; SOUS-SEGMENT'!$CY$8:$CY$154&gt;0)*'ANALYSE - ERP =&gt; SOUS-SEGMENT'!$CY$8:$CY$154)/SUMPRODUCT(('ANALYSE - ERP =&gt; SOUS-SEGMENT'!$C$8:$C$154=$C29)*'ANALYSE - ERP =&gt; SOUS-SEGMENT'!$EB$8:$EB$154*('ANALYSE - ERP =&gt; SOUS-SEGMENT'!$CY$8:$CY$154&gt;0)),"")</f>
        <v>11</v>
      </c>
      <c r="CW29" s="883">
        <f>IFERROR(SUMPRODUCT(('ANALYSE - ERP =&gt; SOUS-SEGMENT'!$C$8:$C$154=$C29)*'ANALYSE - ERP =&gt; SOUS-SEGMENT'!$EC$8:$EC$154*('ANALYSE - ERP =&gt; SOUS-SEGMENT'!$CZ$8:$CZ$154&gt;0)*'ANALYSE - ERP =&gt; SOUS-SEGMENT'!$CZ$8:$CZ$154)/SUMPRODUCT(('ANALYSE - ERP =&gt; SOUS-SEGMENT'!$C$8:$C$154=$C29)*'ANALYSE - ERP =&gt; SOUS-SEGMENT'!$EC$8:$EC$154*('ANALYSE - ERP =&gt; SOUS-SEGMENT'!$CZ$8:$CZ$154&gt;0)),"")</f>
        <v>13</v>
      </c>
      <c r="CX29" s="883">
        <f>IFERROR(SUMPRODUCT(('ANALYSE - ERP =&gt; SOUS-SEGMENT'!$C$8:$C$154=$C29)*'ANALYSE - ERP =&gt; SOUS-SEGMENT'!$ED$8:$ED$154*('ANALYSE - ERP =&gt; SOUS-SEGMENT'!$DA$8:$DA$154&gt;0)*'ANALYSE - ERP =&gt; SOUS-SEGMENT'!$DA$8:$DA$154)/SUMPRODUCT(('ANALYSE - ERP =&gt; SOUS-SEGMENT'!$C$8:$C$154=$C29)*'ANALYSE - ERP =&gt; SOUS-SEGMENT'!$ED$8:$ED$154*('ANALYSE - ERP =&gt; SOUS-SEGMENT'!$DA$8:$DA$154&gt;0)),"")</f>
        <v>9</v>
      </c>
      <c r="CY29" s="885">
        <f>IFERROR(SUMPRODUCT(('ANALYSE - ERP =&gt; SOUS-SEGMENT'!$C$8:$C$154=$C29)*'ANALYSE - ERP =&gt; SOUS-SEGMENT'!$EE$8:$EE$154*('ANALYSE - ERP =&gt; SOUS-SEGMENT'!$DB$8:$DB$154&gt;0)*'ANALYSE - ERP =&gt; SOUS-SEGMENT'!$DB$8:$DB$154)/SUMPRODUCT(('ANALYSE - ERP =&gt; SOUS-SEGMENT'!$C$8:$C$154=$C29)*'ANALYSE - ERP =&gt; SOUS-SEGMENT'!$EE$8:$EE$154*('ANALYSE - ERP =&gt; SOUS-SEGMENT'!$DB$8:$DB$154&gt;0)),"")</f>
        <v>11</v>
      </c>
      <c r="CZ29" s="886">
        <f>IFERROR(SUMPRODUCT(('ANALYSE - ERP =&gt; SOUS-SEGMENT'!$C$8:$C$154=$C29)*'ANALYSE - ERP =&gt; SOUS-SEGMENT'!$EM$8:$EM$154*('ANALYSE - ERP =&gt; SOUS-SEGMENT'!$DC$8:$DC$154&gt;0)*'ANALYSE - ERP =&gt; SOUS-SEGMENT'!$DC$8:$DC$154)/SUMPRODUCT(('ANALYSE - ERP =&gt; SOUS-SEGMENT'!$C$8:$C$154=$C29)*'ANALYSE - ERP =&gt; SOUS-SEGMENT'!$EM$8:$EM$154*('ANALYSE - ERP =&gt; SOUS-SEGMENT'!$DC$8:$DC$154&gt;0)),"")</f>
        <v>14</v>
      </c>
      <c r="DA29" s="883">
        <f>IFERROR(SUMPRODUCT(('ANALYSE - ERP =&gt; SOUS-SEGMENT'!$C$8:$C$154=$C29)*'ANALYSE - ERP =&gt; SOUS-SEGMENT'!$EN$8:$EN$154*('ANALYSE - ERP =&gt; SOUS-SEGMENT'!$DD$8:$DD$154&gt;0)*'ANALYSE - ERP =&gt; SOUS-SEGMENT'!$DD$8:$DD$154)/SUMPRODUCT(('ANALYSE - ERP =&gt; SOUS-SEGMENT'!$C$8:$C$154=$C29)*'ANALYSE - ERP =&gt; SOUS-SEGMENT'!$EN$8:$EN$154*('ANALYSE - ERP =&gt; SOUS-SEGMENT'!$DD$8:$DD$154&gt;0)),"")</f>
        <v>14</v>
      </c>
      <c r="DB29" s="885">
        <f>IFERROR(SUMPRODUCT(('ANALYSE - ERP =&gt; SOUS-SEGMENT'!$C$8:$C$154=$C29)*'ANALYSE - ERP =&gt; SOUS-SEGMENT'!$EO$8:$EO$154*('ANALYSE - ERP =&gt; SOUS-SEGMENT'!$DE$8:$DE$154&gt;0)*'ANALYSE - ERP =&gt; SOUS-SEGMENT'!$DE$8:$DE$154)/SUMPRODUCT(('ANALYSE - ERP =&gt; SOUS-SEGMENT'!$C$8:$C$154=$C29)*'ANALYSE - ERP =&gt; SOUS-SEGMENT'!$EO$8:$EO$154*('ANALYSE - ERP =&gt; SOUS-SEGMENT'!$DE$8:$DE$154&gt;0)),"")</f>
        <v>10</v>
      </c>
      <c r="DC29" s="610" t="s">
        <v>7244</v>
      </c>
      <c r="DD29" s="657"/>
      <c r="DE29" s="288">
        <f t="shared" si="2"/>
        <v>6004.8</v>
      </c>
      <c r="DF29" s="288">
        <f t="shared" si="3"/>
        <v>8340</v>
      </c>
      <c r="DG29" s="288">
        <f t="shared" si="4"/>
        <v>1668</v>
      </c>
      <c r="DH29" s="288">
        <f t="shared" si="5"/>
        <v>667.2</v>
      </c>
      <c r="DI29" s="317" t="s">
        <v>7245</v>
      </c>
      <c r="DJ29" s="288">
        <f t="shared" si="6"/>
        <v>5319.6</v>
      </c>
      <c r="DK29" s="288">
        <f t="shared" si="7"/>
        <v>8751.6</v>
      </c>
      <c r="DL29" s="288">
        <f t="shared" si="8"/>
        <v>2574</v>
      </c>
      <c r="DM29" s="288">
        <f t="shared" si="9"/>
        <v>514.79999999999995</v>
      </c>
      <c r="DN29" s="317" t="s">
        <v>7246</v>
      </c>
      <c r="DO29" s="657"/>
      <c r="DP29" s="288">
        <f t="shared" si="10"/>
        <v>0</v>
      </c>
      <c r="DQ29" s="288">
        <f t="shared" si="11"/>
        <v>0</v>
      </c>
      <c r="DR29" s="288">
        <f t="shared" si="12"/>
        <v>0</v>
      </c>
      <c r="DS29" s="317" t="s">
        <v>7247</v>
      </c>
      <c r="DT29" s="288">
        <f t="shared" si="13"/>
        <v>0</v>
      </c>
      <c r="DU29" s="288">
        <f t="shared" si="14"/>
        <v>0</v>
      </c>
      <c r="DV29" s="288">
        <f t="shared" si="15"/>
        <v>0</v>
      </c>
      <c r="DW29" s="317" t="s">
        <v>7247</v>
      </c>
      <c r="DX29" s="657"/>
      <c r="DY29" s="288">
        <f t="shared" si="16"/>
        <v>333.59999999999997</v>
      </c>
      <c r="DZ29" s="288">
        <f t="shared" si="17"/>
        <v>1390</v>
      </c>
      <c r="EA29" s="288">
        <f t="shared" si="18"/>
        <v>417</v>
      </c>
      <c r="EB29" s="288">
        <f t="shared" si="19"/>
        <v>639.4</v>
      </c>
      <c r="EC29" s="317" t="s">
        <v>7248</v>
      </c>
      <c r="ED29" s="288">
        <f t="shared" si="20"/>
        <v>286</v>
      </c>
      <c r="EE29" s="288">
        <f t="shared" si="21"/>
        <v>1430</v>
      </c>
      <c r="EF29" s="288">
        <f t="shared" si="22"/>
        <v>514.79999999999995</v>
      </c>
      <c r="EG29" s="288">
        <f t="shared" si="23"/>
        <v>629.20000000000005</v>
      </c>
      <c r="EH29" s="317" t="s">
        <v>7249</v>
      </c>
      <c r="EI29" s="290"/>
      <c r="EJ29" s="288">
        <f t="shared" si="24"/>
        <v>9174</v>
      </c>
      <c r="EK29" s="291">
        <f t="shared" si="25"/>
        <v>5004</v>
      </c>
      <c r="EL29" s="291">
        <f t="shared" si="26"/>
        <v>2502</v>
      </c>
      <c r="EM29" s="317" t="s">
        <v>7250</v>
      </c>
      <c r="EN29" s="288">
        <f t="shared" si="27"/>
        <v>8065.2</v>
      </c>
      <c r="EO29" s="291">
        <f t="shared" si="28"/>
        <v>5662.8</v>
      </c>
      <c r="EP29" s="291">
        <f t="shared" si="29"/>
        <v>3432</v>
      </c>
      <c r="EQ29" s="318" t="s">
        <v>7251</v>
      </c>
      <c r="ER29" s="657"/>
      <c r="ES29" s="731">
        <f t="shared" si="30"/>
        <v>0.91391509433962259</v>
      </c>
      <c r="ET29" s="731">
        <f t="shared" si="31"/>
        <v>5.129716981132075E-2</v>
      </c>
      <c r="EU29" s="292">
        <f t="shared" si="32"/>
        <v>11283.506343116884</v>
      </c>
      <c r="EV29" s="292">
        <f t="shared" si="33"/>
        <v>8620.820343116884</v>
      </c>
      <c r="EW29" s="292">
        <f t="shared" si="34"/>
        <v>2662.6859999999997</v>
      </c>
      <c r="EX29" s="292">
        <f t="shared" si="35"/>
        <v>5181.0116592857148</v>
      </c>
      <c r="EY29" s="292">
        <f>SUMPRODUCT(('ANALYSE - ERP =&gt; SOUS-SEGMENT'!$C$8:$C$154=$C29)*'ANALYSE - ERP =&gt; SOUS-SEGMENT'!$Q$8:$Q$154*'ANALYSE - ERP =&gt; SOUS-SEGMENT'!$FB$8:$FB$154)</f>
        <v>3952.0796592857146</v>
      </c>
      <c r="EZ29" s="292">
        <f>SUMPRODUCT(('ANALYSE - ERP =&gt; SOUS-SEGMENT'!$C$8:$C$154=$C29)*'ANALYSE - ERP =&gt; SOUS-SEGMENT'!$Q$8:$Q$154*'ANALYSE - ERP =&gt; SOUS-SEGMENT'!$FC$8:$FC$154)</f>
        <v>1228.932</v>
      </c>
      <c r="FA29" s="292">
        <f t="shared" si="36"/>
        <v>0</v>
      </c>
      <c r="FB29" s="292">
        <f>SUMPRODUCT(('ANALYSE - ERP =&gt; SOUS-SEGMENT'!$C$8:$C$154=$C29)*'ANALYSE - ERP =&gt; SOUS-SEGMENT'!$Q$8:$Q$154*'ANALYSE - ERP =&gt; SOUS-SEGMENT'!$FE$8:$FE$154)</f>
        <v>0</v>
      </c>
      <c r="FC29" s="292">
        <f>SUMPRODUCT(('ANALYSE - ERP =&gt; SOUS-SEGMENT'!$C$8:$C$154=$C29)*'ANALYSE - ERP =&gt; SOUS-SEGMENT'!$Q$8:$Q$154*'ANALYSE - ERP =&gt; SOUS-SEGMENT'!$FF$8:$FF$154)</f>
        <v>0</v>
      </c>
      <c r="FD29" s="292">
        <f t="shared" si="37"/>
        <v>984.3714920454546</v>
      </c>
      <c r="FE29" s="292">
        <f>SUMPRODUCT(('ANALYSE - ERP =&gt; SOUS-SEGMENT'!$C$8:$C$154=$C29)*'ANALYSE - ERP =&gt; SOUS-SEGMENT'!$Q$8:$Q$154*'ANALYSE - ERP =&gt; SOUS-SEGMENT'!$FH$8:$FH$154)</f>
        <v>779.5494920454546</v>
      </c>
      <c r="FF29" s="292">
        <f>SUMPRODUCT(('ANALYSE - ERP =&gt; SOUS-SEGMENT'!$C$8:$C$154=$C29)*'ANALYSE - ERP =&gt; SOUS-SEGMENT'!$Q$8:$Q$154*'ANALYSE - ERP =&gt; SOUS-SEGMENT'!$FI$8:$FI$154)</f>
        <v>204.822</v>
      </c>
      <c r="FG29" s="292">
        <f t="shared" si="38"/>
        <v>5118.1231917857149</v>
      </c>
      <c r="FH29" s="292">
        <f>SUMPRODUCT(('ANALYSE - ERP =&gt; SOUS-SEGMENT'!$C$8:$C$154=$C29)*'ANALYSE - ERP =&gt; SOUS-SEGMENT'!$Q$8:$Q$154*'ANALYSE - ERP =&gt; SOUS-SEGMENT'!$FK$8:$FK$154)</f>
        <v>3889.1911917857146</v>
      </c>
      <c r="FI29" s="292">
        <f>SUMPRODUCT(('ANALYSE - ERP =&gt; SOUS-SEGMENT'!$C$8:$C$154=$C29)*'ANALYSE - ERP =&gt; SOUS-SEGMENT'!$Q$8:$Q$154*'ANALYSE - ERP =&gt; SOUS-SEGMENT'!$FL$8:$FL$154)</f>
        <v>1228.932</v>
      </c>
      <c r="FJ29" s="657"/>
      <c r="FK29" s="319" t="s">
        <v>2649</v>
      </c>
      <c r="FL29" s="731">
        <f>IFERROR(SUMPRODUCT(('ANALYSE - ERP =&gt; SOUS-SEGMENT'!$C$8:$C$154=$C29)*'ANALYSE - ERP =&gt; SOUS-SEGMENT'!$Q$8:$Q$154*'ANALYSE - ERP =&gt; SOUS-SEGMENT'!$AF$8:$AF$154*'ANALYSE - ERP =&gt; SOUS-SEGMENT'!$FO$8:$FO$154)/SUMPRODUCT(('ANALYSE - ERP =&gt; SOUS-SEGMENT'!$C$8:$C$154=$C29)*'ANALYSE - ERP =&gt; SOUS-SEGMENT'!$Q$8:$Q$154*'ANALYSE - ERP =&gt; SOUS-SEGMENT'!$AF$8:$AF$154),"")</f>
        <v>4.4900000000000002E-2</v>
      </c>
      <c r="FM29" s="732">
        <f>IFERROR(SUMPRODUCT(('ANALYSE - ERP =&gt; SOUS-SEGMENT'!$C$8:$C$154=$C29)*'ANALYSE - ERP =&gt; SOUS-SEGMENT'!$Q$8:$Q$154*'ANALYSE - ERP =&gt; SOUS-SEGMENT'!$AF$8:$AF$154*'ANALYSE - ERP =&gt; SOUS-SEGMENT'!$FP$8:$FP$154)/SUMPRODUCT(('ANALYSE - ERP =&gt; SOUS-SEGMENT'!$C$8:$C$154=$C29)*'ANALYSE - ERP =&gt; SOUS-SEGMENT'!$Q$8:$Q$154*'ANALYSE - ERP =&gt; SOUS-SEGMENT'!$AF$8:$AF$154),"")</f>
        <v>0.75465000000000004</v>
      </c>
      <c r="FN29" s="320" t="s">
        <v>3807</v>
      </c>
      <c r="FO29" s="657"/>
      <c r="FP29" s="887">
        <f>IFERROR(SUMPRODUCT(('ANALYSE - ERP =&gt; SOUS-SEGMENT'!$C$8:$C$154=$C29)*'ANALYSE - ERP =&gt; SOUS-SEGMENT'!$Q$8:$Q$154*'ANALYSE - ERP =&gt; SOUS-SEGMENT'!$EX$8:$EX$154*'ANALYSE - ERP =&gt; SOUS-SEGMENT'!$FS$8:$FS$154)/SUMPRODUCT(('ANALYSE - ERP =&gt; SOUS-SEGMENT'!$C$8:$C$154=$C29)*'ANALYSE - ERP =&gt; SOUS-SEGMENT'!$Q$8:$Q$154*'ANALYSE - ERP =&gt; SOUS-SEGMENT'!$EX$8:$EX$154),"")</f>
        <v>2.92</v>
      </c>
      <c r="FQ29" s="295">
        <f>RANK($FP29,$FP$8:$FP$143,0)+COUNTIF($FP$8:$FP29,$FP29)-1</f>
        <v>30</v>
      </c>
      <c r="FR29" s="887">
        <f>IFERROR(SUMPRODUCT(('ANALYSE - ERP =&gt; SOUS-SEGMENT'!$C$8:$C$154=$C29)*'ANALYSE - ERP =&gt; SOUS-SEGMENT'!$Q$8:$Q$154*'ANALYSE - ERP =&gt; SOUS-SEGMENT'!$EY$8:$EY$154*'ANALYSE - ERP =&gt; SOUS-SEGMENT'!$FU$8:$FU$154)/SUMPRODUCT(('ANALYSE - ERP =&gt; SOUS-SEGMENT'!$C$8:$C$154=$C29)*'ANALYSE - ERP =&gt; SOUS-SEGMENT'!$Q$8:$Q$154*'ANALYSE - ERP =&gt; SOUS-SEGMENT'!$EY$8:$EY$154),"")</f>
        <v>3.59</v>
      </c>
      <c r="FS29" s="295">
        <f>RANK($FR29,$FR$8:$FR$143,0)+COUNTIF($FR$8:$FR29,$FR29)-1</f>
        <v>31</v>
      </c>
      <c r="FT29" s="887">
        <f>IFERROR(SUMPRODUCT(('ANALYSE - ERP =&gt; SOUS-SEGMENT'!$C$8:$C$154=$C29)*'ANALYSE - ERP =&gt; SOUS-SEGMENT'!$Q$8:$Q$154*'ANALYSE - ERP =&gt; SOUS-SEGMENT'!$EZ$8:$EZ$154*'ANALYSE - ERP =&gt; SOUS-SEGMENT'!$FW$8:$FW$154)/SUMPRODUCT(('ANALYSE - ERP =&gt; SOUS-SEGMENT'!$C$8:$C$154=$C29)*'ANALYSE - ERP =&gt; SOUS-SEGMENT'!$Q$8:$Q$154*'ANALYSE - ERP =&gt; SOUS-SEGMENT'!$EZ$8:$EZ$154),"")</f>
        <v>1.74</v>
      </c>
      <c r="FU29" s="295">
        <f>RANK($FT29,$FT$8:$FT$143,0)+COUNTIF($FT$8:$FT29,$FT29)-1</f>
        <v>31</v>
      </c>
      <c r="FV29" s="657"/>
      <c r="FW29" s="321" t="s">
        <v>7252</v>
      </c>
      <c r="FX29" s="321" t="s">
        <v>7253</v>
      </c>
      <c r="FY29" s="321" t="s">
        <v>7254</v>
      </c>
      <c r="FZ29" s="321" t="s">
        <v>7255</v>
      </c>
      <c r="GA29" s="321" t="s">
        <v>7256</v>
      </c>
      <c r="GB29" s="321" t="s">
        <v>7257</v>
      </c>
      <c r="GC29" s="321" t="s">
        <v>6759</v>
      </c>
      <c r="GD29" s="657"/>
      <c r="GE29" s="292">
        <f>SUMPRODUCT(('ANALYSE - ERP =&gt; SOUS-SEGMENT'!$C$8:$C$154=$C29)*'ANALYSE - ERP =&gt; SOUS-SEGMENT'!$Q$8:$Q$154*'ANALYSE - ERP =&gt; SOUS-SEGMENT'!$GH$8:$GH$154)</f>
        <v>1802.8688400000001</v>
      </c>
      <c r="GF29" s="292">
        <f>SUMPRODUCT(('ANALYSE - ERP =&gt; SOUS-SEGMENT'!$C$8:$C$154=$C29)*'ANALYSE - ERP =&gt; SOUS-SEGMENT'!$Q$8:$Q$154*'ANALYSE - ERP =&gt; SOUS-SEGMENT'!$GI$8:$GI$154)</f>
        <v>1421.8999200000001</v>
      </c>
      <c r="GG29" s="292">
        <f>SUMPRODUCT(('ANALYSE - ERP =&gt; SOUS-SEGMENT'!$C$8:$C$154=$C29)*'ANALYSE - ERP =&gt; SOUS-SEGMENT'!$Q$8:$Q$154*'ANALYSE - ERP =&gt; SOUS-SEGMENT'!$GJ$8:$GJ$154)</f>
        <v>380.96892000000003</v>
      </c>
      <c r="GH29" s="292">
        <f>SUMPRODUCT(('ANALYSE - ERP =&gt; SOUS-SEGMENT'!$C$8:$C$154=$C29)*'ANALYSE - ERP =&gt; SOUS-SEGMENT'!$Q$8:$Q$154*'ANALYSE - ERP =&gt; SOUS-SEGMENT'!$GK$8:$GK$154)</f>
        <v>2418.510034285714</v>
      </c>
      <c r="GI29" s="292">
        <f>SUMPRODUCT(('ANALYSE - ERP =&gt; SOUS-SEGMENT'!$C$8:$C$154=$C29)*'ANALYSE - ERP =&gt; SOUS-SEGMENT'!$Q$8:$Q$154*'ANALYSE - ERP =&gt; SOUS-SEGMENT'!$GL$8:$GL$154)</f>
        <v>1791.7547142857143</v>
      </c>
      <c r="GJ29" s="292">
        <f>SUMPRODUCT(('ANALYSE - ERP =&gt; SOUS-SEGMENT'!$C$8:$C$154=$C29)*'ANALYSE - ERP =&gt; SOUS-SEGMENT'!$Q$8:$Q$154*'ANALYSE - ERP =&gt; SOUS-SEGMENT'!$GM$8:$GM$154)</f>
        <v>626.75531999999998</v>
      </c>
      <c r="GK29" s="292">
        <f>SUMPRODUCT(('ANALYSE - ERP =&gt; SOUS-SEGMENT'!$C$8:$C$154=$C29)*'ANALYSE - ERP =&gt; SOUS-SEGMENT'!$Q$8:$Q$154*'ANALYSE - ERP =&gt; SOUS-SEGMENT'!$GN$8:$GN$154)</f>
        <v>746.47858499999995</v>
      </c>
      <c r="GL29" s="292">
        <f>SUMPRODUCT(('ANALYSE - ERP =&gt; SOUS-SEGMENT'!$C$8:$C$154=$C29)*'ANALYSE - ERP =&gt; SOUS-SEGMENT'!$Q$8:$Q$154*'ANALYSE - ERP =&gt; SOUS-SEGMENT'!$GO$8:$GO$154)</f>
        <v>562.13878499999998</v>
      </c>
      <c r="GM29" s="292">
        <f>SUMPRODUCT(('ANALYSE - ERP =&gt; SOUS-SEGMENT'!$C$8:$C$154=$C29)*'ANALYSE - ERP =&gt; SOUS-SEGMENT'!$Q$8:$Q$154*'ANALYSE - ERP =&gt; SOUS-SEGMENT'!$GP$8:$GP$154)</f>
        <v>184.3398</v>
      </c>
      <c r="GN29" s="292">
        <f>SUMPRODUCT(('ANALYSE - ERP =&gt; SOUS-SEGMENT'!$C$8:$C$154=$C29)*'ANALYSE - ERP =&gt; SOUS-SEGMENT'!$Q$8:$Q$154*'ANALYSE - ERP =&gt; SOUS-SEGMENT'!$GQ$8:$GQ$154)</f>
        <v>213.15420000000006</v>
      </c>
      <c r="GO29" s="292">
        <f>SUMPRODUCT(('ANALYSE - ERP =&gt; SOUS-SEGMENT'!$C$8:$C$154=$C29)*'ANALYSE - ERP =&gt; SOUS-SEGMENT'!$Q$8:$Q$154*'ANALYSE - ERP =&gt; SOUS-SEGMENT'!$GR$8:$GR$154)</f>
        <v>176.28624000000005</v>
      </c>
      <c r="GP29" s="292">
        <f>SUMPRODUCT(('ANALYSE - ERP =&gt; SOUS-SEGMENT'!$C$8:$C$154=$C29)*'ANALYSE - ERP =&gt; SOUS-SEGMENT'!$Q$8:$Q$154*'ANALYSE - ERP =&gt; SOUS-SEGMENT'!$GS$8:$GS$154)</f>
        <v>36.867959999999997</v>
      </c>
      <c r="GQ29" s="292">
        <f>SUMPRODUCT(('ANALYSE - ERP =&gt; SOUS-SEGMENT'!$C$8:$C$154=$C29)*'ANALYSE - ERP =&gt; SOUS-SEGMENT'!$Q$8:$Q$154*'ANALYSE - ERP =&gt; SOUS-SEGMENT'!$GT$8:$GT$154)</f>
        <v>0</v>
      </c>
      <c r="GR29" s="292">
        <f>SUMPRODUCT(('ANALYSE - ERP =&gt; SOUS-SEGMENT'!$C$8:$C$154=$C29)*'ANALYSE - ERP =&gt; SOUS-SEGMENT'!$Q$8:$Q$154*'ANALYSE - ERP =&gt; SOUS-SEGMENT'!$GU$8:$GU$154)</f>
        <v>0</v>
      </c>
      <c r="GS29" s="292">
        <f>SUMPRODUCT(('ANALYSE - ERP =&gt; SOUS-SEGMENT'!$C$8:$C$154=$C29)*'ANALYSE - ERP =&gt; SOUS-SEGMENT'!$Q$8:$Q$154*'ANALYSE - ERP =&gt; SOUS-SEGMENT'!$GV$8:$GV$154)</f>
        <v>0</v>
      </c>
      <c r="GT29" s="292">
        <f>SUMPRODUCT(('ANALYSE - ERP =&gt; SOUS-SEGMENT'!$C$8:$C$154=$C29)*'ANALYSE - ERP =&gt; SOUS-SEGMENT'!$Q$8:$Q$154*'ANALYSE - ERP =&gt; SOUS-SEGMENT'!$GW$8:$GW$154)</f>
        <v>0</v>
      </c>
      <c r="GU29" s="292">
        <f>SUMPRODUCT(('ANALYSE - ERP =&gt; SOUS-SEGMENT'!$C$8:$C$154=$C29)*'ANALYSE - ERP =&gt; SOUS-SEGMENT'!$Q$8:$Q$154*'ANALYSE - ERP =&gt; SOUS-SEGMENT'!$GX$8:$GX$154)</f>
        <v>0</v>
      </c>
      <c r="GV29" s="292">
        <f>SUMPRODUCT(('ANALYSE - ERP =&gt; SOUS-SEGMENT'!$C$8:$C$154=$C29)*'ANALYSE - ERP =&gt; SOUS-SEGMENT'!$Q$8:$Q$154*'ANALYSE - ERP =&gt; SOUS-SEGMENT'!$GY$8:$GY$154)</f>
        <v>0</v>
      </c>
      <c r="GW29" s="292">
        <f>SUMPRODUCT(('ANALYSE - ERP =&gt; SOUS-SEGMENT'!$C$8:$C$154=$C29)*'ANALYSE - ERP =&gt; SOUS-SEGMENT'!$Q$8:$Q$154*'ANALYSE - ERP =&gt; SOUS-SEGMENT'!$GZ$8:$GZ$154)</f>
        <v>0</v>
      </c>
      <c r="GX29" s="292">
        <f>SUMPRODUCT(('ANALYSE - ERP =&gt; SOUS-SEGMENT'!$C$8:$C$154=$C29)*'ANALYSE - ERP =&gt; SOUS-SEGMENT'!$Q$8:$Q$154*'ANALYSE - ERP =&gt; SOUS-SEGMENT'!$HA$8:$HA$154)</f>
        <v>0</v>
      </c>
      <c r="GY29" s="292">
        <f>SUMPRODUCT(('ANALYSE - ERP =&gt; SOUS-SEGMENT'!$C$8:$C$154=$C29)*'ANALYSE - ERP =&gt; SOUS-SEGMENT'!$Q$8:$Q$154*'ANALYSE - ERP =&gt; SOUS-SEGMENT'!$HB$8:$HB$154)</f>
        <v>0</v>
      </c>
      <c r="GZ29" s="292">
        <f>SUMPRODUCT(('ANALYSE - ERP =&gt; SOUS-SEGMENT'!$C$8:$C$154=$C29)*'ANALYSE - ERP =&gt; SOUS-SEGMENT'!$Q$8:$Q$154*'ANALYSE - ERP =&gt; SOUS-SEGMENT'!$HC$8:$HC$154)</f>
        <v>120.05483727272728</v>
      </c>
      <c r="HA29" s="292">
        <f>SUMPRODUCT(('ANALYSE - ERP =&gt; SOUS-SEGMENT'!$C$8:$C$154=$C29)*'ANALYSE - ERP =&gt; SOUS-SEGMENT'!$Q$8:$Q$154*'ANALYSE - ERP =&gt; SOUS-SEGMENT'!$HD$8:$HD$154)</f>
        <v>99.572637272727277</v>
      </c>
      <c r="HB29" s="292">
        <f>SUMPRODUCT(('ANALYSE - ERP =&gt; SOUS-SEGMENT'!$C$8:$C$154=$C29)*'ANALYSE - ERP =&gt; SOUS-SEGMENT'!$Q$8:$Q$154*'ANALYSE - ERP =&gt; SOUS-SEGMENT'!$HE$8:$HE$154)</f>
        <v>20.482200000000002</v>
      </c>
      <c r="HC29" s="292">
        <f>SUMPRODUCT(('ANALYSE - ERP =&gt; SOUS-SEGMENT'!$C$8:$C$154=$C29)*'ANALYSE - ERP =&gt; SOUS-SEGMENT'!$Q$8:$Q$154*'ANALYSE - ERP =&gt; SOUS-SEGMENT'!$HF$8:$HF$154)</f>
        <v>431.55450000000002</v>
      </c>
      <c r="HD29" s="292">
        <f>SUMPRODUCT(('ANALYSE - ERP =&gt; SOUS-SEGMENT'!$C$8:$C$154=$C29)*'ANALYSE - ERP =&gt; SOUS-SEGMENT'!$Q$8:$Q$154*'ANALYSE - ERP =&gt; SOUS-SEGMENT'!$HG$8:$HG$154)</f>
        <v>329.14350000000002</v>
      </c>
      <c r="HE29" s="292">
        <f>SUMPRODUCT(('ANALYSE - ERP =&gt; SOUS-SEGMENT'!$C$8:$C$154=$C29)*'ANALYSE - ERP =&gt; SOUS-SEGMENT'!$Q$8:$Q$154*'ANALYSE - ERP =&gt; SOUS-SEGMENT'!$HH$8:$HH$154)</f>
        <v>102.411</v>
      </c>
      <c r="HF29" s="292">
        <f>SUMPRODUCT(('ANALYSE - ERP =&gt; SOUS-SEGMENT'!$C$8:$C$154=$C29)*'ANALYSE - ERP =&gt; SOUS-SEGMENT'!$Q$8:$Q$154*'ANALYSE - ERP =&gt; SOUS-SEGMENT'!$HI$8:$HI$154)</f>
        <v>196.85376000000002</v>
      </c>
      <c r="HG29" s="292">
        <f>SUMPRODUCT(('ANALYSE - ERP =&gt; SOUS-SEGMENT'!$C$8:$C$154=$C29)*'ANALYSE - ERP =&gt; SOUS-SEGMENT'!$Q$8:$Q$154*'ANALYSE - ERP =&gt; SOUS-SEGMENT'!$HJ$8:$HJ$154)</f>
        <v>159.98580000000001</v>
      </c>
      <c r="HH29" s="292">
        <f>SUMPRODUCT(('ANALYSE - ERP =&gt; SOUS-SEGMENT'!$C$8:$C$154=$C29)*'ANALYSE - ERP =&gt; SOUS-SEGMENT'!$Q$8:$Q$154*'ANALYSE - ERP =&gt; SOUS-SEGMENT'!$HK$8:$HK$154)</f>
        <v>36.867959999999997</v>
      </c>
      <c r="HI29" s="292">
        <f>SUMPRODUCT(('ANALYSE - ERP =&gt; SOUS-SEGMENT'!$C$8:$C$154=$C29)*'ANALYSE - ERP =&gt; SOUS-SEGMENT'!$Q$8:$Q$154*'ANALYSE - ERP =&gt; SOUS-SEGMENT'!$HL$8:$HL$154)</f>
        <v>235.90839477272726</v>
      </c>
      <c r="HJ29" s="292">
        <f>SUMPRODUCT(('ANALYSE - ERP =&gt; SOUS-SEGMENT'!$C$8:$C$154=$C29)*'ANALYSE - ERP =&gt; SOUS-SEGMENT'!$Q$8:$Q$154*'ANALYSE - ERP =&gt; SOUS-SEGMENT'!$HM$8:$HM$154)</f>
        <v>190.84755477272728</v>
      </c>
      <c r="HK29" s="292">
        <f>SUMPRODUCT(('ANALYSE - ERP =&gt; SOUS-SEGMENT'!$C$8:$C$154=$C29)*'ANALYSE - ERP =&gt; SOUS-SEGMENT'!$Q$8:$Q$154*'ANALYSE - ERP =&gt; SOUS-SEGMENT'!$HN$8:$HN$154)</f>
        <v>45.060839999999999</v>
      </c>
      <c r="HL29" s="292">
        <f>SUMPRODUCT(('ANALYSE - ERP =&gt; SOUS-SEGMENT'!$C$8:$C$154=$C29)*'ANALYSE - ERP =&gt; SOUS-SEGMENT'!$Q$8:$Q$154*'ANALYSE - ERP =&gt; SOUS-SEGMENT'!$HO$8:$HO$154)</f>
        <v>2548.5282257142858</v>
      </c>
      <c r="HM29" s="292">
        <f>SUMPRODUCT(('ANALYSE - ERP =&gt; SOUS-SEGMENT'!$C$8:$C$154=$C29)*'ANALYSE - ERP =&gt; SOUS-SEGMENT'!$Q$8:$Q$154*'ANALYSE - ERP =&gt; SOUS-SEGMENT'!$HP$8:$HP$154)</f>
        <v>1970.9301857142859</v>
      </c>
      <c r="HN29" s="292">
        <f>SUMPRODUCT(('ANALYSE - ERP =&gt; SOUS-SEGMENT'!$C$8:$C$154=$C29)*'ANALYSE - ERP =&gt; SOUS-SEGMENT'!$Q$8:$Q$154*'ANALYSE - ERP =&gt; SOUS-SEGMENT'!$HQ$8:$HQ$154)</f>
        <v>577.59803999999997</v>
      </c>
      <c r="HO29" s="292">
        <f>SUMPRODUCT(('ANALYSE - ERP =&gt; SOUS-SEGMENT'!$C$8:$C$154=$C29)*'ANALYSE - ERP =&gt; SOUS-SEGMENT'!$Q$8:$Q$154*'ANALYSE - ERP =&gt; SOUS-SEGMENT'!$HR$8:$HR$154)</f>
        <v>1480.6003885714288</v>
      </c>
      <c r="HP29" s="292">
        <f>SUMPRODUCT(('ANALYSE - ERP =&gt; SOUS-SEGMENT'!$C$8:$C$154=$C29)*'ANALYSE - ERP =&gt; SOUS-SEGMENT'!$Q$8:$Q$154*'ANALYSE - ERP =&gt; SOUS-SEGMENT'!$HS$8:$HS$154)</f>
        <v>1075.0528285714288</v>
      </c>
      <c r="HQ29" s="292">
        <f>SUMPRODUCT(('ANALYSE - ERP =&gt; SOUS-SEGMENT'!$C$8:$C$154=$C29)*'ANALYSE - ERP =&gt; SOUS-SEGMENT'!$Q$8:$Q$154*'ANALYSE - ERP =&gt; SOUS-SEGMENT'!$HT$8:$HT$154)</f>
        <v>405.54756000000003</v>
      </c>
      <c r="HR29" s="292">
        <f>SUMPRODUCT(('ANALYSE - ERP =&gt; SOUS-SEGMENT'!$C$8:$C$154=$C29)*'ANALYSE - ERP =&gt; SOUS-SEGMENT'!$Q$8:$Q$154*'ANALYSE - ERP =&gt; SOUS-SEGMENT'!$HU$8:$HU$154)</f>
        <v>1088.9945775000001</v>
      </c>
      <c r="HS29" s="292">
        <f>SUMPRODUCT(('ANALYSE - ERP =&gt; SOUS-SEGMENT'!$C$8:$C$154=$C29)*'ANALYSE - ERP =&gt; SOUS-SEGMENT'!$Q$8:$Q$154*'ANALYSE - ERP =&gt; SOUS-SEGMENT'!$HV$8:$HV$154)</f>
        <v>843.20817750000003</v>
      </c>
      <c r="HT29" s="292">
        <f>SUMPRODUCT(('ANALYSE - ERP =&gt; SOUS-SEGMENT'!$C$8:$C$154=$C29)*'ANALYSE - ERP =&gt; SOUS-SEGMENT'!$Q$8:$Q$154*'ANALYSE - ERP =&gt; SOUS-SEGMENT'!$HW$8:$HW$154)</f>
        <v>245.78640000000001</v>
      </c>
      <c r="HV29" s="297">
        <f t="shared" si="40"/>
        <v>1186560.3759999999</v>
      </c>
      <c r="HW29" s="297">
        <f>SUMPRODUCT(('ANALYSE - ERP =&gt; SOUS-SEGMENT'!$C$8:$C$154=$C29)*'ANALYSE - ERP =&gt; SOUS-SEGMENT'!$Q$8:$Q$154*'ANALYSE - ERP =&gt; SOUS-SEGMENT'!$HZ$8:$HZ$154)</f>
        <v>3875.8760000000002</v>
      </c>
      <c r="HX29" s="297">
        <f>SUMPRODUCT(('ANALYSE - ERP =&gt; SOUS-SEGMENT'!$C$8:$C$154=$C29)*'ANALYSE - ERP =&gt; SOUS-SEGMENT'!$Q$8:$Q$154*'ANALYSE - ERP =&gt; SOUS-SEGMENT'!$IA$8:$IA$154)</f>
        <v>19543.121999999999</v>
      </c>
      <c r="HY29" s="297">
        <f>SUMPRODUCT(('ANALYSE - ERP =&gt; SOUS-SEGMENT'!$C$8:$C$154=$C29)*'ANALYSE - ERP =&gt; SOUS-SEGMENT'!$Q$8:$Q$154*'ANALYSE - ERP =&gt; SOUS-SEGMENT'!$IB$8:$IB$154)</f>
        <v>11776.358</v>
      </c>
      <c r="HZ29" s="297">
        <f>SUMPRODUCT(('ANALYSE - ERP =&gt; SOUS-SEGMENT'!$C$8:$C$154=$C29)*'ANALYSE - ERP =&gt; SOUS-SEGMENT'!$Q$8:$Q$154*'ANALYSE - ERP =&gt; SOUS-SEGMENT'!$IC$8:$IC$154)</f>
        <v>944.64400000000001</v>
      </c>
      <c r="IA29" s="297">
        <f>SUMPRODUCT(('ANALYSE - ERP =&gt; SOUS-SEGMENT'!$C$8:$C$154=$C29)*'ANALYSE - ERP =&gt; SOUS-SEGMENT'!$Q$8:$Q$154*'ANALYSE - ERP =&gt; SOUS-SEGMENT'!$ID$8:$ID$154)</f>
        <v>0</v>
      </c>
      <c r="IB29" s="297">
        <f>SUMPRODUCT(('ANALYSE - ERP =&gt; SOUS-SEGMENT'!$C$8:$C$154=$C29)*'ANALYSE - ERP =&gt; SOUS-SEGMENT'!$Q$8:$Q$154*'ANALYSE - ERP =&gt; SOUS-SEGMENT'!$IE$8:$IE$154)</f>
        <v>8620.820343116884</v>
      </c>
      <c r="IC29" s="297">
        <f>SUMPRODUCT(('ANALYSE - ERP =&gt; SOUS-SEGMENT'!$C$8:$C$154=$C29)*'ANALYSE - ERP =&gt; SOUS-SEGMENT'!$Q$8:$Q$154*'ANALYSE - ERP =&gt; SOUS-SEGMENT'!$IF$8:$IF$154)</f>
        <v>789.7947268503508</v>
      </c>
      <c r="ID29" s="297">
        <f>SUMPRODUCT(('ANALYSE - ERP =&gt; SOUS-SEGMENT'!$C$8:$C$154=$C29)*'ANALYSE - ERP =&gt; SOUS-SEGMENT'!$Q$8:$Q$154*'ANALYSE - ERP =&gt; SOUS-SEGMENT'!$IG$8:$IG$154)</f>
        <v>4499.2888579646005</v>
      </c>
      <c r="IE29" s="297">
        <f>SUMPRODUCT(('ANALYSE - ERP =&gt; SOUS-SEGMENT'!$C$8:$C$154=$C29)*'ANALYSE - ERP =&gt; SOUS-SEGMENT'!$Q$8:$Q$154*'ANALYSE - ERP =&gt; SOUS-SEGMENT'!$IH$8:$IH$154)</f>
        <v>2936.5142471505005</v>
      </c>
      <c r="IF29" s="297">
        <f>SUMPRODUCT(('ANALYSE - ERP =&gt; SOUS-SEGMENT'!$C$8:$C$154=$C29)*'ANALYSE - ERP =&gt; SOUS-SEGMENT'!$Q$8:$Q$154*'ANALYSE - ERP =&gt; SOUS-SEGMENT'!$II$8:$II$154)</f>
        <v>364.18755791621106</v>
      </c>
      <c r="IG29" s="297">
        <f>SUMPRODUCT(('ANALYSE - ERP =&gt; SOUS-SEGMENT'!$C$8:$C$154=$C29)*'ANALYSE - ERP =&gt; SOUS-SEGMENT'!$Q$8:$Q$154*'ANALYSE - ERP =&gt; SOUS-SEGMENT'!$IJ$8:$IJ$154)</f>
        <v>31.03495323522078</v>
      </c>
      <c r="IH29" s="888"/>
      <c r="II29" s="298" t="s">
        <v>2780</v>
      </c>
      <c r="IJ29" s="322" t="s">
        <v>6760</v>
      </c>
      <c r="IK29" s="657"/>
      <c r="IL29" s="747">
        <f>IFERROR(SUMPRODUCT(('ANALYSE - ERP =&gt; SOUS-SEGMENT'!$C$8:$C$154=$C29)*'ANALYSE - ERP =&gt; SOUS-SEGMENT'!$Q$8:$Q$154*'ANALYSE - ERP =&gt; SOUS-SEGMENT'!$BE$8:$BE$154*'ANALYSE - ERP =&gt; SOUS-SEGMENT'!$IO$8:$IO$154)/SUMPRODUCT(('ANALYSE - ERP =&gt; SOUS-SEGMENT'!$C$8:$C$154=$C29)*'ANALYSE - ERP =&gt; SOUS-SEGMENT'!$Q$8:$Q$154*'ANALYSE - ERP =&gt; SOUS-SEGMENT'!$BE$8:$BE$154),0)</f>
        <v>0.1</v>
      </c>
      <c r="IM29" s="748">
        <f>IFERROR(SUMPRODUCT(('ANALYSE - ERP =&gt; SOUS-SEGMENT'!$C$8:$C$154=$C29)*'ANALYSE - ERP =&gt; SOUS-SEGMENT'!$Q$8:$Q$154*'ANALYSE - ERP =&gt; SOUS-SEGMENT'!$BE$8:$BE$154*'ANALYSE - ERP =&gt; SOUS-SEGMENT'!$IP$8:$IP$154)/SUMPRODUCT(('ANALYSE - ERP =&gt; SOUS-SEGMENT'!$C$8:$C$154=$C29)*'ANALYSE - ERP =&gt; SOUS-SEGMENT'!$Q$8:$Q$154*'ANALYSE - ERP =&gt; SOUS-SEGMENT'!$BE$8:$BE$154),0)</f>
        <v>0.53</v>
      </c>
      <c r="IN29" s="748">
        <f>IFERROR(SUMPRODUCT(('ANALYSE - ERP =&gt; SOUS-SEGMENT'!$C$8:$C$154=$C29)*'ANALYSE - ERP =&gt; SOUS-SEGMENT'!$Q$8:$Q$154*'ANALYSE - ERP =&gt; SOUS-SEGMENT'!$BE$8:$BE$154*'ANALYSE - ERP =&gt; SOUS-SEGMENT'!$IQ$8:$IQ$154)/SUMPRODUCT(('ANALYSE - ERP =&gt; SOUS-SEGMENT'!$C$8:$C$154=$C29)*'ANALYSE - ERP =&gt; SOUS-SEGMENT'!$Q$8:$Q$154*'ANALYSE - ERP =&gt; SOUS-SEGMENT'!$BE$8:$BE$154),0)</f>
        <v>0.34</v>
      </c>
      <c r="IO29" s="748">
        <f>IFERROR(SUMPRODUCT(('ANALYSE - ERP =&gt; SOUS-SEGMENT'!$C$8:$C$154=$C29)*'ANALYSE - ERP =&gt; SOUS-SEGMENT'!$Q$8:$Q$154*'ANALYSE - ERP =&gt; SOUS-SEGMENT'!$BE$8:$BE$154*'ANALYSE - ERP =&gt; SOUS-SEGMENT'!$IR$8:$IR$154)/SUMPRODUCT(('ANALYSE - ERP =&gt; SOUS-SEGMENT'!$C$8:$C$154=$C29)*'ANALYSE - ERP =&gt; SOUS-SEGMENT'!$Q$8:$Q$154*'ANALYSE - ERP =&gt; SOUS-SEGMENT'!$BE$8:$BE$154),0)</f>
        <v>0.03</v>
      </c>
      <c r="IP29" s="749">
        <f>IFERROR(SUMPRODUCT(('ANALYSE - ERP =&gt; SOUS-SEGMENT'!$C$8:$C$154=$C29)*'ANALYSE - ERP =&gt; SOUS-SEGMENT'!$Q$8:$Q$154*'ANALYSE - ERP =&gt; SOUS-SEGMENT'!$BE$8:$BE$154*'ANALYSE - ERP =&gt; SOUS-SEGMENT'!$IS$8:$IS$154)/SUMPRODUCT(('ANALYSE - ERP =&gt; SOUS-SEGMENT'!$C$8:$C$154=$C29)*'ANALYSE - ERP =&gt; SOUS-SEGMENT'!$Q$8:$Q$154*'ANALYSE - ERP =&gt; SOUS-SEGMENT'!$BE$8:$BE$154),0)</f>
        <v>0</v>
      </c>
      <c r="IQ29" s="748">
        <f>IFERROR(SUMPRODUCT(('ANALYSE - ERP =&gt; SOUS-SEGMENT'!$C$8:$C$154=$C29)*'ANALYSE - ERP =&gt; SOUS-SEGMENT'!$Q$8:$Q$154*'ANALYSE - ERP =&gt; SOUS-SEGMENT'!$FB$8:$FB$154*'ANALYSE - ERP =&gt; SOUS-SEGMENT'!$IT$8:$IT$154)/SUMPRODUCT(('ANALYSE - ERP =&gt; SOUS-SEGMENT'!$C$8:$C$154=$C29)*'ANALYSE - ERP =&gt; SOUS-SEGMENT'!$Q$8:$Q$154*'ANALYSE - ERP =&gt; SOUS-SEGMENT'!$FB$8:$FB$154),0)</f>
        <v>8.3699999999999997E-2</v>
      </c>
      <c r="IR29" s="748">
        <f>IFERROR(SUMPRODUCT(('ANALYSE - ERP =&gt; SOUS-SEGMENT'!$C$8:$C$154=$C29)*'ANALYSE - ERP =&gt; SOUS-SEGMENT'!$Q$8:$Q$154*'ANALYSE - ERP =&gt; SOUS-SEGMENT'!$FB$8:$FB$154*'ANALYSE - ERP =&gt; SOUS-SEGMENT'!$IU$8:$IU$154)/SUMPRODUCT(('ANALYSE - ERP =&gt; SOUS-SEGMENT'!$C$8:$C$154=$C29)*'ANALYSE - ERP =&gt; SOUS-SEGMENT'!$Q$8:$Q$154*'ANALYSE - ERP =&gt; SOUS-SEGMENT'!$FB$8:$FB$154),0)</f>
        <v>0.5101</v>
      </c>
      <c r="IS29" s="748">
        <f>IFERROR(SUMPRODUCT(('ANALYSE - ERP =&gt; SOUS-SEGMENT'!$C$8:$C$154=$C29)*'ANALYSE - ERP =&gt; SOUS-SEGMENT'!$Q$8:$Q$154*'ANALYSE - ERP =&gt; SOUS-SEGMENT'!$FB$8:$FB$154*'ANALYSE - ERP =&gt; SOUS-SEGMENT'!$IV$8:$IV$154)/SUMPRODUCT(('ANALYSE - ERP =&gt; SOUS-SEGMENT'!$C$8:$C$154=$C29)*'ANALYSE - ERP =&gt; SOUS-SEGMENT'!$Q$8:$Q$154*'ANALYSE - ERP =&gt; SOUS-SEGMENT'!$FB$8:$FB$154),0)</f>
        <v>0.35630000000000006</v>
      </c>
      <c r="IT29" s="748">
        <f>IFERROR(SUMPRODUCT(('ANALYSE - ERP =&gt; SOUS-SEGMENT'!$C$8:$C$154=$C29)*'ANALYSE - ERP =&gt; SOUS-SEGMENT'!$Q$8:$Q$154*'ANALYSE - ERP =&gt; SOUS-SEGMENT'!$FB$8:$FB$154*'ANALYSE - ERP =&gt; SOUS-SEGMENT'!$IW$8:$IW$154)/SUMPRODUCT(('ANALYSE - ERP =&gt; SOUS-SEGMENT'!$C$8:$C$154=$C29)*'ANALYSE - ERP =&gt; SOUS-SEGMENT'!$Q$8:$Q$154*'ANALYSE - ERP =&gt; SOUS-SEGMENT'!$FB$8:$FB$154),0)</f>
        <v>4.6300000000000001E-2</v>
      </c>
      <c r="IU29" s="748">
        <f>IFERROR(SUMPRODUCT(('ANALYSE - ERP =&gt; SOUS-SEGMENT'!$C$8:$C$154=$C29)*'ANALYSE - ERP =&gt; SOUS-SEGMENT'!$Q$8:$Q$154*'ANALYSE - ERP =&gt; SOUS-SEGMENT'!$FB$8:$FB$154*'ANALYSE - ERP =&gt; SOUS-SEGMENT'!$IX$8:$IX$154)/SUMPRODUCT(('ANALYSE - ERP =&gt; SOUS-SEGMENT'!$C$8:$C$154=$C29)*'ANALYSE - ERP =&gt; SOUS-SEGMENT'!$Q$8:$Q$154*'ANALYSE - ERP =&gt; SOUS-SEGMENT'!$FB$8:$FB$154),0)</f>
        <v>3.5999999999999999E-3</v>
      </c>
      <c r="IV29" s="772">
        <f>IFERROR(SUMPRODUCT(('ANALYSE - ERP =&gt; SOUS-SEGMENT'!$C$8:$C$154=$C29)*'ANALYSE - ERP =&gt; SOUS-SEGMENT'!$Q$8:$Q$154*'ANALYSE - ERP =&gt; SOUS-SEGMENT'!$BF$8:$BF$154*'ANALYSE - ERP =&gt; SOUS-SEGMENT'!$IY$8:$IY$154)/SUMPRODUCT(('ANALYSE - ERP =&gt; SOUS-SEGMENT'!$C$8:$C$154=$C29)*'ANALYSE - ERP =&gt; SOUS-SEGMENT'!$Q$8:$Q$154*'ANALYSE - ERP =&gt; SOUS-SEGMENT'!$BF$8:$BF$154),0)</f>
        <v>0</v>
      </c>
      <c r="IW29" s="773">
        <f>IFERROR(SUMPRODUCT(('ANALYSE - ERP =&gt; SOUS-SEGMENT'!$C$8:$C$154=$C29)*'ANALYSE - ERP =&gt; SOUS-SEGMENT'!$Q$8:$Q$154*'ANALYSE - ERP =&gt; SOUS-SEGMENT'!$BF$8:$BF$154*'ANALYSE - ERP =&gt; SOUS-SEGMENT'!$IZ$8:$IZ$154)/SUMPRODUCT(('ANALYSE - ERP =&gt; SOUS-SEGMENT'!$C$8:$C$154=$C29)*'ANALYSE - ERP =&gt; SOUS-SEGMENT'!$Q$8:$Q$154*'ANALYSE - ERP =&gt; SOUS-SEGMENT'!$BF$8:$BF$154),0)</f>
        <v>0</v>
      </c>
      <c r="IX29" s="773">
        <f>IFERROR(SUMPRODUCT(('ANALYSE - ERP =&gt; SOUS-SEGMENT'!$C$8:$C$154=$C29)*'ANALYSE - ERP =&gt; SOUS-SEGMENT'!$Q$8:$Q$154*'ANALYSE - ERP =&gt; SOUS-SEGMENT'!$BF$8:$BF$154*'ANALYSE - ERP =&gt; SOUS-SEGMENT'!$JA$8:$JA$154)/SUMPRODUCT(('ANALYSE - ERP =&gt; SOUS-SEGMENT'!$C$8:$C$154=$C29)*'ANALYSE - ERP =&gt; SOUS-SEGMENT'!$Q$8:$Q$154*'ANALYSE - ERP =&gt; SOUS-SEGMENT'!$BF$8:$BF$154),0)</f>
        <v>0</v>
      </c>
      <c r="IY29" s="773">
        <f>IFERROR(SUMPRODUCT(('ANALYSE - ERP =&gt; SOUS-SEGMENT'!$C$8:$C$154=$C29)*'ANALYSE - ERP =&gt; SOUS-SEGMENT'!$Q$8:$Q$154*'ANALYSE - ERP =&gt; SOUS-SEGMENT'!$BF$8:$BF$154*'ANALYSE - ERP =&gt; SOUS-SEGMENT'!$JB$8:$JB$154)/SUMPRODUCT(('ANALYSE - ERP =&gt; SOUS-SEGMENT'!$C$8:$C$154=$C29)*'ANALYSE - ERP =&gt; SOUS-SEGMENT'!$Q$8:$Q$154*'ANALYSE - ERP =&gt; SOUS-SEGMENT'!$BF$8:$BF$154),0)</f>
        <v>0</v>
      </c>
      <c r="IZ29" s="774">
        <f>IFERROR(SUMPRODUCT(('ANALYSE - ERP =&gt; SOUS-SEGMENT'!$C$8:$C$154=$C29)*'ANALYSE - ERP =&gt; SOUS-SEGMENT'!$Q$8:$Q$154*'ANALYSE - ERP =&gt; SOUS-SEGMENT'!$BF$8:$BF$154*'ANALYSE - ERP =&gt; SOUS-SEGMENT'!$JC$8:$JC$154)/SUMPRODUCT(('ANALYSE - ERP =&gt; SOUS-SEGMENT'!$C$8:$C$154=$C29)*'ANALYSE - ERP =&gt; SOUS-SEGMENT'!$Q$8:$Q$154*'ANALYSE - ERP =&gt; SOUS-SEGMENT'!$BF$8:$BF$154),0)</f>
        <v>0</v>
      </c>
      <c r="JA29" s="773">
        <f>IFERROR(SUMPRODUCT(('ANALYSE - ERP =&gt; SOUS-SEGMENT'!$C$8:$C$154=$C29)*'ANALYSE - ERP =&gt; SOUS-SEGMENT'!$Q$8:$Q$154*'ANALYSE - ERP =&gt; SOUS-SEGMENT'!$FE$8:$FE$154*'ANALYSE - ERP =&gt; SOUS-SEGMENT'!$JD$8:$JD$154)/SUMPRODUCT(('ANALYSE - ERP =&gt; SOUS-SEGMENT'!$C$8:$C$154=$C29)*'ANALYSE - ERP =&gt; SOUS-SEGMENT'!$Q$8:$Q$154*'ANALYSE - ERP =&gt; SOUS-SEGMENT'!$FE$8:$FE$154),0)</f>
        <v>0</v>
      </c>
      <c r="JB29" s="773">
        <f>IFERROR(SUMPRODUCT(('ANALYSE - ERP =&gt; SOUS-SEGMENT'!$C$8:$C$154=$C29)*'ANALYSE - ERP =&gt; SOUS-SEGMENT'!$Q$8:$Q$154*'ANALYSE - ERP =&gt; SOUS-SEGMENT'!$FE$8:$FE$154*'ANALYSE - ERP =&gt; SOUS-SEGMENT'!$JE$8:$JE$154)/SUMPRODUCT(('ANALYSE - ERP =&gt; SOUS-SEGMENT'!$C$8:$C$154=$C29)*'ANALYSE - ERP =&gt; SOUS-SEGMENT'!$Q$8:$Q$154*'ANALYSE - ERP =&gt; SOUS-SEGMENT'!$FE$8:$FE$154),0)</f>
        <v>0</v>
      </c>
      <c r="JC29" s="773">
        <f>IFERROR(SUMPRODUCT(('ANALYSE - ERP =&gt; SOUS-SEGMENT'!$C$8:$C$154=$C29)*'ANALYSE - ERP =&gt; SOUS-SEGMENT'!$Q$8:$Q$154*'ANALYSE - ERP =&gt; SOUS-SEGMENT'!$FE$8:$FE$154*'ANALYSE - ERP =&gt; SOUS-SEGMENT'!$JF$8:$JF$154)/SUMPRODUCT(('ANALYSE - ERP =&gt; SOUS-SEGMENT'!$C$8:$C$154=$C29)*'ANALYSE - ERP =&gt; SOUS-SEGMENT'!$Q$8:$Q$154*'ANALYSE - ERP =&gt; SOUS-SEGMENT'!$FE$8:$FE$154),0)</f>
        <v>0</v>
      </c>
      <c r="JD29" s="773">
        <f>IFERROR(SUMPRODUCT(('ANALYSE - ERP =&gt; SOUS-SEGMENT'!$C$8:$C$154=$C29)*'ANALYSE - ERP =&gt; SOUS-SEGMENT'!$Q$8:$Q$154*'ANALYSE - ERP =&gt; SOUS-SEGMENT'!$FE$8:$FE$154*'ANALYSE - ERP =&gt; SOUS-SEGMENT'!$JG$8:$JG$154)/SUMPRODUCT(('ANALYSE - ERP =&gt; SOUS-SEGMENT'!$C$8:$C$154=$C29)*'ANALYSE - ERP =&gt; SOUS-SEGMENT'!$Q$8:$Q$154*'ANALYSE - ERP =&gt; SOUS-SEGMENT'!$FE$8:$FE$154),0)</f>
        <v>0</v>
      </c>
      <c r="JE29" s="773">
        <f>IFERROR(SUMPRODUCT(('ANALYSE - ERP =&gt; SOUS-SEGMENT'!$C$8:$C$154=$C29)*'ANALYSE - ERP =&gt; SOUS-SEGMENT'!$Q$8:$Q$154*'ANALYSE - ERP =&gt; SOUS-SEGMENT'!$FE$8:$FE$154*'ANALYSE - ERP =&gt; SOUS-SEGMENT'!$JH$8:$JH$154)/SUMPRODUCT(('ANALYSE - ERP =&gt; SOUS-SEGMENT'!$C$8:$C$154=$C29)*'ANALYSE - ERP =&gt; SOUS-SEGMENT'!$Q$8:$Q$154*'ANALYSE - ERP =&gt; SOUS-SEGMENT'!$FE$8:$FE$154),0)</f>
        <v>0</v>
      </c>
      <c r="JF29" s="771">
        <f>IFERROR(SUMPRODUCT(('ANALYSE - ERP =&gt; SOUS-SEGMENT'!$C$8:$C$154=$C29)*'ANALYSE - ERP =&gt; SOUS-SEGMENT'!$Q$8:$Q$154*'ANALYSE - ERP =&gt; SOUS-SEGMENT'!$BG$8:$BG$154*'ANALYSE - ERP =&gt; SOUS-SEGMENT'!$JI$8:$JI$154)/SUMPRODUCT(('ANALYSE - ERP =&gt; SOUS-SEGMENT'!$C$8:$C$154=$C29)*'ANALYSE - ERP =&gt; SOUS-SEGMENT'!$Q$8:$Q$154*'ANALYSE - ERP =&gt; SOUS-SEGMENT'!$BG$8:$BG$154),0)</f>
        <v>0.15459999999999999</v>
      </c>
      <c r="JG29" s="748">
        <f>IFERROR(SUMPRODUCT(('ANALYSE - ERP =&gt; SOUS-SEGMENT'!$C$8:$C$154=$C29)*'ANALYSE - ERP =&gt; SOUS-SEGMENT'!$Q$8:$Q$154*'ANALYSE - ERP =&gt; SOUS-SEGMENT'!$BG$8:$BG$154*'ANALYSE - ERP =&gt; SOUS-SEGMENT'!$JJ$8:$JJ$154)/SUMPRODUCT(('ANALYSE - ERP =&gt; SOUS-SEGMENT'!$C$8:$C$154=$C29)*'ANALYSE - ERP =&gt; SOUS-SEGMENT'!$Q$8:$Q$154*'ANALYSE - ERP =&gt; SOUS-SEGMENT'!$BG$8:$BG$154),0)</f>
        <v>0.61470000000000002</v>
      </c>
      <c r="JH29" s="748">
        <f>IFERROR(SUMPRODUCT(('ANALYSE - ERP =&gt; SOUS-SEGMENT'!$C$8:$C$154=$C29)*'ANALYSE - ERP =&gt; SOUS-SEGMENT'!$Q$8:$Q$154*'ANALYSE - ERP =&gt; SOUS-SEGMENT'!$BG$8:$BG$154*'ANALYSE - ERP =&gt; SOUS-SEGMENT'!$JK$8:$JK$154)/SUMPRODUCT(('ANALYSE - ERP =&gt; SOUS-SEGMENT'!$C$8:$C$154=$C29)*'ANALYSE - ERP =&gt; SOUS-SEGMENT'!$Q$8:$Q$154*'ANALYSE - ERP =&gt; SOUS-SEGMENT'!$BG$8:$BG$154),0)</f>
        <v>0.21909999999999999</v>
      </c>
      <c r="JI29" s="748">
        <f>IFERROR(SUMPRODUCT(('ANALYSE - ERP =&gt; SOUS-SEGMENT'!$C$8:$C$154=$C29)*'ANALYSE - ERP =&gt; SOUS-SEGMENT'!$Q$8:$Q$154*'ANALYSE - ERP =&gt; SOUS-SEGMENT'!$BG$8:$BG$154*'ANALYSE - ERP =&gt; SOUS-SEGMENT'!$JL$8:$JL$154)/SUMPRODUCT(('ANALYSE - ERP =&gt; SOUS-SEGMENT'!$C$8:$C$154=$C29)*'ANALYSE - ERP =&gt; SOUS-SEGMENT'!$Q$8:$Q$154*'ANALYSE - ERP =&gt; SOUS-SEGMENT'!$BG$8:$BG$154),0)</f>
        <v>1.1599999999999999E-2</v>
      </c>
      <c r="JJ29" s="749">
        <f>IFERROR(SUMPRODUCT(('ANALYSE - ERP =&gt; SOUS-SEGMENT'!$C$8:$C$154=$C29)*'ANALYSE - ERP =&gt; SOUS-SEGMENT'!$Q$8:$Q$154*'ANALYSE - ERP =&gt; SOUS-SEGMENT'!$BG$8:$BG$154*'ANALYSE - ERP =&gt; SOUS-SEGMENT'!$JM$8:$JM$154)/SUMPRODUCT(('ANALYSE - ERP =&gt; SOUS-SEGMENT'!$C$8:$C$154=$C29)*'ANALYSE - ERP =&gt; SOUS-SEGMENT'!$Q$8:$Q$154*'ANALYSE - ERP =&gt; SOUS-SEGMENT'!$BG$8:$BG$154),0)</f>
        <v>0</v>
      </c>
      <c r="JK29" s="748">
        <f>IFERROR(SUMPRODUCT(('ANALYSE - ERP =&gt; SOUS-SEGMENT'!$C$8:$C$154=$C29)*'ANALYSE - ERP =&gt; SOUS-SEGMENT'!$Q$8:$Q$154*'ANALYSE - ERP =&gt; SOUS-SEGMENT'!$FH$8:$FH$154*'ANALYSE - ERP =&gt; SOUS-SEGMENT'!$JN$8:$JN$154)/SUMPRODUCT(('ANALYSE - ERP =&gt; SOUS-SEGMENT'!$C$8:$C$154=$C29)*'ANALYSE - ERP =&gt; SOUS-SEGMENT'!$Q$8:$Q$154*'ANALYSE - ERP =&gt; SOUS-SEGMENT'!$FH$8:$FH$154),0)</f>
        <v>0.13830000000000001</v>
      </c>
      <c r="JL29" s="748">
        <f>IFERROR(SUMPRODUCT(('ANALYSE - ERP =&gt; SOUS-SEGMENT'!$C$8:$C$154=$C29)*'ANALYSE - ERP =&gt; SOUS-SEGMENT'!$Q$8:$Q$154*'ANALYSE - ERP =&gt; SOUS-SEGMENT'!$FH$8:$FH$154*'ANALYSE - ERP =&gt; SOUS-SEGMENT'!$JO$8:$JO$154)/SUMPRODUCT(('ANALYSE - ERP =&gt; SOUS-SEGMENT'!$C$8:$C$154=$C29)*'ANALYSE - ERP =&gt; SOUS-SEGMENT'!$Q$8:$Q$154*'ANALYSE - ERP =&gt; SOUS-SEGMENT'!$FH$8:$FH$154),0)</f>
        <v>0.5948</v>
      </c>
      <c r="JM29" s="748">
        <f>IFERROR(SUMPRODUCT(('ANALYSE - ERP =&gt; SOUS-SEGMENT'!$C$8:$C$154=$C29)*'ANALYSE - ERP =&gt; SOUS-SEGMENT'!$Q$8:$Q$154*'ANALYSE - ERP =&gt; SOUS-SEGMENT'!$FH$8:$FH$154*'ANALYSE - ERP =&gt; SOUS-SEGMENT'!$JP$8:$JP$154)/SUMPRODUCT(('ANALYSE - ERP =&gt; SOUS-SEGMENT'!$C$8:$C$154=$C29)*'ANALYSE - ERP =&gt; SOUS-SEGMENT'!$Q$8:$Q$154*'ANALYSE - ERP =&gt; SOUS-SEGMENT'!$FH$8:$FH$154),0)</f>
        <v>0.2354</v>
      </c>
      <c r="JN29" s="748">
        <f>IFERROR(SUMPRODUCT(('ANALYSE - ERP =&gt; SOUS-SEGMENT'!$C$8:$C$154=$C29)*'ANALYSE - ERP =&gt; SOUS-SEGMENT'!$Q$8:$Q$154*'ANALYSE - ERP =&gt; SOUS-SEGMENT'!$FH$8:$FH$154*'ANALYSE - ERP =&gt; SOUS-SEGMENT'!$JQ$8:$JQ$154)/SUMPRODUCT(('ANALYSE - ERP =&gt; SOUS-SEGMENT'!$C$8:$C$154=$C29)*'ANALYSE - ERP =&gt; SOUS-SEGMENT'!$Q$8:$Q$154*'ANALYSE - ERP =&gt; SOUS-SEGMENT'!$FH$8:$FH$154),0)</f>
        <v>2.7900000000000001E-2</v>
      </c>
      <c r="JO29" s="748">
        <f>IFERROR(SUMPRODUCT(('ANALYSE - ERP =&gt; SOUS-SEGMENT'!$C$8:$C$154=$C29)*'ANALYSE - ERP =&gt; SOUS-SEGMENT'!$Q$8:$Q$154*'ANALYSE - ERP =&gt; SOUS-SEGMENT'!$FH$8:$FH$154*'ANALYSE - ERP =&gt; SOUS-SEGMENT'!$JR$8:$JR$154)/SUMPRODUCT(('ANALYSE - ERP =&gt; SOUS-SEGMENT'!$C$8:$C$154=$C29)*'ANALYSE - ERP =&gt; SOUS-SEGMENT'!$Q$8:$Q$154*'ANALYSE - ERP =&gt; SOUS-SEGMENT'!$FH$8:$FH$154),0)</f>
        <v>3.6000000000000003E-3</v>
      </c>
      <c r="JP29" s="771">
        <f>IFERROR(SUMPRODUCT(('ANALYSE - ERP =&gt; SOUS-SEGMENT'!$C$8:$C$154=$C29)*'ANALYSE - ERP =&gt; SOUS-SEGMENT'!$Q$8:$Q$154*'ANALYSE - ERP =&gt; SOUS-SEGMENT'!$BH$8:$BH$154*'ANALYSE - ERP =&gt; SOUS-SEGMENT'!$JS$8:$JS$154)/SUMPRODUCT(('ANALYSE - ERP =&gt; SOUS-SEGMENT'!$C$8:$C$154=$C29)*'ANALYSE - ERP =&gt; SOUS-SEGMENT'!$Q$8:$Q$154*'ANALYSE - ERP =&gt; SOUS-SEGMENT'!$BH$8:$BH$154),0)</f>
        <v>0.1066</v>
      </c>
      <c r="JQ29" s="748">
        <f>IFERROR(SUMPRODUCT(('ANALYSE - ERP =&gt; SOUS-SEGMENT'!$C$8:$C$154=$C29)*'ANALYSE - ERP =&gt; SOUS-SEGMENT'!$Q$8:$Q$154*'ANALYSE - ERP =&gt; SOUS-SEGMENT'!$BH$8:$BH$154*'ANALYSE - ERP =&gt; SOUS-SEGMENT'!$JT$8:$JT$154)/SUMPRODUCT(('ANALYSE - ERP =&gt; SOUS-SEGMENT'!$C$8:$C$154=$C29)*'ANALYSE - ERP =&gt; SOUS-SEGMENT'!$Q$8:$Q$154*'ANALYSE - ERP =&gt; SOUS-SEGMENT'!$BH$8:$BH$154),0)</f>
        <v>0.53920000000000001</v>
      </c>
      <c r="JR29" s="748">
        <f>IFERROR(SUMPRODUCT(('ANALYSE - ERP =&gt; SOUS-SEGMENT'!$C$8:$C$154=$C29)*'ANALYSE - ERP =&gt; SOUS-SEGMENT'!$Q$8:$Q$154*'ANALYSE - ERP =&gt; SOUS-SEGMENT'!$BH$8:$BH$154*'ANALYSE - ERP =&gt; SOUS-SEGMENT'!$JU$8:$JU$154)/SUMPRODUCT(('ANALYSE - ERP =&gt; SOUS-SEGMENT'!$C$8:$C$154=$C29)*'ANALYSE - ERP =&gt; SOUS-SEGMENT'!$Q$8:$Q$154*'ANALYSE - ERP =&gt; SOUS-SEGMENT'!$BH$8:$BH$154),0)</f>
        <v>0.32950000000000002</v>
      </c>
      <c r="JS29" s="748">
        <f>IFERROR(SUMPRODUCT(('ANALYSE - ERP =&gt; SOUS-SEGMENT'!$C$8:$C$154=$C29)*'ANALYSE - ERP =&gt; SOUS-SEGMENT'!$Q$8:$Q$154*'ANALYSE - ERP =&gt; SOUS-SEGMENT'!$BH$8:$BH$154*'ANALYSE - ERP =&gt; SOUS-SEGMENT'!$JV$8:$JV$154)/SUMPRODUCT(('ANALYSE - ERP =&gt; SOUS-SEGMENT'!$C$8:$C$154=$C29)*'ANALYSE - ERP =&gt; SOUS-SEGMENT'!$Q$8:$Q$154*'ANALYSE - ERP =&gt; SOUS-SEGMENT'!$BH$8:$BH$154),0)</f>
        <v>2.47E-2</v>
      </c>
      <c r="JT29" s="749">
        <f>IFERROR(SUMPRODUCT(('ANALYSE - ERP =&gt; SOUS-SEGMENT'!$C$8:$C$154=$C29)*'ANALYSE - ERP =&gt; SOUS-SEGMENT'!$Q$8:$Q$154*'ANALYSE - ERP =&gt; SOUS-SEGMENT'!$BH$8:$BH$154*'ANALYSE - ERP =&gt; SOUS-SEGMENT'!$JW$8:$JW$154)/SUMPRODUCT(('ANALYSE - ERP =&gt; SOUS-SEGMENT'!$C$8:$C$154=$C29)*'ANALYSE - ERP =&gt; SOUS-SEGMENT'!$Q$8:$Q$154*'ANALYSE - ERP =&gt; SOUS-SEGMENT'!$BH$8:$BH$154),0)</f>
        <v>0</v>
      </c>
      <c r="JU29" s="771">
        <f>IFERROR(SUMPRODUCT(('ANALYSE - ERP =&gt; SOUS-SEGMENT'!$C$8:$C$154=$C29)*'ANALYSE - ERP =&gt; SOUS-SEGMENT'!$Q$8:$Q$154*'ANALYSE - ERP =&gt; SOUS-SEGMENT'!$FK$8:$FK$154*'ANALYSE - ERP =&gt; SOUS-SEGMENT'!$JX$8:$JX$154)/SUMPRODUCT(('ANALYSE - ERP =&gt; SOUS-SEGMENT'!$C$8:$C$154=$C29)*'ANALYSE - ERP =&gt; SOUS-SEGMENT'!$Q$8:$Q$154*'ANALYSE - ERP =&gt; SOUS-SEGMENT'!$FK$8:$FK$154),0)</f>
        <v>9.0300000000000005E-2</v>
      </c>
      <c r="JV29" s="748">
        <f>IFERROR(SUMPRODUCT(('ANALYSE - ERP =&gt; SOUS-SEGMENT'!$C$8:$C$154=$C29)*'ANALYSE - ERP =&gt; SOUS-SEGMENT'!$Q$8:$Q$154*'ANALYSE - ERP =&gt; SOUS-SEGMENT'!$FK$8:$FK$154*'ANALYSE - ERP =&gt; SOUS-SEGMENT'!$JY$8:$JY$154)/SUMPRODUCT(('ANALYSE - ERP =&gt; SOUS-SEGMENT'!$C$8:$C$154=$C29)*'ANALYSE - ERP =&gt; SOUS-SEGMENT'!$Q$8:$Q$154*'ANALYSE - ERP =&gt; SOUS-SEGMENT'!$FK$8:$FK$154),0)</f>
        <v>0.51929999999999998</v>
      </c>
      <c r="JW29" s="748">
        <f>IFERROR(SUMPRODUCT(('ANALYSE - ERP =&gt; SOUS-SEGMENT'!$C$8:$C$154=$C29)*'ANALYSE - ERP =&gt; SOUS-SEGMENT'!$Q$8:$Q$154*'ANALYSE - ERP =&gt; SOUS-SEGMENT'!$FK$8:$FK$154*'ANALYSE - ERP =&gt; SOUS-SEGMENT'!$JZ$8:$JZ$154)/SUMPRODUCT(('ANALYSE - ERP =&gt; SOUS-SEGMENT'!$C$8:$C$154=$C29)*'ANALYSE - ERP =&gt; SOUS-SEGMENT'!$Q$8:$Q$154*'ANALYSE - ERP =&gt; SOUS-SEGMENT'!$FK$8:$FK$154),0)</f>
        <v>0.3458</v>
      </c>
      <c r="JX29" s="748">
        <f>IFERROR(SUMPRODUCT(('ANALYSE - ERP =&gt; SOUS-SEGMENT'!$C$8:$C$154=$C29)*'ANALYSE - ERP =&gt; SOUS-SEGMENT'!$Q$8:$Q$154*'ANALYSE - ERP =&gt; SOUS-SEGMENT'!$FK$8:$FK$154*'ANALYSE - ERP =&gt; SOUS-SEGMENT'!$KA$8:$KA$154)/SUMPRODUCT(('ANALYSE - ERP =&gt; SOUS-SEGMENT'!$C$8:$C$154=$C29)*'ANALYSE - ERP =&gt; SOUS-SEGMENT'!$Q$8:$Q$154*'ANALYSE - ERP =&gt; SOUS-SEGMENT'!$FK$8:$FK$154),0)</f>
        <v>4.1000000000000002E-2</v>
      </c>
      <c r="JY29" s="775">
        <f>IFERROR(SUMPRODUCT(('ANALYSE - ERP =&gt; SOUS-SEGMENT'!$C$8:$C$154=$C29)*'ANALYSE - ERP =&gt; SOUS-SEGMENT'!$Q$8:$Q$154*'ANALYSE - ERP =&gt; SOUS-SEGMENT'!$FK$8:$FK$154*'ANALYSE - ERP =&gt; SOUS-SEGMENT'!$KB$8:$KB$154)/SUMPRODUCT(('ANALYSE - ERP =&gt; SOUS-SEGMENT'!$C$8:$C$154=$C29)*'ANALYSE - ERP =&gt; SOUS-SEGMENT'!$Q$8:$Q$154*'ANALYSE - ERP =&gt; SOUS-SEGMENT'!$FK$8:$FK$154),0)</f>
        <v>3.5999999999999999E-3</v>
      </c>
      <c r="JZ29" s="657"/>
      <c r="KA29" s="298" t="s">
        <v>2591</v>
      </c>
      <c r="KB29" s="298" t="s">
        <v>2625</v>
      </c>
      <c r="KC29" s="888">
        <f>IFERROR(SUMPRODUCT(('ANALYSE - ERP =&gt; SOUS-SEGMENT'!$C$8:$C$154=$C30)*'ANALYSE - ERP =&gt; SOUS-SEGMENT'!$Q$8:$Q$154*'ANALYSE - ERP =&gt; SOUS-SEGMENT'!$EX$8:$EX$154*'ANALYSE - ERP =&gt; SOUS-SEGMENT'!$KF$8:$KF$154)/SUMPRODUCT(('ANALYSE - ERP =&gt; SOUS-SEGMENT'!$C$8:$C$154=$C30)*'ANALYSE - ERP =&gt; SOUS-SEGMENT'!$Q$8:$Q$154*'ANALYSE - ERP =&gt; SOUS-SEGMENT'!$EX$8:$EX$154),"")</f>
        <v>4.3306142452201541</v>
      </c>
      <c r="KD29" s="298" t="s">
        <v>2616</v>
      </c>
      <c r="KE29" s="300" t="s">
        <v>7258</v>
      </c>
      <c r="KF29" s="620" t="s">
        <v>6760</v>
      </c>
      <c r="KG29" s="300" t="s">
        <v>6760</v>
      </c>
    </row>
    <row r="30" spans="1:293" ht="108" customHeight="1">
      <c r="A30" s="273">
        <v>29</v>
      </c>
      <c r="B30" s="488" t="s">
        <v>1670</v>
      </c>
      <c r="C30" s="488" t="s">
        <v>7259</v>
      </c>
      <c r="D30" s="488" t="s">
        <v>7260</v>
      </c>
      <c r="E30" s="275" t="s">
        <v>7261</v>
      </c>
      <c r="F30" s="275" t="s">
        <v>7120</v>
      </c>
      <c r="G30" s="275" t="s">
        <v>300</v>
      </c>
      <c r="H30" s="275" t="s">
        <v>2109</v>
      </c>
      <c r="I30" s="276" t="s">
        <v>7262</v>
      </c>
      <c r="J30" s="276" t="s">
        <v>7263</v>
      </c>
      <c r="K30" s="277" t="s">
        <v>2097</v>
      </c>
      <c r="L30" s="277" t="s">
        <v>2109</v>
      </c>
      <c r="M30" s="277" t="s">
        <v>2603</v>
      </c>
      <c r="N30" s="277" t="s">
        <v>6742</v>
      </c>
      <c r="O30" s="277" t="s">
        <v>2212</v>
      </c>
      <c r="P30" s="276"/>
      <c r="Q30" s="270">
        <f>IF(SUMPRODUCT(('ANALYSE - ERP =&gt; SOUS-SEGMENT'!$C$8:$C$154=$C30)*'ANALYSE - ERP =&gt; SOUS-SEGMENT'!$Q$8:$Q$154)&gt;0,1,0)</f>
        <v>1</v>
      </c>
      <c r="R30" s="278">
        <f>IFERROR(SUMPRODUCT(('ANALYSE - ERP =&gt; SOUS-SEGMENT'!$C$8:$C$154=$C30)*'ANALYSE - ERP =&gt; SOUS-SEGMENT'!$Q$8:$Q$154*'ANALYSE - ERP =&gt; SOUS-SEGMENT'!$AG$8:$AG$154*'ANALYSE - ERP =&gt; SOUS-SEGMENT'!$R$8:$R$154)/SUMPRODUCT(('ANALYSE - ERP =&gt; SOUS-SEGMENT'!$C$8:$C$154=$C30)*'ANALYSE - ERP =&gt; SOUS-SEGMENT'!$Q$8:$Q$154*'ANALYSE - ERP =&gt; SOUS-SEGMENT'!$AG$8:$AG$154),"")</f>
        <v>1550.4575882029558</v>
      </c>
      <c r="S30" s="279">
        <f>SUMPRODUCT(('ANALYSE - ERP =&gt; SOUS-SEGMENT'!$C$8:$C$154=$C30)*'ANALYSE - ERP =&gt; SOUS-SEGMENT'!$Q$8:$Q$154*'ANALYSE - ERP =&gt; SOUS-SEGMENT'!$S$8:$S$154)</f>
        <v>23423</v>
      </c>
      <c r="T30" s="279">
        <f>SUMPRODUCT(('ANALYSE - ERP =&gt; SOUS-SEGMENT'!$C$8:$C$154=$C30)*'ANALYSE - ERP =&gt; SOUS-SEGMENT'!$Q$8:$Q$154*'ANALYSE - ERP =&gt; SOUS-SEGMENT'!$T$8:$T$154)</f>
        <v>25079</v>
      </c>
      <c r="U30" s="279">
        <f>SUMPRODUCT(('ANALYSE - ERP =&gt; SOUS-SEGMENT'!$C$8:$C$154=$C30)*'ANALYSE - ERP =&gt; SOUS-SEGMENT'!$Q$8:$Q$154*'ANALYSE - ERP =&gt; SOUS-SEGMENT'!$U$8:$U$154)</f>
        <v>26771</v>
      </c>
      <c r="V30" s="279">
        <f>SUMPRODUCT(('ANALYSE - ERP =&gt; SOUS-SEGMENT'!$C$8:$C$154=$C30)*'ANALYSE - ERP =&gt; SOUS-SEGMENT'!$Q$8:$Q$154*'ANALYSE - ERP =&gt; SOUS-SEGMENT'!$V$8:$V$154)</f>
        <v>28021</v>
      </c>
      <c r="W30" s="279">
        <f>SUMPRODUCT(('ANALYSE - ERP =&gt; SOUS-SEGMENT'!$C$8:$C$154=$C30)*'ANALYSE - ERP =&gt; SOUS-SEGMENT'!$Q$8:$Q$154*'ANALYSE - ERP =&gt; SOUS-SEGMENT'!$W$8:$W$154)</f>
        <v>28343</v>
      </c>
      <c r="X30" s="279">
        <f>SUMPRODUCT(('ANALYSE - ERP =&gt; SOUS-SEGMENT'!$C$8:$C$154=$C30)*'ANALYSE - ERP =&gt; SOUS-SEGMENT'!$Q$8:$Q$154*'ANALYSE - ERP =&gt; SOUS-SEGMENT'!$X$8:$X$154)</f>
        <v>28668</v>
      </c>
      <c r="Y30" s="279">
        <f>SUMPRODUCT(('ANALYSE - ERP =&gt; SOUS-SEGMENT'!$C$8:$C$154=$C30)*'ANALYSE - ERP =&gt; SOUS-SEGMENT'!$Q$8:$Q$154*'ANALYSE - ERP =&gt; SOUS-SEGMENT'!$Y$8:$Y$154)</f>
        <v>28998</v>
      </c>
      <c r="Z30" s="279">
        <f>SUMPRODUCT(('ANALYSE - ERP =&gt; SOUS-SEGMENT'!$C$8:$C$154=$C30)*'ANALYSE - ERP =&gt; SOUS-SEGMENT'!$Q$8:$Q$154*'ANALYSE - ERP =&gt; SOUS-SEGMENT'!$Z$8:$Z$154)</f>
        <v>29331</v>
      </c>
      <c r="AA30" s="279">
        <f>SUMPRODUCT(('ANALYSE - ERP =&gt; SOUS-SEGMENT'!$C$8:$C$154=$C30)*'ANALYSE - ERP =&gt; SOUS-SEGMENT'!$Q$8:$Q$154*'ANALYSE - ERP =&gt; SOUS-SEGMENT'!$AA$8:$AA$154)</f>
        <v>29546</v>
      </c>
      <c r="AB30" s="279">
        <f>SUMPRODUCT(('ANALYSE - ERP =&gt; SOUS-SEGMENT'!$C$8:$C$154=$C30)*'ANALYSE - ERP =&gt; SOUS-SEGMENT'!$Q$8:$Q$154*'ANALYSE - ERP =&gt; SOUS-SEGMENT'!$AB$8:$AB$154)</f>
        <v>29774</v>
      </c>
      <c r="AC30" s="279">
        <f>SUMPRODUCT(('ANALYSE - ERP =&gt; SOUS-SEGMENT'!$C$8:$C$154=$C30)*'ANALYSE - ERP =&gt; SOUS-SEGMENT'!$Q$8:$Q$154*'ANALYSE - ERP =&gt; SOUS-SEGMENT'!$AC$8:$AC$154)</f>
        <v>30003</v>
      </c>
      <c r="AD30" s="279">
        <f>SUMPRODUCT(('ANALYSE - ERP =&gt; SOUS-SEGMENT'!$C$8:$C$154=$C30)*'ANALYSE - ERP =&gt; SOUS-SEGMENT'!$Q$8:$Q$154*'ANALYSE - ERP =&gt; SOUS-SEGMENT'!$AD$8:$AD$154)</f>
        <v>30232</v>
      </c>
      <c r="AE30" s="279">
        <f>SUMPRODUCT(('ANALYSE - ERP =&gt; SOUS-SEGMENT'!$C$8:$C$154=$C30)*'ANALYSE - ERP =&gt; SOUS-SEGMENT'!$Q$8:$Q$154*'ANALYSE - ERP =&gt; SOUS-SEGMENT'!$AE$8:$AE$154)</f>
        <v>30460</v>
      </c>
      <c r="AF30" s="279">
        <f>SUMPRODUCT(('ANALYSE - ERP =&gt; SOUS-SEGMENT'!$C$8:$C$154=$C30)*'ANALYSE - ERP =&gt; SOUS-SEGMENT'!$Q$8:$Q$154*'ANALYSE - ERP =&gt; SOUS-SEGMENT'!$AF$8:$AF$154)</f>
        <v>30690</v>
      </c>
      <c r="AG30" s="279">
        <f>SUMPRODUCT(('ANALYSE - ERP =&gt; SOUS-SEGMENT'!$C$8:$C$154=$C30)*'ANALYSE - ERP =&gt; SOUS-SEGMENT'!$Q$8:$Q$154*'ANALYSE - ERP =&gt; SOUS-SEGMENT'!$AG$8:$AG$154)</f>
        <v>30923</v>
      </c>
      <c r="AH30" s="279">
        <f>SUMPRODUCT(('ANALYSE - ERP =&gt; SOUS-SEGMENT'!$C$8:$C$154=$C30)*'ANALYSE - ERP =&gt; SOUS-SEGMENT'!$Q$8:$Q$154*'ANALYSE - ERP =&gt; SOUS-SEGMENT'!$AH$8:$AH$154)</f>
        <v>31157</v>
      </c>
      <c r="AI30" s="279">
        <f>SUMPRODUCT(('ANALYSE - ERP =&gt; SOUS-SEGMENT'!$C$8:$C$154=$C30)*'ANALYSE - ERP =&gt; SOUS-SEGMENT'!$Q$8:$Q$154*'ANALYSE - ERP =&gt; SOUS-SEGMENT'!$AI$8:$AI$154)</f>
        <v>31393</v>
      </c>
      <c r="AJ30" s="279">
        <f>SUMPRODUCT(('ANALYSE - ERP =&gt; SOUS-SEGMENT'!$C$8:$C$154=$C30)*'ANALYSE - ERP =&gt; SOUS-SEGMENT'!$Q$8:$Q$154*'ANALYSE - ERP =&gt; SOUS-SEGMENT'!$AJ$8:$AJ$154)</f>
        <v>31630</v>
      </c>
      <c r="AK30" s="279">
        <f>SUMPRODUCT(('ANALYSE - ERP =&gt; SOUS-SEGMENT'!$C$8:$C$154=$C30)*'ANALYSE - ERP =&gt; SOUS-SEGMENT'!$Q$8:$Q$154*'ANALYSE - ERP =&gt; SOUS-SEGMENT'!$AK$8:$AK$154)</f>
        <v>31868</v>
      </c>
      <c r="AL30" s="276" t="s">
        <v>7264</v>
      </c>
      <c r="AM30" s="276" t="s">
        <v>7265</v>
      </c>
      <c r="AN30" s="276" t="s">
        <v>2148</v>
      </c>
      <c r="AO30" s="657"/>
      <c r="AP30" s="278">
        <f>IFERROR(SUMPRODUCT(('ANALYSE - ERP =&gt; SOUS-SEGMENT'!$C$8:$C$154=$C30)*'ANALYSE - ERP =&gt; SOUS-SEGMENT'!$Q$8:$Q$154*'ANALYSE - ERP =&gt; SOUS-SEGMENT'!$AG$8:$AG$154*'ANALYSE - ERP =&gt; SOUS-SEGMENT'!$AP$8:$AP$154)/SUMPRODUCT(('ANALYSE - ERP =&gt; SOUS-SEGMENT'!$C$8:$C$154=$C30)*'ANALYSE - ERP =&gt; SOUS-SEGMENT'!$Q$8:$Q$154*'ANALYSE - ERP =&gt; SOUS-SEGMENT'!$AG$8:$AG$154),"")</f>
        <v>223.98408951266049</v>
      </c>
      <c r="AQ30" s="278">
        <f>IFERROR(SUMPRODUCT(('ANALYSE - ERP =&gt; SOUS-SEGMENT'!$C$8:$C$154=$C30)*'ANALYSE - ERP =&gt; SOUS-SEGMENT'!$Q$8:$Q$154*'ANALYSE - ERP =&gt; SOUS-SEGMENT'!$AF$8:$AF$154*'ANALYSE - ERP =&gt; SOUS-SEGMENT'!$AQ$8:$AQ$154)/SUMPRODUCT(('ANALYSE - ERP =&gt; SOUS-SEGMENT'!$C$8:$C$154=$C30)*'ANALYSE - ERP =&gt; SOUS-SEGMENT'!$Q$8:$Q$154*'ANALYSE - ERP =&gt; SOUS-SEGMENT'!$AF$8:$AF$154),"")</f>
        <v>188.1759530791789</v>
      </c>
      <c r="AR30" s="973">
        <f>IFERROR(SUMPRODUCT(('ANALYSE - ERP =&gt; SOUS-SEGMENT'!$C$8:$C$154=$C30)*'ANALYSE - ERP =&gt; SOUS-SEGMENT'!$Q$8:$Q$154*'ANALYSE - ERP =&gt; SOUS-SEGMENT'!$AF$8:$AF$154*'ANALYSE - ERP =&gt; SOUS-SEGMENT'!$AR$8:$AR$154)/SUMPRODUCT(('ANALYSE - ERP =&gt; SOUS-SEGMENT'!$C$8:$C$154=$C30)*'ANALYSE - ERP =&gt; SOUS-SEGMENT'!$Q$8:$Q$154*'ANALYSE - ERP =&gt; SOUS-SEGMENT'!$AF$8:$AF$154),"")</f>
        <v>22.630824372759857</v>
      </c>
      <c r="AS30" s="973">
        <f>IFERROR(SUMPRODUCT(('ANALYSE - ERP =&gt; SOUS-SEGMENT'!$C$8:$C$154=$C30)*'ANALYSE - ERP =&gt; SOUS-SEGMENT'!$Q$8:$Q$154*'ANALYSE - ERP =&gt; SOUS-SEGMENT'!$AF$8:$AF$154*'ANALYSE - ERP =&gt; SOUS-SEGMENT'!$AS$8:$AS$154)/SUMPRODUCT(('ANALYSE - ERP =&gt; SOUS-SEGMENT'!$C$8:$C$154=$C30)*'ANALYSE - ERP =&gt; SOUS-SEGMENT'!$Q$8:$Q$154*'ANALYSE - ERP =&gt; SOUS-SEGMENT'!$AF$8:$AF$154),"")</f>
        <v>13.435646790485499</v>
      </c>
      <c r="AT30" s="657" t="s">
        <v>7266</v>
      </c>
      <c r="AU30" s="276" t="s">
        <v>7267</v>
      </c>
      <c r="AV30" s="296" t="s">
        <v>2890</v>
      </c>
      <c r="AW30" s="276" t="s">
        <v>7268</v>
      </c>
      <c r="AX30" s="657"/>
      <c r="AY30" s="282">
        <f>IFERROR(SUMPRODUCT(('ANALYSE - ERP =&gt; SOUS-SEGMENT'!$C$8:$C$154=$C30)*'ANALYSE - ERP =&gt; SOUS-SEGMENT'!$Q$8:$Q$154*'ANALYSE - ERP =&gt; SOUS-SEGMENT'!$AF$8:$AF$154*'ANALYSE - ERP =&gt; SOUS-SEGMENT'!$AZ$8:$AZ$154)/SUMPRODUCT(('ANALYSE - ERP =&gt; SOUS-SEGMENT'!$C$8:$C$154=$C30)*'ANALYSE - ERP =&gt; SOUS-SEGMENT'!$Q$8:$Q$154*'ANALYSE - ERP =&gt; SOUS-SEGMENT'!$AF$8:$AF$154),"")</f>
        <v>12.922776148582599</v>
      </c>
      <c r="AZ30" s="947">
        <f>IFERROR(SUMPRODUCT(('ANALYSE - ERP =&gt; SOUS-SEGMENT'!$C$8:$C$154=$C30)*'ANALYSE - ERP =&gt; SOUS-SEGMENT'!$Q$8:$Q$154*'ANALYSE - ERP =&gt; SOUS-SEGMENT'!$AF$8:$AF$154*'ANALYSE - ERP =&gt; SOUS-SEGMENT'!$BA$8:$BA$154)/SUMPRODUCT(('ANALYSE - ERP =&gt; SOUS-SEGMENT'!$C$8:$C$154=$C30)*'ANALYSE - ERP =&gt; SOUS-SEGMENT'!$Q$8:$Q$154*'ANALYSE - ERP =&gt; SOUS-SEGMENT'!$AF$8:$AF$154),"")</f>
        <v>14.338872596937113</v>
      </c>
      <c r="BA30" s="282">
        <f>IFERROR(SUMPRODUCT(('ANALYSE - ERP =&gt; SOUS-SEGMENT'!$C$8:$C$154=$C30)*'ANALYSE - ERP =&gt; SOUS-SEGMENT'!$Q$8:$Q$154*'ANALYSE - ERP =&gt; SOUS-SEGMENT'!$AF$8:$AF$154*'ANALYSE - ERP =&gt; SOUS-SEGMENT'!$BB$8:$BB$154)/SUMPRODUCT(('ANALYSE - ERP =&gt; SOUS-SEGMENT'!$C$8:$C$154=$C30)*'ANALYSE - ERP =&gt; SOUS-SEGMENT'!$Q$8:$Q$154*'ANALYSE - ERP =&gt; SOUS-SEGMENT'!$AF$8:$AF$154),"")</f>
        <v>2.6405995438253504</v>
      </c>
      <c r="BB30" s="282">
        <f>IFERROR(SUMPRODUCT(('ANALYSE - ERP =&gt; SOUS-SEGMENT'!$C$8:$C$154=$C30)*'ANALYSE - ERP =&gt; SOUS-SEGMENT'!$Q$8:$Q$154*'ANALYSE - ERP =&gt; SOUS-SEGMENT'!$AF$8:$AF$154*'ANALYSE - ERP =&gt; SOUS-SEGMENT'!$BC$8:$BC$154)/SUMPRODUCT(('ANALYSE - ERP =&gt; SOUS-SEGMENT'!$C$8:$C$154=$C30)*'ANALYSE - ERP =&gt; SOUS-SEGMENT'!$Q$8:$Q$154*'ANALYSE - ERP =&gt; SOUS-SEGMENT'!$AF$8:$AF$154),"")</f>
        <v>8.760508308895405</v>
      </c>
      <c r="BC30" s="283">
        <f>SUMPRODUCT(('ANALYSE - ERP =&gt; SOUS-SEGMENT'!$C$8:$C$154=$C30)*'ANALYSE - ERP =&gt; SOUS-SEGMENT'!$Q$8:$Q$154*'ANALYSE - ERP =&gt; SOUS-SEGMENT'!$BE$8:$BE$154)</f>
        <v>396600</v>
      </c>
      <c r="BD30" s="283">
        <f>SUMPRODUCT(('ANALYSE - ERP =&gt; SOUS-SEGMENT'!$C$8:$C$154=$C30)*'ANALYSE - ERP =&gt; SOUS-SEGMENT'!$Q$8:$Q$154*'ANALYSE - ERP =&gt; SOUS-SEGMENT'!$BF$8:$BF$154)</f>
        <v>440060</v>
      </c>
      <c r="BE30" s="283">
        <f>SUMPRODUCT(('ANALYSE - ERP =&gt; SOUS-SEGMENT'!$C$8:$C$154=$C30)*'ANALYSE - ERP =&gt; SOUS-SEGMENT'!$Q$8:$Q$154*'ANALYSE - ERP =&gt; SOUS-SEGMENT'!$BG$8:$BG$154)</f>
        <v>81040</v>
      </c>
      <c r="BF30" s="283">
        <f>SUMPRODUCT(('ANALYSE - ERP =&gt; SOUS-SEGMENT'!$C$8:$C$154=$C30)*'ANALYSE - ERP =&gt; SOUS-SEGMENT'!$Q$8:$Q$154*'ANALYSE - ERP =&gt; SOUS-SEGMENT'!$BH$8:$BH$154)</f>
        <v>268860</v>
      </c>
      <c r="BG30" s="283">
        <f>SUMPRODUCT(('ANALYSE - ERP =&gt; SOUS-SEGMENT'!$C$8:$C$154=$C30)*'ANALYSE - ERP =&gt; SOUS-SEGMENT'!$Q$8:$Q$154*'ANALYSE - ERP =&gt; SOUS-SEGMENT'!$BJ$8:$BJ$154)</f>
        <v>410324</v>
      </c>
      <c r="BH30" s="283">
        <f>SUMPRODUCT(('ANALYSE - ERP =&gt; SOUS-SEGMENT'!$C$8:$C$154=$C30)*'ANALYSE - ERP =&gt; SOUS-SEGMENT'!$Q$8:$Q$154*'ANALYSE - ERP =&gt; SOUS-SEGMENT'!$BK$8:$BK$154)</f>
        <v>454086</v>
      </c>
      <c r="BI30" s="283">
        <f>SUMPRODUCT(('ANALYSE - ERP =&gt; SOUS-SEGMENT'!$C$8:$C$154=$C30)*'ANALYSE - ERP =&gt; SOUS-SEGMENT'!$Q$8:$Q$154*'ANALYSE - ERP =&gt; SOUS-SEGMENT'!$BL$8:$BL$154)</f>
        <v>83638</v>
      </c>
      <c r="BJ30" s="283">
        <f>SUMPRODUCT(('ANALYSE - ERP =&gt; SOUS-SEGMENT'!$C$8:$C$154=$C30)*'ANALYSE - ERP =&gt; SOUS-SEGMENT'!$Q$8:$Q$154*'ANALYSE - ERP =&gt; SOUS-SEGMENT'!$BM$8:$BM$154)</f>
        <v>277780</v>
      </c>
      <c r="BK30" s="657"/>
      <c r="BL30" s="580">
        <f>IFERROR(SUMPRODUCT(('ANALYSE - ERP =&gt; SOUS-SEGMENT'!$C$8:$C$154=$C30)*'ANALYSE - ERP =&gt; SOUS-SEGMENT'!$Q$8:$Q$154*'ANALYSE - ERP =&gt; SOUS-SEGMENT'!$BE$8:$BE$154*'ANALYSE - ERP =&gt; SOUS-SEGMENT'!$BO$8:$BO$154)/SUMPRODUCT(('ANALYSE - ERP =&gt; SOUS-SEGMENT'!$C$8:$C$154=$C30)*'ANALYSE - ERP =&gt; SOUS-SEGMENT'!$Q$8:$Q$154*'ANALYSE - ERP =&gt; SOUS-SEGMENT'!$BE$8:$BE$154),"")</f>
        <v>0.1048895612708018</v>
      </c>
      <c r="BM30" s="305">
        <f>IFERROR(SUMPRODUCT(('ANALYSE - ERP =&gt; SOUS-SEGMENT'!$C$8:$C$154=$C30)*'ANALYSE - ERP =&gt; SOUS-SEGMENT'!$Q$8:$Q$154*'ANALYSE - ERP =&gt; SOUS-SEGMENT'!$BE$8:$BE$154*'ANALYSE - ERP =&gt; SOUS-SEGMENT'!$BP$8:$BP$154)/SUMPRODUCT(('ANALYSE - ERP =&gt; SOUS-SEGMENT'!$C$8:$C$154=$C30)*'ANALYSE - ERP =&gt; SOUS-SEGMENT'!$Q$8:$Q$154*'ANALYSE - ERP =&gt; SOUS-SEGMENT'!$BE$8:$BE$154),"")</f>
        <v>0.78008270297529003</v>
      </c>
      <c r="BN30" s="305">
        <f>IFERROR(SUMPRODUCT(('ANALYSE - ERP =&gt; SOUS-SEGMENT'!$C$8:$C$154=$C30)*'ANALYSE - ERP =&gt; SOUS-SEGMENT'!$Q$8:$Q$154*'ANALYSE - ERP =&gt; SOUS-SEGMENT'!$BE$8:$BE$154*'ANALYSE - ERP =&gt; SOUS-SEGMENT'!$BQ$8:$BQ$154)/SUMPRODUCT(('ANALYSE - ERP =&gt; SOUS-SEGMENT'!$C$8:$C$154=$C30)*'ANALYSE - ERP =&gt; SOUS-SEGMENT'!$Q$8:$Q$154*'ANALYSE - ERP =&gt; SOUS-SEGMENT'!$BE$8:$BE$154),"")</f>
        <v>6.9958648512355018E-2</v>
      </c>
      <c r="BO30" s="581">
        <f>IFERROR(SUMPRODUCT(('ANALYSE - ERP =&gt; SOUS-SEGMENT'!$C$8:$C$154=$C30)*'ANALYSE - ERP =&gt; SOUS-SEGMENT'!$Q$8:$Q$154*'ANALYSE - ERP =&gt; SOUS-SEGMENT'!$BE$8:$BE$154*'ANALYSE - ERP =&gt; SOUS-SEGMENT'!$BR$8:$BR$154)/SUMPRODUCT(('ANALYSE - ERP =&gt; SOUS-SEGMENT'!$C$8:$C$154=$C30)*'ANALYSE - ERP =&gt; SOUS-SEGMENT'!$Q$8:$Q$154*'ANALYSE - ERP =&gt; SOUS-SEGMENT'!$BE$8:$BE$154),"")</f>
        <v>4.5069087241553209E-2</v>
      </c>
      <c r="BP30" s="580">
        <f>IFERROR(SUMPRODUCT(('ANALYSE - ERP =&gt; SOUS-SEGMENT'!$C$8:$C$154=$C30)*'ANALYSE - ERP =&gt; SOUS-SEGMENT'!$Q$8:$Q$154*'ANALYSE - ERP =&gt; SOUS-SEGMENT'!$BJ$8:$BJ$154*'ANALYSE - ERP =&gt; SOUS-SEGMENT'!$BS$8:$BS$154)/SUMPRODUCT(('ANALYSE - ERP =&gt; SOUS-SEGMENT'!$C$8:$C$154=$C30)*'ANALYSE - ERP =&gt; SOUS-SEGMENT'!$Q$8:$Q$154*'ANALYSE - ERP =&gt; SOUS-SEGMENT'!$BJ$8:$BJ$154),"")</f>
        <v>8.4967001686472157E-2</v>
      </c>
      <c r="BQ30" s="305">
        <f>IFERROR(SUMPRODUCT(('ANALYSE - ERP =&gt; SOUS-SEGMENT'!$C$8:$C$154=$C30)*'ANALYSE - ERP =&gt; SOUS-SEGMENT'!$Q$8:$Q$154*'ANALYSE - ERP =&gt; SOUS-SEGMENT'!$BJ$8:$BJ$154*'ANALYSE - ERP =&gt; SOUS-SEGMENT'!$BT$8:$BT$154)/SUMPRODUCT(('ANALYSE - ERP =&gt; SOUS-SEGMENT'!$C$8:$C$154=$C30)*'ANALYSE - ERP =&gt; SOUS-SEGMENT'!$Q$8:$Q$154*'ANALYSE - ERP =&gt; SOUS-SEGMENT'!$BJ$8:$BJ$154),"")</f>
        <v>0.78615474600559554</v>
      </c>
      <c r="BR30" s="305">
        <f>IFERROR(SUMPRODUCT(('ANALYSE - ERP =&gt; SOUS-SEGMENT'!$C$8:$C$154=$C30)*'ANALYSE - ERP =&gt; SOUS-SEGMENT'!$Q$8:$Q$154*'ANALYSE - ERP =&gt; SOUS-SEGMENT'!$BJ$8:$BJ$154*'ANALYSE - ERP =&gt; SOUS-SEGMENT'!$BU$8:$BU$154)/SUMPRODUCT(('ANALYSE - ERP =&gt; SOUS-SEGMENT'!$C$8:$C$154=$C30)*'ANALYSE - ERP =&gt; SOUS-SEGMENT'!$Q$8:$Q$154*'ANALYSE - ERP =&gt; SOUS-SEGMENT'!$BJ$8:$BJ$154),"")</f>
        <v>9.2518302609645053E-2</v>
      </c>
      <c r="BS30" s="581">
        <f>IFERROR(SUMPRODUCT(('ANALYSE - ERP =&gt; SOUS-SEGMENT'!$C$8:$C$154=$C30)*'ANALYSE - ERP =&gt; SOUS-SEGMENT'!$Q$8:$Q$154*'ANALYSE - ERP =&gt; SOUS-SEGMENT'!$BJ$8:$BJ$154*'ANALYSE - ERP =&gt; SOUS-SEGMENT'!$BV$8:$BV$154)/SUMPRODUCT(('ANALYSE - ERP =&gt; SOUS-SEGMENT'!$C$8:$C$154=$C30)*'ANALYSE - ERP =&gt; SOUS-SEGMENT'!$Q$8:$Q$154*'ANALYSE - ERP =&gt; SOUS-SEGMENT'!$BJ$8:$BJ$154),"")</f>
        <v>3.6359949698287208E-2</v>
      </c>
      <c r="BT30" s="589">
        <f>IFERROR(SUMPRODUCT(('ANALYSE - ERP =&gt; SOUS-SEGMENT'!$C$8:$C$154=$C30)*'ANALYSE - ERP =&gt; SOUS-SEGMENT'!$Q$8:$Q$154*'ANALYSE - ERP =&gt; SOUS-SEGMENT'!$BF$8:$BF$154*'ANALYSE - ERP =&gt; SOUS-SEGMENT'!$BW$8:$BW$154)/SUMPRODUCT(('ANALYSE - ERP =&gt; SOUS-SEGMENT'!$C$8:$C$154=$C30)*'ANALYSE - ERP =&gt; SOUS-SEGMENT'!$Q$8:$Q$154*'ANALYSE - ERP =&gt; SOUS-SEGMENT'!$BF$8:$BF$154),"")</f>
        <v>0.22762577830295869</v>
      </c>
      <c r="BU30" s="306">
        <f>IFERROR(SUMPRODUCT(('ANALYSE - ERP =&gt; SOUS-SEGMENT'!$C$8:$C$154=$C30)*'ANALYSE - ERP =&gt; SOUS-SEGMENT'!$Q$8:$Q$154*'ANALYSE - ERP =&gt; SOUS-SEGMENT'!$BF$8:$BF$154*'ANALYSE - ERP =&gt; SOUS-SEGMENT'!$BX$8:$BX$154)/SUMPRODUCT(('ANALYSE - ERP =&gt; SOUS-SEGMENT'!$C$8:$C$154=$C30)*'ANALYSE - ERP =&gt; SOUS-SEGMENT'!$Q$8:$Q$154*'ANALYSE - ERP =&gt; SOUS-SEGMENT'!$BF$8:$BF$154),"")</f>
        <v>0.71273462709630508</v>
      </c>
      <c r="BV30" s="590">
        <f>IFERROR(SUMPRODUCT(('ANALYSE - ERP =&gt; SOUS-SEGMENT'!$C$8:$C$154=$C30)*'ANALYSE - ERP =&gt; SOUS-SEGMENT'!$Q$8:$Q$154*'ANALYSE - ERP =&gt; SOUS-SEGMENT'!$BF$8:$BF$154*'ANALYSE - ERP =&gt; SOUS-SEGMENT'!$BY$8:$BY$154)/SUMPRODUCT(('ANALYSE - ERP =&gt; SOUS-SEGMENT'!$C$8:$C$154=$C30)*'ANALYSE - ERP =&gt; SOUS-SEGMENT'!$Q$8:$Q$154*'ANALYSE - ERP =&gt; SOUS-SEGMENT'!$BF$8:$BF$154),"")</f>
        <v>5.9639594600736263E-2</v>
      </c>
      <c r="BW30" s="589">
        <f>IFERROR(SUMPRODUCT(('ANALYSE - ERP =&gt; SOUS-SEGMENT'!$C$8:$C$154=$C30)*'ANALYSE - ERP =&gt; SOUS-SEGMENT'!$Q$8:$Q$154*'ANALYSE - ERP =&gt; SOUS-SEGMENT'!$BK$8:$BK$154*'ANALYSE - ERP =&gt; SOUS-SEGMENT'!$BZ$8:$BZ$154)/SUMPRODUCT(('ANALYSE - ERP =&gt; SOUS-SEGMENT'!$C$8:$C$154=$C30)*'ANALYSE - ERP =&gt; SOUS-SEGMENT'!$Q$8:$Q$154*'ANALYSE - ERP =&gt; SOUS-SEGMENT'!$BK$8:$BK$154),"")</f>
        <v>0.18313557343763076</v>
      </c>
      <c r="BX30" s="306">
        <f>IFERROR(SUMPRODUCT(('ANALYSE - ERP =&gt; SOUS-SEGMENT'!$C$8:$C$154=$C30)*'ANALYSE - ERP =&gt; SOUS-SEGMENT'!$Q$8:$Q$154*'ANALYSE - ERP =&gt; SOUS-SEGMENT'!$BK$8:$BK$154*'ANALYSE - ERP =&gt; SOUS-SEGMENT'!$CA$8:$CA$154)/SUMPRODUCT(('ANALYSE - ERP =&gt; SOUS-SEGMENT'!$C$8:$C$154=$C30)*'ANALYSE - ERP =&gt; SOUS-SEGMENT'!$Q$8:$Q$154*'ANALYSE - ERP =&gt; SOUS-SEGMENT'!$BK$8:$BK$154),"")</f>
        <v>0.73743700532498246</v>
      </c>
      <c r="BY30" s="590">
        <f>IFERROR(SUMPRODUCT(('ANALYSE - ERP =&gt; SOUS-SEGMENT'!$C$8:$C$154=$C30)*'ANALYSE - ERP =&gt; SOUS-SEGMENT'!$Q$8:$Q$154*'ANALYSE - ERP =&gt; SOUS-SEGMENT'!$BK$8:$BK$154*'ANALYSE - ERP =&gt; SOUS-SEGMENT'!$CB$8:$CB$154)/SUMPRODUCT(('ANALYSE - ERP =&gt; SOUS-SEGMENT'!$C$8:$C$154=$C30)*'ANALYSE - ERP =&gt; SOUS-SEGMENT'!$Q$8:$Q$154*'ANALYSE - ERP =&gt; SOUS-SEGMENT'!$BK$8:$BK$154),"")</f>
        <v>7.9427421237386747E-2</v>
      </c>
      <c r="BZ30" s="580">
        <f>IFERROR(SUMPRODUCT(('ANALYSE - ERP =&gt; SOUS-SEGMENT'!$C$8:$C$154=$C30)*'ANALYSE - ERP =&gt; SOUS-SEGMENT'!$Q$8:$Q$154*'ANALYSE - ERP =&gt; SOUS-SEGMENT'!$BG$8:$BG$154*'ANALYSE - ERP =&gt; SOUS-SEGMENT'!$CC$8:$CC$154)/SUMPRODUCT(('ANALYSE - ERP =&gt; SOUS-SEGMENT'!$C$8:$C$154=$C30)*'ANALYSE - ERP =&gt; SOUS-SEGMENT'!$Q$8:$Q$154*'ANALYSE - ERP =&gt; SOUS-SEGMENT'!$BG$8:$BG$154),"")</f>
        <v>0.05</v>
      </c>
      <c r="CA30" s="305">
        <f>IFERROR(SUMPRODUCT(('ANALYSE - ERP =&gt; SOUS-SEGMENT'!$C$8:$C$154=$C30)*'ANALYSE - ERP =&gt; SOUS-SEGMENT'!$Q$8:$Q$154*'ANALYSE - ERP =&gt; SOUS-SEGMENT'!$BG$8:$BG$154*'ANALYSE - ERP =&gt; SOUS-SEGMENT'!$CD$8:$CD$154)/SUMPRODUCT(('ANALYSE - ERP =&gt; SOUS-SEGMENT'!$C$8:$C$154=$C30)*'ANALYSE - ERP =&gt; SOUS-SEGMENT'!$Q$8:$Q$154*'ANALYSE - ERP =&gt; SOUS-SEGMENT'!$BG$8:$BG$154),"")</f>
        <v>0.58325518262586373</v>
      </c>
      <c r="CB30" s="305">
        <f>IFERROR(SUMPRODUCT(('ANALYSE - ERP =&gt; SOUS-SEGMENT'!$C$8:$C$154=$C30)*'ANALYSE - ERP =&gt; SOUS-SEGMENT'!$Q$8:$Q$154*'ANALYSE - ERP =&gt; SOUS-SEGMENT'!$BG$8:$BG$154*'ANALYSE - ERP =&gt; SOUS-SEGMENT'!$CE$8:$CE$154)/SUMPRODUCT(('ANALYSE - ERP =&gt; SOUS-SEGMENT'!$C$8:$C$154=$C30)*'ANALYSE - ERP =&gt; SOUS-SEGMENT'!$Q$8:$Q$154*'ANALYSE - ERP =&gt; SOUS-SEGMENT'!$BG$8:$BG$154),"")</f>
        <v>9.4175715695952622E-2</v>
      </c>
      <c r="CC30" s="581">
        <f>IFERROR(SUMPRODUCT(('ANALYSE - ERP =&gt; SOUS-SEGMENT'!$C$8:$C$154=$C30)*'ANALYSE - ERP =&gt; SOUS-SEGMENT'!$Q$8:$Q$154*'ANALYSE - ERP =&gt; SOUS-SEGMENT'!$BG$8:$BG$154*'ANALYSE - ERP =&gt; SOUS-SEGMENT'!$CF$8:$CF$154)/SUMPRODUCT(('ANALYSE - ERP =&gt; SOUS-SEGMENT'!$C$8:$C$154=$C30)*'ANALYSE - ERP =&gt; SOUS-SEGMENT'!$Q$8:$Q$154*'ANALYSE - ERP =&gt; SOUS-SEGMENT'!$BG$8:$BG$154),"")</f>
        <v>0.2725691016781836</v>
      </c>
      <c r="CD30" s="580">
        <f>IFERROR(SUMPRODUCT(('ANALYSE - ERP =&gt; SOUS-SEGMENT'!$C$8:$C$154=$C30)*'ANALYSE - ERP =&gt; SOUS-SEGMENT'!$Q$8:$Q$154*'ANALYSE - ERP =&gt; SOUS-SEGMENT'!$BL$8:$BL$154*'ANALYSE - ERP =&gt; SOUS-SEGMENT'!$CG$8:$CG$154)/SUMPRODUCT(('ANALYSE - ERP =&gt; SOUS-SEGMENT'!$C$8:$C$154=$C30)*'ANALYSE - ERP =&gt; SOUS-SEGMENT'!$Q$8:$Q$154*'ANALYSE - ERP =&gt; SOUS-SEGMENT'!$BL$8:$BL$154),"")</f>
        <v>0.04</v>
      </c>
      <c r="CE30" s="305">
        <f>IFERROR(SUMPRODUCT(('ANALYSE - ERP =&gt; SOUS-SEGMENT'!$C$8:$C$154=$C30)*'ANALYSE - ERP =&gt; SOUS-SEGMENT'!$Q$8:$Q$154*'ANALYSE - ERP =&gt; SOUS-SEGMENT'!$BL$8:$BL$154*'ANALYSE - ERP =&gt; SOUS-SEGMENT'!$CH$8:$CH$154)/SUMPRODUCT(('ANALYSE - ERP =&gt; SOUS-SEGMENT'!$C$8:$C$154=$C30)*'ANALYSE - ERP =&gt; SOUS-SEGMENT'!$Q$8:$Q$154*'ANALYSE - ERP =&gt; SOUS-SEGMENT'!$BL$8:$BL$154),"")</f>
        <v>0.58324744733255218</v>
      </c>
      <c r="CF30" s="305">
        <f>IFERROR(SUMPRODUCT(('ANALYSE - ERP =&gt; SOUS-SEGMENT'!$C$8:$C$154=$C30)*'ANALYSE - ERP =&gt; SOUS-SEGMENT'!$Q$8:$Q$154*'ANALYSE - ERP =&gt; SOUS-SEGMENT'!$BL$8:$BL$154*'ANALYSE - ERP =&gt; SOUS-SEGMENT'!$CI$8:$CI$154)/SUMPRODUCT(('ANALYSE - ERP =&gt; SOUS-SEGMENT'!$C$8:$C$154=$C30)*'ANALYSE - ERP =&gt; SOUS-SEGMENT'!$Q$8:$Q$154*'ANALYSE - ERP =&gt; SOUS-SEGMENT'!$BL$8:$BL$154),"")</f>
        <v>0.11583897271575122</v>
      </c>
      <c r="CG30" s="581">
        <f>IFERROR(SUMPRODUCT(('ANALYSE - ERP =&gt; SOUS-SEGMENT'!$C$8:$C$154=$C30)*'ANALYSE - ERP =&gt; SOUS-SEGMENT'!$Q$8:$Q$154*'ANALYSE - ERP =&gt; SOUS-SEGMENT'!$BL$8:$BL$154*'ANALYSE - ERP =&gt; SOUS-SEGMENT'!$CJ$8:$CJ$154)/SUMPRODUCT(('ANALYSE - ERP =&gt; SOUS-SEGMENT'!$C$8:$C$154=$C30)*'ANALYSE - ERP =&gt; SOUS-SEGMENT'!$Q$8:$Q$154*'ANALYSE - ERP =&gt; SOUS-SEGMENT'!$BL$8:$BL$154),"")</f>
        <v>0.26091357995169667</v>
      </c>
      <c r="CH30" s="589">
        <f>IFERROR(SUMPRODUCT(('ANALYSE - ERP =&gt; SOUS-SEGMENT'!$C$8:$C$154=$C30)*'ANALYSE - ERP =&gt; SOUS-SEGMENT'!$Q$8:$Q$154*'ANALYSE - ERP =&gt; SOUS-SEGMENT'!$BH$8:$BH$154*'ANALYSE - ERP =&gt; SOUS-SEGMENT'!$CK$8:$CK$154)/SUMPRODUCT(('ANALYSE - ERP =&gt; SOUS-SEGMENT'!$C$8:$C$154=$C30)*'ANALYSE - ERP =&gt; SOUS-SEGMENT'!$Q$8:$Q$154*'ANALYSE - ERP =&gt; SOUS-SEGMENT'!$BH$8:$BH$154),"")</f>
        <v>0.32394182846090902</v>
      </c>
      <c r="CI30" s="306">
        <f>IFERROR(SUMPRODUCT(('ANALYSE - ERP =&gt; SOUS-SEGMENT'!$C$8:$C$154=$C30)*'ANALYSE - ERP =&gt; SOUS-SEGMENT'!$Q$8:$Q$154*'ANALYSE - ERP =&gt; SOUS-SEGMENT'!$BH$8:$BH$154*'ANALYSE - ERP =&gt; SOUS-SEGMENT'!$CL$8:$CL$154)/SUMPRODUCT(('ANALYSE - ERP =&gt; SOUS-SEGMENT'!$C$8:$C$154=$C30)*'ANALYSE - ERP =&gt; SOUS-SEGMENT'!$Q$8:$Q$154*'ANALYSE - ERP =&gt; SOUS-SEGMENT'!$BH$8:$BH$154),"")</f>
        <v>0.54427211187978874</v>
      </c>
      <c r="CJ30" s="590">
        <f>IFERROR(SUMPRODUCT(('ANALYSE - ERP =&gt; SOUS-SEGMENT'!$C$8:$C$154=$C30)*'ANALYSE - ERP =&gt; SOUS-SEGMENT'!$Q$8:$Q$154*'ANALYSE - ERP =&gt; SOUS-SEGMENT'!$BH$8:$BH$154*'ANALYSE - ERP =&gt; SOUS-SEGMENT'!$CM$8:$CM$154)/SUMPRODUCT(('ANALYSE - ERP =&gt; SOUS-SEGMENT'!$C$8:$C$154=$C30)*'ANALYSE - ERP =&gt; SOUS-SEGMENT'!$Q$8:$Q$154*'ANALYSE - ERP =&gt; SOUS-SEGMENT'!$BH$8:$BH$154),"")</f>
        <v>0.13178605965930223</v>
      </c>
      <c r="CK30" s="589">
        <f>IFERROR(SUMPRODUCT(('ANALYSE - ERP =&gt; SOUS-SEGMENT'!$C$8:$C$154=$C30)*'ANALYSE - ERP =&gt; SOUS-SEGMENT'!$Q$8:$Q$154*'ANALYSE - ERP =&gt; SOUS-SEGMENT'!$BM$8:$BM$154*'ANALYSE - ERP =&gt; SOUS-SEGMENT'!$CN$8:$CN$154)/SUMPRODUCT(('ANALYSE - ERP =&gt; SOUS-SEGMENT'!$C$8:$C$154=$C30)*'ANALYSE - ERP =&gt; SOUS-SEGMENT'!$Q$8:$Q$154*'ANALYSE - ERP =&gt; SOUS-SEGMENT'!$BM$8:$BM$154),"")</f>
        <v>0.22466700266397868</v>
      </c>
      <c r="CL30" s="306">
        <f>IFERROR(SUMPRODUCT(('ANALYSE - ERP =&gt; SOUS-SEGMENT'!$C$8:$C$154=$C30)*'ANALYSE - ERP =&gt; SOUS-SEGMENT'!$Q$8:$Q$154*'ANALYSE - ERP =&gt; SOUS-SEGMENT'!$BM$8:$BM$154*'ANALYSE - ERP =&gt; SOUS-SEGMENT'!$CO$8:$CO$154)/SUMPRODUCT(('ANALYSE - ERP =&gt; SOUS-SEGMENT'!$C$8:$C$154=$C30)*'ANALYSE - ERP =&gt; SOUS-SEGMENT'!$Q$8:$Q$154*'ANALYSE - ERP =&gt; SOUS-SEGMENT'!$BM$8:$BM$154),"")</f>
        <v>0.57368745050039593</v>
      </c>
      <c r="CM30" s="590">
        <f>IFERROR(SUMPRODUCT(('ANALYSE - ERP =&gt; SOUS-SEGMENT'!$C$8:$C$154=$C30)*'ANALYSE - ERP =&gt; SOUS-SEGMENT'!$Q$8:$Q$154*'ANALYSE - ERP =&gt; SOUS-SEGMENT'!$BM$8:$BM$154*'ANALYSE - ERP =&gt; SOUS-SEGMENT'!$CP$8:$CP$154)/SUMPRODUCT(('ANALYSE - ERP =&gt; SOUS-SEGMENT'!$C$8:$C$154=$C30)*'ANALYSE - ERP =&gt; SOUS-SEGMENT'!$Q$8:$Q$154*'ANALYSE - ERP =&gt; SOUS-SEGMENT'!$BM$8:$BM$154),"")</f>
        <v>0.2016455468356253</v>
      </c>
      <c r="CN30" s="657"/>
      <c r="CO30" s="889">
        <f>IFERROR(SUMPRODUCT(('ANALYSE - ERP =&gt; SOUS-SEGMENT'!$C$8:$C$154=$C30)*'ANALYSE - ERP =&gt; SOUS-SEGMENT'!$DH$8:$DH$154*('ANALYSE - ERP =&gt; SOUS-SEGMENT'!$CR$8:$CR$154&gt;0)*'ANALYSE - ERP =&gt; SOUS-SEGMENT'!$CR$8:$CR$154)/SUMPRODUCT(('ANALYSE - ERP =&gt; SOUS-SEGMENT'!$C$8:$C$154=$C30)*'ANALYSE - ERP =&gt; SOUS-SEGMENT'!$DH$8:$DH$154*('ANALYSE - ERP =&gt; SOUS-SEGMENT'!$CR$8:$CR$154&gt;0)),"")</f>
        <v>10</v>
      </c>
      <c r="CP30" s="890">
        <f>IFERROR(SUMPRODUCT(('ANALYSE - ERP =&gt; SOUS-SEGMENT'!$C$8:$C$154=$C30)*'ANALYSE - ERP =&gt; SOUS-SEGMENT'!$DI$8:$DI$154*('ANALYSE - ERP =&gt; SOUS-SEGMENT'!$CS$8:$CS$154&gt;0)*'ANALYSE - ERP =&gt; SOUS-SEGMENT'!$CS$8:$CS$154)/SUMPRODUCT(('ANALYSE - ERP =&gt; SOUS-SEGMENT'!$C$8:$C$154=$C30)*'ANALYSE - ERP =&gt; SOUS-SEGMENT'!$DI$8:$DI$154*('ANALYSE - ERP =&gt; SOUS-SEGMENT'!$CS$8:$CS$154&gt;0)),"")</f>
        <v>10.999999999999998</v>
      </c>
      <c r="CQ30" s="890">
        <f>IFERROR(SUMPRODUCT(('ANALYSE - ERP =&gt; SOUS-SEGMENT'!$C$8:$C$154=$C30)*'ANALYSE - ERP =&gt; SOUS-SEGMENT'!$DJ$8:$DJ$154*('ANALYSE - ERP =&gt; SOUS-SEGMENT'!$CT$8:$CT$154&gt;0)*'ANALYSE - ERP =&gt; SOUS-SEGMENT'!$CT$8:$CT$154)/SUMPRODUCT(('ANALYSE - ERP =&gt; SOUS-SEGMENT'!$C$8:$C$154=$C30)*'ANALYSE - ERP =&gt; SOUS-SEGMENT'!$DJ$8:$DJ$154*('ANALYSE - ERP =&gt; SOUS-SEGMENT'!$CT$8:$CT$154&gt;0)),"")</f>
        <v>8</v>
      </c>
      <c r="CR30" s="891">
        <f>IFERROR(SUMPRODUCT(('ANALYSE - ERP =&gt; SOUS-SEGMENT'!$C$8:$C$154=$C30)*'ANALYSE - ERP =&gt; SOUS-SEGMENT'!$DK$8:$DK$154*('ANALYSE - ERP =&gt; SOUS-SEGMENT'!$CU$8:$CU$154&gt;0)*'ANALYSE - ERP =&gt; SOUS-SEGMENT'!$CU$8:$CU$154)/SUMPRODUCT(('ANALYSE - ERP =&gt; SOUS-SEGMENT'!$C$8:$C$154=$C30)*'ANALYSE - ERP =&gt; SOUS-SEGMENT'!$DK$8:$DK$154*('ANALYSE - ERP =&gt; SOUS-SEGMENT'!$CU$8:$CU$154&gt;0)),"")</f>
        <v>9.018932104014679</v>
      </c>
      <c r="CS30" s="889">
        <f>IFERROR(SUMPRODUCT(('ANALYSE - ERP =&gt; SOUS-SEGMENT'!$C$8:$C$154=$C30)*'ANALYSE - ERP =&gt; SOUS-SEGMENT'!$DS$8:$DS$154*('ANALYSE - ERP =&gt; SOUS-SEGMENT'!$CV$8:$CV$154&gt;0)*'ANALYSE - ERP =&gt; SOUS-SEGMENT'!$CV$8:$CV$154)/SUMPRODUCT(('ANALYSE - ERP =&gt; SOUS-SEGMENT'!$C$8:$C$154=$C30)*'ANALYSE - ERP =&gt; SOUS-SEGMENT'!$DS$8:$DS$154*('ANALYSE - ERP =&gt; SOUS-SEGMENT'!$CV$8:$CV$154&gt;0)),"")</f>
        <v>8.9818506723637057</v>
      </c>
      <c r="CT30" s="890">
        <f>IFERROR(SUMPRODUCT(('ANALYSE - ERP =&gt; SOUS-SEGMENT'!$C$8:$C$154=$C30)*'ANALYSE - ERP =&gt; SOUS-SEGMENT'!$DT$8:$DT$154*('ANALYSE - ERP =&gt; SOUS-SEGMENT'!$CW$8:$CW$154&gt;0)*'ANALYSE - ERP =&gt; SOUS-SEGMENT'!$CW$8:$CW$154)/SUMPRODUCT(('ANALYSE - ERP =&gt; SOUS-SEGMENT'!$C$8:$C$154=$C30)*'ANALYSE - ERP =&gt; SOUS-SEGMENT'!$DT$8:$DT$154*('ANALYSE - ERP =&gt; SOUS-SEGMENT'!$CW$8:$CW$154&gt;0)),"")</f>
        <v>9.9381723344152331</v>
      </c>
      <c r="CU30" s="891">
        <f>IFERROR(SUMPRODUCT(('ANALYSE - ERP =&gt; SOUS-SEGMENT'!$C$8:$C$154=$C30)*'ANALYSE - ERP =&gt; SOUS-SEGMENT'!$DU$8:$DU$154*('ANALYSE - ERP =&gt; SOUS-SEGMENT'!$CX$8:$CX$154&gt;0)*'ANALYSE - ERP =&gt; SOUS-SEGMENT'!$CX$8:$CX$154)/SUMPRODUCT(('ANALYSE - ERP =&gt; SOUS-SEGMENT'!$C$8:$C$154=$C30)*'ANALYSE - ERP =&gt; SOUS-SEGMENT'!$DU$8:$DU$154*('ANALYSE - ERP =&gt; SOUS-SEGMENT'!$CX$8:$CX$154&gt;0)),"")</f>
        <v>7.9769098875976381</v>
      </c>
      <c r="CV30" s="889">
        <f>IFERROR(SUMPRODUCT(('ANALYSE - ERP =&gt; SOUS-SEGMENT'!$C$8:$C$154=$C30)*'ANALYSE - ERP =&gt; SOUS-SEGMENT'!$EB$8:$EB$154*('ANALYSE - ERP =&gt; SOUS-SEGMENT'!$CY$8:$CY$154&gt;0)*'ANALYSE - ERP =&gt; SOUS-SEGMENT'!$CY$8:$CY$154)/SUMPRODUCT(('ANALYSE - ERP =&gt; SOUS-SEGMENT'!$C$8:$C$154=$C30)*'ANALYSE - ERP =&gt; SOUS-SEGMENT'!$EB$8:$EB$154*('ANALYSE - ERP =&gt; SOUS-SEGMENT'!$CY$8:$CY$154&gt;0)),"")</f>
        <v>8</v>
      </c>
      <c r="CW30" s="890">
        <f>IFERROR(SUMPRODUCT(('ANALYSE - ERP =&gt; SOUS-SEGMENT'!$C$8:$C$154=$C30)*'ANALYSE - ERP =&gt; SOUS-SEGMENT'!$EC$8:$EC$154*('ANALYSE - ERP =&gt; SOUS-SEGMENT'!$CZ$8:$CZ$154&gt;0)*'ANALYSE - ERP =&gt; SOUS-SEGMENT'!$CZ$8:$CZ$154)/SUMPRODUCT(('ANALYSE - ERP =&gt; SOUS-SEGMENT'!$C$8:$C$154=$C30)*'ANALYSE - ERP =&gt; SOUS-SEGMENT'!$EC$8:$EC$154*('ANALYSE - ERP =&gt; SOUS-SEGMENT'!$CZ$8:$CZ$154&gt;0)),"")</f>
        <v>10.993949266930416</v>
      </c>
      <c r="CX30" s="890">
        <f>IFERROR(SUMPRODUCT(('ANALYSE - ERP =&gt; SOUS-SEGMENT'!$C$8:$C$154=$C30)*'ANALYSE - ERP =&gt; SOUS-SEGMENT'!$ED$8:$ED$154*('ANALYSE - ERP =&gt; SOUS-SEGMENT'!$DA$8:$DA$154&gt;0)*'ANALYSE - ERP =&gt; SOUS-SEGMENT'!$DA$8:$DA$154)/SUMPRODUCT(('ANALYSE - ERP =&gt; SOUS-SEGMENT'!$C$8:$C$154=$C30)*'ANALYSE - ERP =&gt; SOUS-SEGMENT'!$ED$8:$ED$154*('ANALYSE - ERP =&gt; SOUS-SEGMENT'!$DA$8:$DA$154&gt;0)),"")</f>
        <v>7.9931865828092246</v>
      </c>
      <c r="CY30" s="892">
        <f>IFERROR(SUMPRODUCT(('ANALYSE - ERP =&gt; SOUS-SEGMENT'!$C$8:$C$154=$C30)*'ANALYSE - ERP =&gt; SOUS-SEGMENT'!$EE$8:$EE$154*('ANALYSE - ERP =&gt; SOUS-SEGMENT'!$DB$8:$DB$154&gt;0)*'ANALYSE - ERP =&gt; SOUS-SEGMENT'!$DB$8:$DB$154)/SUMPRODUCT(('ANALYSE - ERP =&gt; SOUS-SEGMENT'!$C$8:$C$154=$C30)*'ANALYSE - ERP =&gt; SOUS-SEGMENT'!$EE$8:$EE$154*('ANALYSE - ERP =&gt; SOUS-SEGMENT'!$DB$8:$DB$154&gt;0)),"")</f>
        <v>9</v>
      </c>
      <c r="CZ30" s="893">
        <f>IFERROR(SUMPRODUCT(('ANALYSE - ERP =&gt; SOUS-SEGMENT'!$C$8:$C$154=$C30)*'ANALYSE - ERP =&gt; SOUS-SEGMENT'!$EM$8:$EM$154*('ANALYSE - ERP =&gt; SOUS-SEGMENT'!$DC$8:$DC$154&gt;0)*'ANALYSE - ERP =&gt; SOUS-SEGMENT'!$DC$8:$DC$154)/SUMPRODUCT(('ANALYSE - ERP =&gt; SOUS-SEGMENT'!$C$8:$C$154=$C30)*'ANALYSE - ERP =&gt; SOUS-SEGMENT'!$EM$8:$EM$154*('ANALYSE - ERP =&gt; SOUS-SEGMENT'!$DC$8:$DC$154&gt;0)),"")</f>
        <v>9.01079281244618</v>
      </c>
      <c r="DA30" s="890">
        <f>IFERROR(SUMPRODUCT(('ANALYSE - ERP =&gt; SOUS-SEGMENT'!$C$8:$C$154=$C30)*'ANALYSE - ERP =&gt; SOUS-SEGMENT'!$EN$8:$EN$154*('ANALYSE - ERP =&gt; SOUS-SEGMENT'!$DD$8:$DD$154&gt;0)*'ANALYSE - ERP =&gt; SOUS-SEGMENT'!$DD$8:$DD$154)/SUMPRODUCT(('ANALYSE - ERP =&gt; SOUS-SEGMENT'!$C$8:$C$154=$C30)*'ANALYSE - ERP =&gt; SOUS-SEGMENT'!$EN$8:$EN$154*('ANALYSE - ERP =&gt; SOUS-SEGMENT'!$DD$8:$DD$154&gt;0)),"")</f>
        <v>11.985867849357287</v>
      </c>
      <c r="DB30" s="892">
        <f>IFERROR(SUMPRODUCT(('ANALYSE - ERP =&gt; SOUS-SEGMENT'!$C$8:$C$154=$C30)*'ANALYSE - ERP =&gt; SOUS-SEGMENT'!$EO$8:$EO$154*('ANALYSE - ERP =&gt; SOUS-SEGMENT'!$DE$8:$DE$154&gt;0)*'ANALYSE - ERP =&gt; SOUS-SEGMENT'!$DE$8:$DE$154)/SUMPRODUCT(('ANALYSE - ERP =&gt; SOUS-SEGMENT'!$C$8:$C$154=$C30)*'ANALYSE - ERP =&gt; SOUS-SEGMENT'!$EO$8:$EO$154*('ANALYSE - ERP =&gt; SOUS-SEGMENT'!$DE$8:$DE$154&gt;0)),"")</f>
        <v>8.9787762474599226</v>
      </c>
      <c r="DC30" s="609" t="s">
        <v>7269</v>
      </c>
      <c r="DD30" s="657"/>
      <c r="DE30" s="308">
        <f t="shared" si="2"/>
        <v>41599.199999999997</v>
      </c>
      <c r="DF30" s="308">
        <f t="shared" si="3"/>
        <v>309380.80000000005</v>
      </c>
      <c r="DG30" s="308">
        <f t="shared" si="4"/>
        <v>27745.599999999999</v>
      </c>
      <c r="DH30" s="308">
        <f t="shared" si="5"/>
        <v>17874.400000000001</v>
      </c>
      <c r="DI30" s="287" t="s">
        <v>7270</v>
      </c>
      <c r="DJ30" s="308">
        <f t="shared" si="6"/>
        <v>34864</v>
      </c>
      <c r="DK30" s="308">
        <f t="shared" si="7"/>
        <v>322578.15999999997</v>
      </c>
      <c r="DL30" s="308">
        <f t="shared" si="8"/>
        <v>37962.479999999996</v>
      </c>
      <c r="DM30" s="308">
        <f t="shared" si="9"/>
        <v>14919.36</v>
      </c>
      <c r="DN30" s="287" t="s">
        <v>7271</v>
      </c>
      <c r="DO30" s="657"/>
      <c r="DP30" s="308">
        <f t="shared" si="10"/>
        <v>100169</v>
      </c>
      <c r="DQ30" s="308">
        <f t="shared" si="11"/>
        <v>313646</v>
      </c>
      <c r="DR30" s="308">
        <f t="shared" si="12"/>
        <v>26245</v>
      </c>
      <c r="DS30" s="287" t="s">
        <v>7272</v>
      </c>
      <c r="DT30" s="308">
        <f t="shared" si="13"/>
        <v>83159.3</v>
      </c>
      <c r="DU30" s="308">
        <f t="shared" si="14"/>
        <v>334859.82</v>
      </c>
      <c r="DV30" s="308">
        <f t="shared" si="15"/>
        <v>36066.879999999997</v>
      </c>
      <c r="DW30" s="287" t="s">
        <v>7273</v>
      </c>
      <c r="DX30" s="657"/>
      <c r="DY30" s="308">
        <f t="shared" si="16"/>
        <v>4052</v>
      </c>
      <c r="DZ30" s="308">
        <f t="shared" si="17"/>
        <v>47267</v>
      </c>
      <c r="EA30" s="308">
        <f t="shared" si="18"/>
        <v>7632.0000000000009</v>
      </c>
      <c r="EB30" s="308">
        <f t="shared" si="19"/>
        <v>22089</v>
      </c>
      <c r="EC30" s="287" t="s">
        <v>7274</v>
      </c>
      <c r="ED30" s="308">
        <f t="shared" si="20"/>
        <v>3345.52</v>
      </c>
      <c r="EE30" s="308">
        <f t="shared" si="21"/>
        <v>48781.65</v>
      </c>
      <c r="EF30" s="308">
        <f t="shared" si="22"/>
        <v>9688.5400000000009</v>
      </c>
      <c r="EG30" s="308">
        <f t="shared" si="23"/>
        <v>21822.290000000005</v>
      </c>
      <c r="EH30" s="614" t="s">
        <v>7275</v>
      </c>
      <c r="EI30" s="290"/>
      <c r="EJ30" s="308">
        <f t="shared" si="24"/>
        <v>87095</v>
      </c>
      <c r="EK30" s="310">
        <f t="shared" si="25"/>
        <v>146333</v>
      </c>
      <c r="EL30" s="310">
        <f t="shared" si="26"/>
        <v>35432</v>
      </c>
      <c r="EM30" s="287" t="s">
        <v>7276</v>
      </c>
      <c r="EN30" s="308">
        <f t="shared" si="27"/>
        <v>62408</v>
      </c>
      <c r="EO30" s="310">
        <f t="shared" si="28"/>
        <v>159358.9</v>
      </c>
      <c r="EP30" s="310">
        <f t="shared" si="29"/>
        <v>56013.1</v>
      </c>
      <c r="EQ30" s="289" t="s">
        <v>7277</v>
      </c>
      <c r="ER30" s="657"/>
      <c r="ES30" s="728">
        <f t="shared" si="30"/>
        <v>0.77932596326192605</v>
      </c>
      <c r="ET30" s="728">
        <f t="shared" si="31"/>
        <v>0.15772684232358991</v>
      </c>
      <c r="EU30" s="311">
        <f t="shared" si="32"/>
        <v>620118.03383192432</v>
      </c>
      <c r="EV30" s="311">
        <f t="shared" si="33"/>
        <v>494346.81463192432</v>
      </c>
      <c r="EW30" s="311">
        <f t="shared" si="34"/>
        <v>125771.21919999999</v>
      </c>
      <c r="EX30" s="311">
        <f t="shared" si="35"/>
        <v>200057.01617084848</v>
      </c>
      <c r="EY30" s="311">
        <f>SUMPRODUCT(('ANALYSE - ERP =&gt; SOUS-SEGMENT'!$C$8:$C$154=$C30)*'ANALYSE - ERP =&gt; SOUS-SEGMENT'!$Q$8:$Q$154*'ANALYSE - ERP =&gt; SOUS-SEGMENT'!$FB$8:$FB$154)</f>
        <v>157269.55057084849</v>
      </c>
      <c r="EZ30" s="311">
        <f>SUMPRODUCT(('ANALYSE - ERP =&gt; SOUS-SEGMENT'!$C$8:$C$154=$C30)*'ANALYSE - ERP =&gt; SOUS-SEGMENT'!$Q$8:$Q$154*'ANALYSE - ERP =&gt; SOUS-SEGMENT'!$FC$8:$FC$154)</f>
        <v>42787.465599999996</v>
      </c>
      <c r="FA30" s="311">
        <f t="shared" si="36"/>
        <v>240488.35430975002</v>
      </c>
      <c r="FB30" s="311">
        <f>SUMPRODUCT(('ANALYSE - ERP =&gt; SOUS-SEGMENT'!$C$8:$C$154=$C30)*'ANALYSE - ERP =&gt; SOUS-SEGMENT'!$Q$8:$Q$154*'ANALYSE - ERP =&gt; SOUS-SEGMENT'!$FE$8:$FE$154)</f>
        <v>194473.86890975002</v>
      </c>
      <c r="FC30" s="311">
        <f>SUMPRODUCT(('ANALYSE - ERP =&gt; SOUS-SEGMENT'!$C$8:$C$154=$C30)*'ANALYSE - ERP =&gt; SOUS-SEGMENT'!$Q$8:$Q$154*'ANALYSE - ERP =&gt; SOUS-SEGMENT'!$FF$8:$FF$154)</f>
        <v>46014.485400000005</v>
      </c>
      <c r="FD30" s="311">
        <f t="shared" si="37"/>
        <v>43150.489577325759</v>
      </c>
      <c r="FE30" s="311">
        <f>SUMPRODUCT(('ANALYSE - ERP =&gt; SOUS-SEGMENT'!$C$8:$C$154=$C30)*'ANALYSE - ERP =&gt; SOUS-SEGMENT'!$Q$8:$Q$154*'ANALYSE - ERP =&gt; SOUS-SEGMENT'!$FH$8:$FH$154)</f>
        <v>34661.855377325759</v>
      </c>
      <c r="FF30" s="311">
        <f>SUMPRODUCT(('ANALYSE - ERP =&gt; SOUS-SEGMENT'!$C$8:$C$154=$C30)*'ANALYSE - ERP =&gt; SOUS-SEGMENT'!$Q$8:$Q$154*'ANALYSE - ERP =&gt; SOUS-SEGMENT'!$FI$8:$FI$154)</f>
        <v>8488.6342000000004</v>
      </c>
      <c r="FG30" s="311">
        <f t="shared" si="38"/>
        <v>136422.17377400002</v>
      </c>
      <c r="FH30" s="311">
        <f>SUMPRODUCT(('ANALYSE - ERP =&gt; SOUS-SEGMENT'!$C$8:$C$154=$C30)*'ANALYSE - ERP =&gt; SOUS-SEGMENT'!$Q$8:$Q$154*'ANALYSE - ERP =&gt; SOUS-SEGMENT'!$FK$8:$FK$154)</f>
        <v>107941.53977400002</v>
      </c>
      <c r="FI30" s="311">
        <f>SUMPRODUCT(('ANALYSE - ERP =&gt; SOUS-SEGMENT'!$C$8:$C$154=$C30)*'ANALYSE - ERP =&gt; SOUS-SEGMENT'!$Q$8:$Q$154*'ANALYSE - ERP =&gt; SOUS-SEGMENT'!$FL$8:$FL$154)</f>
        <v>28480.633999999995</v>
      </c>
      <c r="FJ30" s="657"/>
      <c r="FK30" s="293" t="s">
        <v>2649</v>
      </c>
      <c r="FL30" s="728">
        <f>IFERROR(SUMPRODUCT(('ANALYSE - ERP =&gt; SOUS-SEGMENT'!$C$8:$C$154=$C30)*'ANALYSE - ERP =&gt; SOUS-SEGMENT'!$Q$8:$Q$154*'ANALYSE - ERP =&gt; SOUS-SEGMENT'!$AF$8:$AF$154*'ANALYSE - ERP =&gt; SOUS-SEGMENT'!$FO$8:$FO$154)/SUMPRODUCT(('ANALYSE - ERP =&gt; SOUS-SEGMENT'!$C$8:$C$154=$C30)*'ANALYSE - ERP =&gt; SOUS-SEGMENT'!$Q$8:$Q$154*'ANALYSE - ERP =&gt; SOUS-SEGMENT'!$AF$8:$AF$154),"")</f>
        <v>7.2960596285434998E-2</v>
      </c>
      <c r="FM30" s="729">
        <f>IFERROR(SUMPRODUCT(('ANALYSE - ERP =&gt; SOUS-SEGMENT'!$C$8:$C$154=$C30)*'ANALYSE - ERP =&gt; SOUS-SEGMENT'!$Q$8:$Q$154*'ANALYSE - ERP =&gt; SOUS-SEGMENT'!$AF$8:$AF$154*'ANALYSE - ERP =&gt; SOUS-SEGMENT'!$FP$8:$FP$154)/SUMPRODUCT(('ANALYSE - ERP =&gt; SOUS-SEGMENT'!$C$8:$C$154=$C30)*'ANALYSE - ERP =&gt; SOUS-SEGMENT'!$Q$8:$Q$154*'ANALYSE - ERP =&gt; SOUS-SEGMENT'!$AF$8:$AF$154),"")</f>
        <v>0.87952222222222232</v>
      </c>
      <c r="FN30" s="294" t="s">
        <v>6780</v>
      </c>
      <c r="FO30" s="657"/>
      <c r="FP30" s="865">
        <f>IFERROR(SUMPRODUCT(('ANALYSE - ERP =&gt; SOUS-SEGMENT'!$C$8:$C$154=$C30)*'ANALYSE - ERP =&gt; SOUS-SEGMENT'!$Q$8:$Q$154*'ANALYSE - ERP =&gt; SOUS-SEGMENT'!$EX$8:$EX$154*'ANALYSE - ERP =&gt; SOUS-SEGMENT'!$FS$8:$FS$154)/SUMPRODUCT(('ANALYSE - ERP =&gt; SOUS-SEGMENT'!$C$8:$C$154=$C30)*'ANALYSE - ERP =&gt; SOUS-SEGMENT'!$Q$8:$Q$154*'ANALYSE - ERP =&gt; SOUS-SEGMENT'!$EX$8:$EX$154),"")</f>
        <v>3.3979214933031603</v>
      </c>
      <c r="FQ30" s="312">
        <f>RANK($FP30,$FP$8:$FP$143,0)+COUNTIF($FP$8:$FP30,$FP30)-1</f>
        <v>16</v>
      </c>
      <c r="FR30" s="865">
        <f>IFERROR(SUMPRODUCT(('ANALYSE - ERP =&gt; SOUS-SEGMENT'!$C$8:$C$154=$C30)*'ANALYSE - ERP =&gt; SOUS-SEGMENT'!$Q$8:$Q$154*'ANALYSE - ERP =&gt; SOUS-SEGMENT'!$EY$8:$EY$154*'ANALYSE - ERP =&gt; SOUS-SEGMENT'!$FU$8:$FU$154)/SUMPRODUCT(('ANALYSE - ERP =&gt; SOUS-SEGMENT'!$C$8:$C$154=$C30)*'ANALYSE - ERP =&gt; SOUS-SEGMENT'!$Q$8:$Q$154*'ANALYSE - ERP =&gt; SOUS-SEGMENT'!$EY$8:$EY$154),"")</f>
        <v>4.1987339140179465</v>
      </c>
      <c r="FS30" s="312">
        <f>RANK($FR30,$FR$8:$FR$143,0)+COUNTIF($FR$8:$FR30,$FR30)-1</f>
        <v>11</v>
      </c>
      <c r="FT30" s="865">
        <f>IFERROR(SUMPRODUCT(('ANALYSE - ERP =&gt; SOUS-SEGMENT'!$C$8:$C$154=$C30)*'ANALYSE - ERP =&gt; SOUS-SEGMENT'!$Q$8:$Q$154*'ANALYSE - ERP =&gt; SOUS-SEGMENT'!$EZ$8:$EZ$154*'ANALYSE - ERP =&gt; SOUS-SEGMENT'!$FW$8:$FW$154)/SUMPRODUCT(('ANALYSE - ERP =&gt; SOUS-SEGMENT'!$C$8:$C$154=$C30)*'ANALYSE - ERP =&gt; SOUS-SEGMENT'!$Q$8:$Q$154*'ANALYSE - ERP =&gt; SOUS-SEGMENT'!$EZ$8:$EZ$154),"")</f>
        <v>2.4286655354852438</v>
      </c>
      <c r="FU30" s="312">
        <f>RANK($FT30,$FT$8:$FT$143,0)+COUNTIF($FT$8:$FT30,$FT30)-1</f>
        <v>12</v>
      </c>
      <c r="FV30" s="657"/>
      <c r="FW30" s="296" t="s">
        <v>7278</v>
      </c>
      <c r="FX30" s="296" t="s">
        <v>7279</v>
      </c>
      <c r="FY30" s="296" t="s">
        <v>7280</v>
      </c>
      <c r="FZ30" s="296" t="s">
        <v>7281</v>
      </c>
      <c r="GA30" s="296" t="s">
        <v>7282</v>
      </c>
      <c r="GB30" s="296" t="s">
        <v>7283</v>
      </c>
      <c r="GC30" s="296" t="s">
        <v>6759</v>
      </c>
      <c r="GD30" s="657"/>
      <c r="GE30" s="311">
        <f>SUMPRODUCT(('ANALYSE - ERP =&gt; SOUS-SEGMENT'!$C$8:$C$154=$C30)*'ANALYSE - ERP =&gt; SOUS-SEGMENT'!$Q$8:$Q$154*'ANALYSE - ERP =&gt; SOUS-SEGMENT'!$GH$8:$GH$154)</f>
        <v>21048.169015200005</v>
      </c>
      <c r="GF30" s="311">
        <f>SUMPRODUCT(('ANALYSE - ERP =&gt; SOUS-SEGMENT'!$C$8:$C$154=$C30)*'ANALYSE - ERP =&gt; SOUS-SEGMENT'!$Q$8:$Q$154*'ANALYSE - ERP =&gt; SOUS-SEGMENT'!$GI$8:$GI$154)</f>
        <v>17383.353335200001</v>
      </c>
      <c r="GG30" s="311">
        <f>SUMPRODUCT(('ANALYSE - ERP =&gt; SOUS-SEGMENT'!$C$8:$C$154=$C30)*'ANALYSE - ERP =&gt; SOUS-SEGMENT'!$Q$8:$Q$154*'ANALYSE - ERP =&gt; SOUS-SEGMENT'!$GJ$8:$GJ$154)</f>
        <v>3664.8156799999997</v>
      </c>
      <c r="GH30" s="311">
        <f>SUMPRODUCT(('ANALYSE - ERP =&gt; SOUS-SEGMENT'!$C$8:$C$154=$C30)*'ANALYSE - ERP =&gt; SOUS-SEGMENT'!$Q$8:$Q$154*'ANALYSE - ERP =&gt; SOUS-SEGMENT'!$GK$8:$GK$154)</f>
        <v>150377.2259381818</v>
      </c>
      <c r="GI30" s="311">
        <f>SUMPRODUCT(('ANALYSE - ERP =&gt; SOUS-SEGMENT'!$C$8:$C$154=$C30)*'ANALYSE - ERP =&gt; SOUS-SEGMENT'!$Q$8:$Q$154*'ANALYSE - ERP =&gt; SOUS-SEGMENT'!$GL$8:$GL$154)</f>
        <v>116788.04071418181</v>
      </c>
      <c r="GJ30" s="311">
        <f>SUMPRODUCT(('ANALYSE - ERP =&gt; SOUS-SEGMENT'!$C$8:$C$154=$C30)*'ANALYSE - ERP =&gt; SOUS-SEGMENT'!$Q$8:$Q$154*'ANALYSE - ERP =&gt; SOUS-SEGMENT'!$GM$8:$GM$154)</f>
        <v>33589.185223999993</v>
      </c>
      <c r="GK30" s="311">
        <f>SUMPRODUCT(('ANALYSE - ERP =&gt; SOUS-SEGMENT'!$C$8:$C$154=$C30)*'ANALYSE - ERP =&gt; SOUS-SEGMENT'!$Q$8:$Q$154*'ANALYSE - ERP =&gt; SOUS-SEGMENT'!$GN$8:$GN$154)</f>
        <v>18725.212556399998</v>
      </c>
      <c r="GL30" s="311">
        <f>SUMPRODUCT(('ANALYSE - ERP =&gt; SOUS-SEGMENT'!$C$8:$C$154=$C30)*'ANALYSE - ERP =&gt; SOUS-SEGMENT'!$Q$8:$Q$154*'ANALYSE - ERP =&gt; SOUS-SEGMENT'!$GO$8:$GO$154)</f>
        <v>14729.659484399999</v>
      </c>
      <c r="GM30" s="311">
        <f>SUMPRODUCT(('ANALYSE - ERP =&gt; SOUS-SEGMENT'!$C$8:$C$154=$C30)*'ANALYSE - ERP =&gt; SOUS-SEGMENT'!$Q$8:$Q$154*'ANALYSE - ERP =&gt; SOUS-SEGMENT'!$GP$8:$GP$154)</f>
        <v>3995.5530720000002</v>
      </c>
      <c r="GN30" s="311">
        <f>SUMPRODUCT(('ANALYSE - ERP =&gt; SOUS-SEGMENT'!$C$8:$C$154=$C30)*'ANALYSE - ERP =&gt; SOUS-SEGMENT'!$Q$8:$Q$154*'ANALYSE - ERP =&gt; SOUS-SEGMENT'!$GQ$8:$GQ$154)</f>
        <v>9906.4086610666691</v>
      </c>
      <c r="GO30" s="311">
        <f>SUMPRODUCT(('ANALYSE - ERP =&gt; SOUS-SEGMENT'!$C$8:$C$154=$C30)*'ANALYSE - ERP =&gt; SOUS-SEGMENT'!$Q$8:$Q$154*'ANALYSE - ERP =&gt; SOUS-SEGMENT'!$GR$8:$GR$154)</f>
        <v>8368.497037066667</v>
      </c>
      <c r="GP30" s="311">
        <f>SUMPRODUCT(('ANALYSE - ERP =&gt; SOUS-SEGMENT'!$C$8:$C$154=$C30)*'ANALYSE - ERP =&gt; SOUS-SEGMENT'!$Q$8:$Q$154*'ANALYSE - ERP =&gt; SOUS-SEGMENT'!$GS$8:$GS$154)</f>
        <v>1537.9116239999998</v>
      </c>
      <c r="GQ30" s="311">
        <f>SUMPRODUCT(('ANALYSE - ERP =&gt; SOUS-SEGMENT'!$C$8:$C$154=$C30)*'ANALYSE - ERP =&gt; SOUS-SEGMENT'!$Q$8:$Q$154*'ANALYSE - ERP =&gt; SOUS-SEGMENT'!$GT$8:$GT$154)</f>
        <v>55740.65982975001</v>
      </c>
      <c r="GR30" s="311">
        <f>SUMPRODUCT(('ANALYSE - ERP =&gt; SOUS-SEGMENT'!$C$8:$C$154=$C30)*'ANALYSE - ERP =&gt; SOUS-SEGMENT'!$Q$8:$Q$154*'ANALYSE - ERP =&gt; SOUS-SEGMENT'!$GU$8:$GU$154)</f>
        <v>46960.071369750003</v>
      </c>
      <c r="GS30" s="311">
        <f>SUMPRODUCT(('ANALYSE - ERP =&gt; SOUS-SEGMENT'!$C$8:$C$154=$C30)*'ANALYSE - ERP =&gt; SOUS-SEGMENT'!$Q$8:$Q$154*'ANALYSE - ERP =&gt; SOUS-SEGMENT'!$GV$8:$GV$154)</f>
        <v>8780.588459999999</v>
      </c>
      <c r="GT30" s="311">
        <f>SUMPRODUCT(('ANALYSE - ERP =&gt; SOUS-SEGMENT'!$C$8:$C$154=$C30)*'ANALYSE - ERP =&gt; SOUS-SEGMENT'!$Q$8:$Q$154*'ANALYSE - ERP =&gt; SOUS-SEGMENT'!$GW$8:$GW$154)</f>
        <v>166992.70434999999</v>
      </c>
      <c r="GU30" s="311">
        <f>SUMPRODUCT(('ANALYSE - ERP =&gt; SOUS-SEGMENT'!$C$8:$C$154=$C30)*'ANALYSE - ERP =&gt; SOUS-SEGMENT'!$Q$8:$Q$154*'ANALYSE - ERP =&gt; SOUS-SEGMENT'!$GX$8:$GX$154)</f>
        <v>133524.74161200001</v>
      </c>
      <c r="GV30" s="311">
        <f>SUMPRODUCT(('ANALYSE - ERP =&gt; SOUS-SEGMENT'!$C$8:$C$154=$C30)*'ANALYSE - ERP =&gt; SOUS-SEGMENT'!$Q$8:$Q$154*'ANALYSE - ERP =&gt; SOUS-SEGMENT'!$GY$8:$GY$154)</f>
        <v>33467.962738000002</v>
      </c>
      <c r="GW30" s="311">
        <f>SUMPRODUCT(('ANALYSE - ERP =&gt; SOUS-SEGMENT'!$C$8:$C$154=$C30)*'ANALYSE - ERP =&gt; SOUS-SEGMENT'!$Q$8:$Q$154*'ANALYSE - ERP =&gt; SOUS-SEGMENT'!$GZ$8:$GZ$154)</f>
        <v>17754.990130000002</v>
      </c>
      <c r="GX30" s="311">
        <f>SUMPRODUCT(('ANALYSE - ERP =&gt; SOUS-SEGMENT'!$C$8:$C$154=$C30)*'ANALYSE - ERP =&gt; SOUS-SEGMENT'!$Q$8:$Q$154*'ANALYSE - ERP =&gt; SOUS-SEGMENT'!$HA$8:$HA$154)</f>
        <v>13989.055927999998</v>
      </c>
      <c r="GY30" s="311">
        <f>SUMPRODUCT(('ANALYSE - ERP =&gt; SOUS-SEGMENT'!$C$8:$C$154=$C30)*'ANALYSE - ERP =&gt; SOUS-SEGMENT'!$Q$8:$Q$154*'ANALYSE - ERP =&gt; SOUS-SEGMENT'!$HB$8:$HB$154)</f>
        <v>3765.9342019999999</v>
      </c>
      <c r="GZ30" s="311">
        <f>SUMPRODUCT(('ANALYSE - ERP =&gt; SOUS-SEGMENT'!$C$8:$C$154=$C30)*'ANALYSE - ERP =&gt; SOUS-SEGMENT'!$Q$8:$Q$154*'ANALYSE - ERP =&gt; SOUS-SEGMENT'!$HC$8:$HC$154)</f>
        <v>2505.1808167500003</v>
      </c>
      <c r="HA30" s="311">
        <f>SUMPRODUCT(('ANALYSE - ERP =&gt; SOUS-SEGMENT'!$C$8:$C$154=$C30)*'ANALYSE - ERP =&gt; SOUS-SEGMENT'!$Q$8:$Q$154*'ANALYSE - ERP =&gt; SOUS-SEGMENT'!$HD$8:$HD$154)</f>
        <v>2165.6354487499998</v>
      </c>
      <c r="HB30" s="311">
        <f>SUMPRODUCT(('ANALYSE - ERP =&gt; SOUS-SEGMENT'!$C$8:$C$154=$C30)*'ANALYSE - ERP =&gt; SOUS-SEGMENT'!$Q$8:$Q$154*'ANALYSE - ERP =&gt; SOUS-SEGMENT'!$HE$8:$HE$154)</f>
        <v>339.545368</v>
      </c>
      <c r="HC30" s="311">
        <f>SUMPRODUCT(('ANALYSE - ERP =&gt; SOUS-SEGMENT'!$C$8:$C$154=$C30)*'ANALYSE - ERP =&gt; SOUS-SEGMENT'!$Q$8:$Q$154*'ANALYSE - ERP =&gt; SOUS-SEGMENT'!$HF$8:$HF$154)</f>
        <v>22945.957897409091</v>
      </c>
      <c r="HD30" s="311">
        <f>SUMPRODUCT(('ANALYSE - ERP =&gt; SOUS-SEGMENT'!$C$8:$C$154=$C30)*'ANALYSE - ERP =&gt; SOUS-SEGMENT'!$Q$8:$Q$154*'ANALYSE - ERP =&gt; SOUS-SEGMENT'!$HG$8:$HG$154)</f>
        <v>17991.060637409089</v>
      </c>
      <c r="HE30" s="311">
        <f>SUMPRODUCT(('ANALYSE - ERP =&gt; SOUS-SEGMENT'!$C$8:$C$154=$C30)*'ANALYSE - ERP =&gt; SOUS-SEGMENT'!$Q$8:$Q$154*'ANALYSE - ERP =&gt; SOUS-SEGMENT'!$HH$8:$HH$154)</f>
        <v>4954.8972599999997</v>
      </c>
      <c r="HF30" s="311">
        <f>SUMPRODUCT(('ANALYSE - ERP =&gt; SOUS-SEGMENT'!$C$8:$C$154=$C30)*'ANALYSE - ERP =&gt; SOUS-SEGMENT'!$Q$8:$Q$154*'ANALYSE - ERP =&gt; SOUS-SEGMENT'!$HI$8:$HI$154)</f>
        <v>5068.0841295</v>
      </c>
      <c r="HG30" s="311">
        <f>SUMPRODUCT(('ANALYSE - ERP =&gt; SOUS-SEGMENT'!$C$8:$C$154=$C30)*'ANALYSE - ERP =&gt; SOUS-SEGMENT'!$Q$8:$Q$154*'ANALYSE - ERP =&gt; SOUS-SEGMENT'!$HJ$8:$HJ$154)</f>
        <v>4073.2254935000005</v>
      </c>
      <c r="HH30" s="311">
        <f>SUMPRODUCT(('ANALYSE - ERP =&gt; SOUS-SEGMENT'!$C$8:$C$154=$C30)*'ANALYSE - ERP =&gt; SOUS-SEGMENT'!$Q$8:$Q$154*'ANALYSE - ERP =&gt; SOUS-SEGMENT'!$HK$8:$HK$154)</f>
        <v>994.85863600000005</v>
      </c>
      <c r="HI30" s="311">
        <f>SUMPRODUCT(('ANALYSE - ERP =&gt; SOUS-SEGMENT'!$C$8:$C$154=$C30)*'ANALYSE - ERP =&gt; SOUS-SEGMENT'!$Q$8:$Q$154*'ANALYSE - ERP =&gt; SOUS-SEGMENT'!$HL$8:$HL$154)</f>
        <v>12631.266733666667</v>
      </c>
      <c r="HJ30" s="311">
        <f>SUMPRODUCT(('ANALYSE - ERP =&gt; SOUS-SEGMENT'!$C$8:$C$154=$C30)*'ANALYSE - ERP =&gt; SOUS-SEGMENT'!$Q$8:$Q$154*'ANALYSE - ERP =&gt; SOUS-SEGMENT'!$HM$8:$HM$154)</f>
        <v>10431.933797666668</v>
      </c>
      <c r="HK30" s="311">
        <f>SUMPRODUCT(('ANALYSE - ERP =&gt; SOUS-SEGMENT'!$C$8:$C$154=$C30)*'ANALYSE - ERP =&gt; SOUS-SEGMENT'!$Q$8:$Q$154*'ANALYSE - ERP =&gt; SOUS-SEGMENT'!$HN$8:$HN$154)</f>
        <v>2199.3329360000002</v>
      </c>
      <c r="HL30" s="311">
        <f>SUMPRODUCT(('ANALYSE - ERP =&gt; SOUS-SEGMENT'!$C$8:$C$154=$C30)*'ANALYSE - ERP =&gt; SOUS-SEGMENT'!$Q$8:$Q$154*'ANALYSE - ERP =&gt; SOUS-SEGMENT'!$HO$8:$HO$154)</f>
        <v>47346.850017777782</v>
      </c>
      <c r="HM30" s="311">
        <f>SUMPRODUCT(('ANALYSE - ERP =&gt; SOUS-SEGMENT'!$C$8:$C$154=$C30)*'ANALYSE - ERP =&gt; SOUS-SEGMENT'!$Q$8:$Q$154*'ANALYSE - ERP =&gt; SOUS-SEGMENT'!$HP$8:$HP$154)</f>
        <v>40741.400117777783</v>
      </c>
      <c r="HN30" s="311">
        <f>SUMPRODUCT(('ANALYSE - ERP =&gt; SOUS-SEGMENT'!$C$8:$C$154=$C30)*'ANALYSE - ERP =&gt; SOUS-SEGMENT'!$Q$8:$Q$154*'ANALYSE - ERP =&gt; SOUS-SEGMENT'!$HQ$8:$HQ$154)</f>
        <v>6605.4499000000005</v>
      </c>
      <c r="HO30" s="311">
        <f>SUMPRODUCT(('ANALYSE - ERP =&gt; SOUS-SEGMENT'!$C$8:$C$154=$C30)*'ANALYSE - ERP =&gt; SOUS-SEGMENT'!$Q$8:$Q$154*'ANALYSE - ERP =&gt; SOUS-SEGMENT'!$HR$8:$HR$154)</f>
        <v>66648.637296000015</v>
      </c>
      <c r="HP30" s="311">
        <f>SUMPRODUCT(('ANALYSE - ERP =&gt; SOUS-SEGMENT'!$C$8:$C$154=$C30)*'ANALYSE - ERP =&gt; SOUS-SEGMENT'!$Q$8:$Q$154*'ANALYSE - ERP =&gt; SOUS-SEGMENT'!$HS$8:$HS$154)</f>
        <v>50456.882976000008</v>
      </c>
      <c r="HQ30" s="311">
        <f>SUMPRODUCT(('ANALYSE - ERP =&gt; SOUS-SEGMENT'!$C$8:$C$154=$C30)*'ANALYSE - ERP =&gt; SOUS-SEGMENT'!$Q$8:$Q$154*'ANALYSE - ERP =&gt; SOUS-SEGMENT'!$HT$8:$HT$154)</f>
        <v>16191.75432</v>
      </c>
      <c r="HR30" s="311">
        <f>SUMPRODUCT(('ANALYSE - ERP =&gt; SOUS-SEGMENT'!$C$8:$C$154=$C30)*'ANALYSE - ERP =&gt; SOUS-SEGMENT'!$Q$8:$Q$154*'ANALYSE - ERP =&gt; SOUS-SEGMENT'!$HU$8:$HU$154)</f>
        <v>22426.686460222223</v>
      </c>
      <c r="HS30" s="311">
        <f>SUMPRODUCT(('ANALYSE - ERP =&gt; SOUS-SEGMENT'!$C$8:$C$154=$C30)*'ANALYSE - ERP =&gt; SOUS-SEGMENT'!$Q$8:$Q$154*'ANALYSE - ERP =&gt; SOUS-SEGMENT'!$HV$8:$HV$154)</f>
        <v>16743.256680222221</v>
      </c>
      <c r="HT30" s="311">
        <f>SUMPRODUCT(('ANALYSE - ERP =&gt; SOUS-SEGMENT'!$C$8:$C$154=$C30)*'ANALYSE - ERP =&gt; SOUS-SEGMENT'!$Q$8:$Q$154*'ANALYSE - ERP =&gt; SOUS-SEGMENT'!$HW$8:$HW$154)</f>
        <v>5683.4297800000013</v>
      </c>
      <c r="HV30" s="313">
        <f t="shared" si="40"/>
        <v>1067871.7220000001</v>
      </c>
      <c r="HW30" s="313">
        <f>SUMPRODUCT(('ANALYSE - ERP =&gt; SOUS-SEGMENT'!$C$8:$C$154=$C30)*'ANALYSE - ERP =&gt; SOUS-SEGMENT'!$Q$8:$Q$154*'ANALYSE - ERP =&gt; SOUS-SEGMENT'!$HZ$8:$HZ$154)</f>
        <v>162367.027</v>
      </c>
      <c r="HX30" s="313">
        <f>SUMPRODUCT(('ANALYSE - ERP =&gt; SOUS-SEGMENT'!$C$8:$C$154=$C30)*'ANALYSE - ERP =&gt; SOUS-SEGMENT'!$Q$8:$Q$154*'ANALYSE - ERP =&gt; SOUS-SEGMENT'!$IA$8:$IA$154)</f>
        <v>626926.88100000005</v>
      </c>
      <c r="HY30" s="313">
        <f>SUMPRODUCT(('ANALYSE - ERP =&gt; SOUS-SEGMENT'!$C$8:$C$154=$C30)*'ANALYSE - ERP =&gt; SOUS-SEGMENT'!$Q$8:$Q$154*'ANALYSE - ERP =&gt; SOUS-SEGMENT'!$IB$8:$IB$154)</f>
        <v>328673.02400000003</v>
      </c>
      <c r="HZ30" s="313">
        <f>SUMPRODUCT(('ANALYSE - ERP =&gt; SOUS-SEGMENT'!$C$8:$C$154=$C30)*'ANALYSE - ERP =&gt; SOUS-SEGMENT'!$Q$8:$Q$154*'ANALYSE - ERP =&gt; SOUS-SEGMENT'!$IC$8:$IC$154)</f>
        <v>57770.284000000007</v>
      </c>
      <c r="IA30" s="313">
        <f>SUMPRODUCT(('ANALYSE - ERP =&gt; SOUS-SEGMENT'!$C$8:$C$154=$C30)*'ANALYSE - ERP =&gt; SOUS-SEGMENT'!$Q$8:$Q$154*'ANALYSE - ERP =&gt; SOUS-SEGMENT'!$ID$8:$ID$154)</f>
        <v>10823.16</v>
      </c>
      <c r="IB30" s="313">
        <f>SUMPRODUCT(('ANALYSE - ERP =&gt; SOUS-SEGMENT'!$C$8:$C$154=$C30)*'ANALYSE - ERP =&gt; SOUS-SEGMENT'!$Q$8:$Q$154*'ANALYSE - ERP =&gt; SOUS-SEGMENT'!$IE$8:$IE$154)</f>
        <v>494346.81463192427</v>
      </c>
      <c r="IC30" s="313">
        <f>SUMPRODUCT(('ANALYSE - ERP =&gt; SOUS-SEGMENT'!$C$8:$C$154=$C30)*'ANALYSE - ERP =&gt; SOUS-SEGMENT'!$Q$8:$Q$154*'ANALYSE - ERP =&gt; SOUS-SEGMENT'!$IF$8:$IF$154)</f>
        <v>34412.336958575448</v>
      </c>
      <c r="ID30" s="313">
        <f>SUMPRODUCT(('ANALYSE - ERP =&gt; SOUS-SEGMENT'!$C$8:$C$154=$C30)*'ANALYSE - ERP =&gt; SOUS-SEGMENT'!$Q$8:$Q$154*'ANALYSE - ERP =&gt; SOUS-SEGMENT'!$IG$8:$IG$154)</f>
        <v>232795.55291584789</v>
      </c>
      <c r="IE30" s="313">
        <f>SUMPRODUCT(('ANALYSE - ERP =&gt; SOUS-SEGMENT'!$C$8:$C$154=$C30)*'ANALYSE - ERP =&gt; SOUS-SEGMENT'!$Q$8:$Q$154*'ANALYSE - ERP =&gt; SOUS-SEGMENT'!$IH$8:$IH$154)</f>
        <v>182273.20684088918</v>
      </c>
      <c r="IF30" s="313">
        <f>SUMPRODUCT(('ANALYSE - ERP =&gt; SOUS-SEGMENT'!$C$8:$C$154=$C30)*'ANALYSE - ERP =&gt; SOUS-SEGMENT'!$Q$8:$Q$154*'ANALYSE - ERP =&gt; SOUS-SEGMENT'!$II$8:$II$154)</f>
        <v>37527.343856733598</v>
      </c>
      <c r="IG30" s="313">
        <f>SUMPRODUCT(('ANALYSE - ERP =&gt; SOUS-SEGMENT'!$C$8:$C$154=$C30)*'ANALYSE - ERP =&gt; SOUS-SEGMENT'!$Q$8:$Q$154*'ANALYSE - ERP =&gt; SOUS-SEGMENT'!$IJ$8:$IJ$154)</f>
        <v>7338.3740598780751</v>
      </c>
      <c r="IH30" s="866"/>
      <c r="II30" s="314" t="s">
        <v>2589</v>
      </c>
      <c r="IJ30" s="299" t="s">
        <v>6760</v>
      </c>
      <c r="IK30" s="657"/>
      <c r="IL30" s="747">
        <f>IFERROR(SUMPRODUCT(('ANALYSE - ERP =&gt; SOUS-SEGMENT'!$C$8:$C$154=$C30)*'ANALYSE - ERP =&gt; SOUS-SEGMENT'!$Q$8:$Q$154*'ANALYSE - ERP =&gt; SOUS-SEGMENT'!$BE$8:$BE$154*'ANALYSE - ERP =&gt; SOUS-SEGMENT'!$IO$8:$IO$154)/SUMPRODUCT(('ANALYSE - ERP =&gt; SOUS-SEGMENT'!$C$8:$C$154=$C30)*'ANALYSE - ERP =&gt; SOUS-SEGMENT'!$Q$8:$Q$154*'ANALYSE - ERP =&gt; SOUS-SEGMENT'!$BE$8:$BE$154),0)</f>
        <v>9.0293192133131611E-2</v>
      </c>
      <c r="IM30" s="748">
        <f>IFERROR(SUMPRODUCT(('ANALYSE - ERP =&gt; SOUS-SEGMENT'!$C$8:$C$154=$C30)*'ANALYSE - ERP =&gt; SOUS-SEGMENT'!$Q$8:$Q$154*'ANALYSE - ERP =&gt; SOUS-SEGMENT'!$BE$8:$BE$154*'ANALYSE - ERP =&gt; SOUS-SEGMENT'!$IP$8:$IP$154)/SUMPRODUCT(('ANALYSE - ERP =&gt; SOUS-SEGMENT'!$C$8:$C$154=$C30)*'ANALYSE - ERP =&gt; SOUS-SEGMENT'!$Q$8:$Q$154*'ANALYSE - ERP =&gt; SOUS-SEGMENT'!$BE$8:$BE$154),0)</f>
        <v>0.49962860312657587</v>
      </c>
      <c r="IN30" s="748">
        <f>IFERROR(SUMPRODUCT(('ANALYSE - ERP =&gt; SOUS-SEGMENT'!$C$8:$C$154=$C30)*'ANALYSE - ERP =&gt; SOUS-SEGMENT'!$Q$8:$Q$154*'ANALYSE - ERP =&gt; SOUS-SEGMENT'!$BE$8:$BE$154*'ANALYSE - ERP =&gt; SOUS-SEGMENT'!$IQ$8:$IQ$154)/SUMPRODUCT(('ANALYSE - ERP =&gt; SOUS-SEGMENT'!$C$8:$C$154=$C30)*'ANALYSE - ERP =&gt; SOUS-SEGMENT'!$Q$8:$Q$154*'ANALYSE - ERP =&gt; SOUS-SEGMENT'!$BE$8:$BE$154),0)</f>
        <v>0.33349908219868885</v>
      </c>
      <c r="IO30" s="748">
        <f>IFERROR(SUMPRODUCT(('ANALYSE - ERP =&gt; SOUS-SEGMENT'!$C$8:$C$154=$C30)*'ANALYSE - ERP =&gt; SOUS-SEGMENT'!$Q$8:$Q$154*'ANALYSE - ERP =&gt; SOUS-SEGMENT'!$BE$8:$BE$154*'ANALYSE - ERP =&gt; SOUS-SEGMENT'!$IR$8:$IR$154)/SUMPRODUCT(('ANALYSE - ERP =&gt; SOUS-SEGMENT'!$C$8:$C$154=$C30)*'ANALYSE - ERP =&gt; SOUS-SEGMENT'!$Q$8:$Q$154*'ANALYSE - ERP =&gt; SOUS-SEGMENT'!$BE$8:$BE$154),0)</f>
        <v>6.4697488653555221E-2</v>
      </c>
      <c r="IP30" s="749">
        <f>IFERROR(SUMPRODUCT(('ANALYSE - ERP =&gt; SOUS-SEGMENT'!$C$8:$C$154=$C30)*'ANALYSE - ERP =&gt; SOUS-SEGMENT'!$Q$8:$Q$154*'ANALYSE - ERP =&gt; SOUS-SEGMENT'!$BE$8:$BE$154*'ANALYSE - ERP =&gt; SOUS-SEGMENT'!$IS$8:$IS$154)/SUMPRODUCT(('ANALYSE - ERP =&gt; SOUS-SEGMENT'!$C$8:$C$154=$C30)*'ANALYSE - ERP =&gt; SOUS-SEGMENT'!$Q$8:$Q$154*'ANALYSE - ERP =&gt; SOUS-SEGMENT'!$BE$8:$BE$154),0)</f>
        <v>1.188163388804841E-2</v>
      </c>
      <c r="IQ30" s="748">
        <f>IFERROR(SUMPRODUCT(('ANALYSE - ERP =&gt; SOUS-SEGMENT'!$C$8:$C$154=$C30)*'ANALYSE - ERP =&gt; SOUS-SEGMENT'!$Q$8:$Q$154*'ANALYSE - ERP =&gt; SOUS-SEGMENT'!$FB$8:$FB$154*'ANALYSE - ERP =&gt; SOUS-SEGMENT'!$IT$8:$IT$154)/SUMPRODUCT(('ANALYSE - ERP =&gt; SOUS-SEGMENT'!$C$8:$C$154=$C30)*'ANALYSE - ERP =&gt; SOUS-SEGMENT'!$Q$8:$Q$154*'ANALYSE - ERP =&gt; SOUS-SEGMENT'!$FB$8:$FB$154),0)</f>
        <v>4.2517138868673317E-2</v>
      </c>
      <c r="IR30" s="748">
        <f>IFERROR(SUMPRODUCT(('ANALYSE - ERP =&gt; SOUS-SEGMENT'!$C$8:$C$154=$C30)*'ANALYSE - ERP =&gt; SOUS-SEGMENT'!$Q$8:$Q$154*'ANALYSE - ERP =&gt; SOUS-SEGMENT'!$FB$8:$FB$154*'ANALYSE - ERP =&gt; SOUS-SEGMENT'!$IU$8:$IU$154)/SUMPRODUCT(('ANALYSE - ERP =&gt; SOUS-SEGMENT'!$C$8:$C$154=$C30)*'ANALYSE - ERP =&gt; SOUS-SEGMENT'!$Q$8:$Q$154*'ANALYSE - ERP =&gt; SOUS-SEGMENT'!$FB$8:$FB$154),0)</f>
        <v>0.41749358999015884</v>
      </c>
      <c r="IS30" s="748">
        <f>IFERROR(SUMPRODUCT(('ANALYSE - ERP =&gt; SOUS-SEGMENT'!$C$8:$C$154=$C30)*'ANALYSE - ERP =&gt; SOUS-SEGMENT'!$Q$8:$Q$154*'ANALYSE - ERP =&gt; SOUS-SEGMENT'!$FB$8:$FB$154*'ANALYSE - ERP =&gt; SOUS-SEGMENT'!$IV$8:$IV$154)/SUMPRODUCT(('ANALYSE - ERP =&gt; SOUS-SEGMENT'!$C$8:$C$154=$C30)*'ANALYSE - ERP =&gt; SOUS-SEGMENT'!$Q$8:$Q$154*'ANALYSE - ERP =&gt; SOUS-SEGMENT'!$FB$8:$FB$154),0)</f>
        <v>0.42177900134425772</v>
      </c>
      <c r="IT30" s="748">
        <f>IFERROR(SUMPRODUCT(('ANALYSE - ERP =&gt; SOUS-SEGMENT'!$C$8:$C$154=$C30)*'ANALYSE - ERP =&gt; SOUS-SEGMENT'!$Q$8:$Q$154*'ANALYSE - ERP =&gt; SOUS-SEGMENT'!$FB$8:$FB$154*'ANALYSE - ERP =&gt; SOUS-SEGMENT'!$IW$8:$IW$154)/SUMPRODUCT(('ANALYSE - ERP =&gt; SOUS-SEGMENT'!$C$8:$C$154=$C30)*'ANALYSE - ERP =&gt; SOUS-SEGMENT'!$Q$8:$Q$154*'ANALYSE - ERP =&gt; SOUS-SEGMENT'!$FB$8:$FB$154),0)</f>
        <v>9.7425665402609371E-2</v>
      </c>
      <c r="IU30" s="748">
        <f>IFERROR(SUMPRODUCT(('ANALYSE - ERP =&gt; SOUS-SEGMENT'!$C$8:$C$154=$C30)*'ANALYSE - ERP =&gt; SOUS-SEGMENT'!$Q$8:$Q$154*'ANALYSE - ERP =&gt; SOUS-SEGMENT'!$FB$8:$FB$154*'ANALYSE - ERP =&gt; SOUS-SEGMENT'!$IX$8:$IX$154)/SUMPRODUCT(('ANALYSE - ERP =&gt; SOUS-SEGMENT'!$C$8:$C$154=$C30)*'ANALYSE - ERP =&gt; SOUS-SEGMENT'!$Q$8:$Q$154*'ANALYSE - ERP =&gt; SOUS-SEGMENT'!$FB$8:$FB$154),0)</f>
        <v>2.0784604394300833E-2</v>
      </c>
      <c r="IV30" s="771">
        <f>IFERROR(SUMPRODUCT(('ANALYSE - ERP =&gt; SOUS-SEGMENT'!$C$8:$C$154=$C30)*'ANALYSE - ERP =&gt; SOUS-SEGMENT'!$Q$8:$Q$154*'ANALYSE - ERP =&gt; SOUS-SEGMENT'!$BF$8:$BF$154*'ANALYSE - ERP =&gt; SOUS-SEGMENT'!$IY$8:$IY$154)/SUMPRODUCT(('ANALYSE - ERP =&gt; SOUS-SEGMENT'!$C$8:$C$154=$C30)*'ANALYSE - ERP =&gt; SOUS-SEGMENT'!$Q$8:$Q$154*'ANALYSE - ERP =&gt; SOUS-SEGMENT'!$BF$8:$BF$154),0)</f>
        <v>0.16376771803844931</v>
      </c>
      <c r="IW30" s="748">
        <f>IFERROR(SUMPRODUCT(('ANALYSE - ERP =&gt; SOUS-SEGMENT'!$C$8:$C$154=$C30)*'ANALYSE - ERP =&gt; SOUS-SEGMENT'!$Q$8:$Q$154*'ANALYSE - ERP =&gt; SOUS-SEGMENT'!$BF$8:$BF$154*'ANALYSE - ERP =&gt; SOUS-SEGMENT'!$IZ$8:$IZ$154)/SUMPRODUCT(('ANALYSE - ERP =&gt; SOUS-SEGMENT'!$C$8:$C$154=$C30)*'ANALYSE - ERP =&gt; SOUS-SEGMENT'!$Q$8:$Q$154*'ANALYSE - ERP =&gt; SOUS-SEGMENT'!$BF$8:$BF$154),0)</f>
        <v>0.5431500386310959</v>
      </c>
      <c r="IX30" s="748">
        <f>IFERROR(SUMPRODUCT(('ANALYSE - ERP =&gt; SOUS-SEGMENT'!$C$8:$C$154=$C30)*'ANALYSE - ERP =&gt; SOUS-SEGMENT'!$Q$8:$Q$154*'ANALYSE - ERP =&gt; SOUS-SEGMENT'!$BF$8:$BF$154*'ANALYSE - ERP =&gt; SOUS-SEGMENT'!$JA$8:$JA$154)/SUMPRODUCT(('ANALYSE - ERP =&gt; SOUS-SEGMENT'!$C$8:$C$154=$C30)*'ANALYSE - ERP =&gt; SOUS-SEGMENT'!$Q$8:$Q$154*'ANALYSE - ERP =&gt; SOUS-SEGMENT'!$BF$8:$BF$154),0)</f>
        <v>0.24349066036449579</v>
      </c>
      <c r="IY30" s="748">
        <f>IFERROR(SUMPRODUCT(('ANALYSE - ERP =&gt; SOUS-SEGMENT'!$C$8:$C$154=$C30)*'ANALYSE - ERP =&gt; SOUS-SEGMENT'!$Q$8:$Q$154*'ANALYSE - ERP =&gt; SOUS-SEGMENT'!$BF$8:$BF$154*'ANALYSE - ERP =&gt; SOUS-SEGMENT'!$JB$8:$JB$154)/SUMPRODUCT(('ANALYSE - ERP =&gt; SOUS-SEGMENT'!$C$8:$C$154=$C30)*'ANALYSE - ERP =&gt; SOUS-SEGMENT'!$Q$8:$Q$154*'ANALYSE - ERP =&gt; SOUS-SEGMENT'!$BF$8:$BF$154),0)</f>
        <v>4.1957024042176057E-2</v>
      </c>
      <c r="IZ30" s="749">
        <f>IFERROR(SUMPRODUCT(('ANALYSE - ERP =&gt; SOUS-SEGMENT'!$C$8:$C$154=$C30)*'ANALYSE - ERP =&gt; SOUS-SEGMENT'!$Q$8:$Q$154*'ANALYSE - ERP =&gt; SOUS-SEGMENT'!$BF$8:$BF$154*'ANALYSE - ERP =&gt; SOUS-SEGMENT'!$JC$8:$JC$154)/SUMPRODUCT(('ANALYSE - ERP =&gt; SOUS-SEGMENT'!$C$8:$C$154=$C30)*'ANALYSE - ERP =&gt; SOUS-SEGMENT'!$Q$8:$Q$154*'ANALYSE - ERP =&gt; SOUS-SEGMENT'!$BF$8:$BF$154),0)</f>
        <v>7.6345589237831208E-3</v>
      </c>
      <c r="JA30" s="748">
        <f>IFERROR(SUMPRODUCT(('ANALYSE - ERP =&gt; SOUS-SEGMENT'!$C$8:$C$154=$C30)*'ANALYSE - ERP =&gt; SOUS-SEGMENT'!$Q$8:$Q$154*'ANALYSE - ERP =&gt; SOUS-SEGMENT'!$FE$8:$FE$154*'ANALYSE - ERP =&gt; SOUS-SEGMENT'!$JD$8:$JD$154)/SUMPRODUCT(('ANALYSE - ERP =&gt; SOUS-SEGMENT'!$C$8:$C$154=$C30)*'ANALYSE - ERP =&gt; SOUS-SEGMENT'!$Q$8:$Q$154*'ANALYSE - ERP =&gt; SOUS-SEGMENT'!$FE$8:$FE$154),0)</f>
        <v>8.319678556127208E-2</v>
      </c>
      <c r="JB30" s="748">
        <f>IFERROR(SUMPRODUCT(('ANALYSE - ERP =&gt; SOUS-SEGMENT'!$C$8:$C$154=$C30)*'ANALYSE - ERP =&gt; SOUS-SEGMENT'!$Q$8:$Q$154*'ANALYSE - ERP =&gt; SOUS-SEGMENT'!$FE$8:$FE$154*'ANALYSE - ERP =&gt; SOUS-SEGMENT'!$JE$8:$JE$154)/SUMPRODUCT(('ANALYSE - ERP =&gt; SOUS-SEGMENT'!$C$8:$C$154=$C30)*'ANALYSE - ERP =&gt; SOUS-SEGMENT'!$Q$8:$Q$154*'ANALYSE - ERP =&gt; SOUS-SEGMENT'!$FE$8:$FE$154),0)</f>
        <v>0.49947661385992348</v>
      </c>
      <c r="JC30" s="748">
        <f>IFERROR(SUMPRODUCT(('ANALYSE - ERP =&gt; SOUS-SEGMENT'!$C$8:$C$154=$C30)*'ANALYSE - ERP =&gt; SOUS-SEGMENT'!$Q$8:$Q$154*'ANALYSE - ERP =&gt; SOUS-SEGMENT'!$FE$8:$FE$154*'ANALYSE - ERP =&gt; SOUS-SEGMENT'!$JF$8:$JF$154)/SUMPRODUCT(('ANALYSE - ERP =&gt; SOUS-SEGMENT'!$C$8:$C$154=$C30)*'ANALYSE - ERP =&gt; SOUS-SEGMENT'!$Q$8:$Q$154*'ANALYSE - ERP =&gt; SOUS-SEGMENT'!$FE$8:$FE$154),0)</f>
        <v>0.33759472115745864</v>
      </c>
      <c r="JD30" s="748">
        <f>IFERROR(SUMPRODUCT(('ANALYSE - ERP =&gt; SOUS-SEGMENT'!$C$8:$C$154=$C30)*'ANALYSE - ERP =&gt; SOUS-SEGMENT'!$Q$8:$Q$154*'ANALYSE - ERP =&gt; SOUS-SEGMENT'!$FE$8:$FE$154*'ANALYSE - ERP =&gt; SOUS-SEGMENT'!$JG$8:$JG$154)/SUMPRODUCT(('ANALYSE - ERP =&gt; SOUS-SEGMENT'!$C$8:$C$154=$C30)*'ANALYSE - ERP =&gt; SOUS-SEGMENT'!$Q$8:$Q$154*'ANALYSE - ERP =&gt; SOUS-SEGMENT'!$FE$8:$FE$154),0)</f>
        <v>6.7548522433093366E-2</v>
      </c>
      <c r="JE30" s="748">
        <f>IFERROR(SUMPRODUCT(('ANALYSE - ERP =&gt; SOUS-SEGMENT'!$C$8:$C$154=$C30)*'ANALYSE - ERP =&gt; SOUS-SEGMENT'!$Q$8:$Q$154*'ANALYSE - ERP =&gt; SOUS-SEGMENT'!$FE$8:$FE$154*'ANALYSE - ERP =&gt; SOUS-SEGMENT'!$JH$8:$JH$154)/SUMPRODUCT(('ANALYSE - ERP =&gt; SOUS-SEGMENT'!$C$8:$C$154=$C30)*'ANALYSE - ERP =&gt; SOUS-SEGMENT'!$Q$8:$Q$154*'ANALYSE - ERP =&gt; SOUS-SEGMENT'!$FE$8:$FE$154),0)</f>
        <v>1.2183356988252396E-2</v>
      </c>
      <c r="JF30" s="771">
        <f>IFERROR(SUMPRODUCT(('ANALYSE - ERP =&gt; SOUS-SEGMENT'!$C$8:$C$154=$C30)*'ANALYSE - ERP =&gt; SOUS-SEGMENT'!$Q$8:$Q$154*'ANALYSE - ERP =&gt; SOUS-SEGMENT'!$BG$8:$BG$154*'ANALYSE - ERP =&gt; SOUS-SEGMENT'!$JI$8:$JI$154)/SUMPRODUCT(('ANALYSE - ERP =&gt; SOUS-SEGMENT'!$C$8:$C$154=$C30)*'ANALYSE - ERP =&gt; SOUS-SEGMENT'!$Q$8:$Q$154*'ANALYSE - ERP =&gt; SOUS-SEGMENT'!$BG$8:$BG$154),0)</f>
        <v>0.24648244076999015</v>
      </c>
      <c r="JG30" s="748">
        <f>IFERROR(SUMPRODUCT(('ANALYSE - ERP =&gt; SOUS-SEGMENT'!$C$8:$C$154=$C30)*'ANALYSE - ERP =&gt; SOUS-SEGMENT'!$Q$8:$Q$154*'ANALYSE - ERP =&gt; SOUS-SEGMENT'!$BG$8:$BG$154*'ANALYSE - ERP =&gt; SOUS-SEGMENT'!$JJ$8:$JJ$154)/SUMPRODUCT(('ANALYSE - ERP =&gt; SOUS-SEGMENT'!$C$8:$C$154=$C30)*'ANALYSE - ERP =&gt; SOUS-SEGMENT'!$Q$8:$Q$154*'ANALYSE - ERP =&gt; SOUS-SEGMENT'!$BG$8:$BG$154),0)</f>
        <v>0.55728473593287264</v>
      </c>
      <c r="JH30" s="748">
        <f>IFERROR(SUMPRODUCT(('ANALYSE - ERP =&gt; SOUS-SEGMENT'!$C$8:$C$154=$C30)*'ANALYSE - ERP =&gt; SOUS-SEGMENT'!$Q$8:$Q$154*'ANALYSE - ERP =&gt; SOUS-SEGMENT'!$BG$8:$BG$154*'ANALYSE - ERP =&gt; SOUS-SEGMENT'!$JK$8:$JK$154)/SUMPRODUCT(('ANALYSE - ERP =&gt; SOUS-SEGMENT'!$C$8:$C$154=$C30)*'ANALYSE - ERP =&gt; SOUS-SEGMENT'!$Q$8:$Q$154*'ANALYSE - ERP =&gt; SOUS-SEGMENT'!$BG$8:$BG$154),0)</f>
        <v>0.16847670286278382</v>
      </c>
      <c r="JI30" s="748">
        <f>IFERROR(SUMPRODUCT(('ANALYSE - ERP =&gt; SOUS-SEGMENT'!$C$8:$C$154=$C30)*'ANALYSE - ERP =&gt; SOUS-SEGMENT'!$Q$8:$Q$154*'ANALYSE - ERP =&gt; SOUS-SEGMENT'!$BG$8:$BG$154*'ANALYSE - ERP =&gt; SOUS-SEGMENT'!$JL$8:$JL$154)/SUMPRODUCT(('ANALYSE - ERP =&gt; SOUS-SEGMENT'!$C$8:$C$154=$C30)*'ANALYSE - ERP =&gt; SOUS-SEGMENT'!$Q$8:$Q$154*'ANALYSE - ERP =&gt; SOUS-SEGMENT'!$BG$8:$BG$154),0)</f>
        <v>2.2671224086870681E-2</v>
      </c>
      <c r="JJ30" s="749">
        <f>IFERROR(SUMPRODUCT(('ANALYSE - ERP =&gt; SOUS-SEGMENT'!$C$8:$C$154=$C30)*'ANALYSE - ERP =&gt; SOUS-SEGMENT'!$Q$8:$Q$154*'ANALYSE - ERP =&gt; SOUS-SEGMENT'!$BG$8:$BG$154*'ANALYSE - ERP =&gt; SOUS-SEGMENT'!$JM$8:$JM$154)/SUMPRODUCT(('ANALYSE - ERP =&gt; SOUS-SEGMENT'!$C$8:$C$154=$C30)*'ANALYSE - ERP =&gt; SOUS-SEGMENT'!$Q$8:$Q$154*'ANALYSE - ERP =&gt; SOUS-SEGMENT'!$BG$8:$BG$154),0)</f>
        <v>5.0848963474827251E-3</v>
      </c>
      <c r="JK30" s="748">
        <f>IFERROR(SUMPRODUCT(('ANALYSE - ERP =&gt; SOUS-SEGMENT'!$C$8:$C$154=$C30)*'ANALYSE - ERP =&gt; SOUS-SEGMENT'!$Q$8:$Q$154*'ANALYSE - ERP =&gt; SOUS-SEGMENT'!$FH$8:$FH$154*'ANALYSE - ERP =&gt; SOUS-SEGMENT'!$JN$8:$JN$154)/SUMPRODUCT(('ANALYSE - ERP =&gt; SOUS-SEGMENT'!$C$8:$C$154=$C30)*'ANALYSE - ERP =&gt; SOUS-SEGMENT'!$Q$8:$Q$154*'ANALYSE - ERP =&gt; SOUS-SEGMENT'!$FH$8:$FH$154),0)</f>
        <v>0.13891206378943274</v>
      </c>
      <c r="JL30" s="748">
        <f>IFERROR(SUMPRODUCT(('ANALYSE - ERP =&gt; SOUS-SEGMENT'!$C$8:$C$154=$C30)*'ANALYSE - ERP =&gt; SOUS-SEGMENT'!$Q$8:$Q$154*'ANALYSE - ERP =&gt; SOUS-SEGMENT'!$FH$8:$FH$154*'ANALYSE - ERP =&gt; SOUS-SEGMENT'!$JO$8:$JO$154)/SUMPRODUCT(('ANALYSE - ERP =&gt; SOUS-SEGMENT'!$C$8:$C$154=$C30)*'ANALYSE - ERP =&gt; SOUS-SEGMENT'!$Q$8:$Q$154*'ANALYSE - ERP =&gt; SOUS-SEGMENT'!$FH$8:$FH$154),0)</f>
        <v>0.55857769228456355</v>
      </c>
      <c r="JM30" s="748">
        <f>IFERROR(SUMPRODUCT(('ANALYSE - ERP =&gt; SOUS-SEGMENT'!$C$8:$C$154=$C30)*'ANALYSE - ERP =&gt; SOUS-SEGMENT'!$Q$8:$Q$154*'ANALYSE - ERP =&gt; SOUS-SEGMENT'!$FH$8:$FH$154*'ANALYSE - ERP =&gt; SOUS-SEGMENT'!$JP$8:$JP$154)/SUMPRODUCT(('ANALYSE - ERP =&gt; SOUS-SEGMENT'!$C$8:$C$154=$C30)*'ANALYSE - ERP =&gt; SOUS-SEGMENT'!$Q$8:$Q$154*'ANALYSE - ERP =&gt; SOUS-SEGMENT'!$FH$8:$FH$154),0)</f>
        <v>0.26025852254438475</v>
      </c>
      <c r="JN30" s="748">
        <f>IFERROR(SUMPRODUCT(('ANALYSE - ERP =&gt; SOUS-SEGMENT'!$C$8:$C$154=$C30)*'ANALYSE - ERP =&gt; SOUS-SEGMENT'!$Q$8:$Q$154*'ANALYSE - ERP =&gt; SOUS-SEGMENT'!$FH$8:$FH$154*'ANALYSE - ERP =&gt; SOUS-SEGMENT'!$JQ$8:$JQ$154)/SUMPRODUCT(('ANALYSE - ERP =&gt; SOUS-SEGMENT'!$C$8:$C$154=$C30)*'ANALYSE - ERP =&gt; SOUS-SEGMENT'!$Q$8:$Q$154*'ANALYSE - ERP =&gt; SOUS-SEGMENT'!$FH$8:$FH$154),0)</f>
        <v>3.5575075507266782E-2</v>
      </c>
      <c r="JO30" s="748">
        <f>IFERROR(SUMPRODUCT(('ANALYSE - ERP =&gt; SOUS-SEGMENT'!$C$8:$C$154=$C30)*'ANALYSE - ERP =&gt; SOUS-SEGMENT'!$Q$8:$Q$154*'ANALYSE - ERP =&gt; SOUS-SEGMENT'!$FH$8:$FH$154*'ANALYSE - ERP =&gt; SOUS-SEGMENT'!$JR$8:$JR$154)/SUMPRODUCT(('ANALYSE - ERP =&gt; SOUS-SEGMENT'!$C$8:$C$154=$C30)*'ANALYSE - ERP =&gt; SOUS-SEGMENT'!$Q$8:$Q$154*'ANALYSE - ERP =&gt; SOUS-SEGMENT'!$FH$8:$FH$154),0)</f>
        <v>6.6766458743522583E-3</v>
      </c>
      <c r="JP30" s="771">
        <f>IFERROR(SUMPRODUCT(('ANALYSE - ERP =&gt; SOUS-SEGMENT'!$C$8:$C$154=$C30)*'ANALYSE - ERP =&gt; SOUS-SEGMENT'!$Q$8:$Q$154*'ANALYSE - ERP =&gt; SOUS-SEGMENT'!$BH$8:$BH$154*'ANALYSE - ERP =&gt; SOUS-SEGMENT'!$JS$8:$JS$154)/SUMPRODUCT(('ANALYSE - ERP =&gt; SOUS-SEGMENT'!$C$8:$C$154=$C30)*'ANALYSE - ERP =&gt; SOUS-SEGMENT'!$Q$8:$Q$154*'ANALYSE - ERP =&gt; SOUS-SEGMENT'!$BH$8:$BH$154),0)</f>
        <v>0.12837234248307672</v>
      </c>
      <c r="JQ30" s="748">
        <f>IFERROR(SUMPRODUCT(('ANALYSE - ERP =&gt; SOUS-SEGMENT'!$C$8:$C$154=$C30)*'ANALYSE - ERP =&gt; SOUS-SEGMENT'!$Q$8:$Q$154*'ANALYSE - ERP =&gt; SOUS-SEGMENT'!$BH$8:$BH$154*'ANALYSE - ERP =&gt; SOUS-SEGMENT'!$JT$8:$JT$154)/SUMPRODUCT(('ANALYSE - ERP =&gt; SOUS-SEGMENT'!$C$8:$C$154=$C30)*'ANALYSE - ERP =&gt; SOUS-SEGMENT'!$Q$8:$Q$154*'ANALYSE - ERP =&gt; SOUS-SEGMENT'!$BH$8:$BH$154),0)</f>
        <v>0.53780114557762415</v>
      </c>
      <c r="JR30" s="748">
        <f>IFERROR(SUMPRODUCT(('ANALYSE - ERP =&gt; SOUS-SEGMENT'!$C$8:$C$154=$C30)*'ANALYSE - ERP =&gt; SOUS-SEGMENT'!$Q$8:$Q$154*'ANALYSE - ERP =&gt; SOUS-SEGMENT'!$BH$8:$BH$154*'ANALYSE - ERP =&gt; SOUS-SEGMENT'!$JU$8:$JU$154)/SUMPRODUCT(('ANALYSE - ERP =&gt; SOUS-SEGMENT'!$C$8:$C$154=$C30)*'ANALYSE - ERP =&gt; SOUS-SEGMENT'!$Q$8:$Q$154*'ANALYSE - ERP =&gt; SOUS-SEGMENT'!$BH$8:$BH$154),0)</f>
        <v>0.28120001487763147</v>
      </c>
      <c r="JS30" s="748">
        <f>IFERROR(SUMPRODUCT(('ANALYSE - ERP =&gt; SOUS-SEGMENT'!$C$8:$C$154=$C30)*'ANALYSE - ERP =&gt; SOUS-SEGMENT'!$Q$8:$Q$154*'ANALYSE - ERP =&gt; SOUS-SEGMENT'!$BH$8:$BH$154*'ANALYSE - ERP =&gt; SOUS-SEGMENT'!$JV$8:$JV$154)/SUMPRODUCT(('ANALYSE - ERP =&gt; SOUS-SEGMENT'!$C$8:$C$154=$C30)*'ANALYSE - ERP =&gt; SOUS-SEGMENT'!$Q$8:$Q$154*'ANALYSE - ERP =&gt; SOUS-SEGMENT'!$BH$8:$BH$154),0)</f>
        <v>4.3927605445213125E-2</v>
      </c>
      <c r="JT30" s="749">
        <f>IFERROR(SUMPRODUCT(('ANALYSE - ERP =&gt; SOUS-SEGMENT'!$C$8:$C$154=$C30)*'ANALYSE - ERP =&gt; SOUS-SEGMENT'!$Q$8:$Q$154*'ANALYSE - ERP =&gt; SOUS-SEGMENT'!$BH$8:$BH$154*'ANALYSE - ERP =&gt; SOUS-SEGMENT'!$JW$8:$JW$154)/SUMPRODUCT(('ANALYSE - ERP =&gt; SOUS-SEGMENT'!$C$8:$C$154=$C30)*'ANALYSE - ERP =&gt; SOUS-SEGMENT'!$Q$8:$Q$154*'ANALYSE - ERP =&gt; SOUS-SEGMENT'!$BH$8:$BH$154),0)</f>
        <v>8.7002901138138813E-3</v>
      </c>
      <c r="JU30" s="771">
        <f>IFERROR(SUMPRODUCT(('ANALYSE - ERP =&gt; SOUS-SEGMENT'!$C$8:$C$154=$C30)*'ANALYSE - ERP =&gt; SOUS-SEGMENT'!$Q$8:$Q$154*'ANALYSE - ERP =&gt; SOUS-SEGMENT'!$FK$8:$FK$154*'ANALYSE - ERP =&gt; SOUS-SEGMENT'!$JX$8:$JX$154)/SUMPRODUCT(('ANALYSE - ERP =&gt; SOUS-SEGMENT'!$C$8:$C$154=$C30)*'ANALYSE - ERP =&gt; SOUS-SEGMENT'!$Q$8:$Q$154*'ANALYSE - ERP =&gt; SOUS-SEGMENT'!$FK$8:$FK$154),0)</f>
        <v>6.2359078970370609E-2</v>
      </c>
      <c r="JV30" s="748">
        <f>IFERROR(SUMPRODUCT(('ANALYSE - ERP =&gt; SOUS-SEGMENT'!$C$8:$C$154=$C30)*'ANALYSE - ERP =&gt; SOUS-SEGMENT'!$Q$8:$Q$154*'ANALYSE - ERP =&gt; SOUS-SEGMENT'!$FK$8:$FK$154*'ANALYSE - ERP =&gt; SOUS-SEGMENT'!$JY$8:$JY$154)/SUMPRODUCT(('ANALYSE - ERP =&gt; SOUS-SEGMENT'!$C$8:$C$154=$C30)*'ANALYSE - ERP =&gt; SOUS-SEGMENT'!$Q$8:$Q$154*'ANALYSE - ERP =&gt; SOUS-SEGMENT'!$FK$8:$FK$154),0)</f>
        <v>0.46914315882155666</v>
      </c>
      <c r="JW30" s="748">
        <f>IFERROR(SUMPRODUCT(('ANALYSE - ERP =&gt; SOUS-SEGMENT'!$C$8:$C$154=$C30)*'ANALYSE - ERP =&gt; SOUS-SEGMENT'!$Q$8:$Q$154*'ANALYSE - ERP =&gt; SOUS-SEGMENT'!$FK$8:$FK$154*'ANALYSE - ERP =&gt; SOUS-SEGMENT'!$JZ$8:$JZ$154)/SUMPRODUCT(('ANALYSE - ERP =&gt; SOUS-SEGMENT'!$C$8:$C$154=$C30)*'ANALYSE - ERP =&gt; SOUS-SEGMENT'!$Q$8:$Q$154*'ANALYSE - ERP =&gt; SOUS-SEGMENT'!$FK$8:$FK$154),0)</f>
        <v>0.38229784501413122</v>
      </c>
      <c r="JX30" s="748">
        <f>IFERROR(SUMPRODUCT(('ANALYSE - ERP =&gt; SOUS-SEGMENT'!$C$8:$C$154=$C30)*'ANALYSE - ERP =&gt; SOUS-SEGMENT'!$Q$8:$Q$154*'ANALYSE - ERP =&gt; SOUS-SEGMENT'!$FK$8:$FK$154*'ANALYSE - ERP =&gt; SOUS-SEGMENT'!$KA$8:$KA$154)/SUMPRODUCT(('ANALYSE - ERP =&gt; SOUS-SEGMENT'!$C$8:$C$154=$C30)*'ANALYSE - ERP =&gt; SOUS-SEGMENT'!$Q$8:$Q$154*'ANALYSE - ERP =&gt; SOUS-SEGMENT'!$FK$8:$FK$154),0)</f>
        <v>7.2592374003874777E-2</v>
      </c>
      <c r="JY30" s="775">
        <f>IFERROR(SUMPRODUCT(('ANALYSE - ERP =&gt; SOUS-SEGMENT'!$C$8:$C$154=$C30)*'ANALYSE - ERP =&gt; SOUS-SEGMENT'!$Q$8:$Q$154*'ANALYSE - ERP =&gt; SOUS-SEGMENT'!$FK$8:$FK$154*'ANALYSE - ERP =&gt; SOUS-SEGMENT'!$KB$8:$KB$154)/SUMPRODUCT(('ANALYSE - ERP =&gt; SOUS-SEGMENT'!$C$8:$C$154=$C30)*'ANALYSE - ERP =&gt; SOUS-SEGMENT'!$Q$8:$Q$154*'ANALYSE - ERP =&gt; SOUS-SEGMENT'!$FK$8:$FK$154),0)</f>
        <v>1.3607543190066627E-2</v>
      </c>
      <c r="JZ30" s="657"/>
      <c r="KA30" s="314" t="s">
        <v>2590</v>
      </c>
      <c r="KB30" s="314" t="s">
        <v>2591</v>
      </c>
      <c r="KC30" s="866">
        <f>IFERROR(SUMPRODUCT(('ANALYSE - ERP =&gt; SOUS-SEGMENT'!$C$8:$C$154=$C31)*'ANALYSE - ERP =&gt; SOUS-SEGMENT'!$Q$8:$Q$154*'ANALYSE - ERP =&gt; SOUS-SEGMENT'!$EX$8:$EX$154*'ANALYSE - ERP =&gt; SOUS-SEGMENT'!$KF$8:$KF$154)/SUMPRODUCT(('ANALYSE - ERP =&gt; SOUS-SEGMENT'!$C$8:$C$154=$C31)*'ANALYSE - ERP =&gt; SOUS-SEGMENT'!$Q$8:$Q$154*'ANALYSE - ERP =&gt; SOUS-SEGMENT'!$EX$8:$EX$154),"")</f>
        <v>4.094258376454416</v>
      </c>
      <c r="KD30" s="314" t="s">
        <v>2589</v>
      </c>
      <c r="KE30" s="315" t="s">
        <v>2908</v>
      </c>
      <c r="KF30" s="617" t="s">
        <v>6760</v>
      </c>
      <c r="KG30" s="315" t="s">
        <v>6760</v>
      </c>
    </row>
    <row r="31" spans="1:293" ht="108" customHeight="1">
      <c r="A31" s="265">
        <v>30</v>
      </c>
      <c r="B31" s="488" t="s">
        <v>1670</v>
      </c>
      <c r="C31" s="488" t="s">
        <v>1747</v>
      </c>
      <c r="D31" s="488" t="s">
        <v>7284</v>
      </c>
      <c r="E31" s="267" t="s">
        <v>7285</v>
      </c>
      <c r="F31" s="267" t="s">
        <v>7286</v>
      </c>
      <c r="G31" s="267" t="s">
        <v>6790</v>
      </c>
      <c r="H31" s="267" t="s">
        <v>2109</v>
      </c>
      <c r="I31" s="268" t="s">
        <v>7287</v>
      </c>
      <c r="J31" s="268" t="s">
        <v>7288</v>
      </c>
      <c r="K31" s="269" t="s">
        <v>2097</v>
      </c>
      <c r="L31" s="269" t="s">
        <v>2109</v>
      </c>
      <c r="M31" s="269" t="s">
        <v>2603</v>
      </c>
      <c r="N31" s="269" t="s">
        <v>6742</v>
      </c>
      <c r="O31" s="269" t="s">
        <v>2212</v>
      </c>
      <c r="P31" s="268"/>
      <c r="Q31" s="270">
        <f>IF(SUMPRODUCT(('ANALYSE - ERP =&gt; SOUS-SEGMENT'!$C$8:$C$154=$C31)*'ANALYSE - ERP =&gt; SOUS-SEGMENT'!$Q$8:$Q$154)&gt;0,1,0)</f>
        <v>1</v>
      </c>
      <c r="R31" s="271">
        <f>IFERROR(SUMPRODUCT(('ANALYSE - ERP =&gt; SOUS-SEGMENT'!$C$8:$C$154=$C31)*'ANALYSE - ERP =&gt; SOUS-SEGMENT'!$Q$8:$Q$154*'ANALYSE - ERP =&gt; SOUS-SEGMENT'!$AG$8:$AG$154*'ANALYSE - ERP =&gt; SOUS-SEGMENT'!$R$8:$R$154)/SUMPRODUCT(('ANALYSE - ERP =&gt; SOUS-SEGMENT'!$C$8:$C$154=$C31)*'ANALYSE - ERP =&gt; SOUS-SEGMENT'!$Q$8:$Q$154*'ANALYSE - ERP =&gt; SOUS-SEGMENT'!$AG$8:$AG$154),"")</f>
        <v>6441.8302307922413</v>
      </c>
      <c r="S31" s="272">
        <f>SUMPRODUCT(('ANALYSE - ERP =&gt; SOUS-SEGMENT'!$C$8:$C$154=$C31)*'ANALYSE - ERP =&gt; SOUS-SEGMENT'!$Q$8:$Q$154*'ANALYSE - ERP =&gt; SOUS-SEGMENT'!$S$8:$S$154)</f>
        <v>37600</v>
      </c>
      <c r="T31" s="272">
        <f>SUMPRODUCT(('ANALYSE - ERP =&gt; SOUS-SEGMENT'!$C$8:$C$154=$C31)*'ANALYSE - ERP =&gt; SOUS-SEGMENT'!$Q$8:$Q$154*'ANALYSE - ERP =&gt; SOUS-SEGMENT'!$T$8:$T$154)</f>
        <v>39315</v>
      </c>
      <c r="U31" s="272">
        <f>SUMPRODUCT(('ANALYSE - ERP =&gt; SOUS-SEGMENT'!$C$8:$C$154=$C31)*'ANALYSE - ERP =&gt; SOUS-SEGMENT'!$Q$8:$Q$154*'ANALYSE - ERP =&gt; SOUS-SEGMENT'!$U$8:$U$154)</f>
        <v>40945</v>
      </c>
      <c r="V31" s="272">
        <f>SUMPRODUCT(('ANALYSE - ERP =&gt; SOUS-SEGMENT'!$C$8:$C$154=$C31)*'ANALYSE - ERP =&gt; SOUS-SEGMENT'!$Q$8:$Q$154*'ANALYSE - ERP =&gt; SOUS-SEGMENT'!$V$8:$V$154)</f>
        <v>42220</v>
      </c>
      <c r="W31" s="272">
        <f>SUMPRODUCT(('ANALYSE - ERP =&gt; SOUS-SEGMENT'!$C$8:$C$154=$C31)*'ANALYSE - ERP =&gt; SOUS-SEGMENT'!$Q$8:$Q$154*'ANALYSE - ERP =&gt; SOUS-SEGMENT'!$W$8:$W$154)</f>
        <v>42284</v>
      </c>
      <c r="X31" s="272">
        <f>SUMPRODUCT(('ANALYSE - ERP =&gt; SOUS-SEGMENT'!$C$8:$C$154=$C31)*'ANALYSE - ERP =&gt; SOUS-SEGMENT'!$Q$8:$Q$154*'ANALYSE - ERP =&gt; SOUS-SEGMENT'!$X$8:$X$154)</f>
        <v>42349</v>
      </c>
      <c r="Y31" s="272">
        <f>SUMPRODUCT(('ANALYSE - ERP =&gt; SOUS-SEGMENT'!$C$8:$C$154=$C31)*'ANALYSE - ERP =&gt; SOUS-SEGMENT'!$Q$8:$Q$154*'ANALYSE - ERP =&gt; SOUS-SEGMENT'!$Y$8:$Y$154)</f>
        <v>42414</v>
      </c>
      <c r="Z31" s="272">
        <f>SUMPRODUCT(('ANALYSE - ERP =&gt; SOUS-SEGMENT'!$C$8:$C$154=$C31)*'ANALYSE - ERP =&gt; SOUS-SEGMENT'!$Q$8:$Q$154*'ANALYSE - ERP =&gt; SOUS-SEGMENT'!$Z$8:$Z$154)</f>
        <v>42479</v>
      </c>
      <c r="AA31" s="272">
        <f>SUMPRODUCT(('ANALYSE - ERP =&gt; SOUS-SEGMENT'!$C$8:$C$154=$C31)*'ANALYSE - ERP =&gt; SOUS-SEGMENT'!$Q$8:$Q$154*'ANALYSE - ERP =&gt; SOUS-SEGMENT'!$AA$8:$AA$154)</f>
        <v>42536</v>
      </c>
      <c r="AB31" s="272">
        <f>SUMPRODUCT(('ANALYSE - ERP =&gt; SOUS-SEGMENT'!$C$8:$C$154=$C31)*'ANALYSE - ERP =&gt; SOUS-SEGMENT'!$Q$8:$Q$154*'ANALYSE - ERP =&gt; SOUS-SEGMENT'!$AB$8:$AB$154)</f>
        <v>42671</v>
      </c>
      <c r="AC31" s="272">
        <f>SUMPRODUCT(('ANALYSE - ERP =&gt; SOUS-SEGMENT'!$C$8:$C$154=$C31)*'ANALYSE - ERP =&gt; SOUS-SEGMENT'!$Q$8:$Q$154*'ANALYSE - ERP =&gt; SOUS-SEGMENT'!$AC$8:$AC$154)</f>
        <v>42807</v>
      </c>
      <c r="AD31" s="272">
        <f>SUMPRODUCT(('ANALYSE - ERP =&gt; SOUS-SEGMENT'!$C$8:$C$154=$C31)*'ANALYSE - ERP =&gt; SOUS-SEGMENT'!$Q$8:$Q$154*'ANALYSE - ERP =&gt; SOUS-SEGMENT'!$AD$8:$AD$154)</f>
        <v>42943</v>
      </c>
      <c r="AE31" s="272">
        <f>SUMPRODUCT(('ANALYSE - ERP =&gt; SOUS-SEGMENT'!$C$8:$C$154=$C31)*'ANALYSE - ERP =&gt; SOUS-SEGMENT'!$Q$8:$Q$154*'ANALYSE - ERP =&gt; SOUS-SEGMENT'!$AE$8:$AE$154)</f>
        <v>43104</v>
      </c>
      <c r="AF31" s="272">
        <f>SUMPRODUCT(('ANALYSE - ERP =&gt; SOUS-SEGMENT'!$C$8:$C$154=$C31)*'ANALYSE - ERP =&gt; SOUS-SEGMENT'!$Q$8:$Q$154*'ANALYSE - ERP =&gt; SOUS-SEGMENT'!$AF$8:$AF$154)</f>
        <v>43261</v>
      </c>
      <c r="AG31" s="272">
        <f>SUMPRODUCT(('ANALYSE - ERP =&gt; SOUS-SEGMENT'!$C$8:$C$154=$C31)*'ANALYSE - ERP =&gt; SOUS-SEGMENT'!$Q$8:$Q$154*'ANALYSE - ERP =&gt; SOUS-SEGMENT'!$AG$8:$AG$154)</f>
        <v>43459</v>
      </c>
      <c r="AH31" s="272">
        <f>SUMPRODUCT(('ANALYSE - ERP =&gt; SOUS-SEGMENT'!$C$8:$C$154=$C31)*'ANALYSE - ERP =&gt; SOUS-SEGMENT'!$Q$8:$Q$154*'ANALYSE - ERP =&gt; SOUS-SEGMENT'!$AH$8:$AH$154)</f>
        <v>43657</v>
      </c>
      <c r="AI31" s="272">
        <f>SUMPRODUCT(('ANALYSE - ERP =&gt; SOUS-SEGMENT'!$C$8:$C$154=$C31)*'ANALYSE - ERP =&gt; SOUS-SEGMENT'!$Q$8:$Q$154*'ANALYSE - ERP =&gt; SOUS-SEGMENT'!$AI$8:$AI$154)</f>
        <v>43855</v>
      </c>
      <c r="AJ31" s="272">
        <f>SUMPRODUCT(('ANALYSE - ERP =&gt; SOUS-SEGMENT'!$C$8:$C$154=$C31)*'ANALYSE - ERP =&gt; SOUS-SEGMENT'!$Q$8:$Q$154*'ANALYSE - ERP =&gt; SOUS-SEGMENT'!$AJ$8:$AJ$154)</f>
        <v>44053</v>
      </c>
      <c r="AK31" s="272">
        <f>SUMPRODUCT(('ANALYSE - ERP =&gt; SOUS-SEGMENT'!$C$8:$C$154=$C31)*'ANALYSE - ERP =&gt; SOUS-SEGMENT'!$Q$8:$Q$154*'ANALYSE - ERP =&gt; SOUS-SEGMENT'!$AK$8:$AK$154)</f>
        <v>44250</v>
      </c>
      <c r="AL31" s="268" t="s">
        <v>7289</v>
      </c>
      <c r="AM31" s="268" t="s">
        <v>7290</v>
      </c>
      <c r="AN31" s="268" t="s">
        <v>2148</v>
      </c>
      <c r="AO31" s="657"/>
      <c r="AP31" s="271">
        <f>IFERROR(SUMPRODUCT(('ANALYSE - ERP =&gt; SOUS-SEGMENT'!$C$8:$C$154=$C31)*'ANALYSE - ERP =&gt; SOUS-SEGMENT'!$Q$8:$Q$154*'ANALYSE - ERP =&gt; SOUS-SEGMENT'!$AG$8:$AG$154*'ANALYSE - ERP =&gt; SOUS-SEGMENT'!$AP$8:$AP$154)/SUMPRODUCT(('ANALYSE - ERP =&gt; SOUS-SEGMENT'!$C$8:$C$154=$C31)*'ANALYSE - ERP =&gt; SOUS-SEGMENT'!$Q$8:$Q$154*'ANALYSE - ERP =&gt; SOUS-SEGMENT'!$AG$8:$AG$154),"")</f>
        <v>179.53703490646356</v>
      </c>
      <c r="AQ31" s="280">
        <f>IFERROR(SUMPRODUCT(('ANALYSE - ERP =&gt; SOUS-SEGMENT'!$C$8:$C$154=$C31)*'ANALYSE - ERP =&gt; SOUS-SEGMENT'!$Q$8:$Q$154*'ANALYSE - ERP =&gt; SOUS-SEGMENT'!$AF$8:$AF$154*'ANALYSE - ERP =&gt; SOUS-SEGMENT'!$AQ$8:$AQ$154)/SUMPRODUCT(('ANALYSE - ERP =&gt; SOUS-SEGMENT'!$C$8:$C$154=$C31)*'ANALYSE - ERP =&gt; SOUS-SEGMENT'!$Q$8:$Q$154*'ANALYSE - ERP =&gt; SOUS-SEGMENT'!$AF$8:$AF$154),"")</f>
        <v>62.873719978733732</v>
      </c>
      <c r="AR31" s="974">
        <f>IFERROR(SUMPRODUCT(('ANALYSE - ERP =&gt; SOUS-SEGMENT'!$C$8:$C$154=$C31)*'ANALYSE - ERP =&gt; SOUS-SEGMENT'!$Q$8:$Q$154*'ANALYSE - ERP =&gt; SOUS-SEGMENT'!$AF$8:$AF$154*'ANALYSE - ERP =&gt; SOUS-SEGMENT'!$AR$8:$AR$154)/SUMPRODUCT(('ANALYSE - ERP =&gt; SOUS-SEGMENT'!$C$8:$C$154=$C31)*'ANALYSE - ERP =&gt; SOUS-SEGMENT'!$Q$8:$Q$154*'ANALYSE - ERP =&gt; SOUS-SEGMENT'!$AF$8:$AF$154),"")</f>
        <v>12.09958160930168</v>
      </c>
      <c r="AS31" s="974">
        <f>IFERROR(SUMPRODUCT(('ANALYSE - ERP =&gt; SOUS-SEGMENT'!$C$8:$C$154=$C31)*'ANALYSE - ERP =&gt; SOUS-SEGMENT'!$Q$8:$Q$154*'ANALYSE - ERP =&gt; SOUS-SEGMENT'!$AF$8:$AF$154*'ANALYSE - ERP =&gt; SOUS-SEGMENT'!$AS$8:$AS$154)/SUMPRODUCT(('ANALYSE - ERP =&gt; SOUS-SEGMENT'!$C$8:$C$154=$C31)*'ANALYSE - ERP =&gt; SOUS-SEGMENT'!$Q$8:$Q$154*'ANALYSE - ERP =&gt; SOUS-SEGMENT'!$AF$8:$AF$154),"")</f>
        <v>4.2897760107255962</v>
      </c>
      <c r="AT31" s="657" t="s">
        <v>7291</v>
      </c>
      <c r="AU31" s="290" t="s">
        <v>7292</v>
      </c>
      <c r="AV31" s="572" t="s">
        <v>2890</v>
      </c>
      <c r="AW31" s="290" t="s">
        <v>7268</v>
      </c>
      <c r="AX31" s="657"/>
      <c r="AY31" s="303">
        <f>IFERROR(SUMPRODUCT(('ANALYSE - ERP =&gt; SOUS-SEGMENT'!$C$8:$C$154=$C31)*'ANALYSE - ERP =&gt; SOUS-SEGMENT'!$Q$8:$Q$154*'ANALYSE - ERP =&gt; SOUS-SEGMENT'!$AF$8:$AF$154*'ANALYSE - ERP =&gt; SOUS-SEGMENT'!$AZ$8:$AZ$154)/SUMPRODUCT(('ANALYSE - ERP =&gt; SOUS-SEGMENT'!$C$8:$C$154=$C31)*'ANALYSE - ERP =&gt; SOUS-SEGMENT'!$Q$8:$Q$154*'ANALYSE - ERP =&gt; SOUS-SEGMENT'!$AF$8:$AF$154),"")</f>
        <v>7.8119784563463623</v>
      </c>
      <c r="AZ31" s="948">
        <f>IFERROR(SUMPRODUCT(('ANALYSE - ERP =&gt; SOUS-SEGMENT'!$C$8:$C$154=$C31)*'ANALYSE - ERP =&gt; SOUS-SEGMENT'!$Q$8:$Q$154*'ANALYSE - ERP =&gt; SOUS-SEGMENT'!$AF$8:$AF$154*'ANALYSE - ERP =&gt; SOUS-SEGMENT'!$BA$8:$BA$154)/SUMPRODUCT(('ANALYSE - ERP =&gt; SOUS-SEGMENT'!$C$8:$C$154=$C31)*'ANALYSE - ERP =&gt; SOUS-SEGMENT'!$Q$8:$Q$154*'ANALYSE - ERP =&gt; SOUS-SEGMENT'!$AF$8:$AF$154),"")</f>
        <v>7.5264094681121563</v>
      </c>
      <c r="BA31" s="303">
        <f>IFERROR(SUMPRODUCT(('ANALYSE - ERP =&gt; SOUS-SEGMENT'!$C$8:$C$154=$C31)*'ANALYSE - ERP =&gt; SOUS-SEGMENT'!$Q$8:$Q$154*'ANALYSE - ERP =&gt; SOUS-SEGMENT'!$AF$8:$AF$154*'ANALYSE - ERP =&gt; SOUS-SEGMENT'!$BB$8:$BB$154)/SUMPRODUCT(('ANALYSE - ERP =&gt; SOUS-SEGMENT'!$C$8:$C$154=$C31)*'ANALYSE - ERP =&gt; SOUS-SEGMENT'!$Q$8:$Q$154*'ANALYSE - ERP =&gt; SOUS-SEGMENT'!$AF$8:$AF$154),"")</f>
        <v>2.2830031668246225</v>
      </c>
      <c r="BB31" s="303">
        <f>IFERROR(SUMPRODUCT(('ANALYSE - ERP =&gt; SOUS-SEGMENT'!$C$8:$C$154=$C31)*'ANALYSE - ERP =&gt; SOUS-SEGMENT'!$Q$8:$Q$154*'ANALYSE - ERP =&gt; SOUS-SEGMENT'!$AF$8:$AF$154*'ANALYSE - ERP =&gt; SOUS-SEGMENT'!$BC$8:$BC$154)/SUMPRODUCT(('ANALYSE - ERP =&gt; SOUS-SEGMENT'!$C$8:$C$154=$C31)*'ANALYSE - ERP =&gt; SOUS-SEGMENT'!$Q$8:$Q$154*'ANALYSE - ERP =&gt; SOUS-SEGMENT'!$AF$8:$AF$154),"")</f>
        <v>7.0629435288134808</v>
      </c>
      <c r="BC31" s="304">
        <f>SUMPRODUCT(('ANALYSE - ERP =&gt; SOUS-SEGMENT'!$C$8:$C$154=$C31)*'ANALYSE - ERP =&gt; SOUS-SEGMENT'!$Q$8:$Q$154*'ANALYSE - ERP =&gt; SOUS-SEGMENT'!$BE$8:$BE$154)</f>
        <v>337954</v>
      </c>
      <c r="BD31" s="304">
        <f>SUMPRODUCT(('ANALYSE - ERP =&gt; SOUS-SEGMENT'!$C$8:$C$154=$C31)*'ANALYSE - ERP =&gt; SOUS-SEGMENT'!$Q$8:$Q$154*'ANALYSE - ERP =&gt; SOUS-SEGMENT'!$BF$8:$BF$154)</f>
        <v>325600</v>
      </c>
      <c r="BE31" s="304">
        <f>SUMPRODUCT(('ANALYSE - ERP =&gt; SOUS-SEGMENT'!$C$8:$C$154=$C31)*'ANALYSE - ERP =&gt; SOUS-SEGMENT'!$Q$8:$Q$154*'ANALYSE - ERP =&gt; SOUS-SEGMENT'!$BG$8:$BG$154)</f>
        <v>98765</v>
      </c>
      <c r="BF31" s="304">
        <f>SUMPRODUCT(('ANALYSE - ERP =&gt; SOUS-SEGMENT'!$C$8:$C$154=$C31)*'ANALYSE - ERP =&gt; SOUS-SEGMENT'!$Q$8:$Q$154*'ANALYSE - ERP =&gt; SOUS-SEGMENT'!$BH$8:$BH$154)</f>
        <v>305550</v>
      </c>
      <c r="BG31" s="304">
        <f>SUMPRODUCT(('ANALYSE - ERP =&gt; SOUS-SEGMENT'!$C$8:$C$154=$C31)*'ANALYSE - ERP =&gt; SOUS-SEGMENT'!$Q$8:$Q$154*'ANALYSE - ERP =&gt; SOUS-SEGMENT'!$BJ$8:$BJ$154)</f>
        <v>344035</v>
      </c>
      <c r="BH31" s="304">
        <f>SUMPRODUCT(('ANALYSE - ERP =&gt; SOUS-SEGMENT'!$C$8:$C$154=$C31)*'ANALYSE - ERP =&gt; SOUS-SEGMENT'!$Q$8:$Q$154*'ANALYSE - ERP =&gt; SOUS-SEGMENT'!$BK$8:$BK$154)</f>
        <v>330110</v>
      </c>
      <c r="BI31" s="304">
        <f>SUMPRODUCT(('ANALYSE - ERP =&gt; SOUS-SEGMENT'!$C$8:$C$154=$C31)*'ANALYSE - ERP =&gt; SOUS-SEGMENT'!$Q$8:$Q$154*'ANALYSE - ERP =&gt; SOUS-SEGMENT'!$BL$8:$BL$154)</f>
        <v>100750</v>
      </c>
      <c r="BJ31" s="304">
        <f>SUMPRODUCT(('ANALYSE - ERP =&gt; SOUS-SEGMENT'!$C$8:$C$154=$C31)*'ANALYSE - ERP =&gt; SOUS-SEGMENT'!$Q$8:$Q$154*'ANALYSE - ERP =&gt; SOUS-SEGMENT'!$BM$8:$BM$154)</f>
        <v>311450</v>
      </c>
      <c r="BK31" s="657"/>
      <c r="BL31" s="580">
        <f>IFERROR(SUMPRODUCT(('ANALYSE - ERP =&gt; SOUS-SEGMENT'!$C$8:$C$154=$C31)*'ANALYSE - ERP =&gt; SOUS-SEGMENT'!$Q$8:$Q$154*'ANALYSE - ERP =&gt; SOUS-SEGMENT'!$BE$8:$BE$154*'ANALYSE - ERP =&gt; SOUS-SEGMENT'!$BO$8:$BO$154)/SUMPRODUCT(('ANALYSE - ERP =&gt; SOUS-SEGMENT'!$C$8:$C$154=$C31)*'ANALYSE - ERP =&gt; SOUS-SEGMENT'!$Q$8:$Q$154*'ANALYSE - ERP =&gt; SOUS-SEGMENT'!$BE$8:$BE$154),"")</f>
        <v>9.7120909946324066E-2</v>
      </c>
      <c r="BM31" s="305">
        <f>IFERROR(SUMPRODUCT(('ANALYSE - ERP =&gt; SOUS-SEGMENT'!$C$8:$C$154=$C31)*'ANALYSE - ERP =&gt; SOUS-SEGMENT'!$Q$8:$Q$154*'ANALYSE - ERP =&gt; SOUS-SEGMENT'!$BE$8:$BE$154*'ANALYSE - ERP =&gt; SOUS-SEGMENT'!$BP$8:$BP$154)/SUMPRODUCT(('ANALYSE - ERP =&gt; SOUS-SEGMENT'!$C$8:$C$154=$C31)*'ANALYSE - ERP =&gt; SOUS-SEGMENT'!$Q$8:$Q$154*'ANALYSE - ERP =&gt; SOUS-SEGMENT'!$BE$8:$BE$154),"")</f>
        <v>0.7686372701610279</v>
      </c>
      <c r="BN31" s="305">
        <f>IFERROR(SUMPRODUCT(('ANALYSE - ERP =&gt; SOUS-SEGMENT'!$C$8:$C$154=$C31)*'ANALYSE - ERP =&gt; SOUS-SEGMENT'!$Q$8:$Q$154*'ANALYSE - ERP =&gt; SOUS-SEGMENT'!$BE$8:$BE$154*'ANALYSE - ERP =&gt; SOUS-SEGMENT'!$BQ$8:$BQ$154)/SUMPRODUCT(('ANALYSE - ERP =&gt; SOUS-SEGMENT'!$C$8:$C$154=$C31)*'ANALYSE - ERP =&gt; SOUS-SEGMENT'!$Q$8:$Q$154*'ANALYSE - ERP =&gt; SOUS-SEGMENT'!$BE$8:$BE$154),"")</f>
        <v>7.4241819892648109E-2</v>
      </c>
      <c r="BO31" s="581">
        <f>IFERROR(SUMPRODUCT(('ANALYSE - ERP =&gt; SOUS-SEGMENT'!$C$8:$C$154=$C31)*'ANALYSE - ERP =&gt; SOUS-SEGMENT'!$Q$8:$Q$154*'ANALYSE - ERP =&gt; SOUS-SEGMENT'!$BE$8:$BE$154*'ANALYSE - ERP =&gt; SOUS-SEGMENT'!$BR$8:$BR$154)/SUMPRODUCT(('ANALYSE - ERP =&gt; SOUS-SEGMENT'!$C$8:$C$154=$C31)*'ANALYSE - ERP =&gt; SOUS-SEGMENT'!$Q$8:$Q$154*'ANALYSE - ERP =&gt; SOUS-SEGMENT'!$BE$8:$BE$154),"")</f>
        <v>6.0000000000000005E-2</v>
      </c>
      <c r="BP31" s="580">
        <f>IFERROR(SUMPRODUCT(('ANALYSE - ERP =&gt; SOUS-SEGMENT'!$C$8:$C$154=$C31)*'ANALYSE - ERP =&gt; SOUS-SEGMENT'!$Q$8:$Q$154*'ANALYSE - ERP =&gt; SOUS-SEGMENT'!$BJ$8:$BJ$154*'ANALYSE - ERP =&gt; SOUS-SEGMENT'!$BS$8:$BS$154)/SUMPRODUCT(('ANALYSE - ERP =&gt; SOUS-SEGMENT'!$C$8:$C$154=$C31)*'ANALYSE - ERP =&gt; SOUS-SEGMENT'!$Q$8:$Q$154*'ANALYSE - ERP =&gt; SOUS-SEGMENT'!$BJ$8:$BJ$154),"")</f>
        <v>7.855319952911767E-2</v>
      </c>
      <c r="BQ31" s="305">
        <f>IFERROR(SUMPRODUCT(('ANALYSE - ERP =&gt; SOUS-SEGMENT'!$C$8:$C$154=$C31)*'ANALYSE - ERP =&gt; SOUS-SEGMENT'!$Q$8:$Q$154*'ANALYSE - ERP =&gt; SOUS-SEGMENT'!$BJ$8:$BJ$154*'ANALYSE - ERP =&gt; SOUS-SEGMENT'!$BT$8:$BT$154)/SUMPRODUCT(('ANALYSE - ERP =&gt; SOUS-SEGMENT'!$C$8:$C$154=$C31)*'ANALYSE - ERP =&gt; SOUS-SEGMENT'!$Q$8:$Q$154*'ANALYSE - ERP =&gt; SOUS-SEGMENT'!$BJ$8:$BJ$154),"")</f>
        <v>0.76868080282529383</v>
      </c>
      <c r="BR31" s="305">
        <f>IFERROR(SUMPRODUCT(('ANALYSE - ERP =&gt; SOUS-SEGMENT'!$C$8:$C$154=$C31)*'ANALYSE - ERP =&gt; SOUS-SEGMENT'!$Q$8:$Q$154*'ANALYSE - ERP =&gt; SOUS-SEGMENT'!$BJ$8:$BJ$154*'ANALYSE - ERP =&gt; SOUS-SEGMENT'!$BU$8:$BU$154)/SUMPRODUCT(('ANALYSE - ERP =&gt; SOUS-SEGMENT'!$C$8:$C$154=$C31)*'ANALYSE - ERP =&gt; SOUS-SEGMENT'!$Q$8:$Q$154*'ANALYSE - ERP =&gt; SOUS-SEGMENT'!$BJ$8:$BJ$154),"")</f>
        <v>9.2765997645588391E-2</v>
      </c>
      <c r="BS31" s="581">
        <f>IFERROR(SUMPRODUCT(('ANALYSE - ERP =&gt; SOUS-SEGMENT'!$C$8:$C$154=$C31)*'ANALYSE - ERP =&gt; SOUS-SEGMENT'!$Q$8:$Q$154*'ANALYSE - ERP =&gt; SOUS-SEGMENT'!$BJ$8:$BJ$154*'ANALYSE - ERP =&gt; SOUS-SEGMENT'!$BV$8:$BV$154)/SUMPRODUCT(('ANALYSE - ERP =&gt; SOUS-SEGMENT'!$C$8:$C$154=$C31)*'ANALYSE - ERP =&gt; SOUS-SEGMENT'!$Q$8:$Q$154*'ANALYSE - ERP =&gt; SOUS-SEGMENT'!$BJ$8:$BJ$154),"")</f>
        <v>0.06</v>
      </c>
      <c r="BT31" s="589">
        <f>IFERROR(SUMPRODUCT(('ANALYSE - ERP =&gt; SOUS-SEGMENT'!$C$8:$C$154=$C31)*'ANALYSE - ERP =&gt; SOUS-SEGMENT'!$Q$8:$Q$154*'ANALYSE - ERP =&gt; SOUS-SEGMENT'!$BF$8:$BF$154*'ANALYSE - ERP =&gt; SOUS-SEGMENT'!$BW$8:$BW$154)/SUMPRODUCT(('ANALYSE - ERP =&gt; SOUS-SEGMENT'!$C$8:$C$154=$C31)*'ANALYSE - ERP =&gt; SOUS-SEGMENT'!$Q$8:$Q$154*'ANALYSE - ERP =&gt; SOUS-SEGMENT'!$BF$8:$BF$154),"")</f>
        <v>0.15536240786240788</v>
      </c>
      <c r="BU31" s="306">
        <f>IFERROR(SUMPRODUCT(('ANALYSE - ERP =&gt; SOUS-SEGMENT'!$C$8:$C$154=$C31)*'ANALYSE - ERP =&gt; SOUS-SEGMENT'!$Q$8:$Q$154*'ANALYSE - ERP =&gt; SOUS-SEGMENT'!$BF$8:$BF$154*'ANALYSE - ERP =&gt; SOUS-SEGMENT'!$BX$8:$BX$154)/SUMPRODUCT(('ANALYSE - ERP =&gt; SOUS-SEGMENT'!$C$8:$C$154=$C31)*'ANALYSE - ERP =&gt; SOUS-SEGMENT'!$Q$8:$Q$154*'ANALYSE - ERP =&gt; SOUS-SEGMENT'!$BF$8:$BF$154),"")</f>
        <v>0.79336609336609332</v>
      </c>
      <c r="BV31" s="590">
        <f>IFERROR(SUMPRODUCT(('ANALYSE - ERP =&gt; SOUS-SEGMENT'!$C$8:$C$154=$C31)*'ANALYSE - ERP =&gt; SOUS-SEGMENT'!$Q$8:$Q$154*'ANALYSE - ERP =&gt; SOUS-SEGMENT'!$BF$8:$BF$154*'ANALYSE - ERP =&gt; SOUS-SEGMENT'!$BY$8:$BY$154)/SUMPRODUCT(('ANALYSE - ERP =&gt; SOUS-SEGMENT'!$C$8:$C$154=$C31)*'ANALYSE - ERP =&gt; SOUS-SEGMENT'!$Q$8:$Q$154*'ANALYSE - ERP =&gt; SOUS-SEGMENT'!$BF$8:$BF$154),"")</f>
        <v>5.1271498771498773E-2</v>
      </c>
      <c r="BW31" s="589">
        <f>IFERROR(SUMPRODUCT(('ANALYSE - ERP =&gt; SOUS-SEGMENT'!$C$8:$C$154=$C31)*'ANALYSE - ERP =&gt; SOUS-SEGMENT'!$Q$8:$Q$154*'ANALYSE - ERP =&gt; SOUS-SEGMENT'!$BK$8:$BK$154*'ANALYSE - ERP =&gt; SOUS-SEGMENT'!$BZ$8:$BZ$154)/SUMPRODUCT(('ANALYSE - ERP =&gt; SOUS-SEGMENT'!$C$8:$C$154=$C31)*'ANALYSE - ERP =&gt; SOUS-SEGMENT'!$Q$8:$Q$154*'ANALYSE - ERP =&gt; SOUS-SEGMENT'!$BK$8:$BK$154),"")</f>
        <v>0.12324982581563722</v>
      </c>
      <c r="BX31" s="306">
        <f>IFERROR(SUMPRODUCT(('ANALYSE - ERP =&gt; SOUS-SEGMENT'!$C$8:$C$154=$C31)*'ANALYSE - ERP =&gt; SOUS-SEGMENT'!$Q$8:$Q$154*'ANALYSE - ERP =&gt; SOUS-SEGMENT'!$BK$8:$BK$154*'ANALYSE - ERP =&gt; SOUS-SEGMENT'!$CA$8:$CA$154)/SUMPRODUCT(('ANALYSE - ERP =&gt; SOUS-SEGMENT'!$C$8:$C$154=$C31)*'ANALYSE - ERP =&gt; SOUS-SEGMENT'!$Q$8:$Q$154*'ANALYSE - ERP =&gt; SOUS-SEGMENT'!$BK$8:$BK$154),"")</f>
        <v>0.81412922965072254</v>
      </c>
      <c r="BY31" s="590">
        <f>IFERROR(SUMPRODUCT(('ANALYSE - ERP =&gt; SOUS-SEGMENT'!$C$8:$C$154=$C31)*'ANALYSE - ERP =&gt; SOUS-SEGMENT'!$Q$8:$Q$154*'ANALYSE - ERP =&gt; SOUS-SEGMENT'!$BK$8:$BK$154*'ANALYSE - ERP =&gt; SOUS-SEGMENT'!$CB$8:$CB$154)/SUMPRODUCT(('ANALYSE - ERP =&gt; SOUS-SEGMENT'!$C$8:$C$154=$C31)*'ANALYSE - ERP =&gt; SOUS-SEGMENT'!$Q$8:$Q$154*'ANALYSE - ERP =&gt; SOUS-SEGMENT'!$BK$8:$BK$154),"")</f>
        <v>6.2620944533640296E-2</v>
      </c>
      <c r="BZ31" s="580">
        <f>IFERROR(SUMPRODUCT(('ANALYSE - ERP =&gt; SOUS-SEGMENT'!$C$8:$C$154=$C31)*'ANALYSE - ERP =&gt; SOUS-SEGMENT'!$Q$8:$Q$154*'ANALYSE - ERP =&gt; SOUS-SEGMENT'!$BG$8:$BG$154*'ANALYSE - ERP =&gt; SOUS-SEGMENT'!$CC$8:$CC$154)/SUMPRODUCT(('ANALYSE - ERP =&gt; SOUS-SEGMENT'!$C$8:$C$154=$C31)*'ANALYSE - ERP =&gt; SOUS-SEGMENT'!$Q$8:$Q$154*'ANALYSE - ERP =&gt; SOUS-SEGMENT'!$BG$8:$BG$154),"")</f>
        <v>4.4925327798309121E-2</v>
      </c>
      <c r="CA31" s="305">
        <f>IFERROR(SUMPRODUCT(('ANALYSE - ERP =&gt; SOUS-SEGMENT'!$C$8:$C$154=$C31)*'ANALYSE - ERP =&gt; SOUS-SEGMENT'!$Q$8:$Q$154*'ANALYSE - ERP =&gt; SOUS-SEGMENT'!$BG$8:$BG$154*'ANALYSE - ERP =&gt; SOUS-SEGMENT'!$CD$8:$CD$154)/SUMPRODUCT(('ANALYSE - ERP =&gt; SOUS-SEGMENT'!$C$8:$C$154=$C31)*'ANALYSE - ERP =&gt; SOUS-SEGMENT'!$Q$8:$Q$154*'ANALYSE - ERP =&gt; SOUS-SEGMENT'!$BG$8:$BG$154),"")</f>
        <v>0.55000000000000004</v>
      </c>
      <c r="CB31" s="305">
        <f>IFERROR(SUMPRODUCT(('ANALYSE - ERP =&gt; SOUS-SEGMENT'!$C$8:$C$154=$C31)*'ANALYSE - ERP =&gt; SOUS-SEGMENT'!$Q$8:$Q$154*'ANALYSE - ERP =&gt; SOUS-SEGMENT'!$BG$8:$BG$154*'ANALYSE - ERP =&gt; SOUS-SEGMENT'!$CE$8:$CE$154)/SUMPRODUCT(('ANALYSE - ERP =&gt; SOUS-SEGMENT'!$C$8:$C$154=$C31)*'ANALYSE - ERP =&gt; SOUS-SEGMENT'!$Q$8:$Q$154*'ANALYSE - ERP =&gt; SOUS-SEGMENT'!$BG$8:$BG$154),"")</f>
        <v>8.7313319495772798E-2</v>
      </c>
      <c r="CC31" s="581">
        <f>IFERROR(SUMPRODUCT(('ANALYSE - ERP =&gt; SOUS-SEGMENT'!$C$8:$C$154=$C31)*'ANALYSE - ERP =&gt; SOUS-SEGMENT'!$Q$8:$Q$154*'ANALYSE - ERP =&gt; SOUS-SEGMENT'!$BG$8:$BG$154*'ANALYSE - ERP =&gt; SOUS-SEGMENT'!$CF$8:$CF$154)/SUMPRODUCT(('ANALYSE - ERP =&gt; SOUS-SEGMENT'!$C$8:$C$154=$C31)*'ANALYSE - ERP =&gt; SOUS-SEGMENT'!$Q$8:$Q$154*'ANALYSE - ERP =&gt; SOUS-SEGMENT'!$BG$8:$BG$154),"")</f>
        <v>0.3177613527059181</v>
      </c>
      <c r="CD31" s="580">
        <f>IFERROR(SUMPRODUCT(('ANALYSE - ERP =&gt; SOUS-SEGMENT'!$C$8:$C$154=$C31)*'ANALYSE - ERP =&gt; SOUS-SEGMENT'!$Q$8:$Q$154*'ANALYSE - ERP =&gt; SOUS-SEGMENT'!$BL$8:$BL$154*'ANALYSE - ERP =&gt; SOUS-SEGMENT'!$CG$8:$CG$154)/SUMPRODUCT(('ANALYSE - ERP =&gt; SOUS-SEGMENT'!$C$8:$C$154=$C31)*'ANALYSE - ERP =&gt; SOUS-SEGMENT'!$Q$8:$Q$154*'ANALYSE - ERP =&gt; SOUS-SEGMENT'!$BL$8:$BL$154),"")</f>
        <v>3.4913151364764271E-2</v>
      </c>
      <c r="CE31" s="305">
        <f>IFERROR(SUMPRODUCT(('ANALYSE - ERP =&gt; SOUS-SEGMENT'!$C$8:$C$154=$C31)*'ANALYSE - ERP =&gt; SOUS-SEGMENT'!$Q$8:$Q$154*'ANALYSE - ERP =&gt; SOUS-SEGMENT'!$BL$8:$BL$154*'ANALYSE - ERP =&gt; SOUS-SEGMENT'!$CH$8:$CH$154)/SUMPRODUCT(('ANALYSE - ERP =&gt; SOUS-SEGMENT'!$C$8:$C$154=$C31)*'ANALYSE - ERP =&gt; SOUS-SEGMENT'!$Q$8:$Q$154*'ANALYSE - ERP =&gt; SOUS-SEGMENT'!$BL$8:$BL$154),"")</f>
        <v>0.55000000000000004</v>
      </c>
      <c r="CF31" s="305">
        <f>IFERROR(SUMPRODUCT(('ANALYSE - ERP =&gt; SOUS-SEGMENT'!$C$8:$C$154=$C31)*'ANALYSE - ERP =&gt; SOUS-SEGMENT'!$Q$8:$Q$154*'ANALYSE - ERP =&gt; SOUS-SEGMENT'!$BL$8:$BL$154*'ANALYSE - ERP =&gt; SOUS-SEGMENT'!$CI$8:$CI$154)/SUMPRODUCT(('ANALYSE - ERP =&gt; SOUS-SEGMENT'!$C$8:$C$154=$C31)*'ANALYSE - ERP =&gt; SOUS-SEGMENT'!$Q$8:$Q$154*'ANALYSE - ERP =&gt; SOUS-SEGMENT'!$BL$8:$BL$154),"")</f>
        <v>0.10728287841191067</v>
      </c>
      <c r="CG31" s="581">
        <f>IFERROR(SUMPRODUCT(('ANALYSE - ERP =&gt; SOUS-SEGMENT'!$C$8:$C$154=$C31)*'ANALYSE - ERP =&gt; SOUS-SEGMENT'!$Q$8:$Q$154*'ANALYSE - ERP =&gt; SOUS-SEGMENT'!$BL$8:$BL$154*'ANALYSE - ERP =&gt; SOUS-SEGMENT'!$CJ$8:$CJ$154)/SUMPRODUCT(('ANALYSE - ERP =&gt; SOUS-SEGMENT'!$C$8:$C$154=$C31)*'ANALYSE - ERP =&gt; SOUS-SEGMENT'!$Q$8:$Q$154*'ANALYSE - ERP =&gt; SOUS-SEGMENT'!$BL$8:$BL$154),"")</f>
        <v>0.30780397022332506</v>
      </c>
      <c r="CH31" s="589">
        <f>IFERROR(SUMPRODUCT(('ANALYSE - ERP =&gt; SOUS-SEGMENT'!$C$8:$C$154=$C31)*'ANALYSE - ERP =&gt; SOUS-SEGMENT'!$Q$8:$Q$154*'ANALYSE - ERP =&gt; SOUS-SEGMENT'!$BH$8:$BH$154*'ANALYSE - ERP =&gt; SOUS-SEGMENT'!$CK$8:$CK$154)/SUMPRODUCT(('ANALYSE - ERP =&gt; SOUS-SEGMENT'!$C$8:$C$154=$C31)*'ANALYSE - ERP =&gt; SOUS-SEGMENT'!$Q$8:$Q$154*'ANALYSE - ERP =&gt; SOUS-SEGMENT'!$BH$8:$BH$154),"")</f>
        <v>0.24423662248404515</v>
      </c>
      <c r="CI31" s="306">
        <f>IFERROR(SUMPRODUCT(('ANALYSE - ERP =&gt; SOUS-SEGMENT'!$C$8:$C$154=$C31)*'ANALYSE - ERP =&gt; SOUS-SEGMENT'!$Q$8:$Q$154*'ANALYSE - ERP =&gt; SOUS-SEGMENT'!$BH$8:$BH$154*'ANALYSE - ERP =&gt; SOUS-SEGMENT'!$CL$8:$CL$154)/SUMPRODUCT(('ANALYSE - ERP =&gt; SOUS-SEGMENT'!$C$8:$C$154=$C31)*'ANALYSE - ERP =&gt; SOUS-SEGMENT'!$Q$8:$Q$154*'ANALYSE - ERP =&gt; SOUS-SEGMENT'!$BH$8:$BH$154),"")</f>
        <v>0.57133529700540009</v>
      </c>
      <c r="CJ31" s="590">
        <f>IFERROR(SUMPRODUCT(('ANALYSE - ERP =&gt; SOUS-SEGMENT'!$C$8:$C$154=$C31)*'ANALYSE - ERP =&gt; SOUS-SEGMENT'!$Q$8:$Q$154*'ANALYSE - ERP =&gt; SOUS-SEGMENT'!$BH$8:$BH$154*'ANALYSE - ERP =&gt; SOUS-SEGMENT'!$CM$8:$CM$154)/SUMPRODUCT(('ANALYSE - ERP =&gt; SOUS-SEGMENT'!$C$8:$C$154=$C31)*'ANALYSE - ERP =&gt; SOUS-SEGMENT'!$Q$8:$Q$154*'ANALYSE - ERP =&gt; SOUS-SEGMENT'!$BH$8:$BH$154),"")</f>
        <v>0.18442808051055473</v>
      </c>
      <c r="CK31" s="589">
        <f>IFERROR(SUMPRODUCT(('ANALYSE - ERP =&gt; SOUS-SEGMENT'!$C$8:$C$154=$C31)*'ANALYSE - ERP =&gt; SOUS-SEGMENT'!$Q$8:$Q$154*'ANALYSE - ERP =&gt; SOUS-SEGMENT'!$BM$8:$BM$154*'ANALYSE - ERP =&gt; SOUS-SEGMENT'!$CN$8:$CN$154)/SUMPRODUCT(('ANALYSE - ERP =&gt; SOUS-SEGMENT'!$C$8:$C$154=$C31)*'ANALYSE - ERP =&gt; SOUS-SEGMENT'!$Q$8:$Q$154*'ANALYSE - ERP =&gt; SOUS-SEGMENT'!$BM$8:$BM$154),"")</f>
        <v>0.14423262160860492</v>
      </c>
      <c r="CL31" s="306">
        <f>IFERROR(SUMPRODUCT(('ANALYSE - ERP =&gt; SOUS-SEGMENT'!$C$8:$C$154=$C31)*'ANALYSE - ERP =&gt; SOUS-SEGMENT'!$Q$8:$Q$154*'ANALYSE - ERP =&gt; SOUS-SEGMENT'!$BM$8:$BM$154*'ANALYSE - ERP =&gt; SOUS-SEGMENT'!$CO$8:$CO$154)/SUMPRODUCT(('ANALYSE - ERP =&gt; SOUS-SEGMENT'!$C$8:$C$154=$C31)*'ANALYSE - ERP =&gt; SOUS-SEGMENT'!$Q$8:$Q$154*'ANALYSE - ERP =&gt; SOUS-SEGMENT'!$BM$8:$BM$154),"")</f>
        <v>0.60139589019104189</v>
      </c>
      <c r="CM31" s="590">
        <f>IFERROR(SUMPRODUCT(('ANALYSE - ERP =&gt; SOUS-SEGMENT'!$C$8:$C$154=$C31)*'ANALYSE - ERP =&gt; SOUS-SEGMENT'!$Q$8:$Q$154*'ANALYSE - ERP =&gt; SOUS-SEGMENT'!$BM$8:$BM$154*'ANALYSE - ERP =&gt; SOUS-SEGMENT'!$CP$8:$CP$154)/SUMPRODUCT(('ANALYSE - ERP =&gt; SOUS-SEGMENT'!$C$8:$C$154=$C31)*'ANALYSE - ERP =&gt; SOUS-SEGMENT'!$Q$8:$Q$154*'ANALYSE - ERP =&gt; SOUS-SEGMENT'!$BM$8:$BM$154),"")</f>
        <v>0.25437148820035321</v>
      </c>
      <c r="CN31" s="657"/>
      <c r="CO31" s="882">
        <f>IFERROR(SUMPRODUCT(('ANALYSE - ERP =&gt; SOUS-SEGMENT'!$C$8:$C$154=$C31)*'ANALYSE - ERP =&gt; SOUS-SEGMENT'!$DH$8:$DH$154*('ANALYSE - ERP =&gt; SOUS-SEGMENT'!$CR$8:$CR$154&gt;0)*'ANALYSE - ERP =&gt; SOUS-SEGMENT'!$CR$8:$CR$154)/SUMPRODUCT(('ANALYSE - ERP =&gt; SOUS-SEGMENT'!$C$8:$C$154=$C31)*'ANALYSE - ERP =&gt; SOUS-SEGMENT'!$DH$8:$DH$154*('ANALYSE - ERP =&gt; SOUS-SEGMENT'!$CR$8:$CR$154&gt;0)),"")</f>
        <v>10</v>
      </c>
      <c r="CP31" s="883">
        <f>IFERROR(SUMPRODUCT(('ANALYSE - ERP =&gt; SOUS-SEGMENT'!$C$8:$C$154=$C31)*'ANALYSE - ERP =&gt; SOUS-SEGMENT'!$DI$8:$DI$154*('ANALYSE - ERP =&gt; SOUS-SEGMENT'!$CS$8:$CS$154&gt;0)*'ANALYSE - ERP =&gt; SOUS-SEGMENT'!$CS$8:$CS$154)/SUMPRODUCT(('ANALYSE - ERP =&gt; SOUS-SEGMENT'!$C$8:$C$154=$C31)*'ANALYSE - ERP =&gt; SOUS-SEGMENT'!$DI$8:$DI$154*('ANALYSE - ERP =&gt; SOUS-SEGMENT'!$CS$8:$CS$154&gt;0)),"")</f>
        <v>11</v>
      </c>
      <c r="CQ31" s="883">
        <f>IFERROR(SUMPRODUCT(('ANALYSE - ERP =&gt; SOUS-SEGMENT'!$C$8:$C$154=$C31)*'ANALYSE - ERP =&gt; SOUS-SEGMENT'!$DJ$8:$DJ$154*('ANALYSE - ERP =&gt; SOUS-SEGMENT'!$CT$8:$CT$154&gt;0)*'ANALYSE - ERP =&gt; SOUS-SEGMENT'!$CT$8:$CT$154)/SUMPRODUCT(('ANALYSE - ERP =&gt; SOUS-SEGMENT'!$C$8:$C$154=$C31)*'ANALYSE - ERP =&gt; SOUS-SEGMENT'!$DJ$8:$DJ$154*('ANALYSE - ERP =&gt; SOUS-SEGMENT'!$CT$8:$CT$154&gt;0)),"")</f>
        <v>8</v>
      </c>
      <c r="CR31" s="884">
        <f>IFERROR(SUMPRODUCT(('ANALYSE - ERP =&gt; SOUS-SEGMENT'!$C$8:$C$154=$C31)*'ANALYSE - ERP =&gt; SOUS-SEGMENT'!$DK$8:$DK$154*('ANALYSE - ERP =&gt; SOUS-SEGMENT'!$CU$8:$CU$154&gt;0)*'ANALYSE - ERP =&gt; SOUS-SEGMENT'!$CU$8:$CU$154)/SUMPRODUCT(('ANALYSE - ERP =&gt; SOUS-SEGMENT'!$C$8:$C$154=$C31)*'ANALYSE - ERP =&gt; SOUS-SEGMENT'!$DK$8:$DK$154*('ANALYSE - ERP =&gt; SOUS-SEGMENT'!$CU$8:$CU$154&gt;0)),"")</f>
        <v>9.8303023488403731</v>
      </c>
      <c r="CS31" s="882">
        <f>IFERROR(SUMPRODUCT(('ANALYSE - ERP =&gt; SOUS-SEGMENT'!$C$8:$C$154=$C31)*'ANALYSE - ERP =&gt; SOUS-SEGMENT'!$DS$8:$DS$154*('ANALYSE - ERP =&gt; SOUS-SEGMENT'!$CV$8:$CV$154&gt;0)*'ANALYSE - ERP =&gt; SOUS-SEGMENT'!$CV$8:$CV$154)/SUMPRODUCT(('ANALYSE - ERP =&gt; SOUS-SEGMENT'!$C$8:$C$154=$C31)*'ANALYSE - ERP =&gt; SOUS-SEGMENT'!$DS$8:$DS$154*('ANALYSE - ERP =&gt; SOUS-SEGMENT'!$CV$8:$CV$154&gt;0)),"")</f>
        <v>8.1939568259992885</v>
      </c>
      <c r="CT31" s="883">
        <f>IFERROR(SUMPRODUCT(('ANALYSE - ERP =&gt; SOUS-SEGMENT'!$C$8:$C$154=$C31)*'ANALYSE - ERP =&gt; SOUS-SEGMENT'!$DT$8:$DT$154*('ANALYSE - ERP =&gt; SOUS-SEGMENT'!$CW$8:$CW$154&gt;0)*'ANALYSE - ERP =&gt; SOUS-SEGMENT'!$CW$8:$CW$154)/SUMPRODUCT(('ANALYSE - ERP =&gt; SOUS-SEGMENT'!$C$8:$C$154=$C31)*'ANALYSE - ERP =&gt; SOUS-SEGMENT'!$DT$8:$DT$154*('ANALYSE - ERP =&gt; SOUS-SEGMENT'!$CW$8:$CW$154&gt;0)),"")</f>
        <v>8.3163208423660571</v>
      </c>
      <c r="CU31" s="884">
        <f>IFERROR(SUMPRODUCT(('ANALYSE - ERP =&gt; SOUS-SEGMENT'!$C$8:$C$154=$C31)*'ANALYSE - ERP =&gt; SOUS-SEGMENT'!$DU$8:$DU$154*('ANALYSE - ERP =&gt; SOUS-SEGMENT'!$CX$8:$CX$154&gt;0)*'ANALYSE - ERP =&gt; SOUS-SEGMENT'!$CX$8:$CX$154)/SUMPRODUCT(('ANALYSE - ERP =&gt; SOUS-SEGMENT'!$C$8:$C$154=$C31)*'ANALYSE - ERP =&gt; SOUS-SEGMENT'!$DU$8:$DU$154*('ANALYSE - ERP =&gt; SOUS-SEGMENT'!$CX$8:$CX$154&gt;0)),"")</f>
        <v>7.1858452138492872</v>
      </c>
      <c r="CV31" s="882">
        <f>IFERROR(SUMPRODUCT(('ANALYSE - ERP =&gt; SOUS-SEGMENT'!$C$8:$C$154=$C31)*'ANALYSE - ERP =&gt; SOUS-SEGMENT'!$EB$8:$EB$154*('ANALYSE - ERP =&gt; SOUS-SEGMENT'!$CY$8:$CY$154&gt;0)*'ANALYSE - ERP =&gt; SOUS-SEGMENT'!$CY$8:$CY$154)/SUMPRODUCT(('ANALYSE - ERP =&gt; SOUS-SEGMENT'!$C$8:$C$154=$C31)*'ANALYSE - ERP =&gt; SOUS-SEGMENT'!$EB$8:$EB$154*('ANALYSE - ERP =&gt; SOUS-SEGMENT'!$CY$8:$CY$154&gt;0)),"")</f>
        <v>8</v>
      </c>
      <c r="CW31" s="883">
        <f>IFERROR(SUMPRODUCT(('ANALYSE - ERP =&gt; SOUS-SEGMENT'!$C$8:$C$154=$C31)*'ANALYSE - ERP =&gt; SOUS-SEGMENT'!$EC$8:$EC$154*('ANALYSE - ERP =&gt; SOUS-SEGMENT'!$CZ$8:$CZ$154&gt;0)*'ANALYSE - ERP =&gt; SOUS-SEGMENT'!$CZ$8:$CZ$154)/SUMPRODUCT(('ANALYSE - ERP =&gt; SOUS-SEGMENT'!$C$8:$C$154=$C31)*'ANALYSE - ERP =&gt; SOUS-SEGMENT'!$EC$8:$EC$154*('ANALYSE - ERP =&gt; SOUS-SEGMENT'!$CZ$8:$CZ$154&gt;0)),"")</f>
        <v>10.268414924315294</v>
      </c>
      <c r="CX31" s="883">
        <f>IFERROR(SUMPRODUCT(('ANALYSE - ERP =&gt; SOUS-SEGMENT'!$C$8:$C$154=$C31)*'ANALYSE - ERP =&gt; SOUS-SEGMENT'!$ED$8:$ED$154*('ANALYSE - ERP =&gt; SOUS-SEGMENT'!$DA$8:$DA$154&gt;0)*'ANALYSE - ERP =&gt; SOUS-SEGMENT'!$DA$8:$DA$154)/SUMPRODUCT(('ANALYSE - ERP =&gt; SOUS-SEGMENT'!$C$8:$C$154=$C31)*'ANALYSE - ERP =&gt; SOUS-SEGMENT'!$ED$8:$ED$154*('ANALYSE - ERP =&gt; SOUS-SEGMENT'!$DA$8:$DA$154&gt;0)),"")</f>
        <v>7.1621151504609495</v>
      </c>
      <c r="CY31" s="885">
        <f>IFERROR(SUMPRODUCT(('ANALYSE - ERP =&gt; SOUS-SEGMENT'!$C$8:$C$154=$C31)*'ANALYSE - ERP =&gt; SOUS-SEGMENT'!$EE$8:$EE$154*('ANALYSE - ERP =&gt; SOUS-SEGMENT'!$DB$8:$DB$154&gt;0)*'ANALYSE - ERP =&gt; SOUS-SEGMENT'!$DB$8:$DB$154)/SUMPRODUCT(('ANALYSE - ERP =&gt; SOUS-SEGMENT'!$C$8:$C$154=$C31)*'ANALYSE - ERP =&gt; SOUS-SEGMENT'!$EE$8:$EE$154*('ANALYSE - ERP =&gt; SOUS-SEGMENT'!$DB$8:$DB$154&gt;0)),"")</f>
        <v>9</v>
      </c>
      <c r="CZ31" s="886">
        <f>IFERROR(SUMPRODUCT(('ANALYSE - ERP =&gt; SOUS-SEGMENT'!$C$8:$C$154=$C31)*'ANALYSE - ERP =&gt; SOUS-SEGMENT'!$EM$8:$EM$154*('ANALYSE - ERP =&gt; SOUS-SEGMENT'!$DC$8:$DC$154&gt;0)*'ANALYSE - ERP =&gt; SOUS-SEGMENT'!$DC$8:$DC$154)/SUMPRODUCT(('ANALYSE - ERP =&gt; SOUS-SEGMENT'!$C$8:$C$154=$C31)*'ANALYSE - ERP =&gt; SOUS-SEGMENT'!$EM$8:$EM$154*('ANALYSE - ERP =&gt; SOUS-SEGMENT'!$DC$8:$DC$154&gt;0)),"")</f>
        <v>9.8447736393908336</v>
      </c>
      <c r="DA31" s="883">
        <f>IFERROR(SUMPRODUCT(('ANALYSE - ERP =&gt; SOUS-SEGMENT'!$C$8:$C$154=$C31)*'ANALYSE - ERP =&gt; SOUS-SEGMENT'!$EN$8:$EN$154*('ANALYSE - ERP =&gt; SOUS-SEGMENT'!$DD$8:$DD$154&gt;0)*'ANALYSE - ERP =&gt; SOUS-SEGMENT'!$DD$8:$DD$154)/SUMPRODUCT(('ANALYSE - ERP =&gt; SOUS-SEGMENT'!$C$8:$C$154=$C31)*'ANALYSE - ERP =&gt; SOUS-SEGMENT'!$EN$8:$EN$154*('ANALYSE - ERP =&gt; SOUS-SEGMENT'!$DD$8:$DD$154&gt;0)),"")</f>
        <v>11.205520374173334</v>
      </c>
      <c r="DB31" s="885">
        <f>IFERROR(SUMPRODUCT(('ANALYSE - ERP =&gt; SOUS-SEGMENT'!$C$8:$C$154=$C31)*'ANALYSE - ERP =&gt; SOUS-SEGMENT'!$EO$8:$EO$154*('ANALYSE - ERP =&gt; SOUS-SEGMENT'!$DE$8:$DE$154&gt;0)*'ANALYSE - ERP =&gt; SOUS-SEGMENT'!$DE$8:$DE$154)/SUMPRODUCT(('ANALYSE - ERP =&gt; SOUS-SEGMENT'!$C$8:$C$154=$C31)*'ANALYSE - ERP =&gt; SOUS-SEGMENT'!$EO$8:$EO$154*('ANALYSE - ERP =&gt; SOUS-SEGMENT'!$DE$8:$DE$154&gt;0)),"")</f>
        <v>8.1050184554230551</v>
      </c>
      <c r="DC31" s="610" t="s">
        <v>7293</v>
      </c>
      <c r="DD31" s="657"/>
      <c r="DE31" s="288">
        <f t="shared" si="2"/>
        <v>32822.400000000001</v>
      </c>
      <c r="DF31" s="288">
        <f t="shared" si="3"/>
        <v>259764.04</v>
      </c>
      <c r="DG31" s="288">
        <f t="shared" si="4"/>
        <v>25090.32</v>
      </c>
      <c r="DH31" s="288">
        <f t="shared" si="5"/>
        <v>20277.240000000002</v>
      </c>
      <c r="DI31" s="317" t="s">
        <v>7294</v>
      </c>
      <c r="DJ31" s="288">
        <f t="shared" si="6"/>
        <v>27025.05</v>
      </c>
      <c r="DK31" s="288">
        <f t="shared" si="7"/>
        <v>264453.09999999998</v>
      </c>
      <c r="DL31" s="288">
        <f t="shared" si="8"/>
        <v>31914.750000000004</v>
      </c>
      <c r="DM31" s="288">
        <f t="shared" si="9"/>
        <v>20642.099999999999</v>
      </c>
      <c r="DN31" s="317" t="s">
        <v>7295</v>
      </c>
      <c r="DO31" s="657"/>
      <c r="DP31" s="288">
        <f t="shared" si="10"/>
        <v>50586.000000000007</v>
      </c>
      <c r="DQ31" s="288">
        <f t="shared" si="11"/>
        <v>258319.99999999997</v>
      </c>
      <c r="DR31" s="288">
        <f t="shared" si="12"/>
        <v>16694</v>
      </c>
      <c r="DS31" s="317" t="s">
        <v>7296</v>
      </c>
      <c r="DT31" s="288">
        <f t="shared" si="13"/>
        <v>40686</v>
      </c>
      <c r="DU31" s="288">
        <f t="shared" si="14"/>
        <v>268752.2</v>
      </c>
      <c r="DV31" s="288">
        <f t="shared" si="15"/>
        <v>20671.8</v>
      </c>
      <c r="DW31" s="317" t="s">
        <v>7297</v>
      </c>
      <c r="DX31" s="657"/>
      <c r="DY31" s="288">
        <f t="shared" si="16"/>
        <v>4437.05</v>
      </c>
      <c r="DZ31" s="288">
        <f t="shared" si="17"/>
        <v>54320.750000000007</v>
      </c>
      <c r="EA31" s="288">
        <f t="shared" si="18"/>
        <v>8623.5</v>
      </c>
      <c r="EB31" s="288">
        <f t="shared" si="19"/>
        <v>31383.7</v>
      </c>
      <c r="EC31" s="317" t="s">
        <v>7298</v>
      </c>
      <c r="ED31" s="288">
        <f t="shared" si="20"/>
        <v>3517.5000000000005</v>
      </c>
      <c r="EE31" s="288">
        <f t="shared" si="21"/>
        <v>55412.500000000007</v>
      </c>
      <c r="EF31" s="288">
        <f t="shared" si="22"/>
        <v>10808.75</v>
      </c>
      <c r="EG31" s="288">
        <f t="shared" si="23"/>
        <v>31011.25</v>
      </c>
      <c r="EH31" s="317" t="s">
        <v>7299</v>
      </c>
      <c r="EI31" s="290"/>
      <c r="EJ31" s="288">
        <f t="shared" si="24"/>
        <v>74626.5</v>
      </c>
      <c r="EK31" s="291">
        <f t="shared" si="25"/>
        <v>174571.5</v>
      </c>
      <c r="EL31" s="291">
        <f t="shared" si="26"/>
        <v>56352</v>
      </c>
      <c r="EM31" s="317" t="s">
        <v>7300</v>
      </c>
      <c r="EN31" s="288">
        <f t="shared" si="27"/>
        <v>44921.25</v>
      </c>
      <c r="EO31" s="291">
        <f t="shared" si="28"/>
        <v>187304.75</v>
      </c>
      <c r="EP31" s="291">
        <f t="shared" si="29"/>
        <v>79224.000000000015</v>
      </c>
      <c r="EQ31" s="318" t="s">
        <v>7301</v>
      </c>
      <c r="ER31" s="657"/>
      <c r="ES31" s="731">
        <f t="shared" si="30"/>
        <v>0.84800920481202735</v>
      </c>
      <c r="ET31" s="731">
        <f t="shared" si="31"/>
        <v>8.9951691752862092E-2</v>
      </c>
      <c r="EU31" s="292">
        <f t="shared" si="32"/>
        <v>549545.21513030678</v>
      </c>
      <c r="EV31" s="292">
        <f t="shared" si="33"/>
        <v>449524.59883030673</v>
      </c>
      <c r="EW31" s="292">
        <f t="shared" si="34"/>
        <v>100020.61629999999</v>
      </c>
      <c r="EX31" s="292">
        <f t="shared" si="35"/>
        <v>159716.42421228488</v>
      </c>
      <c r="EY31" s="292">
        <f>SUMPRODUCT(('ANALYSE - ERP =&gt; SOUS-SEGMENT'!$C$8:$C$154=$C31)*'ANALYSE - ERP =&gt; SOUS-SEGMENT'!$Q$8:$Q$154*'ANALYSE - ERP =&gt; SOUS-SEGMENT'!$FB$8:$FB$154)</f>
        <v>128061.19421228487</v>
      </c>
      <c r="EZ31" s="292">
        <f>SUMPRODUCT(('ANALYSE - ERP =&gt; SOUS-SEGMENT'!$C$8:$C$154=$C31)*'ANALYSE - ERP =&gt; SOUS-SEGMENT'!$Q$8:$Q$154*'ANALYSE - ERP =&gt; SOUS-SEGMENT'!$FC$8:$FC$154)</f>
        <v>31655.230000000003</v>
      </c>
      <c r="FA31" s="292">
        <f t="shared" si="36"/>
        <v>189404.87765012501</v>
      </c>
      <c r="FB31" s="292">
        <f>SUMPRODUCT(('ANALYSE - ERP =&gt; SOUS-SEGMENT'!$C$8:$C$154=$C31)*'ANALYSE - ERP =&gt; SOUS-SEGMENT'!$Q$8:$Q$154*'ANALYSE - ERP =&gt; SOUS-SEGMENT'!$FE$8:$FE$154)</f>
        <v>159153.395750125</v>
      </c>
      <c r="FC31" s="292">
        <f>SUMPRODUCT(('ANALYSE - ERP =&gt; SOUS-SEGMENT'!$C$8:$C$154=$C31)*'ANALYSE - ERP =&gt; SOUS-SEGMENT'!$Q$8:$Q$154*'ANALYSE - ERP =&gt; SOUS-SEGMENT'!$FF$8:$FF$154)</f>
        <v>30251.481899999999</v>
      </c>
      <c r="FD31" s="292">
        <f t="shared" si="37"/>
        <v>51674.90840956349</v>
      </c>
      <c r="FE31" s="292">
        <f>SUMPRODUCT(('ANALYSE - ERP =&gt; SOUS-SEGMENT'!$C$8:$C$154=$C31)*'ANALYSE - ERP =&gt; SOUS-SEGMENT'!$Q$8:$Q$154*'ANALYSE - ERP =&gt; SOUS-SEGMENT'!$FH$8:$FH$154)</f>
        <v>42290.978809563494</v>
      </c>
      <c r="FF31" s="292">
        <f>SUMPRODUCT(('ANALYSE - ERP =&gt; SOUS-SEGMENT'!$C$8:$C$154=$C31)*'ANALYSE - ERP =&gt; SOUS-SEGMENT'!$Q$8:$Q$154*'ANALYSE - ERP =&gt; SOUS-SEGMENT'!$FI$8:$FI$154)</f>
        <v>9383.9295999999995</v>
      </c>
      <c r="FG31" s="292">
        <f t="shared" si="38"/>
        <v>148749.00485833333</v>
      </c>
      <c r="FH31" s="292">
        <f>SUMPRODUCT(('ANALYSE - ERP =&gt; SOUS-SEGMENT'!$C$8:$C$154=$C31)*'ANALYSE - ERP =&gt; SOUS-SEGMENT'!$Q$8:$Q$154*'ANALYSE - ERP =&gt; SOUS-SEGMENT'!$FK$8:$FK$154)</f>
        <v>120019.03005833334</v>
      </c>
      <c r="FI31" s="292">
        <f>SUMPRODUCT(('ANALYSE - ERP =&gt; SOUS-SEGMENT'!$C$8:$C$154=$C31)*'ANALYSE - ERP =&gt; SOUS-SEGMENT'!$Q$8:$Q$154*'ANALYSE - ERP =&gt; SOUS-SEGMENT'!$FL$8:$FL$154)</f>
        <v>28729.974799999996</v>
      </c>
      <c r="FJ31" s="657"/>
      <c r="FK31" s="319" t="s">
        <v>2649</v>
      </c>
      <c r="FL31" s="731">
        <f>IFERROR(SUMPRODUCT(('ANALYSE - ERP =&gt; SOUS-SEGMENT'!$C$8:$C$154=$C31)*'ANALYSE - ERP =&gt; SOUS-SEGMENT'!$Q$8:$Q$154*'ANALYSE - ERP =&gt; SOUS-SEGMENT'!$AF$8:$AF$154*'ANALYSE - ERP =&gt; SOUS-SEGMENT'!$FO$8:$FO$154)/SUMPRODUCT(('ANALYSE - ERP =&gt; SOUS-SEGMENT'!$C$8:$C$154=$C31)*'ANALYSE - ERP =&gt; SOUS-SEGMENT'!$Q$8:$Q$154*'ANALYSE - ERP =&gt; SOUS-SEGMENT'!$AF$8:$AF$154),"")</f>
        <v>6.7483747486188489E-2</v>
      </c>
      <c r="FM31" s="732">
        <f>IFERROR(SUMPRODUCT(('ANALYSE - ERP =&gt; SOUS-SEGMENT'!$C$8:$C$154=$C31)*'ANALYSE - ERP =&gt; SOUS-SEGMENT'!$Q$8:$Q$154*'ANALYSE - ERP =&gt; SOUS-SEGMENT'!$AF$8:$AF$154*'ANALYSE - ERP =&gt; SOUS-SEGMENT'!$FP$8:$FP$154)/SUMPRODUCT(('ANALYSE - ERP =&gt; SOUS-SEGMENT'!$C$8:$C$154=$C31)*'ANALYSE - ERP =&gt; SOUS-SEGMENT'!$Q$8:$Q$154*'ANALYSE - ERP =&gt; SOUS-SEGMENT'!$AF$8:$AF$154),"")</f>
        <v>0.80406047479253839</v>
      </c>
      <c r="FN31" s="320" t="s">
        <v>6780</v>
      </c>
      <c r="FO31" s="657"/>
      <c r="FP31" s="887">
        <f>IFERROR(SUMPRODUCT(('ANALYSE - ERP =&gt; SOUS-SEGMENT'!$C$8:$C$154=$C31)*'ANALYSE - ERP =&gt; SOUS-SEGMENT'!$Q$8:$Q$154*'ANALYSE - ERP =&gt; SOUS-SEGMENT'!$EX$8:$EX$154*'ANALYSE - ERP =&gt; SOUS-SEGMENT'!$FS$8:$FS$154)/SUMPRODUCT(('ANALYSE - ERP =&gt; SOUS-SEGMENT'!$C$8:$C$154=$C31)*'ANALYSE - ERP =&gt; SOUS-SEGMENT'!$Q$8:$Q$154*'ANALYSE - ERP =&gt; SOUS-SEGMENT'!$EX$8:$EX$154),"")</f>
        <v>3.5846496553457459</v>
      </c>
      <c r="FQ31" s="295">
        <f>RANK($FP31,$FP$8:$FP$143,0)+COUNTIF($FP$8:$FP31,$FP31)-1</f>
        <v>10</v>
      </c>
      <c r="FR31" s="887">
        <f>IFERROR(SUMPRODUCT(('ANALYSE - ERP =&gt; SOUS-SEGMENT'!$C$8:$C$154=$C31)*'ANALYSE - ERP =&gt; SOUS-SEGMENT'!$Q$8:$Q$154*'ANALYSE - ERP =&gt; SOUS-SEGMENT'!$EY$8:$EY$154*'ANALYSE - ERP =&gt; SOUS-SEGMENT'!$FU$8:$FU$154)/SUMPRODUCT(('ANALYSE - ERP =&gt; SOUS-SEGMENT'!$C$8:$C$154=$C31)*'ANALYSE - ERP =&gt; SOUS-SEGMENT'!$Q$8:$Q$154*'ANALYSE - ERP =&gt; SOUS-SEGMENT'!$EY$8:$EY$154),"")</f>
        <v>4.4590716556484695</v>
      </c>
      <c r="FS31" s="295">
        <f>RANK($FR31,$FR$8:$FR$143,0)+COUNTIF($FR$8:$FR31,$FR31)-1</f>
        <v>4</v>
      </c>
      <c r="FT31" s="887">
        <f>IFERROR(SUMPRODUCT(('ANALYSE - ERP =&gt; SOUS-SEGMENT'!$C$8:$C$154=$C31)*'ANALYSE - ERP =&gt; SOUS-SEGMENT'!$Q$8:$Q$154*'ANALYSE - ERP =&gt; SOUS-SEGMENT'!$EZ$8:$EZ$154*'ANALYSE - ERP =&gt; SOUS-SEGMENT'!$FW$8:$FW$154)/SUMPRODUCT(('ANALYSE - ERP =&gt; SOUS-SEGMENT'!$C$8:$C$154=$C31)*'ANALYSE - ERP =&gt; SOUS-SEGMENT'!$Q$8:$Q$154*'ANALYSE - ERP =&gt; SOUS-SEGMENT'!$EZ$8:$EZ$154),"")</f>
        <v>2.1214791358969056</v>
      </c>
      <c r="FU31" s="295">
        <f>RANK($FT31,$FT$8:$FT$143,0)+COUNTIF($FT$8:$FT31,$FT31)-1</f>
        <v>20</v>
      </c>
      <c r="FV31" s="657"/>
      <c r="FW31" s="321" t="s">
        <v>7302</v>
      </c>
      <c r="FX31" s="321" t="s">
        <v>7303</v>
      </c>
      <c r="FY31" s="321" t="s">
        <v>7304</v>
      </c>
      <c r="FZ31" s="321" t="s">
        <v>7305</v>
      </c>
      <c r="GA31" s="321" t="s">
        <v>7306</v>
      </c>
      <c r="GB31" s="321" t="s">
        <v>7307</v>
      </c>
      <c r="GC31" s="321" t="s">
        <v>6759</v>
      </c>
      <c r="GD31" s="657"/>
      <c r="GE31" s="292">
        <f>SUMPRODUCT(('ANALYSE - ERP =&gt; SOUS-SEGMENT'!$C$8:$C$154=$C31)*'ANALYSE - ERP =&gt; SOUS-SEGMENT'!$Q$8:$Q$154*'ANALYSE - ERP =&gt; SOUS-SEGMENT'!$GH$8:$GH$154)</f>
        <v>15574.671178000001</v>
      </c>
      <c r="GF31" s="292">
        <f>SUMPRODUCT(('ANALYSE - ERP =&gt; SOUS-SEGMENT'!$C$8:$C$154=$C31)*'ANALYSE - ERP =&gt; SOUS-SEGMENT'!$Q$8:$Q$154*'ANALYSE - ERP =&gt; SOUS-SEGMENT'!$GI$8:$GI$154)</f>
        <v>13091.528948000001</v>
      </c>
      <c r="GG31" s="292">
        <f>SUMPRODUCT(('ANALYSE - ERP =&gt; SOUS-SEGMENT'!$C$8:$C$154=$C31)*'ANALYSE - ERP =&gt; SOUS-SEGMENT'!$Q$8:$Q$154*'ANALYSE - ERP =&gt; SOUS-SEGMENT'!$GJ$8:$GJ$154)</f>
        <v>2483.1422299999999</v>
      </c>
      <c r="GH31" s="292">
        <f>SUMPRODUCT(('ANALYSE - ERP =&gt; SOUS-SEGMENT'!$C$8:$C$154=$C31)*'ANALYSE - ERP =&gt; SOUS-SEGMENT'!$Q$8:$Q$154*'ANALYSE - ERP =&gt; SOUS-SEGMENT'!$GK$8:$GK$154)</f>
        <v>118549.60856581817</v>
      </c>
      <c r="GI31" s="292">
        <f>SUMPRODUCT(('ANALYSE - ERP =&gt; SOUS-SEGMENT'!$C$8:$C$154=$C31)*'ANALYSE - ERP =&gt; SOUS-SEGMENT'!$Q$8:$Q$154*'ANALYSE - ERP =&gt; SOUS-SEGMENT'!$GL$8:$GL$154)</f>
        <v>94195.976745818174</v>
      </c>
      <c r="GJ31" s="292">
        <f>SUMPRODUCT(('ANALYSE - ERP =&gt; SOUS-SEGMENT'!$C$8:$C$154=$C31)*'ANALYSE - ERP =&gt; SOUS-SEGMENT'!$Q$8:$Q$154*'ANALYSE - ERP =&gt; SOUS-SEGMENT'!$GM$8:$GM$154)</f>
        <v>24353.631819999999</v>
      </c>
      <c r="GK31" s="292">
        <f>SUMPRODUCT(('ANALYSE - ERP =&gt; SOUS-SEGMENT'!$C$8:$C$154=$C31)*'ANALYSE - ERP =&gt; SOUS-SEGMENT'!$Q$8:$Q$154*'ANALYSE - ERP =&gt; SOUS-SEGMENT'!$GN$8:$GN$154)</f>
        <v>15434.606239000001</v>
      </c>
      <c r="GL31" s="292">
        <f>SUMPRODUCT(('ANALYSE - ERP =&gt; SOUS-SEGMENT'!$C$8:$C$154=$C31)*'ANALYSE - ERP =&gt; SOUS-SEGMENT'!$Q$8:$Q$154*'ANALYSE - ERP =&gt; SOUS-SEGMENT'!$GO$8:$GO$154)</f>
        <v>12515.464089000001</v>
      </c>
      <c r="GM31" s="292">
        <f>SUMPRODUCT(('ANALYSE - ERP =&gt; SOUS-SEGMENT'!$C$8:$C$154=$C31)*'ANALYSE - ERP =&gt; SOUS-SEGMENT'!$Q$8:$Q$154*'ANALYSE - ERP =&gt; SOUS-SEGMENT'!$GP$8:$GP$154)</f>
        <v>2919.1421500000001</v>
      </c>
      <c r="GN31" s="292">
        <f>SUMPRODUCT(('ANALYSE - ERP =&gt; SOUS-SEGMENT'!$C$8:$C$154=$C31)*'ANALYSE - ERP =&gt; SOUS-SEGMENT'!$Q$8:$Q$154*'ANALYSE - ERP =&gt; SOUS-SEGMENT'!$GQ$8:$GQ$154)</f>
        <v>10157.538229466667</v>
      </c>
      <c r="GO31" s="292">
        <f>SUMPRODUCT(('ANALYSE - ERP =&gt; SOUS-SEGMENT'!$C$8:$C$154=$C31)*'ANALYSE - ERP =&gt; SOUS-SEGMENT'!$Q$8:$Q$154*'ANALYSE - ERP =&gt; SOUS-SEGMENT'!$GR$8:$GR$154)</f>
        <v>8258.2244294666671</v>
      </c>
      <c r="GP31" s="292">
        <f>SUMPRODUCT(('ANALYSE - ERP =&gt; SOUS-SEGMENT'!$C$8:$C$154=$C31)*'ANALYSE - ERP =&gt; SOUS-SEGMENT'!$Q$8:$Q$154*'ANALYSE - ERP =&gt; SOUS-SEGMENT'!$GS$8:$GS$154)</f>
        <v>1899.3138000000001</v>
      </c>
      <c r="GQ31" s="292">
        <f>SUMPRODUCT(('ANALYSE - ERP =&gt; SOUS-SEGMENT'!$C$8:$C$154=$C31)*'ANALYSE - ERP =&gt; SOUS-SEGMENT'!$Q$8:$Q$154*'ANALYSE - ERP =&gt; SOUS-SEGMENT'!$GT$8:$GT$154)</f>
        <v>28495.738656000001</v>
      </c>
      <c r="GR31" s="292">
        <f>SUMPRODUCT(('ANALYSE - ERP =&gt; SOUS-SEGMENT'!$C$8:$C$154=$C31)*'ANALYSE - ERP =&gt; SOUS-SEGMENT'!$Q$8:$Q$154*'ANALYSE - ERP =&gt; SOUS-SEGMENT'!$GU$8:$GU$154)</f>
        <v>24761.107835999996</v>
      </c>
      <c r="GS31" s="292">
        <f>SUMPRODUCT(('ANALYSE - ERP =&gt; SOUS-SEGMENT'!$C$8:$C$154=$C31)*'ANALYSE - ERP =&gt; SOUS-SEGMENT'!$Q$8:$Q$154*'ANALYSE - ERP =&gt; SOUS-SEGMENT'!$GV$8:$GV$154)</f>
        <v>3734.6308199999994</v>
      </c>
      <c r="GT31" s="292">
        <f>SUMPRODUCT(('ANALYSE - ERP =&gt; SOUS-SEGMENT'!$C$8:$C$154=$C31)*'ANALYSE - ERP =&gt; SOUS-SEGMENT'!$Q$8:$Q$154*'ANALYSE - ERP =&gt; SOUS-SEGMENT'!$GW$8:$GW$154)</f>
        <v>149664.86190599998</v>
      </c>
      <c r="GU31" s="292">
        <f>SUMPRODUCT(('ANALYSE - ERP =&gt; SOUS-SEGMENT'!$C$8:$C$154=$C31)*'ANALYSE - ERP =&gt; SOUS-SEGMENT'!$Q$8:$Q$154*'ANALYSE - ERP =&gt; SOUS-SEGMENT'!$GX$8:$GX$154)</f>
        <v>125049.40532399999</v>
      </c>
      <c r="GV31" s="292">
        <f>SUMPRODUCT(('ANALYSE - ERP =&gt; SOUS-SEGMENT'!$C$8:$C$154=$C31)*'ANALYSE - ERP =&gt; SOUS-SEGMENT'!$Q$8:$Q$154*'ANALYSE - ERP =&gt; SOUS-SEGMENT'!$GY$8:$GY$154)</f>
        <v>24615.456581999995</v>
      </c>
      <c r="GW31" s="292">
        <f>SUMPRODUCT(('ANALYSE - ERP =&gt; SOUS-SEGMENT'!$C$8:$C$154=$C31)*'ANALYSE - ERP =&gt; SOUS-SEGMENT'!$Q$8:$Q$154*'ANALYSE - ERP =&gt; SOUS-SEGMENT'!$GZ$8:$GZ$154)</f>
        <v>11244.277088125</v>
      </c>
      <c r="GX31" s="292">
        <f>SUMPRODUCT(('ANALYSE - ERP =&gt; SOUS-SEGMENT'!$C$8:$C$154=$C31)*'ANALYSE - ERP =&gt; SOUS-SEGMENT'!$Q$8:$Q$154*'ANALYSE - ERP =&gt; SOUS-SEGMENT'!$HA$8:$HA$154)</f>
        <v>9342.8825901249984</v>
      </c>
      <c r="GY31" s="292">
        <f>SUMPRODUCT(('ANALYSE - ERP =&gt; SOUS-SEGMENT'!$C$8:$C$154=$C31)*'ANALYSE - ERP =&gt; SOUS-SEGMENT'!$Q$8:$Q$154*'ANALYSE - ERP =&gt; SOUS-SEGMENT'!$HB$8:$HB$154)</f>
        <v>1901.3944980000001</v>
      </c>
      <c r="GZ31" s="292">
        <f>SUMPRODUCT(('ANALYSE - ERP =&gt; SOUS-SEGMENT'!$C$8:$C$154=$C31)*'ANALYSE - ERP =&gt; SOUS-SEGMENT'!$Q$8:$Q$154*'ANALYSE - ERP =&gt; SOUS-SEGMENT'!$HC$8:$HC$154)</f>
        <v>2546.4637942500003</v>
      </c>
      <c r="HA31" s="292">
        <f>SUMPRODUCT(('ANALYSE - ERP =&gt; SOUS-SEGMENT'!$C$8:$C$154=$C31)*'ANALYSE - ERP =&gt; SOUS-SEGMENT'!$Q$8:$Q$154*'ANALYSE - ERP =&gt; SOUS-SEGMENT'!$HD$8:$HD$154)</f>
        <v>2222.3639822499999</v>
      </c>
      <c r="HB31" s="292">
        <f>SUMPRODUCT(('ANALYSE - ERP =&gt; SOUS-SEGMENT'!$C$8:$C$154=$C31)*'ANALYSE - ERP =&gt; SOUS-SEGMENT'!$Q$8:$Q$154*'ANALYSE - ERP =&gt; SOUS-SEGMENT'!$HE$8:$HE$154)</f>
        <v>324.09981199999993</v>
      </c>
      <c r="HC31" s="292">
        <f>SUMPRODUCT(('ANALYSE - ERP =&gt; SOUS-SEGMENT'!$C$8:$C$154=$C31)*'ANALYSE - ERP =&gt; SOUS-SEGMENT'!$Q$8:$Q$154*'ANALYSE - ERP =&gt; SOUS-SEGMENT'!$HF$8:$HF$154)</f>
        <v>26350.598959999999</v>
      </c>
      <c r="HD31" s="292">
        <f>SUMPRODUCT(('ANALYSE - ERP =&gt; SOUS-SEGMENT'!$C$8:$C$154=$C31)*'ANALYSE - ERP =&gt; SOUS-SEGMENT'!$Q$8:$Q$154*'ANALYSE - ERP =&gt; SOUS-SEGMENT'!$HG$8:$HG$154)</f>
        <v>21189.437680000003</v>
      </c>
      <c r="HE31" s="292">
        <f>SUMPRODUCT(('ANALYSE - ERP =&gt; SOUS-SEGMENT'!$C$8:$C$154=$C31)*'ANALYSE - ERP =&gt; SOUS-SEGMENT'!$Q$8:$Q$154*'ANALYSE - ERP =&gt; SOUS-SEGMENT'!$HH$8:$HH$154)</f>
        <v>5161.1612799999994</v>
      </c>
      <c r="HF31" s="292">
        <f>SUMPRODUCT(('ANALYSE - ERP =&gt; SOUS-SEGMENT'!$C$8:$C$154=$C31)*'ANALYSE - ERP =&gt; SOUS-SEGMENT'!$Q$8:$Q$154*'ANALYSE - ERP =&gt; SOUS-SEGMENT'!$HI$8:$HI$154)</f>
        <v>5828.9353275357144</v>
      </c>
      <c r="HG31" s="292">
        <f>SUMPRODUCT(('ANALYSE - ERP =&gt; SOUS-SEGMENT'!$C$8:$C$154=$C31)*'ANALYSE - ERP =&gt; SOUS-SEGMENT'!$Q$8:$Q$154*'ANALYSE - ERP =&gt; SOUS-SEGMENT'!$HJ$8:$HJ$154)</f>
        <v>4831.007205535715</v>
      </c>
      <c r="HH31" s="292">
        <f>SUMPRODUCT(('ANALYSE - ERP =&gt; SOUS-SEGMENT'!$C$8:$C$154=$C31)*'ANALYSE - ERP =&gt; SOUS-SEGMENT'!$Q$8:$Q$154*'ANALYSE - ERP =&gt; SOUS-SEGMENT'!$HK$8:$HK$154)</f>
        <v>997.92812199999992</v>
      </c>
      <c r="HI31" s="292">
        <f>SUMPRODUCT(('ANALYSE - ERP =&gt; SOUS-SEGMENT'!$C$8:$C$154=$C31)*'ANALYSE - ERP =&gt; SOUS-SEGMENT'!$Q$8:$Q$154*'ANALYSE - ERP =&gt; SOUS-SEGMENT'!$HL$8:$HL$154)</f>
        <v>16948.910327777779</v>
      </c>
      <c r="HJ31" s="292">
        <f>SUMPRODUCT(('ANALYSE - ERP =&gt; SOUS-SEGMENT'!$C$8:$C$154=$C31)*'ANALYSE - ERP =&gt; SOUS-SEGMENT'!$Q$8:$Q$154*'ANALYSE - ERP =&gt; SOUS-SEGMENT'!$HM$8:$HM$154)</f>
        <v>14048.169941777776</v>
      </c>
      <c r="HK31" s="292">
        <f>SUMPRODUCT(('ANALYSE - ERP =&gt; SOUS-SEGMENT'!$C$8:$C$154=$C31)*'ANALYSE - ERP =&gt; SOUS-SEGMENT'!$Q$8:$Q$154*'ANALYSE - ERP =&gt; SOUS-SEGMENT'!$HN$8:$HN$154)</f>
        <v>2900.7403859999995</v>
      </c>
      <c r="HL31" s="292">
        <f>SUMPRODUCT(('ANALYSE - ERP =&gt; SOUS-SEGMENT'!$C$8:$C$154=$C31)*'ANALYSE - ERP =&gt; SOUS-SEGMENT'!$Q$8:$Q$154*'ANALYSE - ERP =&gt; SOUS-SEGMENT'!$HO$8:$HO$154)</f>
        <v>34361.368201944446</v>
      </c>
      <c r="HM31" s="292">
        <f>SUMPRODUCT(('ANALYSE - ERP =&gt; SOUS-SEGMENT'!$C$8:$C$154=$C31)*'ANALYSE - ERP =&gt; SOUS-SEGMENT'!$Q$8:$Q$154*'ANALYSE - ERP =&gt; SOUS-SEGMENT'!$HP$8:$HP$154)</f>
        <v>30239.529691944444</v>
      </c>
      <c r="HN31" s="292">
        <f>SUMPRODUCT(('ANALYSE - ERP =&gt; SOUS-SEGMENT'!$C$8:$C$154=$C31)*'ANALYSE - ERP =&gt; SOUS-SEGMENT'!$Q$8:$Q$154*'ANALYSE - ERP =&gt; SOUS-SEGMENT'!$HQ$8:$HQ$154)</f>
        <v>4121.8385100000005</v>
      </c>
      <c r="HO31" s="292">
        <f>SUMPRODUCT(('ANALYSE - ERP =&gt; SOUS-SEGMENT'!$C$8:$C$154=$C31)*'ANALYSE - ERP =&gt; SOUS-SEGMENT'!$Q$8:$Q$154*'ANALYSE - ERP =&gt; SOUS-SEGMENT'!$HR$8:$HR$154)</f>
        <v>79376.579945666672</v>
      </c>
      <c r="HP31" s="292">
        <f>SUMPRODUCT(('ANALYSE - ERP =&gt; SOUS-SEGMENT'!$C$8:$C$154=$C31)*'ANALYSE - ERP =&gt; SOUS-SEGMENT'!$Q$8:$Q$154*'ANALYSE - ERP =&gt; SOUS-SEGMENT'!$HS$8:$HS$154)</f>
        <v>62042.72027166668</v>
      </c>
      <c r="HQ31" s="292">
        <f>SUMPRODUCT(('ANALYSE - ERP =&gt; SOUS-SEGMENT'!$C$8:$C$154=$C31)*'ANALYSE - ERP =&gt; SOUS-SEGMENT'!$Q$8:$Q$154*'ANALYSE - ERP =&gt; SOUS-SEGMENT'!$HT$8:$HT$154)</f>
        <v>17333.859674000003</v>
      </c>
      <c r="HR31" s="292">
        <f>SUMPRODUCT(('ANALYSE - ERP =&gt; SOUS-SEGMENT'!$C$8:$C$154=$C31)*'ANALYSE - ERP =&gt; SOUS-SEGMENT'!$Q$8:$Q$154*'ANALYSE - ERP =&gt; SOUS-SEGMENT'!$HU$8:$HU$154)</f>
        <v>35011.056710722223</v>
      </c>
      <c r="HS31" s="292">
        <f>SUMPRODUCT(('ANALYSE - ERP =&gt; SOUS-SEGMENT'!$C$8:$C$154=$C31)*'ANALYSE - ERP =&gt; SOUS-SEGMENT'!$Q$8:$Q$154*'ANALYSE - ERP =&gt; SOUS-SEGMENT'!$HV$8:$HV$154)</f>
        <v>27736.78009472222</v>
      </c>
      <c r="HT31" s="292">
        <f>SUMPRODUCT(('ANALYSE - ERP =&gt; SOUS-SEGMENT'!$C$8:$C$154=$C31)*'ANALYSE - ERP =&gt; SOUS-SEGMENT'!$Q$8:$Q$154*'ANALYSE - ERP =&gt; SOUS-SEGMENT'!$HW$8:$HW$154)</f>
        <v>7274.2766160000001</v>
      </c>
      <c r="HV31" s="297">
        <f t="shared" si="40"/>
        <v>124214.5</v>
      </c>
      <c r="HW31" s="297">
        <f>SUMPRODUCT(('ANALYSE - ERP =&gt; SOUS-SEGMENT'!$C$8:$C$154=$C31)*'ANALYSE - ERP =&gt; SOUS-SEGMENT'!$Q$8:$Q$154*'ANALYSE - ERP =&gt; SOUS-SEGMENT'!$HZ$8:$HZ$154)</f>
        <v>158917.56199999998</v>
      </c>
      <c r="HX31" s="297">
        <f>SUMPRODUCT(('ANALYSE - ERP =&gt; SOUS-SEGMENT'!$C$8:$C$154=$C31)*'ANALYSE - ERP =&gt; SOUS-SEGMENT'!$Q$8:$Q$154*'ANALYSE - ERP =&gt; SOUS-SEGMENT'!$IA$8:$IA$154)</f>
        <v>595361.17099999997</v>
      </c>
      <c r="HY31" s="297">
        <f>SUMPRODUCT(('ANALYSE - ERP =&gt; SOUS-SEGMENT'!$C$8:$C$154=$C31)*'ANALYSE - ERP =&gt; SOUS-SEGMENT'!$Q$8:$Q$154*'ANALYSE - ERP =&gt; SOUS-SEGMENT'!$IB$8:$IB$154)</f>
        <v>286195.84399999998</v>
      </c>
      <c r="HZ31" s="297">
        <f>SUMPRODUCT(('ANALYSE - ERP =&gt; SOUS-SEGMENT'!$C$8:$C$154=$C31)*'ANALYSE - ERP =&gt; SOUS-SEGMENT'!$Q$8:$Q$154*'ANALYSE - ERP =&gt; SOUS-SEGMENT'!$IC$8:$IC$154)</f>
        <v>27397.145</v>
      </c>
      <c r="IA31" s="297">
        <f>SUMPRODUCT(('ANALYSE - ERP =&gt; SOUS-SEGMENT'!$C$8:$C$154=$C31)*'ANALYSE - ERP =&gt; SOUS-SEGMENT'!$Q$8:$Q$154*'ANALYSE - ERP =&gt; SOUS-SEGMENT'!$ID$8:$ID$154)</f>
        <v>0</v>
      </c>
      <c r="IB31" s="297">
        <f>SUMPRODUCT(('ANALYSE - ERP =&gt; SOUS-SEGMENT'!$C$8:$C$154=$C31)*'ANALYSE - ERP =&gt; SOUS-SEGMENT'!$Q$8:$Q$154*'ANALYSE - ERP =&gt; SOUS-SEGMENT'!$IE$8:$IE$154)</f>
        <v>449524.59883030661</v>
      </c>
      <c r="IC31" s="297">
        <f>SUMPRODUCT(('ANALYSE - ERP =&gt; SOUS-SEGMENT'!$C$8:$C$154=$C31)*'ANALYSE - ERP =&gt; SOUS-SEGMENT'!$Q$8:$Q$154*'ANALYSE - ERP =&gt; SOUS-SEGMENT'!$IF$8:$IF$154)</f>
        <v>54118.882546445799</v>
      </c>
      <c r="ID31" s="297">
        <f>SUMPRODUCT(('ANALYSE - ERP =&gt; SOUS-SEGMENT'!$C$8:$C$154=$C31)*'ANALYSE - ERP =&gt; SOUS-SEGMENT'!$Q$8:$Q$154*'ANALYSE - ERP =&gt; SOUS-SEGMENT'!$IG$8:$IG$154)</f>
        <v>234834.1755954382</v>
      </c>
      <c r="IE31" s="297">
        <f>SUMPRODUCT(('ANALYSE - ERP =&gt; SOUS-SEGMENT'!$C$8:$C$154=$C31)*'ANALYSE - ERP =&gt; SOUS-SEGMENT'!$Q$8:$Q$154*'ANALYSE - ERP =&gt; SOUS-SEGMENT'!$IH$8:$IH$154)</f>
        <v>138869.45336098108</v>
      </c>
      <c r="IF31" s="297">
        <f>SUMPRODUCT(('ANALYSE - ERP =&gt; SOUS-SEGMENT'!$C$8:$C$154=$C31)*'ANALYSE - ERP =&gt; SOUS-SEGMENT'!$Q$8:$Q$154*'ANALYSE - ERP =&gt; SOUS-SEGMENT'!$II$8:$II$154)</f>
        <v>20161.238640296375</v>
      </c>
      <c r="IG31" s="297">
        <f>SUMPRODUCT(('ANALYSE - ERP =&gt; SOUS-SEGMENT'!$C$8:$C$154=$C31)*'ANALYSE - ERP =&gt; SOUS-SEGMENT'!$Q$8:$Q$154*'ANALYSE - ERP =&gt; SOUS-SEGMENT'!$IJ$8:$IJ$154)</f>
        <v>1540.848687145291</v>
      </c>
      <c r="IH31" s="888"/>
      <c r="II31" s="298" t="s">
        <v>2589</v>
      </c>
      <c r="IJ31" s="322" t="s">
        <v>6760</v>
      </c>
      <c r="IK31" s="657"/>
      <c r="IL31" s="747">
        <f>IFERROR(SUMPRODUCT(('ANALYSE - ERP =&gt; SOUS-SEGMENT'!$C$8:$C$154=$C31)*'ANALYSE - ERP =&gt; SOUS-SEGMENT'!$Q$8:$Q$154*'ANALYSE - ERP =&gt; SOUS-SEGMENT'!$BE$8:$BE$154*'ANALYSE - ERP =&gt; SOUS-SEGMENT'!$IO$8:$IO$154)/SUMPRODUCT(('ANALYSE - ERP =&gt; SOUS-SEGMENT'!$C$8:$C$154=$C31)*'ANALYSE - ERP =&gt; SOUS-SEGMENT'!$Q$8:$Q$154*'ANALYSE - ERP =&gt; SOUS-SEGMENT'!$BE$8:$BE$154),0)</f>
        <v>0.13584927238618272</v>
      </c>
      <c r="IM31" s="748">
        <f>IFERROR(SUMPRODUCT(('ANALYSE - ERP =&gt; SOUS-SEGMENT'!$C$8:$C$154=$C31)*'ANALYSE - ERP =&gt; SOUS-SEGMENT'!$Q$8:$Q$154*'ANALYSE - ERP =&gt; SOUS-SEGMENT'!$BE$8:$BE$154*'ANALYSE - ERP =&gt; SOUS-SEGMENT'!$IP$8:$IP$154)/SUMPRODUCT(('ANALYSE - ERP =&gt; SOUS-SEGMENT'!$C$8:$C$154=$C31)*'ANALYSE - ERP =&gt; SOUS-SEGMENT'!$Q$8:$Q$154*'ANALYSE - ERP =&gt; SOUS-SEGMENT'!$BE$8:$BE$154),0)</f>
        <v>0.54839328725211123</v>
      </c>
      <c r="IN31" s="748">
        <f>IFERROR(SUMPRODUCT(('ANALYSE - ERP =&gt; SOUS-SEGMENT'!$C$8:$C$154=$C31)*'ANALYSE - ERP =&gt; SOUS-SEGMENT'!$Q$8:$Q$154*'ANALYSE - ERP =&gt; SOUS-SEGMENT'!$BE$8:$BE$154*'ANALYSE - ERP =&gt; SOUS-SEGMENT'!$IQ$8:$IQ$154)/SUMPRODUCT(('ANALYSE - ERP =&gt; SOUS-SEGMENT'!$C$8:$C$154=$C31)*'ANALYSE - ERP =&gt; SOUS-SEGMENT'!$Q$8:$Q$154*'ANALYSE - ERP =&gt; SOUS-SEGMENT'!$BE$8:$BE$154),0)</f>
        <v>0.28920138539564555</v>
      </c>
      <c r="IO31" s="748">
        <f>IFERROR(SUMPRODUCT(('ANALYSE - ERP =&gt; SOUS-SEGMENT'!$C$8:$C$154=$C31)*'ANALYSE - ERP =&gt; SOUS-SEGMENT'!$Q$8:$Q$154*'ANALYSE - ERP =&gt; SOUS-SEGMENT'!$BE$8:$BE$154*'ANALYSE - ERP =&gt; SOUS-SEGMENT'!$IR$8:$IR$154)/SUMPRODUCT(('ANALYSE - ERP =&gt; SOUS-SEGMENT'!$C$8:$C$154=$C31)*'ANALYSE - ERP =&gt; SOUS-SEGMENT'!$Q$8:$Q$154*'ANALYSE - ERP =&gt; SOUS-SEGMENT'!$BE$8:$BE$154),0)</f>
        <v>2.655605496606047E-2</v>
      </c>
      <c r="IP31" s="749">
        <f>IFERROR(SUMPRODUCT(('ANALYSE - ERP =&gt; SOUS-SEGMENT'!$C$8:$C$154=$C31)*'ANALYSE - ERP =&gt; SOUS-SEGMENT'!$Q$8:$Q$154*'ANALYSE - ERP =&gt; SOUS-SEGMENT'!$BE$8:$BE$154*'ANALYSE - ERP =&gt; SOUS-SEGMENT'!$IS$8:$IS$154)/SUMPRODUCT(('ANALYSE - ERP =&gt; SOUS-SEGMENT'!$C$8:$C$154=$C31)*'ANALYSE - ERP =&gt; SOUS-SEGMENT'!$Q$8:$Q$154*'ANALYSE - ERP =&gt; SOUS-SEGMENT'!$BE$8:$BE$154),0)</f>
        <v>0</v>
      </c>
      <c r="IQ31" s="748">
        <f>IFERROR(SUMPRODUCT(('ANALYSE - ERP =&gt; SOUS-SEGMENT'!$C$8:$C$154=$C31)*'ANALYSE - ERP =&gt; SOUS-SEGMENT'!$Q$8:$Q$154*'ANALYSE - ERP =&gt; SOUS-SEGMENT'!$FB$8:$FB$154*'ANALYSE - ERP =&gt; SOUS-SEGMENT'!$IT$8:$IT$154)/SUMPRODUCT(('ANALYSE - ERP =&gt; SOUS-SEGMENT'!$C$8:$C$154=$C31)*'ANALYSE - ERP =&gt; SOUS-SEGMENT'!$Q$8:$Q$154*'ANALYSE - ERP =&gt; SOUS-SEGMENT'!$FB$8:$FB$154),0)</f>
        <v>0.1104510668940486</v>
      </c>
      <c r="IR31" s="748">
        <f>IFERROR(SUMPRODUCT(('ANALYSE - ERP =&gt; SOUS-SEGMENT'!$C$8:$C$154=$C31)*'ANALYSE - ERP =&gt; SOUS-SEGMENT'!$Q$8:$Q$154*'ANALYSE - ERP =&gt; SOUS-SEGMENT'!$FB$8:$FB$154*'ANALYSE - ERP =&gt; SOUS-SEGMENT'!$IU$8:$IU$154)/SUMPRODUCT(('ANALYSE - ERP =&gt; SOUS-SEGMENT'!$C$8:$C$154=$C31)*'ANALYSE - ERP =&gt; SOUS-SEGMENT'!$Q$8:$Q$154*'ANALYSE - ERP =&gt; SOUS-SEGMENT'!$FB$8:$FB$154),0)</f>
        <v>0.50702413376797562</v>
      </c>
      <c r="IS31" s="748">
        <f>IFERROR(SUMPRODUCT(('ANALYSE - ERP =&gt; SOUS-SEGMENT'!$C$8:$C$154=$C31)*'ANALYSE - ERP =&gt; SOUS-SEGMENT'!$Q$8:$Q$154*'ANALYSE - ERP =&gt; SOUS-SEGMENT'!$FB$8:$FB$154*'ANALYSE - ERP =&gt; SOUS-SEGMENT'!$IV$8:$IV$154)/SUMPRODUCT(('ANALYSE - ERP =&gt; SOUS-SEGMENT'!$C$8:$C$154=$C31)*'ANALYSE - ERP =&gt; SOUS-SEGMENT'!$Q$8:$Q$154*'ANALYSE - ERP =&gt; SOUS-SEGMENT'!$FB$8:$FB$154),0)</f>
        <v>0.33046240369948965</v>
      </c>
      <c r="IT31" s="748">
        <f>IFERROR(SUMPRODUCT(('ANALYSE - ERP =&gt; SOUS-SEGMENT'!$C$8:$C$154=$C31)*'ANALYSE - ERP =&gt; SOUS-SEGMENT'!$Q$8:$Q$154*'ANALYSE - ERP =&gt; SOUS-SEGMENT'!$FB$8:$FB$154*'ANALYSE - ERP =&gt; SOUS-SEGMENT'!$IW$8:$IW$154)/SUMPRODUCT(('ANALYSE - ERP =&gt; SOUS-SEGMENT'!$C$8:$C$154=$C31)*'ANALYSE - ERP =&gt; SOUS-SEGMENT'!$Q$8:$Q$154*'ANALYSE - ERP =&gt; SOUS-SEGMENT'!$FB$8:$FB$154),0)</f>
        <v>4.8662887594779873E-2</v>
      </c>
      <c r="IU31" s="748">
        <f>IFERROR(SUMPRODUCT(('ANALYSE - ERP =&gt; SOUS-SEGMENT'!$C$8:$C$154=$C31)*'ANALYSE - ERP =&gt; SOUS-SEGMENT'!$Q$8:$Q$154*'ANALYSE - ERP =&gt; SOUS-SEGMENT'!$FB$8:$FB$154*'ANALYSE - ERP =&gt; SOUS-SEGMENT'!$IX$8:$IX$154)/SUMPRODUCT(('ANALYSE - ERP =&gt; SOUS-SEGMENT'!$C$8:$C$154=$C31)*'ANALYSE - ERP =&gt; SOUS-SEGMENT'!$Q$8:$Q$154*'ANALYSE - ERP =&gt; SOUS-SEGMENT'!$FB$8:$FB$154),0)</f>
        <v>3.3995080437061098E-3</v>
      </c>
      <c r="IV31" s="771">
        <f>IFERROR(SUMPRODUCT(('ANALYSE - ERP =&gt; SOUS-SEGMENT'!$C$8:$C$154=$C31)*'ANALYSE - ERP =&gt; SOUS-SEGMENT'!$Q$8:$Q$154*'ANALYSE - ERP =&gt; SOUS-SEGMENT'!$BF$8:$BF$154*'ANALYSE - ERP =&gt; SOUS-SEGMENT'!$IY$8:$IY$154)/SUMPRODUCT(('ANALYSE - ERP =&gt; SOUS-SEGMENT'!$C$8:$C$154=$C31)*'ANALYSE - ERP =&gt; SOUS-SEGMENT'!$Q$8:$Q$154*'ANALYSE - ERP =&gt; SOUS-SEGMENT'!$BF$8:$BF$154),0)</f>
        <v>0.14839451781326782</v>
      </c>
      <c r="IW31" s="748">
        <f>IFERROR(SUMPRODUCT(('ANALYSE - ERP =&gt; SOUS-SEGMENT'!$C$8:$C$154=$C31)*'ANALYSE - ERP =&gt; SOUS-SEGMENT'!$Q$8:$Q$154*'ANALYSE - ERP =&gt; SOUS-SEGMENT'!$BF$8:$BF$154*'ANALYSE - ERP =&gt; SOUS-SEGMENT'!$IZ$8:$IZ$154)/SUMPRODUCT(('ANALYSE - ERP =&gt; SOUS-SEGMENT'!$C$8:$C$154=$C31)*'ANALYSE - ERP =&gt; SOUS-SEGMENT'!$Q$8:$Q$154*'ANALYSE - ERP =&gt; SOUS-SEGMENT'!$BF$8:$BF$154),0)</f>
        <v>0.55041161855036846</v>
      </c>
      <c r="IX31" s="748">
        <f>IFERROR(SUMPRODUCT(('ANALYSE - ERP =&gt; SOUS-SEGMENT'!$C$8:$C$154=$C31)*'ANALYSE - ERP =&gt; SOUS-SEGMENT'!$Q$8:$Q$154*'ANALYSE - ERP =&gt; SOUS-SEGMENT'!$BF$8:$BF$154*'ANALYSE - ERP =&gt; SOUS-SEGMENT'!$JA$8:$JA$154)/SUMPRODUCT(('ANALYSE - ERP =&gt; SOUS-SEGMENT'!$C$8:$C$154=$C31)*'ANALYSE - ERP =&gt; SOUS-SEGMENT'!$Q$8:$Q$154*'ANALYSE - ERP =&gt; SOUS-SEGMENT'!$BF$8:$BF$154),0)</f>
        <v>0.26854129606879601</v>
      </c>
      <c r="IY31" s="748">
        <f>IFERROR(SUMPRODUCT(('ANALYSE - ERP =&gt; SOUS-SEGMENT'!$C$8:$C$154=$C31)*'ANALYSE - ERP =&gt; SOUS-SEGMENT'!$Q$8:$Q$154*'ANALYSE - ERP =&gt; SOUS-SEGMENT'!$BF$8:$BF$154*'ANALYSE - ERP =&gt; SOUS-SEGMENT'!$JB$8:$JB$154)/SUMPRODUCT(('ANALYSE - ERP =&gt; SOUS-SEGMENT'!$C$8:$C$154=$C31)*'ANALYSE - ERP =&gt; SOUS-SEGMENT'!$Q$8:$Q$154*'ANALYSE - ERP =&gt; SOUS-SEGMENT'!$BF$8:$BF$154),0)</f>
        <v>3.2652567567567563E-2</v>
      </c>
      <c r="IZ31" s="749">
        <f>IFERROR(SUMPRODUCT(('ANALYSE - ERP =&gt; SOUS-SEGMENT'!$C$8:$C$154=$C31)*'ANALYSE - ERP =&gt; SOUS-SEGMENT'!$Q$8:$Q$154*'ANALYSE - ERP =&gt; SOUS-SEGMENT'!$BF$8:$BF$154*'ANALYSE - ERP =&gt; SOUS-SEGMENT'!$JC$8:$JC$154)/SUMPRODUCT(('ANALYSE - ERP =&gt; SOUS-SEGMENT'!$C$8:$C$154=$C31)*'ANALYSE - ERP =&gt; SOUS-SEGMENT'!$Q$8:$Q$154*'ANALYSE - ERP =&gt; SOUS-SEGMENT'!$BF$8:$BF$154),0)</f>
        <v>0</v>
      </c>
      <c r="JA31" s="748">
        <f>IFERROR(SUMPRODUCT(('ANALYSE - ERP =&gt; SOUS-SEGMENT'!$C$8:$C$154=$C31)*'ANALYSE - ERP =&gt; SOUS-SEGMENT'!$Q$8:$Q$154*'ANALYSE - ERP =&gt; SOUS-SEGMENT'!$FE$8:$FE$154*'ANALYSE - ERP =&gt; SOUS-SEGMENT'!$JD$8:$JD$154)/SUMPRODUCT(('ANALYSE - ERP =&gt; SOUS-SEGMENT'!$C$8:$C$154=$C31)*'ANALYSE - ERP =&gt; SOUS-SEGMENT'!$Q$8:$Q$154*'ANALYSE - ERP =&gt; SOUS-SEGMENT'!$FE$8:$FE$154),0)</f>
        <v>0.11561467892497235</v>
      </c>
      <c r="JB31" s="748">
        <f>IFERROR(SUMPRODUCT(('ANALYSE - ERP =&gt; SOUS-SEGMENT'!$C$8:$C$154=$C31)*'ANALYSE - ERP =&gt; SOUS-SEGMENT'!$Q$8:$Q$154*'ANALYSE - ERP =&gt; SOUS-SEGMENT'!$FE$8:$FE$154*'ANALYSE - ERP =&gt; SOUS-SEGMENT'!$JE$8:$JE$154)/SUMPRODUCT(('ANALYSE - ERP =&gt; SOUS-SEGMENT'!$C$8:$C$154=$C31)*'ANALYSE - ERP =&gt; SOUS-SEGMENT'!$Q$8:$Q$154*'ANALYSE - ERP =&gt; SOUS-SEGMENT'!$FE$8:$FE$154),0)</f>
        <v>0.52330234092890071</v>
      </c>
      <c r="JC31" s="748">
        <f>IFERROR(SUMPRODUCT(('ANALYSE - ERP =&gt; SOUS-SEGMENT'!$C$8:$C$154=$C31)*'ANALYSE - ERP =&gt; SOUS-SEGMENT'!$Q$8:$Q$154*'ANALYSE - ERP =&gt; SOUS-SEGMENT'!$FE$8:$FE$154*'ANALYSE - ERP =&gt; SOUS-SEGMENT'!$JF$8:$JF$154)/SUMPRODUCT(('ANALYSE - ERP =&gt; SOUS-SEGMENT'!$C$8:$C$154=$C31)*'ANALYSE - ERP =&gt; SOUS-SEGMENT'!$Q$8:$Q$154*'ANALYSE - ERP =&gt; SOUS-SEGMENT'!$FE$8:$FE$154),0)</f>
        <v>0.30713403450779181</v>
      </c>
      <c r="JD31" s="748">
        <f>IFERROR(SUMPRODUCT(('ANALYSE - ERP =&gt; SOUS-SEGMENT'!$C$8:$C$154=$C31)*'ANALYSE - ERP =&gt; SOUS-SEGMENT'!$Q$8:$Q$154*'ANALYSE - ERP =&gt; SOUS-SEGMENT'!$FE$8:$FE$154*'ANALYSE - ERP =&gt; SOUS-SEGMENT'!$JG$8:$JG$154)/SUMPRODUCT(('ANALYSE - ERP =&gt; SOUS-SEGMENT'!$C$8:$C$154=$C31)*'ANALYSE - ERP =&gt; SOUS-SEGMENT'!$Q$8:$Q$154*'ANALYSE - ERP =&gt; SOUS-SEGMENT'!$FE$8:$FE$154),0)</f>
        <v>5.0377745569905021E-2</v>
      </c>
      <c r="JE31" s="748">
        <f>IFERROR(SUMPRODUCT(('ANALYSE - ERP =&gt; SOUS-SEGMENT'!$C$8:$C$154=$C31)*'ANALYSE - ERP =&gt; SOUS-SEGMENT'!$Q$8:$Q$154*'ANALYSE - ERP =&gt; SOUS-SEGMENT'!$FE$8:$FE$154*'ANALYSE - ERP =&gt; SOUS-SEGMENT'!$JH$8:$JH$154)/SUMPRODUCT(('ANALYSE - ERP =&gt; SOUS-SEGMENT'!$C$8:$C$154=$C31)*'ANALYSE - ERP =&gt; SOUS-SEGMENT'!$Q$8:$Q$154*'ANALYSE - ERP =&gt; SOUS-SEGMENT'!$FE$8:$FE$154),0)</f>
        <v>3.5712000684302316E-3</v>
      </c>
      <c r="JF31" s="771">
        <f>IFERROR(SUMPRODUCT(('ANALYSE - ERP =&gt; SOUS-SEGMENT'!$C$8:$C$154=$C31)*'ANALYSE - ERP =&gt; SOUS-SEGMENT'!$Q$8:$Q$154*'ANALYSE - ERP =&gt; SOUS-SEGMENT'!$BG$8:$BG$154*'ANALYSE - ERP =&gt; SOUS-SEGMENT'!$JI$8:$JI$154)/SUMPRODUCT(('ANALYSE - ERP =&gt; SOUS-SEGMENT'!$C$8:$C$154=$C31)*'ANALYSE - ERP =&gt; SOUS-SEGMENT'!$Q$8:$Q$154*'ANALYSE - ERP =&gt; SOUS-SEGMENT'!$BG$8:$BG$154),0)</f>
        <v>0.1999750721409406</v>
      </c>
      <c r="JG31" s="748">
        <f>IFERROR(SUMPRODUCT(('ANALYSE - ERP =&gt; SOUS-SEGMENT'!$C$8:$C$154=$C31)*'ANALYSE - ERP =&gt; SOUS-SEGMENT'!$Q$8:$Q$154*'ANALYSE - ERP =&gt; SOUS-SEGMENT'!$BG$8:$BG$154*'ANALYSE - ERP =&gt; SOUS-SEGMENT'!$JJ$8:$JJ$154)/SUMPRODUCT(('ANALYSE - ERP =&gt; SOUS-SEGMENT'!$C$8:$C$154=$C31)*'ANALYSE - ERP =&gt; SOUS-SEGMENT'!$Q$8:$Q$154*'ANALYSE - ERP =&gt; SOUS-SEGMENT'!$BG$8:$BG$154),0)</f>
        <v>0.60063222801599758</v>
      </c>
      <c r="JH31" s="748">
        <f>IFERROR(SUMPRODUCT(('ANALYSE - ERP =&gt; SOUS-SEGMENT'!$C$8:$C$154=$C31)*'ANALYSE - ERP =&gt; SOUS-SEGMENT'!$Q$8:$Q$154*'ANALYSE - ERP =&gt; SOUS-SEGMENT'!$BG$8:$BG$154*'ANALYSE - ERP =&gt; SOUS-SEGMENT'!$JK$8:$JK$154)/SUMPRODUCT(('ANALYSE - ERP =&gt; SOUS-SEGMENT'!$C$8:$C$154=$C31)*'ANALYSE - ERP =&gt; SOUS-SEGMENT'!$Q$8:$Q$154*'ANALYSE - ERP =&gt; SOUS-SEGMENT'!$BG$8:$BG$154),0)</f>
        <v>0.18685559661823523</v>
      </c>
      <c r="JI31" s="748">
        <f>IFERROR(SUMPRODUCT(('ANALYSE - ERP =&gt; SOUS-SEGMENT'!$C$8:$C$154=$C31)*'ANALYSE - ERP =&gt; SOUS-SEGMENT'!$Q$8:$Q$154*'ANALYSE - ERP =&gt; SOUS-SEGMENT'!$BG$8:$BG$154*'ANALYSE - ERP =&gt; SOUS-SEGMENT'!$JL$8:$JL$154)/SUMPRODUCT(('ANALYSE - ERP =&gt; SOUS-SEGMENT'!$C$8:$C$154=$C31)*'ANALYSE - ERP =&gt; SOUS-SEGMENT'!$Q$8:$Q$154*'ANALYSE - ERP =&gt; SOUS-SEGMENT'!$BG$8:$BG$154),0)</f>
        <v>1.253710322482661E-2</v>
      </c>
      <c r="JJ31" s="749">
        <f>IFERROR(SUMPRODUCT(('ANALYSE - ERP =&gt; SOUS-SEGMENT'!$C$8:$C$154=$C31)*'ANALYSE - ERP =&gt; SOUS-SEGMENT'!$Q$8:$Q$154*'ANALYSE - ERP =&gt; SOUS-SEGMENT'!$BG$8:$BG$154*'ANALYSE - ERP =&gt; SOUS-SEGMENT'!$JM$8:$JM$154)/SUMPRODUCT(('ANALYSE - ERP =&gt; SOUS-SEGMENT'!$C$8:$C$154=$C31)*'ANALYSE - ERP =&gt; SOUS-SEGMENT'!$Q$8:$Q$154*'ANALYSE - ERP =&gt; SOUS-SEGMENT'!$BG$8:$BG$154),0)</f>
        <v>0</v>
      </c>
      <c r="JK31" s="748">
        <f>IFERROR(SUMPRODUCT(('ANALYSE - ERP =&gt; SOUS-SEGMENT'!$C$8:$C$154=$C31)*'ANALYSE - ERP =&gt; SOUS-SEGMENT'!$Q$8:$Q$154*'ANALYSE - ERP =&gt; SOUS-SEGMENT'!$FH$8:$FH$154*'ANALYSE - ERP =&gt; SOUS-SEGMENT'!$JN$8:$JN$154)/SUMPRODUCT(('ANALYSE - ERP =&gt; SOUS-SEGMENT'!$C$8:$C$154=$C31)*'ANALYSE - ERP =&gt; SOUS-SEGMENT'!$Q$8:$Q$154*'ANALYSE - ERP =&gt; SOUS-SEGMENT'!$FH$8:$FH$154),0)</f>
        <v>0.16476127114750114</v>
      </c>
      <c r="JL31" s="748">
        <f>IFERROR(SUMPRODUCT(('ANALYSE - ERP =&gt; SOUS-SEGMENT'!$C$8:$C$154=$C31)*'ANALYSE - ERP =&gt; SOUS-SEGMENT'!$Q$8:$Q$154*'ANALYSE - ERP =&gt; SOUS-SEGMENT'!$FH$8:$FH$154*'ANALYSE - ERP =&gt; SOUS-SEGMENT'!$JO$8:$JO$154)/SUMPRODUCT(('ANALYSE - ERP =&gt; SOUS-SEGMENT'!$C$8:$C$154=$C31)*'ANALYSE - ERP =&gt; SOUS-SEGMENT'!$Q$8:$Q$154*'ANALYSE - ERP =&gt; SOUS-SEGMENT'!$FH$8:$FH$154),0)</f>
        <v>0.56389123573371458</v>
      </c>
      <c r="JM31" s="748">
        <f>IFERROR(SUMPRODUCT(('ANALYSE - ERP =&gt; SOUS-SEGMENT'!$C$8:$C$154=$C31)*'ANALYSE - ERP =&gt; SOUS-SEGMENT'!$Q$8:$Q$154*'ANALYSE - ERP =&gt; SOUS-SEGMENT'!$FH$8:$FH$154*'ANALYSE - ERP =&gt; SOUS-SEGMENT'!$JP$8:$JP$154)/SUMPRODUCT(('ANALYSE - ERP =&gt; SOUS-SEGMENT'!$C$8:$C$154=$C31)*'ANALYSE - ERP =&gt; SOUS-SEGMENT'!$Q$8:$Q$154*'ANALYSE - ERP =&gt; SOUS-SEGMENT'!$FH$8:$FH$154),0)</f>
        <v>0.24244231497489785</v>
      </c>
      <c r="JN31" s="748">
        <f>IFERROR(SUMPRODUCT(('ANALYSE - ERP =&gt; SOUS-SEGMENT'!$C$8:$C$154=$C31)*'ANALYSE - ERP =&gt; SOUS-SEGMENT'!$Q$8:$Q$154*'ANALYSE - ERP =&gt; SOUS-SEGMENT'!$FH$8:$FH$154*'ANALYSE - ERP =&gt; SOUS-SEGMENT'!$JQ$8:$JQ$154)/SUMPRODUCT(('ANALYSE - ERP =&gt; SOUS-SEGMENT'!$C$8:$C$154=$C31)*'ANALYSE - ERP =&gt; SOUS-SEGMENT'!$Q$8:$Q$154*'ANALYSE - ERP =&gt; SOUS-SEGMENT'!$FH$8:$FH$154),0)</f>
        <v>2.591279566415872E-2</v>
      </c>
      <c r="JO31" s="748">
        <f>IFERROR(SUMPRODUCT(('ANALYSE - ERP =&gt; SOUS-SEGMENT'!$C$8:$C$154=$C31)*'ANALYSE - ERP =&gt; SOUS-SEGMENT'!$Q$8:$Q$154*'ANALYSE - ERP =&gt; SOUS-SEGMENT'!$FH$8:$FH$154*'ANALYSE - ERP =&gt; SOUS-SEGMENT'!$JR$8:$JR$154)/SUMPRODUCT(('ANALYSE - ERP =&gt; SOUS-SEGMENT'!$C$8:$C$154=$C31)*'ANALYSE - ERP =&gt; SOUS-SEGMENT'!$Q$8:$Q$154*'ANALYSE - ERP =&gt; SOUS-SEGMENT'!$FH$8:$FH$154),0)</f>
        <v>2.9923824797275732E-3</v>
      </c>
      <c r="JP31" s="771">
        <f>IFERROR(SUMPRODUCT(('ANALYSE - ERP =&gt; SOUS-SEGMENT'!$C$8:$C$154=$C31)*'ANALYSE - ERP =&gt; SOUS-SEGMENT'!$Q$8:$Q$154*'ANALYSE - ERP =&gt; SOUS-SEGMENT'!$BH$8:$BH$154*'ANALYSE - ERP =&gt; SOUS-SEGMENT'!$JS$8:$JS$154)/SUMPRODUCT(('ANALYSE - ERP =&gt; SOUS-SEGMENT'!$C$8:$C$154=$C31)*'ANALYSE - ERP =&gt; SOUS-SEGMENT'!$Q$8:$Q$154*'ANALYSE - ERP =&gt; SOUS-SEGMENT'!$BH$8:$BH$154),0)</f>
        <v>0.14707564719358537</v>
      </c>
      <c r="JQ31" s="748">
        <f>IFERROR(SUMPRODUCT(('ANALYSE - ERP =&gt; SOUS-SEGMENT'!$C$8:$C$154=$C31)*'ANALYSE - ERP =&gt; SOUS-SEGMENT'!$Q$8:$Q$154*'ANALYSE - ERP =&gt; SOUS-SEGMENT'!$BH$8:$BH$154*'ANALYSE - ERP =&gt; SOUS-SEGMENT'!$JT$8:$JT$154)/SUMPRODUCT(('ANALYSE - ERP =&gt; SOUS-SEGMENT'!$C$8:$C$154=$C31)*'ANALYSE - ERP =&gt; SOUS-SEGMENT'!$Q$8:$Q$154*'ANALYSE - ERP =&gt; SOUS-SEGMENT'!$BH$8:$BH$154),0)</f>
        <v>0.56126329896907212</v>
      </c>
      <c r="JR31" s="748">
        <f>IFERROR(SUMPRODUCT(('ANALYSE - ERP =&gt; SOUS-SEGMENT'!$C$8:$C$154=$C31)*'ANALYSE - ERP =&gt; SOUS-SEGMENT'!$Q$8:$Q$154*'ANALYSE - ERP =&gt; SOUS-SEGMENT'!$BH$8:$BH$154*'ANALYSE - ERP =&gt; SOUS-SEGMENT'!$JU$8:$JU$154)/SUMPRODUCT(('ANALYSE - ERP =&gt; SOUS-SEGMENT'!$C$8:$C$154=$C31)*'ANALYSE - ERP =&gt; SOUS-SEGMENT'!$Q$8:$Q$154*'ANALYSE - ERP =&gt; SOUS-SEGMENT'!$BH$8:$BH$154),0)</f>
        <v>0.27022497136311568</v>
      </c>
      <c r="JS31" s="748">
        <f>IFERROR(SUMPRODUCT(('ANALYSE - ERP =&gt; SOUS-SEGMENT'!$C$8:$C$154=$C31)*'ANALYSE - ERP =&gt; SOUS-SEGMENT'!$Q$8:$Q$154*'ANALYSE - ERP =&gt; SOUS-SEGMENT'!$BH$8:$BH$154*'ANALYSE - ERP =&gt; SOUS-SEGMENT'!$JV$8:$JV$154)/SUMPRODUCT(('ANALYSE - ERP =&gt; SOUS-SEGMENT'!$C$8:$C$154=$C31)*'ANALYSE - ERP =&gt; SOUS-SEGMENT'!$Q$8:$Q$154*'ANALYSE - ERP =&gt; SOUS-SEGMENT'!$BH$8:$BH$154),0)</f>
        <v>2.144499099983636E-2</v>
      </c>
      <c r="JT31" s="749">
        <f>IFERROR(SUMPRODUCT(('ANALYSE - ERP =&gt; SOUS-SEGMENT'!$C$8:$C$154=$C31)*'ANALYSE - ERP =&gt; SOUS-SEGMENT'!$Q$8:$Q$154*'ANALYSE - ERP =&gt; SOUS-SEGMENT'!$BH$8:$BH$154*'ANALYSE - ERP =&gt; SOUS-SEGMENT'!$JW$8:$JW$154)/SUMPRODUCT(('ANALYSE - ERP =&gt; SOUS-SEGMENT'!$C$8:$C$154=$C31)*'ANALYSE - ERP =&gt; SOUS-SEGMENT'!$Q$8:$Q$154*'ANALYSE - ERP =&gt; SOUS-SEGMENT'!$BH$8:$BH$154),0)</f>
        <v>0</v>
      </c>
      <c r="JU31" s="771">
        <f>IFERROR(SUMPRODUCT(('ANALYSE - ERP =&gt; SOUS-SEGMENT'!$C$8:$C$154=$C31)*'ANALYSE - ERP =&gt; SOUS-SEGMENT'!$Q$8:$Q$154*'ANALYSE - ERP =&gt; SOUS-SEGMENT'!$FK$8:$FK$154*'ANALYSE - ERP =&gt; SOUS-SEGMENT'!$JX$8:$JX$154)/SUMPRODUCT(('ANALYSE - ERP =&gt; SOUS-SEGMENT'!$C$8:$C$154=$C31)*'ANALYSE - ERP =&gt; SOUS-SEGMENT'!$Q$8:$Q$154*'ANALYSE - ERP =&gt; SOUS-SEGMENT'!$FK$8:$FK$154),0)</f>
        <v>0.12169739111096368</v>
      </c>
      <c r="JV31" s="748">
        <f>IFERROR(SUMPRODUCT(('ANALYSE - ERP =&gt; SOUS-SEGMENT'!$C$8:$C$154=$C31)*'ANALYSE - ERP =&gt; SOUS-SEGMENT'!$Q$8:$Q$154*'ANALYSE - ERP =&gt; SOUS-SEGMENT'!$FK$8:$FK$154*'ANALYSE - ERP =&gt; SOUS-SEGMENT'!$JY$8:$JY$154)/SUMPRODUCT(('ANALYSE - ERP =&gt; SOUS-SEGMENT'!$C$8:$C$154=$C31)*'ANALYSE - ERP =&gt; SOUS-SEGMENT'!$Q$8:$Q$154*'ANALYSE - ERP =&gt; SOUS-SEGMENT'!$FK$8:$FK$154),0)</f>
        <v>0.52301041456522124</v>
      </c>
      <c r="JW31" s="748">
        <f>IFERROR(SUMPRODUCT(('ANALYSE - ERP =&gt; SOUS-SEGMENT'!$C$8:$C$154=$C31)*'ANALYSE - ERP =&gt; SOUS-SEGMENT'!$Q$8:$Q$154*'ANALYSE - ERP =&gt; SOUS-SEGMENT'!$FK$8:$FK$154*'ANALYSE - ERP =&gt; SOUS-SEGMENT'!$JZ$8:$JZ$154)/SUMPRODUCT(('ANALYSE - ERP =&gt; SOUS-SEGMENT'!$C$8:$C$154=$C31)*'ANALYSE - ERP =&gt; SOUS-SEGMENT'!$Q$8:$Q$154*'ANALYSE - ERP =&gt; SOUS-SEGMENT'!$FK$8:$FK$154),0)</f>
        <v>0.31174636168348435</v>
      </c>
      <c r="JX31" s="748">
        <f>IFERROR(SUMPRODUCT(('ANALYSE - ERP =&gt; SOUS-SEGMENT'!$C$8:$C$154=$C31)*'ANALYSE - ERP =&gt; SOUS-SEGMENT'!$Q$8:$Q$154*'ANALYSE - ERP =&gt; SOUS-SEGMENT'!$FK$8:$FK$154*'ANALYSE - ERP =&gt; SOUS-SEGMENT'!$KA$8:$KA$154)/SUMPRODUCT(('ANALYSE - ERP =&gt; SOUS-SEGMENT'!$C$8:$C$154=$C31)*'ANALYSE - ERP =&gt; SOUS-SEGMENT'!$Q$8:$Q$154*'ANALYSE - ERP =&gt; SOUS-SEGMENT'!$FK$8:$FK$154),0)</f>
        <v>4.0124839941919087E-2</v>
      </c>
      <c r="JY31" s="775">
        <f>IFERROR(SUMPRODUCT(('ANALYSE - ERP =&gt; SOUS-SEGMENT'!$C$8:$C$154=$C31)*'ANALYSE - ERP =&gt; SOUS-SEGMENT'!$Q$8:$Q$154*'ANALYSE - ERP =&gt; SOUS-SEGMENT'!$FK$8:$FK$154*'ANALYSE - ERP =&gt; SOUS-SEGMENT'!$KB$8:$KB$154)/SUMPRODUCT(('ANALYSE - ERP =&gt; SOUS-SEGMENT'!$C$8:$C$154=$C31)*'ANALYSE - ERP =&gt; SOUS-SEGMENT'!$Q$8:$Q$154*'ANALYSE - ERP =&gt; SOUS-SEGMENT'!$FK$8:$FK$154),0)</f>
        <v>3.4209926984115941E-3</v>
      </c>
      <c r="JZ31" s="657"/>
      <c r="KA31" s="298" t="s">
        <v>2590</v>
      </c>
      <c r="KB31" s="298" t="s">
        <v>2591</v>
      </c>
      <c r="KC31" s="888">
        <f>IFERROR(SUMPRODUCT(('ANALYSE - ERP =&gt; SOUS-SEGMENT'!$C$8:$C$154=$C32)*'ANALYSE - ERP =&gt; SOUS-SEGMENT'!$Q$8:$Q$154*'ANALYSE - ERP =&gt; SOUS-SEGMENT'!$EX$8:$EX$154*'ANALYSE - ERP =&gt; SOUS-SEGMENT'!$KF$8:$KF$154)/SUMPRODUCT(('ANALYSE - ERP =&gt; SOUS-SEGMENT'!$C$8:$C$154=$C32)*'ANALYSE - ERP =&gt; SOUS-SEGMENT'!$Q$8:$Q$154*'ANALYSE - ERP =&gt; SOUS-SEGMENT'!$EX$8:$EX$154),"")</f>
        <v>4.1301470033720742</v>
      </c>
      <c r="KD31" s="298" t="s">
        <v>2589</v>
      </c>
      <c r="KE31" s="300" t="s">
        <v>3061</v>
      </c>
      <c r="KF31" s="620" t="s">
        <v>6760</v>
      </c>
      <c r="KG31" s="300" t="s">
        <v>6760</v>
      </c>
    </row>
    <row r="32" spans="1:293" ht="108" customHeight="1">
      <c r="A32" s="273">
        <v>32</v>
      </c>
      <c r="B32" s="489" t="s">
        <v>2285</v>
      </c>
      <c r="C32" s="489" t="s">
        <v>1793</v>
      </c>
      <c r="D32" s="489" t="s">
        <v>7308</v>
      </c>
      <c r="E32" s="275" t="s">
        <v>7309</v>
      </c>
      <c r="F32" s="275" t="s">
        <v>7310</v>
      </c>
      <c r="G32" s="275" t="s">
        <v>7311</v>
      </c>
      <c r="H32" s="275" t="s">
        <v>2117</v>
      </c>
      <c r="I32" s="276" t="s">
        <v>7312</v>
      </c>
      <c r="J32" s="276" t="s">
        <v>7313</v>
      </c>
      <c r="K32" s="277" t="s">
        <v>2097</v>
      </c>
      <c r="L32" s="277" t="s">
        <v>2109</v>
      </c>
      <c r="M32" s="277" t="s">
        <v>7314</v>
      </c>
      <c r="N32" s="277" t="s">
        <v>6742</v>
      </c>
      <c r="O32" s="277" t="s">
        <v>2212</v>
      </c>
      <c r="P32" s="276"/>
      <c r="Q32" s="270">
        <f>IF(SUMPRODUCT(('ANALYSE - ERP =&gt; SOUS-SEGMENT'!$C$8:$C$154=$C32)*'ANALYSE - ERP =&gt; SOUS-SEGMENT'!$Q$8:$Q$154)&gt;0,1,0)</f>
        <v>1</v>
      </c>
      <c r="R32" s="278">
        <f>IFERROR(SUMPRODUCT(('ANALYSE - ERP =&gt; SOUS-SEGMENT'!$C$8:$C$154=$C32)*'ANALYSE - ERP =&gt; SOUS-SEGMENT'!$Q$8:$Q$154*'ANALYSE - ERP =&gt; SOUS-SEGMENT'!$AG$8:$AG$154*'ANALYSE - ERP =&gt; SOUS-SEGMENT'!$R$8:$R$154)/SUMPRODUCT(('ANALYSE - ERP =&gt; SOUS-SEGMENT'!$C$8:$C$154=$C32)*'ANALYSE - ERP =&gt; SOUS-SEGMENT'!$Q$8:$Q$154*'ANALYSE - ERP =&gt; SOUS-SEGMENT'!$AG$8:$AG$154),"")</f>
        <v>5531.3431212615551</v>
      </c>
      <c r="S32" s="279">
        <f>SUMPRODUCT(('ANALYSE - ERP =&gt; SOUS-SEGMENT'!$C$8:$C$154=$C32)*'ANALYSE - ERP =&gt; SOUS-SEGMENT'!$Q$8:$Q$154*'ANALYSE - ERP =&gt; SOUS-SEGMENT'!$S$8:$S$154)</f>
        <v>3004</v>
      </c>
      <c r="T32" s="279">
        <f>SUMPRODUCT(('ANALYSE - ERP =&gt; SOUS-SEGMENT'!$C$8:$C$154=$C32)*'ANALYSE - ERP =&gt; SOUS-SEGMENT'!$Q$8:$Q$154*'ANALYSE - ERP =&gt; SOUS-SEGMENT'!$T$8:$T$154)</f>
        <v>3114</v>
      </c>
      <c r="U32" s="279">
        <f>SUMPRODUCT(('ANALYSE - ERP =&gt; SOUS-SEGMENT'!$C$8:$C$154=$C32)*'ANALYSE - ERP =&gt; SOUS-SEGMENT'!$Q$8:$Q$154*'ANALYSE - ERP =&gt; SOUS-SEGMENT'!$U$8:$U$154)</f>
        <v>3262</v>
      </c>
      <c r="V32" s="279">
        <f>SUMPRODUCT(('ANALYSE - ERP =&gt; SOUS-SEGMENT'!$C$8:$C$154=$C32)*'ANALYSE - ERP =&gt; SOUS-SEGMENT'!$Q$8:$Q$154*'ANALYSE - ERP =&gt; SOUS-SEGMENT'!$V$8:$V$154)</f>
        <v>3392</v>
      </c>
      <c r="W32" s="279">
        <f>SUMPRODUCT(('ANALYSE - ERP =&gt; SOUS-SEGMENT'!$C$8:$C$154=$C32)*'ANALYSE - ERP =&gt; SOUS-SEGMENT'!$Q$8:$Q$154*'ANALYSE - ERP =&gt; SOUS-SEGMENT'!$W$8:$W$154)</f>
        <v>3433</v>
      </c>
      <c r="X32" s="279">
        <f>SUMPRODUCT(('ANALYSE - ERP =&gt; SOUS-SEGMENT'!$C$8:$C$154=$C32)*'ANALYSE - ERP =&gt; SOUS-SEGMENT'!$Q$8:$Q$154*'ANALYSE - ERP =&gt; SOUS-SEGMENT'!$X$8:$X$154)</f>
        <v>3466</v>
      </c>
      <c r="Y32" s="279">
        <f>SUMPRODUCT(('ANALYSE - ERP =&gt; SOUS-SEGMENT'!$C$8:$C$154=$C32)*'ANALYSE - ERP =&gt; SOUS-SEGMENT'!$Q$8:$Q$154*'ANALYSE - ERP =&gt; SOUS-SEGMENT'!$Y$8:$Y$154)</f>
        <v>3515</v>
      </c>
      <c r="Z32" s="279">
        <f>SUMPRODUCT(('ANALYSE - ERP =&gt; SOUS-SEGMENT'!$C$8:$C$154=$C32)*'ANALYSE - ERP =&gt; SOUS-SEGMENT'!$Q$8:$Q$154*'ANALYSE - ERP =&gt; SOUS-SEGMENT'!$Z$8:$Z$154)</f>
        <v>3548</v>
      </c>
      <c r="AA32" s="279">
        <f>SUMPRODUCT(('ANALYSE - ERP =&gt; SOUS-SEGMENT'!$C$8:$C$154=$C32)*'ANALYSE - ERP =&gt; SOUS-SEGMENT'!$Q$8:$Q$154*'ANALYSE - ERP =&gt; SOUS-SEGMENT'!$AA$8:$AA$154)</f>
        <v>3552</v>
      </c>
      <c r="AB32" s="279">
        <f>SUMPRODUCT(('ANALYSE - ERP =&gt; SOUS-SEGMENT'!$C$8:$C$154=$C32)*'ANALYSE - ERP =&gt; SOUS-SEGMENT'!$Q$8:$Q$154*'ANALYSE - ERP =&gt; SOUS-SEGMENT'!$AB$8:$AB$154)</f>
        <v>3567</v>
      </c>
      <c r="AC32" s="279">
        <f>SUMPRODUCT(('ANALYSE - ERP =&gt; SOUS-SEGMENT'!$C$8:$C$154=$C32)*'ANALYSE - ERP =&gt; SOUS-SEGMENT'!$Q$8:$Q$154*'ANALYSE - ERP =&gt; SOUS-SEGMENT'!$AC$8:$AC$154)</f>
        <v>3591</v>
      </c>
      <c r="AD32" s="279">
        <f>SUMPRODUCT(('ANALYSE - ERP =&gt; SOUS-SEGMENT'!$C$8:$C$154=$C32)*'ANALYSE - ERP =&gt; SOUS-SEGMENT'!$Q$8:$Q$154*'ANALYSE - ERP =&gt; SOUS-SEGMENT'!$AD$8:$AD$154)</f>
        <v>3613</v>
      </c>
      <c r="AE32" s="279">
        <f>SUMPRODUCT(('ANALYSE - ERP =&gt; SOUS-SEGMENT'!$C$8:$C$154=$C32)*'ANALYSE - ERP =&gt; SOUS-SEGMENT'!$Q$8:$Q$154*'ANALYSE - ERP =&gt; SOUS-SEGMENT'!$AE$8:$AE$154)</f>
        <v>3637</v>
      </c>
      <c r="AF32" s="279">
        <f>SUMPRODUCT(('ANALYSE - ERP =&gt; SOUS-SEGMENT'!$C$8:$C$154=$C32)*'ANALYSE - ERP =&gt; SOUS-SEGMENT'!$Q$8:$Q$154*'ANALYSE - ERP =&gt; SOUS-SEGMENT'!$AF$8:$AF$154)</f>
        <v>3656</v>
      </c>
      <c r="AG32" s="279">
        <f>SUMPRODUCT(('ANALYSE - ERP =&gt; SOUS-SEGMENT'!$C$8:$C$154=$C32)*'ANALYSE - ERP =&gt; SOUS-SEGMENT'!$Q$8:$Q$154*'ANALYSE - ERP =&gt; SOUS-SEGMENT'!$AG$8:$AG$154)</f>
        <v>3678</v>
      </c>
      <c r="AH32" s="279">
        <f>SUMPRODUCT(('ANALYSE - ERP =&gt; SOUS-SEGMENT'!$C$8:$C$154=$C32)*'ANALYSE - ERP =&gt; SOUS-SEGMENT'!$Q$8:$Q$154*'ANALYSE - ERP =&gt; SOUS-SEGMENT'!$AH$8:$AH$154)</f>
        <v>3702</v>
      </c>
      <c r="AI32" s="279">
        <f>SUMPRODUCT(('ANALYSE - ERP =&gt; SOUS-SEGMENT'!$C$8:$C$154=$C32)*'ANALYSE - ERP =&gt; SOUS-SEGMENT'!$Q$8:$Q$154*'ANALYSE - ERP =&gt; SOUS-SEGMENT'!$AI$8:$AI$154)</f>
        <v>3724</v>
      </c>
      <c r="AJ32" s="279">
        <f>SUMPRODUCT(('ANALYSE - ERP =&gt; SOUS-SEGMENT'!$C$8:$C$154=$C32)*'ANALYSE - ERP =&gt; SOUS-SEGMENT'!$Q$8:$Q$154*'ANALYSE - ERP =&gt; SOUS-SEGMENT'!$AJ$8:$AJ$154)</f>
        <v>3744</v>
      </c>
      <c r="AK32" s="279">
        <f>SUMPRODUCT(('ANALYSE - ERP =&gt; SOUS-SEGMENT'!$C$8:$C$154=$C32)*'ANALYSE - ERP =&gt; SOUS-SEGMENT'!$Q$8:$Q$154*'ANALYSE - ERP =&gt; SOUS-SEGMENT'!$AK$8:$AK$154)</f>
        <v>3765</v>
      </c>
      <c r="AL32" s="276" t="s">
        <v>7315</v>
      </c>
      <c r="AM32" s="276" t="s">
        <v>7316</v>
      </c>
      <c r="AN32" s="276" t="s">
        <v>7317</v>
      </c>
      <c r="AO32" s="657"/>
      <c r="AP32" s="278">
        <f>IFERROR(SUMPRODUCT(('ANALYSE - ERP =&gt; SOUS-SEGMENT'!$C$8:$C$154=$C32)*'ANALYSE - ERP =&gt; SOUS-SEGMENT'!$Q$8:$Q$154*'ANALYSE - ERP =&gt; SOUS-SEGMENT'!$AG$8:$AG$154*'ANALYSE - ERP =&gt; SOUS-SEGMENT'!$AP$8:$AP$154)/SUMPRODUCT(('ANALYSE - ERP =&gt; SOUS-SEGMENT'!$C$8:$C$154=$C32)*'ANALYSE - ERP =&gt; SOUS-SEGMENT'!$Q$8:$Q$154*'ANALYSE - ERP =&gt; SOUS-SEGMENT'!$AG$8:$AG$154),"")</f>
        <v>520.0108754758021</v>
      </c>
      <c r="AQ32" s="278">
        <f>IFERROR(SUMPRODUCT(('ANALYSE - ERP =&gt; SOUS-SEGMENT'!$C$8:$C$154=$C32)*'ANALYSE - ERP =&gt; SOUS-SEGMENT'!$Q$8:$Q$154*'ANALYSE - ERP =&gt; SOUS-SEGMENT'!$AF$8:$AF$154*'ANALYSE - ERP =&gt; SOUS-SEGMENT'!$AQ$8:$AQ$154)/SUMPRODUCT(('ANALYSE - ERP =&gt; SOUS-SEGMENT'!$C$8:$C$154=$C32)*'ANALYSE - ERP =&gt; SOUS-SEGMENT'!$Q$8:$Q$154*'ANALYSE - ERP =&gt; SOUS-SEGMENT'!$AF$8:$AF$154),"")</f>
        <v>441.56920131291031</v>
      </c>
      <c r="AR32" s="973">
        <f>IFERROR(SUMPRODUCT(('ANALYSE - ERP =&gt; SOUS-SEGMENT'!$C$8:$C$154=$C32)*'ANALYSE - ERP =&gt; SOUS-SEGMENT'!$Q$8:$Q$154*'ANALYSE - ERP =&gt; SOUS-SEGMENT'!$AF$8:$AF$154*'ANALYSE - ERP =&gt; SOUS-SEGMENT'!$AR$8:$AR$154)/SUMPRODUCT(('ANALYSE - ERP =&gt; SOUS-SEGMENT'!$C$8:$C$154=$C32)*'ANALYSE - ERP =&gt; SOUS-SEGMENT'!$Q$8:$Q$154*'ANALYSE - ERP =&gt; SOUS-SEGMENT'!$AF$8:$AF$154),"")</f>
        <v>49.041028446389497</v>
      </c>
      <c r="AS32" s="973">
        <f>IFERROR(SUMPRODUCT(('ANALYSE - ERP =&gt; SOUS-SEGMENT'!$C$8:$C$154=$C32)*'ANALYSE - ERP =&gt; SOUS-SEGMENT'!$Q$8:$Q$154*'ANALYSE - ERP =&gt; SOUS-SEGMENT'!$AF$8:$AF$154*'ANALYSE - ERP =&gt; SOUS-SEGMENT'!$AS$8:$AS$154)/SUMPRODUCT(('ANALYSE - ERP =&gt; SOUS-SEGMENT'!$C$8:$C$154=$C32)*'ANALYSE - ERP =&gt; SOUS-SEGMENT'!$Q$8:$Q$154*'ANALYSE - ERP =&gt; SOUS-SEGMENT'!$AF$8:$AF$154),"")</f>
        <v>28.670404814004378</v>
      </c>
      <c r="AT32" s="657" t="s">
        <v>7318</v>
      </c>
      <c r="AU32" s="276" t="s">
        <v>7319</v>
      </c>
      <c r="AV32" s="296" t="s">
        <v>7320</v>
      </c>
      <c r="AW32" s="276"/>
      <c r="AX32" s="657"/>
      <c r="AY32" s="282">
        <f>IFERROR(SUMPRODUCT(('ANALYSE - ERP =&gt; SOUS-SEGMENT'!$C$8:$C$154=$C32)*'ANALYSE - ERP =&gt; SOUS-SEGMENT'!$Q$8:$Q$154*'ANALYSE - ERP =&gt; SOUS-SEGMENT'!$AF$8:$AF$154*'ANALYSE - ERP =&gt; SOUS-SEGMENT'!$AZ$8:$AZ$154)/SUMPRODUCT(('ANALYSE - ERP =&gt; SOUS-SEGMENT'!$C$8:$C$154=$C32)*'ANALYSE - ERP =&gt; SOUS-SEGMENT'!$Q$8:$Q$154*'ANALYSE - ERP =&gt; SOUS-SEGMENT'!$AF$8:$AF$154),"")</f>
        <v>15.100656455142232</v>
      </c>
      <c r="AZ32" s="947">
        <f>IFERROR(SUMPRODUCT(('ANALYSE - ERP =&gt; SOUS-SEGMENT'!$C$8:$C$154=$C32)*'ANALYSE - ERP =&gt; SOUS-SEGMENT'!$Q$8:$Q$154*'ANALYSE - ERP =&gt; SOUS-SEGMENT'!$AF$8:$AF$154*'ANALYSE - ERP =&gt; SOUS-SEGMENT'!$BA$8:$BA$154)/SUMPRODUCT(('ANALYSE - ERP =&gt; SOUS-SEGMENT'!$C$8:$C$154=$C32)*'ANALYSE - ERP =&gt; SOUS-SEGMENT'!$Q$8:$Q$154*'ANALYSE - ERP =&gt; SOUS-SEGMENT'!$AF$8:$AF$154),"")</f>
        <v>2.3271334792122538</v>
      </c>
      <c r="BA32" s="282">
        <f>IFERROR(SUMPRODUCT(('ANALYSE - ERP =&gt; SOUS-SEGMENT'!$C$8:$C$154=$C32)*'ANALYSE - ERP =&gt; SOUS-SEGMENT'!$Q$8:$Q$154*'ANALYSE - ERP =&gt; SOUS-SEGMENT'!$AF$8:$AF$154*'ANALYSE - ERP =&gt; SOUS-SEGMENT'!$BB$8:$BB$154)/SUMPRODUCT(('ANALYSE - ERP =&gt; SOUS-SEGMENT'!$C$8:$C$154=$C32)*'ANALYSE - ERP =&gt; SOUS-SEGMENT'!$Q$8:$Q$154*'ANALYSE - ERP =&gt; SOUS-SEGMENT'!$AF$8:$AF$154),"")</f>
        <v>2.8349288840262581</v>
      </c>
      <c r="BB32" s="282">
        <f>IFERROR(SUMPRODUCT(('ANALYSE - ERP =&gt; SOUS-SEGMENT'!$C$8:$C$154=$C32)*'ANALYSE - ERP =&gt; SOUS-SEGMENT'!$Q$8:$Q$154*'ANALYSE - ERP =&gt; SOUS-SEGMENT'!$AF$8:$AF$154*'ANALYSE - ERP =&gt; SOUS-SEGMENT'!$BC$8:$BC$154)/SUMPRODUCT(('ANALYSE - ERP =&gt; SOUS-SEGMENT'!$C$8:$C$154=$C32)*'ANALYSE - ERP =&gt; SOUS-SEGMENT'!$Q$8:$Q$154*'ANALYSE - ERP =&gt; SOUS-SEGMENT'!$AF$8:$AF$154),"")</f>
        <v>13.712800875273523</v>
      </c>
      <c r="BC32" s="283">
        <f>SUMPRODUCT(('ANALYSE - ERP =&gt; SOUS-SEGMENT'!$C$8:$C$154=$C32)*'ANALYSE - ERP =&gt; SOUS-SEGMENT'!$Q$8:$Q$154*'ANALYSE - ERP =&gt; SOUS-SEGMENT'!$BE$8:$BE$154)</f>
        <v>55208</v>
      </c>
      <c r="BD32" s="283">
        <f>SUMPRODUCT(('ANALYSE - ERP =&gt; SOUS-SEGMENT'!$C$8:$C$154=$C32)*'ANALYSE - ERP =&gt; SOUS-SEGMENT'!$Q$8:$Q$154*'ANALYSE - ERP =&gt; SOUS-SEGMENT'!$BF$8:$BF$154)</f>
        <v>8508</v>
      </c>
      <c r="BE32" s="283">
        <f>SUMPRODUCT(('ANALYSE - ERP =&gt; SOUS-SEGMENT'!$C$8:$C$154=$C32)*'ANALYSE - ERP =&gt; SOUS-SEGMENT'!$Q$8:$Q$154*'ANALYSE - ERP =&gt; SOUS-SEGMENT'!$BG$8:$BG$154)</f>
        <v>10364.5</v>
      </c>
      <c r="BF32" s="283">
        <f>SUMPRODUCT(('ANALYSE - ERP =&gt; SOUS-SEGMENT'!$C$8:$C$154=$C32)*'ANALYSE - ERP =&gt; SOUS-SEGMENT'!$Q$8:$Q$154*'ANALYSE - ERP =&gt; SOUS-SEGMENT'!$BH$8:$BH$154)</f>
        <v>50134</v>
      </c>
      <c r="BG32" s="283">
        <f>SUMPRODUCT(('ANALYSE - ERP =&gt; SOUS-SEGMENT'!$C$8:$C$154=$C32)*'ANALYSE - ERP =&gt; SOUS-SEGMENT'!$Q$8:$Q$154*'ANALYSE - ERP =&gt; SOUS-SEGMENT'!$BJ$8:$BJ$154)</f>
        <v>56699</v>
      </c>
      <c r="BH32" s="283">
        <f>SUMPRODUCT(('ANALYSE - ERP =&gt; SOUS-SEGMENT'!$C$8:$C$154=$C32)*'ANALYSE - ERP =&gt; SOUS-SEGMENT'!$Q$8:$Q$154*'ANALYSE - ERP =&gt; SOUS-SEGMENT'!$BK$8:$BK$154)</f>
        <v>8680</v>
      </c>
      <c r="BI32" s="283">
        <f>SUMPRODUCT(('ANALYSE - ERP =&gt; SOUS-SEGMENT'!$C$8:$C$154=$C32)*'ANALYSE - ERP =&gt; SOUS-SEGMENT'!$Q$8:$Q$154*'ANALYSE - ERP =&gt; SOUS-SEGMENT'!$BL$8:$BL$154)</f>
        <v>10637</v>
      </c>
      <c r="BJ32" s="283">
        <f>SUMPRODUCT(('ANALYSE - ERP =&gt; SOUS-SEGMENT'!$C$8:$C$154=$C32)*'ANALYSE - ERP =&gt; SOUS-SEGMENT'!$Q$8:$Q$154*'ANALYSE - ERP =&gt; SOUS-SEGMENT'!$BM$8:$BM$154)</f>
        <v>51483</v>
      </c>
      <c r="BK32" s="657"/>
      <c r="BL32" s="580">
        <f>IFERROR(SUMPRODUCT(('ANALYSE - ERP =&gt; SOUS-SEGMENT'!$C$8:$C$154=$C32)*'ANALYSE - ERP =&gt; SOUS-SEGMENT'!$Q$8:$Q$154*'ANALYSE - ERP =&gt; SOUS-SEGMENT'!$BE$8:$BE$154*'ANALYSE - ERP =&gt; SOUS-SEGMENT'!$BO$8:$BO$154)/SUMPRODUCT(('ANALYSE - ERP =&gt; SOUS-SEGMENT'!$C$8:$C$154=$C32)*'ANALYSE - ERP =&gt; SOUS-SEGMENT'!$Q$8:$Q$154*'ANALYSE - ERP =&gt; SOUS-SEGMENT'!$BE$8:$BE$154),"")</f>
        <v>0.10181712795247065</v>
      </c>
      <c r="BM32" s="305">
        <f>IFERROR(SUMPRODUCT(('ANALYSE - ERP =&gt; SOUS-SEGMENT'!$C$8:$C$154=$C32)*'ANALYSE - ERP =&gt; SOUS-SEGMENT'!$Q$8:$Q$154*'ANALYSE - ERP =&gt; SOUS-SEGMENT'!$BE$8:$BE$154*'ANALYSE - ERP =&gt; SOUS-SEGMENT'!$BP$8:$BP$154)/SUMPRODUCT(('ANALYSE - ERP =&gt; SOUS-SEGMENT'!$C$8:$C$154=$C32)*'ANALYSE - ERP =&gt; SOUS-SEGMENT'!$Q$8:$Q$154*'ANALYSE - ERP =&gt; SOUS-SEGMENT'!$BE$8:$BE$154),"")</f>
        <v>0.70640740472395303</v>
      </c>
      <c r="BN32" s="305">
        <f>IFERROR(SUMPRODUCT(('ANALYSE - ERP =&gt; SOUS-SEGMENT'!$C$8:$C$154=$C32)*'ANALYSE - ERP =&gt; SOUS-SEGMENT'!$Q$8:$Q$154*'ANALYSE - ERP =&gt; SOUS-SEGMENT'!$BE$8:$BE$154*'ANALYSE - ERP =&gt; SOUS-SEGMENT'!$BQ$8:$BQ$154)/SUMPRODUCT(('ANALYSE - ERP =&gt; SOUS-SEGMENT'!$C$8:$C$154=$C32)*'ANALYSE - ERP =&gt; SOUS-SEGMENT'!$Q$8:$Q$154*'ANALYSE - ERP =&gt; SOUS-SEGMENT'!$BE$8:$BE$154),"")</f>
        <v>0.1376557745254311</v>
      </c>
      <c r="BO32" s="581">
        <f>IFERROR(SUMPRODUCT(('ANALYSE - ERP =&gt; SOUS-SEGMENT'!$C$8:$C$154=$C32)*'ANALYSE - ERP =&gt; SOUS-SEGMENT'!$Q$8:$Q$154*'ANALYSE - ERP =&gt; SOUS-SEGMENT'!$BE$8:$BE$154*'ANALYSE - ERP =&gt; SOUS-SEGMENT'!$BR$8:$BR$154)/SUMPRODUCT(('ANALYSE - ERP =&gt; SOUS-SEGMENT'!$C$8:$C$154=$C32)*'ANALYSE - ERP =&gt; SOUS-SEGMENT'!$Q$8:$Q$154*'ANALYSE - ERP =&gt; SOUS-SEGMENT'!$BE$8:$BE$154),"")</f>
        <v>5.4119692798145193E-2</v>
      </c>
      <c r="BP32" s="580">
        <f>IFERROR(SUMPRODUCT(('ANALYSE - ERP =&gt; SOUS-SEGMENT'!$C$8:$C$154=$C32)*'ANALYSE - ERP =&gt; SOUS-SEGMENT'!$Q$8:$Q$154*'ANALYSE - ERP =&gt; SOUS-SEGMENT'!$BJ$8:$BJ$154*'ANALYSE - ERP =&gt; SOUS-SEGMENT'!$BS$8:$BS$154)/SUMPRODUCT(('ANALYSE - ERP =&gt; SOUS-SEGMENT'!$C$8:$C$154=$C32)*'ANALYSE - ERP =&gt; SOUS-SEGMENT'!$Q$8:$Q$154*'ANALYSE - ERP =&gt; SOUS-SEGMENT'!$BJ$8:$BJ$154),"")</f>
        <v>8.3750683433570255E-2</v>
      </c>
      <c r="BQ32" s="305">
        <f>IFERROR(SUMPRODUCT(('ANALYSE - ERP =&gt; SOUS-SEGMENT'!$C$8:$C$154=$C32)*'ANALYSE - ERP =&gt; SOUS-SEGMENT'!$Q$8:$Q$154*'ANALYSE - ERP =&gt; SOUS-SEGMENT'!$BJ$8:$BJ$154*'ANALYSE - ERP =&gt; SOUS-SEGMENT'!$BT$8:$BT$154)/SUMPRODUCT(('ANALYSE - ERP =&gt; SOUS-SEGMENT'!$C$8:$C$154=$C32)*'ANALYSE - ERP =&gt; SOUS-SEGMENT'!$Q$8:$Q$154*'ANALYSE - ERP =&gt; SOUS-SEGMENT'!$BJ$8:$BJ$154),"")</f>
        <v>0.70877969629093995</v>
      </c>
      <c r="BR32" s="305">
        <f>IFERROR(SUMPRODUCT(('ANALYSE - ERP =&gt; SOUS-SEGMENT'!$C$8:$C$154=$C32)*'ANALYSE - ERP =&gt; SOUS-SEGMENT'!$Q$8:$Q$154*'ANALYSE - ERP =&gt; SOUS-SEGMENT'!$BJ$8:$BJ$154*'ANALYSE - ERP =&gt; SOUS-SEGMENT'!$BU$8:$BU$154)/SUMPRODUCT(('ANALYSE - ERP =&gt; SOUS-SEGMENT'!$C$8:$C$154=$C32)*'ANALYSE - ERP =&gt; SOUS-SEGMENT'!$Q$8:$Q$154*'ANALYSE - ERP =&gt; SOUS-SEGMENT'!$BJ$8:$BJ$154),"")</f>
        <v>0.15892537787262562</v>
      </c>
      <c r="BS32" s="581">
        <f>IFERROR(SUMPRODUCT(('ANALYSE - ERP =&gt; SOUS-SEGMENT'!$C$8:$C$154=$C32)*'ANALYSE - ERP =&gt; SOUS-SEGMENT'!$Q$8:$Q$154*'ANALYSE - ERP =&gt; SOUS-SEGMENT'!$BJ$8:$BJ$154*'ANALYSE - ERP =&gt; SOUS-SEGMENT'!$BV$8:$BV$154)/SUMPRODUCT(('ANALYSE - ERP =&gt; SOUS-SEGMENT'!$C$8:$C$154=$C32)*'ANALYSE - ERP =&gt; SOUS-SEGMENT'!$Q$8:$Q$154*'ANALYSE - ERP =&gt; SOUS-SEGMENT'!$BJ$8:$BJ$154),"")</f>
        <v>4.854424240286425E-2</v>
      </c>
      <c r="BT32" s="589">
        <f>IFERROR(SUMPRODUCT(('ANALYSE - ERP =&gt; SOUS-SEGMENT'!$C$8:$C$154=$C32)*'ANALYSE - ERP =&gt; SOUS-SEGMENT'!$Q$8:$Q$154*'ANALYSE - ERP =&gt; SOUS-SEGMENT'!$BF$8:$BF$154*'ANALYSE - ERP =&gt; SOUS-SEGMENT'!$BW$8:$BW$154)/SUMPRODUCT(('ANALYSE - ERP =&gt; SOUS-SEGMENT'!$C$8:$C$154=$C32)*'ANALYSE - ERP =&gt; SOUS-SEGMENT'!$Q$8:$Q$154*'ANALYSE - ERP =&gt; SOUS-SEGMENT'!$BF$8:$BF$154),"")</f>
        <v>0.1736835919134932</v>
      </c>
      <c r="BU32" s="306">
        <f>IFERROR(SUMPRODUCT(('ANALYSE - ERP =&gt; SOUS-SEGMENT'!$C$8:$C$154=$C32)*'ANALYSE - ERP =&gt; SOUS-SEGMENT'!$Q$8:$Q$154*'ANALYSE - ERP =&gt; SOUS-SEGMENT'!$BF$8:$BF$154*'ANALYSE - ERP =&gt; SOUS-SEGMENT'!$BX$8:$BX$154)/SUMPRODUCT(('ANALYSE - ERP =&gt; SOUS-SEGMENT'!$C$8:$C$154=$C32)*'ANALYSE - ERP =&gt; SOUS-SEGMENT'!$Q$8:$Q$154*'ANALYSE - ERP =&gt; SOUS-SEGMENT'!$BF$8:$BF$154),"")</f>
        <v>0.76095439586271751</v>
      </c>
      <c r="BV32" s="590">
        <f>IFERROR(SUMPRODUCT(('ANALYSE - ERP =&gt; SOUS-SEGMENT'!$C$8:$C$154=$C32)*'ANALYSE - ERP =&gt; SOUS-SEGMENT'!$Q$8:$Q$154*'ANALYSE - ERP =&gt; SOUS-SEGMENT'!$BF$8:$BF$154*'ANALYSE - ERP =&gt; SOUS-SEGMENT'!$BY$8:$BY$154)/SUMPRODUCT(('ANALYSE - ERP =&gt; SOUS-SEGMENT'!$C$8:$C$154=$C32)*'ANALYSE - ERP =&gt; SOUS-SEGMENT'!$Q$8:$Q$154*'ANALYSE - ERP =&gt; SOUS-SEGMENT'!$BF$8:$BF$154),"")</f>
        <v>6.5362012223789373E-2</v>
      </c>
      <c r="BW32" s="589">
        <f>IFERROR(SUMPRODUCT(('ANALYSE - ERP =&gt; SOUS-SEGMENT'!$C$8:$C$154=$C32)*'ANALYSE - ERP =&gt; SOUS-SEGMENT'!$Q$8:$Q$154*'ANALYSE - ERP =&gt; SOUS-SEGMENT'!$BK$8:$BK$154*'ANALYSE - ERP =&gt; SOUS-SEGMENT'!$BZ$8:$BZ$154)/SUMPRODUCT(('ANALYSE - ERP =&gt; SOUS-SEGMENT'!$C$8:$C$154=$C32)*'ANALYSE - ERP =&gt; SOUS-SEGMENT'!$Q$8:$Q$154*'ANALYSE - ERP =&gt; SOUS-SEGMENT'!$BK$8:$BK$154),"")</f>
        <v>0.13938248847926268</v>
      </c>
      <c r="BX32" s="306">
        <f>IFERROR(SUMPRODUCT(('ANALYSE - ERP =&gt; SOUS-SEGMENT'!$C$8:$C$154=$C32)*'ANALYSE - ERP =&gt; SOUS-SEGMENT'!$Q$8:$Q$154*'ANALYSE - ERP =&gt; SOUS-SEGMENT'!$BK$8:$BK$154*'ANALYSE - ERP =&gt; SOUS-SEGMENT'!$CA$8:$CA$154)/SUMPRODUCT(('ANALYSE - ERP =&gt; SOUS-SEGMENT'!$C$8:$C$154=$C32)*'ANALYSE - ERP =&gt; SOUS-SEGMENT'!$Q$8:$Q$154*'ANALYSE - ERP =&gt; SOUS-SEGMENT'!$BK$8:$BK$154),"")</f>
        <v>0.7820046082949309</v>
      </c>
      <c r="BY32" s="590">
        <f>IFERROR(SUMPRODUCT(('ANALYSE - ERP =&gt; SOUS-SEGMENT'!$C$8:$C$154=$C32)*'ANALYSE - ERP =&gt; SOUS-SEGMENT'!$Q$8:$Q$154*'ANALYSE - ERP =&gt; SOUS-SEGMENT'!$BK$8:$BK$154*'ANALYSE - ERP =&gt; SOUS-SEGMENT'!$CB$8:$CB$154)/SUMPRODUCT(('ANALYSE - ERP =&gt; SOUS-SEGMENT'!$C$8:$C$154=$C32)*'ANALYSE - ERP =&gt; SOUS-SEGMENT'!$Q$8:$Q$154*'ANALYSE - ERP =&gt; SOUS-SEGMENT'!$BK$8:$BK$154),"")</f>
        <v>7.8612903225806441E-2</v>
      </c>
      <c r="BZ32" s="580">
        <f>IFERROR(SUMPRODUCT(('ANALYSE - ERP =&gt; SOUS-SEGMENT'!$C$8:$C$154=$C32)*'ANALYSE - ERP =&gt; SOUS-SEGMENT'!$Q$8:$Q$154*'ANALYSE - ERP =&gt; SOUS-SEGMENT'!$BG$8:$BG$154*'ANALYSE - ERP =&gt; SOUS-SEGMENT'!$CC$8:$CC$154)/SUMPRODUCT(('ANALYSE - ERP =&gt; SOUS-SEGMENT'!$C$8:$C$154=$C32)*'ANALYSE - ERP =&gt; SOUS-SEGMENT'!$Q$8:$Q$154*'ANALYSE - ERP =&gt; SOUS-SEGMENT'!$BG$8:$BG$154),"")</f>
        <v>6.9889044334024791E-2</v>
      </c>
      <c r="CA32" s="305">
        <f>IFERROR(SUMPRODUCT(('ANALYSE - ERP =&gt; SOUS-SEGMENT'!$C$8:$C$154=$C32)*'ANALYSE - ERP =&gt; SOUS-SEGMENT'!$Q$8:$Q$154*'ANALYSE - ERP =&gt; SOUS-SEGMENT'!$BG$8:$BG$154*'ANALYSE - ERP =&gt; SOUS-SEGMENT'!$CD$8:$CD$154)/SUMPRODUCT(('ANALYSE - ERP =&gt; SOUS-SEGMENT'!$C$8:$C$154=$C32)*'ANALYSE - ERP =&gt; SOUS-SEGMENT'!$Q$8:$Q$154*'ANALYSE - ERP =&gt; SOUS-SEGMENT'!$BG$8:$BG$154),"")</f>
        <v>0.53699406628395008</v>
      </c>
      <c r="CB32" s="305">
        <f>IFERROR(SUMPRODUCT(('ANALYSE - ERP =&gt; SOUS-SEGMENT'!$C$8:$C$154=$C32)*'ANALYSE - ERP =&gt; SOUS-SEGMENT'!$Q$8:$Q$154*'ANALYSE - ERP =&gt; SOUS-SEGMENT'!$BG$8:$BG$154*'ANALYSE - ERP =&gt; SOUS-SEGMENT'!$CE$8:$CE$154)/SUMPRODUCT(('ANALYSE - ERP =&gt; SOUS-SEGMENT'!$C$8:$C$154=$C32)*'ANALYSE - ERP =&gt; SOUS-SEGMENT'!$Q$8:$Q$154*'ANALYSE - ERP =&gt; SOUS-SEGMENT'!$BG$8:$BG$154),"")</f>
        <v>0.13764388055381352</v>
      </c>
      <c r="CC32" s="581">
        <f>IFERROR(SUMPRODUCT(('ANALYSE - ERP =&gt; SOUS-SEGMENT'!$C$8:$C$154=$C32)*'ANALYSE - ERP =&gt; SOUS-SEGMENT'!$Q$8:$Q$154*'ANALYSE - ERP =&gt; SOUS-SEGMENT'!$BG$8:$BG$154*'ANALYSE - ERP =&gt; SOUS-SEGMENT'!$CF$8:$CF$154)/SUMPRODUCT(('ANALYSE - ERP =&gt; SOUS-SEGMENT'!$C$8:$C$154=$C32)*'ANALYSE - ERP =&gt; SOUS-SEGMENT'!$Q$8:$Q$154*'ANALYSE - ERP =&gt; SOUS-SEGMENT'!$BG$8:$BG$154),"")</f>
        <v>0.25547300882821167</v>
      </c>
      <c r="CD32" s="580">
        <f>IFERROR(SUMPRODUCT(('ANALYSE - ERP =&gt; SOUS-SEGMENT'!$C$8:$C$154=$C32)*'ANALYSE - ERP =&gt; SOUS-SEGMENT'!$Q$8:$Q$154*'ANALYSE - ERP =&gt; SOUS-SEGMENT'!$BL$8:$BL$154*'ANALYSE - ERP =&gt; SOUS-SEGMENT'!$CG$8:$CG$154)/SUMPRODUCT(('ANALYSE - ERP =&gt; SOUS-SEGMENT'!$C$8:$C$154=$C32)*'ANALYSE - ERP =&gt; SOUS-SEGMENT'!$Q$8:$Q$154*'ANALYSE - ERP =&gt; SOUS-SEGMENT'!$BL$8:$BL$154),"")</f>
        <v>5.6557299990598844E-2</v>
      </c>
      <c r="CE32" s="305">
        <f>IFERROR(SUMPRODUCT(('ANALYSE - ERP =&gt; SOUS-SEGMENT'!$C$8:$C$154=$C32)*'ANALYSE - ERP =&gt; SOUS-SEGMENT'!$Q$8:$Q$154*'ANALYSE - ERP =&gt; SOUS-SEGMENT'!$BL$8:$BL$154*'ANALYSE - ERP =&gt; SOUS-SEGMENT'!$CH$8:$CH$154)/SUMPRODUCT(('ANALYSE - ERP =&gt; SOUS-SEGMENT'!$C$8:$C$154=$C32)*'ANALYSE - ERP =&gt; SOUS-SEGMENT'!$Q$8:$Q$154*'ANALYSE - ERP =&gt; SOUS-SEGMENT'!$BL$8:$BL$154),"")</f>
        <v>0.53819215944345222</v>
      </c>
      <c r="CF32" s="305">
        <f>IFERROR(SUMPRODUCT(('ANALYSE - ERP =&gt; SOUS-SEGMENT'!$C$8:$C$154=$C32)*'ANALYSE - ERP =&gt; SOUS-SEGMENT'!$Q$8:$Q$154*'ANALYSE - ERP =&gt; SOUS-SEGMENT'!$BL$8:$BL$154*'ANALYSE - ERP =&gt; SOUS-SEGMENT'!$CI$8:$CI$154)/SUMPRODUCT(('ANALYSE - ERP =&gt; SOUS-SEGMENT'!$C$8:$C$154=$C32)*'ANALYSE - ERP =&gt; SOUS-SEGMENT'!$Q$8:$Q$154*'ANALYSE - ERP =&gt; SOUS-SEGMENT'!$BL$8:$BL$154),"")</f>
        <v>0.15735263702171665</v>
      </c>
      <c r="CG32" s="581">
        <f>IFERROR(SUMPRODUCT(('ANALYSE - ERP =&gt; SOUS-SEGMENT'!$C$8:$C$154=$C32)*'ANALYSE - ERP =&gt; SOUS-SEGMENT'!$Q$8:$Q$154*'ANALYSE - ERP =&gt; SOUS-SEGMENT'!$BL$8:$BL$154*'ANALYSE - ERP =&gt; SOUS-SEGMENT'!$CJ$8:$CJ$154)/SUMPRODUCT(('ANALYSE - ERP =&gt; SOUS-SEGMENT'!$C$8:$C$154=$C32)*'ANALYSE - ERP =&gt; SOUS-SEGMENT'!$Q$8:$Q$154*'ANALYSE - ERP =&gt; SOUS-SEGMENT'!$BL$8:$BL$154),"")</f>
        <v>0.24789790354423238</v>
      </c>
      <c r="CH32" s="589">
        <f>IFERROR(SUMPRODUCT(('ANALYSE - ERP =&gt; SOUS-SEGMENT'!$C$8:$C$154=$C32)*'ANALYSE - ERP =&gt; SOUS-SEGMENT'!$Q$8:$Q$154*'ANALYSE - ERP =&gt; SOUS-SEGMENT'!$BH$8:$BH$154*'ANALYSE - ERP =&gt; SOUS-SEGMENT'!$CK$8:$CK$154)/SUMPRODUCT(('ANALYSE - ERP =&gt; SOUS-SEGMENT'!$C$8:$C$154=$C32)*'ANALYSE - ERP =&gt; SOUS-SEGMENT'!$Q$8:$Q$154*'ANALYSE - ERP =&gt; SOUS-SEGMENT'!$BH$8:$BH$154),"")</f>
        <v>0.2484720947859736</v>
      </c>
      <c r="CI32" s="306">
        <f>IFERROR(SUMPRODUCT(('ANALYSE - ERP =&gt; SOUS-SEGMENT'!$C$8:$C$154=$C32)*'ANALYSE - ERP =&gt; SOUS-SEGMENT'!$Q$8:$Q$154*'ANALYSE - ERP =&gt; SOUS-SEGMENT'!$BH$8:$BH$154*'ANALYSE - ERP =&gt; SOUS-SEGMENT'!$CL$8:$CL$154)/SUMPRODUCT(('ANALYSE - ERP =&gt; SOUS-SEGMENT'!$C$8:$C$154=$C32)*'ANALYSE - ERP =&gt; SOUS-SEGMENT'!$Q$8:$Q$154*'ANALYSE - ERP =&gt; SOUS-SEGMENT'!$BH$8:$BH$154),"")</f>
        <v>0.51507759205329717</v>
      </c>
      <c r="CJ32" s="590">
        <f>IFERROR(SUMPRODUCT(('ANALYSE - ERP =&gt; SOUS-SEGMENT'!$C$8:$C$154=$C32)*'ANALYSE - ERP =&gt; SOUS-SEGMENT'!$Q$8:$Q$154*'ANALYSE - ERP =&gt; SOUS-SEGMENT'!$BH$8:$BH$154*'ANALYSE - ERP =&gt; SOUS-SEGMENT'!$CM$8:$CM$154)/SUMPRODUCT(('ANALYSE - ERP =&gt; SOUS-SEGMENT'!$C$8:$C$154=$C32)*'ANALYSE - ERP =&gt; SOUS-SEGMENT'!$Q$8:$Q$154*'ANALYSE - ERP =&gt; SOUS-SEGMENT'!$BH$8:$BH$154),"")</f>
        <v>0.23645031316072926</v>
      </c>
      <c r="CK32" s="589">
        <f>IFERROR(SUMPRODUCT(('ANALYSE - ERP =&gt; SOUS-SEGMENT'!$C$8:$C$154=$C32)*'ANALYSE - ERP =&gt; SOUS-SEGMENT'!$Q$8:$Q$154*'ANALYSE - ERP =&gt; SOUS-SEGMENT'!$BM$8:$BM$154*'ANALYSE - ERP =&gt; SOUS-SEGMENT'!$CN$8:$CN$154)/SUMPRODUCT(('ANALYSE - ERP =&gt; SOUS-SEGMENT'!$C$8:$C$154=$C32)*'ANALYSE - ERP =&gt; SOUS-SEGMENT'!$Q$8:$Q$154*'ANALYSE - ERP =&gt; SOUS-SEGMENT'!$BM$8:$BM$154),"")</f>
        <v>0.14915700328263698</v>
      </c>
      <c r="CL32" s="306">
        <f>IFERROR(SUMPRODUCT(('ANALYSE - ERP =&gt; SOUS-SEGMENT'!$C$8:$C$154=$C32)*'ANALYSE - ERP =&gt; SOUS-SEGMENT'!$Q$8:$Q$154*'ANALYSE - ERP =&gt; SOUS-SEGMENT'!$BM$8:$BM$154*'ANALYSE - ERP =&gt; SOUS-SEGMENT'!$CO$8:$CO$154)/SUMPRODUCT(('ANALYSE - ERP =&gt; SOUS-SEGMENT'!$C$8:$C$154=$C32)*'ANALYSE - ERP =&gt; SOUS-SEGMENT'!$Q$8:$Q$154*'ANALYSE - ERP =&gt; SOUS-SEGMENT'!$BM$8:$BM$154),"")</f>
        <v>0.5347062137016102</v>
      </c>
      <c r="CM32" s="590">
        <f>IFERROR(SUMPRODUCT(('ANALYSE - ERP =&gt; SOUS-SEGMENT'!$C$8:$C$154=$C32)*'ANALYSE - ERP =&gt; SOUS-SEGMENT'!$Q$8:$Q$154*'ANALYSE - ERP =&gt; SOUS-SEGMENT'!$BM$8:$BM$154*'ANALYSE - ERP =&gt; SOUS-SEGMENT'!$CP$8:$CP$154)/SUMPRODUCT(('ANALYSE - ERP =&gt; SOUS-SEGMENT'!$C$8:$C$154=$C32)*'ANALYSE - ERP =&gt; SOUS-SEGMENT'!$Q$8:$Q$154*'ANALYSE - ERP =&gt; SOUS-SEGMENT'!$BM$8:$BM$154),"")</f>
        <v>0.31613678301575282</v>
      </c>
      <c r="CN32" s="657"/>
      <c r="CO32" s="889">
        <f>IFERROR(SUMPRODUCT(('ANALYSE - ERP =&gt; SOUS-SEGMENT'!$C$8:$C$154=$C32)*'ANALYSE - ERP =&gt; SOUS-SEGMENT'!$DH$8:$DH$154*('ANALYSE - ERP =&gt; SOUS-SEGMENT'!$CR$8:$CR$154&gt;0)*'ANALYSE - ERP =&gt; SOUS-SEGMENT'!$CR$8:$CR$154)/SUMPRODUCT(('ANALYSE - ERP =&gt; SOUS-SEGMENT'!$C$8:$C$154=$C32)*'ANALYSE - ERP =&gt; SOUS-SEGMENT'!$DH$8:$DH$154*('ANALYSE - ERP =&gt; SOUS-SEGMENT'!$CR$8:$CR$154&gt;0)),"")</f>
        <v>9.5961089604918595</v>
      </c>
      <c r="CP32" s="890">
        <f>IFERROR(SUMPRODUCT(('ANALYSE - ERP =&gt; SOUS-SEGMENT'!$C$8:$C$154=$C32)*'ANALYSE - ERP =&gt; SOUS-SEGMENT'!$DI$8:$DI$154*('ANALYSE - ERP =&gt; SOUS-SEGMENT'!$CS$8:$CS$154&gt;0)*'ANALYSE - ERP =&gt; SOUS-SEGMENT'!$CS$8:$CS$154)/SUMPRODUCT(('ANALYSE - ERP =&gt; SOUS-SEGMENT'!$C$8:$C$154=$C32)*'ANALYSE - ERP =&gt; SOUS-SEGMENT'!$DI$8:$DI$154*('ANALYSE - ERP =&gt; SOUS-SEGMENT'!$CS$8:$CS$154&gt;0)),"")</f>
        <v>11</v>
      </c>
      <c r="CQ32" s="890">
        <f>IFERROR(SUMPRODUCT(('ANALYSE - ERP =&gt; SOUS-SEGMENT'!$C$8:$C$154=$C32)*'ANALYSE - ERP =&gt; SOUS-SEGMENT'!$DJ$8:$DJ$154*('ANALYSE - ERP =&gt; SOUS-SEGMENT'!$CT$8:$CT$154&gt;0)*'ANALYSE - ERP =&gt; SOUS-SEGMENT'!$CT$8:$CT$154)/SUMPRODUCT(('ANALYSE - ERP =&gt; SOUS-SEGMENT'!$C$8:$C$154=$C32)*'ANALYSE - ERP =&gt; SOUS-SEGMENT'!$DJ$8:$DJ$154*('ANALYSE - ERP =&gt; SOUS-SEGMENT'!$CT$8:$CT$154&gt;0)),"")</f>
        <v>8</v>
      </c>
      <c r="CR32" s="891">
        <f>IFERROR(SUMPRODUCT(('ANALYSE - ERP =&gt; SOUS-SEGMENT'!$C$8:$C$154=$C32)*'ANALYSE - ERP =&gt; SOUS-SEGMENT'!$DK$8:$DK$154*('ANALYSE - ERP =&gt; SOUS-SEGMENT'!$CU$8:$CU$154&gt;0)*'ANALYSE - ERP =&gt; SOUS-SEGMENT'!$CU$8:$CU$154)/SUMPRODUCT(('ANALYSE - ERP =&gt; SOUS-SEGMENT'!$C$8:$C$154=$C32)*'ANALYSE - ERP =&gt; SOUS-SEGMENT'!$DK$8:$DK$154*('ANALYSE - ERP =&gt; SOUS-SEGMENT'!$CU$8:$CU$154&gt;0)),"")</f>
        <v>9.6728874370782911</v>
      </c>
      <c r="CS32" s="889">
        <f>IFERROR(SUMPRODUCT(('ANALYSE - ERP =&gt; SOUS-SEGMENT'!$C$8:$C$154=$C32)*'ANALYSE - ERP =&gt; SOUS-SEGMENT'!$DS$8:$DS$154*('ANALYSE - ERP =&gt; SOUS-SEGMENT'!$CV$8:$CV$154&gt;0)*'ANALYSE - ERP =&gt; SOUS-SEGMENT'!$CV$8:$CV$154)/SUMPRODUCT(('ANALYSE - ERP =&gt; SOUS-SEGMENT'!$C$8:$C$154=$C32)*'ANALYSE - ERP =&gt; SOUS-SEGMENT'!$DS$8:$DS$154*('ANALYSE - ERP =&gt; SOUS-SEGMENT'!$CV$8:$CV$154&gt;0)),"")</f>
        <v>8.6231305407051497</v>
      </c>
      <c r="CT32" s="890">
        <f>IFERROR(SUMPRODUCT(('ANALYSE - ERP =&gt; SOUS-SEGMENT'!$C$8:$C$154=$C32)*'ANALYSE - ERP =&gt; SOUS-SEGMENT'!$DT$8:$DT$154*('ANALYSE - ERP =&gt; SOUS-SEGMENT'!$CW$8:$CW$154&gt;0)*'ANALYSE - ERP =&gt; SOUS-SEGMENT'!$CW$8:$CW$154)/SUMPRODUCT(('ANALYSE - ERP =&gt; SOUS-SEGMENT'!$C$8:$C$154=$C32)*'ANALYSE - ERP =&gt; SOUS-SEGMENT'!$DT$8:$DT$154*('ANALYSE - ERP =&gt; SOUS-SEGMENT'!$CW$8:$CW$154&gt;0)),"")</f>
        <v>8.3239319143677974</v>
      </c>
      <c r="CU32" s="891">
        <f>IFERROR(SUMPRODUCT(('ANALYSE - ERP =&gt; SOUS-SEGMENT'!$C$8:$C$154=$C32)*'ANALYSE - ERP =&gt; SOUS-SEGMENT'!$DU$8:$DU$154*('ANALYSE - ERP =&gt; SOUS-SEGMENT'!$CX$8:$CX$154&gt;0)*'ANALYSE - ERP =&gt; SOUS-SEGMENT'!$CX$8:$CX$154)/SUMPRODUCT(('ANALYSE - ERP =&gt; SOUS-SEGMENT'!$C$8:$C$154=$C32)*'ANALYSE - ERP =&gt; SOUS-SEGMENT'!$DU$8:$DU$154*('ANALYSE - ERP =&gt; SOUS-SEGMENT'!$CX$8:$CX$154&gt;0)),"")</f>
        <v>7.3902175867649698</v>
      </c>
      <c r="CV32" s="889">
        <f>IFERROR(SUMPRODUCT(('ANALYSE - ERP =&gt; SOUS-SEGMENT'!$C$8:$C$154=$C32)*'ANALYSE - ERP =&gt; SOUS-SEGMENT'!$EB$8:$EB$154*('ANALYSE - ERP =&gt; SOUS-SEGMENT'!$CY$8:$CY$154&gt;0)*'ANALYSE - ERP =&gt; SOUS-SEGMENT'!$CY$8:$CY$154)/SUMPRODUCT(('ANALYSE - ERP =&gt; SOUS-SEGMENT'!$C$8:$C$154=$C32)*'ANALYSE - ERP =&gt; SOUS-SEGMENT'!$EB$8:$EB$154*('ANALYSE - ERP =&gt; SOUS-SEGMENT'!$CY$8:$CY$154&gt;0)),"")</f>
        <v>8</v>
      </c>
      <c r="CW32" s="890">
        <f>IFERROR(SUMPRODUCT(('ANALYSE - ERP =&gt; SOUS-SEGMENT'!$C$8:$C$154=$C32)*'ANALYSE - ERP =&gt; SOUS-SEGMENT'!$EC$8:$EC$154*('ANALYSE - ERP =&gt; SOUS-SEGMENT'!$CZ$8:$CZ$154&gt;0)*'ANALYSE - ERP =&gt; SOUS-SEGMENT'!$CZ$8:$CZ$154)/SUMPRODUCT(('ANALYSE - ERP =&gt; SOUS-SEGMENT'!$C$8:$C$154=$C32)*'ANALYSE - ERP =&gt; SOUS-SEGMENT'!$EC$8:$EC$154*('ANALYSE - ERP =&gt; SOUS-SEGMENT'!$CZ$8:$CZ$154&gt;0)),"")</f>
        <v>10.397346233835069</v>
      </c>
      <c r="CX32" s="890">
        <f>IFERROR(SUMPRODUCT(('ANALYSE - ERP =&gt; SOUS-SEGMENT'!$C$8:$C$154=$C32)*'ANALYSE - ERP =&gt; SOUS-SEGMENT'!$ED$8:$ED$154*('ANALYSE - ERP =&gt; SOUS-SEGMENT'!$DA$8:$DA$154&gt;0)*'ANALYSE - ERP =&gt; SOUS-SEGMENT'!$DA$8:$DA$154)/SUMPRODUCT(('ANALYSE - ERP =&gt; SOUS-SEGMENT'!$C$8:$C$154=$C32)*'ANALYSE - ERP =&gt; SOUS-SEGMENT'!$ED$8:$ED$154*('ANALYSE - ERP =&gt; SOUS-SEGMENT'!$DA$8:$DA$154&gt;0)),"")</f>
        <v>7.5725180673064116</v>
      </c>
      <c r="CY32" s="892">
        <f>IFERROR(SUMPRODUCT(('ANALYSE - ERP =&gt; SOUS-SEGMENT'!$C$8:$C$154=$C32)*'ANALYSE - ERP =&gt; SOUS-SEGMENT'!$EE$8:$EE$154*('ANALYSE - ERP =&gt; SOUS-SEGMENT'!$DB$8:$DB$154&gt;0)*'ANALYSE - ERP =&gt; SOUS-SEGMENT'!$DB$8:$DB$154)/SUMPRODUCT(('ANALYSE - ERP =&gt; SOUS-SEGMENT'!$C$8:$C$154=$C32)*'ANALYSE - ERP =&gt; SOUS-SEGMENT'!$EE$8:$EE$154*('ANALYSE - ERP =&gt; SOUS-SEGMENT'!$DB$8:$DB$154&gt;0)),"")</f>
        <v>9.0000000000000018</v>
      </c>
      <c r="CZ32" s="893">
        <f>IFERROR(SUMPRODUCT(('ANALYSE - ERP =&gt; SOUS-SEGMENT'!$C$8:$C$154=$C32)*'ANALYSE - ERP =&gt; SOUS-SEGMENT'!$EM$8:$EM$154*('ANALYSE - ERP =&gt; SOUS-SEGMENT'!$DC$8:$DC$154&gt;0)*'ANALYSE - ERP =&gt; SOUS-SEGMENT'!$DC$8:$DC$154)/SUMPRODUCT(('ANALYSE - ERP =&gt; SOUS-SEGMENT'!$C$8:$C$154=$C32)*'ANALYSE - ERP =&gt; SOUS-SEGMENT'!$EM$8:$EM$154*('ANALYSE - ERP =&gt; SOUS-SEGMENT'!$DC$8:$DC$154&gt;0)),"")</f>
        <v>9.6068122887716854</v>
      </c>
      <c r="DA32" s="890">
        <f>IFERROR(SUMPRODUCT(('ANALYSE - ERP =&gt; SOUS-SEGMENT'!$C$8:$C$154=$C32)*'ANALYSE - ERP =&gt; SOUS-SEGMENT'!$EN$8:$EN$154*('ANALYSE - ERP =&gt; SOUS-SEGMENT'!$DD$8:$DD$154&gt;0)*'ANALYSE - ERP =&gt; SOUS-SEGMENT'!$DD$8:$DD$154)/SUMPRODUCT(('ANALYSE - ERP =&gt; SOUS-SEGMENT'!$C$8:$C$154=$C32)*'ANALYSE - ERP =&gt; SOUS-SEGMENT'!$EN$8:$EN$154*('ANALYSE - ERP =&gt; SOUS-SEGMENT'!$DD$8:$DD$154&gt;0)),"")</f>
        <v>11.356005715856858</v>
      </c>
      <c r="DB32" s="892">
        <f>IFERROR(SUMPRODUCT(('ANALYSE - ERP =&gt; SOUS-SEGMENT'!$C$8:$C$154=$C32)*'ANALYSE - ERP =&gt; SOUS-SEGMENT'!$EO$8:$EO$154*('ANALYSE - ERP =&gt; SOUS-SEGMENT'!$DE$8:$DE$154&gt;0)*'ANALYSE - ERP =&gt; SOUS-SEGMENT'!$DE$8:$DE$154)/SUMPRODUCT(('ANALYSE - ERP =&gt; SOUS-SEGMENT'!$C$8:$C$154=$C32)*'ANALYSE - ERP =&gt; SOUS-SEGMENT'!$EO$8:$EO$154*('ANALYSE - ERP =&gt; SOUS-SEGMENT'!$DE$8:$DE$154&gt;0)),"")</f>
        <v>8.4898685697896106</v>
      </c>
      <c r="DC32" s="609" t="s">
        <v>7321</v>
      </c>
      <c r="DD32" s="657"/>
      <c r="DE32" s="308">
        <f t="shared" si="2"/>
        <v>5621.12</v>
      </c>
      <c r="DF32" s="308">
        <f t="shared" si="3"/>
        <v>38999.339999999997</v>
      </c>
      <c r="DG32" s="308">
        <f t="shared" si="4"/>
        <v>7599.7</v>
      </c>
      <c r="DH32" s="308">
        <f t="shared" si="5"/>
        <v>2987.8399999999997</v>
      </c>
      <c r="DI32" s="287" t="s">
        <v>7322</v>
      </c>
      <c r="DJ32" s="308">
        <f t="shared" si="6"/>
        <v>4748.58</v>
      </c>
      <c r="DK32" s="308">
        <f t="shared" si="7"/>
        <v>40187.100000000006</v>
      </c>
      <c r="DL32" s="308">
        <f t="shared" si="8"/>
        <v>9010.91</v>
      </c>
      <c r="DM32" s="308">
        <f t="shared" si="9"/>
        <v>2752.4100000000003</v>
      </c>
      <c r="DN32" s="287" t="s">
        <v>7323</v>
      </c>
      <c r="DO32" s="657"/>
      <c r="DP32" s="308">
        <f t="shared" si="10"/>
        <v>1477.7</v>
      </c>
      <c r="DQ32" s="308">
        <f t="shared" si="11"/>
        <v>6474.2000000000007</v>
      </c>
      <c r="DR32" s="308">
        <f t="shared" si="12"/>
        <v>556.1</v>
      </c>
      <c r="DS32" s="287" t="s">
        <v>7324</v>
      </c>
      <c r="DT32" s="308">
        <f t="shared" si="13"/>
        <v>1209.8400000000001</v>
      </c>
      <c r="DU32" s="308">
        <f t="shared" si="14"/>
        <v>6787.8</v>
      </c>
      <c r="DV32" s="308">
        <f t="shared" si="15"/>
        <v>682.3599999999999</v>
      </c>
      <c r="DW32" s="287" t="s">
        <v>7325</v>
      </c>
      <c r="DX32" s="657"/>
      <c r="DY32" s="308">
        <f t="shared" si="16"/>
        <v>724.3649999999999</v>
      </c>
      <c r="DZ32" s="308">
        <f t="shared" si="17"/>
        <v>5565.6750000000002</v>
      </c>
      <c r="EA32" s="308">
        <f t="shared" si="18"/>
        <v>1426.6100000000001</v>
      </c>
      <c r="EB32" s="308">
        <f t="shared" si="19"/>
        <v>2647.85</v>
      </c>
      <c r="EC32" s="287" t="s">
        <v>7326</v>
      </c>
      <c r="ED32" s="308">
        <f t="shared" si="20"/>
        <v>601.59999999999991</v>
      </c>
      <c r="EE32" s="308">
        <f t="shared" si="21"/>
        <v>5724.7500000000009</v>
      </c>
      <c r="EF32" s="308">
        <f t="shared" si="22"/>
        <v>1673.76</v>
      </c>
      <c r="EG32" s="308">
        <f t="shared" si="23"/>
        <v>2636.89</v>
      </c>
      <c r="EH32" s="614" t="s">
        <v>7327</v>
      </c>
      <c r="EI32" s="290"/>
      <c r="EJ32" s="308">
        <f t="shared" si="24"/>
        <v>12456.9</v>
      </c>
      <c r="EK32" s="310">
        <f t="shared" si="25"/>
        <v>25822.9</v>
      </c>
      <c r="EL32" s="310">
        <f t="shared" si="26"/>
        <v>11854.2</v>
      </c>
      <c r="EM32" s="287" t="s">
        <v>7328</v>
      </c>
      <c r="EN32" s="308">
        <f t="shared" si="27"/>
        <v>7679.0499999999993</v>
      </c>
      <c r="EO32" s="310">
        <f t="shared" si="28"/>
        <v>27528.28</v>
      </c>
      <c r="EP32" s="310">
        <f t="shared" si="29"/>
        <v>16275.670000000002</v>
      </c>
      <c r="EQ32" s="289" t="s">
        <v>7329</v>
      </c>
      <c r="ER32" s="657"/>
      <c r="ES32" s="728">
        <f t="shared" si="30"/>
        <v>0.81424536507600853</v>
      </c>
      <c r="ET32" s="728">
        <f t="shared" si="31"/>
        <v>0.11847980622643398</v>
      </c>
      <c r="EU32" s="311">
        <f t="shared" si="32"/>
        <v>63376.204935227652</v>
      </c>
      <c r="EV32" s="311">
        <f t="shared" si="33"/>
        <v>50847.02886522765</v>
      </c>
      <c r="EW32" s="311">
        <f t="shared" si="34"/>
        <v>12529.17607</v>
      </c>
      <c r="EX32" s="311">
        <f t="shared" si="35"/>
        <v>27492.132452381691</v>
      </c>
      <c r="EY32" s="311">
        <f>SUMPRODUCT(('ANALYSE - ERP =&gt; SOUS-SEGMENT'!$C$8:$C$154=$C32)*'ANALYSE - ERP =&gt; SOUS-SEGMENT'!$Q$8:$Q$154*'ANALYSE - ERP =&gt; SOUS-SEGMENT'!$FB$8:$FB$154)</f>
        <v>21893.785772381692</v>
      </c>
      <c r="EZ32" s="311">
        <f>SUMPRODUCT(('ANALYSE - ERP =&gt; SOUS-SEGMENT'!$C$8:$C$154=$C32)*'ANALYSE - ERP =&gt; SOUS-SEGMENT'!$Q$8:$Q$154*'ANALYSE - ERP =&gt; SOUS-SEGMENT'!$FC$8:$FC$154)</f>
        <v>5598.3466799999997</v>
      </c>
      <c r="FA32" s="311">
        <f t="shared" si="36"/>
        <v>4948.3097118642854</v>
      </c>
      <c r="FB32" s="311">
        <f>SUMPRODUCT(('ANALYSE - ERP =&gt; SOUS-SEGMENT'!$C$8:$C$154=$C32)*'ANALYSE - ERP =&gt; SOUS-SEGMENT'!$Q$8:$Q$154*'ANALYSE - ERP =&gt; SOUS-SEGMENT'!$FE$8:$FE$154)</f>
        <v>4149.2891918642854</v>
      </c>
      <c r="FC32" s="311">
        <f>SUMPRODUCT(('ANALYSE - ERP =&gt; SOUS-SEGMENT'!$C$8:$C$154=$C32)*'ANALYSE - ERP =&gt; SOUS-SEGMENT'!$Q$8:$Q$154*'ANALYSE - ERP =&gt; SOUS-SEGMENT'!$FF$8:$FF$154)</f>
        <v>799.02052000000003</v>
      </c>
      <c r="FD32" s="311">
        <f t="shared" si="37"/>
        <v>5599.4926104400074</v>
      </c>
      <c r="FE32" s="311">
        <f>SUMPRODUCT(('ANALYSE - ERP =&gt; SOUS-SEGMENT'!$C$8:$C$154=$C32)*'ANALYSE - ERP =&gt; SOUS-SEGMENT'!$Q$8:$Q$154*'ANALYSE - ERP =&gt; SOUS-SEGMENT'!$FH$8:$FH$154)</f>
        <v>4563.2920004400075</v>
      </c>
      <c r="FF32" s="311">
        <f>SUMPRODUCT(('ANALYSE - ERP =&gt; SOUS-SEGMENT'!$C$8:$C$154=$C32)*'ANALYSE - ERP =&gt; SOUS-SEGMENT'!$Q$8:$Q$154*'ANALYSE - ERP =&gt; SOUS-SEGMENT'!$FI$8:$FI$154)</f>
        <v>1036.2006099999999</v>
      </c>
      <c r="FG32" s="311">
        <f t="shared" si="38"/>
        <v>25336.270160541666</v>
      </c>
      <c r="FH32" s="311">
        <f>SUMPRODUCT(('ANALYSE - ERP =&gt; SOUS-SEGMENT'!$C$8:$C$154=$C32)*'ANALYSE - ERP =&gt; SOUS-SEGMENT'!$Q$8:$Q$154*'ANALYSE - ERP =&gt; SOUS-SEGMENT'!$FK$8:$FK$154)</f>
        <v>20240.661900541665</v>
      </c>
      <c r="FI32" s="311">
        <f>SUMPRODUCT(('ANALYSE - ERP =&gt; SOUS-SEGMENT'!$C$8:$C$154=$C32)*'ANALYSE - ERP =&gt; SOUS-SEGMENT'!$Q$8:$Q$154*'ANALYSE - ERP =&gt; SOUS-SEGMENT'!$FL$8:$FL$154)</f>
        <v>5095.60826</v>
      </c>
      <c r="FJ32" s="657"/>
      <c r="FK32" s="293" t="s">
        <v>2649</v>
      </c>
      <c r="FL32" s="728">
        <f>IFERROR(SUMPRODUCT(('ANALYSE - ERP =&gt; SOUS-SEGMENT'!$C$8:$C$154=$C32)*'ANALYSE - ERP =&gt; SOUS-SEGMENT'!$Q$8:$Q$154*'ANALYSE - ERP =&gt; SOUS-SEGMENT'!$AF$8:$AF$154*'ANALYSE - ERP =&gt; SOUS-SEGMENT'!$FO$8:$FO$154)/SUMPRODUCT(('ANALYSE - ERP =&gt; SOUS-SEGMENT'!$C$8:$C$154=$C32)*'ANALYSE - ERP =&gt; SOUS-SEGMENT'!$Q$8:$Q$154*'ANALYSE - ERP =&gt; SOUS-SEGMENT'!$AF$8:$AF$154),"")</f>
        <v>6.4995727571115977E-2</v>
      </c>
      <c r="FM32" s="729">
        <f>IFERROR(SUMPRODUCT(('ANALYSE - ERP =&gt; SOUS-SEGMENT'!$C$8:$C$154=$C32)*'ANALYSE - ERP =&gt; SOUS-SEGMENT'!$Q$8:$Q$154*'ANALYSE - ERP =&gt; SOUS-SEGMENT'!$AF$8:$AF$154*'ANALYSE - ERP =&gt; SOUS-SEGMENT'!$FP$8:$FP$154)/SUMPRODUCT(('ANALYSE - ERP =&gt; SOUS-SEGMENT'!$C$8:$C$154=$C32)*'ANALYSE - ERP =&gt; SOUS-SEGMENT'!$Q$8:$Q$154*'ANALYSE - ERP =&gt; SOUS-SEGMENT'!$AF$8:$AF$154),"")</f>
        <v>0.84414291028446387</v>
      </c>
      <c r="FN32" s="294" t="s">
        <v>6780</v>
      </c>
      <c r="FO32" s="657"/>
      <c r="FP32" s="865">
        <f>IFERROR(SUMPRODUCT(('ANALYSE - ERP =&gt; SOUS-SEGMENT'!$C$8:$C$154=$C32)*'ANALYSE - ERP =&gt; SOUS-SEGMENT'!$Q$8:$Q$154*'ANALYSE - ERP =&gt; SOUS-SEGMENT'!$EX$8:$EX$154*'ANALYSE - ERP =&gt; SOUS-SEGMENT'!$FS$8:$FS$154)/SUMPRODUCT(('ANALYSE - ERP =&gt; SOUS-SEGMENT'!$C$8:$C$154=$C32)*'ANALYSE - ERP =&gt; SOUS-SEGMENT'!$Q$8:$Q$154*'ANALYSE - ERP =&gt; SOUS-SEGMENT'!$EX$8:$EX$154),"")</f>
        <v>3.6500965019388563</v>
      </c>
      <c r="FQ32" s="312">
        <f>RANK($FP32,$FP$8:$FP$143,0)+COUNTIF($FP$8:$FP32,$FP32)-1</f>
        <v>5</v>
      </c>
      <c r="FR32" s="865">
        <f>IFERROR(SUMPRODUCT(('ANALYSE - ERP =&gt; SOUS-SEGMENT'!$C$8:$C$154=$C32)*'ANALYSE - ERP =&gt; SOUS-SEGMENT'!$Q$8:$Q$154*'ANALYSE - ERP =&gt; SOUS-SEGMENT'!$EY$8:$EY$154*'ANALYSE - ERP =&gt; SOUS-SEGMENT'!$FU$8:$FU$154)/SUMPRODUCT(('ANALYSE - ERP =&gt; SOUS-SEGMENT'!$C$8:$C$154=$C32)*'ANALYSE - ERP =&gt; SOUS-SEGMENT'!$Q$8:$Q$154*'ANALYSE - ERP =&gt; SOUS-SEGMENT'!$EY$8:$EY$154),"")</f>
        <v>4.4876427932676819</v>
      </c>
      <c r="FS32" s="312">
        <f>RANK($FR32,$FR$8:$FR$143,0)+COUNTIF($FR$8:$FR32,$FR32)-1</f>
        <v>3</v>
      </c>
      <c r="FT32" s="865">
        <f>IFERROR(SUMPRODUCT(('ANALYSE - ERP =&gt; SOUS-SEGMENT'!$C$8:$C$154=$C32)*'ANALYSE - ERP =&gt; SOUS-SEGMENT'!$Q$8:$Q$154*'ANALYSE - ERP =&gt; SOUS-SEGMENT'!$EZ$8:$EZ$154*'ANALYSE - ERP =&gt; SOUS-SEGMENT'!$FW$8:$FW$154)/SUMPRODUCT(('ANALYSE - ERP =&gt; SOUS-SEGMENT'!$C$8:$C$154=$C32)*'ANALYSE - ERP =&gt; SOUS-SEGMENT'!$Q$8:$Q$154*'ANALYSE - ERP =&gt; SOUS-SEGMENT'!$EZ$8:$EZ$154),"")</f>
        <v>2.3281396258804437</v>
      </c>
      <c r="FU32" s="312">
        <f>RANK($FT32,$FT$8:$FT$143,0)+COUNTIF($FT$8:$FT32,$FT32)-1</f>
        <v>16</v>
      </c>
      <c r="FV32" s="657"/>
      <c r="FW32" s="296" t="s">
        <v>7330</v>
      </c>
      <c r="FX32" s="296" t="s">
        <v>7331</v>
      </c>
      <c r="FY32" s="296" t="s">
        <v>7332</v>
      </c>
      <c r="FZ32" s="296" t="s">
        <v>7333</v>
      </c>
      <c r="GA32" s="296" t="s">
        <v>7334</v>
      </c>
      <c r="GB32" s="296" t="s">
        <v>7335</v>
      </c>
      <c r="GC32" s="296" t="s">
        <v>6759</v>
      </c>
      <c r="GD32" s="657"/>
      <c r="GE32" s="311">
        <f>SUMPRODUCT(('ANALYSE - ERP =&gt; SOUS-SEGMENT'!$C$8:$C$154=$C32)*'ANALYSE - ERP =&gt; SOUS-SEGMENT'!$Q$8:$Q$154*'ANALYSE - ERP =&gt; SOUS-SEGMENT'!$GH$8:$GH$154)</f>
        <v>2867.231522933334</v>
      </c>
      <c r="GF32" s="311">
        <f>SUMPRODUCT(('ANALYSE - ERP =&gt; SOUS-SEGMENT'!$C$8:$C$154=$C32)*'ANALYSE - ERP =&gt; SOUS-SEGMENT'!$Q$8:$Q$154*'ANALYSE - ERP =&gt; SOUS-SEGMENT'!$GI$8:$GI$154)</f>
        <v>2400.5679957333336</v>
      </c>
      <c r="GG32" s="311">
        <f>SUMPRODUCT(('ANALYSE - ERP =&gt; SOUS-SEGMENT'!$C$8:$C$154=$C32)*'ANALYSE - ERP =&gt; SOUS-SEGMENT'!$Q$8:$Q$154*'ANALYSE - ERP =&gt; SOUS-SEGMENT'!$GJ$8:$GJ$154)</f>
        <v>466.66352720000003</v>
      </c>
      <c r="GH32" s="311">
        <f>SUMPRODUCT(('ANALYSE - ERP =&gt; SOUS-SEGMENT'!$C$8:$C$154=$C32)*'ANALYSE - ERP =&gt; SOUS-SEGMENT'!$Q$8:$Q$154*'ANALYSE - ERP =&gt; SOUS-SEGMENT'!$GK$8:$GK$154)</f>
        <v>18189.855098163636</v>
      </c>
      <c r="GI32" s="311">
        <f>SUMPRODUCT(('ANALYSE - ERP =&gt; SOUS-SEGMENT'!$C$8:$C$154=$C32)*'ANALYSE - ERP =&gt; SOUS-SEGMENT'!$Q$8:$Q$154*'ANALYSE - ERP =&gt; SOUS-SEGMENT'!$GL$8:$GL$154)</f>
        <v>14235.488692563637</v>
      </c>
      <c r="GJ32" s="311">
        <f>SUMPRODUCT(('ANALYSE - ERP =&gt; SOUS-SEGMENT'!$C$8:$C$154=$C32)*'ANALYSE - ERP =&gt; SOUS-SEGMENT'!$Q$8:$Q$154*'ANALYSE - ERP =&gt; SOUS-SEGMENT'!$GM$8:$GM$154)</f>
        <v>3954.3664055999998</v>
      </c>
      <c r="GK32" s="311">
        <f>SUMPRODUCT(('ANALYSE - ERP =&gt; SOUS-SEGMENT'!$C$8:$C$154=$C32)*'ANALYSE - ERP =&gt; SOUS-SEGMENT'!$Q$8:$Q$154*'ANALYSE - ERP =&gt; SOUS-SEGMENT'!$GN$8:$GN$154)</f>
        <v>4909.9304737624998</v>
      </c>
      <c r="GL32" s="311">
        <f>SUMPRODUCT(('ANALYSE - ERP =&gt; SOUS-SEGMENT'!$C$8:$C$154=$C32)*'ANALYSE - ERP =&gt; SOUS-SEGMENT'!$Q$8:$Q$154*'ANALYSE - ERP =&gt; SOUS-SEGMENT'!$GO$8:$GO$154)</f>
        <v>4010.3958189624996</v>
      </c>
      <c r="GM32" s="311">
        <f>SUMPRODUCT(('ANALYSE - ERP =&gt; SOUS-SEGMENT'!$C$8:$C$154=$C32)*'ANALYSE - ERP =&gt; SOUS-SEGMENT'!$Q$8:$Q$154*'ANALYSE - ERP =&gt; SOUS-SEGMENT'!$GP$8:$GP$154)</f>
        <v>899.5346548</v>
      </c>
      <c r="GN32" s="311">
        <f>SUMPRODUCT(('ANALYSE - ERP =&gt; SOUS-SEGMENT'!$C$8:$C$154=$C32)*'ANALYSE - ERP =&gt; SOUS-SEGMENT'!$Q$8:$Q$154*'ANALYSE - ERP =&gt; SOUS-SEGMENT'!$GQ$8:$GQ$154)</f>
        <v>1525.1153575222222</v>
      </c>
      <c r="GO32" s="311">
        <f>SUMPRODUCT(('ANALYSE - ERP =&gt; SOUS-SEGMENT'!$C$8:$C$154=$C32)*'ANALYSE - ERP =&gt; SOUS-SEGMENT'!$Q$8:$Q$154*'ANALYSE - ERP =&gt; SOUS-SEGMENT'!$GR$8:$GR$154)</f>
        <v>1247.3332651222222</v>
      </c>
      <c r="GP32" s="311">
        <f>SUMPRODUCT(('ANALYSE - ERP =&gt; SOUS-SEGMENT'!$C$8:$C$154=$C32)*'ANALYSE - ERP =&gt; SOUS-SEGMENT'!$Q$8:$Q$154*'ANALYSE - ERP =&gt; SOUS-SEGMENT'!$GS$8:$GS$154)</f>
        <v>277.78209240000001</v>
      </c>
      <c r="GQ32" s="311">
        <f>SUMPRODUCT(('ANALYSE - ERP =&gt; SOUS-SEGMENT'!$C$8:$C$154=$C32)*'ANALYSE - ERP =&gt; SOUS-SEGMENT'!$Q$8:$Q$154*'ANALYSE - ERP =&gt; SOUS-SEGMENT'!$GT$8:$GT$154)</f>
        <v>814.57468364999988</v>
      </c>
      <c r="GR32" s="311">
        <f>SUMPRODUCT(('ANALYSE - ERP =&gt; SOUS-SEGMENT'!$C$8:$C$154=$C32)*'ANALYSE - ERP =&gt; SOUS-SEGMENT'!$Q$8:$Q$154*'ANALYSE - ERP =&gt; SOUS-SEGMENT'!$GU$8:$GU$154)</f>
        <v>699.37276364999991</v>
      </c>
      <c r="GS32" s="311">
        <f>SUMPRODUCT(('ANALYSE - ERP =&gt; SOUS-SEGMENT'!$C$8:$C$154=$C32)*'ANALYSE - ERP =&gt; SOUS-SEGMENT'!$Q$8:$Q$154*'ANALYSE - ERP =&gt; SOUS-SEGMENT'!$GV$8:$GV$154)</f>
        <v>115.20191999999999</v>
      </c>
      <c r="GT32" s="311">
        <f>SUMPRODUCT(('ANALYSE - ERP =&gt; SOUS-SEGMENT'!$C$8:$C$154=$C32)*'ANALYSE - ERP =&gt; SOUS-SEGMENT'!$Q$8:$Q$154*'ANALYSE - ERP =&gt; SOUS-SEGMENT'!$GW$8:$GW$154)</f>
        <v>3759.1837834000007</v>
      </c>
      <c r="GU32" s="311">
        <f>SUMPRODUCT(('ANALYSE - ERP =&gt; SOUS-SEGMENT'!$C$8:$C$154=$C32)*'ANALYSE - ERP =&gt; SOUS-SEGMENT'!$Q$8:$Q$154*'ANALYSE - ERP =&gt; SOUS-SEGMENT'!$GX$8:$GX$154)</f>
        <v>3140.4533490000003</v>
      </c>
      <c r="GV32" s="311">
        <f>SUMPRODUCT(('ANALYSE - ERP =&gt; SOUS-SEGMENT'!$C$8:$C$154=$C32)*'ANALYSE - ERP =&gt; SOUS-SEGMENT'!$Q$8:$Q$154*'ANALYSE - ERP =&gt; SOUS-SEGMENT'!$GY$8:$GY$154)</f>
        <v>618.73043439999992</v>
      </c>
      <c r="GW32" s="311">
        <f>SUMPRODUCT(('ANALYSE - ERP =&gt; SOUS-SEGMENT'!$C$8:$C$154=$C32)*'ANALYSE - ERP =&gt; SOUS-SEGMENT'!$Q$8:$Q$154*'ANALYSE - ERP =&gt; SOUS-SEGMENT'!$GZ$8:$GZ$154)</f>
        <v>374.55124481428572</v>
      </c>
      <c r="GX32" s="311">
        <f>SUMPRODUCT(('ANALYSE - ERP =&gt; SOUS-SEGMENT'!$C$8:$C$154=$C32)*'ANALYSE - ERP =&gt; SOUS-SEGMENT'!$Q$8:$Q$154*'ANALYSE - ERP =&gt; SOUS-SEGMENT'!$HA$8:$HA$154)</f>
        <v>309.46307921428576</v>
      </c>
      <c r="GY32" s="311">
        <f>SUMPRODUCT(('ANALYSE - ERP =&gt; SOUS-SEGMENT'!$C$8:$C$154=$C32)*'ANALYSE - ERP =&gt; SOUS-SEGMENT'!$Q$8:$Q$154*'ANALYSE - ERP =&gt; SOUS-SEGMENT'!$HB$8:$HB$154)</f>
        <v>65.088165599999996</v>
      </c>
      <c r="GZ32" s="311">
        <f>SUMPRODUCT(('ANALYSE - ERP =&gt; SOUS-SEGMENT'!$C$8:$C$154=$C32)*'ANALYSE - ERP =&gt; SOUS-SEGMENT'!$Q$8:$Q$154*'ANALYSE - ERP =&gt; SOUS-SEGMENT'!$HC$8:$HC$154)</f>
        <v>443.74904147500007</v>
      </c>
      <c r="HA32" s="311">
        <f>SUMPRODUCT(('ANALYSE - ERP =&gt; SOUS-SEGMENT'!$C$8:$C$154=$C32)*'ANALYSE - ERP =&gt; SOUS-SEGMENT'!$Q$8:$Q$154*'ANALYSE - ERP =&gt; SOUS-SEGMENT'!$HD$8:$HD$154)</f>
        <v>389.50809187500005</v>
      </c>
      <c r="HB32" s="311">
        <f>SUMPRODUCT(('ANALYSE - ERP =&gt; SOUS-SEGMENT'!$C$8:$C$154=$C32)*'ANALYSE - ERP =&gt; SOUS-SEGMENT'!$Q$8:$Q$154*'ANALYSE - ERP =&gt; SOUS-SEGMENT'!$HE$8:$HE$154)</f>
        <v>54.240949599999993</v>
      </c>
      <c r="HC32" s="311">
        <f>SUMPRODUCT(('ANALYSE - ERP =&gt; SOUS-SEGMENT'!$C$8:$C$154=$C32)*'ANALYSE - ERP =&gt; SOUS-SEGMENT'!$Q$8:$Q$154*'ANALYSE - ERP =&gt; SOUS-SEGMENT'!$HF$8:$HF$154)</f>
        <v>2743.7641613181818</v>
      </c>
      <c r="HD32" s="311">
        <f>SUMPRODUCT(('ANALYSE - ERP =&gt; SOUS-SEGMENT'!$C$8:$C$154=$C32)*'ANALYSE - ERP =&gt; SOUS-SEGMENT'!$Q$8:$Q$154*'ANALYSE - ERP =&gt; SOUS-SEGMENT'!$HG$8:$HG$154)</f>
        <v>2192.7690338181819</v>
      </c>
      <c r="HE32" s="311">
        <f>SUMPRODUCT(('ANALYSE - ERP =&gt; SOUS-SEGMENT'!$C$8:$C$154=$C32)*'ANALYSE - ERP =&gt; SOUS-SEGMENT'!$Q$8:$Q$154*'ANALYSE - ERP =&gt; SOUS-SEGMENT'!$HH$8:$HH$154)</f>
        <v>550.99512749999997</v>
      </c>
      <c r="HF32" s="311">
        <f>SUMPRODUCT(('ANALYSE - ERP =&gt; SOUS-SEGMENT'!$C$8:$C$154=$C32)*'ANALYSE - ERP =&gt; SOUS-SEGMENT'!$Q$8:$Q$154*'ANALYSE - ERP =&gt; SOUS-SEGMENT'!$HI$8:$HI$154)</f>
        <v>959.19033023571433</v>
      </c>
      <c r="HG32" s="311">
        <f>SUMPRODUCT(('ANALYSE - ERP =&gt; SOUS-SEGMENT'!$C$8:$C$154=$C32)*'ANALYSE - ERP =&gt; SOUS-SEGMENT'!$Q$8:$Q$154*'ANALYSE - ERP =&gt; SOUS-SEGMENT'!$HJ$8:$HJ$154)</f>
        <v>791.62236623571437</v>
      </c>
      <c r="HH32" s="311">
        <f>SUMPRODUCT(('ANALYSE - ERP =&gt; SOUS-SEGMENT'!$C$8:$C$154=$C32)*'ANALYSE - ERP =&gt; SOUS-SEGMENT'!$Q$8:$Q$154*'ANALYSE - ERP =&gt; SOUS-SEGMENT'!$HK$8:$HK$154)</f>
        <v>167.56796399999999</v>
      </c>
      <c r="HI32" s="311">
        <f>SUMPRODUCT(('ANALYSE - ERP =&gt; SOUS-SEGMENT'!$C$8:$C$154=$C32)*'ANALYSE - ERP =&gt; SOUS-SEGMENT'!$Q$8:$Q$154*'ANALYSE - ERP =&gt; SOUS-SEGMENT'!$HL$8:$HL$154)</f>
        <v>1452.7890774111111</v>
      </c>
      <c r="HJ32" s="311">
        <f>SUMPRODUCT(('ANALYSE - ERP =&gt; SOUS-SEGMENT'!$C$8:$C$154=$C32)*'ANALYSE - ERP =&gt; SOUS-SEGMENT'!$Q$8:$Q$154*'ANALYSE - ERP =&gt; SOUS-SEGMENT'!$HM$8:$HM$154)</f>
        <v>1189.3925085111111</v>
      </c>
      <c r="HK32" s="311">
        <f>SUMPRODUCT(('ANALYSE - ERP =&gt; SOUS-SEGMENT'!$C$8:$C$154=$C32)*'ANALYSE - ERP =&gt; SOUS-SEGMENT'!$Q$8:$Q$154*'ANALYSE - ERP =&gt; SOUS-SEGMENT'!$HN$8:$HN$154)</f>
        <v>263.39656889999998</v>
      </c>
      <c r="HL32" s="311">
        <f>SUMPRODUCT(('ANALYSE - ERP =&gt; SOUS-SEGMENT'!$C$8:$C$154=$C32)*'ANALYSE - ERP =&gt; SOUS-SEGMENT'!$Q$8:$Q$154*'ANALYSE - ERP =&gt; SOUS-SEGMENT'!$HO$8:$HO$154)</f>
        <v>6072.9187841666653</v>
      </c>
      <c r="HM32" s="311">
        <f>SUMPRODUCT(('ANALYSE - ERP =&gt; SOUS-SEGMENT'!$C$8:$C$154=$C32)*'ANALYSE - ERP =&gt; SOUS-SEGMENT'!$Q$8:$Q$154*'ANALYSE - ERP =&gt; SOUS-SEGMENT'!$HP$8:$HP$154)</f>
        <v>5331.1145271666664</v>
      </c>
      <c r="HN32" s="311">
        <f>SUMPRODUCT(('ANALYSE - ERP =&gt; SOUS-SEGMENT'!$C$8:$C$154=$C32)*'ANALYSE - ERP =&gt; SOUS-SEGMENT'!$Q$8:$Q$154*'ANALYSE - ERP =&gt; SOUS-SEGMENT'!$HQ$8:$HQ$154)</f>
        <v>741.80425700000001</v>
      </c>
      <c r="HO32" s="311">
        <f>SUMPRODUCT(('ANALYSE - ERP =&gt; SOUS-SEGMENT'!$C$8:$C$154=$C32)*'ANALYSE - ERP =&gt; SOUS-SEGMENT'!$Q$8:$Q$154*'ANALYSE - ERP =&gt; SOUS-SEGMENT'!$HR$8:$HR$154)</f>
        <v>11839.580432708335</v>
      </c>
      <c r="HP32" s="311">
        <f>SUMPRODUCT(('ANALYSE - ERP =&gt; SOUS-SEGMENT'!$C$8:$C$154=$C32)*'ANALYSE - ERP =&gt; SOUS-SEGMENT'!$Q$8:$Q$154*'ANALYSE - ERP =&gt; SOUS-SEGMENT'!$HS$8:$HS$154)</f>
        <v>9089.7468417083346</v>
      </c>
      <c r="HQ32" s="311">
        <f>SUMPRODUCT(('ANALYSE - ERP =&gt; SOUS-SEGMENT'!$C$8:$C$154=$C32)*'ANALYSE - ERP =&gt; SOUS-SEGMENT'!$Q$8:$Q$154*'ANALYSE - ERP =&gt; SOUS-SEGMENT'!$HT$8:$HT$154)</f>
        <v>2749.8335910000001</v>
      </c>
      <c r="HR32" s="311">
        <f>SUMPRODUCT(('ANALYSE - ERP =&gt; SOUS-SEGMENT'!$C$8:$C$154=$C32)*'ANALYSE - ERP =&gt; SOUS-SEGMENT'!$Q$8:$Q$154*'ANALYSE - ERP =&gt; SOUS-SEGMENT'!$HU$8:$HU$154)</f>
        <v>7423.7709436666682</v>
      </c>
      <c r="HS32" s="311">
        <f>SUMPRODUCT(('ANALYSE - ERP =&gt; SOUS-SEGMENT'!$C$8:$C$154=$C32)*'ANALYSE - ERP =&gt; SOUS-SEGMENT'!$Q$8:$Q$154*'ANALYSE - ERP =&gt; SOUS-SEGMENT'!$HV$8:$HV$154)</f>
        <v>5819.8005316666668</v>
      </c>
      <c r="HT32" s="311">
        <f>SUMPRODUCT(('ANALYSE - ERP =&gt; SOUS-SEGMENT'!$C$8:$C$154=$C32)*'ANALYSE - ERP =&gt; SOUS-SEGMENT'!$Q$8:$Q$154*'ANALYSE - ERP =&gt; SOUS-SEGMENT'!$HW$8:$HW$154)</f>
        <v>1603.9704120000001</v>
      </c>
      <c r="HV32" s="313">
        <f t="shared" si="40"/>
        <v>0</v>
      </c>
      <c r="HW32" s="313">
        <f>SUMPRODUCT(('ANALYSE - ERP =&gt; SOUS-SEGMENT'!$C$8:$C$154=$C32)*'ANALYSE - ERP =&gt; SOUS-SEGMENT'!$Q$8:$Q$154*'ANALYSE - ERP =&gt; SOUS-SEGMENT'!$HZ$8:$HZ$154)</f>
        <v>6008.1876000000011</v>
      </c>
      <c r="HX32" s="313">
        <f>SUMPRODUCT(('ANALYSE - ERP =&gt; SOUS-SEGMENT'!$C$8:$C$154=$C32)*'ANALYSE - ERP =&gt; SOUS-SEGMENT'!$Q$8:$Q$154*'ANALYSE - ERP =&gt; SOUS-SEGMENT'!$IA$8:$IA$154)</f>
        <v>53147.387399999992</v>
      </c>
      <c r="HY32" s="313">
        <f>SUMPRODUCT(('ANALYSE - ERP =&gt; SOUS-SEGMENT'!$C$8:$C$154=$C32)*'ANALYSE - ERP =&gt; SOUS-SEGMENT'!$Q$8:$Q$154*'ANALYSE - ERP =&gt; SOUS-SEGMENT'!$IB$8:$IB$154)</f>
        <v>48894.120699999999</v>
      </c>
      <c r="HZ32" s="313">
        <f>SUMPRODUCT(('ANALYSE - ERP =&gt; SOUS-SEGMENT'!$C$8:$C$154=$C32)*'ANALYSE - ERP =&gt; SOUS-SEGMENT'!$Q$8:$Q$154*'ANALYSE - ERP =&gt; SOUS-SEGMENT'!$IC$8:$IC$154)</f>
        <v>13629.250700000001</v>
      </c>
      <c r="IA32" s="313">
        <f>SUMPRODUCT(('ANALYSE - ERP =&gt; SOUS-SEGMENT'!$C$8:$C$154=$C32)*'ANALYSE - ERP =&gt; SOUS-SEGMENT'!$Q$8:$Q$154*'ANALYSE - ERP =&gt; SOUS-SEGMENT'!$ID$8:$ID$154)</f>
        <v>2535.5536000000002</v>
      </c>
      <c r="IB32" s="313">
        <f>SUMPRODUCT(('ANALYSE - ERP =&gt; SOUS-SEGMENT'!$C$8:$C$154=$C32)*'ANALYSE - ERP =&gt; SOUS-SEGMENT'!$Q$8:$Q$154*'ANALYSE - ERP =&gt; SOUS-SEGMENT'!$IE$8:$IE$154)</f>
        <v>50847.02886522765</v>
      </c>
      <c r="IC32" s="313">
        <f>SUMPRODUCT(('ANALYSE - ERP =&gt; SOUS-SEGMENT'!$C$8:$C$154=$C32)*'ANALYSE - ERP =&gt; SOUS-SEGMENT'!$Q$8:$Q$154*'ANALYSE - ERP =&gt; SOUS-SEGMENT'!$IF$8:$IF$154)</f>
        <v>1303.5186951688211</v>
      </c>
      <c r="ID32" s="313">
        <f>SUMPRODUCT(('ANALYSE - ERP =&gt; SOUS-SEGMENT'!$C$8:$C$154=$C32)*'ANALYSE - ERP =&gt; SOUS-SEGMENT'!$Q$8:$Q$154*'ANALYSE - ERP =&gt; SOUS-SEGMENT'!$IG$8:$IG$154)</f>
        <v>19335.544643635778</v>
      </c>
      <c r="IE32" s="313">
        <f>SUMPRODUCT(('ANALYSE - ERP =&gt; SOUS-SEGMENT'!$C$8:$C$154=$C32)*'ANALYSE - ERP =&gt; SOUS-SEGMENT'!$Q$8:$Q$154*'ANALYSE - ERP =&gt; SOUS-SEGMENT'!$IH$8:$IH$154)</f>
        <v>20730.088730696709</v>
      </c>
      <c r="IF32" s="313">
        <f>SUMPRODUCT(('ANALYSE - ERP =&gt; SOUS-SEGMENT'!$C$8:$C$154=$C32)*'ANALYSE - ERP =&gt; SOUS-SEGMENT'!$Q$8:$Q$154*'ANALYSE - ERP =&gt; SOUS-SEGMENT'!$II$8:$II$154)</f>
        <v>7490.453547229974</v>
      </c>
      <c r="IG32" s="313">
        <f>SUMPRODUCT(('ANALYSE - ERP =&gt; SOUS-SEGMENT'!$C$8:$C$154=$C32)*'ANALYSE - ERP =&gt; SOUS-SEGMENT'!$Q$8:$Q$154*'ANALYSE - ERP =&gt; SOUS-SEGMENT'!$IJ$8:$IJ$154)</f>
        <v>1987.423248496367</v>
      </c>
      <c r="IH32" s="866"/>
      <c r="II32" s="314" t="s">
        <v>2589</v>
      </c>
      <c r="IJ32" s="299" t="s">
        <v>6760</v>
      </c>
      <c r="IK32" s="657"/>
      <c r="IL32" s="747">
        <f>IFERROR(SUMPRODUCT(('ANALYSE - ERP =&gt; SOUS-SEGMENT'!$C$8:$C$154=$C32)*'ANALYSE - ERP =&gt; SOUS-SEGMENT'!$Q$8:$Q$154*'ANALYSE - ERP =&gt; SOUS-SEGMENT'!$BE$8:$BE$154*'ANALYSE - ERP =&gt; SOUS-SEGMENT'!$IO$8:$IO$154)/SUMPRODUCT(('ANALYSE - ERP =&gt; SOUS-SEGMENT'!$C$8:$C$154=$C32)*'ANALYSE - ERP =&gt; SOUS-SEGMENT'!$Q$8:$Q$154*'ANALYSE - ERP =&gt; SOUS-SEGMENT'!$BE$8:$BE$154),0)</f>
        <v>3.8006191131720046E-2</v>
      </c>
      <c r="IM32" s="748">
        <f>IFERROR(SUMPRODUCT(('ANALYSE - ERP =&gt; SOUS-SEGMENT'!$C$8:$C$154=$C32)*'ANALYSE - ERP =&gt; SOUS-SEGMENT'!$Q$8:$Q$154*'ANALYSE - ERP =&gt; SOUS-SEGMENT'!$BE$8:$BE$154*'ANALYSE - ERP =&gt; SOUS-SEGMENT'!$IP$8:$IP$154)/SUMPRODUCT(('ANALYSE - ERP =&gt; SOUS-SEGMENT'!$C$8:$C$154=$C32)*'ANALYSE - ERP =&gt; SOUS-SEGMENT'!$Q$8:$Q$154*'ANALYSE - ERP =&gt; SOUS-SEGMENT'!$BE$8:$BE$154),0)</f>
        <v>0.4030289957977104</v>
      </c>
      <c r="IN32" s="748">
        <f>IFERROR(SUMPRODUCT(('ANALYSE - ERP =&gt; SOUS-SEGMENT'!$C$8:$C$154=$C32)*'ANALYSE - ERP =&gt; SOUS-SEGMENT'!$Q$8:$Q$154*'ANALYSE - ERP =&gt; SOUS-SEGMENT'!$BE$8:$BE$154*'ANALYSE - ERP =&gt; SOUS-SEGMENT'!$IQ$8:$IQ$154)/SUMPRODUCT(('ANALYSE - ERP =&gt; SOUS-SEGMENT'!$C$8:$C$154=$C32)*'ANALYSE - ERP =&gt; SOUS-SEGMENT'!$Q$8:$Q$154*'ANALYSE - ERP =&gt; SOUS-SEGMENT'!$BE$8:$BE$154),0)</f>
        <v>0.40895081147659756</v>
      </c>
      <c r="IO32" s="748">
        <f>IFERROR(SUMPRODUCT(('ANALYSE - ERP =&gt; SOUS-SEGMENT'!$C$8:$C$154=$C32)*'ANALYSE - ERP =&gt; SOUS-SEGMENT'!$Q$8:$Q$154*'ANALYSE - ERP =&gt; SOUS-SEGMENT'!$BE$8:$BE$154*'ANALYSE - ERP =&gt; SOUS-SEGMENT'!$IR$8:$IR$154)/SUMPRODUCT(('ANALYSE - ERP =&gt; SOUS-SEGMENT'!$C$8:$C$154=$C32)*'ANALYSE - ERP =&gt; SOUS-SEGMENT'!$Q$8:$Q$154*'ANALYSE - ERP =&gt; SOUS-SEGMENT'!$BE$8:$BE$154),0)</f>
        <v>0.12344761266483119</v>
      </c>
      <c r="IP32" s="749">
        <f>IFERROR(SUMPRODUCT(('ANALYSE - ERP =&gt; SOUS-SEGMENT'!$C$8:$C$154=$C32)*'ANALYSE - ERP =&gt; SOUS-SEGMENT'!$Q$8:$Q$154*'ANALYSE - ERP =&gt; SOUS-SEGMENT'!$BE$8:$BE$154*'ANALYSE - ERP =&gt; SOUS-SEGMENT'!$IS$8:$IS$154)/SUMPRODUCT(('ANALYSE - ERP =&gt; SOUS-SEGMENT'!$C$8:$C$154=$C32)*'ANALYSE - ERP =&gt; SOUS-SEGMENT'!$Q$8:$Q$154*'ANALYSE - ERP =&gt; SOUS-SEGMENT'!$BE$8:$BE$154),0)</f>
        <v>2.6566388929140702E-2</v>
      </c>
      <c r="IQ32" s="748">
        <f>IFERROR(SUMPRODUCT(('ANALYSE - ERP =&gt; SOUS-SEGMENT'!$C$8:$C$154=$C32)*'ANALYSE - ERP =&gt; SOUS-SEGMENT'!$Q$8:$Q$154*'ANALYSE - ERP =&gt; SOUS-SEGMENT'!$FB$8:$FB$154*'ANALYSE - ERP =&gt; SOUS-SEGMENT'!$IT$8:$IT$154)/SUMPRODUCT(('ANALYSE - ERP =&gt; SOUS-SEGMENT'!$C$8:$C$154=$C32)*'ANALYSE - ERP =&gt; SOUS-SEGMENT'!$Q$8:$Q$154*'ANALYSE - ERP =&gt; SOUS-SEGMENT'!$FB$8:$FB$154),0)</f>
        <v>1.7447820443446387E-2</v>
      </c>
      <c r="IR32" s="748">
        <f>IFERROR(SUMPRODUCT(('ANALYSE - ERP =&gt; SOUS-SEGMENT'!$C$8:$C$154=$C32)*'ANALYSE - ERP =&gt; SOUS-SEGMENT'!$Q$8:$Q$154*'ANALYSE - ERP =&gt; SOUS-SEGMENT'!$FB$8:$FB$154*'ANALYSE - ERP =&gt; SOUS-SEGMENT'!$IU$8:$IU$154)/SUMPRODUCT(('ANALYSE - ERP =&gt; SOUS-SEGMENT'!$C$8:$C$154=$C32)*'ANALYSE - ERP =&gt; SOUS-SEGMENT'!$Q$8:$Q$154*'ANALYSE - ERP =&gt; SOUS-SEGMENT'!$FB$8:$FB$154),0)</f>
        <v>0.34275392667535581</v>
      </c>
      <c r="IS32" s="748">
        <f>IFERROR(SUMPRODUCT(('ANALYSE - ERP =&gt; SOUS-SEGMENT'!$C$8:$C$154=$C32)*'ANALYSE - ERP =&gt; SOUS-SEGMENT'!$Q$8:$Q$154*'ANALYSE - ERP =&gt; SOUS-SEGMENT'!$FB$8:$FB$154*'ANALYSE - ERP =&gt; SOUS-SEGMENT'!$IV$8:$IV$154)/SUMPRODUCT(('ANALYSE - ERP =&gt; SOUS-SEGMENT'!$C$8:$C$154=$C32)*'ANALYSE - ERP =&gt; SOUS-SEGMENT'!$Q$8:$Q$154*'ANALYSE - ERP =&gt; SOUS-SEGMENT'!$FB$8:$FB$154),0)</f>
        <v>0.42278111925049416</v>
      </c>
      <c r="IT32" s="748">
        <f>IFERROR(SUMPRODUCT(('ANALYSE - ERP =&gt; SOUS-SEGMENT'!$C$8:$C$154=$C32)*'ANALYSE - ERP =&gt; SOUS-SEGMENT'!$Q$8:$Q$154*'ANALYSE - ERP =&gt; SOUS-SEGMENT'!$FB$8:$FB$154*'ANALYSE - ERP =&gt; SOUS-SEGMENT'!$IW$8:$IW$154)/SUMPRODUCT(('ANALYSE - ERP =&gt; SOUS-SEGMENT'!$C$8:$C$154=$C32)*'ANALYSE - ERP =&gt; SOUS-SEGMENT'!$Q$8:$Q$154*'ANALYSE - ERP =&gt; SOUS-SEGMENT'!$FB$8:$FB$154),0)</f>
        <v>0.16770858522571022</v>
      </c>
      <c r="IU32" s="748">
        <f>IFERROR(SUMPRODUCT(('ANALYSE - ERP =&gt; SOUS-SEGMENT'!$C$8:$C$154=$C32)*'ANALYSE - ERP =&gt; SOUS-SEGMENT'!$Q$8:$Q$154*'ANALYSE - ERP =&gt; SOUS-SEGMENT'!$FB$8:$FB$154*'ANALYSE - ERP =&gt; SOUS-SEGMENT'!$IX$8:$IX$154)/SUMPRODUCT(('ANALYSE - ERP =&gt; SOUS-SEGMENT'!$C$8:$C$154=$C32)*'ANALYSE - ERP =&gt; SOUS-SEGMENT'!$Q$8:$Q$154*'ANALYSE - ERP =&gt; SOUS-SEGMENT'!$FB$8:$FB$154),0)</f>
        <v>4.9308548404993317E-2</v>
      </c>
      <c r="IV32" s="771">
        <f>IFERROR(SUMPRODUCT(('ANALYSE - ERP =&gt; SOUS-SEGMENT'!$C$8:$C$154=$C32)*'ANALYSE - ERP =&gt; SOUS-SEGMENT'!$Q$8:$Q$154*'ANALYSE - ERP =&gt; SOUS-SEGMENT'!$BF$8:$BF$154*'ANALYSE - ERP =&gt; SOUS-SEGMENT'!$IY$8:$IY$154)/SUMPRODUCT(('ANALYSE - ERP =&gt; SOUS-SEGMENT'!$C$8:$C$154=$C32)*'ANALYSE - ERP =&gt; SOUS-SEGMENT'!$Q$8:$Q$154*'ANALYSE - ERP =&gt; SOUS-SEGMENT'!$BF$8:$BF$154),0)</f>
        <v>4.2646262341325805E-2</v>
      </c>
      <c r="IW32" s="748">
        <f>IFERROR(SUMPRODUCT(('ANALYSE - ERP =&gt; SOUS-SEGMENT'!$C$8:$C$154=$C32)*'ANALYSE - ERP =&gt; SOUS-SEGMENT'!$Q$8:$Q$154*'ANALYSE - ERP =&gt; SOUS-SEGMENT'!$BF$8:$BF$154*'ANALYSE - ERP =&gt; SOUS-SEGMENT'!$IZ$8:$IZ$154)/SUMPRODUCT(('ANALYSE - ERP =&gt; SOUS-SEGMENT'!$C$8:$C$154=$C32)*'ANALYSE - ERP =&gt; SOUS-SEGMENT'!$Q$8:$Q$154*'ANALYSE - ERP =&gt; SOUS-SEGMENT'!$BF$8:$BF$154),0)</f>
        <v>0.42252931358721202</v>
      </c>
      <c r="IX32" s="748">
        <f>IFERROR(SUMPRODUCT(('ANALYSE - ERP =&gt; SOUS-SEGMENT'!$C$8:$C$154=$C32)*'ANALYSE - ERP =&gt; SOUS-SEGMENT'!$Q$8:$Q$154*'ANALYSE - ERP =&gt; SOUS-SEGMENT'!$BF$8:$BF$154*'ANALYSE - ERP =&gt; SOUS-SEGMENT'!$JA$8:$JA$154)/SUMPRODUCT(('ANALYSE - ERP =&gt; SOUS-SEGMENT'!$C$8:$C$154=$C32)*'ANALYSE - ERP =&gt; SOUS-SEGMENT'!$Q$8:$Q$154*'ANALYSE - ERP =&gt; SOUS-SEGMENT'!$BF$8:$BF$154),0)</f>
        <v>0.41239724964739066</v>
      </c>
      <c r="IY32" s="748">
        <f>IFERROR(SUMPRODUCT(('ANALYSE - ERP =&gt; SOUS-SEGMENT'!$C$8:$C$154=$C32)*'ANALYSE - ERP =&gt; SOUS-SEGMENT'!$Q$8:$Q$154*'ANALYSE - ERP =&gt; SOUS-SEGMENT'!$BF$8:$BF$154*'ANALYSE - ERP =&gt; SOUS-SEGMENT'!$JB$8:$JB$154)/SUMPRODUCT(('ANALYSE - ERP =&gt; SOUS-SEGMENT'!$C$8:$C$154=$C32)*'ANALYSE - ERP =&gt; SOUS-SEGMENT'!$Q$8:$Q$154*'ANALYSE - ERP =&gt; SOUS-SEGMENT'!$BF$8:$BF$154),0)</f>
        <v>0.10638323930418429</v>
      </c>
      <c r="IZ32" s="749">
        <f>IFERROR(SUMPRODUCT(('ANALYSE - ERP =&gt; SOUS-SEGMENT'!$C$8:$C$154=$C32)*'ANALYSE - ERP =&gt; SOUS-SEGMENT'!$Q$8:$Q$154*'ANALYSE - ERP =&gt; SOUS-SEGMENT'!$BF$8:$BF$154*'ANALYSE - ERP =&gt; SOUS-SEGMENT'!$JC$8:$JC$154)/SUMPRODUCT(('ANALYSE - ERP =&gt; SOUS-SEGMENT'!$C$8:$C$154=$C32)*'ANALYSE - ERP =&gt; SOUS-SEGMENT'!$Q$8:$Q$154*'ANALYSE - ERP =&gt; SOUS-SEGMENT'!$BF$8:$BF$154),0)</f>
        <v>1.6043935119887165E-2</v>
      </c>
      <c r="JA32" s="748">
        <f>IFERROR(SUMPRODUCT(('ANALYSE - ERP =&gt; SOUS-SEGMENT'!$C$8:$C$154=$C32)*'ANALYSE - ERP =&gt; SOUS-SEGMENT'!$Q$8:$Q$154*'ANALYSE - ERP =&gt; SOUS-SEGMENT'!$FE$8:$FE$154*'ANALYSE - ERP =&gt; SOUS-SEGMENT'!$JD$8:$JD$154)/SUMPRODUCT(('ANALYSE - ERP =&gt; SOUS-SEGMENT'!$C$8:$C$154=$C32)*'ANALYSE - ERP =&gt; SOUS-SEGMENT'!$Q$8:$Q$154*'ANALYSE - ERP =&gt; SOUS-SEGMENT'!$FE$8:$FE$154),0)</f>
        <v>2.5631012975294531E-2</v>
      </c>
      <c r="JB32" s="748">
        <f>IFERROR(SUMPRODUCT(('ANALYSE - ERP =&gt; SOUS-SEGMENT'!$C$8:$C$154=$C32)*'ANALYSE - ERP =&gt; SOUS-SEGMENT'!$Q$8:$Q$154*'ANALYSE - ERP =&gt; SOUS-SEGMENT'!$FE$8:$FE$154*'ANALYSE - ERP =&gt; SOUS-SEGMENT'!$JE$8:$JE$154)/SUMPRODUCT(('ANALYSE - ERP =&gt; SOUS-SEGMENT'!$C$8:$C$154=$C32)*'ANALYSE - ERP =&gt; SOUS-SEGMENT'!$Q$8:$Q$154*'ANALYSE - ERP =&gt; SOUS-SEGMENT'!$FE$8:$FE$154),0)</f>
        <v>0.39747750277520821</v>
      </c>
      <c r="JC32" s="748">
        <f>IFERROR(SUMPRODUCT(('ANALYSE - ERP =&gt; SOUS-SEGMENT'!$C$8:$C$154=$C32)*'ANALYSE - ERP =&gt; SOUS-SEGMENT'!$Q$8:$Q$154*'ANALYSE - ERP =&gt; SOUS-SEGMENT'!$FE$8:$FE$154*'ANALYSE - ERP =&gt; SOUS-SEGMENT'!$JF$8:$JF$154)/SUMPRODUCT(('ANALYSE - ERP =&gt; SOUS-SEGMENT'!$C$8:$C$154=$C32)*'ANALYSE - ERP =&gt; SOUS-SEGMENT'!$Q$8:$Q$154*'ANALYSE - ERP =&gt; SOUS-SEGMENT'!$FE$8:$FE$154),0)</f>
        <v>0.4109587468652634</v>
      </c>
      <c r="JD32" s="748">
        <f>IFERROR(SUMPRODUCT(('ANALYSE - ERP =&gt; SOUS-SEGMENT'!$C$8:$C$154=$C32)*'ANALYSE - ERP =&gt; SOUS-SEGMENT'!$Q$8:$Q$154*'ANALYSE - ERP =&gt; SOUS-SEGMENT'!$FE$8:$FE$154*'ANALYSE - ERP =&gt; SOUS-SEGMENT'!$JG$8:$JG$154)/SUMPRODUCT(('ANALYSE - ERP =&gt; SOUS-SEGMENT'!$C$8:$C$154=$C32)*'ANALYSE - ERP =&gt; SOUS-SEGMENT'!$Q$8:$Q$154*'ANALYSE - ERP =&gt; SOUS-SEGMENT'!$FE$8:$FE$154),0)</f>
        <v>0.13423311840067628</v>
      </c>
      <c r="JE32" s="748">
        <f>IFERROR(SUMPRODUCT(('ANALYSE - ERP =&gt; SOUS-SEGMENT'!$C$8:$C$154=$C32)*'ANALYSE - ERP =&gt; SOUS-SEGMENT'!$Q$8:$Q$154*'ANALYSE - ERP =&gt; SOUS-SEGMENT'!$FE$8:$FE$154*'ANALYSE - ERP =&gt; SOUS-SEGMENT'!$JH$8:$JH$154)/SUMPRODUCT(('ANALYSE - ERP =&gt; SOUS-SEGMENT'!$C$8:$C$154=$C32)*'ANALYSE - ERP =&gt; SOUS-SEGMENT'!$Q$8:$Q$154*'ANALYSE - ERP =&gt; SOUS-SEGMENT'!$FE$8:$FE$154),0)</f>
        <v>3.1699618983557762E-2</v>
      </c>
      <c r="JF32" s="771">
        <f>IFERROR(SUMPRODUCT(('ANALYSE - ERP =&gt; SOUS-SEGMENT'!$C$8:$C$154=$C32)*'ANALYSE - ERP =&gt; SOUS-SEGMENT'!$Q$8:$Q$154*'ANALYSE - ERP =&gt; SOUS-SEGMENT'!$BG$8:$BG$154*'ANALYSE - ERP =&gt; SOUS-SEGMENT'!$JI$8:$JI$154)/SUMPRODUCT(('ANALYSE - ERP =&gt; SOUS-SEGMENT'!$C$8:$C$154=$C32)*'ANALYSE - ERP =&gt; SOUS-SEGMENT'!$Q$8:$Q$154*'ANALYSE - ERP =&gt; SOUS-SEGMENT'!$BG$8:$BG$154),0)</f>
        <v>9.170875584929325E-2</v>
      </c>
      <c r="JG32" s="748">
        <f>IFERROR(SUMPRODUCT(('ANALYSE - ERP =&gt; SOUS-SEGMENT'!$C$8:$C$154=$C32)*'ANALYSE - ERP =&gt; SOUS-SEGMENT'!$Q$8:$Q$154*'ANALYSE - ERP =&gt; SOUS-SEGMENT'!$BG$8:$BG$154*'ANALYSE - ERP =&gt; SOUS-SEGMENT'!$JJ$8:$JJ$154)/SUMPRODUCT(('ANALYSE - ERP =&gt; SOUS-SEGMENT'!$C$8:$C$154=$C32)*'ANALYSE - ERP =&gt; SOUS-SEGMENT'!$Q$8:$Q$154*'ANALYSE - ERP =&gt; SOUS-SEGMENT'!$BG$8:$BG$154),0)</f>
        <v>0.52490169327994596</v>
      </c>
      <c r="JH32" s="748">
        <f>IFERROR(SUMPRODUCT(('ANALYSE - ERP =&gt; SOUS-SEGMENT'!$C$8:$C$154=$C32)*'ANALYSE - ERP =&gt; SOUS-SEGMENT'!$Q$8:$Q$154*'ANALYSE - ERP =&gt; SOUS-SEGMENT'!$BG$8:$BG$154*'ANALYSE - ERP =&gt; SOUS-SEGMENT'!$JK$8:$JK$154)/SUMPRODUCT(('ANALYSE - ERP =&gt; SOUS-SEGMENT'!$C$8:$C$154=$C32)*'ANALYSE - ERP =&gt; SOUS-SEGMENT'!$Q$8:$Q$154*'ANALYSE - ERP =&gt; SOUS-SEGMENT'!$BG$8:$BG$154),0)</f>
        <v>0.30341991412996289</v>
      </c>
      <c r="JI32" s="748">
        <f>IFERROR(SUMPRODUCT(('ANALYSE - ERP =&gt; SOUS-SEGMENT'!$C$8:$C$154=$C32)*'ANALYSE - ERP =&gt; SOUS-SEGMENT'!$Q$8:$Q$154*'ANALYSE - ERP =&gt; SOUS-SEGMENT'!$BG$8:$BG$154*'ANALYSE - ERP =&gt; SOUS-SEGMENT'!$JL$8:$JL$154)/SUMPRODUCT(('ANALYSE - ERP =&gt; SOUS-SEGMENT'!$C$8:$C$154=$C32)*'ANALYSE - ERP =&gt; SOUS-SEGMENT'!$Q$8:$Q$154*'ANALYSE - ERP =&gt; SOUS-SEGMENT'!$BG$8:$BG$154),0)</f>
        <v>6.9369395532828393E-2</v>
      </c>
      <c r="JJ32" s="749">
        <f>IFERROR(SUMPRODUCT(('ANALYSE - ERP =&gt; SOUS-SEGMENT'!$C$8:$C$154=$C32)*'ANALYSE - ERP =&gt; SOUS-SEGMENT'!$Q$8:$Q$154*'ANALYSE - ERP =&gt; SOUS-SEGMENT'!$BG$8:$BG$154*'ANALYSE - ERP =&gt; SOUS-SEGMENT'!$JM$8:$JM$154)/SUMPRODUCT(('ANALYSE - ERP =&gt; SOUS-SEGMENT'!$C$8:$C$154=$C32)*'ANALYSE - ERP =&gt; SOUS-SEGMENT'!$Q$8:$Q$154*'ANALYSE - ERP =&gt; SOUS-SEGMENT'!$BG$8:$BG$154),0)</f>
        <v>1.0600241207969511E-2</v>
      </c>
      <c r="JK32" s="748">
        <f>IFERROR(SUMPRODUCT(('ANALYSE - ERP =&gt; SOUS-SEGMENT'!$C$8:$C$154=$C32)*'ANALYSE - ERP =&gt; SOUS-SEGMENT'!$Q$8:$Q$154*'ANALYSE - ERP =&gt; SOUS-SEGMENT'!$FH$8:$FH$154*'ANALYSE - ERP =&gt; SOUS-SEGMENT'!$JN$8:$JN$154)/SUMPRODUCT(('ANALYSE - ERP =&gt; SOUS-SEGMENT'!$C$8:$C$154=$C32)*'ANALYSE - ERP =&gt; SOUS-SEGMENT'!$Q$8:$Q$154*'ANALYSE - ERP =&gt; SOUS-SEGMENT'!$FH$8:$FH$154),0)</f>
        <v>5.5101846674715529E-2</v>
      </c>
      <c r="JL32" s="748">
        <f>IFERROR(SUMPRODUCT(('ANALYSE - ERP =&gt; SOUS-SEGMENT'!$C$8:$C$154=$C32)*'ANALYSE - ERP =&gt; SOUS-SEGMENT'!$Q$8:$Q$154*'ANALYSE - ERP =&gt; SOUS-SEGMENT'!$FH$8:$FH$154*'ANALYSE - ERP =&gt; SOUS-SEGMENT'!$JO$8:$JO$154)/SUMPRODUCT(('ANALYSE - ERP =&gt; SOUS-SEGMENT'!$C$8:$C$154=$C32)*'ANALYSE - ERP =&gt; SOUS-SEGMENT'!$Q$8:$Q$154*'ANALYSE - ERP =&gt; SOUS-SEGMENT'!$FH$8:$FH$154),0)</f>
        <v>0.48766342250477984</v>
      </c>
      <c r="JM32" s="748">
        <f>IFERROR(SUMPRODUCT(('ANALYSE - ERP =&gt; SOUS-SEGMENT'!$C$8:$C$154=$C32)*'ANALYSE - ERP =&gt; SOUS-SEGMENT'!$Q$8:$Q$154*'ANALYSE - ERP =&gt; SOUS-SEGMENT'!$FH$8:$FH$154*'ANALYSE - ERP =&gt; SOUS-SEGMENT'!$JP$8:$JP$154)/SUMPRODUCT(('ANALYSE - ERP =&gt; SOUS-SEGMENT'!$C$8:$C$154=$C32)*'ANALYSE - ERP =&gt; SOUS-SEGMENT'!$Q$8:$Q$154*'ANALYSE - ERP =&gt; SOUS-SEGMENT'!$FH$8:$FH$154),0)</f>
        <v>0.33037792869147675</v>
      </c>
      <c r="JN32" s="748">
        <f>IFERROR(SUMPRODUCT(('ANALYSE - ERP =&gt; SOUS-SEGMENT'!$C$8:$C$154=$C32)*'ANALYSE - ERP =&gt; SOUS-SEGMENT'!$Q$8:$Q$154*'ANALYSE - ERP =&gt; SOUS-SEGMENT'!$FH$8:$FH$154*'ANALYSE - ERP =&gt; SOUS-SEGMENT'!$JQ$8:$JQ$154)/SUMPRODUCT(('ANALYSE - ERP =&gt; SOUS-SEGMENT'!$C$8:$C$154=$C32)*'ANALYSE - ERP =&gt; SOUS-SEGMENT'!$Q$8:$Q$154*'ANALYSE - ERP =&gt; SOUS-SEGMENT'!$FH$8:$FH$154),0)</f>
        <v>0.10489217383130013</v>
      </c>
      <c r="JO32" s="748">
        <f>IFERROR(SUMPRODUCT(('ANALYSE - ERP =&gt; SOUS-SEGMENT'!$C$8:$C$154=$C32)*'ANALYSE - ERP =&gt; SOUS-SEGMENT'!$Q$8:$Q$154*'ANALYSE - ERP =&gt; SOUS-SEGMENT'!$FH$8:$FH$154*'ANALYSE - ERP =&gt; SOUS-SEGMENT'!$JR$8:$JR$154)/SUMPRODUCT(('ANALYSE - ERP =&gt; SOUS-SEGMENT'!$C$8:$C$154=$C32)*'ANALYSE - ERP =&gt; SOUS-SEGMENT'!$Q$8:$Q$154*'ANALYSE - ERP =&gt; SOUS-SEGMENT'!$FH$8:$FH$154),0)</f>
        <v>2.1964628297727783E-2</v>
      </c>
      <c r="JP32" s="771">
        <f>IFERROR(SUMPRODUCT(('ANALYSE - ERP =&gt; SOUS-SEGMENT'!$C$8:$C$154=$C32)*'ANALYSE - ERP =&gt; SOUS-SEGMENT'!$Q$8:$Q$154*'ANALYSE - ERP =&gt; SOUS-SEGMENT'!$BH$8:$BH$154*'ANALYSE - ERP =&gt; SOUS-SEGMENT'!$JS$8:$JS$154)/SUMPRODUCT(('ANALYSE - ERP =&gt; SOUS-SEGMENT'!$C$8:$C$154=$C32)*'ANALYSE - ERP =&gt; SOUS-SEGMENT'!$Q$8:$Q$154*'ANALYSE - ERP =&gt; SOUS-SEGMENT'!$BH$8:$BH$154),0)</f>
        <v>5.1793034667092196E-2</v>
      </c>
      <c r="JQ32" s="748">
        <f>IFERROR(SUMPRODUCT(('ANALYSE - ERP =&gt; SOUS-SEGMENT'!$C$8:$C$154=$C32)*'ANALYSE - ERP =&gt; SOUS-SEGMENT'!$Q$8:$Q$154*'ANALYSE - ERP =&gt; SOUS-SEGMENT'!$BH$8:$BH$154*'ANALYSE - ERP =&gt; SOUS-SEGMENT'!$JT$8:$JT$154)/SUMPRODUCT(('ANALYSE - ERP =&gt; SOUS-SEGMENT'!$C$8:$C$154=$C32)*'ANALYSE - ERP =&gt; SOUS-SEGMENT'!$Q$8:$Q$154*'ANALYSE - ERP =&gt; SOUS-SEGMENT'!$BH$8:$BH$154),0)</f>
        <v>0.43606613475884631</v>
      </c>
      <c r="JR32" s="748">
        <f>IFERROR(SUMPRODUCT(('ANALYSE - ERP =&gt; SOUS-SEGMENT'!$C$8:$C$154=$C32)*'ANALYSE - ERP =&gt; SOUS-SEGMENT'!$Q$8:$Q$154*'ANALYSE - ERP =&gt; SOUS-SEGMENT'!$BH$8:$BH$154*'ANALYSE - ERP =&gt; SOUS-SEGMENT'!$JU$8:$JU$154)/SUMPRODUCT(('ANALYSE - ERP =&gt; SOUS-SEGMENT'!$C$8:$C$154=$C32)*'ANALYSE - ERP =&gt; SOUS-SEGMENT'!$Q$8:$Q$154*'ANALYSE - ERP =&gt; SOUS-SEGMENT'!$BH$8:$BH$154),0)</f>
        <v>0.39221472054892886</v>
      </c>
      <c r="JS32" s="748">
        <f>IFERROR(SUMPRODUCT(('ANALYSE - ERP =&gt; SOUS-SEGMENT'!$C$8:$C$154=$C32)*'ANALYSE - ERP =&gt; SOUS-SEGMENT'!$Q$8:$Q$154*'ANALYSE - ERP =&gt; SOUS-SEGMENT'!$BH$8:$BH$154*'ANALYSE - ERP =&gt; SOUS-SEGMENT'!$JV$8:$JV$154)/SUMPRODUCT(('ANALYSE - ERP =&gt; SOUS-SEGMENT'!$C$8:$C$154=$C32)*'ANALYSE - ERP =&gt; SOUS-SEGMENT'!$Q$8:$Q$154*'ANALYSE - ERP =&gt; SOUS-SEGMENT'!$BH$8:$BH$154),0)</f>
        <v>0.10351991063948619</v>
      </c>
      <c r="JT32" s="749">
        <f>IFERROR(SUMPRODUCT(('ANALYSE - ERP =&gt; SOUS-SEGMENT'!$C$8:$C$154=$C32)*'ANALYSE - ERP =&gt; SOUS-SEGMENT'!$Q$8:$Q$154*'ANALYSE - ERP =&gt; SOUS-SEGMENT'!$BH$8:$BH$154*'ANALYSE - ERP =&gt; SOUS-SEGMENT'!$JW$8:$JW$154)/SUMPRODUCT(('ANALYSE - ERP =&gt; SOUS-SEGMENT'!$C$8:$C$154=$C32)*'ANALYSE - ERP =&gt; SOUS-SEGMENT'!$Q$8:$Q$154*'ANALYSE - ERP =&gt; SOUS-SEGMENT'!$BH$8:$BH$154),0)</f>
        <v>1.6406199385646466E-2</v>
      </c>
      <c r="JU32" s="771">
        <f>IFERROR(SUMPRODUCT(('ANALYSE - ERP =&gt; SOUS-SEGMENT'!$C$8:$C$154=$C32)*'ANALYSE - ERP =&gt; SOUS-SEGMENT'!$Q$8:$Q$154*'ANALYSE - ERP =&gt; SOUS-SEGMENT'!$FK$8:$FK$154*'ANALYSE - ERP =&gt; SOUS-SEGMENT'!$JX$8:$JX$154)/SUMPRODUCT(('ANALYSE - ERP =&gt; SOUS-SEGMENT'!$C$8:$C$154=$C32)*'ANALYSE - ERP =&gt; SOUS-SEGMENT'!$Q$8:$Q$154*'ANALYSE - ERP =&gt; SOUS-SEGMENT'!$FK$8:$FK$154),0)</f>
        <v>2.7851043295911884E-2</v>
      </c>
      <c r="JV32" s="748">
        <f>IFERROR(SUMPRODUCT(('ANALYSE - ERP =&gt; SOUS-SEGMENT'!$C$8:$C$154=$C32)*'ANALYSE - ERP =&gt; SOUS-SEGMENT'!$Q$8:$Q$154*'ANALYSE - ERP =&gt; SOUS-SEGMENT'!$FK$8:$FK$154*'ANALYSE - ERP =&gt; SOUS-SEGMENT'!$JY$8:$JY$154)/SUMPRODUCT(('ANALYSE - ERP =&gt; SOUS-SEGMENT'!$C$8:$C$154=$C32)*'ANALYSE - ERP =&gt; SOUS-SEGMENT'!$Q$8:$Q$154*'ANALYSE - ERP =&gt; SOUS-SEGMENT'!$FK$8:$FK$154),0)</f>
        <v>0.39310789036263422</v>
      </c>
      <c r="JW32" s="748">
        <f>IFERROR(SUMPRODUCT(('ANALYSE - ERP =&gt; SOUS-SEGMENT'!$C$8:$C$154=$C32)*'ANALYSE - ERP =&gt; SOUS-SEGMENT'!$Q$8:$Q$154*'ANALYSE - ERP =&gt; SOUS-SEGMENT'!$FK$8:$FK$154*'ANALYSE - ERP =&gt; SOUS-SEGMENT'!$JZ$8:$JZ$154)/SUMPRODUCT(('ANALYSE - ERP =&gt; SOUS-SEGMENT'!$C$8:$C$154=$C32)*'ANALYSE - ERP =&gt; SOUS-SEGMENT'!$Q$8:$Q$154*'ANALYSE - ERP =&gt; SOUS-SEGMENT'!$FK$8:$FK$154),0)</f>
        <v>0.4081394112515499</v>
      </c>
      <c r="JX32" s="748">
        <f>IFERROR(SUMPRODUCT(('ANALYSE - ERP =&gt; SOUS-SEGMENT'!$C$8:$C$154=$C32)*'ANALYSE - ERP =&gt; SOUS-SEGMENT'!$Q$8:$Q$154*'ANALYSE - ERP =&gt; SOUS-SEGMENT'!$FK$8:$FK$154*'ANALYSE - ERP =&gt; SOUS-SEGMENT'!$KA$8:$KA$154)/SUMPRODUCT(('ANALYSE - ERP =&gt; SOUS-SEGMENT'!$C$8:$C$154=$C32)*'ANALYSE - ERP =&gt; SOUS-SEGMENT'!$Q$8:$Q$154*'ANALYSE - ERP =&gt; SOUS-SEGMENT'!$FK$8:$FK$154),0)</f>
        <v>0.1374980758367037</v>
      </c>
      <c r="JY32" s="775">
        <f>IFERROR(SUMPRODUCT(('ANALYSE - ERP =&gt; SOUS-SEGMENT'!$C$8:$C$154=$C32)*'ANALYSE - ERP =&gt; SOUS-SEGMENT'!$Q$8:$Q$154*'ANALYSE - ERP =&gt; SOUS-SEGMENT'!$FK$8:$FK$154*'ANALYSE - ERP =&gt; SOUS-SEGMENT'!$KB$8:$KB$154)/SUMPRODUCT(('ANALYSE - ERP =&gt; SOUS-SEGMENT'!$C$8:$C$154=$C32)*'ANALYSE - ERP =&gt; SOUS-SEGMENT'!$Q$8:$Q$154*'ANALYSE - ERP =&gt; SOUS-SEGMENT'!$FK$8:$FK$154),0)</f>
        <v>3.3403579253200484E-2</v>
      </c>
      <c r="JZ32" s="657"/>
      <c r="KA32" s="314" t="s">
        <v>2590</v>
      </c>
      <c r="KB32" s="314" t="s">
        <v>2591</v>
      </c>
      <c r="KC32" s="866" t="str">
        <f>IFERROR(SUMPRODUCT(('ANALYSE - ERP =&gt; SOUS-SEGMENT'!$C$8:$C$154=$C33)*'ANALYSE - ERP =&gt; SOUS-SEGMENT'!$Q$8:$Q$154*'ANALYSE - ERP =&gt; SOUS-SEGMENT'!$EX$8:$EX$154*'ANALYSE - ERP =&gt; SOUS-SEGMENT'!$KF$8:$KF$154)/SUMPRODUCT(('ANALYSE - ERP =&gt; SOUS-SEGMENT'!$C$8:$C$154=$C33)*'ANALYSE - ERP =&gt; SOUS-SEGMENT'!$Q$8:$Q$154*'ANALYSE - ERP =&gt; SOUS-SEGMENT'!$EX$8:$EX$154),"")</f>
        <v/>
      </c>
      <c r="KD32" s="314" t="s">
        <v>2589</v>
      </c>
      <c r="KE32" s="315" t="s">
        <v>4731</v>
      </c>
      <c r="KF32" s="617" t="s">
        <v>6760</v>
      </c>
      <c r="KG32" s="315" t="s">
        <v>6760</v>
      </c>
    </row>
    <row r="33" spans="1:293" ht="108" customHeight="1">
      <c r="A33" s="265">
        <v>33</v>
      </c>
      <c r="B33" s="489" t="s">
        <v>2285</v>
      </c>
      <c r="C33" s="489" t="s">
        <v>7336</v>
      </c>
      <c r="D33" s="489" t="s">
        <v>7337</v>
      </c>
      <c r="E33" s="267" t="s">
        <v>4747</v>
      </c>
      <c r="F33" s="267" t="s">
        <v>3009</v>
      </c>
      <c r="G33" s="267" t="s">
        <v>300</v>
      </c>
      <c r="H33" s="267" t="s">
        <v>2109</v>
      </c>
      <c r="I33" s="268" t="s">
        <v>7338</v>
      </c>
      <c r="J33" s="268" t="s">
        <v>7339</v>
      </c>
      <c r="K33" s="269" t="s">
        <v>2097</v>
      </c>
      <c r="L33" s="269" t="s">
        <v>2109</v>
      </c>
      <c r="M33" s="269" t="s">
        <v>2603</v>
      </c>
      <c r="N33" s="269" t="s">
        <v>6742</v>
      </c>
      <c r="O33" s="269" t="s">
        <v>2212</v>
      </c>
      <c r="P33" s="268"/>
      <c r="Q33" s="270">
        <f>IF(SUMPRODUCT(('ANALYSE - ERP =&gt; SOUS-SEGMENT'!$C$8:$C$154=$C33)*'ANALYSE - ERP =&gt; SOUS-SEGMENT'!$Q$8:$Q$154)&gt;0,1,0)</f>
        <v>0</v>
      </c>
      <c r="R33" s="271" t="str">
        <f>IFERROR(SUMPRODUCT(('ANALYSE - ERP =&gt; SOUS-SEGMENT'!$C$8:$C$154=$C33)*'ANALYSE - ERP =&gt; SOUS-SEGMENT'!$Q$8:$Q$154*'ANALYSE - ERP =&gt; SOUS-SEGMENT'!$AG$8:$AG$154*'ANALYSE - ERP =&gt; SOUS-SEGMENT'!$R$8:$R$154)/SUMPRODUCT(('ANALYSE - ERP =&gt; SOUS-SEGMENT'!$C$8:$C$154=$C33)*'ANALYSE - ERP =&gt; SOUS-SEGMENT'!$Q$8:$Q$154*'ANALYSE - ERP =&gt; SOUS-SEGMENT'!$AG$8:$AG$154),"")</f>
        <v/>
      </c>
      <c r="S33" s="272">
        <f>SUMPRODUCT(('ANALYSE - ERP =&gt; SOUS-SEGMENT'!$C$8:$C$154=$C33)*'ANALYSE - ERP =&gt; SOUS-SEGMENT'!$Q$8:$Q$154*'ANALYSE - ERP =&gt; SOUS-SEGMENT'!$S$8:$S$154)</f>
        <v>0</v>
      </c>
      <c r="T33" s="272">
        <f>SUMPRODUCT(('ANALYSE - ERP =&gt; SOUS-SEGMENT'!$C$8:$C$154=$C33)*'ANALYSE - ERP =&gt; SOUS-SEGMENT'!$Q$8:$Q$154*'ANALYSE - ERP =&gt; SOUS-SEGMENT'!$T$8:$T$154)</f>
        <v>0</v>
      </c>
      <c r="U33" s="272">
        <f>SUMPRODUCT(('ANALYSE - ERP =&gt; SOUS-SEGMENT'!$C$8:$C$154=$C33)*'ANALYSE - ERP =&gt; SOUS-SEGMENT'!$Q$8:$Q$154*'ANALYSE - ERP =&gt; SOUS-SEGMENT'!$U$8:$U$154)</f>
        <v>0</v>
      </c>
      <c r="V33" s="272">
        <f>SUMPRODUCT(('ANALYSE - ERP =&gt; SOUS-SEGMENT'!$C$8:$C$154=$C33)*'ANALYSE - ERP =&gt; SOUS-SEGMENT'!$Q$8:$Q$154*'ANALYSE - ERP =&gt; SOUS-SEGMENT'!$V$8:$V$154)</f>
        <v>0</v>
      </c>
      <c r="W33" s="272">
        <f>SUMPRODUCT(('ANALYSE - ERP =&gt; SOUS-SEGMENT'!$C$8:$C$154=$C33)*'ANALYSE - ERP =&gt; SOUS-SEGMENT'!$Q$8:$Q$154*'ANALYSE - ERP =&gt; SOUS-SEGMENT'!$W$8:$W$154)</f>
        <v>0</v>
      </c>
      <c r="X33" s="272">
        <f>SUMPRODUCT(('ANALYSE - ERP =&gt; SOUS-SEGMENT'!$C$8:$C$154=$C33)*'ANALYSE - ERP =&gt; SOUS-SEGMENT'!$Q$8:$Q$154*'ANALYSE - ERP =&gt; SOUS-SEGMENT'!$X$8:$X$154)</f>
        <v>0</v>
      </c>
      <c r="Y33" s="272">
        <f>SUMPRODUCT(('ANALYSE - ERP =&gt; SOUS-SEGMENT'!$C$8:$C$154=$C33)*'ANALYSE - ERP =&gt; SOUS-SEGMENT'!$Q$8:$Q$154*'ANALYSE - ERP =&gt; SOUS-SEGMENT'!$Y$8:$Y$154)</f>
        <v>0</v>
      </c>
      <c r="Z33" s="272">
        <f>SUMPRODUCT(('ANALYSE - ERP =&gt; SOUS-SEGMENT'!$C$8:$C$154=$C33)*'ANALYSE - ERP =&gt; SOUS-SEGMENT'!$Q$8:$Q$154*'ANALYSE - ERP =&gt; SOUS-SEGMENT'!$Z$8:$Z$154)</f>
        <v>0</v>
      </c>
      <c r="AA33" s="272">
        <f>SUMPRODUCT(('ANALYSE - ERP =&gt; SOUS-SEGMENT'!$C$8:$C$154=$C33)*'ANALYSE - ERP =&gt; SOUS-SEGMENT'!$Q$8:$Q$154*'ANALYSE - ERP =&gt; SOUS-SEGMENT'!$AA$8:$AA$154)</f>
        <v>0</v>
      </c>
      <c r="AB33" s="272">
        <f>SUMPRODUCT(('ANALYSE - ERP =&gt; SOUS-SEGMENT'!$C$8:$C$154=$C33)*'ANALYSE - ERP =&gt; SOUS-SEGMENT'!$Q$8:$Q$154*'ANALYSE - ERP =&gt; SOUS-SEGMENT'!$AB$8:$AB$154)</f>
        <v>0</v>
      </c>
      <c r="AC33" s="272">
        <f>SUMPRODUCT(('ANALYSE - ERP =&gt; SOUS-SEGMENT'!$C$8:$C$154=$C33)*'ANALYSE - ERP =&gt; SOUS-SEGMENT'!$Q$8:$Q$154*'ANALYSE - ERP =&gt; SOUS-SEGMENT'!$AC$8:$AC$154)</f>
        <v>0</v>
      </c>
      <c r="AD33" s="272">
        <f>SUMPRODUCT(('ANALYSE - ERP =&gt; SOUS-SEGMENT'!$C$8:$C$154=$C33)*'ANALYSE - ERP =&gt; SOUS-SEGMENT'!$Q$8:$Q$154*'ANALYSE - ERP =&gt; SOUS-SEGMENT'!$AD$8:$AD$154)</f>
        <v>0</v>
      </c>
      <c r="AE33" s="272">
        <f>SUMPRODUCT(('ANALYSE - ERP =&gt; SOUS-SEGMENT'!$C$8:$C$154=$C33)*'ANALYSE - ERP =&gt; SOUS-SEGMENT'!$Q$8:$Q$154*'ANALYSE - ERP =&gt; SOUS-SEGMENT'!$AE$8:$AE$154)</f>
        <v>0</v>
      </c>
      <c r="AF33" s="272">
        <f>SUMPRODUCT(('ANALYSE - ERP =&gt; SOUS-SEGMENT'!$C$8:$C$154=$C33)*'ANALYSE - ERP =&gt; SOUS-SEGMENT'!$Q$8:$Q$154*'ANALYSE - ERP =&gt; SOUS-SEGMENT'!$AF$8:$AF$154)</f>
        <v>0</v>
      </c>
      <c r="AG33" s="272">
        <f>SUMPRODUCT(('ANALYSE - ERP =&gt; SOUS-SEGMENT'!$C$8:$C$154=$C33)*'ANALYSE - ERP =&gt; SOUS-SEGMENT'!$Q$8:$Q$154*'ANALYSE - ERP =&gt; SOUS-SEGMENT'!$AG$8:$AG$154)</f>
        <v>0</v>
      </c>
      <c r="AH33" s="272">
        <f>SUMPRODUCT(('ANALYSE - ERP =&gt; SOUS-SEGMENT'!$C$8:$C$154=$C33)*'ANALYSE - ERP =&gt; SOUS-SEGMENT'!$Q$8:$Q$154*'ANALYSE - ERP =&gt; SOUS-SEGMENT'!$AH$8:$AH$154)</f>
        <v>0</v>
      </c>
      <c r="AI33" s="272">
        <f>SUMPRODUCT(('ANALYSE - ERP =&gt; SOUS-SEGMENT'!$C$8:$C$154=$C33)*'ANALYSE - ERP =&gt; SOUS-SEGMENT'!$Q$8:$Q$154*'ANALYSE - ERP =&gt; SOUS-SEGMENT'!$AI$8:$AI$154)</f>
        <v>0</v>
      </c>
      <c r="AJ33" s="272">
        <f>SUMPRODUCT(('ANALYSE - ERP =&gt; SOUS-SEGMENT'!$C$8:$C$154=$C33)*'ANALYSE - ERP =&gt; SOUS-SEGMENT'!$Q$8:$Q$154*'ANALYSE - ERP =&gt; SOUS-SEGMENT'!$AJ$8:$AJ$154)</f>
        <v>0</v>
      </c>
      <c r="AK33" s="272">
        <f>SUMPRODUCT(('ANALYSE - ERP =&gt; SOUS-SEGMENT'!$C$8:$C$154=$C33)*'ANALYSE - ERP =&gt; SOUS-SEGMENT'!$Q$8:$Q$154*'ANALYSE - ERP =&gt; SOUS-SEGMENT'!$AK$8:$AK$154)</f>
        <v>0</v>
      </c>
      <c r="AL33" s="268" t="s">
        <v>7340</v>
      </c>
      <c r="AM33" s="268" t="s">
        <v>7341</v>
      </c>
      <c r="AN33" s="268" t="s">
        <v>2148</v>
      </c>
      <c r="AO33" s="657"/>
      <c r="AP33" s="271" t="str">
        <f>IFERROR(SUMPRODUCT(('ANALYSE - ERP =&gt; SOUS-SEGMENT'!$C$8:$C$154=$C33)*'ANALYSE - ERP =&gt; SOUS-SEGMENT'!$Q$8:$Q$154*'ANALYSE - ERP =&gt; SOUS-SEGMENT'!$AG$8:$AG$154*'ANALYSE - ERP =&gt; SOUS-SEGMENT'!$AP$8:$AP$154)/SUMPRODUCT(('ANALYSE - ERP =&gt; SOUS-SEGMENT'!$C$8:$C$154=$C33)*'ANALYSE - ERP =&gt; SOUS-SEGMENT'!$Q$8:$Q$154*'ANALYSE - ERP =&gt; SOUS-SEGMENT'!$AG$8:$AG$154),"")</f>
        <v/>
      </c>
      <c r="AQ33" s="280" t="str">
        <f>IFERROR(SUMPRODUCT(('ANALYSE - ERP =&gt; SOUS-SEGMENT'!$C$8:$C$154=$C33)*'ANALYSE - ERP =&gt; SOUS-SEGMENT'!$Q$8:$Q$154*'ANALYSE - ERP =&gt; SOUS-SEGMENT'!$AF$8:$AF$154*'ANALYSE - ERP =&gt; SOUS-SEGMENT'!$AQ$8:$AQ$154)/SUMPRODUCT(('ANALYSE - ERP =&gt; SOUS-SEGMENT'!$C$8:$C$154=$C33)*'ANALYSE - ERP =&gt; SOUS-SEGMENT'!$Q$8:$Q$154*'ANALYSE - ERP =&gt; SOUS-SEGMENT'!$AF$8:$AF$154),"")</f>
        <v/>
      </c>
      <c r="AR33" s="974" t="str">
        <f>IFERROR(SUMPRODUCT(('ANALYSE - ERP =&gt; SOUS-SEGMENT'!$C$8:$C$154=$C33)*'ANALYSE - ERP =&gt; SOUS-SEGMENT'!$Q$8:$Q$154*'ANALYSE - ERP =&gt; SOUS-SEGMENT'!$AF$8:$AF$154*'ANALYSE - ERP =&gt; SOUS-SEGMENT'!$AR$8:$AR$154)/SUMPRODUCT(('ANALYSE - ERP =&gt; SOUS-SEGMENT'!$C$8:$C$154=$C33)*'ANALYSE - ERP =&gt; SOUS-SEGMENT'!$Q$8:$Q$154*'ANALYSE - ERP =&gt; SOUS-SEGMENT'!$AF$8:$AF$154),"")</f>
        <v/>
      </c>
      <c r="AS33" s="974" t="str">
        <f>IFERROR(SUMPRODUCT(('ANALYSE - ERP =&gt; SOUS-SEGMENT'!$C$8:$C$154=$C33)*'ANALYSE - ERP =&gt; SOUS-SEGMENT'!$Q$8:$Q$154*'ANALYSE - ERP =&gt; SOUS-SEGMENT'!$AF$8:$AF$154*'ANALYSE - ERP =&gt; SOUS-SEGMENT'!$AS$8:$AS$154)/SUMPRODUCT(('ANALYSE - ERP =&gt; SOUS-SEGMENT'!$C$8:$C$154=$C33)*'ANALYSE - ERP =&gt; SOUS-SEGMENT'!$Q$8:$Q$154*'ANALYSE - ERP =&gt; SOUS-SEGMENT'!$AF$8:$AF$154),"")</f>
        <v/>
      </c>
      <c r="AT33" s="657" t="s">
        <v>7342</v>
      </c>
      <c r="AU33" s="290" t="s">
        <v>7343</v>
      </c>
      <c r="AV33" s="572" t="s">
        <v>2609</v>
      </c>
      <c r="AW33" s="290"/>
      <c r="AX33" s="657"/>
      <c r="AY33" s="303" t="str">
        <f>IFERROR(SUMPRODUCT(('ANALYSE - ERP =&gt; SOUS-SEGMENT'!$C$8:$C$154=$C33)*'ANALYSE - ERP =&gt; SOUS-SEGMENT'!$Q$8:$Q$154*'ANALYSE - ERP =&gt; SOUS-SEGMENT'!$AF$8:$AF$154*'ANALYSE - ERP =&gt; SOUS-SEGMENT'!$AZ$8:$AZ$154)/SUMPRODUCT(('ANALYSE - ERP =&gt; SOUS-SEGMENT'!$C$8:$C$154=$C33)*'ANALYSE - ERP =&gt; SOUS-SEGMENT'!$Q$8:$Q$154*'ANALYSE - ERP =&gt; SOUS-SEGMENT'!$AF$8:$AF$154),"")</f>
        <v/>
      </c>
      <c r="AZ33" s="948" t="str">
        <f>IFERROR(SUMPRODUCT(('ANALYSE - ERP =&gt; SOUS-SEGMENT'!$C$8:$C$154=$C33)*'ANALYSE - ERP =&gt; SOUS-SEGMENT'!$Q$8:$Q$154*'ANALYSE - ERP =&gt; SOUS-SEGMENT'!$AF$8:$AF$154*'ANALYSE - ERP =&gt; SOUS-SEGMENT'!$BA$8:$BA$154)/SUMPRODUCT(('ANALYSE - ERP =&gt; SOUS-SEGMENT'!$C$8:$C$154=$C33)*'ANALYSE - ERP =&gt; SOUS-SEGMENT'!$Q$8:$Q$154*'ANALYSE - ERP =&gt; SOUS-SEGMENT'!$AF$8:$AF$154),"")</f>
        <v/>
      </c>
      <c r="BA33" s="303" t="str">
        <f>IFERROR(SUMPRODUCT(('ANALYSE - ERP =&gt; SOUS-SEGMENT'!$C$8:$C$154=$C33)*'ANALYSE - ERP =&gt; SOUS-SEGMENT'!$Q$8:$Q$154*'ANALYSE - ERP =&gt; SOUS-SEGMENT'!$AF$8:$AF$154*'ANALYSE - ERP =&gt; SOUS-SEGMENT'!$BB$8:$BB$154)/SUMPRODUCT(('ANALYSE - ERP =&gt; SOUS-SEGMENT'!$C$8:$C$154=$C33)*'ANALYSE - ERP =&gt; SOUS-SEGMENT'!$Q$8:$Q$154*'ANALYSE - ERP =&gt; SOUS-SEGMENT'!$AF$8:$AF$154),"")</f>
        <v/>
      </c>
      <c r="BB33" s="303" t="str">
        <f>IFERROR(SUMPRODUCT(('ANALYSE - ERP =&gt; SOUS-SEGMENT'!$C$8:$C$154=$C33)*'ANALYSE - ERP =&gt; SOUS-SEGMENT'!$Q$8:$Q$154*'ANALYSE - ERP =&gt; SOUS-SEGMENT'!$AF$8:$AF$154*'ANALYSE - ERP =&gt; SOUS-SEGMENT'!$BC$8:$BC$154)/SUMPRODUCT(('ANALYSE - ERP =&gt; SOUS-SEGMENT'!$C$8:$C$154=$C33)*'ANALYSE - ERP =&gt; SOUS-SEGMENT'!$Q$8:$Q$154*'ANALYSE - ERP =&gt; SOUS-SEGMENT'!$AF$8:$AF$154),"")</f>
        <v/>
      </c>
      <c r="BC33" s="304">
        <f>SUMPRODUCT(('ANALYSE - ERP =&gt; SOUS-SEGMENT'!$C$8:$C$154=$C33)*'ANALYSE - ERP =&gt; SOUS-SEGMENT'!$Q$8:$Q$154*'ANALYSE - ERP =&gt; SOUS-SEGMENT'!$BE$8:$BE$154)</f>
        <v>0</v>
      </c>
      <c r="BD33" s="304">
        <f>SUMPRODUCT(('ANALYSE - ERP =&gt; SOUS-SEGMENT'!$C$8:$C$154=$C33)*'ANALYSE - ERP =&gt; SOUS-SEGMENT'!$Q$8:$Q$154*'ANALYSE - ERP =&gt; SOUS-SEGMENT'!$BF$8:$BF$154)</f>
        <v>0</v>
      </c>
      <c r="BE33" s="304">
        <f>SUMPRODUCT(('ANALYSE - ERP =&gt; SOUS-SEGMENT'!$C$8:$C$154=$C33)*'ANALYSE - ERP =&gt; SOUS-SEGMENT'!$Q$8:$Q$154*'ANALYSE - ERP =&gt; SOUS-SEGMENT'!$BG$8:$BG$154)</f>
        <v>0</v>
      </c>
      <c r="BF33" s="304">
        <f>SUMPRODUCT(('ANALYSE - ERP =&gt; SOUS-SEGMENT'!$C$8:$C$154=$C33)*'ANALYSE - ERP =&gt; SOUS-SEGMENT'!$Q$8:$Q$154*'ANALYSE - ERP =&gt; SOUS-SEGMENT'!$BH$8:$BH$154)</f>
        <v>0</v>
      </c>
      <c r="BG33" s="304">
        <f>SUMPRODUCT(('ANALYSE - ERP =&gt; SOUS-SEGMENT'!$C$8:$C$154=$C33)*'ANALYSE - ERP =&gt; SOUS-SEGMENT'!$Q$8:$Q$154*'ANALYSE - ERP =&gt; SOUS-SEGMENT'!$BJ$8:$BJ$154)</f>
        <v>0</v>
      </c>
      <c r="BH33" s="304">
        <f>SUMPRODUCT(('ANALYSE - ERP =&gt; SOUS-SEGMENT'!$C$8:$C$154=$C33)*'ANALYSE - ERP =&gt; SOUS-SEGMENT'!$Q$8:$Q$154*'ANALYSE - ERP =&gt; SOUS-SEGMENT'!$BK$8:$BK$154)</f>
        <v>0</v>
      </c>
      <c r="BI33" s="304">
        <f>SUMPRODUCT(('ANALYSE - ERP =&gt; SOUS-SEGMENT'!$C$8:$C$154=$C33)*'ANALYSE - ERP =&gt; SOUS-SEGMENT'!$Q$8:$Q$154*'ANALYSE - ERP =&gt; SOUS-SEGMENT'!$BL$8:$BL$154)</f>
        <v>0</v>
      </c>
      <c r="BJ33" s="304">
        <f>SUMPRODUCT(('ANALYSE - ERP =&gt; SOUS-SEGMENT'!$C$8:$C$154=$C33)*'ANALYSE - ERP =&gt; SOUS-SEGMENT'!$Q$8:$Q$154*'ANALYSE - ERP =&gt; SOUS-SEGMENT'!$BM$8:$BM$154)</f>
        <v>0</v>
      </c>
      <c r="BK33" s="657"/>
      <c r="BL33" s="580" t="str">
        <f>IFERROR(SUMPRODUCT(('ANALYSE - ERP =&gt; SOUS-SEGMENT'!$C$8:$C$154=$C33)*'ANALYSE - ERP =&gt; SOUS-SEGMENT'!$Q$8:$Q$154*'ANALYSE - ERP =&gt; SOUS-SEGMENT'!$BE$8:$BE$154*'ANALYSE - ERP =&gt; SOUS-SEGMENT'!$BO$8:$BO$154)/SUMPRODUCT(('ANALYSE - ERP =&gt; SOUS-SEGMENT'!$C$8:$C$154=$C33)*'ANALYSE - ERP =&gt; SOUS-SEGMENT'!$Q$8:$Q$154*'ANALYSE - ERP =&gt; SOUS-SEGMENT'!$BE$8:$BE$154),"")</f>
        <v/>
      </c>
      <c r="BM33" s="305" t="str">
        <f>IFERROR(SUMPRODUCT(('ANALYSE - ERP =&gt; SOUS-SEGMENT'!$C$8:$C$154=$C33)*'ANALYSE - ERP =&gt; SOUS-SEGMENT'!$Q$8:$Q$154*'ANALYSE - ERP =&gt; SOUS-SEGMENT'!$BE$8:$BE$154*'ANALYSE - ERP =&gt; SOUS-SEGMENT'!$BP$8:$BP$154)/SUMPRODUCT(('ANALYSE - ERP =&gt; SOUS-SEGMENT'!$C$8:$C$154=$C33)*'ANALYSE - ERP =&gt; SOUS-SEGMENT'!$Q$8:$Q$154*'ANALYSE - ERP =&gt; SOUS-SEGMENT'!$BE$8:$BE$154),"")</f>
        <v/>
      </c>
      <c r="BN33" s="305" t="str">
        <f>IFERROR(SUMPRODUCT(('ANALYSE - ERP =&gt; SOUS-SEGMENT'!$C$8:$C$154=$C33)*'ANALYSE - ERP =&gt; SOUS-SEGMENT'!$Q$8:$Q$154*'ANALYSE - ERP =&gt; SOUS-SEGMENT'!$BE$8:$BE$154*'ANALYSE - ERP =&gt; SOUS-SEGMENT'!$BQ$8:$BQ$154)/SUMPRODUCT(('ANALYSE - ERP =&gt; SOUS-SEGMENT'!$C$8:$C$154=$C33)*'ANALYSE - ERP =&gt; SOUS-SEGMENT'!$Q$8:$Q$154*'ANALYSE - ERP =&gt; SOUS-SEGMENT'!$BE$8:$BE$154),"")</f>
        <v/>
      </c>
      <c r="BO33" s="581" t="str">
        <f>IFERROR(SUMPRODUCT(('ANALYSE - ERP =&gt; SOUS-SEGMENT'!$C$8:$C$154=$C33)*'ANALYSE - ERP =&gt; SOUS-SEGMENT'!$Q$8:$Q$154*'ANALYSE - ERP =&gt; SOUS-SEGMENT'!$BE$8:$BE$154*'ANALYSE - ERP =&gt; SOUS-SEGMENT'!$BR$8:$BR$154)/SUMPRODUCT(('ANALYSE - ERP =&gt; SOUS-SEGMENT'!$C$8:$C$154=$C33)*'ANALYSE - ERP =&gt; SOUS-SEGMENT'!$Q$8:$Q$154*'ANALYSE - ERP =&gt; SOUS-SEGMENT'!$BE$8:$BE$154),"")</f>
        <v/>
      </c>
      <c r="BP33" s="580" t="str">
        <f>IFERROR(SUMPRODUCT(('ANALYSE - ERP =&gt; SOUS-SEGMENT'!$C$8:$C$154=$C33)*'ANALYSE - ERP =&gt; SOUS-SEGMENT'!$Q$8:$Q$154*'ANALYSE - ERP =&gt; SOUS-SEGMENT'!$BJ$8:$BJ$154*'ANALYSE - ERP =&gt; SOUS-SEGMENT'!$BS$8:$BS$154)/SUMPRODUCT(('ANALYSE - ERP =&gt; SOUS-SEGMENT'!$C$8:$C$154=$C33)*'ANALYSE - ERP =&gt; SOUS-SEGMENT'!$Q$8:$Q$154*'ANALYSE - ERP =&gt; SOUS-SEGMENT'!$BJ$8:$BJ$154),"")</f>
        <v/>
      </c>
      <c r="BQ33" s="305" t="str">
        <f>IFERROR(SUMPRODUCT(('ANALYSE - ERP =&gt; SOUS-SEGMENT'!$C$8:$C$154=$C33)*'ANALYSE - ERP =&gt; SOUS-SEGMENT'!$Q$8:$Q$154*'ANALYSE - ERP =&gt; SOUS-SEGMENT'!$BJ$8:$BJ$154*'ANALYSE - ERP =&gt; SOUS-SEGMENT'!$BT$8:$BT$154)/SUMPRODUCT(('ANALYSE - ERP =&gt; SOUS-SEGMENT'!$C$8:$C$154=$C33)*'ANALYSE - ERP =&gt; SOUS-SEGMENT'!$Q$8:$Q$154*'ANALYSE - ERP =&gt; SOUS-SEGMENT'!$BJ$8:$BJ$154),"")</f>
        <v/>
      </c>
      <c r="BR33" s="305" t="str">
        <f>IFERROR(SUMPRODUCT(('ANALYSE - ERP =&gt; SOUS-SEGMENT'!$C$8:$C$154=$C33)*'ANALYSE - ERP =&gt; SOUS-SEGMENT'!$Q$8:$Q$154*'ANALYSE - ERP =&gt; SOUS-SEGMENT'!$BJ$8:$BJ$154*'ANALYSE - ERP =&gt; SOUS-SEGMENT'!$BU$8:$BU$154)/SUMPRODUCT(('ANALYSE - ERP =&gt; SOUS-SEGMENT'!$C$8:$C$154=$C33)*'ANALYSE - ERP =&gt; SOUS-SEGMENT'!$Q$8:$Q$154*'ANALYSE - ERP =&gt; SOUS-SEGMENT'!$BJ$8:$BJ$154),"")</f>
        <v/>
      </c>
      <c r="BS33" s="581" t="str">
        <f>IFERROR(SUMPRODUCT(('ANALYSE - ERP =&gt; SOUS-SEGMENT'!$C$8:$C$154=$C33)*'ANALYSE - ERP =&gt; SOUS-SEGMENT'!$Q$8:$Q$154*'ANALYSE - ERP =&gt; SOUS-SEGMENT'!$BJ$8:$BJ$154*'ANALYSE - ERP =&gt; SOUS-SEGMENT'!$BV$8:$BV$154)/SUMPRODUCT(('ANALYSE - ERP =&gt; SOUS-SEGMENT'!$C$8:$C$154=$C33)*'ANALYSE - ERP =&gt; SOUS-SEGMENT'!$Q$8:$Q$154*'ANALYSE - ERP =&gt; SOUS-SEGMENT'!$BJ$8:$BJ$154),"")</f>
        <v/>
      </c>
      <c r="BT33" s="589" t="str">
        <f>IFERROR(SUMPRODUCT(('ANALYSE - ERP =&gt; SOUS-SEGMENT'!$C$8:$C$154=$C33)*'ANALYSE - ERP =&gt; SOUS-SEGMENT'!$Q$8:$Q$154*'ANALYSE - ERP =&gt; SOUS-SEGMENT'!$BF$8:$BF$154*'ANALYSE - ERP =&gt; SOUS-SEGMENT'!$BW$8:$BW$154)/SUMPRODUCT(('ANALYSE - ERP =&gt; SOUS-SEGMENT'!$C$8:$C$154=$C33)*'ANALYSE - ERP =&gt; SOUS-SEGMENT'!$Q$8:$Q$154*'ANALYSE - ERP =&gt; SOUS-SEGMENT'!$BF$8:$BF$154),"")</f>
        <v/>
      </c>
      <c r="BU33" s="306" t="str">
        <f>IFERROR(SUMPRODUCT(('ANALYSE - ERP =&gt; SOUS-SEGMENT'!$C$8:$C$154=$C33)*'ANALYSE - ERP =&gt; SOUS-SEGMENT'!$Q$8:$Q$154*'ANALYSE - ERP =&gt; SOUS-SEGMENT'!$BF$8:$BF$154*'ANALYSE - ERP =&gt; SOUS-SEGMENT'!$BX$8:$BX$154)/SUMPRODUCT(('ANALYSE - ERP =&gt; SOUS-SEGMENT'!$C$8:$C$154=$C33)*'ANALYSE - ERP =&gt; SOUS-SEGMENT'!$Q$8:$Q$154*'ANALYSE - ERP =&gt; SOUS-SEGMENT'!$BF$8:$BF$154),"")</f>
        <v/>
      </c>
      <c r="BV33" s="590" t="str">
        <f>IFERROR(SUMPRODUCT(('ANALYSE - ERP =&gt; SOUS-SEGMENT'!$C$8:$C$154=$C33)*'ANALYSE - ERP =&gt; SOUS-SEGMENT'!$Q$8:$Q$154*'ANALYSE - ERP =&gt; SOUS-SEGMENT'!$BF$8:$BF$154*'ANALYSE - ERP =&gt; SOUS-SEGMENT'!$BY$8:$BY$154)/SUMPRODUCT(('ANALYSE - ERP =&gt; SOUS-SEGMENT'!$C$8:$C$154=$C33)*'ANALYSE - ERP =&gt; SOUS-SEGMENT'!$Q$8:$Q$154*'ANALYSE - ERP =&gt; SOUS-SEGMENT'!$BF$8:$BF$154),"")</f>
        <v/>
      </c>
      <c r="BW33" s="589" t="str">
        <f>IFERROR(SUMPRODUCT(('ANALYSE - ERP =&gt; SOUS-SEGMENT'!$C$8:$C$154=$C33)*'ANALYSE - ERP =&gt; SOUS-SEGMENT'!$Q$8:$Q$154*'ANALYSE - ERP =&gt; SOUS-SEGMENT'!$BK$8:$BK$154*'ANALYSE - ERP =&gt; SOUS-SEGMENT'!$BZ$8:$BZ$154)/SUMPRODUCT(('ANALYSE - ERP =&gt; SOUS-SEGMENT'!$C$8:$C$154=$C33)*'ANALYSE - ERP =&gt; SOUS-SEGMENT'!$Q$8:$Q$154*'ANALYSE - ERP =&gt; SOUS-SEGMENT'!$BK$8:$BK$154),"")</f>
        <v/>
      </c>
      <c r="BX33" s="306" t="str">
        <f>IFERROR(SUMPRODUCT(('ANALYSE - ERP =&gt; SOUS-SEGMENT'!$C$8:$C$154=$C33)*'ANALYSE - ERP =&gt; SOUS-SEGMENT'!$Q$8:$Q$154*'ANALYSE - ERP =&gt; SOUS-SEGMENT'!$BK$8:$BK$154*'ANALYSE - ERP =&gt; SOUS-SEGMENT'!$CA$8:$CA$154)/SUMPRODUCT(('ANALYSE - ERP =&gt; SOUS-SEGMENT'!$C$8:$C$154=$C33)*'ANALYSE - ERP =&gt; SOUS-SEGMENT'!$Q$8:$Q$154*'ANALYSE - ERP =&gt; SOUS-SEGMENT'!$BK$8:$BK$154),"")</f>
        <v/>
      </c>
      <c r="BY33" s="590" t="str">
        <f>IFERROR(SUMPRODUCT(('ANALYSE - ERP =&gt; SOUS-SEGMENT'!$C$8:$C$154=$C33)*'ANALYSE - ERP =&gt; SOUS-SEGMENT'!$Q$8:$Q$154*'ANALYSE - ERP =&gt; SOUS-SEGMENT'!$BK$8:$BK$154*'ANALYSE - ERP =&gt; SOUS-SEGMENT'!$CB$8:$CB$154)/SUMPRODUCT(('ANALYSE - ERP =&gt; SOUS-SEGMENT'!$C$8:$C$154=$C33)*'ANALYSE - ERP =&gt; SOUS-SEGMENT'!$Q$8:$Q$154*'ANALYSE - ERP =&gt; SOUS-SEGMENT'!$BK$8:$BK$154),"")</f>
        <v/>
      </c>
      <c r="BZ33" s="580" t="str">
        <f>IFERROR(SUMPRODUCT(('ANALYSE - ERP =&gt; SOUS-SEGMENT'!$C$8:$C$154=$C33)*'ANALYSE - ERP =&gt; SOUS-SEGMENT'!$Q$8:$Q$154*'ANALYSE - ERP =&gt; SOUS-SEGMENT'!$BG$8:$BG$154*'ANALYSE - ERP =&gt; SOUS-SEGMENT'!$CC$8:$CC$154)/SUMPRODUCT(('ANALYSE - ERP =&gt; SOUS-SEGMENT'!$C$8:$C$154=$C33)*'ANALYSE - ERP =&gt; SOUS-SEGMENT'!$Q$8:$Q$154*'ANALYSE - ERP =&gt; SOUS-SEGMENT'!$BG$8:$BG$154),"")</f>
        <v/>
      </c>
      <c r="CA33" s="305" t="str">
        <f>IFERROR(SUMPRODUCT(('ANALYSE - ERP =&gt; SOUS-SEGMENT'!$C$8:$C$154=$C33)*'ANALYSE - ERP =&gt; SOUS-SEGMENT'!$Q$8:$Q$154*'ANALYSE - ERP =&gt; SOUS-SEGMENT'!$BG$8:$BG$154*'ANALYSE - ERP =&gt; SOUS-SEGMENT'!$CD$8:$CD$154)/SUMPRODUCT(('ANALYSE - ERP =&gt; SOUS-SEGMENT'!$C$8:$C$154=$C33)*'ANALYSE - ERP =&gt; SOUS-SEGMENT'!$Q$8:$Q$154*'ANALYSE - ERP =&gt; SOUS-SEGMENT'!$BG$8:$BG$154),"")</f>
        <v/>
      </c>
      <c r="CB33" s="305" t="str">
        <f>IFERROR(SUMPRODUCT(('ANALYSE - ERP =&gt; SOUS-SEGMENT'!$C$8:$C$154=$C33)*'ANALYSE - ERP =&gt; SOUS-SEGMENT'!$Q$8:$Q$154*'ANALYSE - ERP =&gt; SOUS-SEGMENT'!$BG$8:$BG$154*'ANALYSE - ERP =&gt; SOUS-SEGMENT'!$CE$8:$CE$154)/SUMPRODUCT(('ANALYSE - ERP =&gt; SOUS-SEGMENT'!$C$8:$C$154=$C33)*'ANALYSE - ERP =&gt; SOUS-SEGMENT'!$Q$8:$Q$154*'ANALYSE - ERP =&gt; SOUS-SEGMENT'!$BG$8:$BG$154),"")</f>
        <v/>
      </c>
      <c r="CC33" s="581" t="str">
        <f>IFERROR(SUMPRODUCT(('ANALYSE - ERP =&gt; SOUS-SEGMENT'!$C$8:$C$154=$C33)*'ANALYSE - ERP =&gt; SOUS-SEGMENT'!$Q$8:$Q$154*'ANALYSE - ERP =&gt; SOUS-SEGMENT'!$BG$8:$BG$154*'ANALYSE - ERP =&gt; SOUS-SEGMENT'!$CF$8:$CF$154)/SUMPRODUCT(('ANALYSE - ERP =&gt; SOUS-SEGMENT'!$C$8:$C$154=$C33)*'ANALYSE - ERP =&gt; SOUS-SEGMENT'!$Q$8:$Q$154*'ANALYSE - ERP =&gt; SOUS-SEGMENT'!$BG$8:$BG$154),"")</f>
        <v/>
      </c>
      <c r="CD33" s="580" t="str">
        <f>IFERROR(SUMPRODUCT(('ANALYSE - ERP =&gt; SOUS-SEGMENT'!$C$8:$C$154=$C33)*'ANALYSE - ERP =&gt; SOUS-SEGMENT'!$Q$8:$Q$154*'ANALYSE - ERP =&gt; SOUS-SEGMENT'!$BL$8:$BL$154*'ANALYSE - ERP =&gt; SOUS-SEGMENT'!$CG$8:$CG$154)/SUMPRODUCT(('ANALYSE - ERP =&gt; SOUS-SEGMENT'!$C$8:$C$154=$C33)*'ANALYSE - ERP =&gt; SOUS-SEGMENT'!$Q$8:$Q$154*'ANALYSE - ERP =&gt; SOUS-SEGMENT'!$BL$8:$BL$154),"")</f>
        <v/>
      </c>
      <c r="CE33" s="305" t="str">
        <f>IFERROR(SUMPRODUCT(('ANALYSE - ERP =&gt; SOUS-SEGMENT'!$C$8:$C$154=$C33)*'ANALYSE - ERP =&gt; SOUS-SEGMENT'!$Q$8:$Q$154*'ANALYSE - ERP =&gt; SOUS-SEGMENT'!$BL$8:$BL$154*'ANALYSE - ERP =&gt; SOUS-SEGMENT'!$CH$8:$CH$154)/SUMPRODUCT(('ANALYSE - ERP =&gt; SOUS-SEGMENT'!$C$8:$C$154=$C33)*'ANALYSE - ERP =&gt; SOUS-SEGMENT'!$Q$8:$Q$154*'ANALYSE - ERP =&gt; SOUS-SEGMENT'!$BL$8:$BL$154),"")</f>
        <v/>
      </c>
      <c r="CF33" s="305" t="str">
        <f>IFERROR(SUMPRODUCT(('ANALYSE - ERP =&gt; SOUS-SEGMENT'!$C$8:$C$154=$C33)*'ANALYSE - ERP =&gt; SOUS-SEGMENT'!$Q$8:$Q$154*'ANALYSE - ERP =&gt; SOUS-SEGMENT'!$BL$8:$BL$154*'ANALYSE - ERP =&gt; SOUS-SEGMENT'!$CI$8:$CI$154)/SUMPRODUCT(('ANALYSE - ERP =&gt; SOUS-SEGMENT'!$C$8:$C$154=$C33)*'ANALYSE - ERP =&gt; SOUS-SEGMENT'!$Q$8:$Q$154*'ANALYSE - ERP =&gt; SOUS-SEGMENT'!$BL$8:$BL$154),"")</f>
        <v/>
      </c>
      <c r="CG33" s="581" t="str">
        <f>IFERROR(SUMPRODUCT(('ANALYSE - ERP =&gt; SOUS-SEGMENT'!$C$8:$C$154=$C33)*'ANALYSE - ERP =&gt; SOUS-SEGMENT'!$Q$8:$Q$154*'ANALYSE - ERP =&gt; SOUS-SEGMENT'!$BL$8:$BL$154*'ANALYSE - ERP =&gt; SOUS-SEGMENT'!$CJ$8:$CJ$154)/SUMPRODUCT(('ANALYSE - ERP =&gt; SOUS-SEGMENT'!$C$8:$C$154=$C33)*'ANALYSE - ERP =&gt; SOUS-SEGMENT'!$Q$8:$Q$154*'ANALYSE - ERP =&gt; SOUS-SEGMENT'!$BL$8:$BL$154),"")</f>
        <v/>
      </c>
      <c r="CH33" s="589" t="str">
        <f>IFERROR(SUMPRODUCT(('ANALYSE - ERP =&gt; SOUS-SEGMENT'!$C$8:$C$154=$C33)*'ANALYSE - ERP =&gt; SOUS-SEGMENT'!$Q$8:$Q$154*'ANALYSE - ERP =&gt; SOUS-SEGMENT'!$BH$8:$BH$154*'ANALYSE - ERP =&gt; SOUS-SEGMENT'!$CK$8:$CK$154)/SUMPRODUCT(('ANALYSE - ERP =&gt; SOUS-SEGMENT'!$C$8:$C$154=$C33)*'ANALYSE - ERP =&gt; SOUS-SEGMENT'!$Q$8:$Q$154*'ANALYSE - ERP =&gt; SOUS-SEGMENT'!$BH$8:$BH$154),"")</f>
        <v/>
      </c>
      <c r="CI33" s="306" t="str">
        <f>IFERROR(SUMPRODUCT(('ANALYSE - ERP =&gt; SOUS-SEGMENT'!$C$8:$C$154=$C33)*'ANALYSE - ERP =&gt; SOUS-SEGMENT'!$Q$8:$Q$154*'ANALYSE - ERP =&gt; SOUS-SEGMENT'!$BH$8:$BH$154*'ANALYSE - ERP =&gt; SOUS-SEGMENT'!$CL$8:$CL$154)/SUMPRODUCT(('ANALYSE - ERP =&gt; SOUS-SEGMENT'!$C$8:$C$154=$C33)*'ANALYSE - ERP =&gt; SOUS-SEGMENT'!$Q$8:$Q$154*'ANALYSE - ERP =&gt; SOUS-SEGMENT'!$BH$8:$BH$154),"")</f>
        <v/>
      </c>
      <c r="CJ33" s="590" t="str">
        <f>IFERROR(SUMPRODUCT(('ANALYSE - ERP =&gt; SOUS-SEGMENT'!$C$8:$C$154=$C33)*'ANALYSE - ERP =&gt; SOUS-SEGMENT'!$Q$8:$Q$154*'ANALYSE - ERP =&gt; SOUS-SEGMENT'!$BH$8:$BH$154*'ANALYSE - ERP =&gt; SOUS-SEGMENT'!$CM$8:$CM$154)/SUMPRODUCT(('ANALYSE - ERP =&gt; SOUS-SEGMENT'!$C$8:$C$154=$C33)*'ANALYSE - ERP =&gt; SOUS-SEGMENT'!$Q$8:$Q$154*'ANALYSE - ERP =&gt; SOUS-SEGMENT'!$BH$8:$BH$154),"")</f>
        <v/>
      </c>
      <c r="CK33" s="589" t="str">
        <f>IFERROR(SUMPRODUCT(('ANALYSE - ERP =&gt; SOUS-SEGMENT'!$C$8:$C$154=$C33)*'ANALYSE - ERP =&gt; SOUS-SEGMENT'!$Q$8:$Q$154*'ANALYSE - ERP =&gt; SOUS-SEGMENT'!$BM$8:$BM$154*'ANALYSE - ERP =&gt; SOUS-SEGMENT'!$CN$8:$CN$154)/SUMPRODUCT(('ANALYSE - ERP =&gt; SOUS-SEGMENT'!$C$8:$C$154=$C33)*'ANALYSE - ERP =&gt; SOUS-SEGMENT'!$Q$8:$Q$154*'ANALYSE - ERP =&gt; SOUS-SEGMENT'!$BM$8:$BM$154),"")</f>
        <v/>
      </c>
      <c r="CL33" s="306" t="str">
        <f>IFERROR(SUMPRODUCT(('ANALYSE - ERP =&gt; SOUS-SEGMENT'!$C$8:$C$154=$C33)*'ANALYSE - ERP =&gt; SOUS-SEGMENT'!$Q$8:$Q$154*'ANALYSE - ERP =&gt; SOUS-SEGMENT'!$BM$8:$BM$154*'ANALYSE - ERP =&gt; SOUS-SEGMENT'!$CO$8:$CO$154)/SUMPRODUCT(('ANALYSE - ERP =&gt; SOUS-SEGMENT'!$C$8:$C$154=$C33)*'ANALYSE - ERP =&gt; SOUS-SEGMENT'!$Q$8:$Q$154*'ANALYSE - ERP =&gt; SOUS-SEGMENT'!$BM$8:$BM$154),"")</f>
        <v/>
      </c>
      <c r="CM33" s="590" t="str">
        <f>IFERROR(SUMPRODUCT(('ANALYSE - ERP =&gt; SOUS-SEGMENT'!$C$8:$C$154=$C33)*'ANALYSE - ERP =&gt; SOUS-SEGMENT'!$Q$8:$Q$154*'ANALYSE - ERP =&gt; SOUS-SEGMENT'!$BM$8:$BM$154*'ANALYSE - ERP =&gt; SOUS-SEGMENT'!$CP$8:$CP$154)/SUMPRODUCT(('ANALYSE - ERP =&gt; SOUS-SEGMENT'!$C$8:$C$154=$C33)*'ANALYSE - ERP =&gt; SOUS-SEGMENT'!$Q$8:$Q$154*'ANALYSE - ERP =&gt; SOUS-SEGMENT'!$BM$8:$BM$154),"")</f>
        <v/>
      </c>
      <c r="CN33" s="657"/>
      <c r="CO33" s="882" t="str">
        <f>IFERROR(SUMPRODUCT(('ANALYSE - ERP =&gt; SOUS-SEGMENT'!$C$8:$C$154=$C33)*'ANALYSE - ERP =&gt; SOUS-SEGMENT'!$DH$8:$DH$154*('ANALYSE - ERP =&gt; SOUS-SEGMENT'!$CR$8:$CR$154&gt;0)*'ANALYSE - ERP =&gt; SOUS-SEGMENT'!$CR$8:$CR$154)/SUMPRODUCT(('ANALYSE - ERP =&gt; SOUS-SEGMENT'!$C$8:$C$154=$C33)*'ANALYSE - ERP =&gt; SOUS-SEGMENT'!$DH$8:$DH$154*('ANALYSE - ERP =&gt; SOUS-SEGMENT'!$CR$8:$CR$154&gt;0)),"")</f>
        <v/>
      </c>
      <c r="CP33" s="883" t="str">
        <f>IFERROR(SUMPRODUCT(('ANALYSE - ERP =&gt; SOUS-SEGMENT'!$C$8:$C$154=$C33)*'ANALYSE - ERP =&gt; SOUS-SEGMENT'!$DI$8:$DI$154*('ANALYSE - ERP =&gt; SOUS-SEGMENT'!$CS$8:$CS$154&gt;0)*'ANALYSE - ERP =&gt; SOUS-SEGMENT'!$CS$8:$CS$154)/SUMPRODUCT(('ANALYSE - ERP =&gt; SOUS-SEGMENT'!$C$8:$C$154=$C33)*'ANALYSE - ERP =&gt; SOUS-SEGMENT'!$DI$8:$DI$154*('ANALYSE - ERP =&gt; SOUS-SEGMENT'!$CS$8:$CS$154&gt;0)),"")</f>
        <v/>
      </c>
      <c r="CQ33" s="883" t="str">
        <f>IFERROR(SUMPRODUCT(('ANALYSE - ERP =&gt; SOUS-SEGMENT'!$C$8:$C$154=$C33)*'ANALYSE - ERP =&gt; SOUS-SEGMENT'!$DJ$8:$DJ$154*('ANALYSE - ERP =&gt; SOUS-SEGMENT'!$CT$8:$CT$154&gt;0)*'ANALYSE - ERP =&gt; SOUS-SEGMENT'!$CT$8:$CT$154)/SUMPRODUCT(('ANALYSE - ERP =&gt; SOUS-SEGMENT'!$C$8:$C$154=$C33)*'ANALYSE - ERP =&gt; SOUS-SEGMENT'!$DJ$8:$DJ$154*('ANALYSE - ERP =&gt; SOUS-SEGMENT'!$CT$8:$CT$154&gt;0)),"")</f>
        <v/>
      </c>
      <c r="CR33" s="884" t="str">
        <f>IFERROR(SUMPRODUCT(('ANALYSE - ERP =&gt; SOUS-SEGMENT'!$C$8:$C$154=$C33)*'ANALYSE - ERP =&gt; SOUS-SEGMENT'!$DK$8:$DK$154*('ANALYSE - ERP =&gt; SOUS-SEGMENT'!$CU$8:$CU$154&gt;0)*'ANALYSE - ERP =&gt; SOUS-SEGMENT'!$CU$8:$CU$154)/SUMPRODUCT(('ANALYSE - ERP =&gt; SOUS-SEGMENT'!$C$8:$C$154=$C33)*'ANALYSE - ERP =&gt; SOUS-SEGMENT'!$DK$8:$DK$154*('ANALYSE - ERP =&gt; SOUS-SEGMENT'!$CU$8:$CU$154&gt;0)),"")</f>
        <v/>
      </c>
      <c r="CS33" s="882" t="str">
        <f>IFERROR(SUMPRODUCT(('ANALYSE - ERP =&gt; SOUS-SEGMENT'!$C$8:$C$154=$C33)*'ANALYSE - ERP =&gt; SOUS-SEGMENT'!$DS$8:$DS$154*('ANALYSE - ERP =&gt; SOUS-SEGMENT'!$CV$8:$CV$154&gt;0)*'ANALYSE - ERP =&gt; SOUS-SEGMENT'!$CV$8:$CV$154)/SUMPRODUCT(('ANALYSE - ERP =&gt; SOUS-SEGMENT'!$C$8:$C$154=$C33)*'ANALYSE - ERP =&gt; SOUS-SEGMENT'!$DS$8:$DS$154*('ANALYSE - ERP =&gt; SOUS-SEGMENT'!$CV$8:$CV$154&gt;0)),"")</f>
        <v/>
      </c>
      <c r="CT33" s="883" t="str">
        <f>IFERROR(SUMPRODUCT(('ANALYSE - ERP =&gt; SOUS-SEGMENT'!$C$8:$C$154=$C33)*'ANALYSE - ERP =&gt; SOUS-SEGMENT'!$DT$8:$DT$154*('ANALYSE - ERP =&gt; SOUS-SEGMENT'!$CW$8:$CW$154&gt;0)*'ANALYSE - ERP =&gt; SOUS-SEGMENT'!$CW$8:$CW$154)/SUMPRODUCT(('ANALYSE - ERP =&gt; SOUS-SEGMENT'!$C$8:$C$154=$C33)*'ANALYSE - ERP =&gt; SOUS-SEGMENT'!$DT$8:$DT$154*('ANALYSE - ERP =&gt; SOUS-SEGMENT'!$CW$8:$CW$154&gt;0)),"")</f>
        <v/>
      </c>
      <c r="CU33" s="884" t="str">
        <f>IFERROR(SUMPRODUCT(('ANALYSE - ERP =&gt; SOUS-SEGMENT'!$C$8:$C$154=$C33)*'ANALYSE - ERP =&gt; SOUS-SEGMENT'!$DU$8:$DU$154*('ANALYSE - ERP =&gt; SOUS-SEGMENT'!$CX$8:$CX$154&gt;0)*'ANALYSE - ERP =&gt; SOUS-SEGMENT'!$CX$8:$CX$154)/SUMPRODUCT(('ANALYSE - ERP =&gt; SOUS-SEGMENT'!$C$8:$C$154=$C33)*'ANALYSE - ERP =&gt; SOUS-SEGMENT'!$DU$8:$DU$154*('ANALYSE - ERP =&gt; SOUS-SEGMENT'!$CX$8:$CX$154&gt;0)),"")</f>
        <v/>
      </c>
      <c r="CV33" s="882" t="str">
        <f>IFERROR(SUMPRODUCT(('ANALYSE - ERP =&gt; SOUS-SEGMENT'!$C$8:$C$154=$C33)*'ANALYSE - ERP =&gt; SOUS-SEGMENT'!$EB$8:$EB$154*('ANALYSE - ERP =&gt; SOUS-SEGMENT'!$CY$8:$CY$154&gt;0)*'ANALYSE - ERP =&gt; SOUS-SEGMENT'!$CY$8:$CY$154)/SUMPRODUCT(('ANALYSE - ERP =&gt; SOUS-SEGMENT'!$C$8:$C$154=$C33)*'ANALYSE - ERP =&gt; SOUS-SEGMENT'!$EB$8:$EB$154*('ANALYSE - ERP =&gt; SOUS-SEGMENT'!$CY$8:$CY$154&gt;0)),"")</f>
        <v/>
      </c>
      <c r="CW33" s="883" t="str">
        <f>IFERROR(SUMPRODUCT(('ANALYSE - ERP =&gt; SOUS-SEGMENT'!$C$8:$C$154=$C33)*'ANALYSE - ERP =&gt; SOUS-SEGMENT'!$EC$8:$EC$154*('ANALYSE - ERP =&gt; SOUS-SEGMENT'!$CZ$8:$CZ$154&gt;0)*'ANALYSE - ERP =&gt; SOUS-SEGMENT'!$CZ$8:$CZ$154)/SUMPRODUCT(('ANALYSE - ERP =&gt; SOUS-SEGMENT'!$C$8:$C$154=$C33)*'ANALYSE - ERP =&gt; SOUS-SEGMENT'!$EC$8:$EC$154*('ANALYSE - ERP =&gt; SOUS-SEGMENT'!$CZ$8:$CZ$154&gt;0)),"")</f>
        <v/>
      </c>
      <c r="CX33" s="883" t="str">
        <f>IFERROR(SUMPRODUCT(('ANALYSE - ERP =&gt; SOUS-SEGMENT'!$C$8:$C$154=$C33)*'ANALYSE - ERP =&gt; SOUS-SEGMENT'!$ED$8:$ED$154*('ANALYSE - ERP =&gt; SOUS-SEGMENT'!$DA$8:$DA$154&gt;0)*'ANALYSE - ERP =&gt; SOUS-SEGMENT'!$DA$8:$DA$154)/SUMPRODUCT(('ANALYSE - ERP =&gt; SOUS-SEGMENT'!$C$8:$C$154=$C33)*'ANALYSE - ERP =&gt; SOUS-SEGMENT'!$ED$8:$ED$154*('ANALYSE - ERP =&gt; SOUS-SEGMENT'!$DA$8:$DA$154&gt;0)),"")</f>
        <v/>
      </c>
      <c r="CY33" s="885" t="str">
        <f>IFERROR(SUMPRODUCT(('ANALYSE - ERP =&gt; SOUS-SEGMENT'!$C$8:$C$154=$C33)*'ANALYSE - ERP =&gt; SOUS-SEGMENT'!$EE$8:$EE$154*('ANALYSE - ERP =&gt; SOUS-SEGMENT'!$DB$8:$DB$154&gt;0)*'ANALYSE - ERP =&gt; SOUS-SEGMENT'!$DB$8:$DB$154)/SUMPRODUCT(('ANALYSE - ERP =&gt; SOUS-SEGMENT'!$C$8:$C$154=$C33)*'ANALYSE - ERP =&gt; SOUS-SEGMENT'!$EE$8:$EE$154*('ANALYSE - ERP =&gt; SOUS-SEGMENT'!$DB$8:$DB$154&gt;0)),"")</f>
        <v/>
      </c>
      <c r="CZ33" s="886" t="str">
        <f>IFERROR(SUMPRODUCT(('ANALYSE - ERP =&gt; SOUS-SEGMENT'!$C$8:$C$154=$C33)*'ANALYSE - ERP =&gt; SOUS-SEGMENT'!$EM$8:$EM$154*('ANALYSE - ERP =&gt; SOUS-SEGMENT'!$DC$8:$DC$154&gt;0)*'ANALYSE - ERP =&gt; SOUS-SEGMENT'!$DC$8:$DC$154)/SUMPRODUCT(('ANALYSE - ERP =&gt; SOUS-SEGMENT'!$C$8:$C$154=$C33)*'ANALYSE - ERP =&gt; SOUS-SEGMENT'!$EM$8:$EM$154*('ANALYSE - ERP =&gt; SOUS-SEGMENT'!$DC$8:$DC$154&gt;0)),"")</f>
        <v/>
      </c>
      <c r="DA33" s="883" t="str">
        <f>IFERROR(SUMPRODUCT(('ANALYSE - ERP =&gt; SOUS-SEGMENT'!$C$8:$C$154=$C33)*'ANALYSE - ERP =&gt; SOUS-SEGMENT'!$EN$8:$EN$154*('ANALYSE - ERP =&gt; SOUS-SEGMENT'!$DD$8:$DD$154&gt;0)*'ANALYSE - ERP =&gt; SOUS-SEGMENT'!$DD$8:$DD$154)/SUMPRODUCT(('ANALYSE - ERP =&gt; SOUS-SEGMENT'!$C$8:$C$154=$C33)*'ANALYSE - ERP =&gt; SOUS-SEGMENT'!$EN$8:$EN$154*('ANALYSE - ERP =&gt; SOUS-SEGMENT'!$DD$8:$DD$154&gt;0)),"")</f>
        <v/>
      </c>
      <c r="DB33" s="885" t="str">
        <f>IFERROR(SUMPRODUCT(('ANALYSE - ERP =&gt; SOUS-SEGMENT'!$C$8:$C$154=$C33)*'ANALYSE - ERP =&gt; SOUS-SEGMENT'!$EO$8:$EO$154*('ANALYSE - ERP =&gt; SOUS-SEGMENT'!$DE$8:$DE$154&gt;0)*'ANALYSE - ERP =&gt; SOUS-SEGMENT'!$DE$8:$DE$154)/SUMPRODUCT(('ANALYSE - ERP =&gt; SOUS-SEGMENT'!$C$8:$C$154=$C33)*'ANALYSE - ERP =&gt; SOUS-SEGMENT'!$EO$8:$EO$154*('ANALYSE - ERP =&gt; SOUS-SEGMENT'!$DE$8:$DE$154&gt;0)),"")</f>
        <v/>
      </c>
      <c r="DC33" s="610" t="s">
        <v>7344</v>
      </c>
      <c r="DD33" s="657"/>
      <c r="DE33" s="288" t="e">
        <f t="shared" si="2"/>
        <v>#VALUE!</v>
      </c>
      <c r="DF33" s="288" t="e">
        <f t="shared" si="3"/>
        <v>#VALUE!</v>
      </c>
      <c r="DG33" s="288" t="e">
        <f t="shared" si="4"/>
        <v>#VALUE!</v>
      </c>
      <c r="DH33" s="288" t="e">
        <f t="shared" si="5"/>
        <v>#VALUE!</v>
      </c>
      <c r="DI33" s="317" t="s">
        <v>7345</v>
      </c>
      <c r="DJ33" s="288" t="e">
        <f t="shared" si="6"/>
        <v>#VALUE!</v>
      </c>
      <c r="DK33" s="288" t="e">
        <f t="shared" si="7"/>
        <v>#VALUE!</v>
      </c>
      <c r="DL33" s="288" t="e">
        <f t="shared" si="8"/>
        <v>#VALUE!</v>
      </c>
      <c r="DM33" s="288" t="e">
        <f t="shared" si="9"/>
        <v>#VALUE!</v>
      </c>
      <c r="DN33" s="317" t="s">
        <v>7346</v>
      </c>
      <c r="DO33" s="657"/>
      <c r="DP33" s="288">
        <f t="shared" si="10"/>
        <v>0</v>
      </c>
      <c r="DQ33" s="288">
        <f t="shared" si="11"/>
        <v>0</v>
      </c>
      <c r="DR33" s="288">
        <f t="shared" si="12"/>
        <v>0</v>
      </c>
      <c r="DS33" s="317" t="s">
        <v>7347</v>
      </c>
      <c r="DT33" s="288">
        <f t="shared" si="13"/>
        <v>0</v>
      </c>
      <c r="DU33" s="288">
        <f t="shared" si="14"/>
        <v>0</v>
      </c>
      <c r="DV33" s="288">
        <f t="shared" si="15"/>
        <v>0</v>
      </c>
      <c r="DW33" s="317" t="s">
        <v>7348</v>
      </c>
      <c r="DX33" s="657"/>
      <c r="DY33" s="288">
        <f t="shared" si="16"/>
        <v>0</v>
      </c>
      <c r="DZ33" s="288">
        <f t="shared" si="17"/>
        <v>0</v>
      </c>
      <c r="EA33" s="288">
        <f t="shared" si="18"/>
        <v>0</v>
      </c>
      <c r="EB33" s="288">
        <f t="shared" si="19"/>
        <v>0</v>
      </c>
      <c r="EC33" s="317" t="s">
        <v>7349</v>
      </c>
      <c r="ED33" s="288">
        <f t="shared" si="20"/>
        <v>0</v>
      </c>
      <c r="EE33" s="288">
        <f t="shared" si="21"/>
        <v>0</v>
      </c>
      <c r="EF33" s="288">
        <f t="shared" si="22"/>
        <v>0</v>
      </c>
      <c r="EG33" s="288">
        <f t="shared" si="23"/>
        <v>0</v>
      </c>
      <c r="EH33" s="317" t="s">
        <v>7350</v>
      </c>
      <c r="EI33" s="290"/>
      <c r="EJ33" s="288" t="e">
        <f t="shared" si="24"/>
        <v>#VALUE!</v>
      </c>
      <c r="EK33" s="291" t="e">
        <f t="shared" si="25"/>
        <v>#VALUE!</v>
      </c>
      <c r="EL33" s="291" t="e">
        <f t="shared" si="26"/>
        <v>#VALUE!</v>
      </c>
      <c r="EM33" s="317" t="s">
        <v>7351</v>
      </c>
      <c r="EN33" s="288" t="e">
        <f t="shared" si="27"/>
        <v>#VALUE!</v>
      </c>
      <c r="EO33" s="291" t="e">
        <f t="shared" si="28"/>
        <v>#VALUE!</v>
      </c>
      <c r="EP33" s="291" t="e">
        <f t="shared" si="29"/>
        <v>#VALUE!</v>
      </c>
      <c r="EQ33" s="318" t="s">
        <v>7352</v>
      </c>
      <c r="ER33" s="657"/>
      <c r="ES33" s="731">
        <f t="shared" si="30"/>
        <v>0</v>
      </c>
      <c r="ET33" s="731">
        <f t="shared" si="31"/>
        <v>0</v>
      </c>
      <c r="EU33" s="292">
        <f t="shared" si="32"/>
        <v>0</v>
      </c>
      <c r="EV33" s="292">
        <f t="shared" si="33"/>
        <v>0</v>
      </c>
      <c r="EW33" s="292">
        <f t="shared" si="34"/>
        <v>0</v>
      </c>
      <c r="EX33" s="292">
        <f t="shared" si="35"/>
        <v>0</v>
      </c>
      <c r="EY33" s="292">
        <f>SUMPRODUCT(('ANALYSE - ERP =&gt; SOUS-SEGMENT'!$C$8:$C$154=$C33)*'ANALYSE - ERP =&gt; SOUS-SEGMENT'!$Q$8:$Q$154*'ANALYSE - ERP =&gt; SOUS-SEGMENT'!$FB$8:$FB$154)</f>
        <v>0</v>
      </c>
      <c r="EZ33" s="292">
        <f>SUMPRODUCT(('ANALYSE - ERP =&gt; SOUS-SEGMENT'!$C$8:$C$154=$C33)*'ANALYSE - ERP =&gt; SOUS-SEGMENT'!$Q$8:$Q$154*'ANALYSE - ERP =&gt; SOUS-SEGMENT'!$FC$8:$FC$154)</f>
        <v>0</v>
      </c>
      <c r="FA33" s="292">
        <f t="shared" si="36"/>
        <v>0</v>
      </c>
      <c r="FB33" s="292">
        <f>SUMPRODUCT(('ANALYSE - ERP =&gt; SOUS-SEGMENT'!$C$8:$C$154=$C33)*'ANALYSE - ERP =&gt; SOUS-SEGMENT'!$Q$8:$Q$154*'ANALYSE - ERP =&gt; SOUS-SEGMENT'!$FE$8:$FE$154)</f>
        <v>0</v>
      </c>
      <c r="FC33" s="292">
        <f>SUMPRODUCT(('ANALYSE - ERP =&gt; SOUS-SEGMENT'!$C$8:$C$154=$C33)*'ANALYSE - ERP =&gt; SOUS-SEGMENT'!$Q$8:$Q$154*'ANALYSE - ERP =&gt; SOUS-SEGMENT'!$FF$8:$FF$154)</f>
        <v>0</v>
      </c>
      <c r="FD33" s="292">
        <f t="shared" si="37"/>
        <v>0</v>
      </c>
      <c r="FE33" s="292">
        <f>SUMPRODUCT(('ANALYSE - ERP =&gt; SOUS-SEGMENT'!$C$8:$C$154=$C33)*'ANALYSE - ERP =&gt; SOUS-SEGMENT'!$Q$8:$Q$154*'ANALYSE - ERP =&gt; SOUS-SEGMENT'!$FH$8:$FH$154)</f>
        <v>0</v>
      </c>
      <c r="FF33" s="292">
        <f>SUMPRODUCT(('ANALYSE - ERP =&gt; SOUS-SEGMENT'!$C$8:$C$154=$C33)*'ANALYSE - ERP =&gt; SOUS-SEGMENT'!$Q$8:$Q$154*'ANALYSE - ERP =&gt; SOUS-SEGMENT'!$FI$8:$FI$154)</f>
        <v>0</v>
      </c>
      <c r="FG33" s="292">
        <f t="shared" si="38"/>
        <v>0</v>
      </c>
      <c r="FH33" s="292">
        <f>SUMPRODUCT(('ANALYSE - ERP =&gt; SOUS-SEGMENT'!$C$8:$C$154=$C33)*'ANALYSE - ERP =&gt; SOUS-SEGMENT'!$Q$8:$Q$154*'ANALYSE - ERP =&gt; SOUS-SEGMENT'!$FK$8:$FK$154)</f>
        <v>0</v>
      </c>
      <c r="FI33" s="292">
        <f>SUMPRODUCT(('ANALYSE - ERP =&gt; SOUS-SEGMENT'!$C$8:$C$154=$C33)*'ANALYSE - ERP =&gt; SOUS-SEGMENT'!$Q$8:$Q$154*'ANALYSE - ERP =&gt; SOUS-SEGMENT'!$FL$8:$FL$154)</f>
        <v>0</v>
      </c>
      <c r="FJ33" s="657"/>
      <c r="FK33" s="319" t="s">
        <v>2649</v>
      </c>
      <c r="FL33" s="731" t="str">
        <f>IFERROR(SUMPRODUCT(('ANALYSE - ERP =&gt; SOUS-SEGMENT'!$C$8:$C$154=$C33)*'ANALYSE - ERP =&gt; SOUS-SEGMENT'!$Q$8:$Q$154*'ANALYSE - ERP =&gt; SOUS-SEGMENT'!$AF$8:$AF$154*'ANALYSE - ERP =&gt; SOUS-SEGMENT'!$FO$8:$FO$154)/SUMPRODUCT(('ANALYSE - ERP =&gt; SOUS-SEGMENT'!$C$8:$C$154=$C33)*'ANALYSE - ERP =&gt; SOUS-SEGMENT'!$Q$8:$Q$154*'ANALYSE - ERP =&gt; SOUS-SEGMENT'!$AF$8:$AF$154),"")</f>
        <v/>
      </c>
      <c r="FM33" s="732" t="str">
        <f>IFERROR(SUMPRODUCT(('ANALYSE - ERP =&gt; SOUS-SEGMENT'!$C$8:$C$154=$C33)*'ANALYSE - ERP =&gt; SOUS-SEGMENT'!$Q$8:$Q$154*'ANALYSE - ERP =&gt; SOUS-SEGMENT'!$AF$8:$AF$154*'ANALYSE - ERP =&gt; SOUS-SEGMENT'!$FP$8:$FP$154)/SUMPRODUCT(('ANALYSE - ERP =&gt; SOUS-SEGMENT'!$C$8:$C$154=$C33)*'ANALYSE - ERP =&gt; SOUS-SEGMENT'!$Q$8:$Q$154*'ANALYSE - ERP =&gt; SOUS-SEGMENT'!$AF$8:$AF$154),"")</f>
        <v/>
      </c>
      <c r="FN33" s="320" t="s">
        <v>6780</v>
      </c>
      <c r="FO33" s="657"/>
      <c r="FP33" s="887" t="str">
        <f>IFERROR(SUMPRODUCT(('ANALYSE - ERP =&gt; SOUS-SEGMENT'!$C$8:$C$154=$C33)*'ANALYSE - ERP =&gt; SOUS-SEGMENT'!$Q$8:$Q$154*'ANALYSE - ERP =&gt; SOUS-SEGMENT'!$EX$8:$EX$154*'ANALYSE - ERP =&gt; SOUS-SEGMENT'!$FS$8:$FS$154)/SUMPRODUCT(('ANALYSE - ERP =&gt; SOUS-SEGMENT'!$C$8:$C$154=$C33)*'ANALYSE - ERP =&gt; SOUS-SEGMENT'!$Q$8:$Q$154*'ANALYSE - ERP =&gt; SOUS-SEGMENT'!$EX$8:$EX$154),"")</f>
        <v/>
      </c>
      <c r="FQ33" s="295" t="e">
        <f>RANK($FP33,$FP$8:$FP$143,0)+COUNTIF($FP$8:$FP33,$FP33)-1</f>
        <v>#VALUE!</v>
      </c>
      <c r="FR33" s="887" t="str">
        <f>IFERROR(SUMPRODUCT(('ANALYSE - ERP =&gt; SOUS-SEGMENT'!$C$8:$C$154=$C33)*'ANALYSE - ERP =&gt; SOUS-SEGMENT'!$Q$8:$Q$154*'ANALYSE - ERP =&gt; SOUS-SEGMENT'!$EY$8:$EY$154*'ANALYSE - ERP =&gt; SOUS-SEGMENT'!$FU$8:$FU$154)/SUMPRODUCT(('ANALYSE - ERP =&gt; SOUS-SEGMENT'!$C$8:$C$154=$C33)*'ANALYSE - ERP =&gt; SOUS-SEGMENT'!$Q$8:$Q$154*'ANALYSE - ERP =&gt; SOUS-SEGMENT'!$EY$8:$EY$154),"")</f>
        <v/>
      </c>
      <c r="FS33" s="295" t="e">
        <f>RANK($FR33,$FR$8:$FR$143,0)+COUNTIF($FR$8:$FR33,$FR33)-1</f>
        <v>#VALUE!</v>
      </c>
      <c r="FT33" s="887" t="str">
        <f>IFERROR(SUMPRODUCT(('ANALYSE - ERP =&gt; SOUS-SEGMENT'!$C$8:$C$154=$C33)*'ANALYSE - ERP =&gt; SOUS-SEGMENT'!$Q$8:$Q$154*'ANALYSE - ERP =&gt; SOUS-SEGMENT'!$EZ$8:$EZ$154*'ANALYSE - ERP =&gt; SOUS-SEGMENT'!$FW$8:$FW$154)/SUMPRODUCT(('ANALYSE - ERP =&gt; SOUS-SEGMENT'!$C$8:$C$154=$C33)*'ANALYSE - ERP =&gt; SOUS-SEGMENT'!$Q$8:$Q$154*'ANALYSE - ERP =&gt; SOUS-SEGMENT'!$EZ$8:$EZ$154),"")</f>
        <v/>
      </c>
      <c r="FU33" s="295" t="e">
        <f>RANK($FT33,$FT$8:$FT$143,0)+COUNTIF($FT$8:$FT33,$FT33)-1</f>
        <v>#VALUE!</v>
      </c>
      <c r="FV33" s="657"/>
      <c r="FW33" s="321" t="s">
        <v>7353</v>
      </c>
      <c r="FX33" s="321" t="s">
        <v>7354</v>
      </c>
      <c r="FY33" s="321" t="s">
        <v>7355</v>
      </c>
      <c r="FZ33" s="321" t="s">
        <v>7356</v>
      </c>
      <c r="GA33" s="321" t="s">
        <v>7357</v>
      </c>
      <c r="GB33" s="321" t="s">
        <v>7358</v>
      </c>
      <c r="GC33" s="321" t="s">
        <v>6759</v>
      </c>
      <c r="GD33" s="657"/>
      <c r="GE33" s="292">
        <f>SUMPRODUCT(('ANALYSE - ERP =&gt; SOUS-SEGMENT'!$C$8:$C$154=$C33)*'ANALYSE - ERP =&gt; SOUS-SEGMENT'!$Q$8:$Q$154*'ANALYSE - ERP =&gt; SOUS-SEGMENT'!$GH$8:$GH$154)</f>
        <v>0</v>
      </c>
      <c r="GF33" s="292">
        <f>SUMPRODUCT(('ANALYSE - ERP =&gt; SOUS-SEGMENT'!$C$8:$C$154=$C33)*'ANALYSE - ERP =&gt; SOUS-SEGMENT'!$Q$8:$Q$154*'ANALYSE - ERP =&gt; SOUS-SEGMENT'!$GI$8:$GI$154)</f>
        <v>0</v>
      </c>
      <c r="GG33" s="292">
        <f>SUMPRODUCT(('ANALYSE - ERP =&gt; SOUS-SEGMENT'!$C$8:$C$154=$C33)*'ANALYSE - ERP =&gt; SOUS-SEGMENT'!$Q$8:$Q$154*'ANALYSE - ERP =&gt; SOUS-SEGMENT'!$GJ$8:$GJ$154)</f>
        <v>0</v>
      </c>
      <c r="GH33" s="292">
        <f>SUMPRODUCT(('ANALYSE - ERP =&gt; SOUS-SEGMENT'!$C$8:$C$154=$C33)*'ANALYSE - ERP =&gt; SOUS-SEGMENT'!$Q$8:$Q$154*'ANALYSE - ERP =&gt; SOUS-SEGMENT'!$GK$8:$GK$154)</f>
        <v>0</v>
      </c>
      <c r="GI33" s="292">
        <f>SUMPRODUCT(('ANALYSE - ERP =&gt; SOUS-SEGMENT'!$C$8:$C$154=$C33)*'ANALYSE - ERP =&gt; SOUS-SEGMENT'!$Q$8:$Q$154*'ANALYSE - ERP =&gt; SOUS-SEGMENT'!$GL$8:$GL$154)</f>
        <v>0</v>
      </c>
      <c r="GJ33" s="292">
        <f>SUMPRODUCT(('ANALYSE - ERP =&gt; SOUS-SEGMENT'!$C$8:$C$154=$C33)*'ANALYSE - ERP =&gt; SOUS-SEGMENT'!$Q$8:$Q$154*'ANALYSE - ERP =&gt; SOUS-SEGMENT'!$GM$8:$GM$154)</f>
        <v>0</v>
      </c>
      <c r="GK33" s="292">
        <f>SUMPRODUCT(('ANALYSE - ERP =&gt; SOUS-SEGMENT'!$C$8:$C$154=$C33)*'ANALYSE - ERP =&gt; SOUS-SEGMENT'!$Q$8:$Q$154*'ANALYSE - ERP =&gt; SOUS-SEGMENT'!$GN$8:$GN$154)</f>
        <v>0</v>
      </c>
      <c r="GL33" s="292">
        <f>SUMPRODUCT(('ANALYSE - ERP =&gt; SOUS-SEGMENT'!$C$8:$C$154=$C33)*'ANALYSE - ERP =&gt; SOUS-SEGMENT'!$Q$8:$Q$154*'ANALYSE - ERP =&gt; SOUS-SEGMENT'!$GO$8:$GO$154)</f>
        <v>0</v>
      </c>
      <c r="GM33" s="292">
        <f>SUMPRODUCT(('ANALYSE - ERP =&gt; SOUS-SEGMENT'!$C$8:$C$154=$C33)*'ANALYSE - ERP =&gt; SOUS-SEGMENT'!$Q$8:$Q$154*'ANALYSE - ERP =&gt; SOUS-SEGMENT'!$GP$8:$GP$154)</f>
        <v>0</v>
      </c>
      <c r="GN33" s="292">
        <f>SUMPRODUCT(('ANALYSE - ERP =&gt; SOUS-SEGMENT'!$C$8:$C$154=$C33)*'ANALYSE - ERP =&gt; SOUS-SEGMENT'!$Q$8:$Q$154*'ANALYSE - ERP =&gt; SOUS-SEGMENT'!$GQ$8:$GQ$154)</f>
        <v>0</v>
      </c>
      <c r="GO33" s="292">
        <f>SUMPRODUCT(('ANALYSE - ERP =&gt; SOUS-SEGMENT'!$C$8:$C$154=$C33)*'ANALYSE - ERP =&gt; SOUS-SEGMENT'!$Q$8:$Q$154*'ANALYSE - ERP =&gt; SOUS-SEGMENT'!$GR$8:$GR$154)</f>
        <v>0</v>
      </c>
      <c r="GP33" s="292">
        <f>SUMPRODUCT(('ANALYSE - ERP =&gt; SOUS-SEGMENT'!$C$8:$C$154=$C33)*'ANALYSE - ERP =&gt; SOUS-SEGMENT'!$Q$8:$Q$154*'ANALYSE - ERP =&gt; SOUS-SEGMENT'!$GS$8:$GS$154)</f>
        <v>0</v>
      </c>
      <c r="GQ33" s="292">
        <f>SUMPRODUCT(('ANALYSE - ERP =&gt; SOUS-SEGMENT'!$C$8:$C$154=$C33)*'ANALYSE - ERP =&gt; SOUS-SEGMENT'!$Q$8:$Q$154*'ANALYSE - ERP =&gt; SOUS-SEGMENT'!$GT$8:$GT$154)</f>
        <v>0</v>
      </c>
      <c r="GR33" s="292">
        <f>SUMPRODUCT(('ANALYSE - ERP =&gt; SOUS-SEGMENT'!$C$8:$C$154=$C33)*'ANALYSE - ERP =&gt; SOUS-SEGMENT'!$Q$8:$Q$154*'ANALYSE - ERP =&gt; SOUS-SEGMENT'!$GU$8:$GU$154)</f>
        <v>0</v>
      </c>
      <c r="GS33" s="292">
        <f>SUMPRODUCT(('ANALYSE - ERP =&gt; SOUS-SEGMENT'!$C$8:$C$154=$C33)*'ANALYSE - ERP =&gt; SOUS-SEGMENT'!$Q$8:$Q$154*'ANALYSE - ERP =&gt; SOUS-SEGMENT'!$GV$8:$GV$154)</f>
        <v>0</v>
      </c>
      <c r="GT33" s="292">
        <f>SUMPRODUCT(('ANALYSE - ERP =&gt; SOUS-SEGMENT'!$C$8:$C$154=$C33)*'ANALYSE - ERP =&gt; SOUS-SEGMENT'!$Q$8:$Q$154*'ANALYSE - ERP =&gt; SOUS-SEGMENT'!$GW$8:$GW$154)</f>
        <v>0</v>
      </c>
      <c r="GU33" s="292">
        <f>SUMPRODUCT(('ANALYSE - ERP =&gt; SOUS-SEGMENT'!$C$8:$C$154=$C33)*'ANALYSE - ERP =&gt; SOUS-SEGMENT'!$Q$8:$Q$154*'ANALYSE - ERP =&gt; SOUS-SEGMENT'!$GX$8:$GX$154)</f>
        <v>0</v>
      </c>
      <c r="GV33" s="292">
        <f>SUMPRODUCT(('ANALYSE - ERP =&gt; SOUS-SEGMENT'!$C$8:$C$154=$C33)*'ANALYSE - ERP =&gt; SOUS-SEGMENT'!$Q$8:$Q$154*'ANALYSE - ERP =&gt; SOUS-SEGMENT'!$GY$8:$GY$154)</f>
        <v>0</v>
      </c>
      <c r="GW33" s="292">
        <f>SUMPRODUCT(('ANALYSE - ERP =&gt; SOUS-SEGMENT'!$C$8:$C$154=$C33)*'ANALYSE - ERP =&gt; SOUS-SEGMENT'!$Q$8:$Q$154*'ANALYSE - ERP =&gt; SOUS-SEGMENT'!$GZ$8:$GZ$154)</f>
        <v>0</v>
      </c>
      <c r="GX33" s="292">
        <f>SUMPRODUCT(('ANALYSE - ERP =&gt; SOUS-SEGMENT'!$C$8:$C$154=$C33)*'ANALYSE - ERP =&gt; SOUS-SEGMENT'!$Q$8:$Q$154*'ANALYSE - ERP =&gt; SOUS-SEGMENT'!$HA$8:$HA$154)</f>
        <v>0</v>
      </c>
      <c r="GY33" s="292">
        <f>SUMPRODUCT(('ANALYSE - ERP =&gt; SOUS-SEGMENT'!$C$8:$C$154=$C33)*'ANALYSE - ERP =&gt; SOUS-SEGMENT'!$Q$8:$Q$154*'ANALYSE - ERP =&gt; SOUS-SEGMENT'!$HB$8:$HB$154)</f>
        <v>0</v>
      </c>
      <c r="GZ33" s="292">
        <f>SUMPRODUCT(('ANALYSE - ERP =&gt; SOUS-SEGMENT'!$C$8:$C$154=$C33)*'ANALYSE - ERP =&gt; SOUS-SEGMENT'!$Q$8:$Q$154*'ANALYSE - ERP =&gt; SOUS-SEGMENT'!$HC$8:$HC$154)</f>
        <v>0</v>
      </c>
      <c r="HA33" s="292">
        <f>SUMPRODUCT(('ANALYSE - ERP =&gt; SOUS-SEGMENT'!$C$8:$C$154=$C33)*'ANALYSE - ERP =&gt; SOUS-SEGMENT'!$Q$8:$Q$154*'ANALYSE - ERP =&gt; SOUS-SEGMENT'!$HD$8:$HD$154)</f>
        <v>0</v>
      </c>
      <c r="HB33" s="292">
        <f>SUMPRODUCT(('ANALYSE - ERP =&gt; SOUS-SEGMENT'!$C$8:$C$154=$C33)*'ANALYSE - ERP =&gt; SOUS-SEGMENT'!$Q$8:$Q$154*'ANALYSE - ERP =&gt; SOUS-SEGMENT'!$HE$8:$HE$154)</f>
        <v>0</v>
      </c>
      <c r="HC33" s="292">
        <f>SUMPRODUCT(('ANALYSE - ERP =&gt; SOUS-SEGMENT'!$C$8:$C$154=$C33)*'ANALYSE - ERP =&gt; SOUS-SEGMENT'!$Q$8:$Q$154*'ANALYSE - ERP =&gt; SOUS-SEGMENT'!$HF$8:$HF$154)</f>
        <v>0</v>
      </c>
      <c r="HD33" s="292">
        <f>SUMPRODUCT(('ANALYSE - ERP =&gt; SOUS-SEGMENT'!$C$8:$C$154=$C33)*'ANALYSE - ERP =&gt; SOUS-SEGMENT'!$Q$8:$Q$154*'ANALYSE - ERP =&gt; SOUS-SEGMENT'!$HG$8:$HG$154)</f>
        <v>0</v>
      </c>
      <c r="HE33" s="292">
        <f>SUMPRODUCT(('ANALYSE - ERP =&gt; SOUS-SEGMENT'!$C$8:$C$154=$C33)*'ANALYSE - ERP =&gt; SOUS-SEGMENT'!$Q$8:$Q$154*'ANALYSE - ERP =&gt; SOUS-SEGMENT'!$HH$8:$HH$154)</f>
        <v>0</v>
      </c>
      <c r="HF33" s="292">
        <f>SUMPRODUCT(('ANALYSE - ERP =&gt; SOUS-SEGMENT'!$C$8:$C$154=$C33)*'ANALYSE - ERP =&gt; SOUS-SEGMENT'!$Q$8:$Q$154*'ANALYSE - ERP =&gt; SOUS-SEGMENT'!$HI$8:$HI$154)</f>
        <v>0</v>
      </c>
      <c r="HG33" s="292">
        <f>SUMPRODUCT(('ANALYSE - ERP =&gt; SOUS-SEGMENT'!$C$8:$C$154=$C33)*'ANALYSE - ERP =&gt; SOUS-SEGMENT'!$Q$8:$Q$154*'ANALYSE - ERP =&gt; SOUS-SEGMENT'!$HJ$8:$HJ$154)</f>
        <v>0</v>
      </c>
      <c r="HH33" s="292">
        <f>SUMPRODUCT(('ANALYSE - ERP =&gt; SOUS-SEGMENT'!$C$8:$C$154=$C33)*'ANALYSE - ERP =&gt; SOUS-SEGMENT'!$Q$8:$Q$154*'ANALYSE - ERP =&gt; SOUS-SEGMENT'!$HK$8:$HK$154)</f>
        <v>0</v>
      </c>
      <c r="HI33" s="292">
        <f>SUMPRODUCT(('ANALYSE - ERP =&gt; SOUS-SEGMENT'!$C$8:$C$154=$C33)*'ANALYSE - ERP =&gt; SOUS-SEGMENT'!$Q$8:$Q$154*'ANALYSE - ERP =&gt; SOUS-SEGMENT'!$HL$8:$HL$154)</f>
        <v>0</v>
      </c>
      <c r="HJ33" s="292">
        <f>SUMPRODUCT(('ANALYSE - ERP =&gt; SOUS-SEGMENT'!$C$8:$C$154=$C33)*'ANALYSE - ERP =&gt; SOUS-SEGMENT'!$Q$8:$Q$154*'ANALYSE - ERP =&gt; SOUS-SEGMENT'!$HM$8:$HM$154)</f>
        <v>0</v>
      </c>
      <c r="HK33" s="292">
        <f>SUMPRODUCT(('ANALYSE - ERP =&gt; SOUS-SEGMENT'!$C$8:$C$154=$C33)*'ANALYSE - ERP =&gt; SOUS-SEGMENT'!$Q$8:$Q$154*'ANALYSE - ERP =&gt; SOUS-SEGMENT'!$HN$8:$HN$154)</f>
        <v>0</v>
      </c>
      <c r="HL33" s="292">
        <f>SUMPRODUCT(('ANALYSE - ERP =&gt; SOUS-SEGMENT'!$C$8:$C$154=$C33)*'ANALYSE - ERP =&gt; SOUS-SEGMENT'!$Q$8:$Q$154*'ANALYSE - ERP =&gt; SOUS-SEGMENT'!$HO$8:$HO$154)</f>
        <v>0</v>
      </c>
      <c r="HM33" s="292">
        <f>SUMPRODUCT(('ANALYSE - ERP =&gt; SOUS-SEGMENT'!$C$8:$C$154=$C33)*'ANALYSE - ERP =&gt; SOUS-SEGMENT'!$Q$8:$Q$154*'ANALYSE - ERP =&gt; SOUS-SEGMENT'!$HP$8:$HP$154)</f>
        <v>0</v>
      </c>
      <c r="HN33" s="292">
        <f>SUMPRODUCT(('ANALYSE - ERP =&gt; SOUS-SEGMENT'!$C$8:$C$154=$C33)*'ANALYSE - ERP =&gt; SOUS-SEGMENT'!$Q$8:$Q$154*'ANALYSE - ERP =&gt; SOUS-SEGMENT'!$HQ$8:$HQ$154)</f>
        <v>0</v>
      </c>
      <c r="HO33" s="292">
        <f>SUMPRODUCT(('ANALYSE - ERP =&gt; SOUS-SEGMENT'!$C$8:$C$154=$C33)*'ANALYSE - ERP =&gt; SOUS-SEGMENT'!$Q$8:$Q$154*'ANALYSE - ERP =&gt; SOUS-SEGMENT'!$HR$8:$HR$154)</f>
        <v>0</v>
      </c>
      <c r="HP33" s="292">
        <f>SUMPRODUCT(('ANALYSE - ERP =&gt; SOUS-SEGMENT'!$C$8:$C$154=$C33)*'ANALYSE - ERP =&gt; SOUS-SEGMENT'!$Q$8:$Q$154*'ANALYSE - ERP =&gt; SOUS-SEGMENT'!$HS$8:$HS$154)</f>
        <v>0</v>
      </c>
      <c r="HQ33" s="292">
        <f>SUMPRODUCT(('ANALYSE - ERP =&gt; SOUS-SEGMENT'!$C$8:$C$154=$C33)*'ANALYSE - ERP =&gt; SOUS-SEGMENT'!$Q$8:$Q$154*'ANALYSE - ERP =&gt; SOUS-SEGMENT'!$HT$8:$HT$154)</f>
        <v>0</v>
      </c>
      <c r="HR33" s="292">
        <f>SUMPRODUCT(('ANALYSE - ERP =&gt; SOUS-SEGMENT'!$C$8:$C$154=$C33)*'ANALYSE - ERP =&gt; SOUS-SEGMENT'!$Q$8:$Q$154*'ANALYSE - ERP =&gt; SOUS-SEGMENT'!$HU$8:$HU$154)</f>
        <v>0</v>
      </c>
      <c r="HS33" s="292">
        <f>SUMPRODUCT(('ANALYSE - ERP =&gt; SOUS-SEGMENT'!$C$8:$C$154=$C33)*'ANALYSE - ERP =&gt; SOUS-SEGMENT'!$Q$8:$Q$154*'ANALYSE - ERP =&gt; SOUS-SEGMENT'!$HV$8:$HV$154)</f>
        <v>0</v>
      </c>
      <c r="HT33" s="292">
        <f>SUMPRODUCT(('ANALYSE - ERP =&gt; SOUS-SEGMENT'!$C$8:$C$154=$C33)*'ANALYSE - ERP =&gt; SOUS-SEGMENT'!$Q$8:$Q$154*'ANALYSE - ERP =&gt; SOUS-SEGMENT'!$HW$8:$HW$154)</f>
        <v>0</v>
      </c>
      <c r="HV33" s="297">
        <f t="shared" si="40"/>
        <v>5927.5</v>
      </c>
      <c r="HW33" s="297">
        <f>SUMPRODUCT(('ANALYSE - ERP =&gt; SOUS-SEGMENT'!$C$8:$C$154=$C33)*'ANALYSE - ERP =&gt; SOUS-SEGMENT'!$Q$8:$Q$154*'ANALYSE - ERP =&gt; SOUS-SEGMENT'!$HZ$8:$HZ$154)</f>
        <v>0</v>
      </c>
      <c r="HX33" s="297">
        <f>SUMPRODUCT(('ANALYSE - ERP =&gt; SOUS-SEGMENT'!$C$8:$C$154=$C33)*'ANALYSE - ERP =&gt; SOUS-SEGMENT'!$Q$8:$Q$154*'ANALYSE - ERP =&gt; SOUS-SEGMENT'!$IA$8:$IA$154)</f>
        <v>0</v>
      </c>
      <c r="HY33" s="297">
        <f>SUMPRODUCT(('ANALYSE - ERP =&gt; SOUS-SEGMENT'!$C$8:$C$154=$C33)*'ANALYSE - ERP =&gt; SOUS-SEGMENT'!$Q$8:$Q$154*'ANALYSE - ERP =&gt; SOUS-SEGMENT'!$IB$8:$IB$154)</f>
        <v>0</v>
      </c>
      <c r="HZ33" s="297">
        <f>SUMPRODUCT(('ANALYSE - ERP =&gt; SOUS-SEGMENT'!$C$8:$C$154=$C33)*'ANALYSE - ERP =&gt; SOUS-SEGMENT'!$Q$8:$Q$154*'ANALYSE - ERP =&gt; SOUS-SEGMENT'!$IC$8:$IC$154)</f>
        <v>0</v>
      </c>
      <c r="IA33" s="297">
        <f>SUMPRODUCT(('ANALYSE - ERP =&gt; SOUS-SEGMENT'!$C$8:$C$154=$C33)*'ANALYSE - ERP =&gt; SOUS-SEGMENT'!$Q$8:$Q$154*'ANALYSE - ERP =&gt; SOUS-SEGMENT'!$ID$8:$ID$154)</f>
        <v>0</v>
      </c>
      <c r="IB33" s="297">
        <f>SUMPRODUCT(('ANALYSE - ERP =&gt; SOUS-SEGMENT'!$C$8:$C$154=$C33)*'ANALYSE - ERP =&gt; SOUS-SEGMENT'!$Q$8:$Q$154*'ANALYSE - ERP =&gt; SOUS-SEGMENT'!$IE$8:$IE$154)</f>
        <v>0</v>
      </c>
      <c r="IC33" s="297">
        <f>SUMPRODUCT(('ANALYSE - ERP =&gt; SOUS-SEGMENT'!$C$8:$C$154=$C33)*'ANALYSE - ERP =&gt; SOUS-SEGMENT'!$Q$8:$Q$154*'ANALYSE - ERP =&gt; SOUS-SEGMENT'!$IF$8:$IF$154)</f>
        <v>0</v>
      </c>
      <c r="ID33" s="297">
        <f>SUMPRODUCT(('ANALYSE - ERP =&gt; SOUS-SEGMENT'!$C$8:$C$154=$C33)*'ANALYSE - ERP =&gt; SOUS-SEGMENT'!$Q$8:$Q$154*'ANALYSE - ERP =&gt; SOUS-SEGMENT'!$IG$8:$IG$154)</f>
        <v>0</v>
      </c>
      <c r="IE33" s="297">
        <f>SUMPRODUCT(('ANALYSE - ERP =&gt; SOUS-SEGMENT'!$C$8:$C$154=$C33)*'ANALYSE - ERP =&gt; SOUS-SEGMENT'!$Q$8:$Q$154*'ANALYSE - ERP =&gt; SOUS-SEGMENT'!$IH$8:$IH$154)</f>
        <v>0</v>
      </c>
      <c r="IF33" s="297">
        <f>SUMPRODUCT(('ANALYSE - ERP =&gt; SOUS-SEGMENT'!$C$8:$C$154=$C33)*'ANALYSE - ERP =&gt; SOUS-SEGMENT'!$Q$8:$Q$154*'ANALYSE - ERP =&gt; SOUS-SEGMENT'!$II$8:$II$154)</f>
        <v>0</v>
      </c>
      <c r="IG33" s="297">
        <f>SUMPRODUCT(('ANALYSE - ERP =&gt; SOUS-SEGMENT'!$C$8:$C$154=$C33)*'ANALYSE - ERP =&gt; SOUS-SEGMENT'!$Q$8:$Q$154*'ANALYSE - ERP =&gt; SOUS-SEGMENT'!$IJ$8:$IJ$154)</f>
        <v>0</v>
      </c>
      <c r="IH33" s="888"/>
      <c r="II33" s="298" t="s">
        <v>2589</v>
      </c>
      <c r="IJ33" s="322" t="s">
        <v>6760</v>
      </c>
      <c r="IK33" s="657"/>
      <c r="IL33" s="747">
        <f>IFERROR(SUMPRODUCT(('ANALYSE - ERP =&gt; SOUS-SEGMENT'!$C$8:$C$154=$C33)*'ANALYSE - ERP =&gt; SOUS-SEGMENT'!$Q$8:$Q$154*'ANALYSE - ERP =&gt; SOUS-SEGMENT'!$BE$8:$BE$154*'ANALYSE - ERP =&gt; SOUS-SEGMENT'!$IO$8:$IO$154)/SUMPRODUCT(('ANALYSE - ERP =&gt; SOUS-SEGMENT'!$C$8:$C$154=$C33)*'ANALYSE - ERP =&gt; SOUS-SEGMENT'!$Q$8:$Q$154*'ANALYSE - ERP =&gt; SOUS-SEGMENT'!$BE$8:$BE$154),0)</f>
        <v>0</v>
      </c>
      <c r="IM33" s="748">
        <f>IFERROR(SUMPRODUCT(('ANALYSE - ERP =&gt; SOUS-SEGMENT'!$C$8:$C$154=$C33)*'ANALYSE - ERP =&gt; SOUS-SEGMENT'!$Q$8:$Q$154*'ANALYSE - ERP =&gt; SOUS-SEGMENT'!$BE$8:$BE$154*'ANALYSE - ERP =&gt; SOUS-SEGMENT'!$IP$8:$IP$154)/SUMPRODUCT(('ANALYSE - ERP =&gt; SOUS-SEGMENT'!$C$8:$C$154=$C33)*'ANALYSE - ERP =&gt; SOUS-SEGMENT'!$Q$8:$Q$154*'ANALYSE - ERP =&gt; SOUS-SEGMENT'!$BE$8:$BE$154),0)</f>
        <v>0</v>
      </c>
      <c r="IN33" s="748">
        <f>IFERROR(SUMPRODUCT(('ANALYSE - ERP =&gt; SOUS-SEGMENT'!$C$8:$C$154=$C33)*'ANALYSE - ERP =&gt; SOUS-SEGMENT'!$Q$8:$Q$154*'ANALYSE - ERP =&gt; SOUS-SEGMENT'!$BE$8:$BE$154*'ANALYSE - ERP =&gt; SOUS-SEGMENT'!$IQ$8:$IQ$154)/SUMPRODUCT(('ANALYSE - ERP =&gt; SOUS-SEGMENT'!$C$8:$C$154=$C33)*'ANALYSE - ERP =&gt; SOUS-SEGMENT'!$Q$8:$Q$154*'ANALYSE - ERP =&gt; SOUS-SEGMENT'!$BE$8:$BE$154),0)</f>
        <v>0</v>
      </c>
      <c r="IO33" s="748">
        <f>IFERROR(SUMPRODUCT(('ANALYSE - ERP =&gt; SOUS-SEGMENT'!$C$8:$C$154=$C33)*'ANALYSE - ERP =&gt; SOUS-SEGMENT'!$Q$8:$Q$154*'ANALYSE - ERP =&gt; SOUS-SEGMENT'!$BE$8:$BE$154*'ANALYSE - ERP =&gt; SOUS-SEGMENT'!$IR$8:$IR$154)/SUMPRODUCT(('ANALYSE - ERP =&gt; SOUS-SEGMENT'!$C$8:$C$154=$C33)*'ANALYSE - ERP =&gt; SOUS-SEGMENT'!$Q$8:$Q$154*'ANALYSE - ERP =&gt; SOUS-SEGMENT'!$BE$8:$BE$154),0)</f>
        <v>0</v>
      </c>
      <c r="IP33" s="749">
        <f>IFERROR(SUMPRODUCT(('ANALYSE - ERP =&gt; SOUS-SEGMENT'!$C$8:$C$154=$C33)*'ANALYSE - ERP =&gt; SOUS-SEGMENT'!$Q$8:$Q$154*'ANALYSE - ERP =&gt; SOUS-SEGMENT'!$BE$8:$BE$154*'ANALYSE - ERP =&gt; SOUS-SEGMENT'!$IS$8:$IS$154)/SUMPRODUCT(('ANALYSE - ERP =&gt; SOUS-SEGMENT'!$C$8:$C$154=$C33)*'ANALYSE - ERP =&gt; SOUS-SEGMENT'!$Q$8:$Q$154*'ANALYSE - ERP =&gt; SOUS-SEGMENT'!$BE$8:$BE$154),0)</f>
        <v>0</v>
      </c>
      <c r="IQ33" s="748">
        <f>IFERROR(SUMPRODUCT(('ANALYSE - ERP =&gt; SOUS-SEGMENT'!$C$8:$C$154=$C33)*'ANALYSE - ERP =&gt; SOUS-SEGMENT'!$Q$8:$Q$154*'ANALYSE - ERP =&gt; SOUS-SEGMENT'!$FB$8:$FB$154*'ANALYSE - ERP =&gt; SOUS-SEGMENT'!$IT$8:$IT$154)/SUMPRODUCT(('ANALYSE - ERP =&gt; SOUS-SEGMENT'!$C$8:$C$154=$C33)*'ANALYSE - ERP =&gt; SOUS-SEGMENT'!$Q$8:$Q$154*'ANALYSE - ERP =&gt; SOUS-SEGMENT'!$FB$8:$FB$154),0)</f>
        <v>0</v>
      </c>
      <c r="IR33" s="748">
        <f>IFERROR(SUMPRODUCT(('ANALYSE - ERP =&gt; SOUS-SEGMENT'!$C$8:$C$154=$C33)*'ANALYSE - ERP =&gt; SOUS-SEGMENT'!$Q$8:$Q$154*'ANALYSE - ERP =&gt; SOUS-SEGMENT'!$FB$8:$FB$154*'ANALYSE - ERP =&gt; SOUS-SEGMENT'!$IU$8:$IU$154)/SUMPRODUCT(('ANALYSE - ERP =&gt; SOUS-SEGMENT'!$C$8:$C$154=$C33)*'ANALYSE - ERP =&gt; SOUS-SEGMENT'!$Q$8:$Q$154*'ANALYSE - ERP =&gt; SOUS-SEGMENT'!$FB$8:$FB$154),0)</f>
        <v>0</v>
      </c>
      <c r="IS33" s="748">
        <f>IFERROR(SUMPRODUCT(('ANALYSE - ERP =&gt; SOUS-SEGMENT'!$C$8:$C$154=$C33)*'ANALYSE - ERP =&gt; SOUS-SEGMENT'!$Q$8:$Q$154*'ANALYSE - ERP =&gt; SOUS-SEGMENT'!$FB$8:$FB$154*'ANALYSE - ERP =&gt; SOUS-SEGMENT'!$IV$8:$IV$154)/SUMPRODUCT(('ANALYSE - ERP =&gt; SOUS-SEGMENT'!$C$8:$C$154=$C33)*'ANALYSE - ERP =&gt; SOUS-SEGMENT'!$Q$8:$Q$154*'ANALYSE - ERP =&gt; SOUS-SEGMENT'!$FB$8:$FB$154),0)</f>
        <v>0</v>
      </c>
      <c r="IT33" s="748">
        <f>IFERROR(SUMPRODUCT(('ANALYSE - ERP =&gt; SOUS-SEGMENT'!$C$8:$C$154=$C33)*'ANALYSE - ERP =&gt; SOUS-SEGMENT'!$Q$8:$Q$154*'ANALYSE - ERP =&gt; SOUS-SEGMENT'!$FB$8:$FB$154*'ANALYSE - ERP =&gt; SOUS-SEGMENT'!$IW$8:$IW$154)/SUMPRODUCT(('ANALYSE - ERP =&gt; SOUS-SEGMENT'!$C$8:$C$154=$C33)*'ANALYSE - ERP =&gt; SOUS-SEGMENT'!$Q$8:$Q$154*'ANALYSE - ERP =&gt; SOUS-SEGMENT'!$FB$8:$FB$154),0)</f>
        <v>0</v>
      </c>
      <c r="IU33" s="748">
        <f>IFERROR(SUMPRODUCT(('ANALYSE - ERP =&gt; SOUS-SEGMENT'!$C$8:$C$154=$C33)*'ANALYSE - ERP =&gt; SOUS-SEGMENT'!$Q$8:$Q$154*'ANALYSE - ERP =&gt; SOUS-SEGMENT'!$FB$8:$FB$154*'ANALYSE - ERP =&gt; SOUS-SEGMENT'!$IX$8:$IX$154)/SUMPRODUCT(('ANALYSE - ERP =&gt; SOUS-SEGMENT'!$C$8:$C$154=$C33)*'ANALYSE - ERP =&gt; SOUS-SEGMENT'!$Q$8:$Q$154*'ANALYSE - ERP =&gt; SOUS-SEGMENT'!$FB$8:$FB$154),0)</f>
        <v>0</v>
      </c>
      <c r="IV33" s="772">
        <f>IFERROR(SUMPRODUCT(('ANALYSE - ERP =&gt; SOUS-SEGMENT'!$C$8:$C$154=$C33)*'ANALYSE - ERP =&gt; SOUS-SEGMENT'!$Q$8:$Q$154*'ANALYSE - ERP =&gt; SOUS-SEGMENT'!$BF$8:$BF$154*'ANALYSE - ERP =&gt; SOUS-SEGMENT'!$IY$8:$IY$154)/SUMPRODUCT(('ANALYSE - ERP =&gt; SOUS-SEGMENT'!$C$8:$C$154=$C33)*'ANALYSE - ERP =&gt; SOUS-SEGMENT'!$Q$8:$Q$154*'ANALYSE - ERP =&gt; SOUS-SEGMENT'!$BF$8:$BF$154),0)</f>
        <v>0</v>
      </c>
      <c r="IW33" s="773">
        <f>IFERROR(SUMPRODUCT(('ANALYSE - ERP =&gt; SOUS-SEGMENT'!$C$8:$C$154=$C33)*'ANALYSE - ERP =&gt; SOUS-SEGMENT'!$Q$8:$Q$154*'ANALYSE - ERP =&gt; SOUS-SEGMENT'!$BF$8:$BF$154*'ANALYSE - ERP =&gt; SOUS-SEGMENT'!$IZ$8:$IZ$154)/SUMPRODUCT(('ANALYSE - ERP =&gt; SOUS-SEGMENT'!$C$8:$C$154=$C33)*'ANALYSE - ERP =&gt; SOUS-SEGMENT'!$Q$8:$Q$154*'ANALYSE - ERP =&gt; SOUS-SEGMENT'!$BF$8:$BF$154),0)</f>
        <v>0</v>
      </c>
      <c r="IX33" s="773">
        <f>IFERROR(SUMPRODUCT(('ANALYSE - ERP =&gt; SOUS-SEGMENT'!$C$8:$C$154=$C33)*'ANALYSE - ERP =&gt; SOUS-SEGMENT'!$Q$8:$Q$154*'ANALYSE - ERP =&gt; SOUS-SEGMENT'!$BF$8:$BF$154*'ANALYSE - ERP =&gt; SOUS-SEGMENT'!$JA$8:$JA$154)/SUMPRODUCT(('ANALYSE - ERP =&gt; SOUS-SEGMENT'!$C$8:$C$154=$C33)*'ANALYSE - ERP =&gt; SOUS-SEGMENT'!$Q$8:$Q$154*'ANALYSE - ERP =&gt; SOUS-SEGMENT'!$BF$8:$BF$154),0)</f>
        <v>0</v>
      </c>
      <c r="IY33" s="773">
        <f>IFERROR(SUMPRODUCT(('ANALYSE - ERP =&gt; SOUS-SEGMENT'!$C$8:$C$154=$C33)*'ANALYSE - ERP =&gt; SOUS-SEGMENT'!$Q$8:$Q$154*'ANALYSE - ERP =&gt; SOUS-SEGMENT'!$BF$8:$BF$154*'ANALYSE - ERP =&gt; SOUS-SEGMENT'!$JB$8:$JB$154)/SUMPRODUCT(('ANALYSE - ERP =&gt; SOUS-SEGMENT'!$C$8:$C$154=$C33)*'ANALYSE - ERP =&gt; SOUS-SEGMENT'!$Q$8:$Q$154*'ANALYSE - ERP =&gt; SOUS-SEGMENT'!$BF$8:$BF$154),0)</f>
        <v>0</v>
      </c>
      <c r="IZ33" s="774">
        <f>IFERROR(SUMPRODUCT(('ANALYSE - ERP =&gt; SOUS-SEGMENT'!$C$8:$C$154=$C33)*'ANALYSE - ERP =&gt; SOUS-SEGMENT'!$Q$8:$Q$154*'ANALYSE - ERP =&gt; SOUS-SEGMENT'!$BF$8:$BF$154*'ANALYSE - ERP =&gt; SOUS-SEGMENT'!$JC$8:$JC$154)/SUMPRODUCT(('ANALYSE - ERP =&gt; SOUS-SEGMENT'!$C$8:$C$154=$C33)*'ANALYSE - ERP =&gt; SOUS-SEGMENT'!$Q$8:$Q$154*'ANALYSE - ERP =&gt; SOUS-SEGMENT'!$BF$8:$BF$154),0)</f>
        <v>0</v>
      </c>
      <c r="JA33" s="773">
        <f>IFERROR(SUMPRODUCT(('ANALYSE - ERP =&gt; SOUS-SEGMENT'!$C$8:$C$154=$C33)*'ANALYSE - ERP =&gt; SOUS-SEGMENT'!$Q$8:$Q$154*'ANALYSE - ERP =&gt; SOUS-SEGMENT'!$FE$8:$FE$154*'ANALYSE - ERP =&gt; SOUS-SEGMENT'!$JD$8:$JD$154)/SUMPRODUCT(('ANALYSE - ERP =&gt; SOUS-SEGMENT'!$C$8:$C$154=$C33)*'ANALYSE - ERP =&gt; SOUS-SEGMENT'!$Q$8:$Q$154*'ANALYSE - ERP =&gt; SOUS-SEGMENT'!$FE$8:$FE$154),0)</f>
        <v>0</v>
      </c>
      <c r="JB33" s="773">
        <f>IFERROR(SUMPRODUCT(('ANALYSE - ERP =&gt; SOUS-SEGMENT'!$C$8:$C$154=$C33)*'ANALYSE - ERP =&gt; SOUS-SEGMENT'!$Q$8:$Q$154*'ANALYSE - ERP =&gt; SOUS-SEGMENT'!$FE$8:$FE$154*'ANALYSE - ERP =&gt; SOUS-SEGMENT'!$JE$8:$JE$154)/SUMPRODUCT(('ANALYSE - ERP =&gt; SOUS-SEGMENT'!$C$8:$C$154=$C33)*'ANALYSE - ERP =&gt; SOUS-SEGMENT'!$Q$8:$Q$154*'ANALYSE - ERP =&gt; SOUS-SEGMENT'!$FE$8:$FE$154),0)</f>
        <v>0</v>
      </c>
      <c r="JC33" s="773">
        <f>IFERROR(SUMPRODUCT(('ANALYSE - ERP =&gt; SOUS-SEGMENT'!$C$8:$C$154=$C33)*'ANALYSE - ERP =&gt; SOUS-SEGMENT'!$Q$8:$Q$154*'ANALYSE - ERP =&gt; SOUS-SEGMENT'!$FE$8:$FE$154*'ANALYSE - ERP =&gt; SOUS-SEGMENT'!$JF$8:$JF$154)/SUMPRODUCT(('ANALYSE - ERP =&gt; SOUS-SEGMENT'!$C$8:$C$154=$C33)*'ANALYSE - ERP =&gt; SOUS-SEGMENT'!$Q$8:$Q$154*'ANALYSE - ERP =&gt; SOUS-SEGMENT'!$FE$8:$FE$154),0)</f>
        <v>0</v>
      </c>
      <c r="JD33" s="773">
        <f>IFERROR(SUMPRODUCT(('ANALYSE - ERP =&gt; SOUS-SEGMENT'!$C$8:$C$154=$C33)*'ANALYSE - ERP =&gt; SOUS-SEGMENT'!$Q$8:$Q$154*'ANALYSE - ERP =&gt; SOUS-SEGMENT'!$FE$8:$FE$154*'ANALYSE - ERP =&gt; SOUS-SEGMENT'!$JG$8:$JG$154)/SUMPRODUCT(('ANALYSE - ERP =&gt; SOUS-SEGMENT'!$C$8:$C$154=$C33)*'ANALYSE - ERP =&gt; SOUS-SEGMENT'!$Q$8:$Q$154*'ANALYSE - ERP =&gt; SOUS-SEGMENT'!$FE$8:$FE$154),0)</f>
        <v>0</v>
      </c>
      <c r="JE33" s="773">
        <f>IFERROR(SUMPRODUCT(('ANALYSE - ERP =&gt; SOUS-SEGMENT'!$C$8:$C$154=$C33)*'ANALYSE - ERP =&gt; SOUS-SEGMENT'!$Q$8:$Q$154*'ANALYSE - ERP =&gt; SOUS-SEGMENT'!$FE$8:$FE$154*'ANALYSE - ERP =&gt; SOUS-SEGMENT'!$JH$8:$JH$154)/SUMPRODUCT(('ANALYSE - ERP =&gt; SOUS-SEGMENT'!$C$8:$C$154=$C33)*'ANALYSE - ERP =&gt; SOUS-SEGMENT'!$Q$8:$Q$154*'ANALYSE - ERP =&gt; SOUS-SEGMENT'!$FE$8:$FE$154),0)</f>
        <v>0</v>
      </c>
      <c r="JF33" s="771">
        <f>IFERROR(SUMPRODUCT(('ANALYSE - ERP =&gt; SOUS-SEGMENT'!$C$8:$C$154=$C33)*'ANALYSE - ERP =&gt; SOUS-SEGMENT'!$Q$8:$Q$154*'ANALYSE - ERP =&gt; SOUS-SEGMENT'!$BG$8:$BG$154*'ANALYSE - ERP =&gt; SOUS-SEGMENT'!$JI$8:$JI$154)/SUMPRODUCT(('ANALYSE - ERP =&gt; SOUS-SEGMENT'!$C$8:$C$154=$C33)*'ANALYSE - ERP =&gt; SOUS-SEGMENT'!$Q$8:$Q$154*'ANALYSE - ERP =&gt; SOUS-SEGMENT'!$BG$8:$BG$154),0)</f>
        <v>0</v>
      </c>
      <c r="JG33" s="748">
        <f>IFERROR(SUMPRODUCT(('ANALYSE - ERP =&gt; SOUS-SEGMENT'!$C$8:$C$154=$C33)*'ANALYSE - ERP =&gt; SOUS-SEGMENT'!$Q$8:$Q$154*'ANALYSE - ERP =&gt; SOUS-SEGMENT'!$BG$8:$BG$154*'ANALYSE - ERP =&gt; SOUS-SEGMENT'!$JJ$8:$JJ$154)/SUMPRODUCT(('ANALYSE - ERP =&gt; SOUS-SEGMENT'!$C$8:$C$154=$C33)*'ANALYSE - ERP =&gt; SOUS-SEGMENT'!$Q$8:$Q$154*'ANALYSE - ERP =&gt; SOUS-SEGMENT'!$BG$8:$BG$154),0)</f>
        <v>0</v>
      </c>
      <c r="JH33" s="748">
        <f>IFERROR(SUMPRODUCT(('ANALYSE - ERP =&gt; SOUS-SEGMENT'!$C$8:$C$154=$C33)*'ANALYSE - ERP =&gt; SOUS-SEGMENT'!$Q$8:$Q$154*'ANALYSE - ERP =&gt; SOUS-SEGMENT'!$BG$8:$BG$154*'ANALYSE - ERP =&gt; SOUS-SEGMENT'!$JK$8:$JK$154)/SUMPRODUCT(('ANALYSE - ERP =&gt; SOUS-SEGMENT'!$C$8:$C$154=$C33)*'ANALYSE - ERP =&gt; SOUS-SEGMENT'!$Q$8:$Q$154*'ANALYSE - ERP =&gt; SOUS-SEGMENT'!$BG$8:$BG$154),0)</f>
        <v>0</v>
      </c>
      <c r="JI33" s="748">
        <f>IFERROR(SUMPRODUCT(('ANALYSE - ERP =&gt; SOUS-SEGMENT'!$C$8:$C$154=$C33)*'ANALYSE - ERP =&gt; SOUS-SEGMENT'!$Q$8:$Q$154*'ANALYSE - ERP =&gt; SOUS-SEGMENT'!$BG$8:$BG$154*'ANALYSE - ERP =&gt; SOUS-SEGMENT'!$JL$8:$JL$154)/SUMPRODUCT(('ANALYSE - ERP =&gt; SOUS-SEGMENT'!$C$8:$C$154=$C33)*'ANALYSE - ERP =&gt; SOUS-SEGMENT'!$Q$8:$Q$154*'ANALYSE - ERP =&gt; SOUS-SEGMENT'!$BG$8:$BG$154),0)</f>
        <v>0</v>
      </c>
      <c r="JJ33" s="749">
        <f>IFERROR(SUMPRODUCT(('ANALYSE - ERP =&gt; SOUS-SEGMENT'!$C$8:$C$154=$C33)*'ANALYSE - ERP =&gt; SOUS-SEGMENT'!$Q$8:$Q$154*'ANALYSE - ERP =&gt; SOUS-SEGMENT'!$BG$8:$BG$154*'ANALYSE - ERP =&gt; SOUS-SEGMENT'!$JM$8:$JM$154)/SUMPRODUCT(('ANALYSE - ERP =&gt; SOUS-SEGMENT'!$C$8:$C$154=$C33)*'ANALYSE - ERP =&gt; SOUS-SEGMENT'!$Q$8:$Q$154*'ANALYSE - ERP =&gt; SOUS-SEGMENT'!$BG$8:$BG$154),0)</f>
        <v>0</v>
      </c>
      <c r="JK33" s="748">
        <f>IFERROR(SUMPRODUCT(('ANALYSE - ERP =&gt; SOUS-SEGMENT'!$C$8:$C$154=$C33)*'ANALYSE - ERP =&gt; SOUS-SEGMENT'!$Q$8:$Q$154*'ANALYSE - ERP =&gt; SOUS-SEGMENT'!$FH$8:$FH$154*'ANALYSE - ERP =&gt; SOUS-SEGMENT'!$JN$8:$JN$154)/SUMPRODUCT(('ANALYSE - ERP =&gt; SOUS-SEGMENT'!$C$8:$C$154=$C33)*'ANALYSE - ERP =&gt; SOUS-SEGMENT'!$Q$8:$Q$154*'ANALYSE - ERP =&gt; SOUS-SEGMENT'!$FH$8:$FH$154),0)</f>
        <v>0</v>
      </c>
      <c r="JL33" s="748">
        <f>IFERROR(SUMPRODUCT(('ANALYSE - ERP =&gt; SOUS-SEGMENT'!$C$8:$C$154=$C33)*'ANALYSE - ERP =&gt; SOUS-SEGMENT'!$Q$8:$Q$154*'ANALYSE - ERP =&gt; SOUS-SEGMENT'!$FH$8:$FH$154*'ANALYSE - ERP =&gt; SOUS-SEGMENT'!$JO$8:$JO$154)/SUMPRODUCT(('ANALYSE - ERP =&gt; SOUS-SEGMENT'!$C$8:$C$154=$C33)*'ANALYSE - ERP =&gt; SOUS-SEGMENT'!$Q$8:$Q$154*'ANALYSE - ERP =&gt; SOUS-SEGMENT'!$FH$8:$FH$154),0)</f>
        <v>0</v>
      </c>
      <c r="JM33" s="748">
        <f>IFERROR(SUMPRODUCT(('ANALYSE - ERP =&gt; SOUS-SEGMENT'!$C$8:$C$154=$C33)*'ANALYSE - ERP =&gt; SOUS-SEGMENT'!$Q$8:$Q$154*'ANALYSE - ERP =&gt; SOUS-SEGMENT'!$FH$8:$FH$154*'ANALYSE - ERP =&gt; SOUS-SEGMENT'!$JP$8:$JP$154)/SUMPRODUCT(('ANALYSE - ERP =&gt; SOUS-SEGMENT'!$C$8:$C$154=$C33)*'ANALYSE - ERP =&gt; SOUS-SEGMENT'!$Q$8:$Q$154*'ANALYSE - ERP =&gt; SOUS-SEGMENT'!$FH$8:$FH$154),0)</f>
        <v>0</v>
      </c>
      <c r="JN33" s="748">
        <f>IFERROR(SUMPRODUCT(('ANALYSE - ERP =&gt; SOUS-SEGMENT'!$C$8:$C$154=$C33)*'ANALYSE - ERP =&gt; SOUS-SEGMENT'!$Q$8:$Q$154*'ANALYSE - ERP =&gt; SOUS-SEGMENT'!$FH$8:$FH$154*'ANALYSE - ERP =&gt; SOUS-SEGMENT'!$JQ$8:$JQ$154)/SUMPRODUCT(('ANALYSE - ERP =&gt; SOUS-SEGMENT'!$C$8:$C$154=$C33)*'ANALYSE - ERP =&gt; SOUS-SEGMENT'!$Q$8:$Q$154*'ANALYSE - ERP =&gt; SOUS-SEGMENT'!$FH$8:$FH$154),0)</f>
        <v>0</v>
      </c>
      <c r="JO33" s="748">
        <f>IFERROR(SUMPRODUCT(('ANALYSE - ERP =&gt; SOUS-SEGMENT'!$C$8:$C$154=$C33)*'ANALYSE - ERP =&gt; SOUS-SEGMENT'!$Q$8:$Q$154*'ANALYSE - ERP =&gt; SOUS-SEGMENT'!$FH$8:$FH$154*'ANALYSE - ERP =&gt; SOUS-SEGMENT'!$JR$8:$JR$154)/SUMPRODUCT(('ANALYSE - ERP =&gt; SOUS-SEGMENT'!$C$8:$C$154=$C33)*'ANALYSE - ERP =&gt; SOUS-SEGMENT'!$Q$8:$Q$154*'ANALYSE - ERP =&gt; SOUS-SEGMENT'!$FH$8:$FH$154),0)</f>
        <v>0</v>
      </c>
      <c r="JP33" s="771">
        <f>IFERROR(SUMPRODUCT(('ANALYSE - ERP =&gt; SOUS-SEGMENT'!$C$8:$C$154=$C33)*'ANALYSE - ERP =&gt; SOUS-SEGMENT'!$Q$8:$Q$154*'ANALYSE - ERP =&gt; SOUS-SEGMENT'!$BH$8:$BH$154*'ANALYSE - ERP =&gt; SOUS-SEGMENT'!$JS$8:$JS$154)/SUMPRODUCT(('ANALYSE - ERP =&gt; SOUS-SEGMENT'!$C$8:$C$154=$C33)*'ANALYSE - ERP =&gt; SOUS-SEGMENT'!$Q$8:$Q$154*'ANALYSE - ERP =&gt; SOUS-SEGMENT'!$BH$8:$BH$154),0)</f>
        <v>0</v>
      </c>
      <c r="JQ33" s="748">
        <f>IFERROR(SUMPRODUCT(('ANALYSE - ERP =&gt; SOUS-SEGMENT'!$C$8:$C$154=$C33)*'ANALYSE - ERP =&gt; SOUS-SEGMENT'!$Q$8:$Q$154*'ANALYSE - ERP =&gt; SOUS-SEGMENT'!$BH$8:$BH$154*'ANALYSE - ERP =&gt; SOUS-SEGMENT'!$JT$8:$JT$154)/SUMPRODUCT(('ANALYSE - ERP =&gt; SOUS-SEGMENT'!$C$8:$C$154=$C33)*'ANALYSE - ERP =&gt; SOUS-SEGMENT'!$Q$8:$Q$154*'ANALYSE - ERP =&gt; SOUS-SEGMENT'!$BH$8:$BH$154),0)</f>
        <v>0</v>
      </c>
      <c r="JR33" s="748">
        <f>IFERROR(SUMPRODUCT(('ANALYSE - ERP =&gt; SOUS-SEGMENT'!$C$8:$C$154=$C33)*'ANALYSE - ERP =&gt; SOUS-SEGMENT'!$Q$8:$Q$154*'ANALYSE - ERP =&gt; SOUS-SEGMENT'!$BH$8:$BH$154*'ANALYSE - ERP =&gt; SOUS-SEGMENT'!$JU$8:$JU$154)/SUMPRODUCT(('ANALYSE - ERP =&gt; SOUS-SEGMENT'!$C$8:$C$154=$C33)*'ANALYSE - ERP =&gt; SOUS-SEGMENT'!$Q$8:$Q$154*'ANALYSE - ERP =&gt; SOUS-SEGMENT'!$BH$8:$BH$154),0)</f>
        <v>0</v>
      </c>
      <c r="JS33" s="748">
        <f>IFERROR(SUMPRODUCT(('ANALYSE - ERP =&gt; SOUS-SEGMENT'!$C$8:$C$154=$C33)*'ANALYSE - ERP =&gt; SOUS-SEGMENT'!$Q$8:$Q$154*'ANALYSE - ERP =&gt; SOUS-SEGMENT'!$BH$8:$BH$154*'ANALYSE - ERP =&gt; SOUS-SEGMENT'!$JV$8:$JV$154)/SUMPRODUCT(('ANALYSE - ERP =&gt; SOUS-SEGMENT'!$C$8:$C$154=$C33)*'ANALYSE - ERP =&gt; SOUS-SEGMENT'!$Q$8:$Q$154*'ANALYSE - ERP =&gt; SOUS-SEGMENT'!$BH$8:$BH$154),0)</f>
        <v>0</v>
      </c>
      <c r="JT33" s="749">
        <f>IFERROR(SUMPRODUCT(('ANALYSE - ERP =&gt; SOUS-SEGMENT'!$C$8:$C$154=$C33)*'ANALYSE - ERP =&gt; SOUS-SEGMENT'!$Q$8:$Q$154*'ANALYSE - ERP =&gt; SOUS-SEGMENT'!$BH$8:$BH$154*'ANALYSE - ERP =&gt; SOUS-SEGMENT'!$JW$8:$JW$154)/SUMPRODUCT(('ANALYSE - ERP =&gt; SOUS-SEGMENT'!$C$8:$C$154=$C33)*'ANALYSE - ERP =&gt; SOUS-SEGMENT'!$Q$8:$Q$154*'ANALYSE - ERP =&gt; SOUS-SEGMENT'!$BH$8:$BH$154),0)</f>
        <v>0</v>
      </c>
      <c r="JU33" s="771">
        <f>IFERROR(SUMPRODUCT(('ANALYSE - ERP =&gt; SOUS-SEGMENT'!$C$8:$C$154=$C33)*'ANALYSE - ERP =&gt; SOUS-SEGMENT'!$Q$8:$Q$154*'ANALYSE - ERP =&gt; SOUS-SEGMENT'!$FK$8:$FK$154*'ANALYSE - ERP =&gt; SOUS-SEGMENT'!$JX$8:$JX$154)/SUMPRODUCT(('ANALYSE - ERP =&gt; SOUS-SEGMENT'!$C$8:$C$154=$C33)*'ANALYSE - ERP =&gt; SOUS-SEGMENT'!$Q$8:$Q$154*'ANALYSE - ERP =&gt; SOUS-SEGMENT'!$FK$8:$FK$154),0)</f>
        <v>0</v>
      </c>
      <c r="JV33" s="748">
        <f>IFERROR(SUMPRODUCT(('ANALYSE - ERP =&gt; SOUS-SEGMENT'!$C$8:$C$154=$C33)*'ANALYSE - ERP =&gt; SOUS-SEGMENT'!$Q$8:$Q$154*'ANALYSE - ERP =&gt; SOUS-SEGMENT'!$FK$8:$FK$154*'ANALYSE - ERP =&gt; SOUS-SEGMENT'!$JY$8:$JY$154)/SUMPRODUCT(('ANALYSE - ERP =&gt; SOUS-SEGMENT'!$C$8:$C$154=$C33)*'ANALYSE - ERP =&gt; SOUS-SEGMENT'!$Q$8:$Q$154*'ANALYSE - ERP =&gt; SOUS-SEGMENT'!$FK$8:$FK$154),0)</f>
        <v>0</v>
      </c>
      <c r="JW33" s="748">
        <f>IFERROR(SUMPRODUCT(('ANALYSE - ERP =&gt; SOUS-SEGMENT'!$C$8:$C$154=$C33)*'ANALYSE - ERP =&gt; SOUS-SEGMENT'!$Q$8:$Q$154*'ANALYSE - ERP =&gt; SOUS-SEGMENT'!$FK$8:$FK$154*'ANALYSE - ERP =&gt; SOUS-SEGMENT'!$JZ$8:$JZ$154)/SUMPRODUCT(('ANALYSE - ERP =&gt; SOUS-SEGMENT'!$C$8:$C$154=$C33)*'ANALYSE - ERP =&gt; SOUS-SEGMENT'!$Q$8:$Q$154*'ANALYSE - ERP =&gt; SOUS-SEGMENT'!$FK$8:$FK$154),0)</f>
        <v>0</v>
      </c>
      <c r="JX33" s="748">
        <f>IFERROR(SUMPRODUCT(('ANALYSE - ERP =&gt; SOUS-SEGMENT'!$C$8:$C$154=$C33)*'ANALYSE - ERP =&gt; SOUS-SEGMENT'!$Q$8:$Q$154*'ANALYSE - ERP =&gt; SOUS-SEGMENT'!$FK$8:$FK$154*'ANALYSE - ERP =&gt; SOUS-SEGMENT'!$KA$8:$KA$154)/SUMPRODUCT(('ANALYSE - ERP =&gt; SOUS-SEGMENT'!$C$8:$C$154=$C33)*'ANALYSE - ERP =&gt; SOUS-SEGMENT'!$Q$8:$Q$154*'ANALYSE - ERP =&gt; SOUS-SEGMENT'!$FK$8:$FK$154),0)</f>
        <v>0</v>
      </c>
      <c r="JY33" s="775">
        <f>IFERROR(SUMPRODUCT(('ANALYSE - ERP =&gt; SOUS-SEGMENT'!$C$8:$C$154=$C33)*'ANALYSE - ERP =&gt; SOUS-SEGMENT'!$Q$8:$Q$154*'ANALYSE - ERP =&gt; SOUS-SEGMENT'!$FK$8:$FK$154*'ANALYSE - ERP =&gt; SOUS-SEGMENT'!$KB$8:$KB$154)/SUMPRODUCT(('ANALYSE - ERP =&gt; SOUS-SEGMENT'!$C$8:$C$154=$C33)*'ANALYSE - ERP =&gt; SOUS-SEGMENT'!$Q$8:$Q$154*'ANALYSE - ERP =&gt; SOUS-SEGMENT'!$FK$8:$FK$154),0)</f>
        <v>0</v>
      </c>
      <c r="JZ33" s="657"/>
      <c r="KA33" s="298" t="s">
        <v>2590</v>
      </c>
      <c r="KB33" s="298" t="s">
        <v>2591</v>
      </c>
      <c r="KC33" s="888">
        <f>IFERROR(SUMPRODUCT(('ANALYSE - ERP =&gt; SOUS-SEGMENT'!$C$8:$C$154=$C34)*'ANALYSE - ERP =&gt; SOUS-SEGMENT'!$Q$8:$Q$154*'ANALYSE - ERP =&gt; SOUS-SEGMENT'!$EX$8:$EX$154*'ANALYSE - ERP =&gt; SOUS-SEGMENT'!$KF$8:$KF$154)/SUMPRODUCT(('ANALYSE - ERP =&gt; SOUS-SEGMENT'!$C$8:$C$154=$C34)*'ANALYSE - ERP =&gt; SOUS-SEGMENT'!$Q$8:$Q$154*'ANALYSE - ERP =&gt; SOUS-SEGMENT'!$EX$8:$EX$154),"")</f>
        <v>4.0947865530099854</v>
      </c>
      <c r="KD33" s="298" t="s">
        <v>2589</v>
      </c>
      <c r="KE33" s="300" t="s">
        <v>7359</v>
      </c>
      <c r="KF33" s="620" t="s">
        <v>6760</v>
      </c>
      <c r="KG33" s="300" t="s">
        <v>6760</v>
      </c>
    </row>
    <row r="34" spans="1:293" ht="108" customHeight="1">
      <c r="A34" s="273">
        <v>35</v>
      </c>
      <c r="B34" s="490" t="s">
        <v>4908</v>
      </c>
      <c r="C34" s="490" t="s">
        <v>1950</v>
      </c>
      <c r="D34" s="490" t="s">
        <v>7360</v>
      </c>
      <c r="E34" s="275" t="s">
        <v>7361</v>
      </c>
      <c r="F34" s="275" t="s">
        <v>7362</v>
      </c>
      <c r="G34" s="275" t="s">
        <v>7311</v>
      </c>
      <c r="H34" s="275" t="s">
        <v>2117</v>
      </c>
      <c r="I34" s="276" t="s">
        <v>7363</v>
      </c>
      <c r="J34" s="276" t="s">
        <v>7364</v>
      </c>
      <c r="K34" s="277" t="s">
        <v>2097</v>
      </c>
      <c r="L34" s="277" t="s">
        <v>2109</v>
      </c>
      <c r="M34" s="277" t="s">
        <v>2603</v>
      </c>
      <c r="N34" s="277" t="s">
        <v>6742</v>
      </c>
      <c r="O34" s="277" t="s">
        <v>2616</v>
      </c>
      <c r="P34" s="276"/>
      <c r="Q34" s="270">
        <f>IF(SUMPRODUCT(('ANALYSE - ERP =&gt; SOUS-SEGMENT'!$C$8:$C$154=$C34)*'ANALYSE - ERP =&gt; SOUS-SEGMENT'!$Q$8:$Q$154)&gt;0,1,0)</f>
        <v>1</v>
      </c>
      <c r="R34" s="278">
        <f>IFERROR(SUMPRODUCT(('ANALYSE - ERP =&gt; SOUS-SEGMENT'!$C$8:$C$154=$C34)*'ANALYSE - ERP =&gt; SOUS-SEGMENT'!$Q$8:$Q$154*'ANALYSE - ERP =&gt; SOUS-SEGMENT'!$AG$8:$AG$154*'ANALYSE - ERP =&gt; SOUS-SEGMENT'!$R$8:$R$154)/SUMPRODUCT(('ANALYSE - ERP =&gt; SOUS-SEGMENT'!$C$8:$C$154=$C34)*'ANALYSE - ERP =&gt; SOUS-SEGMENT'!$Q$8:$Q$154*'ANALYSE - ERP =&gt; SOUS-SEGMENT'!$AG$8:$AG$154),"")</f>
        <v>934.67741935483866</v>
      </c>
      <c r="S34" s="279">
        <f>SUMPRODUCT(('ANALYSE - ERP =&gt; SOUS-SEGMENT'!$C$8:$C$154=$C34)*'ANALYSE - ERP =&gt; SOUS-SEGMENT'!$Q$8:$Q$154*'ANALYSE - ERP =&gt; SOUS-SEGMENT'!$S$8:$S$154)</f>
        <v>775</v>
      </c>
      <c r="T34" s="279">
        <f>SUMPRODUCT(('ANALYSE - ERP =&gt; SOUS-SEGMENT'!$C$8:$C$154=$C34)*'ANALYSE - ERP =&gt; SOUS-SEGMENT'!$Q$8:$Q$154*'ANALYSE - ERP =&gt; SOUS-SEGMENT'!$T$8:$T$154)</f>
        <v>726</v>
      </c>
      <c r="U34" s="279">
        <f>SUMPRODUCT(('ANALYSE - ERP =&gt; SOUS-SEGMENT'!$C$8:$C$154=$C34)*'ANALYSE - ERP =&gt; SOUS-SEGMENT'!$Q$8:$Q$154*'ANALYSE - ERP =&gt; SOUS-SEGMENT'!$U$8:$U$154)</f>
        <v>682</v>
      </c>
      <c r="V34" s="279">
        <f>SUMPRODUCT(('ANALYSE - ERP =&gt; SOUS-SEGMENT'!$C$8:$C$154=$C34)*'ANALYSE - ERP =&gt; SOUS-SEGMENT'!$Q$8:$Q$154*'ANALYSE - ERP =&gt; SOUS-SEGMENT'!$V$8:$V$154)</f>
        <v>652</v>
      </c>
      <c r="W34" s="279">
        <f>SUMPRODUCT(('ANALYSE - ERP =&gt; SOUS-SEGMENT'!$C$8:$C$154=$C34)*'ANALYSE - ERP =&gt; SOUS-SEGMENT'!$Q$8:$Q$154*'ANALYSE - ERP =&gt; SOUS-SEGMENT'!$W$8:$W$154)</f>
        <v>648</v>
      </c>
      <c r="X34" s="279">
        <f>SUMPRODUCT(('ANALYSE - ERP =&gt; SOUS-SEGMENT'!$C$8:$C$154=$C34)*'ANALYSE - ERP =&gt; SOUS-SEGMENT'!$Q$8:$Q$154*'ANALYSE - ERP =&gt; SOUS-SEGMENT'!$X$8:$X$154)</f>
        <v>644</v>
      </c>
      <c r="Y34" s="279">
        <f>SUMPRODUCT(('ANALYSE - ERP =&gt; SOUS-SEGMENT'!$C$8:$C$154=$C34)*'ANALYSE - ERP =&gt; SOUS-SEGMENT'!$Q$8:$Q$154*'ANALYSE - ERP =&gt; SOUS-SEGMENT'!$Y$8:$Y$154)</f>
        <v>640</v>
      </c>
      <c r="Z34" s="279">
        <f>SUMPRODUCT(('ANALYSE - ERP =&gt; SOUS-SEGMENT'!$C$8:$C$154=$C34)*'ANALYSE - ERP =&gt; SOUS-SEGMENT'!$Q$8:$Q$154*'ANALYSE - ERP =&gt; SOUS-SEGMENT'!$Z$8:$Z$154)</f>
        <v>636</v>
      </c>
      <c r="AA34" s="279">
        <f>SUMPRODUCT(('ANALYSE - ERP =&gt; SOUS-SEGMENT'!$C$8:$C$154=$C34)*'ANALYSE - ERP =&gt; SOUS-SEGMENT'!$Q$8:$Q$154*'ANALYSE - ERP =&gt; SOUS-SEGMENT'!$AA$8:$AA$154)</f>
        <v>633</v>
      </c>
      <c r="AB34" s="279">
        <f>SUMPRODUCT(('ANALYSE - ERP =&gt; SOUS-SEGMENT'!$C$8:$C$154=$C34)*'ANALYSE - ERP =&gt; SOUS-SEGMENT'!$Q$8:$Q$154*'ANALYSE - ERP =&gt; SOUS-SEGMENT'!$AB$8:$AB$154)</f>
        <v>631</v>
      </c>
      <c r="AC34" s="279">
        <f>SUMPRODUCT(('ANALYSE - ERP =&gt; SOUS-SEGMENT'!$C$8:$C$154=$C34)*'ANALYSE - ERP =&gt; SOUS-SEGMENT'!$Q$8:$Q$154*'ANALYSE - ERP =&gt; SOUS-SEGMENT'!$AC$8:$AC$154)</f>
        <v>629</v>
      </c>
      <c r="AD34" s="279">
        <f>SUMPRODUCT(('ANALYSE - ERP =&gt; SOUS-SEGMENT'!$C$8:$C$154=$C34)*'ANALYSE - ERP =&gt; SOUS-SEGMENT'!$Q$8:$Q$154*'ANALYSE - ERP =&gt; SOUS-SEGMENT'!$AD$8:$AD$154)</f>
        <v>627</v>
      </c>
      <c r="AE34" s="279">
        <f>SUMPRODUCT(('ANALYSE - ERP =&gt; SOUS-SEGMENT'!$C$8:$C$154=$C34)*'ANALYSE - ERP =&gt; SOUS-SEGMENT'!$Q$8:$Q$154*'ANALYSE - ERP =&gt; SOUS-SEGMENT'!$AE$8:$AE$154)</f>
        <v>625</v>
      </c>
      <c r="AF34" s="279">
        <f>SUMPRODUCT(('ANALYSE - ERP =&gt; SOUS-SEGMENT'!$C$8:$C$154=$C34)*'ANALYSE - ERP =&gt; SOUS-SEGMENT'!$Q$8:$Q$154*'ANALYSE - ERP =&gt; SOUS-SEGMENT'!$AF$8:$AF$154)</f>
        <v>623</v>
      </c>
      <c r="AG34" s="279">
        <f>SUMPRODUCT(('ANALYSE - ERP =&gt; SOUS-SEGMENT'!$C$8:$C$154=$C34)*'ANALYSE - ERP =&gt; SOUS-SEGMENT'!$Q$8:$Q$154*'ANALYSE - ERP =&gt; SOUS-SEGMENT'!$AG$8:$AG$154)</f>
        <v>620</v>
      </c>
      <c r="AH34" s="279">
        <f>SUMPRODUCT(('ANALYSE - ERP =&gt; SOUS-SEGMENT'!$C$8:$C$154=$C34)*'ANALYSE - ERP =&gt; SOUS-SEGMENT'!$Q$8:$Q$154*'ANALYSE - ERP =&gt; SOUS-SEGMENT'!$AH$8:$AH$154)</f>
        <v>617</v>
      </c>
      <c r="AI34" s="279">
        <f>SUMPRODUCT(('ANALYSE - ERP =&gt; SOUS-SEGMENT'!$C$8:$C$154=$C34)*'ANALYSE - ERP =&gt; SOUS-SEGMENT'!$Q$8:$Q$154*'ANALYSE - ERP =&gt; SOUS-SEGMENT'!$AI$8:$AI$154)</f>
        <v>614</v>
      </c>
      <c r="AJ34" s="279">
        <f>SUMPRODUCT(('ANALYSE - ERP =&gt; SOUS-SEGMENT'!$C$8:$C$154=$C34)*'ANALYSE - ERP =&gt; SOUS-SEGMENT'!$Q$8:$Q$154*'ANALYSE - ERP =&gt; SOUS-SEGMENT'!$AJ$8:$AJ$154)</f>
        <v>611</v>
      </c>
      <c r="AK34" s="279">
        <f>SUMPRODUCT(('ANALYSE - ERP =&gt; SOUS-SEGMENT'!$C$8:$C$154=$C34)*'ANALYSE - ERP =&gt; SOUS-SEGMENT'!$Q$8:$Q$154*'ANALYSE - ERP =&gt; SOUS-SEGMENT'!$AK$8:$AK$154)</f>
        <v>609</v>
      </c>
      <c r="AL34" s="276" t="s">
        <v>7365</v>
      </c>
      <c r="AM34" s="276" t="s">
        <v>7366</v>
      </c>
      <c r="AN34" s="276" t="s">
        <v>2351</v>
      </c>
      <c r="AO34" s="657"/>
      <c r="AP34" s="278">
        <f>IFERROR(SUMPRODUCT(('ANALYSE - ERP =&gt; SOUS-SEGMENT'!$C$8:$C$154=$C34)*'ANALYSE - ERP =&gt; SOUS-SEGMENT'!$Q$8:$Q$154*'ANALYSE - ERP =&gt; SOUS-SEGMENT'!$AG$8:$AG$154*'ANALYSE - ERP =&gt; SOUS-SEGMENT'!$AP$8:$AP$154)/SUMPRODUCT(('ANALYSE - ERP =&gt; SOUS-SEGMENT'!$C$8:$C$154=$C34)*'ANALYSE - ERP =&gt; SOUS-SEGMENT'!$Q$8:$Q$154*'ANALYSE - ERP =&gt; SOUS-SEGMENT'!$AG$8:$AG$154),"")</f>
        <v>40</v>
      </c>
      <c r="AQ34" s="278">
        <f>IFERROR(SUMPRODUCT(('ANALYSE - ERP =&gt; SOUS-SEGMENT'!$C$8:$C$154=$C34)*'ANALYSE - ERP =&gt; SOUS-SEGMENT'!$Q$8:$Q$154*'ANALYSE - ERP =&gt; SOUS-SEGMENT'!$AF$8:$AF$154*'ANALYSE - ERP =&gt; SOUS-SEGMENT'!$AQ$8:$AQ$154)/SUMPRODUCT(('ANALYSE - ERP =&gt; SOUS-SEGMENT'!$C$8:$C$154=$C34)*'ANALYSE - ERP =&gt; SOUS-SEGMENT'!$Q$8:$Q$154*'ANALYSE - ERP =&gt; SOUS-SEGMENT'!$AF$8:$AF$154),"")</f>
        <v>8.5296950240770464</v>
      </c>
      <c r="AR34" s="973">
        <f>IFERROR(SUMPRODUCT(('ANALYSE - ERP =&gt; SOUS-SEGMENT'!$C$8:$C$154=$C34)*'ANALYSE - ERP =&gt; SOUS-SEGMENT'!$Q$8:$Q$154*'ANALYSE - ERP =&gt; SOUS-SEGMENT'!$AF$8:$AF$154*'ANALYSE - ERP =&gt; SOUS-SEGMENT'!$AR$8:$AR$154)/SUMPRODUCT(('ANALYSE - ERP =&gt; SOUS-SEGMENT'!$C$8:$C$154=$C34)*'ANALYSE - ERP =&gt; SOUS-SEGMENT'!$Q$8:$Q$154*'ANALYSE - ERP =&gt; SOUS-SEGMENT'!$AF$8:$AF$154),"")</f>
        <v>27.470304975922954</v>
      </c>
      <c r="AS34" s="973">
        <f>IFERROR(SUMPRODUCT(('ANALYSE - ERP =&gt; SOUS-SEGMENT'!$C$8:$C$154=$C34)*'ANALYSE - ERP =&gt; SOUS-SEGMENT'!$Q$8:$Q$154*'ANALYSE - ERP =&gt; SOUS-SEGMENT'!$AF$8:$AF$154*'ANALYSE - ERP =&gt; SOUS-SEGMENT'!$AS$8:$AS$154)/SUMPRODUCT(('ANALYSE - ERP =&gt; SOUS-SEGMENT'!$C$8:$C$154=$C34)*'ANALYSE - ERP =&gt; SOUS-SEGMENT'!$Q$8:$Q$154*'ANALYSE - ERP =&gt; SOUS-SEGMENT'!$AF$8:$AF$154),"")</f>
        <v>4</v>
      </c>
      <c r="AT34" s="657" t="s">
        <v>7367</v>
      </c>
      <c r="AU34" s="276" t="s">
        <v>7368</v>
      </c>
      <c r="AV34" s="296" t="s">
        <v>4918</v>
      </c>
      <c r="AW34" s="276" t="s">
        <v>7369</v>
      </c>
      <c r="AX34" s="657"/>
      <c r="AY34" s="282">
        <f>IFERROR(SUMPRODUCT(('ANALYSE - ERP =&gt; SOUS-SEGMENT'!$C$8:$C$154=$C34)*'ANALYSE - ERP =&gt; SOUS-SEGMENT'!$Q$8:$Q$154*'ANALYSE - ERP =&gt; SOUS-SEGMENT'!$AF$8:$AF$154*'ANALYSE - ERP =&gt; SOUS-SEGMENT'!$AZ$8:$AZ$154)/SUMPRODUCT(('ANALYSE - ERP =&gt; SOUS-SEGMENT'!$C$8:$C$154=$C34)*'ANALYSE - ERP =&gt; SOUS-SEGMENT'!$Q$8:$Q$154*'ANALYSE - ERP =&gt; SOUS-SEGMENT'!$AF$8:$AF$154),"")</f>
        <v>3.823434991974318</v>
      </c>
      <c r="AZ34" s="947">
        <f>IFERROR(SUMPRODUCT(('ANALYSE - ERP =&gt; SOUS-SEGMENT'!$C$8:$C$154=$C34)*'ANALYSE - ERP =&gt; SOUS-SEGMENT'!$Q$8:$Q$154*'ANALYSE - ERP =&gt; SOUS-SEGMENT'!$AF$8:$AF$154*'ANALYSE - ERP =&gt; SOUS-SEGMENT'!$BA$8:$BA$154)/SUMPRODUCT(('ANALYSE - ERP =&gt; SOUS-SEGMENT'!$C$8:$C$154=$C34)*'ANALYSE - ERP =&gt; SOUS-SEGMENT'!$Q$8:$Q$154*'ANALYSE - ERP =&gt; SOUS-SEGMENT'!$AF$8:$AF$154),"")</f>
        <v>0.9117174959871589</v>
      </c>
      <c r="BA34" s="282">
        <f>IFERROR(SUMPRODUCT(('ANALYSE - ERP =&gt; SOUS-SEGMENT'!$C$8:$C$154=$C34)*'ANALYSE - ERP =&gt; SOUS-SEGMENT'!$Q$8:$Q$154*'ANALYSE - ERP =&gt; SOUS-SEGMENT'!$AF$8:$AF$154*'ANALYSE - ERP =&gt; SOUS-SEGMENT'!$BB$8:$BB$154)/SUMPRODUCT(('ANALYSE - ERP =&gt; SOUS-SEGMENT'!$C$8:$C$154=$C34)*'ANALYSE - ERP =&gt; SOUS-SEGMENT'!$Q$8:$Q$154*'ANALYSE - ERP =&gt; SOUS-SEGMENT'!$AF$8:$AF$154),"")</f>
        <v>0.95585874799357951</v>
      </c>
      <c r="BB34" s="282">
        <f>IFERROR(SUMPRODUCT(('ANALYSE - ERP =&gt; SOUS-SEGMENT'!$C$8:$C$154=$C34)*'ANALYSE - ERP =&gt; SOUS-SEGMENT'!$Q$8:$Q$154*'ANALYSE - ERP =&gt; SOUS-SEGMENT'!$AF$8:$AF$154*'ANALYSE - ERP =&gt; SOUS-SEGMENT'!$BC$8:$BC$154)/SUMPRODUCT(('ANALYSE - ERP =&gt; SOUS-SEGMENT'!$C$8:$C$154=$C34)*'ANALYSE - ERP =&gt; SOUS-SEGMENT'!$Q$8:$Q$154*'ANALYSE - ERP =&gt; SOUS-SEGMENT'!$AF$8:$AF$154),"")</f>
        <v>3.823434991974318</v>
      </c>
      <c r="BC34" s="283">
        <f>SUMPRODUCT(('ANALYSE - ERP =&gt; SOUS-SEGMENT'!$C$8:$C$154=$C34)*'ANALYSE - ERP =&gt; SOUS-SEGMENT'!$Q$8:$Q$154*'ANALYSE - ERP =&gt; SOUS-SEGMENT'!$BE$8:$BE$154)</f>
        <v>2382</v>
      </c>
      <c r="BD34" s="283">
        <f>SUMPRODUCT(('ANALYSE - ERP =&gt; SOUS-SEGMENT'!$C$8:$C$154=$C34)*'ANALYSE - ERP =&gt; SOUS-SEGMENT'!$Q$8:$Q$154*'ANALYSE - ERP =&gt; SOUS-SEGMENT'!$BF$8:$BF$154)</f>
        <v>568</v>
      </c>
      <c r="BE34" s="283">
        <f>SUMPRODUCT(('ANALYSE - ERP =&gt; SOUS-SEGMENT'!$C$8:$C$154=$C34)*'ANALYSE - ERP =&gt; SOUS-SEGMENT'!$Q$8:$Q$154*'ANALYSE - ERP =&gt; SOUS-SEGMENT'!$BG$8:$BG$154)</f>
        <v>595.5</v>
      </c>
      <c r="BF34" s="283">
        <f>SUMPRODUCT(('ANALYSE - ERP =&gt; SOUS-SEGMENT'!$C$8:$C$154=$C34)*'ANALYSE - ERP =&gt; SOUS-SEGMENT'!$Q$8:$Q$154*'ANALYSE - ERP =&gt; SOUS-SEGMENT'!$BH$8:$BH$154)</f>
        <v>2382</v>
      </c>
      <c r="BG34" s="283">
        <f>SUMPRODUCT(('ANALYSE - ERP =&gt; SOUS-SEGMENT'!$C$8:$C$154=$C34)*'ANALYSE - ERP =&gt; SOUS-SEGMENT'!$Q$8:$Q$154*'ANALYSE - ERP =&gt; SOUS-SEGMENT'!$BJ$8:$BJ$154)</f>
        <v>2336</v>
      </c>
      <c r="BH34" s="283">
        <f>SUMPRODUCT(('ANALYSE - ERP =&gt; SOUS-SEGMENT'!$C$8:$C$154=$C34)*'ANALYSE - ERP =&gt; SOUS-SEGMENT'!$Q$8:$Q$154*'ANALYSE - ERP =&gt; SOUS-SEGMENT'!$BK$8:$BK$154)</f>
        <v>559</v>
      </c>
      <c r="BI34" s="283">
        <f>SUMPRODUCT(('ANALYSE - ERP =&gt; SOUS-SEGMENT'!$C$8:$C$154=$C34)*'ANALYSE - ERP =&gt; SOUS-SEGMENT'!$Q$8:$Q$154*'ANALYSE - ERP =&gt; SOUS-SEGMENT'!$BL$8:$BL$154)</f>
        <v>584</v>
      </c>
      <c r="BJ34" s="283">
        <f>SUMPRODUCT(('ANALYSE - ERP =&gt; SOUS-SEGMENT'!$C$8:$C$154=$C34)*'ANALYSE - ERP =&gt; SOUS-SEGMENT'!$Q$8:$Q$154*'ANALYSE - ERP =&gt; SOUS-SEGMENT'!$BM$8:$BM$154)</f>
        <v>2336</v>
      </c>
      <c r="BK34" s="657"/>
      <c r="BL34" s="580">
        <f>IFERROR(SUMPRODUCT(('ANALYSE - ERP =&gt; SOUS-SEGMENT'!$C$8:$C$154=$C34)*'ANALYSE - ERP =&gt; SOUS-SEGMENT'!$Q$8:$Q$154*'ANALYSE - ERP =&gt; SOUS-SEGMENT'!$BE$8:$BE$154*'ANALYSE - ERP =&gt; SOUS-SEGMENT'!$BO$8:$BO$154)/SUMPRODUCT(('ANALYSE - ERP =&gt; SOUS-SEGMENT'!$C$8:$C$154=$C34)*'ANALYSE - ERP =&gt; SOUS-SEGMENT'!$Q$8:$Q$154*'ANALYSE - ERP =&gt; SOUS-SEGMENT'!$BE$8:$BE$154),"")</f>
        <v>5.3232577665827042E-2</v>
      </c>
      <c r="BM34" s="305">
        <f>IFERROR(SUMPRODUCT(('ANALYSE - ERP =&gt; SOUS-SEGMENT'!$C$8:$C$154=$C34)*'ANALYSE - ERP =&gt; SOUS-SEGMENT'!$Q$8:$Q$154*'ANALYSE - ERP =&gt; SOUS-SEGMENT'!$BE$8:$BE$154*'ANALYSE - ERP =&gt; SOUS-SEGMENT'!$BP$8:$BP$154)/SUMPRODUCT(('ANALYSE - ERP =&gt; SOUS-SEGMENT'!$C$8:$C$154=$C34)*'ANALYSE - ERP =&gt; SOUS-SEGMENT'!$Q$8:$Q$154*'ANALYSE - ERP =&gt; SOUS-SEGMENT'!$BE$8:$BE$154),"")</f>
        <v>0.74861460957178838</v>
      </c>
      <c r="BN34" s="305">
        <f>IFERROR(SUMPRODUCT(('ANALYSE - ERP =&gt; SOUS-SEGMENT'!$C$8:$C$154=$C34)*'ANALYSE - ERP =&gt; SOUS-SEGMENT'!$Q$8:$Q$154*'ANALYSE - ERP =&gt; SOUS-SEGMENT'!$BE$8:$BE$154*'ANALYSE - ERP =&gt; SOUS-SEGMENT'!$BQ$8:$BQ$154)/SUMPRODUCT(('ANALYSE - ERP =&gt; SOUS-SEGMENT'!$C$8:$C$154=$C34)*'ANALYSE - ERP =&gt; SOUS-SEGMENT'!$Q$8:$Q$154*'ANALYSE - ERP =&gt; SOUS-SEGMENT'!$BE$8:$BE$154),"")</f>
        <v>2.4617968094038625E-2</v>
      </c>
      <c r="BO34" s="581">
        <f>IFERROR(SUMPRODUCT(('ANALYSE - ERP =&gt; SOUS-SEGMENT'!$C$8:$C$154=$C34)*'ANALYSE - ERP =&gt; SOUS-SEGMENT'!$Q$8:$Q$154*'ANALYSE - ERP =&gt; SOUS-SEGMENT'!$BE$8:$BE$154*'ANALYSE - ERP =&gt; SOUS-SEGMENT'!$BR$8:$BR$154)/SUMPRODUCT(('ANALYSE - ERP =&gt; SOUS-SEGMENT'!$C$8:$C$154=$C34)*'ANALYSE - ERP =&gt; SOUS-SEGMENT'!$Q$8:$Q$154*'ANALYSE - ERP =&gt; SOUS-SEGMENT'!$BE$8:$BE$154),"")</f>
        <v>0.1735348446683459</v>
      </c>
      <c r="BP34" s="580">
        <f>IFERROR(SUMPRODUCT(('ANALYSE - ERP =&gt; SOUS-SEGMENT'!$C$8:$C$154=$C34)*'ANALYSE - ERP =&gt; SOUS-SEGMENT'!$Q$8:$Q$154*'ANALYSE - ERP =&gt; SOUS-SEGMENT'!$BJ$8:$BJ$154*'ANALYSE - ERP =&gt; SOUS-SEGMENT'!$BS$8:$BS$154)/SUMPRODUCT(('ANALYSE - ERP =&gt; SOUS-SEGMENT'!$C$8:$C$154=$C34)*'ANALYSE - ERP =&gt; SOUS-SEGMENT'!$Q$8:$Q$154*'ANALYSE - ERP =&gt; SOUS-SEGMENT'!$BJ$8:$BJ$154),"")</f>
        <v>5.2140410958904114E-2</v>
      </c>
      <c r="BQ34" s="305">
        <f>IFERROR(SUMPRODUCT(('ANALYSE - ERP =&gt; SOUS-SEGMENT'!$C$8:$C$154=$C34)*'ANALYSE - ERP =&gt; SOUS-SEGMENT'!$Q$8:$Q$154*'ANALYSE - ERP =&gt; SOUS-SEGMENT'!$BJ$8:$BJ$154*'ANALYSE - ERP =&gt; SOUS-SEGMENT'!$BT$8:$BT$154)/SUMPRODUCT(('ANALYSE - ERP =&gt; SOUS-SEGMENT'!$C$8:$C$154=$C34)*'ANALYSE - ERP =&gt; SOUS-SEGMENT'!$Q$8:$Q$154*'ANALYSE - ERP =&gt; SOUS-SEGMENT'!$BJ$8:$BJ$154),"")</f>
        <v>0.73914383561643826</v>
      </c>
      <c r="BR34" s="305">
        <f>IFERROR(SUMPRODUCT(('ANALYSE - ERP =&gt; SOUS-SEGMENT'!$C$8:$C$154=$C34)*'ANALYSE - ERP =&gt; SOUS-SEGMENT'!$Q$8:$Q$154*'ANALYSE - ERP =&gt; SOUS-SEGMENT'!$BJ$8:$BJ$154*'ANALYSE - ERP =&gt; SOUS-SEGMENT'!$BU$8:$BU$154)/SUMPRODUCT(('ANALYSE - ERP =&gt; SOUS-SEGMENT'!$C$8:$C$154=$C34)*'ANALYSE - ERP =&gt; SOUS-SEGMENT'!$Q$8:$Q$154*'ANALYSE - ERP =&gt; SOUS-SEGMENT'!$BJ$8:$BJ$154),"")</f>
        <v>3.5136986301369862E-2</v>
      </c>
      <c r="BS34" s="581">
        <f>IFERROR(SUMPRODUCT(('ANALYSE - ERP =&gt; SOUS-SEGMENT'!$C$8:$C$154=$C34)*'ANALYSE - ERP =&gt; SOUS-SEGMENT'!$Q$8:$Q$154*'ANALYSE - ERP =&gt; SOUS-SEGMENT'!$BJ$8:$BJ$154*'ANALYSE - ERP =&gt; SOUS-SEGMENT'!$BV$8:$BV$154)/SUMPRODUCT(('ANALYSE - ERP =&gt; SOUS-SEGMENT'!$C$8:$C$154=$C34)*'ANALYSE - ERP =&gt; SOUS-SEGMENT'!$Q$8:$Q$154*'ANALYSE - ERP =&gt; SOUS-SEGMENT'!$BJ$8:$BJ$154),"")</f>
        <v>0.17357876712328765</v>
      </c>
      <c r="BT34" s="589">
        <f>IFERROR(SUMPRODUCT(('ANALYSE - ERP =&gt; SOUS-SEGMENT'!$C$8:$C$154=$C34)*'ANALYSE - ERP =&gt; SOUS-SEGMENT'!$Q$8:$Q$154*'ANALYSE - ERP =&gt; SOUS-SEGMENT'!$BF$8:$BF$154*'ANALYSE - ERP =&gt; SOUS-SEGMENT'!$BW$8:$BW$154)/SUMPRODUCT(('ANALYSE - ERP =&gt; SOUS-SEGMENT'!$C$8:$C$154=$C34)*'ANALYSE - ERP =&gt; SOUS-SEGMENT'!$Q$8:$Q$154*'ANALYSE - ERP =&gt; SOUS-SEGMENT'!$BF$8:$BF$154),"")</f>
        <v>0.3</v>
      </c>
      <c r="BU34" s="306">
        <f>IFERROR(SUMPRODUCT(('ANALYSE - ERP =&gt; SOUS-SEGMENT'!$C$8:$C$154=$C34)*'ANALYSE - ERP =&gt; SOUS-SEGMENT'!$Q$8:$Q$154*'ANALYSE - ERP =&gt; SOUS-SEGMENT'!$BF$8:$BF$154*'ANALYSE - ERP =&gt; SOUS-SEGMENT'!$BX$8:$BX$154)/SUMPRODUCT(('ANALYSE - ERP =&gt; SOUS-SEGMENT'!$C$8:$C$154=$C34)*'ANALYSE - ERP =&gt; SOUS-SEGMENT'!$Q$8:$Q$154*'ANALYSE - ERP =&gt; SOUS-SEGMENT'!$BF$8:$BF$154),"")</f>
        <v>0.7</v>
      </c>
      <c r="BV34" s="590">
        <f>IFERROR(SUMPRODUCT(('ANALYSE - ERP =&gt; SOUS-SEGMENT'!$C$8:$C$154=$C34)*'ANALYSE - ERP =&gt; SOUS-SEGMENT'!$Q$8:$Q$154*'ANALYSE - ERP =&gt; SOUS-SEGMENT'!$BF$8:$BF$154*'ANALYSE - ERP =&gt; SOUS-SEGMENT'!$BY$8:$BY$154)/SUMPRODUCT(('ANALYSE - ERP =&gt; SOUS-SEGMENT'!$C$8:$C$154=$C34)*'ANALYSE - ERP =&gt; SOUS-SEGMENT'!$Q$8:$Q$154*'ANALYSE - ERP =&gt; SOUS-SEGMENT'!$BF$8:$BF$154),"")</f>
        <v>0</v>
      </c>
      <c r="BW34" s="589">
        <f>IFERROR(SUMPRODUCT(('ANALYSE - ERP =&gt; SOUS-SEGMENT'!$C$8:$C$154=$C34)*'ANALYSE - ERP =&gt; SOUS-SEGMENT'!$Q$8:$Q$154*'ANALYSE - ERP =&gt; SOUS-SEGMENT'!$BK$8:$BK$154*'ANALYSE - ERP =&gt; SOUS-SEGMENT'!$BZ$8:$BZ$154)/SUMPRODUCT(('ANALYSE - ERP =&gt; SOUS-SEGMENT'!$C$8:$C$154=$C34)*'ANALYSE - ERP =&gt; SOUS-SEGMENT'!$Q$8:$Q$154*'ANALYSE - ERP =&gt; SOUS-SEGMENT'!$BK$8:$BK$154),"")</f>
        <v>0.28000000000000003</v>
      </c>
      <c r="BX34" s="306">
        <f>IFERROR(SUMPRODUCT(('ANALYSE - ERP =&gt; SOUS-SEGMENT'!$C$8:$C$154=$C34)*'ANALYSE - ERP =&gt; SOUS-SEGMENT'!$Q$8:$Q$154*'ANALYSE - ERP =&gt; SOUS-SEGMENT'!$BK$8:$BK$154*'ANALYSE - ERP =&gt; SOUS-SEGMENT'!$CA$8:$CA$154)/SUMPRODUCT(('ANALYSE - ERP =&gt; SOUS-SEGMENT'!$C$8:$C$154=$C34)*'ANALYSE - ERP =&gt; SOUS-SEGMENT'!$Q$8:$Q$154*'ANALYSE - ERP =&gt; SOUS-SEGMENT'!$BK$8:$BK$154),"")</f>
        <v>0.72</v>
      </c>
      <c r="BY34" s="590">
        <f>IFERROR(SUMPRODUCT(('ANALYSE - ERP =&gt; SOUS-SEGMENT'!$C$8:$C$154=$C34)*'ANALYSE - ERP =&gt; SOUS-SEGMENT'!$Q$8:$Q$154*'ANALYSE - ERP =&gt; SOUS-SEGMENT'!$BK$8:$BK$154*'ANALYSE - ERP =&gt; SOUS-SEGMENT'!$CB$8:$CB$154)/SUMPRODUCT(('ANALYSE - ERP =&gt; SOUS-SEGMENT'!$C$8:$C$154=$C34)*'ANALYSE - ERP =&gt; SOUS-SEGMENT'!$Q$8:$Q$154*'ANALYSE - ERP =&gt; SOUS-SEGMENT'!$BK$8:$BK$154),"")</f>
        <v>0</v>
      </c>
      <c r="BZ34" s="580">
        <f>IFERROR(SUMPRODUCT(('ANALYSE - ERP =&gt; SOUS-SEGMENT'!$C$8:$C$154=$C34)*'ANALYSE - ERP =&gt; SOUS-SEGMENT'!$Q$8:$Q$154*'ANALYSE - ERP =&gt; SOUS-SEGMENT'!$BG$8:$BG$154*'ANALYSE - ERP =&gt; SOUS-SEGMENT'!$CC$8:$CC$154)/SUMPRODUCT(('ANALYSE - ERP =&gt; SOUS-SEGMENT'!$C$8:$C$154=$C34)*'ANALYSE - ERP =&gt; SOUS-SEGMENT'!$Q$8:$Q$154*'ANALYSE - ERP =&gt; SOUS-SEGMENT'!$BG$8:$BG$154),"")</f>
        <v>0.1</v>
      </c>
      <c r="CA34" s="305">
        <f>IFERROR(SUMPRODUCT(('ANALYSE - ERP =&gt; SOUS-SEGMENT'!$C$8:$C$154=$C34)*'ANALYSE - ERP =&gt; SOUS-SEGMENT'!$Q$8:$Q$154*'ANALYSE - ERP =&gt; SOUS-SEGMENT'!$BG$8:$BG$154*'ANALYSE - ERP =&gt; SOUS-SEGMENT'!$CD$8:$CD$154)/SUMPRODUCT(('ANALYSE - ERP =&gt; SOUS-SEGMENT'!$C$8:$C$154=$C34)*'ANALYSE - ERP =&gt; SOUS-SEGMENT'!$Q$8:$Q$154*'ANALYSE - ERP =&gt; SOUS-SEGMENT'!$BG$8:$BG$154),"")</f>
        <v>0.77168765743073053</v>
      </c>
      <c r="CB34" s="305">
        <f>IFERROR(SUMPRODUCT(('ANALYSE - ERP =&gt; SOUS-SEGMENT'!$C$8:$C$154=$C34)*'ANALYSE - ERP =&gt; SOUS-SEGMENT'!$Q$8:$Q$154*'ANALYSE - ERP =&gt; SOUS-SEGMENT'!$BG$8:$BG$154*'ANALYSE - ERP =&gt; SOUS-SEGMENT'!$CE$8:$CE$154)/SUMPRODUCT(('ANALYSE - ERP =&gt; SOUS-SEGMENT'!$C$8:$C$154=$C34)*'ANALYSE - ERP =&gt; SOUS-SEGMENT'!$Q$8:$Q$154*'ANALYSE - ERP =&gt; SOUS-SEGMENT'!$BG$8:$BG$154),"")</f>
        <v>3.3232577665827032E-2</v>
      </c>
      <c r="CC34" s="581">
        <f>IFERROR(SUMPRODUCT(('ANALYSE - ERP =&gt; SOUS-SEGMENT'!$C$8:$C$154=$C34)*'ANALYSE - ERP =&gt; SOUS-SEGMENT'!$Q$8:$Q$154*'ANALYSE - ERP =&gt; SOUS-SEGMENT'!$BG$8:$BG$154*'ANALYSE - ERP =&gt; SOUS-SEGMENT'!$CF$8:$CF$154)/SUMPRODUCT(('ANALYSE - ERP =&gt; SOUS-SEGMENT'!$C$8:$C$154=$C34)*'ANALYSE - ERP =&gt; SOUS-SEGMENT'!$Q$8:$Q$154*'ANALYSE - ERP =&gt; SOUS-SEGMENT'!$BG$8:$BG$154),"")</f>
        <v>9.5079764903442485E-2</v>
      </c>
      <c r="CD34" s="580">
        <f>IFERROR(SUMPRODUCT(('ANALYSE - ERP =&gt; SOUS-SEGMENT'!$C$8:$C$154=$C34)*'ANALYSE - ERP =&gt; SOUS-SEGMENT'!$Q$8:$Q$154*'ANALYSE - ERP =&gt; SOUS-SEGMENT'!$BL$8:$BL$154*'ANALYSE - ERP =&gt; SOUS-SEGMENT'!$CG$8:$CG$154)/SUMPRODUCT(('ANALYSE - ERP =&gt; SOUS-SEGMENT'!$C$8:$C$154=$C34)*'ANALYSE - ERP =&gt; SOUS-SEGMENT'!$Q$8:$Q$154*'ANALYSE - ERP =&gt; SOUS-SEGMENT'!$BL$8:$BL$154),"")</f>
        <v>9.9143835616438372E-2</v>
      </c>
      <c r="CE34" s="305">
        <f>IFERROR(SUMPRODUCT(('ANALYSE - ERP =&gt; SOUS-SEGMENT'!$C$8:$C$154=$C34)*'ANALYSE - ERP =&gt; SOUS-SEGMENT'!$Q$8:$Q$154*'ANALYSE - ERP =&gt; SOUS-SEGMENT'!$BL$8:$BL$154*'ANALYSE - ERP =&gt; SOUS-SEGMENT'!$CH$8:$CH$154)/SUMPRODUCT(('ANALYSE - ERP =&gt; SOUS-SEGMENT'!$C$8:$C$154=$C34)*'ANALYSE - ERP =&gt; SOUS-SEGMENT'!$Q$8:$Q$154*'ANALYSE - ERP =&gt; SOUS-SEGMENT'!$BL$8:$BL$154),"")</f>
        <v>0.76272260273972603</v>
      </c>
      <c r="CF34" s="305">
        <f>IFERROR(SUMPRODUCT(('ANALYSE - ERP =&gt; SOUS-SEGMENT'!$C$8:$C$154=$C34)*'ANALYSE - ERP =&gt; SOUS-SEGMENT'!$Q$8:$Q$154*'ANALYSE - ERP =&gt; SOUS-SEGMENT'!$BL$8:$BL$154*'ANALYSE - ERP =&gt; SOUS-SEGMENT'!$CI$8:$CI$154)/SUMPRODUCT(('ANALYSE - ERP =&gt; SOUS-SEGMENT'!$C$8:$C$154=$C34)*'ANALYSE - ERP =&gt; SOUS-SEGMENT'!$Q$8:$Q$154*'ANALYSE - ERP =&gt; SOUS-SEGMENT'!$BL$8:$BL$154),"")</f>
        <v>4.3424657534246576E-2</v>
      </c>
      <c r="CG34" s="581">
        <f>IFERROR(SUMPRODUCT(('ANALYSE - ERP =&gt; SOUS-SEGMENT'!$C$8:$C$154=$C34)*'ANALYSE - ERP =&gt; SOUS-SEGMENT'!$Q$8:$Q$154*'ANALYSE - ERP =&gt; SOUS-SEGMENT'!$BL$8:$BL$154*'ANALYSE - ERP =&gt; SOUS-SEGMENT'!$CJ$8:$CJ$154)/SUMPRODUCT(('ANALYSE - ERP =&gt; SOUS-SEGMENT'!$C$8:$C$154=$C34)*'ANALYSE - ERP =&gt; SOUS-SEGMENT'!$Q$8:$Q$154*'ANALYSE - ERP =&gt; SOUS-SEGMENT'!$BL$8:$BL$154),"")</f>
        <v>9.4708904109589029E-2</v>
      </c>
      <c r="CH34" s="589">
        <f>IFERROR(SUMPRODUCT(('ANALYSE - ERP =&gt; SOUS-SEGMENT'!$C$8:$C$154=$C34)*'ANALYSE - ERP =&gt; SOUS-SEGMENT'!$Q$8:$Q$154*'ANALYSE - ERP =&gt; SOUS-SEGMENT'!$BH$8:$BH$154*'ANALYSE - ERP =&gt; SOUS-SEGMENT'!$CK$8:$CK$154)/SUMPRODUCT(('ANALYSE - ERP =&gt; SOUS-SEGMENT'!$C$8:$C$154=$C34)*'ANALYSE - ERP =&gt; SOUS-SEGMENT'!$Q$8:$Q$154*'ANALYSE - ERP =&gt; SOUS-SEGMENT'!$BH$8:$BH$154),"")</f>
        <v>0.3592359361880772</v>
      </c>
      <c r="CI34" s="306">
        <f>IFERROR(SUMPRODUCT(('ANALYSE - ERP =&gt; SOUS-SEGMENT'!$C$8:$C$154=$C34)*'ANALYSE - ERP =&gt; SOUS-SEGMENT'!$Q$8:$Q$154*'ANALYSE - ERP =&gt; SOUS-SEGMENT'!$BH$8:$BH$154*'ANALYSE - ERP =&gt; SOUS-SEGMENT'!$CL$8:$CL$154)/SUMPRODUCT(('ANALYSE - ERP =&gt; SOUS-SEGMENT'!$C$8:$C$154=$C34)*'ANALYSE - ERP =&gt; SOUS-SEGMENT'!$Q$8:$Q$154*'ANALYSE - ERP =&gt; SOUS-SEGMENT'!$BH$8:$BH$154),"")</f>
        <v>0.53845507976490348</v>
      </c>
      <c r="CJ34" s="590">
        <f>IFERROR(SUMPRODUCT(('ANALYSE - ERP =&gt; SOUS-SEGMENT'!$C$8:$C$154=$C34)*'ANALYSE - ERP =&gt; SOUS-SEGMENT'!$Q$8:$Q$154*'ANALYSE - ERP =&gt; SOUS-SEGMENT'!$BH$8:$BH$154*'ANALYSE - ERP =&gt; SOUS-SEGMENT'!$CM$8:$CM$154)/SUMPRODUCT(('ANALYSE - ERP =&gt; SOUS-SEGMENT'!$C$8:$C$154=$C34)*'ANALYSE - ERP =&gt; SOUS-SEGMENT'!$Q$8:$Q$154*'ANALYSE - ERP =&gt; SOUS-SEGMENT'!$BH$8:$BH$154),"")</f>
        <v>0.10230898404701932</v>
      </c>
      <c r="CK34" s="589">
        <f>IFERROR(SUMPRODUCT(('ANALYSE - ERP =&gt; SOUS-SEGMENT'!$C$8:$C$154=$C34)*'ANALYSE - ERP =&gt; SOUS-SEGMENT'!$Q$8:$Q$154*'ANALYSE - ERP =&gt; SOUS-SEGMENT'!$BM$8:$BM$154*'ANALYSE - ERP =&gt; SOUS-SEGMENT'!$CN$8:$CN$154)/SUMPRODUCT(('ANALYSE - ERP =&gt; SOUS-SEGMENT'!$C$8:$C$154=$C34)*'ANALYSE - ERP =&gt; SOUS-SEGMENT'!$Q$8:$Q$154*'ANALYSE - ERP =&gt; SOUS-SEGMENT'!$BM$8:$BM$154),"")</f>
        <v>0.30856164383561641</v>
      </c>
      <c r="CL34" s="306">
        <f>IFERROR(SUMPRODUCT(('ANALYSE - ERP =&gt; SOUS-SEGMENT'!$C$8:$C$154=$C34)*'ANALYSE - ERP =&gt; SOUS-SEGMENT'!$Q$8:$Q$154*'ANALYSE - ERP =&gt; SOUS-SEGMENT'!$BM$8:$BM$154*'ANALYSE - ERP =&gt; SOUS-SEGMENT'!$CO$8:$CO$154)/SUMPRODUCT(('ANALYSE - ERP =&gt; SOUS-SEGMENT'!$C$8:$C$154=$C34)*'ANALYSE - ERP =&gt; SOUS-SEGMENT'!$Q$8:$Q$154*'ANALYSE - ERP =&gt; SOUS-SEGMENT'!$BM$8:$BM$154),"")</f>
        <v>0.56929794520547938</v>
      </c>
      <c r="CM34" s="590">
        <f>IFERROR(SUMPRODUCT(('ANALYSE - ERP =&gt; SOUS-SEGMENT'!$C$8:$C$154=$C34)*'ANALYSE - ERP =&gt; SOUS-SEGMENT'!$Q$8:$Q$154*'ANALYSE - ERP =&gt; SOUS-SEGMENT'!$BM$8:$BM$154*'ANALYSE - ERP =&gt; SOUS-SEGMENT'!$CP$8:$CP$154)/SUMPRODUCT(('ANALYSE - ERP =&gt; SOUS-SEGMENT'!$C$8:$C$154=$C34)*'ANALYSE - ERP =&gt; SOUS-SEGMENT'!$Q$8:$Q$154*'ANALYSE - ERP =&gt; SOUS-SEGMENT'!$BM$8:$BM$154),"")</f>
        <v>0.1221404109589041</v>
      </c>
      <c r="CN34" s="657"/>
      <c r="CO34" s="889">
        <f>IFERROR(SUMPRODUCT(('ANALYSE - ERP =&gt; SOUS-SEGMENT'!$C$8:$C$154=$C34)*'ANALYSE - ERP =&gt; SOUS-SEGMENT'!$DH$8:$DH$154*('ANALYSE - ERP =&gt; SOUS-SEGMENT'!$CR$8:$CR$154&gt;0)*'ANALYSE - ERP =&gt; SOUS-SEGMENT'!$CR$8:$CR$154)/SUMPRODUCT(('ANALYSE - ERP =&gt; SOUS-SEGMENT'!$C$8:$C$154=$C34)*'ANALYSE - ERP =&gt; SOUS-SEGMENT'!$DH$8:$DH$154*('ANALYSE - ERP =&gt; SOUS-SEGMENT'!$CR$8:$CR$154&gt;0)),"")</f>
        <v>11</v>
      </c>
      <c r="CP34" s="890">
        <f>IFERROR(SUMPRODUCT(('ANALYSE - ERP =&gt; SOUS-SEGMENT'!$C$8:$C$154=$C34)*'ANALYSE - ERP =&gt; SOUS-SEGMENT'!$DI$8:$DI$154*('ANALYSE - ERP =&gt; SOUS-SEGMENT'!$CS$8:$CS$154&gt;0)*'ANALYSE - ERP =&gt; SOUS-SEGMENT'!$CS$8:$CS$154)/SUMPRODUCT(('ANALYSE - ERP =&gt; SOUS-SEGMENT'!$C$8:$C$154=$C34)*'ANALYSE - ERP =&gt; SOUS-SEGMENT'!$DI$8:$DI$154*('ANALYSE - ERP =&gt; SOUS-SEGMENT'!$CS$8:$CS$154&gt;0)),"")</f>
        <v>12</v>
      </c>
      <c r="CQ34" s="890">
        <f>IFERROR(SUMPRODUCT(('ANALYSE - ERP =&gt; SOUS-SEGMENT'!$C$8:$C$154=$C34)*'ANALYSE - ERP =&gt; SOUS-SEGMENT'!$DJ$8:$DJ$154*('ANALYSE - ERP =&gt; SOUS-SEGMENT'!$CT$8:$CT$154&gt;0)*'ANALYSE - ERP =&gt; SOUS-SEGMENT'!$CT$8:$CT$154)/SUMPRODUCT(('ANALYSE - ERP =&gt; SOUS-SEGMENT'!$C$8:$C$154=$C34)*'ANALYSE - ERP =&gt; SOUS-SEGMENT'!$DJ$8:$DJ$154*('ANALYSE - ERP =&gt; SOUS-SEGMENT'!$CT$8:$CT$154&gt;0)),"")</f>
        <v>9</v>
      </c>
      <c r="CR34" s="891">
        <f>IFERROR(SUMPRODUCT(('ANALYSE - ERP =&gt; SOUS-SEGMENT'!$C$8:$C$154=$C34)*'ANALYSE - ERP =&gt; SOUS-SEGMENT'!$DK$8:$DK$154*('ANALYSE - ERP =&gt; SOUS-SEGMENT'!$CU$8:$CU$154&gt;0)*'ANALYSE - ERP =&gt; SOUS-SEGMENT'!$CU$8:$CU$154)/SUMPRODUCT(('ANALYSE - ERP =&gt; SOUS-SEGMENT'!$C$8:$C$154=$C34)*'ANALYSE - ERP =&gt; SOUS-SEGMENT'!$DK$8:$DK$154*('ANALYSE - ERP =&gt; SOUS-SEGMENT'!$CU$8:$CU$154&gt;0)),"")</f>
        <v>10.000000000000002</v>
      </c>
      <c r="CS34" s="889">
        <f>IFERROR(SUMPRODUCT(('ANALYSE - ERP =&gt; SOUS-SEGMENT'!$C$8:$C$154=$C34)*'ANALYSE - ERP =&gt; SOUS-SEGMENT'!$DS$8:$DS$154*('ANALYSE - ERP =&gt; SOUS-SEGMENT'!$CV$8:$CV$154&gt;0)*'ANALYSE - ERP =&gt; SOUS-SEGMENT'!$CV$8:$CV$154)/SUMPRODUCT(('ANALYSE - ERP =&gt; SOUS-SEGMENT'!$C$8:$C$154=$C34)*'ANALYSE - ERP =&gt; SOUS-SEGMENT'!$DS$8:$DS$154*('ANALYSE - ERP =&gt; SOUS-SEGMENT'!$CV$8:$CV$154&gt;0)),"")</f>
        <v>11</v>
      </c>
      <c r="CT34" s="890">
        <f>IFERROR(SUMPRODUCT(('ANALYSE - ERP =&gt; SOUS-SEGMENT'!$C$8:$C$154=$C34)*'ANALYSE - ERP =&gt; SOUS-SEGMENT'!$DT$8:$DT$154*('ANALYSE - ERP =&gt; SOUS-SEGMENT'!$CW$8:$CW$154&gt;0)*'ANALYSE - ERP =&gt; SOUS-SEGMENT'!$CW$8:$CW$154)/SUMPRODUCT(('ANALYSE - ERP =&gt; SOUS-SEGMENT'!$C$8:$C$154=$C34)*'ANALYSE - ERP =&gt; SOUS-SEGMENT'!$DT$8:$DT$154*('ANALYSE - ERP =&gt; SOUS-SEGMENT'!$CW$8:$CW$154&gt;0)),"")</f>
        <v>11</v>
      </c>
      <c r="CU34" s="891" t="str">
        <f>IFERROR(SUMPRODUCT(('ANALYSE - ERP =&gt; SOUS-SEGMENT'!$C$8:$C$154=$C34)*'ANALYSE - ERP =&gt; SOUS-SEGMENT'!$DU$8:$DU$154*('ANALYSE - ERP =&gt; SOUS-SEGMENT'!$CX$8:$CX$154&gt;0)*'ANALYSE - ERP =&gt; SOUS-SEGMENT'!$CX$8:$CX$154)/SUMPRODUCT(('ANALYSE - ERP =&gt; SOUS-SEGMENT'!$C$8:$C$154=$C34)*'ANALYSE - ERP =&gt; SOUS-SEGMENT'!$DU$8:$DU$154*('ANALYSE - ERP =&gt; SOUS-SEGMENT'!$CX$8:$CX$154&gt;0)),"")</f>
        <v/>
      </c>
      <c r="CV34" s="889">
        <f>IFERROR(SUMPRODUCT(('ANALYSE - ERP =&gt; SOUS-SEGMENT'!$C$8:$C$154=$C34)*'ANALYSE - ERP =&gt; SOUS-SEGMENT'!$EB$8:$EB$154*('ANALYSE - ERP =&gt; SOUS-SEGMENT'!$CY$8:$CY$154&gt;0)*'ANALYSE - ERP =&gt; SOUS-SEGMENT'!$CY$8:$CY$154)/SUMPRODUCT(('ANALYSE - ERP =&gt; SOUS-SEGMENT'!$C$8:$C$154=$C34)*'ANALYSE - ERP =&gt; SOUS-SEGMENT'!$EB$8:$EB$154*('ANALYSE - ERP =&gt; SOUS-SEGMENT'!$CY$8:$CY$154&gt;0)),"")</f>
        <v>9.9999999999999982</v>
      </c>
      <c r="CW34" s="890">
        <f>IFERROR(SUMPRODUCT(('ANALYSE - ERP =&gt; SOUS-SEGMENT'!$C$8:$C$154=$C34)*'ANALYSE - ERP =&gt; SOUS-SEGMENT'!$EC$8:$EC$154*('ANALYSE - ERP =&gt; SOUS-SEGMENT'!$CZ$8:$CZ$154&gt;0)*'ANALYSE - ERP =&gt; SOUS-SEGMENT'!$CZ$8:$CZ$154)/SUMPRODUCT(('ANALYSE - ERP =&gt; SOUS-SEGMENT'!$C$8:$C$154=$C34)*'ANALYSE - ERP =&gt; SOUS-SEGMENT'!$EC$8:$EC$154*('ANALYSE - ERP =&gt; SOUS-SEGMENT'!$CZ$8:$CZ$154&gt;0)),"")</f>
        <v>12</v>
      </c>
      <c r="CX34" s="890">
        <f>IFERROR(SUMPRODUCT(('ANALYSE - ERP =&gt; SOUS-SEGMENT'!$C$8:$C$154=$C34)*'ANALYSE - ERP =&gt; SOUS-SEGMENT'!$ED$8:$ED$154*('ANALYSE - ERP =&gt; SOUS-SEGMENT'!$DA$8:$DA$154&gt;0)*'ANALYSE - ERP =&gt; SOUS-SEGMENT'!$DA$8:$DA$154)/SUMPRODUCT(('ANALYSE - ERP =&gt; SOUS-SEGMENT'!$C$8:$C$154=$C34)*'ANALYSE - ERP =&gt; SOUS-SEGMENT'!$ED$8:$ED$154*('ANALYSE - ERP =&gt; SOUS-SEGMENT'!$DA$8:$DA$154&gt;0)),"")</f>
        <v>8</v>
      </c>
      <c r="CY34" s="892">
        <f>IFERROR(SUMPRODUCT(('ANALYSE - ERP =&gt; SOUS-SEGMENT'!$C$8:$C$154=$C34)*'ANALYSE - ERP =&gt; SOUS-SEGMENT'!$EE$8:$EE$154*('ANALYSE - ERP =&gt; SOUS-SEGMENT'!$DB$8:$DB$154&gt;0)*'ANALYSE - ERP =&gt; SOUS-SEGMENT'!$DB$8:$DB$154)/SUMPRODUCT(('ANALYSE - ERP =&gt; SOUS-SEGMENT'!$C$8:$C$154=$C34)*'ANALYSE - ERP =&gt; SOUS-SEGMENT'!$EE$8:$EE$154*('ANALYSE - ERP =&gt; SOUS-SEGMENT'!$DB$8:$DB$154&gt;0)),"")</f>
        <v>10</v>
      </c>
      <c r="CZ34" s="893">
        <f>IFERROR(SUMPRODUCT(('ANALYSE - ERP =&gt; SOUS-SEGMENT'!$C$8:$C$154=$C34)*'ANALYSE - ERP =&gt; SOUS-SEGMENT'!$EM$8:$EM$154*('ANALYSE - ERP =&gt; SOUS-SEGMENT'!$DC$8:$DC$154&gt;0)*'ANALYSE - ERP =&gt; SOUS-SEGMENT'!$DC$8:$DC$154)/SUMPRODUCT(('ANALYSE - ERP =&gt; SOUS-SEGMENT'!$C$8:$C$154=$C34)*'ANALYSE - ERP =&gt; SOUS-SEGMENT'!$EM$8:$EM$154*('ANALYSE - ERP =&gt; SOUS-SEGMENT'!$DC$8:$DC$154&gt;0)),"")</f>
        <v>10</v>
      </c>
      <c r="DA34" s="890">
        <f>IFERROR(SUMPRODUCT(('ANALYSE - ERP =&gt; SOUS-SEGMENT'!$C$8:$C$154=$C34)*'ANALYSE - ERP =&gt; SOUS-SEGMENT'!$EN$8:$EN$154*('ANALYSE - ERP =&gt; SOUS-SEGMENT'!$DD$8:$DD$154&gt;0)*'ANALYSE - ERP =&gt; SOUS-SEGMENT'!$DD$8:$DD$154)/SUMPRODUCT(('ANALYSE - ERP =&gt; SOUS-SEGMENT'!$C$8:$C$154=$C34)*'ANALYSE - ERP =&gt; SOUS-SEGMENT'!$EN$8:$EN$154*('ANALYSE - ERP =&gt; SOUS-SEGMENT'!$DD$8:$DD$154&gt;0)),"")</f>
        <v>12</v>
      </c>
      <c r="DB34" s="892">
        <f>IFERROR(SUMPRODUCT(('ANALYSE - ERP =&gt; SOUS-SEGMENT'!$C$8:$C$154=$C34)*'ANALYSE - ERP =&gt; SOUS-SEGMENT'!$EO$8:$EO$154*('ANALYSE - ERP =&gt; SOUS-SEGMENT'!$DE$8:$DE$154&gt;0)*'ANALYSE - ERP =&gt; SOUS-SEGMENT'!$DE$8:$DE$154)/SUMPRODUCT(('ANALYSE - ERP =&gt; SOUS-SEGMENT'!$C$8:$C$154=$C34)*'ANALYSE - ERP =&gt; SOUS-SEGMENT'!$EO$8:$EO$154*('ANALYSE - ERP =&gt; SOUS-SEGMENT'!$DE$8:$DE$154&gt;0)),"")</f>
        <v>9</v>
      </c>
      <c r="DC34" s="609" t="s">
        <v>7370</v>
      </c>
      <c r="DD34" s="657"/>
      <c r="DE34" s="308">
        <f t="shared" si="2"/>
        <v>126.80000000000001</v>
      </c>
      <c r="DF34" s="308">
        <f t="shared" si="3"/>
        <v>1783.1999999999998</v>
      </c>
      <c r="DG34" s="308">
        <f t="shared" si="4"/>
        <v>58.64</v>
      </c>
      <c r="DH34" s="308">
        <f t="shared" si="5"/>
        <v>413.35999999999996</v>
      </c>
      <c r="DI34" s="287" t="s">
        <v>7371</v>
      </c>
      <c r="DJ34" s="308">
        <f t="shared" si="6"/>
        <v>121.80000000000001</v>
      </c>
      <c r="DK34" s="308">
        <f t="shared" si="7"/>
        <v>1726.6399999999999</v>
      </c>
      <c r="DL34" s="308">
        <f t="shared" si="8"/>
        <v>82.08</v>
      </c>
      <c r="DM34" s="308">
        <f t="shared" si="9"/>
        <v>405.47999999999996</v>
      </c>
      <c r="DN34" s="287" t="s">
        <v>7372</v>
      </c>
      <c r="DO34" s="657"/>
      <c r="DP34" s="308">
        <f t="shared" si="10"/>
        <v>170.4</v>
      </c>
      <c r="DQ34" s="308">
        <f t="shared" si="11"/>
        <v>397.59999999999997</v>
      </c>
      <c r="DR34" s="308">
        <f t="shared" si="12"/>
        <v>0</v>
      </c>
      <c r="DS34" s="287" t="s">
        <v>7373</v>
      </c>
      <c r="DT34" s="308">
        <f t="shared" si="13"/>
        <v>156.52000000000001</v>
      </c>
      <c r="DU34" s="308">
        <f t="shared" si="14"/>
        <v>402.47999999999996</v>
      </c>
      <c r="DV34" s="308">
        <f t="shared" si="15"/>
        <v>0</v>
      </c>
      <c r="DW34" s="287" t="s">
        <v>7374</v>
      </c>
      <c r="DX34" s="657"/>
      <c r="DY34" s="308">
        <f t="shared" si="16"/>
        <v>59.550000000000004</v>
      </c>
      <c r="DZ34" s="308">
        <f t="shared" si="17"/>
        <v>459.54</v>
      </c>
      <c r="EA34" s="308">
        <f t="shared" si="18"/>
        <v>19.789999999999996</v>
      </c>
      <c r="EB34" s="308">
        <f t="shared" si="19"/>
        <v>56.62</v>
      </c>
      <c r="EC34" s="287" t="s">
        <v>7375</v>
      </c>
      <c r="ED34" s="308">
        <f t="shared" si="20"/>
        <v>57.900000000000013</v>
      </c>
      <c r="EE34" s="308">
        <f t="shared" si="21"/>
        <v>445.43</v>
      </c>
      <c r="EF34" s="308">
        <f t="shared" si="22"/>
        <v>25.36</v>
      </c>
      <c r="EG34" s="308">
        <f t="shared" si="23"/>
        <v>55.309999999999995</v>
      </c>
      <c r="EH34" s="614" t="s">
        <v>7376</v>
      </c>
      <c r="EI34" s="290"/>
      <c r="EJ34" s="308">
        <f t="shared" si="24"/>
        <v>855.69999999999993</v>
      </c>
      <c r="EK34" s="310">
        <f t="shared" si="25"/>
        <v>1282.6000000000001</v>
      </c>
      <c r="EL34" s="310">
        <f t="shared" si="26"/>
        <v>243.70000000000002</v>
      </c>
      <c r="EM34" s="287" t="s">
        <v>7377</v>
      </c>
      <c r="EN34" s="308">
        <f t="shared" si="27"/>
        <v>720.8</v>
      </c>
      <c r="EO34" s="310">
        <f t="shared" si="28"/>
        <v>1329.8799999999999</v>
      </c>
      <c r="EP34" s="310">
        <f t="shared" si="29"/>
        <v>285.32</v>
      </c>
      <c r="EQ34" s="289" t="s">
        <v>7378</v>
      </c>
      <c r="ER34" s="657"/>
      <c r="ES34" s="728">
        <f t="shared" si="30"/>
        <v>0.91932927941178488</v>
      </c>
      <c r="ET34" s="728">
        <f t="shared" si="31"/>
        <v>4.3691845727406767E-2</v>
      </c>
      <c r="EU34" s="311">
        <f t="shared" si="32"/>
        <v>2677.1517604824999</v>
      </c>
      <c r="EV34" s="311">
        <f t="shared" si="33"/>
        <v>2288.7819604824999</v>
      </c>
      <c r="EW34" s="311">
        <f t="shared" si="34"/>
        <v>388.36979999999994</v>
      </c>
      <c r="EX34" s="311">
        <f t="shared" si="35"/>
        <v>1054.8845484177778</v>
      </c>
      <c r="EY34" s="311">
        <f>SUMPRODUCT(('ANALYSE - ERP =&gt; SOUS-SEGMENT'!$C$8:$C$154=$C34)*'ANALYSE - ERP =&gt; SOUS-SEGMENT'!$Q$8:$Q$154*'ANALYSE - ERP =&gt; SOUS-SEGMENT'!$FB$8:$FB$154)</f>
        <v>898.81590841777779</v>
      </c>
      <c r="EZ34" s="311">
        <f>SUMPRODUCT(('ANALYSE - ERP =&gt; SOUS-SEGMENT'!$C$8:$C$154=$C34)*'ANALYSE - ERP =&gt; SOUS-SEGMENT'!$Q$8:$Q$154*'ANALYSE - ERP =&gt; SOUS-SEGMENT'!$FC$8:$FC$154)</f>
        <v>156.06863999999999</v>
      </c>
      <c r="FA34" s="311">
        <f t="shared" si="36"/>
        <v>256.77910999999995</v>
      </c>
      <c r="FB34" s="311">
        <f>SUMPRODUCT(('ANALYSE - ERP =&gt; SOUS-SEGMENT'!$C$8:$C$154=$C34)*'ANALYSE - ERP =&gt; SOUS-SEGMENT'!$Q$8:$Q$154*'ANALYSE - ERP =&gt; SOUS-SEGMENT'!$FE$8:$FE$154)</f>
        <v>219.56374999999997</v>
      </c>
      <c r="FC34" s="311">
        <f>SUMPRODUCT(('ANALYSE - ERP =&gt; SOUS-SEGMENT'!$C$8:$C$154=$C34)*'ANALYSE - ERP =&gt; SOUS-SEGMENT'!$Q$8:$Q$154*'ANALYSE - ERP =&gt; SOUS-SEGMENT'!$FF$8:$FF$154)</f>
        <v>37.215359999999997</v>
      </c>
      <c r="FD34" s="311">
        <f t="shared" si="37"/>
        <v>265.12851104250001</v>
      </c>
      <c r="FE34" s="311">
        <f>SUMPRODUCT(('ANALYSE - ERP =&gt; SOUS-SEGMENT'!$C$8:$C$154=$C34)*'ANALYSE - ERP =&gt; SOUS-SEGMENT'!$Q$8:$Q$154*'ANALYSE - ERP =&gt; SOUS-SEGMENT'!$FH$8:$FH$154)</f>
        <v>226.11135104249999</v>
      </c>
      <c r="FF34" s="311">
        <f>SUMPRODUCT(('ANALYSE - ERP =&gt; SOUS-SEGMENT'!$C$8:$C$154=$C34)*'ANALYSE - ERP =&gt; SOUS-SEGMENT'!$Q$8:$Q$154*'ANALYSE - ERP =&gt; SOUS-SEGMENT'!$FI$8:$FI$154)</f>
        <v>39.017159999999997</v>
      </c>
      <c r="FG34" s="311">
        <f t="shared" si="38"/>
        <v>1100.359591022222</v>
      </c>
      <c r="FH34" s="311">
        <f>SUMPRODUCT(('ANALYSE - ERP =&gt; SOUS-SEGMENT'!$C$8:$C$154=$C34)*'ANALYSE - ERP =&gt; SOUS-SEGMENT'!$Q$8:$Q$154*'ANALYSE - ERP =&gt; SOUS-SEGMENT'!$FK$8:$FK$154)</f>
        <v>944.29095102222209</v>
      </c>
      <c r="FI34" s="311">
        <f>SUMPRODUCT(('ANALYSE - ERP =&gt; SOUS-SEGMENT'!$C$8:$C$154=$C34)*'ANALYSE - ERP =&gt; SOUS-SEGMENT'!$Q$8:$Q$154*'ANALYSE - ERP =&gt; SOUS-SEGMENT'!$FL$8:$FL$154)</f>
        <v>156.06863999999999</v>
      </c>
      <c r="FJ34" s="657"/>
      <c r="FK34" s="293" t="s">
        <v>2649</v>
      </c>
      <c r="FL34" s="728">
        <f>IFERROR(SUMPRODUCT(('ANALYSE - ERP =&gt; SOUS-SEGMENT'!$C$8:$C$154=$C34)*'ANALYSE - ERP =&gt; SOUS-SEGMENT'!$Q$8:$Q$154*'ANALYSE - ERP =&gt; SOUS-SEGMENT'!$AF$8:$AF$154*'ANALYSE - ERP =&gt; SOUS-SEGMENT'!$FO$8:$FO$154)/SUMPRODUCT(('ANALYSE - ERP =&gt; SOUS-SEGMENT'!$C$8:$C$154=$C34)*'ANALYSE - ERP =&gt; SOUS-SEGMENT'!$Q$8:$Q$154*'ANALYSE - ERP =&gt; SOUS-SEGMENT'!$AF$8:$AF$154),"")</f>
        <v>6.5519999999999995E-2</v>
      </c>
      <c r="FM34" s="729">
        <f>IFERROR(SUMPRODUCT(('ANALYSE - ERP =&gt; SOUS-SEGMENT'!$C$8:$C$154=$C34)*'ANALYSE - ERP =&gt; SOUS-SEGMENT'!$Q$8:$Q$154*'ANALYSE - ERP =&gt; SOUS-SEGMENT'!$AF$8:$AF$154*'ANALYSE - ERP =&gt; SOUS-SEGMENT'!$FP$8:$FP$154)/SUMPRODUCT(('ANALYSE - ERP =&gt; SOUS-SEGMENT'!$C$8:$C$154=$C34)*'ANALYSE - ERP =&gt; SOUS-SEGMENT'!$Q$8:$Q$154*'ANALYSE - ERP =&gt; SOUS-SEGMENT'!$AF$8:$AF$154),"")</f>
        <v>0.84006999999999998</v>
      </c>
      <c r="FN34" s="294" t="s">
        <v>3154</v>
      </c>
      <c r="FO34" s="657"/>
      <c r="FP34" s="865">
        <f>IFERROR(SUMPRODUCT(('ANALYSE - ERP =&gt; SOUS-SEGMENT'!$C$8:$C$154=$C34)*'ANALYSE - ERP =&gt; SOUS-SEGMENT'!$Q$8:$Q$154*'ANALYSE - ERP =&gt; SOUS-SEGMENT'!$EX$8:$EX$154*'ANALYSE - ERP =&gt; SOUS-SEGMENT'!$FS$8:$FS$154)/SUMPRODUCT(('ANALYSE - ERP =&gt; SOUS-SEGMENT'!$C$8:$C$154=$C34)*'ANALYSE - ERP =&gt; SOUS-SEGMENT'!$Q$8:$Q$154*'ANALYSE - ERP =&gt; SOUS-SEGMENT'!$EX$8:$EX$154),"")</f>
        <v>2.8957347916890166</v>
      </c>
      <c r="FQ34" s="312">
        <f>RANK($FP34,$FP$8:$FP$143,0)+COUNTIF($FP$8:$FP34,$FP34)-1</f>
        <v>32</v>
      </c>
      <c r="FR34" s="865">
        <f>IFERROR(SUMPRODUCT(('ANALYSE - ERP =&gt; SOUS-SEGMENT'!$C$8:$C$154=$C34)*'ANALYSE - ERP =&gt; SOUS-SEGMENT'!$Q$8:$Q$154*'ANALYSE - ERP =&gt; SOUS-SEGMENT'!$EY$8:$EY$154*'ANALYSE - ERP =&gt; SOUS-SEGMENT'!$FU$8:$FU$154)/SUMPRODUCT(('ANALYSE - ERP =&gt; SOUS-SEGMENT'!$C$8:$C$154=$C34)*'ANALYSE - ERP =&gt; SOUS-SEGMENT'!$Q$8:$Q$154*'ANALYSE - ERP =&gt; SOUS-SEGMENT'!$EY$8:$EY$154),"")</f>
        <v>3.9721558311801615</v>
      </c>
      <c r="FS34" s="312">
        <f>RANK($FR34,$FR$8:$FR$143,0)+COUNTIF($FR$8:$FR34,$FR34)-1</f>
        <v>19</v>
      </c>
      <c r="FT34" s="865">
        <f>IFERROR(SUMPRODUCT(('ANALYSE - ERP =&gt; SOUS-SEGMENT'!$C$8:$C$154=$C34)*'ANALYSE - ERP =&gt; SOUS-SEGMENT'!$Q$8:$Q$154*'ANALYSE - ERP =&gt; SOUS-SEGMENT'!$EZ$8:$EZ$154*'ANALYSE - ERP =&gt; SOUS-SEGMENT'!$FW$8:$FW$154)/SUMPRODUCT(('ANALYSE - ERP =&gt; SOUS-SEGMENT'!$C$8:$C$154=$C34)*'ANALYSE - ERP =&gt; SOUS-SEGMENT'!$Q$8:$Q$154*'ANALYSE - ERP =&gt; SOUS-SEGMENT'!$EZ$8:$EZ$154),"")</f>
        <v>1.568350906790384</v>
      </c>
      <c r="FU34" s="312">
        <f>RANK($FT34,$FT$8:$FT$143,0)+COUNTIF($FT$8:$FT34,$FT34)-1</f>
        <v>33</v>
      </c>
      <c r="FV34" s="657"/>
      <c r="FW34" s="296" t="s">
        <v>7379</v>
      </c>
      <c r="FX34" s="296" t="s">
        <v>7380</v>
      </c>
      <c r="FY34" s="296" t="s">
        <v>7381</v>
      </c>
      <c r="FZ34" s="296" t="s">
        <v>7382</v>
      </c>
      <c r="GA34" s="296" t="s">
        <v>7383</v>
      </c>
      <c r="GB34" s="296" t="s">
        <v>7384</v>
      </c>
      <c r="GC34" s="296" t="s">
        <v>6759</v>
      </c>
      <c r="GD34" s="657"/>
      <c r="GE34" s="311">
        <f>SUMPRODUCT(('ANALYSE - ERP =&gt; SOUS-SEGMENT'!$C$8:$C$154=$C34)*'ANALYSE - ERP =&gt; SOUS-SEGMENT'!$Q$8:$Q$154*'ANALYSE - ERP =&gt; SOUS-SEGMENT'!$GH$8:$GH$154)</f>
        <v>58.399977999999997</v>
      </c>
      <c r="GF34" s="311">
        <f>SUMPRODUCT(('ANALYSE - ERP =&gt; SOUS-SEGMENT'!$C$8:$C$154=$C34)*'ANALYSE - ERP =&gt; SOUS-SEGMENT'!$Q$8:$Q$154*'ANALYSE - ERP =&gt; SOUS-SEGMENT'!$GI$8:$GI$154)</f>
        <v>50.236185999999996</v>
      </c>
      <c r="GG34" s="311">
        <f>SUMPRODUCT(('ANALYSE - ERP =&gt; SOUS-SEGMENT'!$C$8:$C$154=$C34)*'ANALYSE - ERP =&gt; SOUS-SEGMENT'!$Q$8:$Q$154*'ANALYSE - ERP =&gt; SOUS-SEGMENT'!$GJ$8:$GJ$154)</f>
        <v>8.1637920000000008</v>
      </c>
      <c r="GH34" s="311">
        <f>SUMPRODUCT(('ANALYSE - ERP =&gt; SOUS-SEGMENT'!$C$8:$C$154=$C34)*'ANALYSE - ERP =&gt; SOUS-SEGMENT'!$Q$8:$Q$154*'ANALYSE - ERP =&gt; SOUS-SEGMENT'!$GK$8:$GK$154)</f>
        <v>759.54592839999998</v>
      </c>
      <c r="GI34" s="311">
        <f>SUMPRODUCT(('ANALYSE - ERP =&gt; SOUS-SEGMENT'!$C$8:$C$154=$C34)*'ANALYSE - ERP =&gt; SOUS-SEGMENT'!$Q$8:$Q$154*'ANALYSE - ERP =&gt; SOUS-SEGMENT'!$GL$8:$GL$154)</f>
        <v>644.1992788</v>
      </c>
      <c r="GJ34" s="311">
        <f>SUMPRODUCT(('ANALYSE - ERP =&gt; SOUS-SEGMENT'!$C$8:$C$154=$C34)*'ANALYSE - ERP =&gt; SOUS-SEGMENT'!$Q$8:$Q$154*'ANALYSE - ERP =&gt; SOUS-SEGMENT'!$GM$8:$GM$154)</f>
        <v>115.34664959999999</v>
      </c>
      <c r="GK34" s="311">
        <f>SUMPRODUCT(('ANALYSE - ERP =&gt; SOUS-SEGMENT'!$C$8:$C$154=$C34)*'ANALYSE - ERP =&gt; SOUS-SEGMENT'!$Q$8:$Q$154*'ANALYSE - ERP =&gt; SOUS-SEGMENT'!$GN$8:$GN$154)</f>
        <v>34.057032177777771</v>
      </c>
      <c r="GL34" s="311">
        <f>SUMPRODUCT(('ANALYSE - ERP =&gt; SOUS-SEGMENT'!$C$8:$C$154=$C34)*'ANALYSE - ERP =&gt; SOUS-SEGMENT'!$Q$8:$Q$154*'ANALYSE - ERP =&gt; SOUS-SEGMENT'!$GO$8:$GO$154)</f>
        <v>28.510108977777776</v>
      </c>
      <c r="GM34" s="311">
        <f>SUMPRODUCT(('ANALYSE - ERP =&gt; SOUS-SEGMENT'!$C$8:$C$154=$C34)*'ANALYSE - ERP =&gt; SOUS-SEGMENT'!$Q$8:$Q$154*'ANALYSE - ERP =&gt; SOUS-SEGMENT'!$GP$8:$GP$154)</f>
        <v>5.5469231999999993</v>
      </c>
      <c r="GN34" s="311">
        <f>SUMPRODUCT(('ANALYSE - ERP =&gt; SOUS-SEGMENT'!$C$8:$C$154=$C34)*'ANALYSE - ERP =&gt; SOUS-SEGMENT'!$Q$8:$Q$154*'ANALYSE - ERP =&gt; SOUS-SEGMENT'!$GQ$8:$GQ$154)</f>
        <v>202.88160983999998</v>
      </c>
      <c r="GO34" s="311">
        <f>SUMPRODUCT(('ANALYSE - ERP =&gt; SOUS-SEGMENT'!$C$8:$C$154=$C34)*'ANALYSE - ERP =&gt; SOUS-SEGMENT'!$Q$8:$Q$154*'ANALYSE - ERP =&gt; SOUS-SEGMENT'!$GR$8:$GR$154)</f>
        <v>175.87033463999998</v>
      </c>
      <c r="GP34" s="311">
        <f>SUMPRODUCT(('ANALYSE - ERP =&gt; SOUS-SEGMENT'!$C$8:$C$154=$C34)*'ANALYSE - ERP =&gt; SOUS-SEGMENT'!$Q$8:$Q$154*'ANALYSE - ERP =&gt; SOUS-SEGMENT'!$GS$8:$GS$154)</f>
        <v>27.011275199999996</v>
      </c>
      <c r="GQ34" s="311">
        <f>SUMPRODUCT(('ANALYSE - ERP =&gt; SOUS-SEGMENT'!$C$8:$C$154=$C34)*'ANALYSE - ERP =&gt; SOUS-SEGMENT'!$Q$8:$Q$154*'ANALYSE - ERP =&gt; SOUS-SEGMENT'!$GT$8:$GT$154)</f>
        <v>76.289425800000004</v>
      </c>
      <c r="GR34" s="311">
        <f>SUMPRODUCT(('ANALYSE - ERP =&gt; SOUS-SEGMENT'!$C$8:$C$154=$C34)*'ANALYSE - ERP =&gt; SOUS-SEGMENT'!$Q$8:$Q$154*'ANALYSE - ERP =&gt; SOUS-SEGMENT'!$GU$8:$GU$154)</f>
        <v>65.869124999999997</v>
      </c>
      <c r="GS34" s="311">
        <f>SUMPRODUCT(('ANALYSE - ERP =&gt; SOUS-SEGMENT'!$C$8:$C$154=$C34)*'ANALYSE - ERP =&gt; SOUS-SEGMENT'!$Q$8:$Q$154*'ANALYSE - ERP =&gt; SOUS-SEGMENT'!$GV$8:$GV$154)</f>
        <v>10.4203008</v>
      </c>
      <c r="GT34" s="311">
        <f>SUMPRODUCT(('ANALYSE - ERP =&gt; SOUS-SEGMENT'!$C$8:$C$154=$C34)*'ANALYSE - ERP =&gt; SOUS-SEGMENT'!$Q$8:$Q$154*'ANALYSE - ERP =&gt; SOUS-SEGMENT'!$GW$8:$GW$154)</f>
        <v>180.48968419999997</v>
      </c>
      <c r="GU34" s="311">
        <f>SUMPRODUCT(('ANALYSE - ERP =&gt; SOUS-SEGMENT'!$C$8:$C$154=$C34)*'ANALYSE - ERP =&gt; SOUS-SEGMENT'!$Q$8:$Q$154*'ANALYSE - ERP =&gt; SOUS-SEGMENT'!$GX$8:$GX$154)</f>
        <v>153.69462499999997</v>
      </c>
      <c r="GV34" s="311">
        <f>SUMPRODUCT(('ANALYSE - ERP =&gt; SOUS-SEGMENT'!$C$8:$C$154=$C34)*'ANALYSE - ERP =&gt; SOUS-SEGMENT'!$Q$8:$Q$154*'ANALYSE - ERP =&gt; SOUS-SEGMENT'!$GY$8:$GY$154)</f>
        <v>26.795059199999997</v>
      </c>
      <c r="GW34" s="311">
        <f>SUMPRODUCT(('ANALYSE - ERP =&gt; SOUS-SEGMENT'!$C$8:$C$154=$C34)*'ANALYSE - ERP =&gt; SOUS-SEGMENT'!$Q$8:$Q$154*'ANALYSE - ERP =&gt; SOUS-SEGMENT'!$GZ$8:$GZ$154)</f>
        <v>0</v>
      </c>
      <c r="GX34" s="311">
        <f>SUMPRODUCT(('ANALYSE - ERP =&gt; SOUS-SEGMENT'!$C$8:$C$154=$C34)*'ANALYSE - ERP =&gt; SOUS-SEGMENT'!$Q$8:$Q$154*'ANALYSE - ERP =&gt; SOUS-SEGMENT'!$HA$8:$HA$154)</f>
        <v>0</v>
      </c>
      <c r="GY34" s="311">
        <f>SUMPRODUCT(('ANALYSE - ERP =&gt; SOUS-SEGMENT'!$C$8:$C$154=$C34)*'ANALYSE - ERP =&gt; SOUS-SEGMENT'!$Q$8:$Q$154*'ANALYSE - ERP =&gt; SOUS-SEGMENT'!$HB$8:$HB$154)</f>
        <v>0</v>
      </c>
      <c r="GZ34" s="311">
        <f>SUMPRODUCT(('ANALYSE - ERP =&gt; SOUS-SEGMENT'!$C$8:$C$154=$C34)*'ANALYSE - ERP =&gt; SOUS-SEGMENT'!$Q$8:$Q$154*'ANALYSE - ERP =&gt; SOUS-SEGMENT'!$HC$8:$HC$154)</f>
        <v>29.370205200000004</v>
      </c>
      <c r="HA34" s="311">
        <f>SUMPRODUCT(('ANALYSE - ERP =&gt; SOUS-SEGMENT'!$C$8:$C$154=$C34)*'ANALYSE - ERP =&gt; SOUS-SEGMENT'!$Q$8:$Q$154*'ANALYSE - ERP =&gt; SOUS-SEGMENT'!$HD$8:$HD$154)</f>
        <v>25.504525200000003</v>
      </c>
      <c r="HB34" s="311">
        <f>SUMPRODUCT(('ANALYSE - ERP =&gt; SOUS-SEGMENT'!$C$8:$C$154=$C34)*'ANALYSE - ERP =&gt; SOUS-SEGMENT'!$Q$8:$Q$154*'ANALYSE - ERP =&gt; SOUS-SEGMENT'!$HE$8:$HE$154)</f>
        <v>3.8656799999999998</v>
      </c>
      <c r="HC34" s="311">
        <f>SUMPRODUCT(('ANALYSE - ERP =&gt; SOUS-SEGMENT'!$C$8:$C$154=$C34)*'ANALYSE - ERP =&gt; SOUS-SEGMENT'!$Q$8:$Q$154*'ANALYSE - ERP =&gt; SOUS-SEGMENT'!$HF$8:$HF$154)</f>
        <v>195.23909789999999</v>
      </c>
      <c r="HD34" s="311">
        <f>SUMPRODUCT(('ANALYSE - ERP =&gt; SOUS-SEGMENT'!$C$8:$C$154=$C34)*'ANALYSE - ERP =&gt; SOUS-SEGMENT'!$Q$8:$Q$154*'ANALYSE - ERP =&gt; SOUS-SEGMENT'!$HG$8:$HG$154)</f>
        <v>165.5021907</v>
      </c>
      <c r="HE34" s="311">
        <f>SUMPRODUCT(('ANALYSE - ERP =&gt; SOUS-SEGMENT'!$C$8:$C$154=$C34)*'ANALYSE - ERP =&gt; SOUS-SEGMENT'!$Q$8:$Q$154*'ANALYSE - ERP =&gt; SOUS-SEGMENT'!$HH$8:$HH$154)</f>
        <v>29.736907199999997</v>
      </c>
      <c r="HF34" s="311">
        <f>SUMPRODUCT(('ANALYSE - ERP =&gt; SOUS-SEGMENT'!$C$8:$C$154=$C34)*'ANALYSE - ERP =&gt; SOUS-SEGMENT'!$Q$8:$Q$154*'ANALYSE - ERP =&gt; SOUS-SEGMENT'!$HI$8:$HI$154)</f>
        <v>12.330665812499998</v>
      </c>
      <c r="HG34" s="311">
        <f>SUMPRODUCT(('ANALYSE - ERP =&gt; SOUS-SEGMENT'!$C$8:$C$154=$C34)*'ANALYSE - ERP =&gt; SOUS-SEGMENT'!$Q$8:$Q$154*'ANALYSE - ERP =&gt; SOUS-SEGMENT'!$HJ$8:$HJ$154)</f>
        <v>10.625835412499999</v>
      </c>
      <c r="HH34" s="311">
        <f>SUMPRODUCT(('ANALYSE - ERP =&gt; SOUS-SEGMENT'!$C$8:$C$154=$C34)*'ANALYSE - ERP =&gt; SOUS-SEGMENT'!$Q$8:$Q$154*'ANALYSE - ERP =&gt; SOUS-SEGMENT'!$HK$8:$HK$154)</f>
        <v>1.7048303999999999</v>
      </c>
      <c r="HI34" s="311">
        <f>SUMPRODUCT(('ANALYSE - ERP =&gt; SOUS-SEGMENT'!$C$8:$C$154=$C34)*'ANALYSE - ERP =&gt; SOUS-SEGMENT'!$Q$8:$Q$154*'ANALYSE - ERP =&gt; SOUS-SEGMENT'!$HL$8:$HL$154)</f>
        <v>28.188542129999995</v>
      </c>
      <c r="HJ34" s="311">
        <f>SUMPRODUCT(('ANALYSE - ERP =&gt; SOUS-SEGMENT'!$C$8:$C$154=$C34)*'ANALYSE - ERP =&gt; SOUS-SEGMENT'!$Q$8:$Q$154*'ANALYSE - ERP =&gt; SOUS-SEGMENT'!$HM$8:$HM$154)</f>
        <v>24.478799729999999</v>
      </c>
      <c r="HK34" s="311">
        <f>SUMPRODUCT(('ANALYSE - ERP =&gt; SOUS-SEGMENT'!$C$8:$C$154=$C34)*'ANALYSE - ERP =&gt; SOUS-SEGMENT'!$Q$8:$Q$154*'ANALYSE - ERP =&gt; SOUS-SEGMENT'!$HN$8:$HN$154)</f>
        <v>3.7097423999999997</v>
      </c>
      <c r="HL34" s="311">
        <f>SUMPRODUCT(('ANALYSE - ERP =&gt; SOUS-SEGMENT'!$C$8:$C$154=$C34)*'ANALYSE - ERP =&gt; SOUS-SEGMENT'!$Q$8:$Q$154*'ANALYSE - ERP =&gt; SOUS-SEGMENT'!$HO$8:$HO$154)</f>
        <v>416.41430879999996</v>
      </c>
      <c r="HM34" s="311">
        <f>SUMPRODUCT(('ANALYSE - ERP =&gt; SOUS-SEGMENT'!$C$8:$C$154=$C34)*'ANALYSE - ERP =&gt; SOUS-SEGMENT'!$Q$8:$Q$154*'ANALYSE - ERP =&gt; SOUS-SEGMENT'!$HP$8:$HP$154)</f>
        <v>368.15227679999998</v>
      </c>
      <c r="HN34" s="311">
        <f>SUMPRODUCT(('ANALYSE - ERP =&gt; SOUS-SEGMENT'!$C$8:$C$154=$C34)*'ANALYSE - ERP =&gt; SOUS-SEGMENT'!$Q$8:$Q$154*'ANALYSE - ERP =&gt; SOUS-SEGMENT'!$HQ$8:$HQ$154)</f>
        <v>48.262031999999998</v>
      </c>
      <c r="HO34" s="311">
        <f>SUMPRODUCT(('ANALYSE - ERP =&gt; SOUS-SEGMENT'!$C$8:$C$154=$C34)*'ANALYSE - ERP =&gt; SOUS-SEGMENT'!$Q$8:$Q$154*'ANALYSE - ERP =&gt; SOUS-SEGMENT'!$HR$8:$HR$154)</f>
        <v>548.93635953333342</v>
      </c>
      <c r="HP34" s="311">
        <f>SUMPRODUCT(('ANALYSE - ERP =&gt; SOUS-SEGMENT'!$C$8:$C$154=$C34)*'ANALYSE - ERP =&gt; SOUS-SEGMENT'!$Q$8:$Q$154*'ANALYSE - ERP =&gt; SOUS-SEGMENT'!$HS$8:$HS$154)</f>
        <v>460.21834833333338</v>
      </c>
      <c r="HQ34" s="311">
        <f>SUMPRODUCT(('ANALYSE - ERP =&gt; SOUS-SEGMENT'!$C$8:$C$154=$C34)*'ANALYSE - ERP =&gt; SOUS-SEGMENT'!$Q$8:$Q$154*'ANALYSE - ERP =&gt; SOUS-SEGMENT'!$HT$8:$HT$154)</f>
        <v>88.718011199999992</v>
      </c>
      <c r="HR34" s="311">
        <f>SUMPRODUCT(('ANALYSE - ERP =&gt; SOUS-SEGMENT'!$C$8:$C$154=$C34)*'ANALYSE - ERP =&gt; SOUS-SEGMENT'!$Q$8:$Q$154*'ANALYSE - ERP =&gt; SOUS-SEGMENT'!$HU$8:$HU$154)</f>
        <v>135.0089226888889</v>
      </c>
      <c r="HS34" s="311">
        <f>SUMPRODUCT(('ANALYSE - ERP =&gt; SOUS-SEGMENT'!$C$8:$C$154=$C34)*'ANALYSE - ERP =&gt; SOUS-SEGMENT'!$Q$8:$Q$154*'ANALYSE - ERP =&gt; SOUS-SEGMENT'!$HV$8:$HV$154)</f>
        <v>115.9203258888889</v>
      </c>
      <c r="HT34" s="311">
        <f>SUMPRODUCT(('ANALYSE - ERP =&gt; SOUS-SEGMENT'!$C$8:$C$154=$C34)*'ANALYSE - ERP =&gt; SOUS-SEGMENT'!$Q$8:$Q$154*'ANALYSE - ERP =&gt; SOUS-SEGMENT'!$HW$8:$HW$154)</f>
        <v>19.088596799999998</v>
      </c>
      <c r="HV34" s="313">
        <f t="shared" si="40"/>
        <v>19478</v>
      </c>
      <c r="HW34" s="313">
        <f>SUMPRODUCT(('ANALYSE - ERP =&gt; SOUS-SEGMENT'!$C$8:$C$154=$C34)*'ANALYSE - ERP =&gt; SOUS-SEGMENT'!$Q$8:$Q$154*'ANALYSE - ERP =&gt; SOUS-SEGMENT'!$HZ$8:$HZ$154)</f>
        <v>562.75045</v>
      </c>
      <c r="HX34" s="313">
        <f>SUMPRODUCT(('ANALYSE - ERP =&gt; SOUS-SEGMENT'!$C$8:$C$154=$C34)*'ANALYSE - ERP =&gt; SOUS-SEGMENT'!$Q$8:$Q$154*'ANALYSE - ERP =&gt; SOUS-SEGMENT'!$IA$8:$IA$154)</f>
        <v>3542.9638999999997</v>
      </c>
      <c r="HY34" s="313">
        <f>SUMPRODUCT(('ANALYSE - ERP =&gt; SOUS-SEGMENT'!$C$8:$C$154=$C34)*'ANALYSE - ERP =&gt; SOUS-SEGMENT'!$Q$8:$Q$154*'ANALYSE - ERP =&gt; SOUS-SEGMENT'!$IB$8:$IB$154)</f>
        <v>1821.78565</v>
      </c>
      <c r="HZ34" s="313">
        <f>SUMPRODUCT(('ANALYSE - ERP =&gt; SOUS-SEGMENT'!$C$8:$C$154=$C34)*'ANALYSE - ERP =&gt; SOUS-SEGMENT'!$Q$8:$Q$154*'ANALYSE - ERP =&gt; SOUS-SEGMENT'!$IC$8:$IC$154)</f>
        <v>0</v>
      </c>
      <c r="IA34" s="313">
        <f>SUMPRODUCT(('ANALYSE - ERP =&gt; SOUS-SEGMENT'!$C$8:$C$154=$C34)*'ANALYSE - ERP =&gt; SOUS-SEGMENT'!$Q$8:$Q$154*'ANALYSE - ERP =&gt; SOUS-SEGMENT'!$ID$8:$ID$154)</f>
        <v>0</v>
      </c>
      <c r="IB34" s="313">
        <f>SUMPRODUCT(('ANALYSE - ERP =&gt; SOUS-SEGMENT'!$C$8:$C$154=$C34)*'ANALYSE - ERP =&gt; SOUS-SEGMENT'!$Q$8:$Q$154*'ANALYSE - ERP =&gt; SOUS-SEGMENT'!$IE$8:$IE$154)</f>
        <v>2288.7819604825004</v>
      </c>
      <c r="IC34" s="313">
        <f>SUMPRODUCT(('ANALYSE - ERP =&gt; SOUS-SEGMENT'!$C$8:$C$154=$C34)*'ANALYSE - ERP =&gt; SOUS-SEGMENT'!$Q$8:$Q$154*'ANALYSE - ERP =&gt; SOUS-SEGMENT'!$IF$8:$IF$154)</f>
        <v>123.93505624352279</v>
      </c>
      <c r="ID34" s="313">
        <f>SUMPRODUCT(('ANALYSE - ERP =&gt; SOUS-SEGMENT'!$C$8:$C$154=$C34)*'ANALYSE - ERP =&gt; SOUS-SEGMENT'!$Q$8:$Q$154*'ANALYSE - ERP =&gt; SOUS-SEGMENT'!$IG$8:$IG$154)</f>
        <v>1190.7757319297102</v>
      </c>
      <c r="IE34" s="313">
        <f>SUMPRODUCT(('ANALYSE - ERP =&gt; SOUS-SEGMENT'!$C$8:$C$154=$C34)*'ANALYSE - ERP =&gt; SOUS-SEGMENT'!$Q$8:$Q$154*'ANALYSE - ERP =&gt; SOUS-SEGMENT'!$IH$8:$IH$154)</f>
        <v>973.61981771770024</v>
      </c>
      <c r="IF34" s="313">
        <f>SUMPRODUCT(('ANALYSE - ERP =&gt; SOUS-SEGMENT'!$C$8:$C$154=$C34)*'ANALYSE - ERP =&gt; SOUS-SEGMENT'!$Q$8:$Q$154*'ANALYSE - ERP =&gt; SOUS-SEGMENT'!$II$8:$II$154)</f>
        <v>0.45135459156666669</v>
      </c>
      <c r="IG34" s="313">
        <f>SUMPRODUCT(('ANALYSE - ERP =&gt; SOUS-SEGMENT'!$C$8:$C$154=$C34)*'ANALYSE - ERP =&gt; SOUS-SEGMENT'!$Q$8:$Q$154*'ANALYSE - ERP =&gt; SOUS-SEGMENT'!$IJ$8:$IJ$154)</f>
        <v>0</v>
      </c>
      <c r="IH34" s="866"/>
      <c r="II34" s="314" t="s">
        <v>2589</v>
      </c>
      <c r="IJ34" s="299" t="s">
        <v>6760</v>
      </c>
      <c r="IK34" s="657"/>
      <c r="IL34" s="747">
        <f>IFERROR(SUMPRODUCT(('ANALYSE - ERP =&gt; SOUS-SEGMENT'!$C$8:$C$154=$C34)*'ANALYSE - ERP =&gt; SOUS-SEGMENT'!$Q$8:$Q$154*'ANALYSE - ERP =&gt; SOUS-SEGMENT'!$BE$8:$BE$154*'ANALYSE - ERP =&gt; SOUS-SEGMENT'!$IO$8:$IO$154)/SUMPRODUCT(('ANALYSE - ERP =&gt; SOUS-SEGMENT'!$C$8:$C$154=$C34)*'ANALYSE - ERP =&gt; SOUS-SEGMENT'!$Q$8:$Q$154*'ANALYSE - ERP =&gt; SOUS-SEGMENT'!$BE$8:$BE$154),0)</f>
        <v>7.5072124265323253E-2</v>
      </c>
      <c r="IM34" s="748">
        <f>IFERROR(SUMPRODUCT(('ANALYSE - ERP =&gt; SOUS-SEGMENT'!$C$8:$C$154=$C34)*'ANALYSE - ERP =&gt; SOUS-SEGMENT'!$Q$8:$Q$154*'ANALYSE - ERP =&gt; SOUS-SEGMENT'!$BE$8:$BE$154*'ANALYSE - ERP =&gt; SOUS-SEGMENT'!$IP$8:$IP$154)/SUMPRODUCT(('ANALYSE - ERP =&gt; SOUS-SEGMENT'!$C$8:$C$154=$C34)*'ANALYSE - ERP =&gt; SOUS-SEGMENT'!$Q$8:$Q$154*'ANALYSE - ERP =&gt; SOUS-SEGMENT'!$BE$8:$BE$154),0)</f>
        <v>0.58218740554156168</v>
      </c>
      <c r="IN34" s="748">
        <f>IFERROR(SUMPRODUCT(('ANALYSE - ERP =&gt; SOUS-SEGMENT'!$C$8:$C$154=$C34)*'ANALYSE - ERP =&gt; SOUS-SEGMENT'!$Q$8:$Q$154*'ANALYSE - ERP =&gt; SOUS-SEGMENT'!$BE$8:$BE$154*'ANALYSE - ERP =&gt; SOUS-SEGMENT'!$IQ$8:$IQ$154)/SUMPRODUCT(('ANALYSE - ERP =&gt; SOUS-SEGMENT'!$C$8:$C$154=$C34)*'ANALYSE - ERP =&gt; SOUS-SEGMENT'!$Q$8:$Q$154*'ANALYSE - ERP =&gt; SOUS-SEGMENT'!$BE$8:$BE$154),0)</f>
        <v>0.34274047019311499</v>
      </c>
      <c r="IO34" s="748">
        <f>IFERROR(SUMPRODUCT(('ANALYSE - ERP =&gt; SOUS-SEGMENT'!$C$8:$C$154=$C34)*'ANALYSE - ERP =&gt; SOUS-SEGMENT'!$Q$8:$Q$154*'ANALYSE - ERP =&gt; SOUS-SEGMENT'!$BE$8:$BE$154*'ANALYSE - ERP =&gt; SOUS-SEGMENT'!$IR$8:$IR$154)/SUMPRODUCT(('ANALYSE - ERP =&gt; SOUS-SEGMENT'!$C$8:$C$154=$C34)*'ANALYSE - ERP =&gt; SOUS-SEGMENT'!$Q$8:$Q$154*'ANALYSE - ERP =&gt; SOUS-SEGMENT'!$BE$8:$BE$154),0)</f>
        <v>0</v>
      </c>
      <c r="IP34" s="749">
        <f>IFERROR(SUMPRODUCT(('ANALYSE - ERP =&gt; SOUS-SEGMENT'!$C$8:$C$154=$C34)*'ANALYSE - ERP =&gt; SOUS-SEGMENT'!$Q$8:$Q$154*'ANALYSE - ERP =&gt; SOUS-SEGMENT'!$BE$8:$BE$154*'ANALYSE - ERP =&gt; SOUS-SEGMENT'!$IS$8:$IS$154)/SUMPRODUCT(('ANALYSE - ERP =&gt; SOUS-SEGMENT'!$C$8:$C$154=$C34)*'ANALYSE - ERP =&gt; SOUS-SEGMENT'!$Q$8:$Q$154*'ANALYSE - ERP =&gt; SOUS-SEGMENT'!$BE$8:$BE$154),0)</f>
        <v>0</v>
      </c>
      <c r="IQ34" s="748">
        <f>IFERROR(SUMPRODUCT(('ANALYSE - ERP =&gt; SOUS-SEGMENT'!$C$8:$C$154=$C34)*'ANALYSE - ERP =&gt; SOUS-SEGMENT'!$Q$8:$Q$154*'ANALYSE - ERP =&gt; SOUS-SEGMENT'!$FB$8:$FB$154*'ANALYSE - ERP =&gt; SOUS-SEGMENT'!$IT$8:$IT$154)/SUMPRODUCT(('ANALYSE - ERP =&gt; SOUS-SEGMENT'!$C$8:$C$154=$C34)*'ANALYSE - ERP =&gt; SOUS-SEGMENT'!$Q$8:$Q$154*'ANALYSE - ERP =&gt; SOUS-SEGMENT'!$FB$8:$FB$154),0)</f>
        <v>4.5837494744297762E-2</v>
      </c>
      <c r="IR34" s="748">
        <f>IFERROR(SUMPRODUCT(('ANALYSE - ERP =&gt; SOUS-SEGMENT'!$C$8:$C$154=$C34)*'ANALYSE - ERP =&gt; SOUS-SEGMENT'!$Q$8:$Q$154*'ANALYSE - ERP =&gt; SOUS-SEGMENT'!$FB$8:$FB$154*'ANALYSE - ERP =&gt; SOUS-SEGMENT'!$IU$8:$IU$154)/SUMPRODUCT(('ANALYSE - ERP =&gt; SOUS-SEGMENT'!$C$8:$C$154=$C34)*'ANALYSE - ERP =&gt; SOUS-SEGMENT'!$Q$8:$Q$154*'ANALYSE - ERP =&gt; SOUS-SEGMENT'!$FB$8:$FB$154),0)</f>
        <v>0.49116487168307316</v>
      </c>
      <c r="IS34" s="748">
        <f>IFERROR(SUMPRODUCT(('ANALYSE - ERP =&gt; SOUS-SEGMENT'!$C$8:$C$154=$C34)*'ANALYSE - ERP =&gt; SOUS-SEGMENT'!$Q$8:$Q$154*'ANALYSE - ERP =&gt; SOUS-SEGMENT'!$FB$8:$FB$154*'ANALYSE - ERP =&gt; SOUS-SEGMENT'!$IV$8:$IV$154)/SUMPRODUCT(('ANALYSE - ERP =&gt; SOUS-SEGMENT'!$C$8:$C$154=$C34)*'ANALYSE - ERP =&gt; SOUS-SEGMENT'!$Q$8:$Q$154*'ANALYSE - ERP =&gt; SOUS-SEGMENT'!$FB$8:$FB$154),0)</f>
        <v>0.46258795049779916</v>
      </c>
      <c r="IT34" s="748">
        <f>IFERROR(SUMPRODUCT(('ANALYSE - ERP =&gt; SOUS-SEGMENT'!$C$8:$C$154=$C34)*'ANALYSE - ERP =&gt; SOUS-SEGMENT'!$Q$8:$Q$154*'ANALYSE - ERP =&gt; SOUS-SEGMENT'!$FB$8:$FB$154*'ANALYSE - ERP =&gt; SOUS-SEGMENT'!$IW$8:$IW$154)/SUMPRODUCT(('ANALYSE - ERP =&gt; SOUS-SEGMENT'!$C$8:$C$154=$C34)*'ANALYSE - ERP =&gt; SOUS-SEGMENT'!$Q$8:$Q$154*'ANALYSE - ERP =&gt; SOUS-SEGMENT'!$FB$8:$FB$154),0)</f>
        <v>4.0968307482994632E-4</v>
      </c>
      <c r="IU34" s="748">
        <f>IFERROR(SUMPRODUCT(('ANALYSE - ERP =&gt; SOUS-SEGMENT'!$C$8:$C$154=$C34)*'ANALYSE - ERP =&gt; SOUS-SEGMENT'!$Q$8:$Q$154*'ANALYSE - ERP =&gt; SOUS-SEGMENT'!$FB$8:$FB$154*'ANALYSE - ERP =&gt; SOUS-SEGMENT'!$IX$8:$IX$154)/SUMPRODUCT(('ANALYSE - ERP =&gt; SOUS-SEGMENT'!$C$8:$C$154=$C34)*'ANALYSE - ERP =&gt; SOUS-SEGMENT'!$Q$8:$Q$154*'ANALYSE - ERP =&gt; SOUS-SEGMENT'!$FB$8:$FB$154),0)</f>
        <v>0</v>
      </c>
      <c r="IV34" s="771">
        <f>IFERROR(SUMPRODUCT(('ANALYSE - ERP =&gt; SOUS-SEGMENT'!$C$8:$C$154=$C34)*'ANALYSE - ERP =&gt; SOUS-SEGMENT'!$Q$8:$Q$154*'ANALYSE - ERP =&gt; SOUS-SEGMENT'!$BF$8:$BF$154*'ANALYSE - ERP =&gt; SOUS-SEGMENT'!$IY$8:$IY$154)/SUMPRODUCT(('ANALYSE - ERP =&gt; SOUS-SEGMENT'!$C$8:$C$154=$C34)*'ANALYSE - ERP =&gt; SOUS-SEGMENT'!$Q$8:$Q$154*'ANALYSE - ERP =&gt; SOUS-SEGMENT'!$BF$8:$BF$154),0)</f>
        <v>7.5399999999999995E-2</v>
      </c>
      <c r="IW34" s="748">
        <f>IFERROR(SUMPRODUCT(('ANALYSE - ERP =&gt; SOUS-SEGMENT'!$C$8:$C$154=$C34)*'ANALYSE - ERP =&gt; SOUS-SEGMENT'!$Q$8:$Q$154*'ANALYSE - ERP =&gt; SOUS-SEGMENT'!$BF$8:$BF$154*'ANALYSE - ERP =&gt; SOUS-SEGMENT'!$IZ$8:$IZ$154)/SUMPRODUCT(('ANALYSE - ERP =&gt; SOUS-SEGMENT'!$C$8:$C$154=$C34)*'ANALYSE - ERP =&gt; SOUS-SEGMENT'!$Q$8:$Q$154*'ANALYSE - ERP =&gt; SOUS-SEGMENT'!$BF$8:$BF$154),0)</f>
        <v>0.5827</v>
      </c>
      <c r="IX34" s="748">
        <f>IFERROR(SUMPRODUCT(('ANALYSE - ERP =&gt; SOUS-SEGMENT'!$C$8:$C$154=$C34)*'ANALYSE - ERP =&gt; SOUS-SEGMENT'!$Q$8:$Q$154*'ANALYSE - ERP =&gt; SOUS-SEGMENT'!$BF$8:$BF$154*'ANALYSE - ERP =&gt; SOUS-SEGMENT'!$JA$8:$JA$154)/SUMPRODUCT(('ANALYSE - ERP =&gt; SOUS-SEGMENT'!$C$8:$C$154=$C34)*'ANALYSE - ERP =&gt; SOUS-SEGMENT'!$Q$8:$Q$154*'ANALYSE - ERP =&gt; SOUS-SEGMENT'!$BF$8:$BF$154),0)</f>
        <v>0.34189999999999998</v>
      </c>
      <c r="IY34" s="748">
        <f>IFERROR(SUMPRODUCT(('ANALYSE - ERP =&gt; SOUS-SEGMENT'!$C$8:$C$154=$C34)*'ANALYSE - ERP =&gt; SOUS-SEGMENT'!$Q$8:$Q$154*'ANALYSE - ERP =&gt; SOUS-SEGMENT'!$BF$8:$BF$154*'ANALYSE - ERP =&gt; SOUS-SEGMENT'!$JB$8:$JB$154)/SUMPRODUCT(('ANALYSE - ERP =&gt; SOUS-SEGMENT'!$C$8:$C$154=$C34)*'ANALYSE - ERP =&gt; SOUS-SEGMENT'!$Q$8:$Q$154*'ANALYSE - ERP =&gt; SOUS-SEGMENT'!$BF$8:$BF$154),0)</f>
        <v>0</v>
      </c>
      <c r="IZ34" s="749">
        <f>IFERROR(SUMPRODUCT(('ANALYSE - ERP =&gt; SOUS-SEGMENT'!$C$8:$C$154=$C34)*'ANALYSE - ERP =&gt; SOUS-SEGMENT'!$Q$8:$Q$154*'ANALYSE - ERP =&gt; SOUS-SEGMENT'!$BF$8:$BF$154*'ANALYSE - ERP =&gt; SOUS-SEGMENT'!$JC$8:$JC$154)/SUMPRODUCT(('ANALYSE - ERP =&gt; SOUS-SEGMENT'!$C$8:$C$154=$C34)*'ANALYSE - ERP =&gt; SOUS-SEGMENT'!$Q$8:$Q$154*'ANALYSE - ERP =&gt; SOUS-SEGMENT'!$BF$8:$BF$154),0)</f>
        <v>0</v>
      </c>
      <c r="JA34" s="748">
        <f>IFERROR(SUMPRODUCT(('ANALYSE - ERP =&gt; SOUS-SEGMENT'!$C$8:$C$154=$C34)*'ANALYSE - ERP =&gt; SOUS-SEGMENT'!$Q$8:$Q$154*'ANALYSE - ERP =&gt; SOUS-SEGMENT'!$FE$8:$FE$154*'ANALYSE - ERP =&gt; SOUS-SEGMENT'!$JD$8:$JD$154)/SUMPRODUCT(('ANALYSE - ERP =&gt; SOUS-SEGMENT'!$C$8:$C$154=$C34)*'ANALYSE - ERP =&gt; SOUS-SEGMENT'!$Q$8:$Q$154*'ANALYSE - ERP =&gt; SOUS-SEGMENT'!$FE$8:$FE$154),0)</f>
        <v>4.4499999999999998E-2</v>
      </c>
      <c r="JB34" s="748">
        <f>IFERROR(SUMPRODUCT(('ANALYSE - ERP =&gt; SOUS-SEGMENT'!$C$8:$C$154=$C34)*'ANALYSE - ERP =&gt; SOUS-SEGMENT'!$Q$8:$Q$154*'ANALYSE - ERP =&gt; SOUS-SEGMENT'!$FE$8:$FE$154*'ANALYSE - ERP =&gt; SOUS-SEGMENT'!$JE$8:$JE$154)/SUMPRODUCT(('ANALYSE - ERP =&gt; SOUS-SEGMENT'!$C$8:$C$154=$C34)*'ANALYSE - ERP =&gt; SOUS-SEGMENT'!$Q$8:$Q$154*'ANALYSE - ERP =&gt; SOUS-SEGMENT'!$FE$8:$FE$154),0)</f>
        <v>0.4929</v>
      </c>
      <c r="JC34" s="748">
        <f>IFERROR(SUMPRODUCT(('ANALYSE - ERP =&gt; SOUS-SEGMENT'!$C$8:$C$154=$C34)*'ANALYSE - ERP =&gt; SOUS-SEGMENT'!$Q$8:$Q$154*'ANALYSE - ERP =&gt; SOUS-SEGMENT'!$FE$8:$FE$154*'ANALYSE - ERP =&gt; SOUS-SEGMENT'!$JF$8:$JF$154)/SUMPRODUCT(('ANALYSE - ERP =&gt; SOUS-SEGMENT'!$C$8:$C$154=$C34)*'ANALYSE - ERP =&gt; SOUS-SEGMENT'!$Q$8:$Q$154*'ANALYSE - ERP =&gt; SOUS-SEGMENT'!$FE$8:$FE$154),0)</f>
        <v>0.46260000000000001</v>
      </c>
      <c r="JD34" s="748">
        <f>IFERROR(SUMPRODUCT(('ANALYSE - ERP =&gt; SOUS-SEGMENT'!$C$8:$C$154=$C34)*'ANALYSE - ERP =&gt; SOUS-SEGMENT'!$Q$8:$Q$154*'ANALYSE - ERP =&gt; SOUS-SEGMENT'!$FE$8:$FE$154*'ANALYSE - ERP =&gt; SOUS-SEGMENT'!$JG$8:$JG$154)/SUMPRODUCT(('ANALYSE - ERP =&gt; SOUS-SEGMENT'!$C$8:$C$154=$C34)*'ANALYSE - ERP =&gt; SOUS-SEGMENT'!$Q$8:$Q$154*'ANALYSE - ERP =&gt; SOUS-SEGMENT'!$FE$8:$FE$154),0)</f>
        <v>0</v>
      </c>
      <c r="JE34" s="748">
        <f>IFERROR(SUMPRODUCT(('ANALYSE - ERP =&gt; SOUS-SEGMENT'!$C$8:$C$154=$C34)*'ANALYSE - ERP =&gt; SOUS-SEGMENT'!$Q$8:$Q$154*'ANALYSE - ERP =&gt; SOUS-SEGMENT'!$FE$8:$FE$154*'ANALYSE - ERP =&gt; SOUS-SEGMENT'!$JH$8:$JH$154)/SUMPRODUCT(('ANALYSE - ERP =&gt; SOUS-SEGMENT'!$C$8:$C$154=$C34)*'ANALYSE - ERP =&gt; SOUS-SEGMENT'!$Q$8:$Q$154*'ANALYSE - ERP =&gt; SOUS-SEGMENT'!$FE$8:$FE$154),0)</f>
        <v>0</v>
      </c>
      <c r="JF34" s="771">
        <f>IFERROR(SUMPRODUCT(('ANALYSE - ERP =&gt; SOUS-SEGMENT'!$C$8:$C$154=$C34)*'ANALYSE - ERP =&gt; SOUS-SEGMENT'!$Q$8:$Q$154*'ANALYSE - ERP =&gt; SOUS-SEGMENT'!$BG$8:$BG$154*'ANALYSE - ERP =&gt; SOUS-SEGMENT'!$JI$8:$JI$154)/SUMPRODUCT(('ANALYSE - ERP =&gt; SOUS-SEGMENT'!$C$8:$C$154=$C34)*'ANALYSE - ERP =&gt; SOUS-SEGMENT'!$Q$8:$Q$154*'ANALYSE - ERP =&gt; SOUS-SEGMENT'!$BG$8:$BG$154),0)</f>
        <v>0.18802527287993281</v>
      </c>
      <c r="JG34" s="748">
        <f>IFERROR(SUMPRODUCT(('ANALYSE - ERP =&gt; SOUS-SEGMENT'!$C$8:$C$154=$C34)*'ANALYSE - ERP =&gt; SOUS-SEGMENT'!$Q$8:$Q$154*'ANALYSE - ERP =&gt; SOUS-SEGMENT'!$BG$8:$BG$154*'ANALYSE - ERP =&gt; SOUS-SEGMENT'!$JJ$8:$JJ$154)/SUMPRODUCT(('ANALYSE - ERP =&gt; SOUS-SEGMENT'!$C$8:$C$154=$C34)*'ANALYSE - ERP =&gt; SOUS-SEGMENT'!$Q$8:$Q$154*'ANALYSE - ERP =&gt; SOUS-SEGMENT'!$BG$8:$BG$154),0)</f>
        <v>0.63693115029387071</v>
      </c>
      <c r="JH34" s="748">
        <f>IFERROR(SUMPRODUCT(('ANALYSE - ERP =&gt; SOUS-SEGMENT'!$C$8:$C$154=$C34)*'ANALYSE - ERP =&gt; SOUS-SEGMENT'!$Q$8:$Q$154*'ANALYSE - ERP =&gt; SOUS-SEGMENT'!$BG$8:$BG$154*'ANALYSE - ERP =&gt; SOUS-SEGMENT'!$JK$8:$JK$154)/SUMPRODUCT(('ANALYSE - ERP =&gt; SOUS-SEGMENT'!$C$8:$C$154=$C34)*'ANALYSE - ERP =&gt; SOUS-SEGMENT'!$Q$8:$Q$154*'ANALYSE - ERP =&gt; SOUS-SEGMENT'!$BG$8:$BG$154),0)</f>
        <v>0.17504357682619648</v>
      </c>
      <c r="JI34" s="748">
        <f>IFERROR(SUMPRODUCT(('ANALYSE - ERP =&gt; SOUS-SEGMENT'!$C$8:$C$154=$C34)*'ANALYSE - ERP =&gt; SOUS-SEGMENT'!$Q$8:$Q$154*'ANALYSE - ERP =&gt; SOUS-SEGMENT'!$BG$8:$BG$154*'ANALYSE - ERP =&gt; SOUS-SEGMENT'!$JL$8:$JL$154)/SUMPRODUCT(('ANALYSE - ERP =&gt; SOUS-SEGMENT'!$C$8:$C$154=$C34)*'ANALYSE - ERP =&gt; SOUS-SEGMENT'!$Q$8:$Q$154*'ANALYSE - ERP =&gt; SOUS-SEGMENT'!$BG$8:$BG$154),0)</f>
        <v>0</v>
      </c>
      <c r="JJ34" s="749">
        <f>IFERROR(SUMPRODUCT(('ANALYSE - ERP =&gt; SOUS-SEGMENT'!$C$8:$C$154=$C34)*'ANALYSE - ERP =&gt; SOUS-SEGMENT'!$Q$8:$Q$154*'ANALYSE - ERP =&gt; SOUS-SEGMENT'!$BG$8:$BG$154*'ANALYSE - ERP =&gt; SOUS-SEGMENT'!$JM$8:$JM$154)/SUMPRODUCT(('ANALYSE - ERP =&gt; SOUS-SEGMENT'!$C$8:$C$154=$C34)*'ANALYSE - ERP =&gt; SOUS-SEGMENT'!$Q$8:$Q$154*'ANALYSE - ERP =&gt; SOUS-SEGMENT'!$BG$8:$BG$154),0)</f>
        <v>0</v>
      </c>
      <c r="JK34" s="748">
        <f>IFERROR(SUMPRODUCT(('ANALYSE - ERP =&gt; SOUS-SEGMENT'!$C$8:$C$154=$C34)*'ANALYSE - ERP =&gt; SOUS-SEGMENT'!$Q$8:$Q$154*'ANALYSE - ERP =&gt; SOUS-SEGMENT'!$FH$8:$FH$154*'ANALYSE - ERP =&gt; SOUS-SEGMENT'!$JN$8:$JN$154)/SUMPRODUCT(('ANALYSE - ERP =&gt; SOUS-SEGMENT'!$C$8:$C$154=$C34)*'ANALYSE - ERP =&gt; SOUS-SEGMENT'!$Q$8:$Q$154*'ANALYSE - ERP =&gt; SOUS-SEGMENT'!$FH$8:$FH$154),0)</f>
        <v>0.10861460491106052</v>
      </c>
      <c r="JL34" s="748">
        <f>IFERROR(SUMPRODUCT(('ANALYSE - ERP =&gt; SOUS-SEGMENT'!$C$8:$C$154=$C34)*'ANALYSE - ERP =&gt; SOUS-SEGMENT'!$Q$8:$Q$154*'ANALYSE - ERP =&gt; SOUS-SEGMENT'!$FH$8:$FH$154*'ANALYSE - ERP =&gt; SOUS-SEGMENT'!$JO$8:$JO$154)/SUMPRODUCT(('ANALYSE - ERP =&gt; SOUS-SEGMENT'!$C$8:$C$154=$C34)*'ANALYSE - ERP =&gt; SOUS-SEGMENT'!$Q$8:$Q$154*'ANALYSE - ERP =&gt; SOUS-SEGMENT'!$FH$8:$FH$154),0)</f>
        <v>0.61473770354002444</v>
      </c>
      <c r="JM34" s="748">
        <f>IFERROR(SUMPRODUCT(('ANALYSE - ERP =&gt; SOUS-SEGMENT'!$C$8:$C$154=$C34)*'ANALYSE - ERP =&gt; SOUS-SEGMENT'!$Q$8:$Q$154*'ANALYSE - ERP =&gt; SOUS-SEGMENT'!$FH$8:$FH$154*'ANALYSE - ERP =&gt; SOUS-SEGMENT'!$JP$8:$JP$154)/SUMPRODUCT(('ANALYSE - ERP =&gt; SOUS-SEGMENT'!$C$8:$C$154=$C34)*'ANALYSE - ERP =&gt; SOUS-SEGMENT'!$Q$8:$Q$154*'ANALYSE - ERP =&gt; SOUS-SEGMENT'!$FH$8:$FH$154),0)</f>
        <v>0.27664769154891505</v>
      </c>
      <c r="JN34" s="748">
        <f>IFERROR(SUMPRODUCT(('ANALYSE - ERP =&gt; SOUS-SEGMENT'!$C$8:$C$154=$C34)*'ANALYSE - ERP =&gt; SOUS-SEGMENT'!$Q$8:$Q$154*'ANALYSE - ERP =&gt; SOUS-SEGMENT'!$FH$8:$FH$154*'ANALYSE - ERP =&gt; SOUS-SEGMENT'!$JQ$8:$JQ$154)/SUMPRODUCT(('ANALYSE - ERP =&gt; SOUS-SEGMENT'!$C$8:$C$154=$C34)*'ANALYSE - ERP =&gt; SOUS-SEGMENT'!$Q$8:$Q$154*'ANALYSE - ERP =&gt; SOUS-SEGMENT'!$FH$8:$FH$154),0)</f>
        <v>0</v>
      </c>
      <c r="JO34" s="748">
        <f>IFERROR(SUMPRODUCT(('ANALYSE - ERP =&gt; SOUS-SEGMENT'!$C$8:$C$154=$C34)*'ANALYSE - ERP =&gt; SOUS-SEGMENT'!$Q$8:$Q$154*'ANALYSE - ERP =&gt; SOUS-SEGMENT'!$FH$8:$FH$154*'ANALYSE - ERP =&gt; SOUS-SEGMENT'!$JR$8:$JR$154)/SUMPRODUCT(('ANALYSE - ERP =&gt; SOUS-SEGMENT'!$C$8:$C$154=$C34)*'ANALYSE - ERP =&gt; SOUS-SEGMENT'!$Q$8:$Q$154*'ANALYSE - ERP =&gt; SOUS-SEGMENT'!$FH$8:$FH$154),0)</f>
        <v>0</v>
      </c>
      <c r="JP34" s="771">
        <f>IFERROR(SUMPRODUCT(('ANALYSE - ERP =&gt; SOUS-SEGMENT'!$C$8:$C$154=$C34)*'ANALYSE - ERP =&gt; SOUS-SEGMENT'!$Q$8:$Q$154*'ANALYSE - ERP =&gt; SOUS-SEGMENT'!$BH$8:$BH$154*'ANALYSE - ERP =&gt; SOUS-SEGMENT'!$JS$8:$JS$154)/SUMPRODUCT(('ANALYSE - ERP =&gt; SOUS-SEGMENT'!$C$8:$C$154=$C34)*'ANALYSE - ERP =&gt; SOUS-SEGMENT'!$Q$8:$Q$154*'ANALYSE - ERP =&gt; SOUS-SEGMENT'!$BH$8:$BH$154),0)</f>
        <v>9.6193282955499573E-2</v>
      </c>
      <c r="JQ34" s="748">
        <f>IFERROR(SUMPRODUCT(('ANALYSE - ERP =&gt; SOUS-SEGMENT'!$C$8:$C$154=$C34)*'ANALYSE - ERP =&gt; SOUS-SEGMENT'!$Q$8:$Q$154*'ANALYSE - ERP =&gt; SOUS-SEGMENT'!$BH$8:$BH$154*'ANALYSE - ERP =&gt; SOUS-SEGMENT'!$JT$8:$JT$154)/SUMPRODUCT(('ANALYSE - ERP =&gt; SOUS-SEGMENT'!$C$8:$C$154=$C34)*'ANALYSE - ERP =&gt; SOUS-SEGMENT'!$Q$8:$Q$154*'ANALYSE - ERP =&gt; SOUS-SEGMENT'!$BH$8:$BH$154),0)</f>
        <v>0.60702241813602009</v>
      </c>
      <c r="JR34" s="748">
        <f>IFERROR(SUMPRODUCT(('ANALYSE - ERP =&gt; SOUS-SEGMENT'!$C$8:$C$154=$C34)*'ANALYSE - ERP =&gt; SOUS-SEGMENT'!$Q$8:$Q$154*'ANALYSE - ERP =&gt; SOUS-SEGMENT'!$BH$8:$BH$154*'ANALYSE - ERP =&gt; SOUS-SEGMENT'!$JU$8:$JU$154)/SUMPRODUCT(('ANALYSE - ERP =&gt; SOUS-SEGMENT'!$C$8:$C$154=$C34)*'ANALYSE - ERP =&gt; SOUS-SEGMENT'!$Q$8:$Q$154*'ANALYSE - ERP =&gt; SOUS-SEGMENT'!$BH$8:$BH$154),0)</f>
        <v>0.29678429890848029</v>
      </c>
      <c r="JS34" s="748">
        <f>IFERROR(SUMPRODUCT(('ANALYSE - ERP =&gt; SOUS-SEGMENT'!$C$8:$C$154=$C34)*'ANALYSE - ERP =&gt; SOUS-SEGMENT'!$Q$8:$Q$154*'ANALYSE - ERP =&gt; SOUS-SEGMENT'!$BH$8:$BH$154*'ANALYSE - ERP =&gt; SOUS-SEGMENT'!$JV$8:$JV$154)/SUMPRODUCT(('ANALYSE - ERP =&gt; SOUS-SEGMENT'!$C$8:$C$154=$C34)*'ANALYSE - ERP =&gt; SOUS-SEGMENT'!$Q$8:$Q$154*'ANALYSE - ERP =&gt; SOUS-SEGMENT'!$BH$8:$BH$154),0)</f>
        <v>0</v>
      </c>
      <c r="JT34" s="749">
        <f>IFERROR(SUMPRODUCT(('ANALYSE - ERP =&gt; SOUS-SEGMENT'!$C$8:$C$154=$C34)*'ANALYSE - ERP =&gt; SOUS-SEGMENT'!$Q$8:$Q$154*'ANALYSE - ERP =&gt; SOUS-SEGMENT'!$BH$8:$BH$154*'ANALYSE - ERP =&gt; SOUS-SEGMENT'!$JW$8:$JW$154)/SUMPRODUCT(('ANALYSE - ERP =&gt; SOUS-SEGMENT'!$C$8:$C$154=$C34)*'ANALYSE - ERP =&gt; SOUS-SEGMENT'!$Q$8:$Q$154*'ANALYSE - ERP =&gt; SOUS-SEGMENT'!$BH$8:$BH$154),0)</f>
        <v>0</v>
      </c>
      <c r="JU34" s="771">
        <f>IFERROR(SUMPRODUCT(('ANALYSE - ERP =&gt; SOUS-SEGMENT'!$C$8:$C$154=$C34)*'ANALYSE - ERP =&gt; SOUS-SEGMENT'!$Q$8:$Q$154*'ANALYSE - ERP =&gt; SOUS-SEGMENT'!$FK$8:$FK$154*'ANALYSE - ERP =&gt; SOUS-SEGMENT'!$JX$8:$JX$154)/SUMPRODUCT(('ANALYSE - ERP =&gt; SOUS-SEGMENT'!$C$8:$C$154=$C34)*'ANALYSE - ERP =&gt; SOUS-SEGMENT'!$Q$8:$Q$154*'ANALYSE - ERP =&gt; SOUS-SEGMENT'!$FK$8:$FK$154),0)</f>
        <v>5.1261748064559506E-2</v>
      </c>
      <c r="JV34" s="748">
        <f>IFERROR(SUMPRODUCT(('ANALYSE - ERP =&gt; SOUS-SEGMENT'!$C$8:$C$154=$C34)*'ANALYSE - ERP =&gt; SOUS-SEGMENT'!$Q$8:$Q$154*'ANALYSE - ERP =&gt; SOUS-SEGMENT'!$FK$8:$FK$154*'ANALYSE - ERP =&gt; SOUS-SEGMENT'!$JY$8:$JY$154)/SUMPRODUCT(('ANALYSE - ERP =&gt; SOUS-SEGMENT'!$C$8:$C$154=$C34)*'ANALYSE - ERP =&gt; SOUS-SEGMENT'!$Q$8:$Q$154*'ANALYSE - ERP =&gt; SOUS-SEGMENT'!$FK$8:$FK$154),0)</f>
        <v>0.53170771784084714</v>
      </c>
      <c r="JW34" s="748">
        <f>IFERROR(SUMPRODUCT(('ANALYSE - ERP =&gt; SOUS-SEGMENT'!$C$8:$C$154=$C34)*'ANALYSE - ERP =&gt; SOUS-SEGMENT'!$Q$8:$Q$154*'ANALYSE - ERP =&gt; SOUS-SEGMENT'!$FK$8:$FK$154*'ANALYSE - ERP =&gt; SOUS-SEGMENT'!$JZ$8:$JZ$154)/SUMPRODUCT(('ANALYSE - ERP =&gt; SOUS-SEGMENT'!$C$8:$C$154=$C34)*'ANALYSE - ERP =&gt; SOUS-SEGMENT'!$Q$8:$Q$154*'ANALYSE - ERP =&gt; SOUS-SEGMENT'!$FK$8:$FK$154),0)</f>
        <v>0.41694250515985676</v>
      </c>
      <c r="JX34" s="748">
        <f>IFERROR(SUMPRODUCT(('ANALYSE - ERP =&gt; SOUS-SEGMENT'!$C$8:$C$154=$C34)*'ANALYSE - ERP =&gt; SOUS-SEGMENT'!$Q$8:$Q$154*'ANALYSE - ERP =&gt; SOUS-SEGMENT'!$FK$8:$FK$154*'ANALYSE - ERP =&gt; SOUS-SEGMENT'!$KA$8:$KA$154)/SUMPRODUCT(('ANALYSE - ERP =&gt; SOUS-SEGMENT'!$C$8:$C$154=$C34)*'ANALYSE - ERP =&gt; SOUS-SEGMENT'!$Q$8:$Q$154*'ANALYSE - ERP =&gt; SOUS-SEGMENT'!$FK$8:$FK$154),0)</f>
        <v>8.8028934736708939E-5</v>
      </c>
      <c r="JY34" s="775">
        <f>IFERROR(SUMPRODUCT(('ANALYSE - ERP =&gt; SOUS-SEGMENT'!$C$8:$C$154=$C34)*'ANALYSE - ERP =&gt; SOUS-SEGMENT'!$Q$8:$Q$154*'ANALYSE - ERP =&gt; SOUS-SEGMENT'!$FK$8:$FK$154*'ANALYSE - ERP =&gt; SOUS-SEGMENT'!$KB$8:$KB$154)/SUMPRODUCT(('ANALYSE - ERP =&gt; SOUS-SEGMENT'!$C$8:$C$154=$C34)*'ANALYSE - ERP =&gt; SOUS-SEGMENT'!$Q$8:$Q$154*'ANALYSE - ERP =&gt; SOUS-SEGMENT'!$FK$8:$FK$154),0)</f>
        <v>0</v>
      </c>
      <c r="JZ34" s="657"/>
      <c r="KA34" s="314" t="s">
        <v>2590</v>
      </c>
      <c r="KB34" s="314" t="s">
        <v>2591</v>
      </c>
      <c r="KC34" s="866">
        <f>IFERROR(SUMPRODUCT(('ANALYSE - ERP =&gt; SOUS-SEGMENT'!$C$8:$C$154=$C35)*'ANALYSE - ERP =&gt; SOUS-SEGMENT'!$Q$8:$Q$154*'ANALYSE - ERP =&gt; SOUS-SEGMENT'!$EX$8:$EX$154*'ANALYSE - ERP =&gt; SOUS-SEGMENT'!$KF$8:$KF$154)/SUMPRODUCT(('ANALYSE - ERP =&gt; SOUS-SEGMENT'!$C$8:$C$154=$C35)*'ANALYSE - ERP =&gt; SOUS-SEGMENT'!$Q$8:$Q$154*'ANALYSE - ERP =&gt; SOUS-SEGMENT'!$EX$8:$EX$154),"")</f>
        <v>4.0180389272052004</v>
      </c>
      <c r="KD34" s="314" t="s">
        <v>2589</v>
      </c>
      <c r="KE34" s="315" t="s">
        <v>4931</v>
      </c>
      <c r="KF34" s="617" t="s">
        <v>6760</v>
      </c>
      <c r="KG34" s="315" t="s">
        <v>6760</v>
      </c>
    </row>
    <row r="35" spans="1:293" ht="108" customHeight="1">
      <c r="A35" s="265">
        <v>36</v>
      </c>
      <c r="B35" s="490" t="s">
        <v>4908</v>
      </c>
      <c r="C35" s="490" t="s">
        <v>1985</v>
      </c>
      <c r="D35" s="521" t="s">
        <v>7385</v>
      </c>
      <c r="E35" s="267" t="s">
        <v>7386</v>
      </c>
      <c r="F35" s="267" t="s">
        <v>7387</v>
      </c>
      <c r="G35" s="267" t="s">
        <v>7311</v>
      </c>
      <c r="H35" s="267" t="s">
        <v>2117</v>
      </c>
      <c r="I35" s="268" t="s">
        <v>7388</v>
      </c>
      <c r="J35" s="268" t="s">
        <v>7389</v>
      </c>
      <c r="K35" s="269" t="s">
        <v>2117</v>
      </c>
      <c r="L35" s="269" t="s">
        <v>2109</v>
      </c>
      <c r="M35" s="269" t="s">
        <v>7390</v>
      </c>
      <c r="N35" s="269" t="s">
        <v>6742</v>
      </c>
      <c r="O35" s="269" t="s">
        <v>2616</v>
      </c>
      <c r="P35" s="268"/>
      <c r="Q35" s="270">
        <f>IF(SUMPRODUCT(('ANALYSE - ERP =&gt; SOUS-SEGMENT'!$C$8:$C$154=$C35)*'ANALYSE - ERP =&gt; SOUS-SEGMENT'!$Q$8:$Q$154)&gt;0,1,0)</f>
        <v>1</v>
      </c>
      <c r="R35" s="271">
        <f>IFERROR(SUMPRODUCT(('ANALYSE - ERP =&gt; SOUS-SEGMENT'!$C$8:$C$154=$C35)*'ANALYSE - ERP =&gt; SOUS-SEGMENT'!$Q$8:$Q$154*'ANALYSE - ERP =&gt; SOUS-SEGMENT'!$AG$8:$AG$154*'ANALYSE - ERP =&gt; SOUS-SEGMENT'!$R$8:$R$154)/SUMPRODUCT(('ANALYSE - ERP =&gt; SOUS-SEGMENT'!$C$8:$C$154=$C35)*'ANALYSE - ERP =&gt; SOUS-SEGMENT'!$Q$8:$Q$154*'ANALYSE - ERP =&gt; SOUS-SEGMENT'!$AG$8:$AG$154),"")</f>
        <v>1557.4610244988864</v>
      </c>
      <c r="S35" s="272">
        <f>SUMPRODUCT(('ANALYSE - ERP =&gt; SOUS-SEGMENT'!$C$8:$C$154=$C35)*'ANALYSE - ERP =&gt; SOUS-SEGMENT'!$Q$8:$Q$154*'ANALYSE - ERP =&gt; SOUS-SEGMENT'!$S$8:$S$154)</f>
        <v>845</v>
      </c>
      <c r="T35" s="272">
        <f>SUMPRODUCT(('ANALYSE - ERP =&gt; SOUS-SEGMENT'!$C$8:$C$154=$C35)*'ANALYSE - ERP =&gt; SOUS-SEGMENT'!$Q$8:$Q$154*'ANALYSE - ERP =&gt; SOUS-SEGMENT'!$T$8:$T$154)</f>
        <v>855</v>
      </c>
      <c r="U35" s="272">
        <f>SUMPRODUCT(('ANALYSE - ERP =&gt; SOUS-SEGMENT'!$C$8:$C$154=$C35)*'ANALYSE - ERP =&gt; SOUS-SEGMENT'!$Q$8:$Q$154*'ANALYSE - ERP =&gt; SOUS-SEGMENT'!$U$8:$U$154)</f>
        <v>855</v>
      </c>
      <c r="V35" s="272">
        <f>SUMPRODUCT(('ANALYSE - ERP =&gt; SOUS-SEGMENT'!$C$8:$C$154=$C35)*'ANALYSE - ERP =&gt; SOUS-SEGMENT'!$Q$8:$Q$154*'ANALYSE - ERP =&gt; SOUS-SEGMENT'!$V$8:$V$154)</f>
        <v>854</v>
      </c>
      <c r="W35" s="272">
        <f>SUMPRODUCT(('ANALYSE - ERP =&gt; SOUS-SEGMENT'!$C$8:$C$154=$C35)*'ANALYSE - ERP =&gt; SOUS-SEGMENT'!$Q$8:$Q$154*'ANALYSE - ERP =&gt; SOUS-SEGMENT'!$W$8:$W$154)</f>
        <v>857</v>
      </c>
      <c r="X35" s="272">
        <f>SUMPRODUCT(('ANALYSE - ERP =&gt; SOUS-SEGMENT'!$C$8:$C$154=$C35)*'ANALYSE - ERP =&gt; SOUS-SEGMENT'!$Q$8:$Q$154*'ANALYSE - ERP =&gt; SOUS-SEGMENT'!$X$8:$X$154)</f>
        <v>860</v>
      </c>
      <c r="Y35" s="272">
        <f>SUMPRODUCT(('ANALYSE - ERP =&gt; SOUS-SEGMENT'!$C$8:$C$154=$C35)*'ANALYSE - ERP =&gt; SOUS-SEGMENT'!$Q$8:$Q$154*'ANALYSE - ERP =&gt; SOUS-SEGMENT'!$Y$8:$Y$154)</f>
        <v>863</v>
      </c>
      <c r="Z35" s="272">
        <f>SUMPRODUCT(('ANALYSE - ERP =&gt; SOUS-SEGMENT'!$C$8:$C$154=$C35)*'ANALYSE - ERP =&gt; SOUS-SEGMENT'!$Q$8:$Q$154*'ANALYSE - ERP =&gt; SOUS-SEGMENT'!$Z$8:$Z$154)</f>
        <v>867</v>
      </c>
      <c r="AA35" s="272">
        <f>SUMPRODUCT(('ANALYSE - ERP =&gt; SOUS-SEGMENT'!$C$8:$C$154=$C35)*'ANALYSE - ERP =&gt; SOUS-SEGMENT'!$Q$8:$Q$154*'ANALYSE - ERP =&gt; SOUS-SEGMENT'!$AA$8:$AA$154)</f>
        <v>871</v>
      </c>
      <c r="AB35" s="272">
        <f>SUMPRODUCT(('ANALYSE - ERP =&gt; SOUS-SEGMENT'!$C$8:$C$154=$C35)*'ANALYSE - ERP =&gt; SOUS-SEGMENT'!$Q$8:$Q$154*'ANALYSE - ERP =&gt; SOUS-SEGMENT'!$AB$8:$AB$154)</f>
        <v>875</v>
      </c>
      <c r="AC35" s="272">
        <f>SUMPRODUCT(('ANALYSE - ERP =&gt; SOUS-SEGMENT'!$C$8:$C$154=$C35)*'ANALYSE - ERP =&gt; SOUS-SEGMENT'!$Q$8:$Q$154*'ANALYSE - ERP =&gt; SOUS-SEGMENT'!$AC$8:$AC$154)</f>
        <v>879</v>
      </c>
      <c r="AD35" s="272">
        <f>SUMPRODUCT(('ANALYSE - ERP =&gt; SOUS-SEGMENT'!$C$8:$C$154=$C35)*'ANALYSE - ERP =&gt; SOUS-SEGMENT'!$Q$8:$Q$154*'ANALYSE - ERP =&gt; SOUS-SEGMENT'!$AD$8:$AD$154)</f>
        <v>884</v>
      </c>
      <c r="AE35" s="272">
        <f>SUMPRODUCT(('ANALYSE - ERP =&gt; SOUS-SEGMENT'!$C$8:$C$154=$C35)*'ANALYSE - ERP =&gt; SOUS-SEGMENT'!$Q$8:$Q$154*'ANALYSE - ERP =&gt; SOUS-SEGMENT'!$AE$8:$AE$154)</f>
        <v>889</v>
      </c>
      <c r="AF35" s="272">
        <f>SUMPRODUCT(('ANALYSE - ERP =&gt; SOUS-SEGMENT'!$C$8:$C$154=$C35)*'ANALYSE - ERP =&gt; SOUS-SEGMENT'!$Q$8:$Q$154*'ANALYSE - ERP =&gt; SOUS-SEGMENT'!$AF$8:$AF$154)</f>
        <v>894</v>
      </c>
      <c r="AG35" s="272">
        <f>SUMPRODUCT(('ANALYSE - ERP =&gt; SOUS-SEGMENT'!$C$8:$C$154=$C35)*'ANALYSE - ERP =&gt; SOUS-SEGMENT'!$Q$8:$Q$154*'ANALYSE - ERP =&gt; SOUS-SEGMENT'!$AG$8:$AG$154)</f>
        <v>898</v>
      </c>
      <c r="AH35" s="272">
        <f>SUMPRODUCT(('ANALYSE - ERP =&gt; SOUS-SEGMENT'!$C$8:$C$154=$C35)*'ANALYSE - ERP =&gt; SOUS-SEGMENT'!$Q$8:$Q$154*'ANALYSE - ERP =&gt; SOUS-SEGMENT'!$AH$8:$AH$154)</f>
        <v>903</v>
      </c>
      <c r="AI35" s="272">
        <f>SUMPRODUCT(('ANALYSE - ERP =&gt; SOUS-SEGMENT'!$C$8:$C$154=$C35)*'ANALYSE - ERP =&gt; SOUS-SEGMENT'!$Q$8:$Q$154*'ANALYSE - ERP =&gt; SOUS-SEGMENT'!$AI$8:$AI$154)</f>
        <v>907</v>
      </c>
      <c r="AJ35" s="272">
        <f>SUMPRODUCT(('ANALYSE - ERP =&gt; SOUS-SEGMENT'!$C$8:$C$154=$C35)*'ANALYSE - ERP =&gt; SOUS-SEGMENT'!$Q$8:$Q$154*'ANALYSE - ERP =&gt; SOUS-SEGMENT'!$AJ$8:$AJ$154)</f>
        <v>912</v>
      </c>
      <c r="AK35" s="272">
        <f>SUMPRODUCT(('ANALYSE - ERP =&gt; SOUS-SEGMENT'!$C$8:$C$154=$C35)*'ANALYSE - ERP =&gt; SOUS-SEGMENT'!$Q$8:$Q$154*'ANALYSE - ERP =&gt; SOUS-SEGMENT'!$AK$8:$AK$154)</f>
        <v>916</v>
      </c>
      <c r="AL35" s="268" t="s">
        <v>7391</v>
      </c>
      <c r="AM35" s="268" t="s">
        <v>7392</v>
      </c>
      <c r="AN35" s="268" t="s">
        <v>7393</v>
      </c>
      <c r="AO35" s="657"/>
      <c r="AP35" s="271">
        <f>IFERROR(SUMPRODUCT(('ANALYSE - ERP =&gt; SOUS-SEGMENT'!$C$8:$C$154=$C35)*'ANALYSE - ERP =&gt; SOUS-SEGMENT'!$Q$8:$Q$154*'ANALYSE - ERP =&gt; SOUS-SEGMENT'!$AG$8:$AG$154*'ANALYSE - ERP =&gt; SOUS-SEGMENT'!$AP$8:$AP$154)/SUMPRODUCT(('ANALYSE - ERP =&gt; SOUS-SEGMENT'!$C$8:$C$154=$C35)*'ANALYSE - ERP =&gt; SOUS-SEGMENT'!$Q$8:$Q$154*'ANALYSE - ERP =&gt; SOUS-SEGMENT'!$AG$8:$AG$154),"")</f>
        <v>116.88195991091314</v>
      </c>
      <c r="AQ35" s="280">
        <f>IFERROR(SUMPRODUCT(('ANALYSE - ERP =&gt; SOUS-SEGMENT'!$C$8:$C$154=$C35)*'ANALYSE - ERP =&gt; SOUS-SEGMENT'!$Q$8:$Q$154*'ANALYSE - ERP =&gt; SOUS-SEGMENT'!$AF$8:$AF$154*'ANALYSE - ERP =&gt; SOUS-SEGMENT'!$AQ$8:$AQ$154)/SUMPRODUCT(('ANALYSE - ERP =&gt; SOUS-SEGMENT'!$C$8:$C$154=$C35)*'ANALYSE - ERP =&gt; SOUS-SEGMENT'!$Q$8:$Q$154*'ANALYSE - ERP =&gt; SOUS-SEGMENT'!$AF$8:$AF$154),"")</f>
        <v>99.53243847874721</v>
      </c>
      <c r="AR35" s="974">
        <f>IFERROR(SUMPRODUCT(('ANALYSE - ERP =&gt; SOUS-SEGMENT'!$C$8:$C$154=$C35)*'ANALYSE - ERP =&gt; SOUS-SEGMENT'!$Q$8:$Q$154*'ANALYSE - ERP =&gt; SOUS-SEGMENT'!$AF$8:$AF$154*'ANALYSE - ERP =&gt; SOUS-SEGMENT'!$AR$8:$AR$154)/SUMPRODUCT(('ANALYSE - ERP =&gt; SOUS-SEGMENT'!$C$8:$C$154=$C35)*'ANALYSE - ERP =&gt; SOUS-SEGMENT'!$Q$8:$Q$154*'ANALYSE - ERP =&gt; SOUS-SEGMENT'!$AF$8:$AF$154),"")</f>
        <v>13.776286353467562</v>
      </c>
      <c r="AS35" s="974">
        <f>IFERROR(SUMPRODUCT(('ANALYSE - ERP =&gt; SOUS-SEGMENT'!$C$8:$C$154=$C35)*'ANALYSE - ERP =&gt; SOUS-SEGMENT'!$Q$8:$Q$154*'ANALYSE - ERP =&gt; SOUS-SEGMENT'!$AF$8:$AF$154*'ANALYSE - ERP =&gt; SOUS-SEGMENT'!$AS$8:$AS$154)/SUMPRODUCT(('ANALYSE - ERP =&gt; SOUS-SEGMENT'!$C$8:$C$154=$C35)*'ANALYSE - ERP =&gt; SOUS-SEGMENT'!$Q$8:$Q$154*'ANALYSE - ERP =&gt; SOUS-SEGMENT'!$AF$8:$AF$154),"")</f>
        <v>3.4474272930648771</v>
      </c>
      <c r="AT35" s="657" t="s">
        <v>7394</v>
      </c>
      <c r="AU35" s="290" t="s">
        <v>7395</v>
      </c>
      <c r="AV35" s="572" t="s">
        <v>7396</v>
      </c>
      <c r="AW35" s="290" t="s">
        <v>7397</v>
      </c>
      <c r="AX35" s="657"/>
      <c r="AY35" s="303">
        <f>IFERROR(SUMPRODUCT(('ANALYSE - ERP =&gt; SOUS-SEGMENT'!$C$8:$C$154=$C35)*'ANALYSE - ERP =&gt; SOUS-SEGMENT'!$Q$8:$Q$154*'ANALYSE - ERP =&gt; SOUS-SEGMENT'!$AF$8:$AF$154*'ANALYSE - ERP =&gt; SOUS-SEGMENT'!$AZ$8:$AZ$154)/SUMPRODUCT(('ANALYSE - ERP =&gt; SOUS-SEGMENT'!$C$8:$C$154=$C35)*'ANALYSE - ERP =&gt; SOUS-SEGMENT'!$Q$8:$Q$154*'ANALYSE - ERP =&gt; SOUS-SEGMENT'!$AF$8:$AF$154),"")</f>
        <v>8.1968680089485453</v>
      </c>
      <c r="AZ35" s="948">
        <f>IFERROR(SUMPRODUCT(('ANALYSE - ERP =&gt; SOUS-SEGMENT'!$C$8:$C$154=$C35)*'ANALYSE - ERP =&gt; SOUS-SEGMENT'!$Q$8:$Q$154*'ANALYSE - ERP =&gt; SOUS-SEGMENT'!$AF$8:$AF$154*'ANALYSE - ERP =&gt; SOUS-SEGMENT'!$BA$8:$BA$154)/SUMPRODUCT(('ANALYSE - ERP =&gt; SOUS-SEGMENT'!$C$8:$C$154=$C35)*'ANALYSE - ERP =&gt; SOUS-SEGMENT'!$Q$8:$Q$154*'ANALYSE - ERP =&gt; SOUS-SEGMENT'!$AF$8:$AF$154),"")</f>
        <v>4.7852348993288594</v>
      </c>
      <c r="BA35" s="303">
        <f>IFERROR(SUMPRODUCT(('ANALYSE - ERP =&gt; SOUS-SEGMENT'!$C$8:$C$154=$C35)*'ANALYSE - ERP =&gt; SOUS-SEGMENT'!$Q$8:$Q$154*'ANALYSE - ERP =&gt; SOUS-SEGMENT'!$AF$8:$AF$154*'ANALYSE - ERP =&gt; SOUS-SEGMENT'!$BB$8:$BB$154)/SUMPRODUCT(('ANALYSE - ERP =&gt; SOUS-SEGMENT'!$C$8:$C$154=$C35)*'ANALYSE - ERP =&gt; SOUS-SEGMENT'!$Q$8:$Q$154*'ANALYSE - ERP =&gt; SOUS-SEGMENT'!$AF$8:$AF$154),"")</f>
        <v>2.0492170022371363</v>
      </c>
      <c r="BB35" s="303">
        <f>IFERROR(SUMPRODUCT(('ANALYSE - ERP =&gt; SOUS-SEGMENT'!$C$8:$C$154=$C35)*'ANALYSE - ERP =&gt; SOUS-SEGMENT'!$Q$8:$Q$154*'ANALYSE - ERP =&gt; SOUS-SEGMENT'!$AF$8:$AF$154*'ANALYSE - ERP =&gt; SOUS-SEGMENT'!$BC$8:$BC$154)/SUMPRODUCT(('ANALYSE - ERP =&gt; SOUS-SEGMENT'!$C$8:$C$154=$C35)*'ANALYSE - ERP =&gt; SOUS-SEGMENT'!$Q$8:$Q$154*'ANALYSE - ERP =&gt; SOUS-SEGMENT'!$AF$8:$AF$154),"")</f>
        <v>6.7561521252796419</v>
      </c>
      <c r="BC35" s="304">
        <f>SUMPRODUCT(('ANALYSE - ERP =&gt; SOUS-SEGMENT'!$C$8:$C$154=$C35)*'ANALYSE - ERP =&gt; SOUS-SEGMENT'!$Q$8:$Q$154*'ANALYSE - ERP =&gt; SOUS-SEGMENT'!$BE$8:$BE$154)</f>
        <v>7328</v>
      </c>
      <c r="BD35" s="304">
        <f>SUMPRODUCT(('ANALYSE - ERP =&gt; SOUS-SEGMENT'!$C$8:$C$154=$C35)*'ANALYSE - ERP =&gt; SOUS-SEGMENT'!$Q$8:$Q$154*'ANALYSE - ERP =&gt; SOUS-SEGMENT'!$BF$8:$BF$154)</f>
        <v>4278</v>
      </c>
      <c r="BE35" s="304">
        <f>SUMPRODUCT(('ANALYSE - ERP =&gt; SOUS-SEGMENT'!$C$8:$C$154=$C35)*'ANALYSE - ERP =&gt; SOUS-SEGMENT'!$Q$8:$Q$154*'ANALYSE - ERP =&gt; SOUS-SEGMENT'!$BG$8:$BG$154)</f>
        <v>1832</v>
      </c>
      <c r="BF35" s="304">
        <f>SUMPRODUCT(('ANALYSE - ERP =&gt; SOUS-SEGMENT'!$C$8:$C$154=$C35)*'ANALYSE - ERP =&gt; SOUS-SEGMENT'!$Q$8:$Q$154*'ANALYSE - ERP =&gt; SOUS-SEGMENT'!$BH$8:$BH$154)</f>
        <v>6040</v>
      </c>
      <c r="BG35" s="304">
        <f>SUMPRODUCT(('ANALYSE - ERP =&gt; SOUS-SEGMENT'!$C$8:$C$154=$C35)*'ANALYSE - ERP =&gt; SOUS-SEGMENT'!$Q$8:$Q$154*'ANALYSE - ERP =&gt; SOUS-SEGMENT'!$BJ$8:$BJ$154)</f>
        <v>7572</v>
      </c>
      <c r="BH35" s="304">
        <f>SUMPRODUCT(('ANALYSE - ERP =&gt; SOUS-SEGMENT'!$C$8:$C$154=$C35)*'ANALYSE - ERP =&gt; SOUS-SEGMENT'!$Q$8:$Q$154*'ANALYSE - ERP =&gt; SOUS-SEGMENT'!$BK$8:$BK$154)</f>
        <v>4518</v>
      </c>
      <c r="BI35" s="304">
        <f>SUMPRODUCT(('ANALYSE - ERP =&gt; SOUS-SEGMENT'!$C$8:$C$154=$C35)*'ANALYSE - ERP =&gt; SOUS-SEGMENT'!$Q$8:$Q$154*'ANALYSE - ERP =&gt; SOUS-SEGMENT'!$BL$8:$BL$154)</f>
        <v>1893</v>
      </c>
      <c r="BJ35" s="304">
        <f>SUMPRODUCT(('ANALYSE - ERP =&gt; SOUS-SEGMENT'!$C$8:$C$154=$C35)*'ANALYSE - ERP =&gt; SOUS-SEGMENT'!$Q$8:$Q$154*'ANALYSE - ERP =&gt; SOUS-SEGMENT'!$BM$8:$BM$154)</f>
        <v>6244</v>
      </c>
      <c r="BK35" s="657"/>
      <c r="BL35" s="580">
        <f>IFERROR(SUMPRODUCT(('ANALYSE - ERP =&gt; SOUS-SEGMENT'!$C$8:$C$154=$C35)*'ANALYSE - ERP =&gt; SOUS-SEGMENT'!$Q$8:$Q$154*'ANALYSE - ERP =&gt; SOUS-SEGMENT'!$BE$8:$BE$154*'ANALYSE - ERP =&gt; SOUS-SEGMENT'!$BO$8:$BO$154)/SUMPRODUCT(('ANALYSE - ERP =&gt; SOUS-SEGMENT'!$C$8:$C$154=$C35)*'ANALYSE - ERP =&gt; SOUS-SEGMENT'!$Q$8:$Q$154*'ANALYSE - ERP =&gt; SOUS-SEGMENT'!$BE$8:$BE$154),"")</f>
        <v>0.20960698689956331</v>
      </c>
      <c r="BM35" s="305">
        <f>IFERROR(SUMPRODUCT(('ANALYSE - ERP =&gt; SOUS-SEGMENT'!$C$8:$C$154=$C35)*'ANALYSE - ERP =&gt; SOUS-SEGMENT'!$Q$8:$Q$154*'ANALYSE - ERP =&gt; SOUS-SEGMENT'!$BE$8:$BE$154*'ANALYSE - ERP =&gt; SOUS-SEGMENT'!$BP$8:$BP$154)/SUMPRODUCT(('ANALYSE - ERP =&gt; SOUS-SEGMENT'!$C$8:$C$154=$C35)*'ANALYSE - ERP =&gt; SOUS-SEGMENT'!$Q$8:$Q$154*'ANALYSE - ERP =&gt; SOUS-SEGMENT'!$BE$8:$BE$154),"")</f>
        <v>0.61930131004366806</v>
      </c>
      <c r="BN35" s="305">
        <f>IFERROR(SUMPRODUCT(('ANALYSE - ERP =&gt; SOUS-SEGMENT'!$C$8:$C$154=$C35)*'ANALYSE - ERP =&gt; SOUS-SEGMENT'!$Q$8:$Q$154*'ANALYSE - ERP =&gt; SOUS-SEGMENT'!$BE$8:$BE$154*'ANALYSE - ERP =&gt; SOUS-SEGMENT'!$BQ$8:$BQ$154)/SUMPRODUCT(('ANALYSE - ERP =&gt; SOUS-SEGMENT'!$C$8:$C$154=$C35)*'ANALYSE - ERP =&gt; SOUS-SEGMENT'!$Q$8:$Q$154*'ANALYSE - ERP =&gt; SOUS-SEGMENT'!$BE$8:$BE$154),"")</f>
        <v>9.1659388646288212E-2</v>
      </c>
      <c r="BO35" s="581">
        <f>IFERROR(SUMPRODUCT(('ANALYSE - ERP =&gt; SOUS-SEGMENT'!$C$8:$C$154=$C35)*'ANALYSE - ERP =&gt; SOUS-SEGMENT'!$Q$8:$Q$154*'ANALYSE - ERP =&gt; SOUS-SEGMENT'!$BE$8:$BE$154*'ANALYSE - ERP =&gt; SOUS-SEGMENT'!$BR$8:$BR$154)/SUMPRODUCT(('ANALYSE - ERP =&gt; SOUS-SEGMENT'!$C$8:$C$154=$C35)*'ANALYSE - ERP =&gt; SOUS-SEGMENT'!$Q$8:$Q$154*'ANALYSE - ERP =&gt; SOUS-SEGMENT'!$BE$8:$BE$154),"")</f>
        <v>7.9432314410480334E-2</v>
      </c>
      <c r="BP35" s="580">
        <f>IFERROR(SUMPRODUCT(('ANALYSE - ERP =&gt; SOUS-SEGMENT'!$C$8:$C$154=$C35)*'ANALYSE - ERP =&gt; SOUS-SEGMENT'!$Q$8:$Q$154*'ANALYSE - ERP =&gt; SOUS-SEGMENT'!$BJ$8:$BJ$154*'ANALYSE - ERP =&gt; SOUS-SEGMENT'!$BS$8:$BS$154)/SUMPRODUCT(('ANALYSE - ERP =&gt; SOUS-SEGMENT'!$C$8:$C$154=$C35)*'ANALYSE - ERP =&gt; SOUS-SEGMENT'!$Q$8:$Q$154*'ANALYSE - ERP =&gt; SOUS-SEGMENT'!$BJ$8:$BJ$154),"")</f>
        <v>0.19087163232963553</v>
      </c>
      <c r="BQ35" s="305">
        <f>IFERROR(SUMPRODUCT(('ANALYSE - ERP =&gt; SOUS-SEGMENT'!$C$8:$C$154=$C35)*'ANALYSE - ERP =&gt; SOUS-SEGMENT'!$Q$8:$Q$154*'ANALYSE - ERP =&gt; SOUS-SEGMENT'!$BJ$8:$BJ$154*'ANALYSE - ERP =&gt; SOUS-SEGMENT'!$BT$8:$BT$154)/SUMPRODUCT(('ANALYSE - ERP =&gt; SOUS-SEGMENT'!$C$8:$C$154=$C35)*'ANALYSE - ERP =&gt; SOUS-SEGMENT'!$Q$8:$Q$154*'ANALYSE - ERP =&gt; SOUS-SEGMENT'!$BJ$8:$BJ$154),"")</f>
        <v>0.62383518225039625</v>
      </c>
      <c r="BR35" s="305">
        <f>IFERROR(SUMPRODUCT(('ANALYSE - ERP =&gt; SOUS-SEGMENT'!$C$8:$C$154=$C35)*'ANALYSE - ERP =&gt; SOUS-SEGMENT'!$Q$8:$Q$154*'ANALYSE - ERP =&gt; SOUS-SEGMENT'!$BJ$8:$BJ$154*'ANALYSE - ERP =&gt; SOUS-SEGMENT'!$BU$8:$BU$154)/SUMPRODUCT(('ANALYSE - ERP =&gt; SOUS-SEGMENT'!$C$8:$C$154=$C35)*'ANALYSE - ERP =&gt; SOUS-SEGMENT'!$Q$8:$Q$154*'ANALYSE - ERP =&gt; SOUS-SEGMENT'!$BJ$8:$BJ$154),"")</f>
        <v>0.11491283676703645</v>
      </c>
      <c r="BS35" s="581">
        <f>IFERROR(SUMPRODUCT(('ANALYSE - ERP =&gt; SOUS-SEGMENT'!$C$8:$C$154=$C35)*'ANALYSE - ERP =&gt; SOUS-SEGMENT'!$Q$8:$Q$154*'ANALYSE - ERP =&gt; SOUS-SEGMENT'!$BJ$8:$BJ$154*'ANALYSE - ERP =&gt; SOUS-SEGMENT'!$BV$8:$BV$154)/SUMPRODUCT(('ANALYSE - ERP =&gt; SOUS-SEGMENT'!$C$8:$C$154=$C35)*'ANALYSE - ERP =&gt; SOUS-SEGMENT'!$Q$8:$Q$154*'ANALYSE - ERP =&gt; SOUS-SEGMENT'!$BJ$8:$BJ$154),"")</f>
        <v>7.0380348652931871E-2</v>
      </c>
      <c r="BT35" s="589">
        <f>IFERROR(SUMPRODUCT(('ANALYSE - ERP =&gt; SOUS-SEGMENT'!$C$8:$C$154=$C35)*'ANALYSE - ERP =&gt; SOUS-SEGMENT'!$Q$8:$Q$154*'ANALYSE - ERP =&gt; SOUS-SEGMENT'!$BF$8:$BF$154*'ANALYSE - ERP =&gt; SOUS-SEGMENT'!$BW$8:$BW$154)/SUMPRODUCT(('ANALYSE - ERP =&gt; SOUS-SEGMENT'!$C$8:$C$154=$C35)*'ANALYSE - ERP =&gt; SOUS-SEGMENT'!$Q$8:$Q$154*'ANALYSE - ERP =&gt; SOUS-SEGMENT'!$BF$8:$BF$154),"")</f>
        <v>0.54649368863955117</v>
      </c>
      <c r="BU35" s="306">
        <f>IFERROR(SUMPRODUCT(('ANALYSE - ERP =&gt; SOUS-SEGMENT'!$C$8:$C$154=$C35)*'ANALYSE - ERP =&gt; SOUS-SEGMENT'!$Q$8:$Q$154*'ANALYSE - ERP =&gt; SOUS-SEGMENT'!$BF$8:$BF$154*'ANALYSE - ERP =&gt; SOUS-SEGMENT'!$BX$8:$BX$154)/SUMPRODUCT(('ANALYSE - ERP =&gt; SOUS-SEGMENT'!$C$8:$C$154=$C35)*'ANALYSE - ERP =&gt; SOUS-SEGMENT'!$Q$8:$Q$154*'ANALYSE - ERP =&gt; SOUS-SEGMENT'!$BF$8:$BF$154),"")</f>
        <v>0.40175315568022441</v>
      </c>
      <c r="BV35" s="590">
        <f>IFERROR(SUMPRODUCT(('ANALYSE - ERP =&gt; SOUS-SEGMENT'!$C$8:$C$154=$C35)*'ANALYSE - ERP =&gt; SOUS-SEGMENT'!$Q$8:$Q$154*'ANALYSE - ERP =&gt; SOUS-SEGMENT'!$BF$8:$BF$154*'ANALYSE - ERP =&gt; SOUS-SEGMENT'!$BY$8:$BY$154)/SUMPRODUCT(('ANALYSE - ERP =&gt; SOUS-SEGMENT'!$C$8:$C$154=$C35)*'ANALYSE - ERP =&gt; SOUS-SEGMENT'!$Q$8:$Q$154*'ANALYSE - ERP =&gt; SOUS-SEGMENT'!$BF$8:$BF$154),"")</f>
        <v>5.1753155680224407E-2</v>
      </c>
      <c r="BW35" s="589">
        <f>IFERROR(SUMPRODUCT(('ANALYSE - ERP =&gt; SOUS-SEGMENT'!$C$8:$C$154=$C35)*'ANALYSE - ERP =&gt; SOUS-SEGMENT'!$Q$8:$Q$154*'ANALYSE - ERP =&gt; SOUS-SEGMENT'!$BK$8:$BK$154*'ANALYSE - ERP =&gt; SOUS-SEGMENT'!$BZ$8:$BZ$154)/SUMPRODUCT(('ANALYSE - ERP =&gt; SOUS-SEGMENT'!$C$8:$C$154=$C35)*'ANALYSE - ERP =&gt; SOUS-SEGMENT'!$Q$8:$Q$154*'ANALYSE - ERP =&gt; SOUS-SEGMENT'!$BK$8:$BK$154),"")</f>
        <v>0.49667994687915007</v>
      </c>
      <c r="BX35" s="306">
        <f>IFERROR(SUMPRODUCT(('ANALYSE - ERP =&gt; SOUS-SEGMENT'!$C$8:$C$154=$C35)*'ANALYSE - ERP =&gt; SOUS-SEGMENT'!$Q$8:$Q$154*'ANALYSE - ERP =&gt; SOUS-SEGMENT'!$BK$8:$BK$154*'ANALYSE - ERP =&gt; SOUS-SEGMENT'!$CA$8:$CA$154)/SUMPRODUCT(('ANALYSE - ERP =&gt; SOUS-SEGMENT'!$C$8:$C$154=$C35)*'ANALYSE - ERP =&gt; SOUS-SEGMENT'!$Q$8:$Q$154*'ANALYSE - ERP =&gt; SOUS-SEGMENT'!$BK$8:$BK$154),"")</f>
        <v>0.43132802124833997</v>
      </c>
      <c r="BY35" s="590">
        <f>IFERROR(SUMPRODUCT(('ANALYSE - ERP =&gt; SOUS-SEGMENT'!$C$8:$C$154=$C35)*'ANALYSE - ERP =&gt; SOUS-SEGMENT'!$Q$8:$Q$154*'ANALYSE - ERP =&gt; SOUS-SEGMENT'!$BK$8:$BK$154*'ANALYSE - ERP =&gt; SOUS-SEGMENT'!$CB$8:$CB$154)/SUMPRODUCT(('ANALYSE - ERP =&gt; SOUS-SEGMENT'!$C$8:$C$154=$C35)*'ANALYSE - ERP =&gt; SOUS-SEGMENT'!$Q$8:$Q$154*'ANALYSE - ERP =&gt; SOUS-SEGMENT'!$BK$8:$BK$154),"")</f>
        <v>7.1992031872509965E-2</v>
      </c>
      <c r="BZ35" s="580">
        <f>IFERROR(SUMPRODUCT(('ANALYSE - ERP =&gt; SOUS-SEGMENT'!$C$8:$C$154=$C35)*'ANALYSE - ERP =&gt; SOUS-SEGMENT'!$Q$8:$Q$154*'ANALYSE - ERP =&gt; SOUS-SEGMENT'!$BG$8:$BG$154*'ANALYSE - ERP =&gt; SOUS-SEGMENT'!$CC$8:$CC$154)/SUMPRODUCT(('ANALYSE - ERP =&gt; SOUS-SEGMENT'!$C$8:$C$154=$C35)*'ANALYSE - ERP =&gt; SOUS-SEGMENT'!$Q$8:$Q$154*'ANALYSE - ERP =&gt; SOUS-SEGMENT'!$BG$8:$BG$154),"")</f>
        <v>0.10799126637554583</v>
      </c>
      <c r="CA35" s="305">
        <f>IFERROR(SUMPRODUCT(('ANALYSE - ERP =&gt; SOUS-SEGMENT'!$C$8:$C$154=$C35)*'ANALYSE - ERP =&gt; SOUS-SEGMENT'!$Q$8:$Q$154*'ANALYSE - ERP =&gt; SOUS-SEGMENT'!$BG$8:$BG$154*'ANALYSE - ERP =&gt; SOUS-SEGMENT'!$CD$8:$CD$154)/SUMPRODUCT(('ANALYSE - ERP =&gt; SOUS-SEGMENT'!$C$8:$C$154=$C35)*'ANALYSE - ERP =&gt; SOUS-SEGMENT'!$Q$8:$Q$154*'ANALYSE - ERP =&gt; SOUS-SEGMENT'!$BG$8:$BG$154),"")</f>
        <v>0.5651855895196507</v>
      </c>
      <c r="CB35" s="305">
        <f>IFERROR(SUMPRODUCT(('ANALYSE - ERP =&gt; SOUS-SEGMENT'!$C$8:$C$154=$C35)*'ANALYSE - ERP =&gt; SOUS-SEGMENT'!$Q$8:$Q$154*'ANALYSE - ERP =&gt; SOUS-SEGMENT'!$BG$8:$BG$154*'ANALYSE - ERP =&gt; SOUS-SEGMENT'!$CE$8:$CE$154)/SUMPRODUCT(('ANALYSE - ERP =&gt; SOUS-SEGMENT'!$C$8:$C$154=$C35)*'ANALYSE - ERP =&gt; SOUS-SEGMENT'!$Q$8:$Q$154*'ANALYSE - ERP =&gt; SOUS-SEGMENT'!$BG$8:$BG$154),"")</f>
        <v>0.10156113537117904</v>
      </c>
      <c r="CC35" s="581">
        <f>IFERROR(SUMPRODUCT(('ANALYSE - ERP =&gt; SOUS-SEGMENT'!$C$8:$C$154=$C35)*'ANALYSE - ERP =&gt; SOUS-SEGMENT'!$Q$8:$Q$154*'ANALYSE - ERP =&gt; SOUS-SEGMENT'!$BG$8:$BG$154*'ANALYSE - ERP =&gt; SOUS-SEGMENT'!$CF$8:$CF$154)/SUMPRODUCT(('ANALYSE - ERP =&gt; SOUS-SEGMENT'!$C$8:$C$154=$C35)*'ANALYSE - ERP =&gt; SOUS-SEGMENT'!$Q$8:$Q$154*'ANALYSE - ERP =&gt; SOUS-SEGMENT'!$BG$8:$BG$154),"")</f>
        <v>0.22526200873362442</v>
      </c>
      <c r="CD35" s="580">
        <f>IFERROR(SUMPRODUCT(('ANALYSE - ERP =&gt; SOUS-SEGMENT'!$C$8:$C$154=$C35)*'ANALYSE - ERP =&gt; SOUS-SEGMENT'!$Q$8:$Q$154*'ANALYSE - ERP =&gt; SOUS-SEGMENT'!$BL$8:$BL$154*'ANALYSE - ERP =&gt; SOUS-SEGMENT'!$CG$8:$CG$154)/SUMPRODUCT(('ANALYSE - ERP =&gt; SOUS-SEGMENT'!$C$8:$C$154=$C35)*'ANALYSE - ERP =&gt; SOUS-SEGMENT'!$Q$8:$Q$154*'ANALYSE - ERP =&gt; SOUS-SEGMENT'!$BL$8:$BL$154),"")</f>
        <v>8.83676703645008E-2</v>
      </c>
      <c r="CE35" s="305">
        <f>IFERROR(SUMPRODUCT(('ANALYSE - ERP =&gt; SOUS-SEGMENT'!$C$8:$C$154=$C35)*'ANALYSE - ERP =&gt; SOUS-SEGMENT'!$Q$8:$Q$154*'ANALYSE - ERP =&gt; SOUS-SEGMENT'!$BL$8:$BL$154*'ANALYSE - ERP =&gt; SOUS-SEGMENT'!$CH$8:$CH$154)/SUMPRODUCT(('ANALYSE - ERP =&gt; SOUS-SEGMENT'!$C$8:$C$154=$C35)*'ANALYSE - ERP =&gt; SOUS-SEGMENT'!$Q$8:$Q$154*'ANALYSE - ERP =&gt; SOUS-SEGMENT'!$BL$8:$BL$154),"")</f>
        <v>0.56503961965134708</v>
      </c>
      <c r="CF35" s="305">
        <f>IFERROR(SUMPRODUCT(('ANALYSE - ERP =&gt; SOUS-SEGMENT'!$C$8:$C$154=$C35)*'ANALYSE - ERP =&gt; SOUS-SEGMENT'!$Q$8:$Q$154*'ANALYSE - ERP =&gt; SOUS-SEGMENT'!$BL$8:$BL$154*'ANALYSE - ERP =&gt; SOUS-SEGMENT'!$CI$8:$CI$154)/SUMPRODUCT(('ANALYSE - ERP =&gt; SOUS-SEGMENT'!$C$8:$C$154=$C35)*'ANALYSE - ERP =&gt; SOUS-SEGMENT'!$Q$8:$Q$154*'ANALYSE - ERP =&gt; SOUS-SEGMENT'!$BL$8:$BL$154),"")</f>
        <v>0.12353407290015848</v>
      </c>
      <c r="CG35" s="581">
        <f>IFERROR(SUMPRODUCT(('ANALYSE - ERP =&gt; SOUS-SEGMENT'!$C$8:$C$154=$C35)*'ANALYSE - ERP =&gt; SOUS-SEGMENT'!$Q$8:$Q$154*'ANALYSE - ERP =&gt; SOUS-SEGMENT'!$BL$8:$BL$154*'ANALYSE - ERP =&gt; SOUS-SEGMENT'!$CJ$8:$CJ$154)/SUMPRODUCT(('ANALYSE - ERP =&gt; SOUS-SEGMENT'!$C$8:$C$154=$C35)*'ANALYSE - ERP =&gt; SOUS-SEGMENT'!$Q$8:$Q$154*'ANALYSE - ERP =&gt; SOUS-SEGMENT'!$BL$8:$BL$154),"")</f>
        <v>0.22305863708399365</v>
      </c>
      <c r="CH35" s="589">
        <f>IFERROR(SUMPRODUCT(('ANALYSE - ERP =&gt; SOUS-SEGMENT'!$C$8:$C$154=$C35)*'ANALYSE - ERP =&gt; SOUS-SEGMENT'!$Q$8:$Q$154*'ANALYSE - ERP =&gt; SOUS-SEGMENT'!$BH$8:$BH$154*'ANALYSE - ERP =&gt; SOUS-SEGMENT'!$CK$8:$CK$154)/SUMPRODUCT(('ANALYSE - ERP =&gt; SOUS-SEGMENT'!$C$8:$C$154=$C35)*'ANALYSE - ERP =&gt; SOUS-SEGMENT'!$Q$8:$Q$154*'ANALYSE - ERP =&gt; SOUS-SEGMENT'!$BH$8:$BH$154),"")</f>
        <v>0.4160596026490066</v>
      </c>
      <c r="CI35" s="306">
        <f>IFERROR(SUMPRODUCT(('ANALYSE - ERP =&gt; SOUS-SEGMENT'!$C$8:$C$154=$C35)*'ANALYSE - ERP =&gt; SOUS-SEGMENT'!$Q$8:$Q$154*'ANALYSE - ERP =&gt; SOUS-SEGMENT'!$BH$8:$BH$154*'ANALYSE - ERP =&gt; SOUS-SEGMENT'!$CL$8:$CL$154)/SUMPRODUCT(('ANALYSE - ERP =&gt; SOUS-SEGMENT'!$C$8:$C$154=$C35)*'ANALYSE - ERP =&gt; SOUS-SEGMENT'!$Q$8:$Q$154*'ANALYSE - ERP =&gt; SOUS-SEGMENT'!$BH$8:$BH$154),"")</f>
        <v>0.47847682119205298</v>
      </c>
      <c r="CJ35" s="590">
        <f>IFERROR(SUMPRODUCT(('ANALYSE - ERP =&gt; SOUS-SEGMENT'!$C$8:$C$154=$C35)*'ANALYSE - ERP =&gt; SOUS-SEGMENT'!$Q$8:$Q$154*'ANALYSE - ERP =&gt; SOUS-SEGMENT'!$BH$8:$BH$154*'ANALYSE - ERP =&gt; SOUS-SEGMENT'!$CM$8:$CM$154)/SUMPRODUCT(('ANALYSE - ERP =&gt; SOUS-SEGMENT'!$C$8:$C$154=$C35)*'ANALYSE - ERP =&gt; SOUS-SEGMENT'!$Q$8:$Q$154*'ANALYSE - ERP =&gt; SOUS-SEGMENT'!$BH$8:$BH$154),"")</f>
        <v>0.10546357615894039</v>
      </c>
      <c r="CK35" s="589">
        <f>IFERROR(SUMPRODUCT(('ANALYSE - ERP =&gt; SOUS-SEGMENT'!$C$8:$C$154=$C35)*'ANALYSE - ERP =&gt; SOUS-SEGMENT'!$Q$8:$Q$154*'ANALYSE - ERP =&gt; SOUS-SEGMENT'!$BM$8:$BM$154*'ANALYSE - ERP =&gt; SOUS-SEGMENT'!$CN$8:$CN$154)/SUMPRODUCT(('ANALYSE - ERP =&gt; SOUS-SEGMENT'!$C$8:$C$154=$C35)*'ANALYSE - ERP =&gt; SOUS-SEGMENT'!$Q$8:$Q$154*'ANALYSE - ERP =&gt; SOUS-SEGMENT'!$BM$8:$BM$154),"")</f>
        <v>0.36713645099295322</v>
      </c>
      <c r="CL35" s="306">
        <f>IFERROR(SUMPRODUCT(('ANALYSE - ERP =&gt; SOUS-SEGMENT'!$C$8:$C$154=$C35)*'ANALYSE - ERP =&gt; SOUS-SEGMENT'!$Q$8:$Q$154*'ANALYSE - ERP =&gt; SOUS-SEGMENT'!$BM$8:$BM$154*'ANALYSE - ERP =&gt; SOUS-SEGMENT'!$CO$8:$CO$154)/SUMPRODUCT(('ANALYSE - ERP =&gt; SOUS-SEGMENT'!$C$8:$C$154=$C35)*'ANALYSE - ERP =&gt; SOUS-SEGMENT'!$Q$8:$Q$154*'ANALYSE - ERP =&gt; SOUS-SEGMENT'!$BM$8:$BM$154),"")</f>
        <v>0.50914798206278022</v>
      </c>
      <c r="CM35" s="590">
        <f>IFERROR(SUMPRODUCT(('ANALYSE - ERP =&gt; SOUS-SEGMENT'!$C$8:$C$154=$C35)*'ANALYSE - ERP =&gt; SOUS-SEGMENT'!$Q$8:$Q$154*'ANALYSE - ERP =&gt; SOUS-SEGMENT'!$BM$8:$BM$154*'ANALYSE - ERP =&gt; SOUS-SEGMENT'!$CP$8:$CP$154)/SUMPRODUCT(('ANALYSE - ERP =&gt; SOUS-SEGMENT'!$C$8:$C$154=$C35)*'ANALYSE - ERP =&gt; SOUS-SEGMENT'!$Q$8:$Q$154*'ANALYSE - ERP =&gt; SOUS-SEGMENT'!$BM$8:$BM$154),"")</f>
        <v>0.1237155669442665</v>
      </c>
      <c r="CN35" s="657"/>
      <c r="CO35" s="882">
        <f>IFERROR(SUMPRODUCT(('ANALYSE - ERP =&gt; SOUS-SEGMENT'!$C$8:$C$154=$C35)*'ANALYSE - ERP =&gt; SOUS-SEGMENT'!$DH$8:$DH$154*('ANALYSE - ERP =&gt; SOUS-SEGMENT'!$CR$8:$CR$154&gt;0)*'ANALYSE - ERP =&gt; SOUS-SEGMENT'!$CR$8:$CR$154)/SUMPRODUCT(('ANALYSE - ERP =&gt; SOUS-SEGMENT'!$C$8:$C$154=$C35)*'ANALYSE - ERP =&gt; SOUS-SEGMENT'!$DH$8:$DH$154*('ANALYSE - ERP =&gt; SOUS-SEGMENT'!$CR$8:$CR$154&gt;0)),"")</f>
        <v>11</v>
      </c>
      <c r="CP35" s="883">
        <f>IFERROR(SUMPRODUCT(('ANALYSE - ERP =&gt; SOUS-SEGMENT'!$C$8:$C$154=$C35)*'ANALYSE - ERP =&gt; SOUS-SEGMENT'!$DI$8:$DI$154*('ANALYSE - ERP =&gt; SOUS-SEGMENT'!$CS$8:$CS$154&gt;0)*'ANALYSE - ERP =&gt; SOUS-SEGMENT'!$CS$8:$CS$154)/SUMPRODUCT(('ANALYSE - ERP =&gt; SOUS-SEGMENT'!$C$8:$C$154=$C35)*'ANALYSE - ERP =&gt; SOUS-SEGMENT'!$DI$8:$DI$154*('ANALYSE - ERP =&gt; SOUS-SEGMENT'!$CS$8:$CS$154&gt;0)),"")</f>
        <v>12</v>
      </c>
      <c r="CQ35" s="883">
        <f>IFERROR(SUMPRODUCT(('ANALYSE - ERP =&gt; SOUS-SEGMENT'!$C$8:$C$154=$C35)*'ANALYSE - ERP =&gt; SOUS-SEGMENT'!$DJ$8:$DJ$154*('ANALYSE - ERP =&gt; SOUS-SEGMENT'!$CT$8:$CT$154&gt;0)*'ANALYSE - ERP =&gt; SOUS-SEGMENT'!$CT$8:$CT$154)/SUMPRODUCT(('ANALYSE - ERP =&gt; SOUS-SEGMENT'!$C$8:$C$154=$C35)*'ANALYSE - ERP =&gt; SOUS-SEGMENT'!$DJ$8:$DJ$154*('ANALYSE - ERP =&gt; SOUS-SEGMENT'!$CT$8:$CT$154&gt;0)),"")</f>
        <v>9</v>
      </c>
      <c r="CR35" s="884">
        <f>IFERROR(SUMPRODUCT(('ANALYSE - ERP =&gt; SOUS-SEGMENT'!$C$8:$C$154=$C35)*'ANALYSE - ERP =&gt; SOUS-SEGMENT'!$DK$8:$DK$154*('ANALYSE - ERP =&gt; SOUS-SEGMENT'!$CU$8:$CU$154&gt;0)*'ANALYSE - ERP =&gt; SOUS-SEGMENT'!$CU$8:$CU$154)/SUMPRODUCT(('ANALYSE - ERP =&gt; SOUS-SEGMENT'!$C$8:$C$154=$C35)*'ANALYSE - ERP =&gt; SOUS-SEGMENT'!$DK$8:$DK$154*('ANALYSE - ERP =&gt; SOUS-SEGMENT'!$CU$8:$CU$154&gt;0)),"")</f>
        <v>10.000000000000002</v>
      </c>
      <c r="CS35" s="882">
        <f>IFERROR(SUMPRODUCT(('ANALYSE - ERP =&gt; SOUS-SEGMENT'!$C$8:$C$154=$C35)*'ANALYSE - ERP =&gt; SOUS-SEGMENT'!$DS$8:$DS$154*('ANALYSE - ERP =&gt; SOUS-SEGMENT'!$CV$8:$CV$154&gt;0)*'ANALYSE - ERP =&gt; SOUS-SEGMENT'!$CV$8:$CV$154)/SUMPRODUCT(('ANALYSE - ERP =&gt; SOUS-SEGMENT'!$C$8:$C$154=$C35)*'ANALYSE - ERP =&gt; SOUS-SEGMENT'!$DS$8:$DS$154*('ANALYSE - ERP =&gt; SOUS-SEGMENT'!$CV$8:$CV$154&gt;0)),"")</f>
        <v>11</v>
      </c>
      <c r="CT35" s="883">
        <f>IFERROR(SUMPRODUCT(('ANALYSE - ERP =&gt; SOUS-SEGMENT'!$C$8:$C$154=$C35)*'ANALYSE - ERP =&gt; SOUS-SEGMENT'!$DT$8:$DT$154*('ANALYSE - ERP =&gt; SOUS-SEGMENT'!$CW$8:$CW$154&gt;0)*'ANALYSE - ERP =&gt; SOUS-SEGMENT'!$CW$8:$CW$154)/SUMPRODUCT(('ANALYSE - ERP =&gt; SOUS-SEGMENT'!$C$8:$C$154=$C35)*'ANALYSE - ERP =&gt; SOUS-SEGMENT'!$DT$8:$DT$154*('ANALYSE - ERP =&gt; SOUS-SEGMENT'!$CW$8:$CW$154&gt;0)),"")</f>
        <v>11</v>
      </c>
      <c r="CU35" s="884">
        <f>IFERROR(SUMPRODUCT(('ANALYSE - ERP =&gt; SOUS-SEGMENT'!$C$8:$C$154=$C35)*'ANALYSE - ERP =&gt; SOUS-SEGMENT'!$DU$8:$DU$154*('ANALYSE - ERP =&gt; SOUS-SEGMENT'!$CX$8:$CX$154&gt;0)*'ANALYSE - ERP =&gt; SOUS-SEGMENT'!$CX$8:$CX$154)/SUMPRODUCT(('ANALYSE - ERP =&gt; SOUS-SEGMENT'!$C$8:$C$154=$C35)*'ANALYSE - ERP =&gt; SOUS-SEGMENT'!$DU$8:$DU$154*('ANALYSE - ERP =&gt; SOUS-SEGMENT'!$CX$8:$CX$154&gt;0)),"")</f>
        <v>8</v>
      </c>
      <c r="CV35" s="882">
        <f>IFERROR(SUMPRODUCT(('ANALYSE - ERP =&gt; SOUS-SEGMENT'!$C$8:$C$154=$C35)*'ANALYSE - ERP =&gt; SOUS-SEGMENT'!$EB$8:$EB$154*('ANALYSE - ERP =&gt; SOUS-SEGMENT'!$CY$8:$CY$154&gt;0)*'ANALYSE - ERP =&gt; SOUS-SEGMENT'!$CY$8:$CY$154)/SUMPRODUCT(('ANALYSE - ERP =&gt; SOUS-SEGMENT'!$C$8:$C$154=$C35)*'ANALYSE - ERP =&gt; SOUS-SEGMENT'!$EB$8:$EB$154*('ANALYSE - ERP =&gt; SOUS-SEGMENT'!$CY$8:$CY$154&gt;0)),"")</f>
        <v>10</v>
      </c>
      <c r="CW35" s="883">
        <f>IFERROR(SUMPRODUCT(('ANALYSE - ERP =&gt; SOUS-SEGMENT'!$C$8:$C$154=$C35)*'ANALYSE - ERP =&gt; SOUS-SEGMENT'!$EC$8:$EC$154*('ANALYSE - ERP =&gt; SOUS-SEGMENT'!$CZ$8:$CZ$154&gt;0)*'ANALYSE - ERP =&gt; SOUS-SEGMENT'!$CZ$8:$CZ$154)/SUMPRODUCT(('ANALYSE - ERP =&gt; SOUS-SEGMENT'!$C$8:$C$154=$C35)*'ANALYSE - ERP =&gt; SOUS-SEGMENT'!$EC$8:$EC$154*('ANALYSE - ERP =&gt; SOUS-SEGMENT'!$CZ$8:$CZ$154&gt;0)),"")</f>
        <v>12</v>
      </c>
      <c r="CX35" s="883">
        <f>IFERROR(SUMPRODUCT(('ANALYSE - ERP =&gt; SOUS-SEGMENT'!$C$8:$C$154=$C35)*'ANALYSE - ERP =&gt; SOUS-SEGMENT'!$ED$8:$ED$154*('ANALYSE - ERP =&gt; SOUS-SEGMENT'!$DA$8:$DA$154&gt;0)*'ANALYSE - ERP =&gt; SOUS-SEGMENT'!$DA$8:$DA$154)/SUMPRODUCT(('ANALYSE - ERP =&gt; SOUS-SEGMENT'!$C$8:$C$154=$C35)*'ANALYSE - ERP =&gt; SOUS-SEGMENT'!$ED$8:$ED$154*('ANALYSE - ERP =&gt; SOUS-SEGMENT'!$DA$8:$DA$154&gt;0)),"")</f>
        <v>8</v>
      </c>
      <c r="CY35" s="885">
        <f>IFERROR(SUMPRODUCT(('ANALYSE - ERP =&gt; SOUS-SEGMENT'!$C$8:$C$154=$C35)*'ANALYSE - ERP =&gt; SOUS-SEGMENT'!$EE$8:$EE$154*('ANALYSE - ERP =&gt; SOUS-SEGMENT'!$DB$8:$DB$154&gt;0)*'ANALYSE - ERP =&gt; SOUS-SEGMENT'!$DB$8:$DB$154)/SUMPRODUCT(('ANALYSE - ERP =&gt; SOUS-SEGMENT'!$C$8:$C$154=$C35)*'ANALYSE - ERP =&gt; SOUS-SEGMENT'!$EE$8:$EE$154*('ANALYSE - ERP =&gt; SOUS-SEGMENT'!$DB$8:$DB$154&gt;0)),"")</f>
        <v>10</v>
      </c>
      <c r="CZ35" s="886">
        <f>IFERROR(SUMPRODUCT(('ANALYSE - ERP =&gt; SOUS-SEGMENT'!$C$8:$C$154=$C35)*'ANALYSE - ERP =&gt; SOUS-SEGMENT'!$EM$8:$EM$154*('ANALYSE - ERP =&gt; SOUS-SEGMENT'!$DC$8:$DC$154&gt;0)*'ANALYSE - ERP =&gt; SOUS-SEGMENT'!$DC$8:$DC$154)/SUMPRODUCT(('ANALYSE - ERP =&gt; SOUS-SEGMENT'!$C$8:$C$154=$C35)*'ANALYSE - ERP =&gt; SOUS-SEGMENT'!$EM$8:$EM$154*('ANALYSE - ERP =&gt; SOUS-SEGMENT'!$DC$8:$DC$154&gt;0)),"")</f>
        <v>10</v>
      </c>
      <c r="DA35" s="883">
        <f>IFERROR(SUMPRODUCT(('ANALYSE - ERP =&gt; SOUS-SEGMENT'!$C$8:$C$154=$C35)*'ANALYSE - ERP =&gt; SOUS-SEGMENT'!$EN$8:$EN$154*('ANALYSE - ERP =&gt; SOUS-SEGMENT'!$DD$8:$DD$154&gt;0)*'ANALYSE - ERP =&gt; SOUS-SEGMENT'!$DD$8:$DD$154)/SUMPRODUCT(('ANALYSE - ERP =&gt; SOUS-SEGMENT'!$C$8:$C$154=$C35)*'ANALYSE - ERP =&gt; SOUS-SEGMENT'!$EN$8:$EN$154*('ANALYSE - ERP =&gt; SOUS-SEGMENT'!$DD$8:$DD$154&gt;0)),"")</f>
        <v>12</v>
      </c>
      <c r="DB35" s="885">
        <f>IFERROR(SUMPRODUCT(('ANALYSE - ERP =&gt; SOUS-SEGMENT'!$C$8:$C$154=$C35)*'ANALYSE - ERP =&gt; SOUS-SEGMENT'!$EO$8:$EO$154*('ANALYSE - ERP =&gt; SOUS-SEGMENT'!$DE$8:$DE$154&gt;0)*'ANALYSE - ERP =&gt; SOUS-SEGMENT'!$DE$8:$DE$154)/SUMPRODUCT(('ANALYSE - ERP =&gt; SOUS-SEGMENT'!$C$8:$C$154=$C35)*'ANALYSE - ERP =&gt; SOUS-SEGMENT'!$EO$8:$EO$154*('ANALYSE - ERP =&gt; SOUS-SEGMENT'!$DE$8:$DE$154&gt;0)),"")</f>
        <v>9</v>
      </c>
      <c r="DC35" s="610" t="s">
        <v>7398</v>
      </c>
      <c r="DD35" s="657"/>
      <c r="DE35" s="288">
        <f t="shared" si="2"/>
        <v>1536</v>
      </c>
      <c r="DF35" s="288">
        <f t="shared" si="3"/>
        <v>4538.24</v>
      </c>
      <c r="DG35" s="288">
        <f t="shared" si="4"/>
        <v>671.68000000000006</v>
      </c>
      <c r="DH35" s="288">
        <f t="shared" si="5"/>
        <v>582.07999999999993</v>
      </c>
      <c r="DI35" s="317" t="s">
        <v>7399</v>
      </c>
      <c r="DJ35" s="288">
        <f t="shared" si="6"/>
        <v>1445.2800000000002</v>
      </c>
      <c r="DK35" s="288">
        <f t="shared" si="7"/>
        <v>4723.68</v>
      </c>
      <c r="DL35" s="288">
        <f t="shared" si="8"/>
        <v>870.12</v>
      </c>
      <c r="DM35" s="288">
        <f t="shared" si="9"/>
        <v>532.92000000000007</v>
      </c>
      <c r="DN35" s="317" t="s">
        <v>7400</v>
      </c>
      <c r="DO35" s="657"/>
      <c r="DP35" s="288">
        <f t="shared" si="10"/>
        <v>2337.9</v>
      </c>
      <c r="DQ35" s="288">
        <f t="shared" si="11"/>
        <v>1718.7</v>
      </c>
      <c r="DR35" s="288">
        <f t="shared" si="12"/>
        <v>221.4</v>
      </c>
      <c r="DS35" s="317" t="s">
        <v>7401</v>
      </c>
      <c r="DT35" s="288">
        <f t="shared" si="13"/>
        <v>2244</v>
      </c>
      <c r="DU35" s="288">
        <f t="shared" si="14"/>
        <v>1948.74</v>
      </c>
      <c r="DV35" s="288">
        <f t="shared" si="15"/>
        <v>325.26000000000005</v>
      </c>
      <c r="DW35" s="317" t="s">
        <v>7402</v>
      </c>
      <c r="DX35" s="657"/>
      <c r="DY35" s="288">
        <f t="shared" si="16"/>
        <v>197.83999999999997</v>
      </c>
      <c r="DZ35" s="288">
        <f t="shared" si="17"/>
        <v>1035.42</v>
      </c>
      <c r="EA35" s="288">
        <f t="shared" si="18"/>
        <v>186.06</v>
      </c>
      <c r="EB35" s="288">
        <f t="shared" si="19"/>
        <v>412.67999999999995</v>
      </c>
      <c r="EC35" s="317" t="s">
        <v>7403</v>
      </c>
      <c r="ED35" s="288">
        <f t="shared" si="20"/>
        <v>167.28</v>
      </c>
      <c r="EE35" s="288">
        <f t="shared" si="21"/>
        <v>1069.6200000000001</v>
      </c>
      <c r="EF35" s="288">
        <f t="shared" si="22"/>
        <v>233.85000000000002</v>
      </c>
      <c r="EG35" s="288">
        <f t="shared" si="23"/>
        <v>422.25</v>
      </c>
      <c r="EH35" s="317" t="s">
        <v>7404</v>
      </c>
      <c r="EI35" s="290"/>
      <c r="EJ35" s="288">
        <f t="shared" si="24"/>
        <v>2513</v>
      </c>
      <c r="EK35" s="291">
        <f t="shared" si="25"/>
        <v>2890</v>
      </c>
      <c r="EL35" s="291">
        <f t="shared" si="26"/>
        <v>637</v>
      </c>
      <c r="EM35" s="317" t="s">
        <v>7405</v>
      </c>
      <c r="EN35" s="288">
        <f t="shared" si="27"/>
        <v>2292.4</v>
      </c>
      <c r="EO35" s="291">
        <f t="shared" si="28"/>
        <v>3179.12</v>
      </c>
      <c r="EP35" s="291">
        <f t="shared" si="29"/>
        <v>772.48</v>
      </c>
      <c r="EQ35" s="318" t="s">
        <v>7406</v>
      </c>
      <c r="ER35" s="657"/>
      <c r="ES35" s="731">
        <f t="shared" si="30"/>
        <v>0.820086257895557</v>
      </c>
      <c r="ET35" s="731">
        <f t="shared" si="31"/>
        <v>0.12779566866603795</v>
      </c>
      <c r="EU35" s="292">
        <f t="shared" si="32"/>
        <v>9580.5757035429287</v>
      </c>
      <c r="EV35" s="292">
        <f t="shared" si="33"/>
        <v>7213.4098635429291</v>
      </c>
      <c r="EW35" s="292">
        <f t="shared" si="34"/>
        <v>2367.1658400000001</v>
      </c>
      <c r="EX35" s="292">
        <f t="shared" si="35"/>
        <v>3500.3661695426263</v>
      </c>
      <c r="EY35" s="292">
        <f>SUMPRODUCT(('ANALYSE - ERP =&gt; SOUS-SEGMENT'!$C$8:$C$154=$C35)*'ANALYSE - ERP =&gt; SOUS-SEGMENT'!$Q$8:$Q$154*'ANALYSE - ERP =&gt; SOUS-SEGMENT'!$FB$8:$FB$154)</f>
        <v>2652.3183295426261</v>
      </c>
      <c r="EZ35" s="292">
        <f>SUMPRODUCT(('ANALYSE - ERP =&gt; SOUS-SEGMENT'!$C$8:$C$154=$C35)*'ANALYSE - ERP =&gt; SOUS-SEGMENT'!$Q$8:$Q$154*'ANALYSE - ERP =&gt; SOUS-SEGMENT'!$FC$8:$FC$154)</f>
        <v>848.04783999999995</v>
      </c>
      <c r="FA35" s="292">
        <f t="shared" si="36"/>
        <v>2171.5995508636361</v>
      </c>
      <c r="FB35" s="292">
        <f>SUMPRODUCT(('ANALYSE - ERP =&gt; SOUS-SEGMENT'!$C$8:$C$154=$C35)*'ANALYSE - ERP =&gt; SOUS-SEGMENT'!$Q$8:$Q$154*'ANALYSE - ERP =&gt; SOUS-SEGMENT'!$FE$8:$FE$154)</f>
        <v>1567.3717108636363</v>
      </c>
      <c r="FC35" s="292">
        <f>SUMPRODUCT(('ANALYSE - ERP =&gt; SOUS-SEGMENT'!$C$8:$C$154=$C35)*'ANALYSE - ERP =&gt; SOUS-SEGMENT'!$Q$8:$Q$154*'ANALYSE - ERP =&gt; SOUS-SEGMENT'!$FF$8:$FF$154)</f>
        <v>604.22784000000001</v>
      </c>
      <c r="FD35" s="292">
        <f t="shared" si="37"/>
        <v>909.05640947000006</v>
      </c>
      <c r="FE35" s="292">
        <f>SUMPRODUCT(('ANALYSE - ERP =&gt; SOUS-SEGMENT'!$C$8:$C$154=$C35)*'ANALYSE - ERP =&gt; SOUS-SEGMENT'!$Q$8:$Q$154*'ANALYSE - ERP =&gt; SOUS-SEGMENT'!$FH$8:$FH$154)</f>
        <v>697.04444947000013</v>
      </c>
      <c r="FF35" s="292">
        <f>SUMPRODUCT(('ANALYSE - ERP =&gt; SOUS-SEGMENT'!$C$8:$C$154=$C35)*'ANALYSE - ERP =&gt; SOUS-SEGMENT'!$Q$8:$Q$154*'ANALYSE - ERP =&gt; SOUS-SEGMENT'!$FI$8:$FI$154)</f>
        <v>212.01195999999999</v>
      </c>
      <c r="FG35" s="292">
        <f t="shared" si="38"/>
        <v>2999.5535736666666</v>
      </c>
      <c r="FH35" s="292">
        <f>SUMPRODUCT(('ANALYSE - ERP =&gt; SOUS-SEGMENT'!$C$8:$C$154=$C35)*'ANALYSE - ERP =&gt; SOUS-SEGMENT'!$Q$8:$Q$154*'ANALYSE - ERP =&gt; SOUS-SEGMENT'!$FK$8:$FK$154)</f>
        <v>2296.6753736666665</v>
      </c>
      <c r="FI35" s="292">
        <f>SUMPRODUCT(('ANALYSE - ERP =&gt; SOUS-SEGMENT'!$C$8:$C$154=$C35)*'ANALYSE - ERP =&gt; SOUS-SEGMENT'!$Q$8:$Q$154*'ANALYSE - ERP =&gt; SOUS-SEGMENT'!$FL$8:$FL$154)</f>
        <v>702.87819999999999</v>
      </c>
      <c r="FJ35" s="657"/>
      <c r="FK35" s="319" t="s">
        <v>2649</v>
      </c>
      <c r="FL35" s="731">
        <f>IFERROR(SUMPRODUCT(('ANALYSE - ERP =&gt; SOUS-SEGMENT'!$C$8:$C$154=$C35)*'ANALYSE - ERP =&gt; SOUS-SEGMENT'!$Q$8:$Q$154*'ANALYSE - ERP =&gt; SOUS-SEGMENT'!$AF$8:$AF$154*'ANALYSE - ERP =&gt; SOUS-SEGMENT'!$FO$8:$FO$154)/SUMPRODUCT(('ANALYSE - ERP =&gt; SOUS-SEGMENT'!$C$8:$C$154=$C35)*'ANALYSE - ERP =&gt; SOUS-SEGMENT'!$Q$8:$Q$154*'ANALYSE - ERP =&gt; SOUS-SEGMENT'!$AF$8:$AF$154),"")</f>
        <v>8.0838165548098431E-2</v>
      </c>
      <c r="FM35" s="732">
        <f>IFERROR(SUMPRODUCT(('ANALYSE - ERP =&gt; SOUS-SEGMENT'!$C$8:$C$154=$C35)*'ANALYSE - ERP =&gt; SOUS-SEGMENT'!$Q$8:$Q$154*'ANALYSE - ERP =&gt; SOUS-SEGMENT'!$AF$8:$AF$154*'ANALYSE - ERP =&gt; SOUS-SEGMENT'!$FP$8:$FP$154)/SUMPRODUCT(('ANALYSE - ERP =&gt; SOUS-SEGMENT'!$C$8:$C$154=$C35)*'ANALYSE - ERP =&gt; SOUS-SEGMENT'!$Q$8:$Q$154*'ANALYSE - ERP =&gt; SOUS-SEGMENT'!$AF$8:$AF$154),"")</f>
        <v>0.85586143176733787</v>
      </c>
      <c r="FN35" s="320" t="s">
        <v>6780</v>
      </c>
      <c r="FO35" s="657"/>
      <c r="FP35" s="887">
        <f>IFERROR(SUMPRODUCT(('ANALYSE - ERP =&gt; SOUS-SEGMENT'!$C$8:$C$154=$C35)*'ANALYSE - ERP =&gt; SOUS-SEGMENT'!$Q$8:$Q$154*'ANALYSE - ERP =&gt; SOUS-SEGMENT'!$EX$8:$EX$154*'ANALYSE - ERP =&gt; SOUS-SEGMENT'!$FS$8:$FS$154)/SUMPRODUCT(('ANALYSE - ERP =&gt; SOUS-SEGMENT'!$C$8:$C$154=$C35)*'ANALYSE - ERP =&gt; SOUS-SEGMENT'!$Q$8:$Q$154*'ANALYSE - ERP =&gt; SOUS-SEGMENT'!$EX$8:$EX$154),"")</f>
        <v>3.29075887516011</v>
      </c>
      <c r="FQ35" s="295">
        <f>RANK($FP35,$FP$8:$FP$143,0)+COUNTIF($FP$8:$FP35,$FP35)-1</f>
        <v>20</v>
      </c>
      <c r="FR35" s="887">
        <f>IFERROR(SUMPRODUCT(('ANALYSE - ERP =&gt; SOUS-SEGMENT'!$C$8:$C$154=$C35)*'ANALYSE - ERP =&gt; SOUS-SEGMENT'!$Q$8:$Q$154*'ANALYSE - ERP =&gt; SOUS-SEGMENT'!$EY$8:$EY$154*'ANALYSE - ERP =&gt; SOUS-SEGMENT'!$FU$8:$FU$154)/SUMPRODUCT(('ANALYSE - ERP =&gt; SOUS-SEGMENT'!$C$8:$C$154=$C35)*'ANALYSE - ERP =&gt; SOUS-SEGMENT'!$Q$8:$Q$154*'ANALYSE - ERP =&gt; SOUS-SEGMENT'!$EY$8:$EY$154),"")</f>
        <v>4.1223404887824238</v>
      </c>
      <c r="FS35" s="295">
        <f>RANK($FR35,$FR$8:$FR$143,0)+COUNTIF($FR$8:$FR35,$FR35)-1</f>
        <v>17</v>
      </c>
      <c r="FT35" s="887">
        <f>IFERROR(SUMPRODUCT(('ANALYSE - ERP =&gt; SOUS-SEGMENT'!$C$8:$C$154=$C35)*'ANALYSE - ERP =&gt; SOUS-SEGMENT'!$Q$8:$Q$154*'ANALYSE - ERP =&gt; SOUS-SEGMENT'!$EZ$8:$EZ$154*'ANALYSE - ERP =&gt; SOUS-SEGMENT'!$FW$8:$FW$154)/SUMPRODUCT(('ANALYSE - ERP =&gt; SOUS-SEGMENT'!$C$8:$C$154=$C35)*'ANALYSE - ERP =&gt; SOUS-SEGMENT'!$Q$8:$Q$154*'ANALYSE - ERP =&gt; SOUS-SEGMENT'!$EZ$8:$EZ$154),"")</f>
        <v>2.3374797608603544</v>
      </c>
      <c r="FU35" s="295">
        <f>RANK($FT35,$FT$8:$FT$143,0)+COUNTIF($FT$8:$FT35,$FT35)-1</f>
        <v>15</v>
      </c>
      <c r="FV35" s="657"/>
      <c r="FW35" s="321" t="s">
        <v>7407</v>
      </c>
      <c r="FX35" s="321" t="s">
        <v>7408</v>
      </c>
      <c r="FY35" s="321" t="s">
        <v>7409</v>
      </c>
      <c r="FZ35" s="321" t="s">
        <v>7410</v>
      </c>
      <c r="GA35" s="321" t="s">
        <v>7411</v>
      </c>
      <c r="GB35" s="321" t="s">
        <v>7412</v>
      </c>
      <c r="GC35" s="321" t="s">
        <v>6759</v>
      </c>
      <c r="GD35" s="657"/>
      <c r="GE35" s="292">
        <f>SUMPRODUCT(('ANALYSE - ERP =&gt; SOUS-SEGMENT'!$C$8:$C$154=$C35)*'ANALYSE - ERP =&gt; SOUS-SEGMENT'!$Q$8:$Q$154*'ANALYSE - ERP =&gt; SOUS-SEGMENT'!$GH$8:$GH$154)</f>
        <v>736.00850101818185</v>
      </c>
      <c r="GF35" s="292">
        <f>SUMPRODUCT(('ANALYSE - ERP =&gt; SOUS-SEGMENT'!$C$8:$C$154=$C35)*'ANALYSE - ERP =&gt; SOUS-SEGMENT'!$Q$8:$Q$154*'ANALYSE - ERP =&gt; SOUS-SEGMENT'!$GI$8:$GI$154)</f>
        <v>564.18545781818182</v>
      </c>
      <c r="GG35" s="292">
        <f>SUMPRODUCT(('ANALYSE - ERP =&gt; SOUS-SEGMENT'!$C$8:$C$154=$C35)*'ANALYSE - ERP =&gt; SOUS-SEGMENT'!$Q$8:$Q$154*'ANALYSE - ERP =&gt; SOUS-SEGMENT'!$GJ$8:$GJ$154)</f>
        <v>171.8230432</v>
      </c>
      <c r="GH35" s="292">
        <f>SUMPRODUCT(('ANALYSE - ERP =&gt; SOUS-SEGMENT'!$C$8:$C$154=$C35)*'ANALYSE - ERP =&gt; SOUS-SEGMENT'!$Q$8:$Q$154*'ANALYSE - ERP =&gt; SOUS-SEGMENT'!$GK$8:$GK$154)</f>
        <v>2062.5268818666664</v>
      </c>
      <c r="GI35" s="292">
        <f>SUMPRODUCT(('ANALYSE - ERP =&gt; SOUS-SEGMENT'!$C$8:$C$154=$C35)*'ANALYSE - ERP =&gt; SOUS-SEGMENT'!$Q$8:$Q$154*'ANALYSE - ERP =&gt; SOUS-SEGMENT'!$GL$8:$GL$154)</f>
        <v>1542.3018962666663</v>
      </c>
      <c r="GJ35" s="292">
        <f>SUMPRODUCT(('ANALYSE - ERP =&gt; SOUS-SEGMENT'!$C$8:$C$154=$C35)*'ANALYSE - ERP =&gt; SOUS-SEGMENT'!$Q$8:$Q$154*'ANALYSE - ERP =&gt; SOUS-SEGMENT'!$GM$8:$GM$154)</f>
        <v>520.22498559999997</v>
      </c>
      <c r="GK35" s="292">
        <f>SUMPRODUCT(('ANALYSE - ERP =&gt; SOUS-SEGMENT'!$C$8:$C$154=$C35)*'ANALYSE - ERP =&gt; SOUS-SEGMENT'!$Q$8:$Q$154*'ANALYSE - ERP =&gt; SOUS-SEGMENT'!$GN$8:$GN$154)</f>
        <v>400.21592337777781</v>
      </c>
      <c r="GL35" s="292">
        <f>SUMPRODUCT(('ANALYSE - ERP =&gt; SOUS-SEGMENT'!$C$8:$C$154=$C35)*'ANALYSE - ERP =&gt; SOUS-SEGMENT'!$Q$8:$Q$154*'ANALYSE - ERP =&gt; SOUS-SEGMENT'!$GO$8:$GO$154)</f>
        <v>311.10005617777779</v>
      </c>
      <c r="GM35" s="292">
        <f>SUMPRODUCT(('ANALYSE - ERP =&gt; SOUS-SEGMENT'!$C$8:$C$154=$C35)*'ANALYSE - ERP =&gt; SOUS-SEGMENT'!$Q$8:$Q$154*'ANALYSE - ERP =&gt; SOUS-SEGMENT'!$GP$8:$GP$154)</f>
        <v>89.115867199999997</v>
      </c>
      <c r="GN35" s="292">
        <f>SUMPRODUCT(('ANALYSE - ERP =&gt; SOUS-SEGMENT'!$C$8:$C$154=$C35)*'ANALYSE - ERP =&gt; SOUS-SEGMENT'!$Q$8:$Q$154*'ANALYSE - ERP =&gt; SOUS-SEGMENT'!$GQ$8:$GQ$154)</f>
        <v>301.61486328000001</v>
      </c>
      <c r="GO35" s="292">
        <f>SUMPRODUCT(('ANALYSE - ERP =&gt; SOUS-SEGMENT'!$C$8:$C$154=$C35)*'ANALYSE - ERP =&gt; SOUS-SEGMENT'!$Q$8:$Q$154*'ANALYSE - ERP =&gt; SOUS-SEGMENT'!$GR$8:$GR$154)</f>
        <v>234.73091927999999</v>
      </c>
      <c r="GP35" s="292">
        <f>SUMPRODUCT(('ANALYSE - ERP =&gt; SOUS-SEGMENT'!$C$8:$C$154=$C35)*'ANALYSE - ERP =&gt; SOUS-SEGMENT'!$Q$8:$Q$154*'ANALYSE - ERP =&gt; SOUS-SEGMENT'!$GS$8:$GS$154)</f>
        <v>66.883944000000014</v>
      </c>
      <c r="GQ35" s="292">
        <f>SUMPRODUCT(('ANALYSE - ERP =&gt; SOUS-SEGMENT'!$C$8:$C$154=$C35)*'ANALYSE - ERP =&gt; SOUS-SEGMENT'!$Q$8:$Q$154*'ANALYSE - ERP =&gt; SOUS-SEGMENT'!$GT$8:$GT$154)</f>
        <v>1139.3498416363636</v>
      </c>
      <c r="GR35" s="292">
        <f>SUMPRODUCT(('ANALYSE - ERP =&gt; SOUS-SEGMENT'!$C$8:$C$154=$C35)*'ANALYSE - ERP =&gt; SOUS-SEGMENT'!$Q$8:$Q$154*'ANALYSE - ERP =&gt; SOUS-SEGMENT'!$GU$8:$GU$154)</f>
        <v>838.45512163636363</v>
      </c>
      <c r="GS35" s="292">
        <f>SUMPRODUCT(('ANALYSE - ERP =&gt; SOUS-SEGMENT'!$C$8:$C$154=$C35)*'ANALYSE - ERP =&gt; SOUS-SEGMENT'!$Q$8:$Q$154*'ANALYSE - ERP =&gt; SOUS-SEGMENT'!$GV$8:$GV$154)</f>
        <v>300.89472000000001</v>
      </c>
      <c r="GT35" s="292">
        <f>SUMPRODUCT(('ANALYSE - ERP =&gt; SOUS-SEGMENT'!$C$8:$C$154=$C35)*'ANALYSE - ERP =&gt; SOUS-SEGMENT'!$Q$8:$Q$154*'ANALYSE - ERP =&gt; SOUS-SEGMENT'!$GW$8:$GW$154)</f>
        <v>877.21199792727271</v>
      </c>
      <c r="GU35" s="292">
        <f>SUMPRODUCT(('ANALYSE - ERP =&gt; SOUS-SEGMENT'!$C$8:$C$154=$C35)*'ANALYSE - ERP =&gt; SOUS-SEGMENT'!$Q$8:$Q$154*'ANALYSE - ERP =&gt; SOUS-SEGMENT'!$GX$8:$GX$154)</f>
        <v>616.90634672727276</v>
      </c>
      <c r="GV35" s="292">
        <f>SUMPRODUCT(('ANALYSE - ERP =&gt; SOUS-SEGMENT'!$C$8:$C$154=$C35)*'ANALYSE - ERP =&gt; SOUS-SEGMENT'!$Q$8:$Q$154*'ANALYSE - ERP =&gt; SOUS-SEGMENT'!$GY$8:$GY$154)</f>
        <v>260.3056512</v>
      </c>
      <c r="GW35" s="292">
        <f>SUMPRODUCT(('ANALYSE - ERP =&gt; SOUS-SEGMENT'!$C$8:$C$154=$C35)*'ANALYSE - ERP =&gt; SOUS-SEGMENT'!$Q$8:$Q$154*'ANALYSE - ERP =&gt; SOUS-SEGMENT'!$GZ$8:$GZ$154)</f>
        <v>155.03771129999998</v>
      </c>
      <c r="GX35" s="292">
        <f>SUMPRODUCT(('ANALYSE - ERP =&gt; SOUS-SEGMENT'!$C$8:$C$154=$C35)*'ANALYSE - ERP =&gt; SOUS-SEGMENT'!$Q$8:$Q$154*'ANALYSE - ERP =&gt; SOUS-SEGMENT'!$HA$8:$HA$154)</f>
        <v>112.01024249999999</v>
      </c>
      <c r="GY35" s="292">
        <f>SUMPRODUCT(('ANALYSE - ERP =&gt; SOUS-SEGMENT'!$C$8:$C$154=$C35)*'ANALYSE - ERP =&gt; SOUS-SEGMENT'!$Q$8:$Q$154*'ANALYSE - ERP =&gt; SOUS-SEGMENT'!$HB$8:$HB$154)</f>
        <v>43.027468800000008</v>
      </c>
      <c r="GZ35" s="292">
        <f>SUMPRODUCT(('ANALYSE - ERP =&gt; SOUS-SEGMENT'!$C$8:$C$154=$C35)*'ANALYSE - ERP =&gt; SOUS-SEGMENT'!$Q$8:$Q$154*'ANALYSE - ERP =&gt; SOUS-SEGMENT'!$HC$8:$HC$154)</f>
        <v>100.13567684</v>
      </c>
      <c r="HA35" s="292">
        <f>SUMPRODUCT(('ANALYSE - ERP =&gt; SOUS-SEGMENT'!$C$8:$C$154=$C35)*'ANALYSE - ERP =&gt; SOUS-SEGMENT'!$Q$8:$Q$154*'ANALYSE - ERP =&gt; SOUS-SEGMENT'!$HD$8:$HD$154)</f>
        <v>80.656800840000002</v>
      </c>
      <c r="HB35" s="292">
        <f>SUMPRODUCT(('ANALYSE - ERP =&gt; SOUS-SEGMENT'!$C$8:$C$154=$C35)*'ANALYSE - ERP =&gt; SOUS-SEGMENT'!$Q$8:$Q$154*'ANALYSE - ERP =&gt; SOUS-SEGMENT'!$HE$8:$HE$154)</f>
        <v>19.478876</v>
      </c>
      <c r="HC35" s="292">
        <f>SUMPRODUCT(('ANALYSE - ERP =&gt; SOUS-SEGMENT'!$C$8:$C$154=$C35)*'ANALYSE - ERP =&gt; SOUS-SEGMENT'!$Q$8:$Q$154*'ANALYSE - ERP =&gt; SOUS-SEGMENT'!$HF$8:$HF$154)</f>
        <v>470.22990070000003</v>
      </c>
      <c r="HD35" s="292">
        <f>SUMPRODUCT(('ANALYSE - ERP =&gt; SOUS-SEGMENT'!$C$8:$C$154=$C35)*'ANALYSE - ERP =&gt; SOUS-SEGMENT'!$Q$8:$Q$154*'ANALYSE - ERP =&gt; SOUS-SEGMENT'!$HG$8:$HG$154)</f>
        <v>350.77188310000003</v>
      </c>
      <c r="HE35" s="292">
        <f>SUMPRODUCT(('ANALYSE - ERP =&gt; SOUS-SEGMENT'!$C$8:$C$154=$C35)*'ANALYSE - ERP =&gt; SOUS-SEGMENT'!$Q$8:$Q$154*'ANALYSE - ERP =&gt; SOUS-SEGMENT'!$HH$8:$HH$154)</f>
        <v>119.45801760000001</v>
      </c>
      <c r="HF35" s="292">
        <f>SUMPRODUCT(('ANALYSE - ERP =&gt; SOUS-SEGMENT'!$C$8:$C$154=$C35)*'ANALYSE - ERP =&gt; SOUS-SEGMENT'!$Q$8:$Q$154*'ANALYSE - ERP =&gt; SOUS-SEGMENT'!$HI$8:$HI$154)</f>
        <v>121.66775925000002</v>
      </c>
      <c r="HG35" s="292">
        <f>SUMPRODUCT(('ANALYSE - ERP =&gt; SOUS-SEGMENT'!$C$8:$C$154=$C35)*'ANALYSE - ERP =&gt; SOUS-SEGMENT'!$Q$8:$Q$154*'ANALYSE - ERP =&gt; SOUS-SEGMENT'!$HJ$8:$HJ$154)</f>
        <v>96.832523250000008</v>
      </c>
      <c r="HH35" s="292">
        <f>SUMPRODUCT(('ANALYSE - ERP =&gt; SOUS-SEGMENT'!$C$8:$C$154=$C35)*'ANALYSE - ERP =&gt; SOUS-SEGMENT'!$Q$8:$Q$154*'ANALYSE - ERP =&gt; SOUS-SEGMENT'!$HK$8:$HK$154)</f>
        <v>24.835236000000002</v>
      </c>
      <c r="HI35" s="292">
        <f>SUMPRODUCT(('ANALYSE - ERP =&gt; SOUS-SEGMENT'!$C$8:$C$154=$C35)*'ANALYSE - ERP =&gt; SOUS-SEGMENT'!$Q$8:$Q$154*'ANALYSE - ERP =&gt; SOUS-SEGMENT'!$HL$8:$HL$154)</f>
        <v>217.02307267999998</v>
      </c>
      <c r="HJ35" s="292">
        <f>SUMPRODUCT(('ANALYSE - ERP =&gt; SOUS-SEGMENT'!$C$8:$C$154=$C35)*'ANALYSE - ERP =&gt; SOUS-SEGMENT'!$Q$8:$Q$154*'ANALYSE - ERP =&gt; SOUS-SEGMENT'!$HM$8:$HM$154)</f>
        <v>168.78324228</v>
      </c>
      <c r="HK35" s="292">
        <f>SUMPRODUCT(('ANALYSE - ERP =&gt; SOUS-SEGMENT'!$C$8:$C$154=$C35)*'ANALYSE - ERP =&gt; SOUS-SEGMENT'!$Q$8:$Q$154*'ANALYSE - ERP =&gt; SOUS-SEGMENT'!$HN$8:$HN$154)</f>
        <v>48.239830400000002</v>
      </c>
      <c r="HL35" s="292">
        <f>SUMPRODUCT(('ANALYSE - ERP =&gt; SOUS-SEGMENT'!$C$8:$C$154=$C35)*'ANALYSE - ERP =&gt; SOUS-SEGMENT'!$Q$8:$Q$154*'ANALYSE - ERP =&gt; SOUS-SEGMENT'!$HO$8:$HO$154)</f>
        <v>1289.7649550000001</v>
      </c>
      <c r="HM35" s="292">
        <f>SUMPRODUCT(('ANALYSE - ERP =&gt; SOUS-SEGMENT'!$C$8:$C$154=$C35)*'ANALYSE - ERP =&gt; SOUS-SEGMENT'!$Q$8:$Q$154*'ANALYSE - ERP =&gt; SOUS-SEGMENT'!$HP$8:$HP$154)</f>
        <v>1025.1854249999999</v>
      </c>
      <c r="HN35" s="292">
        <f>SUMPRODUCT(('ANALYSE - ERP =&gt; SOUS-SEGMENT'!$C$8:$C$154=$C35)*'ANALYSE - ERP =&gt; SOUS-SEGMENT'!$Q$8:$Q$154*'ANALYSE - ERP =&gt; SOUS-SEGMENT'!$HQ$8:$HQ$154)</f>
        <v>264.57953000000003</v>
      </c>
      <c r="HO35" s="292">
        <f>SUMPRODUCT(('ANALYSE - ERP =&gt; SOUS-SEGMENT'!$C$8:$C$154=$C35)*'ANALYSE - ERP =&gt; SOUS-SEGMENT'!$Q$8:$Q$154*'ANALYSE - ERP =&gt; SOUS-SEGMENT'!$HR$8:$HR$154)</f>
        <v>1336.8603780000001</v>
      </c>
      <c r="HP35" s="292">
        <f>SUMPRODUCT(('ANALYSE - ERP =&gt; SOUS-SEGMENT'!$C$8:$C$154=$C35)*'ANALYSE - ERP =&gt; SOUS-SEGMENT'!$Q$8:$Q$154*'ANALYSE - ERP =&gt; SOUS-SEGMENT'!$HS$8:$HS$154)</f>
        <v>974.81068200000004</v>
      </c>
      <c r="HQ35" s="292">
        <f>SUMPRODUCT(('ANALYSE - ERP =&gt; SOUS-SEGMENT'!$C$8:$C$154=$C35)*'ANALYSE - ERP =&gt; SOUS-SEGMENT'!$Q$8:$Q$154*'ANALYSE - ERP =&gt; SOUS-SEGMENT'!$HT$8:$HT$154)</f>
        <v>362.04969599999998</v>
      </c>
      <c r="HR35" s="292">
        <f>SUMPRODUCT(('ANALYSE - ERP =&gt; SOUS-SEGMENT'!$C$8:$C$154=$C35)*'ANALYSE - ERP =&gt; SOUS-SEGMENT'!$Q$8:$Q$154*'ANALYSE - ERP =&gt; SOUS-SEGMENT'!$HU$8:$HU$154)</f>
        <v>372.92824066666668</v>
      </c>
      <c r="HS35" s="292">
        <f>SUMPRODUCT(('ANALYSE - ERP =&gt; SOUS-SEGMENT'!$C$8:$C$154=$C35)*'ANALYSE - ERP =&gt; SOUS-SEGMENT'!$Q$8:$Q$154*'ANALYSE - ERP =&gt; SOUS-SEGMENT'!$HV$8:$HV$154)</f>
        <v>296.67926666666665</v>
      </c>
      <c r="HT35" s="292">
        <f>SUMPRODUCT(('ANALYSE - ERP =&gt; SOUS-SEGMENT'!$C$8:$C$154=$C35)*'ANALYSE - ERP =&gt; SOUS-SEGMENT'!$Q$8:$Q$154*'ANALYSE - ERP =&gt; SOUS-SEGMENT'!$HW$8:$HW$154)</f>
        <v>76.248974000000004</v>
      </c>
      <c r="HV35" s="297">
        <f t="shared" si="40"/>
        <v>82298.000000000015</v>
      </c>
      <c r="HW35" s="297">
        <f>SUMPRODUCT(('ANALYSE - ERP =&gt; SOUS-SEGMENT'!$C$8:$C$154=$C35)*'ANALYSE - ERP =&gt; SOUS-SEGMENT'!$Q$8:$Q$154*'ANALYSE - ERP =&gt; SOUS-SEGMENT'!$HZ$8:$HZ$154)</f>
        <v>1058.5455999999999</v>
      </c>
      <c r="HX35" s="297">
        <f>SUMPRODUCT(('ANALYSE - ERP =&gt; SOUS-SEGMENT'!$C$8:$C$154=$C35)*'ANALYSE - ERP =&gt; SOUS-SEGMENT'!$Q$8:$Q$154*'ANALYSE - ERP =&gt; SOUS-SEGMENT'!$IA$8:$IA$154)</f>
        <v>9691.3201999999983</v>
      </c>
      <c r="HY35" s="297">
        <f>SUMPRODUCT(('ANALYSE - ERP =&gt; SOUS-SEGMENT'!$C$8:$C$154=$C35)*'ANALYSE - ERP =&gt; SOUS-SEGMENT'!$Q$8:$Q$154*'ANALYSE - ERP =&gt; SOUS-SEGMENT'!$IB$8:$IB$154)</f>
        <v>7753.1606000000011</v>
      </c>
      <c r="HZ35" s="297">
        <f>SUMPRODUCT(('ANALYSE - ERP =&gt; SOUS-SEGMENT'!$C$8:$C$154=$C35)*'ANALYSE - ERP =&gt; SOUS-SEGMENT'!$Q$8:$Q$154*'ANALYSE - ERP =&gt; SOUS-SEGMENT'!$IC$8:$IC$154)</f>
        <v>962.70859999999993</v>
      </c>
      <c r="IA35" s="297">
        <f>SUMPRODUCT(('ANALYSE - ERP =&gt; SOUS-SEGMENT'!$C$8:$C$154=$C35)*'ANALYSE - ERP =&gt; SOUS-SEGMENT'!$Q$8:$Q$154*'ANALYSE - ERP =&gt; SOUS-SEGMENT'!$ID$8:$ID$154)</f>
        <v>12.264999999999999</v>
      </c>
      <c r="IB35" s="297">
        <f>SUMPRODUCT(('ANALYSE - ERP =&gt; SOUS-SEGMENT'!$C$8:$C$154=$C35)*'ANALYSE - ERP =&gt; SOUS-SEGMENT'!$Q$8:$Q$154*'ANALYSE - ERP =&gt; SOUS-SEGMENT'!$IE$8:$IE$154)</f>
        <v>7213.4098635429291</v>
      </c>
      <c r="IC35" s="297">
        <f>SUMPRODUCT(('ANALYSE - ERP =&gt; SOUS-SEGMENT'!$C$8:$C$154=$C35)*'ANALYSE - ERP =&gt; SOUS-SEGMENT'!$Q$8:$Q$154*'ANALYSE - ERP =&gt; SOUS-SEGMENT'!$IF$8:$IF$154)</f>
        <v>154.88408849769866</v>
      </c>
      <c r="ID35" s="297">
        <f>SUMPRODUCT(('ANALYSE - ERP =&gt; SOUS-SEGMENT'!$C$8:$C$154=$C35)*'ANALYSE - ERP =&gt; SOUS-SEGMENT'!$Q$8:$Q$154*'ANALYSE - ERP =&gt; SOUS-SEGMENT'!$IG$8:$IG$154)</f>
        <v>2648.6056662359188</v>
      </c>
      <c r="IE35" s="297">
        <f>SUMPRODUCT(('ANALYSE - ERP =&gt; SOUS-SEGMENT'!$C$8:$C$154=$C35)*'ANALYSE - ERP =&gt; SOUS-SEGMENT'!$Q$8:$Q$154*'ANALYSE - ERP =&gt; SOUS-SEGMENT'!$IH$8:$IH$154)</f>
        <v>3696.4924314930895</v>
      </c>
      <c r="IF35" s="297">
        <f>SUMPRODUCT(('ANALYSE - ERP =&gt; SOUS-SEGMENT'!$C$8:$C$154=$C35)*'ANALYSE - ERP =&gt; SOUS-SEGMENT'!$Q$8:$Q$154*'ANALYSE - ERP =&gt; SOUS-SEGMENT'!$II$8:$II$154)</f>
        <v>695.82456067683984</v>
      </c>
      <c r="IG35" s="297">
        <f>SUMPRODUCT(('ANALYSE - ERP =&gt; SOUS-SEGMENT'!$C$8:$C$154=$C35)*'ANALYSE - ERP =&gt; SOUS-SEGMENT'!$Q$8:$Q$154*'ANALYSE - ERP =&gt; SOUS-SEGMENT'!$IJ$8:$IJ$154)</f>
        <v>17.603116639381586</v>
      </c>
      <c r="IH35" s="888"/>
      <c r="II35" s="298" t="s">
        <v>2589</v>
      </c>
      <c r="IJ35" s="322" t="s">
        <v>6760</v>
      </c>
      <c r="IK35" s="657"/>
      <c r="IL35" s="747">
        <f>IFERROR(SUMPRODUCT(('ANALYSE - ERP =&gt; SOUS-SEGMENT'!$C$8:$C$154=$C35)*'ANALYSE - ERP =&gt; SOUS-SEGMENT'!$Q$8:$Q$154*'ANALYSE - ERP =&gt; SOUS-SEGMENT'!$BE$8:$BE$154*'ANALYSE - ERP =&gt; SOUS-SEGMENT'!$IO$8:$IO$154)/SUMPRODUCT(('ANALYSE - ERP =&gt; SOUS-SEGMENT'!$C$8:$C$154=$C35)*'ANALYSE - ERP =&gt; SOUS-SEGMENT'!$Q$8:$Q$154*'ANALYSE - ERP =&gt; SOUS-SEGMENT'!$BE$8:$BE$154),0)</f>
        <v>4.027729257641921E-2</v>
      </c>
      <c r="IM35" s="748">
        <f>IFERROR(SUMPRODUCT(('ANALYSE - ERP =&gt; SOUS-SEGMENT'!$C$8:$C$154=$C35)*'ANALYSE - ERP =&gt; SOUS-SEGMENT'!$Q$8:$Q$154*'ANALYSE - ERP =&gt; SOUS-SEGMENT'!$BE$8:$BE$154*'ANALYSE - ERP =&gt; SOUS-SEGMENT'!$IP$8:$IP$154)/SUMPRODUCT(('ANALYSE - ERP =&gt; SOUS-SEGMENT'!$C$8:$C$154=$C35)*'ANALYSE - ERP =&gt; SOUS-SEGMENT'!$Q$8:$Q$154*'ANALYSE - ERP =&gt; SOUS-SEGMENT'!$BE$8:$BE$154),0)</f>
        <v>0.44613864628820948</v>
      </c>
      <c r="IN35" s="748">
        <f>IFERROR(SUMPRODUCT(('ANALYSE - ERP =&gt; SOUS-SEGMENT'!$C$8:$C$154=$C35)*'ANALYSE - ERP =&gt; SOUS-SEGMENT'!$Q$8:$Q$154*'ANALYSE - ERP =&gt; SOUS-SEGMENT'!$BE$8:$BE$154*'ANALYSE - ERP =&gt; SOUS-SEGMENT'!$IQ$8:$IQ$154)/SUMPRODUCT(('ANALYSE - ERP =&gt; SOUS-SEGMENT'!$C$8:$C$154=$C35)*'ANALYSE - ERP =&gt; SOUS-SEGMENT'!$Q$8:$Q$154*'ANALYSE - ERP =&gt; SOUS-SEGMENT'!$BE$8:$BE$154),0)</f>
        <v>0.44141157205240172</v>
      </c>
      <c r="IO35" s="748">
        <f>IFERROR(SUMPRODUCT(('ANALYSE - ERP =&gt; SOUS-SEGMENT'!$C$8:$C$154=$C35)*'ANALYSE - ERP =&gt; SOUS-SEGMENT'!$Q$8:$Q$154*'ANALYSE - ERP =&gt; SOUS-SEGMENT'!$BE$8:$BE$154*'ANALYSE - ERP =&gt; SOUS-SEGMENT'!$IR$8:$IR$154)/SUMPRODUCT(('ANALYSE - ERP =&gt; SOUS-SEGMENT'!$C$8:$C$154=$C35)*'ANALYSE - ERP =&gt; SOUS-SEGMENT'!$Q$8:$Q$154*'ANALYSE - ERP =&gt; SOUS-SEGMENT'!$BE$8:$BE$154),0)</f>
        <v>7.0987991266375547E-2</v>
      </c>
      <c r="IP35" s="749">
        <f>IFERROR(SUMPRODUCT(('ANALYSE - ERP =&gt; SOUS-SEGMENT'!$C$8:$C$154=$C35)*'ANALYSE - ERP =&gt; SOUS-SEGMENT'!$Q$8:$Q$154*'ANALYSE - ERP =&gt; SOUS-SEGMENT'!$BE$8:$BE$154*'ANALYSE - ERP =&gt; SOUS-SEGMENT'!$IS$8:$IS$154)/SUMPRODUCT(('ANALYSE - ERP =&gt; SOUS-SEGMENT'!$C$8:$C$154=$C35)*'ANALYSE - ERP =&gt; SOUS-SEGMENT'!$Q$8:$Q$154*'ANALYSE - ERP =&gt; SOUS-SEGMENT'!$BE$8:$BE$154),0)</f>
        <v>1.1844978165938863E-3</v>
      </c>
      <c r="IQ35" s="748">
        <f>IFERROR(SUMPRODUCT(('ANALYSE - ERP =&gt; SOUS-SEGMENT'!$C$8:$C$154=$C35)*'ANALYSE - ERP =&gt; SOUS-SEGMENT'!$Q$8:$Q$154*'ANALYSE - ERP =&gt; SOUS-SEGMENT'!$FB$8:$FB$154*'ANALYSE - ERP =&gt; SOUS-SEGMENT'!$IT$8:$IT$154)/SUMPRODUCT(('ANALYSE - ERP =&gt; SOUS-SEGMENT'!$C$8:$C$154=$C35)*'ANALYSE - ERP =&gt; SOUS-SEGMENT'!$Q$8:$Q$154*'ANALYSE - ERP =&gt; SOUS-SEGMENT'!$FB$8:$FB$154),0)</f>
        <v>1.6104353996475872E-2</v>
      </c>
      <c r="IR35" s="748">
        <f>IFERROR(SUMPRODUCT(('ANALYSE - ERP =&gt; SOUS-SEGMENT'!$C$8:$C$154=$C35)*'ANALYSE - ERP =&gt; SOUS-SEGMENT'!$Q$8:$Q$154*'ANALYSE - ERP =&gt; SOUS-SEGMENT'!$FB$8:$FB$154*'ANALYSE - ERP =&gt; SOUS-SEGMENT'!$IU$8:$IU$154)/SUMPRODUCT(('ANALYSE - ERP =&gt; SOUS-SEGMENT'!$C$8:$C$154=$C35)*'ANALYSE - ERP =&gt; SOUS-SEGMENT'!$Q$8:$Q$154*'ANALYSE - ERP =&gt; SOUS-SEGMENT'!$FB$8:$FB$154),0)</f>
        <v>0.31261261731242873</v>
      </c>
      <c r="IS35" s="748">
        <f>IFERROR(SUMPRODUCT(('ANALYSE - ERP =&gt; SOUS-SEGMENT'!$C$8:$C$154=$C35)*'ANALYSE - ERP =&gt; SOUS-SEGMENT'!$Q$8:$Q$154*'ANALYSE - ERP =&gt; SOUS-SEGMENT'!$FB$8:$FB$154*'ANALYSE - ERP =&gt; SOUS-SEGMENT'!$IV$8:$IV$154)/SUMPRODUCT(('ANALYSE - ERP =&gt; SOUS-SEGMENT'!$C$8:$C$154=$C35)*'ANALYSE - ERP =&gt; SOUS-SEGMENT'!$Q$8:$Q$154*'ANALYSE - ERP =&gt; SOUS-SEGMENT'!$FB$8:$FB$154),0)</f>
        <v>0.53446992344869382</v>
      </c>
      <c r="IT35" s="748">
        <f>IFERROR(SUMPRODUCT(('ANALYSE - ERP =&gt; SOUS-SEGMENT'!$C$8:$C$154=$C35)*'ANALYSE - ERP =&gt; SOUS-SEGMENT'!$Q$8:$Q$154*'ANALYSE - ERP =&gt; SOUS-SEGMENT'!$FB$8:$FB$154*'ANALYSE - ERP =&gt; SOUS-SEGMENT'!$IW$8:$IW$154)/SUMPRODUCT(('ANALYSE - ERP =&gt; SOUS-SEGMENT'!$C$8:$C$154=$C35)*'ANALYSE - ERP =&gt; SOUS-SEGMENT'!$Q$8:$Q$154*'ANALYSE - ERP =&gt; SOUS-SEGMENT'!$FB$8:$FB$154),0)</f>
        <v>0.13252343920083956</v>
      </c>
      <c r="IU35" s="748">
        <f>IFERROR(SUMPRODUCT(('ANALYSE - ERP =&gt; SOUS-SEGMENT'!$C$8:$C$154=$C35)*'ANALYSE - ERP =&gt; SOUS-SEGMENT'!$Q$8:$Q$154*'ANALYSE - ERP =&gt; SOUS-SEGMENT'!$FB$8:$FB$154*'ANALYSE - ERP =&gt; SOUS-SEGMENT'!$IX$8:$IX$154)/SUMPRODUCT(('ANALYSE - ERP =&gt; SOUS-SEGMENT'!$C$8:$C$154=$C35)*'ANALYSE - ERP =&gt; SOUS-SEGMENT'!$Q$8:$Q$154*'ANALYSE - ERP =&gt; SOUS-SEGMENT'!$FB$8:$FB$154),0)</f>
        <v>4.2896660415620387E-3</v>
      </c>
      <c r="IV35" s="771">
        <f>IFERROR(SUMPRODUCT(('ANALYSE - ERP =&gt; SOUS-SEGMENT'!$C$8:$C$154=$C35)*'ANALYSE - ERP =&gt; SOUS-SEGMENT'!$Q$8:$Q$154*'ANALYSE - ERP =&gt; SOUS-SEGMENT'!$BF$8:$BF$154*'ANALYSE - ERP =&gt; SOUS-SEGMENT'!$IY$8:$IY$154)/SUMPRODUCT(('ANALYSE - ERP =&gt; SOUS-SEGMENT'!$C$8:$C$154=$C35)*'ANALYSE - ERP =&gt; SOUS-SEGMENT'!$Q$8:$Q$154*'ANALYSE - ERP =&gt; SOUS-SEGMENT'!$BF$8:$BF$154),0)</f>
        <v>6.9105189340813472E-2</v>
      </c>
      <c r="IW35" s="748">
        <f>IFERROR(SUMPRODUCT(('ANALYSE - ERP =&gt; SOUS-SEGMENT'!$C$8:$C$154=$C35)*'ANALYSE - ERP =&gt; SOUS-SEGMENT'!$Q$8:$Q$154*'ANALYSE - ERP =&gt; SOUS-SEGMENT'!$BF$8:$BF$154*'ANALYSE - ERP =&gt; SOUS-SEGMENT'!$IZ$8:$IZ$154)/SUMPRODUCT(('ANALYSE - ERP =&gt; SOUS-SEGMENT'!$C$8:$C$154=$C35)*'ANALYSE - ERP =&gt; SOUS-SEGMENT'!$Q$8:$Q$154*'ANALYSE - ERP =&gt; SOUS-SEGMENT'!$BF$8:$BF$154),0)</f>
        <v>0.56525455820476855</v>
      </c>
      <c r="IX35" s="748">
        <f>IFERROR(SUMPRODUCT(('ANALYSE - ERP =&gt; SOUS-SEGMENT'!$C$8:$C$154=$C35)*'ANALYSE - ERP =&gt; SOUS-SEGMENT'!$Q$8:$Q$154*'ANALYSE - ERP =&gt; SOUS-SEGMENT'!$BF$8:$BF$154*'ANALYSE - ERP =&gt; SOUS-SEGMENT'!$JA$8:$JA$154)/SUMPRODUCT(('ANALYSE - ERP =&gt; SOUS-SEGMENT'!$C$8:$C$154=$C35)*'ANALYSE - ERP =&gt; SOUS-SEGMENT'!$Q$8:$Q$154*'ANALYSE - ERP =&gt; SOUS-SEGMENT'!$BF$8:$BF$154),0)</f>
        <v>0.34736185133239833</v>
      </c>
      <c r="IY35" s="748">
        <f>IFERROR(SUMPRODUCT(('ANALYSE - ERP =&gt; SOUS-SEGMENT'!$C$8:$C$154=$C35)*'ANALYSE - ERP =&gt; SOUS-SEGMENT'!$Q$8:$Q$154*'ANALYSE - ERP =&gt; SOUS-SEGMENT'!$BF$8:$BF$154*'ANALYSE - ERP =&gt; SOUS-SEGMENT'!$JB$8:$JB$154)/SUMPRODUCT(('ANALYSE - ERP =&gt; SOUS-SEGMENT'!$C$8:$C$154=$C35)*'ANALYSE - ERP =&gt; SOUS-SEGMENT'!$Q$8:$Q$154*'ANALYSE - ERP =&gt; SOUS-SEGMENT'!$BF$8:$BF$154),0)</f>
        <v>1.8229312762973352E-2</v>
      </c>
      <c r="IZ35" s="749">
        <f>IFERROR(SUMPRODUCT(('ANALYSE - ERP =&gt; SOUS-SEGMENT'!$C$8:$C$154=$C35)*'ANALYSE - ERP =&gt; SOUS-SEGMENT'!$Q$8:$Q$154*'ANALYSE - ERP =&gt; SOUS-SEGMENT'!$BF$8:$BF$154*'ANALYSE - ERP =&gt; SOUS-SEGMENT'!$JC$8:$JC$154)/SUMPRODUCT(('ANALYSE - ERP =&gt; SOUS-SEGMENT'!$C$8:$C$154=$C35)*'ANALYSE - ERP =&gt; SOUS-SEGMENT'!$Q$8:$Q$154*'ANALYSE - ERP =&gt; SOUS-SEGMENT'!$BF$8:$BF$154),0)</f>
        <v>4.9088359046283307E-5</v>
      </c>
      <c r="JA35" s="748">
        <f>IFERROR(SUMPRODUCT(('ANALYSE - ERP =&gt; SOUS-SEGMENT'!$C$8:$C$154=$C35)*'ANALYSE - ERP =&gt; SOUS-SEGMENT'!$Q$8:$Q$154*'ANALYSE - ERP =&gt; SOUS-SEGMENT'!$FE$8:$FE$154*'ANALYSE - ERP =&gt; SOUS-SEGMENT'!$JD$8:$JD$154)/SUMPRODUCT(('ANALYSE - ERP =&gt; SOUS-SEGMENT'!$C$8:$C$154=$C35)*'ANALYSE - ERP =&gt; SOUS-SEGMENT'!$Q$8:$Q$154*'ANALYSE - ERP =&gt; SOUS-SEGMENT'!$FE$8:$FE$154),0)</f>
        <v>2.8559328785023895E-2</v>
      </c>
      <c r="JB35" s="748">
        <f>IFERROR(SUMPRODUCT(('ANALYSE - ERP =&gt; SOUS-SEGMENT'!$C$8:$C$154=$C35)*'ANALYSE - ERP =&gt; SOUS-SEGMENT'!$Q$8:$Q$154*'ANALYSE - ERP =&gt; SOUS-SEGMENT'!$FE$8:$FE$154*'ANALYSE - ERP =&gt; SOUS-SEGMENT'!$JE$8:$JE$154)/SUMPRODUCT(('ANALYSE - ERP =&gt; SOUS-SEGMENT'!$C$8:$C$154=$C35)*'ANALYSE - ERP =&gt; SOUS-SEGMENT'!$Q$8:$Q$154*'ANALYSE - ERP =&gt; SOUS-SEGMENT'!$FE$8:$FE$154),0)</f>
        <v>0.43388486286587913</v>
      </c>
      <c r="JC35" s="748">
        <f>IFERROR(SUMPRODUCT(('ANALYSE - ERP =&gt; SOUS-SEGMENT'!$C$8:$C$154=$C35)*'ANALYSE - ERP =&gt; SOUS-SEGMENT'!$Q$8:$Q$154*'ANALYSE - ERP =&gt; SOUS-SEGMENT'!$FE$8:$FE$154*'ANALYSE - ERP =&gt; SOUS-SEGMENT'!$JF$8:$JF$154)/SUMPRODUCT(('ANALYSE - ERP =&gt; SOUS-SEGMENT'!$C$8:$C$154=$C35)*'ANALYSE - ERP =&gt; SOUS-SEGMENT'!$Q$8:$Q$154*'ANALYSE - ERP =&gt; SOUS-SEGMENT'!$FE$8:$FE$154),0)</f>
        <v>0.49075758226381422</v>
      </c>
      <c r="JD35" s="748">
        <f>IFERROR(SUMPRODUCT(('ANALYSE - ERP =&gt; SOUS-SEGMENT'!$C$8:$C$154=$C35)*'ANALYSE - ERP =&gt; SOUS-SEGMENT'!$Q$8:$Q$154*'ANALYSE - ERP =&gt; SOUS-SEGMENT'!$FE$8:$FE$154*'ANALYSE - ERP =&gt; SOUS-SEGMENT'!$JG$8:$JG$154)/SUMPRODUCT(('ANALYSE - ERP =&gt; SOUS-SEGMENT'!$C$8:$C$154=$C35)*'ANALYSE - ERP =&gt; SOUS-SEGMENT'!$Q$8:$Q$154*'ANALYSE - ERP =&gt; SOUS-SEGMENT'!$FE$8:$FE$154),0)</f>
        <v>4.627945264810078E-2</v>
      </c>
      <c r="JE35" s="748">
        <f>IFERROR(SUMPRODUCT(('ANALYSE - ERP =&gt; SOUS-SEGMENT'!$C$8:$C$154=$C35)*'ANALYSE - ERP =&gt; SOUS-SEGMENT'!$Q$8:$Q$154*'ANALYSE - ERP =&gt; SOUS-SEGMENT'!$FE$8:$FE$154*'ANALYSE - ERP =&gt; SOUS-SEGMENT'!$JH$8:$JH$154)/SUMPRODUCT(('ANALYSE - ERP =&gt; SOUS-SEGMENT'!$C$8:$C$154=$C35)*'ANALYSE - ERP =&gt; SOUS-SEGMENT'!$Q$8:$Q$154*'ANALYSE - ERP =&gt; SOUS-SEGMENT'!$FE$8:$FE$154),0)</f>
        <v>5.1877343718187451E-4</v>
      </c>
      <c r="JF35" s="771">
        <f>IFERROR(SUMPRODUCT(('ANALYSE - ERP =&gt; SOUS-SEGMENT'!$C$8:$C$154=$C35)*'ANALYSE - ERP =&gt; SOUS-SEGMENT'!$Q$8:$Q$154*'ANALYSE - ERP =&gt; SOUS-SEGMENT'!$BG$8:$BG$154*'ANALYSE - ERP =&gt; SOUS-SEGMENT'!$JI$8:$JI$154)/SUMPRODUCT(('ANALYSE - ERP =&gt; SOUS-SEGMENT'!$C$8:$C$154=$C35)*'ANALYSE - ERP =&gt; SOUS-SEGMENT'!$Q$8:$Q$154*'ANALYSE - ERP =&gt; SOUS-SEGMENT'!$BG$8:$BG$154),0)</f>
        <v>9.6605676855895217E-2</v>
      </c>
      <c r="JG35" s="748">
        <f>IFERROR(SUMPRODUCT(('ANALYSE - ERP =&gt; SOUS-SEGMENT'!$C$8:$C$154=$C35)*'ANALYSE - ERP =&gt; SOUS-SEGMENT'!$Q$8:$Q$154*'ANALYSE - ERP =&gt; SOUS-SEGMENT'!$BG$8:$BG$154*'ANALYSE - ERP =&gt; SOUS-SEGMENT'!$JJ$8:$JJ$154)/SUMPRODUCT(('ANALYSE - ERP =&gt; SOUS-SEGMENT'!$C$8:$C$154=$C35)*'ANALYSE - ERP =&gt; SOUS-SEGMENT'!$Q$8:$Q$154*'ANALYSE - ERP =&gt; SOUS-SEGMENT'!$BG$8:$BG$154),0)</f>
        <v>0.56126703056768568</v>
      </c>
      <c r="JH35" s="748">
        <f>IFERROR(SUMPRODUCT(('ANALYSE - ERP =&gt; SOUS-SEGMENT'!$C$8:$C$154=$C35)*'ANALYSE - ERP =&gt; SOUS-SEGMENT'!$Q$8:$Q$154*'ANALYSE - ERP =&gt; SOUS-SEGMENT'!$BG$8:$BG$154*'ANALYSE - ERP =&gt; SOUS-SEGMENT'!$JK$8:$JK$154)/SUMPRODUCT(('ANALYSE - ERP =&gt; SOUS-SEGMENT'!$C$8:$C$154=$C35)*'ANALYSE - ERP =&gt; SOUS-SEGMENT'!$Q$8:$Q$154*'ANALYSE - ERP =&gt; SOUS-SEGMENT'!$BG$8:$BG$154),0)</f>
        <v>0.30932456331877728</v>
      </c>
      <c r="JI35" s="748">
        <f>IFERROR(SUMPRODUCT(('ANALYSE - ERP =&gt; SOUS-SEGMENT'!$C$8:$C$154=$C35)*'ANALYSE - ERP =&gt; SOUS-SEGMENT'!$Q$8:$Q$154*'ANALYSE - ERP =&gt; SOUS-SEGMENT'!$BG$8:$BG$154*'ANALYSE - ERP =&gt; SOUS-SEGMENT'!$JL$8:$JL$154)/SUMPRODUCT(('ANALYSE - ERP =&gt; SOUS-SEGMENT'!$C$8:$C$154=$C35)*'ANALYSE - ERP =&gt; SOUS-SEGMENT'!$Q$8:$Q$154*'ANALYSE - ERP =&gt; SOUS-SEGMENT'!$BG$8:$BG$154),0)</f>
        <v>3.263078602620087E-2</v>
      </c>
      <c r="JJ35" s="749">
        <f>IFERROR(SUMPRODUCT(('ANALYSE - ERP =&gt; SOUS-SEGMENT'!$C$8:$C$154=$C35)*'ANALYSE - ERP =&gt; SOUS-SEGMENT'!$Q$8:$Q$154*'ANALYSE - ERP =&gt; SOUS-SEGMENT'!$BG$8:$BG$154*'ANALYSE - ERP =&gt; SOUS-SEGMENT'!$JM$8:$JM$154)/SUMPRODUCT(('ANALYSE - ERP =&gt; SOUS-SEGMENT'!$C$8:$C$154=$C35)*'ANALYSE - ERP =&gt; SOUS-SEGMENT'!$Q$8:$Q$154*'ANALYSE - ERP =&gt; SOUS-SEGMENT'!$BG$8:$BG$154),0)</f>
        <v>1.7194323144104808E-4</v>
      </c>
      <c r="JK35" s="748">
        <f>IFERROR(SUMPRODUCT(('ANALYSE - ERP =&gt; SOUS-SEGMENT'!$C$8:$C$154=$C35)*'ANALYSE - ERP =&gt; SOUS-SEGMENT'!$Q$8:$Q$154*'ANALYSE - ERP =&gt; SOUS-SEGMENT'!$FH$8:$FH$154*'ANALYSE - ERP =&gt; SOUS-SEGMENT'!$JN$8:$JN$154)/SUMPRODUCT(('ANALYSE - ERP =&gt; SOUS-SEGMENT'!$C$8:$C$154=$C35)*'ANALYSE - ERP =&gt; SOUS-SEGMENT'!$Q$8:$Q$154*'ANALYSE - ERP =&gt; SOUS-SEGMENT'!$FH$8:$FH$154),0)</f>
        <v>3.6640045244969992E-2</v>
      </c>
      <c r="JL35" s="748">
        <f>IFERROR(SUMPRODUCT(('ANALYSE - ERP =&gt; SOUS-SEGMENT'!$C$8:$C$154=$C35)*'ANALYSE - ERP =&gt; SOUS-SEGMENT'!$Q$8:$Q$154*'ANALYSE - ERP =&gt; SOUS-SEGMENT'!$FH$8:$FH$154*'ANALYSE - ERP =&gt; SOUS-SEGMENT'!$JO$8:$JO$154)/SUMPRODUCT(('ANALYSE - ERP =&gt; SOUS-SEGMENT'!$C$8:$C$154=$C35)*'ANALYSE - ERP =&gt; SOUS-SEGMENT'!$Q$8:$Q$154*'ANALYSE - ERP =&gt; SOUS-SEGMENT'!$FH$8:$FH$154),0)</f>
        <v>0.45735405921517142</v>
      </c>
      <c r="JM35" s="748">
        <f>IFERROR(SUMPRODUCT(('ANALYSE - ERP =&gt; SOUS-SEGMENT'!$C$8:$C$154=$C35)*'ANALYSE - ERP =&gt; SOUS-SEGMENT'!$Q$8:$Q$154*'ANALYSE - ERP =&gt; SOUS-SEGMENT'!$FH$8:$FH$154*'ANALYSE - ERP =&gt; SOUS-SEGMENT'!$JP$8:$JP$154)/SUMPRODUCT(('ANALYSE - ERP =&gt; SOUS-SEGMENT'!$C$8:$C$154=$C35)*'ANALYSE - ERP =&gt; SOUS-SEGMENT'!$Q$8:$Q$154*'ANALYSE - ERP =&gt; SOUS-SEGMENT'!$FH$8:$FH$154),0)</f>
        <v>0.44231257048924882</v>
      </c>
      <c r="JN35" s="748">
        <f>IFERROR(SUMPRODUCT(('ANALYSE - ERP =&gt; SOUS-SEGMENT'!$C$8:$C$154=$C35)*'ANALYSE - ERP =&gt; SOUS-SEGMENT'!$Q$8:$Q$154*'ANALYSE - ERP =&gt; SOUS-SEGMENT'!$FH$8:$FH$154*'ANALYSE - ERP =&gt; SOUS-SEGMENT'!$JQ$8:$JQ$154)/SUMPRODUCT(('ANALYSE - ERP =&gt; SOUS-SEGMENT'!$C$8:$C$154=$C35)*'ANALYSE - ERP =&gt; SOUS-SEGMENT'!$Q$8:$Q$154*'ANALYSE - ERP =&gt; SOUS-SEGMENT'!$FH$8:$FH$154),0)</f>
        <v>6.2832246076903839E-2</v>
      </c>
      <c r="JO35" s="748">
        <f>IFERROR(SUMPRODUCT(('ANALYSE - ERP =&gt; SOUS-SEGMENT'!$C$8:$C$154=$C35)*'ANALYSE - ERP =&gt; SOUS-SEGMENT'!$Q$8:$Q$154*'ANALYSE - ERP =&gt; SOUS-SEGMENT'!$FH$8:$FH$154*'ANALYSE - ERP =&gt; SOUS-SEGMENT'!$JR$8:$JR$154)/SUMPRODUCT(('ANALYSE - ERP =&gt; SOUS-SEGMENT'!$C$8:$C$154=$C35)*'ANALYSE - ERP =&gt; SOUS-SEGMENT'!$Q$8:$Q$154*'ANALYSE - ERP =&gt; SOUS-SEGMENT'!$FH$8:$FH$154),0)</f>
        <v>8.610789737058689E-4</v>
      </c>
      <c r="JP35" s="771">
        <f>IFERROR(SUMPRODUCT(('ANALYSE - ERP =&gt; SOUS-SEGMENT'!$C$8:$C$154=$C35)*'ANALYSE - ERP =&gt; SOUS-SEGMENT'!$Q$8:$Q$154*'ANALYSE - ERP =&gt; SOUS-SEGMENT'!$BH$8:$BH$154*'ANALYSE - ERP =&gt; SOUS-SEGMENT'!$JS$8:$JS$154)/SUMPRODUCT(('ANALYSE - ERP =&gt; SOUS-SEGMENT'!$C$8:$C$154=$C35)*'ANALYSE - ERP =&gt; SOUS-SEGMENT'!$Q$8:$Q$154*'ANALYSE - ERP =&gt; SOUS-SEGMENT'!$BH$8:$BH$154),0)</f>
        <v>4.8142384105960258E-2</v>
      </c>
      <c r="JQ35" s="748">
        <f>IFERROR(SUMPRODUCT(('ANALYSE - ERP =&gt; SOUS-SEGMENT'!$C$8:$C$154=$C35)*'ANALYSE - ERP =&gt; SOUS-SEGMENT'!$Q$8:$Q$154*'ANALYSE - ERP =&gt; SOUS-SEGMENT'!$BH$8:$BH$154*'ANALYSE - ERP =&gt; SOUS-SEGMENT'!$JT$8:$JT$154)/SUMPRODUCT(('ANALYSE - ERP =&gt; SOUS-SEGMENT'!$C$8:$C$154=$C35)*'ANALYSE - ERP =&gt; SOUS-SEGMENT'!$Q$8:$Q$154*'ANALYSE - ERP =&gt; SOUS-SEGMENT'!$BH$8:$BH$154),0)</f>
        <v>0.4926516556291391</v>
      </c>
      <c r="JR35" s="748">
        <f>IFERROR(SUMPRODUCT(('ANALYSE - ERP =&gt; SOUS-SEGMENT'!$C$8:$C$154=$C35)*'ANALYSE - ERP =&gt; SOUS-SEGMENT'!$Q$8:$Q$154*'ANALYSE - ERP =&gt; SOUS-SEGMENT'!$BH$8:$BH$154*'ANALYSE - ERP =&gt; SOUS-SEGMENT'!$JU$8:$JU$154)/SUMPRODUCT(('ANALYSE - ERP =&gt; SOUS-SEGMENT'!$C$8:$C$154=$C35)*'ANALYSE - ERP =&gt; SOUS-SEGMENT'!$Q$8:$Q$154*'ANALYSE - ERP =&gt; SOUS-SEGMENT'!$BH$8:$BH$154),0)</f>
        <v>0.40824503311258281</v>
      </c>
      <c r="JS35" s="748">
        <f>IFERROR(SUMPRODUCT(('ANALYSE - ERP =&gt; SOUS-SEGMENT'!$C$8:$C$154=$C35)*'ANALYSE - ERP =&gt; SOUS-SEGMENT'!$Q$8:$Q$154*'ANALYSE - ERP =&gt; SOUS-SEGMENT'!$BH$8:$BH$154*'ANALYSE - ERP =&gt; SOUS-SEGMENT'!$JV$8:$JV$154)/SUMPRODUCT(('ANALYSE - ERP =&gt; SOUS-SEGMENT'!$C$8:$C$154=$C35)*'ANALYSE - ERP =&gt; SOUS-SEGMENT'!$Q$8:$Q$154*'ANALYSE - ERP =&gt; SOUS-SEGMENT'!$BH$8:$BH$154),0)</f>
        <v>5.0454304635761595E-2</v>
      </c>
      <c r="JT35" s="749">
        <f>IFERROR(SUMPRODUCT(('ANALYSE - ERP =&gt; SOUS-SEGMENT'!$C$8:$C$154=$C35)*'ANALYSE - ERP =&gt; SOUS-SEGMENT'!$Q$8:$Q$154*'ANALYSE - ERP =&gt; SOUS-SEGMENT'!$BH$8:$BH$154*'ANALYSE - ERP =&gt; SOUS-SEGMENT'!$JW$8:$JW$154)/SUMPRODUCT(('ANALYSE - ERP =&gt; SOUS-SEGMENT'!$C$8:$C$154=$C35)*'ANALYSE - ERP =&gt; SOUS-SEGMENT'!$Q$8:$Q$154*'ANALYSE - ERP =&gt; SOUS-SEGMENT'!$BH$8:$BH$154),0)</f>
        <v>5.0662251655629131E-4</v>
      </c>
      <c r="JU35" s="771">
        <f>IFERROR(SUMPRODUCT(('ANALYSE - ERP =&gt; SOUS-SEGMENT'!$C$8:$C$154=$C35)*'ANALYSE - ERP =&gt; SOUS-SEGMENT'!$Q$8:$Q$154*'ANALYSE - ERP =&gt; SOUS-SEGMENT'!$FK$8:$FK$154*'ANALYSE - ERP =&gt; SOUS-SEGMENT'!$JX$8:$JX$154)/SUMPRODUCT(('ANALYSE - ERP =&gt; SOUS-SEGMENT'!$C$8:$C$154=$C35)*'ANALYSE - ERP =&gt; SOUS-SEGMENT'!$Q$8:$Q$154*'ANALYSE - ERP =&gt; SOUS-SEGMENT'!$FK$8:$FK$154),0)</f>
        <v>1.8229564135276519E-2</v>
      </c>
      <c r="JV35" s="748">
        <f>IFERROR(SUMPRODUCT(('ANALYSE - ERP =&gt; SOUS-SEGMENT'!$C$8:$C$154=$C35)*'ANALYSE - ERP =&gt; SOUS-SEGMENT'!$Q$8:$Q$154*'ANALYSE - ERP =&gt; SOUS-SEGMENT'!$FK$8:$FK$154*'ANALYSE - ERP =&gt; SOUS-SEGMENT'!$JY$8:$JY$154)/SUMPRODUCT(('ANALYSE - ERP =&gt; SOUS-SEGMENT'!$C$8:$C$154=$C35)*'ANALYSE - ERP =&gt; SOUS-SEGMENT'!$Q$8:$Q$154*'ANALYSE - ERP =&gt; SOUS-SEGMENT'!$FK$8:$FK$154),0)</f>
        <v>0.35730017940468994</v>
      </c>
      <c r="JW35" s="748">
        <f>IFERROR(SUMPRODUCT(('ANALYSE - ERP =&gt; SOUS-SEGMENT'!$C$8:$C$154=$C35)*'ANALYSE - ERP =&gt; SOUS-SEGMENT'!$Q$8:$Q$154*'ANALYSE - ERP =&gt; SOUS-SEGMENT'!$FK$8:$FK$154*'ANALYSE - ERP =&gt; SOUS-SEGMENT'!$JZ$8:$JZ$154)/SUMPRODUCT(('ANALYSE - ERP =&gt; SOUS-SEGMENT'!$C$8:$C$154=$C35)*'ANALYSE - ERP =&gt; SOUS-SEGMENT'!$Q$8:$Q$154*'ANALYSE - ERP =&gt; SOUS-SEGMENT'!$FK$8:$FK$154),0)</f>
        <v>0.5231026540334941</v>
      </c>
      <c r="JX35" s="748">
        <f>IFERROR(SUMPRODUCT(('ANALYSE - ERP =&gt; SOUS-SEGMENT'!$C$8:$C$154=$C35)*'ANALYSE - ERP =&gt; SOUS-SEGMENT'!$Q$8:$Q$154*'ANALYSE - ERP =&gt; SOUS-SEGMENT'!$FK$8:$FK$154*'ANALYSE - ERP =&gt; SOUS-SEGMENT'!$KA$8:$KA$154)/SUMPRODUCT(('ANALYSE - ERP =&gt; SOUS-SEGMENT'!$C$8:$C$154=$C35)*'ANALYSE - ERP =&gt; SOUS-SEGMENT'!$Q$8:$Q$154*'ANALYSE - ERP =&gt; SOUS-SEGMENT'!$FK$8:$FK$154),0)</f>
        <v>9.9272297319016226E-2</v>
      </c>
      <c r="JY35" s="775">
        <f>IFERROR(SUMPRODUCT(('ANALYSE - ERP =&gt; SOUS-SEGMENT'!$C$8:$C$154=$C35)*'ANALYSE - ERP =&gt; SOUS-SEGMENT'!$Q$8:$Q$154*'ANALYSE - ERP =&gt; SOUS-SEGMENT'!$FK$8:$FK$154*'ANALYSE - ERP =&gt; SOUS-SEGMENT'!$KB$8:$KB$154)/SUMPRODUCT(('ANALYSE - ERP =&gt; SOUS-SEGMENT'!$C$8:$C$154=$C35)*'ANALYSE - ERP =&gt; SOUS-SEGMENT'!$Q$8:$Q$154*'ANALYSE - ERP =&gt; SOUS-SEGMENT'!$FK$8:$FK$154),0)</f>
        <v>2.0953051075232642E-3</v>
      </c>
      <c r="JZ35" s="657"/>
      <c r="KA35" s="298" t="s">
        <v>2591</v>
      </c>
      <c r="KB35" s="298" t="s">
        <v>2625</v>
      </c>
      <c r="KC35" s="888">
        <f>IFERROR(SUMPRODUCT(('ANALYSE - ERP =&gt; SOUS-SEGMENT'!$C$8:$C$154=$C36)*'ANALYSE - ERP =&gt; SOUS-SEGMENT'!$Q$8:$Q$154*'ANALYSE - ERP =&gt; SOUS-SEGMENT'!$EX$8:$EX$154*'ANALYSE - ERP =&gt; SOUS-SEGMENT'!$KF$8:$KF$154)/SUMPRODUCT(('ANALYSE - ERP =&gt; SOUS-SEGMENT'!$C$8:$C$154=$C36)*'ANALYSE - ERP =&gt; SOUS-SEGMENT'!$Q$8:$Q$154*'ANALYSE - ERP =&gt; SOUS-SEGMENT'!$EX$8:$EX$154),"")</f>
        <v>4.7110316592723098</v>
      </c>
      <c r="KD35" s="298" t="s">
        <v>2589</v>
      </c>
      <c r="KE35" s="300" t="s">
        <v>4976</v>
      </c>
      <c r="KF35" s="620" t="s">
        <v>6760</v>
      </c>
      <c r="KG35" s="300" t="s">
        <v>6760</v>
      </c>
    </row>
    <row r="36" spans="1:293" ht="108" customHeight="1">
      <c r="A36" s="273">
        <v>37</v>
      </c>
      <c r="B36" s="490" t="s">
        <v>4908</v>
      </c>
      <c r="C36" s="490" t="s">
        <v>88</v>
      </c>
      <c r="D36" s="490" t="s">
        <v>7413</v>
      </c>
      <c r="E36" s="275" t="s">
        <v>7414</v>
      </c>
      <c r="F36" s="275" t="s">
        <v>7415</v>
      </c>
      <c r="G36" s="275" t="s">
        <v>7311</v>
      </c>
      <c r="H36" s="275" t="s">
        <v>2096</v>
      </c>
      <c r="I36" s="276" t="s">
        <v>7416</v>
      </c>
      <c r="J36" s="276" t="s">
        <v>7417</v>
      </c>
      <c r="K36" s="277" t="s">
        <v>2109</v>
      </c>
      <c r="L36" s="277" t="s">
        <v>2109</v>
      </c>
      <c r="M36" s="277" t="s">
        <v>7418</v>
      </c>
      <c r="N36" s="277" t="s">
        <v>6742</v>
      </c>
      <c r="O36" s="277" t="s">
        <v>2616</v>
      </c>
      <c r="P36" s="276" t="s">
        <v>7419</v>
      </c>
      <c r="Q36" s="270">
        <f>IF(SUMPRODUCT(('ANALYSE - ERP =&gt; SOUS-SEGMENT'!$C$8:$C$154=$C36)*'ANALYSE - ERP =&gt; SOUS-SEGMENT'!$Q$8:$Q$154)&gt;0,1,0)</f>
        <v>1</v>
      </c>
      <c r="R36" s="278">
        <f>IFERROR(SUMPRODUCT(('ANALYSE - ERP =&gt; SOUS-SEGMENT'!$C$8:$C$154=$C36)*'ANALYSE - ERP =&gt; SOUS-SEGMENT'!$Q$8:$Q$154*'ANALYSE - ERP =&gt; SOUS-SEGMENT'!$AG$8:$AG$154*'ANALYSE - ERP =&gt; SOUS-SEGMENT'!$R$8:$R$154)/SUMPRODUCT(('ANALYSE - ERP =&gt; SOUS-SEGMENT'!$C$8:$C$154=$C36)*'ANALYSE - ERP =&gt; SOUS-SEGMENT'!$Q$8:$Q$154*'ANALYSE - ERP =&gt; SOUS-SEGMENT'!$AG$8:$AG$154),"")</f>
        <v>10282.426778242678</v>
      </c>
      <c r="S36" s="279">
        <f>SUMPRODUCT(('ANALYSE - ERP =&gt; SOUS-SEGMENT'!$C$8:$C$154=$C36)*'ANALYSE - ERP =&gt; SOUS-SEGMENT'!$Q$8:$Q$154*'ANALYSE - ERP =&gt; SOUS-SEGMENT'!$S$8:$S$154)</f>
        <v>185</v>
      </c>
      <c r="T36" s="279">
        <f>SUMPRODUCT(('ANALYSE - ERP =&gt; SOUS-SEGMENT'!$C$8:$C$154=$C36)*'ANALYSE - ERP =&gt; SOUS-SEGMENT'!$Q$8:$Q$154*'ANALYSE - ERP =&gt; SOUS-SEGMENT'!$T$8:$T$154)</f>
        <v>218</v>
      </c>
      <c r="U36" s="279">
        <f>SUMPRODUCT(('ANALYSE - ERP =&gt; SOUS-SEGMENT'!$C$8:$C$154=$C36)*'ANALYSE - ERP =&gt; SOUS-SEGMENT'!$Q$8:$Q$154*'ANALYSE - ERP =&gt; SOUS-SEGMENT'!$U$8:$U$154)</f>
        <v>227</v>
      </c>
      <c r="V36" s="279">
        <f>SUMPRODUCT(('ANALYSE - ERP =&gt; SOUS-SEGMENT'!$C$8:$C$154=$C36)*'ANALYSE - ERP =&gt; SOUS-SEGMENT'!$Q$8:$Q$154*'ANALYSE - ERP =&gt; SOUS-SEGMENT'!$V$8:$V$154)</f>
        <v>229</v>
      </c>
      <c r="W36" s="279">
        <f>SUMPRODUCT(('ANALYSE - ERP =&gt; SOUS-SEGMENT'!$C$8:$C$154=$C36)*'ANALYSE - ERP =&gt; SOUS-SEGMENT'!$Q$8:$Q$154*'ANALYSE - ERP =&gt; SOUS-SEGMENT'!$W$8:$W$154)</f>
        <v>227</v>
      </c>
      <c r="X36" s="279">
        <f>SUMPRODUCT(('ANALYSE - ERP =&gt; SOUS-SEGMENT'!$C$8:$C$154=$C36)*'ANALYSE - ERP =&gt; SOUS-SEGMENT'!$Q$8:$Q$154*'ANALYSE - ERP =&gt; SOUS-SEGMENT'!$X$8:$X$154)</f>
        <v>225</v>
      </c>
      <c r="Y36" s="279">
        <f>SUMPRODUCT(('ANALYSE - ERP =&gt; SOUS-SEGMENT'!$C$8:$C$154=$C36)*'ANALYSE - ERP =&gt; SOUS-SEGMENT'!$Q$8:$Q$154*'ANALYSE - ERP =&gt; SOUS-SEGMENT'!$Y$8:$Y$154)</f>
        <v>223</v>
      </c>
      <c r="Z36" s="279">
        <f>SUMPRODUCT(('ANALYSE - ERP =&gt; SOUS-SEGMENT'!$C$8:$C$154=$C36)*'ANALYSE - ERP =&gt; SOUS-SEGMENT'!$Q$8:$Q$154*'ANALYSE - ERP =&gt; SOUS-SEGMENT'!$Z$8:$Z$154)</f>
        <v>222</v>
      </c>
      <c r="AA36" s="279">
        <f>SUMPRODUCT(('ANALYSE - ERP =&gt; SOUS-SEGMENT'!$C$8:$C$154=$C36)*'ANALYSE - ERP =&gt; SOUS-SEGMENT'!$Q$8:$Q$154*'ANALYSE - ERP =&gt; SOUS-SEGMENT'!$AA$8:$AA$154)</f>
        <v>220</v>
      </c>
      <c r="AB36" s="279">
        <f>SUMPRODUCT(('ANALYSE - ERP =&gt; SOUS-SEGMENT'!$C$8:$C$154=$C36)*'ANALYSE - ERP =&gt; SOUS-SEGMENT'!$Q$8:$Q$154*'ANALYSE - ERP =&gt; SOUS-SEGMENT'!$AB$8:$AB$154)</f>
        <v>223</v>
      </c>
      <c r="AC36" s="279">
        <f>SUMPRODUCT(('ANALYSE - ERP =&gt; SOUS-SEGMENT'!$C$8:$C$154=$C36)*'ANALYSE - ERP =&gt; SOUS-SEGMENT'!$Q$8:$Q$154*'ANALYSE - ERP =&gt; SOUS-SEGMENT'!$AC$8:$AC$154)</f>
        <v>227</v>
      </c>
      <c r="AD36" s="279">
        <f>SUMPRODUCT(('ANALYSE - ERP =&gt; SOUS-SEGMENT'!$C$8:$C$154=$C36)*'ANALYSE - ERP =&gt; SOUS-SEGMENT'!$Q$8:$Q$154*'ANALYSE - ERP =&gt; SOUS-SEGMENT'!$AD$8:$AD$154)</f>
        <v>229</v>
      </c>
      <c r="AE36" s="279">
        <f>SUMPRODUCT(('ANALYSE - ERP =&gt; SOUS-SEGMENT'!$C$8:$C$154=$C36)*'ANALYSE - ERP =&gt; SOUS-SEGMENT'!$Q$8:$Q$154*'ANALYSE - ERP =&gt; SOUS-SEGMENT'!$AE$8:$AE$154)</f>
        <v>233</v>
      </c>
      <c r="AF36" s="279">
        <f>SUMPRODUCT(('ANALYSE - ERP =&gt; SOUS-SEGMENT'!$C$8:$C$154=$C36)*'ANALYSE - ERP =&gt; SOUS-SEGMENT'!$Q$8:$Q$154*'ANALYSE - ERP =&gt; SOUS-SEGMENT'!$AF$8:$AF$154)</f>
        <v>234</v>
      </c>
      <c r="AG36" s="279">
        <f>SUMPRODUCT(('ANALYSE - ERP =&gt; SOUS-SEGMENT'!$C$8:$C$154=$C36)*'ANALYSE - ERP =&gt; SOUS-SEGMENT'!$Q$8:$Q$154*'ANALYSE - ERP =&gt; SOUS-SEGMENT'!$AG$8:$AG$154)</f>
        <v>239</v>
      </c>
      <c r="AH36" s="279">
        <f>SUMPRODUCT(('ANALYSE - ERP =&gt; SOUS-SEGMENT'!$C$8:$C$154=$C36)*'ANALYSE - ERP =&gt; SOUS-SEGMENT'!$Q$8:$Q$154*'ANALYSE - ERP =&gt; SOUS-SEGMENT'!$AH$8:$AH$154)</f>
        <v>241</v>
      </c>
      <c r="AI36" s="279">
        <f>SUMPRODUCT(('ANALYSE - ERP =&gt; SOUS-SEGMENT'!$C$8:$C$154=$C36)*'ANALYSE - ERP =&gt; SOUS-SEGMENT'!$Q$8:$Q$154*'ANALYSE - ERP =&gt; SOUS-SEGMENT'!$AI$8:$AI$154)</f>
        <v>244</v>
      </c>
      <c r="AJ36" s="279">
        <f>SUMPRODUCT(('ANALYSE - ERP =&gt; SOUS-SEGMENT'!$C$8:$C$154=$C36)*'ANALYSE - ERP =&gt; SOUS-SEGMENT'!$Q$8:$Q$154*'ANALYSE - ERP =&gt; SOUS-SEGMENT'!$AJ$8:$AJ$154)</f>
        <v>246</v>
      </c>
      <c r="AK36" s="279">
        <f>SUMPRODUCT(('ANALYSE - ERP =&gt; SOUS-SEGMENT'!$C$8:$C$154=$C36)*'ANALYSE - ERP =&gt; SOUS-SEGMENT'!$Q$8:$Q$154*'ANALYSE - ERP =&gt; SOUS-SEGMENT'!$AK$8:$AK$154)</f>
        <v>250</v>
      </c>
      <c r="AL36" s="276" t="s">
        <v>7420</v>
      </c>
      <c r="AM36" s="276" t="s">
        <v>7421</v>
      </c>
      <c r="AN36" s="276" t="s">
        <v>7422</v>
      </c>
      <c r="AO36" s="657"/>
      <c r="AP36" s="278">
        <f>IFERROR(SUMPRODUCT(('ANALYSE - ERP =&gt; SOUS-SEGMENT'!$C$8:$C$154=$C36)*'ANALYSE - ERP =&gt; SOUS-SEGMENT'!$Q$8:$Q$154*'ANALYSE - ERP =&gt; SOUS-SEGMENT'!$AG$8:$AG$154*'ANALYSE - ERP =&gt; SOUS-SEGMENT'!$AP$8:$AP$154)/SUMPRODUCT(('ANALYSE - ERP =&gt; SOUS-SEGMENT'!$C$8:$C$154=$C36)*'ANALYSE - ERP =&gt; SOUS-SEGMENT'!$Q$8:$Q$154*'ANALYSE - ERP =&gt; SOUS-SEGMENT'!$AG$8:$AG$154),"")</f>
        <v>297.85774058577408</v>
      </c>
      <c r="AQ36" s="278">
        <f>IFERROR(SUMPRODUCT(('ANALYSE - ERP =&gt; SOUS-SEGMENT'!$C$8:$C$154=$C36)*'ANALYSE - ERP =&gt; SOUS-SEGMENT'!$Q$8:$Q$154*'ANALYSE - ERP =&gt; SOUS-SEGMENT'!$AF$8:$AF$154*'ANALYSE - ERP =&gt; SOUS-SEGMENT'!$AQ$8:$AQ$154)/SUMPRODUCT(('ANALYSE - ERP =&gt; SOUS-SEGMENT'!$C$8:$C$154=$C36)*'ANALYSE - ERP =&gt; SOUS-SEGMENT'!$Q$8:$Q$154*'ANALYSE - ERP =&gt; SOUS-SEGMENT'!$AF$8:$AF$154),"")</f>
        <v>225.87179487179486</v>
      </c>
      <c r="AR36" s="973">
        <f>IFERROR(SUMPRODUCT(('ANALYSE - ERP =&gt; SOUS-SEGMENT'!$C$8:$C$154=$C36)*'ANALYSE - ERP =&gt; SOUS-SEGMENT'!$Q$8:$Q$154*'ANALYSE - ERP =&gt; SOUS-SEGMENT'!$AF$8:$AF$154*'ANALYSE - ERP =&gt; SOUS-SEGMENT'!$AR$8:$AR$154)/SUMPRODUCT(('ANALYSE - ERP =&gt; SOUS-SEGMENT'!$C$8:$C$154=$C36)*'ANALYSE - ERP =&gt; SOUS-SEGMENT'!$Q$8:$Q$154*'ANALYSE - ERP =&gt; SOUS-SEGMENT'!$AF$8:$AF$154),"")</f>
        <v>60.457264957264954</v>
      </c>
      <c r="AS36" s="973">
        <f>IFERROR(SUMPRODUCT(('ANALYSE - ERP =&gt; SOUS-SEGMENT'!$C$8:$C$154=$C36)*'ANALYSE - ERP =&gt; SOUS-SEGMENT'!$Q$8:$Q$154*'ANALYSE - ERP =&gt; SOUS-SEGMENT'!$AF$8:$AF$154*'ANALYSE - ERP =&gt; SOUS-SEGMENT'!$AS$8:$AS$154)/SUMPRODUCT(('ANALYSE - ERP =&gt; SOUS-SEGMENT'!$C$8:$C$154=$C36)*'ANALYSE - ERP =&gt; SOUS-SEGMENT'!$Q$8:$Q$154*'ANALYSE - ERP =&gt; SOUS-SEGMENT'!$AF$8:$AF$154),"")</f>
        <v>14.910256410256411</v>
      </c>
      <c r="AT36" s="657" t="s">
        <v>7423</v>
      </c>
      <c r="AU36" s="276" t="s">
        <v>7424</v>
      </c>
      <c r="AV36" s="296" t="s">
        <v>7425</v>
      </c>
      <c r="AW36" s="276" t="s">
        <v>7426</v>
      </c>
      <c r="AX36" s="657"/>
      <c r="AY36" s="282">
        <f>IFERROR(SUMPRODUCT(('ANALYSE - ERP =&gt; SOUS-SEGMENT'!$C$8:$C$154=$C36)*'ANALYSE - ERP =&gt; SOUS-SEGMENT'!$Q$8:$Q$154*'ANALYSE - ERP =&gt; SOUS-SEGMENT'!$AF$8:$AF$154*'ANALYSE - ERP =&gt; SOUS-SEGMENT'!$AZ$8:$AZ$154)/SUMPRODUCT(('ANALYSE - ERP =&gt; SOUS-SEGMENT'!$C$8:$C$154=$C36)*'ANALYSE - ERP =&gt; SOUS-SEGMENT'!$Q$8:$Q$154*'ANALYSE - ERP =&gt; SOUS-SEGMENT'!$AF$8:$AF$154),"")</f>
        <v>163.32051282051282</v>
      </c>
      <c r="AZ36" s="947">
        <f>IFERROR(SUMPRODUCT(('ANALYSE - ERP =&gt; SOUS-SEGMENT'!$C$8:$C$154=$C36)*'ANALYSE - ERP =&gt; SOUS-SEGMENT'!$Q$8:$Q$154*'ANALYSE - ERP =&gt; SOUS-SEGMENT'!$AF$8:$AF$154*'ANALYSE - ERP =&gt; SOUS-SEGMENT'!$BA$8:$BA$154)/SUMPRODUCT(('ANALYSE - ERP =&gt; SOUS-SEGMENT'!$C$8:$C$154=$C36)*'ANALYSE - ERP =&gt; SOUS-SEGMENT'!$Q$8:$Q$154*'ANALYSE - ERP =&gt; SOUS-SEGMENT'!$AF$8:$AF$154),"")</f>
        <v>32.92307692307692</v>
      </c>
      <c r="BA36" s="282">
        <f>IFERROR(SUMPRODUCT(('ANALYSE - ERP =&gt; SOUS-SEGMENT'!$C$8:$C$154=$C36)*'ANALYSE - ERP =&gt; SOUS-SEGMENT'!$Q$8:$Q$154*'ANALYSE - ERP =&gt; SOUS-SEGMENT'!$AF$8:$AF$154*'ANALYSE - ERP =&gt; SOUS-SEGMENT'!$BB$8:$BB$154)/SUMPRODUCT(('ANALYSE - ERP =&gt; SOUS-SEGMENT'!$C$8:$C$154=$C36)*'ANALYSE - ERP =&gt; SOUS-SEGMENT'!$Q$8:$Q$154*'ANALYSE - ERP =&gt; SOUS-SEGMENT'!$AF$8:$AF$154),"")</f>
        <v>2.2264957264957266</v>
      </c>
      <c r="BB36" s="282">
        <f>IFERROR(SUMPRODUCT(('ANALYSE - ERP =&gt; SOUS-SEGMENT'!$C$8:$C$154=$C36)*'ANALYSE - ERP =&gt; SOUS-SEGMENT'!$Q$8:$Q$154*'ANALYSE - ERP =&gt; SOUS-SEGMENT'!$AF$8:$AF$154*'ANALYSE - ERP =&gt; SOUS-SEGMENT'!$BC$8:$BC$154)/SUMPRODUCT(('ANALYSE - ERP =&gt; SOUS-SEGMENT'!$C$8:$C$154=$C36)*'ANALYSE - ERP =&gt; SOUS-SEGMENT'!$Q$8:$Q$154*'ANALYSE - ERP =&gt; SOUS-SEGMENT'!$AF$8:$AF$154),"")</f>
        <v>153.23076923076923</v>
      </c>
      <c r="BC36" s="283">
        <f>SUMPRODUCT(('ANALYSE - ERP =&gt; SOUS-SEGMENT'!$C$8:$C$154=$C36)*'ANALYSE - ERP =&gt; SOUS-SEGMENT'!$Q$8:$Q$154*'ANALYSE - ERP =&gt; SOUS-SEGMENT'!$BE$8:$BE$154)</f>
        <v>38217</v>
      </c>
      <c r="BD36" s="283">
        <f>SUMPRODUCT(('ANALYSE - ERP =&gt; SOUS-SEGMENT'!$C$8:$C$154=$C36)*'ANALYSE - ERP =&gt; SOUS-SEGMENT'!$Q$8:$Q$154*'ANALYSE - ERP =&gt; SOUS-SEGMENT'!$BF$8:$BF$154)</f>
        <v>7704</v>
      </c>
      <c r="BE36" s="283">
        <f>SUMPRODUCT(('ANALYSE - ERP =&gt; SOUS-SEGMENT'!$C$8:$C$154=$C36)*'ANALYSE - ERP =&gt; SOUS-SEGMENT'!$Q$8:$Q$154*'ANALYSE - ERP =&gt; SOUS-SEGMENT'!$BG$8:$BG$154)</f>
        <v>521</v>
      </c>
      <c r="BF36" s="283">
        <f>SUMPRODUCT(('ANALYSE - ERP =&gt; SOUS-SEGMENT'!$C$8:$C$154=$C36)*'ANALYSE - ERP =&gt; SOUS-SEGMENT'!$Q$8:$Q$154*'ANALYSE - ERP =&gt; SOUS-SEGMENT'!$BH$8:$BH$154)</f>
        <v>35856</v>
      </c>
      <c r="BG36" s="283">
        <f>SUMPRODUCT(('ANALYSE - ERP =&gt; SOUS-SEGMENT'!$C$8:$C$154=$C36)*'ANALYSE - ERP =&gt; SOUS-SEGMENT'!$Q$8:$Q$154*'ANALYSE - ERP =&gt; SOUS-SEGMENT'!$BJ$8:$BJ$154)</f>
        <v>39282</v>
      </c>
      <c r="BH36" s="283">
        <f>SUMPRODUCT(('ANALYSE - ERP =&gt; SOUS-SEGMENT'!$C$8:$C$154=$C36)*'ANALYSE - ERP =&gt; SOUS-SEGMENT'!$Q$8:$Q$154*'ANALYSE - ERP =&gt; SOUS-SEGMENT'!$BK$8:$BK$154)</f>
        <v>7988</v>
      </c>
      <c r="BI36" s="283">
        <f>SUMPRODUCT(('ANALYSE - ERP =&gt; SOUS-SEGMENT'!$C$8:$C$154=$C36)*'ANALYSE - ERP =&gt; SOUS-SEGMENT'!$Q$8:$Q$154*'ANALYSE - ERP =&gt; SOUS-SEGMENT'!$BL$8:$BL$154)</f>
        <v>547</v>
      </c>
      <c r="BJ36" s="283">
        <f>SUMPRODUCT(('ANALYSE - ERP =&gt; SOUS-SEGMENT'!$C$8:$C$154=$C36)*'ANALYSE - ERP =&gt; SOUS-SEGMENT'!$Q$8:$Q$154*'ANALYSE - ERP =&gt; SOUS-SEGMENT'!$BM$8:$BM$154)</f>
        <v>36857</v>
      </c>
      <c r="BK36" s="657"/>
      <c r="BL36" s="580">
        <f>IFERROR(SUMPRODUCT(('ANALYSE - ERP =&gt; SOUS-SEGMENT'!$C$8:$C$154=$C36)*'ANALYSE - ERP =&gt; SOUS-SEGMENT'!$Q$8:$Q$154*'ANALYSE - ERP =&gt; SOUS-SEGMENT'!$BE$8:$BE$154*'ANALYSE - ERP =&gt; SOUS-SEGMENT'!$BO$8:$BO$154)/SUMPRODUCT(('ANALYSE - ERP =&gt; SOUS-SEGMENT'!$C$8:$C$154=$C36)*'ANALYSE - ERP =&gt; SOUS-SEGMENT'!$Q$8:$Q$154*'ANALYSE - ERP =&gt; SOUS-SEGMENT'!$BE$8:$BE$154),"")</f>
        <v>2.0000000000000004E-2</v>
      </c>
      <c r="BM36" s="305">
        <f>IFERROR(SUMPRODUCT(('ANALYSE - ERP =&gt; SOUS-SEGMENT'!$C$8:$C$154=$C36)*'ANALYSE - ERP =&gt; SOUS-SEGMENT'!$Q$8:$Q$154*'ANALYSE - ERP =&gt; SOUS-SEGMENT'!$BE$8:$BE$154*'ANALYSE - ERP =&gt; SOUS-SEGMENT'!$BP$8:$BP$154)/SUMPRODUCT(('ANALYSE - ERP =&gt; SOUS-SEGMENT'!$C$8:$C$154=$C36)*'ANALYSE - ERP =&gt; SOUS-SEGMENT'!$Q$8:$Q$154*'ANALYSE - ERP =&gt; SOUS-SEGMENT'!$BE$8:$BE$154),"")</f>
        <v>0.70000000000000007</v>
      </c>
      <c r="BN36" s="305">
        <f>IFERROR(SUMPRODUCT(('ANALYSE - ERP =&gt; SOUS-SEGMENT'!$C$8:$C$154=$C36)*'ANALYSE - ERP =&gt; SOUS-SEGMENT'!$Q$8:$Q$154*'ANALYSE - ERP =&gt; SOUS-SEGMENT'!$BE$8:$BE$154*'ANALYSE - ERP =&gt; SOUS-SEGMENT'!$BQ$8:$BQ$154)/SUMPRODUCT(('ANALYSE - ERP =&gt; SOUS-SEGMENT'!$C$8:$C$154=$C36)*'ANALYSE - ERP =&gt; SOUS-SEGMENT'!$Q$8:$Q$154*'ANALYSE - ERP =&gt; SOUS-SEGMENT'!$BE$8:$BE$154),"")</f>
        <v>1.0000000000000002E-2</v>
      </c>
      <c r="BO36" s="581">
        <f>IFERROR(SUMPRODUCT(('ANALYSE - ERP =&gt; SOUS-SEGMENT'!$C$8:$C$154=$C36)*'ANALYSE - ERP =&gt; SOUS-SEGMENT'!$Q$8:$Q$154*'ANALYSE - ERP =&gt; SOUS-SEGMENT'!$BE$8:$BE$154*'ANALYSE - ERP =&gt; SOUS-SEGMENT'!$BR$8:$BR$154)/SUMPRODUCT(('ANALYSE - ERP =&gt; SOUS-SEGMENT'!$C$8:$C$154=$C36)*'ANALYSE - ERP =&gt; SOUS-SEGMENT'!$Q$8:$Q$154*'ANALYSE - ERP =&gt; SOUS-SEGMENT'!$BE$8:$BE$154),"")</f>
        <v>0.27000000000000007</v>
      </c>
      <c r="BP36" s="580">
        <f>IFERROR(SUMPRODUCT(('ANALYSE - ERP =&gt; SOUS-SEGMENT'!$C$8:$C$154=$C36)*'ANALYSE - ERP =&gt; SOUS-SEGMENT'!$Q$8:$Q$154*'ANALYSE - ERP =&gt; SOUS-SEGMENT'!$BJ$8:$BJ$154*'ANALYSE - ERP =&gt; SOUS-SEGMENT'!$BS$8:$BS$154)/SUMPRODUCT(('ANALYSE - ERP =&gt; SOUS-SEGMENT'!$C$8:$C$154=$C36)*'ANALYSE - ERP =&gt; SOUS-SEGMENT'!$Q$8:$Q$154*'ANALYSE - ERP =&gt; SOUS-SEGMENT'!$BJ$8:$BJ$154),"")</f>
        <v>0.02</v>
      </c>
      <c r="BQ36" s="305">
        <f>IFERROR(SUMPRODUCT(('ANALYSE - ERP =&gt; SOUS-SEGMENT'!$C$8:$C$154=$C36)*'ANALYSE - ERP =&gt; SOUS-SEGMENT'!$Q$8:$Q$154*'ANALYSE - ERP =&gt; SOUS-SEGMENT'!$BJ$8:$BJ$154*'ANALYSE - ERP =&gt; SOUS-SEGMENT'!$BT$8:$BT$154)/SUMPRODUCT(('ANALYSE - ERP =&gt; SOUS-SEGMENT'!$C$8:$C$154=$C36)*'ANALYSE - ERP =&gt; SOUS-SEGMENT'!$Q$8:$Q$154*'ANALYSE - ERP =&gt; SOUS-SEGMENT'!$BJ$8:$BJ$154),"")</f>
        <v>0.69</v>
      </c>
      <c r="BR36" s="305">
        <f>IFERROR(SUMPRODUCT(('ANALYSE - ERP =&gt; SOUS-SEGMENT'!$C$8:$C$154=$C36)*'ANALYSE - ERP =&gt; SOUS-SEGMENT'!$Q$8:$Q$154*'ANALYSE - ERP =&gt; SOUS-SEGMENT'!$BJ$8:$BJ$154*'ANALYSE - ERP =&gt; SOUS-SEGMENT'!$BU$8:$BU$154)/SUMPRODUCT(('ANALYSE - ERP =&gt; SOUS-SEGMENT'!$C$8:$C$154=$C36)*'ANALYSE - ERP =&gt; SOUS-SEGMENT'!$Q$8:$Q$154*'ANALYSE - ERP =&gt; SOUS-SEGMENT'!$BJ$8:$BJ$154),"")</f>
        <v>0.02</v>
      </c>
      <c r="BS36" s="581">
        <f>IFERROR(SUMPRODUCT(('ANALYSE - ERP =&gt; SOUS-SEGMENT'!$C$8:$C$154=$C36)*'ANALYSE - ERP =&gt; SOUS-SEGMENT'!$Q$8:$Q$154*'ANALYSE - ERP =&gt; SOUS-SEGMENT'!$BJ$8:$BJ$154*'ANALYSE - ERP =&gt; SOUS-SEGMENT'!$BV$8:$BV$154)/SUMPRODUCT(('ANALYSE - ERP =&gt; SOUS-SEGMENT'!$C$8:$C$154=$C36)*'ANALYSE - ERP =&gt; SOUS-SEGMENT'!$Q$8:$Q$154*'ANALYSE - ERP =&gt; SOUS-SEGMENT'!$BJ$8:$BJ$154),"")</f>
        <v>0.26999999999999996</v>
      </c>
      <c r="BT36" s="589">
        <f>IFERROR(SUMPRODUCT(('ANALYSE - ERP =&gt; SOUS-SEGMENT'!$C$8:$C$154=$C36)*'ANALYSE - ERP =&gt; SOUS-SEGMENT'!$Q$8:$Q$154*'ANALYSE - ERP =&gt; SOUS-SEGMENT'!$BF$8:$BF$154*'ANALYSE - ERP =&gt; SOUS-SEGMENT'!$BW$8:$BW$154)/SUMPRODUCT(('ANALYSE - ERP =&gt; SOUS-SEGMENT'!$C$8:$C$154=$C36)*'ANALYSE - ERP =&gt; SOUS-SEGMENT'!$Q$8:$Q$154*'ANALYSE - ERP =&gt; SOUS-SEGMENT'!$BF$8:$BF$154),"")</f>
        <v>0.20220015576323988</v>
      </c>
      <c r="BU36" s="306">
        <f>IFERROR(SUMPRODUCT(('ANALYSE - ERP =&gt; SOUS-SEGMENT'!$C$8:$C$154=$C36)*'ANALYSE - ERP =&gt; SOUS-SEGMENT'!$Q$8:$Q$154*'ANALYSE - ERP =&gt; SOUS-SEGMENT'!$BF$8:$BF$154*'ANALYSE - ERP =&gt; SOUS-SEGMENT'!$BX$8:$BX$154)/SUMPRODUCT(('ANALYSE - ERP =&gt; SOUS-SEGMENT'!$C$8:$C$154=$C36)*'ANALYSE - ERP =&gt; SOUS-SEGMENT'!$Q$8:$Q$154*'ANALYSE - ERP =&gt; SOUS-SEGMENT'!$BF$8:$BF$154),"")</f>
        <v>0.79779984423676009</v>
      </c>
      <c r="BV36" s="590">
        <f>IFERROR(SUMPRODUCT(('ANALYSE - ERP =&gt; SOUS-SEGMENT'!$C$8:$C$154=$C36)*'ANALYSE - ERP =&gt; SOUS-SEGMENT'!$Q$8:$Q$154*'ANALYSE - ERP =&gt; SOUS-SEGMENT'!$BF$8:$BF$154*'ANALYSE - ERP =&gt; SOUS-SEGMENT'!$BY$8:$BY$154)/SUMPRODUCT(('ANALYSE - ERP =&gt; SOUS-SEGMENT'!$C$8:$C$154=$C36)*'ANALYSE - ERP =&gt; SOUS-SEGMENT'!$Q$8:$Q$154*'ANALYSE - ERP =&gt; SOUS-SEGMENT'!$BF$8:$BF$154),"")</f>
        <v>0</v>
      </c>
      <c r="BW36" s="589">
        <f>IFERROR(SUMPRODUCT(('ANALYSE - ERP =&gt; SOUS-SEGMENT'!$C$8:$C$154=$C36)*'ANALYSE - ERP =&gt; SOUS-SEGMENT'!$Q$8:$Q$154*'ANALYSE - ERP =&gt; SOUS-SEGMENT'!$BK$8:$BK$154*'ANALYSE - ERP =&gt; SOUS-SEGMENT'!$BZ$8:$BZ$154)/SUMPRODUCT(('ANALYSE - ERP =&gt; SOUS-SEGMENT'!$C$8:$C$154=$C36)*'ANALYSE - ERP =&gt; SOUS-SEGMENT'!$Q$8:$Q$154*'ANALYSE - ERP =&gt; SOUS-SEGMENT'!$BK$8:$BK$154),"")</f>
        <v>0.18206810215322983</v>
      </c>
      <c r="BX36" s="306">
        <f>IFERROR(SUMPRODUCT(('ANALYSE - ERP =&gt; SOUS-SEGMENT'!$C$8:$C$154=$C36)*'ANALYSE - ERP =&gt; SOUS-SEGMENT'!$Q$8:$Q$154*'ANALYSE - ERP =&gt; SOUS-SEGMENT'!$BK$8:$BK$154*'ANALYSE - ERP =&gt; SOUS-SEGMENT'!$CA$8:$CA$154)/SUMPRODUCT(('ANALYSE - ERP =&gt; SOUS-SEGMENT'!$C$8:$C$154=$C36)*'ANALYSE - ERP =&gt; SOUS-SEGMENT'!$Q$8:$Q$154*'ANALYSE - ERP =&gt; SOUS-SEGMENT'!$BK$8:$BK$154),"")</f>
        <v>0.81793189784677012</v>
      </c>
      <c r="BY36" s="590">
        <f>IFERROR(SUMPRODUCT(('ANALYSE - ERP =&gt; SOUS-SEGMENT'!$C$8:$C$154=$C36)*'ANALYSE - ERP =&gt; SOUS-SEGMENT'!$Q$8:$Q$154*'ANALYSE - ERP =&gt; SOUS-SEGMENT'!$BK$8:$BK$154*'ANALYSE - ERP =&gt; SOUS-SEGMENT'!$CB$8:$CB$154)/SUMPRODUCT(('ANALYSE - ERP =&gt; SOUS-SEGMENT'!$C$8:$C$154=$C36)*'ANALYSE - ERP =&gt; SOUS-SEGMENT'!$Q$8:$Q$154*'ANALYSE - ERP =&gt; SOUS-SEGMENT'!$BK$8:$BK$154),"")</f>
        <v>0</v>
      </c>
      <c r="BZ36" s="580">
        <f>IFERROR(SUMPRODUCT(('ANALYSE - ERP =&gt; SOUS-SEGMENT'!$C$8:$C$154=$C36)*'ANALYSE - ERP =&gt; SOUS-SEGMENT'!$Q$8:$Q$154*'ANALYSE - ERP =&gt; SOUS-SEGMENT'!$BG$8:$BG$154*'ANALYSE - ERP =&gt; SOUS-SEGMENT'!$CC$8:$CC$154)/SUMPRODUCT(('ANALYSE - ERP =&gt; SOUS-SEGMENT'!$C$8:$C$154=$C36)*'ANALYSE - ERP =&gt; SOUS-SEGMENT'!$Q$8:$Q$154*'ANALYSE - ERP =&gt; SOUS-SEGMENT'!$BG$8:$BG$154),"")</f>
        <v>0.1</v>
      </c>
      <c r="CA36" s="305">
        <f>IFERROR(SUMPRODUCT(('ANALYSE - ERP =&gt; SOUS-SEGMENT'!$C$8:$C$154=$C36)*'ANALYSE - ERP =&gt; SOUS-SEGMENT'!$Q$8:$Q$154*'ANALYSE - ERP =&gt; SOUS-SEGMENT'!$BG$8:$BG$154*'ANALYSE - ERP =&gt; SOUS-SEGMENT'!$CD$8:$CD$154)/SUMPRODUCT(('ANALYSE - ERP =&gt; SOUS-SEGMENT'!$C$8:$C$154=$C36)*'ANALYSE - ERP =&gt; SOUS-SEGMENT'!$Q$8:$Q$154*'ANALYSE - ERP =&gt; SOUS-SEGMENT'!$BG$8:$BG$154),"")</f>
        <v>0.8</v>
      </c>
      <c r="CB36" s="305">
        <f>IFERROR(SUMPRODUCT(('ANALYSE - ERP =&gt; SOUS-SEGMENT'!$C$8:$C$154=$C36)*'ANALYSE - ERP =&gt; SOUS-SEGMENT'!$Q$8:$Q$154*'ANALYSE - ERP =&gt; SOUS-SEGMENT'!$BG$8:$BG$154*'ANALYSE - ERP =&gt; SOUS-SEGMENT'!$CE$8:$CE$154)/SUMPRODUCT(('ANALYSE - ERP =&gt; SOUS-SEGMENT'!$C$8:$C$154=$C36)*'ANALYSE - ERP =&gt; SOUS-SEGMENT'!$Q$8:$Q$154*'ANALYSE - ERP =&gt; SOUS-SEGMENT'!$BG$8:$BG$154),"")</f>
        <v>0.03</v>
      </c>
      <c r="CC36" s="581">
        <f>IFERROR(SUMPRODUCT(('ANALYSE - ERP =&gt; SOUS-SEGMENT'!$C$8:$C$154=$C36)*'ANALYSE - ERP =&gt; SOUS-SEGMENT'!$Q$8:$Q$154*'ANALYSE - ERP =&gt; SOUS-SEGMENT'!$BG$8:$BG$154*'ANALYSE - ERP =&gt; SOUS-SEGMENT'!$CF$8:$CF$154)/SUMPRODUCT(('ANALYSE - ERP =&gt; SOUS-SEGMENT'!$C$8:$C$154=$C36)*'ANALYSE - ERP =&gt; SOUS-SEGMENT'!$Q$8:$Q$154*'ANALYSE - ERP =&gt; SOUS-SEGMENT'!$BG$8:$BG$154),"")</f>
        <v>7.0000000000000007E-2</v>
      </c>
      <c r="CD36" s="580">
        <f>IFERROR(SUMPRODUCT(('ANALYSE - ERP =&gt; SOUS-SEGMENT'!$C$8:$C$154=$C36)*'ANALYSE - ERP =&gt; SOUS-SEGMENT'!$Q$8:$Q$154*'ANALYSE - ERP =&gt; SOUS-SEGMENT'!$BL$8:$BL$154*'ANALYSE - ERP =&gt; SOUS-SEGMENT'!$CG$8:$CG$154)/SUMPRODUCT(('ANALYSE - ERP =&gt; SOUS-SEGMENT'!$C$8:$C$154=$C36)*'ANALYSE - ERP =&gt; SOUS-SEGMENT'!$Q$8:$Q$154*'ANALYSE - ERP =&gt; SOUS-SEGMENT'!$BL$8:$BL$154),"")</f>
        <v>0.1</v>
      </c>
      <c r="CE36" s="305">
        <f>IFERROR(SUMPRODUCT(('ANALYSE - ERP =&gt; SOUS-SEGMENT'!$C$8:$C$154=$C36)*'ANALYSE - ERP =&gt; SOUS-SEGMENT'!$Q$8:$Q$154*'ANALYSE - ERP =&gt; SOUS-SEGMENT'!$BL$8:$BL$154*'ANALYSE - ERP =&gt; SOUS-SEGMENT'!$CH$8:$CH$154)/SUMPRODUCT(('ANALYSE - ERP =&gt; SOUS-SEGMENT'!$C$8:$C$154=$C36)*'ANALYSE - ERP =&gt; SOUS-SEGMENT'!$Q$8:$Q$154*'ANALYSE - ERP =&gt; SOUS-SEGMENT'!$BL$8:$BL$154),"")</f>
        <v>0.79000000000000015</v>
      </c>
      <c r="CF36" s="305">
        <f>IFERROR(SUMPRODUCT(('ANALYSE - ERP =&gt; SOUS-SEGMENT'!$C$8:$C$154=$C36)*'ANALYSE - ERP =&gt; SOUS-SEGMENT'!$Q$8:$Q$154*'ANALYSE - ERP =&gt; SOUS-SEGMENT'!$BL$8:$BL$154*'ANALYSE - ERP =&gt; SOUS-SEGMENT'!$CI$8:$CI$154)/SUMPRODUCT(('ANALYSE - ERP =&gt; SOUS-SEGMENT'!$C$8:$C$154=$C36)*'ANALYSE - ERP =&gt; SOUS-SEGMENT'!$Q$8:$Q$154*'ANALYSE - ERP =&gt; SOUS-SEGMENT'!$BL$8:$BL$154),"")</f>
        <v>3.9999999999999994E-2</v>
      </c>
      <c r="CG36" s="581">
        <f>IFERROR(SUMPRODUCT(('ANALYSE - ERP =&gt; SOUS-SEGMENT'!$C$8:$C$154=$C36)*'ANALYSE - ERP =&gt; SOUS-SEGMENT'!$Q$8:$Q$154*'ANALYSE - ERP =&gt; SOUS-SEGMENT'!$BL$8:$BL$154*'ANALYSE - ERP =&gt; SOUS-SEGMENT'!$CJ$8:$CJ$154)/SUMPRODUCT(('ANALYSE - ERP =&gt; SOUS-SEGMENT'!$C$8:$C$154=$C36)*'ANALYSE - ERP =&gt; SOUS-SEGMENT'!$Q$8:$Q$154*'ANALYSE - ERP =&gt; SOUS-SEGMENT'!$BL$8:$BL$154),"")</f>
        <v>7.0000000000000007E-2</v>
      </c>
      <c r="CH36" s="589">
        <f>IFERROR(SUMPRODUCT(('ANALYSE - ERP =&gt; SOUS-SEGMENT'!$C$8:$C$154=$C36)*'ANALYSE - ERP =&gt; SOUS-SEGMENT'!$Q$8:$Q$154*'ANALYSE - ERP =&gt; SOUS-SEGMENT'!$BH$8:$BH$154*'ANALYSE - ERP =&gt; SOUS-SEGMENT'!$CK$8:$CK$154)/SUMPRODUCT(('ANALYSE - ERP =&gt; SOUS-SEGMENT'!$C$8:$C$154=$C36)*'ANALYSE - ERP =&gt; SOUS-SEGMENT'!$Q$8:$Q$154*'ANALYSE - ERP =&gt; SOUS-SEGMENT'!$BH$8:$BH$154),"")</f>
        <v>0.48228608879964296</v>
      </c>
      <c r="CI36" s="306">
        <f>IFERROR(SUMPRODUCT(('ANALYSE - ERP =&gt; SOUS-SEGMENT'!$C$8:$C$154=$C36)*'ANALYSE - ERP =&gt; SOUS-SEGMENT'!$Q$8:$Q$154*'ANALYSE - ERP =&gt; SOUS-SEGMENT'!$BH$8:$BH$154*'ANALYSE - ERP =&gt; SOUS-SEGMENT'!$CL$8:$CL$154)/SUMPRODUCT(('ANALYSE - ERP =&gt; SOUS-SEGMENT'!$C$8:$C$154=$C36)*'ANALYSE - ERP =&gt; SOUS-SEGMENT'!$Q$8:$Q$154*'ANALYSE - ERP =&gt; SOUS-SEGMENT'!$BH$8:$BH$154),"")</f>
        <v>0.46771391120035694</v>
      </c>
      <c r="CJ36" s="590">
        <f>IFERROR(SUMPRODUCT(('ANALYSE - ERP =&gt; SOUS-SEGMENT'!$C$8:$C$154=$C36)*'ANALYSE - ERP =&gt; SOUS-SEGMENT'!$Q$8:$Q$154*'ANALYSE - ERP =&gt; SOUS-SEGMENT'!$BH$8:$BH$154*'ANALYSE - ERP =&gt; SOUS-SEGMENT'!$CM$8:$CM$154)/SUMPRODUCT(('ANALYSE - ERP =&gt; SOUS-SEGMENT'!$C$8:$C$154=$C36)*'ANALYSE - ERP =&gt; SOUS-SEGMENT'!$Q$8:$Q$154*'ANALYSE - ERP =&gt; SOUS-SEGMENT'!$BH$8:$BH$154),"")</f>
        <v>4.9999999999999996E-2</v>
      </c>
      <c r="CK36" s="589">
        <f>IFERROR(SUMPRODUCT(('ANALYSE - ERP =&gt; SOUS-SEGMENT'!$C$8:$C$154=$C36)*'ANALYSE - ERP =&gt; SOUS-SEGMENT'!$Q$8:$Q$154*'ANALYSE - ERP =&gt; SOUS-SEGMENT'!$BM$8:$BM$154*'ANALYSE - ERP =&gt; SOUS-SEGMENT'!$CN$8:$CN$154)/SUMPRODUCT(('ANALYSE - ERP =&gt; SOUS-SEGMENT'!$C$8:$C$154=$C36)*'ANALYSE - ERP =&gt; SOUS-SEGMENT'!$Q$8:$Q$154*'ANALYSE - ERP =&gt; SOUS-SEGMENT'!$BM$8:$BM$154),"")</f>
        <v>0.43018558211465935</v>
      </c>
      <c r="CL36" s="306">
        <f>IFERROR(SUMPRODUCT(('ANALYSE - ERP =&gt; SOUS-SEGMENT'!$C$8:$C$154=$C36)*'ANALYSE - ERP =&gt; SOUS-SEGMENT'!$Q$8:$Q$154*'ANALYSE - ERP =&gt; SOUS-SEGMENT'!$BM$8:$BM$154*'ANALYSE - ERP =&gt; SOUS-SEGMENT'!$CO$8:$CO$154)/SUMPRODUCT(('ANALYSE - ERP =&gt; SOUS-SEGMENT'!$C$8:$C$154=$C36)*'ANALYSE - ERP =&gt; SOUS-SEGMENT'!$Q$8:$Q$154*'ANALYSE - ERP =&gt; SOUS-SEGMENT'!$BM$8:$BM$154),"")</f>
        <v>0.50981441788534065</v>
      </c>
      <c r="CM36" s="590">
        <f>IFERROR(SUMPRODUCT(('ANALYSE - ERP =&gt; SOUS-SEGMENT'!$C$8:$C$154=$C36)*'ANALYSE - ERP =&gt; SOUS-SEGMENT'!$Q$8:$Q$154*'ANALYSE - ERP =&gt; SOUS-SEGMENT'!$BM$8:$BM$154*'ANALYSE - ERP =&gt; SOUS-SEGMENT'!$CP$8:$CP$154)/SUMPRODUCT(('ANALYSE - ERP =&gt; SOUS-SEGMENT'!$C$8:$C$154=$C36)*'ANALYSE - ERP =&gt; SOUS-SEGMENT'!$Q$8:$Q$154*'ANALYSE - ERP =&gt; SOUS-SEGMENT'!$BM$8:$BM$154),"")</f>
        <v>6.0000000000000005E-2</v>
      </c>
      <c r="CN36" s="657"/>
      <c r="CO36" s="889">
        <f>IFERROR(SUMPRODUCT(('ANALYSE - ERP =&gt; SOUS-SEGMENT'!$C$8:$C$154=$C36)*'ANALYSE - ERP =&gt; SOUS-SEGMENT'!$DH$8:$DH$154*('ANALYSE - ERP =&gt; SOUS-SEGMENT'!$CR$8:$CR$154&gt;0)*'ANALYSE - ERP =&gt; SOUS-SEGMENT'!$CR$8:$CR$154)/SUMPRODUCT(('ANALYSE - ERP =&gt; SOUS-SEGMENT'!$C$8:$C$154=$C36)*'ANALYSE - ERP =&gt; SOUS-SEGMENT'!$DH$8:$DH$154*('ANALYSE - ERP =&gt; SOUS-SEGMENT'!$CR$8:$CR$154&gt;0)),"")</f>
        <v>9.9999999999999982</v>
      </c>
      <c r="CP36" s="890">
        <f>IFERROR(SUMPRODUCT(('ANALYSE - ERP =&gt; SOUS-SEGMENT'!$C$8:$C$154=$C36)*'ANALYSE - ERP =&gt; SOUS-SEGMENT'!$DI$8:$DI$154*('ANALYSE - ERP =&gt; SOUS-SEGMENT'!$CS$8:$CS$154&gt;0)*'ANALYSE - ERP =&gt; SOUS-SEGMENT'!$CS$8:$CS$154)/SUMPRODUCT(('ANALYSE - ERP =&gt; SOUS-SEGMENT'!$C$8:$C$154=$C36)*'ANALYSE - ERP =&gt; SOUS-SEGMENT'!$DI$8:$DI$154*('ANALYSE - ERP =&gt; SOUS-SEGMENT'!$CS$8:$CS$154&gt;0)),"")</f>
        <v>10.999999999999998</v>
      </c>
      <c r="CQ36" s="890">
        <f>IFERROR(SUMPRODUCT(('ANALYSE - ERP =&gt; SOUS-SEGMENT'!$C$8:$C$154=$C36)*'ANALYSE - ERP =&gt; SOUS-SEGMENT'!$DJ$8:$DJ$154*('ANALYSE - ERP =&gt; SOUS-SEGMENT'!$CT$8:$CT$154&gt;0)*'ANALYSE - ERP =&gt; SOUS-SEGMENT'!$CT$8:$CT$154)/SUMPRODUCT(('ANALYSE - ERP =&gt; SOUS-SEGMENT'!$C$8:$C$154=$C36)*'ANALYSE - ERP =&gt; SOUS-SEGMENT'!$DJ$8:$DJ$154*('ANALYSE - ERP =&gt; SOUS-SEGMENT'!$CT$8:$CT$154&gt;0)),"")</f>
        <v>8</v>
      </c>
      <c r="CR36" s="891">
        <f>IFERROR(SUMPRODUCT(('ANALYSE - ERP =&gt; SOUS-SEGMENT'!$C$8:$C$154=$C36)*'ANALYSE - ERP =&gt; SOUS-SEGMENT'!$DK$8:$DK$154*('ANALYSE - ERP =&gt; SOUS-SEGMENT'!$CU$8:$CU$154&gt;0)*'ANALYSE - ERP =&gt; SOUS-SEGMENT'!$CU$8:$CU$154)/SUMPRODUCT(('ANALYSE - ERP =&gt; SOUS-SEGMENT'!$C$8:$C$154=$C36)*'ANALYSE - ERP =&gt; SOUS-SEGMENT'!$DK$8:$DK$154*('ANALYSE - ERP =&gt; SOUS-SEGMENT'!$CU$8:$CU$154&gt;0)),"")</f>
        <v>8.9999999999999982</v>
      </c>
      <c r="CS36" s="889">
        <f>IFERROR(SUMPRODUCT(('ANALYSE - ERP =&gt; SOUS-SEGMENT'!$C$8:$C$154=$C36)*'ANALYSE - ERP =&gt; SOUS-SEGMENT'!$DS$8:$DS$154*('ANALYSE - ERP =&gt; SOUS-SEGMENT'!$CV$8:$CV$154&gt;0)*'ANALYSE - ERP =&gt; SOUS-SEGMENT'!$CV$8:$CV$154)/SUMPRODUCT(('ANALYSE - ERP =&gt; SOUS-SEGMENT'!$C$8:$C$154=$C36)*'ANALYSE - ERP =&gt; SOUS-SEGMENT'!$DS$8:$DS$154*('ANALYSE - ERP =&gt; SOUS-SEGMENT'!$CV$8:$CV$154&gt;0)),"")</f>
        <v>10</v>
      </c>
      <c r="CT36" s="890">
        <f>IFERROR(SUMPRODUCT(('ANALYSE - ERP =&gt; SOUS-SEGMENT'!$C$8:$C$154=$C36)*'ANALYSE - ERP =&gt; SOUS-SEGMENT'!$DT$8:$DT$154*('ANALYSE - ERP =&gt; SOUS-SEGMENT'!$CW$8:$CW$154&gt;0)*'ANALYSE - ERP =&gt; SOUS-SEGMENT'!$CW$8:$CW$154)/SUMPRODUCT(('ANALYSE - ERP =&gt; SOUS-SEGMENT'!$C$8:$C$154=$C36)*'ANALYSE - ERP =&gt; SOUS-SEGMENT'!$DT$8:$DT$154*('ANALYSE - ERP =&gt; SOUS-SEGMENT'!$CW$8:$CW$154&gt;0)),"")</f>
        <v>10</v>
      </c>
      <c r="CU36" s="891" t="str">
        <f>IFERROR(SUMPRODUCT(('ANALYSE - ERP =&gt; SOUS-SEGMENT'!$C$8:$C$154=$C36)*'ANALYSE - ERP =&gt; SOUS-SEGMENT'!$DU$8:$DU$154*('ANALYSE - ERP =&gt; SOUS-SEGMENT'!$CX$8:$CX$154&gt;0)*'ANALYSE - ERP =&gt; SOUS-SEGMENT'!$CX$8:$CX$154)/SUMPRODUCT(('ANALYSE - ERP =&gt; SOUS-SEGMENT'!$C$8:$C$154=$C36)*'ANALYSE - ERP =&gt; SOUS-SEGMENT'!$DU$8:$DU$154*('ANALYSE - ERP =&gt; SOUS-SEGMENT'!$CX$8:$CX$154&gt;0)),"")</f>
        <v/>
      </c>
      <c r="CV36" s="889">
        <f>IFERROR(SUMPRODUCT(('ANALYSE - ERP =&gt; SOUS-SEGMENT'!$C$8:$C$154=$C36)*'ANALYSE - ERP =&gt; SOUS-SEGMENT'!$EB$8:$EB$154*('ANALYSE - ERP =&gt; SOUS-SEGMENT'!$CY$8:$CY$154&gt;0)*'ANALYSE - ERP =&gt; SOUS-SEGMENT'!$CY$8:$CY$154)/SUMPRODUCT(('ANALYSE - ERP =&gt; SOUS-SEGMENT'!$C$8:$C$154=$C36)*'ANALYSE - ERP =&gt; SOUS-SEGMENT'!$EB$8:$EB$154*('ANALYSE - ERP =&gt; SOUS-SEGMENT'!$CY$8:$CY$154&gt;0)),"")</f>
        <v>9</v>
      </c>
      <c r="CW36" s="890">
        <f>IFERROR(SUMPRODUCT(('ANALYSE - ERP =&gt; SOUS-SEGMENT'!$C$8:$C$154=$C36)*'ANALYSE - ERP =&gt; SOUS-SEGMENT'!$EC$8:$EC$154*('ANALYSE - ERP =&gt; SOUS-SEGMENT'!$CZ$8:$CZ$154&gt;0)*'ANALYSE - ERP =&gt; SOUS-SEGMENT'!$CZ$8:$CZ$154)/SUMPRODUCT(('ANALYSE - ERP =&gt; SOUS-SEGMENT'!$C$8:$C$154=$C36)*'ANALYSE - ERP =&gt; SOUS-SEGMENT'!$EC$8:$EC$154*('ANALYSE - ERP =&gt; SOUS-SEGMENT'!$CZ$8:$CZ$154&gt;0)),"")</f>
        <v>11</v>
      </c>
      <c r="CX36" s="890">
        <f>IFERROR(SUMPRODUCT(('ANALYSE - ERP =&gt; SOUS-SEGMENT'!$C$8:$C$154=$C36)*'ANALYSE - ERP =&gt; SOUS-SEGMENT'!$ED$8:$ED$154*('ANALYSE - ERP =&gt; SOUS-SEGMENT'!$DA$8:$DA$154&gt;0)*'ANALYSE - ERP =&gt; SOUS-SEGMENT'!$DA$8:$DA$154)/SUMPRODUCT(('ANALYSE - ERP =&gt; SOUS-SEGMENT'!$C$8:$C$154=$C36)*'ANALYSE - ERP =&gt; SOUS-SEGMENT'!$ED$8:$ED$154*('ANALYSE - ERP =&gt; SOUS-SEGMENT'!$DA$8:$DA$154&gt;0)),"")</f>
        <v>8</v>
      </c>
      <c r="CY36" s="892">
        <f>IFERROR(SUMPRODUCT(('ANALYSE - ERP =&gt; SOUS-SEGMENT'!$C$8:$C$154=$C36)*'ANALYSE - ERP =&gt; SOUS-SEGMENT'!$EE$8:$EE$154*('ANALYSE - ERP =&gt; SOUS-SEGMENT'!$DB$8:$DB$154&gt;0)*'ANALYSE - ERP =&gt; SOUS-SEGMENT'!$DB$8:$DB$154)/SUMPRODUCT(('ANALYSE - ERP =&gt; SOUS-SEGMENT'!$C$8:$C$154=$C36)*'ANALYSE - ERP =&gt; SOUS-SEGMENT'!$EE$8:$EE$154*('ANALYSE - ERP =&gt; SOUS-SEGMENT'!$DB$8:$DB$154&gt;0)),"")</f>
        <v>10</v>
      </c>
      <c r="CZ36" s="893">
        <f>IFERROR(SUMPRODUCT(('ANALYSE - ERP =&gt; SOUS-SEGMENT'!$C$8:$C$154=$C36)*'ANALYSE - ERP =&gt; SOUS-SEGMENT'!$EM$8:$EM$154*('ANALYSE - ERP =&gt; SOUS-SEGMENT'!$DC$8:$DC$154&gt;0)*'ANALYSE - ERP =&gt; SOUS-SEGMENT'!$DC$8:$DC$154)/SUMPRODUCT(('ANALYSE - ERP =&gt; SOUS-SEGMENT'!$C$8:$C$154=$C36)*'ANALYSE - ERP =&gt; SOUS-SEGMENT'!$EM$8:$EM$154*('ANALYSE - ERP =&gt; SOUS-SEGMENT'!$DC$8:$DC$154&gt;0)),"")</f>
        <v>10</v>
      </c>
      <c r="DA36" s="890">
        <f>IFERROR(SUMPRODUCT(('ANALYSE - ERP =&gt; SOUS-SEGMENT'!$C$8:$C$154=$C36)*'ANALYSE - ERP =&gt; SOUS-SEGMENT'!$EN$8:$EN$154*('ANALYSE - ERP =&gt; SOUS-SEGMENT'!$DD$8:$DD$154&gt;0)*'ANALYSE - ERP =&gt; SOUS-SEGMENT'!$DD$8:$DD$154)/SUMPRODUCT(('ANALYSE - ERP =&gt; SOUS-SEGMENT'!$C$8:$C$154=$C36)*'ANALYSE - ERP =&gt; SOUS-SEGMENT'!$EN$8:$EN$154*('ANALYSE - ERP =&gt; SOUS-SEGMENT'!$DD$8:$DD$154&gt;0)),"")</f>
        <v>11.000000000000002</v>
      </c>
      <c r="DB36" s="892">
        <f>IFERROR(SUMPRODUCT(('ANALYSE - ERP =&gt; SOUS-SEGMENT'!$C$8:$C$154=$C36)*'ANALYSE - ERP =&gt; SOUS-SEGMENT'!$EO$8:$EO$154*('ANALYSE - ERP =&gt; SOUS-SEGMENT'!$DE$8:$DE$154&gt;0)*'ANALYSE - ERP =&gt; SOUS-SEGMENT'!$DE$8:$DE$154)/SUMPRODUCT(('ANALYSE - ERP =&gt; SOUS-SEGMENT'!$C$8:$C$154=$C36)*'ANALYSE - ERP =&gt; SOUS-SEGMENT'!$EO$8:$EO$154*('ANALYSE - ERP =&gt; SOUS-SEGMENT'!$DE$8:$DE$154&gt;0)),"")</f>
        <v>9</v>
      </c>
      <c r="DC36" s="609" t="s">
        <v>7427</v>
      </c>
      <c r="DD36" s="657"/>
      <c r="DE36" s="308">
        <f t="shared" si="2"/>
        <v>764.34000000000015</v>
      </c>
      <c r="DF36" s="308">
        <f t="shared" si="3"/>
        <v>26751.9</v>
      </c>
      <c r="DG36" s="308">
        <f t="shared" si="4"/>
        <v>382.17000000000007</v>
      </c>
      <c r="DH36" s="308">
        <f t="shared" si="5"/>
        <v>10318.590000000002</v>
      </c>
      <c r="DI36" s="287" t="s">
        <v>7428</v>
      </c>
      <c r="DJ36" s="308">
        <f t="shared" si="6"/>
        <v>785.64</v>
      </c>
      <c r="DK36" s="308">
        <f t="shared" si="7"/>
        <v>27104.579999999998</v>
      </c>
      <c r="DL36" s="308">
        <f t="shared" si="8"/>
        <v>785.64</v>
      </c>
      <c r="DM36" s="308">
        <f t="shared" si="9"/>
        <v>10606.14</v>
      </c>
      <c r="DN36" s="287" t="s">
        <v>7429</v>
      </c>
      <c r="DO36" s="657"/>
      <c r="DP36" s="308">
        <f t="shared" si="10"/>
        <v>1557.75</v>
      </c>
      <c r="DQ36" s="308">
        <f t="shared" si="11"/>
        <v>6146.25</v>
      </c>
      <c r="DR36" s="308">
        <f t="shared" si="12"/>
        <v>0</v>
      </c>
      <c r="DS36" s="287" t="s">
        <v>7430</v>
      </c>
      <c r="DT36" s="308">
        <f t="shared" si="13"/>
        <v>1454.36</v>
      </c>
      <c r="DU36" s="308">
        <f t="shared" si="14"/>
        <v>6533.6399999999994</v>
      </c>
      <c r="DV36" s="308">
        <f t="shared" si="15"/>
        <v>0</v>
      </c>
      <c r="DW36" s="287" t="s">
        <v>7431</v>
      </c>
      <c r="DX36" s="657"/>
      <c r="DY36" s="308">
        <f t="shared" si="16"/>
        <v>52.1</v>
      </c>
      <c r="DZ36" s="308">
        <f t="shared" si="17"/>
        <v>416.8</v>
      </c>
      <c r="EA36" s="308">
        <f t="shared" si="18"/>
        <v>15.629999999999999</v>
      </c>
      <c r="EB36" s="308">
        <f t="shared" si="19"/>
        <v>36.470000000000006</v>
      </c>
      <c r="EC36" s="287" t="s">
        <v>7432</v>
      </c>
      <c r="ED36" s="308">
        <f t="shared" si="20"/>
        <v>54.7</v>
      </c>
      <c r="EE36" s="308">
        <f t="shared" si="21"/>
        <v>432.13000000000005</v>
      </c>
      <c r="EF36" s="308">
        <f t="shared" si="22"/>
        <v>21.879999999999995</v>
      </c>
      <c r="EG36" s="308">
        <f t="shared" si="23"/>
        <v>38.290000000000006</v>
      </c>
      <c r="EH36" s="614" t="s">
        <v>7433</v>
      </c>
      <c r="EI36" s="290"/>
      <c r="EJ36" s="308">
        <f t="shared" si="24"/>
        <v>17292.849999999999</v>
      </c>
      <c r="EK36" s="310">
        <f t="shared" si="25"/>
        <v>16770.349999999999</v>
      </c>
      <c r="EL36" s="310">
        <f t="shared" si="26"/>
        <v>1792.8</v>
      </c>
      <c r="EM36" s="287" t="s">
        <v>7434</v>
      </c>
      <c r="EN36" s="308">
        <f t="shared" si="27"/>
        <v>15855.35</v>
      </c>
      <c r="EO36" s="310">
        <f t="shared" si="28"/>
        <v>18790.23</v>
      </c>
      <c r="EP36" s="310">
        <f t="shared" si="29"/>
        <v>2211.42</v>
      </c>
      <c r="EQ36" s="289" t="s">
        <v>7435</v>
      </c>
      <c r="ER36" s="657"/>
      <c r="ES36" s="728">
        <f t="shared" si="30"/>
        <v>0.34011438191548415</v>
      </c>
      <c r="ET36" s="728">
        <f t="shared" si="31"/>
        <v>0.58248131768287637</v>
      </c>
      <c r="EU36" s="311">
        <f t="shared" si="32"/>
        <v>45156.144378636367</v>
      </c>
      <c r="EV36" s="311">
        <f t="shared" si="33"/>
        <v>31903.195188636364</v>
      </c>
      <c r="EW36" s="311">
        <f t="shared" si="34"/>
        <v>13252.949189999999</v>
      </c>
      <c r="EX36" s="311">
        <f t="shared" si="35"/>
        <v>20962.536526818181</v>
      </c>
      <c r="EY36" s="311">
        <f>SUMPRODUCT(('ANALYSE - ERP =&gt; SOUS-SEGMENT'!$C$8:$C$154=$C36)*'ANALYSE - ERP =&gt; SOUS-SEGMENT'!$Q$8:$Q$154*'ANALYSE - ERP =&gt; SOUS-SEGMENT'!$FB$8:$FB$154)</f>
        <v>14837.768406818181</v>
      </c>
      <c r="EZ36" s="311">
        <f>SUMPRODUCT(('ANALYSE - ERP =&gt; SOUS-SEGMENT'!$C$8:$C$154=$C36)*'ANALYSE - ERP =&gt; SOUS-SEGMENT'!$Q$8:$Q$154*'ANALYSE - ERP =&gt; SOUS-SEGMENT'!$FC$8:$FC$154)</f>
        <v>6124.7681200000006</v>
      </c>
      <c r="FA36" s="311">
        <f t="shared" si="36"/>
        <v>4351.7987899999998</v>
      </c>
      <c r="FB36" s="311">
        <f>SUMPRODUCT(('ANALYSE - ERP =&gt; SOUS-SEGMENT'!$C$8:$C$154=$C36)*'ANALYSE - ERP =&gt; SOUS-SEGMENT'!$Q$8:$Q$154*'ANALYSE - ERP =&gt; SOUS-SEGMENT'!$FE$8:$FE$154)</f>
        <v>3062.25</v>
      </c>
      <c r="FC36" s="311">
        <f>SUMPRODUCT(('ANALYSE - ERP =&gt; SOUS-SEGMENT'!$C$8:$C$154=$C36)*'ANALYSE - ERP =&gt; SOUS-SEGMENT'!$Q$8:$Q$154*'ANALYSE - ERP =&gt; SOUS-SEGMENT'!$FF$8:$FF$154)</f>
        <v>1289.5487900000001</v>
      </c>
      <c r="FD36" s="311">
        <f t="shared" si="37"/>
        <v>295.60307</v>
      </c>
      <c r="FE36" s="311">
        <f>SUMPRODUCT(('ANALYSE - ERP =&gt; SOUS-SEGMENT'!$C$8:$C$154=$C36)*'ANALYSE - ERP =&gt; SOUS-SEGMENT'!$Q$8:$Q$154*'ANALYSE - ERP =&gt; SOUS-SEGMENT'!$FH$8:$FH$154)</f>
        <v>201.90110000000001</v>
      </c>
      <c r="FF36" s="311">
        <f>SUMPRODUCT(('ANALYSE - ERP =&gt; SOUS-SEGMENT'!$C$8:$C$154=$C36)*'ANALYSE - ERP =&gt; SOUS-SEGMENT'!$Q$8:$Q$154*'ANALYSE - ERP =&gt; SOUS-SEGMENT'!$FI$8:$FI$154)</f>
        <v>93.701969999999989</v>
      </c>
      <c r="FG36" s="311">
        <f t="shared" si="38"/>
        <v>19546.205991818184</v>
      </c>
      <c r="FH36" s="311">
        <f>SUMPRODUCT(('ANALYSE - ERP =&gt; SOUS-SEGMENT'!$C$8:$C$154=$C36)*'ANALYSE - ERP =&gt; SOUS-SEGMENT'!$Q$8:$Q$154*'ANALYSE - ERP =&gt; SOUS-SEGMENT'!$FK$8:$FK$154)</f>
        <v>13801.275681818184</v>
      </c>
      <c r="FI36" s="311">
        <f>SUMPRODUCT(('ANALYSE - ERP =&gt; SOUS-SEGMENT'!$C$8:$C$154=$C36)*'ANALYSE - ERP =&gt; SOUS-SEGMENT'!$Q$8:$Q$154*'ANALYSE - ERP =&gt; SOUS-SEGMENT'!$FL$8:$FL$154)</f>
        <v>5744.9303099999997</v>
      </c>
      <c r="FJ36" s="657"/>
      <c r="FK36" s="293" t="s">
        <v>2649</v>
      </c>
      <c r="FL36" s="728">
        <f>IFERROR(SUMPRODUCT(('ANALYSE - ERP =&gt; SOUS-SEGMENT'!$C$8:$C$154=$C36)*'ANALYSE - ERP =&gt; SOUS-SEGMENT'!$Q$8:$Q$154*'ANALYSE - ERP =&gt; SOUS-SEGMENT'!$AF$8:$AF$154*'ANALYSE - ERP =&gt; SOUS-SEGMENT'!$FO$8:$FO$154)/SUMPRODUCT(('ANALYSE - ERP =&gt; SOUS-SEGMENT'!$C$8:$C$154=$C36)*'ANALYSE - ERP =&gt; SOUS-SEGMENT'!$Q$8:$Q$154*'ANALYSE - ERP =&gt; SOUS-SEGMENT'!$AF$8:$AF$154),"")</f>
        <v>9.9854743589743583E-2</v>
      </c>
      <c r="FM36" s="729">
        <f>IFERROR(SUMPRODUCT(('ANALYSE - ERP =&gt; SOUS-SEGMENT'!$C$8:$C$154=$C36)*'ANALYSE - ERP =&gt; SOUS-SEGMENT'!$Q$8:$Q$154*'ANALYSE - ERP =&gt; SOUS-SEGMENT'!$AF$8:$AF$154*'ANALYSE - ERP =&gt; SOUS-SEGMENT'!$FP$8:$FP$154)/SUMPRODUCT(('ANALYSE - ERP =&gt; SOUS-SEGMENT'!$C$8:$C$154=$C36)*'ANALYSE - ERP =&gt; SOUS-SEGMENT'!$Q$8:$Q$154*'ANALYSE - ERP =&gt; SOUS-SEGMENT'!$AF$8:$AF$154),"")</f>
        <v>0.9</v>
      </c>
      <c r="FN36" s="294" t="s">
        <v>6780</v>
      </c>
      <c r="FO36" s="657"/>
      <c r="FP36" s="865">
        <f>IFERROR(SUMPRODUCT(('ANALYSE - ERP =&gt; SOUS-SEGMENT'!$C$8:$C$154=$C36)*'ANALYSE - ERP =&gt; SOUS-SEGMENT'!$Q$8:$Q$154*'ANALYSE - ERP =&gt; SOUS-SEGMENT'!$EX$8:$EX$154*'ANALYSE - ERP =&gt; SOUS-SEGMENT'!$FS$8:$FS$154)/SUMPRODUCT(('ANALYSE - ERP =&gt; SOUS-SEGMENT'!$C$8:$C$154=$C36)*'ANALYSE - ERP =&gt; SOUS-SEGMENT'!$Q$8:$Q$154*'ANALYSE - ERP =&gt; SOUS-SEGMENT'!$EX$8:$EX$154),"")</f>
        <v>3.8803746808242439</v>
      </c>
      <c r="FQ36" s="312">
        <f>RANK($FP36,$FP$8:$FP$143,0)+COUNTIF($FP$8:$FP36,$FP36)-1</f>
        <v>1</v>
      </c>
      <c r="FR36" s="865">
        <f>IFERROR(SUMPRODUCT(('ANALYSE - ERP =&gt; SOUS-SEGMENT'!$C$8:$C$154=$C36)*'ANALYSE - ERP =&gt; SOUS-SEGMENT'!$Q$8:$Q$154*'ANALYSE - ERP =&gt; SOUS-SEGMENT'!$EY$8:$EY$154*'ANALYSE - ERP =&gt; SOUS-SEGMENT'!$FU$8:$FU$154)/SUMPRODUCT(('ANALYSE - ERP =&gt; SOUS-SEGMENT'!$C$8:$C$154=$C36)*'ANALYSE - ERP =&gt; SOUS-SEGMENT'!$Q$8:$Q$154*'ANALYSE - ERP =&gt; SOUS-SEGMENT'!$EY$8:$EY$154),"")</f>
        <v>4.3200603438247116</v>
      </c>
      <c r="FS36" s="312">
        <f>RANK($FR36,$FR$8:$FR$143,0)+COUNTIF($FR$8:$FR36,$FR36)-1</f>
        <v>6</v>
      </c>
      <c r="FT36" s="865">
        <f>IFERROR(SUMPRODUCT(('ANALYSE - ERP =&gt; SOUS-SEGMENT'!$C$8:$C$154=$C36)*'ANALYSE - ERP =&gt; SOUS-SEGMENT'!$Q$8:$Q$154*'ANALYSE - ERP =&gt; SOUS-SEGMENT'!$EZ$8:$EZ$154*'ANALYSE - ERP =&gt; SOUS-SEGMENT'!$FW$8:$FW$154)/SUMPRODUCT(('ANALYSE - ERP =&gt; SOUS-SEGMENT'!$C$8:$C$154=$C36)*'ANALYSE - ERP =&gt; SOUS-SEGMENT'!$Q$8:$Q$154*'ANALYSE - ERP =&gt; SOUS-SEGMENT'!$EZ$8:$EZ$154),"")</f>
        <v>3.425208392555529</v>
      </c>
      <c r="FU36" s="312">
        <f>RANK($FT36,$FT$8:$FT$143,0)+COUNTIF($FT$8:$FT36,$FT36)-1</f>
        <v>2</v>
      </c>
      <c r="FV36" s="657"/>
      <c r="FW36" s="296" t="s">
        <v>7436</v>
      </c>
      <c r="FX36" s="296" t="s">
        <v>7437</v>
      </c>
      <c r="FY36" s="296" t="s">
        <v>7438</v>
      </c>
      <c r="FZ36" s="296" t="s">
        <v>7439</v>
      </c>
      <c r="GA36" s="296" t="s">
        <v>7440</v>
      </c>
      <c r="GB36" s="296" t="s">
        <v>7441</v>
      </c>
      <c r="GC36" s="296" t="s">
        <v>6759</v>
      </c>
      <c r="GD36" s="657"/>
      <c r="GE36" s="311">
        <f>SUMPRODUCT(('ANALYSE - ERP =&gt; SOUS-SEGMENT'!$C$8:$C$154=$C36)*'ANALYSE - ERP =&gt; SOUS-SEGMENT'!$Q$8:$Q$154*'ANALYSE - ERP =&gt; SOUS-SEGMENT'!$GH$8:$GH$154)</f>
        <v>427.15796239999997</v>
      </c>
      <c r="GF36" s="311">
        <f>SUMPRODUCT(('ANALYSE - ERP =&gt; SOUS-SEGMENT'!$C$8:$C$154=$C36)*'ANALYSE - ERP =&gt; SOUS-SEGMENT'!$Q$8:$Q$154*'ANALYSE - ERP =&gt; SOUS-SEGMENT'!$GI$8:$GI$154)</f>
        <v>304.6626</v>
      </c>
      <c r="GG36" s="311">
        <f>SUMPRODUCT(('ANALYSE - ERP =&gt; SOUS-SEGMENT'!$C$8:$C$154=$C36)*'ANALYSE - ERP =&gt; SOUS-SEGMENT'!$Q$8:$Q$154*'ANALYSE - ERP =&gt; SOUS-SEGMENT'!$GJ$8:$GJ$154)</f>
        <v>122.4953624</v>
      </c>
      <c r="GH36" s="311">
        <f>SUMPRODUCT(('ANALYSE - ERP =&gt; SOUS-SEGMENT'!$C$8:$C$154=$C36)*'ANALYSE - ERP =&gt; SOUS-SEGMENT'!$Q$8:$Q$154*'ANALYSE - ERP =&gt; SOUS-SEGMENT'!$GK$8:$GK$154)</f>
        <v>13999.738184618182</v>
      </c>
      <c r="GI36" s="311">
        <f>SUMPRODUCT(('ANALYSE - ERP =&gt; SOUS-SEGMENT'!$C$8:$C$154=$C36)*'ANALYSE - ERP =&gt; SOUS-SEGMENT'!$Q$8:$Q$154*'ANALYSE - ERP =&gt; SOUS-SEGMENT'!$GL$8:$GL$154)</f>
        <v>9773.6481818181819</v>
      </c>
      <c r="GJ36" s="311">
        <f>SUMPRODUCT(('ANALYSE - ERP =&gt; SOUS-SEGMENT'!$C$8:$C$154=$C36)*'ANALYSE - ERP =&gt; SOUS-SEGMENT'!$Q$8:$Q$154*'ANALYSE - ERP =&gt; SOUS-SEGMENT'!$GM$8:$GM$154)</f>
        <v>4226.0900028000005</v>
      </c>
      <c r="GK36" s="311">
        <f>SUMPRODUCT(('ANALYSE - ERP =&gt; SOUS-SEGMENT'!$C$8:$C$154=$C36)*'ANALYSE - ERP =&gt; SOUS-SEGMENT'!$Q$8:$Q$154*'ANALYSE - ERP =&gt; SOUS-SEGMENT'!$GN$8:$GN$154)</f>
        <v>314.22798740000007</v>
      </c>
      <c r="GL36" s="311">
        <f>SUMPRODUCT(('ANALYSE - ERP =&gt; SOUS-SEGMENT'!$C$8:$C$154=$C36)*'ANALYSE - ERP =&gt; SOUS-SEGMENT'!$Q$8:$Q$154*'ANALYSE - ERP =&gt; SOUS-SEGMENT'!$GO$8:$GO$154)</f>
        <v>191.73262500000001</v>
      </c>
      <c r="GM36" s="311">
        <f>SUMPRODUCT(('ANALYSE - ERP =&gt; SOUS-SEGMENT'!$C$8:$C$154=$C36)*'ANALYSE - ERP =&gt; SOUS-SEGMENT'!$Q$8:$Q$154*'ANALYSE - ERP =&gt; SOUS-SEGMENT'!$GP$8:$GP$154)</f>
        <v>122.4953624</v>
      </c>
      <c r="GN36" s="311">
        <f>SUMPRODUCT(('ANALYSE - ERP =&gt; SOUS-SEGMENT'!$C$8:$C$154=$C36)*'ANALYSE - ERP =&gt; SOUS-SEGMENT'!$Q$8:$Q$154*'ANALYSE - ERP =&gt; SOUS-SEGMENT'!$GQ$8:$GQ$154)</f>
        <v>6221.4123924000014</v>
      </c>
      <c r="GO36" s="311">
        <f>SUMPRODUCT(('ANALYSE - ERP =&gt; SOUS-SEGMENT'!$C$8:$C$154=$C36)*'ANALYSE - ERP =&gt; SOUS-SEGMENT'!$Q$8:$Q$154*'ANALYSE - ERP =&gt; SOUS-SEGMENT'!$GR$8:$GR$154)</f>
        <v>4567.7250000000004</v>
      </c>
      <c r="GP36" s="311">
        <f>SUMPRODUCT(('ANALYSE - ERP =&gt; SOUS-SEGMENT'!$C$8:$C$154=$C36)*'ANALYSE - ERP =&gt; SOUS-SEGMENT'!$Q$8:$Q$154*'ANALYSE - ERP =&gt; SOUS-SEGMENT'!$GS$8:$GS$154)</f>
        <v>1653.6873924000004</v>
      </c>
      <c r="GQ36" s="311">
        <f>SUMPRODUCT(('ANALYSE - ERP =&gt; SOUS-SEGMENT'!$C$8:$C$154=$C36)*'ANALYSE - ERP =&gt; SOUS-SEGMENT'!$Q$8:$Q$154*'ANALYSE - ERP =&gt; SOUS-SEGMENT'!$GT$8:$GT$154)</f>
        <v>856.80288180000002</v>
      </c>
      <c r="GR36" s="311">
        <f>SUMPRODUCT(('ANALYSE - ERP =&gt; SOUS-SEGMENT'!$C$8:$C$154=$C36)*'ANALYSE - ERP =&gt; SOUS-SEGMENT'!$Q$8:$Q$154*'ANALYSE - ERP =&gt; SOUS-SEGMENT'!$GU$8:$GU$154)</f>
        <v>620.1</v>
      </c>
      <c r="GS36" s="311">
        <f>SUMPRODUCT(('ANALYSE - ERP =&gt; SOUS-SEGMENT'!$C$8:$C$154=$C36)*'ANALYSE - ERP =&gt; SOUS-SEGMENT'!$Q$8:$Q$154*'ANALYSE - ERP =&gt; SOUS-SEGMENT'!$GV$8:$GV$154)</f>
        <v>236.70288180000003</v>
      </c>
      <c r="GT36" s="311">
        <f>SUMPRODUCT(('ANALYSE - ERP =&gt; SOUS-SEGMENT'!$C$8:$C$154=$C36)*'ANALYSE - ERP =&gt; SOUS-SEGMENT'!$Q$8:$Q$154*'ANALYSE - ERP =&gt; SOUS-SEGMENT'!$GW$8:$GW$154)</f>
        <v>3494.9959082</v>
      </c>
      <c r="GU36" s="311">
        <f>SUMPRODUCT(('ANALYSE - ERP =&gt; SOUS-SEGMENT'!$C$8:$C$154=$C36)*'ANALYSE - ERP =&gt; SOUS-SEGMENT'!$Q$8:$Q$154*'ANALYSE - ERP =&gt; SOUS-SEGMENT'!$GX$8:$GX$154)</f>
        <v>2442.15</v>
      </c>
      <c r="GV36" s="311">
        <f>SUMPRODUCT(('ANALYSE - ERP =&gt; SOUS-SEGMENT'!$C$8:$C$154=$C36)*'ANALYSE - ERP =&gt; SOUS-SEGMENT'!$Q$8:$Q$154*'ANALYSE - ERP =&gt; SOUS-SEGMENT'!$GY$8:$GY$154)</f>
        <v>1052.8459081999999</v>
      </c>
      <c r="GW36" s="311">
        <f>SUMPRODUCT(('ANALYSE - ERP =&gt; SOUS-SEGMENT'!$C$8:$C$154=$C36)*'ANALYSE - ERP =&gt; SOUS-SEGMENT'!$Q$8:$Q$154*'ANALYSE - ERP =&gt; SOUS-SEGMENT'!$GZ$8:$GZ$154)</f>
        <v>0</v>
      </c>
      <c r="GX36" s="311">
        <f>SUMPRODUCT(('ANALYSE - ERP =&gt; SOUS-SEGMENT'!$C$8:$C$154=$C36)*'ANALYSE - ERP =&gt; SOUS-SEGMENT'!$Q$8:$Q$154*'ANALYSE - ERP =&gt; SOUS-SEGMENT'!$HA$8:$HA$154)</f>
        <v>0</v>
      </c>
      <c r="GY36" s="311">
        <f>SUMPRODUCT(('ANALYSE - ERP =&gt; SOUS-SEGMENT'!$C$8:$C$154=$C36)*'ANALYSE - ERP =&gt; SOUS-SEGMENT'!$Q$8:$Q$154*'ANALYSE - ERP =&gt; SOUS-SEGMENT'!$HB$8:$HB$154)</f>
        <v>0</v>
      </c>
      <c r="GZ36" s="311">
        <f>SUMPRODUCT(('ANALYSE - ERP =&gt; SOUS-SEGMENT'!$C$8:$C$154=$C36)*'ANALYSE - ERP =&gt; SOUS-SEGMENT'!$Q$8:$Q$154*'ANALYSE - ERP =&gt; SOUS-SEGMENT'!$HC$8:$HC$154)</f>
        <v>32.910197000000004</v>
      </c>
      <c r="HA36" s="311">
        <f>SUMPRODUCT(('ANALYSE - ERP =&gt; SOUS-SEGMENT'!$C$8:$C$154=$C36)*'ANALYSE - ERP =&gt; SOUS-SEGMENT'!$Q$8:$Q$154*'ANALYSE - ERP =&gt; SOUS-SEGMENT'!$HD$8:$HD$154)</f>
        <v>23.54</v>
      </c>
      <c r="HB36" s="311">
        <f>SUMPRODUCT(('ANALYSE - ERP =&gt; SOUS-SEGMENT'!$C$8:$C$154=$C36)*'ANALYSE - ERP =&gt; SOUS-SEGMENT'!$Q$8:$Q$154*'ANALYSE - ERP =&gt; SOUS-SEGMENT'!$HE$8:$HE$154)</f>
        <v>9.370197000000001</v>
      </c>
      <c r="HC36" s="311">
        <f>SUMPRODUCT(('ANALYSE - ERP =&gt; SOUS-SEGMENT'!$C$8:$C$154=$C36)*'ANALYSE - ERP =&gt; SOUS-SEGMENT'!$Q$8:$Q$154*'ANALYSE - ERP =&gt; SOUS-SEGMENT'!$HF$8:$HF$154)</f>
        <v>229.54455630000001</v>
      </c>
      <c r="HD36" s="311">
        <f>SUMPRODUCT(('ANALYSE - ERP =&gt; SOUS-SEGMENT'!$C$8:$C$154=$C36)*'ANALYSE - ERP =&gt; SOUS-SEGMENT'!$Q$8:$Q$154*'ANALYSE - ERP =&gt; SOUS-SEGMENT'!$HG$8:$HG$154)</f>
        <v>155.52000000000001</v>
      </c>
      <c r="HE36" s="311">
        <f>SUMPRODUCT(('ANALYSE - ERP =&gt; SOUS-SEGMENT'!$C$8:$C$154=$C36)*'ANALYSE - ERP =&gt; SOUS-SEGMENT'!$Q$8:$Q$154*'ANALYSE - ERP =&gt; SOUS-SEGMENT'!$HH$8:$HH$154)</f>
        <v>74.0245563</v>
      </c>
      <c r="HF36" s="311">
        <f>SUMPRODUCT(('ANALYSE - ERP =&gt; SOUS-SEGMENT'!$C$8:$C$154=$C36)*'ANALYSE - ERP =&gt; SOUS-SEGMENT'!$Q$8:$Q$154*'ANALYSE - ERP =&gt; SOUS-SEGMENT'!$HI$8:$HI$154)</f>
        <v>11.740078800000001</v>
      </c>
      <c r="HG36" s="311">
        <f>SUMPRODUCT(('ANALYSE - ERP =&gt; SOUS-SEGMENT'!$C$8:$C$154=$C36)*'ANALYSE - ERP =&gt; SOUS-SEGMENT'!$Q$8:$Q$154*'ANALYSE - ERP =&gt; SOUS-SEGMENT'!$HJ$8:$HJ$154)</f>
        <v>7.9919999999999982</v>
      </c>
      <c r="HH36" s="311">
        <f>SUMPRODUCT(('ANALYSE - ERP =&gt; SOUS-SEGMENT'!$C$8:$C$154=$C36)*'ANALYSE - ERP =&gt; SOUS-SEGMENT'!$Q$8:$Q$154*'ANALYSE - ERP =&gt; SOUS-SEGMENT'!$HK$8:$HK$154)</f>
        <v>3.7480788</v>
      </c>
      <c r="HI36" s="311">
        <f>SUMPRODUCT(('ANALYSE - ERP =&gt; SOUS-SEGMENT'!$C$8:$C$154=$C36)*'ANALYSE - ERP =&gt; SOUS-SEGMENT'!$Q$8:$Q$154*'ANALYSE - ERP =&gt; SOUS-SEGMENT'!$HL$8:$HL$154)</f>
        <v>21.4082379</v>
      </c>
      <c r="HJ36" s="311">
        <f>SUMPRODUCT(('ANALYSE - ERP =&gt; SOUS-SEGMENT'!$C$8:$C$154=$C36)*'ANALYSE - ERP =&gt; SOUS-SEGMENT'!$Q$8:$Q$154*'ANALYSE - ERP =&gt; SOUS-SEGMENT'!$HM$8:$HM$154)</f>
        <v>14.849100000000002</v>
      </c>
      <c r="HK36" s="311">
        <f>SUMPRODUCT(('ANALYSE - ERP =&gt; SOUS-SEGMENT'!$C$8:$C$154=$C36)*'ANALYSE - ERP =&gt; SOUS-SEGMENT'!$Q$8:$Q$154*'ANALYSE - ERP =&gt; SOUS-SEGMENT'!$HN$8:$HN$154)</f>
        <v>6.5591379000000014</v>
      </c>
      <c r="HL36" s="311">
        <f>SUMPRODUCT(('ANALYSE - ERP =&gt; SOUS-SEGMENT'!$C$8:$C$154=$C36)*'ANALYSE - ERP =&gt; SOUS-SEGMENT'!$Q$8:$Q$154*'ANALYSE - ERP =&gt; SOUS-SEGMENT'!$HO$8:$HO$154)</f>
        <v>9421.8307055000005</v>
      </c>
      <c r="HM36" s="311">
        <f>SUMPRODUCT(('ANALYSE - ERP =&gt; SOUS-SEGMENT'!$C$8:$C$154=$C36)*'ANALYSE - ERP =&gt; SOUS-SEGMENT'!$Q$8:$Q$154*'ANALYSE - ERP =&gt; SOUS-SEGMENT'!$HP$8:$HP$154)</f>
        <v>6984.067500000001</v>
      </c>
      <c r="HN36" s="311">
        <f>SUMPRODUCT(('ANALYSE - ERP =&gt; SOUS-SEGMENT'!$C$8:$C$154=$C36)*'ANALYSE - ERP =&gt; SOUS-SEGMENT'!$Q$8:$Q$154*'ANALYSE - ERP =&gt; SOUS-SEGMENT'!$HQ$8:$HQ$154)</f>
        <v>2437.7632054999999</v>
      </c>
      <c r="HO36" s="311">
        <f>SUMPRODUCT(('ANALYSE - ERP =&gt; SOUS-SEGMENT'!$C$8:$C$154=$C36)*'ANALYSE - ERP =&gt; SOUS-SEGMENT'!$Q$8:$Q$154*'ANALYSE - ERP =&gt; SOUS-SEGMENT'!$HR$8:$HR$154)</f>
        <v>8986.7644677181815</v>
      </c>
      <c r="HP36" s="311">
        <f>SUMPRODUCT(('ANALYSE - ERP =&gt; SOUS-SEGMENT'!$C$8:$C$154=$C36)*'ANALYSE - ERP =&gt; SOUS-SEGMENT'!$Q$8:$Q$154*'ANALYSE - ERP =&gt; SOUS-SEGMENT'!$HS$8:$HS$154)</f>
        <v>6024.2931818181823</v>
      </c>
      <c r="HQ36" s="311">
        <f>SUMPRODUCT(('ANALYSE - ERP =&gt; SOUS-SEGMENT'!$C$8:$C$154=$C36)*'ANALYSE - ERP =&gt; SOUS-SEGMENT'!$Q$8:$Q$154*'ANALYSE - ERP =&gt; SOUS-SEGMENT'!$HT$8:$HT$154)</f>
        <v>2962.4712859000001</v>
      </c>
      <c r="HR36" s="311">
        <f>SUMPRODUCT(('ANALYSE - ERP =&gt; SOUS-SEGMENT'!$C$8:$C$154=$C36)*'ANALYSE - ERP =&gt; SOUS-SEGMENT'!$Q$8:$Q$154*'ANALYSE - ERP =&gt; SOUS-SEGMENT'!$HU$8:$HU$154)</f>
        <v>1137.6108185999999</v>
      </c>
      <c r="HS36" s="311">
        <f>SUMPRODUCT(('ANALYSE - ERP =&gt; SOUS-SEGMENT'!$C$8:$C$154=$C36)*'ANALYSE - ERP =&gt; SOUS-SEGMENT'!$Q$8:$Q$154*'ANALYSE - ERP =&gt; SOUS-SEGMENT'!$HV$8:$HV$154)</f>
        <v>792.91500000000008</v>
      </c>
      <c r="HT36" s="311">
        <f>SUMPRODUCT(('ANALYSE - ERP =&gt; SOUS-SEGMENT'!$C$8:$C$154=$C36)*'ANALYSE - ERP =&gt; SOUS-SEGMENT'!$Q$8:$Q$154*'ANALYSE - ERP =&gt; SOUS-SEGMENT'!$HW$8:$HW$154)</f>
        <v>344.6958186</v>
      </c>
      <c r="HV36" s="313">
        <f t="shared" si="40"/>
        <v>14590</v>
      </c>
      <c r="HW36" s="313">
        <f>SUMPRODUCT(('ANALYSE - ERP =&gt; SOUS-SEGMENT'!$C$8:$C$154=$C36)*'ANALYSE - ERP =&gt; SOUS-SEGMENT'!$Q$8:$Q$154*'ANALYSE - ERP =&gt; SOUS-SEGMENT'!$HZ$8:$HZ$154)</f>
        <v>14191.085999999999</v>
      </c>
      <c r="HX36" s="313">
        <f>SUMPRODUCT(('ANALYSE - ERP =&gt; SOUS-SEGMENT'!$C$8:$C$154=$C36)*'ANALYSE - ERP =&gt; SOUS-SEGMENT'!$Q$8:$Q$154*'ANALYSE - ERP =&gt; SOUS-SEGMENT'!$IA$8:$IA$154)</f>
        <v>55787.124000000003</v>
      </c>
      <c r="HY36" s="313">
        <f>SUMPRODUCT(('ANALYSE - ERP =&gt; SOUS-SEGMENT'!$C$8:$C$154=$C36)*'ANALYSE - ERP =&gt; SOUS-SEGMENT'!$Q$8:$Q$154*'ANALYSE - ERP =&gt; SOUS-SEGMENT'!$IB$8:$IB$154)</f>
        <v>12291.7572</v>
      </c>
      <c r="HZ36" s="313">
        <f>SUMPRODUCT(('ANALYSE - ERP =&gt; SOUS-SEGMENT'!$C$8:$C$154=$C36)*'ANALYSE - ERP =&gt; SOUS-SEGMENT'!$Q$8:$Q$154*'ANALYSE - ERP =&gt; SOUS-SEGMENT'!$IC$8:$IC$154)</f>
        <v>27.9132</v>
      </c>
      <c r="IA36" s="313">
        <f>SUMPRODUCT(('ANALYSE - ERP =&gt; SOUS-SEGMENT'!$C$8:$C$154=$C36)*'ANALYSE - ERP =&gt; SOUS-SEGMENT'!$Q$8:$Q$154*'ANALYSE - ERP =&gt; SOUS-SEGMENT'!$ID$8:$ID$154)</f>
        <v>0.11960000000000001</v>
      </c>
      <c r="IB36" s="313">
        <f>SUMPRODUCT(('ANALYSE - ERP =&gt; SOUS-SEGMENT'!$C$8:$C$154=$C36)*'ANALYSE - ERP =&gt; SOUS-SEGMENT'!$Q$8:$Q$154*'ANALYSE - ERP =&gt; SOUS-SEGMENT'!$IE$8:$IE$154)</f>
        <v>31903.195188636364</v>
      </c>
      <c r="IC36" s="313">
        <f>SUMPRODUCT(('ANALYSE - ERP =&gt; SOUS-SEGMENT'!$C$8:$C$154=$C36)*'ANALYSE - ERP =&gt; SOUS-SEGMENT'!$Q$8:$Q$154*'ANALYSE - ERP =&gt; SOUS-SEGMENT'!$IF$8:$IF$154)</f>
        <v>2138.9754578915908</v>
      </c>
      <c r="ID36" s="313">
        <f>SUMPRODUCT(('ANALYSE - ERP =&gt; SOUS-SEGMENT'!$C$8:$C$154=$C36)*'ANALYSE - ERP =&gt; SOUS-SEGMENT'!$Q$8:$Q$154*'ANALYSE - ERP =&gt; SOUS-SEGMENT'!$IG$8:$IG$154)</f>
        <v>19761.012518851367</v>
      </c>
      <c r="IE36" s="313">
        <f>SUMPRODUCT(('ANALYSE - ERP =&gt; SOUS-SEGMENT'!$C$8:$C$154=$C36)*'ANALYSE - ERP =&gt; SOUS-SEGMENT'!$Q$8:$Q$154*'ANALYSE - ERP =&gt; SOUS-SEGMENT'!$IH$8:$IH$154)</f>
        <v>9955.0351388102281</v>
      </c>
      <c r="IF36" s="313">
        <f>SUMPRODUCT(('ANALYSE - ERP =&gt; SOUS-SEGMENT'!$C$8:$C$154=$C36)*'ANALYSE - ERP =&gt; SOUS-SEGMENT'!$Q$8:$Q$154*'ANALYSE - ERP =&gt; SOUS-SEGMENT'!$II$8:$II$154)</f>
        <v>47.660256266818173</v>
      </c>
      <c r="IG36" s="313">
        <f>SUMPRODUCT(('ANALYSE - ERP =&gt; SOUS-SEGMENT'!$C$8:$C$154=$C36)*'ANALYSE - ERP =&gt; SOUS-SEGMENT'!$Q$8:$Q$154*'ANALYSE - ERP =&gt; SOUS-SEGMENT'!$IJ$8:$IJ$154)</f>
        <v>0.51181681636363641</v>
      </c>
      <c r="IH36" s="866"/>
      <c r="II36" s="314" t="s">
        <v>2589</v>
      </c>
      <c r="IJ36" s="299" t="s">
        <v>6760</v>
      </c>
      <c r="IK36" s="657"/>
      <c r="IL36" s="747">
        <f>IFERROR(SUMPRODUCT(('ANALYSE - ERP =&gt; SOUS-SEGMENT'!$C$8:$C$154=$C36)*'ANALYSE - ERP =&gt; SOUS-SEGMENT'!$Q$8:$Q$154*'ANALYSE - ERP =&gt; SOUS-SEGMENT'!$BE$8:$BE$154*'ANALYSE - ERP =&gt; SOUS-SEGMENT'!$IO$8:$IO$154)/SUMPRODUCT(('ANALYSE - ERP =&gt; SOUS-SEGMENT'!$C$8:$C$154=$C36)*'ANALYSE - ERP =&gt; SOUS-SEGMENT'!$Q$8:$Q$154*'ANALYSE - ERP =&gt; SOUS-SEGMENT'!$BE$8:$BE$154),0)</f>
        <v>0.131986160609153</v>
      </c>
      <c r="IM36" s="748">
        <f>IFERROR(SUMPRODUCT(('ANALYSE - ERP =&gt; SOUS-SEGMENT'!$C$8:$C$154=$C36)*'ANALYSE - ERP =&gt; SOUS-SEGMENT'!$Q$8:$Q$154*'ANALYSE - ERP =&gt; SOUS-SEGMENT'!$BE$8:$BE$154*'ANALYSE - ERP =&gt; SOUS-SEGMENT'!$IP$8:$IP$154)/SUMPRODUCT(('ANALYSE - ERP =&gt; SOUS-SEGMENT'!$C$8:$C$154=$C36)*'ANALYSE - ERP =&gt; SOUS-SEGMENT'!$Q$8:$Q$154*'ANALYSE - ERP =&gt; SOUS-SEGMENT'!$BE$8:$BE$154),0)</f>
        <v>0.68295089619802707</v>
      </c>
      <c r="IN36" s="748">
        <f>IFERROR(SUMPRODUCT(('ANALYSE - ERP =&gt; SOUS-SEGMENT'!$C$8:$C$154=$C36)*'ANALYSE - ERP =&gt; SOUS-SEGMENT'!$Q$8:$Q$154*'ANALYSE - ERP =&gt; SOUS-SEGMENT'!$BE$8:$BE$154*'ANALYSE - ERP =&gt; SOUS-SEGMENT'!$IQ$8:$IQ$154)/SUMPRODUCT(('ANALYSE - ERP =&gt; SOUS-SEGMENT'!$C$8:$C$154=$C36)*'ANALYSE - ERP =&gt; SOUS-SEGMENT'!$Q$8:$Q$154*'ANALYSE - ERP =&gt; SOUS-SEGMENT'!$BE$8:$BE$154),0)</f>
        <v>0.18474605803699923</v>
      </c>
      <c r="IO36" s="748">
        <f>IFERROR(SUMPRODUCT(('ANALYSE - ERP =&gt; SOUS-SEGMENT'!$C$8:$C$154=$C36)*'ANALYSE - ERP =&gt; SOUS-SEGMENT'!$Q$8:$Q$154*'ANALYSE - ERP =&gt; SOUS-SEGMENT'!$BE$8:$BE$154*'ANALYSE - ERP =&gt; SOUS-SEGMENT'!$IR$8:$IR$154)/SUMPRODUCT(('ANALYSE - ERP =&gt; SOUS-SEGMENT'!$C$8:$C$154=$C36)*'ANALYSE - ERP =&gt; SOUS-SEGMENT'!$Q$8:$Q$154*'ANALYSE - ERP =&gt; SOUS-SEGMENT'!$BE$8:$BE$154),0)</f>
        <v>3.1551927152837742E-4</v>
      </c>
      <c r="IP36" s="749">
        <f>IFERROR(SUMPRODUCT(('ANALYSE - ERP =&gt; SOUS-SEGMENT'!$C$8:$C$154=$C36)*'ANALYSE - ERP =&gt; SOUS-SEGMENT'!$Q$8:$Q$154*'ANALYSE - ERP =&gt; SOUS-SEGMENT'!$BE$8:$BE$154*'ANALYSE - ERP =&gt; SOUS-SEGMENT'!$IS$8:$IS$154)/SUMPRODUCT(('ANALYSE - ERP =&gt; SOUS-SEGMENT'!$C$8:$C$154=$C36)*'ANALYSE - ERP =&gt; SOUS-SEGMENT'!$Q$8:$Q$154*'ANALYSE - ERP =&gt; SOUS-SEGMENT'!$BE$8:$BE$154),0)</f>
        <v>1.3658842923306384E-6</v>
      </c>
      <c r="IQ36" s="748">
        <f>IFERROR(SUMPRODUCT(('ANALYSE - ERP =&gt; SOUS-SEGMENT'!$C$8:$C$154=$C36)*'ANALYSE - ERP =&gt; SOUS-SEGMENT'!$Q$8:$Q$154*'ANALYSE - ERP =&gt; SOUS-SEGMENT'!$FB$8:$FB$154*'ANALYSE - ERP =&gt; SOUS-SEGMENT'!$IT$8:$IT$154)/SUMPRODUCT(('ANALYSE - ERP =&gt; SOUS-SEGMENT'!$C$8:$C$154=$C36)*'ANALYSE - ERP =&gt; SOUS-SEGMENT'!$Q$8:$Q$154*'ANALYSE - ERP =&gt; SOUS-SEGMENT'!$FB$8:$FB$154),0)</f>
        <v>4.6949736087235634E-2</v>
      </c>
      <c r="IR36" s="748">
        <f>IFERROR(SUMPRODUCT(('ANALYSE - ERP =&gt; SOUS-SEGMENT'!$C$8:$C$154=$C36)*'ANALYSE - ERP =&gt; SOUS-SEGMENT'!$Q$8:$Q$154*'ANALYSE - ERP =&gt; SOUS-SEGMENT'!$FB$8:$FB$154*'ANALYSE - ERP =&gt; SOUS-SEGMENT'!$IU$8:$IU$154)/SUMPRODUCT(('ANALYSE - ERP =&gt; SOUS-SEGMENT'!$C$8:$C$154=$C36)*'ANALYSE - ERP =&gt; SOUS-SEGMENT'!$Q$8:$Q$154*'ANALYSE - ERP =&gt; SOUS-SEGMENT'!$FB$8:$FB$154),0)</f>
        <v>0.58544369124350271</v>
      </c>
      <c r="IS36" s="748">
        <f>IFERROR(SUMPRODUCT(('ANALYSE - ERP =&gt; SOUS-SEGMENT'!$C$8:$C$154=$C36)*'ANALYSE - ERP =&gt; SOUS-SEGMENT'!$Q$8:$Q$154*'ANALYSE - ERP =&gt; SOUS-SEGMENT'!$FB$8:$FB$154*'ANALYSE - ERP =&gt; SOUS-SEGMENT'!$IV$8:$IV$154)/SUMPRODUCT(('ANALYSE - ERP =&gt; SOUS-SEGMENT'!$C$8:$C$154=$C36)*'ANALYSE - ERP =&gt; SOUS-SEGMENT'!$Q$8:$Q$154*'ANALYSE - ERP =&gt; SOUS-SEGMENT'!$FB$8:$FB$154),0)</f>
        <v>0.36625763752383639</v>
      </c>
      <c r="IT36" s="748">
        <f>IFERROR(SUMPRODUCT(('ANALYSE - ERP =&gt; SOUS-SEGMENT'!$C$8:$C$154=$C36)*'ANALYSE - ERP =&gt; SOUS-SEGMENT'!$Q$8:$Q$154*'ANALYSE - ERP =&gt; SOUS-SEGMENT'!$FB$8:$FB$154*'ANALYSE - ERP =&gt; SOUS-SEGMENT'!$IW$8:$IW$154)/SUMPRODUCT(('ANALYSE - ERP =&gt; SOUS-SEGMENT'!$C$8:$C$154=$C36)*'ANALYSE - ERP =&gt; SOUS-SEGMENT'!$Q$8:$Q$154*'ANALYSE - ERP =&gt; SOUS-SEGMENT'!$FB$8:$FB$154),0)</f>
        <v>1.3342985912951928E-3</v>
      </c>
      <c r="IU36" s="748">
        <f>IFERROR(SUMPRODUCT(('ANALYSE - ERP =&gt; SOUS-SEGMENT'!$C$8:$C$154=$C36)*'ANALYSE - ERP =&gt; SOUS-SEGMENT'!$Q$8:$Q$154*'ANALYSE - ERP =&gt; SOUS-SEGMENT'!$FB$8:$FB$154*'ANALYSE - ERP =&gt; SOUS-SEGMENT'!$IX$8:$IX$154)/SUMPRODUCT(('ANALYSE - ERP =&gt; SOUS-SEGMENT'!$C$8:$C$154=$C36)*'ANALYSE - ERP =&gt; SOUS-SEGMENT'!$Q$8:$Q$154*'ANALYSE - ERP =&gt; SOUS-SEGMENT'!$FB$8:$FB$154),0)</f>
        <v>1.4636554129982966E-5</v>
      </c>
      <c r="IV36" s="771">
        <f>IFERROR(SUMPRODUCT(('ANALYSE - ERP =&gt; SOUS-SEGMENT'!$C$8:$C$154=$C36)*'ANALYSE - ERP =&gt; SOUS-SEGMENT'!$Q$8:$Q$154*'ANALYSE - ERP =&gt; SOUS-SEGMENT'!$BF$8:$BF$154*'ANALYSE - ERP =&gt; SOUS-SEGMENT'!$IY$8:$IY$154)/SUMPRODUCT(('ANALYSE - ERP =&gt; SOUS-SEGMENT'!$C$8:$C$154=$C36)*'ANALYSE - ERP =&gt; SOUS-SEGMENT'!$Q$8:$Q$154*'ANALYSE - ERP =&gt; SOUS-SEGMENT'!$BF$8:$BF$154),0)</f>
        <v>0.24000989096573211</v>
      </c>
      <c r="IW36" s="748">
        <f>IFERROR(SUMPRODUCT(('ANALYSE - ERP =&gt; SOUS-SEGMENT'!$C$8:$C$154=$C36)*'ANALYSE - ERP =&gt; SOUS-SEGMENT'!$Q$8:$Q$154*'ANALYSE - ERP =&gt; SOUS-SEGMENT'!$BF$8:$BF$154*'ANALYSE - ERP =&gt; SOUS-SEGMENT'!$IZ$8:$IZ$154)/SUMPRODUCT(('ANALYSE - ERP =&gt; SOUS-SEGMENT'!$C$8:$C$154=$C36)*'ANALYSE - ERP =&gt; SOUS-SEGMENT'!$Q$8:$Q$154*'ANALYSE - ERP =&gt; SOUS-SEGMENT'!$BF$8:$BF$154),0)</f>
        <v>0.65682755711318797</v>
      </c>
      <c r="IX36" s="748">
        <f>IFERROR(SUMPRODUCT(('ANALYSE - ERP =&gt; SOUS-SEGMENT'!$C$8:$C$154=$C36)*'ANALYSE - ERP =&gt; SOUS-SEGMENT'!$Q$8:$Q$154*'ANALYSE - ERP =&gt; SOUS-SEGMENT'!$BF$8:$BF$154*'ANALYSE - ERP =&gt; SOUS-SEGMENT'!$JA$8:$JA$154)/SUMPRODUCT(('ANALYSE - ERP =&gt; SOUS-SEGMENT'!$C$8:$C$154=$C36)*'ANALYSE - ERP =&gt; SOUS-SEGMENT'!$Q$8:$Q$154*'ANALYSE - ERP =&gt; SOUS-SEGMENT'!$BF$8:$BF$154),0)</f>
        <v>0.10242690809968848</v>
      </c>
      <c r="IY36" s="748">
        <f>IFERROR(SUMPRODUCT(('ANALYSE - ERP =&gt; SOUS-SEGMENT'!$C$8:$C$154=$C36)*'ANALYSE - ERP =&gt; SOUS-SEGMENT'!$Q$8:$Q$154*'ANALYSE - ERP =&gt; SOUS-SEGMENT'!$BF$8:$BF$154*'ANALYSE - ERP =&gt; SOUS-SEGMENT'!$JB$8:$JB$154)/SUMPRODUCT(('ANALYSE - ERP =&gt; SOUS-SEGMENT'!$C$8:$C$154=$C36)*'ANALYSE - ERP =&gt; SOUS-SEGMENT'!$Q$8:$Q$154*'ANALYSE - ERP =&gt; SOUS-SEGMENT'!$BF$8:$BF$154),0)</f>
        <v>7.339823468328142E-4</v>
      </c>
      <c r="IZ36" s="749">
        <f>IFERROR(SUMPRODUCT(('ANALYSE - ERP =&gt; SOUS-SEGMENT'!$C$8:$C$154=$C36)*'ANALYSE - ERP =&gt; SOUS-SEGMENT'!$Q$8:$Q$154*'ANALYSE - ERP =&gt; SOUS-SEGMENT'!$BF$8:$BF$154*'ANALYSE - ERP =&gt; SOUS-SEGMENT'!$JC$8:$JC$154)/SUMPRODUCT(('ANALYSE - ERP =&gt; SOUS-SEGMENT'!$C$8:$C$154=$C36)*'ANALYSE - ERP =&gt; SOUS-SEGMENT'!$Q$8:$Q$154*'ANALYSE - ERP =&gt; SOUS-SEGMENT'!$BF$8:$BF$154),0)</f>
        <v>1.6614745586708204E-6</v>
      </c>
      <c r="JA36" s="748">
        <f>IFERROR(SUMPRODUCT(('ANALYSE - ERP =&gt; SOUS-SEGMENT'!$C$8:$C$154=$C36)*'ANALYSE - ERP =&gt; SOUS-SEGMENT'!$Q$8:$Q$154*'ANALYSE - ERP =&gt; SOUS-SEGMENT'!$FE$8:$FE$154*'ANALYSE - ERP =&gt; SOUS-SEGMENT'!$JD$8:$JD$154)/SUMPRODUCT(('ANALYSE - ERP =&gt; SOUS-SEGMENT'!$C$8:$C$154=$C36)*'ANALYSE - ERP =&gt; SOUS-SEGMENT'!$Q$8:$Q$154*'ANALYSE - ERP =&gt; SOUS-SEGMENT'!$FE$8:$FE$154),0)</f>
        <v>0.10181656135194711</v>
      </c>
      <c r="JB36" s="748">
        <f>IFERROR(SUMPRODUCT(('ANALYSE - ERP =&gt; SOUS-SEGMENT'!$C$8:$C$154=$C36)*'ANALYSE - ERP =&gt; SOUS-SEGMENT'!$Q$8:$Q$154*'ANALYSE - ERP =&gt; SOUS-SEGMENT'!$FE$8:$FE$154*'ANALYSE - ERP =&gt; SOUS-SEGMENT'!$JE$8:$JE$154)/SUMPRODUCT(('ANALYSE - ERP =&gt; SOUS-SEGMENT'!$C$8:$C$154=$C36)*'ANALYSE - ERP =&gt; SOUS-SEGMENT'!$Q$8:$Q$154*'ANALYSE - ERP =&gt; SOUS-SEGMENT'!$FE$8:$FE$154),0)</f>
        <v>0.65806123438648056</v>
      </c>
      <c r="JC36" s="748">
        <f>IFERROR(SUMPRODUCT(('ANALYSE - ERP =&gt; SOUS-SEGMENT'!$C$8:$C$154=$C36)*'ANALYSE - ERP =&gt; SOUS-SEGMENT'!$Q$8:$Q$154*'ANALYSE - ERP =&gt; SOUS-SEGMENT'!$FE$8:$FE$154*'ANALYSE - ERP =&gt; SOUS-SEGMENT'!$JF$8:$JF$154)/SUMPRODUCT(('ANALYSE - ERP =&gt; SOUS-SEGMENT'!$C$8:$C$154=$C36)*'ANALYSE - ERP =&gt; SOUS-SEGMENT'!$Q$8:$Q$154*'ANALYSE - ERP =&gt; SOUS-SEGMENT'!$FE$8:$FE$154),0)</f>
        <v>0.23659714915503308</v>
      </c>
      <c r="JD36" s="748">
        <f>IFERROR(SUMPRODUCT(('ANALYSE - ERP =&gt; SOUS-SEGMENT'!$C$8:$C$154=$C36)*'ANALYSE - ERP =&gt; SOUS-SEGMENT'!$Q$8:$Q$154*'ANALYSE - ERP =&gt; SOUS-SEGMENT'!$FE$8:$FE$154*'ANALYSE - ERP =&gt; SOUS-SEGMENT'!$JG$8:$JG$154)/SUMPRODUCT(('ANALYSE - ERP =&gt; SOUS-SEGMENT'!$C$8:$C$154=$C36)*'ANALYSE - ERP =&gt; SOUS-SEGMENT'!$Q$8:$Q$154*'ANALYSE - ERP =&gt; SOUS-SEGMENT'!$FE$8:$FE$154),0)</f>
        <v>3.4876708302718591E-3</v>
      </c>
      <c r="JE36" s="748">
        <f>IFERROR(SUMPRODUCT(('ANALYSE - ERP =&gt; SOUS-SEGMENT'!$C$8:$C$154=$C36)*'ANALYSE - ERP =&gt; SOUS-SEGMENT'!$Q$8:$Q$154*'ANALYSE - ERP =&gt; SOUS-SEGMENT'!$FE$8:$FE$154*'ANALYSE - ERP =&gt; SOUS-SEGMENT'!$JH$8:$JH$154)/SUMPRODUCT(('ANALYSE - ERP =&gt; SOUS-SEGMENT'!$C$8:$C$154=$C36)*'ANALYSE - ERP =&gt; SOUS-SEGMENT'!$Q$8:$Q$154*'ANALYSE - ERP =&gt; SOUS-SEGMENT'!$FE$8:$FE$154),0)</f>
        <v>3.7384276267450411E-5</v>
      </c>
      <c r="JF36" s="771">
        <f>IFERROR(SUMPRODUCT(('ANALYSE - ERP =&gt; SOUS-SEGMENT'!$C$8:$C$154=$C36)*'ANALYSE - ERP =&gt; SOUS-SEGMENT'!$Q$8:$Q$154*'ANALYSE - ERP =&gt; SOUS-SEGMENT'!$BG$8:$BG$154*'ANALYSE - ERP =&gt; SOUS-SEGMENT'!$JI$8:$JI$154)/SUMPRODUCT(('ANALYSE - ERP =&gt; SOUS-SEGMENT'!$C$8:$C$154=$C36)*'ANALYSE - ERP =&gt; SOUS-SEGMENT'!$Q$8:$Q$154*'ANALYSE - ERP =&gt; SOUS-SEGMENT'!$BG$8:$BG$154),0)</f>
        <v>0.33414510556621879</v>
      </c>
      <c r="JG36" s="748">
        <f>IFERROR(SUMPRODUCT(('ANALYSE - ERP =&gt; SOUS-SEGMENT'!$C$8:$C$154=$C36)*'ANALYSE - ERP =&gt; SOUS-SEGMENT'!$Q$8:$Q$154*'ANALYSE - ERP =&gt; SOUS-SEGMENT'!$BG$8:$BG$154*'ANALYSE - ERP =&gt; SOUS-SEGMENT'!$JJ$8:$JJ$154)/SUMPRODUCT(('ANALYSE - ERP =&gt; SOUS-SEGMENT'!$C$8:$C$154=$C36)*'ANALYSE - ERP =&gt; SOUS-SEGMENT'!$Q$8:$Q$154*'ANALYSE - ERP =&gt; SOUS-SEGMENT'!$BG$8:$BG$154),0)</f>
        <v>0.58312284069097886</v>
      </c>
      <c r="JH36" s="748">
        <f>IFERROR(SUMPRODUCT(('ANALYSE - ERP =&gt; SOUS-SEGMENT'!$C$8:$C$154=$C36)*'ANALYSE - ERP =&gt; SOUS-SEGMENT'!$Q$8:$Q$154*'ANALYSE - ERP =&gt; SOUS-SEGMENT'!$BG$8:$BG$154*'ANALYSE - ERP =&gt; SOUS-SEGMENT'!$JK$8:$JK$154)/SUMPRODUCT(('ANALYSE - ERP =&gt; SOUS-SEGMENT'!$C$8:$C$154=$C36)*'ANALYSE - ERP =&gt; SOUS-SEGMENT'!$Q$8:$Q$154*'ANALYSE - ERP =&gt; SOUS-SEGMENT'!$BG$8:$BG$154),0)</f>
        <v>8.0707869481765837E-2</v>
      </c>
      <c r="JI36" s="748">
        <f>IFERROR(SUMPRODUCT(('ANALYSE - ERP =&gt; SOUS-SEGMENT'!$C$8:$C$154=$C36)*'ANALYSE - ERP =&gt; SOUS-SEGMENT'!$Q$8:$Q$154*'ANALYSE - ERP =&gt; SOUS-SEGMENT'!$BG$8:$BG$154*'ANALYSE - ERP =&gt; SOUS-SEGMENT'!$JL$8:$JL$154)/SUMPRODUCT(('ANALYSE - ERP =&gt; SOUS-SEGMENT'!$C$8:$C$154=$C36)*'ANALYSE - ERP =&gt; SOUS-SEGMENT'!$Q$8:$Q$154*'ANALYSE - ERP =&gt; SOUS-SEGMENT'!$BG$8:$BG$154),0)</f>
        <v>2.0059500959692896E-3</v>
      </c>
      <c r="JJ36" s="749">
        <f>IFERROR(SUMPRODUCT(('ANALYSE - ERP =&gt; SOUS-SEGMENT'!$C$8:$C$154=$C36)*'ANALYSE - ERP =&gt; SOUS-SEGMENT'!$Q$8:$Q$154*'ANALYSE - ERP =&gt; SOUS-SEGMENT'!$BG$8:$BG$154*'ANALYSE - ERP =&gt; SOUS-SEGMENT'!$JM$8:$JM$154)/SUMPRODUCT(('ANALYSE - ERP =&gt; SOUS-SEGMENT'!$C$8:$C$154=$C36)*'ANALYSE - ERP =&gt; SOUS-SEGMENT'!$Q$8:$Q$154*'ANALYSE - ERP =&gt; SOUS-SEGMENT'!$BG$8:$BG$154),0)</f>
        <v>1.8234165067178505E-5</v>
      </c>
      <c r="JK36" s="748">
        <f>IFERROR(SUMPRODUCT(('ANALYSE - ERP =&gt; SOUS-SEGMENT'!$C$8:$C$154=$C36)*'ANALYSE - ERP =&gt; SOUS-SEGMENT'!$Q$8:$Q$154*'ANALYSE - ERP =&gt; SOUS-SEGMENT'!$FH$8:$FH$154*'ANALYSE - ERP =&gt; SOUS-SEGMENT'!$JN$8:$JN$154)/SUMPRODUCT(('ANALYSE - ERP =&gt; SOUS-SEGMENT'!$C$8:$C$154=$C36)*'ANALYSE - ERP =&gt; SOUS-SEGMENT'!$Q$8:$Q$154*'ANALYSE - ERP =&gt; SOUS-SEGMENT'!$FH$8:$FH$154),0)</f>
        <v>0.17360710426022713</v>
      </c>
      <c r="JL36" s="748">
        <f>IFERROR(SUMPRODUCT(('ANALYSE - ERP =&gt; SOUS-SEGMENT'!$C$8:$C$154=$C36)*'ANALYSE - ERP =&gt; SOUS-SEGMENT'!$Q$8:$Q$154*'ANALYSE - ERP =&gt; SOUS-SEGMENT'!$FH$8:$FH$154*'ANALYSE - ERP =&gt; SOUS-SEGMENT'!$JO$8:$JO$154)/SUMPRODUCT(('ANALYSE - ERP =&gt; SOUS-SEGMENT'!$C$8:$C$154=$C36)*'ANALYSE - ERP =&gt; SOUS-SEGMENT'!$Q$8:$Q$154*'ANALYSE - ERP =&gt; SOUS-SEGMENT'!$FH$8:$FH$154),0)</f>
        <v>0.62632111708630878</v>
      </c>
      <c r="JM36" s="748">
        <f>IFERROR(SUMPRODUCT(('ANALYSE - ERP =&gt; SOUS-SEGMENT'!$C$8:$C$154=$C36)*'ANALYSE - ERP =&gt; SOUS-SEGMENT'!$Q$8:$Q$154*'ANALYSE - ERP =&gt; SOUS-SEGMENT'!$FH$8:$FH$154*'ANALYSE - ERP =&gt; SOUS-SEGMENT'!$JP$8:$JP$154)/SUMPRODUCT(('ANALYSE - ERP =&gt; SOUS-SEGMENT'!$C$8:$C$154=$C36)*'ANALYSE - ERP =&gt; SOUS-SEGMENT'!$Q$8:$Q$154*'ANALYSE - ERP =&gt; SOUS-SEGMENT'!$FH$8:$FH$154),0)</f>
        <v>0.19154566913521703</v>
      </c>
      <c r="JN36" s="748">
        <f>IFERROR(SUMPRODUCT(('ANALYSE - ERP =&gt; SOUS-SEGMENT'!$C$8:$C$154=$C36)*'ANALYSE - ERP =&gt; SOUS-SEGMENT'!$Q$8:$Q$154*'ANALYSE - ERP =&gt; SOUS-SEGMENT'!$FH$8:$FH$154*'ANALYSE - ERP =&gt; SOUS-SEGMENT'!$JQ$8:$JQ$154)/SUMPRODUCT(('ANALYSE - ERP =&gt; SOUS-SEGMENT'!$C$8:$C$154=$C36)*'ANALYSE - ERP =&gt; SOUS-SEGMENT'!$Q$8:$Q$154*'ANALYSE - ERP =&gt; SOUS-SEGMENT'!$FH$8:$FH$154),0)</f>
        <v>8.3922691582435874E-3</v>
      </c>
      <c r="JO36" s="748">
        <f>IFERROR(SUMPRODUCT(('ANALYSE - ERP =&gt; SOUS-SEGMENT'!$C$8:$C$154=$C36)*'ANALYSE - ERP =&gt; SOUS-SEGMENT'!$Q$8:$Q$154*'ANALYSE - ERP =&gt; SOUS-SEGMENT'!$FH$8:$FH$154*'ANALYSE - ERP =&gt; SOUS-SEGMENT'!$JR$8:$JR$154)/SUMPRODUCT(('ANALYSE - ERP =&gt; SOUS-SEGMENT'!$C$8:$C$154=$C36)*'ANALYSE - ERP =&gt; SOUS-SEGMENT'!$Q$8:$Q$154*'ANALYSE - ERP =&gt; SOUS-SEGMENT'!$FH$8:$FH$154),0)</f>
        <v>1.3384036000344183E-4</v>
      </c>
      <c r="JP36" s="771">
        <f>IFERROR(SUMPRODUCT(('ANALYSE - ERP =&gt; SOUS-SEGMENT'!$C$8:$C$154=$C36)*'ANALYSE - ERP =&gt; SOUS-SEGMENT'!$Q$8:$Q$154*'ANALYSE - ERP =&gt; SOUS-SEGMENT'!$BH$8:$BH$154*'ANALYSE - ERP =&gt; SOUS-SEGMENT'!$JS$8:$JS$154)/SUMPRODUCT(('ANALYSE - ERP =&gt; SOUS-SEGMENT'!$C$8:$C$154=$C36)*'ANALYSE - ERP =&gt; SOUS-SEGMENT'!$Q$8:$Q$154*'ANALYSE - ERP =&gt; SOUS-SEGMENT'!$BH$8:$BH$154),0)</f>
        <v>0.19867930332440872</v>
      </c>
      <c r="JQ36" s="748">
        <f>IFERROR(SUMPRODUCT(('ANALYSE - ERP =&gt; SOUS-SEGMENT'!$C$8:$C$154=$C36)*'ANALYSE - ERP =&gt; SOUS-SEGMENT'!$Q$8:$Q$154*'ANALYSE - ERP =&gt; SOUS-SEGMENT'!$BH$8:$BH$154*'ANALYSE - ERP =&gt; SOUS-SEGMENT'!$JT$8:$JT$154)/SUMPRODUCT(('ANALYSE - ERP =&gt; SOUS-SEGMENT'!$C$8:$C$154=$C36)*'ANALYSE - ERP =&gt; SOUS-SEGMENT'!$Q$8:$Q$154*'ANALYSE - ERP =&gt; SOUS-SEGMENT'!$BH$8:$BH$154),0)</f>
        <v>0.67834624888442663</v>
      </c>
      <c r="JR36" s="748">
        <f>IFERROR(SUMPRODUCT(('ANALYSE - ERP =&gt; SOUS-SEGMENT'!$C$8:$C$154=$C36)*'ANALYSE - ERP =&gt; SOUS-SEGMENT'!$Q$8:$Q$154*'ANALYSE - ERP =&gt; SOUS-SEGMENT'!$BH$8:$BH$154*'ANALYSE - ERP =&gt; SOUS-SEGMENT'!$JU$8:$JU$154)/SUMPRODUCT(('ANALYSE - ERP =&gt; SOUS-SEGMENT'!$C$8:$C$154=$C36)*'ANALYSE - ERP =&gt; SOUS-SEGMENT'!$Q$8:$Q$154*'ANALYSE - ERP =&gt; SOUS-SEGMENT'!$BH$8:$BH$154),0)</f>
        <v>0.12271785475234273</v>
      </c>
      <c r="JS36" s="748">
        <f>IFERROR(SUMPRODUCT(('ANALYSE - ERP =&gt; SOUS-SEGMENT'!$C$8:$C$154=$C36)*'ANALYSE - ERP =&gt; SOUS-SEGMENT'!$Q$8:$Q$154*'ANALYSE - ERP =&gt; SOUS-SEGMENT'!$BH$8:$BH$154*'ANALYSE - ERP =&gt; SOUS-SEGMENT'!$JV$8:$JV$154)/SUMPRODUCT(('ANALYSE - ERP =&gt; SOUS-SEGMENT'!$C$8:$C$154=$C36)*'ANALYSE - ERP =&gt; SOUS-SEGMENT'!$Q$8:$Q$154*'ANALYSE - ERP =&gt; SOUS-SEGMENT'!$BH$8:$BH$154),0)</f>
        <v>2.5533522980812141E-4</v>
      </c>
      <c r="JT36" s="749">
        <f>IFERROR(SUMPRODUCT(('ANALYSE - ERP =&gt; SOUS-SEGMENT'!$C$8:$C$154=$C36)*'ANALYSE - ERP =&gt; SOUS-SEGMENT'!$Q$8:$Q$154*'ANALYSE - ERP =&gt; SOUS-SEGMENT'!$BH$8:$BH$154*'ANALYSE - ERP =&gt; SOUS-SEGMENT'!$JW$8:$JW$154)/SUMPRODUCT(('ANALYSE - ERP =&gt; SOUS-SEGMENT'!$C$8:$C$154=$C36)*'ANALYSE - ERP =&gt; SOUS-SEGMENT'!$Q$8:$Q$154*'ANALYSE - ERP =&gt; SOUS-SEGMENT'!$BH$8:$BH$154),0)</f>
        <v>1.2578090138331103E-6</v>
      </c>
      <c r="JU36" s="771">
        <f>IFERROR(SUMPRODUCT(('ANALYSE - ERP =&gt; SOUS-SEGMENT'!$C$8:$C$154=$C36)*'ANALYSE - ERP =&gt; SOUS-SEGMENT'!$Q$8:$Q$154*'ANALYSE - ERP =&gt; SOUS-SEGMENT'!$FK$8:$FK$154*'ANALYSE - ERP =&gt; SOUS-SEGMENT'!$JX$8:$JX$154)/SUMPRODUCT(('ANALYSE - ERP =&gt; SOUS-SEGMENT'!$C$8:$C$154=$C36)*'ANALYSE - ERP =&gt; SOUS-SEGMENT'!$Q$8:$Q$154*'ANALYSE - ERP =&gt; SOUS-SEGMENT'!$FK$8:$FK$154),0)</f>
        <v>7.9377221497953412E-2</v>
      </c>
      <c r="JV36" s="748">
        <f>IFERROR(SUMPRODUCT(('ANALYSE - ERP =&gt; SOUS-SEGMENT'!$C$8:$C$154=$C36)*'ANALYSE - ERP =&gt; SOUS-SEGMENT'!$Q$8:$Q$154*'ANALYSE - ERP =&gt; SOUS-SEGMENT'!$FK$8:$FK$154*'ANALYSE - ERP =&gt; SOUS-SEGMENT'!$JY$8:$JY$154)/SUMPRODUCT(('ANALYSE - ERP =&gt; SOUS-SEGMENT'!$C$8:$C$154=$C36)*'ANALYSE - ERP =&gt; SOUS-SEGMENT'!$Q$8:$Q$154*'ANALYSE - ERP =&gt; SOUS-SEGMENT'!$FK$8:$FK$154),0)</f>
        <v>0.64723956548614825</v>
      </c>
      <c r="JW36" s="748">
        <f>IFERROR(SUMPRODUCT(('ANALYSE - ERP =&gt; SOUS-SEGMENT'!$C$8:$C$154=$C36)*'ANALYSE - ERP =&gt; SOUS-SEGMENT'!$Q$8:$Q$154*'ANALYSE - ERP =&gt; SOUS-SEGMENT'!$FK$8:$FK$154*'ANALYSE - ERP =&gt; SOUS-SEGMENT'!$JZ$8:$JZ$154)/SUMPRODUCT(('ANALYSE - ERP =&gt; SOUS-SEGMENT'!$C$8:$C$154=$C36)*'ANALYSE - ERP =&gt; SOUS-SEGMENT'!$Q$8:$Q$154*'ANALYSE - ERP =&gt; SOUS-SEGMENT'!$FK$8:$FK$154),0)</f>
        <v>0.27224992249481283</v>
      </c>
      <c r="JX36" s="748">
        <f>IFERROR(SUMPRODUCT(('ANALYSE - ERP =&gt; SOUS-SEGMENT'!$C$8:$C$154=$C36)*'ANALYSE - ERP =&gt; SOUS-SEGMENT'!$Q$8:$Q$154*'ANALYSE - ERP =&gt; SOUS-SEGMENT'!$FK$8:$FK$154*'ANALYSE - ERP =&gt; SOUS-SEGMENT'!$KA$8:$KA$154)/SUMPRODUCT(('ANALYSE - ERP =&gt; SOUS-SEGMENT'!$C$8:$C$154=$C36)*'ANALYSE - ERP =&gt; SOUS-SEGMENT'!$Q$8:$Q$154*'ANALYSE - ERP =&gt; SOUS-SEGMENT'!$FK$8:$FK$154),0)</f>
        <v>1.1221944091367177E-3</v>
      </c>
      <c r="JY36" s="775">
        <f>IFERROR(SUMPRODUCT(('ANALYSE - ERP =&gt; SOUS-SEGMENT'!$C$8:$C$154=$C36)*'ANALYSE - ERP =&gt; SOUS-SEGMENT'!$Q$8:$Q$154*'ANALYSE - ERP =&gt; SOUS-SEGMENT'!$FK$8:$FK$154*'ANALYSE - ERP =&gt; SOUS-SEGMENT'!$KB$8:$KB$154)/SUMPRODUCT(('ANALYSE - ERP =&gt; SOUS-SEGMENT'!$C$8:$C$154=$C36)*'ANALYSE - ERP =&gt; SOUS-SEGMENT'!$Q$8:$Q$154*'ANALYSE - ERP =&gt; SOUS-SEGMENT'!$FK$8:$FK$154),0)</f>
        <v>1.1096111948676417E-5</v>
      </c>
      <c r="JZ36" s="657"/>
      <c r="KA36" s="314" t="s">
        <v>2590</v>
      </c>
      <c r="KB36" s="314" t="s">
        <v>2591</v>
      </c>
      <c r="KC36" s="866">
        <f>IFERROR(SUMPRODUCT(('ANALYSE - ERP =&gt; SOUS-SEGMENT'!$C$8:$C$154=$C37)*'ANALYSE - ERP =&gt; SOUS-SEGMENT'!$Q$8:$Q$154*'ANALYSE - ERP =&gt; SOUS-SEGMENT'!$EX$8:$EX$154*'ANALYSE - ERP =&gt; SOUS-SEGMENT'!$KF$8:$KF$154)/SUMPRODUCT(('ANALYSE - ERP =&gt; SOUS-SEGMENT'!$C$8:$C$154=$C37)*'ANALYSE - ERP =&gt; SOUS-SEGMENT'!$Q$8:$Q$154*'ANALYSE - ERP =&gt; SOUS-SEGMENT'!$EX$8:$EX$154),"")</f>
        <v>4.0451137657616281</v>
      </c>
      <c r="KD36" s="314" t="s">
        <v>2719</v>
      </c>
      <c r="KE36" s="315" t="s">
        <v>5028</v>
      </c>
      <c r="KF36" s="617" t="s">
        <v>6760</v>
      </c>
      <c r="KG36" s="315" t="s">
        <v>6760</v>
      </c>
    </row>
    <row r="37" spans="1:293" ht="108" customHeight="1">
      <c r="A37" s="265">
        <v>38</v>
      </c>
      <c r="B37" s="490" t="s">
        <v>4908</v>
      </c>
      <c r="C37" s="490" t="s">
        <v>2027</v>
      </c>
      <c r="D37" s="490" t="s">
        <v>7442</v>
      </c>
      <c r="E37" s="267" t="s">
        <v>7443</v>
      </c>
      <c r="F37" s="267" t="s">
        <v>7444</v>
      </c>
      <c r="G37" s="267" t="s">
        <v>300</v>
      </c>
      <c r="H37" s="267" t="s">
        <v>2109</v>
      </c>
      <c r="I37" s="268" t="s">
        <v>7445</v>
      </c>
      <c r="J37" s="268" t="s">
        <v>7446</v>
      </c>
      <c r="K37" s="269" t="s">
        <v>2097</v>
      </c>
      <c r="L37" s="269" t="s">
        <v>2109</v>
      </c>
      <c r="M37" s="269" t="s">
        <v>7447</v>
      </c>
      <c r="N37" s="269" t="s">
        <v>6742</v>
      </c>
      <c r="O37" s="269" t="s">
        <v>2616</v>
      </c>
      <c r="P37" s="268"/>
      <c r="Q37" s="270">
        <f>IF(SUMPRODUCT(('ANALYSE - ERP =&gt; SOUS-SEGMENT'!$C$8:$C$154=$C37)*'ANALYSE - ERP =&gt; SOUS-SEGMENT'!$Q$8:$Q$154)&gt;0,1,0)</f>
        <v>1</v>
      </c>
      <c r="R37" s="271">
        <f>IFERROR(SUMPRODUCT(('ANALYSE - ERP =&gt; SOUS-SEGMENT'!$C$8:$C$154=$C37)*'ANALYSE - ERP =&gt; SOUS-SEGMENT'!$Q$8:$Q$154*'ANALYSE - ERP =&gt; SOUS-SEGMENT'!$AG$8:$AG$154*'ANALYSE - ERP =&gt; SOUS-SEGMENT'!$R$8:$R$154)/SUMPRODUCT(('ANALYSE - ERP =&gt; SOUS-SEGMENT'!$C$8:$C$154=$C37)*'ANALYSE - ERP =&gt; SOUS-SEGMENT'!$Q$8:$Q$154*'ANALYSE - ERP =&gt; SOUS-SEGMENT'!$AG$8:$AG$154),"")</f>
        <v>2041.8816388467376</v>
      </c>
      <c r="S37" s="272">
        <f>SUMPRODUCT(('ANALYSE - ERP =&gt; SOUS-SEGMENT'!$C$8:$C$154=$C37)*'ANALYSE - ERP =&gt; SOUS-SEGMENT'!$Q$8:$Q$154*'ANALYSE - ERP =&gt; SOUS-SEGMENT'!$S$8:$S$154)</f>
        <v>706</v>
      </c>
      <c r="T37" s="272">
        <f>SUMPRODUCT(('ANALYSE - ERP =&gt; SOUS-SEGMENT'!$C$8:$C$154=$C37)*'ANALYSE - ERP =&gt; SOUS-SEGMENT'!$Q$8:$Q$154*'ANALYSE - ERP =&gt; SOUS-SEGMENT'!$T$8:$T$154)</f>
        <v>757</v>
      </c>
      <c r="U37" s="272">
        <f>SUMPRODUCT(('ANALYSE - ERP =&gt; SOUS-SEGMENT'!$C$8:$C$154=$C37)*'ANALYSE - ERP =&gt; SOUS-SEGMENT'!$Q$8:$Q$154*'ANALYSE - ERP =&gt; SOUS-SEGMENT'!$U$8:$U$154)</f>
        <v>654</v>
      </c>
      <c r="V37" s="272">
        <f>SUMPRODUCT(('ANALYSE - ERP =&gt; SOUS-SEGMENT'!$C$8:$C$154=$C37)*'ANALYSE - ERP =&gt; SOUS-SEGMENT'!$Q$8:$Q$154*'ANALYSE - ERP =&gt; SOUS-SEGMENT'!$V$8:$V$154)</f>
        <v>651</v>
      </c>
      <c r="W37" s="272">
        <f>SUMPRODUCT(('ANALYSE - ERP =&gt; SOUS-SEGMENT'!$C$8:$C$154=$C37)*'ANALYSE - ERP =&gt; SOUS-SEGMENT'!$Q$8:$Q$154*'ANALYSE - ERP =&gt; SOUS-SEGMENT'!$W$8:$W$154)</f>
        <v>651</v>
      </c>
      <c r="X37" s="272">
        <f>SUMPRODUCT(('ANALYSE - ERP =&gt; SOUS-SEGMENT'!$C$8:$C$154=$C37)*'ANALYSE - ERP =&gt; SOUS-SEGMENT'!$Q$8:$Q$154*'ANALYSE - ERP =&gt; SOUS-SEGMENT'!$X$8:$X$154)</f>
        <v>652</v>
      </c>
      <c r="Y37" s="272">
        <f>SUMPRODUCT(('ANALYSE - ERP =&gt; SOUS-SEGMENT'!$C$8:$C$154=$C37)*'ANALYSE - ERP =&gt; SOUS-SEGMENT'!$Q$8:$Q$154*'ANALYSE - ERP =&gt; SOUS-SEGMENT'!$Y$8:$Y$154)</f>
        <v>652</v>
      </c>
      <c r="Z37" s="272">
        <f>SUMPRODUCT(('ANALYSE - ERP =&gt; SOUS-SEGMENT'!$C$8:$C$154=$C37)*'ANALYSE - ERP =&gt; SOUS-SEGMENT'!$Q$8:$Q$154*'ANALYSE - ERP =&gt; SOUS-SEGMENT'!$Z$8:$Z$154)</f>
        <v>653</v>
      </c>
      <c r="AA37" s="272">
        <f>SUMPRODUCT(('ANALYSE - ERP =&gt; SOUS-SEGMENT'!$C$8:$C$154=$C37)*'ANALYSE - ERP =&gt; SOUS-SEGMENT'!$Q$8:$Q$154*'ANALYSE - ERP =&gt; SOUS-SEGMENT'!$AA$8:$AA$154)</f>
        <v>654</v>
      </c>
      <c r="AB37" s="272">
        <f>SUMPRODUCT(('ANALYSE - ERP =&gt; SOUS-SEGMENT'!$C$8:$C$154=$C37)*'ANALYSE - ERP =&gt; SOUS-SEGMENT'!$Q$8:$Q$154*'ANALYSE - ERP =&gt; SOUS-SEGMENT'!$AB$8:$AB$154)</f>
        <v>654</v>
      </c>
      <c r="AC37" s="272">
        <f>SUMPRODUCT(('ANALYSE - ERP =&gt; SOUS-SEGMENT'!$C$8:$C$154=$C37)*'ANALYSE - ERP =&gt; SOUS-SEGMENT'!$Q$8:$Q$154*'ANALYSE - ERP =&gt; SOUS-SEGMENT'!$AC$8:$AC$154)</f>
        <v>654</v>
      </c>
      <c r="AD37" s="272">
        <f>SUMPRODUCT(('ANALYSE - ERP =&gt; SOUS-SEGMENT'!$C$8:$C$154=$C37)*'ANALYSE - ERP =&gt; SOUS-SEGMENT'!$Q$8:$Q$154*'ANALYSE - ERP =&gt; SOUS-SEGMENT'!$AD$8:$AD$154)</f>
        <v>655</v>
      </c>
      <c r="AE37" s="272">
        <f>SUMPRODUCT(('ANALYSE - ERP =&gt; SOUS-SEGMENT'!$C$8:$C$154=$C37)*'ANALYSE - ERP =&gt; SOUS-SEGMENT'!$Q$8:$Q$154*'ANALYSE - ERP =&gt; SOUS-SEGMENT'!$AE$8:$AE$154)</f>
        <v>657</v>
      </c>
      <c r="AF37" s="272">
        <f>SUMPRODUCT(('ANALYSE - ERP =&gt; SOUS-SEGMENT'!$C$8:$C$154=$C37)*'ANALYSE - ERP =&gt; SOUS-SEGMENT'!$Q$8:$Q$154*'ANALYSE - ERP =&gt; SOUS-SEGMENT'!$AF$8:$AF$154)</f>
        <v>659</v>
      </c>
      <c r="AG37" s="272">
        <f>SUMPRODUCT(('ANALYSE - ERP =&gt; SOUS-SEGMENT'!$C$8:$C$154=$C37)*'ANALYSE - ERP =&gt; SOUS-SEGMENT'!$Q$8:$Q$154*'ANALYSE - ERP =&gt; SOUS-SEGMENT'!$AG$8:$AG$154)</f>
        <v>659</v>
      </c>
      <c r="AH37" s="272">
        <f>SUMPRODUCT(('ANALYSE - ERP =&gt; SOUS-SEGMENT'!$C$8:$C$154=$C37)*'ANALYSE - ERP =&gt; SOUS-SEGMENT'!$Q$8:$Q$154*'ANALYSE - ERP =&gt; SOUS-SEGMENT'!$AH$8:$AH$154)</f>
        <v>659</v>
      </c>
      <c r="AI37" s="272">
        <f>SUMPRODUCT(('ANALYSE - ERP =&gt; SOUS-SEGMENT'!$C$8:$C$154=$C37)*'ANALYSE - ERP =&gt; SOUS-SEGMENT'!$Q$8:$Q$154*'ANALYSE - ERP =&gt; SOUS-SEGMENT'!$AI$8:$AI$154)</f>
        <v>660</v>
      </c>
      <c r="AJ37" s="272">
        <f>SUMPRODUCT(('ANALYSE - ERP =&gt; SOUS-SEGMENT'!$C$8:$C$154=$C37)*'ANALYSE - ERP =&gt; SOUS-SEGMENT'!$Q$8:$Q$154*'ANALYSE - ERP =&gt; SOUS-SEGMENT'!$AJ$8:$AJ$154)</f>
        <v>660</v>
      </c>
      <c r="AK37" s="272">
        <f>SUMPRODUCT(('ANALYSE - ERP =&gt; SOUS-SEGMENT'!$C$8:$C$154=$C37)*'ANALYSE - ERP =&gt; SOUS-SEGMENT'!$Q$8:$Q$154*'ANALYSE - ERP =&gt; SOUS-SEGMENT'!$AK$8:$AK$154)</f>
        <v>660</v>
      </c>
      <c r="AL37" s="268" t="s">
        <v>7448</v>
      </c>
      <c r="AM37" s="268" t="s">
        <v>7449</v>
      </c>
      <c r="AN37" s="268" t="s">
        <v>5120</v>
      </c>
      <c r="AO37" s="657"/>
      <c r="AP37" s="271">
        <f>IFERROR(SUMPRODUCT(('ANALYSE - ERP =&gt; SOUS-SEGMENT'!$C$8:$C$154=$C37)*'ANALYSE - ERP =&gt; SOUS-SEGMENT'!$Q$8:$Q$154*'ANALYSE - ERP =&gt; SOUS-SEGMENT'!$AG$8:$AG$154*'ANALYSE - ERP =&gt; SOUS-SEGMENT'!$AP$8:$AP$154)/SUMPRODUCT(('ANALYSE - ERP =&gt; SOUS-SEGMENT'!$C$8:$C$154=$C37)*'ANALYSE - ERP =&gt; SOUS-SEGMENT'!$Q$8:$Q$154*'ANALYSE - ERP =&gt; SOUS-SEGMENT'!$AG$8:$AG$154),"")</f>
        <v>269.10470409711684</v>
      </c>
      <c r="AQ37" s="280">
        <f>IFERROR(SUMPRODUCT(('ANALYSE - ERP =&gt; SOUS-SEGMENT'!$C$8:$C$154=$C37)*'ANALYSE - ERP =&gt; SOUS-SEGMENT'!$Q$8:$Q$154*'ANALYSE - ERP =&gt; SOUS-SEGMENT'!$AF$8:$AF$154*'ANALYSE - ERP =&gt; SOUS-SEGMENT'!$AQ$8:$AQ$154)/SUMPRODUCT(('ANALYSE - ERP =&gt; SOUS-SEGMENT'!$C$8:$C$154=$C37)*'ANALYSE - ERP =&gt; SOUS-SEGMENT'!$Q$8:$Q$154*'ANALYSE - ERP =&gt; SOUS-SEGMENT'!$AF$8:$AF$154),"")</f>
        <v>175.43095599393018</v>
      </c>
      <c r="AR37" s="974">
        <f>IFERROR(SUMPRODUCT(('ANALYSE - ERP =&gt; SOUS-SEGMENT'!$C$8:$C$154=$C37)*'ANALYSE - ERP =&gt; SOUS-SEGMENT'!$Q$8:$Q$154*'ANALYSE - ERP =&gt; SOUS-SEGMENT'!$AF$8:$AF$154*'ANALYSE - ERP =&gt; SOUS-SEGMENT'!$AR$8:$AR$154)/SUMPRODUCT(('ANALYSE - ERP =&gt; SOUS-SEGMENT'!$C$8:$C$154=$C37)*'ANALYSE - ERP =&gt; SOUS-SEGMENT'!$Q$8:$Q$154*'ANALYSE - ERP =&gt; SOUS-SEGMENT'!$AF$8:$AF$154),"")</f>
        <v>67.473444613050077</v>
      </c>
      <c r="AS37" s="974">
        <f>IFERROR(SUMPRODUCT(('ANALYSE - ERP =&gt; SOUS-SEGMENT'!$C$8:$C$154=$C37)*'ANALYSE - ERP =&gt; SOUS-SEGMENT'!$Q$8:$Q$154*'ANALYSE - ERP =&gt; SOUS-SEGMENT'!$AF$8:$AF$154*'ANALYSE - ERP =&gt; SOUS-SEGMENT'!$AS$8:$AS$154)/SUMPRODUCT(('ANALYSE - ERP =&gt; SOUS-SEGMENT'!$C$8:$C$154=$C37)*'ANALYSE - ERP =&gt; SOUS-SEGMENT'!$Q$8:$Q$154*'ANALYSE - ERP =&gt; SOUS-SEGMENT'!$AF$8:$AF$154),"")</f>
        <v>26.98937784522003</v>
      </c>
      <c r="AT37" s="657" t="s">
        <v>7450</v>
      </c>
      <c r="AU37" s="290" t="s">
        <v>7451</v>
      </c>
      <c r="AV37" s="572" t="s">
        <v>4918</v>
      </c>
      <c r="AW37" s="290" t="s">
        <v>7369</v>
      </c>
      <c r="AX37" s="657"/>
      <c r="AY37" s="303">
        <f>IFERROR(SUMPRODUCT(('ANALYSE - ERP =&gt; SOUS-SEGMENT'!$C$8:$C$154=$C37)*'ANALYSE - ERP =&gt; SOUS-SEGMENT'!$Q$8:$Q$154*'ANALYSE - ERP =&gt; SOUS-SEGMENT'!$AF$8:$AF$154*'ANALYSE - ERP =&gt; SOUS-SEGMENT'!$AZ$8:$AZ$154)/SUMPRODUCT(('ANALYSE - ERP =&gt; SOUS-SEGMENT'!$C$8:$C$154=$C37)*'ANALYSE - ERP =&gt; SOUS-SEGMENT'!$Q$8:$Q$154*'ANALYSE - ERP =&gt; SOUS-SEGMENT'!$AF$8:$AF$154),"")</f>
        <v>10.50227617602428</v>
      </c>
      <c r="AZ37" s="948">
        <f>IFERROR(SUMPRODUCT(('ANALYSE - ERP =&gt; SOUS-SEGMENT'!$C$8:$C$154=$C37)*'ANALYSE - ERP =&gt; SOUS-SEGMENT'!$Q$8:$Q$154*'ANALYSE - ERP =&gt; SOUS-SEGMENT'!$AF$8:$AF$154*'ANALYSE - ERP =&gt; SOUS-SEGMENT'!$BA$8:$BA$154)/SUMPRODUCT(('ANALYSE - ERP =&gt; SOUS-SEGMENT'!$C$8:$C$154=$C37)*'ANALYSE - ERP =&gt; SOUS-SEGMENT'!$Q$8:$Q$154*'ANALYSE - ERP =&gt; SOUS-SEGMENT'!$AF$8:$AF$154),"")</f>
        <v>0</v>
      </c>
      <c r="BA37" s="303">
        <f>IFERROR(SUMPRODUCT(('ANALYSE - ERP =&gt; SOUS-SEGMENT'!$C$8:$C$154=$C37)*'ANALYSE - ERP =&gt; SOUS-SEGMENT'!$Q$8:$Q$154*'ANALYSE - ERP =&gt; SOUS-SEGMENT'!$AF$8:$AF$154*'ANALYSE - ERP =&gt; SOUS-SEGMENT'!$BB$8:$BB$154)/SUMPRODUCT(('ANALYSE - ERP =&gt; SOUS-SEGMENT'!$C$8:$C$154=$C37)*'ANALYSE - ERP =&gt; SOUS-SEGMENT'!$Q$8:$Q$154*'ANALYSE - ERP =&gt; SOUS-SEGMENT'!$AF$8:$AF$154),"")</f>
        <v>1.3839150227617603</v>
      </c>
      <c r="BB37" s="303">
        <f>IFERROR(SUMPRODUCT(('ANALYSE - ERP =&gt; SOUS-SEGMENT'!$C$8:$C$154=$C37)*'ANALYSE - ERP =&gt; SOUS-SEGMENT'!$Q$8:$Q$154*'ANALYSE - ERP =&gt; SOUS-SEGMENT'!$AF$8:$AF$154*'ANALYSE - ERP =&gt; SOUS-SEGMENT'!$BC$8:$BC$154)/SUMPRODUCT(('ANALYSE - ERP =&gt; SOUS-SEGMENT'!$C$8:$C$154=$C37)*'ANALYSE - ERP =&gt; SOUS-SEGMENT'!$Q$8:$Q$154*'ANALYSE - ERP =&gt; SOUS-SEGMENT'!$AF$8:$AF$154),"")</f>
        <v>10.253414264036419</v>
      </c>
      <c r="BC37" s="304">
        <f>SUMPRODUCT(('ANALYSE - ERP =&gt; SOUS-SEGMENT'!$C$8:$C$154=$C37)*'ANALYSE - ERP =&gt; SOUS-SEGMENT'!$Q$8:$Q$154*'ANALYSE - ERP =&gt; SOUS-SEGMENT'!$BE$8:$BE$154)</f>
        <v>6921</v>
      </c>
      <c r="BD37" s="304">
        <f>SUMPRODUCT(('ANALYSE - ERP =&gt; SOUS-SEGMENT'!$C$8:$C$154=$C37)*'ANALYSE - ERP =&gt; SOUS-SEGMENT'!$Q$8:$Q$154*'ANALYSE - ERP =&gt; SOUS-SEGMENT'!$BF$8:$BF$154)</f>
        <v>0</v>
      </c>
      <c r="BE37" s="304">
        <f>SUMPRODUCT(('ANALYSE - ERP =&gt; SOUS-SEGMENT'!$C$8:$C$154=$C37)*'ANALYSE - ERP =&gt; SOUS-SEGMENT'!$Q$8:$Q$154*'ANALYSE - ERP =&gt; SOUS-SEGMENT'!$BG$8:$BG$154)</f>
        <v>912</v>
      </c>
      <c r="BF37" s="304">
        <f>SUMPRODUCT(('ANALYSE - ERP =&gt; SOUS-SEGMENT'!$C$8:$C$154=$C37)*'ANALYSE - ERP =&gt; SOUS-SEGMENT'!$Q$8:$Q$154*'ANALYSE - ERP =&gt; SOUS-SEGMENT'!$BH$8:$BH$154)</f>
        <v>6757</v>
      </c>
      <c r="BG37" s="304">
        <f>SUMPRODUCT(('ANALYSE - ERP =&gt; SOUS-SEGMENT'!$C$8:$C$154=$C37)*'ANALYSE - ERP =&gt; SOUS-SEGMENT'!$Q$8:$Q$154*'ANALYSE - ERP =&gt; SOUS-SEGMENT'!$BJ$8:$BJ$154)</f>
        <v>6849</v>
      </c>
      <c r="BH37" s="304">
        <f>SUMPRODUCT(('ANALYSE - ERP =&gt; SOUS-SEGMENT'!$C$8:$C$154=$C37)*'ANALYSE - ERP =&gt; SOUS-SEGMENT'!$Q$8:$Q$154*'ANALYSE - ERP =&gt; SOUS-SEGMENT'!$BK$8:$BK$154)</f>
        <v>0</v>
      </c>
      <c r="BI37" s="304">
        <f>SUMPRODUCT(('ANALYSE - ERP =&gt; SOUS-SEGMENT'!$C$8:$C$154=$C37)*'ANALYSE - ERP =&gt; SOUS-SEGMENT'!$Q$8:$Q$154*'ANALYSE - ERP =&gt; SOUS-SEGMENT'!$BL$8:$BL$154)</f>
        <v>902.5</v>
      </c>
      <c r="BJ37" s="304">
        <f>SUMPRODUCT(('ANALYSE - ERP =&gt; SOUS-SEGMENT'!$C$8:$C$154=$C37)*'ANALYSE - ERP =&gt; SOUS-SEGMENT'!$Q$8:$Q$154*'ANALYSE - ERP =&gt; SOUS-SEGMENT'!$BM$8:$BM$154)</f>
        <v>6689</v>
      </c>
      <c r="BK37" s="657"/>
      <c r="BL37" s="580">
        <f>IFERROR(SUMPRODUCT(('ANALYSE - ERP =&gt; SOUS-SEGMENT'!$C$8:$C$154=$C37)*'ANALYSE - ERP =&gt; SOUS-SEGMENT'!$Q$8:$Q$154*'ANALYSE - ERP =&gt; SOUS-SEGMENT'!$BE$8:$BE$154*'ANALYSE - ERP =&gt; SOUS-SEGMENT'!$BO$8:$BO$154)/SUMPRODUCT(('ANALYSE - ERP =&gt; SOUS-SEGMENT'!$C$8:$C$154=$C37)*'ANALYSE - ERP =&gt; SOUS-SEGMENT'!$Q$8:$Q$154*'ANALYSE - ERP =&gt; SOUS-SEGMENT'!$BE$8:$BE$154),"")</f>
        <v>0.17999999999999997</v>
      </c>
      <c r="BM37" s="305">
        <f>IFERROR(SUMPRODUCT(('ANALYSE - ERP =&gt; SOUS-SEGMENT'!$C$8:$C$154=$C37)*'ANALYSE - ERP =&gt; SOUS-SEGMENT'!$Q$8:$Q$154*'ANALYSE - ERP =&gt; SOUS-SEGMENT'!$BE$8:$BE$154*'ANALYSE - ERP =&gt; SOUS-SEGMENT'!$BP$8:$BP$154)/SUMPRODUCT(('ANALYSE - ERP =&gt; SOUS-SEGMENT'!$C$8:$C$154=$C37)*'ANALYSE - ERP =&gt; SOUS-SEGMENT'!$Q$8:$Q$154*'ANALYSE - ERP =&gt; SOUS-SEGMENT'!$BE$8:$BE$154),"")</f>
        <v>0.6399999999999999</v>
      </c>
      <c r="BN37" s="305">
        <f>IFERROR(SUMPRODUCT(('ANALYSE - ERP =&gt; SOUS-SEGMENT'!$C$8:$C$154=$C37)*'ANALYSE - ERP =&gt; SOUS-SEGMENT'!$Q$8:$Q$154*'ANALYSE - ERP =&gt; SOUS-SEGMENT'!$BE$8:$BE$154*'ANALYSE - ERP =&gt; SOUS-SEGMENT'!$BQ$8:$BQ$154)/SUMPRODUCT(('ANALYSE - ERP =&gt; SOUS-SEGMENT'!$C$8:$C$154=$C37)*'ANALYSE - ERP =&gt; SOUS-SEGMENT'!$Q$8:$Q$154*'ANALYSE - ERP =&gt; SOUS-SEGMENT'!$BE$8:$BE$154),"")</f>
        <v>0.14000000000000001</v>
      </c>
      <c r="BO37" s="581">
        <f>IFERROR(SUMPRODUCT(('ANALYSE - ERP =&gt; SOUS-SEGMENT'!$C$8:$C$154=$C37)*'ANALYSE - ERP =&gt; SOUS-SEGMENT'!$Q$8:$Q$154*'ANALYSE - ERP =&gt; SOUS-SEGMENT'!$BE$8:$BE$154*'ANALYSE - ERP =&gt; SOUS-SEGMENT'!$BR$8:$BR$154)/SUMPRODUCT(('ANALYSE - ERP =&gt; SOUS-SEGMENT'!$C$8:$C$154=$C37)*'ANALYSE - ERP =&gt; SOUS-SEGMENT'!$Q$8:$Q$154*'ANALYSE - ERP =&gt; SOUS-SEGMENT'!$BE$8:$BE$154),"")</f>
        <v>3.9999999999999994E-2</v>
      </c>
      <c r="BP37" s="580">
        <f>IFERROR(SUMPRODUCT(('ANALYSE - ERP =&gt; SOUS-SEGMENT'!$C$8:$C$154=$C37)*'ANALYSE - ERP =&gt; SOUS-SEGMENT'!$Q$8:$Q$154*'ANALYSE - ERP =&gt; SOUS-SEGMENT'!$BJ$8:$BJ$154*'ANALYSE - ERP =&gt; SOUS-SEGMENT'!$BS$8:$BS$154)/SUMPRODUCT(('ANALYSE - ERP =&gt; SOUS-SEGMENT'!$C$8:$C$154=$C37)*'ANALYSE - ERP =&gt; SOUS-SEGMENT'!$Q$8:$Q$154*'ANALYSE - ERP =&gt; SOUS-SEGMENT'!$BJ$8:$BJ$154),"")</f>
        <v>0.16000000000000003</v>
      </c>
      <c r="BQ37" s="305">
        <f>IFERROR(SUMPRODUCT(('ANALYSE - ERP =&gt; SOUS-SEGMENT'!$C$8:$C$154=$C37)*'ANALYSE - ERP =&gt; SOUS-SEGMENT'!$Q$8:$Q$154*'ANALYSE - ERP =&gt; SOUS-SEGMENT'!$BJ$8:$BJ$154*'ANALYSE - ERP =&gt; SOUS-SEGMENT'!$BT$8:$BT$154)/SUMPRODUCT(('ANALYSE - ERP =&gt; SOUS-SEGMENT'!$C$8:$C$154=$C37)*'ANALYSE - ERP =&gt; SOUS-SEGMENT'!$Q$8:$Q$154*'ANALYSE - ERP =&gt; SOUS-SEGMENT'!$BJ$8:$BJ$154),"")</f>
        <v>0.64000000000000012</v>
      </c>
      <c r="BR37" s="305">
        <f>IFERROR(SUMPRODUCT(('ANALYSE - ERP =&gt; SOUS-SEGMENT'!$C$8:$C$154=$C37)*'ANALYSE - ERP =&gt; SOUS-SEGMENT'!$Q$8:$Q$154*'ANALYSE - ERP =&gt; SOUS-SEGMENT'!$BJ$8:$BJ$154*'ANALYSE - ERP =&gt; SOUS-SEGMENT'!$BU$8:$BU$154)/SUMPRODUCT(('ANALYSE - ERP =&gt; SOUS-SEGMENT'!$C$8:$C$154=$C37)*'ANALYSE - ERP =&gt; SOUS-SEGMENT'!$Q$8:$Q$154*'ANALYSE - ERP =&gt; SOUS-SEGMENT'!$BJ$8:$BJ$154),"")</f>
        <v>0.16999999999999998</v>
      </c>
      <c r="BS37" s="581">
        <f>IFERROR(SUMPRODUCT(('ANALYSE - ERP =&gt; SOUS-SEGMENT'!$C$8:$C$154=$C37)*'ANALYSE - ERP =&gt; SOUS-SEGMENT'!$Q$8:$Q$154*'ANALYSE - ERP =&gt; SOUS-SEGMENT'!$BJ$8:$BJ$154*'ANALYSE - ERP =&gt; SOUS-SEGMENT'!$BV$8:$BV$154)/SUMPRODUCT(('ANALYSE - ERP =&gt; SOUS-SEGMENT'!$C$8:$C$154=$C37)*'ANALYSE - ERP =&gt; SOUS-SEGMENT'!$Q$8:$Q$154*'ANALYSE - ERP =&gt; SOUS-SEGMENT'!$BJ$8:$BJ$154),"")</f>
        <v>0.03</v>
      </c>
      <c r="BT37" s="589" t="str">
        <f>IFERROR(SUMPRODUCT(('ANALYSE - ERP =&gt; SOUS-SEGMENT'!$C$8:$C$154=$C37)*'ANALYSE - ERP =&gt; SOUS-SEGMENT'!$Q$8:$Q$154*'ANALYSE - ERP =&gt; SOUS-SEGMENT'!$BF$8:$BF$154*'ANALYSE - ERP =&gt; SOUS-SEGMENT'!$BW$8:$BW$154)/SUMPRODUCT(('ANALYSE - ERP =&gt; SOUS-SEGMENT'!$C$8:$C$154=$C37)*'ANALYSE - ERP =&gt; SOUS-SEGMENT'!$Q$8:$Q$154*'ANALYSE - ERP =&gt; SOUS-SEGMENT'!$BF$8:$BF$154),"")</f>
        <v/>
      </c>
      <c r="BU37" s="306" t="str">
        <f>IFERROR(SUMPRODUCT(('ANALYSE - ERP =&gt; SOUS-SEGMENT'!$C$8:$C$154=$C37)*'ANALYSE - ERP =&gt; SOUS-SEGMENT'!$Q$8:$Q$154*'ANALYSE - ERP =&gt; SOUS-SEGMENT'!$BF$8:$BF$154*'ANALYSE - ERP =&gt; SOUS-SEGMENT'!$BX$8:$BX$154)/SUMPRODUCT(('ANALYSE - ERP =&gt; SOUS-SEGMENT'!$C$8:$C$154=$C37)*'ANALYSE - ERP =&gt; SOUS-SEGMENT'!$Q$8:$Q$154*'ANALYSE - ERP =&gt; SOUS-SEGMENT'!$BF$8:$BF$154),"")</f>
        <v/>
      </c>
      <c r="BV37" s="590" t="str">
        <f>IFERROR(SUMPRODUCT(('ANALYSE - ERP =&gt; SOUS-SEGMENT'!$C$8:$C$154=$C37)*'ANALYSE - ERP =&gt; SOUS-SEGMENT'!$Q$8:$Q$154*'ANALYSE - ERP =&gt; SOUS-SEGMENT'!$BF$8:$BF$154*'ANALYSE - ERP =&gt; SOUS-SEGMENT'!$BY$8:$BY$154)/SUMPRODUCT(('ANALYSE - ERP =&gt; SOUS-SEGMENT'!$C$8:$C$154=$C37)*'ANALYSE - ERP =&gt; SOUS-SEGMENT'!$Q$8:$Q$154*'ANALYSE - ERP =&gt; SOUS-SEGMENT'!$BF$8:$BF$154),"")</f>
        <v/>
      </c>
      <c r="BW37" s="589" t="str">
        <f>IFERROR(SUMPRODUCT(('ANALYSE - ERP =&gt; SOUS-SEGMENT'!$C$8:$C$154=$C37)*'ANALYSE - ERP =&gt; SOUS-SEGMENT'!$Q$8:$Q$154*'ANALYSE - ERP =&gt; SOUS-SEGMENT'!$BK$8:$BK$154*'ANALYSE - ERP =&gt; SOUS-SEGMENT'!$BZ$8:$BZ$154)/SUMPRODUCT(('ANALYSE - ERP =&gt; SOUS-SEGMENT'!$C$8:$C$154=$C37)*'ANALYSE - ERP =&gt; SOUS-SEGMENT'!$Q$8:$Q$154*'ANALYSE - ERP =&gt; SOUS-SEGMENT'!$BK$8:$BK$154),"")</f>
        <v/>
      </c>
      <c r="BX37" s="306" t="str">
        <f>IFERROR(SUMPRODUCT(('ANALYSE - ERP =&gt; SOUS-SEGMENT'!$C$8:$C$154=$C37)*'ANALYSE - ERP =&gt; SOUS-SEGMENT'!$Q$8:$Q$154*'ANALYSE - ERP =&gt; SOUS-SEGMENT'!$BK$8:$BK$154*'ANALYSE - ERP =&gt; SOUS-SEGMENT'!$CA$8:$CA$154)/SUMPRODUCT(('ANALYSE - ERP =&gt; SOUS-SEGMENT'!$C$8:$C$154=$C37)*'ANALYSE - ERP =&gt; SOUS-SEGMENT'!$Q$8:$Q$154*'ANALYSE - ERP =&gt; SOUS-SEGMENT'!$BK$8:$BK$154),"")</f>
        <v/>
      </c>
      <c r="BY37" s="590" t="str">
        <f>IFERROR(SUMPRODUCT(('ANALYSE - ERP =&gt; SOUS-SEGMENT'!$C$8:$C$154=$C37)*'ANALYSE - ERP =&gt; SOUS-SEGMENT'!$Q$8:$Q$154*'ANALYSE - ERP =&gt; SOUS-SEGMENT'!$BK$8:$BK$154*'ANALYSE - ERP =&gt; SOUS-SEGMENT'!$CB$8:$CB$154)/SUMPRODUCT(('ANALYSE - ERP =&gt; SOUS-SEGMENT'!$C$8:$C$154=$C37)*'ANALYSE - ERP =&gt; SOUS-SEGMENT'!$Q$8:$Q$154*'ANALYSE - ERP =&gt; SOUS-SEGMENT'!$BK$8:$BK$154),"")</f>
        <v/>
      </c>
      <c r="BZ37" s="580">
        <f>IFERROR(SUMPRODUCT(('ANALYSE - ERP =&gt; SOUS-SEGMENT'!$C$8:$C$154=$C37)*'ANALYSE - ERP =&gt; SOUS-SEGMENT'!$Q$8:$Q$154*'ANALYSE - ERP =&gt; SOUS-SEGMENT'!$BG$8:$BG$154*'ANALYSE - ERP =&gt; SOUS-SEGMENT'!$CC$8:$CC$154)/SUMPRODUCT(('ANALYSE - ERP =&gt; SOUS-SEGMENT'!$C$8:$C$154=$C37)*'ANALYSE - ERP =&gt; SOUS-SEGMENT'!$Q$8:$Q$154*'ANALYSE - ERP =&gt; SOUS-SEGMENT'!$BG$8:$BG$154),"")</f>
        <v>0.10000000000000002</v>
      </c>
      <c r="CA37" s="305">
        <f>IFERROR(SUMPRODUCT(('ANALYSE - ERP =&gt; SOUS-SEGMENT'!$C$8:$C$154=$C37)*'ANALYSE - ERP =&gt; SOUS-SEGMENT'!$Q$8:$Q$154*'ANALYSE - ERP =&gt; SOUS-SEGMENT'!$BG$8:$BG$154*'ANALYSE - ERP =&gt; SOUS-SEGMENT'!$CD$8:$CD$154)/SUMPRODUCT(('ANALYSE - ERP =&gt; SOUS-SEGMENT'!$C$8:$C$154=$C37)*'ANALYSE - ERP =&gt; SOUS-SEGMENT'!$Q$8:$Q$154*'ANALYSE - ERP =&gt; SOUS-SEGMENT'!$BG$8:$BG$154),"")</f>
        <v>0.55000000000000004</v>
      </c>
      <c r="CB37" s="305">
        <f>IFERROR(SUMPRODUCT(('ANALYSE - ERP =&gt; SOUS-SEGMENT'!$C$8:$C$154=$C37)*'ANALYSE - ERP =&gt; SOUS-SEGMENT'!$Q$8:$Q$154*'ANALYSE - ERP =&gt; SOUS-SEGMENT'!$BG$8:$BG$154*'ANALYSE - ERP =&gt; SOUS-SEGMENT'!$CE$8:$CE$154)/SUMPRODUCT(('ANALYSE - ERP =&gt; SOUS-SEGMENT'!$C$8:$C$154=$C37)*'ANALYSE - ERP =&gt; SOUS-SEGMENT'!$Q$8:$Q$154*'ANALYSE - ERP =&gt; SOUS-SEGMENT'!$BG$8:$BG$154),"")</f>
        <v>0.15</v>
      </c>
      <c r="CC37" s="581">
        <f>IFERROR(SUMPRODUCT(('ANALYSE - ERP =&gt; SOUS-SEGMENT'!$C$8:$C$154=$C37)*'ANALYSE - ERP =&gt; SOUS-SEGMENT'!$Q$8:$Q$154*'ANALYSE - ERP =&gt; SOUS-SEGMENT'!$BG$8:$BG$154*'ANALYSE - ERP =&gt; SOUS-SEGMENT'!$CF$8:$CF$154)/SUMPRODUCT(('ANALYSE - ERP =&gt; SOUS-SEGMENT'!$C$8:$C$154=$C37)*'ANALYSE - ERP =&gt; SOUS-SEGMENT'!$Q$8:$Q$154*'ANALYSE - ERP =&gt; SOUS-SEGMENT'!$BG$8:$BG$154),"")</f>
        <v>0.20000000000000004</v>
      </c>
      <c r="CD37" s="580">
        <f>IFERROR(SUMPRODUCT(('ANALYSE - ERP =&gt; SOUS-SEGMENT'!$C$8:$C$154=$C37)*'ANALYSE - ERP =&gt; SOUS-SEGMENT'!$Q$8:$Q$154*'ANALYSE - ERP =&gt; SOUS-SEGMENT'!$BL$8:$BL$154*'ANALYSE - ERP =&gt; SOUS-SEGMENT'!$CG$8:$CG$154)/SUMPRODUCT(('ANALYSE - ERP =&gt; SOUS-SEGMENT'!$C$8:$C$154=$C37)*'ANALYSE - ERP =&gt; SOUS-SEGMENT'!$Q$8:$Q$154*'ANALYSE - ERP =&gt; SOUS-SEGMENT'!$BL$8:$BL$154),"")</f>
        <v>0.08</v>
      </c>
      <c r="CE37" s="305">
        <f>IFERROR(SUMPRODUCT(('ANALYSE - ERP =&gt; SOUS-SEGMENT'!$C$8:$C$154=$C37)*'ANALYSE - ERP =&gt; SOUS-SEGMENT'!$Q$8:$Q$154*'ANALYSE - ERP =&gt; SOUS-SEGMENT'!$BL$8:$BL$154*'ANALYSE - ERP =&gt; SOUS-SEGMENT'!$CH$8:$CH$154)/SUMPRODUCT(('ANALYSE - ERP =&gt; SOUS-SEGMENT'!$C$8:$C$154=$C37)*'ANALYSE - ERP =&gt; SOUS-SEGMENT'!$Q$8:$Q$154*'ANALYSE - ERP =&gt; SOUS-SEGMENT'!$BL$8:$BL$154),"")</f>
        <v>0.55000000000000004</v>
      </c>
      <c r="CF37" s="305">
        <f>IFERROR(SUMPRODUCT(('ANALYSE - ERP =&gt; SOUS-SEGMENT'!$C$8:$C$154=$C37)*'ANALYSE - ERP =&gt; SOUS-SEGMENT'!$Q$8:$Q$154*'ANALYSE - ERP =&gt; SOUS-SEGMENT'!$BL$8:$BL$154*'ANALYSE - ERP =&gt; SOUS-SEGMENT'!$CI$8:$CI$154)/SUMPRODUCT(('ANALYSE - ERP =&gt; SOUS-SEGMENT'!$C$8:$C$154=$C37)*'ANALYSE - ERP =&gt; SOUS-SEGMENT'!$Q$8:$Q$154*'ANALYSE - ERP =&gt; SOUS-SEGMENT'!$BL$8:$BL$154),"")</f>
        <v>0.18</v>
      </c>
      <c r="CG37" s="581">
        <f>IFERROR(SUMPRODUCT(('ANALYSE - ERP =&gt; SOUS-SEGMENT'!$C$8:$C$154=$C37)*'ANALYSE - ERP =&gt; SOUS-SEGMENT'!$Q$8:$Q$154*'ANALYSE - ERP =&gt; SOUS-SEGMENT'!$BL$8:$BL$154*'ANALYSE - ERP =&gt; SOUS-SEGMENT'!$CJ$8:$CJ$154)/SUMPRODUCT(('ANALYSE - ERP =&gt; SOUS-SEGMENT'!$C$8:$C$154=$C37)*'ANALYSE - ERP =&gt; SOUS-SEGMENT'!$Q$8:$Q$154*'ANALYSE - ERP =&gt; SOUS-SEGMENT'!$BL$8:$BL$154),"")</f>
        <v>0.19</v>
      </c>
      <c r="CH37" s="589">
        <f>IFERROR(SUMPRODUCT(('ANALYSE - ERP =&gt; SOUS-SEGMENT'!$C$8:$C$154=$C37)*'ANALYSE - ERP =&gt; SOUS-SEGMENT'!$Q$8:$Q$154*'ANALYSE - ERP =&gt; SOUS-SEGMENT'!$BH$8:$BH$154*'ANALYSE - ERP =&gt; SOUS-SEGMENT'!$CK$8:$CK$154)/SUMPRODUCT(('ANALYSE - ERP =&gt; SOUS-SEGMENT'!$C$8:$C$154=$C37)*'ANALYSE - ERP =&gt; SOUS-SEGMENT'!$Q$8:$Q$154*'ANALYSE - ERP =&gt; SOUS-SEGMENT'!$BH$8:$BH$154),"")</f>
        <v>0.46990528340979726</v>
      </c>
      <c r="CI37" s="306">
        <f>IFERROR(SUMPRODUCT(('ANALYSE - ERP =&gt; SOUS-SEGMENT'!$C$8:$C$154=$C37)*'ANALYSE - ERP =&gt; SOUS-SEGMENT'!$Q$8:$Q$154*'ANALYSE - ERP =&gt; SOUS-SEGMENT'!$BH$8:$BH$154*'ANALYSE - ERP =&gt; SOUS-SEGMENT'!$CL$8:$CL$154)/SUMPRODUCT(('ANALYSE - ERP =&gt; SOUS-SEGMENT'!$C$8:$C$154=$C37)*'ANALYSE - ERP =&gt; SOUS-SEGMENT'!$Q$8:$Q$154*'ANALYSE - ERP =&gt; SOUS-SEGMENT'!$BH$8:$BH$154),"")</f>
        <v>0.30339647772680184</v>
      </c>
      <c r="CJ37" s="590">
        <f>IFERROR(SUMPRODUCT(('ANALYSE - ERP =&gt; SOUS-SEGMENT'!$C$8:$C$154=$C37)*'ANALYSE - ERP =&gt; SOUS-SEGMENT'!$Q$8:$Q$154*'ANALYSE - ERP =&gt; SOUS-SEGMENT'!$BH$8:$BH$154*'ANALYSE - ERP =&gt; SOUS-SEGMENT'!$CM$8:$CM$154)/SUMPRODUCT(('ANALYSE - ERP =&gt; SOUS-SEGMENT'!$C$8:$C$154=$C37)*'ANALYSE - ERP =&gt; SOUS-SEGMENT'!$Q$8:$Q$154*'ANALYSE - ERP =&gt; SOUS-SEGMENT'!$BH$8:$BH$154),"")</f>
        <v>0.22669823886340096</v>
      </c>
      <c r="CK37" s="589">
        <f>IFERROR(SUMPRODUCT(('ANALYSE - ERP =&gt; SOUS-SEGMENT'!$C$8:$C$154=$C37)*'ANALYSE - ERP =&gt; SOUS-SEGMENT'!$Q$8:$Q$154*'ANALYSE - ERP =&gt; SOUS-SEGMENT'!$BM$8:$BM$154*'ANALYSE - ERP =&gt; SOUS-SEGMENT'!$CN$8:$CN$154)/SUMPRODUCT(('ANALYSE - ERP =&gt; SOUS-SEGMENT'!$C$8:$C$154=$C37)*'ANALYSE - ERP =&gt; SOUS-SEGMENT'!$Q$8:$Q$154*'ANALYSE - ERP =&gt; SOUS-SEGMENT'!$BM$8:$BM$154),"")</f>
        <v>0.39106443414561221</v>
      </c>
      <c r="CL37" s="306">
        <f>IFERROR(SUMPRODUCT(('ANALYSE - ERP =&gt; SOUS-SEGMENT'!$C$8:$C$154=$C37)*'ANALYSE - ERP =&gt; SOUS-SEGMENT'!$Q$8:$Q$154*'ANALYSE - ERP =&gt; SOUS-SEGMENT'!$BM$8:$BM$154*'ANALYSE - ERP =&gt; SOUS-SEGMENT'!$CO$8:$CO$154)/SUMPRODUCT(('ANALYSE - ERP =&gt; SOUS-SEGMENT'!$C$8:$C$154=$C37)*'ANALYSE - ERP =&gt; SOUS-SEGMENT'!$Q$8:$Q$154*'ANALYSE - ERP =&gt; SOUS-SEGMENT'!$BM$8:$BM$154),"")</f>
        <v>0.33262371056959189</v>
      </c>
      <c r="CM37" s="590">
        <f>IFERROR(SUMPRODUCT(('ANALYSE - ERP =&gt; SOUS-SEGMENT'!$C$8:$C$154=$C37)*'ANALYSE - ERP =&gt; SOUS-SEGMENT'!$Q$8:$Q$154*'ANALYSE - ERP =&gt; SOUS-SEGMENT'!$BM$8:$BM$154*'ANALYSE - ERP =&gt; SOUS-SEGMENT'!$CP$8:$CP$154)/SUMPRODUCT(('ANALYSE - ERP =&gt; SOUS-SEGMENT'!$C$8:$C$154=$C37)*'ANALYSE - ERP =&gt; SOUS-SEGMENT'!$Q$8:$Q$154*'ANALYSE - ERP =&gt; SOUS-SEGMENT'!$BM$8:$BM$154),"")</f>
        <v>0.27631185528479596</v>
      </c>
      <c r="CN37" s="657"/>
      <c r="CO37" s="882">
        <f>IFERROR(SUMPRODUCT(('ANALYSE - ERP =&gt; SOUS-SEGMENT'!$C$8:$C$154=$C37)*'ANALYSE - ERP =&gt; SOUS-SEGMENT'!$DH$8:$DH$154*('ANALYSE - ERP =&gt; SOUS-SEGMENT'!$CR$8:$CR$154&gt;0)*'ANALYSE - ERP =&gt; SOUS-SEGMENT'!$CR$8:$CR$154)/SUMPRODUCT(('ANALYSE - ERP =&gt; SOUS-SEGMENT'!$C$8:$C$154=$C37)*'ANALYSE - ERP =&gt; SOUS-SEGMENT'!$DH$8:$DH$154*('ANALYSE - ERP =&gt; SOUS-SEGMENT'!$CR$8:$CR$154&gt;0)),"")</f>
        <v>13.000000000000002</v>
      </c>
      <c r="CP37" s="883">
        <f>IFERROR(SUMPRODUCT(('ANALYSE - ERP =&gt; SOUS-SEGMENT'!$C$8:$C$154=$C37)*'ANALYSE - ERP =&gt; SOUS-SEGMENT'!$DI$8:$DI$154*('ANALYSE - ERP =&gt; SOUS-SEGMENT'!$CS$8:$CS$154&gt;0)*'ANALYSE - ERP =&gt; SOUS-SEGMENT'!$CS$8:$CS$154)/SUMPRODUCT(('ANALYSE - ERP =&gt; SOUS-SEGMENT'!$C$8:$C$154=$C37)*'ANALYSE - ERP =&gt; SOUS-SEGMENT'!$DI$8:$DI$154*('ANALYSE - ERP =&gt; SOUS-SEGMENT'!$CS$8:$CS$154&gt;0)),"")</f>
        <v>13.000000000000002</v>
      </c>
      <c r="CQ37" s="883">
        <f>IFERROR(SUMPRODUCT(('ANALYSE - ERP =&gt; SOUS-SEGMENT'!$C$8:$C$154=$C37)*'ANALYSE - ERP =&gt; SOUS-SEGMENT'!$DJ$8:$DJ$154*('ANALYSE - ERP =&gt; SOUS-SEGMENT'!$CT$8:$CT$154&gt;0)*'ANALYSE - ERP =&gt; SOUS-SEGMENT'!$CT$8:$CT$154)/SUMPRODUCT(('ANALYSE - ERP =&gt; SOUS-SEGMENT'!$C$8:$C$154=$C37)*'ANALYSE - ERP =&gt; SOUS-SEGMENT'!$DJ$8:$DJ$154*('ANALYSE - ERP =&gt; SOUS-SEGMENT'!$CT$8:$CT$154&gt;0)),"")</f>
        <v>10.000000000000002</v>
      </c>
      <c r="CR37" s="884">
        <f>IFERROR(SUMPRODUCT(('ANALYSE - ERP =&gt; SOUS-SEGMENT'!$C$8:$C$154=$C37)*'ANALYSE - ERP =&gt; SOUS-SEGMENT'!$DK$8:$DK$154*('ANALYSE - ERP =&gt; SOUS-SEGMENT'!$CU$8:$CU$154&gt;0)*'ANALYSE - ERP =&gt; SOUS-SEGMENT'!$CU$8:$CU$154)/SUMPRODUCT(('ANALYSE - ERP =&gt; SOUS-SEGMENT'!$C$8:$C$154=$C37)*'ANALYSE - ERP =&gt; SOUS-SEGMENT'!$DK$8:$DK$154*('ANALYSE - ERP =&gt; SOUS-SEGMENT'!$CU$8:$CU$154&gt;0)),"")</f>
        <v>12</v>
      </c>
      <c r="CS37" s="882" t="str">
        <f>IFERROR(SUMPRODUCT(('ANALYSE - ERP =&gt; SOUS-SEGMENT'!$C$8:$C$154=$C37)*'ANALYSE - ERP =&gt; SOUS-SEGMENT'!$DS$8:$DS$154*('ANALYSE - ERP =&gt; SOUS-SEGMENT'!$CV$8:$CV$154&gt;0)*'ANALYSE - ERP =&gt; SOUS-SEGMENT'!$CV$8:$CV$154)/SUMPRODUCT(('ANALYSE - ERP =&gt; SOUS-SEGMENT'!$C$8:$C$154=$C37)*'ANALYSE - ERP =&gt; SOUS-SEGMENT'!$DS$8:$DS$154*('ANALYSE - ERP =&gt; SOUS-SEGMENT'!$CV$8:$CV$154&gt;0)),"")</f>
        <v/>
      </c>
      <c r="CT37" s="883" t="str">
        <f>IFERROR(SUMPRODUCT(('ANALYSE - ERP =&gt; SOUS-SEGMENT'!$C$8:$C$154=$C37)*'ANALYSE - ERP =&gt; SOUS-SEGMENT'!$DT$8:$DT$154*('ANALYSE - ERP =&gt; SOUS-SEGMENT'!$CW$8:$CW$154&gt;0)*'ANALYSE - ERP =&gt; SOUS-SEGMENT'!$CW$8:$CW$154)/SUMPRODUCT(('ANALYSE - ERP =&gt; SOUS-SEGMENT'!$C$8:$C$154=$C37)*'ANALYSE - ERP =&gt; SOUS-SEGMENT'!$DT$8:$DT$154*('ANALYSE - ERP =&gt; SOUS-SEGMENT'!$CW$8:$CW$154&gt;0)),"")</f>
        <v/>
      </c>
      <c r="CU37" s="884" t="str">
        <f>IFERROR(SUMPRODUCT(('ANALYSE - ERP =&gt; SOUS-SEGMENT'!$C$8:$C$154=$C37)*'ANALYSE - ERP =&gt; SOUS-SEGMENT'!$DU$8:$DU$154*('ANALYSE - ERP =&gt; SOUS-SEGMENT'!$CX$8:$CX$154&gt;0)*'ANALYSE - ERP =&gt; SOUS-SEGMENT'!$CX$8:$CX$154)/SUMPRODUCT(('ANALYSE - ERP =&gt; SOUS-SEGMENT'!$C$8:$C$154=$C37)*'ANALYSE - ERP =&gt; SOUS-SEGMENT'!$DU$8:$DU$154*('ANALYSE - ERP =&gt; SOUS-SEGMENT'!$CX$8:$CX$154&gt;0)),"")</f>
        <v/>
      </c>
      <c r="CV37" s="882">
        <f>IFERROR(SUMPRODUCT(('ANALYSE - ERP =&gt; SOUS-SEGMENT'!$C$8:$C$154=$C37)*'ANALYSE - ERP =&gt; SOUS-SEGMENT'!$EB$8:$EB$154*('ANALYSE - ERP =&gt; SOUS-SEGMENT'!$CY$8:$CY$154&gt;0)*'ANALYSE - ERP =&gt; SOUS-SEGMENT'!$CY$8:$CY$154)/SUMPRODUCT(('ANALYSE - ERP =&gt; SOUS-SEGMENT'!$C$8:$C$154=$C37)*'ANALYSE - ERP =&gt; SOUS-SEGMENT'!$EB$8:$EB$154*('ANALYSE - ERP =&gt; SOUS-SEGMENT'!$CY$8:$CY$154&gt;0)),"")</f>
        <v>10.999999999999998</v>
      </c>
      <c r="CW37" s="883">
        <f>IFERROR(SUMPRODUCT(('ANALYSE - ERP =&gt; SOUS-SEGMENT'!$C$8:$C$154=$C37)*'ANALYSE - ERP =&gt; SOUS-SEGMENT'!$EC$8:$EC$154*('ANALYSE - ERP =&gt; SOUS-SEGMENT'!$CZ$8:$CZ$154&gt;0)*'ANALYSE - ERP =&gt; SOUS-SEGMENT'!$CZ$8:$CZ$154)/SUMPRODUCT(('ANALYSE - ERP =&gt; SOUS-SEGMENT'!$C$8:$C$154=$C37)*'ANALYSE - ERP =&gt; SOUS-SEGMENT'!$EC$8:$EC$154*('ANALYSE - ERP =&gt; SOUS-SEGMENT'!$CZ$8:$CZ$154&gt;0)),"")</f>
        <v>13.000000000000002</v>
      </c>
      <c r="CX37" s="883">
        <f>IFERROR(SUMPRODUCT(('ANALYSE - ERP =&gt; SOUS-SEGMENT'!$C$8:$C$154=$C37)*'ANALYSE - ERP =&gt; SOUS-SEGMENT'!$ED$8:$ED$154*('ANALYSE - ERP =&gt; SOUS-SEGMENT'!$DA$8:$DA$154&gt;0)*'ANALYSE - ERP =&gt; SOUS-SEGMENT'!$DA$8:$DA$154)/SUMPRODUCT(('ANALYSE - ERP =&gt; SOUS-SEGMENT'!$C$8:$C$154=$C37)*'ANALYSE - ERP =&gt; SOUS-SEGMENT'!$ED$8:$ED$154*('ANALYSE - ERP =&gt; SOUS-SEGMENT'!$DA$8:$DA$154&gt;0)),"")</f>
        <v>9</v>
      </c>
      <c r="CY37" s="885">
        <f>IFERROR(SUMPRODUCT(('ANALYSE - ERP =&gt; SOUS-SEGMENT'!$C$8:$C$154=$C37)*'ANALYSE - ERP =&gt; SOUS-SEGMENT'!$EE$8:$EE$154*('ANALYSE - ERP =&gt; SOUS-SEGMENT'!$DB$8:$DB$154&gt;0)*'ANALYSE - ERP =&gt; SOUS-SEGMENT'!$DB$8:$DB$154)/SUMPRODUCT(('ANALYSE - ERP =&gt; SOUS-SEGMENT'!$C$8:$C$154=$C37)*'ANALYSE - ERP =&gt; SOUS-SEGMENT'!$EE$8:$EE$154*('ANALYSE - ERP =&gt; SOUS-SEGMENT'!$DB$8:$DB$154&gt;0)),"")</f>
        <v>10.999999999999998</v>
      </c>
      <c r="CZ37" s="886">
        <f>IFERROR(SUMPRODUCT(('ANALYSE - ERP =&gt; SOUS-SEGMENT'!$C$8:$C$154=$C37)*'ANALYSE - ERP =&gt; SOUS-SEGMENT'!$EM$8:$EM$154*('ANALYSE - ERP =&gt; SOUS-SEGMENT'!$DC$8:$DC$154&gt;0)*'ANALYSE - ERP =&gt; SOUS-SEGMENT'!$DC$8:$DC$154)/SUMPRODUCT(('ANALYSE - ERP =&gt; SOUS-SEGMENT'!$C$8:$C$154=$C37)*'ANALYSE - ERP =&gt; SOUS-SEGMENT'!$EM$8:$EM$154*('ANALYSE - ERP =&gt; SOUS-SEGMENT'!$DC$8:$DC$154&gt;0)),"")</f>
        <v>12</v>
      </c>
      <c r="DA37" s="883">
        <f>IFERROR(SUMPRODUCT(('ANALYSE - ERP =&gt; SOUS-SEGMENT'!$C$8:$C$154=$C37)*'ANALYSE - ERP =&gt; SOUS-SEGMENT'!$EN$8:$EN$154*('ANALYSE - ERP =&gt; SOUS-SEGMENT'!$DD$8:$DD$154&gt;0)*'ANALYSE - ERP =&gt; SOUS-SEGMENT'!$DD$8:$DD$154)/SUMPRODUCT(('ANALYSE - ERP =&gt; SOUS-SEGMENT'!$C$8:$C$154=$C37)*'ANALYSE - ERP =&gt; SOUS-SEGMENT'!$EN$8:$EN$154*('ANALYSE - ERP =&gt; SOUS-SEGMENT'!$DD$8:$DD$154&gt;0)),"")</f>
        <v>12.999999999999998</v>
      </c>
      <c r="DB37" s="885">
        <f>IFERROR(SUMPRODUCT(('ANALYSE - ERP =&gt; SOUS-SEGMENT'!$C$8:$C$154=$C37)*'ANALYSE - ERP =&gt; SOUS-SEGMENT'!$EO$8:$EO$154*('ANALYSE - ERP =&gt; SOUS-SEGMENT'!$DE$8:$DE$154&gt;0)*'ANALYSE - ERP =&gt; SOUS-SEGMENT'!$DE$8:$DE$154)/SUMPRODUCT(('ANALYSE - ERP =&gt; SOUS-SEGMENT'!$C$8:$C$154=$C37)*'ANALYSE - ERP =&gt; SOUS-SEGMENT'!$EO$8:$EO$154*('ANALYSE - ERP =&gt; SOUS-SEGMENT'!$DE$8:$DE$154&gt;0)),"")</f>
        <v>9.9999999999999982</v>
      </c>
      <c r="DC37" s="610" t="s">
        <v>7452</v>
      </c>
      <c r="DD37" s="657"/>
      <c r="DE37" s="288">
        <f t="shared" si="2"/>
        <v>1245.7799999999997</v>
      </c>
      <c r="DF37" s="288">
        <f t="shared" si="3"/>
        <v>4429.4399999999996</v>
      </c>
      <c r="DG37" s="288">
        <f t="shared" si="4"/>
        <v>968.94</v>
      </c>
      <c r="DH37" s="288">
        <f t="shared" si="5"/>
        <v>276.83999999999997</v>
      </c>
      <c r="DI37" s="317" t="s">
        <v>7453</v>
      </c>
      <c r="DJ37" s="288">
        <f t="shared" si="6"/>
        <v>1095.8400000000001</v>
      </c>
      <c r="DK37" s="288">
        <f t="shared" si="7"/>
        <v>4383.3600000000006</v>
      </c>
      <c r="DL37" s="288">
        <f t="shared" si="8"/>
        <v>1164.33</v>
      </c>
      <c r="DM37" s="288">
        <f t="shared" si="9"/>
        <v>205.47</v>
      </c>
      <c r="DN37" s="317" t="s">
        <v>7454</v>
      </c>
      <c r="DO37" s="657"/>
      <c r="DP37" s="288">
        <f t="shared" si="10"/>
        <v>0</v>
      </c>
      <c r="DQ37" s="288">
        <f t="shared" si="11"/>
        <v>0</v>
      </c>
      <c r="DR37" s="288">
        <f t="shared" si="12"/>
        <v>0</v>
      </c>
      <c r="DS37" s="317" t="s">
        <v>7455</v>
      </c>
      <c r="DT37" s="288">
        <f t="shared" si="13"/>
        <v>0</v>
      </c>
      <c r="DU37" s="288">
        <f t="shared" si="14"/>
        <v>0</v>
      </c>
      <c r="DV37" s="288">
        <f t="shared" si="15"/>
        <v>0</v>
      </c>
      <c r="DW37" s="317" t="s">
        <v>7456</v>
      </c>
      <c r="DX37" s="657"/>
      <c r="DY37" s="288">
        <f t="shared" si="16"/>
        <v>91.200000000000017</v>
      </c>
      <c r="DZ37" s="288">
        <f t="shared" si="17"/>
        <v>501.6</v>
      </c>
      <c r="EA37" s="288">
        <f t="shared" si="18"/>
        <v>136.79999999999998</v>
      </c>
      <c r="EB37" s="288">
        <f t="shared" si="19"/>
        <v>182.40000000000003</v>
      </c>
      <c r="EC37" s="317" t="s">
        <v>7457</v>
      </c>
      <c r="ED37" s="288">
        <f t="shared" si="20"/>
        <v>72.2</v>
      </c>
      <c r="EE37" s="288">
        <f t="shared" si="21"/>
        <v>496.37500000000006</v>
      </c>
      <c r="EF37" s="288">
        <f t="shared" si="22"/>
        <v>162.44999999999999</v>
      </c>
      <c r="EG37" s="288">
        <f t="shared" si="23"/>
        <v>171.47499999999999</v>
      </c>
      <c r="EH37" s="317" t="s">
        <v>7458</v>
      </c>
      <c r="EI37" s="290"/>
      <c r="EJ37" s="288">
        <f t="shared" si="24"/>
        <v>3175.15</v>
      </c>
      <c r="EK37" s="291">
        <f t="shared" si="25"/>
        <v>2050.0500000000002</v>
      </c>
      <c r="EL37" s="291">
        <f t="shared" si="26"/>
        <v>1531.8000000000002</v>
      </c>
      <c r="EM37" s="317" t="s">
        <v>7459</v>
      </c>
      <c r="EN37" s="288">
        <f t="shared" si="27"/>
        <v>2615.83</v>
      </c>
      <c r="EO37" s="291">
        <f t="shared" si="28"/>
        <v>2224.92</v>
      </c>
      <c r="EP37" s="291">
        <f t="shared" si="29"/>
        <v>1848.2500000000002</v>
      </c>
      <c r="EQ37" s="318" t="s">
        <v>7460</v>
      </c>
      <c r="ER37" s="657"/>
      <c r="ES37" s="731">
        <f t="shared" si="30"/>
        <v>0.90610977767873546</v>
      </c>
      <c r="ET37" s="731">
        <f t="shared" si="31"/>
        <v>6.153977951608737E-2</v>
      </c>
      <c r="EU37" s="292">
        <f t="shared" si="32"/>
        <v>5988.9955714982516</v>
      </c>
      <c r="EV37" s="292">
        <f t="shared" si="33"/>
        <v>5100.5996114982518</v>
      </c>
      <c r="EW37" s="292">
        <f t="shared" si="34"/>
        <v>888.39595999999995</v>
      </c>
      <c r="EX37" s="292">
        <f t="shared" si="35"/>
        <v>2773.2530213589739</v>
      </c>
      <c r="EY37" s="292">
        <f>SUMPRODUCT(('ANALYSE - ERP =&gt; SOUS-SEGMENT'!$C$8:$C$154=$C37)*'ANALYSE - ERP =&gt; SOUS-SEGMENT'!$Q$8:$Q$154*'ANALYSE - ERP =&gt; SOUS-SEGMENT'!$FB$8:$FB$154)</f>
        <v>2351.3697213589739</v>
      </c>
      <c r="EZ37" s="292">
        <f>SUMPRODUCT(('ANALYSE - ERP =&gt; SOUS-SEGMENT'!$C$8:$C$154=$C37)*'ANALYSE - ERP =&gt; SOUS-SEGMENT'!$Q$8:$Q$154*'ANALYSE - ERP =&gt; SOUS-SEGMENT'!$FC$8:$FC$154)</f>
        <v>421.88329999999996</v>
      </c>
      <c r="FA37" s="292">
        <f t="shared" si="36"/>
        <v>0</v>
      </c>
      <c r="FB37" s="292">
        <f>SUMPRODUCT(('ANALYSE - ERP =&gt; SOUS-SEGMENT'!$C$8:$C$154=$C37)*'ANALYSE - ERP =&gt; SOUS-SEGMENT'!$Q$8:$Q$154*'ANALYSE - ERP =&gt; SOUS-SEGMENT'!$FE$8:$FE$154)</f>
        <v>0</v>
      </c>
      <c r="FC37" s="292">
        <f>SUMPRODUCT(('ANALYSE - ERP =&gt; SOUS-SEGMENT'!$C$8:$C$154=$C37)*'ANALYSE - ERP =&gt; SOUS-SEGMENT'!$Q$8:$Q$154*'ANALYSE - ERP =&gt; SOUS-SEGMENT'!$FF$8:$FF$154)</f>
        <v>0</v>
      </c>
      <c r="FD37" s="292">
        <f t="shared" si="37"/>
        <v>386.01426347902094</v>
      </c>
      <c r="FE37" s="292">
        <f>SUMPRODUCT(('ANALYSE - ERP =&gt; SOUS-SEGMENT'!$C$8:$C$154=$C37)*'ANALYSE - ERP =&gt; SOUS-SEGMENT'!$Q$8:$Q$154*'ANALYSE - ERP =&gt; SOUS-SEGMENT'!$FH$8:$FH$154)</f>
        <v>330.63962347902094</v>
      </c>
      <c r="FF37" s="292">
        <f>SUMPRODUCT(('ANALYSE - ERP =&gt; SOUS-SEGMENT'!$C$8:$C$154=$C37)*'ANALYSE - ERP =&gt; SOUS-SEGMENT'!$Q$8:$Q$154*'ANALYSE - ERP =&gt; SOUS-SEGMENT'!$FI$8:$FI$154)</f>
        <v>55.374639999999999</v>
      </c>
      <c r="FG37" s="292">
        <f t="shared" si="38"/>
        <v>2829.7282866602563</v>
      </c>
      <c r="FH37" s="292">
        <f>SUMPRODUCT(('ANALYSE - ERP =&gt; SOUS-SEGMENT'!$C$8:$C$154=$C37)*'ANALYSE - ERP =&gt; SOUS-SEGMENT'!$Q$8:$Q$154*'ANALYSE - ERP =&gt; SOUS-SEGMENT'!$FK$8:$FK$154)</f>
        <v>2418.5902666602565</v>
      </c>
      <c r="FI37" s="292">
        <f>SUMPRODUCT(('ANALYSE - ERP =&gt; SOUS-SEGMENT'!$C$8:$C$154=$C37)*'ANALYSE - ERP =&gt; SOUS-SEGMENT'!$Q$8:$Q$154*'ANALYSE - ERP =&gt; SOUS-SEGMENT'!$FL$8:$FL$154)</f>
        <v>411.13801999999998</v>
      </c>
      <c r="FJ37" s="657"/>
      <c r="FK37" s="319" t="s">
        <v>2616</v>
      </c>
      <c r="FL37" s="731">
        <f>IFERROR(SUMPRODUCT(('ANALYSE - ERP =&gt; SOUS-SEGMENT'!$C$8:$C$154=$C37)*'ANALYSE - ERP =&gt; SOUS-SEGMENT'!$Q$8:$Q$154*'ANALYSE - ERP =&gt; SOUS-SEGMENT'!$AF$8:$AF$154*'ANALYSE - ERP =&gt; SOUS-SEGMENT'!$FO$8:$FO$154)/SUMPRODUCT(('ANALYSE - ERP =&gt; SOUS-SEGMENT'!$C$8:$C$154=$C37)*'ANALYSE - ERP =&gt; SOUS-SEGMENT'!$Q$8:$Q$154*'ANALYSE - ERP =&gt; SOUS-SEGMENT'!$AF$8:$AF$154),"")</f>
        <v>5.3216358118361159E-2</v>
      </c>
      <c r="FM37" s="732">
        <f>IFERROR(SUMPRODUCT(('ANALYSE - ERP =&gt; SOUS-SEGMENT'!$C$8:$C$154=$C37)*'ANALYSE - ERP =&gt; SOUS-SEGMENT'!$Q$8:$Q$154*'ANALYSE - ERP =&gt; SOUS-SEGMENT'!$AF$8:$AF$154*'ANALYSE - ERP =&gt; SOUS-SEGMENT'!$FP$8:$FP$154)/SUMPRODUCT(('ANALYSE - ERP =&gt; SOUS-SEGMENT'!$C$8:$C$154=$C37)*'ANALYSE - ERP =&gt; SOUS-SEGMENT'!$Q$8:$Q$154*'ANALYSE - ERP =&gt; SOUS-SEGMENT'!$AF$8:$AF$154),"")</f>
        <v>0.82368016691957502</v>
      </c>
      <c r="FN37" s="320" t="s">
        <v>6780</v>
      </c>
      <c r="FO37" s="657"/>
      <c r="FP37" s="887">
        <f>IFERROR(SUMPRODUCT(('ANALYSE - ERP =&gt; SOUS-SEGMENT'!$C$8:$C$154=$C37)*'ANALYSE - ERP =&gt; SOUS-SEGMENT'!$Q$8:$Q$154*'ANALYSE - ERP =&gt; SOUS-SEGMENT'!$EX$8:$EX$154*'ANALYSE - ERP =&gt; SOUS-SEGMENT'!$FS$8:$FS$154)/SUMPRODUCT(('ANALYSE - ERP =&gt; SOUS-SEGMENT'!$C$8:$C$154=$C37)*'ANALYSE - ERP =&gt; SOUS-SEGMENT'!$Q$8:$Q$154*'ANALYSE - ERP =&gt; SOUS-SEGMENT'!$EX$8:$EX$154),"")</f>
        <v>3.0049520647398409</v>
      </c>
      <c r="FQ37" s="295">
        <f>RANK($FP37,$FP$8:$FP$143,0)+COUNTIF($FP$8:$FP37,$FP37)-1</f>
        <v>28</v>
      </c>
      <c r="FR37" s="887">
        <f>IFERROR(SUMPRODUCT(('ANALYSE - ERP =&gt; SOUS-SEGMENT'!$C$8:$C$154=$C37)*'ANALYSE - ERP =&gt; SOUS-SEGMENT'!$Q$8:$Q$154*'ANALYSE - ERP =&gt; SOUS-SEGMENT'!$EY$8:$EY$154*'ANALYSE - ERP =&gt; SOUS-SEGMENT'!$FU$8:$FU$154)/SUMPRODUCT(('ANALYSE - ERP =&gt; SOUS-SEGMENT'!$C$8:$C$154=$C37)*'ANALYSE - ERP =&gt; SOUS-SEGMENT'!$Q$8:$Q$154*'ANALYSE - ERP =&gt; SOUS-SEGMENT'!$EY$8:$EY$154),"")</f>
        <v>3.8799999999999994</v>
      </c>
      <c r="FS37" s="295">
        <f>RANK($FR37,$FR$8:$FR$143,0)+COUNTIF($FR$8:$FR37,$FR37)-1</f>
        <v>26</v>
      </c>
      <c r="FT37" s="887">
        <f>IFERROR(SUMPRODUCT(('ANALYSE - ERP =&gt; SOUS-SEGMENT'!$C$8:$C$154=$C37)*'ANALYSE - ERP =&gt; SOUS-SEGMENT'!$Q$8:$Q$154*'ANALYSE - ERP =&gt; SOUS-SEGMENT'!$EZ$8:$EZ$154*'ANALYSE - ERP =&gt; SOUS-SEGMENT'!$FW$8:$FW$154)/SUMPRODUCT(('ANALYSE - ERP =&gt; SOUS-SEGMENT'!$C$8:$C$154=$C37)*'ANALYSE - ERP =&gt; SOUS-SEGMENT'!$Q$8:$Q$154*'ANALYSE - ERP =&gt; SOUS-SEGMENT'!$EZ$8:$EZ$154),"")</f>
        <v>1.969577693487035</v>
      </c>
      <c r="FU37" s="295">
        <f>RANK($FT37,$FT$8:$FT$143,0)+COUNTIF($FT$8:$FT37,$FT37)-1</f>
        <v>29</v>
      </c>
      <c r="FV37" s="657"/>
      <c r="FW37" s="321" t="s">
        <v>7461</v>
      </c>
      <c r="FX37" s="321" t="s">
        <v>7462</v>
      </c>
      <c r="FY37" s="321" t="s">
        <v>7463</v>
      </c>
      <c r="FZ37" s="321" t="s">
        <v>7464</v>
      </c>
      <c r="GA37" s="321" t="s">
        <v>7465</v>
      </c>
      <c r="GB37" s="321" t="s">
        <v>7466</v>
      </c>
      <c r="GC37" s="321" t="s">
        <v>6759</v>
      </c>
      <c r="GD37" s="657"/>
      <c r="GE37" s="292">
        <f>SUMPRODUCT(('ANALYSE - ERP =&gt; SOUS-SEGMENT'!$C$8:$C$154=$C37)*'ANALYSE - ERP =&gt; SOUS-SEGMENT'!$Q$8:$Q$154*'ANALYSE - ERP =&gt; SOUS-SEGMENT'!$GH$8:$GH$154)</f>
        <v>473.68541161538451</v>
      </c>
      <c r="GF37" s="292">
        <f>SUMPRODUCT(('ANALYSE - ERP =&gt; SOUS-SEGMENT'!$C$8:$C$154=$C37)*'ANALYSE - ERP =&gt; SOUS-SEGMENT'!$Q$8:$Q$154*'ANALYSE - ERP =&gt; SOUS-SEGMENT'!$GI$8:$GI$154)</f>
        <v>406.18408361538457</v>
      </c>
      <c r="GG37" s="292">
        <f>SUMPRODUCT(('ANALYSE - ERP =&gt; SOUS-SEGMENT'!$C$8:$C$154=$C37)*'ANALYSE - ERP =&gt; SOUS-SEGMENT'!$Q$8:$Q$154*'ANALYSE - ERP =&gt; SOUS-SEGMENT'!$GJ$8:$GJ$154)</f>
        <v>67.501328000000001</v>
      </c>
      <c r="GH37" s="292">
        <f>SUMPRODUCT(('ANALYSE - ERP =&gt; SOUS-SEGMENT'!$C$8:$C$154=$C37)*'ANALYSE - ERP =&gt; SOUS-SEGMENT'!$Q$8:$Q$154*'ANALYSE - ERP =&gt; SOUS-SEGMENT'!$GK$8:$GK$154)</f>
        <v>1714.215387076923</v>
      </c>
      <c r="GI37" s="292">
        <f>SUMPRODUCT(('ANALYSE - ERP =&gt; SOUS-SEGMENT'!$C$8:$C$154=$C37)*'ANALYSE - ERP =&gt; SOUS-SEGMENT'!$Q$8:$Q$154*'ANALYSE - ERP =&gt; SOUS-SEGMENT'!$GL$8:$GL$154)</f>
        <v>1444.2100750769232</v>
      </c>
      <c r="GJ37" s="292">
        <f>SUMPRODUCT(('ANALYSE - ERP =&gt; SOUS-SEGMENT'!$C$8:$C$154=$C37)*'ANALYSE - ERP =&gt; SOUS-SEGMENT'!$Q$8:$Q$154*'ANALYSE - ERP =&gt; SOUS-SEGMENT'!$GM$8:$GM$154)</f>
        <v>270.005312</v>
      </c>
      <c r="GK37" s="292">
        <f>SUMPRODUCT(('ANALYSE - ERP =&gt; SOUS-SEGMENT'!$C$8:$C$154=$C37)*'ANALYSE - ERP =&gt; SOUS-SEGMENT'!$Q$8:$Q$154*'ANALYSE - ERP =&gt; SOUS-SEGMENT'!$GN$8:$GN$154)</f>
        <v>475.58534089999995</v>
      </c>
      <c r="GL37" s="292">
        <f>SUMPRODUCT(('ANALYSE - ERP =&gt; SOUS-SEGMENT'!$C$8:$C$154=$C37)*'ANALYSE - ERP =&gt; SOUS-SEGMENT'!$Q$8:$Q$154*'ANALYSE - ERP =&gt; SOUS-SEGMENT'!$GO$8:$GO$154)</f>
        <v>403.86517989999999</v>
      </c>
      <c r="GM37" s="292">
        <f>SUMPRODUCT(('ANALYSE - ERP =&gt; SOUS-SEGMENT'!$C$8:$C$154=$C37)*'ANALYSE - ERP =&gt; SOUS-SEGMENT'!$Q$8:$Q$154*'ANALYSE - ERP =&gt; SOUS-SEGMENT'!$GP$8:$GP$154)</f>
        <v>71.720161000000004</v>
      </c>
      <c r="GN37" s="292">
        <f>SUMPRODUCT(('ANALYSE - ERP =&gt; SOUS-SEGMENT'!$C$8:$C$154=$C37)*'ANALYSE - ERP =&gt; SOUS-SEGMENT'!$Q$8:$Q$154*'ANALYSE - ERP =&gt; SOUS-SEGMENT'!$GQ$8:$GQ$154)</f>
        <v>109.76688176666666</v>
      </c>
      <c r="GO37" s="292">
        <f>SUMPRODUCT(('ANALYSE - ERP =&gt; SOUS-SEGMENT'!$C$8:$C$154=$C37)*'ANALYSE - ERP =&gt; SOUS-SEGMENT'!$Q$8:$Q$154*'ANALYSE - ERP =&gt; SOUS-SEGMENT'!$GR$8:$GR$154)</f>
        <v>97.11038276666666</v>
      </c>
      <c r="GP37" s="292">
        <f>SUMPRODUCT(('ANALYSE - ERP =&gt; SOUS-SEGMENT'!$C$8:$C$154=$C37)*'ANALYSE - ERP =&gt; SOUS-SEGMENT'!$Q$8:$Q$154*'ANALYSE - ERP =&gt; SOUS-SEGMENT'!$GS$8:$GS$154)</f>
        <v>12.656498999999998</v>
      </c>
      <c r="GQ37" s="292">
        <f>SUMPRODUCT(('ANALYSE - ERP =&gt; SOUS-SEGMENT'!$C$8:$C$154=$C37)*'ANALYSE - ERP =&gt; SOUS-SEGMENT'!$Q$8:$Q$154*'ANALYSE - ERP =&gt; SOUS-SEGMENT'!$GT$8:$GT$154)</f>
        <v>0</v>
      </c>
      <c r="GR37" s="292">
        <f>SUMPRODUCT(('ANALYSE - ERP =&gt; SOUS-SEGMENT'!$C$8:$C$154=$C37)*'ANALYSE - ERP =&gt; SOUS-SEGMENT'!$Q$8:$Q$154*'ANALYSE - ERP =&gt; SOUS-SEGMENT'!$GU$8:$GU$154)</f>
        <v>0</v>
      </c>
      <c r="GS37" s="292">
        <f>SUMPRODUCT(('ANALYSE - ERP =&gt; SOUS-SEGMENT'!$C$8:$C$154=$C37)*'ANALYSE - ERP =&gt; SOUS-SEGMENT'!$Q$8:$Q$154*'ANALYSE - ERP =&gt; SOUS-SEGMENT'!$GV$8:$GV$154)</f>
        <v>0</v>
      </c>
      <c r="GT37" s="292">
        <f>SUMPRODUCT(('ANALYSE - ERP =&gt; SOUS-SEGMENT'!$C$8:$C$154=$C37)*'ANALYSE - ERP =&gt; SOUS-SEGMENT'!$Q$8:$Q$154*'ANALYSE - ERP =&gt; SOUS-SEGMENT'!$GW$8:$GW$154)</f>
        <v>0</v>
      </c>
      <c r="GU37" s="292">
        <f>SUMPRODUCT(('ANALYSE - ERP =&gt; SOUS-SEGMENT'!$C$8:$C$154=$C37)*'ANALYSE - ERP =&gt; SOUS-SEGMENT'!$Q$8:$Q$154*'ANALYSE - ERP =&gt; SOUS-SEGMENT'!$GX$8:$GX$154)</f>
        <v>0</v>
      </c>
      <c r="GV37" s="292">
        <f>SUMPRODUCT(('ANALYSE - ERP =&gt; SOUS-SEGMENT'!$C$8:$C$154=$C37)*'ANALYSE - ERP =&gt; SOUS-SEGMENT'!$Q$8:$Q$154*'ANALYSE - ERP =&gt; SOUS-SEGMENT'!$GY$8:$GY$154)</f>
        <v>0</v>
      </c>
      <c r="GW37" s="292">
        <f>SUMPRODUCT(('ANALYSE - ERP =&gt; SOUS-SEGMENT'!$C$8:$C$154=$C37)*'ANALYSE - ERP =&gt; SOUS-SEGMENT'!$Q$8:$Q$154*'ANALYSE - ERP =&gt; SOUS-SEGMENT'!$GZ$8:$GZ$154)</f>
        <v>0</v>
      </c>
      <c r="GX37" s="292">
        <f>SUMPRODUCT(('ANALYSE - ERP =&gt; SOUS-SEGMENT'!$C$8:$C$154=$C37)*'ANALYSE - ERP =&gt; SOUS-SEGMENT'!$Q$8:$Q$154*'ANALYSE - ERP =&gt; SOUS-SEGMENT'!$HA$8:$HA$154)</f>
        <v>0</v>
      </c>
      <c r="GY37" s="292">
        <f>SUMPRODUCT(('ANALYSE - ERP =&gt; SOUS-SEGMENT'!$C$8:$C$154=$C37)*'ANALYSE - ERP =&gt; SOUS-SEGMENT'!$Q$8:$Q$154*'ANALYSE - ERP =&gt; SOUS-SEGMENT'!$HB$8:$HB$154)</f>
        <v>0</v>
      </c>
      <c r="GZ37" s="292">
        <f>SUMPRODUCT(('ANALYSE - ERP =&gt; SOUS-SEGMENT'!$C$8:$C$154=$C37)*'ANALYSE - ERP =&gt; SOUS-SEGMENT'!$Q$8:$Q$154*'ANALYSE - ERP =&gt; SOUS-SEGMENT'!$HC$8:$HC$154)</f>
        <v>39.069469154545459</v>
      </c>
      <c r="HA37" s="292">
        <f>SUMPRODUCT(('ANALYSE - ERP =&gt; SOUS-SEGMENT'!$C$8:$C$154=$C37)*'ANALYSE - ERP =&gt; SOUS-SEGMENT'!$Q$8:$Q$154*'ANALYSE - ERP =&gt; SOUS-SEGMENT'!$HD$8:$HD$154)</f>
        <v>34.639497954545455</v>
      </c>
      <c r="HB37" s="292">
        <f>SUMPRODUCT(('ANALYSE - ERP =&gt; SOUS-SEGMENT'!$C$8:$C$154=$C37)*'ANALYSE - ERP =&gt; SOUS-SEGMENT'!$Q$8:$Q$154*'ANALYSE - ERP =&gt; SOUS-SEGMENT'!$HE$8:$HE$154)</f>
        <v>4.4299711999999998</v>
      </c>
      <c r="HC37" s="292">
        <f>SUMPRODUCT(('ANALYSE - ERP =&gt; SOUS-SEGMENT'!$C$8:$C$154=$C37)*'ANALYSE - ERP =&gt; SOUS-SEGMENT'!$Q$8:$Q$154*'ANALYSE - ERP =&gt; SOUS-SEGMENT'!$HF$8:$HF$154)</f>
        <v>193.98237036538461</v>
      </c>
      <c r="HD37" s="292">
        <f>SUMPRODUCT(('ANALYSE - ERP =&gt; SOUS-SEGMENT'!$C$8:$C$154=$C37)*'ANALYSE - ERP =&gt; SOUS-SEGMENT'!$Q$8:$Q$154*'ANALYSE - ERP =&gt; SOUS-SEGMENT'!$HG$8:$HG$154)</f>
        <v>163.52631836538461</v>
      </c>
      <c r="HE37" s="292">
        <f>SUMPRODUCT(('ANALYSE - ERP =&gt; SOUS-SEGMENT'!$C$8:$C$154=$C37)*'ANALYSE - ERP =&gt; SOUS-SEGMENT'!$Q$8:$Q$154*'ANALYSE - ERP =&gt; SOUS-SEGMENT'!$HH$8:$HH$154)</f>
        <v>30.456052000000003</v>
      </c>
      <c r="HF37" s="292">
        <f>SUMPRODUCT(('ANALYSE - ERP =&gt; SOUS-SEGMENT'!$C$8:$C$154=$C37)*'ANALYSE - ERP =&gt; SOUS-SEGMENT'!$Q$8:$Q$154*'ANALYSE - ERP =&gt; SOUS-SEGMENT'!$HI$8:$HI$154)</f>
        <v>73.162246449999984</v>
      </c>
      <c r="HG37" s="292">
        <f>SUMPRODUCT(('ANALYSE - ERP =&gt; SOUS-SEGMENT'!$C$8:$C$154=$C37)*'ANALYSE - ERP =&gt; SOUS-SEGMENT'!$Q$8:$Q$154*'ANALYSE - ERP =&gt; SOUS-SEGMENT'!$HJ$8:$HJ$154)</f>
        <v>63.194811249999987</v>
      </c>
      <c r="HH37" s="292">
        <f>SUMPRODUCT(('ANALYSE - ERP =&gt; SOUS-SEGMENT'!$C$8:$C$154=$C37)*'ANALYSE - ERP =&gt; SOUS-SEGMENT'!$Q$8:$Q$154*'ANALYSE - ERP =&gt; SOUS-SEGMENT'!$HK$8:$HK$154)</f>
        <v>9.9674351999999988</v>
      </c>
      <c r="HI37" s="292">
        <f>SUMPRODUCT(('ANALYSE - ERP =&gt; SOUS-SEGMENT'!$C$8:$C$154=$C37)*'ANALYSE - ERP =&gt; SOUS-SEGMENT'!$Q$8:$Q$154*'ANALYSE - ERP =&gt; SOUS-SEGMENT'!$HL$8:$HL$154)</f>
        <v>79.800177509090915</v>
      </c>
      <c r="HJ37" s="292">
        <f>SUMPRODUCT(('ANALYSE - ERP =&gt; SOUS-SEGMENT'!$C$8:$C$154=$C37)*'ANALYSE - ERP =&gt; SOUS-SEGMENT'!$Q$8:$Q$154*'ANALYSE - ERP =&gt; SOUS-SEGMENT'!$HM$8:$HM$154)</f>
        <v>69.278995909090909</v>
      </c>
      <c r="HK37" s="292">
        <f>SUMPRODUCT(('ANALYSE - ERP =&gt; SOUS-SEGMENT'!$C$8:$C$154=$C37)*'ANALYSE - ERP =&gt; SOUS-SEGMENT'!$Q$8:$Q$154*'ANALYSE - ERP =&gt; SOUS-SEGMENT'!$HN$8:$HN$154)</f>
        <v>10.521181599999998</v>
      </c>
      <c r="HL37" s="292">
        <f>SUMPRODUCT(('ANALYSE - ERP =&gt; SOUS-SEGMENT'!$C$8:$C$154=$C37)*'ANALYSE - ERP =&gt; SOUS-SEGMENT'!$Q$8:$Q$154*'ANALYSE - ERP =&gt; SOUS-SEGMENT'!$HO$8:$HO$154)</f>
        <v>1263.1405514833334</v>
      </c>
      <c r="HM37" s="292">
        <f>SUMPRODUCT(('ANALYSE - ERP =&gt; SOUS-SEGMENT'!$C$8:$C$154=$C37)*'ANALYSE - ERP =&gt; SOUS-SEGMENT'!$Q$8:$Q$154*'ANALYSE - ERP =&gt; SOUS-SEGMENT'!$HP$8:$HP$154)</f>
        <v>1105.3651060833333</v>
      </c>
      <c r="HN37" s="292">
        <f>SUMPRODUCT(('ANALYSE - ERP =&gt; SOUS-SEGMENT'!$C$8:$C$154=$C37)*'ANALYSE - ERP =&gt; SOUS-SEGMENT'!$Q$8:$Q$154*'ANALYSE - ERP =&gt; SOUS-SEGMENT'!$HQ$8:$HQ$154)</f>
        <v>157.77544539999997</v>
      </c>
      <c r="HO37" s="292">
        <f>SUMPRODUCT(('ANALYSE - ERP =&gt; SOUS-SEGMENT'!$C$8:$C$154=$C37)*'ANALYSE - ERP =&gt; SOUS-SEGMENT'!$Q$8:$Q$154*'ANALYSE - ERP =&gt; SOUS-SEGMENT'!$HR$8:$HR$154)</f>
        <v>811.9019046769231</v>
      </c>
      <c r="HP37" s="292">
        <f>SUMPRODUCT(('ANALYSE - ERP =&gt; SOUS-SEGMENT'!$C$8:$C$154=$C37)*'ANALYSE - ERP =&gt; SOUS-SEGMENT'!$Q$8:$Q$154*'ANALYSE - ERP =&gt; SOUS-SEGMENT'!$HS$8:$HS$154)</f>
        <v>673.14364307692301</v>
      </c>
      <c r="HQ37" s="292">
        <f>SUMPRODUCT(('ANALYSE - ERP =&gt; SOUS-SEGMENT'!$C$8:$C$154=$C37)*'ANALYSE - ERP =&gt; SOUS-SEGMENT'!$Q$8:$Q$154*'ANALYSE - ERP =&gt; SOUS-SEGMENT'!$HT$8:$HT$154)</f>
        <v>138.7582616</v>
      </c>
      <c r="HR37" s="292">
        <f>SUMPRODUCT(('ANALYSE - ERP =&gt; SOUS-SEGMENT'!$C$8:$C$154=$C37)*'ANALYSE - ERP =&gt; SOUS-SEGMENT'!$Q$8:$Q$154*'ANALYSE - ERP =&gt; SOUS-SEGMENT'!$HU$8:$HU$154)</f>
        <v>754.68583049999995</v>
      </c>
      <c r="HS37" s="292">
        <f>SUMPRODUCT(('ANALYSE - ERP =&gt; SOUS-SEGMENT'!$C$8:$C$154=$C37)*'ANALYSE - ERP =&gt; SOUS-SEGMENT'!$Q$8:$Q$154*'ANALYSE - ERP =&gt; SOUS-SEGMENT'!$HV$8:$HV$154)</f>
        <v>640.0815174999999</v>
      </c>
      <c r="HT37" s="292">
        <f>SUMPRODUCT(('ANALYSE - ERP =&gt; SOUS-SEGMENT'!$C$8:$C$154=$C37)*'ANALYSE - ERP =&gt; SOUS-SEGMENT'!$Q$8:$Q$154*'ANALYSE - ERP =&gt; SOUS-SEGMENT'!$HW$8:$HW$154)</f>
        <v>114.60431299999999</v>
      </c>
      <c r="HV37" s="297">
        <f t="shared" si="40"/>
        <v>31190.000000000004</v>
      </c>
      <c r="HW37" s="297">
        <f>SUMPRODUCT(('ANALYSE - ERP =&gt; SOUS-SEGMENT'!$C$8:$C$154=$C37)*'ANALYSE - ERP =&gt; SOUS-SEGMENT'!$Q$8:$Q$154*'ANALYSE - ERP =&gt; SOUS-SEGMENT'!$HZ$8:$HZ$154)</f>
        <v>86.16</v>
      </c>
      <c r="HX37" s="297">
        <f>SUMPRODUCT(('ANALYSE - ERP =&gt; SOUS-SEGMENT'!$C$8:$C$154=$C37)*'ANALYSE - ERP =&gt; SOUS-SEGMENT'!$Q$8:$Q$154*'ANALYSE - ERP =&gt; SOUS-SEGMENT'!$IA$8:$IA$154)</f>
        <v>4166.4750999999997</v>
      </c>
      <c r="HY37" s="297">
        <f>SUMPRODUCT(('ANALYSE - ERP =&gt; SOUS-SEGMENT'!$C$8:$C$154=$C37)*'ANALYSE - ERP =&gt; SOUS-SEGMENT'!$Q$8:$Q$154*'ANALYSE - ERP =&gt; SOUS-SEGMENT'!$IB$8:$IB$154)</f>
        <v>7848.6182000000008</v>
      </c>
      <c r="HZ37" s="297">
        <f>SUMPRODUCT(('ANALYSE - ERP =&gt; SOUS-SEGMENT'!$C$8:$C$154=$C37)*'ANALYSE - ERP =&gt; SOUS-SEGMENT'!$Q$8:$Q$154*'ANALYSE - ERP =&gt; SOUS-SEGMENT'!$IC$8:$IC$154)</f>
        <v>2405.0547000000001</v>
      </c>
      <c r="IA37" s="297">
        <f>SUMPRODUCT(('ANALYSE - ERP =&gt; SOUS-SEGMENT'!$C$8:$C$154=$C37)*'ANALYSE - ERP =&gt; SOUS-SEGMENT'!$Q$8:$Q$154*'ANALYSE - ERP =&gt; SOUS-SEGMENT'!$ID$8:$ID$154)</f>
        <v>83.692000000000007</v>
      </c>
      <c r="IB37" s="297">
        <f>SUMPRODUCT(('ANALYSE - ERP =&gt; SOUS-SEGMENT'!$C$8:$C$154=$C37)*'ANALYSE - ERP =&gt; SOUS-SEGMENT'!$Q$8:$Q$154*'ANALYSE - ERP =&gt; SOUS-SEGMENT'!$IE$8:$IE$154)</f>
        <v>5100.5996114982509</v>
      </c>
      <c r="IC37" s="297">
        <f>SUMPRODUCT(('ANALYSE - ERP =&gt; SOUS-SEGMENT'!$C$8:$C$154=$C37)*'ANALYSE - ERP =&gt; SOUS-SEGMENT'!$Q$8:$Q$154*'ANALYSE - ERP =&gt; SOUS-SEGMENT'!$IF$8:$IF$154)</f>
        <v>2.2632104351223772</v>
      </c>
      <c r="ID37" s="297">
        <f>SUMPRODUCT(('ANALYSE - ERP =&gt; SOUS-SEGMENT'!$C$8:$C$154=$C37)*'ANALYSE - ERP =&gt; SOUS-SEGMENT'!$Q$8:$Q$154*'ANALYSE - ERP =&gt; SOUS-SEGMENT'!$IG$8:$IG$154)</f>
        <v>911.24535477477934</v>
      </c>
      <c r="IE37" s="297">
        <f>SUMPRODUCT(('ANALYSE - ERP =&gt; SOUS-SEGMENT'!$C$8:$C$154=$C37)*'ANALYSE - ERP =&gt; SOUS-SEGMENT'!$Q$8:$Q$154*'ANALYSE - ERP =&gt; SOUS-SEGMENT'!$IH$8:$IH$154)</f>
        <v>2807.6101676073008</v>
      </c>
      <c r="IF37" s="297">
        <f>SUMPRODUCT(('ANALYSE - ERP =&gt; SOUS-SEGMENT'!$C$8:$C$154=$C37)*'ANALYSE - ERP =&gt; SOUS-SEGMENT'!$Q$8:$Q$154*'ANALYSE - ERP =&gt; SOUS-SEGMENT'!$II$8:$II$154)</f>
        <v>1301.7308033350205</v>
      </c>
      <c r="IG37" s="297">
        <f>SUMPRODUCT(('ANALYSE - ERP =&gt; SOUS-SEGMENT'!$C$8:$C$154=$C37)*'ANALYSE - ERP =&gt; SOUS-SEGMENT'!$Q$8:$Q$154*'ANALYSE - ERP =&gt; SOUS-SEGMENT'!$IJ$8:$IJ$154)</f>
        <v>77.750075346028254</v>
      </c>
      <c r="IH37" s="888"/>
      <c r="II37" s="298" t="s">
        <v>2589</v>
      </c>
      <c r="IJ37" s="322" t="s">
        <v>6760</v>
      </c>
      <c r="IK37" s="657"/>
      <c r="IL37" s="747">
        <f>IFERROR(SUMPRODUCT(('ANALYSE - ERP =&gt; SOUS-SEGMENT'!$C$8:$C$154=$C37)*'ANALYSE - ERP =&gt; SOUS-SEGMENT'!$Q$8:$Q$154*'ANALYSE - ERP =&gt; SOUS-SEGMENT'!$BE$8:$BE$154*'ANALYSE - ERP =&gt; SOUS-SEGMENT'!$IO$8:$IO$154)/SUMPRODUCT(('ANALYSE - ERP =&gt; SOUS-SEGMENT'!$C$8:$C$154=$C37)*'ANALYSE - ERP =&gt; SOUS-SEGMENT'!$Q$8:$Q$154*'ANALYSE - ERP =&gt; SOUS-SEGMENT'!$BE$8:$BE$154),0)</f>
        <v>3.554399653229303E-4</v>
      </c>
      <c r="IM37" s="748">
        <f>IFERROR(SUMPRODUCT(('ANALYSE - ERP =&gt; SOUS-SEGMENT'!$C$8:$C$154=$C37)*'ANALYSE - ERP =&gt; SOUS-SEGMENT'!$Q$8:$Q$154*'ANALYSE - ERP =&gt; SOUS-SEGMENT'!$BE$8:$BE$154*'ANALYSE - ERP =&gt; SOUS-SEGMENT'!$IP$8:$IP$154)/SUMPRODUCT(('ANALYSE - ERP =&gt; SOUS-SEGMENT'!$C$8:$C$154=$C37)*'ANALYSE - ERP =&gt; SOUS-SEGMENT'!$Q$8:$Q$154*'ANALYSE - ERP =&gt; SOUS-SEGMENT'!$BE$8:$BE$154),0)</f>
        <v>0.23798653373789916</v>
      </c>
      <c r="IN37" s="748">
        <f>IFERROR(SUMPRODUCT(('ANALYSE - ERP =&gt; SOUS-SEGMENT'!$C$8:$C$154=$C37)*'ANALYSE - ERP =&gt; SOUS-SEGMENT'!$Q$8:$Q$154*'ANALYSE - ERP =&gt; SOUS-SEGMENT'!$BE$8:$BE$154*'ANALYSE - ERP =&gt; SOUS-SEGMENT'!$IQ$8:$IQ$154)/SUMPRODUCT(('ANALYSE - ERP =&gt; SOUS-SEGMENT'!$C$8:$C$154=$C37)*'ANALYSE - ERP =&gt; SOUS-SEGMENT'!$Q$8:$Q$154*'ANALYSE - ERP =&gt; SOUS-SEGMENT'!$BE$8:$BE$154),0)</f>
        <v>0.55575262245340273</v>
      </c>
      <c r="IO37" s="748">
        <f>IFERROR(SUMPRODUCT(('ANALYSE - ERP =&gt; SOUS-SEGMENT'!$C$8:$C$154=$C37)*'ANALYSE - ERP =&gt; SOUS-SEGMENT'!$Q$8:$Q$154*'ANALYSE - ERP =&gt; SOUS-SEGMENT'!$BE$8:$BE$154*'ANALYSE - ERP =&gt; SOUS-SEGMENT'!$IR$8:$IR$154)/SUMPRODUCT(('ANALYSE - ERP =&gt; SOUS-SEGMENT'!$C$8:$C$154=$C37)*'ANALYSE - ERP =&gt; SOUS-SEGMENT'!$Q$8:$Q$154*'ANALYSE - ERP =&gt; SOUS-SEGMENT'!$BE$8:$BE$154),0)</f>
        <v>0.19768189567981506</v>
      </c>
      <c r="IP37" s="749">
        <f>IFERROR(SUMPRODUCT(('ANALYSE - ERP =&gt; SOUS-SEGMENT'!$C$8:$C$154=$C37)*'ANALYSE - ERP =&gt; SOUS-SEGMENT'!$Q$8:$Q$154*'ANALYSE - ERP =&gt; SOUS-SEGMENT'!$BE$8:$BE$154*'ANALYSE - ERP =&gt; SOUS-SEGMENT'!$IS$8:$IS$154)/SUMPRODUCT(('ANALYSE - ERP =&gt; SOUS-SEGMENT'!$C$8:$C$154=$C37)*'ANALYSE - ERP =&gt; SOUS-SEGMENT'!$Q$8:$Q$154*'ANALYSE - ERP =&gt; SOUS-SEGMENT'!$BE$8:$BE$154),0)</f>
        <v>8.2235081635601802E-3</v>
      </c>
      <c r="IQ37" s="748">
        <f>IFERROR(SUMPRODUCT(('ANALYSE - ERP =&gt; SOUS-SEGMENT'!$C$8:$C$154=$C37)*'ANALYSE - ERP =&gt; SOUS-SEGMENT'!$Q$8:$Q$154*'ANALYSE - ERP =&gt; SOUS-SEGMENT'!$FB$8:$FB$154*'ANALYSE - ERP =&gt; SOUS-SEGMENT'!$IT$8:$IT$154)/SUMPRODUCT(('ANALYSE - ERP =&gt; SOUS-SEGMENT'!$C$8:$C$154=$C37)*'ANALYSE - ERP =&gt; SOUS-SEGMENT'!$Q$8:$Q$154*'ANALYSE - ERP =&gt; SOUS-SEGMENT'!$FB$8:$FB$154),0)</f>
        <v>0</v>
      </c>
      <c r="IR37" s="748">
        <f>IFERROR(SUMPRODUCT(('ANALYSE - ERP =&gt; SOUS-SEGMENT'!$C$8:$C$154=$C37)*'ANALYSE - ERP =&gt; SOUS-SEGMENT'!$Q$8:$Q$154*'ANALYSE - ERP =&gt; SOUS-SEGMENT'!$FB$8:$FB$154*'ANALYSE - ERP =&gt; SOUS-SEGMENT'!$IU$8:$IU$154)/SUMPRODUCT(('ANALYSE - ERP =&gt; SOUS-SEGMENT'!$C$8:$C$154=$C37)*'ANALYSE - ERP =&gt; SOUS-SEGMENT'!$Q$8:$Q$154*'ANALYSE - ERP =&gt; SOUS-SEGMENT'!$FB$8:$FB$154),0)</f>
        <v>0.13588557632924264</v>
      </c>
      <c r="IS37" s="748">
        <f>IFERROR(SUMPRODUCT(('ANALYSE - ERP =&gt; SOUS-SEGMENT'!$C$8:$C$154=$C37)*'ANALYSE - ERP =&gt; SOUS-SEGMENT'!$Q$8:$Q$154*'ANALYSE - ERP =&gt; SOUS-SEGMENT'!$FB$8:$FB$154*'ANALYSE - ERP =&gt; SOUS-SEGMENT'!$IV$8:$IV$154)/SUMPRODUCT(('ANALYSE - ERP =&gt; SOUS-SEGMENT'!$C$8:$C$154=$C37)*'ANALYSE - ERP =&gt; SOUS-SEGMENT'!$Q$8:$Q$154*'ANALYSE - ERP =&gt; SOUS-SEGMENT'!$FB$8:$FB$154),0)</f>
        <v>0.54291434394625782</v>
      </c>
      <c r="IT37" s="748">
        <f>IFERROR(SUMPRODUCT(('ANALYSE - ERP =&gt; SOUS-SEGMENT'!$C$8:$C$154=$C37)*'ANALYSE - ERP =&gt; SOUS-SEGMENT'!$Q$8:$Q$154*'ANALYSE - ERP =&gt; SOUS-SEGMENT'!$FB$8:$FB$154*'ANALYSE - ERP =&gt; SOUS-SEGMENT'!$IW$8:$IW$154)/SUMPRODUCT(('ANALYSE - ERP =&gt; SOUS-SEGMENT'!$C$8:$C$154=$C37)*'ANALYSE - ERP =&gt; SOUS-SEGMENT'!$Q$8:$Q$154*'ANALYSE - ERP =&gt; SOUS-SEGMENT'!$FB$8:$FB$154),0)</f>
        <v>0.29995528099203972</v>
      </c>
      <c r="IU37" s="748">
        <f>IFERROR(SUMPRODUCT(('ANALYSE - ERP =&gt; SOUS-SEGMENT'!$C$8:$C$154=$C37)*'ANALYSE - ERP =&gt; SOUS-SEGMENT'!$Q$8:$Q$154*'ANALYSE - ERP =&gt; SOUS-SEGMENT'!$FB$8:$FB$154*'ANALYSE - ERP =&gt; SOUS-SEGMENT'!$IX$8:$IX$154)/SUMPRODUCT(('ANALYSE - ERP =&gt; SOUS-SEGMENT'!$C$8:$C$154=$C37)*'ANALYSE - ERP =&gt; SOUS-SEGMENT'!$Q$8:$Q$154*'ANALYSE - ERP =&gt; SOUS-SEGMENT'!$FB$8:$FB$154),0)</f>
        <v>2.1244798732459928E-2</v>
      </c>
      <c r="IV37" s="772">
        <f>IFERROR(SUMPRODUCT(('ANALYSE - ERP =&gt; SOUS-SEGMENT'!$C$8:$C$154=$C37)*'ANALYSE - ERP =&gt; SOUS-SEGMENT'!$Q$8:$Q$154*'ANALYSE - ERP =&gt; SOUS-SEGMENT'!$BF$8:$BF$154*'ANALYSE - ERP =&gt; SOUS-SEGMENT'!$IY$8:$IY$154)/SUMPRODUCT(('ANALYSE - ERP =&gt; SOUS-SEGMENT'!$C$8:$C$154=$C37)*'ANALYSE - ERP =&gt; SOUS-SEGMENT'!$Q$8:$Q$154*'ANALYSE - ERP =&gt; SOUS-SEGMENT'!$BF$8:$BF$154),0)</f>
        <v>0</v>
      </c>
      <c r="IW37" s="773">
        <f>IFERROR(SUMPRODUCT(('ANALYSE - ERP =&gt; SOUS-SEGMENT'!$C$8:$C$154=$C37)*'ANALYSE - ERP =&gt; SOUS-SEGMENT'!$Q$8:$Q$154*'ANALYSE - ERP =&gt; SOUS-SEGMENT'!$BF$8:$BF$154*'ANALYSE - ERP =&gt; SOUS-SEGMENT'!$IZ$8:$IZ$154)/SUMPRODUCT(('ANALYSE - ERP =&gt; SOUS-SEGMENT'!$C$8:$C$154=$C37)*'ANALYSE - ERP =&gt; SOUS-SEGMENT'!$Q$8:$Q$154*'ANALYSE - ERP =&gt; SOUS-SEGMENT'!$BF$8:$BF$154),0)</f>
        <v>0</v>
      </c>
      <c r="IX37" s="773">
        <f>IFERROR(SUMPRODUCT(('ANALYSE - ERP =&gt; SOUS-SEGMENT'!$C$8:$C$154=$C37)*'ANALYSE - ERP =&gt; SOUS-SEGMENT'!$Q$8:$Q$154*'ANALYSE - ERP =&gt; SOUS-SEGMENT'!$BF$8:$BF$154*'ANALYSE - ERP =&gt; SOUS-SEGMENT'!$JA$8:$JA$154)/SUMPRODUCT(('ANALYSE - ERP =&gt; SOUS-SEGMENT'!$C$8:$C$154=$C37)*'ANALYSE - ERP =&gt; SOUS-SEGMENT'!$Q$8:$Q$154*'ANALYSE - ERP =&gt; SOUS-SEGMENT'!$BF$8:$BF$154),0)</f>
        <v>0</v>
      </c>
      <c r="IY37" s="773">
        <f>IFERROR(SUMPRODUCT(('ANALYSE - ERP =&gt; SOUS-SEGMENT'!$C$8:$C$154=$C37)*'ANALYSE - ERP =&gt; SOUS-SEGMENT'!$Q$8:$Q$154*'ANALYSE - ERP =&gt; SOUS-SEGMENT'!$BF$8:$BF$154*'ANALYSE - ERP =&gt; SOUS-SEGMENT'!$JB$8:$JB$154)/SUMPRODUCT(('ANALYSE - ERP =&gt; SOUS-SEGMENT'!$C$8:$C$154=$C37)*'ANALYSE - ERP =&gt; SOUS-SEGMENT'!$Q$8:$Q$154*'ANALYSE - ERP =&gt; SOUS-SEGMENT'!$BF$8:$BF$154),0)</f>
        <v>0</v>
      </c>
      <c r="IZ37" s="774">
        <f>IFERROR(SUMPRODUCT(('ANALYSE - ERP =&gt; SOUS-SEGMENT'!$C$8:$C$154=$C37)*'ANALYSE - ERP =&gt; SOUS-SEGMENT'!$Q$8:$Q$154*'ANALYSE - ERP =&gt; SOUS-SEGMENT'!$BF$8:$BF$154*'ANALYSE - ERP =&gt; SOUS-SEGMENT'!$JC$8:$JC$154)/SUMPRODUCT(('ANALYSE - ERP =&gt; SOUS-SEGMENT'!$C$8:$C$154=$C37)*'ANALYSE - ERP =&gt; SOUS-SEGMENT'!$Q$8:$Q$154*'ANALYSE - ERP =&gt; SOUS-SEGMENT'!$BF$8:$BF$154),0)</f>
        <v>0</v>
      </c>
      <c r="JA37" s="773">
        <f>IFERROR(SUMPRODUCT(('ANALYSE - ERP =&gt; SOUS-SEGMENT'!$C$8:$C$154=$C37)*'ANALYSE - ERP =&gt; SOUS-SEGMENT'!$Q$8:$Q$154*'ANALYSE - ERP =&gt; SOUS-SEGMENT'!$FE$8:$FE$154*'ANALYSE - ERP =&gt; SOUS-SEGMENT'!$JD$8:$JD$154)/SUMPRODUCT(('ANALYSE - ERP =&gt; SOUS-SEGMENT'!$C$8:$C$154=$C37)*'ANALYSE - ERP =&gt; SOUS-SEGMENT'!$Q$8:$Q$154*'ANALYSE - ERP =&gt; SOUS-SEGMENT'!$FE$8:$FE$154),0)</f>
        <v>0</v>
      </c>
      <c r="JB37" s="773">
        <f>IFERROR(SUMPRODUCT(('ANALYSE - ERP =&gt; SOUS-SEGMENT'!$C$8:$C$154=$C37)*'ANALYSE - ERP =&gt; SOUS-SEGMENT'!$Q$8:$Q$154*'ANALYSE - ERP =&gt; SOUS-SEGMENT'!$FE$8:$FE$154*'ANALYSE - ERP =&gt; SOUS-SEGMENT'!$JE$8:$JE$154)/SUMPRODUCT(('ANALYSE - ERP =&gt; SOUS-SEGMENT'!$C$8:$C$154=$C37)*'ANALYSE - ERP =&gt; SOUS-SEGMENT'!$Q$8:$Q$154*'ANALYSE - ERP =&gt; SOUS-SEGMENT'!$FE$8:$FE$154),0)</f>
        <v>0</v>
      </c>
      <c r="JC37" s="773">
        <f>IFERROR(SUMPRODUCT(('ANALYSE - ERP =&gt; SOUS-SEGMENT'!$C$8:$C$154=$C37)*'ANALYSE - ERP =&gt; SOUS-SEGMENT'!$Q$8:$Q$154*'ANALYSE - ERP =&gt; SOUS-SEGMENT'!$FE$8:$FE$154*'ANALYSE - ERP =&gt; SOUS-SEGMENT'!$JF$8:$JF$154)/SUMPRODUCT(('ANALYSE - ERP =&gt; SOUS-SEGMENT'!$C$8:$C$154=$C37)*'ANALYSE - ERP =&gt; SOUS-SEGMENT'!$Q$8:$Q$154*'ANALYSE - ERP =&gt; SOUS-SEGMENT'!$FE$8:$FE$154),0)</f>
        <v>0</v>
      </c>
      <c r="JD37" s="773">
        <f>IFERROR(SUMPRODUCT(('ANALYSE - ERP =&gt; SOUS-SEGMENT'!$C$8:$C$154=$C37)*'ANALYSE - ERP =&gt; SOUS-SEGMENT'!$Q$8:$Q$154*'ANALYSE - ERP =&gt; SOUS-SEGMENT'!$FE$8:$FE$154*'ANALYSE - ERP =&gt; SOUS-SEGMENT'!$JG$8:$JG$154)/SUMPRODUCT(('ANALYSE - ERP =&gt; SOUS-SEGMENT'!$C$8:$C$154=$C37)*'ANALYSE - ERP =&gt; SOUS-SEGMENT'!$Q$8:$Q$154*'ANALYSE - ERP =&gt; SOUS-SEGMENT'!$FE$8:$FE$154),0)</f>
        <v>0</v>
      </c>
      <c r="JE37" s="773">
        <f>IFERROR(SUMPRODUCT(('ANALYSE - ERP =&gt; SOUS-SEGMENT'!$C$8:$C$154=$C37)*'ANALYSE - ERP =&gt; SOUS-SEGMENT'!$Q$8:$Q$154*'ANALYSE - ERP =&gt; SOUS-SEGMENT'!$FE$8:$FE$154*'ANALYSE - ERP =&gt; SOUS-SEGMENT'!$JH$8:$JH$154)/SUMPRODUCT(('ANALYSE - ERP =&gt; SOUS-SEGMENT'!$C$8:$C$154=$C37)*'ANALYSE - ERP =&gt; SOUS-SEGMENT'!$Q$8:$Q$154*'ANALYSE - ERP =&gt; SOUS-SEGMENT'!$FE$8:$FE$154),0)</f>
        <v>0</v>
      </c>
      <c r="JF37" s="771">
        <f>IFERROR(SUMPRODUCT(('ANALYSE - ERP =&gt; SOUS-SEGMENT'!$C$8:$C$154=$C37)*'ANALYSE - ERP =&gt; SOUS-SEGMENT'!$Q$8:$Q$154*'ANALYSE - ERP =&gt; SOUS-SEGMENT'!$BG$8:$BG$154*'ANALYSE - ERP =&gt; SOUS-SEGMENT'!$JI$8:$JI$154)/SUMPRODUCT(('ANALYSE - ERP =&gt; SOUS-SEGMENT'!$C$8:$C$154=$C37)*'ANALYSE - ERP =&gt; SOUS-SEGMENT'!$Q$8:$Q$154*'ANALYSE - ERP =&gt; SOUS-SEGMENT'!$BG$8:$BG$154),0)</f>
        <v>3.6119188596491228E-2</v>
      </c>
      <c r="JG37" s="748">
        <f>IFERROR(SUMPRODUCT(('ANALYSE - ERP =&gt; SOUS-SEGMENT'!$C$8:$C$154=$C37)*'ANALYSE - ERP =&gt; SOUS-SEGMENT'!$Q$8:$Q$154*'ANALYSE - ERP =&gt; SOUS-SEGMENT'!$BG$8:$BG$154*'ANALYSE - ERP =&gt; SOUS-SEGMENT'!$JJ$8:$JJ$154)/SUMPRODUCT(('ANALYSE - ERP =&gt; SOUS-SEGMENT'!$C$8:$C$154=$C37)*'ANALYSE - ERP =&gt; SOUS-SEGMENT'!$Q$8:$Q$154*'ANALYSE - ERP =&gt; SOUS-SEGMENT'!$BG$8:$BG$154),0)</f>
        <v>0.40137982456140353</v>
      </c>
      <c r="JH37" s="748">
        <f>IFERROR(SUMPRODUCT(('ANALYSE - ERP =&gt; SOUS-SEGMENT'!$C$8:$C$154=$C37)*'ANALYSE - ERP =&gt; SOUS-SEGMENT'!$Q$8:$Q$154*'ANALYSE - ERP =&gt; SOUS-SEGMENT'!$BG$8:$BG$154*'ANALYSE - ERP =&gt; SOUS-SEGMENT'!$JK$8:$JK$154)/SUMPRODUCT(('ANALYSE - ERP =&gt; SOUS-SEGMENT'!$C$8:$C$154=$C37)*'ANALYSE - ERP =&gt; SOUS-SEGMENT'!$Q$8:$Q$154*'ANALYSE - ERP =&gt; SOUS-SEGMENT'!$BG$8:$BG$154),0)</f>
        <v>0.46368410087719292</v>
      </c>
      <c r="JI37" s="748">
        <f>IFERROR(SUMPRODUCT(('ANALYSE - ERP =&gt; SOUS-SEGMENT'!$C$8:$C$154=$C37)*'ANALYSE - ERP =&gt; SOUS-SEGMENT'!$Q$8:$Q$154*'ANALYSE - ERP =&gt; SOUS-SEGMENT'!$BG$8:$BG$154*'ANALYSE - ERP =&gt; SOUS-SEGMENT'!$JL$8:$JL$154)/SUMPRODUCT(('ANALYSE - ERP =&gt; SOUS-SEGMENT'!$C$8:$C$154=$C37)*'ANALYSE - ERP =&gt; SOUS-SEGMENT'!$Q$8:$Q$154*'ANALYSE - ERP =&gt; SOUS-SEGMENT'!$BG$8:$BG$154),0)</f>
        <v>9.7194956140350883E-2</v>
      </c>
      <c r="JJ37" s="749">
        <f>IFERROR(SUMPRODUCT(('ANALYSE - ERP =&gt; SOUS-SEGMENT'!$C$8:$C$154=$C37)*'ANALYSE - ERP =&gt; SOUS-SEGMENT'!$Q$8:$Q$154*'ANALYSE - ERP =&gt; SOUS-SEGMENT'!$BG$8:$BG$154*'ANALYSE - ERP =&gt; SOUS-SEGMENT'!$JM$8:$JM$154)/SUMPRODUCT(('ANALYSE - ERP =&gt; SOUS-SEGMENT'!$C$8:$C$154=$C37)*'ANALYSE - ERP =&gt; SOUS-SEGMENT'!$Q$8:$Q$154*'ANALYSE - ERP =&gt; SOUS-SEGMENT'!$BG$8:$BG$154),0)</f>
        <v>1.6219298245614034E-3</v>
      </c>
      <c r="JK37" s="748">
        <f>IFERROR(SUMPRODUCT(('ANALYSE - ERP =&gt; SOUS-SEGMENT'!$C$8:$C$154=$C37)*'ANALYSE - ERP =&gt; SOUS-SEGMENT'!$Q$8:$Q$154*'ANALYSE - ERP =&gt; SOUS-SEGMENT'!$FH$8:$FH$154*'ANALYSE - ERP =&gt; SOUS-SEGMENT'!$JN$8:$JN$154)/SUMPRODUCT(('ANALYSE - ERP =&gt; SOUS-SEGMENT'!$C$8:$C$154=$C37)*'ANALYSE - ERP =&gt; SOUS-SEGMENT'!$Q$8:$Q$154*'ANALYSE - ERP =&gt; SOUS-SEGMENT'!$FH$8:$FH$154),0)</f>
        <v>6.8449462024807129E-3</v>
      </c>
      <c r="JL37" s="748">
        <f>IFERROR(SUMPRODUCT(('ANALYSE - ERP =&gt; SOUS-SEGMENT'!$C$8:$C$154=$C37)*'ANALYSE - ERP =&gt; SOUS-SEGMENT'!$Q$8:$Q$154*'ANALYSE - ERP =&gt; SOUS-SEGMENT'!$FH$8:$FH$154*'ANALYSE - ERP =&gt; SOUS-SEGMENT'!$JO$8:$JO$154)/SUMPRODUCT(('ANALYSE - ERP =&gt; SOUS-SEGMENT'!$C$8:$C$154=$C37)*'ANALYSE - ERP =&gt; SOUS-SEGMENT'!$Q$8:$Q$154*'ANALYSE - ERP =&gt; SOUS-SEGMENT'!$FH$8:$FH$154),0)</f>
        <v>0.28785213144227145</v>
      </c>
      <c r="JM37" s="748">
        <f>IFERROR(SUMPRODUCT(('ANALYSE - ERP =&gt; SOUS-SEGMENT'!$C$8:$C$154=$C37)*'ANALYSE - ERP =&gt; SOUS-SEGMENT'!$Q$8:$Q$154*'ANALYSE - ERP =&gt; SOUS-SEGMENT'!$FH$8:$FH$154*'ANALYSE - ERP =&gt; SOUS-SEGMENT'!$JP$8:$JP$154)/SUMPRODUCT(('ANALYSE - ERP =&gt; SOUS-SEGMENT'!$C$8:$C$154=$C37)*'ANALYSE - ERP =&gt; SOUS-SEGMENT'!$Q$8:$Q$154*'ANALYSE - ERP =&gt; SOUS-SEGMENT'!$FH$8:$FH$154),0)</f>
        <v>0.53307069390397843</v>
      </c>
      <c r="JN37" s="748">
        <f>IFERROR(SUMPRODUCT(('ANALYSE - ERP =&gt; SOUS-SEGMENT'!$C$8:$C$154=$C37)*'ANALYSE - ERP =&gt; SOUS-SEGMENT'!$Q$8:$Q$154*'ANALYSE - ERP =&gt; SOUS-SEGMENT'!$FH$8:$FH$154*'ANALYSE - ERP =&gt; SOUS-SEGMENT'!$JQ$8:$JQ$154)/SUMPRODUCT(('ANALYSE - ERP =&gt; SOUS-SEGMENT'!$C$8:$C$154=$C37)*'ANALYSE - ERP =&gt; SOUS-SEGMENT'!$Q$8:$Q$154*'ANALYSE - ERP =&gt; SOUS-SEGMENT'!$FH$8:$FH$154),0)</f>
        <v>0.16598732559438822</v>
      </c>
      <c r="JO37" s="748">
        <f>IFERROR(SUMPRODUCT(('ANALYSE - ERP =&gt; SOUS-SEGMENT'!$C$8:$C$154=$C37)*'ANALYSE - ERP =&gt; SOUS-SEGMENT'!$Q$8:$Q$154*'ANALYSE - ERP =&gt; SOUS-SEGMENT'!$FH$8:$FH$154*'ANALYSE - ERP =&gt; SOUS-SEGMENT'!$JR$8:$JR$154)/SUMPRODUCT(('ANALYSE - ERP =&gt; SOUS-SEGMENT'!$C$8:$C$154=$C37)*'ANALYSE - ERP =&gt; SOUS-SEGMENT'!$Q$8:$Q$154*'ANALYSE - ERP =&gt; SOUS-SEGMENT'!$FH$8:$FH$154),0)</f>
        <v>6.2449028568811252E-3</v>
      </c>
      <c r="JP37" s="771">
        <f>IFERROR(SUMPRODUCT(('ANALYSE - ERP =&gt; SOUS-SEGMENT'!$C$8:$C$154=$C37)*'ANALYSE - ERP =&gt; SOUS-SEGMENT'!$Q$8:$Q$154*'ANALYSE - ERP =&gt; SOUS-SEGMENT'!$BH$8:$BH$154*'ANALYSE - ERP =&gt; SOUS-SEGMENT'!$JS$8:$JS$154)/SUMPRODUCT(('ANALYSE - ERP =&gt; SOUS-SEGMENT'!$C$8:$C$154=$C37)*'ANALYSE - ERP =&gt; SOUS-SEGMENT'!$Q$8:$Q$154*'ANALYSE - ERP =&gt; SOUS-SEGMENT'!$BH$8:$BH$154),0)</f>
        <v>7.5121059641852905E-3</v>
      </c>
      <c r="JQ37" s="748">
        <f>IFERROR(SUMPRODUCT(('ANALYSE - ERP =&gt; SOUS-SEGMENT'!$C$8:$C$154=$C37)*'ANALYSE - ERP =&gt; SOUS-SEGMENT'!$Q$8:$Q$154*'ANALYSE - ERP =&gt; SOUS-SEGMENT'!$BH$8:$BH$154*'ANALYSE - ERP =&gt; SOUS-SEGMENT'!$JT$8:$JT$154)/SUMPRODUCT(('ANALYSE - ERP =&gt; SOUS-SEGMENT'!$C$8:$C$154=$C37)*'ANALYSE - ERP =&gt; SOUS-SEGMENT'!$Q$8:$Q$154*'ANALYSE - ERP =&gt; SOUS-SEGMENT'!$BH$8:$BH$154),0)</f>
        <v>0.31867868876720434</v>
      </c>
      <c r="JR37" s="748">
        <f>IFERROR(SUMPRODUCT(('ANALYSE - ERP =&gt; SOUS-SEGMENT'!$C$8:$C$154=$C37)*'ANALYSE - ERP =&gt; SOUS-SEGMENT'!$Q$8:$Q$154*'ANALYSE - ERP =&gt; SOUS-SEGMENT'!$BH$8:$BH$154*'ANALYSE - ERP =&gt; SOUS-SEGMENT'!$JU$8:$JU$154)/SUMPRODUCT(('ANALYSE - ERP =&gt; SOUS-SEGMENT'!$C$8:$C$154=$C37)*'ANALYSE - ERP =&gt; SOUS-SEGMENT'!$Q$8:$Q$154*'ANALYSE - ERP =&gt; SOUS-SEGMENT'!$BH$8:$BH$154),0)</f>
        <v>0.52972834097972477</v>
      </c>
      <c r="JS37" s="748">
        <f>IFERROR(SUMPRODUCT(('ANALYSE - ERP =&gt; SOUS-SEGMENT'!$C$8:$C$154=$C37)*'ANALYSE - ERP =&gt; SOUS-SEGMENT'!$Q$8:$Q$154*'ANALYSE - ERP =&gt; SOUS-SEGMENT'!$BH$8:$BH$154*'ANALYSE - ERP =&gt; SOUS-SEGMENT'!$JV$8:$JV$154)/SUMPRODUCT(('ANALYSE - ERP =&gt; SOUS-SEGMENT'!$C$8:$C$154=$C37)*'ANALYSE - ERP =&gt; SOUS-SEGMENT'!$Q$8:$Q$154*'ANALYSE - ERP =&gt; SOUS-SEGMENT'!$BH$8:$BH$154),0)</f>
        <v>0.14033690987124464</v>
      </c>
      <c r="JT37" s="749">
        <f>IFERROR(SUMPRODUCT(('ANALYSE - ERP =&gt; SOUS-SEGMENT'!$C$8:$C$154=$C37)*'ANALYSE - ERP =&gt; SOUS-SEGMENT'!$Q$8:$Q$154*'ANALYSE - ERP =&gt; SOUS-SEGMENT'!$BH$8:$BH$154*'ANALYSE - ERP =&gt; SOUS-SEGMENT'!$JW$8:$JW$154)/SUMPRODUCT(('ANALYSE - ERP =&gt; SOUS-SEGMENT'!$C$8:$C$154=$C37)*'ANALYSE - ERP =&gt; SOUS-SEGMENT'!$Q$8:$Q$154*'ANALYSE - ERP =&gt; SOUS-SEGMENT'!$BH$8:$BH$154),0)</f>
        <v>3.7439544176409646E-3</v>
      </c>
      <c r="JU37" s="771">
        <f>IFERROR(SUMPRODUCT(('ANALYSE - ERP =&gt; SOUS-SEGMENT'!$C$8:$C$154=$C37)*'ANALYSE - ERP =&gt; SOUS-SEGMENT'!$Q$8:$Q$154*'ANALYSE - ERP =&gt; SOUS-SEGMENT'!$FK$8:$FK$154*'ANALYSE - ERP =&gt; SOUS-SEGMENT'!$JX$8:$JX$154)/SUMPRODUCT(('ANALYSE - ERP =&gt; SOUS-SEGMENT'!$C$8:$C$154=$C37)*'ANALYSE - ERP =&gt; SOUS-SEGMENT'!$Q$8:$Q$154*'ANALYSE - ERP =&gt; SOUS-SEGMENT'!$FK$8:$FK$154),0)</f>
        <v>0</v>
      </c>
      <c r="JV37" s="748">
        <f>IFERROR(SUMPRODUCT(('ANALYSE - ERP =&gt; SOUS-SEGMENT'!$C$8:$C$154=$C37)*'ANALYSE - ERP =&gt; SOUS-SEGMENT'!$Q$8:$Q$154*'ANALYSE - ERP =&gt; SOUS-SEGMENT'!$FK$8:$FK$154*'ANALYSE - ERP =&gt; SOUS-SEGMENT'!$JY$8:$JY$154)/SUMPRODUCT(('ANALYSE - ERP =&gt; SOUS-SEGMENT'!$C$8:$C$154=$C37)*'ANALYSE - ERP =&gt; SOUS-SEGMENT'!$Q$8:$Q$154*'ANALYSE - ERP =&gt; SOUS-SEGMENT'!$FK$8:$FK$154),0)</f>
        <v>0.2053067075940688</v>
      </c>
      <c r="JW37" s="748">
        <f>IFERROR(SUMPRODUCT(('ANALYSE - ERP =&gt; SOUS-SEGMENT'!$C$8:$C$154=$C37)*'ANALYSE - ERP =&gt; SOUS-SEGMENT'!$Q$8:$Q$154*'ANALYSE - ERP =&gt; SOUS-SEGMENT'!$FK$8:$FK$154*'ANALYSE - ERP =&gt; SOUS-SEGMENT'!$JZ$8:$JZ$154)/SUMPRODUCT(('ANALYSE - ERP =&gt; SOUS-SEGMENT'!$C$8:$C$154=$C37)*'ANALYSE - ERP =&gt; SOUS-SEGMENT'!$Q$8:$Q$154*'ANALYSE - ERP =&gt; SOUS-SEGMENT'!$FK$8:$FK$154),0)</f>
        <v>0.56014594250031036</v>
      </c>
      <c r="JX37" s="748">
        <f>IFERROR(SUMPRODUCT(('ANALYSE - ERP =&gt; SOUS-SEGMENT'!$C$8:$C$154=$C37)*'ANALYSE - ERP =&gt; SOUS-SEGMENT'!$Q$8:$Q$154*'ANALYSE - ERP =&gt; SOUS-SEGMENT'!$FK$8:$FK$154*'ANALYSE - ERP =&gt; SOUS-SEGMENT'!$KA$8:$KA$154)/SUMPRODUCT(('ANALYSE - ERP =&gt; SOUS-SEGMENT'!$C$8:$C$154=$C37)*'ANALYSE - ERP =&gt; SOUS-SEGMENT'!$Q$8:$Q$154*'ANALYSE - ERP =&gt; SOUS-SEGMENT'!$FK$8:$FK$154),0)</f>
        <v>0.22390855469686258</v>
      </c>
      <c r="JY37" s="775">
        <f>IFERROR(SUMPRODUCT(('ANALYSE - ERP =&gt; SOUS-SEGMENT'!$C$8:$C$154=$C37)*'ANALYSE - ERP =&gt; SOUS-SEGMENT'!$Q$8:$Q$154*'ANALYSE - ERP =&gt; SOUS-SEGMENT'!$FK$8:$FK$154*'ANALYSE - ERP =&gt; SOUS-SEGMENT'!$KB$8:$KB$154)/SUMPRODUCT(('ANALYSE - ERP =&gt; SOUS-SEGMENT'!$C$8:$C$154=$C37)*'ANALYSE - ERP =&gt; SOUS-SEGMENT'!$Q$8:$Q$154*'ANALYSE - ERP =&gt; SOUS-SEGMENT'!$FK$8:$FK$154),0)</f>
        <v>1.0638795208758149E-2</v>
      </c>
      <c r="JZ37" s="657"/>
      <c r="KA37" s="298" t="s">
        <v>2590</v>
      </c>
      <c r="KB37" s="298" t="s">
        <v>2591</v>
      </c>
      <c r="KC37" s="888">
        <f>IFERROR(SUMPRODUCT(('ANALYSE - ERP =&gt; SOUS-SEGMENT'!$C$8:$C$154=$C38)*'ANALYSE - ERP =&gt; SOUS-SEGMENT'!$Q$8:$Q$154*'ANALYSE - ERP =&gt; SOUS-SEGMENT'!$EX$8:$EX$154*'ANALYSE - ERP =&gt; SOUS-SEGMENT'!$KF$8:$KF$154)/SUMPRODUCT(('ANALYSE - ERP =&gt; SOUS-SEGMENT'!$C$8:$C$154=$C38)*'ANALYSE - ERP =&gt; SOUS-SEGMENT'!$Q$8:$Q$154*'ANALYSE - ERP =&gt; SOUS-SEGMENT'!$EX$8:$EX$154),"")</f>
        <v>4.0510662540625084</v>
      </c>
      <c r="KD37" s="298" t="s">
        <v>2589</v>
      </c>
      <c r="KE37" s="300" t="s">
        <v>5139</v>
      </c>
      <c r="KF37" s="620" t="s">
        <v>6760</v>
      </c>
      <c r="KG37" s="300" t="s">
        <v>6760</v>
      </c>
    </row>
    <row r="38" spans="1:293" ht="108" customHeight="1">
      <c r="A38" s="273">
        <v>39</v>
      </c>
      <c r="B38" s="486" t="s">
        <v>2163</v>
      </c>
      <c r="C38" s="486" t="s">
        <v>2163</v>
      </c>
      <c r="D38" s="486" t="s">
        <v>7467</v>
      </c>
      <c r="E38" s="275" t="s">
        <v>2117</v>
      </c>
      <c r="F38" s="275" t="s">
        <v>7468</v>
      </c>
      <c r="G38" s="275" t="s">
        <v>2121</v>
      </c>
      <c r="H38" s="275" t="s">
        <v>2109</v>
      </c>
      <c r="I38" s="276" t="s">
        <v>7469</v>
      </c>
      <c r="J38" s="276" t="s">
        <v>7470</v>
      </c>
      <c r="K38" s="277" t="s">
        <v>2097</v>
      </c>
      <c r="L38" s="277" t="s">
        <v>2109</v>
      </c>
      <c r="M38" s="277" t="s">
        <v>2603</v>
      </c>
      <c r="N38" s="277" t="s">
        <v>6742</v>
      </c>
      <c r="O38" s="277" t="s">
        <v>2616</v>
      </c>
      <c r="P38" s="276"/>
      <c r="Q38" s="270">
        <f>IF(SUMPRODUCT(('ANALYSE - ERP =&gt; SOUS-SEGMENT'!$C$8:$C$154=$C38)*'ANALYSE - ERP =&gt; SOUS-SEGMENT'!$Q$8:$Q$154)&gt;0,1,0)</f>
        <v>1</v>
      </c>
      <c r="R38" s="278">
        <f>IFERROR(SUMPRODUCT(('ANALYSE - ERP =&gt; SOUS-SEGMENT'!$C$8:$C$154=$C38)*'ANALYSE - ERP =&gt; SOUS-SEGMENT'!$Q$8:$Q$154*'ANALYSE - ERP =&gt; SOUS-SEGMENT'!$AG$8:$AG$154*'ANALYSE - ERP =&gt; SOUS-SEGMENT'!$R$8:$R$154)/SUMPRODUCT(('ANALYSE - ERP =&gt; SOUS-SEGMENT'!$C$8:$C$154=$C38)*'ANALYSE - ERP =&gt; SOUS-SEGMENT'!$Q$8:$Q$154*'ANALYSE - ERP =&gt; SOUS-SEGMENT'!$AG$8:$AG$154),"")</f>
        <v>26.715567489684982</v>
      </c>
      <c r="S38" s="279">
        <f>SUMPRODUCT(('ANALYSE - ERP =&gt; SOUS-SEGMENT'!$C$8:$C$154=$C38)*'ANALYSE - ERP =&gt; SOUS-SEGMENT'!$Q$8:$Q$154*'ANALYSE - ERP =&gt; SOUS-SEGMENT'!$S$8:$S$154)</f>
        <v>10720</v>
      </c>
      <c r="T38" s="279">
        <f>SUMPRODUCT(('ANALYSE - ERP =&gt; SOUS-SEGMENT'!$C$8:$C$154=$C38)*'ANALYSE - ERP =&gt; SOUS-SEGMENT'!$Q$8:$Q$154*'ANALYSE - ERP =&gt; SOUS-SEGMENT'!$T$8:$T$154)</f>
        <v>11460</v>
      </c>
      <c r="U38" s="279">
        <f>SUMPRODUCT(('ANALYSE - ERP =&gt; SOUS-SEGMENT'!$C$8:$C$154=$C38)*'ANALYSE - ERP =&gt; SOUS-SEGMENT'!$Q$8:$Q$154*'ANALYSE - ERP =&gt; SOUS-SEGMENT'!$U$8:$U$154)</f>
        <v>12200</v>
      </c>
      <c r="V38" s="279">
        <f>SUMPRODUCT(('ANALYSE - ERP =&gt; SOUS-SEGMENT'!$C$8:$C$154=$C38)*'ANALYSE - ERP =&gt; SOUS-SEGMENT'!$Q$8:$Q$154*'ANALYSE - ERP =&gt; SOUS-SEGMENT'!$V$8:$V$154)</f>
        <v>13040</v>
      </c>
      <c r="W38" s="279">
        <f>SUMPRODUCT(('ANALYSE - ERP =&gt; SOUS-SEGMENT'!$C$8:$C$154=$C38)*'ANALYSE - ERP =&gt; SOUS-SEGMENT'!$Q$8:$Q$154*'ANALYSE - ERP =&gt; SOUS-SEGMENT'!$W$8:$W$154)</f>
        <v>13288</v>
      </c>
      <c r="X38" s="279">
        <f>SUMPRODUCT(('ANALYSE - ERP =&gt; SOUS-SEGMENT'!$C$8:$C$154=$C38)*'ANALYSE - ERP =&gt; SOUS-SEGMENT'!$Q$8:$Q$154*'ANALYSE - ERP =&gt; SOUS-SEGMENT'!$X$8:$X$154)</f>
        <v>13536</v>
      </c>
      <c r="Y38" s="279">
        <f>SUMPRODUCT(('ANALYSE - ERP =&gt; SOUS-SEGMENT'!$C$8:$C$154=$C38)*'ANALYSE - ERP =&gt; SOUS-SEGMENT'!$Q$8:$Q$154*'ANALYSE - ERP =&gt; SOUS-SEGMENT'!$Y$8:$Y$154)</f>
        <v>13784</v>
      </c>
      <c r="Z38" s="279">
        <f>SUMPRODUCT(('ANALYSE - ERP =&gt; SOUS-SEGMENT'!$C$8:$C$154=$C38)*'ANALYSE - ERP =&gt; SOUS-SEGMENT'!$Q$8:$Q$154*'ANALYSE - ERP =&gt; SOUS-SEGMENT'!$Z$8:$Z$154)</f>
        <v>14082</v>
      </c>
      <c r="AA38" s="279">
        <f>SUMPRODUCT(('ANALYSE - ERP =&gt; SOUS-SEGMENT'!$C$8:$C$154=$C38)*'ANALYSE - ERP =&gt; SOUS-SEGMENT'!$Q$8:$Q$154*'ANALYSE - ERP =&gt; SOUS-SEGMENT'!$AA$8:$AA$154)</f>
        <v>14380</v>
      </c>
      <c r="AB38" s="279">
        <f>SUMPRODUCT(('ANALYSE - ERP =&gt; SOUS-SEGMENT'!$C$8:$C$154=$C38)*'ANALYSE - ERP =&gt; SOUS-SEGMENT'!$Q$8:$Q$154*'ANALYSE - ERP =&gt; SOUS-SEGMENT'!$AB$8:$AB$154)</f>
        <v>14578</v>
      </c>
      <c r="AC38" s="279">
        <f>SUMPRODUCT(('ANALYSE - ERP =&gt; SOUS-SEGMENT'!$C$8:$C$154=$C38)*'ANALYSE - ERP =&gt; SOUS-SEGMENT'!$Q$8:$Q$154*'ANALYSE - ERP =&gt; SOUS-SEGMENT'!$AC$8:$AC$154)</f>
        <v>14776</v>
      </c>
      <c r="AD38" s="279">
        <f>SUMPRODUCT(('ANALYSE - ERP =&gt; SOUS-SEGMENT'!$C$8:$C$154=$C38)*'ANALYSE - ERP =&gt; SOUS-SEGMENT'!$Q$8:$Q$154*'ANALYSE - ERP =&gt; SOUS-SEGMENT'!$AD$8:$AD$154)</f>
        <v>14974</v>
      </c>
      <c r="AE38" s="279">
        <f>SUMPRODUCT(('ANALYSE - ERP =&gt; SOUS-SEGMENT'!$C$8:$C$154=$C38)*'ANALYSE - ERP =&gt; SOUS-SEGMENT'!$Q$8:$Q$154*'ANALYSE - ERP =&gt; SOUS-SEGMENT'!$AE$8:$AE$154)</f>
        <v>15072</v>
      </c>
      <c r="AF38" s="279">
        <f>SUMPRODUCT(('ANALYSE - ERP =&gt; SOUS-SEGMENT'!$C$8:$C$154=$C38)*'ANALYSE - ERP =&gt; SOUS-SEGMENT'!$Q$8:$Q$154*'ANALYSE - ERP =&gt; SOUS-SEGMENT'!$AF$8:$AF$154)</f>
        <v>15170</v>
      </c>
      <c r="AG38" s="279">
        <f>SUMPRODUCT(('ANALYSE - ERP =&gt; SOUS-SEGMENT'!$C$8:$C$154=$C38)*'ANALYSE - ERP =&gt; SOUS-SEGMENT'!$Q$8:$Q$154*'ANALYSE - ERP =&gt; SOUS-SEGMENT'!$AG$8:$AG$154)</f>
        <v>15269</v>
      </c>
      <c r="AH38" s="279">
        <f>SUMPRODUCT(('ANALYSE - ERP =&gt; SOUS-SEGMENT'!$C$8:$C$154=$C38)*'ANALYSE - ERP =&gt; SOUS-SEGMENT'!$Q$8:$Q$154*'ANALYSE - ERP =&gt; SOUS-SEGMENT'!$AH$8:$AH$154)</f>
        <v>15368</v>
      </c>
      <c r="AI38" s="279">
        <f>SUMPRODUCT(('ANALYSE - ERP =&gt; SOUS-SEGMENT'!$C$8:$C$154=$C38)*'ANALYSE - ERP =&gt; SOUS-SEGMENT'!$Q$8:$Q$154*'ANALYSE - ERP =&gt; SOUS-SEGMENT'!$AI$8:$AI$154)</f>
        <v>15467</v>
      </c>
      <c r="AJ38" s="279">
        <f>SUMPRODUCT(('ANALYSE - ERP =&gt; SOUS-SEGMENT'!$C$8:$C$154=$C38)*'ANALYSE - ERP =&gt; SOUS-SEGMENT'!$Q$8:$Q$154*'ANALYSE - ERP =&gt; SOUS-SEGMENT'!$AJ$8:$AJ$154)</f>
        <v>15566</v>
      </c>
      <c r="AK38" s="279">
        <f>SUMPRODUCT(('ANALYSE - ERP =&gt; SOUS-SEGMENT'!$C$8:$C$154=$C38)*'ANALYSE - ERP =&gt; SOUS-SEGMENT'!$Q$8:$Q$154*'ANALYSE - ERP =&gt; SOUS-SEGMENT'!$AK$8:$AK$154)</f>
        <v>15665</v>
      </c>
      <c r="AL38" s="276" t="s">
        <v>7471</v>
      </c>
      <c r="AM38" s="276" t="s">
        <v>7472</v>
      </c>
      <c r="AN38" s="276" t="s">
        <v>2148</v>
      </c>
      <c r="AO38" s="657"/>
      <c r="AP38" s="278">
        <f>IFERROR(SUMPRODUCT(('ANALYSE - ERP =&gt; SOUS-SEGMENT'!$C$8:$C$154=$C38)*'ANALYSE - ERP =&gt; SOUS-SEGMENT'!$Q$8:$Q$154*'ANALYSE - ERP =&gt; SOUS-SEGMENT'!$AG$8:$AG$154*'ANALYSE - ERP =&gt; SOUS-SEGMENT'!$AP$8:$AP$154)/SUMPRODUCT(('ANALYSE - ERP =&gt; SOUS-SEGMENT'!$C$8:$C$154=$C38)*'ANALYSE - ERP =&gt; SOUS-SEGMENT'!$Q$8:$Q$154*'ANALYSE - ERP =&gt; SOUS-SEGMENT'!$AG$8:$AG$154),"")</f>
        <v>6.265636256467352</v>
      </c>
      <c r="AQ38" s="278">
        <f>IFERROR(SUMPRODUCT(('ANALYSE - ERP =&gt; SOUS-SEGMENT'!$C$8:$C$154=$C38)*'ANALYSE - ERP =&gt; SOUS-SEGMENT'!$Q$8:$Q$154*'ANALYSE - ERP =&gt; SOUS-SEGMENT'!$AF$8:$AF$154*'ANALYSE - ERP =&gt; SOUS-SEGMENT'!$AQ$8:$AQ$154)/SUMPRODUCT(('ANALYSE - ERP =&gt; SOUS-SEGMENT'!$C$8:$C$154=$C38)*'ANALYSE - ERP =&gt; SOUS-SEGMENT'!$Q$8:$Q$154*'ANALYSE - ERP =&gt; SOUS-SEGMENT'!$AF$8:$AF$154),"")</f>
        <v>6.2241265655899802</v>
      </c>
      <c r="AR38" s="973">
        <f>IFERROR(SUMPRODUCT(('ANALYSE - ERP =&gt; SOUS-SEGMENT'!$C$8:$C$154=$C38)*'ANALYSE - ERP =&gt; SOUS-SEGMENT'!$Q$8:$Q$154*'ANALYSE - ERP =&gt; SOUS-SEGMENT'!$AF$8:$AF$154*'ANALYSE - ERP =&gt; SOUS-SEGMENT'!$AR$8:$AR$154)/SUMPRODUCT(('ANALYSE - ERP =&gt; SOUS-SEGMENT'!$C$8:$C$154=$C38)*'ANALYSE - ERP =&gt; SOUS-SEGMENT'!$Q$8:$Q$154*'ANALYSE - ERP =&gt; SOUS-SEGMENT'!$AF$8:$AF$154),"")</f>
        <v>3.3618984838497033E-2</v>
      </c>
      <c r="AS38" s="973">
        <f>IFERROR(SUMPRODUCT(('ANALYSE - ERP =&gt; SOUS-SEGMENT'!$C$8:$C$154=$C38)*'ANALYSE - ERP =&gt; SOUS-SEGMENT'!$Q$8:$Q$154*'ANALYSE - ERP =&gt; SOUS-SEGMENT'!$AF$8:$AF$154*'ANALYSE - ERP =&gt; SOUS-SEGMENT'!$AS$8:$AS$154)/SUMPRODUCT(('ANALYSE - ERP =&gt; SOUS-SEGMENT'!$C$8:$C$154=$C38)*'ANALYSE - ERP =&gt; SOUS-SEGMENT'!$Q$8:$Q$154*'ANALYSE - ERP =&gt; SOUS-SEGMENT'!$AF$8:$AF$154),"")</f>
        <v>1.1206328279499011E-2</v>
      </c>
      <c r="AT38" s="657" t="s">
        <v>7473</v>
      </c>
      <c r="AU38" s="276" t="s">
        <v>7474</v>
      </c>
      <c r="AV38" s="296" t="s">
        <v>2609</v>
      </c>
      <c r="AW38" s="276"/>
      <c r="AX38" s="657"/>
      <c r="AY38" s="282">
        <f>IFERROR(SUMPRODUCT(('ANALYSE - ERP =&gt; SOUS-SEGMENT'!$C$8:$C$154=$C38)*'ANALYSE - ERP =&gt; SOUS-SEGMENT'!$Q$8:$Q$154*'ANALYSE - ERP =&gt; SOUS-SEGMENT'!$AF$8:$AF$154*'ANALYSE - ERP =&gt; SOUS-SEGMENT'!$AZ$8:$AZ$154)/SUMPRODUCT(('ANALYSE - ERP =&gt; SOUS-SEGMENT'!$C$8:$C$154=$C38)*'ANALYSE - ERP =&gt; SOUS-SEGMENT'!$Q$8:$Q$154*'ANALYSE - ERP =&gt; SOUS-SEGMENT'!$AF$8:$AF$154),"")</f>
        <v>1.0336189848384971</v>
      </c>
      <c r="AZ38" s="947">
        <f>IFERROR(SUMPRODUCT(('ANALYSE - ERP =&gt; SOUS-SEGMENT'!$C$8:$C$154=$C38)*'ANALYSE - ERP =&gt; SOUS-SEGMENT'!$Q$8:$Q$154*'ANALYSE - ERP =&gt; SOUS-SEGMENT'!$AF$8:$AF$154*'ANALYSE - ERP =&gt; SOUS-SEGMENT'!$BA$8:$BA$154)/SUMPRODUCT(('ANALYSE - ERP =&gt; SOUS-SEGMENT'!$C$8:$C$154=$C38)*'ANALYSE - ERP =&gt; SOUS-SEGMENT'!$Q$8:$Q$154*'ANALYSE - ERP =&gt; SOUS-SEGMENT'!$AF$8:$AF$154),"")</f>
        <v>8.9650626235992084E-2</v>
      </c>
      <c r="BA38" s="282">
        <f>IFERROR(SUMPRODUCT(('ANALYSE - ERP =&gt; SOUS-SEGMENT'!$C$8:$C$154=$C38)*'ANALYSE - ERP =&gt; SOUS-SEGMENT'!$Q$8:$Q$154*'ANALYSE - ERP =&gt; SOUS-SEGMENT'!$AF$8:$AF$154*'ANALYSE - ERP =&gt; SOUS-SEGMENT'!$BB$8:$BB$154)/SUMPRODUCT(('ANALYSE - ERP =&gt; SOUS-SEGMENT'!$C$8:$C$154=$C38)*'ANALYSE - ERP =&gt; SOUS-SEGMENT'!$Q$8:$Q$154*'ANALYSE - ERP =&gt; SOUS-SEGMENT'!$AF$8:$AF$154),"")</f>
        <v>0.51120632827949897</v>
      </c>
      <c r="BB38" s="282">
        <f>IFERROR(SUMPRODUCT(('ANALYSE - ERP =&gt; SOUS-SEGMENT'!$C$8:$C$154=$C38)*'ANALYSE - ERP =&gt; SOUS-SEGMENT'!$Q$8:$Q$154*'ANALYSE - ERP =&gt; SOUS-SEGMENT'!$AF$8:$AF$154*'ANALYSE - ERP =&gt; SOUS-SEGMENT'!$BC$8:$BC$154)/SUMPRODUCT(('ANALYSE - ERP =&gt; SOUS-SEGMENT'!$C$8:$C$154=$C38)*'ANALYSE - ERP =&gt; SOUS-SEGMENT'!$Q$8:$Q$154*'ANALYSE - ERP =&gt; SOUS-SEGMENT'!$AF$8:$AF$154),"")</f>
        <v>1.0224126565589979</v>
      </c>
      <c r="BC38" s="283">
        <f>SUMPRODUCT(('ANALYSE - ERP =&gt; SOUS-SEGMENT'!$C$8:$C$154=$C38)*'ANALYSE - ERP =&gt; SOUS-SEGMENT'!$Q$8:$Q$154*'ANALYSE - ERP =&gt; SOUS-SEGMENT'!$BE$8:$BE$154)</f>
        <v>15680</v>
      </c>
      <c r="BD38" s="283">
        <f>SUMPRODUCT(('ANALYSE - ERP =&gt; SOUS-SEGMENT'!$C$8:$C$154=$C38)*'ANALYSE - ERP =&gt; SOUS-SEGMENT'!$Q$8:$Q$154*'ANALYSE - ERP =&gt; SOUS-SEGMENT'!$BF$8:$BF$154)</f>
        <v>1360</v>
      </c>
      <c r="BE38" s="283">
        <f>SUMPRODUCT(('ANALYSE - ERP =&gt; SOUS-SEGMENT'!$C$8:$C$154=$C38)*'ANALYSE - ERP =&gt; SOUS-SEGMENT'!$Q$8:$Q$154*'ANALYSE - ERP =&gt; SOUS-SEGMENT'!$BG$8:$BG$154)</f>
        <v>7755</v>
      </c>
      <c r="BF38" s="283">
        <f>SUMPRODUCT(('ANALYSE - ERP =&gt; SOUS-SEGMENT'!$C$8:$C$154=$C38)*'ANALYSE - ERP =&gt; SOUS-SEGMENT'!$Q$8:$Q$154*'ANALYSE - ERP =&gt; SOUS-SEGMENT'!$BH$8:$BH$154)</f>
        <v>15510</v>
      </c>
      <c r="BG38" s="283">
        <f>SUMPRODUCT(('ANALYSE - ERP =&gt; SOUS-SEGMENT'!$C$8:$C$154=$C38)*'ANALYSE - ERP =&gt; SOUS-SEGMENT'!$Q$8:$Q$154*'ANALYSE - ERP =&gt; SOUS-SEGMENT'!$BJ$8:$BJ$154)</f>
        <v>16160</v>
      </c>
      <c r="BH38" s="283">
        <f>SUMPRODUCT(('ANALYSE - ERP =&gt; SOUS-SEGMENT'!$C$8:$C$154=$C38)*'ANALYSE - ERP =&gt; SOUS-SEGMENT'!$Q$8:$Q$154*'ANALYSE - ERP =&gt; SOUS-SEGMENT'!$BK$8:$BK$154)</f>
        <v>1320</v>
      </c>
      <c r="BI38" s="283">
        <f>SUMPRODUCT(('ANALYSE - ERP =&gt; SOUS-SEGMENT'!$C$8:$C$154=$C38)*'ANALYSE - ERP =&gt; SOUS-SEGMENT'!$Q$8:$Q$154*'ANALYSE - ERP =&gt; SOUS-SEGMENT'!$BL$8:$BL$154)</f>
        <v>7997.5</v>
      </c>
      <c r="BJ38" s="283">
        <f>SUMPRODUCT(('ANALYSE - ERP =&gt; SOUS-SEGMENT'!$C$8:$C$154=$C38)*'ANALYSE - ERP =&gt; SOUS-SEGMENT'!$Q$8:$Q$154*'ANALYSE - ERP =&gt; SOUS-SEGMENT'!$BM$8:$BM$154)</f>
        <v>15995</v>
      </c>
      <c r="BK38" s="657"/>
      <c r="BL38" s="580">
        <f>IFERROR(SUMPRODUCT(('ANALYSE - ERP =&gt; SOUS-SEGMENT'!$C$8:$C$154=$C38)*'ANALYSE - ERP =&gt; SOUS-SEGMENT'!$Q$8:$Q$154*'ANALYSE - ERP =&gt; SOUS-SEGMENT'!$BE$8:$BE$154*'ANALYSE - ERP =&gt; SOUS-SEGMENT'!$BO$8:$BO$154)/SUMPRODUCT(('ANALYSE - ERP =&gt; SOUS-SEGMENT'!$C$8:$C$154=$C38)*'ANALYSE - ERP =&gt; SOUS-SEGMENT'!$Q$8:$Q$154*'ANALYSE - ERP =&gt; SOUS-SEGMENT'!$BE$8:$BE$154),"")</f>
        <v>5.303571428571429E-2</v>
      </c>
      <c r="BM38" s="583">
        <f>IFERROR(SUMPRODUCT(('ANALYSE - ERP =&gt; SOUS-SEGMENT'!$C$8:$C$154=$C38)*'ANALYSE - ERP =&gt; SOUS-SEGMENT'!$Q$8:$Q$154*'ANALYSE - ERP =&gt; SOUS-SEGMENT'!$BE$8:$BE$154*'ANALYSE - ERP =&gt; SOUS-SEGMENT'!$BP$8:$BP$154)/SUMPRODUCT(('ANALYSE - ERP =&gt; SOUS-SEGMENT'!$C$8:$C$154=$C38)*'ANALYSE - ERP =&gt; SOUS-SEGMENT'!$Q$8:$Q$154*'ANALYSE - ERP =&gt; SOUS-SEGMENT'!$BE$8:$BE$154),"")</f>
        <v>0.55650510204081638</v>
      </c>
      <c r="BN38" s="583">
        <f>IFERROR(SUMPRODUCT(('ANALYSE - ERP =&gt; SOUS-SEGMENT'!$C$8:$C$154=$C38)*'ANALYSE - ERP =&gt; SOUS-SEGMENT'!$Q$8:$Q$154*'ANALYSE - ERP =&gt; SOUS-SEGMENT'!$BE$8:$BE$154*'ANALYSE - ERP =&gt; SOUS-SEGMENT'!$BQ$8:$BQ$154)/SUMPRODUCT(('ANALYSE - ERP =&gt; SOUS-SEGMENT'!$C$8:$C$154=$C38)*'ANALYSE - ERP =&gt; SOUS-SEGMENT'!$Q$8:$Q$154*'ANALYSE - ERP =&gt; SOUS-SEGMENT'!$BE$8:$BE$154),"")</f>
        <v>8.0867346938775508E-2</v>
      </c>
      <c r="BO38" s="584">
        <f>IFERROR(SUMPRODUCT(('ANALYSE - ERP =&gt; SOUS-SEGMENT'!$C$8:$C$154=$C38)*'ANALYSE - ERP =&gt; SOUS-SEGMENT'!$Q$8:$Q$154*'ANALYSE - ERP =&gt; SOUS-SEGMENT'!$BE$8:$BE$154*'ANALYSE - ERP =&gt; SOUS-SEGMENT'!$BR$8:$BR$154)/SUMPRODUCT(('ANALYSE - ERP =&gt; SOUS-SEGMENT'!$C$8:$C$154=$C38)*'ANALYSE - ERP =&gt; SOUS-SEGMENT'!$Q$8:$Q$154*'ANALYSE - ERP =&gt; SOUS-SEGMENT'!$BE$8:$BE$154),"")</f>
        <v>0.30959183673469387</v>
      </c>
      <c r="BP38" s="582">
        <f>IFERROR(SUMPRODUCT(('ANALYSE - ERP =&gt; SOUS-SEGMENT'!$C$8:$C$154=$C38)*'ANALYSE - ERP =&gt; SOUS-SEGMENT'!$Q$8:$Q$154*'ANALYSE - ERP =&gt; SOUS-SEGMENT'!$BJ$8:$BJ$154*'ANALYSE - ERP =&gt; SOUS-SEGMENT'!$BS$8:$BS$154)/SUMPRODUCT(('ANALYSE - ERP =&gt; SOUS-SEGMENT'!$C$8:$C$154=$C38)*'ANALYSE - ERP =&gt; SOUS-SEGMENT'!$Q$8:$Q$154*'ANALYSE - ERP =&gt; SOUS-SEGMENT'!$BJ$8:$BJ$154),"")</f>
        <v>5.204207920792079E-2</v>
      </c>
      <c r="BQ38" s="583">
        <f>IFERROR(SUMPRODUCT(('ANALYSE - ERP =&gt; SOUS-SEGMENT'!$C$8:$C$154=$C38)*'ANALYSE - ERP =&gt; SOUS-SEGMENT'!$Q$8:$Q$154*'ANALYSE - ERP =&gt; SOUS-SEGMENT'!$BJ$8:$BJ$154*'ANALYSE - ERP =&gt; SOUS-SEGMENT'!$BT$8:$BT$154)/SUMPRODUCT(('ANALYSE - ERP =&gt; SOUS-SEGMENT'!$C$8:$C$154=$C38)*'ANALYSE - ERP =&gt; SOUS-SEGMENT'!$Q$8:$Q$154*'ANALYSE - ERP =&gt; SOUS-SEGMENT'!$BJ$8:$BJ$154),"")</f>
        <v>0.5457178217821782</v>
      </c>
      <c r="BR38" s="583">
        <f>IFERROR(SUMPRODUCT(('ANALYSE - ERP =&gt; SOUS-SEGMENT'!$C$8:$C$154=$C38)*'ANALYSE - ERP =&gt; SOUS-SEGMENT'!$Q$8:$Q$154*'ANALYSE - ERP =&gt; SOUS-SEGMENT'!$BJ$8:$BJ$154*'ANALYSE - ERP =&gt; SOUS-SEGMENT'!$BU$8:$BU$154)/SUMPRODUCT(('ANALYSE - ERP =&gt; SOUS-SEGMENT'!$C$8:$C$154=$C38)*'ANALYSE - ERP =&gt; SOUS-SEGMENT'!$Q$8:$Q$154*'ANALYSE - ERP =&gt; SOUS-SEGMENT'!$BJ$8:$BJ$154),"")</f>
        <v>9.2450495049504949E-2</v>
      </c>
      <c r="BS38" s="584">
        <f>IFERROR(SUMPRODUCT(('ANALYSE - ERP =&gt; SOUS-SEGMENT'!$C$8:$C$154=$C38)*'ANALYSE - ERP =&gt; SOUS-SEGMENT'!$Q$8:$Q$154*'ANALYSE - ERP =&gt; SOUS-SEGMENT'!$BJ$8:$BJ$154*'ANALYSE - ERP =&gt; SOUS-SEGMENT'!$BV$8:$BV$154)/SUMPRODUCT(('ANALYSE - ERP =&gt; SOUS-SEGMENT'!$C$8:$C$154=$C38)*'ANALYSE - ERP =&gt; SOUS-SEGMENT'!$Q$8:$Q$154*'ANALYSE - ERP =&gt; SOUS-SEGMENT'!$BJ$8:$BJ$154),"")</f>
        <v>0.30978960396039601</v>
      </c>
      <c r="BT38" s="591">
        <f>IFERROR(SUMPRODUCT(('ANALYSE - ERP =&gt; SOUS-SEGMENT'!$C$8:$C$154=$C38)*'ANALYSE - ERP =&gt; SOUS-SEGMENT'!$Q$8:$Q$154*'ANALYSE - ERP =&gt; SOUS-SEGMENT'!$BF$8:$BF$154*'ANALYSE - ERP =&gt; SOUS-SEGMENT'!$BW$8:$BW$154)/SUMPRODUCT(('ANALYSE - ERP =&gt; SOUS-SEGMENT'!$C$8:$C$154=$C38)*'ANALYSE - ERP =&gt; SOUS-SEGMENT'!$Q$8:$Q$154*'ANALYSE - ERP =&gt; SOUS-SEGMENT'!$BF$8:$BF$154),"")</f>
        <v>0.08</v>
      </c>
      <c r="BU38" s="592">
        <f>IFERROR(SUMPRODUCT(('ANALYSE - ERP =&gt; SOUS-SEGMENT'!$C$8:$C$154=$C38)*'ANALYSE - ERP =&gt; SOUS-SEGMENT'!$Q$8:$Q$154*'ANALYSE - ERP =&gt; SOUS-SEGMENT'!$BF$8:$BF$154*'ANALYSE - ERP =&gt; SOUS-SEGMENT'!$BX$8:$BX$154)/SUMPRODUCT(('ANALYSE - ERP =&gt; SOUS-SEGMENT'!$C$8:$C$154=$C38)*'ANALYSE - ERP =&gt; SOUS-SEGMENT'!$Q$8:$Q$154*'ANALYSE - ERP =&gt; SOUS-SEGMENT'!$BF$8:$BF$154),"")</f>
        <v>0.82000000000000006</v>
      </c>
      <c r="BV38" s="593">
        <f>IFERROR(SUMPRODUCT(('ANALYSE - ERP =&gt; SOUS-SEGMENT'!$C$8:$C$154=$C38)*'ANALYSE - ERP =&gt; SOUS-SEGMENT'!$Q$8:$Q$154*'ANALYSE - ERP =&gt; SOUS-SEGMENT'!$BF$8:$BF$154*'ANALYSE - ERP =&gt; SOUS-SEGMENT'!$BY$8:$BY$154)/SUMPRODUCT(('ANALYSE - ERP =&gt; SOUS-SEGMENT'!$C$8:$C$154=$C38)*'ANALYSE - ERP =&gt; SOUS-SEGMENT'!$Q$8:$Q$154*'ANALYSE - ERP =&gt; SOUS-SEGMENT'!$BF$8:$BF$154),"")</f>
        <v>0.1</v>
      </c>
      <c r="BW38" s="591">
        <f>IFERROR(SUMPRODUCT(('ANALYSE - ERP =&gt; SOUS-SEGMENT'!$C$8:$C$154=$C38)*'ANALYSE - ERP =&gt; SOUS-SEGMENT'!$Q$8:$Q$154*'ANALYSE - ERP =&gt; SOUS-SEGMENT'!$BK$8:$BK$154*'ANALYSE - ERP =&gt; SOUS-SEGMENT'!$BZ$8:$BZ$154)/SUMPRODUCT(('ANALYSE - ERP =&gt; SOUS-SEGMENT'!$C$8:$C$154=$C38)*'ANALYSE - ERP =&gt; SOUS-SEGMENT'!$Q$8:$Q$154*'ANALYSE - ERP =&gt; SOUS-SEGMENT'!$BK$8:$BK$154),"")</f>
        <v>6.0000000000000005E-2</v>
      </c>
      <c r="BX38" s="592">
        <f>IFERROR(SUMPRODUCT(('ANALYSE - ERP =&gt; SOUS-SEGMENT'!$C$8:$C$154=$C38)*'ANALYSE - ERP =&gt; SOUS-SEGMENT'!$Q$8:$Q$154*'ANALYSE - ERP =&gt; SOUS-SEGMENT'!$BK$8:$BK$154*'ANALYSE - ERP =&gt; SOUS-SEGMENT'!$CA$8:$CA$154)/SUMPRODUCT(('ANALYSE - ERP =&gt; SOUS-SEGMENT'!$C$8:$C$154=$C38)*'ANALYSE - ERP =&gt; SOUS-SEGMENT'!$Q$8:$Q$154*'ANALYSE - ERP =&gt; SOUS-SEGMENT'!$BK$8:$BK$154),"")</f>
        <v>0.78999999999999992</v>
      </c>
      <c r="BY38" s="593">
        <f>IFERROR(SUMPRODUCT(('ANALYSE - ERP =&gt; SOUS-SEGMENT'!$C$8:$C$154=$C38)*'ANALYSE - ERP =&gt; SOUS-SEGMENT'!$Q$8:$Q$154*'ANALYSE - ERP =&gt; SOUS-SEGMENT'!$BK$8:$BK$154*'ANALYSE - ERP =&gt; SOUS-SEGMENT'!$CB$8:$CB$154)/SUMPRODUCT(('ANALYSE - ERP =&gt; SOUS-SEGMENT'!$C$8:$C$154=$C38)*'ANALYSE - ERP =&gt; SOUS-SEGMENT'!$Q$8:$Q$154*'ANALYSE - ERP =&gt; SOUS-SEGMENT'!$BK$8:$BK$154),"")</f>
        <v>0.15</v>
      </c>
      <c r="BZ38" s="582">
        <f>IFERROR(SUMPRODUCT(('ANALYSE - ERP =&gt; SOUS-SEGMENT'!$C$8:$C$154=$C38)*'ANALYSE - ERP =&gt; SOUS-SEGMENT'!$Q$8:$Q$154*'ANALYSE - ERP =&gt; SOUS-SEGMENT'!$BG$8:$BG$154*'ANALYSE - ERP =&gt; SOUS-SEGMENT'!$CC$8:$CC$154)/SUMPRODUCT(('ANALYSE - ERP =&gt; SOUS-SEGMENT'!$C$8:$C$154=$C38)*'ANALYSE - ERP =&gt; SOUS-SEGMENT'!$Q$8:$Q$154*'ANALYSE - ERP =&gt; SOUS-SEGMENT'!$BG$8:$BG$154),"")</f>
        <v>0.05</v>
      </c>
      <c r="CA38" s="583">
        <f>IFERROR(SUMPRODUCT(('ANALYSE - ERP =&gt; SOUS-SEGMENT'!$C$8:$C$154=$C38)*'ANALYSE - ERP =&gt; SOUS-SEGMENT'!$Q$8:$Q$154*'ANALYSE - ERP =&gt; SOUS-SEGMENT'!$BG$8:$BG$154*'ANALYSE - ERP =&gt; SOUS-SEGMENT'!$CD$8:$CD$154)/SUMPRODUCT(('ANALYSE - ERP =&gt; SOUS-SEGMENT'!$C$8:$C$154=$C38)*'ANALYSE - ERP =&gt; SOUS-SEGMENT'!$Q$8:$Q$154*'ANALYSE - ERP =&gt; SOUS-SEGMENT'!$BG$8:$BG$154),"")</f>
        <v>0.72000000000000008</v>
      </c>
      <c r="CB38" s="583">
        <f>IFERROR(SUMPRODUCT(('ANALYSE - ERP =&gt; SOUS-SEGMENT'!$C$8:$C$154=$C38)*'ANALYSE - ERP =&gt; SOUS-SEGMENT'!$Q$8:$Q$154*'ANALYSE - ERP =&gt; SOUS-SEGMENT'!$BG$8:$BG$154*'ANALYSE - ERP =&gt; SOUS-SEGMENT'!$CE$8:$CE$154)/SUMPRODUCT(('ANALYSE - ERP =&gt; SOUS-SEGMENT'!$C$8:$C$154=$C38)*'ANALYSE - ERP =&gt; SOUS-SEGMENT'!$Q$8:$Q$154*'ANALYSE - ERP =&gt; SOUS-SEGMENT'!$BG$8:$BG$154),"")</f>
        <v>0.08</v>
      </c>
      <c r="CC38" s="584">
        <f>IFERROR(SUMPRODUCT(('ANALYSE - ERP =&gt; SOUS-SEGMENT'!$C$8:$C$154=$C38)*'ANALYSE - ERP =&gt; SOUS-SEGMENT'!$Q$8:$Q$154*'ANALYSE - ERP =&gt; SOUS-SEGMENT'!$BG$8:$BG$154*'ANALYSE - ERP =&gt; SOUS-SEGMENT'!$CF$8:$CF$154)/SUMPRODUCT(('ANALYSE - ERP =&gt; SOUS-SEGMENT'!$C$8:$C$154=$C38)*'ANALYSE - ERP =&gt; SOUS-SEGMENT'!$Q$8:$Q$154*'ANALYSE - ERP =&gt; SOUS-SEGMENT'!$BG$8:$BG$154),"")</f>
        <v>0.15</v>
      </c>
      <c r="CD38" s="582">
        <f>IFERROR(SUMPRODUCT(('ANALYSE - ERP =&gt; SOUS-SEGMENT'!$C$8:$C$154=$C38)*'ANALYSE - ERP =&gt; SOUS-SEGMENT'!$Q$8:$Q$154*'ANALYSE - ERP =&gt; SOUS-SEGMENT'!$BL$8:$BL$154*'ANALYSE - ERP =&gt; SOUS-SEGMENT'!$CG$8:$CG$154)/SUMPRODUCT(('ANALYSE - ERP =&gt; SOUS-SEGMENT'!$C$8:$C$154=$C38)*'ANALYSE - ERP =&gt; SOUS-SEGMENT'!$Q$8:$Q$154*'ANALYSE - ERP =&gt; SOUS-SEGMENT'!$BL$8:$BL$154),"")</f>
        <v>3.9999999999999994E-2</v>
      </c>
      <c r="CE38" s="583">
        <f>IFERROR(SUMPRODUCT(('ANALYSE - ERP =&gt; SOUS-SEGMENT'!$C$8:$C$154=$C38)*'ANALYSE - ERP =&gt; SOUS-SEGMENT'!$Q$8:$Q$154*'ANALYSE - ERP =&gt; SOUS-SEGMENT'!$BL$8:$BL$154*'ANALYSE - ERP =&gt; SOUS-SEGMENT'!$CH$8:$CH$154)/SUMPRODUCT(('ANALYSE - ERP =&gt; SOUS-SEGMENT'!$C$8:$C$154=$C38)*'ANALYSE - ERP =&gt; SOUS-SEGMENT'!$Q$8:$Q$154*'ANALYSE - ERP =&gt; SOUS-SEGMENT'!$BL$8:$BL$154),"")</f>
        <v>0.72</v>
      </c>
      <c r="CF38" s="583">
        <f>IFERROR(SUMPRODUCT(('ANALYSE - ERP =&gt; SOUS-SEGMENT'!$C$8:$C$154=$C38)*'ANALYSE - ERP =&gt; SOUS-SEGMENT'!$Q$8:$Q$154*'ANALYSE - ERP =&gt; SOUS-SEGMENT'!$BL$8:$BL$154*'ANALYSE - ERP =&gt; SOUS-SEGMENT'!$CI$8:$CI$154)/SUMPRODUCT(('ANALYSE - ERP =&gt; SOUS-SEGMENT'!$C$8:$C$154=$C38)*'ANALYSE - ERP =&gt; SOUS-SEGMENT'!$Q$8:$Q$154*'ANALYSE - ERP =&gt; SOUS-SEGMENT'!$BL$8:$BL$154),"")</f>
        <v>0.1</v>
      </c>
      <c r="CG38" s="584">
        <f>IFERROR(SUMPRODUCT(('ANALYSE - ERP =&gt; SOUS-SEGMENT'!$C$8:$C$154=$C38)*'ANALYSE - ERP =&gt; SOUS-SEGMENT'!$Q$8:$Q$154*'ANALYSE - ERP =&gt; SOUS-SEGMENT'!$BL$8:$BL$154*'ANALYSE - ERP =&gt; SOUS-SEGMENT'!$CJ$8:$CJ$154)/SUMPRODUCT(('ANALYSE - ERP =&gt; SOUS-SEGMENT'!$C$8:$C$154=$C38)*'ANALYSE - ERP =&gt; SOUS-SEGMENT'!$Q$8:$Q$154*'ANALYSE - ERP =&gt; SOUS-SEGMENT'!$BL$8:$BL$154),"")</f>
        <v>0.14000000000000001</v>
      </c>
      <c r="CH38" s="591">
        <f>IFERROR(SUMPRODUCT(('ANALYSE - ERP =&gt; SOUS-SEGMENT'!$C$8:$C$154=$C38)*'ANALYSE - ERP =&gt; SOUS-SEGMENT'!$Q$8:$Q$154*'ANALYSE - ERP =&gt; SOUS-SEGMENT'!$BH$8:$BH$154*'ANALYSE - ERP =&gt; SOUS-SEGMENT'!$CK$8:$CK$154)/SUMPRODUCT(('ANALYSE - ERP =&gt; SOUS-SEGMENT'!$C$8:$C$154=$C38)*'ANALYSE - ERP =&gt; SOUS-SEGMENT'!$Q$8:$Q$154*'ANALYSE - ERP =&gt; SOUS-SEGMENT'!$BH$8:$BH$154),"")</f>
        <v>0.10493230174081238</v>
      </c>
      <c r="CI38" s="592">
        <f>IFERROR(SUMPRODUCT(('ANALYSE - ERP =&gt; SOUS-SEGMENT'!$C$8:$C$154=$C38)*'ANALYSE - ERP =&gt; SOUS-SEGMENT'!$Q$8:$Q$154*'ANALYSE - ERP =&gt; SOUS-SEGMENT'!$BH$8:$BH$154*'ANALYSE - ERP =&gt; SOUS-SEGMENT'!$CL$8:$CL$154)/SUMPRODUCT(('ANALYSE - ERP =&gt; SOUS-SEGMENT'!$C$8:$C$154=$C38)*'ANALYSE - ERP =&gt; SOUS-SEGMENT'!$Q$8:$Q$154*'ANALYSE - ERP =&gt; SOUS-SEGMENT'!$BH$8:$BH$154),"")</f>
        <v>0.6467117988394584</v>
      </c>
      <c r="CJ38" s="593">
        <f>IFERROR(SUMPRODUCT(('ANALYSE - ERP =&gt; SOUS-SEGMENT'!$C$8:$C$154=$C38)*'ANALYSE - ERP =&gt; SOUS-SEGMENT'!$Q$8:$Q$154*'ANALYSE - ERP =&gt; SOUS-SEGMENT'!$BH$8:$BH$154*'ANALYSE - ERP =&gt; SOUS-SEGMENT'!$CM$8:$CM$154)/SUMPRODUCT(('ANALYSE - ERP =&gt; SOUS-SEGMENT'!$C$8:$C$154=$C38)*'ANALYSE - ERP =&gt; SOUS-SEGMENT'!$Q$8:$Q$154*'ANALYSE - ERP =&gt; SOUS-SEGMENT'!$BH$8:$BH$154),"")</f>
        <v>0.24835589941972921</v>
      </c>
      <c r="CK38" s="591">
        <f>IFERROR(SUMPRODUCT(('ANALYSE - ERP =&gt; SOUS-SEGMENT'!$C$8:$C$154=$C38)*'ANALYSE - ERP =&gt; SOUS-SEGMENT'!$Q$8:$Q$154*'ANALYSE - ERP =&gt; SOUS-SEGMENT'!$BM$8:$BM$154*'ANALYSE - ERP =&gt; SOUS-SEGMENT'!$CN$8:$CN$154)/SUMPRODUCT(('ANALYSE - ERP =&gt; SOUS-SEGMENT'!$C$8:$C$154=$C38)*'ANALYSE - ERP =&gt; SOUS-SEGMENT'!$Q$8:$Q$154*'ANALYSE - ERP =&gt; SOUS-SEGMENT'!$BM$8:$BM$154),"")</f>
        <v>5.4642075648640202E-2</v>
      </c>
      <c r="CL38" s="592">
        <f>IFERROR(SUMPRODUCT(('ANALYSE - ERP =&gt; SOUS-SEGMENT'!$C$8:$C$154=$C38)*'ANALYSE - ERP =&gt; SOUS-SEGMENT'!$Q$8:$Q$154*'ANALYSE - ERP =&gt; SOUS-SEGMENT'!$BM$8:$BM$154*'ANALYSE - ERP =&gt; SOUS-SEGMENT'!$CO$8:$CO$154)/SUMPRODUCT(('ANALYSE - ERP =&gt; SOUS-SEGMENT'!$C$8:$C$154=$C38)*'ANALYSE - ERP =&gt; SOUS-SEGMENT'!$Q$8:$Q$154*'ANALYSE - ERP =&gt; SOUS-SEGMENT'!$BM$8:$BM$154),"")</f>
        <v>0.6472147546108159</v>
      </c>
      <c r="CM38" s="593">
        <f>IFERROR(SUMPRODUCT(('ANALYSE - ERP =&gt; SOUS-SEGMENT'!$C$8:$C$154=$C38)*'ANALYSE - ERP =&gt; SOUS-SEGMENT'!$Q$8:$Q$154*'ANALYSE - ERP =&gt; SOUS-SEGMENT'!$BM$8:$BM$154*'ANALYSE - ERP =&gt; SOUS-SEGMENT'!$CP$8:$CP$154)/SUMPRODUCT(('ANALYSE - ERP =&gt; SOUS-SEGMENT'!$C$8:$C$154=$C38)*'ANALYSE - ERP =&gt; SOUS-SEGMENT'!$Q$8:$Q$154*'ANALYSE - ERP =&gt; SOUS-SEGMENT'!$BM$8:$BM$154),"")</f>
        <v>0.29814316974054395</v>
      </c>
      <c r="CN38" s="657"/>
      <c r="CO38" s="906">
        <f>IFERROR(SUMPRODUCT(('ANALYSE - ERP =&gt; SOUS-SEGMENT'!$C$8:$C$154=$C38)*'ANALYSE - ERP =&gt; SOUS-SEGMENT'!$DH$8:$DH$154*('ANALYSE - ERP =&gt; SOUS-SEGMENT'!$CR$8:$CR$154&gt;0)*'ANALYSE - ERP =&gt; SOUS-SEGMENT'!$CR$8:$CR$154)/SUMPRODUCT(('ANALYSE - ERP =&gt; SOUS-SEGMENT'!$C$8:$C$154=$C38)*'ANALYSE - ERP =&gt; SOUS-SEGMENT'!$DH$8:$DH$154*('ANALYSE - ERP =&gt; SOUS-SEGMENT'!$CR$8:$CR$154&gt;0)),"")</f>
        <v>9</v>
      </c>
      <c r="CP38" s="907">
        <f>IFERROR(SUMPRODUCT(('ANALYSE - ERP =&gt; SOUS-SEGMENT'!$C$8:$C$154=$C38)*'ANALYSE - ERP =&gt; SOUS-SEGMENT'!$DI$8:$DI$154*('ANALYSE - ERP =&gt; SOUS-SEGMENT'!$CS$8:$CS$154&gt;0)*'ANALYSE - ERP =&gt; SOUS-SEGMENT'!$CS$8:$CS$154)/SUMPRODUCT(('ANALYSE - ERP =&gt; SOUS-SEGMENT'!$C$8:$C$154=$C38)*'ANALYSE - ERP =&gt; SOUS-SEGMENT'!$DI$8:$DI$154*('ANALYSE - ERP =&gt; SOUS-SEGMENT'!$CS$8:$CS$154&gt;0)),"")</f>
        <v>10.054549621819849</v>
      </c>
      <c r="CQ38" s="907">
        <f>IFERROR(SUMPRODUCT(('ANALYSE - ERP =&gt; SOUS-SEGMENT'!$C$8:$C$154=$C38)*'ANALYSE - ERP =&gt; SOUS-SEGMENT'!$DJ$8:$DJ$154*('ANALYSE - ERP =&gt; SOUS-SEGMENT'!$CT$8:$CT$154&gt;0)*'ANALYSE - ERP =&gt; SOUS-SEGMENT'!$CT$8:$CT$154)/SUMPRODUCT(('ANALYSE - ERP =&gt; SOUS-SEGMENT'!$C$8:$C$154=$C38)*'ANALYSE - ERP =&gt; SOUS-SEGMENT'!$DJ$8:$DJ$154*('ANALYSE - ERP =&gt; SOUS-SEGMENT'!$CT$8:$CT$154&gt;0)),"")</f>
        <v>7.0536277602523656</v>
      </c>
      <c r="CR38" s="908">
        <f>IFERROR(SUMPRODUCT(('ANALYSE - ERP =&gt; SOUS-SEGMENT'!$C$8:$C$154=$C38)*'ANALYSE - ERP =&gt; SOUS-SEGMENT'!$DK$8:$DK$154*('ANALYSE - ERP =&gt; SOUS-SEGMENT'!$CU$8:$CU$154&gt;0)*'ANALYSE - ERP =&gt; SOUS-SEGMENT'!$CU$8:$CU$154)/SUMPRODUCT(('ANALYSE - ERP =&gt; SOUS-SEGMENT'!$C$8:$C$154=$C38)*'ANALYSE - ERP =&gt; SOUS-SEGMENT'!$DK$8:$DK$154*('ANALYSE - ERP =&gt; SOUS-SEGMENT'!$CU$8:$CU$154&gt;0)),"")</f>
        <v>9</v>
      </c>
      <c r="CS38" s="906">
        <f>IFERROR(SUMPRODUCT(('ANALYSE - ERP =&gt; SOUS-SEGMENT'!$C$8:$C$154=$C38)*'ANALYSE - ERP =&gt; SOUS-SEGMENT'!$DS$8:$DS$154*('ANALYSE - ERP =&gt; SOUS-SEGMENT'!$CV$8:$CV$154&gt;0)*'ANALYSE - ERP =&gt; SOUS-SEGMENT'!$CV$8:$CV$154)/SUMPRODUCT(('ANALYSE - ERP =&gt; SOUS-SEGMENT'!$C$8:$C$154=$C38)*'ANALYSE - ERP =&gt; SOUS-SEGMENT'!$DS$8:$DS$154*('ANALYSE - ERP =&gt; SOUS-SEGMENT'!$CV$8:$CV$154&gt;0)),"")</f>
        <v>8</v>
      </c>
      <c r="CT38" s="907">
        <f>IFERROR(SUMPRODUCT(('ANALYSE - ERP =&gt; SOUS-SEGMENT'!$C$8:$C$154=$C38)*'ANALYSE - ERP =&gt; SOUS-SEGMENT'!$DT$8:$DT$154*('ANALYSE - ERP =&gt; SOUS-SEGMENT'!$CW$8:$CW$154&gt;0)*'ANALYSE - ERP =&gt; SOUS-SEGMENT'!$CW$8:$CW$154)/SUMPRODUCT(('ANALYSE - ERP =&gt; SOUS-SEGMENT'!$C$8:$C$154=$C38)*'ANALYSE - ERP =&gt; SOUS-SEGMENT'!$DT$8:$DT$154*('ANALYSE - ERP =&gt; SOUS-SEGMENT'!$CW$8:$CW$154&gt;0)),"")</f>
        <v>8</v>
      </c>
      <c r="CU38" s="908">
        <f>IFERROR(SUMPRODUCT(('ANALYSE - ERP =&gt; SOUS-SEGMENT'!$C$8:$C$154=$C38)*'ANALYSE - ERP =&gt; SOUS-SEGMENT'!$DU$8:$DU$154*('ANALYSE - ERP =&gt; SOUS-SEGMENT'!$CX$8:$CX$154&gt;0)*'ANALYSE - ERP =&gt; SOUS-SEGMENT'!$CX$8:$CX$154)/SUMPRODUCT(('ANALYSE - ERP =&gt; SOUS-SEGMENT'!$C$8:$C$154=$C38)*'ANALYSE - ERP =&gt; SOUS-SEGMENT'!$DU$8:$DU$154*('ANALYSE - ERP =&gt; SOUS-SEGMENT'!$CX$8:$CX$154&gt;0)),"")</f>
        <v>6</v>
      </c>
      <c r="CV38" s="906">
        <f>IFERROR(SUMPRODUCT(('ANALYSE - ERP =&gt; SOUS-SEGMENT'!$C$8:$C$154=$C38)*'ANALYSE - ERP =&gt; SOUS-SEGMENT'!$EB$8:$EB$154*('ANALYSE - ERP =&gt; SOUS-SEGMENT'!$CY$8:$CY$154&gt;0)*'ANALYSE - ERP =&gt; SOUS-SEGMENT'!$CY$8:$CY$154)/SUMPRODUCT(('ANALYSE - ERP =&gt; SOUS-SEGMENT'!$C$8:$C$154=$C38)*'ANALYSE - ERP =&gt; SOUS-SEGMENT'!$EB$8:$EB$154*('ANALYSE - ERP =&gt; SOUS-SEGMENT'!$CY$8:$CY$154&gt;0)),"")</f>
        <v>8</v>
      </c>
      <c r="CW38" s="907">
        <f>IFERROR(SUMPRODUCT(('ANALYSE - ERP =&gt; SOUS-SEGMENT'!$C$8:$C$154=$C38)*'ANALYSE - ERP =&gt; SOUS-SEGMENT'!$EC$8:$EC$154*('ANALYSE - ERP =&gt; SOUS-SEGMENT'!$CZ$8:$CZ$154&gt;0)*'ANALYSE - ERP =&gt; SOUS-SEGMENT'!$CZ$8:$CZ$154)/SUMPRODUCT(('ANALYSE - ERP =&gt; SOUS-SEGMENT'!$C$8:$C$154=$C38)*'ANALYSE - ERP =&gt; SOUS-SEGMENT'!$EC$8:$EC$154*('ANALYSE - ERP =&gt; SOUS-SEGMENT'!$CZ$8:$CZ$154&gt;0)),"")</f>
        <v>9</v>
      </c>
      <c r="CX38" s="907">
        <f>IFERROR(SUMPRODUCT(('ANALYSE - ERP =&gt; SOUS-SEGMENT'!$C$8:$C$154=$C38)*'ANALYSE - ERP =&gt; SOUS-SEGMENT'!$ED$8:$ED$154*('ANALYSE - ERP =&gt; SOUS-SEGMENT'!$DA$8:$DA$154&gt;0)*'ANALYSE - ERP =&gt; SOUS-SEGMENT'!$DA$8:$DA$154)/SUMPRODUCT(('ANALYSE - ERP =&gt; SOUS-SEGMENT'!$C$8:$C$154=$C38)*'ANALYSE - ERP =&gt; SOUS-SEGMENT'!$ED$8:$ED$154*('ANALYSE - ERP =&gt; SOUS-SEGMENT'!$DA$8:$DA$154&gt;0)),"")</f>
        <v>6</v>
      </c>
      <c r="CY38" s="909">
        <f>IFERROR(SUMPRODUCT(('ANALYSE - ERP =&gt; SOUS-SEGMENT'!$C$8:$C$154=$C38)*'ANALYSE - ERP =&gt; SOUS-SEGMENT'!$EE$8:$EE$154*('ANALYSE - ERP =&gt; SOUS-SEGMENT'!$DB$8:$DB$154&gt;0)*'ANALYSE - ERP =&gt; SOUS-SEGMENT'!$DB$8:$DB$154)/SUMPRODUCT(('ANALYSE - ERP =&gt; SOUS-SEGMENT'!$C$8:$C$154=$C38)*'ANALYSE - ERP =&gt; SOUS-SEGMENT'!$EE$8:$EE$154*('ANALYSE - ERP =&gt; SOUS-SEGMENT'!$DB$8:$DB$154&gt;0)),"")</f>
        <v>8</v>
      </c>
      <c r="CZ38" s="910">
        <f>IFERROR(SUMPRODUCT(('ANALYSE - ERP =&gt; SOUS-SEGMENT'!$C$8:$C$154=$C38)*'ANALYSE - ERP =&gt; SOUS-SEGMENT'!$EM$8:$EM$154*('ANALYSE - ERP =&gt; SOUS-SEGMENT'!$DC$8:$DC$154&gt;0)*'ANALYSE - ERP =&gt; SOUS-SEGMENT'!$DC$8:$DC$154)/SUMPRODUCT(('ANALYSE - ERP =&gt; SOUS-SEGMENT'!$C$8:$C$154=$C38)*'ANALYSE - ERP =&gt; SOUS-SEGMENT'!$EM$8:$EM$154*('ANALYSE - ERP =&gt; SOUS-SEGMENT'!$DC$8:$DC$154&gt;0)),"")</f>
        <v>9</v>
      </c>
      <c r="DA38" s="907">
        <f>IFERROR(SUMPRODUCT(('ANALYSE - ERP =&gt; SOUS-SEGMENT'!$C$8:$C$154=$C38)*'ANALYSE - ERP =&gt; SOUS-SEGMENT'!$EN$8:$EN$154*('ANALYSE - ERP =&gt; SOUS-SEGMENT'!$DD$8:$DD$154&gt;0)*'ANALYSE - ERP =&gt; SOUS-SEGMENT'!$DD$8:$DD$154)/SUMPRODUCT(('ANALYSE - ERP =&gt; SOUS-SEGMENT'!$C$8:$C$154=$C38)*'ANALYSE - ERP =&gt; SOUS-SEGMENT'!$EN$8:$EN$154*('ANALYSE - ERP =&gt; SOUS-SEGMENT'!$DD$8:$DD$154&gt;0)),"")</f>
        <v>10.055929415283385</v>
      </c>
      <c r="DB38" s="909">
        <f>IFERROR(SUMPRODUCT(('ANALYSE - ERP =&gt; SOUS-SEGMENT'!$C$8:$C$154=$C38)*'ANALYSE - ERP =&gt; SOUS-SEGMENT'!$EO$8:$EO$154*('ANALYSE - ERP =&gt; SOUS-SEGMENT'!$DE$8:$DE$154&gt;0)*'ANALYSE - ERP =&gt; SOUS-SEGMENT'!$DE$8:$DE$154)/SUMPRODUCT(('ANALYSE - ERP =&gt; SOUS-SEGMENT'!$C$8:$C$154=$C38)*'ANALYSE - ERP =&gt; SOUS-SEGMENT'!$EO$8:$EO$154*('ANALYSE - ERP =&gt; SOUS-SEGMENT'!$DE$8:$DE$154&gt;0)),"")</f>
        <v>7.0529595015576323</v>
      </c>
      <c r="DC38" s="609"/>
      <c r="DD38" s="657"/>
      <c r="DE38" s="308">
        <f t="shared" si="2"/>
        <v>831.6</v>
      </c>
      <c r="DF38" s="308">
        <f t="shared" si="3"/>
        <v>8726</v>
      </c>
      <c r="DG38" s="308">
        <f t="shared" si="4"/>
        <v>1268</v>
      </c>
      <c r="DH38" s="308">
        <f t="shared" si="5"/>
        <v>4854.3999999999996</v>
      </c>
      <c r="DI38" s="287" t="s">
        <v>7475</v>
      </c>
      <c r="DJ38" s="308">
        <f t="shared" si="6"/>
        <v>841</v>
      </c>
      <c r="DK38" s="308">
        <f t="shared" si="7"/>
        <v>8818.7999999999993</v>
      </c>
      <c r="DL38" s="308">
        <f t="shared" si="8"/>
        <v>1494</v>
      </c>
      <c r="DM38" s="308">
        <f t="shared" si="9"/>
        <v>5006.2</v>
      </c>
      <c r="DN38" s="287" t="s">
        <v>7476</v>
      </c>
      <c r="DO38" s="657"/>
      <c r="DP38" s="308">
        <f t="shared" si="10"/>
        <v>108.8</v>
      </c>
      <c r="DQ38" s="308">
        <f t="shared" si="11"/>
        <v>1115.2</v>
      </c>
      <c r="DR38" s="308">
        <f t="shared" si="12"/>
        <v>136</v>
      </c>
      <c r="DS38" s="287" t="s">
        <v>7477</v>
      </c>
      <c r="DT38" s="308">
        <f t="shared" si="13"/>
        <v>79.2</v>
      </c>
      <c r="DU38" s="308">
        <f t="shared" si="14"/>
        <v>1042.8</v>
      </c>
      <c r="DV38" s="308">
        <f t="shared" si="15"/>
        <v>198</v>
      </c>
      <c r="DW38" s="287" t="s">
        <v>7477</v>
      </c>
      <c r="DX38" s="657"/>
      <c r="DY38" s="308">
        <f t="shared" si="16"/>
        <v>387.75</v>
      </c>
      <c r="DZ38" s="308">
        <f t="shared" si="17"/>
        <v>5583.6</v>
      </c>
      <c r="EA38" s="308">
        <f t="shared" si="18"/>
        <v>620.4</v>
      </c>
      <c r="EB38" s="308">
        <f t="shared" si="19"/>
        <v>1163.25</v>
      </c>
      <c r="EC38" s="287" t="s">
        <v>7477</v>
      </c>
      <c r="ED38" s="308">
        <f t="shared" si="20"/>
        <v>319.89999999999998</v>
      </c>
      <c r="EE38" s="308">
        <f t="shared" si="21"/>
        <v>5758.2</v>
      </c>
      <c r="EF38" s="308">
        <f t="shared" si="22"/>
        <v>799.75</v>
      </c>
      <c r="EG38" s="308">
        <f t="shared" si="23"/>
        <v>1119.6500000000001</v>
      </c>
      <c r="EH38" s="614" t="s">
        <v>7478</v>
      </c>
      <c r="EI38" s="290"/>
      <c r="EJ38" s="308">
        <f t="shared" si="24"/>
        <v>1627.5</v>
      </c>
      <c r="EK38" s="310">
        <f t="shared" si="25"/>
        <v>10030.5</v>
      </c>
      <c r="EL38" s="310">
        <f t="shared" si="26"/>
        <v>3852</v>
      </c>
      <c r="EM38" s="287" t="s">
        <v>7479</v>
      </c>
      <c r="EN38" s="308">
        <f t="shared" si="27"/>
        <v>874</v>
      </c>
      <c r="EO38" s="310">
        <f t="shared" si="28"/>
        <v>10352.200000000001</v>
      </c>
      <c r="EP38" s="310">
        <f t="shared" si="29"/>
        <v>4768.8</v>
      </c>
      <c r="EQ38" s="289" t="s">
        <v>7480</v>
      </c>
      <c r="ER38" s="657"/>
      <c r="ES38" s="728">
        <f t="shared" si="30"/>
        <v>0.82681683645638449</v>
      </c>
      <c r="ET38" s="728">
        <f t="shared" si="31"/>
        <v>0.10067387774344508</v>
      </c>
      <c r="EU38" s="311">
        <f t="shared" si="32"/>
        <v>21297.479077597403</v>
      </c>
      <c r="EV38" s="311">
        <f t="shared" si="33"/>
        <v>17172.141377597403</v>
      </c>
      <c r="EW38" s="311">
        <f t="shared" si="34"/>
        <v>4125.3377</v>
      </c>
      <c r="EX38" s="311">
        <f t="shared" si="35"/>
        <v>7953.5330418831163</v>
      </c>
      <c r="EY38" s="311">
        <f>SUMPRODUCT(('ANALYSE - ERP =&gt; SOUS-SEGMENT'!$C$8:$C$154=$C38)*'ANALYSE - ERP =&gt; SOUS-SEGMENT'!$Q$8:$Q$154*'ANALYSE - ERP =&gt; SOUS-SEGMENT'!$FB$8:$FB$154)</f>
        <v>6325.1178418831169</v>
      </c>
      <c r="EZ38" s="311">
        <f>SUMPRODUCT(('ANALYSE - ERP =&gt; SOUS-SEGMENT'!$C$8:$C$154=$C38)*'ANALYSE - ERP =&gt; SOUS-SEGMENT'!$Q$8:$Q$154*'ANALYSE - ERP =&gt; SOUS-SEGMENT'!$FC$8:$FC$154)</f>
        <v>1628.4151999999999</v>
      </c>
      <c r="FA38" s="311">
        <f t="shared" si="36"/>
        <v>901.43039999999996</v>
      </c>
      <c r="FB38" s="311">
        <f>SUMPRODUCT(('ANALYSE - ERP =&gt; SOUS-SEGMENT'!$C$8:$C$154=$C38)*'ANALYSE - ERP =&gt; SOUS-SEGMENT'!$Q$8:$Q$154*'ANALYSE - ERP =&gt; SOUS-SEGMENT'!$FE$8:$FE$154)</f>
        <v>834.6</v>
      </c>
      <c r="FC38" s="311">
        <f>SUMPRODUCT(('ANALYSE - ERP =&gt; SOUS-SEGMENT'!$C$8:$C$154=$C38)*'ANALYSE - ERP =&gt; SOUS-SEGMENT'!$Q$8:$Q$154*'ANALYSE - ERP =&gt; SOUS-SEGMENT'!$FF$8:$FF$154)</f>
        <v>66.830399999999997</v>
      </c>
      <c r="FD38" s="311">
        <f t="shared" si="37"/>
        <v>4305.4929249999996</v>
      </c>
      <c r="FE38" s="311">
        <f>SUMPRODUCT(('ANALYSE - ERP =&gt; SOUS-SEGMENT'!$C$8:$C$154=$C38)*'ANALYSE - ERP =&gt; SOUS-SEGMENT'!$Q$8:$Q$154*'ANALYSE - ERP =&gt; SOUS-SEGMENT'!$FH$8:$FH$154)</f>
        <v>3495.4622249999998</v>
      </c>
      <c r="FF38" s="311">
        <f>SUMPRODUCT(('ANALYSE - ERP =&gt; SOUS-SEGMENT'!$C$8:$C$154=$C38)*'ANALYSE - ERP =&gt; SOUS-SEGMENT'!$Q$8:$Q$154*'ANALYSE - ERP =&gt; SOUS-SEGMENT'!$FI$8:$FI$154)</f>
        <v>810.03070000000002</v>
      </c>
      <c r="FG38" s="311">
        <f t="shared" si="38"/>
        <v>8137.0227107142855</v>
      </c>
      <c r="FH38" s="311">
        <f>SUMPRODUCT(('ANALYSE - ERP =&gt; SOUS-SEGMENT'!$C$8:$C$154=$C38)*'ANALYSE - ERP =&gt; SOUS-SEGMENT'!$Q$8:$Q$154*'ANALYSE - ERP =&gt; SOUS-SEGMENT'!$FK$8:$FK$154)</f>
        <v>6516.9613107142859</v>
      </c>
      <c r="FI38" s="311">
        <f>SUMPRODUCT(('ANALYSE - ERP =&gt; SOUS-SEGMENT'!$C$8:$C$154=$C38)*'ANALYSE - ERP =&gt; SOUS-SEGMENT'!$Q$8:$Q$154*'ANALYSE - ERP =&gt; SOUS-SEGMENT'!$FL$8:$FL$154)</f>
        <v>1620.0614</v>
      </c>
      <c r="FJ38" s="657"/>
      <c r="FK38" s="293" t="s">
        <v>2616</v>
      </c>
      <c r="FL38" s="728">
        <f>IFERROR(SUMPRODUCT(('ANALYSE - ERP =&gt; SOUS-SEGMENT'!$C$8:$C$154=$C38)*'ANALYSE - ERP =&gt; SOUS-SEGMENT'!$Q$8:$Q$154*'ANALYSE - ERP =&gt; SOUS-SEGMENT'!$AF$8:$AF$154*'ANALYSE - ERP =&gt; SOUS-SEGMENT'!$FO$8:$FO$154)/SUMPRODUCT(('ANALYSE - ERP =&gt; SOUS-SEGMENT'!$C$8:$C$154=$C38)*'ANALYSE - ERP =&gt; SOUS-SEGMENT'!$Q$8:$Q$154*'ANALYSE - ERP =&gt; SOUS-SEGMENT'!$AF$8:$AF$154),"")</f>
        <v>7.2732617007251157E-2</v>
      </c>
      <c r="FM38" s="729">
        <f>IFERROR(SUMPRODUCT(('ANALYSE - ERP =&gt; SOUS-SEGMENT'!$C$8:$C$154=$C38)*'ANALYSE - ERP =&gt; SOUS-SEGMENT'!$Q$8:$Q$154*'ANALYSE - ERP =&gt; SOUS-SEGMENT'!$AF$8:$AF$154*'ANALYSE - ERP =&gt; SOUS-SEGMENT'!$FP$8:$FP$154)/SUMPRODUCT(('ANALYSE - ERP =&gt; SOUS-SEGMENT'!$C$8:$C$154=$C38)*'ANALYSE - ERP =&gt; SOUS-SEGMENT'!$Q$8:$Q$154*'ANALYSE - ERP =&gt; SOUS-SEGMENT'!$AF$8:$AF$154),"")</f>
        <v>0.80893210283454187</v>
      </c>
      <c r="FN38" s="294" t="s">
        <v>5204</v>
      </c>
      <c r="FO38" s="657"/>
      <c r="FP38" s="865">
        <f>IFERROR(SUMPRODUCT(('ANALYSE - ERP =&gt; SOUS-SEGMENT'!$C$8:$C$154=$C38)*'ANALYSE - ERP =&gt; SOUS-SEGMENT'!$Q$8:$Q$154*'ANALYSE - ERP =&gt; SOUS-SEGMENT'!$EX$8:$EX$154*'ANALYSE - ERP =&gt; SOUS-SEGMENT'!$FS$8:$FS$154)/SUMPRODUCT(('ANALYSE - ERP =&gt; SOUS-SEGMENT'!$C$8:$C$154=$C38)*'ANALYSE - ERP =&gt; SOUS-SEGMENT'!$Q$8:$Q$154*'ANALYSE - ERP =&gt; SOUS-SEGMENT'!$EX$8:$EX$154),"")</f>
        <v>3.7702388320312363</v>
      </c>
      <c r="FQ38" s="312">
        <f>RANK($FP38,$FP$8:$FP$143,0)+COUNTIF($FP$8:$FP38,$FP38)-1</f>
        <v>3</v>
      </c>
      <c r="FR38" s="865">
        <f>IFERROR(SUMPRODUCT(('ANALYSE - ERP =&gt; SOUS-SEGMENT'!$C$8:$C$154=$C38)*'ANALYSE - ERP =&gt; SOUS-SEGMENT'!$Q$8:$Q$154*'ANALYSE - ERP =&gt; SOUS-SEGMENT'!$EY$8:$EY$154*'ANALYSE - ERP =&gt; SOUS-SEGMENT'!$FU$8:$FU$154)/SUMPRODUCT(('ANALYSE - ERP =&gt; SOUS-SEGMENT'!$C$8:$C$154=$C38)*'ANALYSE - ERP =&gt; SOUS-SEGMENT'!$Q$8:$Q$154*'ANALYSE - ERP =&gt; SOUS-SEGMENT'!$EY$8:$EY$154),"")</f>
        <v>4.6702976589358025</v>
      </c>
      <c r="FS38" s="312">
        <f>RANK($FR38,$FR$8:$FR$143,0)+COUNTIF($FR$8:$FR38,$FR38)-1</f>
        <v>1</v>
      </c>
      <c r="FT38" s="865">
        <f>IFERROR(SUMPRODUCT(('ANALYSE - ERP =&gt; SOUS-SEGMENT'!$C$8:$C$154=$C38)*'ANALYSE - ERP =&gt; SOUS-SEGMENT'!$Q$8:$Q$154*'ANALYSE - ERP =&gt; SOUS-SEGMENT'!$EZ$8:$EZ$154*'ANALYSE - ERP =&gt; SOUS-SEGMENT'!$FW$8:$FW$154)/SUMPRODUCT(('ANALYSE - ERP =&gt; SOUS-SEGMENT'!$C$8:$C$154=$C38)*'ANALYSE - ERP =&gt; SOUS-SEGMENT'!$Q$8:$Q$154*'ANALYSE - ERP =&gt; SOUS-SEGMENT'!$EZ$8:$EZ$154),"")</f>
        <v>2.1916943626215133</v>
      </c>
      <c r="FU38" s="312">
        <f>RANK($FT38,$FT$8:$FT$143,0)+COUNTIF($FT$8:$FT38,$FT38)-1</f>
        <v>18</v>
      </c>
      <c r="FV38" s="657"/>
      <c r="FW38" s="296" t="s">
        <v>7481</v>
      </c>
      <c r="FX38" s="296" t="s">
        <v>7482</v>
      </c>
      <c r="FY38" s="296" t="s">
        <v>7483</v>
      </c>
      <c r="FZ38" s="296" t="s">
        <v>7484</v>
      </c>
      <c r="GA38" s="296" t="s">
        <v>7485</v>
      </c>
      <c r="GB38" s="296" t="s">
        <v>7486</v>
      </c>
      <c r="GC38" s="296" t="s">
        <v>6759</v>
      </c>
      <c r="GD38" s="657"/>
      <c r="GE38" s="311">
        <f>SUMPRODUCT(('ANALYSE - ERP =&gt; SOUS-SEGMENT'!$C$8:$C$154=$C38)*'ANALYSE - ERP =&gt; SOUS-SEGMENT'!$Q$8:$Q$154*'ANALYSE - ERP =&gt; SOUS-SEGMENT'!$GH$8:$GH$154)</f>
        <v>438.48626999999993</v>
      </c>
      <c r="GF38" s="311">
        <f>SUMPRODUCT(('ANALYSE - ERP =&gt; SOUS-SEGMENT'!$C$8:$C$154=$C38)*'ANALYSE - ERP =&gt; SOUS-SEGMENT'!$Q$8:$Q$154*'ANALYSE - ERP =&gt; SOUS-SEGMENT'!$GI$8:$GI$154)</f>
        <v>355.39474999999993</v>
      </c>
      <c r="GG38" s="311">
        <f>SUMPRODUCT(('ANALYSE - ERP =&gt; SOUS-SEGMENT'!$C$8:$C$154=$C38)*'ANALYSE - ERP =&gt; SOUS-SEGMENT'!$Q$8:$Q$154*'ANALYSE - ERP =&gt; SOUS-SEGMENT'!$GJ$8:$GJ$154)</f>
        <v>83.091520000000003</v>
      </c>
      <c r="GH38" s="311">
        <f>SUMPRODUCT(('ANALYSE - ERP =&gt; SOUS-SEGMENT'!$C$8:$C$154=$C38)*'ANALYSE - ERP =&gt; SOUS-SEGMENT'!$Q$8:$Q$154*'ANALYSE - ERP =&gt; SOUS-SEGMENT'!$GK$8:$GK$154)</f>
        <v>4125.2880564545449</v>
      </c>
      <c r="GI38" s="311">
        <f>SUMPRODUCT(('ANALYSE - ERP =&gt; SOUS-SEGMENT'!$C$8:$C$154=$C38)*'ANALYSE - ERP =&gt; SOUS-SEGMENT'!$Q$8:$Q$154*'ANALYSE - ERP =&gt; SOUS-SEGMENT'!$GL$8:$GL$154)</f>
        <v>3241.2657204545449</v>
      </c>
      <c r="GJ38" s="311">
        <f>SUMPRODUCT(('ANALYSE - ERP =&gt; SOUS-SEGMENT'!$C$8:$C$154=$C38)*'ANALYSE - ERP =&gt; SOUS-SEGMENT'!$Q$8:$Q$154*'ANALYSE - ERP =&gt; SOUS-SEGMENT'!$GM$8:$GM$154)</f>
        <v>884.02233600000011</v>
      </c>
      <c r="GK38" s="311">
        <f>SUMPRODUCT(('ANALYSE - ERP =&gt; SOUS-SEGMENT'!$C$8:$C$154=$C38)*'ANALYSE - ERP =&gt; SOUS-SEGMENT'!$Q$8:$Q$154*'ANALYSE - ERP =&gt; SOUS-SEGMENT'!$GN$8:$GN$154)</f>
        <v>852.92525142857141</v>
      </c>
      <c r="GL38" s="311">
        <f>SUMPRODUCT(('ANALYSE - ERP =&gt; SOUS-SEGMENT'!$C$8:$C$154=$C38)*'ANALYSE - ERP =&gt; SOUS-SEGMENT'!$Q$8:$Q$154*'ANALYSE - ERP =&gt; SOUS-SEGMENT'!$GO$8:$GO$154)</f>
        <v>704.36297142857143</v>
      </c>
      <c r="GM38" s="311">
        <f>SUMPRODUCT(('ANALYSE - ERP =&gt; SOUS-SEGMENT'!$C$8:$C$154=$C38)*'ANALYSE - ERP =&gt; SOUS-SEGMENT'!$Q$8:$Q$154*'ANALYSE - ERP =&gt; SOUS-SEGMENT'!$GP$8:$GP$154)</f>
        <v>148.56227999999999</v>
      </c>
      <c r="GN38" s="311">
        <f>SUMPRODUCT(('ANALYSE - ERP =&gt; SOUS-SEGMENT'!$C$8:$C$154=$C38)*'ANALYSE - ERP =&gt; SOUS-SEGMENT'!$Q$8:$Q$154*'ANALYSE - ERP =&gt; SOUS-SEGMENT'!$GQ$8:$GQ$154)</f>
        <v>2536.8334639999998</v>
      </c>
      <c r="GO38" s="311">
        <f>SUMPRODUCT(('ANALYSE - ERP =&gt; SOUS-SEGMENT'!$C$8:$C$154=$C38)*'ANALYSE - ERP =&gt; SOUS-SEGMENT'!$Q$8:$Q$154*'ANALYSE - ERP =&gt; SOUS-SEGMENT'!$GR$8:$GR$154)</f>
        <v>2024.0944</v>
      </c>
      <c r="GP38" s="311">
        <f>SUMPRODUCT(('ANALYSE - ERP =&gt; SOUS-SEGMENT'!$C$8:$C$154=$C38)*'ANALYSE - ERP =&gt; SOUS-SEGMENT'!$Q$8:$Q$154*'ANALYSE - ERP =&gt; SOUS-SEGMENT'!$GS$8:$GS$154)</f>
        <v>512.73906399999998</v>
      </c>
      <c r="GQ38" s="311">
        <f>SUMPRODUCT(('ANALYSE - ERP =&gt; SOUS-SEGMENT'!$C$8:$C$154=$C38)*'ANALYSE - ERP =&gt; SOUS-SEGMENT'!$Q$8:$Q$154*'ANALYSE - ERP =&gt; SOUS-SEGMENT'!$GT$8:$GT$154)</f>
        <v>68.809823999999992</v>
      </c>
      <c r="GR38" s="311">
        <f>SUMPRODUCT(('ANALYSE - ERP =&gt; SOUS-SEGMENT'!$C$8:$C$154=$C38)*'ANALYSE - ERP =&gt; SOUS-SEGMENT'!$Q$8:$Q$154*'ANALYSE - ERP =&gt; SOUS-SEGMENT'!$GU$8:$GU$154)</f>
        <v>64.8</v>
      </c>
      <c r="GS38" s="311">
        <f>SUMPRODUCT(('ANALYSE - ERP =&gt; SOUS-SEGMENT'!$C$8:$C$154=$C38)*'ANALYSE - ERP =&gt; SOUS-SEGMENT'!$Q$8:$Q$154*'ANALYSE - ERP =&gt; SOUS-SEGMENT'!$GV$8:$GV$154)</f>
        <v>4.0098240000000001</v>
      </c>
      <c r="GT38" s="311">
        <f>SUMPRODUCT(('ANALYSE - ERP =&gt; SOUS-SEGMENT'!$C$8:$C$154=$C38)*'ANALYSE - ERP =&gt; SOUS-SEGMENT'!$Q$8:$Q$154*'ANALYSE - ERP =&gt; SOUS-SEGMENT'!$GW$8:$GW$154)</f>
        <v>716.99601600000005</v>
      </c>
      <c r="GU38" s="311">
        <f>SUMPRODUCT(('ANALYSE - ERP =&gt; SOUS-SEGMENT'!$C$8:$C$154=$C38)*'ANALYSE - ERP =&gt; SOUS-SEGMENT'!$Q$8:$Q$154*'ANALYSE - ERP =&gt; SOUS-SEGMENT'!$GX$8:$GX$154)</f>
        <v>664.2</v>
      </c>
      <c r="GV38" s="311">
        <f>SUMPRODUCT(('ANALYSE - ERP =&gt; SOUS-SEGMENT'!$C$8:$C$154=$C38)*'ANALYSE - ERP =&gt; SOUS-SEGMENT'!$Q$8:$Q$154*'ANALYSE - ERP =&gt; SOUS-SEGMENT'!$GY$8:$GY$154)</f>
        <v>52.796016000000002</v>
      </c>
      <c r="GW38" s="311">
        <f>SUMPRODUCT(('ANALYSE - ERP =&gt; SOUS-SEGMENT'!$C$8:$C$154=$C38)*'ANALYSE - ERP =&gt; SOUS-SEGMENT'!$Q$8:$Q$154*'ANALYSE - ERP =&gt; SOUS-SEGMENT'!$GZ$8:$GZ$154)</f>
        <v>115.62456000000002</v>
      </c>
      <c r="GX38" s="311">
        <f>SUMPRODUCT(('ANALYSE - ERP =&gt; SOUS-SEGMENT'!$C$8:$C$154=$C38)*'ANALYSE - ERP =&gt; SOUS-SEGMENT'!$Q$8:$Q$154*'ANALYSE - ERP =&gt; SOUS-SEGMENT'!$HA$8:$HA$154)</f>
        <v>105.60000000000002</v>
      </c>
      <c r="GY38" s="311">
        <f>SUMPRODUCT(('ANALYSE - ERP =&gt; SOUS-SEGMENT'!$C$8:$C$154=$C38)*'ANALYSE - ERP =&gt; SOUS-SEGMENT'!$Q$8:$Q$154*'ANALYSE - ERP =&gt; SOUS-SEGMENT'!$HB$8:$HB$154)</f>
        <v>10.024559999999999</v>
      </c>
      <c r="GZ38" s="311">
        <f>SUMPRODUCT(('ANALYSE - ERP =&gt; SOUS-SEGMENT'!$C$8:$C$154=$C38)*'ANALYSE - ERP =&gt; SOUS-SEGMENT'!$Q$8:$Q$154*'ANALYSE - ERP =&gt; SOUS-SEGMENT'!$HC$8:$HC$154)</f>
        <v>218.49038425000001</v>
      </c>
      <c r="HA38" s="311">
        <f>SUMPRODUCT(('ANALYSE - ERP =&gt; SOUS-SEGMENT'!$C$8:$C$154=$C38)*'ANALYSE - ERP =&gt; SOUS-SEGMENT'!$Q$8:$Q$154*'ANALYSE - ERP =&gt; SOUS-SEGMENT'!$HD$8:$HD$154)</f>
        <v>186.08915625</v>
      </c>
      <c r="HB38" s="311">
        <f>SUMPRODUCT(('ANALYSE - ERP =&gt; SOUS-SEGMENT'!$C$8:$C$154=$C38)*'ANALYSE - ERP =&gt; SOUS-SEGMENT'!$Q$8:$Q$154*'ANALYSE - ERP =&gt; SOUS-SEGMENT'!$HE$8:$HE$154)</f>
        <v>32.401228000000003</v>
      </c>
      <c r="HC38" s="311">
        <f>SUMPRODUCT(('ANALYSE - ERP =&gt; SOUS-SEGMENT'!$C$8:$C$154=$C38)*'ANALYSE - ERP =&gt; SOUS-SEGMENT'!$Q$8:$Q$154*'ANALYSE - ERP =&gt; SOUS-SEGMENT'!$HF$8:$HF$154)</f>
        <v>2925.8483039999996</v>
      </c>
      <c r="HD38" s="311">
        <f>SUMPRODUCT(('ANALYSE - ERP =&gt; SOUS-SEGMENT'!$C$8:$C$154=$C38)*'ANALYSE - ERP =&gt; SOUS-SEGMENT'!$Q$8:$Q$154*'ANALYSE - ERP =&gt; SOUS-SEGMENT'!$HG$8:$HG$154)</f>
        <v>2342.6262000000002</v>
      </c>
      <c r="HE38" s="311">
        <f>SUMPRODUCT(('ANALYSE - ERP =&gt; SOUS-SEGMENT'!$C$8:$C$154=$C38)*'ANALYSE - ERP =&gt; SOUS-SEGMENT'!$Q$8:$Q$154*'ANALYSE - ERP =&gt; SOUS-SEGMENT'!$HH$8:$HH$154)</f>
        <v>583.22210399999994</v>
      </c>
      <c r="HF38" s="311">
        <f>SUMPRODUCT(('ANALYSE - ERP =&gt; SOUS-SEGMENT'!$C$8:$C$154=$C38)*'ANALYSE - ERP =&gt; SOUS-SEGMENT'!$Q$8:$Q$154*'ANALYSE - ERP =&gt; SOUS-SEGMENT'!$HI$8:$HI$154)</f>
        <v>489.48246999999992</v>
      </c>
      <c r="HG38" s="311">
        <f>SUMPRODUCT(('ANALYSE - ERP =&gt; SOUS-SEGMENT'!$C$8:$C$154=$C38)*'ANALYSE - ERP =&gt; SOUS-SEGMENT'!$Q$8:$Q$154*'ANALYSE - ERP =&gt; SOUS-SEGMENT'!$HJ$8:$HJ$154)</f>
        <v>408.47939999999994</v>
      </c>
      <c r="HH38" s="311">
        <f>SUMPRODUCT(('ANALYSE - ERP =&gt; SOUS-SEGMENT'!$C$8:$C$154=$C38)*'ANALYSE - ERP =&gt; SOUS-SEGMENT'!$Q$8:$Q$154*'ANALYSE - ERP =&gt; SOUS-SEGMENT'!$HK$8:$HK$154)</f>
        <v>81.003069999999994</v>
      </c>
      <c r="HI38" s="311">
        <f>SUMPRODUCT(('ANALYSE - ERP =&gt; SOUS-SEGMENT'!$C$8:$C$154=$C38)*'ANALYSE - ERP =&gt; SOUS-SEGMENT'!$Q$8:$Q$154*'ANALYSE - ERP =&gt; SOUS-SEGMENT'!$HL$8:$HL$154)</f>
        <v>671.67176674999996</v>
      </c>
      <c r="HJ38" s="311">
        <f>SUMPRODUCT(('ANALYSE - ERP =&gt; SOUS-SEGMENT'!$C$8:$C$154=$C38)*'ANALYSE - ERP =&gt; SOUS-SEGMENT'!$Q$8:$Q$154*'ANALYSE - ERP =&gt; SOUS-SEGMENT'!$HM$8:$HM$154)</f>
        <v>558.26746874999992</v>
      </c>
      <c r="HK38" s="311">
        <f>SUMPRODUCT(('ANALYSE - ERP =&gt; SOUS-SEGMENT'!$C$8:$C$154=$C38)*'ANALYSE - ERP =&gt; SOUS-SEGMENT'!$Q$8:$Q$154*'ANALYSE - ERP =&gt; SOUS-SEGMENT'!$HN$8:$HN$154)</f>
        <v>113.40429800000001</v>
      </c>
      <c r="HL38" s="311">
        <f>SUMPRODUCT(('ANALYSE - ERP =&gt; SOUS-SEGMENT'!$C$8:$C$154=$C38)*'ANALYSE - ERP =&gt; SOUS-SEGMENT'!$Q$8:$Q$154*'ANALYSE - ERP =&gt; SOUS-SEGMENT'!$HO$8:$HO$154)</f>
        <v>776.44177999999988</v>
      </c>
      <c r="HM38" s="311">
        <f>SUMPRODUCT(('ANALYSE - ERP =&gt; SOUS-SEGMENT'!$C$8:$C$154=$C38)*'ANALYSE - ERP =&gt; SOUS-SEGMENT'!$Q$8:$Q$154*'ANALYSE - ERP =&gt; SOUS-SEGMENT'!$HP$8:$HP$154)</f>
        <v>691.67949999999985</v>
      </c>
      <c r="HN38" s="311">
        <f>SUMPRODUCT(('ANALYSE - ERP =&gt; SOUS-SEGMENT'!$C$8:$C$154=$C38)*'ANALYSE - ERP =&gt; SOUS-SEGMENT'!$Q$8:$Q$154*'ANALYSE - ERP =&gt; SOUS-SEGMENT'!$HQ$8:$HQ$154)</f>
        <v>84.762280000000004</v>
      </c>
      <c r="HO38" s="311">
        <f>SUMPRODUCT(('ANALYSE - ERP =&gt; SOUS-SEGMENT'!$C$8:$C$154=$C38)*'ANALYSE - ERP =&gt; SOUS-SEGMENT'!$Q$8:$Q$154*'ANALYSE - ERP =&gt; SOUS-SEGMENT'!$HR$8:$HR$154)</f>
        <v>4746.8944089999995</v>
      </c>
      <c r="HP38" s="311">
        <f>SUMPRODUCT(('ANALYSE - ERP =&gt; SOUS-SEGMENT'!$C$8:$C$154=$C38)*'ANALYSE - ERP =&gt; SOUS-SEGMENT'!$Q$8:$Q$154*'ANALYSE - ERP =&gt; SOUS-SEGMENT'!$HS$8:$HS$154)</f>
        <v>3696.110025</v>
      </c>
      <c r="HQ38" s="311">
        <f>SUMPRODUCT(('ANALYSE - ERP =&gt; SOUS-SEGMENT'!$C$8:$C$154=$C38)*'ANALYSE - ERP =&gt; SOUS-SEGMENT'!$Q$8:$Q$154*'ANALYSE - ERP =&gt; SOUS-SEGMENT'!$HT$8:$HT$154)</f>
        <v>1050.784384</v>
      </c>
      <c r="HR38" s="311">
        <f>SUMPRODUCT(('ANALYSE - ERP =&gt; SOUS-SEGMENT'!$C$8:$C$154=$C38)*'ANALYSE - ERP =&gt; SOUS-SEGMENT'!$Q$8:$Q$154*'ANALYSE - ERP =&gt; SOUS-SEGMENT'!$HU$8:$HU$154)</f>
        <v>2613.6865217142858</v>
      </c>
      <c r="HS38" s="311">
        <f>SUMPRODUCT(('ANALYSE - ERP =&gt; SOUS-SEGMENT'!$C$8:$C$154=$C38)*'ANALYSE - ERP =&gt; SOUS-SEGMENT'!$Q$8:$Q$154*'ANALYSE - ERP =&gt; SOUS-SEGMENT'!$HV$8:$HV$154)</f>
        <v>2129.1717857142858</v>
      </c>
      <c r="HT38" s="311">
        <f>SUMPRODUCT(('ANALYSE - ERP =&gt; SOUS-SEGMENT'!$C$8:$C$154=$C38)*'ANALYSE - ERP =&gt; SOUS-SEGMENT'!$Q$8:$Q$154*'ANALYSE - ERP =&gt; SOUS-SEGMENT'!$HW$8:$HW$154)</f>
        <v>484.51473600000003</v>
      </c>
      <c r="HV38" s="313">
        <f t="shared" si="40"/>
        <v>0</v>
      </c>
      <c r="HW38" s="313">
        <f>SUMPRODUCT(('ANALYSE - ERP =&gt; SOUS-SEGMENT'!$C$8:$C$154=$C38)*'ANALYSE - ERP =&gt; SOUS-SEGMENT'!$Q$8:$Q$154*'ANALYSE - ERP =&gt; SOUS-SEGMENT'!$HZ$8:$HZ$154)</f>
        <v>8834.3520000000008</v>
      </c>
      <c r="HX38" s="313">
        <f>SUMPRODUCT(('ANALYSE - ERP =&gt; SOUS-SEGMENT'!$C$8:$C$154=$C38)*'ANALYSE - ERP =&gt; SOUS-SEGMENT'!$Q$8:$Q$154*'ANALYSE - ERP =&gt; SOUS-SEGMENT'!$IA$8:$IA$154)</f>
        <v>18739.643</v>
      </c>
      <c r="HY38" s="313">
        <f>SUMPRODUCT(('ANALYSE - ERP =&gt; SOUS-SEGMENT'!$C$8:$C$154=$C38)*'ANALYSE - ERP =&gt; SOUS-SEGMENT'!$Q$8:$Q$154*'ANALYSE - ERP =&gt; SOUS-SEGMENT'!$IB$8:$IB$154)</f>
        <v>3616.0050000000001</v>
      </c>
      <c r="HZ38" s="313">
        <f>SUMPRODUCT(('ANALYSE - ERP =&gt; SOUS-SEGMENT'!$C$8:$C$154=$C38)*'ANALYSE - ERP =&gt; SOUS-SEGMENT'!$Q$8:$Q$154*'ANALYSE - ERP =&gt; SOUS-SEGMENT'!$IC$8:$IC$154)</f>
        <v>0</v>
      </c>
      <c r="IA38" s="313">
        <f>SUMPRODUCT(('ANALYSE - ERP =&gt; SOUS-SEGMENT'!$C$8:$C$154=$C38)*'ANALYSE - ERP =&gt; SOUS-SEGMENT'!$Q$8:$Q$154*'ANALYSE - ERP =&gt; SOUS-SEGMENT'!$ID$8:$ID$154)</f>
        <v>0</v>
      </c>
      <c r="IB38" s="313">
        <f>SUMPRODUCT(('ANALYSE - ERP =&gt; SOUS-SEGMENT'!$C$8:$C$154=$C38)*'ANALYSE - ERP =&gt; SOUS-SEGMENT'!$Q$8:$Q$154*'ANALYSE - ERP =&gt; SOUS-SEGMENT'!$IE$8:$IE$154)</f>
        <v>12842.079152597402</v>
      </c>
      <c r="IC38" s="313">
        <f>SUMPRODUCT(('ANALYSE - ERP =&gt; SOUS-SEGMENT'!$C$8:$C$154=$C38)*'ANALYSE - ERP =&gt; SOUS-SEGMENT'!$Q$8:$Q$154*'ANALYSE - ERP =&gt; SOUS-SEGMENT'!$IF$8:$IF$154)</f>
        <v>3306.6713980963314</v>
      </c>
      <c r="ID38" s="313">
        <f>SUMPRODUCT(('ANALYSE - ERP =&gt; SOUS-SEGMENT'!$C$8:$C$154=$C38)*'ANALYSE - ERP =&gt; SOUS-SEGMENT'!$Q$8:$Q$154*'ANALYSE - ERP =&gt; SOUS-SEGMENT'!$IG$8:$IG$154)</f>
        <v>7410.2165495602267</v>
      </c>
      <c r="IE38" s="313">
        <f>SUMPRODUCT(('ANALYSE - ERP =&gt; SOUS-SEGMENT'!$C$8:$C$154=$C38)*'ANALYSE - ERP =&gt; SOUS-SEGMENT'!$Q$8:$Q$154*'ANALYSE - ERP =&gt; SOUS-SEGMENT'!$IH$8:$IH$154)</f>
        <v>1815.8471028408442</v>
      </c>
      <c r="IF38" s="313">
        <f>SUMPRODUCT(('ANALYSE - ERP =&gt; SOUS-SEGMENT'!$C$8:$C$154=$C38)*'ANALYSE - ERP =&gt; SOUS-SEGMENT'!$Q$8:$Q$154*'ANALYSE - ERP =&gt; SOUS-SEGMENT'!$II$8:$II$154)</f>
        <v>252.87652790714287</v>
      </c>
      <c r="IG38" s="313">
        <f>SUMPRODUCT(('ANALYSE - ERP =&gt; SOUS-SEGMENT'!$C$8:$C$154=$C38)*'ANALYSE - ERP =&gt; SOUS-SEGMENT'!$Q$8:$Q$154*'ANALYSE - ERP =&gt; SOUS-SEGMENT'!$IJ$8:$IJ$154)</f>
        <v>56.467574192857143</v>
      </c>
      <c r="IH38" s="866"/>
      <c r="II38" s="314" t="s">
        <v>2701</v>
      </c>
      <c r="IJ38" s="299" t="s">
        <v>6760</v>
      </c>
      <c r="IK38" s="657"/>
      <c r="IL38" s="747">
        <f>IFERROR(SUMPRODUCT(('ANALYSE - ERP =&gt; SOUS-SEGMENT'!$C$8:$C$154=$C38)*'ANALYSE - ERP =&gt; SOUS-SEGMENT'!$Q$8:$Q$154*'ANALYSE - ERP =&gt; SOUS-SEGMENT'!$BE$8:$BE$154*'ANALYSE - ERP =&gt; SOUS-SEGMENT'!$IO$8:$IO$154)/SUMPRODUCT(('ANALYSE - ERP =&gt; SOUS-SEGMENT'!$C$8:$C$154=$C38)*'ANALYSE - ERP =&gt; SOUS-SEGMENT'!$Q$8:$Q$154*'ANALYSE - ERP =&gt; SOUS-SEGMENT'!$BE$8:$BE$154),0)</f>
        <v>0.27385484693877549</v>
      </c>
      <c r="IM38" s="748">
        <f>IFERROR(SUMPRODUCT(('ANALYSE - ERP =&gt; SOUS-SEGMENT'!$C$8:$C$154=$C38)*'ANALYSE - ERP =&gt; SOUS-SEGMENT'!$Q$8:$Q$154*'ANALYSE - ERP =&gt; SOUS-SEGMENT'!$BE$8:$BE$154*'ANALYSE - ERP =&gt; SOUS-SEGMENT'!$IP$8:$IP$154)/SUMPRODUCT(('ANALYSE - ERP =&gt; SOUS-SEGMENT'!$C$8:$C$154=$C38)*'ANALYSE - ERP =&gt; SOUS-SEGMENT'!$Q$8:$Q$154*'ANALYSE - ERP =&gt; SOUS-SEGMENT'!$BE$8:$BE$154),0)</f>
        <v>0.60535153061224489</v>
      </c>
      <c r="IN38" s="748">
        <f>IFERROR(SUMPRODUCT(('ANALYSE - ERP =&gt; SOUS-SEGMENT'!$C$8:$C$154=$C38)*'ANALYSE - ERP =&gt; SOUS-SEGMENT'!$Q$8:$Q$154*'ANALYSE - ERP =&gt; SOUS-SEGMENT'!$BE$8:$BE$154*'ANALYSE - ERP =&gt; SOUS-SEGMENT'!$IQ$8:$IQ$154)/SUMPRODUCT(('ANALYSE - ERP =&gt; SOUS-SEGMENT'!$C$8:$C$154=$C38)*'ANALYSE - ERP =&gt; SOUS-SEGMENT'!$Q$8:$Q$154*'ANALYSE - ERP =&gt; SOUS-SEGMENT'!$BE$8:$BE$154),0)</f>
        <v>0.12079362244897959</v>
      </c>
      <c r="IO38" s="748">
        <f>IFERROR(SUMPRODUCT(('ANALYSE - ERP =&gt; SOUS-SEGMENT'!$C$8:$C$154=$C38)*'ANALYSE - ERP =&gt; SOUS-SEGMENT'!$Q$8:$Q$154*'ANALYSE - ERP =&gt; SOUS-SEGMENT'!$BE$8:$BE$154*'ANALYSE - ERP =&gt; SOUS-SEGMENT'!$IR$8:$IR$154)/SUMPRODUCT(('ANALYSE - ERP =&gt; SOUS-SEGMENT'!$C$8:$C$154=$C38)*'ANALYSE - ERP =&gt; SOUS-SEGMENT'!$Q$8:$Q$154*'ANALYSE - ERP =&gt; SOUS-SEGMENT'!$BE$8:$BE$154),0)</f>
        <v>0</v>
      </c>
      <c r="IP38" s="749">
        <f>IFERROR(SUMPRODUCT(('ANALYSE - ERP =&gt; SOUS-SEGMENT'!$C$8:$C$154=$C38)*'ANALYSE - ERP =&gt; SOUS-SEGMENT'!$Q$8:$Q$154*'ANALYSE - ERP =&gt; SOUS-SEGMENT'!$BE$8:$BE$154*'ANALYSE - ERP =&gt; SOUS-SEGMENT'!$IS$8:$IS$154)/SUMPRODUCT(('ANALYSE - ERP =&gt; SOUS-SEGMENT'!$C$8:$C$154=$C38)*'ANALYSE - ERP =&gt; SOUS-SEGMENT'!$Q$8:$Q$154*'ANALYSE - ERP =&gt; SOUS-SEGMENT'!$BE$8:$BE$154),0)</f>
        <v>0</v>
      </c>
      <c r="IQ38" s="748">
        <f>IFERROR(SUMPRODUCT(('ANALYSE - ERP =&gt; SOUS-SEGMENT'!$C$8:$C$154=$C38)*'ANALYSE - ERP =&gt; SOUS-SEGMENT'!$Q$8:$Q$154*'ANALYSE - ERP =&gt; SOUS-SEGMENT'!$FB$8:$FB$154*'ANALYSE - ERP =&gt; SOUS-SEGMENT'!$IT$8:$IT$154)/SUMPRODUCT(('ANALYSE - ERP =&gt; SOUS-SEGMENT'!$C$8:$C$154=$C38)*'ANALYSE - ERP =&gt; SOUS-SEGMENT'!$Q$8:$Q$154*'ANALYSE - ERP =&gt; SOUS-SEGMENT'!$FB$8:$FB$154),0)</f>
        <v>0.24846152179834091</v>
      </c>
      <c r="IR38" s="748">
        <f>IFERROR(SUMPRODUCT(('ANALYSE - ERP =&gt; SOUS-SEGMENT'!$C$8:$C$154=$C38)*'ANALYSE - ERP =&gt; SOUS-SEGMENT'!$Q$8:$Q$154*'ANALYSE - ERP =&gt; SOUS-SEGMENT'!$FB$8:$FB$154*'ANALYSE - ERP =&gt; SOUS-SEGMENT'!$IU$8:$IU$154)/SUMPRODUCT(('ANALYSE - ERP =&gt; SOUS-SEGMENT'!$C$8:$C$154=$C38)*'ANALYSE - ERP =&gt; SOUS-SEGMENT'!$Q$8:$Q$154*'ANALYSE - ERP =&gt; SOUS-SEGMENT'!$FB$8:$FB$154),0)</f>
        <v>0.57820021562966661</v>
      </c>
      <c r="IS38" s="748">
        <f>IFERROR(SUMPRODUCT(('ANALYSE - ERP =&gt; SOUS-SEGMENT'!$C$8:$C$154=$C38)*'ANALYSE - ERP =&gt; SOUS-SEGMENT'!$Q$8:$Q$154*'ANALYSE - ERP =&gt; SOUS-SEGMENT'!$FB$8:$FB$154*'ANALYSE - ERP =&gt; SOUS-SEGMENT'!$IV$8:$IV$154)/SUMPRODUCT(('ANALYSE - ERP =&gt; SOUS-SEGMENT'!$C$8:$C$154=$C38)*'ANALYSE - ERP =&gt; SOUS-SEGMENT'!$Q$8:$Q$154*'ANALYSE - ERP =&gt; SOUS-SEGMENT'!$FB$8:$FB$154),0)</f>
        <v>0.14943849677332174</v>
      </c>
      <c r="IT38" s="748">
        <f>IFERROR(SUMPRODUCT(('ANALYSE - ERP =&gt; SOUS-SEGMENT'!$C$8:$C$154=$C38)*'ANALYSE - ERP =&gt; SOUS-SEGMENT'!$Q$8:$Q$154*'ANALYSE - ERP =&gt; SOUS-SEGMENT'!$FB$8:$FB$154*'ANALYSE - ERP =&gt; SOUS-SEGMENT'!$IW$8:$IW$154)/SUMPRODUCT(('ANALYSE - ERP =&gt; SOUS-SEGMENT'!$C$8:$C$154=$C38)*'ANALYSE - ERP =&gt; SOUS-SEGMENT'!$Q$8:$Q$154*'ANALYSE - ERP =&gt; SOUS-SEGMENT'!$FB$8:$FB$154),0)</f>
        <v>1.9537110137008595E-2</v>
      </c>
      <c r="IU38" s="748">
        <f>IFERROR(SUMPRODUCT(('ANALYSE - ERP =&gt; SOUS-SEGMENT'!$C$8:$C$154=$C38)*'ANALYSE - ERP =&gt; SOUS-SEGMENT'!$Q$8:$Q$154*'ANALYSE - ERP =&gt; SOUS-SEGMENT'!$FB$8:$FB$154*'ANALYSE - ERP =&gt; SOUS-SEGMENT'!$IX$8:$IX$154)/SUMPRODUCT(('ANALYSE - ERP =&gt; SOUS-SEGMENT'!$C$8:$C$154=$C38)*'ANALYSE - ERP =&gt; SOUS-SEGMENT'!$Q$8:$Q$154*'ANALYSE - ERP =&gt; SOUS-SEGMENT'!$FB$8:$FB$154),0)</f>
        <v>4.3626556616621131E-3</v>
      </c>
      <c r="IV38" s="772">
        <f>IFERROR(SUMPRODUCT(('ANALYSE - ERP =&gt; SOUS-SEGMENT'!$C$8:$C$154=$C38)*'ANALYSE - ERP =&gt; SOUS-SEGMENT'!$Q$8:$Q$154*'ANALYSE - ERP =&gt; SOUS-SEGMENT'!$BF$8:$BF$154*'ANALYSE - ERP =&gt; SOUS-SEGMENT'!$IY$8:$IY$154)/SUMPRODUCT(('ANALYSE - ERP =&gt; SOUS-SEGMENT'!$C$8:$C$154=$C38)*'ANALYSE - ERP =&gt; SOUS-SEGMENT'!$Q$8:$Q$154*'ANALYSE - ERP =&gt; SOUS-SEGMENT'!$BF$8:$BF$154),0)</f>
        <v>0</v>
      </c>
      <c r="IW38" s="773">
        <f>IFERROR(SUMPRODUCT(('ANALYSE - ERP =&gt; SOUS-SEGMENT'!$C$8:$C$154=$C38)*'ANALYSE - ERP =&gt; SOUS-SEGMENT'!$Q$8:$Q$154*'ANALYSE - ERP =&gt; SOUS-SEGMENT'!$BF$8:$BF$154*'ANALYSE - ERP =&gt; SOUS-SEGMENT'!$IZ$8:$IZ$154)/SUMPRODUCT(('ANALYSE - ERP =&gt; SOUS-SEGMENT'!$C$8:$C$154=$C38)*'ANALYSE - ERP =&gt; SOUS-SEGMENT'!$Q$8:$Q$154*'ANALYSE - ERP =&gt; SOUS-SEGMENT'!$BF$8:$BF$154),0)</f>
        <v>0</v>
      </c>
      <c r="IX38" s="773">
        <f>IFERROR(SUMPRODUCT(('ANALYSE - ERP =&gt; SOUS-SEGMENT'!$C$8:$C$154=$C38)*'ANALYSE - ERP =&gt; SOUS-SEGMENT'!$Q$8:$Q$154*'ANALYSE - ERP =&gt; SOUS-SEGMENT'!$BF$8:$BF$154*'ANALYSE - ERP =&gt; SOUS-SEGMENT'!$JA$8:$JA$154)/SUMPRODUCT(('ANALYSE - ERP =&gt; SOUS-SEGMENT'!$C$8:$C$154=$C38)*'ANALYSE - ERP =&gt; SOUS-SEGMENT'!$Q$8:$Q$154*'ANALYSE - ERP =&gt; SOUS-SEGMENT'!$BF$8:$BF$154),0)</f>
        <v>0</v>
      </c>
      <c r="IY38" s="773">
        <f>IFERROR(SUMPRODUCT(('ANALYSE - ERP =&gt; SOUS-SEGMENT'!$C$8:$C$154=$C38)*'ANALYSE - ERP =&gt; SOUS-SEGMENT'!$Q$8:$Q$154*'ANALYSE - ERP =&gt; SOUS-SEGMENT'!$BF$8:$BF$154*'ANALYSE - ERP =&gt; SOUS-SEGMENT'!$JB$8:$JB$154)/SUMPRODUCT(('ANALYSE - ERP =&gt; SOUS-SEGMENT'!$C$8:$C$154=$C38)*'ANALYSE - ERP =&gt; SOUS-SEGMENT'!$Q$8:$Q$154*'ANALYSE - ERP =&gt; SOUS-SEGMENT'!$BF$8:$BF$154),0)</f>
        <v>0</v>
      </c>
      <c r="IZ38" s="774">
        <f>IFERROR(SUMPRODUCT(('ANALYSE - ERP =&gt; SOUS-SEGMENT'!$C$8:$C$154=$C38)*'ANALYSE - ERP =&gt; SOUS-SEGMENT'!$Q$8:$Q$154*'ANALYSE - ERP =&gt; SOUS-SEGMENT'!$BF$8:$BF$154*'ANALYSE - ERP =&gt; SOUS-SEGMENT'!$JC$8:$JC$154)/SUMPRODUCT(('ANALYSE - ERP =&gt; SOUS-SEGMENT'!$C$8:$C$154=$C38)*'ANALYSE - ERP =&gt; SOUS-SEGMENT'!$Q$8:$Q$154*'ANALYSE - ERP =&gt; SOUS-SEGMENT'!$BF$8:$BF$154),0)</f>
        <v>0</v>
      </c>
      <c r="JA38" s="773">
        <f>IFERROR(SUMPRODUCT(('ANALYSE - ERP =&gt; SOUS-SEGMENT'!$C$8:$C$154=$C38)*'ANALYSE - ERP =&gt; SOUS-SEGMENT'!$Q$8:$Q$154*'ANALYSE - ERP =&gt; SOUS-SEGMENT'!$FE$8:$FE$154*'ANALYSE - ERP =&gt; SOUS-SEGMENT'!$JD$8:$JD$154)/SUMPRODUCT(('ANALYSE - ERP =&gt; SOUS-SEGMENT'!$C$8:$C$154=$C38)*'ANALYSE - ERP =&gt; SOUS-SEGMENT'!$Q$8:$Q$154*'ANALYSE - ERP =&gt; SOUS-SEGMENT'!$FE$8:$FE$154),0)</f>
        <v>0</v>
      </c>
      <c r="JB38" s="773">
        <f>IFERROR(SUMPRODUCT(('ANALYSE - ERP =&gt; SOUS-SEGMENT'!$C$8:$C$154=$C38)*'ANALYSE - ERP =&gt; SOUS-SEGMENT'!$Q$8:$Q$154*'ANALYSE - ERP =&gt; SOUS-SEGMENT'!$FE$8:$FE$154*'ANALYSE - ERP =&gt; SOUS-SEGMENT'!$JE$8:$JE$154)/SUMPRODUCT(('ANALYSE - ERP =&gt; SOUS-SEGMENT'!$C$8:$C$154=$C38)*'ANALYSE - ERP =&gt; SOUS-SEGMENT'!$Q$8:$Q$154*'ANALYSE - ERP =&gt; SOUS-SEGMENT'!$FE$8:$FE$154),0)</f>
        <v>0</v>
      </c>
      <c r="JC38" s="773">
        <f>IFERROR(SUMPRODUCT(('ANALYSE - ERP =&gt; SOUS-SEGMENT'!$C$8:$C$154=$C38)*'ANALYSE - ERP =&gt; SOUS-SEGMENT'!$Q$8:$Q$154*'ANALYSE - ERP =&gt; SOUS-SEGMENT'!$FE$8:$FE$154*'ANALYSE - ERP =&gt; SOUS-SEGMENT'!$JF$8:$JF$154)/SUMPRODUCT(('ANALYSE - ERP =&gt; SOUS-SEGMENT'!$C$8:$C$154=$C38)*'ANALYSE - ERP =&gt; SOUS-SEGMENT'!$Q$8:$Q$154*'ANALYSE - ERP =&gt; SOUS-SEGMENT'!$FE$8:$FE$154),0)</f>
        <v>0</v>
      </c>
      <c r="JD38" s="773">
        <f>IFERROR(SUMPRODUCT(('ANALYSE - ERP =&gt; SOUS-SEGMENT'!$C$8:$C$154=$C38)*'ANALYSE - ERP =&gt; SOUS-SEGMENT'!$Q$8:$Q$154*'ANALYSE - ERP =&gt; SOUS-SEGMENT'!$FE$8:$FE$154*'ANALYSE - ERP =&gt; SOUS-SEGMENT'!$JG$8:$JG$154)/SUMPRODUCT(('ANALYSE - ERP =&gt; SOUS-SEGMENT'!$C$8:$C$154=$C38)*'ANALYSE - ERP =&gt; SOUS-SEGMENT'!$Q$8:$Q$154*'ANALYSE - ERP =&gt; SOUS-SEGMENT'!$FE$8:$FE$154),0)</f>
        <v>0</v>
      </c>
      <c r="JE38" s="773">
        <f>IFERROR(SUMPRODUCT(('ANALYSE - ERP =&gt; SOUS-SEGMENT'!$C$8:$C$154=$C38)*'ANALYSE - ERP =&gt; SOUS-SEGMENT'!$Q$8:$Q$154*'ANALYSE - ERP =&gt; SOUS-SEGMENT'!$FE$8:$FE$154*'ANALYSE - ERP =&gt; SOUS-SEGMENT'!$JH$8:$JH$154)/SUMPRODUCT(('ANALYSE - ERP =&gt; SOUS-SEGMENT'!$C$8:$C$154=$C38)*'ANALYSE - ERP =&gt; SOUS-SEGMENT'!$Q$8:$Q$154*'ANALYSE - ERP =&gt; SOUS-SEGMENT'!$FE$8:$FE$154),0)</f>
        <v>0</v>
      </c>
      <c r="JF38" s="772">
        <f>IFERROR(SUMPRODUCT(('ANALYSE - ERP =&gt; SOUS-SEGMENT'!$C$8:$C$154=$C38)*'ANALYSE - ERP =&gt; SOUS-SEGMENT'!$Q$8:$Q$154*'ANALYSE - ERP =&gt; SOUS-SEGMENT'!$BG$8:$BG$154*'ANALYSE - ERP =&gt; SOUS-SEGMENT'!$JI$8:$JI$154)/SUMPRODUCT(('ANALYSE - ERP =&gt; SOUS-SEGMENT'!$C$8:$C$154=$C38)*'ANALYSE - ERP =&gt; SOUS-SEGMENT'!$Q$8:$Q$154*'ANALYSE - ERP =&gt; SOUS-SEGMENT'!$BG$8:$BG$154),0)</f>
        <v>0</v>
      </c>
      <c r="JG38" s="773">
        <f>IFERROR(SUMPRODUCT(('ANALYSE - ERP =&gt; SOUS-SEGMENT'!$C$8:$C$154=$C38)*'ANALYSE - ERP =&gt; SOUS-SEGMENT'!$Q$8:$Q$154*'ANALYSE - ERP =&gt; SOUS-SEGMENT'!$BG$8:$BG$154*'ANALYSE - ERP =&gt; SOUS-SEGMENT'!$JJ$8:$JJ$154)/SUMPRODUCT(('ANALYSE - ERP =&gt; SOUS-SEGMENT'!$C$8:$C$154=$C38)*'ANALYSE - ERP =&gt; SOUS-SEGMENT'!$Q$8:$Q$154*'ANALYSE - ERP =&gt; SOUS-SEGMENT'!$BG$8:$BG$154),0)</f>
        <v>0</v>
      </c>
      <c r="JH38" s="773">
        <f>IFERROR(SUMPRODUCT(('ANALYSE - ERP =&gt; SOUS-SEGMENT'!$C$8:$C$154=$C38)*'ANALYSE - ERP =&gt; SOUS-SEGMENT'!$Q$8:$Q$154*'ANALYSE - ERP =&gt; SOUS-SEGMENT'!$BG$8:$BG$154*'ANALYSE - ERP =&gt; SOUS-SEGMENT'!$JK$8:$JK$154)/SUMPRODUCT(('ANALYSE - ERP =&gt; SOUS-SEGMENT'!$C$8:$C$154=$C38)*'ANALYSE - ERP =&gt; SOUS-SEGMENT'!$Q$8:$Q$154*'ANALYSE - ERP =&gt; SOUS-SEGMENT'!$BG$8:$BG$154),0)</f>
        <v>0</v>
      </c>
      <c r="JI38" s="773">
        <f>IFERROR(SUMPRODUCT(('ANALYSE - ERP =&gt; SOUS-SEGMENT'!$C$8:$C$154=$C38)*'ANALYSE - ERP =&gt; SOUS-SEGMENT'!$Q$8:$Q$154*'ANALYSE - ERP =&gt; SOUS-SEGMENT'!$BG$8:$BG$154*'ANALYSE - ERP =&gt; SOUS-SEGMENT'!$JL$8:$JL$154)/SUMPRODUCT(('ANALYSE - ERP =&gt; SOUS-SEGMENT'!$C$8:$C$154=$C38)*'ANALYSE - ERP =&gt; SOUS-SEGMENT'!$Q$8:$Q$154*'ANALYSE - ERP =&gt; SOUS-SEGMENT'!$BG$8:$BG$154),0)</f>
        <v>0</v>
      </c>
      <c r="JJ38" s="774">
        <f>IFERROR(SUMPRODUCT(('ANALYSE - ERP =&gt; SOUS-SEGMENT'!$C$8:$C$154=$C38)*'ANALYSE - ERP =&gt; SOUS-SEGMENT'!$Q$8:$Q$154*'ANALYSE - ERP =&gt; SOUS-SEGMENT'!$BG$8:$BG$154*'ANALYSE - ERP =&gt; SOUS-SEGMENT'!$JM$8:$JM$154)/SUMPRODUCT(('ANALYSE - ERP =&gt; SOUS-SEGMENT'!$C$8:$C$154=$C38)*'ANALYSE - ERP =&gt; SOUS-SEGMENT'!$Q$8:$Q$154*'ANALYSE - ERP =&gt; SOUS-SEGMENT'!$BG$8:$BG$154),0)</f>
        <v>0</v>
      </c>
      <c r="JK38" s="773">
        <f>IFERROR(SUMPRODUCT(('ANALYSE - ERP =&gt; SOUS-SEGMENT'!$C$8:$C$154=$C38)*'ANALYSE - ERP =&gt; SOUS-SEGMENT'!$Q$8:$Q$154*'ANALYSE - ERP =&gt; SOUS-SEGMENT'!$FH$8:$FH$154*'ANALYSE - ERP =&gt; SOUS-SEGMENT'!$JN$8:$JN$154)/SUMPRODUCT(('ANALYSE - ERP =&gt; SOUS-SEGMENT'!$C$8:$C$154=$C38)*'ANALYSE - ERP =&gt; SOUS-SEGMENT'!$Q$8:$Q$154*'ANALYSE - ERP =&gt; SOUS-SEGMENT'!$FH$8:$FH$154),0)</f>
        <v>0</v>
      </c>
      <c r="JL38" s="773">
        <f>IFERROR(SUMPRODUCT(('ANALYSE - ERP =&gt; SOUS-SEGMENT'!$C$8:$C$154=$C38)*'ANALYSE - ERP =&gt; SOUS-SEGMENT'!$Q$8:$Q$154*'ANALYSE - ERP =&gt; SOUS-SEGMENT'!$FH$8:$FH$154*'ANALYSE - ERP =&gt; SOUS-SEGMENT'!$JO$8:$JO$154)/SUMPRODUCT(('ANALYSE - ERP =&gt; SOUS-SEGMENT'!$C$8:$C$154=$C38)*'ANALYSE - ERP =&gt; SOUS-SEGMENT'!$Q$8:$Q$154*'ANALYSE - ERP =&gt; SOUS-SEGMENT'!$FH$8:$FH$154),0)</f>
        <v>0</v>
      </c>
      <c r="JM38" s="773">
        <f>IFERROR(SUMPRODUCT(('ANALYSE - ERP =&gt; SOUS-SEGMENT'!$C$8:$C$154=$C38)*'ANALYSE - ERP =&gt; SOUS-SEGMENT'!$Q$8:$Q$154*'ANALYSE - ERP =&gt; SOUS-SEGMENT'!$FH$8:$FH$154*'ANALYSE - ERP =&gt; SOUS-SEGMENT'!$JP$8:$JP$154)/SUMPRODUCT(('ANALYSE - ERP =&gt; SOUS-SEGMENT'!$C$8:$C$154=$C38)*'ANALYSE - ERP =&gt; SOUS-SEGMENT'!$Q$8:$Q$154*'ANALYSE - ERP =&gt; SOUS-SEGMENT'!$FH$8:$FH$154),0)</f>
        <v>0</v>
      </c>
      <c r="JN38" s="773">
        <f>IFERROR(SUMPRODUCT(('ANALYSE - ERP =&gt; SOUS-SEGMENT'!$C$8:$C$154=$C38)*'ANALYSE - ERP =&gt; SOUS-SEGMENT'!$Q$8:$Q$154*'ANALYSE - ERP =&gt; SOUS-SEGMENT'!$FH$8:$FH$154*'ANALYSE - ERP =&gt; SOUS-SEGMENT'!$JQ$8:$JQ$154)/SUMPRODUCT(('ANALYSE - ERP =&gt; SOUS-SEGMENT'!$C$8:$C$154=$C38)*'ANALYSE - ERP =&gt; SOUS-SEGMENT'!$Q$8:$Q$154*'ANALYSE - ERP =&gt; SOUS-SEGMENT'!$FH$8:$FH$154),0)</f>
        <v>0</v>
      </c>
      <c r="JO38" s="748">
        <f>IFERROR(SUMPRODUCT(('ANALYSE - ERP =&gt; SOUS-SEGMENT'!$C$8:$C$154=$C38)*'ANALYSE - ERP =&gt; SOUS-SEGMENT'!$Q$8:$Q$154*'ANALYSE - ERP =&gt; SOUS-SEGMENT'!$FH$8:$FH$154*'ANALYSE - ERP =&gt; SOUS-SEGMENT'!$JR$8:$JR$154)/SUMPRODUCT(('ANALYSE - ERP =&gt; SOUS-SEGMENT'!$C$8:$C$154=$C38)*'ANALYSE - ERP =&gt; SOUS-SEGMENT'!$Q$8:$Q$154*'ANALYSE - ERP =&gt; SOUS-SEGMENT'!$FH$8:$FH$154),0)</f>
        <v>0</v>
      </c>
      <c r="JP38" s="771">
        <f>IFERROR(SUMPRODUCT(('ANALYSE - ERP =&gt; SOUS-SEGMENT'!$C$8:$C$154=$C38)*'ANALYSE - ERP =&gt; SOUS-SEGMENT'!$Q$8:$Q$154*'ANALYSE - ERP =&gt; SOUS-SEGMENT'!$BH$8:$BH$154*'ANALYSE - ERP =&gt; SOUS-SEGMENT'!$JS$8:$JS$154)/SUMPRODUCT(('ANALYSE - ERP =&gt; SOUS-SEGMENT'!$C$8:$C$154=$C38)*'ANALYSE - ERP =&gt; SOUS-SEGMENT'!$Q$8:$Q$154*'ANALYSE - ERP =&gt; SOUS-SEGMENT'!$BH$8:$BH$154),0)</f>
        <v>0.29273423597678916</v>
      </c>
      <c r="JQ38" s="748">
        <f>IFERROR(SUMPRODUCT(('ANALYSE - ERP =&gt; SOUS-SEGMENT'!$C$8:$C$154=$C38)*'ANALYSE - ERP =&gt; SOUS-SEGMENT'!$Q$8:$Q$154*'ANALYSE - ERP =&gt; SOUS-SEGMENT'!$BH$8:$BH$154*'ANALYSE - ERP =&gt; SOUS-SEGMENT'!$JT$8:$JT$154)/SUMPRODUCT(('ANALYSE - ERP =&gt; SOUS-SEGMENT'!$C$8:$C$154=$C38)*'ANALYSE - ERP =&gt; SOUS-SEGMENT'!$Q$8:$Q$154*'ANALYSE - ERP =&gt; SOUS-SEGMENT'!$BH$8:$BH$154),0)</f>
        <v>0.59624313346228242</v>
      </c>
      <c r="JR38" s="748">
        <f>IFERROR(SUMPRODUCT(('ANALYSE - ERP =&gt; SOUS-SEGMENT'!$C$8:$C$154=$C38)*'ANALYSE - ERP =&gt; SOUS-SEGMENT'!$Q$8:$Q$154*'ANALYSE - ERP =&gt; SOUS-SEGMENT'!$BH$8:$BH$154*'ANALYSE - ERP =&gt; SOUS-SEGMENT'!$JU$8:$JU$154)/SUMPRODUCT(('ANALYSE - ERP =&gt; SOUS-SEGMENT'!$C$8:$C$154=$C38)*'ANALYSE - ERP =&gt; SOUS-SEGMENT'!$Q$8:$Q$154*'ANALYSE - ERP =&gt; SOUS-SEGMENT'!$BH$8:$BH$154),0)</f>
        <v>0.11102263056092844</v>
      </c>
      <c r="JS38" s="748">
        <f>IFERROR(SUMPRODUCT(('ANALYSE - ERP =&gt; SOUS-SEGMENT'!$C$8:$C$154=$C38)*'ANALYSE - ERP =&gt; SOUS-SEGMENT'!$Q$8:$Q$154*'ANALYSE - ERP =&gt; SOUS-SEGMENT'!$BH$8:$BH$154*'ANALYSE - ERP =&gt; SOUS-SEGMENT'!$JV$8:$JV$154)/SUMPRODUCT(('ANALYSE - ERP =&gt; SOUS-SEGMENT'!$C$8:$C$154=$C38)*'ANALYSE - ERP =&gt; SOUS-SEGMENT'!$Q$8:$Q$154*'ANALYSE - ERP =&gt; SOUS-SEGMENT'!$BH$8:$BH$154),0)</f>
        <v>0</v>
      </c>
      <c r="JT38" s="749">
        <f>IFERROR(SUMPRODUCT(('ANALYSE - ERP =&gt; SOUS-SEGMENT'!$C$8:$C$154=$C38)*'ANALYSE - ERP =&gt; SOUS-SEGMENT'!$Q$8:$Q$154*'ANALYSE - ERP =&gt; SOUS-SEGMENT'!$BH$8:$BH$154*'ANALYSE - ERP =&gt; SOUS-SEGMENT'!$JW$8:$JW$154)/SUMPRODUCT(('ANALYSE - ERP =&gt; SOUS-SEGMENT'!$C$8:$C$154=$C38)*'ANALYSE - ERP =&gt; SOUS-SEGMENT'!$Q$8:$Q$154*'ANALYSE - ERP =&gt; SOUS-SEGMENT'!$BH$8:$BH$154),0)</f>
        <v>0</v>
      </c>
      <c r="JU38" s="771">
        <f>IFERROR(SUMPRODUCT(('ANALYSE - ERP =&gt; SOUS-SEGMENT'!$C$8:$C$154=$C38)*'ANALYSE - ERP =&gt; SOUS-SEGMENT'!$Q$8:$Q$154*'ANALYSE - ERP =&gt; SOUS-SEGMENT'!$FK$8:$FK$154*'ANALYSE - ERP =&gt; SOUS-SEGMENT'!$JX$8:$JX$154)/SUMPRODUCT(('ANALYSE - ERP =&gt; SOUS-SEGMENT'!$C$8:$C$154=$C38)*'ANALYSE - ERP =&gt; SOUS-SEGMENT'!$Q$8:$Q$154*'ANALYSE - ERP =&gt; SOUS-SEGMENT'!$FK$8:$FK$154),0)</f>
        <v>0.2662472448157035</v>
      </c>
      <c r="JV38" s="748">
        <f>IFERROR(SUMPRODUCT(('ANALYSE - ERP =&gt; SOUS-SEGMENT'!$C$8:$C$154=$C38)*'ANALYSE - ERP =&gt; SOUS-SEGMENT'!$Q$8:$Q$154*'ANALYSE - ERP =&gt; SOUS-SEGMENT'!$FK$8:$FK$154*'ANALYSE - ERP =&gt; SOUS-SEGMENT'!$JY$8:$JY$154)/SUMPRODUCT(('ANALYSE - ERP =&gt; SOUS-SEGMENT'!$C$8:$C$154=$C38)*'ANALYSE - ERP =&gt; SOUS-SEGMENT'!$Q$8:$Q$154*'ANALYSE - ERP =&gt; SOUS-SEGMENT'!$FK$8:$FK$154),0)</f>
        <v>0.57588680837035833</v>
      </c>
      <c r="JW38" s="748">
        <f>IFERROR(SUMPRODUCT(('ANALYSE - ERP =&gt; SOUS-SEGMENT'!$C$8:$C$154=$C38)*'ANALYSE - ERP =&gt; SOUS-SEGMENT'!$Q$8:$Q$154*'ANALYSE - ERP =&gt; SOUS-SEGMENT'!$FK$8:$FK$154*'ANALYSE - ERP =&gt; SOUS-SEGMENT'!$JZ$8:$JZ$154)/SUMPRODUCT(('ANALYSE - ERP =&gt; SOUS-SEGMENT'!$C$8:$C$154=$C38)*'ANALYSE - ERP =&gt; SOUS-SEGMENT'!$Q$8:$Q$154*'ANALYSE - ERP =&gt; SOUS-SEGMENT'!$FK$8:$FK$154),0)</f>
        <v>0.13359462472246741</v>
      </c>
      <c r="JX38" s="748">
        <f>IFERROR(SUMPRODUCT(('ANALYSE - ERP =&gt; SOUS-SEGMENT'!$C$8:$C$154=$C38)*'ANALYSE - ERP =&gt; SOUS-SEGMENT'!$Q$8:$Q$154*'ANALYSE - ERP =&gt; SOUS-SEGMENT'!$FK$8:$FK$154*'ANALYSE - ERP =&gt; SOUS-SEGMENT'!$KA$8:$KA$154)/SUMPRODUCT(('ANALYSE - ERP =&gt; SOUS-SEGMENT'!$C$8:$C$154=$C38)*'ANALYSE - ERP =&gt; SOUS-SEGMENT'!$Q$8:$Q$154*'ANALYSE - ERP =&gt; SOUS-SEGMENT'!$FK$8:$FK$154),0)</f>
        <v>1.9840842662075323E-2</v>
      </c>
      <c r="JY38" s="775">
        <f>IFERROR(SUMPRODUCT(('ANALYSE - ERP =&gt; SOUS-SEGMENT'!$C$8:$C$154=$C38)*'ANALYSE - ERP =&gt; SOUS-SEGMENT'!$Q$8:$Q$154*'ANALYSE - ERP =&gt; SOUS-SEGMENT'!$FK$8:$FK$154*'ANALYSE - ERP =&gt; SOUS-SEGMENT'!$KB$8:$KB$154)/SUMPRODUCT(('ANALYSE - ERP =&gt; SOUS-SEGMENT'!$C$8:$C$154=$C38)*'ANALYSE - ERP =&gt; SOUS-SEGMENT'!$Q$8:$Q$154*'ANALYSE - ERP =&gt; SOUS-SEGMENT'!$FK$8:$FK$154),0)</f>
        <v>4.4304794293954595E-3</v>
      </c>
      <c r="JZ38" s="657"/>
      <c r="KA38" s="314" t="s">
        <v>2590</v>
      </c>
      <c r="KB38" s="314" t="s">
        <v>2591</v>
      </c>
      <c r="KC38" s="866" t="str">
        <f>IFERROR(SUMPRODUCT(('ANALYSE - ERP =&gt; SOUS-SEGMENT'!$C$8:$C$154=$C39)*'ANALYSE - ERP =&gt; SOUS-SEGMENT'!$Q$8:$Q$154*'ANALYSE - ERP =&gt; SOUS-SEGMENT'!$EX$8:$EX$154*'ANALYSE - ERP =&gt; SOUS-SEGMENT'!$KF$8:$KF$154)/SUMPRODUCT(('ANALYSE - ERP =&gt; SOUS-SEGMENT'!$C$8:$C$154=$C39)*'ANALYSE - ERP =&gt; SOUS-SEGMENT'!$Q$8:$Q$154*'ANALYSE - ERP =&gt; SOUS-SEGMENT'!$EX$8:$EX$154),"")</f>
        <v/>
      </c>
      <c r="KD38" s="314" t="s">
        <v>2589</v>
      </c>
      <c r="KE38" s="315" t="s">
        <v>5212</v>
      </c>
      <c r="KF38" s="617" t="s">
        <v>6760</v>
      </c>
      <c r="KG38" s="315" t="s">
        <v>6760</v>
      </c>
    </row>
    <row r="39" spans="1:293" s="933" customFormat="1" ht="48" customHeight="1">
      <c r="A39" s="623">
        <v>9</v>
      </c>
      <c r="B39" s="624" t="s">
        <v>2241</v>
      </c>
      <c r="C39" s="624" t="s">
        <v>1090</v>
      </c>
      <c r="D39" s="624" t="s">
        <v>7487</v>
      </c>
      <c r="E39" s="625" t="s">
        <v>2256</v>
      </c>
      <c r="F39" s="625" t="s">
        <v>300</v>
      </c>
      <c r="G39" s="625" t="s">
        <v>300</v>
      </c>
      <c r="H39" s="625" t="s">
        <v>2109</v>
      </c>
      <c r="I39" s="290" t="s">
        <v>7488</v>
      </c>
      <c r="J39" s="290" t="s">
        <v>7489</v>
      </c>
      <c r="K39" s="626" t="s">
        <v>2109</v>
      </c>
      <c r="L39" s="626" t="s">
        <v>2109</v>
      </c>
      <c r="M39" s="626" t="s">
        <v>2603</v>
      </c>
      <c r="N39" s="626" t="s">
        <v>6742</v>
      </c>
      <c r="O39" s="625" t="s">
        <v>2616</v>
      </c>
      <c r="P39" s="290"/>
      <c r="Q39" s="627">
        <f>IF(SUMPRODUCT(('ANALYSE - ERP =&gt; SOUS-SEGMENT'!$C$8:$C$154=$C39)*'ANALYSE - ERP =&gt; SOUS-SEGMENT'!$Q$8:$Q$154)&gt;0,1,0)</f>
        <v>0</v>
      </c>
      <c r="R39" s="280" t="str">
        <f>IFERROR(SUMPRODUCT(('ANALYSE - ERP =&gt; SOUS-SEGMENT'!$C$8:$C$154=$C39)*'ANALYSE - ERP =&gt; SOUS-SEGMENT'!$Q$8:$Q$154*'ANALYSE - ERP =&gt; SOUS-SEGMENT'!$AG$8:$AG$154*'ANALYSE - ERP =&gt; SOUS-SEGMENT'!$R$8:$R$154)/SUMPRODUCT(('ANALYSE - ERP =&gt; SOUS-SEGMENT'!$C$8:$C$154=$C39)*'ANALYSE - ERP =&gt; SOUS-SEGMENT'!$Q$8:$Q$154*'ANALYSE - ERP =&gt; SOUS-SEGMENT'!$AG$8:$AG$154),"")</f>
        <v/>
      </c>
      <c r="S39" s="628">
        <f>SUMPRODUCT(('ANALYSE - ERP =&gt; SOUS-SEGMENT'!$C$8:$C$154=$C39)*'ANALYSE - ERP =&gt; SOUS-SEGMENT'!$Q$8:$Q$154*'ANALYSE - ERP =&gt; SOUS-SEGMENT'!$S$8:$S$154)</f>
        <v>0</v>
      </c>
      <c r="T39" s="628">
        <f>SUMPRODUCT(('ANALYSE - ERP =&gt; SOUS-SEGMENT'!$C$8:$C$154=$C39)*'ANALYSE - ERP =&gt; SOUS-SEGMENT'!$Q$8:$Q$154*'ANALYSE - ERP =&gt; SOUS-SEGMENT'!$T$8:$T$154)</f>
        <v>0</v>
      </c>
      <c r="U39" s="628">
        <f>SUMPRODUCT(('ANALYSE - ERP =&gt; SOUS-SEGMENT'!$C$8:$C$154=$C39)*'ANALYSE - ERP =&gt; SOUS-SEGMENT'!$Q$8:$Q$154*'ANALYSE - ERP =&gt; SOUS-SEGMENT'!$U$8:$U$154)</f>
        <v>0</v>
      </c>
      <c r="V39" s="628">
        <f>SUMPRODUCT(('ANALYSE - ERP =&gt; SOUS-SEGMENT'!$C$8:$C$154=$C39)*'ANALYSE - ERP =&gt; SOUS-SEGMENT'!$Q$8:$Q$154*'ANALYSE - ERP =&gt; SOUS-SEGMENT'!$V$8:$V$154)</f>
        <v>0</v>
      </c>
      <c r="W39" s="628">
        <f>SUMPRODUCT(('ANALYSE - ERP =&gt; SOUS-SEGMENT'!$C$8:$C$154=$C39)*'ANALYSE - ERP =&gt; SOUS-SEGMENT'!$Q$8:$Q$154*'ANALYSE - ERP =&gt; SOUS-SEGMENT'!$W$8:$W$154)</f>
        <v>0</v>
      </c>
      <c r="X39" s="628">
        <f>SUMPRODUCT(('ANALYSE - ERP =&gt; SOUS-SEGMENT'!$C$8:$C$154=$C39)*'ANALYSE - ERP =&gt; SOUS-SEGMENT'!$Q$8:$Q$154*'ANALYSE - ERP =&gt; SOUS-SEGMENT'!$X$8:$X$154)</f>
        <v>0</v>
      </c>
      <c r="Y39" s="628">
        <f>SUMPRODUCT(('ANALYSE - ERP =&gt; SOUS-SEGMENT'!$C$8:$C$154=$C39)*'ANALYSE - ERP =&gt; SOUS-SEGMENT'!$Q$8:$Q$154*'ANALYSE - ERP =&gt; SOUS-SEGMENT'!$Y$8:$Y$154)</f>
        <v>0</v>
      </c>
      <c r="Z39" s="628">
        <f>SUMPRODUCT(('ANALYSE - ERP =&gt; SOUS-SEGMENT'!$C$8:$C$154=$C39)*'ANALYSE - ERP =&gt; SOUS-SEGMENT'!$Q$8:$Q$154*'ANALYSE - ERP =&gt; SOUS-SEGMENT'!$Z$8:$Z$154)</f>
        <v>0</v>
      </c>
      <c r="AA39" s="628">
        <f>SUMPRODUCT(('ANALYSE - ERP =&gt; SOUS-SEGMENT'!$C$8:$C$154=$C39)*'ANALYSE - ERP =&gt; SOUS-SEGMENT'!$Q$8:$Q$154*'ANALYSE - ERP =&gt; SOUS-SEGMENT'!$AA$8:$AA$154)</f>
        <v>0</v>
      </c>
      <c r="AB39" s="628">
        <f>SUMPRODUCT(('ANALYSE - ERP =&gt; SOUS-SEGMENT'!$C$8:$C$154=$C39)*'ANALYSE - ERP =&gt; SOUS-SEGMENT'!$Q$8:$Q$154*'ANALYSE - ERP =&gt; SOUS-SEGMENT'!$AB$8:$AB$154)</f>
        <v>0</v>
      </c>
      <c r="AC39" s="628">
        <f>SUMPRODUCT(('ANALYSE - ERP =&gt; SOUS-SEGMENT'!$C$8:$C$154=$C39)*'ANALYSE - ERP =&gt; SOUS-SEGMENT'!$Q$8:$Q$154*'ANALYSE - ERP =&gt; SOUS-SEGMENT'!$AC$8:$AC$154)</f>
        <v>0</v>
      </c>
      <c r="AD39" s="628">
        <f>SUMPRODUCT(('ANALYSE - ERP =&gt; SOUS-SEGMENT'!$C$8:$C$154=$C39)*'ANALYSE - ERP =&gt; SOUS-SEGMENT'!$Q$8:$Q$154*'ANALYSE - ERP =&gt; SOUS-SEGMENT'!$AD$8:$AD$154)</f>
        <v>0</v>
      </c>
      <c r="AE39" s="628">
        <f>SUMPRODUCT(('ANALYSE - ERP =&gt; SOUS-SEGMENT'!$C$8:$C$154=$C39)*'ANALYSE - ERP =&gt; SOUS-SEGMENT'!$Q$8:$Q$154*'ANALYSE - ERP =&gt; SOUS-SEGMENT'!$AE$8:$AE$154)</f>
        <v>0</v>
      </c>
      <c r="AF39" s="628">
        <f>SUMPRODUCT(('ANALYSE - ERP =&gt; SOUS-SEGMENT'!$C$8:$C$154=$C39)*'ANALYSE - ERP =&gt; SOUS-SEGMENT'!$Q$8:$Q$154*'ANALYSE - ERP =&gt; SOUS-SEGMENT'!$AF$8:$AF$154)</f>
        <v>0</v>
      </c>
      <c r="AG39" s="628">
        <f>SUMPRODUCT(('ANALYSE - ERP =&gt; SOUS-SEGMENT'!$C$8:$C$154=$C39)*'ANALYSE - ERP =&gt; SOUS-SEGMENT'!$Q$8:$Q$154*'ANALYSE - ERP =&gt; SOUS-SEGMENT'!$AG$8:$AG$154)</f>
        <v>0</v>
      </c>
      <c r="AH39" s="628">
        <f>SUMPRODUCT(('ANALYSE - ERP =&gt; SOUS-SEGMENT'!$C$8:$C$154=$C39)*'ANALYSE - ERP =&gt; SOUS-SEGMENT'!$Q$8:$Q$154*'ANALYSE - ERP =&gt; SOUS-SEGMENT'!$AH$8:$AH$154)</f>
        <v>0</v>
      </c>
      <c r="AI39" s="628">
        <f>SUMPRODUCT(('ANALYSE - ERP =&gt; SOUS-SEGMENT'!$C$8:$C$154=$C39)*'ANALYSE - ERP =&gt; SOUS-SEGMENT'!$Q$8:$Q$154*'ANALYSE - ERP =&gt; SOUS-SEGMENT'!$AI$8:$AI$154)</f>
        <v>0</v>
      </c>
      <c r="AJ39" s="628">
        <f>SUMPRODUCT(('ANALYSE - ERP =&gt; SOUS-SEGMENT'!$C$8:$C$154=$C39)*'ANALYSE - ERP =&gt; SOUS-SEGMENT'!$Q$8:$Q$154*'ANALYSE - ERP =&gt; SOUS-SEGMENT'!$AJ$8:$AJ$154)</f>
        <v>0</v>
      </c>
      <c r="AK39" s="628">
        <f>SUMPRODUCT(('ANALYSE - ERP =&gt; SOUS-SEGMENT'!$C$8:$C$154=$C39)*'ANALYSE - ERP =&gt; SOUS-SEGMENT'!$Q$8:$Q$154*'ANALYSE - ERP =&gt; SOUS-SEGMENT'!$AK$8:$AK$154)</f>
        <v>0</v>
      </c>
      <c r="AL39" s="290" t="s">
        <v>7471</v>
      </c>
      <c r="AM39" s="290" t="s">
        <v>7472</v>
      </c>
      <c r="AN39" s="290" t="s">
        <v>7490</v>
      </c>
      <c r="AO39" s="657"/>
      <c r="AP39" s="280" t="str">
        <f>IFERROR(SUMPRODUCT(('ANALYSE - ERP =&gt; SOUS-SEGMENT'!$C$8:$C$154=$C39)*'ANALYSE - ERP =&gt; SOUS-SEGMENT'!$Q$8:$Q$154*'ANALYSE - ERP =&gt; SOUS-SEGMENT'!$AG$8:$AG$154*'ANALYSE - ERP =&gt; SOUS-SEGMENT'!$AP$8:$AP$154)/SUMPRODUCT(('ANALYSE - ERP =&gt; SOUS-SEGMENT'!$C$8:$C$154=$C39)*'ANALYSE - ERP =&gt; SOUS-SEGMENT'!$Q$8:$Q$154*'ANALYSE - ERP =&gt; SOUS-SEGMENT'!$AG$8:$AG$154),"")</f>
        <v/>
      </c>
      <c r="AQ39" s="280" t="str">
        <f>IFERROR(SUMPRODUCT(('ANALYSE - ERP =&gt; SOUS-SEGMENT'!$C$8:$C$154=$C39)*'ANALYSE - ERP =&gt; SOUS-SEGMENT'!$Q$8:$Q$154*'ANALYSE - ERP =&gt; SOUS-SEGMENT'!$AF$8:$AF$154*'ANALYSE - ERP =&gt; SOUS-SEGMENT'!$AQ$8:$AQ$154)/SUMPRODUCT(('ANALYSE - ERP =&gt; SOUS-SEGMENT'!$C$8:$C$154=$C39)*'ANALYSE - ERP =&gt; SOUS-SEGMENT'!$Q$8:$Q$154*'ANALYSE - ERP =&gt; SOUS-SEGMENT'!$AF$8:$AF$154),"")</f>
        <v/>
      </c>
      <c r="AR39" s="280" t="str">
        <f>IFERROR(SUMPRODUCT(('ANALYSE - ERP =&gt; SOUS-SEGMENT'!$C$8:$C$154=$C39)*'ANALYSE - ERP =&gt; SOUS-SEGMENT'!$Q$8:$Q$154*'ANALYSE - ERP =&gt; SOUS-SEGMENT'!$AF$8:$AF$154*'ANALYSE - ERP =&gt; SOUS-SEGMENT'!$AR$8:$AR$154)/SUMPRODUCT(('ANALYSE - ERP =&gt; SOUS-SEGMENT'!$C$8:$C$154=$C39)*'ANALYSE - ERP =&gt; SOUS-SEGMENT'!$Q$8:$Q$154*'ANALYSE - ERP =&gt; SOUS-SEGMENT'!$AF$8:$AF$154),"")</f>
        <v/>
      </c>
      <c r="AS39" s="280" t="str">
        <f>IFERROR(SUMPRODUCT(('ANALYSE - ERP =&gt; SOUS-SEGMENT'!$C$8:$C$154=$C39)*'ANALYSE - ERP =&gt; SOUS-SEGMENT'!$Q$8:$Q$154*'ANALYSE - ERP =&gt; SOUS-SEGMENT'!$AF$8:$AF$154*'ANALYSE - ERP =&gt; SOUS-SEGMENT'!$AS$8:$AS$154)/SUMPRODUCT(('ANALYSE - ERP =&gt; SOUS-SEGMENT'!$C$8:$C$154=$C39)*'ANALYSE - ERP =&gt; SOUS-SEGMENT'!$Q$8:$Q$154*'ANALYSE - ERP =&gt; SOUS-SEGMENT'!$AF$8:$AF$154),"")</f>
        <v/>
      </c>
      <c r="AT39" s="657" t="s">
        <v>7491</v>
      </c>
      <c r="AU39" s="301" t="s">
        <v>7492</v>
      </c>
      <c r="AV39" s="302" t="s">
        <v>3299</v>
      </c>
      <c r="AW39" s="301"/>
      <c r="AX39" s="657"/>
      <c r="AY39" s="303" t="str">
        <f>IFERROR(SUMPRODUCT(('ANALYSE - ERP =&gt; SOUS-SEGMENT'!$C$8:$C$154=$C39)*'ANALYSE - ERP =&gt; SOUS-SEGMENT'!$Q$8:$Q$154*'ANALYSE - ERP =&gt; SOUS-SEGMENT'!$AF$8:$AF$154*'ANALYSE - ERP =&gt; SOUS-SEGMENT'!$AZ$8:$AZ$154)/SUMPRODUCT(('ANALYSE - ERP =&gt; SOUS-SEGMENT'!$C$8:$C$154=$C39)*'ANALYSE - ERP =&gt; SOUS-SEGMENT'!$Q$8:$Q$154*'ANALYSE - ERP =&gt; SOUS-SEGMENT'!$AF$8:$AF$154),"")</f>
        <v/>
      </c>
      <c r="AZ39" s="948" t="str">
        <f>IFERROR(SUMPRODUCT(('ANALYSE - ERP =&gt; SOUS-SEGMENT'!$C$8:$C$154=$C39)*'ANALYSE - ERP =&gt; SOUS-SEGMENT'!$Q$8:$Q$154*'ANALYSE - ERP =&gt; SOUS-SEGMENT'!$AF$8:$AF$154*'ANALYSE - ERP =&gt; SOUS-SEGMENT'!$BA$8:$BA$154)/SUMPRODUCT(('ANALYSE - ERP =&gt; SOUS-SEGMENT'!$C$8:$C$154=$C39)*'ANALYSE - ERP =&gt; SOUS-SEGMENT'!$Q$8:$Q$154*'ANALYSE - ERP =&gt; SOUS-SEGMENT'!$AF$8:$AF$154),"")</f>
        <v/>
      </c>
      <c r="BA39" s="303" t="str">
        <f>IFERROR(SUMPRODUCT(('ANALYSE - ERP =&gt; SOUS-SEGMENT'!$C$8:$C$154=$C39)*'ANALYSE - ERP =&gt; SOUS-SEGMENT'!$Q$8:$Q$154*'ANALYSE - ERP =&gt; SOUS-SEGMENT'!$AF$8:$AF$154*'ANALYSE - ERP =&gt; SOUS-SEGMENT'!$BB$8:$BB$154)/SUMPRODUCT(('ANALYSE - ERP =&gt; SOUS-SEGMENT'!$C$8:$C$154=$C39)*'ANALYSE - ERP =&gt; SOUS-SEGMENT'!$Q$8:$Q$154*'ANALYSE - ERP =&gt; SOUS-SEGMENT'!$AF$8:$AF$154),"")</f>
        <v/>
      </c>
      <c r="BB39" s="303" t="str">
        <f>IFERROR(SUMPRODUCT(('ANALYSE - ERP =&gt; SOUS-SEGMENT'!$C$8:$C$154=$C39)*'ANALYSE - ERP =&gt; SOUS-SEGMENT'!$Q$8:$Q$154*'ANALYSE - ERP =&gt; SOUS-SEGMENT'!$AF$8:$AF$154*'ANALYSE - ERP =&gt; SOUS-SEGMENT'!$BC$8:$BC$154)/SUMPRODUCT(('ANALYSE - ERP =&gt; SOUS-SEGMENT'!$C$8:$C$154=$C39)*'ANALYSE - ERP =&gt; SOUS-SEGMENT'!$Q$8:$Q$154*'ANALYSE - ERP =&gt; SOUS-SEGMENT'!$AF$8:$AF$154),"")</f>
        <v/>
      </c>
      <c r="BC39" s="304">
        <f>SUMPRODUCT(('ANALYSE - ERP =&gt; SOUS-SEGMENT'!$C$8:$C$154=$C39)*'ANALYSE - ERP =&gt; SOUS-SEGMENT'!$Q$8:$Q$154*'ANALYSE - ERP =&gt; SOUS-SEGMENT'!$BE$8:$BE$154)</f>
        <v>0</v>
      </c>
      <c r="BD39" s="304">
        <f>SUMPRODUCT(('ANALYSE - ERP =&gt; SOUS-SEGMENT'!$C$8:$C$154=$C39)*'ANALYSE - ERP =&gt; SOUS-SEGMENT'!$Q$8:$Q$154*'ANALYSE - ERP =&gt; SOUS-SEGMENT'!$BF$8:$BF$154)</f>
        <v>0</v>
      </c>
      <c r="BE39" s="304">
        <f>SUMPRODUCT(('ANALYSE - ERP =&gt; SOUS-SEGMENT'!$C$8:$C$154=$C39)*'ANALYSE - ERP =&gt; SOUS-SEGMENT'!$Q$8:$Q$154*'ANALYSE - ERP =&gt; SOUS-SEGMENT'!$BG$8:$BG$154)</f>
        <v>0</v>
      </c>
      <c r="BF39" s="304">
        <f>SUMPRODUCT(('ANALYSE - ERP =&gt; SOUS-SEGMENT'!$C$8:$C$154=$C39)*'ANALYSE - ERP =&gt; SOUS-SEGMENT'!$Q$8:$Q$154*'ANALYSE - ERP =&gt; SOUS-SEGMENT'!$BH$8:$BH$154)</f>
        <v>0</v>
      </c>
      <c r="BG39" s="304">
        <f>SUMPRODUCT(('ANALYSE - ERP =&gt; SOUS-SEGMENT'!$C$8:$C$154=$C39)*'ANALYSE - ERP =&gt; SOUS-SEGMENT'!$Q$8:$Q$154*'ANALYSE - ERP =&gt; SOUS-SEGMENT'!$BJ$8:$BJ$154)</f>
        <v>0</v>
      </c>
      <c r="BH39" s="304">
        <f>SUMPRODUCT(('ANALYSE - ERP =&gt; SOUS-SEGMENT'!$C$8:$C$154=$C39)*'ANALYSE - ERP =&gt; SOUS-SEGMENT'!$Q$8:$Q$154*'ANALYSE - ERP =&gt; SOUS-SEGMENT'!$BK$8:$BK$154)</f>
        <v>0</v>
      </c>
      <c r="BI39" s="304">
        <f>SUMPRODUCT(('ANALYSE - ERP =&gt; SOUS-SEGMENT'!$C$8:$C$154=$C39)*'ANALYSE - ERP =&gt; SOUS-SEGMENT'!$Q$8:$Q$154*'ANALYSE - ERP =&gt; SOUS-SEGMENT'!$BL$8:$BL$154)</f>
        <v>0</v>
      </c>
      <c r="BJ39" s="304">
        <f>SUMPRODUCT(('ANALYSE - ERP =&gt; SOUS-SEGMENT'!$C$8:$C$154=$C39)*'ANALYSE - ERP =&gt; SOUS-SEGMENT'!$Q$8:$Q$154*'ANALYSE - ERP =&gt; SOUS-SEGMENT'!$BM$8:$BM$154)</f>
        <v>0</v>
      </c>
      <c r="BK39" s="657"/>
      <c r="BL39" s="576" t="str">
        <f>IFERROR(SUMPRODUCT(('ANALYSE - ERP =&gt; SOUS-SEGMENT'!$C$8:$C$154=$C39)*'ANALYSE - ERP =&gt; SOUS-SEGMENT'!$Q$8:$Q$154*'ANALYSE - ERP =&gt; SOUS-SEGMENT'!$BE$8:$BE$154*'ANALYSE - ERP =&gt; SOUS-SEGMENT'!$BO$8:$BO$154)/SUMPRODUCT(('ANALYSE - ERP =&gt; SOUS-SEGMENT'!$C$8:$C$154=$C39)*'ANALYSE - ERP =&gt; SOUS-SEGMENT'!$Q$8:$Q$154*'ANALYSE - ERP =&gt; SOUS-SEGMENT'!$BE$8:$BE$154),"")</f>
        <v/>
      </c>
      <c r="BM39" s="576" t="str">
        <f>IFERROR(SUMPRODUCT(('ANALYSE - ERP =&gt; SOUS-SEGMENT'!$C$8:$C$154=$C39)*'ANALYSE - ERP =&gt; SOUS-SEGMENT'!$Q$8:$Q$154*'ANALYSE - ERP =&gt; SOUS-SEGMENT'!$BE$8:$BE$154*'ANALYSE - ERP =&gt; SOUS-SEGMENT'!$BP$8:$BP$154)/SUMPRODUCT(('ANALYSE - ERP =&gt; SOUS-SEGMENT'!$C$8:$C$154=$C39)*'ANALYSE - ERP =&gt; SOUS-SEGMENT'!$Q$8:$Q$154*'ANALYSE - ERP =&gt; SOUS-SEGMENT'!$BE$8:$BE$154),"")</f>
        <v/>
      </c>
      <c r="BN39" s="576" t="str">
        <f>IFERROR(SUMPRODUCT(('ANALYSE - ERP =&gt; SOUS-SEGMENT'!$C$8:$C$154=$C39)*'ANALYSE - ERP =&gt; SOUS-SEGMENT'!$Q$8:$Q$154*'ANALYSE - ERP =&gt; SOUS-SEGMENT'!$BE$8:$BE$154*'ANALYSE - ERP =&gt; SOUS-SEGMENT'!$BQ$8:$BQ$154)/SUMPRODUCT(('ANALYSE - ERP =&gt; SOUS-SEGMENT'!$C$8:$C$154=$C39)*'ANALYSE - ERP =&gt; SOUS-SEGMENT'!$Q$8:$Q$154*'ANALYSE - ERP =&gt; SOUS-SEGMENT'!$BE$8:$BE$154),"")</f>
        <v/>
      </c>
      <c r="BO39" s="576" t="str">
        <f>IFERROR(SUMPRODUCT(('ANALYSE - ERP =&gt; SOUS-SEGMENT'!$C$8:$C$154=$C39)*'ANALYSE - ERP =&gt; SOUS-SEGMENT'!$Q$8:$Q$154*'ANALYSE - ERP =&gt; SOUS-SEGMENT'!$BE$8:$BE$154*'ANALYSE - ERP =&gt; SOUS-SEGMENT'!$BR$8:$BR$154)/SUMPRODUCT(('ANALYSE - ERP =&gt; SOUS-SEGMENT'!$C$8:$C$154=$C39)*'ANALYSE - ERP =&gt; SOUS-SEGMENT'!$Q$8:$Q$154*'ANALYSE - ERP =&gt; SOUS-SEGMENT'!$BE$8:$BE$154),"")</f>
        <v/>
      </c>
      <c r="BP39" s="284" t="str">
        <f>IFERROR(SUMPRODUCT(('ANALYSE - ERP =&gt; SOUS-SEGMENT'!$C$8:$C$154=$C39)*'ANALYSE - ERP =&gt; SOUS-SEGMENT'!$Q$8:$Q$154*'ANALYSE - ERP =&gt; SOUS-SEGMENT'!$BJ$8:$BJ$154*'ANALYSE - ERP =&gt; SOUS-SEGMENT'!$BS$8:$BS$154)/SUMPRODUCT(('ANALYSE - ERP =&gt; SOUS-SEGMENT'!$C$8:$C$154=$C39)*'ANALYSE - ERP =&gt; SOUS-SEGMENT'!$Q$8:$Q$154*'ANALYSE - ERP =&gt; SOUS-SEGMENT'!$BJ$8:$BJ$154),"")</f>
        <v/>
      </c>
      <c r="BQ39" s="284" t="str">
        <f>IFERROR(SUMPRODUCT(('ANALYSE - ERP =&gt; SOUS-SEGMENT'!$C$8:$C$154=$C39)*'ANALYSE - ERP =&gt; SOUS-SEGMENT'!$Q$8:$Q$154*'ANALYSE - ERP =&gt; SOUS-SEGMENT'!$BJ$8:$BJ$154*'ANALYSE - ERP =&gt; SOUS-SEGMENT'!$BT$8:$BT$154)/SUMPRODUCT(('ANALYSE - ERP =&gt; SOUS-SEGMENT'!$C$8:$C$154=$C39)*'ANALYSE - ERP =&gt; SOUS-SEGMENT'!$Q$8:$Q$154*'ANALYSE - ERP =&gt; SOUS-SEGMENT'!$BJ$8:$BJ$154),"")</f>
        <v/>
      </c>
      <c r="BR39" s="284" t="str">
        <f>IFERROR(SUMPRODUCT(('ANALYSE - ERP =&gt; SOUS-SEGMENT'!$C$8:$C$154=$C39)*'ANALYSE - ERP =&gt; SOUS-SEGMENT'!$Q$8:$Q$154*'ANALYSE - ERP =&gt; SOUS-SEGMENT'!$BJ$8:$BJ$154*'ANALYSE - ERP =&gt; SOUS-SEGMENT'!$BU$8:$BU$154)/SUMPRODUCT(('ANALYSE - ERP =&gt; SOUS-SEGMENT'!$C$8:$C$154=$C39)*'ANALYSE - ERP =&gt; SOUS-SEGMENT'!$Q$8:$Q$154*'ANALYSE - ERP =&gt; SOUS-SEGMENT'!$BJ$8:$BJ$154),"")</f>
        <v/>
      </c>
      <c r="BS39" s="284" t="str">
        <f>IFERROR(SUMPRODUCT(('ANALYSE - ERP =&gt; SOUS-SEGMENT'!$C$8:$C$154=$C39)*'ANALYSE - ERP =&gt; SOUS-SEGMENT'!$Q$8:$Q$154*'ANALYSE - ERP =&gt; SOUS-SEGMENT'!$BJ$8:$BJ$154*'ANALYSE - ERP =&gt; SOUS-SEGMENT'!$BV$8:$BV$154)/SUMPRODUCT(('ANALYSE - ERP =&gt; SOUS-SEGMENT'!$C$8:$C$154=$C39)*'ANALYSE - ERP =&gt; SOUS-SEGMENT'!$Q$8:$Q$154*'ANALYSE - ERP =&gt; SOUS-SEGMENT'!$BJ$8:$BJ$154),"")</f>
        <v/>
      </c>
      <c r="BT39" s="285" t="str">
        <f>IFERROR(SUMPRODUCT(('ANALYSE - ERP =&gt; SOUS-SEGMENT'!$C$8:$C$154=$C39)*'ANALYSE - ERP =&gt; SOUS-SEGMENT'!$Q$8:$Q$154*'ANALYSE - ERP =&gt; SOUS-SEGMENT'!$BF$8:$BF$154*'ANALYSE - ERP =&gt; SOUS-SEGMENT'!$BW$8:$BW$154)/SUMPRODUCT(('ANALYSE - ERP =&gt; SOUS-SEGMENT'!$C$8:$C$154=$C39)*'ANALYSE - ERP =&gt; SOUS-SEGMENT'!$Q$8:$Q$154*'ANALYSE - ERP =&gt; SOUS-SEGMENT'!$BF$8:$BF$154),"")</f>
        <v/>
      </c>
      <c r="BU39" s="285" t="str">
        <f>IFERROR(SUMPRODUCT(('ANALYSE - ERP =&gt; SOUS-SEGMENT'!$C$8:$C$154=$C39)*'ANALYSE - ERP =&gt; SOUS-SEGMENT'!$Q$8:$Q$154*'ANALYSE - ERP =&gt; SOUS-SEGMENT'!$BF$8:$BF$154*'ANALYSE - ERP =&gt; SOUS-SEGMENT'!$BX$8:$BX$154)/SUMPRODUCT(('ANALYSE - ERP =&gt; SOUS-SEGMENT'!$C$8:$C$154=$C39)*'ANALYSE - ERP =&gt; SOUS-SEGMENT'!$Q$8:$Q$154*'ANALYSE - ERP =&gt; SOUS-SEGMENT'!$BF$8:$BF$154),"")</f>
        <v/>
      </c>
      <c r="BV39" s="285" t="str">
        <f>IFERROR(SUMPRODUCT(('ANALYSE - ERP =&gt; SOUS-SEGMENT'!$C$8:$C$154=$C39)*'ANALYSE - ERP =&gt; SOUS-SEGMENT'!$Q$8:$Q$154*'ANALYSE - ERP =&gt; SOUS-SEGMENT'!$BF$8:$BF$154*'ANALYSE - ERP =&gt; SOUS-SEGMENT'!$BY$8:$BY$154)/SUMPRODUCT(('ANALYSE - ERP =&gt; SOUS-SEGMENT'!$C$8:$C$154=$C39)*'ANALYSE - ERP =&gt; SOUS-SEGMENT'!$Q$8:$Q$154*'ANALYSE - ERP =&gt; SOUS-SEGMENT'!$BF$8:$BF$154),"")</f>
        <v/>
      </c>
      <c r="BW39" s="585" t="str">
        <f>IFERROR(SUMPRODUCT(('ANALYSE - ERP =&gt; SOUS-SEGMENT'!$C$8:$C$154=$C39)*'ANALYSE - ERP =&gt; SOUS-SEGMENT'!$Q$8:$Q$154*'ANALYSE - ERP =&gt; SOUS-SEGMENT'!$BK$8:$BK$154*'ANALYSE - ERP =&gt; SOUS-SEGMENT'!$BZ$8:$BZ$154)/SUMPRODUCT(('ANALYSE - ERP =&gt; SOUS-SEGMENT'!$C$8:$C$154=$C39)*'ANALYSE - ERP =&gt; SOUS-SEGMENT'!$Q$8:$Q$154*'ANALYSE - ERP =&gt; SOUS-SEGMENT'!$BK$8:$BK$154),"")</f>
        <v/>
      </c>
      <c r="BX39" s="585" t="str">
        <f>IFERROR(SUMPRODUCT(('ANALYSE - ERP =&gt; SOUS-SEGMENT'!$C$8:$C$154=$C39)*'ANALYSE - ERP =&gt; SOUS-SEGMENT'!$Q$8:$Q$154*'ANALYSE - ERP =&gt; SOUS-SEGMENT'!$BK$8:$BK$154*'ANALYSE - ERP =&gt; SOUS-SEGMENT'!$CA$8:$CA$154)/SUMPRODUCT(('ANALYSE - ERP =&gt; SOUS-SEGMENT'!$C$8:$C$154=$C39)*'ANALYSE - ERP =&gt; SOUS-SEGMENT'!$Q$8:$Q$154*'ANALYSE - ERP =&gt; SOUS-SEGMENT'!$BK$8:$BK$154),"")</f>
        <v/>
      </c>
      <c r="BY39" s="585" t="str">
        <f>IFERROR(SUMPRODUCT(('ANALYSE - ERP =&gt; SOUS-SEGMENT'!$C$8:$C$154=$C39)*'ANALYSE - ERP =&gt; SOUS-SEGMENT'!$Q$8:$Q$154*'ANALYSE - ERP =&gt; SOUS-SEGMENT'!$BK$8:$BK$154*'ANALYSE - ERP =&gt; SOUS-SEGMENT'!$CB$8:$CB$154)/SUMPRODUCT(('ANALYSE - ERP =&gt; SOUS-SEGMENT'!$C$8:$C$154=$C39)*'ANALYSE - ERP =&gt; SOUS-SEGMENT'!$Q$8:$Q$154*'ANALYSE - ERP =&gt; SOUS-SEGMENT'!$BK$8:$BK$154),"")</f>
        <v/>
      </c>
      <c r="BZ39" s="284" t="str">
        <f>IFERROR(SUMPRODUCT(('ANALYSE - ERP =&gt; SOUS-SEGMENT'!$C$8:$C$154=$C39)*'ANALYSE - ERP =&gt; SOUS-SEGMENT'!$Q$8:$Q$154*'ANALYSE - ERP =&gt; SOUS-SEGMENT'!$BG$8:$BG$154*'ANALYSE - ERP =&gt; SOUS-SEGMENT'!$CC$8:$CC$154)/SUMPRODUCT(('ANALYSE - ERP =&gt; SOUS-SEGMENT'!$C$8:$C$154=$C39)*'ANALYSE - ERP =&gt; SOUS-SEGMENT'!$Q$8:$Q$154*'ANALYSE - ERP =&gt; SOUS-SEGMENT'!$BG$8:$BG$154),"")</f>
        <v/>
      </c>
      <c r="CA39" s="284" t="str">
        <f>IFERROR(SUMPRODUCT(('ANALYSE - ERP =&gt; SOUS-SEGMENT'!$C$8:$C$154=$C39)*'ANALYSE - ERP =&gt; SOUS-SEGMENT'!$Q$8:$Q$154*'ANALYSE - ERP =&gt; SOUS-SEGMENT'!$BG$8:$BG$154*'ANALYSE - ERP =&gt; SOUS-SEGMENT'!$CD$8:$CD$154)/SUMPRODUCT(('ANALYSE - ERP =&gt; SOUS-SEGMENT'!$C$8:$C$154=$C39)*'ANALYSE - ERP =&gt; SOUS-SEGMENT'!$Q$8:$Q$154*'ANALYSE - ERP =&gt; SOUS-SEGMENT'!$BG$8:$BG$154),"")</f>
        <v/>
      </c>
      <c r="CB39" s="284" t="str">
        <f>IFERROR(SUMPRODUCT(('ANALYSE - ERP =&gt; SOUS-SEGMENT'!$C$8:$C$154=$C39)*'ANALYSE - ERP =&gt; SOUS-SEGMENT'!$Q$8:$Q$154*'ANALYSE - ERP =&gt; SOUS-SEGMENT'!$BG$8:$BG$154*'ANALYSE - ERP =&gt; SOUS-SEGMENT'!$CE$8:$CE$154)/SUMPRODUCT(('ANALYSE - ERP =&gt; SOUS-SEGMENT'!$C$8:$C$154=$C39)*'ANALYSE - ERP =&gt; SOUS-SEGMENT'!$Q$8:$Q$154*'ANALYSE - ERP =&gt; SOUS-SEGMENT'!$BG$8:$BG$154),"")</f>
        <v/>
      </c>
      <c r="CC39" s="284" t="str">
        <f>IFERROR(SUMPRODUCT(('ANALYSE - ERP =&gt; SOUS-SEGMENT'!$C$8:$C$154=$C39)*'ANALYSE - ERP =&gt; SOUS-SEGMENT'!$Q$8:$Q$154*'ANALYSE - ERP =&gt; SOUS-SEGMENT'!$BG$8:$BG$154*'ANALYSE - ERP =&gt; SOUS-SEGMENT'!$CF$8:$CF$154)/SUMPRODUCT(('ANALYSE - ERP =&gt; SOUS-SEGMENT'!$C$8:$C$154=$C39)*'ANALYSE - ERP =&gt; SOUS-SEGMENT'!$Q$8:$Q$154*'ANALYSE - ERP =&gt; SOUS-SEGMENT'!$BG$8:$BG$154),"")</f>
        <v/>
      </c>
      <c r="CD39" s="576" t="str">
        <f>IFERROR(SUMPRODUCT(('ANALYSE - ERP =&gt; SOUS-SEGMENT'!$C$8:$C$154=$C39)*'ANALYSE - ERP =&gt; SOUS-SEGMENT'!$Q$8:$Q$154*'ANALYSE - ERP =&gt; SOUS-SEGMENT'!$BL$8:$BL$154*'ANALYSE - ERP =&gt; SOUS-SEGMENT'!$CG$8:$CG$154)/SUMPRODUCT(('ANALYSE - ERP =&gt; SOUS-SEGMENT'!$C$8:$C$154=$C39)*'ANALYSE - ERP =&gt; SOUS-SEGMENT'!$Q$8:$Q$154*'ANALYSE - ERP =&gt; SOUS-SEGMENT'!$BL$8:$BL$154),"")</f>
        <v/>
      </c>
      <c r="CE39" s="576" t="str">
        <f>IFERROR(SUMPRODUCT(('ANALYSE - ERP =&gt; SOUS-SEGMENT'!$C$8:$C$154=$C39)*'ANALYSE - ERP =&gt; SOUS-SEGMENT'!$Q$8:$Q$154*'ANALYSE - ERP =&gt; SOUS-SEGMENT'!$BL$8:$BL$154*'ANALYSE - ERP =&gt; SOUS-SEGMENT'!$CH$8:$CH$154)/SUMPRODUCT(('ANALYSE - ERP =&gt; SOUS-SEGMENT'!$C$8:$C$154=$C39)*'ANALYSE - ERP =&gt; SOUS-SEGMENT'!$Q$8:$Q$154*'ANALYSE - ERP =&gt; SOUS-SEGMENT'!$BL$8:$BL$154),"")</f>
        <v/>
      </c>
      <c r="CF39" s="576" t="str">
        <f>IFERROR(SUMPRODUCT(('ANALYSE - ERP =&gt; SOUS-SEGMENT'!$C$8:$C$154=$C39)*'ANALYSE - ERP =&gt; SOUS-SEGMENT'!$Q$8:$Q$154*'ANALYSE - ERP =&gt; SOUS-SEGMENT'!$BL$8:$BL$154*'ANALYSE - ERP =&gt; SOUS-SEGMENT'!$CI$8:$CI$154)/SUMPRODUCT(('ANALYSE - ERP =&gt; SOUS-SEGMENT'!$C$8:$C$154=$C39)*'ANALYSE - ERP =&gt; SOUS-SEGMENT'!$Q$8:$Q$154*'ANALYSE - ERP =&gt; SOUS-SEGMENT'!$BL$8:$BL$154),"")</f>
        <v/>
      </c>
      <c r="CG39" s="576" t="str">
        <f>IFERROR(SUMPRODUCT(('ANALYSE - ERP =&gt; SOUS-SEGMENT'!$C$8:$C$154=$C39)*'ANALYSE - ERP =&gt; SOUS-SEGMENT'!$Q$8:$Q$154*'ANALYSE - ERP =&gt; SOUS-SEGMENT'!$BL$8:$BL$154*'ANALYSE - ERP =&gt; SOUS-SEGMENT'!$CJ$8:$CJ$154)/SUMPRODUCT(('ANALYSE - ERP =&gt; SOUS-SEGMENT'!$C$8:$C$154=$C39)*'ANALYSE - ERP =&gt; SOUS-SEGMENT'!$Q$8:$Q$154*'ANALYSE - ERP =&gt; SOUS-SEGMENT'!$BL$8:$BL$154),"")</f>
        <v/>
      </c>
      <c r="CH39" s="286" t="str">
        <f>IFERROR(SUMPRODUCT(('ANALYSE - ERP =&gt; SOUS-SEGMENT'!$C$8:$C$154=$C39)*'ANALYSE - ERP =&gt; SOUS-SEGMENT'!$Q$8:$Q$154*'ANALYSE - ERP =&gt; SOUS-SEGMENT'!$BH$8:$BH$154*'ANALYSE - ERP =&gt; SOUS-SEGMENT'!$CK$8:$CK$154)/SUMPRODUCT(('ANALYSE - ERP =&gt; SOUS-SEGMENT'!$C$8:$C$154=$C39)*'ANALYSE - ERP =&gt; SOUS-SEGMENT'!$Q$8:$Q$154*'ANALYSE - ERP =&gt; SOUS-SEGMENT'!$BH$8:$BH$154),"")</f>
        <v/>
      </c>
      <c r="CI39" s="286" t="str">
        <f>IFERROR(SUMPRODUCT(('ANALYSE - ERP =&gt; SOUS-SEGMENT'!$C$8:$C$154=$C39)*'ANALYSE - ERP =&gt; SOUS-SEGMENT'!$Q$8:$Q$154*'ANALYSE - ERP =&gt; SOUS-SEGMENT'!$BH$8:$BH$154*'ANALYSE - ERP =&gt; SOUS-SEGMENT'!$CL$8:$CL$154)/SUMPRODUCT(('ANALYSE - ERP =&gt; SOUS-SEGMENT'!$C$8:$C$154=$C39)*'ANALYSE - ERP =&gt; SOUS-SEGMENT'!$Q$8:$Q$154*'ANALYSE - ERP =&gt; SOUS-SEGMENT'!$BH$8:$BH$154),"")</f>
        <v/>
      </c>
      <c r="CJ39" s="286" t="str">
        <f>IFERROR(SUMPRODUCT(('ANALYSE - ERP =&gt; SOUS-SEGMENT'!$C$8:$C$154=$C39)*'ANALYSE - ERP =&gt; SOUS-SEGMENT'!$Q$8:$Q$154*'ANALYSE - ERP =&gt; SOUS-SEGMENT'!$BH$8:$BH$154*'ANALYSE - ERP =&gt; SOUS-SEGMENT'!$CM$8:$CM$154)/SUMPRODUCT(('ANALYSE - ERP =&gt; SOUS-SEGMENT'!$C$8:$C$154=$C39)*'ANALYSE - ERP =&gt; SOUS-SEGMENT'!$Q$8:$Q$154*'ANALYSE - ERP =&gt; SOUS-SEGMENT'!$BH$8:$BH$154),"")</f>
        <v/>
      </c>
      <c r="CK39" s="286" t="str">
        <f>IFERROR(SUMPRODUCT(('ANALYSE - ERP =&gt; SOUS-SEGMENT'!$C$8:$C$154=$C39)*'ANALYSE - ERP =&gt; SOUS-SEGMENT'!$Q$8:$Q$154*'ANALYSE - ERP =&gt; SOUS-SEGMENT'!$BM$8:$BM$154*'ANALYSE - ERP =&gt; SOUS-SEGMENT'!$CN$8:$CN$154)/SUMPRODUCT(('ANALYSE - ERP =&gt; SOUS-SEGMENT'!$C$8:$C$154=$C39)*'ANALYSE - ERP =&gt; SOUS-SEGMENT'!$Q$8:$Q$154*'ANALYSE - ERP =&gt; SOUS-SEGMENT'!$BM$8:$BM$154),"")</f>
        <v/>
      </c>
      <c r="CL39" s="286" t="str">
        <f>IFERROR(SUMPRODUCT(('ANALYSE - ERP =&gt; SOUS-SEGMENT'!$C$8:$C$154=$C39)*'ANALYSE - ERP =&gt; SOUS-SEGMENT'!$Q$8:$Q$154*'ANALYSE - ERP =&gt; SOUS-SEGMENT'!$BM$8:$BM$154*'ANALYSE - ERP =&gt; SOUS-SEGMENT'!$CO$8:$CO$154)/SUMPRODUCT(('ANALYSE - ERP =&gt; SOUS-SEGMENT'!$C$8:$C$154=$C39)*'ANALYSE - ERP =&gt; SOUS-SEGMENT'!$Q$8:$Q$154*'ANALYSE - ERP =&gt; SOUS-SEGMENT'!$BM$8:$BM$154),"")</f>
        <v/>
      </c>
      <c r="CM39" s="286" t="str">
        <f>IFERROR(SUMPRODUCT(('ANALYSE - ERP =&gt; SOUS-SEGMENT'!$C$8:$C$154=$C39)*'ANALYSE - ERP =&gt; SOUS-SEGMENT'!$Q$8:$Q$154*'ANALYSE - ERP =&gt; SOUS-SEGMENT'!$BM$8:$BM$154*'ANALYSE - ERP =&gt; SOUS-SEGMENT'!$CP$8:$CP$154)/SUMPRODUCT(('ANALYSE - ERP =&gt; SOUS-SEGMENT'!$C$8:$C$154=$C39)*'ANALYSE - ERP =&gt; SOUS-SEGMENT'!$Q$8:$Q$154*'ANALYSE - ERP =&gt; SOUS-SEGMENT'!$BM$8:$BM$154),"")</f>
        <v/>
      </c>
      <c r="CN39" s="657"/>
      <c r="CO39" s="911">
        <f>IFERROR(SUMPRODUCT(('ANALYSE - ERP =&gt; SOUS-SEGMENT'!$C$8:$C$154=$C39)*'ANALYSE - ERP =&gt; SOUS-SEGMENT'!$DH$8:$DH$154*('ANALYSE - ERP =&gt; SOUS-SEGMENT'!$CR$8:$CR$154&gt;0)*'ANALYSE - ERP =&gt; SOUS-SEGMENT'!$CR$8:$CR$154)/SUMPRODUCT(('ANALYSE - ERP =&gt; SOUS-SEGMENT'!$C$8:$C$154=$C39)*'ANALYSE - ERP =&gt; SOUS-SEGMENT'!$DH$8:$DH$154*('ANALYSE - ERP =&gt; SOUS-SEGMENT'!$CR$8:$CR$154&gt;0)),"")</f>
        <v>12</v>
      </c>
      <c r="CP39" s="911">
        <f>IFERROR(SUMPRODUCT(('ANALYSE - ERP =&gt; SOUS-SEGMENT'!$C$8:$C$154=$C39)*'ANALYSE - ERP =&gt; SOUS-SEGMENT'!$DI$8:$DI$154*('ANALYSE - ERP =&gt; SOUS-SEGMENT'!$CS$8:$CS$154&gt;0)*'ANALYSE - ERP =&gt; SOUS-SEGMENT'!$CS$8:$CS$154)/SUMPRODUCT(('ANALYSE - ERP =&gt; SOUS-SEGMENT'!$C$8:$C$154=$C39)*'ANALYSE - ERP =&gt; SOUS-SEGMENT'!$DI$8:$DI$154*('ANALYSE - ERP =&gt; SOUS-SEGMENT'!$CS$8:$CS$154&gt;0)),"")</f>
        <v>11.887210422263902</v>
      </c>
      <c r="CQ39" s="911">
        <f>IFERROR(SUMPRODUCT(('ANALYSE - ERP =&gt; SOUS-SEGMENT'!$C$8:$C$154=$C39)*'ANALYSE - ERP =&gt; SOUS-SEGMENT'!$DJ$8:$DJ$154*('ANALYSE - ERP =&gt; SOUS-SEGMENT'!$CT$8:$CT$154&gt;0)*'ANALYSE - ERP =&gt; SOUS-SEGMENT'!$CT$8:$CT$154)/SUMPRODUCT(('ANALYSE - ERP =&gt; SOUS-SEGMENT'!$C$8:$C$154=$C39)*'ANALYSE - ERP =&gt; SOUS-SEGMENT'!$DJ$8:$DJ$154*('ANALYSE - ERP =&gt; SOUS-SEGMENT'!$CT$8:$CT$154&gt;0)),"")</f>
        <v>8.7023650275563167</v>
      </c>
      <c r="CR39" s="911">
        <f>IFERROR(SUMPRODUCT(('ANALYSE - ERP =&gt; SOUS-SEGMENT'!$C$8:$C$154=$C39)*'ANALYSE - ERP =&gt; SOUS-SEGMENT'!$DK$8:$DK$154*('ANALYSE - ERP =&gt; SOUS-SEGMENT'!$CU$8:$CU$154&gt;0)*'ANALYSE - ERP =&gt; SOUS-SEGMENT'!$CU$8:$CU$154)/SUMPRODUCT(('ANALYSE - ERP =&gt; SOUS-SEGMENT'!$C$8:$C$154=$C39)*'ANALYSE - ERP =&gt; SOUS-SEGMENT'!$DK$8:$DK$154*('ANALYSE - ERP =&gt; SOUS-SEGMENT'!$CU$8:$CU$154&gt;0)),"")</f>
        <v>10</v>
      </c>
      <c r="CS39" s="911">
        <f>IFERROR(SUMPRODUCT(('ANALYSE - ERP =&gt; SOUS-SEGMENT'!$C$8:$C$154=$C39)*'ANALYSE - ERP =&gt; SOUS-SEGMENT'!$DS$8:$DS$154*('ANALYSE - ERP =&gt; SOUS-SEGMENT'!$CV$8:$CV$154&gt;0)*'ANALYSE - ERP =&gt; SOUS-SEGMENT'!$CV$8:$CV$154)/SUMPRODUCT(('ANALYSE - ERP =&gt; SOUS-SEGMENT'!$C$8:$C$154=$C39)*'ANALYSE - ERP =&gt; SOUS-SEGMENT'!$DS$8:$DS$154*('ANALYSE - ERP =&gt; SOUS-SEGMENT'!$CV$8:$CV$154&gt;0)),"")</f>
        <v>11.719932458362115</v>
      </c>
      <c r="CT39" s="911">
        <f>IFERROR(SUMPRODUCT(('ANALYSE - ERP =&gt; SOUS-SEGMENT'!$C$8:$C$154=$C39)*'ANALYSE - ERP =&gt; SOUS-SEGMENT'!$DT$8:$DT$154*('ANALYSE - ERP =&gt; SOUS-SEGMENT'!$CW$8:$CW$154&gt;0)*'ANALYSE - ERP =&gt; SOUS-SEGMENT'!$CW$8:$CW$154)/SUMPRODUCT(('ANALYSE - ERP =&gt; SOUS-SEGMENT'!$C$8:$C$154=$C39)*'ANALYSE - ERP =&gt; SOUS-SEGMENT'!$DT$8:$DT$154*('ANALYSE - ERP =&gt; SOUS-SEGMENT'!$CW$8:$CW$154&gt;0)),"")</f>
        <v>10.92350478248591</v>
      </c>
      <c r="CU39" s="911">
        <f>IFERROR(SUMPRODUCT(('ANALYSE - ERP =&gt; SOUS-SEGMENT'!$C$8:$C$154=$C39)*'ANALYSE - ERP =&gt; SOUS-SEGMENT'!$DU$8:$DU$154*('ANALYSE - ERP =&gt; SOUS-SEGMENT'!$CX$8:$CX$154&gt;0)*'ANALYSE - ERP =&gt; SOUS-SEGMENT'!$CX$8:$CX$154)/SUMPRODUCT(('ANALYSE - ERP =&gt; SOUS-SEGMENT'!$C$8:$C$154=$C39)*'ANALYSE - ERP =&gt; SOUS-SEGMENT'!$DU$8:$DU$154*('ANALYSE - ERP =&gt; SOUS-SEGMENT'!$CX$8:$CX$154&gt;0)),"")</f>
        <v>8</v>
      </c>
      <c r="CV39" s="911">
        <f>IFERROR(SUMPRODUCT(('ANALYSE - ERP =&gt; SOUS-SEGMENT'!$C$8:$C$154=$C39)*'ANALYSE - ERP =&gt; SOUS-SEGMENT'!$EB$8:$EB$154*('ANALYSE - ERP =&gt; SOUS-SEGMENT'!$CY$8:$CY$154&gt;0)*'ANALYSE - ERP =&gt; SOUS-SEGMENT'!$CY$8:$CY$154)/SUMPRODUCT(('ANALYSE - ERP =&gt; SOUS-SEGMENT'!$C$8:$C$154=$C39)*'ANALYSE - ERP =&gt; SOUS-SEGMENT'!$EB$8:$EB$154*('ANALYSE - ERP =&gt; SOUS-SEGMENT'!$CY$8:$CY$154&gt;0)),"")</f>
        <v>10.772378516624041</v>
      </c>
      <c r="CW39" s="911">
        <f>IFERROR(SUMPRODUCT(('ANALYSE - ERP =&gt; SOUS-SEGMENT'!$C$8:$C$154=$C39)*'ANALYSE - ERP =&gt; SOUS-SEGMENT'!$EC$8:$EC$154*('ANALYSE - ERP =&gt; SOUS-SEGMENT'!$CZ$8:$CZ$154&gt;0)*'ANALYSE - ERP =&gt; SOUS-SEGMENT'!$CZ$8:$CZ$154)/SUMPRODUCT(('ANALYSE - ERP =&gt; SOUS-SEGMENT'!$C$8:$C$154=$C39)*'ANALYSE - ERP =&gt; SOUS-SEGMENT'!$EC$8:$EC$154*('ANALYSE - ERP =&gt; SOUS-SEGMENT'!$CZ$8:$CZ$154&gt;0)),"")</f>
        <v>11.999999999999998</v>
      </c>
      <c r="CX39" s="911">
        <f>IFERROR(SUMPRODUCT(('ANALYSE - ERP =&gt; SOUS-SEGMENT'!$C$8:$C$154=$C39)*'ANALYSE - ERP =&gt; SOUS-SEGMENT'!$ED$8:$ED$154*('ANALYSE - ERP =&gt; SOUS-SEGMENT'!$DA$8:$DA$154&gt;0)*'ANALYSE - ERP =&gt; SOUS-SEGMENT'!$DA$8:$DA$154)/SUMPRODUCT(('ANALYSE - ERP =&gt; SOUS-SEGMENT'!$C$8:$C$154=$C39)*'ANALYSE - ERP =&gt; SOUS-SEGMENT'!$ED$8:$ED$154*('ANALYSE - ERP =&gt; SOUS-SEGMENT'!$DA$8:$DA$154&gt;0)),"")</f>
        <v>8</v>
      </c>
      <c r="CY39" s="911">
        <f>IFERROR(SUMPRODUCT(('ANALYSE - ERP =&gt; SOUS-SEGMENT'!$C$8:$C$154=$C39)*'ANALYSE - ERP =&gt; SOUS-SEGMENT'!$EE$8:$EE$154*('ANALYSE - ERP =&gt; SOUS-SEGMENT'!$DB$8:$DB$154&gt;0)*'ANALYSE - ERP =&gt; SOUS-SEGMENT'!$DB$8:$DB$154)/SUMPRODUCT(('ANALYSE - ERP =&gt; SOUS-SEGMENT'!$C$8:$C$154=$C39)*'ANALYSE - ERP =&gt; SOUS-SEGMENT'!$EE$8:$EE$154*('ANALYSE - ERP =&gt; SOUS-SEGMENT'!$DB$8:$DB$154&gt;0)),"")</f>
        <v>10</v>
      </c>
      <c r="CZ39" s="911">
        <f>IFERROR(SUMPRODUCT(('ANALYSE - ERP =&gt; SOUS-SEGMENT'!$C$8:$C$154=$C39)*'ANALYSE - ERP =&gt; SOUS-SEGMENT'!$EM$8:$EM$154*('ANALYSE - ERP =&gt; SOUS-SEGMENT'!$DC$8:$DC$154&gt;0)*'ANALYSE - ERP =&gt; SOUS-SEGMENT'!$DC$8:$DC$154)/SUMPRODUCT(('ANALYSE - ERP =&gt; SOUS-SEGMENT'!$C$8:$C$154=$C39)*'ANALYSE - ERP =&gt; SOUS-SEGMENT'!$EM$8:$EM$154*('ANALYSE - ERP =&gt; SOUS-SEGMENT'!$DC$8:$DC$154&gt;0)),"")</f>
        <v>12</v>
      </c>
      <c r="DA39" s="911">
        <f>IFERROR(SUMPRODUCT(('ANALYSE - ERP =&gt; SOUS-SEGMENT'!$C$8:$C$154=$C39)*'ANALYSE - ERP =&gt; SOUS-SEGMENT'!$EN$8:$EN$154*('ANALYSE - ERP =&gt; SOUS-SEGMENT'!$DD$8:$DD$154&gt;0)*'ANALYSE - ERP =&gt; SOUS-SEGMENT'!$DD$8:$DD$154)/SUMPRODUCT(('ANALYSE - ERP =&gt; SOUS-SEGMENT'!$C$8:$C$154=$C39)*'ANALYSE - ERP =&gt; SOUS-SEGMENT'!$EN$8:$EN$154*('ANALYSE - ERP =&gt; SOUS-SEGMENT'!$DD$8:$DD$154&gt;0)),"")</f>
        <v>12</v>
      </c>
      <c r="DB39" s="911">
        <f>IFERROR(SUMPRODUCT(('ANALYSE - ERP =&gt; SOUS-SEGMENT'!$C$8:$C$154=$C39)*'ANALYSE - ERP =&gt; SOUS-SEGMENT'!$EO$8:$EO$154*('ANALYSE - ERP =&gt; SOUS-SEGMENT'!$DE$8:$DE$154&gt;0)*'ANALYSE - ERP =&gt; SOUS-SEGMENT'!$DE$8:$DE$154)/SUMPRODUCT(('ANALYSE - ERP =&gt; SOUS-SEGMENT'!$C$8:$C$154=$C39)*'ANALYSE - ERP =&gt; SOUS-SEGMENT'!$EO$8:$EO$154*('ANALYSE - ERP =&gt; SOUS-SEGMENT'!$DE$8:$DE$154&gt;0)),"")</f>
        <v>9</v>
      </c>
      <c r="DC39" s="316"/>
      <c r="DD39" s="657"/>
      <c r="DE39" s="288" t="e">
        <f t="shared" si="2"/>
        <v>#VALUE!</v>
      </c>
      <c r="DF39" s="288" t="e">
        <f t="shared" si="3"/>
        <v>#VALUE!</v>
      </c>
      <c r="DG39" s="288" t="e">
        <f t="shared" si="4"/>
        <v>#VALUE!</v>
      </c>
      <c r="DH39" s="288" t="e">
        <f t="shared" si="5"/>
        <v>#VALUE!</v>
      </c>
      <c r="DI39" s="317" t="s">
        <v>7475</v>
      </c>
      <c r="DJ39" s="288" t="e">
        <f t="shared" si="6"/>
        <v>#VALUE!</v>
      </c>
      <c r="DK39" s="288" t="e">
        <f t="shared" si="7"/>
        <v>#VALUE!</v>
      </c>
      <c r="DL39" s="288" t="e">
        <f t="shared" si="8"/>
        <v>#VALUE!</v>
      </c>
      <c r="DM39" s="288" t="e">
        <f t="shared" si="9"/>
        <v>#VALUE!</v>
      </c>
      <c r="DN39" s="318" t="s">
        <v>7476</v>
      </c>
      <c r="DO39" s="657"/>
      <c r="DP39" s="288">
        <f t="shared" si="10"/>
        <v>0</v>
      </c>
      <c r="DQ39" s="288">
        <f t="shared" si="11"/>
        <v>0</v>
      </c>
      <c r="DR39" s="288">
        <f t="shared" si="12"/>
        <v>0</v>
      </c>
      <c r="DS39" s="318" t="s">
        <v>7477</v>
      </c>
      <c r="DT39" s="288">
        <f t="shared" si="13"/>
        <v>0</v>
      </c>
      <c r="DU39" s="288">
        <f t="shared" si="14"/>
        <v>0</v>
      </c>
      <c r="DV39" s="288">
        <f t="shared" si="15"/>
        <v>0</v>
      </c>
      <c r="DW39" s="318" t="s">
        <v>7477</v>
      </c>
      <c r="DX39" s="657"/>
      <c r="DY39" s="288">
        <f t="shared" si="16"/>
        <v>0</v>
      </c>
      <c r="DZ39" s="288">
        <f t="shared" si="17"/>
        <v>0</v>
      </c>
      <c r="EA39" s="288">
        <f t="shared" si="18"/>
        <v>0</v>
      </c>
      <c r="EB39" s="288">
        <f t="shared" si="19"/>
        <v>0</v>
      </c>
      <c r="EC39" s="318" t="s">
        <v>7477</v>
      </c>
      <c r="ED39" s="288">
        <f t="shared" si="20"/>
        <v>0</v>
      </c>
      <c r="EE39" s="288">
        <f t="shared" si="21"/>
        <v>0</v>
      </c>
      <c r="EF39" s="288">
        <f t="shared" si="22"/>
        <v>0</v>
      </c>
      <c r="EG39" s="288">
        <f t="shared" si="23"/>
        <v>0</v>
      </c>
      <c r="EH39" s="318" t="s">
        <v>7478</v>
      </c>
      <c r="EI39" s="290"/>
      <c r="EJ39" s="288" t="e">
        <f t="shared" si="24"/>
        <v>#VALUE!</v>
      </c>
      <c r="EK39" s="291" t="e">
        <f t="shared" si="25"/>
        <v>#VALUE!</v>
      </c>
      <c r="EL39" s="291" t="e">
        <f t="shared" si="26"/>
        <v>#VALUE!</v>
      </c>
      <c r="EM39" s="318" t="s">
        <v>7479</v>
      </c>
      <c r="EN39" s="288" t="e">
        <f t="shared" si="27"/>
        <v>#VALUE!</v>
      </c>
      <c r="EO39" s="291" t="e">
        <f t="shared" si="28"/>
        <v>#VALUE!</v>
      </c>
      <c r="EP39" s="291" t="e">
        <f t="shared" si="29"/>
        <v>#VALUE!</v>
      </c>
      <c r="EQ39" s="318" t="s">
        <v>7480</v>
      </c>
      <c r="ER39" s="657"/>
      <c r="ES39" s="731">
        <f t="shared" si="30"/>
        <v>0</v>
      </c>
      <c r="ET39" s="731">
        <f t="shared" si="31"/>
        <v>0</v>
      </c>
      <c r="EU39" s="292">
        <f t="shared" si="32"/>
        <v>0</v>
      </c>
      <c r="EV39" s="292">
        <f t="shared" si="33"/>
        <v>0</v>
      </c>
      <c r="EW39" s="292">
        <f t="shared" si="34"/>
        <v>0</v>
      </c>
      <c r="EX39" s="292">
        <f t="shared" si="35"/>
        <v>0</v>
      </c>
      <c r="EY39" s="292">
        <f>SUMPRODUCT(('ANALYSE - ERP =&gt; SOUS-SEGMENT'!$C$8:$C$154=$C39)*'ANALYSE - ERP =&gt; SOUS-SEGMENT'!$Q$8:$Q$154*'ANALYSE - ERP =&gt; SOUS-SEGMENT'!$FB$8:$FB$154)</f>
        <v>0</v>
      </c>
      <c r="EZ39" s="292">
        <f>SUMPRODUCT(('ANALYSE - ERP =&gt; SOUS-SEGMENT'!$C$8:$C$154=$C39)*'ANALYSE - ERP =&gt; SOUS-SEGMENT'!$Q$8:$Q$154*'ANALYSE - ERP =&gt; SOUS-SEGMENT'!$FC$8:$FC$154)</f>
        <v>0</v>
      </c>
      <c r="FA39" s="292">
        <f t="shared" si="36"/>
        <v>0</v>
      </c>
      <c r="FB39" s="292">
        <f>SUMPRODUCT(('ANALYSE - ERP =&gt; SOUS-SEGMENT'!$C$8:$C$154=$C39)*'ANALYSE - ERP =&gt; SOUS-SEGMENT'!$Q$8:$Q$154*'ANALYSE - ERP =&gt; SOUS-SEGMENT'!$FE$8:$FE$154)</f>
        <v>0</v>
      </c>
      <c r="FC39" s="292">
        <f>SUMPRODUCT(('ANALYSE - ERP =&gt; SOUS-SEGMENT'!$C$8:$C$154=$C39)*'ANALYSE - ERP =&gt; SOUS-SEGMENT'!$Q$8:$Q$154*'ANALYSE - ERP =&gt; SOUS-SEGMENT'!$FF$8:$FF$154)</f>
        <v>0</v>
      </c>
      <c r="FD39" s="292">
        <f t="shared" si="37"/>
        <v>0</v>
      </c>
      <c r="FE39" s="292">
        <f>SUMPRODUCT(('ANALYSE - ERP =&gt; SOUS-SEGMENT'!$C$8:$C$154=$C39)*'ANALYSE - ERP =&gt; SOUS-SEGMENT'!$Q$8:$Q$154*'ANALYSE - ERP =&gt; SOUS-SEGMENT'!$FH$8:$FH$154)</f>
        <v>0</v>
      </c>
      <c r="FF39" s="292">
        <f>SUMPRODUCT(('ANALYSE - ERP =&gt; SOUS-SEGMENT'!$C$8:$C$154=$C39)*'ANALYSE - ERP =&gt; SOUS-SEGMENT'!$Q$8:$Q$154*'ANALYSE - ERP =&gt; SOUS-SEGMENT'!$FI$8:$FI$154)</f>
        <v>0</v>
      </c>
      <c r="FG39" s="292">
        <f t="shared" si="38"/>
        <v>0</v>
      </c>
      <c r="FH39" s="292">
        <f>SUMPRODUCT(('ANALYSE - ERP =&gt; SOUS-SEGMENT'!$C$8:$C$154=$C39)*'ANALYSE - ERP =&gt; SOUS-SEGMENT'!$Q$8:$Q$154*'ANALYSE - ERP =&gt; SOUS-SEGMENT'!$FK$8:$FK$154)</f>
        <v>0</v>
      </c>
      <c r="FI39" s="292">
        <f>SUMPRODUCT(('ANALYSE - ERP =&gt; SOUS-SEGMENT'!$C$8:$C$154=$C39)*'ANALYSE - ERP =&gt; SOUS-SEGMENT'!$Q$8:$Q$154*'ANALYSE - ERP =&gt; SOUS-SEGMENT'!$FL$8:$FL$154)</f>
        <v>0</v>
      </c>
      <c r="FJ39" s="657"/>
      <c r="FK39" s="319" t="s">
        <v>2616</v>
      </c>
      <c r="FL39" s="731" t="str">
        <f>IFERROR(SUMPRODUCT(('ANALYSE - ERP =&gt; SOUS-SEGMENT'!$C$8:$C$154=$C39)*'ANALYSE - ERP =&gt; SOUS-SEGMENT'!$Q$8:$Q$154*'ANALYSE - ERP =&gt; SOUS-SEGMENT'!$AF$8:$AF$154*'ANALYSE - ERP =&gt; SOUS-SEGMENT'!$FO$8:$FO$154)/SUMPRODUCT(('ANALYSE - ERP =&gt; SOUS-SEGMENT'!$C$8:$C$154=$C39)*'ANALYSE - ERP =&gt; SOUS-SEGMENT'!$Q$8:$Q$154*'ANALYSE - ERP =&gt; SOUS-SEGMENT'!$AF$8:$AF$154),"")</f>
        <v/>
      </c>
      <c r="FM39" s="732" t="str">
        <f>IFERROR(SUMPRODUCT(('ANALYSE - ERP =&gt; SOUS-SEGMENT'!$C$8:$C$154=$C39)*'ANALYSE - ERP =&gt; SOUS-SEGMENT'!$Q$8:$Q$154*'ANALYSE - ERP =&gt; SOUS-SEGMENT'!$AF$8:$AF$154*'ANALYSE - ERP =&gt; SOUS-SEGMENT'!$FP$8:$FP$154)/SUMPRODUCT(('ANALYSE - ERP =&gt; SOUS-SEGMENT'!$C$8:$C$154=$C39)*'ANALYSE - ERP =&gt; SOUS-SEGMENT'!$Q$8:$Q$154*'ANALYSE - ERP =&gt; SOUS-SEGMENT'!$AF$8:$AF$154),"")</f>
        <v/>
      </c>
      <c r="FN39" s="320" t="s">
        <v>5204</v>
      </c>
      <c r="FO39" s="657"/>
      <c r="FP39" s="887" t="str">
        <f>IFERROR(SUMPRODUCT(('ANALYSE - ERP =&gt; SOUS-SEGMENT'!$C$8:$C$154=$C39)*'ANALYSE - ERP =&gt; SOUS-SEGMENT'!$Q$8:$Q$154*'ANALYSE - ERP =&gt; SOUS-SEGMENT'!$EX$8:$EX$154*'ANALYSE - ERP =&gt; SOUS-SEGMENT'!$FS$8:$FS$154)/SUMPRODUCT(('ANALYSE - ERP =&gt; SOUS-SEGMENT'!$C$8:$C$154=$C39)*'ANALYSE - ERP =&gt; SOUS-SEGMENT'!$Q$8:$Q$154*'ANALYSE - ERP =&gt; SOUS-SEGMENT'!$EX$8:$EX$154),"")</f>
        <v/>
      </c>
      <c r="FQ39" s="295" t="e">
        <f>RANK($FP39,$FP$8:$FP$143,0)+COUNTIF($FP$8:$FP39,$FP39)-1</f>
        <v>#VALUE!</v>
      </c>
      <c r="FR39" s="887" t="str">
        <f>IFERROR(SUMPRODUCT(('ANALYSE - ERP =&gt; SOUS-SEGMENT'!$C$8:$C$154=$C39)*'ANALYSE - ERP =&gt; SOUS-SEGMENT'!$Q$8:$Q$154*'ANALYSE - ERP =&gt; SOUS-SEGMENT'!$EY$8:$EY$154*'ANALYSE - ERP =&gt; SOUS-SEGMENT'!$FU$8:$FU$154)/SUMPRODUCT(('ANALYSE - ERP =&gt; SOUS-SEGMENT'!$C$8:$C$154=$C39)*'ANALYSE - ERP =&gt; SOUS-SEGMENT'!$Q$8:$Q$154*'ANALYSE - ERP =&gt; SOUS-SEGMENT'!$EY$8:$EY$154),"")</f>
        <v/>
      </c>
      <c r="FS39" s="295" t="e">
        <f>RANK($FR39,$FR$8:$FR$143,0)+COUNTIF($FR$8:$FR39,$FR39)-1</f>
        <v>#VALUE!</v>
      </c>
      <c r="FT39" s="887" t="str">
        <f>IFERROR(SUMPRODUCT(('ANALYSE - ERP =&gt; SOUS-SEGMENT'!$C$8:$C$154=$C39)*'ANALYSE - ERP =&gt; SOUS-SEGMENT'!$Q$8:$Q$154*'ANALYSE - ERP =&gt; SOUS-SEGMENT'!$EZ$8:$EZ$154*'ANALYSE - ERP =&gt; SOUS-SEGMENT'!$FW$8:$FW$154)/SUMPRODUCT(('ANALYSE - ERP =&gt; SOUS-SEGMENT'!$C$8:$C$154=$C39)*'ANALYSE - ERP =&gt; SOUS-SEGMENT'!$Q$8:$Q$154*'ANALYSE - ERP =&gt; SOUS-SEGMENT'!$EZ$8:$EZ$154),"")</f>
        <v/>
      </c>
      <c r="FU39" s="295" t="e">
        <f>RANK($FT39,$FT$8:$FT$143,0)+COUNTIF($FT$8:$FT39,$FT39)-1</f>
        <v>#VALUE!</v>
      </c>
      <c r="FV39" s="657"/>
      <c r="FW39" s="321" t="s">
        <v>7481</v>
      </c>
      <c r="FX39" s="321" t="s">
        <v>7482</v>
      </c>
      <c r="FY39" s="321" t="s">
        <v>7483</v>
      </c>
      <c r="FZ39" s="321" t="s">
        <v>7484</v>
      </c>
      <c r="GA39" s="321" t="s">
        <v>7485</v>
      </c>
      <c r="GB39" s="321" t="s">
        <v>7486</v>
      </c>
      <c r="GC39" s="321" t="s">
        <v>6759</v>
      </c>
      <c r="GD39" s="657"/>
      <c r="GE39" s="292">
        <f>SUMPRODUCT(('ANALYSE - ERP =&gt; SOUS-SEGMENT'!$C$8:$C$154=$C39)*'ANALYSE - ERP =&gt; SOUS-SEGMENT'!$Q$8:$Q$154*'ANALYSE - ERP =&gt; SOUS-SEGMENT'!$GH$8:$GH$154)</f>
        <v>0</v>
      </c>
      <c r="GF39" s="292">
        <f>SUMPRODUCT(('ANALYSE - ERP =&gt; SOUS-SEGMENT'!$C$8:$C$154=$C39)*'ANALYSE - ERP =&gt; SOUS-SEGMENT'!$Q$8:$Q$154*'ANALYSE - ERP =&gt; SOUS-SEGMENT'!$GI$8:$GI$154)</f>
        <v>0</v>
      </c>
      <c r="GG39" s="292">
        <f>SUMPRODUCT(('ANALYSE - ERP =&gt; SOUS-SEGMENT'!$C$8:$C$154=$C39)*'ANALYSE - ERP =&gt; SOUS-SEGMENT'!$Q$8:$Q$154*'ANALYSE - ERP =&gt; SOUS-SEGMENT'!$GJ$8:$GJ$154)</f>
        <v>0</v>
      </c>
      <c r="GH39" s="292">
        <f>SUMPRODUCT(('ANALYSE - ERP =&gt; SOUS-SEGMENT'!$C$8:$C$154=$C39)*'ANALYSE - ERP =&gt; SOUS-SEGMENT'!$Q$8:$Q$154*'ANALYSE - ERP =&gt; SOUS-SEGMENT'!$GK$8:$GK$154)</f>
        <v>0</v>
      </c>
      <c r="GI39" s="292">
        <f>SUMPRODUCT(('ANALYSE - ERP =&gt; SOUS-SEGMENT'!$C$8:$C$154=$C39)*'ANALYSE - ERP =&gt; SOUS-SEGMENT'!$Q$8:$Q$154*'ANALYSE - ERP =&gt; SOUS-SEGMENT'!$GL$8:$GL$154)</f>
        <v>0</v>
      </c>
      <c r="GJ39" s="292">
        <f>SUMPRODUCT(('ANALYSE - ERP =&gt; SOUS-SEGMENT'!$C$8:$C$154=$C39)*'ANALYSE - ERP =&gt; SOUS-SEGMENT'!$Q$8:$Q$154*'ANALYSE - ERP =&gt; SOUS-SEGMENT'!$GM$8:$GM$154)</f>
        <v>0</v>
      </c>
      <c r="GK39" s="292">
        <f>SUMPRODUCT(('ANALYSE - ERP =&gt; SOUS-SEGMENT'!$C$8:$C$154=$C39)*'ANALYSE - ERP =&gt; SOUS-SEGMENT'!$Q$8:$Q$154*'ANALYSE - ERP =&gt; SOUS-SEGMENT'!$GN$8:$GN$154)</f>
        <v>0</v>
      </c>
      <c r="GL39" s="292">
        <f>SUMPRODUCT(('ANALYSE - ERP =&gt; SOUS-SEGMENT'!$C$8:$C$154=$C39)*'ANALYSE - ERP =&gt; SOUS-SEGMENT'!$Q$8:$Q$154*'ANALYSE - ERP =&gt; SOUS-SEGMENT'!$GO$8:$GO$154)</f>
        <v>0</v>
      </c>
      <c r="GM39" s="292">
        <f>SUMPRODUCT(('ANALYSE - ERP =&gt; SOUS-SEGMENT'!$C$8:$C$154=$C39)*'ANALYSE - ERP =&gt; SOUS-SEGMENT'!$Q$8:$Q$154*'ANALYSE - ERP =&gt; SOUS-SEGMENT'!$GP$8:$GP$154)</f>
        <v>0</v>
      </c>
      <c r="GN39" s="292">
        <f>SUMPRODUCT(('ANALYSE - ERP =&gt; SOUS-SEGMENT'!$C$8:$C$154=$C39)*'ANALYSE - ERP =&gt; SOUS-SEGMENT'!$Q$8:$Q$154*'ANALYSE - ERP =&gt; SOUS-SEGMENT'!$GQ$8:$GQ$154)</f>
        <v>0</v>
      </c>
      <c r="GO39" s="292">
        <f>SUMPRODUCT(('ANALYSE - ERP =&gt; SOUS-SEGMENT'!$C$8:$C$154=$C39)*'ANALYSE - ERP =&gt; SOUS-SEGMENT'!$Q$8:$Q$154*'ANALYSE - ERP =&gt; SOUS-SEGMENT'!$GR$8:$GR$154)</f>
        <v>0</v>
      </c>
      <c r="GP39" s="292">
        <f>SUMPRODUCT(('ANALYSE - ERP =&gt; SOUS-SEGMENT'!$C$8:$C$154=$C39)*'ANALYSE - ERP =&gt; SOUS-SEGMENT'!$Q$8:$Q$154*'ANALYSE - ERP =&gt; SOUS-SEGMENT'!$GS$8:$GS$154)</f>
        <v>0</v>
      </c>
      <c r="GQ39" s="292">
        <f>SUMPRODUCT(('ANALYSE - ERP =&gt; SOUS-SEGMENT'!$C$8:$C$154=$C39)*'ANALYSE - ERP =&gt; SOUS-SEGMENT'!$Q$8:$Q$154*'ANALYSE - ERP =&gt; SOUS-SEGMENT'!$GT$8:$GT$154)</f>
        <v>0</v>
      </c>
      <c r="GR39" s="292">
        <f>SUMPRODUCT(('ANALYSE - ERP =&gt; SOUS-SEGMENT'!$C$8:$C$154=$C39)*'ANALYSE - ERP =&gt; SOUS-SEGMENT'!$Q$8:$Q$154*'ANALYSE - ERP =&gt; SOUS-SEGMENT'!$GU$8:$GU$154)</f>
        <v>0</v>
      </c>
      <c r="GS39" s="292">
        <f>SUMPRODUCT(('ANALYSE - ERP =&gt; SOUS-SEGMENT'!$C$8:$C$154=$C39)*'ANALYSE - ERP =&gt; SOUS-SEGMENT'!$Q$8:$Q$154*'ANALYSE - ERP =&gt; SOUS-SEGMENT'!$GV$8:$GV$154)</f>
        <v>0</v>
      </c>
      <c r="GT39" s="292">
        <f>SUMPRODUCT(('ANALYSE - ERP =&gt; SOUS-SEGMENT'!$C$8:$C$154=$C39)*'ANALYSE - ERP =&gt; SOUS-SEGMENT'!$Q$8:$Q$154*'ANALYSE - ERP =&gt; SOUS-SEGMENT'!$GW$8:$GW$154)</f>
        <v>0</v>
      </c>
      <c r="GU39" s="292">
        <f>SUMPRODUCT(('ANALYSE - ERP =&gt; SOUS-SEGMENT'!$C$8:$C$154=$C39)*'ANALYSE - ERP =&gt; SOUS-SEGMENT'!$Q$8:$Q$154*'ANALYSE - ERP =&gt; SOUS-SEGMENT'!$GX$8:$GX$154)</f>
        <v>0</v>
      </c>
      <c r="GV39" s="292">
        <f>SUMPRODUCT(('ANALYSE - ERP =&gt; SOUS-SEGMENT'!$C$8:$C$154=$C39)*'ANALYSE - ERP =&gt; SOUS-SEGMENT'!$Q$8:$Q$154*'ANALYSE - ERP =&gt; SOUS-SEGMENT'!$GY$8:$GY$154)</f>
        <v>0</v>
      </c>
      <c r="GW39" s="292">
        <f>SUMPRODUCT(('ANALYSE - ERP =&gt; SOUS-SEGMENT'!$C$8:$C$154=$C39)*'ANALYSE - ERP =&gt; SOUS-SEGMENT'!$Q$8:$Q$154*'ANALYSE - ERP =&gt; SOUS-SEGMENT'!$GZ$8:$GZ$154)</f>
        <v>0</v>
      </c>
      <c r="GX39" s="292">
        <f>SUMPRODUCT(('ANALYSE - ERP =&gt; SOUS-SEGMENT'!$C$8:$C$154=$C39)*'ANALYSE - ERP =&gt; SOUS-SEGMENT'!$Q$8:$Q$154*'ANALYSE - ERP =&gt; SOUS-SEGMENT'!$HA$8:$HA$154)</f>
        <v>0</v>
      </c>
      <c r="GY39" s="292">
        <f>SUMPRODUCT(('ANALYSE - ERP =&gt; SOUS-SEGMENT'!$C$8:$C$154=$C39)*'ANALYSE - ERP =&gt; SOUS-SEGMENT'!$Q$8:$Q$154*'ANALYSE - ERP =&gt; SOUS-SEGMENT'!$HB$8:$HB$154)</f>
        <v>0</v>
      </c>
      <c r="GZ39" s="292">
        <f>SUMPRODUCT(('ANALYSE - ERP =&gt; SOUS-SEGMENT'!$C$8:$C$154=$C39)*'ANALYSE - ERP =&gt; SOUS-SEGMENT'!$Q$8:$Q$154*'ANALYSE - ERP =&gt; SOUS-SEGMENT'!$HC$8:$HC$154)</f>
        <v>0</v>
      </c>
      <c r="HA39" s="292">
        <f>SUMPRODUCT(('ANALYSE - ERP =&gt; SOUS-SEGMENT'!$C$8:$C$154=$C39)*'ANALYSE - ERP =&gt; SOUS-SEGMENT'!$Q$8:$Q$154*'ANALYSE - ERP =&gt; SOUS-SEGMENT'!$HD$8:$HD$154)</f>
        <v>0</v>
      </c>
      <c r="HB39" s="292">
        <f>SUMPRODUCT(('ANALYSE - ERP =&gt; SOUS-SEGMENT'!$C$8:$C$154=$C39)*'ANALYSE - ERP =&gt; SOUS-SEGMENT'!$Q$8:$Q$154*'ANALYSE - ERP =&gt; SOUS-SEGMENT'!$HE$8:$HE$154)</f>
        <v>0</v>
      </c>
      <c r="HC39" s="292">
        <f>SUMPRODUCT(('ANALYSE - ERP =&gt; SOUS-SEGMENT'!$C$8:$C$154=$C39)*'ANALYSE - ERP =&gt; SOUS-SEGMENT'!$Q$8:$Q$154*'ANALYSE - ERP =&gt; SOUS-SEGMENT'!$HF$8:$HF$154)</f>
        <v>0</v>
      </c>
      <c r="HD39" s="292">
        <f>SUMPRODUCT(('ANALYSE - ERP =&gt; SOUS-SEGMENT'!$C$8:$C$154=$C39)*'ANALYSE - ERP =&gt; SOUS-SEGMENT'!$Q$8:$Q$154*'ANALYSE - ERP =&gt; SOUS-SEGMENT'!$HG$8:$HG$154)</f>
        <v>0</v>
      </c>
      <c r="HE39" s="292">
        <f>SUMPRODUCT(('ANALYSE - ERP =&gt; SOUS-SEGMENT'!$C$8:$C$154=$C39)*'ANALYSE - ERP =&gt; SOUS-SEGMENT'!$Q$8:$Q$154*'ANALYSE - ERP =&gt; SOUS-SEGMENT'!$HH$8:$HH$154)</f>
        <v>0</v>
      </c>
      <c r="HF39" s="292">
        <f>SUMPRODUCT(('ANALYSE - ERP =&gt; SOUS-SEGMENT'!$C$8:$C$154=$C39)*'ANALYSE - ERP =&gt; SOUS-SEGMENT'!$Q$8:$Q$154*'ANALYSE - ERP =&gt; SOUS-SEGMENT'!$HI$8:$HI$154)</f>
        <v>0</v>
      </c>
      <c r="HG39" s="292">
        <f>SUMPRODUCT(('ANALYSE - ERP =&gt; SOUS-SEGMENT'!$C$8:$C$154=$C39)*'ANALYSE - ERP =&gt; SOUS-SEGMENT'!$Q$8:$Q$154*'ANALYSE - ERP =&gt; SOUS-SEGMENT'!$HJ$8:$HJ$154)</f>
        <v>0</v>
      </c>
      <c r="HH39" s="292">
        <f>SUMPRODUCT(('ANALYSE - ERP =&gt; SOUS-SEGMENT'!$C$8:$C$154=$C39)*'ANALYSE - ERP =&gt; SOUS-SEGMENT'!$Q$8:$Q$154*'ANALYSE - ERP =&gt; SOUS-SEGMENT'!$HK$8:$HK$154)</f>
        <v>0</v>
      </c>
      <c r="HI39" s="292">
        <f>SUMPRODUCT(('ANALYSE - ERP =&gt; SOUS-SEGMENT'!$C$8:$C$154=$C39)*'ANALYSE - ERP =&gt; SOUS-SEGMENT'!$Q$8:$Q$154*'ANALYSE - ERP =&gt; SOUS-SEGMENT'!$HL$8:$HL$154)</f>
        <v>0</v>
      </c>
      <c r="HJ39" s="292">
        <f>SUMPRODUCT(('ANALYSE - ERP =&gt; SOUS-SEGMENT'!$C$8:$C$154=$C39)*'ANALYSE - ERP =&gt; SOUS-SEGMENT'!$Q$8:$Q$154*'ANALYSE - ERP =&gt; SOUS-SEGMENT'!$HM$8:$HM$154)</f>
        <v>0</v>
      </c>
      <c r="HK39" s="292">
        <f>SUMPRODUCT(('ANALYSE - ERP =&gt; SOUS-SEGMENT'!$C$8:$C$154=$C39)*'ANALYSE - ERP =&gt; SOUS-SEGMENT'!$Q$8:$Q$154*'ANALYSE - ERP =&gt; SOUS-SEGMENT'!$HN$8:$HN$154)</f>
        <v>0</v>
      </c>
      <c r="HL39" s="292">
        <f>SUMPRODUCT(('ANALYSE - ERP =&gt; SOUS-SEGMENT'!$C$8:$C$154=$C39)*'ANALYSE - ERP =&gt; SOUS-SEGMENT'!$Q$8:$Q$154*'ANALYSE - ERP =&gt; SOUS-SEGMENT'!$HO$8:$HO$154)</f>
        <v>0</v>
      </c>
      <c r="HM39" s="292">
        <f>SUMPRODUCT(('ANALYSE - ERP =&gt; SOUS-SEGMENT'!$C$8:$C$154=$C39)*'ANALYSE - ERP =&gt; SOUS-SEGMENT'!$Q$8:$Q$154*'ANALYSE - ERP =&gt; SOUS-SEGMENT'!$HP$8:$HP$154)</f>
        <v>0</v>
      </c>
      <c r="HN39" s="292">
        <f>SUMPRODUCT(('ANALYSE - ERP =&gt; SOUS-SEGMENT'!$C$8:$C$154=$C39)*'ANALYSE - ERP =&gt; SOUS-SEGMENT'!$Q$8:$Q$154*'ANALYSE - ERP =&gt; SOUS-SEGMENT'!$HQ$8:$HQ$154)</f>
        <v>0</v>
      </c>
      <c r="HO39" s="292">
        <f>SUMPRODUCT(('ANALYSE - ERP =&gt; SOUS-SEGMENT'!$C$8:$C$154=$C39)*'ANALYSE - ERP =&gt; SOUS-SEGMENT'!$Q$8:$Q$154*'ANALYSE - ERP =&gt; SOUS-SEGMENT'!$HR$8:$HR$154)</f>
        <v>0</v>
      </c>
      <c r="HP39" s="292">
        <f>SUMPRODUCT(('ANALYSE - ERP =&gt; SOUS-SEGMENT'!$C$8:$C$154=$C39)*'ANALYSE - ERP =&gt; SOUS-SEGMENT'!$Q$8:$Q$154*'ANALYSE - ERP =&gt; SOUS-SEGMENT'!$HS$8:$HS$154)</f>
        <v>0</v>
      </c>
      <c r="HQ39" s="292">
        <f>SUMPRODUCT(('ANALYSE - ERP =&gt; SOUS-SEGMENT'!$C$8:$C$154=$C39)*'ANALYSE - ERP =&gt; SOUS-SEGMENT'!$Q$8:$Q$154*'ANALYSE - ERP =&gt; SOUS-SEGMENT'!$HT$8:$HT$154)</f>
        <v>0</v>
      </c>
      <c r="HR39" s="292">
        <f>SUMPRODUCT(('ANALYSE - ERP =&gt; SOUS-SEGMENT'!$C$8:$C$154=$C39)*'ANALYSE - ERP =&gt; SOUS-SEGMENT'!$Q$8:$Q$154*'ANALYSE - ERP =&gt; SOUS-SEGMENT'!$HU$8:$HU$154)</f>
        <v>0</v>
      </c>
      <c r="HS39" s="292">
        <f>SUMPRODUCT(('ANALYSE - ERP =&gt; SOUS-SEGMENT'!$C$8:$C$154=$C39)*'ANALYSE - ERP =&gt; SOUS-SEGMENT'!$Q$8:$Q$154*'ANALYSE - ERP =&gt; SOUS-SEGMENT'!$HV$8:$HV$154)</f>
        <v>0</v>
      </c>
      <c r="HT39" s="292">
        <f>SUMPRODUCT(('ANALYSE - ERP =&gt; SOUS-SEGMENT'!$C$8:$C$154=$C39)*'ANALYSE - ERP =&gt; SOUS-SEGMENT'!$Q$8:$Q$154*'ANALYSE - ERP =&gt; SOUS-SEGMENT'!$HW$8:$HW$154)</f>
        <v>0</v>
      </c>
      <c r="HU39" s="676"/>
      <c r="HV39" s="297">
        <f t="shared" si="40"/>
        <v>116800.00000000001</v>
      </c>
      <c r="HW39" s="297">
        <f>SUMPRODUCT(('ANALYSE - ERP =&gt; SOUS-SEGMENT'!$C$8:$C$154=$C39)*'ANALYSE - ERP =&gt; SOUS-SEGMENT'!$Q$8:$Q$154*'ANALYSE - ERP =&gt; SOUS-SEGMENT'!$HZ$8:$HZ$154)</f>
        <v>0</v>
      </c>
      <c r="HX39" s="297">
        <f>SUMPRODUCT(('ANALYSE - ERP =&gt; SOUS-SEGMENT'!$C$8:$C$154=$C39)*'ANALYSE - ERP =&gt; SOUS-SEGMENT'!$Q$8:$Q$154*'ANALYSE - ERP =&gt; SOUS-SEGMENT'!$IA$8:$IA$154)</f>
        <v>0</v>
      </c>
      <c r="HY39" s="297">
        <f>SUMPRODUCT(('ANALYSE - ERP =&gt; SOUS-SEGMENT'!$C$8:$C$154=$C39)*'ANALYSE - ERP =&gt; SOUS-SEGMENT'!$Q$8:$Q$154*'ANALYSE - ERP =&gt; SOUS-SEGMENT'!$IB$8:$IB$154)</f>
        <v>0</v>
      </c>
      <c r="HZ39" s="297">
        <f>SUMPRODUCT(('ANALYSE - ERP =&gt; SOUS-SEGMENT'!$C$8:$C$154=$C39)*'ANALYSE - ERP =&gt; SOUS-SEGMENT'!$Q$8:$Q$154*'ANALYSE - ERP =&gt; SOUS-SEGMENT'!$IC$8:$IC$154)</f>
        <v>0</v>
      </c>
      <c r="IA39" s="297">
        <f>SUMPRODUCT(('ANALYSE - ERP =&gt; SOUS-SEGMENT'!$C$8:$C$154=$C39)*'ANALYSE - ERP =&gt; SOUS-SEGMENT'!$Q$8:$Q$154*'ANALYSE - ERP =&gt; SOUS-SEGMENT'!$ID$8:$ID$154)</f>
        <v>0</v>
      </c>
      <c r="IB39" s="297">
        <f>SUMPRODUCT(('ANALYSE - ERP =&gt; SOUS-SEGMENT'!$C$8:$C$154=$C39)*'ANALYSE - ERP =&gt; SOUS-SEGMENT'!$Q$8:$Q$154*'ANALYSE - ERP =&gt; SOUS-SEGMENT'!$IE$8:$IE$154)</f>
        <v>0</v>
      </c>
      <c r="IC39" s="297">
        <f>SUMPRODUCT(('ANALYSE - ERP =&gt; SOUS-SEGMENT'!$C$8:$C$154=$C39)*'ANALYSE - ERP =&gt; SOUS-SEGMENT'!$Q$8:$Q$154*'ANALYSE - ERP =&gt; SOUS-SEGMENT'!$IF$8:$IF$154)</f>
        <v>0</v>
      </c>
      <c r="ID39" s="297">
        <f>SUMPRODUCT(('ANALYSE - ERP =&gt; SOUS-SEGMENT'!$C$8:$C$154=$C39)*'ANALYSE - ERP =&gt; SOUS-SEGMENT'!$Q$8:$Q$154*'ANALYSE - ERP =&gt; SOUS-SEGMENT'!$IG$8:$IG$154)</f>
        <v>0</v>
      </c>
      <c r="IE39" s="297">
        <f>SUMPRODUCT(('ANALYSE - ERP =&gt; SOUS-SEGMENT'!$C$8:$C$154=$C39)*'ANALYSE - ERP =&gt; SOUS-SEGMENT'!$Q$8:$Q$154*'ANALYSE - ERP =&gt; SOUS-SEGMENT'!$IH$8:$IH$154)</f>
        <v>0</v>
      </c>
      <c r="IF39" s="297">
        <f>SUMPRODUCT(('ANALYSE - ERP =&gt; SOUS-SEGMENT'!$C$8:$C$154=$C39)*'ANALYSE - ERP =&gt; SOUS-SEGMENT'!$Q$8:$Q$154*'ANALYSE - ERP =&gt; SOUS-SEGMENT'!$II$8:$II$154)</f>
        <v>0</v>
      </c>
      <c r="IG39" s="297">
        <f>SUMPRODUCT(('ANALYSE - ERP =&gt; SOUS-SEGMENT'!$C$8:$C$154=$C39)*'ANALYSE - ERP =&gt; SOUS-SEGMENT'!$Q$8:$Q$154*'ANALYSE - ERP =&gt; SOUS-SEGMENT'!$IJ$8:$IJ$154)</f>
        <v>0</v>
      </c>
      <c r="IH39" s="888"/>
      <c r="II39" s="298" t="s">
        <v>2589</v>
      </c>
      <c r="IJ39" s="322" t="s">
        <v>6760</v>
      </c>
      <c r="IK39" s="657"/>
      <c r="IL39" s="733">
        <f>IFERROR(SUMPRODUCT(('ANALYSE - ERP =&gt; SOUS-SEGMENT'!$C$8:$C$154=$C39)*'ANALYSE - ERP =&gt; SOUS-SEGMENT'!$Q$8:$Q$154*'ANALYSE - ERP =&gt; SOUS-SEGMENT'!$BE$8:$BE$154*'ANALYSE - ERP =&gt; SOUS-SEGMENT'!$IO$8:$IO$154)/SUMPRODUCT(('ANALYSE - ERP =&gt; SOUS-SEGMENT'!$C$8:$C$154=$C39)*'ANALYSE - ERP =&gt; SOUS-SEGMENT'!$Q$8:$Q$154*'ANALYSE - ERP =&gt; SOUS-SEGMENT'!$BE$8:$BE$154),0)</f>
        <v>0</v>
      </c>
      <c r="IM39" s="733">
        <f>IFERROR(SUMPRODUCT(('ANALYSE - ERP =&gt; SOUS-SEGMENT'!$C$8:$C$154=$C39)*'ANALYSE - ERP =&gt; SOUS-SEGMENT'!$Q$8:$Q$154*'ANALYSE - ERP =&gt; SOUS-SEGMENT'!$BE$8:$BE$154*'ANALYSE - ERP =&gt; SOUS-SEGMENT'!$IP$8:$IP$154)/SUMPRODUCT(('ANALYSE - ERP =&gt; SOUS-SEGMENT'!$C$8:$C$154=$C39)*'ANALYSE - ERP =&gt; SOUS-SEGMENT'!$Q$8:$Q$154*'ANALYSE - ERP =&gt; SOUS-SEGMENT'!$BE$8:$BE$154),0)</f>
        <v>0</v>
      </c>
      <c r="IN39" s="733">
        <f>IFERROR(SUMPRODUCT(('ANALYSE - ERP =&gt; SOUS-SEGMENT'!$C$8:$C$154=$C39)*'ANALYSE - ERP =&gt; SOUS-SEGMENT'!$Q$8:$Q$154*'ANALYSE - ERP =&gt; SOUS-SEGMENT'!$BE$8:$BE$154*'ANALYSE - ERP =&gt; SOUS-SEGMENT'!$IQ$8:$IQ$154)/SUMPRODUCT(('ANALYSE - ERP =&gt; SOUS-SEGMENT'!$C$8:$C$154=$C39)*'ANALYSE - ERP =&gt; SOUS-SEGMENT'!$Q$8:$Q$154*'ANALYSE - ERP =&gt; SOUS-SEGMENT'!$BE$8:$BE$154),0)</f>
        <v>0</v>
      </c>
      <c r="IO39" s="733">
        <f>IFERROR(SUMPRODUCT(('ANALYSE - ERP =&gt; SOUS-SEGMENT'!$C$8:$C$154=$C39)*'ANALYSE - ERP =&gt; SOUS-SEGMENT'!$Q$8:$Q$154*'ANALYSE - ERP =&gt; SOUS-SEGMENT'!$BE$8:$BE$154*'ANALYSE - ERP =&gt; SOUS-SEGMENT'!$IR$8:$IR$154)/SUMPRODUCT(('ANALYSE - ERP =&gt; SOUS-SEGMENT'!$C$8:$C$154=$C39)*'ANALYSE - ERP =&gt; SOUS-SEGMENT'!$Q$8:$Q$154*'ANALYSE - ERP =&gt; SOUS-SEGMENT'!$BE$8:$BE$154),0)</f>
        <v>0</v>
      </c>
      <c r="IP39" s="733">
        <f>IFERROR(SUMPRODUCT(('ANALYSE - ERP =&gt; SOUS-SEGMENT'!$C$8:$C$154=$C39)*'ANALYSE - ERP =&gt; SOUS-SEGMENT'!$Q$8:$Q$154*'ANALYSE - ERP =&gt; SOUS-SEGMENT'!$BE$8:$BE$154*'ANALYSE - ERP =&gt; SOUS-SEGMENT'!$IS$8:$IS$154)/SUMPRODUCT(('ANALYSE - ERP =&gt; SOUS-SEGMENT'!$C$8:$C$154=$C39)*'ANALYSE - ERP =&gt; SOUS-SEGMENT'!$Q$8:$Q$154*'ANALYSE - ERP =&gt; SOUS-SEGMENT'!$BE$8:$BE$154),0)</f>
        <v>0</v>
      </c>
      <c r="IQ39" s="733">
        <f>IFERROR(SUMPRODUCT(('ANALYSE - ERP =&gt; SOUS-SEGMENT'!$C$8:$C$154=$C39)*'ANALYSE - ERP =&gt; SOUS-SEGMENT'!$Q$8:$Q$154*'ANALYSE - ERP =&gt; SOUS-SEGMENT'!$FB$8:$FB$154*'ANALYSE - ERP =&gt; SOUS-SEGMENT'!$IT$8:$IT$154)/SUMPRODUCT(('ANALYSE - ERP =&gt; SOUS-SEGMENT'!$C$8:$C$154=$C39)*'ANALYSE - ERP =&gt; SOUS-SEGMENT'!$Q$8:$Q$154*'ANALYSE - ERP =&gt; SOUS-SEGMENT'!$FB$8:$FB$154),0)</f>
        <v>0</v>
      </c>
      <c r="IR39" s="733">
        <f>IFERROR(SUMPRODUCT(('ANALYSE - ERP =&gt; SOUS-SEGMENT'!$C$8:$C$154=$C39)*'ANALYSE - ERP =&gt; SOUS-SEGMENT'!$Q$8:$Q$154*'ANALYSE - ERP =&gt; SOUS-SEGMENT'!$FB$8:$FB$154*'ANALYSE - ERP =&gt; SOUS-SEGMENT'!$IU$8:$IU$154)/SUMPRODUCT(('ANALYSE - ERP =&gt; SOUS-SEGMENT'!$C$8:$C$154=$C39)*'ANALYSE - ERP =&gt; SOUS-SEGMENT'!$Q$8:$Q$154*'ANALYSE - ERP =&gt; SOUS-SEGMENT'!$FB$8:$FB$154),0)</f>
        <v>0</v>
      </c>
      <c r="IS39" s="733">
        <f>IFERROR(SUMPRODUCT(('ANALYSE - ERP =&gt; SOUS-SEGMENT'!$C$8:$C$154=$C39)*'ANALYSE - ERP =&gt; SOUS-SEGMENT'!$Q$8:$Q$154*'ANALYSE - ERP =&gt; SOUS-SEGMENT'!$FB$8:$FB$154*'ANALYSE - ERP =&gt; SOUS-SEGMENT'!$IV$8:$IV$154)/SUMPRODUCT(('ANALYSE - ERP =&gt; SOUS-SEGMENT'!$C$8:$C$154=$C39)*'ANALYSE - ERP =&gt; SOUS-SEGMENT'!$Q$8:$Q$154*'ANALYSE - ERP =&gt; SOUS-SEGMENT'!$FB$8:$FB$154),0)</f>
        <v>0</v>
      </c>
      <c r="IT39" s="733">
        <f>IFERROR(SUMPRODUCT(('ANALYSE - ERP =&gt; SOUS-SEGMENT'!$C$8:$C$154=$C39)*'ANALYSE - ERP =&gt; SOUS-SEGMENT'!$Q$8:$Q$154*'ANALYSE - ERP =&gt; SOUS-SEGMENT'!$FB$8:$FB$154*'ANALYSE - ERP =&gt; SOUS-SEGMENT'!$IW$8:$IW$154)/SUMPRODUCT(('ANALYSE - ERP =&gt; SOUS-SEGMENT'!$C$8:$C$154=$C39)*'ANALYSE - ERP =&gt; SOUS-SEGMENT'!$Q$8:$Q$154*'ANALYSE - ERP =&gt; SOUS-SEGMENT'!$FB$8:$FB$154),0)</f>
        <v>0</v>
      </c>
      <c r="IU39" s="733">
        <f>IFERROR(SUMPRODUCT(('ANALYSE - ERP =&gt; SOUS-SEGMENT'!$C$8:$C$154=$C39)*'ANALYSE - ERP =&gt; SOUS-SEGMENT'!$Q$8:$Q$154*'ANALYSE - ERP =&gt; SOUS-SEGMENT'!$FB$8:$FB$154*'ANALYSE - ERP =&gt; SOUS-SEGMENT'!$IX$8:$IX$154)/SUMPRODUCT(('ANALYSE - ERP =&gt; SOUS-SEGMENT'!$C$8:$C$154=$C39)*'ANALYSE - ERP =&gt; SOUS-SEGMENT'!$Q$8:$Q$154*'ANALYSE - ERP =&gt; SOUS-SEGMENT'!$FB$8:$FB$154),0)</f>
        <v>0</v>
      </c>
      <c r="IV39" s="733">
        <f>IFERROR(SUMPRODUCT(('ANALYSE - ERP =&gt; SOUS-SEGMENT'!$C$8:$C$154=$C39)*'ANALYSE - ERP =&gt; SOUS-SEGMENT'!$Q$8:$Q$154*'ANALYSE - ERP =&gt; SOUS-SEGMENT'!$BF$8:$BF$154*'ANALYSE - ERP =&gt; SOUS-SEGMENT'!$IY$8:$IY$154)/SUMPRODUCT(('ANALYSE - ERP =&gt; SOUS-SEGMENT'!$C$8:$C$154=$C39)*'ANALYSE - ERP =&gt; SOUS-SEGMENT'!$Q$8:$Q$154*'ANALYSE - ERP =&gt; SOUS-SEGMENT'!$BF$8:$BF$154),0)</f>
        <v>0</v>
      </c>
      <c r="IW39" s="733">
        <f>IFERROR(SUMPRODUCT(('ANALYSE - ERP =&gt; SOUS-SEGMENT'!$C$8:$C$154=$C39)*'ANALYSE - ERP =&gt; SOUS-SEGMENT'!$Q$8:$Q$154*'ANALYSE - ERP =&gt; SOUS-SEGMENT'!$BF$8:$BF$154*'ANALYSE - ERP =&gt; SOUS-SEGMENT'!$IZ$8:$IZ$154)/SUMPRODUCT(('ANALYSE - ERP =&gt; SOUS-SEGMENT'!$C$8:$C$154=$C39)*'ANALYSE - ERP =&gt; SOUS-SEGMENT'!$Q$8:$Q$154*'ANALYSE - ERP =&gt; SOUS-SEGMENT'!$BF$8:$BF$154),0)</f>
        <v>0</v>
      </c>
      <c r="IX39" s="733">
        <f>IFERROR(SUMPRODUCT(('ANALYSE - ERP =&gt; SOUS-SEGMENT'!$C$8:$C$154=$C39)*'ANALYSE - ERP =&gt; SOUS-SEGMENT'!$Q$8:$Q$154*'ANALYSE - ERP =&gt; SOUS-SEGMENT'!$BF$8:$BF$154*'ANALYSE - ERP =&gt; SOUS-SEGMENT'!$JA$8:$JA$154)/SUMPRODUCT(('ANALYSE - ERP =&gt; SOUS-SEGMENT'!$C$8:$C$154=$C39)*'ANALYSE - ERP =&gt; SOUS-SEGMENT'!$Q$8:$Q$154*'ANALYSE - ERP =&gt; SOUS-SEGMENT'!$BF$8:$BF$154),0)</f>
        <v>0</v>
      </c>
      <c r="IY39" s="733">
        <f>IFERROR(SUMPRODUCT(('ANALYSE - ERP =&gt; SOUS-SEGMENT'!$C$8:$C$154=$C39)*'ANALYSE - ERP =&gt; SOUS-SEGMENT'!$Q$8:$Q$154*'ANALYSE - ERP =&gt; SOUS-SEGMENT'!$BF$8:$BF$154*'ANALYSE - ERP =&gt; SOUS-SEGMENT'!$JB$8:$JB$154)/SUMPRODUCT(('ANALYSE - ERP =&gt; SOUS-SEGMENT'!$C$8:$C$154=$C39)*'ANALYSE - ERP =&gt; SOUS-SEGMENT'!$Q$8:$Q$154*'ANALYSE - ERP =&gt; SOUS-SEGMENT'!$BF$8:$BF$154),0)</f>
        <v>0</v>
      </c>
      <c r="IZ39" s="733">
        <f>IFERROR(SUMPRODUCT(('ANALYSE - ERP =&gt; SOUS-SEGMENT'!$C$8:$C$154=$C39)*'ANALYSE - ERP =&gt; SOUS-SEGMENT'!$Q$8:$Q$154*'ANALYSE - ERP =&gt; SOUS-SEGMENT'!$BF$8:$BF$154*'ANALYSE - ERP =&gt; SOUS-SEGMENT'!$JC$8:$JC$154)/SUMPRODUCT(('ANALYSE - ERP =&gt; SOUS-SEGMENT'!$C$8:$C$154=$C39)*'ANALYSE - ERP =&gt; SOUS-SEGMENT'!$Q$8:$Q$154*'ANALYSE - ERP =&gt; SOUS-SEGMENT'!$BF$8:$BF$154),0)</f>
        <v>0</v>
      </c>
      <c r="JA39" s="733">
        <f>IFERROR(SUMPRODUCT(('ANALYSE - ERP =&gt; SOUS-SEGMENT'!$C$8:$C$154=$C39)*'ANALYSE - ERP =&gt; SOUS-SEGMENT'!$Q$8:$Q$154*'ANALYSE - ERP =&gt; SOUS-SEGMENT'!$FE$8:$FE$154*'ANALYSE - ERP =&gt; SOUS-SEGMENT'!$JD$8:$JD$154)/SUMPRODUCT(('ANALYSE - ERP =&gt; SOUS-SEGMENT'!$C$8:$C$154=$C39)*'ANALYSE - ERP =&gt; SOUS-SEGMENT'!$Q$8:$Q$154*'ANALYSE - ERP =&gt; SOUS-SEGMENT'!$FE$8:$FE$154),0)</f>
        <v>0</v>
      </c>
      <c r="JB39" s="733">
        <f>IFERROR(SUMPRODUCT(('ANALYSE - ERP =&gt; SOUS-SEGMENT'!$C$8:$C$154=$C39)*'ANALYSE - ERP =&gt; SOUS-SEGMENT'!$Q$8:$Q$154*'ANALYSE - ERP =&gt; SOUS-SEGMENT'!$FE$8:$FE$154*'ANALYSE - ERP =&gt; SOUS-SEGMENT'!$JE$8:$JE$154)/SUMPRODUCT(('ANALYSE - ERP =&gt; SOUS-SEGMENT'!$C$8:$C$154=$C39)*'ANALYSE - ERP =&gt; SOUS-SEGMENT'!$Q$8:$Q$154*'ANALYSE - ERP =&gt; SOUS-SEGMENT'!$FE$8:$FE$154),0)</f>
        <v>0</v>
      </c>
      <c r="JC39" s="733">
        <f>IFERROR(SUMPRODUCT(('ANALYSE - ERP =&gt; SOUS-SEGMENT'!$C$8:$C$154=$C39)*'ANALYSE - ERP =&gt; SOUS-SEGMENT'!$Q$8:$Q$154*'ANALYSE - ERP =&gt; SOUS-SEGMENT'!$FE$8:$FE$154*'ANALYSE - ERP =&gt; SOUS-SEGMENT'!$JF$8:$JF$154)/SUMPRODUCT(('ANALYSE - ERP =&gt; SOUS-SEGMENT'!$C$8:$C$154=$C39)*'ANALYSE - ERP =&gt; SOUS-SEGMENT'!$Q$8:$Q$154*'ANALYSE - ERP =&gt; SOUS-SEGMENT'!$FE$8:$FE$154),0)</f>
        <v>0</v>
      </c>
      <c r="JD39" s="733">
        <f>IFERROR(SUMPRODUCT(('ANALYSE - ERP =&gt; SOUS-SEGMENT'!$C$8:$C$154=$C39)*'ANALYSE - ERP =&gt; SOUS-SEGMENT'!$Q$8:$Q$154*'ANALYSE - ERP =&gt; SOUS-SEGMENT'!$FE$8:$FE$154*'ANALYSE - ERP =&gt; SOUS-SEGMENT'!$JG$8:$JG$154)/SUMPRODUCT(('ANALYSE - ERP =&gt; SOUS-SEGMENT'!$C$8:$C$154=$C39)*'ANALYSE - ERP =&gt; SOUS-SEGMENT'!$Q$8:$Q$154*'ANALYSE - ERP =&gt; SOUS-SEGMENT'!$FE$8:$FE$154),0)</f>
        <v>0</v>
      </c>
      <c r="JE39" s="733">
        <f>IFERROR(SUMPRODUCT(('ANALYSE - ERP =&gt; SOUS-SEGMENT'!$C$8:$C$154=$C39)*'ANALYSE - ERP =&gt; SOUS-SEGMENT'!$Q$8:$Q$154*'ANALYSE - ERP =&gt; SOUS-SEGMENT'!$FE$8:$FE$154*'ANALYSE - ERP =&gt; SOUS-SEGMENT'!$JH$8:$JH$154)/SUMPRODUCT(('ANALYSE - ERP =&gt; SOUS-SEGMENT'!$C$8:$C$154=$C39)*'ANALYSE - ERP =&gt; SOUS-SEGMENT'!$Q$8:$Q$154*'ANALYSE - ERP =&gt; SOUS-SEGMENT'!$FE$8:$FE$154),0)</f>
        <v>0</v>
      </c>
      <c r="JF39" s="733">
        <f>IFERROR(SUMPRODUCT(('ANALYSE - ERP =&gt; SOUS-SEGMENT'!$C$8:$C$154=$C39)*'ANALYSE - ERP =&gt; SOUS-SEGMENT'!$Q$8:$Q$154*'ANALYSE - ERP =&gt; SOUS-SEGMENT'!$BG$8:$BG$154*'ANALYSE - ERP =&gt; SOUS-SEGMENT'!$JI$8:$JI$154)/SUMPRODUCT(('ANALYSE - ERP =&gt; SOUS-SEGMENT'!$C$8:$C$154=$C39)*'ANALYSE - ERP =&gt; SOUS-SEGMENT'!$Q$8:$Q$154*'ANALYSE - ERP =&gt; SOUS-SEGMENT'!$BG$8:$BG$154),0)</f>
        <v>0</v>
      </c>
      <c r="JG39" s="733">
        <f>IFERROR(SUMPRODUCT(('ANALYSE - ERP =&gt; SOUS-SEGMENT'!$C$8:$C$154=$C39)*'ANALYSE - ERP =&gt; SOUS-SEGMENT'!$Q$8:$Q$154*'ANALYSE - ERP =&gt; SOUS-SEGMENT'!$BG$8:$BG$154*'ANALYSE - ERP =&gt; SOUS-SEGMENT'!$JJ$8:$JJ$154)/SUMPRODUCT(('ANALYSE - ERP =&gt; SOUS-SEGMENT'!$C$8:$C$154=$C39)*'ANALYSE - ERP =&gt; SOUS-SEGMENT'!$Q$8:$Q$154*'ANALYSE - ERP =&gt; SOUS-SEGMENT'!$BG$8:$BG$154),0)</f>
        <v>0</v>
      </c>
      <c r="JH39" s="733">
        <f>IFERROR(SUMPRODUCT(('ANALYSE - ERP =&gt; SOUS-SEGMENT'!$C$8:$C$154=$C39)*'ANALYSE - ERP =&gt; SOUS-SEGMENT'!$Q$8:$Q$154*'ANALYSE - ERP =&gt; SOUS-SEGMENT'!$BG$8:$BG$154*'ANALYSE - ERP =&gt; SOUS-SEGMENT'!$JK$8:$JK$154)/SUMPRODUCT(('ANALYSE - ERP =&gt; SOUS-SEGMENT'!$C$8:$C$154=$C39)*'ANALYSE - ERP =&gt; SOUS-SEGMENT'!$Q$8:$Q$154*'ANALYSE - ERP =&gt; SOUS-SEGMENT'!$BG$8:$BG$154),0)</f>
        <v>0</v>
      </c>
      <c r="JI39" s="733">
        <f>IFERROR(SUMPRODUCT(('ANALYSE - ERP =&gt; SOUS-SEGMENT'!$C$8:$C$154=$C39)*'ANALYSE - ERP =&gt; SOUS-SEGMENT'!$Q$8:$Q$154*'ANALYSE - ERP =&gt; SOUS-SEGMENT'!$BG$8:$BG$154*'ANALYSE - ERP =&gt; SOUS-SEGMENT'!$JL$8:$JL$154)/SUMPRODUCT(('ANALYSE - ERP =&gt; SOUS-SEGMENT'!$C$8:$C$154=$C39)*'ANALYSE - ERP =&gt; SOUS-SEGMENT'!$Q$8:$Q$154*'ANALYSE - ERP =&gt; SOUS-SEGMENT'!$BG$8:$BG$154),0)</f>
        <v>0</v>
      </c>
      <c r="JJ39" s="733">
        <f>IFERROR(SUMPRODUCT(('ANALYSE - ERP =&gt; SOUS-SEGMENT'!$C$8:$C$154=$C39)*'ANALYSE - ERP =&gt; SOUS-SEGMENT'!$Q$8:$Q$154*'ANALYSE - ERP =&gt; SOUS-SEGMENT'!$BG$8:$BG$154*'ANALYSE - ERP =&gt; SOUS-SEGMENT'!$JM$8:$JM$154)/SUMPRODUCT(('ANALYSE - ERP =&gt; SOUS-SEGMENT'!$C$8:$C$154=$C39)*'ANALYSE - ERP =&gt; SOUS-SEGMENT'!$Q$8:$Q$154*'ANALYSE - ERP =&gt; SOUS-SEGMENT'!$BG$8:$BG$154),0)</f>
        <v>0</v>
      </c>
      <c r="JK39" s="733">
        <f>IFERROR(SUMPRODUCT(('ANALYSE - ERP =&gt; SOUS-SEGMENT'!$C$8:$C$154=$C39)*'ANALYSE - ERP =&gt; SOUS-SEGMENT'!$Q$8:$Q$154*'ANALYSE - ERP =&gt; SOUS-SEGMENT'!$FH$8:$FH$154*'ANALYSE - ERP =&gt; SOUS-SEGMENT'!$JN$8:$JN$154)/SUMPRODUCT(('ANALYSE - ERP =&gt; SOUS-SEGMENT'!$C$8:$C$154=$C39)*'ANALYSE - ERP =&gt; SOUS-SEGMENT'!$Q$8:$Q$154*'ANALYSE - ERP =&gt; SOUS-SEGMENT'!$FH$8:$FH$154),0)</f>
        <v>0</v>
      </c>
      <c r="JL39" s="733">
        <f>IFERROR(SUMPRODUCT(('ANALYSE - ERP =&gt; SOUS-SEGMENT'!$C$8:$C$154=$C39)*'ANALYSE - ERP =&gt; SOUS-SEGMENT'!$Q$8:$Q$154*'ANALYSE - ERP =&gt; SOUS-SEGMENT'!$FH$8:$FH$154*'ANALYSE - ERP =&gt; SOUS-SEGMENT'!$JO$8:$JO$154)/SUMPRODUCT(('ANALYSE - ERP =&gt; SOUS-SEGMENT'!$C$8:$C$154=$C39)*'ANALYSE - ERP =&gt; SOUS-SEGMENT'!$Q$8:$Q$154*'ANALYSE - ERP =&gt; SOUS-SEGMENT'!$FH$8:$FH$154),0)</f>
        <v>0</v>
      </c>
      <c r="JM39" s="733">
        <f>IFERROR(SUMPRODUCT(('ANALYSE - ERP =&gt; SOUS-SEGMENT'!$C$8:$C$154=$C39)*'ANALYSE - ERP =&gt; SOUS-SEGMENT'!$Q$8:$Q$154*'ANALYSE - ERP =&gt; SOUS-SEGMENT'!$FH$8:$FH$154*'ANALYSE - ERP =&gt; SOUS-SEGMENT'!$JP$8:$JP$154)/SUMPRODUCT(('ANALYSE - ERP =&gt; SOUS-SEGMENT'!$C$8:$C$154=$C39)*'ANALYSE - ERP =&gt; SOUS-SEGMENT'!$Q$8:$Q$154*'ANALYSE - ERP =&gt; SOUS-SEGMENT'!$FH$8:$FH$154),0)</f>
        <v>0</v>
      </c>
      <c r="JN39" s="733">
        <f>IFERROR(SUMPRODUCT(('ANALYSE - ERP =&gt; SOUS-SEGMENT'!$C$8:$C$154=$C39)*'ANALYSE - ERP =&gt; SOUS-SEGMENT'!$Q$8:$Q$154*'ANALYSE - ERP =&gt; SOUS-SEGMENT'!$FH$8:$FH$154*'ANALYSE - ERP =&gt; SOUS-SEGMENT'!$JQ$8:$JQ$154)/SUMPRODUCT(('ANALYSE - ERP =&gt; SOUS-SEGMENT'!$C$8:$C$154=$C39)*'ANALYSE - ERP =&gt; SOUS-SEGMENT'!$Q$8:$Q$154*'ANALYSE - ERP =&gt; SOUS-SEGMENT'!$FH$8:$FH$154),0)</f>
        <v>0</v>
      </c>
      <c r="JO39" s="733">
        <f>IFERROR(SUMPRODUCT(('ANALYSE - ERP =&gt; SOUS-SEGMENT'!$C$8:$C$154=$C39)*'ANALYSE - ERP =&gt; SOUS-SEGMENT'!$Q$8:$Q$154*'ANALYSE - ERP =&gt; SOUS-SEGMENT'!$FH$8:$FH$154*'ANALYSE - ERP =&gt; SOUS-SEGMENT'!$JR$8:$JR$154)/SUMPRODUCT(('ANALYSE - ERP =&gt; SOUS-SEGMENT'!$C$8:$C$154=$C39)*'ANALYSE - ERP =&gt; SOUS-SEGMENT'!$Q$8:$Q$154*'ANALYSE - ERP =&gt; SOUS-SEGMENT'!$FH$8:$FH$154),0)</f>
        <v>0</v>
      </c>
      <c r="JP39" s="733">
        <f>IFERROR(SUMPRODUCT(('ANALYSE - ERP =&gt; SOUS-SEGMENT'!$C$8:$C$154=$C39)*'ANALYSE - ERP =&gt; SOUS-SEGMENT'!$Q$8:$Q$154*'ANALYSE - ERP =&gt; SOUS-SEGMENT'!$BH$8:$BH$154*'ANALYSE - ERP =&gt; SOUS-SEGMENT'!$JS$8:$JS$154)/SUMPRODUCT(('ANALYSE - ERP =&gt; SOUS-SEGMENT'!$C$8:$C$154=$C39)*'ANALYSE - ERP =&gt; SOUS-SEGMENT'!$Q$8:$Q$154*'ANALYSE - ERP =&gt; SOUS-SEGMENT'!$BH$8:$BH$154),0)</f>
        <v>0</v>
      </c>
      <c r="JQ39" s="733">
        <f>IFERROR(SUMPRODUCT(('ANALYSE - ERP =&gt; SOUS-SEGMENT'!$C$8:$C$154=$C39)*'ANALYSE - ERP =&gt; SOUS-SEGMENT'!$Q$8:$Q$154*'ANALYSE - ERP =&gt; SOUS-SEGMENT'!$BH$8:$BH$154*'ANALYSE - ERP =&gt; SOUS-SEGMENT'!$JT$8:$JT$154)/SUMPRODUCT(('ANALYSE - ERP =&gt; SOUS-SEGMENT'!$C$8:$C$154=$C39)*'ANALYSE - ERP =&gt; SOUS-SEGMENT'!$Q$8:$Q$154*'ANALYSE - ERP =&gt; SOUS-SEGMENT'!$BH$8:$BH$154),0)</f>
        <v>0</v>
      </c>
      <c r="JR39" s="733">
        <f>IFERROR(SUMPRODUCT(('ANALYSE - ERP =&gt; SOUS-SEGMENT'!$C$8:$C$154=$C39)*'ANALYSE - ERP =&gt; SOUS-SEGMENT'!$Q$8:$Q$154*'ANALYSE - ERP =&gt; SOUS-SEGMENT'!$BH$8:$BH$154*'ANALYSE - ERP =&gt; SOUS-SEGMENT'!$JU$8:$JU$154)/SUMPRODUCT(('ANALYSE - ERP =&gt; SOUS-SEGMENT'!$C$8:$C$154=$C39)*'ANALYSE - ERP =&gt; SOUS-SEGMENT'!$Q$8:$Q$154*'ANALYSE - ERP =&gt; SOUS-SEGMENT'!$BH$8:$BH$154),0)</f>
        <v>0</v>
      </c>
      <c r="JS39" s="733">
        <f>IFERROR(SUMPRODUCT(('ANALYSE - ERP =&gt; SOUS-SEGMENT'!$C$8:$C$154=$C39)*'ANALYSE - ERP =&gt; SOUS-SEGMENT'!$Q$8:$Q$154*'ANALYSE - ERP =&gt; SOUS-SEGMENT'!$BH$8:$BH$154*'ANALYSE - ERP =&gt; SOUS-SEGMENT'!$JV$8:$JV$154)/SUMPRODUCT(('ANALYSE - ERP =&gt; SOUS-SEGMENT'!$C$8:$C$154=$C39)*'ANALYSE - ERP =&gt; SOUS-SEGMENT'!$Q$8:$Q$154*'ANALYSE - ERP =&gt; SOUS-SEGMENT'!$BH$8:$BH$154),0)</f>
        <v>0</v>
      </c>
      <c r="JT39" s="733">
        <f>IFERROR(SUMPRODUCT(('ANALYSE - ERP =&gt; SOUS-SEGMENT'!$C$8:$C$154=$C39)*'ANALYSE - ERP =&gt; SOUS-SEGMENT'!$Q$8:$Q$154*'ANALYSE - ERP =&gt; SOUS-SEGMENT'!$BH$8:$BH$154*'ANALYSE - ERP =&gt; SOUS-SEGMENT'!$JW$8:$JW$154)/SUMPRODUCT(('ANALYSE - ERP =&gt; SOUS-SEGMENT'!$C$8:$C$154=$C39)*'ANALYSE - ERP =&gt; SOUS-SEGMENT'!$Q$8:$Q$154*'ANALYSE - ERP =&gt; SOUS-SEGMENT'!$BH$8:$BH$154),0)</f>
        <v>0</v>
      </c>
      <c r="JU39" s="733">
        <f>IFERROR(SUMPRODUCT(('ANALYSE - ERP =&gt; SOUS-SEGMENT'!$C$8:$C$154=$C39)*'ANALYSE - ERP =&gt; SOUS-SEGMENT'!$Q$8:$Q$154*'ANALYSE - ERP =&gt; SOUS-SEGMENT'!$FK$8:$FK$154*'ANALYSE - ERP =&gt; SOUS-SEGMENT'!$JX$8:$JX$154)/SUMPRODUCT(('ANALYSE - ERP =&gt; SOUS-SEGMENT'!$C$8:$C$154=$C39)*'ANALYSE - ERP =&gt; SOUS-SEGMENT'!$Q$8:$Q$154*'ANALYSE - ERP =&gt; SOUS-SEGMENT'!$FK$8:$FK$154),0)</f>
        <v>0</v>
      </c>
      <c r="JV39" s="733">
        <f>IFERROR(SUMPRODUCT(('ANALYSE - ERP =&gt; SOUS-SEGMENT'!$C$8:$C$154=$C39)*'ANALYSE - ERP =&gt; SOUS-SEGMENT'!$Q$8:$Q$154*'ANALYSE - ERP =&gt; SOUS-SEGMENT'!$FK$8:$FK$154*'ANALYSE - ERP =&gt; SOUS-SEGMENT'!$JY$8:$JY$154)/SUMPRODUCT(('ANALYSE - ERP =&gt; SOUS-SEGMENT'!$C$8:$C$154=$C39)*'ANALYSE - ERP =&gt; SOUS-SEGMENT'!$Q$8:$Q$154*'ANALYSE - ERP =&gt; SOUS-SEGMENT'!$FK$8:$FK$154),0)</f>
        <v>0</v>
      </c>
      <c r="JW39" s="733">
        <f>IFERROR(SUMPRODUCT(('ANALYSE - ERP =&gt; SOUS-SEGMENT'!$C$8:$C$154=$C39)*'ANALYSE - ERP =&gt; SOUS-SEGMENT'!$Q$8:$Q$154*'ANALYSE - ERP =&gt; SOUS-SEGMENT'!$FK$8:$FK$154*'ANALYSE - ERP =&gt; SOUS-SEGMENT'!$JZ$8:$JZ$154)/SUMPRODUCT(('ANALYSE - ERP =&gt; SOUS-SEGMENT'!$C$8:$C$154=$C39)*'ANALYSE - ERP =&gt; SOUS-SEGMENT'!$Q$8:$Q$154*'ANALYSE - ERP =&gt; SOUS-SEGMENT'!$FK$8:$FK$154),0)</f>
        <v>0</v>
      </c>
      <c r="JX39" s="733">
        <f>IFERROR(SUMPRODUCT(('ANALYSE - ERP =&gt; SOUS-SEGMENT'!$C$8:$C$154=$C39)*'ANALYSE - ERP =&gt; SOUS-SEGMENT'!$Q$8:$Q$154*'ANALYSE - ERP =&gt; SOUS-SEGMENT'!$FK$8:$FK$154*'ANALYSE - ERP =&gt; SOUS-SEGMENT'!$KA$8:$KA$154)/SUMPRODUCT(('ANALYSE - ERP =&gt; SOUS-SEGMENT'!$C$8:$C$154=$C39)*'ANALYSE - ERP =&gt; SOUS-SEGMENT'!$Q$8:$Q$154*'ANALYSE - ERP =&gt; SOUS-SEGMENT'!$FK$8:$FK$154),0)</f>
        <v>0</v>
      </c>
      <c r="JY39" s="733">
        <f>IFERROR(SUMPRODUCT(('ANALYSE - ERP =&gt; SOUS-SEGMENT'!$C$8:$C$154=$C39)*'ANALYSE - ERP =&gt; SOUS-SEGMENT'!$Q$8:$Q$154*'ANALYSE - ERP =&gt; SOUS-SEGMENT'!$FK$8:$FK$154*'ANALYSE - ERP =&gt; SOUS-SEGMENT'!$KB$8:$KB$154)/SUMPRODUCT(('ANALYSE - ERP =&gt; SOUS-SEGMENT'!$C$8:$C$154=$C39)*'ANALYSE - ERP =&gt; SOUS-SEGMENT'!$Q$8:$Q$154*'ANALYSE - ERP =&gt; SOUS-SEGMENT'!$FK$8:$FK$154),0)</f>
        <v>0</v>
      </c>
      <c r="JZ39" s="657"/>
      <c r="KA39" s="298" t="s">
        <v>2590</v>
      </c>
      <c r="KB39" s="298" t="s">
        <v>2591</v>
      </c>
      <c r="KC39" s="888">
        <f>IFERROR(SUMPRODUCT(('ANALYSE - ERP =&gt; SOUS-SEGMENT'!$C$8:$C$154=$C40)*'ANALYSE - ERP =&gt; SOUS-SEGMENT'!$Q$8:$Q$154*'ANALYSE - ERP =&gt; SOUS-SEGMENT'!$EX$8:$EX$154*'ANALYSE - ERP =&gt; SOUS-SEGMENT'!$KF$8:$KF$154)/SUMPRODUCT(('ANALYSE - ERP =&gt; SOUS-SEGMENT'!$C$8:$C$154=$C40)*'ANALYSE - ERP =&gt; SOUS-SEGMENT'!$Q$8:$Q$154*'ANALYSE - ERP =&gt; SOUS-SEGMENT'!$EX$8:$EX$154),"")</f>
        <v>4.4000000000000004</v>
      </c>
      <c r="KD39" s="298" t="s">
        <v>2589</v>
      </c>
      <c r="KE39" s="300" t="s">
        <v>3433</v>
      </c>
      <c r="KF39" s="298" t="s">
        <v>6760</v>
      </c>
      <c r="KG39" s="300" t="s">
        <v>6760</v>
      </c>
    </row>
    <row r="40" spans="1:293" s="933" customFormat="1" ht="48" customHeight="1">
      <c r="A40" s="629">
        <v>20</v>
      </c>
      <c r="B40" s="630" t="s">
        <v>2264</v>
      </c>
      <c r="C40" s="630" t="s">
        <v>7493</v>
      </c>
      <c r="D40" s="630" t="s">
        <v>7494</v>
      </c>
      <c r="E40" s="631" t="s">
        <v>4026</v>
      </c>
      <c r="F40" s="631" t="s">
        <v>4027</v>
      </c>
      <c r="G40" s="631" t="s">
        <v>2121</v>
      </c>
      <c r="H40" s="631" t="s">
        <v>2097</v>
      </c>
      <c r="I40" s="632" t="s">
        <v>7495</v>
      </c>
      <c r="J40" s="632" t="s">
        <v>7496</v>
      </c>
      <c r="K40" s="633" t="s">
        <v>2097</v>
      </c>
      <c r="L40" s="633" t="s">
        <v>2109</v>
      </c>
      <c r="M40" s="633" t="s">
        <v>2603</v>
      </c>
      <c r="N40" s="633" t="s">
        <v>6742</v>
      </c>
      <c r="O40" s="631" t="s">
        <v>2240</v>
      </c>
      <c r="P40" s="632"/>
      <c r="Q40" s="627">
        <f>IF(SUMPRODUCT(('ANALYSE - ERP =&gt; SOUS-SEGMENT'!$C$8:$C$154=$C40)*'ANALYSE - ERP =&gt; SOUS-SEGMENT'!$Q$8:$Q$154)&gt;0,1,0)</f>
        <v>1</v>
      </c>
      <c r="R40" s="634">
        <f>IFERROR(SUMPRODUCT(('ANALYSE - ERP =&gt; SOUS-SEGMENT'!$C$8:$C$154=$C40)*'ANALYSE - ERP =&gt; SOUS-SEGMENT'!$Q$8:$Q$154*'ANALYSE - ERP =&gt; SOUS-SEGMENT'!$AG$8:$AG$154*'ANALYSE - ERP =&gt; SOUS-SEGMENT'!$R$8:$R$154)/SUMPRODUCT(('ANALYSE - ERP =&gt; SOUS-SEGMENT'!$C$8:$C$154=$C40)*'ANALYSE - ERP =&gt; SOUS-SEGMENT'!$Q$8:$Q$154*'ANALYSE - ERP =&gt; SOUS-SEGMENT'!$AG$8:$AG$154),"")</f>
        <v>26000</v>
      </c>
      <c r="S40" s="635">
        <f>SUMPRODUCT(('ANALYSE - ERP =&gt; SOUS-SEGMENT'!$C$8:$C$154=$C40)*'ANALYSE - ERP =&gt; SOUS-SEGMENT'!$Q$8:$Q$154*'ANALYSE - ERP =&gt; SOUS-SEGMENT'!$S$8:$S$154)</f>
        <v>1500</v>
      </c>
      <c r="T40" s="635">
        <f>SUMPRODUCT(('ANALYSE - ERP =&gt; SOUS-SEGMENT'!$C$8:$C$154=$C40)*'ANALYSE - ERP =&gt; SOUS-SEGMENT'!$Q$8:$Q$154*'ANALYSE - ERP =&gt; SOUS-SEGMENT'!$T$8:$T$154)</f>
        <v>1750</v>
      </c>
      <c r="U40" s="635">
        <f>SUMPRODUCT(('ANALYSE - ERP =&gt; SOUS-SEGMENT'!$C$8:$C$154=$C40)*'ANALYSE - ERP =&gt; SOUS-SEGMENT'!$Q$8:$Q$154*'ANALYSE - ERP =&gt; SOUS-SEGMENT'!$U$8:$U$154)</f>
        <v>2050</v>
      </c>
      <c r="V40" s="635">
        <f>SUMPRODUCT(('ANALYSE - ERP =&gt; SOUS-SEGMENT'!$C$8:$C$154=$C40)*'ANALYSE - ERP =&gt; SOUS-SEGMENT'!$Q$8:$Q$154*'ANALYSE - ERP =&gt; SOUS-SEGMENT'!$V$8:$V$154)</f>
        <v>2400</v>
      </c>
      <c r="W40" s="635">
        <f>SUMPRODUCT(('ANALYSE - ERP =&gt; SOUS-SEGMENT'!$C$8:$C$154=$C40)*'ANALYSE - ERP =&gt; SOUS-SEGMENT'!$Q$8:$Q$154*'ANALYSE - ERP =&gt; SOUS-SEGMENT'!$W$8:$W$154)</f>
        <v>2480</v>
      </c>
      <c r="X40" s="635">
        <f>SUMPRODUCT(('ANALYSE - ERP =&gt; SOUS-SEGMENT'!$C$8:$C$154=$C40)*'ANALYSE - ERP =&gt; SOUS-SEGMENT'!$Q$8:$Q$154*'ANALYSE - ERP =&gt; SOUS-SEGMENT'!$X$8:$X$154)</f>
        <v>2570</v>
      </c>
      <c r="Y40" s="635">
        <f>SUMPRODUCT(('ANALYSE - ERP =&gt; SOUS-SEGMENT'!$C$8:$C$154=$C40)*'ANALYSE - ERP =&gt; SOUS-SEGMENT'!$Q$8:$Q$154*'ANALYSE - ERP =&gt; SOUS-SEGMENT'!$Y$8:$Y$154)</f>
        <v>2680</v>
      </c>
      <c r="Z40" s="635">
        <f>SUMPRODUCT(('ANALYSE - ERP =&gt; SOUS-SEGMENT'!$C$8:$C$154=$C40)*'ANALYSE - ERP =&gt; SOUS-SEGMENT'!$Q$8:$Q$154*'ANALYSE - ERP =&gt; SOUS-SEGMENT'!$Z$8:$Z$154)</f>
        <v>2790</v>
      </c>
      <c r="AA40" s="635">
        <f>SUMPRODUCT(('ANALYSE - ERP =&gt; SOUS-SEGMENT'!$C$8:$C$154=$C40)*'ANALYSE - ERP =&gt; SOUS-SEGMENT'!$Q$8:$Q$154*'ANALYSE - ERP =&gt; SOUS-SEGMENT'!$AA$8:$AA$154)</f>
        <v>2910</v>
      </c>
      <c r="AB40" s="635">
        <f>SUMPRODUCT(('ANALYSE - ERP =&gt; SOUS-SEGMENT'!$C$8:$C$154=$C40)*'ANALYSE - ERP =&gt; SOUS-SEGMENT'!$Q$8:$Q$154*'ANALYSE - ERP =&gt; SOUS-SEGMENT'!$AB$8:$AB$154)</f>
        <v>3020</v>
      </c>
      <c r="AC40" s="635">
        <f>SUMPRODUCT(('ANALYSE - ERP =&gt; SOUS-SEGMENT'!$C$8:$C$154=$C40)*'ANALYSE - ERP =&gt; SOUS-SEGMENT'!$Q$8:$Q$154*'ANALYSE - ERP =&gt; SOUS-SEGMENT'!$AC$8:$AC$154)</f>
        <v>3180</v>
      </c>
      <c r="AD40" s="635">
        <f>SUMPRODUCT(('ANALYSE - ERP =&gt; SOUS-SEGMENT'!$C$8:$C$154=$C40)*'ANALYSE - ERP =&gt; SOUS-SEGMENT'!$Q$8:$Q$154*'ANALYSE - ERP =&gt; SOUS-SEGMENT'!$AD$8:$AD$154)</f>
        <v>3360</v>
      </c>
      <c r="AE40" s="635">
        <f>SUMPRODUCT(('ANALYSE - ERP =&gt; SOUS-SEGMENT'!$C$8:$C$154=$C40)*'ANALYSE - ERP =&gt; SOUS-SEGMENT'!$Q$8:$Q$154*'ANALYSE - ERP =&gt; SOUS-SEGMENT'!$AE$8:$AE$154)</f>
        <v>3520</v>
      </c>
      <c r="AF40" s="635">
        <f>SUMPRODUCT(('ANALYSE - ERP =&gt; SOUS-SEGMENT'!$C$8:$C$154=$C40)*'ANALYSE - ERP =&gt; SOUS-SEGMENT'!$Q$8:$Q$154*'ANALYSE - ERP =&gt; SOUS-SEGMENT'!$AF$8:$AF$154)</f>
        <v>3650</v>
      </c>
      <c r="AG40" s="635">
        <f>SUMPRODUCT(('ANALYSE - ERP =&gt; SOUS-SEGMENT'!$C$8:$C$154=$C40)*'ANALYSE - ERP =&gt; SOUS-SEGMENT'!$Q$8:$Q$154*'ANALYSE - ERP =&gt; SOUS-SEGMENT'!$AG$8:$AG$154)</f>
        <v>3740</v>
      </c>
      <c r="AH40" s="635">
        <f>SUMPRODUCT(('ANALYSE - ERP =&gt; SOUS-SEGMENT'!$C$8:$C$154=$C40)*'ANALYSE - ERP =&gt; SOUS-SEGMENT'!$Q$8:$Q$154*'ANALYSE - ERP =&gt; SOUS-SEGMENT'!$AH$8:$AH$154)</f>
        <v>3830</v>
      </c>
      <c r="AI40" s="635">
        <f>SUMPRODUCT(('ANALYSE - ERP =&gt; SOUS-SEGMENT'!$C$8:$C$154=$C40)*'ANALYSE - ERP =&gt; SOUS-SEGMENT'!$Q$8:$Q$154*'ANALYSE - ERP =&gt; SOUS-SEGMENT'!$AI$8:$AI$154)</f>
        <v>3920</v>
      </c>
      <c r="AJ40" s="635">
        <f>SUMPRODUCT(('ANALYSE - ERP =&gt; SOUS-SEGMENT'!$C$8:$C$154=$C40)*'ANALYSE - ERP =&gt; SOUS-SEGMENT'!$Q$8:$Q$154*'ANALYSE - ERP =&gt; SOUS-SEGMENT'!$AJ$8:$AJ$154)</f>
        <v>4010</v>
      </c>
      <c r="AK40" s="635">
        <f>SUMPRODUCT(('ANALYSE - ERP =&gt; SOUS-SEGMENT'!$C$8:$C$154=$C40)*'ANALYSE - ERP =&gt; SOUS-SEGMENT'!$Q$8:$Q$154*'ANALYSE - ERP =&gt; SOUS-SEGMENT'!$AK$8:$AK$154)</f>
        <v>4100</v>
      </c>
      <c r="AL40" s="632" t="s">
        <v>7471</v>
      </c>
      <c r="AM40" s="632" t="s">
        <v>7472</v>
      </c>
      <c r="AN40" s="632"/>
      <c r="AO40" s="657"/>
      <c r="AP40" s="634">
        <f>IFERROR(SUMPRODUCT(('ANALYSE - ERP =&gt; SOUS-SEGMENT'!$C$8:$C$154=$C40)*'ANALYSE - ERP =&gt; SOUS-SEGMENT'!$Q$8:$Q$154*'ANALYSE - ERP =&gt; SOUS-SEGMENT'!$AG$8:$AG$154*'ANALYSE - ERP =&gt; SOUS-SEGMENT'!$AP$8:$AP$154)/SUMPRODUCT(('ANALYSE - ERP =&gt; SOUS-SEGMENT'!$C$8:$C$154=$C40)*'ANALYSE - ERP =&gt; SOUS-SEGMENT'!$Q$8:$Q$154*'ANALYSE - ERP =&gt; SOUS-SEGMENT'!$AG$8:$AG$154),"")</f>
        <v>170</v>
      </c>
      <c r="AQ40" s="634">
        <f>IFERROR(SUMPRODUCT(('ANALYSE - ERP =&gt; SOUS-SEGMENT'!$C$8:$C$154=$C40)*'ANALYSE - ERP =&gt; SOUS-SEGMENT'!$Q$8:$Q$154*'ANALYSE - ERP =&gt; SOUS-SEGMENT'!$AF$8:$AF$154*'ANALYSE - ERP =&gt; SOUS-SEGMENT'!$AQ$8:$AQ$154)/SUMPRODUCT(('ANALYSE - ERP =&gt; SOUS-SEGMENT'!$C$8:$C$154=$C40)*'ANALYSE - ERP =&gt; SOUS-SEGMENT'!$Q$8:$Q$154*'ANALYSE - ERP =&gt; SOUS-SEGMENT'!$AF$8:$AF$154),"")</f>
        <v>145</v>
      </c>
      <c r="AR40" s="634">
        <f>IFERROR(SUMPRODUCT(('ANALYSE - ERP =&gt; SOUS-SEGMENT'!$C$8:$C$154=$C40)*'ANALYSE - ERP =&gt; SOUS-SEGMENT'!$Q$8:$Q$154*'ANALYSE - ERP =&gt; SOUS-SEGMENT'!$AF$8:$AF$154*'ANALYSE - ERP =&gt; SOUS-SEGMENT'!$AR$8:$AR$154)/SUMPRODUCT(('ANALYSE - ERP =&gt; SOUS-SEGMENT'!$C$8:$C$154=$C40)*'ANALYSE - ERP =&gt; SOUS-SEGMENT'!$Q$8:$Q$154*'ANALYSE - ERP =&gt; SOUS-SEGMENT'!$AF$8:$AF$154),"")</f>
        <v>17</v>
      </c>
      <c r="AS40" s="634">
        <f>IFERROR(SUMPRODUCT(('ANALYSE - ERP =&gt; SOUS-SEGMENT'!$C$8:$C$154=$C40)*'ANALYSE - ERP =&gt; SOUS-SEGMENT'!$Q$8:$Q$154*'ANALYSE - ERP =&gt; SOUS-SEGMENT'!$AF$8:$AF$154*'ANALYSE - ERP =&gt; SOUS-SEGMENT'!$AS$8:$AS$154)/SUMPRODUCT(('ANALYSE - ERP =&gt; SOUS-SEGMENT'!$C$8:$C$154=$C40)*'ANALYSE - ERP =&gt; SOUS-SEGMENT'!$Q$8:$Q$154*'ANALYSE - ERP =&gt; SOUS-SEGMENT'!$AF$8:$AF$154),"")</f>
        <v>8</v>
      </c>
      <c r="AT40" s="657" t="s">
        <v>7497</v>
      </c>
      <c r="AU40" s="636" t="s">
        <v>7498</v>
      </c>
      <c r="AV40" s="637" t="s">
        <v>4061</v>
      </c>
      <c r="AW40" s="636"/>
      <c r="AX40" s="657"/>
      <c r="AY40" s="638">
        <f>IFERROR(SUMPRODUCT(('ANALYSE - ERP =&gt; SOUS-SEGMENT'!$C$8:$C$154=$C40)*'ANALYSE - ERP =&gt; SOUS-SEGMENT'!$Q$8:$Q$154*'ANALYSE - ERP =&gt; SOUS-SEGMENT'!$AF$8:$AF$154*'ANALYSE - ERP =&gt; SOUS-SEGMENT'!$AZ$8:$AZ$154)/SUMPRODUCT(('ANALYSE - ERP =&gt; SOUS-SEGMENT'!$C$8:$C$154=$C40)*'ANALYSE - ERP =&gt; SOUS-SEGMENT'!$Q$8:$Q$154*'ANALYSE - ERP =&gt; SOUS-SEGMENT'!$AF$8:$AF$154),"")</f>
        <v>16</v>
      </c>
      <c r="AZ40" s="979">
        <f>IFERROR(SUMPRODUCT(('ANALYSE - ERP =&gt; SOUS-SEGMENT'!$C$8:$C$154=$C40)*'ANALYSE - ERP =&gt; SOUS-SEGMENT'!$Q$8:$Q$154*'ANALYSE - ERP =&gt; SOUS-SEGMENT'!$AF$8:$AF$154*'ANALYSE - ERP =&gt; SOUS-SEGMENT'!$BA$8:$BA$154)/SUMPRODUCT(('ANALYSE - ERP =&gt; SOUS-SEGMENT'!$C$8:$C$154=$C40)*'ANALYSE - ERP =&gt; SOUS-SEGMENT'!$Q$8:$Q$154*'ANALYSE - ERP =&gt; SOUS-SEGMENT'!$AF$8:$AF$154),"")</f>
        <v>1</v>
      </c>
      <c r="BA40" s="638">
        <f>IFERROR(SUMPRODUCT(('ANALYSE - ERP =&gt; SOUS-SEGMENT'!$C$8:$C$154=$C40)*'ANALYSE - ERP =&gt; SOUS-SEGMENT'!$Q$8:$Q$154*'ANALYSE - ERP =&gt; SOUS-SEGMENT'!$AF$8:$AF$154*'ANALYSE - ERP =&gt; SOUS-SEGMENT'!$BB$8:$BB$154)/SUMPRODUCT(('ANALYSE - ERP =&gt; SOUS-SEGMENT'!$C$8:$C$154=$C40)*'ANALYSE - ERP =&gt; SOUS-SEGMENT'!$Q$8:$Q$154*'ANALYSE - ERP =&gt; SOUS-SEGMENT'!$AF$8:$AF$154),"")</f>
        <v>4</v>
      </c>
      <c r="BB40" s="638">
        <f>IFERROR(SUMPRODUCT(('ANALYSE - ERP =&gt; SOUS-SEGMENT'!$C$8:$C$154=$C40)*'ANALYSE - ERP =&gt; SOUS-SEGMENT'!$Q$8:$Q$154*'ANALYSE - ERP =&gt; SOUS-SEGMENT'!$AF$8:$AF$154*'ANALYSE - ERP =&gt; SOUS-SEGMENT'!$BC$8:$BC$154)/SUMPRODUCT(('ANALYSE - ERP =&gt; SOUS-SEGMENT'!$C$8:$C$154=$C40)*'ANALYSE - ERP =&gt; SOUS-SEGMENT'!$Q$8:$Q$154*'ANALYSE - ERP =&gt; SOUS-SEGMENT'!$AF$8:$AF$154),"")</f>
        <v>12</v>
      </c>
      <c r="BC40" s="639">
        <f>SUMPRODUCT(('ANALYSE - ERP =&gt; SOUS-SEGMENT'!$C$8:$C$154=$C40)*'ANALYSE - ERP =&gt; SOUS-SEGMENT'!$Q$8:$Q$154*'ANALYSE - ERP =&gt; SOUS-SEGMENT'!$BE$8:$BE$154)</f>
        <v>58400</v>
      </c>
      <c r="BD40" s="639">
        <f>SUMPRODUCT(('ANALYSE - ERP =&gt; SOUS-SEGMENT'!$C$8:$C$154=$C40)*'ANALYSE - ERP =&gt; SOUS-SEGMENT'!$Q$8:$Q$154*'ANALYSE - ERP =&gt; SOUS-SEGMENT'!$BF$8:$BF$154)</f>
        <v>3650</v>
      </c>
      <c r="BE40" s="639">
        <f>SUMPRODUCT(('ANALYSE - ERP =&gt; SOUS-SEGMENT'!$C$8:$C$154=$C40)*'ANALYSE - ERP =&gt; SOUS-SEGMENT'!$Q$8:$Q$154*'ANALYSE - ERP =&gt; SOUS-SEGMENT'!$BG$8:$BG$154)</f>
        <v>14600</v>
      </c>
      <c r="BF40" s="639">
        <f>SUMPRODUCT(('ANALYSE - ERP =&gt; SOUS-SEGMENT'!$C$8:$C$154=$C40)*'ANALYSE - ERP =&gt; SOUS-SEGMENT'!$Q$8:$Q$154*'ANALYSE - ERP =&gt; SOUS-SEGMENT'!$BH$8:$BH$154)</f>
        <v>43800</v>
      </c>
      <c r="BG40" s="639">
        <f>SUMPRODUCT(('ANALYSE - ERP =&gt; SOUS-SEGMENT'!$C$8:$C$154=$C40)*'ANALYSE - ERP =&gt; SOUS-SEGMENT'!$Q$8:$Q$154*'ANALYSE - ERP =&gt; SOUS-SEGMENT'!$BJ$8:$BJ$154)</f>
        <v>65600</v>
      </c>
      <c r="BH40" s="639">
        <f>SUMPRODUCT(('ANALYSE - ERP =&gt; SOUS-SEGMENT'!$C$8:$C$154=$C40)*'ANALYSE - ERP =&gt; SOUS-SEGMENT'!$Q$8:$Q$154*'ANALYSE - ERP =&gt; SOUS-SEGMENT'!$BK$8:$BK$154)</f>
        <v>4100</v>
      </c>
      <c r="BI40" s="639">
        <f>SUMPRODUCT(('ANALYSE - ERP =&gt; SOUS-SEGMENT'!$C$8:$C$154=$C40)*'ANALYSE - ERP =&gt; SOUS-SEGMENT'!$Q$8:$Q$154*'ANALYSE - ERP =&gt; SOUS-SEGMENT'!$BL$8:$BL$154)</f>
        <v>16400</v>
      </c>
      <c r="BJ40" s="639">
        <f>SUMPRODUCT(('ANALYSE - ERP =&gt; SOUS-SEGMENT'!$C$8:$C$154=$C40)*'ANALYSE - ERP =&gt; SOUS-SEGMENT'!$Q$8:$Q$154*'ANALYSE - ERP =&gt; SOUS-SEGMENT'!$BM$8:$BM$154)</f>
        <v>49200</v>
      </c>
      <c r="BK40" s="657"/>
      <c r="BL40" s="284">
        <f>IFERROR(SUMPRODUCT(('ANALYSE - ERP =&gt; SOUS-SEGMENT'!$C$8:$C$154=$C40)*'ANALYSE - ERP =&gt; SOUS-SEGMENT'!$Q$8:$Q$154*'ANALYSE - ERP =&gt; SOUS-SEGMENT'!$BE$8:$BE$154*'ANALYSE - ERP =&gt; SOUS-SEGMENT'!$BO$8:$BO$154)/SUMPRODUCT(('ANALYSE - ERP =&gt; SOUS-SEGMENT'!$C$8:$C$154=$C40)*'ANALYSE - ERP =&gt; SOUS-SEGMENT'!$Q$8:$Q$154*'ANALYSE - ERP =&gt; SOUS-SEGMENT'!$BE$8:$BE$154),"")</f>
        <v>0.42</v>
      </c>
      <c r="BM40" s="284">
        <f>IFERROR(SUMPRODUCT(('ANALYSE - ERP =&gt; SOUS-SEGMENT'!$C$8:$C$154=$C40)*'ANALYSE - ERP =&gt; SOUS-SEGMENT'!$Q$8:$Q$154*'ANALYSE - ERP =&gt; SOUS-SEGMENT'!$BE$8:$BE$154*'ANALYSE - ERP =&gt; SOUS-SEGMENT'!$BP$8:$BP$154)/SUMPRODUCT(('ANALYSE - ERP =&gt; SOUS-SEGMENT'!$C$8:$C$154=$C40)*'ANALYSE - ERP =&gt; SOUS-SEGMENT'!$Q$8:$Q$154*'ANALYSE - ERP =&gt; SOUS-SEGMENT'!$BE$8:$BE$154),"")</f>
        <v>0.4</v>
      </c>
      <c r="BN40" s="284">
        <f>IFERROR(SUMPRODUCT(('ANALYSE - ERP =&gt; SOUS-SEGMENT'!$C$8:$C$154=$C40)*'ANALYSE - ERP =&gt; SOUS-SEGMENT'!$Q$8:$Q$154*'ANALYSE - ERP =&gt; SOUS-SEGMENT'!$BE$8:$BE$154*'ANALYSE - ERP =&gt; SOUS-SEGMENT'!$BQ$8:$BQ$154)/SUMPRODUCT(('ANALYSE - ERP =&gt; SOUS-SEGMENT'!$C$8:$C$154=$C40)*'ANALYSE - ERP =&gt; SOUS-SEGMENT'!$Q$8:$Q$154*'ANALYSE - ERP =&gt; SOUS-SEGMENT'!$BE$8:$BE$154),"")</f>
        <v>0.13</v>
      </c>
      <c r="BO40" s="284">
        <f>IFERROR(SUMPRODUCT(('ANALYSE - ERP =&gt; SOUS-SEGMENT'!$C$8:$C$154=$C40)*'ANALYSE - ERP =&gt; SOUS-SEGMENT'!$Q$8:$Q$154*'ANALYSE - ERP =&gt; SOUS-SEGMENT'!$BE$8:$BE$154*'ANALYSE - ERP =&gt; SOUS-SEGMENT'!$BR$8:$BR$154)/SUMPRODUCT(('ANALYSE - ERP =&gt; SOUS-SEGMENT'!$C$8:$C$154=$C40)*'ANALYSE - ERP =&gt; SOUS-SEGMENT'!$Q$8:$Q$154*'ANALYSE - ERP =&gt; SOUS-SEGMENT'!$BE$8:$BE$154),"")</f>
        <v>0.05</v>
      </c>
      <c r="BP40" s="284">
        <f>IFERROR(SUMPRODUCT(('ANALYSE - ERP =&gt; SOUS-SEGMENT'!$C$8:$C$154=$C40)*'ANALYSE - ERP =&gt; SOUS-SEGMENT'!$Q$8:$Q$154*'ANALYSE - ERP =&gt; SOUS-SEGMENT'!$BJ$8:$BJ$154*'ANALYSE - ERP =&gt; SOUS-SEGMENT'!$BS$8:$BS$154)/SUMPRODUCT(('ANALYSE - ERP =&gt; SOUS-SEGMENT'!$C$8:$C$154=$C40)*'ANALYSE - ERP =&gt; SOUS-SEGMENT'!$Q$8:$Q$154*'ANALYSE - ERP =&gt; SOUS-SEGMENT'!$BJ$8:$BJ$154),"")</f>
        <v>0.37</v>
      </c>
      <c r="BQ40" s="284">
        <f>IFERROR(SUMPRODUCT(('ANALYSE - ERP =&gt; SOUS-SEGMENT'!$C$8:$C$154=$C40)*'ANALYSE - ERP =&gt; SOUS-SEGMENT'!$Q$8:$Q$154*'ANALYSE - ERP =&gt; SOUS-SEGMENT'!$BJ$8:$BJ$154*'ANALYSE - ERP =&gt; SOUS-SEGMENT'!$BT$8:$BT$154)/SUMPRODUCT(('ANALYSE - ERP =&gt; SOUS-SEGMENT'!$C$8:$C$154=$C40)*'ANALYSE - ERP =&gt; SOUS-SEGMENT'!$Q$8:$Q$154*'ANALYSE - ERP =&gt; SOUS-SEGMENT'!$BJ$8:$BJ$154),"")</f>
        <v>0.41</v>
      </c>
      <c r="BR40" s="284">
        <f>IFERROR(SUMPRODUCT(('ANALYSE - ERP =&gt; SOUS-SEGMENT'!$C$8:$C$154=$C40)*'ANALYSE - ERP =&gt; SOUS-SEGMENT'!$Q$8:$Q$154*'ANALYSE - ERP =&gt; SOUS-SEGMENT'!$BJ$8:$BJ$154*'ANALYSE - ERP =&gt; SOUS-SEGMENT'!$BU$8:$BU$154)/SUMPRODUCT(('ANALYSE - ERP =&gt; SOUS-SEGMENT'!$C$8:$C$154=$C40)*'ANALYSE - ERP =&gt; SOUS-SEGMENT'!$Q$8:$Q$154*'ANALYSE - ERP =&gt; SOUS-SEGMENT'!$BJ$8:$BJ$154),"")</f>
        <v>0.18</v>
      </c>
      <c r="BS40" s="284">
        <f>IFERROR(SUMPRODUCT(('ANALYSE - ERP =&gt; SOUS-SEGMENT'!$C$8:$C$154=$C40)*'ANALYSE - ERP =&gt; SOUS-SEGMENT'!$Q$8:$Q$154*'ANALYSE - ERP =&gt; SOUS-SEGMENT'!$BJ$8:$BJ$154*'ANALYSE - ERP =&gt; SOUS-SEGMENT'!$BV$8:$BV$154)/SUMPRODUCT(('ANALYSE - ERP =&gt; SOUS-SEGMENT'!$C$8:$C$154=$C40)*'ANALYSE - ERP =&gt; SOUS-SEGMENT'!$Q$8:$Q$154*'ANALYSE - ERP =&gt; SOUS-SEGMENT'!$BJ$8:$BJ$154),"")</f>
        <v>0.04</v>
      </c>
      <c r="BT40" s="285">
        <f>IFERROR(SUMPRODUCT(('ANALYSE - ERP =&gt; SOUS-SEGMENT'!$C$8:$C$154=$C40)*'ANALYSE - ERP =&gt; SOUS-SEGMENT'!$Q$8:$Q$154*'ANALYSE - ERP =&gt; SOUS-SEGMENT'!$BF$8:$BF$154*'ANALYSE - ERP =&gt; SOUS-SEGMENT'!$BW$8:$BW$154)/SUMPRODUCT(('ANALYSE - ERP =&gt; SOUS-SEGMENT'!$C$8:$C$154=$C40)*'ANALYSE - ERP =&gt; SOUS-SEGMENT'!$Q$8:$Q$154*'ANALYSE - ERP =&gt; SOUS-SEGMENT'!$BF$8:$BF$154),"")</f>
        <v>0.42</v>
      </c>
      <c r="BU40" s="285">
        <f>IFERROR(SUMPRODUCT(('ANALYSE - ERP =&gt; SOUS-SEGMENT'!$C$8:$C$154=$C40)*'ANALYSE - ERP =&gt; SOUS-SEGMENT'!$Q$8:$Q$154*'ANALYSE - ERP =&gt; SOUS-SEGMENT'!$BF$8:$BF$154*'ANALYSE - ERP =&gt; SOUS-SEGMENT'!$BX$8:$BX$154)/SUMPRODUCT(('ANALYSE - ERP =&gt; SOUS-SEGMENT'!$C$8:$C$154=$C40)*'ANALYSE - ERP =&gt; SOUS-SEGMENT'!$Q$8:$Q$154*'ANALYSE - ERP =&gt; SOUS-SEGMENT'!$BF$8:$BF$154),"")</f>
        <v>0.4</v>
      </c>
      <c r="BV40" s="285">
        <f>IFERROR(SUMPRODUCT(('ANALYSE - ERP =&gt; SOUS-SEGMENT'!$C$8:$C$154=$C40)*'ANALYSE - ERP =&gt; SOUS-SEGMENT'!$Q$8:$Q$154*'ANALYSE - ERP =&gt; SOUS-SEGMENT'!$BF$8:$BF$154*'ANALYSE - ERP =&gt; SOUS-SEGMENT'!$BY$8:$BY$154)/SUMPRODUCT(('ANALYSE - ERP =&gt; SOUS-SEGMENT'!$C$8:$C$154=$C40)*'ANALYSE - ERP =&gt; SOUS-SEGMENT'!$Q$8:$Q$154*'ANALYSE - ERP =&gt; SOUS-SEGMENT'!$BF$8:$BF$154),"")</f>
        <v>0.18</v>
      </c>
      <c r="BW40" s="285">
        <f>IFERROR(SUMPRODUCT(('ANALYSE - ERP =&gt; SOUS-SEGMENT'!$C$8:$C$154=$C40)*'ANALYSE - ERP =&gt; SOUS-SEGMENT'!$Q$8:$Q$154*'ANALYSE - ERP =&gt; SOUS-SEGMENT'!$BK$8:$BK$154*'ANALYSE - ERP =&gt; SOUS-SEGMENT'!$BZ$8:$BZ$154)/SUMPRODUCT(('ANALYSE - ERP =&gt; SOUS-SEGMENT'!$C$8:$C$154=$C40)*'ANALYSE - ERP =&gt; SOUS-SEGMENT'!$Q$8:$Q$154*'ANALYSE - ERP =&gt; SOUS-SEGMENT'!$BK$8:$BK$154),"")</f>
        <v>0.37</v>
      </c>
      <c r="BX40" s="285">
        <f>IFERROR(SUMPRODUCT(('ANALYSE - ERP =&gt; SOUS-SEGMENT'!$C$8:$C$154=$C40)*'ANALYSE - ERP =&gt; SOUS-SEGMENT'!$Q$8:$Q$154*'ANALYSE - ERP =&gt; SOUS-SEGMENT'!$BK$8:$BK$154*'ANALYSE - ERP =&gt; SOUS-SEGMENT'!$CA$8:$CA$154)/SUMPRODUCT(('ANALYSE - ERP =&gt; SOUS-SEGMENT'!$C$8:$C$154=$C40)*'ANALYSE - ERP =&gt; SOUS-SEGMENT'!$Q$8:$Q$154*'ANALYSE - ERP =&gt; SOUS-SEGMENT'!$BK$8:$BK$154),"")</f>
        <v>0.41</v>
      </c>
      <c r="BY40" s="285">
        <f>IFERROR(SUMPRODUCT(('ANALYSE - ERP =&gt; SOUS-SEGMENT'!$C$8:$C$154=$C40)*'ANALYSE - ERP =&gt; SOUS-SEGMENT'!$Q$8:$Q$154*'ANALYSE - ERP =&gt; SOUS-SEGMENT'!$BK$8:$BK$154*'ANALYSE - ERP =&gt; SOUS-SEGMENT'!$CB$8:$CB$154)/SUMPRODUCT(('ANALYSE - ERP =&gt; SOUS-SEGMENT'!$C$8:$C$154=$C40)*'ANALYSE - ERP =&gt; SOUS-SEGMENT'!$Q$8:$Q$154*'ANALYSE - ERP =&gt; SOUS-SEGMENT'!$BK$8:$BK$154),"")</f>
        <v>0.22</v>
      </c>
      <c r="BZ40" s="284">
        <f>IFERROR(SUMPRODUCT(('ANALYSE - ERP =&gt; SOUS-SEGMENT'!$C$8:$C$154=$C40)*'ANALYSE - ERP =&gt; SOUS-SEGMENT'!$Q$8:$Q$154*'ANALYSE - ERP =&gt; SOUS-SEGMENT'!$BG$8:$BG$154*'ANALYSE - ERP =&gt; SOUS-SEGMENT'!$CC$8:$CC$154)/SUMPRODUCT(('ANALYSE - ERP =&gt; SOUS-SEGMENT'!$C$8:$C$154=$C40)*'ANALYSE - ERP =&gt; SOUS-SEGMENT'!$Q$8:$Q$154*'ANALYSE - ERP =&gt; SOUS-SEGMENT'!$BG$8:$BG$154),"")</f>
        <v>0.16</v>
      </c>
      <c r="CA40" s="284">
        <f>IFERROR(SUMPRODUCT(('ANALYSE - ERP =&gt; SOUS-SEGMENT'!$C$8:$C$154=$C40)*'ANALYSE - ERP =&gt; SOUS-SEGMENT'!$Q$8:$Q$154*'ANALYSE - ERP =&gt; SOUS-SEGMENT'!$BG$8:$BG$154*'ANALYSE - ERP =&gt; SOUS-SEGMENT'!$CD$8:$CD$154)/SUMPRODUCT(('ANALYSE - ERP =&gt; SOUS-SEGMENT'!$C$8:$C$154=$C40)*'ANALYSE - ERP =&gt; SOUS-SEGMENT'!$Q$8:$Q$154*'ANALYSE - ERP =&gt; SOUS-SEGMENT'!$BG$8:$BG$154),"")</f>
        <v>0.51</v>
      </c>
      <c r="CB40" s="284">
        <f>IFERROR(SUMPRODUCT(('ANALYSE - ERP =&gt; SOUS-SEGMENT'!$C$8:$C$154=$C40)*'ANALYSE - ERP =&gt; SOUS-SEGMENT'!$Q$8:$Q$154*'ANALYSE - ERP =&gt; SOUS-SEGMENT'!$BG$8:$BG$154*'ANALYSE - ERP =&gt; SOUS-SEGMENT'!$CE$8:$CE$154)/SUMPRODUCT(('ANALYSE - ERP =&gt; SOUS-SEGMENT'!$C$8:$C$154=$C40)*'ANALYSE - ERP =&gt; SOUS-SEGMENT'!$Q$8:$Q$154*'ANALYSE - ERP =&gt; SOUS-SEGMENT'!$BG$8:$BG$154),"")</f>
        <v>0.22</v>
      </c>
      <c r="CC40" s="284">
        <f>IFERROR(SUMPRODUCT(('ANALYSE - ERP =&gt; SOUS-SEGMENT'!$C$8:$C$154=$C40)*'ANALYSE - ERP =&gt; SOUS-SEGMENT'!$Q$8:$Q$154*'ANALYSE - ERP =&gt; SOUS-SEGMENT'!$BG$8:$BG$154*'ANALYSE - ERP =&gt; SOUS-SEGMENT'!$CF$8:$CF$154)/SUMPRODUCT(('ANALYSE - ERP =&gt; SOUS-SEGMENT'!$C$8:$C$154=$C40)*'ANALYSE - ERP =&gt; SOUS-SEGMENT'!$Q$8:$Q$154*'ANALYSE - ERP =&gt; SOUS-SEGMENT'!$BG$8:$BG$154),"")</f>
        <v>0.11</v>
      </c>
      <c r="CD40" s="284">
        <f>IFERROR(SUMPRODUCT(('ANALYSE - ERP =&gt; SOUS-SEGMENT'!$C$8:$C$154=$C40)*'ANALYSE - ERP =&gt; SOUS-SEGMENT'!$Q$8:$Q$154*'ANALYSE - ERP =&gt; SOUS-SEGMENT'!$BL$8:$BL$154*'ANALYSE - ERP =&gt; SOUS-SEGMENT'!$CG$8:$CG$154)/SUMPRODUCT(('ANALYSE - ERP =&gt; SOUS-SEGMENT'!$C$8:$C$154=$C40)*'ANALYSE - ERP =&gt; SOUS-SEGMENT'!$Q$8:$Q$154*'ANALYSE - ERP =&gt; SOUS-SEGMENT'!$BL$8:$BL$154),"")</f>
        <v>0.13</v>
      </c>
      <c r="CE40" s="284">
        <f>IFERROR(SUMPRODUCT(('ANALYSE - ERP =&gt; SOUS-SEGMENT'!$C$8:$C$154=$C40)*'ANALYSE - ERP =&gt; SOUS-SEGMENT'!$Q$8:$Q$154*'ANALYSE - ERP =&gt; SOUS-SEGMENT'!$BL$8:$BL$154*'ANALYSE - ERP =&gt; SOUS-SEGMENT'!$CH$8:$CH$154)/SUMPRODUCT(('ANALYSE - ERP =&gt; SOUS-SEGMENT'!$C$8:$C$154=$C40)*'ANALYSE - ERP =&gt; SOUS-SEGMENT'!$Q$8:$Q$154*'ANALYSE - ERP =&gt; SOUS-SEGMENT'!$BL$8:$BL$154),"")</f>
        <v>0.49</v>
      </c>
      <c r="CF40" s="284">
        <f>IFERROR(SUMPRODUCT(('ANALYSE - ERP =&gt; SOUS-SEGMENT'!$C$8:$C$154=$C40)*'ANALYSE - ERP =&gt; SOUS-SEGMENT'!$Q$8:$Q$154*'ANALYSE - ERP =&gt; SOUS-SEGMENT'!$BL$8:$BL$154*'ANALYSE - ERP =&gt; SOUS-SEGMENT'!$CI$8:$CI$154)/SUMPRODUCT(('ANALYSE - ERP =&gt; SOUS-SEGMENT'!$C$8:$C$154=$C40)*'ANALYSE - ERP =&gt; SOUS-SEGMENT'!$Q$8:$Q$154*'ANALYSE - ERP =&gt; SOUS-SEGMENT'!$BL$8:$BL$154),"")</f>
        <v>0.25</v>
      </c>
      <c r="CG40" s="284">
        <f>IFERROR(SUMPRODUCT(('ANALYSE - ERP =&gt; SOUS-SEGMENT'!$C$8:$C$154=$C40)*'ANALYSE - ERP =&gt; SOUS-SEGMENT'!$Q$8:$Q$154*'ANALYSE - ERP =&gt; SOUS-SEGMENT'!$BL$8:$BL$154*'ANALYSE - ERP =&gt; SOUS-SEGMENT'!$CJ$8:$CJ$154)/SUMPRODUCT(('ANALYSE - ERP =&gt; SOUS-SEGMENT'!$C$8:$C$154=$C40)*'ANALYSE - ERP =&gt; SOUS-SEGMENT'!$Q$8:$Q$154*'ANALYSE - ERP =&gt; SOUS-SEGMENT'!$BL$8:$BL$154),"")</f>
        <v>0.13</v>
      </c>
      <c r="CH40" s="286">
        <f>IFERROR(SUMPRODUCT(('ANALYSE - ERP =&gt; SOUS-SEGMENT'!$C$8:$C$154=$C40)*'ANALYSE - ERP =&gt; SOUS-SEGMENT'!$Q$8:$Q$154*'ANALYSE - ERP =&gt; SOUS-SEGMENT'!$BH$8:$BH$154*'ANALYSE - ERP =&gt; SOUS-SEGMENT'!$CK$8:$CK$154)/SUMPRODUCT(('ANALYSE - ERP =&gt; SOUS-SEGMENT'!$C$8:$C$154=$C40)*'ANALYSE - ERP =&gt; SOUS-SEGMENT'!$Q$8:$Q$154*'ANALYSE - ERP =&gt; SOUS-SEGMENT'!$BH$8:$BH$154),"")</f>
        <v>0.57999999999999996</v>
      </c>
      <c r="CI40" s="286">
        <f>IFERROR(SUMPRODUCT(('ANALYSE - ERP =&gt; SOUS-SEGMENT'!$C$8:$C$154=$C40)*'ANALYSE - ERP =&gt; SOUS-SEGMENT'!$Q$8:$Q$154*'ANALYSE - ERP =&gt; SOUS-SEGMENT'!$BH$8:$BH$154*'ANALYSE - ERP =&gt; SOUS-SEGMENT'!$CL$8:$CL$154)/SUMPRODUCT(('ANALYSE - ERP =&gt; SOUS-SEGMENT'!$C$8:$C$154=$C40)*'ANALYSE - ERP =&gt; SOUS-SEGMENT'!$Q$8:$Q$154*'ANALYSE - ERP =&gt; SOUS-SEGMENT'!$BH$8:$BH$154),"")</f>
        <v>0.28999999999999998</v>
      </c>
      <c r="CJ40" s="286">
        <f>IFERROR(SUMPRODUCT(('ANALYSE - ERP =&gt; SOUS-SEGMENT'!$C$8:$C$154=$C40)*'ANALYSE - ERP =&gt; SOUS-SEGMENT'!$Q$8:$Q$154*'ANALYSE - ERP =&gt; SOUS-SEGMENT'!$BH$8:$BH$154*'ANALYSE - ERP =&gt; SOUS-SEGMENT'!$CM$8:$CM$154)/SUMPRODUCT(('ANALYSE - ERP =&gt; SOUS-SEGMENT'!$C$8:$C$154=$C40)*'ANALYSE - ERP =&gt; SOUS-SEGMENT'!$Q$8:$Q$154*'ANALYSE - ERP =&gt; SOUS-SEGMENT'!$BH$8:$BH$154),"")</f>
        <v>0.13</v>
      </c>
      <c r="CK40" s="286">
        <f>IFERROR(SUMPRODUCT(('ANALYSE - ERP =&gt; SOUS-SEGMENT'!$C$8:$C$154=$C40)*'ANALYSE - ERP =&gt; SOUS-SEGMENT'!$Q$8:$Q$154*'ANALYSE - ERP =&gt; SOUS-SEGMENT'!$BM$8:$BM$154*'ANALYSE - ERP =&gt; SOUS-SEGMENT'!$CN$8:$CN$154)/SUMPRODUCT(('ANALYSE - ERP =&gt; SOUS-SEGMENT'!$C$8:$C$154=$C40)*'ANALYSE - ERP =&gt; SOUS-SEGMENT'!$Q$8:$Q$154*'ANALYSE - ERP =&gt; SOUS-SEGMENT'!$BM$8:$BM$154),"")</f>
        <v>0.53</v>
      </c>
      <c r="CL40" s="286">
        <f>IFERROR(SUMPRODUCT(('ANALYSE - ERP =&gt; SOUS-SEGMENT'!$C$8:$C$154=$C40)*'ANALYSE - ERP =&gt; SOUS-SEGMENT'!$Q$8:$Q$154*'ANALYSE - ERP =&gt; SOUS-SEGMENT'!$BM$8:$BM$154*'ANALYSE - ERP =&gt; SOUS-SEGMENT'!$CO$8:$CO$154)/SUMPRODUCT(('ANALYSE - ERP =&gt; SOUS-SEGMENT'!$C$8:$C$154=$C40)*'ANALYSE - ERP =&gt; SOUS-SEGMENT'!$Q$8:$Q$154*'ANALYSE - ERP =&gt; SOUS-SEGMENT'!$BM$8:$BM$154),"")</f>
        <v>0.32</v>
      </c>
      <c r="CM40" s="286">
        <f>IFERROR(SUMPRODUCT(('ANALYSE - ERP =&gt; SOUS-SEGMENT'!$C$8:$C$154=$C40)*'ANALYSE - ERP =&gt; SOUS-SEGMENT'!$Q$8:$Q$154*'ANALYSE - ERP =&gt; SOUS-SEGMENT'!$BM$8:$BM$154*'ANALYSE - ERP =&gt; SOUS-SEGMENT'!$CP$8:$CP$154)/SUMPRODUCT(('ANALYSE - ERP =&gt; SOUS-SEGMENT'!$C$8:$C$154=$C40)*'ANALYSE - ERP =&gt; SOUS-SEGMENT'!$Q$8:$Q$154*'ANALYSE - ERP =&gt; SOUS-SEGMENT'!$BM$8:$BM$154),"")</f>
        <v>0.15</v>
      </c>
      <c r="CN40" s="657"/>
      <c r="CO40" s="883">
        <f>IFERROR(SUMPRODUCT(('ANALYSE - ERP =&gt; SOUS-SEGMENT'!$C$8:$C$154=$C40)*'ANALYSE - ERP =&gt; SOUS-SEGMENT'!$DH$8:$DH$154*('ANALYSE - ERP =&gt; SOUS-SEGMENT'!$CR$8:$CR$154&gt;0)*'ANALYSE - ERP =&gt; SOUS-SEGMENT'!$CR$8:$CR$154)/SUMPRODUCT(('ANALYSE - ERP =&gt; SOUS-SEGMENT'!$C$8:$C$154=$C40)*'ANALYSE - ERP =&gt; SOUS-SEGMENT'!$DH$8:$DH$154*('ANALYSE - ERP =&gt; SOUS-SEGMENT'!$CR$8:$CR$154&gt;0)),"")</f>
        <v>13</v>
      </c>
      <c r="CP40" s="883">
        <f>IFERROR(SUMPRODUCT(('ANALYSE - ERP =&gt; SOUS-SEGMENT'!$C$8:$C$154=$C40)*'ANALYSE - ERP =&gt; SOUS-SEGMENT'!$DI$8:$DI$154*('ANALYSE - ERP =&gt; SOUS-SEGMENT'!$CS$8:$CS$154&gt;0)*'ANALYSE - ERP =&gt; SOUS-SEGMENT'!$CS$8:$CS$154)/SUMPRODUCT(('ANALYSE - ERP =&gt; SOUS-SEGMENT'!$C$8:$C$154=$C40)*'ANALYSE - ERP =&gt; SOUS-SEGMENT'!$DI$8:$DI$154*('ANALYSE - ERP =&gt; SOUS-SEGMENT'!$CS$8:$CS$154&gt;0)),"")</f>
        <v>13</v>
      </c>
      <c r="CQ40" s="883">
        <f>IFERROR(SUMPRODUCT(('ANALYSE - ERP =&gt; SOUS-SEGMENT'!$C$8:$C$154=$C40)*'ANALYSE - ERP =&gt; SOUS-SEGMENT'!$DJ$8:$DJ$154*('ANALYSE - ERP =&gt; SOUS-SEGMENT'!$CT$8:$CT$154&gt;0)*'ANALYSE - ERP =&gt; SOUS-SEGMENT'!$CT$8:$CT$154)/SUMPRODUCT(('ANALYSE - ERP =&gt; SOUS-SEGMENT'!$C$8:$C$154=$C40)*'ANALYSE - ERP =&gt; SOUS-SEGMENT'!$DJ$8:$DJ$154*('ANALYSE - ERP =&gt; SOUS-SEGMENT'!$CT$8:$CT$154&gt;0)),"")</f>
        <v>10</v>
      </c>
      <c r="CR40" s="883">
        <f>IFERROR(SUMPRODUCT(('ANALYSE - ERP =&gt; SOUS-SEGMENT'!$C$8:$C$154=$C40)*'ANALYSE - ERP =&gt; SOUS-SEGMENT'!$DK$8:$DK$154*('ANALYSE - ERP =&gt; SOUS-SEGMENT'!$CU$8:$CU$154&gt;0)*'ANALYSE - ERP =&gt; SOUS-SEGMENT'!$CU$8:$CU$154)/SUMPRODUCT(('ANALYSE - ERP =&gt; SOUS-SEGMENT'!$C$8:$C$154=$C40)*'ANALYSE - ERP =&gt; SOUS-SEGMENT'!$DK$8:$DK$154*('ANALYSE - ERP =&gt; SOUS-SEGMENT'!$CU$8:$CU$154&gt;0)),"")</f>
        <v>12</v>
      </c>
      <c r="CS40" s="883">
        <f>IFERROR(SUMPRODUCT(('ANALYSE - ERP =&gt; SOUS-SEGMENT'!$C$8:$C$154=$C40)*'ANALYSE - ERP =&gt; SOUS-SEGMENT'!$DS$8:$DS$154*('ANALYSE - ERP =&gt; SOUS-SEGMENT'!$CV$8:$CV$154&gt;0)*'ANALYSE - ERP =&gt; SOUS-SEGMENT'!$CV$8:$CV$154)/SUMPRODUCT(('ANALYSE - ERP =&gt; SOUS-SEGMENT'!$C$8:$C$154=$C40)*'ANALYSE - ERP =&gt; SOUS-SEGMENT'!$DS$8:$DS$154*('ANALYSE - ERP =&gt; SOUS-SEGMENT'!$CV$8:$CV$154&gt;0)),"")</f>
        <v>12</v>
      </c>
      <c r="CT40" s="883">
        <f>IFERROR(SUMPRODUCT(('ANALYSE - ERP =&gt; SOUS-SEGMENT'!$C$8:$C$154=$C40)*'ANALYSE - ERP =&gt; SOUS-SEGMENT'!$DT$8:$DT$154*('ANALYSE - ERP =&gt; SOUS-SEGMENT'!$CW$8:$CW$154&gt;0)*'ANALYSE - ERP =&gt; SOUS-SEGMENT'!$CW$8:$CW$154)/SUMPRODUCT(('ANALYSE - ERP =&gt; SOUS-SEGMENT'!$C$8:$C$154=$C40)*'ANALYSE - ERP =&gt; SOUS-SEGMENT'!$DT$8:$DT$154*('ANALYSE - ERP =&gt; SOUS-SEGMENT'!$CW$8:$CW$154&gt;0)),"")</f>
        <v>11</v>
      </c>
      <c r="CU40" s="883">
        <f>IFERROR(SUMPRODUCT(('ANALYSE - ERP =&gt; SOUS-SEGMENT'!$C$8:$C$154=$C40)*'ANALYSE - ERP =&gt; SOUS-SEGMENT'!$DU$8:$DU$154*('ANALYSE - ERP =&gt; SOUS-SEGMENT'!$CX$8:$CX$154&gt;0)*'ANALYSE - ERP =&gt; SOUS-SEGMENT'!$CX$8:$CX$154)/SUMPRODUCT(('ANALYSE - ERP =&gt; SOUS-SEGMENT'!$C$8:$C$154=$C40)*'ANALYSE - ERP =&gt; SOUS-SEGMENT'!$DU$8:$DU$154*('ANALYSE - ERP =&gt; SOUS-SEGMENT'!$CX$8:$CX$154&gt;0)),"")</f>
        <v>9</v>
      </c>
      <c r="CV40" s="883">
        <f>IFERROR(SUMPRODUCT(('ANALYSE - ERP =&gt; SOUS-SEGMENT'!$C$8:$C$154=$C40)*'ANALYSE - ERP =&gt; SOUS-SEGMENT'!$EB$8:$EB$154*('ANALYSE - ERP =&gt; SOUS-SEGMENT'!$CY$8:$CY$154&gt;0)*'ANALYSE - ERP =&gt; SOUS-SEGMENT'!$CY$8:$CY$154)/SUMPRODUCT(('ANALYSE - ERP =&gt; SOUS-SEGMENT'!$C$8:$C$154=$C40)*'ANALYSE - ERP =&gt; SOUS-SEGMENT'!$EB$8:$EB$154*('ANALYSE - ERP =&gt; SOUS-SEGMENT'!$CY$8:$CY$154&gt;0)),"")</f>
        <v>11</v>
      </c>
      <c r="CW40" s="883">
        <f>IFERROR(SUMPRODUCT(('ANALYSE - ERP =&gt; SOUS-SEGMENT'!$C$8:$C$154=$C40)*'ANALYSE - ERP =&gt; SOUS-SEGMENT'!$EC$8:$EC$154*('ANALYSE - ERP =&gt; SOUS-SEGMENT'!$CZ$8:$CZ$154&gt;0)*'ANALYSE - ERP =&gt; SOUS-SEGMENT'!$CZ$8:$CZ$154)/SUMPRODUCT(('ANALYSE - ERP =&gt; SOUS-SEGMENT'!$C$8:$C$154=$C40)*'ANALYSE - ERP =&gt; SOUS-SEGMENT'!$EC$8:$EC$154*('ANALYSE - ERP =&gt; SOUS-SEGMENT'!$CZ$8:$CZ$154&gt;0)),"")</f>
        <v>13</v>
      </c>
      <c r="CX40" s="883">
        <f>IFERROR(SUMPRODUCT(('ANALYSE - ERP =&gt; SOUS-SEGMENT'!$C$8:$C$154=$C40)*'ANALYSE - ERP =&gt; SOUS-SEGMENT'!$ED$8:$ED$154*('ANALYSE - ERP =&gt; SOUS-SEGMENT'!$DA$8:$DA$154&gt;0)*'ANALYSE - ERP =&gt; SOUS-SEGMENT'!$DA$8:$DA$154)/SUMPRODUCT(('ANALYSE - ERP =&gt; SOUS-SEGMENT'!$C$8:$C$154=$C40)*'ANALYSE - ERP =&gt; SOUS-SEGMENT'!$ED$8:$ED$154*('ANALYSE - ERP =&gt; SOUS-SEGMENT'!$DA$8:$DA$154&gt;0)),"")</f>
        <v>9</v>
      </c>
      <c r="CY40" s="883">
        <f>IFERROR(SUMPRODUCT(('ANALYSE - ERP =&gt; SOUS-SEGMENT'!$C$8:$C$154=$C40)*'ANALYSE - ERP =&gt; SOUS-SEGMENT'!$EE$8:$EE$154*('ANALYSE - ERP =&gt; SOUS-SEGMENT'!$DB$8:$DB$154&gt;0)*'ANALYSE - ERP =&gt; SOUS-SEGMENT'!$DB$8:$DB$154)/SUMPRODUCT(('ANALYSE - ERP =&gt; SOUS-SEGMENT'!$C$8:$C$154=$C40)*'ANALYSE - ERP =&gt; SOUS-SEGMENT'!$EE$8:$EE$154*('ANALYSE - ERP =&gt; SOUS-SEGMENT'!$DB$8:$DB$154&gt;0)),"")</f>
        <v>11</v>
      </c>
      <c r="CZ40" s="883">
        <f>IFERROR(SUMPRODUCT(('ANALYSE - ERP =&gt; SOUS-SEGMENT'!$C$8:$C$154=$C40)*'ANALYSE - ERP =&gt; SOUS-SEGMENT'!$EM$8:$EM$154*('ANALYSE - ERP =&gt; SOUS-SEGMENT'!$DC$8:$DC$154&gt;0)*'ANALYSE - ERP =&gt; SOUS-SEGMENT'!$DC$8:$DC$154)/SUMPRODUCT(('ANALYSE - ERP =&gt; SOUS-SEGMENT'!$C$8:$C$154=$C40)*'ANALYSE - ERP =&gt; SOUS-SEGMENT'!$EM$8:$EM$154*('ANALYSE - ERP =&gt; SOUS-SEGMENT'!$DC$8:$DC$154&gt;0)),"")</f>
        <v>12</v>
      </c>
      <c r="DA40" s="883">
        <f>IFERROR(SUMPRODUCT(('ANALYSE - ERP =&gt; SOUS-SEGMENT'!$C$8:$C$154=$C40)*'ANALYSE - ERP =&gt; SOUS-SEGMENT'!$EN$8:$EN$154*('ANALYSE - ERP =&gt; SOUS-SEGMENT'!$DD$8:$DD$154&gt;0)*'ANALYSE - ERP =&gt; SOUS-SEGMENT'!$DD$8:$DD$154)/SUMPRODUCT(('ANALYSE - ERP =&gt; SOUS-SEGMENT'!$C$8:$C$154=$C40)*'ANALYSE - ERP =&gt; SOUS-SEGMENT'!$EN$8:$EN$154*('ANALYSE - ERP =&gt; SOUS-SEGMENT'!$DD$8:$DD$154&gt;0)),"")</f>
        <v>13</v>
      </c>
      <c r="DB40" s="883">
        <f>IFERROR(SUMPRODUCT(('ANALYSE - ERP =&gt; SOUS-SEGMENT'!$C$8:$C$154=$C40)*'ANALYSE - ERP =&gt; SOUS-SEGMENT'!$EO$8:$EO$154*('ANALYSE - ERP =&gt; SOUS-SEGMENT'!$DE$8:$DE$154&gt;0)*'ANALYSE - ERP =&gt; SOUS-SEGMENT'!$DE$8:$DE$154)/SUMPRODUCT(('ANALYSE - ERP =&gt; SOUS-SEGMENT'!$C$8:$C$154=$C40)*'ANALYSE - ERP =&gt; SOUS-SEGMENT'!$EO$8:$EO$154*('ANALYSE - ERP =&gt; SOUS-SEGMENT'!$DE$8:$DE$154&gt;0)),"")</f>
        <v>10</v>
      </c>
      <c r="DC40" s="317"/>
      <c r="DD40" s="657"/>
      <c r="DE40" s="640">
        <f t="shared" si="2"/>
        <v>24528</v>
      </c>
      <c r="DF40" s="640">
        <f t="shared" si="3"/>
        <v>23360</v>
      </c>
      <c r="DG40" s="640">
        <f t="shared" si="4"/>
        <v>7592</v>
      </c>
      <c r="DH40" s="640">
        <f t="shared" si="5"/>
        <v>2920</v>
      </c>
      <c r="DI40" s="317" t="s">
        <v>7475</v>
      </c>
      <c r="DJ40" s="640">
        <f t="shared" si="6"/>
        <v>24272</v>
      </c>
      <c r="DK40" s="640">
        <f t="shared" si="7"/>
        <v>26896</v>
      </c>
      <c r="DL40" s="640">
        <f t="shared" si="8"/>
        <v>11808</v>
      </c>
      <c r="DM40" s="640">
        <f t="shared" si="9"/>
        <v>2624</v>
      </c>
      <c r="DN40" s="318" t="s">
        <v>7476</v>
      </c>
      <c r="DO40" s="657"/>
      <c r="DP40" s="640">
        <f t="shared" si="10"/>
        <v>1533</v>
      </c>
      <c r="DQ40" s="640">
        <f t="shared" si="11"/>
        <v>1460</v>
      </c>
      <c r="DR40" s="640">
        <f t="shared" si="12"/>
        <v>657</v>
      </c>
      <c r="DS40" s="318" t="s">
        <v>7477</v>
      </c>
      <c r="DT40" s="640">
        <f t="shared" si="13"/>
        <v>1517</v>
      </c>
      <c r="DU40" s="640">
        <f t="shared" si="14"/>
        <v>1681</v>
      </c>
      <c r="DV40" s="640">
        <f t="shared" si="15"/>
        <v>902</v>
      </c>
      <c r="DW40" s="318" t="s">
        <v>7477</v>
      </c>
      <c r="DX40" s="657"/>
      <c r="DY40" s="640">
        <f t="shared" si="16"/>
        <v>2336</v>
      </c>
      <c r="DZ40" s="640">
        <f t="shared" si="17"/>
        <v>7446</v>
      </c>
      <c r="EA40" s="640">
        <f t="shared" si="18"/>
        <v>3212</v>
      </c>
      <c r="EB40" s="640">
        <f t="shared" si="19"/>
        <v>1606</v>
      </c>
      <c r="EC40" s="318" t="s">
        <v>7477</v>
      </c>
      <c r="ED40" s="640">
        <f t="shared" si="20"/>
        <v>2132</v>
      </c>
      <c r="EE40" s="640">
        <f t="shared" si="21"/>
        <v>8036</v>
      </c>
      <c r="EF40" s="640">
        <f t="shared" si="22"/>
        <v>4100</v>
      </c>
      <c r="EG40" s="640">
        <f t="shared" si="23"/>
        <v>2132</v>
      </c>
      <c r="EH40" s="641" t="s">
        <v>7478</v>
      </c>
      <c r="EI40" s="290"/>
      <c r="EJ40" s="640">
        <f t="shared" si="24"/>
        <v>25404</v>
      </c>
      <c r="EK40" s="642">
        <f t="shared" si="25"/>
        <v>12702</v>
      </c>
      <c r="EL40" s="642">
        <f t="shared" si="26"/>
        <v>5694</v>
      </c>
      <c r="EM40" s="318" t="s">
        <v>7479</v>
      </c>
      <c r="EN40" s="640">
        <f t="shared" si="27"/>
        <v>26076</v>
      </c>
      <c r="EO40" s="642">
        <f t="shared" si="28"/>
        <v>15744</v>
      </c>
      <c r="EP40" s="642">
        <f t="shared" si="29"/>
        <v>7380</v>
      </c>
      <c r="EQ40" s="318" t="s">
        <v>7480</v>
      </c>
      <c r="ER40" s="657"/>
      <c r="ES40" s="731">
        <f t="shared" si="30"/>
        <v>0.89344804765056263</v>
      </c>
      <c r="ET40" s="731">
        <f t="shared" si="31"/>
        <v>6.6181336863004633E-2</v>
      </c>
      <c r="EU40" s="292">
        <f t="shared" si="32"/>
        <v>52837.777407560527</v>
      </c>
      <c r="EV40" s="292">
        <f t="shared" si="33"/>
        <v>27474.90140756053</v>
      </c>
      <c r="EW40" s="292">
        <f t="shared" si="34"/>
        <v>25362.876</v>
      </c>
      <c r="EX40" s="292">
        <f t="shared" si="35"/>
        <v>24951.837842707693</v>
      </c>
      <c r="EY40" s="292">
        <f>SUMPRODUCT(('ANALYSE - ERP =&gt; SOUS-SEGMENT'!$C$8:$C$154=$C40)*'ANALYSE - ERP =&gt; SOUS-SEGMENT'!$Q$8:$Q$154*'ANALYSE - ERP =&gt; SOUS-SEGMENT'!$FB$8:$FB$154)</f>
        <v>12654.685842707693</v>
      </c>
      <c r="EZ40" s="292">
        <f>SUMPRODUCT(('ANALYSE - ERP =&gt; SOUS-SEGMENT'!$C$8:$C$154=$C40)*'ANALYSE - ERP =&gt; SOUS-SEGMENT'!$Q$8:$Q$154*'ANALYSE - ERP =&gt; SOUS-SEGMENT'!$FC$8:$FC$154)</f>
        <v>12297.152</v>
      </c>
      <c r="FA40" s="292">
        <f t="shared" si="36"/>
        <v>1743.2646556363634</v>
      </c>
      <c r="FB40" s="292">
        <f>SUMPRODUCT(('ANALYSE - ERP =&gt; SOUS-SEGMENT'!$C$8:$C$154=$C40)*'ANALYSE - ERP =&gt; SOUS-SEGMENT'!$Q$8:$Q$154*'ANALYSE - ERP =&gt; SOUS-SEGMENT'!$FE$8:$FE$154)</f>
        <v>974.6926556363635</v>
      </c>
      <c r="FC40" s="292">
        <f>SUMPRODUCT(('ANALYSE - ERP =&gt; SOUS-SEGMENT'!$C$8:$C$154=$C40)*'ANALYSE - ERP =&gt; SOUS-SEGMENT'!$Q$8:$Q$154*'ANALYSE - ERP =&gt; SOUS-SEGMENT'!$FF$8:$FF$154)</f>
        <v>768.572</v>
      </c>
      <c r="FD40" s="292">
        <f t="shared" si="37"/>
        <v>6761.5013154933959</v>
      </c>
      <c r="FE40" s="292">
        <f>SUMPRODUCT(('ANALYSE - ERP =&gt; SOUS-SEGMENT'!$C$8:$C$154=$C40)*'ANALYSE - ERP =&gt; SOUS-SEGMENT'!$Q$8:$Q$154*'ANALYSE - ERP =&gt; SOUS-SEGMENT'!$FH$8:$FH$154)</f>
        <v>3687.2133154933958</v>
      </c>
      <c r="FF40" s="292">
        <f>SUMPRODUCT(('ANALYSE - ERP =&gt; SOUS-SEGMENT'!$C$8:$C$154=$C40)*'ANALYSE - ERP =&gt; SOUS-SEGMENT'!$Q$8:$Q$154*'ANALYSE - ERP =&gt; SOUS-SEGMENT'!$FI$8:$FI$154)</f>
        <v>3074.288</v>
      </c>
      <c r="FG40" s="292">
        <f t="shared" si="38"/>
        <v>19381.173593723077</v>
      </c>
      <c r="FH40" s="292">
        <f>SUMPRODUCT(('ANALYSE - ERP =&gt; SOUS-SEGMENT'!$C$8:$C$154=$C40)*'ANALYSE - ERP =&gt; SOUS-SEGMENT'!$Q$8:$Q$154*'ANALYSE - ERP =&gt; SOUS-SEGMENT'!$FK$8:$FK$154)</f>
        <v>10158.309593723077</v>
      </c>
      <c r="FI40" s="292">
        <f>SUMPRODUCT(('ANALYSE - ERP =&gt; SOUS-SEGMENT'!$C$8:$C$154=$C40)*'ANALYSE - ERP =&gt; SOUS-SEGMENT'!$Q$8:$Q$154*'ANALYSE - ERP =&gt; SOUS-SEGMENT'!$FL$8:$FL$154)</f>
        <v>9222.8639999999996</v>
      </c>
      <c r="FJ40" s="657"/>
      <c r="FK40" s="319" t="s">
        <v>2616</v>
      </c>
      <c r="FL40" s="731">
        <f>IFERROR(SUMPRODUCT(('ANALYSE - ERP =&gt; SOUS-SEGMENT'!$C$8:$C$154=$C40)*'ANALYSE - ERP =&gt; SOUS-SEGMENT'!$Q$8:$Q$154*'ANALYSE - ERP =&gt; SOUS-SEGMENT'!$AF$8:$AF$154*'ANALYSE - ERP =&gt; SOUS-SEGMENT'!$FO$8:$FO$154)/SUMPRODUCT(('ANALYSE - ERP =&gt; SOUS-SEGMENT'!$C$8:$C$154=$C40)*'ANALYSE - ERP =&gt; SOUS-SEGMENT'!$Q$8:$Q$154*'ANALYSE - ERP =&gt; SOUS-SEGMENT'!$AF$8:$AF$154),"")</f>
        <v>8.7279999999999996E-2</v>
      </c>
      <c r="FM40" s="778">
        <f>IFERROR(SUMPRODUCT(('ANALYSE - ERP =&gt; SOUS-SEGMENT'!$C$8:$C$154=$C40)*'ANALYSE - ERP =&gt; SOUS-SEGMENT'!$Q$8:$Q$154*'ANALYSE - ERP =&gt; SOUS-SEGMENT'!$AF$8:$AF$154*'ANALYSE - ERP =&gt; SOUS-SEGMENT'!$FP$8:$FP$154)/SUMPRODUCT(('ANALYSE - ERP =&gt; SOUS-SEGMENT'!$C$8:$C$154=$C40)*'ANALYSE - ERP =&gt; SOUS-SEGMENT'!$Q$8:$Q$154*'ANALYSE - ERP =&gt; SOUS-SEGMENT'!$AF$8:$AF$154),"")</f>
        <v>0.82916000000000001</v>
      </c>
      <c r="FN40" s="320" t="s">
        <v>5204</v>
      </c>
      <c r="FO40" s="657"/>
      <c r="FP40" s="887">
        <f>IFERROR(SUMPRODUCT(('ANALYSE - ERP =&gt; SOUS-SEGMENT'!$C$8:$C$154=$C40)*'ANALYSE - ERP =&gt; SOUS-SEGMENT'!$Q$8:$Q$154*'ANALYSE - ERP =&gt; SOUS-SEGMENT'!$EX$8:$EX$154*'ANALYSE - ERP =&gt; SOUS-SEGMENT'!$FS$8:$FS$154)/SUMPRODUCT(('ANALYSE - ERP =&gt; SOUS-SEGMENT'!$C$8:$C$154=$C40)*'ANALYSE - ERP =&gt; SOUS-SEGMENT'!$Q$8:$Q$154*'ANALYSE - ERP =&gt; SOUS-SEGMENT'!$EX$8:$EX$154),"")</f>
        <v>3.2200000000000006</v>
      </c>
      <c r="FQ40" s="295">
        <f>RANK($FP40,$FP$8:$FP$143,0)+COUNTIF($FP$8:$FP40,$FP40)-1</f>
        <v>23</v>
      </c>
      <c r="FR40" s="887">
        <f>IFERROR(SUMPRODUCT(('ANALYSE - ERP =&gt; SOUS-SEGMENT'!$C$8:$C$154=$C40)*'ANALYSE - ERP =&gt; SOUS-SEGMENT'!$Q$8:$Q$154*'ANALYSE - ERP =&gt; SOUS-SEGMENT'!$EY$8:$EY$154*'ANALYSE - ERP =&gt; SOUS-SEGMENT'!$FU$8:$FU$154)/SUMPRODUCT(('ANALYSE - ERP =&gt; SOUS-SEGMENT'!$C$8:$C$154=$C40)*'ANALYSE - ERP =&gt; SOUS-SEGMENT'!$Q$8:$Q$154*'ANALYSE - ERP =&gt; SOUS-SEGMENT'!$EY$8:$EY$154),"")</f>
        <v>4.22</v>
      </c>
      <c r="FS40" s="295">
        <f>RANK($FR40,$FR$8:$FR$143,0)+COUNTIF($FR$8:$FR40,$FR40)-1</f>
        <v>9</v>
      </c>
      <c r="FT40" s="887">
        <f>IFERROR(SUMPRODUCT(('ANALYSE - ERP =&gt; SOUS-SEGMENT'!$C$8:$C$154=$C40)*'ANALYSE - ERP =&gt; SOUS-SEGMENT'!$Q$8:$Q$154*'ANALYSE - ERP =&gt; SOUS-SEGMENT'!$EZ$8:$EZ$154*'ANALYSE - ERP =&gt; SOUS-SEGMENT'!$FW$8:$FW$154)/SUMPRODUCT(('ANALYSE - ERP =&gt; SOUS-SEGMENT'!$C$8:$C$154=$C40)*'ANALYSE - ERP =&gt; SOUS-SEGMENT'!$Q$8:$Q$154*'ANALYSE - ERP =&gt; SOUS-SEGMENT'!$EZ$8:$EZ$154),"")</f>
        <v>2</v>
      </c>
      <c r="FU40" s="295">
        <f>RANK($FT40,$FT$8:$FT$143,0)+COUNTIF($FT$8:$FT40,$FT40)-1</f>
        <v>27</v>
      </c>
      <c r="FV40" s="657"/>
      <c r="FW40" s="321" t="s">
        <v>7481</v>
      </c>
      <c r="FX40" s="321" t="s">
        <v>7482</v>
      </c>
      <c r="FY40" s="321" t="s">
        <v>7483</v>
      </c>
      <c r="FZ40" s="321" t="s">
        <v>7484</v>
      </c>
      <c r="GA40" s="321" t="s">
        <v>7485</v>
      </c>
      <c r="GB40" s="321" t="s">
        <v>7486</v>
      </c>
      <c r="GC40" s="321" t="s">
        <v>6759</v>
      </c>
      <c r="GD40" s="657"/>
      <c r="GE40" s="292">
        <f>SUMPRODUCT(('ANALYSE - ERP =&gt; SOUS-SEGMENT'!$C$8:$C$154=$C40)*'ANALYSE - ERP =&gt; SOUS-SEGMENT'!$Q$8:$Q$154*'ANALYSE - ERP =&gt; SOUS-SEGMENT'!$GH$8:$GH$154)</f>
        <v>9500.4141292307704</v>
      </c>
      <c r="GF40" s="292">
        <f>SUMPRODUCT(('ANALYSE - ERP =&gt; SOUS-SEGMENT'!$C$8:$C$154=$C40)*'ANALYSE - ERP =&gt; SOUS-SEGMENT'!$Q$8:$Q$154*'ANALYSE - ERP =&gt; SOUS-SEGMENT'!$GI$8:$GI$154)</f>
        <v>4950.4678892307702</v>
      </c>
      <c r="GG40" s="292">
        <f>SUMPRODUCT(('ANALYSE - ERP =&gt; SOUS-SEGMENT'!$C$8:$C$154=$C40)*'ANALYSE - ERP =&gt; SOUS-SEGMENT'!$Q$8:$Q$154*'ANALYSE - ERP =&gt; SOUS-SEGMENT'!$GJ$8:$GJ$154)</f>
        <v>4549.9462400000002</v>
      </c>
      <c r="GH40" s="292">
        <f>SUMPRODUCT(('ANALYSE - ERP =&gt; SOUS-SEGMENT'!$C$8:$C$154=$C40)*'ANALYSE - ERP =&gt; SOUS-SEGMENT'!$Q$8:$Q$154*'ANALYSE - ERP =&gt; SOUS-SEGMENT'!$GK$8:$GK$154)</f>
        <v>9756.5636430769227</v>
      </c>
      <c r="GI40" s="292">
        <f>SUMPRODUCT(('ANALYSE - ERP =&gt; SOUS-SEGMENT'!$C$8:$C$154=$C40)*'ANALYSE - ERP =&gt; SOUS-SEGMENT'!$Q$8:$Q$154*'ANALYSE - ERP =&gt; SOUS-SEGMENT'!$GL$8:$GL$154)</f>
        <v>4714.7313230769232</v>
      </c>
      <c r="GJ40" s="292">
        <f>SUMPRODUCT(('ANALYSE - ERP =&gt; SOUS-SEGMENT'!$C$8:$C$154=$C40)*'ANALYSE - ERP =&gt; SOUS-SEGMENT'!$Q$8:$Q$154*'ANALYSE - ERP =&gt; SOUS-SEGMENT'!$GM$8:$GM$154)</f>
        <v>5041.8323199999995</v>
      </c>
      <c r="GK40" s="292">
        <f>SUMPRODUCT(('ANALYSE - ERP =&gt; SOUS-SEGMENT'!$C$8:$C$154=$C40)*'ANALYSE - ERP =&gt; SOUS-SEGMENT'!$Q$8:$Q$154*'ANALYSE - ERP =&gt; SOUS-SEGMENT'!$GN$8:$GN$154)</f>
        <v>4529.6960704000003</v>
      </c>
      <c r="GL40" s="292">
        <f>SUMPRODUCT(('ANALYSE - ERP =&gt; SOUS-SEGMENT'!$C$8:$C$154=$C40)*'ANALYSE - ERP =&gt; SOUS-SEGMENT'!$Q$8:$Q$154*'ANALYSE - ERP =&gt; SOUS-SEGMENT'!$GO$8:$GO$154)</f>
        <v>2316.2087104000002</v>
      </c>
      <c r="GM40" s="292">
        <f>SUMPRODUCT(('ANALYSE - ERP =&gt; SOUS-SEGMENT'!$C$8:$C$154=$C40)*'ANALYSE - ERP =&gt; SOUS-SEGMENT'!$Q$8:$Q$154*'ANALYSE - ERP =&gt; SOUS-SEGMENT'!$GP$8:$GP$154)</f>
        <v>2213.4873600000001</v>
      </c>
      <c r="GN40" s="292">
        <f>SUMPRODUCT(('ANALYSE - ERP =&gt; SOUS-SEGMENT'!$C$8:$C$154=$C40)*'ANALYSE - ERP =&gt; SOUS-SEGMENT'!$Q$8:$Q$154*'ANALYSE - ERP =&gt; SOUS-SEGMENT'!$GQ$8:$GQ$154)</f>
        <v>1165.164</v>
      </c>
      <c r="GO40" s="292">
        <f>SUMPRODUCT(('ANALYSE - ERP =&gt; SOUS-SEGMENT'!$C$8:$C$154=$C40)*'ANALYSE - ERP =&gt; SOUS-SEGMENT'!$Q$8:$Q$154*'ANALYSE - ERP =&gt; SOUS-SEGMENT'!$GR$8:$GR$154)</f>
        <v>673.27791999999999</v>
      </c>
      <c r="GP40" s="292">
        <f>SUMPRODUCT(('ANALYSE - ERP =&gt; SOUS-SEGMENT'!$C$8:$C$154=$C40)*'ANALYSE - ERP =&gt; SOUS-SEGMENT'!$Q$8:$Q$154*'ANALYSE - ERP =&gt; SOUS-SEGMENT'!$GS$8:$GS$154)</f>
        <v>491.88607999999999</v>
      </c>
      <c r="GQ40" s="292">
        <f>SUMPRODUCT(('ANALYSE - ERP =&gt; SOUS-SEGMENT'!$C$8:$C$154=$C40)*'ANALYSE - ERP =&gt; SOUS-SEGMENT'!$Q$8:$Q$154*'ANALYSE - ERP =&gt; SOUS-SEGMENT'!$GT$8:$GT$154)</f>
        <v>637.84254799999997</v>
      </c>
      <c r="GR40" s="292">
        <f>SUMPRODUCT(('ANALYSE - ERP =&gt; SOUS-SEGMENT'!$C$8:$C$154=$C40)*'ANALYSE - ERP =&gt; SOUS-SEGMENT'!$Q$8:$Q$154*'ANALYSE - ERP =&gt; SOUS-SEGMENT'!$GU$8:$GU$154)</f>
        <v>353.47090799999995</v>
      </c>
      <c r="GS40" s="292">
        <f>SUMPRODUCT(('ANALYSE - ERP =&gt; SOUS-SEGMENT'!$C$8:$C$154=$C40)*'ANALYSE - ERP =&gt; SOUS-SEGMENT'!$Q$8:$Q$154*'ANALYSE - ERP =&gt; SOUS-SEGMENT'!$GV$8:$GV$154)</f>
        <v>284.37164000000001</v>
      </c>
      <c r="GT40" s="292">
        <f>SUMPRODUCT(('ANALYSE - ERP =&gt; SOUS-SEGMENT'!$C$8:$C$154=$C40)*'ANALYSE - ERP =&gt; SOUS-SEGMENT'!$Q$8:$Q$154*'ANALYSE - ERP =&gt; SOUS-SEGMENT'!$GW$8:$GW$154)</f>
        <v>704.66896363636351</v>
      </c>
      <c r="GU40" s="292">
        <f>SUMPRODUCT(('ANALYSE - ERP =&gt; SOUS-SEGMENT'!$C$8:$C$154=$C40)*'ANALYSE - ERP =&gt; SOUS-SEGMENT'!$Q$8:$Q$154*'ANALYSE - ERP =&gt; SOUS-SEGMENT'!$GX$8:$GX$154)</f>
        <v>389.5544436363636</v>
      </c>
      <c r="GV40" s="292">
        <f>SUMPRODUCT(('ANALYSE - ERP =&gt; SOUS-SEGMENT'!$C$8:$C$154=$C40)*'ANALYSE - ERP =&gt; SOUS-SEGMENT'!$Q$8:$Q$154*'ANALYSE - ERP =&gt; SOUS-SEGMENT'!$GY$8:$GY$154)</f>
        <v>315.11451999999997</v>
      </c>
      <c r="GW40" s="292">
        <f>SUMPRODUCT(('ANALYSE - ERP =&gt; SOUS-SEGMENT'!$C$8:$C$154=$C40)*'ANALYSE - ERP =&gt; SOUS-SEGMENT'!$Q$8:$Q$154*'ANALYSE - ERP =&gt; SOUS-SEGMENT'!$GZ$8:$GZ$154)</f>
        <v>400.75314399999996</v>
      </c>
      <c r="GX40" s="292">
        <f>SUMPRODUCT(('ANALYSE - ERP =&gt; SOUS-SEGMENT'!$C$8:$C$154=$C40)*'ANALYSE - ERP =&gt; SOUS-SEGMENT'!$Q$8:$Q$154*'ANALYSE - ERP =&gt; SOUS-SEGMENT'!$HA$8:$HA$154)</f>
        <v>231.66730399999997</v>
      </c>
      <c r="GY40" s="292">
        <f>SUMPRODUCT(('ANALYSE - ERP =&gt; SOUS-SEGMENT'!$C$8:$C$154=$C40)*'ANALYSE - ERP =&gt; SOUS-SEGMENT'!$Q$8:$Q$154*'ANALYSE - ERP =&gt; SOUS-SEGMENT'!$HB$8:$HB$154)</f>
        <v>169.08583999999999</v>
      </c>
      <c r="GZ40" s="292">
        <f>SUMPRODUCT(('ANALYSE - ERP =&gt; SOUS-SEGMENT'!$C$8:$C$154=$C40)*'ANALYSE - ERP =&gt; SOUS-SEGMENT'!$Q$8:$Q$154*'ANALYSE - ERP =&gt; SOUS-SEGMENT'!$HC$8:$HC$154)</f>
        <v>1022.9445498181819</v>
      </c>
      <c r="HA40" s="292">
        <f>SUMPRODUCT(('ANALYSE - ERP =&gt; SOUS-SEGMENT'!$C$8:$C$154=$C40)*'ANALYSE - ERP =&gt; SOUS-SEGMENT'!$Q$8:$Q$154*'ANALYSE - ERP =&gt; SOUS-SEGMENT'!$HD$8:$HD$154)</f>
        <v>623.28710981818188</v>
      </c>
      <c r="HB40" s="292">
        <f>SUMPRODUCT(('ANALYSE - ERP =&gt; SOUS-SEGMENT'!$C$8:$C$154=$C40)*'ANALYSE - ERP =&gt; SOUS-SEGMENT'!$Q$8:$Q$154*'ANALYSE - ERP =&gt; SOUS-SEGMENT'!$HE$8:$HE$154)</f>
        <v>399.65744000000001</v>
      </c>
      <c r="HC40" s="292">
        <f>SUMPRODUCT(('ANALYSE - ERP =&gt; SOUS-SEGMENT'!$C$8:$C$154=$C40)*'ANALYSE - ERP =&gt; SOUS-SEGMENT'!$Q$8:$Q$154*'ANALYSE - ERP =&gt; SOUS-SEGMENT'!$HF$8:$HF$154)</f>
        <v>3009.2217292307696</v>
      </c>
      <c r="HD40" s="292">
        <f>SUMPRODUCT(('ANALYSE - ERP =&gt; SOUS-SEGMENT'!$C$8:$C$154=$C40)*'ANALYSE - ERP =&gt; SOUS-SEGMENT'!$Q$8:$Q$154*'ANALYSE - ERP =&gt; SOUS-SEGMENT'!$HG$8:$HG$154)</f>
        <v>1502.8206092307694</v>
      </c>
      <c r="HE40" s="292">
        <f>SUMPRODUCT(('ANALYSE - ERP =&gt; SOUS-SEGMENT'!$C$8:$C$154=$C40)*'ANALYSE - ERP =&gt; SOUS-SEGMENT'!$Q$8:$Q$154*'ANALYSE - ERP =&gt; SOUS-SEGMENT'!$HH$8:$HH$154)</f>
        <v>1506.40112</v>
      </c>
      <c r="HF40" s="292">
        <f>SUMPRODUCT(('ANALYSE - ERP =&gt; SOUS-SEGMENT'!$C$8:$C$154=$C40)*'ANALYSE - ERP =&gt; SOUS-SEGMENT'!$Q$8:$Q$154*'ANALYSE - ERP =&gt; SOUS-SEGMENT'!$HI$8:$HI$154)</f>
        <v>1901.1677084444445</v>
      </c>
      <c r="HG40" s="292">
        <f>SUMPRODUCT(('ANALYSE - ERP =&gt; SOUS-SEGMENT'!$C$8:$C$154=$C40)*'ANALYSE - ERP =&gt; SOUS-SEGMENT'!$Q$8:$Q$154*'ANALYSE - ERP =&gt; SOUS-SEGMENT'!$HJ$8:$HJ$154)</f>
        <v>1132.5957084444444</v>
      </c>
      <c r="HH40" s="292">
        <f>SUMPRODUCT(('ANALYSE - ERP =&gt; SOUS-SEGMENT'!$C$8:$C$154=$C40)*'ANALYSE - ERP =&gt; SOUS-SEGMENT'!$Q$8:$Q$154*'ANALYSE - ERP =&gt; SOUS-SEGMENT'!$HK$8:$HK$154)</f>
        <v>768.572</v>
      </c>
      <c r="HI40" s="292">
        <f>SUMPRODUCT(('ANALYSE - ERP =&gt; SOUS-SEGMENT'!$C$8:$C$154=$C40)*'ANALYSE - ERP =&gt; SOUS-SEGMENT'!$Q$8:$Q$154*'ANALYSE - ERP =&gt; SOUS-SEGMENT'!$HL$8:$HL$154)</f>
        <v>828.167328</v>
      </c>
      <c r="HJ40" s="292">
        <f>SUMPRODUCT(('ANALYSE - ERP =&gt; SOUS-SEGMENT'!$C$8:$C$154=$C40)*'ANALYSE - ERP =&gt; SOUS-SEGMENT'!$Q$8:$Q$154*'ANALYSE - ERP =&gt; SOUS-SEGMENT'!$HM$8:$HM$154)</f>
        <v>428.50988800000005</v>
      </c>
      <c r="HK40" s="292">
        <f>SUMPRODUCT(('ANALYSE - ERP =&gt; SOUS-SEGMENT'!$C$8:$C$154=$C40)*'ANALYSE - ERP =&gt; SOUS-SEGMENT'!$Q$8:$Q$154*'ANALYSE - ERP =&gt; SOUS-SEGMENT'!$HN$8:$HN$154)</f>
        <v>399.65744000000001</v>
      </c>
      <c r="HL40" s="292">
        <f>SUMPRODUCT(('ANALYSE - ERP =&gt; SOUS-SEGMENT'!$C$8:$C$154=$C40)*'ANALYSE - ERP =&gt; SOUS-SEGMENT'!$Q$8:$Q$154*'ANALYSE - ERP =&gt; SOUS-SEGMENT'!$HO$8:$HO$154)</f>
        <v>10745.635824000001</v>
      </c>
      <c r="HM40" s="292">
        <f>SUMPRODUCT(('ANALYSE - ERP =&gt; SOUS-SEGMENT'!$C$8:$C$154=$C40)*'ANALYSE - ERP =&gt; SOUS-SEGMENT'!$Q$8:$Q$154*'ANALYSE - ERP =&gt; SOUS-SEGMENT'!$HP$8:$HP$154)</f>
        <v>5857.5179040000003</v>
      </c>
      <c r="HN40" s="292">
        <f>SUMPRODUCT(('ANALYSE - ERP =&gt; SOUS-SEGMENT'!$C$8:$C$154=$C40)*'ANALYSE - ERP =&gt; SOUS-SEGMENT'!$Q$8:$Q$154*'ANALYSE - ERP =&gt; SOUS-SEGMENT'!$HQ$8:$HQ$154)</f>
        <v>4888.1179199999997</v>
      </c>
      <c r="HO40" s="292">
        <f>SUMPRODUCT(('ANALYSE - ERP =&gt; SOUS-SEGMENT'!$C$8:$C$154=$C40)*'ANALYSE - ERP =&gt; SOUS-SEGMENT'!$Q$8:$Q$154*'ANALYSE - ERP =&gt; SOUS-SEGMENT'!$HR$8:$HR$154)</f>
        <v>5514.9516369230769</v>
      </c>
      <c r="HP40" s="292">
        <f>SUMPRODUCT(('ANALYSE - ERP =&gt; SOUS-SEGMENT'!$C$8:$C$154=$C40)*'ANALYSE - ERP =&gt; SOUS-SEGMENT'!$Q$8:$Q$154*'ANALYSE - ERP =&gt; SOUS-SEGMENT'!$HS$8:$HS$154)</f>
        <v>2563.6351569230769</v>
      </c>
      <c r="HQ40" s="292">
        <f>SUMPRODUCT(('ANALYSE - ERP =&gt; SOUS-SEGMENT'!$C$8:$C$154=$C40)*'ANALYSE - ERP =&gt; SOUS-SEGMENT'!$Q$8:$Q$154*'ANALYSE - ERP =&gt; SOUS-SEGMENT'!$HT$8:$HT$154)</f>
        <v>2951.31648</v>
      </c>
      <c r="HR40" s="292">
        <f>SUMPRODUCT(('ANALYSE - ERP =&gt; SOUS-SEGMENT'!$C$8:$C$154=$C40)*'ANALYSE - ERP =&gt; SOUS-SEGMENT'!$Q$8:$Q$154*'ANALYSE - ERP =&gt; SOUS-SEGMENT'!$HU$8:$HU$154)</f>
        <v>3120.5861328000001</v>
      </c>
      <c r="HS40" s="292">
        <f>SUMPRODUCT(('ANALYSE - ERP =&gt; SOUS-SEGMENT'!$C$8:$C$154=$C40)*'ANALYSE - ERP =&gt; SOUS-SEGMENT'!$Q$8:$Q$154*'ANALYSE - ERP =&gt; SOUS-SEGMENT'!$HV$8:$HV$154)</f>
        <v>1737.1565327999999</v>
      </c>
      <c r="HT40" s="292">
        <f>SUMPRODUCT(('ANALYSE - ERP =&gt; SOUS-SEGMENT'!$C$8:$C$154=$C40)*'ANALYSE - ERP =&gt; SOUS-SEGMENT'!$Q$8:$Q$154*'ANALYSE - ERP =&gt; SOUS-SEGMENT'!$HW$8:$HW$154)</f>
        <v>1383.4295999999999</v>
      </c>
      <c r="HU40" s="676"/>
      <c r="HV40" s="297">
        <f t="shared" si="40"/>
        <v>303305.00000000006</v>
      </c>
      <c r="HW40" s="297">
        <f>SUMPRODUCT(('ANALYSE - ERP =&gt; SOUS-SEGMENT'!$C$8:$C$154=$C40)*'ANALYSE - ERP =&gt; SOUS-SEGMENT'!$Q$8:$Q$154*'ANALYSE - ERP =&gt; SOUS-SEGMENT'!$HZ$8:$HZ$154)</f>
        <v>0</v>
      </c>
      <c r="HX40" s="297">
        <f>SUMPRODUCT(('ANALYSE - ERP =&gt; SOUS-SEGMENT'!$C$8:$C$154=$C40)*'ANALYSE - ERP =&gt; SOUS-SEGMENT'!$Q$8:$Q$154*'ANALYSE - ERP =&gt; SOUS-SEGMENT'!$IA$8:$IA$154)</f>
        <v>31381.239999999998</v>
      </c>
      <c r="HY40" s="297">
        <f>SUMPRODUCT(('ANALYSE - ERP =&gt; SOUS-SEGMENT'!$C$8:$C$154=$C40)*'ANALYSE - ERP =&gt; SOUS-SEGMENT'!$Q$8:$Q$154*'ANALYSE - ERP =&gt; SOUS-SEGMENT'!$IB$8:$IB$154)</f>
        <v>61411.98</v>
      </c>
      <c r="HZ40" s="297">
        <f>SUMPRODUCT(('ANALYSE - ERP =&gt; SOUS-SEGMENT'!$C$8:$C$154=$C40)*'ANALYSE - ERP =&gt; SOUS-SEGMENT'!$Q$8:$Q$154*'ANALYSE - ERP =&gt; SOUS-SEGMENT'!$IC$8:$IC$154)</f>
        <v>22800.82</v>
      </c>
      <c r="IA40" s="297">
        <f>SUMPRODUCT(('ANALYSE - ERP =&gt; SOUS-SEGMENT'!$C$8:$C$154=$C40)*'ANALYSE - ERP =&gt; SOUS-SEGMENT'!$Q$8:$Q$154*'ANALYSE - ERP =&gt; SOUS-SEGMENT'!$ID$8:$ID$154)</f>
        <v>1205.96</v>
      </c>
      <c r="IB40" s="297">
        <f>SUMPRODUCT(('ANALYSE - ERP =&gt; SOUS-SEGMENT'!$C$8:$C$154=$C40)*'ANALYSE - ERP =&gt; SOUS-SEGMENT'!$Q$8:$Q$154*'ANALYSE - ERP =&gt; SOUS-SEGMENT'!$IE$8:$IE$154)</f>
        <v>26500.208751924165</v>
      </c>
      <c r="IC40" s="297">
        <f>SUMPRODUCT(('ANALYSE - ERP =&gt; SOUS-SEGMENT'!$C$8:$C$154=$C40)*'ANALYSE - ERP =&gt; SOUS-SEGMENT'!$Q$8:$Q$154*'ANALYSE - ERP =&gt; SOUS-SEGMENT'!$IF$8:$IF$154)</f>
        <v>0</v>
      </c>
      <c r="ID40" s="297">
        <f>SUMPRODUCT(('ANALYSE - ERP =&gt; SOUS-SEGMENT'!$C$8:$C$154=$C40)*'ANALYSE - ERP =&gt; SOUS-SEGMENT'!$Q$8:$Q$154*'ANALYSE - ERP =&gt; SOUS-SEGMENT'!$IG$8:$IG$154)</f>
        <v>3784.0960018718988</v>
      </c>
      <c r="IE40" s="297">
        <f>SUMPRODUCT(('ANALYSE - ERP =&gt; SOUS-SEGMENT'!$C$8:$C$154=$C40)*'ANALYSE - ERP =&gt; SOUS-SEGMENT'!$Q$8:$Q$154*'ANALYSE - ERP =&gt; SOUS-SEGMENT'!$IH$8:$IH$154)</f>
        <v>13837.896748230774</v>
      </c>
      <c r="IF40" s="297">
        <f>SUMPRODUCT(('ANALYSE - ERP =&gt; SOUS-SEGMENT'!$C$8:$C$154=$C40)*'ANALYSE - ERP =&gt; SOUS-SEGMENT'!$Q$8:$Q$154*'ANALYSE - ERP =&gt; SOUS-SEGMENT'!$II$8:$II$154)</f>
        <v>8020.1552295868214</v>
      </c>
      <c r="IG40" s="297">
        <f>SUMPRODUCT(('ANALYSE - ERP =&gt; SOUS-SEGMENT'!$C$8:$C$154=$C40)*'ANALYSE - ERP =&gt; SOUS-SEGMENT'!$Q$8:$Q$154*'ANALYSE - ERP =&gt; SOUS-SEGMENT'!$IJ$8:$IJ$154)</f>
        <v>858.06077223467219</v>
      </c>
      <c r="IH40" s="912"/>
      <c r="II40" s="643" t="s">
        <v>2589</v>
      </c>
      <c r="IJ40" s="322" t="s">
        <v>6760</v>
      </c>
      <c r="IK40" s="657"/>
      <c r="IL40" s="733">
        <f>IFERROR(SUMPRODUCT(('ANALYSE - ERP =&gt; SOUS-SEGMENT'!$C$8:$C$154=$C40)*'ANALYSE - ERP =&gt; SOUS-SEGMENT'!$Q$8:$Q$154*'ANALYSE - ERP =&gt; SOUS-SEGMENT'!$BE$8:$BE$154*'ANALYSE - ERP =&gt; SOUS-SEGMENT'!$IO$8:$IO$154)/SUMPRODUCT(('ANALYSE - ERP =&gt; SOUS-SEGMENT'!$C$8:$C$154=$C40)*'ANALYSE - ERP =&gt; SOUS-SEGMENT'!$Q$8:$Q$154*'ANALYSE - ERP =&gt; SOUS-SEGMENT'!$BE$8:$BE$154),0)</f>
        <v>0</v>
      </c>
      <c r="IM40" s="733">
        <f>IFERROR(SUMPRODUCT(('ANALYSE - ERP =&gt; SOUS-SEGMENT'!$C$8:$C$154=$C40)*'ANALYSE - ERP =&gt; SOUS-SEGMENT'!$Q$8:$Q$154*'ANALYSE - ERP =&gt; SOUS-SEGMENT'!$BE$8:$BE$154*'ANALYSE - ERP =&gt; SOUS-SEGMENT'!$IP$8:$IP$154)/SUMPRODUCT(('ANALYSE - ERP =&gt; SOUS-SEGMENT'!$C$8:$C$154=$C40)*'ANALYSE - ERP =&gt; SOUS-SEGMENT'!$Q$8:$Q$154*'ANALYSE - ERP =&gt; SOUS-SEGMENT'!$BE$8:$BE$154),0)</f>
        <v>0.23689999999999997</v>
      </c>
      <c r="IN40" s="733">
        <f>IFERROR(SUMPRODUCT(('ANALYSE - ERP =&gt; SOUS-SEGMENT'!$C$8:$C$154=$C40)*'ANALYSE - ERP =&gt; SOUS-SEGMENT'!$Q$8:$Q$154*'ANALYSE - ERP =&gt; SOUS-SEGMENT'!$BE$8:$BE$154*'ANALYSE - ERP =&gt; SOUS-SEGMENT'!$IQ$8:$IQ$154)/SUMPRODUCT(('ANALYSE - ERP =&gt; SOUS-SEGMENT'!$C$8:$C$154=$C40)*'ANALYSE - ERP =&gt; SOUS-SEGMENT'!$Q$8:$Q$154*'ANALYSE - ERP =&gt; SOUS-SEGMENT'!$BE$8:$BE$154),0)</f>
        <v>0.53590000000000004</v>
      </c>
      <c r="IO40" s="733">
        <f>IFERROR(SUMPRODUCT(('ANALYSE - ERP =&gt; SOUS-SEGMENT'!$C$8:$C$154=$C40)*'ANALYSE - ERP =&gt; SOUS-SEGMENT'!$Q$8:$Q$154*'ANALYSE - ERP =&gt; SOUS-SEGMENT'!$BE$8:$BE$154*'ANALYSE - ERP =&gt; SOUS-SEGMENT'!$IR$8:$IR$154)/SUMPRODUCT(('ANALYSE - ERP =&gt; SOUS-SEGMENT'!$C$8:$C$154=$C40)*'ANALYSE - ERP =&gt; SOUS-SEGMENT'!$Q$8:$Q$154*'ANALYSE - ERP =&gt; SOUS-SEGMENT'!$BE$8:$BE$154),0)</f>
        <v>0.2142</v>
      </c>
      <c r="IP40" s="733">
        <f>IFERROR(SUMPRODUCT(('ANALYSE - ERP =&gt; SOUS-SEGMENT'!$C$8:$C$154=$C40)*'ANALYSE - ERP =&gt; SOUS-SEGMENT'!$Q$8:$Q$154*'ANALYSE - ERP =&gt; SOUS-SEGMENT'!$BE$8:$BE$154*'ANALYSE - ERP =&gt; SOUS-SEGMENT'!$IS$8:$IS$154)/SUMPRODUCT(('ANALYSE - ERP =&gt; SOUS-SEGMENT'!$C$8:$C$154=$C40)*'ANALYSE - ERP =&gt; SOUS-SEGMENT'!$Q$8:$Q$154*'ANALYSE - ERP =&gt; SOUS-SEGMENT'!$BE$8:$BE$154),0)</f>
        <v>1.2999999999999999E-2</v>
      </c>
      <c r="IQ40" s="733">
        <f>IFERROR(SUMPRODUCT(('ANALYSE - ERP =&gt; SOUS-SEGMENT'!$C$8:$C$154=$C40)*'ANALYSE - ERP =&gt; SOUS-SEGMENT'!$Q$8:$Q$154*'ANALYSE - ERP =&gt; SOUS-SEGMENT'!$FB$8:$FB$154*'ANALYSE - ERP =&gt; SOUS-SEGMENT'!$IT$8:$IT$154)/SUMPRODUCT(('ANALYSE - ERP =&gt; SOUS-SEGMENT'!$C$8:$C$154=$C40)*'ANALYSE - ERP =&gt; SOUS-SEGMENT'!$Q$8:$Q$154*'ANALYSE - ERP =&gt; SOUS-SEGMENT'!$FB$8:$FB$154),0)</f>
        <v>0</v>
      </c>
      <c r="IR40" s="733">
        <f>IFERROR(SUMPRODUCT(('ANALYSE - ERP =&gt; SOUS-SEGMENT'!$C$8:$C$154=$C40)*'ANALYSE - ERP =&gt; SOUS-SEGMENT'!$Q$8:$Q$154*'ANALYSE - ERP =&gt; SOUS-SEGMENT'!$FB$8:$FB$154*'ANALYSE - ERP =&gt; SOUS-SEGMENT'!$IU$8:$IU$154)/SUMPRODUCT(('ANALYSE - ERP =&gt; SOUS-SEGMENT'!$C$8:$C$154=$C40)*'ANALYSE - ERP =&gt; SOUS-SEGMENT'!$Q$8:$Q$154*'ANALYSE - ERP =&gt; SOUS-SEGMENT'!$FB$8:$FB$154),0)</f>
        <v>0.11550000000000001</v>
      </c>
      <c r="IS40" s="733">
        <f>IFERROR(SUMPRODUCT(('ANALYSE - ERP =&gt; SOUS-SEGMENT'!$C$8:$C$154=$C40)*'ANALYSE - ERP =&gt; SOUS-SEGMENT'!$Q$8:$Q$154*'ANALYSE - ERP =&gt; SOUS-SEGMENT'!$FB$8:$FB$154*'ANALYSE - ERP =&gt; SOUS-SEGMENT'!$IV$8:$IV$154)/SUMPRODUCT(('ANALYSE - ERP =&gt; SOUS-SEGMENT'!$C$8:$C$154=$C40)*'ANALYSE - ERP =&gt; SOUS-SEGMENT'!$Q$8:$Q$154*'ANALYSE - ERP =&gt; SOUS-SEGMENT'!$FB$8:$FB$154),0)</f>
        <v>0.51119999999999999</v>
      </c>
      <c r="IT40" s="733">
        <f>IFERROR(SUMPRODUCT(('ANALYSE - ERP =&gt; SOUS-SEGMENT'!$C$8:$C$154=$C40)*'ANALYSE - ERP =&gt; SOUS-SEGMENT'!$Q$8:$Q$154*'ANALYSE - ERP =&gt; SOUS-SEGMENT'!$FB$8:$FB$154*'ANALYSE - ERP =&gt; SOUS-SEGMENT'!$IW$8:$IW$154)/SUMPRODUCT(('ANALYSE - ERP =&gt; SOUS-SEGMENT'!$C$8:$C$154=$C40)*'ANALYSE - ERP =&gt; SOUS-SEGMENT'!$Q$8:$Q$154*'ANALYSE - ERP =&gt; SOUS-SEGMENT'!$FB$8:$FB$154),0)</f>
        <v>0.33310000000000001</v>
      </c>
      <c r="IU40" s="733">
        <f>IFERROR(SUMPRODUCT(('ANALYSE - ERP =&gt; SOUS-SEGMENT'!$C$8:$C$154=$C40)*'ANALYSE - ERP =&gt; SOUS-SEGMENT'!$Q$8:$Q$154*'ANALYSE - ERP =&gt; SOUS-SEGMENT'!$FB$8:$FB$154*'ANALYSE - ERP =&gt; SOUS-SEGMENT'!$IX$8:$IX$154)/SUMPRODUCT(('ANALYSE - ERP =&gt; SOUS-SEGMENT'!$C$8:$C$154=$C40)*'ANALYSE - ERP =&gt; SOUS-SEGMENT'!$Q$8:$Q$154*'ANALYSE - ERP =&gt; SOUS-SEGMENT'!$FB$8:$FB$154),0)</f>
        <v>4.02E-2</v>
      </c>
      <c r="IV40" s="733">
        <f>IFERROR(SUMPRODUCT(('ANALYSE - ERP =&gt; SOUS-SEGMENT'!$C$8:$C$154=$C40)*'ANALYSE - ERP =&gt; SOUS-SEGMENT'!$Q$8:$Q$154*'ANALYSE - ERP =&gt; SOUS-SEGMENT'!$BF$8:$BF$154*'ANALYSE - ERP =&gt; SOUS-SEGMENT'!$IY$8:$IY$154)/SUMPRODUCT(('ANALYSE - ERP =&gt; SOUS-SEGMENT'!$C$8:$C$154=$C40)*'ANALYSE - ERP =&gt; SOUS-SEGMENT'!$Q$8:$Q$154*'ANALYSE - ERP =&gt; SOUS-SEGMENT'!$BF$8:$BF$154),0)</f>
        <v>0</v>
      </c>
      <c r="IW40" s="733">
        <f>IFERROR(SUMPRODUCT(('ANALYSE - ERP =&gt; SOUS-SEGMENT'!$C$8:$C$154=$C40)*'ANALYSE - ERP =&gt; SOUS-SEGMENT'!$Q$8:$Q$154*'ANALYSE - ERP =&gt; SOUS-SEGMENT'!$BF$8:$BF$154*'ANALYSE - ERP =&gt; SOUS-SEGMENT'!$IZ$8:$IZ$154)/SUMPRODUCT(('ANALYSE - ERP =&gt; SOUS-SEGMENT'!$C$8:$C$154=$C40)*'ANALYSE - ERP =&gt; SOUS-SEGMENT'!$Q$8:$Q$154*'ANALYSE - ERP =&gt; SOUS-SEGMENT'!$BF$8:$BF$154),0)</f>
        <v>0</v>
      </c>
      <c r="IX40" s="733">
        <f>IFERROR(SUMPRODUCT(('ANALYSE - ERP =&gt; SOUS-SEGMENT'!$C$8:$C$154=$C40)*'ANALYSE - ERP =&gt; SOUS-SEGMENT'!$Q$8:$Q$154*'ANALYSE - ERP =&gt; SOUS-SEGMENT'!$BF$8:$BF$154*'ANALYSE - ERP =&gt; SOUS-SEGMENT'!$JA$8:$JA$154)/SUMPRODUCT(('ANALYSE - ERP =&gt; SOUS-SEGMENT'!$C$8:$C$154=$C40)*'ANALYSE - ERP =&gt; SOUS-SEGMENT'!$Q$8:$Q$154*'ANALYSE - ERP =&gt; SOUS-SEGMENT'!$BF$8:$BF$154),0)</f>
        <v>0</v>
      </c>
      <c r="IY40" s="733">
        <f>IFERROR(SUMPRODUCT(('ANALYSE - ERP =&gt; SOUS-SEGMENT'!$C$8:$C$154=$C40)*'ANALYSE - ERP =&gt; SOUS-SEGMENT'!$Q$8:$Q$154*'ANALYSE - ERP =&gt; SOUS-SEGMENT'!$BF$8:$BF$154*'ANALYSE - ERP =&gt; SOUS-SEGMENT'!$JB$8:$JB$154)/SUMPRODUCT(('ANALYSE - ERP =&gt; SOUS-SEGMENT'!$C$8:$C$154=$C40)*'ANALYSE - ERP =&gt; SOUS-SEGMENT'!$Q$8:$Q$154*'ANALYSE - ERP =&gt; SOUS-SEGMENT'!$BF$8:$BF$154),0)</f>
        <v>0</v>
      </c>
      <c r="IZ40" s="733">
        <f>IFERROR(SUMPRODUCT(('ANALYSE - ERP =&gt; SOUS-SEGMENT'!$C$8:$C$154=$C40)*'ANALYSE - ERP =&gt; SOUS-SEGMENT'!$Q$8:$Q$154*'ANALYSE - ERP =&gt; SOUS-SEGMENT'!$BF$8:$BF$154*'ANALYSE - ERP =&gt; SOUS-SEGMENT'!$JC$8:$JC$154)/SUMPRODUCT(('ANALYSE - ERP =&gt; SOUS-SEGMENT'!$C$8:$C$154=$C40)*'ANALYSE - ERP =&gt; SOUS-SEGMENT'!$Q$8:$Q$154*'ANALYSE - ERP =&gt; SOUS-SEGMENT'!$BF$8:$BF$154),0)</f>
        <v>0</v>
      </c>
      <c r="JA40" s="733">
        <f>IFERROR(SUMPRODUCT(('ANALYSE - ERP =&gt; SOUS-SEGMENT'!$C$8:$C$154=$C40)*'ANALYSE - ERP =&gt; SOUS-SEGMENT'!$Q$8:$Q$154*'ANALYSE - ERP =&gt; SOUS-SEGMENT'!$FE$8:$FE$154*'ANALYSE - ERP =&gt; SOUS-SEGMENT'!$JD$8:$JD$154)/SUMPRODUCT(('ANALYSE - ERP =&gt; SOUS-SEGMENT'!$C$8:$C$154=$C40)*'ANALYSE - ERP =&gt; SOUS-SEGMENT'!$Q$8:$Q$154*'ANALYSE - ERP =&gt; SOUS-SEGMENT'!$FE$8:$FE$154),0)</f>
        <v>0</v>
      </c>
      <c r="JB40" s="733">
        <f>IFERROR(SUMPRODUCT(('ANALYSE - ERP =&gt; SOUS-SEGMENT'!$C$8:$C$154=$C40)*'ANALYSE - ERP =&gt; SOUS-SEGMENT'!$Q$8:$Q$154*'ANALYSE - ERP =&gt; SOUS-SEGMENT'!$FE$8:$FE$154*'ANALYSE - ERP =&gt; SOUS-SEGMENT'!$JE$8:$JE$154)/SUMPRODUCT(('ANALYSE - ERP =&gt; SOUS-SEGMENT'!$C$8:$C$154=$C40)*'ANALYSE - ERP =&gt; SOUS-SEGMENT'!$Q$8:$Q$154*'ANALYSE - ERP =&gt; SOUS-SEGMENT'!$FE$8:$FE$154),0)</f>
        <v>0</v>
      </c>
      <c r="JC40" s="733">
        <f>IFERROR(SUMPRODUCT(('ANALYSE - ERP =&gt; SOUS-SEGMENT'!$C$8:$C$154=$C40)*'ANALYSE - ERP =&gt; SOUS-SEGMENT'!$Q$8:$Q$154*'ANALYSE - ERP =&gt; SOUS-SEGMENT'!$FE$8:$FE$154*'ANALYSE - ERP =&gt; SOUS-SEGMENT'!$JF$8:$JF$154)/SUMPRODUCT(('ANALYSE - ERP =&gt; SOUS-SEGMENT'!$C$8:$C$154=$C40)*'ANALYSE - ERP =&gt; SOUS-SEGMENT'!$Q$8:$Q$154*'ANALYSE - ERP =&gt; SOUS-SEGMENT'!$FE$8:$FE$154),0)</f>
        <v>0</v>
      </c>
      <c r="JD40" s="733">
        <f>IFERROR(SUMPRODUCT(('ANALYSE - ERP =&gt; SOUS-SEGMENT'!$C$8:$C$154=$C40)*'ANALYSE - ERP =&gt; SOUS-SEGMENT'!$Q$8:$Q$154*'ANALYSE - ERP =&gt; SOUS-SEGMENT'!$FE$8:$FE$154*'ANALYSE - ERP =&gt; SOUS-SEGMENT'!$JG$8:$JG$154)/SUMPRODUCT(('ANALYSE - ERP =&gt; SOUS-SEGMENT'!$C$8:$C$154=$C40)*'ANALYSE - ERP =&gt; SOUS-SEGMENT'!$Q$8:$Q$154*'ANALYSE - ERP =&gt; SOUS-SEGMENT'!$FE$8:$FE$154),0)</f>
        <v>0</v>
      </c>
      <c r="JE40" s="733">
        <f>IFERROR(SUMPRODUCT(('ANALYSE - ERP =&gt; SOUS-SEGMENT'!$C$8:$C$154=$C40)*'ANALYSE - ERP =&gt; SOUS-SEGMENT'!$Q$8:$Q$154*'ANALYSE - ERP =&gt; SOUS-SEGMENT'!$FE$8:$FE$154*'ANALYSE - ERP =&gt; SOUS-SEGMENT'!$JH$8:$JH$154)/SUMPRODUCT(('ANALYSE - ERP =&gt; SOUS-SEGMENT'!$C$8:$C$154=$C40)*'ANALYSE - ERP =&gt; SOUS-SEGMENT'!$Q$8:$Q$154*'ANALYSE - ERP =&gt; SOUS-SEGMENT'!$FE$8:$FE$154),0)</f>
        <v>0</v>
      </c>
      <c r="JF40" s="733">
        <f>IFERROR(SUMPRODUCT(('ANALYSE - ERP =&gt; SOUS-SEGMENT'!$C$8:$C$154=$C40)*'ANALYSE - ERP =&gt; SOUS-SEGMENT'!$Q$8:$Q$154*'ANALYSE - ERP =&gt; SOUS-SEGMENT'!$BG$8:$BG$154*'ANALYSE - ERP =&gt; SOUS-SEGMENT'!$JI$8:$JI$154)/SUMPRODUCT(('ANALYSE - ERP =&gt; SOUS-SEGMENT'!$C$8:$C$154=$C40)*'ANALYSE - ERP =&gt; SOUS-SEGMENT'!$Q$8:$Q$154*'ANALYSE - ERP =&gt; SOUS-SEGMENT'!$BG$8:$BG$154),0)</f>
        <v>0</v>
      </c>
      <c r="JG40" s="733">
        <f>IFERROR(SUMPRODUCT(('ANALYSE - ERP =&gt; SOUS-SEGMENT'!$C$8:$C$154=$C40)*'ANALYSE - ERP =&gt; SOUS-SEGMENT'!$Q$8:$Q$154*'ANALYSE - ERP =&gt; SOUS-SEGMENT'!$BG$8:$BG$154*'ANALYSE - ERP =&gt; SOUS-SEGMENT'!$JJ$8:$JJ$154)/SUMPRODUCT(('ANALYSE - ERP =&gt; SOUS-SEGMENT'!$C$8:$C$154=$C40)*'ANALYSE - ERP =&gt; SOUS-SEGMENT'!$Q$8:$Q$154*'ANALYSE - ERP =&gt; SOUS-SEGMENT'!$BG$8:$BG$154),0)</f>
        <v>0.35820000000000002</v>
      </c>
      <c r="JH40" s="733">
        <f>IFERROR(SUMPRODUCT(('ANALYSE - ERP =&gt; SOUS-SEGMENT'!$C$8:$C$154=$C40)*'ANALYSE - ERP =&gt; SOUS-SEGMENT'!$Q$8:$Q$154*'ANALYSE - ERP =&gt; SOUS-SEGMENT'!$BG$8:$BG$154*'ANALYSE - ERP =&gt; SOUS-SEGMENT'!$JK$8:$JK$154)/SUMPRODUCT(('ANALYSE - ERP =&gt; SOUS-SEGMENT'!$C$8:$C$154=$C40)*'ANALYSE - ERP =&gt; SOUS-SEGMENT'!$Q$8:$Q$154*'ANALYSE - ERP =&gt; SOUS-SEGMENT'!$BG$8:$BG$154),0)</f>
        <v>0.49580000000000002</v>
      </c>
      <c r="JI40" s="733">
        <f>IFERROR(SUMPRODUCT(('ANALYSE - ERP =&gt; SOUS-SEGMENT'!$C$8:$C$154=$C40)*'ANALYSE - ERP =&gt; SOUS-SEGMENT'!$Q$8:$Q$154*'ANALYSE - ERP =&gt; SOUS-SEGMENT'!$BG$8:$BG$154*'ANALYSE - ERP =&gt; SOUS-SEGMENT'!$JL$8:$JL$154)/SUMPRODUCT(('ANALYSE - ERP =&gt; SOUS-SEGMENT'!$C$8:$C$154=$C40)*'ANALYSE - ERP =&gt; SOUS-SEGMENT'!$Q$8:$Q$154*'ANALYSE - ERP =&gt; SOUS-SEGMENT'!$BG$8:$BG$154),0)</f>
        <v>0.14180000000000001</v>
      </c>
      <c r="JJ40" s="733">
        <f>IFERROR(SUMPRODUCT(('ANALYSE - ERP =&gt; SOUS-SEGMENT'!$C$8:$C$154=$C40)*'ANALYSE - ERP =&gt; SOUS-SEGMENT'!$Q$8:$Q$154*'ANALYSE - ERP =&gt; SOUS-SEGMENT'!$BG$8:$BG$154*'ANALYSE - ERP =&gt; SOUS-SEGMENT'!$JM$8:$JM$154)/SUMPRODUCT(('ANALYSE - ERP =&gt; SOUS-SEGMENT'!$C$8:$C$154=$C40)*'ANALYSE - ERP =&gt; SOUS-SEGMENT'!$Q$8:$Q$154*'ANALYSE - ERP =&gt; SOUS-SEGMENT'!$BG$8:$BG$154),0)</f>
        <v>4.1999999999999997E-3</v>
      </c>
      <c r="JK40" s="733">
        <f>IFERROR(SUMPRODUCT(('ANALYSE - ERP =&gt; SOUS-SEGMENT'!$C$8:$C$154=$C40)*'ANALYSE - ERP =&gt; SOUS-SEGMENT'!$Q$8:$Q$154*'ANALYSE - ERP =&gt; SOUS-SEGMENT'!$FH$8:$FH$154*'ANALYSE - ERP =&gt; SOUS-SEGMENT'!$JN$8:$JN$154)/SUMPRODUCT(('ANALYSE - ERP =&gt; SOUS-SEGMENT'!$C$8:$C$154=$C40)*'ANALYSE - ERP =&gt; SOUS-SEGMENT'!$Q$8:$Q$154*'ANALYSE - ERP =&gt; SOUS-SEGMENT'!$FH$8:$FH$154),0)</f>
        <v>0</v>
      </c>
      <c r="JL40" s="733">
        <f>IFERROR(SUMPRODUCT(('ANALYSE - ERP =&gt; SOUS-SEGMENT'!$C$8:$C$154=$C40)*'ANALYSE - ERP =&gt; SOUS-SEGMENT'!$Q$8:$Q$154*'ANALYSE - ERP =&gt; SOUS-SEGMENT'!$FH$8:$FH$154*'ANALYSE - ERP =&gt; SOUS-SEGMENT'!$JO$8:$JO$154)/SUMPRODUCT(('ANALYSE - ERP =&gt; SOUS-SEGMENT'!$C$8:$C$154=$C40)*'ANALYSE - ERP =&gt; SOUS-SEGMENT'!$Q$8:$Q$154*'ANALYSE - ERP =&gt; SOUS-SEGMENT'!$FH$8:$FH$154),0)</f>
        <v>0.218</v>
      </c>
      <c r="JM40" s="733">
        <f>IFERROR(SUMPRODUCT(('ANALYSE - ERP =&gt; SOUS-SEGMENT'!$C$8:$C$154=$C40)*'ANALYSE - ERP =&gt; SOUS-SEGMENT'!$Q$8:$Q$154*'ANALYSE - ERP =&gt; SOUS-SEGMENT'!$FH$8:$FH$154*'ANALYSE - ERP =&gt; SOUS-SEGMENT'!$JP$8:$JP$154)/SUMPRODUCT(('ANALYSE - ERP =&gt; SOUS-SEGMENT'!$C$8:$C$154=$C40)*'ANALYSE - ERP =&gt; SOUS-SEGMENT'!$Q$8:$Q$154*'ANALYSE - ERP =&gt; SOUS-SEGMENT'!$FH$8:$FH$154),0)</f>
        <v>0.53859999999999997</v>
      </c>
      <c r="JN40" s="733">
        <f>IFERROR(SUMPRODUCT(('ANALYSE - ERP =&gt; SOUS-SEGMENT'!$C$8:$C$154=$C40)*'ANALYSE - ERP =&gt; SOUS-SEGMENT'!$Q$8:$Q$154*'ANALYSE - ERP =&gt; SOUS-SEGMENT'!$FH$8:$FH$154*'ANALYSE - ERP =&gt; SOUS-SEGMENT'!$JQ$8:$JQ$154)/SUMPRODUCT(('ANALYSE - ERP =&gt; SOUS-SEGMENT'!$C$8:$C$154=$C40)*'ANALYSE - ERP =&gt; SOUS-SEGMENT'!$Q$8:$Q$154*'ANALYSE - ERP =&gt; SOUS-SEGMENT'!$FH$8:$FH$154),0)</f>
        <v>0.22800000000000001</v>
      </c>
      <c r="JO40" s="733">
        <f>IFERROR(SUMPRODUCT(('ANALYSE - ERP =&gt; SOUS-SEGMENT'!$C$8:$C$154=$C40)*'ANALYSE - ERP =&gt; SOUS-SEGMENT'!$Q$8:$Q$154*'ANALYSE - ERP =&gt; SOUS-SEGMENT'!$FH$8:$FH$154*'ANALYSE - ERP =&gt; SOUS-SEGMENT'!$JR$8:$JR$154)/SUMPRODUCT(('ANALYSE - ERP =&gt; SOUS-SEGMENT'!$C$8:$C$154=$C40)*'ANALYSE - ERP =&gt; SOUS-SEGMENT'!$Q$8:$Q$154*'ANALYSE - ERP =&gt; SOUS-SEGMENT'!$FH$8:$FH$154),0)</f>
        <v>1.54E-2</v>
      </c>
      <c r="JP40" s="733">
        <f>IFERROR(SUMPRODUCT(('ANALYSE - ERP =&gt; SOUS-SEGMENT'!$C$8:$C$154=$C40)*'ANALYSE - ERP =&gt; SOUS-SEGMENT'!$Q$8:$Q$154*'ANALYSE - ERP =&gt; SOUS-SEGMENT'!$BH$8:$BH$154*'ANALYSE - ERP =&gt; SOUS-SEGMENT'!$JS$8:$JS$154)/SUMPRODUCT(('ANALYSE - ERP =&gt; SOUS-SEGMENT'!$C$8:$C$154=$C40)*'ANALYSE - ERP =&gt; SOUS-SEGMENT'!$Q$8:$Q$154*'ANALYSE - ERP =&gt; SOUS-SEGMENT'!$BH$8:$BH$154),0)</f>
        <v>0</v>
      </c>
      <c r="JQ40" s="733">
        <f>IFERROR(SUMPRODUCT(('ANALYSE - ERP =&gt; SOUS-SEGMENT'!$C$8:$C$154=$C40)*'ANALYSE - ERP =&gt; SOUS-SEGMENT'!$Q$8:$Q$154*'ANALYSE - ERP =&gt; SOUS-SEGMENT'!$BH$8:$BH$154*'ANALYSE - ERP =&gt; SOUS-SEGMENT'!$JT$8:$JT$154)/SUMPRODUCT(('ANALYSE - ERP =&gt; SOUS-SEGMENT'!$C$8:$C$154=$C40)*'ANALYSE - ERP =&gt; SOUS-SEGMENT'!$Q$8:$Q$154*'ANALYSE - ERP =&gt; SOUS-SEGMENT'!$BH$8:$BH$154),0)</f>
        <v>0.28120000000000001</v>
      </c>
      <c r="JR40" s="733">
        <f>IFERROR(SUMPRODUCT(('ANALYSE - ERP =&gt; SOUS-SEGMENT'!$C$8:$C$154=$C40)*'ANALYSE - ERP =&gt; SOUS-SEGMENT'!$Q$8:$Q$154*'ANALYSE - ERP =&gt; SOUS-SEGMENT'!$BH$8:$BH$154*'ANALYSE - ERP =&gt; SOUS-SEGMENT'!$JU$8:$JU$154)/SUMPRODUCT(('ANALYSE - ERP =&gt; SOUS-SEGMENT'!$C$8:$C$154=$C40)*'ANALYSE - ERP =&gt; SOUS-SEGMENT'!$Q$8:$Q$154*'ANALYSE - ERP =&gt; SOUS-SEGMENT'!$BH$8:$BH$154),0)</f>
        <v>0.52229999999999999</v>
      </c>
      <c r="JS40" s="733">
        <f>IFERROR(SUMPRODUCT(('ANALYSE - ERP =&gt; SOUS-SEGMENT'!$C$8:$C$154=$C40)*'ANALYSE - ERP =&gt; SOUS-SEGMENT'!$Q$8:$Q$154*'ANALYSE - ERP =&gt; SOUS-SEGMENT'!$BH$8:$BH$154*'ANALYSE - ERP =&gt; SOUS-SEGMENT'!$JV$8:$JV$154)/SUMPRODUCT(('ANALYSE - ERP =&gt; SOUS-SEGMENT'!$C$8:$C$154=$C40)*'ANALYSE - ERP =&gt; SOUS-SEGMENT'!$Q$8:$Q$154*'ANALYSE - ERP =&gt; SOUS-SEGMENT'!$BH$8:$BH$154),0)</f>
        <v>0.18770000000000001</v>
      </c>
      <c r="JT40" s="733">
        <f>IFERROR(SUMPRODUCT(('ANALYSE - ERP =&gt; SOUS-SEGMENT'!$C$8:$C$154=$C40)*'ANALYSE - ERP =&gt; SOUS-SEGMENT'!$Q$8:$Q$154*'ANALYSE - ERP =&gt; SOUS-SEGMENT'!$BH$8:$BH$154*'ANALYSE - ERP =&gt; SOUS-SEGMENT'!$JW$8:$JW$154)/SUMPRODUCT(('ANALYSE - ERP =&gt; SOUS-SEGMENT'!$C$8:$C$154=$C40)*'ANALYSE - ERP =&gt; SOUS-SEGMENT'!$Q$8:$Q$154*'ANALYSE - ERP =&gt; SOUS-SEGMENT'!$BH$8:$BH$154),0)</f>
        <v>8.8000000000000005E-3</v>
      </c>
      <c r="JU40" s="733">
        <f>IFERROR(SUMPRODUCT(('ANALYSE - ERP =&gt; SOUS-SEGMENT'!$C$8:$C$154=$C40)*'ANALYSE - ERP =&gt; SOUS-SEGMENT'!$Q$8:$Q$154*'ANALYSE - ERP =&gt; SOUS-SEGMENT'!$FK$8:$FK$154*'ANALYSE - ERP =&gt; SOUS-SEGMENT'!$JX$8:$JX$154)/SUMPRODUCT(('ANALYSE - ERP =&gt; SOUS-SEGMENT'!$C$8:$C$154=$C40)*'ANALYSE - ERP =&gt; SOUS-SEGMENT'!$Q$8:$Q$154*'ANALYSE - ERP =&gt; SOUS-SEGMENT'!$FK$8:$FK$154),0)</f>
        <v>0</v>
      </c>
      <c r="JV40" s="733">
        <f>IFERROR(SUMPRODUCT(('ANALYSE - ERP =&gt; SOUS-SEGMENT'!$C$8:$C$154=$C40)*'ANALYSE - ERP =&gt; SOUS-SEGMENT'!$Q$8:$Q$154*'ANALYSE - ERP =&gt; SOUS-SEGMENT'!$FK$8:$FK$154*'ANALYSE - ERP =&gt; SOUS-SEGMENT'!$JY$8:$JY$154)/SUMPRODUCT(('ANALYSE - ERP =&gt; SOUS-SEGMENT'!$C$8:$C$154=$C40)*'ANALYSE - ERP =&gt; SOUS-SEGMENT'!$Q$8:$Q$154*'ANALYSE - ERP =&gt; SOUS-SEGMENT'!$FK$8:$FK$154),0)</f>
        <v>0.14949999999999999</v>
      </c>
      <c r="JW40" s="733">
        <f>IFERROR(SUMPRODUCT(('ANALYSE - ERP =&gt; SOUS-SEGMENT'!$C$8:$C$154=$C40)*'ANALYSE - ERP =&gt; SOUS-SEGMENT'!$Q$8:$Q$154*'ANALYSE - ERP =&gt; SOUS-SEGMENT'!$FK$8:$FK$154*'ANALYSE - ERP =&gt; SOUS-SEGMENT'!$JZ$8:$JZ$154)/SUMPRODUCT(('ANALYSE - ERP =&gt; SOUS-SEGMENT'!$C$8:$C$154=$C40)*'ANALYSE - ERP =&gt; SOUS-SEGMENT'!$Q$8:$Q$154*'ANALYSE - ERP =&gt; SOUS-SEGMENT'!$FK$8:$FK$154),0)</f>
        <v>0.52990000000000004</v>
      </c>
      <c r="JX40" s="733">
        <f>IFERROR(SUMPRODUCT(('ANALYSE - ERP =&gt; SOUS-SEGMENT'!$C$8:$C$154=$C40)*'ANALYSE - ERP =&gt; SOUS-SEGMENT'!$Q$8:$Q$154*'ANALYSE - ERP =&gt; SOUS-SEGMENT'!$FK$8:$FK$154*'ANALYSE - ERP =&gt; SOUS-SEGMENT'!$KA$8:$KA$154)/SUMPRODUCT(('ANALYSE - ERP =&gt; SOUS-SEGMENT'!$C$8:$C$154=$C40)*'ANALYSE - ERP =&gt; SOUS-SEGMENT'!$Q$8:$Q$154*'ANALYSE - ERP =&gt; SOUS-SEGMENT'!$FK$8:$FK$154),0)</f>
        <v>0.2918</v>
      </c>
      <c r="JY40" s="733">
        <f>IFERROR(SUMPRODUCT(('ANALYSE - ERP =&gt; SOUS-SEGMENT'!$C$8:$C$154=$C40)*'ANALYSE - ERP =&gt; SOUS-SEGMENT'!$Q$8:$Q$154*'ANALYSE - ERP =&gt; SOUS-SEGMENT'!$FK$8:$FK$154*'ANALYSE - ERP =&gt; SOUS-SEGMENT'!$KB$8:$KB$154)/SUMPRODUCT(('ANALYSE - ERP =&gt; SOUS-SEGMENT'!$C$8:$C$154=$C40)*'ANALYSE - ERP =&gt; SOUS-SEGMENT'!$Q$8:$Q$154*'ANALYSE - ERP =&gt; SOUS-SEGMENT'!$FK$8:$FK$154),0)</f>
        <v>2.8799999999999999E-2</v>
      </c>
      <c r="JZ40" s="657"/>
      <c r="KA40" s="643" t="s">
        <v>2590</v>
      </c>
      <c r="KB40" s="643" t="s">
        <v>2591</v>
      </c>
      <c r="KC40" s="912">
        <f>IFERROR(SUMPRODUCT(('ANALYSE - ERP =&gt; SOUS-SEGMENT'!$C$8:$C$154=$C41)*'ANALYSE - ERP =&gt; SOUS-SEGMENT'!$Q$8:$Q$154*'ANALYSE - ERP =&gt; SOUS-SEGMENT'!$EX$8:$EX$154*'ANALYSE - ERP =&gt; SOUS-SEGMENT'!$KF$8:$KF$154)/SUMPRODUCT(('ANALYSE - ERP =&gt; SOUS-SEGMENT'!$C$8:$C$154=$C41)*'ANALYSE - ERP =&gt; SOUS-SEGMENT'!$Q$8:$Q$154*'ANALYSE - ERP =&gt; SOUS-SEGMENT'!$EX$8:$EX$154),"")</f>
        <v>4.1500000000000004</v>
      </c>
      <c r="KD40" s="643" t="s">
        <v>2589</v>
      </c>
      <c r="KE40" s="644" t="s">
        <v>4079</v>
      </c>
      <c r="KF40" s="643" t="s">
        <v>6760</v>
      </c>
      <c r="KG40" s="644" t="s">
        <v>6760</v>
      </c>
    </row>
    <row r="41" spans="1:293" s="933" customFormat="1" ht="48" customHeight="1">
      <c r="A41" s="623">
        <v>24</v>
      </c>
      <c r="B41" s="624" t="s">
        <v>7117</v>
      </c>
      <c r="C41" s="624" t="s">
        <v>7499</v>
      </c>
      <c r="D41" s="624" t="s">
        <v>7500</v>
      </c>
      <c r="E41" s="625" t="s">
        <v>7501</v>
      </c>
      <c r="F41" s="625" t="s">
        <v>2631</v>
      </c>
      <c r="G41" s="625" t="s">
        <v>2121</v>
      </c>
      <c r="H41" s="625" t="s">
        <v>2109</v>
      </c>
      <c r="I41" s="290" t="s">
        <v>7502</v>
      </c>
      <c r="J41" s="290" t="s">
        <v>7503</v>
      </c>
      <c r="K41" s="626" t="s">
        <v>2117</v>
      </c>
      <c r="L41" s="626" t="s">
        <v>2109</v>
      </c>
      <c r="M41" s="626" t="s">
        <v>3168</v>
      </c>
      <c r="N41" s="626" t="s">
        <v>6742</v>
      </c>
      <c r="O41" s="625" t="s">
        <v>3170</v>
      </c>
      <c r="P41" s="290"/>
      <c r="Q41" s="627">
        <f>IF(SUMPRODUCT(('ANALYSE - ERP =&gt; SOUS-SEGMENT'!$C$8:$C$154=$C41)*'ANALYSE - ERP =&gt; SOUS-SEGMENT'!$Q$8:$Q$154)&gt;0,1,0)</f>
        <v>1</v>
      </c>
      <c r="R41" s="280">
        <f>IFERROR(SUMPRODUCT(('ANALYSE - ERP =&gt; SOUS-SEGMENT'!$C$8:$C$154=$C41)*'ANALYSE - ERP =&gt; SOUS-SEGMENT'!$Q$8:$Q$154*'ANALYSE - ERP =&gt; SOUS-SEGMENT'!$AG$8:$AG$154*'ANALYSE - ERP =&gt; SOUS-SEGMENT'!$R$8:$R$154)/SUMPRODUCT(('ANALYSE - ERP =&gt; SOUS-SEGMENT'!$C$8:$C$154=$C41)*'ANALYSE - ERP =&gt; SOUS-SEGMENT'!$Q$8:$Q$154*'ANALYSE - ERP =&gt; SOUS-SEGMENT'!$AG$8:$AG$154),"")</f>
        <v>1766.4962021508611</v>
      </c>
      <c r="S41" s="628">
        <f>SUMPRODUCT(('ANALYSE - ERP =&gt; SOUS-SEGMENT'!$C$8:$C$154=$C41)*'ANALYSE - ERP =&gt; SOUS-SEGMENT'!$Q$8:$Q$154*'ANALYSE - ERP =&gt; SOUS-SEGMENT'!$S$8:$S$154)</f>
        <v>6820</v>
      </c>
      <c r="T41" s="628">
        <f>SUMPRODUCT(('ANALYSE - ERP =&gt; SOUS-SEGMENT'!$C$8:$C$154=$C41)*'ANALYSE - ERP =&gt; SOUS-SEGMENT'!$Q$8:$Q$154*'ANALYSE - ERP =&gt; SOUS-SEGMENT'!$T$8:$T$154)</f>
        <v>7820</v>
      </c>
      <c r="U41" s="628">
        <f>SUMPRODUCT(('ANALYSE - ERP =&gt; SOUS-SEGMENT'!$C$8:$C$154=$C41)*'ANALYSE - ERP =&gt; SOUS-SEGMENT'!$Q$8:$Q$154*'ANALYSE - ERP =&gt; SOUS-SEGMENT'!$U$8:$U$154)</f>
        <v>9150</v>
      </c>
      <c r="V41" s="628">
        <f>SUMPRODUCT(('ANALYSE - ERP =&gt; SOUS-SEGMENT'!$C$8:$C$154=$C41)*'ANALYSE - ERP =&gt; SOUS-SEGMENT'!$Q$8:$Q$154*'ANALYSE - ERP =&gt; SOUS-SEGMENT'!$V$8:$V$154)</f>
        <v>10555</v>
      </c>
      <c r="W41" s="628">
        <f>SUMPRODUCT(('ANALYSE - ERP =&gt; SOUS-SEGMENT'!$C$8:$C$154=$C41)*'ANALYSE - ERP =&gt; SOUS-SEGMENT'!$Q$8:$Q$154*'ANALYSE - ERP =&gt; SOUS-SEGMENT'!$W$8:$W$154)</f>
        <v>10865</v>
      </c>
      <c r="X41" s="628">
        <f>SUMPRODUCT(('ANALYSE - ERP =&gt; SOUS-SEGMENT'!$C$8:$C$154=$C41)*'ANALYSE - ERP =&gt; SOUS-SEGMENT'!$Q$8:$Q$154*'ANALYSE - ERP =&gt; SOUS-SEGMENT'!$X$8:$X$154)</f>
        <v>11202</v>
      </c>
      <c r="Y41" s="628">
        <f>SUMPRODUCT(('ANALYSE - ERP =&gt; SOUS-SEGMENT'!$C$8:$C$154=$C41)*'ANALYSE - ERP =&gt; SOUS-SEGMENT'!$Q$8:$Q$154*'ANALYSE - ERP =&gt; SOUS-SEGMENT'!$Y$8:$Y$154)</f>
        <v>11565</v>
      </c>
      <c r="Z41" s="628">
        <f>SUMPRODUCT(('ANALYSE - ERP =&gt; SOUS-SEGMENT'!$C$8:$C$154=$C41)*'ANALYSE - ERP =&gt; SOUS-SEGMENT'!$Q$8:$Q$154*'ANALYSE - ERP =&gt; SOUS-SEGMENT'!$Z$8:$Z$154)</f>
        <v>11917</v>
      </c>
      <c r="AA41" s="628">
        <f>SUMPRODUCT(('ANALYSE - ERP =&gt; SOUS-SEGMENT'!$C$8:$C$154=$C41)*'ANALYSE - ERP =&gt; SOUS-SEGMENT'!$Q$8:$Q$154*'ANALYSE - ERP =&gt; SOUS-SEGMENT'!$AA$8:$AA$154)</f>
        <v>12198</v>
      </c>
      <c r="AB41" s="628">
        <f>SUMPRODUCT(('ANALYSE - ERP =&gt; SOUS-SEGMENT'!$C$8:$C$154=$C41)*'ANALYSE - ERP =&gt; SOUS-SEGMENT'!$Q$8:$Q$154*'ANALYSE - ERP =&gt; SOUS-SEGMENT'!$AB$8:$AB$154)</f>
        <v>12235</v>
      </c>
      <c r="AC41" s="628">
        <f>SUMPRODUCT(('ANALYSE - ERP =&gt; SOUS-SEGMENT'!$C$8:$C$154=$C41)*'ANALYSE - ERP =&gt; SOUS-SEGMENT'!$Q$8:$Q$154*'ANALYSE - ERP =&gt; SOUS-SEGMENT'!$AC$8:$AC$154)</f>
        <v>12487</v>
      </c>
      <c r="AD41" s="628">
        <f>SUMPRODUCT(('ANALYSE - ERP =&gt; SOUS-SEGMENT'!$C$8:$C$154=$C41)*'ANALYSE - ERP =&gt; SOUS-SEGMENT'!$Q$8:$Q$154*'ANALYSE - ERP =&gt; SOUS-SEGMENT'!$AD$8:$AD$154)</f>
        <v>12700</v>
      </c>
      <c r="AE41" s="628">
        <f>SUMPRODUCT(('ANALYSE - ERP =&gt; SOUS-SEGMENT'!$C$8:$C$154=$C41)*'ANALYSE - ERP =&gt; SOUS-SEGMENT'!$Q$8:$Q$154*'ANALYSE - ERP =&gt; SOUS-SEGMENT'!$AE$8:$AE$154)</f>
        <v>12928</v>
      </c>
      <c r="AF41" s="628">
        <f>SUMPRODUCT(('ANALYSE - ERP =&gt; SOUS-SEGMENT'!$C$8:$C$154=$C41)*'ANALYSE - ERP =&gt; SOUS-SEGMENT'!$Q$8:$Q$154*'ANALYSE - ERP =&gt; SOUS-SEGMENT'!$AF$8:$AF$154)</f>
        <v>13135</v>
      </c>
      <c r="AG41" s="628">
        <f>SUMPRODUCT(('ANALYSE - ERP =&gt; SOUS-SEGMENT'!$C$8:$C$154=$C41)*'ANALYSE - ERP =&gt; SOUS-SEGMENT'!$Q$8:$Q$154*'ANALYSE - ERP =&gt; SOUS-SEGMENT'!$AG$8:$AG$154)</f>
        <v>13297</v>
      </c>
      <c r="AH41" s="628">
        <f>SUMPRODUCT(('ANALYSE - ERP =&gt; SOUS-SEGMENT'!$C$8:$C$154=$C41)*'ANALYSE - ERP =&gt; SOUS-SEGMENT'!$Q$8:$Q$154*'ANALYSE - ERP =&gt; SOUS-SEGMENT'!$AH$8:$AH$154)</f>
        <v>13444</v>
      </c>
      <c r="AI41" s="628">
        <f>SUMPRODUCT(('ANALYSE - ERP =&gt; SOUS-SEGMENT'!$C$8:$C$154=$C41)*'ANALYSE - ERP =&gt; SOUS-SEGMENT'!$Q$8:$Q$154*'ANALYSE - ERP =&gt; SOUS-SEGMENT'!$AI$8:$AI$154)</f>
        <v>13576</v>
      </c>
      <c r="AJ41" s="628">
        <f>SUMPRODUCT(('ANALYSE - ERP =&gt; SOUS-SEGMENT'!$C$8:$C$154=$C41)*'ANALYSE - ERP =&gt; SOUS-SEGMENT'!$Q$8:$Q$154*'ANALYSE - ERP =&gt; SOUS-SEGMENT'!$AJ$8:$AJ$154)</f>
        <v>13703</v>
      </c>
      <c r="AK41" s="628">
        <f>SUMPRODUCT(('ANALYSE - ERP =&gt; SOUS-SEGMENT'!$C$8:$C$154=$C41)*'ANALYSE - ERP =&gt; SOUS-SEGMENT'!$Q$8:$Q$154*'ANALYSE - ERP =&gt; SOUS-SEGMENT'!$AK$8:$AK$154)</f>
        <v>13820</v>
      </c>
      <c r="AL41" s="290" t="s">
        <v>7471</v>
      </c>
      <c r="AM41" s="290" t="s">
        <v>7472</v>
      </c>
      <c r="AN41" s="290" t="s">
        <v>7504</v>
      </c>
      <c r="AO41" s="657"/>
      <c r="AP41" s="280">
        <f>IFERROR(SUMPRODUCT(('ANALYSE - ERP =&gt; SOUS-SEGMENT'!$C$8:$C$154=$C41)*'ANALYSE - ERP =&gt; SOUS-SEGMENT'!$Q$8:$Q$154*'ANALYSE - ERP =&gt; SOUS-SEGMENT'!$AG$8:$AG$154*'ANALYSE - ERP =&gt; SOUS-SEGMENT'!$AP$8:$AP$154)/SUMPRODUCT(('ANALYSE - ERP =&gt; SOUS-SEGMENT'!$C$8:$C$154=$C41)*'ANALYSE - ERP =&gt; SOUS-SEGMENT'!$Q$8:$Q$154*'ANALYSE - ERP =&gt; SOUS-SEGMENT'!$AG$8:$AG$154),"")</f>
        <v>86.038956155523806</v>
      </c>
      <c r="AQ41" s="280">
        <f>IFERROR(SUMPRODUCT(('ANALYSE - ERP =&gt; SOUS-SEGMENT'!$C$8:$C$154=$C41)*'ANALYSE - ERP =&gt; SOUS-SEGMENT'!$Q$8:$Q$154*'ANALYSE - ERP =&gt; SOUS-SEGMENT'!$AF$8:$AF$154*'ANALYSE - ERP =&gt; SOUS-SEGMENT'!$AQ$8:$AQ$154)/SUMPRODUCT(('ANALYSE - ERP =&gt; SOUS-SEGMENT'!$C$8:$C$154=$C41)*'ANALYSE - ERP =&gt; SOUS-SEGMENT'!$Q$8:$Q$154*'ANALYSE - ERP =&gt; SOUS-SEGMENT'!$AF$8:$AF$154),"")</f>
        <v>75.58736200989722</v>
      </c>
      <c r="AR41" s="280">
        <f>IFERROR(SUMPRODUCT(('ANALYSE - ERP =&gt; SOUS-SEGMENT'!$C$8:$C$154=$C41)*'ANALYSE - ERP =&gt; SOUS-SEGMENT'!$Q$8:$Q$154*'ANALYSE - ERP =&gt; SOUS-SEGMENT'!$AF$8:$AF$154*'ANALYSE - ERP =&gt; SOUS-SEGMENT'!$AR$8:$AR$154)/SUMPRODUCT(('ANALYSE - ERP =&gt; SOUS-SEGMENT'!$C$8:$C$154=$C41)*'ANALYSE - ERP =&gt; SOUS-SEGMENT'!$Q$8:$Q$154*'ANALYSE - ERP =&gt; SOUS-SEGMENT'!$AF$8:$AF$154),"")</f>
        <v>8.1339931480776553</v>
      </c>
      <c r="AS41" s="280">
        <f>IFERROR(SUMPRODUCT(('ANALYSE - ERP =&gt; SOUS-SEGMENT'!$C$8:$C$154=$C41)*'ANALYSE - ERP =&gt; SOUS-SEGMENT'!$Q$8:$Q$154*'ANALYSE - ERP =&gt; SOUS-SEGMENT'!$AF$8:$AF$154*'ANALYSE - ERP =&gt; SOUS-SEGMENT'!$AS$8:$AS$154)/SUMPRODUCT(('ANALYSE - ERP =&gt; SOUS-SEGMENT'!$C$8:$C$154=$C41)*'ANALYSE - ERP =&gt; SOUS-SEGMENT'!$Q$8:$Q$154*'ANALYSE - ERP =&gt; SOUS-SEGMENT'!$AF$8:$AF$154),"")</f>
        <v>2.2664636467453367</v>
      </c>
      <c r="AT41" s="657" t="s">
        <v>7505</v>
      </c>
      <c r="AU41" s="301" t="s">
        <v>7506</v>
      </c>
      <c r="AV41" s="302" t="s">
        <v>7507</v>
      </c>
      <c r="AW41" s="301"/>
      <c r="AX41" s="657"/>
      <c r="AY41" s="303">
        <f>IFERROR(SUMPRODUCT(('ANALYSE - ERP =&gt; SOUS-SEGMENT'!$C$8:$C$154=$C41)*'ANALYSE - ERP =&gt; SOUS-SEGMENT'!$Q$8:$Q$154*'ANALYSE - ERP =&gt; SOUS-SEGMENT'!$AF$8:$AF$154*'ANALYSE - ERP =&gt; SOUS-SEGMENT'!$AZ$8:$AZ$154)/SUMPRODUCT(('ANALYSE - ERP =&gt; SOUS-SEGMENT'!$C$8:$C$154=$C41)*'ANALYSE - ERP =&gt; SOUS-SEGMENT'!$Q$8:$Q$154*'ANALYSE - ERP =&gt; SOUS-SEGMENT'!$AF$8:$AF$154),"")</f>
        <v>7.8922725542443857</v>
      </c>
      <c r="AZ41" s="948">
        <f>IFERROR(SUMPRODUCT(('ANALYSE - ERP =&gt; SOUS-SEGMENT'!$C$8:$C$154=$C41)*'ANALYSE - ERP =&gt; SOUS-SEGMENT'!$Q$8:$Q$154*'ANALYSE - ERP =&gt; SOUS-SEGMENT'!$AF$8:$AF$154*'ANALYSE - ERP =&gt; SOUS-SEGMENT'!$BA$8:$BA$154)/SUMPRODUCT(('ANALYSE - ERP =&gt; SOUS-SEGMENT'!$C$8:$C$154=$C41)*'ANALYSE - ERP =&gt; SOUS-SEGMENT'!$Q$8:$Q$154*'ANALYSE - ERP =&gt; SOUS-SEGMENT'!$AF$8:$AF$154),"")</f>
        <v>6.5588123334602209</v>
      </c>
      <c r="BA41" s="303">
        <f>IFERROR(SUMPRODUCT(('ANALYSE - ERP =&gt; SOUS-SEGMENT'!$C$8:$C$154=$C41)*'ANALYSE - ERP =&gt; SOUS-SEGMENT'!$Q$8:$Q$154*'ANALYSE - ERP =&gt; SOUS-SEGMENT'!$AF$8:$AF$154*'ANALYSE - ERP =&gt; SOUS-SEGMENT'!$BB$8:$BB$154)/SUMPRODUCT(('ANALYSE - ERP =&gt; SOUS-SEGMENT'!$C$8:$C$154=$C41)*'ANALYSE - ERP =&gt; SOUS-SEGMENT'!$Q$8:$Q$154*'ANALYSE - ERP =&gt; SOUS-SEGMENT'!$AF$8:$AF$154),"")</f>
        <v>1.0519223448800914</v>
      </c>
      <c r="BB41" s="303">
        <f>IFERROR(SUMPRODUCT(('ANALYSE - ERP =&gt; SOUS-SEGMENT'!$C$8:$C$154=$C41)*'ANALYSE - ERP =&gt; SOUS-SEGMENT'!$Q$8:$Q$154*'ANALYSE - ERP =&gt; SOUS-SEGMENT'!$AF$8:$AF$154*'ANALYSE - ERP =&gt; SOUS-SEGMENT'!$BC$8:$BC$154)/SUMPRODUCT(('ANALYSE - ERP =&gt; SOUS-SEGMENT'!$C$8:$C$154=$C41)*'ANALYSE - ERP =&gt; SOUS-SEGMENT'!$Q$8:$Q$154*'ANALYSE - ERP =&gt; SOUS-SEGMENT'!$AF$8:$AF$154),"")</f>
        <v>7.6471259992386749</v>
      </c>
      <c r="BC41" s="304">
        <f>SUMPRODUCT(('ANALYSE - ERP =&gt; SOUS-SEGMENT'!$C$8:$C$154=$C41)*'ANALYSE - ERP =&gt; SOUS-SEGMENT'!$Q$8:$Q$154*'ANALYSE - ERP =&gt; SOUS-SEGMENT'!$BE$8:$BE$154)</f>
        <v>103665</v>
      </c>
      <c r="BD41" s="304">
        <f>SUMPRODUCT(('ANALYSE - ERP =&gt; SOUS-SEGMENT'!$C$8:$C$154=$C41)*'ANALYSE - ERP =&gt; SOUS-SEGMENT'!$Q$8:$Q$154*'ANALYSE - ERP =&gt; SOUS-SEGMENT'!$BF$8:$BF$154)</f>
        <v>86150</v>
      </c>
      <c r="BE41" s="304">
        <f>SUMPRODUCT(('ANALYSE - ERP =&gt; SOUS-SEGMENT'!$C$8:$C$154=$C41)*'ANALYSE - ERP =&gt; SOUS-SEGMENT'!$Q$8:$Q$154*'ANALYSE - ERP =&gt; SOUS-SEGMENT'!$BG$8:$BG$154)</f>
        <v>13817</v>
      </c>
      <c r="BF41" s="304">
        <f>SUMPRODUCT(('ANALYSE - ERP =&gt; SOUS-SEGMENT'!$C$8:$C$154=$C41)*'ANALYSE - ERP =&gt; SOUS-SEGMENT'!$Q$8:$Q$154*'ANALYSE - ERP =&gt; SOUS-SEGMENT'!$BH$8:$BH$154)</f>
        <v>100445</v>
      </c>
      <c r="BG41" s="304">
        <f>SUMPRODUCT(('ANALYSE - ERP =&gt; SOUS-SEGMENT'!$C$8:$C$154=$C41)*'ANALYSE - ERP =&gt; SOUS-SEGMENT'!$Q$8:$Q$154*'ANALYSE - ERP =&gt; SOUS-SEGMENT'!$BJ$8:$BJ$154)</f>
        <v>109060</v>
      </c>
      <c r="BH41" s="304">
        <f>SUMPRODUCT(('ANALYSE - ERP =&gt; SOUS-SEGMENT'!$C$8:$C$154=$C41)*'ANALYSE - ERP =&gt; SOUS-SEGMENT'!$Q$8:$Q$154*'ANALYSE - ERP =&gt; SOUS-SEGMENT'!$BK$8:$BK$154)</f>
        <v>90570</v>
      </c>
      <c r="BI41" s="304">
        <f>SUMPRODUCT(('ANALYSE - ERP =&gt; SOUS-SEGMENT'!$C$8:$C$154=$C41)*'ANALYSE - ERP =&gt; SOUS-SEGMENT'!$Q$8:$Q$154*'ANALYSE - ERP =&gt; SOUS-SEGMENT'!$BL$8:$BL$154)</f>
        <v>14535</v>
      </c>
      <c r="BJ41" s="304">
        <f>SUMPRODUCT(('ANALYSE - ERP =&gt; SOUS-SEGMENT'!$C$8:$C$154=$C41)*'ANALYSE - ERP =&gt; SOUS-SEGMENT'!$Q$8:$Q$154*'ANALYSE - ERP =&gt; SOUS-SEGMENT'!$BM$8:$BM$154)</f>
        <v>105650</v>
      </c>
      <c r="BK41" s="657"/>
      <c r="BL41" s="284">
        <f>IFERROR(SUMPRODUCT(('ANALYSE - ERP =&gt; SOUS-SEGMENT'!$C$8:$C$154=$C41)*'ANALYSE - ERP =&gt; SOUS-SEGMENT'!$Q$8:$Q$154*'ANALYSE - ERP =&gt; SOUS-SEGMENT'!$BE$8:$BE$154*'ANALYSE - ERP =&gt; SOUS-SEGMENT'!$BO$8:$BO$154)/SUMPRODUCT(('ANALYSE - ERP =&gt; SOUS-SEGMENT'!$C$8:$C$154=$C41)*'ANALYSE - ERP =&gt; SOUS-SEGMENT'!$Q$8:$Q$154*'ANALYSE - ERP =&gt; SOUS-SEGMENT'!$BE$8:$BE$154),"")</f>
        <v>0.37999999999999995</v>
      </c>
      <c r="BM41" s="284">
        <f>IFERROR(SUMPRODUCT(('ANALYSE - ERP =&gt; SOUS-SEGMENT'!$C$8:$C$154=$C41)*'ANALYSE - ERP =&gt; SOUS-SEGMENT'!$Q$8:$Q$154*'ANALYSE - ERP =&gt; SOUS-SEGMENT'!$BE$8:$BE$154*'ANALYSE - ERP =&gt; SOUS-SEGMENT'!$BP$8:$BP$154)/SUMPRODUCT(('ANALYSE - ERP =&gt; SOUS-SEGMENT'!$C$8:$C$154=$C41)*'ANALYSE - ERP =&gt; SOUS-SEGMENT'!$Q$8:$Q$154*'ANALYSE - ERP =&gt; SOUS-SEGMENT'!$BE$8:$BE$154),"")</f>
        <v>0.42000000000000004</v>
      </c>
      <c r="BN41" s="284">
        <f>IFERROR(SUMPRODUCT(('ANALYSE - ERP =&gt; SOUS-SEGMENT'!$C$8:$C$154=$C41)*'ANALYSE - ERP =&gt; SOUS-SEGMENT'!$Q$8:$Q$154*'ANALYSE - ERP =&gt; SOUS-SEGMENT'!$BE$8:$BE$154*'ANALYSE - ERP =&gt; SOUS-SEGMENT'!$BQ$8:$BQ$154)/SUMPRODUCT(('ANALYSE - ERP =&gt; SOUS-SEGMENT'!$C$8:$C$154=$C41)*'ANALYSE - ERP =&gt; SOUS-SEGMENT'!$Q$8:$Q$154*'ANALYSE - ERP =&gt; SOUS-SEGMENT'!$BE$8:$BE$154),"")</f>
        <v>0.12</v>
      </c>
      <c r="BO41" s="284">
        <f>IFERROR(SUMPRODUCT(('ANALYSE - ERP =&gt; SOUS-SEGMENT'!$C$8:$C$154=$C41)*'ANALYSE - ERP =&gt; SOUS-SEGMENT'!$Q$8:$Q$154*'ANALYSE - ERP =&gt; SOUS-SEGMENT'!$BE$8:$BE$154*'ANALYSE - ERP =&gt; SOUS-SEGMENT'!$BR$8:$BR$154)/SUMPRODUCT(('ANALYSE - ERP =&gt; SOUS-SEGMENT'!$C$8:$C$154=$C41)*'ANALYSE - ERP =&gt; SOUS-SEGMENT'!$Q$8:$Q$154*'ANALYSE - ERP =&gt; SOUS-SEGMENT'!$BE$8:$BE$154),"")</f>
        <v>0.08</v>
      </c>
      <c r="BP41" s="284">
        <f>IFERROR(SUMPRODUCT(('ANALYSE - ERP =&gt; SOUS-SEGMENT'!$C$8:$C$154=$C41)*'ANALYSE - ERP =&gt; SOUS-SEGMENT'!$Q$8:$Q$154*'ANALYSE - ERP =&gt; SOUS-SEGMENT'!$BJ$8:$BJ$154*'ANALYSE - ERP =&gt; SOUS-SEGMENT'!$BS$8:$BS$154)/SUMPRODUCT(('ANALYSE - ERP =&gt; SOUS-SEGMENT'!$C$8:$C$154=$C41)*'ANALYSE - ERP =&gt; SOUS-SEGMENT'!$Q$8:$Q$154*'ANALYSE - ERP =&gt; SOUS-SEGMENT'!$BJ$8:$BJ$154),"")</f>
        <v>0.34</v>
      </c>
      <c r="BQ41" s="284">
        <f>IFERROR(SUMPRODUCT(('ANALYSE - ERP =&gt; SOUS-SEGMENT'!$C$8:$C$154=$C41)*'ANALYSE - ERP =&gt; SOUS-SEGMENT'!$Q$8:$Q$154*'ANALYSE - ERP =&gt; SOUS-SEGMENT'!$BJ$8:$BJ$154*'ANALYSE - ERP =&gt; SOUS-SEGMENT'!$BT$8:$BT$154)/SUMPRODUCT(('ANALYSE - ERP =&gt; SOUS-SEGMENT'!$C$8:$C$154=$C41)*'ANALYSE - ERP =&gt; SOUS-SEGMENT'!$Q$8:$Q$154*'ANALYSE - ERP =&gt; SOUS-SEGMENT'!$BJ$8:$BJ$154),"")</f>
        <v>0.42999999999999994</v>
      </c>
      <c r="BR41" s="284">
        <f>IFERROR(SUMPRODUCT(('ANALYSE - ERP =&gt; SOUS-SEGMENT'!$C$8:$C$154=$C41)*'ANALYSE - ERP =&gt; SOUS-SEGMENT'!$Q$8:$Q$154*'ANALYSE - ERP =&gt; SOUS-SEGMENT'!$BJ$8:$BJ$154*'ANALYSE - ERP =&gt; SOUS-SEGMENT'!$BU$8:$BU$154)/SUMPRODUCT(('ANALYSE - ERP =&gt; SOUS-SEGMENT'!$C$8:$C$154=$C41)*'ANALYSE - ERP =&gt; SOUS-SEGMENT'!$Q$8:$Q$154*'ANALYSE - ERP =&gt; SOUS-SEGMENT'!$BJ$8:$BJ$154),"")</f>
        <v>0.15999999999999998</v>
      </c>
      <c r="BS41" s="284">
        <f>IFERROR(SUMPRODUCT(('ANALYSE - ERP =&gt; SOUS-SEGMENT'!$C$8:$C$154=$C41)*'ANALYSE - ERP =&gt; SOUS-SEGMENT'!$Q$8:$Q$154*'ANALYSE - ERP =&gt; SOUS-SEGMENT'!$BJ$8:$BJ$154*'ANALYSE - ERP =&gt; SOUS-SEGMENT'!$BV$8:$BV$154)/SUMPRODUCT(('ANALYSE - ERP =&gt; SOUS-SEGMENT'!$C$8:$C$154=$C41)*'ANALYSE - ERP =&gt; SOUS-SEGMENT'!$Q$8:$Q$154*'ANALYSE - ERP =&gt; SOUS-SEGMENT'!$BJ$8:$BJ$154),"")</f>
        <v>7.0000000000000007E-2</v>
      </c>
      <c r="BT41" s="285">
        <f>IFERROR(SUMPRODUCT(('ANALYSE - ERP =&gt; SOUS-SEGMENT'!$C$8:$C$154=$C41)*'ANALYSE - ERP =&gt; SOUS-SEGMENT'!$Q$8:$Q$154*'ANALYSE - ERP =&gt; SOUS-SEGMENT'!$BF$8:$BF$154*'ANALYSE - ERP =&gt; SOUS-SEGMENT'!$BW$8:$BW$154)/SUMPRODUCT(('ANALYSE - ERP =&gt; SOUS-SEGMENT'!$C$8:$C$154=$C41)*'ANALYSE - ERP =&gt; SOUS-SEGMENT'!$Q$8:$Q$154*'ANALYSE - ERP =&gt; SOUS-SEGMENT'!$BF$8:$BF$154),"")</f>
        <v>0.65</v>
      </c>
      <c r="BU41" s="285">
        <f>IFERROR(SUMPRODUCT(('ANALYSE - ERP =&gt; SOUS-SEGMENT'!$C$8:$C$154=$C41)*'ANALYSE - ERP =&gt; SOUS-SEGMENT'!$Q$8:$Q$154*'ANALYSE - ERP =&gt; SOUS-SEGMENT'!$BF$8:$BF$154*'ANALYSE - ERP =&gt; SOUS-SEGMENT'!$BX$8:$BX$154)/SUMPRODUCT(('ANALYSE - ERP =&gt; SOUS-SEGMENT'!$C$8:$C$154=$C41)*'ANALYSE - ERP =&gt; SOUS-SEGMENT'!$Q$8:$Q$154*'ANALYSE - ERP =&gt; SOUS-SEGMENT'!$BF$8:$BF$154),"")</f>
        <v>0.28000000000000003</v>
      </c>
      <c r="BV41" s="285">
        <f>IFERROR(SUMPRODUCT(('ANALYSE - ERP =&gt; SOUS-SEGMENT'!$C$8:$C$154=$C41)*'ANALYSE - ERP =&gt; SOUS-SEGMENT'!$Q$8:$Q$154*'ANALYSE - ERP =&gt; SOUS-SEGMENT'!$BF$8:$BF$154*'ANALYSE - ERP =&gt; SOUS-SEGMENT'!$BY$8:$BY$154)/SUMPRODUCT(('ANALYSE - ERP =&gt; SOUS-SEGMENT'!$C$8:$C$154=$C41)*'ANALYSE - ERP =&gt; SOUS-SEGMENT'!$Q$8:$Q$154*'ANALYSE - ERP =&gt; SOUS-SEGMENT'!$BF$8:$BF$154),"")</f>
        <v>7.0000000000000007E-2</v>
      </c>
      <c r="BW41" s="285">
        <f>IFERROR(SUMPRODUCT(('ANALYSE - ERP =&gt; SOUS-SEGMENT'!$C$8:$C$154=$C41)*'ANALYSE - ERP =&gt; SOUS-SEGMENT'!$Q$8:$Q$154*'ANALYSE - ERP =&gt; SOUS-SEGMENT'!$BK$8:$BK$154*'ANALYSE - ERP =&gt; SOUS-SEGMENT'!$BZ$8:$BZ$154)/SUMPRODUCT(('ANALYSE - ERP =&gt; SOUS-SEGMENT'!$C$8:$C$154=$C41)*'ANALYSE - ERP =&gt; SOUS-SEGMENT'!$Q$8:$Q$154*'ANALYSE - ERP =&gt; SOUS-SEGMENT'!$BK$8:$BK$154),"")</f>
        <v>0.6</v>
      </c>
      <c r="BX41" s="285">
        <f>IFERROR(SUMPRODUCT(('ANALYSE - ERP =&gt; SOUS-SEGMENT'!$C$8:$C$154=$C41)*'ANALYSE - ERP =&gt; SOUS-SEGMENT'!$Q$8:$Q$154*'ANALYSE - ERP =&gt; SOUS-SEGMENT'!$BK$8:$BK$154*'ANALYSE - ERP =&gt; SOUS-SEGMENT'!$CA$8:$CA$154)/SUMPRODUCT(('ANALYSE - ERP =&gt; SOUS-SEGMENT'!$C$8:$C$154=$C41)*'ANALYSE - ERP =&gt; SOUS-SEGMENT'!$Q$8:$Q$154*'ANALYSE - ERP =&gt; SOUS-SEGMENT'!$BK$8:$BK$154),"")</f>
        <v>0.30999999999999994</v>
      </c>
      <c r="BY41" s="285">
        <f>IFERROR(SUMPRODUCT(('ANALYSE - ERP =&gt; SOUS-SEGMENT'!$C$8:$C$154=$C41)*'ANALYSE - ERP =&gt; SOUS-SEGMENT'!$Q$8:$Q$154*'ANALYSE - ERP =&gt; SOUS-SEGMENT'!$BK$8:$BK$154*'ANALYSE - ERP =&gt; SOUS-SEGMENT'!$CB$8:$CB$154)/SUMPRODUCT(('ANALYSE - ERP =&gt; SOUS-SEGMENT'!$C$8:$C$154=$C41)*'ANALYSE - ERP =&gt; SOUS-SEGMENT'!$Q$8:$Q$154*'ANALYSE - ERP =&gt; SOUS-SEGMENT'!$BK$8:$BK$154),"")</f>
        <v>0.09</v>
      </c>
      <c r="BZ41" s="284">
        <f>IFERROR(SUMPRODUCT(('ANALYSE - ERP =&gt; SOUS-SEGMENT'!$C$8:$C$154=$C41)*'ANALYSE - ERP =&gt; SOUS-SEGMENT'!$Q$8:$Q$154*'ANALYSE - ERP =&gt; SOUS-SEGMENT'!$BG$8:$BG$154*'ANALYSE - ERP =&gt; SOUS-SEGMENT'!$CC$8:$CC$154)/SUMPRODUCT(('ANALYSE - ERP =&gt; SOUS-SEGMENT'!$C$8:$C$154=$C41)*'ANALYSE - ERP =&gt; SOUS-SEGMENT'!$Q$8:$Q$154*'ANALYSE - ERP =&gt; SOUS-SEGMENT'!$BG$8:$BG$154),"")</f>
        <v>0.12000000000000001</v>
      </c>
      <c r="CA41" s="284">
        <f>IFERROR(SUMPRODUCT(('ANALYSE - ERP =&gt; SOUS-SEGMENT'!$C$8:$C$154=$C41)*'ANALYSE - ERP =&gt; SOUS-SEGMENT'!$Q$8:$Q$154*'ANALYSE - ERP =&gt; SOUS-SEGMENT'!$BG$8:$BG$154*'ANALYSE - ERP =&gt; SOUS-SEGMENT'!$CD$8:$CD$154)/SUMPRODUCT(('ANALYSE - ERP =&gt; SOUS-SEGMENT'!$C$8:$C$154=$C41)*'ANALYSE - ERP =&gt; SOUS-SEGMENT'!$Q$8:$Q$154*'ANALYSE - ERP =&gt; SOUS-SEGMENT'!$BG$8:$BG$154),"")</f>
        <v>0.51999999999999991</v>
      </c>
      <c r="CB41" s="284">
        <f>IFERROR(SUMPRODUCT(('ANALYSE - ERP =&gt; SOUS-SEGMENT'!$C$8:$C$154=$C41)*'ANALYSE - ERP =&gt; SOUS-SEGMENT'!$Q$8:$Q$154*'ANALYSE - ERP =&gt; SOUS-SEGMENT'!$BG$8:$BG$154*'ANALYSE - ERP =&gt; SOUS-SEGMENT'!$CE$8:$CE$154)/SUMPRODUCT(('ANALYSE - ERP =&gt; SOUS-SEGMENT'!$C$8:$C$154=$C41)*'ANALYSE - ERP =&gt; SOUS-SEGMENT'!$Q$8:$Q$154*'ANALYSE - ERP =&gt; SOUS-SEGMENT'!$BG$8:$BG$154),"")</f>
        <v>0.12000000000000001</v>
      </c>
      <c r="CC41" s="284">
        <f>IFERROR(SUMPRODUCT(('ANALYSE - ERP =&gt; SOUS-SEGMENT'!$C$8:$C$154=$C41)*'ANALYSE - ERP =&gt; SOUS-SEGMENT'!$Q$8:$Q$154*'ANALYSE - ERP =&gt; SOUS-SEGMENT'!$BG$8:$BG$154*'ANALYSE - ERP =&gt; SOUS-SEGMENT'!$CF$8:$CF$154)/SUMPRODUCT(('ANALYSE - ERP =&gt; SOUS-SEGMENT'!$C$8:$C$154=$C41)*'ANALYSE - ERP =&gt; SOUS-SEGMENT'!$Q$8:$Q$154*'ANALYSE - ERP =&gt; SOUS-SEGMENT'!$BG$8:$BG$154),"")</f>
        <v>0.24000000000000002</v>
      </c>
      <c r="CD41" s="284">
        <f>IFERROR(SUMPRODUCT(('ANALYSE - ERP =&gt; SOUS-SEGMENT'!$C$8:$C$154=$C41)*'ANALYSE - ERP =&gt; SOUS-SEGMENT'!$Q$8:$Q$154*'ANALYSE - ERP =&gt; SOUS-SEGMENT'!$BL$8:$BL$154*'ANALYSE - ERP =&gt; SOUS-SEGMENT'!$CG$8:$CG$154)/SUMPRODUCT(('ANALYSE - ERP =&gt; SOUS-SEGMENT'!$C$8:$C$154=$C41)*'ANALYSE - ERP =&gt; SOUS-SEGMENT'!$Q$8:$Q$154*'ANALYSE - ERP =&gt; SOUS-SEGMENT'!$BL$8:$BL$154),"")</f>
        <v>0.1</v>
      </c>
      <c r="CE41" s="284">
        <f>IFERROR(SUMPRODUCT(('ANALYSE - ERP =&gt; SOUS-SEGMENT'!$C$8:$C$154=$C41)*'ANALYSE - ERP =&gt; SOUS-SEGMENT'!$Q$8:$Q$154*'ANALYSE - ERP =&gt; SOUS-SEGMENT'!$BL$8:$BL$154*'ANALYSE - ERP =&gt; SOUS-SEGMENT'!$CH$8:$CH$154)/SUMPRODUCT(('ANALYSE - ERP =&gt; SOUS-SEGMENT'!$C$8:$C$154=$C41)*'ANALYSE - ERP =&gt; SOUS-SEGMENT'!$Q$8:$Q$154*'ANALYSE - ERP =&gt; SOUS-SEGMENT'!$BL$8:$BL$154),"")</f>
        <v>0.52</v>
      </c>
      <c r="CF41" s="284">
        <f>IFERROR(SUMPRODUCT(('ANALYSE - ERP =&gt; SOUS-SEGMENT'!$C$8:$C$154=$C41)*'ANALYSE - ERP =&gt; SOUS-SEGMENT'!$Q$8:$Q$154*'ANALYSE - ERP =&gt; SOUS-SEGMENT'!$BL$8:$BL$154*'ANALYSE - ERP =&gt; SOUS-SEGMENT'!$CI$8:$CI$154)/SUMPRODUCT(('ANALYSE - ERP =&gt; SOUS-SEGMENT'!$C$8:$C$154=$C41)*'ANALYSE - ERP =&gt; SOUS-SEGMENT'!$Q$8:$Q$154*'ANALYSE - ERP =&gt; SOUS-SEGMENT'!$BL$8:$BL$154),"")</f>
        <v>0.15</v>
      </c>
      <c r="CG41" s="284">
        <f>IFERROR(SUMPRODUCT(('ANALYSE - ERP =&gt; SOUS-SEGMENT'!$C$8:$C$154=$C41)*'ANALYSE - ERP =&gt; SOUS-SEGMENT'!$Q$8:$Q$154*'ANALYSE - ERP =&gt; SOUS-SEGMENT'!$BL$8:$BL$154*'ANALYSE - ERP =&gt; SOUS-SEGMENT'!$CJ$8:$CJ$154)/SUMPRODUCT(('ANALYSE - ERP =&gt; SOUS-SEGMENT'!$C$8:$C$154=$C41)*'ANALYSE - ERP =&gt; SOUS-SEGMENT'!$Q$8:$Q$154*'ANALYSE - ERP =&gt; SOUS-SEGMENT'!$BL$8:$BL$154),"")</f>
        <v>0.23</v>
      </c>
      <c r="CH41" s="286">
        <f>IFERROR(SUMPRODUCT(('ANALYSE - ERP =&gt; SOUS-SEGMENT'!$C$8:$C$154=$C41)*'ANALYSE - ERP =&gt; SOUS-SEGMENT'!$Q$8:$Q$154*'ANALYSE - ERP =&gt; SOUS-SEGMENT'!$BH$8:$BH$154*'ANALYSE - ERP =&gt; SOUS-SEGMENT'!$CK$8:$CK$154)/SUMPRODUCT(('ANALYSE - ERP =&gt; SOUS-SEGMENT'!$C$8:$C$154=$C41)*'ANALYSE - ERP =&gt; SOUS-SEGMENT'!$Q$8:$Q$154*'ANALYSE - ERP =&gt; SOUS-SEGMENT'!$BH$8:$BH$154),"")</f>
        <v>0.55000000000000004</v>
      </c>
      <c r="CI41" s="286">
        <f>IFERROR(SUMPRODUCT(('ANALYSE - ERP =&gt; SOUS-SEGMENT'!$C$8:$C$154=$C41)*'ANALYSE - ERP =&gt; SOUS-SEGMENT'!$Q$8:$Q$154*'ANALYSE - ERP =&gt; SOUS-SEGMENT'!$BH$8:$BH$154*'ANALYSE - ERP =&gt; SOUS-SEGMENT'!$CL$8:$CL$154)/SUMPRODUCT(('ANALYSE - ERP =&gt; SOUS-SEGMENT'!$C$8:$C$154=$C41)*'ANALYSE - ERP =&gt; SOUS-SEGMENT'!$Q$8:$Q$154*'ANALYSE - ERP =&gt; SOUS-SEGMENT'!$BH$8:$BH$154),"")</f>
        <v>0.35</v>
      </c>
      <c r="CJ41" s="286">
        <f>IFERROR(SUMPRODUCT(('ANALYSE - ERP =&gt; SOUS-SEGMENT'!$C$8:$C$154=$C41)*'ANALYSE - ERP =&gt; SOUS-SEGMENT'!$Q$8:$Q$154*'ANALYSE - ERP =&gt; SOUS-SEGMENT'!$BH$8:$BH$154*'ANALYSE - ERP =&gt; SOUS-SEGMENT'!$CM$8:$CM$154)/SUMPRODUCT(('ANALYSE - ERP =&gt; SOUS-SEGMENT'!$C$8:$C$154=$C41)*'ANALYSE - ERP =&gt; SOUS-SEGMENT'!$Q$8:$Q$154*'ANALYSE - ERP =&gt; SOUS-SEGMENT'!$BH$8:$BH$154),"")</f>
        <v>0.1</v>
      </c>
      <c r="CK41" s="286">
        <f>IFERROR(SUMPRODUCT(('ANALYSE - ERP =&gt; SOUS-SEGMENT'!$C$8:$C$154=$C41)*'ANALYSE - ERP =&gt; SOUS-SEGMENT'!$Q$8:$Q$154*'ANALYSE - ERP =&gt; SOUS-SEGMENT'!$BM$8:$BM$154*'ANALYSE - ERP =&gt; SOUS-SEGMENT'!$CN$8:$CN$154)/SUMPRODUCT(('ANALYSE - ERP =&gt; SOUS-SEGMENT'!$C$8:$C$154=$C41)*'ANALYSE - ERP =&gt; SOUS-SEGMENT'!$Q$8:$Q$154*'ANALYSE - ERP =&gt; SOUS-SEGMENT'!$BM$8:$BM$154),"")</f>
        <v>0.45</v>
      </c>
      <c r="CL41" s="286">
        <f>IFERROR(SUMPRODUCT(('ANALYSE - ERP =&gt; SOUS-SEGMENT'!$C$8:$C$154=$C41)*'ANALYSE - ERP =&gt; SOUS-SEGMENT'!$Q$8:$Q$154*'ANALYSE - ERP =&gt; SOUS-SEGMENT'!$BM$8:$BM$154*'ANALYSE - ERP =&gt; SOUS-SEGMENT'!$CO$8:$CO$154)/SUMPRODUCT(('ANALYSE - ERP =&gt; SOUS-SEGMENT'!$C$8:$C$154=$C41)*'ANALYSE - ERP =&gt; SOUS-SEGMENT'!$Q$8:$Q$154*'ANALYSE - ERP =&gt; SOUS-SEGMENT'!$BM$8:$BM$154),"")</f>
        <v>0.4</v>
      </c>
      <c r="CM41" s="286">
        <f>IFERROR(SUMPRODUCT(('ANALYSE - ERP =&gt; SOUS-SEGMENT'!$C$8:$C$154=$C41)*'ANALYSE - ERP =&gt; SOUS-SEGMENT'!$Q$8:$Q$154*'ANALYSE - ERP =&gt; SOUS-SEGMENT'!$BM$8:$BM$154*'ANALYSE - ERP =&gt; SOUS-SEGMENT'!$CP$8:$CP$154)/SUMPRODUCT(('ANALYSE - ERP =&gt; SOUS-SEGMENT'!$C$8:$C$154=$C41)*'ANALYSE - ERP =&gt; SOUS-SEGMENT'!$Q$8:$Q$154*'ANALYSE - ERP =&gt; SOUS-SEGMENT'!$BM$8:$BM$154),"")</f>
        <v>0.15</v>
      </c>
      <c r="CN41" s="657"/>
      <c r="CO41" s="883">
        <f>IFERROR(SUMPRODUCT(('ANALYSE - ERP =&gt; SOUS-SEGMENT'!$C$8:$C$154=$C41)*'ANALYSE - ERP =&gt; SOUS-SEGMENT'!$DH$8:$DH$154*('ANALYSE - ERP =&gt; SOUS-SEGMENT'!$CR$8:$CR$154&gt;0)*'ANALYSE - ERP =&gt; SOUS-SEGMENT'!$CR$8:$CR$154)/SUMPRODUCT(('ANALYSE - ERP =&gt; SOUS-SEGMENT'!$C$8:$C$154=$C41)*'ANALYSE - ERP =&gt; SOUS-SEGMENT'!$DH$8:$DH$154*('ANALYSE - ERP =&gt; SOUS-SEGMENT'!$CR$8:$CR$154&gt;0)),"")</f>
        <v>12.000000000000002</v>
      </c>
      <c r="CP41" s="883">
        <f>IFERROR(SUMPRODUCT(('ANALYSE - ERP =&gt; SOUS-SEGMENT'!$C$8:$C$154=$C41)*'ANALYSE - ERP =&gt; SOUS-SEGMENT'!$DI$8:$DI$154*('ANALYSE - ERP =&gt; SOUS-SEGMENT'!$CS$8:$CS$154&gt;0)*'ANALYSE - ERP =&gt; SOUS-SEGMENT'!$CS$8:$CS$154)/SUMPRODUCT(('ANALYSE - ERP =&gt; SOUS-SEGMENT'!$C$8:$C$154=$C41)*'ANALYSE - ERP =&gt; SOUS-SEGMENT'!$DI$8:$DI$154*('ANALYSE - ERP =&gt; SOUS-SEGMENT'!$CS$8:$CS$154&gt;0)),"")</f>
        <v>12.999999999999996</v>
      </c>
      <c r="CQ41" s="883">
        <f>IFERROR(SUMPRODUCT(('ANALYSE - ERP =&gt; SOUS-SEGMENT'!$C$8:$C$154=$C41)*'ANALYSE - ERP =&gt; SOUS-SEGMENT'!$DJ$8:$DJ$154*('ANALYSE - ERP =&gt; SOUS-SEGMENT'!$CT$8:$CT$154&gt;0)*'ANALYSE - ERP =&gt; SOUS-SEGMENT'!$CT$8:$CT$154)/SUMPRODUCT(('ANALYSE - ERP =&gt; SOUS-SEGMENT'!$C$8:$C$154=$C41)*'ANALYSE - ERP =&gt; SOUS-SEGMENT'!$DJ$8:$DJ$154*('ANALYSE - ERP =&gt; SOUS-SEGMENT'!$CT$8:$CT$154&gt;0)),"")</f>
        <v>9</v>
      </c>
      <c r="CR41" s="883">
        <f>IFERROR(SUMPRODUCT(('ANALYSE - ERP =&gt; SOUS-SEGMENT'!$C$8:$C$154=$C41)*'ANALYSE - ERP =&gt; SOUS-SEGMENT'!$DK$8:$DK$154*('ANALYSE - ERP =&gt; SOUS-SEGMENT'!$CU$8:$CU$154&gt;0)*'ANALYSE - ERP =&gt; SOUS-SEGMENT'!$CU$8:$CU$154)/SUMPRODUCT(('ANALYSE - ERP =&gt; SOUS-SEGMENT'!$C$8:$C$154=$C41)*'ANALYSE - ERP =&gt; SOUS-SEGMENT'!$DK$8:$DK$154*('ANALYSE - ERP =&gt; SOUS-SEGMENT'!$CU$8:$CU$154&gt;0)),"")</f>
        <v>11</v>
      </c>
      <c r="CS41" s="883">
        <f>IFERROR(SUMPRODUCT(('ANALYSE - ERP =&gt; SOUS-SEGMENT'!$C$8:$C$154=$C41)*'ANALYSE - ERP =&gt; SOUS-SEGMENT'!$DS$8:$DS$154*('ANALYSE - ERP =&gt; SOUS-SEGMENT'!$CV$8:$CV$154&gt;0)*'ANALYSE - ERP =&gt; SOUS-SEGMENT'!$CV$8:$CV$154)/SUMPRODUCT(('ANALYSE - ERP =&gt; SOUS-SEGMENT'!$C$8:$C$154=$C41)*'ANALYSE - ERP =&gt; SOUS-SEGMENT'!$DS$8:$DS$154*('ANALYSE - ERP =&gt; SOUS-SEGMENT'!$CV$8:$CV$154&gt;0)),"")</f>
        <v>11</v>
      </c>
      <c r="CT41" s="883">
        <f>IFERROR(SUMPRODUCT(('ANALYSE - ERP =&gt; SOUS-SEGMENT'!$C$8:$C$154=$C41)*'ANALYSE - ERP =&gt; SOUS-SEGMENT'!$DT$8:$DT$154*('ANALYSE - ERP =&gt; SOUS-SEGMENT'!$CW$8:$CW$154&gt;0)*'ANALYSE - ERP =&gt; SOUS-SEGMENT'!$CW$8:$CW$154)/SUMPRODUCT(('ANALYSE - ERP =&gt; SOUS-SEGMENT'!$C$8:$C$154=$C41)*'ANALYSE - ERP =&gt; SOUS-SEGMENT'!$DT$8:$DT$154*('ANALYSE - ERP =&gt; SOUS-SEGMENT'!$CW$8:$CW$154&gt;0)),"")</f>
        <v>10</v>
      </c>
      <c r="CU41" s="883">
        <f>IFERROR(SUMPRODUCT(('ANALYSE - ERP =&gt; SOUS-SEGMENT'!$C$8:$C$154=$C41)*'ANALYSE - ERP =&gt; SOUS-SEGMENT'!$DU$8:$DU$154*('ANALYSE - ERP =&gt; SOUS-SEGMENT'!$CX$8:$CX$154&gt;0)*'ANALYSE - ERP =&gt; SOUS-SEGMENT'!$CX$8:$CX$154)/SUMPRODUCT(('ANALYSE - ERP =&gt; SOUS-SEGMENT'!$C$8:$C$154=$C41)*'ANALYSE - ERP =&gt; SOUS-SEGMENT'!$DU$8:$DU$154*('ANALYSE - ERP =&gt; SOUS-SEGMENT'!$CX$8:$CX$154&gt;0)),"")</f>
        <v>8</v>
      </c>
      <c r="CV41" s="883">
        <f>IFERROR(SUMPRODUCT(('ANALYSE - ERP =&gt; SOUS-SEGMENT'!$C$8:$C$154=$C41)*'ANALYSE - ERP =&gt; SOUS-SEGMENT'!$EB$8:$EB$154*('ANALYSE - ERP =&gt; SOUS-SEGMENT'!$CY$8:$CY$154&gt;0)*'ANALYSE - ERP =&gt; SOUS-SEGMENT'!$CY$8:$CY$154)/SUMPRODUCT(('ANALYSE - ERP =&gt; SOUS-SEGMENT'!$C$8:$C$154=$C41)*'ANALYSE - ERP =&gt; SOUS-SEGMENT'!$EB$8:$EB$154*('ANALYSE - ERP =&gt; SOUS-SEGMENT'!$CY$8:$CY$154&gt;0)),"")</f>
        <v>10</v>
      </c>
      <c r="CW41" s="883">
        <f>IFERROR(SUMPRODUCT(('ANALYSE - ERP =&gt; SOUS-SEGMENT'!$C$8:$C$154=$C41)*'ANALYSE - ERP =&gt; SOUS-SEGMENT'!$EC$8:$EC$154*('ANALYSE - ERP =&gt; SOUS-SEGMENT'!$CZ$8:$CZ$154&gt;0)*'ANALYSE - ERP =&gt; SOUS-SEGMENT'!$CZ$8:$CZ$154)/SUMPRODUCT(('ANALYSE - ERP =&gt; SOUS-SEGMENT'!$C$8:$C$154=$C41)*'ANALYSE - ERP =&gt; SOUS-SEGMENT'!$EC$8:$EC$154*('ANALYSE - ERP =&gt; SOUS-SEGMENT'!$CZ$8:$CZ$154&gt;0)),"")</f>
        <v>12.000000000000002</v>
      </c>
      <c r="CX41" s="883">
        <f>IFERROR(SUMPRODUCT(('ANALYSE - ERP =&gt; SOUS-SEGMENT'!$C$8:$C$154=$C41)*'ANALYSE - ERP =&gt; SOUS-SEGMENT'!$ED$8:$ED$154*('ANALYSE - ERP =&gt; SOUS-SEGMENT'!$DA$8:$DA$154&gt;0)*'ANALYSE - ERP =&gt; SOUS-SEGMENT'!$DA$8:$DA$154)/SUMPRODUCT(('ANALYSE - ERP =&gt; SOUS-SEGMENT'!$C$8:$C$154=$C41)*'ANALYSE - ERP =&gt; SOUS-SEGMENT'!$ED$8:$ED$154*('ANALYSE - ERP =&gt; SOUS-SEGMENT'!$DA$8:$DA$154&gt;0)),"")</f>
        <v>8</v>
      </c>
      <c r="CY41" s="883">
        <f>IFERROR(SUMPRODUCT(('ANALYSE - ERP =&gt; SOUS-SEGMENT'!$C$8:$C$154=$C41)*'ANALYSE - ERP =&gt; SOUS-SEGMENT'!$EE$8:$EE$154*('ANALYSE - ERP =&gt; SOUS-SEGMENT'!$DB$8:$DB$154&gt;0)*'ANALYSE - ERP =&gt; SOUS-SEGMENT'!$DB$8:$DB$154)/SUMPRODUCT(('ANALYSE - ERP =&gt; SOUS-SEGMENT'!$C$8:$C$154=$C41)*'ANALYSE - ERP =&gt; SOUS-SEGMENT'!$EE$8:$EE$154*('ANALYSE - ERP =&gt; SOUS-SEGMENT'!$DB$8:$DB$154&gt;0)),"")</f>
        <v>10</v>
      </c>
      <c r="CZ41" s="883">
        <f>IFERROR(SUMPRODUCT(('ANALYSE - ERP =&gt; SOUS-SEGMENT'!$C$8:$C$154=$C41)*'ANALYSE - ERP =&gt; SOUS-SEGMENT'!$EM$8:$EM$154*('ANALYSE - ERP =&gt; SOUS-SEGMENT'!$DC$8:$DC$154&gt;0)*'ANALYSE - ERP =&gt; SOUS-SEGMENT'!$DC$8:$DC$154)/SUMPRODUCT(('ANALYSE - ERP =&gt; SOUS-SEGMENT'!$C$8:$C$154=$C41)*'ANALYSE - ERP =&gt; SOUS-SEGMENT'!$EM$8:$EM$154*('ANALYSE - ERP =&gt; SOUS-SEGMENT'!$DC$8:$DC$154&gt;0)),"")</f>
        <v>13</v>
      </c>
      <c r="DA41" s="883">
        <f>IFERROR(SUMPRODUCT(('ANALYSE - ERP =&gt; SOUS-SEGMENT'!$C$8:$C$154=$C41)*'ANALYSE - ERP =&gt; SOUS-SEGMENT'!$EN$8:$EN$154*('ANALYSE - ERP =&gt; SOUS-SEGMENT'!$DD$8:$DD$154&gt;0)*'ANALYSE - ERP =&gt; SOUS-SEGMENT'!$DD$8:$DD$154)/SUMPRODUCT(('ANALYSE - ERP =&gt; SOUS-SEGMENT'!$C$8:$C$154=$C41)*'ANALYSE - ERP =&gt; SOUS-SEGMENT'!$EN$8:$EN$154*('ANALYSE - ERP =&gt; SOUS-SEGMENT'!$DD$8:$DD$154&gt;0)),"")</f>
        <v>13</v>
      </c>
      <c r="DB41" s="883">
        <f>IFERROR(SUMPRODUCT(('ANALYSE - ERP =&gt; SOUS-SEGMENT'!$C$8:$C$154=$C41)*'ANALYSE - ERP =&gt; SOUS-SEGMENT'!$EO$8:$EO$154*('ANALYSE - ERP =&gt; SOUS-SEGMENT'!$DE$8:$DE$154&gt;0)*'ANALYSE - ERP =&gt; SOUS-SEGMENT'!$DE$8:$DE$154)/SUMPRODUCT(('ANALYSE - ERP =&gt; SOUS-SEGMENT'!$C$8:$C$154=$C41)*'ANALYSE - ERP =&gt; SOUS-SEGMENT'!$EO$8:$EO$154*('ANALYSE - ERP =&gt; SOUS-SEGMENT'!$DE$8:$DE$154&gt;0)),"")</f>
        <v>9</v>
      </c>
      <c r="DC41" s="316"/>
      <c r="DD41" s="657"/>
      <c r="DE41" s="288">
        <f t="shared" si="2"/>
        <v>39392.699999999997</v>
      </c>
      <c r="DF41" s="288">
        <f t="shared" si="3"/>
        <v>43539.3</v>
      </c>
      <c r="DG41" s="288">
        <f t="shared" si="4"/>
        <v>12439.8</v>
      </c>
      <c r="DH41" s="288">
        <f t="shared" si="5"/>
        <v>8293.2000000000007</v>
      </c>
      <c r="DI41" s="317" t="s">
        <v>7475</v>
      </c>
      <c r="DJ41" s="288">
        <f t="shared" si="6"/>
        <v>37080.400000000001</v>
      </c>
      <c r="DK41" s="288">
        <f t="shared" si="7"/>
        <v>46895.799999999996</v>
      </c>
      <c r="DL41" s="288">
        <f t="shared" si="8"/>
        <v>17449.599999999999</v>
      </c>
      <c r="DM41" s="288">
        <f t="shared" si="9"/>
        <v>7634.2000000000007</v>
      </c>
      <c r="DN41" s="318" t="s">
        <v>7476</v>
      </c>
      <c r="DO41" s="657"/>
      <c r="DP41" s="288">
        <f t="shared" si="10"/>
        <v>55997.5</v>
      </c>
      <c r="DQ41" s="288">
        <f t="shared" si="11"/>
        <v>24122.000000000004</v>
      </c>
      <c r="DR41" s="288">
        <f t="shared" si="12"/>
        <v>6030.5000000000009</v>
      </c>
      <c r="DS41" s="318" t="s">
        <v>7477</v>
      </c>
      <c r="DT41" s="288">
        <f t="shared" si="13"/>
        <v>54342</v>
      </c>
      <c r="DU41" s="288">
        <f t="shared" si="14"/>
        <v>28076.699999999993</v>
      </c>
      <c r="DV41" s="288">
        <f t="shared" si="15"/>
        <v>8151.2999999999993</v>
      </c>
      <c r="DW41" s="318" t="s">
        <v>7477</v>
      </c>
      <c r="DX41" s="657"/>
      <c r="DY41" s="288">
        <f t="shared" si="16"/>
        <v>1658.0400000000002</v>
      </c>
      <c r="DZ41" s="288">
        <f t="shared" si="17"/>
        <v>7184.8399999999983</v>
      </c>
      <c r="EA41" s="288">
        <f t="shared" si="18"/>
        <v>1658.0400000000002</v>
      </c>
      <c r="EB41" s="288">
        <f t="shared" si="19"/>
        <v>3316.0800000000004</v>
      </c>
      <c r="EC41" s="318" t="s">
        <v>7477</v>
      </c>
      <c r="ED41" s="288">
        <f t="shared" si="20"/>
        <v>1453.5</v>
      </c>
      <c r="EE41" s="288">
        <f t="shared" si="21"/>
        <v>7558.2</v>
      </c>
      <c r="EF41" s="288">
        <f t="shared" si="22"/>
        <v>2180.25</v>
      </c>
      <c r="EG41" s="288">
        <f t="shared" si="23"/>
        <v>3343.05</v>
      </c>
      <c r="EH41" s="318" t="s">
        <v>7478</v>
      </c>
      <c r="EI41" s="290"/>
      <c r="EJ41" s="288">
        <f t="shared" si="24"/>
        <v>55244.750000000007</v>
      </c>
      <c r="EK41" s="291">
        <f t="shared" si="25"/>
        <v>35155.75</v>
      </c>
      <c r="EL41" s="291">
        <f t="shared" si="26"/>
        <v>10044.5</v>
      </c>
      <c r="EM41" s="318" t="s">
        <v>7479</v>
      </c>
      <c r="EN41" s="288">
        <f t="shared" si="27"/>
        <v>47542.5</v>
      </c>
      <c r="EO41" s="291">
        <f t="shared" si="28"/>
        <v>42260</v>
      </c>
      <c r="EP41" s="291">
        <f t="shared" si="29"/>
        <v>15847.5</v>
      </c>
      <c r="EQ41" s="318" t="s">
        <v>7480</v>
      </c>
      <c r="ER41" s="657"/>
      <c r="ES41" s="731">
        <f t="shared" si="30"/>
        <v>0.87351502445842066</v>
      </c>
      <c r="ET41" s="731">
        <f t="shared" si="31"/>
        <v>7.2327044025157203E-2</v>
      </c>
      <c r="EU41" s="292">
        <f t="shared" si="32"/>
        <v>121793.14999114643</v>
      </c>
      <c r="EV41" s="292">
        <f t="shared" si="33"/>
        <v>86168.514191146445</v>
      </c>
      <c r="EW41" s="292">
        <f t="shared" si="34"/>
        <v>35624.635799999996</v>
      </c>
      <c r="EX41" s="292">
        <f t="shared" si="35"/>
        <v>40272.679122512243</v>
      </c>
      <c r="EY41" s="292">
        <f>SUMPRODUCT(('ANALYSE - ERP =&gt; SOUS-SEGMENT'!$C$8:$C$154=$C41)*'ANALYSE - ERP =&gt; SOUS-SEGMENT'!$Q$8:$Q$154*'ANALYSE - ERP =&gt; SOUS-SEGMENT'!$FB$8:$FB$154)</f>
        <v>28097.988122512241</v>
      </c>
      <c r="EZ41" s="292">
        <f>SUMPRODUCT(('ANALYSE - ERP =&gt; SOUS-SEGMENT'!$C$8:$C$154=$C41)*'ANALYSE - ERP =&gt; SOUS-SEGMENT'!$Q$8:$Q$154*'ANALYSE - ERP =&gt; SOUS-SEGMENT'!$FC$8:$FC$154)</f>
        <v>12174.691000000001</v>
      </c>
      <c r="FA41" s="292">
        <f t="shared" si="36"/>
        <v>38445.578106843182</v>
      </c>
      <c r="FB41" s="292">
        <f>SUMPRODUCT(('ANALYSE - ERP =&gt; SOUS-SEGMENT'!$C$8:$C$154=$C41)*'ANALYSE - ERP =&gt; SOUS-SEGMENT'!$Q$8:$Q$154*'ANALYSE - ERP =&gt; SOUS-SEGMENT'!$FE$8:$FE$154)</f>
        <v>28391.368106843183</v>
      </c>
      <c r="FC41" s="292">
        <f>SUMPRODUCT(('ANALYSE - ERP =&gt; SOUS-SEGMENT'!$C$8:$C$154=$C41)*'ANALYSE - ERP =&gt; SOUS-SEGMENT'!$Q$8:$Q$154*'ANALYSE - ERP =&gt; SOUS-SEGMENT'!$FF$8:$FF$154)</f>
        <v>10054.209999999999</v>
      </c>
      <c r="FD41" s="292">
        <f t="shared" si="37"/>
        <v>6009.4253761500004</v>
      </c>
      <c r="FE41" s="292">
        <f>SUMPRODUCT(('ANALYSE - ERP =&gt; SOUS-SEGMENT'!$C$8:$C$154=$C41)*'ANALYSE - ERP =&gt; SOUS-SEGMENT'!$Q$8:$Q$154*'ANALYSE - ERP =&gt; SOUS-SEGMENT'!$FH$8:$FH$154)</f>
        <v>4387.7935761500003</v>
      </c>
      <c r="FF41" s="292">
        <f>SUMPRODUCT(('ANALYSE - ERP =&gt; SOUS-SEGMENT'!$C$8:$C$154=$C41)*'ANALYSE - ERP =&gt; SOUS-SEGMENT'!$Q$8:$Q$154*'ANALYSE - ERP =&gt; SOUS-SEGMENT'!$FI$8:$FI$154)</f>
        <v>1621.6317999999999</v>
      </c>
      <c r="FG41" s="292">
        <f t="shared" si="38"/>
        <v>37065.467385641023</v>
      </c>
      <c r="FH41" s="292">
        <f>SUMPRODUCT(('ANALYSE - ERP =&gt; SOUS-SEGMENT'!$C$8:$C$154=$C41)*'ANALYSE - ERP =&gt; SOUS-SEGMENT'!$Q$8:$Q$154*'ANALYSE - ERP =&gt; SOUS-SEGMENT'!$FK$8:$FK$154)</f>
        <v>25291.364385641024</v>
      </c>
      <c r="FI41" s="292">
        <f>SUMPRODUCT(('ANALYSE - ERP =&gt; SOUS-SEGMENT'!$C$8:$C$154=$C41)*'ANALYSE - ERP =&gt; SOUS-SEGMENT'!$Q$8:$Q$154*'ANALYSE - ERP =&gt; SOUS-SEGMENT'!$FL$8:$FL$154)</f>
        <v>11774.103000000001</v>
      </c>
      <c r="FJ41" s="657"/>
      <c r="FK41" s="319" t="s">
        <v>2616</v>
      </c>
      <c r="FL41" s="731">
        <f>IFERROR(SUMPRODUCT(('ANALYSE - ERP =&gt; SOUS-SEGMENT'!$C$8:$C$154=$C41)*'ANALYSE - ERP =&gt; SOUS-SEGMENT'!$Q$8:$Q$154*'ANALYSE - ERP =&gt; SOUS-SEGMENT'!$AF$8:$AF$154*'ANALYSE - ERP =&gt; SOUS-SEGMENT'!$FO$8:$FO$154)/SUMPRODUCT(('ANALYSE - ERP =&gt; SOUS-SEGMENT'!$C$8:$C$154=$C41)*'ANALYSE - ERP =&gt; SOUS-SEGMENT'!$Q$8:$Q$154*'ANALYSE - ERP =&gt; SOUS-SEGMENT'!$AF$8:$AF$154),"")</f>
        <v>6.5400000000000014E-2</v>
      </c>
      <c r="FM41" s="732">
        <f>IFERROR(SUMPRODUCT(('ANALYSE - ERP =&gt; SOUS-SEGMENT'!$C$8:$C$154=$C41)*'ANALYSE - ERP =&gt; SOUS-SEGMENT'!$Q$8:$Q$154*'ANALYSE - ERP =&gt; SOUS-SEGMENT'!$AF$8:$AF$154*'ANALYSE - ERP =&gt; SOUS-SEGMENT'!$FP$8:$FP$154)/SUMPRODUCT(('ANALYSE - ERP =&gt; SOUS-SEGMENT'!$C$8:$C$154=$C41)*'ANALYSE - ERP =&gt; SOUS-SEGMENT'!$Q$8:$Q$154*'ANALYSE - ERP =&gt; SOUS-SEGMENT'!$AF$8:$AF$154),"")</f>
        <v>0.79215000000000002</v>
      </c>
      <c r="FN41" s="320" t="s">
        <v>5204</v>
      </c>
      <c r="FO41" s="657"/>
      <c r="FP41" s="887">
        <f>IFERROR(SUMPRODUCT(('ANALYSE - ERP =&gt; SOUS-SEGMENT'!$C$8:$C$154=$C41)*'ANALYSE - ERP =&gt; SOUS-SEGMENT'!$Q$8:$Q$154*'ANALYSE - ERP =&gt; SOUS-SEGMENT'!$EX$8:$EX$154*'ANALYSE - ERP =&gt; SOUS-SEGMENT'!$FS$8:$FS$154)/SUMPRODUCT(('ANALYSE - ERP =&gt; SOUS-SEGMENT'!$C$8:$C$154=$C41)*'ANALYSE - ERP =&gt; SOUS-SEGMENT'!$Q$8:$Q$154*'ANALYSE - ERP =&gt; SOUS-SEGMENT'!$EX$8:$EX$154),"")</f>
        <v>3.62</v>
      </c>
      <c r="FQ41" s="295">
        <f>RANK($FP41,$FP$8:$FP$143,0)+COUNTIF($FP$8:$FP41,$FP41)-1</f>
        <v>6</v>
      </c>
      <c r="FR41" s="887">
        <f>IFERROR(SUMPRODUCT(('ANALYSE - ERP =&gt; SOUS-SEGMENT'!$C$8:$C$154=$C41)*'ANALYSE - ERP =&gt; SOUS-SEGMENT'!$Q$8:$Q$154*'ANALYSE - ERP =&gt; SOUS-SEGMENT'!$EY$8:$EY$154*'ANALYSE - ERP =&gt; SOUS-SEGMENT'!$FU$8:$FU$154)/SUMPRODUCT(('ANALYSE - ERP =&gt; SOUS-SEGMENT'!$C$8:$C$154=$C41)*'ANALYSE - ERP =&gt; SOUS-SEGMENT'!$Q$8:$Q$154*'ANALYSE - ERP =&gt; SOUS-SEGMENT'!$EY$8:$EY$154),"")</f>
        <v>4.49</v>
      </c>
      <c r="FS41" s="295">
        <f>RANK($FR41,$FR$8:$FR$143,0)+COUNTIF($FR$8:$FR41,$FR41)-1</f>
        <v>2</v>
      </c>
      <c r="FT41" s="887">
        <f>IFERROR(SUMPRODUCT(('ANALYSE - ERP =&gt; SOUS-SEGMENT'!$C$8:$C$154=$C41)*'ANALYSE - ERP =&gt; SOUS-SEGMENT'!$Q$8:$Q$154*'ANALYSE - ERP =&gt; SOUS-SEGMENT'!$EZ$8:$EZ$154*'ANALYSE - ERP =&gt; SOUS-SEGMENT'!$FW$8:$FW$154)/SUMPRODUCT(('ANALYSE - ERP =&gt; SOUS-SEGMENT'!$C$8:$C$154=$C41)*'ANALYSE - ERP =&gt; SOUS-SEGMENT'!$Q$8:$Q$154*'ANALYSE - ERP =&gt; SOUS-SEGMENT'!$EZ$8:$EZ$154),"")</f>
        <v>2.0699999999999994</v>
      </c>
      <c r="FU41" s="295">
        <f>RANK($FT41,$FT$8:$FT$143,0)+COUNTIF($FT$8:$FT41,$FT41)-1</f>
        <v>25</v>
      </c>
      <c r="FV41" s="657"/>
      <c r="FW41" s="321" t="s">
        <v>7481</v>
      </c>
      <c r="FX41" s="321" t="s">
        <v>7482</v>
      </c>
      <c r="FY41" s="321" t="s">
        <v>7483</v>
      </c>
      <c r="FZ41" s="321" t="s">
        <v>7484</v>
      </c>
      <c r="GA41" s="321" t="s">
        <v>7485</v>
      </c>
      <c r="GB41" s="321" t="s">
        <v>7486</v>
      </c>
      <c r="GC41" s="321" t="s">
        <v>6759</v>
      </c>
      <c r="GD41" s="657"/>
      <c r="GE41" s="292">
        <f>SUMPRODUCT(('ANALYSE - ERP =&gt; SOUS-SEGMENT'!$C$8:$C$154=$C41)*'ANALYSE - ERP =&gt; SOUS-SEGMENT'!$Q$8:$Q$154*'ANALYSE - ERP =&gt; SOUS-SEGMENT'!$GH$8:$GH$154)</f>
        <v>14612.704505750002</v>
      </c>
      <c r="GF41" s="292">
        <f>SUMPRODUCT(('ANALYSE - ERP =&gt; SOUS-SEGMENT'!$C$8:$C$154=$C41)*'ANALYSE - ERP =&gt; SOUS-SEGMENT'!$Q$8:$Q$154*'ANALYSE - ERP =&gt; SOUS-SEGMENT'!$GI$8:$GI$154)</f>
        <v>10473.30956575</v>
      </c>
      <c r="GG41" s="292">
        <f>SUMPRODUCT(('ANALYSE - ERP =&gt; SOUS-SEGMENT'!$C$8:$C$154=$C41)*'ANALYSE - ERP =&gt; SOUS-SEGMENT'!$Q$8:$Q$154*'ANALYSE - ERP =&gt; SOUS-SEGMENT'!$GJ$8:$GJ$154)</f>
        <v>4139.3949400000001</v>
      </c>
      <c r="GH41" s="292">
        <f>SUMPRODUCT(('ANALYSE - ERP =&gt; SOUS-SEGMENT'!$C$8:$C$154=$C41)*'ANALYSE - ERP =&gt; SOUS-SEGMENT'!$Q$8:$Q$154*'ANALYSE - ERP =&gt; SOUS-SEGMENT'!$GK$8:$GK$154)</f>
        <v>15417.031779307692</v>
      </c>
      <c r="GI41" s="292">
        <f>SUMPRODUCT(('ANALYSE - ERP =&gt; SOUS-SEGMENT'!$C$8:$C$154=$C41)*'ANALYSE - ERP =&gt; SOUS-SEGMENT'!$Q$8:$Q$154*'ANALYSE - ERP =&gt; SOUS-SEGMENT'!$GL$8:$GL$154)</f>
        <v>10181.914649307691</v>
      </c>
      <c r="GJ41" s="292">
        <f>SUMPRODUCT(('ANALYSE - ERP =&gt; SOUS-SEGMENT'!$C$8:$C$154=$C41)*'ANALYSE - ERP =&gt; SOUS-SEGMENT'!$Q$8:$Q$154*'ANALYSE - ERP =&gt; SOUS-SEGMENT'!$GM$8:$GM$154)</f>
        <v>5235.1171300000005</v>
      </c>
      <c r="GK41" s="292">
        <f>SUMPRODUCT(('ANALYSE - ERP =&gt; SOUS-SEGMENT'!$C$8:$C$154=$C41)*'ANALYSE - ERP =&gt; SOUS-SEGMENT'!$Q$8:$Q$154*'ANALYSE - ERP =&gt; SOUS-SEGMENT'!$GN$8:$GN$154)</f>
        <v>6855.5521740000004</v>
      </c>
      <c r="GL41" s="292">
        <f>SUMPRODUCT(('ANALYSE - ERP =&gt; SOUS-SEGMENT'!$C$8:$C$154=$C41)*'ANALYSE - ERP =&gt; SOUS-SEGMENT'!$Q$8:$Q$154*'ANALYSE - ERP =&gt; SOUS-SEGMENT'!$GO$8:$GO$154)</f>
        <v>4907.6016140000002</v>
      </c>
      <c r="GM41" s="292">
        <f>SUMPRODUCT(('ANALYSE - ERP =&gt; SOUS-SEGMENT'!$C$8:$C$154=$C41)*'ANALYSE - ERP =&gt; SOUS-SEGMENT'!$Q$8:$Q$154*'ANALYSE - ERP =&gt; SOUS-SEGMENT'!$GP$8:$GP$154)</f>
        <v>1947.9505600000002</v>
      </c>
      <c r="GN41" s="292">
        <f>SUMPRODUCT(('ANALYSE - ERP =&gt; SOUS-SEGMENT'!$C$8:$C$154=$C41)*'ANALYSE - ERP =&gt; SOUS-SEGMENT'!$Q$8:$Q$154*'ANALYSE - ERP =&gt; SOUS-SEGMENT'!$GQ$8:$GQ$154)</f>
        <v>3387.3906634545456</v>
      </c>
      <c r="GO41" s="292">
        <f>SUMPRODUCT(('ANALYSE - ERP =&gt; SOUS-SEGMENT'!$C$8:$C$154=$C41)*'ANALYSE - ERP =&gt; SOUS-SEGMENT'!$Q$8:$Q$154*'ANALYSE - ERP =&gt; SOUS-SEGMENT'!$GR$8:$GR$154)</f>
        <v>2535.1622934545458</v>
      </c>
      <c r="GP41" s="292">
        <f>SUMPRODUCT(('ANALYSE - ERP =&gt; SOUS-SEGMENT'!$C$8:$C$154=$C41)*'ANALYSE - ERP =&gt; SOUS-SEGMENT'!$Q$8:$Q$154*'ANALYSE - ERP =&gt; SOUS-SEGMENT'!$GS$8:$GS$154)</f>
        <v>852.22837000000004</v>
      </c>
      <c r="GQ41" s="292">
        <f>SUMPRODUCT(('ANALYSE - ERP =&gt; SOUS-SEGMENT'!$C$8:$C$154=$C41)*'ANALYSE - ERP =&gt; SOUS-SEGMENT'!$Q$8:$Q$154*'ANALYSE - ERP =&gt; SOUS-SEGMENT'!$GT$8:$GT$154)</f>
        <v>23265.864471818182</v>
      </c>
      <c r="GR41" s="292">
        <f>SUMPRODUCT(('ANALYSE - ERP =&gt; SOUS-SEGMENT'!$C$8:$C$154=$C41)*'ANALYSE - ERP =&gt; SOUS-SEGMENT'!$Q$8:$Q$154*'ANALYSE - ERP =&gt; SOUS-SEGMENT'!$GU$8:$GU$154)</f>
        <v>17233.338471818184</v>
      </c>
      <c r="GS41" s="292">
        <f>SUMPRODUCT(('ANALYSE - ERP =&gt; SOUS-SEGMENT'!$C$8:$C$154=$C41)*'ANALYSE - ERP =&gt; SOUS-SEGMENT'!$Q$8:$Q$154*'ANALYSE - ERP =&gt; SOUS-SEGMENT'!$GV$8:$GV$154)</f>
        <v>6032.5260000000007</v>
      </c>
      <c r="GT41" s="292">
        <f>SUMPRODUCT(('ANALYSE - ERP =&gt; SOUS-SEGMENT'!$C$8:$C$154=$C41)*'ANALYSE - ERP =&gt; SOUS-SEGMENT'!$Q$8:$Q$154*'ANALYSE - ERP =&gt; SOUS-SEGMENT'!$GW$8:$GW$154)</f>
        <v>11525.585082400001</v>
      </c>
      <c r="GU41" s="292">
        <f>SUMPRODUCT(('ANALYSE - ERP =&gt; SOUS-SEGMENT'!$C$8:$C$154=$C41)*'ANALYSE - ERP =&gt; SOUS-SEGMENT'!$Q$8:$Q$154*'ANALYSE - ERP =&gt; SOUS-SEGMENT'!$GX$8:$GX$154)</f>
        <v>8408.7799824000012</v>
      </c>
      <c r="GV41" s="292">
        <f>SUMPRODUCT(('ANALYSE - ERP =&gt; SOUS-SEGMENT'!$C$8:$C$154=$C41)*'ANALYSE - ERP =&gt; SOUS-SEGMENT'!$Q$8:$Q$154*'ANALYSE - ERP =&gt; SOUS-SEGMENT'!$GY$8:$GY$154)</f>
        <v>3116.8051</v>
      </c>
      <c r="GW41" s="292">
        <f>SUMPRODUCT(('ANALYSE - ERP =&gt; SOUS-SEGMENT'!$C$8:$C$154=$C41)*'ANALYSE - ERP =&gt; SOUS-SEGMENT'!$Q$8:$Q$154*'ANALYSE - ERP =&gt; SOUS-SEGMENT'!$GZ$8:$GZ$154)</f>
        <v>3654.1285526250003</v>
      </c>
      <c r="GX41" s="292">
        <f>SUMPRODUCT(('ANALYSE - ERP =&gt; SOUS-SEGMENT'!$C$8:$C$154=$C41)*'ANALYSE - ERP =&gt; SOUS-SEGMENT'!$Q$8:$Q$154*'ANALYSE - ERP =&gt; SOUS-SEGMENT'!$HA$8:$HA$154)</f>
        <v>2749.2496526250002</v>
      </c>
      <c r="GY41" s="292">
        <f>SUMPRODUCT(('ANALYSE - ERP =&gt; SOUS-SEGMENT'!$C$8:$C$154=$C41)*'ANALYSE - ERP =&gt; SOUS-SEGMENT'!$Q$8:$Q$154*'ANALYSE - ERP =&gt; SOUS-SEGMENT'!$HB$8:$HB$154)</f>
        <v>904.87889999999993</v>
      </c>
      <c r="GZ41" s="292">
        <f>SUMPRODUCT(('ANALYSE - ERP =&gt; SOUS-SEGMENT'!$C$8:$C$154=$C41)*'ANALYSE - ERP =&gt; SOUS-SEGMENT'!$Q$8:$Q$154*'ANALYSE - ERP =&gt; SOUS-SEGMENT'!$HC$8:$HC$154)</f>
        <v>736.51312180000014</v>
      </c>
      <c r="HA41" s="292">
        <f>SUMPRODUCT(('ANALYSE - ERP =&gt; SOUS-SEGMENT'!$C$8:$C$154=$C41)*'ANALYSE - ERP =&gt; SOUS-SEGMENT'!$Q$8:$Q$154*'ANALYSE - ERP =&gt; SOUS-SEGMENT'!$HD$8:$HD$154)</f>
        <v>574.34994180000001</v>
      </c>
      <c r="HB41" s="292">
        <f>SUMPRODUCT(('ANALYSE - ERP =&gt; SOUS-SEGMENT'!$C$8:$C$154=$C41)*'ANALYSE - ERP =&gt; SOUS-SEGMENT'!$Q$8:$Q$154*'ANALYSE - ERP =&gt; SOUS-SEGMENT'!$HE$8:$HE$154)</f>
        <v>162.16318000000001</v>
      </c>
      <c r="HC41" s="292">
        <f>SUMPRODUCT(('ANALYSE - ERP =&gt; SOUS-SEGMENT'!$C$8:$C$154=$C41)*'ANALYSE - ERP =&gt; SOUS-SEGMENT'!$Q$8:$Q$154*'ANALYSE - ERP =&gt; SOUS-SEGMENT'!$HF$8:$HF$154)</f>
        <v>2756.0240955000008</v>
      </c>
      <c r="HD41" s="292">
        <f>SUMPRODUCT(('ANALYSE - ERP =&gt; SOUS-SEGMENT'!$C$8:$C$154=$C41)*'ANALYSE - ERP =&gt; SOUS-SEGMENT'!$Q$8:$Q$154*'ANALYSE - ERP =&gt; SOUS-SEGMENT'!$HG$8:$HG$154)</f>
        <v>1912.7755595000003</v>
      </c>
      <c r="HE41" s="292">
        <f>SUMPRODUCT(('ANALYSE - ERP =&gt; SOUS-SEGMENT'!$C$8:$C$154=$C41)*'ANALYSE - ERP =&gt; SOUS-SEGMENT'!$Q$8:$Q$154*'ANALYSE - ERP =&gt; SOUS-SEGMENT'!$HH$8:$HH$154)</f>
        <v>843.24853600000006</v>
      </c>
      <c r="HF41" s="292">
        <f>SUMPRODUCT(('ANALYSE - ERP =&gt; SOUS-SEGMENT'!$C$8:$C$154=$C41)*'ANALYSE - ERP =&gt; SOUS-SEGMENT'!$Q$8:$Q$154*'ANALYSE - ERP =&gt; SOUS-SEGMENT'!$HI$8:$HI$154)</f>
        <v>995.21296124999992</v>
      </c>
      <c r="HG41" s="292">
        <f>SUMPRODUCT(('ANALYSE - ERP =&gt; SOUS-SEGMENT'!$C$8:$C$154=$C41)*'ANALYSE - ERP =&gt; SOUS-SEGMENT'!$Q$8:$Q$154*'ANALYSE - ERP =&gt; SOUS-SEGMENT'!$HJ$8:$HJ$154)</f>
        <v>751.9681912499999</v>
      </c>
      <c r="HH41" s="292">
        <f>SUMPRODUCT(('ANALYSE - ERP =&gt; SOUS-SEGMENT'!$C$8:$C$154=$C41)*'ANALYSE - ERP =&gt; SOUS-SEGMENT'!$Q$8:$Q$154*'ANALYSE - ERP =&gt; SOUS-SEGMENT'!$HK$8:$HK$154)</f>
        <v>243.24476999999999</v>
      </c>
      <c r="HI41" s="292">
        <f>SUMPRODUCT(('ANALYSE - ERP =&gt; SOUS-SEGMENT'!$C$8:$C$154=$C41)*'ANALYSE - ERP =&gt; SOUS-SEGMENT'!$Q$8:$Q$154*'ANALYSE - ERP =&gt; SOUS-SEGMENT'!$HL$8:$HL$154)</f>
        <v>1521.6751976</v>
      </c>
      <c r="HJ41" s="292">
        <f>SUMPRODUCT(('ANALYSE - ERP =&gt; SOUS-SEGMENT'!$C$8:$C$154=$C41)*'ANALYSE - ERP =&gt; SOUS-SEGMENT'!$Q$8:$Q$154*'ANALYSE - ERP =&gt; SOUS-SEGMENT'!$HM$8:$HM$154)</f>
        <v>1148.6998836</v>
      </c>
      <c r="HK41" s="292">
        <f>SUMPRODUCT(('ANALYSE - ERP =&gt; SOUS-SEGMENT'!$C$8:$C$154=$C41)*'ANALYSE - ERP =&gt; SOUS-SEGMENT'!$Q$8:$Q$154*'ANALYSE - ERP =&gt; SOUS-SEGMENT'!$HN$8:$HN$154)</f>
        <v>372.97531400000003</v>
      </c>
      <c r="HL41" s="292">
        <f>SUMPRODUCT(('ANALYSE - ERP =&gt; SOUS-SEGMENT'!$C$8:$C$154=$C41)*'ANALYSE - ERP =&gt; SOUS-SEGMENT'!$Q$8:$Q$154*'ANALYSE - ERP =&gt; SOUS-SEGMENT'!$HO$8:$HO$154)</f>
        <v>18323.141715576923</v>
      </c>
      <c r="HM41" s="292">
        <f>SUMPRODUCT(('ANALYSE - ERP =&gt; SOUS-SEGMENT'!$C$8:$C$154=$C41)*'ANALYSE - ERP =&gt; SOUS-SEGMENT'!$Q$8:$Q$154*'ANALYSE - ERP =&gt; SOUS-SEGMENT'!$HP$8:$HP$154)</f>
        <v>13024.795365576922</v>
      </c>
      <c r="HN41" s="292">
        <f>SUMPRODUCT(('ANALYSE - ERP =&gt; SOUS-SEGMENT'!$C$8:$C$154=$C41)*'ANALYSE - ERP =&gt; SOUS-SEGMENT'!$Q$8:$Q$154*'ANALYSE - ERP =&gt; SOUS-SEGMENT'!$HQ$8:$HQ$154)</f>
        <v>5298.3463499999998</v>
      </c>
      <c r="HO41" s="292">
        <f>SUMPRODUCT(('ANALYSE - ERP =&gt; SOUS-SEGMENT'!$C$8:$C$154=$C41)*'ANALYSE - ERP =&gt; SOUS-SEGMENT'!$Q$8:$Q$154*'ANALYSE - ERP =&gt; SOUS-SEGMENT'!$HR$8:$HR$154)</f>
        <v>12998.14734173077</v>
      </c>
      <c r="HP41" s="292">
        <f>SUMPRODUCT(('ANALYSE - ERP =&gt; SOUS-SEGMENT'!$C$8:$C$154=$C41)*'ANALYSE - ERP =&gt; SOUS-SEGMENT'!$Q$8:$Q$154*'ANALYSE - ERP =&gt; SOUS-SEGMENT'!$HS$8:$HS$154)</f>
        <v>8288.5061417307697</v>
      </c>
      <c r="HQ41" s="292">
        <f>SUMPRODUCT(('ANALYSE - ERP =&gt; SOUS-SEGMENT'!$C$8:$C$154=$C41)*'ANALYSE - ERP =&gt; SOUS-SEGMENT'!$Q$8:$Q$154*'ANALYSE - ERP =&gt; SOUS-SEGMENT'!$HT$8:$HT$154)</f>
        <v>4709.6412</v>
      </c>
      <c r="HR41" s="292">
        <f>SUMPRODUCT(('ANALYSE - ERP =&gt; SOUS-SEGMENT'!$C$8:$C$154=$C41)*'ANALYSE - ERP =&gt; SOUS-SEGMENT'!$Q$8:$Q$154*'ANALYSE - ERP =&gt; SOUS-SEGMENT'!$HU$8:$HU$154)</f>
        <v>5744.1783283333334</v>
      </c>
      <c r="HS41" s="292">
        <f>SUMPRODUCT(('ANALYSE - ERP =&gt; SOUS-SEGMENT'!$C$8:$C$154=$C41)*'ANALYSE - ERP =&gt; SOUS-SEGMENT'!$Q$8:$Q$154*'ANALYSE - ERP =&gt; SOUS-SEGMENT'!$HV$8:$HV$154)</f>
        <v>3978.0628783333323</v>
      </c>
      <c r="HT41" s="292">
        <f>SUMPRODUCT(('ANALYSE - ERP =&gt; SOUS-SEGMENT'!$C$8:$C$154=$C41)*'ANALYSE - ERP =&gt; SOUS-SEGMENT'!$Q$8:$Q$154*'ANALYSE - ERP =&gt; SOUS-SEGMENT'!$HW$8:$HW$154)</f>
        <v>1766.11545</v>
      </c>
      <c r="HU41" s="676"/>
      <c r="HV41" s="297">
        <f t="shared" si="40"/>
        <v>0</v>
      </c>
      <c r="HW41" s="297">
        <f>SUMPRODUCT(('ANALYSE - ERP =&gt; SOUS-SEGMENT'!$C$8:$C$154=$C41)*'ANALYSE - ERP =&gt; SOUS-SEGMENT'!$Q$8:$Q$154*'ANALYSE - ERP =&gt; SOUS-SEGMENT'!$HZ$8:$HZ$154)</f>
        <v>31895.224000000002</v>
      </c>
      <c r="HX41" s="297">
        <f>SUMPRODUCT(('ANALYSE - ERP =&gt; SOUS-SEGMENT'!$C$8:$C$154=$C41)*'ANALYSE - ERP =&gt; SOUS-SEGMENT'!$Q$8:$Q$154*'ANALYSE - ERP =&gt; SOUS-SEGMENT'!$IA$8:$IA$154)</f>
        <v>163805.84050000002</v>
      </c>
      <c r="HY41" s="297">
        <f>SUMPRODUCT(('ANALYSE - ERP =&gt; SOUS-SEGMENT'!$C$8:$C$154=$C41)*'ANALYSE - ERP =&gt; SOUS-SEGMENT'!$Q$8:$Q$154*'ANALYSE - ERP =&gt; SOUS-SEGMENT'!$IB$8:$IB$154)</f>
        <v>99725.152000000002</v>
      </c>
      <c r="HZ41" s="297">
        <f>SUMPRODUCT(('ANALYSE - ERP =&gt; SOUS-SEGMENT'!$C$8:$C$154=$C41)*'ANALYSE - ERP =&gt; SOUS-SEGMENT'!$Q$8:$Q$154*'ANALYSE - ERP =&gt; SOUS-SEGMENT'!$IC$8:$IC$154)</f>
        <v>7878.7835000000005</v>
      </c>
      <c r="IA41" s="297">
        <f>SUMPRODUCT(('ANALYSE - ERP =&gt; SOUS-SEGMENT'!$C$8:$C$154=$C41)*'ANALYSE - ERP =&gt; SOUS-SEGMENT'!$Q$8:$Q$154*'ANALYSE - ERP =&gt; SOUS-SEGMENT'!$ID$8:$ID$154)</f>
        <v>0</v>
      </c>
      <c r="IB41" s="297">
        <f>SUMPRODUCT(('ANALYSE - ERP =&gt; SOUS-SEGMENT'!$C$8:$C$154=$C41)*'ANALYSE - ERP =&gt; SOUS-SEGMENT'!$Q$8:$Q$154*'ANALYSE - ERP =&gt; SOUS-SEGMENT'!$IE$8:$IE$154)</f>
        <v>85936.553659546451</v>
      </c>
      <c r="IC41" s="297">
        <f>SUMPRODUCT(('ANALYSE - ERP =&gt; SOUS-SEGMENT'!$C$8:$C$154=$C41)*'ANALYSE - ERP =&gt; SOUS-SEGMENT'!$Q$8:$Q$154*'ANALYSE - ERP =&gt; SOUS-SEGMENT'!$IF$8:$IF$154)</f>
        <v>7339.8104471423867</v>
      </c>
      <c r="ID41" s="297">
        <f>SUMPRODUCT(('ANALYSE - ERP =&gt; SOUS-SEGMENT'!$C$8:$C$154=$C41)*'ANALYSE - ERP =&gt; SOUS-SEGMENT'!$Q$8:$Q$154*'ANALYSE - ERP =&gt; SOUS-SEGMENT'!$IG$8:$IG$154)</f>
        <v>44380.652077325358</v>
      </c>
      <c r="IE41" s="297">
        <f>SUMPRODUCT(('ANALYSE - ERP =&gt; SOUS-SEGMENT'!$C$8:$C$154=$C41)*'ANALYSE - ERP =&gt; SOUS-SEGMENT'!$Q$8:$Q$154*'ANALYSE - ERP =&gt; SOUS-SEGMENT'!$IH$8:$IH$154)</f>
        <v>29907.882944784542</v>
      </c>
      <c r="IF41" s="297">
        <f>SUMPRODUCT(('ANALYSE - ERP =&gt; SOUS-SEGMENT'!$C$8:$C$154=$C41)*'ANALYSE - ERP =&gt; SOUS-SEGMENT'!$Q$8:$Q$154*'ANALYSE - ERP =&gt; SOUS-SEGMENT'!$II$8:$II$154)</f>
        <v>3930.087354192166</v>
      </c>
      <c r="IG41" s="297">
        <f>SUMPRODUCT(('ANALYSE - ERP =&gt; SOUS-SEGMENT'!$C$8:$C$154=$C41)*'ANALYSE - ERP =&gt; SOUS-SEGMENT'!$Q$8:$Q$154*'ANALYSE - ERP =&gt; SOUS-SEGMENT'!$IJ$8:$IJ$154)</f>
        <v>378.12083610200438</v>
      </c>
      <c r="IH41" s="888"/>
      <c r="II41" s="298" t="s">
        <v>2780</v>
      </c>
      <c r="IJ41" s="322" t="s">
        <v>6760</v>
      </c>
      <c r="IK41" s="657"/>
      <c r="IL41" s="733">
        <f>IFERROR(SUMPRODUCT(('ANALYSE - ERP =&gt; SOUS-SEGMENT'!$C$8:$C$154=$C41)*'ANALYSE - ERP =&gt; SOUS-SEGMENT'!$Q$8:$Q$154*'ANALYSE - ERP =&gt; SOUS-SEGMENT'!$BE$8:$BE$154*'ANALYSE - ERP =&gt; SOUS-SEGMENT'!$IO$8:$IO$154)/SUMPRODUCT(('ANALYSE - ERP =&gt; SOUS-SEGMENT'!$C$8:$C$154=$C41)*'ANALYSE - ERP =&gt; SOUS-SEGMENT'!$Q$8:$Q$154*'ANALYSE - ERP =&gt; SOUS-SEGMENT'!$BE$8:$BE$154),0)</f>
        <v>0.1</v>
      </c>
      <c r="IM41" s="733">
        <f>IFERROR(SUMPRODUCT(('ANALYSE - ERP =&gt; SOUS-SEGMENT'!$C$8:$C$154=$C41)*'ANALYSE - ERP =&gt; SOUS-SEGMENT'!$Q$8:$Q$154*'ANALYSE - ERP =&gt; SOUS-SEGMENT'!$BE$8:$BE$154*'ANALYSE - ERP =&gt; SOUS-SEGMENT'!$IP$8:$IP$154)/SUMPRODUCT(('ANALYSE - ERP =&gt; SOUS-SEGMENT'!$C$8:$C$154=$C41)*'ANALYSE - ERP =&gt; SOUS-SEGMENT'!$Q$8:$Q$154*'ANALYSE - ERP =&gt; SOUS-SEGMENT'!$BE$8:$BE$154),0)</f>
        <v>0.53</v>
      </c>
      <c r="IN41" s="733">
        <f>IFERROR(SUMPRODUCT(('ANALYSE - ERP =&gt; SOUS-SEGMENT'!$C$8:$C$154=$C41)*'ANALYSE - ERP =&gt; SOUS-SEGMENT'!$Q$8:$Q$154*'ANALYSE - ERP =&gt; SOUS-SEGMENT'!$BE$8:$BE$154*'ANALYSE - ERP =&gt; SOUS-SEGMENT'!$IQ$8:$IQ$154)/SUMPRODUCT(('ANALYSE - ERP =&gt; SOUS-SEGMENT'!$C$8:$C$154=$C41)*'ANALYSE - ERP =&gt; SOUS-SEGMENT'!$Q$8:$Q$154*'ANALYSE - ERP =&gt; SOUS-SEGMENT'!$BE$8:$BE$154),0)</f>
        <v>0.34000000000000008</v>
      </c>
      <c r="IO41" s="733">
        <f>IFERROR(SUMPRODUCT(('ANALYSE - ERP =&gt; SOUS-SEGMENT'!$C$8:$C$154=$C41)*'ANALYSE - ERP =&gt; SOUS-SEGMENT'!$Q$8:$Q$154*'ANALYSE - ERP =&gt; SOUS-SEGMENT'!$BE$8:$BE$154*'ANALYSE - ERP =&gt; SOUS-SEGMENT'!$IR$8:$IR$154)/SUMPRODUCT(('ANALYSE - ERP =&gt; SOUS-SEGMENT'!$C$8:$C$154=$C41)*'ANALYSE - ERP =&gt; SOUS-SEGMENT'!$Q$8:$Q$154*'ANALYSE - ERP =&gt; SOUS-SEGMENT'!$BE$8:$BE$154),0)</f>
        <v>0.03</v>
      </c>
      <c r="IP41" s="733">
        <f>IFERROR(SUMPRODUCT(('ANALYSE - ERP =&gt; SOUS-SEGMENT'!$C$8:$C$154=$C41)*'ANALYSE - ERP =&gt; SOUS-SEGMENT'!$Q$8:$Q$154*'ANALYSE - ERP =&gt; SOUS-SEGMENT'!$BE$8:$BE$154*'ANALYSE - ERP =&gt; SOUS-SEGMENT'!$IS$8:$IS$154)/SUMPRODUCT(('ANALYSE - ERP =&gt; SOUS-SEGMENT'!$C$8:$C$154=$C41)*'ANALYSE - ERP =&gt; SOUS-SEGMENT'!$Q$8:$Q$154*'ANALYSE - ERP =&gt; SOUS-SEGMENT'!$BE$8:$BE$154),0)</f>
        <v>0</v>
      </c>
      <c r="IQ41" s="733">
        <f>IFERROR(SUMPRODUCT(('ANALYSE - ERP =&gt; SOUS-SEGMENT'!$C$8:$C$154=$C41)*'ANALYSE - ERP =&gt; SOUS-SEGMENT'!$Q$8:$Q$154*'ANALYSE - ERP =&gt; SOUS-SEGMENT'!$FB$8:$FB$154*'ANALYSE - ERP =&gt; SOUS-SEGMENT'!$IT$8:$IT$154)/SUMPRODUCT(('ANALYSE - ERP =&gt; SOUS-SEGMENT'!$C$8:$C$154=$C41)*'ANALYSE - ERP =&gt; SOUS-SEGMENT'!$Q$8:$Q$154*'ANALYSE - ERP =&gt; SOUS-SEGMENT'!$FB$8:$FB$154),0)</f>
        <v>8.0099999999999991E-2</v>
      </c>
      <c r="IR41" s="733">
        <f>IFERROR(SUMPRODUCT(('ANALYSE - ERP =&gt; SOUS-SEGMENT'!$C$8:$C$154=$C41)*'ANALYSE - ERP =&gt; SOUS-SEGMENT'!$Q$8:$Q$154*'ANALYSE - ERP =&gt; SOUS-SEGMENT'!$FB$8:$FB$154*'ANALYSE - ERP =&gt; SOUS-SEGMENT'!$IU$8:$IU$154)/SUMPRODUCT(('ANALYSE - ERP =&gt; SOUS-SEGMENT'!$C$8:$C$154=$C41)*'ANALYSE - ERP =&gt; SOUS-SEGMENT'!$Q$8:$Q$154*'ANALYSE - ERP =&gt; SOUS-SEGMENT'!$FB$8:$FB$154),0)</f>
        <v>0.50569999999999993</v>
      </c>
      <c r="IS41" s="733">
        <f>IFERROR(SUMPRODUCT(('ANALYSE - ERP =&gt; SOUS-SEGMENT'!$C$8:$C$154=$C41)*'ANALYSE - ERP =&gt; SOUS-SEGMENT'!$Q$8:$Q$154*'ANALYSE - ERP =&gt; SOUS-SEGMENT'!$FB$8:$FB$154*'ANALYSE - ERP =&gt; SOUS-SEGMENT'!$IV$8:$IV$154)/SUMPRODUCT(('ANALYSE - ERP =&gt; SOUS-SEGMENT'!$C$8:$C$154=$C41)*'ANALYSE - ERP =&gt; SOUS-SEGMENT'!$Q$8:$Q$154*'ANALYSE - ERP =&gt; SOUS-SEGMENT'!$FB$8:$FB$154),0)</f>
        <v>0.35989999999999994</v>
      </c>
      <c r="IT41" s="733">
        <f>IFERROR(SUMPRODUCT(('ANALYSE - ERP =&gt; SOUS-SEGMENT'!$C$8:$C$154=$C41)*'ANALYSE - ERP =&gt; SOUS-SEGMENT'!$Q$8:$Q$154*'ANALYSE - ERP =&gt; SOUS-SEGMENT'!$FB$8:$FB$154*'ANALYSE - ERP =&gt; SOUS-SEGMENT'!$IW$8:$IW$154)/SUMPRODUCT(('ANALYSE - ERP =&gt; SOUS-SEGMENT'!$C$8:$C$154=$C41)*'ANALYSE - ERP =&gt; SOUS-SEGMENT'!$Q$8:$Q$154*'ANALYSE - ERP =&gt; SOUS-SEGMENT'!$FB$8:$FB$154),0)</f>
        <v>4.99E-2</v>
      </c>
      <c r="IU41" s="733">
        <f>IFERROR(SUMPRODUCT(('ANALYSE - ERP =&gt; SOUS-SEGMENT'!$C$8:$C$154=$C41)*'ANALYSE - ERP =&gt; SOUS-SEGMENT'!$Q$8:$Q$154*'ANALYSE - ERP =&gt; SOUS-SEGMENT'!$FB$8:$FB$154*'ANALYSE - ERP =&gt; SOUS-SEGMENT'!$IX$8:$IX$154)/SUMPRODUCT(('ANALYSE - ERP =&gt; SOUS-SEGMENT'!$C$8:$C$154=$C41)*'ANALYSE - ERP =&gt; SOUS-SEGMENT'!$Q$8:$Q$154*'ANALYSE - ERP =&gt; SOUS-SEGMENT'!$FB$8:$FB$154),0)</f>
        <v>4.4000000000000003E-3</v>
      </c>
      <c r="IV41" s="733">
        <f>IFERROR(SUMPRODUCT(('ANALYSE - ERP =&gt; SOUS-SEGMENT'!$C$8:$C$154=$C41)*'ANALYSE - ERP =&gt; SOUS-SEGMENT'!$Q$8:$Q$154*'ANALYSE - ERP =&gt; SOUS-SEGMENT'!$BF$8:$BF$154*'ANALYSE - ERP =&gt; SOUS-SEGMENT'!$IY$8:$IY$154)/SUMPRODUCT(('ANALYSE - ERP =&gt; SOUS-SEGMENT'!$C$8:$C$154=$C41)*'ANALYSE - ERP =&gt; SOUS-SEGMENT'!$Q$8:$Q$154*'ANALYSE - ERP =&gt; SOUS-SEGMENT'!$BF$8:$BF$154),0)</f>
        <v>0.10220000000000001</v>
      </c>
      <c r="IW41" s="733">
        <f>IFERROR(SUMPRODUCT(('ANALYSE - ERP =&gt; SOUS-SEGMENT'!$C$8:$C$154=$C41)*'ANALYSE - ERP =&gt; SOUS-SEGMENT'!$Q$8:$Q$154*'ANALYSE - ERP =&gt; SOUS-SEGMENT'!$BF$8:$BF$154*'ANALYSE - ERP =&gt; SOUS-SEGMENT'!$IZ$8:$IZ$154)/SUMPRODUCT(('ANALYSE - ERP =&gt; SOUS-SEGMENT'!$C$8:$C$154=$C41)*'ANALYSE - ERP =&gt; SOUS-SEGMENT'!$Q$8:$Q$154*'ANALYSE - ERP =&gt; SOUS-SEGMENT'!$BF$8:$BF$154),0)</f>
        <v>0.54189999999999994</v>
      </c>
      <c r="IX41" s="733">
        <f>IFERROR(SUMPRODUCT(('ANALYSE - ERP =&gt; SOUS-SEGMENT'!$C$8:$C$154=$C41)*'ANALYSE - ERP =&gt; SOUS-SEGMENT'!$Q$8:$Q$154*'ANALYSE - ERP =&gt; SOUS-SEGMENT'!$BF$8:$BF$154*'ANALYSE - ERP =&gt; SOUS-SEGMENT'!$JA$8:$JA$154)/SUMPRODUCT(('ANALYSE - ERP =&gt; SOUS-SEGMENT'!$C$8:$C$154=$C41)*'ANALYSE - ERP =&gt; SOUS-SEGMENT'!$Q$8:$Q$154*'ANALYSE - ERP =&gt; SOUS-SEGMENT'!$BF$8:$BF$154),0)</f>
        <v>0.33110000000000001</v>
      </c>
      <c r="IY41" s="733">
        <f>IFERROR(SUMPRODUCT(('ANALYSE - ERP =&gt; SOUS-SEGMENT'!$C$8:$C$154=$C41)*'ANALYSE - ERP =&gt; SOUS-SEGMENT'!$Q$8:$Q$154*'ANALYSE - ERP =&gt; SOUS-SEGMENT'!$BF$8:$BF$154*'ANALYSE - ERP =&gt; SOUS-SEGMENT'!$JB$8:$JB$154)/SUMPRODUCT(('ANALYSE - ERP =&gt; SOUS-SEGMENT'!$C$8:$C$154=$C41)*'ANALYSE - ERP =&gt; SOUS-SEGMENT'!$Q$8:$Q$154*'ANALYSE - ERP =&gt; SOUS-SEGMENT'!$BF$8:$BF$154),0)</f>
        <v>2.4799999999999996E-2</v>
      </c>
      <c r="IZ41" s="733">
        <f>IFERROR(SUMPRODUCT(('ANALYSE - ERP =&gt; SOUS-SEGMENT'!$C$8:$C$154=$C41)*'ANALYSE - ERP =&gt; SOUS-SEGMENT'!$Q$8:$Q$154*'ANALYSE - ERP =&gt; SOUS-SEGMENT'!$BF$8:$BF$154*'ANALYSE - ERP =&gt; SOUS-SEGMENT'!$JC$8:$JC$154)/SUMPRODUCT(('ANALYSE - ERP =&gt; SOUS-SEGMENT'!$C$8:$C$154=$C41)*'ANALYSE - ERP =&gt; SOUS-SEGMENT'!$Q$8:$Q$154*'ANALYSE - ERP =&gt; SOUS-SEGMENT'!$BF$8:$BF$154),0)</f>
        <v>0</v>
      </c>
      <c r="JA41" s="733">
        <f>IFERROR(SUMPRODUCT(('ANALYSE - ERP =&gt; SOUS-SEGMENT'!$C$8:$C$154=$C41)*'ANALYSE - ERP =&gt; SOUS-SEGMENT'!$Q$8:$Q$154*'ANALYSE - ERP =&gt; SOUS-SEGMENT'!$FE$8:$FE$154*'ANALYSE - ERP =&gt; SOUS-SEGMENT'!$JD$8:$JD$154)/SUMPRODUCT(('ANALYSE - ERP =&gt; SOUS-SEGMENT'!$C$8:$C$154=$C41)*'ANALYSE - ERP =&gt; SOUS-SEGMENT'!$Q$8:$Q$154*'ANALYSE - ERP =&gt; SOUS-SEGMENT'!$FE$8:$FE$154),0)</f>
        <v>8.2299999999999998E-2</v>
      </c>
      <c r="JB41" s="733">
        <f>IFERROR(SUMPRODUCT(('ANALYSE - ERP =&gt; SOUS-SEGMENT'!$C$8:$C$154=$C41)*'ANALYSE - ERP =&gt; SOUS-SEGMENT'!$Q$8:$Q$154*'ANALYSE - ERP =&gt; SOUS-SEGMENT'!$FE$8:$FE$154*'ANALYSE - ERP =&gt; SOUS-SEGMENT'!$JE$8:$JE$154)/SUMPRODUCT(('ANALYSE - ERP =&gt; SOUS-SEGMENT'!$C$8:$C$154=$C41)*'ANALYSE - ERP =&gt; SOUS-SEGMENT'!$Q$8:$Q$154*'ANALYSE - ERP =&gt; SOUS-SEGMENT'!$FE$8:$FE$154),0)</f>
        <v>0.51759999999999995</v>
      </c>
      <c r="JC41" s="733">
        <f>IFERROR(SUMPRODUCT(('ANALYSE - ERP =&gt; SOUS-SEGMENT'!$C$8:$C$154=$C41)*'ANALYSE - ERP =&gt; SOUS-SEGMENT'!$Q$8:$Q$154*'ANALYSE - ERP =&gt; SOUS-SEGMENT'!$FE$8:$FE$154*'ANALYSE - ERP =&gt; SOUS-SEGMENT'!$JF$8:$JF$154)/SUMPRODUCT(('ANALYSE - ERP =&gt; SOUS-SEGMENT'!$C$8:$C$154=$C41)*'ANALYSE - ERP =&gt; SOUS-SEGMENT'!$Q$8:$Q$154*'ANALYSE - ERP =&gt; SOUS-SEGMENT'!$FE$8:$FE$154),0)</f>
        <v>0.35100000000000003</v>
      </c>
      <c r="JD41" s="733">
        <f>IFERROR(SUMPRODUCT(('ANALYSE - ERP =&gt; SOUS-SEGMENT'!$C$8:$C$154=$C41)*'ANALYSE - ERP =&gt; SOUS-SEGMENT'!$Q$8:$Q$154*'ANALYSE - ERP =&gt; SOUS-SEGMENT'!$FE$8:$FE$154*'ANALYSE - ERP =&gt; SOUS-SEGMENT'!$JG$8:$JG$154)/SUMPRODUCT(('ANALYSE - ERP =&gt; SOUS-SEGMENT'!$C$8:$C$154=$C41)*'ANALYSE - ERP =&gt; SOUS-SEGMENT'!$Q$8:$Q$154*'ANALYSE - ERP =&gt; SOUS-SEGMENT'!$FE$8:$FE$154),0)</f>
        <v>4.4700000000000004E-2</v>
      </c>
      <c r="JE41" s="733">
        <f>IFERROR(SUMPRODUCT(('ANALYSE - ERP =&gt; SOUS-SEGMENT'!$C$8:$C$154=$C41)*'ANALYSE - ERP =&gt; SOUS-SEGMENT'!$Q$8:$Q$154*'ANALYSE - ERP =&gt; SOUS-SEGMENT'!$FE$8:$FE$154*'ANALYSE - ERP =&gt; SOUS-SEGMENT'!$JH$8:$JH$154)/SUMPRODUCT(('ANALYSE - ERP =&gt; SOUS-SEGMENT'!$C$8:$C$154=$C41)*'ANALYSE - ERP =&gt; SOUS-SEGMENT'!$Q$8:$Q$154*'ANALYSE - ERP =&gt; SOUS-SEGMENT'!$FE$8:$FE$154),0)</f>
        <v>4.4000000000000003E-3</v>
      </c>
      <c r="JF41" s="733">
        <f>IFERROR(SUMPRODUCT(('ANALYSE - ERP =&gt; SOUS-SEGMENT'!$C$8:$C$154=$C41)*'ANALYSE - ERP =&gt; SOUS-SEGMENT'!$Q$8:$Q$154*'ANALYSE - ERP =&gt; SOUS-SEGMENT'!$BG$8:$BG$154*'ANALYSE - ERP =&gt; SOUS-SEGMENT'!$JI$8:$JI$154)/SUMPRODUCT(('ANALYSE - ERP =&gt; SOUS-SEGMENT'!$C$8:$C$154=$C41)*'ANALYSE - ERP =&gt; SOUS-SEGMENT'!$Q$8:$Q$154*'ANALYSE - ERP =&gt; SOUS-SEGMENT'!$BG$8:$BG$154),0)</f>
        <v>0.14596200332923209</v>
      </c>
      <c r="JG41" s="733">
        <f>IFERROR(SUMPRODUCT(('ANALYSE - ERP =&gt; SOUS-SEGMENT'!$C$8:$C$154=$C41)*'ANALYSE - ERP =&gt; SOUS-SEGMENT'!$Q$8:$Q$154*'ANALYSE - ERP =&gt; SOUS-SEGMENT'!$BG$8:$BG$154*'ANALYSE - ERP =&gt; SOUS-SEGMENT'!$JJ$8:$JJ$154)/SUMPRODUCT(('ANALYSE - ERP =&gt; SOUS-SEGMENT'!$C$8:$C$154=$C41)*'ANALYSE - ERP =&gt; SOUS-SEGMENT'!$Q$8:$Q$154*'ANALYSE - ERP =&gt; SOUS-SEGMENT'!$BG$8:$BG$154),0)</f>
        <v>0.58035474415575017</v>
      </c>
      <c r="JH41" s="733">
        <f>IFERROR(SUMPRODUCT(('ANALYSE - ERP =&gt; SOUS-SEGMENT'!$C$8:$C$154=$C41)*'ANALYSE - ERP =&gt; SOUS-SEGMENT'!$Q$8:$Q$154*'ANALYSE - ERP =&gt; SOUS-SEGMENT'!$BG$8:$BG$154*'ANALYSE - ERP =&gt; SOUS-SEGMENT'!$JK$8:$JK$154)/SUMPRODUCT(('ANALYSE - ERP =&gt; SOUS-SEGMENT'!$C$8:$C$154=$C41)*'ANALYSE - ERP =&gt; SOUS-SEGMENT'!$Q$8:$Q$154*'ANALYSE - ERP =&gt; SOUS-SEGMENT'!$BG$8:$BG$154),0)</f>
        <v>0.20685818194977201</v>
      </c>
      <c r="JI41" s="733">
        <f>IFERROR(SUMPRODUCT(('ANALYSE - ERP =&gt; SOUS-SEGMENT'!$C$8:$C$154=$C41)*'ANALYSE - ERP =&gt; SOUS-SEGMENT'!$Q$8:$Q$154*'ANALYSE - ERP =&gt; SOUS-SEGMENT'!$BG$8:$BG$154*'ANALYSE - ERP =&gt; SOUS-SEGMENT'!$JL$8:$JL$154)/SUMPRODUCT(('ANALYSE - ERP =&gt; SOUS-SEGMENT'!$C$8:$C$154=$C41)*'ANALYSE - ERP =&gt; SOUS-SEGMENT'!$Q$8:$Q$154*'ANALYSE - ERP =&gt; SOUS-SEGMENT'!$BG$8:$BG$154),0)</f>
        <v>1.0951870883693999E-2</v>
      </c>
      <c r="JJ41" s="733">
        <f>IFERROR(SUMPRODUCT(('ANALYSE - ERP =&gt; SOUS-SEGMENT'!$C$8:$C$154=$C41)*'ANALYSE - ERP =&gt; SOUS-SEGMENT'!$Q$8:$Q$154*'ANALYSE - ERP =&gt; SOUS-SEGMENT'!$BG$8:$BG$154*'ANALYSE - ERP =&gt; SOUS-SEGMENT'!$JM$8:$JM$154)/SUMPRODUCT(('ANALYSE - ERP =&gt; SOUS-SEGMENT'!$C$8:$C$154=$C41)*'ANALYSE - ERP =&gt; SOUS-SEGMENT'!$Q$8:$Q$154*'ANALYSE - ERP =&gt; SOUS-SEGMENT'!$BG$8:$BG$154),0)</f>
        <v>0</v>
      </c>
      <c r="JK41" s="733">
        <f>IFERROR(SUMPRODUCT(('ANALYSE - ERP =&gt; SOUS-SEGMENT'!$C$8:$C$154=$C41)*'ANALYSE - ERP =&gt; SOUS-SEGMENT'!$Q$8:$Q$154*'ANALYSE - ERP =&gt; SOUS-SEGMENT'!$FH$8:$FH$154*'ANALYSE - ERP =&gt; SOUS-SEGMENT'!$JN$8:$JN$154)/SUMPRODUCT(('ANALYSE - ERP =&gt; SOUS-SEGMENT'!$C$8:$C$154=$C41)*'ANALYSE - ERP =&gt; SOUS-SEGMENT'!$Q$8:$Q$154*'ANALYSE - ERP =&gt; SOUS-SEGMENT'!$FH$8:$FH$154),0)</f>
        <v>0.12757908989694644</v>
      </c>
      <c r="JL41" s="733">
        <f>IFERROR(SUMPRODUCT(('ANALYSE - ERP =&gt; SOUS-SEGMENT'!$C$8:$C$154=$C41)*'ANALYSE - ERP =&gt; SOUS-SEGMENT'!$Q$8:$Q$154*'ANALYSE - ERP =&gt; SOUS-SEGMENT'!$FH$8:$FH$154*'ANALYSE - ERP =&gt; SOUS-SEGMENT'!$JO$8:$JO$154)/SUMPRODUCT(('ANALYSE - ERP =&gt; SOUS-SEGMENT'!$C$8:$C$154=$C41)*'ANALYSE - ERP =&gt; SOUS-SEGMENT'!$Q$8:$Q$154*'ANALYSE - ERP =&gt; SOUS-SEGMENT'!$FH$8:$FH$154),0)</f>
        <v>0.55918852765521299</v>
      </c>
      <c r="JM41" s="733">
        <f>IFERROR(SUMPRODUCT(('ANALYSE - ERP =&gt; SOUS-SEGMENT'!$C$8:$C$154=$C41)*'ANALYSE - ERP =&gt; SOUS-SEGMENT'!$Q$8:$Q$154*'ANALYSE - ERP =&gt; SOUS-SEGMENT'!$FH$8:$FH$154*'ANALYSE - ERP =&gt; SOUS-SEGMENT'!$JP$8:$JP$154)/SUMPRODUCT(('ANALYSE - ERP =&gt; SOUS-SEGMENT'!$C$8:$C$154=$C41)*'ANALYSE - ERP =&gt; SOUS-SEGMENT'!$Q$8:$Q$154*'ANALYSE - ERP =&gt; SOUS-SEGMENT'!$FH$8:$FH$154),0)</f>
        <v>0.22636527457587377</v>
      </c>
      <c r="JN41" s="733">
        <f>IFERROR(SUMPRODUCT(('ANALYSE - ERP =&gt; SOUS-SEGMENT'!$C$8:$C$154=$C41)*'ANALYSE - ERP =&gt; SOUS-SEGMENT'!$Q$8:$Q$154*'ANALYSE - ERP =&gt; SOUS-SEGMENT'!$FH$8:$FH$154*'ANALYSE - ERP =&gt; SOUS-SEGMENT'!$JQ$8:$JQ$154)/SUMPRODUCT(('ANALYSE - ERP =&gt; SOUS-SEGMENT'!$C$8:$C$154=$C41)*'ANALYSE - ERP =&gt; SOUS-SEGMENT'!$Q$8:$Q$154*'ANALYSE - ERP =&gt; SOUS-SEGMENT'!$FH$8:$FH$154),0)</f>
        <v>2.9834753762092152E-2</v>
      </c>
      <c r="JO41" s="733">
        <f>IFERROR(SUMPRODUCT(('ANALYSE - ERP =&gt; SOUS-SEGMENT'!$C$8:$C$154=$C41)*'ANALYSE - ERP =&gt; SOUS-SEGMENT'!$Q$8:$Q$154*'ANALYSE - ERP =&gt; SOUS-SEGMENT'!$FH$8:$FH$154*'ANALYSE - ERP =&gt; SOUS-SEGMENT'!$JR$8:$JR$154)/SUMPRODUCT(('ANALYSE - ERP =&gt; SOUS-SEGMENT'!$C$8:$C$154=$C41)*'ANALYSE - ERP =&gt; SOUS-SEGMENT'!$Q$8:$Q$154*'ANALYSE - ERP =&gt; SOUS-SEGMENT'!$FH$8:$FH$154),0)</f>
        <v>4.1673941762922374E-3</v>
      </c>
      <c r="JP41" s="733">
        <f>IFERROR(SUMPRODUCT(('ANALYSE - ERP =&gt; SOUS-SEGMENT'!$C$8:$C$154=$C41)*'ANALYSE - ERP =&gt; SOUS-SEGMENT'!$Q$8:$Q$154*'ANALYSE - ERP =&gt; SOUS-SEGMENT'!$BH$8:$BH$154*'ANALYSE - ERP =&gt; SOUS-SEGMENT'!$JS$8:$JS$154)/SUMPRODUCT(('ANALYSE - ERP =&gt; SOUS-SEGMENT'!$C$8:$C$154=$C41)*'ANALYSE - ERP =&gt; SOUS-SEGMENT'!$Q$8:$Q$154*'ANALYSE - ERP =&gt; SOUS-SEGMENT'!$BH$8:$BH$154),0)</f>
        <v>0.1066</v>
      </c>
      <c r="JQ41" s="733">
        <f>IFERROR(SUMPRODUCT(('ANALYSE - ERP =&gt; SOUS-SEGMENT'!$C$8:$C$154=$C41)*'ANALYSE - ERP =&gt; SOUS-SEGMENT'!$Q$8:$Q$154*'ANALYSE - ERP =&gt; SOUS-SEGMENT'!$BH$8:$BH$154*'ANALYSE - ERP =&gt; SOUS-SEGMENT'!$JT$8:$JT$154)/SUMPRODUCT(('ANALYSE - ERP =&gt; SOUS-SEGMENT'!$C$8:$C$154=$C41)*'ANALYSE - ERP =&gt; SOUS-SEGMENT'!$Q$8:$Q$154*'ANALYSE - ERP =&gt; SOUS-SEGMENT'!$BH$8:$BH$154),0)</f>
        <v>0.53920000000000001</v>
      </c>
      <c r="JR41" s="733">
        <f>IFERROR(SUMPRODUCT(('ANALYSE - ERP =&gt; SOUS-SEGMENT'!$C$8:$C$154=$C41)*'ANALYSE - ERP =&gt; SOUS-SEGMENT'!$Q$8:$Q$154*'ANALYSE - ERP =&gt; SOUS-SEGMENT'!$BH$8:$BH$154*'ANALYSE - ERP =&gt; SOUS-SEGMENT'!$JU$8:$JU$154)/SUMPRODUCT(('ANALYSE - ERP =&gt; SOUS-SEGMENT'!$C$8:$C$154=$C41)*'ANALYSE - ERP =&gt; SOUS-SEGMENT'!$Q$8:$Q$154*'ANALYSE - ERP =&gt; SOUS-SEGMENT'!$BH$8:$BH$154),0)</f>
        <v>0.32950000000000002</v>
      </c>
      <c r="JS41" s="733">
        <f>IFERROR(SUMPRODUCT(('ANALYSE - ERP =&gt; SOUS-SEGMENT'!$C$8:$C$154=$C41)*'ANALYSE - ERP =&gt; SOUS-SEGMENT'!$Q$8:$Q$154*'ANALYSE - ERP =&gt; SOUS-SEGMENT'!$BH$8:$BH$154*'ANALYSE - ERP =&gt; SOUS-SEGMENT'!$JV$8:$JV$154)/SUMPRODUCT(('ANALYSE - ERP =&gt; SOUS-SEGMENT'!$C$8:$C$154=$C41)*'ANALYSE - ERP =&gt; SOUS-SEGMENT'!$Q$8:$Q$154*'ANALYSE - ERP =&gt; SOUS-SEGMENT'!$BH$8:$BH$154),0)</f>
        <v>2.47E-2</v>
      </c>
      <c r="JT41" s="733">
        <f>IFERROR(SUMPRODUCT(('ANALYSE - ERP =&gt; SOUS-SEGMENT'!$C$8:$C$154=$C41)*'ANALYSE - ERP =&gt; SOUS-SEGMENT'!$Q$8:$Q$154*'ANALYSE - ERP =&gt; SOUS-SEGMENT'!$BH$8:$BH$154*'ANALYSE - ERP =&gt; SOUS-SEGMENT'!$JW$8:$JW$154)/SUMPRODUCT(('ANALYSE - ERP =&gt; SOUS-SEGMENT'!$C$8:$C$154=$C41)*'ANALYSE - ERP =&gt; SOUS-SEGMENT'!$Q$8:$Q$154*'ANALYSE - ERP =&gt; SOUS-SEGMENT'!$BH$8:$BH$154),0)</f>
        <v>0</v>
      </c>
      <c r="JU41" s="733">
        <f>IFERROR(SUMPRODUCT(('ANALYSE - ERP =&gt; SOUS-SEGMENT'!$C$8:$C$154=$C41)*'ANALYSE - ERP =&gt; SOUS-SEGMENT'!$Q$8:$Q$154*'ANALYSE - ERP =&gt; SOUS-SEGMENT'!$FK$8:$FK$154*'ANALYSE - ERP =&gt; SOUS-SEGMENT'!$JX$8:$JX$154)/SUMPRODUCT(('ANALYSE - ERP =&gt; SOUS-SEGMENT'!$C$8:$C$154=$C41)*'ANALYSE - ERP =&gt; SOUS-SEGMENT'!$Q$8:$Q$154*'ANALYSE - ERP =&gt; SOUS-SEGMENT'!$FK$8:$FK$154),0)</f>
        <v>8.6699999999999999E-2</v>
      </c>
      <c r="JV41" s="733">
        <f>IFERROR(SUMPRODUCT(('ANALYSE - ERP =&gt; SOUS-SEGMENT'!$C$8:$C$154=$C41)*'ANALYSE - ERP =&gt; SOUS-SEGMENT'!$Q$8:$Q$154*'ANALYSE - ERP =&gt; SOUS-SEGMENT'!$FK$8:$FK$154*'ANALYSE - ERP =&gt; SOUS-SEGMENT'!$JY$8:$JY$154)/SUMPRODUCT(('ANALYSE - ERP =&gt; SOUS-SEGMENT'!$C$8:$C$154=$C41)*'ANALYSE - ERP =&gt; SOUS-SEGMENT'!$Q$8:$Q$154*'ANALYSE - ERP =&gt; SOUS-SEGMENT'!$FK$8:$FK$154),0)</f>
        <v>0.51490000000000002</v>
      </c>
      <c r="JW41" s="733">
        <f>IFERROR(SUMPRODUCT(('ANALYSE - ERP =&gt; SOUS-SEGMENT'!$C$8:$C$154=$C41)*'ANALYSE - ERP =&gt; SOUS-SEGMENT'!$Q$8:$Q$154*'ANALYSE - ERP =&gt; SOUS-SEGMENT'!$FK$8:$FK$154*'ANALYSE - ERP =&gt; SOUS-SEGMENT'!$JZ$8:$JZ$154)/SUMPRODUCT(('ANALYSE - ERP =&gt; SOUS-SEGMENT'!$C$8:$C$154=$C41)*'ANALYSE - ERP =&gt; SOUS-SEGMENT'!$Q$8:$Q$154*'ANALYSE - ERP =&gt; SOUS-SEGMENT'!$FK$8:$FK$154),0)</f>
        <v>0.34940000000000004</v>
      </c>
      <c r="JX41" s="733">
        <f>IFERROR(SUMPRODUCT(('ANALYSE - ERP =&gt; SOUS-SEGMENT'!$C$8:$C$154=$C41)*'ANALYSE - ERP =&gt; SOUS-SEGMENT'!$Q$8:$Q$154*'ANALYSE - ERP =&gt; SOUS-SEGMENT'!$FK$8:$FK$154*'ANALYSE - ERP =&gt; SOUS-SEGMENT'!$KA$8:$KA$154)/SUMPRODUCT(('ANALYSE - ERP =&gt; SOUS-SEGMENT'!$C$8:$C$154=$C41)*'ANALYSE - ERP =&gt; SOUS-SEGMENT'!$Q$8:$Q$154*'ANALYSE - ERP =&gt; SOUS-SEGMENT'!$FK$8:$FK$154),0)</f>
        <v>4.4600000000000008E-2</v>
      </c>
      <c r="JY41" s="733">
        <f>IFERROR(SUMPRODUCT(('ANALYSE - ERP =&gt; SOUS-SEGMENT'!$C$8:$C$154=$C41)*'ANALYSE - ERP =&gt; SOUS-SEGMENT'!$Q$8:$Q$154*'ANALYSE - ERP =&gt; SOUS-SEGMENT'!$FK$8:$FK$154*'ANALYSE - ERP =&gt; SOUS-SEGMENT'!$KB$8:$KB$154)/SUMPRODUCT(('ANALYSE - ERP =&gt; SOUS-SEGMENT'!$C$8:$C$154=$C41)*'ANALYSE - ERP =&gt; SOUS-SEGMENT'!$Q$8:$Q$154*'ANALYSE - ERP =&gt; SOUS-SEGMENT'!$FK$8:$FK$154),0)</f>
        <v>4.4000000000000003E-3</v>
      </c>
      <c r="JZ41" s="657"/>
      <c r="KA41" s="298" t="s">
        <v>2590</v>
      </c>
      <c r="KB41" s="298" t="s">
        <v>2591</v>
      </c>
      <c r="KC41" s="888" t="str">
        <f>IFERROR(SUMPRODUCT(('ANALYSE - ERP =&gt; SOUS-SEGMENT'!$C$8:$C$154=$C42)*'ANALYSE - ERP =&gt; SOUS-SEGMENT'!$Q$8:$Q$154*'ANALYSE - ERP =&gt; SOUS-SEGMENT'!$EX$8:$EX$154*'ANALYSE - ERP =&gt; SOUS-SEGMENT'!$KF$8:$KF$154)/SUMPRODUCT(('ANALYSE - ERP =&gt; SOUS-SEGMENT'!$C$8:$C$154=$C42)*'ANALYSE - ERP =&gt; SOUS-SEGMENT'!$Q$8:$Q$154*'ANALYSE - ERP =&gt; SOUS-SEGMENT'!$EX$8:$EX$154),"")</f>
        <v/>
      </c>
      <c r="KD41" s="298" t="s">
        <v>2589</v>
      </c>
      <c r="KE41" s="300" t="s">
        <v>4227</v>
      </c>
      <c r="KF41" s="298" t="s">
        <v>6760</v>
      </c>
      <c r="KG41" s="300" t="s">
        <v>6760</v>
      </c>
    </row>
    <row r="42" spans="1:293" s="933" customFormat="1" ht="48" customHeight="1">
      <c r="A42" s="629">
        <v>25</v>
      </c>
      <c r="B42" s="630" t="s">
        <v>7117</v>
      </c>
      <c r="C42" s="630" t="s">
        <v>7508</v>
      </c>
      <c r="D42" s="630" t="s">
        <v>7509</v>
      </c>
      <c r="E42" s="631" t="s">
        <v>7510</v>
      </c>
      <c r="F42" s="631" t="s">
        <v>2631</v>
      </c>
      <c r="G42" s="631" t="s">
        <v>300</v>
      </c>
      <c r="H42" s="631" t="s">
        <v>2109</v>
      </c>
      <c r="I42" s="632" t="s">
        <v>7511</v>
      </c>
      <c r="J42" s="632" t="s">
        <v>7512</v>
      </c>
      <c r="K42" s="633" t="s">
        <v>2097</v>
      </c>
      <c r="L42" s="633" t="s">
        <v>2109</v>
      </c>
      <c r="M42" s="633" t="s">
        <v>3168</v>
      </c>
      <c r="N42" s="633" t="s">
        <v>6742</v>
      </c>
      <c r="O42" s="631" t="s">
        <v>2194</v>
      </c>
      <c r="P42" s="632"/>
      <c r="Q42" s="627">
        <f>IF(SUMPRODUCT(('ANALYSE - ERP =&gt; SOUS-SEGMENT'!$C$8:$C$154=$C42)*'ANALYSE - ERP =&gt; SOUS-SEGMENT'!$Q$8:$Q$154)&gt;0,1,0)</f>
        <v>0</v>
      </c>
      <c r="R42" s="634" t="str">
        <f>IFERROR(SUMPRODUCT(('ANALYSE - ERP =&gt; SOUS-SEGMENT'!$C$8:$C$154=$C42)*'ANALYSE - ERP =&gt; SOUS-SEGMENT'!$Q$8:$Q$154*'ANALYSE - ERP =&gt; SOUS-SEGMENT'!$AG$8:$AG$154*'ANALYSE - ERP =&gt; SOUS-SEGMENT'!$R$8:$R$154)/SUMPRODUCT(('ANALYSE - ERP =&gt; SOUS-SEGMENT'!$C$8:$C$154=$C42)*'ANALYSE - ERP =&gt; SOUS-SEGMENT'!$Q$8:$Q$154*'ANALYSE - ERP =&gt; SOUS-SEGMENT'!$AG$8:$AG$154),"")</f>
        <v/>
      </c>
      <c r="S42" s="635">
        <f>SUMPRODUCT(('ANALYSE - ERP =&gt; SOUS-SEGMENT'!$C$8:$C$154=$C42)*'ANALYSE - ERP =&gt; SOUS-SEGMENT'!$Q$8:$Q$154*'ANALYSE - ERP =&gt; SOUS-SEGMENT'!$S$8:$S$154)</f>
        <v>0</v>
      </c>
      <c r="T42" s="635">
        <f>SUMPRODUCT(('ANALYSE - ERP =&gt; SOUS-SEGMENT'!$C$8:$C$154=$C42)*'ANALYSE - ERP =&gt; SOUS-SEGMENT'!$Q$8:$Q$154*'ANALYSE - ERP =&gt; SOUS-SEGMENT'!$T$8:$T$154)</f>
        <v>0</v>
      </c>
      <c r="U42" s="635">
        <f>SUMPRODUCT(('ANALYSE - ERP =&gt; SOUS-SEGMENT'!$C$8:$C$154=$C42)*'ANALYSE - ERP =&gt; SOUS-SEGMENT'!$Q$8:$Q$154*'ANALYSE - ERP =&gt; SOUS-SEGMENT'!$U$8:$U$154)</f>
        <v>0</v>
      </c>
      <c r="V42" s="635">
        <f>SUMPRODUCT(('ANALYSE - ERP =&gt; SOUS-SEGMENT'!$C$8:$C$154=$C42)*'ANALYSE - ERP =&gt; SOUS-SEGMENT'!$Q$8:$Q$154*'ANALYSE - ERP =&gt; SOUS-SEGMENT'!$V$8:$V$154)</f>
        <v>0</v>
      </c>
      <c r="W42" s="635">
        <f>SUMPRODUCT(('ANALYSE - ERP =&gt; SOUS-SEGMENT'!$C$8:$C$154=$C42)*'ANALYSE - ERP =&gt; SOUS-SEGMENT'!$Q$8:$Q$154*'ANALYSE - ERP =&gt; SOUS-SEGMENT'!$W$8:$W$154)</f>
        <v>0</v>
      </c>
      <c r="X42" s="635">
        <f>SUMPRODUCT(('ANALYSE - ERP =&gt; SOUS-SEGMENT'!$C$8:$C$154=$C42)*'ANALYSE - ERP =&gt; SOUS-SEGMENT'!$Q$8:$Q$154*'ANALYSE - ERP =&gt; SOUS-SEGMENT'!$X$8:$X$154)</f>
        <v>0</v>
      </c>
      <c r="Y42" s="635">
        <f>SUMPRODUCT(('ANALYSE - ERP =&gt; SOUS-SEGMENT'!$C$8:$C$154=$C42)*'ANALYSE - ERP =&gt; SOUS-SEGMENT'!$Q$8:$Q$154*'ANALYSE - ERP =&gt; SOUS-SEGMENT'!$Y$8:$Y$154)</f>
        <v>0</v>
      </c>
      <c r="Z42" s="635">
        <f>SUMPRODUCT(('ANALYSE - ERP =&gt; SOUS-SEGMENT'!$C$8:$C$154=$C42)*'ANALYSE - ERP =&gt; SOUS-SEGMENT'!$Q$8:$Q$154*'ANALYSE - ERP =&gt; SOUS-SEGMENT'!$Z$8:$Z$154)</f>
        <v>0</v>
      </c>
      <c r="AA42" s="635">
        <f>SUMPRODUCT(('ANALYSE - ERP =&gt; SOUS-SEGMENT'!$C$8:$C$154=$C42)*'ANALYSE - ERP =&gt; SOUS-SEGMENT'!$Q$8:$Q$154*'ANALYSE - ERP =&gt; SOUS-SEGMENT'!$AA$8:$AA$154)</f>
        <v>0</v>
      </c>
      <c r="AB42" s="635">
        <f>SUMPRODUCT(('ANALYSE - ERP =&gt; SOUS-SEGMENT'!$C$8:$C$154=$C42)*'ANALYSE - ERP =&gt; SOUS-SEGMENT'!$Q$8:$Q$154*'ANALYSE - ERP =&gt; SOUS-SEGMENT'!$AB$8:$AB$154)</f>
        <v>0</v>
      </c>
      <c r="AC42" s="635">
        <f>SUMPRODUCT(('ANALYSE - ERP =&gt; SOUS-SEGMENT'!$C$8:$C$154=$C42)*'ANALYSE - ERP =&gt; SOUS-SEGMENT'!$Q$8:$Q$154*'ANALYSE - ERP =&gt; SOUS-SEGMENT'!$AC$8:$AC$154)</f>
        <v>0</v>
      </c>
      <c r="AD42" s="635">
        <f>SUMPRODUCT(('ANALYSE - ERP =&gt; SOUS-SEGMENT'!$C$8:$C$154=$C42)*'ANALYSE - ERP =&gt; SOUS-SEGMENT'!$Q$8:$Q$154*'ANALYSE - ERP =&gt; SOUS-SEGMENT'!$AD$8:$AD$154)</f>
        <v>0</v>
      </c>
      <c r="AE42" s="635">
        <f>SUMPRODUCT(('ANALYSE - ERP =&gt; SOUS-SEGMENT'!$C$8:$C$154=$C42)*'ANALYSE - ERP =&gt; SOUS-SEGMENT'!$Q$8:$Q$154*'ANALYSE - ERP =&gt; SOUS-SEGMENT'!$AE$8:$AE$154)</f>
        <v>0</v>
      </c>
      <c r="AF42" s="635">
        <f>SUMPRODUCT(('ANALYSE - ERP =&gt; SOUS-SEGMENT'!$C$8:$C$154=$C42)*'ANALYSE - ERP =&gt; SOUS-SEGMENT'!$Q$8:$Q$154*'ANALYSE - ERP =&gt; SOUS-SEGMENT'!$AF$8:$AF$154)</f>
        <v>0</v>
      </c>
      <c r="AG42" s="635">
        <f>SUMPRODUCT(('ANALYSE - ERP =&gt; SOUS-SEGMENT'!$C$8:$C$154=$C42)*'ANALYSE - ERP =&gt; SOUS-SEGMENT'!$Q$8:$Q$154*'ANALYSE - ERP =&gt; SOUS-SEGMENT'!$AG$8:$AG$154)</f>
        <v>0</v>
      </c>
      <c r="AH42" s="635">
        <f>SUMPRODUCT(('ANALYSE - ERP =&gt; SOUS-SEGMENT'!$C$8:$C$154=$C42)*'ANALYSE - ERP =&gt; SOUS-SEGMENT'!$Q$8:$Q$154*'ANALYSE - ERP =&gt; SOUS-SEGMENT'!$AH$8:$AH$154)</f>
        <v>0</v>
      </c>
      <c r="AI42" s="635">
        <f>SUMPRODUCT(('ANALYSE - ERP =&gt; SOUS-SEGMENT'!$C$8:$C$154=$C42)*'ANALYSE - ERP =&gt; SOUS-SEGMENT'!$Q$8:$Q$154*'ANALYSE - ERP =&gt; SOUS-SEGMENT'!$AI$8:$AI$154)</f>
        <v>0</v>
      </c>
      <c r="AJ42" s="635">
        <f>SUMPRODUCT(('ANALYSE - ERP =&gt; SOUS-SEGMENT'!$C$8:$C$154=$C42)*'ANALYSE - ERP =&gt; SOUS-SEGMENT'!$Q$8:$Q$154*'ANALYSE - ERP =&gt; SOUS-SEGMENT'!$AJ$8:$AJ$154)</f>
        <v>0</v>
      </c>
      <c r="AK42" s="635">
        <f>SUMPRODUCT(('ANALYSE - ERP =&gt; SOUS-SEGMENT'!$C$8:$C$154=$C42)*'ANALYSE - ERP =&gt; SOUS-SEGMENT'!$Q$8:$Q$154*'ANALYSE - ERP =&gt; SOUS-SEGMENT'!$AK$8:$AK$154)</f>
        <v>0</v>
      </c>
      <c r="AL42" s="632" t="s">
        <v>7471</v>
      </c>
      <c r="AM42" s="632" t="s">
        <v>7472</v>
      </c>
      <c r="AN42" s="632" t="s">
        <v>7513</v>
      </c>
      <c r="AO42" s="657"/>
      <c r="AP42" s="634" t="str">
        <f>IFERROR(SUMPRODUCT(('ANALYSE - ERP =&gt; SOUS-SEGMENT'!$C$8:$C$154=$C42)*'ANALYSE - ERP =&gt; SOUS-SEGMENT'!$Q$8:$Q$154*'ANALYSE - ERP =&gt; SOUS-SEGMENT'!$AG$8:$AG$154*'ANALYSE - ERP =&gt; SOUS-SEGMENT'!$AP$8:$AP$154)/SUMPRODUCT(('ANALYSE - ERP =&gt; SOUS-SEGMENT'!$C$8:$C$154=$C42)*'ANALYSE - ERP =&gt; SOUS-SEGMENT'!$Q$8:$Q$154*'ANALYSE - ERP =&gt; SOUS-SEGMENT'!$AG$8:$AG$154),"")</f>
        <v/>
      </c>
      <c r="AQ42" s="634" t="str">
        <f>IFERROR(SUMPRODUCT(('ANALYSE - ERP =&gt; SOUS-SEGMENT'!$C$8:$C$154=$C42)*'ANALYSE - ERP =&gt; SOUS-SEGMENT'!$Q$8:$Q$154*'ANALYSE - ERP =&gt; SOUS-SEGMENT'!$AF$8:$AF$154*'ANALYSE - ERP =&gt; SOUS-SEGMENT'!$AQ$8:$AQ$154)/SUMPRODUCT(('ANALYSE - ERP =&gt; SOUS-SEGMENT'!$C$8:$C$154=$C42)*'ANALYSE - ERP =&gt; SOUS-SEGMENT'!$Q$8:$Q$154*'ANALYSE - ERP =&gt; SOUS-SEGMENT'!$AF$8:$AF$154),"")</f>
        <v/>
      </c>
      <c r="AR42" s="634" t="str">
        <f>IFERROR(SUMPRODUCT(('ANALYSE - ERP =&gt; SOUS-SEGMENT'!$C$8:$C$154=$C42)*'ANALYSE - ERP =&gt; SOUS-SEGMENT'!$Q$8:$Q$154*'ANALYSE - ERP =&gt; SOUS-SEGMENT'!$AF$8:$AF$154*'ANALYSE - ERP =&gt; SOUS-SEGMENT'!$AR$8:$AR$154)/SUMPRODUCT(('ANALYSE - ERP =&gt; SOUS-SEGMENT'!$C$8:$C$154=$C42)*'ANALYSE - ERP =&gt; SOUS-SEGMENT'!$Q$8:$Q$154*'ANALYSE - ERP =&gt; SOUS-SEGMENT'!$AF$8:$AF$154),"")</f>
        <v/>
      </c>
      <c r="AS42" s="634" t="str">
        <f>IFERROR(SUMPRODUCT(('ANALYSE - ERP =&gt; SOUS-SEGMENT'!$C$8:$C$154=$C42)*'ANALYSE - ERP =&gt; SOUS-SEGMENT'!$Q$8:$Q$154*'ANALYSE - ERP =&gt; SOUS-SEGMENT'!$AF$8:$AF$154*'ANALYSE - ERP =&gt; SOUS-SEGMENT'!$AS$8:$AS$154)/SUMPRODUCT(('ANALYSE - ERP =&gt; SOUS-SEGMENT'!$C$8:$C$154=$C42)*'ANALYSE - ERP =&gt; SOUS-SEGMENT'!$Q$8:$Q$154*'ANALYSE - ERP =&gt; SOUS-SEGMENT'!$AF$8:$AF$154),"")</f>
        <v/>
      </c>
      <c r="AT42" s="657" t="s">
        <v>7514</v>
      </c>
      <c r="AU42" s="636" t="s">
        <v>7515</v>
      </c>
      <c r="AV42" s="637" t="s">
        <v>3299</v>
      </c>
      <c r="AW42" s="636"/>
      <c r="AX42" s="657"/>
      <c r="AY42" s="638" t="str">
        <f>IFERROR(SUMPRODUCT(('ANALYSE - ERP =&gt; SOUS-SEGMENT'!$C$8:$C$154=$C42)*'ANALYSE - ERP =&gt; SOUS-SEGMENT'!$Q$8:$Q$154*'ANALYSE - ERP =&gt; SOUS-SEGMENT'!$AF$8:$AF$154*'ANALYSE - ERP =&gt; SOUS-SEGMENT'!$AZ$8:$AZ$154)/SUMPRODUCT(('ANALYSE - ERP =&gt; SOUS-SEGMENT'!$C$8:$C$154=$C42)*'ANALYSE - ERP =&gt; SOUS-SEGMENT'!$Q$8:$Q$154*'ANALYSE - ERP =&gt; SOUS-SEGMENT'!$AF$8:$AF$154),"")</f>
        <v/>
      </c>
      <c r="AZ42" s="979" t="str">
        <f>IFERROR(SUMPRODUCT(('ANALYSE - ERP =&gt; SOUS-SEGMENT'!$C$8:$C$154=$C42)*'ANALYSE - ERP =&gt; SOUS-SEGMENT'!$Q$8:$Q$154*'ANALYSE - ERP =&gt; SOUS-SEGMENT'!$AF$8:$AF$154*'ANALYSE - ERP =&gt; SOUS-SEGMENT'!$BA$8:$BA$154)/SUMPRODUCT(('ANALYSE - ERP =&gt; SOUS-SEGMENT'!$C$8:$C$154=$C42)*'ANALYSE - ERP =&gt; SOUS-SEGMENT'!$Q$8:$Q$154*'ANALYSE - ERP =&gt; SOUS-SEGMENT'!$AF$8:$AF$154),"")</f>
        <v/>
      </c>
      <c r="BA42" s="638" t="str">
        <f>IFERROR(SUMPRODUCT(('ANALYSE - ERP =&gt; SOUS-SEGMENT'!$C$8:$C$154=$C42)*'ANALYSE - ERP =&gt; SOUS-SEGMENT'!$Q$8:$Q$154*'ANALYSE - ERP =&gt; SOUS-SEGMENT'!$AF$8:$AF$154*'ANALYSE - ERP =&gt; SOUS-SEGMENT'!$BB$8:$BB$154)/SUMPRODUCT(('ANALYSE - ERP =&gt; SOUS-SEGMENT'!$C$8:$C$154=$C42)*'ANALYSE - ERP =&gt; SOUS-SEGMENT'!$Q$8:$Q$154*'ANALYSE - ERP =&gt; SOUS-SEGMENT'!$AF$8:$AF$154),"")</f>
        <v/>
      </c>
      <c r="BB42" s="638" t="str">
        <f>IFERROR(SUMPRODUCT(('ANALYSE - ERP =&gt; SOUS-SEGMENT'!$C$8:$C$154=$C42)*'ANALYSE - ERP =&gt; SOUS-SEGMENT'!$Q$8:$Q$154*'ANALYSE - ERP =&gt; SOUS-SEGMENT'!$AF$8:$AF$154*'ANALYSE - ERP =&gt; SOUS-SEGMENT'!$BC$8:$BC$154)/SUMPRODUCT(('ANALYSE - ERP =&gt; SOUS-SEGMENT'!$C$8:$C$154=$C42)*'ANALYSE - ERP =&gt; SOUS-SEGMENT'!$Q$8:$Q$154*'ANALYSE - ERP =&gt; SOUS-SEGMENT'!$AF$8:$AF$154),"")</f>
        <v/>
      </c>
      <c r="BC42" s="639">
        <f>SUMPRODUCT(('ANALYSE - ERP =&gt; SOUS-SEGMENT'!$C$8:$C$154=$C42)*'ANALYSE - ERP =&gt; SOUS-SEGMENT'!$Q$8:$Q$154*'ANALYSE - ERP =&gt; SOUS-SEGMENT'!$BE$8:$BE$154)</f>
        <v>0</v>
      </c>
      <c r="BD42" s="639">
        <f>SUMPRODUCT(('ANALYSE - ERP =&gt; SOUS-SEGMENT'!$C$8:$C$154=$C42)*'ANALYSE - ERP =&gt; SOUS-SEGMENT'!$Q$8:$Q$154*'ANALYSE - ERP =&gt; SOUS-SEGMENT'!$BF$8:$BF$154)</f>
        <v>0</v>
      </c>
      <c r="BE42" s="639">
        <f>SUMPRODUCT(('ANALYSE - ERP =&gt; SOUS-SEGMENT'!$C$8:$C$154=$C42)*'ANALYSE - ERP =&gt; SOUS-SEGMENT'!$Q$8:$Q$154*'ANALYSE - ERP =&gt; SOUS-SEGMENT'!$BG$8:$BG$154)</f>
        <v>0</v>
      </c>
      <c r="BF42" s="639">
        <f>SUMPRODUCT(('ANALYSE - ERP =&gt; SOUS-SEGMENT'!$C$8:$C$154=$C42)*'ANALYSE - ERP =&gt; SOUS-SEGMENT'!$Q$8:$Q$154*'ANALYSE - ERP =&gt; SOUS-SEGMENT'!$BH$8:$BH$154)</f>
        <v>0</v>
      </c>
      <c r="BG42" s="639">
        <f>SUMPRODUCT(('ANALYSE - ERP =&gt; SOUS-SEGMENT'!$C$8:$C$154=$C42)*'ANALYSE - ERP =&gt; SOUS-SEGMENT'!$Q$8:$Q$154*'ANALYSE - ERP =&gt; SOUS-SEGMENT'!$BJ$8:$BJ$154)</f>
        <v>0</v>
      </c>
      <c r="BH42" s="639">
        <f>SUMPRODUCT(('ANALYSE - ERP =&gt; SOUS-SEGMENT'!$C$8:$C$154=$C42)*'ANALYSE - ERP =&gt; SOUS-SEGMENT'!$Q$8:$Q$154*'ANALYSE - ERP =&gt; SOUS-SEGMENT'!$BK$8:$BK$154)</f>
        <v>0</v>
      </c>
      <c r="BI42" s="639">
        <f>SUMPRODUCT(('ANALYSE - ERP =&gt; SOUS-SEGMENT'!$C$8:$C$154=$C42)*'ANALYSE - ERP =&gt; SOUS-SEGMENT'!$Q$8:$Q$154*'ANALYSE - ERP =&gt; SOUS-SEGMENT'!$BL$8:$BL$154)</f>
        <v>0</v>
      </c>
      <c r="BJ42" s="639">
        <f>SUMPRODUCT(('ANALYSE - ERP =&gt; SOUS-SEGMENT'!$C$8:$C$154=$C42)*'ANALYSE - ERP =&gt; SOUS-SEGMENT'!$Q$8:$Q$154*'ANALYSE - ERP =&gt; SOUS-SEGMENT'!$BM$8:$BM$154)</f>
        <v>0</v>
      </c>
      <c r="BK42" s="657"/>
      <c r="BL42" s="284" t="str">
        <f>IFERROR(SUMPRODUCT(('ANALYSE - ERP =&gt; SOUS-SEGMENT'!$C$8:$C$154=$C42)*'ANALYSE - ERP =&gt; SOUS-SEGMENT'!$Q$8:$Q$154*'ANALYSE - ERP =&gt; SOUS-SEGMENT'!$BE$8:$BE$154*'ANALYSE - ERP =&gt; SOUS-SEGMENT'!$BO$8:$BO$154)/SUMPRODUCT(('ANALYSE - ERP =&gt; SOUS-SEGMENT'!$C$8:$C$154=$C42)*'ANALYSE - ERP =&gt; SOUS-SEGMENT'!$Q$8:$Q$154*'ANALYSE - ERP =&gt; SOUS-SEGMENT'!$BE$8:$BE$154),"")</f>
        <v/>
      </c>
      <c r="BM42" s="284" t="str">
        <f>IFERROR(SUMPRODUCT(('ANALYSE - ERP =&gt; SOUS-SEGMENT'!$C$8:$C$154=$C42)*'ANALYSE - ERP =&gt; SOUS-SEGMENT'!$Q$8:$Q$154*'ANALYSE - ERP =&gt; SOUS-SEGMENT'!$BE$8:$BE$154*'ANALYSE - ERP =&gt; SOUS-SEGMENT'!$BP$8:$BP$154)/SUMPRODUCT(('ANALYSE - ERP =&gt; SOUS-SEGMENT'!$C$8:$C$154=$C42)*'ANALYSE - ERP =&gt; SOUS-SEGMENT'!$Q$8:$Q$154*'ANALYSE - ERP =&gt; SOUS-SEGMENT'!$BE$8:$BE$154),"")</f>
        <v/>
      </c>
      <c r="BN42" s="284" t="str">
        <f>IFERROR(SUMPRODUCT(('ANALYSE - ERP =&gt; SOUS-SEGMENT'!$C$8:$C$154=$C42)*'ANALYSE - ERP =&gt; SOUS-SEGMENT'!$Q$8:$Q$154*'ANALYSE - ERP =&gt; SOUS-SEGMENT'!$BE$8:$BE$154*'ANALYSE - ERP =&gt; SOUS-SEGMENT'!$BQ$8:$BQ$154)/SUMPRODUCT(('ANALYSE - ERP =&gt; SOUS-SEGMENT'!$C$8:$C$154=$C42)*'ANALYSE - ERP =&gt; SOUS-SEGMENT'!$Q$8:$Q$154*'ANALYSE - ERP =&gt; SOUS-SEGMENT'!$BE$8:$BE$154),"")</f>
        <v/>
      </c>
      <c r="BO42" s="284" t="str">
        <f>IFERROR(SUMPRODUCT(('ANALYSE - ERP =&gt; SOUS-SEGMENT'!$C$8:$C$154=$C42)*'ANALYSE - ERP =&gt; SOUS-SEGMENT'!$Q$8:$Q$154*'ANALYSE - ERP =&gt; SOUS-SEGMENT'!$BE$8:$BE$154*'ANALYSE - ERP =&gt; SOUS-SEGMENT'!$BR$8:$BR$154)/SUMPRODUCT(('ANALYSE - ERP =&gt; SOUS-SEGMENT'!$C$8:$C$154=$C42)*'ANALYSE - ERP =&gt; SOUS-SEGMENT'!$Q$8:$Q$154*'ANALYSE - ERP =&gt; SOUS-SEGMENT'!$BE$8:$BE$154),"")</f>
        <v/>
      </c>
      <c r="BP42" s="284" t="str">
        <f>IFERROR(SUMPRODUCT(('ANALYSE - ERP =&gt; SOUS-SEGMENT'!$C$8:$C$154=$C42)*'ANALYSE - ERP =&gt; SOUS-SEGMENT'!$Q$8:$Q$154*'ANALYSE - ERP =&gt; SOUS-SEGMENT'!$BJ$8:$BJ$154*'ANALYSE - ERP =&gt; SOUS-SEGMENT'!$BS$8:$BS$154)/SUMPRODUCT(('ANALYSE - ERP =&gt; SOUS-SEGMENT'!$C$8:$C$154=$C42)*'ANALYSE - ERP =&gt; SOUS-SEGMENT'!$Q$8:$Q$154*'ANALYSE - ERP =&gt; SOUS-SEGMENT'!$BJ$8:$BJ$154),"")</f>
        <v/>
      </c>
      <c r="BQ42" s="284" t="str">
        <f>IFERROR(SUMPRODUCT(('ANALYSE - ERP =&gt; SOUS-SEGMENT'!$C$8:$C$154=$C42)*'ANALYSE - ERP =&gt; SOUS-SEGMENT'!$Q$8:$Q$154*'ANALYSE - ERP =&gt; SOUS-SEGMENT'!$BJ$8:$BJ$154*'ANALYSE - ERP =&gt; SOUS-SEGMENT'!$BT$8:$BT$154)/SUMPRODUCT(('ANALYSE - ERP =&gt; SOUS-SEGMENT'!$C$8:$C$154=$C42)*'ANALYSE - ERP =&gt; SOUS-SEGMENT'!$Q$8:$Q$154*'ANALYSE - ERP =&gt; SOUS-SEGMENT'!$BJ$8:$BJ$154),"")</f>
        <v/>
      </c>
      <c r="BR42" s="284" t="str">
        <f>IFERROR(SUMPRODUCT(('ANALYSE - ERP =&gt; SOUS-SEGMENT'!$C$8:$C$154=$C42)*'ANALYSE - ERP =&gt; SOUS-SEGMENT'!$Q$8:$Q$154*'ANALYSE - ERP =&gt; SOUS-SEGMENT'!$BJ$8:$BJ$154*'ANALYSE - ERP =&gt; SOUS-SEGMENT'!$BU$8:$BU$154)/SUMPRODUCT(('ANALYSE - ERP =&gt; SOUS-SEGMENT'!$C$8:$C$154=$C42)*'ANALYSE - ERP =&gt; SOUS-SEGMENT'!$Q$8:$Q$154*'ANALYSE - ERP =&gt; SOUS-SEGMENT'!$BJ$8:$BJ$154),"")</f>
        <v/>
      </c>
      <c r="BS42" s="284" t="str">
        <f>IFERROR(SUMPRODUCT(('ANALYSE - ERP =&gt; SOUS-SEGMENT'!$C$8:$C$154=$C42)*'ANALYSE - ERP =&gt; SOUS-SEGMENT'!$Q$8:$Q$154*'ANALYSE - ERP =&gt; SOUS-SEGMENT'!$BJ$8:$BJ$154*'ANALYSE - ERP =&gt; SOUS-SEGMENT'!$BV$8:$BV$154)/SUMPRODUCT(('ANALYSE - ERP =&gt; SOUS-SEGMENT'!$C$8:$C$154=$C42)*'ANALYSE - ERP =&gt; SOUS-SEGMENT'!$Q$8:$Q$154*'ANALYSE - ERP =&gt; SOUS-SEGMENT'!$BJ$8:$BJ$154),"")</f>
        <v/>
      </c>
      <c r="BT42" s="285" t="str">
        <f>IFERROR(SUMPRODUCT(('ANALYSE - ERP =&gt; SOUS-SEGMENT'!$C$8:$C$154=$C42)*'ANALYSE - ERP =&gt; SOUS-SEGMENT'!$Q$8:$Q$154*'ANALYSE - ERP =&gt; SOUS-SEGMENT'!$BF$8:$BF$154*'ANALYSE - ERP =&gt; SOUS-SEGMENT'!$BW$8:$BW$154)/SUMPRODUCT(('ANALYSE - ERP =&gt; SOUS-SEGMENT'!$C$8:$C$154=$C42)*'ANALYSE - ERP =&gt; SOUS-SEGMENT'!$Q$8:$Q$154*'ANALYSE - ERP =&gt; SOUS-SEGMENT'!$BF$8:$BF$154),"")</f>
        <v/>
      </c>
      <c r="BU42" s="285" t="str">
        <f>IFERROR(SUMPRODUCT(('ANALYSE - ERP =&gt; SOUS-SEGMENT'!$C$8:$C$154=$C42)*'ANALYSE - ERP =&gt; SOUS-SEGMENT'!$Q$8:$Q$154*'ANALYSE - ERP =&gt; SOUS-SEGMENT'!$BF$8:$BF$154*'ANALYSE - ERP =&gt; SOUS-SEGMENT'!$BX$8:$BX$154)/SUMPRODUCT(('ANALYSE - ERP =&gt; SOUS-SEGMENT'!$C$8:$C$154=$C42)*'ANALYSE - ERP =&gt; SOUS-SEGMENT'!$Q$8:$Q$154*'ANALYSE - ERP =&gt; SOUS-SEGMENT'!$BF$8:$BF$154),"")</f>
        <v/>
      </c>
      <c r="BV42" s="285" t="str">
        <f>IFERROR(SUMPRODUCT(('ANALYSE - ERP =&gt; SOUS-SEGMENT'!$C$8:$C$154=$C42)*'ANALYSE - ERP =&gt; SOUS-SEGMENT'!$Q$8:$Q$154*'ANALYSE - ERP =&gt; SOUS-SEGMENT'!$BF$8:$BF$154*'ANALYSE - ERP =&gt; SOUS-SEGMENT'!$BY$8:$BY$154)/SUMPRODUCT(('ANALYSE - ERP =&gt; SOUS-SEGMENT'!$C$8:$C$154=$C42)*'ANALYSE - ERP =&gt; SOUS-SEGMENT'!$Q$8:$Q$154*'ANALYSE - ERP =&gt; SOUS-SEGMENT'!$BF$8:$BF$154),"")</f>
        <v/>
      </c>
      <c r="BW42" s="285" t="str">
        <f>IFERROR(SUMPRODUCT(('ANALYSE - ERP =&gt; SOUS-SEGMENT'!$C$8:$C$154=$C42)*'ANALYSE - ERP =&gt; SOUS-SEGMENT'!$Q$8:$Q$154*'ANALYSE - ERP =&gt; SOUS-SEGMENT'!$BK$8:$BK$154*'ANALYSE - ERP =&gt; SOUS-SEGMENT'!$BZ$8:$BZ$154)/SUMPRODUCT(('ANALYSE - ERP =&gt; SOUS-SEGMENT'!$C$8:$C$154=$C42)*'ANALYSE - ERP =&gt; SOUS-SEGMENT'!$Q$8:$Q$154*'ANALYSE - ERP =&gt; SOUS-SEGMENT'!$BK$8:$BK$154),"")</f>
        <v/>
      </c>
      <c r="BX42" s="285" t="str">
        <f>IFERROR(SUMPRODUCT(('ANALYSE - ERP =&gt; SOUS-SEGMENT'!$C$8:$C$154=$C42)*'ANALYSE - ERP =&gt; SOUS-SEGMENT'!$Q$8:$Q$154*'ANALYSE - ERP =&gt; SOUS-SEGMENT'!$BK$8:$BK$154*'ANALYSE - ERP =&gt; SOUS-SEGMENT'!$CA$8:$CA$154)/SUMPRODUCT(('ANALYSE - ERP =&gt; SOUS-SEGMENT'!$C$8:$C$154=$C42)*'ANALYSE - ERP =&gt; SOUS-SEGMENT'!$Q$8:$Q$154*'ANALYSE - ERP =&gt; SOUS-SEGMENT'!$BK$8:$BK$154),"")</f>
        <v/>
      </c>
      <c r="BY42" s="285" t="str">
        <f>IFERROR(SUMPRODUCT(('ANALYSE - ERP =&gt; SOUS-SEGMENT'!$C$8:$C$154=$C42)*'ANALYSE - ERP =&gt; SOUS-SEGMENT'!$Q$8:$Q$154*'ANALYSE - ERP =&gt; SOUS-SEGMENT'!$BK$8:$BK$154*'ANALYSE - ERP =&gt; SOUS-SEGMENT'!$CB$8:$CB$154)/SUMPRODUCT(('ANALYSE - ERP =&gt; SOUS-SEGMENT'!$C$8:$C$154=$C42)*'ANALYSE - ERP =&gt; SOUS-SEGMENT'!$Q$8:$Q$154*'ANALYSE - ERP =&gt; SOUS-SEGMENT'!$BK$8:$BK$154),"")</f>
        <v/>
      </c>
      <c r="BZ42" s="284" t="str">
        <f>IFERROR(SUMPRODUCT(('ANALYSE - ERP =&gt; SOUS-SEGMENT'!$C$8:$C$154=$C42)*'ANALYSE - ERP =&gt; SOUS-SEGMENT'!$Q$8:$Q$154*'ANALYSE - ERP =&gt; SOUS-SEGMENT'!$BG$8:$BG$154*'ANALYSE - ERP =&gt; SOUS-SEGMENT'!$CC$8:$CC$154)/SUMPRODUCT(('ANALYSE - ERP =&gt; SOUS-SEGMENT'!$C$8:$C$154=$C42)*'ANALYSE - ERP =&gt; SOUS-SEGMENT'!$Q$8:$Q$154*'ANALYSE - ERP =&gt; SOUS-SEGMENT'!$BG$8:$BG$154),"")</f>
        <v/>
      </c>
      <c r="CA42" s="284" t="str">
        <f>IFERROR(SUMPRODUCT(('ANALYSE - ERP =&gt; SOUS-SEGMENT'!$C$8:$C$154=$C42)*'ANALYSE - ERP =&gt; SOUS-SEGMENT'!$Q$8:$Q$154*'ANALYSE - ERP =&gt; SOUS-SEGMENT'!$BG$8:$BG$154*'ANALYSE - ERP =&gt; SOUS-SEGMENT'!$CD$8:$CD$154)/SUMPRODUCT(('ANALYSE - ERP =&gt; SOUS-SEGMENT'!$C$8:$C$154=$C42)*'ANALYSE - ERP =&gt; SOUS-SEGMENT'!$Q$8:$Q$154*'ANALYSE - ERP =&gt; SOUS-SEGMENT'!$BG$8:$BG$154),"")</f>
        <v/>
      </c>
      <c r="CB42" s="284" t="str">
        <f>IFERROR(SUMPRODUCT(('ANALYSE - ERP =&gt; SOUS-SEGMENT'!$C$8:$C$154=$C42)*'ANALYSE - ERP =&gt; SOUS-SEGMENT'!$Q$8:$Q$154*'ANALYSE - ERP =&gt; SOUS-SEGMENT'!$BG$8:$BG$154*'ANALYSE - ERP =&gt; SOUS-SEGMENT'!$CE$8:$CE$154)/SUMPRODUCT(('ANALYSE - ERP =&gt; SOUS-SEGMENT'!$C$8:$C$154=$C42)*'ANALYSE - ERP =&gt; SOUS-SEGMENT'!$Q$8:$Q$154*'ANALYSE - ERP =&gt; SOUS-SEGMENT'!$BG$8:$BG$154),"")</f>
        <v/>
      </c>
      <c r="CC42" s="284" t="str">
        <f>IFERROR(SUMPRODUCT(('ANALYSE - ERP =&gt; SOUS-SEGMENT'!$C$8:$C$154=$C42)*'ANALYSE - ERP =&gt; SOUS-SEGMENT'!$Q$8:$Q$154*'ANALYSE - ERP =&gt; SOUS-SEGMENT'!$BG$8:$BG$154*'ANALYSE - ERP =&gt; SOUS-SEGMENT'!$CF$8:$CF$154)/SUMPRODUCT(('ANALYSE - ERP =&gt; SOUS-SEGMENT'!$C$8:$C$154=$C42)*'ANALYSE - ERP =&gt; SOUS-SEGMENT'!$Q$8:$Q$154*'ANALYSE - ERP =&gt; SOUS-SEGMENT'!$BG$8:$BG$154),"")</f>
        <v/>
      </c>
      <c r="CD42" s="284" t="str">
        <f>IFERROR(SUMPRODUCT(('ANALYSE - ERP =&gt; SOUS-SEGMENT'!$C$8:$C$154=$C42)*'ANALYSE - ERP =&gt; SOUS-SEGMENT'!$Q$8:$Q$154*'ANALYSE - ERP =&gt; SOUS-SEGMENT'!$BL$8:$BL$154*'ANALYSE - ERP =&gt; SOUS-SEGMENT'!$CG$8:$CG$154)/SUMPRODUCT(('ANALYSE - ERP =&gt; SOUS-SEGMENT'!$C$8:$C$154=$C42)*'ANALYSE - ERP =&gt; SOUS-SEGMENT'!$Q$8:$Q$154*'ANALYSE - ERP =&gt; SOUS-SEGMENT'!$BL$8:$BL$154),"")</f>
        <v/>
      </c>
      <c r="CE42" s="284" t="str">
        <f>IFERROR(SUMPRODUCT(('ANALYSE - ERP =&gt; SOUS-SEGMENT'!$C$8:$C$154=$C42)*'ANALYSE - ERP =&gt; SOUS-SEGMENT'!$Q$8:$Q$154*'ANALYSE - ERP =&gt; SOUS-SEGMENT'!$BL$8:$BL$154*'ANALYSE - ERP =&gt; SOUS-SEGMENT'!$CH$8:$CH$154)/SUMPRODUCT(('ANALYSE - ERP =&gt; SOUS-SEGMENT'!$C$8:$C$154=$C42)*'ANALYSE - ERP =&gt; SOUS-SEGMENT'!$Q$8:$Q$154*'ANALYSE - ERP =&gt; SOUS-SEGMENT'!$BL$8:$BL$154),"")</f>
        <v/>
      </c>
      <c r="CF42" s="284" t="str">
        <f>IFERROR(SUMPRODUCT(('ANALYSE - ERP =&gt; SOUS-SEGMENT'!$C$8:$C$154=$C42)*'ANALYSE - ERP =&gt; SOUS-SEGMENT'!$Q$8:$Q$154*'ANALYSE - ERP =&gt; SOUS-SEGMENT'!$BL$8:$BL$154*'ANALYSE - ERP =&gt; SOUS-SEGMENT'!$CI$8:$CI$154)/SUMPRODUCT(('ANALYSE - ERP =&gt; SOUS-SEGMENT'!$C$8:$C$154=$C42)*'ANALYSE - ERP =&gt; SOUS-SEGMENT'!$Q$8:$Q$154*'ANALYSE - ERP =&gt; SOUS-SEGMENT'!$BL$8:$BL$154),"")</f>
        <v/>
      </c>
      <c r="CG42" s="284" t="str">
        <f>IFERROR(SUMPRODUCT(('ANALYSE - ERP =&gt; SOUS-SEGMENT'!$C$8:$C$154=$C42)*'ANALYSE - ERP =&gt; SOUS-SEGMENT'!$Q$8:$Q$154*'ANALYSE - ERP =&gt; SOUS-SEGMENT'!$BL$8:$BL$154*'ANALYSE - ERP =&gt; SOUS-SEGMENT'!$CJ$8:$CJ$154)/SUMPRODUCT(('ANALYSE - ERP =&gt; SOUS-SEGMENT'!$C$8:$C$154=$C42)*'ANALYSE - ERP =&gt; SOUS-SEGMENT'!$Q$8:$Q$154*'ANALYSE - ERP =&gt; SOUS-SEGMENT'!$BL$8:$BL$154),"")</f>
        <v/>
      </c>
      <c r="CH42" s="286" t="str">
        <f>IFERROR(SUMPRODUCT(('ANALYSE - ERP =&gt; SOUS-SEGMENT'!$C$8:$C$154=$C42)*'ANALYSE - ERP =&gt; SOUS-SEGMENT'!$Q$8:$Q$154*'ANALYSE - ERP =&gt; SOUS-SEGMENT'!$BH$8:$BH$154*'ANALYSE - ERP =&gt; SOUS-SEGMENT'!$CK$8:$CK$154)/SUMPRODUCT(('ANALYSE - ERP =&gt; SOUS-SEGMENT'!$C$8:$C$154=$C42)*'ANALYSE - ERP =&gt; SOUS-SEGMENT'!$Q$8:$Q$154*'ANALYSE - ERP =&gt; SOUS-SEGMENT'!$BH$8:$BH$154),"")</f>
        <v/>
      </c>
      <c r="CI42" s="286" t="str">
        <f>IFERROR(SUMPRODUCT(('ANALYSE - ERP =&gt; SOUS-SEGMENT'!$C$8:$C$154=$C42)*'ANALYSE - ERP =&gt; SOUS-SEGMENT'!$Q$8:$Q$154*'ANALYSE - ERP =&gt; SOUS-SEGMENT'!$BH$8:$BH$154*'ANALYSE - ERP =&gt; SOUS-SEGMENT'!$CL$8:$CL$154)/SUMPRODUCT(('ANALYSE - ERP =&gt; SOUS-SEGMENT'!$C$8:$C$154=$C42)*'ANALYSE - ERP =&gt; SOUS-SEGMENT'!$Q$8:$Q$154*'ANALYSE - ERP =&gt; SOUS-SEGMENT'!$BH$8:$BH$154),"")</f>
        <v/>
      </c>
      <c r="CJ42" s="286" t="str">
        <f>IFERROR(SUMPRODUCT(('ANALYSE - ERP =&gt; SOUS-SEGMENT'!$C$8:$C$154=$C42)*'ANALYSE - ERP =&gt; SOUS-SEGMENT'!$Q$8:$Q$154*'ANALYSE - ERP =&gt; SOUS-SEGMENT'!$BH$8:$BH$154*'ANALYSE - ERP =&gt; SOUS-SEGMENT'!$CM$8:$CM$154)/SUMPRODUCT(('ANALYSE - ERP =&gt; SOUS-SEGMENT'!$C$8:$C$154=$C42)*'ANALYSE - ERP =&gt; SOUS-SEGMENT'!$Q$8:$Q$154*'ANALYSE - ERP =&gt; SOUS-SEGMENT'!$BH$8:$BH$154),"")</f>
        <v/>
      </c>
      <c r="CK42" s="286" t="str">
        <f>IFERROR(SUMPRODUCT(('ANALYSE - ERP =&gt; SOUS-SEGMENT'!$C$8:$C$154=$C42)*'ANALYSE - ERP =&gt; SOUS-SEGMENT'!$Q$8:$Q$154*'ANALYSE - ERP =&gt; SOUS-SEGMENT'!$BM$8:$BM$154*'ANALYSE - ERP =&gt; SOUS-SEGMENT'!$CN$8:$CN$154)/SUMPRODUCT(('ANALYSE - ERP =&gt; SOUS-SEGMENT'!$C$8:$C$154=$C42)*'ANALYSE - ERP =&gt; SOUS-SEGMENT'!$Q$8:$Q$154*'ANALYSE - ERP =&gt; SOUS-SEGMENT'!$BM$8:$BM$154),"")</f>
        <v/>
      </c>
      <c r="CL42" s="286" t="str">
        <f>IFERROR(SUMPRODUCT(('ANALYSE - ERP =&gt; SOUS-SEGMENT'!$C$8:$C$154=$C42)*'ANALYSE - ERP =&gt; SOUS-SEGMENT'!$Q$8:$Q$154*'ANALYSE - ERP =&gt; SOUS-SEGMENT'!$BM$8:$BM$154*'ANALYSE - ERP =&gt; SOUS-SEGMENT'!$CO$8:$CO$154)/SUMPRODUCT(('ANALYSE - ERP =&gt; SOUS-SEGMENT'!$C$8:$C$154=$C42)*'ANALYSE - ERP =&gt; SOUS-SEGMENT'!$Q$8:$Q$154*'ANALYSE - ERP =&gt; SOUS-SEGMENT'!$BM$8:$BM$154),"")</f>
        <v/>
      </c>
      <c r="CM42" s="286" t="str">
        <f>IFERROR(SUMPRODUCT(('ANALYSE - ERP =&gt; SOUS-SEGMENT'!$C$8:$C$154=$C42)*'ANALYSE - ERP =&gt; SOUS-SEGMENT'!$Q$8:$Q$154*'ANALYSE - ERP =&gt; SOUS-SEGMENT'!$BM$8:$BM$154*'ANALYSE - ERP =&gt; SOUS-SEGMENT'!$CP$8:$CP$154)/SUMPRODUCT(('ANALYSE - ERP =&gt; SOUS-SEGMENT'!$C$8:$C$154=$C42)*'ANALYSE - ERP =&gt; SOUS-SEGMENT'!$Q$8:$Q$154*'ANALYSE - ERP =&gt; SOUS-SEGMENT'!$BM$8:$BM$154),"")</f>
        <v/>
      </c>
      <c r="CN42" s="657"/>
      <c r="CO42" s="883" t="str">
        <f>IFERROR(SUMPRODUCT(('ANALYSE - ERP =&gt; SOUS-SEGMENT'!$C$8:$C$154=$C42)*'ANALYSE - ERP =&gt; SOUS-SEGMENT'!$DH$8:$DH$154*('ANALYSE - ERP =&gt; SOUS-SEGMENT'!$CR$8:$CR$154&gt;0)*'ANALYSE - ERP =&gt; SOUS-SEGMENT'!$CR$8:$CR$154)/SUMPRODUCT(('ANALYSE - ERP =&gt; SOUS-SEGMENT'!$C$8:$C$154=$C42)*'ANALYSE - ERP =&gt; SOUS-SEGMENT'!$DH$8:$DH$154*('ANALYSE - ERP =&gt; SOUS-SEGMENT'!$CR$8:$CR$154&gt;0)),"")</f>
        <v/>
      </c>
      <c r="CP42" s="883" t="str">
        <f>IFERROR(SUMPRODUCT(('ANALYSE - ERP =&gt; SOUS-SEGMENT'!$C$8:$C$154=$C42)*'ANALYSE - ERP =&gt; SOUS-SEGMENT'!$DI$8:$DI$154*('ANALYSE - ERP =&gt; SOUS-SEGMENT'!$CS$8:$CS$154&gt;0)*'ANALYSE - ERP =&gt; SOUS-SEGMENT'!$CS$8:$CS$154)/SUMPRODUCT(('ANALYSE - ERP =&gt; SOUS-SEGMENT'!$C$8:$C$154=$C42)*'ANALYSE - ERP =&gt; SOUS-SEGMENT'!$DI$8:$DI$154*('ANALYSE - ERP =&gt; SOUS-SEGMENT'!$CS$8:$CS$154&gt;0)),"")</f>
        <v/>
      </c>
      <c r="CQ42" s="883" t="str">
        <f>IFERROR(SUMPRODUCT(('ANALYSE - ERP =&gt; SOUS-SEGMENT'!$C$8:$C$154=$C42)*'ANALYSE - ERP =&gt; SOUS-SEGMENT'!$DJ$8:$DJ$154*('ANALYSE - ERP =&gt; SOUS-SEGMENT'!$CT$8:$CT$154&gt;0)*'ANALYSE - ERP =&gt; SOUS-SEGMENT'!$CT$8:$CT$154)/SUMPRODUCT(('ANALYSE - ERP =&gt; SOUS-SEGMENT'!$C$8:$C$154=$C42)*'ANALYSE - ERP =&gt; SOUS-SEGMENT'!$DJ$8:$DJ$154*('ANALYSE - ERP =&gt; SOUS-SEGMENT'!$CT$8:$CT$154&gt;0)),"")</f>
        <v/>
      </c>
      <c r="CR42" s="883" t="str">
        <f>IFERROR(SUMPRODUCT(('ANALYSE - ERP =&gt; SOUS-SEGMENT'!$C$8:$C$154=$C42)*'ANALYSE - ERP =&gt; SOUS-SEGMENT'!$DK$8:$DK$154*('ANALYSE - ERP =&gt; SOUS-SEGMENT'!$CU$8:$CU$154&gt;0)*'ANALYSE - ERP =&gt; SOUS-SEGMENT'!$CU$8:$CU$154)/SUMPRODUCT(('ANALYSE - ERP =&gt; SOUS-SEGMENT'!$C$8:$C$154=$C42)*'ANALYSE - ERP =&gt; SOUS-SEGMENT'!$DK$8:$DK$154*('ANALYSE - ERP =&gt; SOUS-SEGMENT'!$CU$8:$CU$154&gt;0)),"")</f>
        <v/>
      </c>
      <c r="CS42" s="883" t="str">
        <f>IFERROR(SUMPRODUCT(('ANALYSE - ERP =&gt; SOUS-SEGMENT'!$C$8:$C$154=$C42)*'ANALYSE - ERP =&gt; SOUS-SEGMENT'!$DS$8:$DS$154*('ANALYSE - ERP =&gt; SOUS-SEGMENT'!$CV$8:$CV$154&gt;0)*'ANALYSE - ERP =&gt; SOUS-SEGMENT'!$CV$8:$CV$154)/SUMPRODUCT(('ANALYSE - ERP =&gt; SOUS-SEGMENT'!$C$8:$C$154=$C42)*'ANALYSE - ERP =&gt; SOUS-SEGMENT'!$DS$8:$DS$154*('ANALYSE - ERP =&gt; SOUS-SEGMENT'!$CV$8:$CV$154&gt;0)),"")</f>
        <v/>
      </c>
      <c r="CT42" s="883" t="str">
        <f>IFERROR(SUMPRODUCT(('ANALYSE - ERP =&gt; SOUS-SEGMENT'!$C$8:$C$154=$C42)*'ANALYSE - ERP =&gt; SOUS-SEGMENT'!$DT$8:$DT$154*('ANALYSE - ERP =&gt; SOUS-SEGMENT'!$CW$8:$CW$154&gt;0)*'ANALYSE - ERP =&gt; SOUS-SEGMENT'!$CW$8:$CW$154)/SUMPRODUCT(('ANALYSE - ERP =&gt; SOUS-SEGMENT'!$C$8:$C$154=$C42)*'ANALYSE - ERP =&gt; SOUS-SEGMENT'!$DT$8:$DT$154*('ANALYSE - ERP =&gt; SOUS-SEGMENT'!$CW$8:$CW$154&gt;0)),"")</f>
        <v/>
      </c>
      <c r="CU42" s="883" t="str">
        <f>IFERROR(SUMPRODUCT(('ANALYSE - ERP =&gt; SOUS-SEGMENT'!$C$8:$C$154=$C42)*'ANALYSE - ERP =&gt; SOUS-SEGMENT'!$DU$8:$DU$154*('ANALYSE - ERP =&gt; SOUS-SEGMENT'!$CX$8:$CX$154&gt;0)*'ANALYSE - ERP =&gt; SOUS-SEGMENT'!$CX$8:$CX$154)/SUMPRODUCT(('ANALYSE - ERP =&gt; SOUS-SEGMENT'!$C$8:$C$154=$C42)*'ANALYSE - ERP =&gt; SOUS-SEGMENT'!$DU$8:$DU$154*('ANALYSE - ERP =&gt; SOUS-SEGMENT'!$CX$8:$CX$154&gt;0)),"")</f>
        <v/>
      </c>
      <c r="CV42" s="883" t="str">
        <f>IFERROR(SUMPRODUCT(('ANALYSE - ERP =&gt; SOUS-SEGMENT'!$C$8:$C$154=$C42)*'ANALYSE - ERP =&gt; SOUS-SEGMENT'!$EB$8:$EB$154*('ANALYSE - ERP =&gt; SOUS-SEGMENT'!$CY$8:$CY$154&gt;0)*'ANALYSE - ERP =&gt; SOUS-SEGMENT'!$CY$8:$CY$154)/SUMPRODUCT(('ANALYSE - ERP =&gt; SOUS-SEGMENT'!$C$8:$C$154=$C42)*'ANALYSE - ERP =&gt; SOUS-SEGMENT'!$EB$8:$EB$154*('ANALYSE - ERP =&gt; SOUS-SEGMENT'!$CY$8:$CY$154&gt;0)),"")</f>
        <v/>
      </c>
      <c r="CW42" s="883" t="str">
        <f>IFERROR(SUMPRODUCT(('ANALYSE - ERP =&gt; SOUS-SEGMENT'!$C$8:$C$154=$C42)*'ANALYSE - ERP =&gt; SOUS-SEGMENT'!$EC$8:$EC$154*('ANALYSE - ERP =&gt; SOUS-SEGMENT'!$CZ$8:$CZ$154&gt;0)*'ANALYSE - ERP =&gt; SOUS-SEGMENT'!$CZ$8:$CZ$154)/SUMPRODUCT(('ANALYSE - ERP =&gt; SOUS-SEGMENT'!$C$8:$C$154=$C42)*'ANALYSE - ERP =&gt; SOUS-SEGMENT'!$EC$8:$EC$154*('ANALYSE - ERP =&gt; SOUS-SEGMENT'!$CZ$8:$CZ$154&gt;0)),"")</f>
        <v/>
      </c>
      <c r="CX42" s="883" t="str">
        <f>IFERROR(SUMPRODUCT(('ANALYSE - ERP =&gt; SOUS-SEGMENT'!$C$8:$C$154=$C42)*'ANALYSE - ERP =&gt; SOUS-SEGMENT'!$ED$8:$ED$154*('ANALYSE - ERP =&gt; SOUS-SEGMENT'!$DA$8:$DA$154&gt;0)*'ANALYSE - ERP =&gt; SOUS-SEGMENT'!$DA$8:$DA$154)/SUMPRODUCT(('ANALYSE - ERP =&gt; SOUS-SEGMENT'!$C$8:$C$154=$C42)*'ANALYSE - ERP =&gt; SOUS-SEGMENT'!$ED$8:$ED$154*('ANALYSE - ERP =&gt; SOUS-SEGMENT'!$DA$8:$DA$154&gt;0)),"")</f>
        <v/>
      </c>
      <c r="CY42" s="883" t="str">
        <f>IFERROR(SUMPRODUCT(('ANALYSE - ERP =&gt; SOUS-SEGMENT'!$C$8:$C$154=$C42)*'ANALYSE - ERP =&gt; SOUS-SEGMENT'!$EE$8:$EE$154*('ANALYSE - ERP =&gt; SOUS-SEGMENT'!$DB$8:$DB$154&gt;0)*'ANALYSE - ERP =&gt; SOUS-SEGMENT'!$DB$8:$DB$154)/SUMPRODUCT(('ANALYSE - ERP =&gt; SOUS-SEGMENT'!$C$8:$C$154=$C42)*'ANALYSE - ERP =&gt; SOUS-SEGMENT'!$EE$8:$EE$154*('ANALYSE - ERP =&gt; SOUS-SEGMENT'!$DB$8:$DB$154&gt;0)),"")</f>
        <v/>
      </c>
      <c r="CZ42" s="883" t="str">
        <f>IFERROR(SUMPRODUCT(('ANALYSE - ERP =&gt; SOUS-SEGMENT'!$C$8:$C$154=$C42)*'ANALYSE - ERP =&gt; SOUS-SEGMENT'!$EM$8:$EM$154*('ANALYSE - ERP =&gt; SOUS-SEGMENT'!$DC$8:$DC$154&gt;0)*'ANALYSE - ERP =&gt; SOUS-SEGMENT'!$DC$8:$DC$154)/SUMPRODUCT(('ANALYSE - ERP =&gt; SOUS-SEGMENT'!$C$8:$C$154=$C42)*'ANALYSE - ERP =&gt; SOUS-SEGMENT'!$EM$8:$EM$154*('ANALYSE - ERP =&gt; SOUS-SEGMENT'!$DC$8:$DC$154&gt;0)),"")</f>
        <v/>
      </c>
      <c r="DA42" s="883" t="str">
        <f>IFERROR(SUMPRODUCT(('ANALYSE - ERP =&gt; SOUS-SEGMENT'!$C$8:$C$154=$C42)*'ANALYSE - ERP =&gt; SOUS-SEGMENT'!$EN$8:$EN$154*('ANALYSE - ERP =&gt; SOUS-SEGMENT'!$DD$8:$DD$154&gt;0)*'ANALYSE - ERP =&gt; SOUS-SEGMENT'!$DD$8:$DD$154)/SUMPRODUCT(('ANALYSE - ERP =&gt; SOUS-SEGMENT'!$C$8:$C$154=$C42)*'ANALYSE - ERP =&gt; SOUS-SEGMENT'!$EN$8:$EN$154*('ANALYSE - ERP =&gt; SOUS-SEGMENT'!$DD$8:$DD$154&gt;0)),"")</f>
        <v/>
      </c>
      <c r="DB42" s="883" t="str">
        <f>IFERROR(SUMPRODUCT(('ANALYSE - ERP =&gt; SOUS-SEGMENT'!$C$8:$C$154=$C42)*'ANALYSE - ERP =&gt; SOUS-SEGMENT'!$EO$8:$EO$154*('ANALYSE - ERP =&gt; SOUS-SEGMENT'!$DE$8:$DE$154&gt;0)*'ANALYSE - ERP =&gt; SOUS-SEGMENT'!$DE$8:$DE$154)/SUMPRODUCT(('ANALYSE - ERP =&gt; SOUS-SEGMENT'!$C$8:$C$154=$C42)*'ANALYSE - ERP =&gt; SOUS-SEGMENT'!$EO$8:$EO$154*('ANALYSE - ERP =&gt; SOUS-SEGMENT'!$DE$8:$DE$154&gt;0)),"")</f>
        <v/>
      </c>
      <c r="DC42" s="317"/>
      <c r="DD42" s="657"/>
      <c r="DE42" s="640" t="e">
        <f t="shared" si="2"/>
        <v>#VALUE!</v>
      </c>
      <c r="DF42" s="640" t="e">
        <f t="shared" si="3"/>
        <v>#VALUE!</v>
      </c>
      <c r="DG42" s="640" t="e">
        <f t="shared" si="4"/>
        <v>#VALUE!</v>
      </c>
      <c r="DH42" s="640" t="e">
        <f t="shared" si="5"/>
        <v>#VALUE!</v>
      </c>
      <c r="DI42" s="317" t="s">
        <v>7475</v>
      </c>
      <c r="DJ42" s="640" t="e">
        <f t="shared" si="6"/>
        <v>#VALUE!</v>
      </c>
      <c r="DK42" s="640" t="e">
        <f t="shared" si="7"/>
        <v>#VALUE!</v>
      </c>
      <c r="DL42" s="640" t="e">
        <f t="shared" si="8"/>
        <v>#VALUE!</v>
      </c>
      <c r="DM42" s="640" t="e">
        <f t="shared" si="9"/>
        <v>#VALUE!</v>
      </c>
      <c r="DN42" s="318" t="s">
        <v>7476</v>
      </c>
      <c r="DO42" s="657"/>
      <c r="DP42" s="640">
        <f t="shared" si="10"/>
        <v>0</v>
      </c>
      <c r="DQ42" s="640">
        <f t="shared" si="11"/>
        <v>0</v>
      </c>
      <c r="DR42" s="640">
        <f t="shared" si="12"/>
        <v>0</v>
      </c>
      <c r="DS42" s="318" t="s">
        <v>7477</v>
      </c>
      <c r="DT42" s="640">
        <f t="shared" si="13"/>
        <v>0</v>
      </c>
      <c r="DU42" s="640">
        <f t="shared" si="14"/>
        <v>0</v>
      </c>
      <c r="DV42" s="640">
        <f t="shared" si="15"/>
        <v>0</v>
      </c>
      <c r="DW42" s="318" t="s">
        <v>7477</v>
      </c>
      <c r="DX42" s="657"/>
      <c r="DY42" s="640">
        <f t="shared" si="16"/>
        <v>0</v>
      </c>
      <c r="DZ42" s="640">
        <f t="shared" si="17"/>
        <v>0</v>
      </c>
      <c r="EA42" s="640">
        <f t="shared" si="18"/>
        <v>0</v>
      </c>
      <c r="EB42" s="640">
        <f t="shared" si="19"/>
        <v>0</v>
      </c>
      <c r="EC42" s="318" t="s">
        <v>7477</v>
      </c>
      <c r="ED42" s="640">
        <f t="shared" si="20"/>
        <v>0</v>
      </c>
      <c r="EE42" s="640">
        <f t="shared" si="21"/>
        <v>0</v>
      </c>
      <c r="EF42" s="640">
        <f t="shared" si="22"/>
        <v>0</v>
      </c>
      <c r="EG42" s="640">
        <f t="shared" si="23"/>
        <v>0</v>
      </c>
      <c r="EH42" s="641" t="s">
        <v>7478</v>
      </c>
      <c r="EI42" s="290"/>
      <c r="EJ42" s="640" t="e">
        <f t="shared" si="24"/>
        <v>#VALUE!</v>
      </c>
      <c r="EK42" s="642" t="e">
        <f t="shared" si="25"/>
        <v>#VALUE!</v>
      </c>
      <c r="EL42" s="642" t="e">
        <f t="shared" si="26"/>
        <v>#VALUE!</v>
      </c>
      <c r="EM42" s="318" t="s">
        <v>7479</v>
      </c>
      <c r="EN42" s="640" t="e">
        <f t="shared" si="27"/>
        <v>#VALUE!</v>
      </c>
      <c r="EO42" s="642" t="e">
        <f t="shared" si="28"/>
        <v>#VALUE!</v>
      </c>
      <c r="EP42" s="642" t="e">
        <f t="shared" si="29"/>
        <v>#VALUE!</v>
      </c>
      <c r="EQ42" s="318" t="s">
        <v>7480</v>
      </c>
      <c r="ER42" s="657"/>
      <c r="ES42" s="731">
        <f t="shared" si="30"/>
        <v>0</v>
      </c>
      <c r="ET42" s="731">
        <f t="shared" si="31"/>
        <v>0</v>
      </c>
      <c r="EU42" s="292">
        <f t="shared" si="32"/>
        <v>0</v>
      </c>
      <c r="EV42" s="292">
        <f t="shared" si="33"/>
        <v>0</v>
      </c>
      <c r="EW42" s="292">
        <f t="shared" si="34"/>
        <v>0</v>
      </c>
      <c r="EX42" s="292">
        <f t="shared" si="35"/>
        <v>0</v>
      </c>
      <c r="EY42" s="292">
        <f>SUMPRODUCT(('ANALYSE - ERP =&gt; SOUS-SEGMENT'!$C$8:$C$154=$C42)*'ANALYSE - ERP =&gt; SOUS-SEGMENT'!$Q$8:$Q$154*'ANALYSE - ERP =&gt; SOUS-SEGMENT'!$FB$8:$FB$154)</f>
        <v>0</v>
      </c>
      <c r="EZ42" s="292">
        <f>SUMPRODUCT(('ANALYSE - ERP =&gt; SOUS-SEGMENT'!$C$8:$C$154=$C42)*'ANALYSE - ERP =&gt; SOUS-SEGMENT'!$Q$8:$Q$154*'ANALYSE - ERP =&gt; SOUS-SEGMENT'!$FC$8:$FC$154)</f>
        <v>0</v>
      </c>
      <c r="FA42" s="292">
        <f t="shared" si="36"/>
        <v>0</v>
      </c>
      <c r="FB42" s="292">
        <f>SUMPRODUCT(('ANALYSE - ERP =&gt; SOUS-SEGMENT'!$C$8:$C$154=$C42)*'ANALYSE - ERP =&gt; SOUS-SEGMENT'!$Q$8:$Q$154*'ANALYSE - ERP =&gt; SOUS-SEGMENT'!$FE$8:$FE$154)</f>
        <v>0</v>
      </c>
      <c r="FC42" s="292">
        <f>SUMPRODUCT(('ANALYSE - ERP =&gt; SOUS-SEGMENT'!$C$8:$C$154=$C42)*'ANALYSE - ERP =&gt; SOUS-SEGMENT'!$Q$8:$Q$154*'ANALYSE - ERP =&gt; SOUS-SEGMENT'!$FF$8:$FF$154)</f>
        <v>0</v>
      </c>
      <c r="FD42" s="292">
        <f t="shared" si="37"/>
        <v>0</v>
      </c>
      <c r="FE42" s="292">
        <f>SUMPRODUCT(('ANALYSE - ERP =&gt; SOUS-SEGMENT'!$C$8:$C$154=$C42)*'ANALYSE - ERP =&gt; SOUS-SEGMENT'!$Q$8:$Q$154*'ANALYSE - ERP =&gt; SOUS-SEGMENT'!$FH$8:$FH$154)</f>
        <v>0</v>
      </c>
      <c r="FF42" s="292">
        <f>SUMPRODUCT(('ANALYSE - ERP =&gt; SOUS-SEGMENT'!$C$8:$C$154=$C42)*'ANALYSE - ERP =&gt; SOUS-SEGMENT'!$Q$8:$Q$154*'ANALYSE - ERP =&gt; SOUS-SEGMENT'!$FI$8:$FI$154)</f>
        <v>0</v>
      </c>
      <c r="FG42" s="292">
        <f t="shared" si="38"/>
        <v>0</v>
      </c>
      <c r="FH42" s="292">
        <f>SUMPRODUCT(('ANALYSE - ERP =&gt; SOUS-SEGMENT'!$C$8:$C$154=$C42)*'ANALYSE - ERP =&gt; SOUS-SEGMENT'!$Q$8:$Q$154*'ANALYSE - ERP =&gt; SOUS-SEGMENT'!$FK$8:$FK$154)</f>
        <v>0</v>
      </c>
      <c r="FI42" s="292">
        <f>SUMPRODUCT(('ANALYSE - ERP =&gt; SOUS-SEGMENT'!$C$8:$C$154=$C42)*'ANALYSE - ERP =&gt; SOUS-SEGMENT'!$Q$8:$Q$154*'ANALYSE - ERP =&gt; SOUS-SEGMENT'!$FL$8:$FL$154)</f>
        <v>0</v>
      </c>
      <c r="FJ42" s="657"/>
      <c r="FK42" s="319" t="s">
        <v>2616</v>
      </c>
      <c r="FL42" s="731" t="str">
        <f>IFERROR(SUMPRODUCT(('ANALYSE - ERP =&gt; SOUS-SEGMENT'!$C$8:$C$154=$C42)*'ANALYSE - ERP =&gt; SOUS-SEGMENT'!$Q$8:$Q$154*'ANALYSE - ERP =&gt; SOUS-SEGMENT'!$AF$8:$AF$154*'ANALYSE - ERP =&gt; SOUS-SEGMENT'!$FO$8:$FO$154)/SUMPRODUCT(('ANALYSE - ERP =&gt; SOUS-SEGMENT'!$C$8:$C$154=$C42)*'ANALYSE - ERP =&gt; SOUS-SEGMENT'!$Q$8:$Q$154*'ANALYSE - ERP =&gt; SOUS-SEGMENT'!$AF$8:$AF$154),"")</f>
        <v/>
      </c>
      <c r="FM42" s="778" t="str">
        <f>IFERROR(SUMPRODUCT(('ANALYSE - ERP =&gt; SOUS-SEGMENT'!$C$8:$C$154=$C42)*'ANALYSE - ERP =&gt; SOUS-SEGMENT'!$Q$8:$Q$154*'ANALYSE - ERP =&gt; SOUS-SEGMENT'!$AF$8:$AF$154*'ANALYSE - ERP =&gt; SOUS-SEGMENT'!$FP$8:$FP$154)/SUMPRODUCT(('ANALYSE - ERP =&gt; SOUS-SEGMENT'!$C$8:$C$154=$C42)*'ANALYSE - ERP =&gt; SOUS-SEGMENT'!$Q$8:$Q$154*'ANALYSE - ERP =&gt; SOUS-SEGMENT'!$AF$8:$AF$154),"")</f>
        <v/>
      </c>
      <c r="FN42" s="320" t="s">
        <v>5204</v>
      </c>
      <c r="FO42" s="657"/>
      <c r="FP42" s="887" t="str">
        <f>IFERROR(SUMPRODUCT(('ANALYSE - ERP =&gt; SOUS-SEGMENT'!$C$8:$C$154=$C42)*'ANALYSE - ERP =&gt; SOUS-SEGMENT'!$Q$8:$Q$154*'ANALYSE - ERP =&gt; SOUS-SEGMENT'!$EX$8:$EX$154*'ANALYSE - ERP =&gt; SOUS-SEGMENT'!$FS$8:$FS$154)/SUMPRODUCT(('ANALYSE - ERP =&gt; SOUS-SEGMENT'!$C$8:$C$154=$C42)*'ANALYSE - ERP =&gt; SOUS-SEGMENT'!$Q$8:$Q$154*'ANALYSE - ERP =&gt; SOUS-SEGMENT'!$EX$8:$EX$154),"")</f>
        <v/>
      </c>
      <c r="FQ42" s="295" t="e">
        <f>RANK($FP42,$FP$8:$FP$143,0)+COUNTIF($FP$8:$FP42,$FP42)-1</f>
        <v>#VALUE!</v>
      </c>
      <c r="FR42" s="887" t="str">
        <f>IFERROR(SUMPRODUCT(('ANALYSE - ERP =&gt; SOUS-SEGMENT'!$C$8:$C$154=$C42)*'ANALYSE - ERP =&gt; SOUS-SEGMENT'!$Q$8:$Q$154*'ANALYSE - ERP =&gt; SOUS-SEGMENT'!$EY$8:$EY$154*'ANALYSE - ERP =&gt; SOUS-SEGMENT'!$FU$8:$FU$154)/SUMPRODUCT(('ANALYSE - ERP =&gt; SOUS-SEGMENT'!$C$8:$C$154=$C42)*'ANALYSE - ERP =&gt; SOUS-SEGMENT'!$Q$8:$Q$154*'ANALYSE - ERP =&gt; SOUS-SEGMENT'!$EY$8:$EY$154),"")</f>
        <v/>
      </c>
      <c r="FS42" s="295" t="e">
        <f>RANK($FR42,$FR$8:$FR$143,0)+COUNTIF($FR$8:$FR42,$FR42)-1</f>
        <v>#VALUE!</v>
      </c>
      <c r="FT42" s="887" t="str">
        <f>IFERROR(SUMPRODUCT(('ANALYSE - ERP =&gt; SOUS-SEGMENT'!$C$8:$C$154=$C42)*'ANALYSE - ERP =&gt; SOUS-SEGMENT'!$Q$8:$Q$154*'ANALYSE - ERP =&gt; SOUS-SEGMENT'!$EZ$8:$EZ$154*'ANALYSE - ERP =&gt; SOUS-SEGMENT'!$FW$8:$FW$154)/SUMPRODUCT(('ANALYSE - ERP =&gt; SOUS-SEGMENT'!$C$8:$C$154=$C42)*'ANALYSE - ERP =&gt; SOUS-SEGMENT'!$Q$8:$Q$154*'ANALYSE - ERP =&gt; SOUS-SEGMENT'!$EZ$8:$EZ$154),"")</f>
        <v/>
      </c>
      <c r="FU42" s="295" t="e">
        <f>RANK($FT42,$FT$8:$FT$143,0)+COUNTIF($FT$8:$FT42,$FT42)-1</f>
        <v>#VALUE!</v>
      </c>
      <c r="FV42" s="657"/>
      <c r="FW42" s="321" t="s">
        <v>7481</v>
      </c>
      <c r="FX42" s="321" t="s">
        <v>7482</v>
      </c>
      <c r="FY42" s="321" t="s">
        <v>7483</v>
      </c>
      <c r="FZ42" s="321" t="s">
        <v>7484</v>
      </c>
      <c r="GA42" s="321" t="s">
        <v>7485</v>
      </c>
      <c r="GB42" s="321" t="s">
        <v>7486</v>
      </c>
      <c r="GC42" s="321" t="s">
        <v>6759</v>
      </c>
      <c r="GD42" s="657"/>
      <c r="GE42" s="292">
        <f>SUMPRODUCT(('ANALYSE - ERP =&gt; SOUS-SEGMENT'!$C$8:$C$154=$C42)*'ANALYSE - ERP =&gt; SOUS-SEGMENT'!$Q$8:$Q$154*'ANALYSE - ERP =&gt; SOUS-SEGMENT'!$GH$8:$GH$154)</f>
        <v>0</v>
      </c>
      <c r="GF42" s="292">
        <f>SUMPRODUCT(('ANALYSE - ERP =&gt; SOUS-SEGMENT'!$C$8:$C$154=$C42)*'ANALYSE - ERP =&gt; SOUS-SEGMENT'!$Q$8:$Q$154*'ANALYSE - ERP =&gt; SOUS-SEGMENT'!$GI$8:$GI$154)</f>
        <v>0</v>
      </c>
      <c r="GG42" s="292">
        <f>SUMPRODUCT(('ANALYSE - ERP =&gt; SOUS-SEGMENT'!$C$8:$C$154=$C42)*'ANALYSE - ERP =&gt; SOUS-SEGMENT'!$Q$8:$Q$154*'ANALYSE - ERP =&gt; SOUS-SEGMENT'!$GJ$8:$GJ$154)</f>
        <v>0</v>
      </c>
      <c r="GH42" s="292">
        <f>SUMPRODUCT(('ANALYSE - ERP =&gt; SOUS-SEGMENT'!$C$8:$C$154=$C42)*'ANALYSE - ERP =&gt; SOUS-SEGMENT'!$Q$8:$Q$154*'ANALYSE - ERP =&gt; SOUS-SEGMENT'!$GK$8:$GK$154)</f>
        <v>0</v>
      </c>
      <c r="GI42" s="292">
        <f>SUMPRODUCT(('ANALYSE - ERP =&gt; SOUS-SEGMENT'!$C$8:$C$154=$C42)*'ANALYSE - ERP =&gt; SOUS-SEGMENT'!$Q$8:$Q$154*'ANALYSE - ERP =&gt; SOUS-SEGMENT'!$GL$8:$GL$154)</f>
        <v>0</v>
      </c>
      <c r="GJ42" s="292">
        <f>SUMPRODUCT(('ANALYSE - ERP =&gt; SOUS-SEGMENT'!$C$8:$C$154=$C42)*'ANALYSE - ERP =&gt; SOUS-SEGMENT'!$Q$8:$Q$154*'ANALYSE - ERP =&gt; SOUS-SEGMENT'!$GM$8:$GM$154)</f>
        <v>0</v>
      </c>
      <c r="GK42" s="292">
        <f>SUMPRODUCT(('ANALYSE - ERP =&gt; SOUS-SEGMENT'!$C$8:$C$154=$C42)*'ANALYSE - ERP =&gt; SOUS-SEGMENT'!$Q$8:$Q$154*'ANALYSE - ERP =&gt; SOUS-SEGMENT'!$GN$8:$GN$154)</f>
        <v>0</v>
      </c>
      <c r="GL42" s="292">
        <f>SUMPRODUCT(('ANALYSE - ERP =&gt; SOUS-SEGMENT'!$C$8:$C$154=$C42)*'ANALYSE - ERP =&gt; SOUS-SEGMENT'!$Q$8:$Q$154*'ANALYSE - ERP =&gt; SOUS-SEGMENT'!$GO$8:$GO$154)</f>
        <v>0</v>
      </c>
      <c r="GM42" s="292">
        <f>SUMPRODUCT(('ANALYSE - ERP =&gt; SOUS-SEGMENT'!$C$8:$C$154=$C42)*'ANALYSE - ERP =&gt; SOUS-SEGMENT'!$Q$8:$Q$154*'ANALYSE - ERP =&gt; SOUS-SEGMENT'!$GP$8:$GP$154)</f>
        <v>0</v>
      </c>
      <c r="GN42" s="292">
        <f>SUMPRODUCT(('ANALYSE - ERP =&gt; SOUS-SEGMENT'!$C$8:$C$154=$C42)*'ANALYSE - ERP =&gt; SOUS-SEGMENT'!$Q$8:$Q$154*'ANALYSE - ERP =&gt; SOUS-SEGMENT'!$GQ$8:$GQ$154)</f>
        <v>0</v>
      </c>
      <c r="GO42" s="292">
        <f>SUMPRODUCT(('ANALYSE - ERP =&gt; SOUS-SEGMENT'!$C$8:$C$154=$C42)*'ANALYSE - ERP =&gt; SOUS-SEGMENT'!$Q$8:$Q$154*'ANALYSE - ERP =&gt; SOUS-SEGMENT'!$GR$8:$GR$154)</f>
        <v>0</v>
      </c>
      <c r="GP42" s="292">
        <f>SUMPRODUCT(('ANALYSE - ERP =&gt; SOUS-SEGMENT'!$C$8:$C$154=$C42)*'ANALYSE - ERP =&gt; SOUS-SEGMENT'!$Q$8:$Q$154*'ANALYSE - ERP =&gt; SOUS-SEGMENT'!$GS$8:$GS$154)</f>
        <v>0</v>
      </c>
      <c r="GQ42" s="292">
        <f>SUMPRODUCT(('ANALYSE - ERP =&gt; SOUS-SEGMENT'!$C$8:$C$154=$C42)*'ANALYSE - ERP =&gt; SOUS-SEGMENT'!$Q$8:$Q$154*'ANALYSE - ERP =&gt; SOUS-SEGMENT'!$GT$8:$GT$154)</f>
        <v>0</v>
      </c>
      <c r="GR42" s="292">
        <f>SUMPRODUCT(('ANALYSE - ERP =&gt; SOUS-SEGMENT'!$C$8:$C$154=$C42)*'ANALYSE - ERP =&gt; SOUS-SEGMENT'!$Q$8:$Q$154*'ANALYSE - ERP =&gt; SOUS-SEGMENT'!$GU$8:$GU$154)</f>
        <v>0</v>
      </c>
      <c r="GS42" s="292">
        <f>SUMPRODUCT(('ANALYSE - ERP =&gt; SOUS-SEGMENT'!$C$8:$C$154=$C42)*'ANALYSE - ERP =&gt; SOUS-SEGMENT'!$Q$8:$Q$154*'ANALYSE - ERP =&gt; SOUS-SEGMENT'!$GV$8:$GV$154)</f>
        <v>0</v>
      </c>
      <c r="GT42" s="292">
        <f>SUMPRODUCT(('ANALYSE - ERP =&gt; SOUS-SEGMENT'!$C$8:$C$154=$C42)*'ANALYSE - ERP =&gt; SOUS-SEGMENT'!$Q$8:$Q$154*'ANALYSE - ERP =&gt; SOUS-SEGMENT'!$GW$8:$GW$154)</f>
        <v>0</v>
      </c>
      <c r="GU42" s="292">
        <f>SUMPRODUCT(('ANALYSE - ERP =&gt; SOUS-SEGMENT'!$C$8:$C$154=$C42)*'ANALYSE - ERP =&gt; SOUS-SEGMENT'!$Q$8:$Q$154*'ANALYSE - ERP =&gt; SOUS-SEGMENT'!$GX$8:$GX$154)</f>
        <v>0</v>
      </c>
      <c r="GV42" s="292">
        <f>SUMPRODUCT(('ANALYSE - ERP =&gt; SOUS-SEGMENT'!$C$8:$C$154=$C42)*'ANALYSE - ERP =&gt; SOUS-SEGMENT'!$Q$8:$Q$154*'ANALYSE - ERP =&gt; SOUS-SEGMENT'!$GY$8:$GY$154)</f>
        <v>0</v>
      </c>
      <c r="GW42" s="292">
        <f>SUMPRODUCT(('ANALYSE - ERP =&gt; SOUS-SEGMENT'!$C$8:$C$154=$C42)*'ANALYSE - ERP =&gt; SOUS-SEGMENT'!$Q$8:$Q$154*'ANALYSE - ERP =&gt; SOUS-SEGMENT'!$GZ$8:$GZ$154)</f>
        <v>0</v>
      </c>
      <c r="GX42" s="292">
        <f>SUMPRODUCT(('ANALYSE - ERP =&gt; SOUS-SEGMENT'!$C$8:$C$154=$C42)*'ANALYSE - ERP =&gt; SOUS-SEGMENT'!$Q$8:$Q$154*'ANALYSE - ERP =&gt; SOUS-SEGMENT'!$HA$8:$HA$154)</f>
        <v>0</v>
      </c>
      <c r="GY42" s="292">
        <f>SUMPRODUCT(('ANALYSE - ERP =&gt; SOUS-SEGMENT'!$C$8:$C$154=$C42)*'ANALYSE - ERP =&gt; SOUS-SEGMENT'!$Q$8:$Q$154*'ANALYSE - ERP =&gt; SOUS-SEGMENT'!$HB$8:$HB$154)</f>
        <v>0</v>
      </c>
      <c r="GZ42" s="292">
        <f>SUMPRODUCT(('ANALYSE - ERP =&gt; SOUS-SEGMENT'!$C$8:$C$154=$C42)*'ANALYSE - ERP =&gt; SOUS-SEGMENT'!$Q$8:$Q$154*'ANALYSE - ERP =&gt; SOUS-SEGMENT'!$HC$8:$HC$154)</f>
        <v>0</v>
      </c>
      <c r="HA42" s="292">
        <f>SUMPRODUCT(('ANALYSE - ERP =&gt; SOUS-SEGMENT'!$C$8:$C$154=$C42)*'ANALYSE - ERP =&gt; SOUS-SEGMENT'!$Q$8:$Q$154*'ANALYSE - ERP =&gt; SOUS-SEGMENT'!$HD$8:$HD$154)</f>
        <v>0</v>
      </c>
      <c r="HB42" s="292">
        <f>SUMPRODUCT(('ANALYSE - ERP =&gt; SOUS-SEGMENT'!$C$8:$C$154=$C42)*'ANALYSE - ERP =&gt; SOUS-SEGMENT'!$Q$8:$Q$154*'ANALYSE - ERP =&gt; SOUS-SEGMENT'!$HE$8:$HE$154)</f>
        <v>0</v>
      </c>
      <c r="HC42" s="292">
        <f>SUMPRODUCT(('ANALYSE - ERP =&gt; SOUS-SEGMENT'!$C$8:$C$154=$C42)*'ANALYSE - ERP =&gt; SOUS-SEGMENT'!$Q$8:$Q$154*'ANALYSE - ERP =&gt; SOUS-SEGMENT'!$HF$8:$HF$154)</f>
        <v>0</v>
      </c>
      <c r="HD42" s="292">
        <f>SUMPRODUCT(('ANALYSE - ERP =&gt; SOUS-SEGMENT'!$C$8:$C$154=$C42)*'ANALYSE - ERP =&gt; SOUS-SEGMENT'!$Q$8:$Q$154*'ANALYSE - ERP =&gt; SOUS-SEGMENT'!$HG$8:$HG$154)</f>
        <v>0</v>
      </c>
      <c r="HE42" s="292">
        <f>SUMPRODUCT(('ANALYSE - ERP =&gt; SOUS-SEGMENT'!$C$8:$C$154=$C42)*'ANALYSE - ERP =&gt; SOUS-SEGMENT'!$Q$8:$Q$154*'ANALYSE - ERP =&gt; SOUS-SEGMENT'!$HH$8:$HH$154)</f>
        <v>0</v>
      </c>
      <c r="HF42" s="292">
        <f>SUMPRODUCT(('ANALYSE - ERP =&gt; SOUS-SEGMENT'!$C$8:$C$154=$C42)*'ANALYSE - ERP =&gt; SOUS-SEGMENT'!$Q$8:$Q$154*'ANALYSE - ERP =&gt; SOUS-SEGMENT'!$HI$8:$HI$154)</f>
        <v>0</v>
      </c>
      <c r="HG42" s="292">
        <f>SUMPRODUCT(('ANALYSE - ERP =&gt; SOUS-SEGMENT'!$C$8:$C$154=$C42)*'ANALYSE - ERP =&gt; SOUS-SEGMENT'!$Q$8:$Q$154*'ANALYSE - ERP =&gt; SOUS-SEGMENT'!$HJ$8:$HJ$154)</f>
        <v>0</v>
      </c>
      <c r="HH42" s="292">
        <f>SUMPRODUCT(('ANALYSE - ERP =&gt; SOUS-SEGMENT'!$C$8:$C$154=$C42)*'ANALYSE - ERP =&gt; SOUS-SEGMENT'!$Q$8:$Q$154*'ANALYSE - ERP =&gt; SOUS-SEGMENT'!$HK$8:$HK$154)</f>
        <v>0</v>
      </c>
      <c r="HI42" s="292">
        <f>SUMPRODUCT(('ANALYSE - ERP =&gt; SOUS-SEGMENT'!$C$8:$C$154=$C42)*'ANALYSE - ERP =&gt; SOUS-SEGMENT'!$Q$8:$Q$154*'ANALYSE - ERP =&gt; SOUS-SEGMENT'!$HL$8:$HL$154)</f>
        <v>0</v>
      </c>
      <c r="HJ42" s="292">
        <f>SUMPRODUCT(('ANALYSE - ERP =&gt; SOUS-SEGMENT'!$C$8:$C$154=$C42)*'ANALYSE - ERP =&gt; SOUS-SEGMENT'!$Q$8:$Q$154*'ANALYSE - ERP =&gt; SOUS-SEGMENT'!$HM$8:$HM$154)</f>
        <v>0</v>
      </c>
      <c r="HK42" s="292">
        <f>SUMPRODUCT(('ANALYSE - ERP =&gt; SOUS-SEGMENT'!$C$8:$C$154=$C42)*'ANALYSE - ERP =&gt; SOUS-SEGMENT'!$Q$8:$Q$154*'ANALYSE - ERP =&gt; SOUS-SEGMENT'!$HN$8:$HN$154)</f>
        <v>0</v>
      </c>
      <c r="HL42" s="292">
        <f>SUMPRODUCT(('ANALYSE - ERP =&gt; SOUS-SEGMENT'!$C$8:$C$154=$C42)*'ANALYSE - ERP =&gt; SOUS-SEGMENT'!$Q$8:$Q$154*'ANALYSE - ERP =&gt; SOUS-SEGMENT'!$HO$8:$HO$154)</f>
        <v>0</v>
      </c>
      <c r="HM42" s="292">
        <f>SUMPRODUCT(('ANALYSE - ERP =&gt; SOUS-SEGMENT'!$C$8:$C$154=$C42)*'ANALYSE - ERP =&gt; SOUS-SEGMENT'!$Q$8:$Q$154*'ANALYSE - ERP =&gt; SOUS-SEGMENT'!$HP$8:$HP$154)</f>
        <v>0</v>
      </c>
      <c r="HN42" s="292">
        <f>SUMPRODUCT(('ANALYSE - ERP =&gt; SOUS-SEGMENT'!$C$8:$C$154=$C42)*'ANALYSE - ERP =&gt; SOUS-SEGMENT'!$Q$8:$Q$154*'ANALYSE - ERP =&gt; SOUS-SEGMENT'!$HQ$8:$HQ$154)</f>
        <v>0</v>
      </c>
      <c r="HO42" s="292">
        <f>SUMPRODUCT(('ANALYSE - ERP =&gt; SOUS-SEGMENT'!$C$8:$C$154=$C42)*'ANALYSE - ERP =&gt; SOUS-SEGMENT'!$Q$8:$Q$154*'ANALYSE - ERP =&gt; SOUS-SEGMENT'!$HR$8:$HR$154)</f>
        <v>0</v>
      </c>
      <c r="HP42" s="292">
        <f>SUMPRODUCT(('ANALYSE - ERP =&gt; SOUS-SEGMENT'!$C$8:$C$154=$C42)*'ANALYSE - ERP =&gt; SOUS-SEGMENT'!$Q$8:$Q$154*'ANALYSE - ERP =&gt; SOUS-SEGMENT'!$HS$8:$HS$154)</f>
        <v>0</v>
      </c>
      <c r="HQ42" s="292">
        <f>SUMPRODUCT(('ANALYSE - ERP =&gt; SOUS-SEGMENT'!$C$8:$C$154=$C42)*'ANALYSE - ERP =&gt; SOUS-SEGMENT'!$Q$8:$Q$154*'ANALYSE - ERP =&gt; SOUS-SEGMENT'!$HT$8:$HT$154)</f>
        <v>0</v>
      </c>
      <c r="HR42" s="292">
        <f>SUMPRODUCT(('ANALYSE - ERP =&gt; SOUS-SEGMENT'!$C$8:$C$154=$C42)*'ANALYSE - ERP =&gt; SOUS-SEGMENT'!$Q$8:$Q$154*'ANALYSE - ERP =&gt; SOUS-SEGMENT'!$HU$8:$HU$154)</f>
        <v>0</v>
      </c>
      <c r="HS42" s="292">
        <f>SUMPRODUCT(('ANALYSE - ERP =&gt; SOUS-SEGMENT'!$C$8:$C$154=$C42)*'ANALYSE - ERP =&gt; SOUS-SEGMENT'!$Q$8:$Q$154*'ANALYSE - ERP =&gt; SOUS-SEGMENT'!$HV$8:$HV$154)</f>
        <v>0</v>
      </c>
      <c r="HT42" s="292">
        <f>SUMPRODUCT(('ANALYSE - ERP =&gt; SOUS-SEGMENT'!$C$8:$C$154=$C42)*'ANALYSE - ERP =&gt; SOUS-SEGMENT'!$Q$8:$Q$154*'ANALYSE - ERP =&gt; SOUS-SEGMENT'!$HW$8:$HW$154)</f>
        <v>0</v>
      </c>
      <c r="HU42" s="676"/>
      <c r="HV42" s="297">
        <f t="shared" si="40"/>
        <v>55900</v>
      </c>
      <c r="HW42" s="297">
        <f>SUMPRODUCT(('ANALYSE - ERP =&gt; SOUS-SEGMENT'!$C$8:$C$154=$C42)*'ANALYSE - ERP =&gt; SOUS-SEGMENT'!$Q$8:$Q$154*'ANALYSE - ERP =&gt; SOUS-SEGMENT'!$HZ$8:$HZ$154)</f>
        <v>0</v>
      </c>
      <c r="HX42" s="297">
        <f>SUMPRODUCT(('ANALYSE - ERP =&gt; SOUS-SEGMENT'!$C$8:$C$154=$C42)*'ANALYSE - ERP =&gt; SOUS-SEGMENT'!$Q$8:$Q$154*'ANALYSE - ERP =&gt; SOUS-SEGMENT'!$IA$8:$IA$154)</f>
        <v>0</v>
      </c>
      <c r="HY42" s="297">
        <f>SUMPRODUCT(('ANALYSE - ERP =&gt; SOUS-SEGMENT'!$C$8:$C$154=$C42)*'ANALYSE - ERP =&gt; SOUS-SEGMENT'!$Q$8:$Q$154*'ANALYSE - ERP =&gt; SOUS-SEGMENT'!$IB$8:$IB$154)</f>
        <v>0</v>
      </c>
      <c r="HZ42" s="297">
        <f>SUMPRODUCT(('ANALYSE - ERP =&gt; SOUS-SEGMENT'!$C$8:$C$154=$C42)*'ANALYSE - ERP =&gt; SOUS-SEGMENT'!$Q$8:$Q$154*'ANALYSE - ERP =&gt; SOUS-SEGMENT'!$IC$8:$IC$154)</f>
        <v>0</v>
      </c>
      <c r="IA42" s="297">
        <f>SUMPRODUCT(('ANALYSE - ERP =&gt; SOUS-SEGMENT'!$C$8:$C$154=$C42)*'ANALYSE - ERP =&gt; SOUS-SEGMENT'!$Q$8:$Q$154*'ANALYSE - ERP =&gt; SOUS-SEGMENT'!$ID$8:$ID$154)</f>
        <v>0</v>
      </c>
      <c r="IB42" s="297">
        <f>SUMPRODUCT(('ANALYSE - ERP =&gt; SOUS-SEGMENT'!$C$8:$C$154=$C42)*'ANALYSE - ERP =&gt; SOUS-SEGMENT'!$Q$8:$Q$154*'ANALYSE - ERP =&gt; SOUS-SEGMENT'!$IE$8:$IE$154)</f>
        <v>0</v>
      </c>
      <c r="IC42" s="297">
        <f>SUMPRODUCT(('ANALYSE - ERP =&gt; SOUS-SEGMENT'!$C$8:$C$154=$C42)*'ANALYSE - ERP =&gt; SOUS-SEGMENT'!$Q$8:$Q$154*'ANALYSE - ERP =&gt; SOUS-SEGMENT'!$IF$8:$IF$154)</f>
        <v>0</v>
      </c>
      <c r="ID42" s="297">
        <f>SUMPRODUCT(('ANALYSE - ERP =&gt; SOUS-SEGMENT'!$C$8:$C$154=$C42)*'ANALYSE - ERP =&gt; SOUS-SEGMENT'!$Q$8:$Q$154*'ANALYSE - ERP =&gt; SOUS-SEGMENT'!$IG$8:$IG$154)</f>
        <v>0</v>
      </c>
      <c r="IE42" s="297">
        <f>SUMPRODUCT(('ANALYSE - ERP =&gt; SOUS-SEGMENT'!$C$8:$C$154=$C42)*'ANALYSE - ERP =&gt; SOUS-SEGMENT'!$Q$8:$Q$154*'ANALYSE - ERP =&gt; SOUS-SEGMENT'!$IH$8:$IH$154)</f>
        <v>0</v>
      </c>
      <c r="IF42" s="297">
        <f>SUMPRODUCT(('ANALYSE - ERP =&gt; SOUS-SEGMENT'!$C$8:$C$154=$C42)*'ANALYSE - ERP =&gt; SOUS-SEGMENT'!$Q$8:$Q$154*'ANALYSE - ERP =&gt; SOUS-SEGMENT'!$II$8:$II$154)</f>
        <v>0</v>
      </c>
      <c r="IG42" s="297">
        <f>SUMPRODUCT(('ANALYSE - ERP =&gt; SOUS-SEGMENT'!$C$8:$C$154=$C42)*'ANALYSE - ERP =&gt; SOUS-SEGMENT'!$Q$8:$Q$154*'ANALYSE - ERP =&gt; SOUS-SEGMENT'!$IJ$8:$IJ$154)</f>
        <v>0</v>
      </c>
      <c r="IH42" s="912"/>
      <c r="II42" s="643" t="s">
        <v>2589</v>
      </c>
      <c r="IJ42" s="322" t="s">
        <v>6760</v>
      </c>
      <c r="IK42" s="657"/>
      <c r="IL42" s="733">
        <f>IFERROR(SUMPRODUCT(('ANALYSE - ERP =&gt; SOUS-SEGMENT'!$C$8:$C$154=$C42)*'ANALYSE - ERP =&gt; SOUS-SEGMENT'!$Q$8:$Q$154*'ANALYSE - ERP =&gt; SOUS-SEGMENT'!$BE$8:$BE$154*'ANALYSE - ERP =&gt; SOUS-SEGMENT'!$IO$8:$IO$154)/SUMPRODUCT(('ANALYSE - ERP =&gt; SOUS-SEGMENT'!$C$8:$C$154=$C42)*'ANALYSE - ERP =&gt; SOUS-SEGMENT'!$Q$8:$Q$154*'ANALYSE - ERP =&gt; SOUS-SEGMENT'!$BE$8:$BE$154),0)</f>
        <v>0</v>
      </c>
      <c r="IM42" s="733">
        <f>IFERROR(SUMPRODUCT(('ANALYSE - ERP =&gt; SOUS-SEGMENT'!$C$8:$C$154=$C42)*'ANALYSE - ERP =&gt; SOUS-SEGMENT'!$Q$8:$Q$154*'ANALYSE - ERP =&gt; SOUS-SEGMENT'!$BE$8:$BE$154*'ANALYSE - ERP =&gt; SOUS-SEGMENT'!$IP$8:$IP$154)/SUMPRODUCT(('ANALYSE - ERP =&gt; SOUS-SEGMENT'!$C$8:$C$154=$C42)*'ANALYSE - ERP =&gt; SOUS-SEGMENT'!$Q$8:$Q$154*'ANALYSE - ERP =&gt; SOUS-SEGMENT'!$BE$8:$BE$154),0)</f>
        <v>0</v>
      </c>
      <c r="IN42" s="733">
        <f>IFERROR(SUMPRODUCT(('ANALYSE - ERP =&gt; SOUS-SEGMENT'!$C$8:$C$154=$C42)*'ANALYSE - ERP =&gt; SOUS-SEGMENT'!$Q$8:$Q$154*'ANALYSE - ERP =&gt; SOUS-SEGMENT'!$BE$8:$BE$154*'ANALYSE - ERP =&gt; SOUS-SEGMENT'!$IQ$8:$IQ$154)/SUMPRODUCT(('ANALYSE - ERP =&gt; SOUS-SEGMENT'!$C$8:$C$154=$C42)*'ANALYSE - ERP =&gt; SOUS-SEGMENT'!$Q$8:$Q$154*'ANALYSE - ERP =&gt; SOUS-SEGMENT'!$BE$8:$BE$154),0)</f>
        <v>0</v>
      </c>
      <c r="IO42" s="733">
        <f>IFERROR(SUMPRODUCT(('ANALYSE - ERP =&gt; SOUS-SEGMENT'!$C$8:$C$154=$C42)*'ANALYSE - ERP =&gt; SOUS-SEGMENT'!$Q$8:$Q$154*'ANALYSE - ERP =&gt; SOUS-SEGMENT'!$BE$8:$BE$154*'ANALYSE - ERP =&gt; SOUS-SEGMENT'!$IR$8:$IR$154)/SUMPRODUCT(('ANALYSE - ERP =&gt; SOUS-SEGMENT'!$C$8:$C$154=$C42)*'ANALYSE - ERP =&gt; SOUS-SEGMENT'!$Q$8:$Q$154*'ANALYSE - ERP =&gt; SOUS-SEGMENT'!$BE$8:$BE$154),0)</f>
        <v>0</v>
      </c>
      <c r="IP42" s="733">
        <f>IFERROR(SUMPRODUCT(('ANALYSE - ERP =&gt; SOUS-SEGMENT'!$C$8:$C$154=$C42)*'ANALYSE - ERP =&gt; SOUS-SEGMENT'!$Q$8:$Q$154*'ANALYSE - ERP =&gt; SOUS-SEGMENT'!$BE$8:$BE$154*'ANALYSE - ERP =&gt; SOUS-SEGMENT'!$IS$8:$IS$154)/SUMPRODUCT(('ANALYSE - ERP =&gt; SOUS-SEGMENT'!$C$8:$C$154=$C42)*'ANALYSE - ERP =&gt; SOUS-SEGMENT'!$Q$8:$Q$154*'ANALYSE - ERP =&gt; SOUS-SEGMENT'!$BE$8:$BE$154),0)</f>
        <v>0</v>
      </c>
      <c r="IQ42" s="733">
        <f>IFERROR(SUMPRODUCT(('ANALYSE - ERP =&gt; SOUS-SEGMENT'!$C$8:$C$154=$C42)*'ANALYSE - ERP =&gt; SOUS-SEGMENT'!$Q$8:$Q$154*'ANALYSE - ERP =&gt; SOUS-SEGMENT'!$FB$8:$FB$154*'ANALYSE - ERP =&gt; SOUS-SEGMENT'!$IT$8:$IT$154)/SUMPRODUCT(('ANALYSE - ERP =&gt; SOUS-SEGMENT'!$C$8:$C$154=$C42)*'ANALYSE - ERP =&gt; SOUS-SEGMENT'!$Q$8:$Q$154*'ANALYSE - ERP =&gt; SOUS-SEGMENT'!$FB$8:$FB$154),0)</f>
        <v>0</v>
      </c>
      <c r="IR42" s="733">
        <f>IFERROR(SUMPRODUCT(('ANALYSE - ERP =&gt; SOUS-SEGMENT'!$C$8:$C$154=$C42)*'ANALYSE - ERP =&gt; SOUS-SEGMENT'!$Q$8:$Q$154*'ANALYSE - ERP =&gt; SOUS-SEGMENT'!$FB$8:$FB$154*'ANALYSE - ERP =&gt; SOUS-SEGMENT'!$IU$8:$IU$154)/SUMPRODUCT(('ANALYSE - ERP =&gt; SOUS-SEGMENT'!$C$8:$C$154=$C42)*'ANALYSE - ERP =&gt; SOUS-SEGMENT'!$Q$8:$Q$154*'ANALYSE - ERP =&gt; SOUS-SEGMENT'!$FB$8:$FB$154),0)</f>
        <v>0</v>
      </c>
      <c r="IS42" s="733">
        <f>IFERROR(SUMPRODUCT(('ANALYSE - ERP =&gt; SOUS-SEGMENT'!$C$8:$C$154=$C42)*'ANALYSE - ERP =&gt; SOUS-SEGMENT'!$Q$8:$Q$154*'ANALYSE - ERP =&gt; SOUS-SEGMENT'!$FB$8:$FB$154*'ANALYSE - ERP =&gt; SOUS-SEGMENT'!$IV$8:$IV$154)/SUMPRODUCT(('ANALYSE - ERP =&gt; SOUS-SEGMENT'!$C$8:$C$154=$C42)*'ANALYSE - ERP =&gt; SOUS-SEGMENT'!$Q$8:$Q$154*'ANALYSE - ERP =&gt; SOUS-SEGMENT'!$FB$8:$FB$154),0)</f>
        <v>0</v>
      </c>
      <c r="IT42" s="733">
        <f>IFERROR(SUMPRODUCT(('ANALYSE - ERP =&gt; SOUS-SEGMENT'!$C$8:$C$154=$C42)*'ANALYSE - ERP =&gt; SOUS-SEGMENT'!$Q$8:$Q$154*'ANALYSE - ERP =&gt; SOUS-SEGMENT'!$FB$8:$FB$154*'ANALYSE - ERP =&gt; SOUS-SEGMENT'!$IW$8:$IW$154)/SUMPRODUCT(('ANALYSE - ERP =&gt; SOUS-SEGMENT'!$C$8:$C$154=$C42)*'ANALYSE - ERP =&gt; SOUS-SEGMENT'!$Q$8:$Q$154*'ANALYSE - ERP =&gt; SOUS-SEGMENT'!$FB$8:$FB$154),0)</f>
        <v>0</v>
      </c>
      <c r="IU42" s="733">
        <f>IFERROR(SUMPRODUCT(('ANALYSE - ERP =&gt; SOUS-SEGMENT'!$C$8:$C$154=$C42)*'ANALYSE - ERP =&gt; SOUS-SEGMENT'!$Q$8:$Q$154*'ANALYSE - ERP =&gt; SOUS-SEGMENT'!$FB$8:$FB$154*'ANALYSE - ERP =&gt; SOUS-SEGMENT'!$IX$8:$IX$154)/SUMPRODUCT(('ANALYSE - ERP =&gt; SOUS-SEGMENT'!$C$8:$C$154=$C42)*'ANALYSE - ERP =&gt; SOUS-SEGMENT'!$Q$8:$Q$154*'ANALYSE - ERP =&gt; SOUS-SEGMENT'!$FB$8:$FB$154),0)</f>
        <v>0</v>
      </c>
      <c r="IV42" s="733">
        <f>IFERROR(SUMPRODUCT(('ANALYSE - ERP =&gt; SOUS-SEGMENT'!$C$8:$C$154=$C42)*'ANALYSE - ERP =&gt; SOUS-SEGMENT'!$Q$8:$Q$154*'ANALYSE - ERP =&gt; SOUS-SEGMENT'!$BF$8:$BF$154*'ANALYSE - ERP =&gt; SOUS-SEGMENT'!$IY$8:$IY$154)/SUMPRODUCT(('ANALYSE - ERP =&gt; SOUS-SEGMENT'!$C$8:$C$154=$C42)*'ANALYSE - ERP =&gt; SOUS-SEGMENT'!$Q$8:$Q$154*'ANALYSE - ERP =&gt; SOUS-SEGMENT'!$BF$8:$BF$154),0)</f>
        <v>0</v>
      </c>
      <c r="IW42" s="733">
        <f>IFERROR(SUMPRODUCT(('ANALYSE - ERP =&gt; SOUS-SEGMENT'!$C$8:$C$154=$C42)*'ANALYSE - ERP =&gt; SOUS-SEGMENT'!$Q$8:$Q$154*'ANALYSE - ERP =&gt; SOUS-SEGMENT'!$BF$8:$BF$154*'ANALYSE - ERP =&gt; SOUS-SEGMENT'!$IZ$8:$IZ$154)/SUMPRODUCT(('ANALYSE - ERP =&gt; SOUS-SEGMENT'!$C$8:$C$154=$C42)*'ANALYSE - ERP =&gt; SOUS-SEGMENT'!$Q$8:$Q$154*'ANALYSE - ERP =&gt; SOUS-SEGMENT'!$BF$8:$BF$154),0)</f>
        <v>0</v>
      </c>
      <c r="IX42" s="733">
        <f>IFERROR(SUMPRODUCT(('ANALYSE - ERP =&gt; SOUS-SEGMENT'!$C$8:$C$154=$C42)*'ANALYSE - ERP =&gt; SOUS-SEGMENT'!$Q$8:$Q$154*'ANALYSE - ERP =&gt; SOUS-SEGMENT'!$BF$8:$BF$154*'ANALYSE - ERP =&gt; SOUS-SEGMENT'!$JA$8:$JA$154)/SUMPRODUCT(('ANALYSE - ERP =&gt; SOUS-SEGMENT'!$C$8:$C$154=$C42)*'ANALYSE - ERP =&gt; SOUS-SEGMENT'!$Q$8:$Q$154*'ANALYSE - ERP =&gt; SOUS-SEGMENT'!$BF$8:$BF$154),0)</f>
        <v>0</v>
      </c>
      <c r="IY42" s="733">
        <f>IFERROR(SUMPRODUCT(('ANALYSE - ERP =&gt; SOUS-SEGMENT'!$C$8:$C$154=$C42)*'ANALYSE - ERP =&gt; SOUS-SEGMENT'!$Q$8:$Q$154*'ANALYSE - ERP =&gt; SOUS-SEGMENT'!$BF$8:$BF$154*'ANALYSE - ERP =&gt; SOUS-SEGMENT'!$JB$8:$JB$154)/SUMPRODUCT(('ANALYSE - ERP =&gt; SOUS-SEGMENT'!$C$8:$C$154=$C42)*'ANALYSE - ERP =&gt; SOUS-SEGMENT'!$Q$8:$Q$154*'ANALYSE - ERP =&gt; SOUS-SEGMENT'!$BF$8:$BF$154),0)</f>
        <v>0</v>
      </c>
      <c r="IZ42" s="733">
        <f>IFERROR(SUMPRODUCT(('ANALYSE - ERP =&gt; SOUS-SEGMENT'!$C$8:$C$154=$C42)*'ANALYSE - ERP =&gt; SOUS-SEGMENT'!$Q$8:$Q$154*'ANALYSE - ERP =&gt; SOUS-SEGMENT'!$BF$8:$BF$154*'ANALYSE - ERP =&gt; SOUS-SEGMENT'!$JC$8:$JC$154)/SUMPRODUCT(('ANALYSE - ERP =&gt; SOUS-SEGMENT'!$C$8:$C$154=$C42)*'ANALYSE - ERP =&gt; SOUS-SEGMENT'!$Q$8:$Q$154*'ANALYSE - ERP =&gt; SOUS-SEGMENT'!$BF$8:$BF$154),0)</f>
        <v>0</v>
      </c>
      <c r="JA42" s="733">
        <f>IFERROR(SUMPRODUCT(('ANALYSE - ERP =&gt; SOUS-SEGMENT'!$C$8:$C$154=$C42)*'ANALYSE - ERP =&gt; SOUS-SEGMENT'!$Q$8:$Q$154*'ANALYSE - ERP =&gt; SOUS-SEGMENT'!$FE$8:$FE$154*'ANALYSE - ERP =&gt; SOUS-SEGMENT'!$JD$8:$JD$154)/SUMPRODUCT(('ANALYSE - ERP =&gt; SOUS-SEGMENT'!$C$8:$C$154=$C42)*'ANALYSE - ERP =&gt; SOUS-SEGMENT'!$Q$8:$Q$154*'ANALYSE - ERP =&gt; SOUS-SEGMENT'!$FE$8:$FE$154),0)</f>
        <v>0</v>
      </c>
      <c r="JB42" s="733">
        <f>IFERROR(SUMPRODUCT(('ANALYSE - ERP =&gt; SOUS-SEGMENT'!$C$8:$C$154=$C42)*'ANALYSE - ERP =&gt; SOUS-SEGMENT'!$Q$8:$Q$154*'ANALYSE - ERP =&gt; SOUS-SEGMENT'!$FE$8:$FE$154*'ANALYSE - ERP =&gt; SOUS-SEGMENT'!$JE$8:$JE$154)/SUMPRODUCT(('ANALYSE - ERP =&gt; SOUS-SEGMENT'!$C$8:$C$154=$C42)*'ANALYSE - ERP =&gt; SOUS-SEGMENT'!$Q$8:$Q$154*'ANALYSE - ERP =&gt; SOUS-SEGMENT'!$FE$8:$FE$154),0)</f>
        <v>0</v>
      </c>
      <c r="JC42" s="733">
        <f>IFERROR(SUMPRODUCT(('ANALYSE - ERP =&gt; SOUS-SEGMENT'!$C$8:$C$154=$C42)*'ANALYSE - ERP =&gt; SOUS-SEGMENT'!$Q$8:$Q$154*'ANALYSE - ERP =&gt; SOUS-SEGMENT'!$FE$8:$FE$154*'ANALYSE - ERP =&gt; SOUS-SEGMENT'!$JF$8:$JF$154)/SUMPRODUCT(('ANALYSE - ERP =&gt; SOUS-SEGMENT'!$C$8:$C$154=$C42)*'ANALYSE - ERP =&gt; SOUS-SEGMENT'!$Q$8:$Q$154*'ANALYSE - ERP =&gt; SOUS-SEGMENT'!$FE$8:$FE$154),0)</f>
        <v>0</v>
      </c>
      <c r="JD42" s="733">
        <f>IFERROR(SUMPRODUCT(('ANALYSE - ERP =&gt; SOUS-SEGMENT'!$C$8:$C$154=$C42)*'ANALYSE - ERP =&gt; SOUS-SEGMENT'!$Q$8:$Q$154*'ANALYSE - ERP =&gt; SOUS-SEGMENT'!$FE$8:$FE$154*'ANALYSE - ERP =&gt; SOUS-SEGMENT'!$JG$8:$JG$154)/SUMPRODUCT(('ANALYSE - ERP =&gt; SOUS-SEGMENT'!$C$8:$C$154=$C42)*'ANALYSE - ERP =&gt; SOUS-SEGMENT'!$Q$8:$Q$154*'ANALYSE - ERP =&gt; SOUS-SEGMENT'!$FE$8:$FE$154),0)</f>
        <v>0</v>
      </c>
      <c r="JE42" s="733">
        <f>IFERROR(SUMPRODUCT(('ANALYSE - ERP =&gt; SOUS-SEGMENT'!$C$8:$C$154=$C42)*'ANALYSE - ERP =&gt; SOUS-SEGMENT'!$Q$8:$Q$154*'ANALYSE - ERP =&gt; SOUS-SEGMENT'!$FE$8:$FE$154*'ANALYSE - ERP =&gt; SOUS-SEGMENT'!$JH$8:$JH$154)/SUMPRODUCT(('ANALYSE - ERP =&gt; SOUS-SEGMENT'!$C$8:$C$154=$C42)*'ANALYSE - ERP =&gt; SOUS-SEGMENT'!$Q$8:$Q$154*'ANALYSE - ERP =&gt; SOUS-SEGMENT'!$FE$8:$FE$154),0)</f>
        <v>0</v>
      </c>
      <c r="JF42" s="733">
        <f>IFERROR(SUMPRODUCT(('ANALYSE - ERP =&gt; SOUS-SEGMENT'!$C$8:$C$154=$C42)*'ANALYSE - ERP =&gt; SOUS-SEGMENT'!$Q$8:$Q$154*'ANALYSE - ERP =&gt; SOUS-SEGMENT'!$BG$8:$BG$154*'ANALYSE - ERP =&gt; SOUS-SEGMENT'!$JI$8:$JI$154)/SUMPRODUCT(('ANALYSE - ERP =&gt; SOUS-SEGMENT'!$C$8:$C$154=$C42)*'ANALYSE - ERP =&gt; SOUS-SEGMENT'!$Q$8:$Q$154*'ANALYSE - ERP =&gt; SOUS-SEGMENT'!$BG$8:$BG$154),0)</f>
        <v>0</v>
      </c>
      <c r="JG42" s="733">
        <f>IFERROR(SUMPRODUCT(('ANALYSE - ERP =&gt; SOUS-SEGMENT'!$C$8:$C$154=$C42)*'ANALYSE - ERP =&gt; SOUS-SEGMENT'!$Q$8:$Q$154*'ANALYSE - ERP =&gt; SOUS-SEGMENT'!$BG$8:$BG$154*'ANALYSE - ERP =&gt; SOUS-SEGMENT'!$JJ$8:$JJ$154)/SUMPRODUCT(('ANALYSE - ERP =&gt; SOUS-SEGMENT'!$C$8:$C$154=$C42)*'ANALYSE - ERP =&gt; SOUS-SEGMENT'!$Q$8:$Q$154*'ANALYSE - ERP =&gt; SOUS-SEGMENT'!$BG$8:$BG$154),0)</f>
        <v>0</v>
      </c>
      <c r="JH42" s="733">
        <f>IFERROR(SUMPRODUCT(('ANALYSE - ERP =&gt; SOUS-SEGMENT'!$C$8:$C$154=$C42)*'ANALYSE - ERP =&gt; SOUS-SEGMENT'!$Q$8:$Q$154*'ANALYSE - ERP =&gt; SOUS-SEGMENT'!$BG$8:$BG$154*'ANALYSE - ERP =&gt; SOUS-SEGMENT'!$JK$8:$JK$154)/SUMPRODUCT(('ANALYSE - ERP =&gt; SOUS-SEGMENT'!$C$8:$C$154=$C42)*'ANALYSE - ERP =&gt; SOUS-SEGMENT'!$Q$8:$Q$154*'ANALYSE - ERP =&gt; SOUS-SEGMENT'!$BG$8:$BG$154),0)</f>
        <v>0</v>
      </c>
      <c r="JI42" s="733">
        <f>IFERROR(SUMPRODUCT(('ANALYSE - ERP =&gt; SOUS-SEGMENT'!$C$8:$C$154=$C42)*'ANALYSE - ERP =&gt; SOUS-SEGMENT'!$Q$8:$Q$154*'ANALYSE - ERP =&gt; SOUS-SEGMENT'!$BG$8:$BG$154*'ANALYSE - ERP =&gt; SOUS-SEGMENT'!$JL$8:$JL$154)/SUMPRODUCT(('ANALYSE - ERP =&gt; SOUS-SEGMENT'!$C$8:$C$154=$C42)*'ANALYSE - ERP =&gt; SOUS-SEGMENT'!$Q$8:$Q$154*'ANALYSE - ERP =&gt; SOUS-SEGMENT'!$BG$8:$BG$154),0)</f>
        <v>0</v>
      </c>
      <c r="JJ42" s="733">
        <f>IFERROR(SUMPRODUCT(('ANALYSE - ERP =&gt; SOUS-SEGMENT'!$C$8:$C$154=$C42)*'ANALYSE - ERP =&gt; SOUS-SEGMENT'!$Q$8:$Q$154*'ANALYSE - ERP =&gt; SOUS-SEGMENT'!$BG$8:$BG$154*'ANALYSE - ERP =&gt; SOUS-SEGMENT'!$JM$8:$JM$154)/SUMPRODUCT(('ANALYSE - ERP =&gt; SOUS-SEGMENT'!$C$8:$C$154=$C42)*'ANALYSE - ERP =&gt; SOUS-SEGMENT'!$Q$8:$Q$154*'ANALYSE - ERP =&gt; SOUS-SEGMENT'!$BG$8:$BG$154),0)</f>
        <v>0</v>
      </c>
      <c r="JK42" s="733">
        <f>IFERROR(SUMPRODUCT(('ANALYSE - ERP =&gt; SOUS-SEGMENT'!$C$8:$C$154=$C42)*'ANALYSE - ERP =&gt; SOUS-SEGMENT'!$Q$8:$Q$154*'ANALYSE - ERP =&gt; SOUS-SEGMENT'!$FH$8:$FH$154*'ANALYSE - ERP =&gt; SOUS-SEGMENT'!$JN$8:$JN$154)/SUMPRODUCT(('ANALYSE - ERP =&gt; SOUS-SEGMENT'!$C$8:$C$154=$C42)*'ANALYSE - ERP =&gt; SOUS-SEGMENT'!$Q$8:$Q$154*'ANALYSE - ERP =&gt; SOUS-SEGMENT'!$FH$8:$FH$154),0)</f>
        <v>0</v>
      </c>
      <c r="JL42" s="733">
        <f>IFERROR(SUMPRODUCT(('ANALYSE - ERP =&gt; SOUS-SEGMENT'!$C$8:$C$154=$C42)*'ANALYSE - ERP =&gt; SOUS-SEGMENT'!$Q$8:$Q$154*'ANALYSE - ERP =&gt; SOUS-SEGMENT'!$FH$8:$FH$154*'ANALYSE - ERP =&gt; SOUS-SEGMENT'!$JO$8:$JO$154)/SUMPRODUCT(('ANALYSE - ERP =&gt; SOUS-SEGMENT'!$C$8:$C$154=$C42)*'ANALYSE - ERP =&gt; SOUS-SEGMENT'!$Q$8:$Q$154*'ANALYSE - ERP =&gt; SOUS-SEGMENT'!$FH$8:$FH$154),0)</f>
        <v>0</v>
      </c>
      <c r="JM42" s="733">
        <f>IFERROR(SUMPRODUCT(('ANALYSE - ERP =&gt; SOUS-SEGMENT'!$C$8:$C$154=$C42)*'ANALYSE - ERP =&gt; SOUS-SEGMENT'!$Q$8:$Q$154*'ANALYSE - ERP =&gt; SOUS-SEGMENT'!$FH$8:$FH$154*'ANALYSE - ERP =&gt; SOUS-SEGMENT'!$JP$8:$JP$154)/SUMPRODUCT(('ANALYSE - ERP =&gt; SOUS-SEGMENT'!$C$8:$C$154=$C42)*'ANALYSE - ERP =&gt; SOUS-SEGMENT'!$Q$8:$Q$154*'ANALYSE - ERP =&gt; SOUS-SEGMENT'!$FH$8:$FH$154),0)</f>
        <v>0</v>
      </c>
      <c r="JN42" s="733">
        <f>IFERROR(SUMPRODUCT(('ANALYSE - ERP =&gt; SOUS-SEGMENT'!$C$8:$C$154=$C42)*'ANALYSE - ERP =&gt; SOUS-SEGMENT'!$Q$8:$Q$154*'ANALYSE - ERP =&gt; SOUS-SEGMENT'!$FH$8:$FH$154*'ANALYSE - ERP =&gt; SOUS-SEGMENT'!$JQ$8:$JQ$154)/SUMPRODUCT(('ANALYSE - ERP =&gt; SOUS-SEGMENT'!$C$8:$C$154=$C42)*'ANALYSE - ERP =&gt; SOUS-SEGMENT'!$Q$8:$Q$154*'ANALYSE - ERP =&gt; SOUS-SEGMENT'!$FH$8:$FH$154),0)</f>
        <v>0</v>
      </c>
      <c r="JO42" s="733">
        <f>IFERROR(SUMPRODUCT(('ANALYSE - ERP =&gt; SOUS-SEGMENT'!$C$8:$C$154=$C42)*'ANALYSE - ERP =&gt; SOUS-SEGMENT'!$Q$8:$Q$154*'ANALYSE - ERP =&gt; SOUS-SEGMENT'!$FH$8:$FH$154*'ANALYSE - ERP =&gt; SOUS-SEGMENT'!$JR$8:$JR$154)/SUMPRODUCT(('ANALYSE - ERP =&gt; SOUS-SEGMENT'!$C$8:$C$154=$C42)*'ANALYSE - ERP =&gt; SOUS-SEGMENT'!$Q$8:$Q$154*'ANALYSE - ERP =&gt; SOUS-SEGMENT'!$FH$8:$FH$154),0)</f>
        <v>0</v>
      </c>
      <c r="JP42" s="733">
        <f>IFERROR(SUMPRODUCT(('ANALYSE - ERP =&gt; SOUS-SEGMENT'!$C$8:$C$154=$C42)*'ANALYSE - ERP =&gt; SOUS-SEGMENT'!$Q$8:$Q$154*'ANALYSE - ERP =&gt; SOUS-SEGMENT'!$BH$8:$BH$154*'ANALYSE - ERP =&gt; SOUS-SEGMENT'!$JS$8:$JS$154)/SUMPRODUCT(('ANALYSE - ERP =&gt; SOUS-SEGMENT'!$C$8:$C$154=$C42)*'ANALYSE - ERP =&gt; SOUS-SEGMENT'!$Q$8:$Q$154*'ANALYSE - ERP =&gt; SOUS-SEGMENT'!$BH$8:$BH$154),0)</f>
        <v>0</v>
      </c>
      <c r="JQ42" s="733">
        <f>IFERROR(SUMPRODUCT(('ANALYSE - ERP =&gt; SOUS-SEGMENT'!$C$8:$C$154=$C42)*'ANALYSE - ERP =&gt; SOUS-SEGMENT'!$Q$8:$Q$154*'ANALYSE - ERP =&gt; SOUS-SEGMENT'!$BH$8:$BH$154*'ANALYSE - ERP =&gt; SOUS-SEGMENT'!$JT$8:$JT$154)/SUMPRODUCT(('ANALYSE - ERP =&gt; SOUS-SEGMENT'!$C$8:$C$154=$C42)*'ANALYSE - ERP =&gt; SOUS-SEGMENT'!$Q$8:$Q$154*'ANALYSE - ERP =&gt; SOUS-SEGMENT'!$BH$8:$BH$154),0)</f>
        <v>0</v>
      </c>
      <c r="JR42" s="733">
        <f>IFERROR(SUMPRODUCT(('ANALYSE - ERP =&gt; SOUS-SEGMENT'!$C$8:$C$154=$C42)*'ANALYSE - ERP =&gt; SOUS-SEGMENT'!$Q$8:$Q$154*'ANALYSE - ERP =&gt; SOUS-SEGMENT'!$BH$8:$BH$154*'ANALYSE - ERP =&gt; SOUS-SEGMENT'!$JU$8:$JU$154)/SUMPRODUCT(('ANALYSE - ERP =&gt; SOUS-SEGMENT'!$C$8:$C$154=$C42)*'ANALYSE - ERP =&gt; SOUS-SEGMENT'!$Q$8:$Q$154*'ANALYSE - ERP =&gt; SOUS-SEGMENT'!$BH$8:$BH$154),0)</f>
        <v>0</v>
      </c>
      <c r="JS42" s="733">
        <f>IFERROR(SUMPRODUCT(('ANALYSE - ERP =&gt; SOUS-SEGMENT'!$C$8:$C$154=$C42)*'ANALYSE - ERP =&gt; SOUS-SEGMENT'!$Q$8:$Q$154*'ANALYSE - ERP =&gt; SOUS-SEGMENT'!$BH$8:$BH$154*'ANALYSE - ERP =&gt; SOUS-SEGMENT'!$JV$8:$JV$154)/SUMPRODUCT(('ANALYSE - ERP =&gt; SOUS-SEGMENT'!$C$8:$C$154=$C42)*'ANALYSE - ERP =&gt; SOUS-SEGMENT'!$Q$8:$Q$154*'ANALYSE - ERP =&gt; SOUS-SEGMENT'!$BH$8:$BH$154),0)</f>
        <v>0</v>
      </c>
      <c r="JT42" s="733">
        <f>IFERROR(SUMPRODUCT(('ANALYSE - ERP =&gt; SOUS-SEGMENT'!$C$8:$C$154=$C42)*'ANALYSE - ERP =&gt; SOUS-SEGMENT'!$Q$8:$Q$154*'ANALYSE - ERP =&gt; SOUS-SEGMENT'!$BH$8:$BH$154*'ANALYSE - ERP =&gt; SOUS-SEGMENT'!$JW$8:$JW$154)/SUMPRODUCT(('ANALYSE - ERP =&gt; SOUS-SEGMENT'!$C$8:$C$154=$C42)*'ANALYSE - ERP =&gt; SOUS-SEGMENT'!$Q$8:$Q$154*'ANALYSE - ERP =&gt; SOUS-SEGMENT'!$BH$8:$BH$154),0)</f>
        <v>0</v>
      </c>
      <c r="JU42" s="733">
        <f>IFERROR(SUMPRODUCT(('ANALYSE - ERP =&gt; SOUS-SEGMENT'!$C$8:$C$154=$C42)*'ANALYSE - ERP =&gt; SOUS-SEGMENT'!$Q$8:$Q$154*'ANALYSE - ERP =&gt; SOUS-SEGMENT'!$FK$8:$FK$154*'ANALYSE - ERP =&gt; SOUS-SEGMENT'!$JX$8:$JX$154)/SUMPRODUCT(('ANALYSE - ERP =&gt; SOUS-SEGMENT'!$C$8:$C$154=$C42)*'ANALYSE - ERP =&gt; SOUS-SEGMENT'!$Q$8:$Q$154*'ANALYSE - ERP =&gt; SOUS-SEGMENT'!$FK$8:$FK$154),0)</f>
        <v>0</v>
      </c>
      <c r="JV42" s="733">
        <f>IFERROR(SUMPRODUCT(('ANALYSE - ERP =&gt; SOUS-SEGMENT'!$C$8:$C$154=$C42)*'ANALYSE - ERP =&gt; SOUS-SEGMENT'!$Q$8:$Q$154*'ANALYSE - ERP =&gt; SOUS-SEGMENT'!$FK$8:$FK$154*'ANALYSE - ERP =&gt; SOUS-SEGMENT'!$JY$8:$JY$154)/SUMPRODUCT(('ANALYSE - ERP =&gt; SOUS-SEGMENT'!$C$8:$C$154=$C42)*'ANALYSE - ERP =&gt; SOUS-SEGMENT'!$Q$8:$Q$154*'ANALYSE - ERP =&gt; SOUS-SEGMENT'!$FK$8:$FK$154),0)</f>
        <v>0</v>
      </c>
      <c r="JW42" s="733">
        <f>IFERROR(SUMPRODUCT(('ANALYSE - ERP =&gt; SOUS-SEGMENT'!$C$8:$C$154=$C42)*'ANALYSE - ERP =&gt; SOUS-SEGMENT'!$Q$8:$Q$154*'ANALYSE - ERP =&gt; SOUS-SEGMENT'!$FK$8:$FK$154*'ANALYSE - ERP =&gt; SOUS-SEGMENT'!$JZ$8:$JZ$154)/SUMPRODUCT(('ANALYSE - ERP =&gt; SOUS-SEGMENT'!$C$8:$C$154=$C42)*'ANALYSE - ERP =&gt; SOUS-SEGMENT'!$Q$8:$Q$154*'ANALYSE - ERP =&gt; SOUS-SEGMENT'!$FK$8:$FK$154),0)</f>
        <v>0</v>
      </c>
      <c r="JX42" s="733">
        <f>IFERROR(SUMPRODUCT(('ANALYSE - ERP =&gt; SOUS-SEGMENT'!$C$8:$C$154=$C42)*'ANALYSE - ERP =&gt; SOUS-SEGMENT'!$Q$8:$Q$154*'ANALYSE - ERP =&gt; SOUS-SEGMENT'!$FK$8:$FK$154*'ANALYSE - ERP =&gt; SOUS-SEGMENT'!$KA$8:$KA$154)/SUMPRODUCT(('ANALYSE - ERP =&gt; SOUS-SEGMENT'!$C$8:$C$154=$C42)*'ANALYSE - ERP =&gt; SOUS-SEGMENT'!$Q$8:$Q$154*'ANALYSE - ERP =&gt; SOUS-SEGMENT'!$FK$8:$FK$154),0)</f>
        <v>0</v>
      </c>
      <c r="JY42" s="733">
        <f>IFERROR(SUMPRODUCT(('ANALYSE - ERP =&gt; SOUS-SEGMENT'!$C$8:$C$154=$C42)*'ANALYSE - ERP =&gt; SOUS-SEGMENT'!$Q$8:$Q$154*'ANALYSE - ERP =&gt; SOUS-SEGMENT'!$FK$8:$FK$154*'ANALYSE - ERP =&gt; SOUS-SEGMENT'!$KB$8:$KB$154)/SUMPRODUCT(('ANALYSE - ERP =&gt; SOUS-SEGMENT'!$C$8:$C$154=$C42)*'ANALYSE - ERP =&gt; SOUS-SEGMENT'!$Q$8:$Q$154*'ANALYSE - ERP =&gt; SOUS-SEGMENT'!$FK$8:$FK$154),0)</f>
        <v>0</v>
      </c>
      <c r="JZ42" s="657"/>
      <c r="KA42" s="643" t="s">
        <v>2590</v>
      </c>
      <c r="KB42" s="643" t="s">
        <v>2591</v>
      </c>
      <c r="KC42" s="912">
        <f>IFERROR(SUMPRODUCT(('ANALYSE - ERP =&gt; SOUS-SEGMENT'!$C$8:$C$154=$C43)*'ANALYSE - ERP =&gt; SOUS-SEGMENT'!$Q$8:$Q$154*'ANALYSE - ERP =&gt; SOUS-SEGMENT'!$EX$8:$EX$154*'ANALYSE - ERP =&gt; SOUS-SEGMENT'!$KF$8:$KF$154)/SUMPRODUCT(('ANALYSE - ERP =&gt; SOUS-SEGMENT'!$C$8:$C$154=$C43)*'ANALYSE - ERP =&gt; SOUS-SEGMENT'!$Q$8:$Q$154*'ANALYSE - ERP =&gt; SOUS-SEGMENT'!$EX$8:$EX$154),"")</f>
        <v>4.13</v>
      </c>
      <c r="KD42" s="643" t="s">
        <v>2589</v>
      </c>
      <c r="KE42" s="644" t="s">
        <v>3523</v>
      </c>
      <c r="KF42" s="643" t="s">
        <v>6760</v>
      </c>
      <c r="KG42" s="644" t="s">
        <v>6760</v>
      </c>
    </row>
    <row r="43" spans="1:293" s="933" customFormat="1" ht="48" customHeight="1">
      <c r="A43" s="623">
        <v>34</v>
      </c>
      <c r="B43" s="624" t="s">
        <v>2285</v>
      </c>
      <c r="C43" s="624" t="s">
        <v>7516</v>
      </c>
      <c r="D43" s="624" t="s">
        <v>7517</v>
      </c>
      <c r="E43" s="625" t="s">
        <v>2289</v>
      </c>
      <c r="F43" s="625" t="s">
        <v>4838</v>
      </c>
      <c r="G43" s="625" t="s">
        <v>4083</v>
      </c>
      <c r="H43" s="625" t="s">
        <v>2109</v>
      </c>
      <c r="I43" s="290" t="s">
        <v>7518</v>
      </c>
      <c r="J43" s="290" t="s">
        <v>7519</v>
      </c>
      <c r="K43" s="626" t="s">
        <v>2117</v>
      </c>
      <c r="L43" s="626" t="s">
        <v>2117</v>
      </c>
      <c r="M43" s="626" t="s">
        <v>7520</v>
      </c>
      <c r="N43" s="626" t="s">
        <v>6742</v>
      </c>
      <c r="O43" s="625" t="s">
        <v>2616</v>
      </c>
      <c r="P43" s="290"/>
      <c r="Q43" s="627">
        <f>IF(SUMPRODUCT(('ANALYSE - ERP =&gt; SOUS-SEGMENT'!$C$8:$C$154=$C43)*'ANALYSE - ERP =&gt; SOUS-SEGMENT'!$Q$8:$Q$154)&gt;0,1,0)</f>
        <v>1</v>
      </c>
      <c r="R43" s="280">
        <f>IFERROR(SUMPRODUCT(('ANALYSE - ERP =&gt; SOUS-SEGMENT'!$C$8:$C$154=$C43)*'ANALYSE - ERP =&gt; SOUS-SEGMENT'!$Q$8:$Q$154*'ANALYSE - ERP =&gt; SOUS-SEGMENT'!$AG$8:$AG$154*'ANALYSE - ERP =&gt; SOUS-SEGMENT'!$R$8:$R$154)/SUMPRODUCT(('ANALYSE - ERP =&gt; SOUS-SEGMENT'!$C$8:$C$154=$C43)*'ANALYSE - ERP =&gt; SOUS-SEGMENT'!$Q$8:$Q$154*'ANALYSE - ERP =&gt; SOUS-SEGMENT'!$AG$8:$AG$154),"")</f>
        <v>169.85374771480804</v>
      </c>
      <c r="S43" s="628">
        <f>SUMPRODUCT(('ANALYSE - ERP =&gt; SOUS-SEGMENT'!$C$8:$C$154=$C43)*'ANALYSE - ERP =&gt; SOUS-SEGMENT'!$Q$8:$Q$154*'ANALYSE - ERP =&gt; SOUS-SEGMENT'!$S$8:$S$154)</f>
        <v>11315</v>
      </c>
      <c r="T43" s="628">
        <f>SUMPRODUCT(('ANALYSE - ERP =&gt; SOUS-SEGMENT'!$C$8:$C$154=$C43)*'ANALYSE - ERP =&gt; SOUS-SEGMENT'!$Q$8:$Q$154*'ANALYSE - ERP =&gt; SOUS-SEGMENT'!$T$8:$T$154)</f>
        <v>11800</v>
      </c>
      <c r="U43" s="628">
        <f>SUMPRODUCT(('ANALYSE - ERP =&gt; SOUS-SEGMENT'!$C$8:$C$154=$C43)*'ANALYSE - ERP =&gt; SOUS-SEGMENT'!$Q$8:$Q$154*'ANALYSE - ERP =&gt; SOUS-SEGMENT'!$U$8:$U$154)</f>
        <v>12372</v>
      </c>
      <c r="V43" s="628">
        <f>SUMPRODUCT(('ANALYSE - ERP =&gt; SOUS-SEGMENT'!$C$8:$C$154=$C43)*'ANALYSE - ERP =&gt; SOUS-SEGMENT'!$Q$8:$Q$154*'ANALYSE - ERP =&gt; SOUS-SEGMENT'!$V$8:$V$154)</f>
        <v>12913</v>
      </c>
      <c r="W43" s="628">
        <f>SUMPRODUCT(('ANALYSE - ERP =&gt; SOUS-SEGMENT'!$C$8:$C$154=$C43)*'ANALYSE - ERP =&gt; SOUS-SEGMENT'!$Q$8:$Q$154*'ANALYSE - ERP =&gt; SOUS-SEGMENT'!$W$8:$W$154)</f>
        <v>13039</v>
      </c>
      <c r="X43" s="628">
        <f>SUMPRODUCT(('ANALYSE - ERP =&gt; SOUS-SEGMENT'!$C$8:$C$154=$C43)*'ANALYSE - ERP =&gt; SOUS-SEGMENT'!$Q$8:$Q$154*'ANALYSE - ERP =&gt; SOUS-SEGMENT'!$X$8:$X$154)</f>
        <v>13170</v>
      </c>
      <c r="Y43" s="628">
        <f>SUMPRODUCT(('ANALYSE - ERP =&gt; SOUS-SEGMENT'!$C$8:$C$154=$C43)*'ANALYSE - ERP =&gt; SOUS-SEGMENT'!$Q$8:$Q$154*'ANALYSE - ERP =&gt; SOUS-SEGMENT'!$Y$8:$Y$154)</f>
        <v>13301</v>
      </c>
      <c r="Z43" s="628">
        <f>SUMPRODUCT(('ANALYSE - ERP =&gt; SOUS-SEGMENT'!$C$8:$C$154=$C43)*'ANALYSE - ERP =&gt; SOUS-SEGMENT'!$Q$8:$Q$154*'ANALYSE - ERP =&gt; SOUS-SEGMENT'!$Z$8:$Z$154)</f>
        <v>13481</v>
      </c>
      <c r="AA43" s="628">
        <f>SUMPRODUCT(('ANALYSE - ERP =&gt; SOUS-SEGMENT'!$C$8:$C$154=$C43)*'ANALYSE - ERP =&gt; SOUS-SEGMENT'!$Q$8:$Q$154*'ANALYSE - ERP =&gt; SOUS-SEGMENT'!$AA$8:$AA$154)</f>
        <v>12888</v>
      </c>
      <c r="AB43" s="628">
        <f>SUMPRODUCT(('ANALYSE - ERP =&gt; SOUS-SEGMENT'!$C$8:$C$154=$C43)*'ANALYSE - ERP =&gt; SOUS-SEGMENT'!$Q$8:$Q$154*'ANALYSE - ERP =&gt; SOUS-SEGMENT'!$AB$8:$AB$154)</f>
        <v>13030</v>
      </c>
      <c r="AC43" s="628">
        <f>SUMPRODUCT(('ANALYSE - ERP =&gt; SOUS-SEGMENT'!$C$8:$C$154=$C43)*'ANALYSE - ERP =&gt; SOUS-SEGMENT'!$Q$8:$Q$154*'ANALYSE - ERP =&gt; SOUS-SEGMENT'!$AC$8:$AC$154)</f>
        <v>13161</v>
      </c>
      <c r="AD43" s="628">
        <f>SUMPRODUCT(('ANALYSE - ERP =&gt; SOUS-SEGMENT'!$C$8:$C$154=$C43)*'ANALYSE - ERP =&gt; SOUS-SEGMENT'!$Q$8:$Q$154*'ANALYSE - ERP =&gt; SOUS-SEGMENT'!$AD$8:$AD$154)</f>
        <v>13343</v>
      </c>
      <c r="AE43" s="628">
        <f>SUMPRODUCT(('ANALYSE - ERP =&gt; SOUS-SEGMENT'!$C$8:$C$154=$C43)*'ANALYSE - ERP =&gt; SOUS-SEGMENT'!$Q$8:$Q$154*'ANALYSE - ERP =&gt; SOUS-SEGMENT'!$AE$8:$AE$154)</f>
        <v>13459</v>
      </c>
      <c r="AF43" s="628">
        <f>SUMPRODUCT(('ANALYSE - ERP =&gt; SOUS-SEGMENT'!$C$8:$C$154=$C43)*'ANALYSE - ERP =&gt; SOUS-SEGMENT'!$Q$8:$Q$154*'ANALYSE - ERP =&gt; SOUS-SEGMENT'!$AF$8:$AF$154)</f>
        <v>13586</v>
      </c>
      <c r="AG43" s="628">
        <f>SUMPRODUCT(('ANALYSE - ERP =&gt; SOUS-SEGMENT'!$C$8:$C$154=$C43)*'ANALYSE - ERP =&gt; SOUS-SEGMENT'!$Q$8:$Q$154*'ANALYSE - ERP =&gt; SOUS-SEGMENT'!$AG$8:$AG$154)</f>
        <v>13675</v>
      </c>
      <c r="AH43" s="628">
        <f>SUMPRODUCT(('ANALYSE - ERP =&gt; SOUS-SEGMENT'!$C$8:$C$154=$C43)*'ANALYSE - ERP =&gt; SOUS-SEGMENT'!$Q$8:$Q$154*'ANALYSE - ERP =&gt; SOUS-SEGMENT'!$AH$8:$AH$154)</f>
        <v>13764</v>
      </c>
      <c r="AI43" s="628">
        <f>SUMPRODUCT(('ANALYSE - ERP =&gt; SOUS-SEGMENT'!$C$8:$C$154=$C43)*'ANALYSE - ERP =&gt; SOUS-SEGMENT'!$Q$8:$Q$154*'ANALYSE - ERP =&gt; SOUS-SEGMENT'!$AI$8:$AI$154)</f>
        <v>13853</v>
      </c>
      <c r="AJ43" s="628">
        <f>SUMPRODUCT(('ANALYSE - ERP =&gt; SOUS-SEGMENT'!$C$8:$C$154=$C43)*'ANALYSE - ERP =&gt; SOUS-SEGMENT'!$Q$8:$Q$154*'ANALYSE - ERP =&gt; SOUS-SEGMENT'!$AJ$8:$AJ$154)</f>
        <v>13942</v>
      </c>
      <c r="AK43" s="628">
        <f>SUMPRODUCT(('ANALYSE - ERP =&gt; SOUS-SEGMENT'!$C$8:$C$154=$C43)*'ANALYSE - ERP =&gt; SOUS-SEGMENT'!$Q$8:$Q$154*'ANALYSE - ERP =&gt; SOUS-SEGMENT'!$AK$8:$AK$154)</f>
        <v>14031</v>
      </c>
      <c r="AL43" s="290" t="s">
        <v>7471</v>
      </c>
      <c r="AM43" s="290" t="s">
        <v>7472</v>
      </c>
      <c r="AN43" s="290"/>
      <c r="AO43" s="657"/>
      <c r="AP43" s="280">
        <f>IFERROR(SUMPRODUCT(('ANALYSE - ERP =&gt; SOUS-SEGMENT'!$C$8:$C$154=$C43)*'ANALYSE - ERP =&gt; SOUS-SEGMENT'!$Q$8:$Q$154*'ANALYSE - ERP =&gt; SOUS-SEGMENT'!$AG$8:$AG$154*'ANALYSE - ERP =&gt; SOUS-SEGMENT'!$AP$8:$AP$154)/SUMPRODUCT(('ANALYSE - ERP =&gt; SOUS-SEGMENT'!$C$8:$C$154=$C43)*'ANALYSE - ERP =&gt; SOUS-SEGMENT'!$Q$8:$Q$154*'ANALYSE - ERP =&gt; SOUS-SEGMENT'!$AG$8:$AG$154),"")</f>
        <v>181.32650822669103</v>
      </c>
      <c r="AQ43" s="280">
        <f>IFERROR(SUMPRODUCT(('ANALYSE - ERP =&gt; SOUS-SEGMENT'!$C$8:$C$154=$C43)*'ANALYSE - ERP =&gt; SOUS-SEGMENT'!$Q$8:$Q$154*'ANALYSE - ERP =&gt; SOUS-SEGMENT'!$AF$8:$AF$154*'ANALYSE - ERP =&gt; SOUS-SEGMENT'!$AQ$8:$AQ$154)/SUMPRODUCT(('ANALYSE - ERP =&gt; SOUS-SEGMENT'!$C$8:$C$154=$C43)*'ANALYSE - ERP =&gt; SOUS-SEGMENT'!$Q$8:$Q$154*'ANALYSE - ERP =&gt; SOUS-SEGMENT'!$AF$8:$AF$154),"")</f>
        <v>171.30870013248932</v>
      </c>
      <c r="AR43" s="280">
        <f>IFERROR(SUMPRODUCT(('ANALYSE - ERP =&gt; SOUS-SEGMENT'!$C$8:$C$154=$C43)*'ANALYSE - ERP =&gt; SOUS-SEGMENT'!$Q$8:$Q$154*'ANALYSE - ERP =&gt; SOUS-SEGMENT'!$AF$8:$AF$154*'ANALYSE - ERP =&gt; SOUS-SEGMENT'!$AR$8:$AR$154)/SUMPRODUCT(('ANALYSE - ERP =&gt; SOUS-SEGMENT'!$C$8:$C$154=$C43)*'ANALYSE - ERP =&gt; SOUS-SEGMENT'!$Q$8:$Q$154*'ANALYSE - ERP =&gt; SOUS-SEGMENT'!$AF$8:$AF$154),"")</f>
        <v>8.2047696157809504</v>
      </c>
      <c r="AS43" s="280">
        <f>IFERROR(SUMPRODUCT(('ANALYSE - ERP =&gt; SOUS-SEGMENT'!$C$8:$C$154=$C43)*'ANALYSE - ERP =&gt; SOUS-SEGMENT'!$Q$8:$Q$154*'ANALYSE - ERP =&gt; SOUS-SEGMENT'!$AF$8:$AF$154*'ANALYSE - ERP =&gt; SOUS-SEGMENT'!$AS$8:$AS$154)/SUMPRODUCT(('ANALYSE - ERP =&gt; SOUS-SEGMENT'!$C$8:$C$154=$C43)*'ANALYSE - ERP =&gt; SOUS-SEGMENT'!$Q$8:$Q$154*'ANALYSE - ERP =&gt; SOUS-SEGMENT'!$AF$8:$AF$154),"")</f>
        <v>1.5405564551744442</v>
      </c>
      <c r="AT43" s="657" t="s">
        <v>7521</v>
      </c>
      <c r="AU43" s="301" t="s">
        <v>7522</v>
      </c>
      <c r="AV43" s="302" t="s">
        <v>2609</v>
      </c>
      <c r="AW43" s="301"/>
      <c r="AX43" s="657"/>
      <c r="AY43" s="303">
        <f>IFERROR(SUMPRODUCT(('ANALYSE - ERP =&gt; SOUS-SEGMENT'!$C$8:$C$154=$C43)*'ANALYSE - ERP =&gt; SOUS-SEGMENT'!$Q$8:$Q$154*'ANALYSE - ERP =&gt; SOUS-SEGMENT'!$AF$8:$AF$154*'ANALYSE - ERP =&gt; SOUS-SEGMENT'!$AZ$8:$AZ$154)/SUMPRODUCT(('ANALYSE - ERP =&gt; SOUS-SEGMENT'!$C$8:$C$154=$C43)*'ANALYSE - ERP =&gt; SOUS-SEGMENT'!$Q$8:$Q$154*'ANALYSE - ERP =&gt; SOUS-SEGMENT'!$AF$8:$AF$154),"")</f>
        <v>2.0192845576328575</v>
      </c>
      <c r="AZ43" s="948">
        <f>IFERROR(SUMPRODUCT(('ANALYSE - ERP =&gt; SOUS-SEGMENT'!$C$8:$C$154=$C43)*'ANALYSE - ERP =&gt; SOUS-SEGMENT'!$Q$8:$Q$154*'ANALYSE - ERP =&gt; SOUS-SEGMENT'!$AF$8:$AF$154*'ANALYSE - ERP =&gt; SOUS-SEGMENT'!$BA$8:$BA$154)/SUMPRODUCT(('ANALYSE - ERP =&gt; SOUS-SEGMENT'!$C$8:$C$154=$C43)*'ANALYSE - ERP =&gt; SOUS-SEGMENT'!$Q$8:$Q$154*'ANALYSE - ERP =&gt; SOUS-SEGMENT'!$AF$8:$AF$154),"")</f>
        <v>5.0640365081701749E-2</v>
      </c>
      <c r="BA43" s="303">
        <f>IFERROR(SUMPRODUCT(('ANALYSE - ERP =&gt; SOUS-SEGMENT'!$C$8:$C$154=$C43)*'ANALYSE - ERP =&gt; SOUS-SEGMENT'!$Q$8:$Q$154*'ANALYSE - ERP =&gt; SOUS-SEGMENT'!$AF$8:$AF$154*'ANALYSE - ERP =&gt; SOUS-SEGMENT'!$BB$8:$BB$154)/SUMPRODUCT(('ANALYSE - ERP =&gt; SOUS-SEGMENT'!$C$8:$C$154=$C43)*'ANALYSE - ERP =&gt; SOUS-SEGMENT'!$Q$8:$Q$154*'ANALYSE - ERP =&gt; SOUS-SEGMENT'!$AF$8:$AF$154),"")</f>
        <v>2.5320182540850875E-2</v>
      </c>
      <c r="BB43" s="303">
        <f>IFERROR(SUMPRODUCT(('ANALYSE - ERP =&gt; SOUS-SEGMENT'!$C$8:$C$154=$C43)*'ANALYSE - ERP =&gt; SOUS-SEGMENT'!$Q$8:$Q$154*'ANALYSE - ERP =&gt; SOUS-SEGMENT'!$AF$8:$AF$154*'ANALYSE - ERP =&gt; SOUS-SEGMENT'!$BC$8:$BC$154)/SUMPRODUCT(('ANALYSE - ERP =&gt; SOUS-SEGMENT'!$C$8:$C$154=$C43)*'ANALYSE - ERP =&gt; SOUS-SEGMENT'!$Q$8:$Q$154*'ANALYSE - ERP =&gt; SOUS-SEGMENT'!$AF$8:$AF$154),"")</f>
        <v>2.0192845576328575</v>
      </c>
      <c r="BC43" s="304">
        <f>SUMPRODUCT(('ANALYSE - ERP =&gt; SOUS-SEGMENT'!$C$8:$C$154=$C43)*'ANALYSE - ERP =&gt; SOUS-SEGMENT'!$Q$8:$Q$154*'ANALYSE - ERP =&gt; SOUS-SEGMENT'!$BE$8:$BE$154)</f>
        <v>27434</v>
      </c>
      <c r="BD43" s="304">
        <f>SUMPRODUCT(('ANALYSE - ERP =&gt; SOUS-SEGMENT'!$C$8:$C$154=$C43)*'ANALYSE - ERP =&gt; SOUS-SEGMENT'!$Q$8:$Q$154*'ANALYSE - ERP =&gt; SOUS-SEGMENT'!$BF$8:$BF$154)</f>
        <v>688</v>
      </c>
      <c r="BE43" s="304">
        <f>SUMPRODUCT(('ANALYSE - ERP =&gt; SOUS-SEGMENT'!$C$8:$C$154=$C43)*'ANALYSE - ERP =&gt; SOUS-SEGMENT'!$Q$8:$Q$154*'ANALYSE - ERP =&gt; SOUS-SEGMENT'!$BG$8:$BG$154)</f>
        <v>344</v>
      </c>
      <c r="BF43" s="304">
        <f>SUMPRODUCT(('ANALYSE - ERP =&gt; SOUS-SEGMENT'!$C$8:$C$154=$C43)*'ANALYSE - ERP =&gt; SOUS-SEGMENT'!$Q$8:$Q$154*'ANALYSE - ERP =&gt; SOUS-SEGMENT'!$BH$8:$BH$154)</f>
        <v>27434</v>
      </c>
      <c r="BG43" s="304">
        <f>SUMPRODUCT(('ANALYSE - ERP =&gt; SOUS-SEGMENT'!$C$8:$C$154=$C43)*'ANALYSE - ERP =&gt; SOUS-SEGMENT'!$Q$8:$Q$154*'ANALYSE - ERP =&gt; SOUS-SEGMENT'!$BJ$8:$BJ$154)</f>
        <v>28524</v>
      </c>
      <c r="BH43" s="304">
        <f>SUMPRODUCT(('ANALYSE - ERP =&gt; SOUS-SEGMENT'!$C$8:$C$154=$C43)*'ANALYSE - ERP =&gt; SOUS-SEGMENT'!$Q$8:$Q$154*'ANALYSE - ERP =&gt; SOUS-SEGMENT'!$BK$8:$BK$154)</f>
        <v>728</v>
      </c>
      <c r="BI43" s="304">
        <f>SUMPRODUCT(('ANALYSE - ERP =&gt; SOUS-SEGMENT'!$C$8:$C$154=$C43)*'ANALYSE - ERP =&gt; SOUS-SEGMENT'!$Q$8:$Q$154*'ANALYSE - ERP =&gt; SOUS-SEGMENT'!$BL$8:$BL$154)</f>
        <v>364</v>
      </c>
      <c r="BJ43" s="304">
        <f>SUMPRODUCT(('ANALYSE - ERP =&gt; SOUS-SEGMENT'!$C$8:$C$154=$C43)*'ANALYSE - ERP =&gt; SOUS-SEGMENT'!$Q$8:$Q$154*'ANALYSE - ERP =&gt; SOUS-SEGMENT'!$BM$8:$BM$154)</f>
        <v>28524</v>
      </c>
      <c r="BK43" s="657"/>
      <c r="BL43" s="284">
        <f>IFERROR(SUMPRODUCT(('ANALYSE - ERP =&gt; SOUS-SEGMENT'!$C$8:$C$154=$C43)*'ANALYSE - ERP =&gt; SOUS-SEGMENT'!$Q$8:$Q$154*'ANALYSE - ERP =&gt; SOUS-SEGMENT'!$BE$8:$BE$154*'ANALYSE - ERP =&gt; SOUS-SEGMENT'!$BO$8:$BO$154)/SUMPRODUCT(('ANALYSE - ERP =&gt; SOUS-SEGMENT'!$C$8:$C$154=$C43)*'ANALYSE - ERP =&gt; SOUS-SEGMENT'!$Q$8:$Q$154*'ANALYSE - ERP =&gt; SOUS-SEGMENT'!$BE$8:$BE$154),"")</f>
        <v>0.1</v>
      </c>
      <c r="BM43" s="284">
        <f>IFERROR(SUMPRODUCT(('ANALYSE - ERP =&gt; SOUS-SEGMENT'!$C$8:$C$154=$C43)*'ANALYSE - ERP =&gt; SOUS-SEGMENT'!$Q$8:$Q$154*'ANALYSE - ERP =&gt; SOUS-SEGMENT'!$BE$8:$BE$154*'ANALYSE - ERP =&gt; SOUS-SEGMENT'!$BP$8:$BP$154)/SUMPRODUCT(('ANALYSE - ERP =&gt; SOUS-SEGMENT'!$C$8:$C$154=$C43)*'ANALYSE - ERP =&gt; SOUS-SEGMENT'!$Q$8:$Q$154*'ANALYSE - ERP =&gt; SOUS-SEGMENT'!$BE$8:$BE$154),"")</f>
        <v>0.7599999999999999</v>
      </c>
      <c r="BN43" s="284">
        <f>IFERROR(SUMPRODUCT(('ANALYSE - ERP =&gt; SOUS-SEGMENT'!$C$8:$C$154=$C43)*'ANALYSE - ERP =&gt; SOUS-SEGMENT'!$Q$8:$Q$154*'ANALYSE - ERP =&gt; SOUS-SEGMENT'!$BE$8:$BE$154*'ANALYSE - ERP =&gt; SOUS-SEGMENT'!$BQ$8:$BQ$154)/SUMPRODUCT(('ANALYSE - ERP =&gt; SOUS-SEGMENT'!$C$8:$C$154=$C43)*'ANALYSE - ERP =&gt; SOUS-SEGMENT'!$Q$8:$Q$154*'ANALYSE - ERP =&gt; SOUS-SEGMENT'!$BE$8:$BE$154),"")</f>
        <v>8.0000000000000016E-2</v>
      </c>
      <c r="BO43" s="284">
        <f>IFERROR(SUMPRODUCT(('ANALYSE - ERP =&gt; SOUS-SEGMENT'!$C$8:$C$154=$C43)*'ANALYSE - ERP =&gt; SOUS-SEGMENT'!$Q$8:$Q$154*'ANALYSE - ERP =&gt; SOUS-SEGMENT'!$BE$8:$BE$154*'ANALYSE - ERP =&gt; SOUS-SEGMENT'!$BR$8:$BR$154)/SUMPRODUCT(('ANALYSE - ERP =&gt; SOUS-SEGMENT'!$C$8:$C$154=$C43)*'ANALYSE - ERP =&gt; SOUS-SEGMENT'!$Q$8:$Q$154*'ANALYSE - ERP =&gt; SOUS-SEGMENT'!$BE$8:$BE$154),"")</f>
        <v>0.06</v>
      </c>
      <c r="BP43" s="284">
        <f>IFERROR(SUMPRODUCT(('ANALYSE - ERP =&gt; SOUS-SEGMENT'!$C$8:$C$154=$C43)*'ANALYSE - ERP =&gt; SOUS-SEGMENT'!$Q$8:$Q$154*'ANALYSE - ERP =&gt; SOUS-SEGMENT'!$BJ$8:$BJ$154*'ANALYSE - ERP =&gt; SOUS-SEGMENT'!$BS$8:$BS$154)/SUMPRODUCT(('ANALYSE - ERP =&gt; SOUS-SEGMENT'!$C$8:$C$154=$C43)*'ANALYSE - ERP =&gt; SOUS-SEGMENT'!$Q$8:$Q$154*'ANALYSE - ERP =&gt; SOUS-SEGMENT'!$BJ$8:$BJ$154),"")</f>
        <v>0.08</v>
      </c>
      <c r="BQ43" s="284">
        <f>IFERROR(SUMPRODUCT(('ANALYSE - ERP =&gt; SOUS-SEGMENT'!$C$8:$C$154=$C43)*'ANALYSE - ERP =&gt; SOUS-SEGMENT'!$Q$8:$Q$154*'ANALYSE - ERP =&gt; SOUS-SEGMENT'!$BJ$8:$BJ$154*'ANALYSE - ERP =&gt; SOUS-SEGMENT'!$BT$8:$BT$154)/SUMPRODUCT(('ANALYSE - ERP =&gt; SOUS-SEGMENT'!$C$8:$C$154=$C43)*'ANALYSE - ERP =&gt; SOUS-SEGMENT'!$Q$8:$Q$154*'ANALYSE - ERP =&gt; SOUS-SEGMENT'!$BJ$8:$BJ$154),"")</f>
        <v>0.7599999999999999</v>
      </c>
      <c r="BR43" s="284">
        <f>IFERROR(SUMPRODUCT(('ANALYSE - ERP =&gt; SOUS-SEGMENT'!$C$8:$C$154=$C43)*'ANALYSE - ERP =&gt; SOUS-SEGMENT'!$Q$8:$Q$154*'ANALYSE - ERP =&gt; SOUS-SEGMENT'!$BJ$8:$BJ$154*'ANALYSE - ERP =&gt; SOUS-SEGMENT'!$BU$8:$BU$154)/SUMPRODUCT(('ANALYSE - ERP =&gt; SOUS-SEGMENT'!$C$8:$C$154=$C43)*'ANALYSE - ERP =&gt; SOUS-SEGMENT'!$Q$8:$Q$154*'ANALYSE - ERP =&gt; SOUS-SEGMENT'!$BJ$8:$BJ$154),"")</f>
        <v>0.1</v>
      </c>
      <c r="BS43" s="284">
        <f>IFERROR(SUMPRODUCT(('ANALYSE - ERP =&gt; SOUS-SEGMENT'!$C$8:$C$154=$C43)*'ANALYSE - ERP =&gt; SOUS-SEGMENT'!$Q$8:$Q$154*'ANALYSE - ERP =&gt; SOUS-SEGMENT'!$BJ$8:$BJ$154*'ANALYSE - ERP =&gt; SOUS-SEGMENT'!$BV$8:$BV$154)/SUMPRODUCT(('ANALYSE - ERP =&gt; SOUS-SEGMENT'!$C$8:$C$154=$C43)*'ANALYSE - ERP =&gt; SOUS-SEGMENT'!$Q$8:$Q$154*'ANALYSE - ERP =&gt; SOUS-SEGMENT'!$BJ$8:$BJ$154),"")</f>
        <v>6.0000000000000005E-2</v>
      </c>
      <c r="BT43" s="285">
        <f>IFERROR(SUMPRODUCT(('ANALYSE - ERP =&gt; SOUS-SEGMENT'!$C$8:$C$154=$C43)*'ANALYSE - ERP =&gt; SOUS-SEGMENT'!$Q$8:$Q$154*'ANALYSE - ERP =&gt; SOUS-SEGMENT'!$BF$8:$BF$154*'ANALYSE - ERP =&gt; SOUS-SEGMENT'!$BW$8:$BW$154)/SUMPRODUCT(('ANALYSE - ERP =&gt; SOUS-SEGMENT'!$C$8:$C$154=$C43)*'ANALYSE - ERP =&gt; SOUS-SEGMENT'!$Q$8:$Q$154*'ANALYSE - ERP =&gt; SOUS-SEGMENT'!$BF$8:$BF$154),"")</f>
        <v>0.15</v>
      </c>
      <c r="BU43" s="285">
        <f>IFERROR(SUMPRODUCT(('ANALYSE - ERP =&gt; SOUS-SEGMENT'!$C$8:$C$154=$C43)*'ANALYSE - ERP =&gt; SOUS-SEGMENT'!$Q$8:$Q$154*'ANALYSE - ERP =&gt; SOUS-SEGMENT'!$BF$8:$BF$154*'ANALYSE - ERP =&gt; SOUS-SEGMENT'!$BX$8:$BX$154)/SUMPRODUCT(('ANALYSE - ERP =&gt; SOUS-SEGMENT'!$C$8:$C$154=$C43)*'ANALYSE - ERP =&gt; SOUS-SEGMENT'!$Q$8:$Q$154*'ANALYSE - ERP =&gt; SOUS-SEGMENT'!$BF$8:$BF$154),"")</f>
        <v>0.79999999999999993</v>
      </c>
      <c r="BV43" s="285">
        <f>IFERROR(SUMPRODUCT(('ANALYSE - ERP =&gt; SOUS-SEGMENT'!$C$8:$C$154=$C43)*'ANALYSE - ERP =&gt; SOUS-SEGMENT'!$Q$8:$Q$154*'ANALYSE - ERP =&gt; SOUS-SEGMENT'!$BF$8:$BF$154*'ANALYSE - ERP =&gt; SOUS-SEGMENT'!$BY$8:$BY$154)/SUMPRODUCT(('ANALYSE - ERP =&gt; SOUS-SEGMENT'!$C$8:$C$154=$C43)*'ANALYSE - ERP =&gt; SOUS-SEGMENT'!$Q$8:$Q$154*'ANALYSE - ERP =&gt; SOUS-SEGMENT'!$BF$8:$BF$154),"")</f>
        <v>4.9999999999999996E-2</v>
      </c>
      <c r="BW43" s="285">
        <f>IFERROR(SUMPRODUCT(('ANALYSE - ERP =&gt; SOUS-SEGMENT'!$C$8:$C$154=$C43)*'ANALYSE - ERP =&gt; SOUS-SEGMENT'!$Q$8:$Q$154*'ANALYSE - ERP =&gt; SOUS-SEGMENT'!$BK$8:$BK$154*'ANALYSE - ERP =&gt; SOUS-SEGMENT'!$BZ$8:$BZ$154)/SUMPRODUCT(('ANALYSE - ERP =&gt; SOUS-SEGMENT'!$C$8:$C$154=$C43)*'ANALYSE - ERP =&gt; SOUS-SEGMENT'!$Q$8:$Q$154*'ANALYSE - ERP =&gt; SOUS-SEGMENT'!$BK$8:$BK$154),"")</f>
        <v>0.12</v>
      </c>
      <c r="BX43" s="285">
        <f>IFERROR(SUMPRODUCT(('ANALYSE - ERP =&gt; SOUS-SEGMENT'!$C$8:$C$154=$C43)*'ANALYSE - ERP =&gt; SOUS-SEGMENT'!$Q$8:$Q$154*'ANALYSE - ERP =&gt; SOUS-SEGMENT'!$BK$8:$BK$154*'ANALYSE - ERP =&gt; SOUS-SEGMENT'!$CA$8:$CA$154)/SUMPRODUCT(('ANALYSE - ERP =&gt; SOUS-SEGMENT'!$C$8:$C$154=$C43)*'ANALYSE - ERP =&gt; SOUS-SEGMENT'!$Q$8:$Q$154*'ANALYSE - ERP =&gt; SOUS-SEGMENT'!$BK$8:$BK$154),"")</f>
        <v>0.81999999999999984</v>
      </c>
      <c r="BY43" s="285">
        <f>IFERROR(SUMPRODUCT(('ANALYSE - ERP =&gt; SOUS-SEGMENT'!$C$8:$C$154=$C43)*'ANALYSE - ERP =&gt; SOUS-SEGMENT'!$Q$8:$Q$154*'ANALYSE - ERP =&gt; SOUS-SEGMENT'!$BK$8:$BK$154*'ANALYSE - ERP =&gt; SOUS-SEGMENT'!$CB$8:$CB$154)/SUMPRODUCT(('ANALYSE - ERP =&gt; SOUS-SEGMENT'!$C$8:$C$154=$C43)*'ANALYSE - ERP =&gt; SOUS-SEGMENT'!$Q$8:$Q$154*'ANALYSE - ERP =&gt; SOUS-SEGMENT'!$BK$8:$BK$154),"")</f>
        <v>0.06</v>
      </c>
      <c r="BZ43" s="284">
        <f>IFERROR(SUMPRODUCT(('ANALYSE - ERP =&gt; SOUS-SEGMENT'!$C$8:$C$154=$C43)*'ANALYSE - ERP =&gt; SOUS-SEGMENT'!$Q$8:$Q$154*'ANALYSE - ERP =&gt; SOUS-SEGMENT'!$BG$8:$BG$154*'ANALYSE - ERP =&gt; SOUS-SEGMENT'!$CC$8:$CC$154)/SUMPRODUCT(('ANALYSE - ERP =&gt; SOUS-SEGMENT'!$C$8:$C$154=$C43)*'ANALYSE - ERP =&gt; SOUS-SEGMENT'!$Q$8:$Q$154*'ANALYSE - ERP =&gt; SOUS-SEGMENT'!$BG$8:$BG$154),"")</f>
        <v>4.9999999999999996E-2</v>
      </c>
      <c r="CA43" s="284">
        <f>IFERROR(SUMPRODUCT(('ANALYSE - ERP =&gt; SOUS-SEGMENT'!$C$8:$C$154=$C43)*'ANALYSE - ERP =&gt; SOUS-SEGMENT'!$Q$8:$Q$154*'ANALYSE - ERP =&gt; SOUS-SEGMENT'!$BG$8:$BG$154*'ANALYSE - ERP =&gt; SOUS-SEGMENT'!$CD$8:$CD$154)/SUMPRODUCT(('ANALYSE - ERP =&gt; SOUS-SEGMENT'!$C$8:$C$154=$C43)*'ANALYSE - ERP =&gt; SOUS-SEGMENT'!$Q$8:$Q$154*'ANALYSE - ERP =&gt; SOUS-SEGMENT'!$BG$8:$BG$154),"")</f>
        <v>0.55000000000000004</v>
      </c>
      <c r="CB43" s="284">
        <f>IFERROR(SUMPRODUCT(('ANALYSE - ERP =&gt; SOUS-SEGMENT'!$C$8:$C$154=$C43)*'ANALYSE - ERP =&gt; SOUS-SEGMENT'!$Q$8:$Q$154*'ANALYSE - ERP =&gt; SOUS-SEGMENT'!$BG$8:$BG$154*'ANALYSE - ERP =&gt; SOUS-SEGMENT'!$CE$8:$CE$154)/SUMPRODUCT(('ANALYSE - ERP =&gt; SOUS-SEGMENT'!$C$8:$C$154=$C43)*'ANALYSE - ERP =&gt; SOUS-SEGMENT'!$Q$8:$Q$154*'ANALYSE - ERP =&gt; SOUS-SEGMENT'!$BG$8:$BG$154),"")</f>
        <v>9.9999999999999992E-2</v>
      </c>
      <c r="CC43" s="284">
        <f>IFERROR(SUMPRODUCT(('ANALYSE - ERP =&gt; SOUS-SEGMENT'!$C$8:$C$154=$C43)*'ANALYSE - ERP =&gt; SOUS-SEGMENT'!$Q$8:$Q$154*'ANALYSE - ERP =&gt; SOUS-SEGMENT'!$BG$8:$BG$154*'ANALYSE - ERP =&gt; SOUS-SEGMENT'!$CF$8:$CF$154)/SUMPRODUCT(('ANALYSE - ERP =&gt; SOUS-SEGMENT'!$C$8:$C$154=$C43)*'ANALYSE - ERP =&gt; SOUS-SEGMENT'!$Q$8:$Q$154*'ANALYSE - ERP =&gt; SOUS-SEGMENT'!$BG$8:$BG$154),"")</f>
        <v>0.3</v>
      </c>
      <c r="CD43" s="284">
        <f>IFERROR(SUMPRODUCT(('ANALYSE - ERP =&gt; SOUS-SEGMENT'!$C$8:$C$154=$C43)*'ANALYSE - ERP =&gt; SOUS-SEGMENT'!$Q$8:$Q$154*'ANALYSE - ERP =&gt; SOUS-SEGMENT'!$BL$8:$BL$154*'ANALYSE - ERP =&gt; SOUS-SEGMENT'!$CG$8:$CG$154)/SUMPRODUCT(('ANALYSE - ERP =&gt; SOUS-SEGMENT'!$C$8:$C$154=$C43)*'ANALYSE - ERP =&gt; SOUS-SEGMENT'!$Q$8:$Q$154*'ANALYSE - ERP =&gt; SOUS-SEGMENT'!$BL$8:$BL$154),"")</f>
        <v>0.04</v>
      </c>
      <c r="CE43" s="284">
        <f>IFERROR(SUMPRODUCT(('ANALYSE - ERP =&gt; SOUS-SEGMENT'!$C$8:$C$154=$C43)*'ANALYSE - ERP =&gt; SOUS-SEGMENT'!$Q$8:$Q$154*'ANALYSE - ERP =&gt; SOUS-SEGMENT'!$BL$8:$BL$154*'ANALYSE - ERP =&gt; SOUS-SEGMENT'!$CH$8:$CH$154)/SUMPRODUCT(('ANALYSE - ERP =&gt; SOUS-SEGMENT'!$C$8:$C$154=$C43)*'ANALYSE - ERP =&gt; SOUS-SEGMENT'!$Q$8:$Q$154*'ANALYSE - ERP =&gt; SOUS-SEGMENT'!$BL$8:$BL$154),"")</f>
        <v>0.55000000000000004</v>
      </c>
      <c r="CF43" s="284">
        <f>IFERROR(SUMPRODUCT(('ANALYSE - ERP =&gt; SOUS-SEGMENT'!$C$8:$C$154=$C43)*'ANALYSE - ERP =&gt; SOUS-SEGMENT'!$Q$8:$Q$154*'ANALYSE - ERP =&gt; SOUS-SEGMENT'!$BL$8:$BL$154*'ANALYSE - ERP =&gt; SOUS-SEGMENT'!$CI$8:$CI$154)/SUMPRODUCT(('ANALYSE - ERP =&gt; SOUS-SEGMENT'!$C$8:$C$154=$C43)*'ANALYSE - ERP =&gt; SOUS-SEGMENT'!$Q$8:$Q$154*'ANALYSE - ERP =&gt; SOUS-SEGMENT'!$BL$8:$BL$154),"")</f>
        <v>0.12</v>
      </c>
      <c r="CG43" s="284">
        <f>IFERROR(SUMPRODUCT(('ANALYSE - ERP =&gt; SOUS-SEGMENT'!$C$8:$C$154=$C43)*'ANALYSE - ERP =&gt; SOUS-SEGMENT'!$Q$8:$Q$154*'ANALYSE - ERP =&gt; SOUS-SEGMENT'!$BL$8:$BL$154*'ANALYSE - ERP =&gt; SOUS-SEGMENT'!$CJ$8:$CJ$154)/SUMPRODUCT(('ANALYSE - ERP =&gt; SOUS-SEGMENT'!$C$8:$C$154=$C43)*'ANALYSE - ERP =&gt; SOUS-SEGMENT'!$Q$8:$Q$154*'ANALYSE - ERP =&gt; SOUS-SEGMENT'!$BL$8:$BL$154),"")</f>
        <v>0.28999999999999998</v>
      </c>
      <c r="CH43" s="286">
        <f>IFERROR(SUMPRODUCT(('ANALYSE - ERP =&gt; SOUS-SEGMENT'!$C$8:$C$154=$C43)*'ANALYSE - ERP =&gt; SOUS-SEGMENT'!$Q$8:$Q$154*'ANALYSE - ERP =&gt; SOUS-SEGMENT'!$BH$8:$BH$154*'ANALYSE - ERP =&gt; SOUS-SEGMENT'!$CK$8:$CK$154)/SUMPRODUCT(('ANALYSE - ERP =&gt; SOUS-SEGMENT'!$C$8:$C$154=$C43)*'ANALYSE - ERP =&gt; SOUS-SEGMENT'!$Q$8:$Q$154*'ANALYSE - ERP =&gt; SOUS-SEGMENT'!$BH$8:$BH$154),"")</f>
        <v>0.25</v>
      </c>
      <c r="CI43" s="286">
        <f>IFERROR(SUMPRODUCT(('ANALYSE - ERP =&gt; SOUS-SEGMENT'!$C$8:$C$154=$C43)*'ANALYSE - ERP =&gt; SOUS-SEGMENT'!$Q$8:$Q$154*'ANALYSE - ERP =&gt; SOUS-SEGMENT'!$BH$8:$BH$154*'ANALYSE - ERP =&gt; SOUS-SEGMENT'!$CL$8:$CL$154)/SUMPRODUCT(('ANALYSE - ERP =&gt; SOUS-SEGMENT'!$C$8:$C$154=$C43)*'ANALYSE - ERP =&gt; SOUS-SEGMENT'!$Q$8:$Q$154*'ANALYSE - ERP =&gt; SOUS-SEGMENT'!$BH$8:$BH$154),"")</f>
        <v>0.55000000000000004</v>
      </c>
      <c r="CJ43" s="286">
        <f>IFERROR(SUMPRODUCT(('ANALYSE - ERP =&gt; SOUS-SEGMENT'!$C$8:$C$154=$C43)*'ANALYSE - ERP =&gt; SOUS-SEGMENT'!$Q$8:$Q$154*'ANALYSE - ERP =&gt; SOUS-SEGMENT'!$BH$8:$BH$154*'ANALYSE - ERP =&gt; SOUS-SEGMENT'!$CM$8:$CM$154)/SUMPRODUCT(('ANALYSE - ERP =&gt; SOUS-SEGMENT'!$C$8:$C$154=$C43)*'ANALYSE - ERP =&gt; SOUS-SEGMENT'!$Q$8:$Q$154*'ANALYSE - ERP =&gt; SOUS-SEGMENT'!$BH$8:$BH$154),"")</f>
        <v>0.2</v>
      </c>
      <c r="CK43" s="286">
        <f>IFERROR(SUMPRODUCT(('ANALYSE - ERP =&gt; SOUS-SEGMENT'!$C$8:$C$154=$C43)*'ANALYSE - ERP =&gt; SOUS-SEGMENT'!$Q$8:$Q$154*'ANALYSE - ERP =&gt; SOUS-SEGMENT'!$BM$8:$BM$154*'ANALYSE - ERP =&gt; SOUS-SEGMENT'!$CN$8:$CN$154)/SUMPRODUCT(('ANALYSE - ERP =&gt; SOUS-SEGMENT'!$C$8:$C$154=$C43)*'ANALYSE - ERP =&gt; SOUS-SEGMENT'!$Q$8:$Q$154*'ANALYSE - ERP =&gt; SOUS-SEGMENT'!$BM$8:$BM$154),"")</f>
        <v>0.15000000000000002</v>
      </c>
      <c r="CL43" s="286">
        <f>IFERROR(SUMPRODUCT(('ANALYSE - ERP =&gt; SOUS-SEGMENT'!$C$8:$C$154=$C43)*'ANALYSE - ERP =&gt; SOUS-SEGMENT'!$Q$8:$Q$154*'ANALYSE - ERP =&gt; SOUS-SEGMENT'!$BM$8:$BM$154*'ANALYSE - ERP =&gt; SOUS-SEGMENT'!$CO$8:$CO$154)/SUMPRODUCT(('ANALYSE - ERP =&gt; SOUS-SEGMENT'!$C$8:$C$154=$C43)*'ANALYSE - ERP =&gt; SOUS-SEGMENT'!$Q$8:$Q$154*'ANALYSE - ERP =&gt; SOUS-SEGMENT'!$BM$8:$BM$154),"")</f>
        <v>0.57999999999999996</v>
      </c>
      <c r="CM43" s="286">
        <f>IFERROR(SUMPRODUCT(('ANALYSE - ERP =&gt; SOUS-SEGMENT'!$C$8:$C$154=$C43)*'ANALYSE - ERP =&gt; SOUS-SEGMENT'!$Q$8:$Q$154*'ANALYSE - ERP =&gt; SOUS-SEGMENT'!$BM$8:$BM$154*'ANALYSE - ERP =&gt; SOUS-SEGMENT'!$CP$8:$CP$154)/SUMPRODUCT(('ANALYSE - ERP =&gt; SOUS-SEGMENT'!$C$8:$C$154=$C43)*'ANALYSE - ERP =&gt; SOUS-SEGMENT'!$Q$8:$Q$154*'ANALYSE - ERP =&gt; SOUS-SEGMENT'!$BM$8:$BM$154),"")</f>
        <v>0.27</v>
      </c>
      <c r="CN43" s="657"/>
      <c r="CO43" s="883">
        <f>IFERROR(SUMPRODUCT(('ANALYSE - ERP =&gt; SOUS-SEGMENT'!$C$8:$C$154=$C43)*'ANALYSE - ERP =&gt; SOUS-SEGMENT'!$DH$8:$DH$154*('ANALYSE - ERP =&gt; SOUS-SEGMENT'!$CR$8:$CR$154&gt;0)*'ANALYSE - ERP =&gt; SOUS-SEGMENT'!$CR$8:$CR$154)/SUMPRODUCT(('ANALYSE - ERP =&gt; SOUS-SEGMENT'!$C$8:$C$154=$C43)*'ANALYSE - ERP =&gt; SOUS-SEGMENT'!$DH$8:$DH$154*('ANALYSE - ERP =&gt; SOUS-SEGMENT'!$CR$8:$CR$154&gt;0)),"")</f>
        <v>10</v>
      </c>
      <c r="CP43" s="883">
        <f>IFERROR(SUMPRODUCT(('ANALYSE - ERP =&gt; SOUS-SEGMENT'!$C$8:$C$154=$C43)*'ANALYSE - ERP =&gt; SOUS-SEGMENT'!$DI$8:$DI$154*('ANALYSE - ERP =&gt; SOUS-SEGMENT'!$CS$8:$CS$154&gt;0)*'ANALYSE - ERP =&gt; SOUS-SEGMENT'!$CS$8:$CS$154)/SUMPRODUCT(('ANALYSE - ERP =&gt; SOUS-SEGMENT'!$C$8:$C$154=$C43)*'ANALYSE - ERP =&gt; SOUS-SEGMENT'!$DI$8:$DI$154*('ANALYSE - ERP =&gt; SOUS-SEGMENT'!$CS$8:$CS$154&gt;0)),"")</f>
        <v>11.000000000000002</v>
      </c>
      <c r="CQ43" s="883">
        <f>IFERROR(SUMPRODUCT(('ANALYSE - ERP =&gt; SOUS-SEGMENT'!$C$8:$C$154=$C43)*'ANALYSE - ERP =&gt; SOUS-SEGMENT'!$DJ$8:$DJ$154*('ANALYSE - ERP =&gt; SOUS-SEGMENT'!$CT$8:$CT$154&gt;0)*'ANALYSE - ERP =&gt; SOUS-SEGMENT'!$CT$8:$CT$154)/SUMPRODUCT(('ANALYSE - ERP =&gt; SOUS-SEGMENT'!$C$8:$C$154=$C43)*'ANALYSE - ERP =&gt; SOUS-SEGMENT'!$DJ$8:$DJ$154*('ANALYSE - ERP =&gt; SOUS-SEGMENT'!$CT$8:$CT$154&gt;0)),"")</f>
        <v>8</v>
      </c>
      <c r="CR43" s="883">
        <f>IFERROR(SUMPRODUCT(('ANALYSE - ERP =&gt; SOUS-SEGMENT'!$C$8:$C$154=$C43)*'ANALYSE - ERP =&gt; SOUS-SEGMENT'!$DK$8:$DK$154*('ANALYSE - ERP =&gt; SOUS-SEGMENT'!$CU$8:$CU$154&gt;0)*'ANALYSE - ERP =&gt; SOUS-SEGMENT'!$CU$8:$CU$154)/SUMPRODUCT(('ANALYSE - ERP =&gt; SOUS-SEGMENT'!$C$8:$C$154=$C43)*'ANALYSE - ERP =&gt; SOUS-SEGMENT'!$DK$8:$DK$154*('ANALYSE - ERP =&gt; SOUS-SEGMENT'!$CU$8:$CU$154&gt;0)),"")</f>
        <v>10.000000000000002</v>
      </c>
      <c r="CS43" s="883">
        <f>IFERROR(SUMPRODUCT(('ANALYSE - ERP =&gt; SOUS-SEGMENT'!$C$8:$C$154=$C43)*'ANALYSE - ERP =&gt; SOUS-SEGMENT'!$DS$8:$DS$154*('ANALYSE - ERP =&gt; SOUS-SEGMENT'!$CV$8:$CV$154&gt;0)*'ANALYSE - ERP =&gt; SOUS-SEGMENT'!$CV$8:$CV$154)/SUMPRODUCT(('ANALYSE - ERP =&gt; SOUS-SEGMENT'!$C$8:$C$154=$C43)*'ANALYSE - ERP =&gt; SOUS-SEGMENT'!$DS$8:$DS$154*('ANALYSE - ERP =&gt; SOUS-SEGMENT'!$CV$8:$CV$154&gt;0)),"")</f>
        <v>8</v>
      </c>
      <c r="CT43" s="883">
        <f>IFERROR(SUMPRODUCT(('ANALYSE - ERP =&gt; SOUS-SEGMENT'!$C$8:$C$154=$C43)*'ANALYSE - ERP =&gt; SOUS-SEGMENT'!$DT$8:$DT$154*('ANALYSE - ERP =&gt; SOUS-SEGMENT'!$CW$8:$CW$154&gt;0)*'ANALYSE - ERP =&gt; SOUS-SEGMENT'!$CW$8:$CW$154)/SUMPRODUCT(('ANALYSE - ERP =&gt; SOUS-SEGMENT'!$C$8:$C$154=$C43)*'ANALYSE - ERP =&gt; SOUS-SEGMENT'!$DT$8:$DT$154*('ANALYSE - ERP =&gt; SOUS-SEGMENT'!$CW$8:$CW$154&gt;0)),"")</f>
        <v>8</v>
      </c>
      <c r="CU43" s="883">
        <f>IFERROR(SUMPRODUCT(('ANALYSE - ERP =&gt; SOUS-SEGMENT'!$C$8:$C$154=$C43)*'ANALYSE - ERP =&gt; SOUS-SEGMENT'!$DU$8:$DU$154*('ANALYSE - ERP =&gt; SOUS-SEGMENT'!$CX$8:$CX$154&gt;0)*'ANALYSE - ERP =&gt; SOUS-SEGMENT'!$CX$8:$CX$154)/SUMPRODUCT(('ANALYSE - ERP =&gt; SOUS-SEGMENT'!$C$8:$C$154=$C43)*'ANALYSE - ERP =&gt; SOUS-SEGMENT'!$DU$8:$DU$154*('ANALYSE - ERP =&gt; SOUS-SEGMENT'!$CX$8:$CX$154&gt;0)),"")</f>
        <v>7</v>
      </c>
      <c r="CV43" s="883">
        <f>IFERROR(SUMPRODUCT(('ANALYSE - ERP =&gt; SOUS-SEGMENT'!$C$8:$C$154=$C43)*'ANALYSE - ERP =&gt; SOUS-SEGMENT'!$EB$8:$EB$154*('ANALYSE - ERP =&gt; SOUS-SEGMENT'!$CY$8:$CY$154&gt;0)*'ANALYSE - ERP =&gt; SOUS-SEGMENT'!$CY$8:$CY$154)/SUMPRODUCT(('ANALYSE - ERP =&gt; SOUS-SEGMENT'!$C$8:$C$154=$C43)*'ANALYSE - ERP =&gt; SOUS-SEGMENT'!$EB$8:$EB$154*('ANALYSE - ERP =&gt; SOUS-SEGMENT'!$CY$8:$CY$154&gt;0)),"")</f>
        <v>8</v>
      </c>
      <c r="CW43" s="883">
        <f>IFERROR(SUMPRODUCT(('ANALYSE - ERP =&gt; SOUS-SEGMENT'!$C$8:$C$154=$C43)*'ANALYSE - ERP =&gt; SOUS-SEGMENT'!$EC$8:$EC$154*('ANALYSE - ERP =&gt; SOUS-SEGMENT'!$CZ$8:$CZ$154&gt;0)*'ANALYSE - ERP =&gt; SOUS-SEGMENT'!$CZ$8:$CZ$154)/SUMPRODUCT(('ANALYSE - ERP =&gt; SOUS-SEGMENT'!$C$8:$C$154=$C43)*'ANALYSE - ERP =&gt; SOUS-SEGMENT'!$EC$8:$EC$154*('ANALYSE - ERP =&gt; SOUS-SEGMENT'!$CZ$8:$CZ$154&gt;0)),"")</f>
        <v>10</v>
      </c>
      <c r="CX43" s="883">
        <f>IFERROR(SUMPRODUCT(('ANALYSE - ERP =&gt; SOUS-SEGMENT'!$C$8:$C$154=$C43)*'ANALYSE - ERP =&gt; SOUS-SEGMENT'!$ED$8:$ED$154*('ANALYSE - ERP =&gt; SOUS-SEGMENT'!$DA$8:$DA$154&gt;0)*'ANALYSE - ERP =&gt; SOUS-SEGMENT'!$DA$8:$DA$154)/SUMPRODUCT(('ANALYSE - ERP =&gt; SOUS-SEGMENT'!$C$8:$C$154=$C43)*'ANALYSE - ERP =&gt; SOUS-SEGMENT'!$ED$8:$ED$154*('ANALYSE - ERP =&gt; SOUS-SEGMENT'!$DA$8:$DA$154&gt;0)),"")</f>
        <v>7</v>
      </c>
      <c r="CY43" s="883">
        <f>IFERROR(SUMPRODUCT(('ANALYSE - ERP =&gt; SOUS-SEGMENT'!$C$8:$C$154=$C43)*'ANALYSE - ERP =&gt; SOUS-SEGMENT'!$EE$8:$EE$154*('ANALYSE - ERP =&gt; SOUS-SEGMENT'!$DB$8:$DB$154&gt;0)*'ANALYSE - ERP =&gt; SOUS-SEGMENT'!$DB$8:$DB$154)/SUMPRODUCT(('ANALYSE - ERP =&gt; SOUS-SEGMENT'!$C$8:$C$154=$C43)*'ANALYSE - ERP =&gt; SOUS-SEGMENT'!$EE$8:$EE$154*('ANALYSE - ERP =&gt; SOUS-SEGMENT'!$DB$8:$DB$154&gt;0)),"")</f>
        <v>9</v>
      </c>
      <c r="CZ43" s="883">
        <f>IFERROR(SUMPRODUCT(('ANALYSE - ERP =&gt; SOUS-SEGMENT'!$C$8:$C$154=$C43)*'ANALYSE - ERP =&gt; SOUS-SEGMENT'!$EM$8:$EM$154*('ANALYSE - ERP =&gt; SOUS-SEGMENT'!$DC$8:$DC$154&gt;0)*'ANALYSE - ERP =&gt; SOUS-SEGMENT'!$DC$8:$DC$154)/SUMPRODUCT(('ANALYSE - ERP =&gt; SOUS-SEGMENT'!$C$8:$C$154=$C43)*'ANALYSE - ERP =&gt; SOUS-SEGMENT'!$EM$8:$EM$154*('ANALYSE - ERP =&gt; SOUS-SEGMENT'!$DC$8:$DC$154&gt;0)),"")</f>
        <v>10</v>
      </c>
      <c r="DA43" s="883">
        <f>IFERROR(SUMPRODUCT(('ANALYSE - ERP =&gt; SOUS-SEGMENT'!$C$8:$C$154=$C43)*'ANALYSE - ERP =&gt; SOUS-SEGMENT'!$EN$8:$EN$154*('ANALYSE - ERP =&gt; SOUS-SEGMENT'!$DD$8:$DD$154&gt;0)*'ANALYSE - ERP =&gt; SOUS-SEGMENT'!$DD$8:$DD$154)/SUMPRODUCT(('ANALYSE - ERP =&gt; SOUS-SEGMENT'!$C$8:$C$154=$C43)*'ANALYSE - ERP =&gt; SOUS-SEGMENT'!$EN$8:$EN$154*('ANALYSE - ERP =&gt; SOUS-SEGMENT'!$DD$8:$DD$154&gt;0)),"")</f>
        <v>10.999999999999998</v>
      </c>
      <c r="DB43" s="883">
        <f>IFERROR(SUMPRODUCT(('ANALYSE - ERP =&gt; SOUS-SEGMENT'!$C$8:$C$154=$C43)*'ANALYSE - ERP =&gt; SOUS-SEGMENT'!$EO$8:$EO$154*('ANALYSE - ERP =&gt; SOUS-SEGMENT'!$DE$8:$DE$154&gt;0)*'ANALYSE - ERP =&gt; SOUS-SEGMENT'!$DE$8:$DE$154)/SUMPRODUCT(('ANALYSE - ERP =&gt; SOUS-SEGMENT'!$C$8:$C$154=$C43)*'ANALYSE - ERP =&gt; SOUS-SEGMENT'!$EO$8:$EO$154*('ANALYSE - ERP =&gt; SOUS-SEGMENT'!$DE$8:$DE$154&gt;0)),"")</f>
        <v>8</v>
      </c>
      <c r="DC43" s="316"/>
      <c r="DD43" s="657"/>
      <c r="DE43" s="288">
        <f t="shared" si="2"/>
        <v>2743.4</v>
      </c>
      <c r="DF43" s="288">
        <f t="shared" si="3"/>
        <v>20849.839999999997</v>
      </c>
      <c r="DG43" s="288">
        <f t="shared" si="4"/>
        <v>2194.7200000000003</v>
      </c>
      <c r="DH43" s="288">
        <f t="shared" si="5"/>
        <v>1646.04</v>
      </c>
      <c r="DI43" s="317" t="s">
        <v>7475</v>
      </c>
      <c r="DJ43" s="288">
        <f t="shared" si="6"/>
        <v>2281.92</v>
      </c>
      <c r="DK43" s="288">
        <f t="shared" si="7"/>
        <v>21678.239999999998</v>
      </c>
      <c r="DL43" s="288">
        <f t="shared" si="8"/>
        <v>2852.4</v>
      </c>
      <c r="DM43" s="288">
        <f t="shared" si="9"/>
        <v>1711.44</v>
      </c>
      <c r="DN43" s="318" t="s">
        <v>7476</v>
      </c>
      <c r="DO43" s="657"/>
      <c r="DP43" s="288">
        <f t="shared" si="10"/>
        <v>103.2</v>
      </c>
      <c r="DQ43" s="288">
        <f t="shared" si="11"/>
        <v>550.4</v>
      </c>
      <c r="DR43" s="288">
        <f t="shared" si="12"/>
        <v>34.4</v>
      </c>
      <c r="DS43" s="318" t="s">
        <v>7477</v>
      </c>
      <c r="DT43" s="288">
        <f t="shared" si="13"/>
        <v>87.36</v>
      </c>
      <c r="DU43" s="288">
        <f t="shared" si="14"/>
        <v>596.95999999999992</v>
      </c>
      <c r="DV43" s="288">
        <f t="shared" si="15"/>
        <v>43.68</v>
      </c>
      <c r="DW43" s="318" t="s">
        <v>7477</v>
      </c>
      <c r="DX43" s="657"/>
      <c r="DY43" s="288">
        <f t="shared" si="16"/>
        <v>17.2</v>
      </c>
      <c r="DZ43" s="288">
        <f t="shared" si="17"/>
        <v>189.20000000000002</v>
      </c>
      <c r="EA43" s="288">
        <f t="shared" si="18"/>
        <v>34.4</v>
      </c>
      <c r="EB43" s="288">
        <f t="shared" si="19"/>
        <v>103.2</v>
      </c>
      <c r="EC43" s="318" t="s">
        <v>7477</v>
      </c>
      <c r="ED43" s="288">
        <f t="shared" si="20"/>
        <v>14.56</v>
      </c>
      <c r="EE43" s="288">
        <f t="shared" si="21"/>
        <v>200.20000000000002</v>
      </c>
      <c r="EF43" s="288">
        <f t="shared" si="22"/>
        <v>43.68</v>
      </c>
      <c r="EG43" s="288">
        <f t="shared" si="23"/>
        <v>105.55999999999999</v>
      </c>
      <c r="EH43" s="318" t="s">
        <v>7478</v>
      </c>
      <c r="EI43" s="290"/>
      <c r="EJ43" s="288">
        <f t="shared" si="24"/>
        <v>6858.5</v>
      </c>
      <c r="EK43" s="291">
        <f t="shared" si="25"/>
        <v>15088.7</v>
      </c>
      <c r="EL43" s="291">
        <f t="shared" si="26"/>
        <v>5486.8</v>
      </c>
      <c r="EM43" s="318" t="s">
        <v>7479</v>
      </c>
      <c r="EN43" s="288">
        <f t="shared" si="27"/>
        <v>4278.6000000000004</v>
      </c>
      <c r="EO43" s="291">
        <f t="shared" si="28"/>
        <v>16543.919999999998</v>
      </c>
      <c r="EP43" s="291">
        <f t="shared" si="29"/>
        <v>7701.4800000000005</v>
      </c>
      <c r="EQ43" s="318" t="s">
        <v>7480</v>
      </c>
      <c r="ER43" s="657"/>
      <c r="ES43" s="731">
        <f t="shared" si="30"/>
        <v>0.7539410555174777</v>
      </c>
      <c r="ET43" s="731">
        <f t="shared" si="31"/>
        <v>0.16997943797121312</v>
      </c>
      <c r="EU43" s="292">
        <f t="shared" si="32"/>
        <v>26740.262681538094</v>
      </c>
      <c r="EV43" s="292">
        <f t="shared" si="33"/>
        <v>21481.662681538095</v>
      </c>
      <c r="EW43" s="292">
        <f t="shared" si="34"/>
        <v>5258.6</v>
      </c>
      <c r="EX43" s="292">
        <f t="shared" si="35"/>
        <v>12820.035684800001</v>
      </c>
      <c r="EY43" s="292">
        <f>SUMPRODUCT(('ANALYSE - ERP =&gt; SOUS-SEGMENT'!$C$8:$C$154=$C43)*'ANALYSE - ERP =&gt; SOUS-SEGMENT'!$Q$8:$Q$154*'ANALYSE - ERP =&gt; SOUS-SEGMENT'!$FB$8:$FB$154)</f>
        <v>10248.599684800001</v>
      </c>
      <c r="EZ43" s="292">
        <f>SUMPRODUCT(('ANALYSE - ERP =&gt; SOUS-SEGMENT'!$C$8:$C$154=$C43)*'ANALYSE - ERP =&gt; SOUS-SEGMENT'!$Q$8:$Q$154*'ANALYSE - ERP =&gt; SOUS-SEGMENT'!$FC$8:$FC$154)</f>
        <v>2571.4360000000001</v>
      </c>
      <c r="FA43" s="292">
        <f t="shared" si="36"/>
        <v>396.1722792857143</v>
      </c>
      <c r="FB43" s="292">
        <f>SUMPRODUCT(('ANALYSE - ERP =&gt; SOUS-SEGMENT'!$C$8:$C$154=$C43)*'ANALYSE - ERP =&gt; SOUS-SEGMENT'!$Q$8:$Q$154*'ANALYSE - ERP =&gt; SOUS-SEGMENT'!$FE$8:$FE$154)</f>
        <v>319.02027928571431</v>
      </c>
      <c r="FC43" s="292">
        <f>SUMPRODUCT(('ANALYSE - ERP =&gt; SOUS-SEGMENT'!$C$8:$C$154=$C43)*'ANALYSE - ERP =&gt; SOUS-SEGMENT'!$Q$8:$Q$154*'ANALYSE - ERP =&gt; SOUS-SEGMENT'!$FF$8:$FF$154)</f>
        <v>77.152000000000001</v>
      </c>
      <c r="FD43" s="292">
        <f t="shared" si="37"/>
        <v>173.91620245238093</v>
      </c>
      <c r="FE43" s="292">
        <f>SUMPRODUCT(('ANALYSE - ERP =&gt; SOUS-SEGMENT'!$C$8:$C$154=$C43)*'ANALYSE - ERP =&gt; SOUS-SEGMENT'!$Q$8:$Q$154*'ANALYSE - ERP =&gt; SOUS-SEGMENT'!$FH$8:$FH$154)</f>
        <v>135.34020245238094</v>
      </c>
      <c r="FF43" s="292">
        <f>SUMPRODUCT(('ANALYSE - ERP =&gt; SOUS-SEGMENT'!$C$8:$C$154=$C43)*'ANALYSE - ERP =&gt; SOUS-SEGMENT'!$Q$8:$Q$154*'ANALYSE - ERP =&gt; SOUS-SEGMENT'!$FI$8:$FI$154)</f>
        <v>38.576000000000001</v>
      </c>
      <c r="FG43" s="292">
        <f t="shared" si="38"/>
        <v>13350.138515000001</v>
      </c>
      <c r="FH43" s="292">
        <f>SUMPRODUCT(('ANALYSE - ERP =&gt; SOUS-SEGMENT'!$C$8:$C$154=$C43)*'ANALYSE - ERP =&gt; SOUS-SEGMENT'!$Q$8:$Q$154*'ANALYSE - ERP =&gt; SOUS-SEGMENT'!$FK$8:$FK$154)</f>
        <v>10778.702515000001</v>
      </c>
      <c r="FI43" s="292">
        <f>SUMPRODUCT(('ANALYSE - ERP =&gt; SOUS-SEGMENT'!$C$8:$C$154=$C43)*'ANALYSE - ERP =&gt; SOUS-SEGMENT'!$Q$8:$Q$154*'ANALYSE - ERP =&gt; SOUS-SEGMENT'!$FL$8:$FL$154)</f>
        <v>2571.4360000000001</v>
      </c>
      <c r="FJ43" s="657"/>
      <c r="FK43" s="319" t="s">
        <v>2616</v>
      </c>
      <c r="FL43" s="731">
        <f>IFERROR(SUMPRODUCT(('ANALYSE - ERP =&gt; SOUS-SEGMENT'!$C$8:$C$154=$C43)*'ANALYSE - ERP =&gt; SOUS-SEGMENT'!$Q$8:$Q$154*'ANALYSE - ERP =&gt; SOUS-SEGMENT'!$AF$8:$AF$154*'ANALYSE - ERP =&gt; SOUS-SEGMENT'!$FO$8:$FO$154)/SUMPRODUCT(('ANALYSE - ERP =&gt; SOUS-SEGMENT'!$C$8:$C$154=$C43)*'ANALYSE - ERP =&gt; SOUS-SEGMENT'!$Q$8:$Q$154*'ANALYSE - ERP =&gt; SOUS-SEGMENT'!$AF$8:$AF$154),"")</f>
        <v>5.3999999999999999E-2</v>
      </c>
      <c r="FM43" s="732">
        <f>IFERROR(SUMPRODUCT(('ANALYSE - ERP =&gt; SOUS-SEGMENT'!$C$8:$C$154=$C43)*'ANALYSE - ERP =&gt; SOUS-SEGMENT'!$Q$8:$Q$154*'ANALYSE - ERP =&gt; SOUS-SEGMENT'!$AF$8:$AF$154*'ANALYSE - ERP =&gt; SOUS-SEGMENT'!$FP$8:$FP$154)/SUMPRODUCT(('ANALYSE - ERP =&gt; SOUS-SEGMENT'!$C$8:$C$154=$C43)*'ANALYSE - ERP =&gt; SOUS-SEGMENT'!$Q$8:$Q$154*'ANALYSE - ERP =&gt; SOUS-SEGMENT'!$AF$8:$AF$154),"")</f>
        <v>0.80929999999999991</v>
      </c>
      <c r="FN43" s="320" t="s">
        <v>5204</v>
      </c>
      <c r="FO43" s="657"/>
      <c r="FP43" s="887">
        <f>IFERROR(SUMPRODUCT(('ANALYSE - ERP =&gt; SOUS-SEGMENT'!$C$8:$C$154=$C43)*'ANALYSE - ERP =&gt; SOUS-SEGMENT'!$Q$8:$Q$154*'ANALYSE - ERP =&gt; SOUS-SEGMENT'!$EX$8:$EX$154*'ANALYSE - ERP =&gt; SOUS-SEGMENT'!$FS$8:$FS$154)/SUMPRODUCT(('ANALYSE - ERP =&gt; SOUS-SEGMENT'!$C$8:$C$154=$C43)*'ANALYSE - ERP =&gt; SOUS-SEGMENT'!$Q$8:$Q$154*'ANALYSE - ERP =&gt; SOUS-SEGMENT'!$EX$8:$EX$154),"")</f>
        <v>3.59</v>
      </c>
      <c r="FQ43" s="295">
        <f>RANK($FP43,$FP$8:$FP$143,0)+COUNTIF($FP$8:$FP43,$FP43)-1</f>
        <v>8</v>
      </c>
      <c r="FR43" s="887">
        <f>IFERROR(SUMPRODUCT(('ANALYSE - ERP =&gt; SOUS-SEGMENT'!$C$8:$C$154=$C43)*'ANALYSE - ERP =&gt; SOUS-SEGMENT'!$Q$8:$Q$154*'ANALYSE - ERP =&gt; SOUS-SEGMENT'!$EY$8:$EY$154*'ANALYSE - ERP =&gt; SOUS-SEGMENT'!$FU$8:$FU$154)/SUMPRODUCT(('ANALYSE - ERP =&gt; SOUS-SEGMENT'!$C$8:$C$154=$C43)*'ANALYSE - ERP =&gt; SOUS-SEGMENT'!$Q$8:$Q$154*'ANALYSE - ERP =&gt; SOUS-SEGMENT'!$EY$8:$EY$154),"")</f>
        <v>4.2199999999999989</v>
      </c>
      <c r="FS43" s="295">
        <f>RANK($FR43,$FR$8:$FR$143,0)+COUNTIF($FR$8:$FR43,$FR43)-1</f>
        <v>11</v>
      </c>
      <c r="FT43" s="887">
        <f>IFERROR(SUMPRODUCT(('ANALYSE - ERP =&gt; SOUS-SEGMENT'!$C$8:$C$154=$C43)*'ANALYSE - ERP =&gt; SOUS-SEGMENT'!$Q$8:$Q$154*'ANALYSE - ERP =&gt; SOUS-SEGMENT'!$EZ$8:$EZ$154*'ANALYSE - ERP =&gt; SOUS-SEGMENT'!$FW$8:$FW$154)/SUMPRODUCT(('ANALYSE - ERP =&gt; SOUS-SEGMENT'!$C$8:$C$154=$C43)*'ANALYSE - ERP =&gt; SOUS-SEGMENT'!$Q$8:$Q$154*'ANALYSE - ERP =&gt; SOUS-SEGMENT'!$EZ$8:$EZ$154),"")</f>
        <v>2.4799999999999995</v>
      </c>
      <c r="FU43" s="295">
        <f>RANK($FT43,$FT$8:$FT$143,0)+COUNTIF($FT$8:$FT43,$FT43)-1</f>
        <v>11</v>
      </c>
      <c r="FV43" s="657"/>
      <c r="FW43" s="321" t="s">
        <v>7481</v>
      </c>
      <c r="FX43" s="321" t="s">
        <v>7482</v>
      </c>
      <c r="FY43" s="321" t="s">
        <v>7483</v>
      </c>
      <c r="FZ43" s="321" t="s">
        <v>7484</v>
      </c>
      <c r="GA43" s="321" t="s">
        <v>7485</v>
      </c>
      <c r="GB43" s="321" t="s">
        <v>7486</v>
      </c>
      <c r="GC43" s="321" t="s">
        <v>6759</v>
      </c>
      <c r="GD43" s="657"/>
      <c r="GE43" s="292">
        <f>SUMPRODUCT(('ANALYSE - ERP =&gt; SOUS-SEGMENT'!$C$8:$C$154=$C43)*'ANALYSE - ERP =&gt; SOUS-SEGMENT'!$Q$8:$Q$154*'ANALYSE - ERP =&gt; SOUS-SEGMENT'!$GH$8:$GH$154)</f>
        <v>1283.2654579999999</v>
      </c>
      <c r="GF43" s="292">
        <f>SUMPRODUCT(('ANALYSE - ERP =&gt; SOUS-SEGMENT'!$C$8:$C$154=$C43)*'ANALYSE - ERP =&gt; SOUS-SEGMENT'!$Q$8:$Q$154*'ANALYSE - ERP =&gt; SOUS-SEGMENT'!$GI$8:$GI$154)</f>
        <v>1077.5505779999999</v>
      </c>
      <c r="GG43" s="292">
        <f>SUMPRODUCT(('ANALYSE - ERP =&gt; SOUS-SEGMENT'!$C$8:$C$154=$C43)*'ANALYSE - ERP =&gt; SOUS-SEGMENT'!$Q$8:$Q$154*'ANALYSE - ERP =&gt; SOUS-SEGMENT'!$GJ$8:$GJ$154)</f>
        <v>205.71487999999999</v>
      </c>
      <c r="GH43" s="292">
        <f>SUMPRODUCT(('ANALYSE - ERP =&gt; SOUS-SEGMENT'!$C$8:$C$154=$C43)*'ANALYSE - ERP =&gt; SOUS-SEGMENT'!$Q$8:$Q$154*'ANALYSE - ERP =&gt; SOUS-SEGMENT'!$GK$8:$GK$154)</f>
        <v>9400.3045679999996</v>
      </c>
      <c r="GI43" s="292">
        <f>SUMPRODUCT(('ANALYSE - ERP =&gt; SOUS-SEGMENT'!$C$8:$C$154=$C43)*'ANALYSE - ERP =&gt; SOUS-SEGMENT'!$Q$8:$Q$154*'ANALYSE - ERP =&gt; SOUS-SEGMENT'!$GL$8:$GL$154)</f>
        <v>7446.0132080000003</v>
      </c>
      <c r="GJ43" s="292">
        <f>SUMPRODUCT(('ANALYSE - ERP =&gt; SOUS-SEGMENT'!$C$8:$C$154=$C43)*'ANALYSE - ERP =&gt; SOUS-SEGMENT'!$Q$8:$Q$154*'ANALYSE - ERP =&gt; SOUS-SEGMENT'!$GM$8:$GM$154)</f>
        <v>1954.2913599999997</v>
      </c>
      <c r="GK43" s="292">
        <f>SUMPRODUCT(('ANALYSE - ERP =&gt; SOUS-SEGMENT'!$C$8:$C$154=$C43)*'ANALYSE - ERP =&gt; SOUS-SEGMENT'!$Q$8:$Q$154*'ANALYSE - ERP =&gt; SOUS-SEGMENT'!$GN$8:$GN$154)</f>
        <v>1335.6491520000002</v>
      </c>
      <c r="GL43" s="292">
        <f>SUMPRODUCT(('ANALYSE - ERP =&gt; SOUS-SEGMENT'!$C$8:$C$154=$C43)*'ANALYSE - ERP =&gt; SOUS-SEGMENT'!$Q$8:$Q$154*'ANALYSE - ERP =&gt; SOUS-SEGMENT'!$GO$8:$GO$154)</f>
        <v>1078.5055520000001</v>
      </c>
      <c r="GM43" s="292">
        <f>SUMPRODUCT(('ANALYSE - ERP =&gt; SOUS-SEGMENT'!$C$8:$C$154=$C43)*'ANALYSE - ERP =&gt; SOUS-SEGMENT'!$Q$8:$Q$154*'ANALYSE - ERP =&gt; SOUS-SEGMENT'!$GP$8:$GP$154)</f>
        <v>257.14359999999999</v>
      </c>
      <c r="GN43" s="292">
        <f>SUMPRODUCT(('ANALYSE - ERP =&gt; SOUS-SEGMENT'!$C$8:$C$154=$C43)*'ANALYSE - ERP =&gt; SOUS-SEGMENT'!$Q$8:$Q$154*'ANALYSE - ERP =&gt; SOUS-SEGMENT'!$GQ$8:$GQ$154)</f>
        <v>800.81650679999996</v>
      </c>
      <c r="GO43" s="292">
        <f>SUMPRODUCT(('ANALYSE - ERP =&gt; SOUS-SEGMENT'!$C$8:$C$154=$C43)*'ANALYSE - ERP =&gt; SOUS-SEGMENT'!$Q$8:$Q$154*'ANALYSE - ERP =&gt; SOUS-SEGMENT'!$GR$8:$GR$154)</f>
        <v>646.53034679999996</v>
      </c>
      <c r="GP43" s="292">
        <f>SUMPRODUCT(('ANALYSE - ERP =&gt; SOUS-SEGMENT'!$C$8:$C$154=$C43)*'ANALYSE - ERP =&gt; SOUS-SEGMENT'!$Q$8:$Q$154*'ANALYSE - ERP =&gt; SOUS-SEGMENT'!$GS$8:$GS$154)</f>
        <v>154.28616</v>
      </c>
      <c r="GQ43" s="292">
        <f>SUMPRODUCT(('ANALYSE - ERP =&gt; SOUS-SEGMENT'!$C$8:$C$154=$C43)*'ANALYSE - ERP =&gt; SOUS-SEGMENT'!$Q$8:$Q$154*'ANALYSE - ERP =&gt; SOUS-SEGMENT'!$GT$8:$GT$154)</f>
        <v>56.723685000000003</v>
      </c>
      <c r="GR43" s="292">
        <f>SUMPRODUCT(('ANALYSE - ERP =&gt; SOUS-SEGMENT'!$C$8:$C$154=$C43)*'ANALYSE - ERP =&gt; SOUS-SEGMENT'!$Q$8:$Q$154*'ANALYSE - ERP =&gt; SOUS-SEGMENT'!$GU$8:$GU$154)</f>
        <v>47.465445000000003</v>
      </c>
      <c r="GS43" s="292">
        <f>SUMPRODUCT(('ANALYSE - ERP =&gt; SOUS-SEGMENT'!$C$8:$C$154=$C43)*'ANALYSE - ERP =&gt; SOUS-SEGMENT'!$Q$8:$Q$154*'ANALYSE - ERP =&gt; SOUS-SEGMENT'!$GV$8:$GV$154)</f>
        <v>9.2582399999999989</v>
      </c>
      <c r="GT43" s="292">
        <f>SUMPRODUCT(('ANALYSE - ERP =&gt; SOUS-SEGMENT'!$C$8:$C$154=$C43)*'ANALYSE - ERP =&gt; SOUS-SEGMENT'!$Q$8:$Q$154*'ANALYSE - ERP =&gt; SOUS-SEGMENT'!$GW$8:$GW$154)</f>
        <v>316.41368</v>
      </c>
      <c r="GU43" s="292">
        <f>SUMPRODUCT(('ANALYSE - ERP =&gt; SOUS-SEGMENT'!$C$8:$C$154=$C43)*'ANALYSE - ERP =&gt; SOUS-SEGMENT'!$Q$8:$Q$154*'ANALYSE - ERP =&gt; SOUS-SEGMENT'!$GX$8:$GX$154)</f>
        <v>253.14903999999999</v>
      </c>
      <c r="GV43" s="292">
        <f>SUMPRODUCT(('ANALYSE - ERP =&gt; SOUS-SEGMENT'!$C$8:$C$154=$C43)*'ANALYSE - ERP =&gt; SOUS-SEGMENT'!$Q$8:$Q$154*'ANALYSE - ERP =&gt; SOUS-SEGMENT'!$GY$8:$GY$154)</f>
        <v>63.26464</v>
      </c>
      <c r="GW43" s="292">
        <f>SUMPRODUCT(('ANALYSE - ERP =&gt; SOUS-SEGMENT'!$C$8:$C$154=$C43)*'ANALYSE - ERP =&gt; SOUS-SEGMENT'!$Q$8:$Q$154*'ANALYSE - ERP =&gt; SOUS-SEGMENT'!$GZ$8:$GZ$154)</f>
        <v>23.034914285714287</v>
      </c>
      <c r="GX43" s="292">
        <f>SUMPRODUCT(('ANALYSE - ERP =&gt; SOUS-SEGMENT'!$C$8:$C$154=$C43)*'ANALYSE - ERP =&gt; SOUS-SEGMENT'!$Q$8:$Q$154*'ANALYSE - ERP =&gt; SOUS-SEGMENT'!$HA$8:$HA$154)</f>
        <v>18.405794285714286</v>
      </c>
      <c r="GY43" s="292">
        <f>SUMPRODUCT(('ANALYSE - ERP =&gt; SOUS-SEGMENT'!$C$8:$C$154=$C43)*'ANALYSE - ERP =&gt; SOUS-SEGMENT'!$Q$8:$Q$154*'ANALYSE - ERP =&gt; SOUS-SEGMENT'!$HB$8:$HB$154)</f>
        <v>4.6291199999999995</v>
      </c>
      <c r="GZ43" s="292">
        <f>SUMPRODUCT(('ANALYSE - ERP =&gt; SOUS-SEGMENT'!$C$8:$C$154=$C43)*'ANALYSE - ERP =&gt; SOUS-SEGMENT'!$Q$8:$Q$154*'ANALYSE - ERP =&gt; SOUS-SEGMENT'!$HC$8:$HC$154)</f>
        <v>9.4539474999999999</v>
      </c>
      <c r="HA43" s="292">
        <f>SUMPRODUCT(('ANALYSE - ERP =&gt; SOUS-SEGMENT'!$C$8:$C$154=$C43)*'ANALYSE - ERP =&gt; SOUS-SEGMENT'!$Q$8:$Q$154*'ANALYSE - ERP =&gt; SOUS-SEGMENT'!$HD$8:$HD$154)</f>
        <v>7.9109074999999995</v>
      </c>
      <c r="HB43" s="292">
        <f>SUMPRODUCT(('ANALYSE - ERP =&gt; SOUS-SEGMENT'!$C$8:$C$154=$C43)*'ANALYSE - ERP =&gt; SOUS-SEGMENT'!$Q$8:$Q$154*'ANALYSE - ERP =&gt; SOUS-SEGMENT'!$HE$8:$HE$154)</f>
        <v>1.54304</v>
      </c>
      <c r="HC43" s="292">
        <f>SUMPRODUCT(('ANALYSE - ERP =&gt; SOUS-SEGMENT'!$C$8:$C$154=$C43)*'ANALYSE - ERP =&gt; SOUS-SEGMENT'!$Q$8:$Q$154*'ANALYSE - ERP =&gt; SOUS-SEGMENT'!$HF$8:$HF$154)</f>
        <v>88.696234000000004</v>
      </c>
      <c r="HD43" s="292">
        <f>SUMPRODUCT(('ANALYSE - ERP =&gt; SOUS-SEGMENT'!$C$8:$C$154=$C43)*'ANALYSE - ERP =&gt; SOUS-SEGMENT'!$Q$8:$Q$154*'ANALYSE - ERP =&gt; SOUS-SEGMENT'!$HG$8:$HG$154)</f>
        <v>67.479433999999998</v>
      </c>
      <c r="HE43" s="292">
        <f>SUMPRODUCT(('ANALYSE - ERP =&gt; SOUS-SEGMENT'!$C$8:$C$154=$C43)*'ANALYSE - ERP =&gt; SOUS-SEGMENT'!$Q$8:$Q$154*'ANALYSE - ERP =&gt; SOUS-SEGMENT'!$HH$8:$HH$154)</f>
        <v>21.216800000000003</v>
      </c>
      <c r="HF43" s="292">
        <f>SUMPRODUCT(('ANALYSE - ERP =&gt; SOUS-SEGMENT'!$C$8:$C$154=$C43)*'ANALYSE - ERP =&gt; SOUS-SEGMENT'!$Q$8:$Q$154*'ANALYSE - ERP =&gt; SOUS-SEGMENT'!$HI$8:$HI$154)</f>
        <v>23.034914285714287</v>
      </c>
      <c r="HG43" s="292">
        <f>SUMPRODUCT(('ANALYSE - ERP =&gt; SOUS-SEGMENT'!$C$8:$C$154=$C43)*'ANALYSE - ERP =&gt; SOUS-SEGMENT'!$Q$8:$Q$154*'ANALYSE - ERP =&gt; SOUS-SEGMENT'!$HJ$8:$HJ$154)</f>
        <v>18.405794285714286</v>
      </c>
      <c r="HH43" s="292">
        <f>SUMPRODUCT(('ANALYSE - ERP =&gt; SOUS-SEGMENT'!$C$8:$C$154=$C43)*'ANALYSE - ERP =&gt; SOUS-SEGMENT'!$Q$8:$Q$154*'ANALYSE - ERP =&gt; SOUS-SEGMENT'!$HK$8:$HK$154)</f>
        <v>4.6291199999999995</v>
      </c>
      <c r="HI43" s="292">
        <f>SUMPRODUCT(('ANALYSE - ERP =&gt; SOUS-SEGMENT'!$C$8:$C$154=$C43)*'ANALYSE - ERP =&gt; SOUS-SEGMENT'!$Q$8:$Q$154*'ANALYSE - ERP =&gt; SOUS-SEGMENT'!$HL$8:$HL$154)</f>
        <v>52.731106666666662</v>
      </c>
      <c r="HJ43" s="292">
        <f>SUMPRODUCT(('ANALYSE - ERP =&gt; SOUS-SEGMENT'!$C$8:$C$154=$C43)*'ANALYSE - ERP =&gt; SOUS-SEGMENT'!$Q$8:$Q$154*'ANALYSE - ERP =&gt; SOUS-SEGMENT'!$HM$8:$HM$154)</f>
        <v>41.544066666666666</v>
      </c>
      <c r="HK43" s="292">
        <f>SUMPRODUCT(('ANALYSE - ERP =&gt; SOUS-SEGMENT'!$C$8:$C$154=$C43)*'ANALYSE - ERP =&gt; SOUS-SEGMENT'!$Q$8:$Q$154*'ANALYSE - ERP =&gt; SOUS-SEGMENT'!$HN$8:$HN$154)</f>
        <v>11.18704</v>
      </c>
      <c r="HL43" s="292">
        <f>SUMPRODUCT(('ANALYSE - ERP =&gt; SOUS-SEGMENT'!$C$8:$C$154=$C43)*'ANALYSE - ERP =&gt; SOUS-SEGMENT'!$Q$8:$Q$154*'ANALYSE - ERP =&gt; SOUS-SEGMENT'!$HO$8:$HO$154)</f>
        <v>3079.5918449999999</v>
      </c>
      <c r="HM43" s="292">
        <f>SUMPRODUCT(('ANALYSE - ERP =&gt; SOUS-SEGMENT'!$C$8:$C$154=$C43)*'ANALYSE - ERP =&gt; SOUS-SEGMENT'!$Q$8:$Q$154*'ANALYSE - ERP =&gt; SOUS-SEGMENT'!$HP$8:$HP$154)</f>
        <v>2693.8764449999999</v>
      </c>
      <c r="HN43" s="292">
        <f>SUMPRODUCT(('ANALYSE - ERP =&gt; SOUS-SEGMENT'!$C$8:$C$154=$C43)*'ANALYSE - ERP =&gt; SOUS-SEGMENT'!$Q$8:$Q$154*'ANALYSE - ERP =&gt; SOUS-SEGMENT'!$HQ$8:$HQ$154)</f>
        <v>385.71539999999993</v>
      </c>
      <c r="HO43" s="292">
        <f>SUMPRODUCT(('ANALYSE - ERP =&gt; SOUS-SEGMENT'!$C$8:$C$154=$C43)*'ANALYSE - ERP =&gt; SOUS-SEGMENT'!$Q$8:$Q$154*'ANALYSE - ERP =&gt; SOUS-SEGMENT'!$HR$8:$HR$154)</f>
        <v>6879.9950699999999</v>
      </c>
      <c r="HP43" s="292">
        <f>SUMPRODUCT(('ANALYSE - ERP =&gt; SOUS-SEGMENT'!$C$8:$C$154=$C43)*'ANALYSE - ERP =&gt; SOUS-SEGMENT'!$Q$8:$Q$154*'ANALYSE - ERP =&gt; SOUS-SEGMENT'!$HS$8:$HS$154)</f>
        <v>5388.5621900000006</v>
      </c>
      <c r="HQ43" s="292">
        <f>SUMPRODUCT(('ANALYSE - ERP =&gt; SOUS-SEGMENT'!$C$8:$C$154=$C43)*'ANALYSE - ERP =&gt; SOUS-SEGMENT'!$Q$8:$Q$154*'ANALYSE - ERP =&gt; SOUS-SEGMENT'!$HT$8:$HT$154)</f>
        <v>1491.4328799999998</v>
      </c>
      <c r="HR43" s="292">
        <f>SUMPRODUCT(('ANALYSE - ERP =&gt; SOUS-SEGMENT'!$C$8:$C$154=$C43)*'ANALYSE - ERP =&gt; SOUS-SEGMENT'!$Q$8:$Q$154*'ANALYSE - ERP =&gt; SOUS-SEGMENT'!$HU$8:$HU$154)</f>
        <v>3390.5515999999998</v>
      </c>
      <c r="HS43" s="292">
        <f>SUMPRODUCT(('ANALYSE - ERP =&gt; SOUS-SEGMENT'!$C$8:$C$154=$C43)*'ANALYSE - ERP =&gt; SOUS-SEGMENT'!$Q$8:$Q$154*'ANALYSE - ERP =&gt; SOUS-SEGMENT'!$HV$8:$HV$154)</f>
        <v>2696.26388</v>
      </c>
      <c r="HT43" s="292">
        <f>SUMPRODUCT(('ANALYSE - ERP =&gt; SOUS-SEGMENT'!$C$8:$C$154=$C43)*'ANALYSE - ERP =&gt; SOUS-SEGMENT'!$Q$8:$Q$154*'ANALYSE - ERP =&gt; SOUS-SEGMENT'!$HW$8:$HW$154)</f>
        <v>694.28772000000004</v>
      </c>
      <c r="HU43" s="676"/>
      <c r="HV43" s="297">
        <f t="shared" si="40"/>
        <v>252473.04399999999</v>
      </c>
      <c r="HW43" s="297">
        <f>SUMPRODUCT(('ANALYSE - ERP =&gt; SOUS-SEGMENT'!$C$8:$C$154=$C43)*'ANALYSE - ERP =&gt; SOUS-SEGMENT'!$Q$8:$Q$154*'ANALYSE - ERP =&gt; SOUS-SEGMENT'!$HZ$8:$HZ$154)</f>
        <v>4649.383600000001</v>
      </c>
      <c r="HX43" s="297">
        <f>SUMPRODUCT(('ANALYSE - ERP =&gt; SOUS-SEGMENT'!$C$8:$C$154=$C43)*'ANALYSE - ERP =&gt; SOUS-SEGMENT'!$Q$8:$Q$154*'ANALYSE - ERP =&gt; SOUS-SEGMENT'!$IA$8:$IA$154)</f>
        <v>28321.597399999999</v>
      </c>
      <c r="HY43" s="297">
        <f>SUMPRODUCT(('ANALYSE - ERP =&gt; SOUS-SEGMENT'!$C$8:$C$154=$C43)*'ANALYSE - ERP =&gt; SOUS-SEGMENT'!$Q$8:$Q$154*'ANALYSE - ERP =&gt; SOUS-SEGMENT'!$IB$8:$IB$154)</f>
        <v>20383.272799999999</v>
      </c>
      <c r="HZ43" s="297">
        <f>SUMPRODUCT(('ANALYSE - ERP =&gt; SOUS-SEGMENT'!$C$8:$C$154=$C43)*'ANALYSE - ERP =&gt; SOUS-SEGMENT'!$Q$8:$Q$154*'ANALYSE - ERP =&gt; SOUS-SEGMENT'!$IC$8:$IC$154)</f>
        <v>2543.0027999999998</v>
      </c>
      <c r="IA43" s="297">
        <f>SUMPRODUCT(('ANALYSE - ERP =&gt; SOUS-SEGMENT'!$C$8:$C$154=$C43)*'ANALYSE - ERP =&gt; SOUS-SEGMENT'!$Q$8:$Q$154*'ANALYSE - ERP =&gt; SOUS-SEGMENT'!$ID$8:$ID$154)</f>
        <v>2.7433999999999998</v>
      </c>
      <c r="IB43" s="297">
        <f>SUMPRODUCT(('ANALYSE - ERP =&gt; SOUS-SEGMENT'!$C$8:$C$154=$C43)*'ANALYSE - ERP =&gt; SOUS-SEGMENT'!$Q$8:$Q$154*'ANALYSE - ERP =&gt; SOUS-SEGMENT'!$IE$8:$IE$154)</f>
        <v>21481.662681538095</v>
      </c>
      <c r="IC43" s="297">
        <f>SUMPRODUCT(('ANALYSE - ERP =&gt; SOUS-SEGMENT'!$C$8:$C$154=$C43)*'ANALYSE - ERP =&gt; SOUS-SEGMENT'!$Q$8:$Q$154*'ANALYSE - ERP =&gt; SOUS-SEGMENT'!$IF$8:$IF$154)</f>
        <v>1247.0045020091472</v>
      </c>
      <c r="ID43" s="297">
        <f>SUMPRODUCT(('ANALYSE - ERP =&gt; SOUS-SEGMENT'!$C$8:$C$154=$C43)*'ANALYSE - ERP =&gt; SOUS-SEGMENT'!$Q$8:$Q$154*'ANALYSE - ERP =&gt; SOUS-SEGMENT'!$IG$8:$IG$154)</f>
        <v>10225.896082909261</v>
      </c>
      <c r="IE43" s="297">
        <f>SUMPRODUCT(('ANALYSE - ERP =&gt; SOUS-SEGMENT'!$C$8:$C$154=$C43)*'ANALYSE - ERP =&gt; SOUS-SEGMENT'!$Q$8:$Q$154*'ANALYSE - ERP =&gt; SOUS-SEGMENT'!$IH$8:$IH$154)</f>
        <v>8371.3891657282365</v>
      </c>
      <c r="IF43" s="297">
        <f>SUMPRODUCT(('ANALYSE - ERP =&gt; SOUS-SEGMENT'!$C$8:$C$154=$C43)*'ANALYSE - ERP =&gt; SOUS-SEGMENT'!$Q$8:$Q$154*'ANALYSE - ERP =&gt; SOUS-SEGMENT'!$II$8:$II$154)</f>
        <v>1515.9977496233387</v>
      </c>
      <c r="IG43" s="297">
        <f>SUMPRODUCT(('ANALYSE - ERP =&gt; SOUS-SEGMENT'!$C$8:$C$154=$C43)*'ANALYSE - ERP =&gt; SOUS-SEGMENT'!$Q$8:$Q$154*'ANALYSE - ERP =&gt; SOUS-SEGMENT'!$IJ$8:$IJ$154)</f>
        <v>121.37518126811334</v>
      </c>
      <c r="IH43" s="888"/>
      <c r="II43" s="298" t="s">
        <v>2701</v>
      </c>
      <c r="IJ43" s="322" t="s">
        <v>6760</v>
      </c>
      <c r="IK43" s="657"/>
      <c r="IL43" s="733">
        <f>IFERROR(SUMPRODUCT(('ANALYSE - ERP =&gt; SOUS-SEGMENT'!$C$8:$C$154=$C43)*'ANALYSE - ERP =&gt; SOUS-SEGMENT'!$Q$8:$Q$154*'ANALYSE - ERP =&gt; SOUS-SEGMENT'!$BE$8:$BE$154*'ANALYSE - ERP =&gt; SOUS-SEGMENT'!$IO$8:$IO$154)/SUMPRODUCT(('ANALYSE - ERP =&gt; SOUS-SEGMENT'!$C$8:$C$154=$C43)*'ANALYSE - ERP =&gt; SOUS-SEGMENT'!$Q$8:$Q$154*'ANALYSE - ERP =&gt; SOUS-SEGMENT'!$BE$8:$BE$154),0)</f>
        <v>8.0000000000000016E-2</v>
      </c>
      <c r="IM43" s="733">
        <f>IFERROR(SUMPRODUCT(('ANALYSE - ERP =&gt; SOUS-SEGMENT'!$C$8:$C$154=$C43)*'ANALYSE - ERP =&gt; SOUS-SEGMENT'!$Q$8:$Q$154*'ANALYSE - ERP =&gt; SOUS-SEGMENT'!$BE$8:$BE$154*'ANALYSE - ERP =&gt; SOUS-SEGMENT'!$IP$8:$IP$154)/SUMPRODUCT(('ANALYSE - ERP =&gt; SOUS-SEGMENT'!$C$8:$C$154=$C43)*'ANALYSE - ERP =&gt; SOUS-SEGMENT'!$Q$8:$Q$154*'ANALYSE - ERP =&gt; SOUS-SEGMENT'!$BE$8:$BE$154),0)</f>
        <v>0.5</v>
      </c>
      <c r="IN43" s="733">
        <f>IFERROR(SUMPRODUCT(('ANALYSE - ERP =&gt; SOUS-SEGMENT'!$C$8:$C$154=$C43)*'ANALYSE - ERP =&gt; SOUS-SEGMENT'!$Q$8:$Q$154*'ANALYSE - ERP =&gt; SOUS-SEGMENT'!$BE$8:$BE$154*'ANALYSE - ERP =&gt; SOUS-SEGMENT'!$IQ$8:$IQ$154)/SUMPRODUCT(('ANALYSE - ERP =&gt; SOUS-SEGMENT'!$C$8:$C$154=$C43)*'ANALYSE - ERP =&gt; SOUS-SEGMENT'!$Q$8:$Q$154*'ANALYSE - ERP =&gt; SOUS-SEGMENT'!$BE$8:$BE$154),0)</f>
        <v>0.37000000000000005</v>
      </c>
      <c r="IO43" s="733">
        <f>IFERROR(SUMPRODUCT(('ANALYSE - ERP =&gt; SOUS-SEGMENT'!$C$8:$C$154=$C43)*'ANALYSE - ERP =&gt; SOUS-SEGMENT'!$Q$8:$Q$154*'ANALYSE - ERP =&gt; SOUS-SEGMENT'!$BE$8:$BE$154*'ANALYSE - ERP =&gt; SOUS-SEGMENT'!$IR$8:$IR$154)/SUMPRODUCT(('ANALYSE - ERP =&gt; SOUS-SEGMENT'!$C$8:$C$154=$C43)*'ANALYSE - ERP =&gt; SOUS-SEGMENT'!$Q$8:$Q$154*'ANALYSE - ERP =&gt; SOUS-SEGMENT'!$BE$8:$BE$154),0)</f>
        <v>0.05</v>
      </c>
      <c r="IP43" s="733">
        <f>IFERROR(SUMPRODUCT(('ANALYSE - ERP =&gt; SOUS-SEGMENT'!$C$8:$C$154=$C43)*'ANALYSE - ERP =&gt; SOUS-SEGMENT'!$Q$8:$Q$154*'ANALYSE - ERP =&gt; SOUS-SEGMENT'!$BE$8:$BE$154*'ANALYSE - ERP =&gt; SOUS-SEGMENT'!$IS$8:$IS$154)/SUMPRODUCT(('ANALYSE - ERP =&gt; SOUS-SEGMENT'!$C$8:$C$154=$C43)*'ANALYSE - ERP =&gt; SOUS-SEGMENT'!$Q$8:$Q$154*'ANALYSE - ERP =&gt; SOUS-SEGMENT'!$BE$8:$BE$154),0)</f>
        <v>0</v>
      </c>
      <c r="IQ43" s="733">
        <f>IFERROR(SUMPRODUCT(('ANALYSE - ERP =&gt; SOUS-SEGMENT'!$C$8:$C$154=$C43)*'ANALYSE - ERP =&gt; SOUS-SEGMENT'!$Q$8:$Q$154*'ANALYSE - ERP =&gt; SOUS-SEGMENT'!$FB$8:$FB$154*'ANALYSE - ERP =&gt; SOUS-SEGMENT'!$IT$8:$IT$154)/SUMPRODUCT(('ANALYSE - ERP =&gt; SOUS-SEGMENT'!$C$8:$C$154=$C43)*'ANALYSE - ERP =&gt; SOUS-SEGMENT'!$Q$8:$Q$154*'ANALYSE - ERP =&gt; SOUS-SEGMENT'!$FB$8:$FB$154),0)</f>
        <v>5.4800000000000008E-2</v>
      </c>
      <c r="IR43" s="733">
        <f>IFERROR(SUMPRODUCT(('ANALYSE - ERP =&gt; SOUS-SEGMENT'!$C$8:$C$154=$C43)*'ANALYSE - ERP =&gt; SOUS-SEGMENT'!$Q$8:$Q$154*'ANALYSE - ERP =&gt; SOUS-SEGMENT'!$FB$8:$FB$154*'ANALYSE - ERP =&gt; SOUS-SEGMENT'!$IU$8:$IU$154)/SUMPRODUCT(('ANALYSE - ERP =&gt; SOUS-SEGMENT'!$C$8:$C$154=$C43)*'ANALYSE - ERP =&gt; SOUS-SEGMENT'!$Q$8:$Q$154*'ANALYSE - ERP =&gt; SOUS-SEGMENT'!$FB$8:$FB$154),0)</f>
        <v>0.46919999999999995</v>
      </c>
      <c r="IS43" s="733">
        <f>IFERROR(SUMPRODUCT(('ANALYSE - ERP =&gt; SOUS-SEGMENT'!$C$8:$C$154=$C43)*'ANALYSE - ERP =&gt; SOUS-SEGMENT'!$Q$8:$Q$154*'ANALYSE - ERP =&gt; SOUS-SEGMENT'!$FB$8:$FB$154*'ANALYSE - ERP =&gt; SOUS-SEGMENT'!$IV$8:$IV$154)/SUMPRODUCT(('ANALYSE - ERP =&gt; SOUS-SEGMENT'!$C$8:$C$154=$C43)*'ANALYSE - ERP =&gt; SOUS-SEGMENT'!$Q$8:$Q$154*'ANALYSE - ERP =&gt; SOUS-SEGMENT'!$FB$8:$FB$154),0)</f>
        <v>0.3952</v>
      </c>
      <c r="IT43" s="733">
        <f>IFERROR(SUMPRODUCT(('ANALYSE - ERP =&gt; SOUS-SEGMENT'!$C$8:$C$154=$C43)*'ANALYSE - ERP =&gt; SOUS-SEGMENT'!$Q$8:$Q$154*'ANALYSE - ERP =&gt; SOUS-SEGMENT'!$FB$8:$FB$154*'ANALYSE - ERP =&gt; SOUS-SEGMENT'!$IW$8:$IW$154)/SUMPRODUCT(('ANALYSE - ERP =&gt; SOUS-SEGMENT'!$C$8:$C$154=$C43)*'ANALYSE - ERP =&gt; SOUS-SEGMENT'!$Q$8:$Q$154*'ANALYSE - ERP =&gt; SOUS-SEGMENT'!$FB$8:$FB$154),0)</f>
        <v>7.5199999999999989E-2</v>
      </c>
      <c r="IU43" s="733">
        <f>IFERROR(SUMPRODUCT(('ANALYSE - ERP =&gt; SOUS-SEGMENT'!$C$8:$C$154=$C43)*'ANALYSE - ERP =&gt; SOUS-SEGMENT'!$Q$8:$Q$154*'ANALYSE - ERP =&gt; SOUS-SEGMENT'!$FB$8:$FB$154*'ANALYSE - ERP =&gt; SOUS-SEGMENT'!$IX$8:$IX$154)/SUMPRODUCT(('ANALYSE - ERP =&gt; SOUS-SEGMENT'!$C$8:$C$154=$C43)*'ANALYSE - ERP =&gt; SOUS-SEGMENT'!$Q$8:$Q$154*'ANALYSE - ERP =&gt; SOUS-SEGMENT'!$FB$8:$FB$154),0)</f>
        <v>5.5999999999999991E-3</v>
      </c>
      <c r="IV43" s="733">
        <f>IFERROR(SUMPRODUCT(('ANALYSE - ERP =&gt; SOUS-SEGMENT'!$C$8:$C$154=$C43)*'ANALYSE - ERP =&gt; SOUS-SEGMENT'!$Q$8:$Q$154*'ANALYSE - ERP =&gt; SOUS-SEGMENT'!$BF$8:$BF$154*'ANALYSE - ERP =&gt; SOUS-SEGMENT'!$IY$8:$IY$154)/SUMPRODUCT(('ANALYSE - ERP =&gt; SOUS-SEGMENT'!$C$8:$C$154=$C43)*'ANALYSE - ERP =&gt; SOUS-SEGMENT'!$Q$8:$Q$154*'ANALYSE - ERP =&gt; SOUS-SEGMENT'!$BF$8:$BF$154),0)</f>
        <v>8.2199999999999995E-2</v>
      </c>
      <c r="IW43" s="733">
        <f>IFERROR(SUMPRODUCT(('ANALYSE - ERP =&gt; SOUS-SEGMENT'!$C$8:$C$154=$C43)*'ANALYSE - ERP =&gt; SOUS-SEGMENT'!$Q$8:$Q$154*'ANALYSE - ERP =&gt; SOUS-SEGMENT'!$BF$8:$BF$154*'ANALYSE - ERP =&gt; SOUS-SEGMENT'!$IZ$8:$IZ$154)/SUMPRODUCT(('ANALYSE - ERP =&gt; SOUS-SEGMENT'!$C$8:$C$154=$C43)*'ANALYSE - ERP =&gt; SOUS-SEGMENT'!$Q$8:$Q$154*'ANALYSE - ERP =&gt; SOUS-SEGMENT'!$BF$8:$BF$154),0)</f>
        <v>0.51400000000000001</v>
      </c>
      <c r="IX43" s="733">
        <f>IFERROR(SUMPRODUCT(('ANALYSE - ERP =&gt; SOUS-SEGMENT'!$C$8:$C$154=$C43)*'ANALYSE - ERP =&gt; SOUS-SEGMENT'!$Q$8:$Q$154*'ANALYSE - ERP =&gt; SOUS-SEGMENT'!$BF$8:$BF$154*'ANALYSE - ERP =&gt; SOUS-SEGMENT'!$JA$8:$JA$154)/SUMPRODUCT(('ANALYSE - ERP =&gt; SOUS-SEGMENT'!$C$8:$C$154=$C43)*'ANALYSE - ERP =&gt; SOUS-SEGMENT'!$Q$8:$Q$154*'ANALYSE - ERP =&gt; SOUS-SEGMENT'!$BF$8:$BF$154),0)</f>
        <v>0.36220000000000002</v>
      </c>
      <c r="IY43" s="733">
        <f>IFERROR(SUMPRODUCT(('ANALYSE - ERP =&gt; SOUS-SEGMENT'!$C$8:$C$154=$C43)*'ANALYSE - ERP =&gt; SOUS-SEGMENT'!$Q$8:$Q$154*'ANALYSE - ERP =&gt; SOUS-SEGMENT'!$BF$8:$BF$154*'ANALYSE - ERP =&gt; SOUS-SEGMENT'!$JB$8:$JB$154)/SUMPRODUCT(('ANALYSE - ERP =&gt; SOUS-SEGMENT'!$C$8:$C$154=$C43)*'ANALYSE - ERP =&gt; SOUS-SEGMENT'!$Q$8:$Q$154*'ANALYSE - ERP =&gt; SOUS-SEGMENT'!$BF$8:$BF$154),0)</f>
        <v>4.1599999999999998E-2</v>
      </c>
      <c r="IZ43" s="733">
        <f>IFERROR(SUMPRODUCT(('ANALYSE - ERP =&gt; SOUS-SEGMENT'!$C$8:$C$154=$C43)*'ANALYSE - ERP =&gt; SOUS-SEGMENT'!$Q$8:$Q$154*'ANALYSE - ERP =&gt; SOUS-SEGMENT'!$BF$8:$BF$154*'ANALYSE - ERP =&gt; SOUS-SEGMENT'!$JC$8:$JC$154)/SUMPRODUCT(('ANALYSE - ERP =&gt; SOUS-SEGMENT'!$C$8:$C$154=$C43)*'ANALYSE - ERP =&gt; SOUS-SEGMENT'!$Q$8:$Q$154*'ANALYSE - ERP =&gt; SOUS-SEGMENT'!$BF$8:$BF$154),0)</f>
        <v>0</v>
      </c>
      <c r="JA43" s="733">
        <f>IFERROR(SUMPRODUCT(('ANALYSE - ERP =&gt; SOUS-SEGMENT'!$C$8:$C$154=$C43)*'ANALYSE - ERP =&gt; SOUS-SEGMENT'!$Q$8:$Q$154*'ANALYSE - ERP =&gt; SOUS-SEGMENT'!$FE$8:$FE$154*'ANALYSE - ERP =&gt; SOUS-SEGMENT'!$JD$8:$JD$154)/SUMPRODUCT(('ANALYSE - ERP =&gt; SOUS-SEGMENT'!$C$8:$C$154=$C43)*'ANALYSE - ERP =&gt; SOUS-SEGMENT'!$Q$8:$Q$154*'ANALYSE - ERP =&gt; SOUS-SEGMENT'!$FE$8:$FE$154),0)</f>
        <v>5.6999999999999995E-2</v>
      </c>
      <c r="JB43" s="733">
        <f>IFERROR(SUMPRODUCT(('ANALYSE - ERP =&gt; SOUS-SEGMENT'!$C$8:$C$154=$C43)*'ANALYSE - ERP =&gt; SOUS-SEGMENT'!$Q$8:$Q$154*'ANALYSE - ERP =&gt; SOUS-SEGMENT'!$FE$8:$FE$154*'ANALYSE - ERP =&gt; SOUS-SEGMENT'!$JE$8:$JE$154)/SUMPRODUCT(('ANALYSE - ERP =&gt; SOUS-SEGMENT'!$C$8:$C$154=$C43)*'ANALYSE - ERP =&gt; SOUS-SEGMENT'!$Q$8:$Q$154*'ANALYSE - ERP =&gt; SOUS-SEGMENT'!$FE$8:$FE$154),0)</f>
        <v>0.48320000000000002</v>
      </c>
      <c r="JC43" s="733">
        <f>IFERROR(SUMPRODUCT(('ANALYSE - ERP =&gt; SOUS-SEGMENT'!$C$8:$C$154=$C43)*'ANALYSE - ERP =&gt; SOUS-SEGMENT'!$Q$8:$Q$154*'ANALYSE - ERP =&gt; SOUS-SEGMENT'!$FE$8:$FE$154*'ANALYSE - ERP =&gt; SOUS-SEGMENT'!$JF$8:$JF$154)/SUMPRODUCT(('ANALYSE - ERP =&gt; SOUS-SEGMENT'!$C$8:$C$154=$C43)*'ANALYSE - ERP =&gt; SOUS-SEGMENT'!$Q$8:$Q$154*'ANALYSE - ERP =&gt; SOUS-SEGMENT'!$FE$8:$FE$154),0)</f>
        <v>0.38740000000000002</v>
      </c>
      <c r="JD43" s="733">
        <f>IFERROR(SUMPRODUCT(('ANALYSE - ERP =&gt; SOUS-SEGMENT'!$C$8:$C$154=$C43)*'ANALYSE - ERP =&gt; SOUS-SEGMENT'!$Q$8:$Q$154*'ANALYSE - ERP =&gt; SOUS-SEGMENT'!$FE$8:$FE$154*'ANALYSE - ERP =&gt; SOUS-SEGMENT'!$JG$8:$JG$154)/SUMPRODUCT(('ANALYSE - ERP =&gt; SOUS-SEGMENT'!$C$8:$C$154=$C43)*'ANALYSE - ERP =&gt; SOUS-SEGMENT'!$Q$8:$Q$154*'ANALYSE - ERP =&gt; SOUS-SEGMENT'!$FE$8:$FE$154),0)</f>
        <v>6.6799999999999998E-2</v>
      </c>
      <c r="JE43" s="733">
        <f>IFERROR(SUMPRODUCT(('ANALYSE - ERP =&gt; SOUS-SEGMENT'!$C$8:$C$154=$C43)*'ANALYSE - ERP =&gt; SOUS-SEGMENT'!$Q$8:$Q$154*'ANALYSE - ERP =&gt; SOUS-SEGMENT'!$FE$8:$FE$154*'ANALYSE - ERP =&gt; SOUS-SEGMENT'!$JH$8:$JH$154)/SUMPRODUCT(('ANALYSE - ERP =&gt; SOUS-SEGMENT'!$C$8:$C$154=$C43)*'ANALYSE - ERP =&gt; SOUS-SEGMENT'!$Q$8:$Q$154*'ANALYSE - ERP =&gt; SOUS-SEGMENT'!$FE$8:$FE$154),0)</f>
        <v>5.5999999999999999E-3</v>
      </c>
      <c r="JF43" s="733">
        <f>IFERROR(SUMPRODUCT(('ANALYSE - ERP =&gt; SOUS-SEGMENT'!$C$8:$C$154=$C43)*'ANALYSE - ERP =&gt; SOUS-SEGMENT'!$Q$8:$Q$154*'ANALYSE - ERP =&gt; SOUS-SEGMENT'!$BG$8:$BG$154*'ANALYSE - ERP =&gt; SOUS-SEGMENT'!$JI$8:$JI$154)/SUMPRODUCT(('ANALYSE - ERP =&gt; SOUS-SEGMENT'!$C$8:$C$154=$C43)*'ANALYSE - ERP =&gt; SOUS-SEGMENT'!$Q$8:$Q$154*'ANALYSE - ERP =&gt; SOUS-SEGMENT'!$BG$8:$BG$154),0)</f>
        <v>0.12870000000000001</v>
      </c>
      <c r="JG43" s="733">
        <f>IFERROR(SUMPRODUCT(('ANALYSE - ERP =&gt; SOUS-SEGMENT'!$C$8:$C$154=$C43)*'ANALYSE - ERP =&gt; SOUS-SEGMENT'!$Q$8:$Q$154*'ANALYSE - ERP =&gt; SOUS-SEGMENT'!$BG$8:$BG$154*'ANALYSE - ERP =&gt; SOUS-SEGMENT'!$JJ$8:$JJ$154)/SUMPRODUCT(('ANALYSE - ERP =&gt; SOUS-SEGMENT'!$C$8:$C$154=$C43)*'ANALYSE - ERP =&gt; SOUS-SEGMENT'!$Q$8:$Q$154*'ANALYSE - ERP =&gt; SOUS-SEGMENT'!$BG$8:$BG$154),0)</f>
        <v>0.60319999999999996</v>
      </c>
      <c r="JH43" s="733">
        <f>IFERROR(SUMPRODUCT(('ANALYSE - ERP =&gt; SOUS-SEGMENT'!$C$8:$C$154=$C43)*'ANALYSE - ERP =&gt; SOUS-SEGMENT'!$Q$8:$Q$154*'ANALYSE - ERP =&gt; SOUS-SEGMENT'!$BG$8:$BG$154*'ANALYSE - ERP =&gt; SOUS-SEGMENT'!$JK$8:$JK$154)/SUMPRODUCT(('ANALYSE - ERP =&gt; SOUS-SEGMENT'!$C$8:$C$154=$C43)*'ANALYSE - ERP =&gt; SOUS-SEGMENT'!$Q$8:$Q$154*'ANALYSE - ERP =&gt; SOUS-SEGMENT'!$BG$8:$BG$154),0)</f>
        <v>0.248</v>
      </c>
      <c r="JI43" s="733">
        <f>IFERROR(SUMPRODUCT(('ANALYSE - ERP =&gt; SOUS-SEGMENT'!$C$8:$C$154=$C43)*'ANALYSE - ERP =&gt; SOUS-SEGMENT'!$Q$8:$Q$154*'ANALYSE - ERP =&gt; SOUS-SEGMENT'!$BG$8:$BG$154*'ANALYSE - ERP =&gt; SOUS-SEGMENT'!$JL$8:$JL$154)/SUMPRODUCT(('ANALYSE - ERP =&gt; SOUS-SEGMENT'!$C$8:$C$154=$C43)*'ANALYSE - ERP =&gt; SOUS-SEGMENT'!$Q$8:$Q$154*'ANALYSE - ERP =&gt; SOUS-SEGMENT'!$BG$8:$BG$154),0)</f>
        <v>2.01E-2</v>
      </c>
      <c r="JJ43" s="733">
        <f>IFERROR(SUMPRODUCT(('ANALYSE - ERP =&gt; SOUS-SEGMENT'!$C$8:$C$154=$C43)*'ANALYSE - ERP =&gt; SOUS-SEGMENT'!$Q$8:$Q$154*'ANALYSE - ERP =&gt; SOUS-SEGMENT'!$BG$8:$BG$154*'ANALYSE - ERP =&gt; SOUS-SEGMENT'!$JM$8:$JM$154)/SUMPRODUCT(('ANALYSE - ERP =&gt; SOUS-SEGMENT'!$C$8:$C$154=$C43)*'ANALYSE - ERP =&gt; SOUS-SEGMENT'!$Q$8:$Q$154*'ANALYSE - ERP =&gt; SOUS-SEGMENT'!$BG$8:$BG$154),0)</f>
        <v>0</v>
      </c>
      <c r="JK43" s="733">
        <f>IFERROR(SUMPRODUCT(('ANALYSE - ERP =&gt; SOUS-SEGMENT'!$C$8:$C$154=$C43)*'ANALYSE - ERP =&gt; SOUS-SEGMENT'!$Q$8:$Q$154*'ANALYSE - ERP =&gt; SOUS-SEGMENT'!$FH$8:$FH$154*'ANALYSE - ERP =&gt; SOUS-SEGMENT'!$JN$8:$JN$154)/SUMPRODUCT(('ANALYSE - ERP =&gt; SOUS-SEGMENT'!$C$8:$C$154=$C43)*'ANALYSE - ERP =&gt; SOUS-SEGMENT'!$Q$8:$Q$154*'ANALYSE - ERP =&gt; SOUS-SEGMENT'!$FH$8:$FH$154),0)</f>
        <v>0.10349999999999999</v>
      </c>
      <c r="JL43" s="733">
        <f>IFERROR(SUMPRODUCT(('ANALYSE - ERP =&gt; SOUS-SEGMENT'!$C$8:$C$154=$C43)*'ANALYSE - ERP =&gt; SOUS-SEGMENT'!$Q$8:$Q$154*'ANALYSE - ERP =&gt; SOUS-SEGMENT'!$FH$8:$FH$154*'ANALYSE - ERP =&gt; SOUS-SEGMENT'!$JO$8:$JO$154)/SUMPRODUCT(('ANALYSE - ERP =&gt; SOUS-SEGMENT'!$C$8:$C$154=$C43)*'ANALYSE - ERP =&gt; SOUS-SEGMENT'!$Q$8:$Q$154*'ANALYSE - ERP =&gt; SOUS-SEGMENT'!$FH$8:$FH$154),0)</f>
        <v>0.57240000000000002</v>
      </c>
      <c r="JM43" s="733">
        <f>IFERROR(SUMPRODUCT(('ANALYSE - ERP =&gt; SOUS-SEGMENT'!$C$8:$C$154=$C43)*'ANALYSE - ERP =&gt; SOUS-SEGMENT'!$Q$8:$Q$154*'ANALYSE - ERP =&gt; SOUS-SEGMENT'!$FH$8:$FH$154*'ANALYSE - ERP =&gt; SOUS-SEGMENT'!$JP$8:$JP$154)/SUMPRODUCT(('ANALYSE - ERP =&gt; SOUS-SEGMENT'!$C$8:$C$154=$C43)*'ANALYSE - ERP =&gt; SOUS-SEGMENT'!$Q$8:$Q$154*'ANALYSE - ERP =&gt; SOUS-SEGMENT'!$FH$8:$FH$154),0)</f>
        <v>0.2732</v>
      </c>
      <c r="JN43" s="733">
        <f>IFERROR(SUMPRODUCT(('ANALYSE - ERP =&gt; SOUS-SEGMENT'!$C$8:$C$154=$C43)*'ANALYSE - ERP =&gt; SOUS-SEGMENT'!$Q$8:$Q$154*'ANALYSE - ERP =&gt; SOUS-SEGMENT'!$FH$8:$FH$154*'ANALYSE - ERP =&gt; SOUS-SEGMENT'!$JQ$8:$JQ$154)/SUMPRODUCT(('ANALYSE - ERP =&gt; SOUS-SEGMENT'!$C$8:$C$154=$C43)*'ANALYSE - ERP =&gt; SOUS-SEGMENT'!$Q$8:$Q$154*'ANALYSE - ERP =&gt; SOUS-SEGMENT'!$FH$8:$FH$154),0)</f>
        <v>4.53E-2</v>
      </c>
      <c r="JO43" s="733">
        <f>IFERROR(SUMPRODUCT(('ANALYSE - ERP =&gt; SOUS-SEGMENT'!$C$8:$C$154=$C43)*'ANALYSE - ERP =&gt; SOUS-SEGMENT'!$Q$8:$Q$154*'ANALYSE - ERP =&gt; SOUS-SEGMENT'!$FH$8:$FH$154*'ANALYSE - ERP =&gt; SOUS-SEGMENT'!$JR$8:$JR$154)/SUMPRODUCT(('ANALYSE - ERP =&gt; SOUS-SEGMENT'!$C$8:$C$154=$C43)*'ANALYSE - ERP =&gt; SOUS-SEGMENT'!$Q$8:$Q$154*'ANALYSE - ERP =&gt; SOUS-SEGMENT'!$FH$8:$FH$154),0)</f>
        <v>5.5999999999999999E-3</v>
      </c>
      <c r="JP43" s="733">
        <f>IFERROR(SUMPRODUCT(('ANALYSE - ERP =&gt; SOUS-SEGMENT'!$C$8:$C$154=$C43)*'ANALYSE - ERP =&gt; SOUS-SEGMENT'!$Q$8:$Q$154*'ANALYSE - ERP =&gt; SOUS-SEGMENT'!$BH$8:$BH$154*'ANALYSE - ERP =&gt; SOUS-SEGMENT'!$JS$8:$JS$154)/SUMPRODUCT(('ANALYSE - ERP =&gt; SOUS-SEGMENT'!$C$8:$C$154=$C43)*'ANALYSE - ERP =&gt; SOUS-SEGMENT'!$Q$8:$Q$154*'ANALYSE - ERP =&gt; SOUS-SEGMENT'!$BH$8:$BH$154),0)</f>
        <v>8.5800000000000001E-2</v>
      </c>
      <c r="JQ43" s="733">
        <f>IFERROR(SUMPRODUCT(('ANALYSE - ERP =&gt; SOUS-SEGMENT'!$C$8:$C$154=$C43)*'ANALYSE - ERP =&gt; SOUS-SEGMENT'!$Q$8:$Q$154*'ANALYSE - ERP =&gt; SOUS-SEGMENT'!$BH$8:$BH$154*'ANALYSE - ERP =&gt; SOUS-SEGMENT'!$JT$8:$JT$154)/SUMPRODUCT(('ANALYSE - ERP =&gt; SOUS-SEGMENT'!$C$8:$C$154=$C43)*'ANALYSE - ERP =&gt; SOUS-SEGMENT'!$Q$8:$Q$154*'ANALYSE - ERP =&gt; SOUS-SEGMENT'!$BH$8:$BH$154),0)</f>
        <v>0.51190000000000002</v>
      </c>
      <c r="JR43" s="733">
        <f>IFERROR(SUMPRODUCT(('ANALYSE - ERP =&gt; SOUS-SEGMENT'!$C$8:$C$154=$C43)*'ANALYSE - ERP =&gt; SOUS-SEGMENT'!$Q$8:$Q$154*'ANALYSE - ERP =&gt; SOUS-SEGMENT'!$BH$8:$BH$154*'ANALYSE - ERP =&gt; SOUS-SEGMENT'!$JU$8:$JU$154)/SUMPRODUCT(('ANALYSE - ERP =&gt; SOUS-SEGMENT'!$C$8:$C$154=$C43)*'ANALYSE - ERP =&gt; SOUS-SEGMENT'!$Q$8:$Q$154*'ANALYSE - ERP =&gt; SOUS-SEGMENT'!$BH$8:$BH$154),0)</f>
        <v>0.36080000000000001</v>
      </c>
      <c r="JS43" s="733">
        <f>IFERROR(SUMPRODUCT(('ANALYSE - ERP =&gt; SOUS-SEGMENT'!$C$8:$C$154=$C43)*'ANALYSE - ERP =&gt; SOUS-SEGMENT'!$Q$8:$Q$154*'ANALYSE - ERP =&gt; SOUS-SEGMENT'!$BH$8:$BH$154*'ANALYSE - ERP =&gt; SOUS-SEGMENT'!$JV$8:$JV$154)/SUMPRODUCT(('ANALYSE - ERP =&gt; SOUS-SEGMENT'!$C$8:$C$154=$C43)*'ANALYSE - ERP =&gt; SOUS-SEGMENT'!$Q$8:$Q$154*'ANALYSE - ERP =&gt; SOUS-SEGMENT'!$BH$8:$BH$154),0)</f>
        <v>4.1399999999999999E-2</v>
      </c>
      <c r="JT43" s="733">
        <f>IFERROR(SUMPRODUCT(('ANALYSE - ERP =&gt; SOUS-SEGMENT'!$C$8:$C$154=$C43)*'ANALYSE - ERP =&gt; SOUS-SEGMENT'!$Q$8:$Q$154*'ANALYSE - ERP =&gt; SOUS-SEGMENT'!$BH$8:$BH$154*'ANALYSE - ERP =&gt; SOUS-SEGMENT'!$JW$8:$JW$154)/SUMPRODUCT(('ANALYSE - ERP =&gt; SOUS-SEGMENT'!$C$8:$C$154=$C43)*'ANALYSE - ERP =&gt; SOUS-SEGMENT'!$Q$8:$Q$154*'ANALYSE - ERP =&gt; SOUS-SEGMENT'!$BH$8:$BH$154),0)</f>
        <v>9.9999999999999991E-5</v>
      </c>
      <c r="JU43" s="733">
        <f>IFERROR(SUMPRODUCT(('ANALYSE - ERP =&gt; SOUS-SEGMENT'!$C$8:$C$154=$C43)*'ANALYSE - ERP =&gt; SOUS-SEGMENT'!$Q$8:$Q$154*'ANALYSE - ERP =&gt; SOUS-SEGMENT'!$FK$8:$FK$154*'ANALYSE - ERP =&gt; SOUS-SEGMENT'!$JX$8:$JX$154)/SUMPRODUCT(('ANALYSE - ERP =&gt; SOUS-SEGMENT'!$C$8:$C$154=$C43)*'ANALYSE - ERP =&gt; SOUS-SEGMENT'!$Q$8:$Q$154*'ANALYSE - ERP =&gt; SOUS-SEGMENT'!$FK$8:$FK$154),0)</f>
        <v>6.0600000000000001E-2</v>
      </c>
      <c r="JV43" s="733">
        <f>IFERROR(SUMPRODUCT(('ANALYSE - ERP =&gt; SOUS-SEGMENT'!$C$8:$C$154=$C43)*'ANALYSE - ERP =&gt; SOUS-SEGMENT'!$Q$8:$Q$154*'ANALYSE - ERP =&gt; SOUS-SEGMENT'!$FK$8:$FK$154*'ANALYSE - ERP =&gt; SOUS-SEGMENT'!$JY$8:$JY$154)/SUMPRODUCT(('ANALYSE - ERP =&gt; SOUS-SEGMENT'!$C$8:$C$154=$C43)*'ANALYSE - ERP =&gt; SOUS-SEGMENT'!$Q$8:$Q$154*'ANALYSE - ERP =&gt; SOUS-SEGMENT'!$FK$8:$FK$154),0)</f>
        <v>0.48109999999999992</v>
      </c>
      <c r="JW43" s="733">
        <f>IFERROR(SUMPRODUCT(('ANALYSE - ERP =&gt; SOUS-SEGMENT'!$C$8:$C$154=$C43)*'ANALYSE - ERP =&gt; SOUS-SEGMENT'!$Q$8:$Q$154*'ANALYSE - ERP =&gt; SOUS-SEGMENT'!$FK$8:$FK$154*'ANALYSE - ERP =&gt; SOUS-SEGMENT'!$JZ$8:$JZ$154)/SUMPRODUCT(('ANALYSE - ERP =&gt; SOUS-SEGMENT'!$C$8:$C$154=$C43)*'ANALYSE - ERP =&gt; SOUS-SEGMENT'!$Q$8:$Q$154*'ANALYSE - ERP =&gt; SOUS-SEGMENT'!$FK$8:$FK$154),0)</f>
        <v>0.38599999999999995</v>
      </c>
      <c r="JX43" s="733">
        <f>IFERROR(SUMPRODUCT(('ANALYSE - ERP =&gt; SOUS-SEGMENT'!$C$8:$C$154=$C43)*'ANALYSE - ERP =&gt; SOUS-SEGMENT'!$Q$8:$Q$154*'ANALYSE - ERP =&gt; SOUS-SEGMENT'!$FK$8:$FK$154*'ANALYSE - ERP =&gt; SOUS-SEGMENT'!$KA$8:$KA$154)/SUMPRODUCT(('ANALYSE - ERP =&gt; SOUS-SEGMENT'!$C$8:$C$154=$C43)*'ANALYSE - ERP =&gt; SOUS-SEGMENT'!$Q$8:$Q$154*'ANALYSE - ERP =&gt; SOUS-SEGMENT'!$FK$8:$FK$154),0)</f>
        <v>6.6600000000000006E-2</v>
      </c>
      <c r="JY43" s="733">
        <f>IFERROR(SUMPRODUCT(('ANALYSE - ERP =&gt; SOUS-SEGMENT'!$C$8:$C$154=$C43)*'ANALYSE - ERP =&gt; SOUS-SEGMENT'!$Q$8:$Q$154*'ANALYSE - ERP =&gt; SOUS-SEGMENT'!$FK$8:$FK$154*'ANALYSE - ERP =&gt; SOUS-SEGMENT'!$KB$8:$KB$154)/SUMPRODUCT(('ANALYSE - ERP =&gt; SOUS-SEGMENT'!$C$8:$C$154=$C43)*'ANALYSE - ERP =&gt; SOUS-SEGMENT'!$Q$8:$Q$154*'ANALYSE - ERP =&gt; SOUS-SEGMENT'!$FK$8:$FK$154),0)</f>
        <v>5.7000000000000002E-3</v>
      </c>
      <c r="JZ43" s="657"/>
      <c r="KA43" s="298" t="s">
        <v>2590</v>
      </c>
      <c r="KB43" s="298" t="s">
        <v>2591</v>
      </c>
      <c r="KC43" s="888">
        <f>IFERROR(SUMPRODUCT(('ANALYSE - ERP =&gt; SOUS-SEGMENT'!$C$8:$C$154=$C44)*'ANALYSE - ERP =&gt; SOUS-SEGMENT'!$Q$8:$Q$154*'ANALYSE - ERP =&gt; SOUS-SEGMENT'!$EX$8:$EX$154*'ANALYSE - ERP =&gt; SOUS-SEGMENT'!$KF$8:$KF$154)/SUMPRODUCT(('ANALYSE - ERP =&gt; SOUS-SEGMENT'!$C$8:$C$154=$C44)*'ANALYSE - ERP =&gt; SOUS-SEGMENT'!$Q$8:$Q$154*'ANALYSE - ERP =&gt; SOUS-SEGMENT'!$EX$8:$EX$154),"")</f>
        <v>3.815381321479177</v>
      </c>
      <c r="KD43" s="298" t="s">
        <v>2589</v>
      </c>
      <c r="KE43" s="300" t="s">
        <v>5212</v>
      </c>
      <c r="KF43" s="298" t="s">
        <v>6760</v>
      </c>
      <c r="KG43" s="300" t="s">
        <v>6760</v>
      </c>
    </row>
    <row r="44" spans="1:293" s="933" customFormat="1" ht="48" customHeight="1">
      <c r="A44" s="629">
        <v>13</v>
      </c>
      <c r="B44" s="630" t="s">
        <v>3662</v>
      </c>
      <c r="C44" s="630" t="s">
        <v>3124</v>
      </c>
      <c r="D44" s="630" t="s">
        <v>7523</v>
      </c>
      <c r="E44" s="631" t="s">
        <v>3008</v>
      </c>
      <c r="F44" s="631" t="s">
        <v>3165</v>
      </c>
      <c r="G44" s="631" t="s">
        <v>300</v>
      </c>
      <c r="H44" s="631" t="s">
        <v>2109</v>
      </c>
      <c r="I44" s="632" t="s">
        <v>7524</v>
      </c>
      <c r="J44" s="632" t="s">
        <v>7525</v>
      </c>
      <c r="K44" s="633" t="s">
        <v>2097</v>
      </c>
      <c r="L44" s="633" t="s">
        <v>2109</v>
      </c>
      <c r="M44" s="633" t="s">
        <v>3168</v>
      </c>
      <c r="N44" s="633" t="s">
        <v>6742</v>
      </c>
      <c r="O44" s="631" t="s">
        <v>3170</v>
      </c>
      <c r="P44" s="632"/>
      <c r="Q44" s="627">
        <f>IF(SUMPRODUCT(('ANALYSE - ERP =&gt; SOUS-SEGMENT'!$C$8:$C$154=$C44)*'ANALYSE - ERP =&gt; SOUS-SEGMENT'!$Q$8:$Q$154)&gt;0,1,0)</f>
        <v>1</v>
      </c>
      <c r="R44" s="634">
        <f>IFERROR(SUMPRODUCT(('ANALYSE - ERP =&gt; SOUS-SEGMENT'!$C$8:$C$154=$C44)*'ANALYSE - ERP =&gt; SOUS-SEGMENT'!$Q$8:$Q$154*'ANALYSE - ERP =&gt; SOUS-SEGMENT'!$AG$8:$AG$154*'ANALYSE - ERP =&gt; SOUS-SEGMENT'!$R$8:$R$154)/SUMPRODUCT(('ANALYSE - ERP =&gt; SOUS-SEGMENT'!$C$8:$C$154=$C44)*'ANALYSE - ERP =&gt; SOUS-SEGMENT'!$Q$8:$Q$154*'ANALYSE - ERP =&gt; SOUS-SEGMENT'!$AG$8:$AG$154),"")</f>
        <v>2406.2916481563748</v>
      </c>
      <c r="S44" s="635">
        <f>SUMPRODUCT(('ANALYSE - ERP =&gt; SOUS-SEGMENT'!$C$8:$C$154=$C44)*'ANALYSE - ERP =&gt; SOUS-SEGMENT'!$Q$8:$Q$154*'ANALYSE - ERP =&gt; SOUS-SEGMENT'!$S$8:$S$154)</f>
        <v>13349</v>
      </c>
      <c r="T44" s="635">
        <f>SUMPRODUCT(('ANALYSE - ERP =&gt; SOUS-SEGMENT'!$C$8:$C$154=$C44)*'ANALYSE - ERP =&gt; SOUS-SEGMENT'!$Q$8:$Q$154*'ANALYSE - ERP =&gt; SOUS-SEGMENT'!$T$8:$T$154)</f>
        <v>13373</v>
      </c>
      <c r="U44" s="635">
        <f>SUMPRODUCT(('ANALYSE - ERP =&gt; SOUS-SEGMENT'!$C$8:$C$154=$C44)*'ANALYSE - ERP =&gt; SOUS-SEGMENT'!$Q$8:$Q$154*'ANALYSE - ERP =&gt; SOUS-SEGMENT'!$U$8:$U$154)</f>
        <v>13398</v>
      </c>
      <c r="V44" s="635">
        <f>SUMPRODUCT(('ANALYSE - ERP =&gt; SOUS-SEGMENT'!$C$8:$C$154=$C44)*'ANALYSE - ERP =&gt; SOUS-SEGMENT'!$Q$8:$Q$154*'ANALYSE - ERP =&gt; SOUS-SEGMENT'!$V$8:$V$154)</f>
        <v>13432</v>
      </c>
      <c r="W44" s="635">
        <f>SUMPRODUCT(('ANALYSE - ERP =&gt; SOUS-SEGMENT'!$C$8:$C$154=$C44)*'ANALYSE - ERP =&gt; SOUS-SEGMENT'!$Q$8:$Q$154*'ANALYSE - ERP =&gt; SOUS-SEGMENT'!$W$8:$W$154)</f>
        <v>13439</v>
      </c>
      <c r="X44" s="635">
        <f>SUMPRODUCT(('ANALYSE - ERP =&gt; SOUS-SEGMENT'!$C$8:$C$154=$C44)*'ANALYSE - ERP =&gt; SOUS-SEGMENT'!$Q$8:$Q$154*'ANALYSE - ERP =&gt; SOUS-SEGMENT'!$X$8:$X$154)</f>
        <v>13445</v>
      </c>
      <c r="Y44" s="635">
        <f>SUMPRODUCT(('ANALYSE - ERP =&gt; SOUS-SEGMENT'!$C$8:$C$154=$C44)*'ANALYSE - ERP =&gt; SOUS-SEGMENT'!$Q$8:$Q$154*'ANALYSE - ERP =&gt; SOUS-SEGMENT'!$Y$8:$Y$154)</f>
        <v>13451</v>
      </c>
      <c r="Z44" s="635">
        <f>SUMPRODUCT(('ANALYSE - ERP =&gt; SOUS-SEGMENT'!$C$8:$C$154=$C44)*'ANALYSE - ERP =&gt; SOUS-SEGMENT'!$Q$8:$Q$154*'ANALYSE - ERP =&gt; SOUS-SEGMENT'!$Z$8:$Z$154)</f>
        <v>13455</v>
      </c>
      <c r="AA44" s="635">
        <f>SUMPRODUCT(('ANALYSE - ERP =&gt; SOUS-SEGMENT'!$C$8:$C$154=$C44)*'ANALYSE - ERP =&gt; SOUS-SEGMENT'!$Q$8:$Q$154*'ANALYSE - ERP =&gt; SOUS-SEGMENT'!$AA$8:$AA$154)</f>
        <v>13445</v>
      </c>
      <c r="AB44" s="635">
        <f>SUMPRODUCT(('ANALYSE - ERP =&gt; SOUS-SEGMENT'!$C$8:$C$154=$C44)*'ANALYSE - ERP =&gt; SOUS-SEGMENT'!$Q$8:$Q$154*'ANALYSE - ERP =&gt; SOUS-SEGMENT'!$AB$8:$AB$154)</f>
        <v>13455</v>
      </c>
      <c r="AC44" s="635">
        <f>SUMPRODUCT(('ANALYSE - ERP =&gt; SOUS-SEGMENT'!$C$8:$C$154=$C44)*'ANALYSE - ERP =&gt; SOUS-SEGMENT'!$Q$8:$Q$154*'ANALYSE - ERP =&gt; SOUS-SEGMENT'!$AC$8:$AC$154)</f>
        <v>13466</v>
      </c>
      <c r="AD44" s="635">
        <f>SUMPRODUCT(('ANALYSE - ERP =&gt; SOUS-SEGMENT'!$C$8:$C$154=$C44)*'ANALYSE - ERP =&gt; SOUS-SEGMENT'!$Q$8:$Q$154*'ANALYSE - ERP =&gt; SOUS-SEGMENT'!$AD$8:$AD$154)</f>
        <v>13477</v>
      </c>
      <c r="AE44" s="635">
        <f>SUMPRODUCT(('ANALYSE - ERP =&gt; SOUS-SEGMENT'!$C$8:$C$154=$C44)*'ANALYSE - ERP =&gt; SOUS-SEGMENT'!$Q$8:$Q$154*'ANALYSE - ERP =&gt; SOUS-SEGMENT'!$AE$8:$AE$154)</f>
        <v>13489</v>
      </c>
      <c r="AF44" s="635">
        <f>SUMPRODUCT(('ANALYSE - ERP =&gt; SOUS-SEGMENT'!$C$8:$C$154=$C44)*'ANALYSE - ERP =&gt; SOUS-SEGMENT'!$Q$8:$Q$154*'ANALYSE - ERP =&gt; SOUS-SEGMENT'!$AF$8:$AF$154)</f>
        <v>13499</v>
      </c>
      <c r="AG44" s="635">
        <f>SUMPRODUCT(('ANALYSE - ERP =&gt; SOUS-SEGMENT'!$C$8:$C$154=$C44)*'ANALYSE - ERP =&gt; SOUS-SEGMENT'!$Q$8:$Q$154*'ANALYSE - ERP =&gt; SOUS-SEGMENT'!$AG$8:$AG$154)</f>
        <v>13506</v>
      </c>
      <c r="AH44" s="635">
        <f>SUMPRODUCT(('ANALYSE - ERP =&gt; SOUS-SEGMENT'!$C$8:$C$154=$C44)*'ANALYSE - ERP =&gt; SOUS-SEGMENT'!$Q$8:$Q$154*'ANALYSE - ERP =&gt; SOUS-SEGMENT'!$AH$8:$AH$154)</f>
        <v>13511</v>
      </c>
      <c r="AI44" s="635">
        <f>SUMPRODUCT(('ANALYSE - ERP =&gt; SOUS-SEGMENT'!$C$8:$C$154=$C44)*'ANALYSE - ERP =&gt; SOUS-SEGMENT'!$Q$8:$Q$154*'ANALYSE - ERP =&gt; SOUS-SEGMENT'!$AI$8:$AI$154)</f>
        <v>13517</v>
      </c>
      <c r="AJ44" s="635">
        <f>SUMPRODUCT(('ANALYSE - ERP =&gt; SOUS-SEGMENT'!$C$8:$C$154=$C44)*'ANALYSE - ERP =&gt; SOUS-SEGMENT'!$Q$8:$Q$154*'ANALYSE - ERP =&gt; SOUS-SEGMENT'!$AJ$8:$AJ$154)</f>
        <v>13523</v>
      </c>
      <c r="AK44" s="635">
        <f>SUMPRODUCT(('ANALYSE - ERP =&gt; SOUS-SEGMENT'!$C$8:$C$154=$C44)*'ANALYSE - ERP =&gt; SOUS-SEGMENT'!$Q$8:$Q$154*'ANALYSE - ERP =&gt; SOUS-SEGMENT'!$AK$8:$AK$154)</f>
        <v>13530</v>
      </c>
      <c r="AL44" s="632" t="s">
        <v>7471</v>
      </c>
      <c r="AM44" s="632" t="s">
        <v>7472</v>
      </c>
      <c r="AN44" s="632" t="s">
        <v>3173</v>
      </c>
      <c r="AO44" s="657"/>
      <c r="AP44" s="634">
        <f>IFERROR(SUMPRODUCT(('ANALYSE - ERP =&gt; SOUS-SEGMENT'!$C$8:$C$154=$C44)*'ANALYSE - ERP =&gt; SOUS-SEGMENT'!$Q$8:$Q$154*'ANALYSE - ERP =&gt; SOUS-SEGMENT'!$AG$8:$AG$154*'ANALYSE - ERP =&gt; SOUS-SEGMENT'!$AP$8:$AP$154)/SUMPRODUCT(('ANALYSE - ERP =&gt; SOUS-SEGMENT'!$C$8:$C$154=$C44)*'ANALYSE - ERP =&gt; SOUS-SEGMENT'!$Q$8:$Q$154*'ANALYSE - ERP =&gt; SOUS-SEGMENT'!$AG$8:$AG$154),"")</f>
        <v>153.17266400118467</v>
      </c>
      <c r="AQ44" s="634">
        <f>IFERROR(SUMPRODUCT(('ANALYSE - ERP =&gt; SOUS-SEGMENT'!$C$8:$C$154=$C44)*'ANALYSE - ERP =&gt; SOUS-SEGMENT'!$Q$8:$Q$154*'ANALYSE - ERP =&gt; SOUS-SEGMENT'!$AF$8:$AF$154*'ANALYSE - ERP =&gt; SOUS-SEGMENT'!$AQ$8:$AQ$154)/SUMPRODUCT(('ANALYSE - ERP =&gt; SOUS-SEGMENT'!$C$8:$C$154=$C44)*'ANALYSE - ERP =&gt; SOUS-SEGMENT'!$Q$8:$Q$154*'ANALYSE - ERP =&gt; SOUS-SEGMENT'!$AF$8:$AF$154),"")</f>
        <v>134.26624194384769</v>
      </c>
      <c r="AR44" s="634">
        <f>IFERROR(SUMPRODUCT(('ANALYSE - ERP =&gt; SOUS-SEGMENT'!$C$8:$C$154=$C44)*'ANALYSE - ERP =&gt; SOUS-SEGMENT'!$Q$8:$Q$154*'ANALYSE - ERP =&gt; SOUS-SEGMENT'!$AF$8:$AF$154*'ANALYSE - ERP =&gt; SOUS-SEGMENT'!$AR$8:$AR$154)/SUMPRODUCT(('ANALYSE - ERP =&gt; SOUS-SEGMENT'!$C$8:$C$154=$C44)*'ANALYSE - ERP =&gt; SOUS-SEGMENT'!$Q$8:$Q$154*'ANALYSE - ERP =&gt; SOUS-SEGMENT'!$AF$8:$AF$154),"")</f>
        <v>14.278094673679531</v>
      </c>
      <c r="AS44" s="634">
        <f>IFERROR(SUMPRODUCT(('ANALYSE - ERP =&gt; SOUS-SEGMENT'!$C$8:$C$154=$C44)*'ANALYSE - ERP =&gt; SOUS-SEGMENT'!$Q$8:$Q$154*'ANALYSE - ERP =&gt; SOUS-SEGMENT'!$AF$8:$AF$154*'ANALYSE - ERP =&gt; SOUS-SEGMENT'!$AS$8:$AS$154)/SUMPRODUCT(('ANALYSE - ERP =&gt; SOUS-SEGMENT'!$C$8:$C$154=$C44)*'ANALYSE - ERP =&gt; SOUS-SEGMENT'!$Q$8:$Q$154*'ANALYSE - ERP =&gt; SOUS-SEGMENT'!$AF$8:$AF$154),"")</f>
        <v>3.2817245721905328</v>
      </c>
      <c r="AT44" s="657" t="s">
        <v>7526</v>
      </c>
      <c r="AU44" s="636" t="s">
        <v>7527</v>
      </c>
      <c r="AV44" s="637" t="s">
        <v>2890</v>
      </c>
      <c r="AW44" s="636"/>
      <c r="AX44" s="657"/>
      <c r="AY44" s="638">
        <f>IFERROR(SUMPRODUCT(('ANALYSE - ERP =&gt; SOUS-SEGMENT'!$C$8:$C$154=$C44)*'ANALYSE - ERP =&gt; SOUS-SEGMENT'!$Q$8:$Q$154*'ANALYSE - ERP =&gt; SOUS-SEGMENT'!$AF$8:$AF$154*'ANALYSE - ERP =&gt; SOUS-SEGMENT'!$AZ$8:$AZ$154)/SUMPRODUCT(('ANALYSE - ERP =&gt; SOUS-SEGMENT'!$C$8:$C$154=$C44)*'ANALYSE - ERP =&gt; SOUS-SEGMENT'!$Q$8:$Q$154*'ANALYSE - ERP =&gt; SOUS-SEGMENT'!$AF$8:$AF$154),"")</f>
        <v>8.4832950588932512</v>
      </c>
      <c r="AZ44" s="979">
        <f>IFERROR(SUMPRODUCT(('ANALYSE - ERP =&gt; SOUS-SEGMENT'!$C$8:$C$154=$C44)*'ANALYSE - ERP =&gt; SOUS-SEGMENT'!$Q$8:$Q$154*'ANALYSE - ERP =&gt; SOUS-SEGMENT'!$AF$8:$AF$154*'ANALYSE - ERP =&gt; SOUS-SEGMENT'!$BA$8:$BA$154)/SUMPRODUCT(('ANALYSE - ERP =&gt; SOUS-SEGMENT'!$C$8:$C$154=$C44)*'ANALYSE - ERP =&gt; SOUS-SEGMENT'!$Q$8:$Q$154*'ANALYSE - ERP =&gt; SOUS-SEGMENT'!$AF$8:$AF$154),"")</f>
        <v>1.3704718868064301</v>
      </c>
      <c r="BA44" s="638">
        <f>IFERROR(SUMPRODUCT(('ANALYSE - ERP =&gt; SOUS-SEGMENT'!$C$8:$C$154=$C44)*'ANALYSE - ERP =&gt; SOUS-SEGMENT'!$Q$8:$Q$154*'ANALYSE - ERP =&gt; SOUS-SEGMENT'!$AF$8:$AF$154*'ANALYSE - ERP =&gt; SOUS-SEGMENT'!$BB$8:$BB$154)/SUMPRODUCT(('ANALYSE - ERP =&gt; SOUS-SEGMENT'!$C$8:$C$154=$C44)*'ANALYSE - ERP =&gt; SOUS-SEGMENT'!$Q$8:$Q$154*'ANALYSE - ERP =&gt; SOUS-SEGMENT'!$AF$8:$AF$154),"")</f>
        <v>1.7032372768353212</v>
      </c>
      <c r="BB44" s="638">
        <f>IFERROR(SUMPRODUCT(('ANALYSE - ERP =&gt; SOUS-SEGMENT'!$C$8:$C$154=$C44)*'ANALYSE - ERP =&gt; SOUS-SEGMENT'!$Q$8:$Q$154*'ANALYSE - ERP =&gt; SOUS-SEGMENT'!$AF$8:$AF$154*'ANALYSE - ERP =&gt; SOUS-SEGMENT'!$BC$8:$BC$154)/SUMPRODUCT(('ANALYSE - ERP =&gt; SOUS-SEGMENT'!$C$8:$C$154=$C44)*'ANALYSE - ERP =&gt; SOUS-SEGMENT'!$Q$8:$Q$154*'ANALYSE - ERP =&gt; SOUS-SEGMENT'!$AF$8:$AF$154),"")</f>
        <v>7.5904881843099492</v>
      </c>
      <c r="BC44" s="639">
        <f>SUMPRODUCT(('ANALYSE - ERP =&gt; SOUS-SEGMENT'!$C$8:$C$154=$C44)*'ANALYSE - ERP =&gt; SOUS-SEGMENT'!$Q$8:$Q$154*'ANALYSE - ERP =&gt; SOUS-SEGMENT'!$BE$8:$BE$154)</f>
        <v>114516</v>
      </c>
      <c r="BD44" s="639">
        <f>SUMPRODUCT(('ANALYSE - ERP =&gt; SOUS-SEGMENT'!$C$8:$C$154=$C44)*'ANALYSE - ERP =&gt; SOUS-SEGMENT'!$Q$8:$Q$154*'ANALYSE - ERP =&gt; SOUS-SEGMENT'!$BF$8:$BF$154)</f>
        <v>18500</v>
      </c>
      <c r="BE44" s="639">
        <f>SUMPRODUCT(('ANALYSE - ERP =&gt; SOUS-SEGMENT'!$C$8:$C$154=$C44)*'ANALYSE - ERP =&gt; SOUS-SEGMENT'!$Q$8:$Q$154*'ANALYSE - ERP =&gt; SOUS-SEGMENT'!$BG$8:$BG$154)</f>
        <v>22992</v>
      </c>
      <c r="BF44" s="639">
        <f>SUMPRODUCT(('ANALYSE - ERP =&gt; SOUS-SEGMENT'!$C$8:$C$154=$C44)*'ANALYSE - ERP =&gt; SOUS-SEGMENT'!$Q$8:$Q$154*'ANALYSE - ERP =&gt; SOUS-SEGMENT'!$BH$8:$BH$154)</f>
        <v>102464</v>
      </c>
      <c r="BG44" s="639">
        <f>SUMPRODUCT(('ANALYSE - ERP =&gt; SOUS-SEGMENT'!$C$8:$C$154=$C44)*'ANALYSE - ERP =&gt; SOUS-SEGMENT'!$Q$8:$Q$154*'ANALYSE - ERP =&gt; SOUS-SEGMENT'!$BJ$8:$BJ$154)</f>
        <v>115074</v>
      </c>
      <c r="BH44" s="639">
        <f>SUMPRODUCT(('ANALYSE - ERP =&gt; SOUS-SEGMENT'!$C$8:$C$154=$C44)*'ANALYSE - ERP =&gt; SOUS-SEGMENT'!$Q$8:$Q$154*'ANALYSE - ERP =&gt; SOUS-SEGMENT'!$BK$8:$BK$154)</f>
        <v>18775</v>
      </c>
      <c r="BI44" s="639">
        <f>SUMPRODUCT(('ANALYSE - ERP =&gt; SOUS-SEGMENT'!$C$8:$C$154=$C44)*'ANALYSE - ERP =&gt; SOUS-SEGMENT'!$Q$8:$Q$154*'ANALYSE - ERP =&gt; SOUS-SEGMENT'!$BL$8:$BL$154)</f>
        <v>23140</v>
      </c>
      <c r="BJ44" s="639">
        <f>SUMPRODUCT(('ANALYSE - ERP =&gt; SOUS-SEGMENT'!$C$8:$C$154=$C44)*'ANALYSE - ERP =&gt; SOUS-SEGMENT'!$Q$8:$Q$154*'ANALYSE - ERP =&gt; SOUS-SEGMENT'!$BM$8:$BM$154)</f>
        <v>103021</v>
      </c>
      <c r="BK44" s="657"/>
      <c r="BL44" s="284">
        <f>IFERROR(SUMPRODUCT(('ANALYSE - ERP =&gt; SOUS-SEGMENT'!$C$8:$C$154=$C44)*'ANALYSE - ERP =&gt; SOUS-SEGMENT'!$Q$8:$Q$154*'ANALYSE - ERP =&gt; SOUS-SEGMENT'!$BE$8:$BE$154*'ANALYSE - ERP =&gt; SOUS-SEGMENT'!$BO$8:$BO$154)/SUMPRODUCT(('ANALYSE - ERP =&gt; SOUS-SEGMENT'!$C$8:$C$154=$C44)*'ANALYSE - ERP =&gt; SOUS-SEGMENT'!$Q$8:$Q$154*'ANALYSE - ERP =&gt; SOUS-SEGMENT'!$BE$8:$BE$154),"")</f>
        <v>0.25089594467148696</v>
      </c>
      <c r="BM44" s="284">
        <f>IFERROR(SUMPRODUCT(('ANALYSE - ERP =&gt; SOUS-SEGMENT'!$C$8:$C$154=$C44)*'ANALYSE - ERP =&gt; SOUS-SEGMENT'!$Q$8:$Q$154*'ANALYSE - ERP =&gt; SOUS-SEGMENT'!$BE$8:$BE$154*'ANALYSE - ERP =&gt; SOUS-SEGMENT'!$BP$8:$BP$154)/SUMPRODUCT(('ANALYSE - ERP =&gt; SOUS-SEGMENT'!$C$8:$C$154=$C44)*'ANALYSE - ERP =&gt; SOUS-SEGMENT'!$Q$8:$Q$154*'ANALYSE - ERP =&gt; SOUS-SEGMENT'!$BE$8:$BE$154),"")</f>
        <v>0.64263648747773228</v>
      </c>
      <c r="BN44" s="284">
        <f>IFERROR(SUMPRODUCT(('ANALYSE - ERP =&gt; SOUS-SEGMENT'!$C$8:$C$154=$C44)*'ANALYSE - ERP =&gt; SOUS-SEGMENT'!$Q$8:$Q$154*'ANALYSE - ERP =&gt; SOUS-SEGMENT'!$BE$8:$BE$154*'ANALYSE - ERP =&gt; SOUS-SEGMENT'!$BQ$8:$BQ$154)/SUMPRODUCT(('ANALYSE - ERP =&gt; SOUS-SEGMENT'!$C$8:$C$154=$C44)*'ANALYSE - ERP =&gt; SOUS-SEGMENT'!$Q$8:$Q$154*'ANALYSE - ERP =&gt; SOUS-SEGMENT'!$BE$8:$BE$154),"")</f>
        <v>4.6467567850780676E-2</v>
      </c>
      <c r="BO44" s="284">
        <f>IFERROR(SUMPRODUCT(('ANALYSE - ERP =&gt; SOUS-SEGMENT'!$C$8:$C$154=$C44)*'ANALYSE - ERP =&gt; SOUS-SEGMENT'!$Q$8:$Q$154*'ANALYSE - ERP =&gt; SOUS-SEGMENT'!$BE$8:$BE$154*'ANALYSE - ERP =&gt; SOUS-SEGMENT'!$BR$8:$BR$154)/SUMPRODUCT(('ANALYSE - ERP =&gt; SOUS-SEGMENT'!$C$8:$C$154=$C44)*'ANALYSE - ERP =&gt; SOUS-SEGMENT'!$Q$8:$Q$154*'ANALYSE - ERP =&gt; SOUS-SEGMENT'!$BE$8:$BE$154),"")</f>
        <v>5.9999999999999991E-2</v>
      </c>
      <c r="BP44" s="284">
        <f>IFERROR(SUMPRODUCT(('ANALYSE - ERP =&gt; SOUS-SEGMENT'!$C$8:$C$154=$C44)*'ANALYSE - ERP =&gt; SOUS-SEGMENT'!$Q$8:$Q$154*'ANALYSE - ERP =&gt; SOUS-SEGMENT'!$BJ$8:$BJ$154*'ANALYSE - ERP =&gt; SOUS-SEGMENT'!$BS$8:$BS$154)/SUMPRODUCT(('ANALYSE - ERP =&gt; SOUS-SEGMENT'!$C$8:$C$154=$C44)*'ANALYSE - ERP =&gt; SOUS-SEGMENT'!$Q$8:$Q$154*'ANALYSE - ERP =&gt; SOUS-SEGMENT'!$BJ$8:$BJ$154),"")</f>
        <v>0.22182178424318263</v>
      </c>
      <c r="BQ44" s="284">
        <f>IFERROR(SUMPRODUCT(('ANALYSE - ERP =&gt; SOUS-SEGMENT'!$C$8:$C$154=$C44)*'ANALYSE - ERP =&gt; SOUS-SEGMENT'!$Q$8:$Q$154*'ANALYSE - ERP =&gt; SOUS-SEGMENT'!$BJ$8:$BJ$154*'ANALYSE - ERP =&gt; SOUS-SEGMENT'!$BT$8:$BT$154)/SUMPRODUCT(('ANALYSE - ERP =&gt; SOUS-SEGMENT'!$C$8:$C$154=$C44)*'ANALYSE - ERP =&gt; SOUS-SEGMENT'!$Q$8:$Q$154*'ANALYSE - ERP =&gt; SOUS-SEGMENT'!$BJ$8:$BJ$154),"")</f>
        <v>0.65154804734344851</v>
      </c>
      <c r="BR44" s="284">
        <f>IFERROR(SUMPRODUCT(('ANALYSE - ERP =&gt; SOUS-SEGMENT'!$C$8:$C$154=$C44)*'ANALYSE - ERP =&gt; SOUS-SEGMENT'!$Q$8:$Q$154*'ANALYSE - ERP =&gt; SOUS-SEGMENT'!$BJ$8:$BJ$154*'ANALYSE - ERP =&gt; SOUS-SEGMENT'!$BU$8:$BU$154)/SUMPRODUCT(('ANALYSE - ERP =&gt; SOUS-SEGMENT'!$C$8:$C$154=$C44)*'ANALYSE - ERP =&gt; SOUS-SEGMENT'!$Q$8:$Q$154*'ANALYSE - ERP =&gt; SOUS-SEGMENT'!$BJ$8:$BJ$154),"")</f>
        <v>6.6630168413368787E-2</v>
      </c>
      <c r="BS44" s="284">
        <f>IFERROR(SUMPRODUCT(('ANALYSE - ERP =&gt; SOUS-SEGMENT'!$C$8:$C$154=$C44)*'ANALYSE - ERP =&gt; SOUS-SEGMENT'!$Q$8:$Q$154*'ANALYSE - ERP =&gt; SOUS-SEGMENT'!$BJ$8:$BJ$154*'ANALYSE - ERP =&gt; SOUS-SEGMENT'!$BV$8:$BV$154)/SUMPRODUCT(('ANALYSE - ERP =&gt; SOUS-SEGMENT'!$C$8:$C$154=$C44)*'ANALYSE - ERP =&gt; SOUS-SEGMENT'!$Q$8:$Q$154*'ANALYSE - ERP =&gt; SOUS-SEGMENT'!$BJ$8:$BJ$154),"")</f>
        <v>0.06</v>
      </c>
      <c r="BT44" s="285">
        <f>IFERROR(SUMPRODUCT(('ANALYSE - ERP =&gt; SOUS-SEGMENT'!$C$8:$C$154=$C44)*'ANALYSE - ERP =&gt; SOUS-SEGMENT'!$Q$8:$Q$154*'ANALYSE - ERP =&gt; SOUS-SEGMENT'!$BF$8:$BF$154*'ANALYSE - ERP =&gt; SOUS-SEGMENT'!$BW$8:$BW$154)/SUMPRODUCT(('ANALYSE - ERP =&gt; SOUS-SEGMENT'!$C$8:$C$154=$C44)*'ANALYSE - ERP =&gt; SOUS-SEGMENT'!$Q$8:$Q$154*'ANALYSE - ERP =&gt; SOUS-SEGMENT'!$BF$8:$BF$154),"")</f>
        <v>0.16621621621621621</v>
      </c>
      <c r="BU44" s="285">
        <f>IFERROR(SUMPRODUCT(('ANALYSE - ERP =&gt; SOUS-SEGMENT'!$C$8:$C$154=$C44)*'ANALYSE - ERP =&gt; SOUS-SEGMENT'!$Q$8:$Q$154*'ANALYSE - ERP =&gt; SOUS-SEGMENT'!$BF$8:$BF$154*'ANALYSE - ERP =&gt; SOUS-SEGMENT'!$BX$8:$BX$154)/SUMPRODUCT(('ANALYSE - ERP =&gt; SOUS-SEGMENT'!$C$8:$C$154=$C44)*'ANALYSE - ERP =&gt; SOUS-SEGMENT'!$Q$8:$Q$154*'ANALYSE - ERP =&gt; SOUS-SEGMENT'!$BF$8:$BF$154),"")</f>
        <v>0.78378378378378377</v>
      </c>
      <c r="BV44" s="285">
        <f>IFERROR(SUMPRODUCT(('ANALYSE - ERP =&gt; SOUS-SEGMENT'!$C$8:$C$154=$C44)*'ANALYSE - ERP =&gt; SOUS-SEGMENT'!$Q$8:$Q$154*'ANALYSE - ERP =&gt; SOUS-SEGMENT'!$BF$8:$BF$154*'ANALYSE - ERP =&gt; SOUS-SEGMENT'!$BY$8:$BY$154)/SUMPRODUCT(('ANALYSE - ERP =&gt; SOUS-SEGMENT'!$C$8:$C$154=$C44)*'ANALYSE - ERP =&gt; SOUS-SEGMENT'!$Q$8:$Q$154*'ANALYSE - ERP =&gt; SOUS-SEGMENT'!$BF$8:$BF$154),"")</f>
        <v>0.05</v>
      </c>
      <c r="BW44" s="285">
        <f>IFERROR(SUMPRODUCT(('ANALYSE - ERP =&gt; SOUS-SEGMENT'!$C$8:$C$154=$C44)*'ANALYSE - ERP =&gt; SOUS-SEGMENT'!$Q$8:$Q$154*'ANALYSE - ERP =&gt; SOUS-SEGMENT'!$BK$8:$BK$154*'ANALYSE - ERP =&gt; SOUS-SEGMENT'!$BZ$8:$BZ$154)/SUMPRODUCT(('ANALYSE - ERP =&gt; SOUS-SEGMENT'!$C$8:$C$154=$C44)*'ANALYSE - ERP =&gt; SOUS-SEGMENT'!$Q$8:$Q$154*'ANALYSE - ERP =&gt; SOUS-SEGMENT'!$BK$8:$BK$154),"")</f>
        <v>0.12958721704394141</v>
      </c>
      <c r="BX44" s="285">
        <f>IFERROR(SUMPRODUCT(('ANALYSE - ERP =&gt; SOUS-SEGMENT'!$C$8:$C$154=$C44)*'ANALYSE - ERP =&gt; SOUS-SEGMENT'!$Q$8:$Q$154*'ANALYSE - ERP =&gt; SOUS-SEGMENT'!$BK$8:$BK$154*'ANALYSE - ERP =&gt; SOUS-SEGMENT'!$CA$8:$CA$154)/SUMPRODUCT(('ANALYSE - ERP =&gt; SOUS-SEGMENT'!$C$8:$C$154=$C44)*'ANALYSE - ERP =&gt; SOUS-SEGMENT'!$Q$8:$Q$154*'ANALYSE - ERP =&gt; SOUS-SEGMENT'!$BK$8:$BK$154),"")</f>
        <v>0.80721704394141136</v>
      </c>
      <c r="BY44" s="285">
        <f>IFERROR(SUMPRODUCT(('ANALYSE - ERP =&gt; SOUS-SEGMENT'!$C$8:$C$154=$C44)*'ANALYSE - ERP =&gt; SOUS-SEGMENT'!$Q$8:$Q$154*'ANALYSE - ERP =&gt; SOUS-SEGMENT'!$BK$8:$BK$154*'ANALYSE - ERP =&gt; SOUS-SEGMENT'!$CB$8:$CB$154)/SUMPRODUCT(('ANALYSE - ERP =&gt; SOUS-SEGMENT'!$C$8:$C$154=$C44)*'ANALYSE - ERP =&gt; SOUS-SEGMENT'!$Q$8:$Q$154*'ANALYSE - ERP =&gt; SOUS-SEGMENT'!$BK$8:$BK$154),"")</f>
        <v>6.3195739014647145E-2</v>
      </c>
      <c r="BZ44" s="284">
        <f>IFERROR(SUMPRODUCT(('ANALYSE - ERP =&gt; SOUS-SEGMENT'!$C$8:$C$154=$C44)*'ANALYSE - ERP =&gt; SOUS-SEGMENT'!$Q$8:$Q$154*'ANALYSE - ERP =&gt; SOUS-SEGMENT'!$BG$8:$BG$154*'ANALYSE - ERP =&gt; SOUS-SEGMENT'!$CC$8:$CC$154)/SUMPRODUCT(('ANALYSE - ERP =&gt; SOUS-SEGMENT'!$C$8:$C$154=$C44)*'ANALYSE - ERP =&gt; SOUS-SEGMENT'!$Q$8:$Q$154*'ANALYSE - ERP =&gt; SOUS-SEGMENT'!$BG$8:$BG$154),"")</f>
        <v>7.3486430062630476E-2</v>
      </c>
      <c r="CA44" s="284">
        <f>IFERROR(SUMPRODUCT(('ANALYSE - ERP =&gt; SOUS-SEGMENT'!$C$8:$C$154=$C44)*'ANALYSE - ERP =&gt; SOUS-SEGMENT'!$Q$8:$Q$154*'ANALYSE - ERP =&gt; SOUS-SEGMENT'!$BG$8:$BG$154*'ANALYSE - ERP =&gt; SOUS-SEGMENT'!$CD$8:$CD$154)/SUMPRODUCT(('ANALYSE - ERP =&gt; SOUS-SEGMENT'!$C$8:$C$154=$C44)*'ANALYSE - ERP =&gt; SOUS-SEGMENT'!$Q$8:$Q$154*'ANALYSE - ERP =&gt; SOUS-SEGMENT'!$BG$8:$BG$154),"")</f>
        <v>0.60480167014613784</v>
      </c>
      <c r="CB44" s="284">
        <f>IFERROR(SUMPRODUCT(('ANALYSE - ERP =&gt; SOUS-SEGMENT'!$C$8:$C$154=$C44)*'ANALYSE - ERP =&gt; SOUS-SEGMENT'!$Q$8:$Q$154*'ANALYSE - ERP =&gt; SOUS-SEGMENT'!$BG$8:$BG$154*'ANALYSE - ERP =&gt; SOUS-SEGMENT'!$CE$8:$CE$154)/SUMPRODUCT(('ANALYSE - ERP =&gt; SOUS-SEGMENT'!$C$8:$C$154=$C44)*'ANALYSE - ERP =&gt; SOUS-SEGMENT'!$Q$8:$Q$154*'ANALYSE - ERP =&gt; SOUS-SEGMENT'!$BG$8:$BG$154),"")</f>
        <v>6.0855949895615866E-2</v>
      </c>
      <c r="CC44" s="284">
        <f>IFERROR(SUMPRODUCT(('ANALYSE - ERP =&gt; SOUS-SEGMENT'!$C$8:$C$154=$C44)*'ANALYSE - ERP =&gt; SOUS-SEGMENT'!$Q$8:$Q$154*'ANALYSE - ERP =&gt; SOUS-SEGMENT'!$BG$8:$BG$154*'ANALYSE - ERP =&gt; SOUS-SEGMENT'!$CF$8:$CF$154)/SUMPRODUCT(('ANALYSE - ERP =&gt; SOUS-SEGMENT'!$C$8:$C$154=$C44)*'ANALYSE - ERP =&gt; SOUS-SEGMENT'!$Q$8:$Q$154*'ANALYSE - ERP =&gt; SOUS-SEGMENT'!$BG$8:$BG$154),"")</f>
        <v>0.26085594989561589</v>
      </c>
      <c r="CD44" s="284">
        <f>IFERROR(SUMPRODUCT(('ANALYSE - ERP =&gt; SOUS-SEGMENT'!$C$8:$C$154=$C44)*'ANALYSE - ERP =&gt; SOUS-SEGMENT'!$Q$8:$Q$154*'ANALYSE - ERP =&gt; SOUS-SEGMENT'!$BL$8:$BL$154*'ANALYSE - ERP =&gt; SOUS-SEGMENT'!$CG$8:$CG$154)/SUMPRODUCT(('ANALYSE - ERP =&gt; SOUS-SEGMENT'!$C$8:$C$154=$C44)*'ANALYSE - ERP =&gt; SOUS-SEGMENT'!$Q$8:$Q$154*'ANALYSE - ERP =&gt; SOUS-SEGMENT'!$BL$8:$BL$154),"")</f>
        <v>6.3336214347450306E-2</v>
      </c>
      <c r="CE44" s="284">
        <f>IFERROR(SUMPRODUCT(('ANALYSE - ERP =&gt; SOUS-SEGMENT'!$C$8:$C$154=$C44)*'ANALYSE - ERP =&gt; SOUS-SEGMENT'!$Q$8:$Q$154*'ANALYSE - ERP =&gt; SOUS-SEGMENT'!$BL$8:$BL$154*'ANALYSE - ERP =&gt; SOUS-SEGMENT'!$CH$8:$CH$154)/SUMPRODUCT(('ANALYSE - ERP =&gt; SOUS-SEGMENT'!$C$8:$C$154=$C44)*'ANALYSE - ERP =&gt; SOUS-SEGMENT'!$Q$8:$Q$154*'ANALYSE - ERP =&gt; SOUS-SEGMENT'!$BL$8:$BL$154),"")</f>
        <v>0.61222990492653417</v>
      </c>
      <c r="CF44" s="284">
        <f>IFERROR(SUMPRODUCT(('ANALYSE - ERP =&gt; SOUS-SEGMENT'!$C$8:$C$154=$C44)*'ANALYSE - ERP =&gt; SOUS-SEGMENT'!$Q$8:$Q$154*'ANALYSE - ERP =&gt; SOUS-SEGMENT'!$BL$8:$BL$154*'ANALYSE - ERP =&gt; SOUS-SEGMENT'!$CI$8:$CI$154)/SUMPRODUCT(('ANALYSE - ERP =&gt; SOUS-SEGMENT'!$C$8:$C$154=$C44)*'ANALYSE - ERP =&gt; SOUS-SEGMENT'!$Q$8:$Q$154*'ANALYSE - ERP =&gt; SOUS-SEGMENT'!$BL$8:$BL$154),"")</f>
        <v>8.1106309420916164E-2</v>
      </c>
      <c r="CG44" s="284">
        <f>IFERROR(SUMPRODUCT(('ANALYSE - ERP =&gt; SOUS-SEGMENT'!$C$8:$C$154=$C44)*'ANALYSE - ERP =&gt; SOUS-SEGMENT'!$Q$8:$Q$154*'ANALYSE - ERP =&gt; SOUS-SEGMENT'!$BL$8:$BL$154*'ANALYSE - ERP =&gt; SOUS-SEGMENT'!$CJ$8:$CJ$154)/SUMPRODUCT(('ANALYSE - ERP =&gt; SOUS-SEGMENT'!$C$8:$C$154=$C44)*'ANALYSE - ERP =&gt; SOUS-SEGMENT'!$Q$8:$Q$154*'ANALYSE - ERP =&gt; SOUS-SEGMENT'!$BL$8:$BL$154),"")</f>
        <v>0.24332757130509941</v>
      </c>
      <c r="CH44" s="286">
        <f>IFERROR(SUMPRODUCT(('ANALYSE - ERP =&gt; SOUS-SEGMENT'!$C$8:$C$154=$C44)*'ANALYSE - ERP =&gt; SOUS-SEGMENT'!$Q$8:$Q$154*'ANALYSE - ERP =&gt; SOUS-SEGMENT'!$BH$8:$BH$154*'ANALYSE - ERP =&gt; SOUS-SEGMENT'!$CK$8:$CK$154)/SUMPRODUCT(('ANALYSE - ERP =&gt; SOUS-SEGMENT'!$C$8:$C$154=$C44)*'ANALYSE - ERP =&gt; SOUS-SEGMENT'!$Q$8:$Q$154*'ANALYSE - ERP =&gt; SOUS-SEGMENT'!$BH$8:$BH$154),"")</f>
        <v>0.61891005621486561</v>
      </c>
      <c r="CI44" s="286">
        <f>IFERROR(SUMPRODUCT(('ANALYSE - ERP =&gt; SOUS-SEGMENT'!$C$8:$C$154=$C44)*'ANALYSE - ERP =&gt; SOUS-SEGMENT'!$Q$8:$Q$154*'ANALYSE - ERP =&gt; SOUS-SEGMENT'!$BH$8:$BH$154*'ANALYSE - ERP =&gt; SOUS-SEGMENT'!$CL$8:$CL$154)/SUMPRODUCT(('ANALYSE - ERP =&gt; SOUS-SEGMENT'!$C$8:$C$154=$C44)*'ANALYSE - ERP =&gt; SOUS-SEGMENT'!$Q$8:$Q$154*'ANALYSE - ERP =&gt; SOUS-SEGMENT'!$BH$8:$BH$154),"")</f>
        <v>0.34504996876951904</v>
      </c>
      <c r="CJ44" s="286">
        <f>IFERROR(SUMPRODUCT(('ANALYSE - ERP =&gt; SOUS-SEGMENT'!$C$8:$C$154=$C44)*'ANALYSE - ERP =&gt; SOUS-SEGMENT'!$Q$8:$Q$154*'ANALYSE - ERP =&gt; SOUS-SEGMENT'!$BH$8:$BH$154*'ANALYSE - ERP =&gt; SOUS-SEGMENT'!$CM$8:$CM$154)/SUMPRODUCT(('ANALYSE - ERP =&gt; SOUS-SEGMENT'!$C$8:$C$154=$C44)*'ANALYSE - ERP =&gt; SOUS-SEGMENT'!$Q$8:$Q$154*'ANALYSE - ERP =&gt; SOUS-SEGMENT'!$BH$8:$BH$154),"")</f>
        <v>3.603997501561524E-2</v>
      </c>
      <c r="CK44" s="286">
        <f>IFERROR(SUMPRODUCT(('ANALYSE - ERP =&gt; SOUS-SEGMENT'!$C$8:$C$154=$C44)*'ANALYSE - ERP =&gt; SOUS-SEGMENT'!$Q$8:$Q$154*'ANALYSE - ERP =&gt; SOUS-SEGMENT'!$BM$8:$BM$154*'ANALYSE - ERP =&gt; SOUS-SEGMENT'!$CN$8:$CN$154)/SUMPRODUCT(('ANALYSE - ERP =&gt; SOUS-SEGMENT'!$C$8:$C$154=$C44)*'ANALYSE - ERP =&gt; SOUS-SEGMENT'!$Q$8:$Q$154*'ANALYSE - ERP =&gt; SOUS-SEGMENT'!$BM$8:$BM$154),"")</f>
        <v>0.51691548325098768</v>
      </c>
      <c r="CL44" s="286">
        <f>IFERROR(SUMPRODUCT(('ANALYSE - ERP =&gt; SOUS-SEGMENT'!$C$8:$C$154=$C44)*'ANALYSE - ERP =&gt; SOUS-SEGMENT'!$Q$8:$Q$154*'ANALYSE - ERP =&gt; SOUS-SEGMENT'!$BM$8:$BM$154*'ANALYSE - ERP =&gt; SOUS-SEGMENT'!$CO$8:$CO$154)/SUMPRODUCT(('ANALYSE - ERP =&gt; SOUS-SEGMENT'!$C$8:$C$154=$C44)*'ANALYSE - ERP =&gt; SOUS-SEGMENT'!$Q$8:$Q$154*'ANALYSE - ERP =&gt; SOUS-SEGMENT'!$BM$8:$BM$154),"")</f>
        <v>0.39246541967171733</v>
      </c>
      <c r="CM44" s="286">
        <f>IFERROR(SUMPRODUCT(('ANALYSE - ERP =&gt; SOUS-SEGMENT'!$C$8:$C$154=$C44)*'ANALYSE - ERP =&gt; SOUS-SEGMENT'!$Q$8:$Q$154*'ANALYSE - ERP =&gt; SOUS-SEGMENT'!$BM$8:$BM$154*'ANALYSE - ERP =&gt; SOUS-SEGMENT'!$CP$8:$CP$154)/SUMPRODUCT(('ANALYSE - ERP =&gt; SOUS-SEGMENT'!$C$8:$C$154=$C44)*'ANALYSE - ERP =&gt; SOUS-SEGMENT'!$Q$8:$Q$154*'ANALYSE - ERP =&gt; SOUS-SEGMENT'!$BM$8:$BM$154),"")</f>
        <v>9.0619097077294916E-2</v>
      </c>
      <c r="CN44" s="657"/>
      <c r="CO44" s="883">
        <f>IFERROR(SUMPRODUCT(('ANALYSE - ERP =&gt; SOUS-SEGMENT'!$C$8:$C$154=$C44)*'ANALYSE - ERP =&gt; SOUS-SEGMENT'!$DH$8:$DH$154*('ANALYSE - ERP =&gt; SOUS-SEGMENT'!$CR$8:$CR$154&gt;0)*'ANALYSE - ERP =&gt; SOUS-SEGMENT'!$CR$8:$CR$154)/SUMPRODUCT(('ANALYSE - ERP =&gt; SOUS-SEGMENT'!$C$8:$C$154=$C44)*'ANALYSE - ERP =&gt; SOUS-SEGMENT'!$DH$8:$DH$154*('ANALYSE - ERP =&gt; SOUS-SEGMENT'!$CR$8:$CR$154&gt;0)),"")</f>
        <v>12.806665831349456</v>
      </c>
      <c r="CP44" s="883">
        <f>IFERROR(SUMPRODUCT(('ANALYSE - ERP =&gt; SOUS-SEGMENT'!$C$8:$C$154=$C44)*'ANALYSE - ERP =&gt; SOUS-SEGMENT'!$DI$8:$DI$154*('ANALYSE - ERP =&gt; SOUS-SEGMENT'!$CS$8:$CS$154&gt;0)*'ANALYSE - ERP =&gt; SOUS-SEGMENT'!$CS$8:$CS$154)/SUMPRODUCT(('ANALYSE - ERP =&gt; SOUS-SEGMENT'!$C$8:$C$154=$C44)*'ANALYSE - ERP =&gt; SOUS-SEGMENT'!$DI$8:$DI$154*('ANALYSE - ERP =&gt; SOUS-SEGMENT'!$CS$8:$CS$154&gt;0)),"")</f>
        <v>12.617563610036726</v>
      </c>
      <c r="CQ44" s="883">
        <f>IFERROR(SUMPRODUCT(('ANALYSE - ERP =&gt; SOUS-SEGMENT'!$C$8:$C$154=$C44)*'ANALYSE - ERP =&gt; SOUS-SEGMENT'!$DJ$8:$DJ$154*('ANALYSE - ERP =&gt; SOUS-SEGMENT'!$CT$8:$CT$154&gt;0)*'ANALYSE - ERP =&gt; SOUS-SEGMENT'!$CT$8:$CT$154)/SUMPRODUCT(('ANALYSE - ERP =&gt; SOUS-SEGMENT'!$C$8:$C$154=$C44)*'ANALYSE - ERP =&gt; SOUS-SEGMENT'!$DJ$8:$DJ$154*('ANALYSE - ERP =&gt; SOUS-SEGMENT'!$CT$8:$CT$154&gt;0)),"")</f>
        <v>8.7216308858019129</v>
      </c>
      <c r="CR44" s="883">
        <f>IFERROR(SUMPRODUCT(('ANALYSE - ERP =&gt; SOUS-SEGMENT'!$C$8:$C$154=$C44)*'ANALYSE - ERP =&gt; SOUS-SEGMENT'!$DK$8:$DK$154*('ANALYSE - ERP =&gt; SOUS-SEGMENT'!$CU$8:$CU$154&gt;0)*'ANALYSE - ERP =&gt; SOUS-SEGMENT'!$CU$8:$CU$154)/SUMPRODUCT(('ANALYSE - ERP =&gt; SOUS-SEGMENT'!$C$8:$C$154=$C44)*'ANALYSE - ERP =&gt; SOUS-SEGMENT'!$DK$8:$DK$154*('ANALYSE - ERP =&gt; SOUS-SEGMENT'!$CU$8:$CU$154&gt;0)),"")</f>
        <v>10.838310803730485</v>
      </c>
      <c r="CS44" s="883">
        <f>IFERROR(SUMPRODUCT(('ANALYSE - ERP =&gt; SOUS-SEGMENT'!$C$8:$C$154=$C44)*'ANALYSE - ERP =&gt; SOUS-SEGMENT'!$DS$8:$DS$154*('ANALYSE - ERP =&gt; SOUS-SEGMENT'!$CV$8:$CV$154&gt;0)*'ANALYSE - ERP =&gt; SOUS-SEGMENT'!$CV$8:$CV$154)/SUMPRODUCT(('ANALYSE - ERP =&gt; SOUS-SEGMENT'!$C$8:$C$154=$C44)*'ANALYSE - ERP =&gt; SOUS-SEGMENT'!$DS$8:$DS$154*('ANALYSE - ERP =&gt; SOUS-SEGMENT'!$CV$8:$CV$154&gt;0)),"")</f>
        <v>8.3902439024390247</v>
      </c>
      <c r="CT44" s="883">
        <f>IFERROR(SUMPRODUCT(('ANALYSE - ERP =&gt; SOUS-SEGMENT'!$C$8:$C$154=$C44)*'ANALYSE - ERP =&gt; SOUS-SEGMENT'!$DT$8:$DT$154*('ANALYSE - ERP =&gt; SOUS-SEGMENT'!$CW$8:$CW$154&gt;0)*'ANALYSE - ERP =&gt; SOUS-SEGMENT'!$CW$8:$CW$154)/SUMPRODUCT(('ANALYSE - ERP =&gt; SOUS-SEGMENT'!$C$8:$C$154=$C44)*'ANALYSE - ERP =&gt; SOUS-SEGMENT'!$DT$8:$DT$154*('ANALYSE - ERP =&gt; SOUS-SEGMENT'!$CW$8:$CW$154&gt;0)),"")</f>
        <v>8.6206896551724146</v>
      </c>
      <c r="CU44" s="883">
        <f>IFERROR(SUMPRODUCT(('ANALYSE - ERP =&gt; SOUS-SEGMENT'!$C$8:$C$154=$C44)*'ANALYSE - ERP =&gt; SOUS-SEGMENT'!$DU$8:$DU$154*('ANALYSE - ERP =&gt; SOUS-SEGMENT'!$CX$8:$CX$154&gt;0)*'ANALYSE - ERP =&gt; SOUS-SEGMENT'!$CX$8:$CX$154)/SUMPRODUCT(('ANALYSE - ERP =&gt; SOUS-SEGMENT'!$C$8:$C$154=$C44)*'ANALYSE - ERP =&gt; SOUS-SEGMENT'!$DU$8:$DU$154*('ANALYSE - ERP =&gt; SOUS-SEGMENT'!$CX$8:$CX$154&gt;0)),"")</f>
        <v>7.3243243243243246</v>
      </c>
      <c r="CV44" s="883">
        <f>IFERROR(SUMPRODUCT(('ANALYSE - ERP =&gt; SOUS-SEGMENT'!$C$8:$C$154=$C44)*'ANALYSE - ERP =&gt; SOUS-SEGMENT'!$EB$8:$EB$154*('ANALYSE - ERP =&gt; SOUS-SEGMENT'!$CY$8:$CY$154&gt;0)*'ANALYSE - ERP =&gt; SOUS-SEGMENT'!$CY$8:$CY$154)/SUMPRODUCT(('ANALYSE - ERP =&gt; SOUS-SEGMENT'!$C$8:$C$154=$C44)*'ANALYSE - ERP =&gt; SOUS-SEGMENT'!$EB$8:$EB$154*('ANALYSE - ERP =&gt; SOUS-SEGMENT'!$CY$8:$CY$154&gt;0)),"")</f>
        <v>9.704545454545455</v>
      </c>
      <c r="CW44" s="883">
        <f>IFERROR(SUMPRODUCT(('ANALYSE - ERP =&gt; SOUS-SEGMENT'!$C$8:$C$154=$C44)*'ANALYSE - ERP =&gt; SOUS-SEGMENT'!$EC$8:$EC$154*('ANALYSE - ERP =&gt; SOUS-SEGMENT'!$CZ$8:$CZ$154&gt;0)*'ANALYSE - ERP =&gt; SOUS-SEGMENT'!$CZ$8:$CZ$154)/SUMPRODUCT(('ANALYSE - ERP =&gt; SOUS-SEGMENT'!$C$8:$C$154=$C44)*'ANALYSE - ERP =&gt; SOUS-SEGMENT'!$EC$8:$EC$154*('ANALYSE - ERP =&gt; SOUS-SEGMENT'!$CZ$8:$CZ$154&gt;0)),"")</f>
        <v>11.605108733172246</v>
      </c>
      <c r="CX44" s="883">
        <f>IFERROR(SUMPRODUCT(('ANALYSE - ERP =&gt; SOUS-SEGMENT'!$C$8:$C$154=$C44)*'ANALYSE - ERP =&gt; SOUS-SEGMENT'!$ED$8:$ED$154*('ANALYSE - ERP =&gt; SOUS-SEGMENT'!$DA$8:$DA$154&gt;0)*'ANALYSE - ERP =&gt; SOUS-SEGMENT'!$DA$8:$DA$154)/SUMPRODUCT(('ANALYSE - ERP =&gt; SOUS-SEGMENT'!$C$8:$C$154=$C44)*'ANALYSE - ERP =&gt; SOUS-SEGMENT'!$ED$8:$ED$154*('ANALYSE - ERP =&gt; SOUS-SEGMENT'!$DA$8:$DA$154&gt;0)),"")</f>
        <v>7.6432246998284725</v>
      </c>
      <c r="CY44" s="883">
        <f>IFERROR(SUMPRODUCT(('ANALYSE - ERP =&gt; SOUS-SEGMENT'!$C$8:$C$154=$C44)*'ANALYSE - ERP =&gt; SOUS-SEGMENT'!$EE$8:$EE$154*('ANALYSE - ERP =&gt; SOUS-SEGMENT'!$DB$8:$DB$154&gt;0)*'ANALYSE - ERP =&gt; SOUS-SEGMENT'!$DB$8:$DB$154)/SUMPRODUCT(('ANALYSE - ERP =&gt; SOUS-SEGMENT'!$C$8:$C$154=$C44)*'ANALYSE - ERP =&gt; SOUS-SEGMENT'!$EE$8:$EE$154*('ANALYSE - ERP =&gt; SOUS-SEGMENT'!$DB$8:$DB$154&gt;0)),"")</f>
        <v>9.7503001200480188</v>
      </c>
      <c r="CZ44" s="883">
        <f>IFERROR(SUMPRODUCT(('ANALYSE - ERP =&gt; SOUS-SEGMENT'!$C$8:$C$154=$C44)*'ANALYSE - ERP =&gt; SOUS-SEGMENT'!$EM$8:$EM$154*('ANALYSE - ERP =&gt; SOUS-SEGMENT'!$DC$8:$DC$154&gt;0)*'ANALYSE - ERP =&gt; SOUS-SEGMENT'!$DC$8:$DC$154)/SUMPRODUCT(('ANALYSE - ERP =&gt; SOUS-SEGMENT'!$C$8:$C$154=$C44)*'ANALYSE - ERP =&gt; SOUS-SEGMENT'!$EM$8:$EM$154*('ANALYSE - ERP =&gt; SOUS-SEGMENT'!$DC$8:$DC$154&gt;0)),"")</f>
        <v>10.927210798536647</v>
      </c>
      <c r="DA44" s="883">
        <f>IFERROR(SUMPRODUCT(('ANALYSE - ERP =&gt; SOUS-SEGMENT'!$C$8:$C$154=$C44)*'ANALYSE - ERP =&gt; SOUS-SEGMENT'!$EN$8:$EN$154*('ANALYSE - ERP =&gt; SOUS-SEGMENT'!$DD$8:$DD$154&gt;0)*'ANALYSE - ERP =&gt; SOUS-SEGMENT'!$DD$8:$DD$154)/SUMPRODUCT(('ANALYSE - ERP =&gt; SOUS-SEGMENT'!$C$8:$C$154=$C44)*'ANALYSE - ERP =&gt; SOUS-SEGMENT'!$EN$8:$EN$154*('ANALYSE - ERP =&gt; SOUS-SEGMENT'!$DD$8:$DD$154&gt;0)),"")</f>
        <v>11.712766438883108</v>
      </c>
      <c r="DB44" s="883">
        <f>IFERROR(SUMPRODUCT(('ANALYSE - ERP =&gt; SOUS-SEGMENT'!$C$8:$C$154=$C44)*'ANALYSE - ERP =&gt; SOUS-SEGMENT'!$EO$8:$EO$154*('ANALYSE - ERP =&gt; SOUS-SEGMENT'!$DE$8:$DE$154&gt;0)*'ANALYSE - ERP =&gt; SOUS-SEGMENT'!$DE$8:$DE$154)/SUMPRODUCT(('ANALYSE - ERP =&gt; SOUS-SEGMENT'!$C$8:$C$154=$C44)*'ANALYSE - ERP =&gt; SOUS-SEGMENT'!$EO$8:$EO$154*('ANALYSE - ERP =&gt; SOUS-SEGMENT'!$DE$8:$DE$154&gt;0)),"")</f>
        <v>8</v>
      </c>
      <c r="DC44" s="317"/>
      <c r="DD44" s="657"/>
      <c r="DE44" s="640">
        <f t="shared" si="2"/>
        <v>28731.600000000002</v>
      </c>
      <c r="DF44" s="640">
        <f t="shared" si="3"/>
        <v>73592.159999999989</v>
      </c>
      <c r="DG44" s="640">
        <f t="shared" si="4"/>
        <v>5321.28</v>
      </c>
      <c r="DH44" s="640">
        <f t="shared" si="5"/>
        <v>6870.9599999999991</v>
      </c>
      <c r="DI44" s="317" t="s">
        <v>7475</v>
      </c>
      <c r="DJ44" s="640">
        <f t="shared" si="6"/>
        <v>25525.919999999998</v>
      </c>
      <c r="DK44" s="640">
        <f t="shared" si="7"/>
        <v>74976.239999999991</v>
      </c>
      <c r="DL44" s="640">
        <f t="shared" si="8"/>
        <v>7667.4</v>
      </c>
      <c r="DM44" s="640">
        <f t="shared" si="9"/>
        <v>6904.44</v>
      </c>
      <c r="DN44" s="318" t="s">
        <v>7476</v>
      </c>
      <c r="DO44" s="657"/>
      <c r="DP44" s="640">
        <f t="shared" si="10"/>
        <v>3075</v>
      </c>
      <c r="DQ44" s="640">
        <f t="shared" si="11"/>
        <v>14500</v>
      </c>
      <c r="DR44" s="640">
        <f t="shared" si="12"/>
        <v>925</v>
      </c>
      <c r="DS44" s="318" t="s">
        <v>7477</v>
      </c>
      <c r="DT44" s="640">
        <f t="shared" si="13"/>
        <v>2433</v>
      </c>
      <c r="DU44" s="640">
        <f t="shared" si="14"/>
        <v>15155.499999999998</v>
      </c>
      <c r="DV44" s="640">
        <f t="shared" si="15"/>
        <v>1186.5000000000002</v>
      </c>
      <c r="DW44" s="318" t="s">
        <v>7477</v>
      </c>
      <c r="DX44" s="657"/>
      <c r="DY44" s="640">
        <f t="shared" si="16"/>
        <v>1689.6</v>
      </c>
      <c r="DZ44" s="640">
        <f t="shared" si="17"/>
        <v>13905.6</v>
      </c>
      <c r="EA44" s="640">
        <f t="shared" si="18"/>
        <v>1399.2</v>
      </c>
      <c r="EB44" s="640">
        <f t="shared" si="19"/>
        <v>5997.6</v>
      </c>
      <c r="EC44" s="318" t="s">
        <v>7477</v>
      </c>
      <c r="ED44" s="640">
        <f t="shared" si="20"/>
        <v>1465.6000000000001</v>
      </c>
      <c r="EE44" s="640">
        <f t="shared" si="21"/>
        <v>14167</v>
      </c>
      <c r="EF44" s="640">
        <f t="shared" si="22"/>
        <v>1876.8</v>
      </c>
      <c r="EG44" s="640">
        <f t="shared" si="23"/>
        <v>5630.6</v>
      </c>
      <c r="EH44" s="641" t="s">
        <v>7478</v>
      </c>
      <c r="EI44" s="290"/>
      <c r="EJ44" s="640">
        <f t="shared" si="24"/>
        <v>63415.999999999993</v>
      </c>
      <c r="EK44" s="642">
        <f t="shared" si="25"/>
        <v>35355.199999999997</v>
      </c>
      <c r="EL44" s="642">
        <f t="shared" si="26"/>
        <v>3692.8</v>
      </c>
      <c r="EM44" s="318" t="s">
        <v>7479</v>
      </c>
      <c r="EN44" s="640">
        <f t="shared" si="27"/>
        <v>53253.15</v>
      </c>
      <c r="EO44" s="642">
        <f t="shared" si="28"/>
        <v>40432.179999999993</v>
      </c>
      <c r="EP44" s="642">
        <f t="shared" si="29"/>
        <v>9335.67</v>
      </c>
      <c r="EQ44" s="318" t="s">
        <v>7480</v>
      </c>
      <c r="ER44" s="657"/>
      <c r="ES44" s="731">
        <f t="shared" si="30"/>
        <v>0.8757893360969885</v>
      </c>
      <c r="ET44" s="731">
        <f t="shared" si="31"/>
        <v>7.939823797190064E-2</v>
      </c>
      <c r="EU44" s="292">
        <f t="shared" si="32"/>
        <v>81152.313935484533</v>
      </c>
      <c r="EV44" s="292">
        <f t="shared" si="33"/>
        <v>63338.988735484527</v>
      </c>
      <c r="EW44" s="292">
        <f t="shared" si="34"/>
        <v>17813.325200000003</v>
      </c>
      <c r="EX44" s="292">
        <f t="shared" si="35"/>
        <v>33798.658396800005</v>
      </c>
      <c r="EY44" s="292">
        <f>SUMPRODUCT(('ANALYSE - ERP =&gt; SOUS-SEGMENT'!$C$8:$C$154=$C44)*'ANALYSE - ERP =&gt; SOUS-SEGMENT'!$Q$8:$Q$154*'ANALYSE - ERP =&gt; SOUS-SEGMENT'!$FB$8:$FB$154)</f>
        <v>26106.1147968</v>
      </c>
      <c r="EZ44" s="292">
        <f>SUMPRODUCT(('ANALYSE - ERP =&gt; SOUS-SEGMENT'!$C$8:$C$154=$C44)*'ANALYSE - ERP =&gt; SOUS-SEGMENT'!$Q$8:$Q$154*'ANALYSE - ERP =&gt; SOUS-SEGMENT'!$FC$8:$FC$154)</f>
        <v>7692.5436000000009</v>
      </c>
      <c r="FA44" s="292">
        <f t="shared" si="36"/>
        <v>9025.7775740535726</v>
      </c>
      <c r="FB44" s="292">
        <f>SUMPRODUCT(('ANALYSE - ERP =&gt; SOUS-SEGMENT'!$C$8:$C$154=$C44)*'ANALYSE - ERP =&gt; SOUS-SEGMENT'!$Q$8:$Q$154*'ANALYSE - ERP =&gt; SOUS-SEGMENT'!$FE$8:$FE$154)</f>
        <v>7449.5451740535718</v>
      </c>
      <c r="FC44" s="292">
        <f>SUMPRODUCT(('ANALYSE - ERP =&gt; SOUS-SEGMENT'!$C$8:$C$154=$C44)*'ANALYSE - ERP =&gt; SOUS-SEGMENT'!$Q$8:$Q$154*'ANALYSE - ERP =&gt; SOUS-SEGMENT'!$FF$8:$FF$154)</f>
        <v>1576.2323999999999</v>
      </c>
      <c r="FD44" s="292">
        <f t="shared" si="37"/>
        <v>7327.942339130952</v>
      </c>
      <c r="FE44" s="292">
        <f>SUMPRODUCT(('ANALYSE - ERP =&gt; SOUS-SEGMENT'!$C$8:$C$154=$C44)*'ANALYSE - ERP =&gt; SOUS-SEGMENT'!$Q$8:$Q$154*'ANALYSE - ERP =&gt; SOUS-SEGMENT'!$FH$8:$FH$154)</f>
        <v>5736.6215391309515</v>
      </c>
      <c r="FF44" s="292">
        <f>SUMPRODUCT(('ANALYSE - ERP =&gt; SOUS-SEGMENT'!$C$8:$C$154=$C44)*'ANALYSE - ERP =&gt; SOUS-SEGMENT'!$Q$8:$Q$154*'ANALYSE - ERP =&gt; SOUS-SEGMENT'!$FI$8:$FI$154)</f>
        <v>1591.3208</v>
      </c>
      <c r="FG44" s="292">
        <f t="shared" si="38"/>
        <v>30999.935625500002</v>
      </c>
      <c r="FH44" s="292">
        <f>SUMPRODUCT(('ANALYSE - ERP =&gt; SOUS-SEGMENT'!$C$8:$C$154=$C44)*'ANALYSE - ERP =&gt; SOUS-SEGMENT'!$Q$8:$Q$154*'ANALYSE - ERP =&gt; SOUS-SEGMENT'!$FK$8:$FK$154)</f>
        <v>24046.707225500002</v>
      </c>
      <c r="FI44" s="292">
        <f>SUMPRODUCT(('ANALYSE - ERP =&gt; SOUS-SEGMENT'!$C$8:$C$154=$C44)*'ANALYSE - ERP =&gt; SOUS-SEGMENT'!$Q$8:$Q$154*'ANALYSE - ERP =&gt; SOUS-SEGMENT'!$FL$8:$FL$154)</f>
        <v>6953.2284000000009</v>
      </c>
      <c r="FJ44" s="657"/>
      <c r="FK44" s="319" t="s">
        <v>2616</v>
      </c>
      <c r="FL44" s="731">
        <f>IFERROR(SUMPRODUCT(('ANALYSE - ERP =&gt; SOUS-SEGMENT'!$C$8:$C$154=$C44)*'ANALYSE - ERP =&gt; SOUS-SEGMENT'!$Q$8:$Q$154*'ANALYSE - ERP =&gt; SOUS-SEGMENT'!$AF$8:$AF$154*'ANALYSE - ERP =&gt; SOUS-SEGMENT'!$FO$8:$FO$154)/SUMPRODUCT(('ANALYSE - ERP =&gt; SOUS-SEGMENT'!$C$8:$C$154=$C44)*'ANALYSE - ERP =&gt; SOUS-SEGMENT'!$Q$8:$Q$154*'ANALYSE - ERP =&gt; SOUS-SEGMENT'!$AF$8:$AF$154),"")</f>
        <v>6.3300251870508931E-2</v>
      </c>
      <c r="FM44" s="778">
        <f>IFERROR(SUMPRODUCT(('ANALYSE - ERP =&gt; SOUS-SEGMENT'!$C$8:$C$154=$C44)*'ANALYSE - ERP =&gt; SOUS-SEGMENT'!$Q$8:$Q$154*'ANALYSE - ERP =&gt; SOUS-SEGMENT'!$AF$8:$AF$154*'ANALYSE - ERP =&gt; SOUS-SEGMENT'!$FP$8:$FP$154)/SUMPRODUCT(('ANALYSE - ERP =&gt; SOUS-SEGMENT'!$C$8:$C$154=$C44)*'ANALYSE - ERP =&gt; SOUS-SEGMENT'!$Q$8:$Q$154*'ANALYSE - ERP =&gt; SOUS-SEGMENT'!$AF$8:$AF$154),"")</f>
        <v>0.83769978887324992</v>
      </c>
      <c r="FN44" s="320" t="s">
        <v>5204</v>
      </c>
      <c r="FO44" s="657"/>
      <c r="FP44" s="887">
        <f>IFERROR(SUMPRODUCT(('ANALYSE - ERP =&gt; SOUS-SEGMENT'!$C$8:$C$154=$C44)*'ANALYSE - ERP =&gt; SOUS-SEGMENT'!$Q$8:$Q$154*'ANALYSE - ERP =&gt; SOUS-SEGMENT'!$EX$8:$EX$154*'ANALYSE - ERP =&gt; SOUS-SEGMENT'!$FS$8:$FS$154)/SUMPRODUCT(('ANALYSE - ERP =&gt; SOUS-SEGMENT'!$C$8:$C$154=$C44)*'ANALYSE - ERP =&gt; SOUS-SEGMENT'!$Q$8:$Q$154*'ANALYSE - ERP =&gt; SOUS-SEGMENT'!$EX$8:$EX$154),"")</f>
        <v>3.2620233565539594</v>
      </c>
      <c r="FQ44" s="295">
        <f>RANK($FP44,$FP$8:$FP$143,0)+COUNTIF($FP$8:$FP44,$FP44)-1</f>
        <v>21</v>
      </c>
      <c r="FR44" s="887">
        <f>IFERROR(SUMPRODUCT(('ANALYSE - ERP =&gt; SOUS-SEGMENT'!$C$8:$C$154=$C44)*'ANALYSE - ERP =&gt; SOUS-SEGMENT'!$Q$8:$Q$154*'ANALYSE - ERP =&gt; SOUS-SEGMENT'!$EY$8:$EY$154*'ANALYSE - ERP =&gt; SOUS-SEGMENT'!$FU$8:$FU$154)/SUMPRODUCT(('ANALYSE - ERP =&gt; SOUS-SEGMENT'!$C$8:$C$154=$C44)*'ANALYSE - ERP =&gt; SOUS-SEGMENT'!$Q$8:$Q$154*'ANALYSE - ERP =&gt; SOUS-SEGMENT'!$EY$8:$EY$154),"")</f>
        <v>4.0922810545061301</v>
      </c>
      <c r="FS44" s="295">
        <f>RANK($FR44,$FR$8:$FR$143,0)+COUNTIF($FR$8:$FR44,$FR44)-1</f>
        <v>18</v>
      </c>
      <c r="FT44" s="887">
        <f>IFERROR(SUMPRODUCT(('ANALYSE - ERP =&gt; SOUS-SEGMENT'!$C$8:$C$154=$C44)*'ANALYSE - ERP =&gt; SOUS-SEGMENT'!$Q$8:$Q$154*'ANALYSE - ERP =&gt; SOUS-SEGMENT'!$EZ$8:$EZ$154*'ANALYSE - ERP =&gt; SOUS-SEGMENT'!$FW$8:$FW$154)/SUMPRODUCT(('ANALYSE - ERP =&gt; SOUS-SEGMENT'!$C$8:$C$154=$C44)*'ANALYSE - ERP =&gt; SOUS-SEGMENT'!$Q$8:$Q$154*'ANALYSE - ERP =&gt; SOUS-SEGMENT'!$EZ$8:$EZ$154),"")</f>
        <v>2.0851583800872842</v>
      </c>
      <c r="FU44" s="295">
        <f>RANK($FT44,$FT$8:$FT$143,0)+COUNTIF($FT$8:$FT44,$FT44)-1</f>
        <v>23</v>
      </c>
      <c r="FV44" s="657"/>
      <c r="FW44" s="321" t="s">
        <v>7481</v>
      </c>
      <c r="FX44" s="321" t="s">
        <v>7482</v>
      </c>
      <c r="FY44" s="321" t="s">
        <v>7483</v>
      </c>
      <c r="FZ44" s="321" t="s">
        <v>7484</v>
      </c>
      <c r="GA44" s="321" t="s">
        <v>7485</v>
      </c>
      <c r="GB44" s="321" t="s">
        <v>7486</v>
      </c>
      <c r="GC44" s="321" t="s">
        <v>6759</v>
      </c>
      <c r="GD44" s="657"/>
      <c r="GE44" s="292">
        <f>SUMPRODUCT(('ANALYSE - ERP =&gt; SOUS-SEGMENT'!$C$8:$C$154=$C44)*'ANALYSE - ERP =&gt; SOUS-SEGMENT'!$Q$8:$Q$154*'ANALYSE - ERP =&gt; SOUS-SEGMENT'!$GH$8:$GH$154)</f>
        <v>7731.7705299600011</v>
      </c>
      <c r="GF44" s="292">
        <f>SUMPRODUCT(('ANALYSE - ERP =&gt; SOUS-SEGMENT'!$C$8:$C$154=$C44)*'ANALYSE - ERP =&gt; SOUS-SEGMENT'!$Q$8:$Q$154*'ANALYSE - ERP =&gt; SOUS-SEGMENT'!$GI$8:$GI$154)</f>
        <v>6103.0582419600014</v>
      </c>
      <c r="GG44" s="292">
        <f>SUMPRODUCT(('ANALYSE - ERP =&gt; SOUS-SEGMENT'!$C$8:$C$154=$C44)*'ANALYSE - ERP =&gt; SOUS-SEGMENT'!$Q$8:$Q$154*'ANALYSE - ERP =&gt; SOUS-SEGMENT'!$GJ$8:$GJ$154)</f>
        <v>1628.7122879999999</v>
      </c>
      <c r="GH44" s="292">
        <f>SUMPRODUCT(('ANALYSE - ERP =&gt; SOUS-SEGMENT'!$C$8:$C$154=$C44)*'ANALYSE - ERP =&gt; SOUS-SEGMENT'!$Q$8:$Q$154*'ANALYSE - ERP =&gt; SOUS-SEGMENT'!$GK$8:$GK$154)</f>
        <v>21990.584259840005</v>
      </c>
      <c r="GI44" s="292">
        <f>SUMPRODUCT(('ANALYSE - ERP =&gt; SOUS-SEGMENT'!$C$8:$C$154=$C44)*'ANALYSE - ERP =&gt; SOUS-SEGMENT'!$Q$8:$Q$154*'ANALYSE - ERP =&gt; SOUS-SEGMENT'!$GL$8:$GL$154)</f>
        <v>16919.13432384</v>
      </c>
      <c r="GJ44" s="292">
        <f>SUMPRODUCT(('ANALYSE - ERP =&gt; SOUS-SEGMENT'!$C$8:$C$154=$C44)*'ANALYSE - ERP =&gt; SOUS-SEGMENT'!$Q$8:$Q$154*'ANALYSE - ERP =&gt; SOUS-SEGMENT'!$GM$8:$GM$154)</f>
        <v>5071.449936</v>
      </c>
      <c r="GK44" s="292">
        <f>SUMPRODUCT(('ANALYSE - ERP =&gt; SOUS-SEGMENT'!$C$8:$C$154=$C44)*'ANALYSE - ERP =&gt; SOUS-SEGMENT'!$Q$8:$Q$154*'ANALYSE - ERP =&gt; SOUS-SEGMENT'!$GN$8:$GN$154)</f>
        <v>2026.7303212800002</v>
      </c>
      <c r="GL44" s="292">
        <f>SUMPRODUCT(('ANALYSE - ERP =&gt; SOUS-SEGMENT'!$C$8:$C$154=$C44)*'ANALYSE - ERP =&gt; SOUS-SEGMENT'!$Q$8:$Q$154*'ANALYSE - ERP =&gt; SOUS-SEGMENT'!$GO$8:$GO$154)</f>
        <v>1495.9015612800001</v>
      </c>
      <c r="GM44" s="292">
        <f>SUMPRODUCT(('ANALYSE - ERP =&gt; SOUS-SEGMENT'!$C$8:$C$154=$C44)*'ANALYSE - ERP =&gt; SOUS-SEGMENT'!$Q$8:$Q$154*'ANALYSE - ERP =&gt; SOUS-SEGMENT'!$GP$8:$GP$154)</f>
        <v>530.82875999999999</v>
      </c>
      <c r="GN44" s="292">
        <f>SUMPRODUCT(('ANALYSE - ERP =&gt; SOUS-SEGMENT'!$C$8:$C$154=$C44)*'ANALYSE - ERP =&gt; SOUS-SEGMENT'!$Q$8:$Q$154*'ANALYSE - ERP =&gt; SOUS-SEGMENT'!$GQ$8:$GQ$154)</f>
        <v>2049.5732857200001</v>
      </c>
      <c r="GO44" s="292">
        <f>SUMPRODUCT(('ANALYSE - ERP =&gt; SOUS-SEGMENT'!$C$8:$C$154=$C44)*'ANALYSE - ERP =&gt; SOUS-SEGMENT'!$Q$8:$Q$154*'ANALYSE - ERP =&gt; SOUS-SEGMENT'!$GR$8:$GR$154)</f>
        <v>1588.0206697199999</v>
      </c>
      <c r="GP44" s="292">
        <f>SUMPRODUCT(('ANALYSE - ERP =&gt; SOUS-SEGMENT'!$C$8:$C$154=$C44)*'ANALYSE - ERP =&gt; SOUS-SEGMENT'!$Q$8:$Q$154*'ANALYSE - ERP =&gt; SOUS-SEGMENT'!$GS$8:$GS$154)</f>
        <v>461.55261599999989</v>
      </c>
      <c r="GQ44" s="292">
        <f>SUMPRODUCT(('ANALYSE - ERP =&gt; SOUS-SEGMENT'!$C$8:$C$154=$C44)*'ANALYSE - ERP =&gt; SOUS-SEGMENT'!$Q$8:$Q$154*'ANALYSE - ERP =&gt; SOUS-SEGMENT'!$GT$8:$GT$154)</f>
        <v>1370.980229025</v>
      </c>
      <c r="GR44" s="292">
        <f>SUMPRODUCT(('ANALYSE - ERP =&gt; SOUS-SEGMENT'!$C$8:$C$154=$C44)*'ANALYSE - ERP =&gt; SOUS-SEGMENT'!$Q$8:$Q$154*'ANALYSE - ERP =&gt; SOUS-SEGMENT'!$GU$8:$GU$154)</f>
        <v>1170.6561410250001</v>
      </c>
      <c r="GS44" s="292">
        <f>SUMPRODUCT(('ANALYSE - ERP =&gt; SOUS-SEGMENT'!$C$8:$C$154=$C44)*'ANALYSE - ERP =&gt; SOUS-SEGMENT'!$Q$8:$Q$154*'ANALYSE - ERP =&gt; SOUS-SEGMENT'!$GV$8:$GV$154)</f>
        <v>200.32408799999999</v>
      </c>
      <c r="GT44" s="292">
        <f>SUMPRODUCT(('ANALYSE - ERP =&gt; SOUS-SEGMENT'!$C$8:$C$154=$C44)*'ANALYSE - ERP =&gt; SOUS-SEGMENT'!$Q$8:$Q$154*'ANALYSE - ERP =&gt; SOUS-SEGMENT'!$GW$8:$GW$154)</f>
        <v>7141.0691194999999</v>
      </c>
      <c r="GU44" s="292">
        <f>SUMPRODUCT(('ANALYSE - ERP =&gt; SOUS-SEGMENT'!$C$8:$C$154=$C44)*'ANALYSE - ERP =&gt; SOUS-SEGMENT'!$Q$8:$Q$154*'ANALYSE - ERP =&gt; SOUS-SEGMENT'!$GX$8:$GX$154)</f>
        <v>5863.4601515000013</v>
      </c>
      <c r="GV44" s="292">
        <f>SUMPRODUCT(('ANALYSE - ERP =&gt; SOUS-SEGMENT'!$C$8:$C$154=$C44)*'ANALYSE - ERP =&gt; SOUS-SEGMENT'!$Q$8:$Q$154*'ANALYSE - ERP =&gt; SOUS-SEGMENT'!$GY$8:$GY$154)</f>
        <v>1277.608968</v>
      </c>
      <c r="GW44" s="292">
        <f>SUMPRODUCT(('ANALYSE - ERP =&gt; SOUS-SEGMENT'!$C$8:$C$154=$C44)*'ANALYSE - ERP =&gt; SOUS-SEGMENT'!$Q$8:$Q$154*'ANALYSE - ERP =&gt; SOUS-SEGMENT'!$GZ$8:$GZ$154)</f>
        <v>513.72822552857133</v>
      </c>
      <c r="GX44" s="292">
        <f>SUMPRODUCT(('ANALYSE - ERP =&gt; SOUS-SEGMENT'!$C$8:$C$154=$C44)*'ANALYSE - ERP =&gt; SOUS-SEGMENT'!$Q$8:$Q$154*'ANALYSE - ERP =&gt; SOUS-SEGMENT'!$HA$8:$HA$154)</f>
        <v>415.42888152857142</v>
      </c>
      <c r="GY44" s="292">
        <f>SUMPRODUCT(('ANALYSE - ERP =&gt; SOUS-SEGMENT'!$C$8:$C$154=$C44)*'ANALYSE - ERP =&gt; SOUS-SEGMENT'!$Q$8:$Q$154*'ANALYSE - ERP =&gt; SOUS-SEGMENT'!$HB$8:$HB$154)</f>
        <v>98.299344000000005</v>
      </c>
      <c r="GZ44" s="292">
        <f>SUMPRODUCT(('ANALYSE - ERP =&gt; SOUS-SEGMENT'!$C$8:$C$154=$C44)*'ANALYSE - ERP =&gt; SOUS-SEGMENT'!$Q$8:$Q$154*'ANALYSE - ERP =&gt; SOUS-SEGMENT'!$HC$8:$HC$154)</f>
        <v>507.99036123000008</v>
      </c>
      <c r="HA44" s="292">
        <f>SUMPRODUCT(('ANALYSE - ERP =&gt; SOUS-SEGMENT'!$C$8:$C$154=$C44)*'ANALYSE - ERP =&gt; SOUS-SEGMENT'!$Q$8:$Q$154*'ANALYSE - ERP =&gt; SOUS-SEGMENT'!$HD$8:$HD$154)</f>
        <v>410.80892923000005</v>
      </c>
      <c r="HB44" s="292">
        <f>SUMPRODUCT(('ANALYSE - ERP =&gt; SOUS-SEGMENT'!$C$8:$C$154=$C44)*'ANALYSE - ERP =&gt; SOUS-SEGMENT'!$Q$8:$Q$154*'ANALYSE - ERP =&gt; SOUS-SEGMENT'!$HE$8:$HE$154)</f>
        <v>97.181432000000001</v>
      </c>
      <c r="HC44" s="292">
        <f>SUMPRODUCT(('ANALYSE - ERP =&gt; SOUS-SEGMENT'!$C$8:$C$154=$C44)*'ANALYSE - ERP =&gt; SOUS-SEGMENT'!$Q$8:$Q$154*'ANALYSE - ERP =&gt; SOUS-SEGMENT'!$HF$8:$HF$154)</f>
        <v>4275.1213557199999</v>
      </c>
      <c r="HD44" s="292">
        <f>SUMPRODUCT(('ANALYSE - ERP =&gt; SOUS-SEGMENT'!$C$8:$C$154=$C44)*'ANALYSE - ERP =&gt; SOUS-SEGMENT'!$Q$8:$Q$154*'ANALYSE - ERP =&gt; SOUS-SEGMENT'!$HG$8:$HG$154)</f>
        <v>3310.48531572</v>
      </c>
      <c r="HE44" s="292">
        <f>SUMPRODUCT(('ANALYSE - ERP =&gt; SOUS-SEGMENT'!$C$8:$C$154=$C44)*'ANALYSE - ERP =&gt; SOUS-SEGMENT'!$Q$8:$Q$154*'ANALYSE - ERP =&gt; SOUS-SEGMENT'!$HH$8:$HH$154)</f>
        <v>964.63603999999998</v>
      </c>
      <c r="HF44" s="292">
        <f>SUMPRODUCT(('ANALYSE - ERP =&gt; SOUS-SEGMENT'!$C$8:$C$154=$C44)*'ANALYSE - ERP =&gt; SOUS-SEGMENT'!$Q$8:$Q$154*'ANALYSE - ERP =&gt; SOUS-SEGMENT'!$HI$8:$HI$154)</f>
        <v>596.29368201428565</v>
      </c>
      <c r="HG44" s="292">
        <f>SUMPRODUCT(('ANALYSE - ERP =&gt; SOUS-SEGMENT'!$C$8:$C$154=$C44)*'ANALYSE - ERP =&gt; SOUS-SEGMENT'!$Q$8:$Q$154*'ANALYSE - ERP =&gt; SOUS-SEGMENT'!$HJ$8:$HJ$154)</f>
        <v>461.21618601428571</v>
      </c>
      <c r="HH44" s="292">
        <f>SUMPRODUCT(('ANALYSE - ERP =&gt; SOUS-SEGMENT'!$C$8:$C$154=$C44)*'ANALYSE - ERP =&gt; SOUS-SEGMENT'!$Q$8:$Q$154*'ANALYSE - ERP =&gt; SOUS-SEGMENT'!$HK$8:$HK$154)</f>
        <v>135.077496</v>
      </c>
      <c r="HI44" s="292">
        <f>SUMPRODUCT(('ANALYSE - ERP =&gt; SOUS-SEGMENT'!$C$8:$C$154=$C44)*'ANALYSE - ERP =&gt; SOUS-SEGMENT'!$Q$8:$Q$154*'ANALYSE - ERP =&gt; SOUS-SEGMENT'!$HL$8:$HL$154)</f>
        <v>1948.5369401666665</v>
      </c>
      <c r="HJ44" s="292">
        <f>SUMPRODUCT(('ANALYSE - ERP =&gt; SOUS-SEGMENT'!$C$8:$C$154=$C44)*'ANALYSE - ERP =&gt; SOUS-SEGMENT'!$Q$8:$Q$154*'ANALYSE - ERP =&gt; SOUS-SEGMENT'!$HM$8:$HM$154)</f>
        <v>1554.1111081666668</v>
      </c>
      <c r="HK44" s="292">
        <f>SUMPRODUCT(('ANALYSE - ERP =&gt; SOUS-SEGMENT'!$C$8:$C$154=$C44)*'ANALYSE - ERP =&gt; SOUS-SEGMENT'!$Q$8:$Q$154*'ANALYSE - ERP =&gt; SOUS-SEGMENT'!$HN$8:$HN$154)</f>
        <v>394.42583199999996</v>
      </c>
      <c r="HL44" s="292">
        <f>SUMPRODUCT(('ANALYSE - ERP =&gt; SOUS-SEGMENT'!$C$8:$C$154=$C44)*'ANALYSE - ERP =&gt; SOUS-SEGMENT'!$Q$8:$Q$154*'ANALYSE - ERP =&gt; SOUS-SEGMENT'!$HO$8:$HO$154)</f>
        <v>16962.760978350001</v>
      </c>
      <c r="HM44" s="292">
        <f>SUMPRODUCT(('ANALYSE - ERP =&gt; SOUS-SEGMENT'!$C$8:$C$154=$C44)*'ANALYSE - ERP =&gt; SOUS-SEGMENT'!$Q$8:$Q$154*'ANALYSE - ERP =&gt; SOUS-SEGMENT'!$HP$8:$HP$154)</f>
        <v>13572.77471835</v>
      </c>
      <c r="HN44" s="292">
        <f>SUMPRODUCT(('ANALYSE - ERP =&gt; SOUS-SEGMENT'!$C$8:$C$154=$C44)*'ANALYSE - ERP =&gt; SOUS-SEGMENT'!$Q$8:$Q$154*'ANALYSE - ERP =&gt; SOUS-SEGMENT'!$HQ$8:$HQ$154)</f>
        <v>3389.9862600000006</v>
      </c>
      <c r="HO44" s="292">
        <f>SUMPRODUCT(('ANALYSE - ERP =&gt; SOUS-SEGMENT'!$C$8:$C$154=$C44)*'ANALYSE - ERP =&gt; SOUS-SEGMENT'!$Q$8:$Q$154*'ANALYSE - ERP =&gt; SOUS-SEGMENT'!$HR$8:$HR$154)</f>
        <v>11492.336135400001</v>
      </c>
      <c r="HP44" s="292">
        <f>SUMPRODUCT(('ANALYSE - ERP =&gt; SOUS-SEGMENT'!$C$8:$C$154=$C44)*'ANALYSE - ERP =&gt; SOUS-SEGMENT'!$Q$8:$Q$154*'ANALYSE - ERP =&gt; SOUS-SEGMENT'!$HS$8:$HS$154)</f>
        <v>8659.042463400001</v>
      </c>
      <c r="HQ44" s="292">
        <f>SUMPRODUCT(('ANALYSE - ERP =&gt; SOUS-SEGMENT'!$C$8:$C$154=$C44)*'ANALYSE - ERP =&gt; SOUS-SEGMENT'!$Q$8:$Q$154*'ANALYSE - ERP =&gt; SOUS-SEGMENT'!$HT$8:$HT$154)</f>
        <v>2833.2936719999998</v>
      </c>
      <c r="HR44" s="292">
        <f>SUMPRODUCT(('ANALYSE - ERP =&gt; SOUS-SEGMENT'!$C$8:$C$154=$C44)*'ANALYSE - ERP =&gt; SOUS-SEGMENT'!$Q$8:$Q$154*'ANALYSE - ERP =&gt; SOUS-SEGMENT'!$HU$8:$HU$154)</f>
        <v>2544.8385117500002</v>
      </c>
      <c r="HS44" s="292">
        <f>SUMPRODUCT(('ANALYSE - ERP =&gt; SOUS-SEGMENT'!$C$8:$C$154=$C44)*'ANALYSE - ERP =&gt; SOUS-SEGMENT'!$Q$8:$Q$154*'ANALYSE - ERP =&gt; SOUS-SEGMENT'!$HV$8:$HV$154)</f>
        <v>1814.8900437500001</v>
      </c>
      <c r="HT44" s="292">
        <f>SUMPRODUCT(('ANALYSE - ERP =&gt; SOUS-SEGMENT'!$C$8:$C$154=$C44)*'ANALYSE - ERP =&gt; SOUS-SEGMENT'!$Q$8:$Q$154*'ANALYSE - ERP =&gt; SOUS-SEGMENT'!$HW$8:$HW$154)</f>
        <v>729.94846800000005</v>
      </c>
      <c r="HU44" s="676"/>
      <c r="HV44" s="297">
        <f t="shared" si="40"/>
        <v>0</v>
      </c>
      <c r="HW44" s="297">
        <f>SUMPRODUCT(('ANALYSE - ERP =&gt; SOUS-SEGMENT'!$C$8:$C$154=$C44)*'ANALYSE - ERP =&gt; SOUS-SEGMENT'!$Q$8:$Q$154*'ANALYSE - ERP =&gt; SOUS-SEGMENT'!$HZ$8:$HZ$154)</f>
        <v>42497.39</v>
      </c>
      <c r="HX44" s="297">
        <f>SUMPRODUCT(('ANALYSE - ERP =&gt; SOUS-SEGMENT'!$C$8:$C$154=$C44)*'ANALYSE - ERP =&gt; SOUS-SEGMENT'!$Q$8:$Q$154*'ANALYSE - ERP =&gt; SOUS-SEGMENT'!$IA$8:$IA$154)</f>
        <v>138034.50480000002</v>
      </c>
      <c r="HY44" s="297">
        <f>SUMPRODUCT(('ANALYSE - ERP =&gt; SOUS-SEGMENT'!$C$8:$C$154=$C44)*'ANALYSE - ERP =&gt; SOUS-SEGMENT'!$Q$8:$Q$154*'ANALYSE - ERP =&gt; SOUS-SEGMENT'!$IB$8:$IB$154)</f>
        <v>66401.876399999994</v>
      </c>
      <c r="HZ44" s="297">
        <f>SUMPRODUCT(('ANALYSE - ERP =&gt; SOUS-SEGMENT'!$C$8:$C$154=$C44)*'ANALYSE - ERP =&gt; SOUS-SEGMENT'!$Q$8:$Q$154*'ANALYSE - ERP =&gt; SOUS-SEGMENT'!$IC$8:$IC$154)</f>
        <v>5359.52</v>
      </c>
      <c r="IA44" s="297">
        <f>SUMPRODUCT(('ANALYSE - ERP =&gt; SOUS-SEGMENT'!$C$8:$C$154=$C44)*'ANALYSE - ERP =&gt; SOUS-SEGMENT'!$Q$8:$Q$154*'ANALYSE - ERP =&gt; SOUS-SEGMENT'!$ID$8:$ID$154)</f>
        <v>179.75280000000001</v>
      </c>
      <c r="IB44" s="297">
        <f>SUMPRODUCT(('ANALYSE - ERP =&gt; SOUS-SEGMENT'!$C$8:$C$154=$C44)*'ANALYSE - ERP =&gt; SOUS-SEGMENT'!$Q$8:$Q$154*'ANALYSE - ERP =&gt; SOUS-SEGMENT'!$IE$8:$IE$154)</f>
        <v>62138.86473348453</v>
      </c>
      <c r="IC44" s="297">
        <f>SUMPRODUCT(('ANALYSE - ERP =&gt; SOUS-SEGMENT'!$C$8:$C$154=$C44)*'ANALYSE - ERP =&gt; SOUS-SEGMENT'!$Q$8:$Q$154*'ANALYSE - ERP =&gt; SOUS-SEGMENT'!$IF$8:$IF$154)</f>
        <v>4802.3865067060806</v>
      </c>
      <c r="ID44" s="297">
        <f>SUMPRODUCT(('ANALYSE - ERP =&gt; SOUS-SEGMENT'!$C$8:$C$154=$C44)*'ANALYSE - ERP =&gt; SOUS-SEGMENT'!$Q$8:$Q$154*'ANALYSE - ERP =&gt; SOUS-SEGMENT'!$IG$8:$IG$154)</f>
        <v>29391.982123019625</v>
      </c>
      <c r="IE44" s="297">
        <f>SUMPRODUCT(('ANALYSE - ERP =&gt; SOUS-SEGMENT'!$C$8:$C$154=$C44)*'ANALYSE - ERP =&gt; SOUS-SEGMENT'!$Q$8:$Q$154*'ANALYSE - ERP =&gt; SOUS-SEGMENT'!$IH$8:$IH$154)</f>
        <v>24582.815175576223</v>
      </c>
      <c r="IF44" s="297">
        <f>SUMPRODUCT(('ANALYSE - ERP =&gt; SOUS-SEGMENT'!$C$8:$C$154=$C44)*'ANALYSE - ERP =&gt; SOUS-SEGMENT'!$Q$8:$Q$154*'ANALYSE - ERP =&gt; SOUS-SEGMENT'!$II$8:$II$154)</f>
        <v>3164.5484627532596</v>
      </c>
      <c r="IG44" s="297">
        <f>SUMPRODUCT(('ANALYSE - ERP =&gt; SOUS-SEGMENT'!$C$8:$C$154=$C44)*'ANALYSE - ERP =&gt; SOUS-SEGMENT'!$Q$8:$Q$154*'ANALYSE - ERP =&gt; SOUS-SEGMENT'!$IJ$8:$IJ$154)</f>
        <v>197.13246542933601</v>
      </c>
      <c r="IH44" s="912"/>
      <c r="II44" s="643" t="s">
        <v>2589</v>
      </c>
      <c r="IJ44" s="322" t="s">
        <v>6760</v>
      </c>
      <c r="IK44" s="657"/>
      <c r="IL44" s="733">
        <f>IFERROR(SUMPRODUCT(('ANALYSE - ERP =&gt; SOUS-SEGMENT'!$C$8:$C$154=$C44)*'ANALYSE - ERP =&gt; SOUS-SEGMENT'!$Q$8:$Q$154*'ANALYSE - ERP =&gt; SOUS-SEGMENT'!$BE$8:$BE$154*'ANALYSE - ERP =&gt; SOUS-SEGMENT'!$IO$8:$IO$154)/SUMPRODUCT(('ANALYSE - ERP =&gt; SOUS-SEGMENT'!$C$8:$C$154=$C44)*'ANALYSE - ERP =&gt; SOUS-SEGMENT'!$Q$8:$Q$154*'ANALYSE - ERP =&gt; SOUS-SEGMENT'!$BE$8:$BE$154),0)</f>
        <v>0.16494079429948655</v>
      </c>
      <c r="IM44" s="733">
        <f>IFERROR(SUMPRODUCT(('ANALYSE - ERP =&gt; SOUS-SEGMENT'!$C$8:$C$154=$C44)*'ANALYSE - ERP =&gt; SOUS-SEGMENT'!$Q$8:$Q$154*'ANALYSE - ERP =&gt; SOUS-SEGMENT'!$BE$8:$BE$154*'ANALYSE - ERP =&gt; SOUS-SEGMENT'!$IP$8:$IP$154)/SUMPRODUCT(('ANALYSE - ERP =&gt; SOUS-SEGMENT'!$C$8:$C$154=$C44)*'ANALYSE - ERP =&gt; SOUS-SEGMENT'!$Q$8:$Q$154*'ANALYSE - ERP =&gt; SOUS-SEGMENT'!$BE$8:$BE$154),0)</f>
        <v>0.55456774599182657</v>
      </c>
      <c r="IN44" s="733">
        <f>IFERROR(SUMPRODUCT(('ANALYSE - ERP =&gt; SOUS-SEGMENT'!$C$8:$C$154=$C44)*'ANALYSE - ERP =&gt; SOUS-SEGMENT'!$Q$8:$Q$154*'ANALYSE - ERP =&gt; SOUS-SEGMENT'!$BE$8:$BE$154*'ANALYSE - ERP =&gt; SOUS-SEGMENT'!$IQ$8:$IQ$154)/SUMPRODUCT(('ANALYSE - ERP =&gt; SOUS-SEGMENT'!$C$8:$C$154=$C44)*'ANALYSE - ERP =&gt; SOUS-SEGMENT'!$Q$8:$Q$154*'ANALYSE - ERP =&gt; SOUS-SEGMENT'!$BE$8:$BE$154),0)</f>
        <v>0.26342869118725765</v>
      </c>
      <c r="IO44" s="733">
        <f>IFERROR(SUMPRODUCT(('ANALYSE - ERP =&gt; SOUS-SEGMENT'!$C$8:$C$154=$C44)*'ANALYSE - ERP =&gt; SOUS-SEGMENT'!$Q$8:$Q$154*'ANALYSE - ERP =&gt; SOUS-SEGMENT'!$BE$8:$BE$154*'ANALYSE - ERP =&gt; SOUS-SEGMENT'!$IR$8:$IR$154)/SUMPRODUCT(('ANALYSE - ERP =&gt; SOUS-SEGMENT'!$C$8:$C$154=$C44)*'ANALYSE - ERP =&gt; SOUS-SEGMENT'!$Q$8:$Q$154*'ANALYSE - ERP =&gt; SOUS-SEGMENT'!$BE$8:$BE$154),0)</f>
        <v>1.6218170386670856E-2</v>
      </c>
      <c r="IP44" s="733">
        <f>IFERROR(SUMPRODUCT(('ANALYSE - ERP =&gt; SOUS-SEGMENT'!$C$8:$C$154=$C44)*'ANALYSE - ERP =&gt; SOUS-SEGMENT'!$Q$8:$Q$154*'ANALYSE - ERP =&gt; SOUS-SEGMENT'!$BE$8:$BE$154*'ANALYSE - ERP =&gt; SOUS-SEGMENT'!$IS$8:$IS$154)/SUMPRODUCT(('ANALYSE - ERP =&gt; SOUS-SEGMENT'!$C$8:$C$154=$C44)*'ANALYSE - ERP =&gt; SOUS-SEGMENT'!$Q$8:$Q$154*'ANALYSE - ERP =&gt; SOUS-SEGMENT'!$BE$8:$BE$154),0)</f>
        <v>8.4459813475846167E-4</v>
      </c>
      <c r="IQ44" s="733">
        <f>IFERROR(SUMPRODUCT(('ANALYSE - ERP =&gt; SOUS-SEGMENT'!$C$8:$C$154=$C44)*'ANALYSE - ERP =&gt; SOUS-SEGMENT'!$Q$8:$Q$154*'ANALYSE - ERP =&gt; SOUS-SEGMENT'!$FB$8:$FB$154*'ANALYSE - ERP =&gt; SOUS-SEGMENT'!$IT$8:$IT$154)/SUMPRODUCT(('ANALYSE - ERP =&gt; SOUS-SEGMENT'!$C$8:$C$154=$C44)*'ANALYSE - ERP =&gt; SOUS-SEGMENT'!$Q$8:$Q$154*'ANALYSE - ERP =&gt; SOUS-SEGMENT'!$FB$8:$FB$154),0)</f>
        <v>7.9055300557270017E-2</v>
      </c>
      <c r="IR44" s="733">
        <f>IFERROR(SUMPRODUCT(('ANALYSE - ERP =&gt; SOUS-SEGMENT'!$C$8:$C$154=$C44)*'ANALYSE - ERP =&gt; SOUS-SEGMENT'!$Q$8:$Q$154*'ANALYSE - ERP =&gt; SOUS-SEGMENT'!$FB$8:$FB$154*'ANALYSE - ERP =&gt; SOUS-SEGMENT'!$IU$8:$IU$154)/SUMPRODUCT(('ANALYSE - ERP =&gt; SOUS-SEGMENT'!$C$8:$C$154=$C44)*'ANALYSE - ERP =&gt; SOUS-SEGMENT'!$Q$8:$Q$154*'ANALYSE - ERP =&gt; SOUS-SEGMENT'!$FB$8:$FB$154),0)</f>
        <v>0.47771848005984308</v>
      </c>
      <c r="IS44" s="733">
        <f>IFERROR(SUMPRODUCT(('ANALYSE - ERP =&gt; SOUS-SEGMENT'!$C$8:$C$154=$C44)*'ANALYSE - ERP =&gt; SOUS-SEGMENT'!$Q$8:$Q$154*'ANALYSE - ERP =&gt; SOUS-SEGMENT'!$FB$8:$FB$154*'ANALYSE - ERP =&gt; SOUS-SEGMENT'!$IV$8:$IV$154)/SUMPRODUCT(('ANALYSE - ERP =&gt; SOUS-SEGMENT'!$C$8:$C$154=$C44)*'ANALYSE - ERP =&gt; SOUS-SEGMENT'!$Q$8:$Q$154*'ANALYSE - ERP =&gt; SOUS-SEGMENT'!$FB$8:$FB$154),0)</f>
        <v>0.39831827416222659</v>
      </c>
      <c r="IT44" s="733">
        <f>IFERROR(SUMPRODUCT(('ANALYSE - ERP =&gt; SOUS-SEGMENT'!$C$8:$C$154=$C44)*'ANALYSE - ERP =&gt; SOUS-SEGMENT'!$Q$8:$Q$154*'ANALYSE - ERP =&gt; SOUS-SEGMENT'!$FB$8:$FB$154*'ANALYSE - ERP =&gt; SOUS-SEGMENT'!$IW$8:$IW$154)/SUMPRODUCT(('ANALYSE - ERP =&gt; SOUS-SEGMENT'!$C$8:$C$154=$C44)*'ANALYSE - ERP =&gt; SOUS-SEGMENT'!$Q$8:$Q$154*'ANALYSE - ERP =&gt; SOUS-SEGMENT'!$FB$8:$FB$154),0)</f>
        <v>4.1889694160797207E-2</v>
      </c>
      <c r="IU44" s="733">
        <f>IFERROR(SUMPRODUCT(('ANALYSE - ERP =&gt; SOUS-SEGMENT'!$C$8:$C$154=$C44)*'ANALYSE - ERP =&gt; SOUS-SEGMENT'!$Q$8:$Q$154*'ANALYSE - ERP =&gt; SOUS-SEGMENT'!$FB$8:$FB$154*'ANALYSE - ERP =&gt; SOUS-SEGMENT'!$IX$8:$IX$154)/SUMPRODUCT(('ANALYSE - ERP =&gt; SOUS-SEGMENT'!$C$8:$C$154=$C44)*'ANALYSE - ERP =&gt; SOUS-SEGMENT'!$Q$8:$Q$154*'ANALYSE - ERP =&gt; SOUS-SEGMENT'!$FB$8:$FB$154),0)</f>
        <v>3.0182510598630902E-3</v>
      </c>
      <c r="IV44" s="733">
        <f>IFERROR(SUMPRODUCT(('ANALYSE - ERP =&gt; SOUS-SEGMENT'!$C$8:$C$154=$C44)*'ANALYSE - ERP =&gt; SOUS-SEGMENT'!$Q$8:$Q$154*'ANALYSE - ERP =&gt; SOUS-SEGMENT'!$BF$8:$BF$154*'ANALYSE - ERP =&gt; SOUS-SEGMENT'!$IY$8:$IY$154)/SUMPRODUCT(('ANALYSE - ERP =&gt; SOUS-SEGMENT'!$C$8:$C$154=$C44)*'ANALYSE - ERP =&gt; SOUS-SEGMENT'!$Q$8:$Q$154*'ANALYSE - ERP =&gt; SOUS-SEGMENT'!$BF$8:$BF$154),0)</f>
        <v>2.0547978378378375E-2</v>
      </c>
      <c r="IW44" s="733">
        <f>IFERROR(SUMPRODUCT(('ANALYSE - ERP =&gt; SOUS-SEGMENT'!$C$8:$C$154=$C44)*'ANALYSE - ERP =&gt; SOUS-SEGMENT'!$Q$8:$Q$154*'ANALYSE - ERP =&gt; SOUS-SEGMENT'!$BF$8:$BF$154*'ANALYSE - ERP =&gt; SOUS-SEGMENT'!$IZ$8:$IZ$154)/SUMPRODUCT(('ANALYSE - ERP =&gt; SOUS-SEGMENT'!$C$8:$C$154=$C44)*'ANALYSE - ERP =&gt; SOUS-SEGMENT'!$Q$8:$Q$154*'ANALYSE - ERP =&gt; SOUS-SEGMENT'!$BF$8:$BF$154),0)</f>
        <v>0.24387811891891895</v>
      </c>
      <c r="IX44" s="733">
        <f>IFERROR(SUMPRODUCT(('ANALYSE - ERP =&gt; SOUS-SEGMENT'!$C$8:$C$154=$C44)*'ANALYSE - ERP =&gt; SOUS-SEGMENT'!$Q$8:$Q$154*'ANALYSE - ERP =&gt; SOUS-SEGMENT'!$BF$8:$BF$154*'ANALYSE - ERP =&gt; SOUS-SEGMENT'!$JA$8:$JA$154)/SUMPRODUCT(('ANALYSE - ERP =&gt; SOUS-SEGMENT'!$C$8:$C$154=$C44)*'ANALYSE - ERP =&gt; SOUS-SEGMENT'!$Q$8:$Q$154*'ANALYSE - ERP =&gt; SOUS-SEGMENT'!$BF$8:$BF$154),0)</f>
        <v>0.31819539459459462</v>
      </c>
      <c r="IY44" s="733">
        <f>IFERROR(SUMPRODUCT(('ANALYSE - ERP =&gt; SOUS-SEGMENT'!$C$8:$C$154=$C44)*'ANALYSE - ERP =&gt; SOUS-SEGMENT'!$Q$8:$Q$154*'ANALYSE - ERP =&gt; SOUS-SEGMENT'!$BF$8:$BF$154*'ANALYSE - ERP =&gt; SOUS-SEGMENT'!$JB$8:$JB$154)/SUMPRODUCT(('ANALYSE - ERP =&gt; SOUS-SEGMENT'!$C$8:$C$154=$C44)*'ANALYSE - ERP =&gt; SOUS-SEGMENT'!$Q$8:$Q$154*'ANALYSE - ERP =&gt; SOUS-SEGMENT'!$BF$8:$BF$154),0)</f>
        <v>9.2462918918918932E-2</v>
      </c>
      <c r="IZ44" s="733">
        <f>IFERROR(SUMPRODUCT(('ANALYSE - ERP =&gt; SOUS-SEGMENT'!$C$8:$C$154=$C44)*'ANALYSE - ERP =&gt; SOUS-SEGMENT'!$Q$8:$Q$154*'ANALYSE - ERP =&gt; SOUS-SEGMENT'!$BF$8:$BF$154*'ANALYSE - ERP =&gt; SOUS-SEGMENT'!$JC$8:$JC$154)/SUMPRODUCT(('ANALYSE - ERP =&gt; SOUS-SEGMENT'!$C$8:$C$154=$C44)*'ANALYSE - ERP =&gt; SOUS-SEGMENT'!$Q$8:$Q$154*'ANALYSE - ERP =&gt; SOUS-SEGMENT'!$BF$8:$BF$154),0)</f>
        <v>5.9126486486486482E-4</v>
      </c>
      <c r="JA44" s="733">
        <f>IFERROR(SUMPRODUCT(('ANALYSE - ERP =&gt; SOUS-SEGMENT'!$C$8:$C$154=$C44)*'ANALYSE - ERP =&gt; SOUS-SEGMENT'!$Q$8:$Q$154*'ANALYSE - ERP =&gt; SOUS-SEGMENT'!$FE$8:$FE$154*'ANALYSE - ERP =&gt; SOUS-SEGMENT'!$JD$8:$JD$154)/SUMPRODUCT(('ANALYSE - ERP =&gt; SOUS-SEGMENT'!$C$8:$C$154=$C44)*'ANALYSE - ERP =&gt; SOUS-SEGMENT'!$Q$8:$Q$154*'ANALYSE - ERP =&gt; SOUS-SEGMENT'!$FE$8:$FE$154),0)</f>
        <v>6.8721245038884504E-3</v>
      </c>
      <c r="JB44" s="733">
        <f>IFERROR(SUMPRODUCT(('ANALYSE - ERP =&gt; SOUS-SEGMENT'!$C$8:$C$154=$C44)*'ANALYSE - ERP =&gt; SOUS-SEGMENT'!$Q$8:$Q$154*'ANALYSE - ERP =&gt; SOUS-SEGMENT'!$FE$8:$FE$154*'ANALYSE - ERP =&gt; SOUS-SEGMENT'!$JE$8:$JE$154)/SUMPRODUCT(('ANALYSE - ERP =&gt; SOUS-SEGMENT'!$C$8:$C$154=$C44)*'ANALYSE - ERP =&gt; SOUS-SEGMENT'!$Q$8:$Q$154*'ANALYSE - ERP =&gt; SOUS-SEGMENT'!$FE$8:$FE$154),0)</f>
        <v>0.27902756118498173</v>
      </c>
      <c r="JC44" s="733">
        <f>IFERROR(SUMPRODUCT(('ANALYSE - ERP =&gt; SOUS-SEGMENT'!$C$8:$C$154=$C44)*'ANALYSE - ERP =&gt; SOUS-SEGMENT'!$Q$8:$Q$154*'ANALYSE - ERP =&gt; SOUS-SEGMENT'!$FE$8:$FE$154*'ANALYSE - ERP =&gt; SOUS-SEGMENT'!$JF$8:$JF$154)/SUMPRODUCT(('ANALYSE - ERP =&gt; SOUS-SEGMENT'!$C$8:$C$154=$C44)*'ANALYSE - ERP =&gt; SOUS-SEGMENT'!$Q$8:$Q$154*'ANALYSE - ERP =&gt; SOUS-SEGMENT'!$FE$8:$FE$154),0)</f>
        <v>0.4140907684747675</v>
      </c>
      <c r="JD44" s="733">
        <f>IFERROR(SUMPRODUCT(('ANALYSE - ERP =&gt; SOUS-SEGMENT'!$C$8:$C$154=$C44)*'ANALYSE - ERP =&gt; SOUS-SEGMENT'!$Q$8:$Q$154*'ANALYSE - ERP =&gt; SOUS-SEGMENT'!$FE$8:$FE$154*'ANALYSE - ERP =&gt; SOUS-SEGMENT'!$JG$8:$JG$154)/SUMPRODUCT(('ANALYSE - ERP =&gt; SOUS-SEGMENT'!$C$8:$C$154=$C44)*'ANALYSE - ERP =&gt; SOUS-SEGMENT'!$Q$8:$Q$154*'ANALYSE - ERP =&gt; SOUS-SEGMENT'!$FE$8:$FE$154),0)</f>
        <v>0.13397076691390555</v>
      </c>
      <c r="JE44" s="733">
        <f>IFERROR(SUMPRODUCT(('ANALYSE - ERP =&gt; SOUS-SEGMENT'!$C$8:$C$154=$C44)*'ANALYSE - ERP =&gt; SOUS-SEGMENT'!$Q$8:$Q$154*'ANALYSE - ERP =&gt; SOUS-SEGMENT'!$FE$8:$FE$154*'ANALYSE - ERP =&gt; SOUS-SEGMENT'!$JH$8:$JH$154)/SUMPRODUCT(('ANALYSE - ERP =&gt; SOUS-SEGMENT'!$C$8:$C$154=$C44)*'ANALYSE - ERP =&gt; SOUS-SEGMENT'!$Q$8:$Q$154*'ANALYSE - ERP =&gt; SOUS-SEGMENT'!$FE$8:$FE$154),0)</f>
        <v>4.9384736071769152E-3</v>
      </c>
      <c r="JF44" s="733">
        <f>IFERROR(SUMPRODUCT(('ANALYSE - ERP =&gt; SOUS-SEGMENT'!$C$8:$C$154=$C44)*'ANALYSE - ERP =&gt; SOUS-SEGMENT'!$Q$8:$Q$154*'ANALYSE - ERP =&gt; SOUS-SEGMENT'!$BG$8:$BG$154*'ANALYSE - ERP =&gt; SOUS-SEGMENT'!$JI$8:$JI$154)/SUMPRODUCT(('ANALYSE - ERP =&gt; SOUS-SEGMENT'!$C$8:$C$154=$C44)*'ANALYSE - ERP =&gt; SOUS-SEGMENT'!$Q$8:$Q$154*'ANALYSE - ERP =&gt; SOUS-SEGMENT'!$BG$8:$BG$154),0)</f>
        <v>0.24030608907446072</v>
      </c>
      <c r="JG44" s="733">
        <f>IFERROR(SUMPRODUCT(('ANALYSE - ERP =&gt; SOUS-SEGMENT'!$C$8:$C$154=$C44)*'ANALYSE - ERP =&gt; SOUS-SEGMENT'!$Q$8:$Q$154*'ANALYSE - ERP =&gt; SOUS-SEGMENT'!$BG$8:$BG$154*'ANALYSE - ERP =&gt; SOUS-SEGMENT'!$JJ$8:$JJ$154)/SUMPRODUCT(('ANALYSE - ERP =&gt; SOUS-SEGMENT'!$C$8:$C$154=$C44)*'ANALYSE - ERP =&gt; SOUS-SEGMENT'!$Q$8:$Q$154*'ANALYSE - ERP =&gt; SOUS-SEGMENT'!$BG$8:$BG$154),0)</f>
        <v>0.5688485734168407</v>
      </c>
      <c r="JH44" s="733">
        <f>IFERROR(SUMPRODUCT(('ANALYSE - ERP =&gt; SOUS-SEGMENT'!$C$8:$C$154=$C44)*'ANALYSE - ERP =&gt; SOUS-SEGMENT'!$Q$8:$Q$154*'ANALYSE - ERP =&gt; SOUS-SEGMENT'!$BG$8:$BG$154*'ANALYSE - ERP =&gt; SOUS-SEGMENT'!$JK$8:$JK$154)/SUMPRODUCT(('ANALYSE - ERP =&gt; SOUS-SEGMENT'!$C$8:$C$154=$C44)*'ANALYSE - ERP =&gt; SOUS-SEGMENT'!$Q$8:$Q$154*'ANALYSE - ERP =&gt; SOUS-SEGMENT'!$BG$8:$BG$154),0)</f>
        <v>0.18072216423103687</v>
      </c>
      <c r="JI44" s="733">
        <f>IFERROR(SUMPRODUCT(('ANALYSE - ERP =&gt; SOUS-SEGMENT'!$C$8:$C$154=$C44)*'ANALYSE - ERP =&gt; SOUS-SEGMENT'!$Q$8:$Q$154*'ANALYSE - ERP =&gt; SOUS-SEGMENT'!$BG$8:$BG$154*'ANALYSE - ERP =&gt; SOUS-SEGMENT'!$JL$8:$JL$154)/SUMPRODUCT(('ANALYSE - ERP =&gt; SOUS-SEGMENT'!$C$8:$C$154=$C44)*'ANALYSE - ERP =&gt; SOUS-SEGMENT'!$Q$8:$Q$154*'ANALYSE - ERP =&gt; SOUS-SEGMENT'!$BG$8:$BG$154),0)</f>
        <v>9.9295059151009047E-3</v>
      </c>
      <c r="JJ44" s="733">
        <f>IFERROR(SUMPRODUCT(('ANALYSE - ERP =&gt; SOUS-SEGMENT'!$C$8:$C$154=$C44)*'ANALYSE - ERP =&gt; SOUS-SEGMENT'!$Q$8:$Q$154*'ANALYSE - ERP =&gt; SOUS-SEGMENT'!$BG$8:$BG$154*'ANALYSE - ERP =&gt; SOUS-SEGMENT'!$JM$8:$JM$154)/SUMPRODUCT(('ANALYSE - ERP =&gt; SOUS-SEGMENT'!$C$8:$C$154=$C44)*'ANALYSE - ERP =&gt; SOUS-SEGMENT'!$Q$8:$Q$154*'ANALYSE - ERP =&gt; SOUS-SEGMENT'!$BG$8:$BG$154),0)</f>
        <v>1.9366736256089075E-4</v>
      </c>
      <c r="JK44" s="733">
        <f>IFERROR(SUMPRODUCT(('ANALYSE - ERP =&gt; SOUS-SEGMENT'!$C$8:$C$154=$C44)*'ANALYSE - ERP =&gt; SOUS-SEGMENT'!$Q$8:$Q$154*'ANALYSE - ERP =&gt; SOUS-SEGMENT'!$FH$8:$FH$154*'ANALYSE - ERP =&gt; SOUS-SEGMENT'!$JN$8:$JN$154)/SUMPRODUCT(('ANALYSE - ERP =&gt; SOUS-SEGMENT'!$C$8:$C$154=$C44)*'ANALYSE - ERP =&gt; SOUS-SEGMENT'!$Q$8:$Q$154*'ANALYSE - ERP =&gt; SOUS-SEGMENT'!$FH$8:$FH$154),0)</f>
        <v>0.12230274251977445</v>
      </c>
      <c r="JL44" s="733">
        <f>IFERROR(SUMPRODUCT(('ANALYSE - ERP =&gt; SOUS-SEGMENT'!$C$8:$C$154=$C44)*'ANALYSE - ERP =&gt; SOUS-SEGMENT'!$Q$8:$Q$154*'ANALYSE - ERP =&gt; SOUS-SEGMENT'!$FH$8:$FH$154*'ANALYSE - ERP =&gt; SOUS-SEGMENT'!$JO$8:$JO$154)/SUMPRODUCT(('ANALYSE - ERP =&gt; SOUS-SEGMENT'!$C$8:$C$154=$C44)*'ANALYSE - ERP =&gt; SOUS-SEGMENT'!$Q$8:$Q$154*'ANALYSE - ERP =&gt; SOUS-SEGMENT'!$FH$8:$FH$154),0)</f>
        <v>0.55022564582731803</v>
      </c>
      <c r="JM44" s="733">
        <f>IFERROR(SUMPRODUCT(('ANALYSE - ERP =&gt; SOUS-SEGMENT'!$C$8:$C$154=$C44)*'ANALYSE - ERP =&gt; SOUS-SEGMENT'!$Q$8:$Q$154*'ANALYSE - ERP =&gt; SOUS-SEGMENT'!$FH$8:$FH$154*'ANALYSE - ERP =&gt; SOUS-SEGMENT'!$JP$8:$JP$154)/SUMPRODUCT(('ANALYSE - ERP =&gt; SOUS-SEGMENT'!$C$8:$C$154=$C44)*'ANALYSE - ERP =&gt; SOUS-SEGMENT'!$Q$8:$Q$154*'ANALYSE - ERP =&gt; SOUS-SEGMENT'!$FH$8:$FH$154),0)</f>
        <v>0.29949556674141653</v>
      </c>
      <c r="JN44" s="733">
        <f>IFERROR(SUMPRODUCT(('ANALYSE - ERP =&gt; SOUS-SEGMENT'!$C$8:$C$154=$C44)*'ANALYSE - ERP =&gt; SOUS-SEGMENT'!$Q$8:$Q$154*'ANALYSE - ERP =&gt; SOUS-SEGMENT'!$FH$8:$FH$154*'ANALYSE - ERP =&gt; SOUS-SEGMENT'!$JQ$8:$JQ$154)/SUMPRODUCT(('ANALYSE - ERP =&gt; SOUS-SEGMENT'!$C$8:$C$154=$C44)*'ANALYSE - ERP =&gt; SOUS-SEGMENT'!$Q$8:$Q$154*'ANALYSE - ERP =&gt; SOUS-SEGMENT'!$FH$8:$FH$154),0)</f>
        <v>2.5637573197313256E-2</v>
      </c>
      <c r="JO44" s="733">
        <f>IFERROR(SUMPRODUCT(('ANALYSE - ERP =&gt; SOUS-SEGMENT'!$C$8:$C$154=$C44)*'ANALYSE - ERP =&gt; SOUS-SEGMENT'!$Q$8:$Q$154*'ANALYSE - ERP =&gt; SOUS-SEGMENT'!$FH$8:$FH$154*'ANALYSE - ERP =&gt; SOUS-SEGMENT'!$JR$8:$JR$154)/SUMPRODUCT(('ANALYSE - ERP =&gt; SOUS-SEGMENT'!$C$8:$C$154=$C44)*'ANALYSE - ERP =&gt; SOUS-SEGMENT'!$Q$8:$Q$154*'ANALYSE - ERP =&gt; SOUS-SEGMENT'!$FH$8:$FH$154),0)</f>
        <v>2.3384717141778605E-3</v>
      </c>
      <c r="JP44" s="733">
        <f>IFERROR(SUMPRODUCT(('ANALYSE - ERP =&gt; SOUS-SEGMENT'!$C$8:$C$154=$C44)*'ANALYSE - ERP =&gt; SOUS-SEGMENT'!$Q$8:$Q$154*'ANALYSE - ERP =&gt; SOUS-SEGMENT'!$BH$8:$BH$154*'ANALYSE - ERP =&gt; SOUS-SEGMENT'!$JS$8:$JS$154)/SUMPRODUCT(('ANALYSE - ERP =&gt; SOUS-SEGMENT'!$C$8:$C$154=$C44)*'ANALYSE - ERP =&gt; SOUS-SEGMENT'!$Q$8:$Q$154*'ANALYSE - ERP =&gt; SOUS-SEGMENT'!$BH$8:$BH$154),0)</f>
        <v>0.17278043800749532</v>
      </c>
      <c r="JQ44" s="733">
        <f>IFERROR(SUMPRODUCT(('ANALYSE - ERP =&gt; SOUS-SEGMENT'!$C$8:$C$154=$C44)*'ANALYSE - ERP =&gt; SOUS-SEGMENT'!$Q$8:$Q$154*'ANALYSE - ERP =&gt; SOUS-SEGMENT'!$BH$8:$BH$154*'ANALYSE - ERP =&gt; SOUS-SEGMENT'!$JT$8:$JT$154)/SUMPRODUCT(('ANALYSE - ERP =&gt; SOUS-SEGMENT'!$C$8:$C$154=$C44)*'ANALYSE - ERP =&gt; SOUS-SEGMENT'!$Q$8:$Q$154*'ANALYSE - ERP =&gt; SOUS-SEGMENT'!$BH$8:$BH$154),0)</f>
        <v>0.55567724469081825</v>
      </c>
      <c r="JR44" s="733">
        <f>IFERROR(SUMPRODUCT(('ANALYSE - ERP =&gt; SOUS-SEGMENT'!$C$8:$C$154=$C44)*'ANALYSE - ERP =&gt; SOUS-SEGMENT'!$Q$8:$Q$154*'ANALYSE - ERP =&gt; SOUS-SEGMENT'!$BH$8:$BH$154*'ANALYSE - ERP =&gt; SOUS-SEGMENT'!$JU$8:$JU$154)/SUMPRODUCT(('ANALYSE - ERP =&gt; SOUS-SEGMENT'!$C$8:$C$154=$C44)*'ANALYSE - ERP =&gt; SOUS-SEGMENT'!$Q$8:$Q$154*'ANALYSE - ERP =&gt; SOUS-SEGMENT'!$BH$8:$BH$154),0)</f>
        <v>0.25563415053091815</v>
      </c>
      <c r="JS44" s="733">
        <f>IFERROR(SUMPRODUCT(('ANALYSE - ERP =&gt; SOUS-SEGMENT'!$C$8:$C$154=$C44)*'ANALYSE - ERP =&gt; SOUS-SEGMENT'!$Q$8:$Q$154*'ANALYSE - ERP =&gt; SOUS-SEGMENT'!$BH$8:$BH$154*'ANALYSE - ERP =&gt; SOUS-SEGMENT'!$JV$8:$JV$154)/SUMPRODUCT(('ANALYSE - ERP =&gt; SOUS-SEGMENT'!$C$8:$C$154=$C44)*'ANALYSE - ERP =&gt; SOUS-SEGMENT'!$Q$8:$Q$154*'ANALYSE - ERP =&gt; SOUS-SEGMENT'!$BH$8:$BH$154),0)</f>
        <v>1.5258205808869458E-2</v>
      </c>
      <c r="JT44" s="733">
        <f>IFERROR(SUMPRODUCT(('ANALYSE - ERP =&gt; SOUS-SEGMENT'!$C$8:$C$154=$C44)*'ANALYSE - ERP =&gt; SOUS-SEGMENT'!$Q$8:$Q$154*'ANALYSE - ERP =&gt; SOUS-SEGMENT'!$BH$8:$BH$154*'ANALYSE - ERP =&gt; SOUS-SEGMENT'!$JW$8:$JW$154)/SUMPRODUCT(('ANALYSE - ERP =&gt; SOUS-SEGMENT'!$C$8:$C$154=$C44)*'ANALYSE - ERP =&gt; SOUS-SEGMENT'!$Q$8:$Q$154*'ANALYSE - ERP =&gt; SOUS-SEGMENT'!$BH$8:$BH$154),0)</f>
        <v>6.6014990630855713E-4</v>
      </c>
      <c r="JU44" s="733">
        <f>IFERROR(SUMPRODUCT(('ANALYSE - ERP =&gt; SOUS-SEGMENT'!$C$8:$C$154=$C44)*'ANALYSE - ERP =&gt; SOUS-SEGMENT'!$Q$8:$Q$154*'ANALYSE - ERP =&gt; SOUS-SEGMENT'!$FK$8:$FK$154*'ANALYSE - ERP =&gt; SOUS-SEGMENT'!$JX$8:$JX$154)/SUMPRODUCT(('ANALYSE - ERP =&gt; SOUS-SEGMENT'!$C$8:$C$154=$C44)*'ANALYSE - ERP =&gt; SOUS-SEGMENT'!$Q$8:$Q$154*'ANALYSE - ERP =&gt; SOUS-SEGMENT'!$FK$8:$FK$154),0)</f>
        <v>8.2579331443330711E-2</v>
      </c>
      <c r="JV44" s="733">
        <f>IFERROR(SUMPRODUCT(('ANALYSE - ERP =&gt; SOUS-SEGMENT'!$C$8:$C$154=$C44)*'ANALYSE - ERP =&gt; SOUS-SEGMENT'!$Q$8:$Q$154*'ANALYSE - ERP =&gt; SOUS-SEGMENT'!$FK$8:$FK$154*'ANALYSE - ERP =&gt; SOUS-SEGMENT'!$JY$8:$JY$154)/SUMPRODUCT(('ANALYSE - ERP =&gt; SOUS-SEGMENT'!$C$8:$C$154=$C44)*'ANALYSE - ERP =&gt; SOUS-SEGMENT'!$Q$8:$Q$154*'ANALYSE - ERP =&gt; SOUS-SEGMENT'!$FK$8:$FK$154),0)</f>
        <v>0.48595193592842617</v>
      </c>
      <c r="JW44" s="733">
        <f>IFERROR(SUMPRODUCT(('ANALYSE - ERP =&gt; SOUS-SEGMENT'!$C$8:$C$154=$C44)*'ANALYSE - ERP =&gt; SOUS-SEGMENT'!$Q$8:$Q$154*'ANALYSE - ERP =&gt; SOUS-SEGMENT'!$FK$8:$FK$154*'ANALYSE - ERP =&gt; SOUS-SEGMENT'!$JZ$8:$JZ$154)/SUMPRODUCT(('ANALYSE - ERP =&gt; SOUS-SEGMENT'!$C$8:$C$154=$C44)*'ANALYSE - ERP =&gt; SOUS-SEGMENT'!$Q$8:$Q$154*'ANALYSE - ERP =&gt; SOUS-SEGMENT'!$FK$8:$FK$154),0)</f>
        <v>0.39013208302096058</v>
      </c>
      <c r="JX44" s="733">
        <f>IFERROR(SUMPRODUCT(('ANALYSE - ERP =&gt; SOUS-SEGMENT'!$C$8:$C$154=$C44)*'ANALYSE - ERP =&gt; SOUS-SEGMENT'!$Q$8:$Q$154*'ANALYSE - ERP =&gt; SOUS-SEGMENT'!$FK$8:$FK$154*'ANALYSE - ERP =&gt; SOUS-SEGMENT'!$KA$8:$KA$154)/SUMPRODUCT(('ANALYSE - ERP =&gt; SOUS-SEGMENT'!$C$8:$C$154=$C44)*'ANALYSE - ERP =&gt; SOUS-SEGMENT'!$Q$8:$Q$154*'ANALYSE - ERP =&gt; SOUS-SEGMENT'!$FK$8:$FK$154),0)</f>
        <v>3.8503274263859147E-2</v>
      </c>
      <c r="JY44" s="733">
        <f>IFERROR(SUMPRODUCT(('ANALYSE - ERP =&gt; SOUS-SEGMENT'!$C$8:$C$154=$C44)*'ANALYSE - ERP =&gt; SOUS-SEGMENT'!$Q$8:$Q$154*'ANALYSE - ERP =&gt; SOUS-SEGMENT'!$FK$8:$FK$154*'ANALYSE - ERP =&gt; SOUS-SEGMENT'!$KB$8:$KB$154)/SUMPRODUCT(('ANALYSE - ERP =&gt; SOUS-SEGMENT'!$C$8:$C$154=$C44)*'ANALYSE - ERP =&gt; SOUS-SEGMENT'!$Q$8:$Q$154*'ANALYSE - ERP =&gt; SOUS-SEGMENT'!$FK$8:$FK$154),0)</f>
        <v>2.8333753434232741E-3</v>
      </c>
      <c r="JZ44" s="657"/>
      <c r="KA44" s="643" t="s">
        <v>2590</v>
      </c>
      <c r="KB44" s="643" t="s">
        <v>2591</v>
      </c>
      <c r="KC44" s="912" t="str">
        <f>IFERROR(SUMPRODUCT(('ANALYSE - ERP =&gt; SOUS-SEGMENT'!$C$8:$C$154=$C45)*'ANALYSE - ERP =&gt; SOUS-SEGMENT'!$Q$8:$Q$154*'ANALYSE - ERP =&gt; SOUS-SEGMENT'!$EX$8:$EX$154*'ANALYSE - ERP =&gt; SOUS-SEGMENT'!$KF$8:$KF$154)/SUMPRODUCT(('ANALYSE - ERP =&gt; SOUS-SEGMENT'!$C$8:$C$154=$C45)*'ANALYSE - ERP =&gt; SOUS-SEGMENT'!$Q$8:$Q$154*'ANALYSE - ERP =&gt; SOUS-SEGMENT'!$EX$8:$EX$154),"")</f>
        <v/>
      </c>
      <c r="KD44" s="643" t="s">
        <v>2589</v>
      </c>
      <c r="KE44" s="644" t="s">
        <v>2908</v>
      </c>
      <c r="KF44" s="643" t="s">
        <v>6760</v>
      </c>
      <c r="KG44" s="644" t="s">
        <v>6760</v>
      </c>
    </row>
    <row r="45" spans="1:293" s="933" customFormat="1" ht="48" customHeight="1">
      <c r="A45" s="623">
        <v>14</v>
      </c>
      <c r="B45" s="624" t="s">
        <v>3662</v>
      </c>
      <c r="C45" s="624" t="s">
        <v>7528</v>
      </c>
      <c r="D45" s="624" t="s">
        <v>7529</v>
      </c>
      <c r="E45" s="625" t="s">
        <v>7530</v>
      </c>
      <c r="F45" s="625" t="s">
        <v>7531</v>
      </c>
      <c r="G45" s="625" t="s">
        <v>300</v>
      </c>
      <c r="H45" s="625" t="s">
        <v>2109</v>
      </c>
      <c r="I45" s="290" t="s">
        <v>7532</v>
      </c>
      <c r="J45" s="290" t="s">
        <v>7533</v>
      </c>
      <c r="K45" s="626" t="s">
        <v>2097</v>
      </c>
      <c r="L45" s="626" t="s">
        <v>2109</v>
      </c>
      <c r="M45" s="626" t="s">
        <v>3168</v>
      </c>
      <c r="N45" s="626" t="s">
        <v>6742</v>
      </c>
      <c r="O45" s="625" t="s">
        <v>3170</v>
      </c>
      <c r="P45" s="290"/>
      <c r="Q45" s="627">
        <f>IF(SUMPRODUCT(('ANALYSE - ERP =&gt; SOUS-SEGMENT'!$C$8:$C$154=$C45)*'ANALYSE - ERP =&gt; SOUS-SEGMENT'!$Q$8:$Q$154)&gt;0,1,0)</f>
        <v>0</v>
      </c>
      <c r="R45" s="280" t="str">
        <f>IFERROR(SUMPRODUCT(('ANALYSE - ERP =&gt; SOUS-SEGMENT'!$C$8:$C$154=$C45)*'ANALYSE - ERP =&gt; SOUS-SEGMENT'!$Q$8:$Q$154*'ANALYSE - ERP =&gt; SOUS-SEGMENT'!$AG$8:$AG$154*'ANALYSE - ERP =&gt; SOUS-SEGMENT'!$R$8:$R$154)/SUMPRODUCT(('ANALYSE - ERP =&gt; SOUS-SEGMENT'!$C$8:$C$154=$C45)*'ANALYSE - ERP =&gt; SOUS-SEGMENT'!$Q$8:$Q$154*'ANALYSE - ERP =&gt; SOUS-SEGMENT'!$AG$8:$AG$154),"")</f>
        <v/>
      </c>
      <c r="S45" s="628">
        <f>SUMPRODUCT(('ANALYSE - ERP =&gt; SOUS-SEGMENT'!$C$8:$C$154=$C45)*'ANALYSE - ERP =&gt; SOUS-SEGMENT'!$Q$8:$Q$154*'ANALYSE - ERP =&gt; SOUS-SEGMENT'!$S$8:$S$154)</f>
        <v>0</v>
      </c>
      <c r="T45" s="628">
        <f>SUMPRODUCT(('ANALYSE - ERP =&gt; SOUS-SEGMENT'!$C$8:$C$154=$C45)*'ANALYSE - ERP =&gt; SOUS-SEGMENT'!$Q$8:$Q$154*'ANALYSE - ERP =&gt; SOUS-SEGMENT'!$T$8:$T$154)</f>
        <v>0</v>
      </c>
      <c r="U45" s="628">
        <f>SUMPRODUCT(('ANALYSE - ERP =&gt; SOUS-SEGMENT'!$C$8:$C$154=$C45)*'ANALYSE - ERP =&gt; SOUS-SEGMENT'!$Q$8:$Q$154*'ANALYSE - ERP =&gt; SOUS-SEGMENT'!$U$8:$U$154)</f>
        <v>0</v>
      </c>
      <c r="V45" s="628">
        <f>SUMPRODUCT(('ANALYSE - ERP =&gt; SOUS-SEGMENT'!$C$8:$C$154=$C45)*'ANALYSE - ERP =&gt; SOUS-SEGMENT'!$Q$8:$Q$154*'ANALYSE - ERP =&gt; SOUS-SEGMENT'!$V$8:$V$154)</f>
        <v>0</v>
      </c>
      <c r="W45" s="628">
        <f>SUMPRODUCT(('ANALYSE - ERP =&gt; SOUS-SEGMENT'!$C$8:$C$154=$C45)*'ANALYSE - ERP =&gt; SOUS-SEGMENT'!$Q$8:$Q$154*'ANALYSE - ERP =&gt; SOUS-SEGMENT'!$W$8:$W$154)</f>
        <v>0</v>
      </c>
      <c r="X45" s="628">
        <f>SUMPRODUCT(('ANALYSE - ERP =&gt; SOUS-SEGMENT'!$C$8:$C$154=$C45)*'ANALYSE - ERP =&gt; SOUS-SEGMENT'!$Q$8:$Q$154*'ANALYSE - ERP =&gt; SOUS-SEGMENT'!$X$8:$X$154)</f>
        <v>0</v>
      </c>
      <c r="Y45" s="628">
        <f>SUMPRODUCT(('ANALYSE - ERP =&gt; SOUS-SEGMENT'!$C$8:$C$154=$C45)*'ANALYSE - ERP =&gt; SOUS-SEGMENT'!$Q$8:$Q$154*'ANALYSE - ERP =&gt; SOUS-SEGMENT'!$Y$8:$Y$154)</f>
        <v>0</v>
      </c>
      <c r="Z45" s="628">
        <f>SUMPRODUCT(('ANALYSE - ERP =&gt; SOUS-SEGMENT'!$C$8:$C$154=$C45)*'ANALYSE - ERP =&gt; SOUS-SEGMENT'!$Q$8:$Q$154*'ANALYSE - ERP =&gt; SOUS-SEGMENT'!$Z$8:$Z$154)</f>
        <v>0</v>
      </c>
      <c r="AA45" s="628">
        <f>SUMPRODUCT(('ANALYSE - ERP =&gt; SOUS-SEGMENT'!$C$8:$C$154=$C45)*'ANALYSE - ERP =&gt; SOUS-SEGMENT'!$Q$8:$Q$154*'ANALYSE - ERP =&gt; SOUS-SEGMENT'!$AA$8:$AA$154)</f>
        <v>0</v>
      </c>
      <c r="AB45" s="628">
        <f>SUMPRODUCT(('ANALYSE - ERP =&gt; SOUS-SEGMENT'!$C$8:$C$154=$C45)*'ANALYSE - ERP =&gt; SOUS-SEGMENT'!$Q$8:$Q$154*'ANALYSE - ERP =&gt; SOUS-SEGMENT'!$AB$8:$AB$154)</f>
        <v>0</v>
      </c>
      <c r="AC45" s="628">
        <f>SUMPRODUCT(('ANALYSE - ERP =&gt; SOUS-SEGMENT'!$C$8:$C$154=$C45)*'ANALYSE - ERP =&gt; SOUS-SEGMENT'!$Q$8:$Q$154*'ANALYSE - ERP =&gt; SOUS-SEGMENT'!$AC$8:$AC$154)</f>
        <v>0</v>
      </c>
      <c r="AD45" s="628">
        <f>SUMPRODUCT(('ANALYSE - ERP =&gt; SOUS-SEGMENT'!$C$8:$C$154=$C45)*'ANALYSE - ERP =&gt; SOUS-SEGMENT'!$Q$8:$Q$154*'ANALYSE - ERP =&gt; SOUS-SEGMENT'!$AD$8:$AD$154)</f>
        <v>0</v>
      </c>
      <c r="AE45" s="628">
        <f>SUMPRODUCT(('ANALYSE - ERP =&gt; SOUS-SEGMENT'!$C$8:$C$154=$C45)*'ANALYSE - ERP =&gt; SOUS-SEGMENT'!$Q$8:$Q$154*'ANALYSE - ERP =&gt; SOUS-SEGMENT'!$AE$8:$AE$154)</f>
        <v>0</v>
      </c>
      <c r="AF45" s="628">
        <f>SUMPRODUCT(('ANALYSE - ERP =&gt; SOUS-SEGMENT'!$C$8:$C$154=$C45)*'ANALYSE - ERP =&gt; SOUS-SEGMENT'!$Q$8:$Q$154*'ANALYSE - ERP =&gt; SOUS-SEGMENT'!$AF$8:$AF$154)</f>
        <v>0</v>
      </c>
      <c r="AG45" s="628">
        <f>SUMPRODUCT(('ANALYSE - ERP =&gt; SOUS-SEGMENT'!$C$8:$C$154=$C45)*'ANALYSE - ERP =&gt; SOUS-SEGMENT'!$Q$8:$Q$154*'ANALYSE - ERP =&gt; SOUS-SEGMENT'!$AG$8:$AG$154)</f>
        <v>0</v>
      </c>
      <c r="AH45" s="628">
        <f>SUMPRODUCT(('ANALYSE - ERP =&gt; SOUS-SEGMENT'!$C$8:$C$154=$C45)*'ANALYSE - ERP =&gt; SOUS-SEGMENT'!$Q$8:$Q$154*'ANALYSE - ERP =&gt; SOUS-SEGMENT'!$AH$8:$AH$154)</f>
        <v>0</v>
      </c>
      <c r="AI45" s="628">
        <f>SUMPRODUCT(('ANALYSE - ERP =&gt; SOUS-SEGMENT'!$C$8:$C$154=$C45)*'ANALYSE - ERP =&gt; SOUS-SEGMENT'!$Q$8:$Q$154*'ANALYSE - ERP =&gt; SOUS-SEGMENT'!$AI$8:$AI$154)</f>
        <v>0</v>
      </c>
      <c r="AJ45" s="628">
        <f>SUMPRODUCT(('ANALYSE - ERP =&gt; SOUS-SEGMENT'!$C$8:$C$154=$C45)*'ANALYSE - ERP =&gt; SOUS-SEGMENT'!$Q$8:$Q$154*'ANALYSE - ERP =&gt; SOUS-SEGMENT'!$AJ$8:$AJ$154)</f>
        <v>0</v>
      </c>
      <c r="AK45" s="628">
        <f>SUMPRODUCT(('ANALYSE - ERP =&gt; SOUS-SEGMENT'!$C$8:$C$154=$C45)*'ANALYSE - ERP =&gt; SOUS-SEGMENT'!$Q$8:$Q$154*'ANALYSE - ERP =&gt; SOUS-SEGMENT'!$AK$8:$AK$154)</f>
        <v>0</v>
      </c>
      <c r="AL45" s="290" t="s">
        <v>7471</v>
      </c>
      <c r="AM45" s="290" t="s">
        <v>7472</v>
      </c>
      <c r="AN45" s="290" t="s">
        <v>7534</v>
      </c>
      <c r="AO45" s="657"/>
      <c r="AP45" s="280" t="str">
        <f>IFERROR(SUMPRODUCT(('ANALYSE - ERP =&gt; SOUS-SEGMENT'!$C$8:$C$154=$C45)*'ANALYSE - ERP =&gt; SOUS-SEGMENT'!$Q$8:$Q$154*'ANALYSE - ERP =&gt; SOUS-SEGMENT'!$AG$8:$AG$154*'ANALYSE - ERP =&gt; SOUS-SEGMENT'!$AP$8:$AP$154)/SUMPRODUCT(('ANALYSE - ERP =&gt; SOUS-SEGMENT'!$C$8:$C$154=$C45)*'ANALYSE - ERP =&gt; SOUS-SEGMENT'!$Q$8:$Q$154*'ANALYSE - ERP =&gt; SOUS-SEGMENT'!$AG$8:$AG$154),"")</f>
        <v/>
      </c>
      <c r="AQ45" s="280" t="str">
        <f>IFERROR(SUMPRODUCT(('ANALYSE - ERP =&gt; SOUS-SEGMENT'!$C$8:$C$154=$C45)*'ANALYSE - ERP =&gt; SOUS-SEGMENT'!$Q$8:$Q$154*'ANALYSE - ERP =&gt; SOUS-SEGMENT'!$AF$8:$AF$154*'ANALYSE - ERP =&gt; SOUS-SEGMENT'!$AQ$8:$AQ$154)/SUMPRODUCT(('ANALYSE - ERP =&gt; SOUS-SEGMENT'!$C$8:$C$154=$C45)*'ANALYSE - ERP =&gt; SOUS-SEGMENT'!$Q$8:$Q$154*'ANALYSE - ERP =&gt; SOUS-SEGMENT'!$AF$8:$AF$154),"")</f>
        <v/>
      </c>
      <c r="AR45" s="280" t="str">
        <f>IFERROR(SUMPRODUCT(('ANALYSE - ERP =&gt; SOUS-SEGMENT'!$C$8:$C$154=$C45)*'ANALYSE - ERP =&gt; SOUS-SEGMENT'!$Q$8:$Q$154*'ANALYSE - ERP =&gt; SOUS-SEGMENT'!$AF$8:$AF$154*'ANALYSE - ERP =&gt; SOUS-SEGMENT'!$AR$8:$AR$154)/SUMPRODUCT(('ANALYSE - ERP =&gt; SOUS-SEGMENT'!$C$8:$C$154=$C45)*'ANALYSE - ERP =&gt; SOUS-SEGMENT'!$Q$8:$Q$154*'ANALYSE - ERP =&gt; SOUS-SEGMENT'!$AF$8:$AF$154),"")</f>
        <v/>
      </c>
      <c r="AS45" s="280" t="str">
        <f>IFERROR(SUMPRODUCT(('ANALYSE - ERP =&gt; SOUS-SEGMENT'!$C$8:$C$154=$C45)*'ANALYSE - ERP =&gt; SOUS-SEGMENT'!$Q$8:$Q$154*'ANALYSE - ERP =&gt; SOUS-SEGMENT'!$AF$8:$AF$154*'ANALYSE - ERP =&gt; SOUS-SEGMENT'!$AS$8:$AS$154)/SUMPRODUCT(('ANALYSE - ERP =&gt; SOUS-SEGMENT'!$C$8:$C$154=$C45)*'ANALYSE - ERP =&gt; SOUS-SEGMENT'!$Q$8:$Q$154*'ANALYSE - ERP =&gt; SOUS-SEGMENT'!$AF$8:$AF$154),"")</f>
        <v/>
      </c>
      <c r="AT45" s="657" t="s">
        <v>7535</v>
      </c>
      <c r="AU45" s="301" t="s">
        <v>7536</v>
      </c>
      <c r="AV45" s="302" t="s">
        <v>7537</v>
      </c>
      <c r="AW45" s="301"/>
      <c r="AX45" s="657"/>
      <c r="AY45" s="303" t="str">
        <f>IFERROR(SUMPRODUCT(('ANALYSE - ERP =&gt; SOUS-SEGMENT'!$C$8:$C$154=$C45)*'ANALYSE - ERP =&gt; SOUS-SEGMENT'!$Q$8:$Q$154*'ANALYSE - ERP =&gt; SOUS-SEGMENT'!$AF$8:$AF$154*'ANALYSE - ERP =&gt; SOUS-SEGMENT'!$AZ$8:$AZ$154)/SUMPRODUCT(('ANALYSE - ERP =&gt; SOUS-SEGMENT'!$C$8:$C$154=$C45)*'ANALYSE - ERP =&gt; SOUS-SEGMENT'!$Q$8:$Q$154*'ANALYSE - ERP =&gt; SOUS-SEGMENT'!$AF$8:$AF$154),"")</f>
        <v/>
      </c>
      <c r="AZ45" s="948" t="str">
        <f>IFERROR(SUMPRODUCT(('ANALYSE - ERP =&gt; SOUS-SEGMENT'!$C$8:$C$154=$C45)*'ANALYSE - ERP =&gt; SOUS-SEGMENT'!$Q$8:$Q$154*'ANALYSE - ERP =&gt; SOUS-SEGMENT'!$AF$8:$AF$154*'ANALYSE - ERP =&gt; SOUS-SEGMENT'!$BA$8:$BA$154)/SUMPRODUCT(('ANALYSE - ERP =&gt; SOUS-SEGMENT'!$C$8:$C$154=$C45)*'ANALYSE - ERP =&gt; SOUS-SEGMENT'!$Q$8:$Q$154*'ANALYSE - ERP =&gt; SOUS-SEGMENT'!$AF$8:$AF$154),"")</f>
        <v/>
      </c>
      <c r="BA45" s="303" t="str">
        <f>IFERROR(SUMPRODUCT(('ANALYSE - ERP =&gt; SOUS-SEGMENT'!$C$8:$C$154=$C45)*'ANALYSE - ERP =&gt; SOUS-SEGMENT'!$Q$8:$Q$154*'ANALYSE - ERP =&gt; SOUS-SEGMENT'!$AF$8:$AF$154*'ANALYSE - ERP =&gt; SOUS-SEGMENT'!$BB$8:$BB$154)/SUMPRODUCT(('ANALYSE - ERP =&gt; SOUS-SEGMENT'!$C$8:$C$154=$C45)*'ANALYSE - ERP =&gt; SOUS-SEGMENT'!$Q$8:$Q$154*'ANALYSE - ERP =&gt; SOUS-SEGMENT'!$AF$8:$AF$154),"")</f>
        <v/>
      </c>
      <c r="BB45" s="303" t="str">
        <f>IFERROR(SUMPRODUCT(('ANALYSE - ERP =&gt; SOUS-SEGMENT'!$C$8:$C$154=$C45)*'ANALYSE - ERP =&gt; SOUS-SEGMENT'!$Q$8:$Q$154*'ANALYSE - ERP =&gt; SOUS-SEGMENT'!$AF$8:$AF$154*'ANALYSE - ERP =&gt; SOUS-SEGMENT'!$BC$8:$BC$154)/SUMPRODUCT(('ANALYSE - ERP =&gt; SOUS-SEGMENT'!$C$8:$C$154=$C45)*'ANALYSE - ERP =&gt; SOUS-SEGMENT'!$Q$8:$Q$154*'ANALYSE - ERP =&gt; SOUS-SEGMENT'!$AF$8:$AF$154),"")</f>
        <v/>
      </c>
      <c r="BC45" s="304">
        <f>SUMPRODUCT(('ANALYSE - ERP =&gt; SOUS-SEGMENT'!$C$8:$C$154=$C45)*'ANALYSE - ERP =&gt; SOUS-SEGMENT'!$Q$8:$Q$154*'ANALYSE - ERP =&gt; SOUS-SEGMENT'!$BE$8:$BE$154)</f>
        <v>0</v>
      </c>
      <c r="BD45" s="304">
        <f>SUMPRODUCT(('ANALYSE - ERP =&gt; SOUS-SEGMENT'!$C$8:$C$154=$C45)*'ANALYSE - ERP =&gt; SOUS-SEGMENT'!$Q$8:$Q$154*'ANALYSE - ERP =&gt; SOUS-SEGMENT'!$BF$8:$BF$154)</f>
        <v>0</v>
      </c>
      <c r="BE45" s="304">
        <f>SUMPRODUCT(('ANALYSE - ERP =&gt; SOUS-SEGMENT'!$C$8:$C$154=$C45)*'ANALYSE - ERP =&gt; SOUS-SEGMENT'!$Q$8:$Q$154*'ANALYSE - ERP =&gt; SOUS-SEGMENT'!$BG$8:$BG$154)</f>
        <v>0</v>
      </c>
      <c r="BF45" s="304">
        <f>SUMPRODUCT(('ANALYSE - ERP =&gt; SOUS-SEGMENT'!$C$8:$C$154=$C45)*'ANALYSE - ERP =&gt; SOUS-SEGMENT'!$Q$8:$Q$154*'ANALYSE - ERP =&gt; SOUS-SEGMENT'!$BH$8:$BH$154)</f>
        <v>0</v>
      </c>
      <c r="BG45" s="304">
        <f>SUMPRODUCT(('ANALYSE - ERP =&gt; SOUS-SEGMENT'!$C$8:$C$154=$C45)*'ANALYSE - ERP =&gt; SOUS-SEGMENT'!$Q$8:$Q$154*'ANALYSE - ERP =&gt; SOUS-SEGMENT'!$BJ$8:$BJ$154)</f>
        <v>0</v>
      </c>
      <c r="BH45" s="304">
        <f>SUMPRODUCT(('ANALYSE - ERP =&gt; SOUS-SEGMENT'!$C$8:$C$154=$C45)*'ANALYSE - ERP =&gt; SOUS-SEGMENT'!$Q$8:$Q$154*'ANALYSE - ERP =&gt; SOUS-SEGMENT'!$BK$8:$BK$154)</f>
        <v>0</v>
      </c>
      <c r="BI45" s="304">
        <f>SUMPRODUCT(('ANALYSE - ERP =&gt; SOUS-SEGMENT'!$C$8:$C$154=$C45)*'ANALYSE - ERP =&gt; SOUS-SEGMENT'!$Q$8:$Q$154*'ANALYSE - ERP =&gt; SOUS-SEGMENT'!$BL$8:$BL$154)</f>
        <v>0</v>
      </c>
      <c r="BJ45" s="304">
        <f>SUMPRODUCT(('ANALYSE - ERP =&gt; SOUS-SEGMENT'!$C$8:$C$154=$C45)*'ANALYSE - ERP =&gt; SOUS-SEGMENT'!$Q$8:$Q$154*'ANALYSE - ERP =&gt; SOUS-SEGMENT'!$BM$8:$BM$154)</f>
        <v>0</v>
      </c>
      <c r="BK45" s="657"/>
      <c r="BL45" s="284" t="str">
        <f>IFERROR(SUMPRODUCT(('ANALYSE - ERP =&gt; SOUS-SEGMENT'!$C$8:$C$154=$C45)*'ANALYSE - ERP =&gt; SOUS-SEGMENT'!$Q$8:$Q$154*'ANALYSE - ERP =&gt; SOUS-SEGMENT'!$BE$8:$BE$154*'ANALYSE - ERP =&gt; SOUS-SEGMENT'!$BO$8:$BO$154)/SUMPRODUCT(('ANALYSE - ERP =&gt; SOUS-SEGMENT'!$C$8:$C$154=$C45)*'ANALYSE - ERP =&gt; SOUS-SEGMENT'!$Q$8:$Q$154*'ANALYSE - ERP =&gt; SOUS-SEGMENT'!$BE$8:$BE$154),"")</f>
        <v/>
      </c>
      <c r="BM45" s="284" t="str">
        <f>IFERROR(SUMPRODUCT(('ANALYSE - ERP =&gt; SOUS-SEGMENT'!$C$8:$C$154=$C45)*'ANALYSE - ERP =&gt; SOUS-SEGMENT'!$Q$8:$Q$154*'ANALYSE - ERP =&gt; SOUS-SEGMENT'!$BE$8:$BE$154*'ANALYSE - ERP =&gt; SOUS-SEGMENT'!$BP$8:$BP$154)/SUMPRODUCT(('ANALYSE - ERP =&gt; SOUS-SEGMENT'!$C$8:$C$154=$C45)*'ANALYSE - ERP =&gt; SOUS-SEGMENT'!$Q$8:$Q$154*'ANALYSE - ERP =&gt; SOUS-SEGMENT'!$BE$8:$BE$154),"")</f>
        <v/>
      </c>
      <c r="BN45" s="284" t="str">
        <f>IFERROR(SUMPRODUCT(('ANALYSE - ERP =&gt; SOUS-SEGMENT'!$C$8:$C$154=$C45)*'ANALYSE - ERP =&gt; SOUS-SEGMENT'!$Q$8:$Q$154*'ANALYSE - ERP =&gt; SOUS-SEGMENT'!$BE$8:$BE$154*'ANALYSE - ERP =&gt; SOUS-SEGMENT'!$BQ$8:$BQ$154)/SUMPRODUCT(('ANALYSE - ERP =&gt; SOUS-SEGMENT'!$C$8:$C$154=$C45)*'ANALYSE - ERP =&gt; SOUS-SEGMENT'!$Q$8:$Q$154*'ANALYSE - ERP =&gt; SOUS-SEGMENT'!$BE$8:$BE$154),"")</f>
        <v/>
      </c>
      <c r="BO45" s="284" t="str">
        <f>IFERROR(SUMPRODUCT(('ANALYSE - ERP =&gt; SOUS-SEGMENT'!$C$8:$C$154=$C45)*'ANALYSE - ERP =&gt; SOUS-SEGMENT'!$Q$8:$Q$154*'ANALYSE - ERP =&gt; SOUS-SEGMENT'!$BE$8:$BE$154*'ANALYSE - ERP =&gt; SOUS-SEGMENT'!$BR$8:$BR$154)/SUMPRODUCT(('ANALYSE - ERP =&gt; SOUS-SEGMENT'!$C$8:$C$154=$C45)*'ANALYSE - ERP =&gt; SOUS-SEGMENT'!$Q$8:$Q$154*'ANALYSE - ERP =&gt; SOUS-SEGMENT'!$BE$8:$BE$154),"")</f>
        <v/>
      </c>
      <c r="BP45" s="284" t="str">
        <f>IFERROR(SUMPRODUCT(('ANALYSE - ERP =&gt; SOUS-SEGMENT'!$C$8:$C$154=$C45)*'ANALYSE - ERP =&gt; SOUS-SEGMENT'!$Q$8:$Q$154*'ANALYSE - ERP =&gt; SOUS-SEGMENT'!$BJ$8:$BJ$154*'ANALYSE - ERP =&gt; SOUS-SEGMENT'!$BS$8:$BS$154)/SUMPRODUCT(('ANALYSE - ERP =&gt; SOUS-SEGMENT'!$C$8:$C$154=$C45)*'ANALYSE - ERP =&gt; SOUS-SEGMENT'!$Q$8:$Q$154*'ANALYSE - ERP =&gt; SOUS-SEGMENT'!$BJ$8:$BJ$154),"")</f>
        <v/>
      </c>
      <c r="BQ45" s="284" t="str">
        <f>IFERROR(SUMPRODUCT(('ANALYSE - ERP =&gt; SOUS-SEGMENT'!$C$8:$C$154=$C45)*'ANALYSE - ERP =&gt; SOUS-SEGMENT'!$Q$8:$Q$154*'ANALYSE - ERP =&gt; SOUS-SEGMENT'!$BJ$8:$BJ$154*'ANALYSE - ERP =&gt; SOUS-SEGMENT'!$BT$8:$BT$154)/SUMPRODUCT(('ANALYSE - ERP =&gt; SOUS-SEGMENT'!$C$8:$C$154=$C45)*'ANALYSE - ERP =&gt; SOUS-SEGMENT'!$Q$8:$Q$154*'ANALYSE - ERP =&gt; SOUS-SEGMENT'!$BJ$8:$BJ$154),"")</f>
        <v/>
      </c>
      <c r="BR45" s="284" t="str">
        <f>IFERROR(SUMPRODUCT(('ANALYSE - ERP =&gt; SOUS-SEGMENT'!$C$8:$C$154=$C45)*'ANALYSE - ERP =&gt; SOUS-SEGMENT'!$Q$8:$Q$154*'ANALYSE - ERP =&gt; SOUS-SEGMENT'!$BJ$8:$BJ$154*'ANALYSE - ERP =&gt; SOUS-SEGMENT'!$BU$8:$BU$154)/SUMPRODUCT(('ANALYSE - ERP =&gt; SOUS-SEGMENT'!$C$8:$C$154=$C45)*'ANALYSE - ERP =&gt; SOUS-SEGMENT'!$Q$8:$Q$154*'ANALYSE - ERP =&gt; SOUS-SEGMENT'!$BJ$8:$BJ$154),"")</f>
        <v/>
      </c>
      <c r="BS45" s="284" t="str">
        <f>IFERROR(SUMPRODUCT(('ANALYSE - ERP =&gt; SOUS-SEGMENT'!$C$8:$C$154=$C45)*'ANALYSE - ERP =&gt; SOUS-SEGMENT'!$Q$8:$Q$154*'ANALYSE - ERP =&gt; SOUS-SEGMENT'!$BJ$8:$BJ$154*'ANALYSE - ERP =&gt; SOUS-SEGMENT'!$BV$8:$BV$154)/SUMPRODUCT(('ANALYSE - ERP =&gt; SOUS-SEGMENT'!$C$8:$C$154=$C45)*'ANALYSE - ERP =&gt; SOUS-SEGMENT'!$Q$8:$Q$154*'ANALYSE - ERP =&gt; SOUS-SEGMENT'!$BJ$8:$BJ$154),"")</f>
        <v/>
      </c>
      <c r="BT45" s="285" t="str">
        <f>IFERROR(SUMPRODUCT(('ANALYSE - ERP =&gt; SOUS-SEGMENT'!$C$8:$C$154=$C45)*'ANALYSE - ERP =&gt; SOUS-SEGMENT'!$Q$8:$Q$154*'ANALYSE - ERP =&gt; SOUS-SEGMENT'!$BF$8:$BF$154*'ANALYSE - ERP =&gt; SOUS-SEGMENT'!$BW$8:$BW$154)/SUMPRODUCT(('ANALYSE - ERP =&gt; SOUS-SEGMENT'!$C$8:$C$154=$C45)*'ANALYSE - ERP =&gt; SOUS-SEGMENT'!$Q$8:$Q$154*'ANALYSE - ERP =&gt; SOUS-SEGMENT'!$BF$8:$BF$154),"")</f>
        <v/>
      </c>
      <c r="BU45" s="285" t="str">
        <f>IFERROR(SUMPRODUCT(('ANALYSE - ERP =&gt; SOUS-SEGMENT'!$C$8:$C$154=$C45)*'ANALYSE - ERP =&gt; SOUS-SEGMENT'!$Q$8:$Q$154*'ANALYSE - ERP =&gt; SOUS-SEGMENT'!$BF$8:$BF$154*'ANALYSE - ERP =&gt; SOUS-SEGMENT'!$BX$8:$BX$154)/SUMPRODUCT(('ANALYSE - ERP =&gt; SOUS-SEGMENT'!$C$8:$C$154=$C45)*'ANALYSE - ERP =&gt; SOUS-SEGMENT'!$Q$8:$Q$154*'ANALYSE - ERP =&gt; SOUS-SEGMENT'!$BF$8:$BF$154),"")</f>
        <v/>
      </c>
      <c r="BV45" s="285" t="str">
        <f>IFERROR(SUMPRODUCT(('ANALYSE - ERP =&gt; SOUS-SEGMENT'!$C$8:$C$154=$C45)*'ANALYSE - ERP =&gt; SOUS-SEGMENT'!$Q$8:$Q$154*'ANALYSE - ERP =&gt; SOUS-SEGMENT'!$BF$8:$BF$154*'ANALYSE - ERP =&gt; SOUS-SEGMENT'!$BY$8:$BY$154)/SUMPRODUCT(('ANALYSE - ERP =&gt; SOUS-SEGMENT'!$C$8:$C$154=$C45)*'ANALYSE - ERP =&gt; SOUS-SEGMENT'!$Q$8:$Q$154*'ANALYSE - ERP =&gt; SOUS-SEGMENT'!$BF$8:$BF$154),"")</f>
        <v/>
      </c>
      <c r="BW45" s="285" t="str">
        <f>IFERROR(SUMPRODUCT(('ANALYSE - ERP =&gt; SOUS-SEGMENT'!$C$8:$C$154=$C45)*'ANALYSE - ERP =&gt; SOUS-SEGMENT'!$Q$8:$Q$154*'ANALYSE - ERP =&gt; SOUS-SEGMENT'!$BK$8:$BK$154*'ANALYSE - ERP =&gt; SOUS-SEGMENT'!$BZ$8:$BZ$154)/SUMPRODUCT(('ANALYSE - ERP =&gt; SOUS-SEGMENT'!$C$8:$C$154=$C45)*'ANALYSE - ERP =&gt; SOUS-SEGMENT'!$Q$8:$Q$154*'ANALYSE - ERP =&gt; SOUS-SEGMENT'!$BK$8:$BK$154),"")</f>
        <v/>
      </c>
      <c r="BX45" s="285" t="str">
        <f>IFERROR(SUMPRODUCT(('ANALYSE - ERP =&gt; SOUS-SEGMENT'!$C$8:$C$154=$C45)*'ANALYSE - ERP =&gt; SOUS-SEGMENT'!$Q$8:$Q$154*'ANALYSE - ERP =&gt; SOUS-SEGMENT'!$BK$8:$BK$154*'ANALYSE - ERP =&gt; SOUS-SEGMENT'!$CA$8:$CA$154)/SUMPRODUCT(('ANALYSE - ERP =&gt; SOUS-SEGMENT'!$C$8:$C$154=$C45)*'ANALYSE - ERP =&gt; SOUS-SEGMENT'!$Q$8:$Q$154*'ANALYSE - ERP =&gt; SOUS-SEGMENT'!$BK$8:$BK$154),"")</f>
        <v/>
      </c>
      <c r="BY45" s="285" t="str">
        <f>IFERROR(SUMPRODUCT(('ANALYSE - ERP =&gt; SOUS-SEGMENT'!$C$8:$C$154=$C45)*'ANALYSE - ERP =&gt; SOUS-SEGMENT'!$Q$8:$Q$154*'ANALYSE - ERP =&gt; SOUS-SEGMENT'!$BK$8:$BK$154*'ANALYSE - ERP =&gt; SOUS-SEGMENT'!$CB$8:$CB$154)/SUMPRODUCT(('ANALYSE - ERP =&gt; SOUS-SEGMENT'!$C$8:$C$154=$C45)*'ANALYSE - ERP =&gt; SOUS-SEGMENT'!$Q$8:$Q$154*'ANALYSE - ERP =&gt; SOUS-SEGMENT'!$BK$8:$BK$154),"")</f>
        <v/>
      </c>
      <c r="BZ45" s="284" t="str">
        <f>IFERROR(SUMPRODUCT(('ANALYSE - ERP =&gt; SOUS-SEGMENT'!$C$8:$C$154=$C45)*'ANALYSE - ERP =&gt; SOUS-SEGMENT'!$Q$8:$Q$154*'ANALYSE - ERP =&gt; SOUS-SEGMENT'!$BG$8:$BG$154*'ANALYSE - ERP =&gt; SOUS-SEGMENT'!$CC$8:$CC$154)/SUMPRODUCT(('ANALYSE - ERP =&gt; SOUS-SEGMENT'!$C$8:$C$154=$C45)*'ANALYSE - ERP =&gt; SOUS-SEGMENT'!$Q$8:$Q$154*'ANALYSE - ERP =&gt; SOUS-SEGMENT'!$BG$8:$BG$154),"")</f>
        <v/>
      </c>
      <c r="CA45" s="284" t="str">
        <f>IFERROR(SUMPRODUCT(('ANALYSE - ERP =&gt; SOUS-SEGMENT'!$C$8:$C$154=$C45)*'ANALYSE - ERP =&gt; SOUS-SEGMENT'!$Q$8:$Q$154*'ANALYSE - ERP =&gt; SOUS-SEGMENT'!$BG$8:$BG$154*'ANALYSE - ERP =&gt; SOUS-SEGMENT'!$CD$8:$CD$154)/SUMPRODUCT(('ANALYSE - ERP =&gt; SOUS-SEGMENT'!$C$8:$C$154=$C45)*'ANALYSE - ERP =&gt; SOUS-SEGMENT'!$Q$8:$Q$154*'ANALYSE - ERP =&gt; SOUS-SEGMENT'!$BG$8:$BG$154),"")</f>
        <v/>
      </c>
      <c r="CB45" s="284" t="str">
        <f>IFERROR(SUMPRODUCT(('ANALYSE - ERP =&gt; SOUS-SEGMENT'!$C$8:$C$154=$C45)*'ANALYSE - ERP =&gt; SOUS-SEGMENT'!$Q$8:$Q$154*'ANALYSE - ERP =&gt; SOUS-SEGMENT'!$BG$8:$BG$154*'ANALYSE - ERP =&gt; SOUS-SEGMENT'!$CE$8:$CE$154)/SUMPRODUCT(('ANALYSE - ERP =&gt; SOUS-SEGMENT'!$C$8:$C$154=$C45)*'ANALYSE - ERP =&gt; SOUS-SEGMENT'!$Q$8:$Q$154*'ANALYSE - ERP =&gt; SOUS-SEGMENT'!$BG$8:$BG$154),"")</f>
        <v/>
      </c>
      <c r="CC45" s="284" t="str">
        <f>IFERROR(SUMPRODUCT(('ANALYSE - ERP =&gt; SOUS-SEGMENT'!$C$8:$C$154=$C45)*'ANALYSE - ERP =&gt; SOUS-SEGMENT'!$Q$8:$Q$154*'ANALYSE - ERP =&gt; SOUS-SEGMENT'!$BG$8:$BG$154*'ANALYSE - ERP =&gt; SOUS-SEGMENT'!$CF$8:$CF$154)/SUMPRODUCT(('ANALYSE - ERP =&gt; SOUS-SEGMENT'!$C$8:$C$154=$C45)*'ANALYSE - ERP =&gt; SOUS-SEGMENT'!$Q$8:$Q$154*'ANALYSE - ERP =&gt; SOUS-SEGMENT'!$BG$8:$BG$154),"")</f>
        <v/>
      </c>
      <c r="CD45" s="284" t="str">
        <f>IFERROR(SUMPRODUCT(('ANALYSE - ERP =&gt; SOUS-SEGMENT'!$C$8:$C$154=$C45)*'ANALYSE - ERP =&gt; SOUS-SEGMENT'!$Q$8:$Q$154*'ANALYSE - ERP =&gt; SOUS-SEGMENT'!$BL$8:$BL$154*'ANALYSE - ERP =&gt; SOUS-SEGMENT'!$CG$8:$CG$154)/SUMPRODUCT(('ANALYSE - ERP =&gt; SOUS-SEGMENT'!$C$8:$C$154=$C45)*'ANALYSE - ERP =&gt; SOUS-SEGMENT'!$Q$8:$Q$154*'ANALYSE - ERP =&gt; SOUS-SEGMENT'!$BL$8:$BL$154),"")</f>
        <v/>
      </c>
      <c r="CE45" s="284" t="str">
        <f>IFERROR(SUMPRODUCT(('ANALYSE - ERP =&gt; SOUS-SEGMENT'!$C$8:$C$154=$C45)*'ANALYSE - ERP =&gt; SOUS-SEGMENT'!$Q$8:$Q$154*'ANALYSE - ERP =&gt; SOUS-SEGMENT'!$BL$8:$BL$154*'ANALYSE - ERP =&gt; SOUS-SEGMENT'!$CH$8:$CH$154)/SUMPRODUCT(('ANALYSE - ERP =&gt; SOUS-SEGMENT'!$C$8:$C$154=$C45)*'ANALYSE - ERP =&gt; SOUS-SEGMENT'!$Q$8:$Q$154*'ANALYSE - ERP =&gt; SOUS-SEGMENT'!$BL$8:$BL$154),"")</f>
        <v/>
      </c>
      <c r="CF45" s="284" t="str">
        <f>IFERROR(SUMPRODUCT(('ANALYSE - ERP =&gt; SOUS-SEGMENT'!$C$8:$C$154=$C45)*'ANALYSE - ERP =&gt; SOUS-SEGMENT'!$Q$8:$Q$154*'ANALYSE - ERP =&gt; SOUS-SEGMENT'!$BL$8:$BL$154*'ANALYSE - ERP =&gt; SOUS-SEGMENT'!$CI$8:$CI$154)/SUMPRODUCT(('ANALYSE - ERP =&gt; SOUS-SEGMENT'!$C$8:$C$154=$C45)*'ANALYSE - ERP =&gt; SOUS-SEGMENT'!$Q$8:$Q$154*'ANALYSE - ERP =&gt; SOUS-SEGMENT'!$BL$8:$BL$154),"")</f>
        <v/>
      </c>
      <c r="CG45" s="284" t="str">
        <f>IFERROR(SUMPRODUCT(('ANALYSE - ERP =&gt; SOUS-SEGMENT'!$C$8:$C$154=$C45)*'ANALYSE - ERP =&gt; SOUS-SEGMENT'!$Q$8:$Q$154*'ANALYSE - ERP =&gt; SOUS-SEGMENT'!$BL$8:$BL$154*'ANALYSE - ERP =&gt; SOUS-SEGMENT'!$CJ$8:$CJ$154)/SUMPRODUCT(('ANALYSE - ERP =&gt; SOUS-SEGMENT'!$C$8:$C$154=$C45)*'ANALYSE - ERP =&gt; SOUS-SEGMENT'!$Q$8:$Q$154*'ANALYSE - ERP =&gt; SOUS-SEGMENT'!$BL$8:$BL$154),"")</f>
        <v/>
      </c>
      <c r="CH45" s="286" t="str">
        <f>IFERROR(SUMPRODUCT(('ANALYSE - ERP =&gt; SOUS-SEGMENT'!$C$8:$C$154=$C45)*'ANALYSE - ERP =&gt; SOUS-SEGMENT'!$Q$8:$Q$154*'ANALYSE - ERP =&gt; SOUS-SEGMENT'!$BH$8:$BH$154*'ANALYSE - ERP =&gt; SOUS-SEGMENT'!$CK$8:$CK$154)/SUMPRODUCT(('ANALYSE - ERP =&gt; SOUS-SEGMENT'!$C$8:$C$154=$C45)*'ANALYSE - ERP =&gt; SOUS-SEGMENT'!$Q$8:$Q$154*'ANALYSE - ERP =&gt; SOUS-SEGMENT'!$BH$8:$BH$154),"")</f>
        <v/>
      </c>
      <c r="CI45" s="286" t="str">
        <f>IFERROR(SUMPRODUCT(('ANALYSE - ERP =&gt; SOUS-SEGMENT'!$C$8:$C$154=$C45)*'ANALYSE - ERP =&gt; SOUS-SEGMENT'!$Q$8:$Q$154*'ANALYSE - ERP =&gt; SOUS-SEGMENT'!$BH$8:$BH$154*'ANALYSE - ERP =&gt; SOUS-SEGMENT'!$CL$8:$CL$154)/SUMPRODUCT(('ANALYSE - ERP =&gt; SOUS-SEGMENT'!$C$8:$C$154=$C45)*'ANALYSE - ERP =&gt; SOUS-SEGMENT'!$Q$8:$Q$154*'ANALYSE - ERP =&gt; SOUS-SEGMENT'!$BH$8:$BH$154),"")</f>
        <v/>
      </c>
      <c r="CJ45" s="286" t="str">
        <f>IFERROR(SUMPRODUCT(('ANALYSE - ERP =&gt; SOUS-SEGMENT'!$C$8:$C$154=$C45)*'ANALYSE - ERP =&gt; SOUS-SEGMENT'!$Q$8:$Q$154*'ANALYSE - ERP =&gt; SOUS-SEGMENT'!$BH$8:$BH$154*'ANALYSE - ERP =&gt; SOUS-SEGMENT'!$CM$8:$CM$154)/SUMPRODUCT(('ANALYSE - ERP =&gt; SOUS-SEGMENT'!$C$8:$C$154=$C45)*'ANALYSE - ERP =&gt; SOUS-SEGMENT'!$Q$8:$Q$154*'ANALYSE - ERP =&gt; SOUS-SEGMENT'!$BH$8:$BH$154),"")</f>
        <v/>
      </c>
      <c r="CK45" s="286" t="str">
        <f>IFERROR(SUMPRODUCT(('ANALYSE - ERP =&gt; SOUS-SEGMENT'!$C$8:$C$154=$C45)*'ANALYSE - ERP =&gt; SOUS-SEGMENT'!$Q$8:$Q$154*'ANALYSE - ERP =&gt; SOUS-SEGMENT'!$BM$8:$BM$154*'ANALYSE - ERP =&gt; SOUS-SEGMENT'!$CN$8:$CN$154)/SUMPRODUCT(('ANALYSE - ERP =&gt; SOUS-SEGMENT'!$C$8:$C$154=$C45)*'ANALYSE - ERP =&gt; SOUS-SEGMENT'!$Q$8:$Q$154*'ANALYSE - ERP =&gt; SOUS-SEGMENT'!$BM$8:$BM$154),"")</f>
        <v/>
      </c>
      <c r="CL45" s="286" t="str">
        <f>IFERROR(SUMPRODUCT(('ANALYSE - ERP =&gt; SOUS-SEGMENT'!$C$8:$C$154=$C45)*'ANALYSE - ERP =&gt; SOUS-SEGMENT'!$Q$8:$Q$154*'ANALYSE - ERP =&gt; SOUS-SEGMENT'!$BM$8:$BM$154*'ANALYSE - ERP =&gt; SOUS-SEGMENT'!$CO$8:$CO$154)/SUMPRODUCT(('ANALYSE - ERP =&gt; SOUS-SEGMENT'!$C$8:$C$154=$C45)*'ANALYSE - ERP =&gt; SOUS-SEGMENT'!$Q$8:$Q$154*'ANALYSE - ERP =&gt; SOUS-SEGMENT'!$BM$8:$BM$154),"")</f>
        <v/>
      </c>
      <c r="CM45" s="286" t="str">
        <f>IFERROR(SUMPRODUCT(('ANALYSE - ERP =&gt; SOUS-SEGMENT'!$C$8:$C$154=$C45)*'ANALYSE - ERP =&gt; SOUS-SEGMENT'!$Q$8:$Q$154*'ANALYSE - ERP =&gt; SOUS-SEGMENT'!$BM$8:$BM$154*'ANALYSE - ERP =&gt; SOUS-SEGMENT'!$CP$8:$CP$154)/SUMPRODUCT(('ANALYSE - ERP =&gt; SOUS-SEGMENT'!$C$8:$C$154=$C45)*'ANALYSE - ERP =&gt; SOUS-SEGMENT'!$Q$8:$Q$154*'ANALYSE - ERP =&gt; SOUS-SEGMENT'!$BM$8:$BM$154),"")</f>
        <v/>
      </c>
      <c r="CN45" s="657"/>
      <c r="CO45" s="883" t="str">
        <f>IFERROR(SUMPRODUCT(('ANALYSE - ERP =&gt; SOUS-SEGMENT'!$C$8:$C$154=$C45)*'ANALYSE - ERP =&gt; SOUS-SEGMENT'!$DH$8:$DH$154*('ANALYSE - ERP =&gt; SOUS-SEGMENT'!$CR$8:$CR$154&gt;0)*'ANALYSE - ERP =&gt; SOUS-SEGMENT'!$CR$8:$CR$154)/SUMPRODUCT(('ANALYSE - ERP =&gt; SOUS-SEGMENT'!$C$8:$C$154=$C45)*'ANALYSE - ERP =&gt; SOUS-SEGMENT'!$DH$8:$DH$154*('ANALYSE - ERP =&gt; SOUS-SEGMENT'!$CR$8:$CR$154&gt;0)),"")</f>
        <v/>
      </c>
      <c r="CP45" s="883" t="str">
        <f>IFERROR(SUMPRODUCT(('ANALYSE - ERP =&gt; SOUS-SEGMENT'!$C$8:$C$154=$C45)*'ANALYSE - ERP =&gt; SOUS-SEGMENT'!$DI$8:$DI$154*('ANALYSE - ERP =&gt; SOUS-SEGMENT'!$CS$8:$CS$154&gt;0)*'ANALYSE - ERP =&gt; SOUS-SEGMENT'!$CS$8:$CS$154)/SUMPRODUCT(('ANALYSE - ERP =&gt; SOUS-SEGMENT'!$C$8:$C$154=$C45)*'ANALYSE - ERP =&gt; SOUS-SEGMENT'!$DI$8:$DI$154*('ANALYSE - ERP =&gt; SOUS-SEGMENT'!$CS$8:$CS$154&gt;0)),"")</f>
        <v/>
      </c>
      <c r="CQ45" s="883" t="str">
        <f>IFERROR(SUMPRODUCT(('ANALYSE - ERP =&gt; SOUS-SEGMENT'!$C$8:$C$154=$C45)*'ANALYSE - ERP =&gt; SOUS-SEGMENT'!$DJ$8:$DJ$154*('ANALYSE - ERP =&gt; SOUS-SEGMENT'!$CT$8:$CT$154&gt;0)*'ANALYSE - ERP =&gt; SOUS-SEGMENT'!$CT$8:$CT$154)/SUMPRODUCT(('ANALYSE - ERP =&gt; SOUS-SEGMENT'!$C$8:$C$154=$C45)*'ANALYSE - ERP =&gt; SOUS-SEGMENT'!$DJ$8:$DJ$154*('ANALYSE - ERP =&gt; SOUS-SEGMENT'!$CT$8:$CT$154&gt;0)),"")</f>
        <v/>
      </c>
      <c r="CR45" s="883" t="str">
        <f>IFERROR(SUMPRODUCT(('ANALYSE - ERP =&gt; SOUS-SEGMENT'!$C$8:$C$154=$C45)*'ANALYSE - ERP =&gt; SOUS-SEGMENT'!$DK$8:$DK$154*('ANALYSE - ERP =&gt; SOUS-SEGMENT'!$CU$8:$CU$154&gt;0)*'ANALYSE - ERP =&gt; SOUS-SEGMENT'!$CU$8:$CU$154)/SUMPRODUCT(('ANALYSE - ERP =&gt; SOUS-SEGMENT'!$C$8:$C$154=$C45)*'ANALYSE - ERP =&gt; SOUS-SEGMENT'!$DK$8:$DK$154*('ANALYSE - ERP =&gt; SOUS-SEGMENT'!$CU$8:$CU$154&gt;0)),"")</f>
        <v/>
      </c>
      <c r="CS45" s="883" t="str">
        <f>IFERROR(SUMPRODUCT(('ANALYSE - ERP =&gt; SOUS-SEGMENT'!$C$8:$C$154=$C45)*'ANALYSE - ERP =&gt; SOUS-SEGMENT'!$DS$8:$DS$154*('ANALYSE - ERP =&gt; SOUS-SEGMENT'!$CV$8:$CV$154&gt;0)*'ANALYSE - ERP =&gt; SOUS-SEGMENT'!$CV$8:$CV$154)/SUMPRODUCT(('ANALYSE - ERP =&gt; SOUS-SEGMENT'!$C$8:$C$154=$C45)*'ANALYSE - ERP =&gt; SOUS-SEGMENT'!$DS$8:$DS$154*('ANALYSE - ERP =&gt; SOUS-SEGMENT'!$CV$8:$CV$154&gt;0)),"")</f>
        <v/>
      </c>
      <c r="CT45" s="883" t="str">
        <f>IFERROR(SUMPRODUCT(('ANALYSE - ERP =&gt; SOUS-SEGMENT'!$C$8:$C$154=$C45)*'ANALYSE - ERP =&gt; SOUS-SEGMENT'!$DT$8:$DT$154*('ANALYSE - ERP =&gt; SOUS-SEGMENT'!$CW$8:$CW$154&gt;0)*'ANALYSE - ERP =&gt; SOUS-SEGMENT'!$CW$8:$CW$154)/SUMPRODUCT(('ANALYSE - ERP =&gt; SOUS-SEGMENT'!$C$8:$C$154=$C45)*'ANALYSE - ERP =&gt; SOUS-SEGMENT'!$DT$8:$DT$154*('ANALYSE - ERP =&gt; SOUS-SEGMENT'!$CW$8:$CW$154&gt;0)),"")</f>
        <v/>
      </c>
      <c r="CU45" s="883" t="str">
        <f>IFERROR(SUMPRODUCT(('ANALYSE - ERP =&gt; SOUS-SEGMENT'!$C$8:$C$154=$C45)*'ANALYSE - ERP =&gt; SOUS-SEGMENT'!$DU$8:$DU$154*('ANALYSE - ERP =&gt; SOUS-SEGMENT'!$CX$8:$CX$154&gt;0)*'ANALYSE - ERP =&gt; SOUS-SEGMENT'!$CX$8:$CX$154)/SUMPRODUCT(('ANALYSE - ERP =&gt; SOUS-SEGMENT'!$C$8:$C$154=$C45)*'ANALYSE - ERP =&gt; SOUS-SEGMENT'!$DU$8:$DU$154*('ANALYSE - ERP =&gt; SOUS-SEGMENT'!$CX$8:$CX$154&gt;0)),"")</f>
        <v/>
      </c>
      <c r="CV45" s="883" t="str">
        <f>IFERROR(SUMPRODUCT(('ANALYSE - ERP =&gt; SOUS-SEGMENT'!$C$8:$C$154=$C45)*'ANALYSE - ERP =&gt; SOUS-SEGMENT'!$EB$8:$EB$154*('ANALYSE - ERP =&gt; SOUS-SEGMENT'!$CY$8:$CY$154&gt;0)*'ANALYSE - ERP =&gt; SOUS-SEGMENT'!$CY$8:$CY$154)/SUMPRODUCT(('ANALYSE - ERP =&gt; SOUS-SEGMENT'!$C$8:$C$154=$C45)*'ANALYSE - ERP =&gt; SOUS-SEGMENT'!$EB$8:$EB$154*('ANALYSE - ERP =&gt; SOUS-SEGMENT'!$CY$8:$CY$154&gt;0)),"")</f>
        <v/>
      </c>
      <c r="CW45" s="883" t="str">
        <f>IFERROR(SUMPRODUCT(('ANALYSE - ERP =&gt; SOUS-SEGMENT'!$C$8:$C$154=$C45)*'ANALYSE - ERP =&gt; SOUS-SEGMENT'!$EC$8:$EC$154*('ANALYSE - ERP =&gt; SOUS-SEGMENT'!$CZ$8:$CZ$154&gt;0)*'ANALYSE - ERP =&gt; SOUS-SEGMENT'!$CZ$8:$CZ$154)/SUMPRODUCT(('ANALYSE - ERP =&gt; SOUS-SEGMENT'!$C$8:$C$154=$C45)*'ANALYSE - ERP =&gt; SOUS-SEGMENT'!$EC$8:$EC$154*('ANALYSE - ERP =&gt; SOUS-SEGMENT'!$CZ$8:$CZ$154&gt;0)),"")</f>
        <v/>
      </c>
      <c r="CX45" s="883" t="str">
        <f>IFERROR(SUMPRODUCT(('ANALYSE - ERP =&gt; SOUS-SEGMENT'!$C$8:$C$154=$C45)*'ANALYSE - ERP =&gt; SOUS-SEGMENT'!$ED$8:$ED$154*('ANALYSE - ERP =&gt; SOUS-SEGMENT'!$DA$8:$DA$154&gt;0)*'ANALYSE - ERP =&gt; SOUS-SEGMENT'!$DA$8:$DA$154)/SUMPRODUCT(('ANALYSE - ERP =&gt; SOUS-SEGMENT'!$C$8:$C$154=$C45)*'ANALYSE - ERP =&gt; SOUS-SEGMENT'!$ED$8:$ED$154*('ANALYSE - ERP =&gt; SOUS-SEGMENT'!$DA$8:$DA$154&gt;0)),"")</f>
        <v/>
      </c>
      <c r="CY45" s="883" t="str">
        <f>IFERROR(SUMPRODUCT(('ANALYSE - ERP =&gt; SOUS-SEGMENT'!$C$8:$C$154=$C45)*'ANALYSE - ERP =&gt; SOUS-SEGMENT'!$EE$8:$EE$154*('ANALYSE - ERP =&gt; SOUS-SEGMENT'!$DB$8:$DB$154&gt;0)*'ANALYSE - ERP =&gt; SOUS-SEGMENT'!$DB$8:$DB$154)/SUMPRODUCT(('ANALYSE - ERP =&gt; SOUS-SEGMENT'!$C$8:$C$154=$C45)*'ANALYSE - ERP =&gt; SOUS-SEGMENT'!$EE$8:$EE$154*('ANALYSE - ERP =&gt; SOUS-SEGMENT'!$DB$8:$DB$154&gt;0)),"")</f>
        <v/>
      </c>
      <c r="CZ45" s="883" t="str">
        <f>IFERROR(SUMPRODUCT(('ANALYSE - ERP =&gt; SOUS-SEGMENT'!$C$8:$C$154=$C45)*'ANALYSE - ERP =&gt; SOUS-SEGMENT'!$EM$8:$EM$154*('ANALYSE - ERP =&gt; SOUS-SEGMENT'!$DC$8:$DC$154&gt;0)*'ANALYSE - ERP =&gt; SOUS-SEGMENT'!$DC$8:$DC$154)/SUMPRODUCT(('ANALYSE - ERP =&gt; SOUS-SEGMENT'!$C$8:$C$154=$C45)*'ANALYSE - ERP =&gt; SOUS-SEGMENT'!$EM$8:$EM$154*('ANALYSE - ERP =&gt; SOUS-SEGMENT'!$DC$8:$DC$154&gt;0)),"")</f>
        <v/>
      </c>
      <c r="DA45" s="883" t="str">
        <f>IFERROR(SUMPRODUCT(('ANALYSE - ERP =&gt; SOUS-SEGMENT'!$C$8:$C$154=$C45)*'ANALYSE - ERP =&gt; SOUS-SEGMENT'!$EN$8:$EN$154*('ANALYSE - ERP =&gt; SOUS-SEGMENT'!$DD$8:$DD$154&gt;0)*'ANALYSE - ERP =&gt; SOUS-SEGMENT'!$DD$8:$DD$154)/SUMPRODUCT(('ANALYSE - ERP =&gt; SOUS-SEGMENT'!$C$8:$C$154=$C45)*'ANALYSE - ERP =&gt; SOUS-SEGMENT'!$EN$8:$EN$154*('ANALYSE - ERP =&gt; SOUS-SEGMENT'!$DD$8:$DD$154&gt;0)),"")</f>
        <v/>
      </c>
      <c r="DB45" s="883" t="str">
        <f>IFERROR(SUMPRODUCT(('ANALYSE - ERP =&gt; SOUS-SEGMENT'!$C$8:$C$154=$C45)*'ANALYSE - ERP =&gt; SOUS-SEGMENT'!$EO$8:$EO$154*('ANALYSE - ERP =&gt; SOUS-SEGMENT'!$DE$8:$DE$154&gt;0)*'ANALYSE - ERP =&gt; SOUS-SEGMENT'!$DE$8:$DE$154)/SUMPRODUCT(('ANALYSE - ERP =&gt; SOUS-SEGMENT'!$C$8:$C$154=$C45)*'ANALYSE - ERP =&gt; SOUS-SEGMENT'!$EO$8:$EO$154*('ANALYSE - ERP =&gt; SOUS-SEGMENT'!$DE$8:$DE$154&gt;0)),"")</f>
        <v/>
      </c>
      <c r="DC45" s="316"/>
      <c r="DD45" s="657"/>
      <c r="DE45" s="288" t="e">
        <f t="shared" si="2"/>
        <v>#VALUE!</v>
      </c>
      <c r="DF45" s="288" t="e">
        <f t="shared" si="3"/>
        <v>#VALUE!</v>
      </c>
      <c r="DG45" s="288" t="e">
        <f t="shared" si="4"/>
        <v>#VALUE!</v>
      </c>
      <c r="DH45" s="288" t="e">
        <f t="shared" si="5"/>
        <v>#VALUE!</v>
      </c>
      <c r="DI45" s="317" t="s">
        <v>7475</v>
      </c>
      <c r="DJ45" s="288" t="e">
        <f t="shared" si="6"/>
        <v>#VALUE!</v>
      </c>
      <c r="DK45" s="288" t="e">
        <f t="shared" si="7"/>
        <v>#VALUE!</v>
      </c>
      <c r="DL45" s="288" t="e">
        <f t="shared" si="8"/>
        <v>#VALUE!</v>
      </c>
      <c r="DM45" s="288" t="e">
        <f t="shared" si="9"/>
        <v>#VALUE!</v>
      </c>
      <c r="DN45" s="318" t="s">
        <v>7476</v>
      </c>
      <c r="DO45" s="657"/>
      <c r="DP45" s="288">
        <f t="shared" si="10"/>
        <v>0</v>
      </c>
      <c r="DQ45" s="288">
        <f t="shared" si="11"/>
        <v>0</v>
      </c>
      <c r="DR45" s="288">
        <f t="shared" si="12"/>
        <v>0</v>
      </c>
      <c r="DS45" s="318" t="s">
        <v>7477</v>
      </c>
      <c r="DT45" s="288">
        <f t="shared" si="13"/>
        <v>0</v>
      </c>
      <c r="DU45" s="288">
        <f t="shared" si="14"/>
        <v>0</v>
      </c>
      <c r="DV45" s="288">
        <f t="shared" si="15"/>
        <v>0</v>
      </c>
      <c r="DW45" s="318" t="s">
        <v>7477</v>
      </c>
      <c r="DX45" s="657"/>
      <c r="DY45" s="288">
        <f t="shared" si="16"/>
        <v>0</v>
      </c>
      <c r="DZ45" s="288">
        <f t="shared" si="17"/>
        <v>0</v>
      </c>
      <c r="EA45" s="288">
        <f t="shared" si="18"/>
        <v>0</v>
      </c>
      <c r="EB45" s="288">
        <f t="shared" si="19"/>
        <v>0</v>
      </c>
      <c r="EC45" s="318" t="s">
        <v>7477</v>
      </c>
      <c r="ED45" s="288">
        <f t="shared" si="20"/>
        <v>0</v>
      </c>
      <c r="EE45" s="288">
        <f t="shared" si="21"/>
        <v>0</v>
      </c>
      <c r="EF45" s="288">
        <f t="shared" si="22"/>
        <v>0</v>
      </c>
      <c r="EG45" s="288">
        <f t="shared" si="23"/>
        <v>0</v>
      </c>
      <c r="EH45" s="318" t="s">
        <v>7478</v>
      </c>
      <c r="EI45" s="290"/>
      <c r="EJ45" s="288" t="e">
        <f t="shared" si="24"/>
        <v>#VALUE!</v>
      </c>
      <c r="EK45" s="291" t="e">
        <f t="shared" si="25"/>
        <v>#VALUE!</v>
      </c>
      <c r="EL45" s="291" t="e">
        <f t="shared" si="26"/>
        <v>#VALUE!</v>
      </c>
      <c r="EM45" s="318" t="s">
        <v>7479</v>
      </c>
      <c r="EN45" s="288" t="e">
        <f t="shared" si="27"/>
        <v>#VALUE!</v>
      </c>
      <c r="EO45" s="291" t="e">
        <f t="shared" si="28"/>
        <v>#VALUE!</v>
      </c>
      <c r="EP45" s="291" t="e">
        <f t="shared" si="29"/>
        <v>#VALUE!</v>
      </c>
      <c r="EQ45" s="318" t="s">
        <v>7480</v>
      </c>
      <c r="ER45" s="657"/>
      <c r="ES45" s="731">
        <f t="shared" si="30"/>
        <v>0</v>
      </c>
      <c r="ET45" s="731">
        <f t="shared" si="31"/>
        <v>0</v>
      </c>
      <c r="EU45" s="292">
        <f t="shared" si="32"/>
        <v>0</v>
      </c>
      <c r="EV45" s="292">
        <f t="shared" si="33"/>
        <v>0</v>
      </c>
      <c r="EW45" s="292">
        <f t="shared" si="34"/>
        <v>0</v>
      </c>
      <c r="EX45" s="292">
        <f t="shared" si="35"/>
        <v>0</v>
      </c>
      <c r="EY45" s="292">
        <f>SUMPRODUCT(('ANALYSE - ERP =&gt; SOUS-SEGMENT'!$C$8:$C$154=$C45)*'ANALYSE - ERP =&gt; SOUS-SEGMENT'!$Q$8:$Q$154*'ANALYSE - ERP =&gt; SOUS-SEGMENT'!$FB$8:$FB$154)</f>
        <v>0</v>
      </c>
      <c r="EZ45" s="292">
        <f>SUMPRODUCT(('ANALYSE - ERP =&gt; SOUS-SEGMENT'!$C$8:$C$154=$C45)*'ANALYSE - ERP =&gt; SOUS-SEGMENT'!$Q$8:$Q$154*'ANALYSE - ERP =&gt; SOUS-SEGMENT'!$FC$8:$FC$154)</f>
        <v>0</v>
      </c>
      <c r="FA45" s="292">
        <f t="shared" si="36"/>
        <v>0</v>
      </c>
      <c r="FB45" s="292">
        <f>SUMPRODUCT(('ANALYSE - ERP =&gt; SOUS-SEGMENT'!$C$8:$C$154=$C45)*'ANALYSE - ERP =&gt; SOUS-SEGMENT'!$Q$8:$Q$154*'ANALYSE - ERP =&gt; SOUS-SEGMENT'!$FE$8:$FE$154)</f>
        <v>0</v>
      </c>
      <c r="FC45" s="292">
        <f>SUMPRODUCT(('ANALYSE - ERP =&gt; SOUS-SEGMENT'!$C$8:$C$154=$C45)*'ANALYSE - ERP =&gt; SOUS-SEGMENT'!$Q$8:$Q$154*'ANALYSE - ERP =&gt; SOUS-SEGMENT'!$FF$8:$FF$154)</f>
        <v>0</v>
      </c>
      <c r="FD45" s="292">
        <f t="shared" si="37"/>
        <v>0</v>
      </c>
      <c r="FE45" s="292">
        <f>SUMPRODUCT(('ANALYSE - ERP =&gt; SOUS-SEGMENT'!$C$8:$C$154=$C45)*'ANALYSE - ERP =&gt; SOUS-SEGMENT'!$Q$8:$Q$154*'ANALYSE - ERP =&gt; SOUS-SEGMENT'!$FH$8:$FH$154)</f>
        <v>0</v>
      </c>
      <c r="FF45" s="292">
        <f>SUMPRODUCT(('ANALYSE - ERP =&gt; SOUS-SEGMENT'!$C$8:$C$154=$C45)*'ANALYSE - ERP =&gt; SOUS-SEGMENT'!$Q$8:$Q$154*'ANALYSE - ERP =&gt; SOUS-SEGMENT'!$FI$8:$FI$154)</f>
        <v>0</v>
      </c>
      <c r="FG45" s="292">
        <f t="shared" si="38"/>
        <v>0</v>
      </c>
      <c r="FH45" s="292">
        <f>SUMPRODUCT(('ANALYSE - ERP =&gt; SOUS-SEGMENT'!$C$8:$C$154=$C45)*'ANALYSE - ERP =&gt; SOUS-SEGMENT'!$Q$8:$Q$154*'ANALYSE - ERP =&gt; SOUS-SEGMENT'!$FK$8:$FK$154)</f>
        <v>0</v>
      </c>
      <c r="FI45" s="292">
        <f>SUMPRODUCT(('ANALYSE - ERP =&gt; SOUS-SEGMENT'!$C$8:$C$154=$C45)*'ANALYSE - ERP =&gt; SOUS-SEGMENT'!$Q$8:$Q$154*'ANALYSE - ERP =&gt; SOUS-SEGMENT'!$FL$8:$FL$154)</f>
        <v>0</v>
      </c>
      <c r="FJ45" s="657"/>
      <c r="FK45" s="319" t="s">
        <v>2616</v>
      </c>
      <c r="FL45" s="731" t="str">
        <f>IFERROR(SUMPRODUCT(('ANALYSE - ERP =&gt; SOUS-SEGMENT'!$C$8:$C$154=$C45)*'ANALYSE - ERP =&gt; SOUS-SEGMENT'!$Q$8:$Q$154*'ANALYSE - ERP =&gt; SOUS-SEGMENT'!$AF$8:$AF$154*'ANALYSE - ERP =&gt; SOUS-SEGMENT'!$FO$8:$FO$154)/SUMPRODUCT(('ANALYSE - ERP =&gt; SOUS-SEGMENT'!$C$8:$C$154=$C45)*'ANALYSE - ERP =&gt; SOUS-SEGMENT'!$Q$8:$Q$154*'ANALYSE - ERP =&gt; SOUS-SEGMENT'!$AF$8:$AF$154),"")</f>
        <v/>
      </c>
      <c r="FM45" s="732" t="str">
        <f>IFERROR(SUMPRODUCT(('ANALYSE - ERP =&gt; SOUS-SEGMENT'!$C$8:$C$154=$C45)*'ANALYSE - ERP =&gt; SOUS-SEGMENT'!$Q$8:$Q$154*'ANALYSE - ERP =&gt; SOUS-SEGMENT'!$AF$8:$AF$154*'ANALYSE - ERP =&gt; SOUS-SEGMENT'!$FP$8:$FP$154)/SUMPRODUCT(('ANALYSE - ERP =&gt; SOUS-SEGMENT'!$C$8:$C$154=$C45)*'ANALYSE - ERP =&gt; SOUS-SEGMENT'!$Q$8:$Q$154*'ANALYSE - ERP =&gt; SOUS-SEGMENT'!$AF$8:$AF$154),"")</f>
        <v/>
      </c>
      <c r="FN45" s="320" t="s">
        <v>5204</v>
      </c>
      <c r="FO45" s="657"/>
      <c r="FP45" s="887" t="str">
        <f>IFERROR(SUMPRODUCT(('ANALYSE - ERP =&gt; SOUS-SEGMENT'!$C$8:$C$154=$C45)*'ANALYSE - ERP =&gt; SOUS-SEGMENT'!$Q$8:$Q$154*'ANALYSE - ERP =&gt; SOUS-SEGMENT'!$EX$8:$EX$154*'ANALYSE - ERP =&gt; SOUS-SEGMENT'!$FS$8:$FS$154)/SUMPRODUCT(('ANALYSE - ERP =&gt; SOUS-SEGMENT'!$C$8:$C$154=$C45)*'ANALYSE - ERP =&gt; SOUS-SEGMENT'!$Q$8:$Q$154*'ANALYSE - ERP =&gt; SOUS-SEGMENT'!$EX$8:$EX$154),"")</f>
        <v/>
      </c>
      <c r="FQ45" s="295" t="e">
        <f>RANK($FP45,$FP$8:$FP$143,0)+COUNTIF($FP$8:$FP45,$FP45)-1</f>
        <v>#VALUE!</v>
      </c>
      <c r="FR45" s="887" t="str">
        <f>IFERROR(SUMPRODUCT(('ANALYSE - ERP =&gt; SOUS-SEGMENT'!$C$8:$C$154=$C45)*'ANALYSE - ERP =&gt; SOUS-SEGMENT'!$Q$8:$Q$154*'ANALYSE - ERP =&gt; SOUS-SEGMENT'!$EY$8:$EY$154*'ANALYSE - ERP =&gt; SOUS-SEGMENT'!$FU$8:$FU$154)/SUMPRODUCT(('ANALYSE - ERP =&gt; SOUS-SEGMENT'!$C$8:$C$154=$C45)*'ANALYSE - ERP =&gt; SOUS-SEGMENT'!$Q$8:$Q$154*'ANALYSE - ERP =&gt; SOUS-SEGMENT'!$EY$8:$EY$154),"")</f>
        <v/>
      </c>
      <c r="FS45" s="295" t="e">
        <f>RANK($FR45,$FR$8:$FR$143,0)+COUNTIF($FR$8:$FR45,$FR45)-1</f>
        <v>#VALUE!</v>
      </c>
      <c r="FT45" s="887" t="str">
        <f>IFERROR(SUMPRODUCT(('ANALYSE - ERP =&gt; SOUS-SEGMENT'!$C$8:$C$154=$C45)*'ANALYSE - ERP =&gt; SOUS-SEGMENT'!$Q$8:$Q$154*'ANALYSE - ERP =&gt; SOUS-SEGMENT'!$EZ$8:$EZ$154*'ANALYSE - ERP =&gt; SOUS-SEGMENT'!$FW$8:$FW$154)/SUMPRODUCT(('ANALYSE - ERP =&gt; SOUS-SEGMENT'!$C$8:$C$154=$C45)*'ANALYSE - ERP =&gt; SOUS-SEGMENT'!$Q$8:$Q$154*'ANALYSE - ERP =&gt; SOUS-SEGMENT'!$EZ$8:$EZ$154),"")</f>
        <v/>
      </c>
      <c r="FU45" s="295" t="e">
        <f>RANK($FT45,$FT$8:$FT$143,0)+COUNTIF($FT$8:$FT45,$FT45)-1</f>
        <v>#VALUE!</v>
      </c>
      <c r="FV45" s="657"/>
      <c r="FW45" s="321" t="s">
        <v>7481</v>
      </c>
      <c r="FX45" s="321" t="s">
        <v>7482</v>
      </c>
      <c r="FY45" s="321" t="s">
        <v>7483</v>
      </c>
      <c r="FZ45" s="321" t="s">
        <v>7484</v>
      </c>
      <c r="GA45" s="321" t="s">
        <v>7485</v>
      </c>
      <c r="GB45" s="321" t="s">
        <v>7486</v>
      </c>
      <c r="GC45" s="321" t="s">
        <v>6759</v>
      </c>
      <c r="GD45" s="657"/>
      <c r="GE45" s="292">
        <f>SUMPRODUCT(('ANALYSE - ERP =&gt; SOUS-SEGMENT'!$C$8:$C$154=$C45)*'ANALYSE - ERP =&gt; SOUS-SEGMENT'!$Q$8:$Q$154*'ANALYSE - ERP =&gt; SOUS-SEGMENT'!$GH$8:$GH$154)</f>
        <v>0</v>
      </c>
      <c r="GF45" s="292">
        <f>SUMPRODUCT(('ANALYSE - ERP =&gt; SOUS-SEGMENT'!$C$8:$C$154=$C45)*'ANALYSE - ERP =&gt; SOUS-SEGMENT'!$Q$8:$Q$154*'ANALYSE - ERP =&gt; SOUS-SEGMENT'!$GI$8:$GI$154)</f>
        <v>0</v>
      </c>
      <c r="GG45" s="292">
        <f>SUMPRODUCT(('ANALYSE - ERP =&gt; SOUS-SEGMENT'!$C$8:$C$154=$C45)*'ANALYSE - ERP =&gt; SOUS-SEGMENT'!$Q$8:$Q$154*'ANALYSE - ERP =&gt; SOUS-SEGMENT'!$GJ$8:$GJ$154)</f>
        <v>0</v>
      </c>
      <c r="GH45" s="292">
        <f>SUMPRODUCT(('ANALYSE - ERP =&gt; SOUS-SEGMENT'!$C$8:$C$154=$C45)*'ANALYSE - ERP =&gt; SOUS-SEGMENT'!$Q$8:$Q$154*'ANALYSE - ERP =&gt; SOUS-SEGMENT'!$GK$8:$GK$154)</f>
        <v>0</v>
      </c>
      <c r="GI45" s="292">
        <f>SUMPRODUCT(('ANALYSE - ERP =&gt; SOUS-SEGMENT'!$C$8:$C$154=$C45)*'ANALYSE - ERP =&gt; SOUS-SEGMENT'!$Q$8:$Q$154*'ANALYSE - ERP =&gt; SOUS-SEGMENT'!$GL$8:$GL$154)</f>
        <v>0</v>
      </c>
      <c r="GJ45" s="292">
        <f>SUMPRODUCT(('ANALYSE - ERP =&gt; SOUS-SEGMENT'!$C$8:$C$154=$C45)*'ANALYSE - ERP =&gt; SOUS-SEGMENT'!$Q$8:$Q$154*'ANALYSE - ERP =&gt; SOUS-SEGMENT'!$GM$8:$GM$154)</f>
        <v>0</v>
      </c>
      <c r="GK45" s="292">
        <f>SUMPRODUCT(('ANALYSE - ERP =&gt; SOUS-SEGMENT'!$C$8:$C$154=$C45)*'ANALYSE - ERP =&gt; SOUS-SEGMENT'!$Q$8:$Q$154*'ANALYSE - ERP =&gt; SOUS-SEGMENT'!$GN$8:$GN$154)</f>
        <v>0</v>
      </c>
      <c r="GL45" s="292">
        <f>SUMPRODUCT(('ANALYSE - ERP =&gt; SOUS-SEGMENT'!$C$8:$C$154=$C45)*'ANALYSE - ERP =&gt; SOUS-SEGMENT'!$Q$8:$Q$154*'ANALYSE - ERP =&gt; SOUS-SEGMENT'!$GO$8:$GO$154)</f>
        <v>0</v>
      </c>
      <c r="GM45" s="292">
        <f>SUMPRODUCT(('ANALYSE - ERP =&gt; SOUS-SEGMENT'!$C$8:$C$154=$C45)*'ANALYSE - ERP =&gt; SOUS-SEGMENT'!$Q$8:$Q$154*'ANALYSE - ERP =&gt; SOUS-SEGMENT'!$GP$8:$GP$154)</f>
        <v>0</v>
      </c>
      <c r="GN45" s="292">
        <f>SUMPRODUCT(('ANALYSE - ERP =&gt; SOUS-SEGMENT'!$C$8:$C$154=$C45)*'ANALYSE - ERP =&gt; SOUS-SEGMENT'!$Q$8:$Q$154*'ANALYSE - ERP =&gt; SOUS-SEGMENT'!$GQ$8:$GQ$154)</f>
        <v>0</v>
      </c>
      <c r="GO45" s="292">
        <f>SUMPRODUCT(('ANALYSE - ERP =&gt; SOUS-SEGMENT'!$C$8:$C$154=$C45)*'ANALYSE - ERP =&gt; SOUS-SEGMENT'!$Q$8:$Q$154*'ANALYSE - ERP =&gt; SOUS-SEGMENT'!$GR$8:$GR$154)</f>
        <v>0</v>
      </c>
      <c r="GP45" s="292">
        <f>SUMPRODUCT(('ANALYSE - ERP =&gt; SOUS-SEGMENT'!$C$8:$C$154=$C45)*'ANALYSE - ERP =&gt; SOUS-SEGMENT'!$Q$8:$Q$154*'ANALYSE - ERP =&gt; SOUS-SEGMENT'!$GS$8:$GS$154)</f>
        <v>0</v>
      </c>
      <c r="GQ45" s="292">
        <f>SUMPRODUCT(('ANALYSE - ERP =&gt; SOUS-SEGMENT'!$C$8:$C$154=$C45)*'ANALYSE - ERP =&gt; SOUS-SEGMENT'!$Q$8:$Q$154*'ANALYSE - ERP =&gt; SOUS-SEGMENT'!$GT$8:$GT$154)</f>
        <v>0</v>
      </c>
      <c r="GR45" s="292">
        <f>SUMPRODUCT(('ANALYSE - ERP =&gt; SOUS-SEGMENT'!$C$8:$C$154=$C45)*'ANALYSE - ERP =&gt; SOUS-SEGMENT'!$Q$8:$Q$154*'ANALYSE - ERP =&gt; SOUS-SEGMENT'!$GU$8:$GU$154)</f>
        <v>0</v>
      </c>
      <c r="GS45" s="292">
        <f>SUMPRODUCT(('ANALYSE - ERP =&gt; SOUS-SEGMENT'!$C$8:$C$154=$C45)*'ANALYSE - ERP =&gt; SOUS-SEGMENT'!$Q$8:$Q$154*'ANALYSE - ERP =&gt; SOUS-SEGMENT'!$GV$8:$GV$154)</f>
        <v>0</v>
      </c>
      <c r="GT45" s="292">
        <f>SUMPRODUCT(('ANALYSE - ERP =&gt; SOUS-SEGMENT'!$C$8:$C$154=$C45)*'ANALYSE - ERP =&gt; SOUS-SEGMENT'!$Q$8:$Q$154*'ANALYSE - ERP =&gt; SOUS-SEGMENT'!$GW$8:$GW$154)</f>
        <v>0</v>
      </c>
      <c r="GU45" s="292">
        <f>SUMPRODUCT(('ANALYSE - ERP =&gt; SOUS-SEGMENT'!$C$8:$C$154=$C45)*'ANALYSE - ERP =&gt; SOUS-SEGMENT'!$Q$8:$Q$154*'ANALYSE - ERP =&gt; SOUS-SEGMENT'!$GX$8:$GX$154)</f>
        <v>0</v>
      </c>
      <c r="GV45" s="292">
        <f>SUMPRODUCT(('ANALYSE - ERP =&gt; SOUS-SEGMENT'!$C$8:$C$154=$C45)*'ANALYSE - ERP =&gt; SOUS-SEGMENT'!$Q$8:$Q$154*'ANALYSE - ERP =&gt; SOUS-SEGMENT'!$GY$8:$GY$154)</f>
        <v>0</v>
      </c>
      <c r="GW45" s="292">
        <f>SUMPRODUCT(('ANALYSE - ERP =&gt; SOUS-SEGMENT'!$C$8:$C$154=$C45)*'ANALYSE - ERP =&gt; SOUS-SEGMENT'!$Q$8:$Q$154*'ANALYSE - ERP =&gt; SOUS-SEGMENT'!$GZ$8:$GZ$154)</f>
        <v>0</v>
      </c>
      <c r="GX45" s="292">
        <f>SUMPRODUCT(('ANALYSE - ERP =&gt; SOUS-SEGMENT'!$C$8:$C$154=$C45)*'ANALYSE - ERP =&gt; SOUS-SEGMENT'!$Q$8:$Q$154*'ANALYSE - ERP =&gt; SOUS-SEGMENT'!$HA$8:$HA$154)</f>
        <v>0</v>
      </c>
      <c r="GY45" s="292">
        <f>SUMPRODUCT(('ANALYSE - ERP =&gt; SOUS-SEGMENT'!$C$8:$C$154=$C45)*'ANALYSE - ERP =&gt; SOUS-SEGMENT'!$Q$8:$Q$154*'ANALYSE - ERP =&gt; SOUS-SEGMENT'!$HB$8:$HB$154)</f>
        <v>0</v>
      </c>
      <c r="GZ45" s="292">
        <f>SUMPRODUCT(('ANALYSE - ERP =&gt; SOUS-SEGMENT'!$C$8:$C$154=$C45)*'ANALYSE - ERP =&gt; SOUS-SEGMENT'!$Q$8:$Q$154*'ANALYSE - ERP =&gt; SOUS-SEGMENT'!$HC$8:$HC$154)</f>
        <v>0</v>
      </c>
      <c r="HA45" s="292">
        <f>SUMPRODUCT(('ANALYSE - ERP =&gt; SOUS-SEGMENT'!$C$8:$C$154=$C45)*'ANALYSE - ERP =&gt; SOUS-SEGMENT'!$Q$8:$Q$154*'ANALYSE - ERP =&gt; SOUS-SEGMENT'!$HD$8:$HD$154)</f>
        <v>0</v>
      </c>
      <c r="HB45" s="292">
        <f>SUMPRODUCT(('ANALYSE - ERP =&gt; SOUS-SEGMENT'!$C$8:$C$154=$C45)*'ANALYSE - ERP =&gt; SOUS-SEGMENT'!$Q$8:$Q$154*'ANALYSE - ERP =&gt; SOUS-SEGMENT'!$HE$8:$HE$154)</f>
        <v>0</v>
      </c>
      <c r="HC45" s="292">
        <f>SUMPRODUCT(('ANALYSE - ERP =&gt; SOUS-SEGMENT'!$C$8:$C$154=$C45)*'ANALYSE - ERP =&gt; SOUS-SEGMENT'!$Q$8:$Q$154*'ANALYSE - ERP =&gt; SOUS-SEGMENT'!$HF$8:$HF$154)</f>
        <v>0</v>
      </c>
      <c r="HD45" s="292">
        <f>SUMPRODUCT(('ANALYSE - ERP =&gt; SOUS-SEGMENT'!$C$8:$C$154=$C45)*'ANALYSE - ERP =&gt; SOUS-SEGMENT'!$Q$8:$Q$154*'ANALYSE - ERP =&gt; SOUS-SEGMENT'!$HG$8:$HG$154)</f>
        <v>0</v>
      </c>
      <c r="HE45" s="292">
        <f>SUMPRODUCT(('ANALYSE - ERP =&gt; SOUS-SEGMENT'!$C$8:$C$154=$C45)*'ANALYSE - ERP =&gt; SOUS-SEGMENT'!$Q$8:$Q$154*'ANALYSE - ERP =&gt; SOUS-SEGMENT'!$HH$8:$HH$154)</f>
        <v>0</v>
      </c>
      <c r="HF45" s="292">
        <f>SUMPRODUCT(('ANALYSE - ERP =&gt; SOUS-SEGMENT'!$C$8:$C$154=$C45)*'ANALYSE - ERP =&gt; SOUS-SEGMENT'!$Q$8:$Q$154*'ANALYSE - ERP =&gt; SOUS-SEGMENT'!$HI$8:$HI$154)</f>
        <v>0</v>
      </c>
      <c r="HG45" s="292">
        <f>SUMPRODUCT(('ANALYSE - ERP =&gt; SOUS-SEGMENT'!$C$8:$C$154=$C45)*'ANALYSE - ERP =&gt; SOUS-SEGMENT'!$Q$8:$Q$154*'ANALYSE - ERP =&gt; SOUS-SEGMENT'!$HJ$8:$HJ$154)</f>
        <v>0</v>
      </c>
      <c r="HH45" s="292">
        <f>SUMPRODUCT(('ANALYSE - ERP =&gt; SOUS-SEGMENT'!$C$8:$C$154=$C45)*'ANALYSE - ERP =&gt; SOUS-SEGMENT'!$Q$8:$Q$154*'ANALYSE - ERP =&gt; SOUS-SEGMENT'!$HK$8:$HK$154)</f>
        <v>0</v>
      </c>
      <c r="HI45" s="292">
        <f>SUMPRODUCT(('ANALYSE - ERP =&gt; SOUS-SEGMENT'!$C$8:$C$154=$C45)*'ANALYSE - ERP =&gt; SOUS-SEGMENT'!$Q$8:$Q$154*'ANALYSE - ERP =&gt; SOUS-SEGMENT'!$HL$8:$HL$154)</f>
        <v>0</v>
      </c>
      <c r="HJ45" s="292">
        <f>SUMPRODUCT(('ANALYSE - ERP =&gt; SOUS-SEGMENT'!$C$8:$C$154=$C45)*'ANALYSE - ERP =&gt; SOUS-SEGMENT'!$Q$8:$Q$154*'ANALYSE - ERP =&gt; SOUS-SEGMENT'!$HM$8:$HM$154)</f>
        <v>0</v>
      </c>
      <c r="HK45" s="292">
        <f>SUMPRODUCT(('ANALYSE - ERP =&gt; SOUS-SEGMENT'!$C$8:$C$154=$C45)*'ANALYSE - ERP =&gt; SOUS-SEGMENT'!$Q$8:$Q$154*'ANALYSE - ERP =&gt; SOUS-SEGMENT'!$HN$8:$HN$154)</f>
        <v>0</v>
      </c>
      <c r="HL45" s="292">
        <f>SUMPRODUCT(('ANALYSE - ERP =&gt; SOUS-SEGMENT'!$C$8:$C$154=$C45)*'ANALYSE - ERP =&gt; SOUS-SEGMENT'!$Q$8:$Q$154*'ANALYSE - ERP =&gt; SOUS-SEGMENT'!$HO$8:$HO$154)</f>
        <v>0</v>
      </c>
      <c r="HM45" s="292">
        <f>SUMPRODUCT(('ANALYSE - ERP =&gt; SOUS-SEGMENT'!$C$8:$C$154=$C45)*'ANALYSE - ERP =&gt; SOUS-SEGMENT'!$Q$8:$Q$154*'ANALYSE - ERP =&gt; SOUS-SEGMENT'!$HP$8:$HP$154)</f>
        <v>0</v>
      </c>
      <c r="HN45" s="292">
        <f>SUMPRODUCT(('ANALYSE - ERP =&gt; SOUS-SEGMENT'!$C$8:$C$154=$C45)*'ANALYSE - ERP =&gt; SOUS-SEGMENT'!$Q$8:$Q$154*'ANALYSE - ERP =&gt; SOUS-SEGMENT'!$HQ$8:$HQ$154)</f>
        <v>0</v>
      </c>
      <c r="HO45" s="292">
        <f>SUMPRODUCT(('ANALYSE - ERP =&gt; SOUS-SEGMENT'!$C$8:$C$154=$C45)*'ANALYSE - ERP =&gt; SOUS-SEGMENT'!$Q$8:$Q$154*'ANALYSE - ERP =&gt; SOUS-SEGMENT'!$HR$8:$HR$154)</f>
        <v>0</v>
      </c>
      <c r="HP45" s="292">
        <f>SUMPRODUCT(('ANALYSE - ERP =&gt; SOUS-SEGMENT'!$C$8:$C$154=$C45)*'ANALYSE - ERP =&gt; SOUS-SEGMENT'!$Q$8:$Q$154*'ANALYSE - ERP =&gt; SOUS-SEGMENT'!$HS$8:$HS$154)</f>
        <v>0</v>
      </c>
      <c r="HQ45" s="292">
        <f>SUMPRODUCT(('ANALYSE - ERP =&gt; SOUS-SEGMENT'!$C$8:$C$154=$C45)*'ANALYSE - ERP =&gt; SOUS-SEGMENT'!$Q$8:$Q$154*'ANALYSE - ERP =&gt; SOUS-SEGMENT'!$HT$8:$HT$154)</f>
        <v>0</v>
      </c>
      <c r="HR45" s="292">
        <f>SUMPRODUCT(('ANALYSE - ERP =&gt; SOUS-SEGMENT'!$C$8:$C$154=$C45)*'ANALYSE - ERP =&gt; SOUS-SEGMENT'!$Q$8:$Q$154*'ANALYSE - ERP =&gt; SOUS-SEGMENT'!$HU$8:$HU$154)</f>
        <v>0</v>
      </c>
      <c r="HS45" s="292">
        <f>SUMPRODUCT(('ANALYSE - ERP =&gt; SOUS-SEGMENT'!$C$8:$C$154=$C45)*'ANALYSE - ERP =&gt; SOUS-SEGMENT'!$Q$8:$Q$154*'ANALYSE - ERP =&gt; SOUS-SEGMENT'!$HV$8:$HV$154)</f>
        <v>0</v>
      </c>
      <c r="HT45" s="292">
        <f>SUMPRODUCT(('ANALYSE - ERP =&gt; SOUS-SEGMENT'!$C$8:$C$154=$C45)*'ANALYSE - ERP =&gt; SOUS-SEGMENT'!$Q$8:$Q$154*'ANALYSE - ERP =&gt; SOUS-SEGMENT'!$HW$8:$HW$154)</f>
        <v>0</v>
      </c>
      <c r="HU45" s="676"/>
      <c r="HV45" s="297">
        <f t="shared" si="40"/>
        <v>48101</v>
      </c>
      <c r="HW45" s="297">
        <f>SUMPRODUCT(('ANALYSE - ERP =&gt; SOUS-SEGMENT'!$C$8:$C$154=$C45)*'ANALYSE - ERP =&gt; SOUS-SEGMENT'!$Q$8:$Q$154*'ANALYSE - ERP =&gt; SOUS-SEGMENT'!$HZ$8:$HZ$154)</f>
        <v>0</v>
      </c>
      <c r="HX45" s="297">
        <f>SUMPRODUCT(('ANALYSE - ERP =&gt; SOUS-SEGMENT'!$C$8:$C$154=$C45)*'ANALYSE - ERP =&gt; SOUS-SEGMENT'!$Q$8:$Q$154*'ANALYSE - ERP =&gt; SOUS-SEGMENT'!$IA$8:$IA$154)</f>
        <v>0</v>
      </c>
      <c r="HY45" s="297">
        <f>SUMPRODUCT(('ANALYSE - ERP =&gt; SOUS-SEGMENT'!$C$8:$C$154=$C45)*'ANALYSE - ERP =&gt; SOUS-SEGMENT'!$Q$8:$Q$154*'ANALYSE - ERP =&gt; SOUS-SEGMENT'!$IB$8:$IB$154)</f>
        <v>0</v>
      </c>
      <c r="HZ45" s="297">
        <f>SUMPRODUCT(('ANALYSE - ERP =&gt; SOUS-SEGMENT'!$C$8:$C$154=$C45)*'ANALYSE - ERP =&gt; SOUS-SEGMENT'!$Q$8:$Q$154*'ANALYSE - ERP =&gt; SOUS-SEGMENT'!$IC$8:$IC$154)</f>
        <v>0</v>
      </c>
      <c r="IA45" s="297">
        <f>SUMPRODUCT(('ANALYSE - ERP =&gt; SOUS-SEGMENT'!$C$8:$C$154=$C45)*'ANALYSE - ERP =&gt; SOUS-SEGMENT'!$Q$8:$Q$154*'ANALYSE - ERP =&gt; SOUS-SEGMENT'!$ID$8:$ID$154)</f>
        <v>0</v>
      </c>
      <c r="IB45" s="297">
        <f>SUMPRODUCT(('ANALYSE - ERP =&gt; SOUS-SEGMENT'!$C$8:$C$154=$C45)*'ANALYSE - ERP =&gt; SOUS-SEGMENT'!$Q$8:$Q$154*'ANALYSE - ERP =&gt; SOUS-SEGMENT'!$IE$8:$IE$154)</f>
        <v>0</v>
      </c>
      <c r="IC45" s="297">
        <f>SUMPRODUCT(('ANALYSE - ERP =&gt; SOUS-SEGMENT'!$C$8:$C$154=$C45)*'ANALYSE - ERP =&gt; SOUS-SEGMENT'!$Q$8:$Q$154*'ANALYSE - ERP =&gt; SOUS-SEGMENT'!$IF$8:$IF$154)</f>
        <v>0</v>
      </c>
      <c r="ID45" s="297">
        <f>SUMPRODUCT(('ANALYSE - ERP =&gt; SOUS-SEGMENT'!$C$8:$C$154=$C45)*'ANALYSE - ERP =&gt; SOUS-SEGMENT'!$Q$8:$Q$154*'ANALYSE - ERP =&gt; SOUS-SEGMENT'!$IG$8:$IG$154)</f>
        <v>0</v>
      </c>
      <c r="IE45" s="297">
        <f>SUMPRODUCT(('ANALYSE - ERP =&gt; SOUS-SEGMENT'!$C$8:$C$154=$C45)*'ANALYSE - ERP =&gt; SOUS-SEGMENT'!$Q$8:$Q$154*'ANALYSE - ERP =&gt; SOUS-SEGMENT'!$IH$8:$IH$154)</f>
        <v>0</v>
      </c>
      <c r="IF45" s="297">
        <f>SUMPRODUCT(('ANALYSE - ERP =&gt; SOUS-SEGMENT'!$C$8:$C$154=$C45)*'ANALYSE - ERP =&gt; SOUS-SEGMENT'!$Q$8:$Q$154*'ANALYSE - ERP =&gt; SOUS-SEGMENT'!$II$8:$II$154)</f>
        <v>0</v>
      </c>
      <c r="IG45" s="297">
        <f>SUMPRODUCT(('ANALYSE - ERP =&gt; SOUS-SEGMENT'!$C$8:$C$154=$C45)*'ANALYSE - ERP =&gt; SOUS-SEGMENT'!$Q$8:$Q$154*'ANALYSE - ERP =&gt; SOUS-SEGMENT'!$IJ$8:$IJ$154)</f>
        <v>0</v>
      </c>
      <c r="IH45" s="888"/>
      <c r="II45" s="298" t="s">
        <v>2589</v>
      </c>
      <c r="IJ45" s="322" t="s">
        <v>6760</v>
      </c>
      <c r="IK45" s="657"/>
      <c r="IL45" s="733">
        <f>IFERROR(SUMPRODUCT(('ANALYSE - ERP =&gt; SOUS-SEGMENT'!$C$8:$C$154=$C45)*'ANALYSE - ERP =&gt; SOUS-SEGMENT'!$Q$8:$Q$154*'ANALYSE - ERP =&gt; SOUS-SEGMENT'!$BE$8:$BE$154*'ANALYSE - ERP =&gt; SOUS-SEGMENT'!$IO$8:$IO$154)/SUMPRODUCT(('ANALYSE - ERP =&gt; SOUS-SEGMENT'!$C$8:$C$154=$C45)*'ANALYSE - ERP =&gt; SOUS-SEGMENT'!$Q$8:$Q$154*'ANALYSE - ERP =&gt; SOUS-SEGMENT'!$BE$8:$BE$154),0)</f>
        <v>0</v>
      </c>
      <c r="IM45" s="733">
        <f>IFERROR(SUMPRODUCT(('ANALYSE - ERP =&gt; SOUS-SEGMENT'!$C$8:$C$154=$C45)*'ANALYSE - ERP =&gt; SOUS-SEGMENT'!$Q$8:$Q$154*'ANALYSE - ERP =&gt; SOUS-SEGMENT'!$BE$8:$BE$154*'ANALYSE - ERP =&gt; SOUS-SEGMENT'!$IP$8:$IP$154)/SUMPRODUCT(('ANALYSE - ERP =&gt; SOUS-SEGMENT'!$C$8:$C$154=$C45)*'ANALYSE - ERP =&gt; SOUS-SEGMENT'!$Q$8:$Q$154*'ANALYSE - ERP =&gt; SOUS-SEGMENT'!$BE$8:$BE$154),0)</f>
        <v>0</v>
      </c>
      <c r="IN45" s="733">
        <f>IFERROR(SUMPRODUCT(('ANALYSE - ERP =&gt; SOUS-SEGMENT'!$C$8:$C$154=$C45)*'ANALYSE - ERP =&gt; SOUS-SEGMENT'!$Q$8:$Q$154*'ANALYSE - ERP =&gt; SOUS-SEGMENT'!$BE$8:$BE$154*'ANALYSE - ERP =&gt; SOUS-SEGMENT'!$IQ$8:$IQ$154)/SUMPRODUCT(('ANALYSE - ERP =&gt; SOUS-SEGMENT'!$C$8:$C$154=$C45)*'ANALYSE - ERP =&gt; SOUS-SEGMENT'!$Q$8:$Q$154*'ANALYSE - ERP =&gt; SOUS-SEGMENT'!$BE$8:$BE$154),0)</f>
        <v>0</v>
      </c>
      <c r="IO45" s="733">
        <f>IFERROR(SUMPRODUCT(('ANALYSE - ERP =&gt; SOUS-SEGMENT'!$C$8:$C$154=$C45)*'ANALYSE - ERP =&gt; SOUS-SEGMENT'!$Q$8:$Q$154*'ANALYSE - ERP =&gt; SOUS-SEGMENT'!$BE$8:$BE$154*'ANALYSE - ERP =&gt; SOUS-SEGMENT'!$IR$8:$IR$154)/SUMPRODUCT(('ANALYSE - ERP =&gt; SOUS-SEGMENT'!$C$8:$C$154=$C45)*'ANALYSE - ERP =&gt; SOUS-SEGMENT'!$Q$8:$Q$154*'ANALYSE - ERP =&gt; SOUS-SEGMENT'!$BE$8:$BE$154),0)</f>
        <v>0</v>
      </c>
      <c r="IP45" s="733">
        <f>IFERROR(SUMPRODUCT(('ANALYSE - ERP =&gt; SOUS-SEGMENT'!$C$8:$C$154=$C45)*'ANALYSE - ERP =&gt; SOUS-SEGMENT'!$Q$8:$Q$154*'ANALYSE - ERP =&gt; SOUS-SEGMENT'!$BE$8:$BE$154*'ANALYSE - ERP =&gt; SOUS-SEGMENT'!$IS$8:$IS$154)/SUMPRODUCT(('ANALYSE - ERP =&gt; SOUS-SEGMENT'!$C$8:$C$154=$C45)*'ANALYSE - ERP =&gt; SOUS-SEGMENT'!$Q$8:$Q$154*'ANALYSE - ERP =&gt; SOUS-SEGMENT'!$BE$8:$BE$154),0)</f>
        <v>0</v>
      </c>
      <c r="IQ45" s="733">
        <f>IFERROR(SUMPRODUCT(('ANALYSE - ERP =&gt; SOUS-SEGMENT'!$C$8:$C$154=$C45)*'ANALYSE - ERP =&gt; SOUS-SEGMENT'!$Q$8:$Q$154*'ANALYSE - ERP =&gt; SOUS-SEGMENT'!$FB$8:$FB$154*'ANALYSE - ERP =&gt; SOUS-SEGMENT'!$IT$8:$IT$154)/SUMPRODUCT(('ANALYSE - ERP =&gt; SOUS-SEGMENT'!$C$8:$C$154=$C45)*'ANALYSE - ERP =&gt; SOUS-SEGMENT'!$Q$8:$Q$154*'ANALYSE - ERP =&gt; SOUS-SEGMENT'!$FB$8:$FB$154),0)</f>
        <v>0</v>
      </c>
      <c r="IR45" s="733">
        <f>IFERROR(SUMPRODUCT(('ANALYSE - ERP =&gt; SOUS-SEGMENT'!$C$8:$C$154=$C45)*'ANALYSE - ERP =&gt; SOUS-SEGMENT'!$Q$8:$Q$154*'ANALYSE - ERP =&gt; SOUS-SEGMENT'!$FB$8:$FB$154*'ANALYSE - ERP =&gt; SOUS-SEGMENT'!$IU$8:$IU$154)/SUMPRODUCT(('ANALYSE - ERP =&gt; SOUS-SEGMENT'!$C$8:$C$154=$C45)*'ANALYSE - ERP =&gt; SOUS-SEGMENT'!$Q$8:$Q$154*'ANALYSE - ERP =&gt; SOUS-SEGMENT'!$FB$8:$FB$154),0)</f>
        <v>0</v>
      </c>
      <c r="IS45" s="733">
        <f>IFERROR(SUMPRODUCT(('ANALYSE - ERP =&gt; SOUS-SEGMENT'!$C$8:$C$154=$C45)*'ANALYSE - ERP =&gt; SOUS-SEGMENT'!$Q$8:$Q$154*'ANALYSE - ERP =&gt; SOUS-SEGMENT'!$FB$8:$FB$154*'ANALYSE - ERP =&gt; SOUS-SEGMENT'!$IV$8:$IV$154)/SUMPRODUCT(('ANALYSE - ERP =&gt; SOUS-SEGMENT'!$C$8:$C$154=$C45)*'ANALYSE - ERP =&gt; SOUS-SEGMENT'!$Q$8:$Q$154*'ANALYSE - ERP =&gt; SOUS-SEGMENT'!$FB$8:$FB$154),0)</f>
        <v>0</v>
      </c>
      <c r="IT45" s="733">
        <f>IFERROR(SUMPRODUCT(('ANALYSE - ERP =&gt; SOUS-SEGMENT'!$C$8:$C$154=$C45)*'ANALYSE - ERP =&gt; SOUS-SEGMENT'!$Q$8:$Q$154*'ANALYSE - ERP =&gt; SOUS-SEGMENT'!$FB$8:$FB$154*'ANALYSE - ERP =&gt; SOUS-SEGMENT'!$IW$8:$IW$154)/SUMPRODUCT(('ANALYSE - ERP =&gt; SOUS-SEGMENT'!$C$8:$C$154=$C45)*'ANALYSE - ERP =&gt; SOUS-SEGMENT'!$Q$8:$Q$154*'ANALYSE - ERP =&gt; SOUS-SEGMENT'!$FB$8:$FB$154),0)</f>
        <v>0</v>
      </c>
      <c r="IU45" s="733">
        <f>IFERROR(SUMPRODUCT(('ANALYSE - ERP =&gt; SOUS-SEGMENT'!$C$8:$C$154=$C45)*'ANALYSE - ERP =&gt; SOUS-SEGMENT'!$Q$8:$Q$154*'ANALYSE - ERP =&gt; SOUS-SEGMENT'!$FB$8:$FB$154*'ANALYSE - ERP =&gt; SOUS-SEGMENT'!$IX$8:$IX$154)/SUMPRODUCT(('ANALYSE - ERP =&gt; SOUS-SEGMENT'!$C$8:$C$154=$C45)*'ANALYSE - ERP =&gt; SOUS-SEGMENT'!$Q$8:$Q$154*'ANALYSE - ERP =&gt; SOUS-SEGMENT'!$FB$8:$FB$154),0)</f>
        <v>0</v>
      </c>
      <c r="IV45" s="733">
        <f>IFERROR(SUMPRODUCT(('ANALYSE - ERP =&gt; SOUS-SEGMENT'!$C$8:$C$154=$C45)*'ANALYSE - ERP =&gt; SOUS-SEGMENT'!$Q$8:$Q$154*'ANALYSE - ERP =&gt; SOUS-SEGMENT'!$BF$8:$BF$154*'ANALYSE - ERP =&gt; SOUS-SEGMENT'!$IY$8:$IY$154)/SUMPRODUCT(('ANALYSE - ERP =&gt; SOUS-SEGMENT'!$C$8:$C$154=$C45)*'ANALYSE - ERP =&gt; SOUS-SEGMENT'!$Q$8:$Q$154*'ANALYSE - ERP =&gt; SOUS-SEGMENT'!$BF$8:$BF$154),0)</f>
        <v>0</v>
      </c>
      <c r="IW45" s="733">
        <f>IFERROR(SUMPRODUCT(('ANALYSE - ERP =&gt; SOUS-SEGMENT'!$C$8:$C$154=$C45)*'ANALYSE - ERP =&gt; SOUS-SEGMENT'!$Q$8:$Q$154*'ANALYSE - ERP =&gt; SOUS-SEGMENT'!$BF$8:$BF$154*'ANALYSE - ERP =&gt; SOUS-SEGMENT'!$IZ$8:$IZ$154)/SUMPRODUCT(('ANALYSE - ERP =&gt; SOUS-SEGMENT'!$C$8:$C$154=$C45)*'ANALYSE - ERP =&gt; SOUS-SEGMENT'!$Q$8:$Q$154*'ANALYSE - ERP =&gt; SOUS-SEGMENT'!$BF$8:$BF$154),0)</f>
        <v>0</v>
      </c>
      <c r="IX45" s="733">
        <f>IFERROR(SUMPRODUCT(('ANALYSE - ERP =&gt; SOUS-SEGMENT'!$C$8:$C$154=$C45)*'ANALYSE - ERP =&gt; SOUS-SEGMENT'!$Q$8:$Q$154*'ANALYSE - ERP =&gt; SOUS-SEGMENT'!$BF$8:$BF$154*'ANALYSE - ERP =&gt; SOUS-SEGMENT'!$JA$8:$JA$154)/SUMPRODUCT(('ANALYSE - ERP =&gt; SOUS-SEGMENT'!$C$8:$C$154=$C45)*'ANALYSE - ERP =&gt; SOUS-SEGMENT'!$Q$8:$Q$154*'ANALYSE - ERP =&gt; SOUS-SEGMENT'!$BF$8:$BF$154),0)</f>
        <v>0</v>
      </c>
      <c r="IY45" s="733">
        <f>IFERROR(SUMPRODUCT(('ANALYSE - ERP =&gt; SOUS-SEGMENT'!$C$8:$C$154=$C45)*'ANALYSE - ERP =&gt; SOUS-SEGMENT'!$Q$8:$Q$154*'ANALYSE - ERP =&gt; SOUS-SEGMENT'!$BF$8:$BF$154*'ANALYSE - ERP =&gt; SOUS-SEGMENT'!$JB$8:$JB$154)/SUMPRODUCT(('ANALYSE - ERP =&gt; SOUS-SEGMENT'!$C$8:$C$154=$C45)*'ANALYSE - ERP =&gt; SOUS-SEGMENT'!$Q$8:$Q$154*'ANALYSE - ERP =&gt; SOUS-SEGMENT'!$BF$8:$BF$154),0)</f>
        <v>0</v>
      </c>
      <c r="IZ45" s="733">
        <f>IFERROR(SUMPRODUCT(('ANALYSE - ERP =&gt; SOUS-SEGMENT'!$C$8:$C$154=$C45)*'ANALYSE - ERP =&gt; SOUS-SEGMENT'!$Q$8:$Q$154*'ANALYSE - ERP =&gt; SOUS-SEGMENT'!$BF$8:$BF$154*'ANALYSE - ERP =&gt; SOUS-SEGMENT'!$JC$8:$JC$154)/SUMPRODUCT(('ANALYSE - ERP =&gt; SOUS-SEGMENT'!$C$8:$C$154=$C45)*'ANALYSE - ERP =&gt; SOUS-SEGMENT'!$Q$8:$Q$154*'ANALYSE - ERP =&gt; SOUS-SEGMENT'!$BF$8:$BF$154),0)</f>
        <v>0</v>
      </c>
      <c r="JA45" s="733">
        <f>IFERROR(SUMPRODUCT(('ANALYSE - ERP =&gt; SOUS-SEGMENT'!$C$8:$C$154=$C45)*'ANALYSE - ERP =&gt; SOUS-SEGMENT'!$Q$8:$Q$154*'ANALYSE - ERP =&gt; SOUS-SEGMENT'!$FE$8:$FE$154*'ANALYSE - ERP =&gt; SOUS-SEGMENT'!$JD$8:$JD$154)/SUMPRODUCT(('ANALYSE - ERP =&gt; SOUS-SEGMENT'!$C$8:$C$154=$C45)*'ANALYSE - ERP =&gt; SOUS-SEGMENT'!$Q$8:$Q$154*'ANALYSE - ERP =&gt; SOUS-SEGMENT'!$FE$8:$FE$154),0)</f>
        <v>0</v>
      </c>
      <c r="JB45" s="733">
        <f>IFERROR(SUMPRODUCT(('ANALYSE - ERP =&gt; SOUS-SEGMENT'!$C$8:$C$154=$C45)*'ANALYSE - ERP =&gt; SOUS-SEGMENT'!$Q$8:$Q$154*'ANALYSE - ERP =&gt; SOUS-SEGMENT'!$FE$8:$FE$154*'ANALYSE - ERP =&gt; SOUS-SEGMENT'!$JE$8:$JE$154)/SUMPRODUCT(('ANALYSE - ERP =&gt; SOUS-SEGMENT'!$C$8:$C$154=$C45)*'ANALYSE - ERP =&gt; SOUS-SEGMENT'!$Q$8:$Q$154*'ANALYSE - ERP =&gt; SOUS-SEGMENT'!$FE$8:$FE$154),0)</f>
        <v>0</v>
      </c>
      <c r="JC45" s="733">
        <f>IFERROR(SUMPRODUCT(('ANALYSE - ERP =&gt; SOUS-SEGMENT'!$C$8:$C$154=$C45)*'ANALYSE - ERP =&gt; SOUS-SEGMENT'!$Q$8:$Q$154*'ANALYSE - ERP =&gt; SOUS-SEGMENT'!$FE$8:$FE$154*'ANALYSE - ERP =&gt; SOUS-SEGMENT'!$JF$8:$JF$154)/SUMPRODUCT(('ANALYSE - ERP =&gt; SOUS-SEGMENT'!$C$8:$C$154=$C45)*'ANALYSE - ERP =&gt; SOUS-SEGMENT'!$Q$8:$Q$154*'ANALYSE - ERP =&gt; SOUS-SEGMENT'!$FE$8:$FE$154),0)</f>
        <v>0</v>
      </c>
      <c r="JD45" s="733">
        <f>IFERROR(SUMPRODUCT(('ANALYSE - ERP =&gt; SOUS-SEGMENT'!$C$8:$C$154=$C45)*'ANALYSE - ERP =&gt; SOUS-SEGMENT'!$Q$8:$Q$154*'ANALYSE - ERP =&gt; SOUS-SEGMENT'!$FE$8:$FE$154*'ANALYSE - ERP =&gt; SOUS-SEGMENT'!$JG$8:$JG$154)/SUMPRODUCT(('ANALYSE - ERP =&gt; SOUS-SEGMENT'!$C$8:$C$154=$C45)*'ANALYSE - ERP =&gt; SOUS-SEGMENT'!$Q$8:$Q$154*'ANALYSE - ERP =&gt; SOUS-SEGMENT'!$FE$8:$FE$154),0)</f>
        <v>0</v>
      </c>
      <c r="JE45" s="733">
        <f>IFERROR(SUMPRODUCT(('ANALYSE - ERP =&gt; SOUS-SEGMENT'!$C$8:$C$154=$C45)*'ANALYSE - ERP =&gt; SOUS-SEGMENT'!$Q$8:$Q$154*'ANALYSE - ERP =&gt; SOUS-SEGMENT'!$FE$8:$FE$154*'ANALYSE - ERP =&gt; SOUS-SEGMENT'!$JH$8:$JH$154)/SUMPRODUCT(('ANALYSE - ERP =&gt; SOUS-SEGMENT'!$C$8:$C$154=$C45)*'ANALYSE - ERP =&gt; SOUS-SEGMENT'!$Q$8:$Q$154*'ANALYSE - ERP =&gt; SOUS-SEGMENT'!$FE$8:$FE$154),0)</f>
        <v>0</v>
      </c>
      <c r="JF45" s="733">
        <f>IFERROR(SUMPRODUCT(('ANALYSE - ERP =&gt; SOUS-SEGMENT'!$C$8:$C$154=$C45)*'ANALYSE - ERP =&gt; SOUS-SEGMENT'!$Q$8:$Q$154*'ANALYSE - ERP =&gt; SOUS-SEGMENT'!$BG$8:$BG$154*'ANALYSE - ERP =&gt; SOUS-SEGMENT'!$JI$8:$JI$154)/SUMPRODUCT(('ANALYSE - ERP =&gt; SOUS-SEGMENT'!$C$8:$C$154=$C45)*'ANALYSE - ERP =&gt; SOUS-SEGMENT'!$Q$8:$Q$154*'ANALYSE - ERP =&gt; SOUS-SEGMENT'!$BG$8:$BG$154),0)</f>
        <v>0</v>
      </c>
      <c r="JG45" s="733">
        <f>IFERROR(SUMPRODUCT(('ANALYSE - ERP =&gt; SOUS-SEGMENT'!$C$8:$C$154=$C45)*'ANALYSE - ERP =&gt; SOUS-SEGMENT'!$Q$8:$Q$154*'ANALYSE - ERP =&gt; SOUS-SEGMENT'!$BG$8:$BG$154*'ANALYSE - ERP =&gt; SOUS-SEGMENT'!$JJ$8:$JJ$154)/SUMPRODUCT(('ANALYSE - ERP =&gt; SOUS-SEGMENT'!$C$8:$C$154=$C45)*'ANALYSE - ERP =&gt; SOUS-SEGMENT'!$Q$8:$Q$154*'ANALYSE - ERP =&gt; SOUS-SEGMENT'!$BG$8:$BG$154),0)</f>
        <v>0</v>
      </c>
      <c r="JH45" s="733">
        <f>IFERROR(SUMPRODUCT(('ANALYSE - ERP =&gt; SOUS-SEGMENT'!$C$8:$C$154=$C45)*'ANALYSE - ERP =&gt; SOUS-SEGMENT'!$Q$8:$Q$154*'ANALYSE - ERP =&gt; SOUS-SEGMENT'!$BG$8:$BG$154*'ANALYSE - ERP =&gt; SOUS-SEGMENT'!$JK$8:$JK$154)/SUMPRODUCT(('ANALYSE - ERP =&gt; SOUS-SEGMENT'!$C$8:$C$154=$C45)*'ANALYSE - ERP =&gt; SOUS-SEGMENT'!$Q$8:$Q$154*'ANALYSE - ERP =&gt; SOUS-SEGMENT'!$BG$8:$BG$154),0)</f>
        <v>0</v>
      </c>
      <c r="JI45" s="733">
        <f>IFERROR(SUMPRODUCT(('ANALYSE - ERP =&gt; SOUS-SEGMENT'!$C$8:$C$154=$C45)*'ANALYSE - ERP =&gt; SOUS-SEGMENT'!$Q$8:$Q$154*'ANALYSE - ERP =&gt; SOUS-SEGMENT'!$BG$8:$BG$154*'ANALYSE - ERP =&gt; SOUS-SEGMENT'!$JL$8:$JL$154)/SUMPRODUCT(('ANALYSE - ERP =&gt; SOUS-SEGMENT'!$C$8:$C$154=$C45)*'ANALYSE - ERP =&gt; SOUS-SEGMENT'!$Q$8:$Q$154*'ANALYSE - ERP =&gt; SOUS-SEGMENT'!$BG$8:$BG$154),0)</f>
        <v>0</v>
      </c>
      <c r="JJ45" s="733">
        <f>IFERROR(SUMPRODUCT(('ANALYSE - ERP =&gt; SOUS-SEGMENT'!$C$8:$C$154=$C45)*'ANALYSE - ERP =&gt; SOUS-SEGMENT'!$Q$8:$Q$154*'ANALYSE - ERP =&gt; SOUS-SEGMENT'!$BG$8:$BG$154*'ANALYSE - ERP =&gt; SOUS-SEGMENT'!$JM$8:$JM$154)/SUMPRODUCT(('ANALYSE - ERP =&gt; SOUS-SEGMENT'!$C$8:$C$154=$C45)*'ANALYSE - ERP =&gt; SOUS-SEGMENT'!$Q$8:$Q$154*'ANALYSE - ERP =&gt; SOUS-SEGMENT'!$BG$8:$BG$154),0)</f>
        <v>0</v>
      </c>
      <c r="JK45" s="733">
        <f>IFERROR(SUMPRODUCT(('ANALYSE - ERP =&gt; SOUS-SEGMENT'!$C$8:$C$154=$C45)*'ANALYSE - ERP =&gt; SOUS-SEGMENT'!$Q$8:$Q$154*'ANALYSE - ERP =&gt; SOUS-SEGMENT'!$FH$8:$FH$154*'ANALYSE - ERP =&gt; SOUS-SEGMENT'!$JN$8:$JN$154)/SUMPRODUCT(('ANALYSE - ERP =&gt; SOUS-SEGMENT'!$C$8:$C$154=$C45)*'ANALYSE - ERP =&gt; SOUS-SEGMENT'!$Q$8:$Q$154*'ANALYSE - ERP =&gt; SOUS-SEGMENT'!$FH$8:$FH$154),0)</f>
        <v>0</v>
      </c>
      <c r="JL45" s="733">
        <f>IFERROR(SUMPRODUCT(('ANALYSE - ERP =&gt; SOUS-SEGMENT'!$C$8:$C$154=$C45)*'ANALYSE - ERP =&gt; SOUS-SEGMENT'!$Q$8:$Q$154*'ANALYSE - ERP =&gt; SOUS-SEGMENT'!$FH$8:$FH$154*'ANALYSE - ERP =&gt; SOUS-SEGMENT'!$JO$8:$JO$154)/SUMPRODUCT(('ANALYSE - ERP =&gt; SOUS-SEGMENT'!$C$8:$C$154=$C45)*'ANALYSE - ERP =&gt; SOUS-SEGMENT'!$Q$8:$Q$154*'ANALYSE - ERP =&gt; SOUS-SEGMENT'!$FH$8:$FH$154),0)</f>
        <v>0</v>
      </c>
      <c r="JM45" s="733">
        <f>IFERROR(SUMPRODUCT(('ANALYSE - ERP =&gt; SOUS-SEGMENT'!$C$8:$C$154=$C45)*'ANALYSE - ERP =&gt; SOUS-SEGMENT'!$Q$8:$Q$154*'ANALYSE - ERP =&gt; SOUS-SEGMENT'!$FH$8:$FH$154*'ANALYSE - ERP =&gt; SOUS-SEGMENT'!$JP$8:$JP$154)/SUMPRODUCT(('ANALYSE - ERP =&gt; SOUS-SEGMENT'!$C$8:$C$154=$C45)*'ANALYSE - ERP =&gt; SOUS-SEGMENT'!$Q$8:$Q$154*'ANALYSE - ERP =&gt; SOUS-SEGMENT'!$FH$8:$FH$154),0)</f>
        <v>0</v>
      </c>
      <c r="JN45" s="733">
        <f>IFERROR(SUMPRODUCT(('ANALYSE - ERP =&gt; SOUS-SEGMENT'!$C$8:$C$154=$C45)*'ANALYSE - ERP =&gt; SOUS-SEGMENT'!$Q$8:$Q$154*'ANALYSE - ERP =&gt; SOUS-SEGMENT'!$FH$8:$FH$154*'ANALYSE - ERP =&gt; SOUS-SEGMENT'!$JQ$8:$JQ$154)/SUMPRODUCT(('ANALYSE - ERP =&gt; SOUS-SEGMENT'!$C$8:$C$154=$C45)*'ANALYSE - ERP =&gt; SOUS-SEGMENT'!$Q$8:$Q$154*'ANALYSE - ERP =&gt; SOUS-SEGMENT'!$FH$8:$FH$154),0)</f>
        <v>0</v>
      </c>
      <c r="JO45" s="733">
        <f>IFERROR(SUMPRODUCT(('ANALYSE - ERP =&gt; SOUS-SEGMENT'!$C$8:$C$154=$C45)*'ANALYSE - ERP =&gt; SOUS-SEGMENT'!$Q$8:$Q$154*'ANALYSE - ERP =&gt; SOUS-SEGMENT'!$FH$8:$FH$154*'ANALYSE - ERP =&gt; SOUS-SEGMENT'!$JR$8:$JR$154)/SUMPRODUCT(('ANALYSE - ERP =&gt; SOUS-SEGMENT'!$C$8:$C$154=$C45)*'ANALYSE - ERP =&gt; SOUS-SEGMENT'!$Q$8:$Q$154*'ANALYSE - ERP =&gt; SOUS-SEGMENT'!$FH$8:$FH$154),0)</f>
        <v>0</v>
      </c>
      <c r="JP45" s="733">
        <f>IFERROR(SUMPRODUCT(('ANALYSE - ERP =&gt; SOUS-SEGMENT'!$C$8:$C$154=$C45)*'ANALYSE - ERP =&gt; SOUS-SEGMENT'!$Q$8:$Q$154*'ANALYSE - ERP =&gt; SOUS-SEGMENT'!$BH$8:$BH$154*'ANALYSE - ERP =&gt; SOUS-SEGMENT'!$JS$8:$JS$154)/SUMPRODUCT(('ANALYSE - ERP =&gt; SOUS-SEGMENT'!$C$8:$C$154=$C45)*'ANALYSE - ERP =&gt; SOUS-SEGMENT'!$Q$8:$Q$154*'ANALYSE - ERP =&gt; SOUS-SEGMENT'!$BH$8:$BH$154),0)</f>
        <v>0</v>
      </c>
      <c r="JQ45" s="733">
        <f>IFERROR(SUMPRODUCT(('ANALYSE - ERP =&gt; SOUS-SEGMENT'!$C$8:$C$154=$C45)*'ANALYSE - ERP =&gt; SOUS-SEGMENT'!$Q$8:$Q$154*'ANALYSE - ERP =&gt; SOUS-SEGMENT'!$BH$8:$BH$154*'ANALYSE - ERP =&gt; SOUS-SEGMENT'!$JT$8:$JT$154)/SUMPRODUCT(('ANALYSE - ERP =&gt; SOUS-SEGMENT'!$C$8:$C$154=$C45)*'ANALYSE - ERP =&gt; SOUS-SEGMENT'!$Q$8:$Q$154*'ANALYSE - ERP =&gt; SOUS-SEGMENT'!$BH$8:$BH$154),0)</f>
        <v>0</v>
      </c>
      <c r="JR45" s="733">
        <f>IFERROR(SUMPRODUCT(('ANALYSE - ERP =&gt; SOUS-SEGMENT'!$C$8:$C$154=$C45)*'ANALYSE - ERP =&gt; SOUS-SEGMENT'!$Q$8:$Q$154*'ANALYSE - ERP =&gt; SOUS-SEGMENT'!$BH$8:$BH$154*'ANALYSE - ERP =&gt; SOUS-SEGMENT'!$JU$8:$JU$154)/SUMPRODUCT(('ANALYSE - ERP =&gt; SOUS-SEGMENT'!$C$8:$C$154=$C45)*'ANALYSE - ERP =&gt; SOUS-SEGMENT'!$Q$8:$Q$154*'ANALYSE - ERP =&gt; SOUS-SEGMENT'!$BH$8:$BH$154),0)</f>
        <v>0</v>
      </c>
      <c r="JS45" s="733">
        <f>IFERROR(SUMPRODUCT(('ANALYSE - ERP =&gt; SOUS-SEGMENT'!$C$8:$C$154=$C45)*'ANALYSE - ERP =&gt; SOUS-SEGMENT'!$Q$8:$Q$154*'ANALYSE - ERP =&gt; SOUS-SEGMENT'!$BH$8:$BH$154*'ANALYSE - ERP =&gt; SOUS-SEGMENT'!$JV$8:$JV$154)/SUMPRODUCT(('ANALYSE - ERP =&gt; SOUS-SEGMENT'!$C$8:$C$154=$C45)*'ANALYSE - ERP =&gt; SOUS-SEGMENT'!$Q$8:$Q$154*'ANALYSE - ERP =&gt; SOUS-SEGMENT'!$BH$8:$BH$154),0)</f>
        <v>0</v>
      </c>
      <c r="JT45" s="733">
        <f>IFERROR(SUMPRODUCT(('ANALYSE - ERP =&gt; SOUS-SEGMENT'!$C$8:$C$154=$C45)*'ANALYSE - ERP =&gt; SOUS-SEGMENT'!$Q$8:$Q$154*'ANALYSE - ERP =&gt; SOUS-SEGMENT'!$BH$8:$BH$154*'ANALYSE - ERP =&gt; SOUS-SEGMENT'!$JW$8:$JW$154)/SUMPRODUCT(('ANALYSE - ERP =&gt; SOUS-SEGMENT'!$C$8:$C$154=$C45)*'ANALYSE - ERP =&gt; SOUS-SEGMENT'!$Q$8:$Q$154*'ANALYSE - ERP =&gt; SOUS-SEGMENT'!$BH$8:$BH$154),0)</f>
        <v>0</v>
      </c>
      <c r="JU45" s="733">
        <f>IFERROR(SUMPRODUCT(('ANALYSE - ERP =&gt; SOUS-SEGMENT'!$C$8:$C$154=$C45)*'ANALYSE - ERP =&gt; SOUS-SEGMENT'!$Q$8:$Q$154*'ANALYSE - ERP =&gt; SOUS-SEGMENT'!$FK$8:$FK$154*'ANALYSE - ERP =&gt; SOUS-SEGMENT'!$JX$8:$JX$154)/SUMPRODUCT(('ANALYSE - ERP =&gt; SOUS-SEGMENT'!$C$8:$C$154=$C45)*'ANALYSE - ERP =&gt; SOUS-SEGMENT'!$Q$8:$Q$154*'ANALYSE - ERP =&gt; SOUS-SEGMENT'!$FK$8:$FK$154),0)</f>
        <v>0</v>
      </c>
      <c r="JV45" s="733">
        <f>IFERROR(SUMPRODUCT(('ANALYSE - ERP =&gt; SOUS-SEGMENT'!$C$8:$C$154=$C45)*'ANALYSE - ERP =&gt; SOUS-SEGMENT'!$Q$8:$Q$154*'ANALYSE - ERP =&gt; SOUS-SEGMENT'!$FK$8:$FK$154*'ANALYSE - ERP =&gt; SOUS-SEGMENT'!$JY$8:$JY$154)/SUMPRODUCT(('ANALYSE - ERP =&gt; SOUS-SEGMENT'!$C$8:$C$154=$C45)*'ANALYSE - ERP =&gt; SOUS-SEGMENT'!$Q$8:$Q$154*'ANALYSE - ERP =&gt; SOUS-SEGMENT'!$FK$8:$FK$154),0)</f>
        <v>0</v>
      </c>
      <c r="JW45" s="733">
        <f>IFERROR(SUMPRODUCT(('ANALYSE - ERP =&gt; SOUS-SEGMENT'!$C$8:$C$154=$C45)*'ANALYSE - ERP =&gt; SOUS-SEGMENT'!$Q$8:$Q$154*'ANALYSE - ERP =&gt; SOUS-SEGMENT'!$FK$8:$FK$154*'ANALYSE - ERP =&gt; SOUS-SEGMENT'!$JZ$8:$JZ$154)/SUMPRODUCT(('ANALYSE - ERP =&gt; SOUS-SEGMENT'!$C$8:$C$154=$C45)*'ANALYSE - ERP =&gt; SOUS-SEGMENT'!$Q$8:$Q$154*'ANALYSE - ERP =&gt; SOUS-SEGMENT'!$FK$8:$FK$154),0)</f>
        <v>0</v>
      </c>
      <c r="JX45" s="733">
        <f>IFERROR(SUMPRODUCT(('ANALYSE - ERP =&gt; SOUS-SEGMENT'!$C$8:$C$154=$C45)*'ANALYSE - ERP =&gt; SOUS-SEGMENT'!$Q$8:$Q$154*'ANALYSE - ERP =&gt; SOUS-SEGMENT'!$FK$8:$FK$154*'ANALYSE - ERP =&gt; SOUS-SEGMENT'!$KA$8:$KA$154)/SUMPRODUCT(('ANALYSE - ERP =&gt; SOUS-SEGMENT'!$C$8:$C$154=$C45)*'ANALYSE - ERP =&gt; SOUS-SEGMENT'!$Q$8:$Q$154*'ANALYSE - ERP =&gt; SOUS-SEGMENT'!$FK$8:$FK$154),0)</f>
        <v>0</v>
      </c>
      <c r="JY45" s="733">
        <f>IFERROR(SUMPRODUCT(('ANALYSE - ERP =&gt; SOUS-SEGMENT'!$C$8:$C$154=$C45)*'ANALYSE - ERP =&gt; SOUS-SEGMENT'!$Q$8:$Q$154*'ANALYSE - ERP =&gt; SOUS-SEGMENT'!$FK$8:$FK$154*'ANALYSE - ERP =&gt; SOUS-SEGMENT'!$KB$8:$KB$154)/SUMPRODUCT(('ANALYSE - ERP =&gt; SOUS-SEGMENT'!$C$8:$C$154=$C45)*'ANALYSE - ERP =&gt; SOUS-SEGMENT'!$Q$8:$Q$154*'ANALYSE - ERP =&gt; SOUS-SEGMENT'!$FK$8:$FK$154),0)</f>
        <v>0</v>
      </c>
      <c r="JZ45" s="657"/>
      <c r="KA45" s="298" t="s">
        <v>2590</v>
      </c>
      <c r="KB45" s="298" t="s">
        <v>2591</v>
      </c>
      <c r="KC45" s="888">
        <f>IFERROR(SUMPRODUCT(('ANALYSE - ERP =&gt; SOUS-SEGMENT'!$C$8:$C$154=$C46)*'ANALYSE - ERP =&gt; SOUS-SEGMENT'!$Q$8:$Q$154*'ANALYSE - ERP =&gt; SOUS-SEGMENT'!$EX$8:$EX$154*'ANALYSE - ERP =&gt; SOUS-SEGMENT'!$KF$8:$KF$154)/SUMPRODUCT(('ANALYSE - ERP =&gt; SOUS-SEGMENT'!$C$8:$C$154=$C46)*'ANALYSE - ERP =&gt; SOUS-SEGMENT'!$Q$8:$Q$154*'ANALYSE - ERP =&gt; SOUS-SEGMENT'!$EX$8:$EX$154),"")</f>
        <v>4.16</v>
      </c>
      <c r="KD45" s="298" t="s">
        <v>2589</v>
      </c>
      <c r="KE45" s="300" t="s">
        <v>2908</v>
      </c>
      <c r="KF45" s="298" t="s">
        <v>6760</v>
      </c>
      <c r="KG45" s="300" t="s">
        <v>6760</v>
      </c>
    </row>
    <row r="46" spans="1:293" s="933" customFormat="1" ht="48" customHeight="1">
      <c r="A46" s="629">
        <v>40</v>
      </c>
      <c r="B46" s="630" t="s">
        <v>7538</v>
      </c>
      <c r="C46" s="630" t="s">
        <v>5216</v>
      </c>
      <c r="D46" s="630" t="s">
        <v>7539</v>
      </c>
      <c r="E46" s="631" t="s">
        <v>2117</v>
      </c>
      <c r="F46" s="631" t="s">
        <v>5239</v>
      </c>
      <c r="G46" s="631" t="s">
        <v>7311</v>
      </c>
      <c r="H46" s="631" t="s">
        <v>2109</v>
      </c>
      <c r="I46" s="632" t="s">
        <v>7540</v>
      </c>
      <c r="J46" s="632" t="s">
        <v>7541</v>
      </c>
      <c r="K46" s="633" t="s">
        <v>2097</v>
      </c>
      <c r="L46" s="633" t="s">
        <v>2109</v>
      </c>
      <c r="M46" s="633" t="s">
        <v>3168</v>
      </c>
      <c r="N46" s="633" t="s">
        <v>6742</v>
      </c>
      <c r="O46" s="631" t="s">
        <v>3170</v>
      </c>
      <c r="P46" s="632"/>
      <c r="Q46" s="627">
        <f>IF(SUMPRODUCT(('ANALYSE - ERP =&gt; SOUS-SEGMENT'!$C$8:$C$154=$C46)*'ANALYSE - ERP =&gt; SOUS-SEGMENT'!$Q$8:$Q$154)&gt;0,1,0)</f>
        <v>1</v>
      </c>
      <c r="R46" s="634">
        <f>IFERROR(SUMPRODUCT(('ANALYSE - ERP =&gt; SOUS-SEGMENT'!$C$8:$C$154=$C46)*'ANALYSE - ERP =&gt; SOUS-SEGMENT'!$Q$8:$Q$154*'ANALYSE - ERP =&gt; SOUS-SEGMENT'!$AG$8:$AG$154*'ANALYSE - ERP =&gt; SOUS-SEGMENT'!$R$8:$R$154)/SUMPRODUCT(('ANALYSE - ERP =&gt; SOUS-SEGMENT'!$C$8:$C$154=$C46)*'ANALYSE - ERP =&gt; SOUS-SEGMENT'!$Q$8:$Q$154*'ANALYSE - ERP =&gt; SOUS-SEGMENT'!$AG$8:$AG$154),"")</f>
        <v>5914.4845099035047</v>
      </c>
      <c r="S46" s="635">
        <f>SUMPRODUCT(('ANALYSE - ERP =&gt; SOUS-SEGMENT'!$C$8:$C$154=$C46)*'ANALYSE - ERP =&gt; SOUS-SEGMENT'!$Q$8:$Q$154*'ANALYSE - ERP =&gt; SOUS-SEGMENT'!$S$8:$S$154)</f>
        <v>4895</v>
      </c>
      <c r="T46" s="635">
        <f>SUMPRODUCT(('ANALYSE - ERP =&gt; SOUS-SEGMENT'!$C$8:$C$154=$C46)*'ANALYSE - ERP =&gt; SOUS-SEGMENT'!$Q$8:$Q$154*'ANALYSE - ERP =&gt; SOUS-SEGMENT'!$T$8:$T$154)</f>
        <v>5665</v>
      </c>
      <c r="U46" s="635">
        <f>SUMPRODUCT(('ANALYSE - ERP =&gt; SOUS-SEGMENT'!$C$8:$C$154=$C46)*'ANALYSE - ERP =&gt; SOUS-SEGMENT'!$Q$8:$Q$154*'ANALYSE - ERP =&gt; SOUS-SEGMENT'!$U$8:$U$154)</f>
        <v>6495</v>
      </c>
      <c r="V46" s="635">
        <f>SUMPRODUCT(('ANALYSE - ERP =&gt; SOUS-SEGMENT'!$C$8:$C$154=$C46)*'ANALYSE - ERP =&gt; SOUS-SEGMENT'!$Q$8:$Q$154*'ANALYSE - ERP =&gt; SOUS-SEGMENT'!$V$8:$V$154)</f>
        <v>7722</v>
      </c>
      <c r="W46" s="635">
        <f>SUMPRODUCT(('ANALYSE - ERP =&gt; SOUS-SEGMENT'!$C$8:$C$154=$C46)*'ANALYSE - ERP =&gt; SOUS-SEGMENT'!$Q$8:$Q$154*'ANALYSE - ERP =&gt; SOUS-SEGMENT'!$W$8:$W$154)</f>
        <v>7948</v>
      </c>
      <c r="X46" s="635">
        <f>SUMPRODUCT(('ANALYSE - ERP =&gt; SOUS-SEGMENT'!$C$8:$C$154=$C46)*'ANALYSE - ERP =&gt; SOUS-SEGMENT'!$Q$8:$Q$154*'ANALYSE - ERP =&gt; SOUS-SEGMENT'!$X$8:$X$154)</f>
        <v>8183</v>
      </c>
      <c r="Y46" s="635">
        <f>SUMPRODUCT(('ANALYSE - ERP =&gt; SOUS-SEGMENT'!$C$8:$C$154=$C46)*'ANALYSE - ERP =&gt; SOUS-SEGMENT'!$Q$8:$Q$154*'ANALYSE - ERP =&gt; SOUS-SEGMENT'!$Y$8:$Y$154)</f>
        <v>8419</v>
      </c>
      <c r="Z46" s="635">
        <f>SUMPRODUCT(('ANALYSE - ERP =&gt; SOUS-SEGMENT'!$C$8:$C$154=$C46)*'ANALYSE - ERP =&gt; SOUS-SEGMENT'!$Q$8:$Q$154*'ANALYSE - ERP =&gt; SOUS-SEGMENT'!$Z$8:$Z$154)</f>
        <v>8708</v>
      </c>
      <c r="AA46" s="635">
        <f>SUMPRODUCT(('ANALYSE - ERP =&gt; SOUS-SEGMENT'!$C$8:$C$154=$C46)*'ANALYSE - ERP =&gt; SOUS-SEGMENT'!$Q$8:$Q$154*'ANALYSE - ERP =&gt; SOUS-SEGMENT'!$AA$8:$AA$154)</f>
        <v>8953</v>
      </c>
      <c r="AB46" s="635">
        <f>SUMPRODUCT(('ANALYSE - ERP =&gt; SOUS-SEGMENT'!$C$8:$C$154=$C46)*'ANALYSE - ERP =&gt; SOUS-SEGMENT'!$Q$8:$Q$154*'ANALYSE - ERP =&gt; SOUS-SEGMENT'!$AB$8:$AB$154)</f>
        <v>9008</v>
      </c>
      <c r="AC46" s="635">
        <f>SUMPRODUCT(('ANALYSE - ERP =&gt; SOUS-SEGMENT'!$C$8:$C$154=$C46)*'ANALYSE - ERP =&gt; SOUS-SEGMENT'!$Q$8:$Q$154*'ANALYSE - ERP =&gt; SOUS-SEGMENT'!$AC$8:$AC$154)</f>
        <v>9113</v>
      </c>
      <c r="AD46" s="635">
        <f>SUMPRODUCT(('ANALYSE - ERP =&gt; SOUS-SEGMENT'!$C$8:$C$154=$C46)*'ANALYSE - ERP =&gt; SOUS-SEGMENT'!$Q$8:$Q$154*'ANALYSE - ERP =&gt; SOUS-SEGMENT'!$AD$8:$AD$154)</f>
        <v>9322</v>
      </c>
      <c r="AE46" s="635">
        <f>SUMPRODUCT(('ANALYSE - ERP =&gt; SOUS-SEGMENT'!$C$8:$C$154=$C46)*'ANALYSE - ERP =&gt; SOUS-SEGMENT'!$Q$8:$Q$154*'ANALYSE - ERP =&gt; SOUS-SEGMENT'!$AE$8:$AE$154)</f>
        <v>9533</v>
      </c>
      <c r="AF46" s="635">
        <f>SUMPRODUCT(('ANALYSE - ERP =&gt; SOUS-SEGMENT'!$C$8:$C$154=$C46)*'ANALYSE - ERP =&gt; SOUS-SEGMENT'!$Q$8:$Q$154*'ANALYSE - ERP =&gt; SOUS-SEGMENT'!$AF$8:$AF$154)</f>
        <v>9691</v>
      </c>
      <c r="AG46" s="635">
        <f>SUMPRODUCT(('ANALYSE - ERP =&gt; SOUS-SEGMENT'!$C$8:$C$154=$C46)*'ANALYSE - ERP =&gt; SOUS-SEGMENT'!$Q$8:$Q$154*'ANALYSE - ERP =&gt; SOUS-SEGMENT'!$AG$8:$AG$154)</f>
        <v>9845</v>
      </c>
      <c r="AH46" s="635">
        <f>SUMPRODUCT(('ANALYSE - ERP =&gt; SOUS-SEGMENT'!$C$8:$C$154=$C46)*'ANALYSE - ERP =&gt; SOUS-SEGMENT'!$Q$8:$Q$154*'ANALYSE - ERP =&gt; SOUS-SEGMENT'!$AH$8:$AH$154)</f>
        <v>10049</v>
      </c>
      <c r="AI46" s="635">
        <f>SUMPRODUCT(('ANALYSE - ERP =&gt; SOUS-SEGMENT'!$C$8:$C$154=$C46)*'ANALYSE - ERP =&gt; SOUS-SEGMENT'!$Q$8:$Q$154*'ANALYSE - ERP =&gt; SOUS-SEGMENT'!$AI$8:$AI$154)</f>
        <v>10248</v>
      </c>
      <c r="AJ46" s="635">
        <f>SUMPRODUCT(('ANALYSE - ERP =&gt; SOUS-SEGMENT'!$C$8:$C$154=$C46)*'ANALYSE - ERP =&gt; SOUS-SEGMENT'!$Q$8:$Q$154*'ANALYSE - ERP =&gt; SOUS-SEGMENT'!$AJ$8:$AJ$154)</f>
        <v>10441</v>
      </c>
      <c r="AK46" s="635">
        <f>SUMPRODUCT(('ANALYSE - ERP =&gt; SOUS-SEGMENT'!$C$8:$C$154=$C46)*'ANALYSE - ERP =&gt; SOUS-SEGMENT'!$Q$8:$Q$154*'ANALYSE - ERP =&gt; SOUS-SEGMENT'!$AK$8:$AK$154)</f>
        <v>10629</v>
      </c>
      <c r="AL46" s="632" t="s">
        <v>7471</v>
      </c>
      <c r="AM46" s="632" t="s">
        <v>7472</v>
      </c>
      <c r="AN46" s="632" t="s">
        <v>7542</v>
      </c>
      <c r="AO46" s="657"/>
      <c r="AP46" s="634">
        <f>IFERROR(SUMPRODUCT(('ANALYSE - ERP =&gt; SOUS-SEGMENT'!$C$8:$C$154=$C46)*'ANALYSE - ERP =&gt; SOUS-SEGMENT'!$Q$8:$Q$154*'ANALYSE - ERP =&gt; SOUS-SEGMENT'!$AG$8:$AG$154*'ANALYSE - ERP =&gt; SOUS-SEGMENT'!$AP$8:$AP$154)/SUMPRODUCT(('ANALYSE - ERP =&gt; SOUS-SEGMENT'!$C$8:$C$154=$C46)*'ANALYSE - ERP =&gt; SOUS-SEGMENT'!$Q$8:$Q$154*'ANALYSE - ERP =&gt; SOUS-SEGMENT'!$AG$8:$AG$154),"")</f>
        <v>41.909598781107164</v>
      </c>
      <c r="AQ46" s="634">
        <f>IFERROR(SUMPRODUCT(('ANALYSE - ERP =&gt; SOUS-SEGMENT'!$C$8:$C$154=$C46)*'ANALYSE - ERP =&gt; SOUS-SEGMENT'!$Q$8:$Q$154*'ANALYSE - ERP =&gt; SOUS-SEGMENT'!$AF$8:$AF$154*'ANALYSE - ERP =&gt; SOUS-SEGMENT'!$AQ$8:$AQ$154)/SUMPRODUCT(('ANALYSE - ERP =&gt; SOUS-SEGMENT'!$C$8:$C$154=$C46)*'ANALYSE - ERP =&gt; SOUS-SEGMENT'!$Q$8:$Q$154*'ANALYSE - ERP =&gt; SOUS-SEGMENT'!$AF$8:$AF$154),"")</f>
        <v>35.1356929109483</v>
      </c>
      <c r="AR46" s="634">
        <f>IFERROR(SUMPRODUCT(('ANALYSE - ERP =&gt; SOUS-SEGMENT'!$C$8:$C$154=$C46)*'ANALYSE - ERP =&gt; SOUS-SEGMENT'!$Q$8:$Q$154*'ANALYSE - ERP =&gt; SOUS-SEGMENT'!$AF$8:$AF$154*'ANALYSE - ERP =&gt; SOUS-SEGMENT'!$AR$8:$AR$154)/SUMPRODUCT(('ANALYSE - ERP =&gt; SOUS-SEGMENT'!$C$8:$C$154=$C46)*'ANALYSE - ERP =&gt; SOUS-SEGMENT'!$Q$8:$Q$154*'ANALYSE - ERP =&gt; SOUS-SEGMENT'!$AF$8:$AF$154),"")</f>
        <v>5.2775771334227635</v>
      </c>
      <c r="AS46" s="634">
        <f>IFERROR(SUMPRODUCT(('ANALYSE - ERP =&gt; SOUS-SEGMENT'!$C$8:$C$154=$C46)*'ANALYSE - ERP =&gt; SOUS-SEGMENT'!$Q$8:$Q$154*'ANALYSE - ERP =&gt; SOUS-SEGMENT'!$AF$8:$AF$154*'ANALYSE - ERP =&gt; SOUS-SEGMENT'!$AS$8:$AS$154)/SUMPRODUCT(('ANALYSE - ERP =&gt; SOUS-SEGMENT'!$C$8:$C$154=$C46)*'ANALYSE - ERP =&gt; SOUS-SEGMENT'!$Q$8:$Q$154*'ANALYSE - ERP =&gt; SOUS-SEGMENT'!$AF$8:$AF$154),"")</f>
        <v>1.4936539056856877</v>
      </c>
      <c r="AT46" s="657" t="s">
        <v>7543</v>
      </c>
      <c r="AU46" s="636" t="s">
        <v>7544</v>
      </c>
      <c r="AV46" s="637" t="s">
        <v>2609</v>
      </c>
      <c r="AW46" s="636"/>
      <c r="AX46" s="657"/>
      <c r="AY46" s="638">
        <f>IFERROR(SUMPRODUCT(('ANALYSE - ERP =&gt; SOUS-SEGMENT'!$C$8:$C$154=$C46)*'ANALYSE - ERP =&gt; SOUS-SEGMENT'!$Q$8:$Q$154*'ANALYSE - ERP =&gt; SOUS-SEGMENT'!$AF$8:$AF$154*'ANALYSE - ERP =&gt; SOUS-SEGMENT'!$AZ$8:$AZ$154)/SUMPRODUCT(('ANALYSE - ERP =&gt; SOUS-SEGMENT'!$C$8:$C$154=$C46)*'ANALYSE - ERP =&gt; SOUS-SEGMENT'!$Q$8:$Q$154*'ANALYSE - ERP =&gt; SOUS-SEGMENT'!$AF$8:$AF$154),"")</f>
        <v>2.4698173563099783</v>
      </c>
      <c r="AZ46" s="979">
        <f>IFERROR(SUMPRODUCT(('ANALYSE - ERP =&gt; SOUS-SEGMENT'!$C$8:$C$154=$C46)*'ANALYSE - ERP =&gt; SOUS-SEGMENT'!$Q$8:$Q$154*'ANALYSE - ERP =&gt; SOUS-SEGMENT'!$AF$8:$AF$154*'ANALYSE - ERP =&gt; SOUS-SEGMENT'!$BA$8:$BA$154)/SUMPRODUCT(('ANALYSE - ERP =&gt; SOUS-SEGMENT'!$C$8:$C$154=$C46)*'ANALYSE - ERP =&gt; SOUS-SEGMENT'!$Q$8:$Q$154*'ANALYSE - ERP =&gt; SOUS-SEGMENT'!$AF$8:$AF$154),"")</f>
        <v>0</v>
      </c>
      <c r="BA46" s="638">
        <f>IFERROR(SUMPRODUCT(('ANALYSE - ERP =&gt; SOUS-SEGMENT'!$C$8:$C$154=$C46)*'ANALYSE - ERP =&gt; SOUS-SEGMENT'!$Q$8:$Q$154*'ANALYSE - ERP =&gt; SOUS-SEGMENT'!$AF$8:$AF$154*'ANALYSE - ERP =&gt; SOUS-SEGMENT'!$BB$8:$BB$154)/SUMPRODUCT(('ANALYSE - ERP =&gt; SOUS-SEGMENT'!$C$8:$C$154=$C46)*'ANALYSE - ERP =&gt; SOUS-SEGMENT'!$Q$8:$Q$154*'ANALYSE - ERP =&gt; SOUS-SEGMENT'!$AF$8:$AF$154),"")</f>
        <v>0.25890001031885257</v>
      </c>
      <c r="BB46" s="638">
        <f>IFERROR(SUMPRODUCT(('ANALYSE - ERP =&gt; SOUS-SEGMENT'!$C$8:$C$154=$C46)*'ANALYSE - ERP =&gt; SOUS-SEGMENT'!$Q$8:$Q$154*'ANALYSE - ERP =&gt; SOUS-SEGMENT'!$AF$8:$AF$154*'ANALYSE - ERP =&gt; SOUS-SEGMENT'!$BC$8:$BC$154)/SUMPRODUCT(('ANALYSE - ERP =&gt; SOUS-SEGMENT'!$C$8:$C$154=$C46)*'ANALYSE - ERP =&gt; SOUS-SEGMENT'!$Q$8:$Q$154*'ANALYSE - ERP =&gt; SOUS-SEGMENT'!$AF$8:$AF$154),"")</f>
        <v>2.4698173563099783</v>
      </c>
      <c r="BC46" s="639">
        <f>SUMPRODUCT(('ANALYSE - ERP =&gt; SOUS-SEGMENT'!$C$8:$C$154=$C46)*'ANALYSE - ERP =&gt; SOUS-SEGMENT'!$Q$8:$Q$154*'ANALYSE - ERP =&gt; SOUS-SEGMENT'!$BE$8:$BE$154)</f>
        <v>23935</v>
      </c>
      <c r="BD46" s="639">
        <f>SUMPRODUCT(('ANALYSE - ERP =&gt; SOUS-SEGMENT'!$C$8:$C$154=$C46)*'ANALYSE - ERP =&gt; SOUS-SEGMENT'!$Q$8:$Q$154*'ANALYSE - ERP =&gt; SOUS-SEGMENT'!$BF$8:$BF$154)</f>
        <v>0</v>
      </c>
      <c r="BE46" s="639">
        <f>SUMPRODUCT(('ANALYSE - ERP =&gt; SOUS-SEGMENT'!$C$8:$C$154=$C46)*'ANALYSE - ERP =&gt; SOUS-SEGMENT'!$Q$8:$Q$154*'ANALYSE - ERP =&gt; SOUS-SEGMENT'!$BG$8:$BG$154)</f>
        <v>2509</v>
      </c>
      <c r="BF46" s="639">
        <f>SUMPRODUCT(('ANALYSE - ERP =&gt; SOUS-SEGMENT'!$C$8:$C$154=$C46)*'ANALYSE - ERP =&gt; SOUS-SEGMENT'!$Q$8:$Q$154*'ANALYSE - ERP =&gt; SOUS-SEGMENT'!$BH$8:$BH$154)</f>
        <v>23935</v>
      </c>
      <c r="BG46" s="639">
        <f>SUMPRODUCT(('ANALYSE - ERP =&gt; SOUS-SEGMENT'!$C$8:$C$154=$C46)*'ANALYSE - ERP =&gt; SOUS-SEGMENT'!$Q$8:$Q$154*'ANALYSE - ERP =&gt; SOUS-SEGMENT'!$BJ$8:$BJ$154)</f>
        <v>26085</v>
      </c>
      <c r="BH46" s="639">
        <f>SUMPRODUCT(('ANALYSE - ERP =&gt; SOUS-SEGMENT'!$C$8:$C$154=$C46)*'ANALYSE - ERP =&gt; SOUS-SEGMENT'!$Q$8:$Q$154*'ANALYSE - ERP =&gt; SOUS-SEGMENT'!$BK$8:$BK$154)</f>
        <v>0</v>
      </c>
      <c r="BI46" s="639">
        <f>SUMPRODUCT(('ANALYSE - ERP =&gt; SOUS-SEGMENT'!$C$8:$C$154=$C46)*'ANALYSE - ERP =&gt; SOUS-SEGMENT'!$Q$8:$Q$154*'ANALYSE - ERP =&gt; SOUS-SEGMENT'!$BL$8:$BL$154)</f>
        <v>2733</v>
      </c>
      <c r="BJ46" s="639">
        <f>SUMPRODUCT(('ANALYSE - ERP =&gt; SOUS-SEGMENT'!$C$8:$C$154=$C46)*'ANALYSE - ERP =&gt; SOUS-SEGMENT'!$Q$8:$Q$154*'ANALYSE - ERP =&gt; SOUS-SEGMENT'!$BM$8:$BM$154)</f>
        <v>26085</v>
      </c>
      <c r="BK46" s="657"/>
      <c r="BL46" s="284">
        <f>IFERROR(SUMPRODUCT(('ANALYSE - ERP =&gt; SOUS-SEGMENT'!$C$8:$C$154=$C46)*'ANALYSE - ERP =&gt; SOUS-SEGMENT'!$Q$8:$Q$154*'ANALYSE - ERP =&gt; SOUS-SEGMENT'!$BE$8:$BE$154*'ANALYSE - ERP =&gt; SOUS-SEGMENT'!$BO$8:$BO$154)/SUMPRODUCT(('ANALYSE - ERP =&gt; SOUS-SEGMENT'!$C$8:$C$154=$C46)*'ANALYSE - ERP =&gt; SOUS-SEGMENT'!$Q$8:$Q$154*'ANALYSE - ERP =&gt; SOUS-SEGMENT'!$BE$8:$BE$154),"")</f>
        <v>0.35</v>
      </c>
      <c r="BM46" s="284">
        <f>IFERROR(SUMPRODUCT(('ANALYSE - ERP =&gt; SOUS-SEGMENT'!$C$8:$C$154=$C46)*'ANALYSE - ERP =&gt; SOUS-SEGMENT'!$Q$8:$Q$154*'ANALYSE - ERP =&gt; SOUS-SEGMENT'!$BE$8:$BE$154*'ANALYSE - ERP =&gt; SOUS-SEGMENT'!$BP$8:$BP$154)/SUMPRODUCT(('ANALYSE - ERP =&gt; SOUS-SEGMENT'!$C$8:$C$154=$C46)*'ANALYSE - ERP =&gt; SOUS-SEGMENT'!$Q$8:$Q$154*'ANALYSE - ERP =&gt; SOUS-SEGMENT'!$BE$8:$BE$154),"")</f>
        <v>0.5</v>
      </c>
      <c r="BN46" s="284">
        <f>IFERROR(SUMPRODUCT(('ANALYSE - ERP =&gt; SOUS-SEGMENT'!$C$8:$C$154=$C46)*'ANALYSE - ERP =&gt; SOUS-SEGMENT'!$Q$8:$Q$154*'ANALYSE - ERP =&gt; SOUS-SEGMENT'!$BE$8:$BE$154*'ANALYSE - ERP =&gt; SOUS-SEGMENT'!$BQ$8:$BQ$154)/SUMPRODUCT(('ANALYSE - ERP =&gt; SOUS-SEGMENT'!$C$8:$C$154=$C46)*'ANALYSE - ERP =&gt; SOUS-SEGMENT'!$Q$8:$Q$154*'ANALYSE - ERP =&gt; SOUS-SEGMENT'!$BE$8:$BE$154),"")</f>
        <v>0.1</v>
      </c>
      <c r="BO46" s="284">
        <f>IFERROR(SUMPRODUCT(('ANALYSE - ERP =&gt; SOUS-SEGMENT'!$C$8:$C$154=$C46)*'ANALYSE - ERP =&gt; SOUS-SEGMENT'!$Q$8:$Q$154*'ANALYSE - ERP =&gt; SOUS-SEGMENT'!$BE$8:$BE$154*'ANALYSE - ERP =&gt; SOUS-SEGMENT'!$BR$8:$BR$154)/SUMPRODUCT(('ANALYSE - ERP =&gt; SOUS-SEGMENT'!$C$8:$C$154=$C46)*'ANALYSE - ERP =&gt; SOUS-SEGMENT'!$Q$8:$Q$154*'ANALYSE - ERP =&gt; SOUS-SEGMENT'!$BE$8:$BE$154),"")</f>
        <v>0.05</v>
      </c>
      <c r="BP46" s="284">
        <f>IFERROR(SUMPRODUCT(('ANALYSE - ERP =&gt; SOUS-SEGMENT'!$C$8:$C$154=$C46)*'ANALYSE - ERP =&gt; SOUS-SEGMENT'!$Q$8:$Q$154*'ANALYSE - ERP =&gt; SOUS-SEGMENT'!$BJ$8:$BJ$154*'ANALYSE - ERP =&gt; SOUS-SEGMENT'!$BS$8:$BS$154)/SUMPRODUCT(('ANALYSE - ERP =&gt; SOUS-SEGMENT'!$C$8:$C$154=$C46)*'ANALYSE - ERP =&gt; SOUS-SEGMENT'!$Q$8:$Q$154*'ANALYSE - ERP =&gt; SOUS-SEGMENT'!$BJ$8:$BJ$154),"")</f>
        <v>0.32</v>
      </c>
      <c r="BQ46" s="284">
        <f>IFERROR(SUMPRODUCT(('ANALYSE - ERP =&gt; SOUS-SEGMENT'!$C$8:$C$154=$C46)*'ANALYSE - ERP =&gt; SOUS-SEGMENT'!$Q$8:$Q$154*'ANALYSE - ERP =&gt; SOUS-SEGMENT'!$BJ$8:$BJ$154*'ANALYSE - ERP =&gt; SOUS-SEGMENT'!$BT$8:$BT$154)/SUMPRODUCT(('ANALYSE - ERP =&gt; SOUS-SEGMENT'!$C$8:$C$154=$C46)*'ANALYSE - ERP =&gt; SOUS-SEGMENT'!$Q$8:$Q$154*'ANALYSE - ERP =&gt; SOUS-SEGMENT'!$BJ$8:$BJ$154),"")</f>
        <v>0.5</v>
      </c>
      <c r="BR46" s="284">
        <f>IFERROR(SUMPRODUCT(('ANALYSE - ERP =&gt; SOUS-SEGMENT'!$C$8:$C$154=$C46)*'ANALYSE - ERP =&gt; SOUS-SEGMENT'!$Q$8:$Q$154*'ANALYSE - ERP =&gt; SOUS-SEGMENT'!$BJ$8:$BJ$154*'ANALYSE - ERP =&gt; SOUS-SEGMENT'!$BU$8:$BU$154)/SUMPRODUCT(('ANALYSE - ERP =&gt; SOUS-SEGMENT'!$C$8:$C$154=$C46)*'ANALYSE - ERP =&gt; SOUS-SEGMENT'!$Q$8:$Q$154*'ANALYSE - ERP =&gt; SOUS-SEGMENT'!$BJ$8:$BJ$154),"")</f>
        <v>0.12999999999999998</v>
      </c>
      <c r="BS46" s="284">
        <f>IFERROR(SUMPRODUCT(('ANALYSE - ERP =&gt; SOUS-SEGMENT'!$C$8:$C$154=$C46)*'ANALYSE - ERP =&gt; SOUS-SEGMENT'!$Q$8:$Q$154*'ANALYSE - ERP =&gt; SOUS-SEGMENT'!$BJ$8:$BJ$154*'ANALYSE - ERP =&gt; SOUS-SEGMENT'!$BV$8:$BV$154)/SUMPRODUCT(('ANALYSE - ERP =&gt; SOUS-SEGMENT'!$C$8:$C$154=$C46)*'ANALYSE - ERP =&gt; SOUS-SEGMENT'!$Q$8:$Q$154*'ANALYSE - ERP =&gt; SOUS-SEGMENT'!$BJ$8:$BJ$154),"")</f>
        <v>0.05</v>
      </c>
      <c r="BT46" s="285" t="str">
        <f>IFERROR(SUMPRODUCT(('ANALYSE - ERP =&gt; SOUS-SEGMENT'!$C$8:$C$154=$C46)*'ANALYSE - ERP =&gt; SOUS-SEGMENT'!$Q$8:$Q$154*'ANALYSE - ERP =&gt; SOUS-SEGMENT'!$BF$8:$BF$154*'ANALYSE - ERP =&gt; SOUS-SEGMENT'!$BW$8:$BW$154)/SUMPRODUCT(('ANALYSE - ERP =&gt; SOUS-SEGMENT'!$C$8:$C$154=$C46)*'ANALYSE - ERP =&gt; SOUS-SEGMENT'!$Q$8:$Q$154*'ANALYSE - ERP =&gt; SOUS-SEGMENT'!$BF$8:$BF$154),"")</f>
        <v/>
      </c>
      <c r="BU46" s="285" t="str">
        <f>IFERROR(SUMPRODUCT(('ANALYSE - ERP =&gt; SOUS-SEGMENT'!$C$8:$C$154=$C46)*'ANALYSE - ERP =&gt; SOUS-SEGMENT'!$Q$8:$Q$154*'ANALYSE - ERP =&gt; SOUS-SEGMENT'!$BF$8:$BF$154*'ANALYSE - ERP =&gt; SOUS-SEGMENT'!$BX$8:$BX$154)/SUMPRODUCT(('ANALYSE - ERP =&gt; SOUS-SEGMENT'!$C$8:$C$154=$C46)*'ANALYSE - ERP =&gt; SOUS-SEGMENT'!$Q$8:$Q$154*'ANALYSE - ERP =&gt; SOUS-SEGMENT'!$BF$8:$BF$154),"")</f>
        <v/>
      </c>
      <c r="BV46" s="285" t="str">
        <f>IFERROR(SUMPRODUCT(('ANALYSE - ERP =&gt; SOUS-SEGMENT'!$C$8:$C$154=$C46)*'ANALYSE - ERP =&gt; SOUS-SEGMENT'!$Q$8:$Q$154*'ANALYSE - ERP =&gt; SOUS-SEGMENT'!$BF$8:$BF$154*'ANALYSE - ERP =&gt; SOUS-SEGMENT'!$BY$8:$BY$154)/SUMPRODUCT(('ANALYSE - ERP =&gt; SOUS-SEGMENT'!$C$8:$C$154=$C46)*'ANALYSE - ERP =&gt; SOUS-SEGMENT'!$Q$8:$Q$154*'ANALYSE - ERP =&gt; SOUS-SEGMENT'!$BF$8:$BF$154),"")</f>
        <v/>
      </c>
      <c r="BW46" s="285" t="str">
        <f>IFERROR(SUMPRODUCT(('ANALYSE - ERP =&gt; SOUS-SEGMENT'!$C$8:$C$154=$C46)*'ANALYSE - ERP =&gt; SOUS-SEGMENT'!$Q$8:$Q$154*'ANALYSE - ERP =&gt; SOUS-SEGMENT'!$BK$8:$BK$154*'ANALYSE - ERP =&gt; SOUS-SEGMENT'!$BZ$8:$BZ$154)/SUMPRODUCT(('ANALYSE - ERP =&gt; SOUS-SEGMENT'!$C$8:$C$154=$C46)*'ANALYSE - ERP =&gt; SOUS-SEGMENT'!$Q$8:$Q$154*'ANALYSE - ERP =&gt; SOUS-SEGMENT'!$BK$8:$BK$154),"")</f>
        <v/>
      </c>
      <c r="BX46" s="285" t="str">
        <f>IFERROR(SUMPRODUCT(('ANALYSE - ERP =&gt; SOUS-SEGMENT'!$C$8:$C$154=$C46)*'ANALYSE - ERP =&gt; SOUS-SEGMENT'!$Q$8:$Q$154*'ANALYSE - ERP =&gt; SOUS-SEGMENT'!$BK$8:$BK$154*'ANALYSE - ERP =&gt; SOUS-SEGMENT'!$CA$8:$CA$154)/SUMPRODUCT(('ANALYSE - ERP =&gt; SOUS-SEGMENT'!$C$8:$C$154=$C46)*'ANALYSE - ERP =&gt; SOUS-SEGMENT'!$Q$8:$Q$154*'ANALYSE - ERP =&gt; SOUS-SEGMENT'!$BK$8:$BK$154),"")</f>
        <v/>
      </c>
      <c r="BY46" s="285" t="str">
        <f>IFERROR(SUMPRODUCT(('ANALYSE - ERP =&gt; SOUS-SEGMENT'!$C$8:$C$154=$C46)*'ANALYSE - ERP =&gt; SOUS-SEGMENT'!$Q$8:$Q$154*'ANALYSE - ERP =&gt; SOUS-SEGMENT'!$BK$8:$BK$154*'ANALYSE - ERP =&gt; SOUS-SEGMENT'!$CB$8:$CB$154)/SUMPRODUCT(('ANALYSE - ERP =&gt; SOUS-SEGMENT'!$C$8:$C$154=$C46)*'ANALYSE - ERP =&gt; SOUS-SEGMENT'!$Q$8:$Q$154*'ANALYSE - ERP =&gt; SOUS-SEGMENT'!$BK$8:$BK$154),"")</f>
        <v/>
      </c>
      <c r="BZ46" s="284">
        <f>IFERROR(SUMPRODUCT(('ANALYSE - ERP =&gt; SOUS-SEGMENT'!$C$8:$C$154=$C46)*'ANALYSE - ERP =&gt; SOUS-SEGMENT'!$Q$8:$Q$154*'ANALYSE - ERP =&gt; SOUS-SEGMENT'!$BG$8:$BG$154*'ANALYSE - ERP =&gt; SOUS-SEGMENT'!$CC$8:$CC$154)/SUMPRODUCT(('ANALYSE - ERP =&gt; SOUS-SEGMENT'!$C$8:$C$154=$C46)*'ANALYSE - ERP =&gt; SOUS-SEGMENT'!$Q$8:$Q$154*'ANALYSE - ERP =&gt; SOUS-SEGMENT'!$BG$8:$BG$154),"")</f>
        <v>0.12000000000000001</v>
      </c>
      <c r="CA46" s="284">
        <f>IFERROR(SUMPRODUCT(('ANALYSE - ERP =&gt; SOUS-SEGMENT'!$C$8:$C$154=$C46)*'ANALYSE - ERP =&gt; SOUS-SEGMENT'!$Q$8:$Q$154*'ANALYSE - ERP =&gt; SOUS-SEGMENT'!$BG$8:$BG$154*'ANALYSE - ERP =&gt; SOUS-SEGMENT'!$CD$8:$CD$154)/SUMPRODUCT(('ANALYSE - ERP =&gt; SOUS-SEGMENT'!$C$8:$C$154=$C46)*'ANALYSE - ERP =&gt; SOUS-SEGMENT'!$Q$8:$Q$154*'ANALYSE - ERP =&gt; SOUS-SEGMENT'!$BG$8:$BG$154),"")</f>
        <v>0.5</v>
      </c>
      <c r="CB46" s="284">
        <f>IFERROR(SUMPRODUCT(('ANALYSE - ERP =&gt; SOUS-SEGMENT'!$C$8:$C$154=$C46)*'ANALYSE - ERP =&gt; SOUS-SEGMENT'!$Q$8:$Q$154*'ANALYSE - ERP =&gt; SOUS-SEGMENT'!$BG$8:$BG$154*'ANALYSE - ERP =&gt; SOUS-SEGMENT'!$CE$8:$CE$154)/SUMPRODUCT(('ANALYSE - ERP =&gt; SOUS-SEGMENT'!$C$8:$C$154=$C46)*'ANALYSE - ERP =&gt; SOUS-SEGMENT'!$Q$8:$Q$154*'ANALYSE - ERP =&gt; SOUS-SEGMENT'!$BG$8:$BG$154),"")</f>
        <v>0.15</v>
      </c>
      <c r="CC46" s="284">
        <f>IFERROR(SUMPRODUCT(('ANALYSE - ERP =&gt; SOUS-SEGMENT'!$C$8:$C$154=$C46)*'ANALYSE - ERP =&gt; SOUS-SEGMENT'!$Q$8:$Q$154*'ANALYSE - ERP =&gt; SOUS-SEGMENT'!$BG$8:$BG$154*'ANALYSE - ERP =&gt; SOUS-SEGMENT'!$CF$8:$CF$154)/SUMPRODUCT(('ANALYSE - ERP =&gt; SOUS-SEGMENT'!$C$8:$C$154=$C46)*'ANALYSE - ERP =&gt; SOUS-SEGMENT'!$Q$8:$Q$154*'ANALYSE - ERP =&gt; SOUS-SEGMENT'!$BG$8:$BG$154),"")</f>
        <v>0.23</v>
      </c>
      <c r="CD46" s="284">
        <f>IFERROR(SUMPRODUCT(('ANALYSE - ERP =&gt; SOUS-SEGMENT'!$C$8:$C$154=$C46)*'ANALYSE - ERP =&gt; SOUS-SEGMENT'!$Q$8:$Q$154*'ANALYSE - ERP =&gt; SOUS-SEGMENT'!$BL$8:$BL$154*'ANALYSE - ERP =&gt; SOUS-SEGMENT'!$CG$8:$CG$154)/SUMPRODUCT(('ANALYSE - ERP =&gt; SOUS-SEGMENT'!$C$8:$C$154=$C46)*'ANALYSE - ERP =&gt; SOUS-SEGMENT'!$Q$8:$Q$154*'ANALYSE - ERP =&gt; SOUS-SEGMENT'!$BL$8:$BL$154),"")</f>
        <v>0.1</v>
      </c>
      <c r="CE46" s="284">
        <f>IFERROR(SUMPRODUCT(('ANALYSE - ERP =&gt; SOUS-SEGMENT'!$C$8:$C$154=$C46)*'ANALYSE - ERP =&gt; SOUS-SEGMENT'!$Q$8:$Q$154*'ANALYSE - ERP =&gt; SOUS-SEGMENT'!$BL$8:$BL$154*'ANALYSE - ERP =&gt; SOUS-SEGMENT'!$CH$8:$CH$154)/SUMPRODUCT(('ANALYSE - ERP =&gt; SOUS-SEGMENT'!$C$8:$C$154=$C46)*'ANALYSE - ERP =&gt; SOUS-SEGMENT'!$Q$8:$Q$154*'ANALYSE - ERP =&gt; SOUS-SEGMENT'!$BL$8:$BL$154),"")</f>
        <v>0.5</v>
      </c>
      <c r="CF46" s="284">
        <f>IFERROR(SUMPRODUCT(('ANALYSE - ERP =&gt; SOUS-SEGMENT'!$C$8:$C$154=$C46)*'ANALYSE - ERP =&gt; SOUS-SEGMENT'!$Q$8:$Q$154*'ANALYSE - ERP =&gt; SOUS-SEGMENT'!$BL$8:$BL$154*'ANALYSE - ERP =&gt; SOUS-SEGMENT'!$CI$8:$CI$154)/SUMPRODUCT(('ANALYSE - ERP =&gt; SOUS-SEGMENT'!$C$8:$C$154=$C46)*'ANALYSE - ERP =&gt; SOUS-SEGMENT'!$Q$8:$Q$154*'ANALYSE - ERP =&gt; SOUS-SEGMENT'!$BL$8:$BL$154),"")</f>
        <v>0.18</v>
      </c>
      <c r="CG46" s="284">
        <f>IFERROR(SUMPRODUCT(('ANALYSE - ERP =&gt; SOUS-SEGMENT'!$C$8:$C$154=$C46)*'ANALYSE - ERP =&gt; SOUS-SEGMENT'!$Q$8:$Q$154*'ANALYSE - ERP =&gt; SOUS-SEGMENT'!$BL$8:$BL$154*'ANALYSE - ERP =&gt; SOUS-SEGMENT'!$CJ$8:$CJ$154)/SUMPRODUCT(('ANALYSE - ERP =&gt; SOUS-SEGMENT'!$C$8:$C$154=$C46)*'ANALYSE - ERP =&gt; SOUS-SEGMENT'!$Q$8:$Q$154*'ANALYSE - ERP =&gt; SOUS-SEGMENT'!$BL$8:$BL$154),"")</f>
        <v>0.22</v>
      </c>
      <c r="CH46" s="286">
        <f>IFERROR(SUMPRODUCT(('ANALYSE - ERP =&gt; SOUS-SEGMENT'!$C$8:$C$154=$C46)*'ANALYSE - ERP =&gt; SOUS-SEGMENT'!$Q$8:$Q$154*'ANALYSE - ERP =&gt; SOUS-SEGMENT'!$BH$8:$BH$154*'ANALYSE - ERP =&gt; SOUS-SEGMENT'!$CK$8:$CK$154)/SUMPRODUCT(('ANALYSE - ERP =&gt; SOUS-SEGMENT'!$C$8:$C$154=$C46)*'ANALYSE - ERP =&gt; SOUS-SEGMENT'!$Q$8:$Q$154*'ANALYSE - ERP =&gt; SOUS-SEGMENT'!$BH$8:$BH$154),"")</f>
        <v>0.6</v>
      </c>
      <c r="CI46" s="286">
        <f>IFERROR(SUMPRODUCT(('ANALYSE - ERP =&gt; SOUS-SEGMENT'!$C$8:$C$154=$C46)*'ANALYSE - ERP =&gt; SOUS-SEGMENT'!$Q$8:$Q$154*'ANALYSE - ERP =&gt; SOUS-SEGMENT'!$BH$8:$BH$154*'ANALYSE - ERP =&gt; SOUS-SEGMENT'!$CL$8:$CL$154)/SUMPRODUCT(('ANALYSE - ERP =&gt; SOUS-SEGMENT'!$C$8:$C$154=$C46)*'ANALYSE - ERP =&gt; SOUS-SEGMENT'!$Q$8:$Q$154*'ANALYSE - ERP =&gt; SOUS-SEGMENT'!$BH$8:$BH$154),"")</f>
        <v>0.3</v>
      </c>
      <c r="CJ46" s="286">
        <f>IFERROR(SUMPRODUCT(('ANALYSE - ERP =&gt; SOUS-SEGMENT'!$C$8:$C$154=$C46)*'ANALYSE - ERP =&gt; SOUS-SEGMENT'!$Q$8:$Q$154*'ANALYSE - ERP =&gt; SOUS-SEGMENT'!$BH$8:$BH$154*'ANALYSE - ERP =&gt; SOUS-SEGMENT'!$CM$8:$CM$154)/SUMPRODUCT(('ANALYSE - ERP =&gt; SOUS-SEGMENT'!$C$8:$C$154=$C46)*'ANALYSE - ERP =&gt; SOUS-SEGMENT'!$Q$8:$Q$154*'ANALYSE - ERP =&gt; SOUS-SEGMENT'!$BH$8:$BH$154),"")</f>
        <v>0.1</v>
      </c>
      <c r="CK46" s="286">
        <f>IFERROR(SUMPRODUCT(('ANALYSE - ERP =&gt; SOUS-SEGMENT'!$C$8:$C$154=$C46)*'ANALYSE - ERP =&gt; SOUS-SEGMENT'!$Q$8:$Q$154*'ANALYSE - ERP =&gt; SOUS-SEGMENT'!$BM$8:$BM$154*'ANALYSE - ERP =&gt; SOUS-SEGMENT'!$CN$8:$CN$154)/SUMPRODUCT(('ANALYSE - ERP =&gt; SOUS-SEGMENT'!$C$8:$C$154=$C46)*'ANALYSE - ERP =&gt; SOUS-SEGMENT'!$Q$8:$Q$154*'ANALYSE - ERP =&gt; SOUS-SEGMENT'!$BM$8:$BM$154),"")</f>
        <v>0.51999999999999991</v>
      </c>
      <c r="CL46" s="286">
        <f>IFERROR(SUMPRODUCT(('ANALYSE - ERP =&gt; SOUS-SEGMENT'!$C$8:$C$154=$C46)*'ANALYSE - ERP =&gt; SOUS-SEGMENT'!$Q$8:$Q$154*'ANALYSE - ERP =&gt; SOUS-SEGMENT'!$BM$8:$BM$154*'ANALYSE - ERP =&gt; SOUS-SEGMENT'!$CO$8:$CO$154)/SUMPRODUCT(('ANALYSE - ERP =&gt; SOUS-SEGMENT'!$C$8:$C$154=$C46)*'ANALYSE - ERP =&gt; SOUS-SEGMENT'!$Q$8:$Q$154*'ANALYSE - ERP =&gt; SOUS-SEGMENT'!$BM$8:$BM$154),"")</f>
        <v>0.33</v>
      </c>
      <c r="CM46" s="286">
        <f>IFERROR(SUMPRODUCT(('ANALYSE - ERP =&gt; SOUS-SEGMENT'!$C$8:$C$154=$C46)*'ANALYSE - ERP =&gt; SOUS-SEGMENT'!$Q$8:$Q$154*'ANALYSE - ERP =&gt; SOUS-SEGMENT'!$BM$8:$BM$154*'ANALYSE - ERP =&gt; SOUS-SEGMENT'!$CP$8:$CP$154)/SUMPRODUCT(('ANALYSE - ERP =&gt; SOUS-SEGMENT'!$C$8:$C$154=$C46)*'ANALYSE - ERP =&gt; SOUS-SEGMENT'!$Q$8:$Q$154*'ANALYSE - ERP =&gt; SOUS-SEGMENT'!$BM$8:$BM$154),"")</f>
        <v>0.15</v>
      </c>
      <c r="CN46" s="657"/>
      <c r="CO46" s="883">
        <f>IFERROR(SUMPRODUCT(('ANALYSE - ERP =&gt; SOUS-SEGMENT'!$C$8:$C$154=$C46)*'ANALYSE - ERP =&gt; SOUS-SEGMENT'!$DH$8:$DH$154*('ANALYSE - ERP =&gt; SOUS-SEGMENT'!$CR$8:$CR$154&gt;0)*'ANALYSE - ERP =&gt; SOUS-SEGMENT'!$CR$8:$CR$154)/SUMPRODUCT(('ANALYSE - ERP =&gt; SOUS-SEGMENT'!$C$8:$C$154=$C46)*'ANALYSE - ERP =&gt; SOUS-SEGMENT'!$DH$8:$DH$154*('ANALYSE - ERP =&gt; SOUS-SEGMENT'!$CR$8:$CR$154&gt;0)),"")</f>
        <v>12.999999999999998</v>
      </c>
      <c r="CP46" s="883">
        <f>IFERROR(SUMPRODUCT(('ANALYSE - ERP =&gt; SOUS-SEGMENT'!$C$8:$C$154=$C46)*'ANALYSE - ERP =&gt; SOUS-SEGMENT'!$DI$8:$DI$154*('ANALYSE - ERP =&gt; SOUS-SEGMENT'!$CS$8:$CS$154&gt;0)*'ANALYSE - ERP =&gt; SOUS-SEGMENT'!$CS$8:$CS$154)/SUMPRODUCT(('ANALYSE - ERP =&gt; SOUS-SEGMENT'!$C$8:$C$154=$C46)*'ANALYSE - ERP =&gt; SOUS-SEGMENT'!$DI$8:$DI$154*('ANALYSE - ERP =&gt; SOUS-SEGMENT'!$CS$8:$CS$154&gt;0)),"")</f>
        <v>14</v>
      </c>
      <c r="CQ46" s="883">
        <f>IFERROR(SUMPRODUCT(('ANALYSE - ERP =&gt; SOUS-SEGMENT'!$C$8:$C$154=$C46)*'ANALYSE - ERP =&gt; SOUS-SEGMENT'!$DJ$8:$DJ$154*('ANALYSE - ERP =&gt; SOUS-SEGMENT'!$CT$8:$CT$154&gt;0)*'ANALYSE - ERP =&gt; SOUS-SEGMENT'!$CT$8:$CT$154)/SUMPRODUCT(('ANALYSE - ERP =&gt; SOUS-SEGMENT'!$C$8:$C$154=$C46)*'ANALYSE - ERP =&gt; SOUS-SEGMENT'!$DJ$8:$DJ$154*('ANALYSE - ERP =&gt; SOUS-SEGMENT'!$CT$8:$CT$154&gt;0)),"")</f>
        <v>10</v>
      </c>
      <c r="CR46" s="883">
        <f>IFERROR(SUMPRODUCT(('ANALYSE - ERP =&gt; SOUS-SEGMENT'!$C$8:$C$154=$C46)*'ANALYSE - ERP =&gt; SOUS-SEGMENT'!$DK$8:$DK$154*('ANALYSE - ERP =&gt; SOUS-SEGMENT'!$CU$8:$CU$154&gt;0)*'ANALYSE - ERP =&gt; SOUS-SEGMENT'!$CU$8:$CU$154)/SUMPRODUCT(('ANALYSE - ERP =&gt; SOUS-SEGMENT'!$C$8:$C$154=$C46)*'ANALYSE - ERP =&gt; SOUS-SEGMENT'!$DK$8:$DK$154*('ANALYSE - ERP =&gt; SOUS-SEGMENT'!$CU$8:$CU$154&gt;0)),"")</f>
        <v>12</v>
      </c>
      <c r="CS46" s="883" t="str">
        <f>IFERROR(SUMPRODUCT(('ANALYSE - ERP =&gt; SOUS-SEGMENT'!$C$8:$C$154=$C46)*'ANALYSE - ERP =&gt; SOUS-SEGMENT'!$DS$8:$DS$154*('ANALYSE - ERP =&gt; SOUS-SEGMENT'!$CV$8:$CV$154&gt;0)*'ANALYSE - ERP =&gt; SOUS-SEGMENT'!$CV$8:$CV$154)/SUMPRODUCT(('ANALYSE - ERP =&gt; SOUS-SEGMENT'!$C$8:$C$154=$C46)*'ANALYSE - ERP =&gt; SOUS-SEGMENT'!$DS$8:$DS$154*('ANALYSE - ERP =&gt; SOUS-SEGMENT'!$CV$8:$CV$154&gt;0)),"")</f>
        <v/>
      </c>
      <c r="CT46" s="883" t="str">
        <f>IFERROR(SUMPRODUCT(('ANALYSE - ERP =&gt; SOUS-SEGMENT'!$C$8:$C$154=$C46)*'ANALYSE - ERP =&gt; SOUS-SEGMENT'!$DT$8:$DT$154*('ANALYSE - ERP =&gt; SOUS-SEGMENT'!$CW$8:$CW$154&gt;0)*'ANALYSE - ERP =&gt; SOUS-SEGMENT'!$CW$8:$CW$154)/SUMPRODUCT(('ANALYSE - ERP =&gt; SOUS-SEGMENT'!$C$8:$C$154=$C46)*'ANALYSE - ERP =&gt; SOUS-SEGMENT'!$DT$8:$DT$154*('ANALYSE - ERP =&gt; SOUS-SEGMENT'!$CW$8:$CW$154&gt;0)),"")</f>
        <v/>
      </c>
      <c r="CU46" s="883" t="str">
        <f>IFERROR(SUMPRODUCT(('ANALYSE - ERP =&gt; SOUS-SEGMENT'!$C$8:$C$154=$C46)*'ANALYSE - ERP =&gt; SOUS-SEGMENT'!$DU$8:$DU$154*('ANALYSE - ERP =&gt; SOUS-SEGMENT'!$CX$8:$CX$154&gt;0)*'ANALYSE - ERP =&gt; SOUS-SEGMENT'!$CX$8:$CX$154)/SUMPRODUCT(('ANALYSE - ERP =&gt; SOUS-SEGMENT'!$C$8:$C$154=$C46)*'ANALYSE - ERP =&gt; SOUS-SEGMENT'!$DU$8:$DU$154*('ANALYSE - ERP =&gt; SOUS-SEGMENT'!$CX$8:$CX$154&gt;0)),"")</f>
        <v/>
      </c>
      <c r="CV46" s="883">
        <f>IFERROR(SUMPRODUCT(('ANALYSE - ERP =&gt; SOUS-SEGMENT'!$C$8:$C$154=$C46)*'ANALYSE - ERP =&gt; SOUS-SEGMENT'!$EB$8:$EB$154*('ANALYSE - ERP =&gt; SOUS-SEGMENT'!$CY$8:$CY$154&gt;0)*'ANALYSE - ERP =&gt; SOUS-SEGMENT'!$CY$8:$CY$154)/SUMPRODUCT(('ANALYSE - ERP =&gt; SOUS-SEGMENT'!$C$8:$C$154=$C46)*'ANALYSE - ERP =&gt; SOUS-SEGMENT'!$EB$8:$EB$154*('ANALYSE - ERP =&gt; SOUS-SEGMENT'!$CY$8:$CY$154&gt;0)),"")</f>
        <v>10.999999999999998</v>
      </c>
      <c r="CW46" s="883">
        <f>IFERROR(SUMPRODUCT(('ANALYSE - ERP =&gt; SOUS-SEGMENT'!$C$8:$C$154=$C46)*'ANALYSE - ERP =&gt; SOUS-SEGMENT'!$EC$8:$EC$154*('ANALYSE - ERP =&gt; SOUS-SEGMENT'!$CZ$8:$CZ$154&gt;0)*'ANALYSE - ERP =&gt; SOUS-SEGMENT'!$CZ$8:$CZ$154)/SUMPRODUCT(('ANALYSE - ERP =&gt; SOUS-SEGMENT'!$C$8:$C$154=$C46)*'ANALYSE - ERP =&gt; SOUS-SEGMENT'!$EC$8:$EC$154*('ANALYSE - ERP =&gt; SOUS-SEGMENT'!$CZ$8:$CZ$154&gt;0)),"")</f>
        <v>13</v>
      </c>
      <c r="CX46" s="883">
        <f>IFERROR(SUMPRODUCT(('ANALYSE - ERP =&gt; SOUS-SEGMENT'!$C$8:$C$154=$C46)*'ANALYSE - ERP =&gt; SOUS-SEGMENT'!$ED$8:$ED$154*('ANALYSE - ERP =&gt; SOUS-SEGMENT'!$DA$8:$DA$154&gt;0)*'ANALYSE - ERP =&gt; SOUS-SEGMENT'!$DA$8:$DA$154)/SUMPRODUCT(('ANALYSE - ERP =&gt; SOUS-SEGMENT'!$C$8:$C$154=$C46)*'ANALYSE - ERP =&gt; SOUS-SEGMENT'!$ED$8:$ED$154*('ANALYSE - ERP =&gt; SOUS-SEGMENT'!$DA$8:$DA$154&gt;0)),"")</f>
        <v>9.0000000000000018</v>
      </c>
      <c r="CY46" s="883">
        <f>IFERROR(SUMPRODUCT(('ANALYSE - ERP =&gt; SOUS-SEGMENT'!$C$8:$C$154=$C46)*'ANALYSE - ERP =&gt; SOUS-SEGMENT'!$EE$8:$EE$154*('ANALYSE - ERP =&gt; SOUS-SEGMENT'!$DB$8:$DB$154&gt;0)*'ANALYSE - ERP =&gt; SOUS-SEGMENT'!$DB$8:$DB$154)/SUMPRODUCT(('ANALYSE - ERP =&gt; SOUS-SEGMENT'!$C$8:$C$154=$C46)*'ANALYSE - ERP =&gt; SOUS-SEGMENT'!$EE$8:$EE$154*('ANALYSE - ERP =&gt; SOUS-SEGMENT'!$DB$8:$DB$154&gt;0)),"")</f>
        <v>11</v>
      </c>
      <c r="CZ46" s="883">
        <f>IFERROR(SUMPRODUCT(('ANALYSE - ERP =&gt; SOUS-SEGMENT'!$C$8:$C$154=$C46)*'ANALYSE - ERP =&gt; SOUS-SEGMENT'!$EM$8:$EM$154*('ANALYSE - ERP =&gt; SOUS-SEGMENT'!$DC$8:$DC$154&gt;0)*'ANALYSE - ERP =&gt; SOUS-SEGMENT'!$DC$8:$DC$154)/SUMPRODUCT(('ANALYSE - ERP =&gt; SOUS-SEGMENT'!$C$8:$C$154=$C46)*'ANALYSE - ERP =&gt; SOUS-SEGMENT'!$EM$8:$EM$154*('ANALYSE - ERP =&gt; SOUS-SEGMENT'!$DC$8:$DC$154&gt;0)),"")</f>
        <v>14</v>
      </c>
      <c r="DA46" s="883">
        <f>IFERROR(SUMPRODUCT(('ANALYSE - ERP =&gt; SOUS-SEGMENT'!$C$8:$C$154=$C46)*'ANALYSE - ERP =&gt; SOUS-SEGMENT'!$EN$8:$EN$154*('ANALYSE - ERP =&gt; SOUS-SEGMENT'!$DD$8:$DD$154&gt;0)*'ANALYSE - ERP =&gt; SOUS-SEGMENT'!$DD$8:$DD$154)/SUMPRODUCT(('ANALYSE - ERP =&gt; SOUS-SEGMENT'!$C$8:$C$154=$C46)*'ANALYSE - ERP =&gt; SOUS-SEGMENT'!$EN$8:$EN$154*('ANALYSE - ERP =&gt; SOUS-SEGMENT'!$DD$8:$DD$154&gt;0)),"")</f>
        <v>14</v>
      </c>
      <c r="DB46" s="883">
        <f>IFERROR(SUMPRODUCT(('ANALYSE - ERP =&gt; SOUS-SEGMENT'!$C$8:$C$154=$C46)*'ANALYSE - ERP =&gt; SOUS-SEGMENT'!$EO$8:$EO$154*('ANALYSE - ERP =&gt; SOUS-SEGMENT'!$DE$8:$DE$154&gt;0)*'ANALYSE - ERP =&gt; SOUS-SEGMENT'!$DE$8:$DE$154)/SUMPRODUCT(('ANALYSE - ERP =&gt; SOUS-SEGMENT'!$C$8:$C$154=$C46)*'ANALYSE - ERP =&gt; SOUS-SEGMENT'!$EO$8:$EO$154*('ANALYSE - ERP =&gt; SOUS-SEGMENT'!$DE$8:$DE$154&gt;0)),"")</f>
        <v>10</v>
      </c>
      <c r="DC46" s="317"/>
      <c r="DD46" s="657"/>
      <c r="DE46" s="640">
        <f t="shared" si="2"/>
        <v>8377.25</v>
      </c>
      <c r="DF46" s="640">
        <f t="shared" si="3"/>
        <v>11967.5</v>
      </c>
      <c r="DG46" s="640">
        <f t="shared" si="4"/>
        <v>2393.5</v>
      </c>
      <c r="DH46" s="640">
        <f t="shared" si="5"/>
        <v>1196.75</v>
      </c>
      <c r="DI46" s="317" t="s">
        <v>7475</v>
      </c>
      <c r="DJ46" s="640">
        <f t="shared" si="6"/>
        <v>8347.2000000000007</v>
      </c>
      <c r="DK46" s="640">
        <f t="shared" si="7"/>
        <v>13042.5</v>
      </c>
      <c r="DL46" s="640">
        <f t="shared" si="8"/>
        <v>3391.0499999999993</v>
      </c>
      <c r="DM46" s="640">
        <f t="shared" si="9"/>
        <v>1304.25</v>
      </c>
      <c r="DN46" s="318" t="s">
        <v>7476</v>
      </c>
      <c r="DO46" s="657"/>
      <c r="DP46" s="640">
        <f t="shared" si="10"/>
        <v>0</v>
      </c>
      <c r="DQ46" s="640">
        <f t="shared" si="11"/>
        <v>0</v>
      </c>
      <c r="DR46" s="640">
        <f t="shared" si="12"/>
        <v>0</v>
      </c>
      <c r="DS46" s="318" t="s">
        <v>7477</v>
      </c>
      <c r="DT46" s="640">
        <f t="shared" si="13"/>
        <v>0</v>
      </c>
      <c r="DU46" s="640">
        <f t="shared" si="14"/>
        <v>0</v>
      </c>
      <c r="DV46" s="640">
        <f t="shared" si="15"/>
        <v>0</v>
      </c>
      <c r="DW46" s="318" t="s">
        <v>7477</v>
      </c>
      <c r="DX46" s="657"/>
      <c r="DY46" s="640">
        <f t="shared" si="16"/>
        <v>301.08000000000004</v>
      </c>
      <c r="DZ46" s="640">
        <f t="shared" si="17"/>
        <v>1254.5</v>
      </c>
      <c r="EA46" s="640">
        <f t="shared" si="18"/>
        <v>376.34999999999997</v>
      </c>
      <c r="EB46" s="640">
        <f t="shared" si="19"/>
        <v>577.07000000000005</v>
      </c>
      <c r="EC46" s="318" t="s">
        <v>7477</v>
      </c>
      <c r="ED46" s="640">
        <f t="shared" si="20"/>
        <v>273.3</v>
      </c>
      <c r="EE46" s="640">
        <f t="shared" si="21"/>
        <v>1366.5</v>
      </c>
      <c r="EF46" s="640">
        <f t="shared" si="22"/>
        <v>491.94</v>
      </c>
      <c r="EG46" s="640">
        <f t="shared" si="23"/>
        <v>601.26</v>
      </c>
      <c r="EH46" s="641" t="s">
        <v>7478</v>
      </c>
      <c r="EI46" s="290"/>
      <c r="EJ46" s="640">
        <f t="shared" si="24"/>
        <v>14361</v>
      </c>
      <c r="EK46" s="642">
        <f t="shared" si="25"/>
        <v>7180.5</v>
      </c>
      <c r="EL46" s="642">
        <f t="shared" si="26"/>
        <v>2393.5</v>
      </c>
      <c r="EM46" s="318" t="s">
        <v>7479</v>
      </c>
      <c r="EN46" s="640">
        <f t="shared" si="27"/>
        <v>13564.199999999997</v>
      </c>
      <c r="EO46" s="642">
        <f t="shared" si="28"/>
        <v>8608.0500000000011</v>
      </c>
      <c r="EP46" s="642">
        <f t="shared" si="29"/>
        <v>3912.75</v>
      </c>
      <c r="EQ46" s="318" t="s">
        <v>7480</v>
      </c>
      <c r="ER46" s="657"/>
      <c r="ES46" s="731">
        <f t="shared" si="30"/>
        <v>0.91379835516296071</v>
      </c>
      <c r="ET46" s="731">
        <f t="shared" si="31"/>
        <v>5.5437100213219612E-2</v>
      </c>
      <c r="EU46" s="292">
        <f t="shared" si="32"/>
        <v>17387.980344032632</v>
      </c>
      <c r="EV46" s="292">
        <f t="shared" si="33"/>
        <v>10858.896144032631</v>
      </c>
      <c r="EW46" s="292">
        <f t="shared" si="34"/>
        <v>6529.0842000000011</v>
      </c>
      <c r="EX46" s="292">
        <f t="shared" si="35"/>
        <v>8339.3431896190468</v>
      </c>
      <c r="EY46" s="292">
        <f>SUMPRODUCT(('ANALYSE - ERP =&gt; SOUS-SEGMENT'!$C$8:$C$154=$C46)*'ANALYSE - ERP =&gt; SOUS-SEGMENT'!$Q$8:$Q$154*'ANALYSE - ERP =&gt; SOUS-SEGMENT'!$FB$8:$FB$154)</f>
        <v>5236.7301896190465</v>
      </c>
      <c r="EZ46" s="292">
        <f>SUMPRODUCT(('ANALYSE - ERP =&gt; SOUS-SEGMENT'!$C$8:$C$154=$C46)*'ANALYSE - ERP =&gt; SOUS-SEGMENT'!$Q$8:$Q$154*'ANALYSE - ERP =&gt; SOUS-SEGMENT'!$FC$8:$FC$154)</f>
        <v>3102.6130000000003</v>
      </c>
      <c r="FA46" s="292">
        <f t="shared" si="36"/>
        <v>0</v>
      </c>
      <c r="FB46" s="292">
        <f>SUMPRODUCT(('ANALYSE - ERP =&gt; SOUS-SEGMENT'!$C$8:$C$154=$C46)*'ANALYSE - ERP =&gt; SOUS-SEGMENT'!$Q$8:$Q$154*'ANALYSE - ERP =&gt; SOUS-SEGMENT'!$FE$8:$FE$154)</f>
        <v>0</v>
      </c>
      <c r="FC46" s="292">
        <f>SUMPRODUCT(('ANALYSE - ERP =&gt; SOUS-SEGMENT'!$C$8:$C$154=$C46)*'ANALYSE - ERP =&gt; SOUS-SEGMENT'!$Q$8:$Q$154*'ANALYSE - ERP =&gt; SOUS-SEGMENT'!$FF$8:$FF$154)</f>
        <v>0</v>
      </c>
      <c r="FD46" s="292">
        <f t="shared" si="37"/>
        <v>993.67415669930062</v>
      </c>
      <c r="FE46" s="292">
        <f>SUMPRODUCT(('ANALYSE - ERP =&gt; SOUS-SEGMENT'!$C$8:$C$154=$C46)*'ANALYSE - ERP =&gt; SOUS-SEGMENT'!$Q$8:$Q$154*'ANALYSE - ERP =&gt; SOUS-SEGMENT'!$FH$8:$FH$154)</f>
        <v>669.81595669930061</v>
      </c>
      <c r="FF46" s="292">
        <f>SUMPRODUCT(('ANALYSE - ERP =&gt; SOUS-SEGMENT'!$C$8:$C$154=$C46)*'ANALYSE - ERP =&gt; SOUS-SEGMENT'!$Q$8:$Q$154*'ANALYSE - ERP =&gt; SOUS-SEGMENT'!$FI$8:$FI$154)</f>
        <v>323.85820000000001</v>
      </c>
      <c r="FG46" s="292">
        <f t="shared" si="38"/>
        <v>8054.9629977142849</v>
      </c>
      <c r="FH46" s="292">
        <f>SUMPRODUCT(('ANALYSE - ERP =&gt; SOUS-SEGMENT'!$C$8:$C$154=$C46)*'ANALYSE - ERP =&gt; SOUS-SEGMENT'!$Q$8:$Q$154*'ANALYSE - ERP =&gt; SOUS-SEGMENT'!$FK$8:$FK$154)</f>
        <v>4952.3499977142847</v>
      </c>
      <c r="FI46" s="292">
        <f>SUMPRODUCT(('ANALYSE - ERP =&gt; SOUS-SEGMENT'!$C$8:$C$154=$C46)*'ANALYSE - ERP =&gt; SOUS-SEGMENT'!$Q$8:$Q$154*'ANALYSE - ERP =&gt; SOUS-SEGMENT'!$FL$8:$FL$154)</f>
        <v>3102.6130000000003</v>
      </c>
      <c r="FJ46" s="657"/>
      <c r="FK46" s="319" t="s">
        <v>2616</v>
      </c>
      <c r="FL46" s="731">
        <f>IFERROR(SUMPRODUCT(('ANALYSE - ERP =&gt; SOUS-SEGMENT'!$C$8:$C$154=$C46)*'ANALYSE - ERP =&gt; SOUS-SEGMENT'!$Q$8:$Q$154*'ANALYSE - ERP =&gt; SOUS-SEGMENT'!$AF$8:$AF$154*'ANALYSE - ERP =&gt; SOUS-SEGMENT'!$FO$8:$FO$154)/SUMPRODUCT(('ANALYSE - ERP =&gt; SOUS-SEGMENT'!$C$8:$C$154=$C46)*'ANALYSE - ERP =&gt; SOUS-SEGMENT'!$Q$8:$Q$154*'ANALYSE - ERP =&gt; SOUS-SEGMENT'!$AF$8:$AF$154),"")</f>
        <v>3.9800000000000002E-2</v>
      </c>
      <c r="FM46" s="778">
        <f>IFERROR(SUMPRODUCT(('ANALYSE - ERP =&gt; SOUS-SEGMENT'!$C$8:$C$154=$C46)*'ANALYSE - ERP =&gt; SOUS-SEGMENT'!$Q$8:$Q$154*'ANALYSE - ERP =&gt; SOUS-SEGMENT'!$AF$8:$AF$154*'ANALYSE - ERP =&gt; SOUS-SEGMENT'!$FP$8:$FP$154)/SUMPRODUCT(('ANALYSE - ERP =&gt; SOUS-SEGMENT'!$C$8:$C$154=$C46)*'ANALYSE - ERP =&gt; SOUS-SEGMENT'!$Q$8:$Q$154*'ANALYSE - ERP =&gt; SOUS-SEGMENT'!$AF$8:$AF$154),"")</f>
        <v>0.76240000000000008</v>
      </c>
      <c r="FN46" s="320" t="s">
        <v>5204</v>
      </c>
      <c r="FO46" s="657"/>
      <c r="FP46" s="887">
        <f>IFERROR(SUMPRODUCT(('ANALYSE - ERP =&gt; SOUS-SEGMENT'!$C$8:$C$154=$C46)*'ANALYSE - ERP =&gt; SOUS-SEGMENT'!$Q$8:$Q$154*'ANALYSE - ERP =&gt; SOUS-SEGMENT'!$EX$8:$EX$154*'ANALYSE - ERP =&gt; SOUS-SEGMENT'!$FS$8:$FS$154)/SUMPRODUCT(('ANALYSE - ERP =&gt; SOUS-SEGMENT'!$C$8:$C$154=$C46)*'ANALYSE - ERP =&gt; SOUS-SEGMENT'!$Q$8:$Q$154*'ANALYSE - ERP =&gt; SOUS-SEGMENT'!$EX$8:$EX$154),"")</f>
        <v>2.83</v>
      </c>
      <c r="FQ46" s="295">
        <f>RANK($FP46,$FP$8:$FP$143,0)+COUNTIF($FP$8:$FP46,$FP46)-1</f>
        <v>33</v>
      </c>
      <c r="FR46" s="887">
        <f>IFERROR(SUMPRODUCT(('ANALYSE - ERP =&gt; SOUS-SEGMENT'!$C$8:$C$154=$C46)*'ANALYSE - ERP =&gt; SOUS-SEGMENT'!$Q$8:$Q$154*'ANALYSE - ERP =&gt; SOUS-SEGMENT'!$EY$8:$EY$154*'ANALYSE - ERP =&gt; SOUS-SEGMENT'!$FU$8:$FU$154)/SUMPRODUCT(('ANALYSE - ERP =&gt; SOUS-SEGMENT'!$C$8:$C$154=$C46)*'ANALYSE - ERP =&gt; SOUS-SEGMENT'!$Q$8:$Q$154*'ANALYSE - ERP =&gt; SOUS-SEGMENT'!$EY$8:$EY$154),"")</f>
        <v>3.4</v>
      </c>
      <c r="FS46" s="295">
        <f>RANK($FR46,$FR$8:$FR$143,0)+COUNTIF($FR$8:$FR46,$FR46)-1</f>
        <v>33</v>
      </c>
      <c r="FT46" s="887">
        <f>IFERROR(SUMPRODUCT(('ANALYSE - ERP =&gt; SOUS-SEGMENT'!$C$8:$C$154=$C46)*'ANALYSE - ERP =&gt; SOUS-SEGMENT'!$Q$8:$Q$154*'ANALYSE - ERP =&gt; SOUS-SEGMENT'!$EZ$8:$EZ$154*'ANALYSE - ERP =&gt; SOUS-SEGMENT'!$FW$8:$FW$154)/SUMPRODUCT(('ANALYSE - ERP =&gt; SOUS-SEGMENT'!$C$8:$C$154=$C46)*'ANALYSE - ERP =&gt; SOUS-SEGMENT'!$Q$8:$Q$154*'ANALYSE - ERP =&gt; SOUS-SEGMENT'!$EZ$8:$EZ$154),"")</f>
        <v>1.8199999999999998</v>
      </c>
      <c r="FU46" s="295">
        <f>RANK($FT46,$FT$8:$FT$143,0)+COUNTIF($FT$8:$FT46,$FT46)-1</f>
        <v>30</v>
      </c>
      <c r="FV46" s="657"/>
      <c r="FW46" s="321" t="s">
        <v>7481</v>
      </c>
      <c r="FX46" s="321" t="s">
        <v>7482</v>
      </c>
      <c r="FY46" s="321" t="s">
        <v>7483</v>
      </c>
      <c r="FZ46" s="321" t="s">
        <v>7484</v>
      </c>
      <c r="GA46" s="321" t="s">
        <v>7485</v>
      </c>
      <c r="GB46" s="321" t="s">
        <v>7486</v>
      </c>
      <c r="GC46" s="321" t="s">
        <v>6759</v>
      </c>
      <c r="GD46" s="657"/>
      <c r="GE46" s="292">
        <f>SUMPRODUCT(('ANALYSE - ERP =&gt; SOUS-SEGMENT'!$C$8:$C$154=$C46)*'ANALYSE - ERP =&gt; SOUS-SEGMENT'!$Q$8:$Q$154*'ANALYSE - ERP =&gt; SOUS-SEGMENT'!$GH$8:$GH$154)</f>
        <v>2827.3611600000004</v>
      </c>
      <c r="GF46" s="292">
        <f>SUMPRODUCT(('ANALYSE - ERP =&gt; SOUS-SEGMENT'!$C$8:$C$154=$C46)*'ANALYSE - ERP =&gt; SOUS-SEGMENT'!$Q$8:$Q$154*'ANALYSE - ERP =&gt; SOUS-SEGMENT'!$GI$8:$GI$154)</f>
        <v>1834.5250000000001</v>
      </c>
      <c r="GG46" s="292">
        <f>SUMPRODUCT(('ANALYSE - ERP =&gt; SOUS-SEGMENT'!$C$8:$C$154=$C46)*'ANALYSE - ERP =&gt; SOUS-SEGMENT'!$Q$8:$Q$154*'ANALYSE - ERP =&gt; SOUS-SEGMENT'!$GJ$8:$GJ$154)</f>
        <v>992.83616000000006</v>
      </c>
      <c r="GH46" s="292">
        <f>SUMPRODUCT(('ANALYSE - ERP =&gt; SOUS-SEGMENT'!$C$8:$C$154=$C46)*'ANALYSE - ERP =&gt; SOUS-SEGMENT'!$Q$8:$Q$154*'ANALYSE - ERP =&gt; SOUS-SEGMENT'!$GK$8:$GK$154)</f>
        <v>3863.9652142857144</v>
      </c>
      <c r="GI46" s="292">
        <f>SUMPRODUCT(('ANALYSE - ERP =&gt; SOUS-SEGMENT'!$C$8:$C$154=$C46)*'ANALYSE - ERP =&gt; SOUS-SEGMENT'!$Q$8:$Q$154*'ANALYSE - ERP =&gt; SOUS-SEGMENT'!$GL$8:$GL$154)</f>
        <v>2312.6587142857143</v>
      </c>
      <c r="GJ46" s="292">
        <f>SUMPRODUCT(('ANALYSE - ERP =&gt; SOUS-SEGMENT'!$C$8:$C$154=$C46)*'ANALYSE - ERP =&gt; SOUS-SEGMENT'!$Q$8:$Q$154*'ANALYSE - ERP =&gt; SOUS-SEGMENT'!$GM$8:$GM$154)</f>
        <v>1551.3065000000001</v>
      </c>
      <c r="GK46" s="292">
        <f>SUMPRODUCT(('ANALYSE - ERP =&gt; SOUS-SEGMENT'!$C$8:$C$154=$C46)*'ANALYSE - ERP =&gt; SOUS-SEGMENT'!$Q$8:$Q$154*'ANALYSE - ERP =&gt; SOUS-SEGMENT'!$GN$8:$GN$154)</f>
        <v>1192.9040019999998</v>
      </c>
      <c r="GL46" s="292">
        <f>SUMPRODUCT(('ANALYSE - ERP =&gt; SOUS-SEGMENT'!$C$8:$C$154=$C46)*'ANALYSE - ERP =&gt; SOUS-SEGMENT'!$Q$8:$Q$154*'ANALYSE - ERP =&gt; SOUS-SEGMENT'!$GO$8:$GO$154)</f>
        <v>789.56431199999997</v>
      </c>
      <c r="GM46" s="292">
        <f>SUMPRODUCT(('ANALYSE - ERP =&gt; SOUS-SEGMENT'!$C$8:$C$154=$C46)*'ANALYSE - ERP =&gt; SOUS-SEGMENT'!$Q$8:$Q$154*'ANALYSE - ERP =&gt; SOUS-SEGMENT'!$GP$8:$GP$154)</f>
        <v>403.33969000000002</v>
      </c>
      <c r="GN46" s="292">
        <f>SUMPRODUCT(('ANALYSE - ERP =&gt; SOUS-SEGMENT'!$C$8:$C$154=$C46)*'ANALYSE - ERP =&gt; SOUS-SEGMENT'!$Q$8:$Q$154*'ANALYSE - ERP =&gt; SOUS-SEGMENT'!$GQ$8:$GQ$154)</f>
        <v>455.11281333333335</v>
      </c>
      <c r="GO46" s="292">
        <f>SUMPRODUCT(('ANALYSE - ERP =&gt; SOUS-SEGMENT'!$C$8:$C$154=$C46)*'ANALYSE - ERP =&gt; SOUS-SEGMENT'!$Q$8:$Q$154*'ANALYSE - ERP =&gt; SOUS-SEGMENT'!$GR$8:$GR$154)</f>
        <v>299.98216333333335</v>
      </c>
      <c r="GP46" s="292">
        <f>SUMPRODUCT(('ANALYSE - ERP =&gt; SOUS-SEGMENT'!$C$8:$C$154=$C46)*'ANALYSE - ERP =&gt; SOUS-SEGMENT'!$Q$8:$Q$154*'ANALYSE - ERP =&gt; SOUS-SEGMENT'!$GS$8:$GS$154)</f>
        <v>155.13065</v>
      </c>
      <c r="GQ46" s="292">
        <f>SUMPRODUCT(('ANALYSE - ERP =&gt; SOUS-SEGMENT'!$C$8:$C$154=$C46)*'ANALYSE - ERP =&gt; SOUS-SEGMENT'!$Q$8:$Q$154*'ANALYSE - ERP =&gt; SOUS-SEGMENT'!$GT$8:$GT$154)</f>
        <v>0</v>
      </c>
      <c r="GR46" s="292">
        <f>SUMPRODUCT(('ANALYSE - ERP =&gt; SOUS-SEGMENT'!$C$8:$C$154=$C46)*'ANALYSE - ERP =&gt; SOUS-SEGMENT'!$Q$8:$Q$154*'ANALYSE - ERP =&gt; SOUS-SEGMENT'!$GU$8:$GU$154)</f>
        <v>0</v>
      </c>
      <c r="GS46" s="292">
        <f>SUMPRODUCT(('ANALYSE - ERP =&gt; SOUS-SEGMENT'!$C$8:$C$154=$C46)*'ANALYSE - ERP =&gt; SOUS-SEGMENT'!$Q$8:$Q$154*'ANALYSE - ERP =&gt; SOUS-SEGMENT'!$GV$8:$GV$154)</f>
        <v>0</v>
      </c>
      <c r="GT46" s="292">
        <f>SUMPRODUCT(('ANALYSE - ERP =&gt; SOUS-SEGMENT'!$C$8:$C$154=$C46)*'ANALYSE - ERP =&gt; SOUS-SEGMENT'!$Q$8:$Q$154*'ANALYSE - ERP =&gt; SOUS-SEGMENT'!$GW$8:$GW$154)</f>
        <v>0</v>
      </c>
      <c r="GU46" s="292">
        <f>SUMPRODUCT(('ANALYSE - ERP =&gt; SOUS-SEGMENT'!$C$8:$C$154=$C46)*'ANALYSE - ERP =&gt; SOUS-SEGMENT'!$Q$8:$Q$154*'ANALYSE - ERP =&gt; SOUS-SEGMENT'!$GX$8:$GX$154)</f>
        <v>0</v>
      </c>
      <c r="GV46" s="292">
        <f>SUMPRODUCT(('ANALYSE - ERP =&gt; SOUS-SEGMENT'!$C$8:$C$154=$C46)*'ANALYSE - ERP =&gt; SOUS-SEGMENT'!$Q$8:$Q$154*'ANALYSE - ERP =&gt; SOUS-SEGMENT'!$GY$8:$GY$154)</f>
        <v>0</v>
      </c>
      <c r="GW46" s="292">
        <f>SUMPRODUCT(('ANALYSE - ERP =&gt; SOUS-SEGMENT'!$C$8:$C$154=$C46)*'ANALYSE - ERP =&gt; SOUS-SEGMENT'!$Q$8:$Q$154*'ANALYSE - ERP =&gt; SOUS-SEGMENT'!$GZ$8:$GZ$154)</f>
        <v>0</v>
      </c>
      <c r="GX46" s="292">
        <f>SUMPRODUCT(('ANALYSE - ERP =&gt; SOUS-SEGMENT'!$C$8:$C$154=$C46)*'ANALYSE - ERP =&gt; SOUS-SEGMENT'!$Q$8:$Q$154*'ANALYSE - ERP =&gt; SOUS-SEGMENT'!$HA$8:$HA$154)</f>
        <v>0</v>
      </c>
      <c r="GY46" s="292">
        <f>SUMPRODUCT(('ANALYSE - ERP =&gt; SOUS-SEGMENT'!$C$8:$C$154=$C46)*'ANALYSE - ERP =&gt; SOUS-SEGMENT'!$Q$8:$Q$154*'ANALYSE - ERP =&gt; SOUS-SEGMENT'!$HB$8:$HB$154)</f>
        <v>0</v>
      </c>
      <c r="GZ46" s="292">
        <f>SUMPRODUCT(('ANALYSE - ERP =&gt; SOUS-SEGMENT'!$C$8:$C$154=$C46)*'ANALYSE - ERP =&gt; SOUS-SEGMENT'!$Q$8:$Q$154*'ANALYSE - ERP =&gt; SOUS-SEGMENT'!$HC$8:$HC$154)</f>
        <v>119.58053767272727</v>
      </c>
      <c r="HA46" s="292">
        <f>SUMPRODUCT(('ANALYSE - ERP =&gt; SOUS-SEGMENT'!$C$8:$C$154=$C46)*'ANALYSE - ERP =&gt; SOUS-SEGMENT'!$Q$8:$Q$154*'ANALYSE - ERP =&gt; SOUS-SEGMENT'!$HD$8:$HD$154)</f>
        <v>87.194717672727265</v>
      </c>
      <c r="HB46" s="292">
        <f>SUMPRODUCT(('ANALYSE - ERP =&gt; SOUS-SEGMENT'!$C$8:$C$154=$C46)*'ANALYSE - ERP =&gt; SOUS-SEGMENT'!$Q$8:$Q$154*'ANALYSE - ERP =&gt; SOUS-SEGMENT'!$HE$8:$HE$154)</f>
        <v>32.385820000000002</v>
      </c>
      <c r="HC46" s="292">
        <f>SUMPRODUCT(('ANALYSE - ERP =&gt; SOUS-SEGMENT'!$C$8:$C$154=$C46)*'ANALYSE - ERP =&gt; SOUS-SEGMENT'!$Q$8:$Q$154*'ANALYSE - ERP =&gt; SOUS-SEGMENT'!$HF$8:$HF$154)</f>
        <v>436.07054615384612</v>
      </c>
      <c r="HD46" s="292">
        <f>SUMPRODUCT(('ANALYSE - ERP =&gt; SOUS-SEGMENT'!$C$8:$C$154=$C46)*'ANALYSE - ERP =&gt; SOUS-SEGMENT'!$Q$8:$Q$154*'ANALYSE - ERP =&gt; SOUS-SEGMENT'!$HG$8:$HG$154)</f>
        <v>274.14144615384612</v>
      </c>
      <c r="HE46" s="292">
        <f>SUMPRODUCT(('ANALYSE - ERP =&gt; SOUS-SEGMENT'!$C$8:$C$154=$C46)*'ANALYSE - ERP =&gt; SOUS-SEGMENT'!$Q$8:$Q$154*'ANALYSE - ERP =&gt; SOUS-SEGMENT'!$HH$8:$HH$154)</f>
        <v>161.92910000000001</v>
      </c>
      <c r="HF46" s="292">
        <f>SUMPRODUCT(('ANALYSE - ERP =&gt; SOUS-SEGMENT'!$C$8:$C$154=$C46)*'ANALYSE - ERP =&gt; SOUS-SEGMENT'!$Q$8:$Q$154*'ANALYSE - ERP =&gt; SOUS-SEGMENT'!$HI$8:$HI$154)</f>
        <v>199.65105999999997</v>
      </c>
      <c r="HG46" s="292">
        <f>SUMPRODUCT(('ANALYSE - ERP =&gt; SOUS-SEGMENT'!$C$8:$C$154=$C46)*'ANALYSE - ERP =&gt; SOUS-SEGMENT'!$Q$8:$Q$154*'ANALYSE - ERP =&gt; SOUS-SEGMENT'!$HJ$8:$HJ$154)</f>
        <v>141.356584</v>
      </c>
      <c r="HH46" s="292">
        <f>SUMPRODUCT(('ANALYSE - ERP =&gt; SOUS-SEGMENT'!$C$8:$C$154=$C46)*'ANALYSE - ERP =&gt; SOUS-SEGMENT'!$Q$8:$Q$154*'ANALYSE - ERP =&gt; SOUS-SEGMENT'!$HK$8:$HK$154)</f>
        <v>58.294475999999996</v>
      </c>
      <c r="HI46" s="292">
        <f>SUMPRODUCT(('ANALYSE - ERP =&gt; SOUS-SEGMENT'!$C$8:$C$154=$C46)*'ANALYSE - ERP =&gt; SOUS-SEGMENT'!$Q$8:$Q$154*'ANALYSE - ERP =&gt; SOUS-SEGMENT'!$HL$8:$HL$154)</f>
        <v>238.37201287272725</v>
      </c>
      <c r="HJ46" s="292">
        <f>SUMPRODUCT(('ANALYSE - ERP =&gt; SOUS-SEGMENT'!$C$8:$C$154=$C46)*'ANALYSE - ERP =&gt; SOUS-SEGMENT'!$Q$8:$Q$154*'ANALYSE - ERP =&gt; SOUS-SEGMENT'!$HM$8:$HM$154)</f>
        <v>167.12320887272728</v>
      </c>
      <c r="HK46" s="292">
        <f>SUMPRODUCT(('ANALYSE - ERP =&gt; SOUS-SEGMENT'!$C$8:$C$154=$C46)*'ANALYSE - ERP =&gt; SOUS-SEGMENT'!$Q$8:$Q$154*'ANALYSE - ERP =&gt; SOUS-SEGMENT'!$HN$8:$HN$154)</f>
        <v>71.248803999999993</v>
      </c>
      <c r="HL46" s="292">
        <f>SUMPRODUCT(('ANALYSE - ERP =&gt; SOUS-SEGMENT'!$C$8:$C$154=$C46)*'ANALYSE - ERP =&gt; SOUS-SEGMENT'!$Q$8:$Q$154*'ANALYSE - ERP =&gt; SOUS-SEGMENT'!$HO$8:$HO$154)</f>
        <v>4388.5492171428577</v>
      </c>
      <c r="HM46" s="292">
        <f>SUMPRODUCT(('ANALYSE - ERP =&gt; SOUS-SEGMENT'!$C$8:$C$154=$C46)*'ANALYSE - ERP =&gt; SOUS-SEGMENT'!$Q$8:$Q$154*'ANALYSE - ERP =&gt; SOUS-SEGMENT'!$HP$8:$HP$154)</f>
        <v>2775.1904571428568</v>
      </c>
      <c r="HN46" s="292">
        <f>SUMPRODUCT(('ANALYSE - ERP =&gt; SOUS-SEGMENT'!$C$8:$C$154=$C46)*'ANALYSE - ERP =&gt; SOUS-SEGMENT'!$Q$8:$Q$154*'ANALYSE - ERP =&gt; SOUS-SEGMENT'!$HQ$8:$HQ$154)</f>
        <v>1613.3587600000001</v>
      </c>
      <c r="HO46" s="292">
        <f>SUMPRODUCT(('ANALYSE - ERP =&gt; SOUS-SEGMENT'!$C$8:$C$154=$C46)*'ANALYSE - ERP =&gt; SOUS-SEGMENT'!$Q$8:$Q$154*'ANALYSE - ERP =&gt; SOUS-SEGMENT'!$HR$8:$HR$154)</f>
        <v>2411.4575185714284</v>
      </c>
      <c r="HP46" s="292">
        <f>SUMPRODUCT(('ANALYSE - ERP =&gt; SOUS-SEGMENT'!$C$8:$C$154=$C46)*'ANALYSE - ERP =&gt; SOUS-SEGMENT'!$Q$8:$Q$154*'ANALYSE - ERP =&gt; SOUS-SEGMENT'!$HS$8:$HS$154)</f>
        <v>1387.5952285714284</v>
      </c>
      <c r="HQ46" s="292">
        <f>SUMPRODUCT(('ANALYSE - ERP =&gt; SOUS-SEGMENT'!$C$8:$C$154=$C46)*'ANALYSE - ERP =&gt; SOUS-SEGMENT'!$Q$8:$Q$154*'ANALYSE - ERP =&gt; SOUS-SEGMENT'!$HT$8:$HT$154)</f>
        <v>1023.86229</v>
      </c>
      <c r="HR46" s="292">
        <f>SUMPRODUCT(('ANALYSE - ERP =&gt; SOUS-SEGMENT'!$C$8:$C$154=$C46)*'ANALYSE - ERP =&gt; SOUS-SEGMENT'!$Q$8:$Q$154*'ANALYSE - ERP =&gt; SOUS-SEGMENT'!$HU$8:$HU$154)</f>
        <v>1254.9562619999997</v>
      </c>
      <c r="HS46" s="292">
        <f>SUMPRODUCT(('ANALYSE - ERP =&gt; SOUS-SEGMENT'!$C$8:$C$154=$C46)*'ANALYSE - ERP =&gt; SOUS-SEGMENT'!$Q$8:$Q$154*'ANALYSE - ERP =&gt; SOUS-SEGMENT'!$HV$8:$HV$154)</f>
        <v>789.56431199999997</v>
      </c>
      <c r="HT46" s="292">
        <f>SUMPRODUCT(('ANALYSE - ERP =&gt; SOUS-SEGMENT'!$C$8:$C$154=$C46)*'ANALYSE - ERP =&gt; SOUS-SEGMENT'!$Q$8:$Q$154*'ANALYSE - ERP =&gt; SOUS-SEGMENT'!$HW$8:$HW$154)</f>
        <v>465.39194999999995</v>
      </c>
      <c r="HU46" s="676"/>
      <c r="HV46" s="297">
        <f t="shared" si="40"/>
        <v>0</v>
      </c>
      <c r="HW46" s="297">
        <f>SUMPRODUCT(('ANALYSE - ERP =&gt; SOUS-SEGMENT'!$C$8:$C$154=$C46)*'ANALYSE - ERP =&gt; SOUS-SEGMENT'!$Q$8:$Q$154*'ANALYSE - ERP =&gt; SOUS-SEGMENT'!$HZ$8:$HZ$154)</f>
        <v>1510.8049999999998</v>
      </c>
      <c r="HX46" s="297">
        <f>SUMPRODUCT(('ANALYSE - ERP =&gt; SOUS-SEGMENT'!$C$8:$C$154=$C46)*'ANALYSE - ERP =&gt; SOUS-SEGMENT'!$Q$8:$Q$154*'ANALYSE - ERP =&gt; SOUS-SEGMENT'!$IA$8:$IA$154)</f>
        <v>19626.9087</v>
      </c>
      <c r="HY46" s="297">
        <f>SUMPRODUCT(('ANALYSE - ERP =&gt; SOUS-SEGMENT'!$C$8:$C$154=$C46)*'ANALYSE - ERP =&gt; SOUS-SEGMENT'!$Q$8:$Q$154*'ANALYSE - ERP =&gt; SOUS-SEGMENT'!$IB$8:$IB$154)</f>
        <v>23873.181800000002</v>
      </c>
      <c r="HZ46" s="297">
        <f>SUMPRODUCT(('ANALYSE - ERP =&gt; SOUS-SEGMENT'!$C$8:$C$154=$C46)*'ANALYSE - ERP =&gt; SOUS-SEGMENT'!$Q$8:$Q$154*'ANALYSE - ERP =&gt; SOUS-SEGMENT'!$IC$8:$IC$154)</f>
        <v>3090.1044999999999</v>
      </c>
      <c r="IA46" s="297">
        <f>SUMPRODUCT(('ANALYSE - ERP =&gt; SOUS-SEGMENT'!$C$8:$C$154=$C46)*'ANALYSE - ERP =&gt; SOUS-SEGMENT'!$Q$8:$Q$154*'ANALYSE - ERP =&gt; SOUS-SEGMENT'!$ID$8:$ID$154)</f>
        <v>0</v>
      </c>
      <c r="IB46" s="297">
        <f>SUMPRODUCT(('ANALYSE - ERP =&gt; SOUS-SEGMENT'!$C$8:$C$154=$C46)*'ANALYSE - ERP =&gt; SOUS-SEGMENT'!$Q$8:$Q$154*'ANALYSE - ERP =&gt; SOUS-SEGMENT'!$IE$8:$IE$154)</f>
        <v>10247.697817822842</v>
      </c>
      <c r="IC46" s="297">
        <f>SUMPRODUCT(('ANALYSE - ERP =&gt; SOUS-SEGMENT'!$C$8:$C$154=$C46)*'ANALYSE - ERP =&gt; SOUS-SEGMENT'!$Q$8:$Q$154*'ANALYSE - ERP =&gt; SOUS-SEGMENT'!$IF$8:$IF$154)</f>
        <v>150.57731410284919</v>
      </c>
      <c r="ID46" s="297">
        <f>SUMPRODUCT(('ANALYSE - ERP =&gt; SOUS-SEGMENT'!$C$8:$C$154=$C46)*'ANALYSE - ERP =&gt; SOUS-SEGMENT'!$Q$8:$Q$154*'ANALYSE - ERP =&gt; SOUS-SEGMENT'!$IG$8:$IG$154)</f>
        <v>3972.5286626098405</v>
      </c>
      <c r="IE46" s="297">
        <f>SUMPRODUCT(('ANALYSE - ERP =&gt; SOUS-SEGMENT'!$C$8:$C$154=$C46)*'ANALYSE - ERP =&gt; SOUS-SEGMENT'!$Q$8:$Q$154*'ANALYSE - ERP =&gt; SOUS-SEGMENT'!$IH$8:$IH$154)</f>
        <v>5256.9419651459475</v>
      </c>
      <c r="IF46" s="297">
        <f>SUMPRODUCT(('ANALYSE - ERP =&gt; SOUS-SEGMENT'!$C$8:$C$154=$C46)*'ANALYSE - ERP =&gt; SOUS-SEGMENT'!$Q$8:$Q$154*'ANALYSE - ERP =&gt; SOUS-SEGMENT'!$II$8:$II$154)</f>
        <v>830.7464402939454</v>
      </c>
      <c r="IG46" s="297">
        <f>SUMPRODUCT(('ANALYSE - ERP =&gt; SOUS-SEGMENT'!$C$8:$C$154=$C46)*'ANALYSE - ERP =&gt; SOUS-SEGMENT'!$Q$8:$Q$154*'ANALYSE - ERP =&gt; SOUS-SEGMENT'!$IJ$8:$IJ$154)</f>
        <v>36.903435670260137</v>
      </c>
      <c r="IH46" s="912"/>
      <c r="II46" s="643" t="s">
        <v>2780</v>
      </c>
      <c r="IJ46" s="322" t="s">
        <v>6760</v>
      </c>
      <c r="IK46" s="657"/>
      <c r="IL46" s="733">
        <f>IFERROR(SUMPRODUCT(('ANALYSE - ERP =&gt; SOUS-SEGMENT'!$C$8:$C$154=$C46)*'ANALYSE - ERP =&gt; SOUS-SEGMENT'!$Q$8:$Q$154*'ANALYSE - ERP =&gt; SOUS-SEGMENT'!$BE$8:$BE$154*'ANALYSE - ERP =&gt; SOUS-SEGMENT'!$IO$8:$IO$154)/SUMPRODUCT(('ANALYSE - ERP =&gt; SOUS-SEGMENT'!$C$8:$C$154=$C46)*'ANALYSE - ERP =&gt; SOUS-SEGMENT'!$Q$8:$Q$154*'ANALYSE - ERP =&gt; SOUS-SEGMENT'!$BE$8:$BE$154),0)</f>
        <v>0.03</v>
      </c>
      <c r="IM46" s="733">
        <f>IFERROR(SUMPRODUCT(('ANALYSE - ERP =&gt; SOUS-SEGMENT'!$C$8:$C$154=$C46)*'ANALYSE - ERP =&gt; SOUS-SEGMENT'!$Q$8:$Q$154*'ANALYSE - ERP =&gt; SOUS-SEGMENT'!$BE$8:$BE$154*'ANALYSE - ERP =&gt; SOUS-SEGMENT'!$IP$8:$IP$154)/SUMPRODUCT(('ANALYSE - ERP =&gt; SOUS-SEGMENT'!$C$8:$C$154=$C46)*'ANALYSE - ERP =&gt; SOUS-SEGMENT'!$Q$8:$Q$154*'ANALYSE - ERP =&gt; SOUS-SEGMENT'!$BE$8:$BE$154),0)</f>
        <v>0.4</v>
      </c>
      <c r="IN46" s="733">
        <f>IFERROR(SUMPRODUCT(('ANALYSE - ERP =&gt; SOUS-SEGMENT'!$C$8:$C$154=$C46)*'ANALYSE - ERP =&gt; SOUS-SEGMENT'!$Q$8:$Q$154*'ANALYSE - ERP =&gt; SOUS-SEGMENT'!$BE$8:$BE$154*'ANALYSE - ERP =&gt; SOUS-SEGMENT'!$IQ$8:$IQ$154)/SUMPRODUCT(('ANALYSE - ERP =&gt; SOUS-SEGMENT'!$C$8:$C$154=$C46)*'ANALYSE - ERP =&gt; SOUS-SEGMENT'!$Q$8:$Q$154*'ANALYSE - ERP =&gt; SOUS-SEGMENT'!$BE$8:$BE$154),0)</f>
        <v>0.5</v>
      </c>
      <c r="IO46" s="733">
        <f>IFERROR(SUMPRODUCT(('ANALYSE - ERP =&gt; SOUS-SEGMENT'!$C$8:$C$154=$C46)*'ANALYSE - ERP =&gt; SOUS-SEGMENT'!$Q$8:$Q$154*'ANALYSE - ERP =&gt; SOUS-SEGMENT'!$BE$8:$BE$154*'ANALYSE - ERP =&gt; SOUS-SEGMENT'!$IR$8:$IR$154)/SUMPRODUCT(('ANALYSE - ERP =&gt; SOUS-SEGMENT'!$C$8:$C$154=$C46)*'ANALYSE - ERP =&gt; SOUS-SEGMENT'!$Q$8:$Q$154*'ANALYSE - ERP =&gt; SOUS-SEGMENT'!$BE$8:$BE$154),0)</f>
        <v>7.0000000000000007E-2</v>
      </c>
      <c r="IP46" s="733">
        <f>IFERROR(SUMPRODUCT(('ANALYSE - ERP =&gt; SOUS-SEGMENT'!$C$8:$C$154=$C46)*'ANALYSE - ERP =&gt; SOUS-SEGMENT'!$Q$8:$Q$154*'ANALYSE - ERP =&gt; SOUS-SEGMENT'!$BE$8:$BE$154*'ANALYSE - ERP =&gt; SOUS-SEGMENT'!$IS$8:$IS$154)/SUMPRODUCT(('ANALYSE - ERP =&gt; SOUS-SEGMENT'!$C$8:$C$154=$C46)*'ANALYSE - ERP =&gt; SOUS-SEGMENT'!$Q$8:$Q$154*'ANALYSE - ERP =&gt; SOUS-SEGMENT'!$BE$8:$BE$154),0)</f>
        <v>0</v>
      </c>
      <c r="IQ46" s="733">
        <f>IFERROR(SUMPRODUCT(('ANALYSE - ERP =&gt; SOUS-SEGMENT'!$C$8:$C$154=$C46)*'ANALYSE - ERP =&gt; SOUS-SEGMENT'!$Q$8:$Q$154*'ANALYSE - ERP =&gt; SOUS-SEGMENT'!$FB$8:$FB$154*'ANALYSE - ERP =&gt; SOUS-SEGMENT'!$IT$8:$IT$154)/SUMPRODUCT(('ANALYSE - ERP =&gt; SOUS-SEGMENT'!$C$8:$C$154=$C46)*'ANALYSE - ERP =&gt; SOUS-SEGMENT'!$Q$8:$Q$154*'ANALYSE - ERP =&gt; SOUS-SEGMENT'!$FB$8:$FB$154),0)</f>
        <v>1.3299999999999999E-2</v>
      </c>
      <c r="IR46" s="733">
        <f>IFERROR(SUMPRODUCT(('ANALYSE - ERP =&gt; SOUS-SEGMENT'!$C$8:$C$154=$C46)*'ANALYSE - ERP =&gt; SOUS-SEGMENT'!$Q$8:$Q$154*'ANALYSE - ERP =&gt; SOUS-SEGMENT'!$FB$8:$FB$154*'ANALYSE - ERP =&gt; SOUS-SEGMENT'!$IU$8:$IU$154)/SUMPRODUCT(('ANALYSE - ERP =&gt; SOUS-SEGMENT'!$C$8:$C$154=$C46)*'ANALYSE - ERP =&gt; SOUS-SEGMENT'!$Q$8:$Q$154*'ANALYSE - ERP =&gt; SOUS-SEGMENT'!$FB$8:$FB$154),0)</f>
        <v>0.37970000000000004</v>
      </c>
      <c r="IS46" s="733">
        <f>IFERROR(SUMPRODUCT(('ANALYSE - ERP =&gt; SOUS-SEGMENT'!$C$8:$C$154=$C46)*'ANALYSE - ERP =&gt; SOUS-SEGMENT'!$Q$8:$Q$154*'ANALYSE - ERP =&gt; SOUS-SEGMENT'!$FB$8:$FB$154*'ANALYSE - ERP =&gt; SOUS-SEGMENT'!$IV$8:$IV$154)/SUMPRODUCT(('ANALYSE - ERP =&gt; SOUS-SEGMENT'!$C$8:$C$154=$C46)*'ANALYSE - ERP =&gt; SOUS-SEGMENT'!$Q$8:$Q$154*'ANALYSE - ERP =&gt; SOUS-SEGMENT'!$FB$8:$FB$154),0)</f>
        <v>0.51670000000000016</v>
      </c>
      <c r="IT46" s="733">
        <f>IFERROR(SUMPRODUCT(('ANALYSE - ERP =&gt; SOUS-SEGMENT'!$C$8:$C$154=$C46)*'ANALYSE - ERP =&gt; SOUS-SEGMENT'!$Q$8:$Q$154*'ANALYSE - ERP =&gt; SOUS-SEGMENT'!$FB$8:$FB$154*'ANALYSE - ERP =&gt; SOUS-SEGMENT'!$IW$8:$IW$154)/SUMPRODUCT(('ANALYSE - ERP =&gt; SOUS-SEGMENT'!$C$8:$C$154=$C46)*'ANALYSE - ERP =&gt; SOUS-SEGMENT'!$Q$8:$Q$154*'ANALYSE - ERP =&gt; SOUS-SEGMENT'!$FB$8:$FB$154),0)</f>
        <v>8.6700000000000013E-2</v>
      </c>
      <c r="IU46" s="733">
        <f>IFERROR(SUMPRODUCT(('ANALYSE - ERP =&gt; SOUS-SEGMENT'!$C$8:$C$154=$C46)*'ANALYSE - ERP =&gt; SOUS-SEGMENT'!$Q$8:$Q$154*'ANALYSE - ERP =&gt; SOUS-SEGMENT'!$FB$8:$FB$154*'ANALYSE - ERP =&gt; SOUS-SEGMENT'!$IX$8:$IX$154)/SUMPRODUCT(('ANALYSE - ERP =&gt; SOUS-SEGMENT'!$C$8:$C$154=$C46)*'ANALYSE - ERP =&gt; SOUS-SEGMENT'!$Q$8:$Q$154*'ANALYSE - ERP =&gt; SOUS-SEGMENT'!$FB$8:$FB$154),0)</f>
        <v>3.5999999999999999E-3</v>
      </c>
      <c r="IV46" s="733">
        <f>IFERROR(SUMPRODUCT(('ANALYSE - ERP =&gt; SOUS-SEGMENT'!$C$8:$C$154=$C46)*'ANALYSE - ERP =&gt; SOUS-SEGMENT'!$Q$8:$Q$154*'ANALYSE - ERP =&gt; SOUS-SEGMENT'!$BF$8:$BF$154*'ANALYSE - ERP =&gt; SOUS-SEGMENT'!$IY$8:$IY$154)/SUMPRODUCT(('ANALYSE - ERP =&gt; SOUS-SEGMENT'!$C$8:$C$154=$C46)*'ANALYSE - ERP =&gt; SOUS-SEGMENT'!$Q$8:$Q$154*'ANALYSE - ERP =&gt; SOUS-SEGMENT'!$BF$8:$BF$154),0)</f>
        <v>0</v>
      </c>
      <c r="IW46" s="733">
        <f>IFERROR(SUMPRODUCT(('ANALYSE - ERP =&gt; SOUS-SEGMENT'!$C$8:$C$154=$C46)*'ANALYSE - ERP =&gt; SOUS-SEGMENT'!$Q$8:$Q$154*'ANALYSE - ERP =&gt; SOUS-SEGMENT'!$BF$8:$BF$154*'ANALYSE - ERP =&gt; SOUS-SEGMENT'!$IZ$8:$IZ$154)/SUMPRODUCT(('ANALYSE - ERP =&gt; SOUS-SEGMENT'!$C$8:$C$154=$C46)*'ANALYSE - ERP =&gt; SOUS-SEGMENT'!$Q$8:$Q$154*'ANALYSE - ERP =&gt; SOUS-SEGMENT'!$BF$8:$BF$154),0)</f>
        <v>0</v>
      </c>
      <c r="IX46" s="733">
        <f>IFERROR(SUMPRODUCT(('ANALYSE - ERP =&gt; SOUS-SEGMENT'!$C$8:$C$154=$C46)*'ANALYSE - ERP =&gt; SOUS-SEGMENT'!$Q$8:$Q$154*'ANALYSE - ERP =&gt; SOUS-SEGMENT'!$BF$8:$BF$154*'ANALYSE - ERP =&gt; SOUS-SEGMENT'!$JA$8:$JA$154)/SUMPRODUCT(('ANALYSE - ERP =&gt; SOUS-SEGMENT'!$C$8:$C$154=$C46)*'ANALYSE - ERP =&gt; SOUS-SEGMENT'!$Q$8:$Q$154*'ANALYSE - ERP =&gt; SOUS-SEGMENT'!$BF$8:$BF$154),0)</f>
        <v>0</v>
      </c>
      <c r="IY46" s="733">
        <f>IFERROR(SUMPRODUCT(('ANALYSE - ERP =&gt; SOUS-SEGMENT'!$C$8:$C$154=$C46)*'ANALYSE - ERP =&gt; SOUS-SEGMENT'!$Q$8:$Q$154*'ANALYSE - ERP =&gt; SOUS-SEGMENT'!$BF$8:$BF$154*'ANALYSE - ERP =&gt; SOUS-SEGMENT'!$JB$8:$JB$154)/SUMPRODUCT(('ANALYSE - ERP =&gt; SOUS-SEGMENT'!$C$8:$C$154=$C46)*'ANALYSE - ERP =&gt; SOUS-SEGMENT'!$Q$8:$Q$154*'ANALYSE - ERP =&gt; SOUS-SEGMENT'!$BF$8:$BF$154),0)</f>
        <v>0</v>
      </c>
      <c r="IZ46" s="733">
        <f>IFERROR(SUMPRODUCT(('ANALYSE - ERP =&gt; SOUS-SEGMENT'!$C$8:$C$154=$C46)*'ANALYSE - ERP =&gt; SOUS-SEGMENT'!$Q$8:$Q$154*'ANALYSE - ERP =&gt; SOUS-SEGMENT'!$BF$8:$BF$154*'ANALYSE - ERP =&gt; SOUS-SEGMENT'!$JC$8:$JC$154)/SUMPRODUCT(('ANALYSE - ERP =&gt; SOUS-SEGMENT'!$C$8:$C$154=$C46)*'ANALYSE - ERP =&gt; SOUS-SEGMENT'!$Q$8:$Q$154*'ANALYSE - ERP =&gt; SOUS-SEGMENT'!$BF$8:$BF$154),0)</f>
        <v>0</v>
      </c>
      <c r="JA46" s="733">
        <f>IFERROR(SUMPRODUCT(('ANALYSE - ERP =&gt; SOUS-SEGMENT'!$C$8:$C$154=$C46)*'ANALYSE - ERP =&gt; SOUS-SEGMENT'!$Q$8:$Q$154*'ANALYSE - ERP =&gt; SOUS-SEGMENT'!$FE$8:$FE$154*'ANALYSE - ERP =&gt; SOUS-SEGMENT'!$JD$8:$JD$154)/SUMPRODUCT(('ANALYSE - ERP =&gt; SOUS-SEGMENT'!$C$8:$C$154=$C46)*'ANALYSE - ERP =&gt; SOUS-SEGMENT'!$Q$8:$Q$154*'ANALYSE - ERP =&gt; SOUS-SEGMENT'!$FE$8:$FE$154),0)</f>
        <v>0</v>
      </c>
      <c r="JB46" s="733">
        <f>IFERROR(SUMPRODUCT(('ANALYSE - ERP =&gt; SOUS-SEGMENT'!$C$8:$C$154=$C46)*'ANALYSE - ERP =&gt; SOUS-SEGMENT'!$Q$8:$Q$154*'ANALYSE - ERP =&gt; SOUS-SEGMENT'!$FE$8:$FE$154*'ANALYSE - ERP =&gt; SOUS-SEGMENT'!$JE$8:$JE$154)/SUMPRODUCT(('ANALYSE - ERP =&gt; SOUS-SEGMENT'!$C$8:$C$154=$C46)*'ANALYSE - ERP =&gt; SOUS-SEGMENT'!$Q$8:$Q$154*'ANALYSE - ERP =&gt; SOUS-SEGMENT'!$FE$8:$FE$154),0)</f>
        <v>0</v>
      </c>
      <c r="JC46" s="733">
        <f>IFERROR(SUMPRODUCT(('ANALYSE - ERP =&gt; SOUS-SEGMENT'!$C$8:$C$154=$C46)*'ANALYSE - ERP =&gt; SOUS-SEGMENT'!$Q$8:$Q$154*'ANALYSE - ERP =&gt; SOUS-SEGMENT'!$FE$8:$FE$154*'ANALYSE - ERP =&gt; SOUS-SEGMENT'!$JF$8:$JF$154)/SUMPRODUCT(('ANALYSE - ERP =&gt; SOUS-SEGMENT'!$C$8:$C$154=$C46)*'ANALYSE - ERP =&gt; SOUS-SEGMENT'!$Q$8:$Q$154*'ANALYSE - ERP =&gt; SOUS-SEGMENT'!$FE$8:$FE$154),0)</f>
        <v>0</v>
      </c>
      <c r="JD46" s="733">
        <f>IFERROR(SUMPRODUCT(('ANALYSE - ERP =&gt; SOUS-SEGMENT'!$C$8:$C$154=$C46)*'ANALYSE - ERP =&gt; SOUS-SEGMENT'!$Q$8:$Q$154*'ANALYSE - ERP =&gt; SOUS-SEGMENT'!$FE$8:$FE$154*'ANALYSE - ERP =&gt; SOUS-SEGMENT'!$JG$8:$JG$154)/SUMPRODUCT(('ANALYSE - ERP =&gt; SOUS-SEGMENT'!$C$8:$C$154=$C46)*'ANALYSE - ERP =&gt; SOUS-SEGMENT'!$Q$8:$Q$154*'ANALYSE - ERP =&gt; SOUS-SEGMENT'!$FE$8:$FE$154),0)</f>
        <v>0</v>
      </c>
      <c r="JE46" s="733">
        <f>IFERROR(SUMPRODUCT(('ANALYSE - ERP =&gt; SOUS-SEGMENT'!$C$8:$C$154=$C46)*'ANALYSE - ERP =&gt; SOUS-SEGMENT'!$Q$8:$Q$154*'ANALYSE - ERP =&gt; SOUS-SEGMENT'!$FE$8:$FE$154*'ANALYSE - ERP =&gt; SOUS-SEGMENT'!$JH$8:$JH$154)/SUMPRODUCT(('ANALYSE - ERP =&gt; SOUS-SEGMENT'!$C$8:$C$154=$C46)*'ANALYSE - ERP =&gt; SOUS-SEGMENT'!$Q$8:$Q$154*'ANALYSE - ERP =&gt; SOUS-SEGMENT'!$FE$8:$FE$154),0)</f>
        <v>0</v>
      </c>
      <c r="JF46" s="733">
        <f>IFERROR(SUMPRODUCT(('ANALYSE - ERP =&gt; SOUS-SEGMENT'!$C$8:$C$154=$C46)*'ANALYSE - ERP =&gt; SOUS-SEGMENT'!$Q$8:$Q$154*'ANALYSE - ERP =&gt; SOUS-SEGMENT'!$BG$8:$BG$154*'ANALYSE - ERP =&gt; SOUS-SEGMENT'!$JI$8:$JI$154)/SUMPRODUCT(('ANALYSE - ERP =&gt; SOUS-SEGMENT'!$C$8:$C$154=$C46)*'ANALYSE - ERP =&gt; SOUS-SEGMENT'!$Q$8:$Q$154*'ANALYSE - ERP =&gt; SOUS-SEGMENT'!$BG$8:$BG$154),0)</f>
        <v>4.9717018732562774E-3</v>
      </c>
      <c r="JG46" s="733">
        <f>IFERROR(SUMPRODUCT(('ANALYSE - ERP =&gt; SOUS-SEGMENT'!$C$8:$C$154=$C46)*'ANALYSE - ERP =&gt; SOUS-SEGMENT'!$Q$8:$Q$154*'ANALYSE - ERP =&gt; SOUS-SEGMENT'!$BG$8:$BG$154*'ANALYSE - ERP =&gt; SOUS-SEGMENT'!$JJ$8:$JJ$154)/SUMPRODUCT(('ANALYSE - ERP =&gt; SOUS-SEGMENT'!$C$8:$C$154=$C46)*'ANALYSE - ERP =&gt; SOUS-SEGMENT'!$Q$8:$Q$154*'ANALYSE - ERP =&gt; SOUS-SEGMENT'!$BG$8:$BG$154),0)</f>
        <v>4.9689398166600236E-2</v>
      </c>
      <c r="JH46" s="733">
        <f>IFERROR(SUMPRODUCT(('ANALYSE - ERP =&gt; SOUS-SEGMENT'!$C$8:$C$154=$C46)*'ANALYSE - ERP =&gt; SOUS-SEGMENT'!$Q$8:$Q$154*'ANALYSE - ERP =&gt; SOUS-SEGMENT'!$BG$8:$BG$154*'ANALYSE - ERP =&gt; SOUS-SEGMENT'!$JK$8:$JK$154)/SUMPRODUCT(('ANALYSE - ERP =&gt; SOUS-SEGMENT'!$C$8:$C$154=$C46)*'ANALYSE - ERP =&gt; SOUS-SEGMENT'!$Q$8:$Q$154*'ANALYSE - ERP =&gt; SOUS-SEGMENT'!$BG$8:$BG$154),0)</f>
        <v>3.4507293742526902E-2</v>
      </c>
      <c r="JI46" s="733">
        <f>IFERROR(SUMPRODUCT(('ANALYSE - ERP =&gt; SOUS-SEGMENT'!$C$8:$C$154=$C46)*'ANALYSE - ERP =&gt; SOUS-SEGMENT'!$Q$8:$Q$154*'ANALYSE - ERP =&gt; SOUS-SEGMENT'!$BG$8:$BG$154*'ANALYSE - ERP =&gt; SOUS-SEGMENT'!$JL$8:$JL$154)/SUMPRODUCT(('ANALYSE - ERP =&gt; SOUS-SEGMENT'!$C$8:$C$154=$C46)*'ANALYSE - ERP =&gt; SOUS-SEGMENT'!$Q$8:$Q$154*'ANALYSE - ERP =&gt; SOUS-SEGMENT'!$BG$8:$BG$154),0)</f>
        <v>2.9001594260661622E-3</v>
      </c>
      <c r="JJ46" s="733">
        <f>IFERROR(SUMPRODUCT(('ANALYSE - ERP =&gt; SOUS-SEGMENT'!$C$8:$C$154=$C46)*'ANALYSE - ERP =&gt; SOUS-SEGMENT'!$Q$8:$Q$154*'ANALYSE - ERP =&gt; SOUS-SEGMENT'!$BG$8:$BG$154*'ANALYSE - ERP =&gt; SOUS-SEGMENT'!$JM$8:$JM$154)/SUMPRODUCT(('ANALYSE - ERP =&gt; SOUS-SEGMENT'!$C$8:$C$154=$C46)*'ANALYSE - ERP =&gt; SOUS-SEGMENT'!$Q$8:$Q$154*'ANALYSE - ERP =&gt; SOUS-SEGMENT'!$BG$8:$BG$154),0)</f>
        <v>0</v>
      </c>
      <c r="JK46" s="733">
        <f>IFERROR(SUMPRODUCT(('ANALYSE - ERP =&gt; SOUS-SEGMENT'!$C$8:$C$154=$C46)*'ANALYSE - ERP =&gt; SOUS-SEGMENT'!$Q$8:$Q$154*'ANALYSE - ERP =&gt; SOUS-SEGMENT'!$FH$8:$FH$154*'ANALYSE - ERP =&gt; SOUS-SEGMENT'!$JN$8:$JN$154)/SUMPRODUCT(('ANALYSE - ERP =&gt; SOUS-SEGMENT'!$C$8:$C$154=$C46)*'ANALYSE - ERP =&gt; SOUS-SEGMENT'!$Q$8:$Q$154*'ANALYSE - ERP =&gt; SOUS-SEGMENT'!$FH$8:$FH$154),0)</f>
        <v>3.2642363852199104E-3</v>
      </c>
      <c r="JL46" s="733">
        <f>IFERROR(SUMPRODUCT(('ANALYSE - ERP =&gt; SOUS-SEGMENT'!$C$8:$C$154=$C46)*'ANALYSE - ERP =&gt; SOUS-SEGMENT'!$Q$8:$Q$154*'ANALYSE - ERP =&gt; SOUS-SEGMENT'!$FH$8:$FH$154*'ANALYSE - ERP =&gt; SOUS-SEGMENT'!$JO$8:$JO$154)/SUMPRODUCT(('ANALYSE - ERP =&gt; SOUS-SEGMENT'!$C$8:$C$154=$C46)*'ANALYSE - ERP =&gt; SOUS-SEGMENT'!$Q$8:$Q$154*'ANALYSE - ERP =&gt; SOUS-SEGMENT'!$FH$8:$FH$154),0)</f>
        <v>4.5445521577605889E-2</v>
      </c>
      <c r="JM46" s="733">
        <f>IFERROR(SUMPRODUCT(('ANALYSE - ERP =&gt; SOUS-SEGMENT'!$C$8:$C$154=$C46)*'ANALYSE - ERP =&gt; SOUS-SEGMENT'!$Q$8:$Q$154*'ANALYSE - ERP =&gt; SOUS-SEGMENT'!$FH$8:$FH$154*'ANALYSE - ERP =&gt; SOUS-SEGMENT'!$JP$8:$JP$154)/SUMPRODUCT(('ANALYSE - ERP =&gt; SOUS-SEGMENT'!$C$8:$C$154=$C46)*'ANALYSE - ERP =&gt; SOUS-SEGMENT'!$Q$8:$Q$154*'ANALYSE - ERP =&gt; SOUS-SEGMENT'!$FH$8:$FH$154),0)</f>
        <v>3.4261355088836327E-2</v>
      </c>
      <c r="JN46" s="733">
        <f>IFERROR(SUMPRODUCT(('ANALYSE - ERP =&gt; SOUS-SEGMENT'!$C$8:$C$154=$C46)*'ANALYSE - ERP =&gt; SOUS-SEGMENT'!$Q$8:$Q$154*'ANALYSE - ERP =&gt; SOUS-SEGMENT'!$FH$8:$FH$154*'ANALYSE - ERP =&gt; SOUS-SEGMENT'!$JQ$8:$JQ$154)/SUMPRODUCT(('ANALYSE - ERP =&gt; SOUS-SEGMENT'!$C$8:$C$154=$C46)*'ANALYSE - ERP =&gt; SOUS-SEGMENT'!$Q$8:$Q$154*'ANALYSE - ERP =&gt; SOUS-SEGMENT'!$FH$8:$FH$154),0)</f>
        <v>4.2093772152567745E-3</v>
      </c>
      <c r="JO46" s="733">
        <f>IFERROR(SUMPRODUCT(('ANALYSE - ERP =&gt; SOUS-SEGMENT'!$C$8:$C$154=$C46)*'ANALYSE - ERP =&gt; SOUS-SEGMENT'!$Q$8:$Q$154*'ANALYSE - ERP =&gt; SOUS-SEGMENT'!$FH$8:$FH$154*'ANALYSE - ERP =&gt; SOUS-SEGMENT'!$JR$8:$JR$154)/SUMPRODUCT(('ANALYSE - ERP =&gt; SOUS-SEGMENT'!$C$8:$C$154=$C46)*'ANALYSE - ERP =&gt; SOUS-SEGMENT'!$Q$8:$Q$154*'ANALYSE - ERP =&gt; SOUS-SEGMENT'!$FH$8:$FH$154),0)</f>
        <v>3.3254955130926703E-4</v>
      </c>
      <c r="JP46" s="733">
        <f>IFERROR(SUMPRODUCT(('ANALYSE - ERP =&gt; SOUS-SEGMENT'!$C$8:$C$154=$C46)*'ANALYSE - ERP =&gt; SOUS-SEGMENT'!$Q$8:$Q$154*'ANALYSE - ERP =&gt; SOUS-SEGMENT'!$BH$8:$BH$154*'ANALYSE - ERP =&gt; SOUS-SEGMENT'!$JS$8:$JS$154)/SUMPRODUCT(('ANALYSE - ERP =&gt; SOUS-SEGMENT'!$C$8:$C$154=$C46)*'ANALYSE - ERP =&gt; SOUS-SEGMENT'!$Q$8:$Q$154*'ANALYSE - ERP =&gt; SOUS-SEGMENT'!$BH$8:$BH$154),0)</f>
        <v>3.2599999999999997E-2</v>
      </c>
      <c r="JQ46" s="733">
        <f>IFERROR(SUMPRODUCT(('ANALYSE - ERP =&gt; SOUS-SEGMENT'!$C$8:$C$154=$C46)*'ANALYSE - ERP =&gt; SOUS-SEGMENT'!$Q$8:$Q$154*'ANALYSE - ERP =&gt; SOUS-SEGMENT'!$BH$8:$BH$154*'ANALYSE - ERP =&gt; SOUS-SEGMENT'!$JT$8:$JT$154)/SUMPRODUCT(('ANALYSE - ERP =&gt; SOUS-SEGMENT'!$C$8:$C$154=$C46)*'ANALYSE - ERP =&gt; SOUS-SEGMENT'!$Q$8:$Q$154*'ANALYSE - ERP =&gt; SOUS-SEGMENT'!$BH$8:$BH$154),0)</f>
        <v>0.41479999999999995</v>
      </c>
      <c r="JR46" s="733">
        <f>IFERROR(SUMPRODUCT(('ANALYSE - ERP =&gt; SOUS-SEGMENT'!$C$8:$C$154=$C46)*'ANALYSE - ERP =&gt; SOUS-SEGMENT'!$Q$8:$Q$154*'ANALYSE - ERP =&gt; SOUS-SEGMENT'!$BH$8:$BH$154*'ANALYSE - ERP =&gt; SOUS-SEGMENT'!$JU$8:$JU$154)/SUMPRODUCT(('ANALYSE - ERP =&gt; SOUS-SEGMENT'!$C$8:$C$154=$C46)*'ANALYSE - ERP =&gt; SOUS-SEGMENT'!$Q$8:$Q$154*'ANALYSE - ERP =&gt; SOUS-SEGMENT'!$BH$8:$BH$154),0)</f>
        <v>0.49380000000000002</v>
      </c>
      <c r="JS46" s="733">
        <f>IFERROR(SUMPRODUCT(('ANALYSE - ERP =&gt; SOUS-SEGMENT'!$C$8:$C$154=$C46)*'ANALYSE - ERP =&gt; SOUS-SEGMENT'!$Q$8:$Q$154*'ANALYSE - ERP =&gt; SOUS-SEGMENT'!$BH$8:$BH$154*'ANALYSE - ERP =&gt; SOUS-SEGMENT'!$JV$8:$JV$154)/SUMPRODUCT(('ANALYSE - ERP =&gt; SOUS-SEGMENT'!$C$8:$C$154=$C46)*'ANALYSE - ERP =&gt; SOUS-SEGMENT'!$Q$8:$Q$154*'ANALYSE - ERP =&gt; SOUS-SEGMENT'!$BH$8:$BH$154),0)</f>
        <v>5.8799999999999998E-2</v>
      </c>
      <c r="JT46" s="733">
        <f>IFERROR(SUMPRODUCT(('ANALYSE - ERP =&gt; SOUS-SEGMENT'!$C$8:$C$154=$C46)*'ANALYSE - ERP =&gt; SOUS-SEGMENT'!$Q$8:$Q$154*'ANALYSE - ERP =&gt; SOUS-SEGMENT'!$BH$8:$BH$154*'ANALYSE - ERP =&gt; SOUS-SEGMENT'!$JW$8:$JW$154)/SUMPRODUCT(('ANALYSE - ERP =&gt; SOUS-SEGMENT'!$C$8:$C$154=$C46)*'ANALYSE - ERP =&gt; SOUS-SEGMENT'!$Q$8:$Q$154*'ANALYSE - ERP =&gt; SOUS-SEGMENT'!$BH$8:$BH$154),0)</f>
        <v>0</v>
      </c>
      <c r="JU46" s="733">
        <f>IFERROR(SUMPRODUCT(('ANALYSE - ERP =&gt; SOUS-SEGMENT'!$C$8:$C$154=$C46)*'ANALYSE - ERP =&gt; SOUS-SEGMENT'!$Q$8:$Q$154*'ANALYSE - ERP =&gt; SOUS-SEGMENT'!$FK$8:$FK$154*'ANALYSE - ERP =&gt; SOUS-SEGMENT'!$JX$8:$JX$154)/SUMPRODUCT(('ANALYSE - ERP =&gt; SOUS-SEGMENT'!$C$8:$C$154=$C46)*'ANALYSE - ERP =&gt; SOUS-SEGMENT'!$Q$8:$Q$154*'ANALYSE - ERP =&gt; SOUS-SEGMENT'!$FK$8:$FK$154),0)</f>
        <v>1.5900000000000001E-2</v>
      </c>
      <c r="JV46" s="733">
        <f>IFERROR(SUMPRODUCT(('ANALYSE - ERP =&gt; SOUS-SEGMENT'!$C$8:$C$154=$C46)*'ANALYSE - ERP =&gt; SOUS-SEGMENT'!$Q$8:$Q$154*'ANALYSE - ERP =&gt; SOUS-SEGMENT'!$FK$8:$FK$154*'ANALYSE - ERP =&gt; SOUS-SEGMENT'!$JY$8:$JY$154)/SUMPRODUCT(('ANALYSE - ERP =&gt; SOUS-SEGMENT'!$C$8:$C$154=$C46)*'ANALYSE - ERP =&gt; SOUS-SEGMENT'!$Q$8:$Q$154*'ANALYSE - ERP =&gt; SOUS-SEGMENT'!$FK$8:$FK$154),0)</f>
        <v>0.39450000000000002</v>
      </c>
      <c r="JW46" s="733">
        <f>IFERROR(SUMPRODUCT(('ANALYSE - ERP =&gt; SOUS-SEGMENT'!$C$8:$C$154=$C46)*'ANALYSE - ERP =&gt; SOUS-SEGMENT'!$Q$8:$Q$154*'ANALYSE - ERP =&gt; SOUS-SEGMENT'!$FK$8:$FK$154*'ANALYSE - ERP =&gt; SOUS-SEGMENT'!$JZ$8:$JZ$154)/SUMPRODUCT(('ANALYSE - ERP =&gt; SOUS-SEGMENT'!$C$8:$C$154=$C46)*'ANALYSE - ERP =&gt; SOUS-SEGMENT'!$Q$8:$Q$154*'ANALYSE - ERP =&gt; SOUS-SEGMENT'!$FK$8:$FK$154),0)</f>
        <v>0.51049999999999995</v>
      </c>
      <c r="JX46" s="733">
        <f>IFERROR(SUMPRODUCT(('ANALYSE - ERP =&gt; SOUS-SEGMENT'!$C$8:$C$154=$C46)*'ANALYSE - ERP =&gt; SOUS-SEGMENT'!$Q$8:$Q$154*'ANALYSE - ERP =&gt; SOUS-SEGMENT'!$FK$8:$FK$154*'ANALYSE - ERP =&gt; SOUS-SEGMENT'!$KA$8:$KA$154)/SUMPRODUCT(('ANALYSE - ERP =&gt; SOUS-SEGMENT'!$C$8:$C$154=$C46)*'ANALYSE - ERP =&gt; SOUS-SEGMENT'!$Q$8:$Q$154*'ANALYSE - ERP =&gt; SOUS-SEGMENT'!$FK$8:$FK$154),0)</f>
        <v>7.5500000000000012E-2</v>
      </c>
      <c r="JY46" s="733">
        <f>IFERROR(SUMPRODUCT(('ANALYSE - ERP =&gt; SOUS-SEGMENT'!$C$8:$C$154=$C46)*'ANALYSE - ERP =&gt; SOUS-SEGMENT'!$Q$8:$Q$154*'ANALYSE - ERP =&gt; SOUS-SEGMENT'!$FK$8:$FK$154*'ANALYSE - ERP =&gt; SOUS-SEGMENT'!$KB$8:$KB$154)/SUMPRODUCT(('ANALYSE - ERP =&gt; SOUS-SEGMENT'!$C$8:$C$154=$C46)*'ANALYSE - ERP =&gt; SOUS-SEGMENT'!$Q$8:$Q$154*'ANALYSE - ERP =&gt; SOUS-SEGMENT'!$FK$8:$FK$154),0)</f>
        <v>3.5999999999999999E-3</v>
      </c>
      <c r="JZ46" s="657"/>
      <c r="KA46" s="643" t="s">
        <v>2590</v>
      </c>
      <c r="KB46" s="643" t="s">
        <v>2591</v>
      </c>
      <c r="KC46" s="912" t="str">
        <f>IFERROR(SUMPRODUCT(('ANALYSE - ERP =&gt; SOUS-SEGMENT'!$C$8:$C$154=$C47)*'ANALYSE - ERP =&gt; SOUS-SEGMENT'!$Q$8:$Q$154*'ANALYSE - ERP =&gt; SOUS-SEGMENT'!$EX$8:$EX$154*'ANALYSE - ERP =&gt; SOUS-SEGMENT'!$KF$8:$KF$154)/SUMPRODUCT(('ANALYSE - ERP =&gt; SOUS-SEGMENT'!$C$8:$C$154=$C47)*'ANALYSE - ERP =&gt; SOUS-SEGMENT'!$Q$8:$Q$154*'ANALYSE - ERP =&gt; SOUS-SEGMENT'!$EX$8:$EX$154),"")</f>
        <v/>
      </c>
      <c r="KD46" s="643" t="s">
        <v>2589</v>
      </c>
      <c r="KE46" s="644" t="s">
        <v>7258</v>
      </c>
      <c r="KF46" s="643" t="s">
        <v>6760</v>
      </c>
      <c r="KG46" s="644" t="s">
        <v>6760</v>
      </c>
    </row>
    <row r="47" spans="1:293" s="933" customFormat="1" ht="48" customHeight="1">
      <c r="A47" s="623">
        <v>31</v>
      </c>
      <c r="B47" s="624" t="s">
        <v>1670</v>
      </c>
      <c r="C47" s="624" t="s">
        <v>7545</v>
      </c>
      <c r="D47" s="624" t="s">
        <v>7546</v>
      </c>
      <c r="E47" s="625" t="s">
        <v>7547</v>
      </c>
      <c r="F47" s="625" t="s">
        <v>2631</v>
      </c>
      <c r="G47" s="625" t="s">
        <v>300</v>
      </c>
      <c r="H47" s="625" t="s">
        <v>2109</v>
      </c>
      <c r="I47" s="290" t="s">
        <v>7548</v>
      </c>
      <c r="J47" s="290" t="s">
        <v>7549</v>
      </c>
      <c r="K47" s="626" t="s">
        <v>2097</v>
      </c>
      <c r="L47" s="626" t="s">
        <v>2109</v>
      </c>
      <c r="M47" s="626" t="s">
        <v>3168</v>
      </c>
      <c r="N47" s="626" t="s">
        <v>6742</v>
      </c>
      <c r="O47" s="625" t="s">
        <v>2194</v>
      </c>
      <c r="P47" s="290"/>
      <c r="Q47" s="627">
        <f>IF(SUMPRODUCT(('ANALYSE - ERP =&gt; SOUS-SEGMENT'!$C$8:$C$154=$C47)*'ANALYSE - ERP =&gt; SOUS-SEGMENT'!$Q$8:$Q$154)&gt;0,1,0)</f>
        <v>0</v>
      </c>
      <c r="R47" s="280" t="str">
        <f>IFERROR(SUMPRODUCT(('ANALYSE - ERP =&gt; SOUS-SEGMENT'!$C$8:$C$154=$C47)*'ANALYSE - ERP =&gt; SOUS-SEGMENT'!$Q$8:$Q$154*'ANALYSE - ERP =&gt; SOUS-SEGMENT'!$AG$8:$AG$154*'ANALYSE - ERP =&gt; SOUS-SEGMENT'!$R$8:$R$154)/SUMPRODUCT(('ANALYSE - ERP =&gt; SOUS-SEGMENT'!$C$8:$C$154=$C47)*'ANALYSE - ERP =&gt; SOUS-SEGMENT'!$Q$8:$Q$154*'ANALYSE - ERP =&gt; SOUS-SEGMENT'!$AG$8:$AG$154),"")</f>
        <v/>
      </c>
      <c r="S47" s="628">
        <f>SUMPRODUCT(('ANALYSE - ERP =&gt; SOUS-SEGMENT'!$C$8:$C$154=$C47)*'ANALYSE - ERP =&gt; SOUS-SEGMENT'!$Q$8:$Q$154*'ANALYSE - ERP =&gt; SOUS-SEGMENT'!$S$8:$S$154)</f>
        <v>0</v>
      </c>
      <c r="T47" s="628">
        <f>SUMPRODUCT(('ANALYSE - ERP =&gt; SOUS-SEGMENT'!$C$8:$C$154=$C47)*'ANALYSE - ERP =&gt; SOUS-SEGMENT'!$Q$8:$Q$154*'ANALYSE - ERP =&gt; SOUS-SEGMENT'!$T$8:$T$154)</f>
        <v>0</v>
      </c>
      <c r="U47" s="628">
        <f>SUMPRODUCT(('ANALYSE - ERP =&gt; SOUS-SEGMENT'!$C$8:$C$154=$C47)*'ANALYSE - ERP =&gt; SOUS-SEGMENT'!$Q$8:$Q$154*'ANALYSE - ERP =&gt; SOUS-SEGMENT'!$U$8:$U$154)</f>
        <v>0</v>
      </c>
      <c r="V47" s="628">
        <f>SUMPRODUCT(('ANALYSE - ERP =&gt; SOUS-SEGMENT'!$C$8:$C$154=$C47)*'ANALYSE - ERP =&gt; SOUS-SEGMENT'!$Q$8:$Q$154*'ANALYSE - ERP =&gt; SOUS-SEGMENT'!$V$8:$V$154)</f>
        <v>0</v>
      </c>
      <c r="W47" s="628">
        <f>SUMPRODUCT(('ANALYSE - ERP =&gt; SOUS-SEGMENT'!$C$8:$C$154=$C47)*'ANALYSE - ERP =&gt; SOUS-SEGMENT'!$Q$8:$Q$154*'ANALYSE - ERP =&gt; SOUS-SEGMENT'!$W$8:$W$154)</f>
        <v>0</v>
      </c>
      <c r="X47" s="628">
        <f>SUMPRODUCT(('ANALYSE - ERP =&gt; SOUS-SEGMENT'!$C$8:$C$154=$C47)*'ANALYSE - ERP =&gt; SOUS-SEGMENT'!$Q$8:$Q$154*'ANALYSE - ERP =&gt; SOUS-SEGMENT'!$X$8:$X$154)</f>
        <v>0</v>
      </c>
      <c r="Y47" s="628">
        <f>SUMPRODUCT(('ANALYSE - ERP =&gt; SOUS-SEGMENT'!$C$8:$C$154=$C47)*'ANALYSE - ERP =&gt; SOUS-SEGMENT'!$Q$8:$Q$154*'ANALYSE - ERP =&gt; SOUS-SEGMENT'!$Y$8:$Y$154)</f>
        <v>0</v>
      </c>
      <c r="Z47" s="628">
        <f>SUMPRODUCT(('ANALYSE - ERP =&gt; SOUS-SEGMENT'!$C$8:$C$154=$C47)*'ANALYSE - ERP =&gt; SOUS-SEGMENT'!$Q$8:$Q$154*'ANALYSE - ERP =&gt; SOUS-SEGMENT'!$Z$8:$Z$154)</f>
        <v>0</v>
      </c>
      <c r="AA47" s="628">
        <f>SUMPRODUCT(('ANALYSE - ERP =&gt; SOUS-SEGMENT'!$C$8:$C$154=$C47)*'ANALYSE - ERP =&gt; SOUS-SEGMENT'!$Q$8:$Q$154*'ANALYSE - ERP =&gt; SOUS-SEGMENT'!$AA$8:$AA$154)</f>
        <v>0</v>
      </c>
      <c r="AB47" s="628">
        <f>SUMPRODUCT(('ANALYSE - ERP =&gt; SOUS-SEGMENT'!$C$8:$C$154=$C47)*'ANALYSE - ERP =&gt; SOUS-SEGMENT'!$Q$8:$Q$154*'ANALYSE - ERP =&gt; SOUS-SEGMENT'!$AB$8:$AB$154)</f>
        <v>0</v>
      </c>
      <c r="AC47" s="628">
        <f>SUMPRODUCT(('ANALYSE - ERP =&gt; SOUS-SEGMENT'!$C$8:$C$154=$C47)*'ANALYSE - ERP =&gt; SOUS-SEGMENT'!$Q$8:$Q$154*'ANALYSE - ERP =&gt; SOUS-SEGMENT'!$AC$8:$AC$154)</f>
        <v>0</v>
      </c>
      <c r="AD47" s="628">
        <f>SUMPRODUCT(('ANALYSE - ERP =&gt; SOUS-SEGMENT'!$C$8:$C$154=$C47)*'ANALYSE - ERP =&gt; SOUS-SEGMENT'!$Q$8:$Q$154*'ANALYSE - ERP =&gt; SOUS-SEGMENT'!$AD$8:$AD$154)</f>
        <v>0</v>
      </c>
      <c r="AE47" s="628">
        <f>SUMPRODUCT(('ANALYSE - ERP =&gt; SOUS-SEGMENT'!$C$8:$C$154=$C47)*'ANALYSE - ERP =&gt; SOUS-SEGMENT'!$Q$8:$Q$154*'ANALYSE - ERP =&gt; SOUS-SEGMENT'!$AE$8:$AE$154)</f>
        <v>0</v>
      </c>
      <c r="AF47" s="628">
        <f>SUMPRODUCT(('ANALYSE - ERP =&gt; SOUS-SEGMENT'!$C$8:$C$154=$C47)*'ANALYSE - ERP =&gt; SOUS-SEGMENT'!$Q$8:$Q$154*'ANALYSE - ERP =&gt; SOUS-SEGMENT'!$AF$8:$AF$154)</f>
        <v>0</v>
      </c>
      <c r="AG47" s="628">
        <f>SUMPRODUCT(('ANALYSE - ERP =&gt; SOUS-SEGMENT'!$C$8:$C$154=$C47)*'ANALYSE - ERP =&gt; SOUS-SEGMENT'!$Q$8:$Q$154*'ANALYSE - ERP =&gt; SOUS-SEGMENT'!$AG$8:$AG$154)</f>
        <v>0</v>
      </c>
      <c r="AH47" s="628">
        <f>SUMPRODUCT(('ANALYSE - ERP =&gt; SOUS-SEGMENT'!$C$8:$C$154=$C47)*'ANALYSE - ERP =&gt; SOUS-SEGMENT'!$Q$8:$Q$154*'ANALYSE - ERP =&gt; SOUS-SEGMENT'!$AH$8:$AH$154)</f>
        <v>0</v>
      </c>
      <c r="AI47" s="628">
        <f>SUMPRODUCT(('ANALYSE - ERP =&gt; SOUS-SEGMENT'!$C$8:$C$154=$C47)*'ANALYSE - ERP =&gt; SOUS-SEGMENT'!$Q$8:$Q$154*'ANALYSE - ERP =&gt; SOUS-SEGMENT'!$AI$8:$AI$154)</f>
        <v>0</v>
      </c>
      <c r="AJ47" s="628">
        <f>SUMPRODUCT(('ANALYSE - ERP =&gt; SOUS-SEGMENT'!$C$8:$C$154=$C47)*'ANALYSE - ERP =&gt; SOUS-SEGMENT'!$Q$8:$Q$154*'ANALYSE - ERP =&gt; SOUS-SEGMENT'!$AJ$8:$AJ$154)</f>
        <v>0</v>
      </c>
      <c r="AK47" s="628">
        <f>SUMPRODUCT(('ANALYSE - ERP =&gt; SOUS-SEGMENT'!$C$8:$C$154=$C47)*'ANALYSE - ERP =&gt; SOUS-SEGMENT'!$Q$8:$Q$154*'ANALYSE - ERP =&gt; SOUS-SEGMENT'!$AK$8:$AK$154)</f>
        <v>0</v>
      </c>
      <c r="AL47" s="290" t="s">
        <v>7471</v>
      </c>
      <c r="AM47" s="290" t="s">
        <v>7472</v>
      </c>
      <c r="AN47" s="290" t="s">
        <v>7550</v>
      </c>
      <c r="AO47" s="657"/>
      <c r="AP47" s="280" t="str">
        <f>IFERROR(SUMPRODUCT(('ANALYSE - ERP =&gt; SOUS-SEGMENT'!$C$8:$C$154=$C47)*'ANALYSE - ERP =&gt; SOUS-SEGMENT'!$Q$8:$Q$154*'ANALYSE - ERP =&gt; SOUS-SEGMENT'!$AG$8:$AG$154*'ANALYSE - ERP =&gt; SOUS-SEGMENT'!$AP$8:$AP$154)/SUMPRODUCT(('ANALYSE - ERP =&gt; SOUS-SEGMENT'!$C$8:$C$154=$C47)*'ANALYSE - ERP =&gt; SOUS-SEGMENT'!$Q$8:$Q$154*'ANALYSE - ERP =&gt; SOUS-SEGMENT'!$AG$8:$AG$154),"")</f>
        <v/>
      </c>
      <c r="AQ47" s="280" t="str">
        <f>IFERROR(SUMPRODUCT(('ANALYSE - ERP =&gt; SOUS-SEGMENT'!$C$8:$C$154=$C47)*'ANALYSE - ERP =&gt; SOUS-SEGMENT'!$Q$8:$Q$154*'ANALYSE - ERP =&gt; SOUS-SEGMENT'!$AF$8:$AF$154*'ANALYSE - ERP =&gt; SOUS-SEGMENT'!$AQ$8:$AQ$154)/SUMPRODUCT(('ANALYSE - ERP =&gt; SOUS-SEGMENT'!$C$8:$C$154=$C47)*'ANALYSE - ERP =&gt; SOUS-SEGMENT'!$Q$8:$Q$154*'ANALYSE - ERP =&gt; SOUS-SEGMENT'!$AF$8:$AF$154),"")</f>
        <v/>
      </c>
      <c r="AR47" s="280" t="str">
        <f>IFERROR(SUMPRODUCT(('ANALYSE - ERP =&gt; SOUS-SEGMENT'!$C$8:$C$154=$C47)*'ANALYSE - ERP =&gt; SOUS-SEGMENT'!$Q$8:$Q$154*'ANALYSE - ERP =&gt; SOUS-SEGMENT'!$AF$8:$AF$154*'ANALYSE - ERP =&gt; SOUS-SEGMENT'!$AR$8:$AR$154)/SUMPRODUCT(('ANALYSE - ERP =&gt; SOUS-SEGMENT'!$C$8:$C$154=$C47)*'ANALYSE - ERP =&gt; SOUS-SEGMENT'!$Q$8:$Q$154*'ANALYSE - ERP =&gt; SOUS-SEGMENT'!$AF$8:$AF$154),"")</f>
        <v/>
      </c>
      <c r="AS47" s="280" t="str">
        <f>IFERROR(SUMPRODUCT(('ANALYSE - ERP =&gt; SOUS-SEGMENT'!$C$8:$C$154=$C47)*'ANALYSE - ERP =&gt; SOUS-SEGMENT'!$Q$8:$Q$154*'ANALYSE - ERP =&gt; SOUS-SEGMENT'!$AF$8:$AF$154*'ANALYSE - ERP =&gt; SOUS-SEGMENT'!$AS$8:$AS$154)/SUMPRODUCT(('ANALYSE - ERP =&gt; SOUS-SEGMENT'!$C$8:$C$154=$C47)*'ANALYSE - ERP =&gt; SOUS-SEGMENT'!$Q$8:$Q$154*'ANALYSE - ERP =&gt; SOUS-SEGMENT'!$AF$8:$AF$154),"")</f>
        <v/>
      </c>
      <c r="AT47" s="657" t="s">
        <v>7551</v>
      </c>
      <c r="AU47" s="301" t="s">
        <v>7552</v>
      </c>
      <c r="AV47" s="302" t="s">
        <v>2890</v>
      </c>
      <c r="AW47" s="301"/>
      <c r="AX47" s="657"/>
      <c r="AY47" s="303" t="str">
        <f>IFERROR(SUMPRODUCT(('ANALYSE - ERP =&gt; SOUS-SEGMENT'!$C$8:$C$154=$C47)*'ANALYSE - ERP =&gt; SOUS-SEGMENT'!$Q$8:$Q$154*'ANALYSE - ERP =&gt; SOUS-SEGMENT'!$AF$8:$AF$154*'ANALYSE - ERP =&gt; SOUS-SEGMENT'!$AZ$8:$AZ$154)/SUMPRODUCT(('ANALYSE - ERP =&gt; SOUS-SEGMENT'!$C$8:$C$154=$C47)*'ANALYSE - ERP =&gt; SOUS-SEGMENT'!$Q$8:$Q$154*'ANALYSE - ERP =&gt; SOUS-SEGMENT'!$AF$8:$AF$154),"")</f>
        <v/>
      </c>
      <c r="AZ47" s="948" t="str">
        <f>IFERROR(SUMPRODUCT(('ANALYSE - ERP =&gt; SOUS-SEGMENT'!$C$8:$C$154=$C47)*'ANALYSE - ERP =&gt; SOUS-SEGMENT'!$Q$8:$Q$154*'ANALYSE - ERP =&gt; SOUS-SEGMENT'!$AF$8:$AF$154*'ANALYSE - ERP =&gt; SOUS-SEGMENT'!$BA$8:$BA$154)/SUMPRODUCT(('ANALYSE - ERP =&gt; SOUS-SEGMENT'!$C$8:$C$154=$C47)*'ANALYSE - ERP =&gt; SOUS-SEGMENT'!$Q$8:$Q$154*'ANALYSE - ERP =&gt; SOUS-SEGMENT'!$AF$8:$AF$154),"")</f>
        <v/>
      </c>
      <c r="BA47" s="303" t="str">
        <f>IFERROR(SUMPRODUCT(('ANALYSE - ERP =&gt; SOUS-SEGMENT'!$C$8:$C$154=$C47)*'ANALYSE - ERP =&gt; SOUS-SEGMENT'!$Q$8:$Q$154*'ANALYSE - ERP =&gt; SOUS-SEGMENT'!$AF$8:$AF$154*'ANALYSE - ERP =&gt; SOUS-SEGMENT'!$BB$8:$BB$154)/SUMPRODUCT(('ANALYSE - ERP =&gt; SOUS-SEGMENT'!$C$8:$C$154=$C47)*'ANALYSE - ERP =&gt; SOUS-SEGMENT'!$Q$8:$Q$154*'ANALYSE - ERP =&gt; SOUS-SEGMENT'!$AF$8:$AF$154),"")</f>
        <v/>
      </c>
      <c r="BB47" s="303" t="str">
        <f>IFERROR(SUMPRODUCT(('ANALYSE - ERP =&gt; SOUS-SEGMENT'!$C$8:$C$154=$C47)*'ANALYSE - ERP =&gt; SOUS-SEGMENT'!$Q$8:$Q$154*'ANALYSE - ERP =&gt; SOUS-SEGMENT'!$AF$8:$AF$154*'ANALYSE - ERP =&gt; SOUS-SEGMENT'!$BC$8:$BC$154)/SUMPRODUCT(('ANALYSE - ERP =&gt; SOUS-SEGMENT'!$C$8:$C$154=$C47)*'ANALYSE - ERP =&gt; SOUS-SEGMENT'!$Q$8:$Q$154*'ANALYSE - ERP =&gt; SOUS-SEGMENT'!$AF$8:$AF$154),"")</f>
        <v/>
      </c>
      <c r="BC47" s="304">
        <f>SUMPRODUCT(('ANALYSE - ERP =&gt; SOUS-SEGMENT'!$C$8:$C$154=$C47)*'ANALYSE - ERP =&gt; SOUS-SEGMENT'!$Q$8:$Q$154*'ANALYSE - ERP =&gt; SOUS-SEGMENT'!$BE$8:$BE$154)</f>
        <v>0</v>
      </c>
      <c r="BD47" s="304">
        <f>SUMPRODUCT(('ANALYSE - ERP =&gt; SOUS-SEGMENT'!$C$8:$C$154=$C47)*'ANALYSE - ERP =&gt; SOUS-SEGMENT'!$Q$8:$Q$154*'ANALYSE - ERP =&gt; SOUS-SEGMENT'!$BF$8:$BF$154)</f>
        <v>0</v>
      </c>
      <c r="BE47" s="304">
        <f>SUMPRODUCT(('ANALYSE - ERP =&gt; SOUS-SEGMENT'!$C$8:$C$154=$C47)*'ANALYSE - ERP =&gt; SOUS-SEGMENT'!$Q$8:$Q$154*'ANALYSE - ERP =&gt; SOUS-SEGMENT'!$BG$8:$BG$154)</f>
        <v>0</v>
      </c>
      <c r="BF47" s="304">
        <f>SUMPRODUCT(('ANALYSE - ERP =&gt; SOUS-SEGMENT'!$C$8:$C$154=$C47)*'ANALYSE - ERP =&gt; SOUS-SEGMENT'!$Q$8:$Q$154*'ANALYSE - ERP =&gt; SOUS-SEGMENT'!$BH$8:$BH$154)</f>
        <v>0</v>
      </c>
      <c r="BG47" s="304">
        <f>SUMPRODUCT(('ANALYSE - ERP =&gt; SOUS-SEGMENT'!$C$8:$C$154=$C47)*'ANALYSE - ERP =&gt; SOUS-SEGMENT'!$Q$8:$Q$154*'ANALYSE - ERP =&gt; SOUS-SEGMENT'!$BJ$8:$BJ$154)</f>
        <v>0</v>
      </c>
      <c r="BH47" s="304">
        <f>SUMPRODUCT(('ANALYSE - ERP =&gt; SOUS-SEGMENT'!$C$8:$C$154=$C47)*'ANALYSE - ERP =&gt; SOUS-SEGMENT'!$Q$8:$Q$154*'ANALYSE - ERP =&gt; SOUS-SEGMENT'!$BK$8:$BK$154)</f>
        <v>0</v>
      </c>
      <c r="BI47" s="304">
        <f>SUMPRODUCT(('ANALYSE - ERP =&gt; SOUS-SEGMENT'!$C$8:$C$154=$C47)*'ANALYSE - ERP =&gt; SOUS-SEGMENT'!$Q$8:$Q$154*'ANALYSE - ERP =&gt; SOUS-SEGMENT'!$BL$8:$BL$154)</f>
        <v>0</v>
      </c>
      <c r="BJ47" s="304">
        <f>SUMPRODUCT(('ANALYSE - ERP =&gt; SOUS-SEGMENT'!$C$8:$C$154=$C47)*'ANALYSE - ERP =&gt; SOUS-SEGMENT'!$Q$8:$Q$154*'ANALYSE - ERP =&gt; SOUS-SEGMENT'!$BM$8:$BM$154)</f>
        <v>0</v>
      </c>
      <c r="BK47" s="657"/>
      <c r="BL47" s="284" t="str">
        <f>IFERROR(SUMPRODUCT(('ANALYSE - ERP =&gt; SOUS-SEGMENT'!$C$8:$C$154=$C47)*'ANALYSE - ERP =&gt; SOUS-SEGMENT'!$Q$8:$Q$154*'ANALYSE - ERP =&gt; SOUS-SEGMENT'!$BE$8:$BE$154*'ANALYSE - ERP =&gt; SOUS-SEGMENT'!$BO$8:$BO$154)/SUMPRODUCT(('ANALYSE - ERP =&gt; SOUS-SEGMENT'!$C$8:$C$154=$C47)*'ANALYSE - ERP =&gt; SOUS-SEGMENT'!$Q$8:$Q$154*'ANALYSE - ERP =&gt; SOUS-SEGMENT'!$BE$8:$BE$154),"")</f>
        <v/>
      </c>
      <c r="BM47" s="284" t="str">
        <f>IFERROR(SUMPRODUCT(('ANALYSE - ERP =&gt; SOUS-SEGMENT'!$C$8:$C$154=$C47)*'ANALYSE - ERP =&gt; SOUS-SEGMENT'!$Q$8:$Q$154*'ANALYSE - ERP =&gt; SOUS-SEGMENT'!$BE$8:$BE$154*'ANALYSE - ERP =&gt; SOUS-SEGMENT'!$BP$8:$BP$154)/SUMPRODUCT(('ANALYSE - ERP =&gt; SOUS-SEGMENT'!$C$8:$C$154=$C47)*'ANALYSE - ERP =&gt; SOUS-SEGMENT'!$Q$8:$Q$154*'ANALYSE - ERP =&gt; SOUS-SEGMENT'!$BE$8:$BE$154),"")</f>
        <v/>
      </c>
      <c r="BN47" s="284" t="str">
        <f>IFERROR(SUMPRODUCT(('ANALYSE - ERP =&gt; SOUS-SEGMENT'!$C$8:$C$154=$C47)*'ANALYSE - ERP =&gt; SOUS-SEGMENT'!$Q$8:$Q$154*'ANALYSE - ERP =&gt; SOUS-SEGMENT'!$BE$8:$BE$154*'ANALYSE - ERP =&gt; SOUS-SEGMENT'!$BQ$8:$BQ$154)/SUMPRODUCT(('ANALYSE - ERP =&gt; SOUS-SEGMENT'!$C$8:$C$154=$C47)*'ANALYSE - ERP =&gt; SOUS-SEGMENT'!$Q$8:$Q$154*'ANALYSE - ERP =&gt; SOUS-SEGMENT'!$BE$8:$BE$154),"")</f>
        <v/>
      </c>
      <c r="BO47" s="284" t="str">
        <f>IFERROR(SUMPRODUCT(('ANALYSE - ERP =&gt; SOUS-SEGMENT'!$C$8:$C$154=$C47)*'ANALYSE - ERP =&gt; SOUS-SEGMENT'!$Q$8:$Q$154*'ANALYSE - ERP =&gt; SOUS-SEGMENT'!$BE$8:$BE$154*'ANALYSE - ERP =&gt; SOUS-SEGMENT'!$BR$8:$BR$154)/SUMPRODUCT(('ANALYSE - ERP =&gt; SOUS-SEGMENT'!$C$8:$C$154=$C47)*'ANALYSE - ERP =&gt; SOUS-SEGMENT'!$Q$8:$Q$154*'ANALYSE - ERP =&gt; SOUS-SEGMENT'!$BE$8:$BE$154),"")</f>
        <v/>
      </c>
      <c r="BP47" s="284" t="str">
        <f>IFERROR(SUMPRODUCT(('ANALYSE - ERP =&gt; SOUS-SEGMENT'!$C$8:$C$154=$C47)*'ANALYSE - ERP =&gt; SOUS-SEGMENT'!$Q$8:$Q$154*'ANALYSE - ERP =&gt; SOUS-SEGMENT'!$BJ$8:$BJ$154*'ANALYSE - ERP =&gt; SOUS-SEGMENT'!$BS$8:$BS$154)/SUMPRODUCT(('ANALYSE - ERP =&gt; SOUS-SEGMENT'!$C$8:$C$154=$C47)*'ANALYSE - ERP =&gt; SOUS-SEGMENT'!$Q$8:$Q$154*'ANALYSE - ERP =&gt; SOUS-SEGMENT'!$BJ$8:$BJ$154),"")</f>
        <v/>
      </c>
      <c r="BQ47" s="284" t="str">
        <f>IFERROR(SUMPRODUCT(('ANALYSE - ERP =&gt; SOUS-SEGMENT'!$C$8:$C$154=$C47)*'ANALYSE - ERP =&gt; SOUS-SEGMENT'!$Q$8:$Q$154*'ANALYSE - ERP =&gt; SOUS-SEGMENT'!$BJ$8:$BJ$154*'ANALYSE - ERP =&gt; SOUS-SEGMENT'!$BT$8:$BT$154)/SUMPRODUCT(('ANALYSE - ERP =&gt; SOUS-SEGMENT'!$C$8:$C$154=$C47)*'ANALYSE - ERP =&gt; SOUS-SEGMENT'!$Q$8:$Q$154*'ANALYSE - ERP =&gt; SOUS-SEGMENT'!$BJ$8:$BJ$154),"")</f>
        <v/>
      </c>
      <c r="BR47" s="284" t="str">
        <f>IFERROR(SUMPRODUCT(('ANALYSE - ERP =&gt; SOUS-SEGMENT'!$C$8:$C$154=$C47)*'ANALYSE - ERP =&gt; SOUS-SEGMENT'!$Q$8:$Q$154*'ANALYSE - ERP =&gt; SOUS-SEGMENT'!$BJ$8:$BJ$154*'ANALYSE - ERP =&gt; SOUS-SEGMENT'!$BU$8:$BU$154)/SUMPRODUCT(('ANALYSE - ERP =&gt; SOUS-SEGMENT'!$C$8:$C$154=$C47)*'ANALYSE - ERP =&gt; SOUS-SEGMENT'!$Q$8:$Q$154*'ANALYSE - ERP =&gt; SOUS-SEGMENT'!$BJ$8:$BJ$154),"")</f>
        <v/>
      </c>
      <c r="BS47" s="284" t="str">
        <f>IFERROR(SUMPRODUCT(('ANALYSE - ERP =&gt; SOUS-SEGMENT'!$C$8:$C$154=$C47)*'ANALYSE - ERP =&gt; SOUS-SEGMENT'!$Q$8:$Q$154*'ANALYSE - ERP =&gt; SOUS-SEGMENT'!$BJ$8:$BJ$154*'ANALYSE - ERP =&gt; SOUS-SEGMENT'!$BV$8:$BV$154)/SUMPRODUCT(('ANALYSE - ERP =&gt; SOUS-SEGMENT'!$C$8:$C$154=$C47)*'ANALYSE - ERP =&gt; SOUS-SEGMENT'!$Q$8:$Q$154*'ANALYSE - ERP =&gt; SOUS-SEGMENT'!$BJ$8:$BJ$154),"")</f>
        <v/>
      </c>
      <c r="BT47" s="285" t="str">
        <f>IFERROR(SUMPRODUCT(('ANALYSE - ERP =&gt; SOUS-SEGMENT'!$C$8:$C$154=$C47)*'ANALYSE - ERP =&gt; SOUS-SEGMENT'!$Q$8:$Q$154*'ANALYSE - ERP =&gt; SOUS-SEGMENT'!$BF$8:$BF$154*'ANALYSE - ERP =&gt; SOUS-SEGMENT'!$BW$8:$BW$154)/SUMPRODUCT(('ANALYSE - ERP =&gt; SOUS-SEGMENT'!$C$8:$C$154=$C47)*'ANALYSE - ERP =&gt; SOUS-SEGMENT'!$Q$8:$Q$154*'ANALYSE - ERP =&gt; SOUS-SEGMENT'!$BF$8:$BF$154),"")</f>
        <v/>
      </c>
      <c r="BU47" s="285" t="str">
        <f>IFERROR(SUMPRODUCT(('ANALYSE - ERP =&gt; SOUS-SEGMENT'!$C$8:$C$154=$C47)*'ANALYSE - ERP =&gt; SOUS-SEGMENT'!$Q$8:$Q$154*'ANALYSE - ERP =&gt; SOUS-SEGMENT'!$BF$8:$BF$154*'ANALYSE - ERP =&gt; SOUS-SEGMENT'!$BX$8:$BX$154)/SUMPRODUCT(('ANALYSE - ERP =&gt; SOUS-SEGMENT'!$C$8:$C$154=$C47)*'ANALYSE - ERP =&gt; SOUS-SEGMENT'!$Q$8:$Q$154*'ANALYSE - ERP =&gt; SOUS-SEGMENT'!$BF$8:$BF$154),"")</f>
        <v/>
      </c>
      <c r="BV47" s="285" t="str">
        <f>IFERROR(SUMPRODUCT(('ANALYSE - ERP =&gt; SOUS-SEGMENT'!$C$8:$C$154=$C47)*'ANALYSE - ERP =&gt; SOUS-SEGMENT'!$Q$8:$Q$154*'ANALYSE - ERP =&gt; SOUS-SEGMENT'!$BF$8:$BF$154*'ANALYSE - ERP =&gt; SOUS-SEGMENT'!$BY$8:$BY$154)/SUMPRODUCT(('ANALYSE - ERP =&gt; SOUS-SEGMENT'!$C$8:$C$154=$C47)*'ANALYSE - ERP =&gt; SOUS-SEGMENT'!$Q$8:$Q$154*'ANALYSE - ERP =&gt; SOUS-SEGMENT'!$BF$8:$BF$154),"")</f>
        <v/>
      </c>
      <c r="BW47" s="285" t="str">
        <f>IFERROR(SUMPRODUCT(('ANALYSE - ERP =&gt; SOUS-SEGMENT'!$C$8:$C$154=$C47)*'ANALYSE - ERP =&gt; SOUS-SEGMENT'!$Q$8:$Q$154*'ANALYSE - ERP =&gt; SOUS-SEGMENT'!$BK$8:$BK$154*'ANALYSE - ERP =&gt; SOUS-SEGMENT'!$BZ$8:$BZ$154)/SUMPRODUCT(('ANALYSE - ERP =&gt; SOUS-SEGMENT'!$C$8:$C$154=$C47)*'ANALYSE - ERP =&gt; SOUS-SEGMENT'!$Q$8:$Q$154*'ANALYSE - ERP =&gt; SOUS-SEGMENT'!$BK$8:$BK$154),"")</f>
        <v/>
      </c>
      <c r="BX47" s="285" t="str">
        <f>IFERROR(SUMPRODUCT(('ANALYSE - ERP =&gt; SOUS-SEGMENT'!$C$8:$C$154=$C47)*'ANALYSE - ERP =&gt; SOUS-SEGMENT'!$Q$8:$Q$154*'ANALYSE - ERP =&gt; SOUS-SEGMENT'!$BK$8:$BK$154*'ANALYSE - ERP =&gt; SOUS-SEGMENT'!$CA$8:$CA$154)/SUMPRODUCT(('ANALYSE - ERP =&gt; SOUS-SEGMENT'!$C$8:$C$154=$C47)*'ANALYSE - ERP =&gt; SOUS-SEGMENT'!$Q$8:$Q$154*'ANALYSE - ERP =&gt; SOUS-SEGMENT'!$BK$8:$BK$154),"")</f>
        <v/>
      </c>
      <c r="BY47" s="285" t="str">
        <f>IFERROR(SUMPRODUCT(('ANALYSE - ERP =&gt; SOUS-SEGMENT'!$C$8:$C$154=$C47)*'ANALYSE - ERP =&gt; SOUS-SEGMENT'!$Q$8:$Q$154*'ANALYSE - ERP =&gt; SOUS-SEGMENT'!$BK$8:$BK$154*'ANALYSE - ERP =&gt; SOUS-SEGMENT'!$CB$8:$CB$154)/SUMPRODUCT(('ANALYSE - ERP =&gt; SOUS-SEGMENT'!$C$8:$C$154=$C47)*'ANALYSE - ERP =&gt; SOUS-SEGMENT'!$Q$8:$Q$154*'ANALYSE - ERP =&gt; SOUS-SEGMENT'!$BK$8:$BK$154),"")</f>
        <v/>
      </c>
      <c r="BZ47" s="284" t="str">
        <f>IFERROR(SUMPRODUCT(('ANALYSE - ERP =&gt; SOUS-SEGMENT'!$C$8:$C$154=$C47)*'ANALYSE - ERP =&gt; SOUS-SEGMENT'!$Q$8:$Q$154*'ANALYSE - ERP =&gt; SOUS-SEGMENT'!$BG$8:$BG$154*'ANALYSE - ERP =&gt; SOUS-SEGMENT'!$CC$8:$CC$154)/SUMPRODUCT(('ANALYSE - ERP =&gt; SOUS-SEGMENT'!$C$8:$C$154=$C47)*'ANALYSE - ERP =&gt; SOUS-SEGMENT'!$Q$8:$Q$154*'ANALYSE - ERP =&gt; SOUS-SEGMENT'!$BG$8:$BG$154),"")</f>
        <v/>
      </c>
      <c r="CA47" s="284" t="str">
        <f>IFERROR(SUMPRODUCT(('ANALYSE - ERP =&gt; SOUS-SEGMENT'!$C$8:$C$154=$C47)*'ANALYSE - ERP =&gt; SOUS-SEGMENT'!$Q$8:$Q$154*'ANALYSE - ERP =&gt; SOUS-SEGMENT'!$BG$8:$BG$154*'ANALYSE - ERP =&gt; SOUS-SEGMENT'!$CD$8:$CD$154)/SUMPRODUCT(('ANALYSE - ERP =&gt; SOUS-SEGMENT'!$C$8:$C$154=$C47)*'ANALYSE - ERP =&gt; SOUS-SEGMENT'!$Q$8:$Q$154*'ANALYSE - ERP =&gt; SOUS-SEGMENT'!$BG$8:$BG$154),"")</f>
        <v/>
      </c>
      <c r="CB47" s="284" t="str">
        <f>IFERROR(SUMPRODUCT(('ANALYSE - ERP =&gt; SOUS-SEGMENT'!$C$8:$C$154=$C47)*'ANALYSE - ERP =&gt; SOUS-SEGMENT'!$Q$8:$Q$154*'ANALYSE - ERP =&gt; SOUS-SEGMENT'!$BG$8:$BG$154*'ANALYSE - ERP =&gt; SOUS-SEGMENT'!$CE$8:$CE$154)/SUMPRODUCT(('ANALYSE - ERP =&gt; SOUS-SEGMENT'!$C$8:$C$154=$C47)*'ANALYSE - ERP =&gt; SOUS-SEGMENT'!$Q$8:$Q$154*'ANALYSE - ERP =&gt; SOUS-SEGMENT'!$BG$8:$BG$154),"")</f>
        <v/>
      </c>
      <c r="CC47" s="284" t="str">
        <f>IFERROR(SUMPRODUCT(('ANALYSE - ERP =&gt; SOUS-SEGMENT'!$C$8:$C$154=$C47)*'ANALYSE - ERP =&gt; SOUS-SEGMENT'!$Q$8:$Q$154*'ANALYSE - ERP =&gt; SOUS-SEGMENT'!$BG$8:$BG$154*'ANALYSE - ERP =&gt; SOUS-SEGMENT'!$CF$8:$CF$154)/SUMPRODUCT(('ANALYSE - ERP =&gt; SOUS-SEGMENT'!$C$8:$C$154=$C47)*'ANALYSE - ERP =&gt; SOUS-SEGMENT'!$Q$8:$Q$154*'ANALYSE - ERP =&gt; SOUS-SEGMENT'!$BG$8:$BG$154),"")</f>
        <v/>
      </c>
      <c r="CD47" s="284" t="str">
        <f>IFERROR(SUMPRODUCT(('ANALYSE - ERP =&gt; SOUS-SEGMENT'!$C$8:$C$154=$C47)*'ANALYSE - ERP =&gt; SOUS-SEGMENT'!$Q$8:$Q$154*'ANALYSE - ERP =&gt; SOUS-SEGMENT'!$BL$8:$BL$154*'ANALYSE - ERP =&gt; SOUS-SEGMENT'!$CG$8:$CG$154)/SUMPRODUCT(('ANALYSE - ERP =&gt; SOUS-SEGMENT'!$C$8:$C$154=$C47)*'ANALYSE - ERP =&gt; SOUS-SEGMENT'!$Q$8:$Q$154*'ANALYSE - ERP =&gt; SOUS-SEGMENT'!$BL$8:$BL$154),"")</f>
        <v/>
      </c>
      <c r="CE47" s="284" t="str">
        <f>IFERROR(SUMPRODUCT(('ANALYSE - ERP =&gt; SOUS-SEGMENT'!$C$8:$C$154=$C47)*'ANALYSE - ERP =&gt; SOUS-SEGMENT'!$Q$8:$Q$154*'ANALYSE - ERP =&gt; SOUS-SEGMENT'!$BL$8:$BL$154*'ANALYSE - ERP =&gt; SOUS-SEGMENT'!$CH$8:$CH$154)/SUMPRODUCT(('ANALYSE - ERP =&gt; SOUS-SEGMENT'!$C$8:$C$154=$C47)*'ANALYSE - ERP =&gt; SOUS-SEGMENT'!$Q$8:$Q$154*'ANALYSE - ERP =&gt; SOUS-SEGMENT'!$BL$8:$BL$154),"")</f>
        <v/>
      </c>
      <c r="CF47" s="284" t="str">
        <f>IFERROR(SUMPRODUCT(('ANALYSE - ERP =&gt; SOUS-SEGMENT'!$C$8:$C$154=$C47)*'ANALYSE - ERP =&gt; SOUS-SEGMENT'!$Q$8:$Q$154*'ANALYSE - ERP =&gt; SOUS-SEGMENT'!$BL$8:$BL$154*'ANALYSE - ERP =&gt; SOUS-SEGMENT'!$CI$8:$CI$154)/SUMPRODUCT(('ANALYSE - ERP =&gt; SOUS-SEGMENT'!$C$8:$C$154=$C47)*'ANALYSE - ERP =&gt; SOUS-SEGMENT'!$Q$8:$Q$154*'ANALYSE - ERP =&gt; SOUS-SEGMENT'!$BL$8:$BL$154),"")</f>
        <v/>
      </c>
      <c r="CG47" s="284" t="str">
        <f>IFERROR(SUMPRODUCT(('ANALYSE - ERP =&gt; SOUS-SEGMENT'!$C$8:$C$154=$C47)*'ANALYSE - ERP =&gt; SOUS-SEGMENT'!$Q$8:$Q$154*'ANALYSE - ERP =&gt; SOUS-SEGMENT'!$BL$8:$BL$154*'ANALYSE - ERP =&gt; SOUS-SEGMENT'!$CJ$8:$CJ$154)/SUMPRODUCT(('ANALYSE - ERP =&gt; SOUS-SEGMENT'!$C$8:$C$154=$C47)*'ANALYSE - ERP =&gt; SOUS-SEGMENT'!$Q$8:$Q$154*'ANALYSE - ERP =&gt; SOUS-SEGMENT'!$BL$8:$BL$154),"")</f>
        <v/>
      </c>
      <c r="CH47" s="286" t="str">
        <f>IFERROR(SUMPRODUCT(('ANALYSE - ERP =&gt; SOUS-SEGMENT'!$C$8:$C$154=$C47)*'ANALYSE - ERP =&gt; SOUS-SEGMENT'!$Q$8:$Q$154*'ANALYSE - ERP =&gt; SOUS-SEGMENT'!$BH$8:$BH$154*'ANALYSE - ERP =&gt; SOUS-SEGMENT'!$CK$8:$CK$154)/SUMPRODUCT(('ANALYSE - ERP =&gt; SOUS-SEGMENT'!$C$8:$C$154=$C47)*'ANALYSE - ERP =&gt; SOUS-SEGMENT'!$Q$8:$Q$154*'ANALYSE - ERP =&gt; SOUS-SEGMENT'!$BH$8:$BH$154),"")</f>
        <v/>
      </c>
      <c r="CI47" s="286" t="str">
        <f>IFERROR(SUMPRODUCT(('ANALYSE - ERP =&gt; SOUS-SEGMENT'!$C$8:$C$154=$C47)*'ANALYSE - ERP =&gt; SOUS-SEGMENT'!$Q$8:$Q$154*'ANALYSE - ERP =&gt; SOUS-SEGMENT'!$BH$8:$BH$154*'ANALYSE - ERP =&gt; SOUS-SEGMENT'!$CL$8:$CL$154)/SUMPRODUCT(('ANALYSE - ERP =&gt; SOUS-SEGMENT'!$C$8:$C$154=$C47)*'ANALYSE - ERP =&gt; SOUS-SEGMENT'!$Q$8:$Q$154*'ANALYSE - ERP =&gt; SOUS-SEGMENT'!$BH$8:$BH$154),"")</f>
        <v/>
      </c>
      <c r="CJ47" s="286" t="str">
        <f>IFERROR(SUMPRODUCT(('ANALYSE - ERP =&gt; SOUS-SEGMENT'!$C$8:$C$154=$C47)*'ANALYSE - ERP =&gt; SOUS-SEGMENT'!$Q$8:$Q$154*'ANALYSE - ERP =&gt; SOUS-SEGMENT'!$BH$8:$BH$154*'ANALYSE - ERP =&gt; SOUS-SEGMENT'!$CM$8:$CM$154)/SUMPRODUCT(('ANALYSE - ERP =&gt; SOUS-SEGMENT'!$C$8:$C$154=$C47)*'ANALYSE - ERP =&gt; SOUS-SEGMENT'!$Q$8:$Q$154*'ANALYSE - ERP =&gt; SOUS-SEGMENT'!$BH$8:$BH$154),"")</f>
        <v/>
      </c>
      <c r="CK47" s="286" t="str">
        <f>IFERROR(SUMPRODUCT(('ANALYSE - ERP =&gt; SOUS-SEGMENT'!$C$8:$C$154=$C47)*'ANALYSE - ERP =&gt; SOUS-SEGMENT'!$Q$8:$Q$154*'ANALYSE - ERP =&gt; SOUS-SEGMENT'!$BM$8:$BM$154*'ANALYSE - ERP =&gt; SOUS-SEGMENT'!$CN$8:$CN$154)/SUMPRODUCT(('ANALYSE - ERP =&gt; SOUS-SEGMENT'!$C$8:$C$154=$C47)*'ANALYSE - ERP =&gt; SOUS-SEGMENT'!$Q$8:$Q$154*'ANALYSE - ERP =&gt; SOUS-SEGMENT'!$BM$8:$BM$154),"")</f>
        <v/>
      </c>
      <c r="CL47" s="286" t="str">
        <f>IFERROR(SUMPRODUCT(('ANALYSE - ERP =&gt; SOUS-SEGMENT'!$C$8:$C$154=$C47)*'ANALYSE - ERP =&gt; SOUS-SEGMENT'!$Q$8:$Q$154*'ANALYSE - ERP =&gt; SOUS-SEGMENT'!$BM$8:$BM$154*'ANALYSE - ERP =&gt; SOUS-SEGMENT'!$CO$8:$CO$154)/SUMPRODUCT(('ANALYSE - ERP =&gt; SOUS-SEGMENT'!$C$8:$C$154=$C47)*'ANALYSE - ERP =&gt; SOUS-SEGMENT'!$Q$8:$Q$154*'ANALYSE - ERP =&gt; SOUS-SEGMENT'!$BM$8:$BM$154),"")</f>
        <v/>
      </c>
      <c r="CM47" s="286" t="str">
        <f>IFERROR(SUMPRODUCT(('ANALYSE - ERP =&gt; SOUS-SEGMENT'!$C$8:$C$154=$C47)*'ANALYSE - ERP =&gt; SOUS-SEGMENT'!$Q$8:$Q$154*'ANALYSE - ERP =&gt; SOUS-SEGMENT'!$BM$8:$BM$154*'ANALYSE - ERP =&gt; SOUS-SEGMENT'!$CP$8:$CP$154)/SUMPRODUCT(('ANALYSE - ERP =&gt; SOUS-SEGMENT'!$C$8:$C$154=$C47)*'ANALYSE - ERP =&gt; SOUS-SEGMENT'!$Q$8:$Q$154*'ANALYSE - ERP =&gt; SOUS-SEGMENT'!$BM$8:$BM$154),"")</f>
        <v/>
      </c>
      <c r="CN47" s="657"/>
      <c r="CO47" s="883" t="str">
        <f>IFERROR(SUMPRODUCT(('ANALYSE - ERP =&gt; SOUS-SEGMENT'!$C$8:$C$154=$C47)*'ANALYSE - ERP =&gt; SOUS-SEGMENT'!$DH$8:$DH$154*('ANALYSE - ERP =&gt; SOUS-SEGMENT'!$CR$8:$CR$154&gt;0)*'ANALYSE - ERP =&gt; SOUS-SEGMENT'!$CR$8:$CR$154)/SUMPRODUCT(('ANALYSE - ERP =&gt; SOUS-SEGMENT'!$C$8:$C$154=$C47)*'ANALYSE - ERP =&gt; SOUS-SEGMENT'!$DH$8:$DH$154*('ANALYSE - ERP =&gt; SOUS-SEGMENT'!$CR$8:$CR$154&gt;0)),"")</f>
        <v/>
      </c>
      <c r="CP47" s="883" t="str">
        <f>IFERROR(SUMPRODUCT(('ANALYSE - ERP =&gt; SOUS-SEGMENT'!$C$8:$C$154=$C47)*'ANALYSE - ERP =&gt; SOUS-SEGMENT'!$DI$8:$DI$154*('ANALYSE - ERP =&gt; SOUS-SEGMENT'!$CS$8:$CS$154&gt;0)*'ANALYSE - ERP =&gt; SOUS-SEGMENT'!$CS$8:$CS$154)/SUMPRODUCT(('ANALYSE - ERP =&gt; SOUS-SEGMENT'!$C$8:$C$154=$C47)*'ANALYSE - ERP =&gt; SOUS-SEGMENT'!$DI$8:$DI$154*('ANALYSE - ERP =&gt; SOUS-SEGMENT'!$CS$8:$CS$154&gt;0)),"")</f>
        <v/>
      </c>
      <c r="CQ47" s="883" t="str">
        <f>IFERROR(SUMPRODUCT(('ANALYSE - ERP =&gt; SOUS-SEGMENT'!$C$8:$C$154=$C47)*'ANALYSE - ERP =&gt; SOUS-SEGMENT'!$DJ$8:$DJ$154*('ANALYSE - ERP =&gt; SOUS-SEGMENT'!$CT$8:$CT$154&gt;0)*'ANALYSE - ERP =&gt; SOUS-SEGMENT'!$CT$8:$CT$154)/SUMPRODUCT(('ANALYSE - ERP =&gt; SOUS-SEGMENT'!$C$8:$C$154=$C47)*'ANALYSE - ERP =&gt; SOUS-SEGMENT'!$DJ$8:$DJ$154*('ANALYSE - ERP =&gt; SOUS-SEGMENT'!$CT$8:$CT$154&gt;0)),"")</f>
        <v/>
      </c>
      <c r="CR47" s="883" t="str">
        <f>IFERROR(SUMPRODUCT(('ANALYSE - ERP =&gt; SOUS-SEGMENT'!$C$8:$C$154=$C47)*'ANALYSE - ERP =&gt; SOUS-SEGMENT'!$DK$8:$DK$154*('ANALYSE - ERP =&gt; SOUS-SEGMENT'!$CU$8:$CU$154&gt;0)*'ANALYSE - ERP =&gt; SOUS-SEGMENT'!$CU$8:$CU$154)/SUMPRODUCT(('ANALYSE - ERP =&gt; SOUS-SEGMENT'!$C$8:$C$154=$C47)*'ANALYSE - ERP =&gt; SOUS-SEGMENT'!$DK$8:$DK$154*('ANALYSE - ERP =&gt; SOUS-SEGMENT'!$CU$8:$CU$154&gt;0)),"")</f>
        <v/>
      </c>
      <c r="CS47" s="883" t="str">
        <f>IFERROR(SUMPRODUCT(('ANALYSE - ERP =&gt; SOUS-SEGMENT'!$C$8:$C$154=$C47)*'ANALYSE - ERP =&gt; SOUS-SEGMENT'!$DS$8:$DS$154*('ANALYSE - ERP =&gt; SOUS-SEGMENT'!$CV$8:$CV$154&gt;0)*'ANALYSE - ERP =&gt; SOUS-SEGMENT'!$CV$8:$CV$154)/SUMPRODUCT(('ANALYSE - ERP =&gt; SOUS-SEGMENT'!$C$8:$C$154=$C47)*'ANALYSE - ERP =&gt; SOUS-SEGMENT'!$DS$8:$DS$154*('ANALYSE - ERP =&gt; SOUS-SEGMENT'!$CV$8:$CV$154&gt;0)),"")</f>
        <v/>
      </c>
      <c r="CT47" s="883" t="str">
        <f>IFERROR(SUMPRODUCT(('ANALYSE - ERP =&gt; SOUS-SEGMENT'!$C$8:$C$154=$C47)*'ANALYSE - ERP =&gt; SOUS-SEGMENT'!$DT$8:$DT$154*('ANALYSE - ERP =&gt; SOUS-SEGMENT'!$CW$8:$CW$154&gt;0)*'ANALYSE - ERP =&gt; SOUS-SEGMENT'!$CW$8:$CW$154)/SUMPRODUCT(('ANALYSE - ERP =&gt; SOUS-SEGMENT'!$C$8:$C$154=$C47)*'ANALYSE - ERP =&gt; SOUS-SEGMENT'!$DT$8:$DT$154*('ANALYSE - ERP =&gt; SOUS-SEGMENT'!$CW$8:$CW$154&gt;0)),"")</f>
        <v/>
      </c>
      <c r="CU47" s="883" t="str">
        <f>IFERROR(SUMPRODUCT(('ANALYSE - ERP =&gt; SOUS-SEGMENT'!$C$8:$C$154=$C47)*'ANALYSE - ERP =&gt; SOUS-SEGMENT'!$DU$8:$DU$154*('ANALYSE - ERP =&gt; SOUS-SEGMENT'!$CX$8:$CX$154&gt;0)*'ANALYSE - ERP =&gt; SOUS-SEGMENT'!$CX$8:$CX$154)/SUMPRODUCT(('ANALYSE - ERP =&gt; SOUS-SEGMENT'!$C$8:$C$154=$C47)*'ANALYSE - ERP =&gt; SOUS-SEGMENT'!$DU$8:$DU$154*('ANALYSE - ERP =&gt; SOUS-SEGMENT'!$CX$8:$CX$154&gt;0)),"")</f>
        <v/>
      </c>
      <c r="CV47" s="883" t="str">
        <f>IFERROR(SUMPRODUCT(('ANALYSE - ERP =&gt; SOUS-SEGMENT'!$C$8:$C$154=$C47)*'ANALYSE - ERP =&gt; SOUS-SEGMENT'!$EB$8:$EB$154*('ANALYSE - ERP =&gt; SOUS-SEGMENT'!$CY$8:$CY$154&gt;0)*'ANALYSE - ERP =&gt; SOUS-SEGMENT'!$CY$8:$CY$154)/SUMPRODUCT(('ANALYSE - ERP =&gt; SOUS-SEGMENT'!$C$8:$C$154=$C47)*'ANALYSE - ERP =&gt; SOUS-SEGMENT'!$EB$8:$EB$154*('ANALYSE - ERP =&gt; SOUS-SEGMENT'!$CY$8:$CY$154&gt;0)),"")</f>
        <v/>
      </c>
      <c r="CW47" s="883" t="str">
        <f>IFERROR(SUMPRODUCT(('ANALYSE - ERP =&gt; SOUS-SEGMENT'!$C$8:$C$154=$C47)*'ANALYSE - ERP =&gt; SOUS-SEGMENT'!$EC$8:$EC$154*('ANALYSE - ERP =&gt; SOUS-SEGMENT'!$CZ$8:$CZ$154&gt;0)*'ANALYSE - ERP =&gt; SOUS-SEGMENT'!$CZ$8:$CZ$154)/SUMPRODUCT(('ANALYSE - ERP =&gt; SOUS-SEGMENT'!$C$8:$C$154=$C47)*'ANALYSE - ERP =&gt; SOUS-SEGMENT'!$EC$8:$EC$154*('ANALYSE - ERP =&gt; SOUS-SEGMENT'!$CZ$8:$CZ$154&gt;0)),"")</f>
        <v/>
      </c>
      <c r="CX47" s="883" t="str">
        <f>IFERROR(SUMPRODUCT(('ANALYSE - ERP =&gt; SOUS-SEGMENT'!$C$8:$C$154=$C47)*'ANALYSE - ERP =&gt; SOUS-SEGMENT'!$ED$8:$ED$154*('ANALYSE - ERP =&gt; SOUS-SEGMENT'!$DA$8:$DA$154&gt;0)*'ANALYSE - ERP =&gt; SOUS-SEGMENT'!$DA$8:$DA$154)/SUMPRODUCT(('ANALYSE - ERP =&gt; SOUS-SEGMENT'!$C$8:$C$154=$C47)*'ANALYSE - ERP =&gt; SOUS-SEGMENT'!$ED$8:$ED$154*('ANALYSE - ERP =&gt; SOUS-SEGMENT'!$DA$8:$DA$154&gt;0)),"")</f>
        <v/>
      </c>
      <c r="CY47" s="883" t="str">
        <f>IFERROR(SUMPRODUCT(('ANALYSE - ERP =&gt; SOUS-SEGMENT'!$C$8:$C$154=$C47)*'ANALYSE - ERP =&gt; SOUS-SEGMENT'!$EE$8:$EE$154*('ANALYSE - ERP =&gt; SOUS-SEGMENT'!$DB$8:$DB$154&gt;0)*'ANALYSE - ERP =&gt; SOUS-SEGMENT'!$DB$8:$DB$154)/SUMPRODUCT(('ANALYSE - ERP =&gt; SOUS-SEGMENT'!$C$8:$C$154=$C47)*'ANALYSE - ERP =&gt; SOUS-SEGMENT'!$EE$8:$EE$154*('ANALYSE - ERP =&gt; SOUS-SEGMENT'!$DB$8:$DB$154&gt;0)),"")</f>
        <v/>
      </c>
      <c r="CZ47" s="883" t="str">
        <f>IFERROR(SUMPRODUCT(('ANALYSE - ERP =&gt; SOUS-SEGMENT'!$C$8:$C$154=$C47)*'ANALYSE - ERP =&gt; SOUS-SEGMENT'!$EM$8:$EM$154*('ANALYSE - ERP =&gt; SOUS-SEGMENT'!$DC$8:$DC$154&gt;0)*'ANALYSE - ERP =&gt; SOUS-SEGMENT'!$DC$8:$DC$154)/SUMPRODUCT(('ANALYSE - ERP =&gt; SOUS-SEGMENT'!$C$8:$C$154=$C47)*'ANALYSE - ERP =&gt; SOUS-SEGMENT'!$EM$8:$EM$154*('ANALYSE - ERP =&gt; SOUS-SEGMENT'!$DC$8:$DC$154&gt;0)),"")</f>
        <v/>
      </c>
      <c r="DA47" s="883" t="str">
        <f>IFERROR(SUMPRODUCT(('ANALYSE - ERP =&gt; SOUS-SEGMENT'!$C$8:$C$154=$C47)*'ANALYSE - ERP =&gt; SOUS-SEGMENT'!$EN$8:$EN$154*('ANALYSE - ERP =&gt; SOUS-SEGMENT'!$DD$8:$DD$154&gt;0)*'ANALYSE - ERP =&gt; SOUS-SEGMENT'!$DD$8:$DD$154)/SUMPRODUCT(('ANALYSE - ERP =&gt; SOUS-SEGMENT'!$C$8:$C$154=$C47)*'ANALYSE - ERP =&gt; SOUS-SEGMENT'!$EN$8:$EN$154*('ANALYSE - ERP =&gt; SOUS-SEGMENT'!$DD$8:$DD$154&gt;0)),"")</f>
        <v/>
      </c>
      <c r="DB47" s="883" t="str">
        <f>IFERROR(SUMPRODUCT(('ANALYSE - ERP =&gt; SOUS-SEGMENT'!$C$8:$C$154=$C47)*'ANALYSE - ERP =&gt; SOUS-SEGMENT'!$EO$8:$EO$154*('ANALYSE - ERP =&gt; SOUS-SEGMENT'!$DE$8:$DE$154&gt;0)*'ANALYSE - ERP =&gt; SOUS-SEGMENT'!$DE$8:$DE$154)/SUMPRODUCT(('ANALYSE - ERP =&gt; SOUS-SEGMENT'!$C$8:$C$154=$C47)*'ANALYSE - ERP =&gt; SOUS-SEGMENT'!$EO$8:$EO$154*('ANALYSE - ERP =&gt; SOUS-SEGMENT'!$DE$8:$DE$154&gt;0)),"")</f>
        <v/>
      </c>
      <c r="DC47" s="316"/>
      <c r="DD47" s="657"/>
      <c r="DE47" s="288" t="e">
        <f t="shared" si="2"/>
        <v>#VALUE!</v>
      </c>
      <c r="DF47" s="288" t="e">
        <f t="shared" si="3"/>
        <v>#VALUE!</v>
      </c>
      <c r="DG47" s="288" t="e">
        <f t="shared" si="4"/>
        <v>#VALUE!</v>
      </c>
      <c r="DH47" s="288" t="e">
        <f t="shared" si="5"/>
        <v>#VALUE!</v>
      </c>
      <c r="DI47" s="317" t="s">
        <v>7475</v>
      </c>
      <c r="DJ47" s="288" t="e">
        <f t="shared" si="6"/>
        <v>#VALUE!</v>
      </c>
      <c r="DK47" s="288" t="e">
        <f t="shared" si="7"/>
        <v>#VALUE!</v>
      </c>
      <c r="DL47" s="288" t="e">
        <f t="shared" si="8"/>
        <v>#VALUE!</v>
      </c>
      <c r="DM47" s="288" t="e">
        <f t="shared" si="9"/>
        <v>#VALUE!</v>
      </c>
      <c r="DN47" s="318" t="s">
        <v>7476</v>
      </c>
      <c r="DO47" s="657"/>
      <c r="DP47" s="288">
        <f t="shared" si="10"/>
        <v>0</v>
      </c>
      <c r="DQ47" s="288">
        <f t="shared" si="11"/>
        <v>0</v>
      </c>
      <c r="DR47" s="288">
        <f t="shared" si="12"/>
        <v>0</v>
      </c>
      <c r="DS47" s="318" t="s">
        <v>7477</v>
      </c>
      <c r="DT47" s="288">
        <f t="shared" si="13"/>
        <v>0</v>
      </c>
      <c r="DU47" s="288">
        <f t="shared" si="14"/>
        <v>0</v>
      </c>
      <c r="DV47" s="288">
        <f t="shared" si="15"/>
        <v>0</v>
      </c>
      <c r="DW47" s="318" t="s">
        <v>7477</v>
      </c>
      <c r="DX47" s="657"/>
      <c r="DY47" s="288">
        <f t="shared" si="16"/>
        <v>0</v>
      </c>
      <c r="DZ47" s="288">
        <f t="shared" si="17"/>
        <v>0</v>
      </c>
      <c r="EA47" s="288">
        <f t="shared" si="18"/>
        <v>0</v>
      </c>
      <c r="EB47" s="288">
        <f t="shared" si="19"/>
        <v>0</v>
      </c>
      <c r="EC47" s="318" t="s">
        <v>7477</v>
      </c>
      <c r="ED47" s="288">
        <f t="shared" si="20"/>
        <v>0</v>
      </c>
      <c r="EE47" s="288">
        <f t="shared" si="21"/>
        <v>0</v>
      </c>
      <c r="EF47" s="288">
        <f t="shared" si="22"/>
        <v>0</v>
      </c>
      <c r="EG47" s="288">
        <f t="shared" si="23"/>
        <v>0</v>
      </c>
      <c r="EH47" s="318" t="s">
        <v>7478</v>
      </c>
      <c r="EI47" s="290"/>
      <c r="EJ47" s="288" t="e">
        <f t="shared" si="24"/>
        <v>#VALUE!</v>
      </c>
      <c r="EK47" s="291" t="e">
        <f t="shared" si="25"/>
        <v>#VALUE!</v>
      </c>
      <c r="EL47" s="291" t="e">
        <f t="shared" si="26"/>
        <v>#VALUE!</v>
      </c>
      <c r="EM47" s="318" t="s">
        <v>7479</v>
      </c>
      <c r="EN47" s="288" t="e">
        <f t="shared" si="27"/>
        <v>#VALUE!</v>
      </c>
      <c r="EO47" s="291" t="e">
        <f t="shared" si="28"/>
        <v>#VALUE!</v>
      </c>
      <c r="EP47" s="291" t="e">
        <f t="shared" si="29"/>
        <v>#VALUE!</v>
      </c>
      <c r="EQ47" s="318" t="s">
        <v>7480</v>
      </c>
      <c r="ER47" s="657"/>
      <c r="ES47" s="731">
        <f t="shared" si="30"/>
        <v>0</v>
      </c>
      <c r="ET47" s="731">
        <f t="shared" si="31"/>
        <v>0</v>
      </c>
      <c r="EU47" s="292">
        <f t="shared" si="32"/>
        <v>0</v>
      </c>
      <c r="EV47" s="292">
        <f t="shared" si="33"/>
        <v>0</v>
      </c>
      <c r="EW47" s="292">
        <f t="shared" si="34"/>
        <v>0</v>
      </c>
      <c r="EX47" s="292">
        <f t="shared" si="35"/>
        <v>0</v>
      </c>
      <c r="EY47" s="292">
        <f>SUMPRODUCT(('ANALYSE - ERP =&gt; SOUS-SEGMENT'!$C$8:$C$154=$C47)*'ANALYSE - ERP =&gt; SOUS-SEGMENT'!$Q$8:$Q$154*'ANALYSE - ERP =&gt; SOUS-SEGMENT'!$FB$8:$FB$154)</f>
        <v>0</v>
      </c>
      <c r="EZ47" s="292">
        <f>SUMPRODUCT(('ANALYSE - ERP =&gt; SOUS-SEGMENT'!$C$8:$C$154=$C47)*'ANALYSE - ERP =&gt; SOUS-SEGMENT'!$Q$8:$Q$154*'ANALYSE - ERP =&gt; SOUS-SEGMENT'!$FC$8:$FC$154)</f>
        <v>0</v>
      </c>
      <c r="FA47" s="292">
        <f t="shared" si="36"/>
        <v>0</v>
      </c>
      <c r="FB47" s="292">
        <f>SUMPRODUCT(('ANALYSE - ERP =&gt; SOUS-SEGMENT'!$C$8:$C$154=$C47)*'ANALYSE - ERP =&gt; SOUS-SEGMENT'!$Q$8:$Q$154*'ANALYSE - ERP =&gt; SOUS-SEGMENT'!$FE$8:$FE$154)</f>
        <v>0</v>
      </c>
      <c r="FC47" s="292">
        <f>SUMPRODUCT(('ANALYSE - ERP =&gt; SOUS-SEGMENT'!$C$8:$C$154=$C47)*'ANALYSE - ERP =&gt; SOUS-SEGMENT'!$Q$8:$Q$154*'ANALYSE - ERP =&gt; SOUS-SEGMENT'!$FF$8:$FF$154)</f>
        <v>0</v>
      </c>
      <c r="FD47" s="292">
        <f t="shared" si="37"/>
        <v>0</v>
      </c>
      <c r="FE47" s="292">
        <f>SUMPRODUCT(('ANALYSE - ERP =&gt; SOUS-SEGMENT'!$C$8:$C$154=$C47)*'ANALYSE - ERP =&gt; SOUS-SEGMENT'!$Q$8:$Q$154*'ANALYSE - ERP =&gt; SOUS-SEGMENT'!$FH$8:$FH$154)</f>
        <v>0</v>
      </c>
      <c r="FF47" s="292">
        <f>SUMPRODUCT(('ANALYSE - ERP =&gt; SOUS-SEGMENT'!$C$8:$C$154=$C47)*'ANALYSE - ERP =&gt; SOUS-SEGMENT'!$Q$8:$Q$154*'ANALYSE - ERP =&gt; SOUS-SEGMENT'!$FI$8:$FI$154)</f>
        <v>0</v>
      </c>
      <c r="FG47" s="292">
        <f t="shared" si="38"/>
        <v>0</v>
      </c>
      <c r="FH47" s="292">
        <f>SUMPRODUCT(('ANALYSE - ERP =&gt; SOUS-SEGMENT'!$C$8:$C$154=$C47)*'ANALYSE - ERP =&gt; SOUS-SEGMENT'!$Q$8:$Q$154*'ANALYSE - ERP =&gt; SOUS-SEGMENT'!$FK$8:$FK$154)</f>
        <v>0</v>
      </c>
      <c r="FI47" s="292">
        <f>SUMPRODUCT(('ANALYSE - ERP =&gt; SOUS-SEGMENT'!$C$8:$C$154=$C47)*'ANALYSE - ERP =&gt; SOUS-SEGMENT'!$Q$8:$Q$154*'ANALYSE - ERP =&gt; SOUS-SEGMENT'!$FL$8:$FL$154)</f>
        <v>0</v>
      </c>
      <c r="FJ47" s="657"/>
      <c r="FK47" s="319" t="s">
        <v>2616</v>
      </c>
      <c r="FL47" s="731" t="str">
        <f>IFERROR(SUMPRODUCT(('ANALYSE - ERP =&gt; SOUS-SEGMENT'!$C$8:$C$154=$C47)*'ANALYSE - ERP =&gt; SOUS-SEGMENT'!$Q$8:$Q$154*'ANALYSE - ERP =&gt; SOUS-SEGMENT'!$AF$8:$AF$154*'ANALYSE - ERP =&gt; SOUS-SEGMENT'!$FO$8:$FO$154)/SUMPRODUCT(('ANALYSE - ERP =&gt; SOUS-SEGMENT'!$C$8:$C$154=$C47)*'ANALYSE - ERP =&gt; SOUS-SEGMENT'!$Q$8:$Q$154*'ANALYSE - ERP =&gt; SOUS-SEGMENT'!$AF$8:$AF$154),"")</f>
        <v/>
      </c>
      <c r="FM47" s="732" t="str">
        <f>IFERROR(SUMPRODUCT(('ANALYSE - ERP =&gt; SOUS-SEGMENT'!$C$8:$C$154=$C47)*'ANALYSE - ERP =&gt; SOUS-SEGMENT'!$Q$8:$Q$154*'ANALYSE - ERP =&gt; SOUS-SEGMENT'!$AF$8:$AF$154*'ANALYSE - ERP =&gt; SOUS-SEGMENT'!$FP$8:$FP$154)/SUMPRODUCT(('ANALYSE - ERP =&gt; SOUS-SEGMENT'!$C$8:$C$154=$C47)*'ANALYSE - ERP =&gt; SOUS-SEGMENT'!$Q$8:$Q$154*'ANALYSE - ERP =&gt; SOUS-SEGMENT'!$AF$8:$AF$154),"")</f>
        <v/>
      </c>
      <c r="FN47" s="320" t="s">
        <v>5204</v>
      </c>
      <c r="FO47" s="657"/>
      <c r="FP47" s="887" t="str">
        <f>IFERROR(SUMPRODUCT(('ANALYSE - ERP =&gt; SOUS-SEGMENT'!$C$8:$C$154=$C47)*'ANALYSE - ERP =&gt; SOUS-SEGMENT'!$Q$8:$Q$154*'ANALYSE - ERP =&gt; SOUS-SEGMENT'!$EX$8:$EX$154*'ANALYSE - ERP =&gt; SOUS-SEGMENT'!$FS$8:$FS$154)/SUMPRODUCT(('ANALYSE - ERP =&gt; SOUS-SEGMENT'!$C$8:$C$154=$C47)*'ANALYSE - ERP =&gt; SOUS-SEGMENT'!$Q$8:$Q$154*'ANALYSE - ERP =&gt; SOUS-SEGMENT'!$EX$8:$EX$154),"")</f>
        <v/>
      </c>
      <c r="FQ47" s="295" t="e">
        <f>RANK($FP47,$FP$8:$FP$143,0)+COUNTIF($FP$8:$FP47,$FP47)-1</f>
        <v>#VALUE!</v>
      </c>
      <c r="FR47" s="887" t="str">
        <f>IFERROR(SUMPRODUCT(('ANALYSE - ERP =&gt; SOUS-SEGMENT'!$C$8:$C$154=$C47)*'ANALYSE - ERP =&gt; SOUS-SEGMENT'!$Q$8:$Q$154*'ANALYSE - ERP =&gt; SOUS-SEGMENT'!$EY$8:$EY$154*'ANALYSE - ERP =&gt; SOUS-SEGMENT'!$FU$8:$FU$154)/SUMPRODUCT(('ANALYSE - ERP =&gt; SOUS-SEGMENT'!$C$8:$C$154=$C47)*'ANALYSE - ERP =&gt; SOUS-SEGMENT'!$Q$8:$Q$154*'ANALYSE - ERP =&gt; SOUS-SEGMENT'!$EY$8:$EY$154),"")</f>
        <v/>
      </c>
      <c r="FS47" s="295" t="e">
        <f>RANK($FR47,$FR$8:$FR$143,0)+COUNTIF($FR$8:$FR47,$FR47)-1</f>
        <v>#VALUE!</v>
      </c>
      <c r="FT47" s="887" t="str">
        <f>IFERROR(SUMPRODUCT(('ANALYSE - ERP =&gt; SOUS-SEGMENT'!$C$8:$C$154=$C47)*'ANALYSE - ERP =&gt; SOUS-SEGMENT'!$Q$8:$Q$154*'ANALYSE - ERP =&gt; SOUS-SEGMENT'!$EZ$8:$EZ$154*'ANALYSE - ERP =&gt; SOUS-SEGMENT'!$FW$8:$FW$154)/SUMPRODUCT(('ANALYSE - ERP =&gt; SOUS-SEGMENT'!$C$8:$C$154=$C47)*'ANALYSE - ERP =&gt; SOUS-SEGMENT'!$Q$8:$Q$154*'ANALYSE - ERP =&gt; SOUS-SEGMENT'!$EZ$8:$EZ$154),"")</f>
        <v/>
      </c>
      <c r="FU47" s="295" t="e">
        <f>RANK($FT47,$FT$8:$FT$143,0)+COUNTIF($FT$8:$FT47,$FT47)-1</f>
        <v>#VALUE!</v>
      </c>
      <c r="FV47" s="657"/>
      <c r="FW47" s="321" t="s">
        <v>7481</v>
      </c>
      <c r="FX47" s="321" t="s">
        <v>7482</v>
      </c>
      <c r="FY47" s="321" t="s">
        <v>7483</v>
      </c>
      <c r="FZ47" s="321" t="s">
        <v>7484</v>
      </c>
      <c r="GA47" s="321" t="s">
        <v>7485</v>
      </c>
      <c r="GB47" s="321" t="s">
        <v>7486</v>
      </c>
      <c r="GC47" s="321" t="s">
        <v>6759</v>
      </c>
      <c r="GD47" s="657"/>
      <c r="GE47" s="292">
        <f>SUMPRODUCT(('ANALYSE - ERP =&gt; SOUS-SEGMENT'!$C$8:$C$154=$C47)*'ANALYSE - ERP =&gt; SOUS-SEGMENT'!$Q$8:$Q$154*'ANALYSE - ERP =&gt; SOUS-SEGMENT'!$GH$8:$GH$154)</f>
        <v>0</v>
      </c>
      <c r="GF47" s="292">
        <f>SUMPRODUCT(('ANALYSE - ERP =&gt; SOUS-SEGMENT'!$C$8:$C$154=$C47)*'ANALYSE - ERP =&gt; SOUS-SEGMENT'!$Q$8:$Q$154*'ANALYSE - ERP =&gt; SOUS-SEGMENT'!$GI$8:$GI$154)</f>
        <v>0</v>
      </c>
      <c r="GG47" s="292">
        <f>SUMPRODUCT(('ANALYSE - ERP =&gt; SOUS-SEGMENT'!$C$8:$C$154=$C47)*'ANALYSE - ERP =&gt; SOUS-SEGMENT'!$Q$8:$Q$154*'ANALYSE - ERP =&gt; SOUS-SEGMENT'!$GJ$8:$GJ$154)</f>
        <v>0</v>
      </c>
      <c r="GH47" s="292">
        <f>SUMPRODUCT(('ANALYSE - ERP =&gt; SOUS-SEGMENT'!$C$8:$C$154=$C47)*'ANALYSE - ERP =&gt; SOUS-SEGMENT'!$Q$8:$Q$154*'ANALYSE - ERP =&gt; SOUS-SEGMENT'!$GK$8:$GK$154)</f>
        <v>0</v>
      </c>
      <c r="GI47" s="292">
        <f>SUMPRODUCT(('ANALYSE - ERP =&gt; SOUS-SEGMENT'!$C$8:$C$154=$C47)*'ANALYSE - ERP =&gt; SOUS-SEGMENT'!$Q$8:$Q$154*'ANALYSE - ERP =&gt; SOUS-SEGMENT'!$GL$8:$GL$154)</f>
        <v>0</v>
      </c>
      <c r="GJ47" s="292">
        <f>SUMPRODUCT(('ANALYSE - ERP =&gt; SOUS-SEGMENT'!$C$8:$C$154=$C47)*'ANALYSE - ERP =&gt; SOUS-SEGMENT'!$Q$8:$Q$154*'ANALYSE - ERP =&gt; SOUS-SEGMENT'!$GM$8:$GM$154)</f>
        <v>0</v>
      </c>
      <c r="GK47" s="292">
        <f>SUMPRODUCT(('ANALYSE - ERP =&gt; SOUS-SEGMENT'!$C$8:$C$154=$C47)*'ANALYSE - ERP =&gt; SOUS-SEGMENT'!$Q$8:$Q$154*'ANALYSE - ERP =&gt; SOUS-SEGMENT'!$GN$8:$GN$154)</f>
        <v>0</v>
      </c>
      <c r="GL47" s="292">
        <f>SUMPRODUCT(('ANALYSE - ERP =&gt; SOUS-SEGMENT'!$C$8:$C$154=$C47)*'ANALYSE - ERP =&gt; SOUS-SEGMENT'!$Q$8:$Q$154*'ANALYSE - ERP =&gt; SOUS-SEGMENT'!$GO$8:$GO$154)</f>
        <v>0</v>
      </c>
      <c r="GM47" s="292">
        <f>SUMPRODUCT(('ANALYSE - ERP =&gt; SOUS-SEGMENT'!$C$8:$C$154=$C47)*'ANALYSE - ERP =&gt; SOUS-SEGMENT'!$Q$8:$Q$154*'ANALYSE - ERP =&gt; SOUS-SEGMENT'!$GP$8:$GP$154)</f>
        <v>0</v>
      </c>
      <c r="GN47" s="292">
        <f>SUMPRODUCT(('ANALYSE - ERP =&gt; SOUS-SEGMENT'!$C$8:$C$154=$C47)*'ANALYSE - ERP =&gt; SOUS-SEGMENT'!$Q$8:$Q$154*'ANALYSE - ERP =&gt; SOUS-SEGMENT'!$GQ$8:$GQ$154)</f>
        <v>0</v>
      </c>
      <c r="GO47" s="292">
        <f>SUMPRODUCT(('ANALYSE - ERP =&gt; SOUS-SEGMENT'!$C$8:$C$154=$C47)*'ANALYSE - ERP =&gt; SOUS-SEGMENT'!$Q$8:$Q$154*'ANALYSE - ERP =&gt; SOUS-SEGMENT'!$GR$8:$GR$154)</f>
        <v>0</v>
      </c>
      <c r="GP47" s="292">
        <f>SUMPRODUCT(('ANALYSE - ERP =&gt; SOUS-SEGMENT'!$C$8:$C$154=$C47)*'ANALYSE - ERP =&gt; SOUS-SEGMENT'!$Q$8:$Q$154*'ANALYSE - ERP =&gt; SOUS-SEGMENT'!$GS$8:$GS$154)</f>
        <v>0</v>
      </c>
      <c r="GQ47" s="292">
        <f>SUMPRODUCT(('ANALYSE - ERP =&gt; SOUS-SEGMENT'!$C$8:$C$154=$C47)*'ANALYSE - ERP =&gt; SOUS-SEGMENT'!$Q$8:$Q$154*'ANALYSE - ERP =&gt; SOUS-SEGMENT'!$GT$8:$GT$154)</f>
        <v>0</v>
      </c>
      <c r="GR47" s="292">
        <f>SUMPRODUCT(('ANALYSE - ERP =&gt; SOUS-SEGMENT'!$C$8:$C$154=$C47)*'ANALYSE - ERP =&gt; SOUS-SEGMENT'!$Q$8:$Q$154*'ANALYSE - ERP =&gt; SOUS-SEGMENT'!$GU$8:$GU$154)</f>
        <v>0</v>
      </c>
      <c r="GS47" s="292">
        <f>SUMPRODUCT(('ANALYSE - ERP =&gt; SOUS-SEGMENT'!$C$8:$C$154=$C47)*'ANALYSE - ERP =&gt; SOUS-SEGMENT'!$Q$8:$Q$154*'ANALYSE - ERP =&gt; SOUS-SEGMENT'!$GV$8:$GV$154)</f>
        <v>0</v>
      </c>
      <c r="GT47" s="292">
        <f>SUMPRODUCT(('ANALYSE - ERP =&gt; SOUS-SEGMENT'!$C$8:$C$154=$C47)*'ANALYSE - ERP =&gt; SOUS-SEGMENT'!$Q$8:$Q$154*'ANALYSE - ERP =&gt; SOUS-SEGMENT'!$GW$8:$GW$154)</f>
        <v>0</v>
      </c>
      <c r="GU47" s="292">
        <f>SUMPRODUCT(('ANALYSE - ERP =&gt; SOUS-SEGMENT'!$C$8:$C$154=$C47)*'ANALYSE - ERP =&gt; SOUS-SEGMENT'!$Q$8:$Q$154*'ANALYSE - ERP =&gt; SOUS-SEGMENT'!$GX$8:$GX$154)</f>
        <v>0</v>
      </c>
      <c r="GV47" s="292">
        <f>SUMPRODUCT(('ANALYSE - ERP =&gt; SOUS-SEGMENT'!$C$8:$C$154=$C47)*'ANALYSE - ERP =&gt; SOUS-SEGMENT'!$Q$8:$Q$154*'ANALYSE - ERP =&gt; SOUS-SEGMENT'!$GY$8:$GY$154)</f>
        <v>0</v>
      </c>
      <c r="GW47" s="292">
        <f>SUMPRODUCT(('ANALYSE - ERP =&gt; SOUS-SEGMENT'!$C$8:$C$154=$C47)*'ANALYSE - ERP =&gt; SOUS-SEGMENT'!$Q$8:$Q$154*'ANALYSE - ERP =&gt; SOUS-SEGMENT'!$GZ$8:$GZ$154)</f>
        <v>0</v>
      </c>
      <c r="GX47" s="292">
        <f>SUMPRODUCT(('ANALYSE - ERP =&gt; SOUS-SEGMENT'!$C$8:$C$154=$C47)*'ANALYSE - ERP =&gt; SOUS-SEGMENT'!$Q$8:$Q$154*'ANALYSE - ERP =&gt; SOUS-SEGMENT'!$HA$8:$HA$154)</f>
        <v>0</v>
      </c>
      <c r="GY47" s="292">
        <f>SUMPRODUCT(('ANALYSE - ERP =&gt; SOUS-SEGMENT'!$C$8:$C$154=$C47)*'ANALYSE - ERP =&gt; SOUS-SEGMENT'!$Q$8:$Q$154*'ANALYSE - ERP =&gt; SOUS-SEGMENT'!$HB$8:$HB$154)</f>
        <v>0</v>
      </c>
      <c r="GZ47" s="292">
        <f>SUMPRODUCT(('ANALYSE - ERP =&gt; SOUS-SEGMENT'!$C$8:$C$154=$C47)*'ANALYSE - ERP =&gt; SOUS-SEGMENT'!$Q$8:$Q$154*'ANALYSE - ERP =&gt; SOUS-SEGMENT'!$HC$8:$HC$154)</f>
        <v>0</v>
      </c>
      <c r="HA47" s="292">
        <f>SUMPRODUCT(('ANALYSE - ERP =&gt; SOUS-SEGMENT'!$C$8:$C$154=$C47)*'ANALYSE - ERP =&gt; SOUS-SEGMENT'!$Q$8:$Q$154*'ANALYSE - ERP =&gt; SOUS-SEGMENT'!$HD$8:$HD$154)</f>
        <v>0</v>
      </c>
      <c r="HB47" s="292">
        <f>SUMPRODUCT(('ANALYSE - ERP =&gt; SOUS-SEGMENT'!$C$8:$C$154=$C47)*'ANALYSE - ERP =&gt; SOUS-SEGMENT'!$Q$8:$Q$154*'ANALYSE - ERP =&gt; SOUS-SEGMENT'!$HE$8:$HE$154)</f>
        <v>0</v>
      </c>
      <c r="HC47" s="292">
        <f>SUMPRODUCT(('ANALYSE - ERP =&gt; SOUS-SEGMENT'!$C$8:$C$154=$C47)*'ANALYSE - ERP =&gt; SOUS-SEGMENT'!$Q$8:$Q$154*'ANALYSE - ERP =&gt; SOUS-SEGMENT'!$HF$8:$HF$154)</f>
        <v>0</v>
      </c>
      <c r="HD47" s="292">
        <f>SUMPRODUCT(('ANALYSE - ERP =&gt; SOUS-SEGMENT'!$C$8:$C$154=$C47)*'ANALYSE - ERP =&gt; SOUS-SEGMENT'!$Q$8:$Q$154*'ANALYSE - ERP =&gt; SOUS-SEGMENT'!$HG$8:$HG$154)</f>
        <v>0</v>
      </c>
      <c r="HE47" s="292">
        <f>SUMPRODUCT(('ANALYSE - ERP =&gt; SOUS-SEGMENT'!$C$8:$C$154=$C47)*'ANALYSE - ERP =&gt; SOUS-SEGMENT'!$Q$8:$Q$154*'ANALYSE - ERP =&gt; SOUS-SEGMENT'!$HH$8:$HH$154)</f>
        <v>0</v>
      </c>
      <c r="HF47" s="292">
        <f>SUMPRODUCT(('ANALYSE - ERP =&gt; SOUS-SEGMENT'!$C$8:$C$154=$C47)*'ANALYSE - ERP =&gt; SOUS-SEGMENT'!$Q$8:$Q$154*'ANALYSE - ERP =&gt; SOUS-SEGMENT'!$HI$8:$HI$154)</f>
        <v>0</v>
      </c>
      <c r="HG47" s="292">
        <f>SUMPRODUCT(('ANALYSE - ERP =&gt; SOUS-SEGMENT'!$C$8:$C$154=$C47)*'ANALYSE - ERP =&gt; SOUS-SEGMENT'!$Q$8:$Q$154*'ANALYSE - ERP =&gt; SOUS-SEGMENT'!$HJ$8:$HJ$154)</f>
        <v>0</v>
      </c>
      <c r="HH47" s="292">
        <f>SUMPRODUCT(('ANALYSE - ERP =&gt; SOUS-SEGMENT'!$C$8:$C$154=$C47)*'ANALYSE - ERP =&gt; SOUS-SEGMENT'!$Q$8:$Q$154*'ANALYSE - ERP =&gt; SOUS-SEGMENT'!$HK$8:$HK$154)</f>
        <v>0</v>
      </c>
      <c r="HI47" s="292">
        <f>SUMPRODUCT(('ANALYSE - ERP =&gt; SOUS-SEGMENT'!$C$8:$C$154=$C47)*'ANALYSE - ERP =&gt; SOUS-SEGMENT'!$Q$8:$Q$154*'ANALYSE - ERP =&gt; SOUS-SEGMENT'!$HL$8:$HL$154)</f>
        <v>0</v>
      </c>
      <c r="HJ47" s="292">
        <f>SUMPRODUCT(('ANALYSE - ERP =&gt; SOUS-SEGMENT'!$C$8:$C$154=$C47)*'ANALYSE - ERP =&gt; SOUS-SEGMENT'!$Q$8:$Q$154*'ANALYSE - ERP =&gt; SOUS-SEGMENT'!$HM$8:$HM$154)</f>
        <v>0</v>
      </c>
      <c r="HK47" s="292">
        <f>SUMPRODUCT(('ANALYSE - ERP =&gt; SOUS-SEGMENT'!$C$8:$C$154=$C47)*'ANALYSE - ERP =&gt; SOUS-SEGMENT'!$Q$8:$Q$154*'ANALYSE - ERP =&gt; SOUS-SEGMENT'!$HN$8:$HN$154)</f>
        <v>0</v>
      </c>
      <c r="HL47" s="292">
        <f>SUMPRODUCT(('ANALYSE - ERP =&gt; SOUS-SEGMENT'!$C$8:$C$154=$C47)*'ANALYSE - ERP =&gt; SOUS-SEGMENT'!$Q$8:$Q$154*'ANALYSE - ERP =&gt; SOUS-SEGMENT'!$HO$8:$HO$154)</f>
        <v>0</v>
      </c>
      <c r="HM47" s="292">
        <f>SUMPRODUCT(('ANALYSE - ERP =&gt; SOUS-SEGMENT'!$C$8:$C$154=$C47)*'ANALYSE - ERP =&gt; SOUS-SEGMENT'!$Q$8:$Q$154*'ANALYSE - ERP =&gt; SOUS-SEGMENT'!$HP$8:$HP$154)</f>
        <v>0</v>
      </c>
      <c r="HN47" s="292">
        <f>SUMPRODUCT(('ANALYSE - ERP =&gt; SOUS-SEGMENT'!$C$8:$C$154=$C47)*'ANALYSE - ERP =&gt; SOUS-SEGMENT'!$Q$8:$Q$154*'ANALYSE - ERP =&gt; SOUS-SEGMENT'!$HQ$8:$HQ$154)</f>
        <v>0</v>
      </c>
      <c r="HO47" s="292">
        <f>SUMPRODUCT(('ANALYSE - ERP =&gt; SOUS-SEGMENT'!$C$8:$C$154=$C47)*'ANALYSE - ERP =&gt; SOUS-SEGMENT'!$Q$8:$Q$154*'ANALYSE - ERP =&gt; SOUS-SEGMENT'!$HR$8:$HR$154)</f>
        <v>0</v>
      </c>
      <c r="HP47" s="292">
        <f>SUMPRODUCT(('ANALYSE - ERP =&gt; SOUS-SEGMENT'!$C$8:$C$154=$C47)*'ANALYSE - ERP =&gt; SOUS-SEGMENT'!$Q$8:$Q$154*'ANALYSE - ERP =&gt; SOUS-SEGMENT'!$HS$8:$HS$154)</f>
        <v>0</v>
      </c>
      <c r="HQ47" s="292">
        <f>SUMPRODUCT(('ANALYSE - ERP =&gt; SOUS-SEGMENT'!$C$8:$C$154=$C47)*'ANALYSE - ERP =&gt; SOUS-SEGMENT'!$Q$8:$Q$154*'ANALYSE - ERP =&gt; SOUS-SEGMENT'!$HT$8:$HT$154)</f>
        <v>0</v>
      </c>
      <c r="HR47" s="292">
        <f>SUMPRODUCT(('ANALYSE - ERP =&gt; SOUS-SEGMENT'!$C$8:$C$154=$C47)*'ANALYSE - ERP =&gt; SOUS-SEGMENT'!$Q$8:$Q$154*'ANALYSE - ERP =&gt; SOUS-SEGMENT'!$HU$8:$HU$154)</f>
        <v>0</v>
      </c>
      <c r="HS47" s="292">
        <f>SUMPRODUCT(('ANALYSE - ERP =&gt; SOUS-SEGMENT'!$C$8:$C$154=$C47)*'ANALYSE - ERP =&gt; SOUS-SEGMENT'!$Q$8:$Q$154*'ANALYSE - ERP =&gt; SOUS-SEGMENT'!$HV$8:$HV$154)</f>
        <v>0</v>
      </c>
      <c r="HT47" s="292">
        <f>SUMPRODUCT(('ANALYSE - ERP =&gt; SOUS-SEGMENT'!$C$8:$C$154=$C47)*'ANALYSE - ERP =&gt; SOUS-SEGMENT'!$Q$8:$Q$154*'ANALYSE - ERP =&gt; SOUS-SEGMENT'!$HW$8:$HW$154)</f>
        <v>0</v>
      </c>
      <c r="HU47" s="676"/>
      <c r="HV47" s="297">
        <f t="shared" si="40"/>
        <v>0</v>
      </c>
      <c r="HW47" s="297">
        <f>SUMPRODUCT(('ANALYSE - ERP =&gt; SOUS-SEGMENT'!$C$8:$C$154=$C47)*'ANALYSE - ERP =&gt; SOUS-SEGMENT'!$Q$8:$Q$154*'ANALYSE - ERP =&gt; SOUS-SEGMENT'!$HZ$8:$HZ$154)</f>
        <v>0</v>
      </c>
      <c r="HX47" s="297">
        <f>SUMPRODUCT(('ANALYSE - ERP =&gt; SOUS-SEGMENT'!$C$8:$C$154=$C47)*'ANALYSE - ERP =&gt; SOUS-SEGMENT'!$Q$8:$Q$154*'ANALYSE - ERP =&gt; SOUS-SEGMENT'!$IA$8:$IA$154)</f>
        <v>0</v>
      </c>
      <c r="HY47" s="297">
        <f>SUMPRODUCT(('ANALYSE - ERP =&gt; SOUS-SEGMENT'!$C$8:$C$154=$C47)*'ANALYSE - ERP =&gt; SOUS-SEGMENT'!$Q$8:$Q$154*'ANALYSE - ERP =&gt; SOUS-SEGMENT'!$IB$8:$IB$154)</f>
        <v>0</v>
      </c>
      <c r="HZ47" s="297">
        <f>SUMPRODUCT(('ANALYSE - ERP =&gt; SOUS-SEGMENT'!$C$8:$C$154=$C47)*'ANALYSE - ERP =&gt; SOUS-SEGMENT'!$Q$8:$Q$154*'ANALYSE - ERP =&gt; SOUS-SEGMENT'!$IC$8:$IC$154)</f>
        <v>0</v>
      </c>
      <c r="IA47" s="297">
        <f>SUMPRODUCT(('ANALYSE - ERP =&gt; SOUS-SEGMENT'!$C$8:$C$154=$C47)*'ANALYSE - ERP =&gt; SOUS-SEGMENT'!$Q$8:$Q$154*'ANALYSE - ERP =&gt; SOUS-SEGMENT'!$ID$8:$ID$154)</f>
        <v>0</v>
      </c>
      <c r="IB47" s="297">
        <f>SUMPRODUCT(('ANALYSE - ERP =&gt; SOUS-SEGMENT'!$C$8:$C$154=$C47)*'ANALYSE - ERP =&gt; SOUS-SEGMENT'!$Q$8:$Q$154*'ANALYSE - ERP =&gt; SOUS-SEGMENT'!$IE$8:$IE$154)</f>
        <v>0</v>
      </c>
      <c r="IC47" s="297">
        <f>SUMPRODUCT(('ANALYSE - ERP =&gt; SOUS-SEGMENT'!$C$8:$C$154=$C47)*'ANALYSE - ERP =&gt; SOUS-SEGMENT'!$Q$8:$Q$154*'ANALYSE - ERP =&gt; SOUS-SEGMENT'!$IF$8:$IF$154)</f>
        <v>0</v>
      </c>
      <c r="ID47" s="297">
        <f>SUMPRODUCT(('ANALYSE - ERP =&gt; SOUS-SEGMENT'!$C$8:$C$154=$C47)*'ANALYSE - ERP =&gt; SOUS-SEGMENT'!$Q$8:$Q$154*'ANALYSE - ERP =&gt; SOUS-SEGMENT'!$IG$8:$IG$154)</f>
        <v>0</v>
      </c>
      <c r="IE47" s="297">
        <f>SUMPRODUCT(('ANALYSE - ERP =&gt; SOUS-SEGMENT'!$C$8:$C$154=$C47)*'ANALYSE - ERP =&gt; SOUS-SEGMENT'!$Q$8:$Q$154*'ANALYSE - ERP =&gt; SOUS-SEGMENT'!$IH$8:$IH$154)</f>
        <v>0</v>
      </c>
      <c r="IF47" s="297">
        <f>SUMPRODUCT(('ANALYSE - ERP =&gt; SOUS-SEGMENT'!$C$8:$C$154=$C47)*'ANALYSE - ERP =&gt; SOUS-SEGMENT'!$Q$8:$Q$154*'ANALYSE - ERP =&gt; SOUS-SEGMENT'!$II$8:$II$154)</f>
        <v>0</v>
      </c>
      <c r="IG47" s="297">
        <f>SUMPRODUCT(('ANALYSE - ERP =&gt; SOUS-SEGMENT'!$C$8:$C$154=$C47)*'ANALYSE - ERP =&gt; SOUS-SEGMENT'!$Q$8:$Q$154*'ANALYSE - ERP =&gt; SOUS-SEGMENT'!$IJ$8:$IJ$154)</f>
        <v>0</v>
      </c>
      <c r="IH47" s="888"/>
      <c r="II47" s="298" t="s">
        <v>2780</v>
      </c>
      <c r="IJ47" s="322" t="s">
        <v>6760</v>
      </c>
      <c r="IK47" s="657"/>
      <c r="IL47" s="733">
        <f>IFERROR(SUMPRODUCT(('ANALYSE - ERP =&gt; SOUS-SEGMENT'!$C$8:$C$154=$C47)*'ANALYSE - ERP =&gt; SOUS-SEGMENT'!$Q$8:$Q$154*'ANALYSE - ERP =&gt; SOUS-SEGMENT'!$BE$8:$BE$154*'ANALYSE - ERP =&gt; SOUS-SEGMENT'!$IO$8:$IO$154)/SUMPRODUCT(('ANALYSE - ERP =&gt; SOUS-SEGMENT'!$C$8:$C$154=$C47)*'ANALYSE - ERP =&gt; SOUS-SEGMENT'!$Q$8:$Q$154*'ANALYSE - ERP =&gt; SOUS-SEGMENT'!$BE$8:$BE$154),0)</f>
        <v>0</v>
      </c>
      <c r="IM47" s="733">
        <f>IFERROR(SUMPRODUCT(('ANALYSE - ERP =&gt; SOUS-SEGMENT'!$C$8:$C$154=$C47)*'ANALYSE - ERP =&gt; SOUS-SEGMENT'!$Q$8:$Q$154*'ANALYSE - ERP =&gt; SOUS-SEGMENT'!$BE$8:$BE$154*'ANALYSE - ERP =&gt; SOUS-SEGMENT'!$IP$8:$IP$154)/SUMPRODUCT(('ANALYSE - ERP =&gt; SOUS-SEGMENT'!$C$8:$C$154=$C47)*'ANALYSE - ERP =&gt; SOUS-SEGMENT'!$Q$8:$Q$154*'ANALYSE - ERP =&gt; SOUS-SEGMENT'!$BE$8:$BE$154),0)</f>
        <v>0</v>
      </c>
      <c r="IN47" s="733">
        <f>IFERROR(SUMPRODUCT(('ANALYSE - ERP =&gt; SOUS-SEGMENT'!$C$8:$C$154=$C47)*'ANALYSE - ERP =&gt; SOUS-SEGMENT'!$Q$8:$Q$154*'ANALYSE - ERP =&gt; SOUS-SEGMENT'!$BE$8:$BE$154*'ANALYSE - ERP =&gt; SOUS-SEGMENT'!$IQ$8:$IQ$154)/SUMPRODUCT(('ANALYSE - ERP =&gt; SOUS-SEGMENT'!$C$8:$C$154=$C47)*'ANALYSE - ERP =&gt; SOUS-SEGMENT'!$Q$8:$Q$154*'ANALYSE - ERP =&gt; SOUS-SEGMENT'!$BE$8:$BE$154),0)</f>
        <v>0</v>
      </c>
      <c r="IO47" s="733">
        <f>IFERROR(SUMPRODUCT(('ANALYSE - ERP =&gt; SOUS-SEGMENT'!$C$8:$C$154=$C47)*'ANALYSE - ERP =&gt; SOUS-SEGMENT'!$Q$8:$Q$154*'ANALYSE - ERP =&gt; SOUS-SEGMENT'!$BE$8:$BE$154*'ANALYSE - ERP =&gt; SOUS-SEGMENT'!$IR$8:$IR$154)/SUMPRODUCT(('ANALYSE - ERP =&gt; SOUS-SEGMENT'!$C$8:$C$154=$C47)*'ANALYSE - ERP =&gt; SOUS-SEGMENT'!$Q$8:$Q$154*'ANALYSE - ERP =&gt; SOUS-SEGMENT'!$BE$8:$BE$154),0)</f>
        <v>0</v>
      </c>
      <c r="IP47" s="733">
        <f>IFERROR(SUMPRODUCT(('ANALYSE - ERP =&gt; SOUS-SEGMENT'!$C$8:$C$154=$C47)*'ANALYSE - ERP =&gt; SOUS-SEGMENT'!$Q$8:$Q$154*'ANALYSE - ERP =&gt; SOUS-SEGMENT'!$BE$8:$BE$154*'ANALYSE - ERP =&gt; SOUS-SEGMENT'!$IS$8:$IS$154)/SUMPRODUCT(('ANALYSE - ERP =&gt; SOUS-SEGMENT'!$C$8:$C$154=$C47)*'ANALYSE - ERP =&gt; SOUS-SEGMENT'!$Q$8:$Q$154*'ANALYSE - ERP =&gt; SOUS-SEGMENT'!$BE$8:$BE$154),0)</f>
        <v>0</v>
      </c>
      <c r="IQ47" s="733">
        <f>IFERROR(SUMPRODUCT(('ANALYSE - ERP =&gt; SOUS-SEGMENT'!$C$8:$C$154=$C47)*'ANALYSE - ERP =&gt; SOUS-SEGMENT'!$Q$8:$Q$154*'ANALYSE - ERP =&gt; SOUS-SEGMENT'!$FB$8:$FB$154*'ANALYSE - ERP =&gt; SOUS-SEGMENT'!$IT$8:$IT$154)/SUMPRODUCT(('ANALYSE - ERP =&gt; SOUS-SEGMENT'!$C$8:$C$154=$C47)*'ANALYSE - ERP =&gt; SOUS-SEGMENT'!$Q$8:$Q$154*'ANALYSE - ERP =&gt; SOUS-SEGMENT'!$FB$8:$FB$154),0)</f>
        <v>0</v>
      </c>
      <c r="IR47" s="733">
        <f>IFERROR(SUMPRODUCT(('ANALYSE - ERP =&gt; SOUS-SEGMENT'!$C$8:$C$154=$C47)*'ANALYSE - ERP =&gt; SOUS-SEGMENT'!$Q$8:$Q$154*'ANALYSE - ERP =&gt; SOUS-SEGMENT'!$FB$8:$FB$154*'ANALYSE - ERP =&gt; SOUS-SEGMENT'!$IU$8:$IU$154)/SUMPRODUCT(('ANALYSE - ERP =&gt; SOUS-SEGMENT'!$C$8:$C$154=$C47)*'ANALYSE - ERP =&gt; SOUS-SEGMENT'!$Q$8:$Q$154*'ANALYSE - ERP =&gt; SOUS-SEGMENT'!$FB$8:$FB$154),0)</f>
        <v>0</v>
      </c>
      <c r="IS47" s="733">
        <f>IFERROR(SUMPRODUCT(('ANALYSE - ERP =&gt; SOUS-SEGMENT'!$C$8:$C$154=$C47)*'ANALYSE - ERP =&gt; SOUS-SEGMENT'!$Q$8:$Q$154*'ANALYSE - ERP =&gt; SOUS-SEGMENT'!$FB$8:$FB$154*'ANALYSE - ERP =&gt; SOUS-SEGMENT'!$IV$8:$IV$154)/SUMPRODUCT(('ANALYSE - ERP =&gt; SOUS-SEGMENT'!$C$8:$C$154=$C47)*'ANALYSE - ERP =&gt; SOUS-SEGMENT'!$Q$8:$Q$154*'ANALYSE - ERP =&gt; SOUS-SEGMENT'!$FB$8:$FB$154),0)</f>
        <v>0</v>
      </c>
      <c r="IT47" s="733">
        <f>IFERROR(SUMPRODUCT(('ANALYSE - ERP =&gt; SOUS-SEGMENT'!$C$8:$C$154=$C47)*'ANALYSE - ERP =&gt; SOUS-SEGMENT'!$Q$8:$Q$154*'ANALYSE - ERP =&gt; SOUS-SEGMENT'!$FB$8:$FB$154*'ANALYSE - ERP =&gt; SOUS-SEGMENT'!$IW$8:$IW$154)/SUMPRODUCT(('ANALYSE - ERP =&gt; SOUS-SEGMENT'!$C$8:$C$154=$C47)*'ANALYSE - ERP =&gt; SOUS-SEGMENT'!$Q$8:$Q$154*'ANALYSE - ERP =&gt; SOUS-SEGMENT'!$FB$8:$FB$154),0)</f>
        <v>0</v>
      </c>
      <c r="IU47" s="733">
        <f>IFERROR(SUMPRODUCT(('ANALYSE - ERP =&gt; SOUS-SEGMENT'!$C$8:$C$154=$C47)*'ANALYSE - ERP =&gt; SOUS-SEGMENT'!$Q$8:$Q$154*'ANALYSE - ERP =&gt; SOUS-SEGMENT'!$FB$8:$FB$154*'ANALYSE - ERP =&gt; SOUS-SEGMENT'!$IX$8:$IX$154)/SUMPRODUCT(('ANALYSE - ERP =&gt; SOUS-SEGMENT'!$C$8:$C$154=$C47)*'ANALYSE - ERP =&gt; SOUS-SEGMENT'!$Q$8:$Q$154*'ANALYSE - ERP =&gt; SOUS-SEGMENT'!$FB$8:$FB$154),0)</f>
        <v>0</v>
      </c>
      <c r="IV47" s="733">
        <f>IFERROR(SUMPRODUCT(('ANALYSE - ERP =&gt; SOUS-SEGMENT'!$C$8:$C$154=$C47)*'ANALYSE - ERP =&gt; SOUS-SEGMENT'!$Q$8:$Q$154*'ANALYSE - ERP =&gt; SOUS-SEGMENT'!$BF$8:$BF$154*'ANALYSE - ERP =&gt; SOUS-SEGMENT'!$IY$8:$IY$154)/SUMPRODUCT(('ANALYSE - ERP =&gt; SOUS-SEGMENT'!$C$8:$C$154=$C47)*'ANALYSE - ERP =&gt; SOUS-SEGMENT'!$Q$8:$Q$154*'ANALYSE - ERP =&gt; SOUS-SEGMENT'!$BF$8:$BF$154),0)</f>
        <v>0</v>
      </c>
      <c r="IW47" s="733">
        <f>IFERROR(SUMPRODUCT(('ANALYSE - ERP =&gt; SOUS-SEGMENT'!$C$8:$C$154=$C47)*'ANALYSE - ERP =&gt; SOUS-SEGMENT'!$Q$8:$Q$154*'ANALYSE - ERP =&gt; SOUS-SEGMENT'!$BF$8:$BF$154*'ANALYSE - ERP =&gt; SOUS-SEGMENT'!$IZ$8:$IZ$154)/SUMPRODUCT(('ANALYSE - ERP =&gt; SOUS-SEGMENT'!$C$8:$C$154=$C47)*'ANALYSE - ERP =&gt; SOUS-SEGMENT'!$Q$8:$Q$154*'ANALYSE - ERP =&gt; SOUS-SEGMENT'!$BF$8:$BF$154),0)</f>
        <v>0</v>
      </c>
      <c r="IX47" s="733">
        <f>IFERROR(SUMPRODUCT(('ANALYSE - ERP =&gt; SOUS-SEGMENT'!$C$8:$C$154=$C47)*'ANALYSE - ERP =&gt; SOUS-SEGMENT'!$Q$8:$Q$154*'ANALYSE - ERP =&gt; SOUS-SEGMENT'!$BF$8:$BF$154*'ANALYSE - ERP =&gt; SOUS-SEGMENT'!$JA$8:$JA$154)/SUMPRODUCT(('ANALYSE - ERP =&gt; SOUS-SEGMENT'!$C$8:$C$154=$C47)*'ANALYSE - ERP =&gt; SOUS-SEGMENT'!$Q$8:$Q$154*'ANALYSE - ERP =&gt; SOUS-SEGMENT'!$BF$8:$BF$154),0)</f>
        <v>0</v>
      </c>
      <c r="IY47" s="733">
        <f>IFERROR(SUMPRODUCT(('ANALYSE - ERP =&gt; SOUS-SEGMENT'!$C$8:$C$154=$C47)*'ANALYSE - ERP =&gt; SOUS-SEGMENT'!$Q$8:$Q$154*'ANALYSE - ERP =&gt; SOUS-SEGMENT'!$BF$8:$BF$154*'ANALYSE - ERP =&gt; SOUS-SEGMENT'!$JB$8:$JB$154)/SUMPRODUCT(('ANALYSE - ERP =&gt; SOUS-SEGMENT'!$C$8:$C$154=$C47)*'ANALYSE - ERP =&gt; SOUS-SEGMENT'!$Q$8:$Q$154*'ANALYSE - ERP =&gt; SOUS-SEGMENT'!$BF$8:$BF$154),0)</f>
        <v>0</v>
      </c>
      <c r="IZ47" s="733">
        <f>IFERROR(SUMPRODUCT(('ANALYSE - ERP =&gt; SOUS-SEGMENT'!$C$8:$C$154=$C47)*'ANALYSE - ERP =&gt; SOUS-SEGMENT'!$Q$8:$Q$154*'ANALYSE - ERP =&gt; SOUS-SEGMENT'!$BF$8:$BF$154*'ANALYSE - ERP =&gt; SOUS-SEGMENT'!$JC$8:$JC$154)/SUMPRODUCT(('ANALYSE - ERP =&gt; SOUS-SEGMENT'!$C$8:$C$154=$C47)*'ANALYSE - ERP =&gt; SOUS-SEGMENT'!$Q$8:$Q$154*'ANALYSE - ERP =&gt; SOUS-SEGMENT'!$BF$8:$BF$154),0)</f>
        <v>0</v>
      </c>
      <c r="JA47" s="733">
        <f>IFERROR(SUMPRODUCT(('ANALYSE - ERP =&gt; SOUS-SEGMENT'!$C$8:$C$154=$C47)*'ANALYSE - ERP =&gt; SOUS-SEGMENT'!$Q$8:$Q$154*'ANALYSE - ERP =&gt; SOUS-SEGMENT'!$FE$8:$FE$154*'ANALYSE - ERP =&gt; SOUS-SEGMENT'!$JD$8:$JD$154)/SUMPRODUCT(('ANALYSE - ERP =&gt; SOUS-SEGMENT'!$C$8:$C$154=$C47)*'ANALYSE - ERP =&gt; SOUS-SEGMENT'!$Q$8:$Q$154*'ANALYSE - ERP =&gt; SOUS-SEGMENT'!$FE$8:$FE$154),0)</f>
        <v>0</v>
      </c>
      <c r="JB47" s="733">
        <f>IFERROR(SUMPRODUCT(('ANALYSE - ERP =&gt; SOUS-SEGMENT'!$C$8:$C$154=$C47)*'ANALYSE - ERP =&gt; SOUS-SEGMENT'!$Q$8:$Q$154*'ANALYSE - ERP =&gt; SOUS-SEGMENT'!$FE$8:$FE$154*'ANALYSE - ERP =&gt; SOUS-SEGMENT'!$JE$8:$JE$154)/SUMPRODUCT(('ANALYSE - ERP =&gt; SOUS-SEGMENT'!$C$8:$C$154=$C47)*'ANALYSE - ERP =&gt; SOUS-SEGMENT'!$Q$8:$Q$154*'ANALYSE - ERP =&gt; SOUS-SEGMENT'!$FE$8:$FE$154),0)</f>
        <v>0</v>
      </c>
      <c r="JC47" s="733">
        <f>IFERROR(SUMPRODUCT(('ANALYSE - ERP =&gt; SOUS-SEGMENT'!$C$8:$C$154=$C47)*'ANALYSE - ERP =&gt; SOUS-SEGMENT'!$Q$8:$Q$154*'ANALYSE - ERP =&gt; SOUS-SEGMENT'!$FE$8:$FE$154*'ANALYSE - ERP =&gt; SOUS-SEGMENT'!$JF$8:$JF$154)/SUMPRODUCT(('ANALYSE - ERP =&gt; SOUS-SEGMENT'!$C$8:$C$154=$C47)*'ANALYSE - ERP =&gt; SOUS-SEGMENT'!$Q$8:$Q$154*'ANALYSE - ERP =&gt; SOUS-SEGMENT'!$FE$8:$FE$154),0)</f>
        <v>0</v>
      </c>
      <c r="JD47" s="733">
        <f>IFERROR(SUMPRODUCT(('ANALYSE - ERP =&gt; SOUS-SEGMENT'!$C$8:$C$154=$C47)*'ANALYSE - ERP =&gt; SOUS-SEGMENT'!$Q$8:$Q$154*'ANALYSE - ERP =&gt; SOUS-SEGMENT'!$FE$8:$FE$154*'ANALYSE - ERP =&gt; SOUS-SEGMENT'!$JG$8:$JG$154)/SUMPRODUCT(('ANALYSE - ERP =&gt; SOUS-SEGMENT'!$C$8:$C$154=$C47)*'ANALYSE - ERP =&gt; SOUS-SEGMENT'!$Q$8:$Q$154*'ANALYSE - ERP =&gt; SOUS-SEGMENT'!$FE$8:$FE$154),0)</f>
        <v>0</v>
      </c>
      <c r="JE47" s="733">
        <f>IFERROR(SUMPRODUCT(('ANALYSE - ERP =&gt; SOUS-SEGMENT'!$C$8:$C$154=$C47)*'ANALYSE - ERP =&gt; SOUS-SEGMENT'!$Q$8:$Q$154*'ANALYSE - ERP =&gt; SOUS-SEGMENT'!$FE$8:$FE$154*'ANALYSE - ERP =&gt; SOUS-SEGMENT'!$JH$8:$JH$154)/SUMPRODUCT(('ANALYSE - ERP =&gt; SOUS-SEGMENT'!$C$8:$C$154=$C47)*'ANALYSE - ERP =&gt; SOUS-SEGMENT'!$Q$8:$Q$154*'ANALYSE - ERP =&gt; SOUS-SEGMENT'!$FE$8:$FE$154),0)</f>
        <v>0</v>
      </c>
      <c r="JF47" s="733">
        <f>IFERROR(SUMPRODUCT(('ANALYSE - ERP =&gt; SOUS-SEGMENT'!$C$8:$C$154=$C47)*'ANALYSE - ERP =&gt; SOUS-SEGMENT'!$Q$8:$Q$154*'ANALYSE - ERP =&gt; SOUS-SEGMENT'!$BG$8:$BG$154*'ANALYSE - ERP =&gt; SOUS-SEGMENT'!$JI$8:$JI$154)/SUMPRODUCT(('ANALYSE - ERP =&gt; SOUS-SEGMENT'!$C$8:$C$154=$C47)*'ANALYSE - ERP =&gt; SOUS-SEGMENT'!$Q$8:$Q$154*'ANALYSE - ERP =&gt; SOUS-SEGMENT'!$BG$8:$BG$154),0)</f>
        <v>0</v>
      </c>
      <c r="JG47" s="733">
        <f>IFERROR(SUMPRODUCT(('ANALYSE - ERP =&gt; SOUS-SEGMENT'!$C$8:$C$154=$C47)*'ANALYSE - ERP =&gt; SOUS-SEGMENT'!$Q$8:$Q$154*'ANALYSE - ERP =&gt; SOUS-SEGMENT'!$BG$8:$BG$154*'ANALYSE - ERP =&gt; SOUS-SEGMENT'!$JJ$8:$JJ$154)/SUMPRODUCT(('ANALYSE - ERP =&gt; SOUS-SEGMENT'!$C$8:$C$154=$C47)*'ANALYSE - ERP =&gt; SOUS-SEGMENT'!$Q$8:$Q$154*'ANALYSE - ERP =&gt; SOUS-SEGMENT'!$BG$8:$BG$154),0)</f>
        <v>0</v>
      </c>
      <c r="JH47" s="733">
        <f>IFERROR(SUMPRODUCT(('ANALYSE - ERP =&gt; SOUS-SEGMENT'!$C$8:$C$154=$C47)*'ANALYSE - ERP =&gt; SOUS-SEGMENT'!$Q$8:$Q$154*'ANALYSE - ERP =&gt; SOUS-SEGMENT'!$BG$8:$BG$154*'ANALYSE - ERP =&gt; SOUS-SEGMENT'!$JK$8:$JK$154)/SUMPRODUCT(('ANALYSE - ERP =&gt; SOUS-SEGMENT'!$C$8:$C$154=$C47)*'ANALYSE - ERP =&gt; SOUS-SEGMENT'!$Q$8:$Q$154*'ANALYSE - ERP =&gt; SOUS-SEGMENT'!$BG$8:$BG$154),0)</f>
        <v>0</v>
      </c>
      <c r="JI47" s="733">
        <f>IFERROR(SUMPRODUCT(('ANALYSE - ERP =&gt; SOUS-SEGMENT'!$C$8:$C$154=$C47)*'ANALYSE - ERP =&gt; SOUS-SEGMENT'!$Q$8:$Q$154*'ANALYSE - ERP =&gt; SOUS-SEGMENT'!$BG$8:$BG$154*'ANALYSE - ERP =&gt; SOUS-SEGMENT'!$JL$8:$JL$154)/SUMPRODUCT(('ANALYSE - ERP =&gt; SOUS-SEGMENT'!$C$8:$C$154=$C47)*'ANALYSE - ERP =&gt; SOUS-SEGMENT'!$Q$8:$Q$154*'ANALYSE - ERP =&gt; SOUS-SEGMENT'!$BG$8:$BG$154),0)</f>
        <v>0</v>
      </c>
      <c r="JJ47" s="733">
        <f>IFERROR(SUMPRODUCT(('ANALYSE - ERP =&gt; SOUS-SEGMENT'!$C$8:$C$154=$C47)*'ANALYSE - ERP =&gt; SOUS-SEGMENT'!$Q$8:$Q$154*'ANALYSE - ERP =&gt; SOUS-SEGMENT'!$BG$8:$BG$154*'ANALYSE - ERP =&gt; SOUS-SEGMENT'!$JM$8:$JM$154)/SUMPRODUCT(('ANALYSE - ERP =&gt; SOUS-SEGMENT'!$C$8:$C$154=$C47)*'ANALYSE - ERP =&gt; SOUS-SEGMENT'!$Q$8:$Q$154*'ANALYSE - ERP =&gt; SOUS-SEGMENT'!$BG$8:$BG$154),0)</f>
        <v>0</v>
      </c>
      <c r="JK47" s="733">
        <f>IFERROR(SUMPRODUCT(('ANALYSE - ERP =&gt; SOUS-SEGMENT'!$C$8:$C$154=$C47)*'ANALYSE - ERP =&gt; SOUS-SEGMENT'!$Q$8:$Q$154*'ANALYSE - ERP =&gt; SOUS-SEGMENT'!$FH$8:$FH$154*'ANALYSE - ERP =&gt; SOUS-SEGMENT'!$JN$8:$JN$154)/SUMPRODUCT(('ANALYSE - ERP =&gt; SOUS-SEGMENT'!$C$8:$C$154=$C47)*'ANALYSE - ERP =&gt; SOUS-SEGMENT'!$Q$8:$Q$154*'ANALYSE - ERP =&gt; SOUS-SEGMENT'!$FH$8:$FH$154),0)</f>
        <v>0</v>
      </c>
      <c r="JL47" s="733">
        <f>IFERROR(SUMPRODUCT(('ANALYSE - ERP =&gt; SOUS-SEGMENT'!$C$8:$C$154=$C47)*'ANALYSE - ERP =&gt; SOUS-SEGMENT'!$Q$8:$Q$154*'ANALYSE - ERP =&gt; SOUS-SEGMENT'!$FH$8:$FH$154*'ANALYSE - ERP =&gt; SOUS-SEGMENT'!$JO$8:$JO$154)/SUMPRODUCT(('ANALYSE - ERP =&gt; SOUS-SEGMENT'!$C$8:$C$154=$C47)*'ANALYSE - ERP =&gt; SOUS-SEGMENT'!$Q$8:$Q$154*'ANALYSE - ERP =&gt; SOUS-SEGMENT'!$FH$8:$FH$154),0)</f>
        <v>0</v>
      </c>
      <c r="JM47" s="733">
        <f>IFERROR(SUMPRODUCT(('ANALYSE - ERP =&gt; SOUS-SEGMENT'!$C$8:$C$154=$C47)*'ANALYSE - ERP =&gt; SOUS-SEGMENT'!$Q$8:$Q$154*'ANALYSE - ERP =&gt; SOUS-SEGMENT'!$FH$8:$FH$154*'ANALYSE - ERP =&gt; SOUS-SEGMENT'!$JP$8:$JP$154)/SUMPRODUCT(('ANALYSE - ERP =&gt; SOUS-SEGMENT'!$C$8:$C$154=$C47)*'ANALYSE - ERP =&gt; SOUS-SEGMENT'!$Q$8:$Q$154*'ANALYSE - ERP =&gt; SOUS-SEGMENT'!$FH$8:$FH$154),0)</f>
        <v>0</v>
      </c>
      <c r="JN47" s="733">
        <f>IFERROR(SUMPRODUCT(('ANALYSE - ERP =&gt; SOUS-SEGMENT'!$C$8:$C$154=$C47)*'ANALYSE - ERP =&gt; SOUS-SEGMENT'!$Q$8:$Q$154*'ANALYSE - ERP =&gt; SOUS-SEGMENT'!$FH$8:$FH$154*'ANALYSE - ERP =&gt; SOUS-SEGMENT'!$JQ$8:$JQ$154)/SUMPRODUCT(('ANALYSE - ERP =&gt; SOUS-SEGMENT'!$C$8:$C$154=$C47)*'ANALYSE - ERP =&gt; SOUS-SEGMENT'!$Q$8:$Q$154*'ANALYSE - ERP =&gt; SOUS-SEGMENT'!$FH$8:$FH$154),0)</f>
        <v>0</v>
      </c>
      <c r="JO47" s="733">
        <f>IFERROR(SUMPRODUCT(('ANALYSE - ERP =&gt; SOUS-SEGMENT'!$C$8:$C$154=$C47)*'ANALYSE - ERP =&gt; SOUS-SEGMENT'!$Q$8:$Q$154*'ANALYSE - ERP =&gt; SOUS-SEGMENT'!$FH$8:$FH$154*'ANALYSE - ERP =&gt; SOUS-SEGMENT'!$JR$8:$JR$154)/SUMPRODUCT(('ANALYSE - ERP =&gt; SOUS-SEGMENT'!$C$8:$C$154=$C47)*'ANALYSE - ERP =&gt; SOUS-SEGMENT'!$Q$8:$Q$154*'ANALYSE - ERP =&gt; SOUS-SEGMENT'!$FH$8:$FH$154),0)</f>
        <v>0</v>
      </c>
      <c r="JP47" s="733">
        <f>IFERROR(SUMPRODUCT(('ANALYSE - ERP =&gt; SOUS-SEGMENT'!$C$8:$C$154=$C47)*'ANALYSE - ERP =&gt; SOUS-SEGMENT'!$Q$8:$Q$154*'ANALYSE - ERP =&gt; SOUS-SEGMENT'!$BH$8:$BH$154*'ANALYSE - ERP =&gt; SOUS-SEGMENT'!$JS$8:$JS$154)/SUMPRODUCT(('ANALYSE - ERP =&gt; SOUS-SEGMENT'!$C$8:$C$154=$C47)*'ANALYSE - ERP =&gt; SOUS-SEGMENT'!$Q$8:$Q$154*'ANALYSE - ERP =&gt; SOUS-SEGMENT'!$BH$8:$BH$154),0)</f>
        <v>0</v>
      </c>
      <c r="JQ47" s="733">
        <f>IFERROR(SUMPRODUCT(('ANALYSE - ERP =&gt; SOUS-SEGMENT'!$C$8:$C$154=$C47)*'ANALYSE - ERP =&gt; SOUS-SEGMENT'!$Q$8:$Q$154*'ANALYSE - ERP =&gt; SOUS-SEGMENT'!$BH$8:$BH$154*'ANALYSE - ERP =&gt; SOUS-SEGMENT'!$JT$8:$JT$154)/SUMPRODUCT(('ANALYSE - ERP =&gt; SOUS-SEGMENT'!$C$8:$C$154=$C47)*'ANALYSE - ERP =&gt; SOUS-SEGMENT'!$Q$8:$Q$154*'ANALYSE - ERP =&gt; SOUS-SEGMENT'!$BH$8:$BH$154),0)</f>
        <v>0</v>
      </c>
      <c r="JR47" s="733">
        <f>IFERROR(SUMPRODUCT(('ANALYSE - ERP =&gt; SOUS-SEGMENT'!$C$8:$C$154=$C47)*'ANALYSE - ERP =&gt; SOUS-SEGMENT'!$Q$8:$Q$154*'ANALYSE - ERP =&gt; SOUS-SEGMENT'!$BH$8:$BH$154*'ANALYSE - ERP =&gt; SOUS-SEGMENT'!$JU$8:$JU$154)/SUMPRODUCT(('ANALYSE - ERP =&gt; SOUS-SEGMENT'!$C$8:$C$154=$C47)*'ANALYSE - ERP =&gt; SOUS-SEGMENT'!$Q$8:$Q$154*'ANALYSE - ERP =&gt; SOUS-SEGMENT'!$BH$8:$BH$154),0)</f>
        <v>0</v>
      </c>
      <c r="JS47" s="733">
        <f>IFERROR(SUMPRODUCT(('ANALYSE - ERP =&gt; SOUS-SEGMENT'!$C$8:$C$154=$C47)*'ANALYSE - ERP =&gt; SOUS-SEGMENT'!$Q$8:$Q$154*'ANALYSE - ERP =&gt; SOUS-SEGMENT'!$BH$8:$BH$154*'ANALYSE - ERP =&gt; SOUS-SEGMENT'!$JV$8:$JV$154)/SUMPRODUCT(('ANALYSE - ERP =&gt; SOUS-SEGMENT'!$C$8:$C$154=$C47)*'ANALYSE - ERP =&gt; SOUS-SEGMENT'!$Q$8:$Q$154*'ANALYSE - ERP =&gt; SOUS-SEGMENT'!$BH$8:$BH$154),0)</f>
        <v>0</v>
      </c>
      <c r="JT47" s="733">
        <f>IFERROR(SUMPRODUCT(('ANALYSE - ERP =&gt; SOUS-SEGMENT'!$C$8:$C$154=$C47)*'ANALYSE - ERP =&gt; SOUS-SEGMENT'!$Q$8:$Q$154*'ANALYSE - ERP =&gt; SOUS-SEGMENT'!$BH$8:$BH$154*'ANALYSE - ERP =&gt; SOUS-SEGMENT'!$JW$8:$JW$154)/SUMPRODUCT(('ANALYSE - ERP =&gt; SOUS-SEGMENT'!$C$8:$C$154=$C47)*'ANALYSE - ERP =&gt; SOUS-SEGMENT'!$Q$8:$Q$154*'ANALYSE - ERP =&gt; SOUS-SEGMENT'!$BH$8:$BH$154),0)</f>
        <v>0</v>
      </c>
      <c r="JU47" s="733">
        <f>IFERROR(SUMPRODUCT(('ANALYSE - ERP =&gt; SOUS-SEGMENT'!$C$8:$C$154=$C47)*'ANALYSE - ERP =&gt; SOUS-SEGMENT'!$Q$8:$Q$154*'ANALYSE - ERP =&gt; SOUS-SEGMENT'!$FK$8:$FK$154*'ANALYSE - ERP =&gt; SOUS-SEGMENT'!$JX$8:$JX$154)/SUMPRODUCT(('ANALYSE - ERP =&gt; SOUS-SEGMENT'!$C$8:$C$154=$C47)*'ANALYSE - ERP =&gt; SOUS-SEGMENT'!$Q$8:$Q$154*'ANALYSE - ERP =&gt; SOUS-SEGMENT'!$FK$8:$FK$154),0)</f>
        <v>0</v>
      </c>
      <c r="JV47" s="733">
        <f>IFERROR(SUMPRODUCT(('ANALYSE - ERP =&gt; SOUS-SEGMENT'!$C$8:$C$154=$C47)*'ANALYSE - ERP =&gt; SOUS-SEGMENT'!$Q$8:$Q$154*'ANALYSE - ERP =&gt; SOUS-SEGMENT'!$FK$8:$FK$154*'ANALYSE - ERP =&gt; SOUS-SEGMENT'!$JY$8:$JY$154)/SUMPRODUCT(('ANALYSE - ERP =&gt; SOUS-SEGMENT'!$C$8:$C$154=$C47)*'ANALYSE - ERP =&gt; SOUS-SEGMENT'!$Q$8:$Q$154*'ANALYSE - ERP =&gt; SOUS-SEGMENT'!$FK$8:$FK$154),0)</f>
        <v>0</v>
      </c>
      <c r="JW47" s="733">
        <f>IFERROR(SUMPRODUCT(('ANALYSE - ERP =&gt; SOUS-SEGMENT'!$C$8:$C$154=$C47)*'ANALYSE - ERP =&gt; SOUS-SEGMENT'!$Q$8:$Q$154*'ANALYSE - ERP =&gt; SOUS-SEGMENT'!$FK$8:$FK$154*'ANALYSE - ERP =&gt; SOUS-SEGMENT'!$JZ$8:$JZ$154)/SUMPRODUCT(('ANALYSE - ERP =&gt; SOUS-SEGMENT'!$C$8:$C$154=$C47)*'ANALYSE - ERP =&gt; SOUS-SEGMENT'!$Q$8:$Q$154*'ANALYSE - ERP =&gt; SOUS-SEGMENT'!$FK$8:$FK$154),0)</f>
        <v>0</v>
      </c>
      <c r="JX47" s="733">
        <f>IFERROR(SUMPRODUCT(('ANALYSE - ERP =&gt; SOUS-SEGMENT'!$C$8:$C$154=$C47)*'ANALYSE - ERP =&gt; SOUS-SEGMENT'!$Q$8:$Q$154*'ANALYSE - ERP =&gt; SOUS-SEGMENT'!$FK$8:$FK$154*'ANALYSE - ERP =&gt; SOUS-SEGMENT'!$KA$8:$KA$154)/SUMPRODUCT(('ANALYSE - ERP =&gt; SOUS-SEGMENT'!$C$8:$C$154=$C47)*'ANALYSE - ERP =&gt; SOUS-SEGMENT'!$Q$8:$Q$154*'ANALYSE - ERP =&gt; SOUS-SEGMENT'!$FK$8:$FK$154),0)</f>
        <v>0</v>
      </c>
      <c r="JY47" s="733">
        <f>IFERROR(SUMPRODUCT(('ANALYSE - ERP =&gt; SOUS-SEGMENT'!$C$8:$C$154=$C47)*'ANALYSE - ERP =&gt; SOUS-SEGMENT'!$Q$8:$Q$154*'ANALYSE - ERP =&gt; SOUS-SEGMENT'!$FK$8:$FK$154*'ANALYSE - ERP =&gt; SOUS-SEGMENT'!$KB$8:$KB$154)/SUMPRODUCT(('ANALYSE - ERP =&gt; SOUS-SEGMENT'!$C$8:$C$154=$C47)*'ANALYSE - ERP =&gt; SOUS-SEGMENT'!$Q$8:$Q$154*'ANALYSE - ERP =&gt; SOUS-SEGMENT'!$FK$8:$FK$154),0)</f>
        <v>0</v>
      </c>
      <c r="JZ47" s="657"/>
      <c r="KA47" s="298" t="s">
        <v>2590</v>
      </c>
      <c r="KB47" s="298" t="s">
        <v>2591</v>
      </c>
      <c r="KC47" s="888" t="str">
        <f>IFERROR(SUMPRODUCT(('ANALYSE - ERP =&gt; SOUS-SEGMENT'!$C$8:$C$154=$C48)*'ANALYSE - ERP =&gt; SOUS-SEGMENT'!$Q$8:$Q$154*'ANALYSE - ERP =&gt; SOUS-SEGMENT'!$EX$8:$EX$154*'ANALYSE - ERP =&gt; SOUS-SEGMENT'!$KF$8:$KF$154)/SUMPRODUCT(('ANALYSE - ERP =&gt; SOUS-SEGMENT'!$C$8:$C$154=$C48)*'ANALYSE - ERP =&gt; SOUS-SEGMENT'!$Q$8:$Q$154*'ANALYSE - ERP =&gt; SOUS-SEGMENT'!$EX$8:$EX$154),"")</f>
        <v/>
      </c>
      <c r="KD47" s="298" t="s">
        <v>2589</v>
      </c>
      <c r="KE47" s="300" t="s">
        <v>3061</v>
      </c>
      <c r="KF47" s="298" t="s">
        <v>6760</v>
      </c>
      <c r="KG47" s="300" t="s">
        <v>6760</v>
      </c>
    </row>
  </sheetData>
  <autoFilter ref="A5:KG5" xr:uid="{00000000-0009-0000-0000-00000C000000}"/>
  <conditionalFormatting sqref="BL6:CM6">
    <cfRule type="colorScale" priority="40">
      <colorScale>
        <cfvo type="min"/>
        <cfvo type="formula" val="AVERAGE($BL$8:$CM$110)"/>
        <cfvo type="max"/>
        <color rgb="FFF8696B"/>
        <color theme="0"/>
        <color rgb="FF63BE7B"/>
      </colorScale>
    </cfRule>
  </conditionalFormatting>
  <conditionalFormatting sqref="BL8:CM38">
    <cfRule type="colorScale" priority="39">
      <colorScale>
        <cfvo type="min"/>
        <cfvo type="formula" val="AVERAGE($BL$8:$CM$110)"/>
        <cfvo type="max"/>
        <color rgb="FFF8696B"/>
        <color theme="0"/>
        <color rgb="FF63BE7B"/>
      </colorScale>
    </cfRule>
  </conditionalFormatting>
  <conditionalFormatting sqref="CO6:DB6">
    <cfRule type="colorScale" priority="38">
      <colorScale>
        <cfvo type="min"/>
        <cfvo type="formula" val="MEDIAN($CO$6:$DB$110)"/>
        <cfvo type="max"/>
        <color rgb="FFF8696B"/>
        <color theme="0"/>
        <color rgb="FF63BE7B"/>
      </colorScale>
    </cfRule>
  </conditionalFormatting>
  <conditionalFormatting sqref="CO8:DB102">
    <cfRule type="colorScale" priority="37">
      <colorScale>
        <cfvo type="min"/>
        <cfvo type="formula" val="MEDIAN($CO$6:$DB$110)"/>
        <cfvo type="max"/>
        <color rgb="FFF8696B"/>
        <color theme="0"/>
        <color rgb="FF63BE7B"/>
      </colorScale>
    </cfRule>
  </conditionalFormatting>
  <conditionalFormatting sqref="IL15:IU15 JF15:JY15">
    <cfRule type="colorScale" priority="28">
      <colorScale>
        <cfvo type="min"/>
        <cfvo type="formula" val="AVERAGE($IL$8:$JY$110)"/>
        <cfvo type="max"/>
        <color rgb="FFF8696B"/>
        <color theme="0"/>
        <color rgb="FF63BE7B"/>
      </colorScale>
    </cfRule>
  </conditionalFormatting>
  <conditionalFormatting sqref="IL20:IU20 JF20:JY20">
    <cfRule type="colorScale" priority="23">
      <colorScale>
        <cfvo type="min"/>
        <cfvo type="formula" val="AVERAGE($IL$8:$JY$110)"/>
        <cfvo type="max"/>
        <color rgb="FFF8696B"/>
        <color theme="0"/>
        <color rgb="FF63BE7B"/>
      </colorScale>
    </cfRule>
  </conditionalFormatting>
  <conditionalFormatting sqref="IL27:IU27 JF27:JY27">
    <cfRule type="colorScale" priority="16">
      <colorScale>
        <cfvo type="min"/>
        <cfvo type="formula" val="AVERAGE($IL$8:$JY$110)"/>
        <cfvo type="max"/>
        <color rgb="FFF8696B"/>
        <color theme="0"/>
        <color rgb="FF63BE7B"/>
      </colorScale>
    </cfRule>
  </conditionalFormatting>
  <conditionalFormatting sqref="IL8:JE8 JP8:JY8">
    <cfRule type="colorScale" priority="35">
      <colorScale>
        <cfvo type="min"/>
        <cfvo type="formula" val="AVERAGE($IL$8:$JY$110)"/>
        <cfvo type="max"/>
        <color rgb="FFF8696B"/>
        <color theme="0"/>
        <color rgb="FF63BE7B"/>
      </colorScale>
    </cfRule>
  </conditionalFormatting>
  <conditionalFormatting sqref="IL6:JY6">
    <cfRule type="colorScale" priority="36">
      <colorScale>
        <cfvo type="min"/>
        <cfvo type="formula" val="AVERAGE($IL$8:$JY$110)"/>
        <cfvo type="max"/>
        <color rgb="FFF8696B"/>
        <color theme="0"/>
        <color rgb="FF63BE7B"/>
      </colorScale>
    </cfRule>
  </conditionalFormatting>
  <conditionalFormatting sqref="IL9:JY9">
    <cfRule type="colorScale" priority="34">
      <colorScale>
        <cfvo type="min"/>
        <cfvo type="formula" val="AVERAGE($IL$8:$JY$110)"/>
        <cfvo type="max"/>
        <color rgb="FFF8696B"/>
        <color theme="0"/>
        <color rgb="FF63BE7B"/>
      </colorScale>
    </cfRule>
  </conditionalFormatting>
  <conditionalFormatting sqref="IL10:JY10">
    <cfRule type="colorScale" priority="33">
      <colorScale>
        <cfvo type="min"/>
        <cfvo type="formula" val="AVERAGE($IL$8:$JY$110)"/>
        <cfvo type="max"/>
        <color rgb="FFF8696B"/>
        <color theme="0"/>
        <color rgb="FF63BE7B"/>
      </colorScale>
    </cfRule>
  </conditionalFormatting>
  <conditionalFormatting sqref="IL11:JY11">
    <cfRule type="colorScale" priority="32">
      <colorScale>
        <cfvo type="min"/>
        <cfvo type="formula" val="AVERAGE($IL$8:$JY$110)"/>
        <cfvo type="max"/>
        <color rgb="FFF8696B"/>
        <color theme="0"/>
        <color rgb="FF63BE7B"/>
      </colorScale>
    </cfRule>
  </conditionalFormatting>
  <conditionalFormatting sqref="IL12:JY12">
    <cfRule type="colorScale" priority="31">
      <colorScale>
        <cfvo type="min"/>
        <cfvo type="formula" val="AVERAGE($IL$8:$JY$110)"/>
        <cfvo type="max"/>
        <color rgb="FFF8696B"/>
        <color theme="0"/>
        <color rgb="FF63BE7B"/>
      </colorScale>
    </cfRule>
  </conditionalFormatting>
  <conditionalFormatting sqref="IL13:JY13">
    <cfRule type="colorScale" priority="30">
      <colorScale>
        <cfvo type="min"/>
        <cfvo type="formula" val="AVERAGE($IL$8:$JY$110)"/>
        <cfvo type="max"/>
        <color rgb="FFF8696B"/>
        <color theme="0"/>
        <color rgb="FF63BE7B"/>
      </colorScale>
    </cfRule>
  </conditionalFormatting>
  <conditionalFormatting sqref="IL14:JY14">
    <cfRule type="colorScale" priority="29">
      <colorScale>
        <cfvo type="min"/>
        <cfvo type="formula" val="AVERAGE($IL$8:$JY$110)"/>
        <cfvo type="max"/>
        <color rgb="FFF8696B"/>
        <color theme="0"/>
        <color rgb="FF63BE7B"/>
      </colorScale>
    </cfRule>
  </conditionalFormatting>
  <conditionalFormatting sqref="IL16:JY16">
    <cfRule type="colorScale" priority="27">
      <colorScale>
        <cfvo type="min"/>
        <cfvo type="formula" val="AVERAGE($IL$8:$JY$110)"/>
        <cfvo type="max"/>
        <color rgb="FFF8696B"/>
        <color theme="0"/>
        <color rgb="FF63BE7B"/>
      </colorScale>
    </cfRule>
  </conditionalFormatting>
  <conditionalFormatting sqref="IL17:JY17">
    <cfRule type="colorScale" priority="26">
      <colorScale>
        <cfvo type="min"/>
        <cfvo type="formula" val="AVERAGE($IL$8:$JY$110)"/>
        <cfvo type="max"/>
        <color rgb="FFF8696B"/>
        <color theme="0"/>
        <color rgb="FF63BE7B"/>
      </colorScale>
    </cfRule>
  </conditionalFormatting>
  <conditionalFormatting sqref="IL18:JY18">
    <cfRule type="colorScale" priority="25">
      <colorScale>
        <cfvo type="min"/>
        <cfvo type="formula" val="AVERAGE($IL$8:$JY$110)"/>
        <cfvo type="max"/>
        <color rgb="FFF8696B"/>
        <color theme="0"/>
        <color rgb="FF63BE7B"/>
      </colorScale>
    </cfRule>
  </conditionalFormatting>
  <conditionalFormatting sqref="IL19:JY19">
    <cfRule type="colorScale" priority="24">
      <colorScale>
        <cfvo type="min"/>
        <cfvo type="formula" val="AVERAGE($IL$8:$JY$110)"/>
        <cfvo type="max"/>
        <color rgb="FFF8696B"/>
        <color theme="0"/>
        <color rgb="FF63BE7B"/>
      </colorScale>
    </cfRule>
  </conditionalFormatting>
  <conditionalFormatting sqref="IL21:JY21">
    <cfRule type="colorScale" priority="22">
      <colorScale>
        <cfvo type="min"/>
        <cfvo type="formula" val="AVERAGE($IL$8:$JY$110)"/>
        <cfvo type="max"/>
        <color rgb="FFF8696B"/>
        <color theme="0"/>
        <color rgb="FF63BE7B"/>
      </colorScale>
    </cfRule>
  </conditionalFormatting>
  <conditionalFormatting sqref="IL22:JY22">
    <cfRule type="colorScale" priority="21">
      <colorScale>
        <cfvo type="min"/>
        <cfvo type="formula" val="AVERAGE($IL$8:$JY$110)"/>
        <cfvo type="max"/>
        <color rgb="FFF8696B"/>
        <color theme="0"/>
        <color rgb="FF63BE7B"/>
      </colorScale>
    </cfRule>
  </conditionalFormatting>
  <conditionalFormatting sqref="IL23:JY23">
    <cfRule type="colorScale" priority="20">
      <colorScale>
        <cfvo type="min"/>
        <cfvo type="formula" val="AVERAGE($IL$8:$JY$110)"/>
        <cfvo type="max"/>
        <color rgb="FFF8696B"/>
        <color theme="0"/>
        <color rgb="FF63BE7B"/>
      </colorScale>
    </cfRule>
  </conditionalFormatting>
  <conditionalFormatting sqref="IL24:JY24">
    <cfRule type="colorScale" priority="19">
      <colorScale>
        <cfvo type="min"/>
        <cfvo type="formula" val="AVERAGE($IL$8:$JY$110)"/>
        <cfvo type="max"/>
        <color rgb="FFF8696B"/>
        <color theme="0"/>
        <color rgb="FF63BE7B"/>
      </colorScale>
    </cfRule>
  </conditionalFormatting>
  <conditionalFormatting sqref="IL25:JY25">
    <cfRule type="colorScale" priority="18">
      <colorScale>
        <cfvo type="min"/>
        <cfvo type="formula" val="AVERAGE($IL$8:$JY$110)"/>
        <cfvo type="max"/>
        <color rgb="FFF8696B"/>
        <color theme="0"/>
        <color rgb="FF63BE7B"/>
      </colorScale>
    </cfRule>
  </conditionalFormatting>
  <conditionalFormatting sqref="IL26:JY26">
    <cfRule type="colorScale" priority="17">
      <colorScale>
        <cfvo type="min"/>
        <cfvo type="formula" val="AVERAGE($IL$8:$JY$110)"/>
        <cfvo type="max"/>
        <color rgb="FFF8696B"/>
        <color theme="0"/>
        <color rgb="FF63BE7B"/>
      </colorScale>
    </cfRule>
  </conditionalFormatting>
  <conditionalFormatting sqref="IL28:JY28">
    <cfRule type="colorScale" priority="15">
      <colorScale>
        <cfvo type="min"/>
        <cfvo type="formula" val="AVERAGE($IL$8:$JY$110)"/>
        <cfvo type="max"/>
        <color rgb="FFF8696B"/>
        <color theme="0"/>
        <color rgb="FF63BE7B"/>
      </colorScale>
    </cfRule>
  </conditionalFormatting>
  <conditionalFormatting sqref="IL29:JY29">
    <cfRule type="colorScale" priority="13">
      <colorScale>
        <cfvo type="min"/>
        <cfvo type="formula" val="AVERAGE($IL$8:$JY$110)"/>
        <cfvo type="max"/>
        <color rgb="FFF8696B"/>
        <color theme="0"/>
        <color rgb="FF63BE7B"/>
      </colorScale>
    </cfRule>
  </conditionalFormatting>
  <conditionalFormatting sqref="IL30:JY30">
    <cfRule type="colorScale" priority="14">
      <colorScale>
        <cfvo type="min"/>
        <cfvo type="formula" val="AVERAGE($IL$8:$JY$110)"/>
        <cfvo type="max"/>
        <color rgb="FFF8696B"/>
        <color theme="0"/>
        <color rgb="FF63BE7B"/>
      </colorScale>
    </cfRule>
  </conditionalFormatting>
  <conditionalFormatting sqref="IL31:JY31">
    <cfRule type="colorScale" priority="12">
      <colorScale>
        <cfvo type="min"/>
        <cfvo type="formula" val="AVERAGE($IL$8:$JY$110)"/>
        <cfvo type="max"/>
        <color rgb="FFF8696B"/>
        <color theme="0"/>
        <color rgb="FF63BE7B"/>
      </colorScale>
    </cfRule>
  </conditionalFormatting>
  <conditionalFormatting sqref="IL32:JY32">
    <cfRule type="colorScale" priority="11">
      <colorScale>
        <cfvo type="min"/>
        <cfvo type="formula" val="AVERAGE($IL$8:$JY$110)"/>
        <cfvo type="max"/>
        <color rgb="FFF8696B"/>
        <color theme="0"/>
        <color rgb="FF63BE7B"/>
      </colorScale>
    </cfRule>
  </conditionalFormatting>
  <conditionalFormatting sqref="IL33:JY33">
    <cfRule type="colorScale" priority="10">
      <colorScale>
        <cfvo type="min"/>
        <cfvo type="formula" val="AVERAGE($IL$8:$JY$110)"/>
        <cfvo type="max"/>
        <color rgb="FFF8696B"/>
        <color theme="0"/>
        <color rgb="FF63BE7B"/>
      </colorScale>
    </cfRule>
  </conditionalFormatting>
  <conditionalFormatting sqref="IL34:JY34">
    <cfRule type="colorScale" priority="9">
      <colorScale>
        <cfvo type="min"/>
        <cfvo type="formula" val="AVERAGE($IL$8:$JY$110)"/>
        <cfvo type="max"/>
        <color rgb="FFF8696B"/>
        <color theme="0"/>
        <color rgb="FF63BE7B"/>
      </colorScale>
    </cfRule>
  </conditionalFormatting>
  <conditionalFormatting sqref="IL35:JY35">
    <cfRule type="colorScale" priority="8">
      <colorScale>
        <cfvo type="min"/>
        <cfvo type="formula" val="AVERAGE($IL$8:$JY$110)"/>
        <cfvo type="max"/>
        <color rgb="FFF8696B"/>
        <color theme="0"/>
        <color rgb="FF63BE7B"/>
      </colorScale>
    </cfRule>
  </conditionalFormatting>
  <conditionalFormatting sqref="IL36:JY36">
    <cfRule type="colorScale" priority="7">
      <colorScale>
        <cfvo type="min"/>
        <cfvo type="formula" val="AVERAGE($IL$8:$JY$110)"/>
        <cfvo type="max"/>
        <color rgb="FFF8696B"/>
        <color theme="0"/>
        <color rgb="FF63BE7B"/>
      </colorScale>
    </cfRule>
  </conditionalFormatting>
  <conditionalFormatting sqref="IL37:JY37">
    <cfRule type="colorScale" priority="6">
      <colorScale>
        <cfvo type="min"/>
        <cfvo type="formula" val="AVERAGE($IL$8:$JY$110)"/>
        <cfvo type="max"/>
        <color rgb="FFF8696B"/>
        <color theme="0"/>
        <color rgb="FF63BE7B"/>
      </colorScale>
    </cfRule>
  </conditionalFormatting>
  <conditionalFormatting sqref="IL38:JY38">
    <cfRule type="colorScale" priority="5">
      <colorScale>
        <cfvo type="min"/>
        <cfvo type="formula" val="AVERAGE($IL$8:$JY$110)"/>
        <cfvo type="max"/>
        <color rgb="FFF8696B"/>
        <color theme="0"/>
        <color rgb="FF63BE7B"/>
      </colorScale>
    </cfRule>
  </conditionalFormatting>
  <conditionalFormatting sqref="IV15:JE15">
    <cfRule type="colorScale" priority="2">
      <colorScale>
        <cfvo type="min"/>
        <cfvo type="formula" val="AVERAGE($IL$8:$JY$110)"/>
        <cfvo type="max"/>
        <color rgb="FFF8696B"/>
        <color theme="0"/>
        <color rgb="FF63BE7B"/>
      </colorScale>
    </cfRule>
  </conditionalFormatting>
  <conditionalFormatting sqref="IV20:JE20">
    <cfRule type="colorScale" priority="3">
      <colorScale>
        <cfvo type="min"/>
        <cfvo type="formula" val="AVERAGE($IL$8:$JY$110)"/>
        <cfvo type="max"/>
        <color rgb="FFF8696B"/>
        <color theme="0"/>
        <color rgb="FF63BE7B"/>
      </colorScale>
    </cfRule>
  </conditionalFormatting>
  <conditionalFormatting sqref="IV27:JE27">
    <cfRule type="colorScale" priority="4">
      <colorScale>
        <cfvo type="min"/>
        <cfvo type="formula" val="AVERAGE($IL$8:$JY$110)"/>
        <cfvo type="max"/>
        <color rgb="FFF8696B"/>
        <color theme="0"/>
        <color rgb="FF63BE7B"/>
      </colorScale>
    </cfRule>
  </conditionalFormatting>
  <conditionalFormatting sqref="JF8:JO8">
    <cfRule type="colorScale" priority="1">
      <colorScale>
        <cfvo type="min"/>
        <cfvo type="formula" val="AVERAGE($IL$8:$JY$110)"/>
        <cfvo type="max"/>
        <color rgb="FFF8696B"/>
        <color theme="0"/>
        <color rgb="FF63BE7B"/>
      </colorScale>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NP19"/>
  <sheetViews>
    <sheetView zoomScale="90" zoomScaleNormal="90" workbookViewId="0">
      <pane xSplit="3" ySplit="6" topLeftCell="D7" activePane="bottomRight" state="frozen"/>
      <selection activeCell="H10" sqref="H10"/>
      <selection pane="topRight" activeCell="H10" sqref="H10"/>
      <selection pane="bottomLeft" activeCell="H10" sqref="H10"/>
      <selection pane="bottomRight" activeCell="J8" sqref="J8"/>
    </sheetView>
  </sheetViews>
  <sheetFormatPr baseColWidth="10" defaultColWidth="9.140625" defaultRowHeight="15" outlineLevelCol="1"/>
  <cols>
    <col min="1" max="1" width="6" style="21" customWidth="1"/>
    <col min="2" max="2" width="15.140625" style="26" customWidth="1"/>
    <col min="3" max="3" width="20.85546875" style="26" customWidth="1"/>
    <col min="4" max="4" width="68.5703125" style="26" customWidth="1"/>
    <col min="5" max="5" width="8.28515625" style="44" customWidth="1" outlineLevel="1"/>
    <col min="6" max="6" width="12.5703125" style="44" customWidth="1" outlineLevel="1"/>
    <col min="7" max="7" width="8.140625" style="23" customWidth="1" outlineLevel="1"/>
    <col min="8" max="8" width="8.85546875" style="21" customWidth="1" outlineLevel="1"/>
    <col min="9" max="9" width="100.7109375" style="17" customWidth="1" outlineLevel="1"/>
    <col min="10" max="10" width="75.5703125" style="17" customWidth="1"/>
    <col min="11" max="11" width="11.85546875" style="17" customWidth="1" outlineLevel="1"/>
    <col min="12" max="12" width="11.140625" style="17" customWidth="1" outlineLevel="1"/>
    <col min="13" max="13" width="11.85546875" style="17" customWidth="1" outlineLevel="1"/>
    <col min="14" max="14" width="15.140625" style="17" customWidth="1" outlineLevel="1"/>
    <col min="15" max="15" width="7.85546875" style="44" customWidth="1" outlineLevel="1"/>
    <col min="16" max="16" width="12.42578125" style="17" customWidth="1" outlineLevel="1"/>
    <col min="17" max="17" width="9.140625" style="934" customWidth="1"/>
    <col min="18" max="18" width="9.42578125" style="934" customWidth="1"/>
    <col min="19" max="22" width="7.7109375" style="934" customWidth="1"/>
    <col min="23" max="26" width="7.7109375" style="934" hidden="1" customWidth="1" outlineLevel="1"/>
    <col min="27" max="27" width="7.7109375" style="934" customWidth="1" collapsed="1"/>
    <col min="28" max="31" width="7.7109375" style="934" customWidth="1" outlineLevel="1"/>
    <col min="32" max="32" width="7.7109375" style="934" customWidth="1"/>
    <col min="33" max="36" width="7.7109375" style="934" hidden="1" customWidth="1" outlineLevel="1"/>
    <col min="37" max="37" width="7.7109375" style="934" customWidth="1" collapsed="1"/>
    <col min="38" max="38" width="14.42578125" style="17" customWidth="1" outlineLevel="1"/>
    <col min="39" max="39" width="14.28515625" style="17" customWidth="1" outlineLevel="1"/>
    <col min="40" max="40" width="29.7109375" style="17" customWidth="1" outlineLevel="1"/>
    <col min="41" max="41" width="1.7109375" style="803" customWidth="1"/>
    <col min="42" max="42" width="11.28515625" style="934" customWidth="1"/>
    <col min="43" max="43" width="11.28515625" style="933" customWidth="1" outlineLevel="1"/>
    <col min="44" max="44" width="12" style="934" customWidth="1" outlineLevel="1"/>
    <col min="45" max="45" width="11" style="934" customWidth="1" outlineLevel="1"/>
    <col min="46" max="46" width="1.7109375" style="803" customWidth="1"/>
    <col min="47" max="47" width="32" style="934" customWidth="1" outlineLevel="1"/>
    <col min="48" max="48" width="25.5703125" style="58" customWidth="1" outlineLevel="1"/>
    <col min="49" max="49" width="32.42578125" style="934" customWidth="1" outlineLevel="1"/>
    <col min="50" max="50" width="1.7109375" style="803" customWidth="1"/>
    <col min="51" max="52" width="4.42578125" style="934" customWidth="1" outlineLevel="1"/>
    <col min="53" max="53" width="3.85546875" style="934" customWidth="1" outlineLevel="1"/>
    <col min="54" max="54" width="4.42578125" style="934" customWidth="1" outlineLevel="1"/>
    <col min="55" max="62" width="10.7109375" style="934" customWidth="1" outlineLevel="1"/>
    <col min="63" max="63" width="1.7109375" style="803" customWidth="1"/>
    <col min="64" max="68" width="4.28515625" style="686" customWidth="1" outlineLevel="1"/>
    <col min="69" max="71" width="4.28515625" style="934" customWidth="1" outlineLevel="1"/>
    <col min="72" max="74" width="4.28515625" style="686" customWidth="1" outlineLevel="1"/>
    <col min="75" max="77" width="4.28515625" style="934" customWidth="1" outlineLevel="1"/>
    <col min="78" max="81" width="4.28515625" style="686" customWidth="1" outlineLevel="1"/>
    <col min="82" max="85" width="4.28515625" style="934" customWidth="1" outlineLevel="1"/>
    <col min="86" max="88" width="4.28515625" style="686" customWidth="1" outlineLevel="1"/>
    <col min="89" max="91" width="4.28515625" style="934" customWidth="1" outlineLevel="1"/>
    <col min="92" max="92" width="1.7109375" style="803" customWidth="1"/>
    <col min="93" max="106" width="4.140625" style="934" customWidth="1" outlineLevel="1"/>
    <col min="107" max="107" width="113.5703125" style="17" customWidth="1" outlineLevel="1"/>
    <col min="108" max="108" width="1.7109375" style="803" customWidth="1"/>
    <col min="109" max="112" width="8.7109375" style="686" customWidth="1" outlineLevel="1"/>
    <col min="113" max="113" width="40.28515625" style="128" customWidth="1" outlineLevel="1"/>
    <col min="114" max="114" width="8.7109375" style="686" customWidth="1" outlineLevel="1"/>
    <col min="115" max="117" width="8.7109375" style="934" customWidth="1" outlineLevel="1"/>
    <col min="118" max="118" width="50" style="115" customWidth="1" outlineLevel="1"/>
    <col min="119" max="119" width="1.7109375" style="803" customWidth="1"/>
    <col min="120" max="121" width="9.28515625" style="686" customWidth="1" outlineLevel="1"/>
    <col min="122" max="122" width="8.28515625" style="686" customWidth="1" outlineLevel="1"/>
    <col min="123" max="123" width="38.85546875" style="115" customWidth="1" outlineLevel="1"/>
    <col min="124" max="126" width="9.28515625" style="934" customWidth="1" outlineLevel="1"/>
    <col min="127" max="127" width="30" style="115" customWidth="1" outlineLevel="1"/>
    <col min="128" max="128" width="1.7109375" style="803" customWidth="1"/>
    <col min="129" max="132" width="7.28515625" style="686" customWidth="1" outlineLevel="1"/>
    <col min="133" max="133" width="37.5703125" style="115" customWidth="1" outlineLevel="1"/>
    <col min="134" max="137" width="8.7109375" style="934" customWidth="1" outlineLevel="1"/>
    <col min="138" max="138" width="39" style="115" customWidth="1" outlineLevel="1"/>
    <col min="139" max="139" width="1.7109375" style="803" customWidth="1"/>
    <col min="140" max="142" width="9.28515625" style="686" customWidth="1" outlineLevel="1"/>
    <col min="143" max="143" width="37.7109375" style="115" customWidth="1" outlineLevel="1"/>
    <col min="144" max="146" width="9.28515625" style="934" customWidth="1" outlineLevel="1"/>
    <col min="147" max="147" width="35.5703125" style="115" customWidth="1" outlineLevel="1"/>
    <col min="148" max="148" width="1.7109375" style="803" customWidth="1"/>
    <col min="149" max="150" width="6.28515625" style="934" customWidth="1" outlineLevel="1"/>
    <col min="151" max="165" width="8.7109375" style="934" customWidth="1" outlineLevel="1"/>
    <col min="166" max="166" width="1.7109375" style="803" customWidth="1"/>
    <col min="167" max="167" width="8.28515625" style="177" customWidth="1" outlineLevel="1"/>
    <col min="168" max="168" width="6.28515625" style="177" customWidth="1" outlineLevel="1"/>
    <col min="169" max="169" width="6.42578125" style="934" customWidth="1" outlineLevel="1"/>
    <col min="170" max="170" width="32.7109375" style="934" customWidth="1" outlineLevel="1"/>
    <col min="171" max="171" width="1.7109375" style="803" customWidth="1"/>
    <col min="172" max="177" width="5.7109375" style="934" customWidth="1" outlineLevel="1"/>
    <col min="178" max="178" width="1.7109375" style="803" customWidth="1" outlineLevel="1"/>
    <col min="179" max="179" width="85.28515625" style="934" customWidth="1" outlineLevel="1"/>
    <col min="180" max="180" width="68.5703125" style="934" customWidth="1" outlineLevel="1"/>
    <col min="181" max="181" width="50.28515625" style="934" customWidth="1" outlineLevel="1"/>
    <col min="182" max="182" width="52.85546875" style="934" customWidth="1" outlineLevel="1"/>
    <col min="183" max="183" width="63.7109375" style="934" customWidth="1" outlineLevel="1"/>
    <col min="184" max="184" width="65" style="934" customWidth="1" outlineLevel="1"/>
    <col min="185" max="185" width="98.85546875" style="934" customWidth="1" outlineLevel="1"/>
    <col min="186" max="186" width="3" style="803" customWidth="1"/>
    <col min="187" max="228" width="9.28515625" style="934" customWidth="1" outlineLevel="1"/>
    <col min="229" max="229" width="1.7109375" style="676" customWidth="1"/>
    <col min="230" max="230" width="9.28515625" style="167" customWidth="1" outlineLevel="1"/>
    <col min="231" max="235" width="8.7109375" style="167" customWidth="1" outlineLevel="1"/>
    <col min="236" max="236" width="9.28515625" style="167" customWidth="1" outlineLevel="1"/>
    <col min="237" max="241" width="8.7109375" style="167" customWidth="1" outlineLevel="1"/>
    <col min="242" max="242" width="5.7109375" style="167" customWidth="1" outlineLevel="1"/>
    <col min="243" max="243" width="9.42578125" style="167" customWidth="1" outlineLevel="1"/>
    <col min="244" max="244" width="124.5703125" style="167" customWidth="1" outlineLevel="1"/>
    <col min="245" max="245" width="1.7109375" style="803" customWidth="1"/>
    <col min="246" max="250" width="5.7109375" style="167" customWidth="1" outlineLevel="1"/>
    <col min="251" max="251" width="6.28515625" style="167" customWidth="1" outlineLevel="1"/>
    <col min="252" max="285" width="5.7109375" style="167" customWidth="1" outlineLevel="1"/>
    <col min="286" max="286" width="1.7109375" style="803" customWidth="1"/>
    <col min="287" max="289" width="5.7109375" style="167" customWidth="1"/>
    <col min="290" max="290" width="8" style="168" customWidth="1"/>
    <col min="291" max="291" width="44.42578125" style="167" customWidth="1"/>
    <col min="292" max="292" width="35.85546875" style="167" customWidth="1"/>
    <col min="293" max="293" width="37.42578125" style="167" customWidth="1"/>
    <col min="294" max="380" width="15.7109375" style="689" customWidth="1"/>
  </cols>
  <sheetData>
    <row r="1" spans="1:293" s="933" customFormat="1">
      <c r="A1" s="690"/>
      <c r="B1" s="691"/>
      <c r="C1" s="691"/>
      <c r="D1" s="691"/>
      <c r="E1" s="692"/>
      <c r="F1" s="692"/>
      <c r="G1" s="693"/>
      <c r="H1" s="690"/>
      <c r="J1" s="15" t="s">
        <v>2424</v>
      </c>
      <c r="K1" s="803"/>
      <c r="L1" s="803"/>
      <c r="M1" s="803"/>
      <c r="N1" s="803"/>
      <c r="O1" s="692"/>
      <c r="P1" s="803"/>
      <c r="Q1" s="15" t="s">
        <v>2425</v>
      </c>
      <c r="AA1" s="215" t="s">
        <v>2426</v>
      </c>
      <c r="AB1" s="803"/>
      <c r="AC1" s="803"/>
      <c r="AD1" s="803"/>
      <c r="AE1" s="803"/>
      <c r="AF1" s="215" t="s">
        <v>2427</v>
      </c>
      <c r="AG1" s="803"/>
      <c r="AH1" s="803"/>
      <c r="AI1" s="803"/>
      <c r="AJ1" s="803"/>
      <c r="AK1" s="215" t="s">
        <v>2428</v>
      </c>
      <c r="AL1" s="803"/>
      <c r="AM1" s="803"/>
      <c r="AO1" s="112" t="s">
        <v>2429</v>
      </c>
      <c r="AP1" s="15"/>
      <c r="AT1" s="112" t="s">
        <v>2430</v>
      </c>
      <c r="AU1" s="15"/>
      <c r="AV1" s="62"/>
      <c r="AX1" s="112" t="s">
        <v>2431</v>
      </c>
      <c r="AY1" s="15"/>
      <c r="AZ1" s="15"/>
      <c r="BA1" s="15"/>
      <c r="BB1" s="15"/>
      <c r="BK1" s="112" t="s">
        <v>2432</v>
      </c>
      <c r="BL1" s="112"/>
      <c r="BM1" s="112"/>
      <c r="BN1" s="112"/>
      <c r="CN1" s="112" t="s">
        <v>2433</v>
      </c>
      <c r="CO1" s="112"/>
      <c r="CP1" s="112"/>
      <c r="CQ1" s="112"/>
      <c r="CR1" s="687"/>
      <c r="CS1" s="687"/>
      <c r="CT1" s="687"/>
      <c r="CU1" s="687"/>
      <c r="CV1" s="687"/>
      <c r="CW1" s="687"/>
      <c r="CX1" s="687"/>
      <c r="CY1" s="687"/>
      <c r="CZ1" s="687"/>
      <c r="DA1" s="687"/>
      <c r="DB1" s="687"/>
      <c r="DC1" s="687"/>
      <c r="DD1" s="112" t="s">
        <v>2434</v>
      </c>
      <c r="DE1" s="112"/>
      <c r="DF1" s="112"/>
      <c r="DI1" s="127"/>
      <c r="DN1" s="114"/>
      <c r="DO1" s="59" t="s">
        <v>2435</v>
      </c>
      <c r="DP1" s="112"/>
      <c r="DS1" s="114"/>
      <c r="DW1" s="114"/>
      <c r="DX1" s="129" t="s">
        <v>2436</v>
      </c>
      <c r="DY1" s="59"/>
      <c r="DZ1" s="59"/>
      <c r="EC1" s="114"/>
      <c r="EH1" s="114"/>
      <c r="EI1" s="130" t="s">
        <v>2437</v>
      </c>
      <c r="EJ1" s="130"/>
      <c r="EK1" s="130"/>
      <c r="EM1" s="114"/>
      <c r="EQ1" s="114"/>
      <c r="ER1" s="216" t="s">
        <v>2438</v>
      </c>
      <c r="ES1" s="216"/>
      <c r="ET1" s="216"/>
      <c r="EU1" s="114"/>
      <c r="EV1" s="114"/>
      <c r="EW1" s="114"/>
      <c r="EX1" s="176"/>
      <c r="EY1" s="176"/>
      <c r="EZ1" s="176"/>
      <c r="FA1" s="176"/>
      <c r="FB1" s="176"/>
      <c r="FC1" s="176"/>
      <c r="FD1" s="176"/>
      <c r="FE1" s="176"/>
      <c r="FF1" s="176"/>
      <c r="FG1" s="176"/>
      <c r="FH1" s="176"/>
      <c r="FI1" s="176"/>
      <c r="FJ1" s="217" t="s">
        <v>2442</v>
      </c>
      <c r="FK1" s="217"/>
      <c r="FL1" s="217"/>
      <c r="FM1" s="218"/>
      <c r="FN1" s="218"/>
      <c r="FO1" s="217" t="s">
        <v>2443</v>
      </c>
      <c r="FP1" s="217"/>
      <c r="FQ1" s="217"/>
      <c r="FR1" s="217"/>
      <c r="FS1" s="218"/>
      <c r="FT1" s="218"/>
      <c r="FU1" s="218"/>
      <c r="FW1" s="114"/>
      <c r="FX1" s="219"/>
      <c r="FY1" s="219"/>
      <c r="FZ1" s="114"/>
      <c r="GA1" s="114"/>
      <c r="GB1" s="114"/>
      <c r="GC1" s="114"/>
      <c r="GD1" s="217" t="s">
        <v>2444</v>
      </c>
      <c r="GE1" s="214"/>
      <c r="GF1" s="214"/>
      <c r="GG1" s="214"/>
      <c r="GH1" s="687"/>
      <c r="GI1" s="687"/>
      <c r="GJ1" s="687"/>
      <c r="GK1" s="687"/>
      <c r="GL1" s="687"/>
      <c r="GM1" s="687"/>
      <c r="GN1" s="687"/>
      <c r="GO1" s="687"/>
      <c r="GP1" s="687"/>
      <c r="GQ1" s="687"/>
      <c r="GR1" s="687"/>
      <c r="GS1" s="687"/>
      <c r="GT1" s="687"/>
      <c r="GU1" s="687"/>
      <c r="GV1" s="687"/>
      <c r="GW1" s="687"/>
      <c r="GX1" s="687"/>
      <c r="GY1" s="687"/>
      <c r="GZ1" s="687"/>
      <c r="HA1" s="687"/>
      <c r="HB1" s="687"/>
      <c r="HC1" s="687"/>
      <c r="HD1" s="687"/>
      <c r="HE1" s="687"/>
      <c r="HF1" s="687"/>
      <c r="HG1" s="687"/>
      <c r="HH1" s="687"/>
      <c r="HI1" s="687"/>
      <c r="HJ1" s="687"/>
      <c r="HK1" s="687"/>
      <c r="HL1" s="687"/>
      <c r="HM1" s="687"/>
      <c r="HN1" s="687"/>
      <c r="HO1" s="687"/>
      <c r="HP1" s="687"/>
      <c r="HQ1" s="687"/>
      <c r="HR1" s="687"/>
      <c r="HS1" s="687"/>
      <c r="HT1" s="687"/>
      <c r="HU1" s="244" t="s">
        <v>2445</v>
      </c>
      <c r="HV1" s="244"/>
      <c r="HW1" s="688"/>
      <c r="HX1" s="688"/>
      <c r="HY1" s="688"/>
      <c r="HZ1" s="688"/>
      <c r="IA1" s="688"/>
      <c r="IB1" s="688"/>
      <c r="IC1" s="688"/>
      <c r="ID1" s="688"/>
      <c r="IE1" s="688"/>
      <c r="IF1" s="688"/>
      <c r="IG1" s="688"/>
      <c r="IH1" s="689"/>
      <c r="II1" s="688"/>
      <c r="IJ1" s="688"/>
      <c r="IK1" s="244" t="s">
        <v>2446</v>
      </c>
      <c r="IL1" s="244"/>
      <c r="IM1" s="244"/>
      <c r="IN1" s="244"/>
      <c r="IO1" s="244"/>
      <c r="IP1" s="688"/>
      <c r="IQ1" s="688"/>
      <c r="IR1" s="688"/>
      <c r="IS1" s="688"/>
      <c r="IT1" s="688"/>
      <c r="IU1" s="688"/>
      <c r="IV1" s="688"/>
      <c r="IW1" s="688"/>
      <c r="IX1" s="688"/>
      <c r="IY1" s="688"/>
      <c r="IZ1" s="688"/>
      <c r="JA1" s="688"/>
      <c r="JB1" s="688"/>
      <c r="JC1" s="688"/>
      <c r="JD1" s="688"/>
      <c r="JE1" s="688"/>
      <c r="JF1" s="688"/>
      <c r="JG1" s="688"/>
      <c r="JH1" s="688"/>
      <c r="JI1" s="688"/>
      <c r="JJ1" s="688"/>
      <c r="JK1" s="688"/>
      <c r="JL1" s="688"/>
      <c r="JM1" s="688"/>
      <c r="JN1" s="688"/>
      <c r="JO1" s="688"/>
      <c r="JP1" s="688"/>
      <c r="JQ1" s="688"/>
      <c r="JR1" s="688"/>
      <c r="JS1" s="688"/>
      <c r="JT1" s="688"/>
      <c r="JU1" s="688"/>
      <c r="JV1" s="688"/>
      <c r="JW1" s="688"/>
      <c r="JX1" s="688"/>
      <c r="JY1" s="688"/>
      <c r="JZ1" s="244" t="s">
        <v>2447</v>
      </c>
      <c r="KA1" s="130"/>
      <c r="KB1" s="130"/>
      <c r="KC1" s="130"/>
      <c r="KD1" s="130"/>
      <c r="KE1" s="689"/>
      <c r="KF1" s="689"/>
      <c r="KG1" s="689"/>
    </row>
    <row r="2" spans="1:293">
      <c r="A2" s="690"/>
      <c r="B2" s="691"/>
      <c r="C2" s="691"/>
      <c r="D2" s="691"/>
      <c r="E2" s="692"/>
      <c r="F2" s="692"/>
      <c r="G2" s="693"/>
      <c r="H2" s="690"/>
      <c r="I2" s="803"/>
      <c r="J2" s="15" t="s">
        <v>2449</v>
      </c>
      <c r="K2" s="803"/>
      <c r="L2" s="803"/>
      <c r="M2" s="803"/>
      <c r="N2" s="803"/>
      <c r="O2" s="692"/>
      <c r="P2" s="803"/>
      <c r="Q2" s="15" t="s">
        <v>2406</v>
      </c>
      <c r="R2" s="933"/>
      <c r="S2" s="933"/>
      <c r="T2" s="933"/>
      <c r="U2" s="933"/>
      <c r="V2" s="933"/>
      <c r="W2" s="933"/>
      <c r="X2" s="933"/>
      <c r="Y2" s="933"/>
      <c r="Z2" s="933"/>
      <c r="AA2" s="933"/>
      <c r="AB2" s="933"/>
      <c r="AC2" s="933"/>
      <c r="AD2" s="933"/>
      <c r="AE2" s="933"/>
      <c r="AF2" s="933"/>
      <c r="AG2" s="933"/>
      <c r="AH2" s="933"/>
      <c r="AI2" s="933"/>
      <c r="AJ2" s="933"/>
      <c r="AK2" s="933"/>
      <c r="AL2" s="803"/>
      <c r="AM2" s="803"/>
      <c r="AO2" s="112" t="s">
        <v>2450</v>
      </c>
      <c r="AP2" s="112"/>
      <c r="AR2" s="933"/>
      <c r="AS2" s="933"/>
      <c r="AT2" s="933"/>
      <c r="AU2" s="933"/>
      <c r="AV2" s="62"/>
      <c r="AW2" s="933"/>
      <c r="AX2" s="933"/>
      <c r="AY2" s="255"/>
      <c r="AZ2" s="54"/>
      <c r="BA2" s="54"/>
      <c r="BB2" s="54"/>
      <c r="BC2" s="54" t="s">
        <v>6730</v>
      </c>
      <c r="BD2" s="66" t="s">
        <v>6731</v>
      </c>
      <c r="BE2" s="54"/>
      <c r="BF2" s="54"/>
      <c r="BG2" s="54"/>
      <c r="BH2" s="54"/>
      <c r="BI2" s="54"/>
      <c r="BJ2" s="65"/>
      <c r="BK2" s="933"/>
      <c r="BL2" s="80"/>
      <c r="BM2" s="81" t="s">
        <v>2452</v>
      </c>
      <c r="BN2" s="81"/>
      <c r="BO2" s="82"/>
      <c r="BP2" s="80"/>
      <c r="BQ2" s="81" t="s">
        <v>2453</v>
      </c>
      <c r="BR2" s="81"/>
      <c r="BS2" s="82"/>
      <c r="BT2" s="87"/>
      <c r="BU2" s="88" t="s">
        <v>2452</v>
      </c>
      <c r="BV2" s="89"/>
      <c r="BW2" s="87"/>
      <c r="BX2" s="88" t="s">
        <v>2453</v>
      </c>
      <c r="BY2" s="89"/>
      <c r="BZ2" s="94"/>
      <c r="CA2" s="95" t="s">
        <v>2452</v>
      </c>
      <c r="CB2" s="95"/>
      <c r="CC2" s="96"/>
      <c r="CD2" s="94"/>
      <c r="CE2" s="95" t="s">
        <v>2453</v>
      </c>
      <c r="CF2" s="95"/>
      <c r="CG2" s="96"/>
      <c r="CH2" s="101"/>
      <c r="CI2" s="102" t="s">
        <v>2452</v>
      </c>
      <c r="CJ2" s="103"/>
      <c r="CK2" s="101"/>
      <c r="CL2" s="102" t="s">
        <v>2453</v>
      </c>
      <c r="CM2" s="103"/>
      <c r="CN2" s="933"/>
      <c r="CO2" s="142" t="s">
        <v>2454</v>
      </c>
      <c r="CP2" s="112"/>
      <c r="CQ2" s="112"/>
      <c r="CR2" s="112"/>
      <c r="CS2" s="112"/>
      <c r="CT2" s="112"/>
      <c r="CU2" s="112"/>
      <c r="CV2" s="112"/>
      <c r="CW2" s="112"/>
      <c r="CX2" s="112"/>
      <c r="CY2" s="112"/>
      <c r="CZ2" s="112"/>
      <c r="DA2" s="112"/>
      <c r="DB2" s="112"/>
      <c r="DC2" s="144"/>
      <c r="DD2" s="933"/>
      <c r="DE2" s="80"/>
      <c r="DF2" s="81" t="s">
        <v>2455</v>
      </c>
      <c r="DG2" s="81"/>
      <c r="DH2" s="82"/>
      <c r="DI2" s="127"/>
      <c r="DJ2" s="80"/>
      <c r="DK2" s="81" t="s">
        <v>2456</v>
      </c>
      <c r="DL2" s="81"/>
      <c r="DM2" s="82"/>
      <c r="DN2" s="114"/>
      <c r="DO2" s="933"/>
      <c r="DP2" s="87"/>
      <c r="DQ2" s="88" t="s">
        <v>2457</v>
      </c>
      <c r="DR2" s="89"/>
      <c r="DS2" s="114"/>
      <c r="DT2" s="120"/>
      <c r="DU2" s="88" t="s">
        <v>2453</v>
      </c>
      <c r="DV2" s="89"/>
      <c r="DW2" s="114"/>
      <c r="DX2" s="933"/>
      <c r="DY2" s="94"/>
      <c r="DZ2" s="95" t="s">
        <v>2457</v>
      </c>
      <c r="EA2" s="95"/>
      <c r="EB2" s="96"/>
      <c r="EC2" s="114"/>
      <c r="ED2" s="94"/>
      <c r="EE2" s="95" t="s">
        <v>2458</v>
      </c>
      <c r="EF2" s="95"/>
      <c r="EG2" s="96"/>
      <c r="EH2" s="114"/>
      <c r="EI2" s="933"/>
      <c r="EJ2" s="101"/>
      <c r="EK2" s="102" t="s">
        <v>2457</v>
      </c>
      <c r="EL2" s="103"/>
      <c r="EM2" s="114"/>
      <c r="EN2" s="101"/>
      <c r="EO2" s="102" t="s">
        <v>2453</v>
      </c>
      <c r="EP2" s="103"/>
      <c r="EQ2" s="114"/>
      <c r="ER2" s="933"/>
      <c r="ES2" s="183"/>
      <c r="ET2" s="174"/>
      <c r="EU2" s="183" t="s">
        <v>2459</v>
      </c>
      <c r="EV2" s="174"/>
      <c r="EW2" s="174"/>
      <c r="EX2" s="173"/>
      <c r="EY2" s="179" t="s">
        <v>2459</v>
      </c>
      <c r="EZ2" s="173"/>
      <c r="FA2" s="173"/>
      <c r="FB2" s="179" t="s">
        <v>2459</v>
      </c>
      <c r="FC2" s="173"/>
      <c r="FD2" s="173"/>
      <c r="FE2" s="179" t="s">
        <v>2459</v>
      </c>
      <c r="FF2" s="173"/>
      <c r="FG2" s="173"/>
      <c r="FH2" s="179" t="s">
        <v>2459</v>
      </c>
      <c r="FI2" s="207"/>
      <c r="FJ2" s="933"/>
      <c r="FK2" s="162"/>
      <c r="FL2" s="172"/>
      <c r="FM2" s="183"/>
      <c r="FN2" s="211" t="s">
        <v>2459</v>
      </c>
      <c r="FO2" s="933"/>
      <c r="FP2" s="196" t="s">
        <v>2460</v>
      </c>
      <c r="FQ2" s="197"/>
      <c r="FR2" s="174"/>
      <c r="FS2" s="172"/>
      <c r="FT2" s="174"/>
      <c r="FU2" s="175"/>
      <c r="FV2" s="933"/>
      <c r="FW2" s="114"/>
      <c r="FX2" s="114"/>
      <c r="FY2" s="114"/>
      <c r="FZ2" s="114"/>
      <c r="GA2" s="114"/>
      <c r="GB2" s="114"/>
      <c r="GC2" s="114"/>
      <c r="GD2" s="933"/>
      <c r="GE2" s="173"/>
      <c r="GF2" s="179" t="s">
        <v>2459</v>
      </c>
      <c r="GG2" s="173"/>
      <c r="GH2" s="173"/>
      <c r="GI2" s="179" t="s">
        <v>2459</v>
      </c>
      <c r="GJ2" s="173"/>
      <c r="GK2" s="173"/>
      <c r="GL2" s="179" t="s">
        <v>2459</v>
      </c>
      <c r="GM2" s="173"/>
      <c r="GN2" s="173"/>
      <c r="GO2" s="179" t="s">
        <v>2459</v>
      </c>
      <c r="GP2" s="173"/>
      <c r="GQ2" s="173"/>
      <c r="GR2" s="179" t="s">
        <v>2459</v>
      </c>
      <c r="GS2" s="173"/>
      <c r="GT2" s="173"/>
      <c r="GU2" s="179" t="s">
        <v>2459</v>
      </c>
      <c r="GV2" s="173"/>
      <c r="GW2" s="173"/>
      <c r="GX2" s="179" t="s">
        <v>2459</v>
      </c>
      <c r="GY2" s="173"/>
      <c r="GZ2" s="173"/>
      <c r="HA2" s="179" t="s">
        <v>2459</v>
      </c>
      <c r="HB2" s="173"/>
      <c r="HC2" s="173"/>
      <c r="HD2" s="179" t="s">
        <v>2459</v>
      </c>
      <c r="HE2" s="173"/>
      <c r="HF2" s="173"/>
      <c r="HG2" s="179" t="s">
        <v>2459</v>
      </c>
      <c r="HH2" s="173"/>
      <c r="HI2" s="173"/>
      <c r="HJ2" s="179" t="s">
        <v>2459</v>
      </c>
      <c r="HK2" s="173"/>
      <c r="HL2" s="173"/>
      <c r="HM2" s="179" t="s">
        <v>2459</v>
      </c>
      <c r="HN2" s="173"/>
      <c r="HO2" s="173"/>
      <c r="HP2" s="179" t="s">
        <v>2459</v>
      </c>
      <c r="HQ2" s="173"/>
      <c r="HR2" s="173"/>
      <c r="HS2" s="179" t="s">
        <v>2459</v>
      </c>
      <c r="HT2" s="173"/>
      <c r="HV2" s="688"/>
      <c r="HW2" s="241"/>
      <c r="HX2" s="235"/>
      <c r="HY2" s="172" t="s">
        <v>2461</v>
      </c>
      <c r="HZ2" s="235"/>
      <c r="IA2" s="242"/>
      <c r="IB2" s="688"/>
      <c r="IC2" s="241"/>
      <c r="ID2" s="235"/>
      <c r="IE2" s="172" t="s">
        <v>2459</v>
      </c>
      <c r="IF2" s="235"/>
      <c r="IG2" s="235"/>
      <c r="IH2" s="689"/>
      <c r="II2" s="688"/>
      <c r="IJ2" s="688"/>
      <c r="IK2" s="933"/>
      <c r="IL2" s="241"/>
      <c r="IM2" s="235"/>
      <c r="IN2" s="179" t="s">
        <v>2461</v>
      </c>
      <c r="IO2" s="235"/>
      <c r="IP2" s="242"/>
      <c r="IQ2" s="241"/>
      <c r="IR2" s="235"/>
      <c r="IS2" s="179" t="s">
        <v>2459</v>
      </c>
      <c r="IT2" s="235"/>
      <c r="IU2" s="242"/>
      <c r="IV2" s="241"/>
      <c r="IW2" s="235"/>
      <c r="IX2" s="179" t="s">
        <v>2461</v>
      </c>
      <c r="IY2" s="235"/>
      <c r="IZ2" s="242"/>
      <c r="JA2" s="241"/>
      <c r="JB2" s="235"/>
      <c r="JC2" s="179" t="s">
        <v>2459</v>
      </c>
      <c r="JD2" s="235"/>
      <c r="JE2" s="242"/>
      <c r="JF2" s="241"/>
      <c r="JG2" s="235"/>
      <c r="JH2" s="179" t="s">
        <v>2461</v>
      </c>
      <c r="JI2" s="235"/>
      <c r="JJ2" s="242"/>
      <c r="JK2" s="241"/>
      <c r="JL2" s="235"/>
      <c r="JM2" s="179" t="s">
        <v>2459</v>
      </c>
      <c r="JN2" s="235"/>
      <c r="JO2" s="242"/>
      <c r="JP2" s="241"/>
      <c r="JQ2" s="235"/>
      <c r="JR2" s="179" t="s">
        <v>2461</v>
      </c>
      <c r="JS2" s="235"/>
      <c r="JT2" s="242"/>
      <c r="JU2" s="241"/>
      <c r="JV2" s="235"/>
      <c r="JW2" s="179" t="s">
        <v>2459</v>
      </c>
      <c r="JX2" s="235"/>
      <c r="JY2" s="242"/>
      <c r="JZ2" s="933"/>
      <c r="KA2" s="248"/>
      <c r="KB2" s="248" t="s">
        <v>2462</v>
      </c>
      <c r="KC2" s="172"/>
      <c r="KD2" s="172"/>
      <c r="KE2" s="254"/>
      <c r="KF2" s="254"/>
      <c r="KG2" s="254"/>
    </row>
    <row r="3" spans="1:293" ht="15" customHeight="1">
      <c r="A3" s="690"/>
      <c r="B3" s="691"/>
      <c r="C3" s="691"/>
      <c r="D3" s="691"/>
      <c r="E3" s="692"/>
      <c r="F3" s="692"/>
      <c r="G3" s="693"/>
      <c r="H3" s="690"/>
      <c r="I3" s="803"/>
      <c r="J3" s="803"/>
      <c r="K3" s="803"/>
      <c r="L3" s="803"/>
      <c r="M3" s="803"/>
      <c r="N3" s="803"/>
      <c r="O3" s="692"/>
      <c r="P3" s="803"/>
      <c r="Q3" s="933"/>
      <c r="R3" s="933"/>
      <c r="S3" s="15"/>
      <c r="T3" s="15"/>
      <c r="U3" s="15"/>
      <c r="V3" s="64" t="s">
        <v>6732</v>
      </c>
      <c r="W3" s="15"/>
      <c r="X3" s="15"/>
      <c r="Y3" s="15"/>
      <c r="Z3" s="15"/>
      <c r="AA3" s="15"/>
      <c r="AB3" s="15"/>
      <c r="AC3" s="15"/>
      <c r="AD3" s="15"/>
      <c r="AE3" s="15"/>
      <c r="AF3" s="15"/>
      <c r="AG3" s="15"/>
      <c r="AH3" s="15"/>
      <c r="AI3" s="15"/>
      <c r="AJ3" s="15"/>
      <c r="AK3" s="15"/>
      <c r="AL3" s="803"/>
      <c r="AM3" s="803"/>
      <c r="AN3" s="803"/>
      <c r="AP3" s="933"/>
      <c r="AR3" s="933"/>
      <c r="AS3" s="933"/>
      <c r="AU3" s="933"/>
      <c r="AV3" s="62"/>
      <c r="AW3" s="933"/>
      <c r="AY3" s="69" t="s">
        <v>6733</v>
      </c>
      <c r="AZ3" s="66"/>
      <c r="BA3" s="67"/>
      <c r="BB3" s="68"/>
      <c r="BC3" s="69"/>
      <c r="BD3" s="71" t="s">
        <v>2535</v>
      </c>
      <c r="BE3" s="66">
        <v>2025</v>
      </c>
      <c r="BF3" s="70"/>
      <c r="BG3" s="69"/>
      <c r="BH3" s="71" t="s">
        <v>2535</v>
      </c>
      <c r="BI3" s="66">
        <v>2030</v>
      </c>
      <c r="BJ3" s="70"/>
      <c r="BL3" s="83"/>
      <c r="BM3" s="54" t="s">
        <v>2467</v>
      </c>
      <c r="BN3" s="50"/>
      <c r="BO3" s="84"/>
      <c r="BP3" s="83"/>
      <c r="BQ3" s="54" t="s">
        <v>2467</v>
      </c>
      <c r="BR3" s="50"/>
      <c r="BS3" s="84"/>
      <c r="BT3" s="90"/>
      <c r="BU3" s="52" t="s">
        <v>2468</v>
      </c>
      <c r="BV3" s="91"/>
      <c r="BW3" s="90"/>
      <c r="BX3" s="52" t="s">
        <v>2468</v>
      </c>
      <c r="BY3" s="91"/>
      <c r="BZ3" s="97" t="s">
        <v>2469</v>
      </c>
      <c r="CA3" s="55"/>
      <c r="CB3" s="56"/>
      <c r="CC3" s="98"/>
      <c r="CD3" s="97" t="s">
        <v>2469</v>
      </c>
      <c r="CE3" s="55"/>
      <c r="CF3" s="56"/>
      <c r="CG3" s="98"/>
      <c r="CH3" s="104"/>
      <c r="CI3" s="61" t="s">
        <v>2470</v>
      </c>
      <c r="CJ3" s="105"/>
      <c r="CK3" s="104"/>
      <c r="CL3" s="61" t="s">
        <v>2470</v>
      </c>
      <c r="CM3" s="105"/>
      <c r="CO3" s="83"/>
      <c r="CP3" s="54" t="s">
        <v>2471</v>
      </c>
      <c r="CQ3" s="50"/>
      <c r="CR3" s="84"/>
      <c r="CS3" s="90"/>
      <c r="CT3" s="52" t="s">
        <v>2472</v>
      </c>
      <c r="CU3" s="91"/>
      <c r="CV3" s="97" t="s">
        <v>2469</v>
      </c>
      <c r="CW3" s="55"/>
      <c r="CX3" s="56"/>
      <c r="CY3" s="98"/>
      <c r="CZ3" s="104"/>
      <c r="DA3" s="61" t="s">
        <v>2470</v>
      </c>
      <c r="DB3" s="105"/>
      <c r="DC3" s="144"/>
      <c r="DE3" s="83"/>
      <c r="DF3" s="54" t="s">
        <v>2473</v>
      </c>
      <c r="DG3" s="50"/>
      <c r="DH3" s="84"/>
      <c r="DI3" s="127"/>
      <c r="DJ3" s="83"/>
      <c r="DK3" s="54" t="s">
        <v>2473</v>
      </c>
      <c r="DL3" s="50"/>
      <c r="DM3" s="84"/>
      <c r="DN3" s="114"/>
      <c r="DP3" s="90"/>
      <c r="DQ3" s="52" t="s">
        <v>2468</v>
      </c>
      <c r="DR3" s="91"/>
      <c r="DS3" s="114"/>
      <c r="DT3" s="90"/>
      <c r="DU3" s="52" t="s">
        <v>2468</v>
      </c>
      <c r="DV3" s="91"/>
      <c r="DW3" s="114"/>
      <c r="DY3" s="97"/>
      <c r="DZ3" s="55" t="s">
        <v>2469</v>
      </c>
      <c r="EA3" s="56"/>
      <c r="EB3" s="98"/>
      <c r="EC3" s="114"/>
      <c r="ED3" s="97"/>
      <c r="EE3" s="55" t="s">
        <v>2469</v>
      </c>
      <c r="EF3" s="56"/>
      <c r="EG3" s="98"/>
      <c r="EH3" s="114"/>
      <c r="EJ3" s="104"/>
      <c r="EK3" s="61" t="s">
        <v>2470</v>
      </c>
      <c r="EL3" s="105"/>
      <c r="EM3" s="114"/>
      <c r="EN3" s="104"/>
      <c r="EO3" s="61" t="s">
        <v>2470</v>
      </c>
      <c r="EP3" s="105"/>
      <c r="EQ3" s="114"/>
      <c r="ES3" s="183"/>
      <c r="ET3" s="172"/>
      <c r="EU3" s="183" t="s">
        <v>2474</v>
      </c>
      <c r="EV3" s="174"/>
      <c r="EW3" s="174"/>
      <c r="EX3" s="162"/>
      <c r="EY3" s="174" t="s">
        <v>2475</v>
      </c>
      <c r="EZ3" s="171"/>
      <c r="FA3" s="162"/>
      <c r="FB3" s="180" t="s">
        <v>2472</v>
      </c>
      <c r="FC3" s="171"/>
      <c r="FD3" s="162"/>
      <c r="FE3" s="181" t="s">
        <v>2476</v>
      </c>
      <c r="FF3" s="171"/>
      <c r="FG3" s="162"/>
      <c r="FH3" s="182" t="s">
        <v>2477</v>
      </c>
      <c r="FI3" s="208"/>
      <c r="FK3" s="212" t="s">
        <v>2478</v>
      </c>
      <c r="FL3" s="172"/>
      <c r="FM3" s="163"/>
      <c r="FN3" s="213" t="s">
        <v>2479</v>
      </c>
      <c r="FP3" s="200" t="s">
        <v>2480</v>
      </c>
      <c r="FQ3" s="186"/>
      <c r="FR3" s="198" t="s">
        <v>2481</v>
      </c>
      <c r="FS3" s="199"/>
      <c r="FT3" s="195" t="s">
        <v>2482</v>
      </c>
      <c r="FU3" s="186"/>
      <c r="FW3" s="114"/>
      <c r="FX3" s="114"/>
      <c r="FY3" s="114"/>
      <c r="FZ3" s="114"/>
      <c r="GA3" s="114"/>
      <c r="GB3" s="114"/>
      <c r="GC3" s="114"/>
      <c r="GE3" s="164"/>
      <c r="GF3" s="187" t="s">
        <v>2483</v>
      </c>
      <c r="GG3" s="187"/>
      <c r="GH3" s="164"/>
      <c r="GI3" s="187" t="s">
        <v>2484</v>
      </c>
      <c r="GJ3" s="164"/>
      <c r="GK3" s="164"/>
      <c r="GL3" s="187" t="s">
        <v>2485</v>
      </c>
      <c r="GM3" s="164"/>
      <c r="GN3" s="164"/>
      <c r="GO3" s="187" t="s">
        <v>2486</v>
      </c>
      <c r="GP3" s="164"/>
      <c r="GQ3" s="188"/>
      <c r="GR3" s="189" t="s">
        <v>2487</v>
      </c>
      <c r="GS3" s="188"/>
      <c r="GT3" s="188"/>
      <c r="GU3" s="189" t="s">
        <v>2488</v>
      </c>
      <c r="GV3" s="188"/>
      <c r="GW3" s="188"/>
      <c r="GX3" s="189" t="s">
        <v>2489</v>
      </c>
      <c r="GY3" s="188"/>
      <c r="GZ3" s="190"/>
      <c r="HA3" s="191" t="s">
        <v>2490</v>
      </c>
      <c r="HB3" s="190"/>
      <c r="HC3" s="190"/>
      <c r="HD3" s="191" t="s">
        <v>2491</v>
      </c>
      <c r="HE3" s="190"/>
      <c r="HF3" s="190"/>
      <c r="HG3" s="191" t="s">
        <v>2492</v>
      </c>
      <c r="HH3" s="190"/>
      <c r="HI3" s="190"/>
      <c r="HJ3" s="191" t="s">
        <v>2493</v>
      </c>
      <c r="HK3" s="190"/>
      <c r="HL3" s="192"/>
      <c r="HM3" s="193" t="s">
        <v>2494</v>
      </c>
      <c r="HN3" s="192"/>
      <c r="HO3" s="192"/>
      <c r="HP3" s="193" t="s">
        <v>2495</v>
      </c>
      <c r="HQ3" s="192"/>
      <c r="HR3" s="192"/>
      <c r="HS3" s="193" t="s">
        <v>2496</v>
      </c>
      <c r="HT3" s="192"/>
      <c r="HV3" s="688"/>
      <c r="HW3" s="241"/>
      <c r="HX3" s="235"/>
      <c r="HY3" s="252" t="s">
        <v>2497</v>
      </c>
      <c r="HZ3" s="235"/>
      <c r="IA3" s="242"/>
      <c r="IB3" s="688"/>
      <c r="IC3" s="241"/>
      <c r="ID3" s="235"/>
      <c r="IE3" s="252" t="s">
        <v>2497</v>
      </c>
      <c r="IF3" s="235"/>
      <c r="IG3" s="242"/>
      <c r="IH3" s="257" t="s">
        <v>2498</v>
      </c>
      <c r="II3" s="258"/>
      <c r="IL3" s="241"/>
      <c r="IM3" s="235"/>
      <c r="IN3" s="236" t="s">
        <v>2475</v>
      </c>
      <c r="IO3" s="235"/>
      <c r="IP3" s="242"/>
      <c r="IQ3" s="241"/>
      <c r="IR3" s="235"/>
      <c r="IS3" s="236" t="s">
        <v>2475</v>
      </c>
      <c r="IT3" s="235"/>
      <c r="IU3" s="242"/>
      <c r="IV3" s="241"/>
      <c r="IW3" s="235"/>
      <c r="IX3" s="243" t="s">
        <v>2468</v>
      </c>
      <c r="IY3" s="235"/>
      <c r="IZ3" s="242"/>
      <c r="JA3" s="241"/>
      <c r="JB3" s="235"/>
      <c r="JC3" s="243" t="s">
        <v>2468</v>
      </c>
      <c r="JD3" s="235"/>
      <c r="JE3" s="242"/>
      <c r="JF3" s="241"/>
      <c r="JG3" s="235"/>
      <c r="JH3" s="237" t="s">
        <v>2476</v>
      </c>
      <c r="JI3" s="235"/>
      <c r="JJ3" s="242"/>
      <c r="JK3" s="241"/>
      <c r="JL3" s="235"/>
      <c r="JM3" s="237" t="s">
        <v>2476</v>
      </c>
      <c r="JN3" s="235"/>
      <c r="JO3" s="242"/>
      <c r="JP3" s="241"/>
      <c r="JQ3" s="235"/>
      <c r="JR3" s="182" t="s">
        <v>2477</v>
      </c>
      <c r="JS3" s="235"/>
      <c r="JT3" s="242"/>
      <c r="JU3" s="241"/>
      <c r="JV3" s="235"/>
      <c r="JW3" s="182" t="s">
        <v>2477</v>
      </c>
      <c r="JX3" s="235"/>
      <c r="JY3" s="242"/>
      <c r="KA3" s="196" t="s">
        <v>2499</v>
      </c>
      <c r="KB3" s="211"/>
      <c r="KC3" s="196" t="s">
        <v>2500</v>
      </c>
      <c r="KD3" s="183"/>
      <c r="KE3" s="682"/>
      <c r="KF3" s="682"/>
      <c r="KG3" s="682"/>
    </row>
    <row r="4" spans="1:293" ht="80.25" customHeight="1">
      <c r="A4" s="1" t="s">
        <v>2044</v>
      </c>
      <c r="B4" s="46" t="s">
        <v>2045</v>
      </c>
      <c r="C4" s="46" t="s">
        <v>2180</v>
      </c>
      <c r="D4" s="46" t="s">
        <v>2181</v>
      </c>
      <c r="E4" s="46" t="s">
        <v>2048</v>
      </c>
      <c r="F4" s="46" t="s">
        <v>2049</v>
      </c>
      <c r="G4" s="46" t="s">
        <v>2182</v>
      </c>
      <c r="H4" s="46" t="s">
        <v>2183</v>
      </c>
      <c r="I4" s="46" t="s">
        <v>2050</v>
      </c>
      <c r="J4" s="46" t="s">
        <v>2051</v>
      </c>
      <c r="K4" s="46" t="s">
        <v>2184</v>
      </c>
      <c r="L4" s="46" t="s">
        <v>2185</v>
      </c>
      <c r="M4" s="46" t="s">
        <v>2056</v>
      </c>
      <c r="N4" s="46" t="s">
        <v>1249</v>
      </c>
      <c r="O4" s="46" t="s">
        <v>1274</v>
      </c>
      <c r="P4" s="46" t="s">
        <v>2186</v>
      </c>
      <c r="Q4" s="48" t="s">
        <v>2501</v>
      </c>
      <c r="R4" s="46" t="s">
        <v>2502</v>
      </c>
      <c r="S4" s="226">
        <v>2000</v>
      </c>
      <c r="T4" s="226">
        <v>2005</v>
      </c>
      <c r="U4" s="226">
        <v>2010</v>
      </c>
      <c r="V4" s="226">
        <v>2015</v>
      </c>
      <c r="W4" s="226">
        <v>2016</v>
      </c>
      <c r="X4" s="226">
        <v>2017</v>
      </c>
      <c r="Y4" s="226">
        <v>2018</v>
      </c>
      <c r="Z4" s="226">
        <v>2019</v>
      </c>
      <c r="AA4" s="226">
        <v>2020</v>
      </c>
      <c r="AB4" s="226">
        <v>2021</v>
      </c>
      <c r="AC4" s="226">
        <v>2022</v>
      </c>
      <c r="AD4" s="226">
        <v>2023</v>
      </c>
      <c r="AE4" s="226">
        <v>2024</v>
      </c>
      <c r="AF4" s="226">
        <v>2025</v>
      </c>
      <c r="AG4" s="226">
        <v>2026</v>
      </c>
      <c r="AH4" s="226">
        <v>2027</v>
      </c>
      <c r="AI4" s="226">
        <v>2028</v>
      </c>
      <c r="AJ4" s="226">
        <v>2029</v>
      </c>
      <c r="AK4" s="226">
        <v>2030</v>
      </c>
      <c r="AL4" s="46" t="s">
        <v>6734</v>
      </c>
      <c r="AM4" s="46" t="s">
        <v>6735</v>
      </c>
      <c r="AN4" s="15" t="s">
        <v>2065</v>
      </c>
      <c r="AO4" s="109"/>
      <c r="AP4" s="63" t="s">
        <v>2505</v>
      </c>
      <c r="AQ4" s="63" t="s">
        <v>2506</v>
      </c>
      <c r="AR4" s="63" t="s">
        <v>2507</v>
      </c>
      <c r="AS4" s="63" t="s">
        <v>2508</v>
      </c>
      <c r="AT4" s="109"/>
      <c r="AU4" s="46" t="s">
        <v>2509</v>
      </c>
      <c r="AV4" s="46" t="s">
        <v>2510</v>
      </c>
      <c r="AW4" s="46" t="s">
        <v>2512</v>
      </c>
      <c r="AX4" s="109"/>
      <c r="AY4" s="72" t="s">
        <v>2475</v>
      </c>
      <c r="AZ4" s="73" t="s">
        <v>2472</v>
      </c>
      <c r="BA4" s="74" t="s">
        <v>2476</v>
      </c>
      <c r="BB4" s="75" t="s">
        <v>2477</v>
      </c>
      <c r="BC4" s="76" t="s">
        <v>2475</v>
      </c>
      <c r="BD4" s="77" t="s">
        <v>2472</v>
      </c>
      <c r="BE4" s="78" t="s">
        <v>2476</v>
      </c>
      <c r="BF4" s="79" t="s">
        <v>2477</v>
      </c>
      <c r="BG4" s="76" t="s">
        <v>2475</v>
      </c>
      <c r="BH4" s="77" t="s">
        <v>2472</v>
      </c>
      <c r="BI4" s="78" t="s">
        <v>2476</v>
      </c>
      <c r="BJ4" s="79" t="s">
        <v>2477</v>
      </c>
      <c r="BK4" s="109"/>
      <c r="BL4" s="85" t="s">
        <v>2514</v>
      </c>
      <c r="BM4" s="51" t="s">
        <v>2515</v>
      </c>
      <c r="BN4" s="51" t="s">
        <v>2516</v>
      </c>
      <c r="BO4" s="86" t="s">
        <v>2517</v>
      </c>
      <c r="BP4" s="85" t="s">
        <v>2514</v>
      </c>
      <c r="BQ4" s="51" t="s">
        <v>2515</v>
      </c>
      <c r="BR4" s="51" t="s">
        <v>2516</v>
      </c>
      <c r="BS4" s="86" t="s">
        <v>2517</v>
      </c>
      <c r="BT4" s="92" t="s">
        <v>2514</v>
      </c>
      <c r="BU4" s="53" t="s">
        <v>2515</v>
      </c>
      <c r="BV4" s="93" t="s">
        <v>2516</v>
      </c>
      <c r="BW4" s="92" t="s">
        <v>2514</v>
      </c>
      <c r="BX4" s="53" t="s">
        <v>2515</v>
      </c>
      <c r="BY4" s="93" t="s">
        <v>2516</v>
      </c>
      <c r="BZ4" s="99" t="s">
        <v>2518</v>
      </c>
      <c r="CA4" s="57" t="s">
        <v>2519</v>
      </c>
      <c r="CB4" s="57" t="s">
        <v>2520</v>
      </c>
      <c r="CC4" s="100" t="s">
        <v>2521</v>
      </c>
      <c r="CD4" s="99" t="s">
        <v>2518</v>
      </c>
      <c r="CE4" s="57" t="s">
        <v>2519</v>
      </c>
      <c r="CF4" s="57" t="s">
        <v>2520</v>
      </c>
      <c r="CG4" s="100" t="s">
        <v>2521</v>
      </c>
      <c r="CH4" s="106" t="s">
        <v>2518</v>
      </c>
      <c r="CI4" s="60" t="s">
        <v>2522</v>
      </c>
      <c r="CJ4" s="107" t="s">
        <v>2523</v>
      </c>
      <c r="CK4" s="106" t="s">
        <v>2518</v>
      </c>
      <c r="CL4" s="60" t="s">
        <v>2522</v>
      </c>
      <c r="CM4" s="107" t="s">
        <v>2523</v>
      </c>
      <c r="CN4" s="109"/>
      <c r="CO4" s="131" t="s">
        <v>2514</v>
      </c>
      <c r="CP4" s="132" t="s">
        <v>2515</v>
      </c>
      <c r="CQ4" s="132" t="s">
        <v>2516</v>
      </c>
      <c r="CR4" s="133" t="s">
        <v>2517</v>
      </c>
      <c r="CS4" s="134" t="s">
        <v>2514</v>
      </c>
      <c r="CT4" s="135" t="s">
        <v>2515</v>
      </c>
      <c r="CU4" s="136" t="s">
        <v>2516</v>
      </c>
      <c r="CV4" s="137" t="s">
        <v>2518</v>
      </c>
      <c r="CW4" s="138" t="s">
        <v>2519</v>
      </c>
      <c r="CX4" s="138" t="s">
        <v>2520</v>
      </c>
      <c r="CY4" s="139" t="s">
        <v>2521</v>
      </c>
      <c r="CZ4" s="140" t="s">
        <v>2518</v>
      </c>
      <c r="DA4" s="60" t="s">
        <v>2522</v>
      </c>
      <c r="DB4" s="141" t="s">
        <v>2523</v>
      </c>
      <c r="DC4" s="143" t="s">
        <v>2524</v>
      </c>
      <c r="DD4" s="109"/>
      <c r="DE4" s="85" t="s">
        <v>2514</v>
      </c>
      <c r="DF4" s="51" t="s">
        <v>2515</v>
      </c>
      <c r="DG4" s="51" t="s">
        <v>2516</v>
      </c>
      <c r="DH4" s="86" t="s">
        <v>2517</v>
      </c>
      <c r="DI4" s="116" t="s">
        <v>2525</v>
      </c>
      <c r="DJ4" s="85" t="s">
        <v>2514</v>
      </c>
      <c r="DK4" s="51" t="s">
        <v>2515</v>
      </c>
      <c r="DL4" s="51" t="s">
        <v>2516</v>
      </c>
      <c r="DM4" s="86" t="s">
        <v>2517</v>
      </c>
      <c r="DN4" s="116" t="s">
        <v>2526</v>
      </c>
      <c r="DO4" s="109"/>
      <c r="DP4" s="92" t="s">
        <v>2514</v>
      </c>
      <c r="DQ4" s="53" t="s">
        <v>2515</v>
      </c>
      <c r="DR4" s="93" t="s">
        <v>2516</v>
      </c>
      <c r="DS4" s="117" t="s">
        <v>2527</v>
      </c>
      <c r="DT4" s="92" t="s">
        <v>2514</v>
      </c>
      <c r="DU4" s="53" t="s">
        <v>2515</v>
      </c>
      <c r="DV4" s="93" t="s">
        <v>2516</v>
      </c>
      <c r="DW4" s="117" t="s">
        <v>2528</v>
      </c>
      <c r="DX4" s="109"/>
      <c r="DY4" s="99" t="s">
        <v>2518</v>
      </c>
      <c r="DZ4" s="57" t="s">
        <v>2519</v>
      </c>
      <c r="EA4" s="57" t="s">
        <v>2520</v>
      </c>
      <c r="EB4" s="100" t="s">
        <v>2521</v>
      </c>
      <c r="EC4" s="118" t="s">
        <v>2529</v>
      </c>
      <c r="ED4" s="99" t="s">
        <v>2518</v>
      </c>
      <c r="EE4" s="57" t="s">
        <v>2519</v>
      </c>
      <c r="EF4" s="57" t="s">
        <v>2520</v>
      </c>
      <c r="EG4" s="100" t="s">
        <v>2521</v>
      </c>
      <c r="EH4" s="118" t="s">
        <v>2530</v>
      </c>
      <c r="EI4" s="109"/>
      <c r="EJ4" s="106" t="s">
        <v>2518</v>
      </c>
      <c r="EK4" s="60" t="s">
        <v>2519</v>
      </c>
      <c r="EL4" s="107" t="s">
        <v>2523</v>
      </c>
      <c r="EM4" s="119" t="s">
        <v>2531</v>
      </c>
      <c r="EN4" s="106" t="s">
        <v>2518</v>
      </c>
      <c r="EO4" s="60" t="s">
        <v>2519</v>
      </c>
      <c r="EP4" s="107" t="s">
        <v>2523</v>
      </c>
      <c r="EQ4" s="119" t="s">
        <v>2532</v>
      </c>
      <c r="ER4" s="109"/>
      <c r="ES4" s="169" t="s">
        <v>2533</v>
      </c>
      <c r="ET4" s="178" t="s">
        <v>2534</v>
      </c>
      <c r="EU4" s="201" t="s">
        <v>2535</v>
      </c>
      <c r="EV4" s="169" t="s">
        <v>140</v>
      </c>
      <c r="EW4" s="178" t="s">
        <v>2536</v>
      </c>
      <c r="EX4" s="131" t="s">
        <v>2535</v>
      </c>
      <c r="EY4" s="169" t="s">
        <v>140</v>
      </c>
      <c r="EZ4" s="170" t="s">
        <v>2536</v>
      </c>
      <c r="FA4" s="131" t="s">
        <v>2535</v>
      </c>
      <c r="FB4" s="169" t="s">
        <v>140</v>
      </c>
      <c r="FC4" s="170" t="s">
        <v>2536</v>
      </c>
      <c r="FD4" s="131" t="s">
        <v>2535</v>
      </c>
      <c r="FE4" s="169" t="s">
        <v>140</v>
      </c>
      <c r="FF4" s="170" t="s">
        <v>2536</v>
      </c>
      <c r="FG4" s="131" t="s">
        <v>2535</v>
      </c>
      <c r="FH4" s="169" t="s">
        <v>140</v>
      </c>
      <c r="FI4" s="209" t="s">
        <v>2536</v>
      </c>
      <c r="FJ4" s="109"/>
      <c r="FK4" s="201" t="s">
        <v>2537</v>
      </c>
      <c r="FL4" s="178" t="s">
        <v>2538</v>
      </c>
      <c r="FM4" s="185" t="s">
        <v>2539</v>
      </c>
      <c r="FN4" s="206" t="s">
        <v>2540</v>
      </c>
      <c r="FO4" s="109"/>
      <c r="FP4" s="201" t="s">
        <v>2541</v>
      </c>
      <c r="FQ4" s="204" t="s">
        <v>7553</v>
      </c>
      <c r="FR4" s="185" t="s">
        <v>2543</v>
      </c>
      <c r="FS4" s="185" t="s">
        <v>2544</v>
      </c>
      <c r="FT4" s="205" t="s">
        <v>2545</v>
      </c>
      <c r="FU4" s="194" t="s">
        <v>2544</v>
      </c>
      <c r="FV4" s="109"/>
      <c r="FW4" s="256" t="s">
        <v>2546</v>
      </c>
      <c r="FX4" s="256" t="s">
        <v>2547</v>
      </c>
      <c r="FY4" s="256" t="s">
        <v>2548</v>
      </c>
      <c r="FZ4" s="256" t="s">
        <v>2549</v>
      </c>
      <c r="GA4" s="256" t="s">
        <v>2550</v>
      </c>
      <c r="GB4" s="256" t="s">
        <v>2551</v>
      </c>
      <c r="GC4" s="256" t="s">
        <v>2552</v>
      </c>
      <c r="GD4" s="109"/>
      <c r="GE4" s="131" t="s">
        <v>2535</v>
      </c>
      <c r="GF4" s="169" t="s">
        <v>140</v>
      </c>
      <c r="GG4" s="178" t="s">
        <v>2536</v>
      </c>
      <c r="GH4" s="131" t="s">
        <v>2535</v>
      </c>
      <c r="GI4" s="169" t="s">
        <v>140</v>
      </c>
      <c r="GJ4" s="178" t="s">
        <v>2536</v>
      </c>
      <c r="GK4" s="131" t="s">
        <v>2535</v>
      </c>
      <c r="GL4" s="169" t="s">
        <v>140</v>
      </c>
      <c r="GM4" s="178" t="s">
        <v>2536</v>
      </c>
      <c r="GN4" s="131" t="s">
        <v>2535</v>
      </c>
      <c r="GO4" s="169" t="s">
        <v>140</v>
      </c>
      <c r="GP4" s="178" t="s">
        <v>2536</v>
      </c>
      <c r="GQ4" s="131" t="s">
        <v>2535</v>
      </c>
      <c r="GR4" s="169" t="s">
        <v>140</v>
      </c>
      <c r="GS4" s="178" t="s">
        <v>2536</v>
      </c>
      <c r="GT4" s="131" t="s">
        <v>2535</v>
      </c>
      <c r="GU4" s="169" t="s">
        <v>140</v>
      </c>
      <c r="GV4" s="178" t="s">
        <v>2536</v>
      </c>
      <c r="GW4" s="131" t="s">
        <v>2535</v>
      </c>
      <c r="GX4" s="169" t="s">
        <v>140</v>
      </c>
      <c r="GY4" s="178" t="s">
        <v>2536</v>
      </c>
      <c r="GZ4" s="131" t="s">
        <v>2535</v>
      </c>
      <c r="HA4" s="169" t="s">
        <v>140</v>
      </c>
      <c r="HB4" s="178" t="s">
        <v>2536</v>
      </c>
      <c r="HC4" s="131" t="s">
        <v>2535</v>
      </c>
      <c r="HD4" s="169" t="s">
        <v>140</v>
      </c>
      <c r="HE4" s="178" t="s">
        <v>2536</v>
      </c>
      <c r="HF4" s="131" t="s">
        <v>2535</v>
      </c>
      <c r="HG4" s="169" t="s">
        <v>140</v>
      </c>
      <c r="HH4" s="178" t="s">
        <v>2536</v>
      </c>
      <c r="HI4" s="131" t="s">
        <v>2535</v>
      </c>
      <c r="HJ4" s="169" t="s">
        <v>140</v>
      </c>
      <c r="HK4" s="178" t="s">
        <v>2536</v>
      </c>
      <c r="HL4" s="131" t="s">
        <v>2535</v>
      </c>
      <c r="HM4" s="169" t="s">
        <v>140</v>
      </c>
      <c r="HN4" s="178" t="s">
        <v>2536</v>
      </c>
      <c r="HO4" s="131" t="s">
        <v>2535</v>
      </c>
      <c r="HP4" s="169" t="s">
        <v>140</v>
      </c>
      <c r="HQ4" s="178" t="s">
        <v>2536</v>
      </c>
      <c r="HR4" s="131" t="s">
        <v>2535</v>
      </c>
      <c r="HS4" s="169" t="s">
        <v>140</v>
      </c>
      <c r="HT4" s="178" t="s">
        <v>2536</v>
      </c>
      <c r="HV4" s="253" t="s">
        <v>2553</v>
      </c>
      <c r="HW4" s="234" t="s">
        <v>2554</v>
      </c>
      <c r="HX4" s="169" t="s">
        <v>2555</v>
      </c>
      <c r="HY4" s="184" t="s">
        <v>2194</v>
      </c>
      <c r="HZ4" s="233" t="s">
        <v>2556</v>
      </c>
      <c r="IA4" s="232" t="s">
        <v>2557</v>
      </c>
      <c r="IB4" s="253" t="s">
        <v>2558</v>
      </c>
      <c r="IC4" s="234" t="s">
        <v>2554</v>
      </c>
      <c r="ID4" s="169" t="s">
        <v>2555</v>
      </c>
      <c r="IE4" s="184" t="s">
        <v>2194</v>
      </c>
      <c r="IF4" s="233" t="s">
        <v>2556</v>
      </c>
      <c r="IG4" s="232" t="s">
        <v>2557</v>
      </c>
      <c r="IH4" s="201" t="s">
        <v>2541</v>
      </c>
      <c r="II4" s="201" t="s">
        <v>2559</v>
      </c>
      <c r="IJ4" s="251" t="s">
        <v>2560</v>
      </c>
      <c r="IK4" s="109"/>
      <c r="IL4" s="234" t="s">
        <v>2554</v>
      </c>
      <c r="IM4" s="169" t="s">
        <v>2555</v>
      </c>
      <c r="IN4" s="184" t="s">
        <v>2194</v>
      </c>
      <c r="IO4" s="233" t="s">
        <v>2556</v>
      </c>
      <c r="IP4" s="232" t="s">
        <v>2557</v>
      </c>
      <c r="IQ4" s="234" t="s">
        <v>2554</v>
      </c>
      <c r="IR4" s="169" t="s">
        <v>2555</v>
      </c>
      <c r="IS4" s="184" t="s">
        <v>2194</v>
      </c>
      <c r="IT4" s="233" t="s">
        <v>2556</v>
      </c>
      <c r="IU4" s="232" t="s">
        <v>2557</v>
      </c>
      <c r="IV4" s="234" t="s">
        <v>2554</v>
      </c>
      <c r="IW4" s="169" t="s">
        <v>2555</v>
      </c>
      <c r="IX4" s="184" t="s">
        <v>2194</v>
      </c>
      <c r="IY4" s="233" t="s">
        <v>2556</v>
      </c>
      <c r="IZ4" s="232" t="s">
        <v>2557</v>
      </c>
      <c r="JA4" s="234" t="s">
        <v>2554</v>
      </c>
      <c r="JB4" s="169" t="s">
        <v>2555</v>
      </c>
      <c r="JC4" s="184" t="s">
        <v>2194</v>
      </c>
      <c r="JD4" s="233" t="s">
        <v>2556</v>
      </c>
      <c r="JE4" s="232" t="s">
        <v>2557</v>
      </c>
      <c r="JF4" s="234" t="s">
        <v>2554</v>
      </c>
      <c r="JG4" s="169" t="s">
        <v>2555</v>
      </c>
      <c r="JH4" s="184" t="s">
        <v>2194</v>
      </c>
      <c r="JI4" s="233" t="s">
        <v>2556</v>
      </c>
      <c r="JJ4" s="232" t="s">
        <v>2557</v>
      </c>
      <c r="JK4" s="234" t="s">
        <v>2554</v>
      </c>
      <c r="JL4" s="169" t="s">
        <v>2555</v>
      </c>
      <c r="JM4" s="184" t="s">
        <v>2194</v>
      </c>
      <c r="JN4" s="233" t="s">
        <v>2556</v>
      </c>
      <c r="JO4" s="232" t="s">
        <v>2557</v>
      </c>
      <c r="JP4" s="234" t="s">
        <v>2554</v>
      </c>
      <c r="JQ4" s="169" t="s">
        <v>2555</v>
      </c>
      <c r="JR4" s="184" t="s">
        <v>2194</v>
      </c>
      <c r="JS4" s="233" t="s">
        <v>2556</v>
      </c>
      <c r="JT4" s="232" t="s">
        <v>2557</v>
      </c>
      <c r="JU4" s="234" t="s">
        <v>2554</v>
      </c>
      <c r="JV4" s="169" t="s">
        <v>2555</v>
      </c>
      <c r="JW4" s="184" t="s">
        <v>2194</v>
      </c>
      <c r="JX4" s="233" t="s">
        <v>2556</v>
      </c>
      <c r="JY4" s="232" t="s">
        <v>2557</v>
      </c>
      <c r="JZ4" s="109"/>
      <c r="KA4" s="233" t="s">
        <v>2561</v>
      </c>
      <c r="KB4" s="232" t="s">
        <v>2562</v>
      </c>
      <c r="KC4" s="201" t="s">
        <v>2541</v>
      </c>
      <c r="KD4" s="648" t="s">
        <v>2559</v>
      </c>
      <c r="KE4" s="143" t="s">
        <v>2563</v>
      </c>
      <c r="KF4" s="143" t="s">
        <v>2564</v>
      </c>
      <c r="KG4" s="143" t="s">
        <v>2565</v>
      </c>
    </row>
    <row r="5" spans="1:293" ht="8.1" customHeight="1">
      <c r="A5" s="829" t="s">
        <v>2090</v>
      </c>
      <c r="B5" s="829" t="s">
        <v>2090</v>
      </c>
      <c r="C5" s="829" t="s">
        <v>2090</v>
      </c>
      <c r="D5" s="829" t="s">
        <v>2090</v>
      </c>
      <c r="E5" s="829" t="s">
        <v>2090</v>
      </c>
      <c r="F5" s="829" t="s">
        <v>2090</v>
      </c>
      <c r="G5" s="829" t="s">
        <v>2090</v>
      </c>
      <c r="H5" s="829" t="s">
        <v>2090</v>
      </c>
      <c r="I5" s="829" t="s">
        <v>2090</v>
      </c>
      <c r="J5" s="829" t="s">
        <v>2090</v>
      </c>
      <c r="K5" s="829" t="s">
        <v>2090</v>
      </c>
      <c r="L5" s="829" t="s">
        <v>2090</v>
      </c>
      <c r="M5" s="829" t="s">
        <v>2090</v>
      </c>
      <c r="N5" s="829" t="s">
        <v>2090</v>
      </c>
      <c r="O5" s="829" t="s">
        <v>2090</v>
      </c>
      <c r="P5" s="829" t="s">
        <v>2090</v>
      </c>
      <c r="Q5" s="829" t="s">
        <v>2090</v>
      </c>
      <c r="R5" s="829" t="s">
        <v>2090</v>
      </c>
      <c r="S5" s="829" t="s">
        <v>2090</v>
      </c>
      <c r="T5" s="829" t="s">
        <v>2090</v>
      </c>
      <c r="U5" s="829" t="s">
        <v>2090</v>
      </c>
      <c r="V5" s="829" t="s">
        <v>2090</v>
      </c>
      <c r="W5" s="829" t="s">
        <v>2090</v>
      </c>
      <c r="X5" s="829" t="s">
        <v>2090</v>
      </c>
      <c r="Y5" s="829" t="s">
        <v>2090</v>
      </c>
      <c r="Z5" s="829" t="s">
        <v>2090</v>
      </c>
      <c r="AA5" s="829" t="s">
        <v>2090</v>
      </c>
      <c r="AB5" s="829" t="s">
        <v>2090</v>
      </c>
      <c r="AC5" s="829" t="s">
        <v>2090</v>
      </c>
      <c r="AD5" s="829" t="s">
        <v>2090</v>
      </c>
      <c r="AE5" s="829" t="s">
        <v>2090</v>
      </c>
      <c r="AF5" s="829" t="s">
        <v>2090</v>
      </c>
      <c r="AG5" s="829" t="s">
        <v>2090</v>
      </c>
      <c r="AH5" s="829" t="s">
        <v>2090</v>
      </c>
      <c r="AI5" s="829" t="s">
        <v>2090</v>
      </c>
      <c r="AJ5" s="829" t="s">
        <v>2090</v>
      </c>
      <c r="AK5" s="829" t="s">
        <v>2090</v>
      </c>
      <c r="AL5" s="829" t="s">
        <v>2090</v>
      </c>
      <c r="AM5" s="829" t="s">
        <v>2090</v>
      </c>
      <c r="AN5" s="829" t="s">
        <v>2090</v>
      </c>
      <c r="AO5" s="829"/>
      <c r="AP5" s="829" t="s">
        <v>2090</v>
      </c>
      <c r="AQ5" s="829" t="s">
        <v>2090</v>
      </c>
      <c r="AR5" s="829" t="s">
        <v>2090</v>
      </c>
      <c r="AS5" s="829" t="s">
        <v>2090</v>
      </c>
      <c r="AT5" s="109"/>
      <c r="AU5" s="829" t="s">
        <v>2090</v>
      </c>
      <c r="AV5" s="829" t="s">
        <v>2090</v>
      </c>
      <c r="AW5" s="829" t="s">
        <v>2090</v>
      </c>
      <c r="AX5" s="109"/>
      <c r="AY5" s="829" t="s">
        <v>2090</v>
      </c>
      <c r="AZ5" s="829" t="s">
        <v>2090</v>
      </c>
      <c r="BA5" s="829" t="s">
        <v>2090</v>
      </c>
      <c r="BB5" s="829" t="s">
        <v>2090</v>
      </c>
      <c r="BC5" s="829" t="s">
        <v>2090</v>
      </c>
      <c r="BD5" s="829" t="s">
        <v>2090</v>
      </c>
      <c r="BE5" s="829" t="s">
        <v>2090</v>
      </c>
      <c r="BF5" s="829" t="s">
        <v>2090</v>
      </c>
      <c r="BG5" s="829" t="s">
        <v>2090</v>
      </c>
      <c r="BH5" s="829" t="s">
        <v>2090</v>
      </c>
      <c r="BI5" s="829" t="s">
        <v>2090</v>
      </c>
      <c r="BJ5" s="829" t="s">
        <v>2090</v>
      </c>
      <c r="BK5" s="109"/>
      <c r="BL5" s="829" t="s">
        <v>2090</v>
      </c>
      <c r="BM5" s="829" t="s">
        <v>2090</v>
      </c>
      <c r="BN5" s="829" t="s">
        <v>2090</v>
      </c>
      <c r="BO5" s="829" t="s">
        <v>2090</v>
      </c>
      <c r="BP5" s="829" t="s">
        <v>2090</v>
      </c>
      <c r="BQ5" s="829" t="s">
        <v>2090</v>
      </c>
      <c r="BR5" s="829" t="s">
        <v>2090</v>
      </c>
      <c r="BS5" s="829" t="s">
        <v>2090</v>
      </c>
      <c r="BT5" s="829" t="s">
        <v>2090</v>
      </c>
      <c r="BU5" s="829" t="s">
        <v>2090</v>
      </c>
      <c r="BV5" s="829" t="s">
        <v>2090</v>
      </c>
      <c r="BW5" s="829" t="s">
        <v>2090</v>
      </c>
      <c r="BX5" s="829" t="s">
        <v>2090</v>
      </c>
      <c r="BY5" s="829" t="s">
        <v>2090</v>
      </c>
      <c r="BZ5" s="829" t="s">
        <v>2090</v>
      </c>
      <c r="CA5" s="829" t="s">
        <v>2090</v>
      </c>
      <c r="CB5" s="829" t="s">
        <v>2090</v>
      </c>
      <c r="CC5" s="829" t="s">
        <v>2090</v>
      </c>
      <c r="CD5" s="829" t="s">
        <v>2090</v>
      </c>
      <c r="CE5" s="829" t="s">
        <v>2090</v>
      </c>
      <c r="CF5" s="829" t="s">
        <v>2090</v>
      </c>
      <c r="CG5" s="829" t="s">
        <v>2090</v>
      </c>
      <c r="CH5" s="829" t="s">
        <v>2090</v>
      </c>
      <c r="CI5" s="829" t="s">
        <v>2090</v>
      </c>
      <c r="CJ5" s="829" t="s">
        <v>2090</v>
      </c>
      <c r="CK5" s="829" t="s">
        <v>2090</v>
      </c>
      <c r="CL5" s="829" t="s">
        <v>2090</v>
      </c>
      <c r="CM5" s="829" t="s">
        <v>2090</v>
      </c>
      <c r="CN5" s="109"/>
      <c r="CO5" s="829" t="s">
        <v>2090</v>
      </c>
      <c r="CP5" s="829" t="s">
        <v>2090</v>
      </c>
      <c r="CQ5" s="829" t="s">
        <v>2090</v>
      </c>
      <c r="CR5" s="829" t="s">
        <v>2090</v>
      </c>
      <c r="CS5" s="829" t="s">
        <v>2090</v>
      </c>
      <c r="CT5" s="829" t="s">
        <v>2090</v>
      </c>
      <c r="CU5" s="829" t="s">
        <v>2090</v>
      </c>
      <c r="CV5" s="829" t="s">
        <v>2090</v>
      </c>
      <c r="CW5" s="829" t="s">
        <v>2090</v>
      </c>
      <c r="CX5" s="829" t="s">
        <v>2090</v>
      </c>
      <c r="CY5" s="829" t="s">
        <v>2090</v>
      </c>
      <c r="CZ5" s="829" t="s">
        <v>2090</v>
      </c>
      <c r="DA5" s="829" t="s">
        <v>2090</v>
      </c>
      <c r="DB5" s="829" t="s">
        <v>2090</v>
      </c>
      <c r="DC5" s="829" t="s">
        <v>2090</v>
      </c>
      <c r="DD5" s="109"/>
      <c r="DE5" s="829" t="s">
        <v>2090</v>
      </c>
      <c r="DF5" s="829" t="s">
        <v>2090</v>
      </c>
      <c r="DG5" s="829" t="s">
        <v>2090</v>
      </c>
      <c r="DH5" s="829" t="s">
        <v>2090</v>
      </c>
      <c r="DI5" s="420" t="s">
        <v>2090</v>
      </c>
      <c r="DJ5" s="829" t="s">
        <v>2090</v>
      </c>
      <c r="DK5" s="829" t="s">
        <v>2090</v>
      </c>
      <c r="DL5" s="829" t="s">
        <v>2090</v>
      </c>
      <c r="DM5" s="829" t="s">
        <v>2090</v>
      </c>
      <c r="DN5" s="829" t="s">
        <v>2090</v>
      </c>
      <c r="DO5" s="109"/>
      <c r="DP5" s="829" t="s">
        <v>2090</v>
      </c>
      <c r="DQ5" s="829" t="s">
        <v>2090</v>
      </c>
      <c r="DR5" s="829" t="s">
        <v>2090</v>
      </c>
      <c r="DS5" s="829" t="s">
        <v>2090</v>
      </c>
      <c r="DT5" s="829" t="s">
        <v>2090</v>
      </c>
      <c r="DU5" s="829" t="s">
        <v>2090</v>
      </c>
      <c r="DV5" s="829" t="s">
        <v>2090</v>
      </c>
      <c r="DW5" s="829" t="s">
        <v>2090</v>
      </c>
      <c r="DX5" s="109"/>
      <c r="DY5" s="829" t="s">
        <v>2090</v>
      </c>
      <c r="DZ5" s="829" t="s">
        <v>2090</v>
      </c>
      <c r="EA5" s="829" t="s">
        <v>2090</v>
      </c>
      <c r="EB5" s="829" t="s">
        <v>2090</v>
      </c>
      <c r="EC5" s="829" t="s">
        <v>2090</v>
      </c>
      <c r="ED5" s="829" t="s">
        <v>2090</v>
      </c>
      <c r="EE5" s="829" t="s">
        <v>2090</v>
      </c>
      <c r="EF5" s="829" t="s">
        <v>2090</v>
      </c>
      <c r="EG5" s="829" t="s">
        <v>2090</v>
      </c>
      <c r="EH5" s="829" t="s">
        <v>2090</v>
      </c>
      <c r="EI5" s="109"/>
      <c r="EJ5" s="829" t="s">
        <v>2090</v>
      </c>
      <c r="EK5" s="829" t="s">
        <v>2090</v>
      </c>
      <c r="EL5" s="829" t="s">
        <v>2090</v>
      </c>
      <c r="EM5" s="829" t="s">
        <v>2090</v>
      </c>
      <c r="EN5" s="829" t="s">
        <v>2090</v>
      </c>
      <c r="EO5" s="829" t="s">
        <v>2090</v>
      </c>
      <c r="EP5" s="829" t="s">
        <v>2090</v>
      </c>
      <c r="EQ5" s="829" t="s">
        <v>2090</v>
      </c>
      <c r="ER5" s="109"/>
      <c r="ES5" s="165" t="s">
        <v>2090</v>
      </c>
      <c r="ET5" s="165" t="s">
        <v>2090</v>
      </c>
      <c r="EU5" s="165" t="s">
        <v>2090</v>
      </c>
      <c r="EV5" s="165" t="s">
        <v>2090</v>
      </c>
      <c r="EW5" s="165" t="s">
        <v>2090</v>
      </c>
      <c r="EX5" s="165" t="s">
        <v>2090</v>
      </c>
      <c r="EY5" s="165" t="s">
        <v>2090</v>
      </c>
      <c r="EZ5" s="165" t="s">
        <v>2090</v>
      </c>
      <c r="FA5" s="165" t="s">
        <v>2090</v>
      </c>
      <c r="FB5" s="165" t="s">
        <v>2090</v>
      </c>
      <c r="FC5" s="165" t="s">
        <v>2090</v>
      </c>
      <c r="FD5" s="165" t="s">
        <v>2090</v>
      </c>
      <c r="FE5" s="165" t="s">
        <v>2090</v>
      </c>
      <c r="FF5" s="165" t="s">
        <v>2090</v>
      </c>
      <c r="FG5" s="165" t="s">
        <v>2090</v>
      </c>
      <c r="FH5" s="165" t="s">
        <v>2090</v>
      </c>
      <c r="FI5" s="210" t="s">
        <v>2090</v>
      </c>
      <c r="FJ5" s="109"/>
      <c r="FK5" s="165" t="s">
        <v>2090</v>
      </c>
      <c r="FL5" s="165" t="s">
        <v>2090</v>
      </c>
      <c r="FM5" s="165" t="s">
        <v>2090</v>
      </c>
      <c r="FN5" s="165" t="s">
        <v>2090</v>
      </c>
      <c r="FO5" s="109"/>
      <c r="FP5" s="165" t="s">
        <v>2090</v>
      </c>
      <c r="FQ5" s="165" t="s">
        <v>2090</v>
      </c>
      <c r="FR5" s="202" t="s">
        <v>2090</v>
      </c>
      <c r="FS5" s="203" t="s">
        <v>2090</v>
      </c>
      <c r="FT5" s="165" t="s">
        <v>2090</v>
      </c>
      <c r="FU5" s="165" t="s">
        <v>2090</v>
      </c>
      <c r="FV5" s="109"/>
      <c r="FW5" s="165" t="s">
        <v>2090</v>
      </c>
      <c r="FX5" s="165" t="s">
        <v>2090</v>
      </c>
      <c r="FY5" s="165" t="s">
        <v>2090</v>
      </c>
      <c r="FZ5" s="165" t="s">
        <v>2090</v>
      </c>
      <c r="GA5" s="165" t="s">
        <v>2090</v>
      </c>
      <c r="GB5" s="165" t="s">
        <v>2090</v>
      </c>
      <c r="GC5" s="165" t="s">
        <v>2090</v>
      </c>
      <c r="GD5" s="109"/>
      <c r="GE5" s="165" t="s">
        <v>2090</v>
      </c>
      <c r="GF5" s="165" t="s">
        <v>2090</v>
      </c>
      <c r="GG5" s="165" t="s">
        <v>2090</v>
      </c>
      <c r="GH5" s="165" t="s">
        <v>2090</v>
      </c>
      <c r="GI5" s="165" t="s">
        <v>2090</v>
      </c>
      <c r="GJ5" s="165" t="s">
        <v>2090</v>
      </c>
      <c r="GK5" s="165" t="s">
        <v>2090</v>
      </c>
      <c r="GL5" s="165" t="s">
        <v>2090</v>
      </c>
      <c r="GM5" s="165" t="s">
        <v>2090</v>
      </c>
      <c r="GN5" s="165" t="s">
        <v>2090</v>
      </c>
      <c r="GO5" s="165" t="s">
        <v>2090</v>
      </c>
      <c r="GP5" s="165" t="s">
        <v>2090</v>
      </c>
      <c r="GQ5" s="165" t="s">
        <v>2090</v>
      </c>
      <c r="GR5" s="165" t="s">
        <v>2090</v>
      </c>
      <c r="GS5" s="165" t="s">
        <v>2090</v>
      </c>
      <c r="GT5" s="165" t="s">
        <v>2090</v>
      </c>
      <c r="GU5" s="165" t="s">
        <v>2090</v>
      </c>
      <c r="GV5" s="165" t="s">
        <v>2090</v>
      </c>
      <c r="GW5" s="165" t="s">
        <v>2090</v>
      </c>
      <c r="GX5" s="165" t="s">
        <v>2090</v>
      </c>
      <c r="GY5" s="165" t="s">
        <v>2090</v>
      </c>
      <c r="GZ5" s="165" t="s">
        <v>2090</v>
      </c>
      <c r="HA5" s="165" t="s">
        <v>2090</v>
      </c>
      <c r="HB5" s="165" t="s">
        <v>2090</v>
      </c>
      <c r="HC5" s="165" t="s">
        <v>2090</v>
      </c>
      <c r="HD5" s="165" t="s">
        <v>2090</v>
      </c>
      <c r="HE5" s="165" t="s">
        <v>2090</v>
      </c>
      <c r="HF5" s="165" t="s">
        <v>2090</v>
      </c>
      <c r="HG5" s="165" t="s">
        <v>2090</v>
      </c>
      <c r="HH5" s="165" t="s">
        <v>2090</v>
      </c>
      <c r="HI5" s="165" t="s">
        <v>2090</v>
      </c>
      <c r="HJ5" s="165" t="s">
        <v>2090</v>
      </c>
      <c r="HK5" s="165" t="s">
        <v>2090</v>
      </c>
      <c r="HL5" s="165" t="s">
        <v>2090</v>
      </c>
      <c r="HM5" s="165" t="s">
        <v>2090</v>
      </c>
      <c r="HN5" s="165" t="s">
        <v>2090</v>
      </c>
      <c r="HO5" s="165" t="s">
        <v>2090</v>
      </c>
      <c r="HP5" s="165" t="s">
        <v>2090</v>
      </c>
      <c r="HQ5" s="165" t="s">
        <v>2090</v>
      </c>
      <c r="HR5" s="165" t="s">
        <v>2090</v>
      </c>
      <c r="HS5" s="165" t="s">
        <v>2090</v>
      </c>
      <c r="HT5" s="165" t="s">
        <v>2090</v>
      </c>
      <c r="HV5" s="165" t="s">
        <v>2090</v>
      </c>
      <c r="HW5" s="165" t="s">
        <v>2090</v>
      </c>
      <c r="HX5" s="165" t="s">
        <v>2090</v>
      </c>
      <c r="HY5" s="165" t="s">
        <v>2090</v>
      </c>
      <c r="HZ5" s="165" t="s">
        <v>2090</v>
      </c>
      <c r="IA5" s="165" t="s">
        <v>2090</v>
      </c>
      <c r="IB5" s="165" t="s">
        <v>2090</v>
      </c>
      <c r="IC5" s="165" t="s">
        <v>2090</v>
      </c>
      <c r="ID5" s="165" t="s">
        <v>2090</v>
      </c>
      <c r="IE5" s="165" t="s">
        <v>2090</v>
      </c>
      <c r="IF5" s="165" t="s">
        <v>2090</v>
      </c>
      <c r="IG5" s="165" t="s">
        <v>2090</v>
      </c>
      <c r="IH5" s="165" t="s">
        <v>2090</v>
      </c>
      <c r="II5" s="165" t="s">
        <v>2090</v>
      </c>
      <c r="IJ5" s="165" t="s">
        <v>2090</v>
      </c>
      <c r="IK5" s="109"/>
      <c r="IL5" s="165" t="s">
        <v>2090</v>
      </c>
      <c r="IM5" s="165" t="s">
        <v>2090</v>
      </c>
      <c r="IN5" s="165" t="s">
        <v>2090</v>
      </c>
      <c r="IO5" s="165" t="s">
        <v>2090</v>
      </c>
      <c r="IP5" s="165" t="s">
        <v>2090</v>
      </c>
      <c r="IQ5" s="165" t="s">
        <v>2090</v>
      </c>
      <c r="IR5" s="165" t="s">
        <v>2090</v>
      </c>
      <c r="IS5" s="165" t="s">
        <v>2090</v>
      </c>
      <c r="IT5" s="165" t="s">
        <v>2090</v>
      </c>
      <c r="IU5" s="165" t="s">
        <v>2090</v>
      </c>
      <c r="IV5" s="165" t="s">
        <v>2090</v>
      </c>
      <c r="IW5" s="165" t="s">
        <v>2090</v>
      </c>
      <c r="IX5" s="165" t="s">
        <v>2090</v>
      </c>
      <c r="IY5" s="165" t="s">
        <v>2090</v>
      </c>
      <c r="IZ5" s="165" t="s">
        <v>2090</v>
      </c>
      <c r="JA5" s="165" t="s">
        <v>2090</v>
      </c>
      <c r="JB5" s="165" t="s">
        <v>2090</v>
      </c>
      <c r="JC5" s="165" t="s">
        <v>2090</v>
      </c>
      <c r="JD5" s="165" t="s">
        <v>2090</v>
      </c>
      <c r="JE5" s="165" t="s">
        <v>2090</v>
      </c>
      <c r="JF5" s="165" t="s">
        <v>2090</v>
      </c>
      <c r="JG5" s="165" t="s">
        <v>2090</v>
      </c>
      <c r="JH5" s="165" t="s">
        <v>2090</v>
      </c>
      <c r="JI5" s="165" t="s">
        <v>2090</v>
      </c>
      <c r="JJ5" s="165" t="s">
        <v>2090</v>
      </c>
      <c r="JK5" s="165" t="s">
        <v>2090</v>
      </c>
      <c r="JL5" s="165" t="s">
        <v>2090</v>
      </c>
      <c r="JM5" s="165" t="s">
        <v>2090</v>
      </c>
      <c r="JN5" s="165" t="s">
        <v>2090</v>
      </c>
      <c r="JO5" s="165" t="s">
        <v>2090</v>
      </c>
      <c r="JP5" s="165" t="s">
        <v>2090</v>
      </c>
      <c r="JQ5" s="165" t="s">
        <v>2090</v>
      </c>
      <c r="JR5" s="165" t="s">
        <v>2090</v>
      </c>
      <c r="JS5" s="165" t="s">
        <v>2090</v>
      </c>
      <c r="JT5" s="165" t="s">
        <v>2090</v>
      </c>
      <c r="JU5" s="165" t="s">
        <v>2090</v>
      </c>
      <c r="JV5" s="165" t="s">
        <v>2090</v>
      </c>
      <c r="JW5" s="165" t="s">
        <v>2090</v>
      </c>
      <c r="JX5" s="165" t="s">
        <v>2090</v>
      </c>
      <c r="JY5" s="165" t="s">
        <v>2090</v>
      </c>
      <c r="JZ5" s="109"/>
      <c r="KA5" s="165" t="s">
        <v>2090</v>
      </c>
      <c r="KB5" s="165" t="s">
        <v>2090</v>
      </c>
      <c r="KC5" s="165" t="s">
        <v>2090</v>
      </c>
      <c r="KD5" s="165" t="s">
        <v>2090</v>
      </c>
      <c r="KE5" s="165" t="s">
        <v>2090</v>
      </c>
      <c r="KF5" s="165" t="s">
        <v>2090</v>
      </c>
      <c r="KG5" s="165" t="s">
        <v>2090</v>
      </c>
    </row>
    <row r="6" spans="1:293" ht="46.5" customHeight="1">
      <c r="A6" s="262"/>
      <c r="B6" s="263" t="s">
        <v>2085</v>
      </c>
      <c r="C6" s="264"/>
      <c r="D6" s="228" t="s">
        <v>2566</v>
      </c>
      <c r="E6" s="333"/>
      <c r="F6" s="333"/>
      <c r="G6" s="333"/>
      <c r="H6" s="333"/>
      <c r="I6" s="334"/>
      <c r="J6" s="334"/>
      <c r="K6" s="335"/>
      <c r="L6" s="335"/>
      <c r="M6" s="335"/>
      <c r="N6" s="335"/>
      <c r="O6" s="333"/>
      <c r="P6" s="334"/>
      <c r="Q6" s="227" t="s">
        <v>2567</v>
      </c>
      <c r="R6" s="225">
        <f>'ANALYSE - ERP =&gt; SEGMENT'!R6</f>
        <v>2459.1609002073583</v>
      </c>
      <c r="S6" s="223">
        <f>SUMPRODUCT('ANALYSE - ERP =&gt; SOUS-SEGMENT'!$Q$8:$Q$150*'ANALYSE - ERP =&gt; SOUS-SEGMENT'!$S$8:$S$150)</f>
        <v>560157</v>
      </c>
      <c r="T6" s="223">
        <f>SUMPRODUCT('ANALYSE - ERP =&gt; SOUS-SEGMENT'!$Q$8:$Q$150*'ANALYSE - ERP =&gt; SOUS-SEGMENT'!$T$8:$T$150)</f>
        <v>575574</v>
      </c>
      <c r="U6" s="223">
        <f>SUMPRODUCT('ANALYSE - ERP =&gt; SOUS-SEGMENT'!$Q$8:$Q$150*'ANALYSE - ERP =&gt; SOUS-SEGMENT'!$U$8:$U$150)</f>
        <v>590654</v>
      </c>
      <c r="V6" s="223">
        <f>SUMPRODUCT('ANALYSE - ERP =&gt; SOUS-SEGMENT'!$Q$8:$Q$150*'ANALYSE - ERP =&gt; SOUS-SEGMENT'!$V$8:$V$150)</f>
        <v>606974</v>
      </c>
      <c r="W6" s="223">
        <f>SUMPRODUCT('ANALYSE - ERP =&gt; SOUS-SEGMENT'!$Q$8:$Q$150*'ANALYSE - ERP =&gt; SOUS-SEGMENT'!$W$8:$W$150)</f>
        <v>609764</v>
      </c>
      <c r="X6" s="223">
        <f>SUMPRODUCT('ANALYSE - ERP =&gt; SOUS-SEGMENT'!$Q$8:$Q$150*'ANALYSE - ERP =&gt; SOUS-SEGMENT'!$X$8:$X$150)</f>
        <v>612207</v>
      </c>
      <c r="Y6" s="223">
        <f>SUMPRODUCT('ANALYSE - ERP =&gt; SOUS-SEGMENT'!$Q$8:$Q$150*'ANALYSE - ERP =&gt; SOUS-SEGMENT'!$Y$8:$Y$150)</f>
        <v>616180</v>
      </c>
      <c r="Z6" s="223">
        <f>SUMPRODUCT('ANALYSE - ERP =&gt; SOUS-SEGMENT'!$Q$8:$Q$150*'ANALYSE - ERP =&gt; SOUS-SEGMENT'!$Z$8:$Z$150)</f>
        <v>619905</v>
      </c>
      <c r="AA6" s="223">
        <f>SUMPRODUCT('ANALYSE - ERP =&gt; SOUS-SEGMENT'!$Q$8:$Q$150*'ANALYSE - ERP =&gt; SOUS-SEGMENT'!$AA$8:$AA$150)</f>
        <v>611276</v>
      </c>
      <c r="AB6" s="223">
        <f>SUMPRODUCT('ANALYSE - ERP =&gt; SOUS-SEGMENT'!$Q$8:$Q$150*'ANALYSE - ERP =&gt; SOUS-SEGMENT'!$AB$8:$AB$150)</f>
        <v>610889</v>
      </c>
      <c r="AC6" s="223">
        <f>SUMPRODUCT('ANALYSE - ERP =&gt; SOUS-SEGMENT'!$Q$8:$Q$150*'ANALYSE - ERP =&gt; SOUS-SEGMENT'!$AC$8:$AC$150)</f>
        <v>617479</v>
      </c>
      <c r="AD6" s="223">
        <f>SUMPRODUCT('ANALYSE - ERP =&gt; SOUS-SEGMENT'!$Q$8:$Q$150*'ANALYSE - ERP =&gt; SOUS-SEGMENT'!$AD$8:$AD$150)</f>
        <v>622090</v>
      </c>
      <c r="AE6" s="223">
        <f>SUMPRODUCT('ANALYSE - ERP =&gt; SOUS-SEGMENT'!$Q$8:$Q$150*'ANALYSE - ERP =&gt; SOUS-SEGMENT'!$AE$8:$AE$150)</f>
        <v>626956</v>
      </c>
      <c r="AF6" s="223">
        <f>SUMPRODUCT('ANALYSE - ERP =&gt; SOUS-SEGMENT'!$Q$8:$Q$150*'ANALYSE - ERP =&gt; SOUS-SEGMENT'!$AF$8:$AF$150)</f>
        <v>629099</v>
      </c>
      <c r="AG6" s="223">
        <f>SUMPRODUCT('ANALYSE - ERP =&gt; SOUS-SEGMENT'!$Q$8:$Q$150*'ANALYSE - ERP =&gt; SOUS-SEGMENT'!$AG$8:$AG$150)</f>
        <v>630905</v>
      </c>
      <c r="AH6" s="223">
        <f>SUMPRODUCT('ANALYSE - ERP =&gt; SOUS-SEGMENT'!$Q$8:$Q$150*'ANALYSE - ERP =&gt; SOUS-SEGMENT'!$AH$8:$AH$150)</f>
        <v>632828</v>
      </c>
      <c r="AI6" s="223">
        <f>SUMPRODUCT('ANALYSE - ERP =&gt; SOUS-SEGMENT'!$Q$8:$Q$150*'ANALYSE - ERP =&gt; SOUS-SEGMENT'!$AI$8:$AI$150)</f>
        <v>634560</v>
      </c>
      <c r="AJ6" s="223">
        <f>SUMPRODUCT('ANALYSE - ERP =&gt; SOUS-SEGMENT'!$Q$8:$Q$150*'ANALYSE - ERP =&gt; SOUS-SEGMENT'!$AJ$8:$AJ$150)</f>
        <v>635917</v>
      </c>
      <c r="AK6" s="223">
        <f>SUMPRODUCT('ANALYSE - ERP =&gt; SOUS-SEGMENT'!$Q$8:$Q$150*'ANALYSE - ERP =&gt; SOUS-SEGMENT'!$AK$8:$AK$150)</f>
        <v>637146</v>
      </c>
      <c r="AL6" s="336"/>
      <c r="AM6" s="337"/>
      <c r="AN6" s="337"/>
      <c r="AO6" s="110"/>
      <c r="AP6" s="225">
        <f>'ANALYSE - ERP =&gt; SEGMENT'!AP6</f>
        <v>153.69949262291891</v>
      </c>
      <c r="AQ6" s="338">
        <f>'ANALYSE - ERP =&gt; SEGMENT'!AQ6</f>
        <v>135.28077297849782</v>
      </c>
      <c r="AR6" s="972">
        <f>IFERROR(SUMPRODUCT('ANALYSE - ERP =&gt; SOUS-SEGMENT'!$AF$8:$AF$150*'ANALYSE - ERP =&gt; SOUS-SEGMENT'!$Q$8:$Q$150*'ANALYSE - ERP =&gt; SOUS-SEGMENT'!$AR$8:$AR$150)/SUMPRODUCT('ANALYSE - ERP =&gt; SOUS-SEGMENT'!$AF$8:$AF$150*'ANALYSE - ERP =&gt; SOUS-SEGMENT'!$Q$8:$Q$150),"")</f>
        <v>18.072975795542515</v>
      </c>
      <c r="AS6" s="972">
        <f>IFERROR(SUMPRODUCT('ANALYSE - ERP =&gt; SOUS-SEGMENT'!$AF$8:$AF$150*'ANALYSE - ERP =&gt; SOUS-SEGMENT'!$Q$8:$Q$150*'ANALYSE - ERP =&gt; SOUS-SEGMENT'!$AS$8:$AS$150)/SUMPRODUCT('ANALYSE - ERP =&gt; SOUS-SEGMENT'!$AF$8:$AF$150*'ANALYSE - ERP =&gt; SOUS-SEGMENT'!$Q$8:$Q$150),"")</f>
        <v>5.5036250256318962</v>
      </c>
      <c r="AT6" s="110"/>
      <c r="AU6" s="224" t="s">
        <v>2568</v>
      </c>
      <c r="AV6" s="224" t="s">
        <v>2569</v>
      </c>
      <c r="AW6" s="224" t="s">
        <v>2571</v>
      </c>
      <c r="AX6" s="110"/>
      <c r="AY6" s="946">
        <f>IFERROR(SUMPRODUCT('ANALYSE - ERP =&gt; SOUS-SEGMENT'!$AF$8:$AF$150*'ANALYSE - ERP =&gt; SOUS-SEGMENT'!$Q$8:$Q$150*'ANALYSE - ERP =&gt; SOUS-SEGMENT'!$AZ$8:$AZ$150)/SUMPRODUCT('ANALYSE - ERP =&gt; SOUS-SEGMENT'!$AF$8:$AF$150*'ANALYSE - ERP =&gt; SOUS-SEGMENT'!$Q$8:$Q$150),"")</f>
        <v>9.9092185808592923</v>
      </c>
      <c r="AZ6" s="946">
        <f>IFERROR(SUMPRODUCT('ANALYSE - ERP =&gt; SOUS-SEGMENT'!$AF$8:$AF$150*'ANALYSE - ERP =&gt; SOUS-SEGMENT'!$Q$8:$Q$150*'ANALYSE - ERP =&gt; SOUS-SEGMENT'!$BA$8:$BA$150)/SUMPRODUCT('ANALYSE - ERP =&gt; SOUS-SEGMENT'!$AF$8:$AF$150*'ANALYSE - ERP =&gt; SOUS-SEGMENT'!$Q$8:$Q$150),"")</f>
        <v>2.7928842439743184</v>
      </c>
      <c r="BA6" s="946">
        <f>IFERROR(SUMPRODUCT('ANALYSE - ERP =&gt; SOUS-SEGMENT'!$AF$8:$AF$150*'ANALYSE - ERP =&gt; SOUS-SEGMENT'!$Q$8:$Q$150*'ANALYSE - ERP =&gt; SOUS-SEGMENT'!$BB$8:$BB$150)/SUMPRODUCT('ANALYSE - ERP =&gt; SOUS-SEGMENT'!$AF$8:$AF$150*'ANALYSE - ERP =&gt; SOUS-SEGMENT'!$Q$8:$Q$150),"")</f>
        <v>1.6893713072187366</v>
      </c>
      <c r="BB6" s="946">
        <f>IFERROR(SUMPRODUCT('ANALYSE - ERP =&gt; SOUS-SEGMENT'!$AF$8:$AF$150*'ANALYSE - ERP =&gt; SOUS-SEGMENT'!$Q$8:$Q$150*'ANALYSE - ERP =&gt; SOUS-SEGMENT'!$BC$8:$BC$150)/SUMPRODUCT('ANALYSE - ERP =&gt; SOUS-SEGMENT'!$AF$8:$AF$150*'ANALYSE - ERP =&gt; SOUS-SEGMENT'!$Q$8:$Q$150),"")</f>
        <v>8.077889966444074</v>
      </c>
      <c r="BC6" s="223">
        <f>SUMPRODUCT('ANALYSE - ERP =&gt; SOUS-SEGMENT'!$Q$8:$Q$150*'ANALYSE - ERP =&gt; SOUS-SEGMENT'!$BE$8:$BE$150)</f>
        <v>6233879.5</v>
      </c>
      <c r="BD6" s="223">
        <f>SUMPRODUCT('ANALYSE - ERP =&gt; SOUS-SEGMENT'!$Q$8:$Q$150*'ANALYSE - ERP =&gt; SOUS-SEGMENT'!$BF$8:$BF$150)</f>
        <v>1757000.6849999998</v>
      </c>
      <c r="BE6" s="223">
        <f>SUMPRODUCT('ANALYSE - ERP =&gt; SOUS-SEGMENT'!$Q$8:$Q$150*'ANALYSE - ERP =&gt; SOUS-SEGMENT'!$BG$8:$BG$150)</f>
        <v>1062781.8</v>
      </c>
      <c r="BF6" s="223">
        <f>SUMPRODUCT('ANALYSE - ERP =&gt; SOUS-SEGMENT'!$Q$8:$Q$150*'ANALYSE - ERP =&gt; SOUS-SEGMENT'!$BH$8:$BH$150)</f>
        <v>5081792.5</v>
      </c>
      <c r="BG6" s="223">
        <f>SUMPRODUCT('ANALYSE - ERP =&gt; SOUS-SEGMENT'!$Q$8:$Q$150*'ANALYSE - ERP =&gt; SOUS-SEGMENT'!$BJ$8:$BJ$150)</f>
        <v>6286026</v>
      </c>
      <c r="BH6" s="223">
        <f>SUMPRODUCT('ANALYSE - ERP =&gt; SOUS-SEGMENT'!$Q$8:$Q$150*'ANALYSE - ERP =&gt; SOUS-SEGMENT'!$BK$8:$BK$150)</f>
        <v>1785842.06</v>
      </c>
      <c r="BI6" s="223">
        <f>SUMPRODUCT('ANALYSE - ERP =&gt; SOUS-SEGMENT'!$Q$8:$Q$150*'ANALYSE - ERP =&gt; SOUS-SEGMENT'!$BL$8:$BL$150)</f>
        <v>1076541.75</v>
      </c>
      <c r="BJ6" s="223">
        <f>SUMPRODUCT('ANALYSE - ERP =&gt; SOUS-SEGMENT'!$Q$8:$Q$150*'ANALYSE - ERP =&gt; SOUS-SEGMENT'!$BM$8:$BM$150)</f>
        <v>5123636</v>
      </c>
      <c r="BK6" s="110"/>
      <c r="BL6" s="594">
        <f>IFERROR(SUMPRODUCT('ANALYSE - ERP =&gt; SOUS-SEGMENT'!$BE$8:$BE$150*'ANALYSE - ERP =&gt; SOUS-SEGMENT'!$Q$8:$Q$150*'ANALYSE - ERP =&gt; SOUS-SEGMENT'!$BO$8:$BO$150)/SUMPRODUCT('ANALYSE - ERP =&gt; SOUS-SEGMENT'!$BE$8:$BE$150*'ANALYSE - ERP =&gt; SOUS-SEGMENT'!$Q$8:$Q$150),"")</f>
        <v>0.30746742377679909</v>
      </c>
      <c r="BM6" s="595">
        <f>IFERROR(SUMPRODUCT('ANALYSE - ERP =&gt; SOUS-SEGMENT'!$BE$8:$BE$150*'ANALYSE - ERP =&gt; SOUS-SEGMENT'!$Q$8:$Q$150*'ANALYSE - ERP =&gt; SOUS-SEGMENT'!$BP$8:$BP$150)/SUMPRODUCT('ANALYSE - ERP =&gt; SOUS-SEGMENT'!$BE$8:$BE$150*'ANALYSE - ERP =&gt; SOUS-SEGMENT'!$Q$8:$Q$150),"")</f>
        <v>0.52656645191810336</v>
      </c>
      <c r="BN6" s="595">
        <f>IFERROR(SUMPRODUCT('ANALYSE - ERP =&gt; SOUS-SEGMENT'!$BE$8:$BE$150*'ANALYSE - ERP =&gt; SOUS-SEGMENT'!$Q$8:$Q$150*'ANALYSE - ERP =&gt; SOUS-SEGMENT'!$BQ$8:$BQ$150)/SUMPRODUCT('ANALYSE - ERP =&gt; SOUS-SEGMENT'!$BE$8:$BE$150*'ANALYSE - ERP =&gt; SOUS-SEGMENT'!$Q$8:$Q$150),"")</f>
        <v>0.10216087429986413</v>
      </c>
      <c r="BO6" s="595">
        <f>IFERROR(SUMPRODUCT('ANALYSE - ERP =&gt; SOUS-SEGMENT'!$BE$8:$BE$150*'ANALYSE - ERP =&gt; SOUS-SEGMENT'!$Q$8:$Q$150*'ANALYSE - ERP =&gt; SOUS-SEGMENT'!$BR$8:$BR$150)/SUMPRODUCT('ANALYSE - ERP =&gt; SOUS-SEGMENT'!$BE$8:$BE$150*'ANALYSE - ERP =&gt; SOUS-SEGMENT'!$Q$8:$Q$150),"")</f>
        <v>6.380525000523353E-2</v>
      </c>
      <c r="BP6" s="594">
        <f>IFERROR(SUMPRODUCT('ANALYSE - ERP =&gt; SOUS-SEGMENT'!$BJ$8:$BJ$150*'ANALYSE - ERP =&gt; SOUS-SEGMENT'!$Q$8:$Q$150*'ANALYSE - ERP =&gt; SOUS-SEGMENT'!$BS$8:$BS$150)/SUMPRODUCT('ANALYSE - ERP =&gt; SOUS-SEGMENT'!$BJ$8:$BJ$150*'ANALYSE - ERP =&gt; SOUS-SEGMENT'!$Q$8:$Q$150),"")</f>
        <v>0.27640190320561836</v>
      </c>
      <c r="BQ6" s="595">
        <f>IFERROR(SUMPRODUCT('ANALYSE - ERP =&gt; SOUS-SEGMENT'!$BJ$8:$BJ$150*'ANALYSE - ERP =&gt; SOUS-SEGMENT'!$Q$8:$Q$150*'ANALYSE - ERP =&gt; SOUS-SEGMENT'!$BT$8:$BT$150)/SUMPRODUCT('ANALYSE - ERP =&gt; SOUS-SEGMENT'!$BJ$8:$BJ$150*'ANALYSE - ERP =&gt; SOUS-SEGMENT'!$Q$8:$Q$150),"")</f>
        <v>0.5319423909477945</v>
      </c>
      <c r="BR6" s="595">
        <f>IFERROR(SUMPRODUCT('ANALYSE - ERP =&gt; SOUS-SEGMENT'!$BJ$8:$BJ$150*'ANALYSE - ERP =&gt; SOUS-SEGMENT'!$Q$8:$Q$150*'ANALYSE - ERP =&gt; SOUS-SEGMENT'!$BU$8:$BU$150)/SUMPRODUCT('ANALYSE - ERP =&gt; SOUS-SEGMENT'!$BJ$8:$BJ$150*'ANALYSE - ERP =&gt; SOUS-SEGMENT'!$Q$8:$Q$150),"")</f>
        <v>0.13403929446044288</v>
      </c>
      <c r="BS6" s="595">
        <f>IFERROR(SUMPRODUCT('ANALYSE - ERP =&gt; SOUS-SEGMENT'!$BJ$8:$BJ$150*'ANALYSE - ERP =&gt; SOUS-SEGMENT'!$Q$8:$Q$150*'ANALYSE - ERP =&gt; SOUS-SEGMENT'!$BV$8:$BV$150)/SUMPRODUCT('ANALYSE - ERP =&gt; SOUS-SEGMENT'!$BJ$8:$BJ$150*'ANALYSE - ERP =&gt; SOUS-SEGMENT'!$Q$8:$Q$150),"")</f>
        <v>5.7616411386144421E-2</v>
      </c>
      <c r="BT6" s="599">
        <f>IFERROR(SUMPRODUCT('ANALYSE - ERP =&gt; SOUS-SEGMENT'!$BF$8:$BF$150*'ANALYSE - ERP =&gt; SOUS-SEGMENT'!$Q$8:$Q$150*'ANALYSE - ERP =&gt; SOUS-SEGMENT'!$BW$8:$BW$150)/SUMPRODUCT('ANALYSE - ERP =&gt; SOUS-SEGMENT'!$BF$8:$BF$150*'ANALYSE - ERP =&gt; SOUS-SEGMENT'!$Q$8:$Q$150),"")</f>
        <v>0.41111159839986056</v>
      </c>
      <c r="BU6" s="596">
        <f>IFERROR(SUMPRODUCT('ANALYSE - ERP =&gt; SOUS-SEGMENT'!$BF$8:$BF$150*'ANALYSE - ERP =&gt; SOUS-SEGMENT'!$Q$8:$Q$150*'ANALYSE - ERP =&gt; SOUS-SEGMENT'!$BX$8:$BX$150)/SUMPRODUCT('ANALYSE - ERP =&gt; SOUS-SEGMENT'!$BF$8:$BF$150*'ANALYSE - ERP =&gt; SOUS-SEGMENT'!$Q$8:$Q$150),"")</f>
        <v>0.52369723065873486</v>
      </c>
      <c r="BV6" s="596">
        <f>IFERROR(SUMPRODUCT('ANALYSE - ERP =&gt; SOUS-SEGMENT'!$BF$8:$BF$150*'ANALYSE - ERP =&gt; SOUS-SEGMENT'!$Q$8:$Q$150*'ANALYSE - ERP =&gt; SOUS-SEGMENT'!$BY$8:$BY$150)/SUMPRODUCT('ANALYSE - ERP =&gt; SOUS-SEGMENT'!$BF$8:$BF$150*'ANALYSE - ERP =&gt; SOUS-SEGMENT'!$Q$8:$Q$150),"")</f>
        <v>6.51911709414046E-2</v>
      </c>
      <c r="BW6" s="599">
        <f>IFERROR(SUMPRODUCT('ANALYSE - ERP =&gt; SOUS-SEGMENT'!$BK$8:$BK$150*'ANALYSE - ERP =&gt; SOUS-SEGMENT'!$Q$8:$Q$150*'ANALYSE - ERP =&gt; SOUS-SEGMENT'!$BZ$8:$BZ$150)/SUMPRODUCT('ANALYSE - ERP =&gt; SOUS-SEGMENT'!$BK$8:$BK$150*'ANALYSE - ERP =&gt; SOUS-SEGMENT'!$Q$8:$Q$150),"")</f>
        <v>0.36880188609736297</v>
      </c>
      <c r="BX6" s="596">
        <f>IFERROR(SUMPRODUCT('ANALYSE - ERP =&gt; SOUS-SEGMENT'!$BK$8:$BK$150*'ANALYSE - ERP =&gt; SOUS-SEGMENT'!$Q$8:$Q$150*'ANALYSE - ERP =&gt; SOUS-SEGMENT'!$CA$8:$CA$150)/SUMPRODUCT('ANALYSE - ERP =&gt; SOUS-SEGMENT'!$BK$8:$BK$150*'ANALYSE - ERP =&gt; SOUS-SEGMENT'!$Q$8:$Q$150),"")</f>
        <v>0.54850934286988395</v>
      </c>
      <c r="BY6" s="596">
        <f>IFERROR(SUMPRODUCT('ANALYSE - ERP =&gt; SOUS-SEGMENT'!$BK$8:$BK$150*'ANALYSE - ERP =&gt; SOUS-SEGMENT'!$Q$8:$Q$150*'ANALYSE - ERP =&gt; SOUS-SEGMENT'!$CB$8:$CB$150)/SUMPRODUCT('ANALYSE - ERP =&gt; SOUS-SEGMENT'!$BK$8:$BK$150*'ANALYSE - ERP =&gt; SOUS-SEGMENT'!$Q$8:$Q$150),"")</f>
        <v>8.2688771032753031E-2</v>
      </c>
      <c r="BZ6" s="594">
        <f>IFERROR(SUMPRODUCT('ANALYSE - ERP =&gt; SOUS-SEGMENT'!$BG$8:$BG$150*'ANALYSE - ERP =&gt; SOUS-SEGMENT'!$Q$8:$Q$150*'ANALYSE - ERP =&gt; SOUS-SEGMENT'!$CC$8:$CC$150)/SUMPRODUCT('ANALYSE - ERP =&gt; SOUS-SEGMENT'!$BG$8:$BG$150*'ANALYSE - ERP =&gt; SOUS-SEGMENT'!$Q$8:$Q$150),"")</f>
        <v>9.7009137717638749E-2</v>
      </c>
      <c r="CA6" s="595">
        <f>IFERROR(SUMPRODUCT('ANALYSE - ERP =&gt; SOUS-SEGMENT'!$BG$8:$BG$150*'ANALYSE - ERP =&gt; SOUS-SEGMENT'!$Q$8:$Q$150*'ANALYSE - ERP =&gt; SOUS-SEGMENT'!$CD$8:$CD$150)/SUMPRODUCT('ANALYSE - ERP =&gt; SOUS-SEGMENT'!$BG$8:$BG$150*'ANALYSE - ERP =&gt; SOUS-SEGMENT'!$Q$8:$Q$150),"")</f>
        <v>0.55065927832034756</v>
      </c>
      <c r="CB6" s="595">
        <f>IFERROR(SUMPRODUCT('ANALYSE - ERP =&gt; SOUS-SEGMENT'!$BG$8:$BG$150*'ANALYSE - ERP =&gt; SOUS-SEGMENT'!$Q$8:$Q$150*'ANALYSE - ERP =&gt; SOUS-SEGMENT'!$CE$8:$CE$150)/SUMPRODUCT('ANALYSE - ERP =&gt; SOUS-SEGMENT'!$BG$8:$BG$150*'ANALYSE - ERP =&gt; SOUS-SEGMENT'!$Q$8:$Q$150),"")</f>
        <v>0.1291863804969185</v>
      </c>
      <c r="CC6" s="600">
        <f>IFERROR(SUMPRODUCT('ANALYSE - ERP =&gt; SOUS-SEGMENT'!$BG$8:$BG$150*'ANALYSE - ERP =&gt; SOUS-SEGMENT'!$Q$8:$Q$150*'ANALYSE - ERP =&gt; SOUS-SEGMENT'!$CF$8:$CF$150)/SUMPRODUCT('ANALYSE - ERP =&gt; SOUS-SEGMENT'!$BG$8:$BG$150*'ANALYSE - ERP =&gt; SOUS-SEGMENT'!$Q$8:$Q$150),"")</f>
        <v>0.22314520346509509</v>
      </c>
      <c r="CD6" s="595">
        <f>IFERROR(SUMPRODUCT('ANALYSE - ERP =&gt; SOUS-SEGMENT'!$BL$8:$BL$150*'ANALYSE - ERP =&gt; SOUS-SEGMENT'!$Q$8:$Q$150*'ANALYSE - ERP =&gt; SOUS-SEGMENT'!$CG$8:$CG$150)/SUMPRODUCT('ANALYSE - ERP =&gt; SOUS-SEGMENT'!$BL$8:$BL$150*'ANALYSE - ERP =&gt; SOUS-SEGMENT'!$Q$8:$Q$150),"")</f>
        <v>7.8718722706295388E-2</v>
      </c>
      <c r="CE6" s="595">
        <f>IFERROR(SUMPRODUCT('ANALYSE - ERP =&gt; SOUS-SEGMENT'!$BL$8:$BL$150*'ANALYSE - ERP =&gt; SOUS-SEGMENT'!$Q$8:$Q$150*'ANALYSE - ERP =&gt; SOUS-SEGMENT'!$CH$8:$CH$150)/SUMPRODUCT('ANALYSE - ERP =&gt; SOUS-SEGMENT'!$BL$8:$BL$150*'ANALYSE - ERP =&gt; SOUS-SEGMENT'!$Q$8:$Q$150),"")</f>
        <v>0.54543406235754455</v>
      </c>
      <c r="CF6" s="595">
        <f>IFERROR(SUMPRODUCT('ANALYSE - ERP =&gt; SOUS-SEGMENT'!$BL$8:$BL$150*'ANALYSE - ERP =&gt; SOUS-SEGMENT'!$Q$8:$Q$150*'ANALYSE - ERP =&gt; SOUS-SEGMENT'!$CI$8:$CI$150)/SUMPRODUCT('ANALYSE - ERP =&gt; SOUS-SEGMENT'!$BL$8:$BL$150*'ANALYSE - ERP =&gt; SOUS-SEGMENT'!$Q$8:$Q$150),"")</f>
        <v>0.15522352012822532</v>
      </c>
      <c r="CG6" s="600">
        <f>IFERROR(SUMPRODUCT('ANALYSE - ERP =&gt; SOUS-SEGMENT'!$BL$8:$BL$150*'ANALYSE - ERP =&gt; SOUS-SEGMENT'!$Q$8:$Q$150*'ANALYSE - ERP =&gt; SOUS-SEGMENT'!$CJ$8:$CJ$150)/SUMPRODUCT('ANALYSE - ERP =&gt; SOUS-SEGMENT'!$BL$8:$BL$150*'ANALYSE - ERP =&gt; SOUS-SEGMENT'!$Q$8:$Q$150),"")</f>
        <v>0.22062369480793478</v>
      </c>
      <c r="CH6" s="597">
        <f>IFERROR(SUMPRODUCT('ANALYSE - ERP =&gt; SOUS-SEGMENT'!$BH$8:$BH$150*'ANALYSE - ERP =&gt; SOUS-SEGMENT'!$Q$8:$Q$150*'ANALYSE - ERP =&gt; SOUS-SEGMENT'!$CK$8:$CK$150)/SUMPRODUCT('ANALYSE - ERP =&gt; SOUS-SEGMENT'!$BH$8:$BH$150*'ANALYSE - ERP =&gt; SOUS-SEGMENT'!$Q$8:$Q$150),"")</f>
        <v>0.56753679238182209</v>
      </c>
      <c r="CI6" s="597">
        <f>IFERROR(SUMPRODUCT('ANALYSE - ERP =&gt; SOUS-SEGMENT'!$BH$8:$BH$150*'ANALYSE - ERP =&gt; SOUS-SEGMENT'!$Q$8:$Q$150*'ANALYSE - ERP =&gt; SOUS-SEGMENT'!$CL$8:$CL$150)/SUMPRODUCT('ANALYSE - ERP =&gt; SOUS-SEGMENT'!$BH$8:$BH$150*'ANALYSE - ERP =&gt; SOUS-SEGMENT'!$Q$8:$Q$150),"")</f>
        <v>0.33111744527152587</v>
      </c>
      <c r="CJ6" s="598">
        <f>IFERROR(SUMPRODUCT('ANALYSE - ERP =&gt; SOUS-SEGMENT'!$BH$8:$BH$150*'ANALYSE - ERP =&gt; SOUS-SEGMENT'!$Q$8:$Q$150*'ANALYSE - ERP =&gt; SOUS-SEGMENT'!$CM$8:$CM$150)/SUMPRODUCT('ANALYSE - ERP =&gt; SOUS-SEGMENT'!$BH$8:$BH$150*'ANALYSE - ERP =&gt; SOUS-SEGMENT'!$Q$8:$Q$150),"")</f>
        <v>0.1013457623466523</v>
      </c>
      <c r="CK6" s="597">
        <f>IFERROR(SUMPRODUCT('ANALYSE - ERP =&gt; SOUS-SEGMENT'!$BM$8:$BM$150*'ANALYSE - ERP =&gt; SOUS-SEGMENT'!$Q$8:$Q$150*'ANALYSE - ERP =&gt; SOUS-SEGMENT'!$CN$8:$CN$150)/SUMPRODUCT('ANALYSE - ERP =&gt; SOUS-SEGMENT'!$BM$8:$BM$150*'ANALYSE - ERP =&gt; SOUS-SEGMENT'!$Q$8:$Q$150),"")</f>
        <v>0.488089050432154</v>
      </c>
      <c r="CL6" s="597">
        <f>IFERROR(SUMPRODUCT('ANALYSE - ERP =&gt; SOUS-SEGMENT'!$BM$8:$BM$150*'ANALYSE - ERP =&gt; SOUS-SEGMENT'!$Q$8:$Q$150*'ANALYSE - ERP =&gt; SOUS-SEGMENT'!$CO$8:$CO$150)/SUMPRODUCT('ANALYSE - ERP =&gt; SOUS-SEGMENT'!$BM$8:$BM$150*'ANALYSE - ERP =&gt; SOUS-SEGMENT'!$Q$8:$Q$150),"")</f>
        <v>0.36684788302681925</v>
      </c>
      <c r="CM6" s="598">
        <f>IFERROR(SUMPRODUCT('ANALYSE - ERP =&gt; SOUS-SEGMENT'!$BM$8:$BM$150*'ANALYSE - ERP =&gt; SOUS-SEGMENT'!$Q$8:$Q$150*'ANALYSE - ERP =&gt; SOUS-SEGMENT'!$CP$8:$CP$150)/SUMPRODUCT('ANALYSE - ERP =&gt; SOUS-SEGMENT'!$BM$8:$BM$150*'ANALYSE - ERP =&gt; SOUS-SEGMENT'!$Q$8:$Q$150),"")</f>
        <v>0.14506306654102674</v>
      </c>
      <c r="CN6" s="110"/>
      <c r="CO6" s="874">
        <f>IFERROR(SUMPRODUCT('ANALYSE - ERP =&gt; SOUS-SEGMENT'!$DH$8:$DH$150*'ANALYSE - ERP =&gt; SOUS-SEGMENT'!$CR$8:$CR$150)/SUMPRODUCT('ANALYSE - ERP =&gt; SOUS-SEGMENT'!$DH$8:$DH$150),"")</f>
        <v>12.451217802634448</v>
      </c>
      <c r="CP6" s="875">
        <f>IFERROR(SUMPRODUCT('ANALYSE - ERP =&gt; SOUS-SEGMENT'!$DI$8:$DI$150*'ANALYSE - ERP =&gt; SOUS-SEGMENT'!$CS$8:$CS$150)/SUMPRODUCT('ANALYSE - ERP =&gt; SOUS-SEGMENT'!$DI$8:$DI$150),"")</f>
        <v>12.370575213587379</v>
      </c>
      <c r="CQ6" s="875">
        <f>IFERROR(SUMPRODUCT('ANALYSE - ERP =&gt; SOUS-SEGMENT'!$DJ$8:$DJ$150*'ANALYSE - ERP =&gt; SOUS-SEGMENT'!$CT$8:$CT$150)/SUMPRODUCT('ANALYSE - ERP =&gt; SOUS-SEGMENT'!$DJ$8:$DJ$150),"")</f>
        <v>9.0777438994664639</v>
      </c>
      <c r="CR6" s="875">
        <f>IFERROR(SUMPRODUCT('ANALYSE - ERP =&gt; SOUS-SEGMENT'!$DK$8:$DK$150*'ANALYSE - ERP =&gt; SOUS-SEGMENT'!$CU$8:$CU$150)/SUMPRODUCT('ANALYSE - ERP =&gt; SOUS-SEGMENT'!$DK$8:$DK$150),"")</f>
        <v>10.919469652799139</v>
      </c>
      <c r="CS6" s="874">
        <f>IFERROR(SUMPRODUCT('ANALYSE - ERP =&gt; SOUS-SEGMENT'!$DS$8:$DS$150*'ANALYSE - ERP =&gt; SOUS-SEGMENT'!$CV$8:$CV$150)/SUMPRODUCT('ANALYSE - ERP =&gt; SOUS-SEGMENT'!$DS$8:$DS$150),"")</f>
        <v>11.159253328409998</v>
      </c>
      <c r="CT6" s="875">
        <f>IFERROR(SUMPRODUCT('ANALYSE - ERP =&gt; SOUS-SEGMENT'!$DT$8:$DT$150*'ANALYSE - ERP =&gt; SOUS-SEGMENT'!$CW$8:$CW$150)/SUMPRODUCT('ANALYSE - ERP =&gt; SOUS-SEGMENT'!$DT$8:$DT$150),"")</f>
        <v>9.6708083142757371</v>
      </c>
      <c r="CU6" s="875">
        <f>IFERROR(SUMPRODUCT('ANALYSE - ERP =&gt; SOUS-SEGMENT'!$DU$8:$DU$150*'ANALYSE - ERP =&gt; SOUS-SEGMENT'!$CX$8:$CX$150)/SUMPRODUCT('ANALYSE - ERP =&gt; SOUS-SEGMENT'!$DU$8:$DU$150),"")</f>
        <v>8.1136961125134786</v>
      </c>
      <c r="CV6" s="874">
        <f>IFERROR(SUMPRODUCT('ANALYSE - ERP =&gt; SOUS-SEGMENT'!$EB$8:$EB$150*'ANALYSE - ERP =&gt; SOUS-SEGMENT'!$CY$8:$CY$150)/SUMPRODUCT('ANALYSE - ERP =&gt; SOUS-SEGMENT'!$EB$8:$EB$150),"")</f>
        <v>10.234244289160539</v>
      </c>
      <c r="CW6" s="875">
        <f>IFERROR(SUMPRODUCT('ANALYSE - ERP =&gt; SOUS-SEGMENT'!$EC$8:$EC$150*'ANALYSE - ERP =&gt; SOUS-SEGMENT'!$CZ$8:$CZ$150)/SUMPRODUCT('ANALYSE - ERP =&gt; SOUS-SEGMENT'!$EC$8:$EC$150),"")</f>
        <v>12.081781451288995</v>
      </c>
      <c r="CX6" s="875">
        <f>IFERROR(SUMPRODUCT('ANALYSE - ERP =&gt; SOUS-SEGMENT'!$ED$8:$ED$150*'ANALYSE - ERP =&gt; SOUS-SEGMENT'!$DA$8:$DA$150)/SUMPRODUCT('ANALYSE - ERP =&gt; SOUS-SEGMENT'!$ED$8:$ED$150),"")</f>
        <v>8.4232915040089491</v>
      </c>
      <c r="CY6" s="876">
        <f>IFERROR(SUMPRODUCT('ANALYSE - ERP =&gt; SOUS-SEGMENT'!$EE$8:$EE$150*'ANALYSE - ERP =&gt; SOUS-SEGMENT'!$DB$8:$DB$150)/SUMPRODUCT('ANALYSE - ERP =&gt; SOUS-SEGMENT'!$EE$8:$EE$150),"")</f>
        <v>10.014847434638076</v>
      </c>
      <c r="CZ6" s="875">
        <f>IFERROR(SUMPRODUCT('ANALYSE - ERP =&gt; SOUS-SEGMENT'!$EM$8:$EM$150*'ANALYSE - ERP =&gt; SOUS-SEGMENT'!$DC$8:$DC$150)/SUMPRODUCT('ANALYSE - ERP =&gt; SOUS-SEGMENT'!$EM$8:$EM$150),"")</f>
        <v>12.484874092848468</v>
      </c>
      <c r="DA6" s="875">
        <f>IFERROR(SUMPRODUCT('ANALYSE - ERP =&gt; SOUS-SEGMENT'!$EN$8:$EN$150*'ANALYSE - ERP =&gt; SOUS-SEGMENT'!$DD$8:$DD$150)/SUMPRODUCT('ANALYSE - ERP =&gt; SOUS-SEGMENT'!$EN$8:$EN$150),"")</f>
        <v>12.506452490416443</v>
      </c>
      <c r="DB6" s="876">
        <f>IFERROR(SUMPRODUCT('ANALYSE - ERP =&gt; SOUS-SEGMENT'!$EO$8:$EO$150*'ANALYSE - ERP =&gt; SOUS-SEGMENT'!$DE$8:$DE$150)/SUMPRODUCT('ANALYSE - ERP =&gt; SOUS-SEGMENT'!$EO$8:$EO$150),"")</f>
        <v>9.1471230783416146</v>
      </c>
      <c r="DC6" s="339" t="s">
        <v>2572</v>
      </c>
      <c r="DD6" s="110"/>
      <c r="DE6" s="223" t="e">
        <f>SUMPRODUCT($Q$8:$Q$110,DE$8:DE$110)</f>
        <v>#VALUE!</v>
      </c>
      <c r="DF6" s="223" t="e">
        <f>SUMPRODUCT($Q$8:$Q$110,DF$8:DF$110)</f>
        <v>#VALUE!</v>
      </c>
      <c r="DG6" s="223" t="e">
        <f>SUMPRODUCT($Q$8:$Q$110,DG$8:DG$110)</f>
        <v>#VALUE!</v>
      </c>
      <c r="DH6" s="223" t="e">
        <f>SUMPRODUCT($Q$8:$Q$110,DH$8:DH$110)</f>
        <v>#VALUE!</v>
      </c>
      <c r="DI6" s="339" t="s">
        <v>2573</v>
      </c>
      <c r="DJ6" s="223" t="e">
        <f>SUMPRODUCT($Q$8:$Q$110,DJ$8:DJ$110)</f>
        <v>#VALUE!</v>
      </c>
      <c r="DK6" s="223" t="e">
        <f>SUMPRODUCT($Q$8:$Q$110,DK$8:DK$110)</f>
        <v>#VALUE!</v>
      </c>
      <c r="DL6" s="223" t="e">
        <f>SUMPRODUCT($Q$8:$Q$110,DL$8:DL$110)</f>
        <v>#VALUE!</v>
      </c>
      <c r="DM6" s="223" t="e">
        <f>SUMPRODUCT($Q$8:$Q$110,DM$8:DM$110)</f>
        <v>#VALUE!</v>
      </c>
      <c r="DN6" s="340" t="s">
        <v>2574</v>
      </c>
      <c r="DO6" s="110"/>
      <c r="DP6" s="223">
        <f>SUMPRODUCT($Q$8:$Q$110,DP$8:DP$110)</f>
        <v>389143.53500000003</v>
      </c>
      <c r="DQ6" s="223">
        <f>SUMPRODUCT($Q$8:$Q$110,DQ$8:DQ$110)</f>
        <v>132395.86000000002</v>
      </c>
      <c r="DR6" s="223">
        <f>SUMPRODUCT($Q$8:$Q$110,DR$8:DR$110)</f>
        <v>39376.805</v>
      </c>
      <c r="DS6" s="340" t="s">
        <v>2575</v>
      </c>
      <c r="DT6" s="223">
        <f>SUMPRODUCT($Q$8:$Q$110,DT$8:DT$110)</f>
        <v>369751.53000000009</v>
      </c>
      <c r="DU6" s="223">
        <f>SUMPRODUCT($Q$8:$Q$110,DU$8:DU$110)</f>
        <v>143864.30499999999</v>
      </c>
      <c r="DV6" s="223">
        <f>SUMPRODUCT($Q$8:$Q$110,DV$8:DV$110)</f>
        <v>50183.665000000008</v>
      </c>
      <c r="DW6" s="340" t="s">
        <v>2576</v>
      </c>
      <c r="DX6" s="110"/>
      <c r="DY6" s="223">
        <f>SUMPRODUCT($Q$8:$Q$110,DY$8:DY$110)</f>
        <v>65562.171000000002</v>
      </c>
      <c r="DZ6" s="223">
        <f>SUMPRODUCT($Q$8:$Q$110,DZ$8:DZ$110)</f>
        <v>269479.49399999995</v>
      </c>
      <c r="EA6" s="223">
        <f>SUMPRODUCT($Q$8:$Q$110,EA$8:EA$110)</f>
        <v>93107.813999999984</v>
      </c>
      <c r="EB6" s="223">
        <f>SUMPRODUCT($Q$8:$Q$110,EB$8:EB$110)</f>
        <v>96811.321000000011</v>
      </c>
      <c r="EC6" s="340" t="s">
        <v>2577</v>
      </c>
      <c r="ED6" s="223">
        <f>SUMPRODUCT($Q$8:$Q$110,ED$8:ED$110)</f>
        <v>53801.201500000003</v>
      </c>
      <c r="EE6" s="223">
        <f>SUMPRODUCT($Q$8:$Q$110,EE$8:EE$110)</f>
        <v>267317.39</v>
      </c>
      <c r="EF6" s="223">
        <f>SUMPRODUCT($Q$8:$Q$110,EF$8:EF$110)</f>
        <v>110791.30000000002</v>
      </c>
      <c r="EG6" s="223">
        <f>SUMPRODUCT($Q$8:$Q$110,EG$8:EG$110)</f>
        <v>99946.358499999988</v>
      </c>
      <c r="EH6" s="340" t="s">
        <v>2578</v>
      </c>
      <c r="EI6" s="110"/>
      <c r="EJ6" s="223" t="e">
        <f>SUMPRODUCT($Q$8:$Q$110,EJ$8:EJ$110)</f>
        <v>#VALUE!</v>
      </c>
      <c r="EK6" s="223" t="e">
        <f>SUMPRODUCT($Q$8:$Q$110,EK$8:EK$110)</f>
        <v>#VALUE!</v>
      </c>
      <c r="EL6" s="223" t="e">
        <f>SUMPRODUCT($Q$8:$Q$110,EL$8:EL$110)</f>
        <v>#VALUE!</v>
      </c>
      <c r="EM6" s="340" t="s">
        <v>2579</v>
      </c>
      <c r="EN6" s="223" t="e">
        <f>SUMPRODUCT($Q$8:$Q$110,EN$8:EN$110)</f>
        <v>#VALUE!</v>
      </c>
      <c r="EO6" s="223" t="e">
        <f>SUMPRODUCT($Q$8:$Q$110,EO$8:EO$110)</f>
        <v>#VALUE!</v>
      </c>
      <c r="EP6" s="223" t="e">
        <f>SUMPRODUCT($Q$8:$Q$110,EP$8:EP$110)</f>
        <v>#VALUE!</v>
      </c>
      <c r="EQ6" s="340" t="s">
        <v>2580</v>
      </c>
      <c r="ER6" s="110"/>
      <c r="ES6" s="744">
        <f>IFERROR(EV6/EU6,0)</f>
        <v>0.79649155300432295</v>
      </c>
      <c r="ET6" s="744">
        <f>IFERROR(EW6/EU6,0)</f>
        <v>0.20350844699567697</v>
      </c>
      <c r="EU6" s="221">
        <f>EV6+EW6</f>
        <v>5836549.8949145898</v>
      </c>
      <c r="EV6" s="221">
        <f>SUM(EY6,FB6,FE6,FH6)</f>
        <v>4648762.6899877395</v>
      </c>
      <c r="EW6" s="221">
        <f>SUM(EZ6,FC6,FF6,FI6)</f>
        <v>1187787.2049268498</v>
      </c>
      <c r="EX6" s="222">
        <f>SUMPRODUCT($Q$8:$Q$110,EX$8:EX$110)</f>
        <v>1602193.6530376298</v>
      </c>
      <c r="EY6" s="222">
        <f>SUMPRODUCT('ANALYSE - ERP =&gt; SOUS-SEGMENT'!$Q$8:$Q$150*'ANALYSE - ERP =&gt; SOUS-SEGMENT'!$FB$8:$FB$150)</f>
        <v>1999994.0847848034</v>
      </c>
      <c r="EZ6" s="222">
        <f>SUMPRODUCT('ANALYSE - ERP =&gt; SOUS-SEGMENT'!$Q$8:$Q$150*'ANALYSE - ERP =&gt; SOUS-SEGMENT'!$FC$8:$FC$150)</f>
        <v>513618.91265499982</v>
      </c>
      <c r="FA6" s="222">
        <f>SUMPRODUCT($Q$8:$Q$110,FA$8:FA$110)</f>
        <v>266379.56901298882</v>
      </c>
      <c r="FB6" s="222">
        <f>SUMPRODUCT('ANALYSE - ERP =&gt; SOUS-SEGMENT'!$Q$8:$Q$150*'ANALYSE - ERP =&gt; SOUS-SEGMENT'!$FE$8:$FE$150)</f>
        <v>699040.64594030427</v>
      </c>
      <c r="FC6" s="222">
        <f>SUMPRODUCT('ANALYSE - ERP =&gt; SOUS-SEGMENT'!$Q$8:$Q$150*'ANALYSE - ERP =&gt; SOUS-SEGMENT'!$FF$8:$FF$150)</f>
        <v>165257.60597184999</v>
      </c>
      <c r="FD6" s="222">
        <f>SUMPRODUCT($Q$8:$Q$110,FD$8:FD$110)</f>
        <v>237861.73774721331</v>
      </c>
      <c r="FE6" s="222">
        <f>SUMPRODUCT('ANALYSE - ERP =&gt; SOUS-SEGMENT'!$Q$8:$Q$150*'ANALYSE - ERP =&gt; SOUS-SEGMENT'!$FH$8:$FH$150)</f>
        <v>361251.34048089996</v>
      </c>
      <c r="FF6" s="222">
        <f>SUMPRODUCT('ANALYSE - ERP =&gt; SOUS-SEGMENT'!$Q$8:$Q$150*'ANALYSE - ERP =&gt; SOUS-SEGMENT'!$FI$8:$FI$150)</f>
        <v>91223.076720000026</v>
      </c>
      <c r="FG6" s="222">
        <f>SUMPRODUCT($Q$8:$Q$110,FG$8:FG$110)</f>
        <v>1247261.7627583132</v>
      </c>
      <c r="FH6" s="222">
        <f>SUMPRODUCT('ANALYSE - ERP =&gt; SOUS-SEGMENT'!$Q$8:$Q$150*'ANALYSE - ERP =&gt; SOUS-SEGMENT'!$FK$8:$FK$150)</f>
        <v>1588476.6187817315</v>
      </c>
      <c r="FI6" s="222">
        <f>SUMPRODUCT('ANALYSE - ERP =&gt; SOUS-SEGMENT'!$Q$8:$Q$150*'ANALYSE - ERP =&gt; SOUS-SEGMENT'!$FL$8:$FL$150)</f>
        <v>417687.60957999981</v>
      </c>
      <c r="FJ6" s="110"/>
      <c r="FK6" s="341" t="s">
        <v>2581</v>
      </c>
      <c r="FL6" s="745">
        <f>IFERROR(SUMPRODUCT($Q$8:$Q$110,$AF$8:$AF$110,$FL$8:$FL$110)/SUMPRODUCT($Q$8:$Q$110,$AF$8:$AF$110),"")</f>
        <v>5.8585491282933881E-2</v>
      </c>
      <c r="FM6" s="746">
        <f>IFERROR(SUMPRODUCT($Q$8:$Q$110,$AF$8:$AF$110,$FM$8:$FM$110)/SUMPRODUCT($Q$8:$Q$110,$AF$8:$AF$110),"")</f>
        <v>0.81920813894904831</v>
      </c>
      <c r="FN6" s="342" t="s">
        <v>2582</v>
      </c>
      <c r="FO6" s="110"/>
      <c r="FP6" s="913">
        <f>'ANALYSE - ERP =&gt; SEGMENT'!FP6</f>
        <v>3.19</v>
      </c>
      <c r="FQ6" s="220" t="s">
        <v>2090</v>
      </c>
      <c r="FR6" s="220">
        <f>'ANALYSE - ERP =&gt; SEGMENT'!FR6</f>
        <v>3.97</v>
      </c>
      <c r="FS6" s="220" t="s">
        <v>2090</v>
      </c>
      <c r="FT6" s="220">
        <f>IFERROR(SUMPRODUCT('ANALYSE - ERP =&gt; SOUS-SEGMENT'!$EZ$8:$EZ$150*'ANALYSE - ERP =&gt; SOUS-SEGMENT'!$Q$8:$Q$150*'ANALYSE - ERP =&gt; SOUS-SEGMENT'!$FW$8:$FW$150)/SUMPRODUCT('ANALYSE - ERP =&gt; SOUS-SEGMENT'!$EZ$8:$EZ$150*'ANALYSE - ERP =&gt; SOUS-SEGMENT'!$Q$8:$Q$150),"")</f>
        <v>2.385858131062927</v>
      </c>
      <c r="FU6" s="220" t="s">
        <v>2090</v>
      </c>
      <c r="FV6" s="110"/>
      <c r="FW6" s="343" t="s">
        <v>2583</v>
      </c>
      <c r="FX6" s="343" t="s">
        <v>2584</v>
      </c>
      <c r="FY6" s="343" t="s">
        <v>2585</v>
      </c>
      <c r="FZ6" s="343" t="s">
        <v>2586</v>
      </c>
      <c r="GA6" s="343" t="s">
        <v>2587</v>
      </c>
      <c r="GB6" s="343" t="s">
        <v>2588</v>
      </c>
      <c r="GC6" s="343" t="str">
        <f>HYPERLINK("https://www.ecologie.gouv.fr/eco-energie-tertiaire-eet","https://www.ecologie.gouv.fr/eco-energie-tertiaire-eet")&amp;CHAR(10)&amp;HYPERLINK("https://www.info.gouv.fr/actualite/segur-de-la-sante-de-nouveaux-investissements-pour-l-hopital","https://www.info.gouv.fr/actualite/segur-de-la-sante-de-nouveaux-investissements-pour-l-hopital")&amp;CHAR(10)&amp;HYPERLINK("https://www.cnsa.fr/budget-et-financement/financement-des-esms/investissement-immobilier","https://www.cnsa.fr/budget-et-financement/financement-des-esms/investissement-immobilier")&amp;CHAR(10)&amp;HYPERLINK("https://www.agencedusport.fr/plan-5000-equipements-generation-2024","https://www.agencedusport.fr/plan-5000-equipements-generation-2024")&amp;CHAR(10)&amp;HYPERLINK("https://www.france-services.gouv.fr/actualites/labellisation-nouvelles-maisons-france-services","https://www.france-services.gouv.fr/actualites/labellisation-nouvelles-maisons-france-services")&amp;CHAR(10)&amp;HYPERLINK("https://www.justice.gouv.fr/plan-15-000-places-prison","https://www.justice.gouv.fr/plan-15-000-places-prison")&amp;CHAR(10)&amp;HYPERLINK("https://www.defense.gouv.fr/ministere/politique-defense/loi-programmation-militaire-2024-2030","https://www.defense.gouv.fr/ministere/politique-defense/loi-programmation-militaire-2024-2030")&amp;CHAR(10)&amp;HYPERLINK("https://www.economie.gouv.fr/cedef/reindustrialisation-informations","https://www.economie.gouv.fr/cedef/reindustrialisation-informations")&amp;CHAR(10)&amp;HYPERLINK("https://presse.groupeadp.fr/proposition-cre2027-2034/","https://presse.groupeadp.fr/proposition-cre2027-2034/")&amp;CHAR(10)&amp;HYPERLINK("https://www.garesetconnexions.sncf/fr/qui-sommes-nous/notre-modele-economique","https://www.garesetconnexions.sncf/fr/qui-sommes-nous/notre-modele-economique")</f>
        <v>https://www.ecologie.gouv.fr/eco-energie-tertiaire-eet
https://www.info.gouv.fr/actualite/segur-de-la-sante-de-nouveaux-investissements-pour-l-hopital
https://www.cnsa.fr/budget-et-financement/financement-des-esms/investissement-immobilier
https://www.agencedusport.fr/plan-5000-equipements-generation-2024
https://www.france-services.gouv.fr/actualites/labellisation-nouvelles-maisons-france-services
https://www.justice.gouv.fr/plan-15-000-places-prison
https://www.defense.gouv.fr/ministere/politique-defense/loi-programmation-militaire-2024-2030
https://www.economie.gouv.fr/cedef/reindustrialisation-informations
https://presse.groupeadp.fr/proposition-cre2027-2034/
https://www.garesetconnexions.sncf/fr/qui-sommes-nous/notre-modele-economique</v>
      </c>
      <c r="GD6" s="110"/>
      <c r="GE6" s="238">
        <f t="shared" ref="GE6:HT6" si="0">SUMPRODUCT($Q$8:$Q$110,GE$8:GE$110)</f>
        <v>567354.94430147298</v>
      </c>
      <c r="GF6" s="239">
        <f t="shared" si="0"/>
        <v>466027.66598837293</v>
      </c>
      <c r="GG6" s="240">
        <f t="shared" si="0"/>
        <v>101327.27831309999</v>
      </c>
      <c r="GH6" s="238">
        <f t="shared" si="0"/>
        <v>633990.92501996818</v>
      </c>
      <c r="GI6" s="239">
        <f t="shared" si="0"/>
        <v>503106.59691006818</v>
      </c>
      <c r="GJ6" s="240">
        <f t="shared" si="0"/>
        <v>130884.32810990002</v>
      </c>
      <c r="GK6" s="238">
        <f t="shared" si="0"/>
        <v>273290.61873012991</v>
      </c>
      <c r="GL6" s="239">
        <f t="shared" si="0"/>
        <v>221634.57831777999</v>
      </c>
      <c r="GM6" s="240">
        <f t="shared" si="0"/>
        <v>51656.040412349997</v>
      </c>
      <c r="GN6" s="238">
        <f t="shared" si="0"/>
        <v>127557.16498605859</v>
      </c>
      <c r="GO6" s="239">
        <f t="shared" si="0"/>
        <v>106050.21563640858</v>
      </c>
      <c r="GP6" s="240">
        <f t="shared" si="0"/>
        <v>21506.94934965</v>
      </c>
      <c r="GQ6" s="238">
        <f t="shared" si="0"/>
        <v>176983.56152461466</v>
      </c>
      <c r="GR6" s="239">
        <f t="shared" si="0"/>
        <v>144701.7575681147</v>
      </c>
      <c r="GS6" s="240">
        <f t="shared" si="0"/>
        <v>32281.803956499996</v>
      </c>
      <c r="GT6" s="238">
        <f t="shared" si="0"/>
        <v>65584.871857709848</v>
      </c>
      <c r="GU6" s="239">
        <f t="shared" si="0"/>
        <v>51848.08620830984</v>
      </c>
      <c r="GV6" s="240">
        <f t="shared" si="0"/>
        <v>13736.785649399997</v>
      </c>
      <c r="GW6" s="238">
        <f t="shared" si="0"/>
        <v>23811.135630664285</v>
      </c>
      <c r="GX6" s="239">
        <f t="shared" si="0"/>
        <v>19125.223126564284</v>
      </c>
      <c r="GY6" s="240">
        <f t="shared" si="0"/>
        <v>4685.9125040999998</v>
      </c>
      <c r="GZ6" s="238">
        <f t="shared" si="0"/>
        <v>29216.842814908818</v>
      </c>
      <c r="HA6" s="239">
        <f t="shared" si="0"/>
        <v>24814.841442808822</v>
      </c>
      <c r="HB6" s="240">
        <f t="shared" si="0"/>
        <v>4402.0013721000005</v>
      </c>
      <c r="HC6" s="238">
        <f t="shared" si="0"/>
        <v>108675.50339698876</v>
      </c>
      <c r="HD6" s="239">
        <f t="shared" si="0"/>
        <v>87108.34102978876</v>
      </c>
      <c r="HE6" s="240">
        <f t="shared" si="0"/>
        <v>21567.162367200002</v>
      </c>
      <c r="HF6" s="238">
        <f t="shared" si="0"/>
        <v>53502.097744342864</v>
      </c>
      <c r="HG6" s="239">
        <f t="shared" si="0"/>
        <v>43992.153994842847</v>
      </c>
      <c r="HH6" s="240">
        <f t="shared" si="0"/>
        <v>9509.9437495000002</v>
      </c>
      <c r="HI6" s="238">
        <f t="shared" si="0"/>
        <v>46467.293790972879</v>
      </c>
      <c r="HJ6" s="239">
        <f t="shared" si="0"/>
        <v>38699.352669772881</v>
      </c>
      <c r="HK6" s="240">
        <f t="shared" si="0"/>
        <v>7767.9411211999995</v>
      </c>
      <c r="HL6" s="238">
        <f t="shared" si="0"/>
        <v>701448.54728740128</v>
      </c>
      <c r="HM6" s="239">
        <f t="shared" si="0"/>
        <v>572389.97279940115</v>
      </c>
      <c r="HN6" s="240">
        <f t="shared" si="0"/>
        <v>129058.57448799997</v>
      </c>
      <c r="HO6" s="238">
        <f t="shared" si="0"/>
        <v>347564.4255470119</v>
      </c>
      <c r="HP6" s="239">
        <f t="shared" si="0"/>
        <v>268519.01286821201</v>
      </c>
      <c r="HQ6" s="240">
        <f t="shared" si="0"/>
        <v>79045.412678800014</v>
      </c>
      <c r="HR6" s="238">
        <f t="shared" si="0"/>
        <v>198248.78992390042</v>
      </c>
      <c r="HS6" s="239">
        <f t="shared" si="0"/>
        <v>158964.79445070037</v>
      </c>
      <c r="HT6" s="240">
        <f t="shared" si="0"/>
        <v>39283.995473200004</v>
      </c>
      <c r="HV6" s="344">
        <f>SUMPRODUCT('ANALYSE - ERP =&gt; SOUS-SEGMENT'!$Q$8:$Q$150*'ANALYSE - ERP =&gt; SOUS-SEGMENT'!$HY$8:$HY$150)</f>
        <v>14093821.703250002</v>
      </c>
      <c r="HW6" s="344">
        <f>SUMPRODUCT('ANALYSE - ERP =&gt; SOUS-SEGMENT'!$Q$8:$Q$150*'ANALYSE - ERP =&gt; SOUS-SEGMENT'!$HZ$8:$HZ$150)</f>
        <v>909235.29502250045</v>
      </c>
      <c r="HX6" s="344">
        <f>SUMPRODUCT('ANALYSE - ERP =&gt; SOUS-SEGMENT'!$Q$8:$Q$150*'ANALYSE - ERP =&gt; SOUS-SEGMENT'!$IA$8:$IA$150)</f>
        <v>5752131.9134689998</v>
      </c>
      <c r="HY6" s="344">
        <f>SUMPRODUCT('ANALYSE - ERP =&gt; SOUS-SEGMENT'!$Q$8:$Q$150*'ANALYSE - ERP =&gt; SOUS-SEGMENT'!$IB$8:$IB$150)</f>
        <v>5826252.8052335009</v>
      </c>
      <c r="HZ6" s="344">
        <f>SUMPRODUCT('ANALYSE - ERP =&gt; SOUS-SEGMENT'!$Q$8:$Q$150*'ANALYSE - ERP =&gt; SOUS-SEGMENT'!$IC$8:$IC$150)</f>
        <v>1513953.2967430011</v>
      </c>
      <c r="IA6" s="344">
        <f>SUMPRODUCT('ANALYSE - ERP =&gt; SOUS-SEGMENT'!$Q$8:$Q$150*'ANALYSE - ERP =&gt; SOUS-SEGMENT'!$ID$8:$ID$150)</f>
        <v>92248.39278200001</v>
      </c>
      <c r="IB6" s="344">
        <f>SUMPRODUCT('ANALYSE - ERP =&gt; SOUS-SEGMENT'!$Q$8:$Q$150*'ANALYSE - ERP =&gt; SOUS-SEGMENT'!$IE$8:$IE$150)</f>
        <v>4637418.6509461235</v>
      </c>
      <c r="IC6" s="344">
        <f>SUMPRODUCT('ANALYSE - ERP =&gt; SOUS-SEGMENT'!$Q$8:$Q$150*'ANALYSE - ERP =&gt; SOUS-SEGMENT'!$IF$8:$IF$150)</f>
        <v>158906.2072309342</v>
      </c>
      <c r="ID6" s="344">
        <f>SUMPRODUCT('ANALYSE - ERP =&gt; SOUS-SEGMENT'!$Q$8:$Q$150*'ANALYSE - ERP =&gt; SOUS-SEGMENT'!$IG$8:$IG$150)</f>
        <v>1548396.7941987324</v>
      </c>
      <c r="IE6" s="344">
        <f>SUMPRODUCT('ANALYSE - ERP =&gt; SOUS-SEGMENT'!$Q$8:$Q$150*'ANALYSE - ERP =&gt; SOUS-SEGMENT'!$IH$8:$IH$150)</f>
        <v>2109269.2898155474</v>
      </c>
      <c r="IF6" s="344">
        <f>SUMPRODUCT('ANALYSE - ERP =&gt; SOUS-SEGMENT'!$Q$8:$Q$150*'ANALYSE - ERP =&gt; SOUS-SEGMENT'!$II$8:$II$150)</f>
        <v>747030.18893548998</v>
      </c>
      <c r="IG6" s="344">
        <f>SUMPRODUCT('ANALYSE - ERP =&gt; SOUS-SEGMENT'!$Q$8:$Q$150*'ANALYSE - ERP =&gt; SOUS-SEGMENT'!$IJ$8:$IJ$150)</f>
        <v>73816.17076541514</v>
      </c>
      <c r="IH6" s="345">
        <v>3.86</v>
      </c>
      <c r="II6" s="345" t="s">
        <v>2589</v>
      </c>
      <c r="IJ6" s="347"/>
      <c r="IK6" s="110"/>
      <c r="IL6" s="747">
        <f>IFERROR(SUMPRODUCT('ANALYSE - ERP =&gt; SOUS-SEGMENT'!$BE$8:$BE$150*'ANALYSE - ERP =&gt; SOUS-SEGMENT'!$Q$8:$Q$150*'ANALYSE - ERP =&gt; SOUS-SEGMENT'!$IO$8:$IO$150)/SUMPRODUCT('ANALYSE - ERP =&gt; SOUS-SEGMENT'!$BE$8:$BE$150*'ANALYSE - ERP =&gt; SOUS-SEGMENT'!$Q$8:$Q$150),"")</f>
        <v>5.0890289136965181E-2</v>
      </c>
      <c r="IM6" s="748">
        <f>IFERROR(SUMPRODUCT('ANALYSE - ERP =&gt; SOUS-SEGMENT'!$BE$8:$BE$150*'ANALYSE - ERP =&gt; SOUS-SEGMENT'!$Q$8:$Q$150*'ANALYSE - ERP =&gt; SOUS-SEGMENT'!$IP$8:$IP$150)/SUMPRODUCT('ANALYSE - ERP =&gt; SOUS-SEGMENT'!$BE$8:$BE$150*'ANALYSE - ERP =&gt; SOUS-SEGMENT'!$Q$8:$Q$150),"")</f>
        <v>0.38938085659179045</v>
      </c>
      <c r="IN6" s="748">
        <f>IFERROR(SUMPRODUCT('ANALYSE - ERP =&gt; SOUS-SEGMENT'!$BE$8:$BE$150*'ANALYSE - ERP =&gt; SOUS-SEGMENT'!$Q$8:$Q$150*'ANALYSE - ERP =&gt; SOUS-SEGMENT'!$IQ$8:$IQ$150)/SUMPRODUCT('ANALYSE - ERP =&gt; SOUS-SEGMENT'!$BE$8:$BE$150*'ANALYSE - ERP =&gt; SOUS-SEGMENT'!$Q$8:$Q$150),"")</f>
        <v>0.4379635921740227</v>
      </c>
      <c r="IO6" s="748">
        <f>IFERROR(SUMPRODUCT('ANALYSE - ERP =&gt; SOUS-SEGMENT'!$BE$8:$BE$150*'ANALYSE - ERP =&gt; SOUS-SEGMENT'!$Q$8:$Q$150*'ANALYSE - ERP =&gt; SOUS-SEGMENT'!$IR$8:$IR$150)/SUMPRODUCT('ANALYSE - ERP =&gt; SOUS-SEGMENT'!$BE$8:$BE$150*'ANALYSE - ERP =&gt; SOUS-SEGMENT'!$Q$8:$Q$150),"")</f>
        <v>0.1140443159031226</v>
      </c>
      <c r="IP6" s="749">
        <f>IFERROR(SUMPRODUCT('ANALYSE - ERP =&gt; SOUS-SEGMENT'!$BE$8:$BE$150*'ANALYSE - ERP =&gt; SOUS-SEGMENT'!$Q$8:$Q$150*'ANALYSE - ERP =&gt; SOUS-SEGMENT'!$IS$8:$IS$150)/SUMPRODUCT('ANALYSE - ERP =&gt; SOUS-SEGMENT'!$BE$8:$BE$150*'ANALYSE - ERP =&gt; SOUS-SEGMENT'!$Q$8:$Q$150),"")</f>
        <v>7.7209461940995171E-3</v>
      </c>
      <c r="IQ6" s="748">
        <f>IFERROR(SUMPRODUCT('ANALYSE - ERP =&gt; SOUS-SEGMENT'!$FA$8:$FA$150*'ANALYSE - ERP =&gt; SOUS-SEGMENT'!$Q$8:$Q$150*'ANALYSE - ERP =&gt; SOUS-SEGMENT'!$IT$8:$IT$150)/SUMPRODUCT('ANALYSE - ERP =&gt; SOUS-SEGMENT'!$FA$8:$FA$150*'ANALYSE - ERP =&gt; SOUS-SEGMENT'!$Q$8:$Q$150),"")</f>
        <v>2.3639239303708044E-2</v>
      </c>
      <c r="IR6" s="748">
        <f>IFERROR(SUMPRODUCT('ANALYSE - ERP =&gt; SOUS-SEGMENT'!$FA$8:$FA$150*'ANALYSE - ERP =&gt; SOUS-SEGMENT'!$Q$8:$Q$150*'ANALYSE - ERP =&gt; SOUS-SEGMENT'!$IU$8:$IU$150)/SUMPRODUCT('ANALYSE - ERP =&gt; SOUS-SEGMENT'!$FA$8:$FA$150*'ANALYSE - ERP =&gt; SOUS-SEGMENT'!$Q$8:$Q$150),"")</f>
        <v>0.30330948549137865</v>
      </c>
      <c r="IS6" s="748">
        <f>IFERROR(SUMPRODUCT('ANALYSE - ERP =&gt; SOUS-SEGMENT'!$FA$8:$FA$150*'ANALYSE - ERP =&gt; SOUS-SEGMENT'!$Q$8:$Q$150*'ANALYSE - ERP =&gt; SOUS-SEGMENT'!$IV$8:$IV$150)/SUMPRODUCT('ANALYSE - ERP =&gt; SOUS-SEGMENT'!$FA$8:$FA$150*'ANALYSE - ERP =&gt; SOUS-SEGMENT'!$Q$8:$Q$150),"")</f>
        <v>0.47999011484979454</v>
      </c>
      <c r="IT6" s="748">
        <f>IFERROR(SUMPRODUCT('ANALYSE - ERP =&gt; SOUS-SEGMENT'!$FA$8:$FA$150*'ANALYSE - ERP =&gt; SOUS-SEGMENT'!$Q$8:$Q$150*'ANALYSE - ERP =&gt; SOUS-SEGMENT'!$IW$8:$IW$150)/SUMPRODUCT('ANALYSE - ERP =&gt; SOUS-SEGMENT'!$FA$8:$FA$150*'ANALYSE - ERP =&gt; SOUS-SEGMENT'!$Q$8:$Q$150),"")</f>
        <v>0.17535179178419349</v>
      </c>
      <c r="IU6" s="748">
        <f>IFERROR(SUMPRODUCT('ANALYSE - ERP =&gt; SOUS-SEGMENT'!$FA$8:$FA$150*'ANALYSE - ERP =&gt; SOUS-SEGMENT'!$Q$8:$Q$150*'ANALYSE - ERP =&gt; SOUS-SEGMENT'!$IX$8:$IX$150)/SUMPRODUCT('ANALYSE - ERP =&gt; SOUS-SEGMENT'!$FA$8:$FA$150*'ANALYSE - ERP =&gt; SOUS-SEGMENT'!$Q$8:$Q$150),"")</f>
        <v>1.7709368570924009E-2</v>
      </c>
      <c r="IV6" s="771">
        <f>IFERROR(SUMPRODUCT('ANALYSE - ERP =&gt; SOUS-SEGMENT'!$BF$8:$BF$150*'ANALYSE - ERP =&gt; SOUS-SEGMENT'!$Q$8:$Q$150*'ANALYSE - ERP =&gt; SOUS-SEGMENT'!$IY$8:$IY$150)/SUMPRODUCT('ANALYSE - ERP =&gt; SOUS-SEGMENT'!$BF$8:$BF$150*'ANALYSE - ERP =&gt; SOUS-SEGMENT'!$Q$8:$Q$150),"")</f>
        <v>9.5286530194209976E-2</v>
      </c>
      <c r="IW6" s="748">
        <f>IFERROR(SUMPRODUCT('ANALYSE - ERP =&gt; SOUS-SEGMENT'!$BF$8:$BF$150*'ANALYSE - ERP =&gt; SOUS-SEGMENT'!$Q$8:$Q$150*'ANALYSE - ERP =&gt; SOUS-SEGMENT'!$IZ$8:$IZ$150)/SUMPRODUCT('ANALYSE - ERP =&gt; SOUS-SEGMENT'!$BF$8:$BF$150*'ANALYSE - ERP =&gt; SOUS-SEGMENT'!$Q$8:$Q$150),"")</f>
        <v>0.42060599046323105</v>
      </c>
      <c r="IX6" s="748">
        <f>IFERROR(SUMPRODUCT('ANALYSE - ERP =&gt; SOUS-SEGMENT'!$BF$8:$BF$150*'ANALYSE - ERP =&gt; SOUS-SEGMENT'!$Q$8:$Q$150*'ANALYSE - ERP =&gt; SOUS-SEGMENT'!$JA$8:$JA$150)/SUMPRODUCT('ANALYSE - ERP =&gt; SOUS-SEGMENT'!$BF$8:$BF$150*'ANALYSE - ERP =&gt; SOUS-SEGMENT'!$Q$8:$Q$150),"")</f>
        <v>0.35460033730351115</v>
      </c>
      <c r="IY6" s="748">
        <f>IFERROR(SUMPRODUCT('ANALYSE - ERP =&gt; SOUS-SEGMENT'!$BF$8:$BF$150*'ANALYSE - ERP =&gt; SOUS-SEGMENT'!$Q$8:$Q$150*'ANALYSE - ERP =&gt; SOUS-SEGMENT'!$JB$8:$JB$150)/SUMPRODUCT('ANALYSE - ERP =&gt; SOUS-SEGMENT'!$BF$8:$BF$150*'ANALYSE - ERP =&gt; SOUS-SEGMENT'!$Q$8:$Q$150),"")</f>
        <v>0.11448185106598295</v>
      </c>
      <c r="IZ6" s="749">
        <f>IFERROR(SUMPRODUCT('ANALYSE - ERP =&gt; SOUS-SEGMENT'!$BF$8:$BF$150*'ANALYSE - ERP =&gt; SOUS-SEGMENT'!$Q$8:$Q$150*'ANALYSE - ERP =&gt; SOUS-SEGMENT'!$JC$8:$JC$150)/SUMPRODUCT('ANALYSE - ERP =&gt; SOUS-SEGMENT'!$BF$8:$BF$150*'ANALYSE - ERP =&gt; SOUS-SEGMENT'!$Q$8:$Q$150),"")</f>
        <v>6.6687639236748513E-3</v>
      </c>
      <c r="JA6" s="748">
        <f>IFERROR(SUMPRODUCT('ANALYSE - ERP =&gt; SOUS-SEGMENT'!$FD$8:$FD$150*'ANALYSE - ERP =&gt; SOUS-SEGMENT'!$Q$8:$Q$150*'ANALYSE - ERP =&gt; SOUS-SEGMENT'!$JD$8:$JD$150)/SUMPRODUCT('ANALYSE - ERP =&gt; SOUS-SEGMENT'!$FD$8:$FD$150*'ANALYSE - ERP =&gt; SOUS-SEGMENT'!$Q$8:$Q$150),"")</f>
        <v>5.9924067420102159E-2</v>
      </c>
      <c r="JB6" s="748">
        <f>IFERROR(SUMPRODUCT('ANALYSE - ERP =&gt; SOUS-SEGMENT'!$FD$8:$FD$150*'ANALYSE - ERP =&gt; SOUS-SEGMENT'!$Q$8:$Q$150*'ANALYSE - ERP =&gt; SOUS-SEGMENT'!$JE$8:$JE$150)/SUMPRODUCT('ANALYSE - ERP =&gt; SOUS-SEGMENT'!$FD$8:$FD$150*'ANALYSE - ERP =&gt; SOUS-SEGMENT'!$Q$8:$Q$150),"")</f>
        <v>0.37600591830629732</v>
      </c>
      <c r="JC6" s="748">
        <f>IFERROR(SUMPRODUCT('ANALYSE - ERP =&gt; SOUS-SEGMENT'!$FD$8:$FD$150*'ANALYSE - ERP =&gt; SOUS-SEGMENT'!$Q$8:$Q$150*'ANALYSE - ERP =&gt; SOUS-SEGMENT'!$JF$8:$JF$150)/SUMPRODUCT('ANALYSE - ERP =&gt; SOUS-SEGMENT'!$FD$8:$FD$150*'ANALYSE - ERP =&gt; SOUS-SEGMENT'!$Q$8:$Q$150),"")</f>
        <v>0.38692802721512082</v>
      </c>
      <c r="JD6" s="748">
        <f>IFERROR(SUMPRODUCT('ANALYSE - ERP =&gt; SOUS-SEGMENT'!$FD$8:$FD$150*'ANALYSE - ERP =&gt; SOUS-SEGMENT'!$Q$8:$Q$150*'ANALYSE - ERP =&gt; SOUS-SEGMENT'!$JG$8:$JG$150)/SUMPRODUCT('ANALYSE - ERP =&gt; SOUS-SEGMENT'!$FD$8:$FD$150*'ANALYSE - ERP =&gt; SOUS-SEGMENT'!$Q$8:$Q$150),"")</f>
        <v>0.15370769532392864</v>
      </c>
      <c r="JE6" s="748">
        <f>IFERROR(SUMPRODUCT('ANALYSE - ERP =&gt; SOUS-SEGMENT'!$FD$8:$FD$150*'ANALYSE - ERP =&gt; SOUS-SEGMENT'!$Q$8:$Q$150*'ANALYSE - ERP =&gt; SOUS-SEGMENT'!$JH$8:$JH$150)/SUMPRODUCT('ANALYSE - ERP =&gt; SOUS-SEGMENT'!$FD$8:$FD$150*'ANALYSE - ERP =&gt; SOUS-SEGMENT'!$Q$8:$Q$150),"")</f>
        <v>1.6942185076512566E-2</v>
      </c>
      <c r="JF6" s="771">
        <f>IFERROR(SUMPRODUCT('ANALYSE - ERP =&gt; SOUS-SEGMENT'!$BG$8:$BG$150*'ANALYSE - ERP =&gt; SOUS-SEGMENT'!$Q$8:$Q$150*'ANALYSE - ERP =&gt; SOUS-SEGMENT'!$JI$8:$JI$150)/SUMPRODUCT('ANALYSE - ERP =&gt; SOUS-SEGMENT'!$BG$8:$BG$150*'ANALYSE - ERP =&gt; SOUS-SEGMENT'!$Q$8:$Q$150),"")</f>
        <v>0.1170054954836449</v>
      </c>
      <c r="JG6" s="748">
        <f>IFERROR(SUMPRODUCT('ANALYSE - ERP =&gt; SOUS-SEGMENT'!$BG$8:$BG$150*'ANALYSE - ERP =&gt; SOUS-SEGMENT'!$Q$8:$Q$150*'ANALYSE - ERP =&gt; SOUS-SEGMENT'!$JJ$8:$JJ$150)/SUMPRODUCT('ANALYSE - ERP =&gt; SOUS-SEGMENT'!$BG$8:$BG$150*'ANALYSE - ERP =&gt; SOUS-SEGMENT'!$Q$8:$Q$150),"")</f>
        <v>0.5130523461259876</v>
      </c>
      <c r="JH6" s="748">
        <f>IFERROR(SUMPRODUCT('ANALYSE - ERP =&gt; SOUS-SEGMENT'!$BG$8:$BG$150*'ANALYSE - ERP =&gt; SOUS-SEGMENT'!$Q$8:$Q$150*'ANALYSE - ERP =&gt; SOUS-SEGMENT'!$JK$8:$JK$150)/SUMPRODUCT('ANALYSE - ERP =&gt; SOUS-SEGMENT'!$BG$8:$BG$150*'ANALYSE - ERP =&gt; SOUS-SEGMENT'!$Q$8:$Q$150),"")</f>
        <v>0.29778804815814497</v>
      </c>
      <c r="JI6" s="748">
        <f>IFERROR(SUMPRODUCT('ANALYSE - ERP =&gt; SOUS-SEGMENT'!$BG$8:$BG$150*'ANALYSE - ERP =&gt; SOUS-SEGMENT'!$Q$8:$Q$150*'ANALYSE - ERP =&gt; SOUS-SEGMENT'!$JL$8:$JL$150)/SUMPRODUCT('ANALYSE - ERP =&gt; SOUS-SEGMENT'!$BG$8:$BG$150*'ANALYSE - ERP =&gt; SOUS-SEGMENT'!$Q$8:$Q$150),"")</f>
        <v>4.3396753265816171E-2</v>
      </c>
      <c r="JJ6" s="749">
        <f>IFERROR(SUMPRODUCT('ANALYSE - ERP =&gt; SOUS-SEGMENT'!$BG$8:$BG$150*'ANALYSE - ERP =&gt; SOUS-SEGMENT'!$Q$8:$Q$150*'ANALYSE - ERP =&gt; SOUS-SEGMENT'!$JM$8:$JM$150)/SUMPRODUCT('ANALYSE - ERP =&gt; SOUS-SEGMENT'!$BG$8:$BG$150*'ANALYSE - ERP =&gt; SOUS-SEGMENT'!$Q$8:$Q$150),"")</f>
        <v>3.3951424459846792E-3</v>
      </c>
      <c r="JK6" s="748">
        <f>IFERROR(SUMPRODUCT('ANALYSE - ERP =&gt; SOUS-SEGMENT'!$FG$8:$FG$150*'ANALYSE - ERP =&gt; SOUS-SEGMENT'!$Q$8:$Q$150*'ANALYSE - ERP =&gt; SOUS-SEGMENT'!$JN$8:$JN$150)/SUMPRODUCT('ANALYSE - ERP =&gt; SOUS-SEGMENT'!$FG$8:$FG$150*'ANALYSE - ERP =&gt; SOUS-SEGMENT'!$Q$8:$Q$150),"")</f>
        <v>6.4594907226919004E-2</v>
      </c>
      <c r="JL6" s="748">
        <f>IFERROR(SUMPRODUCT('ANALYSE - ERP =&gt; SOUS-SEGMENT'!$FG$8:$FG$150*'ANALYSE - ERP =&gt; SOUS-SEGMENT'!$Q$8:$Q$150*'ANALYSE - ERP =&gt; SOUS-SEGMENT'!$JO$8:$JO$150)/SUMPRODUCT('ANALYSE - ERP =&gt; SOUS-SEGMENT'!$FG$8:$FG$150*'ANALYSE - ERP =&gt; SOUS-SEGMENT'!$Q$8:$Q$150),"")</f>
        <v>0.45831558968893149</v>
      </c>
      <c r="JM6" s="748">
        <f>IFERROR(SUMPRODUCT('ANALYSE - ERP =&gt; SOUS-SEGMENT'!$FG$8:$FG$150*'ANALYSE - ERP =&gt; SOUS-SEGMENT'!$Q$8:$Q$150*'ANALYSE - ERP =&gt; SOUS-SEGMENT'!$JP$8:$JP$150)/SUMPRODUCT('ANALYSE - ERP =&gt; SOUS-SEGMENT'!$FG$8:$FG$150*'ANALYSE - ERP =&gt; SOUS-SEGMENT'!$Q$8:$Q$150),"")</f>
        <v>0.371696439371341</v>
      </c>
      <c r="JN6" s="748">
        <f>IFERROR(SUMPRODUCT('ANALYSE - ERP =&gt; SOUS-SEGMENT'!$FG$8:$FG$150*'ANALYSE - ERP =&gt; SOUS-SEGMENT'!$Q$8:$Q$150*'ANALYSE - ERP =&gt; SOUS-SEGMENT'!$JQ$8:$JQ$150)/SUMPRODUCT('ANALYSE - ERP =&gt; SOUS-SEGMENT'!$FG$8:$FG$150*'ANALYSE - ERP =&gt; SOUS-SEGMENT'!$Q$8:$Q$150),"")</f>
        <v>7.6329996215464643E-2</v>
      </c>
      <c r="JO6" s="748">
        <f>IFERROR(SUMPRODUCT('ANALYSE - ERP =&gt; SOUS-SEGMENT'!$FG$8:$FG$150*'ANALYSE - ERP =&gt; SOUS-SEGMENT'!$Q$8:$Q$150*'ANALYSE - ERP =&gt; SOUS-SEGMENT'!$JR$8:$JR$150)/SUMPRODUCT('ANALYSE - ERP =&gt; SOUS-SEGMENT'!$FG$8:$FG$150*'ANALYSE - ERP =&gt; SOUS-SEGMENT'!$Q$8:$Q$150),"")</f>
        <v>8.4193892455794884E-3</v>
      </c>
      <c r="JP6" s="771">
        <f>IFERROR(SUMPRODUCT('ANALYSE - ERP =&gt; SOUS-SEGMENT'!$BH$8:$BH$150*'ANALYSE - ERP =&gt; SOUS-SEGMENT'!$Q$8:$Q$150*'ANALYSE - ERP =&gt; SOUS-SEGMENT'!$JS$8:$JS$150)/SUMPRODUCT('ANALYSE - ERP =&gt; SOUS-SEGMENT'!$BH$8:$BH$150*'ANALYSE - ERP =&gt; SOUS-SEGMENT'!$Q$8:$Q$150),"")</f>
        <v>5.9077885391817943E-2</v>
      </c>
      <c r="JQ6" s="748">
        <f>IFERROR(SUMPRODUCT('ANALYSE - ERP =&gt; SOUS-SEGMENT'!$BH$8:$BH$150*'ANALYSE - ERP =&gt; SOUS-SEGMENT'!$Q$8:$Q$150*'ANALYSE - ERP =&gt; SOUS-SEGMENT'!$JT$8:$JT$150)/SUMPRODUCT('ANALYSE - ERP =&gt; SOUS-SEGMENT'!$BH$8:$BH$150*'ANALYSE - ERP =&gt; SOUS-SEGMENT'!$Q$8:$Q$150),"")</f>
        <v>0.40153368414786711</v>
      </c>
      <c r="JR6" s="748">
        <f>IFERROR(SUMPRODUCT('ANALYSE - ERP =&gt; SOUS-SEGMENT'!$BH$8:$BH$150*'ANALYSE - ERP =&gt; SOUS-SEGMENT'!$Q$8:$Q$150*'ANALYSE - ERP =&gt; SOUS-SEGMENT'!$JU$8:$JU$150)/SUMPRODUCT('ANALYSE - ERP =&gt; SOUS-SEGMENT'!$BH$8:$BH$150*'ANALYSE - ERP =&gt; SOUS-SEGMENT'!$Q$8:$Q$150),"")</f>
        <v>0.4243628193890247</v>
      </c>
      <c r="JS6" s="748">
        <f>IFERROR(SUMPRODUCT('ANALYSE - ERP =&gt; SOUS-SEGMENT'!$BH$8:$BH$150*'ANALYSE - ERP =&gt; SOUS-SEGMENT'!$Q$8:$Q$150*'ANALYSE - ERP =&gt; SOUS-SEGMENT'!$JV$8:$JV$150)/SUMPRODUCT('ANALYSE - ERP =&gt; SOUS-SEGMENT'!$BH$8:$BH$150*'ANALYSE - ERP =&gt; SOUS-SEGMENT'!$Q$8:$Q$150),"")</f>
        <v>0.10936078233221848</v>
      </c>
      <c r="JT6" s="749">
        <f>IFERROR(SUMPRODUCT('ANALYSE - ERP =&gt; SOUS-SEGMENT'!$BH$8:$BH$150*'ANALYSE - ERP =&gt; SOUS-SEGMENT'!$Q$8:$Q$150*'ANALYSE - ERP =&gt; SOUS-SEGMENT'!$JW$8:$JW$150)/SUMPRODUCT('ANALYSE - ERP =&gt; SOUS-SEGMENT'!$BH$8:$BH$150*'ANALYSE - ERP =&gt; SOUS-SEGMENT'!$Q$8:$Q$150),"")</f>
        <v>5.6656438058027767E-3</v>
      </c>
      <c r="JU6" s="771">
        <f>IFERROR(SUMPRODUCT('ANALYSE - ERP =&gt; SOUS-SEGMENT'!$FJ$8:$FJ$150*'ANALYSE - ERP =&gt; SOUS-SEGMENT'!$Q$8:$Q$150*'ANALYSE - ERP =&gt; SOUS-SEGMENT'!$JX$8:$JX$150)/SUMPRODUCT('ANALYSE - ERP =&gt; SOUS-SEGMENT'!$FJ$8:$FJ$150*'ANALYSE - ERP =&gt; SOUS-SEGMENT'!$Q$8:$Q$150),"")</f>
        <v>2.9634066629020982E-2</v>
      </c>
      <c r="JV6" s="748">
        <f>IFERROR(SUMPRODUCT('ANALYSE - ERP =&gt; SOUS-SEGMENT'!$FJ$8:$FJ$150*'ANALYSE - ERP =&gt; SOUS-SEGMENT'!$Q$8:$Q$150*'ANALYSE - ERP =&gt; SOUS-SEGMENT'!$JY$8:$JY$150)/SUMPRODUCT('ANALYSE - ERP =&gt; SOUS-SEGMENT'!$FJ$8:$FJ$150*'ANALYSE - ERP =&gt; SOUS-SEGMENT'!$Q$8:$Q$150),"")</f>
        <v>0.32102592222107634</v>
      </c>
      <c r="JW6" s="748">
        <f>IFERROR(SUMPRODUCT('ANALYSE - ERP =&gt; SOUS-SEGMENT'!$FJ$8:$FJ$150*'ANALYSE - ERP =&gt; SOUS-SEGMENT'!$Q$8:$Q$150*'ANALYSE - ERP =&gt; SOUS-SEGMENT'!$JZ$8:$JZ$150)/SUMPRODUCT('ANALYSE - ERP =&gt; SOUS-SEGMENT'!$FJ$8:$FJ$150*'ANALYSE - ERP =&gt; SOUS-SEGMENT'!$Q$8:$Q$150),"")</f>
        <v>0.46675473999022593</v>
      </c>
      <c r="JX6" s="748">
        <f>IFERROR(SUMPRODUCT('ANALYSE - ERP =&gt; SOUS-SEGMENT'!$FJ$8:$FJ$150*'ANALYSE - ERP =&gt; SOUS-SEGMENT'!$Q$8:$Q$150*'ANALYSE - ERP =&gt; SOUS-SEGMENT'!$KA$8:$KA$150)/SUMPRODUCT('ANALYSE - ERP =&gt; SOUS-SEGMENT'!$FJ$8:$FJ$150*'ANALYSE - ERP =&gt; SOUS-SEGMENT'!$Q$8:$Q$150),"")</f>
        <v>0.16681195506446225</v>
      </c>
      <c r="JY6" s="775">
        <f>IFERROR(SUMPRODUCT('ANALYSE - ERP =&gt; SOUS-SEGMENT'!$FJ$8:$FJ$150*'ANALYSE - ERP =&gt; SOUS-SEGMENT'!$Q$8:$Q$150*'ANALYSE - ERP =&gt; SOUS-SEGMENT'!$KB$8:$KB$150)/SUMPRODUCT('ANALYSE - ERP =&gt; SOUS-SEGMENT'!$FJ$8:$FJ$150*'ANALYSE - ERP =&gt; SOUS-SEGMENT'!$Q$8:$Q$150),"")</f>
        <v>1.5773316095214339E-2</v>
      </c>
      <c r="JZ6" s="110"/>
      <c r="KA6" s="345" t="s">
        <v>2590</v>
      </c>
      <c r="KB6" s="348" t="s">
        <v>2591</v>
      </c>
      <c r="KC6" s="345">
        <f>IFERROR(SUMPRODUCT('ANALYSE - ERP =&gt; SOUS-SEGMENT'!$EX$8:$EX$150*'ANALYSE - ERP =&gt; SOUS-SEGMENT'!$Q$8:$Q$150*'ANALYSE - ERP =&gt; SOUS-SEGMENT'!$KF$8:$KF$150)/SUMPRODUCT('ANALYSE - ERP =&gt; SOUS-SEGMENT'!$EX$8:$EX$150*'ANALYSE - ERP =&gt; SOUS-SEGMENT'!$Q$8:$Q$150),"")</f>
        <v>4.2052526757447941</v>
      </c>
      <c r="KD6" s="346" t="s">
        <v>2589</v>
      </c>
      <c r="KE6" s="349" t="s">
        <v>2592</v>
      </c>
      <c r="KF6" s="350" t="s">
        <v>2593</v>
      </c>
      <c r="KG6" s="349" t="s">
        <v>2594</v>
      </c>
    </row>
    <row r="7" spans="1:293" s="43" customFormat="1" ht="12.75" customHeight="1">
      <c r="A7" s="329"/>
      <c r="B7" s="329"/>
      <c r="C7" s="329"/>
      <c r="D7" s="330"/>
      <c r="E7" s="331"/>
      <c r="F7" s="331"/>
      <c r="G7" s="329"/>
      <c r="H7" s="329"/>
      <c r="I7" s="328"/>
      <c r="J7" s="328"/>
      <c r="K7" s="332"/>
      <c r="L7" s="332"/>
      <c r="M7" s="328"/>
      <c r="N7" s="332"/>
      <c r="O7" s="331"/>
      <c r="P7" s="328"/>
      <c r="Q7" s="108" t="s">
        <v>2595</v>
      </c>
      <c r="R7" s="325"/>
      <c r="S7" s="743"/>
      <c r="T7" s="326">
        <f>(T6/S6)^(1/(T4-S4))-1</f>
        <v>5.4449103660332288E-3</v>
      </c>
      <c r="U7" s="326">
        <f>(U6/T6)^(1/(U4-T4))-1</f>
        <v>5.1859193373025025E-3</v>
      </c>
      <c r="V7" s="326">
        <f>(V6/U6)^(1/(V4-U4))-1</f>
        <v>5.4659961355008058E-3</v>
      </c>
      <c r="W7" s="326">
        <f t="shared" ref="W7:AK7" si="1">W6/V6-1</f>
        <v>4.5965725055767681E-3</v>
      </c>
      <c r="X7" s="326">
        <f t="shared" si="1"/>
        <v>4.0064680761737748E-3</v>
      </c>
      <c r="Y7" s="326">
        <f t="shared" si="1"/>
        <v>6.4896350417424919E-3</v>
      </c>
      <c r="Z7" s="326">
        <f t="shared" si="1"/>
        <v>6.0453114349703352E-3</v>
      </c>
      <c r="AA7" s="326">
        <f t="shared" si="1"/>
        <v>-1.3919874819528832E-2</v>
      </c>
      <c r="AB7" s="326">
        <f t="shared" si="1"/>
        <v>-6.331019048678721E-4</v>
      </c>
      <c r="AC7" s="326">
        <f t="shared" si="1"/>
        <v>1.0787557150317095E-2</v>
      </c>
      <c r="AD7" s="326">
        <f t="shared" si="1"/>
        <v>7.4674604318527571E-3</v>
      </c>
      <c r="AE7" s="326">
        <f t="shared" si="1"/>
        <v>7.8220193219631362E-3</v>
      </c>
      <c r="AF7" s="326">
        <f t="shared" si="1"/>
        <v>3.4181027057720303E-3</v>
      </c>
      <c r="AG7" s="326">
        <f t="shared" si="1"/>
        <v>2.8707723267720198E-3</v>
      </c>
      <c r="AH7" s="326">
        <f t="shared" si="1"/>
        <v>3.048002472638478E-3</v>
      </c>
      <c r="AI7" s="326">
        <f t="shared" si="1"/>
        <v>2.736920616660532E-3</v>
      </c>
      <c r="AJ7" s="326">
        <f t="shared" si="1"/>
        <v>2.1384896621281513E-3</v>
      </c>
      <c r="AK7" s="326">
        <f t="shared" si="1"/>
        <v>1.9326421529852755E-3</v>
      </c>
      <c r="AL7" s="323"/>
      <c r="AM7" s="323"/>
      <c r="AN7" s="323"/>
      <c r="AO7" s="111"/>
      <c r="AP7" s="323"/>
      <c r="AQ7" s="323"/>
      <c r="AR7" s="323"/>
      <c r="AS7" s="323"/>
      <c r="AT7" s="111"/>
      <c r="AU7" s="323"/>
      <c r="AV7" s="323"/>
      <c r="AW7" s="323"/>
      <c r="AX7" s="111"/>
      <c r="AY7" s="323"/>
      <c r="AZ7" s="323"/>
      <c r="BA7" s="323"/>
      <c r="BC7" s="323"/>
      <c r="BD7" s="323"/>
      <c r="BE7" s="323"/>
      <c r="BF7" s="743" t="s">
        <v>6738</v>
      </c>
      <c r="BG7" s="327">
        <f>(BG6/BC6)^(1/(2030-2025))-1</f>
        <v>1.6674331968427047E-3</v>
      </c>
      <c r="BH7" s="324">
        <f>(BH6/BD6)^(1/(2030-2025))-1</f>
        <v>3.2616771745495043E-3</v>
      </c>
      <c r="BI7" s="324">
        <f>(BI6/BE6)^(1/(2030-2025))-1</f>
        <v>2.5761144919038692E-3</v>
      </c>
      <c r="BJ7" s="324">
        <f>(BJ6/BF6)^(1/(2030-2025))-1</f>
        <v>1.6414035459468845E-3</v>
      </c>
      <c r="BK7" s="111"/>
      <c r="BL7" s="49"/>
      <c r="BM7" s="49"/>
      <c r="BN7" s="49"/>
      <c r="BO7" s="49"/>
      <c r="BP7" s="49"/>
      <c r="BQ7" s="49"/>
      <c r="BR7" s="49"/>
      <c r="BS7" s="49"/>
      <c r="BT7" s="49"/>
      <c r="BU7" s="49"/>
      <c r="BV7" s="49"/>
      <c r="BW7" s="49"/>
      <c r="BX7" s="49"/>
      <c r="BY7" s="49"/>
      <c r="BZ7" s="49"/>
      <c r="CA7" s="49"/>
      <c r="CB7" s="49"/>
      <c r="CC7" s="49"/>
      <c r="CD7" s="49"/>
      <c r="CE7" s="49"/>
      <c r="CF7" s="49"/>
      <c r="CG7" s="49"/>
      <c r="CH7" s="49"/>
      <c r="CI7" s="49"/>
      <c r="CJ7" s="49"/>
      <c r="CK7" s="49"/>
      <c r="CL7" s="49"/>
      <c r="CM7" s="49"/>
      <c r="CN7" s="111"/>
      <c r="CO7" s="49"/>
      <c r="CP7" s="49"/>
      <c r="CQ7" s="49"/>
      <c r="CR7" s="49"/>
      <c r="CS7" s="49"/>
      <c r="CT7" s="49"/>
      <c r="CU7" s="49"/>
      <c r="CV7" s="49"/>
      <c r="CW7" s="49"/>
      <c r="CX7" s="49"/>
      <c r="CY7" s="49"/>
      <c r="CZ7" s="49"/>
      <c r="DA7" s="49"/>
      <c r="DB7" s="49"/>
      <c r="DC7" s="681"/>
      <c r="DD7" s="111"/>
      <c r="DE7" s="754" t="e">
        <f>DE6/SUM(DE6:DH6)</f>
        <v>#VALUE!</v>
      </c>
      <c r="DF7" s="754" t="e">
        <f>DF6/SUM(DE6:DH6)</f>
        <v>#VALUE!</v>
      </c>
      <c r="DG7" s="754" t="e">
        <f>DG6/SUM(DE6:DH6)</f>
        <v>#VALUE!</v>
      </c>
      <c r="DH7" s="754" t="e">
        <f>DH6/SUM(DE6:DH6)</f>
        <v>#VALUE!</v>
      </c>
      <c r="DI7" s="755" t="s">
        <v>2597</v>
      </c>
      <c r="DJ7" s="754" t="e">
        <f>DJ6/SUM(DJ6:DM6)</f>
        <v>#VALUE!</v>
      </c>
      <c r="DK7" s="754" t="e">
        <f>DK6/SUM(DJ6:DM6)</f>
        <v>#VALUE!</v>
      </c>
      <c r="DL7" s="754" t="e">
        <f>DL6/SUM(DJ6:DM6)</f>
        <v>#VALUE!</v>
      </c>
      <c r="DM7" s="754" t="e">
        <f>DM6/SUM(DJ6:DM6)</f>
        <v>#VALUE!</v>
      </c>
      <c r="DN7" s="229"/>
      <c r="DO7" s="111"/>
      <c r="DP7" s="754">
        <f>DP6/SUM(DP6:DR6)</f>
        <v>0.69376412198470994</v>
      </c>
      <c r="DQ7" s="754">
        <f>DQ6/SUM(DP6:DR6)</f>
        <v>0.23603500843798056</v>
      </c>
      <c r="DR7" s="754">
        <f>DR6/SUM(DP6:DR6)</f>
        <v>7.0200869577309408E-2</v>
      </c>
      <c r="DS7" s="755" t="s">
        <v>2597</v>
      </c>
      <c r="DT7" s="754">
        <f>DT6/SUM(DT6:DV6)</f>
        <v>0.65582096117502764</v>
      </c>
      <c r="DU7" s="754">
        <f>DU6/SUM(DT6:DV6)</f>
        <v>0.25516926673400731</v>
      </c>
      <c r="DV7" s="754">
        <f>DV6/SUM(DT6:DV6)</f>
        <v>8.9009772090964959E-2</v>
      </c>
      <c r="DW7" s="229"/>
      <c r="DX7" s="111"/>
      <c r="DY7" s="754">
        <f>DY6/SUM(DY6:EB6)</f>
        <v>0.12488965080821275</v>
      </c>
      <c r="DZ7" s="754">
        <f>DZ6/SUM(DY6:EB6)</f>
        <v>0.51333260312008056</v>
      </c>
      <c r="EA7" s="754">
        <f>EA6/SUM(DY6:EB6)</f>
        <v>0.17736146013188031</v>
      </c>
      <c r="EB7" s="754">
        <f>EB6/SUM(DY6:EB6)</f>
        <v>0.1844162859398264</v>
      </c>
      <c r="EC7" s="755" t="s">
        <v>2597</v>
      </c>
      <c r="ED7" s="754">
        <f>ED6/SUM(ED6:EG6)</f>
        <v>0.10115741142460957</v>
      </c>
      <c r="EE7" s="754">
        <f>EE6/SUM(ED6:EG6)</f>
        <v>0.50261210618470686</v>
      </c>
      <c r="EF7" s="754">
        <f>EF6/SUM(ED6:EG6)</f>
        <v>0.20831061024477951</v>
      </c>
      <c r="EG7" s="754">
        <f>EG6/SUM(ED6:EG6)</f>
        <v>0.18791987214590405</v>
      </c>
      <c r="EH7" s="229"/>
      <c r="EI7" s="111"/>
      <c r="EJ7" s="754" t="e">
        <f>EJ6/SUM(EI6:EL6)</f>
        <v>#VALUE!</v>
      </c>
      <c r="EK7" s="754" t="e">
        <f>EK6/SUM(EI6:EL6)</f>
        <v>#VALUE!</v>
      </c>
      <c r="EL7" s="754" t="e">
        <f>EL6/SUM(EI6:EL6)</f>
        <v>#VALUE!</v>
      </c>
      <c r="EM7" s="755" t="s">
        <v>2597</v>
      </c>
      <c r="EN7" s="754" t="e">
        <f>EN6/SUM(EN6:EP6)</f>
        <v>#VALUE!</v>
      </c>
      <c r="EO7" s="754" t="e">
        <f>EO6/SUM(EN6:EP6)</f>
        <v>#VALUE!</v>
      </c>
      <c r="EP7" s="754" t="e">
        <f>EP6/SUM(EN6:EP6)</f>
        <v>#VALUE!</v>
      </c>
      <c r="EQ7" s="229"/>
      <c r="ER7" s="111"/>
      <c r="ES7" s="756"/>
      <c r="ET7" s="756"/>
      <c r="EU7" s="757" t="s">
        <v>2598</v>
      </c>
      <c r="EV7" s="758">
        <f>EV6/EU6</f>
        <v>0.79649155300432295</v>
      </c>
      <c r="EW7" s="759">
        <f>EW6/EU6</f>
        <v>0.20350844699567697</v>
      </c>
      <c r="EX7" s="230"/>
      <c r="EY7" s="758">
        <f>EY6/EX6</f>
        <v>1.2482848630644467</v>
      </c>
      <c r="EZ7" s="759">
        <f>EZ6/EX6</f>
        <v>0.32057230515251378</v>
      </c>
      <c r="FA7" s="230"/>
      <c r="FB7" s="758">
        <f>FB6/FA6</f>
        <v>2.624227708342822</v>
      </c>
      <c r="FC7" s="759">
        <f>FC6/FA6</f>
        <v>0.62038393779288659</v>
      </c>
      <c r="FD7" s="230"/>
      <c r="FE7" s="758">
        <f>FE6/FD6</f>
        <v>1.5187450655254966</v>
      </c>
      <c r="FF7" s="759">
        <f>FF6/FD6</f>
        <v>0.38351303401704318</v>
      </c>
      <c r="FG7" s="230"/>
      <c r="FH7" s="758">
        <f>FH6/FG6</f>
        <v>1.2735711670249743</v>
      </c>
      <c r="FI7" s="760">
        <f>FI6/FG6</f>
        <v>0.33488368043632294</v>
      </c>
      <c r="FJ7" s="111"/>
      <c r="FK7" s="761"/>
      <c r="FL7" s="761"/>
      <c r="FM7" s="761"/>
      <c r="FN7" s="761"/>
      <c r="FO7" s="111"/>
      <c r="FP7" s="166"/>
      <c r="FQ7" s="166"/>
      <c r="FR7" s="166"/>
      <c r="FS7" s="166"/>
      <c r="FT7" s="166"/>
      <c r="FU7" s="166"/>
      <c r="FV7" s="111"/>
      <c r="FW7" s="166"/>
      <c r="FX7" s="166"/>
      <c r="FY7" s="166"/>
      <c r="FZ7" s="166"/>
      <c r="GA7" s="166"/>
      <c r="GB7" s="166"/>
      <c r="GC7" s="166"/>
      <c r="GD7" s="166"/>
      <c r="GE7" s="757" t="s">
        <v>2598</v>
      </c>
      <c r="GF7" s="758">
        <f>GF6/GE6</f>
        <v>0.82140407987833064</v>
      </c>
      <c r="GG7" s="759">
        <f>GG6/GE6</f>
        <v>0.17859592012166928</v>
      </c>
      <c r="GH7" s="166"/>
      <c r="GI7" s="758">
        <f>GI6/GH6</f>
        <v>0.79355488707385258</v>
      </c>
      <c r="GJ7" s="759">
        <f>GJ6/GH6</f>
        <v>0.20644511292614745</v>
      </c>
      <c r="GK7" s="166"/>
      <c r="GL7" s="758">
        <f>GL6/GK6</f>
        <v>0.81098494835873081</v>
      </c>
      <c r="GM7" s="759">
        <f>GM6/GK6</f>
        <v>0.1890150516412695</v>
      </c>
      <c r="GN7" s="166"/>
      <c r="GO7" s="758">
        <f>GO6/GN6</f>
        <v>0.83139363945568545</v>
      </c>
      <c r="GP7" s="759">
        <f>GP6/GN6</f>
        <v>0.16860636054431447</v>
      </c>
      <c r="GQ7" s="166"/>
      <c r="GR7" s="758">
        <f>GR6/GQ6</f>
        <v>0.81759998681001655</v>
      </c>
      <c r="GS7" s="759">
        <f>GS6/GQ6</f>
        <v>0.18240001318998364</v>
      </c>
      <c r="GT7" s="166"/>
      <c r="GU7" s="758">
        <f>GU6/GT6</f>
        <v>0.79054947794664054</v>
      </c>
      <c r="GV7" s="759">
        <f>GV6/GT6</f>
        <v>0.20945052205335926</v>
      </c>
      <c r="GW7" s="166"/>
      <c r="GX7" s="758">
        <f>GX6/GW6</f>
        <v>0.8032049971583286</v>
      </c>
      <c r="GY7" s="759">
        <f>GY6/GW6</f>
        <v>0.19679500284167134</v>
      </c>
      <c r="GZ7" s="166"/>
      <c r="HA7" s="758">
        <f>HA6/GZ6</f>
        <v>0.84933343414320817</v>
      </c>
      <c r="HB7" s="759">
        <f>HB6/GZ6</f>
        <v>0.15066656585679203</v>
      </c>
      <c r="HC7" s="166"/>
      <c r="HD7" s="758">
        <f>HD6/HC6</f>
        <v>0.80154531892605341</v>
      </c>
      <c r="HE7" s="759">
        <f>HE6/HC6</f>
        <v>0.19845468107394659</v>
      </c>
      <c r="HF7" s="166"/>
      <c r="HG7" s="758">
        <f>HG6/HF6</f>
        <v>0.82225101163429493</v>
      </c>
      <c r="HH7" s="759">
        <f>HH6/HF6</f>
        <v>0.1777489883657048</v>
      </c>
      <c r="HI7" s="166"/>
      <c r="HJ7" s="758">
        <f>HJ6/HI6</f>
        <v>0.83282992213527485</v>
      </c>
      <c r="HK7" s="759">
        <f>HK6/HI6</f>
        <v>0.16717007786472524</v>
      </c>
      <c r="HL7" s="166"/>
      <c r="HM7" s="758">
        <f>HM6/HL6</f>
        <v>0.81601134539790909</v>
      </c>
      <c r="HN7" s="759">
        <f>HN6/HL6</f>
        <v>0.18398865460209071</v>
      </c>
      <c r="HO7" s="166"/>
      <c r="HP7" s="758">
        <f>HP6/HO6</f>
        <v>0.77257335081288947</v>
      </c>
      <c r="HQ7" s="759">
        <f>HQ6/HO6</f>
        <v>0.22742664918711095</v>
      </c>
      <c r="HR7" s="166"/>
      <c r="HS7" s="758">
        <f>HS6/HR6</f>
        <v>0.80184496718350939</v>
      </c>
      <c r="HT7" s="759">
        <f>HT6/HR6</f>
        <v>0.19815503281649044</v>
      </c>
      <c r="HU7" s="250"/>
      <c r="HV7" s="757" t="s">
        <v>2598</v>
      </c>
      <c r="HW7" s="762">
        <f>HW6/HV6</f>
        <v>6.4513040832128096E-2</v>
      </c>
      <c r="HX7" s="763">
        <f>HX6/HV6</f>
        <v>0.40813145182208255</v>
      </c>
      <c r="HY7" s="764">
        <f>HY6/HV6</f>
        <v>0.41339055707579875</v>
      </c>
      <c r="HZ7" s="765">
        <f>HZ6/HV6</f>
        <v>0.10741964306202959</v>
      </c>
      <c r="IA7" s="766">
        <f>IA6/HV6</f>
        <v>6.5453072079610418E-3</v>
      </c>
      <c r="IB7" s="757"/>
      <c r="IC7" s="762">
        <f>IC6/IB6</f>
        <v>3.4266090511046322E-2</v>
      </c>
      <c r="ID7" s="763">
        <f>ID6/IB6</f>
        <v>0.33389195816574146</v>
      </c>
      <c r="IE7" s="764">
        <f>IE6/IB6</f>
        <v>0.4548369359288309</v>
      </c>
      <c r="IF7" s="765">
        <f>IF6/IB6</f>
        <v>0.16108750258790661</v>
      </c>
      <c r="IG7" s="766">
        <f>IG6/IB6</f>
        <v>1.5917512806473751E-2</v>
      </c>
      <c r="IH7" s="247"/>
      <c r="II7" s="246"/>
      <c r="IJ7" s="168"/>
      <c r="IK7" s="111"/>
      <c r="IL7" s="767"/>
      <c r="IM7" s="768"/>
      <c r="IN7" s="768"/>
      <c r="IO7" s="768"/>
      <c r="IP7" s="769" t="s">
        <v>2599</v>
      </c>
      <c r="IQ7" s="860">
        <f>(IQ6-IL6)*100</f>
        <v>-2.7251049833257137</v>
      </c>
      <c r="IR7" s="861">
        <f>(IR6-IM6)*100</f>
        <v>-8.6071371100411795</v>
      </c>
      <c r="IS7" s="862">
        <f>(IS6-IN6)*100</f>
        <v>4.202652267577184</v>
      </c>
      <c r="IT7" s="863">
        <f>(IT6-IO6)*100</f>
        <v>6.1307475881070896</v>
      </c>
      <c r="IU7" s="864">
        <f>(IU6-IP6)*100</f>
        <v>0.99884223768244917</v>
      </c>
      <c r="IV7" s="767"/>
      <c r="IW7" s="768"/>
      <c r="IX7" s="768"/>
      <c r="IY7" s="768"/>
      <c r="IZ7" s="769" t="s">
        <v>2599</v>
      </c>
      <c r="JA7" s="860">
        <f>(JA6-IV6)*100</f>
        <v>-3.5362462774107817</v>
      </c>
      <c r="JB7" s="861">
        <f>(JB6-IW6)*100</f>
        <v>-4.4600072156933734</v>
      </c>
      <c r="JC7" s="862">
        <f>(JC6-IX6)*100</f>
        <v>3.2327689911609667</v>
      </c>
      <c r="JD7" s="863">
        <f>(JD6-IY6)*100</f>
        <v>3.922584425794569</v>
      </c>
      <c r="JE7" s="864">
        <f>(JE6-IZ6)*100</f>
        <v>1.0273421152837714</v>
      </c>
      <c r="JF7" s="767"/>
      <c r="JG7" s="768"/>
      <c r="JH7" s="768"/>
      <c r="JI7" s="768"/>
      <c r="JJ7" s="769" t="s">
        <v>2599</v>
      </c>
      <c r="JK7" s="860">
        <f>(JK6-JF6)*100</f>
        <v>-5.2410588256725896</v>
      </c>
      <c r="JL7" s="861">
        <f>(JL6-JG6)*100</f>
        <v>-5.4736756437056115</v>
      </c>
      <c r="JM7" s="862">
        <f>(JM6-JH6)*100</f>
        <v>7.390839121319603</v>
      </c>
      <c r="JN7" s="863">
        <f>(JN6-JI6)*100</f>
        <v>3.2933242949648474</v>
      </c>
      <c r="JO7" s="864">
        <f>(JO6-JJ6)*100</f>
        <v>0.50242467995948092</v>
      </c>
      <c r="JP7" s="767"/>
      <c r="JQ7" s="768"/>
      <c r="JR7" s="768"/>
      <c r="JS7" s="768"/>
      <c r="JT7" s="769" t="s">
        <v>2599</v>
      </c>
      <c r="JU7" s="860">
        <f>(JU6-JP6)*100</f>
        <v>-2.9443818762796963</v>
      </c>
      <c r="JV7" s="861">
        <f>(JV6-JQ6)*100</f>
        <v>-8.0507761926790771</v>
      </c>
      <c r="JW7" s="862">
        <f>(JW6-JR6)*100</f>
        <v>4.2391920601201232</v>
      </c>
      <c r="JX7" s="863">
        <f>(JX6-JS6)*100</f>
        <v>5.7451172732243778</v>
      </c>
      <c r="JY7" s="864">
        <f>(JY6-JT6)*100</f>
        <v>1.0107672289411562</v>
      </c>
      <c r="JZ7" s="111"/>
      <c r="KA7" s="245"/>
      <c r="KB7" s="245"/>
      <c r="KC7" s="247"/>
      <c r="KD7" s="246"/>
      <c r="KE7" s="249"/>
      <c r="KF7" s="247"/>
      <c r="KG7" s="249"/>
    </row>
    <row r="8" spans="1:293" ht="156.75" customHeight="1">
      <c r="A8" s="273">
        <v>1</v>
      </c>
      <c r="B8" s="482" t="s">
        <v>6739</v>
      </c>
      <c r="C8" s="482" t="s">
        <v>7554</v>
      </c>
      <c r="D8" s="482" t="s">
        <v>7555</v>
      </c>
      <c r="E8" s="275" t="s">
        <v>6788</v>
      </c>
      <c r="F8" s="275" t="s">
        <v>7556</v>
      </c>
      <c r="G8" s="275" t="s">
        <v>6790</v>
      </c>
      <c r="H8" s="275" t="s">
        <v>2117</v>
      </c>
      <c r="I8" s="296" t="s">
        <v>7557</v>
      </c>
      <c r="J8" s="296" t="s">
        <v>7558</v>
      </c>
      <c r="K8" s="277" t="s">
        <v>2117</v>
      </c>
      <c r="L8" s="277" t="s">
        <v>2109</v>
      </c>
      <c r="M8" s="277" t="s">
        <v>2603</v>
      </c>
      <c r="N8" s="277" t="s">
        <v>6742</v>
      </c>
      <c r="O8" s="277" t="s">
        <v>2212</v>
      </c>
      <c r="P8" s="276"/>
      <c r="Q8" s="270">
        <f>IF(SUMPRODUCT(('ANALYSE - ERP =&gt; SOUS-SEGMENT'!$B$8:$B$154=$B8)*'ANALYSE - ERP =&gt; SOUS-SEGMENT'!$Q$8:$Q$154)&gt;0,1,0)</f>
        <v>0</v>
      </c>
      <c r="R8" s="278" t="str">
        <f>IFERROR(SUMPRODUCT(('ANALYSE - ERP =&gt; SOUS-SEGMENT'!$B$8:$B$154=$B8)*'ANALYSE - ERP =&gt; SOUS-SEGMENT'!$Q$8:$Q$154*'ANALYSE - ERP =&gt; SOUS-SEGMENT'!$AG$8:$AG$154*'ANALYSE - ERP =&gt; SOUS-SEGMENT'!$R$8:$R$154)/SUMPRODUCT(('ANALYSE - ERP =&gt; SOUS-SEGMENT'!$B$8:$B$154=$B8)*'ANALYSE - ERP =&gt; SOUS-SEGMENT'!$Q$8:$Q$154*'ANALYSE - ERP =&gt; SOUS-SEGMENT'!$AG$8:$AG$154),"")</f>
        <v/>
      </c>
      <c r="S8" s="279">
        <f>SUMPRODUCT(('ANALYSE - ERP =&gt; SOUS-SEGMENT'!$B$8:$B$154=$B8)*'ANALYSE - ERP =&gt; SOUS-SEGMENT'!$Q$8:$Q$154*'ANALYSE - ERP =&gt; SOUS-SEGMENT'!$S$8:$S$154)</f>
        <v>0</v>
      </c>
      <c r="T8" s="279">
        <f>SUMPRODUCT(('ANALYSE - ERP =&gt; SOUS-SEGMENT'!$B$8:$B$154=$B8)*'ANALYSE - ERP =&gt; SOUS-SEGMENT'!$Q$8:$Q$154*'ANALYSE - ERP =&gt; SOUS-SEGMENT'!$T$8:$T$154)</f>
        <v>0</v>
      </c>
      <c r="U8" s="279">
        <f>SUMPRODUCT(('ANALYSE - ERP =&gt; SOUS-SEGMENT'!$B$8:$B$154=$B8)*'ANALYSE - ERP =&gt; SOUS-SEGMENT'!$Q$8:$Q$154*'ANALYSE - ERP =&gt; SOUS-SEGMENT'!$U$8:$U$154)</f>
        <v>0</v>
      </c>
      <c r="V8" s="279">
        <f>SUMPRODUCT(('ANALYSE - ERP =&gt; SOUS-SEGMENT'!$B$8:$B$154=$B8)*'ANALYSE - ERP =&gt; SOUS-SEGMENT'!$Q$8:$Q$154*'ANALYSE - ERP =&gt; SOUS-SEGMENT'!$V$8:$V$154)</f>
        <v>0</v>
      </c>
      <c r="W8" s="279">
        <f>SUMPRODUCT(('ANALYSE - ERP =&gt; SOUS-SEGMENT'!$B$8:$B$154=$B8)*'ANALYSE - ERP =&gt; SOUS-SEGMENT'!$Q$8:$Q$154*'ANALYSE - ERP =&gt; SOUS-SEGMENT'!$W$8:$W$154)</f>
        <v>0</v>
      </c>
      <c r="X8" s="279">
        <f>SUMPRODUCT(('ANALYSE - ERP =&gt; SOUS-SEGMENT'!$B$8:$B$154=$B8)*'ANALYSE - ERP =&gt; SOUS-SEGMENT'!$Q$8:$Q$154*'ANALYSE - ERP =&gt; SOUS-SEGMENT'!$X$8:$X$154)</f>
        <v>0</v>
      </c>
      <c r="Y8" s="279">
        <f>SUMPRODUCT(('ANALYSE - ERP =&gt; SOUS-SEGMENT'!$B$8:$B$154=$B8)*'ANALYSE - ERP =&gt; SOUS-SEGMENT'!$Q$8:$Q$154*'ANALYSE - ERP =&gt; SOUS-SEGMENT'!$Y$8:$Y$154)</f>
        <v>0</v>
      </c>
      <c r="Z8" s="279">
        <f>SUMPRODUCT(('ANALYSE - ERP =&gt; SOUS-SEGMENT'!$B$8:$B$154=$B8)*'ANALYSE - ERP =&gt; SOUS-SEGMENT'!$Q$8:$Q$154*'ANALYSE - ERP =&gt; SOUS-SEGMENT'!$Z$8:$Z$154)</f>
        <v>0</v>
      </c>
      <c r="AA8" s="279">
        <f>SUMPRODUCT(('ANALYSE - ERP =&gt; SOUS-SEGMENT'!$B$8:$B$154=$B8)*'ANALYSE - ERP =&gt; SOUS-SEGMENT'!$Q$8:$Q$154*'ANALYSE - ERP =&gt; SOUS-SEGMENT'!$AA$8:$AA$154)</f>
        <v>0</v>
      </c>
      <c r="AB8" s="279">
        <f>SUMPRODUCT(('ANALYSE - ERP =&gt; SOUS-SEGMENT'!$B$8:$B$154=$B8)*'ANALYSE - ERP =&gt; SOUS-SEGMENT'!$Q$8:$Q$154*'ANALYSE - ERP =&gt; SOUS-SEGMENT'!$AB$8:$AB$154)</f>
        <v>0</v>
      </c>
      <c r="AC8" s="279">
        <f>SUMPRODUCT(('ANALYSE - ERP =&gt; SOUS-SEGMENT'!$B$8:$B$154=$B8)*'ANALYSE - ERP =&gt; SOUS-SEGMENT'!$Q$8:$Q$154*'ANALYSE - ERP =&gt; SOUS-SEGMENT'!$AC$8:$AC$154)</f>
        <v>0</v>
      </c>
      <c r="AD8" s="279">
        <f>SUMPRODUCT(('ANALYSE - ERP =&gt; SOUS-SEGMENT'!$B$8:$B$154=$B8)*'ANALYSE - ERP =&gt; SOUS-SEGMENT'!$Q$8:$Q$154*'ANALYSE - ERP =&gt; SOUS-SEGMENT'!$AD$8:$AD$154)</f>
        <v>0</v>
      </c>
      <c r="AE8" s="279">
        <f>SUMPRODUCT(('ANALYSE - ERP =&gt; SOUS-SEGMENT'!$B$8:$B$154=$B8)*'ANALYSE - ERP =&gt; SOUS-SEGMENT'!$Q$8:$Q$154*'ANALYSE - ERP =&gt; SOUS-SEGMENT'!$AE$8:$AE$154)</f>
        <v>0</v>
      </c>
      <c r="AF8" s="279">
        <f>SUMPRODUCT(('ANALYSE - ERP =&gt; SOUS-SEGMENT'!$B$8:$B$154=$B8)*'ANALYSE - ERP =&gt; SOUS-SEGMENT'!$Q$8:$Q$154*'ANALYSE - ERP =&gt; SOUS-SEGMENT'!$AF$8:$AF$154)</f>
        <v>0</v>
      </c>
      <c r="AG8" s="279">
        <f>SUMPRODUCT(('ANALYSE - ERP =&gt; SOUS-SEGMENT'!$B$8:$B$154=$B8)*'ANALYSE - ERP =&gt; SOUS-SEGMENT'!$Q$8:$Q$154*'ANALYSE - ERP =&gt; SOUS-SEGMENT'!$AG$8:$AG$154)</f>
        <v>0</v>
      </c>
      <c r="AH8" s="279">
        <f>SUMPRODUCT(('ANALYSE - ERP =&gt; SOUS-SEGMENT'!$B$8:$B$154=$B8)*'ANALYSE - ERP =&gt; SOUS-SEGMENT'!$Q$8:$Q$154*'ANALYSE - ERP =&gt; SOUS-SEGMENT'!$AH$8:$AH$154)</f>
        <v>0</v>
      </c>
      <c r="AI8" s="279">
        <f>SUMPRODUCT(('ANALYSE - ERP =&gt; SOUS-SEGMENT'!$B$8:$B$154=$B8)*'ANALYSE - ERP =&gt; SOUS-SEGMENT'!$Q$8:$Q$154*'ANALYSE - ERP =&gt; SOUS-SEGMENT'!$AI$8:$AI$154)</f>
        <v>0</v>
      </c>
      <c r="AJ8" s="279">
        <f>SUMPRODUCT(('ANALYSE - ERP =&gt; SOUS-SEGMENT'!$B$8:$B$154=$B8)*'ANALYSE - ERP =&gt; SOUS-SEGMENT'!$Q$8:$Q$154*'ANALYSE - ERP =&gt; SOUS-SEGMENT'!$AJ$8:$AJ$154)</f>
        <v>0</v>
      </c>
      <c r="AK8" s="279">
        <f>SUMPRODUCT(('ANALYSE - ERP =&gt; SOUS-SEGMENT'!$B$8:$B$154=$B8)*'ANALYSE - ERP =&gt; SOUS-SEGMENT'!$Q$8:$Q$154*'ANALYSE - ERP =&gt; SOUS-SEGMENT'!$AK$8:$AK$154)</f>
        <v>0</v>
      </c>
      <c r="AL8" s="276" t="s">
        <v>7559</v>
      </c>
      <c r="AM8" s="276" t="s">
        <v>7559</v>
      </c>
      <c r="AN8" s="276" t="s">
        <v>7560</v>
      </c>
      <c r="AO8" s="657"/>
      <c r="AP8" s="278" t="str">
        <f>IFERROR(SUMPRODUCT(('ANALYSE - ERP =&gt; SOUS-SEGMENT'!$B$8:$B$154=$B8)*'ANALYSE - ERP =&gt; SOUS-SEGMENT'!$Q$8:$Q$154*'ANALYSE - ERP =&gt; SOUS-SEGMENT'!$AG$8:$AG$154*'ANALYSE - ERP =&gt; SOUS-SEGMENT'!$AP$8:$AP$154)/SUMPRODUCT(('ANALYSE - ERP =&gt; SOUS-SEGMENT'!$B$8:$B$154=$B8)*'ANALYSE - ERP =&gt; SOUS-SEGMENT'!$Q$8:$Q$154*'ANALYSE - ERP =&gt; SOUS-SEGMENT'!$AG$8:$AG$154),"")</f>
        <v/>
      </c>
      <c r="AQ8" s="278" t="str">
        <f>IFERROR(SUMPRODUCT(('ANALYSE - ERP =&gt; SOUS-SEGMENT'!$B$8:$B$154=$B8)*'ANALYSE - ERP =&gt; SOUS-SEGMENT'!$Q$8:$Q$154*'ANALYSE - ERP =&gt; SOUS-SEGMENT'!$AF$8:$AF$154*'ANALYSE - ERP =&gt; SOUS-SEGMENT'!$AQ$8:$AQ$154)/SUMPRODUCT(('ANALYSE - ERP =&gt; SOUS-SEGMENT'!$B$8:$B$154=$B8)*'ANALYSE - ERP =&gt; SOUS-SEGMENT'!$Q$8:$Q$154*'ANALYSE - ERP =&gt; SOUS-SEGMENT'!$AF$8:$AF$154),"")</f>
        <v/>
      </c>
      <c r="AR8" s="973" t="str">
        <f>IFERROR(SUMPRODUCT(('ANALYSE - ERP =&gt; SOUS-SEGMENT'!$B$8:$B$154=$B8)*'ANALYSE - ERP =&gt; SOUS-SEGMENT'!$Q$8:$Q$154*'ANALYSE - ERP =&gt; SOUS-SEGMENT'!$AF$8:$AF$154*'ANALYSE - ERP =&gt; SOUS-SEGMENT'!$AR$8:$AR$154)/SUMPRODUCT(('ANALYSE - ERP =&gt; SOUS-SEGMENT'!$B$8:$B$154=$B8)*'ANALYSE - ERP =&gt; SOUS-SEGMENT'!$Q$8:$Q$154*'ANALYSE - ERP =&gt; SOUS-SEGMENT'!$AF$8:$AF$154),"")</f>
        <v/>
      </c>
      <c r="AS8" s="973" t="str">
        <f>IFERROR(SUMPRODUCT(('ANALYSE - ERP =&gt; SOUS-SEGMENT'!$B$8:$B$154=$B8)*'ANALYSE - ERP =&gt; SOUS-SEGMENT'!$Q$8:$Q$154*'ANALYSE - ERP =&gt; SOUS-SEGMENT'!$AF$8:$AF$154*'ANALYSE - ERP =&gt; SOUS-SEGMENT'!$AS$8:$AS$154)/SUMPRODUCT(('ANALYSE - ERP =&gt; SOUS-SEGMENT'!$B$8:$B$154=$B8)*'ANALYSE - ERP =&gt; SOUS-SEGMENT'!$Q$8:$Q$154*'ANALYSE - ERP =&gt; SOUS-SEGMENT'!$AF$8:$AF$154),"")</f>
        <v/>
      </c>
      <c r="AT8" s="657" t="s">
        <v>7561</v>
      </c>
      <c r="AU8" s="646" t="s">
        <v>7562</v>
      </c>
      <c r="AV8" s="646" t="s">
        <v>7563</v>
      </c>
      <c r="AW8" s="646" t="s">
        <v>6770</v>
      </c>
      <c r="AX8" s="657"/>
      <c r="AY8" s="282" t="str">
        <f>IFERROR(SUMPRODUCT(('ANALYSE - ERP =&gt; SOUS-SEGMENT'!$B$8:$B$154=$B8)*'ANALYSE - ERP =&gt; SOUS-SEGMENT'!$Q$8:$Q$154*'ANALYSE - ERP =&gt; SOUS-SEGMENT'!$AF$8:$AF$154*'ANALYSE - ERP =&gt; SOUS-SEGMENT'!$AZ$8:$AZ$154)/SUMPRODUCT(('ANALYSE - ERP =&gt; SOUS-SEGMENT'!$B$8:$B$154=$B8)*'ANALYSE - ERP =&gt; SOUS-SEGMENT'!$Q$8:$Q$154*'ANALYSE - ERP =&gt; SOUS-SEGMENT'!$AF$8:$AF$154),"")</f>
        <v/>
      </c>
      <c r="AZ8" s="947" t="str">
        <f>IFERROR(SUMPRODUCT(('ANALYSE - ERP =&gt; SOUS-SEGMENT'!$B$8:$B$154=$B8)*'ANALYSE - ERP =&gt; SOUS-SEGMENT'!$Q$8:$Q$154*'ANALYSE - ERP =&gt; SOUS-SEGMENT'!$AF$8:$AF$154*'ANALYSE - ERP =&gt; SOUS-SEGMENT'!$BA$8:$BA$154)/SUMPRODUCT(('ANALYSE - ERP =&gt; SOUS-SEGMENT'!$B$8:$B$154=$B8)*'ANALYSE - ERP =&gt; SOUS-SEGMENT'!$Q$8:$Q$154*'ANALYSE - ERP =&gt; SOUS-SEGMENT'!$AF$8:$AF$154),"")</f>
        <v/>
      </c>
      <c r="BA8" s="282" t="str">
        <f>IFERROR(SUMPRODUCT(('ANALYSE - ERP =&gt; SOUS-SEGMENT'!$B$8:$B$154=$B8)*'ANALYSE - ERP =&gt; SOUS-SEGMENT'!$Q$8:$Q$154*'ANALYSE - ERP =&gt; SOUS-SEGMENT'!$AF$8:$AF$154*'ANALYSE - ERP =&gt; SOUS-SEGMENT'!$BB$8:$BB$154)/SUMPRODUCT(('ANALYSE - ERP =&gt; SOUS-SEGMENT'!$B$8:$B$154=$B8)*'ANALYSE - ERP =&gt; SOUS-SEGMENT'!$Q$8:$Q$154*'ANALYSE - ERP =&gt; SOUS-SEGMENT'!$AF$8:$AF$154),"")</f>
        <v/>
      </c>
      <c r="BB8" s="282" t="str">
        <f>IFERROR(SUMPRODUCT(('ANALYSE - ERP =&gt; SOUS-SEGMENT'!$B$8:$B$154=$B8)*'ANALYSE - ERP =&gt; SOUS-SEGMENT'!$Q$8:$Q$154*'ANALYSE - ERP =&gt; SOUS-SEGMENT'!$AF$8:$AF$154*'ANALYSE - ERP =&gt; SOUS-SEGMENT'!$BC$8:$BC$154)/SUMPRODUCT(('ANALYSE - ERP =&gt; SOUS-SEGMENT'!$B$8:$B$154=$B8)*'ANALYSE - ERP =&gt; SOUS-SEGMENT'!$Q$8:$Q$154*'ANALYSE - ERP =&gt; SOUS-SEGMENT'!$AF$8:$AF$154),"")</f>
        <v/>
      </c>
      <c r="BC8" s="283">
        <f>SUMPRODUCT(('ANALYSE - ERP =&gt; SOUS-SEGMENT'!$B$8:$B$154=$B8)*'ANALYSE - ERP =&gt; SOUS-SEGMENT'!$Q$8:$Q$154*'ANALYSE - ERP =&gt; SOUS-SEGMENT'!$BE$8:$BE$154)</f>
        <v>0</v>
      </c>
      <c r="BD8" s="283">
        <f>SUMPRODUCT(('ANALYSE - ERP =&gt; SOUS-SEGMENT'!$B$8:$B$154=$B8)*'ANALYSE - ERP =&gt; SOUS-SEGMENT'!$Q$8:$Q$154*'ANALYSE - ERP =&gt; SOUS-SEGMENT'!$BF$8:$BF$154)</f>
        <v>0</v>
      </c>
      <c r="BE8" s="283">
        <f>SUMPRODUCT(('ANALYSE - ERP =&gt; SOUS-SEGMENT'!$B$8:$B$154=$B8)*'ANALYSE - ERP =&gt; SOUS-SEGMENT'!$Q$8:$Q$154*'ANALYSE - ERP =&gt; SOUS-SEGMENT'!$BG$8:$BG$154)</f>
        <v>0</v>
      </c>
      <c r="BF8" s="283">
        <f>SUMPRODUCT(('ANALYSE - ERP =&gt; SOUS-SEGMENT'!$B$8:$B$154=$B8)*'ANALYSE - ERP =&gt; SOUS-SEGMENT'!$Q$8:$Q$154*'ANALYSE - ERP =&gt; SOUS-SEGMENT'!$BH$8:$BH$154)</f>
        <v>0</v>
      </c>
      <c r="BG8" s="283">
        <f>SUMPRODUCT(('ANALYSE - ERP =&gt; SOUS-SEGMENT'!$B$8:$B$154=$B8)*'ANALYSE - ERP =&gt; SOUS-SEGMENT'!$Q$8:$Q$154*'ANALYSE - ERP =&gt; SOUS-SEGMENT'!$BJ$8:$BJ$154)</f>
        <v>0</v>
      </c>
      <c r="BH8" s="283">
        <f>SUMPRODUCT(('ANALYSE - ERP =&gt; SOUS-SEGMENT'!$B$8:$B$154=$B8)*'ANALYSE - ERP =&gt; SOUS-SEGMENT'!$Q$8:$Q$154*'ANALYSE - ERP =&gt; SOUS-SEGMENT'!$BK$8:$BK$154)</f>
        <v>0</v>
      </c>
      <c r="BI8" s="283">
        <f>SUMPRODUCT(('ANALYSE - ERP =&gt; SOUS-SEGMENT'!$B$8:$B$154=$B8)*'ANALYSE - ERP =&gt; SOUS-SEGMENT'!$Q$8:$Q$154*'ANALYSE - ERP =&gt; SOUS-SEGMENT'!$BL$8:$BL$154)</f>
        <v>0</v>
      </c>
      <c r="BJ8" s="283">
        <f>SUMPRODUCT(('ANALYSE - ERP =&gt; SOUS-SEGMENT'!$B$8:$B$154=$B8)*'ANALYSE - ERP =&gt; SOUS-SEGMENT'!$Q$8:$Q$154*'ANALYSE - ERP =&gt; SOUS-SEGMENT'!$BM$8:$BM$154)</f>
        <v>0</v>
      </c>
      <c r="BK8" s="657"/>
      <c r="BL8" s="577" t="str">
        <f>IFERROR(SUMPRODUCT(('ANALYSE - ERP =&gt; SOUS-SEGMENT'!$B$8:$B$154=$B8)*'ANALYSE - ERP =&gt; SOUS-SEGMENT'!$Q$8:$Q$154*'ANALYSE - ERP =&gt; SOUS-SEGMENT'!$BE$8:$BE$154*'ANALYSE - ERP =&gt; SOUS-SEGMENT'!$BO$8:$BO$154)/SUMPRODUCT(('ANALYSE - ERP =&gt; SOUS-SEGMENT'!$B$8:$B$154=$B8)*'ANALYSE - ERP =&gt; SOUS-SEGMENT'!$Q$8:$Q$154*'ANALYSE - ERP =&gt; SOUS-SEGMENT'!$BE$8:$BE$154),"")</f>
        <v/>
      </c>
      <c r="BM8" s="578" t="str">
        <f>IFERROR(SUMPRODUCT(('ANALYSE - ERP =&gt; SOUS-SEGMENT'!$B$8:$B$154=$B8)*'ANALYSE - ERP =&gt; SOUS-SEGMENT'!$Q$8:$Q$154*'ANALYSE - ERP =&gt; SOUS-SEGMENT'!$BE$8:$BE$154*'ANALYSE - ERP =&gt; SOUS-SEGMENT'!$BP$8:$BP$154)/SUMPRODUCT(('ANALYSE - ERP =&gt; SOUS-SEGMENT'!$B$8:$B$154=$B8)*'ANALYSE - ERP =&gt; SOUS-SEGMENT'!$Q$8:$Q$154*'ANALYSE - ERP =&gt; SOUS-SEGMENT'!$BE$8:$BE$154),"")</f>
        <v/>
      </c>
      <c r="BN8" s="578" t="str">
        <f>IFERROR(SUMPRODUCT(('ANALYSE - ERP =&gt; SOUS-SEGMENT'!$B$8:$B$154=$B8)*'ANALYSE - ERP =&gt; SOUS-SEGMENT'!$Q$8:$Q$154*'ANALYSE - ERP =&gt; SOUS-SEGMENT'!$BE$8:$BE$154*'ANALYSE - ERP =&gt; SOUS-SEGMENT'!$BQ$8:$BQ$154)/SUMPRODUCT(('ANALYSE - ERP =&gt; SOUS-SEGMENT'!$B$8:$B$154=$B8)*'ANALYSE - ERP =&gt; SOUS-SEGMENT'!$Q$8:$Q$154*'ANALYSE - ERP =&gt; SOUS-SEGMENT'!$BE$8:$BE$154),"")</f>
        <v/>
      </c>
      <c r="BO8" s="579" t="str">
        <f>IFERROR(SUMPRODUCT(('ANALYSE - ERP =&gt; SOUS-SEGMENT'!$B$8:$B$154=$B8)*'ANALYSE - ERP =&gt; SOUS-SEGMENT'!$Q$8:$Q$154*'ANALYSE - ERP =&gt; SOUS-SEGMENT'!$BE$8:$BE$154*'ANALYSE - ERP =&gt; SOUS-SEGMENT'!$BR$8:$BR$154)/SUMPRODUCT(('ANALYSE - ERP =&gt; SOUS-SEGMENT'!$B$8:$B$154=$B8)*'ANALYSE - ERP =&gt; SOUS-SEGMENT'!$Q$8:$Q$154*'ANALYSE - ERP =&gt; SOUS-SEGMENT'!$BE$8:$BE$154),"")</f>
        <v/>
      </c>
      <c r="BP8" s="577" t="str">
        <f>IFERROR(SUMPRODUCT(('ANALYSE - ERP =&gt; SOUS-SEGMENT'!$B$8:$B$154=$B8)*'ANALYSE - ERP =&gt; SOUS-SEGMENT'!$Q$8:$Q$154*'ANALYSE - ERP =&gt; SOUS-SEGMENT'!$BJ$8:$BJ$154*'ANALYSE - ERP =&gt; SOUS-SEGMENT'!$BS$8:$BS$154)/SUMPRODUCT(('ANALYSE - ERP =&gt; SOUS-SEGMENT'!$B$8:$B$154=$B8)*'ANALYSE - ERP =&gt; SOUS-SEGMENT'!$Q$8:$Q$154*'ANALYSE - ERP =&gt; SOUS-SEGMENT'!$BJ$8:$BJ$154),"")</f>
        <v/>
      </c>
      <c r="BQ8" s="578" t="str">
        <f>IFERROR(SUMPRODUCT(('ANALYSE - ERP =&gt; SOUS-SEGMENT'!$B$8:$B$154=$B8)*'ANALYSE - ERP =&gt; SOUS-SEGMENT'!$Q$8:$Q$154*'ANALYSE - ERP =&gt; SOUS-SEGMENT'!$BJ$8:$BJ$154*'ANALYSE - ERP =&gt; SOUS-SEGMENT'!$BT$8:$BT$154)/SUMPRODUCT(('ANALYSE - ERP =&gt; SOUS-SEGMENT'!$B$8:$B$154=$B8)*'ANALYSE - ERP =&gt; SOUS-SEGMENT'!$Q$8:$Q$154*'ANALYSE - ERP =&gt; SOUS-SEGMENT'!$BJ$8:$BJ$154),"")</f>
        <v/>
      </c>
      <c r="BR8" s="578" t="str">
        <f>IFERROR(SUMPRODUCT(('ANALYSE - ERP =&gt; SOUS-SEGMENT'!$B$8:$B$154=$B8)*'ANALYSE - ERP =&gt; SOUS-SEGMENT'!$Q$8:$Q$154*'ANALYSE - ERP =&gt; SOUS-SEGMENT'!$BJ$8:$BJ$154*'ANALYSE - ERP =&gt; SOUS-SEGMENT'!$BU$8:$BU$154)/SUMPRODUCT(('ANALYSE - ERP =&gt; SOUS-SEGMENT'!$B$8:$B$154=$B8)*'ANALYSE - ERP =&gt; SOUS-SEGMENT'!$Q$8:$Q$154*'ANALYSE - ERP =&gt; SOUS-SEGMENT'!$BJ$8:$BJ$154),"")</f>
        <v/>
      </c>
      <c r="BS8" s="579" t="str">
        <f>IFERROR(SUMPRODUCT(('ANALYSE - ERP =&gt; SOUS-SEGMENT'!$B$8:$B$154=$B8)*'ANALYSE - ERP =&gt; SOUS-SEGMENT'!$Q$8:$Q$154*'ANALYSE - ERP =&gt; SOUS-SEGMENT'!$BJ$8:$BJ$154*'ANALYSE - ERP =&gt; SOUS-SEGMENT'!$BV$8:$BV$154)/SUMPRODUCT(('ANALYSE - ERP =&gt; SOUS-SEGMENT'!$B$8:$B$154=$B8)*'ANALYSE - ERP =&gt; SOUS-SEGMENT'!$Q$8:$Q$154*'ANALYSE - ERP =&gt; SOUS-SEGMENT'!$BJ$8:$BJ$154),"")</f>
        <v/>
      </c>
      <c r="BT8" s="586" t="str">
        <f>IFERROR(SUMPRODUCT(('ANALYSE - ERP =&gt; SOUS-SEGMENT'!$B$8:$B$154=$B8)*'ANALYSE - ERP =&gt; SOUS-SEGMENT'!$Q$8:$Q$154*'ANALYSE - ERP =&gt; SOUS-SEGMENT'!$BF$8:$BF$154*'ANALYSE - ERP =&gt; SOUS-SEGMENT'!$BW$8:$BW$154)/SUMPRODUCT(('ANALYSE - ERP =&gt; SOUS-SEGMENT'!$B$8:$B$154=$B8)*'ANALYSE - ERP =&gt; SOUS-SEGMENT'!$Q$8:$Q$154*'ANALYSE - ERP =&gt; SOUS-SEGMENT'!$BF$8:$BF$154),"")</f>
        <v/>
      </c>
      <c r="BU8" s="587" t="str">
        <f>IFERROR(SUMPRODUCT(('ANALYSE - ERP =&gt; SOUS-SEGMENT'!$B$8:$B$154=$B8)*'ANALYSE - ERP =&gt; SOUS-SEGMENT'!$Q$8:$Q$154*'ANALYSE - ERP =&gt; SOUS-SEGMENT'!$BF$8:$BF$154*'ANALYSE - ERP =&gt; SOUS-SEGMENT'!$BX$8:$BX$154)/SUMPRODUCT(('ANALYSE - ERP =&gt; SOUS-SEGMENT'!$B$8:$B$154=$B8)*'ANALYSE - ERP =&gt; SOUS-SEGMENT'!$Q$8:$Q$154*'ANALYSE - ERP =&gt; SOUS-SEGMENT'!$BF$8:$BF$154),"")</f>
        <v/>
      </c>
      <c r="BV8" s="588" t="str">
        <f>IFERROR(SUMPRODUCT(('ANALYSE - ERP =&gt; SOUS-SEGMENT'!$B$8:$B$154=$B8)*'ANALYSE - ERP =&gt; SOUS-SEGMENT'!$Q$8:$Q$154*'ANALYSE - ERP =&gt; SOUS-SEGMENT'!$BF$8:$BF$154*'ANALYSE - ERP =&gt; SOUS-SEGMENT'!$BY$8:$BY$154)/SUMPRODUCT(('ANALYSE - ERP =&gt; SOUS-SEGMENT'!$B$8:$B$154=$B8)*'ANALYSE - ERP =&gt; SOUS-SEGMENT'!$Q$8:$Q$154*'ANALYSE - ERP =&gt; SOUS-SEGMENT'!$BF$8:$BF$154),"")</f>
        <v/>
      </c>
      <c r="BW8" s="586" t="str">
        <f>IFERROR(SUMPRODUCT(('ANALYSE - ERP =&gt; SOUS-SEGMENT'!$B$8:$B$154=$B8)*'ANALYSE - ERP =&gt; SOUS-SEGMENT'!$Q$8:$Q$154*'ANALYSE - ERP =&gt; SOUS-SEGMENT'!$BK$8:$BK$154*'ANALYSE - ERP =&gt; SOUS-SEGMENT'!$BZ$8:$BZ$154)/SUMPRODUCT(('ANALYSE - ERP =&gt; SOUS-SEGMENT'!$B$8:$B$154=$B8)*'ANALYSE - ERP =&gt; SOUS-SEGMENT'!$Q$8:$Q$154*'ANALYSE - ERP =&gt; SOUS-SEGMENT'!$BK$8:$BK$154),"")</f>
        <v/>
      </c>
      <c r="BX8" s="587" t="str">
        <f>IFERROR(SUMPRODUCT(('ANALYSE - ERP =&gt; SOUS-SEGMENT'!$B$8:$B$154=$B8)*'ANALYSE - ERP =&gt; SOUS-SEGMENT'!$Q$8:$Q$154*'ANALYSE - ERP =&gt; SOUS-SEGMENT'!$BK$8:$BK$154*'ANALYSE - ERP =&gt; SOUS-SEGMENT'!$CA$8:$CA$154)/SUMPRODUCT(('ANALYSE - ERP =&gt; SOUS-SEGMENT'!$B$8:$B$154=$B8)*'ANALYSE - ERP =&gt; SOUS-SEGMENT'!$Q$8:$Q$154*'ANALYSE - ERP =&gt; SOUS-SEGMENT'!$BK$8:$BK$154),"")</f>
        <v/>
      </c>
      <c r="BY8" s="588" t="str">
        <f>IFERROR(SUMPRODUCT(('ANALYSE - ERP =&gt; SOUS-SEGMENT'!$B$8:$B$154=$B8)*'ANALYSE - ERP =&gt; SOUS-SEGMENT'!$Q$8:$Q$154*'ANALYSE - ERP =&gt; SOUS-SEGMENT'!$BK$8:$BK$154*'ANALYSE - ERP =&gt; SOUS-SEGMENT'!$CB$8:$CB$154)/SUMPRODUCT(('ANALYSE - ERP =&gt; SOUS-SEGMENT'!$B$8:$B$154=$B8)*'ANALYSE - ERP =&gt; SOUS-SEGMENT'!$Q$8:$Q$154*'ANALYSE - ERP =&gt; SOUS-SEGMENT'!$BK$8:$BK$154),"")</f>
        <v/>
      </c>
      <c r="BZ8" s="577" t="str">
        <f>IFERROR(SUMPRODUCT(('ANALYSE - ERP =&gt; SOUS-SEGMENT'!$B$8:$B$154=$B8)*'ANALYSE - ERP =&gt; SOUS-SEGMENT'!$Q$8:$Q$154*'ANALYSE - ERP =&gt; SOUS-SEGMENT'!$BG$8:$BG$154*'ANALYSE - ERP =&gt; SOUS-SEGMENT'!$CC$8:$CC$154)/SUMPRODUCT(('ANALYSE - ERP =&gt; SOUS-SEGMENT'!$B$8:$B$154=$B8)*'ANALYSE - ERP =&gt; SOUS-SEGMENT'!$Q$8:$Q$154*'ANALYSE - ERP =&gt; SOUS-SEGMENT'!$BG$8:$BG$154),"")</f>
        <v/>
      </c>
      <c r="CA8" s="578" t="str">
        <f>IFERROR(SUMPRODUCT(('ANALYSE - ERP =&gt; SOUS-SEGMENT'!$B$8:$B$154=$B8)*'ANALYSE - ERP =&gt; SOUS-SEGMENT'!$Q$8:$Q$154*'ANALYSE - ERP =&gt; SOUS-SEGMENT'!$BG$8:$BG$154*'ANALYSE - ERP =&gt; SOUS-SEGMENT'!$CD$8:$CD$154)/SUMPRODUCT(('ANALYSE - ERP =&gt; SOUS-SEGMENT'!$B$8:$B$154=$B8)*'ANALYSE - ERP =&gt; SOUS-SEGMENT'!$Q$8:$Q$154*'ANALYSE - ERP =&gt; SOUS-SEGMENT'!$BG$8:$BG$154),"")</f>
        <v/>
      </c>
      <c r="CB8" s="578" t="str">
        <f>IFERROR(SUMPRODUCT(('ANALYSE - ERP =&gt; SOUS-SEGMENT'!$B$8:$B$154=$B8)*'ANALYSE - ERP =&gt; SOUS-SEGMENT'!$Q$8:$Q$154*'ANALYSE - ERP =&gt; SOUS-SEGMENT'!$BG$8:$BG$154*'ANALYSE - ERP =&gt; SOUS-SEGMENT'!$CE$8:$CE$154)/SUMPRODUCT(('ANALYSE - ERP =&gt; SOUS-SEGMENT'!$B$8:$B$154=$B8)*'ANALYSE - ERP =&gt; SOUS-SEGMENT'!$Q$8:$Q$154*'ANALYSE - ERP =&gt; SOUS-SEGMENT'!$BG$8:$BG$154),"")</f>
        <v/>
      </c>
      <c r="CC8" s="579" t="str">
        <f>IFERROR(SUMPRODUCT(('ANALYSE - ERP =&gt; SOUS-SEGMENT'!$B$8:$B$154=$B8)*'ANALYSE - ERP =&gt; SOUS-SEGMENT'!$Q$8:$Q$154*'ANALYSE - ERP =&gt; SOUS-SEGMENT'!$BG$8:$BG$154*'ANALYSE - ERP =&gt; SOUS-SEGMENT'!$CF$8:$CF$154)/SUMPRODUCT(('ANALYSE - ERP =&gt; SOUS-SEGMENT'!$B$8:$B$154=$B8)*'ANALYSE - ERP =&gt; SOUS-SEGMENT'!$Q$8:$Q$154*'ANALYSE - ERP =&gt; SOUS-SEGMENT'!$BG$8:$BG$154),"")</f>
        <v/>
      </c>
      <c r="CD8" s="577" t="str">
        <f>IFERROR(SUMPRODUCT(('ANALYSE - ERP =&gt; SOUS-SEGMENT'!$B$8:$B$154=$B8)*'ANALYSE - ERP =&gt; SOUS-SEGMENT'!$Q$8:$Q$154*'ANALYSE - ERP =&gt; SOUS-SEGMENT'!$BL$8:$BL$154*'ANALYSE - ERP =&gt; SOUS-SEGMENT'!$CG$8:$CG$154)/SUMPRODUCT(('ANALYSE - ERP =&gt; SOUS-SEGMENT'!$B$8:$B$154=$B8)*'ANALYSE - ERP =&gt; SOUS-SEGMENT'!$Q$8:$Q$154*'ANALYSE - ERP =&gt; SOUS-SEGMENT'!$BL$8:$BL$154),"")</f>
        <v/>
      </c>
      <c r="CE8" s="578" t="str">
        <f>IFERROR(SUMPRODUCT(('ANALYSE - ERP =&gt; SOUS-SEGMENT'!$B$8:$B$154=$B8)*'ANALYSE - ERP =&gt; SOUS-SEGMENT'!$Q$8:$Q$154*'ANALYSE - ERP =&gt; SOUS-SEGMENT'!$BL$8:$BL$154*'ANALYSE - ERP =&gt; SOUS-SEGMENT'!$CH$8:$CH$154)/SUMPRODUCT(('ANALYSE - ERP =&gt; SOUS-SEGMENT'!$B$8:$B$154=$B8)*'ANALYSE - ERP =&gt; SOUS-SEGMENT'!$Q$8:$Q$154*'ANALYSE - ERP =&gt; SOUS-SEGMENT'!$BL$8:$BL$154),"")</f>
        <v/>
      </c>
      <c r="CF8" s="578" t="str">
        <f>IFERROR(SUMPRODUCT(('ANALYSE - ERP =&gt; SOUS-SEGMENT'!$B$8:$B$154=$B8)*'ANALYSE - ERP =&gt; SOUS-SEGMENT'!$Q$8:$Q$154*'ANALYSE - ERP =&gt; SOUS-SEGMENT'!$BL$8:$BL$154*'ANALYSE - ERP =&gt; SOUS-SEGMENT'!$CI$8:$CI$154)/SUMPRODUCT(('ANALYSE - ERP =&gt; SOUS-SEGMENT'!$B$8:$B$154=$B8)*'ANALYSE - ERP =&gt; SOUS-SEGMENT'!$Q$8:$Q$154*'ANALYSE - ERP =&gt; SOUS-SEGMENT'!$BL$8:$BL$154),"")</f>
        <v/>
      </c>
      <c r="CG8" s="579" t="str">
        <f>IFERROR(SUMPRODUCT(('ANALYSE - ERP =&gt; SOUS-SEGMENT'!$B$8:$B$154=$B8)*'ANALYSE - ERP =&gt; SOUS-SEGMENT'!$Q$8:$Q$154*'ANALYSE - ERP =&gt; SOUS-SEGMENT'!$BL$8:$BL$154*'ANALYSE - ERP =&gt; SOUS-SEGMENT'!$CJ$8:$CJ$154)/SUMPRODUCT(('ANALYSE - ERP =&gt; SOUS-SEGMENT'!$B$8:$B$154=$B8)*'ANALYSE - ERP =&gt; SOUS-SEGMENT'!$Q$8:$Q$154*'ANALYSE - ERP =&gt; SOUS-SEGMENT'!$BL$8:$BL$154),"")</f>
        <v/>
      </c>
      <c r="CH8" s="586" t="str">
        <f>IFERROR(SUMPRODUCT(('ANALYSE - ERP =&gt; SOUS-SEGMENT'!$B$8:$B$154=$B8)*'ANALYSE - ERP =&gt; SOUS-SEGMENT'!$Q$8:$Q$154*'ANALYSE - ERP =&gt; SOUS-SEGMENT'!$BH$8:$BH$154*'ANALYSE - ERP =&gt; SOUS-SEGMENT'!$CK$8:$CK$154)/SUMPRODUCT(('ANALYSE - ERP =&gt; SOUS-SEGMENT'!$B$8:$B$154=$B8)*'ANALYSE - ERP =&gt; SOUS-SEGMENT'!$Q$8:$Q$154*'ANALYSE - ERP =&gt; SOUS-SEGMENT'!$BH$8:$BH$154),"")</f>
        <v/>
      </c>
      <c r="CI8" s="587" t="str">
        <f>IFERROR(SUMPRODUCT(('ANALYSE - ERP =&gt; SOUS-SEGMENT'!$B$8:$B$154=$B8)*'ANALYSE - ERP =&gt; SOUS-SEGMENT'!$Q$8:$Q$154*'ANALYSE - ERP =&gt; SOUS-SEGMENT'!$BH$8:$BH$154*'ANALYSE - ERP =&gt; SOUS-SEGMENT'!$CL$8:$CL$154)/SUMPRODUCT(('ANALYSE - ERP =&gt; SOUS-SEGMENT'!$B$8:$B$154=$B8)*'ANALYSE - ERP =&gt; SOUS-SEGMENT'!$Q$8:$Q$154*'ANALYSE - ERP =&gt; SOUS-SEGMENT'!$BH$8:$BH$154),"")</f>
        <v/>
      </c>
      <c r="CJ8" s="588" t="str">
        <f>IFERROR(SUMPRODUCT(('ANALYSE - ERP =&gt; SOUS-SEGMENT'!$B$8:$B$154=$B8)*'ANALYSE - ERP =&gt; SOUS-SEGMENT'!$Q$8:$Q$154*'ANALYSE - ERP =&gt; SOUS-SEGMENT'!$BH$8:$BH$154*'ANALYSE - ERP =&gt; SOUS-SEGMENT'!$CM$8:$CM$154)/SUMPRODUCT(('ANALYSE - ERP =&gt; SOUS-SEGMENT'!$B$8:$B$154=$B8)*'ANALYSE - ERP =&gt; SOUS-SEGMENT'!$Q$8:$Q$154*'ANALYSE - ERP =&gt; SOUS-SEGMENT'!$BH$8:$BH$154),"")</f>
        <v/>
      </c>
      <c r="CK8" s="586" t="str">
        <f>IFERROR(SUMPRODUCT(('ANALYSE - ERP =&gt; SOUS-SEGMENT'!$B$8:$B$154=$B8)*'ANALYSE - ERP =&gt; SOUS-SEGMENT'!$Q$8:$Q$154*'ANALYSE - ERP =&gt; SOUS-SEGMENT'!$BM$8:$BM$154*'ANALYSE - ERP =&gt; SOUS-SEGMENT'!$CN$8:$CN$154)/SUMPRODUCT(('ANALYSE - ERP =&gt; SOUS-SEGMENT'!$B$8:$B$154=$B8)*'ANALYSE - ERP =&gt; SOUS-SEGMENT'!$Q$8:$Q$154*'ANALYSE - ERP =&gt; SOUS-SEGMENT'!$BM$8:$BM$154),"")</f>
        <v/>
      </c>
      <c r="CL8" s="587" t="str">
        <f>IFERROR(SUMPRODUCT(('ANALYSE - ERP =&gt; SOUS-SEGMENT'!$B$8:$B$154=$B8)*'ANALYSE - ERP =&gt; SOUS-SEGMENT'!$Q$8:$Q$154*'ANALYSE - ERP =&gt; SOUS-SEGMENT'!$BM$8:$BM$154*'ANALYSE - ERP =&gt; SOUS-SEGMENT'!$CO$8:$CO$154)/SUMPRODUCT(('ANALYSE - ERP =&gt; SOUS-SEGMENT'!$B$8:$B$154=$B8)*'ANALYSE - ERP =&gt; SOUS-SEGMENT'!$Q$8:$Q$154*'ANALYSE - ERP =&gt; SOUS-SEGMENT'!$BM$8:$BM$154),"")</f>
        <v/>
      </c>
      <c r="CM8" s="588" t="str">
        <f>IFERROR(SUMPRODUCT(('ANALYSE - ERP =&gt; SOUS-SEGMENT'!$B$8:$B$154=$B8)*'ANALYSE - ERP =&gt; SOUS-SEGMENT'!$Q$8:$Q$154*'ANALYSE - ERP =&gt; SOUS-SEGMENT'!$BM$8:$BM$154*'ANALYSE - ERP =&gt; SOUS-SEGMENT'!$CP$8:$CP$154)/SUMPRODUCT(('ANALYSE - ERP =&gt; SOUS-SEGMENT'!$B$8:$B$154=$B8)*'ANALYSE - ERP =&gt; SOUS-SEGMENT'!$Q$8:$Q$154*'ANALYSE - ERP =&gt; SOUS-SEGMENT'!$BM$8:$BM$154),"")</f>
        <v/>
      </c>
      <c r="CN8" s="657"/>
      <c r="CO8" s="877" t="str">
        <f>IFERROR(SUMPRODUCT(('ANALYSE - ERP =&gt; SOUS-SEGMENT'!$B$8:$B$154=$B8)*'ANALYSE - ERP =&gt; SOUS-SEGMENT'!$DH$8:$DH$154*'ANALYSE - ERP =&gt; SOUS-SEGMENT'!$CR$8:$CR$154)/SUMPRODUCT(('ANALYSE - ERP =&gt; SOUS-SEGMENT'!$B$8:$B$154=$B8)*'ANALYSE - ERP =&gt; SOUS-SEGMENT'!$DH$8:$DH$154),"")</f>
        <v/>
      </c>
      <c r="CP8" s="878" t="str">
        <f>IFERROR(SUMPRODUCT(('ANALYSE - ERP =&gt; SOUS-SEGMENT'!$B$8:$B$154=$B8)*'ANALYSE - ERP =&gt; SOUS-SEGMENT'!$DI$8:$DI$154*'ANALYSE - ERP =&gt; SOUS-SEGMENT'!$CS$8:$CS$154)/SUMPRODUCT(('ANALYSE - ERP =&gt; SOUS-SEGMENT'!$B$8:$B$154=$B8)*'ANALYSE - ERP =&gt; SOUS-SEGMENT'!$DI$8:$DI$154),"")</f>
        <v/>
      </c>
      <c r="CQ8" s="878" t="str">
        <f>IFERROR(SUMPRODUCT(('ANALYSE - ERP =&gt; SOUS-SEGMENT'!$B$8:$B$154=$B8)*'ANALYSE - ERP =&gt; SOUS-SEGMENT'!$DJ$8:$DJ$154*'ANALYSE - ERP =&gt; SOUS-SEGMENT'!$CT$8:$CT$154)/SUMPRODUCT(('ANALYSE - ERP =&gt; SOUS-SEGMENT'!$B$8:$B$154=$B8)*'ANALYSE - ERP =&gt; SOUS-SEGMENT'!$DJ$8:$DJ$154),"")</f>
        <v/>
      </c>
      <c r="CR8" s="879" t="str">
        <f>IFERROR(SUMPRODUCT(('ANALYSE - ERP =&gt; SOUS-SEGMENT'!$B$8:$B$154=$B8)*'ANALYSE - ERP =&gt; SOUS-SEGMENT'!$DK$8:$DK$154*'ANALYSE - ERP =&gt; SOUS-SEGMENT'!$CU$8:$CU$154)/SUMPRODUCT(('ANALYSE - ERP =&gt; SOUS-SEGMENT'!$B$8:$B$154=$B8)*'ANALYSE - ERP =&gt; SOUS-SEGMENT'!$DK$8:$DK$154),"")</f>
        <v/>
      </c>
      <c r="CS8" s="877" t="str">
        <f>IFERROR(SUMPRODUCT(('ANALYSE - ERP =&gt; SOUS-SEGMENT'!$B$8:$B$154=$B8)*'ANALYSE - ERP =&gt; SOUS-SEGMENT'!$DS$8:$DS$154*'ANALYSE - ERP =&gt; SOUS-SEGMENT'!$CV$8:$CV$154)/SUMPRODUCT(('ANALYSE - ERP =&gt; SOUS-SEGMENT'!$B$8:$B$154=$B8)*'ANALYSE - ERP =&gt; SOUS-SEGMENT'!$DS$8:$DS$154),"")</f>
        <v/>
      </c>
      <c r="CT8" s="878" t="str">
        <f>IFERROR(SUMPRODUCT(('ANALYSE - ERP =&gt; SOUS-SEGMENT'!$B$8:$B$154=$B8)*'ANALYSE - ERP =&gt; SOUS-SEGMENT'!$DT$8:$DT$154*'ANALYSE - ERP =&gt; SOUS-SEGMENT'!$CW$8:$CW$154)/SUMPRODUCT(('ANALYSE - ERP =&gt; SOUS-SEGMENT'!$B$8:$B$154=$B8)*'ANALYSE - ERP =&gt; SOUS-SEGMENT'!$DT$8:$DT$154),"")</f>
        <v/>
      </c>
      <c r="CU8" s="879" t="str">
        <f>IFERROR(SUMPRODUCT(('ANALYSE - ERP =&gt; SOUS-SEGMENT'!$B$8:$B$154=$B8)*'ANALYSE - ERP =&gt; SOUS-SEGMENT'!$DU$8:$DU$154*'ANALYSE - ERP =&gt; SOUS-SEGMENT'!$CX$8:$CX$154)/SUMPRODUCT(('ANALYSE - ERP =&gt; SOUS-SEGMENT'!$B$8:$B$154=$B8)*'ANALYSE - ERP =&gt; SOUS-SEGMENT'!$DU$8:$DU$154),"")</f>
        <v/>
      </c>
      <c r="CV8" s="877" t="str">
        <f>IFERROR(SUMPRODUCT(('ANALYSE - ERP =&gt; SOUS-SEGMENT'!$B$8:$B$154=$B8)*'ANALYSE - ERP =&gt; SOUS-SEGMENT'!$EB$8:$EB$154*'ANALYSE - ERP =&gt; SOUS-SEGMENT'!$CY$8:$CY$154)/SUMPRODUCT(('ANALYSE - ERP =&gt; SOUS-SEGMENT'!$B$8:$B$154=$B8)*'ANALYSE - ERP =&gt; SOUS-SEGMENT'!$EB$8:$EB$154),"")</f>
        <v/>
      </c>
      <c r="CW8" s="878" t="str">
        <f>IFERROR(SUMPRODUCT(('ANALYSE - ERP =&gt; SOUS-SEGMENT'!$B$8:$B$154=$B8)*'ANALYSE - ERP =&gt; SOUS-SEGMENT'!$EC$8:$EC$154*'ANALYSE - ERP =&gt; SOUS-SEGMENT'!$CZ$8:$CZ$154)/SUMPRODUCT(('ANALYSE - ERP =&gt; SOUS-SEGMENT'!$B$8:$B$154=$B8)*'ANALYSE - ERP =&gt; SOUS-SEGMENT'!$EC$8:$EC$154),"")</f>
        <v/>
      </c>
      <c r="CX8" s="878" t="str">
        <f>IFERROR(SUMPRODUCT(('ANALYSE - ERP =&gt; SOUS-SEGMENT'!$B$8:$B$154=$B8)*'ANALYSE - ERP =&gt; SOUS-SEGMENT'!$ED$8:$ED$154*'ANALYSE - ERP =&gt; SOUS-SEGMENT'!$DA$8:$DA$154)/SUMPRODUCT(('ANALYSE - ERP =&gt; SOUS-SEGMENT'!$B$8:$B$154=$B8)*'ANALYSE - ERP =&gt; SOUS-SEGMENT'!$ED$8:$ED$154),"")</f>
        <v/>
      </c>
      <c r="CY8" s="880" t="str">
        <f>IFERROR(SUMPRODUCT(('ANALYSE - ERP =&gt; SOUS-SEGMENT'!$B$8:$B$154=$B8)*'ANALYSE - ERP =&gt; SOUS-SEGMENT'!$EE$8:$EE$154*'ANALYSE - ERP =&gt; SOUS-SEGMENT'!$DB$8:$DB$154)/SUMPRODUCT(('ANALYSE - ERP =&gt; SOUS-SEGMENT'!$B$8:$B$154=$B8)*'ANALYSE - ERP =&gt; SOUS-SEGMENT'!$EE$8:$EE$154),"")</f>
        <v/>
      </c>
      <c r="CZ8" s="881" t="str">
        <f>IFERROR(SUMPRODUCT(('ANALYSE - ERP =&gt; SOUS-SEGMENT'!$B$8:$B$154=$B8)*'ANALYSE - ERP =&gt; SOUS-SEGMENT'!$EM$8:$EM$154*'ANALYSE - ERP =&gt; SOUS-SEGMENT'!$DC$8:$DC$154)/SUMPRODUCT(('ANALYSE - ERP =&gt; SOUS-SEGMENT'!$B$8:$B$154=$B8)*'ANALYSE - ERP =&gt; SOUS-SEGMENT'!$EM$8:$EM$154),"")</f>
        <v/>
      </c>
      <c r="DA8" s="878" t="str">
        <f>IFERROR(SUMPRODUCT(('ANALYSE - ERP =&gt; SOUS-SEGMENT'!$B$8:$B$154=$B8)*'ANALYSE - ERP =&gt; SOUS-SEGMENT'!$EN$8:$EN$154*'ANALYSE - ERP =&gt; SOUS-SEGMENT'!$DD$8:$DD$154)/SUMPRODUCT(('ANALYSE - ERP =&gt; SOUS-SEGMENT'!$B$8:$B$154=$B8)*'ANALYSE - ERP =&gt; SOUS-SEGMENT'!$EN$8:$EN$154),"")</f>
        <v/>
      </c>
      <c r="DB8" s="880" t="str">
        <f>IFERROR(SUMPRODUCT(('ANALYSE - ERP =&gt; SOUS-SEGMENT'!$B$8:$B$154=$B8)*'ANALYSE - ERP =&gt; SOUS-SEGMENT'!$EO$8:$EO$154*'ANALYSE - ERP =&gt; SOUS-SEGMENT'!$DE$8:$DE$154)/SUMPRODUCT(('ANALYSE - ERP =&gt; SOUS-SEGMENT'!$B$8:$B$154=$B8)*'ANALYSE - ERP =&gt; SOUS-SEGMENT'!$EO$8:$EO$154),"")</f>
        <v/>
      </c>
      <c r="DC8" s="287" t="s">
        <v>7559</v>
      </c>
      <c r="DD8" s="657"/>
      <c r="DE8" s="308" t="e">
        <f t="shared" ref="DE8:DE19" si="2">$BC8*BL8</f>
        <v>#VALUE!</v>
      </c>
      <c r="DF8" s="308" t="e">
        <f t="shared" ref="DF8:DF19" si="3">$BC8*BM8</f>
        <v>#VALUE!</v>
      </c>
      <c r="DG8" s="308" t="e">
        <f t="shared" ref="DG8:DG19" si="4">$BC8*BN8</f>
        <v>#VALUE!</v>
      </c>
      <c r="DH8" s="308" t="e">
        <f t="shared" ref="DH8:DH19" si="5">$BC8*BO8</f>
        <v>#VALUE!</v>
      </c>
      <c r="DI8" s="287" t="s">
        <v>7559</v>
      </c>
      <c r="DJ8" s="308" t="e">
        <f t="shared" ref="DJ8:DJ19" si="6">$BG8*BP8</f>
        <v>#VALUE!</v>
      </c>
      <c r="DK8" s="308" t="e">
        <f t="shared" ref="DK8:DK19" si="7">$BG8*BQ8</f>
        <v>#VALUE!</v>
      </c>
      <c r="DL8" s="308" t="e">
        <f t="shared" ref="DL8:DL19" si="8">$BG8*BR8</f>
        <v>#VALUE!</v>
      </c>
      <c r="DM8" s="308" t="e">
        <f t="shared" ref="DM8:DM19" si="9">$BG8*BS8</f>
        <v>#VALUE!</v>
      </c>
      <c r="DN8" s="289" t="s">
        <v>7559</v>
      </c>
      <c r="DO8" s="657"/>
      <c r="DP8" s="308">
        <f t="shared" ref="DP8:DP19" si="10">IFERROR($BD8*BT8,0)</f>
        <v>0</v>
      </c>
      <c r="DQ8" s="308">
        <f t="shared" ref="DQ8:DQ19" si="11">IFERROR($BD8*BU8,0)</f>
        <v>0</v>
      </c>
      <c r="DR8" s="308">
        <f t="shared" ref="DR8:DR19" si="12">IFERROR($BD8*BV8,0)</f>
        <v>0</v>
      </c>
      <c r="DS8" s="289" t="s">
        <v>7559</v>
      </c>
      <c r="DT8" s="308">
        <f t="shared" ref="DT8:DT19" si="13">IFERROR($BH8*BW8,0)</f>
        <v>0</v>
      </c>
      <c r="DU8" s="308">
        <f t="shared" ref="DU8:DU19" si="14">IFERROR($BH8*BX8,0)</f>
        <v>0</v>
      </c>
      <c r="DV8" s="308">
        <f t="shared" ref="DV8:DV19" si="15">IFERROR($BH8*BY8,0)</f>
        <v>0</v>
      </c>
      <c r="DW8" s="289" t="s">
        <v>7559</v>
      </c>
      <c r="DX8" s="657"/>
      <c r="DY8" s="308">
        <f t="shared" ref="DY8:DY19" si="16">IFERROR($BE8*BZ8,0)</f>
        <v>0</v>
      </c>
      <c r="DZ8" s="308">
        <f t="shared" ref="DZ8:DZ19" si="17">IFERROR($BE8*CA8,0)</f>
        <v>0</v>
      </c>
      <c r="EA8" s="308">
        <f t="shared" ref="EA8:EA19" si="18">IFERROR($BE8*CB8,0)</f>
        <v>0</v>
      </c>
      <c r="EB8" s="308">
        <f t="shared" ref="EB8:EB19" si="19">IFERROR($BE8*CC8,0)</f>
        <v>0</v>
      </c>
      <c r="EC8" s="289" t="s">
        <v>7559</v>
      </c>
      <c r="ED8" s="308">
        <f t="shared" ref="ED8:ED19" si="20">IFERROR($BI8*CD8,0)</f>
        <v>0</v>
      </c>
      <c r="EE8" s="308">
        <f t="shared" ref="EE8:EE19" si="21">IFERROR($BI8*CE8,0)</f>
        <v>0</v>
      </c>
      <c r="EF8" s="308">
        <f t="shared" ref="EF8:EF19" si="22">IFERROR($BI8*CF8,0)</f>
        <v>0</v>
      </c>
      <c r="EG8" s="308">
        <f t="shared" ref="EG8:EG19" si="23">IFERROR($BI8*CG8,0)</f>
        <v>0</v>
      </c>
      <c r="EH8" s="309" t="s">
        <v>7559</v>
      </c>
      <c r="EI8" s="290"/>
      <c r="EJ8" s="308" t="e">
        <f t="shared" ref="EJ8:EJ19" si="24">$BF8*CH8</f>
        <v>#VALUE!</v>
      </c>
      <c r="EK8" s="310" t="e">
        <f t="shared" ref="EK8:EK19" si="25">$BF8*CI8</f>
        <v>#VALUE!</v>
      </c>
      <c r="EL8" s="310" t="e">
        <f t="shared" ref="EL8:EL19" si="26">$BF8*CJ8</f>
        <v>#VALUE!</v>
      </c>
      <c r="EM8" s="289" t="s">
        <v>7559</v>
      </c>
      <c r="EN8" s="308" t="e">
        <f t="shared" ref="EN8:EN19" si="27">$BJ8*CK8</f>
        <v>#VALUE!</v>
      </c>
      <c r="EO8" s="310" t="e">
        <f t="shared" ref="EO8:EO19" si="28">$BJ8*CL8</f>
        <v>#VALUE!</v>
      </c>
      <c r="EP8" s="310" t="e">
        <f t="shared" ref="EP8:EP19" si="29">$BJ8*CM8</f>
        <v>#VALUE!</v>
      </c>
      <c r="EQ8" s="289" t="s">
        <v>7559</v>
      </c>
      <c r="ER8" s="657"/>
      <c r="ES8" s="728">
        <f t="shared" ref="ES8:ES19" si="30">IFERROR(EV8/EU8,0)</f>
        <v>0</v>
      </c>
      <c r="ET8" s="728">
        <f t="shared" ref="ET8:ET19" si="31">IFERROR(EW8/EU8,0)</f>
        <v>0</v>
      </c>
      <c r="EU8" s="311">
        <f t="shared" ref="EU8:EU19" si="32">EV8+EW8</f>
        <v>0</v>
      </c>
      <c r="EV8" s="311">
        <f t="shared" ref="EV8:EV19" si="33">SUM(EY8,FB8,FE8,FH8)</f>
        <v>0</v>
      </c>
      <c r="EW8" s="311">
        <f t="shared" ref="EW8:EW19" si="34">SUM(EZ8,FC8,FF8,FI8)</f>
        <v>0</v>
      </c>
      <c r="EX8" s="311">
        <f t="shared" ref="EX8:EX19" si="35">EY8+EZ8</f>
        <v>0</v>
      </c>
      <c r="EY8" s="311">
        <f>SUMPRODUCT(('ANALYSE - ERP =&gt; SOUS-SEGMENT'!$B$8:$B$154=$B8)*'ANALYSE - ERP =&gt; SOUS-SEGMENT'!$Q$8:$Q$154*'ANALYSE - ERP =&gt; SOUS-SEGMENT'!$FB$8:$FB$154)</f>
        <v>0</v>
      </c>
      <c r="EZ8" s="311">
        <f>SUMPRODUCT(('ANALYSE - ERP =&gt; SOUS-SEGMENT'!$B$8:$B$154=$B8)*'ANALYSE - ERP =&gt; SOUS-SEGMENT'!$Q$8:$Q$154*'ANALYSE - ERP =&gt; SOUS-SEGMENT'!$FC$8:$FC$154)</f>
        <v>0</v>
      </c>
      <c r="FA8" s="311">
        <f t="shared" ref="FA8:FA19" si="36">FB8+FC8</f>
        <v>0</v>
      </c>
      <c r="FB8" s="311">
        <f>SUMPRODUCT(('ANALYSE - ERP =&gt; SOUS-SEGMENT'!$B$8:$B$154=$B8)*'ANALYSE - ERP =&gt; SOUS-SEGMENT'!$Q$8:$Q$154*'ANALYSE - ERP =&gt; SOUS-SEGMENT'!$FE$8:$FE$154)</f>
        <v>0</v>
      </c>
      <c r="FC8" s="311">
        <f>SUMPRODUCT(('ANALYSE - ERP =&gt; SOUS-SEGMENT'!$B$8:$B$154=$B8)*'ANALYSE - ERP =&gt; SOUS-SEGMENT'!$Q$8:$Q$154*'ANALYSE - ERP =&gt; SOUS-SEGMENT'!$FF$8:$FF$154)</f>
        <v>0</v>
      </c>
      <c r="FD8" s="311">
        <f t="shared" ref="FD8:FD19" si="37">FE8+FF8</f>
        <v>0</v>
      </c>
      <c r="FE8" s="311">
        <f>SUMPRODUCT(('ANALYSE - ERP =&gt; SOUS-SEGMENT'!$B$8:$B$154=$B8)*'ANALYSE - ERP =&gt; SOUS-SEGMENT'!$Q$8:$Q$154*'ANALYSE - ERP =&gt; SOUS-SEGMENT'!$FH$8:$FH$154)</f>
        <v>0</v>
      </c>
      <c r="FF8" s="311">
        <f>SUMPRODUCT(('ANALYSE - ERP =&gt; SOUS-SEGMENT'!$B$8:$B$154=$B8)*'ANALYSE - ERP =&gt; SOUS-SEGMENT'!$Q$8:$Q$154*'ANALYSE - ERP =&gt; SOUS-SEGMENT'!$FI$8:$FI$154)</f>
        <v>0</v>
      </c>
      <c r="FG8" s="311">
        <f t="shared" ref="FG8:FG19" si="38">FH8+FI8</f>
        <v>0</v>
      </c>
      <c r="FH8" s="311">
        <f>SUMPRODUCT(('ANALYSE - ERP =&gt; SOUS-SEGMENT'!$B$8:$B$154=$B8)*'ANALYSE - ERP =&gt; SOUS-SEGMENT'!$Q$8:$Q$154*'ANALYSE - ERP =&gt; SOUS-SEGMENT'!$FK$8:$FK$154)</f>
        <v>0</v>
      </c>
      <c r="FI8" s="311">
        <f>SUMPRODUCT(('ANALYSE - ERP =&gt; SOUS-SEGMENT'!$B$8:$B$154=$B8)*'ANALYSE - ERP =&gt; SOUS-SEGMENT'!$Q$8:$Q$154*'ANALYSE - ERP =&gt; SOUS-SEGMENT'!$FL$8:$FL$154)</f>
        <v>0</v>
      </c>
      <c r="FJ8" s="657"/>
      <c r="FK8" s="293" t="s">
        <v>2649</v>
      </c>
      <c r="FL8" s="728" t="str">
        <f>IFERROR(SUMPRODUCT(('ANALYSE - ERP =&gt; SOUS-SEGMENT'!$B$8:$B$154=$B8)*'ANALYSE - ERP =&gt; SOUS-SEGMENT'!$Q$8:$Q$154*'ANALYSE - ERP =&gt; SOUS-SEGMENT'!$AF$8:$AF$154*'ANALYSE - ERP =&gt; SOUS-SEGMENT'!$FO$8:$FO$154)/SUMPRODUCT(('ANALYSE - ERP =&gt; SOUS-SEGMENT'!$B$8:$B$154=$B8)*'ANALYSE - ERP =&gt; SOUS-SEGMENT'!$Q$8:$Q$154*'ANALYSE - ERP =&gt; SOUS-SEGMENT'!$AF$8:$AF$154),"")</f>
        <v/>
      </c>
      <c r="FM8" s="729" t="str">
        <f>IFERROR(SUMPRODUCT(('ANALYSE - ERP =&gt; SOUS-SEGMENT'!$B$8:$B$154=$B8)*'ANALYSE - ERP =&gt; SOUS-SEGMENT'!$Q$8:$Q$154*'ANALYSE - ERP =&gt; SOUS-SEGMENT'!$AF$8:$AF$154*'ANALYSE - ERP =&gt; SOUS-SEGMENT'!$FP$8:$FP$154)/SUMPRODUCT(('ANALYSE - ERP =&gt; SOUS-SEGMENT'!$B$8:$B$154=$B8)*'ANALYSE - ERP =&gt; SOUS-SEGMENT'!$Q$8:$Q$154*'ANALYSE - ERP =&gt; SOUS-SEGMENT'!$AF$8:$AF$154),"")</f>
        <v/>
      </c>
      <c r="FN8" s="294" t="s">
        <v>6780</v>
      </c>
      <c r="FO8" s="657"/>
      <c r="FP8" s="865" t="str">
        <f>IFERROR(SUMPRODUCT(('ANALYSE - ERP =&gt; SOUS-SEGMENT'!$B$8:$B$154=$B8)*'ANALYSE - ERP =&gt; SOUS-SEGMENT'!$Q$8:$Q$154*'ANALYSE - ERP =&gt; SOUS-SEGMENT'!$EX$8:$EX$154*'ANALYSE - ERP =&gt; SOUS-SEGMENT'!$FS$8:$FS$154)/SUMPRODUCT(('ANALYSE - ERP =&gt; SOUS-SEGMENT'!$B$8:$B$154=$B8)*'ANALYSE - ERP =&gt; SOUS-SEGMENT'!$Q$8:$Q$154*'ANALYSE - ERP =&gt; SOUS-SEGMENT'!$EX$8:$EX$154),"")</f>
        <v/>
      </c>
      <c r="FQ8" s="312" t="e">
        <f>RANK($FP8,$FP$8:$FP$143,0)+COUNTIF($FP$8:$FP8,$FP8)-1</f>
        <v>#VALUE!</v>
      </c>
      <c r="FR8" s="865" t="e">
        <f>IFERROR(SUMPRODUCT(('ANALYSE - ERP =&gt; SOUS-SEGMENT'!$B$8:$B$154=$B8)*'ANALYSE - ERP =&gt; SOUS-SEGMENT'!$Q$8:$Q$154*'ANALYSE - ERP =&gt; SOUS-SEGMENT'!$EY$8:$EY$154*'ANALYSE - ERP =&gt; SOUS-SEGMENT'!$FU$8:$FU$154)/SUMPRODUCT(('ANALYSE - ERP =&gt; SOUS-SEGMENT'!$B$8:$B$154=$B8)*'ANALYSE - ERP =&gt; SOUS-SEGMENT'!$Q$8:$Q$154*'ANALYSE - ERP =&gt; SOUS-SEGMENT'!$EY$8:$EY$154),"")-0.1</f>
        <v>#VALUE!</v>
      </c>
      <c r="FS8" s="312" t="e">
        <f>RANK($FR8,$FR$8:$FR$143,0)+COUNTIF($FR$8:$FR8,$FR8)-1</f>
        <v>#VALUE!</v>
      </c>
      <c r="FT8" s="865" t="e">
        <f>IFERROR(SUMPRODUCT(('ANALYSE - ERP =&gt; SOUS-SEGMENT'!$B$8:$B$154=$B8)*'ANALYSE - ERP =&gt; SOUS-SEGMENT'!$Q$8:$Q$154*'ANALYSE - ERP =&gt; SOUS-SEGMENT'!$EZ$8:$EZ$154*'ANALYSE - ERP =&gt; SOUS-SEGMENT'!$FW$8:$FW$154)/SUMPRODUCT(('ANALYSE - ERP =&gt; SOUS-SEGMENT'!$B$8:$B$154=$B8)*'ANALYSE - ERP =&gt; SOUS-SEGMENT'!$Q$8:$Q$154*'ANALYSE - ERP =&gt; SOUS-SEGMENT'!$EZ$8:$EZ$154),"")-0.1</f>
        <v>#VALUE!</v>
      </c>
      <c r="FU8" s="312" t="e">
        <f>RANK($FT8,$FT$8:$FT$143,0)+COUNTIF($FT$8:$FT8,$FT8)-1</f>
        <v>#VALUE!</v>
      </c>
      <c r="FV8" s="657"/>
      <c r="FW8" s="296" t="s">
        <v>7559</v>
      </c>
      <c r="FX8" s="296" t="s">
        <v>7559</v>
      </c>
      <c r="FY8" s="296" t="s">
        <v>7559</v>
      </c>
      <c r="FZ8" s="296" t="s">
        <v>7559</v>
      </c>
      <c r="GA8" s="296" t="s">
        <v>7559</v>
      </c>
      <c r="GB8" s="296" t="s">
        <v>7559</v>
      </c>
      <c r="GC8" s="296" t="str">
        <f t="shared" ref="GC8:GC19" si="39">HYPERLINK("https://solidarites.gouv.fr/le-service-public-de-la-petite-enfance-garantir-un-accueil-de-qualite-tous-les-enfants-et-leurs-familles","https://solidarites.gouv.fr/le-service-public-de-la-petite-enfance-garantir-un-accueil-de-qualite-tous-les-enfants-et-leurs-familles")&amp;CHAR(10)&amp;HYPERLINK("https://solidarites.gouv.fr/outils-et-ressources-destination-des-autorites-organisatrices-de-laccueil-du-jeune-enfant","https://solidarites.gouv.fr/outils-et-ressources-destination-des-autorites-organisatrices-de-laccueil-du-jeune-enfant")&amp;CHAR(10)&amp;HYPERLINK("https://solidarites.gouv.fr/stephanie-rist-annonce-une-revalorisation-du-financement-des-creches-par-les-caf-de-2-en-2025","https://solidarites.gouv.fr/stephanie-rist-annonce-une-revalorisation-du-financement-des-creches-par-les-caf-de-2-en-2025")&amp;CHAR(10)&amp;HYPERLINK("https://www.ecologie.gouv.fr/eco-energie-tertiaire-eet","https://www.ecologie.gouv.fr/eco-energie-tertiaire-eet")&amp;CHAR(10)&amp;HYPERLINK("https://www.collectivites-locales.gouv.fr/les-collectivites-locales-en-chiffres-2025","https://www.collectivites-locales.gouv.fr/les-collectivites-locales-en-chiffres-2025")&amp;CHAR(10)&amp;HYPERLINK("https://www.collectivites-locales.gouv.fr/actualites/situation-mensuelle-comptable-des-collectivites-locales-au-31-decembre-2025","https://www.collectivites-locales.gouv.fr/actualites/situation-mensuelle-comptable-des-collectivites-locales-au-31-decembre-2025")&amp;CHAR(10)&amp;HYPERLINK("https://www.statistiques.developpement-durable.gouv.fr/construction-de-locaux-resultats-fin-janvier-2026-france-entiere","https://www.statistiques.developpement-durable.gouv.fr/construction-de-locaux-resultats-fin-janvier-2026-france-entiere")&amp;CHAR(10)&amp;HYPERLINK("https://www.insee.fr/fr/statistiques/8671745","https://www.insee.fr/fr/statistiques/8671745")&amp;CHAR(10)&amp;HYPERLINK("https://www.insee.fr/fr/statistiques/8906564","https://www.insee.fr/fr/statistiques/8906564")</f>
        <v>https://solidarites.gouv.fr/le-service-public-de-la-petite-enfance-garantir-un-accueil-de-qualite-tous-les-enfants-et-leurs-familles
https://solidarites.gouv.fr/outils-et-ressources-destination-des-autorites-organisatrices-de-laccueil-du-jeune-enfant
https://solidarites.gouv.fr/stephanie-rist-annonce-une-revalorisation-du-financement-des-creches-par-les-caf-de-2-en-2025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D8" s="657"/>
      <c r="GE8" s="311">
        <f>SUMPRODUCT(('ANALYSE - ERP =&gt; SOUS-SEGMENT'!$B$8:$B$154=$B8)*'ANALYSE - ERP =&gt; SOUS-SEGMENT'!$Q$8:$Q$154*'ANALYSE - ERP =&gt; SOUS-SEGMENT'!$GH$8:$GH$154)</f>
        <v>0</v>
      </c>
      <c r="GF8" s="311">
        <f>SUMPRODUCT(('ANALYSE - ERP =&gt; SOUS-SEGMENT'!$B$8:$B$154=$B8)*'ANALYSE - ERP =&gt; SOUS-SEGMENT'!$Q$8:$Q$154*'ANALYSE - ERP =&gt; SOUS-SEGMENT'!$GI$8:$GI$154)</f>
        <v>0</v>
      </c>
      <c r="GG8" s="311">
        <f>SUMPRODUCT(('ANALYSE - ERP =&gt; SOUS-SEGMENT'!$B$8:$B$154=$B8)*'ANALYSE - ERP =&gt; SOUS-SEGMENT'!$Q$8:$Q$154*'ANALYSE - ERP =&gt; SOUS-SEGMENT'!$GJ$8:$GJ$154)</f>
        <v>0</v>
      </c>
      <c r="GH8" s="311">
        <f>SUMPRODUCT(('ANALYSE - ERP =&gt; SOUS-SEGMENT'!$B$8:$B$154=$B8)*'ANALYSE - ERP =&gt; SOUS-SEGMENT'!$Q$8:$Q$154*'ANALYSE - ERP =&gt; SOUS-SEGMENT'!$GK$8:$GK$154)</f>
        <v>0</v>
      </c>
      <c r="GI8" s="311">
        <f>SUMPRODUCT(('ANALYSE - ERP =&gt; SOUS-SEGMENT'!$B$8:$B$154=$B8)*'ANALYSE - ERP =&gt; SOUS-SEGMENT'!$Q$8:$Q$154*'ANALYSE - ERP =&gt; SOUS-SEGMENT'!$GL$8:$GL$154)</f>
        <v>0</v>
      </c>
      <c r="GJ8" s="311">
        <f>SUMPRODUCT(('ANALYSE - ERP =&gt; SOUS-SEGMENT'!$B$8:$B$154=$B8)*'ANALYSE - ERP =&gt; SOUS-SEGMENT'!$Q$8:$Q$154*'ANALYSE - ERP =&gt; SOUS-SEGMENT'!$GM$8:$GM$154)</f>
        <v>0</v>
      </c>
      <c r="GK8" s="311">
        <f>SUMPRODUCT(('ANALYSE - ERP =&gt; SOUS-SEGMENT'!$B$8:$B$154=$B8)*'ANALYSE - ERP =&gt; SOUS-SEGMENT'!$Q$8:$Q$154*'ANALYSE - ERP =&gt; SOUS-SEGMENT'!$GN$8:$GN$154)</f>
        <v>0</v>
      </c>
      <c r="GL8" s="311">
        <f>SUMPRODUCT(('ANALYSE - ERP =&gt; SOUS-SEGMENT'!$B$8:$B$154=$B8)*'ANALYSE - ERP =&gt; SOUS-SEGMENT'!$Q$8:$Q$154*'ANALYSE - ERP =&gt; SOUS-SEGMENT'!$GO$8:$GO$154)</f>
        <v>0</v>
      </c>
      <c r="GM8" s="311">
        <f>SUMPRODUCT(('ANALYSE - ERP =&gt; SOUS-SEGMENT'!$B$8:$B$154=$B8)*'ANALYSE - ERP =&gt; SOUS-SEGMENT'!$Q$8:$Q$154*'ANALYSE - ERP =&gt; SOUS-SEGMENT'!$GP$8:$GP$154)</f>
        <v>0</v>
      </c>
      <c r="GN8" s="311">
        <f>SUMPRODUCT(('ANALYSE - ERP =&gt; SOUS-SEGMENT'!$B$8:$B$154=$B8)*'ANALYSE - ERP =&gt; SOUS-SEGMENT'!$Q$8:$Q$154*'ANALYSE - ERP =&gt; SOUS-SEGMENT'!$GQ$8:$GQ$154)</f>
        <v>0</v>
      </c>
      <c r="GO8" s="311">
        <f>SUMPRODUCT(('ANALYSE - ERP =&gt; SOUS-SEGMENT'!$B$8:$B$154=$B8)*'ANALYSE - ERP =&gt; SOUS-SEGMENT'!$Q$8:$Q$154*'ANALYSE - ERP =&gt; SOUS-SEGMENT'!$GR$8:$GR$154)</f>
        <v>0</v>
      </c>
      <c r="GP8" s="311">
        <f>SUMPRODUCT(('ANALYSE - ERP =&gt; SOUS-SEGMENT'!$B$8:$B$154=$B8)*'ANALYSE - ERP =&gt; SOUS-SEGMENT'!$Q$8:$Q$154*'ANALYSE - ERP =&gt; SOUS-SEGMENT'!$GS$8:$GS$154)</f>
        <v>0</v>
      </c>
      <c r="GQ8" s="311">
        <f>SUMPRODUCT(('ANALYSE - ERP =&gt; SOUS-SEGMENT'!$B$8:$B$154=$B8)*'ANALYSE - ERP =&gt; SOUS-SEGMENT'!$Q$8:$Q$154*'ANALYSE - ERP =&gt; SOUS-SEGMENT'!$GT$8:$GT$154)</f>
        <v>0</v>
      </c>
      <c r="GR8" s="311">
        <f>SUMPRODUCT(('ANALYSE - ERP =&gt; SOUS-SEGMENT'!$B$8:$B$154=$B8)*'ANALYSE - ERP =&gt; SOUS-SEGMENT'!$Q$8:$Q$154*'ANALYSE - ERP =&gt; SOUS-SEGMENT'!$GU$8:$GU$154)</f>
        <v>0</v>
      </c>
      <c r="GS8" s="311">
        <f>SUMPRODUCT(('ANALYSE - ERP =&gt; SOUS-SEGMENT'!$B$8:$B$154=$B8)*'ANALYSE - ERP =&gt; SOUS-SEGMENT'!$Q$8:$Q$154*'ANALYSE - ERP =&gt; SOUS-SEGMENT'!$GV$8:$GV$154)</f>
        <v>0</v>
      </c>
      <c r="GT8" s="311">
        <f>SUMPRODUCT(('ANALYSE - ERP =&gt; SOUS-SEGMENT'!$B$8:$B$154=$B8)*'ANALYSE - ERP =&gt; SOUS-SEGMENT'!$Q$8:$Q$154*'ANALYSE - ERP =&gt; SOUS-SEGMENT'!$GW$8:$GW$154)</f>
        <v>0</v>
      </c>
      <c r="GU8" s="311">
        <f>SUMPRODUCT(('ANALYSE - ERP =&gt; SOUS-SEGMENT'!$B$8:$B$154=$B8)*'ANALYSE - ERP =&gt; SOUS-SEGMENT'!$Q$8:$Q$154*'ANALYSE - ERP =&gt; SOUS-SEGMENT'!$GX$8:$GX$154)</f>
        <v>0</v>
      </c>
      <c r="GV8" s="311">
        <f>SUMPRODUCT(('ANALYSE - ERP =&gt; SOUS-SEGMENT'!$B$8:$B$154=$B8)*'ANALYSE - ERP =&gt; SOUS-SEGMENT'!$Q$8:$Q$154*'ANALYSE - ERP =&gt; SOUS-SEGMENT'!$GY$8:$GY$154)</f>
        <v>0</v>
      </c>
      <c r="GW8" s="311">
        <f>SUMPRODUCT(('ANALYSE - ERP =&gt; SOUS-SEGMENT'!$B$8:$B$154=$B8)*'ANALYSE - ERP =&gt; SOUS-SEGMENT'!$Q$8:$Q$154*'ANALYSE - ERP =&gt; SOUS-SEGMENT'!$GZ$8:$GZ$154)</f>
        <v>0</v>
      </c>
      <c r="GX8" s="311">
        <f>SUMPRODUCT(('ANALYSE - ERP =&gt; SOUS-SEGMENT'!$B$8:$B$154=$B8)*'ANALYSE - ERP =&gt; SOUS-SEGMENT'!$Q$8:$Q$154*'ANALYSE - ERP =&gt; SOUS-SEGMENT'!$HA$8:$HA$154)</f>
        <v>0</v>
      </c>
      <c r="GY8" s="311">
        <f>SUMPRODUCT(('ANALYSE - ERP =&gt; SOUS-SEGMENT'!$B$8:$B$154=$B8)*'ANALYSE - ERP =&gt; SOUS-SEGMENT'!$Q$8:$Q$154*'ANALYSE - ERP =&gt; SOUS-SEGMENT'!$HB$8:$HB$154)</f>
        <v>0</v>
      </c>
      <c r="GZ8" s="311">
        <f>SUMPRODUCT(('ANALYSE - ERP =&gt; SOUS-SEGMENT'!$B$8:$B$154=$B8)*'ANALYSE - ERP =&gt; SOUS-SEGMENT'!$Q$8:$Q$154*'ANALYSE - ERP =&gt; SOUS-SEGMENT'!$HC$8:$HC$154)</f>
        <v>0</v>
      </c>
      <c r="HA8" s="311">
        <f>SUMPRODUCT(('ANALYSE - ERP =&gt; SOUS-SEGMENT'!$B$8:$B$154=$B8)*'ANALYSE - ERP =&gt; SOUS-SEGMENT'!$Q$8:$Q$154*'ANALYSE - ERP =&gt; SOUS-SEGMENT'!$HD$8:$HD$154)</f>
        <v>0</v>
      </c>
      <c r="HB8" s="311">
        <f>SUMPRODUCT(('ANALYSE - ERP =&gt; SOUS-SEGMENT'!$B$8:$B$154=$B8)*'ANALYSE - ERP =&gt; SOUS-SEGMENT'!$Q$8:$Q$154*'ANALYSE - ERP =&gt; SOUS-SEGMENT'!$HE$8:$HE$154)</f>
        <v>0</v>
      </c>
      <c r="HC8" s="311">
        <f>SUMPRODUCT(('ANALYSE - ERP =&gt; SOUS-SEGMENT'!$B$8:$B$154=$B8)*'ANALYSE - ERP =&gt; SOUS-SEGMENT'!$Q$8:$Q$154*'ANALYSE - ERP =&gt; SOUS-SEGMENT'!$HF$8:$HF$154)</f>
        <v>0</v>
      </c>
      <c r="HD8" s="311">
        <f>SUMPRODUCT(('ANALYSE - ERP =&gt; SOUS-SEGMENT'!$B$8:$B$154=$B8)*'ANALYSE - ERP =&gt; SOUS-SEGMENT'!$Q$8:$Q$154*'ANALYSE - ERP =&gt; SOUS-SEGMENT'!$HG$8:$HG$154)</f>
        <v>0</v>
      </c>
      <c r="HE8" s="311">
        <f>SUMPRODUCT(('ANALYSE - ERP =&gt; SOUS-SEGMENT'!$B$8:$B$154=$B8)*'ANALYSE - ERP =&gt; SOUS-SEGMENT'!$Q$8:$Q$154*'ANALYSE - ERP =&gt; SOUS-SEGMENT'!$HH$8:$HH$154)</f>
        <v>0</v>
      </c>
      <c r="HF8" s="311">
        <f>SUMPRODUCT(('ANALYSE - ERP =&gt; SOUS-SEGMENT'!$B$8:$B$154=$B8)*'ANALYSE - ERP =&gt; SOUS-SEGMENT'!$Q$8:$Q$154*'ANALYSE - ERP =&gt; SOUS-SEGMENT'!$HI$8:$HI$154)</f>
        <v>0</v>
      </c>
      <c r="HG8" s="311">
        <f>SUMPRODUCT(('ANALYSE - ERP =&gt; SOUS-SEGMENT'!$B$8:$B$154=$B8)*'ANALYSE - ERP =&gt; SOUS-SEGMENT'!$Q$8:$Q$154*'ANALYSE - ERP =&gt; SOUS-SEGMENT'!$HJ$8:$HJ$154)</f>
        <v>0</v>
      </c>
      <c r="HH8" s="311">
        <f>SUMPRODUCT(('ANALYSE - ERP =&gt; SOUS-SEGMENT'!$B$8:$B$154=$B8)*'ANALYSE - ERP =&gt; SOUS-SEGMENT'!$Q$8:$Q$154*'ANALYSE - ERP =&gt; SOUS-SEGMENT'!$HK$8:$HK$154)</f>
        <v>0</v>
      </c>
      <c r="HI8" s="311">
        <f>SUMPRODUCT(('ANALYSE - ERP =&gt; SOUS-SEGMENT'!$B$8:$B$154=$B8)*'ANALYSE - ERP =&gt; SOUS-SEGMENT'!$Q$8:$Q$154*'ANALYSE - ERP =&gt; SOUS-SEGMENT'!$HL$8:$HL$154)</f>
        <v>0</v>
      </c>
      <c r="HJ8" s="311">
        <f>SUMPRODUCT(('ANALYSE - ERP =&gt; SOUS-SEGMENT'!$B$8:$B$154=$B8)*'ANALYSE - ERP =&gt; SOUS-SEGMENT'!$Q$8:$Q$154*'ANALYSE - ERP =&gt; SOUS-SEGMENT'!$HM$8:$HM$154)</f>
        <v>0</v>
      </c>
      <c r="HK8" s="311">
        <f>SUMPRODUCT(('ANALYSE - ERP =&gt; SOUS-SEGMENT'!$B$8:$B$154=$B8)*'ANALYSE - ERP =&gt; SOUS-SEGMENT'!$Q$8:$Q$154*'ANALYSE - ERP =&gt; SOUS-SEGMENT'!$HN$8:$HN$154)</f>
        <v>0</v>
      </c>
      <c r="HL8" s="311">
        <f>SUMPRODUCT(('ANALYSE - ERP =&gt; SOUS-SEGMENT'!$B$8:$B$154=$B8)*'ANALYSE - ERP =&gt; SOUS-SEGMENT'!$Q$8:$Q$154*'ANALYSE - ERP =&gt; SOUS-SEGMENT'!$HO$8:$HO$154)</f>
        <v>0</v>
      </c>
      <c r="HM8" s="311">
        <f>SUMPRODUCT(('ANALYSE - ERP =&gt; SOUS-SEGMENT'!$B$8:$B$154=$B8)*'ANALYSE - ERP =&gt; SOUS-SEGMENT'!$Q$8:$Q$154*'ANALYSE - ERP =&gt; SOUS-SEGMENT'!$HP$8:$HP$154)</f>
        <v>0</v>
      </c>
      <c r="HN8" s="311">
        <f>SUMPRODUCT(('ANALYSE - ERP =&gt; SOUS-SEGMENT'!$B$8:$B$154=$B8)*'ANALYSE - ERP =&gt; SOUS-SEGMENT'!$Q$8:$Q$154*'ANALYSE - ERP =&gt; SOUS-SEGMENT'!$HQ$8:$HQ$154)</f>
        <v>0</v>
      </c>
      <c r="HO8" s="311">
        <f>SUMPRODUCT(('ANALYSE - ERP =&gt; SOUS-SEGMENT'!$B$8:$B$154=$B8)*'ANALYSE - ERP =&gt; SOUS-SEGMENT'!$Q$8:$Q$154*'ANALYSE - ERP =&gt; SOUS-SEGMENT'!$HR$8:$HR$154)</f>
        <v>0</v>
      </c>
      <c r="HP8" s="311">
        <f>SUMPRODUCT(('ANALYSE - ERP =&gt; SOUS-SEGMENT'!$B$8:$B$154=$B8)*'ANALYSE - ERP =&gt; SOUS-SEGMENT'!$Q$8:$Q$154*'ANALYSE - ERP =&gt; SOUS-SEGMENT'!$HS$8:$HS$154)</f>
        <v>0</v>
      </c>
      <c r="HQ8" s="311">
        <f>SUMPRODUCT(('ANALYSE - ERP =&gt; SOUS-SEGMENT'!$B$8:$B$154=$B8)*'ANALYSE - ERP =&gt; SOUS-SEGMENT'!$Q$8:$Q$154*'ANALYSE - ERP =&gt; SOUS-SEGMENT'!$HT$8:$HT$154)</f>
        <v>0</v>
      </c>
      <c r="HR8" s="311">
        <f>SUMPRODUCT(('ANALYSE - ERP =&gt; SOUS-SEGMENT'!$B$8:$B$154=$B8)*'ANALYSE - ERP =&gt; SOUS-SEGMENT'!$Q$8:$Q$154*'ANALYSE - ERP =&gt; SOUS-SEGMENT'!$HU$8:$HU$154)</f>
        <v>0</v>
      </c>
      <c r="HS8" s="311">
        <f>SUMPRODUCT(('ANALYSE - ERP =&gt; SOUS-SEGMENT'!$B$8:$B$154=$B8)*'ANALYSE - ERP =&gt; SOUS-SEGMENT'!$Q$8:$Q$154*'ANALYSE - ERP =&gt; SOUS-SEGMENT'!$HV$8:$HV$154)</f>
        <v>0</v>
      </c>
      <c r="HT8" s="311">
        <f>SUMPRODUCT(('ANALYSE - ERP =&gt; SOUS-SEGMENT'!$B$8:$B$154=$B8)*'ANALYSE - ERP =&gt; SOUS-SEGMENT'!$Q$8:$Q$154*'ANALYSE - ERP =&gt; SOUS-SEGMENT'!$HW$8:$HW$154)</f>
        <v>0</v>
      </c>
      <c r="HV8" s="313">
        <f t="shared" ref="HV8:HV19" si="40">SUM(HW8:IA8)</f>
        <v>0</v>
      </c>
      <c r="HW8" s="313">
        <f>SUMPRODUCT(('ANALYSE - ERP =&gt; SOUS-SEGMENT'!$B$8:$B$154=$B8)*'ANALYSE - ERP =&gt; SOUS-SEGMENT'!$Q$8:$Q$154*'ANALYSE - ERP =&gt; SOUS-SEGMENT'!$HZ$8:$HZ$154)</f>
        <v>0</v>
      </c>
      <c r="HX8" s="313">
        <f>SUMPRODUCT(('ANALYSE - ERP =&gt; SOUS-SEGMENT'!$B$8:$B$154=$B8)*'ANALYSE - ERP =&gt; SOUS-SEGMENT'!$Q$8:$Q$154*'ANALYSE - ERP =&gt; SOUS-SEGMENT'!$IA$8:$IA$154)</f>
        <v>0</v>
      </c>
      <c r="HY8" s="313">
        <f>SUMPRODUCT(('ANALYSE - ERP =&gt; SOUS-SEGMENT'!$B$8:$B$154=$B8)*'ANALYSE - ERP =&gt; SOUS-SEGMENT'!$Q$8:$Q$154*'ANALYSE - ERP =&gt; SOUS-SEGMENT'!$IB$8:$IB$154)</f>
        <v>0</v>
      </c>
      <c r="HZ8" s="313">
        <f>SUMPRODUCT(('ANALYSE - ERP =&gt; SOUS-SEGMENT'!$B$8:$B$154=$B8)*'ANALYSE - ERP =&gt; SOUS-SEGMENT'!$Q$8:$Q$154*'ANALYSE - ERP =&gt; SOUS-SEGMENT'!$IC$8:$IC$154)</f>
        <v>0</v>
      </c>
      <c r="IA8" s="313">
        <f>SUMPRODUCT(('ANALYSE - ERP =&gt; SOUS-SEGMENT'!$B$8:$B$154=$B8)*'ANALYSE - ERP =&gt; SOUS-SEGMENT'!$Q$8:$Q$154*'ANALYSE - ERP =&gt; SOUS-SEGMENT'!$ID$8:$ID$154)</f>
        <v>0</v>
      </c>
      <c r="IB8" s="313">
        <f>SUMPRODUCT(('ANALYSE - ERP =&gt; SOUS-SEGMENT'!$B$8:$B$154=$B8)*'ANALYSE - ERP =&gt; SOUS-SEGMENT'!$Q$8:$Q$154*'ANALYSE - ERP =&gt; SOUS-SEGMENT'!$IE$8:$IE$154)</f>
        <v>0</v>
      </c>
      <c r="IC8" s="313">
        <f>SUMPRODUCT(('ANALYSE - ERP =&gt; SOUS-SEGMENT'!$B$8:$B$154=$B8)*'ANALYSE - ERP =&gt; SOUS-SEGMENT'!$Q$8:$Q$154*'ANALYSE - ERP =&gt; SOUS-SEGMENT'!$IF$8:$IF$154)</f>
        <v>0</v>
      </c>
      <c r="ID8" s="313">
        <f>SUMPRODUCT(('ANALYSE - ERP =&gt; SOUS-SEGMENT'!$B$8:$B$154=$B8)*'ANALYSE - ERP =&gt; SOUS-SEGMENT'!$Q$8:$Q$154*'ANALYSE - ERP =&gt; SOUS-SEGMENT'!$IG$8:$IG$154)</f>
        <v>0</v>
      </c>
      <c r="IE8" s="313">
        <f>SUMPRODUCT(('ANALYSE - ERP =&gt; SOUS-SEGMENT'!$B$8:$B$154=$B8)*'ANALYSE - ERP =&gt; SOUS-SEGMENT'!$Q$8:$Q$154*'ANALYSE - ERP =&gt; SOUS-SEGMENT'!$IH$8:$IH$154)</f>
        <v>0</v>
      </c>
      <c r="IF8" s="313">
        <f>SUMPRODUCT(('ANALYSE - ERP =&gt; SOUS-SEGMENT'!$B$8:$B$154=$B8)*'ANALYSE - ERP =&gt; SOUS-SEGMENT'!$Q$8:$Q$154*'ANALYSE - ERP =&gt; SOUS-SEGMENT'!$II$8:$II$154)</f>
        <v>0</v>
      </c>
      <c r="IG8" s="313">
        <f>SUMPRODUCT(('ANALYSE - ERP =&gt; SOUS-SEGMENT'!$B$8:$B$154=$B8)*'ANALYSE - ERP =&gt; SOUS-SEGMENT'!$Q$8:$Q$154*'ANALYSE - ERP =&gt; SOUS-SEGMENT'!$IJ$8:$IJ$154)</f>
        <v>0</v>
      </c>
      <c r="IH8" s="866"/>
      <c r="II8" s="314" t="s">
        <v>2589</v>
      </c>
      <c r="IJ8" s="299" t="s">
        <v>7559</v>
      </c>
      <c r="IK8" s="657"/>
      <c r="IL8" s="779">
        <f>IFERROR(SUMPRODUCT(('ANALYSE - ERP =&gt; SOUS-SEGMENT'!$B$8:$B$154=$B8)*'ANALYSE - ERP =&gt; SOUS-SEGMENT'!$Q$8:$Q$154*'ANALYSE - ERP =&gt; SOUS-SEGMENT'!$BE$8:$BE$154*'ANALYSE - ERP =&gt; SOUS-SEGMENT'!$IO$8:$IO$154)/SUMPRODUCT(('ANALYSE - ERP =&gt; SOUS-SEGMENT'!$B$8:$B$154=$B8)*'ANALYSE - ERP =&gt; SOUS-SEGMENT'!$Q$8:$Q$154*'ANALYSE - ERP =&gt; SOUS-SEGMENT'!$BE$8:$BE$154),0)</f>
        <v>0</v>
      </c>
      <c r="IM8" s="780">
        <f>IFERROR(SUMPRODUCT(('ANALYSE - ERP =&gt; SOUS-SEGMENT'!$B$8:$B$154=$B8)*'ANALYSE - ERP =&gt; SOUS-SEGMENT'!$Q$8:$Q$154*'ANALYSE - ERP =&gt; SOUS-SEGMENT'!$BE$8:$BE$154*'ANALYSE - ERP =&gt; SOUS-SEGMENT'!$IP$8:$IP$154)/SUMPRODUCT(('ANALYSE - ERP =&gt; SOUS-SEGMENT'!$B$8:$B$154=$B8)*'ANALYSE - ERP =&gt; SOUS-SEGMENT'!$Q$8:$Q$154*'ANALYSE - ERP =&gt; SOUS-SEGMENT'!$BE$8:$BE$154),0)</f>
        <v>0</v>
      </c>
      <c r="IN8" s="780">
        <f>IFERROR(SUMPRODUCT(('ANALYSE - ERP =&gt; SOUS-SEGMENT'!$B$8:$B$154=$B8)*'ANALYSE - ERP =&gt; SOUS-SEGMENT'!$Q$8:$Q$154*'ANALYSE - ERP =&gt; SOUS-SEGMENT'!$BE$8:$BE$154*'ANALYSE - ERP =&gt; SOUS-SEGMENT'!$IQ$8:$IQ$154)/SUMPRODUCT(('ANALYSE - ERP =&gt; SOUS-SEGMENT'!$B$8:$B$154=$B8)*'ANALYSE - ERP =&gt; SOUS-SEGMENT'!$Q$8:$Q$154*'ANALYSE - ERP =&gt; SOUS-SEGMENT'!$BE$8:$BE$154),0)</f>
        <v>0</v>
      </c>
      <c r="IO8" s="780">
        <f>IFERROR(SUMPRODUCT(('ANALYSE - ERP =&gt; SOUS-SEGMENT'!$B$8:$B$154=$B8)*'ANALYSE - ERP =&gt; SOUS-SEGMENT'!$Q$8:$Q$154*'ANALYSE - ERP =&gt; SOUS-SEGMENT'!$BE$8:$BE$154*'ANALYSE - ERP =&gt; SOUS-SEGMENT'!$IR$8:$IR$154)/SUMPRODUCT(('ANALYSE - ERP =&gt; SOUS-SEGMENT'!$B$8:$B$154=$B8)*'ANALYSE - ERP =&gt; SOUS-SEGMENT'!$Q$8:$Q$154*'ANALYSE - ERP =&gt; SOUS-SEGMENT'!$BE$8:$BE$154),0)</f>
        <v>0</v>
      </c>
      <c r="IP8" s="781">
        <f>IFERROR(SUMPRODUCT(('ANALYSE - ERP =&gt; SOUS-SEGMENT'!$B$8:$B$154=$B8)*'ANALYSE - ERP =&gt; SOUS-SEGMENT'!$Q$8:$Q$154*'ANALYSE - ERP =&gt; SOUS-SEGMENT'!$BE$8:$BE$154*'ANALYSE - ERP =&gt; SOUS-SEGMENT'!$IS$8:$IS$154)/SUMPRODUCT(('ANALYSE - ERP =&gt; SOUS-SEGMENT'!$B$8:$B$154=$B8)*'ANALYSE - ERP =&gt; SOUS-SEGMENT'!$Q$8:$Q$154*'ANALYSE - ERP =&gt; SOUS-SEGMENT'!$BE$8:$BE$154),0)</f>
        <v>0</v>
      </c>
      <c r="IQ8" s="780">
        <f>IFERROR(SUMPRODUCT(('ANALYSE - ERP =&gt; SOUS-SEGMENT'!$B$8:$B$154=$B8)*'ANALYSE - ERP =&gt; SOUS-SEGMENT'!$Q$8:$Q$154*'ANALYSE - ERP =&gt; SOUS-SEGMENT'!$FB$8:$FB$154*'ANALYSE - ERP =&gt; SOUS-SEGMENT'!$IT$8:$IT$154)/SUMPRODUCT(('ANALYSE - ERP =&gt; SOUS-SEGMENT'!$B$8:$B$154=$B8)*'ANALYSE - ERP =&gt; SOUS-SEGMENT'!$Q$8:$Q$154*'ANALYSE - ERP =&gt; SOUS-SEGMENT'!$FB$8:$FB$154),0)</f>
        <v>0</v>
      </c>
      <c r="IR8" s="780">
        <f>IFERROR(SUMPRODUCT(('ANALYSE - ERP =&gt; SOUS-SEGMENT'!$B$8:$B$154=$B8)*'ANALYSE - ERP =&gt; SOUS-SEGMENT'!$Q$8:$Q$154*'ANALYSE - ERP =&gt; SOUS-SEGMENT'!$FB$8:$FB$154*'ANALYSE - ERP =&gt; SOUS-SEGMENT'!$IU$8:$IU$154)/SUMPRODUCT(('ANALYSE - ERP =&gt; SOUS-SEGMENT'!$B$8:$B$154=$B8)*'ANALYSE - ERP =&gt; SOUS-SEGMENT'!$Q$8:$Q$154*'ANALYSE - ERP =&gt; SOUS-SEGMENT'!$FB$8:$FB$154),0)</f>
        <v>0</v>
      </c>
      <c r="IS8" s="780">
        <f>IFERROR(SUMPRODUCT(('ANALYSE - ERP =&gt; SOUS-SEGMENT'!$B$8:$B$154=$B8)*'ANALYSE - ERP =&gt; SOUS-SEGMENT'!$Q$8:$Q$154*'ANALYSE - ERP =&gt; SOUS-SEGMENT'!$FB$8:$FB$154*'ANALYSE - ERP =&gt; SOUS-SEGMENT'!$IV$8:$IV$154)/SUMPRODUCT(('ANALYSE - ERP =&gt; SOUS-SEGMENT'!$B$8:$B$154=$B8)*'ANALYSE - ERP =&gt; SOUS-SEGMENT'!$Q$8:$Q$154*'ANALYSE - ERP =&gt; SOUS-SEGMENT'!$FB$8:$FB$154),0)</f>
        <v>0</v>
      </c>
      <c r="IT8" s="780">
        <f>IFERROR(SUMPRODUCT(('ANALYSE - ERP =&gt; SOUS-SEGMENT'!$B$8:$B$154=$B8)*'ANALYSE - ERP =&gt; SOUS-SEGMENT'!$Q$8:$Q$154*'ANALYSE - ERP =&gt; SOUS-SEGMENT'!$FB$8:$FB$154*'ANALYSE - ERP =&gt; SOUS-SEGMENT'!$IW$8:$IW$154)/SUMPRODUCT(('ANALYSE - ERP =&gt; SOUS-SEGMENT'!$B$8:$B$154=$B8)*'ANALYSE - ERP =&gt; SOUS-SEGMENT'!$Q$8:$Q$154*'ANALYSE - ERP =&gt; SOUS-SEGMENT'!$FB$8:$FB$154),0)</f>
        <v>0</v>
      </c>
      <c r="IU8" s="780">
        <f>IFERROR(SUMPRODUCT(('ANALYSE - ERP =&gt; SOUS-SEGMENT'!$B$8:$B$154=$B8)*'ANALYSE - ERP =&gt; SOUS-SEGMENT'!$Q$8:$Q$154*'ANALYSE - ERP =&gt; SOUS-SEGMENT'!$FB$8:$FB$154*'ANALYSE - ERP =&gt; SOUS-SEGMENT'!$IX$8:$IX$154)/SUMPRODUCT(('ANALYSE - ERP =&gt; SOUS-SEGMENT'!$B$8:$B$154=$B8)*'ANALYSE - ERP =&gt; SOUS-SEGMENT'!$Q$8:$Q$154*'ANALYSE - ERP =&gt; SOUS-SEGMENT'!$FB$8:$FB$154),0)</f>
        <v>0</v>
      </c>
      <c r="IV8" s="782">
        <f>IFERROR(SUMPRODUCT(('ANALYSE - ERP =&gt; SOUS-SEGMENT'!$B$8:$B$154=$B8)*'ANALYSE - ERP =&gt; SOUS-SEGMENT'!$Q$8:$Q$154*'ANALYSE - ERP =&gt; SOUS-SEGMENT'!$BF$8:$BF$154*'ANALYSE - ERP =&gt; SOUS-SEGMENT'!$IY$8:$IY$154)/SUMPRODUCT(('ANALYSE - ERP =&gt; SOUS-SEGMENT'!$B$8:$B$154=$B8)*'ANALYSE - ERP =&gt; SOUS-SEGMENT'!$Q$8:$Q$154*'ANALYSE - ERP =&gt; SOUS-SEGMENT'!$BF$8:$BF$154),0)</f>
        <v>0</v>
      </c>
      <c r="IW8" s="780">
        <f>IFERROR(SUMPRODUCT(('ANALYSE - ERP =&gt; SOUS-SEGMENT'!$B$8:$B$154=$B8)*'ANALYSE - ERP =&gt; SOUS-SEGMENT'!$Q$8:$Q$154*'ANALYSE - ERP =&gt; SOUS-SEGMENT'!$BF$8:$BF$154*'ANALYSE - ERP =&gt; SOUS-SEGMENT'!$IZ$8:$IZ$154)/SUMPRODUCT(('ANALYSE - ERP =&gt; SOUS-SEGMENT'!$B$8:$B$154=$B8)*'ANALYSE - ERP =&gt; SOUS-SEGMENT'!$Q$8:$Q$154*'ANALYSE - ERP =&gt; SOUS-SEGMENT'!$BF$8:$BF$154),0)</f>
        <v>0</v>
      </c>
      <c r="IX8" s="780">
        <f>IFERROR(SUMPRODUCT(('ANALYSE - ERP =&gt; SOUS-SEGMENT'!$B$8:$B$154=$B8)*'ANALYSE - ERP =&gt; SOUS-SEGMENT'!$Q$8:$Q$154*'ANALYSE - ERP =&gt; SOUS-SEGMENT'!$BF$8:$BF$154*'ANALYSE - ERP =&gt; SOUS-SEGMENT'!$JA$8:$JA$154)/SUMPRODUCT(('ANALYSE - ERP =&gt; SOUS-SEGMENT'!$B$8:$B$154=$B8)*'ANALYSE - ERP =&gt; SOUS-SEGMENT'!$Q$8:$Q$154*'ANALYSE - ERP =&gt; SOUS-SEGMENT'!$BF$8:$BF$154),0)</f>
        <v>0</v>
      </c>
      <c r="IY8" s="780">
        <f>IFERROR(SUMPRODUCT(('ANALYSE - ERP =&gt; SOUS-SEGMENT'!$B$8:$B$154=$B8)*'ANALYSE - ERP =&gt; SOUS-SEGMENT'!$Q$8:$Q$154*'ANALYSE - ERP =&gt; SOUS-SEGMENT'!$BF$8:$BF$154*'ANALYSE - ERP =&gt; SOUS-SEGMENT'!$JB$8:$JB$154)/SUMPRODUCT(('ANALYSE - ERP =&gt; SOUS-SEGMENT'!$B$8:$B$154=$B8)*'ANALYSE - ERP =&gt; SOUS-SEGMENT'!$Q$8:$Q$154*'ANALYSE - ERP =&gt; SOUS-SEGMENT'!$BF$8:$BF$154),0)</f>
        <v>0</v>
      </c>
      <c r="IZ8" s="781">
        <f>IFERROR(SUMPRODUCT(('ANALYSE - ERP =&gt; SOUS-SEGMENT'!$B$8:$B$154=$B8)*'ANALYSE - ERP =&gt; SOUS-SEGMENT'!$Q$8:$Q$154*'ANALYSE - ERP =&gt; SOUS-SEGMENT'!$BF$8:$BF$154*'ANALYSE - ERP =&gt; SOUS-SEGMENT'!$JC$8:$JC$154)/SUMPRODUCT(('ANALYSE - ERP =&gt; SOUS-SEGMENT'!$B$8:$B$154=$B8)*'ANALYSE - ERP =&gt; SOUS-SEGMENT'!$Q$8:$Q$154*'ANALYSE - ERP =&gt; SOUS-SEGMENT'!$BF$8:$BF$154),0)</f>
        <v>0</v>
      </c>
      <c r="JA8" s="780">
        <f>IFERROR(SUMPRODUCT(('ANALYSE - ERP =&gt; SOUS-SEGMENT'!$B$8:$B$154=$B8)*'ANALYSE - ERP =&gt; SOUS-SEGMENT'!$Q$8:$Q$154*'ANALYSE - ERP =&gt; SOUS-SEGMENT'!$FE$8:$FE$154*'ANALYSE - ERP =&gt; SOUS-SEGMENT'!$JD$8:$JD$154)/SUMPRODUCT(('ANALYSE - ERP =&gt; SOUS-SEGMENT'!$B$8:$B$154=$B8)*'ANALYSE - ERP =&gt; SOUS-SEGMENT'!$Q$8:$Q$154*'ANALYSE - ERP =&gt; SOUS-SEGMENT'!$FE$8:$FE$154),0)</f>
        <v>0</v>
      </c>
      <c r="JB8" s="780">
        <f>IFERROR(SUMPRODUCT(('ANALYSE - ERP =&gt; SOUS-SEGMENT'!$B$8:$B$154=$B8)*'ANALYSE - ERP =&gt; SOUS-SEGMENT'!$Q$8:$Q$154*'ANALYSE - ERP =&gt; SOUS-SEGMENT'!$FE$8:$FE$154*'ANALYSE - ERP =&gt; SOUS-SEGMENT'!$JE$8:$JE$154)/SUMPRODUCT(('ANALYSE - ERP =&gt; SOUS-SEGMENT'!$B$8:$B$154=$B8)*'ANALYSE - ERP =&gt; SOUS-SEGMENT'!$Q$8:$Q$154*'ANALYSE - ERP =&gt; SOUS-SEGMENT'!$FE$8:$FE$154),0)</f>
        <v>0</v>
      </c>
      <c r="JC8" s="780">
        <f>IFERROR(SUMPRODUCT(('ANALYSE - ERP =&gt; SOUS-SEGMENT'!$B$8:$B$154=$B8)*'ANALYSE - ERP =&gt; SOUS-SEGMENT'!$Q$8:$Q$154*'ANALYSE - ERP =&gt; SOUS-SEGMENT'!$FE$8:$FE$154*'ANALYSE - ERP =&gt; SOUS-SEGMENT'!$JF$8:$JF$154)/SUMPRODUCT(('ANALYSE - ERP =&gt; SOUS-SEGMENT'!$B$8:$B$154=$B8)*'ANALYSE - ERP =&gt; SOUS-SEGMENT'!$Q$8:$Q$154*'ANALYSE - ERP =&gt; SOUS-SEGMENT'!$FE$8:$FE$154),0)</f>
        <v>0</v>
      </c>
      <c r="JD8" s="780">
        <f>IFERROR(SUMPRODUCT(('ANALYSE - ERP =&gt; SOUS-SEGMENT'!$B$8:$B$154=$B8)*'ANALYSE - ERP =&gt; SOUS-SEGMENT'!$Q$8:$Q$154*'ANALYSE - ERP =&gt; SOUS-SEGMENT'!$FE$8:$FE$154*'ANALYSE - ERP =&gt; SOUS-SEGMENT'!$JG$8:$JG$154)/SUMPRODUCT(('ANALYSE - ERP =&gt; SOUS-SEGMENT'!$B$8:$B$154=$B8)*'ANALYSE - ERP =&gt; SOUS-SEGMENT'!$Q$8:$Q$154*'ANALYSE - ERP =&gt; SOUS-SEGMENT'!$FE$8:$FE$154),0)</f>
        <v>0</v>
      </c>
      <c r="JE8" s="780">
        <f>IFERROR(SUMPRODUCT(('ANALYSE - ERP =&gt; SOUS-SEGMENT'!$B$8:$B$154=$B8)*'ANALYSE - ERP =&gt; SOUS-SEGMENT'!$Q$8:$Q$154*'ANALYSE - ERP =&gt; SOUS-SEGMENT'!$FE$8:$FE$154*'ANALYSE - ERP =&gt; SOUS-SEGMENT'!$JH$8:$JH$154)/SUMPRODUCT(('ANALYSE - ERP =&gt; SOUS-SEGMENT'!$B$8:$B$154=$B8)*'ANALYSE - ERP =&gt; SOUS-SEGMENT'!$Q$8:$Q$154*'ANALYSE - ERP =&gt; SOUS-SEGMENT'!$FE$8:$FE$154),0)</f>
        <v>0</v>
      </c>
      <c r="JF8" s="782">
        <f>IFERROR(SUMPRODUCT(('ANALYSE - ERP =&gt; SOUS-SEGMENT'!$B$8:$B$154=$B8)*'ANALYSE - ERP =&gt; SOUS-SEGMENT'!$Q$8:$Q$154*'ANALYSE - ERP =&gt; SOUS-SEGMENT'!$BG$8:$BG$154*'ANALYSE - ERP =&gt; SOUS-SEGMENT'!$JI$8:$JI$154)/SUMPRODUCT(('ANALYSE - ERP =&gt; SOUS-SEGMENT'!$B$8:$B$154=$B8)*'ANALYSE - ERP =&gt; SOUS-SEGMENT'!$Q$8:$Q$154*'ANALYSE - ERP =&gt; SOUS-SEGMENT'!$BG$8:$BG$154),0)</f>
        <v>0</v>
      </c>
      <c r="JG8" s="780">
        <f>IFERROR(SUMPRODUCT(('ANALYSE - ERP =&gt; SOUS-SEGMENT'!$B$8:$B$154=$B8)*'ANALYSE - ERP =&gt; SOUS-SEGMENT'!$Q$8:$Q$154*'ANALYSE - ERP =&gt; SOUS-SEGMENT'!$BG$8:$BG$154*'ANALYSE - ERP =&gt; SOUS-SEGMENT'!$JJ$8:$JJ$154)/SUMPRODUCT(('ANALYSE - ERP =&gt; SOUS-SEGMENT'!$B$8:$B$154=$B8)*'ANALYSE - ERP =&gt; SOUS-SEGMENT'!$Q$8:$Q$154*'ANALYSE - ERP =&gt; SOUS-SEGMENT'!$BG$8:$BG$154),0)</f>
        <v>0</v>
      </c>
      <c r="JH8" s="780">
        <f>IFERROR(SUMPRODUCT(('ANALYSE - ERP =&gt; SOUS-SEGMENT'!$B$8:$B$154=$B8)*'ANALYSE - ERP =&gt; SOUS-SEGMENT'!$Q$8:$Q$154*'ANALYSE - ERP =&gt; SOUS-SEGMENT'!$BG$8:$BG$154*'ANALYSE - ERP =&gt; SOUS-SEGMENT'!$JK$8:$JK$154)/SUMPRODUCT(('ANALYSE - ERP =&gt; SOUS-SEGMENT'!$B$8:$B$154=$B8)*'ANALYSE - ERP =&gt; SOUS-SEGMENT'!$Q$8:$Q$154*'ANALYSE - ERP =&gt; SOUS-SEGMENT'!$BG$8:$BG$154),0)</f>
        <v>0</v>
      </c>
      <c r="JI8" s="780">
        <f>IFERROR(SUMPRODUCT(('ANALYSE - ERP =&gt; SOUS-SEGMENT'!$B$8:$B$154=$B8)*'ANALYSE - ERP =&gt; SOUS-SEGMENT'!$Q$8:$Q$154*'ANALYSE - ERP =&gt; SOUS-SEGMENT'!$BG$8:$BG$154*'ANALYSE - ERP =&gt; SOUS-SEGMENT'!$JL$8:$JL$154)/SUMPRODUCT(('ANALYSE - ERP =&gt; SOUS-SEGMENT'!$B$8:$B$154=$B8)*'ANALYSE - ERP =&gt; SOUS-SEGMENT'!$Q$8:$Q$154*'ANALYSE - ERP =&gt; SOUS-SEGMENT'!$BG$8:$BG$154),0)</f>
        <v>0</v>
      </c>
      <c r="JJ8" s="781">
        <f>IFERROR(SUMPRODUCT(('ANALYSE - ERP =&gt; SOUS-SEGMENT'!$B$8:$B$154=$B8)*'ANALYSE - ERP =&gt; SOUS-SEGMENT'!$Q$8:$Q$154*'ANALYSE - ERP =&gt; SOUS-SEGMENT'!$BG$8:$BG$154*'ANALYSE - ERP =&gt; SOUS-SEGMENT'!$JM$8:$JM$154)/SUMPRODUCT(('ANALYSE - ERP =&gt; SOUS-SEGMENT'!$B$8:$B$154=$B8)*'ANALYSE - ERP =&gt; SOUS-SEGMENT'!$Q$8:$Q$154*'ANALYSE - ERP =&gt; SOUS-SEGMENT'!$BG$8:$BG$154),0)</f>
        <v>0</v>
      </c>
      <c r="JK8" s="780">
        <f>IFERROR(SUMPRODUCT(('ANALYSE - ERP =&gt; SOUS-SEGMENT'!$B$8:$B$154=$B8)*'ANALYSE - ERP =&gt; SOUS-SEGMENT'!$Q$8:$Q$154*'ANALYSE - ERP =&gt; SOUS-SEGMENT'!$FH$8:$FH$154*'ANALYSE - ERP =&gt; SOUS-SEGMENT'!$JN$8:$JN$154)/SUMPRODUCT(('ANALYSE - ERP =&gt; SOUS-SEGMENT'!$B$8:$B$154=$B8)*'ANALYSE - ERP =&gt; SOUS-SEGMENT'!$Q$8:$Q$154*'ANALYSE - ERP =&gt; SOUS-SEGMENT'!$FH$8:$FH$154),0)</f>
        <v>0</v>
      </c>
      <c r="JL8" s="780">
        <f>IFERROR(SUMPRODUCT(('ANALYSE - ERP =&gt; SOUS-SEGMENT'!$B$8:$B$154=$B8)*'ANALYSE - ERP =&gt; SOUS-SEGMENT'!$Q$8:$Q$154*'ANALYSE - ERP =&gt; SOUS-SEGMENT'!$FH$8:$FH$154*'ANALYSE - ERP =&gt; SOUS-SEGMENT'!$JO$8:$JO$154)/SUMPRODUCT(('ANALYSE - ERP =&gt; SOUS-SEGMENT'!$B$8:$B$154=$B8)*'ANALYSE - ERP =&gt; SOUS-SEGMENT'!$Q$8:$Q$154*'ANALYSE - ERP =&gt; SOUS-SEGMENT'!$FH$8:$FH$154),0)</f>
        <v>0</v>
      </c>
      <c r="JM8" s="780">
        <f>IFERROR(SUMPRODUCT(('ANALYSE - ERP =&gt; SOUS-SEGMENT'!$B$8:$B$154=$B8)*'ANALYSE - ERP =&gt; SOUS-SEGMENT'!$Q$8:$Q$154*'ANALYSE - ERP =&gt; SOUS-SEGMENT'!$FH$8:$FH$154*'ANALYSE - ERP =&gt; SOUS-SEGMENT'!$JP$8:$JP$154)/SUMPRODUCT(('ANALYSE - ERP =&gt; SOUS-SEGMENT'!$B$8:$B$154=$B8)*'ANALYSE - ERP =&gt; SOUS-SEGMENT'!$Q$8:$Q$154*'ANALYSE - ERP =&gt; SOUS-SEGMENT'!$FH$8:$FH$154),0)</f>
        <v>0</v>
      </c>
      <c r="JN8" s="780">
        <f>IFERROR(SUMPRODUCT(('ANALYSE - ERP =&gt; SOUS-SEGMENT'!$B$8:$B$154=$B8)*'ANALYSE - ERP =&gt; SOUS-SEGMENT'!$Q$8:$Q$154*'ANALYSE - ERP =&gt; SOUS-SEGMENT'!$FH$8:$FH$154*'ANALYSE - ERP =&gt; SOUS-SEGMENT'!$JQ$8:$JQ$154)/SUMPRODUCT(('ANALYSE - ERP =&gt; SOUS-SEGMENT'!$B$8:$B$154=$B8)*'ANALYSE - ERP =&gt; SOUS-SEGMENT'!$Q$8:$Q$154*'ANALYSE - ERP =&gt; SOUS-SEGMENT'!$FH$8:$FH$154),0)</f>
        <v>0</v>
      </c>
      <c r="JO8" s="780">
        <f>IFERROR(SUMPRODUCT(('ANALYSE - ERP =&gt; SOUS-SEGMENT'!$B$8:$B$154=$B8)*'ANALYSE - ERP =&gt; SOUS-SEGMENT'!$Q$8:$Q$154*'ANALYSE - ERP =&gt; SOUS-SEGMENT'!$FH$8:$FH$154*'ANALYSE - ERP =&gt; SOUS-SEGMENT'!$JR$8:$JR$154)/SUMPRODUCT(('ANALYSE - ERP =&gt; SOUS-SEGMENT'!$B$8:$B$154=$B8)*'ANALYSE - ERP =&gt; SOUS-SEGMENT'!$Q$8:$Q$154*'ANALYSE - ERP =&gt; SOUS-SEGMENT'!$FH$8:$FH$154),0)</f>
        <v>0</v>
      </c>
      <c r="JP8" s="782">
        <f>IFERROR(SUMPRODUCT(('ANALYSE - ERP =&gt; SOUS-SEGMENT'!$B$8:$B$154=$B8)*'ANALYSE - ERP =&gt; SOUS-SEGMENT'!$Q$8:$Q$154*'ANALYSE - ERP =&gt; SOUS-SEGMENT'!$BH$8:$BH$154*'ANALYSE - ERP =&gt; SOUS-SEGMENT'!$JS$8:$JS$154)/SUMPRODUCT(('ANALYSE - ERP =&gt; SOUS-SEGMENT'!$B$8:$B$154=$B8)*'ANALYSE - ERP =&gt; SOUS-SEGMENT'!$Q$8:$Q$154*'ANALYSE - ERP =&gt; SOUS-SEGMENT'!$BH$8:$BH$154),0)</f>
        <v>0</v>
      </c>
      <c r="JQ8" s="780">
        <f>IFERROR(SUMPRODUCT(('ANALYSE - ERP =&gt; SOUS-SEGMENT'!$B$8:$B$154=$B8)*'ANALYSE - ERP =&gt; SOUS-SEGMENT'!$Q$8:$Q$154*'ANALYSE - ERP =&gt; SOUS-SEGMENT'!$BH$8:$BH$154*'ANALYSE - ERP =&gt; SOUS-SEGMENT'!$JT$8:$JT$154)/SUMPRODUCT(('ANALYSE - ERP =&gt; SOUS-SEGMENT'!$B$8:$B$154=$B8)*'ANALYSE - ERP =&gt; SOUS-SEGMENT'!$Q$8:$Q$154*'ANALYSE - ERP =&gt; SOUS-SEGMENT'!$BH$8:$BH$154),0)</f>
        <v>0</v>
      </c>
      <c r="JR8" s="780">
        <f>IFERROR(SUMPRODUCT(('ANALYSE - ERP =&gt; SOUS-SEGMENT'!$B$8:$B$154=$B8)*'ANALYSE - ERP =&gt; SOUS-SEGMENT'!$Q$8:$Q$154*'ANALYSE - ERP =&gt; SOUS-SEGMENT'!$BH$8:$BH$154*'ANALYSE - ERP =&gt; SOUS-SEGMENT'!$JU$8:$JU$154)/SUMPRODUCT(('ANALYSE - ERP =&gt; SOUS-SEGMENT'!$B$8:$B$154=$B8)*'ANALYSE - ERP =&gt; SOUS-SEGMENT'!$Q$8:$Q$154*'ANALYSE - ERP =&gt; SOUS-SEGMENT'!$BH$8:$BH$154),0)</f>
        <v>0</v>
      </c>
      <c r="JS8" s="780">
        <f>IFERROR(SUMPRODUCT(('ANALYSE - ERP =&gt; SOUS-SEGMENT'!$B$8:$B$154=$B8)*'ANALYSE - ERP =&gt; SOUS-SEGMENT'!$Q$8:$Q$154*'ANALYSE - ERP =&gt; SOUS-SEGMENT'!$BH$8:$BH$154*'ANALYSE - ERP =&gt; SOUS-SEGMENT'!$JV$8:$JV$154)/SUMPRODUCT(('ANALYSE - ERP =&gt; SOUS-SEGMENT'!$B$8:$B$154=$B8)*'ANALYSE - ERP =&gt; SOUS-SEGMENT'!$Q$8:$Q$154*'ANALYSE - ERP =&gt; SOUS-SEGMENT'!$BH$8:$BH$154),0)</f>
        <v>0</v>
      </c>
      <c r="JT8" s="781">
        <f>IFERROR(SUMPRODUCT(('ANALYSE - ERP =&gt; SOUS-SEGMENT'!$B$8:$B$154=$B8)*'ANALYSE - ERP =&gt; SOUS-SEGMENT'!$Q$8:$Q$154*'ANALYSE - ERP =&gt; SOUS-SEGMENT'!$BH$8:$BH$154*'ANALYSE - ERP =&gt; SOUS-SEGMENT'!$JW$8:$JW$154)/SUMPRODUCT(('ANALYSE - ERP =&gt; SOUS-SEGMENT'!$B$8:$B$154=$B8)*'ANALYSE - ERP =&gt; SOUS-SEGMENT'!$Q$8:$Q$154*'ANALYSE - ERP =&gt; SOUS-SEGMENT'!$BH$8:$BH$154),0)</f>
        <v>0</v>
      </c>
      <c r="JU8" s="782">
        <f>IFERROR(SUMPRODUCT(('ANALYSE - ERP =&gt; SOUS-SEGMENT'!$B$8:$B$154=$B8)*'ANALYSE - ERP =&gt; SOUS-SEGMENT'!$Q$8:$Q$154*'ANALYSE - ERP =&gt; SOUS-SEGMENT'!$FK$8:$FK$154*'ANALYSE - ERP =&gt; SOUS-SEGMENT'!$JX$8:$JX$154)/SUMPRODUCT(('ANALYSE - ERP =&gt; SOUS-SEGMENT'!$B$8:$B$154=$B8)*'ANALYSE - ERP =&gt; SOUS-SEGMENT'!$Q$8:$Q$154*'ANALYSE - ERP =&gt; SOUS-SEGMENT'!$FK$8:$FK$154),0)</f>
        <v>0</v>
      </c>
      <c r="JV8" s="780">
        <f>IFERROR(SUMPRODUCT(('ANALYSE - ERP =&gt; SOUS-SEGMENT'!$B$8:$B$154=$B8)*'ANALYSE - ERP =&gt; SOUS-SEGMENT'!$Q$8:$Q$154*'ANALYSE - ERP =&gt; SOUS-SEGMENT'!$FK$8:$FK$154*'ANALYSE - ERP =&gt; SOUS-SEGMENT'!$JY$8:$JY$154)/SUMPRODUCT(('ANALYSE - ERP =&gt; SOUS-SEGMENT'!$B$8:$B$154=$B8)*'ANALYSE - ERP =&gt; SOUS-SEGMENT'!$Q$8:$Q$154*'ANALYSE - ERP =&gt; SOUS-SEGMENT'!$FK$8:$FK$154),0)</f>
        <v>0</v>
      </c>
      <c r="JW8" s="780">
        <f>IFERROR(SUMPRODUCT(('ANALYSE - ERP =&gt; SOUS-SEGMENT'!$B$8:$B$154=$B8)*'ANALYSE - ERP =&gt; SOUS-SEGMENT'!$Q$8:$Q$154*'ANALYSE - ERP =&gt; SOUS-SEGMENT'!$FK$8:$FK$154*'ANALYSE - ERP =&gt; SOUS-SEGMENT'!$JZ$8:$JZ$154)/SUMPRODUCT(('ANALYSE - ERP =&gt; SOUS-SEGMENT'!$B$8:$B$154=$B8)*'ANALYSE - ERP =&gt; SOUS-SEGMENT'!$Q$8:$Q$154*'ANALYSE - ERP =&gt; SOUS-SEGMENT'!$FK$8:$FK$154),0)</f>
        <v>0</v>
      </c>
      <c r="JX8" s="780">
        <f>IFERROR(SUMPRODUCT(('ANALYSE - ERP =&gt; SOUS-SEGMENT'!$B$8:$B$154=$B8)*'ANALYSE - ERP =&gt; SOUS-SEGMENT'!$Q$8:$Q$154*'ANALYSE - ERP =&gt; SOUS-SEGMENT'!$FK$8:$FK$154*'ANALYSE - ERP =&gt; SOUS-SEGMENT'!$KA$8:$KA$154)/SUMPRODUCT(('ANALYSE - ERP =&gt; SOUS-SEGMENT'!$B$8:$B$154=$B8)*'ANALYSE - ERP =&gt; SOUS-SEGMENT'!$Q$8:$Q$154*'ANALYSE - ERP =&gt; SOUS-SEGMENT'!$FK$8:$FK$154),0)</f>
        <v>0</v>
      </c>
      <c r="JY8" s="783">
        <f>IFERROR(SUMPRODUCT(('ANALYSE - ERP =&gt; SOUS-SEGMENT'!$B$8:$B$154=$B8)*'ANALYSE - ERP =&gt; SOUS-SEGMENT'!$Q$8:$Q$154*'ANALYSE - ERP =&gt; SOUS-SEGMENT'!$FK$8:$FK$154*'ANALYSE - ERP =&gt; SOUS-SEGMENT'!$KB$8:$KB$154)/SUMPRODUCT(('ANALYSE - ERP =&gt; SOUS-SEGMENT'!$B$8:$B$154=$B8)*'ANALYSE - ERP =&gt; SOUS-SEGMENT'!$Q$8:$Q$154*'ANALYSE - ERP =&gt; SOUS-SEGMENT'!$FK$8:$FK$154),0)</f>
        <v>0</v>
      </c>
      <c r="JZ8" s="657"/>
      <c r="KA8" s="314" t="s">
        <v>2590</v>
      </c>
      <c r="KB8" s="314" t="s">
        <v>2591</v>
      </c>
      <c r="KC8" s="866" t="str">
        <f>IFERROR(SUMPRODUCT(('ANALYSE - ERP =&gt; SOUS-SEGMENT'!$B$8:$B$154=$B8)*'ANALYSE - ERP =&gt; SOUS-SEGMENT'!$Q$8:$Q$154*'ANALYSE - ERP =&gt; SOUS-SEGMENT'!$EX$8:$EX$154*'ANALYSE - ERP =&gt; SOUS-SEGMENT'!$KF$8:$KF$154)/SUMPRODUCT(('ANALYSE - ERP =&gt; SOUS-SEGMENT'!$B$8:$B$154=$B8)*'ANALYSE - ERP =&gt; SOUS-SEGMENT'!$Q$8:$Q$154*'ANALYSE - ERP =&gt; SOUS-SEGMENT'!$EX$8:$EX$154),"")</f>
        <v/>
      </c>
      <c r="KD8" s="314" t="s">
        <v>2589</v>
      </c>
      <c r="KE8" s="315" t="s">
        <v>2627</v>
      </c>
      <c r="KF8" s="315" t="s">
        <v>7559</v>
      </c>
      <c r="KG8" s="315" t="s">
        <v>7559</v>
      </c>
    </row>
    <row r="9" spans="1:293" ht="207.75" customHeight="1">
      <c r="A9" s="265">
        <v>2</v>
      </c>
      <c r="B9" s="483" t="s">
        <v>2241</v>
      </c>
      <c r="C9" s="483" t="s">
        <v>7564</v>
      </c>
      <c r="D9" s="483" t="s">
        <v>7565</v>
      </c>
      <c r="E9" s="267" t="s">
        <v>7566</v>
      </c>
      <c r="F9" s="267" t="s">
        <v>6789</v>
      </c>
      <c r="G9" s="267" t="s">
        <v>6790</v>
      </c>
      <c r="H9" s="267" t="s">
        <v>2117</v>
      </c>
      <c r="I9" s="645" t="s">
        <v>7567</v>
      </c>
      <c r="J9" s="645" t="s">
        <v>7568</v>
      </c>
      <c r="K9" s="269" t="s">
        <v>2117</v>
      </c>
      <c r="L9" s="269" t="s">
        <v>2109</v>
      </c>
      <c r="M9" s="269" t="s">
        <v>2603</v>
      </c>
      <c r="N9" s="269" t="s">
        <v>6742</v>
      </c>
      <c r="O9" s="269" t="s">
        <v>2212</v>
      </c>
      <c r="P9" s="268"/>
      <c r="Q9" s="270">
        <f>IF(SUMPRODUCT(('ANALYSE - ERP =&gt; SOUS-SEGMENT'!$B$8:$B$154=$B9)*'ANALYSE - ERP =&gt; SOUS-SEGMENT'!$Q$8:$Q$154)&gt;0,1,0)</f>
        <v>1</v>
      </c>
      <c r="R9" s="271">
        <f>IFERROR(SUMPRODUCT(('ANALYSE - ERP =&gt; SOUS-SEGMENT'!$B$8:$B$154=$B9)*'ANALYSE - ERP =&gt; SOUS-SEGMENT'!$Q$8:$Q$154*'ANALYSE - ERP =&gt; SOUS-SEGMENT'!$AG$8:$AG$154*'ANALYSE - ERP =&gt; SOUS-SEGMENT'!$R$8:$R$154)/SUMPRODUCT(('ANALYSE - ERP =&gt; SOUS-SEGMENT'!$B$8:$B$154=$B9)*'ANALYSE - ERP =&gt; SOUS-SEGMENT'!$Q$8:$Q$154*'ANALYSE - ERP =&gt; SOUS-SEGMENT'!$AG$8:$AG$154),"")</f>
        <v>5600.6765320453533</v>
      </c>
      <c r="S9" s="272">
        <f>SUMPRODUCT(('ANALYSE - ERP =&gt; SOUS-SEGMENT'!$B$8:$B$154=$B9)*'ANALYSE - ERP =&gt; SOUS-SEGMENT'!$Q$8:$Q$154*'ANALYSE - ERP =&gt; SOUS-SEGMENT'!$S$8:$S$154)</f>
        <v>23004</v>
      </c>
      <c r="T9" s="272">
        <f>SUMPRODUCT(('ANALYSE - ERP =&gt; SOUS-SEGMENT'!$B$8:$B$154=$B9)*'ANALYSE - ERP =&gt; SOUS-SEGMENT'!$Q$8:$Q$154*'ANALYSE - ERP =&gt; SOUS-SEGMENT'!$T$8:$T$154)</f>
        <v>23969</v>
      </c>
      <c r="U9" s="272">
        <f>SUMPRODUCT(('ANALYSE - ERP =&gt; SOUS-SEGMENT'!$B$8:$B$154=$B9)*'ANALYSE - ERP =&gt; SOUS-SEGMENT'!$Q$8:$Q$154*'ANALYSE - ERP =&gt; SOUS-SEGMENT'!$U$8:$U$154)</f>
        <v>25186</v>
      </c>
      <c r="V9" s="272">
        <f>SUMPRODUCT(('ANALYSE - ERP =&gt; SOUS-SEGMENT'!$B$8:$B$154=$B9)*'ANALYSE - ERP =&gt; SOUS-SEGMENT'!$Q$8:$Q$154*'ANALYSE - ERP =&gt; SOUS-SEGMENT'!$V$8:$V$154)</f>
        <v>25986</v>
      </c>
      <c r="W9" s="272">
        <f>SUMPRODUCT(('ANALYSE - ERP =&gt; SOUS-SEGMENT'!$B$8:$B$154=$B9)*'ANALYSE - ERP =&gt; SOUS-SEGMENT'!$Q$8:$Q$154*'ANALYSE - ERP =&gt; SOUS-SEGMENT'!$W$8:$W$154)</f>
        <v>26189</v>
      </c>
      <c r="X9" s="272">
        <f>SUMPRODUCT(('ANALYSE - ERP =&gt; SOUS-SEGMENT'!$B$8:$B$154=$B9)*'ANALYSE - ERP =&gt; SOUS-SEGMENT'!$Q$8:$Q$154*'ANALYSE - ERP =&gt; SOUS-SEGMENT'!$X$8:$X$154)</f>
        <v>26403</v>
      </c>
      <c r="Y9" s="272">
        <f>SUMPRODUCT(('ANALYSE - ERP =&gt; SOUS-SEGMENT'!$B$8:$B$154=$B9)*'ANALYSE - ERP =&gt; SOUS-SEGMENT'!$Q$8:$Q$154*'ANALYSE - ERP =&gt; SOUS-SEGMENT'!$Y$8:$Y$154)</f>
        <v>26629</v>
      </c>
      <c r="Z9" s="272">
        <f>SUMPRODUCT(('ANALYSE - ERP =&gt; SOUS-SEGMENT'!$B$8:$B$154=$B9)*'ANALYSE - ERP =&gt; SOUS-SEGMENT'!$Q$8:$Q$154*'ANALYSE - ERP =&gt; SOUS-SEGMENT'!$Z$8:$Z$154)</f>
        <v>26868</v>
      </c>
      <c r="AA9" s="272">
        <f>SUMPRODUCT(('ANALYSE - ERP =&gt; SOUS-SEGMENT'!$B$8:$B$154=$B9)*'ANALYSE - ERP =&gt; SOUS-SEGMENT'!$Q$8:$Q$154*'ANALYSE - ERP =&gt; SOUS-SEGMENT'!$AA$8:$AA$154)</f>
        <v>27060</v>
      </c>
      <c r="AB9" s="272">
        <f>SUMPRODUCT(('ANALYSE - ERP =&gt; SOUS-SEGMENT'!$B$8:$B$154=$B9)*'ANALYSE - ERP =&gt; SOUS-SEGMENT'!$Q$8:$Q$154*'ANALYSE - ERP =&gt; SOUS-SEGMENT'!$AB$8:$AB$154)</f>
        <v>27292</v>
      </c>
      <c r="AC9" s="272">
        <f>SUMPRODUCT(('ANALYSE - ERP =&gt; SOUS-SEGMENT'!$B$8:$B$154=$B9)*'ANALYSE - ERP =&gt; SOUS-SEGMENT'!$Q$8:$Q$154*'ANALYSE - ERP =&gt; SOUS-SEGMENT'!$AC$8:$AC$154)</f>
        <v>27532</v>
      </c>
      <c r="AD9" s="272">
        <f>SUMPRODUCT(('ANALYSE - ERP =&gt; SOUS-SEGMENT'!$B$8:$B$154=$B9)*'ANALYSE - ERP =&gt; SOUS-SEGMENT'!$Q$8:$Q$154*'ANALYSE - ERP =&gt; SOUS-SEGMENT'!$AD$8:$AD$154)</f>
        <v>27697</v>
      </c>
      <c r="AE9" s="272">
        <f>SUMPRODUCT(('ANALYSE - ERP =&gt; SOUS-SEGMENT'!$B$8:$B$154=$B9)*'ANALYSE - ERP =&gt; SOUS-SEGMENT'!$Q$8:$Q$154*'ANALYSE - ERP =&gt; SOUS-SEGMENT'!$AE$8:$AE$154)</f>
        <v>28024</v>
      </c>
      <c r="AF9" s="272">
        <f>SUMPRODUCT(('ANALYSE - ERP =&gt; SOUS-SEGMENT'!$B$8:$B$154=$B9)*'ANALYSE - ERP =&gt; SOUS-SEGMENT'!$Q$8:$Q$154*'ANALYSE - ERP =&gt; SOUS-SEGMENT'!$AF$8:$AF$154)</f>
        <v>28567</v>
      </c>
      <c r="AG9" s="272">
        <f>SUMPRODUCT(('ANALYSE - ERP =&gt; SOUS-SEGMENT'!$B$8:$B$154=$B9)*'ANALYSE - ERP =&gt; SOUS-SEGMENT'!$Q$8:$Q$154*'ANALYSE - ERP =&gt; SOUS-SEGMENT'!$AG$8:$AG$154)</f>
        <v>29193</v>
      </c>
      <c r="AH9" s="272">
        <f>SUMPRODUCT(('ANALYSE - ERP =&gt; SOUS-SEGMENT'!$B$8:$B$154=$B9)*'ANALYSE - ERP =&gt; SOUS-SEGMENT'!$Q$8:$Q$154*'ANALYSE - ERP =&gt; SOUS-SEGMENT'!$AH$8:$AH$154)</f>
        <v>29930</v>
      </c>
      <c r="AI9" s="272">
        <f>SUMPRODUCT(('ANALYSE - ERP =&gt; SOUS-SEGMENT'!$B$8:$B$154=$B9)*'ANALYSE - ERP =&gt; SOUS-SEGMENT'!$Q$8:$Q$154*'ANALYSE - ERP =&gt; SOUS-SEGMENT'!$AI$8:$AI$154)</f>
        <v>30518</v>
      </c>
      <c r="AJ9" s="272">
        <f>SUMPRODUCT(('ANALYSE - ERP =&gt; SOUS-SEGMENT'!$B$8:$B$154=$B9)*'ANALYSE - ERP =&gt; SOUS-SEGMENT'!$Q$8:$Q$154*'ANALYSE - ERP =&gt; SOUS-SEGMENT'!$AJ$8:$AJ$154)</f>
        <v>30907</v>
      </c>
      <c r="AK9" s="272">
        <f>SUMPRODUCT(('ANALYSE - ERP =&gt; SOUS-SEGMENT'!$B$8:$B$154=$B9)*'ANALYSE - ERP =&gt; SOUS-SEGMENT'!$Q$8:$Q$154*'ANALYSE - ERP =&gt; SOUS-SEGMENT'!$AK$8:$AK$154)</f>
        <v>31256</v>
      </c>
      <c r="AL9" s="268" t="s">
        <v>7559</v>
      </c>
      <c r="AM9" s="268" t="s">
        <v>7559</v>
      </c>
      <c r="AN9" s="268" t="s">
        <v>7569</v>
      </c>
      <c r="AO9" s="657"/>
      <c r="AP9" s="271">
        <f>IFERROR(SUMPRODUCT(('ANALYSE - ERP =&gt; SOUS-SEGMENT'!$B$8:$B$154=$B9)*'ANALYSE - ERP =&gt; SOUS-SEGMENT'!$Q$8:$Q$154*'ANALYSE - ERP =&gt; SOUS-SEGMENT'!$AG$8:$AG$154*'ANALYSE - ERP =&gt; SOUS-SEGMENT'!$AP$8:$AP$154)/SUMPRODUCT(('ANALYSE - ERP =&gt; SOUS-SEGMENT'!$B$8:$B$154=$B9)*'ANALYSE - ERP =&gt; SOUS-SEGMENT'!$Q$8:$Q$154*'ANALYSE - ERP =&gt; SOUS-SEGMENT'!$AG$8:$AG$154),"")</f>
        <v>80.339293666289862</v>
      </c>
      <c r="AQ9" s="280">
        <f>IFERROR(SUMPRODUCT(('ANALYSE - ERP =&gt; SOUS-SEGMENT'!$B$8:$B$154=$B9)*'ANALYSE - ERP =&gt; SOUS-SEGMENT'!$Q$8:$Q$154*'ANALYSE - ERP =&gt; SOUS-SEGMENT'!$AF$8:$AF$154*'ANALYSE - ERP =&gt; SOUS-SEGMENT'!$AQ$8:$AQ$154)/SUMPRODUCT(('ANALYSE - ERP =&gt; SOUS-SEGMENT'!$B$8:$B$154=$B9)*'ANALYSE - ERP =&gt; SOUS-SEGMENT'!$Q$8:$Q$154*'ANALYSE - ERP =&gt; SOUS-SEGMENT'!$AF$8:$AF$154),"")</f>
        <v>57.40781321104771</v>
      </c>
      <c r="AR9" s="974">
        <f>IFERROR(SUMPRODUCT(('ANALYSE - ERP =&gt; SOUS-SEGMENT'!$B$8:$B$154=$B9)*'ANALYSE - ERP =&gt; SOUS-SEGMENT'!$Q$8:$Q$154*'ANALYSE - ERP =&gt; SOUS-SEGMENT'!$AF$8:$AF$154*'ANALYSE - ERP =&gt; SOUS-SEGMENT'!$AR$8:$AR$154)/SUMPRODUCT(('ANALYSE - ERP =&gt; SOUS-SEGMENT'!$B$8:$B$154=$B9)*'ANALYSE - ERP =&gt; SOUS-SEGMENT'!$Q$8:$Q$154*'ANALYSE - ERP =&gt; SOUS-SEGMENT'!$AF$8:$AF$154),"")</f>
        <v>16.791682710820176</v>
      </c>
      <c r="AS9" s="974">
        <f>IFERROR(SUMPRODUCT(('ANALYSE - ERP =&gt; SOUS-SEGMENT'!$B$8:$B$154=$B9)*'ANALYSE - ERP =&gt; SOUS-SEGMENT'!$Q$8:$Q$154*'ANALYSE - ERP =&gt; SOUS-SEGMENT'!$AF$8:$AF$154*'ANALYSE - ERP =&gt; SOUS-SEGMENT'!$AS$8:$AS$154)/SUMPRODUCT(('ANALYSE - ERP =&gt; SOUS-SEGMENT'!$B$8:$B$154=$B9)*'ANALYSE - ERP =&gt; SOUS-SEGMENT'!$Q$8:$Q$154*'ANALYSE - ERP =&gt; SOUS-SEGMENT'!$AF$8:$AF$154),"")</f>
        <v>7.3689221829383555</v>
      </c>
      <c r="AT9" s="657" t="s">
        <v>7570</v>
      </c>
      <c r="AU9" s="647" t="s">
        <v>7571</v>
      </c>
      <c r="AV9" s="647" t="s">
        <v>6887</v>
      </c>
      <c r="AW9" s="647" t="s">
        <v>6888</v>
      </c>
      <c r="AX9" s="657"/>
      <c r="AY9" s="303">
        <f>IFERROR(SUMPRODUCT(('ANALYSE - ERP =&gt; SOUS-SEGMENT'!$B$8:$B$154=$B9)*'ANALYSE - ERP =&gt; SOUS-SEGMENT'!$Q$8:$Q$154*'ANALYSE - ERP =&gt; SOUS-SEGMENT'!$AF$8:$AF$154*'ANALYSE - ERP =&gt; SOUS-SEGMENT'!$AZ$8:$AZ$154)/SUMPRODUCT(('ANALYSE - ERP =&gt; SOUS-SEGMENT'!$B$8:$B$154=$B9)*'ANALYSE - ERP =&gt; SOUS-SEGMENT'!$Q$8:$Q$154*'ANALYSE - ERP =&gt; SOUS-SEGMENT'!$AF$8:$AF$154),"")</f>
        <v>33.302411873840448</v>
      </c>
      <c r="AZ9" s="948">
        <f>IFERROR(SUMPRODUCT(('ANALYSE - ERP =&gt; SOUS-SEGMENT'!$B$8:$B$154=$B9)*'ANALYSE - ERP =&gt; SOUS-SEGMENT'!$Q$8:$Q$154*'ANALYSE - ERP =&gt; SOUS-SEGMENT'!$AF$8:$AF$154*'ANALYSE - ERP =&gt; SOUS-SEGMENT'!$BA$8:$BA$154)/SUMPRODUCT(('ANALYSE - ERP =&gt; SOUS-SEGMENT'!$B$8:$B$154=$B9)*'ANALYSE - ERP =&gt; SOUS-SEGMENT'!$Q$8:$Q$154*'ANALYSE - ERP =&gt; SOUS-SEGMENT'!$AF$8:$AF$154),"")</f>
        <v>14.193492491336157</v>
      </c>
      <c r="BA9" s="303">
        <f>IFERROR(SUMPRODUCT(('ANALYSE - ERP =&gt; SOUS-SEGMENT'!$B$8:$B$154=$B9)*'ANALYSE - ERP =&gt; SOUS-SEGMENT'!$Q$8:$Q$154*'ANALYSE - ERP =&gt; SOUS-SEGMENT'!$AF$8:$AF$154*'ANALYSE - ERP =&gt; SOUS-SEGMENT'!$BB$8:$BB$154)/SUMPRODUCT(('ANALYSE - ERP =&gt; SOUS-SEGMENT'!$B$8:$B$154=$B9)*'ANALYSE - ERP =&gt; SOUS-SEGMENT'!$Q$8:$Q$154*'ANALYSE - ERP =&gt; SOUS-SEGMENT'!$AF$8:$AF$154),"")</f>
        <v>1.0380684006020933</v>
      </c>
      <c r="BB9" s="303">
        <f>IFERROR(SUMPRODUCT(('ANALYSE - ERP =&gt; SOUS-SEGMENT'!$B$8:$B$154=$B9)*'ANALYSE - ERP =&gt; SOUS-SEGMENT'!$Q$8:$Q$154*'ANALYSE - ERP =&gt; SOUS-SEGMENT'!$AF$8:$AF$154*'ANALYSE - ERP =&gt; SOUS-SEGMENT'!$BC$8:$BC$154)/SUMPRODUCT(('ANALYSE - ERP =&gt; SOUS-SEGMENT'!$B$8:$B$154=$B9)*'ANALYSE - ERP =&gt; SOUS-SEGMENT'!$Q$8:$Q$154*'ANALYSE - ERP =&gt; SOUS-SEGMENT'!$AF$8:$AF$154),"")</f>
        <v>31.902964959568735</v>
      </c>
      <c r="BC9" s="304">
        <f>SUMPRODUCT(('ANALYSE - ERP =&gt; SOUS-SEGMENT'!$B$8:$B$154=$B9)*'ANALYSE - ERP =&gt; SOUS-SEGMENT'!$Q$8:$Q$154*'ANALYSE - ERP =&gt; SOUS-SEGMENT'!$BE$8:$BE$154)</f>
        <v>951350</v>
      </c>
      <c r="BD9" s="304">
        <f>SUMPRODUCT(('ANALYSE - ERP =&gt; SOUS-SEGMENT'!$B$8:$B$154=$B9)*'ANALYSE - ERP =&gt; SOUS-SEGMENT'!$Q$8:$Q$154*'ANALYSE - ERP =&gt; SOUS-SEGMENT'!$BF$8:$BF$154)</f>
        <v>405465.5</v>
      </c>
      <c r="BE9" s="304">
        <f>SUMPRODUCT(('ANALYSE - ERP =&gt; SOUS-SEGMENT'!$B$8:$B$154=$B9)*'ANALYSE - ERP =&gt; SOUS-SEGMENT'!$Q$8:$Q$154*'ANALYSE - ERP =&gt; SOUS-SEGMENT'!$BG$8:$BG$154)</f>
        <v>29654.5</v>
      </c>
      <c r="BF9" s="304">
        <f>SUMPRODUCT(('ANALYSE - ERP =&gt; SOUS-SEGMENT'!$B$8:$B$154=$B9)*'ANALYSE - ERP =&gt; SOUS-SEGMENT'!$Q$8:$Q$154*'ANALYSE - ERP =&gt; SOUS-SEGMENT'!$BH$8:$BH$154)</f>
        <v>911372</v>
      </c>
      <c r="BG9" s="304">
        <f>SUMPRODUCT(('ANALYSE - ERP =&gt; SOUS-SEGMENT'!$B$8:$B$154=$B9)*'ANALYSE - ERP =&gt; SOUS-SEGMENT'!$Q$8:$Q$154*'ANALYSE - ERP =&gt; SOUS-SEGMENT'!$BJ$8:$BJ$154)</f>
        <v>952857</v>
      </c>
      <c r="BH9" s="304">
        <f>SUMPRODUCT(('ANALYSE - ERP =&gt; SOUS-SEGMENT'!$B$8:$B$154=$B9)*'ANALYSE - ERP =&gt; SOUS-SEGMENT'!$Q$8:$Q$154*'ANALYSE - ERP =&gt; SOUS-SEGMENT'!$BK$8:$BK$154)</f>
        <v>402932.5</v>
      </c>
      <c r="BI9" s="304">
        <f>SUMPRODUCT(('ANALYSE - ERP =&gt; SOUS-SEGMENT'!$B$8:$B$154=$B9)*'ANALYSE - ERP =&gt; SOUS-SEGMENT'!$Q$8:$Q$154*'ANALYSE - ERP =&gt; SOUS-SEGMENT'!$BL$8:$BL$154)</f>
        <v>31302.5</v>
      </c>
      <c r="BJ9" s="304">
        <f>SUMPRODUCT(('ANALYSE - ERP =&gt; SOUS-SEGMENT'!$B$8:$B$154=$B9)*'ANALYSE - ERP =&gt; SOUS-SEGMENT'!$Q$8:$Q$154*'ANALYSE - ERP =&gt; SOUS-SEGMENT'!$BM$8:$BM$154)</f>
        <v>912701</v>
      </c>
      <c r="BK9" s="657"/>
      <c r="BL9" s="577">
        <f>IFERROR(SUMPRODUCT(('ANALYSE - ERP =&gt; SOUS-SEGMENT'!$B$8:$B$154=$B9)*'ANALYSE - ERP =&gt; SOUS-SEGMENT'!$Q$8:$Q$154*'ANALYSE - ERP =&gt; SOUS-SEGMENT'!$BE$8:$BE$154*'ANALYSE - ERP =&gt; SOUS-SEGMENT'!$BO$8:$BO$154)/SUMPRODUCT(('ANALYSE - ERP =&gt; SOUS-SEGMENT'!$B$8:$B$154=$B9)*'ANALYSE - ERP =&gt; SOUS-SEGMENT'!$Q$8:$Q$154*'ANALYSE - ERP =&gt; SOUS-SEGMENT'!$BE$8:$BE$154),"")</f>
        <v>0.55489104956114987</v>
      </c>
      <c r="BM9" s="578">
        <f>IFERROR(SUMPRODUCT(('ANALYSE - ERP =&gt; SOUS-SEGMENT'!$B$8:$B$154=$B9)*'ANALYSE - ERP =&gt; SOUS-SEGMENT'!$Q$8:$Q$154*'ANALYSE - ERP =&gt; SOUS-SEGMENT'!$BE$8:$BE$154*'ANALYSE - ERP =&gt; SOUS-SEGMENT'!$BP$8:$BP$154)/SUMPRODUCT(('ANALYSE - ERP =&gt; SOUS-SEGMENT'!$B$8:$B$154=$B9)*'ANALYSE - ERP =&gt; SOUS-SEGMENT'!$Q$8:$Q$154*'ANALYSE - ERP =&gt; SOUS-SEGMENT'!$BE$8:$BE$154),"")</f>
        <v>0.18629649445524782</v>
      </c>
      <c r="BN9" s="578">
        <f>IFERROR(SUMPRODUCT(('ANALYSE - ERP =&gt; SOUS-SEGMENT'!$B$8:$B$154=$B9)*'ANALYSE - ERP =&gt; SOUS-SEGMENT'!$Q$8:$Q$154*'ANALYSE - ERP =&gt; SOUS-SEGMENT'!$BE$8:$BE$154*'ANALYSE - ERP =&gt; SOUS-SEGMENT'!$BQ$8:$BQ$154)/SUMPRODUCT(('ANALYSE - ERP =&gt; SOUS-SEGMENT'!$B$8:$B$154=$B9)*'ANALYSE - ERP =&gt; SOUS-SEGMENT'!$Q$8:$Q$154*'ANALYSE - ERP =&gt; SOUS-SEGMENT'!$BE$8:$BE$154),"")</f>
        <v>0.1240355494823146</v>
      </c>
      <c r="BO9" s="579">
        <f>IFERROR(SUMPRODUCT(('ANALYSE - ERP =&gt; SOUS-SEGMENT'!$B$8:$B$154=$B9)*'ANALYSE - ERP =&gt; SOUS-SEGMENT'!$Q$8:$Q$154*'ANALYSE - ERP =&gt; SOUS-SEGMENT'!$BE$8:$BE$154*'ANALYSE - ERP =&gt; SOUS-SEGMENT'!$BR$8:$BR$154)/SUMPRODUCT(('ANALYSE - ERP =&gt; SOUS-SEGMENT'!$B$8:$B$154=$B9)*'ANALYSE - ERP =&gt; SOUS-SEGMENT'!$Q$8:$Q$154*'ANALYSE - ERP =&gt; SOUS-SEGMENT'!$BE$8:$BE$154),"")</f>
        <v>0.13477690650128765</v>
      </c>
      <c r="BP9" s="577">
        <f>IFERROR(SUMPRODUCT(('ANALYSE - ERP =&gt; SOUS-SEGMENT'!$B$8:$B$154=$B9)*'ANALYSE - ERP =&gt; SOUS-SEGMENT'!$Q$8:$Q$154*'ANALYSE - ERP =&gt; SOUS-SEGMENT'!$BJ$8:$BJ$154*'ANALYSE - ERP =&gt; SOUS-SEGMENT'!$BS$8:$BS$154)/SUMPRODUCT(('ANALYSE - ERP =&gt; SOUS-SEGMENT'!$B$8:$B$154=$B9)*'ANALYSE - ERP =&gt; SOUS-SEGMENT'!$Q$8:$Q$154*'ANALYSE - ERP =&gt; SOUS-SEGMENT'!$BJ$8:$BJ$154),"")</f>
        <v>0.53055303156717104</v>
      </c>
      <c r="BQ9" s="578">
        <f>IFERROR(SUMPRODUCT(('ANALYSE - ERP =&gt; SOUS-SEGMENT'!$B$8:$B$154=$B9)*'ANALYSE - ERP =&gt; SOUS-SEGMENT'!$Q$8:$Q$154*'ANALYSE - ERP =&gt; SOUS-SEGMENT'!$BJ$8:$BJ$154*'ANALYSE - ERP =&gt; SOUS-SEGMENT'!$BT$8:$BT$154)/SUMPRODUCT(('ANALYSE - ERP =&gt; SOUS-SEGMENT'!$B$8:$B$154=$B9)*'ANALYSE - ERP =&gt; SOUS-SEGMENT'!$Q$8:$Q$154*'ANALYSE - ERP =&gt; SOUS-SEGMENT'!$BJ$8:$BJ$154),"")</f>
        <v>0.18673681360372019</v>
      </c>
      <c r="BR9" s="578">
        <f>IFERROR(SUMPRODUCT(('ANALYSE - ERP =&gt; SOUS-SEGMENT'!$B$8:$B$154=$B9)*'ANALYSE - ERP =&gt; SOUS-SEGMENT'!$Q$8:$Q$154*'ANALYSE - ERP =&gt; SOUS-SEGMENT'!$BJ$8:$BJ$154*'ANALYSE - ERP =&gt; SOUS-SEGMENT'!$BU$8:$BU$154)/SUMPRODUCT(('ANALYSE - ERP =&gt; SOUS-SEGMENT'!$B$8:$B$154=$B9)*'ANALYSE - ERP =&gt; SOUS-SEGMENT'!$Q$8:$Q$154*'ANALYSE - ERP =&gt; SOUS-SEGMENT'!$BJ$8:$BJ$154),"")</f>
        <v>0.14848602675952427</v>
      </c>
      <c r="BS9" s="579">
        <f>IFERROR(SUMPRODUCT(('ANALYSE - ERP =&gt; SOUS-SEGMENT'!$B$8:$B$154=$B9)*'ANALYSE - ERP =&gt; SOUS-SEGMENT'!$Q$8:$Q$154*'ANALYSE - ERP =&gt; SOUS-SEGMENT'!$BJ$8:$BJ$154*'ANALYSE - ERP =&gt; SOUS-SEGMENT'!$BV$8:$BV$154)/SUMPRODUCT(('ANALYSE - ERP =&gt; SOUS-SEGMENT'!$B$8:$B$154=$B9)*'ANALYSE - ERP =&gt; SOUS-SEGMENT'!$Q$8:$Q$154*'ANALYSE - ERP =&gt; SOUS-SEGMENT'!$BJ$8:$BJ$154),"")</f>
        <v>0.13422412806958442</v>
      </c>
      <c r="BT9" s="586">
        <f>IFERROR(SUMPRODUCT(('ANALYSE - ERP =&gt; SOUS-SEGMENT'!$B$8:$B$154=$B9)*'ANALYSE - ERP =&gt; SOUS-SEGMENT'!$Q$8:$Q$154*'ANALYSE - ERP =&gt; SOUS-SEGMENT'!$BF$8:$BF$154*'ANALYSE - ERP =&gt; SOUS-SEGMENT'!$BW$8:$BW$154)/SUMPRODUCT(('ANALYSE - ERP =&gt; SOUS-SEGMENT'!$B$8:$B$154=$B9)*'ANALYSE - ERP =&gt; SOUS-SEGMENT'!$Q$8:$Q$154*'ANALYSE - ERP =&gt; SOUS-SEGMENT'!$BF$8:$BF$154),"")</f>
        <v>0.82070694054118054</v>
      </c>
      <c r="BU9" s="587">
        <f>IFERROR(SUMPRODUCT(('ANALYSE - ERP =&gt; SOUS-SEGMENT'!$B$8:$B$154=$B9)*'ANALYSE - ERP =&gt; SOUS-SEGMENT'!$Q$8:$Q$154*'ANALYSE - ERP =&gt; SOUS-SEGMENT'!$BF$8:$BF$154*'ANALYSE - ERP =&gt; SOUS-SEGMENT'!$BX$8:$BX$154)/SUMPRODUCT(('ANALYSE - ERP =&gt; SOUS-SEGMENT'!$B$8:$B$154=$B9)*'ANALYSE - ERP =&gt; SOUS-SEGMENT'!$Q$8:$Q$154*'ANALYSE - ERP =&gt; SOUS-SEGMENT'!$BF$8:$BF$154),"")</f>
        <v>0.14335961999232982</v>
      </c>
      <c r="BV9" s="588">
        <f>IFERROR(SUMPRODUCT(('ANALYSE - ERP =&gt; SOUS-SEGMENT'!$B$8:$B$154=$B9)*'ANALYSE - ERP =&gt; SOUS-SEGMENT'!$Q$8:$Q$154*'ANALYSE - ERP =&gt; SOUS-SEGMENT'!$BF$8:$BF$154*'ANALYSE - ERP =&gt; SOUS-SEGMENT'!$BY$8:$BY$154)/SUMPRODUCT(('ANALYSE - ERP =&gt; SOUS-SEGMENT'!$B$8:$B$154=$B9)*'ANALYSE - ERP =&gt; SOUS-SEGMENT'!$Q$8:$Q$154*'ANALYSE - ERP =&gt; SOUS-SEGMENT'!$BF$8:$BF$154),"")</f>
        <v>3.5933439466489754E-2</v>
      </c>
      <c r="BW9" s="586">
        <f>IFERROR(SUMPRODUCT(('ANALYSE - ERP =&gt; SOUS-SEGMENT'!$B$8:$B$154=$B9)*'ANALYSE - ERP =&gt; SOUS-SEGMENT'!$Q$8:$Q$154*'ANALYSE - ERP =&gt; SOUS-SEGMENT'!$BK$8:$BK$154*'ANALYSE - ERP =&gt; SOUS-SEGMENT'!$BZ$8:$BZ$154)/SUMPRODUCT(('ANALYSE - ERP =&gt; SOUS-SEGMENT'!$B$8:$B$154=$B9)*'ANALYSE - ERP =&gt; SOUS-SEGMENT'!$Q$8:$Q$154*'ANALYSE - ERP =&gt; SOUS-SEGMENT'!$BK$8:$BK$154),"")</f>
        <v>0.78886020611392738</v>
      </c>
      <c r="BX9" s="587">
        <f>IFERROR(SUMPRODUCT(('ANALYSE - ERP =&gt; SOUS-SEGMENT'!$B$8:$B$154=$B9)*'ANALYSE - ERP =&gt; SOUS-SEGMENT'!$Q$8:$Q$154*'ANALYSE - ERP =&gt; SOUS-SEGMENT'!$BK$8:$BK$154*'ANALYSE - ERP =&gt; SOUS-SEGMENT'!$CA$8:$CA$154)/SUMPRODUCT(('ANALYSE - ERP =&gt; SOUS-SEGMENT'!$B$8:$B$154=$B9)*'ANALYSE - ERP =&gt; SOUS-SEGMENT'!$Q$8:$Q$154*'ANALYSE - ERP =&gt; SOUS-SEGMENT'!$BK$8:$BK$154),"")</f>
        <v>0.16518622846258366</v>
      </c>
      <c r="BY9" s="588">
        <f>IFERROR(SUMPRODUCT(('ANALYSE - ERP =&gt; SOUS-SEGMENT'!$B$8:$B$154=$B9)*'ANALYSE - ERP =&gt; SOUS-SEGMENT'!$Q$8:$Q$154*'ANALYSE - ERP =&gt; SOUS-SEGMENT'!$BK$8:$BK$154*'ANALYSE - ERP =&gt; SOUS-SEGMENT'!$CB$8:$CB$154)/SUMPRODUCT(('ANALYSE - ERP =&gt; SOUS-SEGMENT'!$B$8:$B$154=$B9)*'ANALYSE - ERP =&gt; SOUS-SEGMENT'!$Q$8:$Q$154*'ANALYSE - ERP =&gt; SOUS-SEGMENT'!$BK$8:$BK$154),"")</f>
        <v>4.5953565423489051E-2</v>
      </c>
      <c r="BZ9" s="577">
        <f>IFERROR(SUMPRODUCT(('ANALYSE - ERP =&gt; SOUS-SEGMENT'!$B$8:$B$154=$B9)*'ANALYSE - ERP =&gt; SOUS-SEGMENT'!$Q$8:$Q$154*'ANALYSE - ERP =&gt; SOUS-SEGMENT'!$BG$8:$BG$154*'ANALYSE - ERP =&gt; SOUS-SEGMENT'!$CC$8:$CC$154)/SUMPRODUCT(('ANALYSE - ERP =&gt; SOUS-SEGMENT'!$B$8:$B$154=$B9)*'ANALYSE - ERP =&gt; SOUS-SEGMENT'!$Q$8:$Q$154*'ANALYSE - ERP =&gt; SOUS-SEGMENT'!$BG$8:$BG$154),"")</f>
        <v>0.23763610919084796</v>
      </c>
      <c r="CA9" s="578">
        <f>IFERROR(SUMPRODUCT(('ANALYSE - ERP =&gt; SOUS-SEGMENT'!$B$8:$B$154=$B9)*'ANALYSE - ERP =&gt; SOUS-SEGMENT'!$Q$8:$Q$154*'ANALYSE - ERP =&gt; SOUS-SEGMENT'!$BG$8:$BG$154*'ANALYSE - ERP =&gt; SOUS-SEGMENT'!$CD$8:$CD$154)/SUMPRODUCT(('ANALYSE - ERP =&gt; SOUS-SEGMENT'!$B$8:$B$154=$B9)*'ANALYSE - ERP =&gt; SOUS-SEGMENT'!$Q$8:$Q$154*'ANALYSE - ERP =&gt; SOUS-SEGMENT'!$BG$8:$BG$154),"")</f>
        <v>0.40051863966682971</v>
      </c>
      <c r="CB9" s="578">
        <f>IFERROR(SUMPRODUCT(('ANALYSE - ERP =&gt; SOUS-SEGMENT'!$B$8:$B$154=$B9)*'ANALYSE - ERP =&gt; SOUS-SEGMENT'!$Q$8:$Q$154*'ANALYSE - ERP =&gt; SOUS-SEGMENT'!$BG$8:$BG$154*'ANALYSE - ERP =&gt; SOUS-SEGMENT'!$CE$8:$CE$154)/SUMPRODUCT(('ANALYSE - ERP =&gt; SOUS-SEGMENT'!$B$8:$B$154=$B9)*'ANALYSE - ERP =&gt; SOUS-SEGMENT'!$Q$8:$Q$154*'ANALYSE - ERP =&gt; SOUS-SEGMENT'!$BG$8:$BG$154),"")</f>
        <v>0.21173481259168087</v>
      </c>
      <c r="CC9" s="579">
        <f>IFERROR(SUMPRODUCT(('ANALYSE - ERP =&gt; SOUS-SEGMENT'!$B$8:$B$154=$B9)*'ANALYSE - ERP =&gt; SOUS-SEGMENT'!$Q$8:$Q$154*'ANALYSE - ERP =&gt; SOUS-SEGMENT'!$BG$8:$BG$154*'ANALYSE - ERP =&gt; SOUS-SEGMENT'!$CF$8:$CF$154)/SUMPRODUCT(('ANALYSE - ERP =&gt; SOUS-SEGMENT'!$B$8:$B$154=$B9)*'ANALYSE - ERP =&gt; SOUS-SEGMENT'!$Q$8:$Q$154*'ANALYSE - ERP =&gt; SOUS-SEGMENT'!$BG$8:$BG$154),"")</f>
        <v>0.15011043855064155</v>
      </c>
      <c r="CD9" s="577">
        <f>IFERROR(SUMPRODUCT(('ANALYSE - ERP =&gt; SOUS-SEGMENT'!$B$8:$B$154=$B9)*'ANALYSE - ERP =&gt; SOUS-SEGMENT'!$Q$8:$Q$154*'ANALYSE - ERP =&gt; SOUS-SEGMENT'!$BL$8:$BL$154*'ANALYSE - ERP =&gt; SOUS-SEGMENT'!$CG$8:$CG$154)/SUMPRODUCT(('ANALYSE - ERP =&gt; SOUS-SEGMENT'!$B$8:$B$154=$B9)*'ANALYSE - ERP =&gt; SOUS-SEGMENT'!$Q$8:$Q$154*'ANALYSE - ERP =&gt; SOUS-SEGMENT'!$BL$8:$BL$154),"")</f>
        <v>0.20850762718632695</v>
      </c>
      <c r="CE9" s="578">
        <f>IFERROR(SUMPRODUCT(('ANALYSE - ERP =&gt; SOUS-SEGMENT'!$B$8:$B$154=$B9)*'ANALYSE - ERP =&gt; SOUS-SEGMENT'!$Q$8:$Q$154*'ANALYSE - ERP =&gt; SOUS-SEGMENT'!$BL$8:$BL$154*'ANALYSE - ERP =&gt; SOUS-SEGMENT'!$CH$8:$CH$154)/SUMPRODUCT(('ANALYSE - ERP =&gt; SOUS-SEGMENT'!$B$8:$B$154=$B9)*'ANALYSE - ERP =&gt; SOUS-SEGMENT'!$Q$8:$Q$154*'ANALYSE - ERP =&gt; SOUS-SEGMENT'!$BL$8:$BL$154),"")</f>
        <v>0.40049836275057904</v>
      </c>
      <c r="CF9" s="578">
        <f>IFERROR(SUMPRODUCT(('ANALYSE - ERP =&gt; SOUS-SEGMENT'!$B$8:$B$154=$B9)*'ANALYSE - ERP =&gt; SOUS-SEGMENT'!$Q$8:$Q$154*'ANALYSE - ERP =&gt; SOUS-SEGMENT'!$BL$8:$BL$154*'ANALYSE - ERP =&gt; SOUS-SEGMENT'!$CI$8:$CI$154)/SUMPRODUCT(('ANALYSE - ERP =&gt; SOUS-SEGMENT'!$B$8:$B$154=$B9)*'ANALYSE - ERP =&gt; SOUS-SEGMENT'!$Q$8:$Q$154*'ANALYSE - ERP =&gt; SOUS-SEGMENT'!$BL$8:$BL$154),"")</f>
        <v>0.24371487900327449</v>
      </c>
      <c r="CG9" s="579">
        <f>IFERROR(SUMPRODUCT(('ANALYSE - ERP =&gt; SOUS-SEGMENT'!$B$8:$B$154=$B9)*'ANALYSE - ERP =&gt; SOUS-SEGMENT'!$Q$8:$Q$154*'ANALYSE - ERP =&gt; SOUS-SEGMENT'!$BL$8:$BL$154*'ANALYSE - ERP =&gt; SOUS-SEGMENT'!$CJ$8:$CJ$154)/SUMPRODUCT(('ANALYSE - ERP =&gt; SOUS-SEGMENT'!$B$8:$B$154=$B9)*'ANALYSE - ERP =&gt; SOUS-SEGMENT'!$Q$8:$Q$154*'ANALYSE - ERP =&gt; SOUS-SEGMENT'!$BL$8:$BL$154),"")</f>
        <v>0.14727913105981949</v>
      </c>
      <c r="CH9" s="586">
        <f>IFERROR(SUMPRODUCT(('ANALYSE - ERP =&gt; SOUS-SEGMENT'!$B$8:$B$154=$B9)*'ANALYSE - ERP =&gt; SOUS-SEGMENT'!$Q$8:$Q$154*'ANALYSE - ERP =&gt; SOUS-SEGMENT'!$BH$8:$BH$154*'ANALYSE - ERP =&gt; SOUS-SEGMENT'!$CK$8:$CK$154)/SUMPRODUCT(('ANALYSE - ERP =&gt; SOUS-SEGMENT'!$B$8:$B$154=$B9)*'ANALYSE - ERP =&gt; SOUS-SEGMENT'!$Q$8:$Q$154*'ANALYSE - ERP =&gt; SOUS-SEGMENT'!$BH$8:$BH$154),"")</f>
        <v>0.79637217294364981</v>
      </c>
      <c r="CI9" s="587">
        <f>IFERROR(SUMPRODUCT(('ANALYSE - ERP =&gt; SOUS-SEGMENT'!$B$8:$B$154=$B9)*'ANALYSE - ERP =&gt; SOUS-SEGMENT'!$Q$8:$Q$154*'ANALYSE - ERP =&gt; SOUS-SEGMENT'!$BH$8:$BH$154*'ANALYSE - ERP =&gt; SOUS-SEGMENT'!$CL$8:$CL$154)/SUMPRODUCT(('ANALYSE - ERP =&gt; SOUS-SEGMENT'!$B$8:$B$154=$B9)*'ANALYSE - ERP =&gt; SOUS-SEGMENT'!$Q$8:$Q$154*'ANALYSE - ERP =&gt; SOUS-SEGMENT'!$BH$8:$BH$154),"")</f>
        <v>0.14494706881492958</v>
      </c>
      <c r="CJ9" s="588">
        <f>IFERROR(SUMPRODUCT(('ANALYSE - ERP =&gt; SOUS-SEGMENT'!$B$8:$B$154=$B9)*'ANALYSE - ERP =&gt; SOUS-SEGMENT'!$Q$8:$Q$154*'ANALYSE - ERP =&gt; SOUS-SEGMENT'!$BH$8:$BH$154*'ANALYSE - ERP =&gt; SOUS-SEGMENT'!$CM$8:$CM$154)/SUMPRODUCT(('ANALYSE - ERP =&gt; SOUS-SEGMENT'!$B$8:$B$154=$B9)*'ANALYSE - ERP =&gt; SOUS-SEGMENT'!$Q$8:$Q$154*'ANALYSE - ERP =&gt; SOUS-SEGMENT'!$BH$8:$BH$154),"")</f>
        <v>5.8680758241420626E-2</v>
      </c>
      <c r="CK9" s="586">
        <f>IFERROR(SUMPRODUCT(('ANALYSE - ERP =&gt; SOUS-SEGMENT'!$B$8:$B$154=$B9)*'ANALYSE - ERP =&gt; SOUS-SEGMENT'!$Q$8:$Q$154*'ANALYSE - ERP =&gt; SOUS-SEGMENT'!$BM$8:$BM$154*'ANALYSE - ERP =&gt; SOUS-SEGMENT'!$CN$8:$CN$154)/SUMPRODUCT(('ANALYSE - ERP =&gt; SOUS-SEGMENT'!$B$8:$B$154=$B9)*'ANALYSE - ERP =&gt; SOUS-SEGMENT'!$Q$8:$Q$154*'ANALYSE - ERP =&gt; SOUS-SEGMENT'!$BM$8:$BM$154),"")</f>
        <v>0.75828620764083743</v>
      </c>
      <c r="CL9" s="587">
        <f>IFERROR(SUMPRODUCT(('ANALYSE - ERP =&gt; SOUS-SEGMENT'!$B$8:$B$154=$B9)*'ANALYSE - ERP =&gt; SOUS-SEGMENT'!$Q$8:$Q$154*'ANALYSE - ERP =&gt; SOUS-SEGMENT'!$BM$8:$BM$154*'ANALYSE - ERP =&gt; SOUS-SEGMENT'!$CO$8:$CO$154)/SUMPRODUCT(('ANALYSE - ERP =&gt; SOUS-SEGMENT'!$B$8:$B$154=$B9)*'ANALYSE - ERP =&gt; SOUS-SEGMENT'!$Q$8:$Q$154*'ANALYSE - ERP =&gt; SOUS-SEGMENT'!$BM$8:$BM$154),"")</f>
        <v>0.16248441713113054</v>
      </c>
      <c r="CM9" s="588">
        <f>IFERROR(SUMPRODUCT(('ANALYSE - ERP =&gt; SOUS-SEGMENT'!$B$8:$B$154=$B9)*'ANALYSE - ERP =&gt; SOUS-SEGMENT'!$Q$8:$Q$154*'ANALYSE - ERP =&gt; SOUS-SEGMENT'!$BM$8:$BM$154*'ANALYSE - ERP =&gt; SOUS-SEGMENT'!$CP$8:$CP$154)/SUMPRODUCT(('ANALYSE - ERP =&gt; SOUS-SEGMENT'!$B$8:$B$154=$B9)*'ANALYSE - ERP =&gt; SOUS-SEGMENT'!$Q$8:$Q$154*'ANALYSE - ERP =&gt; SOUS-SEGMENT'!$BM$8:$BM$154),"")</f>
        <v>7.9229375228031959E-2</v>
      </c>
      <c r="CN9" s="657"/>
      <c r="CO9" s="877">
        <f>IFERROR(SUMPRODUCT(('ANALYSE - ERP =&gt; SOUS-SEGMENT'!$B$8:$B$154=$B9)*'ANALYSE - ERP =&gt; SOUS-SEGMENT'!$DH$8:$DH$154*'ANALYSE - ERP =&gt; SOUS-SEGMENT'!$CR$8:$CR$154)/SUMPRODUCT(('ANALYSE - ERP =&gt; SOUS-SEGMENT'!$B$8:$B$154=$B9)*'ANALYSE - ERP =&gt; SOUS-SEGMENT'!$DH$8:$DH$154),"")</f>
        <v>13.342045263818253</v>
      </c>
      <c r="CP9" s="878">
        <f>IFERROR(SUMPRODUCT(('ANALYSE - ERP =&gt; SOUS-SEGMENT'!$B$8:$B$154=$B9)*'ANALYSE - ERP =&gt; SOUS-SEGMENT'!$DI$8:$DI$154*'ANALYSE - ERP =&gt; SOUS-SEGMENT'!$CS$8:$CS$154)/SUMPRODUCT(('ANALYSE - ERP =&gt; SOUS-SEGMENT'!$B$8:$B$154=$B9)*'ANALYSE - ERP =&gt; SOUS-SEGMENT'!$DI$8:$DI$154),"")</f>
        <v>12.176431695841789</v>
      </c>
      <c r="CQ9" s="878">
        <f>IFERROR(SUMPRODUCT(('ANALYSE - ERP =&gt; SOUS-SEGMENT'!$B$8:$B$154=$B9)*'ANALYSE - ERP =&gt; SOUS-SEGMENT'!$DJ$8:$DJ$154*'ANALYSE - ERP =&gt; SOUS-SEGMENT'!$CT$8:$CT$154)/SUMPRODUCT(('ANALYSE - ERP =&gt; SOUS-SEGMENT'!$B$8:$B$154=$B9)*'ANALYSE - ERP =&gt; SOUS-SEGMENT'!$DJ$8:$DJ$154),"")</f>
        <v>9.1015028989869702</v>
      </c>
      <c r="CR9" s="879">
        <f>IFERROR(SUMPRODUCT(('ANALYSE - ERP =&gt; SOUS-SEGMENT'!$B$8:$B$154=$B9)*'ANALYSE - ERP =&gt; SOUS-SEGMENT'!$DK$8:$DK$154*'ANALYSE - ERP =&gt; SOUS-SEGMENT'!$CU$8:$CU$154)/SUMPRODUCT(('ANALYSE - ERP =&gt; SOUS-SEGMENT'!$B$8:$B$154=$B9)*'ANALYSE - ERP =&gt; SOUS-SEGMENT'!$DK$8:$DK$154),"")</f>
        <v>11.381087615051943</v>
      </c>
      <c r="CS9" s="877">
        <f>IFERROR(SUMPRODUCT(('ANALYSE - ERP =&gt; SOUS-SEGMENT'!$B$8:$B$154=$B9)*'ANALYSE - ERP =&gt; SOUS-SEGMENT'!$DS$8:$DS$154*'ANALYSE - ERP =&gt; SOUS-SEGMENT'!$CV$8:$CV$154)/SUMPRODUCT(('ANALYSE - ERP =&gt; SOUS-SEGMENT'!$B$8:$B$154=$B9)*'ANALYSE - ERP =&gt; SOUS-SEGMENT'!$DS$8:$DS$154),"")</f>
        <v>12.267849699443756</v>
      </c>
      <c r="CT9" s="878">
        <f>IFERROR(SUMPRODUCT(('ANALYSE - ERP =&gt; SOUS-SEGMENT'!$B$8:$B$154=$B9)*'ANALYSE - ERP =&gt; SOUS-SEGMENT'!$DT$8:$DT$154*'ANALYSE - ERP =&gt; SOUS-SEGMENT'!$CW$8:$CW$154)/SUMPRODUCT(('ANALYSE - ERP =&gt; SOUS-SEGMENT'!$B$8:$B$154=$B9)*'ANALYSE - ERP =&gt; SOUS-SEGMENT'!$DT$8:$DT$154),"")</f>
        <v>11.15726729662097</v>
      </c>
      <c r="CU9" s="879">
        <f>IFERROR(SUMPRODUCT(('ANALYSE - ERP =&gt; SOUS-SEGMENT'!$B$8:$B$154=$B9)*'ANALYSE - ERP =&gt; SOUS-SEGMENT'!$DU$8:$DU$154*'ANALYSE - ERP =&gt; SOUS-SEGMENT'!$CX$8:$CX$154)/SUMPRODUCT(('ANALYSE - ERP =&gt; SOUS-SEGMENT'!$B$8:$B$154=$B9)*'ANALYSE - ERP =&gt; SOUS-SEGMENT'!$DU$8:$DU$154),"")</f>
        <v>8.5202485050827477</v>
      </c>
      <c r="CV9" s="877">
        <f>IFERROR(SUMPRODUCT(('ANALYSE - ERP =&gt; SOUS-SEGMENT'!$B$8:$B$154=$B9)*'ANALYSE - ERP =&gt; SOUS-SEGMENT'!$EB$8:$EB$154*'ANALYSE - ERP =&gt; SOUS-SEGMENT'!$CY$8:$CY$154)/SUMPRODUCT(('ANALYSE - ERP =&gt; SOUS-SEGMENT'!$B$8:$B$154=$B9)*'ANALYSE - ERP =&gt; SOUS-SEGMENT'!$EB$8:$EB$154),"")</f>
        <v>11.906082027647292</v>
      </c>
      <c r="CW9" s="878">
        <f>IFERROR(SUMPRODUCT(('ANALYSE - ERP =&gt; SOUS-SEGMENT'!$B$8:$B$154=$B9)*'ANALYSE - ERP =&gt; SOUS-SEGMENT'!$EC$8:$EC$154*'ANALYSE - ERP =&gt; SOUS-SEGMENT'!$CZ$8:$CZ$154)/SUMPRODUCT(('ANALYSE - ERP =&gt; SOUS-SEGMENT'!$B$8:$B$154=$B9)*'ANALYSE - ERP =&gt; SOUS-SEGMENT'!$EC$8:$EC$154),"")</f>
        <v>12.5073063665322</v>
      </c>
      <c r="CX9" s="878">
        <f>IFERROR(SUMPRODUCT(('ANALYSE - ERP =&gt; SOUS-SEGMENT'!$B$8:$B$154=$B9)*'ANALYSE - ERP =&gt; SOUS-SEGMENT'!$ED$8:$ED$154*'ANALYSE - ERP =&gt; SOUS-SEGMENT'!$DA$8:$DA$154)/SUMPRODUCT(('ANALYSE - ERP =&gt; SOUS-SEGMENT'!$B$8:$B$154=$B9)*'ANALYSE - ERP =&gt; SOUS-SEGMENT'!$ED$8:$ED$154),"")</f>
        <v>8.4880921145883281</v>
      </c>
      <c r="CY9" s="880">
        <f>IFERROR(SUMPRODUCT(('ANALYSE - ERP =&gt; SOUS-SEGMENT'!$B$8:$B$154=$B9)*'ANALYSE - ERP =&gt; SOUS-SEGMENT'!$EE$8:$EE$154*'ANALYSE - ERP =&gt; SOUS-SEGMENT'!$DB$8:$DB$154)/SUMPRODUCT(('ANALYSE - ERP =&gt; SOUS-SEGMENT'!$B$8:$B$154=$B9)*'ANALYSE - ERP =&gt; SOUS-SEGMENT'!$EE$8:$EE$154),"")</f>
        <v>10.507575435161934</v>
      </c>
      <c r="CZ9" s="881">
        <f>IFERROR(SUMPRODUCT(('ANALYSE - ERP =&gt; SOUS-SEGMENT'!$B$8:$B$154=$B9)*'ANALYSE - ERP =&gt; SOUS-SEGMENT'!$EM$8:$EM$154*'ANALYSE - ERP =&gt; SOUS-SEGMENT'!$DC$8:$DC$154)/SUMPRODUCT(('ANALYSE - ERP =&gt; SOUS-SEGMENT'!$B$8:$B$154=$B9)*'ANALYSE - ERP =&gt; SOUS-SEGMENT'!$EM$8:$EM$154),"")</f>
        <v>13.984201451353785</v>
      </c>
      <c r="DA9" s="878">
        <f>IFERROR(SUMPRODUCT(('ANALYSE - ERP =&gt; SOUS-SEGMENT'!$B$8:$B$154=$B9)*'ANALYSE - ERP =&gt; SOUS-SEGMENT'!$EN$8:$EN$154*'ANALYSE - ERP =&gt; SOUS-SEGMENT'!$DD$8:$DD$154)/SUMPRODUCT(('ANALYSE - ERP =&gt; SOUS-SEGMENT'!$B$8:$B$154=$B9)*'ANALYSE - ERP =&gt; SOUS-SEGMENT'!$EN$8:$EN$154),"")</f>
        <v>12.503315690415508</v>
      </c>
      <c r="DB9" s="880">
        <f>IFERROR(SUMPRODUCT(('ANALYSE - ERP =&gt; SOUS-SEGMENT'!$B$8:$B$154=$B9)*'ANALYSE - ERP =&gt; SOUS-SEGMENT'!$EO$8:$EO$154*'ANALYSE - ERP =&gt; SOUS-SEGMENT'!$DE$8:$DE$154)/SUMPRODUCT(('ANALYSE - ERP =&gt; SOUS-SEGMENT'!$B$8:$B$154=$B9)*'ANALYSE - ERP =&gt; SOUS-SEGMENT'!$EO$8:$EO$154),"")</f>
        <v>9.5602601717982267</v>
      </c>
      <c r="DC9" s="316" t="s">
        <v>7559</v>
      </c>
      <c r="DD9" s="657"/>
      <c r="DE9" s="288">
        <f t="shared" si="2"/>
        <v>527895.6</v>
      </c>
      <c r="DF9" s="288">
        <f t="shared" si="3"/>
        <v>177233.17</v>
      </c>
      <c r="DG9" s="288">
        <f t="shared" si="4"/>
        <v>118001.22</v>
      </c>
      <c r="DH9" s="288">
        <f t="shared" si="5"/>
        <v>128220.01000000001</v>
      </c>
      <c r="DI9" s="317" t="s">
        <v>7559</v>
      </c>
      <c r="DJ9" s="288">
        <f t="shared" si="6"/>
        <v>505541.16999999987</v>
      </c>
      <c r="DK9" s="288">
        <f t="shared" si="7"/>
        <v>177933.48</v>
      </c>
      <c r="DL9" s="288">
        <f t="shared" si="8"/>
        <v>141485.95000000001</v>
      </c>
      <c r="DM9" s="288">
        <f t="shared" si="9"/>
        <v>127896.4</v>
      </c>
      <c r="DN9" s="318" t="s">
        <v>7559</v>
      </c>
      <c r="DO9" s="657"/>
      <c r="DP9" s="288">
        <f t="shared" si="10"/>
        <v>332768.35000000003</v>
      </c>
      <c r="DQ9" s="288">
        <f t="shared" si="11"/>
        <v>58127.380000000005</v>
      </c>
      <c r="DR9" s="288">
        <f t="shared" si="12"/>
        <v>14569.770000000002</v>
      </c>
      <c r="DS9" s="318" t="s">
        <v>7559</v>
      </c>
      <c r="DT9" s="288">
        <f t="shared" si="13"/>
        <v>317857.41500000004</v>
      </c>
      <c r="DU9" s="288">
        <f t="shared" si="14"/>
        <v>66558.899999999994</v>
      </c>
      <c r="DV9" s="288">
        <f t="shared" si="15"/>
        <v>18516.185000000001</v>
      </c>
      <c r="DW9" s="318" t="s">
        <v>7559</v>
      </c>
      <c r="DX9" s="657"/>
      <c r="DY9" s="288">
        <f t="shared" si="16"/>
        <v>7046.9800000000005</v>
      </c>
      <c r="DZ9" s="288">
        <f t="shared" si="17"/>
        <v>11877.180000000002</v>
      </c>
      <c r="EA9" s="288">
        <f t="shared" si="18"/>
        <v>6278.89</v>
      </c>
      <c r="EB9" s="288">
        <f t="shared" si="19"/>
        <v>4451.45</v>
      </c>
      <c r="EC9" s="318" t="s">
        <v>7559</v>
      </c>
      <c r="ED9" s="288">
        <f t="shared" si="20"/>
        <v>6526.8099999999995</v>
      </c>
      <c r="EE9" s="288">
        <f t="shared" si="21"/>
        <v>12536.6</v>
      </c>
      <c r="EF9" s="288">
        <f t="shared" si="22"/>
        <v>7628.8849999999993</v>
      </c>
      <c r="EG9" s="288">
        <f t="shared" si="23"/>
        <v>4610.2049999999999</v>
      </c>
      <c r="EH9" s="318" t="s">
        <v>7559</v>
      </c>
      <c r="EI9" s="290"/>
      <c r="EJ9" s="288">
        <f t="shared" si="24"/>
        <v>725791.3</v>
      </c>
      <c r="EK9" s="291">
        <f t="shared" si="25"/>
        <v>132100.70000000001</v>
      </c>
      <c r="EL9" s="291">
        <f t="shared" si="26"/>
        <v>53480</v>
      </c>
      <c r="EM9" s="318" t="s">
        <v>7559</v>
      </c>
      <c r="EN9" s="288">
        <f t="shared" si="27"/>
        <v>692088.58</v>
      </c>
      <c r="EO9" s="291">
        <f t="shared" si="28"/>
        <v>148299.68999999997</v>
      </c>
      <c r="EP9" s="291">
        <f t="shared" si="29"/>
        <v>72312.73</v>
      </c>
      <c r="EQ9" s="318" t="s">
        <v>7559</v>
      </c>
      <c r="ER9" s="657"/>
      <c r="ES9" s="731">
        <f t="shared" si="30"/>
        <v>0.80096535928298063</v>
      </c>
      <c r="ET9" s="731">
        <f t="shared" si="31"/>
        <v>0.19903464071701946</v>
      </c>
      <c r="EU9" s="292">
        <f t="shared" si="32"/>
        <v>1045810.6637122734</v>
      </c>
      <c r="EV9" s="292">
        <f t="shared" si="33"/>
        <v>837658.11400227342</v>
      </c>
      <c r="EW9" s="292">
        <f t="shared" si="34"/>
        <v>208152.54970999999</v>
      </c>
      <c r="EX9" s="292">
        <f t="shared" si="35"/>
        <v>443637.56774676905</v>
      </c>
      <c r="EY9" s="292">
        <f>SUMPRODUCT(('ANALYSE - ERP =&gt; SOUS-SEGMENT'!$B$8:$B$154=$B9)*'ANALYSE - ERP =&gt; SOUS-SEGMENT'!$Q$8:$Q$154*'ANALYSE - ERP =&gt; SOUS-SEGMENT'!$FB$8:$FB$154)</f>
        <v>357093.59872676904</v>
      </c>
      <c r="EZ9" s="292">
        <f>SUMPRODUCT(('ANALYSE - ERP =&gt; SOUS-SEGMENT'!$B$8:$B$154=$B9)*'ANALYSE - ERP =&gt; SOUS-SEGMENT'!$Q$8:$Q$154*'ANALYSE - ERP =&gt; SOUS-SEGMENT'!$FC$8:$FC$154)</f>
        <v>86543.969020000004</v>
      </c>
      <c r="FA9" s="292">
        <f t="shared" si="36"/>
        <v>190966.1746972297</v>
      </c>
      <c r="FB9" s="292">
        <f>SUMPRODUCT(('ANALYSE - ERP =&gt; SOUS-SEGMENT'!$B$8:$B$154=$B9)*'ANALYSE - ERP =&gt; SOUS-SEGMENT'!$Q$8:$Q$154*'ANALYSE - ERP =&gt; SOUS-SEGMENT'!$FE$8:$FE$154)</f>
        <v>156341.17934722971</v>
      </c>
      <c r="FC9" s="292">
        <f>SUMPRODUCT(('ANALYSE - ERP =&gt; SOUS-SEGMENT'!$B$8:$B$154=$B9)*'ANALYSE - ERP =&gt; SOUS-SEGMENT'!$Q$8:$Q$154*'ANALYSE - ERP =&gt; SOUS-SEGMENT'!$FF$8:$FF$154)</f>
        <v>34624.995349999997</v>
      </c>
      <c r="FD9" s="292">
        <f t="shared" si="37"/>
        <v>15557.854993313034</v>
      </c>
      <c r="FE9" s="292">
        <f>SUMPRODUCT(('ANALYSE - ERP =&gt; SOUS-SEGMENT'!$B$8:$B$154=$B9)*'ANALYSE - ERP =&gt; SOUS-SEGMENT'!$Q$8:$Q$154*'ANALYSE - ERP =&gt; SOUS-SEGMENT'!$FH$8:$FH$154)</f>
        <v>11340.025873313034</v>
      </c>
      <c r="FF9" s="292">
        <f>SUMPRODUCT(('ANALYSE - ERP =&gt; SOUS-SEGMENT'!$B$8:$B$154=$B9)*'ANALYSE - ERP =&gt; SOUS-SEGMENT'!$Q$8:$Q$154*'ANALYSE - ERP =&gt; SOUS-SEGMENT'!$FI$8:$FI$154)</f>
        <v>4217.8291199999994</v>
      </c>
      <c r="FG9" s="292">
        <f t="shared" si="38"/>
        <v>395649.06627496151</v>
      </c>
      <c r="FH9" s="292">
        <f>SUMPRODUCT(('ANALYSE - ERP =&gt; SOUS-SEGMENT'!$B$8:$B$154=$B9)*'ANALYSE - ERP =&gt; SOUS-SEGMENT'!$Q$8:$Q$154*'ANALYSE - ERP =&gt; SOUS-SEGMENT'!$FK$8:$FK$154)</f>
        <v>312883.31005496153</v>
      </c>
      <c r="FI9" s="292">
        <f>SUMPRODUCT(('ANALYSE - ERP =&gt; SOUS-SEGMENT'!$B$8:$B$154=$B9)*'ANALYSE - ERP =&gt; SOUS-SEGMENT'!$Q$8:$Q$154*'ANALYSE - ERP =&gt; SOUS-SEGMENT'!$FL$8:$FL$154)</f>
        <v>82765.756219999996</v>
      </c>
      <c r="FJ9" s="657"/>
      <c r="FK9" s="319" t="s">
        <v>2649</v>
      </c>
      <c r="FL9" s="731">
        <f>IFERROR(SUMPRODUCT(('ANALYSE - ERP =&gt; SOUS-SEGMENT'!$B$8:$B$154=$B9)*'ANALYSE - ERP =&gt; SOUS-SEGMENT'!$Q$8:$Q$154*'ANALYSE - ERP =&gt; SOUS-SEGMENT'!$AF$8:$AF$154*'ANALYSE - ERP =&gt; SOUS-SEGMENT'!$FO$8:$FO$154)/SUMPRODUCT(('ANALYSE - ERP =&gt; SOUS-SEGMENT'!$B$8:$B$154=$B9)*'ANALYSE - ERP =&gt; SOUS-SEGMENT'!$Q$8:$Q$154*'ANALYSE - ERP =&gt; SOUS-SEGMENT'!$AF$8:$AF$154),"")</f>
        <v>7.5616697588126169E-2</v>
      </c>
      <c r="FM9" s="732">
        <f>IFERROR(SUMPRODUCT(('ANALYSE - ERP =&gt; SOUS-SEGMENT'!$B$8:$B$154=$B9)*'ANALYSE - ERP =&gt; SOUS-SEGMENT'!$Q$8:$Q$154*'ANALYSE - ERP =&gt; SOUS-SEGMENT'!$AF$8:$AF$154*'ANALYSE - ERP =&gt; SOUS-SEGMENT'!$FP$8:$FP$154)/SUMPRODUCT(('ANALYSE - ERP =&gt; SOUS-SEGMENT'!$B$8:$B$154=$B9)*'ANALYSE - ERP =&gt; SOUS-SEGMENT'!$Q$8:$Q$154*'ANALYSE - ERP =&gt; SOUS-SEGMENT'!$AF$8:$AF$154),"")</f>
        <v>0.86802388805264807</v>
      </c>
      <c r="FN9" s="320" t="s">
        <v>6780</v>
      </c>
      <c r="FO9" s="657"/>
      <c r="FP9" s="887">
        <f>IFERROR(SUMPRODUCT(('ANALYSE - ERP =&gt; SOUS-SEGMENT'!$B$8:$B$154=$B9)*'ANALYSE - ERP =&gt; SOUS-SEGMENT'!$Q$8:$Q$154*'ANALYSE - ERP =&gt; SOUS-SEGMENT'!$EX$8:$EX$154*'ANALYSE - ERP =&gt; SOUS-SEGMENT'!$FS$8:$FS$154)/SUMPRODUCT(('ANALYSE - ERP =&gt; SOUS-SEGMENT'!$B$8:$B$154=$B9)*'ANALYSE - ERP =&gt; SOUS-SEGMENT'!$Q$8:$Q$154*'ANALYSE - ERP =&gt; SOUS-SEGMENT'!$EX$8:$EX$154),"")</f>
        <v>3.5639044247187717</v>
      </c>
      <c r="FQ9" s="295">
        <f>RANK($FP9,$FP$8:$FP$143,0)+COUNTIF($FP$8:$FP9,$FP9)-1</f>
        <v>4</v>
      </c>
      <c r="FR9" s="887">
        <f>IFERROR(SUMPRODUCT(('ANALYSE - ERP =&gt; SOUS-SEGMENT'!$B$8:$B$154=$B9)*'ANALYSE - ERP =&gt; SOUS-SEGMENT'!$Q$8:$Q$154*'ANALYSE - ERP =&gt; SOUS-SEGMENT'!$EY$8:$EY$154*'ANALYSE - ERP =&gt; SOUS-SEGMENT'!$FU$8:$FU$154)/SUMPRODUCT(('ANALYSE - ERP =&gt; SOUS-SEGMENT'!$B$8:$B$154=$B9)*'ANALYSE - ERP =&gt; SOUS-SEGMENT'!$Q$8:$Q$154*'ANALYSE - ERP =&gt; SOUS-SEGMENT'!$EY$8:$EY$154),"")-0.1</f>
        <v>4.1764996076238621</v>
      </c>
      <c r="FS9" s="295" t="e">
        <f>RANK($FR9,$FR$8:$FR$143,0)+COUNTIF($FR$8:$FR9,$FR9)-1</f>
        <v>#VALUE!</v>
      </c>
      <c r="FT9" s="887">
        <f>IFERROR(SUMPRODUCT(('ANALYSE - ERP =&gt; SOUS-SEGMENT'!$B$8:$B$154=$B9)*'ANALYSE - ERP =&gt; SOUS-SEGMENT'!$Q$8:$Q$154*'ANALYSE - ERP =&gt; SOUS-SEGMENT'!$EZ$8:$EZ$154*'ANALYSE - ERP =&gt; SOUS-SEGMENT'!$FW$8:$FW$154)/SUMPRODUCT(('ANALYSE - ERP =&gt; SOUS-SEGMENT'!$B$8:$B$154=$B9)*'ANALYSE - ERP =&gt; SOUS-SEGMENT'!$Q$8:$Q$154*'ANALYSE - ERP =&gt; SOUS-SEGMENT'!$EZ$8:$EZ$154),"")-0.1</f>
        <v>2.6897086166881721</v>
      </c>
      <c r="FU9" s="295" t="e">
        <f>RANK($FT9,$FT$8:$FT$143,0)+COUNTIF($FT$8:$FT9,$FT9)-1</f>
        <v>#VALUE!</v>
      </c>
      <c r="FV9" s="657"/>
      <c r="FW9" s="321" t="s">
        <v>7559</v>
      </c>
      <c r="FX9" s="321" t="s">
        <v>7559</v>
      </c>
      <c r="FY9" s="321" t="s">
        <v>7559</v>
      </c>
      <c r="FZ9" s="321" t="s">
        <v>7559</v>
      </c>
      <c r="GA9" s="321" t="s">
        <v>7559</v>
      </c>
      <c r="GB9" s="321" t="s">
        <v>7559</v>
      </c>
      <c r="GC9" s="321" t="str">
        <f t="shared" si="39"/>
        <v>https://solidarites.gouv.fr/le-service-public-de-la-petite-enfance-garantir-un-accueil-de-qualite-tous-les-enfants-et-leurs-familles
https://solidarites.gouv.fr/outils-et-ressources-destination-des-autorites-organisatrices-de-laccueil-du-jeune-enfant
https://solidarites.gouv.fr/stephanie-rist-annonce-une-revalorisation-du-financement-des-creches-par-les-caf-de-2-en-2025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D9" s="657"/>
      <c r="GE9" s="292">
        <f>SUMPRODUCT(('ANALYSE - ERP =&gt; SOUS-SEGMENT'!$B$8:$B$154=$B9)*'ANALYSE - ERP =&gt; SOUS-SEGMENT'!$Q$8:$Q$154*'ANALYSE - ERP =&gt; SOUS-SEGMENT'!$GH$8:$GH$154)</f>
        <v>226216.16076853214</v>
      </c>
      <c r="GF9" s="292">
        <f>SUMPRODUCT(('ANALYSE - ERP =&gt; SOUS-SEGMENT'!$B$8:$B$154=$B9)*'ANALYSE - ERP =&gt; SOUS-SEGMENT'!$Q$8:$Q$154*'ANALYSE - ERP =&gt; SOUS-SEGMENT'!$GI$8:$GI$154)</f>
        <v>181227.00402623214</v>
      </c>
      <c r="GG9" s="292">
        <f>SUMPRODUCT(('ANALYSE - ERP =&gt; SOUS-SEGMENT'!$B$8:$B$154=$B9)*'ANALYSE - ERP =&gt; SOUS-SEGMENT'!$Q$8:$Q$154*'ANALYSE - ERP =&gt; SOUS-SEGMENT'!$GJ$8:$GJ$154)</f>
        <v>44989.156742299994</v>
      </c>
      <c r="GH9" s="292">
        <f>SUMPRODUCT(('ANALYSE - ERP =&gt; SOUS-SEGMENT'!$B$8:$B$154=$B9)*'ANALYSE - ERP =&gt; SOUS-SEGMENT'!$Q$8:$Q$154*'ANALYSE - ERP =&gt; SOUS-SEGMENT'!$GK$8:$GK$154)</f>
        <v>83112.6638956432</v>
      </c>
      <c r="GI9" s="292">
        <f>SUMPRODUCT(('ANALYSE - ERP =&gt; SOUS-SEGMENT'!$B$8:$B$154=$B9)*'ANALYSE - ERP =&gt; SOUS-SEGMENT'!$Q$8:$Q$154*'ANALYSE - ERP =&gt; SOUS-SEGMENT'!$GL$8:$GL$154)</f>
        <v>66093.113159943168</v>
      </c>
      <c r="GJ9" s="292">
        <f>SUMPRODUCT(('ANALYSE - ERP =&gt; SOUS-SEGMENT'!$B$8:$B$154=$B9)*'ANALYSE - ERP =&gt; SOUS-SEGMENT'!$Q$8:$Q$154*'ANALYSE - ERP =&gt; SOUS-SEGMENT'!$GM$8:$GM$154)</f>
        <v>17019.550735700006</v>
      </c>
      <c r="GK9" s="292">
        <f>SUMPRODUCT(('ANALYSE - ERP =&gt; SOUS-SEGMENT'!$B$8:$B$154=$B9)*'ANALYSE - ERP =&gt; SOUS-SEGMENT'!$Q$8:$Q$154*'ANALYSE - ERP =&gt; SOUS-SEGMENT'!$GN$8:$GN$154)</f>
        <v>72319.813455299998</v>
      </c>
      <c r="GL9" s="292">
        <f>SUMPRODUCT(('ANALYSE - ERP =&gt; SOUS-SEGMENT'!$B$8:$B$154=$B9)*'ANALYSE - ERP =&gt; SOUS-SEGMENT'!$Q$8:$Q$154*'ANALYSE - ERP =&gt; SOUS-SEGMENT'!$GO$8:$GO$154)</f>
        <v>58773.21931239999</v>
      </c>
      <c r="GM9" s="292">
        <f>SUMPRODUCT(('ANALYSE - ERP =&gt; SOUS-SEGMENT'!$B$8:$B$154=$B9)*'ANALYSE - ERP =&gt; SOUS-SEGMENT'!$Q$8:$Q$154*'ANALYSE - ERP =&gt; SOUS-SEGMENT'!$GP$8:$GP$154)</f>
        <v>13546.594142899998</v>
      </c>
      <c r="GN9" s="292">
        <f>SUMPRODUCT(('ANALYSE - ERP =&gt; SOUS-SEGMENT'!$B$8:$B$154=$B9)*'ANALYSE - ERP =&gt; SOUS-SEGMENT'!$Q$8:$Q$154*'ANALYSE - ERP =&gt; SOUS-SEGMENT'!$GQ$8:$GQ$154)</f>
        <v>61988.929627293626</v>
      </c>
      <c r="GO9" s="292">
        <f>SUMPRODUCT(('ANALYSE - ERP =&gt; SOUS-SEGMENT'!$B$8:$B$154=$B9)*'ANALYSE - ERP =&gt; SOUS-SEGMENT'!$Q$8:$Q$154*'ANALYSE - ERP =&gt; SOUS-SEGMENT'!$GR$8:$GR$154)</f>
        <v>51000.262228193627</v>
      </c>
      <c r="GP9" s="292">
        <f>SUMPRODUCT(('ANALYSE - ERP =&gt; SOUS-SEGMENT'!$B$8:$B$154=$B9)*'ANALYSE - ERP =&gt; SOUS-SEGMENT'!$Q$8:$Q$154*'ANALYSE - ERP =&gt; SOUS-SEGMENT'!$GS$8:$GS$154)</f>
        <v>10988.667399100001</v>
      </c>
      <c r="GQ9" s="292">
        <f>SUMPRODUCT(('ANALYSE - ERP =&gt; SOUS-SEGMENT'!$B$8:$B$154=$B9)*'ANALYSE - ERP =&gt; SOUS-SEGMENT'!$Q$8:$Q$154*'ANALYSE - ERP =&gt; SOUS-SEGMENT'!$GT$8:$GT$154)</f>
        <v>152144.99422124508</v>
      </c>
      <c r="GR9" s="292">
        <f>SUMPRODUCT(('ANALYSE - ERP =&gt; SOUS-SEGMENT'!$B$8:$B$154=$B9)*'ANALYSE - ERP =&gt; SOUS-SEGMENT'!$Q$8:$Q$154*'ANALYSE - ERP =&gt; SOUS-SEGMENT'!$GU$8:$GU$154)</f>
        <v>125040.07975484512</v>
      </c>
      <c r="GS9" s="292">
        <f>SUMPRODUCT(('ANALYSE - ERP =&gt; SOUS-SEGMENT'!$B$8:$B$154=$B9)*'ANALYSE - ERP =&gt; SOUS-SEGMENT'!$Q$8:$Q$154*'ANALYSE - ERP =&gt; SOUS-SEGMENT'!$GV$8:$GV$154)</f>
        <v>27104.914466399998</v>
      </c>
      <c r="GT9" s="292">
        <f>SUMPRODUCT(('ANALYSE - ERP =&gt; SOUS-SEGMENT'!$B$8:$B$154=$B9)*'ANALYSE - ERP =&gt; SOUS-SEGMENT'!$Q$8:$Q$154*'ANALYSE - ERP =&gt; SOUS-SEGMENT'!$GW$8:$GW$154)</f>
        <v>29536.838432315151</v>
      </c>
      <c r="GU9" s="292">
        <f>SUMPRODUCT(('ANALYSE - ERP =&gt; SOUS-SEGMENT'!$B$8:$B$154=$B9)*'ANALYSE - ERP =&gt; SOUS-SEGMENT'!$Q$8:$Q$154*'ANALYSE - ERP =&gt; SOUS-SEGMENT'!$GX$8:$GX$154)</f>
        <v>23636.732316115151</v>
      </c>
      <c r="GV9" s="292">
        <f>SUMPRODUCT(('ANALYSE - ERP =&gt; SOUS-SEGMENT'!$B$8:$B$154=$B9)*'ANALYSE - ERP =&gt; SOUS-SEGMENT'!$Q$8:$Q$154*'ANALYSE - ERP =&gt; SOUS-SEGMENT'!$GY$8:$GY$154)</f>
        <v>5900.1061162000005</v>
      </c>
      <c r="GW9" s="292">
        <f>SUMPRODUCT(('ANALYSE - ERP =&gt; SOUS-SEGMENT'!$B$8:$B$154=$B9)*'ANALYSE - ERP =&gt; SOUS-SEGMENT'!$Q$8:$Q$154*'ANALYSE - ERP =&gt; SOUS-SEGMENT'!$GZ$8:$GZ$154)</f>
        <v>9284.3420436694432</v>
      </c>
      <c r="GX9" s="292">
        <f>SUMPRODUCT(('ANALYSE - ERP =&gt; SOUS-SEGMENT'!$B$8:$B$154=$B9)*'ANALYSE - ERP =&gt; SOUS-SEGMENT'!$Q$8:$Q$154*'ANALYSE - ERP =&gt; SOUS-SEGMENT'!$HA$8:$HA$154)</f>
        <v>7664.367276269445</v>
      </c>
      <c r="GY9" s="292">
        <f>SUMPRODUCT(('ANALYSE - ERP =&gt; SOUS-SEGMENT'!$B$8:$B$154=$B9)*'ANALYSE - ERP =&gt; SOUS-SEGMENT'!$Q$8:$Q$154*'ANALYSE - ERP =&gt; SOUS-SEGMENT'!$HB$8:$HB$154)</f>
        <v>1619.9747673999998</v>
      </c>
      <c r="GZ9" s="292">
        <f>SUMPRODUCT(('ANALYSE - ERP =&gt; SOUS-SEGMENT'!$B$8:$B$154=$B9)*'ANALYSE - ERP =&gt; SOUS-SEGMENT'!$Q$8:$Q$154*'ANALYSE - ERP =&gt; SOUS-SEGMENT'!$HC$8:$HC$154)</f>
        <v>3343.1184551195806</v>
      </c>
      <c r="HA9" s="292">
        <f>SUMPRODUCT(('ANALYSE - ERP =&gt; SOUS-SEGMENT'!$B$8:$B$154=$B9)*'ANALYSE - ERP =&gt; SOUS-SEGMENT'!$Q$8:$Q$154*'ANALYSE - ERP =&gt; SOUS-SEGMENT'!$HD$8:$HD$154)</f>
        <v>2505.5000799195805</v>
      </c>
      <c r="HB9" s="292">
        <f>SUMPRODUCT(('ANALYSE - ERP =&gt; SOUS-SEGMENT'!$B$8:$B$154=$B9)*'ANALYSE - ERP =&gt; SOUS-SEGMENT'!$Q$8:$Q$154*'ANALYSE - ERP =&gt; SOUS-SEGMENT'!$HE$8:$HE$154)</f>
        <v>837.61837519999995</v>
      </c>
      <c r="HC9" s="292">
        <f>SUMPRODUCT(('ANALYSE - ERP =&gt; SOUS-SEGMENT'!$B$8:$B$154=$B9)*'ANALYSE - ERP =&gt; SOUS-SEGMENT'!$Q$8:$Q$154*'ANALYSE - ERP =&gt; SOUS-SEGMENT'!$HF$8:$HF$154)</f>
        <v>5630.1462458512815</v>
      </c>
      <c r="HD9" s="292">
        <f>SUMPRODUCT(('ANALYSE - ERP =&gt; SOUS-SEGMENT'!$B$8:$B$154=$B9)*'ANALYSE - ERP =&gt; SOUS-SEGMENT'!$Q$8:$Q$154*'ANALYSE - ERP =&gt; SOUS-SEGMENT'!$HG$8:$HG$154)</f>
        <v>3941.4388700512809</v>
      </c>
      <c r="HE9" s="292">
        <f>SUMPRODUCT(('ANALYSE - ERP =&gt; SOUS-SEGMENT'!$B$8:$B$154=$B9)*'ANALYSE - ERP =&gt; SOUS-SEGMENT'!$Q$8:$Q$154*'ANALYSE - ERP =&gt; SOUS-SEGMENT'!$HH$8:$HH$154)</f>
        <v>1688.7073758000001</v>
      </c>
      <c r="HF9" s="292">
        <f>SUMPRODUCT(('ANALYSE - ERP =&gt; SOUS-SEGMENT'!$B$8:$B$154=$B9)*'ANALYSE - ERP =&gt; SOUS-SEGMENT'!$Q$8:$Q$154*'ANALYSE - ERP =&gt; SOUS-SEGMENT'!$HI$8:$HI$154)</f>
        <v>4196.8728696194448</v>
      </c>
      <c r="HG9" s="292">
        <f>SUMPRODUCT(('ANALYSE - ERP =&gt; SOUS-SEGMENT'!$B$8:$B$154=$B9)*'ANALYSE - ERP =&gt; SOUS-SEGMENT'!$Q$8:$Q$154*'ANALYSE - ERP =&gt; SOUS-SEGMENT'!$HJ$8:$HJ$154)</f>
        <v>3115.6081848194444</v>
      </c>
      <c r="HH9" s="292">
        <f>SUMPRODUCT(('ANALYSE - ERP =&gt; SOUS-SEGMENT'!$B$8:$B$154=$B9)*'ANALYSE - ERP =&gt; SOUS-SEGMENT'!$Q$8:$Q$154*'ANALYSE - ERP =&gt; SOUS-SEGMENT'!$HK$8:$HK$154)</f>
        <v>1081.2646847999999</v>
      </c>
      <c r="HI9" s="292">
        <f>SUMPRODUCT(('ANALYSE - ERP =&gt; SOUS-SEGMENT'!$B$8:$B$154=$B9)*'ANALYSE - ERP =&gt; SOUS-SEGMENT'!$Q$8:$Q$154*'ANALYSE - ERP =&gt; SOUS-SEGMENT'!$HL$8:$HL$154)</f>
        <v>2387.7174227227279</v>
      </c>
      <c r="HJ9" s="292">
        <f>SUMPRODUCT(('ANALYSE - ERP =&gt; SOUS-SEGMENT'!$B$8:$B$154=$B9)*'ANALYSE - ERP =&gt; SOUS-SEGMENT'!$Q$8:$Q$154*'ANALYSE - ERP =&gt; SOUS-SEGMENT'!$HM$8:$HM$154)</f>
        <v>1777.4787385227273</v>
      </c>
      <c r="HK9" s="292">
        <f>SUMPRODUCT(('ANALYSE - ERP =&gt; SOUS-SEGMENT'!$B$8:$B$154=$B9)*'ANALYSE - ERP =&gt; SOUS-SEGMENT'!$Q$8:$Q$154*'ANALYSE - ERP =&gt; SOUS-SEGMENT'!$HN$8:$HN$154)</f>
        <v>610.23868419999997</v>
      </c>
      <c r="HL9" s="292">
        <f>SUMPRODUCT(('ANALYSE - ERP =&gt; SOUS-SEGMENT'!$B$8:$B$154=$B9)*'ANALYSE - ERP =&gt; SOUS-SEGMENT'!$Q$8:$Q$154*'ANALYSE - ERP =&gt; SOUS-SEGMENT'!$HO$8:$HO$154)</f>
        <v>301197.25715772319</v>
      </c>
      <c r="HM9" s="292">
        <f>SUMPRODUCT(('ANALYSE - ERP =&gt; SOUS-SEGMENT'!$B$8:$B$154=$B9)*'ANALYSE - ERP =&gt; SOUS-SEGMENT'!$Q$8:$Q$154*'ANALYSE - ERP =&gt; SOUS-SEGMENT'!$HP$8:$HP$154)</f>
        <v>240624.18259892307</v>
      </c>
      <c r="HN9" s="292">
        <f>SUMPRODUCT(('ANALYSE - ERP =&gt; SOUS-SEGMENT'!$B$8:$B$154=$B9)*'ANALYSE - ERP =&gt; SOUS-SEGMENT'!$Q$8:$Q$154*'ANALYSE - ERP =&gt; SOUS-SEGMENT'!$HQ$8:$HQ$154)</f>
        <v>60573.074558799992</v>
      </c>
      <c r="HO9" s="292">
        <f>SUMPRODUCT(('ANALYSE - ERP =&gt; SOUS-SEGMENT'!$B$8:$B$154=$B9)*'ANALYSE - ERP =&gt; SOUS-SEGMENT'!$Q$8:$Q$154*'ANALYSE - ERP =&gt; SOUS-SEGMENT'!$HR$8:$HR$154)</f>
        <v>61910.337719938456</v>
      </c>
      <c r="HP9" s="292">
        <f>SUMPRODUCT(('ANALYSE - ERP =&gt; SOUS-SEGMENT'!$B$8:$B$154=$B9)*'ANALYSE - ERP =&gt; SOUS-SEGMENT'!$Q$8:$Q$154*'ANALYSE - ERP =&gt; SOUS-SEGMENT'!$HS$8:$HS$154)</f>
        <v>47361.300737538462</v>
      </c>
      <c r="HQ9" s="292">
        <f>SUMPRODUCT(('ANALYSE - ERP =&gt; SOUS-SEGMENT'!$B$8:$B$154=$B9)*'ANALYSE - ERP =&gt; SOUS-SEGMENT'!$Q$8:$Q$154*'ANALYSE - ERP =&gt; SOUS-SEGMENT'!$HT$8:$HT$154)</f>
        <v>14549.036982400001</v>
      </c>
      <c r="HR9" s="292">
        <f>SUMPRODUCT(('ANALYSE - ERP =&gt; SOUS-SEGMENT'!$B$8:$B$154=$B9)*'ANALYSE - ERP =&gt; SOUS-SEGMENT'!$Q$8:$Q$154*'ANALYSE - ERP =&gt; SOUS-SEGMENT'!$HU$8:$HU$154)</f>
        <v>32541.471397299996</v>
      </c>
      <c r="HS9" s="292">
        <f>SUMPRODUCT(('ANALYSE - ERP =&gt; SOUS-SEGMENT'!$B$8:$B$154=$B9)*'ANALYSE - ERP =&gt; SOUS-SEGMENT'!$Q$8:$Q$154*'ANALYSE - ERP =&gt; SOUS-SEGMENT'!$HV$8:$HV$154)</f>
        <v>24897.8267185</v>
      </c>
      <c r="HT9" s="292">
        <f>SUMPRODUCT(('ANALYSE - ERP =&gt; SOUS-SEGMENT'!$B$8:$B$154=$B9)*'ANALYSE - ERP =&gt; SOUS-SEGMENT'!$Q$8:$Q$154*'ANALYSE - ERP =&gt; SOUS-SEGMENT'!$HW$8:$HW$154)</f>
        <v>7643.6446787999994</v>
      </c>
      <c r="HV9" s="297">
        <f t="shared" si="40"/>
        <v>2297131.5000000005</v>
      </c>
      <c r="HW9" s="297">
        <f>SUMPRODUCT(('ANALYSE - ERP =&gt; SOUS-SEGMENT'!$B$8:$B$154=$B9)*'ANALYSE - ERP =&gt; SOUS-SEGMENT'!$Q$8:$Q$154*'ANALYSE - ERP =&gt; SOUS-SEGMENT'!$HZ$8:$HZ$154)</f>
        <v>500.56300000000005</v>
      </c>
      <c r="HX9" s="297">
        <f>SUMPRODUCT(('ANALYSE - ERP =&gt; SOUS-SEGMENT'!$B$8:$B$154=$B9)*'ANALYSE - ERP =&gt; SOUS-SEGMENT'!$Q$8:$Q$154*'ANALYSE - ERP =&gt; SOUS-SEGMENT'!$IA$8:$IA$154)</f>
        <v>350366.70580000005</v>
      </c>
      <c r="HY9" s="297">
        <f>SUMPRODUCT(('ANALYSE - ERP =&gt; SOUS-SEGMENT'!$B$8:$B$154=$B9)*'ANALYSE - ERP =&gt; SOUS-SEGMENT'!$Q$8:$Q$154*'ANALYSE - ERP =&gt; SOUS-SEGMENT'!$IB$8:$IB$154)</f>
        <v>1260231.8768000002</v>
      </c>
      <c r="HZ9" s="297">
        <f>SUMPRODUCT(('ANALYSE - ERP =&gt; SOUS-SEGMENT'!$B$8:$B$154=$B9)*'ANALYSE - ERP =&gt; SOUS-SEGMENT'!$Q$8:$Q$154*'ANALYSE - ERP =&gt; SOUS-SEGMENT'!$IC$8:$IC$154)</f>
        <v>670010.67480000015</v>
      </c>
      <c r="IA9" s="297">
        <f>SUMPRODUCT(('ANALYSE - ERP =&gt; SOUS-SEGMENT'!$B$8:$B$154=$B9)*'ANALYSE - ERP =&gt; SOUS-SEGMENT'!$Q$8:$Q$154*'ANALYSE - ERP =&gt; SOUS-SEGMENT'!$ID$8:$ID$154)</f>
        <v>16021.679599999999</v>
      </c>
      <c r="IB9" s="297">
        <f>SUMPRODUCT(('ANALYSE - ERP =&gt; SOUS-SEGMENT'!$B$8:$B$154=$B9)*'ANALYSE - ERP =&gt; SOUS-SEGMENT'!$Q$8:$Q$154*'ANALYSE - ERP =&gt; SOUS-SEGMENT'!$IE$8:$IE$154)</f>
        <v>837409.02179822</v>
      </c>
      <c r="IC9" s="297">
        <f>SUMPRODUCT(('ANALYSE - ERP =&gt; SOUS-SEGMENT'!$B$8:$B$154=$B9)*'ANALYSE - ERP =&gt; SOUS-SEGMENT'!$Q$8:$Q$154*'ANALYSE - ERP =&gt; SOUS-SEGMENT'!$IF$8:$IF$154)</f>
        <v>4.6708539801600004</v>
      </c>
      <c r="ID9" s="297">
        <f>SUMPRODUCT(('ANALYSE - ERP =&gt; SOUS-SEGMENT'!$B$8:$B$154=$B9)*'ANALYSE - ERP =&gt; SOUS-SEGMENT'!$Q$8:$Q$154*'ANALYSE - ERP =&gt; SOUS-SEGMENT'!$IG$8:$IG$154)</f>
        <v>65492.098101632095</v>
      </c>
      <c r="IE9" s="297">
        <f>SUMPRODUCT(('ANALYSE - ERP =&gt; SOUS-SEGMENT'!$B$8:$B$154=$B9)*'ANALYSE - ERP =&gt; SOUS-SEGMENT'!$Q$8:$Q$154*'ANALYSE - ERP =&gt; SOUS-SEGMENT'!$IH$8:$IH$154)</f>
        <v>416907.27989904868</v>
      </c>
      <c r="IF9" s="297">
        <f>SUMPRODUCT(('ANALYSE - ERP =&gt; SOUS-SEGMENT'!$B$8:$B$154=$B9)*'ANALYSE - ERP =&gt; SOUS-SEGMENT'!$Q$8:$Q$154*'ANALYSE - ERP =&gt; SOUS-SEGMENT'!$II$8:$II$154)</f>
        <v>331242.47143115976</v>
      </c>
      <c r="IG9" s="297">
        <f>SUMPRODUCT(('ANALYSE - ERP =&gt; SOUS-SEGMENT'!$B$8:$B$154=$B9)*'ANALYSE - ERP =&gt; SOUS-SEGMENT'!$Q$8:$Q$154*'ANALYSE - ERP =&gt; SOUS-SEGMENT'!$IJ$8:$IJ$154)</f>
        <v>23762.501512399391</v>
      </c>
      <c r="IH9" s="888"/>
      <c r="II9" s="298" t="s">
        <v>2589</v>
      </c>
      <c r="IJ9" s="322" t="s">
        <v>7559</v>
      </c>
      <c r="IK9" s="657"/>
      <c r="IL9" s="779">
        <f>IFERROR(SUMPRODUCT(('ANALYSE - ERP =&gt; SOUS-SEGMENT'!$B$8:$B$154=$B9)*'ANALYSE - ERP =&gt; SOUS-SEGMENT'!$Q$8:$Q$154*'ANALYSE - ERP =&gt; SOUS-SEGMENT'!$BE$8:$BE$154*'ANALYSE - ERP =&gt; SOUS-SEGMENT'!$IO$8:$IO$154)/SUMPRODUCT(('ANALYSE - ERP =&gt; SOUS-SEGMENT'!$B$8:$B$154=$B9)*'ANALYSE - ERP =&gt; SOUS-SEGMENT'!$Q$8:$Q$154*'ANALYSE - ERP =&gt; SOUS-SEGMENT'!$BE$8:$BE$154),0)</f>
        <v>4.7442056025647755E-5</v>
      </c>
      <c r="IM9" s="780">
        <f>IFERROR(SUMPRODUCT(('ANALYSE - ERP =&gt; SOUS-SEGMENT'!$B$8:$B$154=$B9)*'ANALYSE - ERP =&gt; SOUS-SEGMENT'!$Q$8:$Q$154*'ANALYSE - ERP =&gt; SOUS-SEGMENT'!$BE$8:$BE$154*'ANALYSE - ERP =&gt; SOUS-SEGMENT'!$IP$8:$IP$154)/SUMPRODUCT(('ANALYSE - ERP =&gt; SOUS-SEGMENT'!$B$8:$B$154=$B9)*'ANALYSE - ERP =&gt; SOUS-SEGMENT'!$Q$8:$Q$154*'ANALYSE - ERP =&gt; SOUS-SEGMENT'!$BE$8:$BE$154),0)</f>
        <v>0.15810002175855364</v>
      </c>
      <c r="IN9" s="780">
        <f>IFERROR(SUMPRODUCT(('ANALYSE - ERP =&gt; SOUS-SEGMENT'!$B$8:$B$154=$B9)*'ANALYSE - ERP =&gt; SOUS-SEGMENT'!$Q$8:$Q$154*'ANALYSE - ERP =&gt; SOUS-SEGMENT'!$BE$8:$BE$154*'ANALYSE - ERP =&gt; SOUS-SEGMENT'!$IQ$8:$IQ$154)/SUMPRODUCT(('ANALYSE - ERP =&gt; SOUS-SEGMENT'!$B$8:$B$154=$B9)*'ANALYSE - ERP =&gt; SOUS-SEGMENT'!$Q$8:$Q$154*'ANALYSE - ERP =&gt; SOUS-SEGMENT'!$BE$8:$BE$154),0)</f>
        <v>0.55916714521469502</v>
      </c>
      <c r="IO9" s="780">
        <f>IFERROR(SUMPRODUCT(('ANALYSE - ERP =&gt; SOUS-SEGMENT'!$B$8:$B$154=$B9)*'ANALYSE - ERP =&gt; SOUS-SEGMENT'!$Q$8:$Q$154*'ANALYSE - ERP =&gt; SOUS-SEGMENT'!$BE$8:$BE$154*'ANALYSE - ERP =&gt; SOUS-SEGMENT'!$IR$8:$IR$154)/SUMPRODUCT(('ANALYSE - ERP =&gt; SOUS-SEGMENT'!$B$8:$B$154=$B9)*'ANALYSE - ERP =&gt; SOUS-SEGMENT'!$Q$8:$Q$154*'ANALYSE - ERP =&gt; SOUS-SEGMENT'!$BE$8:$BE$154),0)</f>
        <v>0.27730759920113524</v>
      </c>
      <c r="IP9" s="781">
        <f>IFERROR(SUMPRODUCT(('ANALYSE - ERP =&gt; SOUS-SEGMENT'!$B$8:$B$154=$B9)*'ANALYSE - ERP =&gt; SOUS-SEGMENT'!$Q$8:$Q$154*'ANALYSE - ERP =&gt; SOUS-SEGMENT'!$BE$8:$BE$154*'ANALYSE - ERP =&gt; SOUS-SEGMENT'!$IS$8:$IS$154)/SUMPRODUCT(('ANALYSE - ERP =&gt; SOUS-SEGMENT'!$B$8:$B$154=$B9)*'ANALYSE - ERP =&gt; SOUS-SEGMENT'!$Q$8:$Q$154*'ANALYSE - ERP =&gt; SOUS-SEGMENT'!$BE$8:$BE$154),0)</f>
        <v>5.3777917695905829E-3</v>
      </c>
      <c r="IQ9" s="780">
        <f>IFERROR(SUMPRODUCT(('ANALYSE - ERP =&gt; SOUS-SEGMENT'!$B$8:$B$154=$B9)*'ANALYSE - ERP =&gt; SOUS-SEGMENT'!$Q$8:$Q$154*'ANALYSE - ERP =&gt; SOUS-SEGMENT'!$FB$8:$FB$154*'ANALYSE - ERP =&gt; SOUS-SEGMENT'!$IT$8:$IT$154)/SUMPRODUCT(('ANALYSE - ERP =&gt; SOUS-SEGMENT'!$B$8:$B$154=$B9)*'ANALYSE - ERP =&gt; SOUS-SEGMENT'!$Q$8:$Q$154*'ANALYSE - ERP =&gt; SOUS-SEGMENT'!$FB$8:$FB$154),0)</f>
        <v>4.7530941636920593E-6</v>
      </c>
      <c r="IR9" s="780">
        <f>IFERROR(SUMPRODUCT(('ANALYSE - ERP =&gt; SOUS-SEGMENT'!$B$8:$B$154=$B9)*'ANALYSE - ERP =&gt; SOUS-SEGMENT'!$Q$8:$Q$154*'ANALYSE - ERP =&gt; SOUS-SEGMENT'!$FB$8:$FB$154*'ANALYSE - ERP =&gt; SOUS-SEGMENT'!$IU$8:$IU$154)/SUMPRODUCT(('ANALYSE - ERP =&gt; SOUS-SEGMENT'!$B$8:$B$154=$B9)*'ANALYSE - ERP =&gt; SOUS-SEGMENT'!$Q$8:$Q$154*'ANALYSE - ERP =&gt; SOUS-SEGMENT'!$FB$8:$FB$154),0)</f>
        <v>8.1759039423598426E-2</v>
      </c>
      <c r="IS9" s="780">
        <f>IFERROR(SUMPRODUCT(('ANALYSE - ERP =&gt; SOUS-SEGMENT'!$B$8:$B$154=$B9)*'ANALYSE - ERP =&gt; SOUS-SEGMENT'!$Q$8:$Q$154*'ANALYSE - ERP =&gt; SOUS-SEGMENT'!$FB$8:$FB$154*'ANALYSE - ERP =&gt; SOUS-SEGMENT'!$IV$8:$IV$154)/SUMPRODUCT(('ANALYSE - ERP =&gt; SOUS-SEGMENT'!$B$8:$B$154=$B9)*'ANALYSE - ERP =&gt; SOUS-SEGMENT'!$Q$8:$Q$154*'ANALYSE - ERP =&gt; SOUS-SEGMENT'!$FB$8:$FB$154),0)</f>
        <v>0.51136184634501858</v>
      </c>
      <c r="IT9" s="780">
        <f>IFERROR(SUMPRODUCT(('ANALYSE - ERP =&gt; SOUS-SEGMENT'!$B$8:$B$154=$B9)*'ANALYSE - ERP =&gt; SOUS-SEGMENT'!$Q$8:$Q$154*'ANALYSE - ERP =&gt; SOUS-SEGMENT'!$FB$8:$FB$154*'ANALYSE - ERP =&gt; SOUS-SEGMENT'!$IW$8:$IW$154)/SUMPRODUCT(('ANALYSE - ERP =&gt; SOUS-SEGMENT'!$B$8:$B$154=$B9)*'ANALYSE - ERP =&gt; SOUS-SEGMENT'!$Q$8:$Q$154*'ANALYSE - ERP =&gt; SOUS-SEGMENT'!$FB$8:$FB$154),0)</f>
        <v>0.38489724626927235</v>
      </c>
      <c r="IU9" s="780">
        <f>IFERROR(SUMPRODUCT(('ANALYSE - ERP =&gt; SOUS-SEGMENT'!$B$8:$B$154=$B9)*'ANALYSE - ERP =&gt; SOUS-SEGMENT'!$Q$8:$Q$154*'ANALYSE - ERP =&gt; SOUS-SEGMENT'!$FB$8:$FB$154*'ANALYSE - ERP =&gt; SOUS-SEGMENT'!$IX$8:$IX$154)/SUMPRODUCT(('ANALYSE - ERP =&gt; SOUS-SEGMENT'!$B$8:$B$154=$B9)*'ANALYSE - ERP =&gt; SOUS-SEGMENT'!$Q$8:$Q$154*'ANALYSE - ERP =&gt; SOUS-SEGMENT'!$FB$8:$FB$154),0)</f>
        <v>2.197711486794689E-2</v>
      </c>
      <c r="IV9" s="782">
        <f>IFERROR(SUMPRODUCT(('ANALYSE - ERP =&gt; SOUS-SEGMENT'!$B$8:$B$154=$B9)*'ANALYSE - ERP =&gt; SOUS-SEGMENT'!$Q$8:$Q$154*'ANALYSE - ERP =&gt; SOUS-SEGMENT'!$BF$8:$BF$154*'ANALYSE - ERP =&gt; SOUS-SEGMENT'!$IY$8:$IY$154)/SUMPRODUCT(('ANALYSE - ERP =&gt; SOUS-SEGMENT'!$B$8:$B$154=$B9)*'ANALYSE - ERP =&gt; SOUS-SEGMENT'!$Q$8:$Q$154*'ANALYSE - ERP =&gt; SOUS-SEGMENT'!$BF$8:$BF$154),0)</f>
        <v>2.2690956443889801E-5</v>
      </c>
      <c r="IW9" s="780">
        <f>IFERROR(SUMPRODUCT(('ANALYSE - ERP =&gt; SOUS-SEGMENT'!$B$8:$B$154=$B9)*'ANALYSE - ERP =&gt; SOUS-SEGMENT'!$Q$8:$Q$154*'ANALYSE - ERP =&gt; SOUS-SEGMENT'!$BF$8:$BF$154*'ANALYSE - ERP =&gt; SOUS-SEGMENT'!$IZ$8:$IZ$154)/SUMPRODUCT(('ANALYSE - ERP =&gt; SOUS-SEGMENT'!$B$8:$B$154=$B9)*'ANALYSE - ERP =&gt; SOUS-SEGMENT'!$Q$8:$Q$154*'ANALYSE - ERP =&gt; SOUS-SEGMENT'!$BF$8:$BF$154),0)</f>
        <v>0.12932860206355412</v>
      </c>
      <c r="IX9" s="780">
        <f>IFERROR(SUMPRODUCT(('ANALYSE - ERP =&gt; SOUS-SEGMENT'!$B$8:$B$154=$B9)*'ANALYSE - ERP =&gt; SOUS-SEGMENT'!$Q$8:$Q$154*'ANALYSE - ERP =&gt; SOUS-SEGMENT'!$BF$8:$BF$154*'ANALYSE - ERP =&gt; SOUS-SEGMENT'!$JA$8:$JA$154)/SUMPRODUCT(('ANALYSE - ERP =&gt; SOUS-SEGMENT'!$B$8:$B$154=$B9)*'ANALYSE - ERP =&gt; SOUS-SEGMENT'!$Q$8:$Q$154*'ANALYSE - ERP =&gt; SOUS-SEGMENT'!$BF$8:$BF$154),0)</f>
        <v>0.52534987613002837</v>
      </c>
      <c r="IY9" s="780">
        <f>IFERROR(SUMPRODUCT(('ANALYSE - ERP =&gt; SOUS-SEGMENT'!$B$8:$B$154=$B9)*'ANALYSE - ERP =&gt; SOUS-SEGMENT'!$Q$8:$Q$154*'ANALYSE - ERP =&gt; SOUS-SEGMENT'!$BF$8:$BF$154*'ANALYSE - ERP =&gt; SOUS-SEGMENT'!$JB$8:$JB$154)/SUMPRODUCT(('ANALYSE - ERP =&gt; SOUS-SEGMENT'!$B$8:$B$154=$B9)*'ANALYSE - ERP =&gt; SOUS-SEGMENT'!$Q$8:$Q$154*'ANALYSE - ERP =&gt; SOUS-SEGMENT'!$BF$8:$BF$154),0)</f>
        <v>0.32824714581141928</v>
      </c>
      <c r="IZ9" s="781">
        <f>IFERROR(SUMPRODUCT(('ANALYSE - ERP =&gt; SOUS-SEGMENT'!$B$8:$B$154=$B9)*'ANALYSE - ERP =&gt; SOUS-SEGMENT'!$Q$8:$Q$154*'ANALYSE - ERP =&gt; SOUS-SEGMENT'!$BF$8:$BF$154*'ANALYSE - ERP =&gt; SOUS-SEGMENT'!$JC$8:$JC$154)/SUMPRODUCT(('ANALYSE - ERP =&gt; SOUS-SEGMENT'!$B$8:$B$154=$B9)*'ANALYSE - ERP =&gt; SOUS-SEGMENT'!$Q$8:$Q$154*'ANALYSE - ERP =&gt; SOUS-SEGMENT'!$BF$8:$BF$154),0)</f>
        <v>1.5299378122183021E-2</v>
      </c>
      <c r="JA9" s="780">
        <f>IFERROR(SUMPRODUCT(('ANALYSE - ERP =&gt; SOUS-SEGMENT'!$B$8:$B$154=$B9)*'ANALYSE - ERP =&gt; SOUS-SEGMENT'!$Q$8:$Q$154*'ANALYSE - ERP =&gt; SOUS-SEGMENT'!$FE$8:$FE$154*'ANALYSE - ERP =&gt; SOUS-SEGMENT'!$JD$8:$JD$154)/SUMPRODUCT(('ANALYSE - ERP =&gt; SOUS-SEGMENT'!$B$8:$B$154=$B9)*'ANALYSE - ERP =&gt; SOUS-SEGMENT'!$Q$8:$Q$154*'ANALYSE - ERP =&gt; SOUS-SEGMENT'!$FE$8:$FE$154),0)</f>
        <v>6.9328375577410273E-6</v>
      </c>
      <c r="JB9" s="780">
        <f>IFERROR(SUMPRODUCT(('ANALYSE - ERP =&gt; SOUS-SEGMENT'!$B$8:$B$154=$B9)*'ANALYSE - ERP =&gt; SOUS-SEGMENT'!$Q$8:$Q$154*'ANALYSE - ERP =&gt; SOUS-SEGMENT'!$FE$8:$FE$154*'ANALYSE - ERP =&gt; SOUS-SEGMENT'!$JE$8:$JE$154)/SUMPRODUCT(('ANALYSE - ERP =&gt; SOUS-SEGMENT'!$B$8:$B$154=$B9)*'ANALYSE - ERP =&gt; SOUS-SEGMENT'!$Q$8:$Q$154*'ANALYSE - ERP =&gt; SOUS-SEGMENT'!$FE$8:$FE$154),0)</f>
        <v>6.2704775757741402E-2</v>
      </c>
      <c r="JC9" s="780">
        <f>IFERROR(SUMPRODUCT(('ANALYSE - ERP =&gt; SOUS-SEGMENT'!$B$8:$B$154=$B9)*'ANALYSE - ERP =&gt; SOUS-SEGMENT'!$Q$8:$Q$154*'ANALYSE - ERP =&gt; SOUS-SEGMENT'!$FE$8:$FE$154*'ANALYSE - ERP =&gt; SOUS-SEGMENT'!$JF$8:$JF$154)/SUMPRODUCT(('ANALYSE - ERP =&gt; SOUS-SEGMENT'!$B$8:$B$154=$B9)*'ANALYSE - ERP =&gt; SOUS-SEGMENT'!$Q$8:$Q$154*'ANALYSE - ERP =&gt; SOUS-SEGMENT'!$FE$8:$FE$154),0)</f>
        <v>0.46417050082111821</v>
      </c>
      <c r="JD9" s="780">
        <f>IFERROR(SUMPRODUCT(('ANALYSE - ERP =&gt; SOUS-SEGMENT'!$B$8:$B$154=$B9)*'ANALYSE - ERP =&gt; SOUS-SEGMENT'!$Q$8:$Q$154*'ANALYSE - ERP =&gt; SOUS-SEGMENT'!$FE$8:$FE$154*'ANALYSE - ERP =&gt; SOUS-SEGMENT'!$JG$8:$JG$154)/SUMPRODUCT(('ANALYSE - ERP =&gt; SOUS-SEGMENT'!$B$8:$B$154=$B9)*'ANALYSE - ERP =&gt; SOUS-SEGMENT'!$Q$8:$Q$154*'ANALYSE - ERP =&gt; SOUS-SEGMENT'!$FE$8:$FE$154),0)</f>
        <v>0.42682575573519788</v>
      </c>
      <c r="JE9" s="780">
        <f>IFERROR(SUMPRODUCT(('ANALYSE - ERP =&gt; SOUS-SEGMENT'!$B$8:$B$154=$B9)*'ANALYSE - ERP =&gt; SOUS-SEGMENT'!$Q$8:$Q$154*'ANALYSE - ERP =&gt; SOUS-SEGMENT'!$FE$8:$FE$154*'ANALYSE - ERP =&gt; SOUS-SEGMENT'!$JH$8:$JH$154)/SUMPRODUCT(('ANALYSE - ERP =&gt; SOUS-SEGMENT'!$B$8:$B$154=$B9)*'ANALYSE - ERP =&gt; SOUS-SEGMENT'!$Q$8:$Q$154*'ANALYSE - ERP =&gt; SOUS-SEGMENT'!$FE$8:$FE$154),0)</f>
        <v>4.4698774486059245E-2</v>
      </c>
      <c r="JF9" s="782">
        <f>IFERROR(SUMPRODUCT(('ANALYSE - ERP =&gt; SOUS-SEGMENT'!$B$8:$B$154=$B9)*'ANALYSE - ERP =&gt; SOUS-SEGMENT'!$Q$8:$Q$154*'ANALYSE - ERP =&gt; SOUS-SEGMENT'!$BG$8:$BG$154*'ANALYSE - ERP =&gt; SOUS-SEGMENT'!$JI$8:$JI$154)/SUMPRODUCT(('ANALYSE - ERP =&gt; SOUS-SEGMENT'!$B$8:$B$154=$B9)*'ANALYSE - ERP =&gt; SOUS-SEGMENT'!$Q$8:$Q$154*'ANALYSE - ERP =&gt; SOUS-SEGMENT'!$BG$8:$BG$154),0)</f>
        <v>1.3315982397275288E-2</v>
      </c>
      <c r="JG9" s="780">
        <f>IFERROR(SUMPRODUCT(('ANALYSE - ERP =&gt; SOUS-SEGMENT'!$B$8:$B$154=$B9)*'ANALYSE - ERP =&gt; SOUS-SEGMENT'!$Q$8:$Q$154*'ANALYSE - ERP =&gt; SOUS-SEGMENT'!$BG$8:$BG$154*'ANALYSE - ERP =&gt; SOUS-SEGMENT'!$JJ$8:$JJ$154)/SUMPRODUCT(('ANALYSE - ERP =&gt; SOUS-SEGMENT'!$B$8:$B$154=$B9)*'ANALYSE - ERP =&gt; SOUS-SEGMENT'!$Q$8:$Q$154*'ANALYSE - ERP =&gt; SOUS-SEGMENT'!$BG$8:$BG$154),0)</f>
        <v>0.3282723971066786</v>
      </c>
      <c r="JH9" s="780">
        <f>IFERROR(SUMPRODUCT(('ANALYSE - ERP =&gt; SOUS-SEGMENT'!$B$8:$B$154=$B9)*'ANALYSE - ERP =&gt; SOUS-SEGMENT'!$Q$8:$Q$154*'ANALYSE - ERP =&gt; SOUS-SEGMENT'!$BG$8:$BG$154*'ANALYSE - ERP =&gt; SOUS-SEGMENT'!$JK$8:$JK$154)/SUMPRODUCT(('ANALYSE - ERP =&gt; SOUS-SEGMENT'!$B$8:$B$154=$B9)*'ANALYSE - ERP =&gt; SOUS-SEGMENT'!$Q$8:$Q$154*'ANALYSE - ERP =&gt; SOUS-SEGMENT'!$BG$8:$BG$154),0)</f>
        <v>0.51641521522871736</v>
      </c>
      <c r="JI9" s="780">
        <f>IFERROR(SUMPRODUCT(('ANALYSE - ERP =&gt; SOUS-SEGMENT'!$B$8:$B$154=$B9)*'ANALYSE - ERP =&gt; SOUS-SEGMENT'!$Q$8:$Q$154*'ANALYSE - ERP =&gt; SOUS-SEGMENT'!$BG$8:$BG$154*'ANALYSE - ERP =&gt; SOUS-SEGMENT'!$JL$8:$JL$154)/SUMPRODUCT(('ANALYSE - ERP =&gt; SOUS-SEGMENT'!$B$8:$B$154=$B9)*'ANALYSE - ERP =&gt; SOUS-SEGMENT'!$Q$8:$Q$154*'ANALYSE - ERP =&gt; SOUS-SEGMENT'!$BG$8:$BG$154),0)</f>
        <v>0.13848000809320676</v>
      </c>
      <c r="JJ9" s="781">
        <f>IFERROR(SUMPRODUCT(('ANALYSE - ERP =&gt; SOUS-SEGMENT'!$B$8:$B$154=$B9)*'ANALYSE - ERP =&gt; SOUS-SEGMENT'!$Q$8:$Q$154*'ANALYSE - ERP =&gt; SOUS-SEGMENT'!$BG$8:$BG$154*'ANALYSE - ERP =&gt; SOUS-SEGMENT'!$JM$8:$JM$154)/SUMPRODUCT(('ANALYSE - ERP =&gt; SOUS-SEGMENT'!$B$8:$B$154=$B9)*'ANALYSE - ERP =&gt; SOUS-SEGMENT'!$Q$8:$Q$154*'ANALYSE - ERP =&gt; SOUS-SEGMENT'!$BG$8:$BG$154),0)</f>
        <v>3.5163971741219717E-3</v>
      </c>
      <c r="JK9" s="780">
        <f>IFERROR(SUMPRODUCT(('ANALYSE - ERP =&gt; SOUS-SEGMENT'!$B$8:$B$154=$B9)*'ANALYSE - ERP =&gt; SOUS-SEGMENT'!$Q$8:$Q$154*'ANALYSE - ERP =&gt; SOUS-SEGMENT'!$FH$8:$FH$154*'ANALYSE - ERP =&gt; SOUS-SEGMENT'!$JN$8:$JN$154)/SUMPRODUCT(('ANALYSE - ERP =&gt; SOUS-SEGMENT'!$B$8:$B$154=$B9)*'ANALYSE - ERP =&gt; SOUS-SEGMENT'!$Q$8:$Q$154*'ANALYSE - ERP =&gt; SOUS-SEGMENT'!$FH$8:$FH$154),0)</f>
        <v>3.9100261773076504E-5</v>
      </c>
      <c r="JL9" s="780">
        <f>IFERROR(SUMPRODUCT(('ANALYSE - ERP =&gt; SOUS-SEGMENT'!$B$8:$B$154=$B9)*'ANALYSE - ERP =&gt; SOUS-SEGMENT'!$Q$8:$Q$154*'ANALYSE - ERP =&gt; SOUS-SEGMENT'!$FH$8:$FH$154*'ANALYSE - ERP =&gt; SOUS-SEGMENT'!$JO$8:$JO$154)/SUMPRODUCT(('ANALYSE - ERP =&gt; SOUS-SEGMENT'!$B$8:$B$154=$B9)*'ANALYSE - ERP =&gt; SOUS-SEGMENT'!$Q$8:$Q$154*'ANALYSE - ERP =&gt; SOUS-SEGMENT'!$FH$8:$FH$154),0)</f>
        <v>0.20817497835017038</v>
      </c>
      <c r="JM9" s="780">
        <f>IFERROR(SUMPRODUCT(('ANALYSE - ERP =&gt; SOUS-SEGMENT'!$B$8:$B$154=$B9)*'ANALYSE - ERP =&gt; SOUS-SEGMENT'!$Q$8:$Q$154*'ANALYSE - ERP =&gt; SOUS-SEGMENT'!$FH$8:$FH$154*'ANALYSE - ERP =&gt; SOUS-SEGMENT'!$JP$8:$JP$154)/SUMPRODUCT(('ANALYSE - ERP =&gt; SOUS-SEGMENT'!$B$8:$B$154=$B9)*'ANALYSE - ERP =&gt; SOUS-SEGMENT'!$Q$8:$Q$154*'ANALYSE - ERP =&gt; SOUS-SEGMENT'!$FH$8:$FH$154),0)</f>
        <v>0.55322714332212308</v>
      </c>
      <c r="JN9" s="780">
        <f>IFERROR(SUMPRODUCT(('ANALYSE - ERP =&gt; SOUS-SEGMENT'!$B$8:$B$154=$B9)*'ANALYSE - ERP =&gt; SOUS-SEGMENT'!$Q$8:$Q$154*'ANALYSE - ERP =&gt; SOUS-SEGMENT'!$FH$8:$FH$154*'ANALYSE - ERP =&gt; SOUS-SEGMENT'!$JQ$8:$JQ$154)/SUMPRODUCT(('ANALYSE - ERP =&gt; SOUS-SEGMENT'!$B$8:$B$154=$B9)*'ANALYSE - ERP =&gt; SOUS-SEGMENT'!$Q$8:$Q$154*'ANALYSE - ERP =&gt; SOUS-SEGMENT'!$FH$8:$FH$154),0)</f>
        <v>0.22957394769092576</v>
      </c>
      <c r="JO9" s="780">
        <f>IFERROR(SUMPRODUCT(('ANALYSE - ERP =&gt; SOUS-SEGMENT'!$B$8:$B$154=$B9)*'ANALYSE - ERP =&gt; SOUS-SEGMENT'!$Q$8:$Q$154*'ANALYSE - ERP =&gt; SOUS-SEGMENT'!$FH$8:$FH$154*'ANALYSE - ERP =&gt; SOUS-SEGMENT'!$JR$8:$JR$154)/SUMPRODUCT(('ANALYSE - ERP =&gt; SOUS-SEGMENT'!$B$8:$B$154=$B9)*'ANALYSE - ERP =&gt; SOUS-SEGMENT'!$Q$8:$Q$154*'ANALYSE - ERP =&gt; SOUS-SEGMENT'!$FH$8:$FH$154),0)</f>
        <v>8.9848303750076648E-3</v>
      </c>
      <c r="JP9" s="782">
        <f>IFERROR(SUMPRODUCT(('ANALYSE - ERP =&gt; SOUS-SEGMENT'!$B$8:$B$154=$B9)*'ANALYSE - ERP =&gt; SOUS-SEGMENT'!$Q$8:$Q$154*'ANALYSE - ERP =&gt; SOUS-SEGMENT'!$BH$8:$BH$154*'ANALYSE - ERP =&gt; SOUS-SEGMENT'!$JS$8:$JS$154)/SUMPRODUCT(('ANALYSE - ERP =&gt; SOUS-SEGMENT'!$B$8:$B$154=$B9)*'ANALYSE - ERP =&gt; SOUS-SEGMENT'!$Q$8:$Q$154*'ANALYSE - ERP =&gt; SOUS-SEGMENT'!$BH$8:$BH$154),0)</f>
        <v>5.634340313285903E-5</v>
      </c>
      <c r="JQ9" s="780">
        <f>IFERROR(SUMPRODUCT(('ANALYSE - ERP =&gt; SOUS-SEGMENT'!$B$8:$B$154=$B9)*'ANALYSE - ERP =&gt; SOUS-SEGMENT'!$Q$8:$Q$154*'ANALYSE - ERP =&gt; SOUS-SEGMENT'!$BH$8:$BH$154*'ANALYSE - ERP =&gt; SOUS-SEGMENT'!$JT$8:$JT$154)/SUMPRODUCT(('ANALYSE - ERP =&gt; SOUS-SEGMENT'!$B$8:$B$154=$B9)*'ANALYSE - ERP =&gt; SOUS-SEGMENT'!$Q$8:$Q$154*'ANALYSE - ERP =&gt; SOUS-SEGMENT'!$BH$8:$BH$154),0)</f>
        <v>0.1511843791558222</v>
      </c>
      <c r="JR9" s="780">
        <f>IFERROR(SUMPRODUCT(('ANALYSE - ERP =&gt; SOUS-SEGMENT'!$B$8:$B$154=$B9)*'ANALYSE - ERP =&gt; SOUS-SEGMENT'!$Q$8:$Q$154*'ANALYSE - ERP =&gt; SOUS-SEGMENT'!$BH$8:$BH$154*'ANALYSE - ERP =&gt; SOUS-SEGMENT'!$JU$8:$JU$154)/SUMPRODUCT(('ANALYSE - ERP =&gt; SOUS-SEGMENT'!$B$8:$B$154=$B9)*'ANALYSE - ERP =&gt; SOUS-SEGMENT'!$Q$8:$Q$154*'ANALYSE - ERP =&gt; SOUS-SEGMENT'!$BH$8:$BH$154),0)</f>
        <v>0.54856077211061993</v>
      </c>
      <c r="JS9" s="780">
        <f>IFERROR(SUMPRODUCT(('ANALYSE - ERP =&gt; SOUS-SEGMENT'!$B$8:$B$154=$B9)*'ANALYSE - ERP =&gt; SOUS-SEGMENT'!$Q$8:$Q$154*'ANALYSE - ERP =&gt; SOUS-SEGMENT'!$BH$8:$BH$154*'ANALYSE - ERP =&gt; SOUS-SEGMENT'!$JV$8:$JV$154)/SUMPRODUCT(('ANALYSE - ERP =&gt; SOUS-SEGMENT'!$B$8:$B$154=$B9)*'ANALYSE - ERP =&gt; SOUS-SEGMENT'!$Q$8:$Q$154*'ANALYSE - ERP =&gt; SOUS-SEGMENT'!$BH$8:$BH$154),0)</f>
        <v>0.2951535068007356</v>
      </c>
      <c r="JT9" s="781">
        <f>IFERROR(SUMPRODUCT(('ANALYSE - ERP =&gt; SOUS-SEGMENT'!$B$8:$B$154=$B9)*'ANALYSE - ERP =&gt; SOUS-SEGMENT'!$Q$8:$Q$154*'ANALYSE - ERP =&gt; SOUS-SEGMENT'!$BH$8:$BH$154*'ANALYSE - ERP =&gt; SOUS-SEGMENT'!$JW$8:$JW$154)/SUMPRODUCT(('ANALYSE - ERP =&gt; SOUS-SEGMENT'!$B$8:$B$154=$B9)*'ANALYSE - ERP =&gt; SOUS-SEGMENT'!$Q$8:$Q$154*'ANALYSE - ERP =&gt; SOUS-SEGMENT'!$BH$8:$BH$154),0)</f>
        <v>5.044998529689303E-3</v>
      </c>
      <c r="JU9" s="782">
        <f>IFERROR(SUMPRODUCT(('ANALYSE - ERP =&gt; SOUS-SEGMENT'!$B$8:$B$154=$B9)*'ANALYSE - ERP =&gt; SOUS-SEGMENT'!$Q$8:$Q$154*'ANALYSE - ERP =&gt; SOUS-SEGMENT'!$FK$8:$FK$154*'ANALYSE - ERP =&gt; SOUS-SEGMENT'!$JX$8:$JX$154)/SUMPRODUCT(('ANALYSE - ERP =&gt; SOUS-SEGMENT'!$B$8:$B$154=$B9)*'ANALYSE - ERP =&gt; SOUS-SEGMENT'!$Q$8:$Q$154*'ANALYSE - ERP =&gt; SOUS-SEGMENT'!$FK$8:$FK$154),0)</f>
        <v>4.6223894133117763E-6</v>
      </c>
      <c r="JV9" s="780">
        <f>IFERROR(SUMPRODUCT(('ANALYSE - ERP =&gt; SOUS-SEGMENT'!$B$8:$B$154=$B9)*'ANALYSE - ERP =&gt; SOUS-SEGMENT'!$Q$8:$Q$154*'ANALYSE - ERP =&gt; SOUS-SEGMENT'!$FK$8:$FK$154*'ANALYSE - ERP =&gt; SOUS-SEGMENT'!$JY$8:$JY$154)/SUMPRODUCT(('ANALYSE - ERP =&gt; SOUS-SEGMENT'!$B$8:$B$154=$B9)*'ANALYSE - ERP =&gt; SOUS-SEGMENT'!$Q$8:$Q$154*'ANALYSE - ERP =&gt; SOUS-SEGMENT'!$FK$8:$FK$154),0)</f>
        <v>7.712913880845941E-2</v>
      </c>
      <c r="JW9" s="780">
        <f>IFERROR(SUMPRODUCT(('ANALYSE - ERP =&gt; SOUS-SEGMENT'!$B$8:$B$154=$B9)*'ANALYSE - ERP =&gt; SOUS-SEGMENT'!$Q$8:$Q$154*'ANALYSE - ERP =&gt; SOUS-SEGMENT'!$FK$8:$FK$154*'ANALYSE - ERP =&gt; SOUS-SEGMENT'!$JZ$8:$JZ$154)/SUMPRODUCT(('ANALYSE - ERP =&gt; SOUS-SEGMENT'!$B$8:$B$154=$B9)*'ANALYSE - ERP =&gt; SOUS-SEGMENT'!$Q$8:$Q$154*'ANALYSE - ERP =&gt; SOUS-SEGMENT'!$FK$8:$FK$154),0)</f>
        <v>0.49686467543817714</v>
      </c>
      <c r="JX9" s="780">
        <f>IFERROR(SUMPRODUCT(('ANALYSE - ERP =&gt; SOUS-SEGMENT'!$B$8:$B$154=$B9)*'ANALYSE - ERP =&gt; SOUS-SEGMENT'!$Q$8:$Q$154*'ANALYSE - ERP =&gt; SOUS-SEGMENT'!$FK$8:$FK$154*'ANALYSE - ERP =&gt; SOUS-SEGMENT'!$KA$8:$KA$154)/SUMPRODUCT(('ANALYSE - ERP =&gt; SOUS-SEGMENT'!$B$8:$B$154=$B9)*'ANALYSE - ERP =&gt; SOUS-SEGMENT'!$Q$8:$Q$154*'ANALYSE - ERP =&gt; SOUS-SEGMENT'!$FK$8:$FK$154),0)</f>
        <v>0.3977978629314271</v>
      </c>
      <c r="JY9" s="783">
        <f>IFERROR(SUMPRODUCT(('ANALYSE - ERP =&gt; SOUS-SEGMENT'!$B$8:$B$154=$B9)*'ANALYSE - ERP =&gt; SOUS-SEGMENT'!$Q$8:$Q$154*'ANALYSE - ERP =&gt; SOUS-SEGMENT'!$FK$8:$FK$154*'ANALYSE - ERP =&gt; SOUS-SEGMENT'!$KB$8:$KB$154)/SUMPRODUCT(('ANALYSE - ERP =&gt; SOUS-SEGMENT'!$B$8:$B$154=$B9)*'ANALYSE - ERP =&gt; SOUS-SEGMENT'!$Q$8:$Q$154*'ANALYSE - ERP =&gt; SOUS-SEGMENT'!$FK$8:$FK$154),0)</f>
        <v>2.8203700432523088E-2</v>
      </c>
      <c r="JZ9" s="657"/>
      <c r="KA9" s="298" t="s">
        <v>2590</v>
      </c>
      <c r="KB9" s="298" t="s">
        <v>2591</v>
      </c>
      <c r="KC9" s="888">
        <f>IFERROR(SUMPRODUCT(('ANALYSE - ERP =&gt; SOUS-SEGMENT'!$B$8:$B$154=$B9)*'ANALYSE - ERP =&gt; SOUS-SEGMENT'!$Q$8:$Q$154*'ANALYSE - ERP =&gt; SOUS-SEGMENT'!$EX$8:$EX$154*'ANALYSE - ERP =&gt; SOUS-SEGMENT'!$KF$8:$KF$154)/SUMPRODUCT(('ANALYSE - ERP =&gt; SOUS-SEGMENT'!$B$8:$B$154=$B9)*'ANALYSE - ERP =&gt; SOUS-SEGMENT'!$Q$8:$Q$154*'ANALYSE - ERP =&gt; SOUS-SEGMENT'!$EX$8:$EX$154),"")</f>
        <v>4.4906827075455551</v>
      </c>
      <c r="KD9" s="298" t="s">
        <v>2719</v>
      </c>
      <c r="KE9" s="300" t="s">
        <v>3316</v>
      </c>
      <c r="KF9" s="300" t="s">
        <v>7559</v>
      </c>
      <c r="KG9" s="300" t="s">
        <v>7559</v>
      </c>
    </row>
    <row r="10" spans="1:293" ht="183" customHeight="1">
      <c r="A10" s="273">
        <v>3</v>
      </c>
      <c r="B10" s="484" t="s">
        <v>3662</v>
      </c>
      <c r="C10" s="484" t="s">
        <v>7572</v>
      </c>
      <c r="D10" s="484" t="s">
        <v>7573</v>
      </c>
      <c r="E10" s="275" t="s">
        <v>7574</v>
      </c>
      <c r="F10" s="275" t="s">
        <v>7575</v>
      </c>
      <c r="G10" s="275" t="s">
        <v>300</v>
      </c>
      <c r="H10" s="275" t="s">
        <v>2109</v>
      </c>
      <c r="I10" s="296" t="s">
        <v>7576</v>
      </c>
      <c r="J10" s="296" t="s">
        <v>7577</v>
      </c>
      <c r="K10" s="277" t="s">
        <v>2097</v>
      </c>
      <c r="L10" s="277" t="s">
        <v>2109</v>
      </c>
      <c r="M10" s="277" t="s">
        <v>7026</v>
      </c>
      <c r="N10" s="277" t="s">
        <v>6742</v>
      </c>
      <c r="O10" s="277" t="s">
        <v>3170</v>
      </c>
      <c r="P10" s="276"/>
      <c r="Q10" s="270">
        <f>IF(SUMPRODUCT(('ANALYSE - ERP =&gt; SOUS-SEGMENT'!$B$8:$B$154=$B10)*'ANALYSE - ERP =&gt; SOUS-SEGMENT'!$Q$8:$Q$154)&gt;0,1,0)</f>
        <v>1</v>
      </c>
      <c r="R10" s="278">
        <f>IFERROR(SUMPRODUCT(('ANALYSE - ERP =&gt; SOUS-SEGMENT'!$B$8:$B$154=$B10)*'ANALYSE - ERP =&gt; SOUS-SEGMENT'!$Q$8:$Q$154*'ANALYSE - ERP =&gt; SOUS-SEGMENT'!$AG$8:$AG$154*'ANALYSE - ERP =&gt; SOUS-SEGMENT'!$R$8:$R$154)/SUMPRODUCT(('ANALYSE - ERP =&gt; SOUS-SEGMENT'!$B$8:$B$154=$B10)*'ANALYSE - ERP =&gt; SOUS-SEGMENT'!$Q$8:$Q$154*'ANALYSE - ERP =&gt; SOUS-SEGMENT'!$AG$8:$AG$154),"")</f>
        <v>970.02725326065797</v>
      </c>
      <c r="S10" s="279">
        <f>SUMPRODUCT(('ANALYSE - ERP =&gt; SOUS-SEGMENT'!$B$8:$B$154=$B10)*'ANALYSE - ERP =&gt; SOUS-SEGMENT'!$Q$8:$Q$154*'ANALYSE - ERP =&gt; SOUS-SEGMENT'!$S$8:$S$154)</f>
        <v>48953</v>
      </c>
      <c r="T10" s="279">
        <f>SUMPRODUCT(('ANALYSE - ERP =&gt; SOUS-SEGMENT'!$B$8:$B$154=$B10)*'ANALYSE - ERP =&gt; SOUS-SEGMENT'!$Q$8:$Q$154*'ANALYSE - ERP =&gt; SOUS-SEGMENT'!$T$8:$T$154)</f>
        <v>49760</v>
      </c>
      <c r="U10" s="279">
        <f>SUMPRODUCT(('ANALYSE - ERP =&gt; SOUS-SEGMENT'!$B$8:$B$154=$B10)*'ANALYSE - ERP =&gt; SOUS-SEGMENT'!$Q$8:$Q$154*'ANALYSE - ERP =&gt; SOUS-SEGMENT'!$U$8:$U$154)</f>
        <v>50616</v>
      </c>
      <c r="V10" s="279">
        <f>SUMPRODUCT(('ANALYSE - ERP =&gt; SOUS-SEGMENT'!$B$8:$B$154=$B10)*'ANALYSE - ERP =&gt; SOUS-SEGMENT'!$Q$8:$Q$154*'ANALYSE - ERP =&gt; SOUS-SEGMENT'!$V$8:$V$154)</f>
        <v>51589</v>
      </c>
      <c r="W10" s="279">
        <f>SUMPRODUCT(('ANALYSE - ERP =&gt; SOUS-SEGMENT'!$B$8:$B$154=$B10)*'ANALYSE - ERP =&gt; SOUS-SEGMENT'!$Q$8:$Q$154*'ANALYSE - ERP =&gt; SOUS-SEGMENT'!$W$8:$W$154)</f>
        <v>51571</v>
      </c>
      <c r="X10" s="279">
        <f>SUMPRODUCT(('ANALYSE - ERP =&gt; SOUS-SEGMENT'!$B$8:$B$154=$B10)*'ANALYSE - ERP =&gt; SOUS-SEGMENT'!$Q$8:$Q$154*'ANALYSE - ERP =&gt; SOUS-SEGMENT'!$X$8:$X$154)</f>
        <v>51456</v>
      </c>
      <c r="Y10" s="279">
        <f>SUMPRODUCT(('ANALYSE - ERP =&gt; SOUS-SEGMENT'!$B$8:$B$154=$B10)*'ANALYSE - ERP =&gt; SOUS-SEGMENT'!$Q$8:$Q$154*'ANALYSE - ERP =&gt; SOUS-SEGMENT'!$Y$8:$Y$154)</f>
        <v>51442</v>
      </c>
      <c r="Z10" s="279">
        <f>SUMPRODUCT(('ANALYSE - ERP =&gt; SOUS-SEGMENT'!$B$8:$B$154=$B10)*'ANALYSE - ERP =&gt; SOUS-SEGMENT'!$Q$8:$Q$154*'ANALYSE - ERP =&gt; SOUS-SEGMENT'!$Z$8:$Z$154)</f>
        <v>51430</v>
      </c>
      <c r="AA10" s="279">
        <f>SUMPRODUCT(('ANALYSE - ERP =&gt; SOUS-SEGMENT'!$B$8:$B$154=$B10)*'ANALYSE - ERP =&gt; SOUS-SEGMENT'!$Q$8:$Q$154*'ANALYSE - ERP =&gt; SOUS-SEGMENT'!$AA$8:$AA$154)</f>
        <v>51114</v>
      </c>
      <c r="AB10" s="279">
        <f>SUMPRODUCT(('ANALYSE - ERP =&gt; SOUS-SEGMENT'!$B$8:$B$154=$B10)*'ANALYSE - ERP =&gt; SOUS-SEGMENT'!$Q$8:$Q$154*'ANALYSE - ERP =&gt; SOUS-SEGMENT'!$AB$8:$AB$154)</f>
        <v>51069</v>
      </c>
      <c r="AC10" s="279">
        <f>SUMPRODUCT(('ANALYSE - ERP =&gt; SOUS-SEGMENT'!$B$8:$B$154=$B10)*'ANALYSE - ERP =&gt; SOUS-SEGMENT'!$Q$8:$Q$154*'ANALYSE - ERP =&gt; SOUS-SEGMENT'!$AC$8:$AC$154)</f>
        <v>51156</v>
      </c>
      <c r="AD10" s="279">
        <f>SUMPRODUCT(('ANALYSE - ERP =&gt; SOUS-SEGMENT'!$B$8:$B$154=$B10)*'ANALYSE - ERP =&gt; SOUS-SEGMENT'!$Q$8:$Q$154*'ANALYSE - ERP =&gt; SOUS-SEGMENT'!$AD$8:$AD$154)</f>
        <v>51216</v>
      </c>
      <c r="AE10" s="279">
        <f>SUMPRODUCT(('ANALYSE - ERP =&gt; SOUS-SEGMENT'!$B$8:$B$154=$B10)*'ANALYSE - ERP =&gt; SOUS-SEGMENT'!$Q$8:$Q$154*'ANALYSE - ERP =&gt; SOUS-SEGMENT'!$AE$8:$AE$154)</f>
        <v>51218</v>
      </c>
      <c r="AF10" s="279">
        <f>SUMPRODUCT(('ANALYSE - ERP =&gt; SOUS-SEGMENT'!$B$8:$B$154=$B10)*'ANALYSE - ERP =&gt; SOUS-SEGMENT'!$Q$8:$Q$154*'ANALYSE - ERP =&gt; SOUS-SEGMENT'!$AF$8:$AF$154)</f>
        <v>51274</v>
      </c>
      <c r="AG10" s="279">
        <f>SUMPRODUCT(('ANALYSE - ERP =&gt; SOUS-SEGMENT'!$B$8:$B$154=$B10)*'ANALYSE - ERP =&gt; SOUS-SEGMENT'!$Q$8:$Q$154*'ANALYSE - ERP =&gt; SOUS-SEGMENT'!$AG$8:$AG$154)</f>
        <v>51370</v>
      </c>
      <c r="AH10" s="279">
        <f>SUMPRODUCT(('ANALYSE - ERP =&gt; SOUS-SEGMENT'!$B$8:$B$154=$B10)*'ANALYSE - ERP =&gt; SOUS-SEGMENT'!$Q$8:$Q$154*'ANALYSE - ERP =&gt; SOUS-SEGMENT'!$AH$8:$AH$154)</f>
        <v>51473</v>
      </c>
      <c r="AI10" s="279">
        <f>SUMPRODUCT(('ANALYSE - ERP =&gt; SOUS-SEGMENT'!$B$8:$B$154=$B10)*'ANALYSE - ERP =&gt; SOUS-SEGMENT'!$Q$8:$Q$154*'ANALYSE - ERP =&gt; SOUS-SEGMENT'!$AI$8:$AI$154)</f>
        <v>51575</v>
      </c>
      <c r="AJ10" s="279">
        <f>SUMPRODUCT(('ANALYSE - ERP =&gt; SOUS-SEGMENT'!$B$8:$B$154=$B10)*'ANALYSE - ERP =&gt; SOUS-SEGMENT'!$Q$8:$Q$154*'ANALYSE - ERP =&gt; SOUS-SEGMENT'!$AJ$8:$AJ$154)</f>
        <v>51679</v>
      </c>
      <c r="AK10" s="279">
        <f>SUMPRODUCT(('ANALYSE - ERP =&gt; SOUS-SEGMENT'!$B$8:$B$154=$B10)*'ANALYSE - ERP =&gt; SOUS-SEGMENT'!$Q$8:$Q$154*'ANALYSE - ERP =&gt; SOUS-SEGMENT'!$AK$8:$AK$154)</f>
        <v>51783</v>
      </c>
      <c r="AL10" s="276" t="s">
        <v>7559</v>
      </c>
      <c r="AM10" s="276" t="s">
        <v>7559</v>
      </c>
      <c r="AN10" s="276" t="s">
        <v>7578</v>
      </c>
      <c r="AO10" s="657"/>
      <c r="AP10" s="278">
        <f>IFERROR(SUMPRODUCT(('ANALYSE - ERP =&gt; SOUS-SEGMENT'!$B$8:$B$154=$B10)*'ANALYSE - ERP =&gt; SOUS-SEGMENT'!$Q$8:$Q$154*'ANALYSE - ERP =&gt; SOUS-SEGMENT'!$AG$8:$AG$154*'ANALYSE - ERP =&gt; SOUS-SEGMENT'!$AP$8:$AP$154)/SUMPRODUCT(('ANALYSE - ERP =&gt; SOUS-SEGMENT'!$B$8:$B$154=$B10)*'ANALYSE - ERP =&gt; SOUS-SEGMENT'!$Q$8:$Q$154*'ANALYSE - ERP =&gt; SOUS-SEGMENT'!$AG$8:$AG$154),"")</f>
        <v>305.8150671598209</v>
      </c>
      <c r="AQ10" s="278">
        <f>IFERROR(SUMPRODUCT(('ANALYSE - ERP =&gt; SOUS-SEGMENT'!$B$8:$B$154=$B10)*'ANALYSE - ERP =&gt; SOUS-SEGMENT'!$Q$8:$Q$154*'ANALYSE - ERP =&gt; SOUS-SEGMENT'!$AF$8:$AF$154*'ANALYSE - ERP =&gt; SOUS-SEGMENT'!$AQ$8:$AQ$154)/SUMPRODUCT(('ANALYSE - ERP =&gt; SOUS-SEGMENT'!$B$8:$B$154=$B10)*'ANALYSE - ERP =&gt; SOUS-SEGMENT'!$Q$8:$Q$154*'ANALYSE - ERP =&gt; SOUS-SEGMENT'!$AF$8:$AF$154),"")</f>
        <v>268.23241798962437</v>
      </c>
      <c r="AR10" s="973">
        <f>IFERROR(SUMPRODUCT(('ANALYSE - ERP =&gt; SOUS-SEGMENT'!$B$8:$B$154=$B10)*'ANALYSE - ERP =&gt; SOUS-SEGMENT'!$Q$8:$Q$154*'ANALYSE - ERP =&gt; SOUS-SEGMENT'!$AF$8:$AF$154*'ANALYSE - ERP =&gt; SOUS-SEGMENT'!$AR$8:$AR$154)/SUMPRODUCT(('ANALYSE - ERP =&gt; SOUS-SEGMENT'!$B$8:$B$154=$B10)*'ANALYSE - ERP =&gt; SOUS-SEGMENT'!$Q$8:$Q$154*'ANALYSE - ERP =&gt; SOUS-SEGMENT'!$AF$8:$AF$154),"")</f>
        <v>26.918165151928854</v>
      </c>
      <c r="AS10" s="973">
        <f>IFERROR(SUMPRODUCT(('ANALYSE - ERP =&gt; SOUS-SEGMENT'!$B$8:$B$154=$B10)*'ANALYSE - ERP =&gt; SOUS-SEGMENT'!$Q$8:$Q$154*'ANALYSE - ERP =&gt; SOUS-SEGMENT'!$AF$8:$AF$154*'ANALYSE - ERP =&gt; SOUS-SEGMENT'!$AS$8:$AS$154)/SUMPRODUCT(('ANALYSE - ERP =&gt; SOUS-SEGMENT'!$B$8:$B$154=$B10)*'ANALYSE - ERP =&gt; SOUS-SEGMENT'!$Q$8:$Q$154*'ANALYSE - ERP =&gt; SOUS-SEGMENT'!$AF$8:$AF$154),"")</f>
        <v>10.140305027889379</v>
      </c>
      <c r="AT10" s="657" t="s">
        <v>7579</v>
      </c>
      <c r="AU10" s="646" t="s">
        <v>7580</v>
      </c>
      <c r="AV10" s="646" t="s">
        <v>7320</v>
      </c>
      <c r="AW10" s="646" t="s">
        <v>7559</v>
      </c>
      <c r="AX10" s="657"/>
      <c r="AY10" s="282">
        <f>IFERROR(SUMPRODUCT(('ANALYSE - ERP =&gt; SOUS-SEGMENT'!$B$8:$B$154=$B10)*'ANALYSE - ERP =&gt; SOUS-SEGMENT'!$Q$8:$Q$154*'ANALYSE - ERP =&gt; SOUS-SEGMENT'!$AF$8:$AF$154*'ANALYSE - ERP =&gt; SOUS-SEGMENT'!$AZ$8:$AZ$154)/SUMPRODUCT(('ANALYSE - ERP =&gt; SOUS-SEGMENT'!$B$8:$B$154=$B10)*'ANALYSE - ERP =&gt; SOUS-SEGMENT'!$Q$8:$Q$154*'ANALYSE - ERP =&gt; SOUS-SEGMENT'!$AF$8:$AF$154),"")</f>
        <v>8.0021843429418418</v>
      </c>
      <c r="AZ10" s="947">
        <f>IFERROR(SUMPRODUCT(('ANALYSE - ERP =&gt; SOUS-SEGMENT'!$B$8:$B$154=$B10)*'ANALYSE - ERP =&gt; SOUS-SEGMENT'!$Q$8:$Q$154*'ANALYSE - ERP =&gt; SOUS-SEGMENT'!$AF$8:$AF$154*'ANALYSE - ERP =&gt; SOUS-SEGMENT'!$BA$8:$BA$154)/SUMPRODUCT(('ANALYSE - ERP =&gt; SOUS-SEGMENT'!$B$8:$B$154=$B10)*'ANALYSE - ERP =&gt; SOUS-SEGMENT'!$Q$8:$Q$154*'ANALYSE - ERP =&gt; SOUS-SEGMENT'!$AF$8:$AF$154),"")</f>
        <v>0.20304637828139019</v>
      </c>
      <c r="BA10" s="282">
        <f>IFERROR(SUMPRODUCT(('ANALYSE - ERP =&gt; SOUS-SEGMENT'!$B$8:$B$154=$B10)*'ANALYSE - ERP =&gt; SOUS-SEGMENT'!$Q$8:$Q$154*'ANALYSE - ERP =&gt; SOUS-SEGMENT'!$AF$8:$AF$154*'ANALYSE - ERP =&gt; SOUS-SEGMENT'!$BB$8:$BB$154)/SUMPRODUCT(('ANALYSE - ERP =&gt; SOUS-SEGMENT'!$B$8:$B$154=$B10)*'ANALYSE - ERP =&gt; SOUS-SEGMENT'!$Q$8:$Q$154*'ANALYSE - ERP =&gt; SOUS-SEGMENT'!$AF$8:$AF$154),"")</f>
        <v>1.5136813979794828</v>
      </c>
      <c r="BB10" s="282">
        <f>IFERROR(SUMPRODUCT(('ANALYSE - ERP =&gt; SOUS-SEGMENT'!$B$8:$B$154=$B10)*'ANALYSE - ERP =&gt; SOUS-SEGMENT'!$Q$8:$Q$154*'ANALYSE - ERP =&gt; SOUS-SEGMENT'!$AF$8:$AF$154*'ANALYSE - ERP =&gt; SOUS-SEGMENT'!$BC$8:$BC$154)/SUMPRODUCT(('ANALYSE - ERP =&gt; SOUS-SEGMENT'!$B$8:$B$154=$B10)*'ANALYSE - ERP =&gt; SOUS-SEGMENT'!$Q$8:$Q$154*'ANALYSE - ERP =&gt; SOUS-SEGMENT'!$AF$8:$AF$154),"")</f>
        <v>6.6271502125833752</v>
      </c>
      <c r="BC10" s="283">
        <f>SUMPRODUCT(('ANALYSE - ERP =&gt; SOUS-SEGMENT'!$B$8:$B$154=$B10)*'ANALYSE - ERP =&gt; SOUS-SEGMENT'!$Q$8:$Q$154*'ANALYSE - ERP =&gt; SOUS-SEGMENT'!$BE$8:$BE$154)</f>
        <v>410304</v>
      </c>
      <c r="BD10" s="283">
        <f>SUMPRODUCT(('ANALYSE - ERP =&gt; SOUS-SEGMENT'!$B$8:$B$154=$B10)*'ANALYSE - ERP =&gt; SOUS-SEGMENT'!$Q$8:$Q$154*'ANALYSE - ERP =&gt; SOUS-SEGMENT'!$BF$8:$BF$154)</f>
        <v>10411</v>
      </c>
      <c r="BE10" s="283">
        <f>SUMPRODUCT(('ANALYSE - ERP =&gt; SOUS-SEGMENT'!$B$8:$B$154=$B10)*'ANALYSE - ERP =&gt; SOUS-SEGMENT'!$Q$8:$Q$154*'ANALYSE - ERP =&gt; SOUS-SEGMENT'!$BG$8:$BG$154)</f>
        <v>77612.5</v>
      </c>
      <c r="BF10" s="283">
        <f>SUMPRODUCT(('ANALYSE - ERP =&gt; SOUS-SEGMENT'!$B$8:$B$154=$B10)*'ANALYSE - ERP =&gt; SOUS-SEGMENT'!$Q$8:$Q$154*'ANALYSE - ERP =&gt; SOUS-SEGMENT'!$BH$8:$BH$154)</f>
        <v>339800.5</v>
      </c>
      <c r="BG10" s="283">
        <f>SUMPRODUCT(('ANALYSE - ERP =&gt; SOUS-SEGMENT'!$B$8:$B$154=$B10)*'ANALYSE - ERP =&gt; SOUS-SEGMENT'!$Q$8:$Q$154*'ANALYSE - ERP =&gt; SOUS-SEGMENT'!$BJ$8:$BJ$154)</f>
        <v>418251</v>
      </c>
      <c r="BH10" s="283">
        <f>SUMPRODUCT(('ANALYSE - ERP =&gt; SOUS-SEGMENT'!$B$8:$B$154=$B10)*'ANALYSE - ERP =&gt; SOUS-SEGMENT'!$Q$8:$Q$154*'ANALYSE - ERP =&gt; SOUS-SEGMENT'!$BK$8:$BK$154)</f>
        <v>10740</v>
      </c>
      <c r="BI10" s="283">
        <f>SUMPRODUCT(('ANALYSE - ERP =&gt; SOUS-SEGMENT'!$B$8:$B$154=$B10)*'ANALYSE - ERP =&gt; SOUS-SEGMENT'!$Q$8:$Q$154*'ANALYSE - ERP =&gt; SOUS-SEGMENT'!$BL$8:$BL$154)</f>
        <v>79044.5</v>
      </c>
      <c r="BJ10" s="283">
        <f>SUMPRODUCT(('ANALYSE - ERP =&gt; SOUS-SEGMENT'!$B$8:$B$154=$B10)*'ANALYSE - ERP =&gt; SOUS-SEGMENT'!$Q$8:$Q$154*'ANALYSE - ERP =&gt; SOUS-SEGMENT'!$BM$8:$BM$154)</f>
        <v>345755</v>
      </c>
      <c r="BK10" s="657"/>
      <c r="BL10" s="577">
        <f>IFERROR(SUMPRODUCT(('ANALYSE - ERP =&gt; SOUS-SEGMENT'!$B$8:$B$154=$B10)*'ANALYSE - ERP =&gt; SOUS-SEGMENT'!$Q$8:$Q$154*'ANALYSE - ERP =&gt; SOUS-SEGMENT'!$BE$8:$BE$154*'ANALYSE - ERP =&gt; SOUS-SEGMENT'!$BO$8:$BO$154)/SUMPRODUCT(('ANALYSE - ERP =&gt; SOUS-SEGMENT'!$B$8:$B$154=$B10)*'ANALYSE - ERP =&gt; SOUS-SEGMENT'!$Q$8:$Q$154*'ANALYSE - ERP =&gt; SOUS-SEGMENT'!$BE$8:$BE$154),"")</f>
        <v>0.21711331110591173</v>
      </c>
      <c r="BM10" s="578">
        <f>IFERROR(SUMPRODUCT(('ANALYSE - ERP =&gt; SOUS-SEGMENT'!$B$8:$B$154=$B10)*'ANALYSE - ERP =&gt; SOUS-SEGMENT'!$Q$8:$Q$154*'ANALYSE - ERP =&gt; SOUS-SEGMENT'!$BE$8:$BE$154*'ANALYSE - ERP =&gt; SOUS-SEGMENT'!$BP$8:$BP$154)/SUMPRODUCT(('ANALYSE - ERP =&gt; SOUS-SEGMENT'!$B$8:$B$154=$B10)*'ANALYSE - ERP =&gt; SOUS-SEGMENT'!$Q$8:$Q$154*'ANALYSE - ERP =&gt; SOUS-SEGMENT'!$BE$8:$BE$154),"")</f>
        <v>0.62015447083138353</v>
      </c>
      <c r="BN10" s="578">
        <f>IFERROR(SUMPRODUCT(('ANALYSE - ERP =&gt; SOUS-SEGMENT'!$B$8:$B$154=$B10)*'ANALYSE - ERP =&gt; SOUS-SEGMENT'!$Q$8:$Q$154*'ANALYSE - ERP =&gt; SOUS-SEGMENT'!$BE$8:$BE$154*'ANALYSE - ERP =&gt; SOUS-SEGMENT'!$BQ$8:$BQ$154)/SUMPRODUCT(('ANALYSE - ERP =&gt; SOUS-SEGMENT'!$B$8:$B$154=$B10)*'ANALYSE - ERP =&gt; SOUS-SEGMENT'!$Q$8:$Q$154*'ANALYSE - ERP =&gt; SOUS-SEGMENT'!$BE$8:$BE$154),"")</f>
        <v>0.11251774294181875</v>
      </c>
      <c r="BO10" s="579">
        <f>IFERROR(SUMPRODUCT(('ANALYSE - ERP =&gt; SOUS-SEGMENT'!$B$8:$B$154=$B10)*'ANALYSE - ERP =&gt; SOUS-SEGMENT'!$Q$8:$Q$154*'ANALYSE - ERP =&gt; SOUS-SEGMENT'!$BE$8:$BE$154*'ANALYSE - ERP =&gt; SOUS-SEGMENT'!$BR$8:$BR$154)/SUMPRODUCT(('ANALYSE - ERP =&gt; SOUS-SEGMENT'!$B$8:$B$154=$B10)*'ANALYSE - ERP =&gt; SOUS-SEGMENT'!$Q$8:$Q$154*'ANALYSE - ERP =&gt; SOUS-SEGMENT'!$BE$8:$BE$154),"")</f>
        <v>5.0214475120885976E-2</v>
      </c>
      <c r="BP10" s="577">
        <f>IFERROR(SUMPRODUCT(('ANALYSE - ERP =&gt; SOUS-SEGMENT'!$B$8:$B$154=$B10)*'ANALYSE - ERP =&gt; SOUS-SEGMENT'!$Q$8:$Q$154*'ANALYSE - ERP =&gt; SOUS-SEGMENT'!$BJ$8:$BJ$154*'ANALYSE - ERP =&gt; SOUS-SEGMENT'!$BS$8:$BS$154)/SUMPRODUCT(('ANALYSE - ERP =&gt; SOUS-SEGMENT'!$B$8:$B$154=$B10)*'ANALYSE - ERP =&gt; SOUS-SEGMENT'!$Q$8:$Q$154*'ANALYSE - ERP =&gt; SOUS-SEGMENT'!$BJ$8:$BJ$154),"")</f>
        <v>0.19175552479252889</v>
      </c>
      <c r="BQ10" s="578">
        <f>IFERROR(SUMPRODUCT(('ANALYSE - ERP =&gt; SOUS-SEGMENT'!$B$8:$B$154=$B10)*'ANALYSE - ERP =&gt; SOUS-SEGMENT'!$Q$8:$Q$154*'ANALYSE - ERP =&gt; SOUS-SEGMENT'!$BJ$8:$BJ$154*'ANALYSE - ERP =&gt; SOUS-SEGMENT'!$BT$8:$BT$154)/SUMPRODUCT(('ANALYSE - ERP =&gt; SOUS-SEGMENT'!$B$8:$B$154=$B10)*'ANALYSE - ERP =&gt; SOUS-SEGMENT'!$Q$8:$Q$154*'ANALYSE - ERP =&gt; SOUS-SEGMENT'!$BJ$8:$BJ$154),"")</f>
        <v>0.6224682307992091</v>
      </c>
      <c r="BR10" s="578">
        <f>IFERROR(SUMPRODUCT(('ANALYSE - ERP =&gt; SOUS-SEGMENT'!$B$8:$B$154=$B10)*'ANALYSE - ERP =&gt; SOUS-SEGMENT'!$Q$8:$Q$154*'ANALYSE - ERP =&gt; SOUS-SEGMENT'!$BJ$8:$BJ$154*'ANALYSE - ERP =&gt; SOUS-SEGMENT'!$BU$8:$BU$154)/SUMPRODUCT(('ANALYSE - ERP =&gt; SOUS-SEGMENT'!$B$8:$B$154=$B10)*'ANALYSE - ERP =&gt; SOUS-SEGMENT'!$Q$8:$Q$154*'ANALYSE - ERP =&gt; SOUS-SEGMENT'!$BJ$8:$BJ$154),"")</f>
        <v>0.14312343544904854</v>
      </c>
      <c r="BS10" s="579">
        <f>IFERROR(SUMPRODUCT(('ANALYSE - ERP =&gt; SOUS-SEGMENT'!$B$8:$B$154=$B10)*'ANALYSE - ERP =&gt; SOUS-SEGMENT'!$Q$8:$Q$154*'ANALYSE - ERP =&gt; SOUS-SEGMENT'!$BJ$8:$BJ$154*'ANALYSE - ERP =&gt; SOUS-SEGMENT'!$BV$8:$BV$154)/SUMPRODUCT(('ANALYSE - ERP =&gt; SOUS-SEGMENT'!$B$8:$B$154=$B10)*'ANALYSE - ERP =&gt; SOUS-SEGMENT'!$Q$8:$Q$154*'ANALYSE - ERP =&gt; SOUS-SEGMENT'!$BJ$8:$BJ$154),"")</f>
        <v>4.2652808959213494E-2</v>
      </c>
      <c r="BT10" s="586">
        <f>IFERROR(SUMPRODUCT(('ANALYSE - ERP =&gt; SOUS-SEGMENT'!$B$8:$B$154=$B10)*'ANALYSE - ERP =&gt; SOUS-SEGMENT'!$Q$8:$Q$154*'ANALYSE - ERP =&gt; SOUS-SEGMENT'!$BF$8:$BF$154*'ANALYSE - ERP =&gt; SOUS-SEGMENT'!$BW$8:$BW$154)/SUMPRODUCT(('ANALYSE - ERP =&gt; SOUS-SEGMENT'!$B$8:$B$154=$B10)*'ANALYSE - ERP =&gt; SOUS-SEGMENT'!$Q$8:$Q$154*'ANALYSE - ERP =&gt; SOUS-SEGMENT'!$BF$8:$BF$154),"")</f>
        <v>0.40535251176640091</v>
      </c>
      <c r="BU10" s="587">
        <f>IFERROR(SUMPRODUCT(('ANALYSE - ERP =&gt; SOUS-SEGMENT'!$B$8:$B$154=$B10)*'ANALYSE - ERP =&gt; SOUS-SEGMENT'!$Q$8:$Q$154*'ANALYSE - ERP =&gt; SOUS-SEGMENT'!$BF$8:$BF$154*'ANALYSE - ERP =&gt; SOUS-SEGMENT'!$BX$8:$BX$154)/SUMPRODUCT(('ANALYSE - ERP =&gt; SOUS-SEGMENT'!$B$8:$B$154=$B10)*'ANALYSE - ERP =&gt; SOUS-SEGMENT'!$Q$8:$Q$154*'ANALYSE - ERP =&gt; SOUS-SEGMENT'!$BF$8:$BF$154),"")</f>
        <v>0.49549995197387375</v>
      </c>
      <c r="BV10" s="588">
        <f>IFERROR(SUMPRODUCT(('ANALYSE - ERP =&gt; SOUS-SEGMENT'!$B$8:$B$154=$B10)*'ANALYSE - ERP =&gt; SOUS-SEGMENT'!$Q$8:$Q$154*'ANALYSE - ERP =&gt; SOUS-SEGMENT'!$BF$8:$BF$154*'ANALYSE - ERP =&gt; SOUS-SEGMENT'!$BY$8:$BY$154)/SUMPRODUCT(('ANALYSE - ERP =&gt; SOUS-SEGMENT'!$B$8:$B$154=$B10)*'ANALYSE - ERP =&gt; SOUS-SEGMENT'!$Q$8:$Q$154*'ANALYSE - ERP =&gt; SOUS-SEGMENT'!$BF$8:$BF$154),"")</f>
        <v>9.9147536259725277E-2</v>
      </c>
      <c r="BW10" s="586">
        <f>IFERROR(SUMPRODUCT(('ANALYSE - ERP =&gt; SOUS-SEGMENT'!$B$8:$B$154=$B10)*'ANALYSE - ERP =&gt; SOUS-SEGMENT'!$Q$8:$Q$154*'ANALYSE - ERP =&gt; SOUS-SEGMENT'!$BK$8:$BK$154*'ANALYSE - ERP =&gt; SOUS-SEGMENT'!$BZ$8:$BZ$154)/SUMPRODUCT(('ANALYSE - ERP =&gt; SOUS-SEGMENT'!$B$8:$B$154=$B10)*'ANALYSE - ERP =&gt; SOUS-SEGMENT'!$Q$8:$Q$154*'ANALYSE - ERP =&gt; SOUS-SEGMENT'!$BK$8:$BK$154),"")</f>
        <v>0.35393621973929235</v>
      </c>
      <c r="BX10" s="587">
        <f>IFERROR(SUMPRODUCT(('ANALYSE - ERP =&gt; SOUS-SEGMENT'!$B$8:$B$154=$B10)*'ANALYSE - ERP =&gt; SOUS-SEGMENT'!$Q$8:$Q$154*'ANALYSE - ERP =&gt; SOUS-SEGMENT'!$BK$8:$BK$154*'ANALYSE - ERP =&gt; SOUS-SEGMENT'!$CA$8:$CA$154)/SUMPRODUCT(('ANALYSE - ERP =&gt; SOUS-SEGMENT'!$B$8:$B$154=$B10)*'ANALYSE - ERP =&gt; SOUS-SEGMENT'!$Q$8:$Q$154*'ANALYSE - ERP =&gt; SOUS-SEGMENT'!$BK$8:$BK$154),"")</f>
        <v>0.51797625698324024</v>
      </c>
      <c r="BY10" s="588">
        <f>IFERROR(SUMPRODUCT(('ANALYSE - ERP =&gt; SOUS-SEGMENT'!$B$8:$B$154=$B10)*'ANALYSE - ERP =&gt; SOUS-SEGMENT'!$Q$8:$Q$154*'ANALYSE - ERP =&gt; SOUS-SEGMENT'!$BK$8:$BK$154*'ANALYSE - ERP =&gt; SOUS-SEGMENT'!$CB$8:$CB$154)/SUMPRODUCT(('ANALYSE - ERP =&gt; SOUS-SEGMENT'!$B$8:$B$154=$B10)*'ANALYSE - ERP =&gt; SOUS-SEGMENT'!$Q$8:$Q$154*'ANALYSE - ERP =&gt; SOUS-SEGMENT'!$BK$8:$BK$154),"")</f>
        <v>0.12808752327746742</v>
      </c>
      <c r="BZ10" s="577">
        <f>IFERROR(SUMPRODUCT(('ANALYSE - ERP =&gt; SOUS-SEGMENT'!$B$8:$B$154=$B10)*'ANALYSE - ERP =&gt; SOUS-SEGMENT'!$Q$8:$Q$154*'ANALYSE - ERP =&gt; SOUS-SEGMENT'!$BG$8:$BG$154*'ANALYSE - ERP =&gt; SOUS-SEGMENT'!$CC$8:$CC$154)/SUMPRODUCT(('ANALYSE - ERP =&gt; SOUS-SEGMENT'!$B$8:$B$154=$B10)*'ANALYSE - ERP =&gt; SOUS-SEGMENT'!$Q$8:$Q$154*'ANALYSE - ERP =&gt; SOUS-SEGMENT'!$BG$8:$BG$154),"")</f>
        <v>8.671103237236269E-2</v>
      </c>
      <c r="CA10" s="578">
        <f>IFERROR(SUMPRODUCT(('ANALYSE - ERP =&gt; SOUS-SEGMENT'!$B$8:$B$154=$B10)*'ANALYSE - ERP =&gt; SOUS-SEGMENT'!$Q$8:$Q$154*'ANALYSE - ERP =&gt; SOUS-SEGMENT'!$BG$8:$BG$154*'ANALYSE - ERP =&gt; SOUS-SEGMENT'!$CD$8:$CD$154)/SUMPRODUCT(('ANALYSE - ERP =&gt; SOUS-SEGMENT'!$B$8:$B$154=$B10)*'ANALYSE - ERP =&gt; SOUS-SEGMENT'!$Q$8:$Q$154*'ANALYSE - ERP =&gt; SOUS-SEGMENT'!$BG$8:$BG$154),"")</f>
        <v>0.5400782734739894</v>
      </c>
      <c r="CB10" s="578">
        <f>IFERROR(SUMPRODUCT(('ANALYSE - ERP =&gt; SOUS-SEGMENT'!$B$8:$B$154=$B10)*'ANALYSE - ERP =&gt; SOUS-SEGMENT'!$Q$8:$Q$154*'ANALYSE - ERP =&gt; SOUS-SEGMENT'!$BG$8:$BG$154*'ANALYSE - ERP =&gt; SOUS-SEGMENT'!$CE$8:$CE$154)/SUMPRODUCT(('ANALYSE - ERP =&gt; SOUS-SEGMENT'!$B$8:$B$154=$B10)*'ANALYSE - ERP =&gt; SOUS-SEGMENT'!$Q$8:$Q$154*'ANALYSE - ERP =&gt; SOUS-SEGMENT'!$BG$8:$BG$154),"")</f>
        <v>0.15484258334675471</v>
      </c>
      <c r="CC10" s="579">
        <f>IFERROR(SUMPRODUCT(('ANALYSE - ERP =&gt; SOUS-SEGMENT'!$B$8:$B$154=$B10)*'ANALYSE - ERP =&gt; SOUS-SEGMENT'!$Q$8:$Q$154*'ANALYSE - ERP =&gt; SOUS-SEGMENT'!$BG$8:$BG$154*'ANALYSE - ERP =&gt; SOUS-SEGMENT'!$CF$8:$CF$154)/SUMPRODUCT(('ANALYSE - ERP =&gt; SOUS-SEGMENT'!$B$8:$B$154=$B10)*'ANALYSE - ERP =&gt; SOUS-SEGMENT'!$Q$8:$Q$154*'ANALYSE - ERP =&gt; SOUS-SEGMENT'!$BG$8:$BG$154),"")</f>
        <v>0.21836811080689322</v>
      </c>
      <c r="CD10" s="577">
        <f>IFERROR(SUMPRODUCT(('ANALYSE - ERP =&gt; SOUS-SEGMENT'!$B$8:$B$154=$B10)*'ANALYSE - ERP =&gt; SOUS-SEGMENT'!$Q$8:$Q$154*'ANALYSE - ERP =&gt; SOUS-SEGMENT'!$BL$8:$BL$154*'ANALYSE - ERP =&gt; SOUS-SEGMENT'!$CG$8:$CG$154)/SUMPRODUCT(('ANALYSE - ERP =&gt; SOUS-SEGMENT'!$B$8:$B$154=$B10)*'ANALYSE - ERP =&gt; SOUS-SEGMENT'!$Q$8:$Q$154*'ANALYSE - ERP =&gt; SOUS-SEGMENT'!$BL$8:$BL$154),"")</f>
        <v>6.6585530935106191E-2</v>
      </c>
      <c r="CE10" s="578">
        <f>IFERROR(SUMPRODUCT(('ANALYSE - ERP =&gt; SOUS-SEGMENT'!$B$8:$B$154=$B10)*'ANALYSE - ERP =&gt; SOUS-SEGMENT'!$Q$8:$Q$154*'ANALYSE - ERP =&gt; SOUS-SEGMENT'!$BL$8:$BL$154*'ANALYSE - ERP =&gt; SOUS-SEGMENT'!$CH$8:$CH$154)/SUMPRODUCT(('ANALYSE - ERP =&gt; SOUS-SEGMENT'!$B$8:$B$154=$B10)*'ANALYSE - ERP =&gt; SOUS-SEGMENT'!$Q$8:$Q$154*'ANALYSE - ERP =&gt; SOUS-SEGMENT'!$BL$8:$BL$154),"")</f>
        <v>0.53982756548526467</v>
      </c>
      <c r="CF10" s="578">
        <f>IFERROR(SUMPRODUCT(('ANALYSE - ERP =&gt; SOUS-SEGMENT'!$B$8:$B$154=$B10)*'ANALYSE - ERP =&gt; SOUS-SEGMENT'!$Q$8:$Q$154*'ANALYSE - ERP =&gt; SOUS-SEGMENT'!$BL$8:$BL$154*'ANALYSE - ERP =&gt; SOUS-SEGMENT'!$CI$8:$CI$154)/SUMPRODUCT(('ANALYSE - ERP =&gt; SOUS-SEGMENT'!$B$8:$B$154=$B10)*'ANALYSE - ERP =&gt; SOUS-SEGMENT'!$Q$8:$Q$154*'ANALYSE - ERP =&gt; SOUS-SEGMENT'!$BL$8:$BL$154),"")</f>
        <v>0.18524274301184776</v>
      </c>
      <c r="CG10" s="579">
        <f>IFERROR(SUMPRODUCT(('ANALYSE - ERP =&gt; SOUS-SEGMENT'!$B$8:$B$154=$B10)*'ANALYSE - ERP =&gt; SOUS-SEGMENT'!$Q$8:$Q$154*'ANALYSE - ERP =&gt; SOUS-SEGMENT'!$BL$8:$BL$154*'ANALYSE - ERP =&gt; SOUS-SEGMENT'!$CJ$8:$CJ$154)/SUMPRODUCT(('ANALYSE - ERP =&gt; SOUS-SEGMENT'!$B$8:$B$154=$B10)*'ANALYSE - ERP =&gt; SOUS-SEGMENT'!$Q$8:$Q$154*'ANALYSE - ERP =&gt; SOUS-SEGMENT'!$BL$8:$BL$154),"")</f>
        <v>0.20834416056778143</v>
      </c>
      <c r="CH10" s="586">
        <f>IFERROR(SUMPRODUCT(('ANALYSE - ERP =&gt; SOUS-SEGMENT'!$B$8:$B$154=$B10)*'ANALYSE - ERP =&gt; SOUS-SEGMENT'!$Q$8:$Q$154*'ANALYSE - ERP =&gt; SOUS-SEGMENT'!$BH$8:$BH$154*'ANALYSE - ERP =&gt; SOUS-SEGMENT'!$CK$8:$CK$154)/SUMPRODUCT(('ANALYSE - ERP =&gt; SOUS-SEGMENT'!$B$8:$B$154=$B10)*'ANALYSE - ERP =&gt; SOUS-SEGMENT'!$Q$8:$Q$154*'ANALYSE - ERP =&gt; SOUS-SEGMENT'!$BH$8:$BH$154),"")</f>
        <v>0.45703736457127059</v>
      </c>
      <c r="CI10" s="587">
        <f>IFERROR(SUMPRODUCT(('ANALYSE - ERP =&gt; SOUS-SEGMENT'!$B$8:$B$154=$B10)*'ANALYSE - ERP =&gt; SOUS-SEGMENT'!$Q$8:$Q$154*'ANALYSE - ERP =&gt; SOUS-SEGMENT'!$BH$8:$BH$154*'ANALYSE - ERP =&gt; SOUS-SEGMENT'!$CL$8:$CL$154)/SUMPRODUCT(('ANALYSE - ERP =&gt; SOUS-SEGMENT'!$B$8:$B$154=$B10)*'ANALYSE - ERP =&gt; SOUS-SEGMENT'!$Q$8:$Q$154*'ANALYSE - ERP =&gt; SOUS-SEGMENT'!$BH$8:$BH$154),"")</f>
        <v>0.39861609974087742</v>
      </c>
      <c r="CJ10" s="588">
        <f>IFERROR(SUMPRODUCT(('ANALYSE - ERP =&gt; SOUS-SEGMENT'!$B$8:$B$154=$B10)*'ANALYSE - ERP =&gt; SOUS-SEGMENT'!$Q$8:$Q$154*'ANALYSE - ERP =&gt; SOUS-SEGMENT'!$BH$8:$BH$154*'ANALYSE - ERP =&gt; SOUS-SEGMENT'!$CM$8:$CM$154)/SUMPRODUCT(('ANALYSE - ERP =&gt; SOUS-SEGMENT'!$B$8:$B$154=$B10)*'ANALYSE - ERP =&gt; SOUS-SEGMENT'!$Q$8:$Q$154*'ANALYSE - ERP =&gt; SOUS-SEGMENT'!$BH$8:$BH$154),"")</f>
        <v>0.14434653568785213</v>
      </c>
      <c r="CK10" s="586">
        <f>IFERROR(SUMPRODUCT(('ANALYSE - ERP =&gt; SOUS-SEGMENT'!$B$8:$B$154=$B10)*'ANALYSE - ERP =&gt; SOUS-SEGMENT'!$Q$8:$Q$154*'ANALYSE - ERP =&gt; SOUS-SEGMENT'!$BM$8:$BM$154*'ANALYSE - ERP =&gt; SOUS-SEGMENT'!$CN$8:$CN$154)/SUMPRODUCT(('ANALYSE - ERP =&gt; SOUS-SEGMENT'!$B$8:$B$154=$B10)*'ANALYSE - ERP =&gt; SOUS-SEGMENT'!$Q$8:$Q$154*'ANALYSE - ERP =&gt; SOUS-SEGMENT'!$BM$8:$BM$154),"")</f>
        <v>0.36656282627872333</v>
      </c>
      <c r="CL10" s="587">
        <f>IFERROR(SUMPRODUCT(('ANALYSE - ERP =&gt; SOUS-SEGMENT'!$B$8:$B$154=$B10)*'ANALYSE - ERP =&gt; SOUS-SEGMENT'!$Q$8:$Q$154*'ANALYSE - ERP =&gt; SOUS-SEGMENT'!$BM$8:$BM$154*'ANALYSE - ERP =&gt; SOUS-SEGMENT'!$CO$8:$CO$154)/SUMPRODUCT(('ANALYSE - ERP =&gt; SOUS-SEGMENT'!$B$8:$B$154=$B10)*'ANALYSE - ERP =&gt; SOUS-SEGMENT'!$Q$8:$Q$154*'ANALYSE - ERP =&gt; SOUS-SEGMENT'!$BM$8:$BM$154),"")</f>
        <v>0.43918531908432279</v>
      </c>
      <c r="CM10" s="588">
        <f>IFERROR(SUMPRODUCT(('ANALYSE - ERP =&gt; SOUS-SEGMENT'!$B$8:$B$154=$B10)*'ANALYSE - ERP =&gt; SOUS-SEGMENT'!$Q$8:$Q$154*'ANALYSE - ERP =&gt; SOUS-SEGMENT'!$BM$8:$BM$154*'ANALYSE - ERP =&gt; SOUS-SEGMENT'!$CP$8:$CP$154)/SUMPRODUCT(('ANALYSE - ERP =&gt; SOUS-SEGMENT'!$B$8:$B$154=$B10)*'ANALYSE - ERP =&gt; SOUS-SEGMENT'!$Q$8:$Q$154*'ANALYSE - ERP =&gt; SOUS-SEGMENT'!$BM$8:$BM$154),"")</f>
        <v>0.19425185463695388</v>
      </c>
      <c r="CN10" s="657"/>
      <c r="CO10" s="877">
        <f>IFERROR(SUMPRODUCT(('ANALYSE - ERP =&gt; SOUS-SEGMENT'!$B$8:$B$154=$B10)*'ANALYSE - ERP =&gt; SOUS-SEGMENT'!$DH$8:$DH$154*'ANALYSE - ERP =&gt; SOUS-SEGMENT'!$CR$8:$CR$154)/SUMPRODUCT(('ANALYSE - ERP =&gt; SOUS-SEGMENT'!$B$8:$B$154=$B10)*'ANALYSE - ERP =&gt; SOUS-SEGMENT'!$DH$8:$DH$154),"")</f>
        <v>12.372957370059156</v>
      </c>
      <c r="CP10" s="878">
        <f>IFERROR(SUMPRODUCT(('ANALYSE - ERP =&gt; SOUS-SEGMENT'!$B$8:$B$154=$B10)*'ANALYSE - ERP =&gt; SOUS-SEGMENT'!$DI$8:$DI$154*'ANALYSE - ERP =&gt; SOUS-SEGMENT'!$CS$8:$CS$154)/SUMPRODUCT(('ANALYSE - ERP =&gt; SOUS-SEGMENT'!$B$8:$B$154=$B10)*'ANALYSE - ERP =&gt; SOUS-SEGMENT'!$DI$8:$DI$154),"")</f>
        <v>12.996887426957697</v>
      </c>
      <c r="CQ10" s="878">
        <f>IFERROR(SUMPRODUCT(('ANALYSE - ERP =&gt; SOUS-SEGMENT'!$B$8:$B$154=$B10)*'ANALYSE - ERP =&gt; SOUS-SEGMENT'!$DJ$8:$DJ$154*'ANALYSE - ERP =&gt; SOUS-SEGMENT'!$CT$8:$CT$154)/SUMPRODUCT(('ANALYSE - ERP =&gt; SOUS-SEGMENT'!$B$8:$B$154=$B10)*'ANALYSE - ERP =&gt; SOUS-SEGMENT'!$DJ$8:$DJ$154),"")</f>
        <v>9.6130205291804778</v>
      </c>
      <c r="CR10" s="879">
        <f>IFERROR(SUMPRODUCT(('ANALYSE - ERP =&gt; SOUS-SEGMENT'!$B$8:$B$154=$B10)*'ANALYSE - ERP =&gt; SOUS-SEGMENT'!$DK$8:$DK$154*'ANALYSE - ERP =&gt; SOUS-SEGMENT'!$CU$8:$CU$154)/SUMPRODUCT(('ANALYSE - ERP =&gt; SOUS-SEGMENT'!$B$8:$B$154=$B10)*'ANALYSE - ERP =&gt; SOUS-SEGMENT'!$DK$8:$DK$154),"")</f>
        <v>11.452109381067018</v>
      </c>
      <c r="CS10" s="877">
        <f>IFERROR(SUMPRODUCT(('ANALYSE - ERP =&gt; SOUS-SEGMENT'!$B$8:$B$154=$B10)*'ANALYSE - ERP =&gt; SOUS-SEGMENT'!$DS$8:$DS$154*'ANALYSE - ERP =&gt; SOUS-SEGMENT'!$CV$8:$CV$154)/SUMPRODUCT(('ANALYSE - ERP =&gt; SOUS-SEGMENT'!$B$8:$B$154=$B10)*'ANALYSE - ERP =&gt; SOUS-SEGMENT'!$DS$8:$DS$154),"")</f>
        <v>11.99416486478481</v>
      </c>
      <c r="CT10" s="878">
        <f>IFERROR(SUMPRODUCT(('ANALYSE - ERP =&gt; SOUS-SEGMENT'!$B$8:$B$154=$B10)*'ANALYSE - ERP =&gt; SOUS-SEGMENT'!$DT$8:$DT$154*'ANALYSE - ERP =&gt; SOUS-SEGMENT'!$CW$8:$CW$154)/SUMPRODUCT(('ANALYSE - ERP =&gt; SOUS-SEGMENT'!$B$8:$B$154=$B10)*'ANALYSE - ERP =&gt; SOUS-SEGMENT'!$DT$8:$DT$154),"")</f>
        <v>11.513680904887908</v>
      </c>
      <c r="CU10" s="879">
        <f>IFERROR(SUMPRODUCT(('ANALYSE - ERP =&gt; SOUS-SEGMENT'!$B$8:$B$154=$B10)*'ANALYSE - ERP =&gt; SOUS-SEGMENT'!$DU$8:$DU$154*'ANALYSE - ERP =&gt; SOUS-SEGMENT'!$CX$8:$CX$154)/SUMPRODUCT(('ANALYSE - ERP =&gt; SOUS-SEGMENT'!$B$8:$B$154=$B10)*'ANALYSE - ERP =&gt; SOUS-SEGMENT'!$DU$8:$DU$154),"")</f>
        <v>8.5225120492140771</v>
      </c>
      <c r="CV10" s="877">
        <f>IFERROR(SUMPRODUCT(('ANALYSE - ERP =&gt; SOUS-SEGMENT'!$B$8:$B$154=$B10)*'ANALYSE - ERP =&gt; SOUS-SEGMENT'!$EB$8:$EB$154*'ANALYSE - ERP =&gt; SOUS-SEGMENT'!$CY$8:$CY$154)/SUMPRODUCT(('ANALYSE - ERP =&gt; SOUS-SEGMENT'!$B$8:$B$154=$B10)*'ANALYSE - ERP =&gt; SOUS-SEGMENT'!$EB$8:$EB$154),"")</f>
        <v>10.547660723997231</v>
      </c>
      <c r="CW10" s="878">
        <f>IFERROR(SUMPRODUCT(('ANALYSE - ERP =&gt; SOUS-SEGMENT'!$B$8:$B$154=$B10)*'ANALYSE - ERP =&gt; SOUS-SEGMENT'!$EC$8:$EC$154*'ANALYSE - ERP =&gt; SOUS-SEGMENT'!$CZ$8:$CZ$154)/SUMPRODUCT(('ANALYSE - ERP =&gt; SOUS-SEGMENT'!$B$8:$B$154=$B10)*'ANALYSE - ERP =&gt; SOUS-SEGMENT'!$EC$8:$EC$154),"")</f>
        <v>12.502003670363868</v>
      </c>
      <c r="CX10" s="878">
        <f>IFERROR(SUMPRODUCT(('ANALYSE - ERP =&gt; SOUS-SEGMENT'!$B$8:$B$154=$B10)*'ANALYSE - ERP =&gt; SOUS-SEGMENT'!$ED$8:$ED$154*'ANALYSE - ERP =&gt; SOUS-SEGMENT'!$DA$8:$DA$154)/SUMPRODUCT(('ANALYSE - ERP =&gt; SOUS-SEGMENT'!$B$8:$B$154=$B10)*'ANALYSE - ERP =&gt; SOUS-SEGMENT'!$ED$8:$ED$154),"")</f>
        <v>8.6248439803889578</v>
      </c>
      <c r="CY10" s="880">
        <f>IFERROR(SUMPRODUCT(('ANALYSE - ERP =&gt; SOUS-SEGMENT'!$B$8:$B$154=$B10)*'ANALYSE - ERP =&gt; SOUS-SEGMENT'!$EE$8:$EE$154*'ANALYSE - ERP =&gt; SOUS-SEGMENT'!$DB$8:$DB$154)/SUMPRODUCT(('ANALYSE - ERP =&gt; SOUS-SEGMENT'!$B$8:$B$154=$B10)*'ANALYSE - ERP =&gt; SOUS-SEGMENT'!$EE$8:$EE$154),"")</f>
        <v>10.440032935855033</v>
      </c>
      <c r="CZ10" s="881">
        <f>IFERROR(SUMPRODUCT(('ANALYSE - ERP =&gt; SOUS-SEGMENT'!$B$8:$B$154=$B10)*'ANALYSE - ERP =&gt; SOUS-SEGMENT'!$EM$8:$EM$154*'ANALYSE - ERP =&gt; SOUS-SEGMENT'!$DC$8:$DC$154)/SUMPRODUCT(('ANALYSE - ERP =&gt; SOUS-SEGMENT'!$B$8:$B$154=$B10)*'ANALYSE - ERP =&gt; SOUS-SEGMENT'!$EM$8:$EM$154),"")</f>
        <v>12.49948044618364</v>
      </c>
      <c r="DA10" s="878">
        <f>IFERROR(SUMPRODUCT(('ANALYSE - ERP =&gt; SOUS-SEGMENT'!$B$8:$B$154=$B10)*'ANALYSE - ERP =&gt; SOUS-SEGMENT'!$EN$8:$EN$154*'ANALYSE - ERP =&gt; SOUS-SEGMENT'!$DD$8:$DD$154)/SUMPRODUCT(('ANALYSE - ERP =&gt; SOUS-SEGMENT'!$B$8:$B$154=$B10)*'ANALYSE - ERP =&gt; SOUS-SEGMENT'!$EN$8:$EN$154),"")</f>
        <v>12.997563675734098</v>
      </c>
      <c r="DB10" s="880">
        <f>IFERROR(SUMPRODUCT(('ANALYSE - ERP =&gt; SOUS-SEGMENT'!$B$8:$B$154=$B10)*'ANALYSE - ERP =&gt; SOUS-SEGMENT'!$EO$8:$EO$154*'ANALYSE - ERP =&gt; SOUS-SEGMENT'!$DE$8:$DE$154)/SUMPRODUCT(('ANALYSE - ERP =&gt; SOUS-SEGMENT'!$B$8:$B$154=$B10)*'ANALYSE - ERP =&gt; SOUS-SEGMENT'!$EO$8:$EO$154),"")</f>
        <v>9.465738105905265</v>
      </c>
      <c r="DC10" s="287" t="s">
        <v>7559</v>
      </c>
      <c r="DD10" s="657"/>
      <c r="DE10" s="308">
        <f t="shared" si="2"/>
        <v>89082.46</v>
      </c>
      <c r="DF10" s="308">
        <f t="shared" si="3"/>
        <v>254451.86</v>
      </c>
      <c r="DG10" s="308">
        <f t="shared" si="4"/>
        <v>46166.48</v>
      </c>
      <c r="DH10" s="308">
        <f t="shared" si="5"/>
        <v>20603.2</v>
      </c>
      <c r="DI10" s="287" t="s">
        <v>7559</v>
      </c>
      <c r="DJ10" s="308">
        <f t="shared" si="6"/>
        <v>80201.94</v>
      </c>
      <c r="DK10" s="308">
        <f t="shared" si="7"/>
        <v>260347.96</v>
      </c>
      <c r="DL10" s="308">
        <f t="shared" si="8"/>
        <v>59861.520000000004</v>
      </c>
      <c r="DM10" s="308">
        <f t="shared" si="9"/>
        <v>17839.580000000002</v>
      </c>
      <c r="DN10" s="289" t="s">
        <v>7559</v>
      </c>
      <c r="DO10" s="657"/>
      <c r="DP10" s="308">
        <f t="shared" si="10"/>
        <v>4220.125</v>
      </c>
      <c r="DQ10" s="308">
        <f t="shared" si="11"/>
        <v>5158.6499999999996</v>
      </c>
      <c r="DR10" s="308">
        <f t="shared" si="12"/>
        <v>1032.2249999999999</v>
      </c>
      <c r="DS10" s="289" t="s">
        <v>7559</v>
      </c>
      <c r="DT10" s="308">
        <f t="shared" si="13"/>
        <v>3801.2749999999996</v>
      </c>
      <c r="DU10" s="308">
        <f t="shared" si="14"/>
        <v>5563.0650000000005</v>
      </c>
      <c r="DV10" s="308">
        <f t="shared" si="15"/>
        <v>1375.66</v>
      </c>
      <c r="DW10" s="289" t="s">
        <v>7559</v>
      </c>
      <c r="DX10" s="657"/>
      <c r="DY10" s="308">
        <f t="shared" si="16"/>
        <v>6729.86</v>
      </c>
      <c r="DZ10" s="308">
        <f t="shared" si="17"/>
        <v>41916.825000000004</v>
      </c>
      <c r="EA10" s="308">
        <f t="shared" si="18"/>
        <v>12017.72</v>
      </c>
      <c r="EB10" s="308">
        <f t="shared" si="19"/>
        <v>16948.095000000001</v>
      </c>
      <c r="EC10" s="289" t="s">
        <v>7559</v>
      </c>
      <c r="ED10" s="308">
        <f t="shared" si="20"/>
        <v>5263.2200000000012</v>
      </c>
      <c r="EE10" s="308">
        <f t="shared" si="21"/>
        <v>42670.400000000001</v>
      </c>
      <c r="EF10" s="308">
        <f t="shared" si="22"/>
        <v>14642.42</v>
      </c>
      <c r="EG10" s="308">
        <f t="shared" si="23"/>
        <v>16468.46</v>
      </c>
      <c r="EH10" s="309" t="s">
        <v>7559</v>
      </c>
      <c r="EI10" s="290"/>
      <c r="EJ10" s="308">
        <f t="shared" si="24"/>
        <v>155301.52500000002</v>
      </c>
      <c r="EK10" s="310">
        <f t="shared" si="25"/>
        <v>135449.95000000001</v>
      </c>
      <c r="EL10" s="310">
        <f t="shared" si="26"/>
        <v>49049.025000000001</v>
      </c>
      <c r="EM10" s="289" t="s">
        <v>7559</v>
      </c>
      <c r="EN10" s="308">
        <f t="shared" si="27"/>
        <v>126740.92999999998</v>
      </c>
      <c r="EO10" s="310">
        <f t="shared" si="28"/>
        <v>151850.52000000002</v>
      </c>
      <c r="EP10" s="310">
        <f t="shared" si="29"/>
        <v>67163.549999999988</v>
      </c>
      <c r="EQ10" s="289" t="s">
        <v>7559</v>
      </c>
      <c r="ER10" s="657"/>
      <c r="ES10" s="728">
        <f t="shared" si="30"/>
        <v>0.80824216586421305</v>
      </c>
      <c r="ET10" s="728">
        <f t="shared" si="31"/>
        <v>0.19175783413578698</v>
      </c>
      <c r="EU10" s="311">
        <f t="shared" si="32"/>
        <v>329455.63900802197</v>
      </c>
      <c r="EV10" s="311">
        <f t="shared" si="33"/>
        <v>266279.93922802201</v>
      </c>
      <c r="EW10" s="311">
        <f t="shared" si="34"/>
        <v>63175.699779999988</v>
      </c>
      <c r="EX10" s="311">
        <f t="shared" si="35"/>
        <v>158340.89964688607</v>
      </c>
      <c r="EY10" s="311">
        <f>SUMPRODUCT(('ANALYSE - ERP =&gt; SOUS-SEGMENT'!$B$8:$B$154=$B10)*'ANALYSE - ERP =&gt; SOUS-SEGMENT'!$Q$8:$Q$154*'ANALYSE - ERP =&gt; SOUS-SEGMENT'!$FB$8:$FB$154)</f>
        <v>127387.24768688607</v>
      </c>
      <c r="EZ10" s="311">
        <f>SUMPRODUCT(('ANALYSE - ERP =&gt; SOUS-SEGMENT'!$B$8:$B$154=$B10)*'ANALYSE - ERP =&gt; SOUS-SEGMENT'!$Q$8:$Q$154*'ANALYSE - ERP =&gt; SOUS-SEGMENT'!$FC$8:$FC$154)</f>
        <v>30953.651959999996</v>
      </c>
      <c r="FA10" s="311">
        <f t="shared" si="36"/>
        <v>4337.2628637433181</v>
      </c>
      <c r="FB10" s="311">
        <f>SUMPRODUCT(('ANALYSE - ERP =&gt; SOUS-SEGMENT'!$B$8:$B$154=$B10)*'ANALYSE - ERP =&gt; SOUS-SEGMENT'!$Q$8:$Q$154*'ANALYSE - ERP =&gt; SOUS-SEGMENT'!$FE$8:$FE$154)</f>
        <v>3453.9769637433178</v>
      </c>
      <c r="FC10" s="311">
        <f>SUMPRODUCT(('ANALYSE - ERP =&gt; SOUS-SEGMENT'!$B$8:$B$154=$B10)*'ANALYSE - ERP =&gt; SOUS-SEGMENT'!$Q$8:$Q$154*'ANALYSE - ERP =&gt; SOUS-SEGMENT'!$FF$8:$FF$154)</f>
        <v>883.28590000000008</v>
      </c>
      <c r="FD10" s="311">
        <f t="shared" si="37"/>
        <v>33103.240051275774</v>
      </c>
      <c r="FE10" s="311">
        <f>SUMPRODUCT(('ANALYSE - ERP =&gt; SOUS-SEGMENT'!$B$8:$B$154=$B10)*'ANALYSE - ERP =&gt; SOUS-SEGMENT'!$Q$8:$Q$154*'ANALYSE - ERP =&gt; SOUS-SEGMENT'!$FH$8:$FH$154)</f>
        <v>27180.776121275776</v>
      </c>
      <c r="FF10" s="311">
        <f>SUMPRODUCT(('ANALYSE - ERP =&gt; SOUS-SEGMENT'!$B$8:$B$154=$B10)*'ANALYSE - ERP =&gt; SOUS-SEGMENT'!$Q$8:$Q$154*'ANALYSE - ERP =&gt; SOUS-SEGMENT'!$FI$8:$FI$154)</f>
        <v>5922.4639299999981</v>
      </c>
      <c r="FG10" s="311">
        <f t="shared" si="38"/>
        <v>133674.23644611679</v>
      </c>
      <c r="FH10" s="311">
        <f>SUMPRODUCT(('ANALYSE - ERP =&gt; SOUS-SEGMENT'!$B$8:$B$154=$B10)*'ANALYSE - ERP =&gt; SOUS-SEGMENT'!$Q$8:$Q$154*'ANALYSE - ERP =&gt; SOUS-SEGMENT'!$FK$8:$FK$154)</f>
        <v>108257.9384561168</v>
      </c>
      <c r="FI10" s="311">
        <f>SUMPRODUCT(('ANALYSE - ERP =&gt; SOUS-SEGMENT'!$B$8:$B$154=$B10)*'ANALYSE - ERP =&gt; SOUS-SEGMENT'!$Q$8:$Q$154*'ANALYSE - ERP =&gt; SOUS-SEGMENT'!$FL$8:$FL$154)</f>
        <v>25416.297989999999</v>
      </c>
      <c r="FJ10" s="657"/>
      <c r="FK10" s="293" t="s">
        <v>2649</v>
      </c>
      <c r="FL10" s="728">
        <f>IFERROR(SUMPRODUCT(('ANALYSE - ERP =&gt; SOUS-SEGMENT'!$B$8:$B$154=$B10)*'ANALYSE - ERP =&gt; SOUS-SEGMENT'!$Q$8:$Q$154*'ANALYSE - ERP =&gt; SOUS-SEGMENT'!$AF$8:$AF$154*'ANALYSE - ERP =&gt; SOUS-SEGMENT'!$FO$8:$FO$154)/SUMPRODUCT(('ANALYSE - ERP =&gt; SOUS-SEGMENT'!$B$8:$B$154=$B10)*'ANALYSE - ERP =&gt; SOUS-SEGMENT'!$Q$8:$Q$154*'ANALYSE - ERP =&gt; SOUS-SEGMENT'!$AF$8:$AF$154),"")</f>
        <v>5.4625075866911108E-2</v>
      </c>
      <c r="FM10" s="729">
        <f>IFERROR(SUMPRODUCT(('ANALYSE - ERP =&gt; SOUS-SEGMENT'!$B$8:$B$154=$B10)*'ANALYSE - ERP =&gt; SOUS-SEGMENT'!$Q$8:$Q$154*'ANALYSE - ERP =&gt; SOUS-SEGMENT'!$AF$8:$AF$154*'ANALYSE - ERP =&gt; SOUS-SEGMENT'!$FP$8:$FP$154)/SUMPRODUCT(('ANALYSE - ERP =&gt; SOUS-SEGMENT'!$B$8:$B$154=$B10)*'ANALYSE - ERP =&gt; SOUS-SEGMENT'!$Q$8:$Q$154*'ANALYSE - ERP =&gt; SOUS-SEGMENT'!$AF$8:$AF$154),"")</f>
        <v>0.80049464406911874</v>
      </c>
      <c r="FN10" s="294" t="s">
        <v>6780</v>
      </c>
      <c r="FO10" s="657"/>
      <c r="FP10" s="865">
        <f>IFERROR(SUMPRODUCT(('ANALYSE - ERP =&gt; SOUS-SEGMENT'!$B$8:$B$154=$B10)*'ANALYSE - ERP =&gt; SOUS-SEGMENT'!$Q$8:$Q$154*'ANALYSE - ERP =&gt; SOUS-SEGMENT'!$EX$8:$EX$154*'ANALYSE - ERP =&gt; SOUS-SEGMENT'!$FS$8:$FS$154)/SUMPRODUCT(('ANALYSE - ERP =&gt; SOUS-SEGMENT'!$B$8:$B$154=$B10)*'ANALYSE - ERP =&gt; SOUS-SEGMENT'!$Q$8:$Q$154*'ANALYSE - ERP =&gt; SOUS-SEGMENT'!$EX$8:$EX$154),"")</f>
        <v>3.0315405601664827</v>
      </c>
      <c r="FQ10" s="312">
        <f>RANK($FP10,$FP$8:$FP$143,0)+COUNTIF($FP$8:$FP10,$FP10)-1</f>
        <v>7</v>
      </c>
      <c r="FR10" s="865">
        <f>IFERROR(SUMPRODUCT(('ANALYSE - ERP =&gt; SOUS-SEGMENT'!$B$8:$B$154=$B10)*'ANALYSE - ERP =&gt; SOUS-SEGMENT'!$Q$8:$Q$154*'ANALYSE - ERP =&gt; SOUS-SEGMENT'!$EY$8:$EY$154*'ANALYSE - ERP =&gt; SOUS-SEGMENT'!$FU$8:$FU$154)/SUMPRODUCT(('ANALYSE - ERP =&gt; SOUS-SEGMENT'!$B$8:$B$154=$B10)*'ANALYSE - ERP =&gt; SOUS-SEGMENT'!$Q$8:$Q$154*'ANALYSE - ERP =&gt; SOUS-SEGMENT'!$EY$8:$EY$154),"")-0.1</f>
        <v>3.6586903984106347</v>
      </c>
      <c r="FS10" s="312" t="e">
        <f>RANK($FR10,$FR$8:$FR$143,0)+COUNTIF($FR$8:$FR10,$FR10)-1</f>
        <v>#VALUE!</v>
      </c>
      <c r="FT10" s="865">
        <f>IFERROR(SUMPRODUCT(('ANALYSE - ERP =&gt; SOUS-SEGMENT'!$B$8:$B$154=$B10)*'ANALYSE - ERP =&gt; SOUS-SEGMENT'!$Q$8:$Q$154*'ANALYSE - ERP =&gt; SOUS-SEGMENT'!$EZ$8:$EZ$154*'ANALYSE - ERP =&gt; SOUS-SEGMENT'!$FW$8:$FW$154)/SUMPRODUCT(('ANALYSE - ERP =&gt; SOUS-SEGMENT'!$B$8:$B$154=$B10)*'ANALYSE - ERP =&gt; SOUS-SEGMENT'!$Q$8:$Q$154*'ANALYSE - ERP =&gt; SOUS-SEGMENT'!$EZ$8:$EZ$154),"")-0.1</f>
        <v>1.8910896281361296</v>
      </c>
      <c r="FU10" s="312" t="e">
        <f>RANK($FT10,$FT$8:$FT$143,0)+COUNTIF($FT$8:$FT10,$FT10)-1</f>
        <v>#VALUE!</v>
      </c>
      <c r="FV10" s="657"/>
      <c r="FW10" s="296" t="s">
        <v>7559</v>
      </c>
      <c r="FX10" s="296" t="s">
        <v>7559</v>
      </c>
      <c r="FY10" s="296" t="s">
        <v>7559</v>
      </c>
      <c r="FZ10" s="296" t="s">
        <v>7559</v>
      </c>
      <c r="GA10" s="296" t="s">
        <v>7559</v>
      </c>
      <c r="GB10" s="296" t="s">
        <v>7559</v>
      </c>
      <c r="GC10" s="296" t="str">
        <f t="shared" si="39"/>
        <v>https://solidarites.gouv.fr/le-service-public-de-la-petite-enfance-garantir-un-accueil-de-qualite-tous-les-enfants-et-leurs-familles
https://solidarites.gouv.fr/outils-et-ressources-destination-des-autorites-organisatrices-de-laccueil-du-jeune-enfant
https://solidarites.gouv.fr/stephanie-rist-annonce-une-revalorisation-du-financement-des-creches-par-les-caf-de-2-en-2025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D10" s="657"/>
      <c r="GE10" s="311">
        <f>SUMPRODUCT(('ANALYSE - ERP =&gt; SOUS-SEGMENT'!$B$8:$B$154=$B10)*'ANALYSE - ERP =&gt; SOUS-SEGMENT'!$Q$8:$Q$154*'ANALYSE - ERP =&gt; SOUS-SEGMENT'!$GH$8:$GH$154)</f>
        <v>33075.270658178197</v>
      </c>
      <c r="GF10" s="311">
        <f>SUMPRODUCT(('ANALYSE - ERP =&gt; SOUS-SEGMENT'!$B$8:$B$154=$B10)*'ANALYSE - ERP =&gt; SOUS-SEGMENT'!$Q$8:$Q$154*'ANALYSE - ERP =&gt; SOUS-SEGMENT'!$GI$8:$GI$154)</f>
        <v>27266.891870178206</v>
      </c>
      <c r="GG10" s="311">
        <f>SUMPRODUCT(('ANALYSE - ERP =&gt; SOUS-SEGMENT'!$B$8:$B$154=$B10)*'ANALYSE - ERP =&gt; SOUS-SEGMENT'!$Q$8:$Q$154*'ANALYSE - ERP =&gt; SOUS-SEGMENT'!$GJ$8:$GJ$154)</f>
        <v>5808.3787879999991</v>
      </c>
      <c r="GH10" s="311">
        <f>SUMPRODUCT(('ANALYSE - ERP =&gt; SOUS-SEGMENT'!$B$8:$B$154=$B10)*'ANALYSE - ERP =&gt; SOUS-SEGMENT'!$Q$8:$Q$154*'ANALYSE - ERP =&gt; SOUS-SEGMENT'!$GK$8:$GK$154)</f>
        <v>93507.716823276933</v>
      </c>
      <c r="GI10" s="311">
        <f>SUMPRODUCT(('ANALYSE - ERP =&gt; SOUS-SEGMENT'!$B$8:$B$154=$B10)*'ANALYSE - ERP =&gt; SOUS-SEGMENT'!$Q$8:$Q$154*'ANALYSE - ERP =&gt; SOUS-SEGMENT'!$GL$8:$GL$154)</f>
        <v>74349.829577676923</v>
      </c>
      <c r="GJ10" s="311">
        <f>SUMPRODUCT(('ANALYSE - ERP =&gt; SOUS-SEGMENT'!$B$8:$B$154=$B10)*'ANALYSE - ERP =&gt; SOUS-SEGMENT'!$Q$8:$Q$154*'ANALYSE - ERP =&gt; SOUS-SEGMENT'!$GM$8:$GM$154)</f>
        <v>19157.887245600003</v>
      </c>
      <c r="GK10" s="311">
        <f>SUMPRODUCT(('ANALYSE - ERP =&gt; SOUS-SEGMENT'!$B$8:$B$154=$B10)*'ANALYSE - ERP =&gt; SOUS-SEGMENT'!$Q$8:$Q$154*'ANALYSE - ERP =&gt; SOUS-SEGMENT'!$GN$8:$GN$154)</f>
        <v>23518.829516706664</v>
      </c>
      <c r="GL10" s="311">
        <f>SUMPRODUCT(('ANALYSE - ERP =&gt; SOUS-SEGMENT'!$B$8:$B$154=$B10)*'ANALYSE - ERP =&gt; SOUS-SEGMENT'!$Q$8:$Q$154*'ANALYSE - ERP =&gt; SOUS-SEGMENT'!$GO$8:$GO$154)</f>
        <v>18836.827681106664</v>
      </c>
      <c r="GM10" s="311">
        <f>SUMPRODUCT(('ANALYSE - ERP =&gt; SOUS-SEGMENT'!$B$8:$B$154=$B10)*'ANALYSE - ERP =&gt; SOUS-SEGMENT'!$Q$8:$Q$154*'ANALYSE - ERP =&gt; SOUS-SEGMENT'!$GP$8:$GP$154)</f>
        <v>4682.001835600001</v>
      </c>
      <c r="GN10" s="311">
        <f>SUMPRODUCT(('ANALYSE - ERP =&gt; SOUS-SEGMENT'!$B$8:$B$154=$B10)*'ANALYSE - ERP =&gt; SOUS-SEGMENT'!$Q$8:$Q$154*'ANALYSE - ERP =&gt; SOUS-SEGMENT'!$GQ$8:$GQ$154)</f>
        <v>8239.0826487242412</v>
      </c>
      <c r="GO10" s="311">
        <f>SUMPRODUCT(('ANALYSE - ERP =&gt; SOUS-SEGMENT'!$B$8:$B$154=$B10)*'ANALYSE - ERP =&gt; SOUS-SEGMENT'!$Q$8:$Q$154*'ANALYSE - ERP =&gt; SOUS-SEGMENT'!$GR$8:$GR$154)</f>
        <v>6933.6985579242419</v>
      </c>
      <c r="GP10" s="311">
        <f>SUMPRODUCT(('ANALYSE - ERP =&gt; SOUS-SEGMENT'!$B$8:$B$154=$B10)*'ANALYSE - ERP =&gt; SOUS-SEGMENT'!$Q$8:$Q$154*'ANALYSE - ERP =&gt; SOUS-SEGMENT'!$GS$8:$GS$154)</f>
        <v>1305.3840908</v>
      </c>
      <c r="GQ10" s="311">
        <f>SUMPRODUCT(('ANALYSE - ERP =&gt; SOUS-SEGMENT'!$B$8:$B$154=$B10)*'ANALYSE - ERP =&gt; SOUS-SEGMENT'!$Q$8:$Q$154*'ANALYSE - ERP =&gt; SOUS-SEGMENT'!$GT$8:$GT$154)</f>
        <v>1624.8027570513987</v>
      </c>
      <c r="GR10" s="311">
        <f>SUMPRODUCT(('ANALYSE - ERP =&gt; SOUS-SEGMENT'!$B$8:$B$154=$B10)*'ANALYSE - ERP =&gt; SOUS-SEGMENT'!$Q$8:$Q$154*'ANALYSE - ERP =&gt; SOUS-SEGMENT'!$GU$8:$GU$154)</f>
        <v>1307.0719410513987</v>
      </c>
      <c r="GS10" s="311">
        <f>SUMPRODUCT(('ANALYSE - ERP =&gt; SOUS-SEGMENT'!$B$8:$B$154=$B10)*'ANALYSE - ERP =&gt; SOUS-SEGMENT'!$Q$8:$Q$154*'ANALYSE - ERP =&gt; SOUS-SEGMENT'!$GV$8:$GV$154)</f>
        <v>317.73081600000006</v>
      </c>
      <c r="GT10" s="311">
        <f>SUMPRODUCT(('ANALYSE - ERP =&gt; SOUS-SEGMENT'!$B$8:$B$154=$B10)*'ANALYSE - ERP =&gt; SOUS-SEGMENT'!$Q$8:$Q$154*'ANALYSE - ERP =&gt; SOUS-SEGMENT'!$GW$8:$GW$154)</f>
        <v>2136.1520133946974</v>
      </c>
      <c r="GU10" s="311">
        <f>SUMPRODUCT(('ANALYSE - ERP =&gt; SOUS-SEGMENT'!$B$8:$B$154=$B10)*'ANALYSE - ERP =&gt; SOUS-SEGMENT'!$Q$8:$Q$154*'ANALYSE - ERP =&gt; SOUS-SEGMENT'!$GX$8:$GX$154)</f>
        <v>1683.5745371946969</v>
      </c>
      <c r="GV10" s="311">
        <f>SUMPRODUCT(('ANALYSE - ERP =&gt; SOUS-SEGMENT'!$B$8:$B$154=$B10)*'ANALYSE - ERP =&gt; SOUS-SEGMENT'!$Q$8:$Q$154*'ANALYSE - ERP =&gt; SOUS-SEGMENT'!$GY$8:$GY$154)</f>
        <v>452.57747620000004</v>
      </c>
      <c r="GW10" s="311">
        <f>SUMPRODUCT(('ANALYSE - ERP =&gt; SOUS-SEGMENT'!$B$8:$B$154=$B10)*'ANALYSE - ERP =&gt; SOUS-SEGMENT'!$Q$8:$Q$154*'ANALYSE - ERP =&gt; SOUS-SEGMENT'!$GZ$8:$GZ$154)</f>
        <v>576.30809329722217</v>
      </c>
      <c r="GX10" s="311">
        <f>SUMPRODUCT(('ANALYSE - ERP =&gt; SOUS-SEGMENT'!$B$8:$B$154=$B10)*'ANALYSE - ERP =&gt; SOUS-SEGMENT'!$Q$8:$Q$154*'ANALYSE - ERP =&gt; SOUS-SEGMENT'!$HA$8:$HA$154)</f>
        <v>463.33048549722224</v>
      </c>
      <c r="GY10" s="311">
        <f>SUMPRODUCT(('ANALYSE - ERP =&gt; SOUS-SEGMENT'!$B$8:$B$154=$B10)*'ANALYSE - ERP =&gt; SOUS-SEGMENT'!$Q$8:$Q$154*'ANALYSE - ERP =&gt; SOUS-SEGMENT'!$HB$8:$HB$154)</f>
        <v>112.9776078</v>
      </c>
      <c r="GZ10" s="311">
        <f>SUMPRODUCT(('ANALYSE - ERP =&gt; SOUS-SEGMENT'!$B$8:$B$154=$B10)*'ANALYSE - ERP =&gt; SOUS-SEGMENT'!$Q$8:$Q$154*'ANALYSE - ERP =&gt; SOUS-SEGMENT'!$HC$8:$HC$154)</f>
        <v>2902.3155291272728</v>
      </c>
      <c r="HA10" s="311">
        <f>SUMPRODUCT(('ANALYSE - ERP =&gt; SOUS-SEGMENT'!$B$8:$B$154=$B10)*'ANALYSE - ERP =&gt; SOUS-SEGMENT'!$Q$8:$Q$154*'ANALYSE - ERP =&gt; SOUS-SEGMENT'!$HD$8:$HD$154)</f>
        <v>2509.2867221272727</v>
      </c>
      <c r="HB10" s="311">
        <f>SUMPRODUCT(('ANALYSE - ERP =&gt; SOUS-SEGMENT'!$B$8:$B$154=$B10)*'ANALYSE - ERP =&gt; SOUS-SEGMENT'!$Q$8:$Q$154*'ANALYSE - ERP =&gt; SOUS-SEGMENT'!$HE$8:$HE$154)</f>
        <v>393.02880700000003</v>
      </c>
      <c r="HC10" s="311">
        <f>SUMPRODUCT(('ANALYSE - ERP =&gt; SOUS-SEGMENT'!$B$8:$B$154=$B10)*'ANALYSE - ERP =&gt; SOUS-SEGMENT'!$Q$8:$Q$154*'ANALYSE - ERP =&gt; SOUS-SEGMENT'!$HF$8:$HF$154)</f>
        <v>16043.16516609674</v>
      </c>
      <c r="HD10" s="311">
        <f>SUMPRODUCT(('ANALYSE - ERP =&gt; SOUS-SEGMENT'!$B$8:$B$154=$B10)*'ANALYSE - ERP =&gt; SOUS-SEGMENT'!$Q$8:$Q$154*'ANALYSE - ERP =&gt; SOUS-SEGMENT'!$HG$8:$HG$154)</f>
        <v>12869.150260596738</v>
      </c>
      <c r="HE10" s="311">
        <f>SUMPRODUCT(('ANALYSE - ERP =&gt; SOUS-SEGMENT'!$B$8:$B$154=$B10)*'ANALYSE - ERP =&gt; SOUS-SEGMENT'!$Q$8:$Q$154*'ANALYSE - ERP =&gt; SOUS-SEGMENT'!$HH$8:$HH$154)</f>
        <v>3174.0149054999997</v>
      </c>
      <c r="HF10" s="311">
        <f>SUMPRODUCT(('ANALYSE - ERP =&gt; SOUS-SEGMENT'!$B$8:$B$154=$B10)*'ANALYSE - ERP =&gt; SOUS-SEGMENT'!$Q$8:$Q$154*'ANALYSE - ERP =&gt; SOUS-SEGMENT'!$HI$8:$HI$154)</f>
        <v>6637.5627556222234</v>
      </c>
      <c r="HG10" s="311">
        <f>SUMPRODUCT(('ANALYSE - ERP =&gt; SOUS-SEGMENT'!$B$8:$B$154=$B10)*'ANALYSE - ERP =&gt; SOUS-SEGMENT'!$Q$8:$Q$154*'ANALYSE - ERP =&gt; SOUS-SEGMENT'!$HJ$8:$HJ$154)</f>
        <v>5485.081407722223</v>
      </c>
      <c r="HH10" s="311">
        <f>SUMPRODUCT(('ANALYSE - ERP =&gt; SOUS-SEGMENT'!$B$8:$B$154=$B10)*'ANALYSE - ERP =&gt; SOUS-SEGMENT'!$Q$8:$Q$154*'ANALYSE - ERP =&gt; SOUS-SEGMENT'!$HK$8:$HK$154)</f>
        <v>1152.4813478999999</v>
      </c>
      <c r="HI10" s="311">
        <f>SUMPRODUCT(('ANALYSE - ERP =&gt; SOUS-SEGMENT'!$B$8:$B$154=$B10)*'ANALYSE - ERP =&gt; SOUS-SEGMENT'!$Q$8:$Q$154*'ANALYSE - ERP =&gt; SOUS-SEGMENT'!$HL$8:$HL$154)</f>
        <v>7520.1966004295464</v>
      </c>
      <c r="HJ10" s="311">
        <f>SUMPRODUCT(('ANALYSE - ERP =&gt; SOUS-SEGMENT'!$B$8:$B$154=$B10)*'ANALYSE - ERP =&gt; SOUS-SEGMENT'!$Q$8:$Q$154*'ANALYSE - ERP =&gt; SOUS-SEGMENT'!$HM$8:$HM$154)</f>
        <v>6317.2577308295458</v>
      </c>
      <c r="HK10" s="311">
        <f>SUMPRODUCT(('ANALYSE - ERP =&gt; SOUS-SEGMENT'!$B$8:$B$154=$B10)*'ANALYSE - ERP =&gt; SOUS-SEGMENT'!$Q$8:$Q$154*'ANALYSE - ERP =&gt; SOUS-SEGMENT'!$HN$8:$HN$154)</f>
        <v>1202.9388696000001</v>
      </c>
      <c r="HL10" s="311">
        <f>SUMPRODUCT(('ANALYSE - ERP =&gt; SOUS-SEGMENT'!$B$8:$B$154=$B10)*'ANALYSE - ERP =&gt; SOUS-SEGMENT'!$Q$8:$Q$154*'ANALYSE - ERP =&gt; SOUS-SEGMENT'!$HO$8:$HO$154)</f>
        <v>57444.088233374583</v>
      </c>
      <c r="HM10" s="311">
        <f>SUMPRODUCT(('ANALYSE - ERP =&gt; SOUS-SEGMENT'!$B$8:$B$154=$B10)*'ANALYSE - ERP =&gt; SOUS-SEGMENT'!$Q$8:$Q$154*'ANALYSE - ERP =&gt; SOUS-SEGMENT'!$HP$8:$HP$154)</f>
        <v>48079.908972074591</v>
      </c>
      <c r="HN10" s="311">
        <f>SUMPRODUCT(('ANALYSE - ERP =&gt; SOUS-SEGMENT'!$B$8:$B$154=$B10)*'ANALYSE - ERP =&gt; SOUS-SEGMENT'!$Q$8:$Q$154*'ANALYSE - ERP =&gt; SOUS-SEGMENT'!$HQ$8:$HQ$154)</f>
        <v>9364.179261299998</v>
      </c>
      <c r="HO10" s="311">
        <f>SUMPRODUCT(('ANALYSE - ERP =&gt; SOUS-SEGMENT'!$B$8:$B$154=$B10)*'ANALYSE - ERP =&gt; SOUS-SEGMENT'!$Q$8:$Q$154*'ANALYSE - ERP =&gt; SOUS-SEGMENT'!$HR$8:$HR$154)</f>
        <v>50994.764207175525</v>
      </c>
      <c r="HP10" s="311">
        <f>SUMPRODUCT(('ANALYSE - ERP =&gt; SOUS-SEGMENT'!$B$8:$B$154=$B10)*'ANALYSE - ERP =&gt; SOUS-SEGMENT'!$Q$8:$Q$154*'ANALYSE - ERP =&gt; SOUS-SEGMENT'!$HS$8:$HS$154)</f>
        <v>39844.385620475521</v>
      </c>
      <c r="HQ10" s="311">
        <f>SUMPRODUCT(('ANALYSE - ERP =&gt; SOUS-SEGMENT'!$B$8:$B$154=$B10)*'ANALYSE - ERP =&gt; SOUS-SEGMENT'!$Q$8:$Q$154*'ANALYSE - ERP =&gt; SOUS-SEGMENT'!$HT$8:$HT$154)</f>
        <v>11150.378586699999</v>
      </c>
      <c r="HR10" s="311">
        <f>SUMPRODUCT(('ANALYSE - ERP =&gt; SOUS-SEGMENT'!$B$8:$B$154=$B10)*'ANALYSE - ERP =&gt; SOUS-SEGMENT'!$Q$8:$Q$154*'ANALYSE - ERP =&gt; SOUS-SEGMENT'!$HU$8:$HU$154)</f>
        <v>25235.384005566666</v>
      </c>
      <c r="HS10" s="311">
        <f>SUMPRODUCT(('ANALYSE - ERP =&gt; SOUS-SEGMENT'!$B$8:$B$154=$B10)*'ANALYSE - ERP =&gt; SOUS-SEGMENT'!$Q$8:$Q$154*'ANALYSE - ERP =&gt; SOUS-SEGMENT'!$HV$8:$HV$154)</f>
        <v>20333.643863566667</v>
      </c>
      <c r="HT10" s="311">
        <f>SUMPRODUCT(('ANALYSE - ERP =&gt; SOUS-SEGMENT'!$B$8:$B$154=$B10)*'ANALYSE - ERP =&gt; SOUS-SEGMENT'!$Q$8:$Q$154*'ANALYSE - ERP =&gt; SOUS-SEGMENT'!$HW$8:$HW$154)</f>
        <v>4901.7401420000006</v>
      </c>
      <c r="HV10" s="313">
        <f t="shared" si="40"/>
        <v>836688.48399999994</v>
      </c>
      <c r="HW10" s="313">
        <f>SUMPRODUCT(('ANALYSE - ERP =&gt; SOUS-SEGMENT'!$B$8:$B$154=$B10)*'ANALYSE - ERP =&gt; SOUS-SEGMENT'!$Q$8:$Q$154*'ANALYSE - ERP =&gt; SOUS-SEGMENT'!$HZ$8:$HZ$154)</f>
        <v>22075.045099999999</v>
      </c>
      <c r="HX10" s="313">
        <f>SUMPRODUCT(('ANALYSE - ERP =&gt; SOUS-SEGMENT'!$B$8:$B$154=$B10)*'ANALYSE - ERP =&gt; SOUS-SEGMENT'!$Q$8:$Q$154*'ANALYSE - ERP =&gt; SOUS-SEGMENT'!$IA$8:$IA$154)</f>
        <v>294098.25630000001</v>
      </c>
      <c r="HY10" s="313">
        <f>SUMPRODUCT(('ANALYSE - ERP =&gt; SOUS-SEGMENT'!$B$8:$B$154=$B10)*'ANALYSE - ERP =&gt; SOUS-SEGMENT'!$Q$8:$Q$154*'ANALYSE - ERP =&gt; SOUS-SEGMENT'!$IB$8:$IB$154)</f>
        <v>409042.85500000004</v>
      </c>
      <c r="HZ10" s="313">
        <f>SUMPRODUCT(('ANALYSE - ERP =&gt; SOUS-SEGMENT'!$B$8:$B$154=$B10)*'ANALYSE - ERP =&gt; SOUS-SEGMENT'!$Q$8:$Q$154*'ANALYSE - ERP =&gt; SOUS-SEGMENT'!$IC$8:$IC$154)</f>
        <v>105323.64899999999</v>
      </c>
      <c r="IA10" s="313">
        <f>SUMPRODUCT(('ANALYSE - ERP =&gt; SOUS-SEGMENT'!$B$8:$B$154=$B10)*'ANALYSE - ERP =&gt; SOUS-SEGMENT'!$Q$8:$Q$154*'ANALYSE - ERP =&gt; SOUS-SEGMENT'!$ID$8:$ID$154)</f>
        <v>6148.6786000000002</v>
      </c>
      <c r="IB10" s="313">
        <f>SUMPRODUCT(('ANALYSE - ERP =&gt; SOUS-SEGMENT'!$B$8:$B$154=$B10)*'ANALYSE - ERP =&gt; SOUS-SEGMENT'!$Q$8:$Q$154*'ANALYSE - ERP =&gt; SOUS-SEGMENT'!$IE$8:$IE$154)</f>
        <v>265770.4448289189</v>
      </c>
      <c r="IC10" s="313">
        <f>SUMPRODUCT(('ANALYSE - ERP =&gt; SOUS-SEGMENT'!$B$8:$B$154=$B10)*'ANALYSE - ERP =&gt; SOUS-SEGMENT'!$Q$8:$Q$154*'ANALYSE - ERP =&gt; SOUS-SEGMENT'!$IF$8:$IF$154)</f>
        <v>2619.6530876279412</v>
      </c>
      <c r="ID10" s="313">
        <f>SUMPRODUCT(('ANALYSE - ERP =&gt; SOUS-SEGMENT'!$B$8:$B$154=$B10)*'ANALYSE - ERP =&gt; SOUS-SEGMENT'!$Q$8:$Q$154*'ANALYSE - ERP =&gt; SOUS-SEGMENT'!$IG$8:$IG$154)</f>
        <v>77148.68227005782</v>
      </c>
      <c r="IE10" s="313">
        <f>SUMPRODUCT(('ANALYSE - ERP =&gt; SOUS-SEGMENT'!$B$8:$B$154=$B10)*'ANALYSE - ERP =&gt; SOUS-SEGMENT'!$Q$8:$Q$154*'ANALYSE - ERP =&gt; SOUS-SEGMENT'!$IH$8:$IH$154)</f>
        <v>132075.13745404649</v>
      </c>
      <c r="IF10" s="313">
        <f>SUMPRODUCT(('ANALYSE - ERP =&gt; SOUS-SEGMENT'!$B$8:$B$154=$B10)*'ANALYSE - ERP =&gt; SOUS-SEGMENT'!$Q$8:$Q$154*'ANALYSE - ERP =&gt; SOUS-SEGMENT'!$II$8:$II$154)</f>
        <v>48542.91261444561</v>
      </c>
      <c r="IG10" s="313">
        <f>SUMPRODUCT(('ANALYSE - ERP =&gt; SOUS-SEGMENT'!$B$8:$B$154=$B10)*'ANALYSE - ERP =&gt; SOUS-SEGMENT'!$Q$8:$Q$154*'ANALYSE - ERP =&gt; SOUS-SEGMENT'!$IJ$8:$IJ$154)</f>
        <v>5384.0594027410789</v>
      </c>
      <c r="IH10" s="866"/>
      <c r="II10" s="314" t="s">
        <v>2589</v>
      </c>
      <c r="IJ10" s="299" t="s">
        <v>7559</v>
      </c>
      <c r="IK10" s="657"/>
      <c r="IL10" s="779">
        <f>IFERROR(SUMPRODUCT(('ANALYSE - ERP =&gt; SOUS-SEGMENT'!$B$8:$B$154=$B10)*'ANALYSE - ERP =&gt; SOUS-SEGMENT'!$Q$8:$Q$154*'ANALYSE - ERP =&gt; SOUS-SEGMENT'!$BE$8:$BE$154*'ANALYSE - ERP =&gt; SOUS-SEGMENT'!$IO$8:$IO$154)/SUMPRODUCT(('ANALYSE - ERP =&gt; SOUS-SEGMENT'!$B$8:$B$154=$B10)*'ANALYSE - ERP =&gt; SOUS-SEGMENT'!$Q$8:$Q$154*'ANALYSE - ERP =&gt; SOUS-SEGMENT'!$BE$8:$BE$154),0)</f>
        <v>2.0984681601934174E-2</v>
      </c>
      <c r="IM10" s="780">
        <f>IFERROR(SUMPRODUCT(('ANALYSE - ERP =&gt; SOUS-SEGMENT'!$B$8:$B$154=$B10)*'ANALYSE - ERP =&gt; SOUS-SEGMENT'!$Q$8:$Q$154*'ANALYSE - ERP =&gt; SOUS-SEGMENT'!$BE$8:$BE$154*'ANALYSE - ERP =&gt; SOUS-SEGMENT'!$IP$8:$IP$154)/SUMPRODUCT(('ANALYSE - ERP =&gt; SOUS-SEGMENT'!$B$8:$B$154=$B10)*'ANALYSE - ERP =&gt; SOUS-SEGMENT'!$Q$8:$Q$154*'ANALYSE - ERP =&gt; SOUS-SEGMENT'!$BE$8:$BE$154),0)</f>
        <v>0.32960758364529708</v>
      </c>
      <c r="IN10" s="780">
        <f>IFERROR(SUMPRODUCT(('ANALYSE - ERP =&gt; SOUS-SEGMENT'!$B$8:$B$154=$B10)*'ANALYSE - ERP =&gt; SOUS-SEGMENT'!$Q$8:$Q$154*'ANALYSE - ERP =&gt; SOUS-SEGMENT'!$BE$8:$BE$154*'ANALYSE - ERP =&gt; SOUS-SEGMENT'!$IQ$8:$IQ$154)/SUMPRODUCT(('ANALYSE - ERP =&gt; SOUS-SEGMENT'!$B$8:$B$154=$B10)*'ANALYSE - ERP =&gt; SOUS-SEGMENT'!$Q$8:$Q$154*'ANALYSE - ERP =&gt; SOUS-SEGMENT'!$BE$8:$BE$154),0)</f>
        <v>0.50035322980034314</v>
      </c>
      <c r="IO10" s="780">
        <f>IFERROR(SUMPRODUCT(('ANALYSE - ERP =&gt; SOUS-SEGMENT'!$B$8:$B$154=$B10)*'ANALYSE - ERP =&gt; SOUS-SEGMENT'!$Q$8:$Q$154*'ANALYSE - ERP =&gt; SOUS-SEGMENT'!$BE$8:$BE$154*'ANALYSE - ERP =&gt; SOUS-SEGMENT'!$IR$8:$IR$154)/SUMPRODUCT(('ANALYSE - ERP =&gt; SOUS-SEGMENT'!$B$8:$B$154=$B10)*'ANALYSE - ERP =&gt; SOUS-SEGMENT'!$Q$8:$Q$154*'ANALYSE - ERP =&gt; SOUS-SEGMENT'!$BE$8:$BE$154),0)</f>
        <v>0.13980706208079866</v>
      </c>
      <c r="IP10" s="781">
        <f>IFERROR(SUMPRODUCT(('ANALYSE - ERP =&gt; SOUS-SEGMENT'!$B$8:$B$154=$B10)*'ANALYSE - ERP =&gt; SOUS-SEGMENT'!$Q$8:$Q$154*'ANALYSE - ERP =&gt; SOUS-SEGMENT'!$BE$8:$BE$154*'ANALYSE - ERP =&gt; SOUS-SEGMENT'!$IS$8:$IS$154)/SUMPRODUCT(('ANALYSE - ERP =&gt; SOUS-SEGMENT'!$B$8:$B$154=$B10)*'ANALYSE - ERP =&gt; SOUS-SEGMENT'!$Q$8:$Q$154*'ANALYSE - ERP =&gt; SOUS-SEGMENT'!$BE$8:$BE$154),0)</f>
        <v>9.247442871626892E-3</v>
      </c>
      <c r="IQ10" s="780">
        <f>IFERROR(SUMPRODUCT(('ANALYSE - ERP =&gt; SOUS-SEGMENT'!$B$8:$B$154=$B10)*'ANALYSE - ERP =&gt; SOUS-SEGMENT'!$Q$8:$Q$154*'ANALYSE - ERP =&gt; SOUS-SEGMENT'!$FB$8:$FB$154*'ANALYSE - ERP =&gt; SOUS-SEGMENT'!$IT$8:$IT$154)/SUMPRODUCT(('ANALYSE - ERP =&gt; SOUS-SEGMENT'!$B$8:$B$154=$B10)*'ANALYSE - ERP =&gt; SOUS-SEGMENT'!$Q$8:$Q$154*'ANALYSE - ERP =&gt; SOUS-SEGMENT'!$FB$8:$FB$154),0)</f>
        <v>7.4996065174806901E-3</v>
      </c>
      <c r="IR10" s="780">
        <f>IFERROR(SUMPRODUCT(('ANALYSE - ERP =&gt; SOUS-SEGMENT'!$B$8:$B$154=$B10)*'ANALYSE - ERP =&gt; SOUS-SEGMENT'!$Q$8:$Q$154*'ANALYSE - ERP =&gt; SOUS-SEGMENT'!$FB$8:$FB$154*'ANALYSE - ERP =&gt; SOUS-SEGMENT'!$IU$8:$IU$154)/SUMPRODUCT(('ANALYSE - ERP =&gt; SOUS-SEGMENT'!$B$8:$B$154=$B10)*'ANALYSE - ERP =&gt; SOUS-SEGMENT'!$Q$8:$Q$154*'ANALYSE - ERP =&gt; SOUS-SEGMENT'!$FB$8:$FB$154),0)</f>
        <v>0.27002986719187</v>
      </c>
      <c r="IS10" s="780">
        <f>IFERROR(SUMPRODUCT(('ANALYSE - ERP =&gt; SOUS-SEGMENT'!$B$8:$B$154=$B10)*'ANALYSE - ERP =&gt; SOUS-SEGMENT'!$Q$8:$Q$154*'ANALYSE - ERP =&gt; SOUS-SEGMENT'!$FB$8:$FB$154*'ANALYSE - ERP =&gt; SOUS-SEGMENT'!$IV$8:$IV$154)/SUMPRODUCT(('ANALYSE - ERP =&gt; SOUS-SEGMENT'!$B$8:$B$154=$B10)*'ANALYSE - ERP =&gt; SOUS-SEGMENT'!$Q$8:$Q$154*'ANALYSE - ERP =&gt; SOUS-SEGMENT'!$FB$8:$FB$154),0)</f>
        <v>0.50012737029283538</v>
      </c>
      <c r="IT10" s="780">
        <f>IFERROR(SUMPRODUCT(('ANALYSE - ERP =&gt; SOUS-SEGMENT'!$B$8:$B$154=$B10)*'ANALYSE - ERP =&gt; SOUS-SEGMENT'!$Q$8:$Q$154*'ANALYSE - ERP =&gt; SOUS-SEGMENT'!$FB$8:$FB$154*'ANALYSE - ERP =&gt; SOUS-SEGMENT'!$IW$8:$IW$154)/SUMPRODUCT(('ANALYSE - ERP =&gt; SOUS-SEGMENT'!$B$8:$B$154=$B10)*'ANALYSE - ERP =&gt; SOUS-SEGMENT'!$Q$8:$Q$154*'ANALYSE - ERP =&gt; SOUS-SEGMENT'!$FB$8:$FB$154),0)</f>
        <v>0.19792528745851895</v>
      </c>
      <c r="IU10" s="780">
        <f>IFERROR(SUMPRODUCT(('ANALYSE - ERP =&gt; SOUS-SEGMENT'!$B$8:$B$154=$B10)*'ANALYSE - ERP =&gt; SOUS-SEGMENT'!$Q$8:$Q$154*'ANALYSE - ERP =&gt; SOUS-SEGMENT'!$FB$8:$FB$154*'ANALYSE - ERP =&gt; SOUS-SEGMENT'!$IX$8:$IX$154)/SUMPRODUCT(('ANALYSE - ERP =&gt; SOUS-SEGMENT'!$B$8:$B$154=$B10)*'ANALYSE - ERP =&gt; SOUS-SEGMENT'!$Q$8:$Q$154*'ANALYSE - ERP =&gt; SOUS-SEGMENT'!$FB$8:$FB$154),0)</f>
        <v>2.4417868539294726E-2</v>
      </c>
      <c r="IV10" s="782">
        <f>IFERROR(SUMPRODUCT(('ANALYSE - ERP =&gt; SOUS-SEGMENT'!$B$8:$B$154=$B10)*'ANALYSE - ERP =&gt; SOUS-SEGMENT'!$Q$8:$Q$154*'ANALYSE - ERP =&gt; SOUS-SEGMENT'!$BF$8:$BF$154*'ANALYSE - ERP =&gt; SOUS-SEGMENT'!$IY$8:$IY$154)/SUMPRODUCT(('ANALYSE - ERP =&gt; SOUS-SEGMENT'!$B$8:$B$154=$B10)*'ANALYSE - ERP =&gt; SOUS-SEGMENT'!$Q$8:$Q$154*'ANALYSE - ERP =&gt; SOUS-SEGMENT'!$BF$8:$BF$154),0)</f>
        <v>1.906229949092306E-2</v>
      </c>
      <c r="IW10" s="780">
        <f>IFERROR(SUMPRODUCT(('ANALYSE - ERP =&gt; SOUS-SEGMENT'!$B$8:$B$154=$B10)*'ANALYSE - ERP =&gt; SOUS-SEGMENT'!$Q$8:$Q$154*'ANALYSE - ERP =&gt; SOUS-SEGMENT'!$BF$8:$BF$154*'ANALYSE - ERP =&gt; SOUS-SEGMENT'!$IZ$8:$IZ$154)/SUMPRODUCT(('ANALYSE - ERP =&gt; SOUS-SEGMENT'!$B$8:$B$154=$B10)*'ANALYSE - ERP =&gt; SOUS-SEGMENT'!$Q$8:$Q$154*'ANALYSE - ERP =&gt; SOUS-SEGMENT'!$BF$8:$BF$154),0)</f>
        <v>0.2781331284218615</v>
      </c>
      <c r="IX10" s="780">
        <f>IFERROR(SUMPRODUCT(('ANALYSE - ERP =&gt; SOUS-SEGMENT'!$B$8:$B$154=$B10)*'ANALYSE - ERP =&gt; SOUS-SEGMENT'!$Q$8:$Q$154*'ANALYSE - ERP =&gt; SOUS-SEGMENT'!$BF$8:$BF$154*'ANALYSE - ERP =&gt; SOUS-SEGMENT'!$JA$8:$JA$154)/SUMPRODUCT(('ANALYSE - ERP =&gt; SOUS-SEGMENT'!$B$8:$B$154=$B10)*'ANALYSE - ERP =&gt; SOUS-SEGMENT'!$Q$8:$Q$154*'ANALYSE - ERP =&gt; SOUS-SEGMENT'!$BF$8:$BF$154),0)</f>
        <v>0.43099711362981463</v>
      </c>
      <c r="IY10" s="780">
        <f>IFERROR(SUMPRODUCT(('ANALYSE - ERP =&gt; SOUS-SEGMENT'!$B$8:$B$154=$B10)*'ANALYSE - ERP =&gt; SOUS-SEGMENT'!$Q$8:$Q$154*'ANALYSE - ERP =&gt; SOUS-SEGMENT'!$BF$8:$BF$154*'ANALYSE - ERP =&gt; SOUS-SEGMENT'!$JB$8:$JB$154)/SUMPRODUCT(('ANALYSE - ERP =&gt; SOUS-SEGMENT'!$B$8:$B$154=$B10)*'ANALYSE - ERP =&gt; SOUS-SEGMENT'!$Q$8:$Q$154*'ANALYSE - ERP =&gt; SOUS-SEGMENT'!$BF$8:$BF$154),0)</f>
        <v>0.13204116319277687</v>
      </c>
      <c r="IZ10" s="781">
        <f>IFERROR(SUMPRODUCT(('ANALYSE - ERP =&gt; SOUS-SEGMENT'!$B$8:$B$154=$B10)*'ANALYSE - ERP =&gt; SOUS-SEGMENT'!$Q$8:$Q$154*'ANALYSE - ERP =&gt; SOUS-SEGMENT'!$BF$8:$BF$154*'ANALYSE - ERP =&gt; SOUS-SEGMENT'!$JC$8:$JC$154)/SUMPRODUCT(('ANALYSE - ERP =&gt; SOUS-SEGMENT'!$B$8:$B$154=$B10)*'ANALYSE - ERP =&gt; SOUS-SEGMENT'!$Q$8:$Q$154*'ANALYSE - ERP =&gt; SOUS-SEGMENT'!$BF$8:$BF$154),0)</f>
        <v>1.0382374411679954E-2</v>
      </c>
      <c r="JA10" s="780">
        <f>IFERROR(SUMPRODUCT(('ANALYSE - ERP =&gt; SOUS-SEGMENT'!$B$8:$B$154=$B10)*'ANALYSE - ERP =&gt; SOUS-SEGMENT'!$Q$8:$Q$154*'ANALYSE - ERP =&gt; SOUS-SEGMENT'!$FE$8:$FE$154*'ANALYSE - ERP =&gt; SOUS-SEGMENT'!$JD$8:$JD$154)/SUMPRODUCT(('ANALYSE - ERP =&gt; SOUS-SEGMENT'!$B$8:$B$154=$B10)*'ANALYSE - ERP =&gt; SOUS-SEGMENT'!$Q$8:$Q$154*'ANALYSE - ERP =&gt; SOUS-SEGMENT'!$FE$8:$FE$154),0)</f>
        <v>9.2541243825454318E-3</v>
      </c>
      <c r="JB10" s="780">
        <f>IFERROR(SUMPRODUCT(('ANALYSE - ERP =&gt; SOUS-SEGMENT'!$B$8:$B$154=$B10)*'ANALYSE - ERP =&gt; SOUS-SEGMENT'!$Q$8:$Q$154*'ANALYSE - ERP =&gt; SOUS-SEGMENT'!$FE$8:$FE$154*'ANALYSE - ERP =&gt; SOUS-SEGMENT'!$JE$8:$JE$154)/SUMPRODUCT(('ANALYSE - ERP =&gt; SOUS-SEGMENT'!$B$8:$B$154=$B10)*'ANALYSE - ERP =&gt; SOUS-SEGMENT'!$Q$8:$Q$154*'ANALYSE - ERP =&gt; SOUS-SEGMENT'!$FE$8:$FE$154),0)</f>
        <v>0.23537789053174854</v>
      </c>
      <c r="JC10" s="780">
        <f>IFERROR(SUMPRODUCT(('ANALYSE - ERP =&gt; SOUS-SEGMENT'!$B$8:$B$154=$B10)*'ANALYSE - ERP =&gt; SOUS-SEGMENT'!$Q$8:$Q$154*'ANALYSE - ERP =&gt; SOUS-SEGMENT'!$FE$8:$FE$154*'ANALYSE - ERP =&gt; SOUS-SEGMENT'!$JF$8:$JF$154)/SUMPRODUCT(('ANALYSE - ERP =&gt; SOUS-SEGMENT'!$B$8:$B$154=$B10)*'ANALYSE - ERP =&gt; SOUS-SEGMENT'!$Q$8:$Q$154*'ANALYSE - ERP =&gt; SOUS-SEGMENT'!$FE$8:$FE$154),0)</f>
        <v>0.41755598254386878</v>
      </c>
      <c r="JD10" s="780">
        <f>IFERROR(SUMPRODUCT(('ANALYSE - ERP =&gt; SOUS-SEGMENT'!$B$8:$B$154=$B10)*'ANALYSE - ERP =&gt; SOUS-SEGMENT'!$Q$8:$Q$154*'ANALYSE - ERP =&gt; SOUS-SEGMENT'!$FE$8:$FE$154*'ANALYSE - ERP =&gt; SOUS-SEGMENT'!$JG$8:$JG$154)/SUMPRODUCT(('ANALYSE - ERP =&gt; SOUS-SEGMENT'!$B$8:$B$154=$B10)*'ANALYSE - ERP =&gt; SOUS-SEGMENT'!$Q$8:$Q$154*'ANALYSE - ERP =&gt; SOUS-SEGMENT'!$FE$8:$FE$154),0)</f>
        <v>0.18264937338256423</v>
      </c>
      <c r="JE10" s="780">
        <f>IFERROR(SUMPRODUCT(('ANALYSE - ERP =&gt; SOUS-SEGMENT'!$B$8:$B$154=$B10)*'ANALYSE - ERP =&gt; SOUS-SEGMENT'!$Q$8:$Q$154*'ANALYSE - ERP =&gt; SOUS-SEGMENT'!$FE$8:$FE$154*'ANALYSE - ERP =&gt; SOUS-SEGMENT'!$JH$8:$JH$154)/SUMPRODUCT(('ANALYSE - ERP =&gt; SOUS-SEGMENT'!$B$8:$B$154=$B10)*'ANALYSE - ERP =&gt; SOUS-SEGMENT'!$Q$8:$Q$154*'ANALYSE - ERP =&gt; SOUS-SEGMENT'!$FE$8:$FE$154),0)</f>
        <v>2.7759954656174275E-2</v>
      </c>
      <c r="JF10" s="782">
        <f>IFERROR(SUMPRODUCT(('ANALYSE - ERP =&gt; SOUS-SEGMENT'!$B$8:$B$154=$B10)*'ANALYSE - ERP =&gt; SOUS-SEGMENT'!$Q$8:$Q$154*'ANALYSE - ERP =&gt; SOUS-SEGMENT'!$BG$8:$BG$154*'ANALYSE - ERP =&gt; SOUS-SEGMENT'!$JI$8:$JI$154)/SUMPRODUCT(('ANALYSE - ERP =&gt; SOUS-SEGMENT'!$B$8:$B$154=$B10)*'ANALYSE - ERP =&gt; SOUS-SEGMENT'!$Q$8:$Q$154*'ANALYSE - ERP =&gt; SOUS-SEGMENT'!$BG$8:$BG$154),0)</f>
        <v>5.1515541955226278E-2</v>
      </c>
      <c r="JG10" s="780">
        <f>IFERROR(SUMPRODUCT(('ANALYSE - ERP =&gt; SOUS-SEGMENT'!$B$8:$B$154=$B10)*'ANALYSE - ERP =&gt; SOUS-SEGMENT'!$Q$8:$Q$154*'ANALYSE - ERP =&gt; SOUS-SEGMENT'!$BG$8:$BG$154*'ANALYSE - ERP =&gt; SOUS-SEGMENT'!$JJ$8:$JJ$154)/SUMPRODUCT(('ANALYSE - ERP =&gt; SOUS-SEGMENT'!$B$8:$B$154=$B10)*'ANALYSE - ERP =&gt; SOUS-SEGMENT'!$Q$8:$Q$154*'ANALYSE - ERP =&gt; SOUS-SEGMENT'!$BG$8:$BG$154),0)</f>
        <v>0.44686311612175872</v>
      </c>
      <c r="JH10" s="780">
        <f>IFERROR(SUMPRODUCT(('ANALYSE - ERP =&gt; SOUS-SEGMENT'!$B$8:$B$154=$B10)*'ANALYSE - ERP =&gt; SOUS-SEGMENT'!$Q$8:$Q$154*'ANALYSE - ERP =&gt; SOUS-SEGMENT'!$BG$8:$BG$154*'ANALYSE - ERP =&gt; SOUS-SEGMENT'!$JK$8:$JK$154)/SUMPRODUCT(('ANALYSE - ERP =&gt; SOUS-SEGMENT'!$B$8:$B$154=$B10)*'ANALYSE - ERP =&gt; SOUS-SEGMENT'!$Q$8:$Q$154*'ANALYSE - ERP =&gt; SOUS-SEGMENT'!$BG$8:$BG$154),0)</f>
        <v>0.41289419487840229</v>
      </c>
      <c r="JI10" s="780">
        <f>IFERROR(SUMPRODUCT(('ANALYSE - ERP =&gt; SOUS-SEGMENT'!$B$8:$B$154=$B10)*'ANALYSE - ERP =&gt; SOUS-SEGMENT'!$Q$8:$Q$154*'ANALYSE - ERP =&gt; SOUS-SEGMENT'!$BG$8:$BG$154*'ANALYSE - ERP =&gt; SOUS-SEGMENT'!$JL$8:$JL$154)/SUMPRODUCT(('ANALYSE - ERP =&gt; SOUS-SEGMENT'!$B$8:$B$154=$B10)*'ANALYSE - ERP =&gt; SOUS-SEGMENT'!$Q$8:$Q$154*'ANALYSE - ERP =&gt; SOUS-SEGMENT'!$BG$8:$BG$154),0)</f>
        <v>8.4216177806410053E-2</v>
      </c>
      <c r="JJ10" s="781">
        <f>IFERROR(SUMPRODUCT(('ANALYSE - ERP =&gt; SOUS-SEGMENT'!$B$8:$B$154=$B10)*'ANALYSE - ERP =&gt; SOUS-SEGMENT'!$Q$8:$Q$154*'ANALYSE - ERP =&gt; SOUS-SEGMENT'!$BG$8:$BG$154*'ANALYSE - ERP =&gt; SOUS-SEGMENT'!$JM$8:$JM$154)/SUMPRODUCT(('ANALYSE - ERP =&gt; SOUS-SEGMENT'!$B$8:$B$154=$B10)*'ANALYSE - ERP =&gt; SOUS-SEGMENT'!$Q$8:$Q$154*'ANALYSE - ERP =&gt; SOUS-SEGMENT'!$BG$8:$BG$154),0)</f>
        <v>3.3191509099693992E-3</v>
      </c>
      <c r="JK10" s="780">
        <f>IFERROR(SUMPRODUCT(('ANALYSE - ERP =&gt; SOUS-SEGMENT'!$B$8:$B$154=$B10)*'ANALYSE - ERP =&gt; SOUS-SEGMENT'!$Q$8:$Q$154*'ANALYSE - ERP =&gt; SOUS-SEGMENT'!$FH$8:$FH$154*'ANALYSE - ERP =&gt; SOUS-SEGMENT'!$JN$8:$JN$154)/SUMPRODUCT(('ANALYSE - ERP =&gt; SOUS-SEGMENT'!$B$8:$B$154=$B10)*'ANALYSE - ERP =&gt; SOUS-SEGMENT'!$Q$8:$Q$154*'ANALYSE - ERP =&gt; SOUS-SEGMENT'!$FH$8:$FH$154),0)</f>
        <v>2.4241799346409371E-2</v>
      </c>
      <c r="JL10" s="780">
        <f>IFERROR(SUMPRODUCT(('ANALYSE - ERP =&gt; SOUS-SEGMENT'!$B$8:$B$154=$B10)*'ANALYSE - ERP =&gt; SOUS-SEGMENT'!$Q$8:$Q$154*'ANALYSE - ERP =&gt; SOUS-SEGMENT'!$FH$8:$FH$154*'ANALYSE - ERP =&gt; SOUS-SEGMENT'!$JO$8:$JO$154)/SUMPRODUCT(('ANALYSE - ERP =&gt; SOUS-SEGMENT'!$B$8:$B$154=$B10)*'ANALYSE - ERP =&gt; SOUS-SEGMENT'!$Q$8:$Q$154*'ANALYSE - ERP =&gt; SOUS-SEGMENT'!$FH$8:$FH$154),0)</f>
        <v>0.38154770968488716</v>
      </c>
      <c r="JM10" s="780">
        <f>IFERROR(SUMPRODUCT(('ANALYSE - ERP =&gt; SOUS-SEGMENT'!$B$8:$B$154=$B10)*'ANALYSE - ERP =&gt; SOUS-SEGMENT'!$Q$8:$Q$154*'ANALYSE - ERP =&gt; SOUS-SEGMENT'!$FH$8:$FH$154*'ANALYSE - ERP =&gt; SOUS-SEGMENT'!$JP$8:$JP$154)/SUMPRODUCT(('ANALYSE - ERP =&gt; SOUS-SEGMENT'!$B$8:$B$154=$B10)*'ANALYSE - ERP =&gt; SOUS-SEGMENT'!$Q$8:$Q$154*'ANALYSE - ERP =&gt; SOUS-SEGMENT'!$FH$8:$FH$154),0)</f>
        <v>0.44686304654080611</v>
      </c>
      <c r="JN10" s="780">
        <f>IFERROR(SUMPRODUCT(('ANALYSE - ERP =&gt; SOUS-SEGMENT'!$B$8:$B$154=$B10)*'ANALYSE - ERP =&gt; SOUS-SEGMENT'!$Q$8:$Q$154*'ANALYSE - ERP =&gt; SOUS-SEGMENT'!$FH$8:$FH$154*'ANALYSE - ERP =&gt; SOUS-SEGMENT'!$JQ$8:$JQ$154)/SUMPRODUCT(('ANALYSE - ERP =&gt; SOUS-SEGMENT'!$B$8:$B$154=$B10)*'ANALYSE - ERP =&gt; SOUS-SEGMENT'!$Q$8:$Q$154*'ANALYSE - ERP =&gt; SOUS-SEGMENT'!$FH$8:$FH$154),0)</f>
        <v>0.13371202242783653</v>
      </c>
      <c r="JO10" s="780">
        <f>IFERROR(SUMPRODUCT(('ANALYSE - ERP =&gt; SOUS-SEGMENT'!$B$8:$B$154=$B10)*'ANALYSE - ERP =&gt; SOUS-SEGMENT'!$Q$8:$Q$154*'ANALYSE - ERP =&gt; SOUS-SEGMENT'!$FH$8:$FH$154*'ANALYSE - ERP =&gt; SOUS-SEGMENT'!$JR$8:$JR$154)/SUMPRODUCT(('ANALYSE - ERP =&gt; SOUS-SEGMENT'!$B$8:$B$154=$B10)*'ANALYSE - ERP =&gt; SOUS-SEGMENT'!$Q$8:$Q$154*'ANALYSE - ERP =&gt; SOUS-SEGMENT'!$FH$8:$FH$154),0)</f>
        <v>1.1080362647078144E-2</v>
      </c>
      <c r="JP10" s="782">
        <f>IFERROR(SUMPRODUCT(('ANALYSE - ERP =&gt; SOUS-SEGMENT'!$B$8:$B$154=$B10)*'ANALYSE - ERP =&gt; SOUS-SEGMENT'!$Q$8:$Q$154*'ANALYSE - ERP =&gt; SOUS-SEGMENT'!$BH$8:$BH$154*'ANALYSE - ERP =&gt; SOUS-SEGMENT'!$JS$8:$JS$154)/SUMPRODUCT(('ANALYSE - ERP =&gt; SOUS-SEGMENT'!$B$8:$B$154=$B10)*'ANALYSE - ERP =&gt; SOUS-SEGMENT'!$Q$8:$Q$154*'ANALYSE - ERP =&gt; SOUS-SEGMENT'!$BH$8:$BH$154),0)</f>
        <v>2.7275529906518672E-2</v>
      </c>
      <c r="JQ10" s="780">
        <f>IFERROR(SUMPRODUCT(('ANALYSE - ERP =&gt; SOUS-SEGMENT'!$B$8:$B$154=$B10)*'ANALYSE - ERP =&gt; SOUS-SEGMENT'!$Q$8:$Q$154*'ANALYSE - ERP =&gt; SOUS-SEGMENT'!$BH$8:$BH$154*'ANALYSE - ERP =&gt; SOUS-SEGMENT'!$JT$8:$JT$154)/SUMPRODUCT(('ANALYSE - ERP =&gt; SOUS-SEGMENT'!$B$8:$B$154=$B10)*'ANALYSE - ERP =&gt; SOUS-SEGMENT'!$Q$8:$Q$154*'ANALYSE - ERP =&gt; SOUS-SEGMENT'!$BH$8:$BH$154),0)</f>
        <v>0.35691865874240919</v>
      </c>
      <c r="JR10" s="780">
        <f>IFERROR(SUMPRODUCT(('ANALYSE - ERP =&gt; SOUS-SEGMENT'!$B$8:$B$154=$B10)*'ANALYSE - ERP =&gt; SOUS-SEGMENT'!$Q$8:$Q$154*'ANALYSE - ERP =&gt; SOUS-SEGMENT'!$BH$8:$BH$154*'ANALYSE - ERP =&gt; SOUS-SEGMENT'!$JU$8:$JU$154)/SUMPRODUCT(('ANALYSE - ERP =&gt; SOUS-SEGMENT'!$B$8:$B$154=$B10)*'ANALYSE - ERP =&gt; SOUS-SEGMENT'!$Q$8:$Q$154*'ANALYSE - ERP =&gt; SOUS-SEGMENT'!$BH$8:$BH$154),0)</f>
        <v>0.49209186493251195</v>
      </c>
      <c r="JS10" s="780">
        <f>IFERROR(SUMPRODUCT(('ANALYSE - ERP =&gt; SOUS-SEGMENT'!$B$8:$B$154=$B10)*'ANALYSE - ERP =&gt; SOUS-SEGMENT'!$Q$8:$Q$154*'ANALYSE - ERP =&gt; SOUS-SEGMENT'!$BH$8:$BH$154*'ANALYSE - ERP =&gt; SOUS-SEGMENT'!$JV$8:$JV$154)/SUMPRODUCT(('ANALYSE - ERP =&gt; SOUS-SEGMENT'!$B$8:$B$154=$B10)*'ANALYSE - ERP =&gt; SOUS-SEGMENT'!$Q$8:$Q$154*'ANALYSE - ERP =&gt; SOUS-SEGMENT'!$BH$8:$BH$154),0)</f>
        <v>0.11786134378848764</v>
      </c>
      <c r="JT10" s="781">
        <f>IFERROR(SUMPRODUCT(('ANALYSE - ERP =&gt; SOUS-SEGMENT'!$B$8:$B$154=$B10)*'ANALYSE - ERP =&gt; SOUS-SEGMENT'!$Q$8:$Q$154*'ANALYSE - ERP =&gt; SOUS-SEGMENT'!$BH$8:$BH$154*'ANALYSE - ERP =&gt; SOUS-SEGMENT'!$JW$8:$JW$154)/SUMPRODUCT(('ANALYSE - ERP =&gt; SOUS-SEGMENT'!$B$8:$B$154=$B10)*'ANALYSE - ERP =&gt; SOUS-SEGMENT'!$Q$8:$Q$154*'ANALYSE - ERP =&gt; SOUS-SEGMENT'!$BH$8:$BH$154),0)</f>
        <v>5.852602630072647E-3</v>
      </c>
      <c r="JU10" s="782">
        <f>IFERROR(SUMPRODUCT(('ANALYSE - ERP =&gt; SOUS-SEGMENT'!$B$8:$B$154=$B10)*'ANALYSE - ERP =&gt; SOUS-SEGMENT'!$Q$8:$Q$154*'ANALYSE - ERP =&gt; SOUS-SEGMENT'!$FK$8:$FK$154*'ANALYSE - ERP =&gt; SOUS-SEGMENT'!$JX$8:$JX$154)/SUMPRODUCT(('ANALYSE - ERP =&gt; SOUS-SEGMENT'!$B$8:$B$154=$B10)*'ANALYSE - ERP =&gt; SOUS-SEGMENT'!$Q$8:$Q$154*'ANALYSE - ERP =&gt; SOUS-SEGMENT'!$FK$8:$FK$154),0)</f>
        <v>8.9917138203907277E-3</v>
      </c>
      <c r="JV10" s="780">
        <f>IFERROR(SUMPRODUCT(('ANALYSE - ERP =&gt; SOUS-SEGMENT'!$B$8:$B$154=$B10)*'ANALYSE - ERP =&gt; SOUS-SEGMENT'!$Q$8:$Q$154*'ANALYSE - ERP =&gt; SOUS-SEGMENT'!$FK$8:$FK$154*'ANALYSE - ERP =&gt; SOUS-SEGMENT'!$JY$8:$JY$154)/SUMPRODUCT(('ANALYSE - ERP =&gt; SOUS-SEGMENT'!$B$8:$B$154=$B10)*'ANALYSE - ERP =&gt; SOUS-SEGMENT'!$Q$8:$Q$154*'ANALYSE - ERP =&gt; SOUS-SEGMENT'!$FK$8:$FK$154),0)</f>
        <v>0.29158663519003075</v>
      </c>
      <c r="JW10" s="780">
        <f>IFERROR(SUMPRODUCT(('ANALYSE - ERP =&gt; SOUS-SEGMENT'!$B$8:$B$154=$B10)*'ANALYSE - ERP =&gt; SOUS-SEGMENT'!$Q$8:$Q$154*'ANALYSE - ERP =&gt; SOUS-SEGMENT'!$FK$8:$FK$154*'ANALYSE - ERP =&gt; SOUS-SEGMENT'!$JZ$8:$JZ$154)/SUMPRODUCT(('ANALYSE - ERP =&gt; SOUS-SEGMENT'!$B$8:$B$154=$B10)*'ANALYSE - ERP =&gt; SOUS-SEGMENT'!$Q$8:$Q$154*'ANALYSE - ERP =&gt; SOUS-SEGMENT'!$FK$8:$FK$154),0)</f>
        <v>0.50598575837549065</v>
      </c>
      <c r="JX10" s="780">
        <f>IFERROR(SUMPRODUCT(('ANALYSE - ERP =&gt; SOUS-SEGMENT'!$B$8:$B$154=$B10)*'ANALYSE - ERP =&gt; SOUS-SEGMENT'!$Q$8:$Q$154*'ANALYSE - ERP =&gt; SOUS-SEGMENT'!$FK$8:$FK$154*'ANALYSE - ERP =&gt; SOUS-SEGMENT'!$KA$8:$KA$154)/SUMPRODUCT(('ANALYSE - ERP =&gt; SOUS-SEGMENT'!$B$8:$B$154=$B10)*'ANALYSE - ERP =&gt; SOUS-SEGMENT'!$Q$8:$Q$154*'ANALYSE - ERP =&gt; SOUS-SEGMENT'!$FK$8:$FK$154),0)</f>
        <v>0.1761024825976851</v>
      </c>
      <c r="JY10" s="783">
        <f>IFERROR(SUMPRODUCT(('ANALYSE - ERP =&gt; SOUS-SEGMENT'!$B$8:$B$154=$B10)*'ANALYSE - ERP =&gt; SOUS-SEGMENT'!$Q$8:$Q$154*'ANALYSE - ERP =&gt; SOUS-SEGMENT'!$FK$8:$FK$154*'ANALYSE - ERP =&gt; SOUS-SEGMENT'!$KB$8:$KB$154)/SUMPRODUCT(('ANALYSE - ERP =&gt; SOUS-SEGMENT'!$B$8:$B$154=$B10)*'ANALYSE - ERP =&gt; SOUS-SEGMENT'!$Q$8:$Q$154*'ANALYSE - ERP =&gt; SOUS-SEGMENT'!$FK$8:$FK$154),0)</f>
        <v>1.7333410016402654E-2</v>
      </c>
      <c r="JZ10" s="657"/>
      <c r="KA10" s="314" t="s">
        <v>2591</v>
      </c>
      <c r="KB10" s="314" t="s">
        <v>2625</v>
      </c>
      <c r="KC10" s="866">
        <f>IFERROR(SUMPRODUCT(('ANALYSE - ERP =&gt; SOUS-SEGMENT'!$B$8:$B$154=$B10)*'ANALYSE - ERP =&gt; SOUS-SEGMENT'!$Q$8:$Q$154*'ANALYSE - ERP =&gt; SOUS-SEGMENT'!$EX$8:$EX$154*'ANALYSE - ERP =&gt; SOUS-SEGMENT'!$KF$8:$KF$154)/SUMPRODUCT(('ANALYSE - ERP =&gt; SOUS-SEGMENT'!$B$8:$B$154=$B10)*'ANALYSE - ERP =&gt; SOUS-SEGMENT'!$Q$8:$Q$154*'ANALYSE - ERP =&gt; SOUS-SEGMENT'!$EX$8:$EX$154),"")</f>
        <v>3.8740867117072484</v>
      </c>
      <c r="KD10" s="314" t="s">
        <v>2589</v>
      </c>
      <c r="KE10" s="315" t="s">
        <v>3686</v>
      </c>
      <c r="KF10" s="315" t="s">
        <v>7559</v>
      </c>
      <c r="KG10" s="315" t="s">
        <v>7559</v>
      </c>
    </row>
    <row r="11" spans="1:293" ht="120" customHeight="1">
      <c r="A11" s="265">
        <v>4</v>
      </c>
      <c r="B11" s="485" t="s">
        <v>2187</v>
      </c>
      <c r="C11" s="485" t="s">
        <v>7581</v>
      </c>
      <c r="D11" s="485" t="s">
        <v>7582</v>
      </c>
      <c r="E11" s="267" t="s">
        <v>7583</v>
      </c>
      <c r="F11" s="267" t="s">
        <v>7023</v>
      </c>
      <c r="G11" s="267" t="s">
        <v>300</v>
      </c>
      <c r="H11" s="267" t="s">
        <v>2109</v>
      </c>
      <c r="I11" s="645" t="s">
        <v>7584</v>
      </c>
      <c r="J11" s="645" t="s">
        <v>7585</v>
      </c>
      <c r="K11" s="269" t="s">
        <v>2097</v>
      </c>
      <c r="L11" s="269" t="s">
        <v>2109</v>
      </c>
      <c r="M11" s="269" t="s">
        <v>7026</v>
      </c>
      <c r="N11" s="269" t="s">
        <v>6742</v>
      </c>
      <c r="O11" s="269" t="s">
        <v>3170</v>
      </c>
      <c r="P11" s="268"/>
      <c r="Q11" s="270">
        <f>IF(SUMPRODUCT(('ANALYSE - ERP =&gt; SOUS-SEGMENT'!$B$8:$B$154=$B11)*'ANALYSE - ERP =&gt; SOUS-SEGMENT'!$Q$8:$Q$154)&gt;0,1,0)</f>
        <v>1</v>
      </c>
      <c r="R11" s="271">
        <f>IFERROR(SUMPRODUCT(('ANALYSE - ERP =&gt; SOUS-SEGMENT'!$B$8:$B$154=$B11)*'ANALYSE - ERP =&gt; SOUS-SEGMENT'!$Q$8:$Q$154*'ANALYSE - ERP =&gt; SOUS-SEGMENT'!$AG$8:$AG$154*'ANALYSE - ERP =&gt; SOUS-SEGMENT'!$R$8:$R$154)/SUMPRODUCT(('ANALYSE - ERP =&gt; SOUS-SEGMENT'!$B$8:$B$154=$B11)*'ANALYSE - ERP =&gt; SOUS-SEGMENT'!$Q$8:$Q$154*'ANALYSE - ERP =&gt; SOUS-SEGMENT'!$AG$8:$AG$154),"")</f>
        <v>408.48408030265375</v>
      </c>
      <c r="S11" s="272">
        <f>SUMPRODUCT(('ANALYSE - ERP =&gt; SOUS-SEGMENT'!$B$8:$B$154=$B11)*'ANALYSE - ERP =&gt; SOUS-SEGMENT'!$Q$8:$Q$154*'ANALYSE - ERP =&gt; SOUS-SEGMENT'!$S$8:$S$154)</f>
        <v>162842</v>
      </c>
      <c r="T11" s="272">
        <f>SUMPRODUCT(('ANALYSE - ERP =&gt; SOUS-SEGMENT'!$B$8:$B$154=$B11)*'ANALYSE - ERP =&gt; SOUS-SEGMENT'!$Q$8:$Q$154*'ANALYSE - ERP =&gt; SOUS-SEGMENT'!$T$8:$T$154)</f>
        <v>167985</v>
      </c>
      <c r="U11" s="272">
        <f>SUMPRODUCT(('ANALYSE - ERP =&gt; SOUS-SEGMENT'!$B$8:$B$154=$B11)*'ANALYSE - ERP =&gt; SOUS-SEGMENT'!$Q$8:$Q$154*'ANALYSE - ERP =&gt; SOUS-SEGMENT'!$U$8:$U$154)</f>
        <v>171960</v>
      </c>
      <c r="V11" s="272">
        <f>SUMPRODUCT(('ANALYSE - ERP =&gt; SOUS-SEGMENT'!$B$8:$B$154=$B11)*'ANALYSE - ERP =&gt; SOUS-SEGMENT'!$Q$8:$Q$154*'ANALYSE - ERP =&gt; SOUS-SEGMENT'!$V$8:$V$154)</f>
        <v>176952</v>
      </c>
      <c r="W11" s="272">
        <f>SUMPRODUCT(('ANALYSE - ERP =&gt; SOUS-SEGMENT'!$B$8:$B$154=$B11)*'ANALYSE - ERP =&gt; SOUS-SEGMENT'!$Q$8:$Q$154*'ANALYSE - ERP =&gt; SOUS-SEGMENT'!$W$8:$W$154)</f>
        <v>177636</v>
      </c>
      <c r="X11" s="272">
        <f>SUMPRODUCT(('ANALYSE - ERP =&gt; SOUS-SEGMENT'!$B$8:$B$154=$B11)*'ANALYSE - ERP =&gt; SOUS-SEGMENT'!$Q$8:$Q$154*'ANALYSE - ERP =&gt; SOUS-SEGMENT'!$X$8:$X$154)</f>
        <v>178459</v>
      </c>
      <c r="Y11" s="272">
        <f>SUMPRODUCT(('ANALYSE - ERP =&gt; SOUS-SEGMENT'!$B$8:$B$154=$B11)*'ANALYSE - ERP =&gt; SOUS-SEGMENT'!$Q$8:$Q$154*'ANALYSE - ERP =&gt; SOUS-SEGMENT'!$Y$8:$Y$154)</f>
        <v>179320</v>
      </c>
      <c r="Z11" s="272">
        <f>SUMPRODUCT(('ANALYSE - ERP =&gt; SOUS-SEGMENT'!$B$8:$B$154=$B11)*'ANALYSE - ERP =&gt; SOUS-SEGMENT'!$Q$8:$Q$154*'ANALYSE - ERP =&gt; SOUS-SEGMENT'!$Z$8:$Z$154)</f>
        <v>180122</v>
      </c>
      <c r="AA11" s="272">
        <f>SUMPRODUCT(('ANALYSE - ERP =&gt; SOUS-SEGMENT'!$B$8:$B$154=$B11)*'ANALYSE - ERP =&gt; SOUS-SEGMENT'!$Q$8:$Q$154*'ANALYSE - ERP =&gt; SOUS-SEGMENT'!$AA$8:$AA$154)</f>
        <v>173561</v>
      </c>
      <c r="AB11" s="272">
        <f>SUMPRODUCT(('ANALYSE - ERP =&gt; SOUS-SEGMENT'!$B$8:$B$154=$B11)*'ANALYSE - ERP =&gt; SOUS-SEGMENT'!$Q$8:$Q$154*'ANALYSE - ERP =&gt; SOUS-SEGMENT'!$AB$8:$AB$154)</f>
        <v>171794</v>
      </c>
      <c r="AC11" s="272">
        <f>SUMPRODUCT(('ANALYSE - ERP =&gt; SOUS-SEGMENT'!$B$8:$B$154=$B11)*'ANALYSE - ERP =&gt; SOUS-SEGMENT'!$Q$8:$Q$154*'ANALYSE - ERP =&gt; SOUS-SEGMENT'!$AC$8:$AC$154)</f>
        <v>175742</v>
      </c>
      <c r="AD11" s="272">
        <f>SUMPRODUCT(('ANALYSE - ERP =&gt; SOUS-SEGMENT'!$B$8:$B$154=$B11)*'ANALYSE - ERP =&gt; SOUS-SEGMENT'!$Q$8:$Q$154*'ANALYSE - ERP =&gt; SOUS-SEGMENT'!$AD$8:$AD$154)</f>
        <v>178120</v>
      </c>
      <c r="AE11" s="272">
        <f>SUMPRODUCT(('ANALYSE - ERP =&gt; SOUS-SEGMENT'!$B$8:$B$154=$B11)*'ANALYSE - ERP =&gt; SOUS-SEGMENT'!$Q$8:$Q$154*'ANALYSE - ERP =&gt; SOUS-SEGMENT'!$AE$8:$AE$154)</f>
        <v>180908</v>
      </c>
      <c r="AF11" s="272">
        <f>SUMPRODUCT(('ANALYSE - ERP =&gt; SOUS-SEGMENT'!$B$8:$B$154=$B11)*'ANALYSE - ERP =&gt; SOUS-SEGMENT'!$Q$8:$Q$154*'ANALYSE - ERP =&gt; SOUS-SEGMENT'!$AF$8:$AF$154)</f>
        <v>181025</v>
      </c>
      <c r="AG11" s="272">
        <f>SUMPRODUCT(('ANALYSE - ERP =&gt; SOUS-SEGMENT'!$B$8:$B$154=$B11)*'ANALYSE - ERP =&gt; SOUS-SEGMENT'!$Q$8:$Q$154*'ANALYSE - ERP =&gt; SOUS-SEGMENT'!$AG$8:$AG$154)</f>
        <v>181065</v>
      </c>
      <c r="AH11" s="272">
        <f>SUMPRODUCT(('ANALYSE - ERP =&gt; SOUS-SEGMENT'!$B$8:$B$154=$B11)*'ANALYSE - ERP =&gt; SOUS-SEGMENT'!$Q$8:$Q$154*'ANALYSE - ERP =&gt; SOUS-SEGMENT'!$AH$8:$AH$154)</f>
        <v>181112</v>
      </c>
      <c r="AI11" s="272">
        <f>SUMPRODUCT(('ANALYSE - ERP =&gt; SOUS-SEGMENT'!$B$8:$B$154=$B11)*'ANALYSE - ERP =&gt; SOUS-SEGMENT'!$Q$8:$Q$154*'ANALYSE - ERP =&gt; SOUS-SEGMENT'!$AI$8:$AI$154)</f>
        <v>181173</v>
      </c>
      <c r="AJ11" s="272">
        <f>SUMPRODUCT(('ANALYSE - ERP =&gt; SOUS-SEGMENT'!$B$8:$B$154=$B11)*'ANALYSE - ERP =&gt; SOUS-SEGMENT'!$Q$8:$Q$154*'ANALYSE - ERP =&gt; SOUS-SEGMENT'!$AJ$8:$AJ$154)</f>
        <v>181145</v>
      </c>
      <c r="AK11" s="272">
        <f>SUMPRODUCT(('ANALYSE - ERP =&gt; SOUS-SEGMENT'!$B$8:$B$154=$B11)*'ANALYSE - ERP =&gt; SOUS-SEGMENT'!$Q$8:$Q$154*'ANALYSE - ERP =&gt; SOUS-SEGMENT'!$AK$8:$AK$154)</f>
        <v>181086</v>
      </c>
      <c r="AL11" s="268" t="s">
        <v>7559</v>
      </c>
      <c r="AM11" s="268" t="s">
        <v>7559</v>
      </c>
      <c r="AN11" s="268" t="s">
        <v>7586</v>
      </c>
      <c r="AO11" s="657"/>
      <c r="AP11" s="271">
        <f>IFERROR(SUMPRODUCT(('ANALYSE - ERP =&gt; SOUS-SEGMENT'!$B$8:$B$154=$B11)*'ANALYSE - ERP =&gt; SOUS-SEGMENT'!$Q$8:$Q$154*'ANALYSE - ERP =&gt; SOUS-SEGMENT'!$AG$8:$AG$154*'ANALYSE - ERP =&gt; SOUS-SEGMENT'!$AP$8:$AP$154)/SUMPRODUCT(('ANALYSE - ERP =&gt; SOUS-SEGMENT'!$B$8:$B$154=$B11)*'ANALYSE - ERP =&gt; SOUS-SEGMENT'!$Q$8:$Q$154*'ANALYSE - ERP =&gt; SOUS-SEGMENT'!$AG$8:$AG$154),"")</f>
        <v>123.89605942617293</v>
      </c>
      <c r="AQ11" s="280">
        <f>IFERROR(SUMPRODUCT(('ANALYSE - ERP =&gt; SOUS-SEGMENT'!$B$8:$B$154=$B11)*'ANALYSE - ERP =&gt; SOUS-SEGMENT'!$Q$8:$Q$154*'ANALYSE - ERP =&gt; SOUS-SEGMENT'!$AF$8:$AF$154*'ANALYSE - ERP =&gt; SOUS-SEGMENT'!$AQ$8:$AQ$154)/SUMPRODUCT(('ANALYSE - ERP =&gt; SOUS-SEGMENT'!$B$8:$B$154=$B11)*'ANALYSE - ERP =&gt; SOUS-SEGMENT'!$Q$8:$Q$154*'ANALYSE - ERP =&gt; SOUS-SEGMENT'!$AF$8:$AF$154),"")</f>
        <v>100.96182847672974</v>
      </c>
      <c r="AR11" s="974">
        <f>IFERROR(SUMPRODUCT(('ANALYSE - ERP =&gt; SOUS-SEGMENT'!$B$8:$B$154=$B11)*'ANALYSE - ERP =&gt; SOUS-SEGMENT'!$Q$8:$Q$154*'ANALYSE - ERP =&gt; SOUS-SEGMENT'!$AF$8:$AF$154*'ANALYSE - ERP =&gt; SOUS-SEGMENT'!$AR$8:$AR$154)/SUMPRODUCT(('ANALYSE - ERP =&gt; SOUS-SEGMENT'!$B$8:$B$154=$B11)*'ANALYSE - ERP =&gt; SOUS-SEGMENT'!$Q$8:$Q$154*'ANALYSE - ERP =&gt; SOUS-SEGMENT'!$AF$8:$AF$154),"")</f>
        <v>17.997155089076095</v>
      </c>
      <c r="AS11" s="974">
        <f>IFERROR(SUMPRODUCT(('ANALYSE - ERP =&gt; SOUS-SEGMENT'!$B$8:$B$154=$B11)*'ANALYSE - ERP =&gt; SOUS-SEGMENT'!$Q$8:$Q$154*'ANALYSE - ERP =&gt; SOUS-SEGMENT'!$AF$8:$AF$154*'ANALYSE - ERP =&gt; SOUS-SEGMENT'!$AS$8:$AS$154)/SUMPRODUCT(('ANALYSE - ERP =&gt; SOUS-SEGMENT'!$B$8:$B$154=$B11)*'ANALYSE - ERP =&gt; SOUS-SEGMENT'!$Q$8:$Q$154*'ANALYSE - ERP =&gt; SOUS-SEGMENT'!$AF$8:$AF$154),"")</f>
        <v>4.8493302030106342</v>
      </c>
      <c r="AT11" s="657" t="s">
        <v>7587</v>
      </c>
      <c r="AU11" s="647" t="s">
        <v>7588</v>
      </c>
      <c r="AV11" s="647" t="s">
        <v>2609</v>
      </c>
      <c r="AW11" s="647" t="s">
        <v>7559</v>
      </c>
      <c r="AX11" s="657"/>
      <c r="AY11" s="303">
        <f>IFERROR(SUMPRODUCT(('ANALYSE - ERP =&gt; SOUS-SEGMENT'!$B$8:$B$154=$B11)*'ANALYSE - ERP =&gt; SOUS-SEGMENT'!$Q$8:$Q$154*'ANALYSE - ERP =&gt; SOUS-SEGMENT'!$AF$8:$AF$154*'ANALYSE - ERP =&gt; SOUS-SEGMENT'!$AZ$8:$AZ$154)/SUMPRODUCT(('ANALYSE - ERP =&gt; SOUS-SEGMENT'!$B$8:$B$154=$B11)*'ANALYSE - ERP =&gt; SOUS-SEGMENT'!$Q$8:$Q$154*'ANALYSE - ERP =&gt; SOUS-SEGMENT'!$AF$8:$AF$154),"")</f>
        <v>5.5860709846706254</v>
      </c>
      <c r="AZ11" s="948">
        <f>IFERROR(SUMPRODUCT(('ANALYSE - ERP =&gt; SOUS-SEGMENT'!$B$8:$B$154=$B11)*'ANALYSE - ERP =&gt; SOUS-SEGMENT'!$Q$8:$Q$154*'ANALYSE - ERP =&gt; SOUS-SEGMENT'!$AF$8:$AF$154*'ANALYSE - ERP =&gt; SOUS-SEGMENT'!$BA$8:$BA$154)/SUMPRODUCT(('ANALYSE - ERP =&gt; SOUS-SEGMENT'!$B$8:$B$154=$B11)*'ANALYSE - ERP =&gt; SOUS-SEGMENT'!$Q$8:$Q$154*'ANALYSE - ERP =&gt; SOUS-SEGMENT'!$AF$8:$AF$154),"")</f>
        <v>2.4146941030244441E-2</v>
      </c>
      <c r="BA11" s="303">
        <f>IFERROR(SUMPRODUCT(('ANALYSE - ERP =&gt; SOUS-SEGMENT'!$B$8:$B$154=$B11)*'ANALYSE - ERP =&gt; SOUS-SEGMENT'!$Q$8:$Q$154*'ANALYSE - ERP =&gt; SOUS-SEGMENT'!$AF$8:$AF$154*'ANALYSE - ERP =&gt; SOUS-SEGMENT'!$BB$8:$BB$154)/SUMPRODUCT(('ANALYSE - ERP =&gt; SOUS-SEGMENT'!$B$8:$B$154=$B11)*'ANALYSE - ERP =&gt; SOUS-SEGMENT'!$Q$8:$Q$154*'ANALYSE - ERP =&gt; SOUS-SEGMENT'!$AF$8:$AF$154),"")</f>
        <v>0.80584449661648938</v>
      </c>
      <c r="BB11" s="303">
        <f>IFERROR(SUMPRODUCT(('ANALYSE - ERP =&gt; SOUS-SEGMENT'!$B$8:$B$154=$B11)*'ANALYSE - ERP =&gt; SOUS-SEGMENT'!$Q$8:$Q$154*'ANALYSE - ERP =&gt; SOUS-SEGMENT'!$AF$8:$AF$154*'ANALYSE - ERP =&gt; SOUS-SEGMENT'!$BC$8:$BC$154)/SUMPRODUCT(('ANALYSE - ERP =&gt; SOUS-SEGMENT'!$B$8:$B$154=$B11)*'ANALYSE - ERP =&gt; SOUS-SEGMENT'!$Q$8:$Q$154*'ANALYSE - ERP =&gt; SOUS-SEGMENT'!$AF$8:$AF$154),"")</f>
        <v>3.717210330064908</v>
      </c>
      <c r="BC11" s="304">
        <f>SUMPRODUCT(('ANALYSE - ERP =&gt; SOUS-SEGMENT'!$B$8:$B$154=$B11)*'ANALYSE - ERP =&gt; SOUS-SEGMENT'!$Q$8:$Q$154*'ANALYSE - ERP =&gt; SOUS-SEGMENT'!$BE$8:$BE$154)</f>
        <v>1011218.5</v>
      </c>
      <c r="BD11" s="304">
        <f>SUMPRODUCT(('ANALYSE - ERP =&gt; SOUS-SEGMENT'!$B$8:$B$154=$B11)*'ANALYSE - ERP =&gt; SOUS-SEGMENT'!$Q$8:$Q$154*'ANALYSE - ERP =&gt; SOUS-SEGMENT'!$BF$8:$BF$154)</f>
        <v>4371.2</v>
      </c>
      <c r="BE11" s="304">
        <f>SUMPRODUCT(('ANALYSE - ERP =&gt; SOUS-SEGMENT'!$B$8:$B$154=$B11)*'ANALYSE - ERP =&gt; SOUS-SEGMENT'!$Q$8:$Q$154*'ANALYSE - ERP =&gt; SOUS-SEGMENT'!$BG$8:$BG$154)</f>
        <v>145878</v>
      </c>
      <c r="BF11" s="304">
        <f>SUMPRODUCT(('ANALYSE - ERP =&gt; SOUS-SEGMENT'!$B$8:$B$154=$B11)*'ANALYSE - ERP =&gt; SOUS-SEGMENT'!$Q$8:$Q$154*'ANALYSE - ERP =&gt; SOUS-SEGMENT'!$BH$8:$BH$154)</f>
        <v>672908</v>
      </c>
      <c r="BG11" s="304">
        <f>SUMPRODUCT(('ANALYSE - ERP =&gt; SOUS-SEGMENT'!$B$8:$B$154=$B11)*'ANALYSE - ERP =&gt; SOUS-SEGMENT'!$Q$8:$Q$154*'ANALYSE - ERP =&gt; SOUS-SEGMENT'!$BJ$8:$BJ$154)</f>
        <v>1013077</v>
      </c>
      <c r="BH11" s="304">
        <f>SUMPRODUCT(('ANALYSE - ERP =&gt; SOUS-SEGMENT'!$B$8:$B$154=$B11)*'ANALYSE - ERP =&gt; SOUS-SEGMENT'!$Q$8:$Q$154*'ANALYSE - ERP =&gt; SOUS-SEGMENT'!$BK$8:$BK$154)</f>
        <v>4344</v>
      </c>
      <c r="BI11" s="304">
        <f>SUMPRODUCT(('ANALYSE - ERP =&gt; SOUS-SEGMENT'!$B$8:$B$154=$B11)*'ANALYSE - ERP =&gt; SOUS-SEGMENT'!$Q$8:$Q$154*'ANALYSE - ERP =&gt; SOUS-SEGMENT'!$BL$8:$BL$154)</f>
        <v>146268.25</v>
      </c>
      <c r="BJ11" s="304">
        <f>SUMPRODUCT(('ANALYSE - ERP =&gt; SOUS-SEGMENT'!$B$8:$B$154=$B11)*'ANALYSE - ERP =&gt; SOUS-SEGMENT'!$Q$8:$Q$154*'ANALYSE - ERP =&gt; SOUS-SEGMENT'!$BM$8:$BM$154)</f>
        <v>676232</v>
      </c>
      <c r="BK11" s="657"/>
      <c r="BL11" s="577">
        <f>IFERROR(SUMPRODUCT(('ANALYSE - ERP =&gt; SOUS-SEGMENT'!$B$8:$B$154=$B11)*'ANALYSE - ERP =&gt; SOUS-SEGMENT'!$Q$8:$Q$154*'ANALYSE - ERP =&gt; SOUS-SEGMENT'!$BE$8:$BE$154*'ANALYSE - ERP =&gt; SOUS-SEGMENT'!$BO$8:$BO$154)/SUMPRODUCT(('ANALYSE - ERP =&gt; SOUS-SEGMENT'!$B$8:$B$154=$B11)*'ANALYSE - ERP =&gt; SOUS-SEGMENT'!$Q$8:$Q$154*'ANALYSE - ERP =&gt; SOUS-SEGMENT'!$BE$8:$BE$154),"")</f>
        <v>0.28430400551413959</v>
      </c>
      <c r="BM11" s="578">
        <f>IFERROR(SUMPRODUCT(('ANALYSE - ERP =&gt; SOUS-SEGMENT'!$B$8:$B$154=$B11)*'ANALYSE - ERP =&gt; SOUS-SEGMENT'!$Q$8:$Q$154*'ANALYSE - ERP =&gt; SOUS-SEGMENT'!$BE$8:$BE$154*'ANALYSE - ERP =&gt; SOUS-SEGMENT'!$BP$8:$BP$154)/SUMPRODUCT(('ANALYSE - ERP =&gt; SOUS-SEGMENT'!$B$8:$B$154=$B11)*'ANALYSE - ERP =&gt; SOUS-SEGMENT'!$Q$8:$Q$154*'ANALYSE - ERP =&gt; SOUS-SEGMENT'!$BE$8:$BE$154),"")</f>
        <v>0.54183126594301834</v>
      </c>
      <c r="BN11" s="578">
        <f>IFERROR(SUMPRODUCT(('ANALYSE - ERP =&gt; SOUS-SEGMENT'!$B$8:$B$154=$B11)*'ANALYSE - ERP =&gt; SOUS-SEGMENT'!$Q$8:$Q$154*'ANALYSE - ERP =&gt; SOUS-SEGMENT'!$BE$8:$BE$154*'ANALYSE - ERP =&gt; SOUS-SEGMENT'!$BQ$8:$BQ$154)/SUMPRODUCT(('ANALYSE - ERP =&gt; SOUS-SEGMENT'!$B$8:$B$154=$B11)*'ANALYSE - ERP =&gt; SOUS-SEGMENT'!$Q$8:$Q$154*'ANALYSE - ERP =&gt; SOUS-SEGMENT'!$BE$8:$BE$154),"")</f>
        <v>0.12614873046725311</v>
      </c>
      <c r="BO11" s="579">
        <f>IFERROR(SUMPRODUCT(('ANALYSE - ERP =&gt; SOUS-SEGMENT'!$B$8:$B$154=$B11)*'ANALYSE - ERP =&gt; SOUS-SEGMENT'!$Q$8:$Q$154*'ANALYSE - ERP =&gt; SOUS-SEGMENT'!$BE$8:$BE$154*'ANALYSE - ERP =&gt; SOUS-SEGMENT'!$BR$8:$BR$154)/SUMPRODUCT(('ANALYSE - ERP =&gt; SOUS-SEGMENT'!$B$8:$B$154=$B11)*'ANALYSE - ERP =&gt; SOUS-SEGMENT'!$Q$8:$Q$154*'ANALYSE - ERP =&gt; SOUS-SEGMENT'!$BE$8:$BE$154),"")</f>
        <v>4.771599807558901E-2</v>
      </c>
      <c r="BP11" s="577">
        <f>IFERROR(SUMPRODUCT(('ANALYSE - ERP =&gt; SOUS-SEGMENT'!$B$8:$B$154=$B11)*'ANALYSE - ERP =&gt; SOUS-SEGMENT'!$Q$8:$Q$154*'ANALYSE - ERP =&gt; SOUS-SEGMENT'!$BJ$8:$BJ$154*'ANALYSE - ERP =&gt; SOUS-SEGMENT'!$BS$8:$BS$154)/SUMPRODUCT(('ANALYSE - ERP =&gt; SOUS-SEGMENT'!$B$8:$B$154=$B11)*'ANALYSE - ERP =&gt; SOUS-SEGMENT'!$Q$8:$Q$154*'ANALYSE - ERP =&gt; SOUS-SEGMENT'!$BJ$8:$BJ$154),"")</f>
        <v>0.25065530063361424</v>
      </c>
      <c r="BQ11" s="578">
        <f>IFERROR(SUMPRODUCT(('ANALYSE - ERP =&gt; SOUS-SEGMENT'!$B$8:$B$154=$B11)*'ANALYSE - ERP =&gt; SOUS-SEGMENT'!$Q$8:$Q$154*'ANALYSE - ERP =&gt; SOUS-SEGMENT'!$BJ$8:$BJ$154*'ANALYSE - ERP =&gt; SOUS-SEGMENT'!$BT$8:$BT$154)/SUMPRODUCT(('ANALYSE - ERP =&gt; SOUS-SEGMENT'!$B$8:$B$154=$B11)*'ANALYSE - ERP =&gt; SOUS-SEGMENT'!$Q$8:$Q$154*'ANALYSE - ERP =&gt; SOUS-SEGMENT'!$BJ$8:$BJ$154),"")</f>
        <v>0.54248541818637674</v>
      </c>
      <c r="BR11" s="578">
        <f>IFERROR(SUMPRODUCT(('ANALYSE - ERP =&gt; SOUS-SEGMENT'!$B$8:$B$154=$B11)*'ANALYSE - ERP =&gt; SOUS-SEGMENT'!$Q$8:$Q$154*'ANALYSE - ERP =&gt; SOUS-SEGMENT'!$BJ$8:$BJ$154*'ANALYSE - ERP =&gt; SOUS-SEGMENT'!$BU$8:$BU$154)/SUMPRODUCT(('ANALYSE - ERP =&gt; SOUS-SEGMENT'!$B$8:$B$154=$B11)*'ANALYSE - ERP =&gt; SOUS-SEGMENT'!$Q$8:$Q$154*'ANALYSE - ERP =&gt; SOUS-SEGMENT'!$BJ$8:$BJ$154),"")</f>
        <v>0.16442019708274888</v>
      </c>
      <c r="BS11" s="579">
        <f>IFERROR(SUMPRODUCT(('ANALYSE - ERP =&gt; SOUS-SEGMENT'!$B$8:$B$154=$B11)*'ANALYSE - ERP =&gt; SOUS-SEGMENT'!$Q$8:$Q$154*'ANALYSE - ERP =&gt; SOUS-SEGMENT'!$BJ$8:$BJ$154*'ANALYSE - ERP =&gt; SOUS-SEGMENT'!$BV$8:$BV$154)/SUMPRODUCT(('ANALYSE - ERP =&gt; SOUS-SEGMENT'!$B$8:$B$154=$B11)*'ANALYSE - ERP =&gt; SOUS-SEGMENT'!$Q$8:$Q$154*'ANALYSE - ERP =&gt; SOUS-SEGMENT'!$BJ$8:$BJ$154),"")</f>
        <v>4.2439084097260125E-2</v>
      </c>
      <c r="BT11" s="586">
        <f>IFERROR(SUMPRODUCT(('ANALYSE - ERP =&gt; SOUS-SEGMENT'!$B$8:$B$154=$B11)*'ANALYSE - ERP =&gt; SOUS-SEGMENT'!$Q$8:$Q$154*'ANALYSE - ERP =&gt; SOUS-SEGMENT'!$BF$8:$BF$154*'ANALYSE - ERP =&gt; SOUS-SEGMENT'!$BW$8:$BW$154)/SUMPRODUCT(('ANALYSE - ERP =&gt; SOUS-SEGMENT'!$B$8:$B$154=$B11)*'ANALYSE - ERP =&gt; SOUS-SEGMENT'!$Q$8:$Q$154*'ANALYSE - ERP =&gt; SOUS-SEGMENT'!$BF$8:$BF$154),"")</f>
        <v>0.36295754026354321</v>
      </c>
      <c r="BU11" s="587">
        <f>IFERROR(SUMPRODUCT(('ANALYSE - ERP =&gt; SOUS-SEGMENT'!$B$8:$B$154=$B11)*'ANALYSE - ERP =&gt; SOUS-SEGMENT'!$Q$8:$Q$154*'ANALYSE - ERP =&gt; SOUS-SEGMENT'!$BF$8:$BF$154*'ANALYSE - ERP =&gt; SOUS-SEGMENT'!$BX$8:$BX$154)/SUMPRODUCT(('ANALYSE - ERP =&gt; SOUS-SEGMENT'!$B$8:$B$154=$B11)*'ANALYSE - ERP =&gt; SOUS-SEGMENT'!$Q$8:$Q$154*'ANALYSE - ERP =&gt; SOUS-SEGMENT'!$BF$8:$BF$154),"")</f>
        <v>0.43806734992679358</v>
      </c>
      <c r="BV11" s="588">
        <f>IFERROR(SUMPRODUCT(('ANALYSE - ERP =&gt; SOUS-SEGMENT'!$B$8:$B$154=$B11)*'ANALYSE - ERP =&gt; SOUS-SEGMENT'!$Q$8:$Q$154*'ANALYSE - ERP =&gt; SOUS-SEGMENT'!$BF$8:$BF$154*'ANALYSE - ERP =&gt; SOUS-SEGMENT'!$BY$8:$BY$154)/SUMPRODUCT(('ANALYSE - ERP =&gt; SOUS-SEGMENT'!$B$8:$B$154=$B11)*'ANALYSE - ERP =&gt; SOUS-SEGMENT'!$Q$8:$Q$154*'ANALYSE - ERP =&gt; SOUS-SEGMENT'!$BF$8:$BF$154),"")</f>
        <v>0.19897510980966329</v>
      </c>
      <c r="BW11" s="586">
        <f>IFERROR(SUMPRODUCT(('ANALYSE - ERP =&gt; SOUS-SEGMENT'!$B$8:$B$154=$B11)*'ANALYSE - ERP =&gt; SOUS-SEGMENT'!$Q$8:$Q$154*'ANALYSE - ERP =&gt; SOUS-SEGMENT'!$BK$8:$BK$154*'ANALYSE - ERP =&gt; SOUS-SEGMENT'!$BZ$8:$BZ$154)/SUMPRODUCT(('ANALYSE - ERP =&gt; SOUS-SEGMENT'!$B$8:$B$154=$B11)*'ANALYSE - ERP =&gt; SOUS-SEGMENT'!$Q$8:$Q$154*'ANALYSE - ERP =&gt; SOUS-SEGMENT'!$BK$8:$BK$154),"")</f>
        <v>0.31550644567219155</v>
      </c>
      <c r="BX11" s="587">
        <f>IFERROR(SUMPRODUCT(('ANALYSE - ERP =&gt; SOUS-SEGMENT'!$B$8:$B$154=$B11)*'ANALYSE - ERP =&gt; SOUS-SEGMENT'!$Q$8:$Q$154*'ANALYSE - ERP =&gt; SOUS-SEGMENT'!$BK$8:$BK$154*'ANALYSE - ERP =&gt; SOUS-SEGMENT'!$CA$8:$CA$154)/SUMPRODUCT(('ANALYSE - ERP =&gt; SOUS-SEGMENT'!$B$8:$B$154=$B11)*'ANALYSE - ERP =&gt; SOUS-SEGMENT'!$Q$8:$Q$154*'ANALYSE - ERP =&gt; SOUS-SEGMENT'!$BK$8:$BK$154),"")</f>
        <v>0.45334254143646407</v>
      </c>
      <c r="BY11" s="588">
        <f>IFERROR(SUMPRODUCT(('ANALYSE - ERP =&gt; SOUS-SEGMENT'!$B$8:$B$154=$B11)*'ANALYSE - ERP =&gt; SOUS-SEGMENT'!$Q$8:$Q$154*'ANALYSE - ERP =&gt; SOUS-SEGMENT'!$BK$8:$BK$154*'ANALYSE - ERP =&gt; SOUS-SEGMENT'!$CB$8:$CB$154)/SUMPRODUCT(('ANALYSE - ERP =&gt; SOUS-SEGMENT'!$B$8:$B$154=$B11)*'ANALYSE - ERP =&gt; SOUS-SEGMENT'!$Q$8:$Q$154*'ANALYSE - ERP =&gt; SOUS-SEGMENT'!$BK$8:$BK$154),"")</f>
        <v>0.2311510128913444</v>
      </c>
      <c r="BZ11" s="577">
        <f>IFERROR(SUMPRODUCT(('ANALYSE - ERP =&gt; SOUS-SEGMENT'!$B$8:$B$154=$B11)*'ANALYSE - ERP =&gt; SOUS-SEGMENT'!$Q$8:$Q$154*'ANALYSE - ERP =&gt; SOUS-SEGMENT'!$BG$8:$BG$154*'ANALYSE - ERP =&gt; SOUS-SEGMENT'!$CC$8:$CC$154)/SUMPRODUCT(('ANALYSE - ERP =&gt; SOUS-SEGMENT'!$B$8:$B$154=$B11)*'ANALYSE - ERP =&gt; SOUS-SEGMENT'!$Q$8:$Q$154*'ANALYSE - ERP =&gt; SOUS-SEGMENT'!$BG$8:$BG$154),"")</f>
        <v>8.4928776100577197E-2</v>
      </c>
      <c r="CA11" s="578">
        <f>IFERROR(SUMPRODUCT(('ANALYSE - ERP =&gt; SOUS-SEGMENT'!$B$8:$B$154=$B11)*'ANALYSE - ERP =&gt; SOUS-SEGMENT'!$Q$8:$Q$154*'ANALYSE - ERP =&gt; SOUS-SEGMENT'!$BG$8:$BG$154*'ANALYSE - ERP =&gt; SOUS-SEGMENT'!$CD$8:$CD$154)/SUMPRODUCT(('ANALYSE - ERP =&gt; SOUS-SEGMENT'!$B$8:$B$154=$B11)*'ANALYSE - ERP =&gt; SOUS-SEGMENT'!$Q$8:$Q$154*'ANALYSE - ERP =&gt; SOUS-SEGMENT'!$BG$8:$BG$154),"")</f>
        <v>0.50772337158447467</v>
      </c>
      <c r="CB11" s="578">
        <f>IFERROR(SUMPRODUCT(('ANALYSE - ERP =&gt; SOUS-SEGMENT'!$B$8:$B$154=$B11)*'ANALYSE - ERP =&gt; SOUS-SEGMENT'!$Q$8:$Q$154*'ANALYSE - ERP =&gt; SOUS-SEGMENT'!$BG$8:$BG$154*'ANALYSE - ERP =&gt; SOUS-SEGMENT'!$CE$8:$CE$154)/SUMPRODUCT(('ANALYSE - ERP =&gt; SOUS-SEGMENT'!$B$8:$B$154=$B11)*'ANALYSE - ERP =&gt; SOUS-SEGMENT'!$Q$8:$Q$154*'ANALYSE - ERP =&gt; SOUS-SEGMENT'!$BG$8:$BG$154),"")</f>
        <v>0.17459006841333169</v>
      </c>
      <c r="CC11" s="579">
        <f>IFERROR(SUMPRODUCT(('ANALYSE - ERP =&gt; SOUS-SEGMENT'!$B$8:$B$154=$B11)*'ANALYSE - ERP =&gt; SOUS-SEGMENT'!$Q$8:$Q$154*'ANALYSE - ERP =&gt; SOUS-SEGMENT'!$BG$8:$BG$154*'ANALYSE - ERP =&gt; SOUS-SEGMENT'!$CF$8:$CF$154)/SUMPRODUCT(('ANALYSE - ERP =&gt; SOUS-SEGMENT'!$B$8:$B$154=$B11)*'ANALYSE - ERP =&gt; SOUS-SEGMENT'!$Q$8:$Q$154*'ANALYSE - ERP =&gt; SOUS-SEGMENT'!$BG$8:$BG$154),"")</f>
        <v>0.23275778390161644</v>
      </c>
      <c r="CD11" s="577">
        <f>IFERROR(SUMPRODUCT(('ANALYSE - ERP =&gt; SOUS-SEGMENT'!$B$8:$B$154=$B11)*'ANALYSE - ERP =&gt; SOUS-SEGMENT'!$Q$8:$Q$154*'ANALYSE - ERP =&gt; SOUS-SEGMENT'!$BL$8:$BL$154*'ANALYSE - ERP =&gt; SOUS-SEGMENT'!$CG$8:$CG$154)/SUMPRODUCT(('ANALYSE - ERP =&gt; SOUS-SEGMENT'!$B$8:$B$154=$B11)*'ANALYSE - ERP =&gt; SOUS-SEGMENT'!$Q$8:$Q$154*'ANALYSE - ERP =&gt; SOUS-SEGMENT'!$BL$8:$BL$154),"")</f>
        <v>6.8280583790398794E-2</v>
      </c>
      <c r="CE11" s="578">
        <f>IFERROR(SUMPRODUCT(('ANALYSE - ERP =&gt; SOUS-SEGMENT'!$B$8:$B$154=$B11)*'ANALYSE - ERP =&gt; SOUS-SEGMENT'!$Q$8:$Q$154*'ANALYSE - ERP =&gt; SOUS-SEGMENT'!$BL$8:$BL$154*'ANALYSE - ERP =&gt; SOUS-SEGMENT'!$CH$8:$CH$154)/SUMPRODUCT(('ANALYSE - ERP =&gt; SOUS-SEGMENT'!$B$8:$B$154=$B11)*'ANALYSE - ERP =&gt; SOUS-SEGMENT'!$Q$8:$Q$154*'ANALYSE - ERP =&gt; SOUS-SEGMENT'!$BL$8:$BL$154),"")</f>
        <v>0.50398336617823758</v>
      </c>
      <c r="CF11" s="578">
        <f>IFERROR(SUMPRODUCT(('ANALYSE - ERP =&gt; SOUS-SEGMENT'!$B$8:$B$154=$B11)*'ANALYSE - ERP =&gt; SOUS-SEGMENT'!$Q$8:$Q$154*'ANALYSE - ERP =&gt; SOUS-SEGMENT'!$BL$8:$BL$154*'ANALYSE - ERP =&gt; SOUS-SEGMENT'!$CI$8:$CI$154)/SUMPRODUCT(('ANALYSE - ERP =&gt; SOUS-SEGMENT'!$B$8:$B$154=$B11)*'ANALYSE - ERP =&gt; SOUS-SEGMENT'!$Q$8:$Q$154*'ANALYSE - ERP =&gt; SOUS-SEGMENT'!$BL$8:$BL$154),"")</f>
        <v>0.20715339795205043</v>
      </c>
      <c r="CG11" s="579">
        <f>IFERROR(SUMPRODUCT(('ANALYSE - ERP =&gt; SOUS-SEGMENT'!$B$8:$B$154=$B11)*'ANALYSE - ERP =&gt; SOUS-SEGMENT'!$Q$8:$Q$154*'ANALYSE - ERP =&gt; SOUS-SEGMENT'!$BL$8:$BL$154*'ANALYSE - ERP =&gt; SOUS-SEGMENT'!$CJ$8:$CJ$154)/SUMPRODUCT(('ANALYSE - ERP =&gt; SOUS-SEGMENT'!$B$8:$B$154=$B11)*'ANALYSE - ERP =&gt; SOUS-SEGMENT'!$Q$8:$Q$154*'ANALYSE - ERP =&gt; SOUS-SEGMENT'!$BL$8:$BL$154),"")</f>
        <v>0.22058265207931321</v>
      </c>
      <c r="CH11" s="586">
        <f>IFERROR(SUMPRODUCT(('ANALYSE - ERP =&gt; SOUS-SEGMENT'!$B$8:$B$154=$B11)*'ANALYSE - ERP =&gt; SOUS-SEGMENT'!$Q$8:$Q$154*'ANALYSE - ERP =&gt; SOUS-SEGMENT'!$BH$8:$BH$154*'ANALYSE - ERP =&gt; SOUS-SEGMENT'!$CK$8:$CK$154)/SUMPRODUCT(('ANALYSE - ERP =&gt; SOUS-SEGMENT'!$B$8:$B$154=$B11)*'ANALYSE - ERP =&gt; SOUS-SEGMENT'!$Q$8:$Q$154*'ANALYSE - ERP =&gt; SOUS-SEGMENT'!$BH$8:$BH$154),"")</f>
        <v>0.51769484089949891</v>
      </c>
      <c r="CI11" s="587">
        <f>IFERROR(SUMPRODUCT(('ANALYSE - ERP =&gt; SOUS-SEGMENT'!$B$8:$B$154=$B11)*'ANALYSE - ERP =&gt; SOUS-SEGMENT'!$Q$8:$Q$154*'ANALYSE - ERP =&gt; SOUS-SEGMENT'!$BH$8:$BH$154*'ANALYSE - ERP =&gt; SOUS-SEGMENT'!$CL$8:$CL$154)/SUMPRODUCT(('ANALYSE - ERP =&gt; SOUS-SEGMENT'!$B$8:$B$154=$B11)*'ANALYSE - ERP =&gt; SOUS-SEGMENT'!$Q$8:$Q$154*'ANALYSE - ERP =&gt; SOUS-SEGMENT'!$BH$8:$BH$154),"")</f>
        <v>0.33883651256932595</v>
      </c>
      <c r="CJ11" s="588">
        <f>IFERROR(SUMPRODUCT(('ANALYSE - ERP =&gt; SOUS-SEGMENT'!$B$8:$B$154=$B11)*'ANALYSE - ERP =&gt; SOUS-SEGMENT'!$Q$8:$Q$154*'ANALYSE - ERP =&gt; SOUS-SEGMENT'!$BH$8:$BH$154*'ANALYSE - ERP =&gt; SOUS-SEGMENT'!$CM$8:$CM$154)/SUMPRODUCT(('ANALYSE - ERP =&gt; SOUS-SEGMENT'!$B$8:$B$154=$B11)*'ANALYSE - ERP =&gt; SOUS-SEGMENT'!$Q$8:$Q$154*'ANALYSE - ERP =&gt; SOUS-SEGMENT'!$BH$8:$BH$154),"")</f>
        <v>0.14346864653117514</v>
      </c>
      <c r="CK11" s="586">
        <f>IFERROR(SUMPRODUCT(('ANALYSE - ERP =&gt; SOUS-SEGMENT'!$B$8:$B$154=$B11)*'ANALYSE - ERP =&gt; SOUS-SEGMENT'!$Q$8:$Q$154*'ANALYSE - ERP =&gt; SOUS-SEGMENT'!$BM$8:$BM$154*'ANALYSE - ERP =&gt; SOUS-SEGMENT'!$CN$8:$CN$154)/SUMPRODUCT(('ANALYSE - ERP =&gt; SOUS-SEGMENT'!$B$8:$B$154=$B11)*'ANALYSE - ERP =&gt; SOUS-SEGMENT'!$Q$8:$Q$154*'ANALYSE - ERP =&gt; SOUS-SEGMENT'!$BM$8:$BM$154),"")</f>
        <v>0.4229334311301447</v>
      </c>
      <c r="CL11" s="587">
        <f>IFERROR(SUMPRODUCT(('ANALYSE - ERP =&gt; SOUS-SEGMENT'!$B$8:$B$154=$B11)*'ANALYSE - ERP =&gt; SOUS-SEGMENT'!$Q$8:$Q$154*'ANALYSE - ERP =&gt; SOUS-SEGMENT'!$BM$8:$BM$154*'ANALYSE - ERP =&gt; SOUS-SEGMENT'!$CO$8:$CO$154)/SUMPRODUCT(('ANALYSE - ERP =&gt; SOUS-SEGMENT'!$B$8:$B$154=$B11)*'ANALYSE - ERP =&gt; SOUS-SEGMENT'!$Q$8:$Q$154*'ANALYSE - ERP =&gt; SOUS-SEGMENT'!$BM$8:$BM$154),"")</f>
        <v>0.38018203811709594</v>
      </c>
      <c r="CM11" s="588">
        <f>IFERROR(SUMPRODUCT(('ANALYSE - ERP =&gt; SOUS-SEGMENT'!$B$8:$B$154=$B11)*'ANALYSE - ERP =&gt; SOUS-SEGMENT'!$Q$8:$Q$154*'ANALYSE - ERP =&gt; SOUS-SEGMENT'!$BM$8:$BM$154*'ANALYSE - ERP =&gt; SOUS-SEGMENT'!$CP$8:$CP$154)/SUMPRODUCT(('ANALYSE - ERP =&gt; SOUS-SEGMENT'!$B$8:$B$154=$B11)*'ANALYSE - ERP =&gt; SOUS-SEGMENT'!$Q$8:$Q$154*'ANALYSE - ERP =&gt; SOUS-SEGMENT'!$BM$8:$BM$154),"")</f>
        <v>0.19688453075275941</v>
      </c>
      <c r="CN11" s="657"/>
      <c r="CO11" s="877">
        <f>IFERROR(SUMPRODUCT(('ANALYSE - ERP =&gt; SOUS-SEGMENT'!$B$8:$B$154=$B11)*'ANALYSE - ERP =&gt; SOUS-SEGMENT'!$DH$8:$DH$154*'ANALYSE - ERP =&gt; SOUS-SEGMENT'!$CR$8:$CR$154)/SUMPRODUCT(('ANALYSE - ERP =&gt; SOUS-SEGMENT'!$B$8:$B$154=$B11)*'ANALYSE - ERP =&gt; SOUS-SEGMENT'!$DH$8:$DH$154),"")</f>
        <v>10.62088269343996</v>
      </c>
      <c r="CP11" s="878">
        <f>IFERROR(SUMPRODUCT(('ANALYSE - ERP =&gt; SOUS-SEGMENT'!$B$8:$B$154=$B11)*'ANALYSE - ERP =&gt; SOUS-SEGMENT'!$DI$8:$DI$154*'ANALYSE - ERP =&gt; SOUS-SEGMENT'!$CS$8:$CS$154)/SUMPRODUCT(('ANALYSE - ERP =&gt; SOUS-SEGMENT'!$B$8:$B$154=$B11)*'ANALYSE - ERP =&gt; SOUS-SEGMENT'!$DI$8:$DI$154),"")</f>
        <v>11.556227138116528</v>
      </c>
      <c r="CQ11" s="878">
        <f>IFERROR(SUMPRODUCT(('ANALYSE - ERP =&gt; SOUS-SEGMENT'!$B$8:$B$154=$B11)*'ANALYSE - ERP =&gt; SOUS-SEGMENT'!$DJ$8:$DJ$154*'ANALYSE - ERP =&gt; SOUS-SEGMENT'!$CT$8:$CT$154)/SUMPRODUCT(('ANALYSE - ERP =&gt; SOUS-SEGMENT'!$B$8:$B$154=$B11)*'ANALYSE - ERP =&gt; SOUS-SEGMENT'!$DJ$8:$DJ$154),"")</f>
        <v>8.0010582928889065</v>
      </c>
      <c r="CR11" s="879">
        <f>IFERROR(SUMPRODUCT(('ANALYSE - ERP =&gt; SOUS-SEGMENT'!$B$8:$B$154=$B11)*'ANALYSE - ERP =&gt; SOUS-SEGMENT'!$DK$8:$DK$154*'ANALYSE - ERP =&gt; SOUS-SEGMENT'!$CU$8:$CU$154)/SUMPRODUCT(('ANALYSE - ERP =&gt; SOUS-SEGMENT'!$B$8:$B$154=$B11)*'ANALYSE - ERP =&gt; SOUS-SEGMENT'!$DK$8:$DK$154),"")</f>
        <v>9.5970367637763125</v>
      </c>
      <c r="CS11" s="877">
        <f>IFERROR(SUMPRODUCT(('ANALYSE - ERP =&gt; SOUS-SEGMENT'!$B$8:$B$154=$B11)*'ANALYSE - ERP =&gt; SOUS-SEGMENT'!$DS$8:$DS$154*'ANALYSE - ERP =&gt; SOUS-SEGMENT'!$CV$8:$CV$154)/SUMPRODUCT(('ANALYSE - ERP =&gt; SOUS-SEGMENT'!$B$8:$B$154=$B11)*'ANALYSE - ERP =&gt; SOUS-SEGMENT'!$DS$8:$DS$154),"")</f>
        <v>10.65752319483663</v>
      </c>
      <c r="CT11" s="878">
        <f>IFERROR(SUMPRODUCT(('ANALYSE - ERP =&gt; SOUS-SEGMENT'!$B$8:$B$154=$B11)*'ANALYSE - ERP =&gt; SOUS-SEGMENT'!$DT$8:$DT$154*'ANALYSE - ERP =&gt; SOUS-SEGMENT'!$CW$8:$CW$154)/SUMPRODUCT(('ANALYSE - ERP =&gt; SOUS-SEGMENT'!$B$8:$B$154=$B11)*'ANALYSE - ERP =&gt; SOUS-SEGMENT'!$DT$8:$DT$154),"")</f>
        <v>9.4358288770053491</v>
      </c>
      <c r="CU11" s="879">
        <f>IFERROR(SUMPRODUCT(('ANALYSE - ERP =&gt; SOUS-SEGMENT'!$B$8:$B$154=$B11)*'ANALYSE - ERP =&gt; SOUS-SEGMENT'!$DU$8:$DU$154*'ANALYSE - ERP =&gt; SOUS-SEGMENT'!$CX$8:$CX$154)/SUMPRODUCT(('ANALYSE - ERP =&gt; SOUS-SEGMENT'!$B$8:$B$154=$B11)*'ANALYSE - ERP =&gt; SOUS-SEGMENT'!$DU$8:$DU$154),"")</f>
        <v>7.2398822663723319</v>
      </c>
      <c r="CV11" s="877">
        <f>IFERROR(SUMPRODUCT(('ANALYSE - ERP =&gt; SOUS-SEGMENT'!$B$8:$B$154=$B11)*'ANALYSE - ERP =&gt; SOUS-SEGMENT'!$EB$8:$EB$154*'ANALYSE - ERP =&gt; SOUS-SEGMENT'!$CY$8:$CY$154)/SUMPRODUCT(('ANALYSE - ERP =&gt; SOUS-SEGMENT'!$B$8:$B$154=$B11)*'ANALYSE - ERP =&gt; SOUS-SEGMENT'!$EB$8:$EB$154),"")</f>
        <v>8.9864802037897409</v>
      </c>
      <c r="CW11" s="878">
        <f>IFERROR(SUMPRODUCT(('ANALYSE - ERP =&gt; SOUS-SEGMENT'!$B$8:$B$154=$B11)*'ANALYSE - ERP =&gt; SOUS-SEGMENT'!$EC$8:$EC$154*'ANALYSE - ERP =&gt; SOUS-SEGMENT'!$CZ$8:$CZ$154)/SUMPRODUCT(('ANALYSE - ERP =&gt; SOUS-SEGMENT'!$B$8:$B$154=$B11)*'ANALYSE - ERP =&gt; SOUS-SEGMENT'!$EC$8:$EC$154),"")</f>
        <v>11.000000000000002</v>
      </c>
      <c r="CX11" s="878">
        <f>IFERROR(SUMPRODUCT(('ANALYSE - ERP =&gt; SOUS-SEGMENT'!$B$8:$B$154=$B11)*'ANALYSE - ERP =&gt; SOUS-SEGMENT'!$ED$8:$ED$154*'ANALYSE - ERP =&gt; SOUS-SEGMENT'!$DA$8:$DA$154)/SUMPRODUCT(('ANALYSE - ERP =&gt; SOUS-SEGMENT'!$B$8:$B$154=$B11)*'ANALYSE - ERP =&gt; SOUS-SEGMENT'!$ED$8:$ED$154),"")</f>
        <v>7.5836521868871181</v>
      </c>
      <c r="CY11" s="880">
        <f>IFERROR(SUMPRODUCT(('ANALYSE - ERP =&gt; SOUS-SEGMENT'!$B$8:$B$154=$B11)*'ANALYSE - ERP =&gt; SOUS-SEGMENT'!$EE$8:$EE$154*'ANALYSE - ERP =&gt; SOUS-SEGMENT'!$DB$8:$DB$154)/SUMPRODUCT(('ANALYSE - ERP =&gt; SOUS-SEGMENT'!$B$8:$B$154=$B11)*'ANALYSE - ERP =&gt; SOUS-SEGMENT'!$EE$8:$EE$154),"")</f>
        <v>9</v>
      </c>
      <c r="CZ11" s="881">
        <f>IFERROR(SUMPRODUCT(('ANALYSE - ERP =&gt; SOUS-SEGMENT'!$B$8:$B$154=$B11)*'ANALYSE - ERP =&gt; SOUS-SEGMENT'!$EM$8:$EM$154*'ANALYSE - ERP =&gt; SOUS-SEGMENT'!$DC$8:$DC$154)/SUMPRODUCT(('ANALYSE - ERP =&gt; SOUS-SEGMENT'!$B$8:$B$154=$B11)*'ANALYSE - ERP =&gt; SOUS-SEGMENT'!$EM$8:$EM$154),"")</f>
        <v>11.050398867841119</v>
      </c>
      <c r="DA11" s="878">
        <f>IFERROR(SUMPRODUCT(('ANALYSE - ERP =&gt; SOUS-SEGMENT'!$B$8:$B$154=$B11)*'ANALYSE - ERP =&gt; SOUS-SEGMENT'!$EN$8:$EN$154*'ANALYSE - ERP =&gt; SOUS-SEGMENT'!$DD$8:$DD$154)/SUMPRODUCT(('ANALYSE - ERP =&gt; SOUS-SEGMENT'!$B$8:$B$154=$B11)*'ANALYSE - ERP =&gt; SOUS-SEGMENT'!$EN$8:$EN$154),"")</f>
        <v>11.579300175697286</v>
      </c>
      <c r="DB11" s="880">
        <f>IFERROR(SUMPRODUCT(('ANALYSE - ERP =&gt; SOUS-SEGMENT'!$B$8:$B$154=$B11)*'ANALYSE - ERP =&gt; SOUS-SEGMENT'!$EO$8:$EO$154*'ANALYSE - ERP =&gt; SOUS-SEGMENT'!$DE$8:$DE$154)/SUMPRODUCT(('ANALYSE - ERP =&gt; SOUS-SEGMENT'!$B$8:$B$154=$B11)*'ANALYSE - ERP =&gt; SOUS-SEGMENT'!$EO$8:$EO$154),"")</f>
        <v>8.4097214453518294</v>
      </c>
      <c r="DC11" s="316" t="s">
        <v>7559</v>
      </c>
      <c r="DD11" s="657"/>
      <c r="DE11" s="288">
        <f t="shared" si="2"/>
        <v>287493.46999999997</v>
      </c>
      <c r="DF11" s="288">
        <f t="shared" si="3"/>
        <v>547909.80000000005</v>
      </c>
      <c r="DG11" s="288">
        <f t="shared" si="4"/>
        <v>127563.93</v>
      </c>
      <c r="DH11" s="288">
        <f t="shared" si="5"/>
        <v>48251.3</v>
      </c>
      <c r="DI11" s="317" t="s">
        <v>7559</v>
      </c>
      <c r="DJ11" s="288">
        <f t="shared" si="6"/>
        <v>253933.12000000002</v>
      </c>
      <c r="DK11" s="288">
        <f t="shared" si="7"/>
        <v>549579.5</v>
      </c>
      <c r="DL11" s="288">
        <f t="shared" si="8"/>
        <v>166570.31999999998</v>
      </c>
      <c r="DM11" s="288">
        <f t="shared" si="9"/>
        <v>42994.06</v>
      </c>
      <c r="DN11" s="318" t="s">
        <v>7559</v>
      </c>
      <c r="DO11" s="657"/>
      <c r="DP11" s="288">
        <f t="shared" si="10"/>
        <v>1586.56</v>
      </c>
      <c r="DQ11" s="288">
        <f t="shared" si="11"/>
        <v>1914.88</v>
      </c>
      <c r="DR11" s="288">
        <f t="shared" si="12"/>
        <v>869.7600000000001</v>
      </c>
      <c r="DS11" s="318" t="s">
        <v>7559</v>
      </c>
      <c r="DT11" s="288">
        <f t="shared" si="13"/>
        <v>1370.5600000000002</v>
      </c>
      <c r="DU11" s="288">
        <f t="shared" si="14"/>
        <v>1969.32</v>
      </c>
      <c r="DV11" s="288">
        <f t="shared" si="15"/>
        <v>1004.1200000000001</v>
      </c>
      <c r="DW11" s="318" t="s">
        <v>7559</v>
      </c>
      <c r="DX11" s="657"/>
      <c r="DY11" s="288">
        <f t="shared" si="16"/>
        <v>12389.24</v>
      </c>
      <c r="DZ11" s="288">
        <f t="shared" si="17"/>
        <v>74065.67</v>
      </c>
      <c r="EA11" s="288">
        <f t="shared" si="18"/>
        <v>25468.85</v>
      </c>
      <c r="EB11" s="288">
        <f t="shared" si="19"/>
        <v>33954.240000000005</v>
      </c>
      <c r="EC11" s="318" t="s">
        <v>7559</v>
      </c>
      <c r="ED11" s="288">
        <f t="shared" si="20"/>
        <v>9987.2814999999991</v>
      </c>
      <c r="EE11" s="288">
        <f t="shared" si="21"/>
        <v>73716.764999999999</v>
      </c>
      <c r="EF11" s="288">
        <f t="shared" si="22"/>
        <v>30299.965</v>
      </c>
      <c r="EG11" s="288">
        <f t="shared" si="23"/>
        <v>32264.238500000003</v>
      </c>
      <c r="EH11" s="318" t="s">
        <v>7559</v>
      </c>
      <c r="EI11" s="290"/>
      <c r="EJ11" s="288">
        <f t="shared" si="24"/>
        <v>348361</v>
      </c>
      <c r="EK11" s="291">
        <f t="shared" si="25"/>
        <v>228005.8</v>
      </c>
      <c r="EL11" s="291">
        <f t="shared" si="26"/>
        <v>96541.2</v>
      </c>
      <c r="EM11" s="318" t="s">
        <v>7559</v>
      </c>
      <c r="EN11" s="288">
        <f t="shared" si="27"/>
        <v>286001.12</v>
      </c>
      <c r="EO11" s="291">
        <f t="shared" si="28"/>
        <v>257091.26000000004</v>
      </c>
      <c r="EP11" s="291">
        <f t="shared" si="29"/>
        <v>133139.62</v>
      </c>
      <c r="EQ11" s="318" t="s">
        <v>7559</v>
      </c>
      <c r="ER11" s="657"/>
      <c r="ES11" s="731">
        <f t="shared" si="30"/>
        <v>0.82240881955974698</v>
      </c>
      <c r="ET11" s="731">
        <f t="shared" si="31"/>
        <v>0.17759118044025304</v>
      </c>
      <c r="EU11" s="292">
        <f t="shared" si="32"/>
        <v>867590.54009912338</v>
      </c>
      <c r="EV11" s="292">
        <f t="shared" si="33"/>
        <v>713514.1119441234</v>
      </c>
      <c r="EW11" s="292">
        <f t="shared" si="34"/>
        <v>154076.428155</v>
      </c>
      <c r="EX11" s="292">
        <f t="shared" si="35"/>
        <v>475916.62902956211</v>
      </c>
      <c r="EY11" s="292">
        <f>SUMPRODUCT(('ANALYSE - ERP =&gt; SOUS-SEGMENT'!$B$8:$B$154=$B11)*'ANALYSE - ERP =&gt; SOUS-SEGMENT'!$Q$8:$Q$154*'ANALYSE - ERP =&gt; SOUS-SEGMENT'!$FB$8:$FB$154)</f>
        <v>391961.75940456212</v>
      </c>
      <c r="EZ11" s="292">
        <f>SUMPRODUCT(('ANALYSE - ERP =&gt; SOUS-SEGMENT'!$B$8:$B$154=$B11)*'ANALYSE - ERP =&gt; SOUS-SEGMENT'!$Q$8:$Q$154*'ANALYSE - ERP =&gt; SOUS-SEGMENT'!$FC$8:$FC$154)</f>
        <v>83954.869624999992</v>
      </c>
      <c r="FA11" s="292">
        <f t="shared" si="36"/>
        <v>2227.1270124819625</v>
      </c>
      <c r="FB11" s="292">
        <f>SUMPRODUCT(('ANALYSE - ERP =&gt; SOUS-SEGMENT'!$B$8:$B$154=$B11)*'ANALYSE - ERP =&gt; SOUS-SEGMENT'!$Q$8:$Q$154*'ANALYSE - ERP =&gt; SOUS-SEGMENT'!$FE$8:$FE$154)</f>
        <v>1945.6390124819627</v>
      </c>
      <c r="FC11" s="292">
        <f>SUMPRODUCT(('ANALYSE - ERP =&gt; SOUS-SEGMENT'!$B$8:$B$154=$B11)*'ANALYSE - ERP =&gt; SOUS-SEGMENT'!$Q$8:$Q$154*'ANALYSE - ERP =&gt; SOUS-SEGMENT'!$FF$8:$FF$154)</f>
        <v>281.488</v>
      </c>
      <c r="FD11" s="292">
        <f t="shared" si="37"/>
        <v>74660.089018280138</v>
      </c>
      <c r="FE11" s="292">
        <f>SUMPRODUCT(('ANALYSE - ERP =&gt; SOUS-SEGMENT'!$B$8:$B$154=$B11)*'ANALYSE - ERP =&gt; SOUS-SEGMENT'!$Q$8:$Q$154*'ANALYSE - ERP =&gt; SOUS-SEGMENT'!$FH$8:$FH$154)</f>
        <v>62450.896888280127</v>
      </c>
      <c r="FF11" s="292">
        <f>SUMPRODUCT(('ANALYSE - ERP =&gt; SOUS-SEGMENT'!$B$8:$B$154=$B11)*'ANALYSE - ERP =&gt; SOUS-SEGMENT'!$Q$8:$Q$154*'ANALYSE - ERP =&gt; SOUS-SEGMENT'!$FI$8:$FI$154)</f>
        <v>12209.192130000005</v>
      </c>
      <c r="FG11" s="292">
        <f t="shared" si="38"/>
        <v>314786.6950387992</v>
      </c>
      <c r="FH11" s="292">
        <f>SUMPRODUCT(('ANALYSE - ERP =&gt; SOUS-SEGMENT'!$B$8:$B$154=$B11)*'ANALYSE - ERP =&gt; SOUS-SEGMENT'!$Q$8:$Q$154*'ANALYSE - ERP =&gt; SOUS-SEGMENT'!$FK$8:$FK$154)</f>
        <v>257155.81663879921</v>
      </c>
      <c r="FI11" s="292">
        <f>SUMPRODUCT(('ANALYSE - ERP =&gt; SOUS-SEGMENT'!$B$8:$B$154=$B11)*'ANALYSE - ERP =&gt; SOUS-SEGMENT'!$Q$8:$Q$154*'ANALYSE - ERP =&gt; SOUS-SEGMENT'!$FL$8:$FL$154)</f>
        <v>57630.878400000009</v>
      </c>
      <c r="FJ11" s="657"/>
      <c r="FK11" s="319" t="s">
        <v>2649</v>
      </c>
      <c r="FL11" s="731">
        <f>IFERROR(SUMPRODUCT(('ANALYSE - ERP =&gt; SOUS-SEGMENT'!$B$8:$B$154=$B11)*'ANALYSE - ERP =&gt; SOUS-SEGMENT'!$Q$8:$Q$154*'ANALYSE - ERP =&gt; SOUS-SEGMENT'!$AF$8:$AF$154*'ANALYSE - ERP =&gt; SOUS-SEGMENT'!$FO$8:$FO$154)/SUMPRODUCT(('ANALYSE - ERP =&gt; SOUS-SEGMENT'!$B$8:$B$154=$B11)*'ANALYSE - ERP =&gt; SOUS-SEGMENT'!$Q$8:$Q$154*'ANALYSE - ERP =&gt; SOUS-SEGMENT'!$AF$8:$AF$154),"")</f>
        <v>6.2774468443585141E-2</v>
      </c>
      <c r="FM11" s="732">
        <f>IFERROR(SUMPRODUCT(('ANALYSE - ERP =&gt; SOUS-SEGMENT'!$B$8:$B$154=$B11)*'ANALYSE - ERP =&gt; SOUS-SEGMENT'!$Q$8:$Q$154*'ANALYSE - ERP =&gt; SOUS-SEGMENT'!$AF$8:$AF$154*'ANALYSE - ERP =&gt; SOUS-SEGMENT'!$FP$8:$FP$154)/SUMPRODUCT(('ANALYSE - ERP =&gt; SOUS-SEGMENT'!$B$8:$B$154=$B11)*'ANALYSE - ERP =&gt; SOUS-SEGMENT'!$Q$8:$Q$154*'ANALYSE - ERP =&gt; SOUS-SEGMENT'!$AF$8:$AF$154),"")</f>
        <v>0.83988875293467735</v>
      </c>
      <c r="FN11" s="320" t="s">
        <v>6780</v>
      </c>
      <c r="FO11" s="657"/>
      <c r="FP11" s="887">
        <f>IFERROR(SUMPRODUCT(('ANALYSE - ERP =&gt; SOUS-SEGMENT'!$B$8:$B$154=$B11)*'ANALYSE - ERP =&gt; SOUS-SEGMENT'!$Q$8:$Q$154*'ANALYSE - ERP =&gt; SOUS-SEGMENT'!$EX$8:$EX$154*'ANALYSE - ERP =&gt; SOUS-SEGMENT'!$FS$8:$FS$154)/SUMPRODUCT(('ANALYSE - ERP =&gt; SOUS-SEGMENT'!$B$8:$B$154=$B11)*'ANALYSE - ERP =&gt; SOUS-SEGMENT'!$Q$8:$Q$154*'ANALYSE - ERP =&gt; SOUS-SEGMENT'!$EX$8:$EX$154),"")</f>
        <v>3.5111644281406207</v>
      </c>
      <c r="FQ11" s="295">
        <f>RANK($FP11,$FP$8:$FP$143,0)+COUNTIF($FP$8:$FP11,$FP11)-1</f>
        <v>5</v>
      </c>
      <c r="FR11" s="887">
        <f>IFERROR(SUMPRODUCT(('ANALYSE - ERP =&gt; SOUS-SEGMENT'!$B$8:$B$154=$B11)*'ANALYSE - ERP =&gt; SOUS-SEGMENT'!$Q$8:$Q$154*'ANALYSE - ERP =&gt; SOUS-SEGMENT'!$EY$8:$EY$154*'ANALYSE - ERP =&gt; SOUS-SEGMENT'!$FU$8:$FU$154)/SUMPRODUCT(('ANALYSE - ERP =&gt; SOUS-SEGMENT'!$B$8:$B$154=$B11)*'ANALYSE - ERP =&gt; SOUS-SEGMENT'!$Q$8:$Q$154*'ANALYSE - ERP =&gt; SOUS-SEGMENT'!$EY$8:$EY$154),"")-0.1</f>
        <v>4.0457262502101825</v>
      </c>
      <c r="FS11" s="295" t="e">
        <f>RANK($FR11,$FR$8:$FR$143,0)+COUNTIF($FR$8:$FR11,$FR11)-1</f>
        <v>#VALUE!</v>
      </c>
      <c r="FT11" s="887">
        <f>IFERROR(SUMPRODUCT(('ANALYSE - ERP =&gt; SOUS-SEGMENT'!$B$8:$B$154=$B11)*'ANALYSE - ERP =&gt; SOUS-SEGMENT'!$Q$8:$Q$154*'ANALYSE - ERP =&gt; SOUS-SEGMENT'!$EZ$8:$EZ$154*'ANALYSE - ERP =&gt; SOUS-SEGMENT'!$FW$8:$FW$154)/SUMPRODUCT(('ANALYSE - ERP =&gt; SOUS-SEGMENT'!$B$8:$B$154=$B11)*'ANALYSE - ERP =&gt; SOUS-SEGMENT'!$Q$8:$Q$154*'ANALYSE - ERP =&gt; SOUS-SEGMENT'!$EZ$8:$EZ$154),"")-0.1</f>
        <v>2.5368913379980609</v>
      </c>
      <c r="FU11" s="295" t="e">
        <f>RANK($FT11,$FT$8:$FT$143,0)+COUNTIF($FT$8:$FT11,$FT11)-1</f>
        <v>#VALUE!</v>
      </c>
      <c r="FV11" s="657"/>
      <c r="FW11" s="321" t="s">
        <v>7559</v>
      </c>
      <c r="FX11" s="321" t="s">
        <v>7559</v>
      </c>
      <c r="FY11" s="321" t="s">
        <v>7559</v>
      </c>
      <c r="FZ11" s="321" t="s">
        <v>7559</v>
      </c>
      <c r="GA11" s="321" t="s">
        <v>7559</v>
      </c>
      <c r="GB11" s="321" t="s">
        <v>7559</v>
      </c>
      <c r="GC11" s="321" t="str">
        <f t="shared" si="39"/>
        <v>https://solidarites.gouv.fr/le-service-public-de-la-petite-enfance-garantir-un-accueil-de-qualite-tous-les-enfants-et-leurs-familles
https://solidarites.gouv.fr/outils-et-ressources-destination-des-autorites-organisatrices-de-laccueil-du-jeune-enfant
https://solidarites.gouv.fr/stephanie-rist-annonce-une-revalorisation-du-financement-des-creches-par-les-caf-de-2-en-2025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D11" s="657"/>
      <c r="GE11" s="292">
        <f>SUMPRODUCT(('ANALYSE - ERP =&gt; SOUS-SEGMENT'!$B$8:$B$154=$B11)*'ANALYSE - ERP =&gt; SOUS-SEGMENT'!$Q$8:$Q$154*'ANALYSE - ERP =&gt; SOUS-SEGMENT'!$GH$8:$GH$154)</f>
        <v>131728.0979592932</v>
      </c>
      <c r="GF11" s="292">
        <f>SUMPRODUCT(('ANALYSE - ERP =&gt; SOUS-SEGMENT'!$B$8:$B$154=$B11)*'ANALYSE - ERP =&gt; SOUS-SEGMENT'!$Q$8:$Q$154*'ANALYSE - ERP =&gt; SOUS-SEGMENT'!$GI$8:$GI$154)</f>
        <v>112622.72942929318</v>
      </c>
      <c r="GG11" s="292">
        <f>SUMPRODUCT(('ANALYSE - ERP =&gt; SOUS-SEGMENT'!$B$8:$B$154=$B11)*'ANALYSE - ERP =&gt; SOUS-SEGMENT'!$Q$8:$Q$154*'ANALYSE - ERP =&gt; SOUS-SEGMENT'!$GJ$8:$GJ$154)</f>
        <v>19105.368530000003</v>
      </c>
      <c r="GH11" s="292">
        <f>SUMPRODUCT(('ANALYSE - ERP =&gt; SOUS-SEGMENT'!$B$8:$B$154=$B11)*'ANALYSE - ERP =&gt; SOUS-SEGMENT'!$Q$8:$Q$154*'ANALYSE - ERP =&gt; SOUS-SEGMENT'!$GK$8:$GK$154)</f>
        <v>240612.93220210227</v>
      </c>
      <c r="GI11" s="292">
        <f>SUMPRODUCT(('ANALYSE - ERP =&gt; SOUS-SEGMENT'!$B$8:$B$154=$B11)*'ANALYSE - ERP =&gt; SOUS-SEGMENT'!$Q$8:$Q$154*'ANALYSE - ERP =&gt; SOUS-SEGMENT'!$GL$8:$GL$154)</f>
        <v>194104.54961710225</v>
      </c>
      <c r="GJ11" s="292">
        <f>SUMPRODUCT(('ANALYSE - ERP =&gt; SOUS-SEGMENT'!$B$8:$B$154=$B11)*'ANALYSE - ERP =&gt; SOUS-SEGMENT'!$Q$8:$Q$154*'ANALYSE - ERP =&gt; SOUS-SEGMENT'!$GM$8:$GM$154)</f>
        <v>46508.382585000007</v>
      </c>
      <c r="GK11" s="292">
        <f>SUMPRODUCT(('ANALYSE - ERP =&gt; SOUS-SEGMENT'!$B$8:$B$154=$B11)*'ANALYSE - ERP =&gt; SOUS-SEGMENT'!$Q$8:$Q$154*'ANALYSE - ERP =&gt; SOUS-SEGMENT'!$GN$8:$GN$154)</f>
        <v>79640.075853749993</v>
      </c>
      <c r="GL11" s="292">
        <f>SUMPRODUCT(('ANALYSE - ERP =&gt; SOUS-SEGMENT'!$B$8:$B$154=$B11)*'ANALYSE - ERP =&gt; SOUS-SEGMENT'!$Q$8:$Q$154*'ANALYSE - ERP =&gt; SOUS-SEGMENT'!$GO$8:$GO$154)</f>
        <v>64568.900632500008</v>
      </c>
      <c r="GM11" s="292">
        <f>SUMPRODUCT(('ANALYSE - ERP =&gt; SOUS-SEGMENT'!$B$8:$B$154=$B11)*'ANALYSE - ERP =&gt; SOUS-SEGMENT'!$Q$8:$Q$154*'ANALYSE - ERP =&gt; SOUS-SEGMENT'!$GP$8:$GP$154)</f>
        <v>15071.175221250001</v>
      </c>
      <c r="GN11" s="292">
        <f>SUMPRODUCT(('ANALYSE - ERP =&gt; SOUS-SEGMENT'!$B$8:$B$154=$B11)*'ANALYSE - ERP =&gt; SOUS-SEGMENT'!$Q$8:$Q$154*'ANALYSE - ERP =&gt; SOUS-SEGMENT'!$GQ$8:$GQ$154)</f>
        <v>23935.523014416674</v>
      </c>
      <c r="GO11" s="292">
        <f>SUMPRODUCT(('ANALYSE - ERP =&gt; SOUS-SEGMENT'!$B$8:$B$154=$B11)*'ANALYSE - ERP =&gt; SOUS-SEGMENT'!$Q$8:$Q$154*'ANALYSE - ERP =&gt; SOUS-SEGMENT'!$GR$8:$GR$154)</f>
        <v>20665.57972566667</v>
      </c>
      <c r="GP11" s="292">
        <f>SUMPRODUCT(('ANALYSE - ERP =&gt; SOUS-SEGMENT'!$B$8:$B$154=$B11)*'ANALYSE - ERP =&gt; SOUS-SEGMENT'!$Q$8:$Q$154*'ANALYSE - ERP =&gt; SOUS-SEGMENT'!$GS$8:$GS$154)</f>
        <v>3269.9432887500006</v>
      </c>
      <c r="GQ11" s="292">
        <f>SUMPRODUCT(('ANALYSE - ERP =&gt; SOUS-SEGMENT'!$B$8:$B$154=$B11)*'ANALYSE - ERP =&gt; SOUS-SEGMENT'!$Q$8:$Q$154*'ANALYSE - ERP =&gt; SOUS-SEGMENT'!$GT$8:$GT$154)</f>
        <v>706.67314266666665</v>
      </c>
      <c r="GR11" s="292">
        <f>SUMPRODUCT(('ANALYSE - ERP =&gt; SOUS-SEGMENT'!$B$8:$B$154=$B11)*'ANALYSE - ERP =&gt; SOUS-SEGMENT'!$Q$8:$Q$154*'ANALYSE - ERP =&gt; SOUS-SEGMENT'!$GU$8:$GU$154)</f>
        <v>619.09362266666665</v>
      </c>
      <c r="GS11" s="292">
        <f>SUMPRODUCT(('ANALYSE - ERP =&gt; SOUS-SEGMENT'!$B$8:$B$154=$B11)*'ANALYSE - ERP =&gt; SOUS-SEGMENT'!$Q$8:$Q$154*'ANALYSE - ERP =&gt; SOUS-SEGMENT'!$GV$8:$GV$154)</f>
        <v>87.579520000000002</v>
      </c>
      <c r="GT11" s="292">
        <f>SUMPRODUCT(('ANALYSE - ERP =&gt; SOUS-SEGMENT'!$B$8:$B$154=$B11)*'ANALYSE - ERP =&gt; SOUS-SEGMENT'!$Q$8:$Q$154*'ANALYSE - ERP =&gt; SOUS-SEGMENT'!$GW$8:$GW$154)</f>
        <v>963.88549454545455</v>
      </c>
      <c r="GU11" s="292">
        <f>SUMPRODUCT(('ANALYSE - ERP =&gt; SOUS-SEGMENT'!$B$8:$B$154=$B11)*'ANALYSE - ERP =&gt; SOUS-SEGMENT'!$Q$8:$Q$154*'ANALYSE - ERP =&gt; SOUS-SEGMENT'!$GX$8:$GX$154)</f>
        <v>836.04405454545463</v>
      </c>
      <c r="GV11" s="292">
        <f>SUMPRODUCT(('ANALYSE - ERP =&gt; SOUS-SEGMENT'!$B$8:$B$154=$B11)*'ANALYSE - ERP =&gt; SOUS-SEGMENT'!$Q$8:$Q$154*'ANALYSE - ERP =&gt; SOUS-SEGMENT'!$GY$8:$GY$154)</f>
        <v>127.84144000000001</v>
      </c>
      <c r="GW11" s="292">
        <f>SUMPRODUCT(('ANALYSE - ERP =&gt; SOUS-SEGMENT'!$B$8:$B$154=$B11)*'ANALYSE - ERP =&gt; SOUS-SEGMENT'!$Q$8:$Q$154*'ANALYSE - ERP =&gt; SOUS-SEGMENT'!$GZ$8:$GZ$154)</f>
        <v>556.56837526984134</v>
      </c>
      <c r="GX11" s="292">
        <f>SUMPRODUCT(('ANALYSE - ERP =&gt; SOUS-SEGMENT'!$B$8:$B$154=$B11)*'ANALYSE - ERP =&gt; SOUS-SEGMENT'!$Q$8:$Q$154*'ANALYSE - ERP =&gt; SOUS-SEGMENT'!$HA$8:$HA$154)</f>
        <v>490.50133526984132</v>
      </c>
      <c r="GY11" s="292">
        <f>SUMPRODUCT(('ANALYSE - ERP =&gt; SOUS-SEGMENT'!$B$8:$B$154=$B11)*'ANALYSE - ERP =&gt; SOUS-SEGMENT'!$Q$8:$Q$154*'ANALYSE - ERP =&gt; SOUS-SEGMENT'!$HB$8:$HB$154)</f>
        <v>66.067040000000006</v>
      </c>
      <c r="GZ11" s="292">
        <f>SUMPRODUCT(('ANALYSE - ERP =&gt; SOUS-SEGMENT'!$B$8:$B$154=$B11)*'ANALYSE - ERP =&gt; SOUS-SEGMENT'!$Q$8:$Q$154*'ANALYSE - ERP =&gt; SOUS-SEGMENT'!$HC$8:$HC$154)</f>
        <v>6412.4730953333328</v>
      </c>
      <c r="HA11" s="292">
        <f>SUMPRODUCT(('ANALYSE - ERP =&gt; SOUS-SEGMENT'!$B$8:$B$154=$B11)*'ANALYSE - ERP =&gt; SOUS-SEGMENT'!$Q$8:$Q$154*'ANALYSE - ERP =&gt; SOUS-SEGMENT'!$HD$8:$HD$154)</f>
        <v>5666.0469772333336</v>
      </c>
      <c r="HB11" s="292">
        <f>SUMPRODUCT(('ANALYSE - ERP =&gt; SOUS-SEGMENT'!$B$8:$B$154=$B11)*'ANALYSE - ERP =&gt; SOUS-SEGMENT'!$Q$8:$Q$154*'ANALYSE - ERP =&gt; SOUS-SEGMENT'!$HE$8:$HE$154)</f>
        <v>746.42611810000017</v>
      </c>
      <c r="HC11" s="292">
        <f>SUMPRODUCT(('ANALYSE - ERP =&gt; SOUS-SEGMENT'!$B$8:$B$154=$B11)*'ANALYSE - ERP =&gt; SOUS-SEGMENT'!$Q$8:$Q$154*'ANALYSE - ERP =&gt; SOUS-SEGMENT'!$HF$8:$HF$154)</f>
        <v>33732.239815409092</v>
      </c>
      <c r="HD11" s="292">
        <f>SUMPRODUCT(('ANALYSE - ERP =&gt; SOUS-SEGMENT'!$B$8:$B$154=$B11)*'ANALYSE - ERP =&gt; SOUS-SEGMENT'!$Q$8:$Q$154*'ANALYSE - ERP =&gt; SOUS-SEGMENT'!$HG$8:$HG$154)</f>
        <v>27785.878689409092</v>
      </c>
      <c r="HE11" s="292">
        <f>SUMPRODUCT(('ANALYSE - ERP =&gt; SOUS-SEGMENT'!$B$8:$B$154=$B11)*'ANALYSE - ERP =&gt; SOUS-SEGMENT'!$Q$8:$Q$154*'ANALYSE - ERP =&gt; SOUS-SEGMENT'!$HH$8:$HH$154)</f>
        <v>5946.3611260000016</v>
      </c>
      <c r="HF11" s="292">
        <f>SUMPRODUCT(('ANALYSE - ERP =&gt; SOUS-SEGMENT'!$B$8:$B$154=$B11)*'ANALYSE - ERP =&gt; SOUS-SEGMENT'!$Q$8:$Q$154*'ANALYSE - ERP =&gt; SOUS-SEGMENT'!$HI$8:$HI$154)</f>
        <v>16465.908623382144</v>
      </c>
      <c r="HG11" s="292">
        <f>SUMPRODUCT(('ANALYSE - ERP =&gt; SOUS-SEGMENT'!$B$8:$B$154=$B11)*'ANALYSE - ERP =&gt; SOUS-SEGMENT'!$Q$8:$Q$154*'ANALYSE - ERP =&gt; SOUS-SEGMENT'!$HJ$8:$HJ$154)</f>
        <v>13503.330200982144</v>
      </c>
      <c r="HH11" s="292">
        <f>SUMPRODUCT(('ANALYSE - ERP =&gt; SOUS-SEGMENT'!$B$8:$B$154=$B11)*'ANALYSE - ERP =&gt; SOUS-SEGMENT'!$Q$8:$Q$154*'ANALYSE - ERP =&gt; SOUS-SEGMENT'!$HK$8:$HK$154)</f>
        <v>2962.5784224000013</v>
      </c>
      <c r="HI11" s="292">
        <f>SUMPRODUCT(('ANALYSE - ERP =&gt; SOUS-SEGMENT'!$B$8:$B$154=$B11)*'ANALYSE - ERP =&gt; SOUS-SEGMENT'!$Q$8:$Q$154*'ANALYSE - ERP =&gt; SOUS-SEGMENT'!$HL$8:$HL$154)</f>
        <v>18049.467484155557</v>
      </c>
      <c r="HJ11" s="292">
        <f>SUMPRODUCT(('ANALYSE - ERP =&gt; SOUS-SEGMENT'!$B$8:$B$154=$B11)*'ANALYSE - ERP =&gt; SOUS-SEGMENT'!$Q$8:$Q$154*'ANALYSE - ERP =&gt; SOUS-SEGMENT'!$HM$8:$HM$154)</f>
        <v>15495.641020655557</v>
      </c>
      <c r="HK11" s="292">
        <f>SUMPRODUCT(('ANALYSE - ERP =&gt; SOUS-SEGMENT'!$B$8:$B$154=$B11)*'ANALYSE - ERP =&gt; SOUS-SEGMENT'!$Q$8:$Q$154*'ANALYSE - ERP =&gt; SOUS-SEGMENT'!$HN$8:$HN$154)</f>
        <v>2553.8264635</v>
      </c>
      <c r="HL11" s="292">
        <f>SUMPRODUCT(('ANALYSE - ERP =&gt; SOUS-SEGMENT'!$B$8:$B$154=$B11)*'ANALYSE - ERP =&gt; SOUS-SEGMENT'!$Q$8:$Q$154*'ANALYSE - ERP =&gt; SOUS-SEGMENT'!$HO$8:$HO$154)</f>
        <v>154744.73974608333</v>
      </c>
      <c r="HM11" s="292">
        <f>SUMPRODUCT(('ANALYSE - ERP =&gt; SOUS-SEGMENT'!$B$8:$B$154=$B11)*'ANALYSE - ERP =&gt; SOUS-SEGMENT'!$Q$8:$Q$154*'ANALYSE - ERP =&gt; SOUS-SEGMENT'!$HP$8:$HP$154)</f>
        <v>131172.63500808334</v>
      </c>
      <c r="HN11" s="292">
        <f>SUMPRODUCT(('ANALYSE - ERP =&gt; SOUS-SEGMENT'!$B$8:$B$154=$B11)*'ANALYSE - ERP =&gt; SOUS-SEGMENT'!$Q$8:$Q$154*'ANALYSE - ERP =&gt; SOUS-SEGMENT'!$HQ$8:$HQ$154)</f>
        <v>23572.104737999998</v>
      </c>
      <c r="HO11" s="292">
        <f>SUMPRODUCT(('ANALYSE - ERP =&gt; SOUS-SEGMENT'!$B$8:$B$154=$B11)*'ANALYSE - ERP =&gt; SOUS-SEGMENT'!$Q$8:$Q$154*'ANALYSE - ERP =&gt; SOUS-SEGMENT'!$HR$8:$HR$154)</f>
        <v>101773.07213292424</v>
      </c>
      <c r="HP11" s="292">
        <f>SUMPRODUCT(('ANALYSE - ERP =&gt; SOUS-SEGMENT'!$B$8:$B$154=$B11)*'ANALYSE - ERP =&gt; SOUS-SEGMENT'!$Q$8:$Q$154*'ANALYSE - ERP =&gt; SOUS-SEGMENT'!$HS$8:$HS$154)</f>
        <v>79350.662824924235</v>
      </c>
      <c r="HQ11" s="292">
        <f>SUMPRODUCT(('ANALYSE - ERP =&gt; SOUS-SEGMENT'!$B$8:$B$154=$B11)*'ANALYSE - ERP =&gt; SOUS-SEGMENT'!$Q$8:$Q$154*'ANALYSE - ERP =&gt; SOUS-SEGMENT'!$HT$8:$HT$154)</f>
        <v>22422.409308000002</v>
      </c>
      <c r="HR11" s="292">
        <f>SUMPRODUCT(('ANALYSE - ERP =&gt; SOUS-SEGMENT'!$B$8:$B$154=$B11)*'ANALYSE - ERP =&gt; SOUS-SEGMENT'!$Q$8:$Q$154*'ANALYSE - ERP =&gt; SOUS-SEGMENT'!$HU$8:$HU$154)</f>
        <v>58268.883159791672</v>
      </c>
      <c r="HS11" s="292">
        <f>SUMPRODUCT(('ANALYSE - ERP =&gt; SOUS-SEGMENT'!$B$8:$B$154=$B11)*'ANALYSE - ERP =&gt; SOUS-SEGMENT'!$Q$8:$Q$154*'ANALYSE - ERP =&gt; SOUS-SEGMENT'!$HV$8:$HV$154)</f>
        <v>46632.51880579166</v>
      </c>
      <c r="HT11" s="292">
        <f>SUMPRODUCT(('ANALYSE - ERP =&gt; SOUS-SEGMENT'!$B$8:$B$154=$B11)*'ANALYSE - ERP =&gt; SOUS-SEGMENT'!$Q$8:$Q$154*'ANALYSE - ERP =&gt; SOUS-SEGMENT'!$HW$8:$HW$154)</f>
        <v>11636.364353999999</v>
      </c>
      <c r="HV11" s="297">
        <f t="shared" si="40"/>
        <v>1833332.5000000002</v>
      </c>
      <c r="HW11" s="297">
        <f>SUMPRODUCT(('ANALYSE - ERP =&gt; SOUS-SEGMENT'!$B$8:$B$154=$B11)*'ANALYSE - ERP =&gt; SOUS-SEGMENT'!$Q$8:$Q$154*'ANALYSE - ERP =&gt; SOUS-SEGMENT'!$HZ$8:$HZ$154)</f>
        <v>43747.617499999993</v>
      </c>
      <c r="HX11" s="297">
        <f>SUMPRODUCT(('ANALYSE - ERP =&gt; SOUS-SEGMENT'!$B$8:$B$154=$B11)*'ANALYSE - ERP =&gt; SOUS-SEGMENT'!$Q$8:$Q$154*'ANALYSE - ERP =&gt; SOUS-SEGMENT'!$IA$8:$IA$154)</f>
        <v>650690.41920000012</v>
      </c>
      <c r="HY11" s="297">
        <f>SUMPRODUCT(('ANALYSE - ERP =&gt; SOUS-SEGMENT'!$B$8:$B$154=$B11)*'ANALYSE - ERP =&gt; SOUS-SEGMENT'!$Q$8:$Q$154*'ANALYSE - ERP =&gt; SOUS-SEGMENT'!$IB$8:$IB$154)</f>
        <v>835846.21130000008</v>
      </c>
      <c r="HZ11" s="297">
        <f>SUMPRODUCT(('ANALYSE - ERP =&gt; SOUS-SEGMENT'!$B$8:$B$154=$B11)*'ANALYSE - ERP =&gt; SOUS-SEGMENT'!$Q$8:$Q$154*'ANALYSE - ERP =&gt; SOUS-SEGMENT'!$IC$8:$IC$154)</f>
        <v>257915.87180000002</v>
      </c>
      <c r="IA11" s="297">
        <f>SUMPRODUCT(('ANALYSE - ERP =&gt; SOUS-SEGMENT'!$B$8:$B$154=$B11)*'ANALYSE - ERP =&gt; SOUS-SEGMENT'!$Q$8:$Q$154*'ANALYSE - ERP =&gt; SOUS-SEGMENT'!$ID$8:$ID$154)</f>
        <v>45132.3802</v>
      </c>
      <c r="IB11" s="297">
        <f>SUMPRODUCT(('ANALYSE - ERP =&gt; SOUS-SEGMENT'!$B$8:$B$154=$B11)*'ANALYSE - ERP =&gt; SOUS-SEGMENT'!$Q$8:$Q$154*'ANALYSE - ERP =&gt; SOUS-SEGMENT'!$IE$8:$IE$154)</f>
        <v>713098.03599735571</v>
      </c>
      <c r="IC11" s="297">
        <f>SUMPRODUCT(('ANALYSE - ERP =&gt; SOUS-SEGMENT'!$B$8:$B$154=$B11)*'ANALYSE - ERP =&gt; SOUS-SEGMENT'!$Q$8:$Q$154*'ANALYSE - ERP =&gt; SOUS-SEGMENT'!$IF$8:$IF$154)</f>
        <v>1911.5890686824566</v>
      </c>
      <c r="ID11" s="297">
        <f>SUMPRODUCT(('ANALYSE - ERP =&gt; SOUS-SEGMENT'!$B$8:$B$154=$B11)*'ANALYSE - ERP =&gt; SOUS-SEGMENT'!$Q$8:$Q$154*'ANALYSE - ERP =&gt; SOUS-SEGMENT'!$IG$8:$IG$154)</f>
        <v>197249.45013809853</v>
      </c>
      <c r="IE11" s="297">
        <f>SUMPRODUCT(('ANALYSE - ERP =&gt; SOUS-SEGMENT'!$B$8:$B$154=$B11)*'ANALYSE - ERP =&gt; SOUS-SEGMENT'!$Q$8:$Q$154*'ANALYSE - ERP =&gt; SOUS-SEGMENT'!$IH$8:$IH$154)</f>
        <v>362732.44632451294</v>
      </c>
      <c r="IF11" s="297">
        <f>SUMPRODUCT(('ANALYSE - ERP =&gt; SOUS-SEGMENT'!$B$8:$B$154=$B11)*'ANALYSE - ERP =&gt; SOUS-SEGMENT'!$Q$8:$Q$154*'ANALYSE - ERP =&gt; SOUS-SEGMENT'!$II$8:$II$154)</f>
        <v>128876.01368975283</v>
      </c>
      <c r="IG11" s="297">
        <f>SUMPRODUCT(('ANALYSE - ERP =&gt; SOUS-SEGMENT'!$B$8:$B$154=$B11)*'ANALYSE - ERP =&gt; SOUS-SEGMENT'!$Q$8:$Q$154*'ANALYSE - ERP =&gt; SOUS-SEGMENT'!$IJ$8:$IJ$154)</f>
        <v>22328.53677630908</v>
      </c>
      <c r="IH11" s="888"/>
      <c r="II11" s="298" t="s">
        <v>2589</v>
      </c>
      <c r="IJ11" s="322" t="s">
        <v>7559</v>
      </c>
      <c r="IK11" s="657"/>
      <c r="IL11" s="779">
        <f>IFERROR(SUMPRODUCT(('ANALYSE - ERP =&gt; SOUS-SEGMENT'!$B$8:$B$154=$B11)*'ANALYSE - ERP =&gt; SOUS-SEGMENT'!$Q$8:$Q$154*'ANALYSE - ERP =&gt; SOUS-SEGMENT'!$BE$8:$BE$154*'ANALYSE - ERP =&gt; SOUS-SEGMENT'!$IO$8:$IO$154)/SUMPRODUCT(('ANALYSE - ERP =&gt; SOUS-SEGMENT'!$B$8:$B$154=$B11)*'ANALYSE - ERP =&gt; SOUS-SEGMENT'!$Q$8:$Q$154*'ANALYSE - ERP =&gt; SOUS-SEGMENT'!$BE$8:$BE$154),0)</f>
        <v>1.8159398784733462E-2</v>
      </c>
      <c r="IM11" s="780">
        <f>IFERROR(SUMPRODUCT(('ANALYSE - ERP =&gt; SOUS-SEGMENT'!$B$8:$B$154=$B11)*'ANALYSE - ERP =&gt; SOUS-SEGMENT'!$Q$8:$Q$154*'ANALYSE - ERP =&gt; SOUS-SEGMENT'!$BE$8:$BE$154*'ANALYSE - ERP =&gt; SOUS-SEGMENT'!$IP$8:$IP$154)/SUMPRODUCT(('ANALYSE - ERP =&gt; SOUS-SEGMENT'!$B$8:$B$154=$B11)*'ANALYSE - ERP =&gt; SOUS-SEGMENT'!$Q$8:$Q$154*'ANALYSE - ERP =&gt; SOUS-SEGMENT'!$BE$8:$BE$154),0)</f>
        <v>0.33253735221418512</v>
      </c>
      <c r="IN11" s="780">
        <f>IFERROR(SUMPRODUCT(('ANALYSE - ERP =&gt; SOUS-SEGMENT'!$B$8:$B$154=$B11)*'ANALYSE - ERP =&gt; SOUS-SEGMENT'!$Q$8:$Q$154*'ANALYSE - ERP =&gt; SOUS-SEGMENT'!$BE$8:$BE$154*'ANALYSE - ERP =&gt; SOUS-SEGMENT'!$IQ$8:$IQ$154)/SUMPRODUCT(('ANALYSE - ERP =&gt; SOUS-SEGMENT'!$B$8:$B$154=$B11)*'ANALYSE - ERP =&gt; SOUS-SEGMENT'!$Q$8:$Q$154*'ANALYSE - ERP =&gt; SOUS-SEGMENT'!$BE$8:$BE$154),0)</f>
        <v>0.46826958021436521</v>
      </c>
      <c r="IO11" s="780">
        <f>IFERROR(SUMPRODUCT(('ANALYSE - ERP =&gt; SOUS-SEGMENT'!$B$8:$B$154=$B11)*'ANALYSE - ERP =&gt; SOUS-SEGMENT'!$Q$8:$Q$154*'ANALYSE - ERP =&gt; SOUS-SEGMENT'!$BE$8:$BE$154*'ANALYSE - ERP =&gt; SOUS-SEGMENT'!$IR$8:$IR$154)/SUMPRODUCT(('ANALYSE - ERP =&gt; SOUS-SEGMENT'!$B$8:$B$154=$B11)*'ANALYSE - ERP =&gt; SOUS-SEGMENT'!$Q$8:$Q$154*'ANALYSE - ERP =&gt; SOUS-SEGMENT'!$BE$8:$BE$154),0)</f>
        <v>0.15405221027898519</v>
      </c>
      <c r="IP11" s="781">
        <f>IFERROR(SUMPRODUCT(('ANALYSE - ERP =&gt; SOUS-SEGMENT'!$B$8:$B$154=$B11)*'ANALYSE - ERP =&gt; SOUS-SEGMENT'!$Q$8:$Q$154*'ANALYSE - ERP =&gt; SOUS-SEGMENT'!$BE$8:$BE$154*'ANALYSE - ERP =&gt; SOUS-SEGMENT'!$IS$8:$IS$154)/SUMPRODUCT(('ANALYSE - ERP =&gt; SOUS-SEGMENT'!$B$8:$B$154=$B11)*'ANALYSE - ERP =&gt; SOUS-SEGMENT'!$Q$8:$Q$154*'ANALYSE - ERP =&gt; SOUS-SEGMENT'!$BE$8:$BE$154),0)</f>
        <v>2.698145850773102E-2</v>
      </c>
      <c r="IQ11" s="780">
        <f>IFERROR(SUMPRODUCT(('ANALYSE - ERP =&gt; SOUS-SEGMENT'!$B$8:$B$154=$B11)*'ANALYSE - ERP =&gt; SOUS-SEGMENT'!$Q$8:$Q$154*'ANALYSE - ERP =&gt; SOUS-SEGMENT'!$FB$8:$FB$154*'ANALYSE - ERP =&gt; SOUS-SEGMENT'!$IT$8:$IT$154)/SUMPRODUCT(('ANALYSE - ERP =&gt; SOUS-SEGMENT'!$B$8:$B$154=$B11)*'ANALYSE - ERP =&gt; SOUS-SEGMENT'!$Q$8:$Q$154*'ANALYSE - ERP =&gt; SOUS-SEGMENT'!$FB$8:$FB$154),0)</f>
        <v>5.8015764999344523E-4</v>
      </c>
      <c r="IR11" s="780">
        <f>IFERROR(SUMPRODUCT(('ANALYSE - ERP =&gt; SOUS-SEGMENT'!$B$8:$B$154=$B11)*'ANALYSE - ERP =&gt; SOUS-SEGMENT'!$Q$8:$Q$154*'ANALYSE - ERP =&gt; SOUS-SEGMENT'!$FB$8:$FB$154*'ANALYSE - ERP =&gt; SOUS-SEGMENT'!$IU$8:$IU$154)/SUMPRODUCT(('ANALYSE - ERP =&gt; SOUS-SEGMENT'!$B$8:$B$154=$B11)*'ANALYSE - ERP =&gt; SOUS-SEGMENT'!$Q$8:$Q$154*'ANALYSE - ERP =&gt; SOUS-SEGMENT'!$FB$8:$FB$154),0)</f>
        <v>0.25099514900477171</v>
      </c>
      <c r="IS11" s="780">
        <f>IFERROR(SUMPRODUCT(('ANALYSE - ERP =&gt; SOUS-SEGMENT'!$B$8:$B$154=$B11)*'ANALYSE - ERP =&gt; SOUS-SEGMENT'!$Q$8:$Q$154*'ANALYSE - ERP =&gt; SOUS-SEGMENT'!$FB$8:$FB$154*'ANALYSE - ERP =&gt; SOUS-SEGMENT'!$IV$8:$IV$154)/SUMPRODUCT(('ANALYSE - ERP =&gt; SOUS-SEGMENT'!$B$8:$B$154=$B11)*'ANALYSE - ERP =&gt; SOUS-SEGMENT'!$Q$8:$Q$154*'ANALYSE - ERP =&gt; SOUS-SEGMENT'!$FB$8:$FB$154),0)</f>
        <v>0.51560221875334811</v>
      </c>
      <c r="IT11" s="780">
        <f>IFERROR(SUMPRODUCT(('ANALYSE - ERP =&gt; SOUS-SEGMENT'!$B$8:$B$154=$B11)*'ANALYSE - ERP =&gt; SOUS-SEGMENT'!$Q$8:$Q$154*'ANALYSE - ERP =&gt; SOUS-SEGMENT'!$FB$8:$FB$154*'ANALYSE - ERP =&gt; SOUS-SEGMENT'!$IW$8:$IW$154)/SUMPRODUCT(('ANALYSE - ERP =&gt; SOUS-SEGMENT'!$B$8:$B$154=$B11)*'ANALYSE - ERP =&gt; SOUS-SEGMENT'!$Q$8:$Q$154*'ANALYSE - ERP =&gt; SOUS-SEGMENT'!$FB$8:$FB$154),0)</f>
        <v>0.19845192641449408</v>
      </c>
      <c r="IU11" s="780">
        <f>IFERROR(SUMPRODUCT(('ANALYSE - ERP =&gt; SOUS-SEGMENT'!$B$8:$B$154=$B11)*'ANALYSE - ERP =&gt; SOUS-SEGMENT'!$Q$8:$Q$154*'ANALYSE - ERP =&gt; SOUS-SEGMENT'!$FB$8:$FB$154*'ANALYSE - ERP =&gt; SOUS-SEGMENT'!$IX$8:$IX$154)/SUMPRODUCT(('ANALYSE - ERP =&gt; SOUS-SEGMENT'!$B$8:$B$154=$B11)*'ANALYSE - ERP =&gt; SOUS-SEGMENT'!$Q$8:$Q$154*'ANALYSE - ERP =&gt; SOUS-SEGMENT'!$FB$8:$FB$154),0)</f>
        <v>3.4370548177392553E-2</v>
      </c>
      <c r="IV11" s="782">
        <f>IFERROR(SUMPRODUCT(('ANALYSE - ERP =&gt; SOUS-SEGMENT'!$B$8:$B$154=$B11)*'ANALYSE - ERP =&gt; SOUS-SEGMENT'!$Q$8:$Q$154*'ANALYSE - ERP =&gt; SOUS-SEGMENT'!$BF$8:$BF$154*'ANALYSE - ERP =&gt; SOUS-SEGMENT'!$IY$8:$IY$154)/SUMPRODUCT(('ANALYSE - ERP =&gt; SOUS-SEGMENT'!$B$8:$B$154=$B11)*'ANALYSE - ERP =&gt; SOUS-SEGMENT'!$Q$8:$Q$154*'ANALYSE - ERP =&gt; SOUS-SEGMENT'!$BF$8:$BF$154),0)</f>
        <v>4.2635431918008788E-3</v>
      </c>
      <c r="IW11" s="780">
        <f>IFERROR(SUMPRODUCT(('ANALYSE - ERP =&gt; SOUS-SEGMENT'!$B$8:$B$154=$B11)*'ANALYSE - ERP =&gt; SOUS-SEGMENT'!$Q$8:$Q$154*'ANALYSE - ERP =&gt; SOUS-SEGMENT'!$BF$8:$BF$154*'ANALYSE - ERP =&gt; SOUS-SEGMENT'!$IZ$8:$IZ$154)/SUMPRODUCT(('ANALYSE - ERP =&gt; SOUS-SEGMENT'!$B$8:$B$154=$B11)*'ANALYSE - ERP =&gt; SOUS-SEGMENT'!$Q$8:$Q$154*'ANALYSE - ERP =&gt; SOUS-SEGMENT'!$BF$8:$BF$154),0)</f>
        <v>0.16955197657393853</v>
      </c>
      <c r="IX11" s="780">
        <f>IFERROR(SUMPRODUCT(('ANALYSE - ERP =&gt; SOUS-SEGMENT'!$B$8:$B$154=$B11)*'ANALYSE - ERP =&gt; SOUS-SEGMENT'!$Q$8:$Q$154*'ANALYSE - ERP =&gt; SOUS-SEGMENT'!$BF$8:$BF$154*'ANALYSE - ERP =&gt; SOUS-SEGMENT'!$JA$8:$JA$154)/SUMPRODUCT(('ANALYSE - ERP =&gt; SOUS-SEGMENT'!$B$8:$B$154=$B11)*'ANALYSE - ERP =&gt; SOUS-SEGMENT'!$Q$8:$Q$154*'ANALYSE - ERP =&gt; SOUS-SEGMENT'!$BF$8:$BF$154),0)</f>
        <v>0.37404978038067349</v>
      </c>
      <c r="IY11" s="780">
        <f>IFERROR(SUMPRODUCT(('ANALYSE - ERP =&gt; SOUS-SEGMENT'!$B$8:$B$154=$B11)*'ANALYSE - ERP =&gt; SOUS-SEGMENT'!$Q$8:$Q$154*'ANALYSE - ERP =&gt; SOUS-SEGMENT'!$BF$8:$BF$154*'ANALYSE - ERP =&gt; SOUS-SEGMENT'!$JB$8:$JB$154)/SUMPRODUCT(('ANALYSE - ERP =&gt; SOUS-SEGMENT'!$B$8:$B$154=$B11)*'ANALYSE - ERP =&gt; SOUS-SEGMENT'!$Q$8:$Q$154*'ANALYSE - ERP =&gt; SOUS-SEGMENT'!$BF$8:$BF$154),0)</f>
        <v>0.19627525622254757</v>
      </c>
      <c r="IZ11" s="781">
        <f>IFERROR(SUMPRODUCT(('ANALYSE - ERP =&gt; SOUS-SEGMENT'!$B$8:$B$154=$B11)*'ANALYSE - ERP =&gt; SOUS-SEGMENT'!$Q$8:$Q$154*'ANALYSE - ERP =&gt; SOUS-SEGMENT'!$BF$8:$BF$154*'ANALYSE - ERP =&gt; SOUS-SEGMENT'!$JC$8:$JC$154)/SUMPRODUCT(('ANALYSE - ERP =&gt; SOUS-SEGMENT'!$B$8:$B$154=$B11)*'ANALYSE - ERP =&gt; SOUS-SEGMENT'!$Q$8:$Q$154*'ANALYSE - ERP =&gt; SOUS-SEGMENT'!$BF$8:$BF$154),0)</f>
        <v>1.7206442166910689E-2</v>
      </c>
      <c r="JA11" s="780">
        <f>IFERROR(SUMPRODUCT(('ANALYSE - ERP =&gt; SOUS-SEGMENT'!$B$8:$B$154=$B11)*'ANALYSE - ERP =&gt; SOUS-SEGMENT'!$Q$8:$Q$154*'ANALYSE - ERP =&gt; SOUS-SEGMENT'!$FE$8:$FE$154*'ANALYSE - ERP =&gt; SOUS-SEGMENT'!$JD$8:$JD$154)/SUMPRODUCT(('ANALYSE - ERP =&gt; SOUS-SEGMENT'!$B$8:$B$154=$B11)*'ANALYSE - ERP =&gt; SOUS-SEGMENT'!$Q$8:$Q$154*'ANALYSE - ERP =&gt; SOUS-SEGMENT'!$FE$8:$FE$154),0)</f>
        <v>0</v>
      </c>
      <c r="JB11" s="780">
        <f>IFERROR(SUMPRODUCT(('ANALYSE - ERP =&gt; SOUS-SEGMENT'!$B$8:$B$154=$B11)*'ANALYSE - ERP =&gt; SOUS-SEGMENT'!$Q$8:$Q$154*'ANALYSE - ERP =&gt; SOUS-SEGMENT'!$FE$8:$FE$154*'ANALYSE - ERP =&gt; SOUS-SEGMENT'!$JE$8:$JE$154)/SUMPRODUCT(('ANALYSE - ERP =&gt; SOUS-SEGMENT'!$B$8:$B$154=$B11)*'ANALYSE - ERP =&gt; SOUS-SEGMENT'!$Q$8:$Q$154*'ANALYSE - ERP =&gt; SOUS-SEGMENT'!$FE$8:$FE$154),0)</f>
        <v>0.14480873116599444</v>
      </c>
      <c r="JC11" s="780">
        <f>IFERROR(SUMPRODUCT(('ANALYSE - ERP =&gt; SOUS-SEGMENT'!$B$8:$B$154=$B11)*'ANALYSE - ERP =&gt; SOUS-SEGMENT'!$Q$8:$Q$154*'ANALYSE - ERP =&gt; SOUS-SEGMENT'!$FE$8:$FE$154*'ANALYSE - ERP =&gt; SOUS-SEGMENT'!$JF$8:$JF$154)/SUMPRODUCT(('ANALYSE - ERP =&gt; SOUS-SEGMENT'!$B$8:$B$154=$B11)*'ANALYSE - ERP =&gt; SOUS-SEGMENT'!$Q$8:$Q$154*'ANALYSE - ERP =&gt; SOUS-SEGMENT'!$FE$8:$FE$154),0)</f>
        <v>0.39936392742847543</v>
      </c>
      <c r="JD11" s="780">
        <f>IFERROR(SUMPRODUCT(('ANALYSE - ERP =&gt; SOUS-SEGMENT'!$B$8:$B$154=$B11)*'ANALYSE - ERP =&gt; SOUS-SEGMENT'!$Q$8:$Q$154*'ANALYSE - ERP =&gt; SOUS-SEGMENT'!$FE$8:$FE$154*'ANALYSE - ERP =&gt; SOUS-SEGMENT'!$JG$8:$JG$154)/SUMPRODUCT(('ANALYSE - ERP =&gt; SOUS-SEGMENT'!$B$8:$B$154=$B11)*'ANALYSE - ERP =&gt; SOUS-SEGMENT'!$Q$8:$Q$154*'ANALYSE - ERP =&gt; SOUS-SEGMENT'!$FE$8:$FE$154),0)</f>
        <v>0.21980738997834989</v>
      </c>
      <c r="JE11" s="780">
        <f>IFERROR(SUMPRODUCT(('ANALYSE - ERP =&gt; SOUS-SEGMENT'!$B$8:$B$154=$B11)*'ANALYSE - ERP =&gt; SOUS-SEGMENT'!$Q$8:$Q$154*'ANALYSE - ERP =&gt; SOUS-SEGMENT'!$FE$8:$FE$154*'ANALYSE - ERP =&gt; SOUS-SEGMENT'!$JH$8:$JH$154)/SUMPRODUCT(('ANALYSE - ERP =&gt; SOUS-SEGMENT'!$B$8:$B$154=$B11)*'ANALYSE - ERP =&gt; SOUS-SEGMENT'!$Q$8:$Q$154*'ANALYSE - ERP =&gt; SOUS-SEGMENT'!$FE$8:$FE$154),0)</f>
        <v>2.2169414869061037E-2</v>
      </c>
      <c r="JF11" s="782">
        <f>IFERROR(SUMPRODUCT(('ANALYSE - ERP =&gt; SOUS-SEGMENT'!$B$8:$B$154=$B11)*'ANALYSE - ERP =&gt; SOUS-SEGMENT'!$Q$8:$Q$154*'ANALYSE - ERP =&gt; SOUS-SEGMENT'!$BG$8:$BG$154*'ANALYSE - ERP =&gt; SOUS-SEGMENT'!$JI$8:$JI$154)/SUMPRODUCT(('ANALYSE - ERP =&gt; SOUS-SEGMENT'!$B$8:$B$154=$B11)*'ANALYSE - ERP =&gt; SOUS-SEGMENT'!$Q$8:$Q$154*'ANALYSE - ERP =&gt; SOUS-SEGMENT'!$BG$8:$BG$154),0)</f>
        <v>5.2576708619531398E-2</v>
      </c>
      <c r="JG11" s="780">
        <f>IFERROR(SUMPRODUCT(('ANALYSE - ERP =&gt; SOUS-SEGMENT'!$B$8:$B$154=$B11)*'ANALYSE - ERP =&gt; SOUS-SEGMENT'!$Q$8:$Q$154*'ANALYSE - ERP =&gt; SOUS-SEGMENT'!$BG$8:$BG$154*'ANALYSE - ERP =&gt; SOUS-SEGMENT'!$JJ$8:$JJ$154)/SUMPRODUCT(('ANALYSE - ERP =&gt; SOUS-SEGMENT'!$B$8:$B$154=$B11)*'ANALYSE - ERP =&gt; SOUS-SEGMENT'!$Q$8:$Q$154*'ANALYSE - ERP =&gt; SOUS-SEGMENT'!$BG$8:$BG$154),0)</f>
        <v>0.46062026282235841</v>
      </c>
      <c r="JH11" s="780">
        <f>IFERROR(SUMPRODUCT(('ANALYSE - ERP =&gt; SOUS-SEGMENT'!$B$8:$B$154=$B11)*'ANALYSE - ERP =&gt; SOUS-SEGMENT'!$Q$8:$Q$154*'ANALYSE - ERP =&gt; SOUS-SEGMENT'!$BG$8:$BG$154*'ANALYSE - ERP =&gt; SOUS-SEGMENT'!$JK$8:$JK$154)/SUMPRODUCT(('ANALYSE - ERP =&gt; SOUS-SEGMENT'!$B$8:$B$154=$B11)*'ANALYSE - ERP =&gt; SOUS-SEGMENT'!$Q$8:$Q$154*'ANALYSE - ERP =&gt; SOUS-SEGMENT'!$BG$8:$BG$154),0)</f>
        <v>0.38142048286924696</v>
      </c>
      <c r="JI11" s="780">
        <f>IFERROR(SUMPRODUCT(('ANALYSE - ERP =&gt; SOUS-SEGMENT'!$B$8:$B$154=$B11)*'ANALYSE - ERP =&gt; SOUS-SEGMENT'!$Q$8:$Q$154*'ANALYSE - ERP =&gt; SOUS-SEGMENT'!$BG$8:$BG$154*'ANALYSE - ERP =&gt; SOUS-SEGMENT'!$JL$8:$JL$154)/SUMPRODUCT(('ANALYSE - ERP =&gt; SOUS-SEGMENT'!$B$8:$B$154=$B11)*'ANALYSE - ERP =&gt; SOUS-SEGMENT'!$Q$8:$Q$154*'ANALYSE - ERP =&gt; SOUS-SEGMENT'!$BG$8:$BG$154),0)</f>
        <v>8.923927391381839E-2</v>
      </c>
      <c r="JJ11" s="781">
        <f>IFERROR(SUMPRODUCT(('ANALYSE - ERP =&gt; SOUS-SEGMENT'!$B$8:$B$154=$B11)*'ANALYSE - ERP =&gt; SOUS-SEGMENT'!$Q$8:$Q$154*'ANALYSE - ERP =&gt; SOUS-SEGMENT'!$BG$8:$BG$154*'ANALYSE - ERP =&gt; SOUS-SEGMENT'!$JM$8:$JM$154)/SUMPRODUCT(('ANALYSE - ERP =&gt; SOUS-SEGMENT'!$B$8:$B$154=$B11)*'ANALYSE - ERP =&gt; SOUS-SEGMENT'!$Q$8:$Q$154*'ANALYSE - ERP =&gt; SOUS-SEGMENT'!$BG$8:$BG$154),0)</f>
        <v>1.6143271775044904E-2</v>
      </c>
      <c r="JK11" s="780">
        <f>IFERROR(SUMPRODUCT(('ANALYSE - ERP =&gt; SOUS-SEGMENT'!$B$8:$B$154=$B11)*'ANALYSE - ERP =&gt; SOUS-SEGMENT'!$Q$8:$Q$154*'ANALYSE - ERP =&gt; SOUS-SEGMENT'!$FH$8:$FH$154*'ANALYSE - ERP =&gt; SOUS-SEGMENT'!$JN$8:$JN$154)/SUMPRODUCT(('ANALYSE - ERP =&gt; SOUS-SEGMENT'!$B$8:$B$154=$B11)*'ANALYSE - ERP =&gt; SOUS-SEGMENT'!$Q$8:$Q$154*'ANALYSE - ERP =&gt; SOUS-SEGMENT'!$FH$8:$FH$154),0)</f>
        <v>1.3148365089009453E-2</v>
      </c>
      <c r="JL11" s="780">
        <f>IFERROR(SUMPRODUCT(('ANALYSE - ERP =&gt; SOUS-SEGMENT'!$B$8:$B$154=$B11)*'ANALYSE - ERP =&gt; SOUS-SEGMENT'!$Q$8:$Q$154*'ANALYSE - ERP =&gt; SOUS-SEGMENT'!$FH$8:$FH$154*'ANALYSE - ERP =&gt; SOUS-SEGMENT'!$JO$8:$JO$154)/SUMPRODUCT(('ANALYSE - ERP =&gt; SOUS-SEGMENT'!$B$8:$B$154=$B11)*'ANALYSE - ERP =&gt; SOUS-SEGMENT'!$Q$8:$Q$154*'ANALYSE - ERP =&gt; SOUS-SEGMENT'!$FH$8:$FH$154),0)</f>
        <v>0.3988490335256939</v>
      </c>
      <c r="JM11" s="780">
        <f>IFERROR(SUMPRODUCT(('ANALYSE - ERP =&gt; SOUS-SEGMENT'!$B$8:$B$154=$B11)*'ANALYSE - ERP =&gt; SOUS-SEGMENT'!$Q$8:$Q$154*'ANALYSE - ERP =&gt; SOUS-SEGMENT'!$FH$8:$FH$154*'ANALYSE - ERP =&gt; SOUS-SEGMENT'!$JP$8:$JP$154)/SUMPRODUCT(('ANALYSE - ERP =&gt; SOUS-SEGMENT'!$B$8:$B$154=$B11)*'ANALYSE - ERP =&gt; SOUS-SEGMENT'!$Q$8:$Q$154*'ANALYSE - ERP =&gt; SOUS-SEGMENT'!$FH$8:$FH$154),0)</f>
        <v>0.45001544137200117</v>
      </c>
      <c r="JN11" s="780">
        <f>IFERROR(SUMPRODUCT(('ANALYSE - ERP =&gt; SOUS-SEGMENT'!$B$8:$B$154=$B11)*'ANALYSE - ERP =&gt; SOUS-SEGMENT'!$Q$8:$Q$154*'ANALYSE - ERP =&gt; SOUS-SEGMENT'!$FH$8:$FH$154*'ANALYSE - ERP =&gt; SOUS-SEGMENT'!$JQ$8:$JQ$154)/SUMPRODUCT(('ANALYSE - ERP =&gt; SOUS-SEGMENT'!$B$8:$B$154=$B11)*'ANALYSE - ERP =&gt; SOUS-SEGMENT'!$Q$8:$Q$154*'ANALYSE - ERP =&gt; SOUS-SEGMENT'!$FH$8:$FH$154),0)</f>
        <v>0.1168624933666411</v>
      </c>
      <c r="JO11" s="780">
        <f>IFERROR(SUMPRODUCT(('ANALYSE - ERP =&gt; SOUS-SEGMENT'!$B$8:$B$154=$B11)*'ANALYSE - ERP =&gt; SOUS-SEGMENT'!$Q$8:$Q$154*'ANALYSE - ERP =&gt; SOUS-SEGMENT'!$FH$8:$FH$154*'ANALYSE - ERP =&gt; SOUS-SEGMENT'!$JR$8:$JR$154)/SUMPRODUCT(('ANALYSE - ERP =&gt; SOUS-SEGMENT'!$B$8:$B$154=$B11)*'ANALYSE - ERP =&gt; SOUS-SEGMENT'!$Q$8:$Q$154*'ANALYSE - ERP =&gt; SOUS-SEGMENT'!$FH$8:$FH$154),0)</f>
        <v>2.1124666646654345E-2</v>
      </c>
      <c r="JP11" s="782">
        <f>IFERROR(SUMPRODUCT(('ANALYSE - ERP =&gt; SOUS-SEGMENT'!$B$8:$B$154=$B11)*'ANALYSE - ERP =&gt; SOUS-SEGMENT'!$Q$8:$Q$154*'ANALYSE - ERP =&gt; SOUS-SEGMENT'!$BH$8:$BH$154*'ANALYSE - ERP =&gt; SOUS-SEGMENT'!$JS$8:$JS$154)/SUMPRODUCT(('ANALYSE - ERP =&gt; SOUS-SEGMENT'!$B$8:$B$154=$B11)*'ANALYSE - ERP =&gt; SOUS-SEGMENT'!$Q$8:$Q$154*'ANALYSE - ERP =&gt; SOUS-SEGMENT'!$BH$8:$BH$154),0)</f>
        <v>2.6297912344629578E-2</v>
      </c>
      <c r="JQ11" s="780">
        <f>IFERROR(SUMPRODUCT(('ANALYSE - ERP =&gt; SOUS-SEGMENT'!$B$8:$B$154=$B11)*'ANALYSE - ERP =&gt; SOUS-SEGMENT'!$Q$8:$Q$154*'ANALYSE - ERP =&gt; SOUS-SEGMENT'!$BH$8:$BH$154*'ANALYSE - ERP =&gt; SOUS-SEGMENT'!$JT$8:$JT$154)/SUMPRODUCT(('ANALYSE - ERP =&gt; SOUS-SEGMENT'!$B$8:$B$154=$B11)*'ANALYSE - ERP =&gt; SOUS-SEGMENT'!$Q$8:$Q$154*'ANALYSE - ERP =&gt; SOUS-SEGMENT'!$BH$8:$BH$154),0)</f>
        <v>0.36630117103675391</v>
      </c>
      <c r="JR11" s="780">
        <f>IFERROR(SUMPRODUCT(('ANALYSE - ERP =&gt; SOUS-SEGMENT'!$B$8:$B$154=$B11)*'ANALYSE - ERP =&gt; SOUS-SEGMENT'!$Q$8:$Q$154*'ANALYSE - ERP =&gt; SOUS-SEGMENT'!$BH$8:$BH$154*'ANALYSE - ERP =&gt; SOUS-SEGMENT'!$JU$8:$JU$154)/SUMPRODUCT(('ANALYSE - ERP =&gt; SOUS-SEGMENT'!$B$8:$B$154=$B11)*'ANALYSE - ERP =&gt; SOUS-SEGMENT'!$Q$8:$Q$154*'ANALYSE - ERP =&gt; SOUS-SEGMENT'!$BH$8:$BH$154),0)</f>
        <v>0.45332711930902891</v>
      </c>
      <c r="JS11" s="780">
        <f>IFERROR(SUMPRODUCT(('ANALYSE - ERP =&gt; SOUS-SEGMENT'!$B$8:$B$154=$B11)*'ANALYSE - ERP =&gt; SOUS-SEGMENT'!$Q$8:$Q$154*'ANALYSE - ERP =&gt; SOUS-SEGMENT'!$BH$8:$BH$154*'ANALYSE - ERP =&gt; SOUS-SEGMENT'!$JV$8:$JV$154)/SUMPRODUCT(('ANALYSE - ERP =&gt; SOUS-SEGMENT'!$B$8:$B$154=$B11)*'ANALYSE - ERP =&gt; SOUS-SEGMENT'!$Q$8:$Q$154*'ANALYSE - ERP =&gt; SOUS-SEGMENT'!$BH$8:$BH$154),0)</f>
        <v>0.13116120123404684</v>
      </c>
      <c r="JT11" s="781">
        <f>IFERROR(SUMPRODUCT(('ANALYSE - ERP =&gt; SOUS-SEGMENT'!$B$8:$B$154=$B11)*'ANALYSE - ERP =&gt; SOUS-SEGMENT'!$Q$8:$Q$154*'ANALYSE - ERP =&gt; SOUS-SEGMENT'!$BH$8:$BH$154*'ANALYSE - ERP =&gt; SOUS-SEGMENT'!$JW$8:$JW$154)/SUMPRODUCT(('ANALYSE - ERP =&gt; SOUS-SEGMENT'!$B$8:$B$154=$B11)*'ANALYSE - ERP =&gt; SOUS-SEGMENT'!$Q$8:$Q$154*'ANALYSE - ERP =&gt; SOUS-SEGMENT'!$BH$8:$BH$154),0)</f>
        <v>2.2912596075540789E-2</v>
      </c>
      <c r="JU11" s="782">
        <f>IFERROR(SUMPRODUCT(('ANALYSE - ERP =&gt; SOUS-SEGMENT'!$B$8:$B$154=$B11)*'ANALYSE - ERP =&gt; SOUS-SEGMENT'!$Q$8:$Q$154*'ANALYSE - ERP =&gt; SOUS-SEGMENT'!$FK$8:$FK$154*'ANALYSE - ERP =&gt; SOUS-SEGMENT'!$JX$8:$JX$154)/SUMPRODUCT(('ANALYSE - ERP =&gt; SOUS-SEGMENT'!$B$8:$B$154=$B11)*'ANALYSE - ERP =&gt; SOUS-SEGMENT'!$Q$8:$Q$154*'ANALYSE - ERP =&gt; SOUS-SEGMENT'!$FK$8:$FK$154),0)</f>
        <v>3.3561841000395282E-3</v>
      </c>
      <c r="JV11" s="780">
        <f>IFERROR(SUMPRODUCT(('ANALYSE - ERP =&gt; SOUS-SEGMENT'!$B$8:$B$154=$B11)*'ANALYSE - ERP =&gt; SOUS-SEGMENT'!$Q$8:$Q$154*'ANALYSE - ERP =&gt; SOUS-SEGMENT'!$FK$8:$FK$154*'ANALYSE - ERP =&gt; SOUS-SEGMENT'!$JY$8:$JY$154)/SUMPRODUCT(('ANALYSE - ERP =&gt; SOUS-SEGMENT'!$B$8:$B$154=$B11)*'ANALYSE - ERP =&gt; SOUS-SEGMENT'!$Q$8:$Q$154*'ANALYSE - ERP =&gt; SOUS-SEGMENT'!$FK$8:$FK$154),0)</f>
        <v>0.28651393350460019</v>
      </c>
      <c r="JW11" s="780">
        <f>IFERROR(SUMPRODUCT(('ANALYSE - ERP =&gt; SOUS-SEGMENT'!$B$8:$B$154=$B11)*'ANALYSE - ERP =&gt; SOUS-SEGMENT'!$Q$8:$Q$154*'ANALYSE - ERP =&gt; SOUS-SEGMENT'!$FK$8:$FK$154*'ANALYSE - ERP =&gt; SOUS-SEGMENT'!$JZ$8:$JZ$154)/SUMPRODUCT(('ANALYSE - ERP =&gt; SOUS-SEGMENT'!$B$8:$B$154=$B11)*'ANALYSE - ERP =&gt; SOUS-SEGMENT'!$Q$8:$Q$154*'ANALYSE - ERP =&gt; SOUS-SEGMENT'!$FK$8:$FK$154),0)</f>
        <v>0.51235554095779334</v>
      </c>
      <c r="JX11" s="780">
        <f>IFERROR(SUMPRODUCT(('ANALYSE - ERP =&gt; SOUS-SEGMENT'!$B$8:$B$154=$B11)*'ANALYSE - ERP =&gt; SOUS-SEGMENT'!$Q$8:$Q$154*'ANALYSE - ERP =&gt; SOUS-SEGMENT'!$FK$8:$FK$154*'ANALYSE - ERP =&gt; SOUS-SEGMENT'!$KA$8:$KA$154)/SUMPRODUCT(('ANALYSE - ERP =&gt; SOUS-SEGMENT'!$B$8:$B$154=$B11)*'ANALYSE - ERP =&gt; SOUS-SEGMENT'!$Q$8:$Q$154*'ANALYSE - ERP =&gt; SOUS-SEGMENT'!$FK$8:$FK$154),0)</f>
        <v>0.1686316672334571</v>
      </c>
      <c r="JY11" s="783">
        <f>IFERROR(SUMPRODUCT(('ANALYSE - ERP =&gt; SOUS-SEGMENT'!$B$8:$B$154=$B11)*'ANALYSE - ERP =&gt; SOUS-SEGMENT'!$Q$8:$Q$154*'ANALYSE - ERP =&gt; SOUS-SEGMENT'!$FK$8:$FK$154*'ANALYSE - ERP =&gt; SOUS-SEGMENT'!$KB$8:$KB$154)/SUMPRODUCT(('ANALYSE - ERP =&gt; SOUS-SEGMENT'!$B$8:$B$154=$B11)*'ANALYSE - ERP =&gt; SOUS-SEGMENT'!$Q$8:$Q$154*'ANALYSE - ERP =&gt; SOUS-SEGMENT'!$FK$8:$FK$154),0)</f>
        <v>2.9142674204110049E-2</v>
      </c>
      <c r="JZ11" s="657"/>
      <c r="KA11" s="298" t="s">
        <v>2591</v>
      </c>
      <c r="KB11" s="298" t="s">
        <v>2625</v>
      </c>
      <c r="KC11" s="888">
        <f>IFERROR(SUMPRODUCT(('ANALYSE - ERP =&gt; SOUS-SEGMENT'!$B$8:$B$154=$B11)*'ANALYSE - ERP =&gt; SOUS-SEGMENT'!$Q$8:$Q$154*'ANALYSE - ERP =&gt; SOUS-SEGMENT'!$EX$8:$EX$154*'ANALYSE - ERP =&gt; SOUS-SEGMENT'!$KF$8:$KF$154)/SUMPRODUCT(('ANALYSE - ERP =&gt; SOUS-SEGMENT'!$B$8:$B$154=$B11)*'ANALYSE - ERP =&gt; SOUS-SEGMENT'!$Q$8:$Q$154*'ANALYSE - ERP =&gt; SOUS-SEGMENT'!$EX$8:$EX$154),"")</f>
        <v>3.9626199000411728</v>
      </c>
      <c r="KD11" s="298" t="s">
        <v>2589</v>
      </c>
      <c r="KE11" s="300" t="s">
        <v>3927</v>
      </c>
      <c r="KF11" s="300" t="s">
        <v>7559</v>
      </c>
      <c r="KG11" s="300" t="s">
        <v>7559</v>
      </c>
    </row>
    <row r="12" spans="1:293" ht="99" customHeight="1">
      <c r="A12" s="273">
        <v>5</v>
      </c>
      <c r="B12" s="486" t="s">
        <v>2264</v>
      </c>
      <c r="C12" s="486" t="s">
        <v>7589</v>
      </c>
      <c r="D12" s="486" t="s">
        <v>7590</v>
      </c>
      <c r="E12" s="275" t="s">
        <v>7591</v>
      </c>
      <c r="F12" s="275" t="s">
        <v>7093</v>
      </c>
      <c r="G12" s="275" t="s">
        <v>7592</v>
      </c>
      <c r="H12" s="275" t="s">
        <v>2117</v>
      </c>
      <c r="I12" s="296" t="s">
        <v>7593</v>
      </c>
      <c r="J12" s="296" t="s">
        <v>7594</v>
      </c>
      <c r="K12" s="277" t="s">
        <v>2097</v>
      </c>
      <c r="L12" s="277" t="s">
        <v>2109</v>
      </c>
      <c r="M12" s="277" t="s">
        <v>7097</v>
      </c>
      <c r="N12" s="277" t="s">
        <v>6742</v>
      </c>
      <c r="O12" s="277" t="s">
        <v>2616</v>
      </c>
      <c r="P12" s="276"/>
      <c r="Q12" s="270">
        <f>IF(SUMPRODUCT(('ANALYSE - ERP =&gt; SOUS-SEGMENT'!$B$8:$B$154=$B12)*'ANALYSE - ERP =&gt; SOUS-SEGMENT'!$Q$8:$Q$154)&gt;0,1,0)</f>
        <v>1</v>
      </c>
      <c r="R12" s="278">
        <f>IFERROR(SUMPRODUCT(('ANALYSE - ERP =&gt; SOUS-SEGMENT'!$B$8:$B$154=$B12)*'ANALYSE - ERP =&gt; SOUS-SEGMENT'!$Q$8:$Q$154*'ANALYSE - ERP =&gt; SOUS-SEGMENT'!$AG$8:$AG$154*'ANALYSE - ERP =&gt; SOUS-SEGMENT'!$R$8:$R$154)/SUMPRODUCT(('ANALYSE - ERP =&gt; SOUS-SEGMENT'!$B$8:$B$154=$B12)*'ANALYSE - ERP =&gt; SOUS-SEGMENT'!$Q$8:$Q$154*'ANALYSE - ERP =&gt; SOUS-SEGMENT'!$AG$8:$AG$154),"")</f>
        <v>8022.219904026706</v>
      </c>
      <c r="S12" s="279">
        <f>SUMPRODUCT(('ANALYSE - ERP =&gt; SOUS-SEGMENT'!$B$8:$B$154=$B12)*'ANALYSE - ERP =&gt; SOUS-SEGMENT'!$Q$8:$Q$154*'ANALYSE - ERP =&gt; SOUS-SEGMENT'!$S$8:$S$154)</f>
        <v>37500</v>
      </c>
      <c r="T12" s="279">
        <f>SUMPRODUCT(('ANALYSE - ERP =&gt; SOUS-SEGMENT'!$B$8:$B$154=$B12)*'ANALYSE - ERP =&gt; SOUS-SEGMENT'!$Q$8:$Q$154*'ANALYSE - ERP =&gt; SOUS-SEGMENT'!$T$8:$T$154)</f>
        <v>38550</v>
      </c>
      <c r="U12" s="279">
        <f>SUMPRODUCT(('ANALYSE - ERP =&gt; SOUS-SEGMENT'!$B$8:$B$154=$B12)*'ANALYSE - ERP =&gt; SOUS-SEGMENT'!$Q$8:$Q$154*'ANALYSE - ERP =&gt; SOUS-SEGMENT'!$U$8:$U$154)</f>
        <v>40400</v>
      </c>
      <c r="V12" s="279">
        <f>SUMPRODUCT(('ANALYSE - ERP =&gt; SOUS-SEGMENT'!$B$8:$B$154=$B12)*'ANALYSE - ERP =&gt; SOUS-SEGMENT'!$Q$8:$Q$154*'ANALYSE - ERP =&gt; SOUS-SEGMENT'!$V$8:$V$154)</f>
        <v>43450</v>
      </c>
      <c r="W12" s="279">
        <f>SUMPRODUCT(('ANALYSE - ERP =&gt; SOUS-SEGMENT'!$B$8:$B$154=$B12)*'ANALYSE - ERP =&gt; SOUS-SEGMENT'!$Q$8:$Q$154*'ANALYSE - ERP =&gt; SOUS-SEGMENT'!$W$8:$W$154)</f>
        <v>44130</v>
      </c>
      <c r="X12" s="279">
        <f>SUMPRODUCT(('ANALYSE - ERP =&gt; SOUS-SEGMENT'!$B$8:$B$154=$B12)*'ANALYSE - ERP =&gt; SOUS-SEGMENT'!$Q$8:$Q$154*'ANALYSE - ERP =&gt; SOUS-SEGMENT'!$X$8:$X$154)</f>
        <v>44840</v>
      </c>
      <c r="Y12" s="279">
        <f>SUMPRODUCT(('ANALYSE - ERP =&gt; SOUS-SEGMENT'!$B$8:$B$154=$B12)*'ANALYSE - ERP =&gt; SOUS-SEGMENT'!$Q$8:$Q$154*'ANALYSE - ERP =&gt; SOUS-SEGMENT'!$Y$8:$Y$154)</f>
        <v>45600</v>
      </c>
      <c r="Z12" s="279">
        <f>SUMPRODUCT(('ANALYSE - ERP =&gt; SOUS-SEGMENT'!$B$8:$B$154=$B12)*'ANALYSE - ERP =&gt; SOUS-SEGMENT'!$Q$8:$Q$154*'ANALYSE - ERP =&gt; SOUS-SEGMENT'!$Z$8:$Z$154)</f>
        <v>46480</v>
      </c>
      <c r="AA12" s="279">
        <f>SUMPRODUCT(('ANALYSE - ERP =&gt; SOUS-SEGMENT'!$B$8:$B$154=$B12)*'ANALYSE - ERP =&gt; SOUS-SEGMENT'!$Q$8:$Q$154*'ANALYSE - ERP =&gt; SOUS-SEGMENT'!$AA$8:$AA$154)</f>
        <v>45830</v>
      </c>
      <c r="AB12" s="279">
        <f>SUMPRODUCT(('ANALYSE - ERP =&gt; SOUS-SEGMENT'!$B$8:$B$154=$B12)*'ANALYSE - ERP =&gt; SOUS-SEGMENT'!$Q$8:$Q$154*'ANALYSE - ERP =&gt; SOUS-SEGMENT'!$AB$8:$AB$154)</f>
        <v>46180</v>
      </c>
      <c r="AC12" s="279">
        <f>SUMPRODUCT(('ANALYSE - ERP =&gt; SOUS-SEGMENT'!$B$8:$B$154=$B12)*'ANALYSE - ERP =&gt; SOUS-SEGMENT'!$Q$8:$Q$154*'ANALYSE - ERP =&gt; SOUS-SEGMENT'!$AC$8:$AC$154)</f>
        <v>46630</v>
      </c>
      <c r="AD12" s="279">
        <f>SUMPRODUCT(('ANALYSE - ERP =&gt; SOUS-SEGMENT'!$B$8:$B$154=$B12)*'ANALYSE - ERP =&gt; SOUS-SEGMENT'!$Q$8:$Q$154*'ANALYSE - ERP =&gt; SOUS-SEGMENT'!$AD$8:$AD$154)</f>
        <v>47080</v>
      </c>
      <c r="AE12" s="279">
        <f>SUMPRODUCT(('ANALYSE - ERP =&gt; SOUS-SEGMENT'!$B$8:$B$154=$B12)*'ANALYSE - ERP =&gt; SOUS-SEGMENT'!$Q$8:$Q$154*'ANALYSE - ERP =&gt; SOUS-SEGMENT'!$AE$8:$AE$154)</f>
        <v>47490</v>
      </c>
      <c r="AF12" s="279">
        <f>SUMPRODUCT(('ANALYSE - ERP =&gt; SOUS-SEGMENT'!$B$8:$B$154=$B12)*'ANALYSE - ERP =&gt; SOUS-SEGMENT'!$Q$8:$Q$154*'ANALYSE - ERP =&gt; SOUS-SEGMENT'!$AF$8:$AF$154)</f>
        <v>47800</v>
      </c>
      <c r="AG12" s="279">
        <f>SUMPRODUCT(('ANALYSE - ERP =&gt; SOUS-SEGMENT'!$B$8:$B$154=$B12)*'ANALYSE - ERP =&gt; SOUS-SEGMENT'!$Q$8:$Q$154*'ANALYSE - ERP =&gt; SOUS-SEGMENT'!$AG$8:$AG$154)</f>
        <v>47930</v>
      </c>
      <c r="AH12" s="279">
        <f>SUMPRODUCT(('ANALYSE - ERP =&gt; SOUS-SEGMENT'!$B$8:$B$154=$B12)*'ANALYSE - ERP =&gt; SOUS-SEGMENT'!$Q$8:$Q$154*'ANALYSE - ERP =&gt; SOUS-SEGMENT'!$AH$8:$AH$154)</f>
        <v>48060</v>
      </c>
      <c r="AI12" s="279">
        <f>SUMPRODUCT(('ANALYSE - ERP =&gt; SOUS-SEGMENT'!$B$8:$B$154=$B12)*'ANALYSE - ERP =&gt; SOUS-SEGMENT'!$Q$8:$Q$154*'ANALYSE - ERP =&gt; SOUS-SEGMENT'!$AI$8:$AI$154)</f>
        <v>48190</v>
      </c>
      <c r="AJ12" s="279">
        <f>SUMPRODUCT(('ANALYSE - ERP =&gt; SOUS-SEGMENT'!$B$8:$B$154=$B12)*'ANALYSE - ERP =&gt; SOUS-SEGMENT'!$Q$8:$Q$154*'ANALYSE - ERP =&gt; SOUS-SEGMENT'!$AJ$8:$AJ$154)</f>
        <v>48290</v>
      </c>
      <c r="AK12" s="279">
        <f>SUMPRODUCT(('ANALYSE - ERP =&gt; SOUS-SEGMENT'!$B$8:$B$154=$B12)*'ANALYSE - ERP =&gt; SOUS-SEGMENT'!$Q$8:$Q$154*'ANALYSE - ERP =&gt; SOUS-SEGMENT'!$AK$8:$AK$154)</f>
        <v>48380</v>
      </c>
      <c r="AL12" s="276" t="s">
        <v>7559</v>
      </c>
      <c r="AM12" s="276" t="s">
        <v>7559</v>
      </c>
      <c r="AN12" s="276" t="s">
        <v>7595</v>
      </c>
      <c r="AO12" s="657"/>
      <c r="AP12" s="278">
        <f>IFERROR(SUMPRODUCT(('ANALYSE - ERP =&gt; SOUS-SEGMENT'!$B$8:$B$154=$B12)*'ANALYSE - ERP =&gt; SOUS-SEGMENT'!$Q$8:$Q$154*'ANALYSE - ERP =&gt; SOUS-SEGMENT'!$AG$8:$AG$154*'ANALYSE - ERP =&gt; SOUS-SEGMENT'!$AP$8:$AP$154)/SUMPRODUCT(('ANALYSE - ERP =&gt; SOUS-SEGMENT'!$B$8:$B$154=$B12)*'ANALYSE - ERP =&gt; SOUS-SEGMENT'!$Q$8:$Q$154*'ANALYSE - ERP =&gt; SOUS-SEGMENT'!$AG$8:$AG$154),"")</f>
        <v>221.42708116002504</v>
      </c>
      <c r="AQ12" s="278">
        <f>IFERROR(SUMPRODUCT(('ANALYSE - ERP =&gt; SOUS-SEGMENT'!$B$8:$B$154=$B12)*'ANALYSE - ERP =&gt; SOUS-SEGMENT'!$Q$8:$Q$154*'ANALYSE - ERP =&gt; SOUS-SEGMENT'!$AF$8:$AF$154*'ANALYSE - ERP =&gt; SOUS-SEGMENT'!$AQ$8:$AQ$154)/SUMPRODUCT(('ANALYSE - ERP =&gt; SOUS-SEGMENT'!$B$8:$B$154=$B12)*'ANALYSE - ERP =&gt; SOUS-SEGMENT'!$Q$8:$Q$154*'ANALYSE - ERP =&gt; SOUS-SEGMENT'!$AF$8:$AF$154),"")</f>
        <v>198.02092050209205</v>
      </c>
      <c r="AR12" s="973">
        <f>IFERROR(SUMPRODUCT(('ANALYSE - ERP =&gt; SOUS-SEGMENT'!$B$8:$B$154=$B12)*'ANALYSE - ERP =&gt; SOUS-SEGMENT'!$Q$8:$Q$154*'ANALYSE - ERP =&gt; SOUS-SEGMENT'!$AF$8:$AF$154*'ANALYSE - ERP =&gt; SOUS-SEGMENT'!$AR$8:$AR$154)/SUMPRODUCT(('ANALYSE - ERP =&gt; SOUS-SEGMENT'!$B$8:$B$154=$B12)*'ANALYSE - ERP =&gt; SOUS-SEGMENT'!$Q$8:$Q$154*'ANALYSE - ERP =&gt; SOUS-SEGMENT'!$AF$8:$AF$154),"")</f>
        <v>21.35460251046025</v>
      </c>
      <c r="AS12" s="973">
        <f>IFERROR(SUMPRODUCT(('ANALYSE - ERP =&gt; SOUS-SEGMENT'!$B$8:$B$154=$B12)*'ANALYSE - ERP =&gt; SOUS-SEGMENT'!$Q$8:$Q$154*'ANALYSE - ERP =&gt; SOUS-SEGMENT'!$AF$8:$AF$154*'ANALYSE - ERP =&gt; SOUS-SEGMENT'!$AS$8:$AS$154)/SUMPRODUCT(('ANALYSE - ERP =&gt; SOUS-SEGMENT'!$B$8:$B$154=$B12)*'ANALYSE - ERP =&gt; SOUS-SEGMENT'!$Q$8:$Q$154*'ANALYSE - ERP =&gt; SOUS-SEGMENT'!$AF$8:$AF$154),"")</f>
        <v>2.3085774058577404</v>
      </c>
      <c r="AT12" s="657" t="s">
        <v>7596</v>
      </c>
      <c r="AU12" s="646" t="s">
        <v>7597</v>
      </c>
      <c r="AV12" s="646" t="s">
        <v>4061</v>
      </c>
      <c r="AW12" s="646" t="s">
        <v>7076</v>
      </c>
      <c r="AX12" s="657"/>
      <c r="AY12" s="282">
        <f>IFERROR(SUMPRODUCT(('ANALYSE - ERP =&gt; SOUS-SEGMENT'!$B$8:$B$154=$B12)*'ANALYSE - ERP =&gt; SOUS-SEGMENT'!$Q$8:$Q$154*'ANALYSE - ERP =&gt; SOUS-SEGMENT'!$AF$8:$AF$154*'ANALYSE - ERP =&gt; SOUS-SEGMENT'!$AZ$8:$AZ$154)/SUMPRODUCT(('ANALYSE - ERP =&gt; SOUS-SEGMENT'!$B$8:$B$154=$B12)*'ANALYSE - ERP =&gt; SOUS-SEGMENT'!$Q$8:$Q$154*'ANALYSE - ERP =&gt; SOUS-SEGMENT'!$AF$8:$AF$154),"")</f>
        <v>20.376569037656903</v>
      </c>
      <c r="AZ12" s="947">
        <f>IFERROR(SUMPRODUCT(('ANALYSE - ERP =&gt; SOUS-SEGMENT'!$B$8:$B$154=$B12)*'ANALYSE - ERP =&gt; SOUS-SEGMENT'!$Q$8:$Q$154*'ANALYSE - ERP =&gt; SOUS-SEGMENT'!$AF$8:$AF$154*'ANALYSE - ERP =&gt; SOUS-SEGMENT'!$BA$8:$BA$154)/SUMPRODUCT(('ANALYSE - ERP =&gt; SOUS-SEGMENT'!$B$8:$B$154=$B12)*'ANALYSE - ERP =&gt; SOUS-SEGMENT'!$Q$8:$Q$154*'ANALYSE - ERP =&gt; SOUS-SEGMENT'!$AF$8:$AF$154),"")</f>
        <v>2.4427301255230125</v>
      </c>
      <c r="BA12" s="282">
        <f>IFERROR(SUMPRODUCT(('ANALYSE - ERP =&gt; SOUS-SEGMENT'!$B$8:$B$154=$B12)*'ANALYSE - ERP =&gt; SOUS-SEGMENT'!$Q$8:$Q$154*'ANALYSE - ERP =&gt; SOUS-SEGMENT'!$AF$8:$AF$154*'ANALYSE - ERP =&gt; SOUS-SEGMENT'!$BB$8:$BB$154)/SUMPRODUCT(('ANALYSE - ERP =&gt; SOUS-SEGMENT'!$B$8:$B$154=$B12)*'ANALYSE - ERP =&gt; SOUS-SEGMENT'!$Q$8:$Q$154*'ANALYSE - ERP =&gt; SOUS-SEGMENT'!$AF$8:$AF$154),"")</f>
        <v>4.4657949790794982</v>
      </c>
      <c r="BB12" s="282">
        <f>IFERROR(SUMPRODUCT(('ANALYSE - ERP =&gt; SOUS-SEGMENT'!$B$8:$B$154=$B12)*'ANALYSE - ERP =&gt; SOUS-SEGMENT'!$Q$8:$Q$154*'ANALYSE - ERP =&gt; SOUS-SEGMENT'!$AF$8:$AF$154*'ANALYSE - ERP =&gt; SOUS-SEGMENT'!$BC$8:$BC$154)/SUMPRODUCT(('ANALYSE - ERP =&gt; SOUS-SEGMENT'!$B$8:$B$154=$B12)*'ANALYSE - ERP =&gt; SOUS-SEGMENT'!$Q$8:$Q$154*'ANALYSE - ERP =&gt; SOUS-SEGMENT'!$AF$8:$AF$154),"")</f>
        <v>14.617154811715482</v>
      </c>
      <c r="BC12" s="283">
        <f>SUMPRODUCT(('ANALYSE - ERP =&gt; SOUS-SEGMENT'!$B$8:$B$154=$B12)*'ANALYSE - ERP =&gt; SOUS-SEGMENT'!$Q$8:$Q$154*'ANALYSE - ERP =&gt; SOUS-SEGMENT'!$BE$8:$BE$154)</f>
        <v>974000</v>
      </c>
      <c r="BD12" s="283">
        <f>SUMPRODUCT(('ANALYSE - ERP =&gt; SOUS-SEGMENT'!$B$8:$B$154=$B12)*'ANALYSE - ERP =&gt; SOUS-SEGMENT'!$Q$8:$Q$154*'ANALYSE - ERP =&gt; SOUS-SEGMENT'!$BF$8:$BF$154)</f>
        <v>116762.5</v>
      </c>
      <c r="BE12" s="283">
        <f>SUMPRODUCT(('ANALYSE - ERP =&gt; SOUS-SEGMENT'!$B$8:$B$154=$B12)*'ANALYSE - ERP =&gt; SOUS-SEGMENT'!$Q$8:$Q$154*'ANALYSE - ERP =&gt; SOUS-SEGMENT'!$BG$8:$BG$154)</f>
        <v>213465</v>
      </c>
      <c r="BF12" s="283">
        <f>SUMPRODUCT(('ANALYSE - ERP =&gt; SOUS-SEGMENT'!$B$8:$B$154=$B12)*'ANALYSE - ERP =&gt; SOUS-SEGMENT'!$Q$8:$Q$154*'ANALYSE - ERP =&gt; SOUS-SEGMENT'!$BH$8:$BH$154)</f>
        <v>698700</v>
      </c>
      <c r="BG12" s="283">
        <f>SUMPRODUCT(('ANALYSE - ERP =&gt; SOUS-SEGMENT'!$B$8:$B$154=$B12)*'ANALYSE - ERP =&gt; SOUS-SEGMENT'!$Q$8:$Q$154*'ANALYSE - ERP =&gt; SOUS-SEGMENT'!$BJ$8:$BJ$154)</f>
        <v>981870</v>
      </c>
      <c r="BH12" s="283">
        <f>SUMPRODUCT(('ANALYSE - ERP =&gt; SOUS-SEGMENT'!$B$8:$B$154=$B12)*'ANALYSE - ERP =&gt; SOUS-SEGMENT'!$Q$8:$Q$154*'ANALYSE - ERP =&gt; SOUS-SEGMENT'!$BK$8:$BK$154)</f>
        <v>121240</v>
      </c>
      <c r="BI12" s="283">
        <f>SUMPRODUCT(('ANALYSE - ERP =&gt; SOUS-SEGMENT'!$B$8:$B$154=$B12)*'ANALYSE - ERP =&gt; SOUS-SEGMENT'!$Q$8:$Q$154*'ANALYSE - ERP =&gt; SOUS-SEGMENT'!$BL$8:$BL$154)</f>
        <v>215830</v>
      </c>
      <c r="BJ12" s="283">
        <f>SUMPRODUCT(('ANALYSE - ERP =&gt; SOUS-SEGMENT'!$B$8:$B$154=$B12)*'ANALYSE - ERP =&gt; SOUS-SEGMENT'!$Q$8:$Q$154*'ANALYSE - ERP =&gt; SOUS-SEGMENT'!$BM$8:$BM$154)</f>
        <v>704150</v>
      </c>
      <c r="BK12" s="657"/>
      <c r="BL12" s="577">
        <f>IFERROR(SUMPRODUCT(('ANALYSE - ERP =&gt; SOUS-SEGMENT'!$B$8:$B$154=$B12)*'ANALYSE - ERP =&gt; SOUS-SEGMENT'!$Q$8:$Q$154*'ANALYSE - ERP =&gt; SOUS-SEGMENT'!$BE$8:$BE$154*'ANALYSE - ERP =&gt; SOUS-SEGMENT'!$BO$8:$BO$154)/SUMPRODUCT(('ANALYSE - ERP =&gt; SOUS-SEGMENT'!$B$8:$B$154=$B12)*'ANALYSE - ERP =&gt; SOUS-SEGMENT'!$Q$8:$Q$154*'ANALYSE - ERP =&gt; SOUS-SEGMENT'!$BE$8:$BE$154),"")</f>
        <v>0.42335420944558522</v>
      </c>
      <c r="BM12" s="578">
        <f>IFERROR(SUMPRODUCT(('ANALYSE - ERP =&gt; SOUS-SEGMENT'!$B$8:$B$154=$B12)*'ANALYSE - ERP =&gt; SOUS-SEGMENT'!$Q$8:$Q$154*'ANALYSE - ERP =&gt; SOUS-SEGMENT'!$BE$8:$BE$154*'ANALYSE - ERP =&gt; SOUS-SEGMENT'!$BP$8:$BP$154)/SUMPRODUCT(('ANALYSE - ERP =&gt; SOUS-SEGMENT'!$B$8:$B$154=$B12)*'ANALYSE - ERP =&gt; SOUS-SEGMENT'!$Q$8:$Q$154*'ANALYSE - ERP =&gt; SOUS-SEGMENT'!$BE$8:$BE$154),"")</f>
        <v>0.36990965092402461</v>
      </c>
      <c r="BN12" s="578">
        <f>IFERROR(SUMPRODUCT(('ANALYSE - ERP =&gt; SOUS-SEGMENT'!$B$8:$B$154=$B12)*'ANALYSE - ERP =&gt; SOUS-SEGMENT'!$Q$8:$Q$154*'ANALYSE - ERP =&gt; SOUS-SEGMENT'!$BE$8:$BE$154*'ANALYSE - ERP =&gt; SOUS-SEGMENT'!$BQ$8:$BQ$154)/SUMPRODUCT(('ANALYSE - ERP =&gt; SOUS-SEGMENT'!$B$8:$B$154=$B12)*'ANALYSE - ERP =&gt; SOUS-SEGMENT'!$Q$8:$Q$154*'ANALYSE - ERP =&gt; SOUS-SEGMENT'!$BE$8:$BE$154),"")</f>
        <v>0.15755646817248464</v>
      </c>
      <c r="BO12" s="579">
        <f>IFERROR(SUMPRODUCT(('ANALYSE - ERP =&gt; SOUS-SEGMENT'!$B$8:$B$154=$B12)*'ANALYSE - ERP =&gt; SOUS-SEGMENT'!$Q$8:$Q$154*'ANALYSE - ERP =&gt; SOUS-SEGMENT'!$BE$8:$BE$154*'ANALYSE - ERP =&gt; SOUS-SEGMENT'!$BR$8:$BR$154)/SUMPRODUCT(('ANALYSE - ERP =&gt; SOUS-SEGMENT'!$B$8:$B$154=$B12)*'ANALYSE - ERP =&gt; SOUS-SEGMENT'!$Q$8:$Q$154*'ANALYSE - ERP =&gt; SOUS-SEGMENT'!$BE$8:$BE$154),"")</f>
        <v>4.9179671457905541E-2</v>
      </c>
      <c r="BP12" s="577">
        <f>IFERROR(SUMPRODUCT(('ANALYSE - ERP =&gt; SOUS-SEGMENT'!$B$8:$B$154=$B12)*'ANALYSE - ERP =&gt; SOUS-SEGMENT'!$Q$8:$Q$154*'ANALYSE - ERP =&gt; SOUS-SEGMENT'!$BJ$8:$BJ$154*'ANALYSE - ERP =&gt; SOUS-SEGMENT'!$BS$8:$BS$154)/SUMPRODUCT(('ANALYSE - ERP =&gt; SOUS-SEGMENT'!$B$8:$B$154=$B12)*'ANALYSE - ERP =&gt; SOUS-SEGMENT'!$Q$8:$Q$154*'ANALYSE - ERP =&gt; SOUS-SEGMENT'!$BJ$8:$BJ$154),"")</f>
        <v>0.36711692993980871</v>
      </c>
      <c r="BQ12" s="578">
        <f>IFERROR(SUMPRODUCT(('ANALYSE - ERP =&gt; SOUS-SEGMENT'!$B$8:$B$154=$B12)*'ANALYSE - ERP =&gt; SOUS-SEGMENT'!$Q$8:$Q$154*'ANALYSE - ERP =&gt; SOUS-SEGMENT'!$BJ$8:$BJ$154*'ANALYSE - ERP =&gt; SOUS-SEGMENT'!$BT$8:$BT$154)/SUMPRODUCT(('ANALYSE - ERP =&gt; SOUS-SEGMENT'!$B$8:$B$154=$B12)*'ANALYSE - ERP =&gt; SOUS-SEGMENT'!$Q$8:$Q$154*'ANALYSE - ERP =&gt; SOUS-SEGMENT'!$BJ$8:$BJ$154),"")</f>
        <v>0.3799287074663652</v>
      </c>
      <c r="BR12" s="578">
        <f>IFERROR(SUMPRODUCT(('ANALYSE - ERP =&gt; SOUS-SEGMENT'!$B$8:$B$154=$B12)*'ANALYSE - ERP =&gt; SOUS-SEGMENT'!$Q$8:$Q$154*'ANALYSE - ERP =&gt; SOUS-SEGMENT'!$BJ$8:$BJ$154*'ANALYSE - ERP =&gt; SOUS-SEGMENT'!$BU$8:$BU$154)/SUMPRODUCT(('ANALYSE - ERP =&gt; SOUS-SEGMENT'!$B$8:$B$154=$B12)*'ANALYSE - ERP =&gt; SOUS-SEGMENT'!$Q$8:$Q$154*'ANALYSE - ERP =&gt; SOUS-SEGMENT'!$BJ$8:$BJ$154),"")</f>
        <v>0.21535641174493569</v>
      </c>
      <c r="BS12" s="579">
        <f>IFERROR(SUMPRODUCT(('ANALYSE - ERP =&gt; SOUS-SEGMENT'!$B$8:$B$154=$B12)*'ANALYSE - ERP =&gt; SOUS-SEGMENT'!$Q$8:$Q$154*'ANALYSE - ERP =&gt; SOUS-SEGMENT'!$BJ$8:$BJ$154*'ANALYSE - ERP =&gt; SOUS-SEGMENT'!$BV$8:$BV$154)/SUMPRODUCT(('ANALYSE - ERP =&gt; SOUS-SEGMENT'!$B$8:$B$154=$B12)*'ANALYSE - ERP =&gt; SOUS-SEGMENT'!$Q$8:$Q$154*'ANALYSE - ERP =&gt; SOUS-SEGMENT'!$BJ$8:$BJ$154),"")</f>
        <v>3.7597950848890387E-2</v>
      </c>
      <c r="BT12" s="586">
        <f>IFERROR(SUMPRODUCT(('ANALYSE - ERP =&gt; SOUS-SEGMENT'!$B$8:$B$154=$B12)*'ANALYSE - ERP =&gt; SOUS-SEGMENT'!$Q$8:$Q$154*'ANALYSE - ERP =&gt; SOUS-SEGMENT'!$BF$8:$BF$154*'ANALYSE - ERP =&gt; SOUS-SEGMENT'!$BW$8:$BW$154)/SUMPRODUCT(('ANALYSE - ERP =&gt; SOUS-SEGMENT'!$B$8:$B$154=$B12)*'ANALYSE - ERP =&gt; SOUS-SEGMENT'!$Q$8:$Q$154*'ANALYSE - ERP =&gt; SOUS-SEGMENT'!$BF$8:$BF$154),"")</f>
        <v>0.38276629911144416</v>
      </c>
      <c r="BU12" s="587">
        <f>IFERROR(SUMPRODUCT(('ANALYSE - ERP =&gt; SOUS-SEGMENT'!$B$8:$B$154=$B12)*'ANALYSE - ERP =&gt; SOUS-SEGMENT'!$Q$8:$Q$154*'ANALYSE - ERP =&gt; SOUS-SEGMENT'!$BF$8:$BF$154*'ANALYSE - ERP =&gt; SOUS-SEGMENT'!$BX$8:$BX$154)/SUMPRODUCT(('ANALYSE - ERP =&gt; SOUS-SEGMENT'!$B$8:$B$154=$B12)*'ANALYSE - ERP =&gt; SOUS-SEGMENT'!$Q$8:$Q$154*'ANALYSE - ERP =&gt; SOUS-SEGMENT'!$BF$8:$BF$154),"")</f>
        <v>0.42952660314741459</v>
      </c>
      <c r="BV12" s="588">
        <f>IFERROR(SUMPRODUCT(('ANALYSE - ERP =&gt; SOUS-SEGMENT'!$B$8:$B$154=$B12)*'ANALYSE - ERP =&gt; SOUS-SEGMENT'!$Q$8:$Q$154*'ANALYSE - ERP =&gt; SOUS-SEGMENT'!$BF$8:$BF$154*'ANALYSE - ERP =&gt; SOUS-SEGMENT'!$BY$8:$BY$154)/SUMPRODUCT(('ANALYSE - ERP =&gt; SOUS-SEGMENT'!$B$8:$B$154=$B12)*'ANALYSE - ERP =&gt; SOUS-SEGMENT'!$Q$8:$Q$154*'ANALYSE - ERP =&gt; SOUS-SEGMENT'!$BF$8:$BF$154),"")</f>
        <v>0.18770709774114122</v>
      </c>
      <c r="BW12" s="586">
        <f>IFERROR(SUMPRODUCT(('ANALYSE - ERP =&gt; SOUS-SEGMENT'!$B$8:$B$154=$B12)*'ANALYSE - ERP =&gt; SOUS-SEGMENT'!$Q$8:$Q$154*'ANALYSE - ERP =&gt; SOUS-SEGMENT'!$BK$8:$BK$154*'ANALYSE - ERP =&gt; SOUS-SEGMENT'!$BZ$8:$BZ$154)/SUMPRODUCT(('ANALYSE - ERP =&gt; SOUS-SEGMENT'!$B$8:$B$154=$B12)*'ANALYSE - ERP =&gt; SOUS-SEGMENT'!$Q$8:$Q$154*'ANALYSE - ERP =&gt; SOUS-SEGMENT'!$BK$8:$BK$154),"")</f>
        <v>0.34147970966677665</v>
      </c>
      <c r="BX12" s="587">
        <f>IFERROR(SUMPRODUCT(('ANALYSE - ERP =&gt; SOUS-SEGMENT'!$B$8:$B$154=$B12)*'ANALYSE - ERP =&gt; SOUS-SEGMENT'!$Q$8:$Q$154*'ANALYSE - ERP =&gt; SOUS-SEGMENT'!$BK$8:$BK$154*'ANALYSE - ERP =&gt; SOUS-SEGMENT'!$CA$8:$CA$154)/SUMPRODUCT(('ANALYSE - ERP =&gt; SOUS-SEGMENT'!$B$8:$B$154=$B12)*'ANALYSE - ERP =&gt; SOUS-SEGMENT'!$Q$8:$Q$154*'ANALYSE - ERP =&gt; SOUS-SEGMENT'!$BK$8:$BK$154),"")</f>
        <v>0.42762784559551303</v>
      </c>
      <c r="BY12" s="588">
        <f>IFERROR(SUMPRODUCT(('ANALYSE - ERP =&gt; SOUS-SEGMENT'!$B$8:$B$154=$B12)*'ANALYSE - ERP =&gt; SOUS-SEGMENT'!$Q$8:$Q$154*'ANALYSE - ERP =&gt; SOUS-SEGMENT'!$BK$8:$BK$154*'ANALYSE - ERP =&gt; SOUS-SEGMENT'!$CB$8:$CB$154)/SUMPRODUCT(('ANALYSE - ERP =&gt; SOUS-SEGMENT'!$B$8:$B$154=$B12)*'ANALYSE - ERP =&gt; SOUS-SEGMENT'!$Q$8:$Q$154*'ANALYSE - ERP =&gt; SOUS-SEGMENT'!$BK$8:$BK$154),"")</f>
        <v>0.23089244473771037</v>
      </c>
      <c r="BZ12" s="577">
        <f>IFERROR(SUMPRODUCT(('ANALYSE - ERP =&gt; SOUS-SEGMENT'!$B$8:$B$154=$B12)*'ANALYSE - ERP =&gt; SOUS-SEGMENT'!$Q$8:$Q$154*'ANALYSE - ERP =&gt; SOUS-SEGMENT'!$BG$8:$BG$154*'ANALYSE - ERP =&gt; SOUS-SEGMENT'!$CC$8:$CC$154)/SUMPRODUCT(('ANALYSE - ERP =&gt; SOUS-SEGMENT'!$B$8:$B$154=$B12)*'ANALYSE - ERP =&gt; SOUS-SEGMENT'!$Q$8:$Q$154*'ANALYSE - ERP =&gt; SOUS-SEGMENT'!$BG$8:$BG$154),"")</f>
        <v>0.15878832595507461</v>
      </c>
      <c r="CA12" s="578">
        <f>IFERROR(SUMPRODUCT(('ANALYSE - ERP =&gt; SOUS-SEGMENT'!$B$8:$B$154=$B12)*'ANALYSE - ERP =&gt; SOUS-SEGMENT'!$Q$8:$Q$154*'ANALYSE - ERP =&gt; SOUS-SEGMENT'!$BG$8:$BG$154*'ANALYSE - ERP =&gt; SOUS-SEGMENT'!$CD$8:$CD$154)/SUMPRODUCT(('ANALYSE - ERP =&gt; SOUS-SEGMENT'!$B$8:$B$154=$B12)*'ANALYSE - ERP =&gt; SOUS-SEGMENT'!$Q$8:$Q$154*'ANALYSE - ERP =&gt; SOUS-SEGMENT'!$BG$8:$BG$154),"")</f>
        <v>0.51431733539456115</v>
      </c>
      <c r="CB12" s="578">
        <f>IFERROR(SUMPRODUCT(('ANALYSE - ERP =&gt; SOUS-SEGMENT'!$B$8:$B$154=$B12)*'ANALYSE - ERP =&gt; SOUS-SEGMENT'!$Q$8:$Q$154*'ANALYSE - ERP =&gt; SOUS-SEGMENT'!$BG$8:$BG$154*'ANALYSE - ERP =&gt; SOUS-SEGMENT'!$CE$8:$CE$154)/SUMPRODUCT(('ANALYSE - ERP =&gt; SOUS-SEGMENT'!$B$8:$B$154=$B12)*'ANALYSE - ERP =&gt; SOUS-SEGMENT'!$Q$8:$Q$154*'ANALYSE - ERP =&gt; SOUS-SEGMENT'!$BG$8:$BG$154),"")</f>
        <v>0.18794064600754223</v>
      </c>
      <c r="CC12" s="579">
        <f>IFERROR(SUMPRODUCT(('ANALYSE - ERP =&gt; SOUS-SEGMENT'!$B$8:$B$154=$B12)*'ANALYSE - ERP =&gt; SOUS-SEGMENT'!$Q$8:$Q$154*'ANALYSE - ERP =&gt; SOUS-SEGMENT'!$BG$8:$BG$154*'ANALYSE - ERP =&gt; SOUS-SEGMENT'!$CF$8:$CF$154)/SUMPRODUCT(('ANALYSE - ERP =&gt; SOUS-SEGMENT'!$B$8:$B$154=$B12)*'ANALYSE - ERP =&gt; SOUS-SEGMENT'!$Q$8:$Q$154*'ANALYSE - ERP =&gt; SOUS-SEGMENT'!$BG$8:$BG$154),"")</f>
        <v>0.13895369264282201</v>
      </c>
      <c r="CD12" s="577">
        <f>IFERROR(SUMPRODUCT(('ANALYSE - ERP =&gt; SOUS-SEGMENT'!$B$8:$B$154=$B12)*'ANALYSE - ERP =&gt; SOUS-SEGMENT'!$Q$8:$Q$154*'ANALYSE - ERP =&gt; SOUS-SEGMENT'!$BL$8:$BL$154*'ANALYSE - ERP =&gt; SOUS-SEGMENT'!$CG$8:$CG$154)/SUMPRODUCT(('ANALYSE - ERP =&gt; SOUS-SEGMENT'!$B$8:$B$154=$B12)*'ANALYSE - ERP =&gt; SOUS-SEGMENT'!$Q$8:$Q$154*'ANALYSE - ERP =&gt; SOUS-SEGMENT'!$BL$8:$BL$154),"")</f>
        <v>0.1269668257424825</v>
      </c>
      <c r="CE12" s="578">
        <f>IFERROR(SUMPRODUCT(('ANALYSE - ERP =&gt; SOUS-SEGMENT'!$B$8:$B$154=$B12)*'ANALYSE - ERP =&gt; SOUS-SEGMENT'!$Q$8:$Q$154*'ANALYSE - ERP =&gt; SOUS-SEGMENT'!$BL$8:$BL$154*'ANALYSE - ERP =&gt; SOUS-SEGMENT'!$CH$8:$CH$154)/SUMPRODUCT(('ANALYSE - ERP =&gt; SOUS-SEGMENT'!$B$8:$B$154=$B12)*'ANALYSE - ERP =&gt; SOUS-SEGMENT'!$Q$8:$Q$154*'ANALYSE - ERP =&gt; SOUS-SEGMENT'!$BL$8:$BL$154),"")</f>
        <v>0.49147106519019595</v>
      </c>
      <c r="CF12" s="578">
        <f>IFERROR(SUMPRODUCT(('ANALYSE - ERP =&gt; SOUS-SEGMENT'!$B$8:$B$154=$B12)*'ANALYSE - ERP =&gt; SOUS-SEGMENT'!$Q$8:$Q$154*'ANALYSE - ERP =&gt; SOUS-SEGMENT'!$BL$8:$BL$154*'ANALYSE - ERP =&gt; SOUS-SEGMENT'!$CI$8:$CI$154)/SUMPRODUCT(('ANALYSE - ERP =&gt; SOUS-SEGMENT'!$B$8:$B$154=$B12)*'ANALYSE - ERP =&gt; SOUS-SEGMENT'!$Q$8:$Q$154*'ANALYSE - ERP =&gt; SOUS-SEGMENT'!$BL$8:$BL$154),"")</f>
        <v>0.22003845619237364</v>
      </c>
      <c r="CG12" s="579">
        <f>IFERROR(SUMPRODUCT(('ANALYSE - ERP =&gt; SOUS-SEGMENT'!$B$8:$B$154=$B12)*'ANALYSE - ERP =&gt; SOUS-SEGMENT'!$Q$8:$Q$154*'ANALYSE - ERP =&gt; SOUS-SEGMENT'!$BL$8:$BL$154*'ANALYSE - ERP =&gt; SOUS-SEGMENT'!$CJ$8:$CJ$154)/SUMPRODUCT(('ANALYSE - ERP =&gt; SOUS-SEGMENT'!$B$8:$B$154=$B12)*'ANALYSE - ERP =&gt; SOUS-SEGMENT'!$Q$8:$Q$154*'ANALYSE - ERP =&gt; SOUS-SEGMENT'!$BL$8:$BL$154),"")</f>
        <v>0.16152365287494788</v>
      </c>
      <c r="CH12" s="586">
        <f>IFERROR(SUMPRODUCT(('ANALYSE - ERP =&gt; SOUS-SEGMENT'!$B$8:$B$154=$B12)*'ANALYSE - ERP =&gt; SOUS-SEGMENT'!$Q$8:$Q$154*'ANALYSE - ERP =&gt; SOUS-SEGMENT'!$BH$8:$BH$154*'ANALYSE - ERP =&gt; SOUS-SEGMENT'!$CK$8:$CK$154)/SUMPRODUCT(('ANALYSE - ERP =&gt; SOUS-SEGMENT'!$B$8:$B$154=$B12)*'ANALYSE - ERP =&gt; SOUS-SEGMENT'!$Q$8:$Q$154*'ANALYSE - ERP =&gt; SOUS-SEGMENT'!$BH$8:$BH$154),"")</f>
        <v>0.55926721053384854</v>
      </c>
      <c r="CI12" s="587">
        <f>IFERROR(SUMPRODUCT(('ANALYSE - ERP =&gt; SOUS-SEGMENT'!$B$8:$B$154=$B12)*'ANALYSE - ERP =&gt; SOUS-SEGMENT'!$Q$8:$Q$154*'ANALYSE - ERP =&gt; SOUS-SEGMENT'!$BH$8:$BH$154*'ANALYSE - ERP =&gt; SOUS-SEGMENT'!$CL$8:$CL$154)/SUMPRODUCT(('ANALYSE - ERP =&gt; SOUS-SEGMENT'!$B$8:$B$154=$B12)*'ANALYSE - ERP =&gt; SOUS-SEGMENT'!$Q$8:$Q$154*'ANALYSE - ERP =&gt; SOUS-SEGMENT'!$BH$8:$BH$154),"")</f>
        <v>0.29383855732073849</v>
      </c>
      <c r="CJ12" s="588">
        <f>IFERROR(SUMPRODUCT(('ANALYSE - ERP =&gt; SOUS-SEGMENT'!$B$8:$B$154=$B12)*'ANALYSE - ERP =&gt; SOUS-SEGMENT'!$Q$8:$Q$154*'ANALYSE - ERP =&gt; SOUS-SEGMENT'!$BH$8:$BH$154*'ANALYSE - ERP =&gt; SOUS-SEGMENT'!$CM$8:$CM$154)/SUMPRODUCT(('ANALYSE - ERP =&gt; SOUS-SEGMENT'!$B$8:$B$154=$B12)*'ANALYSE - ERP =&gt; SOUS-SEGMENT'!$Q$8:$Q$154*'ANALYSE - ERP =&gt; SOUS-SEGMENT'!$BH$8:$BH$154),"")</f>
        <v>0.14689423214541292</v>
      </c>
      <c r="CK12" s="586">
        <f>IFERROR(SUMPRODUCT(('ANALYSE - ERP =&gt; SOUS-SEGMENT'!$B$8:$B$154=$B12)*'ANALYSE - ERP =&gt; SOUS-SEGMENT'!$Q$8:$Q$154*'ANALYSE - ERP =&gt; SOUS-SEGMENT'!$BM$8:$BM$154*'ANALYSE - ERP =&gt; SOUS-SEGMENT'!$CN$8:$CN$154)/SUMPRODUCT(('ANALYSE - ERP =&gt; SOUS-SEGMENT'!$B$8:$B$154=$B12)*'ANALYSE - ERP =&gt; SOUS-SEGMENT'!$Q$8:$Q$154*'ANALYSE - ERP =&gt; SOUS-SEGMENT'!$BM$8:$BM$154),"")</f>
        <v>0.49282184193708728</v>
      </c>
      <c r="CL12" s="587">
        <f>IFERROR(SUMPRODUCT(('ANALYSE - ERP =&gt; SOUS-SEGMENT'!$B$8:$B$154=$B12)*'ANALYSE - ERP =&gt; SOUS-SEGMENT'!$Q$8:$Q$154*'ANALYSE - ERP =&gt; SOUS-SEGMENT'!$BM$8:$BM$154*'ANALYSE - ERP =&gt; SOUS-SEGMENT'!$CO$8:$CO$154)/SUMPRODUCT(('ANALYSE - ERP =&gt; SOUS-SEGMENT'!$B$8:$B$154=$B12)*'ANALYSE - ERP =&gt; SOUS-SEGMENT'!$Q$8:$Q$154*'ANALYSE - ERP =&gt; SOUS-SEGMENT'!$BM$8:$BM$154),"")</f>
        <v>0.3299254420222964</v>
      </c>
      <c r="CM12" s="588">
        <f>IFERROR(SUMPRODUCT(('ANALYSE - ERP =&gt; SOUS-SEGMENT'!$B$8:$B$154=$B12)*'ANALYSE - ERP =&gt; SOUS-SEGMENT'!$Q$8:$Q$154*'ANALYSE - ERP =&gt; SOUS-SEGMENT'!$BM$8:$BM$154*'ANALYSE - ERP =&gt; SOUS-SEGMENT'!$CP$8:$CP$154)/SUMPRODUCT(('ANALYSE - ERP =&gt; SOUS-SEGMENT'!$B$8:$B$154=$B12)*'ANALYSE - ERP =&gt; SOUS-SEGMENT'!$Q$8:$Q$154*'ANALYSE - ERP =&gt; SOUS-SEGMENT'!$BM$8:$BM$154),"")</f>
        <v>0.17725271604061635</v>
      </c>
      <c r="CN12" s="657"/>
      <c r="CO12" s="877">
        <f>IFERROR(SUMPRODUCT(('ANALYSE - ERP =&gt; SOUS-SEGMENT'!$B$8:$B$154=$B12)*'ANALYSE - ERP =&gt; SOUS-SEGMENT'!$DH$8:$DH$154*'ANALYSE - ERP =&gt; SOUS-SEGMENT'!$CR$8:$CR$154)/SUMPRODUCT(('ANALYSE - ERP =&gt; SOUS-SEGMENT'!$B$8:$B$154=$B12)*'ANALYSE - ERP =&gt; SOUS-SEGMENT'!$DH$8:$DH$154),"")</f>
        <v>12.929702410833594</v>
      </c>
      <c r="CP12" s="878">
        <f>IFERROR(SUMPRODUCT(('ANALYSE - ERP =&gt; SOUS-SEGMENT'!$B$8:$B$154=$B12)*'ANALYSE - ERP =&gt; SOUS-SEGMENT'!$DI$8:$DI$154*'ANALYSE - ERP =&gt; SOUS-SEGMENT'!$CS$8:$CS$154)/SUMPRODUCT(('ANALYSE - ERP =&gt; SOUS-SEGMENT'!$B$8:$B$154=$B12)*'ANALYSE - ERP =&gt; SOUS-SEGMENT'!$DI$8:$DI$154),"")</f>
        <v>13.835974709402374</v>
      </c>
      <c r="CQ12" s="878">
        <f>IFERROR(SUMPRODUCT(('ANALYSE - ERP =&gt; SOUS-SEGMENT'!$B$8:$B$154=$B12)*'ANALYSE - ERP =&gt; SOUS-SEGMENT'!$DJ$8:$DJ$154*'ANALYSE - ERP =&gt; SOUS-SEGMENT'!$CT$8:$CT$154)/SUMPRODUCT(('ANALYSE - ERP =&gt; SOUS-SEGMENT'!$B$8:$B$154=$B12)*'ANALYSE - ERP =&gt; SOUS-SEGMENT'!$DJ$8:$DJ$154),"")</f>
        <v>9.9447152352404533</v>
      </c>
      <c r="CR12" s="879">
        <f>IFERROR(SUMPRODUCT(('ANALYSE - ERP =&gt; SOUS-SEGMENT'!$B$8:$B$154=$B12)*'ANALYSE - ERP =&gt; SOUS-SEGMENT'!$DK$8:$DK$154*'ANALYSE - ERP =&gt; SOUS-SEGMENT'!$CU$8:$CU$154)/SUMPRODUCT(('ANALYSE - ERP =&gt; SOUS-SEGMENT'!$B$8:$B$154=$B12)*'ANALYSE - ERP =&gt; SOUS-SEGMENT'!$DK$8:$DK$154),"")</f>
        <v>11.940961566564372</v>
      </c>
      <c r="CS12" s="877">
        <f>IFERROR(SUMPRODUCT(('ANALYSE - ERP =&gt; SOUS-SEGMENT'!$B$8:$B$154=$B12)*'ANALYSE - ERP =&gt; SOUS-SEGMENT'!$DS$8:$DS$154*'ANALYSE - ERP =&gt; SOUS-SEGMENT'!$CV$8:$CV$154)/SUMPRODUCT(('ANALYSE - ERP =&gt; SOUS-SEGMENT'!$B$8:$B$154=$B12)*'ANALYSE - ERP =&gt; SOUS-SEGMENT'!$DS$8:$DS$154),"")</f>
        <v>11.681234652152755</v>
      </c>
      <c r="CT12" s="878">
        <f>IFERROR(SUMPRODUCT(('ANALYSE - ERP =&gt; SOUS-SEGMENT'!$B$8:$B$154=$B12)*'ANALYSE - ERP =&gt; SOUS-SEGMENT'!$DT$8:$DT$154*'ANALYSE - ERP =&gt; SOUS-SEGMENT'!$CW$8:$CW$154)/SUMPRODUCT(('ANALYSE - ERP =&gt; SOUS-SEGMENT'!$B$8:$B$154=$B12)*'ANALYSE - ERP =&gt; SOUS-SEGMENT'!$DT$8:$DT$154),"")</f>
        <v>11</v>
      </c>
      <c r="CU12" s="879">
        <f>IFERROR(SUMPRODUCT(('ANALYSE - ERP =&gt; SOUS-SEGMENT'!$B$8:$B$154=$B12)*'ANALYSE - ERP =&gt; SOUS-SEGMENT'!$DU$8:$DU$154*'ANALYSE - ERP =&gt; SOUS-SEGMENT'!$CX$8:$CX$154)/SUMPRODUCT(('ANALYSE - ERP =&gt; SOUS-SEGMENT'!$B$8:$B$154=$B12)*'ANALYSE - ERP =&gt; SOUS-SEGMENT'!$DU$8:$DU$154),"")</f>
        <v>8.7054817802497126</v>
      </c>
      <c r="CV12" s="877">
        <f>IFERROR(SUMPRODUCT(('ANALYSE - ERP =&gt; SOUS-SEGMENT'!$B$8:$B$154=$B12)*'ANALYSE - ERP =&gt; SOUS-SEGMENT'!$EB$8:$EB$154*'ANALYSE - ERP =&gt; SOUS-SEGMENT'!$CY$8:$CY$154)/SUMPRODUCT(('ANALYSE - ERP =&gt; SOUS-SEGMENT'!$B$8:$B$154=$B12)*'ANALYSE - ERP =&gt; SOUS-SEGMENT'!$EB$8:$EB$154),"")</f>
        <v>10.899434294859976</v>
      </c>
      <c r="CW12" s="878">
        <f>IFERROR(SUMPRODUCT(('ANALYSE - ERP =&gt; SOUS-SEGMENT'!$B$8:$B$154=$B12)*'ANALYSE - ERP =&gt; SOUS-SEGMENT'!$EC$8:$EC$154*'ANALYSE - ERP =&gt; SOUS-SEGMENT'!$CZ$8:$CZ$154)/SUMPRODUCT(('ANALYSE - ERP =&gt; SOUS-SEGMENT'!$B$8:$B$154=$B12)*'ANALYSE - ERP =&gt; SOUS-SEGMENT'!$EC$8:$EC$154),"")</f>
        <v>12.877876831642586</v>
      </c>
      <c r="CX12" s="878">
        <f>IFERROR(SUMPRODUCT(('ANALYSE - ERP =&gt; SOUS-SEGMENT'!$B$8:$B$154=$B12)*'ANALYSE - ERP =&gt; SOUS-SEGMENT'!$ED$8:$ED$154*'ANALYSE - ERP =&gt; SOUS-SEGMENT'!$DA$8:$DA$154)/SUMPRODUCT(('ANALYSE - ERP =&gt; SOUS-SEGMENT'!$B$8:$B$154=$B12)*'ANALYSE - ERP =&gt; SOUS-SEGMENT'!$ED$8:$ED$154),"")</f>
        <v>8.9150334943137555</v>
      </c>
      <c r="CY12" s="880">
        <f>IFERROR(SUMPRODUCT(('ANALYSE - ERP =&gt; SOUS-SEGMENT'!$B$8:$B$154=$B12)*'ANALYSE - ERP =&gt; SOUS-SEGMENT'!$EE$8:$EE$154*'ANALYSE - ERP =&gt; SOUS-SEGMENT'!$DB$8:$DB$154)/SUMPRODUCT(('ANALYSE - ERP =&gt; SOUS-SEGMENT'!$B$8:$B$154=$B12)*'ANALYSE - ERP =&gt; SOUS-SEGMENT'!$EE$8:$EE$154),"")</f>
        <v>10.915724797087158</v>
      </c>
      <c r="CZ12" s="881">
        <f>IFERROR(SUMPRODUCT(('ANALYSE - ERP =&gt; SOUS-SEGMENT'!$B$8:$B$154=$B12)*'ANALYSE - ERP =&gt; SOUS-SEGMENT'!$EM$8:$EM$154*'ANALYSE - ERP =&gt; SOUS-SEGMENT'!$DC$8:$DC$154)/SUMPRODUCT(('ANALYSE - ERP =&gt; SOUS-SEGMENT'!$B$8:$B$154=$B12)*'ANALYSE - ERP =&gt; SOUS-SEGMENT'!$EM$8:$EM$154),"")</f>
        <v>13.631326133688198</v>
      </c>
      <c r="DA12" s="878">
        <f>IFERROR(SUMPRODUCT(('ANALYSE - ERP =&gt; SOUS-SEGMENT'!$B$8:$B$154=$B12)*'ANALYSE - ERP =&gt; SOUS-SEGMENT'!$EN$8:$EN$154*'ANALYSE - ERP =&gt; SOUS-SEGMENT'!$DD$8:$DD$154)/SUMPRODUCT(('ANALYSE - ERP =&gt; SOUS-SEGMENT'!$B$8:$B$154=$B12)*'ANALYSE - ERP =&gt; SOUS-SEGMENT'!$EN$8:$EN$154),"")</f>
        <v>13.787063149947638</v>
      </c>
      <c r="DB12" s="880">
        <f>IFERROR(SUMPRODUCT(('ANALYSE - ERP =&gt; SOUS-SEGMENT'!$B$8:$B$154=$B12)*'ANALYSE - ERP =&gt; SOUS-SEGMENT'!$EO$8:$EO$154*'ANALYSE - ERP =&gt; SOUS-SEGMENT'!$DE$8:$DE$154)/SUMPRODUCT(('ANALYSE - ERP =&gt; SOUS-SEGMENT'!$B$8:$B$154=$B12)*'ANALYSE - ERP =&gt; SOUS-SEGMENT'!$EO$8:$EO$154),"")</f>
        <v>9.9311151166755973</v>
      </c>
      <c r="DC12" s="287" t="s">
        <v>7559</v>
      </c>
      <c r="DD12" s="657"/>
      <c r="DE12" s="308">
        <f t="shared" si="2"/>
        <v>412347</v>
      </c>
      <c r="DF12" s="308">
        <f t="shared" si="3"/>
        <v>360292</v>
      </c>
      <c r="DG12" s="308">
        <f t="shared" si="4"/>
        <v>153460.00000000003</v>
      </c>
      <c r="DH12" s="308">
        <f t="shared" si="5"/>
        <v>47901</v>
      </c>
      <c r="DI12" s="287" t="s">
        <v>7559</v>
      </c>
      <c r="DJ12" s="308">
        <f t="shared" si="6"/>
        <v>360461.1</v>
      </c>
      <c r="DK12" s="308">
        <f t="shared" si="7"/>
        <v>373040.6</v>
      </c>
      <c r="DL12" s="308">
        <f t="shared" si="8"/>
        <v>211452</v>
      </c>
      <c r="DM12" s="308">
        <f t="shared" si="9"/>
        <v>36916.300000000003</v>
      </c>
      <c r="DN12" s="289" t="s">
        <v>7559</v>
      </c>
      <c r="DO12" s="657"/>
      <c r="DP12" s="308">
        <f t="shared" si="10"/>
        <v>44692.75</v>
      </c>
      <c r="DQ12" s="308">
        <f t="shared" si="11"/>
        <v>50152.6</v>
      </c>
      <c r="DR12" s="308">
        <f t="shared" si="12"/>
        <v>21917.15</v>
      </c>
      <c r="DS12" s="289" t="s">
        <v>7559</v>
      </c>
      <c r="DT12" s="308">
        <f t="shared" si="13"/>
        <v>41401</v>
      </c>
      <c r="DU12" s="308">
        <f t="shared" si="14"/>
        <v>51845.599999999999</v>
      </c>
      <c r="DV12" s="308">
        <f t="shared" si="15"/>
        <v>27993.400000000005</v>
      </c>
      <c r="DW12" s="289" t="s">
        <v>7559</v>
      </c>
      <c r="DX12" s="657"/>
      <c r="DY12" s="308">
        <f t="shared" si="16"/>
        <v>33895.75</v>
      </c>
      <c r="DZ12" s="308">
        <f t="shared" si="17"/>
        <v>109788.75</v>
      </c>
      <c r="EA12" s="308">
        <f t="shared" si="18"/>
        <v>40118.75</v>
      </c>
      <c r="EB12" s="308">
        <f t="shared" si="19"/>
        <v>29661.75</v>
      </c>
      <c r="EC12" s="289" t="s">
        <v>7559</v>
      </c>
      <c r="ED12" s="308">
        <f t="shared" si="20"/>
        <v>27403.249999999996</v>
      </c>
      <c r="EE12" s="308">
        <f t="shared" si="21"/>
        <v>106074.2</v>
      </c>
      <c r="EF12" s="308">
        <f t="shared" si="22"/>
        <v>47490.9</v>
      </c>
      <c r="EG12" s="308">
        <f t="shared" si="23"/>
        <v>34861.65</v>
      </c>
      <c r="EH12" s="309" t="s">
        <v>7559</v>
      </c>
      <c r="EI12" s="290"/>
      <c r="EJ12" s="308">
        <f t="shared" si="24"/>
        <v>390760</v>
      </c>
      <c r="EK12" s="310">
        <f t="shared" si="25"/>
        <v>205304.99999999997</v>
      </c>
      <c r="EL12" s="310">
        <f t="shared" si="26"/>
        <v>102635</v>
      </c>
      <c r="EM12" s="289" t="s">
        <v>7559</v>
      </c>
      <c r="EN12" s="308">
        <f t="shared" si="27"/>
        <v>347020.5</v>
      </c>
      <c r="EO12" s="310">
        <f t="shared" si="28"/>
        <v>232317</v>
      </c>
      <c r="EP12" s="310">
        <f t="shared" si="29"/>
        <v>124812.5</v>
      </c>
      <c r="EQ12" s="289" t="s">
        <v>7559</v>
      </c>
      <c r="ER12" s="657"/>
      <c r="ES12" s="728">
        <f t="shared" si="30"/>
        <v>0.79921712576895054</v>
      </c>
      <c r="ET12" s="728">
        <f t="shared" si="31"/>
        <v>0.20078287423104949</v>
      </c>
      <c r="EU12" s="311">
        <f t="shared" si="32"/>
        <v>743778.97254399431</v>
      </c>
      <c r="EV12" s="311">
        <f t="shared" si="33"/>
        <v>594440.8926439943</v>
      </c>
      <c r="EW12" s="311">
        <f t="shared" si="34"/>
        <v>149338.07990000001</v>
      </c>
      <c r="EX12" s="311">
        <f t="shared" si="35"/>
        <v>354613.14654454892</v>
      </c>
      <c r="EY12" s="311">
        <f>SUMPRODUCT(('ANALYSE - ERP =&gt; SOUS-SEGMENT'!$B$8:$B$154=$B12)*'ANALYSE - ERP =&gt; SOUS-SEGMENT'!$Q$8:$Q$154*'ANALYSE - ERP =&gt; SOUS-SEGMENT'!$FB$8:$FB$154)</f>
        <v>284162.5395445489</v>
      </c>
      <c r="EZ12" s="311">
        <f>SUMPRODUCT(('ANALYSE - ERP =&gt; SOUS-SEGMENT'!$B$8:$B$154=$B12)*'ANALYSE - ERP =&gt; SOUS-SEGMENT'!$Q$8:$Q$154*'ANALYSE - ERP =&gt; SOUS-SEGMENT'!$FC$8:$FC$154)</f>
        <v>70450.606999999989</v>
      </c>
      <c r="FA12" s="311">
        <f t="shared" si="36"/>
        <v>55396.285847520194</v>
      </c>
      <c r="FB12" s="311">
        <f>SUMPRODUCT(('ANALYSE - ERP =&gt; SOUS-SEGMENT'!$B$8:$B$154=$B12)*'ANALYSE - ERP =&gt; SOUS-SEGMENT'!$Q$8:$Q$154*'ANALYSE - ERP =&gt; SOUS-SEGMENT'!$FE$8:$FE$154)</f>
        <v>43386.507897520198</v>
      </c>
      <c r="FC12" s="311">
        <f>SUMPRODUCT(('ANALYSE - ERP =&gt; SOUS-SEGMENT'!$B$8:$B$154=$B12)*'ANALYSE - ERP =&gt; SOUS-SEGMENT'!$Q$8:$Q$154*'ANALYSE - ERP =&gt; SOUS-SEGMENT'!$FF$8:$FF$154)</f>
        <v>12009.77795</v>
      </c>
      <c r="FD12" s="311">
        <f t="shared" si="37"/>
        <v>87675.661083030282</v>
      </c>
      <c r="FE12" s="311">
        <f>SUMPRODUCT(('ANALYSE - ERP =&gt; SOUS-SEGMENT'!$B$8:$B$154=$B12)*'ANALYSE - ERP =&gt; SOUS-SEGMENT'!$Q$8:$Q$154*'ANALYSE - ERP =&gt; SOUS-SEGMENT'!$FH$8:$FH$154)</f>
        <v>71328.547133030283</v>
      </c>
      <c r="FF12" s="311">
        <f>SUMPRODUCT(('ANALYSE - ERP =&gt; SOUS-SEGMENT'!$B$8:$B$154=$B12)*'ANALYSE - ERP =&gt; SOUS-SEGMENT'!$Q$8:$Q$154*'ANALYSE - ERP =&gt; SOUS-SEGMENT'!$FI$8:$FI$154)</f>
        <v>16347.113949999999</v>
      </c>
      <c r="FG12" s="311">
        <f t="shared" si="38"/>
        <v>246093.87906889486</v>
      </c>
      <c r="FH12" s="311">
        <f>SUMPRODUCT(('ANALYSE - ERP =&gt; SOUS-SEGMENT'!$B$8:$B$154=$B12)*'ANALYSE - ERP =&gt; SOUS-SEGMENT'!$Q$8:$Q$154*'ANALYSE - ERP =&gt; SOUS-SEGMENT'!$FK$8:$FK$154)</f>
        <v>195563.29806889486</v>
      </c>
      <c r="FI12" s="311">
        <f>SUMPRODUCT(('ANALYSE - ERP =&gt; SOUS-SEGMENT'!$B$8:$B$154=$B12)*'ANALYSE - ERP =&gt; SOUS-SEGMENT'!$Q$8:$Q$154*'ANALYSE - ERP =&gt; SOUS-SEGMENT'!$FL$8:$FL$154)</f>
        <v>50530.581000000006</v>
      </c>
      <c r="FJ12" s="657"/>
      <c r="FK12" s="293" t="s">
        <v>2649</v>
      </c>
      <c r="FL12" s="728">
        <f>IFERROR(SUMPRODUCT(('ANALYSE - ERP =&gt; SOUS-SEGMENT'!$B$8:$B$154=$B12)*'ANALYSE - ERP =&gt; SOUS-SEGMENT'!$Q$8:$Q$154*'ANALYSE - ERP =&gt; SOUS-SEGMENT'!$AF$8:$AF$154*'ANALYSE - ERP =&gt; SOUS-SEGMENT'!$FO$8:$FO$154)/SUMPRODUCT(('ANALYSE - ERP =&gt; SOUS-SEGMENT'!$B$8:$B$154=$B12)*'ANALYSE - ERP =&gt; SOUS-SEGMENT'!$Q$8:$Q$154*'ANALYSE - ERP =&gt; SOUS-SEGMENT'!$AF$8:$AF$154),"")</f>
        <v>5.6855428870292893E-2</v>
      </c>
      <c r="FM12" s="729">
        <f>IFERROR(SUMPRODUCT(('ANALYSE - ERP =&gt; SOUS-SEGMENT'!$B$8:$B$154=$B12)*'ANALYSE - ERP =&gt; SOUS-SEGMENT'!$Q$8:$Q$154*'ANALYSE - ERP =&gt; SOUS-SEGMENT'!$AF$8:$AF$154*'ANALYSE - ERP =&gt; SOUS-SEGMENT'!$FP$8:$FP$154)/SUMPRODUCT(('ANALYSE - ERP =&gt; SOUS-SEGMENT'!$B$8:$B$154=$B12)*'ANALYSE - ERP =&gt; SOUS-SEGMENT'!$Q$8:$Q$154*'ANALYSE - ERP =&gt; SOUS-SEGMENT'!$AF$8:$AF$154),"")</f>
        <v>0.81297837866108791</v>
      </c>
      <c r="FN12" s="294" t="s">
        <v>6780</v>
      </c>
      <c r="FO12" s="657"/>
      <c r="FP12" s="865">
        <f>IFERROR(SUMPRODUCT(('ANALYSE - ERP =&gt; SOUS-SEGMENT'!$B$8:$B$154=$B12)*'ANALYSE - ERP =&gt; SOUS-SEGMENT'!$Q$8:$Q$154*'ANALYSE - ERP =&gt; SOUS-SEGMENT'!$EX$8:$EX$154*'ANALYSE - ERP =&gt; SOUS-SEGMENT'!$FS$8:$FS$154)/SUMPRODUCT(('ANALYSE - ERP =&gt; SOUS-SEGMENT'!$B$8:$B$154=$B12)*'ANALYSE - ERP =&gt; SOUS-SEGMENT'!$Q$8:$Q$154*'ANALYSE - ERP =&gt; SOUS-SEGMENT'!$EX$8:$EX$154),"")</f>
        <v>3.2646941428628553</v>
      </c>
      <c r="FQ12" s="312">
        <f>RANK($FP12,$FP$8:$FP$143,0)+COUNTIF($FP$8:$FP12,$FP12)-1</f>
        <v>6</v>
      </c>
      <c r="FR12" s="865">
        <f>IFERROR(SUMPRODUCT(('ANALYSE - ERP =&gt; SOUS-SEGMENT'!$B$8:$B$154=$B12)*'ANALYSE - ERP =&gt; SOUS-SEGMENT'!$Q$8:$Q$154*'ANALYSE - ERP =&gt; SOUS-SEGMENT'!$EY$8:$EY$154*'ANALYSE - ERP =&gt; SOUS-SEGMENT'!$FU$8:$FU$154)/SUMPRODUCT(('ANALYSE - ERP =&gt; SOUS-SEGMENT'!$B$8:$B$154=$B12)*'ANALYSE - ERP =&gt; SOUS-SEGMENT'!$Q$8:$Q$154*'ANALYSE - ERP =&gt; SOUS-SEGMENT'!$EY$8:$EY$154),"")-0.1</f>
        <v>3.8106486470814644</v>
      </c>
      <c r="FS12" s="312" t="e">
        <f>RANK($FR12,$FR$8:$FR$143,0)+COUNTIF($FR$8:$FR12,$FR12)-1</f>
        <v>#VALUE!</v>
      </c>
      <c r="FT12" s="865">
        <f>IFERROR(SUMPRODUCT(('ANALYSE - ERP =&gt; SOUS-SEGMENT'!$B$8:$B$154=$B12)*'ANALYSE - ERP =&gt; SOUS-SEGMENT'!$Q$8:$Q$154*'ANALYSE - ERP =&gt; SOUS-SEGMENT'!$EZ$8:$EZ$154*'ANALYSE - ERP =&gt; SOUS-SEGMENT'!$FW$8:$FW$154)/SUMPRODUCT(('ANALYSE - ERP =&gt; SOUS-SEGMENT'!$B$8:$B$154=$B12)*'ANALYSE - ERP =&gt; SOUS-SEGMENT'!$Q$8:$Q$154*'ANALYSE - ERP =&gt; SOUS-SEGMENT'!$EZ$8:$EZ$154),"")-0.1</f>
        <v>2.0927000282129651</v>
      </c>
      <c r="FU12" s="312" t="e">
        <f>RANK($FT12,$FT$8:$FT$143,0)+COUNTIF($FT$8:$FT12,$FT12)-1</f>
        <v>#VALUE!</v>
      </c>
      <c r="FV12" s="657"/>
      <c r="FW12" s="296" t="s">
        <v>7559</v>
      </c>
      <c r="FX12" s="296" t="s">
        <v>7559</v>
      </c>
      <c r="FY12" s="296" t="s">
        <v>7559</v>
      </c>
      <c r="FZ12" s="296" t="s">
        <v>7559</v>
      </c>
      <c r="GA12" s="296" t="s">
        <v>7559</v>
      </c>
      <c r="GB12" s="296" t="s">
        <v>7559</v>
      </c>
      <c r="GC12" s="296" t="str">
        <f t="shared" si="39"/>
        <v>https://solidarites.gouv.fr/le-service-public-de-la-petite-enfance-garantir-un-accueil-de-qualite-tous-les-enfants-et-leurs-familles
https://solidarites.gouv.fr/outils-et-ressources-destination-des-autorites-organisatrices-de-laccueil-du-jeune-enfant
https://solidarites.gouv.fr/stephanie-rist-annonce-une-revalorisation-du-financement-des-creches-par-les-caf-de-2-en-2025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D12" s="657"/>
      <c r="GE12" s="311">
        <f>SUMPRODUCT(('ANALYSE - ERP =&gt; SOUS-SEGMENT'!$B$8:$B$154=$B12)*'ANALYSE - ERP =&gt; SOUS-SEGMENT'!$Q$8:$Q$154*'ANALYSE - ERP =&gt; SOUS-SEGMENT'!$GH$8:$GH$154)</f>
        <v>142004.95841998718</v>
      </c>
      <c r="GF12" s="311">
        <f>SUMPRODUCT(('ANALYSE - ERP =&gt; SOUS-SEGMENT'!$B$8:$B$154=$B12)*'ANALYSE - ERP =&gt; SOUS-SEGMENT'!$Q$8:$Q$154*'ANALYSE - ERP =&gt; SOUS-SEGMENT'!$GI$8:$GI$154)</f>
        <v>116007.64249998718</v>
      </c>
      <c r="GG12" s="311">
        <f>SUMPRODUCT(('ANALYSE - ERP =&gt; SOUS-SEGMENT'!$B$8:$B$154=$B12)*'ANALYSE - ERP =&gt; SOUS-SEGMENT'!$Q$8:$Q$154*'ANALYSE - ERP =&gt; SOUS-SEGMENT'!$GJ$8:$GJ$154)</f>
        <v>25997.315919999997</v>
      </c>
      <c r="GH12" s="311">
        <f>SUMPRODUCT(('ANALYSE - ERP =&gt; SOUS-SEGMENT'!$B$8:$B$154=$B12)*'ANALYSE - ERP =&gt; SOUS-SEGMENT'!$Q$8:$Q$154*'ANALYSE - ERP =&gt; SOUS-SEGMENT'!$GK$8:$GK$154)</f>
        <v>121037.50797681318</v>
      </c>
      <c r="GI12" s="311">
        <f>SUMPRODUCT(('ANALYSE - ERP =&gt; SOUS-SEGMENT'!$B$8:$B$154=$B12)*'ANALYSE - ERP =&gt; SOUS-SEGMENT'!$Q$8:$Q$154*'ANALYSE - ERP =&gt; SOUS-SEGMENT'!$GL$8:$GL$154)</f>
        <v>93387.397106813194</v>
      </c>
      <c r="GJ12" s="311">
        <f>SUMPRODUCT(('ANALYSE - ERP =&gt; SOUS-SEGMENT'!$B$8:$B$154=$B12)*'ANALYSE - ERP =&gt; SOUS-SEGMENT'!$Q$8:$Q$154*'ANALYSE - ERP =&gt; SOUS-SEGMENT'!$GM$8:$GM$154)</f>
        <v>27650.11087</v>
      </c>
      <c r="GK12" s="311">
        <f>SUMPRODUCT(('ANALYSE - ERP =&gt; SOUS-SEGMENT'!$B$8:$B$154=$B12)*'ANALYSE - ERP =&gt; SOUS-SEGMENT'!$Q$8:$Q$154*'ANALYSE - ERP =&gt; SOUS-SEGMENT'!$GN$8:$GN$154)</f>
        <v>74035.068860066662</v>
      </c>
      <c r="GL12" s="311">
        <f>SUMPRODUCT(('ANALYSE - ERP =&gt; SOUS-SEGMENT'!$B$8:$B$154=$B12)*'ANALYSE - ERP =&gt; SOUS-SEGMENT'!$Q$8:$Q$154*'ANALYSE - ERP =&gt; SOUS-SEGMENT'!$GO$8:$GO$154)</f>
        <v>59849.245670066666</v>
      </c>
      <c r="GM12" s="311">
        <f>SUMPRODUCT(('ANALYSE - ERP =&gt; SOUS-SEGMENT'!$B$8:$B$154=$B12)*'ANALYSE - ERP =&gt; SOUS-SEGMENT'!$Q$8:$Q$154*'ANALYSE - ERP =&gt; SOUS-SEGMENT'!$GP$8:$GP$154)</f>
        <v>14185.823190000001</v>
      </c>
      <c r="GN12" s="311">
        <f>SUMPRODUCT(('ANALYSE - ERP =&gt; SOUS-SEGMENT'!$B$8:$B$154=$B12)*'ANALYSE - ERP =&gt; SOUS-SEGMENT'!$Q$8:$Q$154*'ANALYSE - ERP =&gt; SOUS-SEGMENT'!$GQ$8:$GQ$154)</f>
        <v>17535.611287681822</v>
      </c>
      <c r="GO12" s="311">
        <f>SUMPRODUCT(('ANALYSE - ERP =&gt; SOUS-SEGMENT'!$B$8:$B$154=$B12)*'ANALYSE - ERP =&gt; SOUS-SEGMENT'!$Q$8:$Q$154*'ANALYSE - ERP =&gt; SOUS-SEGMENT'!$GR$8:$GR$154)</f>
        <v>14918.254267681819</v>
      </c>
      <c r="GP12" s="311">
        <f>SUMPRODUCT(('ANALYSE - ERP =&gt; SOUS-SEGMENT'!$B$8:$B$154=$B12)*'ANALYSE - ERP =&gt; SOUS-SEGMENT'!$Q$8:$Q$154*'ANALYSE - ERP =&gt; SOUS-SEGMENT'!$GS$8:$GS$154)</f>
        <v>2617.3570200000004</v>
      </c>
      <c r="GQ12" s="311">
        <f>SUMPRODUCT(('ANALYSE - ERP =&gt; SOUS-SEGMENT'!$B$8:$B$154=$B12)*'ANALYSE - ERP =&gt; SOUS-SEGMENT'!$Q$8:$Q$154*'ANALYSE - ERP =&gt; SOUS-SEGMENT'!$GT$8:$GT$154)</f>
        <v>19431.857111765152</v>
      </c>
      <c r="GR12" s="311">
        <f>SUMPRODUCT(('ANALYSE - ERP =&gt; SOUS-SEGMENT'!$B$8:$B$154=$B12)*'ANALYSE - ERP =&gt; SOUS-SEGMENT'!$Q$8:$Q$154*'ANALYSE - ERP =&gt; SOUS-SEGMENT'!$GU$8:$GU$154)</f>
        <v>15340.481044265152</v>
      </c>
      <c r="GS12" s="311">
        <f>SUMPRODUCT(('ANALYSE - ERP =&gt; SOUS-SEGMENT'!$B$8:$B$154=$B12)*'ANALYSE - ERP =&gt; SOUS-SEGMENT'!$Q$8:$Q$154*'ANALYSE - ERP =&gt; SOUS-SEGMENT'!$GV$8:$GV$154)</f>
        <v>4091.3760674999999</v>
      </c>
      <c r="GT12" s="311">
        <f>SUMPRODUCT(('ANALYSE - ERP =&gt; SOUS-SEGMENT'!$B$8:$B$154=$B12)*'ANALYSE - ERP =&gt; SOUS-SEGMENT'!$Q$8:$Q$154*'ANALYSE - ERP =&gt; SOUS-SEGMENT'!$GW$8:$GW$154)</f>
        <v>23262.817647727275</v>
      </c>
      <c r="GU12" s="311">
        <f>SUMPRODUCT(('ANALYSE - ERP =&gt; SOUS-SEGMENT'!$B$8:$B$154=$B12)*'ANALYSE - ERP =&gt; SOUS-SEGMENT'!$Q$8:$Q$154*'ANALYSE - ERP =&gt; SOUS-SEGMENT'!$GX$8:$GX$154)</f>
        <v>18106.68193972727</v>
      </c>
      <c r="GV12" s="311">
        <f>SUMPRODUCT(('ANALYSE - ERP =&gt; SOUS-SEGMENT'!$B$8:$B$154=$B12)*'ANALYSE - ERP =&gt; SOUS-SEGMENT'!$Q$8:$Q$154*'ANALYSE - ERP =&gt; SOUS-SEGMENT'!$GY$8:$GY$154)</f>
        <v>5156.1357079999989</v>
      </c>
      <c r="GW12" s="311">
        <f>SUMPRODUCT(('ANALYSE - ERP =&gt; SOUS-SEGMENT'!$B$8:$B$154=$B12)*'ANALYSE - ERP =&gt; SOUS-SEGMENT'!$Q$8:$Q$154*'ANALYSE - ERP =&gt; SOUS-SEGMENT'!$GZ$8:$GZ$154)</f>
        <v>12701.611088027779</v>
      </c>
      <c r="GX12" s="311">
        <f>SUMPRODUCT(('ANALYSE - ERP =&gt; SOUS-SEGMENT'!$B$8:$B$154=$B12)*'ANALYSE - ERP =&gt; SOUS-SEGMENT'!$Q$8:$Q$154*'ANALYSE - ERP =&gt; SOUS-SEGMENT'!$HA$8:$HA$154)</f>
        <v>9939.3449135277788</v>
      </c>
      <c r="GY12" s="311">
        <f>SUMPRODUCT(('ANALYSE - ERP =&gt; SOUS-SEGMENT'!$B$8:$B$154=$B12)*'ANALYSE - ERP =&gt; SOUS-SEGMENT'!$Q$8:$Q$154*'ANALYSE - ERP =&gt; SOUS-SEGMENT'!$HB$8:$HB$154)</f>
        <v>2762.2661745</v>
      </c>
      <c r="GZ12" s="311">
        <f>SUMPRODUCT(('ANALYSE - ERP =&gt; SOUS-SEGMENT'!$B$8:$B$154=$B12)*'ANALYSE - ERP =&gt; SOUS-SEGMENT'!$Q$8:$Q$154*'ANALYSE - ERP =&gt; SOUS-SEGMENT'!$HC$8:$HC$154)</f>
        <v>14051.591151772725</v>
      </c>
      <c r="HA12" s="311">
        <f>SUMPRODUCT(('ANALYSE - ERP =&gt; SOUS-SEGMENT'!$B$8:$B$154=$B12)*'ANALYSE - ERP =&gt; SOUS-SEGMENT'!$Q$8:$Q$154*'ANALYSE - ERP =&gt; SOUS-SEGMENT'!$HD$8:$HD$154)</f>
        <v>11953.941463772726</v>
      </c>
      <c r="HB12" s="311">
        <f>SUMPRODUCT(('ANALYSE - ERP =&gt; SOUS-SEGMENT'!$B$8:$B$154=$B12)*'ANALYSE - ERP =&gt; SOUS-SEGMENT'!$Q$8:$Q$154*'ANALYSE - ERP =&gt; SOUS-SEGMENT'!$HE$8:$HE$154)</f>
        <v>2097.649688</v>
      </c>
      <c r="HC12" s="311">
        <f>SUMPRODUCT(('ANALYSE - ERP =&gt; SOUS-SEGMENT'!$B$8:$B$154=$B12)*'ANALYSE - ERP =&gt; SOUS-SEGMENT'!$Q$8:$Q$154*'ANALYSE - ERP =&gt; SOUS-SEGMENT'!$HF$8:$HF$154)</f>
        <v>39586.42541143269</v>
      </c>
      <c r="HD12" s="311">
        <f>SUMPRODUCT(('ANALYSE - ERP =&gt; SOUS-SEGMENT'!$B$8:$B$154=$B12)*'ANALYSE - ERP =&gt; SOUS-SEGMENT'!$Q$8:$Q$154*'ANALYSE - ERP =&gt; SOUS-SEGMENT'!$HG$8:$HG$154)</f>
        <v>31380.378923932694</v>
      </c>
      <c r="HE12" s="311">
        <f>SUMPRODUCT(('ANALYSE - ERP =&gt; SOUS-SEGMENT'!$B$8:$B$154=$B12)*'ANALYSE - ERP =&gt; SOUS-SEGMENT'!$Q$8:$Q$154*'ANALYSE - ERP =&gt; SOUS-SEGMENT'!$HH$8:$HH$154)</f>
        <v>8206.0464874999998</v>
      </c>
      <c r="HF12" s="311">
        <f>SUMPRODUCT(('ANALYSE - ERP =&gt; SOUS-SEGMENT'!$B$8:$B$154=$B12)*'ANALYSE - ERP =&gt; SOUS-SEGMENT'!$Q$8:$Q$154*'ANALYSE - ERP =&gt; SOUS-SEGMENT'!$HI$8:$HI$154)</f>
        <v>21119.495047243057</v>
      </c>
      <c r="HG12" s="311">
        <f>SUMPRODUCT(('ANALYSE - ERP =&gt; SOUS-SEGMENT'!$B$8:$B$154=$B12)*'ANALYSE - ERP =&gt; SOUS-SEGMENT'!$Q$8:$Q$154*'ANALYSE - ERP =&gt; SOUS-SEGMENT'!$HJ$8:$HJ$154)</f>
        <v>17548.728346243053</v>
      </c>
      <c r="HH12" s="311">
        <f>SUMPRODUCT(('ANALYSE - ERP =&gt; SOUS-SEGMENT'!$B$8:$B$154=$B12)*'ANALYSE - ERP =&gt; SOUS-SEGMENT'!$Q$8:$Q$154*'ANALYSE - ERP =&gt; SOUS-SEGMENT'!$HK$8:$HK$154)</f>
        <v>3570.766701</v>
      </c>
      <c r="HI12" s="311">
        <f>SUMPRODUCT(('ANALYSE - ERP =&gt; SOUS-SEGMENT'!$B$8:$B$154=$B12)*'ANALYSE - ERP =&gt; SOUS-SEGMENT'!$Q$8:$Q$154*'ANALYSE - ERP =&gt; SOUS-SEGMENT'!$HL$8:$HL$154)</f>
        <v>12918.149472581819</v>
      </c>
      <c r="HJ12" s="311">
        <f>SUMPRODUCT(('ANALYSE - ERP =&gt; SOUS-SEGMENT'!$B$8:$B$154=$B12)*'ANALYSE - ERP =&gt; SOUS-SEGMENT'!$Q$8:$Q$154*'ANALYSE - ERP =&gt; SOUS-SEGMENT'!$HM$8:$HM$154)</f>
        <v>10445.498399081818</v>
      </c>
      <c r="HK12" s="311">
        <f>SUMPRODUCT(('ANALYSE - ERP =&gt; SOUS-SEGMENT'!$B$8:$B$154=$B12)*'ANALYSE - ERP =&gt; SOUS-SEGMENT'!$Q$8:$Q$154*'ANALYSE - ERP =&gt; SOUS-SEGMENT'!$HN$8:$HN$154)</f>
        <v>2472.6510734999997</v>
      </c>
      <c r="HL12" s="311">
        <f>SUMPRODUCT(('ANALYSE - ERP =&gt; SOUS-SEGMENT'!$B$8:$B$154=$B12)*'ANALYSE - ERP =&gt; SOUS-SEGMENT'!$Q$8:$Q$154*'ANALYSE - ERP =&gt; SOUS-SEGMENT'!$HO$8:$HO$154)</f>
        <v>127516.08101049351</v>
      </c>
      <c r="HM12" s="311">
        <f>SUMPRODUCT(('ANALYSE - ERP =&gt; SOUS-SEGMENT'!$B$8:$B$154=$B12)*'ANALYSE - ERP =&gt; SOUS-SEGMENT'!$Q$8:$Q$154*'ANALYSE - ERP =&gt; SOUS-SEGMENT'!$HP$8:$HP$154)</f>
        <v>102383.62065049351</v>
      </c>
      <c r="HN12" s="311">
        <f>SUMPRODUCT(('ANALYSE - ERP =&gt; SOUS-SEGMENT'!$B$8:$B$154=$B12)*'ANALYSE - ERP =&gt; SOUS-SEGMENT'!$Q$8:$Q$154*'ANALYSE - ERP =&gt; SOUS-SEGMENT'!$HQ$8:$HQ$154)</f>
        <v>25132.460360000001</v>
      </c>
      <c r="HO12" s="311">
        <f>SUMPRODUCT(('ANALYSE - ERP =&gt; SOUS-SEGMENT'!$B$8:$B$154=$B12)*'ANALYSE - ERP =&gt; SOUS-SEGMENT'!$Q$8:$Q$154*'ANALYSE - ERP =&gt; SOUS-SEGMENT'!$HR$8:$HR$154)</f>
        <v>69691.722015045787</v>
      </c>
      <c r="HP12" s="311">
        <f>SUMPRODUCT(('ANALYSE - ERP =&gt; SOUS-SEGMENT'!$B$8:$B$154=$B12)*'ANALYSE - ERP =&gt; SOUS-SEGMENT'!$Q$8:$Q$154*'ANALYSE - ERP =&gt; SOUS-SEGMENT'!$HS$8:$HS$154)</f>
        <v>53119.481335045784</v>
      </c>
      <c r="HQ12" s="311">
        <f>SUMPRODUCT(('ANALYSE - ERP =&gt; SOUS-SEGMENT'!$B$8:$B$154=$B12)*'ANALYSE - ERP =&gt; SOUS-SEGMENT'!$Q$8:$Q$154*'ANALYSE - ERP =&gt; SOUS-SEGMENT'!$HT$8:$HT$154)</f>
        <v>16572.240680000003</v>
      </c>
      <c r="HR12" s="311">
        <f>SUMPRODUCT(('ANALYSE - ERP =&gt; SOUS-SEGMENT'!$B$8:$B$154=$B12)*'ANALYSE - ERP =&gt; SOUS-SEGMENT'!$Q$8:$Q$154*'ANALYSE - ERP =&gt; SOUS-SEGMENT'!$HU$8:$HU$154)</f>
        <v>48886.076043355562</v>
      </c>
      <c r="HS12" s="311">
        <f>SUMPRODUCT(('ANALYSE - ERP =&gt; SOUS-SEGMENT'!$B$8:$B$154=$B12)*'ANALYSE - ERP =&gt; SOUS-SEGMENT'!$Q$8:$Q$154*'ANALYSE - ERP =&gt; SOUS-SEGMENT'!$HV$8:$HV$154)</f>
        <v>40060.196083355564</v>
      </c>
      <c r="HT12" s="311">
        <f>SUMPRODUCT(('ANALYSE - ERP =&gt; SOUS-SEGMENT'!$B$8:$B$154=$B12)*'ANALYSE - ERP =&gt; SOUS-SEGMENT'!$Q$8:$Q$154*'ANALYSE - ERP =&gt; SOUS-SEGMENT'!$HW$8:$HW$154)</f>
        <v>8825.8799600000002</v>
      </c>
      <c r="HV12" s="313">
        <f t="shared" si="40"/>
        <v>1997445.09225</v>
      </c>
      <c r="HW12" s="313">
        <f>SUMPRODUCT(('ANALYSE - ERP =&gt; SOUS-SEGMENT'!$B$8:$B$154=$B12)*'ANALYSE - ERP =&gt; SOUS-SEGMENT'!$Q$8:$Q$154*'ANALYSE - ERP =&gt; SOUS-SEGMENT'!$HZ$8:$HZ$154)</f>
        <v>85811.372000000003</v>
      </c>
      <c r="HX12" s="313">
        <f>SUMPRODUCT(('ANALYSE - ERP =&gt; SOUS-SEGMENT'!$B$8:$B$154=$B12)*'ANALYSE - ERP =&gt; SOUS-SEGMENT'!$Q$8:$Q$154*'ANALYSE - ERP =&gt; SOUS-SEGMENT'!$IA$8:$IA$154)</f>
        <v>853270.97450000001</v>
      </c>
      <c r="HY12" s="313">
        <f>SUMPRODUCT(('ANALYSE - ERP =&gt; SOUS-SEGMENT'!$B$8:$B$154=$B12)*'ANALYSE - ERP =&gt; SOUS-SEGMENT'!$Q$8:$Q$154*'ANALYSE - ERP =&gt; SOUS-SEGMENT'!$IB$8:$IB$154)</f>
        <v>927046.95050000004</v>
      </c>
      <c r="HZ12" s="313">
        <f>SUMPRODUCT(('ANALYSE - ERP =&gt; SOUS-SEGMENT'!$B$8:$B$154=$B12)*'ANALYSE - ERP =&gt; SOUS-SEGMENT'!$Q$8:$Q$154*'ANALYSE - ERP =&gt; SOUS-SEGMENT'!$IC$8:$IC$154)</f>
        <v>129921.78725000001</v>
      </c>
      <c r="IA12" s="313">
        <f>SUMPRODUCT(('ANALYSE - ERP =&gt; SOUS-SEGMENT'!$B$8:$B$154=$B12)*'ANALYSE - ERP =&gt; SOUS-SEGMENT'!$Q$8:$Q$154*'ANALYSE - ERP =&gt; SOUS-SEGMENT'!$ID$8:$ID$154)</f>
        <v>1394.008</v>
      </c>
      <c r="IB12" s="313">
        <f>SUMPRODUCT(('ANALYSE - ERP =&gt; SOUS-SEGMENT'!$B$8:$B$154=$B12)*'ANALYSE - ERP =&gt; SOUS-SEGMENT'!$Q$8:$Q$154*'ANALYSE - ERP =&gt; SOUS-SEGMENT'!$IE$8:$IE$154)</f>
        <v>592864.86300508515</v>
      </c>
      <c r="IC12" s="313">
        <f>SUMPRODUCT(('ANALYSE - ERP =&gt; SOUS-SEGMENT'!$B$8:$B$154=$B12)*'ANALYSE - ERP =&gt; SOUS-SEGMENT'!$Q$8:$Q$154*'ANALYSE - ERP =&gt; SOUS-SEGMENT'!$IF$8:$IF$154)</f>
        <v>11890.403130340044</v>
      </c>
      <c r="ID12" s="313">
        <f>SUMPRODUCT(('ANALYSE - ERP =&gt; SOUS-SEGMENT'!$B$8:$B$154=$B12)*'ANALYSE - ERP =&gt; SOUS-SEGMENT'!$Q$8:$Q$154*'ANALYSE - ERP =&gt; SOUS-SEGMENT'!$IG$8:$IG$154)</f>
        <v>236157.15614804174</v>
      </c>
      <c r="IE12" s="313">
        <f>SUMPRODUCT(('ANALYSE - ERP =&gt; SOUS-SEGMENT'!$B$8:$B$154=$B12)*'ANALYSE - ERP =&gt; SOUS-SEGMENT'!$Q$8:$Q$154*'ANALYSE - ERP =&gt; SOUS-SEGMENT'!$IH$8:$IH$154)</f>
        <v>290776.77137504763</v>
      </c>
      <c r="IF12" s="313">
        <f>SUMPRODUCT(('ANALYSE - ERP =&gt; SOUS-SEGMENT'!$B$8:$B$154=$B12)*'ANALYSE - ERP =&gt; SOUS-SEGMENT'!$Q$8:$Q$154*'ANALYSE - ERP =&gt; SOUS-SEGMENT'!$II$8:$II$154)</f>
        <v>50557.244334891904</v>
      </c>
      <c r="IG12" s="313">
        <f>SUMPRODUCT(('ANALYSE - ERP =&gt; SOUS-SEGMENT'!$B$8:$B$154=$B12)*'ANALYSE - ERP =&gt; SOUS-SEGMENT'!$Q$8:$Q$154*'ANALYSE - ERP =&gt; SOUS-SEGMENT'!$IJ$8:$IJ$154)</f>
        <v>3483.288016763734</v>
      </c>
      <c r="IH12" s="866"/>
      <c r="II12" s="314" t="s">
        <v>2589</v>
      </c>
      <c r="IJ12" s="299" t="s">
        <v>7559</v>
      </c>
      <c r="IK12" s="657"/>
      <c r="IL12" s="779">
        <f>IFERROR(SUMPRODUCT(('ANALYSE - ERP =&gt; SOUS-SEGMENT'!$B$8:$B$154=$B12)*'ANALYSE - ERP =&gt; SOUS-SEGMENT'!$Q$8:$Q$154*'ANALYSE - ERP =&gt; SOUS-SEGMENT'!$BE$8:$BE$154*'ANALYSE - ERP =&gt; SOUS-SEGMENT'!$IO$8:$IO$154)/SUMPRODUCT(('ANALYSE - ERP =&gt; SOUS-SEGMENT'!$B$8:$B$154=$B12)*'ANALYSE - ERP =&gt; SOUS-SEGMENT'!$Q$8:$Q$154*'ANALYSE - ERP =&gt; SOUS-SEGMENT'!$BE$8:$BE$154),0)</f>
        <v>3.5314507186858315E-2</v>
      </c>
      <c r="IM12" s="780">
        <f>IFERROR(SUMPRODUCT(('ANALYSE - ERP =&gt; SOUS-SEGMENT'!$B$8:$B$154=$B12)*'ANALYSE - ERP =&gt; SOUS-SEGMENT'!$Q$8:$Q$154*'ANALYSE - ERP =&gt; SOUS-SEGMENT'!$BE$8:$BE$154*'ANALYSE - ERP =&gt; SOUS-SEGMENT'!$IP$8:$IP$154)/SUMPRODUCT(('ANALYSE - ERP =&gt; SOUS-SEGMENT'!$B$8:$B$154=$B12)*'ANALYSE - ERP =&gt; SOUS-SEGMENT'!$Q$8:$Q$154*'ANALYSE - ERP =&gt; SOUS-SEGMENT'!$BE$8:$BE$154),0)</f>
        <v>0.40318305954825456</v>
      </c>
      <c r="IN12" s="780">
        <f>IFERROR(SUMPRODUCT(('ANALYSE - ERP =&gt; SOUS-SEGMENT'!$B$8:$B$154=$B12)*'ANALYSE - ERP =&gt; SOUS-SEGMENT'!$Q$8:$Q$154*'ANALYSE - ERP =&gt; SOUS-SEGMENT'!$BE$8:$BE$154*'ANALYSE - ERP =&gt; SOUS-SEGMENT'!$IQ$8:$IQ$154)/SUMPRODUCT(('ANALYSE - ERP =&gt; SOUS-SEGMENT'!$B$8:$B$154=$B12)*'ANALYSE - ERP =&gt; SOUS-SEGMENT'!$Q$8:$Q$154*'ANALYSE - ERP =&gt; SOUS-SEGMENT'!$BE$8:$BE$154),0)</f>
        <v>0.4856731519507187</v>
      </c>
      <c r="IO12" s="780">
        <f>IFERROR(SUMPRODUCT(('ANALYSE - ERP =&gt; SOUS-SEGMENT'!$B$8:$B$154=$B12)*'ANALYSE - ERP =&gt; SOUS-SEGMENT'!$Q$8:$Q$154*'ANALYSE - ERP =&gt; SOUS-SEGMENT'!$BE$8:$BE$154*'ANALYSE - ERP =&gt; SOUS-SEGMENT'!$IR$8:$IR$154)/SUMPRODUCT(('ANALYSE - ERP =&gt; SOUS-SEGMENT'!$B$8:$B$154=$B12)*'ANALYSE - ERP =&gt; SOUS-SEGMENT'!$Q$8:$Q$154*'ANALYSE - ERP =&gt; SOUS-SEGMENT'!$BE$8:$BE$154),0)</f>
        <v>7.4927022587269007E-2</v>
      </c>
      <c r="IP12" s="781">
        <f>IFERROR(SUMPRODUCT(('ANALYSE - ERP =&gt; SOUS-SEGMENT'!$B$8:$B$154=$B12)*'ANALYSE - ERP =&gt; SOUS-SEGMENT'!$Q$8:$Q$154*'ANALYSE - ERP =&gt; SOUS-SEGMENT'!$BE$8:$BE$154*'ANALYSE - ERP =&gt; SOUS-SEGMENT'!$IS$8:$IS$154)/SUMPRODUCT(('ANALYSE - ERP =&gt; SOUS-SEGMENT'!$B$8:$B$154=$B12)*'ANALYSE - ERP =&gt; SOUS-SEGMENT'!$Q$8:$Q$154*'ANALYSE - ERP =&gt; SOUS-SEGMENT'!$BE$8:$BE$154),0)</f>
        <v>9.0225872689938397E-4</v>
      </c>
      <c r="IQ12" s="780">
        <f>IFERROR(SUMPRODUCT(('ANALYSE - ERP =&gt; SOUS-SEGMENT'!$B$8:$B$154=$B12)*'ANALYSE - ERP =&gt; SOUS-SEGMENT'!$Q$8:$Q$154*'ANALYSE - ERP =&gt; SOUS-SEGMENT'!$FB$8:$FB$154*'ANALYSE - ERP =&gt; SOUS-SEGMENT'!$IT$8:$IT$154)/SUMPRODUCT(('ANALYSE - ERP =&gt; SOUS-SEGMENT'!$B$8:$B$154=$B12)*'ANALYSE - ERP =&gt; SOUS-SEGMENT'!$Q$8:$Q$154*'ANALYSE - ERP =&gt; SOUS-SEGMENT'!$FB$8:$FB$154),0)</f>
        <v>1.3634772899023442E-2</v>
      </c>
      <c r="IR12" s="780">
        <f>IFERROR(SUMPRODUCT(('ANALYSE - ERP =&gt; SOUS-SEGMENT'!$B$8:$B$154=$B12)*'ANALYSE - ERP =&gt; SOUS-SEGMENT'!$Q$8:$Q$154*'ANALYSE - ERP =&gt; SOUS-SEGMENT'!$FB$8:$FB$154*'ANALYSE - ERP =&gt; SOUS-SEGMENT'!$IU$8:$IU$154)/SUMPRODUCT(('ANALYSE - ERP =&gt; SOUS-SEGMENT'!$B$8:$B$154=$B12)*'ANALYSE - ERP =&gt; SOUS-SEGMENT'!$Q$8:$Q$154*'ANALYSE - ERP =&gt; SOUS-SEGMENT'!$FB$8:$FB$154),0)</f>
        <v>0.37080664270659019</v>
      </c>
      <c r="IS12" s="780">
        <f>IFERROR(SUMPRODUCT(('ANALYSE - ERP =&gt; SOUS-SEGMENT'!$B$8:$B$154=$B12)*'ANALYSE - ERP =&gt; SOUS-SEGMENT'!$Q$8:$Q$154*'ANALYSE - ERP =&gt; SOUS-SEGMENT'!$FB$8:$FB$154*'ANALYSE - ERP =&gt; SOUS-SEGMENT'!$IV$8:$IV$154)/SUMPRODUCT(('ANALYSE - ERP =&gt; SOUS-SEGMENT'!$B$8:$B$154=$B12)*'ANALYSE - ERP =&gt; SOUS-SEGMENT'!$Q$8:$Q$154*'ANALYSE - ERP =&gt; SOUS-SEGMENT'!$FB$8:$FB$154),0)</f>
        <v>0.51249937290587855</v>
      </c>
      <c r="IT12" s="780">
        <f>IFERROR(SUMPRODUCT(('ANALYSE - ERP =&gt; SOUS-SEGMENT'!$B$8:$B$154=$B12)*'ANALYSE - ERP =&gt; SOUS-SEGMENT'!$Q$8:$Q$154*'ANALYSE - ERP =&gt; SOUS-SEGMENT'!$FB$8:$FB$154*'ANALYSE - ERP =&gt; SOUS-SEGMENT'!$IW$8:$IW$154)/SUMPRODUCT(('ANALYSE - ERP =&gt; SOUS-SEGMENT'!$B$8:$B$154=$B12)*'ANALYSE - ERP =&gt; SOUS-SEGMENT'!$Q$8:$Q$154*'ANALYSE - ERP =&gt; SOUS-SEGMENT'!$FB$8:$FB$154),0)</f>
        <v>9.6634578405900257E-2</v>
      </c>
      <c r="IU12" s="780">
        <f>IFERROR(SUMPRODUCT(('ANALYSE - ERP =&gt; SOUS-SEGMENT'!$B$8:$B$154=$B12)*'ANALYSE - ERP =&gt; SOUS-SEGMENT'!$Q$8:$Q$154*'ANALYSE - ERP =&gt; SOUS-SEGMENT'!$FB$8:$FB$154*'ANALYSE - ERP =&gt; SOUS-SEGMENT'!$IX$8:$IX$154)/SUMPRODUCT(('ANALYSE - ERP =&gt; SOUS-SEGMENT'!$B$8:$B$154=$B12)*'ANALYSE - ERP =&gt; SOUS-SEGMENT'!$Q$8:$Q$154*'ANALYSE - ERP =&gt; SOUS-SEGMENT'!$FB$8:$FB$154),0)</f>
        <v>6.4246330826075752E-3</v>
      </c>
      <c r="IV12" s="782">
        <f>IFERROR(SUMPRODUCT(('ANALYSE - ERP =&gt; SOUS-SEGMENT'!$B$8:$B$154=$B12)*'ANALYSE - ERP =&gt; SOUS-SEGMENT'!$Q$8:$Q$154*'ANALYSE - ERP =&gt; SOUS-SEGMENT'!$BF$8:$BF$154*'ANALYSE - ERP =&gt; SOUS-SEGMENT'!$IY$8:$IY$154)/SUMPRODUCT(('ANALYSE - ERP =&gt; SOUS-SEGMENT'!$B$8:$B$154=$B12)*'ANALYSE - ERP =&gt; SOUS-SEGMENT'!$Q$8:$Q$154*'ANALYSE - ERP =&gt; SOUS-SEGMENT'!$BF$8:$BF$154),0)</f>
        <v>7.3238385611818863E-2</v>
      </c>
      <c r="IW12" s="780">
        <f>IFERROR(SUMPRODUCT(('ANALYSE - ERP =&gt; SOUS-SEGMENT'!$B$8:$B$154=$B12)*'ANALYSE - ERP =&gt; SOUS-SEGMENT'!$Q$8:$Q$154*'ANALYSE - ERP =&gt; SOUS-SEGMENT'!$BF$8:$BF$154*'ANALYSE - ERP =&gt; SOUS-SEGMENT'!$IZ$8:$IZ$154)/SUMPRODUCT(('ANALYSE - ERP =&gt; SOUS-SEGMENT'!$B$8:$B$154=$B12)*'ANALYSE - ERP =&gt; SOUS-SEGMENT'!$Q$8:$Q$154*'ANALYSE - ERP =&gt; SOUS-SEGMENT'!$BF$8:$BF$154),0)</f>
        <v>0.45747839845840921</v>
      </c>
      <c r="IX12" s="780">
        <f>IFERROR(SUMPRODUCT(('ANALYSE - ERP =&gt; SOUS-SEGMENT'!$B$8:$B$154=$B12)*'ANALYSE - ERP =&gt; SOUS-SEGMENT'!$Q$8:$Q$154*'ANALYSE - ERP =&gt; SOUS-SEGMENT'!$BF$8:$BF$154*'ANALYSE - ERP =&gt; SOUS-SEGMENT'!$JA$8:$JA$154)/SUMPRODUCT(('ANALYSE - ERP =&gt; SOUS-SEGMENT'!$B$8:$B$154=$B12)*'ANALYSE - ERP =&gt; SOUS-SEGMENT'!$Q$8:$Q$154*'ANALYSE - ERP =&gt; SOUS-SEGMENT'!$BF$8:$BF$154),0)</f>
        <v>0.38403116154587302</v>
      </c>
      <c r="IY12" s="780">
        <f>IFERROR(SUMPRODUCT(('ANALYSE - ERP =&gt; SOUS-SEGMENT'!$B$8:$B$154=$B12)*'ANALYSE - ERP =&gt; SOUS-SEGMENT'!$Q$8:$Q$154*'ANALYSE - ERP =&gt; SOUS-SEGMENT'!$BF$8:$BF$154*'ANALYSE - ERP =&gt; SOUS-SEGMENT'!$JB$8:$JB$154)/SUMPRODUCT(('ANALYSE - ERP =&gt; SOUS-SEGMENT'!$B$8:$B$154=$B12)*'ANALYSE - ERP =&gt; SOUS-SEGMENT'!$Q$8:$Q$154*'ANALYSE - ERP =&gt; SOUS-SEGMENT'!$BF$8:$BF$154),0)</f>
        <v>3.8298556899689543E-2</v>
      </c>
      <c r="IZ12" s="781">
        <f>IFERROR(SUMPRODUCT(('ANALYSE - ERP =&gt; SOUS-SEGMENT'!$B$8:$B$154=$B12)*'ANALYSE - ERP =&gt; SOUS-SEGMENT'!$Q$8:$Q$154*'ANALYSE - ERP =&gt; SOUS-SEGMENT'!$BF$8:$BF$154*'ANALYSE - ERP =&gt; SOUS-SEGMENT'!$JC$8:$JC$154)/SUMPRODUCT(('ANALYSE - ERP =&gt; SOUS-SEGMENT'!$B$8:$B$154=$B12)*'ANALYSE - ERP =&gt; SOUS-SEGMENT'!$Q$8:$Q$154*'ANALYSE - ERP =&gt; SOUS-SEGMENT'!$BF$8:$BF$154),0)</f>
        <v>0</v>
      </c>
      <c r="JA12" s="780">
        <f>IFERROR(SUMPRODUCT(('ANALYSE - ERP =&gt; SOUS-SEGMENT'!$B$8:$B$154=$B12)*'ANALYSE - ERP =&gt; SOUS-SEGMENT'!$Q$8:$Q$154*'ANALYSE - ERP =&gt; SOUS-SEGMENT'!$FE$8:$FE$154*'ANALYSE - ERP =&gt; SOUS-SEGMENT'!$JD$8:$JD$154)/SUMPRODUCT(('ANALYSE - ERP =&gt; SOUS-SEGMENT'!$B$8:$B$154=$B12)*'ANALYSE - ERP =&gt; SOUS-SEGMENT'!$Q$8:$Q$154*'ANALYSE - ERP =&gt; SOUS-SEGMENT'!$FE$8:$FE$154),0)</f>
        <v>3.596344600658468E-2</v>
      </c>
      <c r="JB12" s="780">
        <f>IFERROR(SUMPRODUCT(('ANALYSE - ERP =&gt; SOUS-SEGMENT'!$B$8:$B$154=$B12)*'ANALYSE - ERP =&gt; SOUS-SEGMENT'!$Q$8:$Q$154*'ANALYSE - ERP =&gt; SOUS-SEGMENT'!$FE$8:$FE$154*'ANALYSE - ERP =&gt; SOUS-SEGMENT'!$JE$8:$JE$154)/SUMPRODUCT(('ANALYSE - ERP =&gt; SOUS-SEGMENT'!$B$8:$B$154=$B12)*'ANALYSE - ERP =&gt; SOUS-SEGMENT'!$Q$8:$Q$154*'ANALYSE - ERP =&gt; SOUS-SEGMENT'!$FE$8:$FE$154),0)</f>
        <v>0.43009082231882739</v>
      </c>
      <c r="JC12" s="780">
        <f>IFERROR(SUMPRODUCT(('ANALYSE - ERP =&gt; SOUS-SEGMENT'!$B$8:$B$154=$B12)*'ANALYSE - ERP =&gt; SOUS-SEGMENT'!$Q$8:$Q$154*'ANALYSE - ERP =&gt; SOUS-SEGMENT'!$FE$8:$FE$154*'ANALYSE - ERP =&gt; SOUS-SEGMENT'!$JF$8:$JF$154)/SUMPRODUCT(('ANALYSE - ERP =&gt; SOUS-SEGMENT'!$B$8:$B$154=$B12)*'ANALYSE - ERP =&gt; SOUS-SEGMENT'!$Q$8:$Q$154*'ANALYSE - ERP =&gt; SOUS-SEGMENT'!$FE$8:$FE$154),0)</f>
        <v>0.44364796931160699</v>
      </c>
      <c r="JD12" s="780">
        <f>IFERROR(SUMPRODUCT(('ANALYSE - ERP =&gt; SOUS-SEGMENT'!$B$8:$B$154=$B12)*'ANALYSE - ERP =&gt; SOUS-SEGMENT'!$Q$8:$Q$154*'ANALYSE - ERP =&gt; SOUS-SEGMENT'!$FE$8:$FE$154*'ANALYSE - ERP =&gt; SOUS-SEGMENT'!$JG$8:$JG$154)/SUMPRODUCT(('ANALYSE - ERP =&gt; SOUS-SEGMENT'!$B$8:$B$154=$B12)*'ANALYSE - ERP =&gt; SOUS-SEGMENT'!$Q$8:$Q$154*'ANALYSE - ERP =&gt; SOUS-SEGMENT'!$FE$8:$FE$154),0)</f>
        <v>5.0897249719142765E-2</v>
      </c>
      <c r="JE12" s="780">
        <f>IFERROR(SUMPRODUCT(('ANALYSE - ERP =&gt; SOUS-SEGMENT'!$B$8:$B$154=$B12)*'ANALYSE - ERP =&gt; SOUS-SEGMENT'!$Q$8:$Q$154*'ANALYSE - ERP =&gt; SOUS-SEGMENT'!$FE$8:$FE$154*'ANALYSE - ERP =&gt; SOUS-SEGMENT'!$JH$8:$JH$154)/SUMPRODUCT(('ANALYSE - ERP =&gt; SOUS-SEGMENT'!$B$8:$B$154=$B12)*'ANALYSE - ERP =&gt; SOUS-SEGMENT'!$Q$8:$Q$154*'ANALYSE - ERP =&gt; SOUS-SEGMENT'!$FE$8:$FE$154),0)</f>
        <v>3.0751729176794022E-3</v>
      </c>
      <c r="JF12" s="782">
        <f>IFERROR(SUMPRODUCT(('ANALYSE - ERP =&gt; SOUS-SEGMENT'!$B$8:$B$154=$B12)*'ANALYSE - ERP =&gt; SOUS-SEGMENT'!$Q$8:$Q$154*'ANALYSE - ERP =&gt; SOUS-SEGMENT'!$BG$8:$BG$154*'ANALYSE - ERP =&gt; SOUS-SEGMENT'!$JI$8:$JI$154)/SUMPRODUCT(('ANALYSE - ERP =&gt; SOUS-SEGMENT'!$B$8:$B$154=$B12)*'ANALYSE - ERP =&gt; SOUS-SEGMENT'!$Q$8:$Q$154*'ANALYSE - ERP =&gt; SOUS-SEGMENT'!$BG$8:$BG$154),0)</f>
        <v>7.0941114468414029E-2</v>
      </c>
      <c r="JG12" s="780">
        <f>IFERROR(SUMPRODUCT(('ANALYSE - ERP =&gt; SOUS-SEGMENT'!$B$8:$B$154=$B12)*'ANALYSE - ERP =&gt; SOUS-SEGMENT'!$Q$8:$Q$154*'ANALYSE - ERP =&gt; SOUS-SEGMENT'!$BG$8:$BG$154*'ANALYSE - ERP =&gt; SOUS-SEGMENT'!$JJ$8:$JJ$154)/SUMPRODUCT(('ANALYSE - ERP =&gt; SOUS-SEGMENT'!$B$8:$B$154=$B12)*'ANALYSE - ERP =&gt; SOUS-SEGMENT'!$Q$8:$Q$154*'ANALYSE - ERP =&gt; SOUS-SEGMENT'!$BG$8:$BG$154),0)</f>
        <v>0.53386580001405382</v>
      </c>
      <c r="JH12" s="780">
        <f>IFERROR(SUMPRODUCT(('ANALYSE - ERP =&gt; SOUS-SEGMENT'!$B$8:$B$154=$B12)*'ANALYSE - ERP =&gt; SOUS-SEGMENT'!$Q$8:$Q$154*'ANALYSE - ERP =&gt; SOUS-SEGMENT'!$BG$8:$BG$154*'ANALYSE - ERP =&gt; SOUS-SEGMENT'!$JK$8:$JK$154)/SUMPRODUCT(('ANALYSE - ERP =&gt; SOUS-SEGMENT'!$B$8:$B$154=$B12)*'ANALYSE - ERP =&gt; SOUS-SEGMENT'!$Q$8:$Q$154*'ANALYSE - ERP =&gt; SOUS-SEGMENT'!$BG$8:$BG$154),0)</f>
        <v>0.3582282903520484</v>
      </c>
      <c r="JI12" s="780">
        <f>IFERROR(SUMPRODUCT(('ANALYSE - ERP =&gt; SOUS-SEGMENT'!$B$8:$B$154=$B12)*'ANALYSE - ERP =&gt; SOUS-SEGMENT'!$Q$8:$Q$154*'ANALYSE - ERP =&gt; SOUS-SEGMENT'!$BG$8:$BG$154*'ANALYSE - ERP =&gt; SOUS-SEGMENT'!$JL$8:$JL$154)/SUMPRODUCT(('ANALYSE - ERP =&gt; SOUS-SEGMENT'!$B$8:$B$154=$B12)*'ANALYSE - ERP =&gt; SOUS-SEGMENT'!$Q$8:$Q$154*'ANALYSE - ERP =&gt; SOUS-SEGMENT'!$BG$8:$BG$154),0)</f>
        <v>3.6641332302719418E-2</v>
      </c>
      <c r="JJ12" s="781">
        <f>IFERROR(SUMPRODUCT(('ANALYSE - ERP =&gt; SOUS-SEGMENT'!$B$8:$B$154=$B12)*'ANALYSE - ERP =&gt; SOUS-SEGMENT'!$Q$8:$Q$154*'ANALYSE - ERP =&gt; SOUS-SEGMENT'!$BG$8:$BG$154*'ANALYSE - ERP =&gt; SOUS-SEGMENT'!$JM$8:$JM$154)/SUMPRODUCT(('ANALYSE - ERP =&gt; SOUS-SEGMENT'!$B$8:$B$154=$B12)*'ANALYSE - ERP =&gt; SOUS-SEGMENT'!$Q$8:$Q$154*'ANALYSE - ERP =&gt; SOUS-SEGMENT'!$BG$8:$BG$154),0)</f>
        <v>3.2346286276438755E-4</v>
      </c>
      <c r="JK12" s="780">
        <f>IFERROR(SUMPRODUCT(('ANALYSE - ERP =&gt; SOUS-SEGMENT'!$B$8:$B$154=$B12)*'ANALYSE - ERP =&gt; SOUS-SEGMENT'!$Q$8:$Q$154*'ANALYSE - ERP =&gt; SOUS-SEGMENT'!$FH$8:$FH$154*'ANALYSE - ERP =&gt; SOUS-SEGMENT'!$JN$8:$JN$154)/SUMPRODUCT(('ANALYSE - ERP =&gt; SOUS-SEGMENT'!$B$8:$B$154=$B12)*'ANALYSE - ERP =&gt; SOUS-SEGMENT'!$Q$8:$Q$154*'ANALYSE - ERP =&gt; SOUS-SEGMENT'!$FH$8:$FH$154),0)</f>
        <v>4.3411546926598717E-2</v>
      </c>
      <c r="JL12" s="780">
        <f>IFERROR(SUMPRODUCT(('ANALYSE - ERP =&gt; SOUS-SEGMENT'!$B$8:$B$154=$B12)*'ANALYSE - ERP =&gt; SOUS-SEGMENT'!$Q$8:$Q$154*'ANALYSE - ERP =&gt; SOUS-SEGMENT'!$FH$8:$FH$154*'ANALYSE - ERP =&gt; SOUS-SEGMENT'!$JO$8:$JO$154)/SUMPRODUCT(('ANALYSE - ERP =&gt; SOUS-SEGMENT'!$B$8:$B$154=$B12)*'ANALYSE - ERP =&gt; SOUS-SEGMENT'!$Q$8:$Q$154*'ANALYSE - ERP =&gt; SOUS-SEGMENT'!$FH$8:$FH$154),0)</f>
        <v>0.50653829293530261</v>
      </c>
      <c r="JM12" s="780">
        <f>IFERROR(SUMPRODUCT(('ANALYSE - ERP =&gt; SOUS-SEGMENT'!$B$8:$B$154=$B12)*'ANALYSE - ERP =&gt; SOUS-SEGMENT'!$Q$8:$Q$154*'ANALYSE - ERP =&gt; SOUS-SEGMENT'!$FH$8:$FH$154*'ANALYSE - ERP =&gt; SOUS-SEGMENT'!$JP$8:$JP$154)/SUMPRODUCT(('ANALYSE - ERP =&gt; SOUS-SEGMENT'!$B$8:$B$154=$B12)*'ANALYSE - ERP =&gt; SOUS-SEGMENT'!$Q$8:$Q$154*'ANALYSE - ERP =&gt; SOUS-SEGMENT'!$FH$8:$FH$154),0)</f>
        <v>0.38783645026624847</v>
      </c>
      <c r="JN12" s="780">
        <f>IFERROR(SUMPRODUCT(('ANALYSE - ERP =&gt; SOUS-SEGMENT'!$B$8:$B$154=$B12)*'ANALYSE - ERP =&gt; SOUS-SEGMENT'!$Q$8:$Q$154*'ANALYSE - ERP =&gt; SOUS-SEGMENT'!$FH$8:$FH$154*'ANALYSE - ERP =&gt; SOUS-SEGMENT'!$JQ$8:$JQ$154)/SUMPRODUCT(('ANALYSE - ERP =&gt; SOUS-SEGMENT'!$B$8:$B$154=$B12)*'ANALYSE - ERP =&gt; SOUS-SEGMENT'!$Q$8:$Q$154*'ANALYSE - ERP =&gt; SOUS-SEGMENT'!$FH$8:$FH$154),0)</f>
        <v>5.7233582962494325E-2</v>
      </c>
      <c r="JO12" s="780">
        <f>IFERROR(SUMPRODUCT(('ANALYSE - ERP =&gt; SOUS-SEGMENT'!$B$8:$B$154=$B12)*'ANALYSE - ERP =&gt; SOUS-SEGMENT'!$Q$8:$Q$154*'ANALYSE - ERP =&gt; SOUS-SEGMENT'!$FH$8:$FH$154*'ANALYSE - ERP =&gt; SOUS-SEGMENT'!$JR$8:$JR$154)/SUMPRODUCT(('ANALYSE - ERP =&gt; SOUS-SEGMENT'!$B$8:$B$154=$B12)*'ANALYSE - ERP =&gt; SOUS-SEGMENT'!$Q$8:$Q$154*'ANALYSE - ERP =&gt; SOUS-SEGMENT'!$FH$8:$FH$154),0)</f>
        <v>4.9801269093558281E-3</v>
      </c>
      <c r="JP12" s="782">
        <f>IFERROR(SUMPRODUCT(('ANALYSE - ERP =&gt; SOUS-SEGMENT'!$B$8:$B$154=$B12)*'ANALYSE - ERP =&gt; SOUS-SEGMENT'!$Q$8:$Q$154*'ANALYSE - ERP =&gt; SOUS-SEGMENT'!$BH$8:$BH$154*'ANALYSE - ERP =&gt; SOUS-SEGMENT'!$JS$8:$JS$154)/SUMPRODUCT(('ANALYSE - ERP =&gt; SOUS-SEGMENT'!$B$8:$B$154=$B12)*'ANALYSE - ERP =&gt; SOUS-SEGMENT'!$Q$8:$Q$154*'ANALYSE - ERP =&gt; SOUS-SEGMENT'!$BH$8:$BH$154),0)</f>
        <v>3.9673822813797048E-2</v>
      </c>
      <c r="JQ12" s="780">
        <f>IFERROR(SUMPRODUCT(('ANALYSE - ERP =&gt; SOUS-SEGMENT'!$B$8:$B$154=$B12)*'ANALYSE - ERP =&gt; SOUS-SEGMENT'!$Q$8:$Q$154*'ANALYSE - ERP =&gt; SOUS-SEGMENT'!$BH$8:$BH$154*'ANALYSE - ERP =&gt; SOUS-SEGMENT'!$JT$8:$JT$154)/SUMPRODUCT(('ANALYSE - ERP =&gt; SOUS-SEGMENT'!$B$8:$B$154=$B12)*'ANALYSE - ERP =&gt; SOUS-SEGMENT'!$Q$8:$Q$154*'ANALYSE - ERP =&gt; SOUS-SEGMENT'!$BH$8:$BH$154),0)</f>
        <v>0.41962600543867185</v>
      </c>
      <c r="JR12" s="780">
        <f>IFERROR(SUMPRODUCT(('ANALYSE - ERP =&gt; SOUS-SEGMENT'!$B$8:$B$154=$B12)*'ANALYSE - ERP =&gt; SOUS-SEGMENT'!$Q$8:$Q$154*'ANALYSE - ERP =&gt; SOUS-SEGMENT'!$BH$8:$BH$154*'ANALYSE - ERP =&gt; SOUS-SEGMENT'!$JU$8:$JU$154)/SUMPRODUCT(('ANALYSE - ERP =&gt; SOUS-SEGMENT'!$B$8:$B$154=$B12)*'ANALYSE - ERP =&gt; SOUS-SEGMENT'!$Q$8:$Q$154*'ANALYSE - ERP =&gt; SOUS-SEGMENT'!$BH$8:$BH$154),0)</f>
        <v>0.47615809360240441</v>
      </c>
      <c r="JS12" s="780">
        <f>IFERROR(SUMPRODUCT(('ANALYSE - ERP =&gt; SOUS-SEGMENT'!$B$8:$B$154=$B12)*'ANALYSE - ERP =&gt; SOUS-SEGMENT'!$Q$8:$Q$154*'ANALYSE - ERP =&gt; SOUS-SEGMENT'!$BH$8:$BH$154*'ANALYSE - ERP =&gt; SOUS-SEGMENT'!$JV$8:$JV$154)/SUMPRODUCT(('ANALYSE - ERP =&gt; SOUS-SEGMENT'!$B$8:$B$154=$B12)*'ANALYSE - ERP =&gt; SOUS-SEGMENT'!$Q$8:$Q$154*'ANALYSE - ERP =&gt; SOUS-SEGMENT'!$BH$8:$BH$154),0)</f>
        <v>6.3903520824388133E-2</v>
      </c>
      <c r="JT12" s="781">
        <f>IFERROR(SUMPRODUCT(('ANALYSE - ERP =&gt; SOUS-SEGMENT'!$B$8:$B$154=$B12)*'ANALYSE - ERP =&gt; SOUS-SEGMENT'!$Q$8:$Q$154*'ANALYSE - ERP =&gt; SOUS-SEGMENT'!$BH$8:$BH$154*'ANALYSE - ERP =&gt; SOUS-SEGMENT'!$JW$8:$JW$154)/SUMPRODUCT(('ANALYSE - ERP =&gt; SOUS-SEGMENT'!$B$8:$B$154=$B12)*'ANALYSE - ERP =&gt; SOUS-SEGMENT'!$Q$8:$Q$154*'ANALYSE - ERP =&gt; SOUS-SEGMENT'!$BH$8:$BH$154),0)</f>
        <v>6.3855732073851441E-4</v>
      </c>
      <c r="JU12" s="782">
        <f>IFERROR(SUMPRODUCT(('ANALYSE - ERP =&gt; SOUS-SEGMENT'!$B$8:$B$154=$B12)*'ANALYSE - ERP =&gt; SOUS-SEGMENT'!$Q$8:$Q$154*'ANALYSE - ERP =&gt; SOUS-SEGMENT'!$FK$8:$FK$154*'ANALYSE - ERP =&gt; SOUS-SEGMENT'!$JX$8:$JX$154)/SUMPRODUCT(('ANALYSE - ERP =&gt; SOUS-SEGMENT'!$B$8:$B$154=$B12)*'ANALYSE - ERP =&gt; SOUS-SEGMENT'!$Q$8:$Q$154*'ANALYSE - ERP =&gt; SOUS-SEGMENT'!$FK$8:$FK$154),0)</f>
        <v>1.7176538569106128E-2</v>
      </c>
      <c r="JV12" s="780">
        <f>IFERROR(SUMPRODUCT(('ANALYSE - ERP =&gt; SOUS-SEGMENT'!$B$8:$B$154=$B12)*'ANALYSE - ERP =&gt; SOUS-SEGMENT'!$Q$8:$Q$154*'ANALYSE - ERP =&gt; SOUS-SEGMENT'!$FK$8:$FK$154*'ANALYSE - ERP =&gt; SOUS-SEGMENT'!$JY$8:$JY$154)/SUMPRODUCT(('ANALYSE - ERP =&gt; SOUS-SEGMENT'!$B$8:$B$154=$B12)*'ANALYSE - ERP =&gt; SOUS-SEGMENT'!$Q$8:$Q$154*'ANALYSE - ERP =&gt; SOUS-SEGMENT'!$FK$8:$FK$154),0)</f>
        <v>0.38860573668720177</v>
      </c>
      <c r="JW12" s="780">
        <f>IFERROR(SUMPRODUCT(('ANALYSE - ERP =&gt; SOUS-SEGMENT'!$B$8:$B$154=$B12)*'ANALYSE - ERP =&gt; SOUS-SEGMENT'!$Q$8:$Q$154*'ANALYSE - ERP =&gt; SOUS-SEGMENT'!$FK$8:$FK$154*'ANALYSE - ERP =&gt; SOUS-SEGMENT'!$JZ$8:$JZ$154)/SUMPRODUCT(('ANALYSE - ERP =&gt; SOUS-SEGMENT'!$B$8:$B$154=$B12)*'ANALYSE - ERP =&gt; SOUS-SEGMENT'!$Q$8:$Q$154*'ANALYSE - ERP =&gt; SOUS-SEGMENT'!$FK$8:$FK$154),0)</f>
        <v>0.50230029038239299</v>
      </c>
      <c r="JX12" s="780">
        <f>IFERROR(SUMPRODUCT(('ANALYSE - ERP =&gt; SOUS-SEGMENT'!$B$8:$B$154=$B12)*'ANALYSE - ERP =&gt; SOUS-SEGMENT'!$Q$8:$Q$154*'ANALYSE - ERP =&gt; SOUS-SEGMENT'!$FK$8:$FK$154*'ANALYSE - ERP =&gt; SOUS-SEGMENT'!$KA$8:$KA$154)/SUMPRODUCT(('ANALYSE - ERP =&gt; SOUS-SEGMENT'!$B$8:$B$154=$B12)*'ANALYSE - ERP =&gt; SOUS-SEGMENT'!$Q$8:$Q$154*'ANALYSE - ERP =&gt; SOUS-SEGMENT'!$FK$8:$FK$154),0)</f>
        <v>8.5939821256744847E-2</v>
      </c>
      <c r="JY12" s="783">
        <f>IFERROR(SUMPRODUCT(('ANALYSE - ERP =&gt; SOUS-SEGMENT'!$B$8:$B$154=$B12)*'ANALYSE - ERP =&gt; SOUS-SEGMENT'!$Q$8:$Q$154*'ANALYSE - ERP =&gt; SOUS-SEGMENT'!$FK$8:$FK$154*'ANALYSE - ERP =&gt; SOUS-SEGMENT'!$KB$8:$KB$154)/SUMPRODUCT(('ANALYSE - ERP =&gt; SOUS-SEGMENT'!$B$8:$B$154=$B12)*'ANALYSE - ERP =&gt; SOUS-SEGMENT'!$Q$8:$Q$154*'ANALYSE - ERP =&gt; SOUS-SEGMENT'!$FK$8:$FK$154),0)</f>
        <v>5.9776131045540951E-3</v>
      </c>
      <c r="JZ12" s="657"/>
      <c r="KA12" s="314" t="s">
        <v>2590</v>
      </c>
      <c r="KB12" s="314" t="s">
        <v>2591</v>
      </c>
      <c r="KC12" s="866">
        <f>IFERROR(SUMPRODUCT(('ANALYSE - ERP =&gt; SOUS-SEGMENT'!$B$8:$B$154=$B12)*'ANALYSE - ERP =&gt; SOUS-SEGMENT'!$Q$8:$Q$154*'ANALYSE - ERP =&gt; SOUS-SEGMENT'!$EX$8:$EX$154*'ANALYSE - ERP =&gt; SOUS-SEGMENT'!$KF$8:$KF$154)/SUMPRODUCT(('ANALYSE - ERP =&gt; SOUS-SEGMENT'!$B$8:$B$154=$B12)*'ANALYSE - ERP =&gt; SOUS-SEGMENT'!$Q$8:$Q$154*'ANALYSE - ERP =&gt; SOUS-SEGMENT'!$EX$8:$EX$154),"")</f>
        <v>4.2590369653355751</v>
      </c>
      <c r="KD12" s="314" t="s">
        <v>2589</v>
      </c>
      <c r="KE12" s="315" t="s">
        <v>4079</v>
      </c>
      <c r="KF12" s="315" t="s">
        <v>7559</v>
      </c>
      <c r="KG12" s="315" t="s">
        <v>7559</v>
      </c>
    </row>
    <row r="13" spans="1:293" ht="192" customHeight="1">
      <c r="A13" s="265">
        <v>6</v>
      </c>
      <c r="B13" s="517" t="s">
        <v>7117</v>
      </c>
      <c r="C13" s="517" t="s">
        <v>7598</v>
      </c>
      <c r="D13" s="517" t="s">
        <v>7599</v>
      </c>
      <c r="E13" s="267" t="s">
        <v>7600</v>
      </c>
      <c r="F13" s="267" t="s">
        <v>7601</v>
      </c>
      <c r="G13" s="267" t="s">
        <v>6790</v>
      </c>
      <c r="H13" s="267" t="s">
        <v>2117</v>
      </c>
      <c r="I13" s="645" t="s">
        <v>7602</v>
      </c>
      <c r="J13" s="645" t="s">
        <v>7603</v>
      </c>
      <c r="K13" s="269" t="s">
        <v>2117</v>
      </c>
      <c r="L13" s="269" t="s">
        <v>2109</v>
      </c>
      <c r="M13" s="269" t="s">
        <v>7026</v>
      </c>
      <c r="N13" s="269" t="s">
        <v>6742</v>
      </c>
      <c r="O13" s="269" t="s">
        <v>3170</v>
      </c>
      <c r="P13" s="268"/>
      <c r="Q13" s="270">
        <f>IF(SUMPRODUCT(('ANALYSE - ERP =&gt; SOUS-SEGMENT'!$B$8:$B$154=$B13)*'ANALYSE - ERP =&gt; SOUS-SEGMENT'!$Q$8:$Q$154)&gt;0,1,0)</f>
        <v>0</v>
      </c>
      <c r="R13" s="271" t="str">
        <f>IFERROR(SUMPRODUCT(('ANALYSE - ERP =&gt; SOUS-SEGMENT'!$B$8:$B$154=$B13)*'ANALYSE - ERP =&gt; SOUS-SEGMENT'!$Q$8:$Q$154*'ANALYSE - ERP =&gt; SOUS-SEGMENT'!$AG$8:$AG$154*'ANALYSE - ERP =&gt; SOUS-SEGMENT'!$R$8:$R$154)/SUMPRODUCT(('ANALYSE - ERP =&gt; SOUS-SEGMENT'!$B$8:$B$154=$B13)*'ANALYSE - ERP =&gt; SOUS-SEGMENT'!$Q$8:$Q$154*'ANALYSE - ERP =&gt; SOUS-SEGMENT'!$AG$8:$AG$154),"")</f>
        <v/>
      </c>
      <c r="S13" s="272">
        <f>SUMPRODUCT(('ANALYSE - ERP =&gt; SOUS-SEGMENT'!$B$8:$B$154=$B13)*'ANALYSE - ERP =&gt; SOUS-SEGMENT'!$Q$8:$Q$154*'ANALYSE - ERP =&gt; SOUS-SEGMENT'!$S$8:$S$154)</f>
        <v>0</v>
      </c>
      <c r="T13" s="272">
        <f>SUMPRODUCT(('ANALYSE - ERP =&gt; SOUS-SEGMENT'!$B$8:$B$154=$B13)*'ANALYSE - ERP =&gt; SOUS-SEGMENT'!$Q$8:$Q$154*'ANALYSE - ERP =&gt; SOUS-SEGMENT'!$T$8:$T$154)</f>
        <v>0</v>
      </c>
      <c r="U13" s="272">
        <f>SUMPRODUCT(('ANALYSE - ERP =&gt; SOUS-SEGMENT'!$B$8:$B$154=$B13)*'ANALYSE - ERP =&gt; SOUS-SEGMENT'!$Q$8:$Q$154*'ANALYSE - ERP =&gt; SOUS-SEGMENT'!$U$8:$U$154)</f>
        <v>0</v>
      </c>
      <c r="V13" s="272">
        <f>SUMPRODUCT(('ANALYSE - ERP =&gt; SOUS-SEGMENT'!$B$8:$B$154=$B13)*'ANALYSE - ERP =&gt; SOUS-SEGMENT'!$Q$8:$Q$154*'ANALYSE - ERP =&gt; SOUS-SEGMENT'!$V$8:$V$154)</f>
        <v>0</v>
      </c>
      <c r="W13" s="272">
        <f>SUMPRODUCT(('ANALYSE - ERP =&gt; SOUS-SEGMENT'!$B$8:$B$154=$B13)*'ANALYSE - ERP =&gt; SOUS-SEGMENT'!$Q$8:$Q$154*'ANALYSE - ERP =&gt; SOUS-SEGMENT'!$W$8:$W$154)</f>
        <v>0</v>
      </c>
      <c r="X13" s="272">
        <f>SUMPRODUCT(('ANALYSE - ERP =&gt; SOUS-SEGMENT'!$B$8:$B$154=$B13)*'ANALYSE - ERP =&gt; SOUS-SEGMENT'!$Q$8:$Q$154*'ANALYSE - ERP =&gt; SOUS-SEGMENT'!$X$8:$X$154)</f>
        <v>0</v>
      </c>
      <c r="Y13" s="272">
        <f>SUMPRODUCT(('ANALYSE - ERP =&gt; SOUS-SEGMENT'!$B$8:$B$154=$B13)*'ANALYSE - ERP =&gt; SOUS-SEGMENT'!$Q$8:$Q$154*'ANALYSE - ERP =&gt; SOUS-SEGMENT'!$Y$8:$Y$154)</f>
        <v>0</v>
      </c>
      <c r="Z13" s="272">
        <f>SUMPRODUCT(('ANALYSE - ERP =&gt; SOUS-SEGMENT'!$B$8:$B$154=$B13)*'ANALYSE - ERP =&gt; SOUS-SEGMENT'!$Q$8:$Q$154*'ANALYSE - ERP =&gt; SOUS-SEGMENT'!$Z$8:$Z$154)</f>
        <v>0</v>
      </c>
      <c r="AA13" s="272">
        <f>SUMPRODUCT(('ANALYSE - ERP =&gt; SOUS-SEGMENT'!$B$8:$B$154=$B13)*'ANALYSE - ERP =&gt; SOUS-SEGMENT'!$Q$8:$Q$154*'ANALYSE - ERP =&gt; SOUS-SEGMENT'!$AA$8:$AA$154)</f>
        <v>0</v>
      </c>
      <c r="AB13" s="272">
        <f>SUMPRODUCT(('ANALYSE - ERP =&gt; SOUS-SEGMENT'!$B$8:$B$154=$B13)*'ANALYSE - ERP =&gt; SOUS-SEGMENT'!$Q$8:$Q$154*'ANALYSE - ERP =&gt; SOUS-SEGMENT'!$AB$8:$AB$154)</f>
        <v>0</v>
      </c>
      <c r="AC13" s="272">
        <f>SUMPRODUCT(('ANALYSE - ERP =&gt; SOUS-SEGMENT'!$B$8:$B$154=$B13)*'ANALYSE - ERP =&gt; SOUS-SEGMENT'!$Q$8:$Q$154*'ANALYSE - ERP =&gt; SOUS-SEGMENT'!$AC$8:$AC$154)</f>
        <v>0</v>
      </c>
      <c r="AD13" s="272">
        <f>SUMPRODUCT(('ANALYSE - ERP =&gt; SOUS-SEGMENT'!$B$8:$B$154=$B13)*'ANALYSE - ERP =&gt; SOUS-SEGMENT'!$Q$8:$Q$154*'ANALYSE - ERP =&gt; SOUS-SEGMENT'!$AD$8:$AD$154)</f>
        <v>0</v>
      </c>
      <c r="AE13" s="272">
        <f>SUMPRODUCT(('ANALYSE - ERP =&gt; SOUS-SEGMENT'!$B$8:$B$154=$B13)*'ANALYSE - ERP =&gt; SOUS-SEGMENT'!$Q$8:$Q$154*'ANALYSE - ERP =&gt; SOUS-SEGMENT'!$AE$8:$AE$154)</f>
        <v>0</v>
      </c>
      <c r="AF13" s="272">
        <f>SUMPRODUCT(('ANALYSE - ERP =&gt; SOUS-SEGMENT'!$B$8:$B$154=$B13)*'ANALYSE - ERP =&gt; SOUS-SEGMENT'!$Q$8:$Q$154*'ANALYSE - ERP =&gt; SOUS-SEGMENT'!$AF$8:$AF$154)</f>
        <v>0</v>
      </c>
      <c r="AG13" s="272">
        <f>SUMPRODUCT(('ANALYSE - ERP =&gt; SOUS-SEGMENT'!$B$8:$B$154=$B13)*'ANALYSE - ERP =&gt; SOUS-SEGMENT'!$Q$8:$Q$154*'ANALYSE - ERP =&gt; SOUS-SEGMENT'!$AG$8:$AG$154)</f>
        <v>0</v>
      </c>
      <c r="AH13" s="272">
        <f>SUMPRODUCT(('ANALYSE - ERP =&gt; SOUS-SEGMENT'!$B$8:$B$154=$B13)*'ANALYSE - ERP =&gt; SOUS-SEGMENT'!$Q$8:$Q$154*'ANALYSE - ERP =&gt; SOUS-SEGMENT'!$AH$8:$AH$154)</f>
        <v>0</v>
      </c>
      <c r="AI13" s="272">
        <f>SUMPRODUCT(('ANALYSE - ERP =&gt; SOUS-SEGMENT'!$B$8:$B$154=$B13)*'ANALYSE - ERP =&gt; SOUS-SEGMENT'!$Q$8:$Q$154*'ANALYSE - ERP =&gt; SOUS-SEGMENT'!$AI$8:$AI$154)</f>
        <v>0</v>
      </c>
      <c r="AJ13" s="272">
        <f>SUMPRODUCT(('ANALYSE - ERP =&gt; SOUS-SEGMENT'!$B$8:$B$154=$B13)*'ANALYSE - ERP =&gt; SOUS-SEGMENT'!$Q$8:$Q$154*'ANALYSE - ERP =&gt; SOUS-SEGMENT'!$AJ$8:$AJ$154)</f>
        <v>0</v>
      </c>
      <c r="AK13" s="272">
        <f>SUMPRODUCT(('ANALYSE - ERP =&gt; SOUS-SEGMENT'!$B$8:$B$154=$B13)*'ANALYSE - ERP =&gt; SOUS-SEGMENT'!$Q$8:$Q$154*'ANALYSE - ERP =&gt; SOUS-SEGMENT'!$AK$8:$AK$154)</f>
        <v>0</v>
      </c>
      <c r="AL13" s="268" t="s">
        <v>7559</v>
      </c>
      <c r="AM13" s="268" t="s">
        <v>7559</v>
      </c>
      <c r="AN13" s="268" t="s">
        <v>7604</v>
      </c>
      <c r="AO13" s="657"/>
      <c r="AP13" s="271" t="str">
        <f>IFERROR(SUMPRODUCT(('ANALYSE - ERP =&gt; SOUS-SEGMENT'!$B$8:$B$154=$B13)*'ANALYSE - ERP =&gt; SOUS-SEGMENT'!$Q$8:$Q$154*'ANALYSE - ERP =&gt; SOUS-SEGMENT'!$AG$8:$AG$154*'ANALYSE - ERP =&gt; SOUS-SEGMENT'!$AP$8:$AP$154)/SUMPRODUCT(('ANALYSE - ERP =&gt; SOUS-SEGMENT'!$B$8:$B$154=$B13)*'ANALYSE - ERP =&gt; SOUS-SEGMENT'!$Q$8:$Q$154*'ANALYSE - ERP =&gt; SOUS-SEGMENT'!$AG$8:$AG$154),"")</f>
        <v/>
      </c>
      <c r="AQ13" s="280" t="str">
        <f>IFERROR(SUMPRODUCT(('ANALYSE - ERP =&gt; SOUS-SEGMENT'!$B$8:$B$154=$B13)*'ANALYSE - ERP =&gt; SOUS-SEGMENT'!$Q$8:$Q$154*'ANALYSE - ERP =&gt; SOUS-SEGMENT'!$AF$8:$AF$154*'ANALYSE - ERP =&gt; SOUS-SEGMENT'!$AQ$8:$AQ$154)/SUMPRODUCT(('ANALYSE - ERP =&gt; SOUS-SEGMENT'!$B$8:$B$154=$B13)*'ANALYSE - ERP =&gt; SOUS-SEGMENT'!$Q$8:$Q$154*'ANALYSE - ERP =&gt; SOUS-SEGMENT'!$AF$8:$AF$154),"")</f>
        <v/>
      </c>
      <c r="AR13" s="974" t="str">
        <f>IFERROR(SUMPRODUCT(('ANALYSE - ERP =&gt; SOUS-SEGMENT'!$B$8:$B$154=$B13)*'ANALYSE - ERP =&gt; SOUS-SEGMENT'!$Q$8:$Q$154*'ANALYSE - ERP =&gt; SOUS-SEGMENT'!$AF$8:$AF$154*'ANALYSE - ERP =&gt; SOUS-SEGMENT'!$AR$8:$AR$154)/SUMPRODUCT(('ANALYSE - ERP =&gt; SOUS-SEGMENT'!$B$8:$B$154=$B13)*'ANALYSE - ERP =&gt; SOUS-SEGMENT'!$Q$8:$Q$154*'ANALYSE - ERP =&gt; SOUS-SEGMENT'!$AF$8:$AF$154),"")</f>
        <v/>
      </c>
      <c r="AS13" s="974" t="str">
        <f>IFERROR(SUMPRODUCT(('ANALYSE - ERP =&gt; SOUS-SEGMENT'!$B$8:$B$154=$B13)*'ANALYSE - ERP =&gt; SOUS-SEGMENT'!$Q$8:$Q$154*'ANALYSE - ERP =&gt; SOUS-SEGMENT'!$AF$8:$AF$154*'ANALYSE - ERP =&gt; SOUS-SEGMENT'!$AS$8:$AS$154)/SUMPRODUCT(('ANALYSE - ERP =&gt; SOUS-SEGMENT'!$B$8:$B$154=$B13)*'ANALYSE - ERP =&gt; SOUS-SEGMENT'!$Q$8:$Q$154*'ANALYSE - ERP =&gt; SOUS-SEGMENT'!$AF$8:$AF$154),"")</f>
        <v/>
      </c>
      <c r="AT13" s="657" t="s">
        <v>7605</v>
      </c>
      <c r="AU13" s="647" t="s">
        <v>7606</v>
      </c>
      <c r="AV13" s="647" t="s">
        <v>7607</v>
      </c>
      <c r="AW13" s="647" t="s">
        <v>7559</v>
      </c>
      <c r="AX13" s="657"/>
      <c r="AY13" s="303" t="str">
        <f>IFERROR(SUMPRODUCT(('ANALYSE - ERP =&gt; SOUS-SEGMENT'!$B$8:$B$154=$B13)*'ANALYSE - ERP =&gt; SOUS-SEGMENT'!$Q$8:$Q$154*'ANALYSE - ERP =&gt; SOUS-SEGMENT'!$AF$8:$AF$154*'ANALYSE - ERP =&gt; SOUS-SEGMENT'!$AZ$8:$AZ$154)/SUMPRODUCT(('ANALYSE - ERP =&gt; SOUS-SEGMENT'!$B$8:$B$154=$B13)*'ANALYSE - ERP =&gt; SOUS-SEGMENT'!$Q$8:$Q$154*'ANALYSE - ERP =&gt; SOUS-SEGMENT'!$AF$8:$AF$154),"")</f>
        <v/>
      </c>
      <c r="AZ13" s="948" t="str">
        <f>IFERROR(SUMPRODUCT(('ANALYSE - ERP =&gt; SOUS-SEGMENT'!$B$8:$B$154=$B13)*'ANALYSE - ERP =&gt; SOUS-SEGMENT'!$Q$8:$Q$154*'ANALYSE - ERP =&gt; SOUS-SEGMENT'!$AF$8:$AF$154*'ANALYSE - ERP =&gt; SOUS-SEGMENT'!$BA$8:$BA$154)/SUMPRODUCT(('ANALYSE - ERP =&gt; SOUS-SEGMENT'!$B$8:$B$154=$B13)*'ANALYSE - ERP =&gt; SOUS-SEGMENT'!$Q$8:$Q$154*'ANALYSE - ERP =&gt; SOUS-SEGMENT'!$AF$8:$AF$154),"")</f>
        <v/>
      </c>
      <c r="BA13" s="303" t="str">
        <f>IFERROR(SUMPRODUCT(('ANALYSE - ERP =&gt; SOUS-SEGMENT'!$B$8:$B$154=$B13)*'ANALYSE - ERP =&gt; SOUS-SEGMENT'!$Q$8:$Q$154*'ANALYSE - ERP =&gt; SOUS-SEGMENT'!$AF$8:$AF$154*'ANALYSE - ERP =&gt; SOUS-SEGMENT'!$BB$8:$BB$154)/SUMPRODUCT(('ANALYSE - ERP =&gt; SOUS-SEGMENT'!$B$8:$B$154=$B13)*'ANALYSE - ERP =&gt; SOUS-SEGMENT'!$Q$8:$Q$154*'ANALYSE - ERP =&gt; SOUS-SEGMENT'!$AF$8:$AF$154),"")</f>
        <v/>
      </c>
      <c r="BB13" s="303" t="str">
        <f>IFERROR(SUMPRODUCT(('ANALYSE - ERP =&gt; SOUS-SEGMENT'!$B$8:$B$154=$B13)*'ANALYSE - ERP =&gt; SOUS-SEGMENT'!$Q$8:$Q$154*'ANALYSE - ERP =&gt; SOUS-SEGMENT'!$AF$8:$AF$154*'ANALYSE - ERP =&gt; SOUS-SEGMENT'!$BC$8:$BC$154)/SUMPRODUCT(('ANALYSE - ERP =&gt; SOUS-SEGMENT'!$B$8:$B$154=$B13)*'ANALYSE - ERP =&gt; SOUS-SEGMENT'!$Q$8:$Q$154*'ANALYSE - ERP =&gt; SOUS-SEGMENT'!$AF$8:$AF$154),"")</f>
        <v/>
      </c>
      <c r="BC13" s="304">
        <f>SUMPRODUCT(('ANALYSE - ERP =&gt; SOUS-SEGMENT'!$B$8:$B$154=$B13)*'ANALYSE - ERP =&gt; SOUS-SEGMENT'!$Q$8:$Q$154*'ANALYSE - ERP =&gt; SOUS-SEGMENT'!$BE$8:$BE$154)</f>
        <v>0</v>
      </c>
      <c r="BD13" s="304">
        <f>SUMPRODUCT(('ANALYSE - ERP =&gt; SOUS-SEGMENT'!$B$8:$B$154=$B13)*'ANALYSE - ERP =&gt; SOUS-SEGMENT'!$Q$8:$Q$154*'ANALYSE - ERP =&gt; SOUS-SEGMENT'!$BF$8:$BF$154)</f>
        <v>0</v>
      </c>
      <c r="BE13" s="304">
        <f>SUMPRODUCT(('ANALYSE - ERP =&gt; SOUS-SEGMENT'!$B$8:$B$154=$B13)*'ANALYSE - ERP =&gt; SOUS-SEGMENT'!$Q$8:$Q$154*'ANALYSE - ERP =&gt; SOUS-SEGMENT'!$BG$8:$BG$154)</f>
        <v>0</v>
      </c>
      <c r="BF13" s="304">
        <f>SUMPRODUCT(('ANALYSE - ERP =&gt; SOUS-SEGMENT'!$B$8:$B$154=$B13)*'ANALYSE - ERP =&gt; SOUS-SEGMENT'!$Q$8:$Q$154*'ANALYSE - ERP =&gt; SOUS-SEGMENT'!$BH$8:$BH$154)</f>
        <v>0</v>
      </c>
      <c r="BG13" s="304">
        <f>SUMPRODUCT(('ANALYSE - ERP =&gt; SOUS-SEGMENT'!$B$8:$B$154=$B13)*'ANALYSE - ERP =&gt; SOUS-SEGMENT'!$Q$8:$Q$154*'ANALYSE - ERP =&gt; SOUS-SEGMENT'!$BJ$8:$BJ$154)</f>
        <v>0</v>
      </c>
      <c r="BH13" s="304">
        <f>SUMPRODUCT(('ANALYSE - ERP =&gt; SOUS-SEGMENT'!$B$8:$B$154=$B13)*'ANALYSE - ERP =&gt; SOUS-SEGMENT'!$Q$8:$Q$154*'ANALYSE - ERP =&gt; SOUS-SEGMENT'!$BK$8:$BK$154)</f>
        <v>0</v>
      </c>
      <c r="BI13" s="304">
        <f>SUMPRODUCT(('ANALYSE - ERP =&gt; SOUS-SEGMENT'!$B$8:$B$154=$B13)*'ANALYSE - ERP =&gt; SOUS-SEGMENT'!$Q$8:$Q$154*'ANALYSE - ERP =&gt; SOUS-SEGMENT'!$BL$8:$BL$154)</f>
        <v>0</v>
      </c>
      <c r="BJ13" s="304">
        <f>SUMPRODUCT(('ANALYSE - ERP =&gt; SOUS-SEGMENT'!$B$8:$B$154=$B13)*'ANALYSE - ERP =&gt; SOUS-SEGMENT'!$Q$8:$Q$154*'ANALYSE - ERP =&gt; SOUS-SEGMENT'!$BM$8:$BM$154)</f>
        <v>0</v>
      </c>
      <c r="BK13" s="657"/>
      <c r="BL13" s="577" t="str">
        <f>IFERROR(SUMPRODUCT(('ANALYSE - ERP =&gt; SOUS-SEGMENT'!$B$8:$B$154=$B13)*'ANALYSE - ERP =&gt; SOUS-SEGMENT'!$Q$8:$Q$154*'ANALYSE - ERP =&gt; SOUS-SEGMENT'!$BE$8:$BE$154*'ANALYSE - ERP =&gt; SOUS-SEGMENT'!$BO$8:$BO$154)/SUMPRODUCT(('ANALYSE - ERP =&gt; SOUS-SEGMENT'!$B$8:$B$154=$B13)*'ANALYSE - ERP =&gt; SOUS-SEGMENT'!$Q$8:$Q$154*'ANALYSE - ERP =&gt; SOUS-SEGMENT'!$BE$8:$BE$154),"")</f>
        <v/>
      </c>
      <c r="BM13" s="578" t="str">
        <f>IFERROR(SUMPRODUCT(('ANALYSE - ERP =&gt; SOUS-SEGMENT'!$B$8:$B$154=$B13)*'ANALYSE - ERP =&gt; SOUS-SEGMENT'!$Q$8:$Q$154*'ANALYSE - ERP =&gt; SOUS-SEGMENT'!$BE$8:$BE$154*'ANALYSE - ERP =&gt; SOUS-SEGMENT'!$BP$8:$BP$154)/SUMPRODUCT(('ANALYSE - ERP =&gt; SOUS-SEGMENT'!$B$8:$B$154=$B13)*'ANALYSE - ERP =&gt; SOUS-SEGMENT'!$Q$8:$Q$154*'ANALYSE - ERP =&gt; SOUS-SEGMENT'!$BE$8:$BE$154),"")</f>
        <v/>
      </c>
      <c r="BN13" s="578" t="str">
        <f>IFERROR(SUMPRODUCT(('ANALYSE - ERP =&gt; SOUS-SEGMENT'!$B$8:$B$154=$B13)*'ANALYSE - ERP =&gt; SOUS-SEGMENT'!$Q$8:$Q$154*'ANALYSE - ERP =&gt; SOUS-SEGMENT'!$BE$8:$BE$154*'ANALYSE - ERP =&gt; SOUS-SEGMENT'!$BQ$8:$BQ$154)/SUMPRODUCT(('ANALYSE - ERP =&gt; SOUS-SEGMENT'!$B$8:$B$154=$B13)*'ANALYSE - ERP =&gt; SOUS-SEGMENT'!$Q$8:$Q$154*'ANALYSE - ERP =&gt; SOUS-SEGMENT'!$BE$8:$BE$154),"")</f>
        <v/>
      </c>
      <c r="BO13" s="579" t="str">
        <f>IFERROR(SUMPRODUCT(('ANALYSE - ERP =&gt; SOUS-SEGMENT'!$B$8:$B$154=$B13)*'ANALYSE - ERP =&gt; SOUS-SEGMENT'!$Q$8:$Q$154*'ANALYSE - ERP =&gt; SOUS-SEGMENT'!$BE$8:$BE$154*'ANALYSE - ERP =&gt; SOUS-SEGMENT'!$BR$8:$BR$154)/SUMPRODUCT(('ANALYSE - ERP =&gt; SOUS-SEGMENT'!$B$8:$B$154=$B13)*'ANALYSE - ERP =&gt; SOUS-SEGMENT'!$Q$8:$Q$154*'ANALYSE - ERP =&gt; SOUS-SEGMENT'!$BE$8:$BE$154),"")</f>
        <v/>
      </c>
      <c r="BP13" s="577" t="str">
        <f>IFERROR(SUMPRODUCT(('ANALYSE - ERP =&gt; SOUS-SEGMENT'!$B$8:$B$154=$B13)*'ANALYSE - ERP =&gt; SOUS-SEGMENT'!$Q$8:$Q$154*'ANALYSE - ERP =&gt; SOUS-SEGMENT'!$BJ$8:$BJ$154*'ANALYSE - ERP =&gt; SOUS-SEGMENT'!$BS$8:$BS$154)/SUMPRODUCT(('ANALYSE - ERP =&gt; SOUS-SEGMENT'!$B$8:$B$154=$B13)*'ANALYSE - ERP =&gt; SOUS-SEGMENT'!$Q$8:$Q$154*'ANALYSE - ERP =&gt; SOUS-SEGMENT'!$BJ$8:$BJ$154),"")</f>
        <v/>
      </c>
      <c r="BQ13" s="578" t="str">
        <f>IFERROR(SUMPRODUCT(('ANALYSE - ERP =&gt; SOUS-SEGMENT'!$B$8:$B$154=$B13)*'ANALYSE - ERP =&gt; SOUS-SEGMENT'!$Q$8:$Q$154*'ANALYSE - ERP =&gt; SOUS-SEGMENT'!$BJ$8:$BJ$154*'ANALYSE - ERP =&gt; SOUS-SEGMENT'!$BT$8:$BT$154)/SUMPRODUCT(('ANALYSE - ERP =&gt; SOUS-SEGMENT'!$B$8:$B$154=$B13)*'ANALYSE - ERP =&gt; SOUS-SEGMENT'!$Q$8:$Q$154*'ANALYSE - ERP =&gt; SOUS-SEGMENT'!$BJ$8:$BJ$154),"")</f>
        <v/>
      </c>
      <c r="BR13" s="578" t="str">
        <f>IFERROR(SUMPRODUCT(('ANALYSE - ERP =&gt; SOUS-SEGMENT'!$B$8:$B$154=$B13)*'ANALYSE - ERP =&gt; SOUS-SEGMENT'!$Q$8:$Q$154*'ANALYSE - ERP =&gt; SOUS-SEGMENT'!$BJ$8:$BJ$154*'ANALYSE - ERP =&gt; SOUS-SEGMENT'!$BU$8:$BU$154)/SUMPRODUCT(('ANALYSE - ERP =&gt; SOUS-SEGMENT'!$B$8:$B$154=$B13)*'ANALYSE - ERP =&gt; SOUS-SEGMENT'!$Q$8:$Q$154*'ANALYSE - ERP =&gt; SOUS-SEGMENT'!$BJ$8:$BJ$154),"")</f>
        <v/>
      </c>
      <c r="BS13" s="579" t="str">
        <f>IFERROR(SUMPRODUCT(('ANALYSE - ERP =&gt; SOUS-SEGMENT'!$B$8:$B$154=$B13)*'ANALYSE - ERP =&gt; SOUS-SEGMENT'!$Q$8:$Q$154*'ANALYSE - ERP =&gt; SOUS-SEGMENT'!$BJ$8:$BJ$154*'ANALYSE - ERP =&gt; SOUS-SEGMENT'!$BV$8:$BV$154)/SUMPRODUCT(('ANALYSE - ERP =&gt; SOUS-SEGMENT'!$B$8:$B$154=$B13)*'ANALYSE - ERP =&gt; SOUS-SEGMENT'!$Q$8:$Q$154*'ANALYSE - ERP =&gt; SOUS-SEGMENT'!$BJ$8:$BJ$154),"")</f>
        <v/>
      </c>
      <c r="BT13" s="586" t="str">
        <f>IFERROR(SUMPRODUCT(('ANALYSE - ERP =&gt; SOUS-SEGMENT'!$B$8:$B$154=$B13)*'ANALYSE - ERP =&gt; SOUS-SEGMENT'!$Q$8:$Q$154*'ANALYSE - ERP =&gt; SOUS-SEGMENT'!$BF$8:$BF$154*'ANALYSE - ERP =&gt; SOUS-SEGMENT'!$BW$8:$BW$154)/SUMPRODUCT(('ANALYSE - ERP =&gt; SOUS-SEGMENT'!$B$8:$B$154=$B13)*'ANALYSE - ERP =&gt; SOUS-SEGMENT'!$Q$8:$Q$154*'ANALYSE - ERP =&gt; SOUS-SEGMENT'!$BF$8:$BF$154),"")</f>
        <v/>
      </c>
      <c r="BU13" s="587" t="str">
        <f>IFERROR(SUMPRODUCT(('ANALYSE - ERP =&gt; SOUS-SEGMENT'!$B$8:$B$154=$B13)*'ANALYSE - ERP =&gt; SOUS-SEGMENT'!$Q$8:$Q$154*'ANALYSE - ERP =&gt; SOUS-SEGMENT'!$BF$8:$BF$154*'ANALYSE - ERP =&gt; SOUS-SEGMENT'!$BX$8:$BX$154)/SUMPRODUCT(('ANALYSE - ERP =&gt; SOUS-SEGMENT'!$B$8:$B$154=$B13)*'ANALYSE - ERP =&gt; SOUS-SEGMENT'!$Q$8:$Q$154*'ANALYSE - ERP =&gt; SOUS-SEGMENT'!$BF$8:$BF$154),"")</f>
        <v/>
      </c>
      <c r="BV13" s="588" t="str">
        <f>IFERROR(SUMPRODUCT(('ANALYSE - ERP =&gt; SOUS-SEGMENT'!$B$8:$B$154=$B13)*'ANALYSE - ERP =&gt; SOUS-SEGMENT'!$Q$8:$Q$154*'ANALYSE - ERP =&gt; SOUS-SEGMENT'!$BF$8:$BF$154*'ANALYSE - ERP =&gt; SOUS-SEGMENT'!$BY$8:$BY$154)/SUMPRODUCT(('ANALYSE - ERP =&gt; SOUS-SEGMENT'!$B$8:$B$154=$B13)*'ANALYSE - ERP =&gt; SOUS-SEGMENT'!$Q$8:$Q$154*'ANALYSE - ERP =&gt; SOUS-SEGMENT'!$BF$8:$BF$154),"")</f>
        <v/>
      </c>
      <c r="BW13" s="586" t="str">
        <f>IFERROR(SUMPRODUCT(('ANALYSE - ERP =&gt; SOUS-SEGMENT'!$B$8:$B$154=$B13)*'ANALYSE - ERP =&gt; SOUS-SEGMENT'!$Q$8:$Q$154*'ANALYSE - ERP =&gt; SOUS-SEGMENT'!$BK$8:$BK$154*'ANALYSE - ERP =&gt; SOUS-SEGMENT'!$BZ$8:$BZ$154)/SUMPRODUCT(('ANALYSE - ERP =&gt; SOUS-SEGMENT'!$B$8:$B$154=$B13)*'ANALYSE - ERP =&gt; SOUS-SEGMENT'!$Q$8:$Q$154*'ANALYSE - ERP =&gt; SOUS-SEGMENT'!$BK$8:$BK$154),"")</f>
        <v/>
      </c>
      <c r="BX13" s="587" t="str">
        <f>IFERROR(SUMPRODUCT(('ANALYSE - ERP =&gt; SOUS-SEGMENT'!$B$8:$B$154=$B13)*'ANALYSE - ERP =&gt; SOUS-SEGMENT'!$Q$8:$Q$154*'ANALYSE - ERP =&gt; SOUS-SEGMENT'!$BK$8:$BK$154*'ANALYSE - ERP =&gt; SOUS-SEGMENT'!$CA$8:$CA$154)/SUMPRODUCT(('ANALYSE - ERP =&gt; SOUS-SEGMENT'!$B$8:$B$154=$B13)*'ANALYSE - ERP =&gt; SOUS-SEGMENT'!$Q$8:$Q$154*'ANALYSE - ERP =&gt; SOUS-SEGMENT'!$BK$8:$BK$154),"")</f>
        <v/>
      </c>
      <c r="BY13" s="588" t="str">
        <f>IFERROR(SUMPRODUCT(('ANALYSE - ERP =&gt; SOUS-SEGMENT'!$B$8:$B$154=$B13)*'ANALYSE - ERP =&gt; SOUS-SEGMENT'!$Q$8:$Q$154*'ANALYSE - ERP =&gt; SOUS-SEGMENT'!$BK$8:$BK$154*'ANALYSE - ERP =&gt; SOUS-SEGMENT'!$CB$8:$CB$154)/SUMPRODUCT(('ANALYSE - ERP =&gt; SOUS-SEGMENT'!$B$8:$B$154=$B13)*'ANALYSE - ERP =&gt; SOUS-SEGMENT'!$Q$8:$Q$154*'ANALYSE - ERP =&gt; SOUS-SEGMENT'!$BK$8:$BK$154),"")</f>
        <v/>
      </c>
      <c r="BZ13" s="577" t="str">
        <f>IFERROR(SUMPRODUCT(('ANALYSE - ERP =&gt; SOUS-SEGMENT'!$B$8:$B$154=$B13)*'ANALYSE - ERP =&gt; SOUS-SEGMENT'!$Q$8:$Q$154*'ANALYSE - ERP =&gt; SOUS-SEGMENT'!$BG$8:$BG$154*'ANALYSE - ERP =&gt; SOUS-SEGMENT'!$CC$8:$CC$154)/SUMPRODUCT(('ANALYSE - ERP =&gt; SOUS-SEGMENT'!$B$8:$B$154=$B13)*'ANALYSE - ERP =&gt; SOUS-SEGMENT'!$Q$8:$Q$154*'ANALYSE - ERP =&gt; SOUS-SEGMENT'!$BG$8:$BG$154),"")</f>
        <v/>
      </c>
      <c r="CA13" s="578" t="str">
        <f>IFERROR(SUMPRODUCT(('ANALYSE - ERP =&gt; SOUS-SEGMENT'!$B$8:$B$154=$B13)*'ANALYSE - ERP =&gt; SOUS-SEGMENT'!$Q$8:$Q$154*'ANALYSE - ERP =&gt; SOUS-SEGMENT'!$BG$8:$BG$154*'ANALYSE - ERP =&gt; SOUS-SEGMENT'!$CD$8:$CD$154)/SUMPRODUCT(('ANALYSE - ERP =&gt; SOUS-SEGMENT'!$B$8:$B$154=$B13)*'ANALYSE - ERP =&gt; SOUS-SEGMENT'!$Q$8:$Q$154*'ANALYSE - ERP =&gt; SOUS-SEGMENT'!$BG$8:$BG$154),"")</f>
        <v/>
      </c>
      <c r="CB13" s="578" t="str">
        <f>IFERROR(SUMPRODUCT(('ANALYSE - ERP =&gt; SOUS-SEGMENT'!$B$8:$B$154=$B13)*'ANALYSE - ERP =&gt; SOUS-SEGMENT'!$Q$8:$Q$154*'ANALYSE - ERP =&gt; SOUS-SEGMENT'!$BG$8:$BG$154*'ANALYSE - ERP =&gt; SOUS-SEGMENT'!$CE$8:$CE$154)/SUMPRODUCT(('ANALYSE - ERP =&gt; SOUS-SEGMENT'!$B$8:$B$154=$B13)*'ANALYSE - ERP =&gt; SOUS-SEGMENT'!$Q$8:$Q$154*'ANALYSE - ERP =&gt; SOUS-SEGMENT'!$BG$8:$BG$154),"")</f>
        <v/>
      </c>
      <c r="CC13" s="579" t="str">
        <f>IFERROR(SUMPRODUCT(('ANALYSE - ERP =&gt; SOUS-SEGMENT'!$B$8:$B$154=$B13)*'ANALYSE - ERP =&gt; SOUS-SEGMENT'!$Q$8:$Q$154*'ANALYSE - ERP =&gt; SOUS-SEGMENT'!$BG$8:$BG$154*'ANALYSE - ERP =&gt; SOUS-SEGMENT'!$CF$8:$CF$154)/SUMPRODUCT(('ANALYSE - ERP =&gt; SOUS-SEGMENT'!$B$8:$B$154=$B13)*'ANALYSE - ERP =&gt; SOUS-SEGMENT'!$Q$8:$Q$154*'ANALYSE - ERP =&gt; SOUS-SEGMENT'!$BG$8:$BG$154),"")</f>
        <v/>
      </c>
      <c r="CD13" s="577" t="str">
        <f>IFERROR(SUMPRODUCT(('ANALYSE - ERP =&gt; SOUS-SEGMENT'!$B$8:$B$154=$B13)*'ANALYSE - ERP =&gt; SOUS-SEGMENT'!$Q$8:$Q$154*'ANALYSE - ERP =&gt; SOUS-SEGMENT'!$BL$8:$BL$154*'ANALYSE - ERP =&gt; SOUS-SEGMENT'!$CG$8:$CG$154)/SUMPRODUCT(('ANALYSE - ERP =&gt; SOUS-SEGMENT'!$B$8:$B$154=$B13)*'ANALYSE - ERP =&gt; SOUS-SEGMENT'!$Q$8:$Q$154*'ANALYSE - ERP =&gt; SOUS-SEGMENT'!$BL$8:$BL$154),"")</f>
        <v/>
      </c>
      <c r="CE13" s="578" t="str">
        <f>IFERROR(SUMPRODUCT(('ANALYSE - ERP =&gt; SOUS-SEGMENT'!$B$8:$B$154=$B13)*'ANALYSE - ERP =&gt; SOUS-SEGMENT'!$Q$8:$Q$154*'ANALYSE - ERP =&gt; SOUS-SEGMENT'!$BL$8:$BL$154*'ANALYSE - ERP =&gt; SOUS-SEGMENT'!$CH$8:$CH$154)/SUMPRODUCT(('ANALYSE - ERP =&gt; SOUS-SEGMENT'!$B$8:$B$154=$B13)*'ANALYSE - ERP =&gt; SOUS-SEGMENT'!$Q$8:$Q$154*'ANALYSE - ERP =&gt; SOUS-SEGMENT'!$BL$8:$BL$154),"")</f>
        <v/>
      </c>
      <c r="CF13" s="578" t="str">
        <f>IFERROR(SUMPRODUCT(('ANALYSE - ERP =&gt; SOUS-SEGMENT'!$B$8:$B$154=$B13)*'ANALYSE - ERP =&gt; SOUS-SEGMENT'!$Q$8:$Q$154*'ANALYSE - ERP =&gt; SOUS-SEGMENT'!$BL$8:$BL$154*'ANALYSE - ERP =&gt; SOUS-SEGMENT'!$CI$8:$CI$154)/SUMPRODUCT(('ANALYSE - ERP =&gt; SOUS-SEGMENT'!$B$8:$B$154=$B13)*'ANALYSE - ERP =&gt; SOUS-SEGMENT'!$Q$8:$Q$154*'ANALYSE - ERP =&gt; SOUS-SEGMENT'!$BL$8:$BL$154),"")</f>
        <v/>
      </c>
      <c r="CG13" s="579" t="str">
        <f>IFERROR(SUMPRODUCT(('ANALYSE - ERP =&gt; SOUS-SEGMENT'!$B$8:$B$154=$B13)*'ANALYSE - ERP =&gt; SOUS-SEGMENT'!$Q$8:$Q$154*'ANALYSE - ERP =&gt; SOUS-SEGMENT'!$BL$8:$BL$154*'ANALYSE - ERP =&gt; SOUS-SEGMENT'!$CJ$8:$CJ$154)/SUMPRODUCT(('ANALYSE - ERP =&gt; SOUS-SEGMENT'!$B$8:$B$154=$B13)*'ANALYSE - ERP =&gt; SOUS-SEGMENT'!$Q$8:$Q$154*'ANALYSE - ERP =&gt; SOUS-SEGMENT'!$BL$8:$BL$154),"")</f>
        <v/>
      </c>
      <c r="CH13" s="586" t="str">
        <f>IFERROR(SUMPRODUCT(('ANALYSE - ERP =&gt; SOUS-SEGMENT'!$B$8:$B$154=$B13)*'ANALYSE - ERP =&gt; SOUS-SEGMENT'!$Q$8:$Q$154*'ANALYSE - ERP =&gt; SOUS-SEGMENT'!$BH$8:$BH$154*'ANALYSE - ERP =&gt; SOUS-SEGMENT'!$CK$8:$CK$154)/SUMPRODUCT(('ANALYSE - ERP =&gt; SOUS-SEGMENT'!$B$8:$B$154=$B13)*'ANALYSE - ERP =&gt; SOUS-SEGMENT'!$Q$8:$Q$154*'ANALYSE - ERP =&gt; SOUS-SEGMENT'!$BH$8:$BH$154),"")</f>
        <v/>
      </c>
      <c r="CI13" s="587" t="str">
        <f>IFERROR(SUMPRODUCT(('ANALYSE - ERP =&gt; SOUS-SEGMENT'!$B$8:$B$154=$B13)*'ANALYSE - ERP =&gt; SOUS-SEGMENT'!$Q$8:$Q$154*'ANALYSE - ERP =&gt; SOUS-SEGMENT'!$BH$8:$BH$154*'ANALYSE - ERP =&gt; SOUS-SEGMENT'!$CL$8:$CL$154)/SUMPRODUCT(('ANALYSE - ERP =&gt; SOUS-SEGMENT'!$B$8:$B$154=$B13)*'ANALYSE - ERP =&gt; SOUS-SEGMENT'!$Q$8:$Q$154*'ANALYSE - ERP =&gt; SOUS-SEGMENT'!$BH$8:$BH$154),"")</f>
        <v/>
      </c>
      <c r="CJ13" s="588" t="str">
        <f>IFERROR(SUMPRODUCT(('ANALYSE - ERP =&gt; SOUS-SEGMENT'!$B$8:$B$154=$B13)*'ANALYSE - ERP =&gt; SOUS-SEGMENT'!$Q$8:$Q$154*'ANALYSE - ERP =&gt; SOUS-SEGMENT'!$BH$8:$BH$154*'ANALYSE - ERP =&gt; SOUS-SEGMENT'!$CM$8:$CM$154)/SUMPRODUCT(('ANALYSE - ERP =&gt; SOUS-SEGMENT'!$B$8:$B$154=$B13)*'ANALYSE - ERP =&gt; SOUS-SEGMENT'!$Q$8:$Q$154*'ANALYSE - ERP =&gt; SOUS-SEGMENT'!$BH$8:$BH$154),"")</f>
        <v/>
      </c>
      <c r="CK13" s="586" t="str">
        <f>IFERROR(SUMPRODUCT(('ANALYSE - ERP =&gt; SOUS-SEGMENT'!$B$8:$B$154=$B13)*'ANALYSE - ERP =&gt; SOUS-SEGMENT'!$Q$8:$Q$154*'ANALYSE - ERP =&gt; SOUS-SEGMENT'!$BM$8:$BM$154*'ANALYSE - ERP =&gt; SOUS-SEGMENT'!$CN$8:$CN$154)/SUMPRODUCT(('ANALYSE - ERP =&gt; SOUS-SEGMENT'!$B$8:$B$154=$B13)*'ANALYSE - ERP =&gt; SOUS-SEGMENT'!$Q$8:$Q$154*'ANALYSE - ERP =&gt; SOUS-SEGMENT'!$BM$8:$BM$154),"")</f>
        <v/>
      </c>
      <c r="CL13" s="587" t="str">
        <f>IFERROR(SUMPRODUCT(('ANALYSE - ERP =&gt; SOUS-SEGMENT'!$B$8:$B$154=$B13)*'ANALYSE - ERP =&gt; SOUS-SEGMENT'!$Q$8:$Q$154*'ANALYSE - ERP =&gt; SOUS-SEGMENT'!$BM$8:$BM$154*'ANALYSE - ERP =&gt; SOUS-SEGMENT'!$CO$8:$CO$154)/SUMPRODUCT(('ANALYSE - ERP =&gt; SOUS-SEGMENT'!$B$8:$B$154=$B13)*'ANALYSE - ERP =&gt; SOUS-SEGMENT'!$Q$8:$Q$154*'ANALYSE - ERP =&gt; SOUS-SEGMENT'!$BM$8:$BM$154),"")</f>
        <v/>
      </c>
      <c r="CM13" s="588" t="str">
        <f>IFERROR(SUMPRODUCT(('ANALYSE - ERP =&gt; SOUS-SEGMENT'!$B$8:$B$154=$B13)*'ANALYSE - ERP =&gt; SOUS-SEGMENT'!$Q$8:$Q$154*'ANALYSE - ERP =&gt; SOUS-SEGMENT'!$BM$8:$BM$154*'ANALYSE - ERP =&gt; SOUS-SEGMENT'!$CP$8:$CP$154)/SUMPRODUCT(('ANALYSE - ERP =&gt; SOUS-SEGMENT'!$B$8:$B$154=$B13)*'ANALYSE - ERP =&gt; SOUS-SEGMENT'!$Q$8:$Q$154*'ANALYSE - ERP =&gt; SOUS-SEGMENT'!$BM$8:$BM$154),"")</f>
        <v/>
      </c>
      <c r="CN13" s="657"/>
      <c r="CO13" s="877" t="str">
        <f>IFERROR(SUMPRODUCT(('ANALYSE - ERP =&gt; SOUS-SEGMENT'!$B$8:$B$154=$B13)*'ANALYSE - ERP =&gt; SOUS-SEGMENT'!$DH$8:$DH$154*'ANALYSE - ERP =&gt; SOUS-SEGMENT'!$CR$8:$CR$154)/SUMPRODUCT(('ANALYSE - ERP =&gt; SOUS-SEGMENT'!$B$8:$B$154=$B13)*'ANALYSE - ERP =&gt; SOUS-SEGMENT'!$DH$8:$DH$154),"")</f>
        <v/>
      </c>
      <c r="CP13" s="878" t="str">
        <f>IFERROR(SUMPRODUCT(('ANALYSE - ERP =&gt; SOUS-SEGMENT'!$B$8:$B$154=$B13)*'ANALYSE - ERP =&gt; SOUS-SEGMENT'!$DI$8:$DI$154*'ANALYSE - ERP =&gt; SOUS-SEGMENT'!$CS$8:$CS$154)/SUMPRODUCT(('ANALYSE - ERP =&gt; SOUS-SEGMENT'!$B$8:$B$154=$B13)*'ANALYSE - ERP =&gt; SOUS-SEGMENT'!$DI$8:$DI$154),"")</f>
        <v/>
      </c>
      <c r="CQ13" s="878" t="str">
        <f>IFERROR(SUMPRODUCT(('ANALYSE - ERP =&gt; SOUS-SEGMENT'!$B$8:$B$154=$B13)*'ANALYSE - ERP =&gt; SOUS-SEGMENT'!$DJ$8:$DJ$154*'ANALYSE - ERP =&gt; SOUS-SEGMENT'!$CT$8:$CT$154)/SUMPRODUCT(('ANALYSE - ERP =&gt; SOUS-SEGMENT'!$B$8:$B$154=$B13)*'ANALYSE - ERP =&gt; SOUS-SEGMENT'!$DJ$8:$DJ$154),"")</f>
        <v/>
      </c>
      <c r="CR13" s="879" t="str">
        <f>IFERROR(SUMPRODUCT(('ANALYSE - ERP =&gt; SOUS-SEGMENT'!$B$8:$B$154=$B13)*'ANALYSE - ERP =&gt; SOUS-SEGMENT'!$DK$8:$DK$154*'ANALYSE - ERP =&gt; SOUS-SEGMENT'!$CU$8:$CU$154)/SUMPRODUCT(('ANALYSE - ERP =&gt; SOUS-SEGMENT'!$B$8:$B$154=$B13)*'ANALYSE - ERP =&gt; SOUS-SEGMENT'!$DK$8:$DK$154),"")</f>
        <v/>
      </c>
      <c r="CS13" s="877" t="str">
        <f>IFERROR(SUMPRODUCT(('ANALYSE - ERP =&gt; SOUS-SEGMENT'!$B$8:$B$154=$B13)*'ANALYSE - ERP =&gt; SOUS-SEGMENT'!$DS$8:$DS$154*'ANALYSE - ERP =&gt; SOUS-SEGMENT'!$CV$8:$CV$154)/SUMPRODUCT(('ANALYSE - ERP =&gt; SOUS-SEGMENT'!$B$8:$B$154=$B13)*'ANALYSE - ERP =&gt; SOUS-SEGMENT'!$DS$8:$DS$154),"")</f>
        <v/>
      </c>
      <c r="CT13" s="878" t="str">
        <f>IFERROR(SUMPRODUCT(('ANALYSE - ERP =&gt; SOUS-SEGMENT'!$B$8:$B$154=$B13)*'ANALYSE - ERP =&gt; SOUS-SEGMENT'!$DT$8:$DT$154*'ANALYSE - ERP =&gt; SOUS-SEGMENT'!$CW$8:$CW$154)/SUMPRODUCT(('ANALYSE - ERP =&gt; SOUS-SEGMENT'!$B$8:$B$154=$B13)*'ANALYSE - ERP =&gt; SOUS-SEGMENT'!$DT$8:$DT$154),"")</f>
        <v/>
      </c>
      <c r="CU13" s="879" t="str">
        <f>IFERROR(SUMPRODUCT(('ANALYSE - ERP =&gt; SOUS-SEGMENT'!$B$8:$B$154=$B13)*'ANALYSE - ERP =&gt; SOUS-SEGMENT'!$DU$8:$DU$154*'ANALYSE - ERP =&gt; SOUS-SEGMENT'!$CX$8:$CX$154)/SUMPRODUCT(('ANALYSE - ERP =&gt; SOUS-SEGMENT'!$B$8:$B$154=$B13)*'ANALYSE - ERP =&gt; SOUS-SEGMENT'!$DU$8:$DU$154),"")</f>
        <v/>
      </c>
      <c r="CV13" s="877" t="str">
        <f>IFERROR(SUMPRODUCT(('ANALYSE - ERP =&gt; SOUS-SEGMENT'!$B$8:$B$154=$B13)*'ANALYSE - ERP =&gt; SOUS-SEGMENT'!$EB$8:$EB$154*'ANALYSE - ERP =&gt; SOUS-SEGMENT'!$CY$8:$CY$154)/SUMPRODUCT(('ANALYSE - ERP =&gt; SOUS-SEGMENT'!$B$8:$B$154=$B13)*'ANALYSE - ERP =&gt; SOUS-SEGMENT'!$EB$8:$EB$154),"")</f>
        <v/>
      </c>
      <c r="CW13" s="878" t="str">
        <f>IFERROR(SUMPRODUCT(('ANALYSE - ERP =&gt; SOUS-SEGMENT'!$B$8:$B$154=$B13)*'ANALYSE - ERP =&gt; SOUS-SEGMENT'!$EC$8:$EC$154*'ANALYSE - ERP =&gt; SOUS-SEGMENT'!$CZ$8:$CZ$154)/SUMPRODUCT(('ANALYSE - ERP =&gt; SOUS-SEGMENT'!$B$8:$B$154=$B13)*'ANALYSE - ERP =&gt; SOUS-SEGMENT'!$EC$8:$EC$154),"")</f>
        <v/>
      </c>
      <c r="CX13" s="878" t="str">
        <f>IFERROR(SUMPRODUCT(('ANALYSE - ERP =&gt; SOUS-SEGMENT'!$B$8:$B$154=$B13)*'ANALYSE - ERP =&gt; SOUS-SEGMENT'!$ED$8:$ED$154*'ANALYSE - ERP =&gt; SOUS-SEGMENT'!$DA$8:$DA$154)/SUMPRODUCT(('ANALYSE - ERP =&gt; SOUS-SEGMENT'!$B$8:$B$154=$B13)*'ANALYSE - ERP =&gt; SOUS-SEGMENT'!$ED$8:$ED$154),"")</f>
        <v/>
      </c>
      <c r="CY13" s="880" t="str">
        <f>IFERROR(SUMPRODUCT(('ANALYSE - ERP =&gt; SOUS-SEGMENT'!$B$8:$B$154=$B13)*'ANALYSE - ERP =&gt; SOUS-SEGMENT'!$EE$8:$EE$154*'ANALYSE - ERP =&gt; SOUS-SEGMENT'!$DB$8:$DB$154)/SUMPRODUCT(('ANALYSE - ERP =&gt; SOUS-SEGMENT'!$B$8:$B$154=$B13)*'ANALYSE - ERP =&gt; SOUS-SEGMENT'!$EE$8:$EE$154),"")</f>
        <v/>
      </c>
      <c r="CZ13" s="881" t="str">
        <f>IFERROR(SUMPRODUCT(('ANALYSE - ERP =&gt; SOUS-SEGMENT'!$B$8:$B$154=$B13)*'ANALYSE - ERP =&gt; SOUS-SEGMENT'!$EM$8:$EM$154*'ANALYSE - ERP =&gt; SOUS-SEGMENT'!$DC$8:$DC$154)/SUMPRODUCT(('ANALYSE - ERP =&gt; SOUS-SEGMENT'!$B$8:$B$154=$B13)*'ANALYSE - ERP =&gt; SOUS-SEGMENT'!$EM$8:$EM$154),"")</f>
        <v/>
      </c>
      <c r="DA13" s="878" t="str">
        <f>IFERROR(SUMPRODUCT(('ANALYSE - ERP =&gt; SOUS-SEGMENT'!$B$8:$B$154=$B13)*'ANALYSE - ERP =&gt; SOUS-SEGMENT'!$EN$8:$EN$154*'ANALYSE - ERP =&gt; SOUS-SEGMENT'!$DD$8:$DD$154)/SUMPRODUCT(('ANALYSE - ERP =&gt; SOUS-SEGMENT'!$B$8:$B$154=$B13)*'ANALYSE - ERP =&gt; SOUS-SEGMENT'!$EN$8:$EN$154),"")</f>
        <v/>
      </c>
      <c r="DB13" s="880" t="str">
        <f>IFERROR(SUMPRODUCT(('ANALYSE - ERP =&gt; SOUS-SEGMENT'!$B$8:$B$154=$B13)*'ANALYSE - ERP =&gt; SOUS-SEGMENT'!$EO$8:$EO$154*'ANALYSE - ERP =&gt; SOUS-SEGMENT'!$DE$8:$DE$154)/SUMPRODUCT(('ANALYSE - ERP =&gt; SOUS-SEGMENT'!$B$8:$B$154=$B13)*'ANALYSE - ERP =&gt; SOUS-SEGMENT'!$EO$8:$EO$154),"")</f>
        <v/>
      </c>
      <c r="DC13" s="316" t="s">
        <v>7559</v>
      </c>
      <c r="DD13" s="657"/>
      <c r="DE13" s="288" t="e">
        <f t="shared" si="2"/>
        <v>#VALUE!</v>
      </c>
      <c r="DF13" s="288" t="e">
        <f t="shared" si="3"/>
        <v>#VALUE!</v>
      </c>
      <c r="DG13" s="288" t="e">
        <f t="shared" si="4"/>
        <v>#VALUE!</v>
      </c>
      <c r="DH13" s="288" t="e">
        <f t="shared" si="5"/>
        <v>#VALUE!</v>
      </c>
      <c r="DI13" s="317" t="s">
        <v>7559</v>
      </c>
      <c r="DJ13" s="288" t="e">
        <f t="shared" si="6"/>
        <v>#VALUE!</v>
      </c>
      <c r="DK13" s="288" t="e">
        <f t="shared" si="7"/>
        <v>#VALUE!</v>
      </c>
      <c r="DL13" s="288" t="e">
        <f t="shared" si="8"/>
        <v>#VALUE!</v>
      </c>
      <c r="DM13" s="288" t="e">
        <f t="shared" si="9"/>
        <v>#VALUE!</v>
      </c>
      <c r="DN13" s="318" t="s">
        <v>7559</v>
      </c>
      <c r="DO13" s="657"/>
      <c r="DP13" s="288">
        <f t="shared" si="10"/>
        <v>0</v>
      </c>
      <c r="DQ13" s="288">
        <f t="shared" si="11"/>
        <v>0</v>
      </c>
      <c r="DR13" s="288">
        <f t="shared" si="12"/>
        <v>0</v>
      </c>
      <c r="DS13" s="318" t="s">
        <v>7559</v>
      </c>
      <c r="DT13" s="288">
        <f t="shared" si="13"/>
        <v>0</v>
      </c>
      <c r="DU13" s="288">
        <f t="shared" si="14"/>
        <v>0</v>
      </c>
      <c r="DV13" s="288">
        <f t="shared" si="15"/>
        <v>0</v>
      </c>
      <c r="DW13" s="318" t="s">
        <v>7559</v>
      </c>
      <c r="DX13" s="657"/>
      <c r="DY13" s="288">
        <f t="shared" si="16"/>
        <v>0</v>
      </c>
      <c r="DZ13" s="288">
        <f t="shared" si="17"/>
        <v>0</v>
      </c>
      <c r="EA13" s="288">
        <f t="shared" si="18"/>
        <v>0</v>
      </c>
      <c r="EB13" s="288">
        <f t="shared" si="19"/>
        <v>0</v>
      </c>
      <c r="EC13" s="318" t="s">
        <v>7559</v>
      </c>
      <c r="ED13" s="288">
        <f t="shared" si="20"/>
        <v>0</v>
      </c>
      <c r="EE13" s="288">
        <f t="shared" si="21"/>
        <v>0</v>
      </c>
      <c r="EF13" s="288">
        <f t="shared" si="22"/>
        <v>0</v>
      </c>
      <c r="EG13" s="288">
        <f t="shared" si="23"/>
        <v>0</v>
      </c>
      <c r="EH13" s="318" t="s">
        <v>7559</v>
      </c>
      <c r="EI13" s="290"/>
      <c r="EJ13" s="288" t="e">
        <f t="shared" si="24"/>
        <v>#VALUE!</v>
      </c>
      <c r="EK13" s="291" t="e">
        <f t="shared" si="25"/>
        <v>#VALUE!</v>
      </c>
      <c r="EL13" s="291" t="e">
        <f t="shared" si="26"/>
        <v>#VALUE!</v>
      </c>
      <c r="EM13" s="318" t="s">
        <v>7559</v>
      </c>
      <c r="EN13" s="288" t="e">
        <f t="shared" si="27"/>
        <v>#VALUE!</v>
      </c>
      <c r="EO13" s="291" t="e">
        <f t="shared" si="28"/>
        <v>#VALUE!</v>
      </c>
      <c r="EP13" s="291" t="e">
        <f t="shared" si="29"/>
        <v>#VALUE!</v>
      </c>
      <c r="EQ13" s="318" t="s">
        <v>7559</v>
      </c>
      <c r="ER13" s="657"/>
      <c r="ES13" s="731">
        <f t="shared" si="30"/>
        <v>0</v>
      </c>
      <c r="ET13" s="731">
        <f t="shared" si="31"/>
        <v>0</v>
      </c>
      <c r="EU13" s="292">
        <f t="shared" si="32"/>
        <v>0</v>
      </c>
      <c r="EV13" s="292">
        <f t="shared" si="33"/>
        <v>0</v>
      </c>
      <c r="EW13" s="292">
        <f t="shared" si="34"/>
        <v>0</v>
      </c>
      <c r="EX13" s="292">
        <f t="shared" si="35"/>
        <v>0</v>
      </c>
      <c r="EY13" s="292">
        <f>SUMPRODUCT(('ANALYSE - ERP =&gt; SOUS-SEGMENT'!$B$8:$B$154=$B13)*'ANALYSE - ERP =&gt; SOUS-SEGMENT'!$Q$8:$Q$154*'ANALYSE - ERP =&gt; SOUS-SEGMENT'!$FB$8:$FB$154)</f>
        <v>0</v>
      </c>
      <c r="EZ13" s="292">
        <f>SUMPRODUCT(('ANALYSE - ERP =&gt; SOUS-SEGMENT'!$B$8:$B$154=$B13)*'ANALYSE - ERP =&gt; SOUS-SEGMENT'!$Q$8:$Q$154*'ANALYSE - ERP =&gt; SOUS-SEGMENT'!$FC$8:$FC$154)</f>
        <v>0</v>
      </c>
      <c r="FA13" s="292">
        <f t="shared" si="36"/>
        <v>0</v>
      </c>
      <c r="FB13" s="292">
        <f>SUMPRODUCT(('ANALYSE - ERP =&gt; SOUS-SEGMENT'!$B$8:$B$154=$B13)*'ANALYSE - ERP =&gt; SOUS-SEGMENT'!$Q$8:$Q$154*'ANALYSE - ERP =&gt; SOUS-SEGMENT'!$FE$8:$FE$154)</f>
        <v>0</v>
      </c>
      <c r="FC13" s="292">
        <f>SUMPRODUCT(('ANALYSE - ERP =&gt; SOUS-SEGMENT'!$B$8:$B$154=$B13)*'ANALYSE - ERP =&gt; SOUS-SEGMENT'!$Q$8:$Q$154*'ANALYSE - ERP =&gt; SOUS-SEGMENT'!$FF$8:$FF$154)</f>
        <v>0</v>
      </c>
      <c r="FD13" s="292">
        <f t="shared" si="37"/>
        <v>0</v>
      </c>
      <c r="FE13" s="292">
        <f>SUMPRODUCT(('ANALYSE - ERP =&gt; SOUS-SEGMENT'!$B$8:$B$154=$B13)*'ANALYSE - ERP =&gt; SOUS-SEGMENT'!$Q$8:$Q$154*'ANALYSE - ERP =&gt; SOUS-SEGMENT'!$FH$8:$FH$154)</f>
        <v>0</v>
      </c>
      <c r="FF13" s="292">
        <f>SUMPRODUCT(('ANALYSE - ERP =&gt; SOUS-SEGMENT'!$B$8:$B$154=$B13)*'ANALYSE - ERP =&gt; SOUS-SEGMENT'!$Q$8:$Q$154*'ANALYSE - ERP =&gt; SOUS-SEGMENT'!$FI$8:$FI$154)</f>
        <v>0</v>
      </c>
      <c r="FG13" s="292">
        <f t="shared" si="38"/>
        <v>0</v>
      </c>
      <c r="FH13" s="292">
        <f>SUMPRODUCT(('ANALYSE - ERP =&gt; SOUS-SEGMENT'!$B$8:$B$154=$B13)*'ANALYSE - ERP =&gt; SOUS-SEGMENT'!$Q$8:$Q$154*'ANALYSE - ERP =&gt; SOUS-SEGMENT'!$FK$8:$FK$154)</f>
        <v>0</v>
      </c>
      <c r="FI13" s="292">
        <f>SUMPRODUCT(('ANALYSE - ERP =&gt; SOUS-SEGMENT'!$B$8:$B$154=$B13)*'ANALYSE - ERP =&gt; SOUS-SEGMENT'!$Q$8:$Q$154*'ANALYSE - ERP =&gt; SOUS-SEGMENT'!$FL$8:$FL$154)</f>
        <v>0</v>
      </c>
      <c r="FJ13" s="657"/>
      <c r="FK13" s="319" t="s">
        <v>2649</v>
      </c>
      <c r="FL13" s="731" t="str">
        <f>IFERROR(SUMPRODUCT(('ANALYSE - ERP =&gt; SOUS-SEGMENT'!$B$8:$B$154=$B13)*'ANALYSE - ERP =&gt; SOUS-SEGMENT'!$Q$8:$Q$154*'ANALYSE - ERP =&gt; SOUS-SEGMENT'!$AF$8:$AF$154*'ANALYSE - ERP =&gt; SOUS-SEGMENT'!$FO$8:$FO$154)/SUMPRODUCT(('ANALYSE - ERP =&gt; SOUS-SEGMENT'!$B$8:$B$154=$B13)*'ANALYSE - ERP =&gt; SOUS-SEGMENT'!$Q$8:$Q$154*'ANALYSE - ERP =&gt; SOUS-SEGMENT'!$AF$8:$AF$154),"")</f>
        <v/>
      </c>
      <c r="FM13" s="732" t="str">
        <f>IFERROR(SUMPRODUCT(('ANALYSE - ERP =&gt; SOUS-SEGMENT'!$B$8:$B$154=$B13)*'ANALYSE - ERP =&gt; SOUS-SEGMENT'!$Q$8:$Q$154*'ANALYSE - ERP =&gt; SOUS-SEGMENT'!$AF$8:$AF$154*'ANALYSE - ERP =&gt; SOUS-SEGMENT'!$FP$8:$FP$154)/SUMPRODUCT(('ANALYSE - ERP =&gt; SOUS-SEGMENT'!$B$8:$B$154=$B13)*'ANALYSE - ERP =&gt; SOUS-SEGMENT'!$Q$8:$Q$154*'ANALYSE - ERP =&gt; SOUS-SEGMENT'!$AF$8:$AF$154),"")</f>
        <v/>
      </c>
      <c r="FN13" s="320" t="s">
        <v>6780</v>
      </c>
      <c r="FO13" s="657"/>
      <c r="FP13" s="887" t="str">
        <f>IFERROR(SUMPRODUCT(('ANALYSE - ERP =&gt; SOUS-SEGMENT'!$B$8:$B$154=$B13)*'ANALYSE - ERP =&gt; SOUS-SEGMENT'!$Q$8:$Q$154*'ANALYSE - ERP =&gt; SOUS-SEGMENT'!$EX$8:$EX$154*'ANALYSE - ERP =&gt; SOUS-SEGMENT'!$FS$8:$FS$154)/SUMPRODUCT(('ANALYSE - ERP =&gt; SOUS-SEGMENT'!$B$8:$B$154=$B13)*'ANALYSE - ERP =&gt; SOUS-SEGMENT'!$Q$8:$Q$154*'ANALYSE - ERP =&gt; SOUS-SEGMENT'!$EX$8:$EX$154),"")</f>
        <v/>
      </c>
      <c r="FQ13" s="295" t="e">
        <f>RANK($FP13,$FP$8:$FP$143,0)+COUNTIF($FP$8:$FP13,$FP13)-1</f>
        <v>#VALUE!</v>
      </c>
      <c r="FR13" s="887" t="e">
        <f>IFERROR(SUMPRODUCT(('ANALYSE - ERP =&gt; SOUS-SEGMENT'!$B$8:$B$154=$B13)*'ANALYSE - ERP =&gt; SOUS-SEGMENT'!$Q$8:$Q$154*'ANALYSE - ERP =&gt; SOUS-SEGMENT'!$EY$8:$EY$154*'ANALYSE - ERP =&gt; SOUS-SEGMENT'!$FU$8:$FU$154)/SUMPRODUCT(('ANALYSE - ERP =&gt; SOUS-SEGMENT'!$B$8:$B$154=$B13)*'ANALYSE - ERP =&gt; SOUS-SEGMENT'!$Q$8:$Q$154*'ANALYSE - ERP =&gt; SOUS-SEGMENT'!$EY$8:$EY$154),"")-0.1</f>
        <v>#VALUE!</v>
      </c>
      <c r="FS13" s="295" t="e">
        <f>RANK($FR13,$FR$8:$FR$143,0)+COUNTIF($FR$8:$FR13,$FR13)-1</f>
        <v>#VALUE!</v>
      </c>
      <c r="FT13" s="887" t="e">
        <f>IFERROR(SUMPRODUCT(('ANALYSE - ERP =&gt; SOUS-SEGMENT'!$B$8:$B$154=$B13)*'ANALYSE - ERP =&gt; SOUS-SEGMENT'!$Q$8:$Q$154*'ANALYSE - ERP =&gt; SOUS-SEGMENT'!$EZ$8:$EZ$154*'ANALYSE - ERP =&gt; SOUS-SEGMENT'!$FW$8:$FW$154)/SUMPRODUCT(('ANALYSE - ERP =&gt; SOUS-SEGMENT'!$B$8:$B$154=$B13)*'ANALYSE - ERP =&gt; SOUS-SEGMENT'!$Q$8:$Q$154*'ANALYSE - ERP =&gt; SOUS-SEGMENT'!$EZ$8:$EZ$154),"")-0.1</f>
        <v>#VALUE!</v>
      </c>
      <c r="FU13" s="295" t="e">
        <f>RANK($FT13,$FT$8:$FT$143,0)+COUNTIF($FT$8:$FT13,$FT13)-1</f>
        <v>#VALUE!</v>
      </c>
      <c r="FV13" s="657"/>
      <c r="FW13" s="321" t="s">
        <v>7559</v>
      </c>
      <c r="FX13" s="321" t="s">
        <v>7559</v>
      </c>
      <c r="FY13" s="321" t="s">
        <v>7559</v>
      </c>
      <c r="FZ13" s="321" t="s">
        <v>7559</v>
      </c>
      <c r="GA13" s="321" t="s">
        <v>7559</v>
      </c>
      <c r="GB13" s="321" t="s">
        <v>7559</v>
      </c>
      <c r="GC13" s="321" t="str">
        <f t="shared" si="39"/>
        <v>https://solidarites.gouv.fr/le-service-public-de-la-petite-enfance-garantir-un-accueil-de-qualite-tous-les-enfants-et-leurs-familles
https://solidarites.gouv.fr/outils-et-ressources-destination-des-autorites-organisatrices-de-laccueil-du-jeune-enfant
https://solidarites.gouv.fr/stephanie-rist-annonce-une-revalorisation-du-financement-des-creches-par-les-caf-de-2-en-2025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D13" s="657"/>
      <c r="GE13" s="292">
        <f>SUMPRODUCT(('ANALYSE - ERP =&gt; SOUS-SEGMENT'!$B$8:$B$154=$B13)*'ANALYSE - ERP =&gt; SOUS-SEGMENT'!$Q$8:$Q$154*'ANALYSE - ERP =&gt; SOUS-SEGMENT'!$GH$8:$GH$154)</f>
        <v>0</v>
      </c>
      <c r="GF13" s="292">
        <f>SUMPRODUCT(('ANALYSE - ERP =&gt; SOUS-SEGMENT'!$B$8:$B$154=$B13)*'ANALYSE - ERP =&gt; SOUS-SEGMENT'!$Q$8:$Q$154*'ANALYSE - ERP =&gt; SOUS-SEGMENT'!$GI$8:$GI$154)</f>
        <v>0</v>
      </c>
      <c r="GG13" s="292">
        <f>SUMPRODUCT(('ANALYSE - ERP =&gt; SOUS-SEGMENT'!$B$8:$B$154=$B13)*'ANALYSE - ERP =&gt; SOUS-SEGMENT'!$Q$8:$Q$154*'ANALYSE - ERP =&gt; SOUS-SEGMENT'!$GJ$8:$GJ$154)</f>
        <v>0</v>
      </c>
      <c r="GH13" s="292">
        <f>SUMPRODUCT(('ANALYSE - ERP =&gt; SOUS-SEGMENT'!$B$8:$B$154=$B13)*'ANALYSE - ERP =&gt; SOUS-SEGMENT'!$Q$8:$Q$154*'ANALYSE - ERP =&gt; SOUS-SEGMENT'!$GK$8:$GK$154)</f>
        <v>0</v>
      </c>
      <c r="GI13" s="292">
        <f>SUMPRODUCT(('ANALYSE - ERP =&gt; SOUS-SEGMENT'!$B$8:$B$154=$B13)*'ANALYSE - ERP =&gt; SOUS-SEGMENT'!$Q$8:$Q$154*'ANALYSE - ERP =&gt; SOUS-SEGMENT'!$GL$8:$GL$154)</f>
        <v>0</v>
      </c>
      <c r="GJ13" s="292">
        <f>SUMPRODUCT(('ANALYSE - ERP =&gt; SOUS-SEGMENT'!$B$8:$B$154=$B13)*'ANALYSE - ERP =&gt; SOUS-SEGMENT'!$Q$8:$Q$154*'ANALYSE - ERP =&gt; SOUS-SEGMENT'!$GM$8:$GM$154)</f>
        <v>0</v>
      </c>
      <c r="GK13" s="292">
        <f>SUMPRODUCT(('ANALYSE - ERP =&gt; SOUS-SEGMENT'!$B$8:$B$154=$B13)*'ANALYSE - ERP =&gt; SOUS-SEGMENT'!$Q$8:$Q$154*'ANALYSE - ERP =&gt; SOUS-SEGMENT'!$GN$8:$GN$154)</f>
        <v>0</v>
      </c>
      <c r="GL13" s="292">
        <f>SUMPRODUCT(('ANALYSE - ERP =&gt; SOUS-SEGMENT'!$B$8:$B$154=$B13)*'ANALYSE - ERP =&gt; SOUS-SEGMENT'!$Q$8:$Q$154*'ANALYSE - ERP =&gt; SOUS-SEGMENT'!$GO$8:$GO$154)</f>
        <v>0</v>
      </c>
      <c r="GM13" s="292">
        <f>SUMPRODUCT(('ANALYSE - ERP =&gt; SOUS-SEGMENT'!$B$8:$B$154=$B13)*'ANALYSE - ERP =&gt; SOUS-SEGMENT'!$Q$8:$Q$154*'ANALYSE - ERP =&gt; SOUS-SEGMENT'!$GP$8:$GP$154)</f>
        <v>0</v>
      </c>
      <c r="GN13" s="292">
        <f>SUMPRODUCT(('ANALYSE - ERP =&gt; SOUS-SEGMENT'!$B$8:$B$154=$B13)*'ANALYSE - ERP =&gt; SOUS-SEGMENT'!$Q$8:$Q$154*'ANALYSE - ERP =&gt; SOUS-SEGMENT'!$GQ$8:$GQ$154)</f>
        <v>0</v>
      </c>
      <c r="GO13" s="292">
        <f>SUMPRODUCT(('ANALYSE - ERP =&gt; SOUS-SEGMENT'!$B$8:$B$154=$B13)*'ANALYSE - ERP =&gt; SOUS-SEGMENT'!$Q$8:$Q$154*'ANALYSE - ERP =&gt; SOUS-SEGMENT'!$GR$8:$GR$154)</f>
        <v>0</v>
      </c>
      <c r="GP13" s="292">
        <f>SUMPRODUCT(('ANALYSE - ERP =&gt; SOUS-SEGMENT'!$B$8:$B$154=$B13)*'ANALYSE - ERP =&gt; SOUS-SEGMENT'!$Q$8:$Q$154*'ANALYSE - ERP =&gt; SOUS-SEGMENT'!$GS$8:$GS$154)</f>
        <v>0</v>
      </c>
      <c r="GQ13" s="292">
        <f>SUMPRODUCT(('ANALYSE - ERP =&gt; SOUS-SEGMENT'!$B$8:$B$154=$B13)*'ANALYSE - ERP =&gt; SOUS-SEGMENT'!$Q$8:$Q$154*'ANALYSE - ERP =&gt; SOUS-SEGMENT'!$GT$8:$GT$154)</f>
        <v>0</v>
      </c>
      <c r="GR13" s="292">
        <f>SUMPRODUCT(('ANALYSE - ERP =&gt; SOUS-SEGMENT'!$B$8:$B$154=$B13)*'ANALYSE - ERP =&gt; SOUS-SEGMENT'!$Q$8:$Q$154*'ANALYSE - ERP =&gt; SOUS-SEGMENT'!$GU$8:$GU$154)</f>
        <v>0</v>
      </c>
      <c r="GS13" s="292">
        <f>SUMPRODUCT(('ANALYSE - ERP =&gt; SOUS-SEGMENT'!$B$8:$B$154=$B13)*'ANALYSE - ERP =&gt; SOUS-SEGMENT'!$Q$8:$Q$154*'ANALYSE - ERP =&gt; SOUS-SEGMENT'!$GV$8:$GV$154)</f>
        <v>0</v>
      </c>
      <c r="GT13" s="292">
        <f>SUMPRODUCT(('ANALYSE - ERP =&gt; SOUS-SEGMENT'!$B$8:$B$154=$B13)*'ANALYSE - ERP =&gt; SOUS-SEGMENT'!$Q$8:$Q$154*'ANALYSE - ERP =&gt; SOUS-SEGMENT'!$GW$8:$GW$154)</f>
        <v>0</v>
      </c>
      <c r="GU13" s="292">
        <f>SUMPRODUCT(('ANALYSE - ERP =&gt; SOUS-SEGMENT'!$B$8:$B$154=$B13)*'ANALYSE - ERP =&gt; SOUS-SEGMENT'!$Q$8:$Q$154*'ANALYSE - ERP =&gt; SOUS-SEGMENT'!$GX$8:$GX$154)</f>
        <v>0</v>
      </c>
      <c r="GV13" s="292">
        <f>SUMPRODUCT(('ANALYSE - ERP =&gt; SOUS-SEGMENT'!$B$8:$B$154=$B13)*'ANALYSE - ERP =&gt; SOUS-SEGMENT'!$Q$8:$Q$154*'ANALYSE - ERP =&gt; SOUS-SEGMENT'!$GY$8:$GY$154)</f>
        <v>0</v>
      </c>
      <c r="GW13" s="292">
        <f>SUMPRODUCT(('ANALYSE - ERP =&gt; SOUS-SEGMENT'!$B$8:$B$154=$B13)*'ANALYSE - ERP =&gt; SOUS-SEGMENT'!$Q$8:$Q$154*'ANALYSE - ERP =&gt; SOUS-SEGMENT'!$GZ$8:$GZ$154)</f>
        <v>0</v>
      </c>
      <c r="GX13" s="292">
        <f>SUMPRODUCT(('ANALYSE - ERP =&gt; SOUS-SEGMENT'!$B$8:$B$154=$B13)*'ANALYSE - ERP =&gt; SOUS-SEGMENT'!$Q$8:$Q$154*'ANALYSE - ERP =&gt; SOUS-SEGMENT'!$HA$8:$HA$154)</f>
        <v>0</v>
      </c>
      <c r="GY13" s="292">
        <f>SUMPRODUCT(('ANALYSE - ERP =&gt; SOUS-SEGMENT'!$B$8:$B$154=$B13)*'ANALYSE - ERP =&gt; SOUS-SEGMENT'!$Q$8:$Q$154*'ANALYSE - ERP =&gt; SOUS-SEGMENT'!$HB$8:$HB$154)</f>
        <v>0</v>
      </c>
      <c r="GZ13" s="292">
        <f>SUMPRODUCT(('ANALYSE - ERP =&gt; SOUS-SEGMENT'!$B$8:$B$154=$B13)*'ANALYSE - ERP =&gt; SOUS-SEGMENT'!$Q$8:$Q$154*'ANALYSE - ERP =&gt; SOUS-SEGMENT'!$HC$8:$HC$154)</f>
        <v>0</v>
      </c>
      <c r="HA13" s="292">
        <f>SUMPRODUCT(('ANALYSE - ERP =&gt; SOUS-SEGMENT'!$B$8:$B$154=$B13)*'ANALYSE - ERP =&gt; SOUS-SEGMENT'!$Q$8:$Q$154*'ANALYSE - ERP =&gt; SOUS-SEGMENT'!$HD$8:$HD$154)</f>
        <v>0</v>
      </c>
      <c r="HB13" s="292">
        <f>SUMPRODUCT(('ANALYSE - ERP =&gt; SOUS-SEGMENT'!$B$8:$B$154=$B13)*'ANALYSE - ERP =&gt; SOUS-SEGMENT'!$Q$8:$Q$154*'ANALYSE - ERP =&gt; SOUS-SEGMENT'!$HE$8:$HE$154)</f>
        <v>0</v>
      </c>
      <c r="HC13" s="292">
        <f>SUMPRODUCT(('ANALYSE - ERP =&gt; SOUS-SEGMENT'!$B$8:$B$154=$B13)*'ANALYSE - ERP =&gt; SOUS-SEGMENT'!$Q$8:$Q$154*'ANALYSE - ERP =&gt; SOUS-SEGMENT'!$HF$8:$HF$154)</f>
        <v>0</v>
      </c>
      <c r="HD13" s="292">
        <f>SUMPRODUCT(('ANALYSE - ERP =&gt; SOUS-SEGMENT'!$B$8:$B$154=$B13)*'ANALYSE - ERP =&gt; SOUS-SEGMENT'!$Q$8:$Q$154*'ANALYSE - ERP =&gt; SOUS-SEGMENT'!$HG$8:$HG$154)</f>
        <v>0</v>
      </c>
      <c r="HE13" s="292">
        <f>SUMPRODUCT(('ANALYSE - ERP =&gt; SOUS-SEGMENT'!$B$8:$B$154=$B13)*'ANALYSE - ERP =&gt; SOUS-SEGMENT'!$Q$8:$Q$154*'ANALYSE - ERP =&gt; SOUS-SEGMENT'!$HH$8:$HH$154)</f>
        <v>0</v>
      </c>
      <c r="HF13" s="292">
        <f>SUMPRODUCT(('ANALYSE - ERP =&gt; SOUS-SEGMENT'!$B$8:$B$154=$B13)*'ANALYSE - ERP =&gt; SOUS-SEGMENT'!$Q$8:$Q$154*'ANALYSE - ERP =&gt; SOUS-SEGMENT'!$HI$8:$HI$154)</f>
        <v>0</v>
      </c>
      <c r="HG13" s="292">
        <f>SUMPRODUCT(('ANALYSE - ERP =&gt; SOUS-SEGMENT'!$B$8:$B$154=$B13)*'ANALYSE - ERP =&gt; SOUS-SEGMENT'!$Q$8:$Q$154*'ANALYSE - ERP =&gt; SOUS-SEGMENT'!$HJ$8:$HJ$154)</f>
        <v>0</v>
      </c>
      <c r="HH13" s="292">
        <f>SUMPRODUCT(('ANALYSE - ERP =&gt; SOUS-SEGMENT'!$B$8:$B$154=$B13)*'ANALYSE - ERP =&gt; SOUS-SEGMENT'!$Q$8:$Q$154*'ANALYSE - ERP =&gt; SOUS-SEGMENT'!$HK$8:$HK$154)</f>
        <v>0</v>
      </c>
      <c r="HI13" s="292">
        <f>SUMPRODUCT(('ANALYSE - ERP =&gt; SOUS-SEGMENT'!$B$8:$B$154=$B13)*'ANALYSE - ERP =&gt; SOUS-SEGMENT'!$Q$8:$Q$154*'ANALYSE - ERP =&gt; SOUS-SEGMENT'!$HL$8:$HL$154)</f>
        <v>0</v>
      </c>
      <c r="HJ13" s="292">
        <f>SUMPRODUCT(('ANALYSE - ERP =&gt; SOUS-SEGMENT'!$B$8:$B$154=$B13)*'ANALYSE - ERP =&gt; SOUS-SEGMENT'!$Q$8:$Q$154*'ANALYSE - ERP =&gt; SOUS-SEGMENT'!$HM$8:$HM$154)</f>
        <v>0</v>
      </c>
      <c r="HK13" s="292">
        <f>SUMPRODUCT(('ANALYSE - ERP =&gt; SOUS-SEGMENT'!$B$8:$B$154=$B13)*'ANALYSE - ERP =&gt; SOUS-SEGMENT'!$Q$8:$Q$154*'ANALYSE - ERP =&gt; SOUS-SEGMENT'!$HN$8:$HN$154)</f>
        <v>0</v>
      </c>
      <c r="HL13" s="292">
        <f>SUMPRODUCT(('ANALYSE - ERP =&gt; SOUS-SEGMENT'!$B$8:$B$154=$B13)*'ANALYSE - ERP =&gt; SOUS-SEGMENT'!$Q$8:$Q$154*'ANALYSE - ERP =&gt; SOUS-SEGMENT'!$HO$8:$HO$154)</f>
        <v>0</v>
      </c>
      <c r="HM13" s="292">
        <f>SUMPRODUCT(('ANALYSE - ERP =&gt; SOUS-SEGMENT'!$B$8:$B$154=$B13)*'ANALYSE - ERP =&gt; SOUS-SEGMENT'!$Q$8:$Q$154*'ANALYSE - ERP =&gt; SOUS-SEGMENT'!$HP$8:$HP$154)</f>
        <v>0</v>
      </c>
      <c r="HN13" s="292">
        <f>SUMPRODUCT(('ANALYSE - ERP =&gt; SOUS-SEGMENT'!$B$8:$B$154=$B13)*'ANALYSE - ERP =&gt; SOUS-SEGMENT'!$Q$8:$Q$154*'ANALYSE - ERP =&gt; SOUS-SEGMENT'!$HQ$8:$HQ$154)</f>
        <v>0</v>
      </c>
      <c r="HO13" s="292">
        <f>SUMPRODUCT(('ANALYSE - ERP =&gt; SOUS-SEGMENT'!$B$8:$B$154=$B13)*'ANALYSE - ERP =&gt; SOUS-SEGMENT'!$Q$8:$Q$154*'ANALYSE - ERP =&gt; SOUS-SEGMENT'!$HR$8:$HR$154)</f>
        <v>0</v>
      </c>
      <c r="HP13" s="292">
        <f>SUMPRODUCT(('ANALYSE - ERP =&gt; SOUS-SEGMENT'!$B$8:$B$154=$B13)*'ANALYSE - ERP =&gt; SOUS-SEGMENT'!$Q$8:$Q$154*'ANALYSE - ERP =&gt; SOUS-SEGMENT'!$HS$8:$HS$154)</f>
        <v>0</v>
      </c>
      <c r="HQ13" s="292">
        <f>SUMPRODUCT(('ANALYSE - ERP =&gt; SOUS-SEGMENT'!$B$8:$B$154=$B13)*'ANALYSE - ERP =&gt; SOUS-SEGMENT'!$Q$8:$Q$154*'ANALYSE - ERP =&gt; SOUS-SEGMENT'!$HT$8:$HT$154)</f>
        <v>0</v>
      </c>
      <c r="HR13" s="292">
        <f>SUMPRODUCT(('ANALYSE - ERP =&gt; SOUS-SEGMENT'!$B$8:$B$154=$B13)*'ANALYSE - ERP =&gt; SOUS-SEGMENT'!$Q$8:$Q$154*'ANALYSE - ERP =&gt; SOUS-SEGMENT'!$HU$8:$HU$154)</f>
        <v>0</v>
      </c>
      <c r="HS13" s="292">
        <f>SUMPRODUCT(('ANALYSE - ERP =&gt; SOUS-SEGMENT'!$B$8:$B$154=$B13)*'ANALYSE - ERP =&gt; SOUS-SEGMENT'!$Q$8:$Q$154*'ANALYSE - ERP =&gt; SOUS-SEGMENT'!$HV$8:$HV$154)</f>
        <v>0</v>
      </c>
      <c r="HT13" s="292">
        <f>SUMPRODUCT(('ANALYSE - ERP =&gt; SOUS-SEGMENT'!$B$8:$B$154=$B13)*'ANALYSE - ERP =&gt; SOUS-SEGMENT'!$Q$8:$Q$154*'ANALYSE - ERP =&gt; SOUS-SEGMENT'!$HW$8:$HW$154)</f>
        <v>0</v>
      </c>
      <c r="HV13" s="297">
        <f t="shared" si="40"/>
        <v>0</v>
      </c>
      <c r="HW13" s="297">
        <f>SUMPRODUCT(('ANALYSE - ERP =&gt; SOUS-SEGMENT'!$B$8:$B$154=$B13)*'ANALYSE - ERP =&gt; SOUS-SEGMENT'!$Q$8:$Q$154*'ANALYSE - ERP =&gt; SOUS-SEGMENT'!$HZ$8:$HZ$154)</f>
        <v>0</v>
      </c>
      <c r="HX13" s="297">
        <f>SUMPRODUCT(('ANALYSE - ERP =&gt; SOUS-SEGMENT'!$B$8:$B$154=$B13)*'ANALYSE - ERP =&gt; SOUS-SEGMENT'!$Q$8:$Q$154*'ANALYSE - ERP =&gt; SOUS-SEGMENT'!$IA$8:$IA$154)</f>
        <v>0</v>
      </c>
      <c r="HY13" s="297">
        <f>SUMPRODUCT(('ANALYSE - ERP =&gt; SOUS-SEGMENT'!$B$8:$B$154=$B13)*'ANALYSE - ERP =&gt; SOUS-SEGMENT'!$Q$8:$Q$154*'ANALYSE - ERP =&gt; SOUS-SEGMENT'!$IB$8:$IB$154)</f>
        <v>0</v>
      </c>
      <c r="HZ13" s="297">
        <f>SUMPRODUCT(('ANALYSE - ERP =&gt; SOUS-SEGMENT'!$B$8:$B$154=$B13)*'ANALYSE - ERP =&gt; SOUS-SEGMENT'!$Q$8:$Q$154*'ANALYSE - ERP =&gt; SOUS-SEGMENT'!$IC$8:$IC$154)</f>
        <v>0</v>
      </c>
      <c r="IA13" s="297">
        <f>SUMPRODUCT(('ANALYSE - ERP =&gt; SOUS-SEGMENT'!$B$8:$B$154=$B13)*'ANALYSE - ERP =&gt; SOUS-SEGMENT'!$Q$8:$Q$154*'ANALYSE - ERP =&gt; SOUS-SEGMENT'!$ID$8:$ID$154)</f>
        <v>0</v>
      </c>
      <c r="IB13" s="297">
        <f>SUMPRODUCT(('ANALYSE - ERP =&gt; SOUS-SEGMENT'!$B$8:$B$154=$B13)*'ANALYSE - ERP =&gt; SOUS-SEGMENT'!$Q$8:$Q$154*'ANALYSE - ERP =&gt; SOUS-SEGMENT'!$IE$8:$IE$154)</f>
        <v>0</v>
      </c>
      <c r="IC13" s="297">
        <f>SUMPRODUCT(('ANALYSE - ERP =&gt; SOUS-SEGMENT'!$B$8:$B$154=$B13)*'ANALYSE - ERP =&gt; SOUS-SEGMENT'!$Q$8:$Q$154*'ANALYSE - ERP =&gt; SOUS-SEGMENT'!$IF$8:$IF$154)</f>
        <v>0</v>
      </c>
      <c r="ID13" s="297">
        <f>SUMPRODUCT(('ANALYSE - ERP =&gt; SOUS-SEGMENT'!$B$8:$B$154=$B13)*'ANALYSE - ERP =&gt; SOUS-SEGMENT'!$Q$8:$Q$154*'ANALYSE - ERP =&gt; SOUS-SEGMENT'!$IG$8:$IG$154)</f>
        <v>0</v>
      </c>
      <c r="IE13" s="297">
        <f>SUMPRODUCT(('ANALYSE - ERP =&gt; SOUS-SEGMENT'!$B$8:$B$154=$B13)*'ANALYSE - ERP =&gt; SOUS-SEGMENT'!$Q$8:$Q$154*'ANALYSE - ERP =&gt; SOUS-SEGMENT'!$IH$8:$IH$154)</f>
        <v>0</v>
      </c>
      <c r="IF13" s="297">
        <f>SUMPRODUCT(('ANALYSE - ERP =&gt; SOUS-SEGMENT'!$B$8:$B$154=$B13)*'ANALYSE - ERP =&gt; SOUS-SEGMENT'!$Q$8:$Q$154*'ANALYSE - ERP =&gt; SOUS-SEGMENT'!$II$8:$II$154)</f>
        <v>0</v>
      </c>
      <c r="IG13" s="297">
        <f>SUMPRODUCT(('ANALYSE - ERP =&gt; SOUS-SEGMENT'!$B$8:$B$154=$B13)*'ANALYSE - ERP =&gt; SOUS-SEGMENT'!$Q$8:$Q$154*'ANALYSE - ERP =&gt; SOUS-SEGMENT'!$IJ$8:$IJ$154)</f>
        <v>0</v>
      </c>
      <c r="IH13" s="888"/>
      <c r="II13" s="298" t="s">
        <v>2589</v>
      </c>
      <c r="IJ13" s="322" t="s">
        <v>7559</v>
      </c>
      <c r="IK13" s="657"/>
      <c r="IL13" s="779">
        <f>IFERROR(SUMPRODUCT(('ANALYSE - ERP =&gt; SOUS-SEGMENT'!$B$8:$B$154=$B13)*'ANALYSE - ERP =&gt; SOUS-SEGMENT'!$Q$8:$Q$154*'ANALYSE - ERP =&gt; SOUS-SEGMENT'!$BE$8:$BE$154*'ANALYSE - ERP =&gt; SOUS-SEGMENT'!$IO$8:$IO$154)/SUMPRODUCT(('ANALYSE - ERP =&gt; SOUS-SEGMENT'!$B$8:$B$154=$B13)*'ANALYSE - ERP =&gt; SOUS-SEGMENT'!$Q$8:$Q$154*'ANALYSE - ERP =&gt; SOUS-SEGMENT'!$BE$8:$BE$154),0)</f>
        <v>0</v>
      </c>
      <c r="IM13" s="780">
        <f>IFERROR(SUMPRODUCT(('ANALYSE - ERP =&gt; SOUS-SEGMENT'!$B$8:$B$154=$B13)*'ANALYSE - ERP =&gt; SOUS-SEGMENT'!$Q$8:$Q$154*'ANALYSE - ERP =&gt; SOUS-SEGMENT'!$BE$8:$BE$154*'ANALYSE - ERP =&gt; SOUS-SEGMENT'!$IP$8:$IP$154)/SUMPRODUCT(('ANALYSE - ERP =&gt; SOUS-SEGMENT'!$B$8:$B$154=$B13)*'ANALYSE - ERP =&gt; SOUS-SEGMENT'!$Q$8:$Q$154*'ANALYSE - ERP =&gt; SOUS-SEGMENT'!$BE$8:$BE$154),0)</f>
        <v>0</v>
      </c>
      <c r="IN13" s="780">
        <f>IFERROR(SUMPRODUCT(('ANALYSE - ERP =&gt; SOUS-SEGMENT'!$B$8:$B$154=$B13)*'ANALYSE - ERP =&gt; SOUS-SEGMENT'!$Q$8:$Q$154*'ANALYSE - ERP =&gt; SOUS-SEGMENT'!$BE$8:$BE$154*'ANALYSE - ERP =&gt; SOUS-SEGMENT'!$IQ$8:$IQ$154)/SUMPRODUCT(('ANALYSE - ERP =&gt; SOUS-SEGMENT'!$B$8:$B$154=$B13)*'ANALYSE - ERP =&gt; SOUS-SEGMENT'!$Q$8:$Q$154*'ANALYSE - ERP =&gt; SOUS-SEGMENT'!$BE$8:$BE$154),0)</f>
        <v>0</v>
      </c>
      <c r="IO13" s="780">
        <f>IFERROR(SUMPRODUCT(('ANALYSE - ERP =&gt; SOUS-SEGMENT'!$B$8:$B$154=$B13)*'ANALYSE - ERP =&gt; SOUS-SEGMENT'!$Q$8:$Q$154*'ANALYSE - ERP =&gt; SOUS-SEGMENT'!$BE$8:$BE$154*'ANALYSE - ERP =&gt; SOUS-SEGMENT'!$IR$8:$IR$154)/SUMPRODUCT(('ANALYSE - ERP =&gt; SOUS-SEGMENT'!$B$8:$B$154=$B13)*'ANALYSE - ERP =&gt; SOUS-SEGMENT'!$Q$8:$Q$154*'ANALYSE - ERP =&gt; SOUS-SEGMENT'!$BE$8:$BE$154),0)</f>
        <v>0</v>
      </c>
      <c r="IP13" s="781">
        <f>IFERROR(SUMPRODUCT(('ANALYSE - ERP =&gt; SOUS-SEGMENT'!$B$8:$B$154=$B13)*'ANALYSE - ERP =&gt; SOUS-SEGMENT'!$Q$8:$Q$154*'ANALYSE - ERP =&gt; SOUS-SEGMENT'!$BE$8:$BE$154*'ANALYSE - ERP =&gt; SOUS-SEGMENT'!$IS$8:$IS$154)/SUMPRODUCT(('ANALYSE - ERP =&gt; SOUS-SEGMENT'!$B$8:$B$154=$B13)*'ANALYSE - ERP =&gt; SOUS-SEGMENT'!$Q$8:$Q$154*'ANALYSE - ERP =&gt; SOUS-SEGMENT'!$BE$8:$BE$154),0)</f>
        <v>0</v>
      </c>
      <c r="IQ13" s="780">
        <f>IFERROR(SUMPRODUCT(('ANALYSE - ERP =&gt; SOUS-SEGMENT'!$B$8:$B$154=$B13)*'ANALYSE - ERP =&gt; SOUS-SEGMENT'!$Q$8:$Q$154*'ANALYSE - ERP =&gt; SOUS-SEGMENT'!$FB$8:$FB$154*'ANALYSE - ERP =&gt; SOUS-SEGMENT'!$IT$8:$IT$154)/SUMPRODUCT(('ANALYSE - ERP =&gt; SOUS-SEGMENT'!$B$8:$B$154=$B13)*'ANALYSE - ERP =&gt; SOUS-SEGMENT'!$Q$8:$Q$154*'ANALYSE - ERP =&gt; SOUS-SEGMENT'!$FB$8:$FB$154),0)</f>
        <v>0</v>
      </c>
      <c r="IR13" s="780">
        <f>IFERROR(SUMPRODUCT(('ANALYSE - ERP =&gt; SOUS-SEGMENT'!$B$8:$B$154=$B13)*'ANALYSE - ERP =&gt; SOUS-SEGMENT'!$Q$8:$Q$154*'ANALYSE - ERP =&gt; SOUS-SEGMENT'!$FB$8:$FB$154*'ANALYSE - ERP =&gt; SOUS-SEGMENT'!$IU$8:$IU$154)/SUMPRODUCT(('ANALYSE - ERP =&gt; SOUS-SEGMENT'!$B$8:$B$154=$B13)*'ANALYSE - ERP =&gt; SOUS-SEGMENT'!$Q$8:$Q$154*'ANALYSE - ERP =&gt; SOUS-SEGMENT'!$FB$8:$FB$154),0)</f>
        <v>0</v>
      </c>
      <c r="IS13" s="780">
        <f>IFERROR(SUMPRODUCT(('ANALYSE - ERP =&gt; SOUS-SEGMENT'!$B$8:$B$154=$B13)*'ANALYSE - ERP =&gt; SOUS-SEGMENT'!$Q$8:$Q$154*'ANALYSE - ERP =&gt; SOUS-SEGMENT'!$FB$8:$FB$154*'ANALYSE - ERP =&gt; SOUS-SEGMENT'!$IV$8:$IV$154)/SUMPRODUCT(('ANALYSE - ERP =&gt; SOUS-SEGMENT'!$B$8:$B$154=$B13)*'ANALYSE - ERP =&gt; SOUS-SEGMENT'!$Q$8:$Q$154*'ANALYSE - ERP =&gt; SOUS-SEGMENT'!$FB$8:$FB$154),0)</f>
        <v>0</v>
      </c>
      <c r="IT13" s="780">
        <f>IFERROR(SUMPRODUCT(('ANALYSE - ERP =&gt; SOUS-SEGMENT'!$B$8:$B$154=$B13)*'ANALYSE - ERP =&gt; SOUS-SEGMENT'!$Q$8:$Q$154*'ANALYSE - ERP =&gt; SOUS-SEGMENT'!$FB$8:$FB$154*'ANALYSE - ERP =&gt; SOUS-SEGMENT'!$IW$8:$IW$154)/SUMPRODUCT(('ANALYSE - ERP =&gt; SOUS-SEGMENT'!$B$8:$B$154=$B13)*'ANALYSE - ERP =&gt; SOUS-SEGMENT'!$Q$8:$Q$154*'ANALYSE - ERP =&gt; SOUS-SEGMENT'!$FB$8:$FB$154),0)</f>
        <v>0</v>
      </c>
      <c r="IU13" s="780">
        <f>IFERROR(SUMPRODUCT(('ANALYSE - ERP =&gt; SOUS-SEGMENT'!$B$8:$B$154=$B13)*'ANALYSE - ERP =&gt; SOUS-SEGMENT'!$Q$8:$Q$154*'ANALYSE - ERP =&gt; SOUS-SEGMENT'!$FB$8:$FB$154*'ANALYSE - ERP =&gt; SOUS-SEGMENT'!$IX$8:$IX$154)/SUMPRODUCT(('ANALYSE - ERP =&gt; SOUS-SEGMENT'!$B$8:$B$154=$B13)*'ANALYSE - ERP =&gt; SOUS-SEGMENT'!$Q$8:$Q$154*'ANALYSE - ERP =&gt; SOUS-SEGMENT'!$FB$8:$FB$154),0)</f>
        <v>0</v>
      </c>
      <c r="IV13" s="782">
        <f>IFERROR(SUMPRODUCT(('ANALYSE - ERP =&gt; SOUS-SEGMENT'!$B$8:$B$154=$B13)*'ANALYSE - ERP =&gt; SOUS-SEGMENT'!$Q$8:$Q$154*'ANALYSE - ERP =&gt; SOUS-SEGMENT'!$BF$8:$BF$154*'ANALYSE - ERP =&gt; SOUS-SEGMENT'!$IY$8:$IY$154)/SUMPRODUCT(('ANALYSE - ERP =&gt; SOUS-SEGMENT'!$B$8:$B$154=$B13)*'ANALYSE - ERP =&gt; SOUS-SEGMENT'!$Q$8:$Q$154*'ANALYSE - ERP =&gt; SOUS-SEGMENT'!$BF$8:$BF$154),0)</f>
        <v>0</v>
      </c>
      <c r="IW13" s="780">
        <f>IFERROR(SUMPRODUCT(('ANALYSE - ERP =&gt; SOUS-SEGMENT'!$B$8:$B$154=$B13)*'ANALYSE - ERP =&gt; SOUS-SEGMENT'!$Q$8:$Q$154*'ANALYSE - ERP =&gt; SOUS-SEGMENT'!$BF$8:$BF$154*'ANALYSE - ERP =&gt; SOUS-SEGMENT'!$IZ$8:$IZ$154)/SUMPRODUCT(('ANALYSE - ERP =&gt; SOUS-SEGMENT'!$B$8:$B$154=$B13)*'ANALYSE - ERP =&gt; SOUS-SEGMENT'!$Q$8:$Q$154*'ANALYSE - ERP =&gt; SOUS-SEGMENT'!$BF$8:$BF$154),0)</f>
        <v>0</v>
      </c>
      <c r="IX13" s="780">
        <f>IFERROR(SUMPRODUCT(('ANALYSE - ERP =&gt; SOUS-SEGMENT'!$B$8:$B$154=$B13)*'ANALYSE - ERP =&gt; SOUS-SEGMENT'!$Q$8:$Q$154*'ANALYSE - ERP =&gt; SOUS-SEGMENT'!$BF$8:$BF$154*'ANALYSE - ERP =&gt; SOUS-SEGMENT'!$JA$8:$JA$154)/SUMPRODUCT(('ANALYSE - ERP =&gt; SOUS-SEGMENT'!$B$8:$B$154=$B13)*'ANALYSE - ERP =&gt; SOUS-SEGMENT'!$Q$8:$Q$154*'ANALYSE - ERP =&gt; SOUS-SEGMENT'!$BF$8:$BF$154),0)</f>
        <v>0</v>
      </c>
      <c r="IY13" s="780">
        <f>IFERROR(SUMPRODUCT(('ANALYSE - ERP =&gt; SOUS-SEGMENT'!$B$8:$B$154=$B13)*'ANALYSE - ERP =&gt; SOUS-SEGMENT'!$Q$8:$Q$154*'ANALYSE - ERP =&gt; SOUS-SEGMENT'!$BF$8:$BF$154*'ANALYSE - ERP =&gt; SOUS-SEGMENT'!$JB$8:$JB$154)/SUMPRODUCT(('ANALYSE - ERP =&gt; SOUS-SEGMENT'!$B$8:$B$154=$B13)*'ANALYSE - ERP =&gt; SOUS-SEGMENT'!$Q$8:$Q$154*'ANALYSE - ERP =&gt; SOUS-SEGMENT'!$BF$8:$BF$154),0)</f>
        <v>0</v>
      </c>
      <c r="IZ13" s="781">
        <f>IFERROR(SUMPRODUCT(('ANALYSE - ERP =&gt; SOUS-SEGMENT'!$B$8:$B$154=$B13)*'ANALYSE - ERP =&gt; SOUS-SEGMENT'!$Q$8:$Q$154*'ANALYSE - ERP =&gt; SOUS-SEGMENT'!$BF$8:$BF$154*'ANALYSE - ERP =&gt; SOUS-SEGMENT'!$JC$8:$JC$154)/SUMPRODUCT(('ANALYSE - ERP =&gt; SOUS-SEGMENT'!$B$8:$B$154=$B13)*'ANALYSE - ERP =&gt; SOUS-SEGMENT'!$Q$8:$Q$154*'ANALYSE - ERP =&gt; SOUS-SEGMENT'!$BF$8:$BF$154),0)</f>
        <v>0</v>
      </c>
      <c r="JA13" s="780">
        <f>IFERROR(SUMPRODUCT(('ANALYSE - ERP =&gt; SOUS-SEGMENT'!$B$8:$B$154=$B13)*'ANALYSE - ERP =&gt; SOUS-SEGMENT'!$Q$8:$Q$154*'ANALYSE - ERP =&gt; SOUS-SEGMENT'!$FE$8:$FE$154*'ANALYSE - ERP =&gt; SOUS-SEGMENT'!$JD$8:$JD$154)/SUMPRODUCT(('ANALYSE - ERP =&gt; SOUS-SEGMENT'!$B$8:$B$154=$B13)*'ANALYSE - ERP =&gt; SOUS-SEGMENT'!$Q$8:$Q$154*'ANALYSE - ERP =&gt; SOUS-SEGMENT'!$FE$8:$FE$154),0)</f>
        <v>0</v>
      </c>
      <c r="JB13" s="780">
        <f>IFERROR(SUMPRODUCT(('ANALYSE - ERP =&gt; SOUS-SEGMENT'!$B$8:$B$154=$B13)*'ANALYSE - ERP =&gt; SOUS-SEGMENT'!$Q$8:$Q$154*'ANALYSE - ERP =&gt; SOUS-SEGMENT'!$FE$8:$FE$154*'ANALYSE - ERP =&gt; SOUS-SEGMENT'!$JE$8:$JE$154)/SUMPRODUCT(('ANALYSE - ERP =&gt; SOUS-SEGMENT'!$B$8:$B$154=$B13)*'ANALYSE - ERP =&gt; SOUS-SEGMENT'!$Q$8:$Q$154*'ANALYSE - ERP =&gt; SOUS-SEGMENT'!$FE$8:$FE$154),0)</f>
        <v>0</v>
      </c>
      <c r="JC13" s="780">
        <f>IFERROR(SUMPRODUCT(('ANALYSE - ERP =&gt; SOUS-SEGMENT'!$B$8:$B$154=$B13)*'ANALYSE - ERP =&gt; SOUS-SEGMENT'!$Q$8:$Q$154*'ANALYSE - ERP =&gt; SOUS-SEGMENT'!$FE$8:$FE$154*'ANALYSE - ERP =&gt; SOUS-SEGMENT'!$JF$8:$JF$154)/SUMPRODUCT(('ANALYSE - ERP =&gt; SOUS-SEGMENT'!$B$8:$B$154=$B13)*'ANALYSE - ERP =&gt; SOUS-SEGMENT'!$Q$8:$Q$154*'ANALYSE - ERP =&gt; SOUS-SEGMENT'!$FE$8:$FE$154),0)</f>
        <v>0</v>
      </c>
      <c r="JD13" s="780">
        <f>IFERROR(SUMPRODUCT(('ANALYSE - ERP =&gt; SOUS-SEGMENT'!$B$8:$B$154=$B13)*'ANALYSE - ERP =&gt; SOUS-SEGMENT'!$Q$8:$Q$154*'ANALYSE - ERP =&gt; SOUS-SEGMENT'!$FE$8:$FE$154*'ANALYSE - ERP =&gt; SOUS-SEGMENT'!$JG$8:$JG$154)/SUMPRODUCT(('ANALYSE - ERP =&gt; SOUS-SEGMENT'!$B$8:$B$154=$B13)*'ANALYSE - ERP =&gt; SOUS-SEGMENT'!$Q$8:$Q$154*'ANALYSE - ERP =&gt; SOUS-SEGMENT'!$FE$8:$FE$154),0)</f>
        <v>0</v>
      </c>
      <c r="JE13" s="780">
        <f>IFERROR(SUMPRODUCT(('ANALYSE - ERP =&gt; SOUS-SEGMENT'!$B$8:$B$154=$B13)*'ANALYSE - ERP =&gt; SOUS-SEGMENT'!$Q$8:$Q$154*'ANALYSE - ERP =&gt; SOUS-SEGMENT'!$FE$8:$FE$154*'ANALYSE - ERP =&gt; SOUS-SEGMENT'!$JH$8:$JH$154)/SUMPRODUCT(('ANALYSE - ERP =&gt; SOUS-SEGMENT'!$B$8:$B$154=$B13)*'ANALYSE - ERP =&gt; SOUS-SEGMENT'!$Q$8:$Q$154*'ANALYSE - ERP =&gt; SOUS-SEGMENT'!$FE$8:$FE$154),0)</f>
        <v>0</v>
      </c>
      <c r="JF13" s="782">
        <f>IFERROR(SUMPRODUCT(('ANALYSE - ERP =&gt; SOUS-SEGMENT'!$B$8:$B$154=$B13)*'ANALYSE - ERP =&gt; SOUS-SEGMENT'!$Q$8:$Q$154*'ANALYSE - ERP =&gt; SOUS-SEGMENT'!$BG$8:$BG$154*'ANALYSE - ERP =&gt; SOUS-SEGMENT'!$JI$8:$JI$154)/SUMPRODUCT(('ANALYSE - ERP =&gt; SOUS-SEGMENT'!$B$8:$B$154=$B13)*'ANALYSE - ERP =&gt; SOUS-SEGMENT'!$Q$8:$Q$154*'ANALYSE - ERP =&gt; SOUS-SEGMENT'!$BG$8:$BG$154),0)</f>
        <v>0</v>
      </c>
      <c r="JG13" s="780">
        <f>IFERROR(SUMPRODUCT(('ANALYSE - ERP =&gt; SOUS-SEGMENT'!$B$8:$B$154=$B13)*'ANALYSE - ERP =&gt; SOUS-SEGMENT'!$Q$8:$Q$154*'ANALYSE - ERP =&gt; SOUS-SEGMENT'!$BG$8:$BG$154*'ANALYSE - ERP =&gt; SOUS-SEGMENT'!$JJ$8:$JJ$154)/SUMPRODUCT(('ANALYSE - ERP =&gt; SOUS-SEGMENT'!$B$8:$B$154=$B13)*'ANALYSE - ERP =&gt; SOUS-SEGMENT'!$Q$8:$Q$154*'ANALYSE - ERP =&gt; SOUS-SEGMENT'!$BG$8:$BG$154),0)</f>
        <v>0</v>
      </c>
      <c r="JH13" s="780">
        <f>IFERROR(SUMPRODUCT(('ANALYSE - ERP =&gt; SOUS-SEGMENT'!$B$8:$B$154=$B13)*'ANALYSE - ERP =&gt; SOUS-SEGMENT'!$Q$8:$Q$154*'ANALYSE - ERP =&gt; SOUS-SEGMENT'!$BG$8:$BG$154*'ANALYSE - ERP =&gt; SOUS-SEGMENT'!$JK$8:$JK$154)/SUMPRODUCT(('ANALYSE - ERP =&gt; SOUS-SEGMENT'!$B$8:$B$154=$B13)*'ANALYSE - ERP =&gt; SOUS-SEGMENT'!$Q$8:$Q$154*'ANALYSE - ERP =&gt; SOUS-SEGMENT'!$BG$8:$BG$154),0)</f>
        <v>0</v>
      </c>
      <c r="JI13" s="780">
        <f>IFERROR(SUMPRODUCT(('ANALYSE - ERP =&gt; SOUS-SEGMENT'!$B$8:$B$154=$B13)*'ANALYSE - ERP =&gt; SOUS-SEGMENT'!$Q$8:$Q$154*'ANALYSE - ERP =&gt; SOUS-SEGMENT'!$BG$8:$BG$154*'ANALYSE - ERP =&gt; SOUS-SEGMENT'!$JL$8:$JL$154)/SUMPRODUCT(('ANALYSE - ERP =&gt; SOUS-SEGMENT'!$B$8:$B$154=$B13)*'ANALYSE - ERP =&gt; SOUS-SEGMENT'!$Q$8:$Q$154*'ANALYSE - ERP =&gt; SOUS-SEGMENT'!$BG$8:$BG$154),0)</f>
        <v>0</v>
      </c>
      <c r="JJ13" s="781">
        <f>IFERROR(SUMPRODUCT(('ANALYSE - ERP =&gt; SOUS-SEGMENT'!$B$8:$B$154=$B13)*'ANALYSE - ERP =&gt; SOUS-SEGMENT'!$Q$8:$Q$154*'ANALYSE - ERP =&gt; SOUS-SEGMENT'!$BG$8:$BG$154*'ANALYSE - ERP =&gt; SOUS-SEGMENT'!$JM$8:$JM$154)/SUMPRODUCT(('ANALYSE - ERP =&gt; SOUS-SEGMENT'!$B$8:$B$154=$B13)*'ANALYSE - ERP =&gt; SOUS-SEGMENT'!$Q$8:$Q$154*'ANALYSE - ERP =&gt; SOUS-SEGMENT'!$BG$8:$BG$154),0)</f>
        <v>0</v>
      </c>
      <c r="JK13" s="780">
        <f>IFERROR(SUMPRODUCT(('ANALYSE - ERP =&gt; SOUS-SEGMENT'!$B$8:$B$154=$B13)*'ANALYSE - ERP =&gt; SOUS-SEGMENT'!$Q$8:$Q$154*'ANALYSE - ERP =&gt; SOUS-SEGMENT'!$FH$8:$FH$154*'ANALYSE - ERP =&gt; SOUS-SEGMENT'!$JN$8:$JN$154)/SUMPRODUCT(('ANALYSE - ERP =&gt; SOUS-SEGMENT'!$B$8:$B$154=$B13)*'ANALYSE - ERP =&gt; SOUS-SEGMENT'!$Q$8:$Q$154*'ANALYSE - ERP =&gt; SOUS-SEGMENT'!$FH$8:$FH$154),0)</f>
        <v>0</v>
      </c>
      <c r="JL13" s="780">
        <f>IFERROR(SUMPRODUCT(('ANALYSE - ERP =&gt; SOUS-SEGMENT'!$B$8:$B$154=$B13)*'ANALYSE - ERP =&gt; SOUS-SEGMENT'!$Q$8:$Q$154*'ANALYSE - ERP =&gt; SOUS-SEGMENT'!$FH$8:$FH$154*'ANALYSE - ERP =&gt; SOUS-SEGMENT'!$JO$8:$JO$154)/SUMPRODUCT(('ANALYSE - ERP =&gt; SOUS-SEGMENT'!$B$8:$B$154=$B13)*'ANALYSE - ERP =&gt; SOUS-SEGMENT'!$Q$8:$Q$154*'ANALYSE - ERP =&gt; SOUS-SEGMENT'!$FH$8:$FH$154),0)</f>
        <v>0</v>
      </c>
      <c r="JM13" s="780">
        <f>IFERROR(SUMPRODUCT(('ANALYSE - ERP =&gt; SOUS-SEGMENT'!$B$8:$B$154=$B13)*'ANALYSE - ERP =&gt; SOUS-SEGMENT'!$Q$8:$Q$154*'ANALYSE - ERP =&gt; SOUS-SEGMENT'!$FH$8:$FH$154*'ANALYSE - ERP =&gt; SOUS-SEGMENT'!$JP$8:$JP$154)/SUMPRODUCT(('ANALYSE - ERP =&gt; SOUS-SEGMENT'!$B$8:$B$154=$B13)*'ANALYSE - ERP =&gt; SOUS-SEGMENT'!$Q$8:$Q$154*'ANALYSE - ERP =&gt; SOUS-SEGMENT'!$FH$8:$FH$154),0)</f>
        <v>0</v>
      </c>
      <c r="JN13" s="780">
        <f>IFERROR(SUMPRODUCT(('ANALYSE - ERP =&gt; SOUS-SEGMENT'!$B$8:$B$154=$B13)*'ANALYSE - ERP =&gt; SOUS-SEGMENT'!$Q$8:$Q$154*'ANALYSE - ERP =&gt; SOUS-SEGMENT'!$FH$8:$FH$154*'ANALYSE - ERP =&gt; SOUS-SEGMENT'!$JQ$8:$JQ$154)/SUMPRODUCT(('ANALYSE - ERP =&gt; SOUS-SEGMENT'!$B$8:$B$154=$B13)*'ANALYSE - ERP =&gt; SOUS-SEGMENT'!$Q$8:$Q$154*'ANALYSE - ERP =&gt; SOUS-SEGMENT'!$FH$8:$FH$154),0)</f>
        <v>0</v>
      </c>
      <c r="JO13" s="780">
        <f>IFERROR(SUMPRODUCT(('ANALYSE - ERP =&gt; SOUS-SEGMENT'!$B$8:$B$154=$B13)*'ANALYSE - ERP =&gt; SOUS-SEGMENT'!$Q$8:$Q$154*'ANALYSE - ERP =&gt; SOUS-SEGMENT'!$FH$8:$FH$154*'ANALYSE - ERP =&gt; SOUS-SEGMENT'!$JR$8:$JR$154)/SUMPRODUCT(('ANALYSE - ERP =&gt; SOUS-SEGMENT'!$B$8:$B$154=$B13)*'ANALYSE - ERP =&gt; SOUS-SEGMENT'!$Q$8:$Q$154*'ANALYSE - ERP =&gt; SOUS-SEGMENT'!$FH$8:$FH$154),0)</f>
        <v>0</v>
      </c>
      <c r="JP13" s="782">
        <f>IFERROR(SUMPRODUCT(('ANALYSE - ERP =&gt; SOUS-SEGMENT'!$B$8:$B$154=$B13)*'ANALYSE - ERP =&gt; SOUS-SEGMENT'!$Q$8:$Q$154*'ANALYSE - ERP =&gt; SOUS-SEGMENT'!$BH$8:$BH$154*'ANALYSE - ERP =&gt; SOUS-SEGMENT'!$JS$8:$JS$154)/SUMPRODUCT(('ANALYSE - ERP =&gt; SOUS-SEGMENT'!$B$8:$B$154=$B13)*'ANALYSE - ERP =&gt; SOUS-SEGMENT'!$Q$8:$Q$154*'ANALYSE - ERP =&gt; SOUS-SEGMENT'!$BH$8:$BH$154),0)</f>
        <v>0</v>
      </c>
      <c r="JQ13" s="780">
        <f>IFERROR(SUMPRODUCT(('ANALYSE - ERP =&gt; SOUS-SEGMENT'!$B$8:$B$154=$B13)*'ANALYSE - ERP =&gt; SOUS-SEGMENT'!$Q$8:$Q$154*'ANALYSE - ERP =&gt; SOUS-SEGMENT'!$BH$8:$BH$154*'ANALYSE - ERP =&gt; SOUS-SEGMENT'!$JT$8:$JT$154)/SUMPRODUCT(('ANALYSE - ERP =&gt; SOUS-SEGMENT'!$B$8:$B$154=$B13)*'ANALYSE - ERP =&gt; SOUS-SEGMENT'!$Q$8:$Q$154*'ANALYSE - ERP =&gt; SOUS-SEGMENT'!$BH$8:$BH$154),0)</f>
        <v>0</v>
      </c>
      <c r="JR13" s="780">
        <f>IFERROR(SUMPRODUCT(('ANALYSE - ERP =&gt; SOUS-SEGMENT'!$B$8:$B$154=$B13)*'ANALYSE - ERP =&gt; SOUS-SEGMENT'!$Q$8:$Q$154*'ANALYSE - ERP =&gt; SOUS-SEGMENT'!$BH$8:$BH$154*'ANALYSE - ERP =&gt; SOUS-SEGMENT'!$JU$8:$JU$154)/SUMPRODUCT(('ANALYSE - ERP =&gt; SOUS-SEGMENT'!$B$8:$B$154=$B13)*'ANALYSE - ERP =&gt; SOUS-SEGMENT'!$Q$8:$Q$154*'ANALYSE - ERP =&gt; SOUS-SEGMENT'!$BH$8:$BH$154),0)</f>
        <v>0</v>
      </c>
      <c r="JS13" s="780">
        <f>IFERROR(SUMPRODUCT(('ANALYSE - ERP =&gt; SOUS-SEGMENT'!$B$8:$B$154=$B13)*'ANALYSE - ERP =&gt; SOUS-SEGMENT'!$Q$8:$Q$154*'ANALYSE - ERP =&gt; SOUS-SEGMENT'!$BH$8:$BH$154*'ANALYSE - ERP =&gt; SOUS-SEGMENT'!$JV$8:$JV$154)/SUMPRODUCT(('ANALYSE - ERP =&gt; SOUS-SEGMENT'!$B$8:$B$154=$B13)*'ANALYSE - ERP =&gt; SOUS-SEGMENT'!$Q$8:$Q$154*'ANALYSE - ERP =&gt; SOUS-SEGMENT'!$BH$8:$BH$154),0)</f>
        <v>0</v>
      </c>
      <c r="JT13" s="781">
        <f>IFERROR(SUMPRODUCT(('ANALYSE - ERP =&gt; SOUS-SEGMENT'!$B$8:$B$154=$B13)*'ANALYSE - ERP =&gt; SOUS-SEGMENT'!$Q$8:$Q$154*'ANALYSE - ERP =&gt; SOUS-SEGMENT'!$BH$8:$BH$154*'ANALYSE - ERP =&gt; SOUS-SEGMENT'!$JW$8:$JW$154)/SUMPRODUCT(('ANALYSE - ERP =&gt; SOUS-SEGMENT'!$B$8:$B$154=$B13)*'ANALYSE - ERP =&gt; SOUS-SEGMENT'!$Q$8:$Q$154*'ANALYSE - ERP =&gt; SOUS-SEGMENT'!$BH$8:$BH$154),0)</f>
        <v>0</v>
      </c>
      <c r="JU13" s="782">
        <f>IFERROR(SUMPRODUCT(('ANALYSE - ERP =&gt; SOUS-SEGMENT'!$B$8:$B$154=$B13)*'ANALYSE - ERP =&gt; SOUS-SEGMENT'!$Q$8:$Q$154*'ANALYSE - ERP =&gt; SOUS-SEGMENT'!$FK$8:$FK$154*'ANALYSE - ERP =&gt; SOUS-SEGMENT'!$JX$8:$JX$154)/SUMPRODUCT(('ANALYSE - ERP =&gt; SOUS-SEGMENT'!$B$8:$B$154=$B13)*'ANALYSE - ERP =&gt; SOUS-SEGMENT'!$Q$8:$Q$154*'ANALYSE - ERP =&gt; SOUS-SEGMENT'!$FK$8:$FK$154),0)</f>
        <v>0</v>
      </c>
      <c r="JV13" s="780">
        <f>IFERROR(SUMPRODUCT(('ANALYSE - ERP =&gt; SOUS-SEGMENT'!$B$8:$B$154=$B13)*'ANALYSE - ERP =&gt; SOUS-SEGMENT'!$Q$8:$Q$154*'ANALYSE - ERP =&gt; SOUS-SEGMENT'!$FK$8:$FK$154*'ANALYSE - ERP =&gt; SOUS-SEGMENT'!$JY$8:$JY$154)/SUMPRODUCT(('ANALYSE - ERP =&gt; SOUS-SEGMENT'!$B$8:$B$154=$B13)*'ANALYSE - ERP =&gt; SOUS-SEGMENT'!$Q$8:$Q$154*'ANALYSE - ERP =&gt; SOUS-SEGMENT'!$FK$8:$FK$154),0)</f>
        <v>0</v>
      </c>
      <c r="JW13" s="780">
        <f>IFERROR(SUMPRODUCT(('ANALYSE - ERP =&gt; SOUS-SEGMENT'!$B$8:$B$154=$B13)*'ANALYSE - ERP =&gt; SOUS-SEGMENT'!$Q$8:$Q$154*'ANALYSE - ERP =&gt; SOUS-SEGMENT'!$FK$8:$FK$154*'ANALYSE - ERP =&gt; SOUS-SEGMENT'!$JZ$8:$JZ$154)/SUMPRODUCT(('ANALYSE - ERP =&gt; SOUS-SEGMENT'!$B$8:$B$154=$B13)*'ANALYSE - ERP =&gt; SOUS-SEGMENT'!$Q$8:$Q$154*'ANALYSE - ERP =&gt; SOUS-SEGMENT'!$FK$8:$FK$154),0)</f>
        <v>0</v>
      </c>
      <c r="JX13" s="780">
        <f>IFERROR(SUMPRODUCT(('ANALYSE - ERP =&gt; SOUS-SEGMENT'!$B$8:$B$154=$B13)*'ANALYSE - ERP =&gt; SOUS-SEGMENT'!$Q$8:$Q$154*'ANALYSE - ERP =&gt; SOUS-SEGMENT'!$FK$8:$FK$154*'ANALYSE - ERP =&gt; SOUS-SEGMENT'!$KA$8:$KA$154)/SUMPRODUCT(('ANALYSE - ERP =&gt; SOUS-SEGMENT'!$B$8:$B$154=$B13)*'ANALYSE - ERP =&gt; SOUS-SEGMENT'!$Q$8:$Q$154*'ANALYSE - ERP =&gt; SOUS-SEGMENT'!$FK$8:$FK$154),0)</f>
        <v>0</v>
      </c>
      <c r="JY13" s="783">
        <f>IFERROR(SUMPRODUCT(('ANALYSE - ERP =&gt; SOUS-SEGMENT'!$B$8:$B$154=$B13)*'ANALYSE - ERP =&gt; SOUS-SEGMENT'!$Q$8:$Q$154*'ANALYSE - ERP =&gt; SOUS-SEGMENT'!$FK$8:$FK$154*'ANALYSE - ERP =&gt; SOUS-SEGMENT'!$KB$8:$KB$154)/SUMPRODUCT(('ANALYSE - ERP =&gt; SOUS-SEGMENT'!$B$8:$B$154=$B13)*'ANALYSE - ERP =&gt; SOUS-SEGMENT'!$Q$8:$Q$154*'ANALYSE - ERP =&gt; SOUS-SEGMENT'!$FK$8:$FK$154),0)</f>
        <v>0</v>
      </c>
      <c r="JZ13" s="657"/>
      <c r="KA13" s="298" t="s">
        <v>2591</v>
      </c>
      <c r="KB13" s="298" t="s">
        <v>2625</v>
      </c>
      <c r="KC13" s="888" t="str">
        <f>IFERROR(SUMPRODUCT(('ANALYSE - ERP =&gt; SOUS-SEGMENT'!$B$8:$B$154=$B13)*'ANALYSE - ERP =&gt; SOUS-SEGMENT'!$Q$8:$Q$154*'ANALYSE - ERP =&gt; SOUS-SEGMENT'!$EX$8:$EX$154*'ANALYSE - ERP =&gt; SOUS-SEGMENT'!$KF$8:$KF$154)/SUMPRODUCT(('ANALYSE - ERP =&gt; SOUS-SEGMENT'!$B$8:$B$154=$B13)*'ANALYSE - ERP =&gt; SOUS-SEGMENT'!$Q$8:$Q$154*'ANALYSE - ERP =&gt; SOUS-SEGMENT'!$EX$8:$EX$154),"")</f>
        <v/>
      </c>
      <c r="KD13" s="298" t="s">
        <v>2589</v>
      </c>
      <c r="KE13" s="300" t="s">
        <v>7143</v>
      </c>
      <c r="KF13" s="300" t="s">
        <v>7559</v>
      </c>
      <c r="KG13" s="300" t="s">
        <v>7559</v>
      </c>
    </row>
    <row r="14" spans="1:293" ht="178.5" customHeight="1">
      <c r="A14" s="273">
        <v>7</v>
      </c>
      <c r="B14" s="487" t="s">
        <v>2278</v>
      </c>
      <c r="C14" s="487" t="s">
        <v>7608</v>
      </c>
      <c r="D14" s="487" t="s">
        <v>7609</v>
      </c>
      <c r="E14" s="275" t="s">
        <v>7610</v>
      </c>
      <c r="F14" s="275" t="s">
        <v>7215</v>
      </c>
      <c r="G14" s="275" t="s">
        <v>6790</v>
      </c>
      <c r="H14" s="275" t="s">
        <v>2117</v>
      </c>
      <c r="I14" s="296" t="s">
        <v>7611</v>
      </c>
      <c r="J14" s="296" t="s">
        <v>7612</v>
      </c>
      <c r="K14" s="277" t="s">
        <v>2117</v>
      </c>
      <c r="L14" s="277" t="s">
        <v>2109</v>
      </c>
      <c r="M14" s="277" t="s">
        <v>2603</v>
      </c>
      <c r="N14" s="277" t="s">
        <v>6742</v>
      </c>
      <c r="O14" s="277" t="s">
        <v>2212</v>
      </c>
      <c r="P14" s="276"/>
      <c r="Q14" s="270">
        <f>IF(SUMPRODUCT(('ANALYSE - ERP =&gt; SOUS-SEGMENT'!$B$8:$B$154=$B14)*'ANALYSE - ERP =&gt; SOUS-SEGMENT'!$Q$8:$Q$154)&gt;0,1,0)</f>
        <v>1</v>
      </c>
      <c r="R14" s="278">
        <f>IFERROR(SUMPRODUCT(('ANALYSE - ERP =&gt; SOUS-SEGMENT'!$B$8:$B$154=$B14)*'ANALYSE - ERP =&gt; SOUS-SEGMENT'!$Q$8:$Q$154*'ANALYSE - ERP =&gt; SOUS-SEGMENT'!$AG$8:$AG$154*'ANALYSE - ERP =&gt; SOUS-SEGMENT'!$R$8:$R$154)/SUMPRODUCT(('ANALYSE - ERP =&gt; SOUS-SEGMENT'!$B$8:$B$154=$B14)*'ANALYSE - ERP =&gt; SOUS-SEGMENT'!$Q$8:$Q$154*'ANALYSE - ERP =&gt; SOUS-SEGMENT'!$AG$8:$AG$154),"")</f>
        <v>448.03451124952335</v>
      </c>
      <c r="S14" s="279">
        <f>SUMPRODUCT(('ANALYSE - ERP =&gt; SOUS-SEGMENT'!$B$8:$B$154=$B14)*'ANALYSE - ERP =&gt; SOUS-SEGMENT'!$Q$8:$Q$154*'ANALYSE - ERP =&gt; SOUS-SEGMENT'!$S$8:$S$154)</f>
        <v>58946</v>
      </c>
      <c r="T14" s="279">
        <f>SUMPRODUCT(('ANALYSE - ERP =&gt; SOUS-SEGMENT'!$B$8:$B$154=$B14)*'ANALYSE - ERP =&gt; SOUS-SEGMENT'!$Q$8:$Q$154*'ANALYSE - ERP =&gt; SOUS-SEGMENT'!$T$8:$T$154)</f>
        <v>60322</v>
      </c>
      <c r="U14" s="279">
        <f>SUMPRODUCT(('ANALYSE - ERP =&gt; SOUS-SEGMENT'!$B$8:$B$154=$B14)*'ANALYSE - ERP =&gt; SOUS-SEGMENT'!$Q$8:$Q$154*'ANALYSE - ERP =&gt; SOUS-SEGMENT'!$U$8:$U$154)</f>
        <v>60976</v>
      </c>
      <c r="V14" s="279">
        <f>SUMPRODUCT(('ANALYSE - ERP =&gt; SOUS-SEGMENT'!$B$8:$B$154=$B14)*'ANALYSE - ERP =&gt; SOUS-SEGMENT'!$Q$8:$Q$154*'ANALYSE - ERP =&gt; SOUS-SEGMENT'!$V$8:$V$154)</f>
        <v>61223</v>
      </c>
      <c r="W14" s="279">
        <f>SUMPRODUCT(('ANALYSE - ERP =&gt; SOUS-SEGMENT'!$B$8:$B$154=$B14)*'ANALYSE - ERP =&gt; SOUS-SEGMENT'!$Q$8:$Q$154*'ANALYSE - ERP =&gt; SOUS-SEGMENT'!$W$8:$W$154)</f>
        <v>61309</v>
      </c>
      <c r="X14" s="279">
        <f>SUMPRODUCT(('ANALYSE - ERP =&gt; SOUS-SEGMENT'!$B$8:$B$154=$B14)*'ANALYSE - ERP =&gt; SOUS-SEGMENT'!$Q$8:$Q$154*'ANALYSE - ERP =&gt; SOUS-SEGMENT'!$X$8:$X$154)</f>
        <v>60865</v>
      </c>
      <c r="Y14" s="279">
        <f>SUMPRODUCT(('ANALYSE - ERP =&gt; SOUS-SEGMENT'!$B$8:$B$154=$B14)*'ANALYSE - ERP =&gt; SOUS-SEGMENT'!$Q$8:$Q$154*'ANALYSE - ERP =&gt; SOUS-SEGMENT'!$Y$8:$Y$154)</f>
        <v>61244</v>
      </c>
      <c r="Z14" s="279">
        <f>SUMPRODUCT(('ANALYSE - ERP =&gt; SOUS-SEGMENT'!$B$8:$B$154=$B14)*'ANALYSE - ERP =&gt; SOUS-SEGMENT'!$Q$8:$Q$154*'ANALYSE - ERP =&gt; SOUS-SEGMENT'!$Z$8:$Z$154)</f>
        <v>61539</v>
      </c>
      <c r="AA14" s="279">
        <f>SUMPRODUCT(('ANALYSE - ERP =&gt; SOUS-SEGMENT'!$B$8:$B$154=$B14)*'ANALYSE - ERP =&gt; SOUS-SEGMENT'!$Q$8:$Q$154*'ANALYSE - ERP =&gt; SOUS-SEGMENT'!$AA$8:$AA$154)</f>
        <v>61714</v>
      </c>
      <c r="AB14" s="279">
        <f>SUMPRODUCT(('ANALYSE - ERP =&gt; SOUS-SEGMENT'!$B$8:$B$154=$B14)*'ANALYSE - ERP =&gt; SOUS-SEGMENT'!$Q$8:$Q$154*'ANALYSE - ERP =&gt; SOUS-SEGMENT'!$AB$8:$AB$154)</f>
        <v>61979</v>
      </c>
      <c r="AC14" s="279">
        <f>SUMPRODUCT(('ANALYSE - ERP =&gt; SOUS-SEGMENT'!$B$8:$B$154=$B14)*'ANALYSE - ERP =&gt; SOUS-SEGMENT'!$Q$8:$Q$154*'ANALYSE - ERP =&gt; SOUS-SEGMENT'!$AC$8:$AC$154)</f>
        <v>62338</v>
      </c>
      <c r="AD14" s="279">
        <f>SUMPRODUCT(('ANALYSE - ERP =&gt; SOUS-SEGMENT'!$B$8:$B$154=$B14)*'ANALYSE - ERP =&gt; SOUS-SEGMENT'!$Q$8:$Q$154*'ANALYSE - ERP =&gt; SOUS-SEGMENT'!$AD$8:$AD$154)</f>
        <v>62584</v>
      </c>
      <c r="AE14" s="279">
        <f>SUMPRODUCT(('ANALYSE - ERP =&gt; SOUS-SEGMENT'!$B$8:$B$154=$B14)*'ANALYSE - ERP =&gt; SOUS-SEGMENT'!$Q$8:$Q$154*'ANALYSE - ERP =&gt; SOUS-SEGMENT'!$AE$8:$AE$154)</f>
        <v>62826</v>
      </c>
      <c r="AF14" s="279">
        <f>SUMPRODUCT(('ANALYSE - ERP =&gt; SOUS-SEGMENT'!$B$8:$B$154=$B14)*'ANALYSE - ERP =&gt; SOUS-SEGMENT'!$Q$8:$Q$154*'ANALYSE - ERP =&gt; SOUS-SEGMENT'!$AF$8:$AF$154)</f>
        <v>62844</v>
      </c>
      <c r="AG14" s="279">
        <f>SUMPRODUCT(('ANALYSE - ERP =&gt; SOUS-SEGMENT'!$B$8:$B$154=$B14)*'ANALYSE - ERP =&gt; SOUS-SEGMENT'!$Q$8:$Q$154*'ANALYSE - ERP =&gt; SOUS-SEGMENT'!$AG$8:$AG$154)</f>
        <v>62936</v>
      </c>
      <c r="AH14" s="279">
        <f>SUMPRODUCT(('ANALYSE - ERP =&gt; SOUS-SEGMENT'!$B$8:$B$154=$B14)*'ANALYSE - ERP =&gt; SOUS-SEGMENT'!$Q$8:$Q$154*'ANALYSE - ERP =&gt; SOUS-SEGMENT'!$AH$8:$AH$154)</f>
        <v>63011</v>
      </c>
      <c r="AI14" s="279">
        <f>SUMPRODUCT(('ANALYSE - ERP =&gt; SOUS-SEGMENT'!$B$8:$B$154=$B14)*'ANALYSE - ERP =&gt; SOUS-SEGMENT'!$Q$8:$Q$154*'ANALYSE - ERP =&gt; SOUS-SEGMENT'!$AI$8:$AI$154)</f>
        <v>63084</v>
      </c>
      <c r="AJ14" s="279">
        <f>SUMPRODUCT(('ANALYSE - ERP =&gt; SOUS-SEGMENT'!$B$8:$B$154=$B14)*'ANALYSE - ERP =&gt; SOUS-SEGMENT'!$Q$8:$Q$154*'ANALYSE - ERP =&gt; SOUS-SEGMENT'!$AJ$8:$AJ$154)</f>
        <v>63145</v>
      </c>
      <c r="AK14" s="279">
        <f>SUMPRODUCT(('ANALYSE - ERP =&gt; SOUS-SEGMENT'!$B$8:$B$154=$B14)*'ANALYSE - ERP =&gt; SOUS-SEGMENT'!$Q$8:$Q$154*'ANALYSE - ERP =&gt; SOUS-SEGMENT'!$AK$8:$AK$154)</f>
        <v>63207</v>
      </c>
      <c r="AL14" s="276" t="s">
        <v>7559</v>
      </c>
      <c r="AM14" s="276" t="s">
        <v>7559</v>
      </c>
      <c r="AN14" s="276" t="s">
        <v>7613</v>
      </c>
      <c r="AO14" s="657"/>
      <c r="AP14" s="278">
        <f>IFERROR(SUMPRODUCT(('ANALYSE - ERP =&gt; SOUS-SEGMENT'!$B$8:$B$154=$B14)*'ANALYSE - ERP =&gt; SOUS-SEGMENT'!$Q$8:$Q$154*'ANALYSE - ERP =&gt; SOUS-SEGMENT'!$AG$8:$AG$154*'ANALYSE - ERP =&gt; SOUS-SEGMENT'!$AP$8:$AP$154)/SUMPRODUCT(('ANALYSE - ERP =&gt; SOUS-SEGMENT'!$B$8:$B$154=$B14)*'ANALYSE - ERP =&gt; SOUS-SEGMENT'!$Q$8:$Q$154*'ANALYSE - ERP =&gt; SOUS-SEGMENT'!$AG$8:$AG$154),"")</f>
        <v>59.509740053387567</v>
      </c>
      <c r="AQ14" s="278">
        <f>IFERROR(SUMPRODUCT(('ANALYSE - ERP =&gt; SOUS-SEGMENT'!$B$8:$B$154=$B14)*'ANALYSE - ERP =&gt; SOUS-SEGMENT'!$Q$8:$Q$154*'ANALYSE - ERP =&gt; SOUS-SEGMENT'!$AF$8:$AF$154*'ANALYSE - ERP =&gt; SOUS-SEGMENT'!$AQ$8:$AQ$154)/SUMPRODUCT(('ANALYSE - ERP =&gt; SOUS-SEGMENT'!$B$8:$B$154=$B14)*'ANALYSE - ERP =&gt; SOUS-SEGMENT'!$Q$8:$Q$154*'ANALYSE - ERP =&gt; SOUS-SEGMENT'!$AF$8:$AF$154),"")</f>
        <v>45.064063395073518</v>
      </c>
      <c r="AR14" s="973">
        <f>IFERROR(SUMPRODUCT(('ANALYSE - ERP =&gt; SOUS-SEGMENT'!$B$8:$B$154=$B14)*'ANALYSE - ERP =&gt; SOUS-SEGMENT'!$Q$8:$Q$154*'ANALYSE - ERP =&gt; SOUS-SEGMENT'!$AF$8:$AF$154*'ANALYSE - ERP =&gt; SOUS-SEGMENT'!$AR$8:$AR$154)/SUMPRODUCT(('ANALYSE - ERP =&gt; SOUS-SEGMENT'!$B$8:$B$154=$B14)*'ANALYSE - ERP =&gt; SOUS-SEGMENT'!$Q$8:$Q$154*'ANALYSE - ERP =&gt; SOUS-SEGMENT'!$AF$8:$AF$154),"")</f>
        <v>11.333317420915282</v>
      </c>
      <c r="AS14" s="973">
        <f>IFERROR(SUMPRODUCT(('ANALYSE - ERP =&gt; SOUS-SEGMENT'!$B$8:$B$154=$B14)*'ANALYSE - ERP =&gt; SOUS-SEGMENT'!$Q$8:$Q$154*'ANALYSE - ERP =&gt; SOUS-SEGMENT'!$AF$8:$AF$154*'ANALYSE - ERP =&gt; SOUS-SEGMENT'!$AS$8:$AS$154)/SUMPRODUCT(('ANALYSE - ERP =&gt; SOUS-SEGMENT'!$B$8:$B$154=$B14)*'ANALYSE - ERP =&gt; SOUS-SEGMENT'!$Q$8:$Q$154*'ANALYSE - ERP =&gt; SOUS-SEGMENT'!$AF$8:$AF$154),"")</f>
        <v>3.1094933486092549</v>
      </c>
      <c r="AT14" s="657" t="s">
        <v>7614</v>
      </c>
      <c r="AU14" s="646" t="s">
        <v>7615</v>
      </c>
      <c r="AV14" s="646" t="s">
        <v>2609</v>
      </c>
      <c r="AW14" s="646" t="s">
        <v>7559</v>
      </c>
      <c r="AX14" s="657"/>
      <c r="AY14" s="282">
        <f>IFERROR(SUMPRODUCT(('ANALYSE - ERP =&gt; SOUS-SEGMENT'!$B$8:$B$154=$B14)*'ANALYSE - ERP =&gt; SOUS-SEGMENT'!$Q$8:$Q$154*'ANALYSE - ERP =&gt; SOUS-SEGMENT'!$AF$8:$AF$154*'ANALYSE - ERP =&gt; SOUS-SEGMENT'!$AZ$8:$AZ$154)/SUMPRODUCT(('ANALYSE - ERP =&gt; SOUS-SEGMENT'!$B$8:$B$154=$B14)*'ANALYSE - ERP =&gt; SOUS-SEGMENT'!$Q$8:$Q$154*'ANALYSE - ERP =&gt; SOUS-SEGMENT'!$AF$8:$AF$154),"")</f>
        <v>3.7092005601171154</v>
      </c>
      <c r="AZ14" s="947">
        <f>IFERROR(SUMPRODUCT(('ANALYSE - ERP =&gt; SOUS-SEGMENT'!$B$8:$B$154=$B14)*'ANALYSE - ERP =&gt; SOUS-SEGMENT'!$Q$8:$Q$154*'ANALYSE - ERP =&gt; SOUS-SEGMENT'!$AF$8:$AF$154*'ANALYSE - ERP =&gt; SOUS-SEGMENT'!$BA$8:$BA$154)/SUMPRODUCT(('ANALYSE - ERP =&gt; SOUS-SEGMENT'!$B$8:$B$154=$B14)*'ANALYSE - ERP =&gt; SOUS-SEGMENT'!$Q$8:$Q$154*'ANALYSE - ERP =&gt; SOUS-SEGMENT'!$AF$8:$AF$154),"")</f>
        <v>1.272993444083763E-2</v>
      </c>
      <c r="BA14" s="282">
        <f>IFERROR(SUMPRODUCT(('ANALYSE - ERP =&gt; SOUS-SEGMENT'!$B$8:$B$154=$B14)*'ANALYSE - ERP =&gt; SOUS-SEGMENT'!$Q$8:$Q$154*'ANALYSE - ERP =&gt; SOUS-SEGMENT'!$AF$8:$AF$154*'ANALYSE - ERP =&gt; SOUS-SEGMENT'!$BB$8:$BB$154)/SUMPRODUCT(('ANALYSE - ERP =&gt; SOUS-SEGMENT'!$B$8:$B$154=$B14)*'ANALYSE - ERP =&gt; SOUS-SEGMENT'!$Q$8:$Q$154*'ANALYSE - ERP =&gt; SOUS-SEGMENT'!$AF$8:$AF$154),"")</f>
        <v>0.53334924575138443</v>
      </c>
      <c r="BB14" s="282">
        <f>IFERROR(SUMPRODUCT(('ANALYSE - ERP =&gt; SOUS-SEGMENT'!$B$8:$B$154=$B14)*'ANALYSE - ERP =&gt; SOUS-SEGMENT'!$Q$8:$Q$154*'ANALYSE - ERP =&gt; SOUS-SEGMENT'!$AF$8:$AF$154*'ANALYSE - ERP =&gt; SOUS-SEGMENT'!$BC$8:$BC$154)/SUMPRODUCT(('ANALYSE - ERP =&gt; SOUS-SEGMENT'!$B$8:$B$154=$B14)*'ANALYSE - ERP =&gt; SOUS-SEGMENT'!$Q$8:$Q$154*'ANALYSE - ERP =&gt; SOUS-SEGMENT'!$AF$8:$AF$154),"")</f>
        <v>3.389679205652091</v>
      </c>
      <c r="BC14" s="283">
        <f>SUMPRODUCT(('ANALYSE - ERP =&gt; SOUS-SEGMENT'!$B$8:$B$154=$B14)*'ANALYSE - ERP =&gt; SOUS-SEGMENT'!$Q$8:$Q$154*'ANALYSE - ERP =&gt; SOUS-SEGMENT'!$BE$8:$BE$154)</f>
        <v>233101</v>
      </c>
      <c r="BD14" s="283">
        <f>SUMPRODUCT(('ANALYSE - ERP =&gt; SOUS-SEGMENT'!$B$8:$B$154=$B14)*'ANALYSE - ERP =&gt; SOUS-SEGMENT'!$Q$8:$Q$154*'ANALYSE - ERP =&gt; SOUS-SEGMENT'!$BF$8:$BF$154)</f>
        <v>800</v>
      </c>
      <c r="BE14" s="283">
        <f>SUMPRODUCT(('ANALYSE - ERP =&gt; SOUS-SEGMENT'!$B$8:$B$154=$B14)*'ANALYSE - ERP =&gt; SOUS-SEGMENT'!$Q$8:$Q$154*'ANALYSE - ERP =&gt; SOUS-SEGMENT'!$BG$8:$BG$154)</f>
        <v>33517.800000000003</v>
      </c>
      <c r="BF14" s="283">
        <f>SUMPRODUCT(('ANALYSE - ERP =&gt; SOUS-SEGMENT'!$B$8:$B$154=$B14)*'ANALYSE - ERP =&gt; SOUS-SEGMENT'!$Q$8:$Q$154*'ANALYSE - ERP =&gt; SOUS-SEGMENT'!$BH$8:$BH$154)</f>
        <v>213021</v>
      </c>
      <c r="BG14" s="283">
        <f>SUMPRODUCT(('ANALYSE - ERP =&gt; SOUS-SEGMENT'!$B$8:$B$154=$B14)*'ANALYSE - ERP =&gt; SOUS-SEGMENT'!$Q$8:$Q$154*'ANALYSE - ERP =&gt; SOUS-SEGMENT'!$BJ$8:$BJ$154)</f>
        <v>234772</v>
      </c>
      <c r="BH14" s="283">
        <f>SUMPRODUCT(('ANALYSE - ERP =&gt; SOUS-SEGMENT'!$B$8:$B$154=$B14)*'ANALYSE - ERP =&gt; SOUS-SEGMENT'!$Q$8:$Q$154*'ANALYSE - ERP =&gt; SOUS-SEGMENT'!$BK$8:$BK$154)</f>
        <v>750</v>
      </c>
      <c r="BI14" s="283">
        <f>SUMPRODUCT(('ANALYSE - ERP =&gt; SOUS-SEGMENT'!$B$8:$B$154=$B14)*'ANALYSE - ERP =&gt; SOUS-SEGMENT'!$Q$8:$Q$154*'ANALYSE - ERP =&gt; SOUS-SEGMENT'!$BL$8:$BL$154)</f>
        <v>33753</v>
      </c>
      <c r="BJ14" s="283">
        <f>SUMPRODUCT(('ANALYSE - ERP =&gt; SOUS-SEGMENT'!$B$8:$B$154=$B14)*'ANALYSE - ERP =&gt; SOUS-SEGMENT'!$Q$8:$Q$154*'ANALYSE - ERP =&gt; SOUS-SEGMENT'!$BM$8:$BM$154)</f>
        <v>214316</v>
      </c>
      <c r="BK14" s="657"/>
      <c r="BL14" s="577">
        <f>IFERROR(SUMPRODUCT(('ANALYSE - ERP =&gt; SOUS-SEGMENT'!$B$8:$B$154=$B14)*'ANALYSE - ERP =&gt; SOUS-SEGMENT'!$Q$8:$Q$154*'ANALYSE - ERP =&gt; SOUS-SEGMENT'!$BE$8:$BE$154*'ANALYSE - ERP =&gt; SOUS-SEGMENT'!$BO$8:$BO$154)/SUMPRODUCT(('ANALYSE - ERP =&gt; SOUS-SEGMENT'!$B$8:$B$154=$B14)*'ANALYSE - ERP =&gt; SOUS-SEGMENT'!$Q$8:$Q$154*'ANALYSE - ERP =&gt; SOUS-SEGMENT'!$BE$8:$BE$154),"")</f>
        <v>0.30721987464661243</v>
      </c>
      <c r="BM14" s="578">
        <f>IFERROR(SUMPRODUCT(('ANALYSE - ERP =&gt; SOUS-SEGMENT'!$B$8:$B$154=$B14)*'ANALYSE - ERP =&gt; SOUS-SEGMENT'!$Q$8:$Q$154*'ANALYSE - ERP =&gt; SOUS-SEGMENT'!$BE$8:$BE$154*'ANALYSE - ERP =&gt; SOUS-SEGMENT'!$BP$8:$BP$154)/SUMPRODUCT(('ANALYSE - ERP =&gt; SOUS-SEGMENT'!$B$8:$B$154=$B14)*'ANALYSE - ERP =&gt; SOUS-SEGMENT'!$Q$8:$Q$154*'ANALYSE - ERP =&gt; SOUS-SEGMENT'!$BE$8:$BE$154),"")</f>
        <v>0.5171619169372933</v>
      </c>
      <c r="BN14" s="578">
        <f>IFERROR(SUMPRODUCT(('ANALYSE - ERP =&gt; SOUS-SEGMENT'!$B$8:$B$154=$B14)*'ANALYSE - ERP =&gt; SOUS-SEGMENT'!$Q$8:$Q$154*'ANALYSE - ERP =&gt; SOUS-SEGMENT'!$BE$8:$BE$154*'ANALYSE - ERP =&gt; SOUS-SEGMENT'!$BQ$8:$BQ$154)/SUMPRODUCT(('ANALYSE - ERP =&gt; SOUS-SEGMENT'!$B$8:$B$154=$B14)*'ANALYSE - ERP =&gt; SOUS-SEGMENT'!$Q$8:$Q$154*'ANALYSE - ERP =&gt; SOUS-SEGMENT'!$BE$8:$BE$154),"")</f>
        <v>0.13305665784359572</v>
      </c>
      <c r="BO14" s="579">
        <f>IFERROR(SUMPRODUCT(('ANALYSE - ERP =&gt; SOUS-SEGMENT'!$B$8:$B$154=$B14)*'ANALYSE - ERP =&gt; SOUS-SEGMENT'!$Q$8:$Q$154*'ANALYSE - ERP =&gt; SOUS-SEGMENT'!$BE$8:$BE$154*'ANALYSE - ERP =&gt; SOUS-SEGMENT'!$BR$8:$BR$154)/SUMPRODUCT(('ANALYSE - ERP =&gt; SOUS-SEGMENT'!$B$8:$B$154=$B14)*'ANALYSE - ERP =&gt; SOUS-SEGMENT'!$Q$8:$Q$154*'ANALYSE - ERP =&gt; SOUS-SEGMENT'!$BE$8:$BE$154),"")</f>
        <v>4.2561550572498622E-2</v>
      </c>
      <c r="BP14" s="577">
        <f>IFERROR(SUMPRODUCT(('ANALYSE - ERP =&gt; SOUS-SEGMENT'!$B$8:$B$154=$B14)*'ANALYSE - ERP =&gt; SOUS-SEGMENT'!$Q$8:$Q$154*'ANALYSE - ERP =&gt; SOUS-SEGMENT'!$BJ$8:$BJ$154*'ANALYSE - ERP =&gt; SOUS-SEGMENT'!$BS$8:$BS$154)/SUMPRODUCT(('ANALYSE - ERP =&gt; SOUS-SEGMENT'!$B$8:$B$154=$B14)*'ANALYSE - ERP =&gt; SOUS-SEGMENT'!$Q$8:$Q$154*'ANALYSE - ERP =&gt; SOUS-SEGMENT'!$BJ$8:$BJ$154),"")</f>
        <v>0.26627246860784082</v>
      </c>
      <c r="BQ14" s="578">
        <f>IFERROR(SUMPRODUCT(('ANALYSE - ERP =&gt; SOUS-SEGMENT'!$B$8:$B$154=$B14)*'ANALYSE - ERP =&gt; SOUS-SEGMENT'!$Q$8:$Q$154*'ANALYSE - ERP =&gt; SOUS-SEGMENT'!$BJ$8:$BJ$154*'ANALYSE - ERP =&gt; SOUS-SEGMENT'!$BT$8:$BT$154)/SUMPRODUCT(('ANALYSE - ERP =&gt; SOUS-SEGMENT'!$B$8:$B$154=$B14)*'ANALYSE - ERP =&gt; SOUS-SEGMENT'!$Q$8:$Q$154*'ANALYSE - ERP =&gt; SOUS-SEGMENT'!$BJ$8:$BJ$154),"")</f>
        <v>0.52170033053345377</v>
      </c>
      <c r="BR14" s="578">
        <f>IFERROR(SUMPRODUCT(('ANALYSE - ERP =&gt; SOUS-SEGMENT'!$B$8:$B$154=$B14)*'ANALYSE - ERP =&gt; SOUS-SEGMENT'!$Q$8:$Q$154*'ANALYSE - ERP =&gt; SOUS-SEGMENT'!$BJ$8:$BJ$154*'ANALYSE - ERP =&gt; SOUS-SEGMENT'!$BU$8:$BU$154)/SUMPRODUCT(('ANALYSE - ERP =&gt; SOUS-SEGMENT'!$B$8:$B$154=$B14)*'ANALYSE - ERP =&gt; SOUS-SEGMENT'!$Q$8:$Q$154*'ANALYSE - ERP =&gt; SOUS-SEGMENT'!$BJ$8:$BJ$154),"")</f>
        <v>0.17802949244373265</v>
      </c>
      <c r="BS14" s="579">
        <f>IFERROR(SUMPRODUCT(('ANALYSE - ERP =&gt; SOUS-SEGMENT'!$B$8:$B$154=$B14)*'ANALYSE - ERP =&gt; SOUS-SEGMENT'!$Q$8:$Q$154*'ANALYSE - ERP =&gt; SOUS-SEGMENT'!$BJ$8:$BJ$154*'ANALYSE - ERP =&gt; SOUS-SEGMENT'!$BV$8:$BV$154)/SUMPRODUCT(('ANALYSE - ERP =&gt; SOUS-SEGMENT'!$B$8:$B$154=$B14)*'ANALYSE - ERP =&gt; SOUS-SEGMENT'!$Q$8:$Q$154*'ANALYSE - ERP =&gt; SOUS-SEGMENT'!$BJ$8:$BJ$154),"")</f>
        <v>3.3997708414972821E-2</v>
      </c>
      <c r="BT14" s="586">
        <f>IFERROR(SUMPRODUCT(('ANALYSE - ERP =&gt; SOUS-SEGMENT'!$B$8:$B$154=$B14)*'ANALYSE - ERP =&gt; SOUS-SEGMENT'!$Q$8:$Q$154*'ANALYSE - ERP =&gt; SOUS-SEGMENT'!$BF$8:$BF$154*'ANALYSE - ERP =&gt; SOUS-SEGMENT'!$BW$8:$BW$154)/SUMPRODUCT(('ANALYSE - ERP =&gt; SOUS-SEGMENT'!$B$8:$B$154=$B14)*'ANALYSE - ERP =&gt; SOUS-SEGMENT'!$Q$8:$Q$154*'ANALYSE - ERP =&gt; SOUS-SEGMENT'!$BF$8:$BF$154),"")</f>
        <v>0.15</v>
      </c>
      <c r="BU14" s="587">
        <f>IFERROR(SUMPRODUCT(('ANALYSE - ERP =&gt; SOUS-SEGMENT'!$B$8:$B$154=$B14)*'ANALYSE - ERP =&gt; SOUS-SEGMENT'!$Q$8:$Q$154*'ANALYSE - ERP =&gt; SOUS-SEGMENT'!$BF$8:$BF$154*'ANALYSE - ERP =&gt; SOUS-SEGMENT'!$BX$8:$BX$154)/SUMPRODUCT(('ANALYSE - ERP =&gt; SOUS-SEGMENT'!$B$8:$B$154=$B14)*'ANALYSE - ERP =&gt; SOUS-SEGMENT'!$Q$8:$Q$154*'ANALYSE - ERP =&gt; SOUS-SEGMENT'!$BF$8:$BF$154),"")</f>
        <v>0.8</v>
      </c>
      <c r="BV14" s="588">
        <f>IFERROR(SUMPRODUCT(('ANALYSE - ERP =&gt; SOUS-SEGMENT'!$B$8:$B$154=$B14)*'ANALYSE - ERP =&gt; SOUS-SEGMENT'!$Q$8:$Q$154*'ANALYSE - ERP =&gt; SOUS-SEGMENT'!$BF$8:$BF$154*'ANALYSE - ERP =&gt; SOUS-SEGMENT'!$BY$8:$BY$154)/SUMPRODUCT(('ANALYSE - ERP =&gt; SOUS-SEGMENT'!$B$8:$B$154=$B14)*'ANALYSE - ERP =&gt; SOUS-SEGMENT'!$Q$8:$Q$154*'ANALYSE - ERP =&gt; SOUS-SEGMENT'!$BF$8:$BF$154),"")</f>
        <v>0.05</v>
      </c>
      <c r="BW14" s="586">
        <f>IFERROR(SUMPRODUCT(('ANALYSE - ERP =&gt; SOUS-SEGMENT'!$B$8:$B$154=$B14)*'ANALYSE - ERP =&gt; SOUS-SEGMENT'!$Q$8:$Q$154*'ANALYSE - ERP =&gt; SOUS-SEGMENT'!$BK$8:$BK$154*'ANALYSE - ERP =&gt; SOUS-SEGMENT'!$BZ$8:$BZ$154)/SUMPRODUCT(('ANALYSE - ERP =&gt; SOUS-SEGMENT'!$B$8:$B$154=$B14)*'ANALYSE - ERP =&gt; SOUS-SEGMENT'!$Q$8:$Q$154*'ANALYSE - ERP =&gt; SOUS-SEGMENT'!$BK$8:$BK$154),"")</f>
        <v>0.12</v>
      </c>
      <c r="BX14" s="587">
        <f>IFERROR(SUMPRODUCT(('ANALYSE - ERP =&gt; SOUS-SEGMENT'!$B$8:$B$154=$B14)*'ANALYSE - ERP =&gt; SOUS-SEGMENT'!$Q$8:$Q$154*'ANALYSE - ERP =&gt; SOUS-SEGMENT'!$BK$8:$BK$154*'ANALYSE - ERP =&gt; SOUS-SEGMENT'!$CA$8:$CA$154)/SUMPRODUCT(('ANALYSE - ERP =&gt; SOUS-SEGMENT'!$B$8:$B$154=$B14)*'ANALYSE - ERP =&gt; SOUS-SEGMENT'!$Q$8:$Q$154*'ANALYSE - ERP =&gt; SOUS-SEGMENT'!$BK$8:$BK$154),"")</f>
        <v>0.82</v>
      </c>
      <c r="BY14" s="588">
        <f>IFERROR(SUMPRODUCT(('ANALYSE - ERP =&gt; SOUS-SEGMENT'!$B$8:$B$154=$B14)*'ANALYSE - ERP =&gt; SOUS-SEGMENT'!$Q$8:$Q$154*'ANALYSE - ERP =&gt; SOUS-SEGMENT'!$BK$8:$BK$154*'ANALYSE - ERP =&gt; SOUS-SEGMENT'!$CB$8:$CB$154)/SUMPRODUCT(('ANALYSE - ERP =&gt; SOUS-SEGMENT'!$B$8:$B$154=$B14)*'ANALYSE - ERP =&gt; SOUS-SEGMENT'!$Q$8:$Q$154*'ANALYSE - ERP =&gt; SOUS-SEGMENT'!$BK$8:$BK$154),"")</f>
        <v>0.06</v>
      </c>
      <c r="BZ14" s="577">
        <f>IFERROR(SUMPRODUCT(('ANALYSE - ERP =&gt; SOUS-SEGMENT'!$B$8:$B$154=$B14)*'ANALYSE - ERP =&gt; SOUS-SEGMENT'!$Q$8:$Q$154*'ANALYSE - ERP =&gt; SOUS-SEGMENT'!$BG$8:$BG$154*'ANALYSE - ERP =&gt; SOUS-SEGMENT'!$CC$8:$CC$154)/SUMPRODUCT(('ANALYSE - ERP =&gt; SOUS-SEGMENT'!$B$8:$B$154=$B14)*'ANALYSE - ERP =&gt; SOUS-SEGMENT'!$Q$8:$Q$154*'ANALYSE - ERP =&gt; SOUS-SEGMENT'!$BG$8:$BG$154),"")</f>
        <v>0.10947186271175312</v>
      </c>
      <c r="CA14" s="578">
        <f>IFERROR(SUMPRODUCT(('ANALYSE - ERP =&gt; SOUS-SEGMENT'!$B$8:$B$154=$B14)*'ANALYSE - ERP =&gt; SOUS-SEGMENT'!$Q$8:$Q$154*'ANALYSE - ERP =&gt; SOUS-SEGMENT'!$BG$8:$BG$154*'ANALYSE - ERP =&gt; SOUS-SEGMENT'!$CD$8:$CD$154)/SUMPRODUCT(('ANALYSE - ERP =&gt; SOUS-SEGMENT'!$B$8:$B$154=$B14)*'ANALYSE - ERP =&gt; SOUS-SEGMENT'!$Q$8:$Q$154*'ANALYSE - ERP =&gt; SOUS-SEGMENT'!$BG$8:$BG$154),"")</f>
        <v>0.50196415039173203</v>
      </c>
      <c r="CB14" s="578">
        <f>IFERROR(SUMPRODUCT(('ANALYSE - ERP =&gt; SOUS-SEGMENT'!$B$8:$B$154=$B14)*'ANALYSE - ERP =&gt; SOUS-SEGMENT'!$Q$8:$Q$154*'ANALYSE - ERP =&gt; SOUS-SEGMENT'!$BG$8:$BG$154*'ANALYSE - ERP =&gt; SOUS-SEGMENT'!$CE$8:$CE$154)/SUMPRODUCT(('ANALYSE - ERP =&gt; SOUS-SEGMENT'!$B$8:$B$154=$B14)*'ANALYSE - ERP =&gt; SOUS-SEGMENT'!$Q$8:$Q$154*'ANALYSE - ERP =&gt; SOUS-SEGMENT'!$BG$8:$BG$154),"")</f>
        <v>0.19116899080488575</v>
      </c>
      <c r="CC14" s="579">
        <f>IFERROR(SUMPRODUCT(('ANALYSE - ERP =&gt; SOUS-SEGMENT'!$B$8:$B$154=$B14)*'ANALYSE - ERP =&gt; SOUS-SEGMENT'!$Q$8:$Q$154*'ANALYSE - ERP =&gt; SOUS-SEGMENT'!$BG$8:$BG$154*'ANALYSE - ERP =&gt; SOUS-SEGMENT'!$CF$8:$CF$154)/SUMPRODUCT(('ANALYSE - ERP =&gt; SOUS-SEGMENT'!$B$8:$B$154=$B14)*'ANALYSE - ERP =&gt; SOUS-SEGMENT'!$Q$8:$Q$154*'ANALYSE - ERP =&gt; SOUS-SEGMENT'!$BG$8:$BG$154),"")</f>
        <v>0.19739499609162889</v>
      </c>
      <c r="CD14" s="577">
        <f>IFERROR(SUMPRODUCT(('ANALYSE - ERP =&gt; SOUS-SEGMENT'!$B$8:$B$154=$B14)*'ANALYSE - ERP =&gt; SOUS-SEGMENT'!$Q$8:$Q$154*'ANALYSE - ERP =&gt; SOUS-SEGMENT'!$BL$8:$BL$154*'ANALYSE - ERP =&gt; SOUS-SEGMENT'!$CG$8:$CG$154)/SUMPRODUCT(('ANALYSE - ERP =&gt; SOUS-SEGMENT'!$B$8:$B$154=$B14)*'ANALYSE - ERP =&gt; SOUS-SEGMENT'!$Q$8:$Q$154*'ANALYSE - ERP =&gt; SOUS-SEGMENT'!$BL$8:$BL$154),"")</f>
        <v>9.0634906526827236E-2</v>
      </c>
      <c r="CE14" s="578">
        <f>IFERROR(SUMPRODUCT(('ANALYSE - ERP =&gt; SOUS-SEGMENT'!$B$8:$B$154=$B14)*'ANALYSE - ERP =&gt; SOUS-SEGMENT'!$Q$8:$Q$154*'ANALYSE - ERP =&gt; SOUS-SEGMENT'!$BL$8:$BL$154*'ANALYSE - ERP =&gt; SOUS-SEGMENT'!$CH$8:$CH$154)/SUMPRODUCT(('ANALYSE - ERP =&gt; SOUS-SEGMENT'!$B$8:$B$154=$B14)*'ANALYSE - ERP =&gt; SOUS-SEGMENT'!$Q$8:$Q$154*'ANALYSE - ERP =&gt; SOUS-SEGMENT'!$BL$8:$BL$154),"")</f>
        <v>0.49851035463514359</v>
      </c>
      <c r="CF14" s="578">
        <f>IFERROR(SUMPRODUCT(('ANALYSE - ERP =&gt; SOUS-SEGMENT'!$B$8:$B$154=$B14)*'ANALYSE - ERP =&gt; SOUS-SEGMENT'!$Q$8:$Q$154*'ANALYSE - ERP =&gt; SOUS-SEGMENT'!$BL$8:$BL$154*'ANALYSE - ERP =&gt; SOUS-SEGMENT'!$CI$8:$CI$154)/SUMPRODUCT(('ANALYSE - ERP =&gt; SOUS-SEGMENT'!$B$8:$B$154=$B14)*'ANALYSE - ERP =&gt; SOUS-SEGMENT'!$Q$8:$Q$154*'ANALYSE - ERP =&gt; SOUS-SEGMENT'!$BL$8:$BL$154),"")</f>
        <v>0.21557965217906561</v>
      </c>
      <c r="CG14" s="579">
        <f>IFERROR(SUMPRODUCT(('ANALYSE - ERP =&gt; SOUS-SEGMENT'!$B$8:$B$154=$B14)*'ANALYSE - ERP =&gt; SOUS-SEGMENT'!$Q$8:$Q$154*'ANALYSE - ERP =&gt; SOUS-SEGMENT'!$BL$8:$BL$154*'ANALYSE - ERP =&gt; SOUS-SEGMENT'!$CJ$8:$CJ$154)/SUMPRODUCT(('ANALYSE - ERP =&gt; SOUS-SEGMENT'!$B$8:$B$154=$B14)*'ANALYSE - ERP =&gt; SOUS-SEGMENT'!$Q$8:$Q$154*'ANALYSE - ERP =&gt; SOUS-SEGMENT'!$BL$8:$BL$154),"")</f>
        <v>0.19527508665896362</v>
      </c>
      <c r="CH14" s="586">
        <f>IFERROR(SUMPRODUCT(('ANALYSE - ERP =&gt; SOUS-SEGMENT'!$B$8:$B$154=$B14)*'ANALYSE - ERP =&gt; SOUS-SEGMENT'!$Q$8:$Q$154*'ANALYSE - ERP =&gt; SOUS-SEGMENT'!$BH$8:$BH$154*'ANALYSE - ERP =&gt; SOUS-SEGMENT'!$CK$8:$CK$154)/SUMPRODUCT(('ANALYSE - ERP =&gt; SOUS-SEGMENT'!$B$8:$B$154=$B14)*'ANALYSE - ERP =&gt; SOUS-SEGMENT'!$Q$8:$Q$154*'ANALYSE - ERP =&gt; SOUS-SEGMENT'!$BH$8:$BH$154),"")</f>
        <v>0.48352082658517231</v>
      </c>
      <c r="CI14" s="587">
        <f>IFERROR(SUMPRODUCT(('ANALYSE - ERP =&gt; SOUS-SEGMENT'!$B$8:$B$154=$B14)*'ANALYSE - ERP =&gt; SOUS-SEGMENT'!$Q$8:$Q$154*'ANALYSE - ERP =&gt; SOUS-SEGMENT'!$BH$8:$BH$154*'ANALYSE - ERP =&gt; SOUS-SEGMENT'!$CL$8:$CL$154)/SUMPRODUCT(('ANALYSE - ERP =&gt; SOUS-SEGMENT'!$B$8:$B$154=$B14)*'ANALYSE - ERP =&gt; SOUS-SEGMENT'!$Q$8:$Q$154*'ANALYSE - ERP =&gt; SOUS-SEGMENT'!$BH$8:$BH$154),"")</f>
        <v>0.35104989648907853</v>
      </c>
      <c r="CJ14" s="588">
        <f>IFERROR(SUMPRODUCT(('ANALYSE - ERP =&gt; SOUS-SEGMENT'!$B$8:$B$154=$B14)*'ANALYSE - ERP =&gt; SOUS-SEGMENT'!$Q$8:$Q$154*'ANALYSE - ERP =&gt; SOUS-SEGMENT'!$BH$8:$BH$154*'ANALYSE - ERP =&gt; SOUS-SEGMENT'!$CM$8:$CM$154)/SUMPRODUCT(('ANALYSE - ERP =&gt; SOUS-SEGMENT'!$B$8:$B$154=$B14)*'ANALYSE - ERP =&gt; SOUS-SEGMENT'!$Q$8:$Q$154*'ANALYSE - ERP =&gt; SOUS-SEGMENT'!$BH$8:$BH$154),"")</f>
        <v>0.16542927692574913</v>
      </c>
      <c r="CK14" s="586">
        <f>IFERROR(SUMPRODUCT(('ANALYSE - ERP =&gt; SOUS-SEGMENT'!$B$8:$B$154=$B14)*'ANALYSE - ERP =&gt; SOUS-SEGMENT'!$Q$8:$Q$154*'ANALYSE - ERP =&gt; SOUS-SEGMENT'!$BM$8:$BM$154*'ANALYSE - ERP =&gt; SOUS-SEGMENT'!$CN$8:$CN$154)/SUMPRODUCT(('ANALYSE - ERP =&gt; SOUS-SEGMENT'!$B$8:$B$154=$B14)*'ANALYSE - ERP =&gt; SOUS-SEGMENT'!$Q$8:$Q$154*'ANALYSE - ERP =&gt; SOUS-SEGMENT'!$BM$8:$BM$154),"")</f>
        <v>0.40664215457548658</v>
      </c>
      <c r="CL14" s="587">
        <f>IFERROR(SUMPRODUCT(('ANALYSE - ERP =&gt; SOUS-SEGMENT'!$B$8:$B$154=$B14)*'ANALYSE - ERP =&gt; SOUS-SEGMENT'!$Q$8:$Q$154*'ANALYSE - ERP =&gt; SOUS-SEGMENT'!$BM$8:$BM$154*'ANALYSE - ERP =&gt; SOUS-SEGMENT'!$CO$8:$CO$154)/SUMPRODUCT(('ANALYSE - ERP =&gt; SOUS-SEGMENT'!$B$8:$B$154=$B14)*'ANALYSE - ERP =&gt; SOUS-SEGMENT'!$Q$8:$Q$154*'ANALYSE - ERP =&gt; SOUS-SEGMENT'!$BM$8:$BM$154),"")</f>
        <v>0.38129383713768467</v>
      </c>
      <c r="CM14" s="588">
        <f>IFERROR(SUMPRODUCT(('ANALYSE - ERP =&gt; SOUS-SEGMENT'!$B$8:$B$154=$B14)*'ANALYSE - ERP =&gt; SOUS-SEGMENT'!$Q$8:$Q$154*'ANALYSE - ERP =&gt; SOUS-SEGMENT'!$BM$8:$BM$154*'ANALYSE - ERP =&gt; SOUS-SEGMENT'!$CP$8:$CP$154)/SUMPRODUCT(('ANALYSE - ERP =&gt; SOUS-SEGMENT'!$B$8:$B$154=$B14)*'ANALYSE - ERP =&gt; SOUS-SEGMENT'!$Q$8:$Q$154*'ANALYSE - ERP =&gt; SOUS-SEGMENT'!$BM$8:$BM$154),"")</f>
        <v>0.21206400828682878</v>
      </c>
      <c r="CN14" s="657"/>
      <c r="CO14" s="877">
        <f>IFERROR(SUMPRODUCT(('ANALYSE - ERP =&gt; SOUS-SEGMENT'!$B$8:$B$154=$B14)*'ANALYSE - ERP =&gt; SOUS-SEGMENT'!$DH$8:$DH$154*'ANALYSE - ERP =&gt; SOUS-SEGMENT'!$CR$8:$CR$154)/SUMPRODUCT(('ANALYSE - ERP =&gt; SOUS-SEGMENT'!$B$8:$B$154=$B14)*'ANALYSE - ERP =&gt; SOUS-SEGMENT'!$DH$8:$DH$154),"")</f>
        <v>12.933129483824255</v>
      </c>
      <c r="CP14" s="878">
        <f>IFERROR(SUMPRODUCT(('ANALYSE - ERP =&gt; SOUS-SEGMENT'!$B$8:$B$154=$B14)*'ANALYSE - ERP =&gt; SOUS-SEGMENT'!$DI$8:$DI$154*'ANALYSE - ERP =&gt; SOUS-SEGMENT'!$CS$8:$CS$154)/SUMPRODUCT(('ANALYSE - ERP =&gt; SOUS-SEGMENT'!$B$8:$B$154=$B14)*'ANALYSE - ERP =&gt; SOUS-SEGMENT'!$DI$8:$DI$154),"")</f>
        <v>13.264097747263097</v>
      </c>
      <c r="CQ14" s="878">
        <f>IFERROR(SUMPRODUCT(('ANALYSE - ERP =&gt; SOUS-SEGMENT'!$B$8:$B$154=$B14)*'ANALYSE - ERP =&gt; SOUS-SEGMENT'!$DJ$8:$DJ$154*'ANALYSE - ERP =&gt; SOUS-SEGMENT'!$CT$8:$CT$154)/SUMPRODUCT(('ANALYSE - ERP =&gt; SOUS-SEGMENT'!$B$8:$B$154=$B14)*'ANALYSE - ERP =&gt; SOUS-SEGMENT'!$DJ$8:$DJ$154),"")</f>
        <v>9.9085932355559034</v>
      </c>
      <c r="CR14" s="879">
        <f>IFERROR(SUMPRODUCT(('ANALYSE - ERP =&gt; SOUS-SEGMENT'!$B$8:$B$154=$B14)*'ANALYSE - ERP =&gt; SOUS-SEGMENT'!$DK$8:$DK$154*'ANALYSE - ERP =&gt; SOUS-SEGMENT'!$CU$8:$CU$154)/SUMPRODUCT(('ANALYSE - ERP =&gt; SOUS-SEGMENT'!$B$8:$B$154=$B14)*'ANALYSE - ERP =&gt; SOUS-SEGMENT'!$DK$8:$DK$154),"")</f>
        <v>11.800844142727524</v>
      </c>
      <c r="CS14" s="877">
        <f>IFERROR(SUMPRODUCT(('ANALYSE - ERP =&gt; SOUS-SEGMENT'!$B$8:$B$154=$B14)*'ANALYSE - ERP =&gt; SOUS-SEGMENT'!$DS$8:$DS$154*'ANALYSE - ERP =&gt; SOUS-SEGMENT'!$CV$8:$CV$154)/SUMPRODUCT(('ANALYSE - ERP =&gt; SOUS-SEGMENT'!$B$8:$B$154=$B14)*'ANALYSE - ERP =&gt; SOUS-SEGMENT'!$DS$8:$DS$154),"")</f>
        <v>8</v>
      </c>
      <c r="CT14" s="878">
        <f>IFERROR(SUMPRODUCT(('ANALYSE - ERP =&gt; SOUS-SEGMENT'!$B$8:$B$154=$B14)*'ANALYSE - ERP =&gt; SOUS-SEGMENT'!$DT$8:$DT$154*'ANALYSE - ERP =&gt; SOUS-SEGMENT'!$CW$8:$CW$154)/SUMPRODUCT(('ANALYSE - ERP =&gt; SOUS-SEGMENT'!$B$8:$B$154=$B14)*'ANALYSE - ERP =&gt; SOUS-SEGMENT'!$DT$8:$DT$154),"")</f>
        <v>8</v>
      </c>
      <c r="CU14" s="879">
        <f>IFERROR(SUMPRODUCT(('ANALYSE - ERP =&gt; SOUS-SEGMENT'!$B$8:$B$154=$B14)*'ANALYSE - ERP =&gt; SOUS-SEGMENT'!$DU$8:$DU$154*'ANALYSE - ERP =&gt; SOUS-SEGMENT'!$CX$8:$CX$154)/SUMPRODUCT(('ANALYSE - ERP =&gt; SOUS-SEGMENT'!$B$8:$B$154=$B14)*'ANALYSE - ERP =&gt; SOUS-SEGMENT'!$DU$8:$DU$154),"")</f>
        <v>7</v>
      </c>
      <c r="CV14" s="877">
        <f>IFERROR(SUMPRODUCT(('ANALYSE - ERP =&gt; SOUS-SEGMENT'!$B$8:$B$154=$B14)*'ANALYSE - ERP =&gt; SOUS-SEGMENT'!$EB$8:$EB$154*'ANALYSE - ERP =&gt; SOUS-SEGMENT'!$CY$8:$CY$154)/SUMPRODUCT(('ANALYSE - ERP =&gt; SOUS-SEGMENT'!$B$8:$B$154=$B14)*'ANALYSE - ERP =&gt; SOUS-SEGMENT'!$EB$8:$EB$154),"")</f>
        <v>10.916753146226547</v>
      </c>
      <c r="CW14" s="878">
        <f>IFERROR(SUMPRODUCT(('ANALYSE - ERP =&gt; SOUS-SEGMENT'!$B$8:$B$154=$B14)*'ANALYSE - ERP =&gt; SOUS-SEGMENT'!$EC$8:$EC$154*'ANALYSE - ERP =&gt; SOUS-SEGMENT'!$CZ$8:$CZ$154)/SUMPRODUCT(('ANALYSE - ERP =&gt; SOUS-SEGMENT'!$B$8:$B$154=$B14)*'ANALYSE - ERP =&gt; SOUS-SEGMENT'!$EC$8:$EC$154),"")</f>
        <v>12.762920057598079</v>
      </c>
      <c r="CX14" s="878">
        <f>IFERROR(SUMPRODUCT(('ANALYSE - ERP =&gt; SOUS-SEGMENT'!$B$8:$B$154=$B14)*'ANALYSE - ERP =&gt; SOUS-SEGMENT'!$ED$8:$ED$154*'ANALYSE - ERP =&gt; SOUS-SEGMENT'!$DA$8:$DA$154)/SUMPRODUCT(('ANALYSE - ERP =&gt; SOUS-SEGMENT'!$B$8:$B$154=$B14)*'ANALYSE - ERP =&gt; SOUS-SEGMENT'!$ED$8:$ED$154),"")</f>
        <v>8.9367405480319153</v>
      </c>
      <c r="CY14" s="880">
        <f>IFERROR(SUMPRODUCT(('ANALYSE - ERP =&gt; SOUS-SEGMENT'!$B$8:$B$154=$B14)*'ANALYSE - ERP =&gt; SOUS-SEGMENT'!$EE$8:$EE$154*'ANALYSE - ERP =&gt; SOUS-SEGMENT'!$DB$8:$DB$154)/SUMPRODUCT(('ANALYSE - ERP =&gt; SOUS-SEGMENT'!$B$8:$B$154=$B14)*'ANALYSE - ERP =&gt; SOUS-SEGMENT'!$EE$8:$EE$154),"")</f>
        <v>10.719885238699721</v>
      </c>
      <c r="CZ14" s="881">
        <f>IFERROR(SUMPRODUCT(('ANALYSE - ERP =&gt; SOUS-SEGMENT'!$B$8:$B$154=$B14)*'ANALYSE - ERP =&gt; SOUS-SEGMENT'!$EM$8:$EM$154*'ANALYSE - ERP =&gt; SOUS-SEGMENT'!$DC$8:$DC$154)/SUMPRODUCT(('ANALYSE - ERP =&gt; SOUS-SEGMENT'!$B$8:$B$154=$B14)*'ANALYSE - ERP =&gt; SOUS-SEGMENT'!$EM$8:$EM$154),"")</f>
        <v>13.831441629797126</v>
      </c>
      <c r="DA14" s="878">
        <f>IFERROR(SUMPRODUCT(('ANALYSE - ERP =&gt; SOUS-SEGMENT'!$B$8:$B$154=$B14)*'ANALYSE - ERP =&gt; SOUS-SEGMENT'!$EN$8:$EN$154*'ANALYSE - ERP =&gt; SOUS-SEGMENT'!$DD$8:$DD$154)/SUMPRODUCT(('ANALYSE - ERP =&gt; SOUS-SEGMENT'!$B$8:$B$154=$B14)*'ANALYSE - ERP =&gt; SOUS-SEGMENT'!$EN$8:$EN$154),"")</f>
        <v>13.659171810557202</v>
      </c>
      <c r="DB14" s="880">
        <f>IFERROR(SUMPRODUCT(('ANALYSE - ERP =&gt; SOUS-SEGMENT'!$B$8:$B$154=$B14)*'ANALYSE - ERP =&gt; SOUS-SEGMENT'!$EO$8:$EO$154*'ANALYSE - ERP =&gt; SOUS-SEGMENT'!$DE$8:$DE$154)/SUMPRODUCT(('ANALYSE - ERP =&gt; SOUS-SEGMENT'!$B$8:$B$154=$B14)*'ANALYSE - ERP =&gt; SOUS-SEGMENT'!$EO$8:$EO$154),"")</f>
        <v>9.8263518656413709</v>
      </c>
      <c r="DC14" s="287" t="s">
        <v>7559</v>
      </c>
      <c r="DD14" s="657"/>
      <c r="DE14" s="308">
        <f t="shared" si="2"/>
        <v>71613.260000000009</v>
      </c>
      <c r="DF14" s="308">
        <f t="shared" si="3"/>
        <v>120550.96</v>
      </c>
      <c r="DG14" s="308">
        <f t="shared" si="4"/>
        <v>31015.640000000007</v>
      </c>
      <c r="DH14" s="308">
        <f t="shared" si="5"/>
        <v>9921.1400000000012</v>
      </c>
      <c r="DI14" s="287" t="s">
        <v>7559</v>
      </c>
      <c r="DJ14" s="308">
        <f t="shared" si="6"/>
        <v>62513.320000000007</v>
      </c>
      <c r="DK14" s="308">
        <f t="shared" si="7"/>
        <v>122480.63</v>
      </c>
      <c r="DL14" s="308">
        <f t="shared" si="8"/>
        <v>41796.340000000004</v>
      </c>
      <c r="DM14" s="308">
        <f t="shared" si="9"/>
        <v>7981.7099999999991</v>
      </c>
      <c r="DN14" s="289" t="s">
        <v>7559</v>
      </c>
      <c r="DO14" s="657"/>
      <c r="DP14" s="308">
        <f t="shared" si="10"/>
        <v>120</v>
      </c>
      <c r="DQ14" s="308">
        <f t="shared" si="11"/>
        <v>640</v>
      </c>
      <c r="DR14" s="308">
        <f t="shared" si="12"/>
        <v>40</v>
      </c>
      <c r="DS14" s="289" t="s">
        <v>7559</v>
      </c>
      <c r="DT14" s="308">
        <f t="shared" si="13"/>
        <v>90</v>
      </c>
      <c r="DU14" s="308">
        <f t="shared" si="14"/>
        <v>615</v>
      </c>
      <c r="DV14" s="308">
        <f t="shared" si="15"/>
        <v>45</v>
      </c>
      <c r="DW14" s="289" t="s">
        <v>7559</v>
      </c>
      <c r="DX14" s="657"/>
      <c r="DY14" s="308">
        <f t="shared" si="16"/>
        <v>3669.2559999999989</v>
      </c>
      <c r="DZ14" s="308">
        <f t="shared" si="17"/>
        <v>16824.733999999997</v>
      </c>
      <c r="EA14" s="308">
        <f t="shared" si="18"/>
        <v>6407.5640000000003</v>
      </c>
      <c r="EB14" s="308">
        <f t="shared" si="19"/>
        <v>6616.2459999999992</v>
      </c>
      <c r="EC14" s="289" t="s">
        <v>7559</v>
      </c>
      <c r="ED14" s="308">
        <f t="shared" si="20"/>
        <v>3059.2</v>
      </c>
      <c r="EE14" s="308">
        <f t="shared" si="21"/>
        <v>16826.22</v>
      </c>
      <c r="EF14" s="308">
        <f t="shared" si="22"/>
        <v>7276.4600000000019</v>
      </c>
      <c r="EG14" s="308">
        <f t="shared" si="23"/>
        <v>6591.119999999999</v>
      </c>
      <c r="EH14" s="309" t="s">
        <v>7559</v>
      </c>
      <c r="EI14" s="290"/>
      <c r="EJ14" s="308">
        <f t="shared" si="24"/>
        <v>103000.09</v>
      </c>
      <c r="EK14" s="310">
        <f t="shared" si="25"/>
        <v>74781</v>
      </c>
      <c r="EL14" s="310">
        <f t="shared" si="26"/>
        <v>35239.910000000003</v>
      </c>
      <c r="EM14" s="289" t="s">
        <v>7559</v>
      </c>
      <c r="EN14" s="308">
        <f t="shared" si="27"/>
        <v>87149.919999999984</v>
      </c>
      <c r="EO14" s="310">
        <f t="shared" si="28"/>
        <v>81717.370000000024</v>
      </c>
      <c r="EP14" s="310">
        <f t="shared" si="29"/>
        <v>45448.71</v>
      </c>
      <c r="EQ14" s="289" t="s">
        <v>7559</v>
      </c>
      <c r="ER14" s="657"/>
      <c r="ES14" s="728">
        <f t="shared" si="30"/>
        <v>0.84769023614534067</v>
      </c>
      <c r="ET14" s="728">
        <f t="shared" si="31"/>
        <v>0.1523097638546593</v>
      </c>
      <c r="EU14" s="311">
        <f t="shared" si="32"/>
        <v>174856.1127401767</v>
      </c>
      <c r="EV14" s="311">
        <f t="shared" si="33"/>
        <v>148223.8195001767</v>
      </c>
      <c r="EW14" s="311">
        <f t="shared" si="34"/>
        <v>26632.293239999999</v>
      </c>
      <c r="EX14" s="311">
        <f t="shared" si="35"/>
        <v>84789.325435042338</v>
      </c>
      <c r="EY14" s="311">
        <f>SUMPRODUCT(('ANALYSE - ERP =&gt; SOUS-SEGMENT'!$B$8:$B$154=$B14)*'ANALYSE - ERP =&gt; SOUS-SEGMENT'!$Q$8:$Q$154*'ANALYSE - ERP =&gt; SOUS-SEGMENT'!$FB$8:$FB$154)</f>
        <v>71769.405635042334</v>
      </c>
      <c r="EZ14" s="311">
        <f>SUMPRODUCT(('ANALYSE - ERP =&gt; SOUS-SEGMENT'!$B$8:$B$154=$B14)*'ANALYSE - ERP =&gt; SOUS-SEGMENT'!$Q$8:$Q$154*'ANALYSE - ERP =&gt; SOUS-SEGMENT'!$FC$8:$FC$154)</f>
        <v>13019.919800000003</v>
      </c>
      <c r="FA14" s="311">
        <f t="shared" si="36"/>
        <v>426.62874999999997</v>
      </c>
      <c r="FB14" s="311">
        <f>SUMPRODUCT(('ANALYSE - ERP =&gt; SOUS-SEGMENT'!$B$8:$B$154=$B14)*'ANALYSE - ERP =&gt; SOUS-SEGMENT'!$Q$8:$Q$154*'ANALYSE - ERP =&gt; SOUS-SEGMENT'!$FE$8:$FE$154)</f>
        <v>395.66874999999999</v>
      </c>
      <c r="FC14" s="311">
        <f>SUMPRODUCT(('ANALYSE - ERP =&gt; SOUS-SEGMENT'!$B$8:$B$154=$B14)*'ANALYSE - ERP =&gt; SOUS-SEGMENT'!$Q$8:$Q$154*'ANALYSE - ERP =&gt; SOUS-SEGMENT'!$FF$8:$FF$154)</f>
        <v>30.959999999999997</v>
      </c>
      <c r="FD14" s="311">
        <f t="shared" si="37"/>
        <v>13936.514452730875</v>
      </c>
      <c r="FE14" s="311">
        <f>SUMPRODUCT(('ANALYSE - ERP =&gt; SOUS-SEGMENT'!$B$8:$B$154=$B14)*'ANALYSE - ERP =&gt; SOUS-SEGMENT'!$Q$8:$Q$154*'ANALYSE - ERP =&gt; SOUS-SEGMENT'!$FH$8:$FH$154)</f>
        <v>11994.836212730876</v>
      </c>
      <c r="FF14" s="311">
        <f>SUMPRODUCT(('ANALYSE - ERP =&gt; SOUS-SEGMENT'!$B$8:$B$154=$B14)*'ANALYSE - ERP =&gt; SOUS-SEGMENT'!$Q$8:$Q$154*'ANALYSE - ERP =&gt; SOUS-SEGMENT'!$FI$8:$FI$154)</f>
        <v>1941.6782399999997</v>
      </c>
      <c r="FG14" s="311">
        <f t="shared" si="38"/>
        <v>75703.644102403472</v>
      </c>
      <c r="FH14" s="311">
        <f>SUMPRODUCT(('ANALYSE - ERP =&gt; SOUS-SEGMENT'!$B$8:$B$154=$B14)*'ANALYSE - ERP =&gt; SOUS-SEGMENT'!$Q$8:$Q$154*'ANALYSE - ERP =&gt; SOUS-SEGMENT'!$FK$8:$FK$154)</f>
        <v>64063.908902403477</v>
      </c>
      <c r="FI14" s="311">
        <f>SUMPRODUCT(('ANALYSE - ERP =&gt; SOUS-SEGMENT'!$B$8:$B$154=$B14)*'ANALYSE - ERP =&gt; SOUS-SEGMENT'!$Q$8:$Q$154*'ANALYSE - ERP =&gt; SOUS-SEGMENT'!$FL$8:$FL$154)</f>
        <v>11639.735199999999</v>
      </c>
      <c r="FJ14" s="657"/>
      <c r="FK14" s="293" t="s">
        <v>2649</v>
      </c>
      <c r="FL14" s="728">
        <f>IFERROR(SUMPRODUCT(('ANALYSE - ERP =&gt; SOUS-SEGMENT'!$B$8:$B$154=$B14)*'ANALYSE - ERP =&gt; SOUS-SEGMENT'!$Q$8:$Q$154*'ANALYSE - ERP =&gt; SOUS-SEGMENT'!$AF$8:$AF$154*'ANALYSE - ERP =&gt; SOUS-SEGMENT'!$FO$8:$FO$154)/SUMPRODUCT(('ANALYSE - ERP =&gt; SOUS-SEGMENT'!$B$8:$B$154=$B14)*'ANALYSE - ERP =&gt; SOUS-SEGMENT'!$Q$8:$Q$154*'ANALYSE - ERP =&gt; SOUS-SEGMENT'!$AF$8:$AF$154),"")</f>
        <v>4.294185602444147E-2</v>
      </c>
      <c r="FM14" s="729">
        <f>IFERROR(SUMPRODUCT(('ANALYSE - ERP =&gt; SOUS-SEGMENT'!$B$8:$B$154=$B14)*'ANALYSE - ERP =&gt; SOUS-SEGMENT'!$Q$8:$Q$154*'ANALYSE - ERP =&gt; SOUS-SEGMENT'!$AF$8:$AF$154*'ANALYSE - ERP =&gt; SOUS-SEGMENT'!$FP$8:$FP$154)/SUMPRODUCT(('ANALYSE - ERP =&gt; SOUS-SEGMENT'!$B$8:$B$154=$B14)*'ANALYSE - ERP =&gt; SOUS-SEGMENT'!$Q$8:$Q$154*'ANALYSE - ERP =&gt; SOUS-SEGMENT'!$AF$8:$AF$154),"")</f>
        <v>0.76830938769015322</v>
      </c>
      <c r="FN14" s="294" t="s">
        <v>6780</v>
      </c>
      <c r="FO14" s="657"/>
      <c r="FP14" s="865">
        <f>IFERROR(SUMPRODUCT(('ANALYSE - ERP =&gt; SOUS-SEGMENT'!$B$8:$B$154=$B14)*'ANALYSE - ERP =&gt; SOUS-SEGMENT'!$Q$8:$Q$154*'ANALYSE - ERP =&gt; SOUS-SEGMENT'!$EX$8:$EX$154*'ANALYSE - ERP =&gt; SOUS-SEGMENT'!$FS$8:$FS$154)/SUMPRODUCT(('ANALYSE - ERP =&gt; SOUS-SEGMENT'!$B$8:$B$154=$B14)*'ANALYSE - ERP =&gt; SOUS-SEGMENT'!$Q$8:$Q$154*'ANALYSE - ERP =&gt; SOUS-SEGMENT'!$EX$8:$EX$154),"")</f>
        <v>2.9289219158365976</v>
      </c>
      <c r="FQ14" s="312">
        <f>RANK($FP14,$FP$8:$FP$143,0)+COUNTIF($FP$8:$FP14,$FP14)-1</f>
        <v>8</v>
      </c>
      <c r="FR14" s="865">
        <f>IFERROR(SUMPRODUCT(('ANALYSE - ERP =&gt; SOUS-SEGMENT'!$B$8:$B$154=$B14)*'ANALYSE - ERP =&gt; SOUS-SEGMENT'!$Q$8:$Q$154*'ANALYSE - ERP =&gt; SOUS-SEGMENT'!$EY$8:$EY$154*'ANALYSE - ERP =&gt; SOUS-SEGMENT'!$FU$8:$FU$154)/SUMPRODUCT(('ANALYSE - ERP =&gt; SOUS-SEGMENT'!$B$8:$B$154=$B14)*'ANALYSE - ERP =&gt; SOUS-SEGMENT'!$Q$8:$Q$154*'ANALYSE - ERP =&gt; SOUS-SEGMENT'!$EY$8:$EY$154),"")-0.1</f>
        <v>3.4128123622417177</v>
      </c>
      <c r="FS14" s="312" t="e">
        <f>RANK($FR14,$FR$8:$FR$143,0)+COUNTIF($FR$8:$FR14,$FR14)-1</f>
        <v>#VALUE!</v>
      </c>
      <c r="FT14" s="865">
        <f>IFERROR(SUMPRODUCT(('ANALYSE - ERP =&gt; SOUS-SEGMENT'!$B$8:$B$154=$B14)*'ANALYSE - ERP =&gt; SOUS-SEGMENT'!$Q$8:$Q$154*'ANALYSE - ERP =&gt; SOUS-SEGMENT'!$EZ$8:$EZ$154*'ANALYSE - ERP =&gt; SOUS-SEGMENT'!$FW$8:$FW$154)/SUMPRODUCT(('ANALYSE - ERP =&gt; SOUS-SEGMENT'!$B$8:$B$154=$B14)*'ANALYSE - ERP =&gt; SOUS-SEGMENT'!$Q$8:$Q$154*'ANALYSE - ERP =&gt; SOUS-SEGMENT'!$EZ$8:$EZ$154),"")-0.1</f>
        <v>1.7833787769453082</v>
      </c>
      <c r="FU14" s="312" t="e">
        <f>RANK($FT14,$FT$8:$FT$143,0)+COUNTIF($FT$8:$FT14,$FT14)-1</f>
        <v>#VALUE!</v>
      </c>
      <c r="FV14" s="657"/>
      <c r="FW14" s="296" t="s">
        <v>7559</v>
      </c>
      <c r="FX14" s="296" t="s">
        <v>7559</v>
      </c>
      <c r="FY14" s="296" t="s">
        <v>7559</v>
      </c>
      <c r="FZ14" s="296" t="s">
        <v>7559</v>
      </c>
      <c r="GA14" s="296" t="s">
        <v>7559</v>
      </c>
      <c r="GB14" s="296" t="s">
        <v>7559</v>
      </c>
      <c r="GC14" s="296" t="str">
        <f t="shared" si="39"/>
        <v>https://solidarites.gouv.fr/le-service-public-de-la-petite-enfance-garantir-un-accueil-de-qualite-tous-les-enfants-et-leurs-familles
https://solidarites.gouv.fr/outils-et-ressources-destination-des-autorites-organisatrices-de-laccueil-du-jeune-enfant
https://solidarites.gouv.fr/stephanie-rist-annonce-une-revalorisation-du-financement-des-creches-par-les-caf-de-2-en-2025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D14" s="657"/>
      <c r="GE14" s="311">
        <f>SUMPRODUCT(('ANALYSE - ERP =&gt; SOUS-SEGMENT'!$B$8:$B$154=$B14)*'ANALYSE - ERP =&gt; SOUS-SEGMENT'!$Q$8:$Q$154*'ANALYSE - ERP =&gt; SOUS-SEGMENT'!$GH$8:$GH$154)</f>
        <v>25218.860231515388</v>
      </c>
      <c r="GF14" s="311">
        <f>SUMPRODUCT(('ANALYSE - ERP =&gt; SOUS-SEGMENT'!$B$8:$B$154=$B14)*'ANALYSE - ERP =&gt; SOUS-SEGMENT'!$Q$8:$Q$154*'ANALYSE - ERP =&gt; SOUS-SEGMENT'!$GI$8:$GI$154)</f>
        <v>21910.091511515384</v>
      </c>
      <c r="GG14" s="311">
        <f>SUMPRODUCT(('ANALYSE - ERP =&gt; SOUS-SEGMENT'!$B$8:$B$154=$B14)*'ANALYSE - ERP =&gt; SOUS-SEGMENT'!$Q$8:$Q$154*'ANALYSE - ERP =&gt; SOUS-SEGMENT'!$GJ$8:$GJ$154)</f>
        <v>3308.7687199999991</v>
      </c>
      <c r="GH14" s="311">
        <f>SUMPRODUCT(('ANALYSE - ERP =&gt; SOUS-SEGMENT'!$B$8:$B$154=$B14)*'ANALYSE - ERP =&gt; SOUS-SEGMENT'!$Q$8:$Q$154*'ANALYSE - ERP =&gt; SOUS-SEGMENT'!$GK$8:$GK$154)</f>
        <v>41604.664803266933</v>
      </c>
      <c r="GI14" s="311">
        <f>SUMPRODUCT(('ANALYSE - ERP =&gt; SOUS-SEGMENT'!$B$8:$B$154=$B14)*'ANALYSE - ERP =&gt; SOUS-SEGMENT'!$Q$8:$Q$154*'ANALYSE - ERP =&gt; SOUS-SEGMENT'!$GL$8:$GL$154)</f>
        <v>34531.921681266933</v>
      </c>
      <c r="GJ14" s="311">
        <f>SUMPRODUCT(('ANALYSE - ERP =&gt; SOUS-SEGMENT'!$B$8:$B$154=$B14)*'ANALYSE - ERP =&gt; SOUS-SEGMENT'!$Q$8:$Q$154*'ANALYSE - ERP =&gt; SOUS-SEGMENT'!$GM$8:$GM$154)</f>
        <v>7072.7431219999999</v>
      </c>
      <c r="GK14" s="311">
        <f>SUMPRODUCT(('ANALYSE - ERP =&gt; SOUS-SEGMENT'!$B$8:$B$154=$B14)*'ANALYSE - ERP =&gt; SOUS-SEGMENT'!$Q$8:$Q$154*'ANALYSE - ERP =&gt; SOUS-SEGMENT'!$GN$8:$GN$154)</f>
        <v>14261.335881260004</v>
      </c>
      <c r="GL14" s="311">
        <f>SUMPRODUCT(('ANALYSE - ERP =&gt; SOUS-SEGMENT'!$B$8:$B$154=$B14)*'ANALYSE - ERP =&gt; SOUS-SEGMENT'!$Q$8:$Q$154*'ANALYSE - ERP =&gt; SOUS-SEGMENT'!$GO$8:$GO$154)</f>
        <v>12088.348397259999</v>
      </c>
      <c r="GM14" s="311">
        <f>SUMPRODUCT(('ANALYSE - ERP =&gt; SOUS-SEGMENT'!$B$8:$B$154=$B14)*'ANALYSE - ERP =&gt; SOUS-SEGMENT'!$Q$8:$Q$154*'ANALYSE - ERP =&gt; SOUS-SEGMENT'!$GP$8:$GP$154)</f>
        <v>2172.9874839999993</v>
      </c>
      <c r="GN14" s="311">
        <f>SUMPRODUCT(('ANALYSE - ERP =&gt; SOUS-SEGMENT'!$B$8:$B$154=$B14)*'ANALYSE - ERP =&gt; SOUS-SEGMENT'!$Q$8:$Q$154*'ANALYSE - ERP =&gt; SOUS-SEGMENT'!$GQ$8:$GQ$154)</f>
        <v>3704.4645189999997</v>
      </c>
      <c r="GO14" s="311">
        <f>SUMPRODUCT(('ANALYSE - ERP =&gt; SOUS-SEGMENT'!$B$8:$B$154=$B14)*'ANALYSE - ERP =&gt; SOUS-SEGMENT'!$Q$8:$Q$154*'ANALYSE - ERP =&gt; SOUS-SEGMENT'!$GR$8:$GR$154)</f>
        <v>3239.0440449999996</v>
      </c>
      <c r="GP14" s="311">
        <f>SUMPRODUCT(('ANALYSE - ERP =&gt; SOUS-SEGMENT'!$B$8:$B$154=$B14)*'ANALYSE - ERP =&gt; SOUS-SEGMENT'!$Q$8:$Q$154*'ANALYSE - ERP =&gt; SOUS-SEGMENT'!$GS$8:$GS$154)</f>
        <v>465.42047400000001</v>
      </c>
      <c r="GQ14" s="311">
        <f>SUMPRODUCT(('ANALYSE - ERP =&gt; SOUS-SEGMENT'!$B$8:$B$154=$B14)*'ANALYSE - ERP =&gt; SOUS-SEGMENT'!$Q$8:$Q$154*'ANALYSE - ERP =&gt; SOUS-SEGMENT'!$GT$8:$GT$154)</f>
        <v>62.683949999999996</v>
      </c>
      <c r="GR14" s="311">
        <f>SUMPRODUCT(('ANALYSE - ERP =&gt; SOUS-SEGMENT'!$B$8:$B$154=$B14)*'ANALYSE - ERP =&gt; SOUS-SEGMENT'!$Q$8:$Q$154*'ANALYSE - ERP =&gt; SOUS-SEGMENT'!$GU$8:$GU$154)</f>
        <v>58.96875</v>
      </c>
      <c r="GS14" s="311">
        <f>SUMPRODUCT(('ANALYSE - ERP =&gt; SOUS-SEGMENT'!$B$8:$B$154=$B14)*'ANALYSE - ERP =&gt; SOUS-SEGMENT'!$Q$8:$Q$154*'ANALYSE - ERP =&gt; SOUS-SEGMENT'!$GV$8:$GV$154)</f>
        <v>3.7151999999999994</v>
      </c>
      <c r="GT14" s="311">
        <f>SUMPRODUCT(('ANALYSE - ERP =&gt; SOUS-SEGMENT'!$B$8:$B$154=$B14)*'ANALYSE - ERP =&gt; SOUS-SEGMENT'!$Q$8:$Q$154*'ANALYSE - ERP =&gt; SOUS-SEGMENT'!$GW$8:$GW$154)</f>
        <v>339.88720000000001</v>
      </c>
      <c r="GU14" s="311">
        <f>SUMPRODUCT(('ANALYSE - ERP =&gt; SOUS-SEGMENT'!$B$8:$B$154=$B14)*'ANALYSE - ERP =&gt; SOUS-SEGMENT'!$Q$8:$Q$154*'ANALYSE - ERP =&gt; SOUS-SEGMENT'!$GX$8:$GX$154)</f>
        <v>314.5</v>
      </c>
      <c r="GV14" s="311">
        <f>SUMPRODUCT(('ANALYSE - ERP =&gt; SOUS-SEGMENT'!$B$8:$B$154=$B14)*'ANALYSE - ERP =&gt; SOUS-SEGMENT'!$Q$8:$Q$154*'ANALYSE - ERP =&gt; SOUS-SEGMENT'!$GY$8:$GY$154)</f>
        <v>25.387199999999996</v>
      </c>
      <c r="GW14" s="311">
        <f>SUMPRODUCT(('ANALYSE - ERP =&gt; SOUS-SEGMENT'!$B$8:$B$154=$B14)*'ANALYSE - ERP =&gt; SOUS-SEGMENT'!$Q$8:$Q$154*'ANALYSE - ERP =&gt; SOUS-SEGMENT'!$GZ$8:$GZ$154)</f>
        <v>24.057600000000001</v>
      </c>
      <c r="GX14" s="311">
        <f>SUMPRODUCT(('ANALYSE - ERP =&gt; SOUS-SEGMENT'!$B$8:$B$154=$B14)*'ANALYSE - ERP =&gt; SOUS-SEGMENT'!$Q$8:$Q$154*'ANALYSE - ERP =&gt; SOUS-SEGMENT'!$HA$8:$HA$154)</f>
        <v>22.2</v>
      </c>
      <c r="GY14" s="311">
        <f>SUMPRODUCT(('ANALYSE - ERP =&gt; SOUS-SEGMENT'!$B$8:$B$154=$B14)*'ANALYSE - ERP =&gt; SOUS-SEGMENT'!$Q$8:$Q$154*'ANALYSE - ERP =&gt; SOUS-SEGMENT'!$HB$8:$HB$154)</f>
        <v>1.8575999999999997</v>
      </c>
      <c r="GZ14" s="311">
        <f>SUMPRODUCT(('ANALYSE - ERP =&gt; SOUS-SEGMENT'!$B$8:$B$154=$B14)*'ANALYSE - ERP =&gt; SOUS-SEGMENT'!$Q$8:$Q$154*'ANALYSE - ERP =&gt; SOUS-SEGMENT'!$HC$8:$HC$154)</f>
        <v>1514.5851244636362</v>
      </c>
      <c r="HA14" s="311">
        <f>SUMPRODUCT(('ANALYSE - ERP =&gt; SOUS-SEGMENT'!$B$8:$B$154=$B14)*'ANALYSE - ERP =&gt; SOUS-SEGMENT'!$Q$8:$Q$154*'ANALYSE - ERP =&gt; SOUS-SEGMENT'!$HD$8:$HD$154)</f>
        <v>1345.0225024636363</v>
      </c>
      <c r="HB14" s="311">
        <f>SUMPRODUCT(('ANALYSE - ERP =&gt; SOUS-SEGMENT'!$B$8:$B$154=$B14)*'ANALYSE - ERP =&gt; SOUS-SEGMENT'!$Q$8:$Q$154*'ANALYSE - ERP =&gt; SOUS-SEGMENT'!$HE$8:$HE$154)</f>
        <v>169.56262199999998</v>
      </c>
      <c r="HC14" s="311">
        <f>SUMPRODUCT(('ANALYSE - ERP =&gt; SOUS-SEGMENT'!$B$8:$B$154=$B14)*'ANALYSE - ERP =&gt; SOUS-SEGMENT'!$Q$8:$Q$154*'ANALYSE - ERP =&gt; SOUS-SEGMENT'!$HF$8:$HF$154)</f>
        <v>6400.1515874615379</v>
      </c>
      <c r="HD14" s="311">
        <f>SUMPRODUCT(('ANALYSE - ERP =&gt; SOUS-SEGMENT'!$B$8:$B$154=$B14)*'ANALYSE - ERP =&gt; SOUS-SEGMENT'!$Q$8:$Q$154*'ANALYSE - ERP =&gt; SOUS-SEGMENT'!$HG$8:$HG$154)</f>
        <v>5419.1577796615393</v>
      </c>
      <c r="HE14" s="311">
        <f>SUMPRODUCT(('ANALYSE - ERP =&gt; SOUS-SEGMENT'!$B$8:$B$154=$B14)*'ANALYSE - ERP =&gt; SOUS-SEGMENT'!$Q$8:$Q$154*'ANALYSE - ERP =&gt; SOUS-SEGMENT'!$HH$8:$HH$154)</f>
        <v>980.99380780000001</v>
      </c>
      <c r="HF14" s="311">
        <f>SUMPRODUCT(('ANALYSE - ERP =&gt; SOUS-SEGMENT'!$B$8:$B$154=$B14)*'ANALYSE - ERP =&gt; SOUS-SEGMENT'!$Q$8:$Q$154*'ANALYSE - ERP =&gt; SOUS-SEGMENT'!$HI$8:$HI$154)</f>
        <v>3191.9989236420633</v>
      </c>
      <c r="HG14" s="311">
        <f>SUMPRODUCT(('ANALYSE - ERP =&gt; SOUS-SEGMENT'!$B$8:$B$154=$B14)*'ANALYSE - ERP =&gt; SOUS-SEGMENT'!$Q$8:$Q$154*'ANALYSE - ERP =&gt; SOUS-SEGMENT'!$HJ$8:$HJ$154)</f>
        <v>2800.8965406420639</v>
      </c>
      <c r="HH14" s="311">
        <f>SUMPRODUCT(('ANALYSE - ERP =&gt; SOUS-SEGMENT'!$B$8:$B$154=$B14)*'ANALYSE - ERP =&gt; SOUS-SEGMENT'!$Q$8:$Q$154*'ANALYSE - ERP =&gt; SOUS-SEGMENT'!$HK$8:$HK$154)</f>
        <v>391.10238299999992</v>
      </c>
      <c r="HI14" s="311">
        <f>SUMPRODUCT(('ANALYSE - ERP =&gt; SOUS-SEGMENT'!$B$8:$B$154=$B14)*'ANALYSE - ERP =&gt; SOUS-SEGMENT'!$Q$8:$Q$154*'ANALYSE - ERP =&gt; SOUS-SEGMENT'!$HL$8:$HL$154)</f>
        <v>2829.7788171636366</v>
      </c>
      <c r="HJ14" s="311">
        <f>SUMPRODUCT(('ANALYSE - ERP =&gt; SOUS-SEGMENT'!$B$8:$B$154=$B14)*'ANALYSE - ERP =&gt; SOUS-SEGMENT'!$Q$8:$Q$154*'ANALYSE - ERP =&gt; SOUS-SEGMENT'!$HM$8:$HM$154)</f>
        <v>2429.7593899636363</v>
      </c>
      <c r="HK14" s="311">
        <f>SUMPRODUCT(('ANALYSE - ERP =&gt; SOUS-SEGMENT'!$B$8:$B$154=$B14)*'ANALYSE - ERP =&gt; SOUS-SEGMENT'!$Q$8:$Q$154*'ANALYSE - ERP =&gt; SOUS-SEGMENT'!$HN$8:$HN$154)</f>
        <v>400.0194272</v>
      </c>
      <c r="HL14" s="311">
        <f>SUMPRODUCT(('ANALYSE - ERP =&gt; SOUS-SEGMENT'!$B$8:$B$154=$B14)*'ANALYSE - ERP =&gt; SOUS-SEGMENT'!$Q$8:$Q$154*'ANALYSE - ERP =&gt; SOUS-SEGMENT'!$HO$8:$HO$154)</f>
        <v>33837.728992633703</v>
      </c>
      <c r="HM14" s="311">
        <f>SUMPRODUCT(('ANALYSE - ERP =&gt; SOUS-SEGMENT'!$B$8:$B$154=$B14)*'ANALYSE - ERP =&gt; SOUS-SEGMENT'!$Q$8:$Q$154*'ANALYSE - ERP =&gt; SOUS-SEGMENT'!$HP$8:$HP$154)</f>
        <v>29154.994332633709</v>
      </c>
      <c r="HN14" s="311">
        <f>SUMPRODUCT(('ANALYSE - ERP =&gt; SOUS-SEGMENT'!$B$8:$B$154=$B14)*'ANALYSE - ERP =&gt; SOUS-SEGMENT'!$Q$8:$Q$154*'ANALYSE - ERP =&gt; SOUS-SEGMENT'!$HQ$8:$HQ$154)</f>
        <v>4682.7346599999992</v>
      </c>
      <c r="HO14" s="311">
        <f>SUMPRODUCT(('ANALYSE - ERP =&gt; SOUS-SEGMENT'!$B$8:$B$154=$B14)*'ANALYSE - ERP =&gt; SOUS-SEGMENT'!$Q$8:$Q$154*'ANALYSE - ERP =&gt; SOUS-SEGMENT'!$HR$8:$HR$154)</f>
        <v>25632.138931719779</v>
      </c>
      <c r="HP14" s="311">
        <f>SUMPRODUCT(('ANALYSE - ERP =&gt; SOUS-SEGMENT'!$B$8:$B$154=$B14)*'ANALYSE - ERP =&gt; SOUS-SEGMENT'!$Q$8:$Q$154*'ANALYSE - ERP =&gt; SOUS-SEGMENT'!$HS$8:$HS$154)</f>
        <v>21148.702209719777</v>
      </c>
      <c r="HQ14" s="311">
        <f>SUMPRODUCT(('ANALYSE - ERP =&gt; SOUS-SEGMENT'!$B$8:$B$154=$B14)*'ANALYSE - ERP =&gt; SOUS-SEGMENT'!$Q$8:$Q$154*'ANALYSE - ERP =&gt; SOUS-SEGMENT'!$HT$8:$HT$154)</f>
        <v>4483.4367219999995</v>
      </c>
      <c r="HR14" s="311">
        <f>SUMPRODUCT(('ANALYSE - ERP =&gt; SOUS-SEGMENT'!$B$8:$B$154=$B14)*'ANALYSE - ERP =&gt; SOUS-SEGMENT'!$Q$8:$Q$154*'ANALYSE - ERP =&gt; SOUS-SEGMENT'!$HU$8:$HU$154)</f>
        <v>16233.776178049999</v>
      </c>
      <c r="HS14" s="311">
        <f>SUMPRODUCT(('ANALYSE - ERP =&gt; SOUS-SEGMENT'!$B$8:$B$154=$B14)*'ANALYSE - ERP =&gt; SOUS-SEGMENT'!$Q$8:$Q$154*'ANALYSE - ERP =&gt; SOUS-SEGMENT'!$HV$8:$HV$154)</f>
        <v>13760.21236005</v>
      </c>
      <c r="HT14" s="311">
        <f>SUMPRODUCT(('ANALYSE - ERP =&gt; SOUS-SEGMENT'!$B$8:$B$154=$B14)*'ANALYSE - ERP =&gt; SOUS-SEGMENT'!$Q$8:$Q$154*'ANALYSE - ERP =&gt; SOUS-SEGMENT'!$HW$8:$HW$154)</f>
        <v>2473.5638179999996</v>
      </c>
      <c r="HV14" s="313">
        <f t="shared" si="40"/>
        <v>480199.8000000001</v>
      </c>
      <c r="HW14" s="313">
        <f>SUMPRODUCT(('ANALYSE - ERP =&gt; SOUS-SEGMENT'!$B$8:$B$154=$B14)*'ANALYSE - ERP =&gt; SOUS-SEGMENT'!$Q$8:$Q$154*'ANALYSE - ERP =&gt; SOUS-SEGMENT'!$HZ$8:$HZ$154)</f>
        <v>26987.558199999996</v>
      </c>
      <c r="HX14" s="313">
        <f>SUMPRODUCT(('ANALYSE - ERP =&gt; SOUS-SEGMENT'!$B$8:$B$154=$B14)*'ANALYSE - ERP =&gt; SOUS-SEGMENT'!$Q$8:$Q$154*'ANALYSE - ERP =&gt; SOUS-SEGMENT'!$IA$8:$IA$154)</f>
        <v>218301.84406</v>
      </c>
      <c r="HY14" s="313">
        <f>SUMPRODUCT(('ANALYSE - ERP =&gt; SOUS-SEGMENT'!$B$8:$B$154=$B14)*'ANALYSE - ERP =&gt; SOUS-SEGMENT'!$Q$8:$Q$154*'ANALYSE - ERP =&gt; SOUS-SEGMENT'!$IB$8:$IB$154)</f>
        <v>209812.07084000003</v>
      </c>
      <c r="HZ14" s="313">
        <f>SUMPRODUCT(('ANALYSE - ERP =&gt; SOUS-SEGMENT'!$B$8:$B$154=$B14)*'ANALYSE - ERP =&gt; SOUS-SEGMENT'!$Q$8:$Q$154*'ANALYSE - ERP =&gt; SOUS-SEGMENT'!$IC$8:$IC$154)</f>
        <v>25073.221100000002</v>
      </c>
      <c r="IA14" s="313">
        <f>SUMPRODUCT(('ANALYSE - ERP =&gt; SOUS-SEGMENT'!$B$8:$B$154=$B14)*'ANALYSE - ERP =&gt; SOUS-SEGMENT'!$Q$8:$Q$154*'ANALYSE - ERP =&gt; SOUS-SEGMENT'!$ID$8:$ID$154)</f>
        <v>25.105800000000002</v>
      </c>
      <c r="IB14" s="313">
        <f>SUMPRODUCT(('ANALYSE - ERP =&gt; SOUS-SEGMENT'!$B$8:$B$154=$B14)*'ANALYSE - ERP =&gt; SOUS-SEGMENT'!$Q$8:$Q$154*'ANALYSE - ERP =&gt; SOUS-SEGMENT'!$IE$8:$IE$154)</f>
        <v>148119.66912517662</v>
      </c>
      <c r="IC14" s="313">
        <f>SUMPRODUCT(('ANALYSE - ERP =&gt; SOUS-SEGMENT'!$B$8:$B$154=$B14)*'ANALYSE - ERP =&gt; SOUS-SEGMENT'!$Q$8:$Q$154*'ANALYSE - ERP =&gt; SOUS-SEGMENT'!$IF$8:$IF$154)</f>
        <v>5407.0285857245963</v>
      </c>
      <c r="ID14" s="313">
        <f>SUMPRODUCT(('ANALYSE - ERP =&gt; SOUS-SEGMENT'!$B$8:$B$154=$B14)*'ANALYSE - ERP =&gt; SOUS-SEGMENT'!$Q$8:$Q$154*'ANALYSE - ERP =&gt; SOUS-SEGMENT'!$IG$8:$IG$154)</f>
        <v>63280.623087488573</v>
      </c>
      <c r="IE14" s="313">
        <f>SUMPRODUCT(('ANALYSE - ERP =&gt; SOUS-SEGMENT'!$B$8:$B$154=$B14)*'ANALYSE - ERP =&gt; SOUS-SEGMENT'!$Q$8:$Q$154*'ANALYSE - ERP =&gt; SOUS-SEGMENT'!$IH$8:$IH$154)</f>
        <v>68088.916306206549</v>
      </c>
      <c r="IF14" s="313">
        <f>SUMPRODUCT(('ANALYSE - ERP =&gt; SOUS-SEGMENT'!$B$8:$B$154=$B14)*'ANALYSE - ERP =&gt; SOUS-SEGMENT'!$Q$8:$Q$154*'ANALYSE - ERP =&gt; SOUS-SEGMENT'!$II$8:$II$154)</f>
        <v>10744.786529884792</v>
      </c>
      <c r="IG14" s="313">
        <f>SUMPRODUCT(('ANALYSE - ERP =&gt; SOUS-SEGMENT'!$B$8:$B$154=$B14)*'ANALYSE - ERP =&gt; SOUS-SEGMENT'!$Q$8:$Q$154*'ANALYSE - ERP =&gt; SOUS-SEGMENT'!$IJ$8:$IJ$154)</f>
        <v>598.31461587214619</v>
      </c>
      <c r="IH14" s="866"/>
      <c r="II14" s="314" t="s">
        <v>2589</v>
      </c>
      <c r="IJ14" s="299" t="s">
        <v>7559</v>
      </c>
      <c r="IK14" s="657"/>
      <c r="IL14" s="779">
        <f>IFERROR(SUMPRODUCT(('ANALYSE - ERP =&gt; SOUS-SEGMENT'!$B$8:$B$154=$B14)*'ANALYSE - ERP =&gt; SOUS-SEGMENT'!$Q$8:$Q$154*'ANALYSE - ERP =&gt; SOUS-SEGMENT'!$BE$8:$BE$154*'ANALYSE - ERP =&gt; SOUS-SEGMENT'!$IO$8:$IO$154)/SUMPRODUCT(('ANALYSE - ERP =&gt; SOUS-SEGMENT'!$B$8:$B$154=$B14)*'ANALYSE - ERP =&gt; SOUS-SEGMENT'!$Q$8:$Q$154*'ANALYSE - ERP =&gt; SOUS-SEGMENT'!$BE$8:$BE$154),0)</f>
        <v>5.1875950768121973E-2</v>
      </c>
      <c r="IM14" s="780">
        <f>IFERROR(SUMPRODUCT(('ANALYSE - ERP =&gt; SOUS-SEGMENT'!$B$8:$B$154=$B14)*'ANALYSE - ERP =&gt; SOUS-SEGMENT'!$Q$8:$Q$154*'ANALYSE - ERP =&gt; SOUS-SEGMENT'!$BE$8:$BE$154*'ANALYSE - ERP =&gt; SOUS-SEGMENT'!$IP$8:$IP$154)/SUMPRODUCT(('ANALYSE - ERP =&gt; SOUS-SEGMENT'!$B$8:$B$154=$B14)*'ANALYSE - ERP =&gt; SOUS-SEGMENT'!$Q$8:$Q$154*'ANALYSE - ERP =&gt; SOUS-SEGMENT'!$BE$8:$BE$154),0)</f>
        <v>0.44028488595072524</v>
      </c>
      <c r="IN14" s="780">
        <f>IFERROR(SUMPRODUCT(('ANALYSE - ERP =&gt; SOUS-SEGMENT'!$B$8:$B$154=$B14)*'ANALYSE - ERP =&gt; SOUS-SEGMENT'!$Q$8:$Q$154*'ANALYSE - ERP =&gt; SOUS-SEGMENT'!$BE$8:$BE$154*'ANALYSE - ERP =&gt; SOUS-SEGMENT'!$IQ$8:$IQ$154)/SUMPRODUCT(('ANALYSE - ERP =&gt; SOUS-SEGMENT'!$B$8:$B$154=$B14)*'ANALYSE - ERP =&gt; SOUS-SEGMENT'!$Q$8:$Q$154*'ANALYSE - ERP =&gt; SOUS-SEGMENT'!$BE$8:$BE$154),0)</f>
        <v>0.44909556629958686</v>
      </c>
      <c r="IO14" s="780">
        <f>IFERROR(SUMPRODUCT(('ANALYSE - ERP =&gt; SOUS-SEGMENT'!$B$8:$B$154=$B14)*'ANALYSE - ERP =&gt; SOUS-SEGMENT'!$Q$8:$Q$154*'ANALYSE - ERP =&gt; SOUS-SEGMENT'!$BE$8:$BE$154*'ANALYSE - ERP =&gt; SOUS-SEGMENT'!$IR$8:$IR$154)/SUMPRODUCT(('ANALYSE - ERP =&gt; SOUS-SEGMENT'!$B$8:$B$154=$B14)*'ANALYSE - ERP =&gt; SOUS-SEGMENT'!$Q$8:$Q$154*'ANALYSE - ERP =&gt; SOUS-SEGMENT'!$BE$8:$BE$154),0)</f>
        <v>5.867429483357E-2</v>
      </c>
      <c r="IP14" s="781">
        <f>IFERROR(SUMPRODUCT(('ANALYSE - ERP =&gt; SOUS-SEGMENT'!$B$8:$B$154=$B14)*'ANALYSE - ERP =&gt; SOUS-SEGMENT'!$Q$8:$Q$154*'ANALYSE - ERP =&gt; SOUS-SEGMENT'!$BE$8:$BE$154*'ANALYSE - ERP =&gt; SOUS-SEGMENT'!$IS$8:$IS$154)/SUMPRODUCT(('ANALYSE - ERP =&gt; SOUS-SEGMENT'!$B$8:$B$154=$B14)*'ANALYSE - ERP =&gt; SOUS-SEGMENT'!$Q$8:$Q$154*'ANALYSE - ERP =&gt; SOUS-SEGMENT'!$BE$8:$BE$154),0)</f>
        <v>6.930214799593309E-5</v>
      </c>
      <c r="IQ14" s="780">
        <f>IFERROR(SUMPRODUCT(('ANALYSE - ERP =&gt; SOUS-SEGMENT'!$B$8:$B$154=$B14)*'ANALYSE - ERP =&gt; SOUS-SEGMENT'!$Q$8:$Q$154*'ANALYSE - ERP =&gt; SOUS-SEGMENT'!$FB$8:$FB$154*'ANALYSE - ERP =&gt; SOUS-SEGMENT'!$IT$8:$IT$154)/SUMPRODUCT(('ANALYSE - ERP =&gt; SOUS-SEGMENT'!$B$8:$B$154=$B14)*'ANALYSE - ERP =&gt; SOUS-SEGMENT'!$Q$8:$Q$154*'ANALYSE - ERP =&gt; SOUS-SEGMENT'!$FB$8:$FB$154),0)</f>
        <v>3.2036394267088909E-2</v>
      </c>
      <c r="IR14" s="780">
        <f>IFERROR(SUMPRODUCT(('ANALYSE - ERP =&gt; SOUS-SEGMENT'!$B$8:$B$154=$B14)*'ANALYSE - ERP =&gt; SOUS-SEGMENT'!$Q$8:$Q$154*'ANALYSE - ERP =&gt; SOUS-SEGMENT'!$FB$8:$FB$154*'ANALYSE - ERP =&gt; SOUS-SEGMENT'!$IU$8:$IU$154)/SUMPRODUCT(('ANALYSE - ERP =&gt; SOUS-SEGMENT'!$B$8:$B$154=$B14)*'ANALYSE - ERP =&gt; SOUS-SEGMENT'!$Q$8:$Q$154*'ANALYSE - ERP =&gt; SOUS-SEGMENT'!$FB$8:$FB$154),0)</f>
        <v>0.41105017613305611</v>
      </c>
      <c r="IS14" s="780">
        <f>IFERROR(SUMPRODUCT(('ANALYSE - ERP =&gt; SOUS-SEGMENT'!$B$8:$B$154=$B14)*'ANALYSE - ERP =&gt; SOUS-SEGMENT'!$Q$8:$Q$154*'ANALYSE - ERP =&gt; SOUS-SEGMENT'!$FB$8:$FB$154*'ANALYSE - ERP =&gt; SOUS-SEGMENT'!$IV$8:$IV$154)/SUMPRODUCT(('ANALYSE - ERP =&gt; SOUS-SEGMENT'!$B$8:$B$154=$B14)*'ANALYSE - ERP =&gt; SOUS-SEGMENT'!$Q$8:$Q$154*'ANALYSE - ERP =&gt; SOUS-SEGMENT'!$FB$8:$FB$154),0)</f>
        <v>0.47305489759543506</v>
      </c>
      <c r="IT14" s="780">
        <f>IFERROR(SUMPRODUCT(('ANALYSE - ERP =&gt; SOUS-SEGMENT'!$B$8:$B$154=$B14)*'ANALYSE - ERP =&gt; SOUS-SEGMENT'!$Q$8:$Q$154*'ANALYSE - ERP =&gt; SOUS-SEGMENT'!$FB$8:$FB$154*'ANALYSE - ERP =&gt; SOUS-SEGMENT'!$IW$8:$IW$154)/SUMPRODUCT(('ANALYSE - ERP =&gt; SOUS-SEGMENT'!$B$8:$B$154=$B14)*'ANALYSE - ERP =&gt; SOUS-SEGMENT'!$Q$8:$Q$154*'ANALYSE - ERP =&gt; SOUS-SEGMENT'!$FB$8:$FB$154),0)</f>
        <v>7.9770734653879252E-2</v>
      </c>
      <c r="IU14" s="780">
        <f>IFERROR(SUMPRODUCT(('ANALYSE - ERP =&gt; SOUS-SEGMENT'!$B$8:$B$154=$B14)*'ANALYSE - ERP =&gt; SOUS-SEGMENT'!$Q$8:$Q$154*'ANALYSE - ERP =&gt; SOUS-SEGMENT'!$FB$8:$FB$154*'ANALYSE - ERP =&gt; SOUS-SEGMENT'!$IX$8:$IX$154)/SUMPRODUCT(('ANALYSE - ERP =&gt; SOUS-SEGMENT'!$B$8:$B$154=$B14)*'ANALYSE - ERP =&gt; SOUS-SEGMENT'!$Q$8:$Q$154*'ANALYSE - ERP =&gt; SOUS-SEGMENT'!$FB$8:$FB$154),0)</f>
        <v>4.0877973505405799E-3</v>
      </c>
      <c r="IV14" s="772">
        <f>IFERROR(SUMPRODUCT(('ANALYSE - ERP =&gt; SOUS-SEGMENT'!$B$8:$B$154=$B14)*'ANALYSE - ERP =&gt; SOUS-SEGMENT'!$Q$8:$Q$154*'ANALYSE - ERP =&gt; SOUS-SEGMENT'!$BF$8:$BF$154*'ANALYSE - ERP =&gt; SOUS-SEGMENT'!$IY$8:$IY$154)/SUMPRODUCT(('ANALYSE - ERP =&gt; SOUS-SEGMENT'!$B$8:$B$154=$B14)*'ANALYSE - ERP =&gt; SOUS-SEGMENT'!$Q$8:$Q$154*'ANALYSE - ERP =&gt; SOUS-SEGMENT'!$BF$8:$BF$154),0)</f>
        <v>0.10220000000000001</v>
      </c>
      <c r="IW14" s="773">
        <f>IFERROR(SUMPRODUCT(('ANALYSE - ERP =&gt; SOUS-SEGMENT'!$B$8:$B$154=$B14)*'ANALYSE - ERP =&gt; SOUS-SEGMENT'!$Q$8:$Q$154*'ANALYSE - ERP =&gt; SOUS-SEGMENT'!$BF$8:$BF$154*'ANALYSE - ERP =&gt; SOUS-SEGMENT'!$IZ$8:$IZ$154)/SUMPRODUCT(('ANALYSE - ERP =&gt; SOUS-SEGMENT'!$B$8:$B$154=$B14)*'ANALYSE - ERP =&gt; SOUS-SEGMENT'!$Q$8:$Q$154*'ANALYSE - ERP =&gt; SOUS-SEGMENT'!$BF$8:$BF$154),0)</f>
        <v>0.54190000000000005</v>
      </c>
      <c r="IX14" s="773">
        <f>IFERROR(SUMPRODUCT(('ANALYSE - ERP =&gt; SOUS-SEGMENT'!$B$8:$B$154=$B14)*'ANALYSE - ERP =&gt; SOUS-SEGMENT'!$Q$8:$Q$154*'ANALYSE - ERP =&gt; SOUS-SEGMENT'!$BF$8:$BF$154*'ANALYSE - ERP =&gt; SOUS-SEGMENT'!$JA$8:$JA$154)/SUMPRODUCT(('ANALYSE - ERP =&gt; SOUS-SEGMENT'!$B$8:$B$154=$B14)*'ANALYSE - ERP =&gt; SOUS-SEGMENT'!$Q$8:$Q$154*'ANALYSE - ERP =&gt; SOUS-SEGMENT'!$BF$8:$BF$154),0)</f>
        <v>0.33110000000000001</v>
      </c>
      <c r="IY14" s="773">
        <f>IFERROR(SUMPRODUCT(('ANALYSE - ERP =&gt; SOUS-SEGMENT'!$B$8:$B$154=$B14)*'ANALYSE - ERP =&gt; SOUS-SEGMENT'!$Q$8:$Q$154*'ANALYSE - ERP =&gt; SOUS-SEGMENT'!$BF$8:$BF$154*'ANALYSE - ERP =&gt; SOUS-SEGMENT'!$JB$8:$JB$154)/SUMPRODUCT(('ANALYSE - ERP =&gt; SOUS-SEGMENT'!$B$8:$B$154=$B14)*'ANALYSE - ERP =&gt; SOUS-SEGMENT'!$Q$8:$Q$154*'ANALYSE - ERP =&gt; SOUS-SEGMENT'!$BF$8:$BF$154),0)</f>
        <v>2.4799999999999999E-2</v>
      </c>
      <c r="IZ14" s="774">
        <f>IFERROR(SUMPRODUCT(('ANALYSE - ERP =&gt; SOUS-SEGMENT'!$B$8:$B$154=$B14)*'ANALYSE - ERP =&gt; SOUS-SEGMENT'!$Q$8:$Q$154*'ANALYSE - ERP =&gt; SOUS-SEGMENT'!$BF$8:$BF$154*'ANALYSE - ERP =&gt; SOUS-SEGMENT'!$JC$8:$JC$154)/SUMPRODUCT(('ANALYSE - ERP =&gt; SOUS-SEGMENT'!$B$8:$B$154=$B14)*'ANALYSE - ERP =&gt; SOUS-SEGMENT'!$Q$8:$Q$154*'ANALYSE - ERP =&gt; SOUS-SEGMENT'!$BF$8:$BF$154),0)</f>
        <v>0</v>
      </c>
      <c r="JA14" s="773">
        <f>IFERROR(SUMPRODUCT(('ANALYSE - ERP =&gt; SOUS-SEGMENT'!$B$8:$B$154=$B14)*'ANALYSE - ERP =&gt; SOUS-SEGMENT'!$Q$8:$Q$154*'ANALYSE - ERP =&gt; SOUS-SEGMENT'!$FE$8:$FE$154*'ANALYSE - ERP =&gt; SOUS-SEGMENT'!$JD$8:$JD$154)/SUMPRODUCT(('ANALYSE - ERP =&gt; SOUS-SEGMENT'!$B$8:$B$154=$B14)*'ANALYSE - ERP =&gt; SOUS-SEGMENT'!$Q$8:$Q$154*'ANALYSE - ERP =&gt; SOUS-SEGMENT'!$FE$8:$FE$154),0)</f>
        <v>8.8099999999999998E-2</v>
      </c>
      <c r="JB14" s="773">
        <f>IFERROR(SUMPRODUCT(('ANALYSE - ERP =&gt; SOUS-SEGMENT'!$B$8:$B$154=$B14)*'ANALYSE - ERP =&gt; SOUS-SEGMENT'!$Q$8:$Q$154*'ANALYSE - ERP =&gt; SOUS-SEGMENT'!$FE$8:$FE$154*'ANALYSE - ERP =&gt; SOUS-SEGMENT'!$JE$8:$JE$154)/SUMPRODUCT(('ANALYSE - ERP =&gt; SOUS-SEGMENT'!$B$8:$B$154=$B14)*'ANALYSE - ERP =&gt; SOUS-SEGMENT'!$Q$8:$Q$154*'ANALYSE - ERP =&gt; SOUS-SEGMENT'!$FE$8:$FE$154),0)</f>
        <v>0.52459999999999996</v>
      </c>
      <c r="JC14" s="773">
        <f>IFERROR(SUMPRODUCT(('ANALYSE - ERP =&gt; SOUS-SEGMENT'!$B$8:$B$154=$B14)*'ANALYSE - ERP =&gt; SOUS-SEGMENT'!$Q$8:$Q$154*'ANALYSE - ERP =&gt; SOUS-SEGMENT'!$FE$8:$FE$154*'ANALYSE - ERP =&gt; SOUS-SEGMENT'!$JF$8:$JF$154)/SUMPRODUCT(('ANALYSE - ERP =&gt; SOUS-SEGMENT'!$B$8:$B$154=$B14)*'ANALYSE - ERP =&gt; SOUS-SEGMENT'!$Q$8:$Q$154*'ANALYSE - ERP =&gt; SOUS-SEGMENT'!$FE$8:$FE$154),0)</f>
        <v>0.34520000000000006</v>
      </c>
      <c r="JD14" s="773">
        <f>IFERROR(SUMPRODUCT(('ANALYSE - ERP =&gt; SOUS-SEGMENT'!$B$8:$B$154=$B14)*'ANALYSE - ERP =&gt; SOUS-SEGMENT'!$Q$8:$Q$154*'ANALYSE - ERP =&gt; SOUS-SEGMENT'!$FE$8:$FE$154*'ANALYSE - ERP =&gt; SOUS-SEGMENT'!$JG$8:$JG$154)/SUMPRODUCT(('ANALYSE - ERP =&gt; SOUS-SEGMENT'!$B$8:$B$154=$B14)*'ANALYSE - ERP =&gt; SOUS-SEGMENT'!$Q$8:$Q$154*'ANALYSE - ERP =&gt; SOUS-SEGMENT'!$FE$8:$FE$154),0)</f>
        <v>3.8899999999999997E-2</v>
      </c>
      <c r="JE14" s="773">
        <f>IFERROR(SUMPRODUCT(('ANALYSE - ERP =&gt; SOUS-SEGMENT'!$B$8:$B$154=$B14)*'ANALYSE - ERP =&gt; SOUS-SEGMENT'!$Q$8:$Q$154*'ANALYSE - ERP =&gt; SOUS-SEGMENT'!$FE$8:$FE$154*'ANALYSE - ERP =&gt; SOUS-SEGMENT'!$JH$8:$JH$154)/SUMPRODUCT(('ANALYSE - ERP =&gt; SOUS-SEGMENT'!$B$8:$B$154=$B14)*'ANALYSE - ERP =&gt; SOUS-SEGMENT'!$Q$8:$Q$154*'ANALYSE - ERP =&gt; SOUS-SEGMENT'!$FE$8:$FE$154),0)</f>
        <v>3.2000000000000002E-3</v>
      </c>
      <c r="JF14" s="782">
        <f>IFERROR(SUMPRODUCT(('ANALYSE - ERP =&gt; SOUS-SEGMENT'!$B$8:$B$154=$B14)*'ANALYSE - ERP =&gt; SOUS-SEGMENT'!$Q$8:$Q$154*'ANALYSE - ERP =&gt; SOUS-SEGMENT'!$BG$8:$BG$154*'ANALYSE - ERP =&gt; SOUS-SEGMENT'!$JI$8:$JI$154)/SUMPRODUCT(('ANALYSE - ERP =&gt; SOUS-SEGMENT'!$B$8:$B$154=$B14)*'ANALYSE - ERP =&gt; SOUS-SEGMENT'!$Q$8:$Q$154*'ANALYSE - ERP =&gt; SOUS-SEGMENT'!$BG$8:$BG$154),0)</f>
        <v>9.1749661373956501E-2</v>
      </c>
      <c r="JG14" s="780">
        <f>IFERROR(SUMPRODUCT(('ANALYSE - ERP =&gt; SOUS-SEGMENT'!$B$8:$B$154=$B14)*'ANALYSE - ERP =&gt; SOUS-SEGMENT'!$Q$8:$Q$154*'ANALYSE - ERP =&gt; SOUS-SEGMENT'!$BG$8:$BG$154*'ANALYSE - ERP =&gt; SOUS-SEGMENT'!$JJ$8:$JJ$154)/SUMPRODUCT(('ANALYSE - ERP =&gt; SOUS-SEGMENT'!$B$8:$B$154=$B14)*'ANALYSE - ERP =&gt; SOUS-SEGMENT'!$Q$8:$Q$154*'ANALYSE - ERP =&gt; SOUS-SEGMENT'!$BG$8:$BG$154),0)</f>
        <v>0.5611714867920925</v>
      </c>
      <c r="JH14" s="780">
        <f>IFERROR(SUMPRODUCT(('ANALYSE - ERP =&gt; SOUS-SEGMENT'!$B$8:$B$154=$B14)*'ANALYSE - ERP =&gt; SOUS-SEGMENT'!$Q$8:$Q$154*'ANALYSE - ERP =&gt; SOUS-SEGMENT'!$BG$8:$BG$154*'ANALYSE - ERP =&gt; SOUS-SEGMENT'!$JK$8:$JK$154)/SUMPRODUCT(('ANALYSE - ERP =&gt; SOUS-SEGMENT'!$B$8:$B$154=$B14)*'ANALYSE - ERP =&gt; SOUS-SEGMENT'!$Q$8:$Q$154*'ANALYSE - ERP =&gt; SOUS-SEGMENT'!$BG$8:$BG$154),0)</f>
        <v>0.31458555871805427</v>
      </c>
      <c r="JI14" s="780">
        <f>IFERROR(SUMPRODUCT(('ANALYSE - ERP =&gt; SOUS-SEGMENT'!$B$8:$B$154=$B14)*'ANALYSE - ERP =&gt; SOUS-SEGMENT'!$Q$8:$Q$154*'ANALYSE - ERP =&gt; SOUS-SEGMENT'!$BG$8:$BG$154*'ANALYSE - ERP =&gt; SOUS-SEGMENT'!$JL$8:$JL$154)/SUMPRODUCT(('ANALYSE - ERP =&gt; SOUS-SEGMENT'!$B$8:$B$154=$B14)*'ANALYSE - ERP =&gt; SOUS-SEGMENT'!$Q$8:$Q$154*'ANALYSE - ERP =&gt; SOUS-SEGMENT'!$BG$8:$BG$154),0)</f>
        <v>2.531312615983149E-2</v>
      </c>
      <c r="JJ14" s="781">
        <f>IFERROR(SUMPRODUCT(('ANALYSE - ERP =&gt; SOUS-SEGMENT'!$B$8:$B$154=$B14)*'ANALYSE - ERP =&gt; SOUS-SEGMENT'!$Q$8:$Q$154*'ANALYSE - ERP =&gt; SOUS-SEGMENT'!$BG$8:$BG$154*'ANALYSE - ERP =&gt; SOUS-SEGMENT'!$JM$8:$JM$154)/SUMPRODUCT(('ANALYSE - ERP =&gt; SOUS-SEGMENT'!$B$8:$B$154=$B14)*'ANALYSE - ERP =&gt; SOUS-SEGMENT'!$Q$8:$Q$154*'ANALYSE - ERP =&gt; SOUS-SEGMENT'!$BG$8:$BG$154),0)</f>
        <v>1.9792468479434807E-5</v>
      </c>
      <c r="JK14" s="780">
        <f>IFERROR(SUMPRODUCT(('ANALYSE - ERP =&gt; SOUS-SEGMENT'!$B$8:$B$154=$B14)*'ANALYSE - ERP =&gt; SOUS-SEGMENT'!$Q$8:$Q$154*'ANALYSE - ERP =&gt; SOUS-SEGMENT'!$FH$8:$FH$154*'ANALYSE - ERP =&gt; SOUS-SEGMENT'!$JN$8:$JN$154)/SUMPRODUCT(('ANALYSE - ERP =&gt; SOUS-SEGMENT'!$B$8:$B$154=$B14)*'ANALYSE - ERP =&gt; SOUS-SEGMENT'!$Q$8:$Q$154*'ANALYSE - ERP =&gt; SOUS-SEGMENT'!$FH$8:$FH$154),0)</f>
        <v>6.8902715043841101E-2</v>
      </c>
      <c r="JL14" s="780">
        <f>IFERROR(SUMPRODUCT(('ANALYSE - ERP =&gt; SOUS-SEGMENT'!$B$8:$B$154=$B14)*'ANALYSE - ERP =&gt; SOUS-SEGMENT'!$Q$8:$Q$154*'ANALYSE - ERP =&gt; SOUS-SEGMENT'!$FH$8:$FH$154*'ANALYSE - ERP =&gt; SOUS-SEGMENT'!$JO$8:$JO$154)/SUMPRODUCT(('ANALYSE - ERP =&gt; SOUS-SEGMENT'!$B$8:$B$154=$B14)*'ANALYSE - ERP =&gt; SOUS-SEGMENT'!$Q$8:$Q$154*'ANALYSE - ERP =&gt; SOUS-SEGMENT'!$FH$8:$FH$154),0)</f>
        <v>0.53241397711096194</v>
      </c>
      <c r="JM14" s="780">
        <f>IFERROR(SUMPRODUCT(('ANALYSE - ERP =&gt; SOUS-SEGMENT'!$B$8:$B$154=$B14)*'ANALYSE - ERP =&gt; SOUS-SEGMENT'!$Q$8:$Q$154*'ANALYSE - ERP =&gt; SOUS-SEGMENT'!$FH$8:$FH$154*'ANALYSE - ERP =&gt; SOUS-SEGMENT'!$JP$8:$JP$154)/SUMPRODUCT(('ANALYSE - ERP =&gt; SOUS-SEGMENT'!$B$8:$B$154=$B14)*'ANALYSE - ERP =&gt; SOUS-SEGMENT'!$Q$8:$Q$154*'ANALYSE - ERP =&gt; SOUS-SEGMENT'!$FH$8:$FH$154),0)</f>
        <v>0.34189387101222757</v>
      </c>
      <c r="JN14" s="780">
        <f>IFERROR(SUMPRODUCT(('ANALYSE - ERP =&gt; SOUS-SEGMENT'!$B$8:$B$154=$B14)*'ANALYSE - ERP =&gt; SOUS-SEGMENT'!$Q$8:$Q$154*'ANALYSE - ERP =&gt; SOUS-SEGMENT'!$FH$8:$FH$154*'ANALYSE - ERP =&gt; SOUS-SEGMENT'!$JQ$8:$JQ$154)/SUMPRODUCT(('ANALYSE - ERP =&gt; SOUS-SEGMENT'!$B$8:$B$154=$B14)*'ANALYSE - ERP =&gt; SOUS-SEGMENT'!$Q$8:$Q$154*'ANALYSE - ERP =&gt; SOUS-SEGMENT'!$FH$8:$FH$154),0)</f>
        <v>4.4391254536141928E-2</v>
      </c>
      <c r="JO14" s="780">
        <f>IFERROR(SUMPRODUCT(('ANALYSE - ERP =&gt; SOUS-SEGMENT'!$B$8:$B$154=$B14)*'ANALYSE - ERP =&gt; SOUS-SEGMENT'!$Q$8:$Q$154*'ANALYSE - ERP =&gt; SOUS-SEGMENT'!$FH$8:$FH$154*'ANALYSE - ERP =&gt; SOUS-SEGMENT'!$JR$8:$JR$154)/SUMPRODUCT(('ANALYSE - ERP =&gt; SOUS-SEGMENT'!$B$8:$B$154=$B14)*'ANALYSE - ERP =&gt; SOUS-SEGMENT'!$Q$8:$Q$154*'ANALYSE - ERP =&gt; SOUS-SEGMENT'!$FH$8:$FH$154),0)</f>
        <v>3.7152479780194966E-3</v>
      </c>
      <c r="JP14" s="782">
        <f>IFERROR(SUMPRODUCT(('ANALYSE - ERP =&gt; SOUS-SEGMENT'!$B$8:$B$154=$B14)*'ANALYSE - ERP =&gt; SOUS-SEGMENT'!$Q$8:$Q$154*'ANALYSE - ERP =&gt; SOUS-SEGMENT'!$BH$8:$BH$154*'ANALYSE - ERP =&gt; SOUS-SEGMENT'!$JS$8:$JS$154)/SUMPRODUCT(('ANALYSE - ERP =&gt; SOUS-SEGMENT'!$B$8:$B$154=$B14)*'ANALYSE - ERP =&gt; SOUS-SEGMENT'!$Q$8:$Q$154*'ANALYSE - ERP =&gt; SOUS-SEGMENT'!$BH$8:$BH$154),0)</f>
        <v>5.510355974293614E-2</v>
      </c>
      <c r="JQ14" s="780">
        <f>IFERROR(SUMPRODUCT(('ANALYSE - ERP =&gt; SOUS-SEGMENT'!$B$8:$B$154=$B14)*'ANALYSE - ERP =&gt; SOUS-SEGMENT'!$Q$8:$Q$154*'ANALYSE - ERP =&gt; SOUS-SEGMENT'!$BH$8:$BH$154*'ANALYSE - ERP =&gt; SOUS-SEGMENT'!$JT$8:$JT$154)/SUMPRODUCT(('ANALYSE - ERP =&gt; SOUS-SEGMENT'!$B$8:$B$154=$B14)*'ANALYSE - ERP =&gt; SOUS-SEGMENT'!$Q$8:$Q$154*'ANALYSE - ERP =&gt; SOUS-SEGMENT'!$BH$8:$BH$154),0)</f>
        <v>0.45267012735833556</v>
      </c>
      <c r="JR14" s="780">
        <f>IFERROR(SUMPRODUCT(('ANALYSE - ERP =&gt; SOUS-SEGMENT'!$B$8:$B$154=$B14)*'ANALYSE - ERP =&gt; SOUS-SEGMENT'!$Q$8:$Q$154*'ANALYSE - ERP =&gt; SOUS-SEGMENT'!$BH$8:$BH$154*'ANALYSE - ERP =&gt; SOUS-SEGMENT'!$JU$8:$JU$154)/SUMPRODUCT(('ANALYSE - ERP =&gt; SOUS-SEGMENT'!$B$8:$B$154=$B14)*'ANALYSE - ERP =&gt; SOUS-SEGMENT'!$Q$8:$Q$154*'ANALYSE - ERP =&gt; SOUS-SEGMENT'!$BH$8:$BH$154),0)</f>
        <v>0.44276549917613772</v>
      </c>
      <c r="JS14" s="780">
        <f>IFERROR(SUMPRODUCT(('ANALYSE - ERP =&gt; SOUS-SEGMENT'!$B$8:$B$154=$B14)*'ANALYSE - ERP =&gt; SOUS-SEGMENT'!$Q$8:$Q$154*'ANALYSE - ERP =&gt; SOUS-SEGMENT'!$BH$8:$BH$154*'ANALYSE - ERP =&gt; SOUS-SEGMENT'!$JV$8:$JV$154)/SUMPRODUCT(('ANALYSE - ERP =&gt; SOUS-SEGMENT'!$B$8:$B$154=$B14)*'ANALYSE - ERP =&gt; SOUS-SEGMENT'!$Q$8:$Q$154*'ANALYSE - ERP =&gt; SOUS-SEGMENT'!$BH$8:$BH$154),0)</f>
        <v>4.9421906760366341E-2</v>
      </c>
      <c r="JT14" s="781">
        <f>IFERROR(SUMPRODUCT(('ANALYSE - ERP =&gt; SOUS-SEGMENT'!$B$8:$B$154=$B14)*'ANALYSE - ERP =&gt; SOUS-SEGMENT'!$Q$8:$Q$154*'ANALYSE - ERP =&gt; SOUS-SEGMENT'!$BH$8:$BH$154*'ANALYSE - ERP =&gt; SOUS-SEGMENT'!$JW$8:$JW$154)/SUMPRODUCT(('ANALYSE - ERP =&gt; SOUS-SEGMENT'!$B$8:$B$154=$B14)*'ANALYSE - ERP =&gt; SOUS-SEGMENT'!$Q$8:$Q$154*'ANALYSE - ERP =&gt; SOUS-SEGMENT'!$BH$8:$BH$154),0)</f>
        <v>3.8906962224381638E-5</v>
      </c>
      <c r="JU14" s="782">
        <f>IFERROR(SUMPRODUCT(('ANALYSE - ERP =&gt; SOUS-SEGMENT'!$B$8:$B$154=$B14)*'ANALYSE - ERP =&gt; SOUS-SEGMENT'!$Q$8:$Q$154*'ANALYSE - ERP =&gt; SOUS-SEGMENT'!$FK$8:$FK$154*'ANALYSE - ERP =&gt; SOUS-SEGMENT'!$JX$8:$JX$154)/SUMPRODUCT(('ANALYSE - ERP =&gt; SOUS-SEGMENT'!$B$8:$B$154=$B14)*'ANALYSE - ERP =&gt; SOUS-SEGMENT'!$Q$8:$Q$154*'ANALYSE - ERP =&gt; SOUS-SEGMENT'!$FK$8:$FK$154),0)</f>
        <v>3.5065927923157464E-2</v>
      </c>
      <c r="JV14" s="780">
        <f>IFERROR(SUMPRODUCT(('ANALYSE - ERP =&gt; SOUS-SEGMENT'!$B$8:$B$154=$B14)*'ANALYSE - ERP =&gt; SOUS-SEGMENT'!$Q$8:$Q$154*'ANALYSE - ERP =&gt; SOUS-SEGMENT'!$FK$8:$FK$154*'ANALYSE - ERP =&gt; SOUS-SEGMENT'!$JY$8:$JY$154)/SUMPRODUCT(('ANALYSE - ERP =&gt; SOUS-SEGMENT'!$B$8:$B$154=$B14)*'ANALYSE - ERP =&gt; SOUS-SEGMENT'!$Q$8:$Q$154*'ANALYSE - ERP =&gt; SOUS-SEGMENT'!$FK$8:$FK$154),0)</f>
        <v>0.42435765233418526</v>
      </c>
      <c r="JW14" s="780">
        <f>IFERROR(SUMPRODUCT(('ANALYSE - ERP =&gt; SOUS-SEGMENT'!$B$8:$B$154=$B14)*'ANALYSE - ERP =&gt; SOUS-SEGMENT'!$Q$8:$Q$154*'ANALYSE - ERP =&gt; SOUS-SEGMENT'!$FK$8:$FK$154*'ANALYSE - ERP =&gt; SOUS-SEGMENT'!$JZ$8:$JZ$154)/SUMPRODUCT(('ANALYSE - ERP =&gt; SOUS-SEGMENT'!$B$8:$B$154=$B14)*'ANALYSE - ERP =&gt; SOUS-SEGMENT'!$Q$8:$Q$154*'ANALYSE - ERP =&gt; SOUS-SEGMENT'!$FK$8:$FK$154),0)</f>
        <v>0.46672927312567386</v>
      </c>
      <c r="JX14" s="780">
        <f>IFERROR(SUMPRODUCT(('ANALYSE - ERP =&gt; SOUS-SEGMENT'!$B$8:$B$154=$B14)*'ANALYSE - ERP =&gt; SOUS-SEGMENT'!$Q$8:$Q$154*'ANALYSE - ERP =&gt; SOUS-SEGMENT'!$FK$8:$FK$154*'ANALYSE - ERP =&gt; SOUS-SEGMENT'!$KA$8:$KA$154)/SUMPRODUCT(('ANALYSE - ERP =&gt; SOUS-SEGMENT'!$B$8:$B$154=$B14)*'ANALYSE - ERP =&gt; SOUS-SEGMENT'!$Q$8:$Q$154*'ANALYSE - ERP =&gt; SOUS-SEGMENT'!$FK$8:$FK$154),0)</f>
        <v>6.9802655684092454E-2</v>
      </c>
      <c r="JY14" s="783">
        <f>IFERROR(SUMPRODUCT(('ANALYSE - ERP =&gt; SOUS-SEGMENT'!$B$8:$B$154=$B14)*'ANALYSE - ERP =&gt; SOUS-SEGMENT'!$Q$8:$Q$154*'ANALYSE - ERP =&gt; SOUS-SEGMENT'!$FK$8:$FK$154*'ANALYSE - ERP =&gt; SOUS-SEGMENT'!$KB$8:$KB$154)/SUMPRODUCT(('ANALYSE - ERP =&gt; SOUS-SEGMENT'!$B$8:$B$154=$B14)*'ANALYSE - ERP =&gt; SOUS-SEGMENT'!$Q$8:$Q$154*'ANALYSE - ERP =&gt; SOUS-SEGMENT'!$FK$8:$FK$154),0)</f>
        <v>4.0444909328909793E-3</v>
      </c>
      <c r="JZ14" s="657"/>
      <c r="KA14" s="314" t="s">
        <v>2591</v>
      </c>
      <c r="KB14" s="314" t="s">
        <v>2625</v>
      </c>
      <c r="KC14" s="866">
        <f>IFERROR(SUMPRODUCT(('ANALYSE - ERP =&gt; SOUS-SEGMENT'!$B$8:$B$154=$B14)*'ANALYSE - ERP =&gt; SOUS-SEGMENT'!$Q$8:$Q$154*'ANALYSE - ERP =&gt; SOUS-SEGMENT'!$EX$8:$EX$154*'ANALYSE - ERP =&gt; SOUS-SEGMENT'!$KF$8:$KF$154)/SUMPRODUCT(('ANALYSE - ERP =&gt; SOUS-SEGMENT'!$B$8:$B$154=$B14)*'ANALYSE - ERP =&gt; SOUS-SEGMENT'!$Q$8:$Q$154*'ANALYSE - ERP =&gt; SOUS-SEGMENT'!$EX$8:$EX$154),"")</f>
        <v>4.1173040714037521</v>
      </c>
      <c r="KD14" s="314" t="s">
        <v>2589</v>
      </c>
      <c r="KE14" s="315" t="s">
        <v>4467</v>
      </c>
      <c r="KF14" s="315" t="s">
        <v>7559</v>
      </c>
      <c r="KG14" s="315" t="s">
        <v>7559</v>
      </c>
    </row>
    <row r="15" spans="1:293" ht="72.75" customHeight="1">
      <c r="A15" s="265">
        <v>8</v>
      </c>
      <c r="B15" s="488" t="s">
        <v>1670</v>
      </c>
      <c r="C15" s="488" t="s">
        <v>7616</v>
      </c>
      <c r="D15" s="488" t="s">
        <v>7617</v>
      </c>
      <c r="E15" s="267" t="s">
        <v>7618</v>
      </c>
      <c r="F15" s="267" t="s">
        <v>7619</v>
      </c>
      <c r="G15" s="267" t="s">
        <v>6790</v>
      </c>
      <c r="H15" s="267" t="s">
        <v>2109</v>
      </c>
      <c r="I15" s="645" t="s">
        <v>7620</v>
      </c>
      <c r="J15" s="645" t="s">
        <v>7621</v>
      </c>
      <c r="K15" s="269" t="s">
        <v>2097</v>
      </c>
      <c r="L15" s="269" t="s">
        <v>2109</v>
      </c>
      <c r="M15" s="269" t="s">
        <v>7026</v>
      </c>
      <c r="N15" s="269" t="s">
        <v>6742</v>
      </c>
      <c r="O15" s="269" t="s">
        <v>2212</v>
      </c>
      <c r="P15" s="268"/>
      <c r="Q15" s="270">
        <f>IF(SUMPRODUCT(('ANALYSE - ERP =&gt; SOUS-SEGMENT'!$B$8:$B$154=$B15)*'ANALYSE - ERP =&gt; SOUS-SEGMENT'!$Q$8:$Q$154)&gt;0,1,0)</f>
        <v>0</v>
      </c>
      <c r="R15" s="271" t="str">
        <f>IFERROR(SUMPRODUCT(('ANALYSE - ERP =&gt; SOUS-SEGMENT'!$B$8:$B$154=$B15)*'ANALYSE - ERP =&gt; SOUS-SEGMENT'!$Q$8:$Q$154*'ANALYSE - ERP =&gt; SOUS-SEGMENT'!$AG$8:$AG$154*'ANALYSE - ERP =&gt; SOUS-SEGMENT'!$R$8:$R$154)/SUMPRODUCT(('ANALYSE - ERP =&gt; SOUS-SEGMENT'!$B$8:$B$154=$B15)*'ANALYSE - ERP =&gt; SOUS-SEGMENT'!$Q$8:$Q$154*'ANALYSE - ERP =&gt; SOUS-SEGMENT'!$AG$8:$AG$154),"")</f>
        <v/>
      </c>
      <c r="S15" s="272">
        <f>SUMPRODUCT(('ANALYSE - ERP =&gt; SOUS-SEGMENT'!$B$8:$B$154=$B15)*'ANALYSE - ERP =&gt; SOUS-SEGMENT'!$Q$8:$Q$154*'ANALYSE - ERP =&gt; SOUS-SEGMENT'!$S$8:$S$154)</f>
        <v>0</v>
      </c>
      <c r="T15" s="272">
        <f>SUMPRODUCT(('ANALYSE - ERP =&gt; SOUS-SEGMENT'!$B$8:$B$154=$B15)*'ANALYSE - ERP =&gt; SOUS-SEGMENT'!$Q$8:$Q$154*'ANALYSE - ERP =&gt; SOUS-SEGMENT'!$T$8:$T$154)</f>
        <v>0</v>
      </c>
      <c r="U15" s="272">
        <f>SUMPRODUCT(('ANALYSE - ERP =&gt; SOUS-SEGMENT'!$B$8:$B$154=$B15)*'ANALYSE - ERP =&gt; SOUS-SEGMENT'!$Q$8:$Q$154*'ANALYSE - ERP =&gt; SOUS-SEGMENT'!$U$8:$U$154)</f>
        <v>0</v>
      </c>
      <c r="V15" s="272">
        <f>SUMPRODUCT(('ANALYSE - ERP =&gt; SOUS-SEGMENT'!$B$8:$B$154=$B15)*'ANALYSE - ERP =&gt; SOUS-SEGMENT'!$Q$8:$Q$154*'ANALYSE - ERP =&gt; SOUS-SEGMENT'!$V$8:$V$154)</f>
        <v>0</v>
      </c>
      <c r="W15" s="272">
        <f>SUMPRODUCT(('ANALYSE - ERP =&gt; SOUS-SEGMENT'!$B$8:$B$154=$B15)*'ANALYSE - ERP =&gt; SOUS-SEGMENT'!$Q$8:$Q$154*'ANALYSE - ERP =&gt; SOUS-SEGMENT'!$W$8:$W$154)</f>
        <v>0</v>
      </c>
      <c r="X15" s="272">
        <f>SUMPRODUCT(('ANALYSE - ERP =&gt; SOUS-SEGMENT'!$B$8:$B$154=$B15)*'ANALYSE - ERP =&gt; SOUS-SEGMENT'!$Q$8:$Q$154*'ANALYSE - ERP =&gt; SOUS-SEGMENT'!$X$8:$X$154)</f>
        <v>0</v>
      </c>
      <c r="Y15" s="272">
        <f>SUMPRODUCT(('ANALYSE - ERP =&gt; SOUS-SEGMENT'!$B$8:$B$154=$B15)*'ANALYSE - ERP =&gt; SOUS-SEGMENT'!$Q$8:$Q$154*'ANALYSE - ERP =&gt; SOUS-SEGMENT'!$Y$8:$Y$154)</f>
        <v>0</v>
      </c>
      <c r="Z15" s="272">
        <f>SUMPRODUCT(('ANALYSE - ERP =&gt; SOUS-SEGMENT'!$B$8:$B$154=$B15)*'ANALYSE - ERP =&gt; SOUS-SEGMENT'!$Q$8:$Q$154*'ANALYSE - ERP =&gt; SOUS-SEGMENT'!$Z$8:$Z$154)</f>
        <v>0</v>
      </c>
      <c r="AA15" s="272">
        <f>SUMPRODUCT(('ANALYSE - ERP =&gt; SOUS-SEGMENT'!$B$8:$B$154=$B15)*'ANALYSE - ERP =&gt; SOUS-SEGMENT'!$Q$8:$Q$154*'ANALYSE - ERP =&gt; SOUS-SEGMENT'!$AA$8:$AA$154)</f>
        <v>0</v>
      </c>
      <c r="AB15" s="272">
        <f>SUMPRODUCT(('ANALYSE - ERP =&gt; SOUS-SEGMENT'!$B$8:$B$154=$B15)*'ANALYSE - ERP =&gt; SOUS-SEGMENT'!$Q$8:$Q$154*'ANALYSE - ERP =&gt; SOUS-SEGMENT'!$AB$8:$AB$154)</f>
        <v>0</v>
      </c>
      <c r="AC15" s="272">
        <f>SUMPRODUCT(('ANALYSE - ERP =&gt; SOUS-SEGMENT'!$B$8:$B$154=$B15)*'ANALYSE - ERP =&gt; SOUS-SEGMENT'!$Q$8:$Q$154*'ANALYSE - ERP =&gt; SOUS-SEGMENT'!$AC$8:$AC$154)</f>
        <v>0</v>
      </c>
      <c r="AD15" s="272">
        <f>SUMPRODUCT(('ANALYSE - ERP =&gt; SOUS-SEGMENT'!$B$8:$B$154=$B15)*'ANALYSE - ERP =&gt; SOUS-SEGMENT'!$Q$8:$Q$154*'ANALYSE - ERP =&gt; SOUS-SEGMENT'!$AD$8:$AD$154)</f>
        <v>0</v>
      </c>
      <c r="AE15" s="272">
        <f>SUMPRODUCT(('ANALYSE - ERP =&gt; SOUS-SEGMENT'!$B$8:$B$154=$B15)*'ANALYSE - ERP =&gt; SOUS-SEGMENT'!$Q$8:$Q$154*'ANALYSE - ERP =&gt; SOUS-SEGMENT'!$AE$8:$AE$154)</f>
        <v>0</v>
      </c>
      <c r="AF15" s="272">
        <f>SUMPRODUCT(('ANALYSE - ERP =&gt; SOUS-SEGMENT'!$B$8:$B$154=$B15)*'ANALYSE - ERP =&gt; SOUS-SEGMENT'!$Q$8:$Q$154*'ANALYSE - ERP =&gt; SOUS-SEGMENT'!$AF$8:$AF$154)</f>
        <v>0</v>
      </c>
      <c r="AG15" s="272">
        <f>SUMPRODUCT(('ANALYSE - ERP =&gt; SOUS-SEGMENT'!$B$8:$B$154=$B15)*'ANALYSE - ERP =&gt; SOUS-SEGMENT'!$Q$8:$Q$154*'ANALYSE - ERP =&gt; SOUS-SEGMENT'!$AG$8:$AG$154)</f>
        <v>0</v>
      </c>
      <c r="AH15" s="272">
        <f>SUMPRODUCT(('ANALYSE - ERP =&gt; SOUS-SEGMENT'!$B$8:$B$154=$B15)*'ANALYSE - ERP =&gt; SOUS-SEGMENT'!$Q$8:$Q$154*'ANALYSE - ERP =&gt; SOUS-SEGMENT'!$AH$8:$AH$154)</f>
        <v>0</v>
      </c>
      <c r="AI15" s="272">
        <f>SUMPRODUCT(('ANALYSE - ERP =&gt; SOUS-SEGMENT'!$B$8:$B$154=$B15)*'ANALYSE - ERP =&gt; SOUS-SEGMENT'!$Q$8:$Q$154*'ANALYSE - ERP =&gt; SOUS-SEGMENT'!$AI$8:$AI$154)</f>
        <v>0</v>
      </c>
      <c r="AJ15" s="272">
        <f>SUMPRODUCT(('ANALYSE - ERP =&gt; SOUS-SEGMENT'!$B$8:$B$154=$B15)*'ANALYSE - ERP =&gt; SOUS-SEGMENT'!$Q$8:$Q$154*'ANALYSE - ERP =&gt; SOUS-SEGMENT'!$AJ$8:$AJ$154)</f>
        <v>0</v>
      </c>
      <c r="AK15" s="272">
        <f>SUMPRODUCT(('ANALYSE - ERP =&gt; SOUS-SEGMENT'!$B$8:$B$154=$B15)*'ANALYSE - ERP =&gt; SOUS-SEGMENT'!$Q$8:$Q$154*'ANALYSE - ERP =&gt; SOUS-SEGMENT'!$AK$8:$AK$154)</f>
        <v>0</v>
      </c>
      <c r="AL15" s="268" t="s">
        <v>7559</v>
      </c>
      <c r="AM15" s="268" t="s">
        <v>7559</v>
      </c>
      <c r="AN15" s="268" t="s">
        <v>7622</v>
      </c>
      <c r="AO15" s="657"/>
      <c r="AP15" s="271" t="str">
        <f>IFERROR(SUMPRODUCT(('ANALYSE - ERP =&gt; SOUS-SEGMENT'!$B$8:$B$154=$B15)*'ANALYSE - ERP =&gt; SOUS-SEGMENT'!$Q$8:$Q$154*'ANALYSE - ERP =&gt; SOUS-SEGMENT'!$AG$8:$AG$154*'ANALYSE - ERP =&gt; SOUS-SEGMENT'!$AP$8:$AP$154)/SUMPRODUCT(('ANALYSE - ERP =&gt; SOUS-SEGMENT'!$B$8:$B$154=$B15)*'ANALYSE - ERP =&gt; SOUS-SEGMENT'!$Q$8:$Q$154*'ANALYSE - ERP =&gt; SOUS-SEGMENT'!$AG$8:$AG$154),"")</f>
        <v/>
      </c>
      <c r="AQ15" s="280" t="str">
        <f>IFERROR(SUMPRODUCT(('ANALYSE - ERP =&gt; SOUS-SEGMENT'!$B$8:$B$154=$B15)*'ANALYSE - ERP =&gt; SOUS-SEGMENT'!$Q$8:$Q$154*'ANALYSE - ERP =&gt; SOUS-SEGMENT'!$AF$8:$AF$154*'ANALYSE - ERP =&gt; SOUS-SEGMENT'!$AQ$8:$AQ$154)/SUMPRODUCT(('ANALYSE - ERP =&gt; SOUS-SEGMENT'!$B$8:$B$154=$B15)*'ANALYSE - ERP =&gt; SOUS-SEGMENT'!$Q$8:$Q$154*'ANALYSE - ERP =&gt; SOUS-SEGMENT'!$AF$8:$AF$154),"")</f>
        <v/>
      </c>
      <c r="AR15" s="974" t="str">
        <f>IFERROR(SUMPRODUCT(('ANALYSE - ERP =&gt; SOUS-SEGMENT'!$B$8:$B$154=$B15)*'ANALYSE - ERP =&gt; SOUS-SEGMENT'!$Q$8:$Q$154*'ANALYSE - ERP =&gt; SOUS-SEGMENT'!$AF$8:$AF$154*'ANALYSE - ERP =&gt; SOUS-SEGMENT'!$AR$8:$AR$154)/SUMPRODUCT(('ANALYSE - ERP =&gt; SOUS-SEGMENT'!$B$8:$B$154=$B15)*'ANALYSE - ERP =&gt; SOUS-SEGMENT'!$Q$8:$Q$154*'ANALYSE - ERP =&gt; SOUS-SEGMENT'!$AF$8:$AF$154),"")</f>
        <v/>
      </c>
      <c r="AS15" s="974" t="str">
        <f>IFERROR(SUMPRODUCT(('ANALYSE - ERP =&gt; SOUS-SEGMENT'!$B$8:$B$154=$B15)*'ANALYSE - ERP =&gt; SOUS-SEGMENT'!$Q$8:$Q$154*'ANALYSE - ERP =&gt; SOUS-SEGMENT'!$AF$8:$AF$154*'ANALYSE - ERP =&gt; SOUS-SEGMENT'!$AS$8:$AS$154)/SUMPRODUCT(('ANALYSE - ERP =&gt; SOUS-SEGMENT'!$B$8:$B$154=$B15)*'ANALYSE - ERP =&gt; SOUS-SEGMENT'!$Q$8:$Q$154*'ANALYSE - ERP =&gt; SOUS-SEGMENT'!$AF$8:$AF$154),"")</f>
        <v/>
      </c>
      <c r="AT15" s="657" t="s">
        <v>7623</v>
      </c>
      <c r="AU15" s="647" t="s">
        <v>7624</v>
      </c>
      <c r="AV15" s="647" t="s">
        <v>2890</v>
      </c>
      <c r="AW15" s="647" t="s">
        <v>7268</v>
      </c>
      <c r="AX15" s="657"/>
      <c r="AY15" s="303" t="str">
        <f>IFERROR(SUMPRODUCT(('ANALYSE - ERP =&gt; SOUS-SEGMENT'!$B$8:$B$154=$B15)*'ANALYSE - ERP =&gt; SOUS-SEGMENT'!$Q$8:$Q$154*'ANALYSE - ERP =&gt; SOUS-SEGMENT'!$AF$8:$AF$154*'ANALYSE - ERP =&gt; SOUS-SEGMENT'!$AZ$8:$AZ$154)/SUMPRODUCT(('ANALYSE - ERP =&gt; SOUS-SEGMENT'!$B$8:$B$154=$B15)*'ANALYSE - ERP =&gt; SOUS-SEGMENT'!$Q$8:$Q$154*'ANALYSE - ERP =&gt; SOUS-SEGMENT'!$AF$8:$AF$154),"")</f>
        <v/>
      </c>
      <c r="AZ15" s="948" t="str">
        <f>IFERROR(SUMPRODUCT(('ANALYSE - ERP =&gt; SOUS-SEGMENT'!$B$8:$B$154=$B15)*'ANALYSE - ERP =&gt; SOUS-SEGMENT'!$Q$8:$Q$154*'ANALYSE - ERP =&gt; SOUS-SEGMENT'!$AF$8:$AF$154*'ANALYSE - ERP =&gt; SOUS-SEGMENT'!$BA$8:$BA$154)/SUMPRODUCT(('ANALYSE - ERP =&gt; SOUS-SEGMENT'!$B$8:$B$154=$B15)*'ANALYSE - ERP =&gt; SOUS-SEGMENT'!$Q$8:$Q$154*'ANALYSE - ERP =&gt; SOUS-SEGMENT'!$AF$8:$AF$154),"")</f>
        <v/>
      </c>
      <c r="BA15" s="303" t="str">
        <f>IFERROR(SUMPRODUCT(('ANALYSE - ERP =&gt; SOUS-SEGMENT'!$B$8:$B$154=$B15)*'ANALYSE - ERP =&gt; SOUS-SEGMENT'!$Q$8:$Q$154*'ANALYSE - ERP =&gt; SOUS-SEGMENT'!$AF$8:$AF$154*'ANALYSE - ERP =&gt; SOUS-SEGMENT'!$BB$8:$BB$154)/SUMPRODUCT(('ANALYSE - ERP =&gt; SOUS-SEGMENT'!$B$8:$B$154=$B15)*'ANALYSE - ERP =&gt; SOUS-SEGMENT'!$Q$8:$Q$154*'ANALYSE - ERP =&gt; SOUS-SEGMENT'!$AF$8:$AF$154),"")</f>
        <v/>
      </c>
      <c r="BB15" s="303" t="str">
        <f>IFERROR(SUMPRODUCT(('ANALYSE - ERP =&gt; SOUS-SEGMENT'!$B$8:$B$154=$B15)*'ANALYSE - ERP =&gt; SOUS-SEGMENT'!$Q$8:$Q$154*'ANALYSE - ERP =&gt; SOUS-SEGMENT'!$AF$8:$AF$154*'ANALYSE - ERP =&gt; SOUS-SEGMENT'!$BC$8:$BC$154)/SUMPRODUCT(('ANALYSE - ERP =&gt; SOUS-SEGMENT'!$B$8:$B$154=$B15)*'ANALYSE - ERP =&gt; SOUS-SEGMENT'!$Q$8:$Q$154*'ANALYSE - ERP =&gt; SOUS-SEGMENT'!$AF$8:$AF$154),"")</f>
        <v/>
      </c>
      <c r="BC15" s="304">
        <f>SUMPRODUCT(('ANALYSE - ERP =&gt; SOUS-SEGMENT'!$B$8:$B$154=$B15)*'ANALYSE - ERP =&gt; SOUS-SEGMENT'!$Q$8:$Q$154*'ANALYSE - ERP =&gt; SOUS-SEGMENT'!$BE$8:$BE$154)</f>
        <v>0</v>
      </c>
      <c r="BD15" s="304">
        <f>SUMPRODUCT(('ANALYSE - ERP =&gt; SOUS-SEGMENT'!$B$8:$B$154=$B15)*'ANALYSE - ERP =&gt; SOUS-SEGMENT'!$Q$8:$Q$154*'ANALYSE - ERP =&gt; SOUS-SEGMENT'!$BF$8:$BF$154)</f>
        <v>0</v>
      </c>
      <c r="BE15" s="304">
        <f>SUMPRODUCT(('ANALYSE - ERP =&gt; SOUS-SEGMENT'!$B$8:$B$154=$B15)*'ANALYSE - ERP =&gt; SOUS-SEGMENT'!$Q$8:$Q$154*'ANALYSE - ERP =&gt; SOUS-SEGMENT'!$BG$8:$BG$154)</f>
        <v>0</v>
      </c>
      <c r="BF15" s="304">
        <f>SUMPRODUCT(('ANALYSE - ERP =&gt; SOUS-SEGMENT'!$B$8:$B$154=$B15)*'ANALYSE - ERP =&gt; SOUS-SEGMENT'!$Q$8:$Q$154*'ANALYSE - ERP =&gt; SOUS-SEGMENT'!$BH$8:$BH$154)</f>
        <v>0</v>
      </c>
      <c r="BG15" s="304">
        <f>SUMPRODUCT(('ANALYSE - ERP =&gt; SOUS-SEGMENT'!$B$8:$B$154=$B15)*'ANALYSE - ERP =&gt; SOUS-SEGMENT'!$Q$8:$Q$154*'ANALYSE - ERP =&gt; SOUS-SEGMENT'!$BJ$8:$BJ$154)</f>
        <v>0</v>
      </c>
      <c r="BH15" s="304">
        <f>SUMPRODUCT(('ANALYSE - ERP =&gt; SOUS-SEGMENT'!$B$8:$B$154=$B15)*'ANALYSE - ERP =&gt; SOUS-SEGMENT'!$Q$8:$Q$154*'ANALYSE - ERP =&gt; SOUS-SEGMENT'!$BK$8:$BK$154)</f>
        <v>0</v>
      </c>
      <c r="BI15" s="304">
        <f>SUMPRODUCT(('ANALYSE - ERP =&gt; SOUS-SEGMENT'!$B$8:$B$154=$B15)*'ANALYSE - ERP =&gt; SOUS-SEGMENT'!$Q$8:$Q$154*'ANALYSE - ERP =&gt; SOUS-SEGMENT'!$BL$8:$BL$154)</f>
        <v>0</v>
      </c>
      <c r="BJ15" s="304">
        <f>SUMPRODUCT(('ANALYSE - ERP =&gt; SOUS-SEGMENT'!$B$8:$B$154=$B15)*'ANALYSE - ERP =&gt; SOUS-SEGMENT'!$Q$8:$Q$154*'ANALYSE - ERP =&gt; SOUS-SEGMENT'!$BM$8:$BM$154)</f>
        <v>0</v>
      </c>
      <c r="BK15" s="657"/>
      <c r="BL15" s="577" t="str">
        <f>IFERROR(SUMPRODUCT(('ANALYSE - ERP =&gt; SOUS-SEGMENT'!$B$8:$B$154=$B15)*'ANALYSE - ERP =&gt; SOUS-SEGMENT'!$Q$8:$Q$154*'ANALYSE - ERP =&gt; SOUS-SEGMENT'!$BE$8:$BE$154*'ANALYSE - ERP =&gt; SOUS-SEGMENT'!$BO$8:$BO$154)/SUMPRODUCT(('ANALYSE - ERP =&gt; SOUS-SEGMENT'!$B$8:$B$154=$B15)*'ANALYSE - ERP =&gt; SOUS-SEGMENT'!$Q$8:$Q$154*'ANALYSE - ERP =&gt; SOUS-SEGMENT'!$BE$8:$BE$154),"")</f>
        <v/>
      </c>
      <c r="BM15" s="578" t="str">
        <f>IFERROR(SUMPRODUCT(('ANALYSE - ERP =&gt; SOUS-SEGMENT'!$B$8:$B$154=$B15)*'ANALYSE - ERP =&gt; SOUS-SEGMENT'!$Q$8:$Q$154*'ANALYSE - ERP =&gt; SOUS-SEGMENT'!$BE$8:$BE$154*'ANALYSE - ERP =&gt; SOUS-SEGMENT'!$BP$8:$BP$154)/SUMPRODUCT(('ANALYSE - ERP =&gt; SOUS-SEGMENT'!$B$8:$B$154=$B15)*'ANALYSE - ERP =&gt; SOUS-SEGMENT'!$Q$8:$Q$154*'ANALYSE - ERP =&gt; SOUS-SEGMENT'!$BE$8:$BE$154),"")</f>
        <v/>
      </c>
      <c r="BN15" s="578" t="str">
        <f>IFERROR(SUMPRODUCT(('ANALYSE - ERP =&gt; SOUS-SEGMENT'!$B$8:$B$154=$B15)*'ANALYSE - ERP =&gt; SOUS-SEGMENT'!$Q$8:$Q$154*'ANALYSE - ERP =&gt; SOUS-SEGMENT'!$BE$8:$BE$154*'ANALYSE - ERP =&gt; SOUS-SEGMENT'!$BQ$8:$BQ$154)/SUMPRODUCT(('ANALYSE - ERP =&gt; SOUS-SEGMENT'!$B$8:$B$154=$B15)*'ANALYSE - ERP =&gt; SOUS-SEGMENT'!$Q$8:$Q$154*'ANALYSE - ERP =&gt; SOUS-SEGMENT'!$BE$8:$BE$154),"")</f>
        <v/>
      </c>
      <c r="BO15" s="579" t="str">
        <f>IFERROR(SUMPRODUCT(('ANALYSE - ERP =&gt; SOUS-SEGMENT'!$B$8:$B$154=$B15)*'ANALYSE - ERP =&gt; SOUS-SEGMENT'!$Q$8:$Q$154*'ANALYSE - ERP =&gt; SOUS-SEGMENT'!$BE$8:$BE$154*'ANALYSE - ERP =&gt; SOUS-SEGMENT'!$BR$8:$BR$154)/SUMPRODUCT(('ANALYSE - ERP =&gt; SOUS-SEGMENT'!$B$8:$B$154=$B15)*'ANALYSE - ERP =&gt; SOUS-SEGMENT'!$Q$8:$Q$154*'ANALYSE - ERP =&gt; SOUS-SEGMENT'!$BE$8:$BE$154),"")</f>
        <v/>
      </c>
      <c r="BP15" s="577" t="str">
        <f>IFERROR(SUMPRODUCT(('ANALYSE - ERP =&gt; SOUS-SEGMENT'!$B$8:$B$154=$B15)*'ANALYSE - ERP =&gt; SOUS-SEGMENT'!$Q$8:$Q$154*'ANALYSE - ERP =&gt; SOUS-SEGMENT'!$BJ$8:$BJ$154*'ANALYSE - ERP =&gt; SOUS-SEGMENT'!$BS$8:$BS$154)/SUMPRODUCT(('ANALYSE - ERP =&gt; SOUS-SEGMENT'!$B$8:$B$154=$B15)*'ANALYSE - ERP =&gt; SOUS-SEGMENT'!$Q$8:$Q$154*'ANALYSE - ERP =&gt; SOUS-SEGMENT'!$BJ$8:$BJ$154),"")</f>
        <v/>
      </c>
      <c r="BQ15" s="578" t="str">
        <f>IFERROR(SUMPRODUCT(('ANALYSE - ERP =&gt; SOUS-SEGMENT'!$B$8:$B$154=$B15)*'ANALYSE - ERP =&gt; SOUS-SEGMENT'!$Q$8:$Q$154*'ANALYSE - ERP =&gt; SOUS-SEGMENT'!$BJ$8:$BJ$154*'ANALYSE - ERP =&gt; SOUS-SEGMENT'!$BT$8:$BT$154)/SUMPRODUCT(('ANALYSE - ERP =&gt; SOUS-SEGMENT'!$B$8:$B$154=$B15)*'ANALYSE - ERP =&gt; SOUS-SEGMENT'!$Q$8:$Q$154*'ANALYSE - ERP =&gt; SOUS-SEGMENT'!$BJ$8:$BJ$154),"")</f>
        <v/>
      </c>
      <c r="BR15" s="578" t="str">
        <f>IFERROR(SUMPRODUCT(('ANALYSE - ERP =&gt; SOUS-SEGMENT'!$B$8:$B$154=$B15)*'ANALYSE - ERP =&gt; SOUS-SEGMENT'!$Q$8:$Q$154*'ANALYSE - ERP =&gt; SOUS-SEGMENT'!$BJ$8:$BJ$154*'ANALYSE - ERP =&gt; SOUS-SEGMENT'!$BU$8:$BU$154)/SUMPRODUCT(('ANALYSE - ERP =&gt; SOUS-SEGMENT'!$B$8:$B$154=$B15)*'ANALYSE - ERP =&gt; SOUS-SEGMENT'!$Q$8:$Q$154*'ANALYSE - ERP =&gt; SOUS-SEGMENT'!$BJ$8:$BJ$154),"")</f>
        <v/>
      </c>
      <c r="BS15" s="579" t="str">
        <f>IFERROR(SUMPRODUCT(('ANALYSE - ERP =&gt; SOUS-SEGMENT'!$B$8:$B$154=$B15)*'ANALYSE - ERP =&gt; SOUS-SEGMENT'!$Q$8:$Q$154*'ANALYSE - ERP =&gt; SOUS-SEGMENT'!$BJ$8:$BJ$154*'ANALYSE - ERP =&gt; SOUS-SEGMENT'!$BV$8:$BV$154)/SUMPRODUCT(('ANALYSE - ERP =&gt; SOUS-SEGMENT'!$B$8:$B$154=$B15)*'ANALYSE - ERP =&gt; SOUS-SEGMENT'!$Q$8:$Q$154*'ANALYSE - ERP =&gt; SOUS-SEGMENT'!$BJ$8:$BJ$154),"")</f>
        <v/>
      </c>
      <c r="BT15" s="586" t="str">
        <f>IFERROR(SUMPRODUCT(('ANALYSE - ERP =&gt; SOUS-SEGMENT'!$B$8:$B$154=$B15)*'ANALYSE - ERP =&gt; SOUS-SEGMENT'!$Q$8:$Q$154*'ANALYSE - ERP =&gt; SOUS-SEGMENT'!$BF$8:$BF$154*'ANALYSE - ERP =&gt; SOUS-SEGMENT'!$BW$8:$BW$154)/SUMPRODUCT(('ANALYSE - ERP =&gt; SOUS-SEGMENT'!$B$8:$B$154=$B15)*'ANALYSE - ERP =&gt; SOUS-SEGMENT'!$Q$8:$Q$154*'ANALYSE - ERP =&gt; SOUS-SEGMENT'!$BF$8:$BF$154),"")</f>
        <v/>
      </c>
      <c r="BU15" s="587" t="str">
        <f>IFERROR(SUMPRODUCT(('ANALYSE - ERP =&gt; SOUS-SEGMENT'!$B$8:$B$154=$B15)*'ANALYSE - ERP =&gt; SOUS-SEGMENT'!$Q$8:$Q$154*'ANALYSE - ERP =&gt; SOUS-SEGMENT'!$BF$8:$BF$154*'ANALYSE - ERP =&gt; SOUS-SEGMENT'!$BX$8:$BX$154)/SUMPRODUCT(('ANALYSE - ERP =&gt; SOUS-SEGMENT'!$B$8:$B$154=$B15)*'ANALYSE - ERP =&gt; SOUS-SEGMENT'!$Q$8:$Q$154*'ANALYSE - ERP =&gt; SOUS-SEGMENT'!$BF$8:$BF$154),"")</f>
        <v/>
      </c>
      <c r="BV15" s="588" t="str">
        <f>IFERROR(SUMPRODUCT(('ANALYSE - ERP =&gt; SOUS-SEGMENT'!$B$8:$B$154=$B15)*'ANALYSE - ERP =&gt; SOUS-SEGMENT'!$Q$8:$Q$154*'ANALYSE - ERP =&gt; SOUS-SEGMENT'!$BF$8:$BF$154*'ANALYSE - ERP =&gt; SOUS-SEGMENT'!$BY$8:$BY$154)/SUMPRODUCT(('ANALYSE - ERP =&gt; SOUS-SEGMENT'!$B$8:$B$154=$B15)*'ANALYSE - ERP =&gt; SOUS-SEGMENT'!$Q$8:$Q$154*'ANALYSE - ERP =&gt; SOUS-SEGMENT'!$BF$8:$BF$154),"")</f>
        <v/>
      </c>
      <c r="BW15" s="586" t="str">
        <f>IFERROR(SUMPRODUCT(('ANALYSE - ERP =&gt; SOUS-SEGMENT'!$B$8:$B$154=$B15)*'ANALYSE - ERP =&gt; SOUS-SEGMENT'!$Q$8:$Q$154*'ANALYSE - ERP =&gt; SOUS-SEGMENT'!$BK$8:$BK$154*'ANALYSE - ERP =&gt; SOUS-SEGMENT'!$BZ$8:$BZ$154)/SUMPRODUCT(('ANALYSE - ERP =&gt; SOUS-SEGMENT'!$B$8:$B$154=$B15)*'ANALYSE - ERP =&gt; SOUS-SEGMENT'!$Q$8:$Q$154*'ANALYSE - ERP =&gt; SOUS-SEGMENT'!$BK$8:$BK$154),"")</f>
        <v/>
      </c>
      <c r="BX15" s="587" t="str">
        <f>IFERROR(SUMPRODUCT(('ANALYSE - ERP =&gt; SOUS-SEGMENT'!$B$8:$B$154=$B15)*'ANALYSE - ERP =&gt; SOUS-SEGMENT'!$Q$8:$Q$154*'ANALYSE - ERP =&gt; SOUS-SEGMENT'!$BK$8:$BK$154*'ANALYSE - ERP =&gt; SOUS-SEGMENT'!$CA$8:$CA$154)/SUMPRODUCT(('ANALYSE - ERP =&gt; SOUS-SEGMENT'!$B$8:$B$154=$B15)*'ANALYSE - ERP =&gt; SOUS-SEGMENT'!$Q$8:$Q$154*'ANALYSE - ERP =&gt; SOUS-SEGMENT'!$BK$8:$BK$154),"")</f>
        <v/>
      </c>
      <c r="BY15" s="588" t="str">
        <f>IFERROR(SUMPRODUCT(('ANALYSE - ERP =&gt; SOUS-SEGMENT'!$B$8:$B$154=$B15)*'ANALYSE - ERP =&gt; SOUS-SEGMENT'!$Q$8:$Q$154*'ANALYSE - ERP =&gt; SOUS-SEGMENT'!$BK$8:$BK$154*'ANALYSE - ERP =&gt; SOUS-SEGMENT'!$CB$8:$CB$154)/SUMPRODUCT(('ANALYSE - ERP =&gt; SOUS-SEGMENT'!$B$8:$B$154=$B15)*'ANALYSE - ERP =&gt; SOUS-SEGMENT'!$Q$8:$Q$154*'ANALYSE - ERP =&gt; SOUS-SEGMENT'!$BK$8:$BK$154),"")</f>
        <v/>
      </c>
      <c r="BZ15" s="577" t="str">
        <f>IFERROR(SUMPRODUCT(('ANALYSE - ERP =&gt; SOUS-SEGMENT'!$B$8:$B$154=$B15)*'ANALYSE - ERP =&gt; SOUS-SEGMENT'!$Q$8:$Q$154*'ANALYSE - ERP =&gt; SOUS-SEGMENT'!$BG$8:$BG$154*'ANALYSE - ERP =&gt; SOUS-SEGMENT'!$CC$8:$CC$154)/SUMPRODUCT(('ANALYSE - ERP =&gt; SOUS-SEGMENT'!$B$8:$B$154=$B15)*'ANALYSE - ERP =&gt; SOUS-SEGMENT'!$Q$8:$Q$154*'ANALYSE - ERP =&gt; SOUS-SEGMENT'!$BG$8:$BG$154),"")</f>
        <v/>
      </c>
      <c r="CA15" s="578" t="str">
        <f>IFERROR(SUMPRODUCT(('ANALYSE - ERP =&gt; SOUS-SEGMENT'!$B$8:$B$154=$B15)*'ANALYSE - ERP =&gt; SOUS-SEGMENT'!$Q$8:$Q$154*'ANALYSE - ERP =&gt; SOUS-SEGMENT'!$BG$8:$BG$154*'ANALYSE - ERP =&gt; SOUS-SEGMENT'!$CD$8:$CD$154)/SUMPRODUCT(('ANALYSE - ERP =&gt; SOUS-SEGMENT'!$B$8:$B$154=$B15)*'ANALYSE - ERP =&gt; SOUS-SEGMENT'!$Q$8:$Q$154*'ANALYSE - ERP =&gt; SOUS-SEGMENT'!$BG$8:$BG$154),"")</f>
        <v/>
      </c>
      <c r="CB15" s="578" t="str">
        <f>IFERROR(SUMPRODUCT(('ANALYSE - ERP =&gt; SOUS-SEGMENT'!$B$8:$B$154=$B15)*'ANALYSE - ERP =&gt; SOUS-SEGMENT'!$Q$8:$Q$154*'ANALYSE - ERP =&gt; SOUS-SEGMENT'!$BG$8:$BG$154*'ANALYSE - ERP =&gt; SOUS-SEGMENT'!$CE$8:$CE$154)/SUMPRODUCT(('ANALYSE - ERP =&gt; SOUS-SEGMENT'!$B$8:$B$154=$B15)*'ANALYSE - ERP =&gt; SOUS-SEGMENT'!$Q$8:$Q$154*'ANALYSE - ERP =&gt; SOUS-SEGMENT'!$BG$8:$BG$154),"")</f>
        <v/>
      </c>
      <c r="CC15" s="579" t="str">
        <f>IFERROR(SUMPRODUCT(('ANALYSE - ERP =&gt; SOUS-SEGMENT'!$B$8:$B$154=$B15)*'ANALYSE - ERP =&gt; SOUS-SEGMENT'!$Q$8:$Q$154*'ANALYSE - ERP =&gt; SOUS-SEGMENT'!$BG$8:$BG$154*'ANALYSE - ERP =&gt; SOUS-SEGMENT'!$CF$8:$CF$154)/SUMPRODUCT(('ANALYSE - ERP =&gt; SOUS-SEGMENT'!$B$8:$B$154=$B15)*'ANALYSE - ERP =&gt; SOUS-SEGMENT'!$Q$8:$Q$154*'ANALYSE - ERP =&gt; SOUS-SEGMENT'!$BG$8:$BG$154),"")</f>
        <v/>
      </c>
      <c r="CD15" s="577" t="str">
        <f>IFERROR(SUMPRODUCT(('ANALYSE - ERP =&gt; SOUS-SEGMENT'!$B$8:$B$154=$B15)*'ANALYSE - ERP =&gt; SOUS-SEGMENT'!$Q$8:$Q$154*'ANALYSE - ERP =&gt; SOUS-SEGMENT'!$BL$8:$BL$154*'ANALYSE - ERP =&gt; SOUS-SEGMENT'!$CG$8:$CG$154)/SUMPRODUCT(('ANALYSE - ERP =&gt; SOUS-SEGMENT'!$B$8:$B$154=$B15)*'ANALYSE - ERP =&gt; SOUS-SEGMENT'!$Q$8:$Q$154*'ANALYSE - ERP =&gt; SOUS-SEGMENT'!$BL$8:$BL$154),"")</f>
        <v/>
      </c>
      <c r="CE15" s="578" t="str">
        <f>IFERROR(SUMPRODUCT(('ANALYSE - ERP =&gt; SOUS-SEGMENT'!$B$8:$B$154=$B15)*'ANALYSE - ERP =&gt; SOUS-SEGMENT'!$Q$8:$Q$154*'ANALYSE - ERP =&gt; SOUS-SEGMENT'!$BL$8:$BL$154*'ANALYSE - ERP =&gt; SOUS-SEGMENT'!$CH$8:$CH$154)/SUMPRODUCT(('ANALYSE - ERP =&gt; SOUS-SEGMENT'!$B$8:$B$154=$B15)*'ANALYSE - ERP =&gt; SOUS-SEGMENT'!$Q$8:$Q$154*'ANALYSE - ERP =&gt; SOUS-SEGMENT'!$BL$8:$BL$154),"")</f>
        <v/>
      </c>
      <c r="CF15" s="578" t="str">
        <f>IFERROR(SUMPRODUCT(('ANALYSE - ERP =&gt; SOUS-SEGMENT'!$B$8:$B$154=$B15)*'ANALYSE - ERP =&gt; SOUS-SEGMENT'!$Q$8:$Q$154*'ANALYSE - ERP =&gt; SOUS-SEGMENT'!$BL$8:$BL$154*'ANALYSE - ERP =&gt; SOUS-SEGMENT'!$CI$8:$CI$154)/SUMPRODUCT(('ANALYSE - ERP =&gt; SOUS-SEGMENT'!$B$8:$B$154=$B15)*'ANALYSE - ERP =&gt; SOUS-SEGMENT'!$Q$8:$Q$154*'ANALYSE - ERP =&gt; SOUS-SEGMENT'!$BL$8:$BL$154),"")</f>
        <v/>
      </c>
      <c r="CG15" s="579" t="str">
        <f>IFERROR(SUMPRODUCT(('ANALYSE - ERP =&gt; SOUS-SEGMENT'!$B$8:$B$154=$B15)*'ANALYSE - ERP =&gt; SOUS-SEGMENT'!$Q$8:$Q$154*'ANALYSE - ERP =&gt; SOUS-SEGMENT'!$BL$8:$BL$154*'ANALYSE - ERP =&gt; SOUS-SEGMENT'!$CJ$8:$CJ$154)/SUMPRODUCT(('ANALYSE - ERP =&gt; SOUS-SEGMENT'!$B$8:$B$154=$B15)*'ANALYSE - ERP =&gt; SOUS-SEGMENT'!$Q$8:$Q$154*'ANALYSE - ERP =&gt; SOUS-SEGMENT'!$BL$8:$BL$154),"")</f>
        <v/>
      </c>
      <c r="CH15" s="586" t="str">
        <f>IFERROR(SUMPRODUCT(('ANALYSE - ERP =&gt; SOUS-SEGMENT'!$B$8:$B$154=$B15)*'ANALYSE - ERP =&gt; SOUS-SEGMENT'!$Q$8:$Q$154*'ANALYSE - ERP =&gt; SOUS-SEGMENT'!$BH$8:$BH$154*'ANALYSE - ERP =&gt; SOUS-SEGMENT'!$CK$8:$CK$154)/SUMPRODUCT(('ANALYSE - ERP =&gt; SOUS-SEGMENT'!$B$8:$B$154=$B15)*'ANALYSE - ERP =&gt; SOUS-SEGMENT'!$Q$8:$Q$154*'ANALYSE - ERP =&gt; SOUS-SEGMENT'!$BH$8:$BH$154),"")</f>
        <v/>
      </c>
      <c r="CI15" s="587" t="str">
        <f>IFERROR(SUMPRODUCT(('ANALYSE - ERP =&gt; SOUS-SEGMENT'!$B$8:$B$154=$B15)*'ANALYSE - ERP =&gt; SOUS-SEGMENT'!$Q$8:$Q$154*'ANALYSE - ERP =&gt; SOUS-SEGMENT'!$BH$8:$BH$154*'ANALYSE - ERP =&gt; SOUS-SEGMENT'!$CL$8:$CL$154)/SUMPRODUCT(('ANALYSE - ERP =&gt; SOUS-SEGMENT'!$B$8:$B$154=$B15)*'ANALYSE - ERP =&gt; SOUS-SEGMENT'!$Q$8:$Q$154*'ANALYSE - ERP =&gt; SOUS-SEGMENT'!$BH$8:$BH$154),"")</f>
        <v/>
      </c>
      <c r="CJ15" s="588" t="str">
        <f>IFERROR(SUMPRODUCT(('ANALYSE - ERP =&gt; SOUS-SEGMENT'!$B$8:$B$154=$B15)*'ANALYSE - ERP =&gt; SOUS-SEGMENT'!$Q$8:$Q$154*'ANALYSE - ERP =&gt; SOUS-SEGMENT'!$BH$8:$BH$154*'ANALYSE - ERP =&gt; SOUS-SEGMENT'!$CM$8:$CM$154)/SUMPRODUCT(('ANALYSE - ERP =&gt; SOUS-SEGMENT'!$B$8:$B$154=$B15)*'ANALYSE - ERP =&gt; SOUS-SEGMENT'!$Q$8:$Q$154*'ANALYSE - ERP =&gt; SOUS-SEGMENT'!$BH$8:$BH$154),"")</f>
        <v/>
      </c>
      <c r="CK15" s="586" t="str">
        <f>IFERROR(SUMPRODUCT(('ANALYSE - ERP =&gt; SOUS-SEGMENT'!$B$8:$B$154=$B15)*'ANALYSE - ERP =&gt; SOUS-SEGMENT'!$Q$8:$Q$154*'ANALYSE - ERP =&gt; SOUS-SEGMENT'!$BM$8:$BM$154*'ANALYSE - ERP =&gt; SOUS-SEGMENT'!$CN$8:$CN$154)/SUMPRODUCT(('ANALYSE - ERP =&gt; SOUS-SEGMENT'!$B$8:$B$154=$B15)*'ANALYSE - ERP =&gt; SOUS-SEGMENT'!$Q$8:$Q$154*'ANALYSE - ERP =&gt; SOUS-SEGMENT'!$BM$8:$BM$154),"")</f>
        <v/>
      </c>
      <c r="CL15" s="587" t="str">
        <f>IFERROR(SUMPRODUCT(('ANALYSE - ERP =&gt; SOUS-SEGMENT'!$B$8:$B$154=$B15)*'ANALYSE - ERP =&gt; SOUS-SEGMENT'!$Q$8:$Q$154*'ANALYSE - ERP =&gt; SOUS-SEGMENT'!$BM$8:$BM$154*'ANALYSE - ERP =&gt; SOUS-SEGMENT'!$CO$8:$CO$154)/SUMPRODUCT(('ANALYSE - ERP =&gt; SOUS-SEGMENT'!$B$8:$B$154=$B15)*'ANALYSE - ERP =&gt; SOUS-SEGMENT'!$Q$8:$Q$154*'ANALYSE - ERP =&gt; SOUS-SEGMENT'!$BM$8:$BM$154),"")</f>
        <v/>
      </c>
      <c r="CM15" s="588" t="str">
        <f>IFERROR(SUMPRODUCT(('ANALYSE - ERP =&gt; SOUS-SEGMENT'!$B$8:$B$154=$B15)*'ANALYSE - ERP =&gt; SOUS-SEGMENT'!$Q$8:$Q$154*'ANALYSE - ERP =&gt; SOUS-SEGMENT'!$BM$8:$BM$154*'ANALYSE - ERP =&gt; SOUS-SEGMENT'!$CP$8:$CP$154)/SUMPRODUCT(('ANALYSE - ERP =&gt; SOUS-SEGMENT'!$B$8:$B$154=$B15)*'ANALYSE - ERP =&gt; SOUS-SEGMENT'!$Q$8:$Q$154*'ANALYSE - ERP =&gt; SOUS-SEGMENT'!$BM$8:$BM$154),"")</f>
        <v/>
      </c>
      <c r="CN15" s="657"/>
      <c r="CO15" s="877" t="str">
        <f>IFERROR(SUMPRODUCT(('ANALYSE - ERP =&gt; SOUS-SEGMENT'!$B$8:$B$154=$B15)*'ANALYSE - ERP =&gt; SOUS-SEGMENT'!$DH$8:$DH$154*'ANALYSE - ERP =&gt; SOUS-SEGMENT'!$CR$8:$CR$154)/SUMPRODUCT(('ANALYSE - ERP =&gt; SOUS-SEGMENT'!$B$8:$B$154=$B15)*'ANALYSE - ERP =&gt; SOUS-SEGMENT'!$DH$8:$DH$154),"")</f>
        <v/>
      </c>
      <c r="CP15" s="878" t="str">
        <f>IFERROR(SUMPRODUCT(('ANALYSE - ERP =&gt; SOUS-SEGMENT'!$B$8:$B$154=$B15)*'ANALYSE - ERP =&gt; SOUS-SEGMENT'!$DI$8:$DI$154*'ANALYSE - ERP =&gt; SOUS-SEGMENT'!$CS$8:$CS$154)/SUMPRODUCT(('ANALYSE - ERP =&gt; SOUS-SEGMENT'!$B$8:$B$154=$B15)*'ANALYSE - ERP =&gt; SOUS-SEGMENT'!$DI$8:$DI$154),"")</f>
        <v/>
      </c>
      <c r="CQ15" s="878" t="str">
        <f>IFERROR(SUMPRODUCT(('ANALYSE - ERP =&gt; SOUS-SEGMENT'!$B$8:$B$154=$B15)*'ANALYSE - ERP =&gt; SOUS-SEGMENT'!$DJ$8:$DJ$154*'ANALYSE - ERP =&gt; SOUS-SEGMENT'!$CT$8:$CT$154)/SUMPRODUCT(('ANALYSE - ERP =&gt; SOUS-SEGMENT'!$B$8:$B$154=$B15)*'ANALYSE - ERP =&gt; SOUS-SEGMENT'!$DJ$8:$DJ$154),"")</f>
        <v/>
      </c>
      <c r="CR15" s="879" t="str">
        <f>IFERROR(SUMPRODUCT(('ANALYSE - ERP =&gt; SOUS-SEGMENT'!$B$8:$B$154=$B15)*'ANALYSE - ERP =&gt; SOUS-SEGMENT'!$DK$8:$DK$154*'ANALYSE - ERP =&gt; SOUS-SEGMENT'!$CU$8:$CU$154)/SUMPRODUCT(('ANALYSE - ERP =&gt; SOUS-SEGMENT'!$B$8:$B$154=$B15)*'ANALYSE - ERP =&gt; SOUS-SEGMENT'!$DK$8:$DK$154),"")</f>
        <v/>
      </c>
      <c r="CS15" s="877" t="str">
        <f>IFERROR(SUMPRODUCT(('ANALYSE - ERP =&gt; SOUS-SEGMENT'!$B$8:$B$154=$B15)*'ANALYSE - ERP =&gt; SOUS-SEGMENT'!$DS$8:$DS$154*'ANALYSE - ERP =&gt; SOUS-SEGMENT'!$CV$8:$CV$154)/SUMPRODUCT(('ANALYSE - ERP =&gt; SOUS-SEGMENT'!$B$8:$B$154=$B15)*'ANALYSE - ERP =&gt; SOUS-SEGMENT'!$DS$8:$DS$154),"")</f>
        <v/>
      </c>
      <c r="CT15" s="878" t="str">
        <f>IFERROR(SUMPRODUCT(('ANALYSE - ERP =&gt; SOUS-SEGMENT'!$B$8:$B$154=$B15)*'ANALYSE - ERP =&gt; SOUS-SEGMENT'!$DT$8:$DT$154*'ANALYSE - ERP =&gt; SOUS-SEGMENT'!$CW$8:$CW$154)/SUMPRODUCT(('ANALYSE - ERP =&gt; SOUS-SEGMENT'!$B$8:$B$154=$B15)*'ANALYSE - ERP =&gt; SOUS-SEGMENT'!$DT$8:$DT$154),"")</f>
        <v/>
      </c>
      <c r="CU15" s="879" t="str">
        <f>IFERROR(SUMPRODUCT(('ANALYSE - ERP =&gt; SOUS-SEGMENT'!$B$8:$B$154=$B15)*'ANALYSE - ERP =&gt; SOUS-SEGMENT'!$DU$8:$DU$154*'ANALYSE - ERP =&gt; SOUS-SEGMENT'!$CX$8:$CX$154)/SUMPRODUCT(('ANALYSE - ERP =&gt; SOUS-SEGMENT'!$B$8:$B$154=$B15)*'ANALYSE - ERP =&gt; SOUS-SEGMENT'!$DU$8:$DU$154),"")</f>
        <v/>
      </c>
      <c r="CV15" s="877" t="str">
        <f>IFERROR(SUMPRODUCT(('ANALYSE - ERP =&gt; SOUS-SEGMENT'!$B$8:$B$154=$B15)*'ANALYSE - ERP =&gt; SOUS-SEGMENT'!$EB$8:$EB$154*'ANALYSE - ERP =&gt; SOUS-SEGMENT'!$CY$8:$CY$154)/SUMPRODUCT(('ANALYSE - ERP =&gt; SOUS-SEGMENT'!$B$8:$B$154=$B15)*'ANALYSE - ERP =&gt; SOUS-SEGMENT'!$EB$8:$EB$154),"")</f>
        <v/>
      </c>
      <c r="CW15" s="878" t="str">
        <f>IFERROR(SUMPRODUCT(('ANALYSE - ERP =&gt; SOUS-SEGMENT'!$B$8:$B$154=$B15)*'ANALYSE - ERP =&gt; SOUS-SEGMENT'!$EC$8:$EC$154*'ANALYSE - ERP =&gt; SOUS-SEGMENT'!$CZ$8:$CZ$154)/SUMPRODUCT(('ANALYSE - ERP =&gt; SOUS-SEGMENT'!$B$8:$B$154=$B15)*'ANALYSE - ERP =&gt; SOUS-SEGMENT'!$EC$8:$EC$154),"")</f>
        <v/>
      </c>
      <c r="CX15" s="878" t="str">
        <f>IFERROR(SUMPRODUCT(('ANALYSE - ERP =&gt; SOUS-SEGMENT'!$B$8:$B$154=$B15)*'ANALYSE - ERP =&gt; SOUS-SEGMENT'!$ED$8:$ED$154*'ANALYSE - ERP =&gt; SOUS-SEGMENT'!$DA$8:$DA$154)/SUMPRODUCT(('ANALYSE - ERP =&gt; SOUS-SEGMENT'!$B$8:$B$154=$B15)*'ANALYSE - ERP =&gt; SOUS-SEGMENT'!$ED$8:$ED$154),"")</f>
        <v/>
      </c>
      <c r="CY15" s="880" t="str">
        <f>IFERROR(SUMPRODUCT(('ANALYSE - ERP =&gt; SOUS-SEGMENT'!$B$8:$B$154=$B15)*'ANALYSE - ERP =&gt; SOUS-SEGMENT'!$EE$8:$EE$154*'ANALYSE - ERP =&gt; SOUS-SEGMENT'!$DB$8:$DB$154)/SUMPRODUCT(('ANALYSE - ERP =&gt; SOUS-SEGMENT'!$B$8:$B$154=$B15)*'ANALYSE - ERP =&gt; SOUS-SEGMENT'!$EE$8:$EE$154),"")</f>
        <v/>
      </c>
      <c r="CZ15" s="881" t="str">
        <f>IFERROR(SUMPRODUCT(('ANALYSE - ERP =&gt; SOUS-SEGMENT'!$B$8:$B$154=$B15)*'ANALYSE - ERP =&gt; SOUS-SEGMENT'!$EM$8:$EM$154*'ANALYSE - ERP =&gt; SOUS-SEGMENT'!$DC$8:$DC$154)/SUMPRODUCT(('ANALYSE - ERP =&gt; SOUS-SEGMENT'!$B$8:$B$154=$B15)*'ANALYSE - ERP =&gt; SOUS-SEGMENT'!$EM$8:$EM$154),"")</f>
        <v/>
      </c>
      <c r="DA15" s="878" t="str">
        <f>IFERROR(SUMPRODUCT(('ANALYSE - ERP =&gt; SOUS-SEGMENT'!$B$8:$B$154=$B15)*'ANALYSE - ERP =&gt; SOUS-SEGMENT'!$EN$8:$EN$154*'ANALYSE - ERP =&gt; SOUS-SEGMENT'!$DD$8:$DD$154)/SUMPRODUCT(('ANALYSE - ERP =&gt; SOUS-SEGMENT'!$B$8:$B$154=$B15)*'ANALYSE - ERP =&gt; SOUS-SEGMENT'!$EN$8:$EN$154),"")</f>
        <v/>
      </c>
      <c r="DB15" s="880" t="str">
        <f>IFERROR(SUMPRODUCT(('ANALYSE - ERP =&gt; SOUS-SEGMENT'!$B$8:$B$154=$B15)*'ANALYSE - ERP =&gt; SOUS-SEGMENT'!$EO$8:$EO$154*'ANALYSE - ERP =&gt; SOUS-SEGMENT'!$DE$8:$DE$154)/SUMPRODUCT(('ANALYSE - ERP =&gt; SOUS-SEGMENT'!$B$8:$B$154=$B15)*'ANALYSE - ERP =&gt; SOUS-SEGMENT'!$EO$8:$EO$154),"")</f>
        <v/>
      </c>
      <c r="DC15" s="316" t="s">
        <v>7559</v>
      </c>
      <c r="DD15" s="657"/>
      <c r="DE15" s="288" t="e">
        <f t="shared" si="2"/>
        <v>#VALUE!</v>
      </c>
      <c r="DF15" s="288" t="e">
        <f t="shared" si="3"/>
        <v>#VALUE!</v>
      </c>
      <c r="DG15" s="288" t="e">
        <f t="shared" si="4"/>
        <v>#VALUE!</v>
      </c>
      <c r="DH15" s="288" t="e">
        <f t="shared" si="5"/>
        <v>#VALUE!</v>
      </c>
      <c r="DI15" s="317" t="s">
        <v>7559</v>
      </c>
      <c r="DJ15" s="288" t="e">
        <f t="shared" si="6"/>
        <v>#VALUE!</v>
      </c>
      <c r="DK15" s="288" t="e">
        <f t="shared" si="7"/>
        <v>#VALUE!</v>
      </c>
      <c r="DL15" s="288" t="e">
        <f t="shared" si="8"/>
        <v>#VALUE!</v>
      </c>
      <c r="DM15" s="288" t="e">
        <f t="shared" si="9"/>
        <v>#VALUE!</v>
      </c>
      <c r="DN15" s="318" t="s">
        <v>7559</v>
      </c>
      <c r="DO15" s="657"/>
      <c r="DP15" s="288">
        <f t="shared" si="10"/>
        <v>0</v>
      </c>
      <c r="DQ15" s="288">
        <f t="shared" si="11"/>
        <v>0</v>
      </c>
      <c r="DR15" s="288">
        <f t="shared" si="12"/>
        <v>0</v>
      </c>
      <c r="DS15" s="318" t="s">
        <v>7559</v>
      </c>
      <c r="DT15" s="288">
        <f t="shared" si="13"/>
        <v>0</v>
      </c>
      <c r="DU15" s="288">
        <f t="shared" si="14"/>
        <v>0</v>
      </c>
      <c r="DV15" s="288">
        <f t="shared" si="15"/>
        <v>0</v>
      </c>
      <c r="DW15" s="318" t="s">
        <v>7559</v>
      </c>
      <c r="DX15" s="657"/>
      <c r="DY15" s="288">
        <f t="shared" si="16"/>
        <v>0</v>
      </c>
      <c r="DZ15" s="288">
        <f t="shared" si="17"/>
        <v>0</v>
      </c>
      <c r="EA15" s="288">
        <f t="shared" si="18"/>
        <v>0</v>
      </c>
      <c r="EB15" s="288">
        <f t="shared" si="19"/>
        <v>0</v>
      </c>
      <c r="EC15" s="318" t="s">
        <v>7559</v>
      </c>
      <c r="ED15" s="288">
        <f t="shared" si="20"/>
        <v>0</v>
      </c>
      <c r="EE15" s="288">
        <f t="shared" si="21"/>
        <v>0</v>
      </c>
      <c r="EF15" s="288">
        <f t="shared" si="22"/>
        <v>0</v>
      </c>
      <c r="EG15" s="288">
        <f t="shared" si="23"/>
        <v>0</v>
      </c>
      <c r="EH15" s="318" t="s">
        <v>7559</v>
      </c>
      <c r="EI15" s="290"/>
      <c r="EJ15" s="288" t="e">
        <f t="shared" si="24"/>
        <v>#VALUE!</v>
      </c>
      <c r="EK15" s="291" t="e">
        <f t="shared" si="25"/>
        <v>#VALUE!</v>
      </c>
      <c r="EL15" s="291" t="e">
        <f t="shared" si="26"/>
        <v>#VALUE!</v>
      </c>
      <c r="EM15" s="318" t="s">
        <v>7559</v>
      </c>
      <c r="EN15" s="288" t="e">
        <f t="shared" si="27"/>
        <v>#VALUE!</v>
      </c>
      <c r="EO15" s="291" t="e">
        <f t="shared" si="28"/>
        <v>#VALUE!</v>
      </c>
      <c r="EP15" s="291" t="e">
        <f t="shared" si="29"/>
        <v>#VALUE!</v>
      </c>
      <c r="EQ15" s="318" t="s">
        <v>7559</v>
      </c>
      <c r="ER15" s="657"/>
      <c r="ES15" s="731">
        <f t="shared" si="30"/>
        <v>0</v>
      </c>
      <c r="ET15" s="731">
        <f t="shared" si="31"/>
        <v>0</v>
      </c>
      <c r="EU15" s="292">
        <f t="shared" si="32"/>
        <v>0</v>
      </c>
      <c r="EV15" s="292">
        <f t="shared" si="33"/>
        <v>0</v>
      </c>
      <c r="EW15" s="292">
        <f t="shared" si="34"/>
        <v>0</v>
      </c>
      <c r="EX15" s="292">
        <f t="shared" si="35"/>
        <v>0</v>
      </c>
      <c r="EY15" s="292">
        <f>SUMPRODUCT(('ANALYSE - ERP =&gt; SOUS-SEGMENT'!$B$8:$B$154=$B15)*'ANALYSE - ERP =&gt; SOUS-SEGMENT'!$Q$8:$Q$154*'ANALYSE - ERP =&gt; SOUS-SEGMENT'!$FB$8:$FB$154)</f>
        <v>0</v>
      </c>
      <c r="EZ15" s="292">
        <f>SUMPRODUCT(('ANALYSE - ERP =&gt; SOUS-SEGMENT'!$B$8:$B$154=$B15)*'ANALYSE - ERP =&gt; SOUS-SEGMENT'!$Q$8:$Q$154*'ANALYSE - ERP =&gt; SOUS-SEGMENT'!$FC$8:$FC$154)</f>
        <v>0</v>
      </c>
      <c r="FA15" s="292">
        <f t="shared" si="36"/>
        <v>0</v>
      </c>
      <c r="FB15" s="292">
        <f>SUMPRODUCT(('ANALYSE - ERP =&gt; SOUS-SEGMENT'!$B$8:$B$154=$B15)*'ANALYSE - ERP =&gt; SOUS-SEGMENT'!$Q$8:$Q$154*'ANALYSE - ERP =&gt; SOUS-SEGMENT'!$FE$8:$FE$154)</f>
        <v>0</v>
      </c>
      <c r="FC15" s="292">
        <f>SUMPRODUCT(('ANALYSE - ERP =&gt; SOUS-SEGMENT'!$B$8:$B$154=$B15)*'ANALYSE - ERP =&gt; SOUS-SEGMENT'!$Q$8:$Q$154*'ANALYSE - ERP =&gt; SOUS-SEGMENT'!$FF$8:$FF$154)</f>
        <v>0</v>
      </c>
      <c r="FD15" s="292">
        <f t="shared" si="37"/>
        <v>0</v>
      </c>
      <c r="FE15" s="292">
        <f>SUMPRODUCT(('ANALYSE - ERP =&gt; SOUS-SEGMENT'!$B$8:$B$154=$B15)*'ANALYSE - ERP =&gt; SOUS-SEGMENT'!$Q$8:$Q$154*'ANALYSE - ERP =&gt; SOUS-SEGMENT'!$FH$8:$FH$154)</f>
        <v>0</v>
      </c>
      <c r="FF15" s="292">
        <f>SUMPRODUCT(('ANALYSE - ERP =&gt; SOUS-SEGMENT'!$B$8:$B$154=$B15)*'ANALYSE - ERP =&gt; SOUS-SEGMENT'!$Q$8:$Q$154*'ANALYSE - ERP =&gt; SOUS-SEGMENT'!$FI$8:$FI$154)</f>
        <v>0</v>
      </c>
      <c r="FG15" s="292">
        <f t="shared" si="38"/>
        <v>0</v>
      </c>
      <c r="FH15" s="292">
        <f>SUMPRODUCT(('ANALYSE - ERP =&gt; SOUS-SEGMENT'!$B$8:$B$154=$B15)*'ANALYSE - ERP =&gt; SOUS-SEGMENT'!$Q$8:$Q$154*'ANALYSE - ERP =&gt; SOUS-SEGMENT'!$FK$8:$FK$154)</f>
        <v>0</v>
      </c>
      <c r="FI15" s="292">
        <f>SUMPRODUCT(('ANALYSE - ERP =&gt; SOUS-SEGMENT'!$B$8:$B$154=$B15)*'ANALYSE - ERP =&gt; SOUS-SEGMENT'!$Q$8:$Q$154*'ANALYSE - ERP =&gt; SOUS-SEGMENT'!$FL$8:$FL$154)</f>
        <v>0</v>
      </c>
      <c r="FJ15" s="657"/>
      <c r="FK15" s="319" t="s">
        <v>2649</v>
      </c>
      <c r="FL15" s="731" t="str">
        <f>IFERROR(SUMPRODUCT(('ANALYSE - ERP =&gt; SOUS-SEGMENT'!$B$8:$B$154=$B15)*'ANALYSE - ERP =&gt; SOUS-SEGMENT'!$Q$8:$Q$154*'ANALYSE - ERP =&gt; SOUS-SEGMENT'!$AF$8:$AF$154*'ANALYSE - ERP =&gt; SOUS-SEGMENT'!$FO$8:$FO$154)/SUMPRODUCT(('ANALYSE - ERP =&gt; SOUS-SEGMENT'!$B$8:$B$154=$B15)*'ANALYSE - ERP =&gt; SOUS-SEGMENT'!$Q$8:$Q$154*'ANALYSE - ERP =&gt; SOUS-SEGMENT'!$AF$8:$AF$154),"")</f>
        <v/>
      </c>
      <c r="FM15" s="732" t="str">
        <f>IFERROR(SUMPRODUCT(('ANALYSE - ERP =&gt; SOUS-SEGMENT'!$B$8:$B$154=$B15)*'ANALYSE - ERP =&gt; SOUS-SEGMENT'!$Q$8:$Q$154*'ANALYSE - ERP =&gt; SOUS-SEGMENT'!$AF$8:$AF$154*'ANALYSE - ERP =&gt; SOUS-SEGMENT'!$FP$8:$FP$154)/SUMPRODUCT(('ANALYSE - ERP =&gt; SOUS-SEGMENT'!$B$8:$B$154=$B15)*'ANALYSE - ERP =&gt; SOUS-SEGMENT'!$Q$8:$Q$154*'ANALYSE - ERP =&gt; SOUS-SEGMENT'!$AF$8:$AF$154),"")</f>
        <v/>
      </c>
      <c r="FN15" s="320" t="s">
        <v>6780</v>
      </c>
      <c r="FO15" s="657"/>
      <c r="FP15" s="887" t="str">
        <f>IFERROR(SUMPRODUCT(('ANALYSE - ERP =&gt; SOUS-SEGMENT'!$B$8:$B$154=$B15)*'ANALYSE - ERP =&gt; SOUS-SEGMENT'!$Q$8:$Q$154*'ANALYSE - ERP =&gt; SOUS-SEGMENT'!$EX$8:$EX$154*'ANALYSE - ERP =&gt; SOUS-SEGMENT'!$FS$8:$FS$154)/SUMPRODUCT(('ANALYSE - ERP =&gt; SOUS-SEGMENT'!$B$8:$B$154=$B15)*'ANALYSE - ERP =&gt; SOUS-SEGMENT'!$Q$8:$Q$154*'ANALYSE - ERP =&gt; SOUS-SEGMENT'!$EX$8:$EX$154),"")</f>
        <v/>
      </c>
      <c r="FQ15" s="295" t="e">
        <f>RANK($FP15,$FP$8:$FP$143,0)+COUNTIF($FP$8:$FP15,$FP15)-1</f>
        <v>#VALUE!</v>
      </c>
      <c r="FR15" s="887" t="e">
        <f>IFERROR(SUMPRODUCT(('ANALYSE - ERP =&gt; SOUS-SEGMENT'!$B$8:$B$154=$B15)*'ANALYSE - ERP =&gt; SOUS-SEGMENT'!$Q$8:$Q$154*'ANALYSE - ERP =&gt; SOUS-SEGMENT'!$EY$8:$EY$154*'ANALYSE - ERP =&gt; SOUS-SEGMENT'!$FU$8:$FU$154)/SUMPRODUCT(('ANALYSE - ERP =&gt; SOUS-SEGMENT'!$B$8:$B$154=$B15)*'ANALYSE - ERP =&gt; SOUS-SEGMENT'!$Q$8:$Q$154*'ANALYSE - ERP =&gt; SOUS-SEGMENT'!$EY$8:$EY$154),"")-0.1</f>
        <v>#VALUE!</v>
      </c>
      <c r="FS15" s="295" t="e">
        <f>RANK($FR15,$FR$8:$FR$143,0)+COUNTIF($FR$8:$FR15,$FR15)-1</f>
        <v>#VALUE!</v>
      </c>
      <c r="FT15" s="887" t="e">
        <f>IFERROR(SUMPRODUCT(('ANALYSE - ERP =&gt; SOUS-SEGMENT'!$B$8:$B$154=$B15)*'ANALYSE - ERP =&gt; SOUS-SEGMENT'!$Q$8:$Q$154*'ANALYSE - ERP =&gt; SOUS-SEGMENT'!$EZ$8:$EZ$154*'ANALYSE - ERP =&gt; SOUS-SEGMENT'!$FW$8:$FW$154)/SUMPRODUCT(('ANALYSE - ERP =&gt; SOUS-SEGMENT'!$B$8:$B$154=$B15)*'ANALYSE - ERP =&gt; SOUS-SEGMENT'!$Q$8:$Q$154*'ANALYSE - ERP =&gt; SOUS-SEGMENT'!$EZ$8:$EZ$154),"")-0.1</f>
        <v>#VALUE!</v>
      </c>
      <c r="FU15" s="295" t="e">
        <f>RANK($FT15,$FT$8:$FT$143,0)+COUNTIF($FT$8:$FT15,$FT15)-1</f>
        <v>#VALUE!</v>
      </c>
      <c r="FV15" s="657"/>
      <c r="FW15" s="321" t="s">
        <v>7559</v>
      </c>
      <c r="FX15" s="321" t="s">
        <v>7559</v>
      </c>
      <c r="FY15" s="321" t="s">
        <v>7559</v>
      </c>
      <c r="FZ15" s="321" t="s">
        <v>7559</v>
      </c>
      <c r="GA15" s="321" t="s">
        <v>7559</v>
      </c>
      <c r="GB15" s="321" t="s">
        <v>7559</v>
      </c>
      <c r="GC15" s="321" t="str">
        <f t="shared" si="39"/>
        <v>https://solidarites.gouv.fr/le-service-public-de-la-petite-enfance-garantir-un-accueil-de-qualite-tous-les-enfants-et-leurs-familles
https://solidarites.gouv.fr/outils-et-ressources-destination-des-autorites-organisatrices-de-laccueil-du-jeune-enfant
https://solidarites.gouv.fr/stephanie-rist-annonce-une-revalorisation-du-financement-des-creches-par-les-caf-de-2-en-2025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D15" s="657"/>
      <c r="GE15" s="292">
        <f>SUMPRODUCT(('ANALYSE - ERP =&gt; SOUS-SEGMENT'!$B$8:$B$154=$B15)*'ANALYSE - ERP =&gt; SOUS-SEGMENT'!$Q$8:$Q$154*'ANALYSE - ERP =&gt; SOUS-SEGMENT'!$GH$8:$GH$154)</f>
        <v>0</v>
      </c>
      <c r="GF15" s="292">
        <f>SUMPRODUCT(('ANALYSE - ERP =&gt; SOUS-SEGMENT'!$B$8:$B$154=$B15)*'ANALYSE - ERP =&gt; SOUS-SEGMENT'!$Q$8:$Q$154*'ANALYSE - ERP =&gt; SOUS-SEGMENT'!$GI$8:$GI$154)</f>
        <v>0</v>
      </c>
      <c r="GG15" s="292">
        <f>SUMPRODUCT(('ANALYSE - ERP =&gt; SOUS-SEGMENT'!$B$8:$B$154=$B15)*'ANALYSE - ERP =&gt; SOUS-SEGMENT'!$Q$8:$Q$154*'ANALYSE - ERP =&gt; SOUS-SEGMENT'!$GJ$8:$GJ$154)</f>
        <v>0</v>
      </c>
      <c r="GH15" s="292">
        <f>SUMPRODUCT(('ANALYSE - ERP =&gt; SOUS-SEGMENT'!$B$8:$B$154=$B15)*'ANALYSE - ERP =&gt; SOUS-SEGMENT'!$Q$8:$Q$154*'ANALYSE - ERP =&gt; SOUS-SEGMENT'!$GK$8:$GK$154)</f>
        <v>0</v>
      </c>
      <c r="GI15" s="292">
        <f>SUMPRODUCT(('ANALYSE - ERP =&gt; SOUS-SEGMENT'!$B$8:$B$154=$B15)*'ANALYSE - ERP =&gt; SOUS-SEGMENT'!$Q$8:$Q$154*'ANALYSE - ERP =&gt; SOUS-SEGMENT'!$GL$8:$GL$154)</f>
        <v>0</v>
      </c>
      <c r="GJ15" s="292">
        <f>SUMPRODUCT(('ANALYSE - ERP =&gt; SOUS-SEGMENT'!$B$8:$B$154=$B15)*'ANALYSE - ERP =&gt; SOUS-SEGMENT'!$Q$8:$Q$154*'ANALYSE - ERP =&gt; SOUS-SEGMENT'!$GM$8:$GM$154)</f>
        <v>0</v>
      </c>
      <c r="GK15" s="292">
        <f>SUMPRODUCT(('ANALYSE - ERP =&gt; SOUS-SEGMENT'!$B$8:$B$154=$B15)*'ANALYSE - ERP =&gt; SOUS-SEGMENT'!$Q$8:$Q$154*'ANALYSE - ERP =&gt; SOUS-SEGMENT'!$GN$8:$GN$154)</f>
        <v>0</v>
      </c>
      <c r="GL15" s="292">
        <f>SUMPRODUCT(('ANALYSE - ERP =&gt; SOUS-SEGMENT'!$B$8:$B$154=$B15)*'ANALYSE - ERP =&gt; SOUS-SEGMENT'!$Q$8:$Q$154*'ANALYSE - ERP =&gt; SOUS-SEGMENT'!$GO$8:$GO$154)</f>
        <v>0</v>
      </c>
      <c r="GM15" s="292">
        <f>SUMPRODUCT(('ANALYSE - ERP =&gt; SOUS-SEGMENT'!$B$8:$B$154=$B15)*'ANALYSE - ERP =&gt; SOUS-SEGMENT'!$Q$8:$Q$154*'ANALYSE - ERP =&gt; SOUS-SEGMENT'!$GP$8:$GP$154)</f>
        <v>0</v>
      </c>
      <c r="GN15" s="292">
        <f>SUMPRODUCT(('ANALYSE - ERP =&gt; SOUS-SEGMENT'!$B$8:$B$154=$B15)*'ANALYSE - ERP =&gt; SOUS-SEGMENT'!$Q$8:$Q$154*'ANALYSE - ERP =&gt; SOUS-SEGMENT'!$GQ$8:$GQ$154)</f>
        <v>0</v>
      </c>
      <c r="GO15" s="292">
        <f>SUMPRODUCT(('ANALYSE - ERP =&gt; SOUS-SEGMENT'!$B$8:$B$154=$B15)*'ANALYSE - ERP =&gt; SOUS-SEGMENT'!$Q$8:$Q$154*'ANALYSE - ERP =&gt; SOUS-SEGMENT'!$GR$8:$GR$154)</f>
        <v>0</v>
      </c>
      <c r="GP15" s="292">
        <f>SUMPRODUCT(('ANALYSE - ERP =&gt; SOUS-SEGMENT'!$B$8:$B$154=$B15)*'ANALYSE - ERP =&gt; SOUS-SEGMENT'!$Q$8:$Q$154*'ANALYSE - ERP =&gt; SOUS-SEGMENT'!$GS$8:$GS$154)</f>
        <v>0</v>
      </c>
      <c r="GQ15" s="292">
        <f>SUMPRODUCT(('ANALYSE - ERP =&gt; SOUS-SEGMENT'!$B$8:$B$154=$B15)*'ANALYSE - ERP =&gt; SOUS-SEGMENT'!$Q$8:$Q$154*'ANALYSE - ERP =&gt; SOUS-SEGMENT'!$GT$8:$GT$154)</f>
        <v>0</v>
      </c>
      <c r="GR15" s="292">
        <f>SUMPRODUCT(('ANALYSE - ERP =&gt; SOUS-SEGMENT'!$B$8:$B$154=$B15)*'ANALYSE - ERP =&gt; SOUS-SEGMENT'!$Q$8:$Q$154*'ANALYSE - ERP =&gt; SOUS-SEGMENT'!$GU$8:$GU$154)</f>
        <v>0</v>
      </c>
      <c r="GS15" s="292">
        <f>SUMPRODUCT(('ANALYSE - ERP =&gt; SOUS-SEGMENT'!$B$8:$B$154=$B15)*'ANALYSE - ERP =&gt; SOUS-SEGMENT'!$Q$8:$Q$154*'ANALYSE - ERP =&gt; SOUS-SEGMENT'!$GV$8:$GV$154)</f>
        <v>0</v>
      </c>
      <c r="GT15" s="292">
        <f>SUMPRODUCT(('ANALYSE - ERP =&gt; SOUS-SEGMENT'!$B$8:$B$154=$B15)*'ANALYSE - ERP =&gt; SOUS-SEGMENT'!$Q$8:$Q$154*'ANALYSE - ERP =&gt; SOUS-SEGMENT'!$GW$8:$GW$154)</f>
        <v>0</v>
      </c>
      <c r="GU15" s="292">
        <f>SUMPRODUCT(('ANALYSE - ERP =&gt; SOUS-SEGMENT'!$B$8:$B$154=$B15)*'ANALYSE - ERP =&gt; SOUS-SEGMENT'!$Q$8:$Q$154*'ANALYSE - ERP =&gt; SOUS-SEGMENT'!$GX$8:$GX$154)</f>
        <v>0</v>
      </c>
      <c r="GV15" s="292">
        <f>SUMPRODUCT(('ANALYSE - ERP =&gt; SOUS-SEGMENT'!$B$8:$B$154=$B15)*'ANALYSE - ERP =&gt; SOUS-SEGMENT'!$Q$8:$Q$154*'ANALYSE - ERP =&gt; SOUS-SEGMENT'!$GY$8:$GY$154)</f>
        <v>0</v>
      </c>
      <c r="GW15" s="292">
        <f>SUMPRODUCT(('ANALYSE - ERP =&gt; SOUS-SEGMENT'!$B$8:$B$154=$B15)*'ANALYSE - ERP =&gt; SOUS-SEGMENT'!$Q$8:$Q$154*'ANALYSE - ERP =&gt; SOUS-SEGMENT'!$GZ$8:$GZ$154)</f>
        <v>0</v>
      </c>
      <c r="GX15" s="292">
        <f>SUMPRODUCT(('ANALYSE - ERP =&gt; SOUS-SEGMENT'!$B$8:$B$154=$B15)*'ANALYSE - ERP =&gt; SOUS-SEGMENT'!$Q$8:$Q$154*'ANALYSE - ERP =&gt; SOUS-SEGMENT'!$HA$8:$HA$154)</f>
        <v>0</v>
      </c>
      <c r="GY15" s="292">
        <f>SUMPRODUCT(('ANALYSE - ERP =&gt; SOUS-SEGMENT'!$B$8:$B$154=$B15)*'ANALYSE - ERP =&gt; SOUS-SEGMENT'!$Q$8:$Q$154*'ANALYSE - ERP =&gt; SOUS-SEGMENT'!$HB$8:$HB$154)</f>
        <v>0</v>
      </c>
      <c r="GZ15" s="292">
        <f>SUMPRODUCT(('ANALYSE - ERP =&gt; SOUS-SEGMENT'!$B$8:$B$154=$B15)*'ANALYSE - ERP =&gt; SOUS-SEGMENT'!$Q$8:$Q$154*'ANALYSE - ERP =&gt; SOUS-SEGMENT'!$HC$8:$HC$154)</f>
        <v>0</v>
      </c>
      <c r="HA15" s="292">
        <f>SUMPRODUCT(('ANALYSE - ERP =&gt; SOUS-SEGMENT'!$B$8:$B$154=$B15)*'ANALYSE - ERP =&gt; SOUS-SEGMENT'!$Q$8:$Q$154*'ANALYSE - ERP =&gt; SOUS-SEGMENT'!$HD$8:$HD$154)</f>
        <v>0</v>
      </c>
      <c r="HB15" s="292">
        <f>SUMPRODUCT(('ANALYSE - ERP =&gt; SOUS-SEGMENT'!$B$8:$B$154=$B15)*'ANALYSE - ERP =&gt; SOUS-SEGMENT'!$Q$8:$Q$154*'ANALYSE - ERP =&gt; SOUS-SEGMENT'!$HE$8:$HE$154)</f>
        <v>0</v>
      </c>
      <c r="HC15" s="292">
        <f>SUMPRODUCT(('ANALYSE - ERP =&gt; SOUS-SEGMENT'!$B$8:$B$154=$B15)*'ANALYSE - ERP =&gt; SOUS-SEGMENT'!$Q$8:$Q$154*'ANALYSE - ERP =&gt; SOUS-SEGMENT'!$HF$8:$HF$154)</f>
        <v>0</v>
      </c>
      <c r="HD15" s="292">
        <f>SUMPRODUCT(('ANALYSE - ERP =&gt; SOUS-SEGMENT'!$B$8:$B$154=$B15)*'ANALYSE - ERP =&gt; SOUS-SEGMENT'!$Q$8:$Q$154*'ANALYSE - ERP =&gt; SOUS-SEGMENT'!$HG$8:$HG$154)</f>
        <v>0</v>
      </c>
      <c r="HE15" s="292">
        <f>SUMPRODUCT(('ANALYSE - ERP =&gt; SOUS-SEGMENT'!$B$8:$B$154=$B15)*'ANALYSE - ERP =&gt; SOUS-SEGMENT'!$Q$8:$Q$154*'ANALYSE - ERP =&gt; SOUS-SEGMENT'!$HH$8:$HH$154)</f>
        <v>0</v>
      </c>
      <c r="HF15" s="292">
        <f>SUMPRODUCT(('ANALYSE - ERP =&gt; SOUS-SEGMENT'!$B$8:$B$154=$B15)*'ANALYSE - ERP =&gt; SOUS-SEGMENT'!$Q$8:$Q$154*'ANALYSE - ERP =&gt; SOUS-SEGMENT'!$HI$8:$HI$154)</f>
        <v>0</v>
      </c>
      <c r="HG15" s="292">
        <f>SUMPRODUCT(('ANALYSE - ERP =&gt; SOUS-SEGMENT'!$B$8:$B$154=$B15)*'ANALYSE - ERP =&gt; SOUS-SEGMENT'!$Q$8:$Q$154*'ANALYSE - ERP =&gt; SOUS-SEGMENT'!$HJ$8:$HJ$154)</f>
        <v>0</v>
      </c>
      <c r="HH15" s="292">
        <f>SUMPRODUCT(('ANALYSE - ERP =&gt; SOUS-SEGMENT'!$B$8:$B$154=$B15)*'ANALYSE - ERP =&gt; SOUS-SEGMENT'!$Q$8:$Q$154*'ANALYSE - ERP =&gt; SOUS-SEGMENT'!$HK$8:$HK$154)</f>
        <v>0</v>
      </c>
      <c r="HI15" s="292">
        <f>SUMPRODUCT(('ANALYSE - ERP =&gt; SOUS-SEGMENT'!$B$8:$B$154=$B15)*'ANALYSE - ERP =&gt; SOUS-SEGMENT'!$Q$8:$Q$154*'ANALYSE - ERP =&gt; SOUS-SEGMENT'!$HL$8:$HL$154)</f>
        <v>0</v>
      </c>
      <c r="HJ15" s="292">
        <f>SUMPRODUCT(('ANALYSE - ERP =&gt; SOUS-SEGMENT'!$B$8:$B$154=$B15)*'ANALYSE - ERP =&gt; SOUS-SEGMENT'!$Q$8:$Q$154*'ANALYSE - ERP =&gt; SOUS-SEGMENT'!$HM$8:$HM$154)</f>
        <v>0</v>
      </c>
      <c r="HK15" s="292">
        <f>SUMPRODUCT(('ANALYSE - ERP =&gt; SOUS-SEGMENT'!$B$8:$B$154=$B15)*'ANALYSE - ERP =&gt; SOUS-SEGMENT'!$Q$8:$Q$154*'ANALYSE - ERP =&gt; SOUS-SEGMENT'!$HN$8:$HN$154)</f>
        <v>0</v>
      </c>
      <c r="HL15" s="292">
        <f>SUMPRODUCT(('ANALYSE - ERP =&gt; SOUS-SEGMENT'!$B$8:$B$154=$B15)*'ANALYSE - ERP =&gt; SOUS-SEGMENT'!$Q$8:$Q$154*'ANALYSE - ERP =&gt; SOUS-SEGMENT'!$HO$8:$HO$154)</f>
        <v>0</v>
      </c>
      <c r="HM15" s="292">
        <f>SUMPRODUCT(('ANALYSE - ERP =&gt; SOUS-SEGMENT'!$B$8:$B$154=$B15)*'ANALYSE - ERP =&gt; SOUS-SEGMENT'!$Q$8:$Q$154*'ANALYSE - ERP =&gt; SOUS-SEGMENT'!$HP$8:$HP$154)</f>
        <v>0</v>
      </c>
      <c r="HN15" s="292">
        <f>SUMPRODUCT(('ANALYSE - ERP =&gt; SOUS-SEGMENT'!$B$8:$B$154=$B15)*'ANALYSE - ERP =&gt; SOUS-SEGMENT'!$Q$8:$Q$154*'ANALYSE - ERP =&gt; SOUS-SEGMENT'!$HQ$8:$HQ$154)</f>
        <v>0</v>
      </c>
      <c r="HO15" s="292">
        <f>SUMPRODUCT(('ANALYSE - ERP =&gt; SOUS-SEGMENT'!$B$8:$B$154=$B15)*'ANALYSE - ERP =&gt; SOUS-SEGMENT'!$Q$8:$Q$154*'ANALYSE - ERP =&gt; SOUS-SEGMENT'!$HR$8:$HR$154)</f>
        <v>0</v>
      </c>
      <c r="HP15" s="292">
        <f>SUMPRODUCT(('ANALYSE - ERP =&gt; SOUS-SEGMENT'!$B$8:$B$154=$B15)*'ANALYSE - ERP =&gt; SOUS-SEGMENT'!$Q$8:$Q$154*'ANALYSE - ERP =&gt; SOUS-SEGMENT'!$HS$8:$HS$154)</f>
        <v>0</v>
      </c>
      <c r="HQ15" s="292">
        <f>SUMPRODUCT(('ANALYSE - ERP =&gt; SOUS-SEGMENT'!$B$8:$B$154=$B15)*'ANALYSE - ERP =&gt; SOUS-SEGMENT'!$Q$8:$Q$154*'ANALYSE - ERP =&gt; SOUS-SEGMENT'!$HT$8:$HT$154)</f>
        <v>0</v>
      </c>
      <c r="HR15" s="292">
        <f>SUMPRODUCT(('ANALYSE - ERP =&gt; SOUS-SEGMENT'!$B$8:$B$154=$B15)*'ANALYSE - ERP =&gt; SOUS-SEGMENT'!$Q$8:$Q$154*'ANALYSE - ERP =&gt; SOUS-SEGMENT'!$HU$8:$HU$154)</f>
        <v>0</v>
      </c>
      <c r="HS15" s="292">
        <f>SUMPRODUCT(('ANALYSE - ERP =&gt; SOUS-SEGMENT'!$B$8:$B$154=$B15)*'ANALYSE - ERP =&gt; SOUS-SEGMENT'!$Q$8:$Q$154*'ANALYSE - ERP =&gt; SOUS-SEGMENT'!$HV$8:$HV$154)</f>
        <v>0</v>
      </c>
      <c r="HT15" s="292">
        <f>SUMPRODUCT(('ANALYSE - ERP =&gt; SOUS-SEGMENT'!$B$8:$B$154=$B15)*'ANALYSE - ERP =&gt; SOUS-SEGMENT'!$Q$8:$Q$154*'ANALYSE - ERP =&gt; SOUS-SEGMENT'!$HW$8:$HW$154)</f>
        <v>0</v>
      </c>
      <c r="HV15" s="297">
        <f t="shared" si="40"/>
        <v>0</v>
      </c>
      <c r="HW15" s="297">
        <f>SUMPRODUCT(('ANALYSE - ERP =&gt; SOUS-SEGMENT'!$B$8:$B$154=$B15)*'ANALYSE - ERP =&gt; SOUS-SEGMENT'!$Q$8:$Q$154*'ANALYSE - ERP =&gt; SOUS-SEGMENT'!$HZ$8:$HZ$154)</f>
        <v>0</v>
      </c>
      <c r="HX15" s="297">
        <f>SUMPRODUCT(('ANALYSE - ERP =&gt; SOUS-SEGMENT'!$B$8:$B$154=$B15)*'ANALYSE - ERP =&gt; SOUS-SEGMENT'!$Q$8:$Q$154*'ANALYSE - ERP =&gt; SOUS-SEGMENT'!$IA$8:$IA$154)</f>
        <v>0</v>
      </c>
      <c r="HY15" s="297">
        <f>SUMPRODUCT(('ANALYSE - ERP =&gt; SOUS-SEGMENT'!$B$8:$B$154=$B15)*'ANALYSE - ERP =&gt; SOUS-SEGMENT'!$Q$8:$Q$154*'ANALYSE - ERP =&gt; SOUS-SEGMENT'!$IB$8:$IB$154)</f>
        <v>0</v>
      </c>
      <c r="HZ15" s="297">
        <f>SUMPRODUCT(('ANALYSE - ERP =&gt; SOUS-SEGMENT'!$B$8:$B$154=$B15)*'ANALYSE - ERP =&gt; SOUS-SEGMENT'!$Q$8:$Q$154*'ANALYSE - ERP =&gt; SOUS-SEGMENT'!$IC$8:$IC$154)</f>
        <v>0</v>
      </c>
      <c r="IA15" s="297">
        <f>SUMPRODUCT(('ANALYSE - ERP =&gt; SOUS-SEGMENT'!$B$8:$B$154=$B15)*'ANALYSE - ERP =&gt; SOUS-SEGMENT'!$Q$8:$Q$154*'ANALYSE - ERP =&gt; SOUS-SEGMENT'!$ID$8:$ID$154)</f>
        <v>0</v>
      </c>
      <c r="IB15" s="297">
        <f>SUMPRODUCT(('ANALYSE - ERP =&gt; SOUS-SEGMENT'!$B$8:$B$154=$B15)*'ANALYSE - ERP =&gt; SOUS-SEGMENT'!$Q$8:$Q$154*'ANALYSE - ERP =&gt; SOUS-SEGMENT'!$IE$8:$IE$154)</f>
        <v>0</v>
      </c>
      <c r="IC15" s="297">
        <f>SUMPRODUCT(('ANALYSE - ERP =&gt; SOUS-SEGMENT'!$B$8:$B$154=$B15)*'ANALYSE - ERP =&gt; SOUS-SEGMENT'!$Q$8:$Q$154*'ANALYSE - ERP =&gt; SOUS-SEGMENT'!$IF$8:$IF$154)</f>
        <v>0</v>
      </c>
      <c r="ID15" s="297">
        <f>SUMPRODUCT(('ANALYSE - ERP =&gt; SOUS-SEGMENT'!$B$8:$B$154=$B15)*'ANALYSE - ERP =&gt; SOUS-SEGMENT'!$Q$8:$Q$154*'ANALYSE - ERP =&gt; SOUS-SEGMENT'!$IG$8:$IG$154)</f>
        <v>0</v>
      </c>
      <c r="IE15" s="297">
        <f>SUMPRODUCT(('ANALYSE - ERP =&gt; SOUS-SEGMENT'!$B$8:$B$154=$B15)*'ANALYSE - ERP =&gt; SOUS-SEGMENT'!$Q$8:$Q$154*'ANALYSE - ERP =&gt; SOUS-SEGMENT'!$IH$8:$IH$154)</f>
        <v>0</v>
      </c>
      <c r="IF15" s="297">
        <f>SUMPRODUCT(('ANALYSE - ERP =&gt; SOUS-SEGMENT'!$B$8:$B$154=$B15)*'ANALYSE - ERP =&gt; SOUS-SEGMENT'!$Q$8:$Q$154*'ANALYSE - ERP =&gt; SOUS-SEGMENT'!$II$8:$II$154)</f>
        <v>0</v>
      </c>
      <c r="IG15" s="297">
        <f>SUMPRODUCT(('ANALYSE - ERP =&gt; SOUS-SEGMENT'!$B$8:$B$154=$B15)*'ANALYSE - ERP =&gt; SOUS-SEGMENT'!$Q$8:$Q$154*'ANALYSE - ERP =&gt; SOUS-SEGMENT'!$IJ$8:$IJ$154)</f>
        <v>0</v>
      </c>
      <c r="IH15" s="888"/>
      <c r="II15" s="298" t="s">
        <v>2589</v>
      </c>
      <c r="IJ15" s="322" t="s">
        <v>7559</v>
      </c>
      <c r="IK15" s="657"/>
      <c r="IL15" s="779">
        <f>IFERROR(SUMPRODUCT(('ANALYSE - ERP =&gt; SOUS-SEGMENT'!$B$8:$B$154=$B15)*'ANALYSE - ERP =&gt; SOUS-SEGMENT'!$Q$8:$Q$154*'ANALYSE - ERP =&gt; SOUS-SEGMENT'!$BE$8:$BE$154*'ANALYSE - ERP =&gt; SOUS-SEGMENT'!$IO$8:$IO$154)/SUMPRODUCT(('ANALYSE - ERP =&gt; SOUS-SEGMENT'!$B$8:$B$154=$B15)*'ANALYSE - ERP =&gt; SOUS-SEGMENT'!$Q$8:$Q$154*'ANALYSE - ERP =&gt; SOUS-SEGMENT'!$BE$8:$BE$154),0)</f>
        <v>0</v>
      </c>
      <c r="IM15" s="780">
        <f>IFERROR(SUMPRODUCT(('ANALYSE - ERP =&gt; SOUS-SEGMENT'!$B$8:$B$154=$B15)*'ANALYSE - ERP =&gt; SOUS-SEGMENT'!$Q$8:$Q$154*'ANALYSE - ERP =&gt; SOUS-SEGMENT'!$BE$8:$BE$154*'ANALYSE - ERP =&gt; SOUS-SEGMENT'!$IP$8:$IP$154)/SUMPRODUCT(('ANALYSE - ERP =&gt; SOUS-SEGMENT'!$B$8:$B$154=$B15)*'ANALYSE - ERP =&gt; SOUS-SEGMENT'!$Q$8:$Q$154*'ANALYSE - ERP =&gt; SOUS-SEGMENT'!$BE$8:$BE$154),0)</f>
        <v>0</v>
      </c>
      <c r="IN15" s="780">
        <f>IFERROR(SUMPRODUCT(('ANALYSE - ERP =&gt; SOUS-SEGMENT'!$B$8:$B$154=$B15)*'ANALYSE - ERP =&gt; SOUS-SEGMENT'!$Q$8:$Q$154*'ANALYSE - ERP =&gt; SOUS-SEGMENT'!$BE$8:$BE$154*'ANALYSE - ERP =&gt; SOUS-SEGMENT'!$IQ$8:$IQ$154)/SUMPRODUCT(('ANALYSE - ERP =&gt; SOUS-SEGMENT'!$B$8:$B$154=$B15)*'ANALYSE - ERP =&gt; SOUS-SEGMENT'!$Q$8:$Q$154*'ANALYSE - ERP =&gt; SOUS-SEGMENT'!$BE$8:$BE$154),0)</f>
        <v>0</v>
      </c>
      <c r="IO15" s="780">
        <f>IFERROR(SUMPRODUCT(('ANALYSE - ERP =&gt; SOUS-SEGMENT'!$B$8:$B$154=$B15)*'ANALYSE - ERP =&gt; SOUS-SEGMENT'!$Q$8:$Q$154*'ANALYSE - ERP =&gt; SOUS-SEGMENT'!$BE$8:$BE$154*'ANALYSE - ERP =&gt; SOUS-SEGMENT'!$IR$8:$IR$154)/SUMPRODUCT(('ANALYSE - ERP =&gt; SOUS-SEGMENT'!$B$8:$B$154=$B15)*'ANALYSE - ERP =&gt; SOUS-SEGMENT'!$Q$8:$Q$154*'ANALYSE - ERP =&gt; SOUS-SEGMENT'!$BE$8:$BE$154),0)</f>
        <v>0</v>
      </c>
      <c r="IP15" s="781">
        <f>IFERROR(SUMPRODUCT(('ANALYSE - ERP =&gt; SOUS-SEGMENT'!$B$8:$B$154=$B15)*'ANALYSE - ERP =&gt; SOUS-SEGMENT'!$Q$8:$Q$154*'ANALYSE - ERP =&gt; SOUS-SEGMENT'!$BE$8:$BE$154*'ANALYSE - ERP =&gt; SOUS-SEGMENT'!$IS$8:$IS$154)/SUMPRODUCT(('ANALYSE - ERP =&gt; SOUS-SEGMENT'!$B$8:$B$154=$B15)*'ANALYSE - ERP =&gt; SOUS-SEGMENT'!$Q$8:$Q$154*'ANALYSE - ERP =&gt; SOUS-SEGMENT'!$BE$8:$BE$154),0)</f>
        <v>0</v>
      </c>
      <c r="IQ15" s="780">
        <f>IFERROR(SUMPRODUCT(('ANALYSE - ERP =&gt; SOUS-SEGMENT'!$B$8:$B$154=$B15)*'ANALYSE - ERP =&gt; SOUS-SEGMENT'!$Q$8:$Q$154*'ANALYSE - ERP =&gt; SOUS-SEGMENT'!$FB$8:$FB$154*'ANALYSE - ERP =&gt; SOUS-SEGMENT'!$IT$8:$IT$154)/SUMPRODUCT(('ANALYSE - ERP =&gt; SOUS-SEGMENT'!$B$8:$B$154=$B15)*'ANALYSE - ERP =&gt; SOUS-SEGMENT'!$Q$8:$Q$154*'ANALYSE - ERP =&gt; SOUS-SEGMENT'!$FB$8:$FB$154),0)</f>
        <v>0</v>
      </c>
      <c r="IR15" s="780">
        <f>IFERROR(SUMPRODUCT(('ANALYSE - ERP =&gt; SOUS-SEGMENT'!$B$8:$B$154=$B15)*'ANALYSE - ERP =&gt; SOUS-SEGMENT'!$Q$8:$Q$154*'ANALYSE - ERP =&gt; SOUS-SEGMENT'!$FB$8:$FB$154*'ANALYSE - ERP =&gt; SOUS-SEGMENT'!$IU$8:$IU$154)/SUMPRODUCT(('ANALYSE - ERP =&gt; SOUS-SEGMENT'!$B$8:$B$154=$B15)*'ANALYSE - ERP =&gt; SOUS-SEGMENT'!$Q$8:$Q$154*'ANALYSE - ERP =&gt; SOUS-SEGMENT'!$FB$8:$FB$154),0)</f>
        <v>0</v>
      </c>
      <c r="IS15" s="780">
        <f>IFERROR(SUMPRODUCT(('ANALYSE - ERP =&gt; SOUS-SEGMENT'!$B$8:$B$154=$B15)*'ANALYSE - ERP =&gt; SOUS-SEGMENT'!$Q$8:$Q$154*'ANALYSE - ERP =&gt; SOUS-SEGMENT'!$FB$8:$FB$154*'ANALYSE - ERP =&gt; SOUS-SEGMENT'!$IV$8:$IV$154)/SUMPRODUCT(('ANALYSE - ERP =&gt; SOUS-SEGMENT'!$B$8:$B$154=$B15)*'ANALYSE - ERP =&gt; SOUS-SEGMENT'!$Q$8:$Q$154*'ANALYSE - ERP =&gt; SOUS-SEGMENT'!$FB$8:$FB$154),0)</f>
        <v>0</v>
      </c>
      <c r="IT15" s="780">
        <f>IFERROR(SUMPRODUCT(('ANALYSE - ERP =&gt; SOUS-SEGMENT'!$B$8:$B$154=$B15)*'ANALYSE - ERP =&gt; SOUS-SEGMENT'!$Q$8:$Q$154*'ANALYSE - ERP =&gt; SOUS-SEGMENT'!$FB$8:$FB$154*'ANALYSE - ERP =&gt; SOUS-SEGMENT'!$IW$8:$IW$154)/SUMPRODUCT(('ANALYSE - ERP =&gt; SOUS-SEGMENT'!$B$8:$B$154=$B15)*'ANALYSE - ERP =&gt; SOUS-SEGMENT'!$Q$8:$Q$154*'ANALYSE - ERP =&gt; SOUS-SEGMENT'!$FB$8:$FB$154),0)</f>
        <v>0</v>
      </c>
      <c r="IU15" s="780">
        <f>IFERROR(SUMPRODUCT(('ANALYSE - ERP =&gt; SOUS-SEGMENT'!$B$8:$B$154=$B15)*'ANALYSE - ERP =&gt; SOUS-SEGMENT'!$Q$8:$Q$154*'ANALYSE - ERP =&gt; SOUS-SEGMENT'!$FB$8:$FB$154*'ANALYSE - ERP =&gt; SOUS-SEGMENT'!$IX$8:$IX$154)/SUMPRODUCT(('ANALYSE - ERP =&gt; SOUS-SEGMENT'!$B$8:$B$154=$B15)*'ANALYSE - ERP =&gt; SOUS-SEGMENT'!$Q$8:$Q$154*'ANALYSE - ERP =&gt; SOUS-SEGMENT'!$FB$8:$FB$154),0)</f>
        <v>0</v>
      </c>
      <c r="IV15" s="782">
        <f>IFERROR(SUMPRODUCT(('ANALYSE - ERP =&gt; SOUS-SEGMENT'!$B$8:$B$154=$B15)*'ANALYSE - ERP =&gt; SOUS-SEGMENT'!$Q$8:$Q$154*'ANALYSE - ERP =&gt; SOUS-SEGMENT'!$BF$8:$BF$154*'ANALYSE - ERP =&gt; SOUS-SEGMENT'!$IY$8:$IY$154)/SUMPRODUCT(('ANALYSE - ERP =&gt; SOUS-SEGMENT'!$B$8:$B$154=$B15)*'ANALYSE - ERP =&gt; SOUS-SEGMENT'!$Q$8:$Q$154*'ANALYSE - ERP =&gt; SOUS-SEGMENT'!$BF$8:$BF$154),0)</f>
        <v>0</v>
      </c>
      <c r="IW15" s="780">
        <f>IFERROR(SUMPRODUCT(('ANALYSE - ERP =&gt; SOUS-SEGMENT'!$B$8:$B$154=$B15)*'ANALYSE - ERP =&gt; SOUS-SEGMENT'!$Q$8:$Q$154*'ANALYSE - ERP =&gt; SOUS-SEGMENT'!$BF$8:$BF$154*'ANALYSE - ERP =&gt; SOUS-SEGMENT'!$IZ$8:$IZ$154)/SUMPRODUCT(('ANALYSE - ERP =&gt; SOUS-SEGMENT'!$B$8:$B$154=$B15)*'ANALYSE - ERP =&gt; SOUS-SEGMENT'!$Q$8:$Q$154*'ANALYSE - ERP =&gt; SOUS-SEGMENT'!$BF$8:$BF$154),0)</f>
        <v>0</v>
      </c>
      <c r="IX15" s="780">
        <f>IFERROR(SUMPRODUCT(('ANALYSE - ERP =&gt; SOUS-SEGMENT'!$B$8:$B$154=$B15)*'ANALYSE - ERP =&gt; SOUS-SEGMENT'!$Q$8:$Q$154*'ANALYSE - ERP =&gt; SOUS-SEGMENT'!$BF$8:$BF$154*'ANALYSE - ERP =&gt; SOUS-SEGMENT'!$JA$8:$JA$154)/SUMPRODUCT(('ANALYSE - ERP =&gt; SOUS-SEGMENT'!$B$8:$B$154=$B15)*'ANALYSE - ERP =&gt; SOUS-SEGMENT'!$Q$8:$Q$154*'ANALYSE - ERP =&gt; SOUS-SEGMENT'!$BF$8:$BF$154),0)</f>
        <v>0</v>
      </c>
      <c r="IY15" s="780">
        <f>IFERROR(SUMPRODUCT(('ANALYSE - ERP =&gt; SOUS-SEGMENT'!$B$8:$B$154=$B15)*'ANALYSE - ERP =&gt; SOUS-SEGMENT'!$Q$8:$Q$154*'ANALYSE - ERP =&gt; SOUS-SEGMENT'!$BF$8:$BF$154*'ANALYSE - ERP =&gt; SOUS-SEGMENT'!$JB$8:$JB$154)/SUMPRODUCT(('ANALYSE - ERP =&gt; SOUS-SEGMENT'!$B$8:$B$154=$B15)*'ANALYSE - ERP =&gt; SOUS-SEGMENT'!$Q$8:$Q$154*'ANALYSE - ERP =&gt; SOUS-SEGMENT'!$BF$8:$BF$154),0)</f>
        <v>0</v>
      </c>
      <c r="IZ15" s="781">
        <f>IFERROR(SUMPRODUCT(('ANALYSE - ERP =&gt; SOUS-SEGMENT'!$B$8:$B$154=$B15)*'ANALYSE - ERP =&gt; SOUS-SEGMENT'!$Q$8:$Q$154*'ANALYSE - ERP =&gt; SOUS-SEGMENT'!$BF$8:$BF$154*'ANALYSE - ERP =&gt; SOUS-SEGMENT'!$JC$8:$JC$154)/SUMPRODUCT(('ANALYSE - ERP =&gt; SOUS-SEGMENT'!$B$8:$B$154=$B15)*'ANALYSE - ERP =&gt; SOUS-SEGMENT'!$Q$8:$Q$154*'ANALYSE - ERP =&gt; SOUS-SEGMENT'!$BF$8:$BF$154),0)</f>
        <v>0</v>
      </c>
      <c r="JA15" s="780">
        <f>IFERROR(SUMPRODUCT(('ANALYSE - ERP =&gt; SOUS-SEGMENT'!$B$8:$B$154=$B15)*'ANALYSE - ERP =&gt; SOUS-SEGMENT'!$Q$8:$Q$154*'ANALYSE - ERP =&gt; SOUS-SEGMENT'!$FE$8:$FE$154*'ANALYSE - ERP =&gt; SOUS-SEGMENT'!$JD$8:$JD$154)/SUMPRODUCT(('ANALYSE - ERP =&gt; SOUS-SEGMENT'!$B$8:$B$154=$B15)*'ANALYSE - ERP =&gt; SOUS-SEGMENT'!$Q$8:$Q$154*'ANALYSE - ERP =&gt; SOUS-SEGMENT'!$FE$8:$FE$154),0)</f>
        <v>0</v>
      </c>
      <c r="JB15" s="780">
        <f>IFERROR(SUMPRODUCT(('ANALYSE - ERP =&gt; SOUS-SEGMENT'!$B$8:$B$154=$B15)*'ANALYSE - ERP =&gt; SOUS-SEGMENT'!$Q$8:$Q$154*'ANALYSE - ERP =&gt; SOUS-SEGMENT'!$FE$8:$FE$154*'ANALYSE - ERP =&gt; SOUS-SEGMENT'!$JE$8:$JE$154)/SUMPRODUCT(('ANALYSE - ERP =&gt; SOUS-SEGMENT'!$B$8:$B$154=$B15)*'ANALYSE - ERP =&gt; SOUS-SEGMENT'!$Q$8:$Q$154*'ANALYSE - ERP =&gt; SOUS-SEGMENT'!$FE$8:$FE$154),0)</f>
        <v>0</v>
      </c>
      <c r="JC15" s="780">
        <f>IFERROR(SUMPRODUCT(('ANALYSE - ERP =&gt; SOUS-SEGMENT'!$B$8:$B$154=$B15)*'ANALYSE - ERP =&gt; SOUS-SEGMENT'!$Q$8:$Q$154*'ANALYSE - ERP =&gt; SOUS-SEGMENT'!$FE$8:$FE$154*'ANALYSE - ERP =&gt; SOUS-SEGMENT'!$JF$8:$JF$154)/SUMPRODUCT(('ANALYSE - ERP =&gt; SOUS-SEGMENT'!$B$8:$B$154=$B15)*'ANALYSE - ERP =&gt; SOUS-SEGMENT'!$Q$8:$Q$154*'ANALYSE - ERP =&gt; SOUS-SEGMENT'!$FE$8:$FE$154),0)</f>
        <v>0</v>
      </c>
      <c r="JD15" s="780">
        <f>IFERROR(SUMPRODUCT(('ANALYSE - ERP =&gt; SOUS-SEGMENT'!$B$8:$B$154=$B15)*'ANALYSE - ERP =&gt; SOUS-SEGMENT'!$Q$8:$Q$154*'ANALYSE - ERP =&gt; SOUS-SEGMENT'!$FE$8:$FE$154*'ANALYSE - ERP =&gt; SOUS-SEGMENT'!$JG$8:$JG$154)/SUMPRODUCT(('ANALYSE - ERP =&gt; SOUS-SEGMENT'!$B$8:$B$154=$B15)*'ANALYSE - ERP =&gt; SOUS-SEGMENT'!$Q$8:$Q$154*'ANALYSE - ERP =&gt; SOUS-SEGMENT'!$FE$8:$FE$154),0)</f>
        <v>0</v>
      </c>
      <c r="JE15" s="780">
        <f>IFERROR(SUMPRODUCT(('ANALYSE - ERP =&gt; SOUS-SEGMENT'!$B$8:$B$154=$B15)*'ANALYSE - ERP =&gt; SOUS-SEGMENT'!$Q$8:$Q$154*'ANALYSE - ERP =&gt; SOUS-SEGMENT'!$FE$8:$FE$154*'ANALYSE - ERP =&gt; SOUS-SEGMENT'!$JH$8:$JH$154)/SUMPRODUCT(('ANALYSE - ERP =&gt; SOUS-SEGMENT'!$B$8:$B$154=$B15)*'ANALYSE - ERP =&gt; SOUS-SEGMENT'!$Q$8:$Q$154*'ANALYSE - ERP =&gt; SOUS-SEGMENT'!$FE$8:$FE$154),0)</f>
        <v>0</v>
      </c>
      <c r="JF15" s="782">
        <f>IFERROR(SUMPRODUCT(('ANALYSE - ERP =&gt; SOUS-SEGMENT'!$B$8:$B$154=$B15)*'ANALYSE - ERP =&gt; SOUS-SEGMENT'!$Q$8:$Q$154*'ANALYSE - ERP =&gt; SOUS-SEGMENT'!$BG$8:$BG$154*'ANALYSE - ERP =&gt; SOUS-SEGMENT'!$JI$8:$JI$154)/SUMPRODUCT(('ANALYSE - ERP =&gt; SOUS-SEGMENT'!$B$8:$B$154=$B15)*'ANALYSE - ERP =&gt; SOUS-SEGMENT'!$Q$8:$Q$154*'ANALYSE - ERP =&gt; SOUS-SEGMENT'!$BG$8:$BG$154),0)</f>
        <v>0</v>
      </c>
      <c r="JG15" s="780">
        <f>IFERROR(SUMPRODUCT(('ANALYSE - ERP =&gt; SOUS-SEGMENT'!$B$8:$B$154=$B15)*'ANALYSE - ERP =&gt; SOUS-SEGMENT'!$Q$8:$Q$154*'ANALYSE - ERP =&gt; SOUS-SEGMENT'!$BG$8:$BG$154*'ANALYSE - ERP =&gt; SOUS-SEGMENT'!$JJ$8:$JJ$154)/SUMPRODUCT(('ANALYSE - ERP =&gt; SOUS-SEGMENT'!$B$8:$B$154=$B15)*'ANALYSE - ERP =&gt; SOUS-SEGMENT'!$Q$8:$Q$154*'ANALYSE - ERP =&gt; SOUS-SEGMENT'!$BG$8:$BG$154),0)</f>
        <v>0</v>
      </c>
      <c r="JH15" s="780">
        <f>IFERROR(SUMPRODUCT(('ANALYSE - ERP =&gt; SOUS-SEGMENT'!$B$8:$B$154=$B15)*'ANALYSE - ERP =&gt; SOUS-SEGMENT'!$Q$8:$Q$154*'ANALYSE - ERP =&gt; SOUS-SEGMENT'!$BG$8:$BG$154*'ANALYSE - ERP =&gt; SOUS-SEGMENT'!$JK$8:$JK$154)/SUMPRODUCT(('ANALYSE - ERP =&gt; SOUS-SEGMENT'!$B$8:$B$154=$B15)*'ANALYSE - ERP =&gt; SOUS-SEGMENT'!$Q$8:$Q$154*'ANALYSE - ERP =&gt; SOUS-SEGMENT'!$BG$8:$BG$154),0)</f>
        <v>0</v>
      </c>
      <c r="JI15" s="780">
        <f>IFERROR(SUMPRODUCT(('ANALYSE - ERP =&gt; SOUS-SEGMENT'!$B$8:$B$154=$B15)*'ANALYSE - ERP =&gt; SOUS-SEGMENT'!$Q$8:$Q$154*'ANALYSE - ERP =&gt; SOUS-SEGMENT'!$BG$8:$BG$154*'ANALYSE - ERP =&gt; SOUS-SEGMENT'!$JL$8:$JL$154)/SUMPRODUCT(('ANALYSE - ERP =&gt; SOUS-SEGMENT'!$B$8:$B$154=$B15)*'ANALYSE - ERP =&gt; SOUS-SEGMENT'!$Q$8:$Q$154*'ANALYSE - ERP =&gt; SOUS-SEGMENT'!$BG$8:$BG$154),0)</f>
        <v>0</v>
      </c>
      <c r="JJ15" s="781">
        <f>IFERROR(SUMPRODUCT(('ANALYSE - ERP =&gt; SOUS-SEGMENT'!$B$8:$B$154=$B15)*'ANALYSE - ERP =&gt; SOUS-SEGMENT'!$Q$8:$Q$154*'ANALYSE - ERP =&gt; SOUS-SEGMENT'!$BG$8:$BG$154*'ANALYSE - ERP =&gt; SOUS-SEGMENT'!$JM$8:$JM$154)/SUMPRODUCT(('ANALYSE - ERP =&gt; SOUS-SEGMENT'!$B$8:$B$154=$B15)*'ANALYSE - ERP =&gt; SOUS-SEGMENT'!$Q$8:$Q$154*'ANALYSE - ERP =&gt; SOUS-SEGMENT'!$BG$8:$BG$154),0)</f>
        <v>0</v>
      </c>
      <c r="JK15" s="780">
        <f>IFERROR(SUMPRODUCT(('ANALYSE - ERP =&gt; SOUS-SEGMENT'!$B$8:$B$154=$B15)*'ANALYSE - ERP =&gt; SOUS-SEGMENT'!$Q$8:$Q$154*'ANALYSE - ERP =&gt; SOUS-SEGMENT'!$FH$8:$FH$154*'ANALYSE - ERP =&gt; SOUS-SEGMENT'!$JN$8:$JN$154)/SUMPRODUCT(('ANALYSE - ERP =&gt; SOUS-SEGMENT'!$B$8:$B$154=$B15)*'ANALYSE - ERP =&gt; SOUS-SEGMENT'!$Q$8:$Q$154*'ANALYSE - ERP =&gt; SOUS-SEGMENT'!$FH$8:$FH$154),0)</f>
        <v>0</v>
      </c>
      <c r="JL15" s="780">
        <f>IFERROR(SUMPRODUCT(('ANALYSE - ERP =&gt; SOUS-SEGMENT'!$B$8:$B$154=$B15)*'ANALYSE - ERP =&gt; SOUS-SEGMENT'!$Q$8:$Q$154*'ANALYSE - ERP =&gt; SOUS-SEGMENT'!$FH$8:$FH$154*'ANALYSE - ERP =&gt; SOUS-SEGMENT'!$JO$8:$JO$154)/SUMPRODUCT(('ANALYSE - ERP =&gt; SOUS-SEGMENT'!$B$8:$B$154=$B15)*'ANALYSE - ERP =&gt; SOUS-SEGMENT'!$Q$8:$Q$154*'ANALYSE - ERP =&gt; SOUS-SEGMENT'!$FH$8:$FH$154),0)</f>
        <v>0</v>
      </c>
      <c r="JM15" s="780">
        <f>IFERROR(SUMPRODUCT(('ANALYSE - ERP =&gt; SOUS-SEGMENT'!$B$8:$B$154=$B15)*'ANALYSE - ERP =&gt; SOUS-SEGMENT'!$Q$8:$Q$154*'ANALYSE - ERP =&gt; SOUS-SEGMENT'!$FH$8:$FH$154*'ANALYSE - ERP =&gt; SOUS-SEGMENT'!$JP$8:$JP$154)/SUMPRODUCT(('ANALYSE - ERP =&gt; SOUS-SEGMENT'!$B$8:$B$154=$B15)*'ANALYSE - ERP =&gt; SOUS-SEGMENT'!$Q$8:$Q$154*'ANALYSE - ERP =&gt; SOUS-SEGMENT'!$FH$8:$FH$154),0)</f>
        <v>0</v>
      </c>
      <c r="JN15" s="780">
        <f>IFERROR(SUMPRODUCT(('ANALYSE - ERP =&gt; SOUS-SEGMENT'!$B$8:$B$154=$B15)*'ANALYSE - ERP =&gt; SOUS-SEGMENT'!$Q$8:$Q$154*'ANALYSE - ERP =&gt; SOUS-SEGMENT'!$FH$8:$FH$154*'ANALYSE - ERP =&gt; SOUS-SEGMENT'!$JQ$8:$JQ$154)/SUMPRODUCT(('ANALYSE - ERP =&gt; SOUS-SEGMENT'!$B$8:$B$154=$B15)*'ANALYSE - ERP =&gt; SOUS-SEGMENT'!$Q$8:$Q$154*'ANALYSE - ERP =&gt; SOUS-SEGMENT'!$FH$8:$FH$154),0)</f>
        <v>0</v>
      </c>
      <c r="JO15" s="780">
        <f>IFERROR(SUMPRODUCT(('ANALYSE - ERP =&gt; SOUS-SEGMENT'!$B$8:$B$154=$B15)*'ANALYSE - ERP =&gt; SOUS-SEGMENT'!$Q$8:$Q$154*'ANALYSE - ERP =&gt; SOUS-SEGMENT'!$FH$8:$FH$154*'ANALYSE - ERP =&gt; SOUS-SEGMENT'!$JR$8:$JR$154)/SUMPRODUCT(('ANALYSE - ERP =&gt; SOUS-SEGMENT'!$B$8:$B$154=$B15)*'ANALYSE - ERP =&gt; SOUS-SEGMENT'!$Q$8:$Q$154*'ANALYSE - ERP =&gt; SOUS-SEGMENT'!$FH$8:$FH$154),0)</f>
        <v>0</v>
      </c>
      <c r="JP15" s="782">
        <f>IFERROR(SUMPRODUCT(('ANALYSE - ERP =&gt; SOUS-SEGMENT'!$B$8:$B$154=$B15)*'ANALYSE - ERP =&gt; SOUS-SEGMENT'!$Q$8:$Q$154*'ANALYSE - ERP =&gt; SOUS-SEGMENT'!$BH$8:$BH$154*'ANALYSE - ERP =&gt; SOUS-SEGMENT'!$JS$8:$JS$154)/SUMPRODUCT(('ANALYSE - ERP =&gt; SOUS-SEGMENT'!$B$8:$B$154=$B15)*'ANALYSE - ERP =&gt; SOUS-SEGMENT'!$Q$8:$Q$154*'ANALYSE - ERP =&gt; SOUS-SEGMENT'!$BH$8:$BH$154),0)</f>
        <v>0</v>
      </c>
      <c r="JQ15" s="780">
        <f>IFERROR(SUMPRODUCT(('ANALYSE - ERP =&gt; SOUS-SEGMENT'!$B$8:$B$154=$B15)*'ANALYSE - ERP =&gt; SOUS-SEGMENT'!$Q$8:$Q$154*'ANALYSE - ERP =&gt; SOUS-SEGMENT'!$BH$8:$BH$154*'ANALYSE - ERP =&gt; SOUS-SEGMENT'!$JT$8:$JT$154)/SUMPRODUCT(('ANALYSE - ERP =&gt; SOUS-SEGMENT'!$B$8:$B$154=$B15)*'ANALYSE - ERP =&gt; SOUS-SEGMENT'!$Q$8:$Q$154*'ANALYSE - ERP =&gt; SOUS-SEGMENT'!$BH$8:$BH$154),0)</f>
        <v>0</v>
      </c>
      <c r="JR15" s="780">
        <f>IFERROR(SUMPRODUCT(('ANALYSE - ERP =&gt; SOUS-SEGMENT'!$B$8:$B$154=$B15)*'ANALYSE - ERP =&gt; SOUS-SEGMENT'!$Q$8:$Q$154*'ANALYSE - ERP =&gt; SOUS-SEGMENT'!$BH$8:$BH$154*'ANALYSE - ERP =&gt; SOUS-SEGMENT'!$JU$8:$JU$154)/SUMPRODUCT(('ANALYSE - ERP =&gt; SOUS-SEGMENT'!$B$8:$B$154=$B15)*'ANALYSE - ERP =&gt; SOUS-SEGMENT'!$Q$8:$Q$154*'ANALYSE - ERP =&gt; SOUS-SEGMENT'!$BH$8:$BH$154),0)</f>
        <v>0</v>
      </c>
      <c r="JS15" s="780">
        <f>IFERROR(SUMPRODUCT(('ANALYSE - ERP =&gt; SOUS-SEGMENT'!$B$8:$B$154=$B15)*'ANALYSE - ERP =&gt; SOUS-SEGMENT'!$Q$8:$Q$154*'ANALYSE - ERP =&gt; SOUS-SEGMENT'!$BH$8:$BH$154*'ANALYSE - ERP =&gt; SOUS-SEGMENT'!$JV$8:$JV$154)/SUMPRODUCT(('ANALYSE - ERP =&gt; SOUS-SEGMENT'!$B$8:$B$154=$B15)*'ANALYSE - ERP =&gt; SOUS-SEGMENT'!$Q$8:$Q$154*'ANALYSE - ERP =&gt; SOUS-SEGMENT'!$BH$8:$BH$154),0)</f>
        <v>0</v>
      </c>
      <c r="JT15" s="781">
        <f>IFERROR(SUMPRODUCT(('ANALYSE - ERP =&gt; SOUS-SEGMENT'!$B$8:$B$154=$B15)*'ANALYSE - ERP =&gt; SOUS-SEGMENT'!$Q$8:$Q$154*'ANALYSE - ERP =&gt; SOUS-SEGMENT'!$BH$8:$BH$154*'ANALYSE - ERP =&gt; SOUS-SEGMENT'!$JW$8:$JW$154)/SUMPRODUCT(('ANALYSE - ERP =&gt; SOUS-SEGMENT'!$B$8:$B$154=$B15)*'ANALYSE - ERP =&gt; SOUS-SEGMENT'!$Q$8:$Q$154*'ANALYSE - ERP =&gt; SOUS-SEGMENT'!$BH$8:$BH$154),0)</f>
        <v>0</v>
      </c>
      <c r="JU15" s="782">
        <f>IFERROR(SUMPRODUCT(('ANALYSE - ERP =&gt; SOUS-SEGMENT'!$B$8:$B$154=$B15)*'ANALYSE - ERP =&gt; SOUS-SEGMENT'!$Q$8:$Q$154*'ANALYSE - ERP =&gt; SOUS-SEGMENT'!$FK$8:$FK$154*'ANALYSE - ERP =&gt; SOUS-SEGMENT'!$JX$8:$JX$154)/SUMPRODUCT(('ANALYSE - ERP =&gt; SOUS-SEGMENT'!$B$8:$B$154=$B15)*'ANALYSE - ERP =&gt; SOUS-SEGMENT'!$Q$8:$Q$154*'ANALYSE - ERP =&gt; SOUS-SEGMENT'!$FK$8:$FK$154),0)</f>
        <v>0</v>
      </c>
      <c r="JV15" s="780">
        <f>IFERROR(SUMPRODUCT(('ANALYSE - ERP =&gt; SOUS-SEGMENT'!$B$8:$B$154=$B15)*'ANALYSE - ERP =&gt; SOUS-SEGMENT'!$Q$8:$Q$154*'ANALYSE - ERP =&gt; SOUS-SEGMENT'!$FK$8:$FK$154*'ANALYSE - ERP =&gt; SOUS-SEGMENT'!$JY$8:$JY$154)/SUMPRODUCT(('ANALYSE - ERP =&gt; SOUS-SEGMENT'!$B$8:$B$154=$B15)*'ANALYSE - ERP =&gt; SOUS-SEGMENT'!$Q$8:$Q$154*'ANALYSE - ERP =&gt; SOUS-SEGMENT'!$FK$8:$FK$154),0)</f>
        <v>0</v>
      </c>
      <c r="JW15" s="780">
        <f>IFERROR(SUMPRODUCT(('ANALYSE - ERP =&gt; SOUS-SEGMENT'!$B$8:$B$154=$B15)*'ANALYSE - ERP =&gt; SOUS-SEGMENT'!$Q$8:$Q$154*'ANALYSE - ERP =&gt; SOUS-SEGMENT'!$FK$8:$FK$154*'ANALYSE - ERP =&gt; SOUS-SEGMENT'!$JZ$8:$JZ$154)/SUMPRODUCT(('ANALYSE - ERP =&gt; SOUS-SEGMENT'!$B$8:$B$154=$B15)*'ANALYSE - ERP =&gt; SOUS-SEGMENT'!$Q$8:$Q$154*'ANALYSE - ERP =&gt; SOUS-SEGMENT'!$FK$8:$FK$154),0)</f>
        <v>0</v>
      </c>
      <c r="JX15" s="780">
        <f>IFERROR(SUMPRODUCT(('ANALYSE - ERP =&gt; SOUS-SEGMENT'!$B$8:$B$154=$B15)*'ANALYSE - ERP =&gt; SOUS-SEGMENT'!$Q$8:$Q$154*'ANALYSE - ERP =&gt; SOUS-SEGMENT'!$FK$8:$FK$154*'ANALYSE - ERP =&gt; SOUS-SEGMENT'!$KA$8:$KA$154)/SUMPRODUCT(('ANALYSE - ERP =&gt; SOUS-SEGMENT'!$B$8:$B$154=$B15)*'ANALYSE - ERP =&gt; SOUS-SEGMENT'!$Q$8:$Q$154*'ANALYSE - ERP =&gt; SOUS-SEGMENT'!$FK$8:$FK$154),0)</f>
        <v>0</v>
      </c>
      <c r="JY15" s="783">
        <f>IFERROR(SUMPRODUCT(('ANALYSE - ERP =&gt; SOUS-SEGMENT'!$B$8:$B$154=$B15)*'ANALYSE - ERP =&gt; SOUS-SEGMENT'!$Q$8:$Q$154*'ANALYSE - ERP =&gt; SOUS-SEGMENT'!$FK$8:$FK$154*'ANALYSE - ERP =&gt; SOUS-SEGMENT'!$KB$8:$KB$154)/SUMPRODUCT(('ANALYSE - ERP =&gt; SOUS-SEGMENT'!$B$8:$B$154=$B15)*'ANALYSE - ERP =&gt; SOUS-SEGMENT'!$Q$8:$Q$154*'ANALYSE - ERP =&gt; SOUS-SEGMENT'!$FK$8:$FK$154),0)</f>
        <v>0</v>
      </c>
      <c r="JZ15" s="657"/>
      <c r="KA15" s="298" t="s">
        <v>2590</v>
      </c>
      <c r="KB15" s="298" t="s">
        <v>2591</v>
      </c>
      <c r="KC15" s="888" t="str">
        <f>IFERROR(SUMPRODUCT(('ANALYSE - ERP =&gt; SOUS-SEGMENT'!$B$8:$B$154=$B15)*'ANALYSE - ERP =&gt; SOUS-SEGMENT'!$Q$8:$Q$154*'ANALYSE - ERP =&gt; SOUS-SEGMENT'!$EX$8:$EX$154*'ANALYSE - ERP =&gt; SOUS-SEGMENT'!$KF$8:$KF$154)/SUMPRODUCT(('ANALYSE - ERP =&gt; SOUS-SEGMENT'!$B$8:$B$154=$B15)*'ANALYSE - ERP =&gt; SOUS-SEGMENT'!$Q$8:$Q$154*'ANALYSE - ERP =&gt; SOUS-SEGMENT'!$EX$8:$EX$154),"")</f>
        <v/>
      </c>
      <c r="KD15" s="298" t="s">
        <v>2589</v>
      </c>
      <c r="KE15" s="300" t="s">
        <v>2908</v>
      </c>
      <c r="KF15" s="300" t="s">
        <v>7559</v>
      </c>
      <c r="KG15" s="300" t="s">
        <v>7559</v>
      </c>
    </row>
    <row r="16" spans="1:293" ht="56.25" customHeight="1">
      <c r="A16" s="273">
        <v>9</v>
      </c>
      <c r="B16" s="489" t="s">
        <v>2285</v>
      </c>
      <c r="C16" s="489" t="s">
        <v>7625</v>
      </c>
      <c r="D16" s="489" t="s">
        <v>7626</v>
      </c>
      <c r="E16" s="275" t="s">
        <v>7627</v>
      </c>
      <c r="F16" s="275" t="s">
        <v>7628</v>
      </c>
      <c r="G16" s="275" t="s">
        <v>7629</v>
      </c>
      <c r="H16" s="275" t="s">
        <v>2117</v>
      </c>
      <c r="I16" s="296" t="s">
        <v>7630</v>
      </c>
      <c r="J16" s="296" t="s">
        <v>7631</v>
      </c>
      <c r="K16" s="277" t="s">
        <v>2117</v>
      </c>
      <c r="L16" s="277" t="s">
        <v>2117</v>
      </c>
      <c r="M16" s="277" t="s">
        <v>7632</v>
      </c>
      <c r="N16" s="277" t="s">
        <v>6742</v>
      </c>
      <c r="O16" s="277" t="s">
        <v>2212</v>
      </c>
      <c r="P16" s="276"/>
      <c r="Q16" s="270">
        <f>IF(SUMPRODUCT(('ANALYSE - ERP =&gt; SOUS-SEGMENT'!$B$8:$B$154=$B16)*'ANALYSE - ERP =&gt; SOUS-SEGMENT'!$Q$8:$Q$154)&gt;0,1,0)</f>
        <v>1</v>
      </c>
      <c r="R16" s="278">
        <f>IFERROR(SUMPRODUCT(('ANALYSE - ERP =&gt; SOUS-SEGMENT'!$B$8:$B$154=$B16)*'ANALYSE - ERP =&gt; SOUS-SEGMENT'!$Q$8:$Q$154*'ANALYSE - ERP =&gt; SOUS-SEGMENT'!$AG$8:$AG$154*'ANALYSE - ERP =&gt; SOUS-SEGMENT'!$R$8:$R$154)/SUMPRODUCT(('ANALYSE - ERP =&gt; SOUS-SEGMENT'!$B$8:$B$154=$B16)*'ANALYSE - ERP =&gt; SOUS-SEGMENT'!$Q$8:$Q$154*'ANALYSE - ERP =&gt; SOUS-SEGMENT'!$AG$8:$AG$154),"")</f>
        <v>1306.2311992162738</v>
      </c>
      <c r="S16" s="279">
        <f>SUMPRODUCT(('ANALYSE - ERP =&gt; SOUS-SEGMENT'!$B$8:$B$154=$B16)*'ANALYSE - ERP =&gt; SOUS-SEGMENT'!$Q$8:$Q$154*'ANALYSE - ERP =&gt; SOUS-SEGMENT'!$S$8:$S$154)</f>
        <v>14319</v>
      </c>
      <c r="T16" s="279">
        <f>SUMPRODUCT(('ANALYSE - ERP =&gt; SOUS-SEGMENT'!$B$8:$B$154=$B16)*'ANALYSE - ERP =&gt; SOUS-SEGMENT'!$Q$8:$Q$154*'ANALYSE - ERP =&gt; SOUS-SEGMENT'!$T$8:$T$154)</f>
        <v>14914</v>
      </c>
      <c r="U16" s="279">
        <f>SUMPRODUCT(('ANALYSE - ERP =&gt; SOUS-SEGMENT'!$B$8:$B$154=$B16)*'ANALYSE - ERP =&gt; SOUS-SEGMENT'!$Q$8:$Q$154*'ANALYSE - ERP =&gt; SOUS-SEGMENT'!$U$8:$U$154)</f>
        <v>15634</v>
      </c>
      <c r="V16" s="279">
        <f>SUMPRODUCT(('ANALYSE - ERP =&gt; SOUS-SEGMENT'!$B$8:$B$154=$B16)*'ANALYSE - ERP =&gt; SOUS-SEGMENT'!$Q$8:$Q$154*'ANALYSE - ERP =&gt; SOUS-SEGMENT'!$V$8:$V$154)</f>
        <v>16305</v>
      </c>
      <c r="W16" s="279">
        <f>SUMPRODUCT(('ANALYSE - ERP =&gt; SOUS-SEGMENT'!$B$8:$B$154=$B16)*'ANALYSE - ERP =&gt; SOUS-SEGMENT'!$Q$8:$Q$154*'ANALYSE - ERP =&gt; SOUS-SEGMENT'!$W$8:$W$154)</f>
        <v>16472</v>
      </c>
      <c r="X16" s="279">
        <f>SUMPRODUCT(('ANALYSE - ERP =&gt; SOUS-SEGMENT'!$B$8:$B$154=$B16)*'ANALYSE - ERP =&gt; SOUS-SEGMENT'!$Q$8:$Q$154*'ANALYSE - ERP =&gt; SOUS-SEGMENT'!$X$8:$X$154)</f>
        <v>16636</v>
      </c>
      <c r="Y16" s="279">
        <f>SUMPRODUCT(('ANALYSE - ERP =&gt; SOUS-SEGMENT'!$B$8:$B$154=$B16)*'ANALYSE - ERP =&gt; SOUS-SEGMENT'!$Q$8:$Q$154*'ANALYSE - ERP =&gt; SOUS-SEGMENT'!$Y$8:$Y$154)</f>
        <v>16816</v>
      </c>
      <c r="Z16" s="279">
        <f>SUMPRODUCT(('ANALYSE - ERP =&gt; SOUS-SEGMENT'!$B$8:$B$154=$B16)*'ANALYSE - ERP =&gt; SOUS-SEGMENT'!$Q$8:$Q$154*'ANALYSE - ERP =&gt; SOUS-SEGMENT'!$Z$8:$Z$154)</f>
        <v>17029</v>
      </c>
      <c r="AA16" s="279">
        <f>SUMPRODUCT(('ANALYSE - ERP =&gt; SOUS-SEGMENT'!$B$8:$B$154=$B16)*'ANALYSE - ERP =&gt; SOUS-SEGMENT'!$Q$8:$Q$154*'ANALYSE - ERP =&gt; SOUS-SEGMENT'!$AA$8:$AA$154)</f>
        <v>16440</v>
      </c>
      <c r="AB16" s="279">
        <f>SUMPRODUCT(('ANALYSE - ERP =&gt; SOUS-SEGMENT'!$B$8:$B$154=$B16)*'ANALYSE - ERP =&gt; SOUS-SEGMENT'!$Q$8:$Q$154*'ANALYSE - ERP =&gt; SOUS-SEGMENT'!$AB$8:$AB$154)</f>
        <v>16597</v>
      </c>
      <c r="AC16" s="279">
        <f>SUMPRODUCT(('ANALYSE - ERP =&gt; SOUS-SEGMENT'!$B$8:$B$154=$B16)*'ANALYSE - ERP =&gt; SOUS-SEGMENT'!$Q$8:$Q$154*'ANALYSE - ERP =&gt; SOUS-SEGMENT'!$AC$8:$AC$154)</f>
        <v>16752</v>
      </c>
      <c r="AD16" s="279">
        <f>SUMPRODUCT(('ANALYSE - ERP =&gt; SOUS-SEGMENT'!$B$8:$B$154=$B16)*'ANALYSE - ERP =&gt; SOUS-SEGMENT'!$Q$8:$Q$154*'ANALYSE - ERP =&gt; SOUS-SEGMENT'!$AD$8:$AD$154)</f>
        <v>16956</v>
      </c>
      <c r="AE16" s="279">
        <f>SUMPRODUCT(('ANALYSE - ERP =&gt; SOUS-SEGMENT'!$B$8:$B$154=$B16)*'ANALYSE - ERP =&gt; SOUS-SEGMENT'!$Q$8:$Q$154*'ANALYSE - ERP =&gt; SOUS-SEGMENT'!$AE$8:$AE$154)</f>
        <v>17096</v>
      </c>
      <c r="AF16" s="279">
        <f>SUMPRODUCT(('ANALYSE - ERP =&gt; SOUS-SEGMENT'!$B$8:$B$154=$B16)*'ANALYSE - ERP =&gt; SOUS-SEGMENT'!$Q$8:$Q$154*'ANALYSE - ERP =&gt; SOUS-SEGMENT'!$AF$8:$AF$154)</f>
        <v>17242</v>
      </c>
      <c r="AG16" s="279">
        <f>SUMPRODUCT(('ANALYSE - ERP =&gt; SOUS-SEGMENT'!$B$8:$B$154=$B16)*'ANALYSE - ERP =&gt; SOUS-SEGMENT'!$Q$8:$Q$154*'ANALYSE - ERP =&gt; SOUS-SEGMENT'!$AG$8:$AG$154)</f>
        <v>17353</v>
      </c>
      <c r="AH16" s="279">
        <f>SUMPRODUCT(('ANALYSE - ERP =&gt; SOUS-SEGMENT'!$B$8:$B$154=$B16)*'ANALYSE - ERP =&gt; SOUS-SEGMENT'!$Q$8:$Q$154*'ANALYSE - ERP =&gt; SOUS-SEGMENT'!$AH$8:$AH$154)</f>
        <v>17466</v>
      </c>
      <c r="AI16" s="279">
        <f>SUMPRODUCT(('ANALYSE - ERP =&gt; SOUS-SEGMENT'!$B$8:$B$154=$B16)*'ANALYSE - ERP =&gt; SOUS-SEGMENT'!$Q$8:$Q$154*'ANALYSE - ERP =&gt; SOUS-SEGMENT'!$AI$8:$AI$154)</f>
        <v>17577</v>
      </c>
      <c r="AJ16" s="279">
        <f>SUMPRODUCT(('ANALYSE - ERP =&gt; SOUS-SEGMENT'!$B$8:$B$154=$B16)*'ANALYSE - ERP =&gt; SOUS-SEGMENT'!$Q$8:$Q$154*'ANALYSE - ERP =&gt; SOUS-SEGMENT'!$AJ$8:$AJ$154)</f>
        <v>17686</v>
      </c>
      <c r="AK16" s="279">
        <f>SUMPRODUCT(('ANALYSE - ERP =&gt; SOUS-SEGMENT'!$B$8:$B$154=$B16)*'ANALYSE - ERP =&gt; SOUS-SEGMENT'!$Q$8:$Q$154*'ANALYSE - ERP =&gt; SOUS-SEGMENT'!$AK$8:$AK$154)</f>
        <v>17796</v>
      </c>
      <c r="AL16" s="276" t="s">
        <v>7559</v>
      </c>
      <c r="AM16" s="276" t="s">
        <v>7559</v>
      </c>
      <c r="AN16" s="276" t="s">
        <v>7633</v>
      </c>
      <c r="AO16" s="657"/>
      <c r="AP16" s="278">
        <f>IFERROR(SUMPRODUCT(('ANALYSE - ERP =&gt; SOUS-SEGMENT'!$B$8:$B$154=$B16)*'ANALYSE - ERP =&gt; SOUS-SEGMENT'!$Q$8:$Q$154*'ANALYSE - ERP =&gt; SOUS-SEGMENT'!$AG$8:$AG$154*'ANALYSE - ERP =&gt; SOUS-SEGMENT'!$AP$8:$AP$154)/SUMPRODUCT(('ANALYSE - ERP =&gt; SOUS-SEGMENT'!$B$8:$B$154=$B16)*'ANALYSE - ERP =&gt; SOUS-SEGMENT'!$Q$8:$Q$154*'ANALYSE - ERP =&gt; SOUS-SEGMENT'!$AG$8:$AG$154),"")</f>
        <v>253.11127758888952</v>
      </c>
      <c r="AQ16" s="278">
        <f>IFERROR(SUMPRODUCT(('ANALYSE - ERP =&gt; SOUS-SEGMENT'!$B$8:$B$154=$B16)*'ANALYSE - ERP =&gt; SOUS-SEGMENT'!$Q$8:$Q$154*'ANALYSE - ERP =&gt; SOUS-SEGMENT'!$AF$8:$AF$154*'ANALYSE - ERP =&gt; SOUS-SEGMENT'!$AQ$8:$AQ$154)/SUMPRODUCT(('ANALYSE - ERP =&gt; SOUS-SEGMENT'!$B$8:$B$154=$B16)*'ANALYSE - ERP =&gt; SOUS-SEGMENT'!$Q$8:$Q$154*'ANALYSE - ERP =&gt; SOUS-SEGMENT'!$AF$8:$AF$154),"")</f>
        <v>228.61483586590882</v>
      </c>
      <c r="AR16" s="973">
        <f>IFERROR(SUMPRODUCT(('ANALYSE - ERP =&gt; SOUS-SEGMENT'!$B$8:$B$154=$B16)*'ANALYSE - ERP =&gt; SOUS-SEGMENT'!$Q$8:$Q$154*'ANALYSE - ERP =&gt; SOUS-SEGMENT'!$AF$8:$AF$154*'ANALYSE - ERP =&gt; SOUS-SEGMENT'!$AR$8:$AR$154)/SUMPRODUCT(('ANALYSE - ERP =&gt; SOUS-SEGMENT'!$B$8:$B$154=$B16)*'ANALYSE - ERP =&gt; SOUS-SEGMENT'!$Q$8:$Q$154*'ANALYSE - ERP =&gt; SOUS-SEGMENT'!$AF$8:$AF$154),"")</f>
        <v>16.863704906623362</v>
      </c>
      <c r="AS16" s="973">
        <f>IFERROR(SUMPRODUCT(('ANALYSE - ERP =&gt; SOUS-SEGMENT'!$B$8:$B$154=$B16)*'ANALYSE - ERP =&gt; SOUS-SEGMENT'!$Q$8:$Q$154*'ANALYSE - ERP =&gt; SOUS-SEGMENT'!$AF$8:$AF$154*'ANALYSE - ERP =&gt; SOUS-SEGMENT'!$AS$8:$AS$154)/SUMPRODUCT(('ANALYSE - ERP =&gt; SOUS-SEGMENT'!$B$8:$B$154=$B16)*'ANALYSE - ERP =&gt; SOUS-SEGMENT'!$Q$8:$Q$154*'ANALYSE - ERP =&gt; SOUS-SEGMENT'!$AF$8:$AF$154),"")</f>
        <v>7.2931794455399608</v>
      </c>
      <c r="AT16" s="657" t="s">
        <v>7634</v>
      </c>
      <c r="AU16" s="646" t="s">
        <v>7635</v>
      </c>
      <c r="AV16" s="646" t="s">
        <v>7320</v>
      </c>
      <c r="AW16" s="646" t="s">
        <v>7559</v>
      </c>
      <c r="AX16" s="657"/>
      <c r="AY16" s="282">
        <f>IFERROR(SUMPRODUCT(('ANALYSE - ERP =&gt; SOUS-SEGMENT'!$B$8:$B$154=$B16)*'ANALYSE - ERP =&gt; SOUS-SEGMENT'!$Q$8:$Q$154*'ANALYSE - ERP =&gt; SOUS-SEGMENT'!$AF$8:$AF$154*'ANALYSE - ERP =&gt; SOUS-SEGMENT'!$AZ$8:$AZ$154)/SUMPRODUCT(('ANALYSE - ERP =&gt; SOUS-SEGMENT'!$B$8:$B$154=$B16)*'ANALYSE - ERP =&gt; SOUS-SEGMENT'!$Q$8:$Q$154*'ANALYSE - ERP =&gt; SOUS-SEGMENT'!$AF$8:$AF$154),"")</f>
        <v>4.7930634497158104</v>
      </c>
      <c r="AZ16" s="947">
        <f>IFERROR(SUMPRODUCT(('ANALYSE - ERP =&gt; SOUS-SEGMENT'!$B$8:$B$154=$B16)*'ANALYSE - ERP =&gt; SOUS-SEGMENT'!$Q$8:$Q$154*'ANALYSE - ERP =&gt; SOUS-SEGMENT'!$AF$8:$AF$154*'ANALYSE - ERP =&gt; SOUS-SEGMENT'!$BA$8:$BA$154)/SUMPRODUCT(('ANALYSE - ERP =&gt; SOUS-SEGMENT'!$B$8:$B$154=$B16)*'ANALYSE - ERP =&gt; SOUS-SEGMENT'!$Q$8:$Q$154*'ANALYSE - ERP =&gt; SOUS-SEGMENT'!$AF$8:$AF$154),"")</f>
        <v>0.53334879944322</v>
      </c>
      <c r="BA16" s="282">
        <f>IFERROR(SUMPRODUCT(('ANALYSE - ERP =&gt; SOUS-SEGMENT'!$B$8:$B$154=$B16)*'ANALYSE - ERP =&gt; SOUS-SEGMENT'!$Q$8:$Q$154*'ANALYSE - ERP =&gt; SOUS-SEGMENT'!$AF$8:$AF$154*'ANALYSE - ERP =&gt; SOUS-SEGMENT'!$BB$8:$BB$154)/SUMPRODUCT(('ANALYSE - ERP =&gt; SOUS-SEGMENT'!$B$8:$B$154=$B16)*'ANALYSE - ERP =&gt; SOUS-SEGMENT'!$Q$8:$Q$154*'ANALYSE - ERP =&gt; SOUS-SEGMENT'!$AF$8:$AF$154),"")</f>
        <v>0.6210706414569076</v>
      </c>
      <c r="BB16" s="282">
        <f>IFERROR(SUMPRODUCT(('ANALYSE - ERP =&gt; SOUS-SEGMENT'!$B$8:$B$154=$B16)*'ANALYSE - ERP =&gt; SOUS-SEGMENT'!$Q$8:$Q$154*'ANALYSE - ERP =&gt; SOUS-SEGMENT'!$AF$8:$AF$154*'ANALYSE - ERP =&gt; SOUS-SEGMENT'!$BC$8:$BC$154)/SUMPRODUCT(('ANALYSE - ERP =&gt; SOUS-SEGMENT'!$B$8:$B$154=$B16)*'ANALYSE - ERP =&gt; SOUS-SEGMENT'!$Q$8:$Q$154*'ANALYSE - ERP =&gt; SOUS-SEGMENT'!$AF$8:$AF$154),"")</f>
        <v>4.4987820438464219</v>
      </c>
      <c r="BC16" s="283">
        <f>SUMPRODUCT(('ANALYSE - ERP =&gt; SOUS-SEGMENT'!$B$8:$B$154=$B16)*'ANALYSE - ERP =&gt; SOUS-SEGMENT'!$Q$8:$Q$154*'ANALYSE - ERP =&gt; SOUS-SEGMENT'!$BE$8:$BE$154)</f>
        <v>82642</v>
      </c>
      <c r="BD16" s="283">
        <f>SUMPRODUCT(('ANALYSE - ERP =&gt; SOUS-SEGMENT'!$B$8:$B$154=$B16)*'ANALYSE - ERP =&gt; SOUS-SEGMENT'!$Q$8:$Q$154*'ANALYSE - ERP =&gt; SOUS-SEGMENT'!$BF$8:$BF$154)</f>
        <v>9196</v>
      </c>
      <c r="BE16" s="283">
        <f>SUMPRODUCT(('ANALYSE - ERP =&gt; SOUS-SEGMENT'!$B$8:$B$154=$B16)*'ANALYSE - ERP =&gt; SOUS-SEGMENT'!$Q$8:$Q$154*'ANALYSE - ERP =&gt; SOUS-SEGMENT'!$BG$8:$BG$154)</f>
        <v>10708.5</v>
      </c>
      <c r="BF16" s="283">
        <f>SUMPRODUCT(('ANALYSE - ERP =&gt; SOUS-SEGMENT'!$B$8:$B$154=$B16)*'ANALYSE - ERP =&gt; SOUS-SEGMENT'!$Q$8:$Q$154*'ANALYSE - ERP =&gt; SOUS-SEGMENT'!$BH$8:$BH$154)</f>
        <v>77568</v>
      </c>
      <c r="BG16" s="283">
        <f>SUMPRODUCT(('ANALYSE - ERP =&gt; SOUS-SEGMENT'!$B$8:$B$154=$B16)*'ANALYSE - ERP =&gt; SOUS-SEGMENT'!$Q$8:$Q$154*'ANALYSE - ERP =&gt; SOUS-SEGMENT'!$BJ$8:$BJ$154)</f>
        <v>85223</v>
      </c>
      <c r="BH16" s="283">
        <f>SUMPRODUCT(('ANALYSE - ERP =&gt; SOUS-SEGMENT'!$B$8:$B$154=$B16)*'ANALYSE - ERP =&gt; SOUS-SEGMENT'!$Q$8:$Q$154*'ANALYSE - ERP =&gt; SOUS-SEGMENT'!$BK$8:$BK$154)</f>
        <v>9408</v>
      </c>
      <c r="BI16" s="283">
        <f>SUMPRODUCT(('ANALYSE - ERP =&gt; SOUS-SEGMENT'!$B$8:$B$154=$B16)*'ANALYSE - ERP =&gt; SOUS-SEGMENT'!$Q$8:$Q$154*'ANALYSE - ERP =&gt; SOUS-SEGMENT'!$BL$8:$BL$154)</f>
        <v>11001</v>
      </c>
      <c r="BJ16" s="283">
        <f>SUMPRODUCT(('ANALYSE - ERP =&gt; SOUS-SEGMENT'!$B$8:$B$154=$B16)*'ANALYSE - ERP =&gt; SOUS-SEGMENT'!$Q$8:$Q$154*'ANALYSE - ERP =&gt; SOUS-SEGMENT'!$BM$8:$BM$154)</f>
        <v>80007</v>
      </c>
      <c r="BK16" s="657"/>
      <c r="BL16" s="577">
        <f>IFERROR(SUMPRODUCT(('ANALYSE - ERP =&gt; SOUS-SEGMENT'!$B$8:$B$154=$B16)*'ANALYSE - ERP =&gt; SOUS-SEGMENT'!$Q$8:$Q$154*'ANALYSE - ERP =&gt; SOUS-SEGMENT'!$BE$8:$BE$154*'ANALYSE - ERP =&gt; SOUS-SEGMENT'!$BO$8:$BO$154)/SUMPRODUCT(('ANALYSE - ERP =&gt; SOUS-SEGMENT'!$B$8:$B$154=$B16)*'ANALYSE - ERP =&gt; SOUS-SEGMENT'!$Q$8:$Q$154*'ANALYSE - ERP =&gt; SOUS-SEGMENT'!$BE$8:$BE$154),"")</f>
        <v>0.10121391060235715</v>
      </c>
      <c r="BM16" s="578">
        <f>IFERROR(SUMPRODUCT(('ANALYSE - ERP =&gt; SOUS-SEGMENT'!$B$8:$B$154=$B16)*'ANALYSE - ERP =&gt; SOUS-SEGMENT'!$Q$8:$Q$154*'ANALYSE - ERP =&gt; SOUS-SEGMENT'!$BE$8:$BE$154*'ANALYSE - ERP =&gt; SOUS-SEGMENT'!$BP$8:$BP$154)/SUMPRODUCT(('ANALYSE - ERP =&gt; SOUS-SEGMENT'!$B$8:$B$154=$B16)*'ANALYSE - ERP =&gt; SOUS-SEGMENT'!$Q$8:$Q$154*'ANALYSE - ERP =&gt; SOUS-SEGMENT'!$BE$8:$BE$154),"")</f>
        <v>0.72419810749981839</v>
      </c>
      <c r="BN16" s="578">
        <f>IFERROR(SUMPRODUCT(('ANALYSE - ERP =&gt; SOUS-SEGMENT'!$B$8:$B$154=$B16)*'ANALYSE - ERP =&gt; SOUS-SEGMENT'!$Q$8:$Q$154*'ANALYSE - ERP =&gt; SOUS-SEGMENT'!$BE$8:$BE$154*'ANALYSE - ERP =&gt; SOUS-SEGMENT'!$BQ$8:$BQ$154)/SUMPRODUCT(('ANALYSE - ERP =&gt; SOUS-SEGMENT'!$B$8:$B$154=$B16)*'ANALYSE - ERP =&gt; SOUS-SEGMENT'!$Q$8:$Q$154*'ANALYSE - ERP =&gt; SOUS-SEGMENT'!$BE$8:$BE$154),"")</f>
        <v>0.11851625081677597</v>
      </c>
      <c r="BO16" s="579">
        <f>IFERROR(SUMPRODUCT(('ANALYSE - ERP =&gt; SOUS-SEGMENT'!$B$8:$B$154=$B16)*'ANALYSE - ERP =&gt; SOUS-SEGMENT'!$Q$8:$Q$154*'ANALYSE - ERP =&gt; SOUS-SEGMENT'!$BE$8:$BE$154*'ANALYSE - ERP =&gt; SOUS-SEGMENT'!$BR$8:$BR$154)/SUMPRODUCT(('ANALYSE - ERP =&gt; SOUS-SEGMENT'!$B$8:$B$154=$B16)*'ANALYSE - ERP =&gt; SOUS-SEGMENT'!$Q$8:$Q$154*'ANALYSE - ERP =&gt; SOUS-SEGMENT'!$BE$8:$BE$154),"")</f>
        <v>5.6071731081048376E-2</v>
      </c>
      <c r="BP16" s="577">
        <f>IFERROR(SUMPRODUCT(('ANALYSE - ERP =&gt; SOUS-SEGMENT'!$B$8:$B$154=$B16)*'ANALYSE - ERP =&gt; SOUS-SEGMENT'!$Q$8:$Q$154*'ANALYSE - ERP =&gt; SOUS-SEGMENT'!$BJ$8:$BJ$154*'ANALYSE - ERP =&gt; SOUS-SEGMENT'!$BS$8:$BS$154)/SUMPRODUCT(('ANALYSE - ERP =&gt; SOUS-SEGMENT'!$B$8:$B$154=$B16)*'ANALYSE - ERP =&gt; SOUS-SEGMENT'!$Q$8:$Q$154*'ANALYSE - ERP =&gt; SOUS-SEGMENT'!$BJ$8:$BJ$154),"")</f>
        <v>8.2495335766166425E-2</v>
      </c>
      <c r="BQ16" s="578">
        <f>IFERROR(SUMPRODUCT(('ANALYSE - ERP =&gt; SOUS-SEGMENT'!$B$8:$B$154=$B16)*'ANALYSE - ERP =&gt; SOUS-SEGMENT'!$Q$8:$Q$154*'ANALYSE - ERP =&gt; SOUS-SEGMENT'!$BJ$8:$BJ$154*'ANALYSE - ERP =&gt; SOUS-SEGMENT'!$BT$8:$BT$154)/SUMPRODUCT(('ANALYSE - ERP =&gt; SOUS-SEGMENT'!$B$8:$B$154=$B16)*'ANALYSE - ERP =&gt; SOUS-SEGMENT'!$Q$8:$Q$154*'ANALYSE - ERP =&gt; SOUS-SEGMENT'!$BJ$8:$BJ$154),"")</f>
        <v>0.72592304894218695</v>
      </c>
      <c r="BR16" s="578">
        <f>IFERROR(SUMPRODUCT(('ANALYSE - ERP =&gt; SOUS-SEGMENT'!$B$8:$B$154=$B16)*'ANALYSE - ERP =&gt; SOUS-SEGMENT'!$Q$8:$Q$154*'ANALYSE - ERP =&gt; SOUS-SEGMENT'!$BJ$8:$BJ$154*'ANALYSE - ERP =&gt; SOUS-SEGMENT'!$BU$8:$BU$154)/SUMPRODUCT(('ANALYSE - ERP =&gt; SOUS-SEGMENT'!$B$8:$B$154=$B16)*'ANALYSE - ERP =&gt; SOUS-SEGMENT'!$Q$8:$Q$154*'ANALYSE - ERP =&gt; SOUS-SEGMENT'!$BJ$8:$BJ$154),"")</f>
        <v>0.1392031493845558</v>
      </c>
      <c r="BS16" s="579">
        <f>IFERROR(SUMPRODUCT(('ANALYSE - ERP =&gt; SOUS-SEGMENT'!$B$8:$B$154=$B16)*'ANALYSE - ERP =&gt; SOUS-SEGMENT'!$Q$8:$Q$154*'ANALYSE - ERP =&gt; SOUS-SEGMENT'!$BJ$8:$BJ$154*'ANALYSE - ERP =&gt; SOUS-SEGMENT'!$BV$8:$BV$154)/SUMPRODUCT(('ANALYSE - ERP =&gt; SOUS-SEGMENT'!$B$8:$B$154=$B16)*'ANALYSE - ERP =&gt; SOUS-SEGMENT'!$Q$8:$Q$154*'ANALYSE - ERP =&gt; SOUS-SEGMENT'!$BJ$8:$BJ$154),"")</f>
        <v>5.2378465907090811E-2</v>
      </c>
      <c r="BT16" s="586">
        <f>IFERROR(SUMPRODUCT(('ANALYSE - ERP =&gt; SOUS-SEGMENT'!$B$8:$B$154=$B16)*'ANALYSE - ERP =&gt; SOUS-SEGMENT'!$Q$8:$Q$154*'ANALYSE - ERP =&gt; SOUS-SEGMENT'!$BF$8:$BF$154*'ANALYSE - ERP =&gt; SOUS-SEGMENT'!$BW$8:$BW$154)/SUMPRODUCT(('ANALYSE - ERP =&gt; SOUS-SEGMENT'!$B$8:$B$154=$B16)*'ANALYSE - ERP =&gt; SOUS-SEGMENT'!$Q$8:$Q$154*'ANALYSE - ERP =&gt; SOUS-SEGMENT'!$BF$8:$BF$154),"")</f>
        <v>0.17191170073945194</v>
      </c>
      <c r="BU16" s="587">
        <f>IFERROR(SUMPRODUCT(('ANALYSE - ERP =&gt; SOUS-SEGMENT'!$B$8:$B$154=$B16)*'ANALYSE - ERP =&gt; SOUS-SEGMENT'!$Q$8:$Q$154*'ANALYSE - ERP =&gt; SOUS-SEGMENT'!$BF$8:$BF$154*'ANALYSE - ERP =&gt; SOUS-SEGMENT'!$BX$8:$BX$154)/SUMPRODUCT(('ANALYSE - ERP =&gt; SOUS-SEGMENT'!$B$8:$B$154=$B16)*'ANALYSE - ERP =&gt; SOUS-SEGMENT'!$Q$8:$Q$154*'ANALYSE - ERP =&gt; SOUS-SEGMENT'!$BF$8:$BF$154),"")</f>
        <v>0.76387559808612449</v>
      </c>
      <c r="BV16" s="588">
        <f>IFERROR(SUMPRODUCT(('ANALYSE - ERP =&gt; SOUS-SEGMENT'!$B$8:$B$154=$B16)*'ANALYSE - ERP =&gt; SOUS-SEGMENT'!$Q$8:$Q$154*'ANALYSE - ERP =&gt; SOUS-SEGMENT'!$BF$8:$BF$154*'ANALYSE - ERP =&gt; SOUS-SEGMENT'!$BY$8:$BY$154)/SUMPRODUCT(('ANALYSE - ERP =&gt; SOUS-SEGMENT'!$B$8:$B$154=$B16)*'ANALYSE - ERP =&gt; SOUS-SEGMENT'!$Q$8:$Q$154*'ANALYSE - ERP =&gt; SOUS-SEGMENT'!$BF$8:$BF$154),"")</f>
        <v>6.4212701174423667E-2</v>
      </c>
      <c r="BW16" s="586">
        <f>IFERROR(SUMPRODUCT(('ANALYSE - ERP =&gt; SOUS-SEGMENT'!$B$8:$B$154=$B16)*'ANALYSE - ERP =&gt; SOUS-SEGMENT'!$Q$8:$Q$154*'ANALYSE - ERP =&gt; SOUS-SEGMENT'!$BK$8:$BK$154*'ANALYSE - ERP =&gt; SOUS-SEGMENT'!$BZ$8:$BZ$154)/SUMPRODUCT(('ANALYSE - ERP =&gt; SOUS-SEGMENT'!$B$8:$B$154=$B16)*'ANALYSE - ERP =&gt; SOUS-SEGMENT'!$Q$8:$Q$154*'ANALYSE - ERP =&gt; SOUS-SEGMENT'!$BK$8:$BK$154),"")</f>
        <v>0.13788265306122449</v>
      </c>
      <c r="BX16" s="587">
        <f>IFERROR(SUMPRODUCT(('ANALYSE - ERP =&gt; SOUS-SEGMENT'!$B$8:$B$154=$B16)*'ANALYSE - ERP =&gt; SOUS-SEGMENT'!$Q$8:$Q$154*'ANALYSE - ERP =&gt; SOUS-SEGMENT'!$BK$8:$BK$154*'ANALYSE - ERP =&gt; SOUS-SEGMENT'!$CA$8:$CA$154)/SUMPRODUCT(('ANALYSE - ERP =&gt; SOUS-SEGMENT'!$B$8:$B$154=$B16)*'ANALYSE - ERP =&gt; SOUS-SEGMENT'!$Q$8:$Q$154*'ANALYSE - ERP =&gt; SOUS-SEGMENT'!$BK$8:$BK$154),"")</f>
        <v>0.78494472789115644</v>
      </c>
      <c r="BY16" s="588">
        <f>IFERROR(SUMPRODUCT(('ANALYSE - ERP =&gt; SOUS-SEGMENT'!$B$8:$B$154=$B16)*'ANALYSE - ERP =&gt; SOUS-SEGMENT'!$Q$8:$Q$154*'ANALYSE - ERP =&gt; SOUS-SEGMENT'!$BK$8:$BK$154*'ANALYSE - ERP =&gt; SOUS-SEGMENT'!$CB$8:$CB$154)/SUMPRODUCT(('ANALYSE - ERP =&gt; SOUS-SEGMENT'!$B$8:$B$154=$B16)*'ANALYSE - ERP =&gt; SOUS-SEGMENT'!$Q$8:$Q$154*'ANALYSE - ERP =&gt; SOUS-SEGMENT'!$BK$8:$BK$154),"")</f>
        <v>7.7172619047619032E-2</v>
      </c>
      <c r="BZ16" s="577">
        <f>IFERROR(SUMPRODUCT(('ANALYSE - ERP =&gt; SOUS-SEGMENT'!$B$8:$B$154=$B16)*'ANALYSE - ERP =&gt; SOUS-SEGMENT'!$Q$8:$Q$154*'ANALYSE - ERP =&gt; SOUS-SEGMENT'!$BG$8:$BG$154*'ANALYSE - ERP =&gt; SOUS-SEGMENT'!$CC$8:$CC$154)/SUMPRODUCT(('ANALYSE - ERP =&gt; SOUS-SEGMENT'!$B$8:$B$154=$B16)*'ANALYSE - ERP =&gt; SOUS-SEGMENT'!$Q$8:$Q$154*'ANALYSE - ERP =&gt; SOUS-SEGMENT'!$BG$8:$BG$154),"")</f>
        <v>6.925012840267078E-2</v>
      </c>
      <c r="CA16" s="578">
        <f>IFERROR(SUMPRODUCT(('ANALYSE - ERP =&gt; SOUS-SEGMENT'!$B$8:$B$154=$B16)*'ANALYSE - ERP =&gt; SOUS-SEGMENT'!$Q$8:$Q$154*'ANALYSE - ERP =&gt; SOUS-SEGMENT'!$BG$8:$BG$154*'ANALYSE - ERP =&gt; SOUS-SEGMENT'!$CD$8:$CD$154)/SUMPRODUCT(('ANALYSE - ERP =&gt; SOUS-SEGMENT'!$B$8:$B$154=$B16)*'ANALYSE - ERP =&gt; SOUS-SEGMENT'!$Q$8:$Q$154*'ANALYSE - ERP =&gt; SOUS-SEGMENT'!$BG$8:$BG$154),"")</f>
        <v>0.53741186907596783</v>
      </c>
      <c r="CB16" s="578">
        <f>IFERROR(SUMPRODUCT(('ANALYSE - ERP =&gt; SOUS-SEGMENT'!$B$8:$B$154=$B16)*'ANALYSE - ERP =&gt; SOUS-SEGMENT'!$Q$8:$Q$154*'ANALYSE - ERP =&gt; SOUS-SEGMENT'!$BG$8:$BG$154*'ANALYSE - ERP =&gt; SOUS-SEGMENT'!$CE$8:$CE$154)/SUMPRODUCT(('ANALYSE - ERP =&gt; SOUS-SEGMENT'!$B$8:$B$154=$B16)*'ANALYSE - ERP =&gt; SOUS-SEGMENT'!$Q$8:$Q$154*'ANALYSE - ERP =&gt; SOUS-SEGMENT'!$BG$8:$BG$154),"")</f>
        <v>0.13643460802166504</v>
      </c>
      <c r="CC16" s="579">
        <f>IFERROR(SUMPRODUCT(('ANALYSE - ERP =&gt; SOUS-SEGMENT'!$B$8:$B$154=$B16)*'ANALYSE - ERP =&gt; SOUS-SEGMENT'!$Q$8:$Q$154*'ANALYSE - ERP =&gt; SOUS-SEGMENT'!$BG$8:$BG$154*'ANALYSE - ERP =&gt; SOUS-SEGMENT'!$CF$8:$CF$154)/SUMPRODUCT(('ANALYSE - ERP =&gt; SOUS-SEGMENT'!$B$8:$B$154=$B16)*'ANALYSE - ERP =&gt; SOUS-SEGMENT'!$Q$8:$Q$154*'ANALYSE - ERP =&gt; SOUS-SEGMENT'!$BG$8:$BG$154),"")</f>
        <v>0.25690339449969646</v>
      </c>
      <c r="CD16" s="577">
        <f>IFERROR(SUMPRODUCT(('ANALYSE - ERP =&gt; SOUS-SEGMENT'!$B$8:$B$154=$B16)*'ANALYSE - ERP =&gt; SOUS-SEGMENT'!$Q$8:$Q$154*'ANALYSE - ERP =&gt; SOUS-SEGMENT'!$BL$8:$BL$154*'ANALYSE - ERP =&gt; SOUS-SEGMENT'!$CG$8:$CG$154)/SUMPRODUCT(('ANALYSE - ERP =&gt; SOUS-SEGMENT'!$B$8:$B$154=$B16)*'ANALYSE - ERP =&gt; SOUS-SEGMENT'!$Q$8:$Q$154*'ANALYSE - ERP =&gt; SOUS-SEGMENT'!$BL$8:$BL$154),"")</f>
        <v>5.6009453686028526E-2</v>
      </c>
      <c r="CE16" s="578">
        <f>IFERROR(SUMPRODUCT(('ANALYSE - ERP =&gt; SOUS-SEGMENT'!$B$8:$B$154=$B16)*'ANALYSE - ERP =&gt; SOUS-SEGMENT'!$Q$8:$Q$154*'ANALYSE - ERP =&gt; SOUS-SEGMENT'!$BL$8:$BL$154*'ANALYSE - ERP =&gt; SOUS-SEGMENT'!$CH$8:$CH$154)/SUMPRODUCT(('ANALYSE - ERP =&gt; SOUS-SEGMENT'!$B$8:$B$154=$B16)*'ANALYSE - ERP =&gt; SOUS-SEGMENT'!$Q$8:$Q$154*'ANALYSE - ERP =&gt; SOUS-SEGMENT'!$BL$8:$BL$154),"")</f>
        <v>0.53858285610399059</v>
      </c>
      <c r="CF16" s="578">
        <f>IFERROR(SUMPRODUCT(('ANALYSE - ERP =&gt; SOUS-SEGMENT'!$B$8:$B$154=$B16)*'ANALYSE - ERP =&gt; SOUS-SEGMENT'!$Q$8:$Q$154*'ANALYSE - ERP =&gt; SOUS-SEGMENT'!$BL$8:$BL$154*'ANALYSE - ERP =&gt; SOUS-SEGMENT'!$CI$8:$CI$154)/SUMPRODUCT(('ANALYSE - ERP =&gt; SOUS-SEGMENT'!$B$8:$B$154=$B16)*'ANALYSE - ERP =&gt; SOUS-SEGMENT'!$Q$8:$Q$154*'ANALYSE - ERP =&gt; SOUS-SEGMENT'!$BL$8:$BL$154),"")</f>
        <v>0.15611671666212162</v>
      </c>
      <c r="CG16" s="579">
        <f>IFERROR(SUMPRODUCT(('ANALYSE - ERP =&gt; SOUS-SEGMENT'!$B$8:$B$154=$B16)*'ANALYSE - ERP =&gt; SOUS-SEGMENT'!$Q$8:$Q$154*'ANALYSE - ERP =&gt; SOUS-SEGMENT'!$BL$8:$BL$154*'ANALYSE - ERP =&gt; SOUS-SEGMENT'!$CJ$8:$CJ$154)/SUMPRODUCT(('ANALYSE - ERP =&gt; SOUS-SEGMENT'!$B$8:$B$154=$B16)*'ANALYSE - ERP =&gt; SOUS-SEGMENT'!$Q$8:$Q$154*'ANALYSE - ERP =&gt; SOUS-SEGMENT'!$BL$8:$BL$154),"")</f>
        <v>0.24929097354785926</v>
      </c>
      <c r="CH16" s="586">
        <f>IFERROR(SUMPRODUCT(('ANALYSE - ERP =&gt; SOUS-SEGMENT'!$B$8:$B$154=$B16)*'ANALYSE - ERP =&gt; SOUS-SEGMENT'!$Q$8:$Q$154*'ANALYSE - ERP =&gt; SOUS-SEGMENT'!$BH$8:$BH$154*'ANALYSE - ERP =&gt; SOUS-SEGMENT'!$CK$8:$CK$154)/SUMPRODUCT(('ANALYSE - ERP =&gt; SOUS-SEGMENT'!$B$8:$B$154=$B16)*'ANALYSE - ERP =&gt; SOUS-SEGMENT'!$Q$8:$Q$154*'ANALYSE - ERP =&gt; SOUS-SEGMENT'!$BH$8:$BH$154),"")</f>
        <v>0.2490124793729373</v>
      </c>
      <c r="CI16" s="587">
        <f>IFERROR(SUMPRODUCT(('ANALYSE - ERP =&gt; SOUS-SEGMENT'!$B$8:$B$154=$B16)*'ANALYSE - ERP =&gt; SOUS-SEGMENT'!$Q$8:$Q$154*'ANALYSE - ERP =&gt; SOUS-SEGMENT'!$BH$8:$BH$154*'ANALYSE - ERP =&gt; SOUS-SEGMENT'!$CL$8:$CL$154)/SUMPRODUCT(('ANALYSE - ERP =&gt; SOUS-SEGMENT'!$B$8:$B$154=$B16)*'ANALYSE - ERP =&gt; SOUS-SEGMENT'!$Q$8:$Q$154*'ANALYSE - ERP =&gt; SOUS-SEGMENT'!$BH$8:$BH$154),"")</f>
        <v>0.52742883663366336</v>
      </c>
      <c r="CJ16" s="588">
        <f>IFERROR(SUMPRODUCT(('ANALYSE - ERP =&gt; SOUS-SEGMENT'!$B$8:$B$154=$B16)*'ANALYSE - ERP =&gt; SOUS-SEGMENT'!$Q$8:$Q$154*'ANALYSE - ERP =&gt; SOUS-SEGMENT'!$BH$8:$BH$154*'ANALYSE - ERP =&gt; SOUS-SEGMENT'!$CM$8:$CM$154)/SUMPRODUCT(('ANALYSE - ERP =&gt; SOUS-SEGMENT'!$B$8:$B$154=$B16)*'ANALYSE - ERP =&gt; SOUS-SEGMENT'!$Q$8:$Q$154*'ANALYSE - ERP =&gt; SOUS-SEGMENT'!$BH$8:$BH$154),"")</f>
        <v>0.22355868399339934</v>
      </c>
      <c r="CK16" s="586">
        <f>IFERROR(SUMPRODUCT(('ANALYSE - ERP =&gt; SOUS-SEGMENT'!$B$8:$B$154=$B16)*'ANALYSE - ERP =&gt; SOUS-SEGMENT'!$Q$8:$Q$154*'ANALYSE - ERP =&gt; SOUS-SEGMENT'!$BM$8:$BM$154*'ANALYSE - ERP =&gt; SOUS-SEGMENT'!$CN$8:$CN$154)/SUMPRODUCT(('ANALYSE - ERP =&gt; SOUS-SEGMENT'!$B$8:$B$154=$B16)*'ANALYSE - ERP =&gt; SOUS-SEGMENT'!$Q$8:$Q$154*'ANALYSE - ERP =&gt; SOUS-SEGMENT'!$BM$8:$BM$154),"")</f>
        <v>0.14945754746459683</v>
      </c>
      <c r="CL16" s="587">
        <f>IFERROR(SUMPRODUCT(('ANALYSE - ERP =&gt; SOUS-SEGMENT'!$B$8:$B$154=$B16)*'ANALYSE - ERP =&gt; SOUS-SEGMENT'!$Q$8:$Q$154*'ANALYSE - ERP =&gt; SOUS-SEGMENT'!$BM$8:$BM$154*'ANALYSE - ERP =&gt; SOUS-SEGMENT'!$CO$8:$CO$154)/SUMPRODUCT(('ANALYSE - ERP =&gt; SOUS-SEGMENT'!$B$8:$B$154=$B16)*'ANALYSE - ERP =&gt; SOUS-SEGMENT'!$Q$8:$Q$154*'ANALYSE - ERP =&gt; SOUS-SEGMENT'!$BM$8:$BM$154),"")</f>
        <v>0.55085430024872817</v>
      </c>
      <c r="CM16" s="588">
        <f>IFERROR(SUMPRODUCT(('ANALYSE - ERP =&gt; SOUS-SEGMENT'!$B$8:$B$154=$B16)*'ANALYSE - ERP =&gt; SOUS-SEGMENT'!$Q$8:$Q$154*'ANALYSE - ERP =&gt; SOUS-SEGMENT'!$BM$8:$BM$154*'ANALYSE - ERP =&gt; SOUS-SEGMENT'!$CP$8:$CP$154)/SUMPRODUCT(('ANALYSE - ERP =&gt; SOUS-SEGMENT'!$B$8:$B$154=$B16)*'ANALYSE - ERP =&gt; SOUS-SEGMENT'!$Q$8:$Q$154*'ANALYSE - ERP =&gt; SOUS-SEGMENT'!$BM$8:$BM$154),"")</f>
        <v>0.29968815228667495</v>
      </c>
      <c r="CN16" s="657"/>
      <c r="CO16" s="877">
        <f>IFERROR(SUMPRODUCT(('ANALYSE - ERP =&gt; SOUS-SEGMENT'!$B$8:$B$154=$B16)*'ANALYSE - ERP =&gt; SOUS-SEGMENT'!$DH$8:$DH$154*'ANALYSE - ERP =&gt; SOUS-SEGMENT'!$CR$8:$CR$154)/SUMPRODUCT(('ANALYSE - ERP =&gt; SOUS-SEGMENT'!$B$8:$B$154=$B16)*'ANALYSE - ERP =&gt; SOUS-SEGMENT'!$DH$8:$DH$154),"")</f>
        <v>9.7285773720428672</v>
      </c>
      <c r="CP16" s="878">
        <f>IFERROR(SUMPRODUCT(('ANALYSE - ERP =&gt; SOUS-SEGMENT'!$B$8:$B$154=$B16)*'ANALYSE - ERP =&gt; SOUS-SEGMENT'!$DI$8:$DI$154*'ANALYSE - ERP =&gt; SOUS-SEGMENT'!$CS$8:$CS$154)/SUMPRODUCT(('ANALYSE - ERP =&gt; SOUS-SEGMENT'!$B$8:$B$154=$B16)*'ANALYSE - ERP =&gt; SOUS-SEGMENT'!$DI$8:$DI$154),"")</f>
        <v>11.000000000000002</v>
      </c>
      <c r="CQ16" s="878">
        <f>IFERROR(SUMPRODUCT(('ANALYSE - ERP =&gt; SOUS-SEGMENT'!$B$8:$B$154=$B16)*'ANALYSE - ERP =&gt; SOUS-SEGMENT'!$DJ$8:$DJ$154*'ANALYSE - ERP =&gt; SOUS-SEGMENT'!$CT$8:$CT$154)/SUMPRODUCT(('ANALYSE - ERP =&gt; SOUS-SEGMENT'!$B$8:$B$154=$B16)*'ANALYSE - ERP =&gt; SOUS-SEGMENT'!$DJ$8:$DJ$154),"")</f>
        <v>8</v>
      </c>
      <c r="CR16" s="879">
        <f>IFERROR(SUMPRODUCT(('ANALYSE - ERP =&gt; SOUS-SEGMENT'!$B$8:$B$154=$B16)*'ANALYSE - ERP =&gt; SOUS-SEGMENT'!$DK$8:$DK$154*'ANALYSE - ERP =&gt; SOUS-SEGMENT'!$CU$8:$CU$154)/SUMPRODUCT(('ANALYSE - ERP =&gt; SOUS-SEGMENT'!$B$8:$B$154=$B16)*'ANALYSE - ERP =&gt; SOUS-SEGMENT'!$DK$8:$DK$154),"")</f>
        <v>9.7890838778734022</v>
      </c>
      <c r="CS16" s="877">
        <f>IFERROR(SUMPRODUCT(('ANALYSE - ERP =&gt; SOUS-SEGMENT'!$B$8:$B$154=$B16)*'ANALYSE - ERP =&gt; SOUS-SEGMENT'!$DS$8:$DS$154*'ANALYSE - ERP =&gt; SOUS-SEGMENT'!$CV$8:$CV$154)/SUMPRODUCT(('ANALYSE - ERP =&gt; SOUS-SEGMENT'!$B$8:$B$154=$B16)*'ANALYSE - ERP =&gt; SOUS-SEGMENT'!$DS$8:$DS$154),"")</f>
        <v>8.5824530330824214</v>
      </c>
      <c r="CT16" s="878">
        <f>IFERROR(SUMPRODUCT(('ANALYSE - ERP =&gt; SOUS-SEGMENT'!$B$8:$B$154=$B16)*'ANALYSE - ERP =&gt; SOUS-SEGMENT'!$DT$8:$DT$154*'ANALYSE - ERP =&gt; SOUS-SEGMENT'!$CW$8:$CW$154)/SUMPRODUCT(('ANALYSE - ERP =&gt; SOUS-SEGMENT'!$B$8:$B$154=$B16)*'ANALYSE - ERP =&gt; SOUS-SEGMENT'!$DT$8:$DT$154),"")</f>
        <v>8.2985508071633962</v>
      </c>
      <c r="CU16" s="879">
        <f>IFERROR(SUMPRODUCT(('ANALYSE - ERP =&gt; SOUS-SEGMENT'!$B$8:$B$154=$B16)*'ANALYSE - ERP =&gt; SOUS-SEGMENT'!$DU$8:$DU$154*'ANALYSE - ERP =&gt; SOUS-SEGMENT'!$CX$8:$CX$154)/SUMPRODUCT(('ANALYSE - ERP =&gt; SOUS-SEGMENT'!$B$8:$B$154=$B16)*'ANALYSE - ERP =&gt; SOUS-SEGMENT'!$DU$8:$DU$154),"")</f>
        <v>7.3674851820491112</v>
      </c>
      <c r="CV16" s="877">
        <f>IFERROR(SUMPRODUCT(('ANALYSE - ERP =&gt; SOUS-SEGMENT'!$B$8:$B$154=$B16)*'ANALYSE - ERP =&gt; SOUS-SEGMENT'!$EB$8:$EB$154*'ANALYSE - ERP =&gt; SOUS-SEGMENT'!$CY$8:$CY$154)/SUMPRODUCT(('ANALYSE - ERP =&gt; SOUS-SEGMENT'!$B$8:$B$154=$B16)*'ANALYSE - ERP =&gt; SOUS-SEGMENT'!$EB$8:$EB$154),"")</f>
        <v>8</v>
      </c>
      <c r="CW16" s="878">
        <f>IFERROR(SUMPRODUCT(('ANALYSE - ERP =&gt; SOUS-SEGMENT'!$B$8:$B$154=$B16)*'ANALYSE - ERP =&gt; SOUS-SEGMENT'!$EC$8:$EC$154*'ANALYSE - ERP =&gt; SOUS-SEGMENT'!$CZ$8:$CZ$154)/SUMPRODUCT(('ANALYSE - ERP =&gt; SOUS-SEGMENT'!$B$8:$B$154=$B16)*'ANALYSE - ERP =&gt; SOUS-SEGMENT'!$EC$8:$EC$154),"")</f>
        <v>10.384282890592758</v>
      </c>
      <c r="CX16" s="878">
        <f>IFERROR(SUMPRODUCT(('ANALYSE - ERP =&gt; SOUS-SEGMENT'!$B$8:$B$154=$B16)*'ANALYSE - ERP =&gt; SOUS-SEGMENT'!$ED$8:$ED$154*'ANALYSE - ERP =&gt; SOUS-SEGMENT'!$DA$8:$DA$154)/SUMPRODUCT(('ANALYSE - ERP =&gt; SOUS-SEGMENT'!$B$8:$B$154=$B16)*'ANALYSE - ERP =&gt; SOUS-SEGMENT'!$ED$8:$ED$154),"")</f>
        <v>7.5590379258184397</v>
      </c>
      <c r="CY16" s="880">
        <f>IFERROR(SUMPRODUCT(('ANALYSE - ERP =&gt; SOUS-SEGMENT'!$B$8:$B$154=$B16)*'ANALYSE - ERP =&gt; SOUS-SEGMENT'!$EE$8:$EE$154*'ANALYSE - ERP =&gt; SOUS-SEGMENT'!$DB$8:$DB$154)/SUMPRODUCT(('ANALYSE - ERP =&gt; SOUS-SEGMENT'!$B$8:$B$154=$B16)*'ANALYSE - ERP =&gt; SOUS-SEGMENT'!$EE$8:$EE$154),"")</f>
        <v>9.0000000000000018</v>
      </c>
      <c r="CZ16" s="881">
        <f>IFERROR(SUMPRODUCT(('ANALYSE - ERP =&gt; SOUS-SEGMENT'!$B$8:$B$154=$B16)*'ANALYSE - ERP =&gt; SOUS-SEGMENT'!$EM$8:$EM$154*'ANALYSE - ERP =&gt; SOUS-SEGMENT'!$DC$8:$DC$154)/SUMPRODUCT(('ANALYSE - ERP =&gt; SOUS-SEGMENT'!$B$8:$B$154=$B16)*'ANALYSE - ERP =&gt; SOUS-SEGMENT'!$EM$8:$EM$154),"")</f>
        <v>9.7464251322778708</v>
      </c>
      <c r="DA16" s="878">
        <f>IFERROR(SUMPRODUCT(('ANALYSE - ERP =&gt; SOUS-SEGMENT'!$B$8:$B$154=$B16)*'ANALYSE - ERP =&gt; SOUS-SEGMENT'!$EN$8:$EN$154*'ANALYSE - ERP =&gt; SOUS-SEGMENT'!$DD$8:$DD$154)/SUMPRODUCT(('ANALYSE - ERP =&gt; SOUS-SEGMENT'!$B$8:$B$154=$B16)*'ANALYSE - ERP =&gt; SOUS-SEGMENT'!$EN$8:$EN$154),"")</f>
        <v>11.224706440227223</v>
      </c>
      <c r="DB16" s="880">
        <f>IFERROR(SUMPRODUCT(('ANALYSE - ERP =&gt; SOUS-SEGMENT'!$B$8:$B$154=$B16)*'ANALYSE - ERP =&gt; SOUS-SEGMENT'!$EO$8:$EO$154*'ANALYSE - ERP =&gt; SOUS-SEGMENT'!$DE$8:$DE$154)/SUMPRODUCT(('ANALYSE - ERP =&gt; SOUS-SEGMENT'!$B$8:$B$154=$B16)*'ANALYSE - ERP =&gt; SOUS-SEGMENT'!$EO$8:$EO$154),"")</f>
        <v>8.3348711146992684</v>
      </c>
      <c r="DC16" s="287" t="s">
        <v>7559</v>
      </c>
      <c r="DD16" s="657"/>
      <c r="DE16" s="308">
        <f t="shared" si="2"/>
        <v>8364.52</v>
      </c>
      <c r="DF16" s="308">
        <f t="shared" si="3"/>
        <v>59849.179999999993</v>
      </c>
      <c r="DG16" s="308">
        <f t="shared" si="4"/>
        <v>9794.42</v>
      </c>
      <c r="DH16" s="308">
        <f t="shared" si="5"/>
        <v>4633.88</v>
      </c>
      <c r="DI16" s="287" t="s">
        <v>7559</v>
      </c>
      <c r="DJ16" s="308">
        <f t="shared" si="6"/>
        <v>7030.5000000000009</v>
      </c>
      <c r="DK16" s="308">
        <f t="shared" si="7"/>
        <v>61865.34</v>
      </c>
      <c r="DL16" s="308">
        <f t="shared" si="8"/>
        <v>11863.31</v>
      </c>
      <c r="DM16" s="308">
        <f t="shared" si="9"/>
        <v>4463.8500000000004</v>
      </c>
      <c r="DN16" s="289" t="s">
        <v>7559</v>
      </c>
      <c r="DO16" s="657"/>
      <c r="DP16" s="308">
        <f t="shared" si="10"/>
        <v>1580.9</v>
      </c>
      <c r="DQ16" s="308">
        <f t="shared" si="11"/>
        <v>7024.6</v>
      </c>
      <c r="DR16" s="308">
        <f t="shared" si="12"/>
        <v>590.5</v>
      </c>
      <c r="DS16" s="289" t="s">
        <v>7559</v>
      </c>
      <c r="DT16" s="308">
        <f t="shared" si="13"/>
        <v>1297.2</v>
      </c>
      <c r="DU16" s="308">
        <f t="shared" si="14"/>
        <v>7384.7599999999993</v>
      </c>
      <c r="DV16" s="308">
        <f t="shared" si="15"/>
        <v>726.03999999999985</v>
      </c>
      <c r="DW16" s="289" t="s">
        <v>7559</v>
      </c>
      <c r="DX16" s="657"/>
      <c r="DY16" s="308">
        <f t="shared" si="16"/>
        <v>741.56500000000005</v>
      </c>
      <c r="DZ16" s="308">
        <f t="shared" si="17"/>
        <v>5754.8750000000018</v>
      </c>
      <c r="EA16" s="308">
        <f t="shared" si="18"/>
        <v>1461.0100000000002</v>
      </c>
      <c r="EB16" s="308">
        <f t="shared" si="19"/>
        <v>2751.0499999999997</v>
      </c>
      <c r="EC16" s="289" t="s">
        <v>7559</v>
      </c>
      <c r="ED16" s="308">
        <f t="shared" si="20"/>
        <v>616.15999999999985</v>
      </c>
      <c r="EE16" s="308">
        <f t="shared" si="21"/>
        <v>5924.9500000000007</v>
      </c>
      <c r="EF16" s="308">
        <f t="shared" si="22"/>
        <v>1717.44</v>
      </c>
      <c r="EG16" s="308">
        <f t="shared" si="23"/>
        <v>2742.45</v>
      </c>
      <c r="EH16" s="309" t="s">
        <v>7559</v>
      </c>
      <c r="EI16" s="290"/>
      <c r="EJ16" s="308">
        <f t="shared" si="24"/>
        <v>19315.400000000001</v>
      </c>
      <c r="EK16" s="310">
        <f t="shared" si="25"/>
        <v>40911.599999999999</v>
      </c>
      <c r="EL16" s="310">
        <f t="shared" si="26"/>
        <v>17341</v>
      </c>
      <c r="EM16" s="289" t="s">
        <v>7559</v>
      </c>
      <c r="EN16" s="308">
        <f t="shared" si="27"/>
        <v>11957.649999999998</v>
      </c>
      <c r="EO16" s="310">
        <f t="shared" si="28"/>
        <v>44072.2</v>
      </c>
      <c r="EP16" s="310">
        <f t="shared" si="29"/>
        <v>23977.15</v>
      </c>
      <c r="EQ16" s="289" t="s">
        <v>7559</v>
      </c>
      <c r="ER16" s="657"/>
      <c r="ES16" s="728">
        <f t="shared" si="30"/>
        <v>0.80261347853041376</v>
      </c>
      <c r="ET16" s="728">
        <f t="shared" si="31"/>
        <v>0.19738652146958616</v>
      </c>
      <c r="EU16" s="311">
        <f t="shared" si="32"/>
        <v>90116.46761676576</v>
      </c>
      <c r="EV16" s="311">
        <f t="shared" si="33"/>
        <v>72328.691546765753</v>
      </c>
      <c r="EW16" s="311">
        <f t="shared" si="34"/>
        <v>17787.77607</v>
      </c>
      <c r="EX16" s="311">
        <f t="shared" si="35"/>
        <v>40312.168137181696</v>
      </c>
      <c r="EY16" s="311">
        <f>SUMPRODUCT(('ANALYSE - ERP =&gt; SOUS-SEGMENT'!$B$8:$B$154=$B16)*'ANALYSE - ERP =&gt; SOUS-SEGMENT'!$Q$8:$Q$154*'ANALYSE - ERP =&gt; SOUS-SEGMENT'!$FB$8:$FB$154)</f>
        <v>32142.385457181692</v>
      </c>
      <c r="EZ16" s="311">
        <f>SUMPRODUCT(('ANALYSE - ERP =&gt; SOUS-SEGMENT'!$B$8:$B$154=$B16)*'ANALYSE - ERP =&gt; SOUS-SEGMENT'!$Q$8:$Q$154*'ANALYSE - ERP =&gt; SOUS-SEGMENT'!$FC$8:$FC$154)</f>
        <v>8169.7826800000003</v>
      </c>
      <c r="FA16" s="311">
        <f t="shared" si="36"/>
        <v>5344.4819911499999</v>
      </c>
      <c r="FB16" s="311">
        <f>SUMPRODUCT(('ANALYSE - ERP =&gt; SOUS-SEGMENT'!$B$8:$B$154=$B16)*'ANALYSE - ERP =&gt; SOUS-SEGMENT'!$Q$8:$Q$154*'ANALYSE - ERP =&gt; SOUS-SEGMENT'!$FE$8:$FE$154)</f>
        <v>4468.3094711499998</v>
      </c>
      <c r="FC16" s="311">
        <f>SUMPRODUCT(('ANALYSE - ERP =&gt; SOUS-SEGMENT'!$B$8:$B$154=$B16)*'ANALYSE - ERP =&gt; SOUS-SEGMENT'!$Q$8:$Q$154*'ANALYSE - ERP =&gt; SOUS-SEGMENT'!$FF$8:$FF$154)</f>
        <v>876.17252000000008</v>
      </c>
      <c r="FD16" s="311">
        <f t="shared" si="37"/>
        <v>5773.4088128923886</v>
      </c>
      <c r="FE16" s="311">
        <f>SUMPRODUCT(('ANALYSE - ERP =&gt; SOUS-SEGMENT'!$B$8:$B$154=$B16)*'ANALYSE - ERP =&gt; SOUS-SEGMENT'!$Q$8:$Q$154*'ANALYSE - ERP =&gt; SOUS-SEGMENT'!$FH$8:$FH$154)</f>
        <v>4698.6322028923887</v>
      </c>
      <c r="FF16" s="311">
        <f>SUMPRODUCT(('ANALYSE - ERP =&gt; SOUS-SEGMENT'!$B$8:$B$154=$B16)*'ANALYSE - ERP =&gt; SOUS-SEGMENT'!$Q$8:$Q$154*'ANALYSE - ERP =&gt; SOUS-SEGMENT'!$FI$8:$FI$154)</f>
        <v>1074.7766099999999</v>
      </c>
      <c r="FG16" s="311">
        <f t="shared" si="38"/>
        <v>38686.408675541665</v>
      </c>
      <c r="FH16" s="311">
        <f>SUMPRODUCT(('ANALYSE - ERP =&gt; SOUS-SEGMENT'!$B$8:$B$154=$B16)*'ANALYSE - ERP =&gt; SOUS-SEGMENT'!$Q$8:$Q$154*'ANALYSE - ERP =&gt; SOUS-SEGMENT'!$FK$8:$FK$154)</f>
        <v>31019.364415541666</v>
      </c>
      <c r="FI16" s="311">
        <f>SUMPRODUCT(('ANALYSE - ERP =&gt; SOUS-SEGMENT'!$B$8:$B$154=$B16)*'ANALYSE - ERP =&gt; SOUS-SEGMENT'!$Q$8:$Q$154*'ANALYSE - ERP =&gt; SOUS-SEGMENT'!$FL$8:$FL$154)</f>
        <v>7667.0442600000006</v>
      </c>
      <c r="FJ16" s="657"/>
      <c r="FK16" s="293" t="s">
        <v>2649</v>
      </c>
      <c r="FL16" s="728">
        <f>IFERROR(SUMPRODUCT(('ANALYSE - ERP =&gt; SOUS-SEGMENT'!$B$8:$B$154=$B16)*'ANALYSE - ERP =&gt; SOUS-SEGMENT'!$Q$8:$Q$154*'ANALYSE - ERP =&gt; SOUS-SEGMENT'!$AF$8:$AF$154*'ANALYSE - ERP =&gt; SOUS-SEGMENT'!$FO$8:$FO$154)/SUMPRODUCT(('ANALYSE - ERP =&gt; SOUS-SEGMENT'!$B$8:$B$154=$B16)*'ANALYSE - ERP =&gt; SOUS-SEGMENT'!$Q$8:$Q$154*'ANALYSE - ERP =&gt; SOUS-SEGMENT'!$AF$8:$AF$154),"")</f>
        <v>5.633153810462823E-2</v>
      </c>
      <c r="FM16" s="729">
        <f>IFERROR(SUMPRODUCT(('ANALYSE - ERP =&gt; SOUS-SEGMENT'!$B$8:$B$154=$B16)*'ANALYSE - ERP =&gt; SOUS-SEGMENT'!$Q$8:$Q$154*'ANALYSE - ERP =&gt; SOUS-SEGMENT'!$AF$8:$AF$154*'ANALYSE - ERP =&gt; SOUS-SEGMENT'!$FP$8:$FP$154)/SUMPRODUCT(('ANALYSE - ERP =&gt; SOUS-SEGMENT'!$B$8:$B$154=$B16)*'ANALYSE - ERP =&gt; SOUS-SEGMENT'!$Q$8:$Q$154*'ANALYSE - ERP =&gt; SOUS-SEGMENT'!$AF$8:$AF$154),"")</f>
        <v>0.81668810346827514</v>
      </c>
      <c r="FN16" s="294" t="s">
        <v>6780</v>
      </c>
      <c r="FO16" s="657"/>
      <c r="FP16" s="865">
        <f>IFERROR(SUMPRODUCT(('ANALYSE - ERP =&gt; SOUS-SEGMENT'!$B$8:$B$154=$B16)*'ANALYSE - ERP =&gt; SOUS-SEGMENT'!$Q$8:$Q$154*'ANALYSE - ERP =&gt; SOUS-SEGMENT'!$EX$8:$EX$154*'ANALYSE - ERP =&gt; SOUS-SEGMENT'!$FS$8:$FS$154)/SUMPRODUCT(('ANALYSE - ERP =&gt; SOUS-SEGMENT'!$B$8:$B$154=$B16)*'ANALYSE - ERP =&gt; SOUS-SEGMENT'!$Q$8:$Q$154*'ANALYSE - ERP =&gt; SOUS-SEGMENT'!$EX$8:$EX$154),"")</f>
        <v>3.6322640647541169</v>
      </c>
      <c r="FQ16" s="312">
        <f>RANK($FP16,$FP$8:$FP$143,0)+COUNTIF($FP$8:$FP16,$FP16)-1</f>
        <v>3</v>
      </c>
      <c r="FR16" s="865">
        <f>IFERROR(SUMPRODUCT(('ANALYSE - ERP =&gt; SOUS-SEGMENT'!$B$8:$B$154=$B16)*'ANALYSE - ERP =&gt; SOUS-SEGMENT'!$Q$8:$Q$154*'ANALYSE - ERP =&gt; SOUS-SEGMENT'!$EY$8:$EY$154*'ANALYSE - ERP =&gt; SOUS-SEGMENT'!$FU$8:$FU$154)/SUMPRODUCT(('ANALYSE - ERP =&gt; SOUS-SEGMENT'!$B$8:$B$154=$B16)*'ANALYSE - ERP =&gt; SOUS-SEGMENT'!$Q$8:$Q$154*'ANALYSE - ERP =&gt; SOUS-SEGMENT'!$EY$8:$EY$154),"")-0.1</f>
        <v>4.3081527308710257</v>
      </c>
      <c r="FS16" s="312" t="e">
        <f>RANK($FR16,$FR$8:$FR$143,0)+COUNTIF($FR$8:$FR16,$FR16)-1</f>
        <v>#VALUE!</v>
      </c>
      <c r="FT16" s="865">
        <f>IFERROR(SUMPRODUCT(('ANALYSE - ERP =&gt; SOUS-SEGMENT'!$B$8:$B$154=$B16)*'ANALYSE - ERP =&gt; SOUS-SEGMENT'!$Q$8:$Q$154*'ANALYSE - ERP =&gt; SOUS-SEGMENT'!$EZ$8:$EZ$154*'ANALYSE - ERP =&gt; SOUS-SEGMENT'!$FW$8:$FW$154)/SUMPRODUCT(('ANALYSE - ERP =&gt; SOUS-SEGMENT'!$B$8:$B$154=$B16)*'ANALYSE - ERP =&gt; SOUS-SEGMENT'!$Q$8:$Q$154*'ANALYSE - ERP =&gt; SOUS-SEGMENT'!$EZ$8:$EZ$154),"")-0.1</f>
        <v>2.2730341062360813</v>
      </c>
      <c r="FU16" s="312" t="e">
        <f>RANK($FT16,$FT$8:$FT$143,0)+COUNTIF($FT$8:$FT16,$FT16)-1</f>
        <v>#VALUE!</v>
      </c>
      <c r="FV16" s="657"/>
      <c r="FW16" s="296" t="s">
        <v>7559</v>
      </c>
      <c r="FX16" s="296" t="s">
        <v>7559</v>
      </c>
      <c r="FY16" s="296" t="s">
        <v>7559</v>
      </c>
      <c r="FZ16" s="296" t="s">
        <v>7559</v>
      </c>
      <c r="GA16" s="296" t="s">
        <v>7559</v>
      </c>
      <c r="GB16" s="296" t="s">
        <v>7559</v>
      </c>
      <c r="GC16" s="296" t="str">
        <f t="shared" si="39"/>
        <v>https://solidarites.gouv.fr/le-service-public-de-la-petite-enfance-garantir-un-accueil-de-qualite-tous-les-enfants-et-leurs-familles
https://solidarites.gouv.fr/outils-et-ressources-destination-des-autorites-organisatrices-de-laccueil-du-jeune-enfant
https://solidarites.gouv.fr/stephanie-rist-annonce-une-revalorisation-du-financement-des-creches-par-les-caf-de-2-en-2025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D16" s="657"/>
      <c r="GE16" s="311">
        <f>SUMPRODUCT(('ANALYSE - ERP =&gt; SOUS-SEGMENT'!$B$8:$B$154=$B16)*'ANALYSE - ERP =&gt; SOUS-SEGMENT'!$Q$8:$Q$154*'ANALYSE - ERP =&gt; SOUS-SEGMENT'!$GH$8:$GH$154)</f>
        <v>4150.4969809333334</v>
      </c>
      <c r="GF16" s="311">
        <f>SUMPRODUCT(('ANALYSE - ERP =&gt; SOUS-SEGMENT'!$B$8:$B$154=$B16)*'ANALYSE - ERP =&gt; SOUS-SEGMENT'!$Q$8:$Q$154*'ANALYSE - ERP =&gt; SOUS-SEGMENT'!$GI$8:$GI$154)</f>
        <v>3478.118573733334</v>
      </c>
      <c r="GG16" s="311">
        <f>SUMPRODUCT(('ANALYSE - ERP =&gt; SOUS-SEGMENT'!$B$8:$B$154=$B16)*'ANALYSE - ERP =&gt; SOUS-SEGMENT'!$Q$8:$Q$154*'ANALYSE - ERP =&gt; SOUS-SEGMENT'!$GJ$8:$GJ$154)</f>
        <v>672.37840719999997</v>
      </c>
      <c r="GH16" s="311">
        <f>SUMPRODUCT(('ANALYSE - ERP =&gt; SOUS-SEGMENT'!$B$8:$B$154=$B16)*'ANALYSE - ERP =&gt; SOUS-SEGMENT'!$Q$8:$Q$154*'ANALYSE - ERP =&gt; SOUS-SEGMENT'!$GK$8:$GK$154)</f>
        <v>27590.159666163636</v>
      </c>
      <c r="GI16" s="311">
        <f>SUMPRODUCT(('ANALYSE - ERP =&gt; SOUS-SEGMENT'!$B$8:$B$154=$B16)*'ANALYSE - ERP =&gt; SOUS-SEGMENT'!$Q$8:$Q$154*'ANALYSE - ERP =&gt; SOUS-SEGMENT'!$GL$8:$GL$154)</f>
        <v>21681.501900563635</v>
      </c>
      <c r="GJ16" s="311">
        <f>SUMPRODUCT(('ANALYSE - ERP =&gt; SOUS-SEGMENT'!$B$8:$B$154=$B16)*'ANALYSE - ERP =&gt; SOUS-SEGMENT'!$Q$8:$Q$154*'ANALYSE - ERP =&gt; SOUS-SEGMENT'!$GM$8:$GM$154)</f>
        <v>5908.6577655999999</v>
      </c>
      <c r="GK16" s="311">
        <f>SUMPRODUCT(('ANALYSE - ERP =&gt; SOUS-SEGMENT'!$B$8:$B$154=$B16)*'ANALYSE - ERP =&gt; SOUS-SEGMENT'!$Q$8:$Q$154*'ANALYSE - ERP =&gt; SOUS-SEGMENT'!$GN$8:$GN$154)</f>
        <v>6245.5796257625007</v>
      </c>
      <c r="GL16" s="311">
        <f>SUMPRODUCT(('ANALYSE - ERP =&gt; SOUS-SEGMENT'!$B$8:$B$154=$B16)*'ANALYSE - ERP =&gt; SOUS-SEGMENT'!$Q$8:$Q$154*'ANALYSE - ERP =&gt; SOUS-SEGMENT'!$GO$8:$GO$154)</f>
        <v>5088.9013709625006</v>
      </c>
      <c r="GM16" s="311">
        <f>SUMPRODUCT(('ANALYSE - ERP =&gt; SOUS-SEGMENT'!$B$8:$B$154=$B16)*'ANALYSE - ERP =&gt; SOUS-SEGMENT'!$Q$8:$Q$154*'ANALYSE - ERP =&gt; SOUS-SEGMENT'!$GP$8:$GP$154)</f>
        <v>1156.6782548000001</v>
      </c>
      <c r="GN16" s="311">
        <f>SUMPRODUCT(('ANALYSE - ERP =&gt; SOUS-SEGMENT'!$B$8:$B$154=$B16)*'ANALYSE - ERP =&gt; SOUS-SEGMENT'!$Q$8:$Q$154*'ANALYSE - ERP =&gt; SOUS-SEGMENT'!$GQ$8:$GQ$154)</f>
        <v>2325.9318643222223</v>
      </c>
      <c r="GO16" s="311">
        <f>SUMPRODUCT(('ANALYSE - ERP =&gt; SOUS-SEGMENT'!$B$8:$B$154=$B16)*'ANALYSE - ERP =&gt; SOUS-SEGMENT'!$Q$8:$Q$154*'ANALYSE - ERP =&gt; SOUS-SEGMENT'!$GR$8:$GR$154)</f>
        <v>1893.8636119222222</v>
      </c>
      <c r="GP16" s="311">
        <f>SUMPRODUCT(('ANALYSE - ERP =&gt; SOUS-SEGMENT'!$B$8:$B$154=$B16)*'ANALYSE - ERP =&gt; SOUS-SEGMENT'!$Q$8:$Q$154*'ANALYSE - ERP =&gt; SOUS-SEGMENT'!$GS$8:$GS$154)</f>
        <v>432.06825240000001</v>
      </c>
      <c r="GQ16" s="311">
        <f>SUMPRODUCT(('ANALYSE - ERP =&gt; SOUS-SEGMENT'!$B$8:$B$154=$B16)*'ANALYSE - ERP =&gt; SOUS-SEGMENT'!$Q$8:$Q$154*'ANALYSE - ERP =&gt; SOUS-SEGMENT'!$GT$8:$GT$154)</f>
        <v>871.29836864999993</v>
      </c>
      <c r="GR16" s="311">
        <f>SUMPRODUCT(('ANALYSE - ERP =&gt; SOUS-SEGMENT'!$B$8:$B$154=$B16)*'ANALYSE - ERP =&gt; SOUS-SEGMENT'!$Q$8:$Q$154*'ANALYSE - ERP =&gt; SOUS-SEGMENT'!$GU$8:$GU$154)</f>
        <v>746.83820864999996</v>
      </c>
      <c r="GS16" s="311">
        <f>SUMPRODUCT(('ANALYSE - ERP =&gt; SOUS-SEGMENT'!$B$8:$B$154=$B16)*'ANALYSE - ERP =&gt; SOUS-SEGMENT'!$Q$8:$Q$154*'ANALYSE - ERP =&gt; SOUS-SEGMENT'!$GV$8:$GV$154)</f>
        <v>124.46015999999999</v>
      </c>
      <c r="GT16" s="311">
        <f>SUMPRODUCT(('ANALYSE - ERP =&gt; SOUS-SEGMENT'!$B$8:$B$154=$B16)*'ANALYSE - ERP =&gt; SOUS-SEGMENT'!$Q$8:$Q$154*'ANALYSE - ERP =&gt; SOUS-SEGMENT'!$GW$8:$GW$154)</f>
        <v>4075.5974634000008</v>
      </c>
      <c r="GU16" s="311">
        <f>SUMPRODUCT(('ANALYSE - ERP =&gt; SOUS-SEGMENT'!$B$8:$B$154=$B16)*'ANALYSE - ERP =&gt; SOUS-SEGMENT'!$Q$8:$Q$154*'ANALYSE - ERP =&gt; SOUS-SEGMENT'!$GX$8:$GX$154)</f>
        <v>3393.6023890000001</v>
      </c>
      <c r="GV16" s="311">
        <f>SUMPRODUCT(('ANALYSE - ERP =&gt; SOUS-SEGMENT'!$B$8:$B$154=$B16)*'ANALYSE - ERP =&gt; SOUS-SEGMENT'!$Q$8:$Q$154*'ANALYSE - ERP =&gt; SOUS-SEGMENT'!$GY$8:$GY$154)</f>
        <v>681.99507439999991</v>
      </c>
      <c r="GW16" s="311">
        <f>SUMPRODUCT(('ANALYSE - ERP =&gt; SOUS-SEGMENT'!$B$8:$B$154=$B16)*'ANALYSE - ERP =&gt; SOUS-SEGMENT'!$Q$8:$Q$154*'ANALYSE - ERP =&gt; SOUS-SEGMENT'!$GZ$8:$GZ$154)</f>
        <v>397.58615910000003</v>
      </c>
      <c r="GX16" s="311">
        <f>SUMPRODUCT(('ANALYSE - ERP =&gt; SOUS-SEGMENT'!$B$8:$B$154=$B16)*'ANALYSE - ERP =&gt; SOUS-SEGMENT'!$Q$8:$Q$154*'ANALYSE - ERP =&gt; SOUS-SEGMENT'!$HA$8:$HA$154)</f>
        <v>327.86887350000006</v>
      </c>
      <c r="GY16" s="311">
        <f>SUMPRODUCT(('ANALYSE - ERP =&gt; SOUS-SEGMENT'!$B$8:$B$154=$B16)*'ANALYSE - ERP =&gt; SOUS-SEGMENT'!$Q$8:$Q$154*'ANALYSE - ERP =&gt; SOUS-SEGMENT'!$HB$8:$HB$154)</f>
        <v>69.717285599999997</v>
      </c>
      <c r="GZ16" s="311">
        <f>SUMPRODUCT(('ANALYSE - ERP =&gt; SOUS-SEGMENT'!$B$8:$B$154=$B16)*'ANALYSE - ERP =&gt; SOUS-SEGMENT'!$Q$8:$Q$154*'ANALYSE - ERP =&gt; SOUS-SEGMENT'!$HC$8:$HC$154)</f>
        <v>453.2029889750001</v>
      </c>
      <c r="HA16" s="311">
        <f>SUMPRODUCT(('ANALYSE - ERP =&gt; SOUS-SEGMENT'!$B$8:$B$154=$B16)*'ANALYSE - ERP =&gt; SOUS-SEGMENT'!$Q$8:$Q$154*'ANALYSE - ERP =&gt; SOUS-SEGMENT'!$HD$8:$HD$154)</f>
        <v>397.41899937500006</v>
      </c>
      <c r="HB16" s="311">
        <f>SUMPRODUCT(('ANALYSE - ERP =&gt; SOUS-SEGMENT'!$B$8:$B$154=$B16)*'ANALYSE - ERP =&gt; SOUS-SEGMENT'!$Q$8:$Q$154*'ANALYSE - ERP =&gt; SOUS-SEGMENT'!$HE$8:$HE$154)</f>
        <v>55.783989599999991</v>
      </c>
      <c r="HC16" s="311">
        <f>SUMPRODUCT(('ANALYSE - ERP =&gt; SOUS-SEGMENT'!$B$8:$B$154=$B16)*'ANALYSE - ERP =&gt; SOUS-SEGMENT'!$Q$8:$Q$154*'ANALYSE - ERP =&gt; SOUS-SEGMENT'!$HF$8:$HF$154)</f>
        <v>2832.4603953181818</v>
      </c>
      <c r="HD16" s="311">
        <f>SUMPRODUCT(('ANALYSE - ERP =&gt; SOUS-SEGMENT'!$B$8:$B$154=$B16)*'ANALYSE - ERP =&gt; SOUS-SEGMENT'!$Q$8:$Q$154*'ANALYSE - ERP =&gt; SOUS-SEGMENT'!$HG$8:$HG$154)</f>
        <v>2260.2484678181818</v>
      </c>
      <c r="HE16" s="311">
        <f>SUMPRODUCT(('ANALYSE - ERP =&gt; SOUS-SEGMENT'!$B$8:$B$154=$B16)*'ANALYSE - ERP =&gt; SOUS-SEGMENT'!$Q$8:$Q$154*'ANALYSE - ERP =&gt; SOUS-SEGMENT'!$HH$8:$HH$154)</f>
        <v>572.2119275</v>
      </c>
      <c r="HF16" s="311">
        <f>SUMPRODUCT(('ANALYSE - ERP =&gt; SOUS-SEGMENT'!$B$8:$B$154=$B16)*'ANALYSE - ERP =&gt; SOUS-SEGMENT'!$Q$8:$Q$154*'ANALYSE - ERP =&gt; SOUS-SEGMENT'!$HI$8:$HI$154)</f>
        <v>982.22524452142864</v>
      </c>
      <c r="HG16" s="311">
        <f>SUMPRODUCT(('ANALYSE - ERP =&gt; SOUS-SEGMENT'!$B$8:$B$154=$B16)*'ANALYSE - ERP =&gt; SOUS-SEGMENT'!$Q$8:$Q$154*'ANALYSE - ERP =&gt; SOUS-SEGMENT'!$HJ$8:$HJ$154)</f>
        <v>810.02816052142862</v>
      </c>
      <c r="HH16" s="311">
        <f>SUMPRODUCT(('ANALYSE - ERP =&gt; SOUS-SEGMENT'!$B$8:$B$154=$B16)*'ANALYSE - ERP =&gt; SOUS-SEGMENT'!$Q$8:$Q$154*'ANALYSE - ERP =&gt; SOUS-SEGMENT'!$HK$8:$HK$154)</f>
        <v>172.19708399999999</v>
      </c>
      <c r="HI16" s="311">
        <f>SUMPRODUCT(('ANALYSE - ERP =&gt; SOUS-SEGMENT'!$B$8:$B$154=$B16)*'ANALYSE - ERP =&gt; SOUS-SEGMENT'!$Q$8:$Q$154*'ANALYSE - ERP =&gt; SOUS-SEGMENT'!$HL$8:$HL$154)</f>
        <v>1505.5201840777777</v>
      </c>
      <c r="HJ16" s="311">
        <f>SUMPRODUCT(('ANALYSE - ERP =&gt; SOUS-SEGMENT'!$B$8:$B$154=$B16)*'ANALYSE - ERP =&gt; SOUS-SEGMENT'!$Q$8:$Q$154*'ANALYSE - ERP =&gt; SOUS-SEGMENT'!$HM$8:$HM$154)</f>
        <v>1230.9365751777777</v>
      </c>
      <c r="HK16" s="311">
        <f>SUMPRODUCT(('ANALYSE - ERP =&gt; SOUS-SEGMENT'!$B$8:$B$154=$B16)*'ANALYSE - ERP =&gt; SOUS-SEGMENT'!$Q$8:$Q$154*'ANALYSE - ERP =&gt; SOUS-SEGMENT'!$HN$8:$HN$154)</f>
        <v>274.5836089</v>
      </c>
      <c r="HL16" s="311">
        <f>SUMPRODUCT(('ANALYSE - ERP =&gt; SOUS-SEGMENT'!$B$8:$B$154=$B16)*'ANALYSE - ERP =&gt; SOUS-SEGMENT'!$Q$8:$Q$154*'ANALYSE - ERP =&gt; SOUS-SEGMENT'!$HO$8:$HO$154)</f>
        <v>9152.5106291666652</v>
      </c>
      <c r="HM16" s="311">
        <f>SUMPRODUCT(('ANALYSE - ERP =&gt; SOUS-SEGMENT'!$B$8:$B$154=$B16)*'ANALYSE - ERP =&gt; SOUS-SEGMENT'!$Q$8:$Q$154*'ANALYSE - ERP =&gt; SOUS-SEGMENT'!$HP$8:$HP$154)</f>
        <v>8024.9909721666654</v>
      </c>
      <c r="HN16" s="311">
        <f>SUMPRODUCT(('ANALYSE - ERP =&gt; SOUS-SEGMENT'!$B$8:$B$154=$B16)*'ANALYSE - ERP =&gt; SOUS-SEGMENT'!$Q$8:$Q$154*'ANALYSE - ERP =&gt; SOUS-SEGMENT'!$HQ$8:$HQ$154)</f>
        <v>1127.5196569999998</v>
      </c>
      <c r="HO16" s="311">
        <f>SUMPRODUCT(('ANALYSE - ERP =&gt; SOUS-SEGMENT'!$B$8:$B$154=$B16)*'ANALYSE - ERP =&gt; SOUS-SEGMENT'!$Q$8:$Q$154*'ANALYSE - ERP =&gt; SOUS-SEGMENT'!$HR$8:$HR$154)</f>
        <v>18719.575502708336</v>
      </c>
      <c r="HP16" s="311">
        <f>SUMPRODUCT(('ANALYSE - ERP =&gt; SOUS-SEGMENT'!$B$8:$B$154=$B16)*'ANALYSE - ERP =&gt; SOUS-SEGMENT'!$Q$8:$Q$154*'ANALYSE - ERP =&gt; SOUS-SEGMENT'!$HS$8:$HS$154)</f>
        <v>14478.309031708335</v>
      </c>
      <c r="HQ16" s="311">
        <f>SUMPRODUCT(('ANALYSE - ERP =&gt; SOUS-SEGMENT'!$B$8:$B$154=$B16)*'ANALYSE - ERP =&gt; SOUS-SEGMENT'!$Q$8:$Q$154*'ANALYSE - ERP =&gt; SOUS-SEGMENT'!$HT$8:$HT$154)</f>
        <v>4241.2664709999999</v>
      </c>
      <c r="HR16" s="311">
        <f>SUMPRODUCT(('ANALYSE - ERP =&gt; SOUS-SEGMENT'!$B$8:$B$154=$B16)*'ANALYSE - ERP =&gt; SOUS-SEGMENT'!$Q$8:$Q$154*'ANALYSE - ERP =&gt; SOUS-SEGMENT'!$HU$8:$HU$154)</f>
        <v>10814.322543666669</v>
      </c>
      <c r="HS16" s="311">
        <f>SUMPRODUCT(('ANALYSE - ERP =&gt; SOUS-SEGMENT'!$B$8:$B$154=$B16)*'ANALYSE - ERP =&gt; SOUS-SEGMENT'!$Q$8:$Q$154*'ANALYSE - ERP =&gt; SOUS-SEGMENT'!$HV$8:$HV$154)</f>
        <v>8516.0644116666663</v>
      </c>
      <c r="HT16" s="311">
        <f>SUMPRODUCT(('ANALYSE - ERP =&gt; SOUS-SEGMENT'!$B$8:$B$154=$B16)*'ANALYSE - ERP =&gt; SOUS-SEGMENT'!$Q$8:$Q$154*'ANALYSE - ERP =&gt; SOUS-SEGMENT'!$HW$8:$HW$154)</f>
        <v>2298.2581320000004</v>
      </c>
      <c r="HV16" s="313">
        <f t="shared" si="40"/>
        <v>180114.49999999997</v>
      </c>
      <c r="HW16" s="313">
        <f>SUMPRODUCT(('ANALYSE - ERP =&gt; SOUS-SEGMENT'!$B$8:$B$154=$B16)*'ANALYSE - ERP =&gt; SOUS-SEGMENT'!$Q$8:$Q$154*'ANALYSE - ERP =&gt; SOUS-SEGMENT'!$HZ$8:$HZ$154)</f>
        <v>10657.571200000002</v>
      </c>
      <c r="HX16" s="313">
        <f>SUMPRODUCT(('ANALYSE - ERP =&gt; SOUS-SEGMENT'!$B$8:$B$154=$B16)*'ANALYSE - ERP =&gt; SOUS-SEGMENT'!$Q$8:$Q$154*'ANALYSE - ERP =&gt; SOUS-SEGMENT'!$IA$8:$IA$154)</f>
        <v>81468.984799999991</v>
      </c>
      <c r="HY16" s="313">
        <f>SUMPRODUCT(('ANALYSE - ERP =&gt; SOUS-SEGMENT'!$B$8:$B$154=$B16)*'ANALYSE - ERP =&gt; SOUS-SEGMENT'!$Q$8:$Q$154*'ANALYSE - ERP =&gt; SOUS-SEGMENT'!$IB$8:$IB$154)</f>
        <v>69277.393500000006</v>
      </c>
      <c r="HZ16" s="313">
        <f>SUMPRODUCT(('ANALYSE - ERP =&gt; SOUS-SEGMENT'!$B$8:$B$154=$B16)*'ANALYSE - ERP =&gt; SOUS-SEGMENT'!$Q$8:$Q$154*'ANALYSE - ERP =&gt; SOUS-SEGMENT'!$IC$8:$IC$154)</f>
        <v>16172.253500000003</v>
      </c>
      <c r="IA16" s="313">
        <f>SUMPRODUCT(('ANALYSE - ERP =&gt; SOUS-SEGMENT'!$B$8:$B$154=$B16)*'ANALYSE - ERP =&gt; SOUS-SEGMENT'!$Q$8:$Q$154*'ANALYSE - ERP =&gt; SOUS-SEGMENT'!$ID$8:$ID$154)</f>
        <v>2538.297</v>
      </c>
      <c r="IB16" s="313">
        <f>SUMPRODUCT(('ANALYSE - ERP =&gt; SOUS-SEGMENT'!$B$8:$B$154=$B16)*'ANALYSE - ERP =&gt; SOUS-SEGMENT'!$Q$8:$Q$154*'ANALYSE - ERP =&gt; SOUS-SEGMENT'!$IE$8:$IE$154)</f>
        <v>72328.691546765738</v>
      </c>
      <c r="IC16" s="313">
        <f>SUMPRODUCT(('ANALYSE - ERP =&gt; SOUS-SEGMENT'!$B$8:$B$154=$B16)*'ANALYSE - ERP =&gt; SOUS-SEGMENT'!$Q$8:$Q$154*'ANALYSE - ERP =&gt; SOUS-SEGMENT'!$IF$8:$IF$154)</f>
        <v>2550.5231971779681</v>
      </c>
      <c r="ID16" s="313">
        <f>SUMPRODUCT(('ANALYSE - ERP =&gt; SOUS-SEGMENT'!$B$8:$B$154=$B16)*'ANALYSE - ERP =&gt; SOUS-SEGMENT'!$Q$8:$Q$154*'ANALYSE - ERP =&gt; SOUS-SEGMENT'!$IG$8:$IG$154)</f>
        <v>29561.440726545039</v>
      </c>
      <c r="IE16" s="313">
        <f>SUMPRODUCT(('ANALYSE - ERP =&gt; SOUS-SEGMENT'!$B$8:$B$154=$B16)*'ANALYSE - ERP =&gt; SOUS-SEGMENT'!$Q$8:$Q$154*'ANALYSE - ERP =&gt; SOUS-SEGMENT'!$IH$8:$IH$154)</f>
        <v>29101.477896424942</v>
      </c>
      <c r="IF16" s="313">
        <f>SUMPRODUCT(('ANALYSE - ERP =&gt; SOUS-SEGMENT'!$B$8:$B$154=$B16)*'ANALYSE - ERP =&gt; SOUS-SEGMENT'!$Q$8:$Q$154*'ANALYSE - ERP =&gt; SOUS-SEGMENT'!$II$8:$II$154)</f>
        <v>9006.4512968533145</v>
      </c>
      <c r="IG16" s="313">
        <f>SUMPRODUCT(('ANALYSE - ERP =&gt; SOUS-SEGMENT'!$B$8:$B$154=$B16)*'ANALYSE - ERP =&gt; SOUS-SEGMENT'!$Q$8:$Q$154*'ANALYSE - ERP =&gt; SOUS-SEGMENT'!$IJ$8:$IJ$154)</f>
        <v>2108.7984297644803</v>
      </c>
      <c r="IH16" s="866"/>
      <c r="II16" s="314" t="s">
        <v>2589</v>
      </c>
      <c r="IJ16" s="299" t="s">
        <v>7559</v>
      </c>
      <c r="IK16" s="657"/>
      <c r="IL16" s="779">
        <f>IFERROR(SUMPRODUCT(('ANALYSE - ERP =&gt; SOUS-SEGMENT'!$B$8:$B$154=$B16)*'ANALYSE - ERP =&gt; SOUS-SEGMENT'!$Q$8:$Q$154*'ANALYSE - ERP =&gt; SOUS-SEGMENT'!$BE$8:$BE$154*'ANALYSE - ERP =&gt; SOUS-SEGMENT'!$IO$8:$IO$154)/SUMPRODUCT(('ANALYSE - ERP =&gt; SOUS-SEGMENT'!$B$8:$B$154=$B16)*'ANALYSE - ERP =&gt; SOUS-SEGMENT'!$Q$8:$Q$154*'ANALYSE - ERP =&gt; SOUS-SEGMENT'!$BE$8:$BE$154),0)</f>
        <v>5.1946538079910939E-2</v>
      </c>
      <c r="IM16" s="780">
        <f>IFERROR(SUMPRODUCT(('ANALYSE - ERP =&gt; SOUS-SEGMENT'!$B$8:$B$154=$B16)*'ANALYSE - ERP =&gt; SOUS-SEGMENT'!$Q$8:$Q$154*'ANALYSE - ERP =&gt; SOUS-SEGMENT'!$BE$8:$BE$154*'ANALYSE - ERP =&gt; SOUS-SEGMENT'!$IP$8:$IP$154)/SUMPRODUCT(('ANALYSE - ERP =&gt; SOUS-SEGMENT'!$B$8:$B$154=$B16)*'ANALYSE - ERP =&gt; SOUS-SEGMENT'!$Q$8:$Q$154*'ANALYSE - ERP =&gt; SOUS-SEGMENT'!$BE$8:$BE$154),0)</f>
        <v>0.43521968006582601</v>
      </c>
      <c r="IN16" s="780">
        <f>IFERROR(SUMPRODUCT(('ANALYSE - ERP =&gt; SOUS-SEGMENT'!$B$8:$B$154=$B16)*'ANALYSE - ERP =&gt; SOUS-SEGMENT'!$Q$8:$Q$154*'ANALYSE - ERP =&gt; SOUS-SEGMENT'!$BE$8:$BE$154*'ANALYSE - ERP =&gt; SOUS-SEGMENT'!$IQ$8:$IQ$154)/SUMPRODUCT(('ANALYSE - ERP =&gt; SOUS-SEGMENT'!$B$8:$B$154=$B16)*'ANALYSE - ERP =&gt; SOUS-SEGMENT'!$Q$8:$Q$154*'ANALYSE - ERP =&gt; SOUS-SEGMENT'!$BE$8:$BE$154),0)</f>
        <v>0.39602062389583986</v>
      </c>
      <c r="IO16" s="780">
        <f>IFERROR(SUMPRODUCT(('ANALYSE - ERP =&gt; SOUS-SEGMENT'!$B$8:$B$154=$B16)*'ANALYSE - ERP =&gt; SOUS-SEGMENT'!$Q$8:$Q$154*'ANALYSE - ERP =&gt; SOUS-SEGMENT'!$BE$8:$BE$154*'ANALYSE - ERP =&gt; SOUS-SEGMENT'!$IR$8:$IR$154)/SUMPRODUCT(('ANALYSE - ERP =&gt; SOUS-SEGMENT'!$B$8:$B$154=$B16)*'ANALYSE - ERP =&gt; SOUS-SEGMENT'!$Q$8:$Q$154*'ANALYSE - ERP =&gt; SOUS-SEGMENT'!$BE$8:$BE$154),0)</f>
        <v>9.9065799472423222E-2</v>
      </c>
      <c r="IP16" s="781">
        <f>IFERROR(SUMPRODUCT(('ANALYSE - ERP =&gt; SOUS-SEGMENT'!$B$8:$B$154=$B16)*'ANALYSE - ERP =&gt; SOUS-SEGMENT'!$Q$8:$Q$154*'ANALYSE - ERP =&gt; SOUS-SEGMENT'!$BE$8:$BE$154*'ANALYSE - ERP =&gt; SOUS-SEGMENT'!$IS$8:$IS$154)/SUMPRODUCT(('ANALYSE - ERP =&gt; SOUS-SEGMENT'!$B$8:$B$154=$B16)*'ANALYSE - ERP =&gt; SOUS-SEGMENT'!$Q$8:$Q$154*'ANALYSE - ERP =&gt; SOUS-SEGMENT'!$BE$8:$BE$154),0)</f>
        <v>1.7747358485999853E-2</v>
      </c>
      <c r="IQ16" s="780">
        <f>IFERROR(SUMPRODUCT(('ANALYSE - ERP =&gt; SOUS-SEGMENT'!$B$8:$B$154=$B16)*'ANALYSE - ERP =&gt; SOUS-SEGMENT'!$Q$8:$Q$154*'ANALYSE - ERP =&gt; SOUS-SEGMENT'!$FB$8:$FB$154*'ANALYSE - ERP =&gt; SOUS-SEGMENT'!$IT$8:$IT$154)/SUMPRODUCT(('ANALYSE - ERP =&gt; SOUS-SEGMENT'!$B$8:$B$154=$B16)*'ANALYSE - ERP =&gt; SOUS-SEGMENT'!$Q$8:$Q$154*'ANALYSE - ERP =&gt; SOUS-SEGMENT'!$FB$8:$FB$154),0)</f>
        <v>2.9357562990086041E-2</v>
      </c>
      <c r="IR16" s="780">
        <f>IFERROR(SUMPRODUCT(('ANALYSE - ERP =&gt; SOUS-SEGMENT'!$B$8:$B$154=$B16)*'ANALYSE - ERP =&gt; SOUS-SEGMENT'!$Q$8:$Q$154*'ANALYSE - ERP =&gt; SOUS-SEGMENT'!$FB$8:$FB$154*'ANALYSE - ERP =&gt; SOUS-SEGMENT'!$IU$8:$IU$154)/SUMPRODUCT(('ANALYSE - ERP =&gt; SOUS-SEGMENT'!$B$8:$B$154=$B16)*'ANALYSE - ERP =&gt; SOUS-SEGMENT'!$Q$8:$Q$154*'ANALYSE - ERP =&gt; SOUS-SEGMENT'!$FB$8:$FB$154),0)</f>
        <v>0.38307125747662651</v>
      </c>
      <c r="IS16" s="780">
        <f>IFERROR(SUMPRODUCT(('ANALYSE - ERP =&gt; SOUS-SEGMENT'!$B$8:$B$154=$B16)*'ANALYSE - ERP =&gt; SOUS-SEGMENT'!$Q$8:$Q$154*'ANALYSE - ERP =&gt; SOUS-SEGMENT'!$FB$8:$FB$154*'ANALYSE - ERP =&gt; SOUS-SEGMENT'!$IV$8:$IV$154)/SUMPRODUCT(('ANALYSE - ERP =&gt; SOUS-SEGMENT'!$B$8:$B$154=$B16)*'ANALYSE - ERP =&gt; SOUS-SEGMENT'!$Q$8:$Q$154*'ANALYSE - ERP =&gt; SOUS-SEGMENT'!$FB$8:$FB$154),0)</f>
        <v>0.41398687930730144</v>
      </c>
      <c r="IT16" s="780">
        <f>IFERROR(SUMPRODUCT(('ANALYSE - ERP =&gt; SOUS-SEGMENT'!$B$8:$B$154=$B16)*'ANALYSE - ERP =&gt; SOUS-SEGMENT'!$Q$8:$Q$154*'ANALYSE - ERP =&gt; SOUS-SEGMENT'!$FB$8:$FB$154*'ANALYSE - ERP =&gt; SOUS-SEGMENT'!$IW$8:$IW$154)/SUMPRODUCT(('ANALYSE - ERP =&gt; SOUS-SEGMENT'!$B$8:$B$154=$B16)*'ANALYSE - ERP =&gt; SOUS-SEGMENT'!$Q$8:$Q$154*'ANALYSE - ERP =&gt; SOUS-SEGMENT'!$FB$8:$FB$154),0)</f>
        <v>0.13821222259112945</v>
      </c>
      <c r="IU16" s="780">
        <f>IFERROR(SUMPRODUCT(('ANALYSE - ERP =&gt; SOUS-SEGMENT'!$B$8:$B$154=$B16)*'ANALYSE - ERP =&gt; SOUS-SEGMENT'!$Q$8:$Q$154*'ANALYSE - ERP =&gt; SOUS-SEGMENT'!$FB$8:$FB$154*'ANALYSE - ERP =&gt; SOUS-SEGMENT'!$IX$8:$IX$154)/SUMPRODUCT(('ANALYSE - ERP =&gt; SOUS-SEGMENT'!$B$8:$B$154=$B16)*'ANALYSE - ERP =&gt; SOUS-SEGMENT'!$Q$8:$Q$154*'ANALYSE - ERP =&gt; SOUS-SEGMENT'!$FB$8:$FB$154),0)</f>
        <v>3.5372077634856607E-2</v>
      </c>
      <c r="IV16" s="782">
        <f>IFERROR(SUMPRODUCT(('ANALYSE - ERP =&gt; SOUS-SEGMENT'!$B$8:$B$154=$B16)*'ANALYSE - ERP =&gt; SOUS-SEGMENT'!$Q$8:$Q$154*'ANALYSE - ERP =&gt; SOUS-SEGMENT'!$BF$8:$BF$154*'ANALYSE - ERP =&gt; SOUS-SEGMENT'!$IY$8:$IY$154)/SUMPRODUCT(('ANALYSE - ERP =&gt; SOUS-SEGMENT'!$B$8:$B$154=$B16)*'ANALYSE - ERP =&gt; SOUS-SEGMENT'!$Q$8:$Q$154*'ANALYSE - ERP =&gt; SOUS-SEGMENT'!$BF$8:$BF$154),0)</f>
        <v>4.5605480643758155E-2</v>
      </c>
      <c r="IW16" s="780">
        <f>IFERROR(SUMPRODUCT(('ANALYSE - ERP =&gt; SOUS-SEGMENT'!$B$8:$B$154=$B16)*'ANALYSE - ERP =&gt; SOUS-SEGMENT'!$Q$8:$Q$154*'ANALYSE - ERP =&gt; SOUS-SEGMENT'!$BF$8:$BF$154*'ANALYSE - ERP =&gt; SOUS-SEGMENT'!$IZ$8:$IZ$154)/SUMPRODUCT(('ANALYSE - ERP =&gt; SOUS-SEGMENT'!$B$8:$B$154=$B16)*'ANALYSE - ERP =&gt; SOUS-SEGMENT'!$Q$8:$Q$154*'ANALYSE - ERP =&gt; SOUS-SEGMENT'!$BF$8:$BF$154),0)</f>
        <v>0.42937270552414092</v>
      </c>
      <c r="IX16" s="780">
        <f>IFERROR(SUMPRODUCT(('ANALYSE - ERP =&gt; SOUS-SEGMENT'!$B$8:$B$154=$B16)*'ANALYSE - ERP =&gt; SOUS-SEGMENT'!$Q$8:$Q$154*'ANALYSE - ERP =&gt; SOUS-SEGMENT'!$BF$8:$BF$154*'ANALYSE - ERP =&gt; SOUS-SEGMENT'!$JA$8:$JA$154)/SUMPRODUCT(('ANALYSE - ERP =&gt; SOUS-SEGMENT'!$B$8:$B$154=$B16)*'ANALYSE - ERP =&gt; SOUS-SEGMENT'!$Q$8:$Q$154*'ANALYSE - ERP =&gt; SOUS-SEGMENT'!$BF$8:$BF$154),0)</f>
        <v>0.40864173553719008</v>
      </c>
      <c r="IY16" s="780">
        <f>IFERROR(SUMPRODUCT(('ANALYSE - ERP =&gt; SOUS-SEGMENT'!$B$8:$B$154=$B16)*'ANALYSE - ERP =&gt; SOUS-SEGMENT'!$Q$8:$Q$154*'ANALYSE - ERP =&gt; SOUS-SEGMENT'!$BF$8:$BF$154*'ANALYSE - ERP =&gt; SOUS-SEGMENT'!$JB$8:$JB$154)/SUMPRODUCT(('ANALYSE - ERP =&gt; SOUS-SEGMENT'!$B$8:$B$154=$B16)*'ANALYSE - ERP =&gt; SOUS-SEGMENT'!$Q$8:$Q$154*'ANALYSE - ERP =&gt; SOUS-SEGMENT'!$BF$8:$BF$154),0)</f>
        <v>0.10153647237929535</v>
      </c>
      <c r="IZ16" s="781">
        <f>IFERROR(SUMPRODUCT(('ANALYSE - ERP =&gt; SOUS-SEGMENT'!$B$8:$B$154=$B16)*'ANALYSE - ERP =&gt; SOUS-SEGMENT'!$Q$8:$Q$154*'ANALYSE - ERP =&gt; SOUS-SEGMENT'!$BF$8:$BF$154*'ANALYSE - ERP =&gt; SOUS-SEGMENT'!$JC$8:$JC$154)/SUMPRODUCT(('ANALYSE - ERP =&gt; SOUS-SEGMENT'!$B$8:$B$154=$B16)*'ANALYSE - ERP =&gt; SOUS-SEGMENT'!$Q$8:$Q$154*'ANALYSE - ERP =&gt; SOUS-SEGMENT'!$BF$8:$BF$154),0)</f>
        <v>1.4843605915615486E-2</v>
      </c>
      <c r="JA16" s="780">
        <f>IFERROR(SUMPRODUCT(('ANALYSE - ERP =&gt; SOUS-SEGMENT'!$B$8:$B$154=$B16)*'ANALYSE - ERP =&gt; SOUS-SEGMENT'!$Q$8:$Q$154*'ANALYSE - ERP =&gt; SOUS-SEGMENT'!$FE$8:$FE$154*'ANALYSE - ERP =&gt; SOUS-SEGMENT'!$JD$8:$JD$154)/SUMPRODUCT(('ANALYSE - ERP =&gt; SOUS-SEGMENT'!$B$8:$B$154=$B16)*'ANALYSE - ERP =&gt; SOUS-SEGMENT'!$Q$8:$Q$154*'ANALYSE - ERP =&gt; SOUS-SEGMENT'!$FE$8:$FE$154),0)</f>
        <v>2.7870639184299235E-2</v>
      </c>
      <c r="JB16" s="780">
        <f>IFERROR(SUMPRODUCT(('ANALYSE - ERP =&gt; SOUS-SEGMENT'!$B$8:$B$154=$B16)*'ANALYSE - ERP =&gt; SOUS-SEGMENT'!$Q$8:$Q$154*'ANALYSE - ERP =&gt; SOUS-SEGMENT'!$FE$8:$FE$154*'ANALYSE - ERP =&gt; SOUS-SEGMENT'!$JE$8:$JE$154)/SUMPRODUCT(('ANALYSE - ERP =&gt; SOUS-SEGMENT'!$B$8:$B$154=$B16)*'ANALYSE - ERP =&gt; SOUS-SEGMENT'!$Q$8:$Q$154*'ANALYSE - ERP =&gt; SOUS-SEGMENT'!$FE$8:$FE$154),0)</f>
        <v>0.40359776261448105</v>
      </c>
      <c r="JC16" s="780">
        <f>IFERROR(SUMPRODUCT(('ANALYSE - ERP =&gt; SOUS-SEGMENT'!$B$8:$B$154=$B16)*'ANALYSE - ERP =&gt; SOUS-SEGMENT'!$Q$8:$Q$154*'ANALYSE - ERP =&gt; SOUS-SEGMENT'!$FE$8:$FE$154*'ANALYSE - ERP =&gt; SOUS-SEGMENT'!$JF$8:$JF$154)/SUMPRODUCT(('ANALYSE - ERP =&gt; SOUS-SEGMENT'!$B$8:$B$154=$B16)*'ANALYSE - ERP =&gt; SOUS-SEGMENT'!$Q$8:$Q$154*'ANALYSE - ERP =&gt; SOUS-SEGMENT'!$FE$8:$FE$154),0)</f>
        <v>0.40927674205939585</v>
      </c>
      <c r="JD16" s="780">
        <f>IFERROR(SUMPRODUCT(('ANALYSE - ERP =&gt; SOUS-SEGMENT'!$B$8:$B$154=$B16)*'ANALYSE - ERP =&gt; SOUS-SEGMENT'!$Q$8:$Q$154*'ANALYSE - ERP =&gt; SOUS-SEGMENT'!$FE$8:$FE$154*'ANALYSE - ERP =&gt; SOUS-SEGMENT'!$JG$8:$JG$154)/SUMPRODUCT(('ANALYSE - ERP =&gt; SOUS-SEGMENT'!$B$8:$B$154=$B16)*'ANALYSE - ERP =&gt; SOUS-SEGMENT'!$Q$8:$Q$154*'ANALYSE - ERP =&gt; SOUS-SEGMENT'!$FE$8:$FE$154),0)</f>
        <v>0.12941865055681098</v>
      </c>
      <c r="JE16" s="780">
        <f>IFERROR(SUMPRODUCT(('ANALYSE - ERP =&gt; SOUS-SEGMENT'!$B$8:$B$154=$B16)*'ANALYSE - ERP =&gt; SOUS-SEGMENT'!$Q$8:$Q$154*'ANALYSE - ERP =&gt; SOUS-SEGMENT'!$FE$8:$FE$154*'ANALYSE - ERP =&gt; SOUS-SEGMENT'!$JH$8:$JH$154)/SUMPRODUCT(('ANALYSE - ERP =&gt; SOUS-SEGMENT'!$B$8:$B$154=$B16)*'ANALYSE - ERP =&gt; SOUS-SEGMENT'!$Q$8:$Q$154*'ANALYSE - ERP =&gt; SOUS-SEGMENT'!$FE$8:$FE$154),0)</f>
        <v>2.9836205585013008E-2</v>
      </c>
      <c r="JF16" s="782">
        <f>IFERROR(SUMPRODUCT(('ANALYSE - ERP =&gt; SOUS-SEGMENT'!$B$8:$B$154=$B16)*'ANALYSE - ERP =&gt; SOUS-SEGMENT'!$Q$8:$Q$154*'ANALYSE - ERP =&gt; SOUS-SEGMENT'!$BG$8:$BG$154*'ANALYSE - ERP =&gt; SOUS-SEGMENT'!$JI$8:$JI$154)/SUMPRODUCT(('ANALYSE - ERP =&gt; SOUS-SEGMENT'!$B$8:$B$154=$B16)*'ANALYSE - ERP =&gt; SOUS-SEGMENT'!$Q$8:$Q$154*'ANALYSE - ERP =&gt; SOUS-SEGMENT'!$BG$8:$BG$154),0)</f>
        <v>9.2897063080730244E-2</v>
      </c>
      <c r="JG16" s="780">
        <f>IFERROR(SUMPRODUCT(('ANALYSE - ERP =&gt; SOUS-SEGMENT'!$B$8:$B$154=$B16)*'ANALYSE - ERP =&gt; SOUS-SEGMENT'!$Q$8:$Q$154*'ANALYSE - ERP =&gt; SOUS-SEGMENT'!$BG$8:$BG$154*'ANALYSE - ERP =&gt; SOUS-SEGMENT'!$JJ$8:$JJ$154)/SUMPRODUCT(('ANALYSE - ERP =&gt; SOUS-SEGMENT'!$B$8:$B$154=$B16)*'ANALYSE - ERP =&gt; SOUS-SEGMENT'!$Q$8:$Q$154*'ANALYSE - ERP =&gt; SOUS-SEGMENT'!$BG$8:$BG$154),0)</f>
        <v>0.52741694915254234</v>
      </c>
      <c r="JH16" s="780">
        <f>IFERROR(SUMPRODUCT(('ANALYSE - ERP =&gt; SOUS-SEGMENT'!$B$8:$B$154=$B16)*'ANALYSE - ERP =&gt; SOUS-SEGMENT'!$Q$8:$Q$154*'ANALYSE - ERP =&gt; SOUS-SEGMENT'!$BG$8:$BG$154*'ANALYSE - ERP =&gt; SOUS-SEGMENT'!$JK$8:$JK$154)/SUMPRODUCT(('ANALYSE - ERP =&gt; SOUS-SEGMENT'!$B$8:$B$154=$B16)*'ANALYSE - ERP =&gt; SOUS-SEGMENT'!$Q$8:$Q$154*'ANALYSE - ERP =&gt; SOUS-SEGMENT'!$BG$8:$BG$154),0)</f>
        <v>0.30163960405285523</v>
      </c>
      <c r="JI16" s="780">
        <f>IFERROR(SUMPRODUCT(('ANALYSE - ERP =&gt; SOUS-SEGMENT'!$B$8:$B$154=$B16)*'ANALYSE - ERP =&gt; SOUS-SEGMENT'!$Q$8:$Q$154*'ANALYSE - ERP =&gt; SOUS-SEGMENT'!$BG$8:$BG$154*'ANALYSE - ERP =&gt; SOUS-SEGMENT'!$JL$8:$JL$154)/SUMPRODUCT(('ANALYSE - ERP =&gt; SOUS-SEGMENT'!$B$8:$B$154=$B16)*'ANALYSE - ERP =&gt; SOUS-SEGMENT'!$Q$8:$Q$154*'ANALYSE - ERP =&gt; SOUS-SEGMENT'!$BG$8:$BG$154),0)</f>
        <v>6.7786664798991453E-2</v>
      </c>
      <c r="JJ16" s="781">
        <f>IFERROR(SUMPRODUCT(('ANALYSE - ERP =&gt; SOUS-SEGMENT'!$B$8:$B$154=$B16)*'ANALYSE - ERP =&gt; SOUS-SEGMENT'!$Q$8:$Q$154*'ANALYSE - ERP =&gt; SOUS-SEGMENT'!$BG$8:$BG$154*'ANALYSE - ERP =&gt; SOUS-SEGMENT'!$JM$8:$JM$154)/SUMPRODUCT(('ANALYSE - ERP =&gt; SOUS-SEGMENT'!$B$8:$B$154=$B16)*'ANALYSE - ERP =&gt; SOUS-SEGMENT'!$Q$8:$Q$154*'ANALYSE - ERP =&gt; SOUS-SEGMENT'!$BG$8:$BG$154),0)</f>
        <v>1.0259718914880702E-2</v>
      </c>
      <c r="JK16" s="780">
        <f>IFERROR(SUMPRODUCT(('ANALYSE - ERP =&gt; SOUS-SEGMENT'!$B$8:$B$154=$B16)*'ANALYSE - ERP =&gt; SOUS-SEGMENT'!$Q$8:$Q$154*'ANALYSE - ERP =&gt; SOUS-SEGMENT'!$FH$8:$FH$154*'ANALYSE - ERP =&gt; SOUS-SEGMENT'!$JN$8:$JN$154)/SUMPRODUCT(('ANALYSE - ERP =&gt; SOUS-SEGMENT'!$B$8:$B$154=$B16)*'ANALYSE - ERP =&gt; SOUS-SEGMENT'!$Q$8:$Q$154*'ANALYSE - ERP =&gt; SOUS-SEGMENT'!$FH$8:$FH$154),0)</f>
        <v>5.6495915328425676E-2</v>
      </c>
      <c r="JL16" s="780">
        <f>IFERROR(SUMPRODUCT(('ANALYSE - ERP =&gt; SOUS-SEGMENT'!$B$8:$B$154=$B16)*'ANALYSE - ERP =&gt; SOUS-SEGMENT'!$Q$8:$Q$154*'ANALYSE - ERP =&gt; SOUS-SEGMENT'!$FH$8:$FH$154*'ANALYSE - ERP =&gt; SOUS-SEGMENT'!$JO$8:$JO$154)/SUMPRODUCT(('ANALYSE - ERP =&gt; SOUS-SEGMENT'!$B$8:$B$154=$B16)*'ANALYSE - ERP =&gt; SOUS-SEGMENT'!$Q$8:$Q$154*'ANALYSE - ERP =&gt; SOUS-SEGMENT'!$FH$8:$FH$154),0)</f>
        <v>0.49010418931905936</v>
      </c>
      <c r="JM16" s="780">
        <f>IFERROR(SUMPRODUCT(('ANALYSE - ERP =&gt; SOUS-SEGMENT'!$B$8:$B$154=$B16)*'ANALYSE - ERP =&gt; SOUS-SEGMENT'!$Q$8:$Q$154*'ANALYSE - ERP =&gt; SOUS-SEGMENT'!$FH$8:$FH$154*'ANALYSE - ERP =&gt; SOUS-SEGMENT'!$JP$8:$JP$154)/SUMPRODUCT(('ANALYSE - ERP =&gt; SOUS-SEGMENT'!$B$8:$B$154=$B16)*'ANALYSE - ERP =&gt; SOUS-SEGMENT'!$Q$8:$Q$154*'ANALYSE - ERP =&gt; SOUS-SEGMENT'!$FH$8:$FH$154),0)</f>
        <v>0.32873096589235645</v>
      </c>
      <c r="JN16" s="780">
        <f>IFERROR(SUMPRODUCT(('ANALYSE - ERP =&gt; SOUS-SEGMENT'!$B$8:$B$154=$B16)*'ANALYSE - ERP =&gt; SOUS-SEGMENT'!$Q$8:$Q$154*'ANALYSE - ERP =&gt; SOUS-SEGMENT'!$FH$8:$FH$154*'ANALYSE - ERP =&gt; SOUS-SEGMENT'!$JQ$8:$JQ$154)/SUMPRODUCT(('ANALYSE - ERP =&gt; SOUS-SEGMENT'!$B$8:$B$154=$B16)*'ANALYSE - ERP =&gt; SOUS-SEGMENT'!$Q$8:$Q$154*'ANALYSE - ERP =&gt; SOUS-SEGMENT'!$FH$8:$FH$154),0)</f>
        <v>0.10317567070387065</v>
      </c>
      <c r="JO16" s="780">
        <f>IFERROR(SUMPRODUCT(('ANALYSE - ERP =&gt; SOUS-SEGMENT'!$B$8:$B$154=$B16)*'ANALYSE - ERP =&gt; SOUS-SEGMENT'!$Q$8:$Q$154*'ANALYSE - ERP =&gt; SOUS-SEGMENT'!$FH$8:$FH$154*'ANALYSE - ERP =&gt; SOUS-SEGMENT'!$JR$8:$JR$154)/SUMPRODUCT(('ANALYSE - ERP =&gt; SOUS-SEGMENT'!$B$8:$B$154=$B16)*'ANALYSE - ERP =&gt; SOUS-SEGMENT'!$Q$8:$Q$154*'ANALYSE - ERP =&gt; SOUS-SEGMENT'!$FH$8:$FH$154),0)</f>
        <v>2.1493258756287815E-2</v>
      </c>
      <c r="JP16" s="782">
        <f>IFERROR(SUMPRODUCT(('ANALYSE - ERP =&gt; SOUS-SEGMENT'!$B$8:$B$154=$B16)*'ANALYSE - ERP =&gt; SOUS-SEGMENT'!$Q$8:$Q$154*'ANALYSE - ERP =&gt; SOUS-SEGMENT'!$BH$8:$BH$154*'ANALYSE - ERP =&gt; SOUS-SEGMENT'!$JS$8:$JS$154)/SUMPRODUCT(('ANALYSE - ERP =&gt; SOUS-SEGMENT'!$B$8:$B$154=$B16)*'ANALYSE - ERP =&gt; SOUS-SEGMENT'!$Q$8:$Q$154*'ANALYSE - ERP =&gt; SOUS-SEGMENT'!$BH$8:$BH$154),0)</f>
        <v>6.382050845709572E-2</v>
      </c>
      <c r="JQ16" s="780">
        <f>IFERROR(SUMPRODUCT(('ANALYSE - ERP =&gt; SOUS-SEGMENT'!$B$8:$B$154=$B16)*'ANALYSE - ERP =&gt; SOUS-SEGMENT'!$Q$8:$Q$154*'ANALYSE - ERP =&gt; SOUS-SEGMENT'!$BH$8:$BH$154*'ANALYSE - ERP =&gt; SOUS-SEGMENT'!$JT$8:$JT$154)/SUMPRODUCT(('ANALYSE - ERP =&gt; SOUS-SEGMENT'!$B$8:$B$154=$B16)*'ANALYSE - ERP =&gt; SOUS-SEGMENT'!$Q$8:$Q$154*'ANALYSE - ERP =&gt; SOUS-SEGMENT'!$BH$8:$BH$154),0)</f>
        <v>0.46288681157178219</v>
      </c>
      <c r="JR16" s="780">
        <f>IFERROR(SUMPRODUCT(('ANALYSE - ERP =&gt; SOUS-SEGMENT'!$B$8:$B$154=$B16)*'ANALYSE - ERP =&gt; SOUS-SEGMENT'!$Q$8:$Q$154*'ANALYSE - ERP =&gt; SOUS-SEGMENT'!$BH$8:$BH$154*'ANALYSE - ERP =&gt; SOUS-SEGMENT'!$JU$8:$JU$154)/SUMPRODUCT(('ANALYSE - ERP =&gt; SOUS-SEGMENT'!$B$8:$B$154=$B16)*'ANALYSE - ERP =&gt; SOUS-SEGMENT'!$Q$8:$Q$154*'ANALYSE - ERP =&gt; SOUS-SEGMENT'!$BH$8:$BH$154),0)</f>
        <v>0.38110406353135312</v>
      </c>
      <c r="JS16" s="780">
        <f>IFERROR(SUMPRODUCT(('ANALYSE - ERP =&gt; SOUS-SEGMENT'!$B$8:$B$154=$B16)*'ANALYSE - ERP =&gt; SOUS-SEGMENT'!$Q$8:$Q$154*'ANALYSE - ERP =&gt; SOUS-SEGMENT'!$BH$8:$BH$154*'ANALYSE - ERP =&gt; SOUS-SEGMENT'!$JV$8:$JV$154)/SUMPRODUCT(('ANALYSE - ERP =&gt; SOUS-SEGMENT'!$B$8:$B$154=$B16)*'ANALYSE - ERP =&gt; SOUS-SEGMENT'!$Q$8:$Q$154*'ANALYSE - ERP =&gt; SOUS-SEGMENT'!$BH$8:$BH$154),0)</f>
        <v>8.1549541047854779E-2</v>
      </c>
      <c r="JT16" s="781">
        <f>IFERROR(SUMPRODUCT(('ANALYSE - ERP =&gt; SOUS-SEGMENT'!$B$8:$B$154=$B16)*'ANALYSE - ERP =&gt; SOUS-SEGMENT'!$Q$8:$Q$154*'ANALYSE - ERP =&gt; SOUS-SEGMENT'!$BH$8:$BH$154*'ANALYSE - ERP =&gt; SOUS-SEGMENT'!$JW$8:$JW$154)/SUMPRODUCT(('ANALYSE - ERP =&gt; SOUS-SEGMENT'!$B$8:$B$154=$B16)*'ANALYSE - ERP =&gt; SOUS-SEGMENT'!$Q$8:$Q$154*'ANALYSE - ERP =&gt; SOUS-SEGMENT'!$BH$8:$BH$154),0)</f>
        <v>1.0639075391914192E-2</v>
      </c>
      <c r="JU16" s="782">
        <f>IFERROR(SUMPRODUCT(('ANALYSE - ERP =&gt; SOUS-SEGMENT'!$B$8:$B$154=$B16)*'ANALYSE - ERP =&gt; SOUS-SEGMENT'!$Q$8:$Q$154*'ANALYSE - ERP =&gt; SOUS-SEGMENT'!$FK$8:$FK$154*'ANALYSE - ERP =&gt; SOUS-SEGMENT'!$JX$8:$JX$154)/SUMPRODUCT(('ANALYSE - ERP =&gt; SOUS-SEGMENT'!$B$8:$B$154=$B16)*'ANALYSE - ERP =&gt; SOUS-SEGMENT'!$Q$8:$Q$154*'ANALYSE - ERP =&gt; SOUS-SEGMENT'!$FK$8:$FK$154),0)</f>
        <v>3.9230749767689914E-2</v>
      </c>
      <c r="JV16" s="780">
        <f>IFERROR(SUMPRODUCT(('ANALYSE - ERP =&gt; SOUS-SEGMENT'!$B$8:$B$154=$B16)*'ANALYSE - ERP =&gt; SOUS-SEGMENT'!$Q$8:$Q$154*'ANALYSE - ERP =&gt; SOUS-SEGMENT'!$FK$8:$FK$154*'ANALYSE - ERP =&gt; SOUS-SEGMENT'!$JY$8:$JY$154)/SUMPRODUCT(('ANALYSE - ERP =&gt; SOUS-SEGMENT'!$B$8:$B$154=$B16)*'ANALYSE - ERP =&gt; SOUS-SEGMENT'!$Q$8:$Q$154*'ANALYSE - ERP =&gt; SOUS-SEGMENT'!$FK$8:$FK$154),0)</f>
        <v>0.42368365460921659</v>
      </c>
      <c r="JW16" s="780">
        <f>IFERROR(SUMPRODUCT(('ANALYSE - ERP =&gt; SOUS-SEGMENT'!$B$8:$B$154=$B16)*'ANALYSE - ERP =&gt; SOUS-SEGMENT'!$Q$8:$Q$154*'ANALYSE - ERP =&gt; SOUS-SEGMENT'!$FK$8:$FK$154*'ANALYSE - ERP =&gt; SOUS-SEGMENT'!$JZ$8:$JZ$154)/SUMPRODUCT(('ANALYSE - ERP =&gt; SOUS-SEGMENT'!$B$8:$B$154=$B16)*'ANALYSE - ERP =&gt; SOUS-SEGMENT'!$Q$8:$Q$154*'ANALYSE - ERP =&gt; SOUS-SEGMENT'!$FK$8:$FK$154),0)</f>
        <v>0.40044634170502691</v>
      </c>
      <c r="JX16" s="780">
        <f>IFERROR(SUMPRODUCT(('ANALYSE - ERP =&gt; SOUS-SEGMENT'!$B$8:$B$154=$B16)*'ANALYSE - ERP =&gt; SOUS-SEGMENT'!$Q$8:$Q$154*'ANALYSE - ERP =&gt; SOUS-SEGMENT'!$FK$8:$FK$154*'ANALYSE - ERP =&gt; SOUS-SEGMENT'!$KA$8:$KA$154)/SUMPRODUCT(('ANALYSE - ERP =&gt; SOUS-SEGMENT'!$B$8:$B$154=$B16)*'ANALYSE - ERP =&gt; SOUS-SEGMENT'!$Q$8:$Q$154*'ANALYSE - ERP =&gt; SOUS-SEGMENT'!$FK$8:$FK$154),0)</f>
        <v>0.1128621981284275</v>
      </c>
      <c r="JY16" s="783">
        <f>IFERROR(SUMPRODUCT(('ANALYSE - ERP =&gt; SOUS-SEGMENT'!$B$8:$B$154=$B16)*'ANALYSE - ERP =&gt; SOUS-SEGMENT'!$Q$8:$Q$154*'ANALYSE - ERP =&gt; SOUS-SEGMENT'!$FK$8:$FK$154*'ANALYSE - ERP =&gt; SOUS-SEGMENT'!$KB$8:$KB$154)/SUMPRODUCT(('ANALYSE - ERP =&gt; SOUS-SEGMENT'!$B$8:$B$154=$B16)*'ANALYSE - ERP =&gt; SOUS-SEGMENT'!$Q$8:$Q$154*'ANALYSE - ERP =&gt; SOUS-SEGMENT'!$FK$8:$FK$154),0)</f>
        <v>2.3777055789639068E-2</v>
      </c>
      <c r="JZ16" s="657"/>
      <c r="KA16" s="314" t="s">
        <v>2590</v>
      </c>
      <c r="KB16" s="314" t="s">
        <v>2591</v>
      </c>
      <c r="KC16" s="866">
        <f>IFERROR(SUMPRODUCT(('ANALYSE - ERP =&gt; SOUS-SEGMENT'!$B$8:$B$154=$B16)*'ANALYSE - ERP =&gt; SOUS-SEGMENT'!$Q$8:$Q$154*'ANALYSE - ERP =&gt; SOUS-SEGMENT'!$EX$8:$EX$154*'ANALYSE - ERP =&gt; SOUS-SEGMENT'!$KF$8:$KF$154)/SUMPRODUCT(('ANALYSE - ERP =&gt; SOUS-SEGMENT'!$B$8:$B$154=$B16)*'ANALYSE - ERP =&gt; SOUS-SEGMENT'!$Q$8:$Q$154*'ANALYSE - ERP =&gt; SOUS-SEGMENT'!$EX$8:$EX$154),"")</f>
        <v>4.1301033830561833</v>
      </c>
      <c r="KD16" s="314" t="s">
        <v>2589</v>
      </c>
      <c r="KE16" s="315" t="s">
        <v>4731</v>
      </c>
      <c r="KF16" s="315" t="s">
        <v>7559</v>
      </c>
      <c r="KG16" s="315" t="s">
        <v>7559</v>
      </c>
    </row>
    <row r="17" spans="1:293" ht="189" customHeight="1">
      <c r="A17" s="265">
        <v>10</v>
      </c>
      <c r="B17" s="490" t="s">
        <v>4908</v>
      </c>
      <c r="C17" s="490" t="s">
        <v>7636</v>
      </c>
      <c r="D17" s="490" t="s">
        <v>7637</v>
      </c>
      <c r="E17" s="267" t="s">
        <v>7638</v>
      </c>
      <c r="F17" s="267" t="s">
        <v>7639</v>
      </c>
      <c r="G17" s="267" t="s">
        <v>7311</v>
      </c>
      <c r="H17" s="267" t="s">
        <v>2117</v>
      </c>
      <c r="I17" s="645" t="s">
        <v>7640</v>
      </c>
      <c r="J17" s="645" t="s">
        <v>7641</v>
      </c>
      <c r="K17" s="269" t="s">
        <v>2117</v>
      </c>
      <c r="L17" s="269" t="s">
        <v>2109</v>
      </c>
      <c r="M17" s="269" t="s">
        <v>7642</v>
      </c>
      <c r="N17" s="269" t="s">
        <v>6742</v>
      </c>
      <c r="O17" s="269" t="s">
        <v>2616</v>
      </c>
      <c r="P17" s="268" t="s">
        <v>7643</v>
      </c>
      <c r="Q17" s="270">
        <f>IF(SUMPRODUCT(('ANALYSE - ERP =&gt; SOUS-SEGMENT'!$B$8:$B$154=$B17)*'ANALYSE - ERP =&gt; SOUS-SEGMENT'!$Q$8:$Q$154)&gt;0,1,0)</f>
        <v>1</v>
      </c>
      <c r="R17" s="271">
        <f>IFERROR(SUMPRODUCT(('ANALYSE - ERP =&gt; SOUS-SEGMENT'!$B$8:$B$154=$B17)*'ANALYSE - ERP =&gt; SOUS-SEGMENT'!$Q$8:$Q$154*'ANALYSE - ERP =&gt; SOUS-SEGMENT'!$AG$8:$AG$154*'ANALYSE - ERP =&gt; SOUS-SEGMENT'!$R$8:$R$154)/SUMPRODUCT(('ANALYSE - ERP =&gt; SOUS-SEGMENT'!$B$8:$B$154=$B17)*'ANALYSE - ERP =&gt; SOUS-SEGMENT'!$Q$8:$Q$154*'ANALYSE - ERP =&gt; SOUS-SEGMENT'!$AG$8:$AG$154),"")</f>
        <v>2392.8807947019868</v>
      </c>
      <c r="S17" s="272">
        <f>SUMPRODUCT(('ANALYSE - ERP =&gt; SOUS-SEGMENT'!$B$8:$B$154=$B17)*'ANALYSE - ERP =&gt; SOUS-SEGMENT'!$Q$8:$Q$154*'ANALYSE - ERP =&gt; SOUS-SEGMENT'!$S$8:$S$154)</f>
        <v>2511</v>
      </c>
      <c r="T17" s="272">
        <f>SUMPRODUCT(('ANALYSE - ERP =&gt; SOUS-SEGMENT'!$B$8:$B$154=$B17)*'ANALYSE - ERP =&gt; SOUS-SEGMENT'!$Q$8:$Q$154*'ANALYSE - ERP =&gt; SOUS-SEGMENT'!$T$8:$T$154)</f>
        <v>2556</v>
      </c>
      <c r="U17" s="272">
        <f>SUMPRODUCT(('ANALYSE - ERP =&gt; SOUS-SEGMENT'!$B$8:$B$154=$B17)*'ANALYSE - ERP =&gt; SOUS-SEGMENT'!$Q$8:$Q$154*'ANALYSE - ERP =&gt; SOUS-SEGMENT'!$U$8:$U$154)</f>
        <v>2418</v>
      </c>
      <c r="V17" s="272">
        <f>SUMPRODUCT(('ANALYSE - ERP =&gt; SOUS-SEGMENT'!$B$8:$B$154=$B17)*'ANALYSE - ERP =&gt; SOUS-SEGMENT'!$Q$8:$Q$154*'ANALYSE - ERP =&gt; SOUS-SEGMENT'!$V$8:$V$154)</f>
        <v>2386</v>
      </c>
      <c r="W17" s="272">
        <f>SUMPRODUCT(('ANALYSE - ERP =&gt; SOUS-SEGMENT'!$B$8:$B$154=$B17)*'ANALYSE - ERP =&gt; SOUS-SEGMENT'!$Q$8:$Q$154*'ANALYSE - ERP =&gt; SOUS-SEGMENT'!$W$8:$W$154)</f>
        <v>2383</v>
      </c>
      <c r="X17" s="272">
        <f>SUMPRODUCT(('ANALYSE - ERP =&gt; SOUS-SEGMENT'!$B$8:$B$154=$B17)*'ANALYSE - ERP =&gt; SOUS-SEGMENT'!$Q$8:$Q$154*'ANALYSE - ERP =&gt; SOUS-SEGMENT'!$X$8:$X$154)</f>
        <v>2381</v>
      </c>
      <c r="Y17" s="272">
        <f>SUMPRODUCT(('ANALYSE - ERP =&gt; SOUS-SEGMENT'!$B$8:$B$154=$B17)*'ANALYSE - ERP =&gt; SOUS-SEGMENT'!$Q$8:$Q$154*'ANALYSE - ERP =&gt; SOUS-SEGMENT'!$Y$8:$Y$154)</f>
        <v>2378</v>
      </c>
      <c r="Z17" s="272">
        <f>SUMPRODUCT(('ANALYSE - ERP =&gt; SOUS-SEGMENT'!$B$8:$B$154=$B17)*'ANALYSE - ERP =&gt; SOUS-SEGMENT'!$Q$8:$Q$154*'ANALYSE - ERP =&gt; SOUS-SEGMENT'!$Z$8:$Z$154)</f>
        <v>2378</v>
      </c>
      <c r="AA17" s="272">
        <f>SUMPRODUCT(('ANALYSE - ERP =&gt; SOUS-SEGMENT'!$B$8:$B$154=$B17)*'ANALYSE - ERP =&gt; SOUS-SEGMENT'!$Q$8:$Q$154*'ANALYSE - ERP =&gt; SOUS-SEGMENT'!$AA$8:$AA$154)</f>
        <v>2378</v>
      </c>
      <c r="AB17" s="272">
        <f>SUMPRODUCT(('ANALYSE - ERP =&gt; SOUS-SEGMENT'!$B$8:$B$154=$B17)*'ANALYSE - ERP =&gt; SOUS-SEGMENT'!$Q$8:$Q$154*'ANALYSE - ERP =&gt; SOUS-SEGMENT'!$AB$8:$AB$154)</f>
        <v>2383</v>
      </c>
      <c r="AC17" s="272">
        <f>SUMPRODUCT(('ANALYSE - ERP =&gt; SOUS-SEGMENT'!$B$8:$B$154=$B17)*'ANALYSE - ERP =&gt; SOUS-SEGMENT'!$Q$8:$Q$154*'ANALYSE - ERP =&gt; SOUS-SEGMENT'!$AC$8:$AC$154)</f>
        <v>2389</v>
      </c>
      <c r="AD17" s="272">
        <f>SUMPRODUCT(('ANALYSE - ERP =&gt; SOUS-SEGMENT'!$B$8:$B$154=$B17)*'ANALYSE - ERP =&gt; SOUS-SEGMENT'!$Q$8:$Q$154*'ANALYSE - ERP =&gt; SOUS-SEGMENT'!$AD$8:$AD$154)</f>
        <v>2395</v>
      </c>
      <c r="AE17" s="272">
        <f>SUMPRODUCT(('ANALYSE - ERP =&gt; SOUS-SEGMENT'!$B$8:$B$154=$B17)*'ANALYSE - ERP =&gt; SOUS-SEGMENT'!$Q$8:$Q$154*'ANALYSE - ERP =&gt; SOUS-SEGMENT'!$AE$8:$AE$154)</f>
        <v>2404</v>
      </c>
      <c r="AF17" s="272">
        <f>SUMPRODUCT(('ANALYSE - ERP =&gt; SOUS-SEGMENT'!$B$8:$B$154=$B17)*'ANALYSE - ERP =&gt; SOUS-SEGMENT'!$Q$8:$Q$154*'ANALYSE - ERP =&gt; SOUS-SEGMENT'!$AF$8:$AF$154)</f>
        <v>2410</v>
      </c>
      <c r="AG17" s="272">
        <f>SUMPRODUCT(('ANALYSE - ERP =&gt; SOUS-SEGMENT'!$B$8:$B$154=$B17)*'ANALYSE - ERP =&gt; SOUS-SEGMENT'!$Q$8:$Q$154*'ANALYSE - ERP =&gt; SOUS-SEGMENT'!$AG$8:$AG$154)</f>
        <v>2416</v>
      </c>
      <c r="AH17" s="272">
        <f>SUMPRODUCT(('ANALYSE - ERP =&gt; SOUS-SEGMENT'!$B$8:$B$154=$B17)*'ANALYSE - ERP =&gt; SOUS-SEGMENT'!$Q$8:$Q$154*'ANALYSE - ERP =&gt; SOUS-SEGMENT'!$AH$8:$AH$154)</f>
        <v>2420</v>
      </c>
      <c r="AI17" s="272">
        <f>SUMPRODUCT(('ANALYSE - ERP =&gt; SOUS-SEGMENT'!$B$8:$B$154=$B17)*'ANALYSE - ERP =&gt; SOUS-SEGMENT'!$Q$8:$Q$154*'ANALYSE - ERP =&gt; SOUS-SEGMENT'!$AI$8:$AI$154)</f>
        <v>2425</v>
      </c>
      <c r="AJ17" s="272">
        <f>SUMPRODUCT(('ANALYSE - ERP =&gt; SOUS-SEGMENT'!$B$8:$B$154=$B17)*'ANALYSE - ERP =&gt; SOUS-SEGMENT'!$Q$8:$Q$154*'ANALYSE - ERP =&gt; SOUS-SEGMENT'!$AJ$8:$AJ$154)</f>
        <v>2429</v>
      </c>
      <c r="AK17" s="272">
        <f>SUMPRODUCT(('ANALYSE - ERP =&gt; SOUS-SEGMENT'!$B$8:$B$154=$B17)*'ANALYSE - ERP =&gt; SOUS-SEGMENT'!$Q$8:$Q$154*'ANALYSE - ERP =&gt; SOUS-SEGMENT'!$AK$8:$AK$154)</f>
        <v>2435</v>
      </c>
      <c r="AL17" s="268" t="s">
        <v>7559</v>
      </c>
      <c r="AM17" s="268" t="s">
        <v>7559</v>
      </c>
      <c r="AN17" s="268" t="s">
        <v>7644</v>
      </c>
      <c r="AO17" s="657"/>
      <c r="AP17" s="271">
        <f>IFERROR(SUMPRODUCT(('ANALYSE - ERP =&gt; SOUS-SEGMENT'!$B$8:$B$154=$B17)*'ANALYSE - ERP =&gt; SOUS-SEGMENT'!$Q$8:$Q$154*'ANALYSE - ERP =&gt; SOUS-SEGMENT'!$AG$8:$AG$154*'ANALYSE - ERP =&gt; SOUS-SEGMENT'!$AP$8:$AP$154)/SUMPRODUCT(('ANALYSE - ERP =&gt; SOUS-SEGMENT'!$B$8:$B$154=$B17)*'ANALYSE - ERP =&gt; SOUS-SEGMENT'!$Q$8:$Q$154*'ANALYSE - ERP =&gt; SOUS-SEGMENT'!$AG$8:$AG$154),"")</f>
        <v>156.57615894039736</v>
      </c>
      <c r="AQ17" s="280">
        <f>IFERROR(SUMPRODUCT(('ANALYSE - ERP =&gt; SOUS-SEGMENT'!$B$8:$B$154=$B17)*'ANALYSE - ERP =&gt; SOUS-SEGMENT'!$Q$8:$Q$154*'ANALYSE - ERP =&gt; SOUS-SEGMENT'!$AF$8:$AF$154*'ANALYSE - ERP =&gt; SOUS-SEGMENT'!$AQ$8:$AQ$154)/SUMPRODUCT(('ANALYSE - ERP =&gt; SOUS-SEGMENT'!$B$8:$B$154=$B17)*'ANALYSE - ERP =&gt; SOUS-SEGMENT'!$Q$8:$Q$154*'ANALYSE - ERP =&gt; SOUS-SEGMENT'!$AF$8:$AF$154),"")</f>
        <v>109.02863070539419</v>
      </c>
      <c r="AR17" s="974">
        <f>IFERROR(SUMPRODUCT(('ANALYSE - ERP =&gt; SOUS-SEGMENT'!$B$8:$B$154=$B17)*'ANALYSE - ERP =&gt; SOUS-SEGMENT'!$Q$8:$Q$154*'ANALYSE - ERP =&gt; SOUS-SEGMENT'!$AF$8:$AF$154*'ANALYSE - ERP =&gt; SOUS-SEGMENT'!$AR$8:$AR$154)/SUMPRODUCT(('ANALYSE - ERP =&gt; SOUS-SEGMENT'!$B$8:$B$154=$B17)*'ANALYSE - ERP =&gt; SOUS-SEGMENT'!$Q$8:$Q$154*'ANALYSE - ERP =&gt; SOUS-SEGMENT'!$AF$8:$AF$154),"")</f>
        <v>36.531950207468881</v>
      </c>
      <c r="AS17" s="974">
        <f>IFERROR(SUMPRODUCT(('ANALYSE - ERP =&gt; SOUS-SEGMENT'!$B$8:$B$154=$B17)*'ANALYSE - ERP =&gt; SOUS-SEGMENT'!$Q$8:$Q$154*'ANALYSE - ERP =&gt; SOUS-SEGMENT'!$AF$8:$AF$154*'ANALYSE - ERP =&gt; SOUS-SEGMENT'!$AS$8:$AS$154)/SUMPRODUCT(('ANALYSE - ERP =&gt; SOUS-SEGMENT'!$B$8:$B$154=$B17)*'ANALYSE - ERP =&gt; SOUS-SEGMENT'!$Q$8:$Q$154*'ANALYSE - ERP =&gt; SOUS-SEGMENT'!$AF$8:$AF$154),"")</f>
        <v>11.140663900414937</v>
      </c>
      <c r="AT17" s="657" t="s">
        <v>7645</v>
      </c>
      <c r="AU17" s="647" t="s">
        <v>7646</v>
      </c>
      <c r="AV17" s="647" t="s">
        <v>7647</v>
      </c>
      <c r="AW17" s="647" t="s">
        <v>7648</v>
      </c>
      <c r="AX17" s="657"/>
      <c r="AY17" s="303">
        <f>IFERROR(SUMPRODUCT(('ANALYSE - ERP =&gt; SOUS-SEGMENT'!$B$8:$B$154=$B17)*'ANALYSE - ERP =&gt; SOUS-SEGMENT'!$Q$8:$Q$154*'ANALYSE - ERP =&gt; SOUS-SEGMENT'!$AF$8:$AF$154*'ANALYSE - ERP =&gt; SOUS-SEGMENT'!$AZ$8:$AZ$154)/SUMPRODUCT(('ANALYSE - ERP =&gt; SOUS-SEGMENT'!$B$8:$B$154=$B17)*'ANALYSE - ERP =&gt; SOUS-SEGMENT'!$Q$8:$Q$154*'ANALYSE - ERP =&gt; SOUS-SEGMENT'!$AF$8:$AF$154),"")</f>
        <v>22.758506224066391</v>
      </c>
      <c r="AZ17" s="948">
        <f>IFERROR(SUMPRODUCT(('ANALYSE - ERP =&gt; SOUS-SEGMENT'!$B$8:$B$154=$B17)*'ANALYSE - ERP =&gt; SOUS-SEGMENT'!$Q$8:$Q$154*'ANALYSE - ERP =&gt; SOUS-SEGMENT'!$AF$8:$AF$154*'ANALYSE - ERP =&gt; SOUS-SEGMENT'!$BA$8:$BA$154)/SUMPRODUCT(('ANALYSE - ERP =&gt; SOUS-SEGMENT'!$B$8:$B$154=$B17)*'ANALYSE - ERP =&gt; SOUS-SEGMENT'!$Q$8:$Q$154*'ANALYSE - ERP =&gt; SOUS-SEGMENT'!$AF$8:$AF$154),"")</f>
        <v>5.2074688796680499</v>
      </c>
      <c r="BA17" s="303">
        <f>IFERROR(SUMPRODUCT(('ANALYSE - ERP =&gt; SOUS-SEGMENT'!$B$8:$B$154=$B17)*'ANALYSE - ERP =&gt; SOUS-SEGMENT'!$Q$8:$Q$154*'ANALYSE - ERP =&gt; SOUS-SEGMENT'!$AF$8:$AF$154*'ANALYSE - ERP =&gt; SOUS-SEGMENT'!$BB$8:$BB$154)/SUMPRODUCT(('ANALYSE - ERP =&gt; SOUS-SEGMENT'!$B$8:$B$154=$B17)*'ANALYSE - ERP =&gt; SOUS-SEGMENT'!$Q$8:$Q$154*'ANALYSE - ERP =&gt; SOUS-SEGMENT'!$AF$8:$AF$154),"")</f>
        <v>1.6018672199170125</v>
      </c>
      <c r="BB17" s="303">
        <f>IFERROR(SUMPRODUCT(('ANALYSE - ERP =&gt; SOUS-SEGMENT'!$B$8:$B$154=$B17)*'ANALYSE - ERP =&gt; SOUS-SEGMENT'!$Q$8:$Q$154*'ANALYSE - ERP =&gt; SOUS-SEGMENT'!$AF$8:$AF$154*'ANALYSE - ERP =&gt; SOUS-SEGMENT'!$BC$8:$BC$154)/SUMPRODUCT(('ANALYSE - ERP =&gt; SOUS-SEGMENT'!$B$8:$B$154=$B17)*'ANALYSE - ERP =&gt; SOUS-SEGMENT'!$Q$8:$Q$154*'ANALYSE - ERP =&gt; SOUS-SEGMENT'!$AF$8:$AF$154),"")</f>
        <v>21.176348547717843</v>
      </c>
      <c r="BC17" s="304">
        <f>SUMPRODUCT(('ANALYSE - ERP =&gt; SOUS-SEGMENT'!$B$8:$B$154=$B17)*'ANALYSE - ERP =&gt; SOUS-SEGMENT'!$Q$8:$Q$154*'ANALYSE - ERP =&gt; SOUS-SEGMENT'!$BE$8:$BE$154)</f>
        <v>54848</v>
      </c>
      <c r="BD17" s="304">
        <f>SUMPRODUCT(('ANALYSE - ERP =&gt; SOUS-SEGMENT'!$B$8:$B$154=$B17)*'ANALYSE - ERP =&gt; SOUS-SEGMENT'!$Q$8:$Q$154*'ANALYSE - ERP =&gt; SOUS-SEGMENT'!$BF$8:$BF$154)</f>
        <v>12550</v>
      </c>
      <c r="BE17" s="304">
        <f>SUMPRODUCT(('ANALYSE - ERP =&gt; SOUS-SEGMENT'!$B$8:$B$154=$B17)*'ANALYSE - ERP =&gt; SOUS-SEGMENT'!$Q$8:$Q$154*'ANALYSE - ERP =&gt; SOUS-SEGMENT'!$BG$8:$BG$154)</f>
        <v>3860.5</v>
      </c>
      <c r="BF17" s="304">
        <f>SUMPRODUCT(('ANALYSE - ERP =&gt; SOUS-SEGMENT'!$B$8:$B$154=$B17)*'ANALYSE - ERP =&gt; SOUS-SEGMENT'!$Q$8:$Q$154*'ANALYSE - ERP =&gt; SOUS-SEGMENT'!$BH$8:$BH$154)</f>
        <v>51035</v>
      </c>
      <c r="BG17" s="304">
        <f>SUMPRODUCT(('ANALYSE - ERP =&gt; SOUS-SEGMENT'!$B$8:$B$154=$B17)*'ANALYSE - ERP =&gt; SOUS-SEGMENT'!$Q$8:$Q$154*'ANALYSE - ERP =&gt; SOUS-SEGMENT'!$BJ$8:$BJ$154)</f>
        <v>56039</v>
      </c>
      <c r="BH17" s="304">
        <f>SUMPRODUCT(('ANALYSE - ERP =&gt; SOUS-SEGMENT'!$B$8:$B$154=$B17)*'ANALYSE - ERP =&gt; SOUS-SEGMENT'!$Q$8:$Q$154*'ANALYSE - ERP =&gt; SOUS-SEGMENT'!$BK$8:$BK$154)</f>
        <v>13065</v>
      </c>
      <c r="BI17" s="304">
        <f>SUMPRODUCT(('ANALYSE - ERP =&gt; SOUS-SEGMENT'!$B$8:$B$154=$B17)*'ANALYSE - ERP =&gt; SOUS-SEGMENT'!$Q$8:$Q$154*'ANALYSE - ERP =&gt; SOUS-SEGMENT'!$BL$8:$BL$154)</f>
        <v>3926.5</v>
      </c>
      <c r="BJ17" s="304">
        <f>SUMPRODUCT(('ANALYSE - ERP =&gt; SOUS-SEGMENT'!$B$8:$B$154=$B17)*'ANALYSE - ERP =&gt; SOUS-SEGMENT'!$Q$8:$Q$154*'ANALYSE - ERP =&gt; SOUS-SEGMENT'!$BM$8:$BM$154)</f>
        <v>52126</v>
      </c>
      <c r="BK17" s="657"/>
      <c r="BL17" s="577">
        <f>IFERROR(SUMPRODUCT(('ANALYSE - ERP =&gt; SOUS-SEGMENT'!$B$8:$B$154=$B17)*'ANALYSE - ERP =&gt; SOUS-SEGMENT'!$Q$8:$Q$154*'ANALYSE - ERP =&gt; SOUS-SEGMENT'!$BE$8:$BE$154*'ANALYSE - ERP =&gt; SOUS-SEGMENT'!$BO$8:$BO$154)/SUMPRODUCT(('ANALYSE - ERP =&gt; SOUS-SEGMENT'!$B$8:$B$154=$B17)*'ANALYSE - ERP =&gt; SOUS-SEGMENT'!$Q$8:$Q$154*'ANALYSE - ERP =&gt; SOUS-SEGMENT'!$BE$8:$BE$154),"")</f>
        <v>6.6965431738623099E-2</v>
      </c>
      <c r="BM17" s="578">
        <f>IFERROR(SUMPRODUCT(('ANALYSE - ERP =&gt; SOUS-SEGMENT'!$B$8:$B$154=$B17)*'ANALYSE - ERP =&gt; SOUS-SEGMENT'!$Q$8:$Q$154*'ANALYSE - ERP =&gt; SOUS-SEGMENT'!$BE$8:$BE$154*'ANALYSE - ERP =&gt; SOUS-SEGMENT'!$BP$8:$BP$154)/SUMPRODUCT(('ANALYSE - ERP =&gt; SOUS-SEGMENT'!$B$8:$B$154=$B17)*'ANALYSE - ERP =&gt; SOUS-SEGMENT'!$Q$8:$Q$154*'ANALYSE - ERP =&gt; SOUS-SEGMENT'!$BE$8:$BE$154),"")</f>
        <v>0.6837583868144691</v>
      </c>
      <c r="BN17" s="578">
        <f>IFERROR(SUMPRODUCT(('ANALYSE - ERP =&gt; SOUS-SEGMENT'!$B$8:$B$154=$B17)*'ANALYSE - ERP =&gt; SOUS-SEGMENT'!$Q$8:$Q$154*'ANALYSE - ERP =&gt; SOUS-SEGMENT'!$BE$8:$BE$154*'ANALYSE - ERP =&gt; SOUS-SEGMENT'!$BQ$8:$BQ$154)/SUMPRODUCT(('ANALYSE - ERP =&gt; SOUS-SEGMENT'!$B$8:$B$154=$B17)*'ANALYSE - ERP =&gt; SOUS-SEGMENT'!$Q$8:$Q$154*'ANALYSE - ERP =&gt; SOUS-SEGMENT'!$BE$8:$BE$154),"")</f>
        <v>3.7949059218203039E-2</v>
      </c>
      <c r="BO17" s="579">
        <f>IFERROR(SUMPRODUCT(('ANALYSE - ERP =&gt; SOUS-SEGMENT'!$B$8:$B$154=$B17)*'ANALYSE - ERP =&gt; SOUS-SEGMENT'!$Q$8:$Q$154*'ANALYSE - ERP =&gt; SOUS-SEGMENT'!$BE$8:$BE$154*'ANALYSE - ERP =&gt; SOUS-SEGMENT'!$BR$8:$BR$154)/SUMPRODUCT(('ANALYSE - ERP =&gt; SOUS-SEGMENT'!$B$8:$B$154=$B17)*'ANALYSE - ERP =&gt; SOUS-SEGMENT'!$Q$8:$Q$154*'ANALYSE - ERP =&gt; SOUS-SEGMENT'!$BE$8:$BE$154),"")</f>
        <v>0.21132712222870476</v>
      </c>
      <c r="BP17" s="577">
        <f>IFERROR(SUMPRODUCT(('ANALYSE - ERP =&gt; SOUS-SEGMENT'!$B$8:$B$154=$B17)*'ANALYSE - ERP =&gt; SOUS-SEGMENT'!$Q$8:$Q$154*'ANALYSE - ERP =&gt; SOUS-SEGMENT'!$BJ$8:$BJ$154*'ANALYSE - ERP =&gt; SOUS-SEGMENT'!$BS$8:$BS$154)/SUMPRODUCT(('ANALYSE - ERP =&gt; SOUS-SEGMENT'!$B$8:$B$154=$B17)*'ANALYSE - ERP =&gt; SOUS-SEGMENT'!$Q$8:$Q$154*'ANALYSE - ERP =&gt; SOUS-SEGMENT'!$BJ$8:$BJ$154),"")</f>
        <v>6.1538571352094083E-2</v>
      </c>
      <c r="BQ17" s="578">
        <f>IFERROR(SUMPRODUCT(('ANALYSE - ERP =&gt; SOUS-SEGMENT'!$B$8:$B$154=$B17)*'ANALYSE - ERP =&gt; SOUS-SEGMENT'!$Q$8:$Q$154*'ANALYSE - ERP =&gt; SOUS-SEGMENT'!$BJ$8:$BJ$154*'ANALYSE - ERP =&gt; SOUS-SEGMENT'!$BT$8:$BT$154)/SUMPRODUCT(('ANALYSE - ERP =&gt; SOUS-SEGMENT'!$B$8:$B$154=$B17)*'ANALYSE - ERP =&gt; SOUS-SEGMENT'!$Q$8:$Q$154*'ANALYSE - ERP =&gt; SOUS-SEGMENT'!$BJ$8:$BJ$154),"")</f>
        <v>0.67699744820571395</v>
      </c>
      <c r="BR17" s="578">
        <f>IFERROR(SUMPRODUCT(('ANALYSE - ERP =&gt; SOUS-SEGMENT'!$B$8:$B$154=$B17)*'ANALYSE - ERP =&gt; SOUS-SEGMENT'!$Q$8:$Q$154*'ANALYSE - ERP =&gt; SOUS-SEGMENT'!$BJ$8:$BJ$154*'ANALYSE - ERP =&gt; SOUS-SEGMENT'!$BU$8:$BU$154)/SUMPRODUCT(('ANALYSE - ERP =&gt; SOUS-SEGMENT'!$B$8:$B$154=$B17)*'ANALYSE - ERP =&gt; SOUS-SEGMENT'!$Q$8:$Q$154*'ANALYSE - ERP =&gt; SOUS-SEGMENT'!$BJ$8:$BJ$154),"")</f>
        <v>5.1788397366120023E-2</v>
      </c>
      <c r="BS17" s="579">
        <f>IFERROR(SUMPRODUCT(('ANALYSE - ERP =&gt; SOUS-SEGMENT'!$B$8:$B$154=$B17)*'ANALYSE - ERP =&gt; SOUS-SEGMENT'!$Q$8:$Q$154*'ANALYSE - ERP =&gt; SOUS-SEGMENT'!$BJ$8:$BJ$154*'ANALYSE - ERP =&gt; SOUS-SEGMENT'!$BV$8:$BV$154)/SUMPRODUCT(('ANALYSE - ERP =&gt; SOUS-SEGMENT'!$B$8:$B$154=$B17)*'ANALYSE - ERP =&gt; SOUS-SEGMENT'!$Q$8:$Q$154*'ANALYSE - ERP =&gt; SOUS-SEGMENT'!$BJ$8:$BJ$154),"")</f>
        <v>0.20967558307607204</v>
      </c>
      <c r="BT17" s="586">
        <f>IFERROR(SUMPRODUCT(('ANALYSE - ERP =&gt; SOUS-SEGMENT'!$B$8:$B$154=$B17)*'ANALYSE - ERP =&gt; SOUS-SEGMENT'!$Q$8:$Q$154*'ANALYSE - ERP =&gt; SOUS-SEGMENT'!$BF$8:$BF$154*'ANALYSE - ERP =&gt; SOUS-SEGMENT'!$BW$8:$BW$154)/SUMPRODUCT(('ANALYSE - ERP =&gt; SOUS-SEGMENT'!$B$8:$B$154=$B17)*'ANALYSE - ERP =&gt; SOUS-SEGMENT'!$Q$8:$Q$154*'ANALYSE - ERP =&gt; SOUS-SEGMENT'!$BF$8:$BF$154),"")</f>
        <v>0.32398804780876495</v>
      </c>
      <c r="BU17" s="587">
        <f>IFERROR(SUMPRODUCT(('ANALYSE - ERP =&gt; SOUS-SEGMENT'!$B$8:$B$154=$B17)*'ANALYSE - ERP =&gt; SOUS-SEGMENT'!$Q$8:$Q$154*'ANALYSE - ERP =&gt; SOUS-SEGMENT'!$BF$8:$BF$154*'ANALYSE - ERP =&gt; SOUS-SEGMENT'!$BX$8:$BX$154)/SUMPRODUCT(('ANALYSE - ERP =&gt; SOUS-SEGMENT'!$B$8:$B$154=$B17)*'ANALYSE - ERP =&gt; SOUS-SEGMENT'!$Q$8:$Q$154*'ANALYSE - ERP =&gt; SOUS-SEGMENT'!$BF$8:$BF$154),"")</f>
        <v>0.65837051792828682</v>
      </c>
      <c r="BV17" s="588">
        <f>IFERROR(SUMPRODUCT(('ANALYSE - ERP =&gt; SOUS-SEGMENT'!$B$8:$B$154=$B17)*'ANALYSE - ERP =&gt; SOUS-SEGMENT'!$Q$8:$Q$154*'ANALYSE - ERP =&gt; SOUS-SEGMENT'!$BF$8:$BF$154*'ANALYSE - ERP =&gt; SOUS-SEGMENT'!$BY$8:$BY$154)/SUMPRODUCT(('ANALYSE - ERP =&gt; SOUS-SEGMENT'!$B$8:$B$154=$B17)*'ANALYSE - ERP =&gt; SOUS-SEGMENT'!$Q$8:$Q$154*'ANALYSE - ERP =&gt; SOUS-SEGMENT'!$BF$8:$BF$154),"")</f>
        <v>1.7641434262948209E-2</v>
      </c>
      <c r="BW17" s="586">
        <f>IFERROR(SUMPRODUCT(('ANALYSE - ERP =&gt; SOUS-SEGMENT'!$B$8:$B$154=$B17)*'ANALYSE - ERP =&gt; SOUS-SEGMENT'!$Q$8:$Q$154*'ANALYSE - ERP =&gt; SOUS-SEGMENT'!$BK$8:$BK$154*'ANALYSE - ERP =&gt; SOUS-SEGMENT'!$BZ$8:$BZ$154)/SUMPRODUCT(('ANALYSE - ERP =&gt; SOUS-SEGMENT'!$B$8:$B$154=$B17)*'ANALYSE - ERP =&gt; SOUS-SEGMENT'!$Q$8:$Q$154*'ANALYSE - ERP =&gt; SOUS-SEGMENT'!$BK$8:$BK$154),"")</f>
        <v>0.29505396096440872</v>
      </c>
      <c r="BX17" s="587">
        <f>IFERROR(SUMPRODUCT(('ANALYSE - ERP =&gt; SOUS-SEGMENT'!$B$8:$B$154=$B17)*'ANALYSE - ERP =&gt; SOUS-SEGMENT'!$Q$8:$Q$154*'ANALYSE - ERP =&gt; SOUS-SEGMENT'!$BK$8:$BK$154*'ANALYSE - ERP =&gt; SOUS-SEGMENT'!$CA$8:$CA$154)/SUMPRODUCT(('ANALYSE - ERP =&gt; SOUS-SEGMENT'!$B$8:$B$154=$B17)*'ANALYSE - ERP =&gt; SOUS-SEGMENT'!$Q$8:$Q$154*'ANALYSE - ERP =&gt; SOUS-SEGMENT'!$BK$8:$BK$154),"")</f>
        <v>0.68005051664753158</v>
      </c>
      <c r="BY17" s="588">
        <f>IFERROR(SUMPRODUCT(('ANALYSE - ERP =&gt; SOUS-SEGMENT'!$B$8:$B$154=$B17)*'ANALYSE - ERP =&gt; SOUS-SEGMENT'!$Q$8:$Q$154*'ANALYSE - ERP =&gt; SOUS-SEGMENT'!$BK$8:$BK$154*'ANALYSE - ERP =&gt; SOUS-SEGMENT'!$CB$8:$CB$154)/SUMPRODUCT(('ANALYSE - ERP =&gt; SOUS-SEGMENT'!$B$8:$B$154=$B17)*'ANALYSE - ERP =&gt; SOUS-SEGMENT'!$Q$8:$Q$154*'ANALYSE - ERP =&gt; SOUS-SEGMENT'!$BK$8:$BK$154),"")</f>
        <v>2.4895522388059706E-2</v>
      </c>
      <c r="BZ17" s="577">
        <f>IFERROR(SUMPRODUCT(('ANALYSE - ERP =&gt; SOUS-SEGMENT'!$B$8:$B$154=$B17)*'ANALYSE - ERP =&gt; SOUS-SEGMENT'!$Q$8:$Q$154*'ANALYSE - ERP =&gt; SOUS-SEGMENT'!$BG$8:$BG$154*'ANALYSE - ERP =&gt; SOUS-SEGMENT'!$CC$8:$CC$154)/SUMPRODUCT(('ANALYSE - ERP =&gt; SOUS-SEGMENT'!$B$8:$B$154=$B17)*'ANALYSE - ERP =&gt; SOUS-SEGMENT'!$Q$8:$Q$154*'ANALYSE - ERP =&gt; SOUS-SEGMENT'!$BG$8:$BG$154),"")</f>
        <v>0.10379225488926305</v>
      </c>
      <c r="CA17" s="578">
        <f>IFERROR(SUMPRODUCT(('ANALYSE - ERP =&gt; SOUS-SEGMENT'!$B$8:$B$154=$B17)*'ANALYSE - ERP =&gt; SOUS-SEGMENT'!$Q$8:$Q$154*'ANALYSE - ERP =&gt; SOUS-SEGMENT'!$BG$8:$BG$154*'ANALYSE - ERP =&gt; SOUS-SEGMENT'!$CD$8:$CD$154)/SUMPRODUCT(('ANALYSE - ERP =&gt; SOUS-SEGMENT'!$B$8:$B$154=$B17)*'ANALYSE - ERP =&gt; SOUS-SEGMENT'!$Q$8:$Q$154*'ANALYSE - ERP =&gt; SOUS-SEGMENT'!$BG$8:$BG$154),"")</f>
        <v>0.62514182100764148</v>
      </c>
      <c r="CB17" s="578">
        <f>IFERROR(SUMPRODUCT(('ANALYSE - ERP =&gt; SOUS-SEGMENT'!$B$8:$B$154=$B17)*'ANALYSE - ERP =&gt; SOUS-SEGMENT'!$Q$8:$Q$154*'ANALYSE - ERP =&gt; SOUS-SEGMENT'!$BG$8:$BG$154*'ANALYSE - ERP =&gt; SOUS-SEGMENT'!$CE$8:$CE$154)/SUMPRODUCT(('ANALYSE - ERP =&gt; SOUS-SEGMENT'!$B$8:$B$154=$B17)*'ANALYSE - ERP =&gt; SOUS-SEGMENT'!$Q$8:$Q$154*'ANALYSE - ERP =&gt; SOUS-SEGMENT'!$BG$8:$BG$154),"")</f>
        <v>9.2806631265380135E-2</v>
      </c>
      <c r="CC17" s="579">
        <f>IFERROR(SUMPRODUCT(('ANALYSE - ERP =&gt; SOUS-SEGMENT'!$B$8:$B$154=$B17)*'ANALYSE - ERP =&gt; SOUS-SEGMENT'!$Q$8:$Q$154*'ANALYSE - ERP =&gt; SOUS-SEGMENT'!$BG$8:$BG$154*'ANALYSE - ERP =&gt; SOUS-SEGMENT'!$CF$8:$CF$154)/SUMPRODUCT(('ANALYSE - ERP =&gt; SOUS-SEGMENT'!$B$8:$B$154=$B17)*'ANALYSE - ERP =&gt; SOUS-SEGMENT'!$Q$8:$Q$154*'ANALYSE - ERP =&gt; SOUS-SEGMENT'!$BG$8:$BG$154),"")</f>
        <v>0.1782592928377153</v>
      </c>
      <c r="CD17" s="577">
        <f>IFERROR(SUMPRODUCT(('ANALYSE - ERP =&gt; SOUS-SEGMENT'!$B$8:$B$154=$B17)*'ANALYSE - ERP =&gt; SOUS-SEGMENT'!$Q$8:$Q$154*'ANALYSE - ERP =&gt; SOUS-SEGMENT'!$BL$8:$BL$154*'ANALYSE - ERP =&gt; SOUS-SEGMENT'!$CG$8:$CG$154)/SUMPRODUCT(('ANALYSE - ERP =&gt; SOUS-SEGMENT'!$B$8:$B$154=$B17)*'ANALYSE - ERP =&gt; SOUS-SEGMENT'!$Q$8:$Q$154*'ANALYSE - ERP =&gt; SOUS-SEGMENT'!$BL$8:$BL$154),"")</f>
        <v>8.9667642939004213E-2</v>
      </c>
      <c r="CE17" s="578">
        <f>IFERROR(SUMPRODUCT(('ANALYSE - ERP =&gt; SOUS-SEGMENT'!$B$8:$B$154=$B17)*'ANALYSE - ERP =&gt; SOUS-SEGMENT'!$Q$8:$Q$154*'ANALYSE - ERP =&gt; SOUS-SEGMENT'!$BL$8:$BL$154*'ANALYSE - ERP =&gt; SOUS-SEGMENT'!$CH$8:$CH$154)/SUMPRODUCT(('ANALYSE - ERP =&gt; SOUS-SEGMENT'!$B$8:$B$154=$B17)*'ANALYSE - ERP =&gt; SOUS-SEGMENT'!$Q$8:$Q$154*'ANALYSE - ERP =&gt; SOUS-SEGMENT'!$BL$8:$BL$154),"")</f>
        <v>0.62232395262956841</v>
      </c>
      <c r="CF17" s="578">
        <f>IFERROR(SUMPRODUCT(('ANALYSE - ERP =&gt; SOUS-SEGMENT'!$B$8:$B$154=$B17)*'ANALYSE - ERP =&gt; SOUS-SEGMENT'!$Q$8:$Q$154*'ANALYSE - ERP =&gt; SOUS-SEGMENT'!$BL$8:$BL$154*'ANALYSE - ERP =&gt; SOUS-SEGMENT'!$CI$8:$CI$154)/SUMPRODUCT(('ANALYSE - ERP =&gt; SOUS-SEGMENT'!$B$8:$B$154=$B17)*'ANALYSE - ERP =&gt; SOUS-SEGMENT'!$Q$8:$Q$154*'ANALYSE - ERP =&gt; SOUS-SEGMENT'!$BL$8:$BL$154),"")</f>
        <v>0.112960651980135</v>
      </c>
      <c r="CG17" s="579">
        <f>IFERROR(SUMPRODUCT(('ANALYSE - ERP =&gt; SOUS-SEGMENT'!$B$8:$B$154=$B17)*'ANALYSE - ERP =&gt; SOUS-SEGMENT'!$Q$8:$Q$154*'ANALYSE - ERP =&gt; SOUS-SEGMENT'!$BL$8:$BL$154*'ANALYSE - ERP =&gt; SOUS-SEGMENT'!$CJ$8:$CJ$154)/SUMPRODUCT(('ANALYSE - ERP =&gt; SOUS-SEGMENT'!$B$8:$B$154=$B17)*'ANALYSE - ERP =&gt; SOUS-SEGMENT'!$Q$8:$Q$154*'ANALYSE - ERP =&gt; SOUS-SEGMENT'!$BL$8:$BL$154),"")</f>
        <v>0.17504775245129253</v>
      </c>
      <c r="CH17" s="586">
        <f>IFERROR(SUMPRODUCT(('ANALYSE - ERP =&gt; SOUS-SEGMENT'!$B$8:$B$154=$B17)*'ANALYSE - ERP =&gt; SOUS-SEGMENT'!$Q$8:$Q$154*'ANALYSE - ERP =&gt; SOUS-SEGMENT'!$BH$8:$BH$154*'ANALYSE - ERP =&gt; SOUS-SEGMENT'!$CK$8:$CK$154)/SUMPRODUCT(('ANALYSE - ERP =&gt; SOUS-SEGMENT'!$B$8:$B$154=$B17)*'ANALYSE - ERP =&gt; SOUS-SEGMENT'!$Q$8:$Q$154*'ANALYSE - ERP =&gt; SOUS-SEGMENT'!$BH$8:$BH$154),"")</f>
        <v>0.46706573919858912</v>
      </c>
      <c r="CI17" s="587">
        <f>IFERROR(SUMPRODUCT(('ANALYSE - ERP =&gt; SOUS-SEGMENT'!$B$8:$B$154=$B17)*'ANALYSE - ERP =&gt; SOUS-SEGMENT'!$Q$8:$Q$154*'ANALYSE - ERP =&gt; SOUS-SEGMENT'!$BH$8:$BH$154*'ANALYSE - ERP =&gt; SOUS-SEGMENT'!$CL$8:$CL$154)/SUMPRODUCT(('ANALYSE - ERP =&gt; SOUS-SEGMENT'!$B$8:$B$154=$B17)*'ANALYSE - ERP =&gt; SOUS-SEGMENT'!$Q$8:$Q$154*'ANALYSE - ERP =&gt; SOUS-SEGMENT'!$BH$8:$BH$154),"")</f>
        <v>0.45053394729107465</v>
      </c>
      <c r="CJ17" s="588">
        <f>IFERROR(SUMPRODUCT(('ANALYSE - ERP =&gt; SOUS-SEGMENT'!$B$8:$B$154=$B17)*'ANALYSE - ERP =&gt; SOUS-SEGMENT'!$Q$8:$Q$154*'ANALYSE - ERP =&gt; SOUS-SEGMENT'!$BH$8:$BH$154*'ANALYSE - ERP =&gt; SOUS-SEGMENT'!$CM$8:$CM$154)/SUMPRODUCT(('ANALYSE - ERP =&gt; SOUS-SEGMENT'!$B$8:$B$154=$B17)*'ANALYSE - ERP =&gt; SOUS-SEGMENT'!$Q$8:$Q$154*'ANALYSE - ERP =&gt; SOUS-SEGMENT'!$BH$8:$BH$154),"")</f>
        <v>8.2400313510336054E-2</v>
      </c>
      <c r="CK17" s="586">
        <f>IFERROR(SUMPRODUCT(('ANALYSE - ERP =&gt; SOUS-SEGMENT'!$B$8:$B$154=$B17)*'ANALYSE - ERP =&gt; SOUS-SEGMENT'!$Q$8:$Q$154*'ANALYSE - ERP =&gt; SOUS-SEGMENT'!$BM$8:$BM$154*'ANALYSE - ERP =&gt; SOUS-SEGMENT'!$CN$8:$CN$154)/SUMPRODUCT(('ANALYSE - ERP =&gt; SOUS-SEGMENT'!$B$8:$B$154=$B17)*'ANALYSE - ERP =&gt; SOUS-SEGMENT'!$Q$8:$Q$154*'ANALYSE - ERP =&gt; SOUS-SEGMENT'!$BM$8:$BM$154),"")</f>
        <v>0.41216245251889655</v>
      </c>
      <c r="CL17" s="587">
        <f>IFERROR(SUMPRODUCT(('ANALYSE - ERP =&gt; SOUS-SEGMENT'!$B$8:$B$154=$B17)*'ANALYSE - ERP =&gt; SOUS-SEGMENT'!$Q$8:$Q$154*'ANALYSE - ERP =&gt; SOUS-SEGMENT'!$BM$8:$BM$154*'ANALYSE - ERP =&gt; SOUS-SEGMENT'!$CO$8:$CO$154)/SUMPRODUCT(('ANALYSE - ERP =&gt; SOUS-SEGMENT'!$B$8:$B$154=$B17)*'ANALYSE - ERP =&gt; SOUS-SEGMENT'!$Q$8:$Q$154*'ANALYSE - ERP =&gt; SOUS-SEGMENT'!$BM$8:$BM$154),"")</f>
        <v>0.48966254844031765</v>
      </c>
      <c r="CM17" s="588">
        <f>IFERROR(SUMPRODUCT(('ANALYSE - ERP =&gt; SOUS-SEGMENT'!$B$8:$B$154=$B17)*'ANALYSE - ERP =&gt; SOUS-SEGMENT'!$Q$8:$Q$154*'ANALYSE - ERP =&gt; SOUS-SEGMENT'!$BM$8:$BM$154*'ANALYSE - ERP =&gt; SOUS-SEGMENT'!$CP$8:$CP$154)/SUMPRODUCT(('ANALYSE - ERP =&gt; SOUS-SEGMENT'!$B$8:$B$154=$B17)*'ANALYSE - ERP =&gt; SOUS-SEGMENT'!$Q$8:$Q$154*'ANALYSE - ERP =&gt; SOUS-SEGMENT'!$BM$8:$BM$154),"")</f>
        <v>9.8174999040785776E-2</v>
      </c>
      <c r="CN17" s="657"/>
      <c r="CO17" s="877">
        <f>IFERROR(SUMPRODUCT(('ANALYSE - ERP =&gt; SOUS-SEGMENT'!$B$8:$B$154=$B17)*'ANALYSE - ERP =&gt; SOUS-SEGMENT'!$DH$8:$DH$154*'ANALYSE - ERP =&gt; SOUS-SEGMENT'!$CR$8:$CR$154)/SUMPRODUCT(('ANALYSE - ERP =&gt; SOUS-SEGMENT'!$B$8:$B$154=$B17)*'ANALYSE - ERP =&gt; SOUS-SEGMENT'!$DH$8:$DH$154),"")</f>
        <v>11.464116812485219</v>
      </c>
      <c r="CP17" s="878">
        <f>IFERROR(SUMPRODUCT(('ANALYSE - ERP =&gt; SOUS-SEGMENT'!$B$8:$B$154=$B17)*'ANALYSE - ERP =&gt; SOUS-SEGMENT'!$DI$8:$DI$154*'ANALYSE - ERP =&gt; SOUS-SEGMENT'!$CS$8:$CS$154)/SUMPRODUCT(('ANALYSE - ERP =&gt; SOUS-SEGMENT'!$B$8:$B$154=$B17)*'ANALYSE - ERP =&gt; SOUS-SEGMENT'!$DI$8:$DI$154),"")</f>
        <v>11.407508524089078</v>
      </c>
      <c r="CQ17" s="878">
        <f>IFERROR(SUMPRODUCT(('ANALYSE - ERP =&gt; SOUS-SEGMENT'!$B$8:$B$154=$B17)*'ANALYSE - ERP =&gt; SOUS-SEGMENT'!$DJ$8:$DJ$154*'ANALYSE - ERP =&gt; SOUS-SEGMENT'!$CT$8:$CT$154)/SUMPRODUCT(('ANALYSE - ERP =&gt; SOUS-SEGMENT'!$B$8:$B$154=$B17)*'ANALYSE - ERP =&gt; SOUS-SEGMENT'!$DJ$8:$DJ$154),"")</f>
        <v>9.2768788663807111</v>
      </c>
      <c r="CR17" s="879">
        <f>IFERROR(SUMPRODUCT(('ANALYSE - ERP =&gt; SOUS-SEGMENT'!$B$8:$B$154=$B17)*'ANALYSE - ERP =&gt; SOUS-SEGMENT'!$DK$8:$DK$154*'ANALYSE - ERP =&gt; SOUS-SEGMENT'!$CU$8:$CU$154)/SUMPRODUCT(('ANALYSE - ERP =&gt; SOUS-SEGMENT'!$B$8:$B$154=$B17)*'ANALYSE - ERP =&gt; SOUS-SEGMENT'!$DK$8:$DK$154),"")</f>
        <v>9.1583185868930954</v>
      </c>
      <c r="CS17" s="877">
        <f>IFERROR(SUMPRODUCT(('ANALYSE - ERP =&gt; SOUS-SEGMENT'!$B$8:$B$154=$B17)*'ANALYSE - ERP =&gt; SOUS-SEGMENT'!$DS$8:$DS$154*'ANALYSE - ERP =&gt; SOUS-SEGMENT'!$CV$8:$CV$154)/SUMPRODUCT(('ANALYSE - ERP =&gt; SOUS-SEGMENT'!$B$8:$B$154=$B17)*'ANALYSE - ERP =&gt; SOUS-SEGMENT'!$DS$8:$DS$154),"")</f>
        <v>10.616888626554028</v>
      </c>
      <c r="CT17" s="878">
        <f>IFERROR(SUMPRODUCT(('ANALYSE - ERP =&gt; SOUS-SEGMENT'!$B$8:$B$154=$B17)*'ANALYSE - ERP =&gt; SOUS-SEGMENT'!$DT$8:$DT$154*'ANALYSE - ERP =&gt; SOUS-SEGMENT'!$CW$8:$CW$154)/SUMPRODUCT(('ANALYSE - ERP =&gt; SOUS-SEGMENT'!$B$8:$B$154=$B17)*'ANALYSE - ERP =&gt; SOUS-SEGMENT'!$DT$8:$DT$154),"")</f>
        <v>10.256131581654575</v>
      </c>
      <c r="CU17" s="879">
        <f>IFERROR(SUMPRODUCT(('ANALYSE - ERP =&gt; SOUS-SEGMENT'!$B$8:$B$154=$B17)*'ANALYSE - ERP =&gt; SOUS-SEGMENT'!$DU$8:$DU$154*'ANALYSE - ERP =&gt; SOUS-SEGMENT'!$CX$8:$CX$154)/SUMPRODUCT(('ANALYSE - ERP =&gt; SOUS-SEGMENT'!$B$8:$B$154=$B17)*'ANALYSE - ERP =&gt; SOUS-SEGMENT'!$DU$8:$DU$154),"")</f>
        <v>8</v>
      </c>
      <c r="CV17" s="877">
        <f>IFERROR(SUMPRODUCT(('ANALYSE - ERP =&gt; SOUS-SEGMENT'!$B$8:$B$154=$B17)*'ANALYSE - ERP =&gt; SOUS-SEGMENT'!$EB$8:$EB$154*'ANALYSE - ERP =&gt; SOUS-SEGMENT'!$CY$8:$CY$154)/SUMPRODUCT(('ANALYSE - ERP =&gt; SOUS-SEGMENT'!$B$8:$B$154=$B17)*'ANALYSE - ERP =&gt; SOUS-SEGMENT'!$EB$8:$EB$154),"")</f>
        <v>10.096497939238381</v>
      </c>
      <c r="CW17" s="878">
        <f>IFERROR(SUMPRODUCT(('ANALYSE - ERP =&gt; SOUS-SEGMENT'!$B$8:$B$154=$B17)*'ANALYSE - ERP =&gt; SOUS-SEGMENT'!$EC$8:$EC$154*'ANALYSE - ERP =&gt; SOUS-SEGMENT'!$CZ$8:$CZ$154)/SUMPRODUCT(('ANALYSE - ERP =&gt; SOUS-SEGMENT'!$B$8:$B$154=$B17)*'ANALYSE - ERP =&gt; SOUS-SEGMENT'!$EC$8:$EC$154),"")</f>
        <v>12.034781039411676</v>
      </c>
      <c r="CX17" s="878">
        <f>IFERROR(SUMPRODUCT(('ANALYSE - ERP =&gt; SOUS-SEGMENT'!$B$8:$B$154=$B17)*'ANALYSE - ERP =&gt; SOUS-SEGMENT'!$ED$8:$ED$154*'ANALYSE - ERP =&gt; SOUS-SEGMENT'!$DA$8:$DA$154)/SUMPRODUCT(('ANALYSE - ERP =&gt; SOUS-SEGMENT'!$B$8:$B$154=$B17)*'ANALYSE - ERP =&gt; SOUS-SEGMENT'!$ED$8:$ED$154),"")</f>
        <v>8.3747637180505698</v>
      </c>
      <c r="CY17" s="880">
        <f>IFERROR(SUMPRODUCT(('ANALYSE - ERP =&gt; SOUS-SEGMENT'!$B$8:$B$154=$B17)*'ANALYSE - ERP =&gt; SOUS-SEGMENT'!$EE$8:$EE$154*'ANALYSE - ERP =&gt; SOUS-SEGMENT'!$DB$8:$DB$154)/SUMPRODUCT(('ANALYSE - ERP =&gt; SOUS-SEGMENT'!$B$8:$B$154=$B17)*'ANALYSE - ERP =&gt; SOUS-SEGMENT'!$EE$8:$EE$154),"")</f>
        <v>10.261629157881149</v>
      </c>
      <c r="CZ17" s="881">
        <f>IFERROR(SUMPRODUCT(('ANALYSE - ERP =&gt; SOUS-SEGMENT'!$B$8:$B$154=$B17)*'ANALYSE - ERP =&gt; SOUS-SEGMENT'!$EM$8:$EM$154*'ANALYSE - ERP =&gt; SOUS-SEGMENT'!$DC$8:$DC$154)/SUMPRODUCT(('ANALYSE - ERP =&gt; SOUS-SEGMENT'!$B$8:$B$154=$B17)*'ANALYSE - ERP =&gt; SOUS-SEGMENT'!$EM$8:$EM$154),"")</f>
        <v>10.265057475102472</v>
      </c>
      <c r="DA17" s="878">
        <f>IFERROR(SUMPRODUCT(('ANALYSE - ERP =&gt; SOUS-SEGMENT'!$B$8:$B$154=$B17)*'ANALYSE - ERP =&gt; SOUS-SEGMENT'!$EN$8:$EN$154*'ANALYSE - ERP =&gt; SOUS-SEGMENT'!$DD$8:$DD$154)/SUMPRODUCT(('ANALYSE - ERP =&gt; SOUS-SEGMENT'!$B$8:$B$154=$B17)*'ANALYSE - ERP =&gt; SOUS-SEGMENT'!$EN$8:$EN$154),"")</f>
        <v>11.362412560909586</v>
      </c>
      <c r="DB17" s="880">
        <f>IFERROR(SUMPRODUCT(('ANALYSE - ERP =&gt; SOUS-SEGMENT'!$B$8:$B$154=$B17)*'ANALYSE - ERP =&gt; SOUS-SEGMENT'!$EO$8:$EO$154*'ANALYSE - ERP =&gt; SOUS-SEGMENT'!$DE$8:$DE$154)/SUMPRODUCT(('ANALYSE - ERP =&gt; SOUS-SEGMENT'!$B$8:$B$154=$B17)*'ANALYSE - ERP =&gt; SOUS-SEGMENT'!$EO$8:$EO$154),"")</f>
        <v>9.3596365599981208</v>
      </c>
      <c r="DC17" s="316" t="s">
        <v>7559</v>
      </c>
      <c r="DD17" s="657"/>
      <c r="DE17" s="288">
        <f t="shared" si="2"/>
        <v>3672.9199999999996</v>
      </c>
      <c r="DF17" s="288">
        <f t="shared" si="3"/>
        <v>37502.78</v>
      </c>
      <c r="DG17" s="288">
        <f t="shared" si="4"/>
        <v>2081.4300000000003</v>
      </c>
      <c r="DH17" s="288">
        <f t="shared" si="5"/>
        <v>11590.869999999999</v>
      </c>
      <c r="DI17" s="317" t="s">
        <v>7559</v>
      </c>
      <c r="DJ17" s="288">
        <f t="shared" si="6"/>
        <v>3448.5600000000004</v>
      </c>
      <c r="DK17" s="288">
        <f t="shared" si="7"/>
        <v>37938.26</v>
      </c>
      <c r="DL17" s="288">
        <f t="shared" si="8"/>
        <v>2902.17</v>
      </c>
      <c r="DM17" s="288">
        <f t="shared" si="9"/>
        <v>11750.01</v>
      </c>
      <c r="DN17" s="318" t="s">
        <v>7559</v>
      </c>
      <c r="DO17" s="657"/>
      <c r="DP17" s="288">
        <f t="shared" si="10"/>
        <v>4066.05</v>
      </c>
      <c r="DQ17" s="288">
        <f t="shared" si="11"/>
        <v>8262.5499999999993</v>
      </c>
      <c r="DR17" s="288">
        <f t="shared" si="12"/>
        <v>221.40000000000003</v>
      </c>
      <c r="DS17" s="318" t="s">
        <v>7559</v>
      </c>
      <c r="DT17" s="288">
        <f t="shared" si="13"/>
        <v>3854.88</v>
      </c>
      <c r="DU17" s="288">
        <f t="shared" si="14"/>
        <v>8884.86</v>
      </c>
      <c r="DV17" s="288">
        <f t="shared" si="15"/>
        <v>325.26000000000005</v>
      </c>
      <c r="DW17" s="318" t="s">
        <v>7559</v>
      </c>
      <c r="DX17" s="657"/>
      <c r="DY17" s="288">
        <f t="shared" si="16"/>
        <v>400.69</v>
      </c>
      <c r="DZ17" s="288">
        <f t="shared" si="17"/>
        <v>2413.36</v>
      </c>
      <c r="EA17" s="288">
        <f t="shared" si="18"/>
        <v>358.28000000000003</v>
      </c>
      <c r="EB17" s="288">
        <f t="shared" si="19"/>
        <v>688.17</v>
      </c>
      <c r="EC17" s="318" t="s">
        <v>7559</v>
      </c>
      <c r="ED17" s="288">
        <f t="shared" si="20"/>
        <v>352.08000000000004</v>
      </c>
      <c r="EE17" s="288">
        <f t="shared" si="21"/>
        <v>2443.5550000000003</v>
      </c>
      <c r="EF17" s="288">
        <f t="shared" si="22"/>
        <v>443.54000000000008</v>
      </c>
      <c r="EG17" s="288">
        <f t="shared" si="23"/>
        <v>687.32500000000016</v>
      </c>
      <c r="EH17" s="318" t="s">
        <v>7559</v>
      </c>
      <c r="EI17" s="290"/>
      <c r="EJ17" s="288">
        <f t="shared" si="24"/>
        <v>23836.699999999997</v>
      </c>
      <c r="EK17" s="291">
        <f t="shared" si="25"/>
        <v>22992.999999999996</v>
      </c>
      <c r="EL17" s="291">
        <f t="shared" si="26"/>
        <v>4205.3</v>
      </c>
      <c r="EM17" s="318" t="s">
        <v>7559</v>
      </c>
      <c r="EN17" s="288">
        <f t="shared" si="27"/>
        <v>21484.38</v>
      </c>
      <c r="EO17" s="291">
        <f t="shared" si="28"/>
        <v>25524.149999999998</v>
      </c>
      <c r="EP17" s="291">
        <f t="shared" si="29"/>
        <v>5117.4699999999993</v>
      </c>
      <c r="EQ17" s="318" t="s">
        <v>7559</v>
      </c>
      <c r="ER17" s="657"/>
      <c r="ES17" s="731">
        <f t="shared" si="30"/>
        <v>0.73349973780166378</v>
      </c>
      <c r="ET17" s="731">
        <f t="shared" si="31"/>
        <v>0.26650026219833622</v>
      </c>
      <c r="EU17" s="292">
        <f t="shared" si="32"/>
        <v>63402.867414160057</v>
      </c>
      <c r="EV17" s="292">
        <f t="shared" si="33"/>
        <v>46505.986624160054</v>
      </c>
      <c r="EW17" s="292">
        <f t="shared" si="34"/>
        <v>16896.880790000003</v>
      </c>
      <c r="EX17" s="292">
        <f t="shared" si="35"/>
        <v>28291.040266137563</v>
      </c>
      <c r="EY17" s="292">
        <f>SUMPRODUCT(('ANALYSE - ERP =&gt; SOUS-SEGMENT'!$B$8:$B$154=$B17)*'ANALYSE - ERP =&gt; SOUS-SEGMENT'!$Q$8:$Q$154*'ANALYSE - ERP =&gt; SOUS-SEGMENT'!$FB$8:$FB$154)</f>
        <v>20740.272366137564</v>
      </c>
      <c r="EZ17" s="292">
        <f>SUMPRODUCT(('ANALYSE - ERP =&gt; SOUS-SEGMENT'!$B$8:$B$154=$B17)*'ANALYSE - ERP =&gt; SOUS-SEGMENT'!$Q$8:$Q$154*'ANALYSE - ERP =&gt; SOUS-SEGMENT'!$FC$8:$FC$154)</f>
        <v>7550.7679000000007</v>
      </c>
      <c r="FA17" s="292">
        <f t="shared" si="36"/>
        <v>6780.1774508636372</v>
      </c>
      <c r="FB17" s="292">
        <f>SUMPRODUCT(('ANALYSE - ERP =&gt; SOUS-SEGMENT'!$B$8:$B$154=$B17)*'ANALYSE - ERP =&gt; SOUS-SEGMENT'!$Q$8:$Q$154*'ANALYSE - ERP =&gt; SOUS-SEGMENT'!$FE$8:$FE$154)</f>
        <v>4849.1854608636368</v>
      </c>
      <c r="FC17" s="292">
        <f>SUMPRODUCT(('ANALYSE - ERP =&gt; SOUS-SEGMENT'!$B$8:$B$154=$B17)*'ANALYSE - ERP =&gt; SOUS-SEGMENT'!$Q$8:$Q$154*'ANALYSE - ERP =&gt; SOUS-SEGMENT'!$FF$8:$FF$154)</f>
        <v>1930.99199</v>
      </c>
      <c r="FD17" s="292">
        <f t="shared" si="37"/>
        <v>1855.802253991521</v>
      </c>
      <c r="FE17" s="292">
        <f>SUMPRODUCT(('ANALYSE - ERP =&gt; SOUS-SEGMENT'!$B$8:$B$154=$B17)*'ANALYSE - ERP =&gt; SOUS-SEGMENT'!$Q$8:$Q$154*'ANALYSE - ERP =&gt; SOUS-SEGMENT'!$FH$8:$FH$154)</f>
        <v>1455.696523991521</v>
      </c>
      <c r="FF17" s="292">
        <f>SUMPRODUCT(('ANALYSE - ERP =&gt; SOUS-SEGMENT'!$B$8:$B$154=$B17)*'ANALYSE - ERP =&gt; SOUS-SEGMENT'!$Q$8:$Q$154*'ANALYSE - ERP =&gt; SOUS-SEGMENT'!$FI$8:$FI$154)</f>
        <v>400.10573000000005</v>
      </c>
      <c r="FG17" s="292">
        <f t="shared" si="38"/>
        <v>26475.847443167331</v>
      </c>
      <c r="FH17" s="292">
        <f>SUMPRODUCT(('ANALYSE - ERP =&gt; SOUS-SEGMENT'!$B$8:$B$154=$B17)*'ANALYSE - ERP =&gt; SOUS-SEGMENT'!$Q$8:$Q$154*'ANALYSE - ERP =&gt; SOUS-SEGMENT'!$FK$8:$FK$154)</f>
        <v>19460.832273167329</v>
      </c>
      <c r="FI17" s="292">
        <f>SUMPRODUCT(('ANALYSE - ERP =&gt; SOUS-SEGMENT'!$B$8:$B$154=$B17)*'ANALYSE - ERP =&gt; SOUS-SEGMENT'!$Q$8:$Q$154*'ANALYSE - ERP =&gt; SOUS-SEGMENT'!$FL$8:$FL$154)</f>
        <v>7015.0151700000006</v>
      </c>
      <c r="FJ17" s="657"/>
      <c r="FK17" s="319" t="s">
        <v>2649</v>
      </c>
      <c r="FL17" s="731">
        <f>IFERROR(SUMPRODUCT(('ANALYSE - ERP =&gt; SOUS-SEGMENT'!$B$8:$B$154=$B17)*'ANALYSE - ERP =&gt; SOUS-SEGMENT'!$Q$8:$Q$154*'ANALYSE - ERP =&gt; SOUS-SEGMENT'!$AF$8:$AF$154*'ANALYSE - ERP =&gt; SOUS-SEGMENT'!$FO$8:$FO$154)/SUMPRODUCT(('ANALYSE - ERP =&gt; SOUS-SEGMENT'!$B$8:$B$154=$B17)*'ANALYSE - ERP =&gt; SOUS-SEGMENT'!$Q$8:$Q$154*'ANALYSE - ERP =&gt; SOUS-SEGMENT'!$AF$8:$AF$154),"")</f>
        <v>7.1171730290456439E-2</v>
      </c>
      <c r="FM17" s="732">
        <f>IFERROR(SUMPRODUCT(('ANALYSE - ERP =&gt; SOUS-SEGMENT'!$B$8:$B$154=$B17)*'ANALYSE - ERP =&gt; SOUS-SEGMENT'!$Q$8:$Q$154*'ANALYSE - ERP =&gt; SOUS-SEGMENT'!$AF$8:$AF$154*'ANALYSE - ERP =&gt; SOUS-SEGMENT'!$FP$8:$FP$154)/SUMPRODUCT(('ANALYSE - ERP =&gt; SOUS-SEGMENT'!$B$8:$B$154=$B17)*'ANALYSE - ERP =&gt; SOUS-SEGMENT'!$Q$8:$Q$154*'ANALYSE - ERP =&gt; SOUS-SEGMENT'!$AF$8:$AF$154),"")</f>
        <v>0.84726512863070547</v>
      </c>
      <c r="FN17" s="320" t="s">
        <v>6780</v>
      </c>
      <c r="FO17" s="657"/>
      <c r="FP17" s="887">
        <f>IFERROR(SUMPRODUCT(('ANALYSE - ERP =&gt; SOUS-SEGMENT'!$B$8:$B$154=$B17)*'ANALYSE - ERP =&gt; SOUS-SEGMENT'!$Q$8:$Q$154*'ANALYSE - ERP =&gt; SOUS-SEGMENT'!$EX$8:$EX$154*'ANALYSE - ERP =&gt; SOUS-SEGMENT'!$FS$8:$FS$154)/SUMPRODUCT(('ANALYSE - ERP =&gt; SOUS-SEGMENT'!$B$8:$B$154=$B17)*'ANALYSE - ERP =&gt; SOUS-SEGMENT'!$Q$8:$Q$154*'ANALYSE - ERP =&gt; SOUS-SEGMENT'!$EX$8:$EX$154),"")</f>
        <v>3.6670122258210176</v>
      </c>
      <c r="FQ17" s="295">
        <f>RANK($FP17,$FP$8:$FP$143,0)+COUNTIF($FP$8:$FP17,$FP17)-1</f>
        <v>2</v>
      </c>
      <c r="FR17" s="887">
        <f>IFERROR(SUMPRODUCT(('ANALYSE - ERP =&gt; SOUS-SEGMENT'!$B$8:$B$154=$B17)*'ANALYSE - ERP =&gt; SOUS-SEGMENT'!$Q$8:$Q$154*'ANALYSE - ERP =&gt; SOUS-SEGMENT'!$EY$8:$EY$154*'ANALYSE - ERP =&gt; SOUS-SEGMENT'!$FU$8:$FU$154)/SUMPRODUCT(('ANALYSE - ERP =&gt; SOUS-SEGMENT'!$B$8:$B$154=$B17)*'ANALYSE - ERP =&gt; SOUS-SEGMENT'!$Q$8:$Q$154*'ANALYSE - ERP =&gt; SOUS-SEGMENT'!$EY$8:$EY$154),"")</f>
        <v>4.2240063974814008</v>
      </c>
      <c r="FS17" s="295" t="e">
        <f>RANK($FR17,$FR$8:$FR$143,0)+COUNTIF($FR$8:$FR17,$FR17)-1</f>
        <v>#VALUE!</v>
      </c>
      <c r="FT17" s="887">
        <f>IFERROR(SUMPRODUCT(('ANALYSE - ERP =&gt; SOUS-SEGMENT'!$B$8:$B$154=$B17)*'ANALYSE - ERP =&gt; SOUS-SEGMENT'!$Q$8:$Q$154*'ANALYSE - ERP =&gt; SOUS-SEGMENT'!$EZ$8:$EZ$154*'ANALYSE - ERP =&gt; SOUS-SEGMENT'!$FW$8:$FW$154)/SUMPRODUCT(('ANALYSE - ERP =&gt; SOUS-SEGMENT'!$B$8:$B$154=$B17)*'ANALYSE - ERP =&gt; SOUS-SEGMENT'!$Q$8:$Q$154*'ANALYSE - ERP =&gt; SOUS-SEGMENT'!$EZ$8:$EZ$154),"")-0.1</f>
        <v>3.0536104615614077</v>
      </c>
      <c r="FU17" s="295" t="e">
        <f>RANK($FT17,$FT$8:$FT$143,0)+COUNTIF($FT$8:$FT17,$FT17)-1</f>
        <v>#VALUE!</v>
      </c>
      <c r="FV17" s="657"/>
      <c r="FW17" s="321" t="s">
        <v>7559</v>
      </c>
      <c r="FX17" s="321" t="s">
        <v>7559</v>
      </c>
      <c r="FY17" s="321" t="s">
        <v>7559</v>
      </c>
      <c r="FZ17" s="321" t="s">
        <v>7559</v>
      </c>
      <c r="GA17" s="321" t="s">
        <v>7559</v>
      </c>
      <c r="GB17" s="321" t="s">
        <v>7559</v>
      </c>
      <c r="GC17" s="321" t="str">
        <f t="shared" si="39"/>
        <v>https://solidarites.gouv.fr/le-service-public-de-la-petite-enfance-garantir-un-accueil-de-qualite-tous-les-enfants-et-leurs-familles
https://solidarites.gouv.fr/outils-et-ressources-destination-des-autorites-organisatrices-de-laccueil-du-jeune-enfant
https://solidarites.gouv.fr/stephanie-rist-annonce-une-revalorisation-du-financement-des-creches-par-les-caf-de-2-en-2025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D17" s="657"/>
      <c r="GE17" s="292">
        <f>SUMPRODUCT(('ANALYSE - ERP =&gt; SOUS-SEGMENT'!$B$8:$B$154=$B17)*'ANALYSE - ERP =&gt; SOUS-SEGMENT'!$Q$8:$Q$154*'ANALYSE - ERP =&gt; SOUS-SEGMENT'!$GH$8:$GH$154)</f>
        <v>1695.2518530335665</v>
      </c>
      <c r="GF17" s="292">
        <f>SUMPRODUCT(('ANALYSE - ERP =&gt; SOUS-SEGMENT'!$B$8:$B$154=$B17)*'ANALYSE - ERP =&gt; SOUS-SEGMENT'!$Q$8:$Q$154*'ANALYSE - ERP =&gt; SOUS-SEGMENT'!$GI$8:$GI$154)</f>
        <v>1325.2683274335664</v>
      </c>
      <c r="GG17" s="292">
        <f>SUMPRODUCT(('ANALYSE - ERP =&gt; SOUS-SEGMENT'!$B$8:$B$154=$B17)*'ANALYSE - ERP =&gt; SOUS-SEGMENT'!$Q$8:$Q$154*'ANALYSE - ERP =&gt; SOUS-SEGMENT'!$GJ$8:$GJ$154)</f>
        <v>369.98352560000001</v>
      </c>
      <c r="GH17" s="292">
        <f>SUMPRODUCT(('ANALYSE - ERP =&gt; SOUS-SEGMENT'!$B$8:$B$154=$B17)*'ANALYSE - ERP =&gt; SOUS-SEGMENT'!$Q$8:$Q$154*'ANALYSE - ERP =&gt; SOUS-SEGMENT'!$GK$8:$GK$154)</f>
        <v>18536.026381961772</v>
      </c>
      <c r="GI17" s="292">
        <f>SUMPRODUCT(('ANALYSE - ERP =&gt; SOUS-SEGMENT'!$B$8:$B$154=$B17)*'ANALYSE - ERP =&gt; SOUS-SEGMENT'!$Q$8:$Q$154*'ANALYSE - ERP =&gt; SOUS-SEGMENT'!$GL$8:$GL$154)</f>
        <v>13404.35943196177</v>
      </c>
      <c r="GJ17" s="292">
        <f>SUMPRODUCT(('ANALYSE - ERP =&gt; SOUS-SEGMENT'!$B$8:$B$154=$B17)*'ANALYSE - ERP =&gt; SOUS-SEGMENT'!$Q$8:$Q$154*'ANALYSE - ERP =&gt; SOUS-SEGMENT'!$GM$8:$GM$154)</f>
        <v>5131.6669499999998</v>
      </c>
      <c r="GK17" s="292">
        <f>SUMPRODUCT(('ANALYSE - ERP =&gt; SOUS-SEGMENT'!$B$8:$B$154=$B17)*'ANALYSE - ERP =&gt; SOUS-SEGMENT'!$Q$8:$Q$154*'ANALYSE - ERP =&gt; SOUS-SEGMENT'!$GN$8:$GN$154)</f>
        <v>1224.0862838555558</v>
      </c>
      <c r="GL17" s="292">
        <f>SUMPRODUCT(('ANALYSE - ERP =&gt; SOUS-SEGMENT'!$B$8:$B$154=$B17)*'ANALYSE - ERP =&gt; SOUS-SEGMENT'!$Q$8:$Q$154*'ANALYSE - ERP =&gt; SOUS-SEGMENT'!$GO$8:$GO$154)</f>
        <v>935.20797005555551</v>
      </c>
      <c r="GM17" s="292">
        <f>SUMPRODUCT(('ANALYSE - ERP =&gt; SOUS-SEGMENT'!$B$8:$B$154=$B17)*'ANALYSE - ERP =&gt; SOUS-SEGMENT'!$Q$8:$Q$154*'ANALYSE - ERP =&gt; SOUS-SEGMENT'!$GP$8:$GP$154)</f>
        <v>288.87831380000006</v>
      </c>
      <c r="GN17" s="292">
        <f>SUMPRODUCT(('ANALYSE - ERP =&gt; SOUS-SEGMENT'!$B$8:$B$154=$B17)*'ANALYSE - ERP =&gt; SOUS-SEGMENT'!$Q$8:$Q$154*'ANALYSE - ERP =&gt; SOUS-SEGMENT'!$GQ$8:$GQ$154)</f>
        <v>6835.6757472866684</v>
      </c>
      <c r="GO17" s="292">
        <f>SUMPRODUCT(('ANALYSE - ERP =&gt; SOUS-SEGMENT'!$B$8:$B$154=$B17)*'ANALYSE - ERP =&gt; SOUS-SEGMENT'!$Q$8:$Q$154*'ANALYSE - ERP =&gt; SOUS-SEGMENT'!$GR$8:$GR$154)</f>
        <v>5075.436636686668</v>
      </c>
      <c r="GP17" s="292">
        <f>SUMPRODUCT(('ANALYSE - ERP =&gt; SOUS-SEGMENT'!$B$8:$B$154=$B17)*'ANALYSE - ERP =&gt; SOUS-SEGMENT'!$Q$8:$Q$154*'ANALYSE - ERP =&gt; SOUS-SEGMENT'!$GS$8:$GS$154)</f>
        <v>1760.2391106000007</v>
      </c>
      <c r="GQ17" s="292">
        <f>SUMPRODUCT(('ANALYSE - ERP =&gt; SOUS-SEGMENT'!$B$8:$B$154=$B17)*'ANALYSE - ERP =&gt; SOUS-SEGMENT'!$Q$8:$Q$154*'ANALYSE - ERP =&gt; SOUS-SEGMENT'!$GT$8:$GT$154)</f>
        <v>2072.4421492363635</v>
      </c>
      <c r="GR17" s="292">
        <f>SUMPRODUCT(('ANALYSE - ERP =&gt; SOUS-SEGMENT'!$B$8:$B$154=$B17)*'ANALYSE - ERP =&gt; SOUS-SEGMENT'!$Q$8:$Q$154*'ANALYSE - ERP =&gt; SOUS-SEGMENT'!$GU$8:$GU$154)</f>
        <v>1524.4242466363635</v>
      </c>
      <c r="GS17" s="292">
        <f>SUMPRODUCT(('ANALYSE - ERP =&gt; SOUS-SEGMENT'!$B$8:$B$154=$B17)*'ANALYSE - ERP =&gt; SOUS-SEGMENT'!$Q$8:$Q$154*'ANALYSE - ERP =&gt; SOUS-SEGMENT'!$GV$8:$GV$154)</f>
        <v>548.01790260000007</v>
      </c>
      <c r="GT17" s="292">
        <f>SUMPRODUCT(('ANALYSE - ERP =&gt; SOUS-SEGMENT'!$B$8:$B$154=$B17)*'ANALYSE - ERP =&gt; SOUS-SEGMENT'!$Q$8:$Q$154*'ANALYSE - ERP =&gt; SOUS-SEGMENT'!$GW$8:$GW$154)</f>
        <v>4552.6975903272723</v>
      </c>
      <c r="GU17" s="292">
        <f>SUMPRODUCT(('ANALYSE - ERP =&gt; SOUS-SEGMENT'!$B$8:$B$154=$B17)*'ANALYSE - ERP =&gt; SOUS-SEGMENT'!$Q$8:$Q$154*'ANALYSE - ERP =&gt; SOUS-SEGMENT'!$GX$8:$GX$154)</f>
        <v>3212.7509717272728</v>
      </c>
      <c r="GV17" s="292">
        <f>SUMPRODUCT(('ANALYSE - ERP =&gt; SOUS-SEGMENT'!$B$8:$B$154=$B17)*'ANALYSE - ERP =&gt; SOUS-SEGMENT'!$Q$8:$Q$154*'ANALYSE - ERP =&gt; SOUS-SEGMENT'!$GY$8:$GY$154)</f>
        <v>1339.9466186</v>
      </c>
      <c r="GW17" s="292">
        <f>SUMPRODUCT(('ANALYSE - ERP =&gt; SOUS-SEGMENT'!$B$8:$B$154=$B17)*'ANALYSE - ERP =&gt; SOUS-SEGMENT'!$Q$8:$Q$154*'ANALYSE - ERP =&gt; SOUS-SEGMENT'!$GZ$8:$GZ$154)</f>
        <v>155.03771129999998</v>
      </c>
      <c r="GX17" s="292">
        <f>SUMPRODUCT(('ANALYSE - ERP =&gt; SOUS-SEGMENT'!$B$8:$B$154=$B17)*'ANALYSE - ERP =&gt; SOUS-SEGMENT'!$Q$8:$Q$154*'ANALYSE - ERP =&gt; SOUS-SEGMENT'!$HA$8:$HA$154)</f>
        <v>112.01024249999999</v>
      </c>
      <c r="GY17" s="292">
        <f>SUMPRODUCT(('ANALYSE - ERP =&gt; SOUS-SEGMENT'!$B$8:$B$154=$B17)*'ANALYSE - ERP =&gt; SOUS-SEGMENT'!$Q$8:$Q$154*'ANALYSE - ERP =&gt; SOUS-SEGMENT'!$HB$8:$HB$154)</f>
        <v>43.027468800000008</v>
      </c>
      <c r="GZ17" s="292">
        <f>SUMPRODUCT(('ANALYSE - ERP =&gt; SOUS-SEGMENT'!$B$8:$B$154=$B17)*'ANALYSE - ERP =&gt; SOUS-SEGMENT'!$Q$8:$Q$154*'ANALYSE - ERP =&gt; SOUS-SEGMENT'!$HC$8:$HC$154)</f>
        <v>201.48554819454546</v>
      </c>
      <c r="HA17" s="292">
        <f>SUMPRODUCT(('ANALYSE - ERP =&gt; SOUS-SEGMENT'!$B$8:$B$154=$B17)*'ANALYSE - ERP =&gt; SOUS-SEGMENT'!$Q$8:$Q$154*'ANALYSE - ERP =&gt; SOUS-SEGMENT'!$HD$8:$HD$154)</f>
        <v>164.34082399454547</v>
      </c>
      <c r="HB17" s="292">
        <f>SUMPRODUCT(('ANALYSE - ERP =&gt; SOUS-SEGMENT'!$B$8:$B$154=$B17)*'ANALYSE - ERP =&gt; SOUS-SEGMENT'!$Q$8:$Q$154*'ANALYSE - ERP =&gt; SOUS-SEGMENT'!$HE$8:$HE$154)</f>
        <v>37.144724199999999</v>
      </c>
      <c r="HC17" s="292">
        <f>SUMPRODUCT(('ANALYSE - ERP =&gt; SOUS-SEGMENT'!$B$8:$B$154=$B17)*'ANALYSE - ERP =&gt; SOUS-SEGMENT'!$Q$8:$Q$154*'ANALYSE - ERP =&gt; SOUS-SEGMENT'!$HF$8:$HF$154)</f>
        <v>1088.9959252653846</v>
      </c>
      <c r="HD17" s="292">
        <f>SUMPRODUCT(('ANALYSE - ERP =&gt; SOUS-SEGMENT'!$B$8:$B$154=$B17)*'ANALYSE - ERP =&gt; SOUS-SEGMENT'!$Q$8:$Q$154*'ANALYSE - ERP =&gt; SOUS-SEGMENT'!$HG$8:$HG$154)</f>
        <v>835.32039216538465</v>
      </c>
      <c r="HE17" s="292">
        <f>SUMPRODUCT(('ANALYSE - ERP =&gt; SOUS-SEGMENT'!$B$8:$B$154=$B17)*'ANALYSE - ERP =&gt; SOUS-SEGMENT'!$Q$8:$Q$154*'ANALYSE - ERP =&gt; SOUS-SEGMENT'!$HH$8:$HH$154)</f>
        <v>253.67553310000008</v>
      </c>
      <c r="HF17" s="292">
        <f>SUMPRODUCT(('ANALYSE - ERP =&gt; SOUS-SEGMENT'!$B$8:$B$154=$B17)*'ANALYSE - ERP =&gt; SOUS-SEGMENT'!$Q$8:$Q$154*'ANALYSE - ERP =&gt; SOUS-SEGMENT'!$HI$8:$HI$154)</f>
        <v>218.90075031250001</v>
      </c>
      <c r="HG17" s="292">
        <f>SUMPRODUCT(('ANALYSE - ERP =&gt; SOUS-SEGMENT'!$B$8:$B$154=$B17)*'ANALYSE - ERP =&gt; SOUS-SEGMENT'!$Q$8:$Q$154*'ANALYSE - ERP =&gt; SOUS-SEGMENT'!$HJ$8:$HJ$154)</f>
        <v>178.64516991249999</v>
      </c>
      <c r="HH17" s="292">
        <f>SUMPRODUCT(('ANALYSE - ERP =&gt; SOUS-SEGMENT'!$B$8:$B$154=$B17)*'ANALYSE - ERP =&gt; SOUS-SEGMENT'!$Q$8:$Q$154*'ANALYSE - ERP =&gt; SOUS-SEGMENT'!$HK$8:$HK$154)</f>
        <v>40.255580399999999</v>
      </c>
      <c r="HI17" s="292">
        <f>SUMPRODUCT(('ANALYSE - ERP =&gt; SOUS-SEGMENT'!$B$8:$B$154=$B17)*'ANALYSE - ERP =&gt; SOUS-SEGMENT'!$Q$8:$Q$154*'ANALYSE - ERP =&gt; SOUS-SEGMENT'!$HL$8:$HL$154)</f>
        <v>346.4200302190909</v>
      </c>
      <c r="HJ17" s="292">
        <f>SUMPRODUCT(('ANALYSE - ERP =&gt; SOUS-SEGMENT'!$B$8:$B$154=$B17)*'ANALYSE - ERP =&gt; SOUS-SEGMENT'!$Q$8:$Q$154*'ANALYSE - ERP =&gt; SOUS-SEGMENT'!$HM$8:$HM$154)</f>
        <v>277.39013791909088</v>
      </c>
      <c r="HK17" s="292">
        <f>SUMPRODUCT(('ANALYSE - ERP =&gt; SOUS-SEGMENT'!$B$8:$B$154=$B17)*'ANALYSE - ERP =&gt; SOUS-SEGMENT'!$Q$8:$Q$154*'ANALYSE - ERP =&gt; SOUS-SEGMENT'!$HN$8:$HN$154)</f>
        <v>69.0298923</v>
      </c>
      <c r="HL17" s="292">
        <f>SUMPRODUCT(('ANALYSE - ERP =&gt; SOUS-SEGMENT'!$B$8:$B$154=$B17)*'ANALYSE - ERP =&gt; SOUS-SEGMENT'!$Q$8:$Q$154*'ANALYSE - ERP =&gt; SOUS-SEGMENT'!$HO$8:$HO$154)</f>
        <v>12391.150520783334</v>
      </c>
      <c r="HM17" s="292">
        <f>SUMPRODUCT(('ANALYSE - ERP =&gt; SOUS-SEGMENT'!$B$8:$B$154=$B17)*'ANALYSE - ERP =&gt; SOUS-SEGMENT'!$Q$8:$Q$154*'ANALYSE - ERP =&gt; SOUS-SEGMENT'!$HP$8:$HP$154)</f>
        <v>9482.7703078833347</v>
      </c>
      <c r="HN17" s="292">
        <f>SUMPRODUCT(('ANALYSE - ERP =&gt; SOUS-SEGMENT'!$B$8:$B$154=$B17)*'ANALYSE - ERP =&gt; SOUS-SEGMENT'!$Q$8:$Q$154*'ANALYSE - ERP =&gt; SOUS-SEGMENT'!$HQ$8:$HQ$154)</f>
        <v>2908.3802129000005</v>
      </c>
      <c r="HO17" s="292">
        <f>SUMPRODUCT(('ANALYSE - ERP =&gt; SOUS-SEGMENT'!$B$8:$B$154=$B17)*'ANALYSE - ERP =&gt; SOUS-SEGMENT'!$Q$8:$Q$154*'ANALYSE - ERP =&gt; SOUS-SEGMENT'!$HR$8:$HR$154)</f>
        <v>11684.463109928438</v>
      </c>
      <c r="HP17" s="292">
        <f>SUMPRODUCT(('ANALYSE - ERP =&gt; SOUS-SEGMENT'!$B$8:$B$154=$B17)*'ANALYSE - ERP =&gt; SOUS-SEGMENT'!$Q$8:$Q$154*'ANALYSE - ERP =&gt; SOUS-SEGMENT'!$HS$8:$HS$154)</f>
        <v>8132.4658552284372</v>
      </c>
      <c r="HQ17" s="292">
        <f>SUMPRODUCT(('ANALYSE - ERP =&gt; SOUS-SEGMENT'!$B$8:$B$154=$B17)*'ANALYSE - ERP =&gt; SOUS-SEGMENT'!$Q$8:$Q$154*'ANALYSE - ERP =&gt; SOUS-SEGMENT'!$HT$8:$HT$154)</f>
        <v>3551.9972546999998</v>
      </c>
      <c r="HR17" s="292">
        <f>SUMPRODUCT(('ANALYSE - ERP =&gt; SOUS-SEGMENT'!$B$8:$B$154=$B17)*'ANALYSE - ERP =&gt; SOUS-SEGMENT'!$Q$8:$Q$154*'ANALYSE - ERP =&gt; SOUS-SEGMENT'!$HU$8:$HU$154)</f>
        <v>2400.2338124555554</v>
      </c>
      <c r="HS17" s="292">
        <f>SUMPRODUCT(('ANALYSE - ERP =&gt; SOUS-SEGMENT'!$B$8:$B$154=$B17)*'ANALYSE - ERP =&gt; SOUS-SEGMENT'!$Q$8:$Q$154*'ANALYSE - ERP =&gt; SOUS-SEGMENT'!$HV$8:$HV$154)</f>
        <v>1845.5961100555558</v>
      </c>
      <c r="HT17" s="292">
        <f>SUMPRODUCT(('ANALYSE - ERP =&gt; SOUS-SEGMENT'!$B$8:$B$154=$B17)*'ANALYSE - ERP =&gt; SOUS-SEGMENT'!$Q$8:$Q$154*'ANALYSE - ERP =&gt; SOUS-SEGMENT'!$HW$8:$HW$154)</f>
        <v>554.63770240000008</v>
      </c>
      <c r="HV17" s="297">
        <f t="shared" si="40"/>
        <v>122293.49999999997</v>
      </c>
      <c r="HW17" s="297">
        <f>SUMPRODUCT(('ANALYSE - ERP =&gt; SOUS-SEGMENT'!$B$8:$B$154=$B17)*'ANALYSE - ERP =&gt; SOUS-SEGMENT'!$Q$8:$Q$154*'ANALYSE - ERP =&gt; SOUS-SEGMENT'!$HZ$8:$HZ$154)</f>
        <v>15898.542049999996</v>
      </c>
      <c r="HX17" s="297">
        <f>SUMPRODUCT(('ANALYSE - ERP =&gt; SOUS-SEGMENT'!$B$8:$B$154=$B17)*'ANALYSE - ERP =&gt; SOUS-SEGMENT'!$Q$8:$Q$154*'ANALYSE - ERP =&gt; SOUS-SEGMENT'!$IA$8:$IA$154)</f>
        <v>73187.883199999982</v>
      </c>
      <c r="HY17" s="297">
        <f>SUMPRODUCT(('ANALYSE - ERP =&gt; SOUS-SEGMENT'!$B$8:$B$154=$B17)*'ANALYSE - ERP =&gt; SOUS-SEGMENT'!$Q$8:$Q$154*'ANALYSE - ERP =&gt; SOUS-SEGMENT'!$IB$8:$IB$154)</f>
        <v>29715.321650000002</v>
      </c>
      <c r="HZ17" s="297">
        <f>SUMPRODUCT(('ANALYSE - ERP =&gt; SOUS-SEGMENT'!$B$8:$B$154=$B17)*'ANALYSE - ERP =&gt; SOUS-SEGMENT'!$Q$8:$Q$154*'ANALYSE - ERP =&gt; SOUS-SEGMENT'!$IC$8:$IC$154)</f>
        <v>3395.6765</v>
      </c>
      <c r="IA17" s="297">
        <f>SUMPRODUCT(('ANALYSE - ERP =&gt; SOUS-SEGMENT'!$B$8:$B$154=$B17)*'ANALYSE - ERP =&gt; SOUS-SEGMENT'!$Q$8:$Q$154*'ANALYSE - ERP =&gt; SOUS-SEGMENT'!$ID$8:$ID$154)</f>
        <v>96.076599999999999</v>
      </c>
      <c r="IB17" s="297">
        <f>SUMPRODUCT(('ANALYSE - ERP =&gt; SOUS-SEGMENT'!$B$8:$B$154=$B17)*'ANALYSE - ERP =&gt; SOUS-SEGMENT'!$Q$8:$Q$154*'ANALYSE - ERP =&gt; SOUS-SEGMENT'!$IE$8:$IE$154)</f>
        <v>46505.986624160047</v>
      </c>
      <c r="IC17" s="297">
        <f>SUMPRODUCT(('ANALYSE - ERP =&gt; SOUS-SEGMENT'!$B$8:$B$154=$B17)*'ANALYSE - ERP =&gt; SOUS-SEGMENT'!$Q$8:$Q$154*'ANALYSE - ERP =&gt; SOUS-SEGMENT'!$IF$8:$IF$154)</f>
        <v>2420.0578130679346</v>
      </c>
      <c r="ID17" s="297">
        <f>SUMPRODUCT(('ANALYSE - ERP =&gt; SOUS-SEGMENT'!$B$8:$B$154=$B17)*'ANALYSE - ERP =&gt; SOUS-SEGMENT'!$Q$8:$Q$154*'ANALYSE - ERP =&gt; SOUS-SEGMENT'!$IG$8:$IG$154)</f>
        <v>24511.639271791773</v>
      </c>
      <c r="IE17" s="297">
        <f>SUMPRODUCT(('ANALYSE - ERP =&gt; SOUS-SEGMENT'!$B$8:$B$154=$B17)*'ANALYSE - ERP =&gt; SOUS-SEGMENT'!$Q$8:$Q$154*'ANALYSE - ERP =&gt; SOUS-SEGMENT'!$IH$8:$IH$154)</f>
        <v>17432.757555628319</v>
      </c>
      <c r="IF17" s="297">
        <f>SUMPRODUCT(('ANALYSE - ERP =&gt; SOUS-SEGMENT'!$B$8:$B$154=$B17)*'ANALYSE - ERP =&gt; SOUS-SEGMENT'!$Q$8:$Q$154*'ANALYSE - ERP =&gt; SOUS-SEGMENT'!$II$8:$II$154)</f>
        <v>2045.6669748702452</v>
      </c>
      <c r="IG17" s="297">
        <f>SUMPRODUCT(('ANALYSE - ERP =&gt; SOUS-SEGMENT'!$B$8:$B$154=$B17)*'ANALYSE - ERP =&gt; SOUS-SEGMENT'!$Q$8:$Q$154*'ANALYSE - ERP =&gt; SOUS-SEGMENT'!$IJ$8:$IJ$154)</f>
        <v>95.865008801773484</v>
      </c>
      <c r="IH17" s="888"/>
      <c r="II17" s="298" t="s">
        <v>2589</v>
      </c>
      <c r="IJ17" s="322" t="s">
        <v>7559</v>
      </c>
      <c r="IK17" s="657"/>
      <c r="IL17" s="779">
        <f>IFERROR(SUMPRODUCT(('ANALYSE - ERP =&gt; SOUS-SEGMENT'!$B$8:$B$154=$B17)*'ANALYSE - ERP =&gt; SOUS-SEGMENT'!$Q$8:$Q$154*'ANALYSE - ERP =&gt; SOUS-SEGMENT'!$BE$8:$BE$154*'ANALYSE - ERP =&gt; SOUS-SEGMENT'!$IO$8:$IO$154)/SUMPRODUCT(('ANALYSE - ERP =&gt; SOUS-SEGMENT'!$B$8:$B$154=$B17)*'ANALYSE - ERP =&gt; SOUS-SEGMENT'!$Q$8:$Q$154*'ANALYSE - ERP =&gt; SOUS-SEGMENT'!$BE$8:$BE$154),0)</f>
        <v>0.1006517812864644</v>
      </c>
      <c r="IM17" s="780">
        <f>IFERROR(SUMPRODUCT(('ANALYSE - ERP =&gt; SOUS-SEGMENT'!$B$8:$B$154=$B17)*'ANALYSE - ERP =&gt; SOUS-SEGMENT'!$Q$8:$Q$154*'ANALYSE - ERP =&gt; SOUS-SEGMENT'!$BE$8:$BE$154*'ANALYSE - ERP =&gt; SOUS-SEGMENT'!$IP$8:$IP$154)/SUMPRODUCT(('ANALYSE - ERP =&gt; SOUS-SEGMENT'!$B$8:$B$154=$B17)*'ANALYSE - ERP =&gt; SOUS-SEGMENT'!$Q$8:$Q$154*'ANALYSE - ERP =&gt; SOUS-SEGMENT'!$BE$8:$BE$154),0)</f>
        <v>0.59078751458576428</v>
      </c>
      <c r="IN17" s="780">
        <f>IFERROR(SUMPRODUCT(('ANALYSE - ERP =&gt; SOUS-SEGMENT'!$B$8:$B$154=$B17)*'ANALYSE - ERP =&gt; SOUS-SEGMENT'!$Q$8:$Q$154*'ANALYSE - ERP =&gt; SOUS-SEGMENT'!$BE$8:$BE$154*'ANALYSE - ERP =&gt; SOUS-SEGMENT'!$IQ$8:$IQ$154)/SUMPRODUCT(('ANALYSE - ERP =&gt; SOUS-SEGMENT'!$B$8:$B$154=$B17)*'ANALYSE - ERP =&gt; SOUS-SEGMENT'!$Q$8:$Q$154*'ANALYSE - ERP =&gt; SOUS-SEGMENT'!$BE$8:$BE$154),0)</f>
        <v>0.27271506344807467</v>
      </c>
      <c r="IO17" s="780">
        <f>IFERROR(SUMPRODUCT(('ANALYSE - ERP =&gt; SOUS-SEGMENT'!$B$8:$B$154=$B17)*'ANALYSE - ERP =&gt; SOUS-SEGMENT'!$Q$8:$Q$154*'ANALYSE - ERP =&gt; SOUS-SEGMENT'!$BE$8:$BE$154*'ANALYSE - ERP =&gt; SOUS-SEGMENT'!$IR$8:$IR$154)/SUMPRODUCT(('ANALYSE - ERP =&gt; SOUS-SEGMENT'!$B$8:$B$154=$B17)*'ANALYSE - ERP =&gt; SOUS-SEGMENT'!$Q$8:$Q$154*'ANALYSE - ERP =&gt; SOUS-SEGMENT'!$BE$8:$BE$154),0)</f>
        <v>3.4648749270711786E-2</v>
      </c>
      <c r="IP17" s="781">
        <f>IFERROR(SUMPRODUCT(('ANALYSE - ERP =&gt; SOUS-SEGMENT'!$B$8:$B$154=$B17)*'ANALYSE - ERP =&gt; SOUS-SEGMENT'!$Q$8:$Q$154*'ANALYSE - ERP =&gt; SOUS-SEGMENT'!$BE$8:$BE$154*'ANALYSE - ERP =&gt; SOUS-SEGMENT'!$IS$8:$IS$154)/SUMPRODUCT(('ANALYSE - ERP =&gt; SOUS-SEGMENT'!$B$8:$B$154=$B17)*'ANALYSE - ERP =&gt; SOUS-SEGMENT'!$Q$8:$Q$154*'ANALYSE - ERP =&gt; SOUS-SEGMENT'!$BE$8:$BE$154),0)</f>
        <v>1.1968914089848309E-3</v>
      </c>
      <c r="IQ17" s="780">
        <f>IFERROR(SUMPRODUCT(('ANALYSE - ERP =&gt; SOUS-SEGMENT'!$B$8:$B$154=$B17)*'ANALYSE - ERP =&gt; SOUS-SEGMENT'!$Q$8:$Q$154*'ANALYSE - ERP =&gt; SOUS-SEGMENT'!$FB$8:$FB$154*'ANALYSE - ERP =&gt; SOUS-SEGMENT'!$IT$8:$IT$154)/SUMPRODUCT(('ANALYSE - ERP =&gt; SOUS-SEGMENT'!$B$8:$B$154=$B17)*'ANALYSE - ERP =&gt; SOUS-SEGMENT'!$Q$8:$Q$154*'ANALYSE - ERP =&gt; SOUS-SEGMENT'!$FB$8:$FB$154),0)</f>
        <v>3.7634156380053504E-2</v>
      </c>
      <c r="IR17" s="780">
        <f>IFERROR(SUMPRODUCT(('ANALYSE - ERP =&gt; SOUS-SEGMENT'!$B$8:$B$154=$B17)*'ANALYSE - ERP =&gt; SOUS-SEGMENT'!$Q$8:$Q$154*'ANALYSE - ERP =&gt; SOUS-SEGMENT'!$FB$8:$FB$154*'ANALYSE - ERP =&gt; SOUS-SEGMENT'!$IU$8:$IU$154)/SUMPRODUCT(('ANALYSE - ERP =&gt; SOUS-SEGMENT'!$B$8:$B$154=$B17)*'ANALYSE - ERP =&gt; SOUS-SEGMENT'!$Q$8:$Q$154*'ANALYSE - ERP =&gt; SOUS-SEGMENT'!$FB$8:$FB$154),0)</f>
        <v>0.49550024847800339</v>
      </c>
      <c r="IS17" s="780">
        <f>IFERROR(SUMPRODUCT(('ANALYSE - ERP =&gt; SOUS-SEGMENT'!$B$8:$B$154=$B17)*'ANALYSE - ERP =&gt; SOUS-SEGMENT'!$Q$8:$Q$154*'ANALYSE - ERP =&gt; SOUS-SEGMENT'!$FB$8:$FB$154*'ANALYSE - ERP =&gt; SOUS-SEGMENT'!$IV$8:$IV$154)/SUMPRODUCT(('ANALYSE - ERP =&gt; SOUS-SEGMENT'!$B$8:$B$154=$B17)*'ANALYSE - ERP =&gt; SOUS-SEGMENT'!$Q$8:$Q$154*'ANALYSE - ERP =&gt; SOUS-SEGMENT'!$FB$8:$FB$154),0)</f>
        <v>0.41197164555592447</v>
      </c>
      <c r="IT17" s="780">
        <f>IFERROR(SUMPRODUCT(('ANALYSE - ERP =&gt; SOUS-SEGMENT'!$B$8:$B$154=$B17)*'ANALYSE - ERP =&gt; SOUS-SEGMENT'!$Q$8:$Q$154*'ANALYSE - ERP =&gt; SOUS-SEGMENT'!$FB$8:$FB$154*'ANALYSE - ERP =&gt; SOUS-SEGMENT'!$IW$8:$IW$154)/SUMPRODUCT(('ANALYSE - ERP =&gt; SOUS-SEGMENT'!$B$8:$B$154=$B17)*'ANALYSE - ERP =&gt; SOUS-SEGMENT'!$Q$8:$Q$154*'ANALYSE - ERP =&gt; SOUS-SEGMENT'!$FB$8:$FB$154),0)</f>
        <v>5.1926336188304854E-2</v>
      </c>
      <c r="IU17" s="780">
        <f>IFERROR(SUMPRODUCT(('ANALYSE - ERP =&gt; SOUS-SEGMENT'!$B$8:$B$154=$B17)*'ANALYSE - ERP =&gt; SOUS-SEGMENT'!$Q$8:$Q$154*'ANALYSE - ERP =&gt; SOUS-SEGMENT'!$FB$8:$FB$154*'ANALYSE - ERP =&gt; SOUS-SEGMENT'!$IX$8:$IX$154)/SUMPRODUCT(('ANALYSE - ERP =&gt; SOUS-SEGMENT'!$B$8:$B$154=$B17)*'ANALYSE - ERP =&gt; SOUS-SEGMENT'!$Q$8:$Q$154*'ANALYSE - ERP =&gt; SOUS-SEGMENT'!$FB$8:$FB$154),0)</f>
        <v>2.967613397713547E-3</v>
      </c>
      <c r="IV17" s="782">
        <f>IFERROR(SUMPRODUCT(('ANALYSE - ERP =&gt; SOUS-SEGMENT'!$B$8:$B$154=$B17)*'ANALYSE - ERP =&gt; SOUS-SEGMENT'!$Q$8:$Q$154*'ANALYSE - ERP =&gt; SOUS-SEGMENT'!$BF$8:$BF$154*'ANALYSE - ERP =&gt; SOUS-SEGMENT'!$IY$8:$IY$154)/SUMPRODUCT(('ANALYSE - ERP =&gt; SOUS-SEGMENT'!$B$8:$B$154=$B17)*'ANALYSE - ERP =&gt; SOUS-SEGMENT'!$Q$8:$Q$154*'ANALYSE - ERP =&gt; SOUS-SEGMENT'!$BF$8:$BF$154),0)</f>
        <v>0.17430242231075699</v>
      </c>
      <c r="IW17" s="780">
        <f>IFERROR(SUMPRODUCT(('ANALYSE - ERP =&gt; SOUS-SEGMENT'!$B$8:$B$154=$B17)*'ANALYSE - ERP =&gt; SOUS-SEGMENT'!$Q$8:$Q$154*'ANALYSE - ERP =&gt; SOUS-SEGMENT'!$BF$8:$BF$154*'ANALYSE - ERP =&gt; SOUS-SEGMENT'!$IZ$8:$IZ$154)/SUMPRODUCT(('ANALYSE - ERP =&gt; SOUS-SEGMENT'!$B$8:$B$154=$B17)*'ANALYSE - ERP =&gt; SOUS-SEGMENT'!$Q$8:$Q$154*'ANALYSE - ERP =&gt; SOUS-SEGMENT'!$BF$8:$BF$154),0)</f>
        <v>0.62225753784860549</v>
      </c>
      <c r="IX17" s="780">
        <f>IFERROR(SUMPRODUCT(('ANALYSE - ERP =&gt; SOUS-SEGMENT'!$B$8:$B$154=$B17)*'ANALYSE - ERP =&gt; SOUS-SEGMENT'!$Q$8:$Q$154*'ANALYSE - ERP =&gt; SOUS-SEGMENT'!$BF$8:$BF$154*'ANALYSE - ERP =&gt; SOUS-SEGMENT'!$JA$8:$JA$154)/SUMPRODUCT(('ANALYSE - ERP =&gt; SOUS-SEGMENT'!$B$8:$B$154=$B17)*'ANALYSE - ERP =&gt; SOUS-SEGMENT'!$Q$8:$Q$154*'ANALYSE - ERP =&gt; SOUS-SEGMENT'!$BF$8:$BF$154),0)</f>
        <v>0.19675777689243026</v>
      </c>
      <c r="IY17" s="780">
        <f>IFERROR(SUMPRODUCT(('ANALYSE - ERP =&gt; SOUS-SEGMENT'!$B$8:$B$154=$B17)*'ANALYSE - ERP =&gt; SOUS-SEGMENT'!$Q$8:$Q$154*'ANALYSE - ERP =&gt; SOUS-SEGMENT'!$BF$8:$BF$154*'ANALYSE - ERP =&gt; SOUS-SEGMENT'!$JB$8:$JB$154)/SUMPRODUCT(('ANALYSE - ERP =&gt; SOUS-SEGMENT'!$B$8:$B$154=$B17)*'ANALYSE - ERP =&gt; SOUS-SEGMENT'!$Q$8:$Q$154*'ANALYSE - ERP =&gt; SOUS-SEGMENT'!$BF$8:$BF$154),0)</f>
        <v>6.6645099601593625E-3</v>
      </c>
      <c r="IZ17" s="781">
        <f>IFERROR(SUMPRODUCT(('ANALYSE - ERP =&gt; SOUS-SEGMENT'!$B$8:$B$154=$B17)*'ANALYSE - ERP =&gt; SOUS-SEGMENT'!$Q$8:$Q$154*'ANALYSE - ERP =&gt; SOUS-SEGMENT'!$BF$8:$BF$154*'ANALYSE - ERP =&gt; SOUS-SEGMENT'!$JC$8:$JC$154)/SUMPRODUCT(('ANALYSE - ERP =&gt; SOUS-SEGMENT'!$B$8:$B$154=$B17)*'ANALYSE - ERP =&gt; SOUS-SEGMENT'!$Q$8:$Q$154*'ANALYSE - ERP =&gt; SOUS-SEGMENT'!$BF$8:$BF$154),0)</f>
        <v>1.7752988047808764E-5</v>
      </c>
      <c r="JA17" s="780">
        <f>IFERROR(SUMPRODUCT(('ANALYSE - ERP =&gt; SOUS-SEGMENT'!$B$8:$B$154=$B17)*'ANALYSE - ERP =&gt; SOUS-SEGMENT'!$Q$8:$Q$154*'ANALYSE - ERP =&gt; SOUS-SEGMENT'!$FE$8:$FE$154*'ANALYSE - ERP =&gt; SOUS-SEGMENT'!$JD$8:$JD$154)/SUMPRODUCT(('ANALYSE - ERP =&gt; SOUS-SEGMENT'!$B$8:$B$154=$B17)*'ANALYSE - ERP =&gt; SOUS-SEGMENT'!$Q$8:$Q$154*'ANALYSE - ERP =&gt; SOUS-SEGMENT'!$FE$8:$FE$154),0)</f>
        <v>7.5542880108499369E-2</v>
      </c>
      <c r="JB17" s="780">
        <f>IFERROR(SUMPRODUCT(('ANALYSE - ERP =&gt; SOUS-SEGMENT'!$B$8:$B$154=$B17)*'ANALYSE - ERP =&gt; SOUS-SEGMENT'!$Q$8:$Q$154*'ANALYSE - ERP =&gt; SOUS-SEGMENT'!$FE$8:$FE$154*'ANALYSE - ERP =&gt; SOUS-SEGMENT'!$JE$8:$JE$154)/SUMPRODUCT(('ANALYSE - ERP =&gt; SOUS-SEGMENT'!$B$8:$B$154=$B17)*'ANALYSE - ERP =&gt; SOUS-SEGMENT'!$Q$8:$Q$154*'ANALYSE - ERP =&gt; SOUS-SEGMENT'!$FE$8:$FE$154),0)</f>
        <v>0.57812386633355084</v>
      </c>
      <c r="JC17" s="780">
        <f>IFERROR(SUMPRODUCT(('ANALYSE - ERP =&gt; SOUS-SEGMENT'!$B$8:$B$154=$B17)*'ANALYSE - ERP =&gt; SOUS-SEGMENT'!$Q$8:$Q$154*'ANALYSE - ERP =&gt; SOUS-SEGMENT'!$FE$8:$FE$154*'ANALYSE - ERP =&gt; SOUS-SEGMENT'!$JF$8:$JF$154)/SUMPRODUCT(('ANALYSE - ERP =&gt; SOUS-SEGMENT'!$B$8:$B$154=$B17)*'ANALYSE - ERP =&gt; SOUS-SEGMENT'!$Q$8:$Q$154*'ANALYSE - ERP =&gt; SOUS-SEGMENT'!$FE$8:$FE$154),0)</f>
        <v>0.32898089276173326</v>
      </c>
      <c r="JD17" s="780">
        <f>IFERROR(SUMPRODUCT(('ANALYSE - ERP =&gt; SOUS-SEGMENT'!$B$8:$B$154=$B17)*'ANALYSE - ERP =&gt; SOUS-SEGMENT'!$Q$8:$Q$154*'ANALYSE - ERP =&gt; SOUS-SEGMENT'!$FE$8:$FE$154*'ANALYSE - ERP =&gt; SOUS-SEGMENT'!$JG$8:$JG$154)/SUMPRODUCT(('ANALYSE - ERP =&gt; SOUS-SEGMENT'!$B$8:$B$154=$B17)*'ANALYSE - ERP =&gt; SOUS-SEGMENT'!$Q$8:$Q$154*'ANALYSE - ERP =&gt; SOUS-SEGMENT'!$FE$8:$FE$154),0)</f>
        <v>1.7161072833057914E-2</v>
      </c>
      <c r="JE17" s="780">
        <f>IFERROR(SUMPRODUCT(('ANALYSE - ERP =&gt; SOUS-SEGMENT'!$B$8:$B$154=$B17)*'ANALYSE - ERP =&gt; SOUS-SEGMENT'!$Q$8:$Q$154*'ANALYSE - ERP =&gt; SOUS-SEGMENT'!$FE$8:$FE$154*'ANALYSE - ERP =&gt; SOUS-SEGMENT'!$JH$8:$JH$154)/SUMPRODUCT(('ANALYSE - ERP =&gt; SOUS-SEGMENT'!$B$8:$B$154=$B17)*'ANALYSE - ERP =&gt; SOUS-SEGMENT'!$Q$8:$Q$154*'ANALYSE - ERP =&gt; SOUS-SEGMENT'!$FE$8:$FE$154),0)</f>
        <v>1.9128796315848897E-4</v>
      </c>
      <c r="JF17" s="782">
        <f>IFERROR(SUMPRODUCT(('ANALYSE - ERP =&gt; SOUS-SEGMENT'!$B$8:$B$154=$B17)*'ANALYSE - ERP =&gt; SOUS-SEGMENT'!$Q$8:$Q$154*'ANALYSE - ERP =&gt; SOUS-SEGMENT'!$BG$8:$BG$154*'ANALYSE - ERP =&gt; SOUS-SEGMENT'!$JI$8:$JI$154)/SUMPRODUCT(('ANALYSE - ERP =&gt; SOUS-SEGMENT'!$B$8:$B$154=$B17)*'ANALYSE - ERP =&gt; SOUS-SEGMENT'!$Q$8:$Q$154*'ANALYSE - ERP =&gt; SOUS-SEGMENT'!$BG$8:$BG$154),0)</f>
        <v>0.12847583214609509</v>
      </c>
      <c r="JG17" s="780">
        <f>IFERROR(SUMPRODUCT(('ANALYSE - ERP =&gt; SOUS-SEGMENT'!$B$8:$B$154=$B17)*'ANALYSE - ERP =&gt; SOUS-SEGMENT'!$Q$8:$Q$154*'ANALYSE - ERP =&gt; SOUS-SEGMENT'!$BG$8:$BG$154*'ANALYSE - ERP =&gt; SOUS-SEGMENT'!$JJ$8:$JJ$154)/SUMPRODUCT(('ANALYSE - ERP =&gt; SOUS-SEGMENT'!$B$8:$B$154=$B17)*'ANALYSE - ERP =&gt; SOUS-SEGMENT'!$Q$8:$Q$154*'ANALYSE - ERP =&gt; SOUS-SEGMENT'!$BG$8:$BG$154),0)</f>
        <v>0.53811659111514065</v>
      </c>
      <c r="JH17" s="780">
        <f>IFERROR(SUMPRODUCT(('ANALYSE - ERP =&gt; SOUS-SEGMENT'!$B$8:$B$154=$B17)*'ANALYSE - ERP =&gt; SOUS-SEGMENT'!$Q$8:$Q$154*'ANALYSE - ERP =&gt; SOUS-SEGMENT'!$BG$8:$BG$154*'ANALYSE - ERP =&gt; SOUS-SEGMENT'!$JK$8:$JK$154)/SUMPRODUCT(('ANALYSE - ERP =&gt; SOUS-SEGMENT'!$B$8:$B$154=$B17)*'ANALYSE - ERP =&gt; SOUS-SEGMENT'!$Q$8:$Q$154*'ANALYSE - ERP =&gt; SOUS-SEGMENT'!$BG$8:$BG$154),0)</f>
        <v>0.29422348141432453</v>
      </c>
      <c r="JI17" s="780">
        <f>IFERROR(SUMPRODUCT(('ANALYSE - ERP =&gt; SOUS-SEGMENT'!$B$8:$B$154=$B17)*'ANALYSE - ERP =&gt; SOUS-SEGMENT'!$Q$8:$Q$154*'ANALYSE - ERP =&gt; SOUS-SEGMENT'!$BG$8:$BG$154*'ANALYSE - ERP =&gt; SOUS-SEGMENT'!$JL$8:$JL$154)/SUMPRODUCT(('ANALYSE - ERP =&gt; SOUS-SEGMENT'!$B$8:$B$154=$B17)*'ANALYSE - ERP =&gt; SOUS-SEGMENT'!$Q$8:$Q$154*'ANALYSE - ERP =&gt; SOUS-SEGMENT'!$BG$8:$BG$154),0)</f>
        <v>3.8716876052324829E-2</v>
      </c>
      <c r="JJ17" s="781">
        <f>IFERROR(SUMPRODUCT(('ANALYSE - ERP =&gt; SOUS-SEGMENT'!$B$8:$B$154=$B17)*'ANALYSE - ERP =&gt; SOUS-SEGMENT'!$Q$8:$Q$154*'ANALYSE - ERP =&gt; SOUS-SEGMENT'!$BG$8:$BG$154*'ANALYSE - ERP =&gt; SOUS-SEGMENT'!$JM$8:$JM$154)/SUMPRODUCT(('ANALYSE - ERP =&gt; SOUS-SEGMENT'!$B$8:$B$154=$B17)*'ANALYSE - ERP =&gt; SOUS-SEGMENT'!$Q$8:$Q$154*'ANALYSE - ERP =&gt; SOUS-SEGMENT'!$BG$8:$BG$154),0)</f>
        <v>4.6721927211501103E-4</v>
      </c>
      <c r="JK17" s="780">
        <f>IFERROR(SUMPRODUCT(('ANALYSE - ERP =&gt; SOUS-SEGMENT'!$B$8:$B$154=$B17)*'ANALYSE - ERP =&gt; SOUS-SEGMENT'!$Q$8:$Q$154*'ANALYSE - ERP =&gt; SOUS-SEGMENT'!$FH$8:$FH$154*'ANALYSE - ERP =&gt; SOUS-SEGMENT'!$JN$8:$JN$154)/SUMPRODUCT(('ANALYSE - ERP =&gt; SOUS-SEGMENT'!$B$8:$B$154=$B17)*'ANALYSE - ERP =&gt; SOUS-SEGMENT'!$Q$8:$Q$154*'ANALYSE - ERP =&gt; SOUS-SEGMENT'!$FH$8:$FH$154),0)</f>
        <v>6.0049199498747548E-2</v>
      </c>
      <c r="JL17" s="780">
        <f>IFERROR(SUMPRODUCT(('ANALYSE - ERP =&gt; SOUS-SEGMENT'!$B$8:$B$154=$B17)*'ANALYSE - ERP =&gt; SOUS-SEGMENT'!$Q$8:$Q$154*'ANALYSE - ERP =&gt; SOUS-SEGMENT'!$FH$8:$FH$154*'ANALYSE - ERP =&gt; SOUS-SEGMENT'!$JO$8:$JO$154)/SUMPRODUCT(('ANALYSE - ERP =&gt; SOUS-SEGMENT'!$B$8:$B$154=$B17)*'ANALYSE - ERP =&gt; SOUS-SEGMENT'!$Q$8:$Q$154*'ANALYSE - ERP =&gt; SOUS-SEGMENT'!$FH$8:$FH$154),0)</f>
        <v>0.46673569164703593</v>
      </c>
      <c r="JM17" s="780">
        <f>IFERROR(SUMPRODUCT(('ANALYSE - ERP =&gt; SOUS-SEGMENT'!$B$8:$B$154=$B17)*'ANALYSE - ERP =&gt; SOUS-SEGMENT'!$Q$8:$Q$154*'ANALYSE - ERP =&gt; SOUS-SEGMENT'!$FH$8:$FH$154*'ANALYSE - ERP =&gt; SOUS-SEGMENT'!$JP$8:$JP$154)/SUMPRODUCT(('ANALYSE - ERP =&gt; SOUS-SEGMENT'!$B$8:$B$154=$B17)*'ANALYSE - ERP =&gt; SOUS-SEGMENT'!$Q$8:$Q$154*'ANALYSE - ERP =&gt; SOUS-SEGMENT'!$FH$8:$FH$154),0)</f>
        <v>0.40241373847741185</v>
      </c>
      <c r="JN17" s="780">
        <f>IFERROR(SUMPRODUCT(('ANALYSE - ERP =&gt; SOUS-SEGMENT'!$B$8:$B$154=$B17)*'ANALYSE - ERP =&gt; SOUS-SEGMENT'!$Q$8:$Q$154*'ANALYSE - ERP =&gt; SOUS-SEGMENT'!$FH$8:$FH$154*'ANALYSE - ERP =&gt; SOUS-SEGMENT'!$JQ$8:$JQ$154)/SUMPRODUCT(('ANALYSE - ERP =&gt; SOUS-SEGMENT'!$B$8:$B$154=$B17)*'ANALYSE - ERP =&gt; SOUS-SEGMENT'!$Q$8:$Q$154*'ANALYSE - ERP =&gt; SOUS-SEGMENT'!$FH$8:$FH$154),0)</f>
        <v>6.8952052802722291E-2</v>
      </c>
      <c r="JO17" s="780">
        <f>IFERROR(SUMPRODUCT(('ANALYSE - ERP =&gt; SOUS-SEGMENT'!$B$8:$B$154=$B17)*'ANALYSE - ERP =&gt; SOUS-SEGMENT'!$Q$8:$Q$154*'ANALYSE - ERP =&gt; SOUS-SEGMENT'!$FH$8:$FH$154*'ANALYSE - ERP =&gt; SOUS-SEGMENT'!$JR$8:$JR$154)/SUMPRODUCT(('ANALYSE - ERP =&gt; SOUS-SEGMENT'!$B$8:$B$154=$B17)*'ANALYSE - ERP =&gt; SOUS-SEGMENT'!$Q$8:$Q$154*'ANALYSE - ERP =&gt; SOUS-SEGMENT'!$FH$8:$FH$154),0)</f>
        <v>1.8493175740825008E-3</v>
      </c>
      <c r="JP17" s="782">
        <f>IFERROR(SUMPRODUCT(('ANALYSE - ERP =&gt; SOUS-SEGMENT'!$B$8:$B$154=$B17)*'ANALYSE - ERP =&gt; SOUS-SEGMENT'!$Q$8:$Q$154*'ANALYSE - ERP =&gt; SOUS-SEGMENT'!$BH$8:$BH$154*'ANALYSE - ERP =&gt; SOUS-SEGMENT'!$JS$8:$JS$154)/SUMPRODUCT(('ANALYSE - ERP =&gt; SOUS-SEGMENT'!$B$8:$B$154=$B17)*'ANALYSE - ERP =&gt; SOUS-SEGMENT'!$Q$8:$Q$154*'ANALYSE - ERP =&gt; SOUS-SEGMENT'!$BH$8:$BH$154),0)</f>
        <v>0.15076940922896051</v>
      </c>
      <c r="JQ17" s="780">
        <f>IFERROR(SUMPRODUCT(('ANALYSE - ERP =&gt; SOUS-SEGMENT'!$B$8:$B$154=$B17)*'ANALYSE - ERP =&gt; SOUS-SEGMENT'!$Q$8:$Q$154*'ANALYSE - ERP =&gt; SOUS-SEGMENT'!$BH$8:$BH$154*'ANALYSE - ERP =&gt; SOUS-SEGMENT'!$JT$8:$JT$154)/SUMPRODUCT(('ANALYSE - ERP =&gt; SOUS-SEGMENT'!$B$8:$B$154=$B17)*'ANALYSE - ERP =&gt; SOUS-SEGMENT'!$Q$8:$Q$154*'ANALYSE - ERP =&gt; SOUS-SEGMENT'!$BH$8:$BH$154),0)</f>
        <v>0.6054205623591653</v>
      </c>
      <c r="JR17" s="780">
        <f>IFERROR(SUMPRODUCT(('ANALYSE - ERP =&gt; SOUS-SEGMENT'!$B$8:$B$154=$B17)*'ANALYSE - ERP =&gt; SOUS-SEGMENT'!$Q$8:$Q$154*'ANALYSE - ERP =&gt; SOUS-SEGMENT'!$BH$8:$BH$154*'ANALYSE - ERP =&gt; SOUS-SEGMENT'!$JU$8:$JU$154)/SUMPRODUCT(('ANALYSE - ERP =&gt; SOUS-SEGMENT'!$B$8:$B$154=$B17)*'ANALYSE - ERP =&gt; SOUS-SEGMENT'!$Q$8:$Q$154*'ANALYSE - ERP =&gt; SOUS-SEGMENT'!$BH$8:$BH$154),0)</f>
        <v>0.21852230821984914</v>
      </c>
      <c r="JS17" s="780">
        <f>IFERROR(SUMPRODUCT(('ANALYSE - ERP =&gt; SOUS-SEGMENT'!$B$8:$B$154=$B17)*'ANALYSE - ERP =&gt; SOUS-SEGMENT'!$Q$8:$Q$154*'ANALYSE - ERP =&gt; SOUS-SEGMENT'!$BH$8:$BH$154*'ANALYSE - ERP =&gt; SOUS-SEGMENT'!$JV$8:$JV$154)/SUMPRODUCT(('ANALYSE - ERP =&gt; SOUS-SEGMENT'!$B$8:$B$154=$B17)*'ANALYSE - ERP =&gt; SOUS-SEGMENT'!$Q$8:$Q$154*'ANALYSE - ERP =&gt; SOUS-SEGMENT'!$BH$8:$BH$154),0)</f>
        <v>2.4731180562359165E-2</v>
      </c>
      <c r="JT17" s="781">
        <f>IFERROR(SUMPRODUCT(('ANALYSE - ERP =&gt; SOUS-SEGMENT'!$B$8:$B$154=$B17)*'ANALYSE - ERP =&gt; SOUS-SEGMENT'!$Q$8:$Q$154*'ANALYSE - ERP =&gt; SOUS-SEGMENT'!$BH$8:$BH$154*'ANALYSE - ERP =&gt; SOUS-SEGMENT'!$JW$8:$JW$154)/SUMPRODUCT(('ANALYSE - ERP =&gt; SOUS-SEGMENT'!$B$8:$B$154=$B17)*'ANALYSE - ERP =&gt; SOUS-SEGMENT'!$Q$8:$Q$154*'ANALYSE - ERP =&gt; SOUS-SEGMENT'!$BH$8:$BH$154),0)</f>
        <v>5.5653962966591554E-4</v>
      </c>
      <c r="JU17" s="782">
        <f>IFERROR(SUMPRODUCT(('ANALYSE - ERP =&gt; SOUS-SEGMENT'!$B$8:$B$154=$B17)*'ANALYSE - ERP =&gt; SOUS-SEGMENT'!$Q$8:$Q$154*'ANALYSE - ERP =&gt; SOUS-SEGMENT'!$FK$8:$FK$154*'ANALYSE - ERP =&gt; SOUS-SEGMENT'!$JX$8:$JX$154)/SUMPRODUCT(('ANALYSE - ERP =&gt; SOUS-SEGMENT'!$B$8:$B$154=$B17)*'ANALYSE - ERP =&gt; SOUS-SEGMENT'!$Q$8:$Q$154*'ANALYSE - ERP =&gt; SOUS-SEGMENT'!$FK$8:$FK$154),0)</f>
        <v>6.0931634164386163E-2</v>
      </c>
      <c r="JV17" s="780">
        <f>IFERROR(SUMPRODUCT(('ANALYSE - ERP =&gt; SOUS-SEGMENT'!$B$8:$B$154=$B17)*'ANALYSE - ERP =&gt; SOUS-SEGMENT'!$Q$8:$Q$154*'ANALYSE - ERP =&gt; SOUS-SEGMENT'!$FK$8:$FK$154*'ANALYSE - ERP =&gt; SOUS-SEGMENT'!$JY$8:$JY$154)/SUMPRODUCT(('ANALYSE - ERP =&gt; SOUS-SEGMENT'!$B$8:$B$154=$B17)*'ANALYSE - ERP =&gt; SOUS-SEGMENT'!$Q$8:$Q$154*'ANALYSE - ERP =&gt; SOUS-SEGMENT'!$FK$8:$FK$154),0)</f>
        <v>0.5524930094864291</v>
      </c>
      <c r="JW17" s="780">
        <f>IFERROR(SUMPRODUCT(('ANALYSE - ERP =&gt; SOUS-SEGMENT'!$B$8:$B$154=$B17)*'ANALYSE - ERP =&gt; SOUS-SEGMENT'!$Q$8:$Q$154*'ANALYSE - ERP =&gt; SOUS-SEGMENT'!$FK$8:$FK$154*'ANALYSE - ERP =&gt; SOUS-SEGMENT'!$JZ$8:$JZ$154)/SUMPRODUCT(('ANALYSE - ERP =&gt; SOUS-SEGMENT'!$B$8:$B$154=$B17)*'ANALYSE - ERP =&gt; SOUS-SEGMENT'!$Q$8:$Q$154*'ANALYSE - ERP =&gt; SOUS-SEGMENT'!$FK$8:$FK$154),0)</f>
        <v>0.34465492961112626</v>
      </c>
      <c r="JX17" s="780">
        <f>IFERROR(SUMPRODUCT(('ANALYSE - ERP =&gt; SOUS-SEGMENT'!$B$8:$B$154=$B17)*'ANALYSE - ERP =&gt; SOUS-SEGMENT'!$Q$8:$Q$154*'ANALYSE - ERP =&gt; SOUS-SEGMENT'!$FK$8:$FK$154*'ANALYSE - ERP =&gt; SOUS-SEGMENT'!$KA$8:$KA$154)/SUMPRODUCT(('ANALYSE - ERP =&gt; SOUS-SEGMENT'!$B$8:$B$154=$B17)*'ANALYSE - ERP =&gt; SOUS-SEGMENT'!$Q$8:$Q$154*'ANALYSE - ERP =&gt; SOUS-SEGMENT'!$FK$8:$FK$154),0)</f>
        <v>4.0343091182682929E-2</v>
      </c>
      <c r="JY17" s="783">
        <f>IFERROR(SUMPRODUCT(('ANALYSE - ERP =&gt; SOUS-SEGMENT'!$B$8:$B$154=$B17)*'ANALYSE - ERP =&gt; SOUS-SEGMENT'!$Q$8:$Q$154*'ANALYSE - ERP =&gt; SOUS-SEGMENT'!$FK$8:$FK$154*'ANALYSE - ERP =&gt; SOUS-SEGMENT'!$KB$8:$KB$154)/SUMPRODUCT(('ANALYSE - ERP =&gt; SOUS-SEGMENT'!$B$8:$B$154=$B17)*'ANALYSE - ERP =&gt; SOUS-SEGMENT'!$Q$8:$Q$154*'ANALYSE - ERP =&gt; SOUS-SEGMENT'!$FK$8:$FK$154),0)</f>
        <v>1.5773355553752462E-3</v>
      </c>
      <c r="JZ17" s="657"/>
      <c r="KA17" s="298" t="s">
        <v>2590</v>
      </c>
      <c r="KB17" s="298" t="s">
        <v>2591</v>
      </c>
      <c r="KC17" s="888">
        <f>IFERROR(SUMPRODUCT(('ANALYSE - ERP =&gt; SOUS-SEGMENT'!$B$8:$B$154=$B17)*'ANALYSE - ERP =&gt; SOUS-SEGMENT'!$Q$8:$Q$154*'ANALYSE - ERP =&gt; SOUS-SEGMENT'!$EX$8:$EX$154*'ANALYSE - ERP =&gt; SOUS-SEGMENT'!$KF$8:$KF$154)/SUMPRODUCT(('ANALYSE - ERP =&gt; SOUS-SEGMENT'!$B$8:$B$154=$B17)*'ANALYSE - ERP =&gt; SOUS-SEGMENT'!$Q$8:$Q$154*'ANALYSE - ERP =&gt; SOUS-SEGMENT'!$EX$8:$EX$154),"")</f>
        <v>4.5173932511272588</v>
      </c>
      <c r="KD17" s="298" t="s">
        <v>2719</v>
      </c>
      <c r="KE17" s="300" t="s">
        <v>4931</v>
      </c>
      <c r="KF17" s="300" t="s">
        <v>7559</v>
      </c>
      <c r="KG17" s="300" t="s">
        <v>7559</v>
      </c>
    </row>
    <row r="18" spans="1:293" ht="39.75" customHeight="1">
      <c r="A18" s="273">
        <v>11</v>
      </c>
      <c r="B18" s="486" t="s">
        <v>2163</v>
      </c>
      <c r="C18" s="486" t="s">
        <v>2163</v>
      </c>
      <c r="D18" s="486" t="s">
        <v>7467</v>
      </c>
      <c r="E18" s="275" t="s">
        <v>2117</v>
      </c>
      <c r="F18" s="275" t="s">
        <v>7468</v>
      </c>
      <c r="G18" s="275" t="s">
        <v>2121</v>
      </c>
      <c r="H18" s="275" t="s">
        <v>2109</v>
      </c>
      <c r="I18" s="296" t="s">
        <v>7649</v>
      </c>
      <c r="J18" s="296" t="s">
        <v>7650</v>
      </c>
      <c r="K18" s="277" t="s">
        <v>2097</v>
      </c>
      <c r="L18" s="277" t="s">
        <v>2109</v>
      </c>
      <c r="M18" s="277" t="s">
        <v>2603</v>
      </c>
      <c r="N18" s="277" t="s">
        <v>6742</v>
      </c>
      <c r="O18" s="277" t="s">
        <v>2616</v>
      </c>
      <c r="P18" s="276"/>
      <c r="Q18" s="270">
        <f>IF(SUMPRODUCT(('ANALYSE - ERP =&gt; SOUS-SEGMENT'!$B$8:$B$154=$B18)*'ANALYSE - ERP =&gt; SOUS-SEGMENT'!$Q$8:$Q$154)&gt;0,1,0)</f>
        <v>1</v>
      </c>
      <c r="R18" s="278">
        <f>IFERROR(SUMPRODUCT(('ANALYSE - ERP =&gt; SOUS-SEGMENT'!$B$8:$B$154=$B18)*'ANALYSE - ERP =&gt; SOUS-SEGMENT'!$Q$8:$Q$154*'ANALYSE - ERP =&gt; SOUS-SEGMENT'!$AG$8:$AG$154*'ANALYSE - ERP =&gt; SOUS-SEGMENT'!$R$8:$R$154)/SUMPRODUCT(('ANALYSE - ERP =&gt; SOUS-SEGMENT'!$B$8:$B$154=$B18)*'ANALYSE - ERP =&gt; SOUS-SEGMENT'!$Q$8:$Q$154*'ANALYSE - ERP =&gt; SOUS-SEGMENT'!$AG$8:$AG$154),"")</f>
        <v>26.715567489684982</v>
      </c>
      <c r="S18" s="279">
        <f>SUMPRODUCT(('ANALYSE - ERP =&gt; SOUS-SEGMENT'!$B$8:$B$154=$B18)*'ANALYSE - ERP =&gt; SOUS-SEGMENT'!$Q$8:$Q$154*'ANALYSE - ERP =&gt; SOUS-SEGMENT'!$S$8:$S$154)</f>
        <v>10720</v>
      </c>
      <c r="T18" s="279">
        <f>SUMPRODUCT(('ANALYSE - ERP =&gt; SOUS-SEGMENT'!$B$8:$B$154=$B18)*'ANALYSE - ERP =&gt; SOUS-SEGMENT'!$Q$8:$Q$154*'ANALYSE - ERP =&gt; SOUS-SEGMENT'!$T$8:$T$154)</f>
        <v>11460</v>
      </c>
      <c r="U18" s="279">
        <f>SUMPRODUCT(('ANALYSE - ERP =&gt; SOUS-SEGMENT'!$B$8:$B$154=$B18)*'ANALYSE - ERP =&gt; SOUS-SEGMENT'!$Q$8:$Q$154*'ANALYSE - ERP =&gt; SOUS-SEGMENT'!$U$8:$U$154)</f>
        <v>12200</v>
      </c>
      <c r="V18" s="279">
        <f>SUMPRODUCT(('ANALYSE - ERP =&gt; SOUS-SEGMENT'!$B$8:$B$154=$B18)*'ANALYSE - ERP =&gt; SOUS-SEGMENT'!$Q$8:$Q$154*'ANALYSE - ERP =&gt; SOUS-SEGMENT'!$V$8:$V$154)</f>
        <v>13040</v>
      </c>
      <c r="W18" s="279">
        <f>SUMPRODUCT(('ANALYSE - ERP =&gt; SOUS-SEGMENT'!$B$8:$B$154=$B18)*'ANALYSE - ERP =&gt; SOUS-SEGMENT'!$Q$8:$Q$154*'ANALYSE - ERP =&gt; SOUS-SEGMENT'!$W$8:$W$154)</f>
        <v>13288</v>
      </c>
      <c r="X18" s="279">
        <f>SUMPRODUCT(('ANALYSE - ERP =&gt; SOUS-SEGMENT'!$B$8:$B$154=$B18)*'ANALYSE - ERP =&gt; SOUS-SEGMENT'!$Q$8:$Q$154*'ANALYSE - ERP =&gt; SOUS-SEGMENT'!$X$8:$X$154)</f>
        <v>13536</v>
      </c>
      <c r="Y18" s="279">
        <f>SUMPRODUCT(('ANALYSE - ERP =&gt; SOUS-SEGMENT'!$B$8:$B$154=$B18)*'ANALYSE - ERP =&gt; SOUS-SEGMENT'!$Q$8:$Q$154*'ANALYSE - ERP =&gt; SOUS-SEGMENT'!$Y$8:$Y$154)</f>
        <v>13784</v>
      </c>
      <c r="Z18" s="279">
        <f>SUMPRODUCT(('ANALYSE - ERP =&gt; SOUS-SEGMENT'!$B$8:$B$154=$B18)*'ANALYSE - ERP =&gt; SOUS-SEGMENT'!$Q$8:$Q$154*'ANALYSE - ERP =&gt; SOUS-SEGMENT'!$Z$8:$Z$154)</f>
        <v>14082</v>
      </c>
      <c r="AA18" s="279">
        <f>SUMPRODUCT(('ANALYSE - ERP =&gt; SOUS-SEGMENT'!$B$8:$B$154=$B18)*'ANALYSE - ERP =&gt; SOUS-SEGMENT'!$Q$8:$Q$154*'ANALYSE - ERP =&gt; SOUS-SEGMENT'!$AA$8:$AA$154)</f>
        <v>14380</v>
      </c>
      <c r="AB18" s="279">
        <f>SUMPRODUCT(('ANALYSE - ERP =&gt; SOUS-SEGMENT'!$B$8:$B$154=$B18)*'ANALYSE - ERP =&gt; SOUS-SEGMENT'!$Q$8:$Q$154*'ANALYSE - ERP =&gt; SOUS-SEGMENT'!$AB$8:$AB$154)</f>
        <v>14578</v>
      </c>
      <c r="AC18" s="279">
        <f>SUMPRODUCT(('ANALYSE - ERP =&gt; SOUS-SEGMENT'!$B$8:$B$154=$B18)*'ANALYSE - ERP =&gt; SOUS-SEGMENT'!$Q$8:$Q$154*'ANALYSE - ERP =&gt; SOUS-SEGMENT'!$AC$8:$AC$154)</f>
        <v>14776</v>
      </c>
      <c r="AD18" s="279">
        <f>SUMPRODUCT(('ANALYSE - ERP =&gt; SOUS-SEGMENT'!$B$8:$B$154=$B18)*'ANALYSE - ERP =&gt; SOUS-SEGMENT'!$Q$8:$Q$154*'ANALYSE - ERP =&gt; SOUS-SEGMENT'!$AD$8:$AD$154)</f>
        <v>14974</v>
      </c>
      <c r="AE18" s="279">
        <f>SUMPRODUCT(('ANALYSE - ERP =&gt; SOUS-SEGMENT'!$B$8:$B$154=$B18)*'ANALYSE - ERP =&gt; SOUS-SEGMENT'!$Q$8:$Q$154*'ANALYSE - ERP =&gt; SOUS-SEGMENT'!$AE$8:$AE$154)</f>
        <v>15072</v>
      </c>
      <c r="AF18" s="279">
        <f>SUMPRODUCT(('ANALYSE - ERP =&gt; SOUS-SEGMENT'!$B$8:$B$154=$B18)*'ANALYSE - ERP =&gt; SOUS-SEGMENT'!$Q$8:$Q$154*'ANALYSE - ERP =&gt; SOUS-SEGMENT'!$AF$8:$AF$154)</f>
        <v>15170</v>
      </c>
      <c r="AG18" s="279">
        <f>SUMPRODUCT(('ANALYSE - ERP =&gt; SOUS-SEGMENT'!$B$8:$B$154=$B18)*'ANALYSE - ERP =&gt; SOUS-SEGMENT'!$Q$8:$Q$154*'ANALYSE - ERP =&gt; SOUS-SEGMENT'!$AG$8:$AG$154)</f>
        <v>15269</v>
      </c>
      <c r="AH18" s="279">
        <f>SUMPRODUCT(('ANALYSE - ERP =&gt; SOUS-SEGMENT'!$B$8:$B$154=$B18)*'ANALYSE - ERP =&gt; SOUS-SEGMENT'!$Q$8:$Q$154*'ANALYSE - ERP =&gt; SOUS-SEGMENT'!$AH$8:$AH$154)</f>
        <v>15368</v>
      </c>
      <c r="AI18" s="279">
        <f>SUMPRODUCT(('ANALYSE - ERP =&gt; SOUS-SEGMENT'!$B$8:$B$154=$B18)*'ANALYSE - ERP =&gt; SOUS-SEGMENT'!$Q$8:$Q$154*'ANALYSE - ERP =&gt; SOUS-SEGMENT'!$AI$8:$AI$154)</f>
        <v>15467</v>
      </c>
      <c r="AJ18" s="279">
        <f>SUMPRODUCT(('ANALYSE - ERP =&gt; SOUS-SEGMENT'!$B$8:$B$154=$B18)*'ANALYSE - ERP =&gt; SOUS-SEGMENT'!$Q$8:$Q$154*'ANALYSE - ERP =&gt; SOUS-SEGMENT'!$AJ$8:$AJ$154)</f>
        <v>15566</v>
      </c>
      <c r="AK18" s="279">
        <f>SUMPRODUCT(('ANALYSE - ERP =&gt; SOUS-SEGMENT'!$B$8:$B$154=$B18)*'ANALYSE - ERP =&gt; SOUS-SEGMENT'!$Q$8:$Q$154*'ANALYSE - ERP =&gt; SOUS-SEGMENT'!$AK$8:$AK$154)</f>
        <v>15665</v>
      </c>
      <c r="AL18" s="276" t="s">
        <v>7559</v>
      </c>
      <c r="AM18" s="276" t="s">
        <v>7559</v>
      </c>
      <c r="AN18" s="276" t="s">
        <v>2148</v>
      </c>
      <c r="AO18" s="657"/>
      <c r="AP18" s="278">
        <f>IFERROR(SUMPRODUCT(('ANALYSE - ERP =&gt; SOUS-SEGMENT'!$B$8:$B$154=$B18)*'ANALYSE - ERP =&gt; SOUS-SEGMENT'!$Q$8:$Q$154*'ANALYSE - ERP =&gt; SOUS-SEGMENT'!$AG$8:$AG$154*'ANALYSE - ERP =&gt; SOUS-SEGMENT'!$AP$8:$AP$154)/SUMPRODUCT(('ANALYSE - ERP =&gt; SOUS-SEGMENT'!$B$8:$B$154=$B18)*'ANALYSE - ERP =&gt; SOUS-SEGMENT'!$Q$8:$Q$154*'ANALYSE - ERP =&gt; SOUS-SEGMENT'!$AG$8:$AG$154),"")</f>
        <v>6.265636256467352</v>
      </c>
      <c r="AQ18" s="278">
        <f>IFERROR(SUMPRODUCT(('ANALYSE - ERP =&gt; SOUS-SEGMENT'!$B$8:$B$154=$B18)*'ANALYSE - ERP =&gt; SOUS-SEGMENT'!$Q$8:$Q$154*'ANALYSE - ERP =&gt; SOUS-SEGMENT'!$AF$8:$AF$154*'ANALYSE - ERP =&gt; SOUS-SEGMENT'!$AQ$8:$AQ$154)/SUMPRODUCT(('ANALYSE - ERP =&gt; SOUS-SEGMENT'!$B$8:$B$154=$B18)*'ANALYSE - ERP =&gt; SOUS-SEGMENT'!$Q$8:$Q$154*'ANALYSE - ERP =&gt; SOUS-SEGMENT'!$AF$8:$AF$154),"")</f>
        <v>6.2241265655899802</v>
      </c>
      <c r="AR18" s="973">
        <f>IFERROR(SUMPRODUCT(('ANALYSE - ERP =&gt; SOUS-SEGMENT'!$B$8:$B$154=$B18)*'ANALYSE - ERP =&gt; SOUS-SEGMENT'!$Q$8:$Q$154*'ANALYSE - ERP =&gt; SOUS-SEGMENT'!$AF$8:$AF$154*'ANALYSE - ERP =&gt; SOUS-SEGMENT'!$AR$8:$AR$154)/SUMPRODUCT(('ANALYSE - ERP =&gt; SOUS-SEGMENT'!$B$8:$B$154=$B18)*'ANALYSE - ERP =&gt; SOUS-SEGMENT'!$Q$8:$Q$154*'ANALYSE - ERP =&gt; SOUS-SEGMENT'!$AF$8:$AF$154),"")</f>
        <v>3.3618984838497033E-2</v>
      </c>
      <c r="AS18" s="973">
        <f>IFERROR(SUMPRODUCT(('ANALYSE - ERP =&gt; SOUS-SEGMENT'!$B$8:$B$154=$B18)*'ANALYSE - ERP =&gt; SOUS-SEGMENT'!$Q$8:$Q$154*'ANALYSE - ERP =&gt; SOUS-SEGMENT'!$AF$8:$AF$154*'ANALYSE - ERP =&gt; SOUS-SEGMENT'!$AS$8:$AS$154)/SUMPRODUCT(('ANALYSE - ERP =&gt; SOUS-SEGMENT'!$B$8:$B$154=$B18)*'ANALYSE - ERP =&gt; SOUS-SEGMENT'!$Q$8:$Q$154*'ANALYSE - ERP =&gt; SOUS-SEGMENT'!$AF$8:$AF$154),"")</f>
        <v>1.1206328279499011E-2</v>
      </c>
      <c r="AT18" s="657" t="s">
        <v>7473</v>
      </c>
      <c r="AU18" s="646" t="s">
        <v>7474</v>
      </c>
      <c r="AV18" s="646" t="s">
        <v>2609</v>
      </c>
      <c r="AW18" s="646" t="s">
        <v>7559</v>
      </c>
      <c r="AX18" s="657"/>
      <c r="AY18" s="282">
        <f>IFERROR(SUMPRODUCT(('ANALYSE - ERP =&gt; SOUS-SEGMENT'!$B$8:$B$154=$B18)*'ANALYSE - ERP =&gt; SOUS-SEGMENT'!$Q$8:$Q$154*'ANALYSE - ERP =&gt; SOUS-SEGMENT'!$AF$8:$AF$154*'ANALYSE - ERP =&gt; SOUS-SEGMENT'!$AZ$8:$AZ$154)/SUMPRODUCT(('ANALYSE - ERP =&gt; SOUS-SEGMENT'!$B$8:$B$154=$B18)*'ANALYSE - ERP =&gt; SOUS-SEGMENT'!$Q$8:$Q$154*'ANALYSE - ERP =&gt; SOUS-SEGMENT'!$AF$8:$AF$154),"")</f>
        <v>1.0336189848384971</v>
      </c>
      <c r="AZ18" s="947">
        <f>IFERROR(SUMPRODUCT(('ANALYSE - ERP =&gt; SOUS-SEGMENT'!$B$8:$B$154=$B18)*'ANALYSE - ERP =&gt; SOUS-SEGMENT'!$Q$8:$Q$154*'ANALYSE - ERP =&gt; SOUS-SEGMENT'!$AF$8:$AF$154*'ANALYSE - ERP =&gt; SOUS-SEGMENT'!$BA$8:$BA$154)/SUMPRODUCT(('ANALYSE - ERP =&gt; SOUS-SEGMENT'!$B$8:$B$154=$B18)*'ANALYSE - ERP =&gt; SOUS-SEGMENT'!$Q$8:$Q$154*'ANALYSE - ERP =&gt; SOUS-SEGMENT'!$AF$8:$AF$154),"")</f>
        <v>8.9650626235992084E-2</v>
      </c>
      <c r="BA18" s="282">
        <f>IFERROR(SUMPRODUCT(('ANALYSE - ERP =&gt; SOUS-SEGMENT'!$B$8:$B$154=$B18)*'ANALYSE - ERP =&gt; SOUS-SEGMENT'!$Q$8:$Q$154*'ANALYSE - ERP =&gt; SOUS-SEGMENT'!$AF$8:$AF$154*'ANALYSE - ERP =&gt; SOUS-SEGMENT'!$BB$8:$BB$154)/SUMPRODUCT(('ANALYSE - ERP =&gt; SOUS-SEGMENT'!$B$8:$B$154=$B18)*'ANALYSE - ERP =&gt; SOUS-SEGMENT'!$Q$8:$Q$154*'ANALYSE - ERP =&gt; SOUS-SEGMENT'!$AF$8:$AF$154),"")</f>
        <v>0.51120632827949897</v>
      </c>
      <c r="BB18" s="282">
        <f>IFERROR(SUMPRODUCT(('ANALYSE - ERP =&gt; SOUS-SEGMENT'!$B$8:$B$154=$B18)*'ANALYSE - ERP =&gt; SOUS-SEGMENT'!$Q$8:$Q$154*'ANALYSE - ERP =&gt; SOUS-SEGMENT'!$AF$8:$AF$154*'ANALYSE - ERP =&gt; SOUS-SEGMENT'!$BC$8:$BC$154)/SUMPRODUCT(('ANALYSE - ERP =&gt; SOUS-SEGMENT'!$B$8:$B$154=$B18)*'ANALYSE - ERP =&gt; SOUS-SEGMENT'!$Q$8:$Q$154*'ANALYSE - ERP =&gt; SOUS-SEGMENT'!$AF$8:$AF$154),"")</f>
        <v>1.0224126565589979</v>
      </c>
      <c r="BC18" s="283">
        <f>SUMPRODUCT(('ANALYSE - ERP =&gt; SOUS-SEGMENT'!$B$8:$B$154=$B18)*'ANALYSE - ERP =&gt; SOUS-SEGMENT'!$Q$8:$Q$154*'ANALYSE - ERP =&gt; SOUS-SEGMENT'!$BE$8:$BE$154)</f>
        <v>15680</v>
      </c>
      <c r="BD18" s="283">
        <f>SUMPRODUCT(('ANALYSE - ERP =&gt; SOUS-SEGMENT'!$B$8:$B$154=$B18)*'ANALYSE - ERP =&gt; SOUS-SEGMENT'!$Q$8:$Q$154*'ANALYSE - ERP =&gt; SOUS-SEGMENT'!$BF$8:$BF$154)</f>
        <v>1360</v>
      </c>
      <c r="BE18" s="283">
        <f>SUMPRODUCT(('ANALYSE - ERP =&gt; SOUS-SEGMENT'!$B$8:$B$154=$B18)*'ANALYSE - ERP =&gt; SOUS-SEGMENT'!$Q$8:$Q$154*'ANALYSE - ERP =&gt; SOUS-SEGMENT'!$BG$8:$BG$154)</f>
        <v>7755</v>
      </c>
      <c r="BF18" s="283">
        <f>SUMPRODUCT(('ANALYSE - ERP =&gt; SOUS-SEGMENT'!$B$8:$B$154=$B18)*'ANALYSE - ERP =&gt; SOUS-SEGMENT'!$Q$8:$Q$154*'ANALYSE - ERP =&gt; SOUS-SEGMENT'!$BH$8:$BH$154)</f>
        <v>15510</v>
      </c>
      <c r="BG18" s="283">
        <f>SUMPRODUCT(('ANALYSE - ERP =&gt; SOUS-SEGMENT'!$B$8:$B$154=$B18)*'ANALYSE - ERP =&gt; SOUS-SEGMENT'!$Q$8:$Q$154*'ANALYSE - ERP =&gt; SOUS-SEGMENT'!$BJ$8:$BJ$154)</f>
        <v>16160</v>
      </c>
      <c r="BH18" s="283">
        <f>SUMPRODUCT(('ANALYSE - ERP =&gt; SOUS-SEGMENT'!$B$8:$B$154=$B18)*'ANALYSE - ERP =&gt; SOUS-SEGMENT'!$Q$8:$Q$154*'ANALYSE - ERP =&gt; SOUS-SEGMENT'!$BK$8:$BK$154)</f>
        <v>1320</v>
      </c>
      <c r="BI18" s="283">
        <f>SUMPRODUCT(('ANALYSE - ERP =&gt; SOUS-SEGMENT'!$B$8:$B$154=$B18)*'ANALYSE - ERP =&gt; SOUS-SEGMENT'!$Q$8:$Q$154*'ANALYSE - ERP =&gt; SOUS-SEGMENT'!$BL$8:$BL$154)</f>
        <v>7997.5</v>
      </c>
      <c r="BJ18" s="283">
        <f>SUMPRODUCT(('ANALYSE - ERP =&gt; SOUS-SEGMENT'!$B$8:$B$154=$B18)*'ANALYSE - ERP =&gt; SOUS-SEGMENT'!$Q$8:$Q$154*'ANALYSE - ERP =&gt; SOUS-SEGMENT'!$BM$8:$BM$154)</f>
        <v>15995</v>
      </c>
      <c r="BK18" s="657"/>
      <c r="BL18" s="577">
        <f>IFERROR(SUMPRODUCT(('ANALYSE - ERP =&gt; SOUS-SEGMENT'!$B$8:$B$154=$B18)*'ANALYSE - ERP =&gt; SOUS-SEGMENT'!$Q$8:$Q$154*'ANALYSE - ERP =&gt; SOUS-SEGMENT'!$BE$8:$BE$154*'ANALYSE - ERP =&gt; SOUS-SEGMENT'!$BO$8:$BO$154)/SUMPRODUCT(('ANALYSE - ERP =&gt; SOUS-SEGMENT'!$B$8:$B$154=$B18)*'ANALYSE - ERP =&gt; SOUS-SEGMENT'!$Q$8:$Q$154*'ANALYSE - ERP =&gt; SOUS-SEGMENT'!$BE$8:$BE$154),"")</f>
        <v>5.303571428571429E-2</v>
      </c>
      <c r="BM18" s="578">
        <f>IFERROR(SUMPRODUCT(('ANALYSE - ERP =&gt; SOUS-SEGMENT'!$B$8:$B$154=$B18)*'ANALYSE - ERP =&gt; SOUS-SEGMENT'!$Q$8:$Q$154*'ANALYSE - ERP =&gt; SOUS-SEGMENT'!$BE$8:$BE$154*'ANALYSE - ERP =&gt; SOUS-SEGMENT'!$BP$8:$BP$154)/SUMPRODUCT(('ANALYSE - ERP =&gt; SOUS-SEGMENT'!$B$8:$B$154=$B18)*'ANALYSE - ERP =&gt; SOUS-SEGMENT'!$Q$8:$Q$154*'ANALYSE - ERP =&gt; SOUS-SEGMENT'!$BE$8:$BE$154),"")</f>
        <v>0.55650510204081638</v>
      </c>
      <c r="BN18" s="578">
        <f>IFERROR(SUMPRODUCT(('ANALYSE - ERP =&gt; SOUS-SEGMENT'!$B$8:$B$154=$B18)*'ANALYSE - ERP =&gt; SOUS-SEGMENT'!$Q$8:$Q$154*'ANALYSE - ERP =&gt; SOUS-SEGMENT'!$BE$8:$BE$154*'ANALYSE - ERP =&gt; SOUS-SEGMENT'!$BQ$8:$BQ$154)/SUMPRODUCT(('ANALYSE - ERP =&gt; SOUS-SEGMENT'!$B$8:$B$154=$B18)*'ANALYSE - ERP =&gt; SOUS-SEGMENT'!$Q$8:$Q$154*'ANALYSE - ERP =&gt; SOUS-SEGMENT'!$BE$8:$BE$154),"")</f>
        <v>8.0867346938775508E-2</v>
      </c>
      <c r="BO18" s="579">
        <f>IFERROR(SUMPRODUCT(('ANALYSE - ERP =&gt; SOUS-SEGMENT'!$B$8:$B$154=$B18)*'ANALYSE - ERP =&gt; SOUS-SEGMENT'!$Q$8:$Q$154*'ANALYSE - ERP =&gt; SOUS-SEGMENT'!$BE$8:$BE$154*'ANALYSE - ERP =&gt; SOUS-SEGMENT'!$BR$8:$BR$154)/SUMPRODUCT(('ANALYSE - ERP =&gt; SOUS-SEGMENT'!$B$8:$B$154=$B18)*'ANALYSE - ERP =&gt; SOUS-SEGMENT'!$Q$8:$Q$154*'ANALYSE - ERP =&gt; SOUS-SEGMENT'!$BE$8:$BE$154),"")</f>
        <v>0.30959183673469387</v>
      </c>
      <c r="BP18" s="577">
        <f>IFERROR(SUMPRODUCT(('ANALYSE - ERP =&gt; SOUS-SEGMENT'!$B$8:$B$154=$B18)*'ANALYSE - ERP =&gt; SOUS-SEGMENT'!$Q$8:$Q$154*'ANALYSE - ERP =&gt; SOUS-SEGMENT'!$BJ$8:$BJ$154*'ANALYSE - ERP =&gt; SOUS-SEGMENT'!$BS$8:$BS$154)/SUMPRODUCT(('ANALYSE - ERP =&gt; SOUS-SEGMENT'!$B$8:$B$154=$B18)*'ANALYSE - ERP =&gt; SOUS-SEGMENT'!$Q$8:$Q$154*'ANALYSE - ERP =&gt; SOUS-SEGMENT'!$BJ$8:$BJ$154),"")</f>
        <v>5.204207920792079E-2</v>
      </c>
      <c r="BQ18" s="578">
        <f>IFERROR(SUMPRODUCT(('ANALYSE - ERP =&gt; SOUS-SEGMENT'!$B$8:$B$154=$B18)*'ANALYSE - ERP =&gt; SOUS-SEGMENT'!$Q$8:$Q$154*'ANALYSE - ERP =&gt; SOUS-SEGMENT'!$BJ$8:$BJ$154*'ANALYSE - ERP =&gt; SOUS-SEGMENT'!$BT$8:$BT$154)/SUMPRODUCT(('ANALYSE - ERP =&gt; SOUS-SEGMENT'!$B$8:$B$154=$B18)*'ANALYSE - ERP =&gt; SOUS-SEGMENT'!$Q$8:$Q$154*'ANALYSE - ERP =&gt; SOUS-SEGMENT'!$BJ$8:$BJ$154),"")</f>
        <v>0.5457178217821782</v>
      </c>
      <c r="BR18" s="578">
        <f>IFERROR(SUMPRODUCT(('ANALYSE - ERP =&gt; SOUS-SEGMENT'!$B$8:$B$154=$B18)*'ANALYSE - ERP =&gt; SOUS-SEGMENT'!$Q$8:$Q$154*'ANALYSE - ERP =&gt; SOUS-SEGMENT'!$BJ$8:$BJ$154*'ANALYSE - ERP =&gt; SOUS-SEGMENT'!$BU$8:$BU$154)/SUMPRODUCT(('ANALYSE - ERP =&gt; SOUS-SEGMENT'!$B$8:$B$154=$B18)*'ANALYSE - ERP =&gt; SOUS-SEGMENT'!$Q$8:$Q$154*'ANALYSE - ERP =&gt; SOUS-SEGMENT'!$BJ$8:$BJ$154),"")</f>
        <v>9.2450495049504949E-2</v>
      </c>
      <c r="BS18" s="579">
        <f>IFERROR(SUMPRODUCT(('ANALYSE - ERP =&gt; SOUS-SEGMENT'!$B$8:$B$154=$B18)*'ANALYSE - ERP =&gt; SOUS-SEGMENT'!$Q$8:$Q$154*'ANALYSE - ERP =&gt; SOUS-SEGMENT'!$BJ$8:$BJ$154*'ANALYSE - ERP =&gt; SOUS-SEGMENT'!$BV$8:$BV$154)/SUMPRODUCT(('ANALYSE - ERP =&gt; SOUS-SEGMENT'!$B$8:$B$154=$B18)*'ANALYSE - ERP =&gt; SOUS-SEGMENT'!$Q$8:$Q$154*'ANALYSE - ERP =&gt; SOUS-SEGMENT'!$BJ$8:$BJ$154),"")</f>
        <v>0.30978960396039601</v>
      </c>
      <c r="BT18" s="586">
        <f>IFERROR(SUMPRODUCT(('ANALYSE - ERP =&gt; SOUS-SEGMENT'!$B$8:$B$154=$B18)*'ANALYSE - ERP =&gt; SOUS-SEGMENT'!$Q$8:$Q$154*'ANALYSE - ERP =&gt; SOUS-SEGMENT'!$BF$8:$BF$154*'ANALYSE - ERP =&gt; SOUS-SEGMENT'!$BW$8:$BW$154)/SUMPRODUCT(('ANALYSE - ERP =&gt; SOUS-SEGMENT'!$B$8:$B$154=$B18)*'ANALYSE - ERP =&gt; SOUS-SEGMENT'!$Q$8:$Q$154*'ANALYSE - ERP =&gt; SOUS-SEGMENT'!$BF$8:$BF$154),"")</f>
        <v>0.08</v>
      </c>
      <c r="BU18" s="587">
        <f>IFERROR(SUMPRODUCT(('ANALYSE - ERP =&gt; SOUS-SEGMENT'!$B$8:$B$154=$B18)*'ANALYSE - ERP =&gt; SOUS-SEGMENT'!$Q$8:$Q$154*'ANALYSE - ERP =&gt; SOUS-SEGMENT'!$BF$8:$BF$154*'ANALYSE - ERP =&gt; SOUS-SEGMENT'!$BX$8:$BX$154)/SUMPRODUCT(('ANALYSE - ERP =&gt; SOUS-SEGMENT'!$B$8:$B$154=$B18)*'ANALYSE - ERP =&gt; SOUS-SEGMENT'!$Q$8:$Q$154*'ANALYSE - ERP =&gt; SOUS-SEGMENT'!$BF$8:$BF$154),"")</f>
        <v>0.82000000000000006</v>
      </c>
      <c r="BV18" s="588">
        <f>IFERROR(SUMPRODUCT(('ANALYSE - ERP =&gt; SOUS-SEGMENT'!$B$8:$B$154=$B18)*'ANALYSE - ERP =&gt; SOUS-SEGMENT'!$Q$8:$Q$154*'ANALYSE - ERP =&gt; SOUS-SEGMENT'!$BF$8:$BF$154*'ANALYSE - ERP =&gt; SOUS-SEGMENT'!$BY$8:$BY$154)/SUMPRODUCT(('ANALYSE - ERP =&gt; SOUS-SEGMENT'!$B$8:$B$154=$B18)*'ANALYSE - ERP =&gt; SOUS-SEGMENT'!$Q$8:$Q$154*'ANALYSE - ERP =&gt; SOUS-SEGMENT'!$BF$8:$BF$154),"")</f>
        <v>0.1</v>
      </c>
      <c r="BW18" s="586">
        <f>IFERROR(SUMPRODUCT(('ANALYSE - ERP =&gt; SOUS-SEGMENT'!$B$8:$B$154=$B18)*'ANALYSE - ERP =&gt; SOUS-SEGMENT'!$Q$8:$Q$154*'ANALYSE - ERP =&gt; SOUS-SEGMENT'!$BK$8:$BK$154*'ANALYSE - ERP =&gt; SOUS-SEGMENT'!$BZ$8:$BZ$154)/SUMPRODUCT(('ANALYSE - ERP =&gt; SOUS-SEGMENT'!$B$8:$B$154=$B18)*'ANALYSE - ERP =&gt; SOUS-SEGMENT'!$Q$8:$Q$154*'ANALYSE - ERP =&gt; SOUS-SEGMENT'!$BK$8:$BK$154),"")</f>
        <v>6.0000000000000005E-2</v>
      </c>
      <c r="BX18" s="587">
        <f>IFERROR(SUMPRODUCT(('ANALYSE - ERP =&gt; SOUS-SEGMENT'!$B$8:$B$154=$B18)*'ANALYSE - ERP =&gt; SOUS-SEGMENT'!$Q$8:$Q$154*'ANALYSE - ERP =&gt; SOUS-SEGMENT'!$BK$8:$BK$154*'ANALYSE - ERP =&gt; SOUS-SEGMENT'!$CA$8:$CA$154)/SUMPRODUCT(('ANALYSE - ERP =&gt; SOUS-SEGMENT'!$B$8:$B$154=$B18)*'ANALYSE - ERP =&gt; SOUS-SEGMENT'!$Q$8:$Q$154*'ANALYSE - ERP =&gt; SOUS-SEGMENT'!$BK$8:$BK$154),"")</f>
        <v>0.78999999999999992</v>
      </c>
      <c r="BY18" s="588">
        <f>IFERROR(SUMPRODUCT(('ANALYSE - ERP =&gt; SOUS-SEGMENT'!$B$8:$B$154=$B18)*'ANALYSE - ERP =&gt; SOUS-SEGMENT'!$Q$8:$Q$154*'ANALYSE - ERP =&gt; SOUS-SEGMENT'!$BK$8:$BK$154*'ANALYSE - ERP =&gt; SOUS-SEGMENT'!$CB$8:$CB$154)/SUMPRODUCT(('ANALYSE - ERP =&gt; SOUS-SEGMENT'!$B$8:$B$154=$B18)*'ANALYSE - ERP =&gt; SOUS-SEGMENT'!$Q$8:$Q$154*'ANALYSE - ERP =&gt; SOUS-SEGMENT'!$BK$8:$BK$154),"")</f>
        <v>0.15</v>
      </c>
      <c r="BZ18" s="577">
        <f>IFERROR(SUMPRODUCT(('ANALYSE - ERP =&gt; SOUS-SEGMENT'!$B$8:$B$154=$B18)*'ANALYSE - ERP =&gt; SOUS-SEGMENT'!$Q$8:$Q$154*'ANALYSE - ERP =&gt; SOUS-SEGMENT'!$BG$8:$BG$154*'ANALYSE - ERP =&gt; SOUS-SEGMENT'!$CC$8:$CC$154)/SUMPRODUCT(('ANALYSE - ERP =&gt; SOUS-SEGMENT'!$B$8:$B$154=$B18)*'ANALYSE - ERP =&gt; SOUS-SEGMENT'!$Q$8:$Q$154*'ANALYSE - ERP =&gt; SOUS-SEGMENT'!$BG$8:$BG$154),"")</f>
        <v>0.05</v>
      </c>
      <c r="CA18" s="578">
        <f>IFERROR(SUMPRODUCT(('ANALYSE - ERP =&gt; SOUS-SEGMENT'!$B$8:$B$154=$B18)*'ANALYSE - ERP =&gt; SOUS-SEGMENT'!$Q$8:$Q$154*'ANALYSE - ERP =&gt; SOUS-SEGMENT'!$BG$8:$BG$154*'ANALYSE - ERP =&gt; SOUS-SEGMENT'!$CD$8:$CD$154)/SUMPRODUCT(('ANALYSE - ERP =&gt; SOUS-SEGMENT'!$B$8:$B$154=$B18)*'ANALYSE - ERP =&gt; SOUS-SEGMENT'!$Q$8:$Q$154*'ANALYSE - ERP =&gt; SOUS-SEGMENT'!$BG$8:$BG$154),"")</f>
        <v>0.72000000000000008</v>
      </c>
      <c r="CB18" s="578">
        <f>IFERROR(SUMPRODUCT(('ANALYSE - ERP =&gt; SOUS-SEGMENT'!$B$8:$B$154=$B18)*'ANALYSE - ERP =&gt; SOUS-SEGMENT'!$Q$8:$Q$154*'ANALYSE - ERP =&gt; SOUS-SEGMENT'!$BG$8:$BG$154*'ANALYSE - ERP =&gt; SOUS-SEGMENT'!$CE$8:$CE$154)/SUMPRODUCT(('ANALYSE - ERP =&gt; SOUS-SEGMENT'!$B$8:$B$154=$B18)*'ANALYSE - ERP =&gt; SOUS-SEGMENT'!$Q$8:$Q$154*'ANALYSE - ERP =&gt; SOUS-SEGMENT'!$BG$8:$BG$154),"")</f>
        <v>0.08</v>
      </c>
      <c r="CC18" s="579">
        <f>IFERROR(SUMPRODUCT(('ANALYSE - ERP =&gt; SOUS-SEGMENT'!$B$8:$B$154=$B18)*'ANALYSE - ERP =&gt; SOUS-SEGMENT'!$Q$8:$Q$154*'ANALYSE - ERP =&gt; SOUS-SEGMENT'!$BG$8:$BG$154*'ANALYSE - ERP =&gt; SOUS-SEGMENT'!$CF$8:$CF$154)/SUMPRODUCT(('ANALYSE - ERP =&gt; SOUS-SEGMENT'!$B$8:$B$154=$B18)*'ANALYSE - ERP =&gt; SOUS-SEGMENT'!$Q$8:$Q$154*'ANALYSE - ERP =&gt; SOUS-SEGMENT'!$BG$8:$BG$154),"")</f>
        <v>0.15</v>
      </c>
      <c r="CD18" s="577">
        <f>IFERROR(SUMPRODUCT(('ANALYSE - ERP =&gt; SOUS-SEGMENT'!$B$8:$B$154=$B18)*'ANALYSE - ERP =&gt; SOUS-SEGMENT'!$Q$8:$Q$154*'ANALYSE - ERP =&gt; SOUS-SEGMENT'!$BL$8:$BL$154*'ANALYSE - ERP =&gt; SOUS-SEGMENT'!$CG$8:$CG$154)/SUMPRODUCT(('ANALYSE - ERP =&gt; SOUS-SEGMENT'!$B$8:$B$154=$B18)*'ANALYSE - ERP =&gt; SOUS-SEGMENT'!$Q$8:$Q$154*'ANALYSE - ERP =&gt; SOUS-SEGMENT'!$BL$8:$BL$154),"")</f>
        <v>3.9999999999999994E-2</v>
      </c>
      <c r="CE18" s="578">
        <f>IFERROR(SUMPRODUCT(('ANALYSE - ERP =&gt; SOUS-SEGMENT'!$B$8:$B$154=$B18)*'ANALYSE - ERP =&gt; SOUS-SEGMENT'!$Q$8:$Q$154*'ANALYSE - ERP =&gt; SOUS-SEGMENT'!$BL$8:$BL$154*'ANALYSE - ERP =&gt; SOUS-SEGMENT'!$CH$8:$CH$154)/SUMPRODUCT(('ANALYSE - ERP =&gt; SOUS-SEGMENT'!$B$8:$B$154=$B18)*'ANALYSE - ERP =&gt; SOUS-SEGMENT'!$Q$8:$Q$154*'ANALYSE - ERP =&gt; SOUS-SEGMENT'!$BL$8:$BL$154),"")</f>
        <v>0.72</v>
      </c>
      <c r="CF18" s="578">
        <f>IFERROR(SUMPRODUCT(('ANALYSE - ERP =&gt; SOUS-SEGMENT'!$B$8:$B$154=$B18)*'ANALYSE - ERP =&gt; SOUS-SEGMENT'!$Q$8:$Q$154*'ANALYSE - ERP =&gt; SOUS-SEGMENT'!$BL$8:$BL$154*'ANALYSE - ERP =&gt; SOUS-SEGMENT'!$CI$8:$CI$154)/SUMPRODUCT(('ANALYSE - ERP =&gt; SOUS-SEGMENT'!$B$8:$B$154=$B18)*'ANALYSE - ERP =&gt; SOUS-SEGMENT'!$Q$8:$Q$154*'ANALYSE - ERP =&gt; SOUS-SEGMENT'!$BL$8:$BL$154),"")</f>
        <v>0.1</v>
      </c>
      <c r="CG18" s="579">
        <f>IFERROR(SUMPRODUCT(('ANALYSE - ERP =&gt; SOUS-SEGMENT'!$B$8:$B$154=$B18)*'ANALYSE - ERP =&gt; SOUS-SEGMENT'!$Q$8:$Q$154*'ANALYSE - ERP =&gt; SOUS-SEGMENT'!$BL$8:$BL$154*'ANALYSE - ERP =&gt; SOUS-SEGMENT'!$CJ$8:$CJ$154)/SUMPRODUCT(('ANALYSE - ERP =&gt; SOUS-SEGMENT'!$B$8:$B$154=$B18)*'ANALYSE - ERP =&gt; SOUS-SEGMENT'!$Q$8:$Q$154*'ANALYSE - ERP =&gt; SOUS-SEGMENT'!$BL$8:$BL$154),"")</f>
        <v>0.14000000000000001</v>
      </c>
      <c r="CH18" s="586">
        <f>IFERROR(SUMPRODUCT(('ANALYSE - ERP =&gt; SOUS-SEGMENT'!$B$8:$B$154=$B18)*'ANALYSE - ERP =&gt; SOUS-SEGMENT'!$Q$8:$Q$154*'ANALYSE - ERP =&gt; SOUS-SEGMENT'!$BH$8:$BH$154*'ANALYSE - ERP =&gt; SOUS-SEGMENT'!$CK$8:$CK$154)/SUMPRODUCT(('ANALYSE - ERP =&gt; SOUS-SEGMENT'!$B$8:$B$154=$B18)*'ANALYSE - ERP =&gt; SOUS-SEGMENT'!$Q$8:$Q$154*'ANALYSE - ERP =&gt; SOUS-SEGMENT'!$BH$8:$BH$154),"")</f>
        <v>0.10493230174081238</v>
      </c>
      <c r="CI18" s="587">
        <f>IFERROR(SUMPRODUCT(('ANALYSE - ERP =&gt; SOUS-SEGMENT'!$B$8:$B$154=$B18)*'ANALYSE - ERP =&gt; SOUS-SEGMENT'!$Q$8:$Q$154*'ANALYSE - ERP =&gt; SOUS-SEGMENT'!$BH$8:$BH$154*'ANALYSE - ERP =&gt; SOUS-SEGMENT'!$CL$8:$CL$154)/SUMPRODUCT(('ANALYSE - ERP =&gt; SOUS-SEGMENT'!$B$8:$B$154=$B18)*'ANALYSE - ERP =&gt; SOUS-SEGMENT'!$Q$8:$Q$154*'ANALYSE - ERP =&gt; SOUS-SEGMENT'!$BH$8:$BH$154),"")</f>
        <v>0.6467117988394584</v>
      </c>
      <c r="CJ18" s="588">
        <f>IFERROR(SUMPRODUCT(('ANALYSE - ERP =&gt; SOUS-SEGMENT'!$B$8:$B$154=$B18)*'ANALYSE - ERP =&gt; SOUS-SEGMENT'!$Q$8:$Q$154*'ANALYSE - ERP =&gt; SOUS-SEGMENT'!$BH$8:$BH$154*'ANALYSE - ERP =&gt; SOUS-SEGMENT'!$CM$8:$CM$154)/SUMPRODUCT(('ANALYSE - ERP =&gt; SOUS-SEGMENT'!$B$8:$B$154=$B18)*'ANALYSE - ERP =&gt; SOUS-SEGMENT'!$Q$8:$Q$154*'ANALYSE - ERP =&gt; SOUS-SEGMENT'!$BH$8:$BH$154),"")</f>
        <v>0.24835589941972921</v>
      </c>
      <c r="CK18" s="586">
        <f>IFERROR(SUMPRODUCT(('ANALYSE - ERP =&gt; SOUS-SEGMENT'!$B$8:$B$154=$B18)*'ANALYSE - ERP =&gt; SOUS-SEGMENT'!$Q$8:$Q$154*'ANALYSE - ERP =&gt; SOUS-SEGMENT'!$BM$8:$BM$154*'ANALYSE - ERP =&gt; SOUS-SEGMENT'!$CN$8:$CN$154)/SUMPRODUCT(('ANALYSE - ERP =&gt; SOUS-SEGMENT'!$B$8:$B$154=$B18)*'ANALYSE - ERP =&gt; SOUS-SEGMENT'!$Q$8:$Q$154*'ANALYSE - ERP =&gt; SOUS-SEGMENT'!$BM$8:$BM$154),"")</f>
        <v>5.4642075648640202E-2</v>
      </c>
      <c r="CL18" s="587">
        <f>IFERROR(SUMPRODUCT(('ANALYSE - ERP =&gt; SOUS-SEGMENT'!$B$8:$B$154=$B18)*'ANALYSE - ERP =&gt; SOUS-SEGMENT'!$Q$8:$Q$154*'ANALYSE - ERP =&gt; SOUS-SEGMENT'!$BM$8:$BM$154*'ANALYSE - ERP =&gt; SOUS-SEGMENT'!$CO$8:$CO$154)/SUMPRODUCT(('ANALYSE - ERP =&gt; SOUS-SEGMENT'!$B$8:$B$154=$B18)*'ANALYSE - ERP =&gt; SOUS-SEGMENT'!$Q$8:$Q$154*'ANALYSE - ERP =&gt; SOUS-SEGMENT'!$BM$8:$BM$154),"")</f>
        <v>0.6472147546108159</v>
      </c>
      <c r="CM18" s="588">
        <f>IFERROR(SUMPRODUCT(('ANALYSE - ERP =&gt; SOUS-SEGMENT'!$B$8:$B$154=$B18)*'ANALYSE - ERP =&gt; SOUS-SEGMENT'!$Q$8:$Q$154*'ANALYSE - ERP =&gt; SOUS-SEGMENT'!$BM$8:$BM$154*'ANALYSE - ERP =&gt; SOUS-SEGMENT'!$CP$8:$CP$154)/SUMPRODUCT(('ANALYSE - ERP =&gt; SOUS-SEGMENT'!$B$8:$B$154=$B18)*'ANALYSE - ERP =&gt; SOUS-SEGMENT'!$Q$8:$Q$154*'ANALYSE - ERP =&gt; SOUS-SEGMENT'!$BM$8:$BM$154),"")</f>
        <v>0.29814316974054395</v>
      </c>
      <c r="CN18" s="657"/>
      <c r="CO18" s="877">
        <f>IFERROR(SUMPRODUCT(('ANALYSE - ERP =&gt; SOUS-SEGMENT'!$B$8:$B$154=$B18)*'ANALYSE - ERP =&gt; SOUS-SEGMENT'!$DH$8:$DH$154*'ANALYSE - ERP =&gt; SOUS-SEGMENT'!$CR$8:$CR$154)/SUMPRODUCT(('ANALYSE - ERP =&gt; SOUS-SEGMENT'!$B$8:$B$154=$B18)*'ANALYSE - ERP =&gt; SOUS-SEGMENT'!$DH$8:$DH$154),"")</f>
        <v>9</v>
      </c>
      <c r="CP18" s="878">
        <f>IFERROR(SUMPRODUCT(('ANALYSE - ERP =&gt; SOUS-SEGMENT'!$B$8:$B$154=$B18)*'ANALYSE - ERP =&gt; SOUS-SEGMENT'!$DI$8:$DI$154*'ANALYSE - ERP =&gt; SOUS-SEGMENT'!$CS$8:$CS$154)/SUMPRODUCT(('ANALYSE - ERP =&gt; SOUS-SEGMENT'!$B$8:$B$154=$B18)*'ANALYSE - ERP =&gt; SOUS-SEGMENT'!$DI$8:$DI$154),"")</f>
        <v>10.054549621819849</v>
      </c>
      <c r="CQ18" s="878">
        <f>IFERROR(SUMPRODUCT(('ANALYSE - ERP =&gt; SOUS-SEGMENT'!$B$8:$B$154=$B18)*'ANALYSE - ERP =&gt; SOUS-SEGMENT'!$DJ$8:$DJ$154*'ANALYSE - ERP =&gt; SOUS-SEGMENT'!$CT$8:$CT$154)/SUMPRODUCT(('ANALYSE - ERP =&gt; SOUS-SEGMENT'!$B$8:$B$154=$B18)*'ANALYSE - ERP =&gt; SOUS-SEGMENT'!$DJ$8:$DJ$154),"")</f>
        <v>7.0536277602523656</v>
      </c>
      <c r="CR18" s="879">
        <f>IFERROR(SUMPRODUCT(('ANALYSE - ERP =&gt; SOUS-SEGMENT'!$B$8:$B$154=$B18)*'ANALYSE - ERP =&gt; SOUS-SEGMENT'!$DK$8:$DK$154*'ANALYSE - ERP =&gt; SOUS-SEGMENT'!$CU$8:$CU$154)/SUMPRODUCT(('ANALYSE - ERP =&gt; SOUS-SEGMENT'!$B$8:$B$154=$B18)*'ANALYSE - ERP =&gt; SOUS-SEGMENT'!$DK$8:$DK$154),"")</f>
        <v>9</v>
      </c>
      <c r="CS18" s="877">
        <f>IFERROR(SUMPRODUCT(('ANALYSE - ERP =&gt; SOUS-SEGMENT'!$B$8:$B$154=$B18)*'ANALYSE - ERP =&gt; SOUS-SEGMENT'!$DS$8:$DS$154*'ANALYSE - ERP =&gt; SOUS-SEGMENT'!$CV$8:$CV$154)/SUMPRODUCT(('ANALYSE - ERP =&gt; SOUS-SEGMENT'!$B$8:$B$154=$B18)*'ANALYSE - ERP =&gt; SOUS-SEGMENT'!$DS$8:$DS$154),"")</f>
        <v>8</v>
      </c>
      <c r="CT18" s="878">
        <f>IFERROR(SUMPRODUCT(('ANALYSE - ERP =&gt; SOUS-SEGMENT'!$B$8:$B$154=$B18)*'ANALYSE - ERP =&gt; SOUS-SEGMENT'!$DT$8:$DT$154*'ANALYSE - ERP =&gt; SOUS-SEGMENT'!$CW$8:$CW$154)/SUMPRODUCT(('ANALYSE - ERP =&gt; SOUS-SEGMENT'!$B$8:$B$154=$B18)*'ANALYSE - ERP =&gt; SOUS-SEGMENT'!$DT$8:$DT$154),"")</f>
        <v>8</v>
      </c>
      <c r="CU18" s="879">
        <f>IFERROR(SUMPRODUCT(('ANALYSE - ERP =&gt; SOUS-SEGMENT'!$B$8:$B$154=$B18)*'ANALYSE - ERP =&gt; SOUS-SEGMENT'!$DU$8:$DU$154*'ANALYSE - ERP =&gt; SOUS-SEGMENT'!$CX$8:$CX$154)/SUMPRODUCT(('ANALYSE - ERP =&gt; SOUS-SEGMENT'!$B$8:$B$154=$B18)*'ANALYSE - ERP =&gt; SOUS-SEGMENT'!$DU$8:$DU$154),"")</f>
        <v>6</v>
      </c>
      <c r="CV18" s="877">
        <f>IFERROR(SUMPRODUCT(('ANALYSE - ERP =&gt; SOUS-SEGMENT'!$B$8:$B$154=$B18)*'ANALYSE - ERP =&gt; SOUS-SEGMENT'!$EB$8:$EB$154*'ANALYSE - ERP =&gt; SOUS-SEGMENT'!$CY$8:$CY$154)/SUMPRODUCT(('ANALYSE - ERP =&gt; SOUS-SEGMENT'!$B$8:$B$154=$B18)*'ANALYSE - ERP =&gt; SOUS-SEGMENT'!$EB$8:$EB$154),"")</f>
        <v>8</v>
      </c>
      <c r="CW18" s="878">
        <f>IFERROR(SUMPRODUCT(('ANALYSE - ERP =&gt; SOUS-SEGMENT'!$B$8:$B$154=$B18)*'ANALYSE - ERP =&gt; SOUS-SEGMENT'!$EC$8:$EC$154*'ANALYSE - ERP =&gt; SOUS-SEGMENT'!$CZ$8:$CZ$154)/SUMPRODUCT(('ANALYSE - ERP =&gt; SOUS-SEGMENT'!$B$8:$B$154=$B18)*'ANALYSE - ERP =&gt; SOUS-SEGMENT'!$EC$8:$EC$154),"")</f>
        <v>9</v>
      </c>
      <c r="CX18" s="878">
        <f>IFERROR(SUMPRODUCT(('ANALYSE - ERP =&gt; SOUS-SEGMENT'!$B$8:$B$154=$B18)*'ANALYSE - ERP =&gt; SOUS-SEGMENT'!$ED$8:$ED$154*'ANALYSE - ERP =&gt; SOUS-SEGMENT'!$DA$8:$DA$154)/SUMPRODUCT(('ANALYSE - ERP =&gt; SOUS-SEGMENT'!$B$8:$B$154=$B18)*'ANALYSE - ERP =&gt; SOUS-SEGMENT'!$ED$8:$ED$154),"")</f>
        <v>6</v>
      </c>
      <c r="CY18" s="880">
        <f>IFERROR(SUMPRODUCT(('ANALYSE - ERP =&gt; SOUS-SEGMENT'!$B$8:$B$154=$B18)*'ANALYSE - ERP =&gt; SOUS-SEGMENT'!$EE$8:$EE$154*'ANALYSE - ERP =&gt; SOUS-SEGMENT'!$DB$8:$DB$154)/SUMPRODUCT(('ANALYSE - ERP =&gt; SOUS-SEGMENT'!$B$8:$B$154=$B18)*'ANALYSE - ERP =&gt; SOUS-SEGMENT'!$EE$8:$EE$154),"")</f>
        <v>8</v>
      </c>
      <c r="CZ18" s="881">
        <f>IFERROR(SUMPRODUCT(('ANALYSE - ERP =&gt; SOUS-SEGMENT'!$B$8:$B$154=$B18)*'ANALYSE - ERP =&gt; SOUS-SEGMENT'!$EM$8:$EM$154*'ANALYSE - ERP =&gt; SOUS-SEGMENT'!$DC$8:$DC$154)/SUMPRODUCT(('ANALYSE - ERP =&gt; SOUS-SEGMENT'!$B$8:$B$154=$B18)*'ANALYSE - ERP =&gt; SOUS-SEGMENT'!$EM$8:$EM$154),"")</f>
        <v>9</v>
      </c>
      <c r="DA18" s="878">
        <f>IFERROR(SUMPRODUCT(('ANALYSE - ERP =&gt; SOUS-SEGMENT'!$B$8:$B$154=$B18)*'ANALYSE - ERP =&gt; SOUS-SEGMENT'!$EN$8:$EN$154*'ANALYSE - ERP =&gt; SOUS-SEGMENT'!$DD$8:$DD$154)/SUMPRODUCT(('ANALYSE - ERP =&gt; SOUS-SEGMENT'!$B$8:$B$154=$B18)*'ANALYSE - ERP =&gt; SOUS-SEGMENT'!$EN$8:$EN$154),"")</f>
        <v>10.055929415283385</v>
      </c>
      <c r="DB18" s="880">
        <f>IFERROR(SUMPRODUCT(('ANALYSE - ERP =&gt; SOUS-SEGMENT'!$B$8:$B$154=$B18)*'ANALYSE - ERP =&gt; SOUS-SEGMENT'!$EO$8:$EO$154*'ANALYSE - ERP =&gt; SOUS-SEGMENT'!$DE$8:$DE$154)/SUMPRODUCT(('ANALYSE - ERP =&gt; SOUS-SEGMENT'!$B$8:$B$154=$B18)*'ANALYSE - ERP =&gt; SOUS-SEGMENT'!$EO$8:$EO$154),"")</f>
        <v>7.0529595015576323</v>
      </c>
      <c r="DC18" s="287" t="s">
        <v>7559</v>
      </c>
      <c r="DD18" s="657"/>
      <c r="DE18" s="308">
        <f t="shared" si="2"/>
        <v>831.6</v>
      </c>
      <c r="DF18" s="308">
        <f t="shared" si="3"/>
        <v>8726</v>
      </c>
      <c r="DG18" s="308">
        <f t="shared" si="4"/>
        <v>1268</v>
      </c>
      <c r="DH18" s="308">
        <f t="shared" si="5"/>
        <v>4854.3999999999996</v>
      </c>
      <c r="DI18" s="287" t="s">
        <v>7559</v>
      </c>
      <c r="DJ18" s="308">
        <f t="shared" si="6"/>
        <v>841</v>
      </c>
      <c r="DK18" s="308">
        <f t="shared" si="7"/>
        <v>8818.7999999999993</v>
      </c>
      <c r="DL18" s="308">
        <f t="shared" si="8"/>
        <v>1494</v>
      </c>
      <c r="DM18" s="308">
        <f t="shared" si="9"/>
        <v>5006.2</v>
      </c>
      <c r="DN18" s="289" t="s">
        <v>7559</v>
      </c>
      <c r="DO18" s="657"/>
      <c r="DP18" s="308">
        <f t="shared" si="10"/>
        <v>108.8</v>
      </c>
      <c r="DQ18" s="308">
        <f t="shared" si="11"/>
        <v>1115.2</v>
      </c>
      <c r="DR18" s="308">
        <f t="shared" si="12"/>
        <v>136</v>
      </c>
      <c r="DS18" s="289" t="s">
        <v>7559</v>
      </c>
      <c r="DT18" s="308">
        <f t="shared" si="13"/>
        <v>79.2</v>
      </c>
      <c r="DU18" s="308">
        <f t="shared" si="14"/>
        <v>1042.8</v>
      </c>
      <c r="DV18" s="308">
        <f t="shared" si="15"/>
        <v>198</v>
      </c>
      <c r="DW18" s="289" t="s">
        <v>7559</v>
      </c>
      <c r="DX18" s="657"/>
      <c r="DY18" s="308">
        <f t="shared" si="16"/>
        <v>387.75</v>
      </c>
      <c r="DZ18" s="308">
        <f t="shared" si="17"/>
        <v>5583.6</v>
      </c>
      <c r="EA18" s="308">
        <f t="shared" si="18"/>
        <v>620.4</v>
      </c>
      <c r="EB18" s="308">
        <f t="shared" si="19"/>
        <v>1163.25</v>
      </c>
      <c r="EC18" s="289" t="s">
        <v>7559</v>
      </c>
      <c r="ED18" s="308">
        <f t="shared" si="20"/>
        <v>319.89999999999998</v>
      </c>
      <c r="EE18" s="308">
        <f t="shared" si="21"/>
        <v>5758.2</v>
      </c>
      <c r="EF18" s="308">
        <f t="shared" si="22"/>
        <v>799.75</v>
      </c>
      <c r="EG18" s="308">
        <f t="shared" si="23"/>
        <v>1119.6500000000001</v>
      </c>
      <c r="EH18" s="309" t="s">
        <v>7559</v>
      </c>
      <c r="EI18" s="290"/>
      <c r="EJ18" s="308">
        <f t="shared" si="24"/>
        <v>1627.5</v>
      </c>
      <c r="EK18" s="310">
        <f t="shared" si="25"/>
        <v>10030.5</v>
      </c>
      <c r="EL18" s="310">
        <f t="shared" si="26"/>
        <v>3852</v>
      </c>
      <c r="EM18" s="289" t="s">
        <v>7559</v>
      </c>
      <c r="EN18" s="308">
        <f t="shared" si="27"/>
        <v>874</v>
      </c>
      <c r="EO18" s="310">
        <f t="shared" si="28"/>
        <v>10352.200000000001</v>
      </c>
      <c r="EP18" s="310">
        <f t="shared" si="29"/>
        <v>4768.8</v>
      </c>
      <c r="EQ18" s="289" t="s">
        <v>7559</v>
      </c>
      <c r="ER18" s="657"/>
      <c r="ES18" s="728">
        <f t="shared" si="30"/>
        <v>0.80629924861203883</v>
      </c>
      <c r="ET18" s="728">
        <f t="shared" si="31"/>
        <v>0.1937007513879612</v>
      </c>
      <c r="EU18" s="311">
        <f t="shared" si="32"/>
        <v>21297.479077597403</v>
      </c>
      <c r="EV18" s="311">
        <f t="shared" si="33"/>
        <v>17172.141377597403</v>
      </c>
      <c r="EW18" s="311">
        <f t="shared" si="34"/>
        <v>4125.3377</v>
      </c>
      <c r="EX18" s="311">
        <f t="shared" si="35"/>
        <v>7953.5330418831163</v>
      </c>
      <c r="EY18" s="311">
        <f>SUMPRODUCT(('ANALYSE - ERP =&gt; SOUS-SEGMENT'!$B$8:$B$154=$B18)*'ANALYSE - ERP =&gt; SOUS-SEGMENT'!$Q$8:$Q$154*'ANALYSE - ERP =&gt; SOUS-SEGMENT'!$FB$8:$FB$154)</f>
        <v>6325.1178418831169</v>
      </c>
      <c r="EZ18" s="311">
        <f>SUMPRODUCT(('ANALYSE - ERP =&gt; SOUS-SEGMENT'!$B$8:$B$154=$B18)*'ANALYSE - ERP =&gt; SOUS-SEGMENT'!$Q$8:$Q$154*'ANALYSE - ERP =&gt; SOUS-SEGMENT'!$FC$8:$FC$154)</f>
        <v>1628.4151999999999</v>
      </c>
      <c r="FA18" s="311">
        <f t="shared" si="36"/>
        <v>901.43039999999996</v>
      </c>
      <c r="FB18" s="311">
        <f>SUMPRODUCT(('ANALYSE - ERP =&gt; SOUS-SEGMENT'!$B$8:$B$154=$B18)*'ANALYSE - ERP =&gt; SOUS-SEGMENT'!$Q$8:$Q$154*'ANALYSE - ERP =&gt; SOUS-SEGMENT'!$FE$8:$FE$154)</f>
        <v>834.6</v>
      </c>
      <c r="FC18" s="311">
        <f>SUMPRODUCT(('ANALYSE - ERP =&gt; SOUS-SEGMENT'!$B$8:$B$154=$B18)*'ANALYSE - ERP =&gt; SOUS-SEGMENT'!$Q$8:$Q$154*'ANALYSE - ERP =&gt; SOUS-SEGMENT'!$FF$8:$FF$154)</f>
        <v>66.830399999999997</v>
      </c>
      <c r="FD18" s="311">
        <f t="shared" si="37"/>
        <v>4305.4929249999996</v>
      </c>
      <c r="FE18" s="311">
        <f>SUMPRODUCT(('ANALYSE - ERP =&gt; SOUS-SEGMENT'!$B$8:$B$154=$B18)*'ANALYSE - ERP =&gt; SOUS-SEGMENT'!$Q$8:$Q$154*'ANALYSE - ERP =&gt; SOUS-SEGMENT'!$FH$8:$FH$154)</f>
        <v>3495.4622249999998</v>
      </c>
      <c r="FF18" s="311">
        <f>SUMPRODUCT(('ANALYSE - ERP =&gt; SOUS-SEGMENT'!$B$8:$B$154=$B18)*'ANALYSE - ERP =&gt; SOUS-SEGMENT'!$Q$8:$Q$154*'ANALYSE - ERP =&gt; SOUS-SEGMENT'!$FI$8:$FI$154)</f>
        <v>810.03070000000002</v>
      </c>
      <c r="FG18" s="311">
        <f t="shared" si="38"/>
        <v>8137.0227107142855</v>
      </c>
      <c r="FH18" s="311">
        <f>SUMPRODUCT(('ANALYSE - ERP =&gt; SOUS-SEGMENT'!$B$8:$B$154=$B18)*'ANALYSE - ERP =&gt; SOUS-SEGMENT'!$Q$8:$Q$154*'ANALYSE - ERP =&gt; SOUS-SEGMENT'!$FK$8:$FK$154)</f>
        <v>6516.9613107142859</v>
      </c>
      <c r="FI18" s="311">
        <f>SUMPRODUCT(('ANALYSE - ERP =&gt; SOUS-SEGMENT'!$B$8:$B$154=$B18)*'ANALYSE - ERP =&gt; SOUS-SEGMENT'!$Q$8:$Q$154*'ANALYSE - ERP =&gt; SOUS-SEGMENT'!$FL$8:$FL$154)</f>
        <v>1620.0614</v>
      </c>
      <c r="FJ18" s="657"/>
      <c r="FK18" s="293" t="s">
        <v>2616</v>
      </c>
      <c r="FL18" s="728">
        <f>IFERROR(SUMPRODUCT(('ANALYSE - ERP =&gt; SOUS-SEGMENT'!$B$8:$B$154=$B18)*'ANALYSE - ERP =&gt; SOUS-SEGMENT'!$Q$8:$Q$154*'ANALYSE - ERP =&gt; SOUS-SEGMENT'!$AF$8:$AF$154*'ANALYSE - ERP =&gt; SOUS-SEGMENT'!$FO$8:$FO$154)/SUMPRODUCT(('ANALYSE - ERP =&gt; SOUS-SEGMENT'!$B$8:$B$154=$B18)*'ANALYSE - ERP =&gt; SOUS-SEGMENT'!$Q$8:$Q$154*'ANALYSE - ERP =&gt; SOUS-SEGMENT'!$AF$8:$AF$154),"")</f>
        <v>7.2732617007251157E-2</v>
      </c>
      <c r="FM18" s="729">
        <f>IFERROR(SUMPRODUCT(('ANALYSE - ERP =&gt; SOUS-SEGMENT'!$B$8:$B$154=$B18)*'ANALYSE - ERP =&gt; SOUS-SEGMENT'!$Q$8:$Q$154*'ANALYSE - ERP =&gt; SOUS-SEGMENT'!$AF$8:$AF$154*'ANALYSE - ERP =&gt; SOUS-SEGMENT'!$FP$8:$FP$154)/SUMPRODUCT(('ANALYSE - ERP =&gt; SOUS-SEGMENT'!$B$8:$B$154=$B18)*'ANALYSE - ERP =&gt; SOUS-SEGMENT'!$Q$8:$Q$154*'ANALYSE - ERP =&gt; SOUS-SEGMENT'!$AF$8:$AF$154),"")</f>
        <v>0.80893210283454187</v>
      </c>
      <c r="FN18" s="294" t="s">
        <v>6780</v>
      </c>
      <c r="FO18" s="657"/>
      <c r="FP18" s="865">
        <f>IFERROR(SUMPRODUCT(('ANALYSE - ERP =&gt; SOUS-SEGMENT'!$B$8:$B$154=$B18)*'ANALYSE - ERP =&gt; SOUS-SEGMENT'!$Q$8:$Q$154*'ANALYSE - ERP =&gt; SOUS-SEGMENT'!$EX$8:$EX$154*'ANALYSE - ERP =&gt; SOUS-SEGMENT'!$FS$8:$FS$154)/SUMPRODUCT(('ANALYSE - ERP =&gt; SOUS-SEGMENT'!$B$8:$B$154=$B18)*'ANALYSE - ERP =&gt; SOUS-SEGMENT'!$Q$8:$Q$154*'ANALYSE - ERP =&gt; SOUS-SEGMENT'!$EX$8:$EX$154),"")</f>
        <v>3.7702388320312363</v>
      </c>
      <c r="FQ18" s="312">
        <f>RANK($FP18,$FP$8:$FP$143,0)+COUNTIF($FP$8:$FP18,$FP18)-1</f>
        <v>1</v>
      </c>
      <c r="FR18" s="865">
        <f>IFERROR(SUMPRODUCT(('ANALYSE - ERP =&gt; SOUS-SEGMENT'!$B$8:$B$154=$B18)*'ANALYSE - ERP =&gt; SOUS-SEGMENT'!$Q$8:$Q$154*'ANALYSE - ERP =&gt; SOUS-SEGMENT'!$EY$8:$EY$154*'ANALYSE - ERP =&gt; SOUS-SEGMENT'!$FU$8:$FU$154)/SUMPRODUCT(('ANALYSE - ERP =&gt; SOUS-SEGMENT'!$B$8:$B$154=$B18)*'ANALYSE - ERP =&gt; SOUS-SEGMENT'!$Q$8:$Q$154*'ANALYSE - ERP =&gt; SOUS-SEGMENT'!$EY$8:$EY$154),"")</f>
        <v>4.6702976589358025</v>
      </c>
      <c r="FS18" s="312" t="e">
        <f>RANK($FR18,$FR$8:$FR$143,0)+COUNTIF($FR$8:$FR18,$FR18)-1</f>
        <v>#VALUE!</v>
      </c>
      <c r="FT18" s="865">
        <f>IFERROR(SUMPRODUCT(('ANALYSE - ERP =&gt; SOUS-SEGMENT'!$B$8:$B$154=$B18)*'ANALYSE - ERP =&gt; SOUS-SEGMENT'!$Q$8:$Q$154*'ANALYSE - ERP =&gt; SOUS-SEGMENT'!$EZ$8:$EZ$154*'ANALYSE - ERP =&gt; SOUS-SEGMENT'!$FW$8:$FW$154)/SUMPRODUCT(('ANALYSE - ERP =&gt; SOUS-SEGMENT'!$B$8:$B$154=$B18)*'ANALYSE - ERP =&gt; SOUS-SEGMENT'!$Q$8:$Q$154*'ANALYSE - ERP =&gt; SOUS-SEGMENT'!$EZ$8:$EZ$154),"")-0.1</f>
        <v>2.0916943626215132</v>
      </c>
      <c r="FU18" s="312" t="e">
        <f>RANK($FT18,$FT$8:$FT$143,0)+COUNTIF($FT$8:$FT18,$FT18)-1</f>
        <v>#VALUE!</v>
      </c>
      <c r="FV18" s="657"/>
      <c r="FW18" s="296" t="s">
        <v>7559</v>
      </c>
      <c r="FX18" s="296" t="s">
        <v>7559</v>
      </c>
      <c r="FY18" s="296" t="s">
        <v>7559</v>
      </c>
      <c r="FZ18" s="296" t="s">
        <v>7559</v>
      </c>
      <c r="GA18" s="296" t="s">
        <v>7559</v>
      </c>
      <c r="GB18" s="296" t="s">
        <v>7559</v>
      </c>
      <c r="GC18" s="296" t="str">
        <f t="shared" si="39"/>
        <v>https://solidarites.gouv.fr/le-service-public-de-la-petite-enfance-garantir-un-accueil-de-qualite-tous-les-enfants-et-leurs-familles
https://solidarites.gouv.fr/outils-et-ressources-destination-des-autorites-organisatrices-de-laccueil-du-jeune-enfant
https://solidarites.gouv.fr/stephanie-rist-annonce-une-revalorisation-du-financement-des-creches-par-les-caf-de-2-en-2025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D18" s="657"/>
      <c r="GE18" s="311">
        <f>SUMPRODUCT(('ANALYSE - ERP =&gt; SOUS-SEGMENT'!$B$8:$B$154=$B18)*'ANALYSE - ERP =&gt; SOUS-SEGMENT'!$Q$8:$Q$154*'ANALYSE - ERP =&gt; SOUS-SEGMENT'!$GH$8:$GH$154)</f>
        <v>438.48626999999993</v>
      </c>
      <c r="GF18" s="311">
        <f>SUMPRODUCT(('ANALYSE - ERP =&gt; SOUS-SEGMENT'!$B$8:$B$154=$B18)*'ANALYSE - ERP =&gt; SOUS-SEGMENT'!$Q$8:$Q$154*'ANALYSE - ERP =&gt; SOUS-SEGMENT'!$GI$8:$GI$154)</f>
        <v>355.39474999999993</v>
      </c>
      <c r="GG18" s="311">
        <f>SUMPRODUCT(('ANALYSE - ERP =&gt; SOUS-SEGMENT'!$B$8:$B$154=$B18)*'ANALYSE - ERP =&gt; SOUS-SEGMENT'!$Q$8:$Q$154*'ANALYSE - ERP =&gt; SOUS-SEGMENT'!$GJ$8:$GJ$154)</f>
        <v>83.091520000000003</v>
      </c>
      <c r="GH18" s="311">
        <f>SUMPRODUCT(('ANALYSE - ERP =&gt; SOUS-SEGMENT'!$B$8:$B$154=$B18)*'ANALYSE - ERP =&gt; SOUS-SEGMENT'!$Q$8:$Q$154*'ANALYSE - ERP =&gt; SOUS-SEGMENT'!$GK$8:$GK$154)</f>
        <v>4125.2880564545449</v>
      </c>
      <c r="GI18" s="311">
        <f>SUMPRODUCT(('ANALYSE - ERP =&gt; SOUS-SEGMENT'!$B$8:$B$154=$B18)*'ANALYSE - ERP =&gt; SOUS-SEGMENT'!$Q$8:$Q$154*'ANALYSE - ERP =&gt; SOUS-SEGMENT'!$GL$8:$GL$154)</f>
        <v>3241.2657204545449</v>
      </c>
      <c r="GJ18" s="311">
        <f>SUMPRODUCT(('ANALYSE - ERP =&gt; SOUS-SEGMENT'!$B$8:$B$154=$B18)*'ANALYSE - ERP =&gt; SOUS-SEGMENT'!$Q$8:$Q$154*'ANALYSE - ERP =&gt; SOUS-SEGMENT'!$GM$8:$GM$154)</f>
        <v>884.02233600000011</v>
      </c>
      <c r="GK18" s="311">
        <f>SUMPRODUCT(('ANALYSE - ERP =&gt; SOUS-SEGMENT'!$B$8:$B$154=$B18)*'ANALYSE - ERP =&gt; SOUS-SEGMENT'!$Q$8:$Q$154*'ANALYSE - ERP =&gt; SOUS-SEGMENT'!$GN$8:$GN$154)</f>
        <v>852.92525142857141</v>
      </c>
      <c r="GL18" s="311">
        <f>SUMPRODUCT(('ANALYSE - ERP =&gt; SOUS-SEGMENT'!$B$8:$B$154=$B18)*'ANALYSE - ERP =&gt; SOUS-SEGMENT'!$Q$8:$Q$154*'ANALYSE - ERP =&gt; SOUS-SEGMENT'!$GO$8:$GO$154)</f>
        <v>704.36297142857143</v>
      </c>
      <c r="GM18" s="311">
        <f>SUMPRODUCT(('ANALYSE - ERP =&gt; SOUS-SEGMENT'!$B$8:$B$154=$B18)*'ANALYSE - ERP =&gt; SOUS-SEGMENT'!$Q$8:$Q$154*'ANALYSE - ERP =&gt; SOUS-SEGMENT'!$GP$8:$GP$154)</f>
        <v>148.56227999999999</v>
      </c>
      <c r="GN18" s="311">
        <f>SUMPRODUCT(('ANALYSE - ERP =&gt; SOUS-SEGMENT'!$B$8:$B$154=$B18)*'ANALYSE - ERP =&gt; SOUS-SEGMENT'!$Q$8:$Q$154*'ANALYSE - ERP =&gt; SOUS-SEGMENT'!$GQ$8:$GQ$154)</f>
        <v>2536.8334639999998</v>
      </c>
      <c r="GO18" s="311">
        <f>SUMPRODUCT(('ANALYSE - ERP =&gt; SOUS-SEGMENT'!$B$8:$B$154=$B18)*'ANALYSE - ERP =&gt; SOUS-SEGMENT'!$Q$8:$Q$154*'ANALYSE - ERP =&gt; SOUS-SEGMENT'!$GR$8:$GR$154)</f>
        <v>2024.0944</v>
      </c>
      <c r="GP18" s="311">
        <f>SUMPRODUCT(('ANALYSE - ERP =&gt; SOUS-SEGMENT'!$B$8:$B$154=$B18)*'ANALYSE - ERP =&gt; SOUS-SEGMENT'!$Q$8:$Q$154*'ANALYSE - ERP =&gt; SOUS-SEGMENT'!$GS$8:$GS$154)</f>
        <v>512.73906399999998</v>
      </c>
      <c r="GQ18" s="311">
        <f>SUMPRODUCT(('ANALYSE - ERP =&gt; SOUS-SEGMENT'!$B$8:$B$154=$B18)*'ANALYSE - ERP =&gt; SOUS-SEGMENT'!$Q$8:$Q$154*'ANALYSE - ERP =&gt; SOUS-SEGMENT'!$GT$8:$GT$154)</f>
        <v>68.809823999999992</v>
      </c>
      <c r="GR18" s="311">
        <f>SUMPRODUCT(('ANALYSE - ERP =&gt; SOUS-SEGMENT'!$B$8:$B$154=$B18)*'ANALYSE - ERP =&gt; SOUS-SEGMENT'!$Q$8:$Q$154*'ANALYSE - ERP =&gt; SOUS-SEGMENT'!$GU$8:$GU$154)</f>
        <v>64.8</v>
      </c>
      <c r="GS18" s="311">
        <f>SUMPRODUCT(('ANALYSE - ERP =&gt; SOUS-SEGMENT'!$B$8:$B$154=$B18)*'ANALYSE - ERP =&gt; SOUS-SEGMENT'!$Q$8:$Q$154*'ANALYSE - ERP =&gt; SOUS-SEGMENT'!$GV$8:$GV$154)</f>
        <v>4.0098240000000001</v>
      </c>
      <c r="GT18" s="311">
        <f>SUMPRODUCT(('ANALYSE - ERP =&gt; SOUS-SEGMENT'!$B$8:$B$154=$B18)*'ANALYSE - ERP =&gt; SOUS-SEGMENT'!$Q$8:$Q$154*'ANALYSE - ERP =&gt; SOUS-SEGMENT'!$GW$8:$GW$154)</f>
        <v>716.99601600000005</v>
      </c>
      <c r="GU18" s="311">
        <f>SUMPRODUCT(('ANALYSE - ERP =&gt; SOUS-SEGMENT'!$B$8:$B$154=$B18)*'ANALYSE - ERP =&gt; SOUS-SEGMENT'!$Q$8:$Q$154*'ANALYSE - ERP =&gt; SOUS-SEGMENT'!$GX$8:$GX$154)</f>
        <v>664.2</v>
      </c>
      <c r="GV18" s="311">
        <f>SUMPRODUCT(('ANALYSE - ERP =&gt; SOUS-SEGMENT'!$B$8:$B$154=$B18)*'ANALYSE - ERP =&gt; SOUS-SEGMENT'!$Q$8:$Q$154*'ANALYSE - ERP =&gt; SOUS-SEGMENT'!$GY$8:$GY$154)</f>
        <v>52.796016000000002</v>
      </c>
      <c r="GW18" s="311">
        <f>SUMPRODUCT(('ANALYSE - ERP =&gt; SOUS-SEGMENT'!$B$8:$B$154=$B18)*'ANALYSE - ERP =&gt; SOUS-SEGMENT'!$Q$8:$Q$154*'ANALYSE - ERP =&gt; SOUS-SEGMENT'!$GZ$8:$GZ$154)</f>
        <v>115.62456000000002</v>
      </c>
      <c r="GX18" s="311">
        <f>SUMPRODUCT(('ANALYSE - ERP =&gt; SOUS-SEGMENT'!$B$8:$B$154=$B18)*'ANALYSE - ERP =&gt; SOUS-SEGMENT'!$Q$8:$Q$154*'ANALYSE - ERP =&gt; SOUS-SEGMENT'!$HA$8:$HA$154)</f>
        <v>105.60000000000002</v>
      </c>
      <c r="GY18" s="311">
        <f>SUMPRODUCT(('ANALYSE - ERP =&gt; SOUS-SEGMENT'!$B$8:$B$154=$B18)*'ANALYSE - ERP =&gt; SOUS-SEGMENT'!$Q$8:$Q$154*'ANALYSE - ERP =&gt; SOUS-SEGMENT'!$HB$8:$HB$154)</f>
        <v>10.024559999999999</v>
      </c>
      <c r="GZ18" s="311">
        <f>SUMPRODUCT(('ANALYSE - ERP =&gt; SOUS-SEGMENT'!$B$8:$B$154=$B18)*'ANALYSE - ERP =&gt; SOUS-SEGMENT'!$Q$8:$Q$154*'ANALYSE - ERP =&gt; SOUS-SEGMENT'!$HC$8:$HC$154)</f>
        <v>218.49038425000001</v>
      </c>
      <c r="HA18" s="311">
        <f>SUMPRODUCT(('ANALYSE - ERP =&gt; SOUS-SEGMENT'!$B$8:$B$154=$B18)*'ANALYSE - ERP =&gt; SOUS-SEGMENT'!$Q$8:$Q$154*'ANALYSE - ERP =&gt; SOUS-SEGMENT'!$HD$8:$HD$154)</f>
        <v>186.08915625</v>
      </c>
      <c r="HB18" s="311">
        <f>SUMPRODUCT(('ANALYSE - ERP =&gt; SOUS-SEGMENT'!$B$8:$B$154=$B18)*'ANALYSE - ERP =&gt; SOUS-SEGMENT'!$Q$8:$Q$154*'ANALYSE - ERP =&gt; SOUS-SEGMENT'!$HE$8:$HE$154)</f>
        <v>32.401228000000003</v>
      </c>
      <c r="HC18" s="311">
        <f>SUMPRODUCT(('ANALYSE - ERP =&gt; SOUS-SEGMENT'!$B$8:$B$154=$B18)*'ANALYSE - ERP =&gt; SOUS-SEGMENT'!$Q$8:$Q$154*'ANALYSE - ERP =&gt; SOUS-SEGMENT'!$HF$8:$HF$154)</f>
        <v>2925.8483039999996</v>
      </c>
      <c r="HD18" s="311">
        <f>SUMPRODUCT(('ANALYSE - ERP =&gt; SOUS-SEGMENT'!$B$8:$B$154=$B18)*'ANALYSE - ERP =&gt; SOUS-SEGMENT'!$Q$8:$Q$154*'ANALYSE - ERP =&gt; SOUS-SEGMENT'!$HG$8:$HG$154)</f>
        <v>2342.6262000000002</v>
      </c>
      <c r="HE18" s="311">
        <f>SUMPRODUCT(('ANALYSE - ERP =&gt; SOUS-SEGMENT'!$B$8:$B$154=$B18)*'ANALYSE - ERP =&gt; SOUS-SEGMENT'!$Q$8:$Q$154*'ANALYSE - ERP =&gt; SOUS-SEGMENT'!$HH$8:$HH$154)</f>
        <v>583.22210399999994</v>
      </c>
      <c r="HF18" s="311">
        <f>SUMPRODUCT(('ANALYSE - ERP =&gt; SOUS-SEGMENT'!$B$8:$B$154=$B18)*'ANALYSE - ERP =&gt; SOUS-SEGMENT'!$Q$8:$Q$154*'ANALYSE - ERP =&gt; SOUS-SEGMENT'!$HI$8:$HI$154)</f>
        <v>489.48246999999992</v>
      </c>
      <c r="HG18" s="311">
        <f>SUMPRODUCT(('ANALYSE - ERP =&gt; SOUS-SEGMENT'!$B$8:$B$154=$B18)*'ANALYSE - ERP =&gt; SOUS-SEGMENT'!$Q$8:$Q$154*'ANALYSE - ERP =&gt; SOUS-SEGMENT'!$HJ$8:$HJ$154)</f>
        <v>408.47939999999994</v>
      </c>
      <c r="HH18" s="311">
        <f>SUMPRODUCT(('ANALYSE - ERP =&gt; SOUS-SEGMENT'!$B$8:$B$154=$B18)*'ANALYSE - ERP =&gt; SOUS-SEGMENT'!$Q$8:$Q$154*'ANALYSE - ERP =&gt; SOUS-SEGMENT'!$HK$8:$HK$154)</f>
        <v>81.003069999999994</v>
      </c>
      <c r="HI18" s="311">
        <f>SUMPRODUCT(('ANALYSE - ERP =&gt; SOUS-SEGMENT'!$B$8:$B$154=$B18)*'ANALYSE - ERP =&gt; SOUS-SEGMENT'!$Q$8:$Q$154*'ANALYSE - ERP =&gt; SOUS-SEGMENT'!$HL$8:$HL$154)</f>
        <v>671.67176674999996</v>
      </c>
      <c r="HJ18" s="311">
        <f>SUMPRODUCT(('ANALYSE - ERP =&gt; SOUS-SEGMENT'!$B$8:$B$154=$B18)*'ANALYSE - ERP =&gt; SOUS-SEGMENT'!$Q$8:$Q$154*'ANALYSE - ERP =&gt; SOUS-SEGMENT'!$HM$8:$HM$154)</f>
        <v>558.26746874999992</v>
      </c>
      <c r="HK18" s="311">
        <f>SUMPRODUCT(('ANALYSE - ERP =&gt; SOUS-SEGMENT'!$B$8:$B$154=$B18)*'ANALYSE - ERP =&gt; SOUS-SEGMENT'!$Q$8:$Q$154*'ANALYSE - ERP =&gt; SOUS-SEGMENT'!$HN$8:$HN$154)</f>
        <v>113.40429800000001</v>
      </c>
      <c r="HL18" s="311">
        <f>SUMPRODUCT(('ANALYSE - ERP =&gt; SOUS-SEGMENT'!$B$8:$B$154=$B18)*'ANALYSE - ERP =&gt; SOUS-SEGMENT'!$Q$8:$Q$154*'ANALYSE - ERP =&gt; SOUS-SEGMENT'!$HO$8:$HO$154)</f>
        <v>776.44177999999988</v>
      </c>
      <c r="HM18" s="311">
        <f>SUMPRODUCT(('ANALYSE - ERP =&gt; SOUS-SEGMENT'!$B$8:$B$154=$B18)*'ANALYSE - ERP =&gt; SOUS-SEGMENT'!$Q$8:$Q$154*'ANALYSE - ERP =&gt; SOUS-SEGMENT'!$HP$8:$HP$154)</f>
        <v>691.67949999999985</v>
      </c>
      <c r="HN18" s="311">
        <f>SUMPRODUCT(('ANALYSE - ERP =&gt; SOUS-SEGMENT'!$B$8:$B$154=$B18)*'ANALYSE - ERP =&gt; SOUS-SEGMENT'!$Q$8:$Q$154*'ANALYSE - ERP =&gt; SOUS-SEGMENT'!$HQ$8:$HQ$154)</f>
        <v>84.762280000000004</v>
      </c>
      <c r="HO18" s="311">
        <f>SUMPRODUCT(('ANALYSE - ERP =&gt; SOUS-SEGMENT'!$B$8:$B$154=$B18)*'ANALYSE - ERP =&gt; SOUS-SEGMENT'!$Q$8:$Q$154*'ANALYSE - ERP =&gt; SOUS-SEGMENT'!$HR$8:$HR$154)</f>
        <v>4746.8944089999995</v>
      </c>
      <c r="HP18" s="311">
        <f>SUMPRODUCT(('ANALYSE - ERP =&gt; SOUS-SEGMENT'!$B$8:$B$154=$B18)*'ANALYSE - ERP =&gt; SOUS-SEGMENT'!$Q$8:$Q$154*'ANALYSE - ERP =&gt; SOUS-SEGMENT'!$HS$8:$HS$154)</f>
        <v>3696.110025</v>
      </c>
      <c r="HQ18" s="311">
        <f>SUMPRODUCT(('ANALYSE - ERP =&gt; SOUS-SEGMENT'!$B$8:$B$154=$B18)*'ANALYSE - ERP =&gt; SOUS-SEGMENT'!$Q$8:$Q$154*'ANALYSE - ERP =&gt; SOUS-SEGMENT'!$HT$8:$HT$154)</f>
        <v>1050.784384</v>
      </c>
      <c r="HR18" s="311">
        <f>SUMPRODUCT(('ANALYSE - ERP =&gt; SOUS-SEGMENT'!$B$8:$B$154=$B18)*'ANALYSE - ERP =&gt; SOUS-SEGMENT'!$Q$8:$Q$154*'ANALYSE - ERP =&gt; SOUS-SEGMENT'!$HU$8:$HU$154)</f>
        <v>2613.6865217142858</v>
      </c>
      <c r="HS18" s="311">
        <f>SUMPRODUCT(('ANALYSE - ERP =&gt; SOUS-SEGMENT'!$B$8:$B$154=$B18)*'ANALYSE - ERP =&gt; SOUS-SEGMENT'!$Q$8:$Q$154*'ANALYSE - ERP =&gt; SOUS-SEGMENT'!$HV$8:$HV$154)</f>
        <v>2129.1717857142858</v>
      </c>
      <c r="HT18" s="311">
        <f>SUMPRODUCT(('ANALYSE - ERP =&gt; SOUS-SEGMENT'!$B$8:$B$154=$B18)*'ANALYSE - ERP =&gt; SOUS-SEGMENT'!$Q$8:$Q$154*'ANALYSE - ERP =&gt; SOUS-SEGMENT'!$HW$8:$HW$154)</f>
        <v>484.51473600000003</v>
      </c>
      <c r="HV18" s="313">
        <f t="shared" si="40"/>
        <v>31190.000000000004</v>
      </c>
      <c r="HW18" s="313">
        <f>SUMPRODUCT(('ANALYSE - ERP =&gt; SOUS-SEGMENT'!$B$8:$B$154=$B18)*'ANALYSE - ERP =&gt; SOUS-SEGMENT'!$Q$8:$Q$154*'ANALYSE - ERP =&gt; SOUS-SEGMENT'!$HZ$8:$HZ$154)</f>
        <v>8834.3520000000008</v>
      </c>
      <c r="HX18" s="313">
        <f>SUMPRODUCT(('ANALYSE - ERP =&gt; SOUS-SEGMENT'!$B$8:$B$154=$B18)*'ANALYSE - ERP =&gt; SOUS-SEGMENT'!$Q$8:$Q$154*'ANALYSE - ERP =&gt; SOUS-SEGMENT'!$IA$8:$IA$154)</f>
        <v>18739.643</v>
      </c>
      <c r="HY18" s="313">
        <f>SUMPRODUCT(('ANALYSE - ERP =&gt; SOUS-SEGMENT'!$B$8:$B$154=$B18)*'ANALYSE - ERP =&gt; SOUS-SEGMENT'!$Q$8:$Q$154*'ANALYSE - ERP =&gt; SOUS-SEGMENT'!$IB$8:$IB$154)</f>
        <v>3616.0050000000001</v>
      </c>
      <c r="HZ18" s="313">
        <f>SUMPRODUCT(('ANALYSE - ERP =&gt; SOUS-SEGMENT'!$B$8:$B$154=$B18)*'ANALYSE - ERP =&gt; SOUS-SEGMENT'!$Q$8:$Q$154*'ANALYSE - ERP =&gt; SOUS-SEGMENT'!$IC$8:$IC$154)</f>
        <v>0</v>
      </c>
      <c r="IA18" s="313">
        <f>SUMPRODUCT(('ANALYSE - ERP =&gt; SOUS-SEGMENT'!$B$8:$B$154=$B18)*'ANALYSE - ERP =&gt; SOUS-SEGMENT'!$Q$8:$Q$154*'ANALYSE - ERP =&gt; SOUS-SEGMENT'!$ID$8:$ID$154)</f>
        <v>0</v>
      </c>
      <c r="IB18" s="313">
        <f>SUMPRODUCT(('ANALYSE - ERP =&gt; SOUS-SEGMENT'!$B$8:$B$154=$B18)*'ANALYSE - ERP =&gt; SOUS-SEGMENT'!$Q$8:$Q$154*'ANALYSE - ERP =&gt; SOUS-SEGMENT'!$IE$8:$IE$154)</f>
        <v>12842.079152597402</v>
      </c>
      <c r="IC18" s="313">
        <f>SUMPRODUCT(('ANALYSE - ERP =&gt; SOUS-SEGMENT'!$B$8:$B$154=$B18)*'ANALYSE - ERP =&gt; SOUS-SEGMENT'!$Q$8:$Q$154*'ANALYSE - ERP =&gt; SOUS-SEGMENT'!$IF$8:$IF$154)</f>
        <v>3306.6713980963314</v>
      </c>
      <c r="ID18" s="313">
        <f>SUMPRODUCT(('ANALYSE - ERP =&gt; SOUS-SEGMENT'!$B$8:$B$154=$B18)*'ANALYSE - ERP =&gt; SOUS-SEGMENT'!$Q$8:$Q$154*'ANALYSE - ERP =&gt; SOUS-SEGMENT'!$IG$8:$IG$154)</f>
        <v>7410.2165495602267</v>
      </c>
      <c r="IE18" s="313">
        <f>SUMPRODUCT(('ANALYSE - ERP =&gt; SOUS-SEGMENT'!$B$8:$B$154=$B18)*'ANALYSE - ERP =&gt; SOUS-SEGMENT'!$Q$8:$Q$154*'ANALYSE - ERP =&gt; SOUS-SEGMENT'!$IH$8:$IH$154)</f>
        <v>1815.8471028408442</v>
      </c>
      <c r="IF18" s="313">
        <f>SUMPRODUCT(('ANALYSE - ERP =&gt; SOUS-SEGMENT'!$B$8:$B$154=$B18)*'ANALYSE - ERP =&gt; SOUS-SEGMENT'!$Q$8:$Q$154*'ANALYSE - ERP =&gt; SOUS-SEGMENT'!$II$8:$II$154)</f>
        <v>252.87652790714287</v>
      </c>
      <c r="IG18" s="313">
        <f>SUMPRODUCT(('ANALYSE - ERP =&gt; SOUS-SEGMENT'!$B$8:$B$154=$B18)*'ANALYSE - ERP =&gt; SOUS-SEGMENT'!$Q$8:$Q$154*'ANALYSE - ERP =&gt; SOUS-SEGMENT'!$IJ$8:$IJ$154)</f>
        <v>56.467574192857143</v>
      </c>
      <c r="IH18" s="866"/>
      <c r="II18" s="314" t="s">
        <v>2701</v>
      </c>
      <c r="IJ18" s="299" t="s">
        <v>7559</v>
      </c>
      <c r="IK18" s="657"/>
      <c r="IL18" s="779">
        <f>IFERROR(SUMPRODUCT(('ANALYSE - ERP =&gt; SOUS-SEGMENT'!$B$8:$B$154=$B18)*'ANALYSE - ERP =&gt; SOUS-SEGMENT'!$Q$8:$Q$154*'ANALYSE - ERP =&gt; SOUS-SEGMENT'!$BE$8:$BE$154*'ANALYSE - ERP =&gt; SOUS-SEGMENT'!$IO$8:$IO$154)/SUMPRODUCT(('ANALYSE - ERP =&gt; SOUS-SEGMENT'!$B$8:$B$154=$B18)*'ANALYSE - ERP =&gt; SOUS-SEGMENT'!$Q$8:$Q$154*'ANALYSE - ERP =&gt; SOUS-SEGMENT'!$BE$8:$BE$154),0)</f>
        <v>0.27385484693877549</v>
      </c>
      <c r="IM18" s="780">
        <f>IFERROR(SUMPRODUCT(('ANALYSE - ERP =&gt; SOUS-SEGMENT'!$B$8:$B$154=$B18)*'ANALYSE - ERP =&gt; SOUS-SEGMENT'!$Q$8:$Q$154*'ANALYSE - ERP =&gt; SOUS-SEGMENT'!$BE$8:$BE$154*'ANALYSE - ERP =&gt; SOUS-SEGMENT'!$IP$8:$IP$154)/SUMPRODUCT(('ANALYSE - ERP =&gt; SOUS-SEGMENT'!$B$8:$B$154=$B18)*'ANALYSE - ERP =&gt; SOUS-SEGMENT'!$Q$8:$Q$154*'ANALYSE - ERP =&gt; SOUS-SEGMENT'!$BE$8:$BE$154),0)</f>
        <v>0.60535153061224489</v>
      </c>
      <c r="IN18" s="780">
        <f>IFERROR(SUMPRODUCT(('ANALYSE - ERP =&gt; SOUS-SEGMENT'!$B$8:$B$154=$B18)*'ANALYSE - ERP =&gt; SOUS-SEGMENT'!$Q$8:$Q$154*'ANALYSE - ERP =&gt; SOUS-SEGMENT'!$BE$8:$BE$154*'ANALYSE - ERP =&gt; SOUS-SEGMENT'!$IQ$8:$IQ$154)/SUMPRODUCT(('ANALYSE - ERP =&gt; SOUS-SEGMENT'!$B$8:$B$154=$B18)*'ANALYSE - ERP =&gt; SOUS-SEGMENT'!$Q$8:$Q$154*'ANALYSE - ERP =&gt; SOUS-SEGMENT'!$BE$8:$BE$154),0)</f>
        <v>0.12079362244897959</v>
      </c>
      <c r="IO18" s="780">
        <f>IFERROR(SUMPRODUCT(('ANALYSE - ERP =&gt; SOUS-SEGMENT'!$B$8:$B$154=$B18)*'ANALYSE - ERP =&gt; SOUS-SEGMENT'!$Q$8:$Q$154*'ANALYSE - ERP =&gt; SOUS-SEGMENT'!$BE$8:$BE$154*'ANALYSE - ERP =&gt; SOUS-SEGMENT'!$IR$8:$IR$154)/SUMPRODUCT(('ANALYSE - ERP =&gt; SOUS-SEGMENT'!$B$8:$B$154=$B18)*'ANALYSE - ERP =&gt; SOUS-SEGMENT'!$Q$8:$Q$154*'ANALYSE - ERP =&gt; SOUS-SEGMENT'!$BE$8:$BE$154),0)</f>
        <v>0</v>
      </c>
      <c r="IP18" s="781">
        <f>IFERROR(SUMPRODUCT(('ANALYSE - ERP =&gt; SOUS-SEGMENT'!$B$8:$B$154=$B18)*'ANALYSE - ERP =&gt; SOUS-SEGMENT'!$Q$8:$Q$154*'ANALYSE - ERP =&gt; SOUS-SEGMENT'!$BE$8:$BE$154*'ANALYSE - ERP =&gt; SOUS-SEGMENT'!$IS$8:$IS$154)/SUMPRODUCT(('ANALYSE - ERP =&gt; SOUS-SEGMENT'!$B$8:$B$154=$B18)*'ANALYSE - ERP =&gt; SOUS-SEGMENT'!$Q$8:$Q$154*'ANALYSE - ERP =&gt; SOUS-SEGMENT'!$BE$8:$BE$154),0)</f>
        <v>0</v>
      </c>
      <c r="IQ18" s="780">
        <f>IFERROR(SUMPRODUCT(('ANALYSE - ERP =&gt; SOUS-SEGMENT'!$B$8:$B$154=$B18)*'ANALYSE - ERP =&gt; SOUS-SEGMENT'!$Q$8:$Q$154*'ANALYSE - ERP =&gt; SOUS-SEGMENT'!$FB$8:$FB$154*'ANALYSE - ERP =&gt; SOUS-SEGMENT'!$IT$8:$IT$154)/SUMPRODUCT(('ANALYSE - ERP =&gt; SOUS-SEGMENT'!$B$8:$B$154=$B18)*'ANALYSE - ERP =&gt; SOUS-SEGMENT'!$Q$8:$Q$154*'ANALYSE - ERP =&gt; SOUS-SEGMENT'!$FB$8:$FB$154),0)</f>
        <v>0.24846152179834091</v>
      </c>
      <c r="IR18" s="780">
        <f>IFERROR(SUMPRODUCT(('ANALYSE - ERP =&gt; SOUS-SEGMENT'!$B$8:$B$154=$B18)*'ANALYSE - ERP =&gt; SOUS-SEGMENT'!$Q$8:$Q$154*'ANALYSE - ERP =&gt; SOUS-SEGMENT'!$FB$8:$FB$154*'ANALYSE - ERP =&gt; SOUS-SEGMENT'!$IU$8:$IU$154)/SUMPRODUCT(('ANALYSE - ERP =&gt; SOUS-SEGMENT'!$B$8:$B$154=$B18)*'ANALYSE - ERP =&gt; SOUS-SEGMENT'!$Q$8:$Q$154*'ANALYSE - ERP =&gt; SOUS-SEGMENT'!$FB$8:$FB$154),0)</f>
        <v>0.57820021562966661</v>
      </c>
      <c r="IS18" s="780">
        <f>IFERROR(SUMPRODUCT(('ANALYSE - ERP =&gt; SOUS-SEGMENT'!$B$8:$B$154=$B18)*'ANALYSE - ERP =&gt; SOUS-SEGMENT'!$Q$8:$Q$154*'ANALYSE - ERP =&gt; SOUS-SEGMENT'!$FB$8:$FB$154*'ANALYSE - ERP =&gt; SOUS-SEGMENT'!$IV$8:$IV$154)/SUMPRODUCT(('ANALYSE - ERP =&gt; SOUS-SEGMENT'!$B$8:$B$154=$B18)*'ANALYSE - ERP =&gt; SOUS-SEGMENT'!$Q$8:$Q$154*'ANALYSE - ERP =&gt; SOUS-SEGMENT'!$FB$8:$FB$154),0)</f>
        <v>0.14943849677332174</v>
      </c>
      <c r="IT18" s="780">
        <f>IFERROR(SUMPRODUCT(('ANALYSE - ERP =&gt; SOUS-SEGMENT'!$B$8:$B$154=$B18)*'ANALYSE - ERP =&gt; SOUS-SEGMENT'!$Q$8:$Q$154*'ANALYSE - ERP =&gt; SOUS-SEGMENT'!$FB$8:$FB$154*'ANALYSE - ERP =&gt; SOUS-SEGMENT'!$IW$8:$IW$154)/SUMPRODUCT(('ANALYSE - ERP =&gt; SOUS-SEGMENT'!$B$8:$B$154=$B18)*'ANALYSE - ERP =&gt; SOUS-SEGMENT'!$Q$8:$Q$154*'ANALYSE - ERP =&gt; SOUS-SEGMENT'!$FB$8:$FB$154),0)</f>
        <v>1.9537110137008595E-2</v>
      </c>
      <c r="IU18" s="780">
        <f>IFERROR(SUMPRODUCT(('ANALYSE - ERP =&gt; SOUS-SEGMENT'!$B$8:$B$154=$B18)*'ANALYSE - ERP =&gt; SOUS-SEGMENT'!$Q$8:$Q$154*'ANALYSE - ERP =&gt; SOUS-SEGMENT'!$FB$8:$FB$154*'ANALYSE - ERP =&gt; SOUS-SEGMENT'!$IX$8:$IX$154)/SUMPRODUCT(('ANALYSE - ERP =&gt; SOUS-SEGMENT'!$B$8:$B$154=$B18)*'ANALYSE - ERP =&gt; SOUS-SEGMENT'!$Q$8:$Q$154*'ANALYSE - ERP =&gt; SOUS-SEGMENT'!$FB$8:$FB$154),0)</f>
        <v>4.3626556616621131E-3</v>
      </c>
      <c r="IV18" s="772">
        <f>IFERROR(SUMPRODUCT(('ANALYSE - ERP =&gt; SOUS-SEGMENT'!$B$8:$B$154=$B18)*'ANALYSE - ERP =&gt; SOUS-SEGMENT'!$Q$8:$Q$154*'ANALYSE - ERP =&gt; SOUS-SEGMENT'!$BF$8:$BF$154*'ANALYSE - ERP =&gt; SOUS-SEGMENT'!$IY$8:$IY$154)/SUMPRODUCT(('ANALYSE - ERP =&gt; SOUS-SEGMENT'!$B$8:$B$154=$B18)*'ANALYSE - ERP =&gt; SOUS-SEGMENT'!$Q$8:$Q$154*'ANALYSE - ERP =&gt; SOUS-SEGMENT'!$BF$8:$BF$154),0)</f>
        <v>0</v>
      </c>
      <c r="IW18" s="773">
        <f>IFERROR(SUMPRODUCT(('ANALYSE - ERP =&gt; SOUS-SEGMENT'!$B$8:$B$154=$B18)*'ANALYSE - ERP =&gt; SOUS-SEGMENT'!$Q$8:$Q$154*'ANALYSE - ERP =&gt; SOUS-SEGMENT'!$BF$8:$BF$154*'ANALYSE - ERP =&gt; SOUS-SEGMENT'!$IZ$8:$IZ$154)/SUMPRODUCT(('ANALYSE - ERP =&gt; SOUS-SEGMENT'!$B$8:$B$154=$B18)*'ANALYSE - ERP =&gt; SOUS-SEGMENT'!$Q$8:$Q$154*'ANALYSE - ERP =&gt; SOUS-SEGMENT'!$BF$8:$BF$154),0)</f>
        <v>0</v>
      </c>
      <c r="IX18" s="773">
        <f>IFERROR(SUMPRODUCT(('ANALYSE - ERP =&gt; SOUS-SEGMENT'!$B$8:$B$154=$B18)*'ANALYSE - ERP =&gt; SOUS-SEGMENT'!$Q$8:$Q$154*'ANALYSE - ERP =&gt; SOUS-SEGMENT'!$BF$8:$BF$154*'ANALYSE - ERP =&gt; SOUS-SEGMENT'!$JA$8:$JA$154)/SUMPRODUCT(('ANALYSE - ERP =&gt; SOUS-SEGMENT'!$B$8:$B$154=$B18)*'ANALYSE - ERP =&gt; SOUS-SEGMENT'!$Q$8:$Q$154*'ANALYSE - ERP =&gt; SOUS-SEGMENT'!$BF$8:$BF$154),0)</f>
        <v>0</v>
      </c>
      <c r="IY18" s="773">
        <f>IFERROR(SUMPRODUCT(('ANALYSE - ERP =&gt; SOUS-SEGMENT'!$B$8:$B$154=$B18)*'ANALYSE - ERP =&gt; SOUS-SEGMENT'!$Q$8:$Q$154*'ANALYSE - ERP =&gt; SOUS-SEGMENT'!$BF$8:$BF$154*'ANALYSE - ERP =&gt; SOUS-SEGMENT'!$JB$8:$JB$154)/SUMPRODUCT(('ANALYSE - ERP =&gt; SOUS-SEGMENT'!$B$8:$B$154=$B18)*'ANALYSE - ERP =&gt; SOUS-SEGMENT'!$Q$8:$Q$154*'ANALYSE - ERP =&gt; SOUS-SEGMENT'!$BF$8:$BF$154),0)</f>
        <v>0</v>
      </c>
      <c r="IZ18" s="774">
        <f>IFERROR(SUMPRODUCT(('ANALYSE - ERP =&gt; SOUS-SEGMENT'!$B$8:$B$154=$B18)*'ANALYSE - ERP =&gt; SOUS-SEGMENT'!$Q$8:$Q$154*'ANALYSE - ERP =&gt; SOUS-SEGMENT'!$BF$8:$BF$154*'ANALYSE - ERP =&gt; SOUS-SEGMENT'!$JC$8:$JC$154)/SUMPRODUCT(('ANALYSE - ERP =&gt; SOUS-SEGMENT'!$B$8:$B$154=$B18)*'ANALYSE - ERP =&gt; SOUS-SEGMENT'!$Q$8:$Q$154*'ANALYSE - ERP =&gt; SOUS-SEGMENT'!$BF$8:$BF$154),0)</f>
        <v>0</v>
      </c>
      <c r="JA18" s="773">
        <f>IFERROR(SUMPRODUCT(('ANALYSE - ERP =&gt; SOUS-SEGMENT'!$B$8:$B$154=$B18)*'ANALYSE - ERP =&gt; SOUS-SEGMENT'!$Q$8:$Q$154*'ANALYSE - ERP =&gt; SOUS-SEGMENT'!$FE$8:$FE$154*'ANALYSE - ERP =&gt; SOUS-SEGMENT'!$JD$8:$JD$154)/SUMPRODUCT(('ANALYSE - ERP =&gt; SOUS-SEGMENT'!$B$8:$B$154=$B18)*'ANALYSE - ERP =&gt; SOUS-SEGMENT'!$Q$8:$Q$154*'ANALYSE - ERP =&gt; SOUS-SEGMENT'!$FE$8:$FE$154),0)</f>
        <v>0</v>
      </c>
      <c r="JB18" s="773">
        <f>IFERROR(SUMPRODUCT(('ANALYSE - ERP =&gt; SOUS-SEGMENT'!$B$8:$B$154=$B18)*'ANALYSE - ERP =&gt; SOUS-SEGMENT'!$Q$8:$Q$154*'ANALYSE - ERP =&gt; SOUS-SEGMENT'!$FE$8:$FE$154*'ANALYSE - ERP =&gt; SOUS-SEGMENT'!$JE$8:$JE$154)/SUMPRODUCT(('ANALYSE - ERP =&gt; SOUS-SEGMENT'!$B$8:$B$154=$B18)*'ANALYSE - ERP =&gt; SOUS-SEGMENT'!$Q$8:$Q$154*'ANALYSE - ERP =&gt; SOUS-SEGMENT'!$FE$8:$FE$154),0)</f>
        <v>0</v>
      </c>
      <c r="JC18" s="773">
        <f>IFERROR(SUMPRODUCT(('ANALYSE - ERP =&gt; SOUS-SEGMENT'!$B$8:$B$154=$B18)*'ANALYSE - ERP =&gt; SOUS-SEGMENT'!$Q$8:$Q$154*'ANALYSE - ERP =&gt; SOUS-SEGMENT'!$FE$8:$FE$154*'ANALYSE - ERP =&gt; SOUS-SEGMENT'!$JF$8:$JF$154)/SUMPRODUCT(('ANALYSE - ERP =&gt; SOUS-SEGMENT'!$B$8:$B$154=$B18)*'ANALYSE - ERP =&gt; SOUS-SEGMENT'!$Q$8:$Q$154*'ANALYSE - ERP =&gt; SOUS-SEGMENT'!$FE$8:$FE$154),0)</f>
        <v>0</v>
      </c>
      <c r="JD18" s="773">
        <f>IFERROR(SUMPRODUCT(('ANALYSE - ERP =&gt; SOUS-SEGMENT'!$B$8:$B$154=$B18)*'ANALYSE - ERP =&gt; SOUS-SEGMENT'!$Q$8:$Q$154*'ANALYSE - ERP =&gt; SOUS-SEGMENT'!$FE$8:$FE$154*'ANALYSE - ERP =&gt; SOUS-SEGMENT'!$JG$8:$JG$154)/SUMPRODUCT(('ANALYSE - ERP =&gt; SOUS-SEGMENT'!$B$8:$B$154=$B18)*'ANALYSE - ERP =&gt; SOUS-SEGMENT'!$Q$8:$Q$154*'ANALYSE - ERP =&gt; SOUS-SEGMENT'!$FE$8:$FE$154),0)</f>
        <v>0</v>
      </c>
      <c r="JE18" s="773">
        <f>IFERROR(SUMPRODUCT(('ANALYSE - ERP =&gt; SOUS-SEGMENT'!$B$8:$B$154=$B18)*'ANALYSE - ERP =&gt; SOUS-SEGMENT'!$Q$8:$Q$154*'ANALYSE - ERP =&gt; SOUS-SEGMENT'!$FE$8:$FE$154*'ANALYSE - ERP =&gt; SOUS-SEGMENT'!$JH$8:$JH$154)/SUMPRODUCT(('ANALYSE - ERP =&gt; SOUS-SEGMENT'!$B$8:$B$154=$B18)*'ANALYSE - ERP =&gt; SOUS-SEGMENT'!$Q$8:$Q$154*'ANALYSE - ERP =&gt; SOUS-SEGMENT'!$FE$8:$FE$154),0)</f>
        <v>0</v>
      </c>
      <c r="JF18" s="772">
        <f>IFERROR(SUMPRODUCT(('ANALYSE - ERP =&gt; SOUS-SEGMENT'!$B$8:$B$154=$B18)*'ANALYSE - ERP =&gt; SOUS-SEGMENT'!$Q$8:$Q$154*'ANALYSE - ERP =&gt; SOUS-SEGMENT'!$BG$8:$BG$154*'ANALYSE - ERP =&gt; SOUS-SEGMENT'!$JI$8:$JI$154)/SUMPRODUCT(('ANALYSE - ERP =&gt; SOUS-SEGMENT'!$B$8:$B$154=$B18)*'ANALYSE - ERP =&gt; SOUS-SEGMENT'!$Q$8:$Q$154*'ANALYSE - ERP =&gt; SOUS-SEGMENT'!$BG$8:$BG$154),0)</f>
        <v>0</v>
      </c>
      <c r="JG18" s="773">
        <f>IFERROR(SUMPRODUCT(('ANALYSE - ERP =&gt; SOUS-SEGMENT'!$B$8:$B$154=$B18)*'ANALYSE - ERP =&gt; SOUS-SEGMENT'!$Q$8:$Q$154*'ANALYSE - ERP =&gt; SOUS-SEGMENT'!$BG$8:$BG$154*'ANALYSE - ERP =&gt; SOUS-SEGMENT'!$JJ$8:$JJ$154)/SUMPRODUCT(('ANALYSE - ERP =&gt; SOUS-SEGMENT'!$B$8:$B$154=$B18)*'ANALYSE - ERP =&gt; SOUS-SEGMENT'!$Q$8:$Q$154*'ANALYSE - ERP =&gt; SOUS-SEGMENT'!$BG$8:$BG$154),0)</f>
        <v>0</v>
      </c>
      <c r="JH18" s="773">
        <f>IFERROR(SUMPRODUCT(('ANALYSE - ERP =&gt; SOUS-SEGMENT'!$B$8:$B$154=$B18)*'ANALYSE - ERP =&gt; SOUS-SEGMENT'!$Q$8:$Q$154*'ANALYSE - ERP =&gt; SOUS-SEGMENT'!$BG$8:$BG$154*'ANALYSE - ERP =&gt; SOUS-SEGMENT'!$JK$8:$JK$154)/SUMPRODUCT(('ANALYSE - ERP =&gt; SOUS-SEGMENT'!$B$8:$B$154=$B18)*'ANALYSE - ERP =&gt; SOUS-SEGMENT'!$Q$8:$Q$154*'ANALYSE - ERP =&gt; SOUS-SEGMENT'!$BG$8:$BG$154),0)</f>
        <v>0</v>
      </c>
      <c r="JI18" s="773">
        <f>IFERROR(SUMPRODUCT(('ANALYSE - ERP =&gt; SOUS-SEGMENT'!$B$8:$B$154=$B18)*'ANALYSE - ERP =&gt; SOUS-SEGMENT'!$Q$8:$Q$154*'ANALYSE - ERP =&gt; SOUS-SEGMENT'!$BG$8:$BG$154*'ANALYSE - ERP =&gt; SOUS-SEGMENT'!$JL$8:$JL$154)/SUMPRODUCT(('ANALYSE - ERP =&gt; SOUS-SEGMENT'!$B$8:$B$154=$B18)*'ANALYSE - ERP =&gt; SOUS-SEGMENT'!$Q$8:$Q$154*'ANALYSE - ERP =&gt; SOUS-SEGMENT'!$BG$8:$BG$154),0)</f>
        <v>0</v>
      </c>
      <c r="JJ18" s="774">
        <f>IFERROR(SUMPRODUCT(('ANALYSE - ERP =&gt; SOUS-SEGMENT'!$B$8:$B$154=$B18)*'ANALYSE - ERP =&gt; SOUS-SEGMENT'!$Q$8:$Q$154*'ANALYSE - ERP =&gt; SOUS-SEGMENT'!$BG$8:$BG$154*'ANALYSE - ERP =&gt; SOUS-SEGMENT'!$JM$8:$JM$154)/SUMPRODUCT(('ANALYSE - ERP =&gt; SOUS-SEGMENT'!$B$8:$B$154=$B18)*'ANALYSE - ERP =&gt; SOUS-SEGMENT'!$Q$8:$Q$154*'ANALYSE - ERP =&gt; SOUS-SEGMENT'!$BG$8:$BG$154),0)</f>
        <v>0</v>
      </c>
      <c r="JK18" s="773">
        <f>IFERROR(SUMPRODUCT(('ANALYSE - ERP =&gt; SOUS-SEGMENT'!$B$8:$B$154=$B18)*'ANALYSE - ERP =&gt; SOUS-SEGMENT'!$Q$8:$Q$154*'ANALYSE - ERP =&gt; SOUS-SEGMENT'!$FH$8:$FH$154*'ANALYSE - ERP =&gt; SOUS-SEGMENT'!$JN$8:$JN$154)/SUMPRODUCT(('ANALYSE - ERP =&gt; SOUS-SEGMENT'!$B$8:$B$154=$B18)*'ANALYSE - ERP =&gt; SOUS-SEGMENT'!$Q$8:$Q$154*'ANALYSE - ERP =&gt; SOUS-SEGMENT'!$FH$8:$FH$154),0)</f>
        <v>0</v>
      </c>
      <c r="JL18" s="773">
        <f>IFERROR(SUMPRODUCT(('ANALYSE - ERP =&gt; SOUS-SEGMENT'!$B$8:$B$154=$B18)*'ANALYSE - ERP =&gt; SOUS-SEGMENT'!$Q$8:$Q$154*'ANALYSE - ERP =&gt; SOUS-SEGMENT'!$FH$8:$FH$154*'ANALYSE - ERP =&gt; SOUS-SEGMENT'!$JO$8:$JO$154)/SUMPRODUCT(('ANALYSE - ERP =&gt; SOUS-SEGMENT'!$B$8:$B$154=$B18)*'ANALYSE - ERP =&gt; SOUS-SEGMENT'!$Q$8:$Q$154*'ANALYSE - ERP =&gt; SOUS-SEGMENT'!$FH$8:$FH$154),0)</f>
        <v>0</v>
      </c>
      <c r="JM18" s="773">
        <f>IFERROR(SUMPRODUCT(('ANALYSE - ERP =&gt; SOUS-SEGMENT'!$B$8:$B$154=$B18)*'ANALYSE - ERP =&gt; SOUS-SEGMENT'!$Q$8:$Q$154*'ANALYSE - ERP =&gt; SOUS-SEGMENT'!$FH$8:$FH$154*'ANALYSE - ERP =&gt; SOUS-SEGMENT'!$JP$8:$JP$154)/SUMPRODUCT(('ANALYSE - ERP =&gt; SOUS-SEGMENT'!$B$8:$B$154=$B18)*'ANALYSE - ERP =&gt; SOUS-SEGMENT'!$Q$8:$Q$154*'ANALYSE - ERP =&gt; SOUS-SEGMENT'!$FH$8:$FH$154),0)</f>
        <v>0</v>
      </c>
      <c r="JN18" s="773">
        <f>IFERROR(SUMPRODUCT(('ANALYSE - ERP =&gt; SOUS-SEGMENT'!$B$8:$B$154=$B18)*'ANALYSE - ERP =&gt; SOUS-SEGMENT'!$Q$8:$Q$154*'ANALYSE - ERP =&gt; SOUS-SEGMENT'!$FH$8:$FH$154*'ANALYSE - ERP =&gt; SOUS-SEGMENT'!$JQ$8:$JQ$154)/SUMPRODUCT(('ANALYSE - ERP =&gt; SOUS-SEGMENT'!$B$8:$B$154=$B18)*'ANALYSE - ERP =&gt; SOUS-SEGMENT'!$Q$8:$Q$154*'ANALYSE - ERP =&gt; SOUS-SEGMENT'!$FH$8:$FH$154),0)</f>
        <v>0</v>
      </c>
      <c r="JO18" s="773">
        <f>IFERROR(SUMPRODUCT(('ANALYSE - ERP =&gt; SOUS-SEGMENT'!$B$8:$B$154=$B18)*'ANALYSE - ERP =&gt; SOUS-SEGMENT'!$Q$8:$Q$154*'ANALYSE - ERP =&gt; SOUS-SEGMENT'!$FH$8:$FH$154*'ANALYSE - ERP =&gt; SOUS-SEGMENT'!$JR$8:$JR$154)/SUMPRODUCT(('ANALYSE - ERP =&gt; SOUS-SEGMENT'!$B$8:$B$154=$B18)*'ANALYSE - ERP =&gt; SOUS-SEGMENT'!$Q$8:$Q$154*'ANALYSE - ERP =&gt; SOUS-SEGMENT'!$FH$8:$FH$154),0)</f>
        <v>0</v>
      </c>
      <c r="JP18" s="782">
        <f>IFERROR(SUMPRODUCT(('ANALYSE - ERP =&gt; SOUS-SEGMENT'!$B$8:$B$154=$B18)*'ANALYSE - ERP =&gt; SOUS-SEGMENT'!$Q$8:$Q$154*'ANALYSE - ERP =&gt; SOUS-SEGMENT'!$BH$8:$BH$154*'ANALYSE - ERP =&gt; SOUS-SEGMENT'!$JS$8:$JS$154)/SUMPRODUCT(('ANALYSE - ERP =&gt; SOUS-SEGMENT'!$B$8:$B$154=$B18)*'ANALYSE - ERP =&gt; SOUS-SEGMENT'!$Q$8:$Q$154*'ANALYSE - ERP =&gt; SOUS-SEGMENT'!$BH$8:$BH$154),0)</f>
        <v>0.29273423597678916</v>
      </c>
      <c r="JQ18" s="780">
        <f>IFERROR(SUMPRODUCT(('ANALYSE - ERP =&gt; SOUS-SEGMENT'!$B$8:$B$154=$B18)*'ANALYSE - ERP =&gt; SOUS-SEGMENT'!$Q$8:$Q$154*'ANALYSE - ERP =&gt; SOUS-SEGMENT'!$BH$8:$BH$154*'ANALYSE - ERP =&gt; SOUS-SEGMENT'!$JT$8:$JT$154)/SUMPRODUCT(('ANALYSE - ERP =&gt; SOUS-SEGMENT'!$B$8:$B$154=$B18)*'ANALYSE - ERP =&gt; SOUS-SEGMENT'!$Q$8:$Q$154*'ANALYSE - ERP =&gt; SOUS-SEGMENT'!$BH$8:$BH$154),0)</f>
        <v>0.59624313346228242</v>
      </c>
      <c r="JR18" s="780">
        <f>IFERROR(SUMPRODUCT(('ANALYSE - ERP =&gt; SOUS-SEGMENT'!$B$8:$B$154=$B18)*'ANALYSE - ERP =&gt; SOUS-SEGMENT'!$Q$8:$Q$154*'ANALYSE - ERP =&gt; SOUS-SEGMENT'!$BH$8:$BH$154*'ANALYSE - ERP =&gt; SOUS-SEGMENT'!$JU$8:$JU$154)/SUMPRODUCT(('ANALYSE - ERP =&gt; SOUS-SEGMENT'!$B$8:$B$154=$B18)*'ANALYSE - ERP =&gt; SOUS-SEGMENT'!$Q$8:$Q$154*'ANALYSE - ERP =&gt; SOUS-SEGMENT'!$BH$8:$BH$154),0)</f>
        <v>0.11102263056092844</v>
      </c>
      <c r="JS18" s="780">
        <f>IFERROR(SUMPRODUCT(('ANALYSE - ERP =&gt; SOUS-SEGMENT'!$B$8:$B$154=$B18)*'ANALYSE - ERP =&gt; SOUS-SEGMENT'!$Q$8:$Q$154*'ANALYSE - ERP =&gt; SOUS-SEGMENT'!$BH$8:$BH$154*'ANALYSE - ERP =&gt; SOUS-SEGMENT'!$JV$8:$JV$154)/SUMPRODUCT(('ANALYSE - ERP =&gt; SOUS-SEGMENT'!$B$8:$B$154=$B18)*'ANALYSE - ERP =&gt; SOUS-SEGMENT'!$Q$8:$Q$154*'ANALYSE - ERP =&gt; SOUS-SEGMENT'!$BH$8:$BH$154),0)</f>
        <v>0</v>
      </c>
      <c r="JT18" s="781">
        <f>IFERROR(SUMPRODUCT(('ANALYSE - ERP =&gt; SOUS-SEGMENT'!$B$8:$B$154=$B18)*'ANALYSE - ERP =&gt; SOUS-SEGMENT'!$Q$8:$Q$154*'ANALYSE - ERP =&gt; SOUS-SEGMENT'!$BH$8:$BH$154*'ANALYSE - ERP =&gt; SOUS-SEGMENT'!$JW$8:$JW$154)/SUMPRODUCT(('ANALYSE - ERP =&gt; SOUS-SEGMENT'!$B$8:$B$154=$B18)*'ANALYSE - ERP =&gt; SOUS-SEGMENT'!$Q$8:$Q$154*'ANALYSE - ERP =&gt; SOUS-SEGMENT'!$BH$8:$BH$154),0)</f>
        <v>0</v>
      </c>
      <c r="JU18" s="782">
        <f>IFERROR(SUMPRODUCT(('ANALYSE - ERP =&gt; SOUS-SEGMENT'!$B$8:$B$154=$B18)*'ANALYSE - ERP =&gt; SOUS-SEGMENT'!$Q$8:$Q$154*'ANALYSE - ERP =&gt; SOUS-SEGMENT'!$FK$8:$FK$154*'ANALYSE - ERP =&gt; SOUS-SEGMENT'!$JX$8:$JX$154)/SUMPRODUCT(('ANALYSE - ERP =&gt; SOUS-SEGMENT'!$B$8:$B$154=$B18)*'ANALYSE - ERP =&gt; SOUS-SEGMENT'!$Q$8:$Q$154*'ANALYSE - ERP =&gt; SOUS-SEGMENT'!$FK$8:$FK$154),0)</f>
        <v>0.2662472448157035</v>
      </c>
      <c r="JV18" s="780">
        <f>IFERROR(SUMPRODUCT(('ANALYSE - ERP =&gt; SOUS-SEGMENT'!$B$8:$B$154=$B18)*'ANALYSE - ERP =&gt; SOUS-SEGMENT'!$Q$8:$Q$154*'ANALYSE - ERP =&gt; SOUS-SEGMENT'!$FK$8:$FK$154*'ANALYSE - ERP =&gt; SOUS-SEGMENT'!$JY$8:$JY$154)/SUMPRODUCT(('ANALYSE - ERP =&gt; SOUS-SEGMENT'!$B$8:$B$154=$B18)*'ANALYSE - ERP =&gt; SOUS-SEGMENT'!$Q$8:$Q$154*'ANALYSE - ERP =&gt; SOUS-SEGMENT'!$FK$8:$FK$154),0)</f>
        <v>0.57588680837035833</v>
      </c>
      <c r="JW18" s="780">
        <f>IFERROR(SUMPRODUCT(('ANALYSE - ERP =&gt; SOUS-SEGMENT'!$B$8:$B$154=$B18)*'ANALYSE - ERP =&gt; SOUS-SEGMENT'!$Q$8:$Q$154*'ANALYSE - ERP =&gt; SOUS-SEGMENT'!$FK$8:$FK$154*'ANALYSE - ERP =&gt; SOUS-SEGMENT'!$JZ$8:$JZ$154)/SUMPRODUCT(('ANALYSE - ERP =&gt; SOUS-SEGMENT'!$B$8:$B$154=$B18)*'ANALYSE - ERP =&gt; SOUS-SEGMENT'!$Q$8:$Q$154*'ANALYSE - ERP =&gt; SOUS-SEGMENT'!$FK$8:$FK$154),0)</f>
        <v>0.13359462472246741</v>
      </c>
      <c r="JX18" s="780">
        <f>IFERROR(SUMPRODUCT(('ANALYSE - ERP =&gt; SOUS-SEGMENT'!$B$8:$B$154=$B18)*'ANALYSE - ERP =&gt; SOUS-SEGMENT'!$Q$8:$Q$154*'ANALYSE - ERP =&gt; SOUS-SEGMENT'!$FK$8:$FK$154*'ANALYSE - ERP =&gt; SOUS-SEGMENT'!$KA$8:$KA$154)/SUMPRODUCT(('ANALYSE - ERP =&gt; SOUS-SEGMENT'!$B$8:$B$154=$B18)*'ANALYSE - ERP =&gt; SOUS-SEGMENT'!$Q$8:$Q$154*'ANALYSE - ERP =&gt; SOUS-SEGMENT'!$FK$8:$FK$154),0)</f>
        <v>1.9840842662075323E-2</v>
      </c>
      <c r="JY18" s="783">
        <f>IFERROR(SUMPRODUCT(('ANALYSE - ERP =&gt; SOUS-SEGMENT'!$B$8:$B$154=$B18)*'ANALYSE - ERP =&gt; SOUS-SEGMENT'!$Q$8:$Q$154*'ANALYSE - ERP =&gt; SOUS-SEGMENT'!$FK$8:$FK$154*'ANALYSE - ERP =&gt; SOUS-SEGMENT'!$KB$8:$KB$154)/SUMPRODUCT(('ANALYSE - ERP =&gt; SOUS-SEGMENT'!$B$8:$B$154=$B18)*'ANALYSE - ERP =&gt; SOUS-SEGMENT'!$Q$8:$Q$154*'ANALYSE - ERP =&gt; SOUS-SEGMENT'!$FK$8:$FK$154),0)</f>
        <v>4.4304794293954595E-3</v>
      </c>
      <c r="JZ18" s="657"/>
      <c r="KA18" s="314" t="s">
        <v>2590</v>
      </c>
      <c r="KB18" s="314" t="s">
        <v>2591</v>
      </c>
      <c r="KC18" s="866">
        <f>IFERROR(SUMPRODUCT(('ANALYSE - ERP =&gt; SOUS-SEGMENT'!$B$8:$B$154=$B18)*'ANALYSE - ERP =&gt; SOUS-SEGMENT'!$Q$8:$Q$154*'ANALYSE - ERP =&gt; SOUS-SEGMENT'!$EX$8:$EX$154*'ANALYSE - ERP =&gt; SOUS-SEGMENT'!$KF$8:$KF$154)/SUMPRODUCT(('ANALYSE - ERP =&gt; SOUS-SEGMENT'!$B$8:$B$154=$B18)*'ANALYSE - ERP =&gt; SOUS-SEGMENT'!$Q$8:$Q$154*'ANALYSE - ERP =&gt; SOUS-SEGMENT'!$EX$8:$EX$154),"")</f>
        <v>4.0510662540625084</v>
      </c>
      <c r="KD18" s="314" t="s">
        <v>2589</v>
      </c>
      <c r="KE18" s="315" t="s">
        <v>5212</v>
      </c>
      <c r="KF18" s="315" t="s">
        <v>7559</v>
      </c>
      <c r="KG18" s="315" t="s">
        <v>7559</v>
      </c>
    </row>
    <row r="19" spans="1:293" s="933" customFormat="1" ht="48" customHeight="1">
      <c r="A19" s="649">
        <v>12</v>
      </c>
      <c r="B19" s="650" t="s">
        <v>7538</v>
      </c>
      <c r="C19" s="650" t="s">
        <v>5216</v>
      </c>
      <c r="D19" s="650" t="s">
        <v>7539</v>
      </c>
      <c r="E19" s="651" t="s">
        <v>2117</v>
      </c>
      <c r="F19" s="651" t="s">
        <v>5239</v>
      </c>
      <c r="G19" s="651" t="s">
        <v>7311</v>
      </c>
      <c r="H19" s="651" t="s">
        <v>2109</v>
      </c>
      <c r="I19" s="652" t="s">
        <v>7651</v>
      </c>
      <c r="J19" s="652" t="s">
        <v>7652</v>
      </c>
      <c r="K19" s="653" t="s">
        <v>2097</v>
      </c>
      <c r="L19" s="653" t="s">
        <v>2109</v>
      </c>
      <c r="M19" s="653" t="s">
        <v>3168</v>
      </c>
      <c r="N19" s="653" t="s">
        <v>6742</v>
      </c>
      <c r="O19" s="651" t="s">
        <v>3170</v>
      </c>
      <c r="P19" s="652"/>
      <c r="Q19" s="654">
        <f>IF(SUMPRODUCT(('ANALYSE - ERP =&gt; SOUS-SEGMENT'!$B$8:$B$154=$B19)*'ANALYSE - ERP =&gt; SOUS-SEGMENT'!$Q$8:$Q$154)&gt;0,1,0)</f>
        <v>1</v>
      </c>
      <c r="R19" s="655">
        <f>IFERROR(SUMPRODUCT(('ANALYSE - ERP =&gt; SOUS-SEGMENT'!$B$8:$B$154=$B19)*'ANALYSE - ERP =&gt; SOUS-SEGMENT'!$Q$8:$Q$154*'ANALYSE - ERP =&gt; SOUS-SEGMENT'!$AG$8:$AG$154*'ANALYSE - ERP =&gt; SOUS-SEGMENT'!$R$8:$R$154)/SUMPRODUCT(('ANALYSE - ERP =&gt; SOUS-SEGMENT'!$B$8:$B$154=$B19)*'ANALYSE - ERP =&gt; SOUS-SEGMENT'!$Q$8:$Q$154*'ANALYSE - ERP =&gt; SOUS-SEGMENT'!$AG$8:$AG$154),"")</f>
        <v>5914.4845099035047</v>
      </c>
      <c r="S19" s="656">
        <f>SUMPRODUCT(('ANALYSE - ERP =&gt; SOUS-SEGMENT'!$B$8:$B$154=$B19)*'ANALYSE - ERP =&gt; SOUS-SEGMENT'!$Q$8:$Q$154*'ANALYSE - ERP =&gt; SOUS-SEGMENT'!$S$8:$S$154)</f>
        <v>4895</v>
      </c>
      <c r="T19" s="656">
        <f>SUMPRODUCT(('ANALYSE - ERP =&gt; SOUS-SEGMENT'!$B$8:$B$154=$B19)*'ANALYSE - ERP =&gt; SOUS-SEGMENT'!$Q$8:$Q$154*'ANALYSE - ERP =&gt; SOUS-SEGMENT'!$T$8:$T$154)</f>
        <v>5665</v>
      </c>
      <c r="U19" s="656">
        <f>SUMPRODUCT(('ANALYSE - ERP =&gt; SOUS-SEGMENT'!$B$8:$B$154=$B19)*'ANALYSE - ERP =&gt; SOUS-SEGMENT'!$Q$8:$Q$154*'ANALYSE - ERP =&gt; SOUS-SEGMENT'!$U$8:$U$154)</f>
        <v>6495</v>
      </c>
      <c r="V19" s="656">
        <f>SUMPRODUCT(('ANALYSE - ERP =&gt; SOUS-SEGMENT'!$B$8:$B$154=$B19)*'ANALYSE - ERP =&gt; SOUS-SEGMENT'!$Q$8:$Q$154*'ANALYSE - ERP =&gt; SOUS-SEGMENT'!$V$8:$V$154)</f>
        <v>7722</v>
      </c>
      <c r="W19" s="656">
        <f>SUMPRODUCT(('ANALYSE - ERP =&gt; SOUS-SEGMENT'!$B$8:$B$154=$B19)*'ANALYSE - ERP =&gt; SOUS-SEGMENT'!$Q$8:$Q$154*'ANALYSE - ERP =&gt; SOUS-SEGMENT'!$W$8:$W$154)</f>
        <v>7948</v>
      </c>
      <c r="X19" s="656">
        <f>SUMPRODUCT(('ANALYSE - ERP =&gt; SOUS-SEGMENT'!$B$8:$B$154=$B19)*'ANALYSE - ERP =&gt; SOUS-SEGMENT'!$Q$8:$Q$154*'ANALYSE - ERP =&gt; SOUS-SEGMENT'!$X$8:$X$154)</f>
        <v>8183</v>
      </c>
      <c r="Y19" s="656">
        <f>SUMPRODUCT(('ANALYSE - ERP =&gt; SOUS-SEGMENT'!$B$8:$B$154=$B19)*'ANALYSE - ERP =&gt; SOUS-SEGMENT'!$Q$8:$Q$154*'ANALYSE - ERP =&gt; SOUS-SEGMENT'!$Y$8:$Y$154)</f>
        <v>8419</v>
      </c>
      <c r="Z19" s="656">
        <f>SUMPRODUCT(('ANALYSE - ERP =&gt; SOUS-SEGMENT'!$B$8:$B$154=$B19)*'ANALYSE - ERP =&gt; SOUS-SEGMENT'!$Q$8:$Q$154*'ANALYSE - ERP =&gt; SOUS-SEGMENT'!$Z$8:$Z$154)</f>
        <v>8708</v>
      </c>
      <c r="AA19" s="656">
        <f>SUMPRODUCT(('ANALYSE - ERP =&gt; SOUS-SEGMENT'!$B$8:$B$154=$B19)*'ANALYSE - ERP =&gt; SOUS-SEGMENT'!$Q$8:$Q$154*'ANALYSE - ERP =&gt; SOUS-SEGMENT'!$AA$8:$AA$154)</f>
        <v>8953</v>
      </c>
      <c r="AB19" s="656">
        <f>SUMPRODUCT(('ANALYSE - ERP =&gt; SOUS-SEGMENT'!$B$8:$B$154=$B19)*'ANALYSE - ERP =&gt; SOUS-SEGMENT'!$Q$8:$Q$154*'ANALYSE - ERP =&gt; SOUS-SEGMENT'!$AB$8:$AB$154)</f>
        <v>9008</v>
      </c>
      <c r="AC19" s="656">
        <f>SUMPRODUCT(('ANALYSE - ERP =&gt; SOUS-SEGMENT'!$B$8:$B$154=$B19)*'ANALYSE - ERP =&gt; SOUS-SEGMENT'!$Q$8:$Q$154*'ANALYSE - ERP =&gt; SOUS-SEGMENT'!$AC$8:$AC$154)</f>
        <v>9113</v>
      </c>
      <c r="AD19" s="656">
        <f>SUMPRODUCT(('ANALYSE - ERP =&gt; SOUS-SEGMENT'!$B$8:$B$154=$B19)*'ANALYSE - ERP =&gt; SOUS-SEGMENT'!$Q$8:$Q$154*'ANALYSE - ERP =&gt; SOUS-SEGMENT'!$AD$8:$AD$154)</f>
        <v>9322</v>
      </c>
      <c r="AE19" s="656">
        <f>SUMPRODUCT(('ANALYSE - ERP =&gt; SOUS-SEGMENT'!$B$8:$B$154=$B19)*'ANALYSE - ERP =&gt; SOUS-SEGMENT'!$Q$8:$Q$154*'ANALYSE - ERP =&gt; SOUS-SEGMENT'!$AE$8:$AE$154)</f>
        <v>9533</v>
      </c>
      <c r="AF19" s="656">
        <f>SUMPRODUCT(('ANALYSE - ERP =&gt; SOUS-SEGMENT'!$B$8:$B$154=$B19)*'ANALYSE - ERP =&gt; SOUS-SEGMENT'!$Q$8:$Q$154*'ANALYSE - ERP =&gt; SOUS-SEGMENT'!$AF$8:$AF$154)</f>
        <v>9691</v>
      </c>
      <c r="AG19" s="656">
        <f>SUMPRODUCT(('ANALYSE - ERP =&gt; SOUS-SEGMENT'!$B$8:$B$154=$B19)*'ANALYSE - ERP =&gt; SOUS-SEGMENT'!$Q$8:$Q$154*'ANALYSE - ERP =&gt; SOUS-SEGMENT'!$AG$8:$AG$154)</f>
        <v>9845</v>
      </c>
      <c r="AH19" s="656">
        <f>SUMPRODUCT(('ANALYSE - ERP =&gt; SOUS-SEGMENT'!$B$8:$B$154=$B19)*'ANALYSE - ERP =&gt; SOUS-SEGMENT'!$Q$8:$Q$154*'ANALYSE - ERP =&gt; SOUS-SEGMENT'!$AH$8:$AH$154)</f>
        <v>10049</v>
      </c>
      <c r="AI19" s="656">
        <f>SUMPRODUCT(('ANALYSE - ERP =&gt; SOUS-SEGMENT'!$B$8:$B$154=$B19)*'ANALYSE - ERP =&gt; SOUS-SEGMENT'!$Q$8:$Q$154*'ANALYSE - ERP =&gt; SOUS-SEGMENT'!$AI$8:$AI$154)</f>
        <v>10248</v>
      </c>
      <c r="AJ19" s="656">
        <f>SUMPRODUCT(('ANALYSE - ERP =&gt; SOUS-SEGMENT'!$B$8:$B$154=$B19)*'ANALYSE - ERP =&gt; SOUS-SEGMENT'!$Q$8:$Q$154*'ANALYSE - ERP =&gt; SOUS-SEGMENT'!$AJ$8:$AJ$154)</f>
        <v>10441</v>
      </c>
      <c r="AK19" s="656">
        <f>SUMPRODUCT(('ANALYSE - ERP =&gt; SOUS-SEGMENT'!$B$8:$B$154=$B19)*'ANALYSE - ERP =&gt; SOUS-SEGMENT'!$Q$8:$Q$154*'ANALYSE - ERP =&gt; SOUS-SEGMENT'!$AK$8:$AK$154)</f>
        <v>10629</v>
      </c>
      <c r="AL19" s="652" t="s">
        <v>7559</v>
      </c>
      <c r="AM19" s="652" t="s">
        <v>7559</v>
      </c>
      <c r="AN19" s="652" t="s">
        <v>7542</v>
      </c>
      <c r="AO19" s="657"/>
      <c r="AP19" s="655">
        <f>IFERROR(SUMPRODUCT(('ANALYSE - ERP =&gt; SOUS-SEGMENT'!$B$8:$B$154=$B19)*'ANALYSE - ERP =&gt; SOUS-SEGMENT'!$Q$8:$Q$154*'ANALYSE - ERP =&gt; SOUS-SEGMENT'!$AG$8:$AG$154*'ANALYSE - ERP =&gt; SOUS-SEGMENT'!$AP$8:$AP$154)/SUMPRODUCT(('ANALYSE - ERP =&gt; SOUS-SEGMENT'!$B$8:$B$154=$B19)*'ANALYSE - ERP =&gt; SOUS-SEGMENT'!$Q$8:$Q$154*'ANALYSE - ERP =&gt; SOUS-SEGMENT'!$AG$8:$AG$154),"")</f>
        <v>41.909598781107164</v>
      </c>
      <c r="AQ19" s="655">
        <f>IFERROR(SUMPRODUCT(('ANALYSE - ERP =&gt; SOUS-SEGMENT'!$B$8:$B$154=$B19)*'ANALYSE - ERP =&gt; SOUS-SEGMENT'!$Q$8:$Q$154*'ANALYSE - ERP =&gt; SOUS-SEGMENT'!$AF$8:$AF$154*'ANALYSE - ERP =&gt; SOUS-SEGMENT'!$AQ$8:$AQ$154)/SUMPRODUCT(('ANALYSE - ERP =&gt; SOUS-SEGMENT'!$B$8:$B$154=$B19)*'ANALYSE - ERP =&gt; SOUS-SEGMENT'!$Q$8:$Q$154*'ANALYSE - ERP =&gt; SOUS-SEGMENT'!$AF$8:$AF$154),"")</f>
        <v>35.1356929109483</v>
      </c>
      <c r="AR19" s="655">
        <f>IFERROR(SUMPRODUCT(('ANALYSE - ERP =&gt; SOUS-SEGMENT'!$B$8:$B$154=$B19)*'ANALYSE - ERP =&gt; SOUS-SEGMENT'!$Q$8:$Q$154*'ANALYSE - ERP =&gt; SOUS-SEGMENT'!$AF$8:$AF$154*'ANALYSE - ERP =&gt; SOUS-SEGMENT'!$AR$8:$AR$154)/SUMPRODUCT(('ANALYSE - ERP =&gt; SOUS-SEGMENT'!$B$8:$B$154=$B19)*'ANALYSE - ERP =&gt; SOUS-SEGMENT'!$Q$8:$Q$154*'ANALYSE - ERP =&gt; SOUS-SEGMENT'!$AF$8:$AF$154),"")</f>
        <v>5.2775771334227635</v>
      </c>
      <c r="AS19" s="655">
        <f>IFERROR(SUMPRODUCT(('ANALYSE - ERP =&gt; SOUS-SEGMENT'!$B$8:$B$154=$B19)*'ANALYSE - ERP =&gt; SOUS-SEGMENT'!$Q$8:$Q$154*'ANALYSE - ERP =&gt; SOUS-SEGMENT'!$AF$8:$AF$154*'ANALYSE - ERP =&gt; SOUS-SEGMENT'!$AS$8:$AS$154)/SUMPRODUCT(('ANALYSE - ERP =&gt; SOUS-SEGMENT'!$B$8:$B$154=$B19)*'ANALYSE - ERP =&gt; SOUS-SEGMENT'!$Q$8:$Q$154*'ANALYSE - ERP =&gt; SOUS-SEGMENT'!$AF$8:$AF$154),"")</f>
        <v>1.4936539056856877</v>
      </c>
      <c r="AT19" s="657" t="s">
        <v>7543</v>
      </c>
      <c r="AU19" s="658" t="s">
        <v>7544</v>
      </c>
      <c r="AV19" s="659" t="s">
        <v>2609</v>
      </c>
      <c r="AW19" s="658" t="s">
        <v>7559</v>
      </c>
      <c r="AX19" s="657"/>
      <c r="AY19" s="660">
        <f>IFERROR(SUMPRODUCT(('ANALYSE - ERP =&gt; SOUS-SEGMENT'!$B$8:$B$154=$B19)*'ANALYSE - ERP =&gt; SOUS-SEGMENT'!$Q$8:$Q$154*'ANALYSE - ERP =&gt; SOUS-SEGMENT'!$AF$8:$AF$154*'ANALYSE - ERP =&gt; SOUS-SEGMENT'!$AZ$8:$AZ$154)/SUMPRODUCT(('ANALYSE - ERP =&gt; SOUS-SEGMENT'!$B$8:$B$154=$B19)*'ANALYSE - ERP =&gt; SOUS-SEGMENT'!$Q$8:$Q$154*'ANALYSE - ERP =&gt; SOUS-SEGMENT'!$AF$8:$AF$154),"")</f>
        <v>2.4698173563099783</v>
      </c>
      <c r="AZ19" s="980">
        <f>IFERROR(SUMPRODUCT(('ANALYSE - ERP =&gt; SOUS-SEGMENT'!$B$8:$B$154=$B19)*'ANALYSE - ERP =&gt; SOUS-SEGMENT'!$Q$8:$Q$154*'ANALYSE - ERP =&gt; SOUS-SEGMENT'!$AF$8:$AF$154*'ANALYSE - ERP =&gt; SOUS-SEGMENT'!$BA$8:$BA$154)/SUMPRODUCT(('ANALYSE - ERP =&gt; SOUS-SEGMENT'!$B$8:$B$154=$B19)*'ANALYSE - ERP =&gt; SOUS-SEGMENT'!$Q$8:$Q$154*'ANALYSE - ERP =&gt; SOUS-SEGMENT'!$AF$8:$AF$154),"")</f>
        <v>0</v>
      </c>
      <c r="BA19" s="660">
        <f>IFERROR(SUMPRODUCT(('ANALYSE - ERP =&gt; SOUS-SEGMENT'!$B$8:$B$154=$B19)*'ANALYSE - ERP =&gt; SOUS-SEGMENT'!$Q$8:$Q$154*'ANALYSE - ERP =&gt; SOUS-SEGMENT'!$AF$8:$AF$154*'ANALYSE - ERP =&gt; SOUS-SEGMENT'!$BB$8:$BB$154)/SUMPRODUCT(('ANALYSE - ERP =&gt; SOUS-SEGMENT'!$B$8:$B$154=$B19)*'ANALYSE - ERP =&gt; SOUS-SEGMENT'!$Q$8:$Q$154*'ANALYSE - ERP =&gt; SOUS-SEGMENT'!$AF$8:$AF$154),"")</f>
        <v>0.25890001031885257</v>
      </c>
      <c r="BB19" s="660">
        <f>IFERROR(SUMPRODUCT(('ANALYSE - ERP =&gt; SOUS-SEGMENT'!$B$8:$B$154=$B19)*'ANALYSE - ERP =&gt; SOUS-SEGMENT'!$Q$8:$Q$154*'ANALYSE - ERP =&gt; SOUS-SEGMENT'!$AF$8:$AF$154*'ANALYSE - ERP =&gt; SOUS-SEGMENT'!$BC$8:$BC$154)/SUMPRODUCT(('ANALYSE - ERP =&gt; SOUS-SEGMENT'!$B$8:$B$154=$B19)*'ANALYSE - ERP =&gt; SOUS-SEGMENT'!$Q$8:$Q$154*'ANALYSE - ERP =&gt; SOUS-SEGMENT'!$AF$8:$AF$154),"")</f>
        <v>2.4698173563099783</v>
      </c>
      <c r="BC19" s="661">
        <f>SUMPRODUCT(('ANALYSE - ERP =&gt; SOUS-SEGMENT'!$B$8:$B$154=$B19)*'ANALYSE - ERP =&gt; SOUS-SEGMENT'!$Q$8:$Q$154*'ANALYSE - ERP =&gt; SOUS-SEGMENT'!$BE$8:$BE$154)</f>
        <v>23935</v>
      </c>
      <c r="BD19" s="661">
        <f>SUMPRODUCT(('ANALYSE - ERP =&gt; SOUS-SEGMENT'!$B$8:$B$154=$B19)*'ANALYSE - ERP =&gt; SOUS-SEGMENT'!$Q$8:$Q$154*'ANALYSE - ERP =&gt; SOUS-SEGMENT'!$BF$8:$BF$154)</f>
        <v>0</v>
      </c>
      <c r="BE19" s="661">
        <f>SUMPRODUCT(('ANALYSE - ERP =&gt; SOUS-SEGMENT'!$B$8:$B$154=$B19)*'ANALYSE - ERP =&gt; SOUS-SEGMENT'!$Q$8:$Q$154*'ANALYSE - ERP =&gt; SOUS-SEGMENT'!$BG$8:$BG$154)</f>
        <v>2509</v>
      </c>
      <c r="BF19" s="661">
        <f>SUMPRODUCT(('ANALYSE - ERP =&gt; SOUS-SEGMENT'!$B$8:$B$154=$B19)*'ANALYSE - ERP =&gt; SOUS-SEGMENT'!$Q$8:$Q$154*'ANALYSE - ERP =&gt; SOUS-SEGMENT'!$BH$8:$BH$154)</f>
        <v>23935</v>
      </c>
      <c r="BG19" s="661">
        <f>SUMPRODUCT(('ANALYSE - ERP =&gt; SOUS-SEGMENT'!$B$8:$B$154=$B19)*'ANALYSE - ERP =&gt; SOUS-SEGMENT'!$Q$8:$Q$154*'ANALYSE - ERP =&gt; SOUS-SEGMENT'!$BJ$8:$BJ$154)</f>
        <v>26085</v>
      </c>
      <c r="BH19" s="661">
        <f>SUMPRODUCT(('ANALYSE - ERP =&gt; SOUS-SEGMENT'!$B$8:$B$154=$B19)*'ANALYSE - ERP =&gt; SOUS-SEGMENT'!$Q$8:$Q$154*'ANALYSE - ERP =&gt; SOUS-SEGMENT'!$BK$8:$BK$154)</f>
        <v>0</v>
      </c>
      <c r="BI19" s="661">
        <f>SUMPRODUCT(('ANALYSE - ERP =&gt; SOUS-SEGMENT'!$B$8:$B$154=$B19)*'ANALYSE - ERP =&gt; SOUS-SEGMENT'!$Q$8:$Q$154*'ANALYSE - ERP =&gt; SOUS-SEGMENT'!$BL$8:$BL$154)</f>
        <v>2733</v>
      </c>
      <c r="BJ19" s="661">
        <f>SUMPRODUCT(('ANALYSE - ERP =&gt; SOUS-SEGMENT'!$B$8:$B$154=$B19)*'ANALYSE - ERP =&gt; SOUS-SEGMENT'!$Q$8:$Q$154*'ANALYSE - ERP =&gt; SOUS-SEGMENT'!$BM$8:$BM$154)</f>
        <v>26085</v>
      </c>
      <c r="BK19" s="657"/>
      <c r="BL19" s="662">
        <f>IFERROR(SUMPRODUCT(('ANALYSE - ERP =&gt; SOUS-SEGMENT'!$B$8:$B$154=$B19)*'ANALYSE - ERP =&gt; SOUS-SEGMENT'!$Q$8:$Q$154*'ANALYSE - ERP =&gt; SOUS-SEGMENT'!$BE$8:$BE$154*'ANALYSE - ERP =&gt; SOUS-SEGMENT'!$BO$8:$BO$154)/SUMPRODUCT(('ANALYSE - ERP =&gt; SOUS-SEGMENT'!$B$8:$B$154=$B19)*'ANALYSE - ERP =&gt; SOUS-SEGMENT'!$Q$8:$Q$154*'ANALYSE - ERP =&gt; SOUS-SEGMENT'!$BE$8:$BE$154),"")</f>
        <v>0.35</v>
      </c>
      <c r="BM19" s="662">
        <f>IFERROR(SUMPRODUCT(('ANALYSE - ERP =&gt; SOUS-SEGMENT'!$B$8:$B$154=$B19)*'ANALYSE - ERP =&gt; SOUS-SEGMENT'!$Q$8:$Q$154*'ANALYSE - ERP =&gt; SOUS-SEGMENT'!$BE$8:$BE$154*'ANALYSE - ERP =&gt; SOUS-SEGMENT'!$BP$8:$BP$154)/SUMPRODUCT(('ANALYSE - ERP =&gt; SOUS-SEGMENT'!$B$8:$B$154=$B19)*'ANALYSE - ERP =&gt; SOUS-SEGMENT'!$Q$8:$Q$154*'ANALYSE - ERP =&gt; SOUS-SEGMENT'!$BE$8:$BE$154),"")</f>
        <v>0.5</v>
      </c>
      <c r="BN19" s="662">
        <f>IFERROR(SUMPRODUCT(('ANALYSE - ERP =&gt; SOUS-SEGMENT'!$B$8:$B$154=$B19)*'ANALYSE - ERP =&gt; SOUS-SEGMENT'!$Q$8:$Q$154*'ANALYSE - ERP =&gt; SOUS-SEGMENT'!$BE$8:$BE$154*'ANALYSE - ERP =&gt; SOUS-SEGMENT'!$BQ$8:$BQ$154)/SUMPRODUCT(('ANALYSE - ERP =&gt; SOUS-SEGMENT'!$B$8:$B$154=$B19)*'ANALYSE - ERP =&gt; SOUS-SEGMENT'!$Q$8:$Q$154*'ANALYSE - ERP =&gt; SOUS-SEGMENT'!$BE$8:$BE$154),"")</f>
        <v>0.1</v>
      </c>
      <c r="BO19" s="662">
        <f>IFERROR(SUMPRODUCT(('ANALYSE - ERP =&gt; SOUS-SEGMENT'!$B$8:$B$154=$B19)*'ANALYSE - ERP =&gt; SOUS-SEGMENT'!$Q$8:$Q$154*'ANALYSE - ERP =&gt; SOUS-SEGMENT'!$BE$8:$BE$154*'ANALYSE - ERP =&gt; SOUS-SEGMENT'!$BR$8:$BR$154)/SUMPRODUCT(('ANALYSE - ERP =&gt; SOUS-SEGMENT'!$B$8:$B$154=$B19)*'ANALYSE - ERP =&gt; SOUS-SEGMENT'!$Q$8:$Q$154*'ANALYSE - ERP =&gt; SOUS-SEGMENT'!$BE$8:$BE$154),"")</f>
        <v>0.05</v>
      </c>
      <c r="BP19" s="662">
        <f>IFERROR(SUMPRODUCT(('ANALYSE - ERP =&gt; SOUS-SEGMENT'!$B$8:$B$154=$B19)*'ANALYSE - ERP =&gt; SOUS-SEGMENT'!$Q$8:$Q$154*'ANALYSE - ERP =&gt; SOUS-SEGMENT'!$BJ$8:$BJ$154*'ANALYSE - ERP =&gt; SOUS-SEGMENT'!$BS$8:$BS$154)/SUMPRODUCT(('ANALYSE - ERP =&gt; SOUS-SEGMENT'!$B$8:$B$154=$B19)*'ANALYSE - ERP =&gt; SOUS-SEGMENT'!$Q$8:$Q$154*'ANALYSE - ERP =&gt; SOUS-SEGMENT'!$BJ$8:$BJ$154),"")</f>
        <v>0.32</v>
      </c>
      <c r="BQ19" s="662">
        <f>IFERROR(SUMPRODUCT(('ANALYSE - ERP =&gt; SOUS-SEGMENT'!$B$8:$B$154=$B19)*'ANALYSE - ERP =&gt; SOUS-SEGMENT'!$Q$8:$Q$154*'ANALYSE - ERP =&gt; SOUS-SEGMENT'!$BJ$8:$BJ$154*'ANALYSE - ERP =&gt; SOUS-SEGMENT'!$BT$8:$BT$154)/SUMPRODUCT(('ANALYSE - ERP =&gt; SOUS-SEGMENT'!$B$8:$B$154=$B19)*'ANALYSE - ERP =&gt; SOUS-SEGMENT'!$Q$8:$Q$154*'ANALYSE - ERP =&gt; SOUS-SEGMENT'!$BJ$8:$BJ$154),"")</f>
        <v>0.5</v>
      </c>
      <c r="BR19" s="662">
        <f>IFERROR(SUMPRODUCT(('ANALYSE - ERP =&gt; SOUS-SEGMENT'!$B$8:$B$154=$B19)*'ANALYSE - ERP =&gt; SOUS-SEGMENT'!$Q$8:$Q$154*'ANALYSE - ERP =&gt; SOUS-SEGMENT'!$BJ$8:$BJ$154*'ANALYSE - ERP =&gt; SOUS-SEGMENT'!$BU$8:$BU$154)/SUMPRODUCT(('ANALYSE - ERP =&gt; SOUS-SEGMENT'!$B$8:$B$154=$B19)*'ANALYSE - ERP =&gt; SOUS-SEGMENT'!$Q$8:$Q$154*'ANALYSE - ERP =&gt; SOUS-SEGMENT'!$BJ$8:$BJ$154),"")</f>
        <v>0.12999999999999998</v>
      </c>
      <c r="BS19" s="662">
        <f>IFERROR(SUMPRODUCT(('ANALYSE - ERP =&gt; SOUS-SEGMENT'!$B$8:$B$154=$B19)*'ANALYSE - ERP =&gt; SOUS-SEGMENT'!$Q$8:$Q$154*'ANALYSE - ERP =&gt; SOUS-SEGMENT'!$BJ$8:$BJ$154*'ANALYSE - ERP =&gt; SOUS-SEGMENT'!$BV$8:$BV$154)/SUMPRODUCT(('ANALYSE - ERP =&gt; SOUS-SEGMENT'!$B$8:$B$154=$B19)*'ANALYSE - ERP =&gt; SOUS-SEGMENT'!$Q$8:$Q$154*'ANALYSE - ERP =&gt; SOUS-SEGMENT'!$BJ$8:$BJ$154),"")</f>
        <v>0.05</v>
      </c>
      <c r="BT19" s="663" t="str">
        <f>IFERROR(SUMPRODUCT(('ANALYSE - ERP =&gt; SOUS-SEGMENT'!$B$8:$B$154=$B19)*'ANALYSE - ERP =&gt; SOUS-SEGMENT'!$Q$8:$Q$154*'ANALYSE - ERP =&gt; SOUS-SEGMENT'!$BF$8:$BF$154*'ANALYSE - ERP =&gt; SOUS-SEGMENT'!$BW$8:$BW$154)/SUMPRODUCT(('ANALYSE - ERP =&gt; SOUS-SEGMENT'!$B$8:$B$154=$B19)*'ANALYSE - ERP =&gt; SOUS-SEGMENT'!$Q$8:$Q$154*'ANALYSE - ERP =&gt; SOUS-SEGMENT'!$BF$8:$BF$154),"")</f>
        <v/>
      </c>
      <c r="BU19" s="663" t="str">
        <f>IFERROR(SUMPRODUCT(('ANALYSE - ERP =&gt; SOUS-SEGMENT'!$B$8:$B$154=$B19)*'ANALYSE - ERP =&gt; SOUS-SEGMENT'!$Q$8:$Q$154*'ANALYSE - ERP =&gt; SOUS-SEGMENT'!$BF$8:$BF$154*'ANALYSE - ERP =&gt; SOUS-SEGMENT'!$BX$8:$BX$154)/SUMPRODUCT(('ANALYSE - ERP =&gt; SOUS-SEGMENT'!$B$8:$B$154=$B19)*'ANALYSE - ERP =&gt; SOUS-SEGMENT'!$Q$8:$Q$154*'ANALYSE - ERP =&gt; SOUS-SEGMENT'!$BF$8:$BF$154),"")</f>
        <v/>
      </c>
      <c r="BV19" s="663" t="str">
        <f>IFERROR(SUMPRODUCT(('ANALYSE - ERP =&gt; SOUS-SEGMENT'!$B$8:$B$154=$B19)*'ANALYSE - ERP =&gt; SOUS-SEGMENT'!$Q$8:$Q$154*'ANALYSE - ERP =&gt; SOUS-SEGMENT'!$BF$8:$BF$154*'ANALYSE - ERP =&gt; SOUS-SEGMENT'!$BY$8:$BY$154)/SUMPRODUCT(('ANALYSE - ERP =&gt; SOUS-SEGMENT'!$B$8:$B$154=$B19)*'ANALYSE - ERP =&gt; SOUS-SEGMENT'!$Q$8:$Q$154*'ANALYSE - ERP =&gt; SOUS-SEGMENT'!$BF$8:$BF$154),"")</f>
        <v/>
      </c>
      <c r="BW19" s="663" t="str">
        <f>IFERROR(SUMPRODUCT(('ANALYSE - ERP =&gt; SOUS-SEGMENT'!$B$8:$B$154=$B19)*'ANALYSE - ERP =&gt; SOUS-SEGMENT'!$Q$8:$Q$154*'ANALYSE - ERP =&gt; SOUS-SEGMENT'!$BK$8:$BK$154*'ANALYSE - ERP =&gt; SOUS-SEGMENT'!$BZ$8:$BZ$154)/SUMPRODUCT(('ANALYSE - ERP =&gt; SOUS-SEGMENT'!$B$8:$B$154=$B19)*'ANALYSE - ERP =&gt; SOUS-SEGMENT'!$Q$8:$Q$154*'ANALYSE - ERP =&gt; SOUS-SEGMENT'!$BK$8:$BK$154),"")</f>
        <v/>
      </c>
      <c r="BX19" s="663" t="str">
        <f>IFERROR(SUMPRODUCT(('ANALYSE - ERP =&gt; SOUS-SEGMENT'!$B$8:$B$154=$B19)*'ANALYSE - ERP =&gt; SOUS-SEGMENT'!$Q$8:$Q$154*'ANALYSE - ERP =&gt; SOUS-SEGMENT'!$BK$8:$BK$154*'ANALYSE - ERP =&gt; SOUS-SEGMENT'!$CA$8:$CA$154)/SUMPRODUCT(('ANALYSE - ERP =&gt; SOUS-SEGMENT'!$B$8:$B$154=$B19)*'ANALYSE - ERP =&gt; SOUS-SEGMENT'!$Q$8:$Q$154*'ANALYSE - ERP =&gt; SOUS-SEGMENT'!$BK$8:$BK$154),"")</f>
        <v/>
      </c>
      <c r="BY19" s="663" t="str">
        <f>IFERROR(SUMPRODUCT(('ANALYSE - ERP =&gt; SOUS-SEGMENT'!$B$8:$B$154=$B19)*'ANALYSE - ERP =&gt; SOUS-SEGMENT'!$Q$8:$Q$154*'ANALYSE - ERP =&gt; SOUS-SEGMENT'!$BK$8:$BK$154*'ANALYSE - ERP =&gt; SOUS-SEGMENT'!$CB$8:$CB$154)/SUMPRODUCT(('ANALYSE - ERP =&gt; SOUS-SEGMENT'!$B$8:$B$154=$B19)*'ANALYSE - ERP =&gt; SOUS-SEGMENT'!$Q$8:$Q$154*'ANALYSE - ERP =&gt; SOUS-SEGMENT'!$BK$8:$BK$154),"")</f>
        <v/>
      </c>
      <c r="BZ19" s="662">
        <f>IFERROR(SUMPRODUCT(('ANALYSE - ERP =&gt; SOUS-SEGMENT'!$B$8:$B$154=$B19)*'ANALYSE - ERP =&gt; SOUS-SEGMENT'!$Q$8:$Q$154*'ANALYSE - ERP =&gt; SOUS-SEGMENT'!$BG$8:$BG$154*'ANALYSE - ERP =&gt; SOUS-SEGMENT'!$CC$8:$CC$154)/SUMPRODUCT(('ANALYSE - ERP =&gt; SOUS-SEGMENT'!$B$8:$B$154=$B19)*'ANALYSE - ERP =&gt; SOUS-SEGMENT'!$Q$8:$Q$154*'ANALYSE - ERP =&gt; SOUS-SEGMENT'!$BG$8:$BG$154),"")</f>
        <v>0.12000000000000001</v>
      </c>
      <c r="CA19" s="662">
        <f>IFERROR(SUMPRODUCT(('ANALYSE - ERP =&gt; SOUS-SEGMENT'!$B$8:$B$154=$B19)*'ANALYSE - ERP =&gt; SOUS-SEGMENT'!$Q$8:$Q$154*'ANALYSE - ERP =&gt; SOUS-SEGMENT'!$BG$8:$BG$154*'ANALYSE - ERP =&gt; SOUS-SEGMENT'!$CD$8:$CD$154)/SUMPRODUCT(('ANALYSE - ERP =&gt; SOUS-SEGMENT'!$B$8:$B$154=$B19)*'ANALYSE - ERP =&gt; SOUS-SEGMENT'!$Q$8:$Q$154*'ANALYSE - ERP =&gt; SOUS-SEGMENT'!$BG$8:$BG$154),"")</f>
        <v>0.5</v>
      </c>
      <c r="CB19" s="662">
        <f>IFERROR(SUMPRODUCT(('ANALYSE - ERP =&gt; SOUS-SEGMENT'!$B$8:$B$154=$B19)*'ANALYSE - ERP =&gt; SOUS-SEGMENT'!$Q$8:$Q$154*'ANALYSE - ERP =&gt; SOUS-SEGMENT'!$BG$8:$BG$154*'ANALYSE - ERP =&gt; SOUS-SEGMENT'!$CE$8:$CE$154)/SUMPRODUCT(('ANALYSE - ERP =&gt; SOUS-SEGMENT'!$B$8:$B$154=$B19)*'ANALYSE - ERP =&gt; SOUS-SEGMENT'!$Q$8:$Q$154*'ANALYSE - ERP =&gt; SOUS-SEGMENT'!$BG$8:$BG$154),"")</f>
        <v>0.15</v>
      </c>
      <c r="CC19" s="662">
        <f>IFERROR(SUMPRODUCT(('ANALYSE - ERP =&gt; SOUS-SEGMENT'!$B$8:$B$154=$B19)*'ANALYSE - ERP =&gt; SOUS-SEGMENT'!$Q$8:$Q$154*'ANALYSE - ERP =&gt; SOUS-SEGMENT'!$BG$8:$BG$154*'ANALYSE - ERP =&gt; SOUS-SEGMENT'!$CF$8:$CF$154)/SUMPRODUCT(('ANALYSE - ERP =&gt; SOUS-SEGMENT'!$B$8:$B$154=$B19)*'ANALYSE - ERP =&gt; SOUS-SEGMENT'!$Q$8:$Q$154*'ANALYSE - ERP =&gt; SOUS-SEGMENT'!$BG$8:$BG$154),"")</f>
        <v>0.23</v>
      </c>
      <c r="CD19" s="662">
        <f>IFERROR(SUMPRODUCT(('ANALYSE - ERP =&gt; SOUS-SEGMENT'!$B$8:$B$154=$B19)*'ANALYSE - ERP =&gt; SOUS-SEGMENT'!$Q$8:$Q$154*'ANALYSE - ERP =&gt; SOUS-SEGMENT'!$BL$8:$BL$154*'ANALYSE - ERP =&gt; SOUS-SEGMENT'!$CG$8:$CG$154)/SUMPRODUCT(('ANALYSE - ERP =&gt; SOUS-SEGMENT'!$B$8:$B$154=$B19)*'ANALYSE - ERP =&gt; SOUS-SEGMENT'!$Q$8:$Q$154*'ANALYSE - ERP =&gt; SOUS-SEGMENT'!$BL$8:$BL$154),"")</f>
        <v>0.1</v>
      </c>
      <c r="CE19" s="662">
        <f>IFERROR(SUMPRODUCT(('ANALYSE - ERP =&gt; SOUS-SEGMENT'!$B$8:$B$154=$B19)*'ANALYSE - ERP =&gt; SOUS-SEGMENT'!$Q$8:$Q$154*'ANALYSE - ERP =&gt; SOUS-SEGMENT'!$BL$8:$BL$154*'ANALYSE - ERP =&gt; SOUS-SEGMENT'!$CH$8:$CH$154)/SUMPRODUCT(('ANALYSE - ERP =&gt; SOUS-SEGMENT'!$B$8:$B$154=$B19)*'ANALYSE - ERP =&gt; SOUS-SEGMENT'!$Q$8:$Q$154*'ANALYSE - ERP =&gt; SOUS-SEGMENT'!$BL$8:$BL$154),"")</f>
        <v>0.5</v>
      </c>
      <c r="CF19" s="662">
        <f>IFERROR(SUMPRODUCT(('ANALYSE - ERP =&gt; SOUS-SEGMENT'!$B$8:$B$154=$B19)*'ANALYSE - ERP =&gt; SOUS-SEGMENT'!$Q$8:$Q$154*'ANALYSE - ERP =&gt; SOUS-SEGMENT'!$BL$8:$BL$154*'ANALYSE - ERP =&gt; SOUS-SEGMENT'!$CI$8:$CI$154)/SUMPRODUCT(('ANALYSE - ERP =&gt; SOUS-SEGMENT'!$B$8:$B$154=$B19)*'ANALYSE - ERP =&gt; SOUS-SEGMENT'!$Q$8:$Q$154*'ANALYSE - ERP =&gt; SOUS-SEGMENT'!$BL$8:$BL$154),"")</f>
        <v>0.18</v>
      </c>
      <c r="CG19" s="662">
        <f>IFERROR(SUMPRODUCT(('ANALYSE - ERP =&gt; SOUS-SEGMENT'!$B$8:$B$154=$B19)*'ANALYSE - ERP =&gt; SOUS-SEGMENT'!$Q$8:$Q$154*'ANALYSE - ERP =&gt; SOUS-SEGMENT'!$BL$8:$BL$154*'ANALYSE - ERP =&gt; SOUS-SEGMENT'!$CJ$8:$CJ$154)/SUMPRODUCT(('ANALYSE - ERP =&gt; SOUS-SEGMENT'!$B$8:$B$154=$B19)*'ANALYSE - ERP =&gt; SOUS-SEGMENT'!$Q$8:$Q$154*'ANALYSE - ERP =&gt; SOUS-SEGMENT'!$BL$8:$BL$154),"")</f>
        <v>0.22</v>
      </c>
      <c r="CH19" s="664">
        <f>IFERROR(SUMPRODUCT(('ANALYSE - ERP =&gt; SOUS-SEGMENT'!$B$8:$B$154=$B19)*'ANALYSE - ERP =&gt; SOUS-SEGMENT'!$Q$8:$Q$154*'ANALYSE - ERP =&gt; SOUS-SEGMENT'!$BH$8:$BH$154*'ANALYSE - ERP =&gt; SOUS-SEGMENT'!$CK$8:$CK$154)/SUMPRODUCT(('ANALYSE - ERP =&gt; SOUS-SEGMENT'!$B$8:$B$154=$B19)*'ANALYSE - ERP =&gt; SOUS-SEGMENT'!$Q$8:$Q$154*'ANALYSE - ERP =&gt; SOUS-SEGMENT'!$BH$8:$BH$154),"")</f>
        <v>0.6</v>
      </c>
      <c r="CI19" s="664">
        <f>IFERROR(SUMPRODUCT(('ANALYSE - ERP =&gt; SOUS-SEGMENT'!$B$8:$B$154=$B19)*'ANALYSE - ERP =&gt; SOUS-SEGMENT'!$Q$8:$Q$154*'ANALYSE - ERP =&gt; SOUS-SEGMENT'!$BH$8:$BH$154*'ANALYSE - ERP =&gt; SOUS-SEGMENT'!$CL$8:$CL$154)/SUMPRODUCT(('ANALYSE - ERP =&gt; SOUS-SEGMENT'!$B$8:$B$154=$B19)*'ANALYSE - ERP =&gt; SOUS-SEGMENT'!$Q$8:$Q$154*'ANALYSE - ERP =&gt; SOUS-SEGMENT'!$BH$8:$BH$154),"")</f>
        <v>0.3</v>
      </c>
      <c r="CJ19" s="664">
        <f>IFERROR(SUMPRODUCT(('ANALYSE - ERP =&gt; SOUS-SEGMENT'!$B$8:$B$154=$B19)*'ANALYSE - ERP =&gt; SOUS-SEGMENT'!$Q$8:$Q$154*'ANALYSE - ERP =&gt; SOUS-SEGMENT'!$BH$8:$BH$154*'ANALYSE - ERP =&gt; SOUS-SEGMENT'!$CM$8:$CM$154)/SUMPRODUCT(('ANALYSE - ERP =&gt; SOUS-SEGMENT'!$B$8:$B$154=$B19)*'ANALYSE - ERP =&gt; SOUS-SEGMENT'!$Q$8:$Q$154*'ANALYSE - ERP =&gt; SOUS-SEGMENT'!$BH$8:$BH$154),"")</f>
        <v>0.1</v>
      </c>
      <c r="CK19" s="664">
        <f>IFERROR(SUMPRODUCT(('ANALYSE - ERP =&gt; SOUS-SEGMENT'!$B$8:$B$154=$B19)*'ANALYSE - ERP =&gt; SOUS-SEGMENT'!$Q$8:$Q$154*'ANALYSE - ERP =&gt; SOUS-SEGMENT'!$BM$8:$BM$154*'ANALYSE - ERP =&gt; SOUS-SEGMENT'!$CN$8:$CN$154)/SUMPRODUCT(('ANALYSE - ERP =&gt; SOUS-SEGMENT'!$B$8:$B$154=$B19)*'ANALYSE - ERP =&gt; SOUS-SEGMENT'!$Q$8:$Q$154*'ANALYSE - ERP =&gt; SOUS-SEGMENT'!$BM$8:$BM$154),"")</f>
        <v>0.51999999999999991</v>
      </c>
      <c r="CL19" s="664">
        <f>IFERROR(SUMPRODUCT(('ANALYSE - ERP =&gt; SOUS-SEGMENT'!$B$8:$B$154=$B19)*'ANALYSE - ERP =&gt; SOUS-SEGMENT'!$Q$8:$Q$154*'ANALYSE - ERP =&gt; SOUS-SEGMENT'!$BM$8:$BM$154*'ANALYSE - ERP =&gt; SOUS-SEGMENT'!$CO$8:$CO$154)/SUMPRODUCT(('ANALYSE - ERP =&gt; SOUS-SEGMENT'!$B$8:$B$154=$B19)*'ANALYSE - ERP =&gt; SOUS-SEGMENT'!$Q$8:$Q$154*'ANALYSE - ERP =&gt; SOUS-SEGMENT'!$BM$8:$BM$154),"")</f>
        <v>0.33</v>
      </c>
      <c r="CM19" s="664">
        <f>IFERROR(SUMPRODUCT(('ANALYSE - ERP =&gt; SOUS-SEGMENT'!$B$8:$B$154=$B19)*'ANALYSE - ERP =&gt; SOUS-SEGMENT'!$Q$8:$Q$154*'ANALYSE - ERP =&gt; SOUS-SEGMENT'!$BM$8:$BM$154*'ANALYSE - ERP =&gt; SOUS-SEGMENT'!$CP$8:$CP$154)/SUMPRODUCT(('ANALYSE - ERP =&gt; SOUS-SEGMENT'!$B$8:$B$154=$B19)*'ANALYSE - ERP =&gt; SOUS-SEGMENT'!$Q$8:$Q$154*'ANALYSE - ERP =&gt; SOUS-SEGMENT'!$BM$8:$BM$154),"")</f>
        <v>0.15</v>
      </c>
      <c r="CN19" s="657"/>
      <c r="CO19" s="665">
        <f>IFERROR(SUMPRODUCT(('ANALYSE - ERP =&gt; SOUS-SEGMENT'!$B$8:$B$154=$B19)*'ANALYSE - ERP =&gt; SOUS-SEGMENT'!$DH$8:$DH$154*'ANALYSE - ERP =&gt; SOUS-SEGMENT'!$CR$8:$CR$154)/SUMPRODUCT(('ANALYSE - ERP =&gt; SOUS-SEGMENT'!$B$8:$B$154=$B19)*'ANALYSE - ERP =&gt; SOUS-SEGMENT'!$DH$8:$DH$154),"")</f>
        <v>12.999999999999998</v>
      </c>
      <c r="CP19" s="665">
        <f>IFERROR(SUMPRODUCT(('ANALYSE - ERP =&gt; SOUS-SEGMENT'!$B$8:$B$154=$B19)*'ANALYSE - ERP =&gt; SOUS-SEGMENT'!$DI$8:$DI$154*'ANALYSE - ERP =&gt; SOUS-SEGMENT'!$CS$8:$CS$154)/SUMPRODUCT(('ANALYSE - ERP =&gt; SOUS-SEGMENT'!$B$8:$B$154=$B19)*'ANALYSE - ERP =&gt; SOUS-SEGMENT'!$DI$8:$DI$154),"")</f>
        <v>14</v>
      </c>
      <c r="CQ19" s="665">
        <f>IFERROR(SUMPRODUCT(('ANALYSE - ERP =&gt; SOUS-SEGMENT'!$B$8:$B$154=$B19)*'ANALYSE - ERP =&gt; SOUS-SEGMENT'!$DJ$8:$DJ$154*'ANALYSE - ERP =&gt; SOUS-SEGMENT'!$CT$8:$CT$154)/SUMPRODUCT(('ANALYSE - ERP =&gt; SOUS-SEGMENT'!$B$8:$B$154=$B19)*'ANALYSE - ERP =&gt; SOUS-SEGMENT'!$DJ$8:$DJ$154),"")</f>
        <v>10</v>
      </c>
      <c r="CR19" s="665">
        <f>IFERROR(SUMPRODUCT(('ANALYSE - ERP =&gt; SOUS-SEGMENT'!$B$8:$B$154=$B19)*'ANALYSE - ERP =&gt; SOUS-SEGMENT'!$DK$8:$DK$154*'ANALYSE - ERP =&gt; SOUS-SEGMENT'!$CU$8:$CU$154)/SUMPRODUCT(('ANALYSE - ERP =&gt; SOUS-SEGMENT'!$B$8:$B$154=$B19)*'ANALYSE - ERP =&gt; SOUS-SEGMENT'!$DK$8:$DK$154),"")</f>
        <v>12</v>
      </c>
      <c r="CS19" s="665" t="str">
        <f>IFERROR(SUMPRODUCT(('ANALYSE - ERP =&gt; SOUS-SEGMENT'!$B$8:$B$154=$B19)*'ANALYSE - ERP =&gt; SOUS-SEGMENT'!$DS$8:$DS$154*'ANALYSE - ERP =&gt; SOUS-SEGMENT'!$CV$8:$CV$154)/SUMPRODUCT(('ANALYSE - ERP =&gt; SOUS-SEGMENT'!$B$8:$B$154=$B19)*'ANALYSE - ERP =&gt; SOUS-SEGMENT'!$DS$8:$DS$154),"")</f>
        <v/>
      </c>
      <c r="CT19" s="665" t="str">
        <f>IFERROR(SUMPRODUCT(('ANALYSE - ERP =&gt; SOUS-SEGMENT'!$B$8:$B$154=$B19)*'ANALYSE - ERP =&gt; SOUS-SEGMENT'!$DT$8:$DT$154*'ANALYSE - ERP =&gt; SOUS-SEGMENT'!$CW$8:$CW$154)/SUMPRODUCT(('ANALYSE - ERP =&gt; SOUS-SEGMENT'!$B$8:$B$154=$B19)*'ANALYSE - ERP =&gt; SOUS-SEGMENT'!$DT$8:$DT$154),"")</f>
        <v/>
      </c>
      <c r="CU19" s="665" t="str">
        <f>IFERROR(SUMPRODUCT(('ANALYSE - ERP =&gt; SOUS-SEGMENT'!$B$8:$B$154=$B19)*'ANALYSE - ERP =&gt; SOUS-SEGMENT'!$DU$8:$DU$154*'ANALYSE - ERP =&gt; SOUS-SEGMENT'!$CX$8:$CX$154)/SUMPRODUCT(('ANALYSE - ERP =&gt; SOUS-SEGMENT'!$B$8:$B$154=$B19)*'ANALYSE - ERP =&gt; SOUS-SEGMENT'!$DU$8:$DU$154),"")</f>
        <v/>
      </c>
      <c r="CV19" s="665">
        <f>IFERROR(SUMPRODUCT(('ANALYSE - ERP =&gt; SOUS-SEGMENT'!$B$8:$B$154=$B19)*'ANALYSE - ERP =&gt; SOUS-SEGMENT'!$EB$8:$EB$154*'ANALYSE - ERP =&gt; SOUS-SEGMENT'!$CY$8:$CY$154)/SUMPRODUCT(('ANALYSE - ERP =&gt; SOUS-SEGMENT'!$B$8:$B$154=$B19)*'ANALYSE - ERP =&gt; SOUS-SEGMENT'!$EB$8:$EB$154),"")</f>
        <v>10.999999999999998</v>
      </c>
      <c r="CW19" s="665">
        <f>IFERROR(SUMPRODUCT(('ANALYSE - ERP =&gt; SOUS-SEGMENT'!$B$8:$B$154=$B19)*'ANALYSE - ERP =&gt; SOUS-SEGMENT'!$EC$8:$EC$154*'ANALYSE - ERP =&gt; SOUS-SEGMENT'!$CZ$8:$CZ$154)/SUMPRODUCT(('ANALYSE - ERP =&gt; SOUS-SEGMENT'!$B$8:$B$154=$B19)*'ANALYSE - ERP =&gt; SOUS-SEGMENT'!$EC$8:$EC$154),"")</f>
        <v>13</v>
      </c>
      <c r="CX19" s="665">
        <f>IFERROR(SUMPRODUCT(('ANALYSE - ERP =&gt; SOUS-SEGMENT'!$B$8:$B$154=$B19)*'ANALYSE - ERP =&gt; SOUS-SEGMENT'!$ED$8:$ED$154*'ANALYSE - ERP =&gt; SOUS-SEGMENT'!$DA$8:$DA$154)/SUMPRODUCT(('ANALYSE - ERP =&gt; SOUS-SEGMENT'!$B$8:$B$154=$B19)*'ANALYSE - ERP =&gt; SOUS-SEGMENT'!$ED$8:$ED$154),"")</f>
        <v>9.0000000000000018</v>
      </c>
      <c r="CY19" s="665">
        <f>IFERROR(SUMPRODUCT(('ANALYSE - ERP =&gt; SOUS-SEGMENT'!$B$8:$B$154=$B19)*'ANALYSE - ERP =&gt; SOUS-SEGMENT'!$EE$8:$EE$154*'ANALYSE - ERP =&gt; SOUS-SEGMENT'!$DB$8:$DB$154)/SUMPRODUCT(('ANALYSE - ERP =&gt; SOUS-SEGMENT'!$B$8:$B$154=$B19)*'ANALYSE - ERP =&gt; SOUS-SEGMENT'!$EE$8:$EE$154),"")</f>
        <v>11</v>
      </c>
      <c r="CZ19" s="665">
        <f>IFERROR(SUMPRODUCT(('ANALYSE - ERP =&gt; SOUS-SEGMENT'!$B$8:$B$154=$B19)*'ANALYSE - ERP =&gt; SOUS-SEGMENT'!$EM$8:$EM$154*'ANALYSE - ERP =&gt; SOUS-SEGMENT'!$DC$8:$DC$154)/SUMPRODUCT(('ANALYSE - ERP =&gt; SOUS-SEGMENT'!$B$8:$B$154=$B19)*'ANALYSE - ERP =&gt; SOUS-SEGMENT'!$EM$8:$EM$154),"")</f>
        <v>14</v>
      </c>
      <c r="DA19" s="665">
        <f>IFERROR(SUMPRODUCT(('ANALYSE - ERP =&gt; SOUS-SEGMENT'!$B$8:$B$154=$B19)*'ANALYSE - ERP =&gt; SOUS-SEGMENT'!$EN$8:$EN$154*'ANALYSE - ERP =&gt; SOUS-SEGMENT'!$DD$8:$DD$154)/SUMPRODUCT(('ANALYSE - ERP =&gt; SOUS-SEGMENT'!$B$8:$B$154=$B19)*'ANALYSE - ERP =&gt; SOUS-SEGMENT'!$EN$8:$EN$154),"")</f>
        <v>14</v>
      </c>
      <c r="DB19" s="665">
        <f>IFERROR(SUMPRODUCT(('ANALYSE - ERP =&gt; SOUS-SEGMENT'!$B$8:$B$154=$B19)*'ANALYSE - ERP =&gt; SOUS-SEGMENT'!$EO$8:$EO$154*'ANALYSE - ERP =&gt; SOUS-SEGMENT'!$DE$8:$DE$154)/SUMPRODUCT(('ANALYSE - ERP =&gt; SOUS-SEGMENT'!$B$8:$B$154=$B19)*'ANALYSE - ERP =&gt; SOUS-SEGMENT'!$EO$8:$EO$154),"")</f>
        <v>10</v>
      </c>
      <c r="DC19" s="666" t="s">
        <v>7559</v>
      </c>
      <c r="DD19" s="657"/>
      <c r="DE19" s="667">
        <f t="shared" si="2"/>
        <v>8377.25</v>
      </c>
      <c r="DF19" s="667">
        <f t="shared" si="3"/>
        <v>11967.5</v>
      </c>
      <c r="DG19" s="667">
        <f t="shared" si="4"/>
        <v>2393.5</v>
      </c>
      <c r="DH19" s="667">
        <f t="shared" si="5"/>
        <v>1196.75</v>
      </c>
      <c r="DI19" s="668" t="s">
        <v>7559</v>
      </c>
      <c r="DJ19" s="667">
        <f t="shared" si="6"/>
        <v>8347.2000000000007</v>
      </c>
      <c r="DK19" s="667">
        <f t="shared" si="7"/>
        <v>13042.5</v>
      </c>
      <c r="DL19" s="667">
        <f t="shared" si="8"/>
        <v>3391.0499999999993</v>
      </c>
      <c r="DM19" s="667">
        <f t="shared" si="9"/>
        <v>1304.25</v>
      </c>
      <c r="DN19" s="669" t="s">
        <v>7559</v>
      </c>
      <c r="DO19" s="657"/>
      <c r="DP19" s="667">
        <f t="shared" si="10"/>
        <v>0</v>
      </c>
      <c r="DQ19" s="667">
        <f t="shared" si="11"/>
        <v>0</v>
      </c>
      <c r="DR19" s="667">
        <f t="shared" si="12"/>
        <v>0</v>
      </c>
      <c r="DS19" s="669" t="s">
        <v>7559</v>
      </c>
      <c r="DT19" s="667">
        <f t="shared" si="13"/>
        <v>0</v>
      </c>
      <c r="DU19" s="667">
        <f t="shared" si="14"/>
        <v>0</v>
      </c>
      <c r="DV19" s="667">
        <f t="shared" si="15"/>
        <v>0</v>
      </c>
      <c r="DW19" s="669" t="s">
        <v>7559</v>
      </c>
      <c r="DX19" s="657"/>
      <c r="DY19" s="667">
        <f t="shared" si="16"/>
        <v>301.08000000000004</v>
      </c>
      <c r="DZ19" s="667">
        <f t="shared" si="17"/>
        <v>1254.5</v>
      </c>
      <c r="EA19" s="667">
        <f t="shared" si="18"/>
        <v>376.34999999999997</v>
      </c>
      <c r="EB19" s="667">
        <f t="shared" si="19"/>
        <v>577.07000000000005</v>
      </c>
      <c r="EC19" s="669" t="s">
        <v>7559</v>
      </c>
      <c r="ED19" s="667">
        <f t="shared" si="20"/>
        <v>273.3</v>
      </c>
      <c r="EE19" s="667">
        <f t="shared" si="21"/>
        <v>1366.5</v>
      </c>
      <c r="EF19" s="667">
        <f t="shared" si="22"/>
        <v>491.94</v>
      </c>
      <c r="EG19" s="667">
        <f t="shared" si="23"/>
        <v>601.26</v>
      </c>
      <c r="EH19" s="669" t="s">
        <v>7559</v>
      </c>
      <c r="EI19" s="652"/>
      <c r="EJ19" s="667">
        <f t="shared" si="24"/>
        <v>14361</v>
      </c>
      <c r="EK19" s="670">
        <f t="shared" si="25"/>
        <v>7180.5</v>
      </c>
      <c r="EL19" s="670">
        <f t="shared" si="26"/>
        <v>2393.5</v>
      </c>
      <c r="EM19" s="669" t="s">
        <v>7559</v>
      </c>
      <c r="EN19" s="667">
        <f t="shared" si="27"/>
        <v>13564.199999999997</v>
      </c>
      <c r="EO19" s="670">
        <f t="shared" si="28"/>
        <v>8608.0500000000011</v>
      </c>
      <c r="EP19" s="670">
        <f t="shared" si="29"/>
        <v>3912.75</v>
      </c>
      <c r="EQ19" s="669" t="s">
        <v>7559</v>
      </c>
      <c r="ER19" s="657"/>
      <c r="ES19" s="784">
        <f t="shared" si="30"/>
        <v>0.62450589022889524</v>
      </c>
      <c r="ET19" s="784">
        <f t="shared" si="31"/>
        <v>0.37549410977110476</v>
      </c>
      <c r="EU19" s="671">
        <f t="shared" si="32"/>
        <v>17387.980344032632</v>
      </c>
      <c r="EV19" s="671">
        <f t="shared" si="33"/>
        <v>10858.896144032631</v>
      </c>
      <c r="EW19" s="671">
        <f t="shared" si="34"/>
        <v>6529.0842000000011</v>
      </c>
      <c r="EX19" s="671">
        <f t="shared" si="35"/>
        <v>8339.3431896190468</v>
      </c>
      <c r="EY19" s="671">
        <f>SUMPRODUCT(('ANALYSE - ERP =&gt; SOUS-SEGMENT'!$B$8:$B$154=$B19)*'ANALYSE - ERP =&gt; SOUS-SEGMENT'!$Q$8:$Q$154*'ANALYSE - ERP =&gt; SOUS-SEGMENT'!$FB$8:$FB$154)</f>
        <v>5236.7301896190465</v>
      </c>
      <c r="EZ19" s="671">
        <f>SUMPRODUCT(('ANALYSE - ERP =&gt; SOUS-SEGMENT'!$B$8:$B$154=$B19)*'ANALYSE - ERP =&gt; SOUS-SEGMENT'!$Q$8:$Q$154*'ANALYSE - ERP =&gt; SOUS-SEGMENT'!$FC$8:$FC$154)</f>
        <v>3102.6130000000003</v>
      </c>
      <c r="FA19" s="671">
        <f t="shared" si="36"/>
        <v>0</v>
      </c>
      <c r="FB19" s="671">
        <f>SUMPRODUCT(('ANALYSE - ERP =&gt; SOUS-SEGMENT'!$B$8:$B$154=$B19)*'ANALYSE - ERP =&gt; SOUS-SEGMENT'!$Q$8:$Q$154*'ANALYSE - ERP =&gt; SOUS-SEGMENT'!$FE$8:$FE$154)</f>
        <v>0</v>
      </c>
      <c r="FC19" s="671">
        <f>SUMPRODUCT(('ANALYSE - ERP =&gt; SOUS-SEGMENT'!$B$8:$B$154=$B19)*'ANALYSE - ERP =&gt; SOUS-SEGMENT'!$Q$8:$Q$154*'ANALYSE - ERP =&gt; SOUS-SEGMENT'!$FF$8:$FF$154)</f>
        <v>0</v>
      </c>
      <c r="FD19" s="671">
        <f t="shared" si="37"/>
        <v>993.67415669930062</v>
      </c>
      <c r="FE19" s="671">
        <f>SUMPRODUCT(('ANALYSE - ERP =&gt; SOUS-SEGMENT'!$B$8:$B$154=$B19)*'ANALYSE - ERP =&gt; SOUS-SEGMENT'!$Q$8:$Q$154*'ANALYSE - ERP =&gt; SOUS-SEGMENT'!$FH$8:$FH$154)</f>
        <v>669.81595669930061</v>
      </c>
      <c r="FF19" s="671">
        <f>SUMPRODUCT(('ANALYSE - ERP =&gt; SOUS-SEGMENT'!$B$8:$B$154=$B19)*'ANALYSE - ERP =&gt; SOUS-SEGMENT'!$Q$8:$Q$154*'ANALYSE - ERP =&gt; SOUS-SEGMENT'!$FI$8:$FI$154)</f>
        <v>323.85820000000001</v>
      </c>
      <c r="FG19" s="671">
        <f t="shared" si="38"/>
        <v>8054.9629977142849</v>
      </c>
      <c r="FH19" s="671">
        <f>SUMPRODUCT(('ANALYSE - ERP =&gt; SOUS-SEGMENT'!$B$8:$B$154=$B19)*'ANALYSE - ERP =&gt; SOUS-SEGMENT'!$Q$8:$Q$154*'ANALYSE - ERP =&gt; SOUS-SEGMENT'!$FK$8:$FK$154)</f>
        <v>4952.3499977142847</v>
      </c>
      <c r="FI19" s="671">
        <f>SUMPRODUCT(('ANALYSE - ERP =&gt; SOUS-SEGMENT'!$B$8:$B$154=$B19)*'ANALYSE - ERP =&gt; SOUS-SEGMENT'!$Q$8:$Q$154*'ANALYSE - ERP =&gt; SOUS-SEGMENT'!$FL$8:$FL$154)</f>
        <v>3102.6130000000003</v>
      </c>
      <c r="FJ19" s="657"/>
      <c r="FK19" s="672" t="s">
        <v>2616</v>
      </c>
      <c r="FL19" s="784">
        <f>IFERROR(SUMPRODUCT(('ANALYSE - ERP =&gt; SOUS-SEGMENT'!$B$8:$B$154=$B19)*'ANALYSE - ERP =&gt; SOUS-SEGMENT'!$Q$8:$Q$154*'ANALYSE - ERP =&gt; SOUS-SEGMENT'!$AF$8:$AF$154*'ANALYSE - ERP =&gt; SOUS-SEGMENT'!$FO$8:$FO$154)/SUMPRODUCT(('ANALYSE - ERP =&gt; SOUS-SEGMENT'!$B$8:$B$154=$B19)*'ANALYSE - ERP =&gt; SOUS-SEGMENT'!$Q$8:$Q$154*'ANALYSE - ERP =&gt; SOUS-SEGMENT'!$AF$8:$AF$154),"")</f>
        <v>3.9800000000000002E-2</v>
      </c>
      <c r="FM19" s="785">
        <f>IFERROR(SUMPRODUCT(('ANALYSE - ERP =&gt; SOUS-SEGMENT'!$B$8:$B$154=$B19)*'ANALYSE - ERP =&gt; SOUS-SEGMENT'!$Q$8:$Q$154*'ANALYSE - ERP =&gt; SOUS-SEGMENT'!$AF$8:$AF$154*'ANALYSE - ERP =&gt; SOUS-SEGMENT'!$FP$8:$FP$154)/SUMPRODUCT(('ANALYSE - ERP =&gt; SOUS-SEGMENT'!$B$8:$B$154=$B19)*'ANALYSE - ERP =&gt; SOUS-SEGMENT'!$Q$8:$Q$154*'ANALYSE - ERP =&gt; SOUS-SEGMENT'!$AF$8:$AF$154),"")</f>
        <v>0.76240000000000008</v>
      </c>
      <c r="FN19" s="673" t="s">
        <v>6780</v>
      </c>
      <c r="FO19" s="657"/>
      <c r="FP19" s="914">
        <f>IFERROR(SUMPRODUCT(('ANALYSE - ERP =&gt; SOUS-SEGMENT'!$B$8:$B$154=$B19)*'ANALYSE - ERP =&gt; SOUS-SEGMENT'!$Q$8:$Q$154*'ANALYSE - ERP =&gt; SOUS-SEGMENT'!$EX$8:$EX$154*'ANALYSE - ERP =&gt; SOUS-SEGMENT'!$FS$8:$FS$154)/SUMPRODUCT(('ANALYSE - ERP =&gt; SOUS-SEGMENT'!$B$8:$B$154=$B19)*'ANALYSE - ERP =&gt; SOUS-SEGMENT'!$Q$8:$Q$154*'ANALYSE - ERP =&gt; SOUS-SEGMENT'!$EX$8:$EX$154),"")</f>
        <v>2.83</v>
      </c>
      <c r="FQ19" s="674">
        <f>RANK($FP19,$FP$8:$FP$143,0)+COUNTIF($FP$8:$FP19,$FP19)-1</f>
        <v>9</v>
      </c>
      <c r="FR19" s="914">
        <f>IFERROR(SUMPRODUCT(('ANALYSE - ERP =&gt; SOUS-SEGMENT'!$B$8:$B$154=$B19)*'ANALYSE - ERP =&gt; SOUS-SEGMENT'!$Q$8:$Q$154*'ANALYSE - ERP =&gt; SOUS-SEGMENT'!$EY$8:$EY$154*'ANALYSE - ERP =&gt; SOUS-SEGMENT'!$FU$8:$FU$154)/SUMPRODUCT(('ANALYSE - ERP =&gt; SOUS-SEGMENT'!$B$8:$B$154=$B19)*'ANALYSE - ERP =&gt; SOUS-SEGMENT'!$Q$8:$Q$154*'ANALYSE - ERP =&gt; SOUS-SEGMENT'!$EY$8:$EY$154),"")</f>
        <v>3.4</v>
      </c>
      <c r="FS19" s="674" t="e">
        <f>RANK($FR19,$FR$8:$FR$143,0)+COUNTIF($FR$8:$FR19,$FR19)-1</f>
        <v>#VALUE!</v>
      </c>
      <c r="FT19" s="914">
        <f>IFERROR(SUMPRODUCT(('ANALYSE - ERP =&gt; SOUS-SEGMENT'!$B$8:$B$154=$B19)*'ANALYSE - ERP =&gt; SOUS-SEGMENT'!$Q$8:$Q$154*'ANALYSE - ERP =&gt; SOUS-SEGMENT'!$EZ$8:$EZ$154*'ANALYSE - ERP =&gt; SOUS-SEGMENT'!$FW$8:$FW$154)/SUMPRODUCT(('ANALYSE - ERP =&gt; SOUS-SEGMENT'!$B$8:$B$154=$B19)*'ANALYSE - ERP =&gt; SOUS-SEGMENT'!$Q$8:$Q$154*'ANALYSE - ERP =&gt; SOUS-SEGMENT'!$EZ$8:$EZ$154),"")-0.1</f>
        <v>1.7199999999999998</v>
      </c>
      <c r="FU19" s="674" t="e">
        <f>RANK($FT19,$FT$8:$FT$143,0)+COUNTIF($FT$8:$FT19,$FT19)-1</f>
        <v>#VALUE!</v>
      </c>
      <c r="FV19" s="657"/>
      <c r="FW19" s="675" t="s">
        <v>7559</v>
      </c>
      <c r="FX19" s="675" t="s">
        <v>7559</v>
      </c>
      <c r="FY19" s="675" t="s">
        <v>7559</v>
      </c>
      <c r="FZ19" s="675" t="s">
        <v>7559</v>
      </c>
      <c r="GA19" s="675" t="s">
        <v>7559</v>
      </c>
      <c r="GB19" s="675" t="s">
        <v>7559</v>
      </c>
      <c r="GC19" s="675" t="str">
        <f t="shared" si="39"/>
        <v>https://solidarites.gouv.fr/le-service-public-de-la-petite-enfance-garantir-un-accueil-de-qualite-tous-les-enfants-et-leurs-familles
https://solidarites.gouv.fr/outils-et-ressources-destination-des-autorites-organisatrices-de-laccueil-du-jeune-enfant
https://solidarites.gouv.fr/stephanie-rist-annonce-une-revalorisation-du-financement-des-creches-par-les-caf-de-2-en-2025
https://www.ecologie.gouv.fr/eco-energie-tertiaire-eet
https://www.collectivites-locales.gouv.fr/les-collectivites-locales-en-chiffres-2025
https://www.collectivites-locales.gouv.fr/actualites/situation-mensuelle-comptable-des-collectivites-locales-au-31-decembre-2025
https://www.statistiques.developpement-durable.gouv.fr/construction-de-locaux-resultats-fin-janvier-2026-france-entiere
https://www.insee.fr/fr/statistiques/8671745
https://www.insee.fr/fr/statistiques/8906564</v>
      </c>
      <c r="GD19" s="657"/>
      <c r="GE19" s="671">
        <f>SUMPRODUCT(('ANALYSE - ERP =&gt; SOUS-SEGMENT'!$B$8:$B$154=$B19)*'ANALYSE - ERP =&gt; SOUS-SEGMENT'!$Q$8:$Q$154*'ANALYSE - ERP =&gt; SOUS-SEGMENT'!$GH$8:$GH$154)</f>
        <v>2827.3611600000004</v>
      </c>
      <c r="GF19" s="671">
        <f>SUMPRODUCT(('ANALYSE - ERP =&gt; SOUS-SEGMENT'!$B$8:$B$154=$B19)*'ANALYSE - ERP =&gt; SOUS-SEGMENT'!$Q$8:$Q$154*'ANALYSE - ERP =&gt; SOUS-SEGMENT'!$GI$8:$GI$154)</f>
        <v>1834.5250000000001</v>
      </c>
      <c r="GG19" s="671">
        <f>SUMPRODUCT(('ANALYSE - ERP =&gt; SOUS-SEGMENT'!$B$8:$B$154=$B19)*'ANALYSE - ERP =&gt; SOUS-SEGMENT'!$Q$8:$Q$154*'ANALYSE - ERP =&gt; SOUS-SEGMENT'!$GJ$8:$GJ$154)</f>
        <v>992.83616000000006</v>
      </c>
      <c r="GH19" s="671">
        <f>SUMPRODUCT(('ANALYSE - ERP =&gt; SOUS-SEGMENT'!$B$8:$B$154=$B19)*'ANALYSE - ERP =&gt; SOUS-SEGMENT'!$Q$8:$Q$154*'ANALYSE - ERP =&gt; SOUS-SEGMENT'!$GK$8:$GK$154)</f>
        <v>3863.9652142857144</v>
      </c>
      <c r="GI19" s="671">
        <f>SUMPRODUCT(('ANALYSE - ERP =&gt; SOUS-SEGMENT'!$B$8:$B$154=$B19)*'ANALYSE - ERP =&gt; SOUS-SEGMENT'!$Q$8:$Q$154*'ANALYSE - ERP =&gt; SOUS-SEGMENT'!$GL$8:$GL$154)</f>
        <v>2312.6587142857143</v>
      </c>
      <c r="GJ19" s="671">
        <f>SUMPRODUCT(('ANALYSE - ERP =&gt; SOUS-SEGMENT'!$B$8:$B$154=$B19)*'ANALYSE - ERP =&gt; SOUS-SEGMENT'!$Q$8:$Q$154*'ANALYSE - ERP =&gt; SOUS-SEGMENT'!$GM$8:$GM$154)</f>
        <v>1551.3065000000001</v>
      </c>
      <c r="GK19" s="671">
        <f>SUMPRODUCT(('ANALYSE - ERP =&gt; SOUS-SEGMENT'!$B$8:$B$154=$B19)*'ANALYSE - ERP =&gt; SOUS-SEGMENT'!$Q$8:$Q$154*'ANALYSE - ERP =&gt; SOUS-SEGMENT'!$GN$8:$GN$154)</f>
        <v>1192.9040019999998</v>
      </c>
      <c r="GL19" s="671">
        <f>SUMPRODUCT(('ANALYSE - ERP =&gt; SOUS-SEGMENT'!$B$8:$B$154=$B19)*'ANALYSE - ERP =&gt; SOUS-SEGMENT'!$Q$8:$Q$154*'ANALYSE - ERP =&gt; SOUS-SEGMENT'!$GO$8:$GO$154)</f>
        <v>789.56431199999997</v>
      </c>
      <c r="GM19" s="671">
        <f>SUMPRODUCT(('ANALYSE - ERP =&gt; SOUS-SEGMENT'!$B$8:$B$154=$B19)*'ANALYSE - ERP =&gt; SOUS-SEGMENT'!$Q$8:$Q$154*'ANALYSE - ERP =&gt; SOUS-SEGMENT'!$GP$8:$GP$154)</f>
        <v>403.33969000000002</v>
      </c>
      <c r="GN19" s="671">
        <f>SUMPRODUCT(('ANALYSE - ERP =&gt; SOUS-SEGMENT'!$B$8:$B$154=$B19)*'ANALYSE - ERP =&gt; SOUS-SEGMENT'!$Q$8:$Q$154*'ANALYSE - ERP =&gt; SOUS-SEGMENT'!$GQ$8:$GQ$154)</f>
        <v>455.11281333333335</v>
      </c>
      <c r="GO19" s="671">
        <f>SUMPRODUCT(('ANALYSE - ERP =&gt; SOUS-SEGMENT'!$B$8:$B$154=$B19)*'ANALYSE - ERP =&gt; SOUS-SEGMENT'!$Q$8:$Q$154*'ANALYSE - ERP =&gt; SOUS-SEGMENT'!$GR$8:$GR$154)</f>
        <v>299.98216333333335</v>
      </c>
      <c r="GP19" s="671">
        <f>SUMPRODUCT(('ANALYSE - ERP =&gt; SOUS-SEGMENT'!$B$8:$B$154=$B19)*'ANALYSE - ERP =&gt; SOUS-SEGMENT'!$Q$8:$Q$154*'ANALYSE - ERP =&gt; SOUS-SEGMENT'!$GS$8:$GS$154)</f>
        <v>155.13065</v>
      </c>
      <c r="GQ19" s="671">
        <f>SUMPRODUCT(('ANALYSE - ERP =&gt; SOUS-SEGMENT'!$B$8:$B$154=$B19)*'ANALYSE - ERP =&gt; SOUS-SEGMENT'!$Q$8:$Q$154*'ANALYSE - ERP =&gt; SOUS-SEGMENT'!$GT$8:$GT$154)</f>
        <v>0</v>
      </c>
      <c r="GR19" s="671">
        <f>SUMPRODUCT(('ANALYSE - ERP =&gt; SOUS-SEGMENT'!$B$8:$B$154=$B19)*'ANALYSE - ERP =&gt; SOUS-SEGMENT'!$Q$8:$Q$154*'ANALYSE - ERP =&gt; SOUS-SEGMENT'!$GU$8:$GU$154)</f>
        <v>0</v>
      </c>
      <c r="GS19" s="671">
        <f>SUMPRODUCT(('ANALYSE - ERP =&gt; SOUS-SEGMENT'!$B$8:$B$154=$B19)*'ANALYSE - ERP =&gt; SOUS-SEGMENT'!$Q$8:$Q$154*'ANALYSE - ERP =&gt; SOUS-SEGMENT'!$GV$8:$GV$154)</f>
        <v>0</v>
      </c>
      <c r="GT19" s="671">
        <f>SUMPRODUCT(('ANALYSE - ERP =&gt; SOUS-SEGMENT'!$B$8:$B$154=$B19)*'ANALYSE - ERP =&gt; SOUS-SEGMENT'!$Q$8:$Q$154*'ANALYSE - ERP =&gt; SOUS-SEGMENT'!$GW$8:$GW$154)</f>
        <v>0</v>
      </c>
      <c r="GU19" s="671">
        <f>SUMPRODUCT(('ANALYSE - ERP =&gt; SOUS-SEGMENT'!$B$8:$B$154=$B19)*'ANALYSE - ERP =&gt; SOUS-SEGMENT'!$Q$8:$Q$154*'ANALYSE - ERP =&gt; SOUS-SEGMENT'!$GX$8:$GX$154)</f>
        <v>0</v>
      </c>
      <c r="GV19" s="671">
        <f>SUMPRODUCT(('ANALYSE - ERP =&gt; SOUS-SEGMENT'!$B$8:$B$154=$B19)*'ANALYSE - ERP =&gt; SOUS-SEGMENT'!$Q$8:$Q$154*'ANALYSE - ERP =&gt; SOUS-SEGMENT'!$GY$8:$GY$154)</f>
        <v>0</v>
      </c>
      <c r="GW19" s="671">
        <f>SUMPRODUCT(('ANALYSE - ERP =&gt; SOUS-SEGMENT'!$B$8:$B$154=$B19)*'ANALYSE - ERP =&gt; SOUS-SEGMENT'!$Q$8:$Q$154*'ANALYSE - ERP =&gt; SOUS-SEGMENT'!$GZ$8:$GZ$154)</f>
        <v>0</v>
      </c>
      <c r="GX19" s="671">
        <f>SUMPRODUCT(('ANALYSE - ERP =&gt; SOUS-SEGMENT'!$B$8:$B$154=$B19)*'ANALYSE - ERP =&gt; SOUS-SEGMENT'!$Q$8:$Q$154*'ANALYSE - ERP =&gt; SOUS-SEGMENT'!$HA$8:$HA$154)</f>
        <v>0</v>
      </c>
      <c r="GY19" s="671">
        <f>SUMPRODUCT(('ANALYSE - ERP =&gt; SOUS-SEGMENT'!$B$8:$B$154=$B19)*'ANALYSE - ERP =&gt; SOUS-SEGMENT'!$Q$8:$Q$154*'ANALYSE - ERP =&gt; SOUS-SEGMENT'!$HB$8:$HB$154)</f>
        <v>0</v>
      </c>
      <c r="GZ19" s="671">
        <f>SUMPRODUCT(('ANALYSE - ERP =&gt; SOUS-SEGMENT'!$B$8:$B$154=$B19)*'ANALYSE - ERP =&gt; SOUS-SEGMENT'!$Q$8:$Q$154*'ANALYSE - ERP =&gt; SOUS-SEGMENT'!$HC$8:$HC$154)</f>
        <v>119.58053767272727</v>
      </c>
      <c r="HA19" s="671">
        <f>SUMPRODUCT(('ANALYSE - ERP =&gt; SOUS-SEGMENT'!$B$8:$B$154=$B19)*'ANALYSE - ERP =&gt; SOUS-SEGMENT'!$Q$8:$Q$154*'ANALYSE - ERP =&gt; SOUS-SEGMENT'!$HD$8:$HD$154)</f>
        <v>87.194717672727265</v>
      </c>
      <c r="HB19" s="671">
        <f>SUMPRODUCT(('ANALYSE - ERP =&gt; SOUS-SEGMENT'!$B$8:$B$154=$B19)*'ANALYSE - ERP =&gt; SOUS-SEGMENT'!$Q$8:$Q$154*'ANALYSE - ERP =&gt; SOUS-SEGMENT'!$HE$8:$HE$154)</f>
        <v>32.385820000000002</v>
      </c>
      <c r="HC19" s="671">
        <f>SUMPRODUCT(('ANALYSE - ERP =&gt; SOUS-SEGMENT'!$B$8:$B$154=$B19)*'ANALYSE - ERP =&gt; SOUS-SEGMENT'!$Q$8:$Q$154*'ANALYSE - ERP =&gt; SOUS-SEGMENT'!$HF$8:$HF$154)</f>
        <v>436.07054615384612</v>
      </c>
      <c r="HD19" s="671">
        <f>SUMPRODUCT(('ANALYSE - ERP =&gt; SOUS-SEGMENT'!$B$8:$B$154=$B19)*'ANALYSE - ERP =&gt; SOUS-SEGMENT'!$Q$8:$Q$154*'ANALYSE - ERP =&gt; SOUS-SEGMENT'!$HG$8:$HG$154)</f>
        <v>274.14144615384612</v>
      </c>
      <c r="HE19" s="671">
        <f>SUMPRODUCT(('ANALYSE - ERP =&gt; SOUS-SEGMENT'!$B$8:$B$154=$B19)*'ANALYSE - ERP =&gt; SOUS-SEGMENT'!$Q$8:$Q$154*'ANALYSE - ERP =&gt; SOUS-SEGMENT'!$HH$8:$HH$154)</f>
        <v>161.92910000000001</v>
      </c>
      <c r="HF19" s="671">
        <f>SUMPRODUCT(('ANALYSE - ERP =&gt; SOUS-SEGMENT'!$B$8:$B$154=$B19)*'ANALYSE - ERP =&gt; SOUS-SEGMENT'!$Q$8:$Q$154*'ANALYSE - ERP =&gt; SOUS-SEGMENT'!$HI$8:$HI$154)</f>
        <v>199.65105999999997</v>
      </c>
      <c r="HG19" s="671">
        <f>SUMPRODUCT(('ANALYSE - ERP =&gt; SOUS-SEGMENT'!$B$8:$B$154=$B19)*'ANALYSE - ERP =&gt; SOUS-SEGMENT'!$Q$8:$Q$154*'ANALYSE - ERP =&gt; SOUS-SEGMENT'!$HJ$8:$HJ$154)</f>
        <v>141.356584</v>
      </c>
      <c r="HH19" s="671">
        <f>SUMPRODUCT(('ANALYSE - ERP =&gt; SOUS-SEGMENT'!$B$8:$B$154=$B19)*'ANALYSE - ERP =&gt; SOUS-SEGMENT'!$Q$8:$Q$154*'ANALYSE - ERP =&gt; SOUS-SEGMENT'!$HK$8:$HK$154)</f>
        <v>58.294475999999996</v>
      </c>
      <c r="HI19" s="671">
        <f>SUMPRODUCT(('ANALYSE - ERP =&gt; SOUS-SEGMENT'!$B$8:$B$154=$B19)*'ANALYSE - ERP =&gt; SOUS-SEGMENT'!$Q$8:$Q$154*'ANALYSE - ERP =&gt; SOUS-SEGMENT'!$HL$8:$HL$154)</f>
        <v>238.37201287272725</v>
      </c>
      <c r="HJ19" s="671">
        <f>SUMPRODUCT(('ANALYSE - ERP =&gt; SOUS-SEGMENT'!$B$8:$B$154=$B19)*'ANALYSE - ERP =&gt; SOUS-SEGMENT'!$Q$8:$Q$154*'ANALYSE - ERP =&gt; SOUS-SEGMENT'!$HM$8:$HM$154)</f>
        <v>167.12320887272728</v>
      </c>
      <c r="HK19" s="671">
        <f>SUMPRODUCT(('ANALYSE - ERP =&gt; SOUS-SEGMENT'!$B$8:$B$154=$B19)*'ANALYSE - ERP =&gt; SOUS-SEGMENT'!$Q$8:$Q$154*'ANALYSE - ERP =&gt; SOUS-SEGMENT'!$HN$8:$HN$154)</f>
        <v>71.248803999999993</v>
      </c>
      <c r="HL19" s="671">
        <f>SUMPRODUCT(('ANALYSE - ERP =&gt; SOUS-SEGMENT'!$B$8:$B$154=$B19)*'ANALYSE - ERP =&gt; SOUS-SEGMENT'!$Q$8:$Q$154*'ANALYSE - ERP =&gt; SOUS-SEGMENT'!$HO$8:$HO$154)</f>
        <v>4388.5492171428577</v>
      </c>
      <c r="HM19" s="671">
        <f>SUMPRODUCT(('ANALYSE - ERP =&gt; SOUS-SEGMENT'!$B$8:$B$154=$B19)*'ANALYSE - ERP =&gt; SOUS-SEGMENT'!$Q$8:$Q$154*'ANALYSE - ERP =&gt; SOUS-SEGMENT'!$HP$8:$HP$154)</f>
        <v>2775.1904571428568</v>
      </c>
      <c r="HN19" s="671">
        <f>SUMPRODUCT(('ANALYSE - ERP =&gt; SOUS-SEGMENT'!$B$8:$B$154=$B19)*'ANALYSE - ERP =&gt; SOUS-SEGMENT'!$Q$8:$Q$154*'ANALYSE - ERP =&gt; SOUS-SEGMENT'!$HQ$8:$HQ$154)</f>
        <v>1613.3587600000001</v>
      </c>
      <c r="HO19" s="671">
        <f>SUMPRODUCT(('ANALYSE - ERP =&gt; SOUS-SEGMENT'!$B$8:$B$154=$B19)*'ANALYSE - ERP =&gt; SOUS-SEGMENT'!$Q$8:$Q$154*'ANALYSE - ERP =&gt; SOUS-SEGMENT'!$HR$8:$HR$154)</f>
        <v>2411.4575185714284</v>
      </c>
      <c r="HP19" s="671">
        <f>SUMPRODUCT(('ANALYSE - ERP =&gt; SOUS-SEGMENT'!$B$8:$B$154=$B19)*'ANALYSE - ERP =&gt; SOUS-SEGMENT'!$Q$8:$Q$154*'ANALYSE - ERP =&gt; SOUS-SEGMENT'!$HS$8:$HS$154)</f>
        <v>1387.5952285714284</v>
      </c>
      <c r="HQ19" s="671">
        <f>SUMPRODUCT(('ANALYSE - ERP =&gt; SOUS-SEGMENT'!$B$8:$B$154=$B19)*'ANALYSE - ERP =&gt; SOUS-SEGMENT'!$Q$8:$Q$154*'ANALYSE - ERP =&gt; SOUS-SEGMENT'!$HT$8:$HT$154)</f>
        <v>1023.86229</v>
      </c>
      <c r="HR19" s="671">
        <f>SUMPRODUCT(('ANALYSE - ERP =&gt; SOUS-SEGMENT'!$B$8:$B$154=$B19)*'ANALYSE - ERP =&gt; SOUS-SEGMENT'!$Q$8:$Q$154*'ANALYSE - ERP =&gt; SOUS-SEGMENT'!$HU$8:$HU$154)</f>
        <v>1254.9562619999997</v>
      </c>
      <c r="HS19" s="671">
        <f>SUMPRODUCT(('ANALYSE - ERP =&gt; SOUS-SEGMENT'!$B$8:$B$154=$B19)*'ANALYSE - ERP =&gt; SOUS-SEGMENT'!$Q$8:$Q$154*'ANALYSE - ERP =&gt; SOUS-SEGMENT'!$HV$8:$HV$154)</f>
        <v>789.56431199999997</v>
      </c>
      <c r="HT19" s="671">
        <f>SUMPRODUCT(('ANALYSE - ERP =&gt; SOUS-SEGMENT'!$B$8:$B$154=$B19)*'ANALYSE - ERP =&gt; SOUS-SEGMENT'!$Q$8:$Q$154*'ANALYSE - ERP =&gt; SOUS-SEGMENT'!$HW$8:$HW$154)</f>
        <v>465.39194999999995</v>
      </c>
      <c r="HU19" s="676"/>
      <c r="HV19" s="677">
        <f t="shared" si="40"/>
        <v>48101</v>
      </c>
      <c r="HW19" s="677">
        <f>SUMPRODUCT(('ANALYSE - ERP =&gt; SOUS-SEGMENT'!$B$8:$B$154=$B19)*'ANALYSE - ERP =&gt; SOUS-SEGMENT'!$Q$8:$Q$154*'ANALYSE - ERP =&gt; SOUS-SEGMENT'!$HZ$8:$HZ$154)</f>
        <v>1510.8049999999998</v>
      </c>
      <c r="HX19" s="677">
        <f>SUMPRODUCT(('ANALYSE - ERP =&gt; SOUS-SEGMENT'!$B$8:$B$154=$B19)*'ANALYSE - ERP =&gt; SOUS-SEGMENT'!$Q$8:$Q$154*'ANALYSE - ERP =&gt; SOUS-SEGMENT'!$IA$8:$IA$154)</f>
        <v>19626.9087</v>
      </c>
      <c r="HY19" s="677">
        <f>SUMPRODUCT(('ANALYSE - ERP =&gt; SOUS-SEGMENT'!$B$8:$B$154=$B19)*'ANALYSE - ERP =&gt; SOUS-SEGMENT'!$Q$8:$Q$154*'ANALYSE - ERP =&gt; SOUS-SEGMENT'!$IB$8:$IB$154)</f>
        <v>23873.181800000002</v>
      </c>
      <c r="HZ19" s="677">
        <f>SUMPRODUCT(('ANALYSE - ERP =&gt; SOUS-SEGMENT'!$B$8:$B$154=$B19)*'ANALYSE - ERP =&gt; SOUS-SEGMENT'!$Q$8:$Q$154*'ANALYSE - ERP =&gt; SOUS-SEGMENT'!$IC$8:$IC$154)</f>
        <v>3090.1044999999999</v>
      </c>
      <c r="IA19" s="677">
        <f>SUMPRODUCT(('ANALYSE - ERP =&gt; SOUS-SEGMENT'!$B$8:$B$154=$B19)*'ANALYSE - ERP =&gt; SOUS-SEGMENT'!$Q$8:$Q$154*'ANALYSE - ERP =&gt; SOUS-SEGMENT'!$ID$8:$ID$154)</f>
        <v>0</v>
      </c>
      <c r="IB19" s="677">
        <f>SUMPRODUCT(('ANALYSE - ERP =&gt; SOUS-SEGMENT'!$B$8:$B$154=$B19)*'ANALYSE - ERP =&gt; SOUS-SEGMENT'!$Q$8:$Q$154*'ANALYSE - ERP =&gt; SOUS-SEGMENT'!$IE$8:$IE$154)</f>
        <v>10247.697817822842</v>
      </c>
      <c r="IC19" s="677">
        <f>SUMPRODUCT(('ANALYSE - ERP =&gt; SOUS-SEGMENT'!$B$8:$B$154=$B19)*'ANALYSE - ERP =&gt; SOUS-SEGMENT'!$Q$8:$Q$154*'ANALYSE - ERP =&gt; SOUS-SEGMENT'!$IF$8:$IF$154)</f>
        <v>150.57731410284919</v>
      </c>
      <c r="ID19" s="677">
        <f>SUMPRODUCT(('ANALYSE - ERP =&gt; SOUS-SEGMENT'!$B$8:$B$154=$B19)*'ANALYSE - ERP =&gt; SOUS-SEGMENT'!$Q$8:$Q$154*'ANALYSE - ERP =&gt; SOUS-SEGMENT'!$IG$8:$IG$154)</f>
        <v>3972.5286626098405</v>
      </c>
      <c r="IE19" s="677">
        <f>SUMPRODUCT(('ANALYSE - ERP =&gt; SOUS-SEGMENT'!$B$8:$B$154=$B19)*'ANALYSE - ERP =&gt; SOUS-SEGMENT'!$Q$8:$Q$154*'ANALYSE - ERP =&gt; SOUS-SEGMENT'!$IH$8:$IH$154)</f>
        <v>5256.9419651459475</v>
      </c>
      <c r="IF19" s="677">
        <f>SUMPRODUCT(('ANALYSE - ERP =&gt; SOUS-SEGMENT'!$B$8:$B$154=$B19)*'ANALYSE - ERP =&gt; SOUS-SEGMENT'!$Q$8:$Q$154*'ANALYSE - ERP =&gt; SOUS-SEGMENT'!$II$8:$II$154)</f>
        <v>830.7464402939454</v>
      </c>
      <c r="IG19" s="677">
        <f>SUMPRODUCT(('ANALYSE - ERP =&gt; SOUS-SEGMENT'!$B$8:$B$154=$B19)*'ANALYSE - ERP =&gt; SOUS-SEGMENT'!$Q$8:$Q$154*'ANALYSE - ERP =&gt; SOUS-SEGMENT'!$IJ$8:$IJ$154)</f>
        <v>36.903435670260137</v>
      </c>
      <c r="IH19" s="915"/>
      <c r="II19" s="678" t="s">
        <v>2780</v>
      </c>
      <c r="IJ19" s="679" t="s">
        <v>7559</v>
      </c>
      <c r="IK19" s="657"/>
      <c r="IL19" s="786">
        <f>IFERROR(SUMPRODUCT(('ANALYSE - ERP =&gt; SOUS-SEGMENT'!$B$8:$B$154=$B19)*'ANALYSE - ERP =&gt; SOUS-SEGMENT'!$Q$8:$Q$154*'ANALYSE - ERP =&gt; SOUS-SEGMENT'!$BE$8:$BE$154*'ANALYSE - ERP =&gt; SOUS-SEGMENT'!$IO$8:$IO$154)/SUMPRODUCT(('ANALYSE - ERP =&gt; SOUS-SEGMENT'!$B$8:$B$154=$B19)*'ANALYSE - ERP =&gt; SOUS-SEGMENT'!$Q$8:$Q$154*'ANALYSE - ERP =&gt; SOUS-SEGMENT'!$BE$8:$BE$154),0)</f>
        <v>0.03</v>
      </c>
      <c r="IM19" s="786">
        <f>IFERROR(SUMPRODUCT(('ANALYSE - ERP =&gt; SOUS-SEGMENT'!$B$8:$B$154=$B19)*'ANALYSE - ERP =&gt; SOUS-SEGMENT'!$Q$8:$Q$154*'ANALYSE - ERP =&gt; SOUS-SEGMENT'!$BE$8:$BE$154*'ANALYSE - ERP =&gt; SOUS-SEGMENT'!$IP$8:$IP$154)/SUMPRODUCT(('ANALYSE - ERP =&gt; SOUS-SEGMENT'!$B$8:$B$154=$B19)*'ANALYSE - ERP =&gt; SOUS-SEGMENT'!$Q$8:$Q$154*'ANALYSE - ERP =&gt; SOUS-SEGMENT'!$BE$8:$BE$154),0)</f>
        <v>0.4</v>
      </c>
      <c r="IN19" s="786">
        <f>IFERROR(SUMPRODUCT(('ANALYSE - ERP =&gt; SOUS-SEGMENT'!$B$8:$B$154=$B19)*'ANALYSE - ERP =&gt; SOUS-SEGMENT'!$Q$8:$Q$154*'ANALYSE - ERP =&gt; SOUS-SEGMENT'!$BE$8:$BE$154*'ANALYSE - ERP =&gt; SOUS-SEGMENT'!$IQ$8:$IQ$154)/SUMPRODUCT(('ANALYSE - ERP =&gt; SOUS-SEGMENT'!$B$8:$B$154=$B19)*'ANALYSE - ERP =&gt; SOUS-SEGMENT'!$Q$8:$Q$154*'ANALYSE - ERP =&gt; SOUS-SEGMENT'!$BE$8:$BE$154),0)</f>
        <v>0.5</v>
      </c>
      <c r="IO19" s="786">
        <f>IFERROR(SUMPRODUCT(('ANALYSE - ERP =&gt; SOUS-SEGMENT'!$B$8:$B$154=$B19)*'ANALYSE - ERP =&gt; SOUS-SEGMENT'!$Q$8:$Q$154*'ANALYSE - ERP =&gt; SOUS-SEGMENT'!$BE$8:$BE$154*'ANALYSE - ERP =&gt; SOUS-SEGMENT'!$IR$8:$IR$154)/SUMPRODUCT(('ANALYSE - ERP =&gt; SOUS-SEGMENT'!$B$8:$B$154=$B19)*'ANALYSE - ERP =&gt; SOUS-SEGMENT'!$Q$8:$Q$154*'ANALYSE - ERP =&gt; SOUS-SEGMENT'!$BE$8:$BE$154),0)</f>
        <v>7.0000000000000007E-2</v>
      </c>
      <c r="IP19" s="786">
        <f>IFERROR(SUMPRODUCT(('ANALYSE - ERP =&gt; SOUS-SEGMENT'!$B$8:$B$154=$B19)*'ANALYSE - ERP =&gt; SOUS-SEGMENT'!$Q$8:$Q$154*'ANALYSE - ERP =&gt; SOUS-SEGMENT'!$BE$8:$BE$154*'ANALYSE - ERP =&gt; SOUS-SEGMENT'!$IS$8:$IS$154)/SUMPRODUCT(('ANALYSE - ERP =&gt; SOUS-SEGMENT'!$B$8:$B$154=$B19)*'ANALYSE - ERP =&gt; SOUS-SEGMENT'!$Q$8:$Q$154*'ANALYSE - ERP =&gt; SOUS-SEGMENT'!$BE$8:$BE$154),0)</f>
        <v>0</v>
      </c>
      <c r="IQ19" s="786">
        <f>IFERROR(SUMPRODUCT(('ANALYSE - ERP =&gt; SOUS-SEGMENT'!$B$8:$B$154=$B19)*'ANALYSE - ERP =&gt; SOUS-SEGMENT'!$Q$8:$Q$154*'ANALYSE - ERP =&gt; SOUS-SEGMENT'!$FB$8:$FB$154*'ANALYSE - ERP =&gt; SOUS-SEGMENT'!$IT$8:$IT$154)/SUMPRODUCT(('ANALYSE - ERP =&gt; SOUS-SEGMENT'!$B$8:$B$154=$B19)*'ANALYSE - ERP =&gt; SOUS-SEGMENT'!$Q$8:$Q$154*'ANALYSE - ERP =&gt; SOUS-SEGMENT'!$FB$8:$FB$154),0)</f>
        <v>1.3299999999999999E-2</v>
      </c>
      <c r="IR19" s="786">
        <f>IFERROR(SUMPRODUCT(('ANALYSE - ERP =&gt; SOUS-SEGMENT'!$B$8:$B$154=$B19)*'ANALYSE - ERP =&gt; SOUS-SEGMENT'!$Q$8:$Q$154*'ANALYSE - ERP =&gt; SOUS-SEGMENT'!$FB$8:$FB$154*'ANALYSE - ERP =&gt; SOUS-SEGMENT'!$IU$8:$IU$154)/SUMPRODUCT(('ANALYSE - ERP =&gt; SOUS-SEGMENT'!$B$8:$B$154=$B19)*'ANALYSE - ERP =&gt; SOUS-SEGMENT'!$Q$8:$Q$154*'ANALYSE - ERP =&gt; SOUS-SEGMENT'!$FB$8:$FB$154),0)</f>
        <v>0.37970000000000004</v>
      </c>
      <c r="IS19" s="786">
        <f>IFERROR(SUMPRODUCT(('ANALYSE - ERP =&gt; SOUS-SEGMENT'!$B$8:$B$154=$B19)*'ANALYSE - ERP =&gt; SOUS-SEGMENT'!$Q$8:$Q$154*'ANALYSE - ERP =&gt; SOUS-SEGMENT'!$FB$8:$FB$154*'ANALYSE - ERP =&gt; SOUS-SEGMENT'!$IV$8:$IV$154)/SUMPRODUCT(('ANALYSE - ERP =&gt; SOUS-SEGMENT'!$B$8:$B$154=$B19)*'ANALYSE - ERP =&gt; SOUS-SEGMENT'!$Q$8:$Q$154*'ANALYSE - ERP =&gt; SOUS-SEGMENT'!$FB$8:$FB$154),0)</f>
        <v>0.51670000000000016</v>
      </c>
      <c r="IT19" s="786">
        <f>IFERROR(SUMPRODUCT(('ANALYSE - ERP =&gt; SOUS-SEGMENT'!$B$8:$B$154=$B19)*'ANALYSE - ERP =&gt; SOUS-SEGMENT'!$Q$8:$Q$154*'ANALYSE - ERP =&gt; SOUS-SEGMENT'!$FB$8:$FB$154*'ANALYSE - ERP =&gt; SOUS-SEGMENT'!$IW$8:$IW$154)/SUMPRODUCT(('ANALYSE - ERP =&gt; SOUS-SEGMENT'!$B$8:$B$154=$B19)*'ANALYSE - ERP =&gt; SOUS-SEGMENT'!$Q$8:$Q$154*'ANALYSE - ERP =&gt; SOUS-SEGMENT'!$FB$8:$FB$154),0)</f>
        <v>8.6700000000000013E-2</v>
      </c>
      <c r="IU19" s="786">
        <f>IFERROR(SUMPRODUCT(('ANALYSE - ERP =&gt; SOUS-SEGMENT'!$B$8:$B$154=$B19)*'ANALYSE - ERP =&gt; SOUS-SEGMENT'!$Q$8:$Q$154*'ANALYSE - ERP =&gt; SOUS-SEGMENT'!$FB$8:$FB$154*'ANALYSE - ERP =&gt; SOUS-SEGMENT'!$IX$8:$IX$154)/SUMPRODUCT(('ANALYSE - ERP =&gt; SOUS-SEGMENT'!$B$8:$B$154=$B19)*'ANALYSE - ERP =&gt; SOUS-SEGMENT'!$Q$8:$Q$154*'ANALYSE - ERP =&gt; SOUS-SEGMENT'!$FB$8:$FB$154),0)</f>
        <v>3.5999999999999999E-3</v>
      </c>
      <c r="IV19" s="786">
        <f>IFERROR(SUMPRODUCT(('ANALYSE - ERP =&gt; SOUS-SEGMENT'!$B$8:$B$154=$B19)*'ANALYSE - ERP =&gt; SOUS-SEGMENT'!$Q$8:$Q$154*'ANALYSE - ERP =&gt; SOUS-SEGMENT'!$BF$8:$BF$154*'ANALYSE - ERP =&gt; SOUS-SEGMENT'!$IY$8:$IY$154)/SUMPRODUCT(('ANALYSE - ERP =&gt; SOUS-SEGMENT'!$B$8:$B$154=$B19)*'ANALYSE - ERP =&gt; SOUS-SEGMENT'!$Q$8:$Q$154*'ANALYSE - ERP =&gt; SOUS-SEGMENT'!$BF$8:$BF$154),0)</f>
        <v>0</v>
      </c>
      <c r="IW19" s="786">
        <f>IFERROR(SUMPRODUCT(('ANALYSE - ERP =&gt; SOUS-SEGMENT'!$B$8:$B$154=$B19)*'ANALYSE - ERP =&gt; SOUS-SEGMENT'!$Q$8:$Q$154*'ANALYSE - ERP =&gt; SOUS-SEGMENT'!$BF$8:$BF$154*'ANALYSE - ERP =&gt; SOUS-SEGMENT'!$IZ$8:$IZ$154)/SUMPRODUCT(('ANALYSE - ERP =&gt; SOUS-SEGMENT'!$B$8:$B$154=$B19)*'ANALYSE - ERP =&gt; SOUS-SEGMENT'!$Q$8:$Q$154*'ANALYSE - ERP =&gt; SOUS-SEGMENT'!$BF$8:$BF$154),0)</f>
        <v>0</v>
      </c>
      <c r="IX19" s="786">
        <f>IFERROR(SUMPRODUCT(('ANALYSE - ERP =&gt; SOUS-SEGMENT'!$B$8:$B$154=$B19)*'ANALYSE - ERP =&gt; SOUS-SEGMENT'!$Q$8:$Q$154*'ANALYSE - ERP =&gt; SOUS-SEGMENT'!$BF$8:$BF$154*'ANALYSE - ERP =&gt; SOUS-SEGMENT'!$JA$8:$JA$154)/SUMPRODUCT(('ANALYSE - ERP =&gt; SOUS-SEGMENT'!$B$8:$B$154=$B19)*'ANALYSE - ERP =&gt; SOUS-SEGMENT'!$Q$8:$Q$154*'ANALYSE - ERP =&gt; SOUS-SEGMENT'!$BF$8:$BF$154),0)</f>
        <v>0</v>
      </c>
      <c r="IY19" s="786">
        <f>IFERROR(SUMPRODUCT(('ANALYSE - ERP =&gt; SOUS-SEGMENT'!$B$8:$B$154=$B19)*'ANALYSE - ERP =&gt; SOUS-SEGMENT'!$Q$8:$Q$154*'ANALYSE - ERP =&gt; SOUS-SEGMENT'!$BF$8:$BF$154*'ANALYSE - ERP =&gt; SOUS-SEGMENT'!$JB$8:$JB$154)/SUMPRODUCT(('ANALYSE - ERP =&gt; SOUS-SEGMENT'!$B$8:$B$154=$B19)*'ANALYSE - ERP =&gt; SOUS-SEGMENT'!$Q$8:$Q$154*'ANALYSE - ERP =&gt; SOUS-SEGMENT'!$BF$8:$BF$154),0)</f>
        <v>0</v>
      </c>
      <c r="IZ19" s="786">
        <f>IFERROR(SUMPRODUCT(('ANALYSE - ERP =&gt; SOUS-SEGMENT'!$B$8:$B$154=$B19)*'ANALYSE - ERP =&gt; SOUS-SEGMENT'!$Q$8:$Q$154*'ANALYSE - ERP =&gt; SOUS-SEGMENT'!$BF$8:$BF$154*'ANALYSE - ERP =&gt; SOUS-SEGMENT'!$JC$8:$JC$154)/SUMPRODUCT(('ANALYSE - ERP =&gt; SOUS-SEGMENT'!$B$8:$B$154=$B19)*'ANALYSE - ERP =&gt; SOUS-SEGMENT'!$Q$8:$Q$154*'ANALYSE - ERP =&gt; SOUS-SEGMENT'!$BF$8:$BF$154),0)</f>
        <v>0</v>
      </c>
      <c r="JA19" s="786">
        <f>IFERROR(SUMPRODUCT(('ANALYSE - ERP =&gt; SOUS-SEGMENT'!$B$8:$B$154=$B19)*'ANALYSE - ERP =&gt; SOUS-SEGMENT'!$Q$8:$Q$154*'ANALYSE - ERP =&gt; SOUS-SEGMENT'!$FE$8:$FE$154*'ANALYSE - ERP =&gt; SOUS-SEGMENT'!$JD$8:$JD$154)/SUMPRODUCT(('ANALYSE - ERP =&gt; SOUS-SEGMENT'!$B$8:$B$154=$B19)*'ANALYSE - ERP =&gt; SOUS-SEGMENT'!$Q$8:$Q$154*'ANALYSE - ERP =&gt; SOUS-SEGMENT'!$FE$8:$FE$154),0)</f>
        <v>0</v>
      </c>
      <c r="JB19" s="786">
        <f>IFERROR(SUMPRODUCT(('ANALYSE - ERP =&gt; SOUS-SEGMENT'!$B$8:$B$154=$B19)*'ANALYSE - ERP =&gt; SOUS-SEGMENT'!$Q$8:$Q$154*'ANALYSE - ERP =&gt; SOUS-SEGMENT'!$FE$8:$FE$154*'ANALYSE - ERP =&gt; SOUS-SEGMENT'!$JE$8:$JE$154)/SUMPRODUCT(('ANALYSE - ERP =&gt; SOUS-SEGMENT'!$B$8:$B$154=$B19)*'ANALYSE - ERP =&gt; SOUS-SEGMENT'!$Q$8:$Q$154*'ANALYSE - ERP =&gt; SOUS-SEGMENT'!$FE$8:$FE$154),0)</f>
        <v>0</v>
      </c>
      <c r="JC19" s="786">
        <f>IFERROR(SUMPRODUCT(('ANALYSE - ERP =&gt; SOUS-SEGMENT'!$B$8:$B$154=$B19)*'ANALYSE - ERP =&gt; SOUS-SEGMENT'!$Q$8:$Q$154*'ANALYSE - ERP =&gt; SOUS-SEGMENT'!$FE$8:$FE$154*'ANALYSE - ERP =&gt; SOUS-SEGMENT'!$JF$8:$JF$154)/SUMPRODUCT(('ANALYSE - ERP =&gt; SOUS-SEGMENT'!$B$8:$B$154=$B19)*'ANALYSE - ERP =&gt; SOUS-SEGMENT'!$Q$8:$Q$154*'ANALYSE - ERP =&gt; SOUS-SEGMENT'!$FE$8:$FE$154),0)</f>
        <v>0</v>
      </c>
      <c r="JD19" s="786">
        <f>IFERROR(SUMPRODUCT(('ANALYSE - ERP =&gt; SOUS-SEGMENT'!$B$8:$B$154=$B19)*'ANALYSE - ERP =&gt; SOUS-SEGMENT'!$Q$8:$Q$154*'ANALYSE - ERP =&gt; SOUS-SEGMENT'!$FE$8:$FE$154*'ANALYSE - ERP =&gt; SOUS-SEGMENT'!$JG$8:$JG$154)/SUMPRODUCT(('ANALYSE - ERP =&gt; SOUS-SEGMENT'!$B$8:$B$154=$B19)*'ANALYSE - ERP =&gt; SOUS-SEGMENT'!$Q$8:$Q$154*'ANALYSE - ERP =&gt; SOUS-SEGMENT'!$FE$8:$FE$154),0)</f>
        <v>0</v>
      </c>
      <c r="JE19" s="786">
        <f>IFERROR(SUMPRODUCT(('ANALYSE - ERP =&gt; SOUS-SEGMENT'!$B$8:$B$154=$B19)*'ANALYSE - ERP =&gt; SOUS-SEGMENT'!$Q$8:$Q$154*'ANALYSE - ERP =&gt; SOUS-SEGMENT'!$FE$8:$FE$154*'ANALYSE - ERP =&gt; SOUS-SEGMENT'!$JH$8:$JH$154)/SUMPRODUCT(('ANALYSE - ERP =&gt; SOUS-SEGMENT'!$B$8:$B$154=$B19)*'ANALYSE - ERP =&gt; SOUS-SEGMENT'!$Q$8:$Q$154*'ANALYSE - ERP =&gt; SOUS-SEGMENT'!$FE$8:$FE$154),0)</f>
        <v>0</v>
      </c>
      <c r="JF19" s="786">
        <f>IFERROR(SUMPRODUCT(('ANALYSE - ERP =&gt; SOUS-SEGMENT'!$B$8:$B$154=$B19)*'ANALYSE - ERP =&gt; SOUS-SEGMENT'!$Q$8:$Q$154*'ANALYSE - ERP =&gt; SOUS-SEGMENT'!$BG$8:$BG$154*'ANALYSE - ERP =&gt; SOUS-SEGMENT'!$JI$8:$JI$154)/SUMPRODUCT(('ANALYSE - ERP =&gt; SOUS-SEGMENT'!$B$8:$B$154=$B19)*'ANALYSE - ERP =&gt; SOUS-SEGMENT'!$Q$8:$Q$154*'ANALYSE - ERP =&gt; SOUS-SEGMENT'!$BG$8:$BG$154),0)</f>
        <v>4.9717018732562774E-3</v>
      </c>
      <c r="JG19" s="786">
        <f>IFERROR(SUMPRODUCT(('ANALYSE - ERP =&gt; SOUS-SEGMENT'!$B$8:$B$154=$B19)*'ANALYSE - ERP =&gt; SOUS-SEGMENT'!$Q$8:$Q$154*'ANALYSE - ERP =&gt; SOUS-SEGMENT'!$BG$8:$BG$154*'ANALYSE - ERP =&gt; SOUS-SEGMENT'!$JJ$8:$JJ$154)/SUMPRODUCT(('ANALYSE - ERP =&gt; SOUS-SEGMENT'!$B$8:$B$154=$B19)*'ANALYSE - ERP =&gt; SOUS-SEGMENT'!$Q$8:$Q$154*'ANALYSE - ERP =&gt; SOUS-SEGMENT'!$BG$8:$BG$154),0)</f>
        <v>4.9689398166600236E-2</v>
      </c>
      <c r="JH19" s="786">
        <f>IFERROR(SUMPRODUCT(('ANALYSE - ERP =&gt; SOUS-SEGMENT'!$B$8:$B$154=$B19)*'ANALYSE - ERP =&gt; SOUS-SEGMENT'!$Q$8:$Q$154*'ANALYSE - ERP =&gt; SOUS-SEGMENT'!$BG$8:$BG$154*'ANALYSE - ERP =&gt; SOUS-SEGMENT'!$JK$8:$JK$154)/SUMPRODUCT(('ANALYSE - ERP =&gt; SOUS-SEGMENT'!$B$8:$B$154=$B19)*'ANALYSE - ERP =&gt; SOUS-SEGMENT'!$Q$8:$Q$154*'ANALYSE - ERP =&gt; SOUS-SEGMENT'!$BG$8:$BG$154),0)</f>
        <v>3.4507293742526902E-2</v>
      </c>
      <c r="JI19" s="786">
        <f>IFERROR(SUMPRODUCT(('ANALYSE - ERP =&gt; SOUS-SEGMENT'!$B$8:$B$154=$B19)*'ANALYSE - ERP =&gt; SOUS-SEGMENT'!$Q$8:$Q$154*'ANALYSE - ERP =&gt; SOUS-SEGMENT'!$BG$8:$BG$154*'ANALYSE - ERP =&gt; SOUS-SEGMENT'!$JL$8:$JL$154)/SUMPRODUCT(('ANALYSE - ERP =&gt; SOUS-SEGMENT'!$B$8:$B$154=$B19)*'ANALYSE - ERP =&gt; SOUS-SEGMENT'!$Q$8:$Q$154*'ANALYSE - ERP =&gt; SOUS-SEGMENT'!$BG$8:$BG$154),0)</f>
        <v>2.9001594260661622E-3</v>
      </c>
      <c r="JJ19" s="786">
        <f>IFERROR(SUMPRODUCT(('ANALYSE - ERP =&gt; SOUS-SEGMENT'!$B$8:$B$154=$B19)*'ANALYSE - ERP =&gt; SOUS-SEGMENT'!$Q$8:$Q$154*'ANALYSE - ERP =&gt; SOUS-SEGMENT'!$BG$8:$BG$154*'ANALYSE - ERP =&gt; SOUS-SEGMENT'!$JM$8:$JM$154)/SUMPRODUCT(('ANALYSE - ERP =&gt; SOUS-SEGMENT'!$B$8:$B$154=$B19)*'ANALYSE - ERP =&gt; SOUS-SEGMENT'!$Q$8:$Q$154*'ANALYSE - ERP =&gt; SOUS-SEGMENT'!$BG$8:$BG$154),0)</f>
        <v>0</v>
      </c>
      <c r="JK19" s="786">
        <f>IFERROR(SUMPRODUCT(('ANALYSE - ERP =&gt; SOUS-SEGMENT'!$B$8:$B$154=$B19)*'ANALYSE - ERP =&gt; SOUS-SEGMENT'!$Q$8:$Q$154*'ANALYSE - ERP =&gt; SOUS-SEGMENT'!$FH$8:$FH$154*'ANALYSE - ERP =&gt; SOUS-SEGMENT'!$JN$8:$JN$154)/SUMPRODUCT(('ANALYSE - ERP =&gt; SOUS-SEGMENT'!$B$8:$B$154=$B19)*'ANALYSE - ERP =&gt; SOUS-SEGMENT'!$Q$8:$Q$154*'ANALYSE - ERP =&gt; SOUS-SEGMENT'!$FH$8:$FH$154),0)</f>
        <v>3.2642363852199104E-3</v>
      </c>
      <c r="JL19" s="786">
        <f>IFERROR(SUMPRODUCT(('ANALYSE - ERP =&gt; SOUS-SEGMENT'!$B$8:$B$154=$B19)*'ANALYSE - ERP =&gt; SOUS-SEGMENT'!$Q$8:$Q$154*'ANALYSE - ERP =&gt; SOUS-SEGMENT'!$FH$8:$FH$154*'ANALYSE - ERP =&gt; SOUS-SEGMENT'!$JO$8:$JO$154)/SUMPRODUCT(('ANALYSE - ERP =&gt; SOUS-SEGMENT'!$B$8:$B$154=$B19)*'ANALYSE - ERP =&gt; SOUS-SEGMENT'!$Q$8:$Q$154*'ANALYSE - ERP =&gt; SOUS-SEGMENT'!$FH$8:$FH$154),0)</f>
        <v>4.5445521577605889E-2</v>
      </c>
      <c r="JM19" s="786">
        <f>IFERROR(SUMPRODUCT(('ANALYSE - ERP =&gt; SOUS-SEGMENT'!$B$8:$B$154=$B19)*'ANALYSE - ERP =&gt; SOUS-SEGMENT'!$Q$8:$Q$154*'ANALYSE - ERP =&gt; SOUS-SEGMENT'!$FH$8:$FH$154*'ANALYSE - ERP =&gt; SOUS-SEGMENT'!$JP$8:$JP$154)/SUMPRODUCT(('ANALYSE - ERP =&gt; SOUS-SEGMENT'!$B$8:$B$154=$B19)*'ANALYSE - ERP =&gt; SOUS-SEGMENT'!$Q$8:$Q$154*'ANALYSE - ERP =&gt; SOUS-SEGMENT'!$FH$8:$FH$154),0)</f>
        <v>3.4261355088836327E-2</v>
      </c>
      <c r="JN19" s="786">
        <f>IFERROR(SUMPRODUCT(('ANALYSE - ERP =&gt; SOUS-SEGMENT'!$B$8:$B$154=$B19)*'ANALYSE - ERP =&gt; SOUS-SEGMENT'!$Q$8:$Q$154*'ANALYSE - ERP =&gt; SOUS-SEGMENT'!$FH$8:$FH$154*'ANALYSE - ERP =&gt; SOUS-SEGMENT'!$JQ$8:$JQ$154)/SUMPRODUCT(('ANALYSE - ERP =&gt; SOUS-SEGMENT'!$B$8:$B$154=$B19)*'ANALYSE - ERP =&gt; SOUS-SEGMENT'!$Q$8:$Q$154*'ANALYSE - ERP =&gt; SOUS-SEGMENT'!$FH$8:$FH$154),0)</f>
        <v>4.2093772152567745E-3</v>
      </c>
      <c r="JO19" s="786">
        <f>IFERROR(SUMPRODUCT(('ANALYSE - ERP =&gt; SOUS-SEGMENT'!$B$8:$B$154=$B19)*'ANALYSE - ERP =&gt; SOUS-SEGMENT'!$Q$8:$Q$154*'ANALYSE - ERP =&gt; SOUS-SEGMENT'!$FH$8:$FH$154*'ANALYSE - ERP =&gt; SOUS-SEGMENT'!$JR$8:$JR$154)/SUMPRODUCT(('ANALYSE - ERP =&gt; SOUS-SEGMENT'!$B$8:$B$154=$B19)*'ANALYSE - ERP =&gt; SOUS-SEGMENT'!$Q$8:$Q$154*'ANALYSE - ERP =&gt; SOUS-SEGMENT'!$FH$8:$FH$154),0)</f>
        <v>3.3254955130926703E-4</v>
      </c>
      <c r="JP19" s="786">
        <f>IFERROR(SUMPRODUCT(('ANALYSE - ERP =&gt; SOUS-SEGMENT'!$B$8:$B$154=$B19)*'ANALYSE - ERP =&gt; SOUS-SEGMENT'!$Q$8:$Q$154*'ANALYSE - ERP =&gt; SOUS-SEGMENT'!$BH$8:$BH$154*'ANALYSE - ERP =&gt; SOUS-SEGMENT'!$JS$8:$JS$154)/SUMPRODUCT(('ANALYSE - ERP =&gt; SOUS-SEGMENT'!$B$8:$B$154=$B19)*'ANALYSE - ERP =&gt; SOUS-SEGMENT'!$Q$8:$Q$154*'ANALYSE - ERP =&gt; SOUS-SEGMENT'!$BH$8:$BH$154),0)</f>
        <v>3.2599999999999997E-2</v>
      </c>
      <c r="JQ19" s="786">
        <f>IFERROR(SUMPRODUCT(('ANALYSE - ERP =&gt; SOUS-SEGMENT'!$B$8:$B$154=$B19)*'ANALYSE - ERP =&gt; SOUS-SEGMENT'!$Q$8:$Q$154*'ANALYSE - ERP =&gt; SOUS-SEGMENT'!$BH$8:$BH$154*'ANALYSE - ERP =&gt; SOUS-SEGMENT'!$JT$8:$JT$154)/SUMPRODUCT(('ANALYSE - ERP =&gt; SOUS-SEGMENT'!$B$8:$B$154=$B19)*'ANALYSE - ERP =&gt; SOUS-SEGMENT'!$Q$8:$Q$154*'ANALYSE - ERP =&gt; SOUS-SEGMENT'!$BH$8:$BH$154),0)</f>
        <v>0.41479999999999995</v>
      </c>
      <c r="JR19" s="786">
        <f>IFERROR(SUMPRODUCT(('ANALYSE - ERP =&gt; SOUS-SEGMENT'!$B$8:$B$154=$B19)*'ANALYSE - ERP =&gt; SOUS-SEGMENT'!$Q$8:$Q$154*'ANALYSE - ERP =&gt; SOUS-SEGMENT'!$BH$8:$BH$154*'ANALYSE - ERP =&gt; SOUS-SEGMENT'!$JU$8:$JU$154)/SUMPRODUCT(('ANALYSE - ERP =&gt; SOUS-SEGMENT'!$B$8:$B$154=$B19)*'ANALYSE - ERP =&gt; SOUS-SEGMENT'!$Q$8:$Q$154*'ANALYSE - ERP =&gt; SOUS-SEGMENT'!$BH$8:$BH$154),0)</f>
        <v>0.49380000000000002</v>
      </c>
      <c r="JS19" s="786">
        <f>IFERROR(SUMPRODUCT(('ANALYSE - ERP =&gt; SOUS-SEGMENT'!$B$8:$B$154=$B19)*'ANALYSE - ERP =&gt; SOUS-SEGMENT'!$Q$8:$Q$154*'ANALYSE - ERP =&gt; SOUS-SEGMENT'!$BH$8:$BH$154*'ANALYSE - ERP =&gt; SOUS-SEGMENT'!$JV$8:$JV$154)/SUMPRODUCT(('ANALYSE - ERP =&gt; SOUS-SEGMENT'!$B$8:$B$154=$B19)*'ANALYSE - ERP =&gt; SOUS-SEGMENT'!$Q$8:$Q$154*'ANALYSE - ERP =&gt; SOUS-SEGMENT'!$BH$8:$BH$154),0)</f>
        <v>5.8799999999999998E-2</v>
      </c>
      <c r="JT19" s="786">
        <f>IFERROR(SUMPRODUCT(('ANALYSE - ERP =&gt; SOUS-SEGMENT'!$B$8:$B$154=$B19)*'ANALYSE - ERP =&gt; SOUS-SEGMENT'!$Q$8:$Q$154*'ANALYSE - ERP =&gt; SOUS-SEGMENT'!$BH$8:$BH$154*'ANALYSE - ERP =&gt; SOUS-SEGMENT'!$JW$8:$JW$154)/SUMPRODUCT(('ANALYSE - ERP =&gt; SOUS-SEGMENT'!$B$8:$B$154=$B19)*'ANALYSE - ERP =&gt; SOUS-SEGMENT'!$Q$8:$Q$154*'ANALYSE - ERP =&gt; SOUS-SEGMENT'!$BH$8:$BH$154),0)</f>
        <v>0</v>
      </c>
      <c r="JU19" s="786">
        <f>IFERROR(SUMPRODUCT(('ANALYSE - ERP =&gt; SOUS-SEGMENT'!$B$8:$B$154=$B19)*'ANALYSE - ERP =&gt; SOUS-SEGMENT'!$Q$8:$Q$154*'ANALYSE - ERP =&gt; SOUS-SEGMENT'!$FK$8:$FK$154*'ANALYSE - ERP =&gt; SOUS-SEGMENT'!$JX$8:$JX$154)/SUMPRODUCT(('ANALYSE - ERP =&gt; SOUS-SEGMENT'!$B$8:$B$154=$B19)*'ANALYSE - ERP =&gt; SOUS-SEGMENT'!$Q$8:$Q$154*'ANALYSE - ERP =&gt; SOUS-SEGMENT'!$FK$8:$FK$154),0)</f>
        <v>1.5900000000000001E-2</v>
      </c>
      <c r="JV19" s="786">
        <f>IFERROR(SUMPRODUCT(('ANALYSE - ERP =&gt; SOUS-SEGMENT'!$B$8:$B$154=$B19)*'ANALYSE - ERP =&gt; SOUS-SEGMENT'!$Q$8:$Q$154*'ANALYSE - ERP =&gt; SOUS-SEGMENT'!$FK$8:$FK$154*'ANALYSE - ERP =&gt; SOUS-SEGMENT'!$JY$8:$JY$154)/SUMPRODUCT(('ANALYSE - ERP =&gt; SOUS-SEGMENT'!$B$8:$B$154=$B19)*'ANALYSE - ERP =&gt; SOUS-SEGMENT'!$Q$8:$Q$154*'ANALYSE - ERP =&gt; SOUS-SEGMENT'!$FK$8:$FK$154),0)</f>
        <v>0.39450000000000002</v>
      </c>
      <c r="JW19" s="786">
        <f>IFERROR(SUMPRODUCT(('ANALYSE - ERP =&gt; SOUS-SEGMENT'!$B$8:$B$154=$B19)*'ANALYSE - ERP =&gt; SOUS-SEGMENT'!$Q$8:$Q$154*'ANALYSE - ERP =&gt; SOUS-SEGMENT'!$FK$8:$FK$154*'ANALYSE - ERP =&gt; SOUS-SEGMENT'!$JZ$8:$JZ$154)/SUMPRODUCT(('ANALYSE - ERP =&gt; SOUS-SEGMENT'!$B$8:$B$154=$B19)*'ANALYSE - ERP =&gt; SOUS-SEGMENT'!$Q$8:$Q$154*'ANALYSE - ERP =&gt; SOUS-SEGMENT'!$FK$8:$FK$154),0)</f>
        <v>0.51049999999999995</v>
      </c>
      <c r="JX19" s="786">
        <f>IFERROR(SUMPRODUCT(('ANALYSE - ERP =&gt; SOUS-SEGMENT'!$B$8:$B$154=$B19)*'ANALYSE - ERP =&gt; SOUS-SEGMENT'!$Q$8:$Q$154*'ANALYSE - ERP =&gt; SOUS-SEGMENT'!$FK$8:$FK$154*'ANALYSE - ERP =&gt; SOUS-SEGMENT'!$KA$8:$KA$154)/SUMPRODUCT(('ANALYSE - ERP =&gt; SOUS-SEGMENT'!$B$8:$B$154=$B19)*'ANALYSE - ERP =&gt; SOUS-SEGMENT'!$Q$8:$Q$154*'ANALYSE - ERP =&gt; SOUS-SEGMENT'!$FK$8:$FK$154),0)</f>
        <v>7.5500000000000012E-2</v>
      </c>
      <c r="JY19" s="786">
        <f>IFERROR(SUMPRODUCT(('ANALYSE - ERP =&gt; SOUS-SEGMENT'!$B$8:$B$154=$B19)*'ANALYSE - ERP =&gt; SOUS-SEGMENT'!$Q$8:$Q$154*'ANALYSE - ERP =&gt; SOUS-SEGMENT'!$FK$8:$FK$154*'ANALYSE - ERP =&gt; SOUS-SEGMENT'!$KB$8:$KB$154)/SUMPRODUCT(('ANALYSE - ERP =&gt; SOUS-SEGMENT'!$B$8:$B$154=$B19)*'ANALYSE - ERP =&gt; SOUS-SEGMENT'!$Q$8:$Q$154*'ANALYSE - ERP =&gt; SOUS-SEGMENT'!$FK$8:$FK$154),0)</f>
        <v>3.5999999999999999E-3</v>
      </c>
      <c r="JZ19" s="657"/>
      <c r="KA19" s="678" t="s">
        <v>2590</v>
      </c>
      <c r="KB19" s="678" t="s">
        <v>2591</v>
      </c>
      <c r="KC19" s="915">
        <f>IFERROR(SUMPRODUCT(('ANALYSE - ERP =&gt; SOUS-SEGMENT'!$B$8:$B$154=$B19)*'ANALYSE - ERP =&gt; SOUS-SEGMENT'!$Q$8:$Q$154*'ANALYSE - ERP =&gt; SOUS-SEGMENT'!$EX$8:$EX$154*'ANALYSE - ERP =&gt; SOUS-SEGMENT'!$KF$8:$KF$154)/SUMPRODUCT(('ANALYSE - ERP =&gt; SOUS-SEGMENT'!$B$8:$B$154=$B19)*'ANALYSE - ERP =&gt; SOUS-SEGMENT'!$Q$8:$Q$154*'ANALYSE - ERP =&gt; SOUS-SEGMENT'!$EX$8:$EX$154),"")</f>
        <v>4.16</v>
      </c>
      <c r="KD19" s="678" t="s">
        <v>2589</v>
      </c>
      <c r="KE19" s="680" t="s">
        <v>7258</v>
      </c>
      <c r="KF19" s="678" t="s">
        <v>7559</v>
      </c>
      <c r="KG19" s="680" t="s">
        <v>7559</v>
      </c>
    </row>
  </sheetData>
  <autoFilter ref="A5:KG5" xr:uid="{00000000-0009-0000-0000-00000D000000}"/>
  <conditionalFormatting sqref="BL6:CM6">
    <cfRule type="colorScale" priority="47">
      <colorScale>
        <cfvo type="min"/>
        <cfvo type="formula" val="AVERAGE($BL$8:$CM$110)"/>
        <cfvo type="max"/>
        <color rgb="FFF8696B"/>
        <color theme="0"/>
        <color rgb="FF63BE7B"/>
      </colorScale>
    </cfRule>
  </conditionalFormatting>
  <conditionalFormatting sqref="BL8:CM8">
    <cfRule type="colorScale" priority="46">
      <colorScale>
        <cfvo type="min"/>
        <cfvo type="formula" val="AVERAGE($BL$8:$CM$110)"/>
        <cfvo type="max"/>
        <color rgb="FFF8696B"/>
        <color theme="0"/>
        <color rgb="FF63BE7B"/>
      </colorScale>
    </cfRule>
  </conditionalFormatting>
  <conditionalFormatting sqref="BL9:CM9">
    <cfRule type="colorScale" priority="45">
      <colorScale>
        <cfvo type="min"/>
        <cfvo type="formula" val="AVERAGE($BL$8:$CM$110)"/>
        <cfvo type="max"/>
        <color rgb="FFF8696B"/>
        <color theme="0"/>
        <color rgb="FF63BE7B"/>
      </colorScale>
    </cfRule>
  </conditionalFormatting>
  <conditionalFormatting sqref="BL10:CM10">
    <cfRule type="colorScale" priority="44">
      <colorScale>
        <cfvo type="min"/>
        <cfvo type="formula" val="AVERAGE($BL$8:$CM$110)"/>
        <cfvo type="max"/>
        <color rgb="FFF8696B"/>
        <color theme="0"/>
        <color rgb="FF63BE7B"/>
      </colorScale>
    </cfRule>
  </conditionalFormatting>
  <conditionalFormatting sqref="BL11:CM11">
    <cfRule type="colorScale" priority="43">
      <colorScale>
        <cfvo type="min"/>
        <cfvo type="formula" val="AVERAGE($BL$8:$CM$110)"/>
        <cfvo type="max"/>
        <color rgb="FFF8696B"/>
        <color theme="0"/>
        <color rgb="FF63BE7B"/>
      </colorScale>
    </cfRule>
  </conditionalFormatting>
  <conditionalFormatting sqref="BL12:CM12">
    <cfRule type="colorScale" priority="42">
      <colorScale>
        <cfvo type="min"/>
        <cfvo type="formula" val="AVERAGE($BL$8:$CM$110)"/>
        <cfvo type="max"/>
        <color rgb="FFF8696B"/>
        <color theme="0"/>
        <color rgb="FF63BE7B"/>
      </colorScale>
    </cfRule>
  </conditionalFormatting>
  <conditionalFormatting sqref="BL13:CM13">
    <cfRule type="colorScale" priority="41">
      <colorScale>
        <cfvo type="min"/>
        <cfvo type="formula" val="AVERAGE($BL$8:$CM$110)"/>
        <cfvo type="max"/>
        <color rgb="FFF8696B"/>
        <color theme="0"/>
        <color rgb="FF63BE7B"/>
      </colorScale>
    </cfRule>
  </conditionalFormatting>
  <conditionalFormatting sqref="BL14:CM14">
    <cfRule type="colorScale" priority="40">
      <colorScale>
        <cfvo type="min"/>
        <cfvo type="formula" val="AVERAGE($BL$8:$CM$110)"/>
        <cfvo type="max"/>
        <color rgb="FFF8696B"/>
        <color theme="0"/>
        <color rgb="FF63BE7B"/>
      </colorScale>
    </cfRule>
  </conditionalFormatting>
  <conditionalFormatting sqref="BL15:CM15">
    <cfRule type="colorScale" priority="39">
      <colorScale>
        <cfvo type="min"/>
        <cfvo type="formula" val="AVERAGE($BL$8:$CM$110)"/>
        <cfvo type="max"/>
        <color rgb="FFF8696B"/>
        <color theme="0"/>
        <color rgb="FF63BE7B"/>
      </colorScale>
    </cfRule>
  </conditionalFormatting>
  <conditionalFormatting sqref="BL16:CM16">
    <cfRule type="colorScale" priority="38">
      <colorScale>
        <cfvo type="min"/>
        <cfvo type="formula" val="AVERAGE($BL$8:$CM$110)"/>
        <cfvo type="max"/>
        <color rgb="FFF8696B"/>
        <color theme="0"/>
        <color rgb="FF63BE7B"/>
      </colorScale>
    </cfRule>
  </conditionalFormatting>
  <conditionalFormatting sqref="BL17:CM17">
    <cfRule type="colorScale" priority="37">
      <colorScale>
        <cfvo type="min"/>
        <cfvo type="formula" val="AVERAGE($BL$8:$CM$110)"/>
        <cfvo type="max"/>
        <color rgb="FFF8696B"/>
        <color theme="0"/>
        <color rgb="FF63BE7B"/>
      </colorScale>
    </cfRule>
  </conditionalFormatting>
  <conditionalFormatting sqref="BL18:CM18">
    <cfRule type="colorScale" priority="36">
      <colorScale>
        <cfvo type="min"/>
        <cfvo type="formula" val="AVERAGE($BL$8:$CM$110)"/>
        <cfvo type="max"/>
        <color rgb="FFF8696B"/>
        <color theme="0"/>
        <color rgb="FF63BE7B"/>
      </colorScale>
    </cfRule>
  </conditionalFormatting>
  <conditionalFormatting sqref="CO6:DB6">
    <cfRule type="colorScale" priority="35">
      <colorScale>
        <cfvo type="min"/>
        <cfvo type="formula" val="MEDIAN($CO$6:$DB$110)"/>
        <cfvo type="max"/>
        <color rgb="FFF8696B"/>
        <color theme="0"/>
        <color rgb="FF63BE7B"/>
      </colorScale>
    </cfRule>
  </conditionalFormatting>
  <conditionalFormatting sqref="CO8:DB8">
    <cfRule type="colorScale" priority="34">
      <colorScale>
        <cfvo type="min"/>
        <cfvo type="formula" val="MEDIAN($CO$6:$DB$110)"/>
        <cfvo type="max"/>
        <color rgb="FFF8696B"/>
        <color theme="0"/>
        <color rgb="FF63BE7B"/>
      </colorScale>
    </cfRule>
  </conditionalFormatting>
  <conditionalFormatting sqref="CO9:DB9">
    <cfRule type="colorScale" priority="33">
      <colorScale>
        <cfvo type="min"/>
        <cfvo type="formula" val="MEDIAN($CO$6:$DB$110)"/>
        <cfvo type="max"/>
        <color rgb="FFF8696B"/>
        <color theme="0"/>
        <color rgb="FF63BE7B"/>
      </colorScale>
    </cfRule>
  </conditionalFormatting>
  <conditionalFormatting sqref="CO10:DB10">
    <cfRule type="colorScale" priority="32">
      <colorScale>
        <cfvo type="min"/>
        <cfvo type="formula" val="MEDIAN($CO$6:$DB$110)"/>
        <cfvo type="max"/>
        <color rgb="FFF8696B"/>
        <color theme="0"/>
        <color rgb="FF63BE7B"/>
      </colorScale>
    </cfRule>
  </conditionalFormatting>
  <conditionalFormatting sqref="CO11:DB11">
    <cfRule type="colorScale" priority="31">
      <colorScale>
        <cfvo type="min"/>
        <cfvo type="formula" val="MEDIAN($CO$6:$DB$110)"/>
        <cfvo type="max"/>
        <color rgb="FFF8696B"/>
        <color theme="0"/>
        <color rgb="FF63BE7B"/>
      </colorScale>
    </cfRule>
  </conditionalFormatting>
  <conditionalFormatting sqref="CO12:DB12">
    <cfRule type="colorScale" priority="30">
      <colorScale>
        <cfvo type="min"/>
        <cfvo type="formula" val="MEDIAN($CO$6:$DB$110)"/>
        <cfvo type="max"/>
        <color rgb="FFF8696B"/>
        <color theme="0"/>
        <color rgb="FF63BE7B"/>
      </colorScale>
    </cfRule>
  </conditionalFormatting>
  <conditionalFormatting sqref="CO13:DB13">
    <cfRule type="colorScale" priority="29">
      <colorScale>
        <cfvo type="min"/>
        <cfvo type="formula" val="MEDIAN($CO$6:$DB$110)"/>
        <cfvo type="max"/>
        <color rgb="FFF8696B"/>
        <color theme="0"/>
        <color rgb="FF63BE7B"/>
      </colorScale>
    </cfRule>
  </conditionalFormatting>
  <conditionalFormatting sqref="CO14:DB14">
    <cfRule type="colorScale" priority="28">
      <colorScale>
        <cfvo type="min"/>
        <cfvo type="formula" val="MEDIAN($CO$6:$DB$110)"/>
        <cfvo type="max"/>
        <color rgb="FFF8696B"/>
        <color theme="0"/>
        <color rgb="FF63BE7B"/>
      </colorScale>
    </cfRule>
  </conditionalFormatting>
  <conditionalFormatting sqref="CO15:DB15">
    <cfRule type="colorScale" priority="27">
      <colorScale>
        <cfvo type="min"/>
        <cfvo type="formula" val="MEDIAN($CO$6:$DB$110)"/>
        <cfvo type="max"/>
        <color rgb="FFF8696B"/>
        <color theme="0"/>
        <color rgb="FF63BE7B"/>
      </colorScale>
    </cfRule>
  </conditionalFormatting>
  <conditionalFormatting sqref="CO16:DB16">
    <cfRule type="colorScale" priority="26">
      <colorScale>
        <cfvo type="min"/>
        <cfvo type="formula" val="MEDIAN($CO$6:$DB$110)"/>
        <cfvo type="max"/>
        <color rgb="FFF8696B"/>
        <color theme="0"/>
        <color rgb="FF63BE7B"/>
      </colorScale>
    </cfRule>
  </conditionalFormatting>
  <conditionalFormatting sqref="CO17:DB17">
    <cfRule type="colorScale" priority="25">
      <colorScale>
        <cfvo type="min"/>
        <cfvo type="formula" val="MEDIAN($CO$6:$DB$110)"/>
        <cfvo type="max"/>
        <color rgb="FFF8696B"/>
        <color theme="0"/>
        <color rgb="FF63BE7B"/>
      </colorScale>
    </cfRule>
  </conditionalFormatting>
  <conditionalFormatting sqref="CO18:DB18">
    <cfRule type="colorScale" priority="24">
      <colorScale>
        <cfvo type="min"/>
        <cfvo type="formula" val="MEDIAN($CO$6:$DB$110)"/>
        <cfvo type="max"/>
        <color rgb="FFF8696B"/>
        <color theme="0"/>
        <color rgb="FF63BE7B"/>
      </colorScale>
    </cfRule>
  </conditionalFormatting>
  <conditionalFormatting sqref="IL8:JE8 JP8:JY8">
    <cfRule type="colorScale" priority="22">
      <colorScale>
        <cfvo type="min"/>
        <cfvo type="formula" val="AVERAGE($IL$8:$JY$110)"/>
        <cfvo type="max"/>
        <color rgb="FFF8696B"/>
        <color theme="0"/>
        <color rgb="FF63BE7B"/>
      </colorScale>
    </cfRule>
  </conditionalFormatting>
  <conditionalFormatting sqref="IL9:JE9 JP9:JY9">
    <cfRule type="colorScale" priority="20">
      <colorScale>
        <cfvo type="min"/>
        <cfvo type="formula" val="AVERAGE($IL$8:$JY$110)"/>
        <cfvo type="max"/>
        <color rgb="FFF8696B"/>
        <color theme="0"/>
        <color rgb="FF63BE7B"/>
      </colorScale>
    </cfRule>
  </conditionalFormatting>
  <conditionalFormatting sqref="IL10:JE10 JP10:JY10">
    <cfRule type="colorScale" priority="18">
      <colorScale>
        <cfvo type="min"/>
        <cfvo type="formula" val="AVERAGE($IL$8:$JY$110)"/>
        <cfvo type="max"/>
        <color rgb="FFF8696B"/>
        <color theme="0"/>
        <color rgb="FF63BE7B"/>
      </colorScale>
    </cfRule>
  </conditionalFormatting>
  <conditionalFormatting sqref="IL11:JE11 JP11:JY11">
    <cfRule type="colorScale" priority="16">
      <colorScale>
        <cfvo type="min"/>
        <cfvo type="formula" val="AVERAGE($IL$8:$JY$110)"/>
        <cfvo type="max"/>
        <color rgb="FFF8696B"/>
        <color theme="0"/>
        <color rgb="FF63BE7B"/>
      </colorScale>
    </cfRule>
  </conditionalFormatting>
  <conditionalFormatting sqref="IL12:JE12 JP12:JY12">
    <cfRule type="colorScale" priority="14">
      <colorScale>
        <cfvo type="min"/>
        <cfvo type="formula" val="AVERAGE($IL$8:$JY$110)"/>
        <cfvo type="max"/>
        <color rgb="FFF8696B"/>
        <color theme="0"/>
        <color rgb="FF63BE7B"/>
      </colorScale>
    </cfRule>
  </conditionalFormatting>
  <conditionalFormatting sqref="IL13:JE13 JP13:JY13">
    <cfRule type="colorScale" priority="12">
      <colorScale>
        <cfvo type="min"/>
        <cfvo type="formula" val="AVERAGE($IL$8:$JY$110)"/>
        <cfvo type="max"/>
        <color rgb="FFF8696B"/>
        <color theme="0"/>
        <color rgb="FF63BE7B"/>
      </colorScale>
    </cfRule>
  </conditionalFormatting>
  <conditionalFormatting sqref="IL14:JE14 JP14:JY14">
    <cfRule type="colorScale" priority="10">
      <colorScale>
        <cfvo type="min"/>
        <cfvo type="formula" val="AVERAGE($IL$8:$JY$110)"/>
        <cfvo type="max"/>
        <color rgb="FFF8696B"/>
        <color theme="0"/>
        <color rgb="FF63BE7B"/>
      </colorScale>
    </cfRule>
  </conditionalFormatting>
  <conditionalFormatting sqref="IL15:JE15 JP15:JY15">
    <cfRule type="colorScale" priority="8">
      <colorScale>
        <cfvo type="min"/>
        <cfvo type="formula" val="AVERAGE($IL$8:$JY$110)"/>
        <cfvo type="max"/>
        <color rgb="FFF8696B"/>
        <color theme="0"/>
        <color rgb="FF63BE7B"/>
      </colorScale>
    </cfRule>
  </conditionalFormatting>
  <conditionalFormatting sqref="IL16:JE16 JP16:JY16">
    <cfRule type="colorScale" priority="6">
      <colorScale>
        <cfvo type="min"/>
        <cfvo type="formula" val="AVERAGE($IL$8:$JY$110)"/>
        <cfvo type="max"/>
        <color rgb="FFF8696B"/>
        <color theme="0"/>
        <color rgb="FF63BE7B"/>
      </colorScale>
    </cfRule>
  </conditionalFormatting>
  <conditionalFormatting sqref="IL17:JE17 JP17:JY17">
    <cfRule type="colorScale" priority="4">
      <colorScale>
        <cfvo type="min"/>
        <cfvo type="formula" val="AVERAGE($IL$8:$JY$110)"/>
        <cfvo type="max"/>
        <color rgb="FFF8696B"/>
        <color theme="0"/>
        <color rgb="FF63BE7B"/>
      </colorScale>
    </cfRule>
  </conditionalFormatting>
  <conditionalFormatting sqref="IL18:JE18 JP18:JY18">
    <cfRule type="colorScale" priority="2">
      <colorScale>
        <cfvo type="min"/>
        <cfvo type="formula" val="AVERAGE($IL$8:$JY$110)"/>
        <cfvo type="max"/>
        <color rgb="FFF8696B"/>
        <color theme="0"/>
        <color rgb="FF63BE7B"/>
      </colorScale>
    </cfRule>
  </conditionalFormatting>
  <conditionalFormatting sqref="IL6:JY6">
    <cfRule type="colorScale" priority="23">
      <colorScale>
        <cfvo type="min"/>
        <cfvo type="formula" val="AVERAGE($IL$8:$JY$110)"/>
        <cfvo type="max"/>
        <color rgb="FFF8696B"/>
        <color theme="0"/>
        <color rgb="FF63BE7B"/>
      </colorScale>
    </cfRule>
  </conditionalFormatting>
  <conditionalFormatting sqref="JF8:JO8">
    <cfRule type="colorScale" priority="21">
      <colorScale>
        <cfvo type="min"/>
        <cfvo type="formula" val="AVERAGE($IL$8:$JY$110)"/>
        <cfvo type="max"/>
        <color rgb="FFF8696B"/>
        <color theme="0"/>
        <color rgb="FF63BE7B"/>
      </colorScale>
    </cfRule>
  </conditionalFormatting>
  <conditionalFormatting sqref="JF9:JO9">
    <cfRule type="colorScale" priority="19">
      <colorScale>
        <cfvo type="min"/>
        <cfvo type="formula" val="AVERAGE($IL$8:$JY$110)"/>
        <cfvo type="max"/>
        <color rgb="FFF8696B"/>
        <color theme="0"/>
        <color rgb="FF63BE7B"/>
      </colorScale>
    </cfRule>
  </conditionalFormatting>
  <conditionalFormatting sqref="JF10:JO10">
    <cfRule type="colorScale" priority="17">
      <colorScale>
        <cfvo type="min"/>
        <cfvo type="formula" val="AVERAGE($IL$8:$JY$110)"/>
        <cfvo type="max"/>
        <color rgb="FFF8696B"/>
        <color theme="0"/>
        <color rgb="FF63BE7B"/>
      </colorScale>
    </cfRule>
  </conditionalFormatting>
  <conditionalFormatting sqref="JF11:JO11">
    <cfRule type="colorScale" priority="15">
      <colorScale>
        <cfvo type="min"/>
        <cfvo type="formula" val="AVERAGE($IL$8:$JY$110)"/>
        <cfvo type="max"/>
        <color rgb="FFF8696B"/>
        <color theme="0"/>
        <color rgb="FF63BE7B"/>
      </colorScale>
    </cfRule>
  </conditionalFormatting>
  <conditionalFormatting sqref="JF12:JO12">
    <cfRule type="colorScale" priority="13">
      <colorScale>
        <cfvo type="min"/>
        <cfvo type="formula" val="AVERAGE($IL$8:$JY$110)"/>
        <cfvo type="max"/>
        <color rgb="FFF8696B"/>
        <color theme="0"/>
        <color rgb="FF63BE7B"/>
      </colorScale>
    </cfRule>
  </conditionalFormatting>
  <conditionalFormatting sqref="JF13:JO13">
    <cfRule type="colorScale" priority="11">
      <colorScale>
        <cfvo type="min"/>
        <cfvo type="formula" val="AVERAGE($IL$8:$JY$110)"/>
        <cfvo type="max"/>
        <color rgb="FFF8696B"/>
        <color theme="0"/>
        <color rgb="FF63BE7B"/>
      </colorScale>
    </cfRule>
  </conditionalFormatting>
  <conditionalFormatting sqref="JF14:JO14">
    <cfRule type="colorScale" priority="9">
      <colorScale>
        <cfvo type="min"/>
        <cfvo type="formula" val="AVERAGE($IL$8:$JY$110)"/>
        <cfvo type="max"/>
        <color rgb="FFF8696B"/>
        <color theme="0"/>
        <color rgb="FF63BE7B"/>
      </colorScale>
    </cfRule>
  </conditionalFormatting>
  <conditionalFormatting sqref="JF15:JO15">
    <cfRule type="colorScale" priority="7">
      <colorScale>
        <cfvo type="min"/>
        <cfvo type="formula" val="AVERAGE($IL$8:$JY$110)"/>
        <cfvo type="max"/>
        <color rgb="FFF8696B"/>
        <color theme="0"/>
        <color rgb="FF63BE7B"/>
      </colorScale>
    </cfRule>
  </conditionalFormatting>
  <conditionalFormatting sqref="JF16:JO16">
    <cfRule type="colorScale" priority="5">
      <colorScale>
        <cfvo type="min"/>
        <cfvo type="formula" val="AVERAGE($IL$8:$JY$110)"/>
        <cfvo type="max"/>
        <color rgb="FFF8696B"/>
        <color theme="0"/>
        <color rgb="FF63BE7B"/>
      </colorScale>
    </cfRule>
  </conditionalFormatting>
  <conditionalFormatting sqref="JF17:JO17">
    <cfRule type="colorScale" priority="3">
      <colorScale>
        <cfvo type="min"/>
        <cfvo type="formula" val="AVERAGE($IL$8:$JY$110)"/>
        <cfvo type="max"/>
        <color rgb="FFF8696B"/>
        <color theme="0"/>
        <color rgb="FF63BE7B"/>
      </colorScale>
    </cfRule>
  </conditionalFormatting>
  <conditionalFormatting sqref="JF18:JO18">
    <cfRule type="colorScale" priority="1">
      <colorScale>
        <cfvo type="min"/>
        <cfvo type="formula" val="AVERAGE($IL$8:$JY$110)"/>
        <cfvo type="max"/>
        <color rgb="FFF8696B"/>
        <color theme="0"/>
        <color rgb="FF63BE7B"/>
      </colorScale>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4:R93"/>
  <sheetViews>
    <sheetView topLeftCell="B36" workbookViewId="0">
      <selection activeCell="M62" sqref="M62"/>
    </sheetView>
  </sheetViews>
  <sheetFormatPr baseColWidth="10" defaultRowHeight="15"/>
  <cols>
    <col min="2" max="2" width="3.5703125" style="934" customWidth="1"/>
    <col min="3" max="4" width="12.140625" style="934" customWidth="1"/>
    <col min="5" max="5" width="7.140625" style="934" customWidth="1"/>
    <col min="6" max="6" width="12.85546875" style="934" bestFit="1" customWidth="1"/>
  </cols>
  <sheetData>
    <row r="4" spans="8:8">
      <c r="H4" s="58" t="s">
        <v>7653</v>
      </c>
    </row>
    <row r="24" spans="3:6" ht="15.75" customHeight="1" thickBot="1">
      <c r="C24" s="696" t="s">
        <v>7654</v>
      </c>
    </row>
    <row r="25" spans="3:6">
      <c r="C25" t="s">
        <v>7655</v>
      </c>
    </row>
    <row r="26" spans="3:6">
      <c r="C26" t="s">
        <v>7656</v>
      </c>
    </row>
    <row r="28" spans="3:6">
      <c r="D28" s="698" t="s">
        <v>7657</v>
      </c>
      <c r="E28" s="698"/>
      <c r="F28" s="694"/>
    </row>
    <row r="29" spans="3:6">
      <c r="D29" s="115" t="s">
        <v>7658</v>
      </c>
      <c r="E29" s="115"/>
      <c r="F29" s="115" t="s">
        <v>7658</v>
      </c>
    </row>
    <row r="30" spans="3:6">
      <c r="D30" s="115">
        <v>2019</v>
      </c>
      <c r="E30" s="115"/>
      <c r="F30" s="115">
        <v>2025</v>
      </c>
    </row>
    <row r="31" spans="3:6">
      <c r="C31" t="s">
        <v>2471</v>
      </c>
      <c r="D31" s="981">
        <v>3941000</v>
      </c>
      <c r="E31" s="981"/>
    </row>
    <row r="32" spans="3:6">
      <c r="C32" t="s">
        <v>7659</v>
      </c>
      <c r="D32" s="981">
        <v>3385000</v>
      </c>
      <c r="E32" s="981"/>
    </row>
    <row r="33" spans="3:18">
      <c r="C33" t="s">
        <v>7660</v>
      </c>
      <c r="D33" s="981">
        <v>131000</v>
      </c>
      <c r="E33" s="981"/>
    </row>
    <row r="34" spans="3:18">
      <c r="C34" t="s">
        <v>2477</v>
      </c>
      <c r="D34" s="981">
        <v>195000</v>
      </c>
      <c r="E34" s="981"/>
    </row>
    <row r="36" spans="3:18">
      <c r="H36" s="58" t="s">
        <v>7653</v>
      </c>
      <c r="R36" s="58" t="s">
        <v>7661</v>
      </c>
    </row>
    <row r="37" spans="3:18">
      <c r="R37" s="695" t="s">
        <v>7662</v>
      </c>
    </row>
    <row r="38" spans="3:18" ht="15.75" customHeight="1" thickBot="1"/>
    <row r="39" spans="3:18" ht="15.75" customHeight="1" thickBot="1">
      <c r="C39" s="696" t="s">
        <v>7663</v>
      </c>
    </row>
    <row r="40" spans="3:18">
      <c r="C40" t="s">
        <v>7664</v>
      </c>
    </row>
    <row r="43" spans="3:18">
      <c r="D43" s="698" t="s">
        <v>7657</v>
      </c>
      <c r="E43" s="698"/>
      <c r="F43" s="694"/>
    </row>
    <row r="44" spans="3:18">
      <c r="D44" s="115" t="s">
        <v>7658</v>
      </c>
      <c r="E44" s="115"/>
      <c r="F44" s="115" t="s">
        <v>7658</v>
      </c>
    </row>
    <row r="45" spans="3:18">
      <c r="D45" s="115">
        <v>2019</v>
      </c>
      <c r="E45" s="115"/>
      <c r="F45" s="115">
        <v>2020</v>
      </c>
    </row>
    <row r="46" spans="3:18">
      <c r="C46" s="698" t="s">
        <v>7665</v>
      </c>
      <c r="D46" s="982">
        <f>F46/(1+E46)</f>
        <v>191103.60360360361</v>
      </c>
      <c r="E46" s="789">
        <v>-0.112</v>
      </c>
      <c r="F46" s="982">
        <v>169700</v>
      </c>
    </row>
    <row r="47" spans="3:18">
      <c r="C47" s="698" t="s">
        <v>7666</v>
      </c>
      <c r="D47" s="982">
        <f>F47/(1+E47)</f>
        <v>5686266.0944206016</v>
      </c>
      <c r="E47" s="789">
        <v>-6.8000000000000005E-2</v>
      </c>
      <c r="F47" s="982">
        <v>5299600</v>
      </c>
    </row>
    <row r="48" spans="3:18">
      <c r="C48" s="698" t="s">
        <v>7667</v>
      </c>
      <c r="D48" s="982">
        <f>F48/(1+E48)</f>
        <v>1143613.1386861312</v>
      </c>
      <c r="E48" s="789">
        <v>9.6000000000000002E-2</v>
      </c>
      <c r="F48" s="982">
        <v>1253400</v>
      </c>
    </row>
    <row r="49" spans="3:18">
      <c r="C49" t="s">
        <v>2471</v>
      </c>
      <c r="D49" s="981">
        <f>SUM(D46:D48)</f>
        <v>7020982.8367103357</v>
      </c>
      <c r="E49" s="789">
        <f>F49/D49-1</f>
        <v>-4.2484484529817679E-2</v>
      </c>
      <c r="F49" s="981">
        <f>SUM(F46:F48)</f>
        <v>6722700</v>
      </c>
      <c r="G49" t="s">
        <v>7668</v>
      </c>
    </row>
    <row r="50" spans="3:18">
      <c r="C50" t="s">
        <v>7659</v>
      </c>
      <c r="D50" s="981">
        <f>F50/(1+E50)</f>
        <v>4015000</v>
      </c>
      <c r="E50" s="789">
        <v>0</v>
      </c>
      <c r="F50" s="981">
        <v>4015000</v>
      </c>
    </row>
    <row r="51" spans="3:18">
      <c r="C51" t="s">
        <v>7660</v>
      </c>
      <c r="F51" s="983">
        <v>131000</v>
      </c>
    </row>
    <row r="52" spans="3:18">
      <c r="C52" t="s">
        <v>2477</v>
      </c>
      <c r="F52" s="983">
        <v>195000</v>
      </c>
    </row>
    <row r="62" spans="3:18">
      <c r="R62" s="695" t="s">
        <v>7669</v>
      </c>
    </row>
    <row r="63" spans="3:18">
      <c r="H63" s="58" t="s">
        <v>7670</v>
      </c>
    </row>
    <row r="64" spans="3:18">
      <c r="R64" s="58" t="s">
        <v>7671</v>
      </c>
    </row>
    <row r="93" spans="18:18">
      <c r="R93" s="695" t="s">
        <v>7672</v>
      </c>
    </row>
  </sheetData>
  <hyperlinks>
    <hyperlink ref="R37" r:id="rId1" xr:uid="{00000000-0004-0000-0E00-000000000000}"/>
    <hyperlink ref="R62" r:id="rId2" xr:uid="{00000000-0004-0000-0E00-000001000000}"/>
    <hyperlink ref="R93" r:id="rId3" xr:uid="{00000000-0004-0000-0E00-000002000000}"/>
  </hyperlinks>
  <pageMargins left="0.7" right="0.7" top="0.75" bottom="0.75" header="0.3" footer="0.3"/>
  <drawing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B79"/>
  <sheetViews>
    <sheetView topLeftCell="A15" workbookViewId="0">
      <selection activeCell="G42" sqref="G42"/>
    </sheetView>
  </sheetViews>
  <sheetFormatPr baseColWidth="10" defaultRowHeight="15"/>
  <sheetData>
    <row r="2" spans="2:2">
      <c r="B2" s="697" t="s">
        <v>7673</v>
      </c>
    </row>
    <row r="3" spans="2:2">
      <c r="B3" s="697"/>
    </row>
    <row r="4" spans="2:2">
      <c r="B4" s="697" t="s">
        <v>7674</v>
      </c>
    </row>
    <row r="8" spans="2:2">
      <c r="B8" t="s">
        <v>7675</v>
      </c>
    </row>
    <row r="10" spans="2:2" ht="23.25" customHeight="1">
      <c r="B10" s="40" t="s">
        <v>7676</v>
      </c>
    </row>
    <row r="12" spans="2:2">
      <c r="B12" t="s">
        <v>7677</v>
      </c>
    </row>
    <row r="14" spans="2:2">
      <c r="B14" s="58" t="s">
        <v>7678</v>
      </c>
    </row>
    <row r="15" spans="2:2">
      <c r="B15" t="s">
        <v>7679</v>
      </c>
    </row>
    <row r="17" spans="2:2">
      <c r="B17" t="s">
        <v>7680</v>
      </c>
    </row>
    <row r="18" spans="2:2">
      <c r="B18" s="35"/>
    </row>
    <row r="19" spans="2:2">
      <c r="B19" s="36" t="s">
        <v>7681</v>
      </c>
    </row>
    <row r="20" spans="2:2">
      <c r="B20" s="36" t="s">
        <v>7682</v>
      </c>
    </row>
    <row r="21" spans="2:2">
      <c r="B21" s="36" t="s">
        <v>7683</v>
      </c>
    </row>
    <row r="23" spans="2:2" ht="23.25" customHeight="1">
      <c r="B23" s="40" t="s">
        <v>7684</v>
      </c>
    </row>
    <row r="25" spans="2:2" ht="18" customHeight="1">
      <c r="B25" s="37" t="s">
        <v>7685</v>
      </c>
    </row>
    <row r="27" spans="2:2">
      <c r="B27" t="s">
        <v>7686</v>
      </c>
    </row>
    <row r="29" spans="2:2" ht="18" customHeight="1">
      <c r="B29" s="37" t="s">
        <v>7687</v>
      </c>
    </row>
    <row r="31" spans="2:2">
      <c r="B31" t="s">
        <v>7688</v>
      </c>
    </row>
    <row r="33" spans="2:2">
      <c r="B33" t="s">
        <v>7689</v>
      </c>
    </row>
    <row r="34" spans="2:2">
      <c r="B34" s="35"/>
    </row>
    <row r="35" spans="2:2">
      <c r="B35" s="35" t="s">
        <v>7690</v>
      </c>
    </row>
    <row r="36" spans="2:2">
      <c r="B36" s="35" t="s">
        <v>7691</v>
      </c>
    </row>
    <row r="37" spans="2:2">
      <c r="B37" s="35" t="s">
        <v>7692</v>
      </c>
    </row>
    <row r="38" spans="2:2">
      <c r="B38" s="35" t="s">
        <v>7693</v>
      </c>
    </row>
    <row r="40" spans="2:2" ht="18" customHeight="1">
      <c r="B40" s="37" t="s">
        <v>7694</v>
      </c>
    </row>
    <row r="42" spans="2:2">
      <c r="B42" t="s">
        <v>7695</v>
      </c>
    </row>
    <row r="43" spans="2:2">
      <c r="B43" t="s">
        <v>7696</v>
      </c>
    </row>
    <row r="45" spans="2:2" ht="18" customHeight="1">
      <c r="B45" s="37" t="s">
        <v>7697</v>
      </c>
    </row>
    <row r="47" spans="2:2">
      <c r="B47" t="s">
        <v>7698</v>
      </c>
    </row>
    <row r="49" spans="2:2" ht="23.25" customHeight="1">
      <c r="B49" s="40" t="s">
        <v>7699</v>
      </c>
    </row>
    <row r="51" spans="2:2">
      <c r="B51" t="s">
        <v>7700</v>
      </c>
    </row>
    <row r="52" spans="2:2">
      <c r="B52" s="35"/>
    </row>
    <row r="53" spans="2:2">
      <c r="B53" s="35" t="s">
        <v>7701</v>
      </c>
    </row>
    <row r="54" spans="2:2">
      <c r="B54" s="35" t="s">
        <v>7702</v>
      </c>
    </row>
    <row r="55" spans="2:2">
      <c r="B55" s="35" t="s">
        <v>7703</v>
      </c>
    </row>
    <row r="56" spans="2:2">
      <c r="B56" s="35" t="s">
        <v>7704</v>
      </c>
    </row>
    <row r="58" spans="2:2">
      <c r="B58" t="s">
        <v>7705</v>
      </c>
    </row>
    <row r="59" spans="2:2">
      <c r="B59" s="35"/>
    </row>
    <row r="60" spans="2:2">
      <c r="B60" s="36" t="s">
        <v>7706</v>
      </c>
    </row>
    <row r="61" spans="2:2">
      <c r="B61" s="36" t="s">
        <v>7707</v>
      </c>
    </row>
    <row r="62" spans="2:2">
      <c r="B62" s="36" t="s">
        <v>7708</v>
      </c>
    </row>
    <row r="64" spans="2:2" ht="23.25" customHeight="1">
      <c r="B64" s="40" t="s">
        <v>7709</v>
      </c>
    </row>
    <row r="66" spans="2:2">
      <c r="B66" t="s">
        <v>7710</v>
      </c>
    </row>
    <row r="67" spans="2:2">
      <c r="B67" s="35"/>
    </row>
    <row r="68" spans="2:2">
      <c r="B68" s="36" t="s">
        <v>7711</v>
      </c>
    </row>
    <row r="69" spans="2:2">
      <c r="B69" s="35" t="s">
        <v>7712</v>
      </c>
    </row>
    <row r="71" spans="2:2" ht="23.25" customHeight="1">
      <c r="B71" s="40" t="s">
        <v>1604</v>
      </c>
    </row>
    <row r="73" spans="2:2">
      <c r="B73" t="s">
        <v>7713</v>
      </c>
    </row>
    <row r="74" spans="2:2">
      <c r="B74" s="35"/>
    </row>
    <row r="75" spans="2:2">
      <c r="B75" s="36" t="s">
        <v>7714</v>
      </c>
    </row>
    <row r="76" spans="2:2">
      <c r="B76" s="36" t="s">
        <v>7715</v>
      </c>
    </row>
    <row r="77" spans="2:2">
      <c r="B77" s="35" t="s">
        <v>7716</v>
      </c>
    </row>
    <row r="79" spans="2:2">
      <c r="B79" t="s">
        <v>7717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249977111117893"/>
    <pageSetUpPr fitToPage="1"/>
  </sheetPr>
  <dimension ref="A1:AR106"/>
  <sheetViews>
    <sheetView zoomScale="85" zoomScaleNormal="85" workbookViewId="0">
      <pane ySplit="3" topLeftCell="A4" activePane="bottomLeft" state="frozen"/>
      <selection activeCell="K28" sqref="K28"/>
      <selection pane="bottomLeft" activeCell="E29" sqref="E29"/>
    </sheetView>
  </sheetViews>
  <sheetFormatPr baseColWidth="10" defaultColWidth="9.140625" defaultRowHeight="15"/>
  <cols>
    <col min="1" max="2" width="9" style="934" customWidth="1"/>
    <col min="3" max="3" width="6" style="934" customWidth="1"/>
    <col min="4" max="4" width="35" style="934" customWidth="1"/>
    <col min="5" max="5" width="22" style="43" bestFit="1" customWidth="1"/>
    <col min="6" max="6" width="63.42578125" style="43" customWidth="1"/>
    <col min="7" max="7" width="1.7109375" style="933" customWidth="1"/>
    <col min="8" max="8" width="11.28515625" style="43" customWidth="1"/>
    <col min="9" max="9" width="9" style="934" customWidth="1"/>
    <col min="10" max="10" width="10.140625" style="934" customWidth="1"/>
    <col min="11" max="11" width="8.5703125" style="934" customWidth="1"/>
    <col min="12" max="12" width="1.7109375" style="933" customWidth="1"/>
    <col min="13" max="13" width="10.42578125" style="934" customWidth="1"/>
    <col min="14" max="14" width="9.28515625" style="934" customWidth="1"/>
    <col min="15" max="15" width="9.7109375" style="934" customWidth="1"/>
    <col min="16" max="16" width="7.85546875" style="934" customWidth="1"/>
    <col min="17" max="17" width="1.7109375" style="933" customWidth="1"/>
    <col min="18" max="18" width="15" style="934" customWidth="1"/>
    <col min="19" max="19" width="10.42578125" style="934" customWidth="1"/>
    <col min="20" max="20" width="12" style="934" customWidth="1"/>
    <col min="21" max="44" width="9.140625" style="933" customWidth="1"/>
  </cols>
  <sheetData>
    <row r="1" spans="1:44" ht="18.75" customHeight="1">
      <c r="A1" s="933"/>
      <c r="B1" s="933"/>
      <c r="C1" s="477"/>
      <c r="D1" s="479"/>
      <c r="E1" s="478" t="s">
        <v>7718</v>
      </c>
      <c r="F1" s="479"/>
      <c r="H1" s="829" t="s">
        <v>2461</v>
      </c>
      <c r="I1" s="113"/>
      <c r="J1" s="113"/>
      <c r="K1" s="113"/>
      <c r="L1" s="113"/>
      <c r="M1" s="829" t="s">
        <v>6710</v>
      </c>
      <c r="N1" s="933"/>
      <c r="O1" s="933"/>
      <c r="P1" s="933"/>
      <c r="R1" s="933"/>
      <c r="S1" s="933"/>
      <c r="T1" s="933"/>
    </row>
    <row r="2" spans="1:44" ht="55.5" customHeight="1">
      <c r="A2" s="420" t="s">
        <v>6712</v>
      </c>
      <c r="B2" s="420" t="s">
        <v>6713</v>
      </c>
      <c r="C2" s="829" t="s">
        <v>2044</v>
      </c>
      <c r="D2" s="420" t="s">
        <v>2045</v>
      </c>
      <c r="E2" s="420" t="s">
        <v>6715</v>
      </c>
      <c r="F2" s="420" t="s">
        <v>2181</v>
      </c>
      <c r="H2" s="829" t="s">
        <v>2514</v>
      </c>
      <c r="I2" s="829" t="s">
        <v>7719</v>
      </c>
      <c r="J2" s="829" t="s">
        <v>7720</v>
      </c>
      <c r="K2" s="829" t="s">
        <v>2517</v>
      </c>
      <c r="L2" s="113"/>
      <c r="M2" s="829" t="s">
        <v>2514</v>
      </c>
      <c r="N2" s="829" t="s">
        <v>7719</v>
      </c>
      <c r="O2" s="829" t="s">
        <v>7720</v>
      </c>
      <c r="P2" s="829" t="s">
        <v>2517</v>
      </c>
      <c r="R2" s="420" t="s">
        <v>7721</v>
      </c>
      <c r="S2" s="829" t="s">
        <v>7722</v>
      </c>
      <c r="T2" s="829" t="s">
        <v>6711</v>
      </c>
    </row>
    <row r="3" spans="1:44">
      <c r="A3" s="405" t="s">
        <v>2535</v>
      </c>
      <c r="B3" s="405" t="s">
        <v>2535</v>
      </c>
      <c r="C3" s="405" t="s">
        <v>2090</v>
      </c>
      <c r="D3" s="405" t="s">
        <v>2086</v>
      </c>
      <c r="E3" s="405" t="s">
        <v>6728</v>
      </c>
      <c r="F3" s="405" t="s">
        <v>6729</v>
      </c>
      <c r="H3" s="790" t="str">
        <f>IFERROR(SUMPRODUCT(($T$4:$T$106),('ANALYSE - ERP =&gt; SOUS-SEGMENT'!$BE$8:$BE$150),('ANALYSE - ERP =&gt; SOUS-SEGMENT'!$BO$8:$BO$150))/SUMPRODUCT(($T$4:$T$106),('ANALYSE - ERP =&gt; SOUS-SEGMENT'!$BE$8:$BE$150),100),"")</f>
        <v/>
      </c>
      <c r="I3" s="790" t="str">
        <f>IFERROR(SUMPRODUCT(($T$4:$T$106),('ANALYSE - ERP =&gt; SOUS-SEGMENT'!$BE$8:$BE$150),('ANALYSE - ERP =&gt; SOUS-SEGMENT'!$BP$8:$BP$150))/SUMPRODUCT(($T$4:$T$106),('ANALYSE - ERP =&gt; SOUS-SEGMENT'!$BE$8:$BE$150),100),"")</f>
        <v/>
      </c>
      <c r="J3" s="790" t="str">
        <f>IFERROR(SUMPRODUCT(($T$4:$T$106),('ANALYSE - ERP =&gt; SOUS-SEGMENT'!$BE$8:$BE$150),('ANALYSE - ERP =&gt; SOUS-SEGMENT'!$BQ$8:$BQ$150))/SUMPRODUCT(($T$4:$T$106),('ANALYSE - ERP =&gt; SOUS-SEGMENT'!$BE$8:$BE$150),100),"")</f>
        <v/>
      </c>
      <c r="K3" s="790" t="str">
        <f>IFERROR(SUMPRODUCT(($T$4:$T$106),('ANALYSE - ERP =&gt; SOUS-SEGMENT'!$BE$8:$BE$150),('ANALYSE - ERP =&gt; SOUS-SEGMENT'!$BR$8:$BR$150))/SUMPRODUCT(($T$4:$T$106),('ANALYSE - ERP =&gt; SOUS-SEGMENT'!$BE$8:$BE$150),100),"")</f>
        <v/>
      </c>
      <c r="M3" s="790" t="str">
        <f>IFERROR(SUMPRODUCT(($T$4:$T$106),('ANALYSE - ERP =&gt; SOUS-SEGMENT'!$BJ$8:$BJ$150),('ANALYSE - ERP =&gt; SOUS-SEGMENT'!$BS$8:$BS$150))/SUMPRODUCT(($T$4:$T$106),('ANALYSE - ERP =&gt; SOUS-SEGMENT'!$BJ$8:$BJ$150),100),"")</f>
        <v/>
      </c>
      <c r="N3" s="790" t="str">
        <f>IFERROR(SUMPRODUCT(($T$4:$T$106),('ANALYSE - ERP =&gt; SOUS-SEGMENT'!$BJ$8:$BJ$150),('ANALYSE - ERP =&gt; SOUS-SEGMENT'!$BT$8:$BT$150))/SUMPRODUCT(($T$4:$T$106),('ANALYSE - ERP =&gt; SOUS-SEGMENT'!$BJ$8:$BJ$150),100),"")</f>
        <v/>
      </c>
      <c r="O3" s="790" t="str">
        <f>IFERROR(SUMPRODUCT(($T$4:$T$106),('ANALYSE - ERP =&gt; SOUS-SEGMENT'!$BJ$8:$BJ$150),('ANALYSE - ERP =&gt; SOUS-SEGMENT'!$BU$8:$BU$150))/SUMPRODUCT(($T$4:$T$106),('ANALYSE - ERP =&gt; SOUS-SEGMENT'!$BJ$8:$BJ$150),100),"")</f>
        <v/>
      </c>
      <c r="P3" s="790" t="str">
        <f>IFERROR(SUMPRODUCT(($T$4:$T$106),('ANALYSE - ERP =&gt; SOUS-SEGMENT'!$BJ$8:$BJ$150),('ANALYSE - ERP =&gt; SOUS-SEGMENT'!$BV$8:$BV$150))/SUMPRODUCT(($T$4:$T$106),('ANALYSE - ERP =&gt; SOUS-SEGMENT'!$BJ$8:$BJ$150),100),"")</f>
        <v/>
      </c>
      <c r="R3" s="790"/>
      <c r="S3" s="984" t="e">
        <f>SUMPRODUCT(($T$4:$T$106),('ANALYSE - ERP =&gt; SOUS-SEGMENT'!$BJ$8:$BJ$150))</f>
        <v>#REF!</v>
      </c>
      <c r="T3" s="428">
        <f>SUM('ANALYSE - ERP =&gt; SOUS-SEGMENT'!$Q$8:$Q$150)</f>
        <v>137</v>
      </c>
    </row>
    <row r="4" spans="1:44" ht="15" customHeight="1">
      <c r="A4" s="26">
        <v>1</v>
      </c>
      <c r="B4" s="26">
        <v>1</v>
      </c>
      <c r="C4" s="422">
        <f>'ANALYSE - ERP =&gt; SOUS-SEGMENT'!$A$124</f>
        <v>117</v>
      </c>
      <c r="D4" s="413" t="str">
        <f>'ANALYSE - ERP =&gt; SOUS-SEGMENT'!$B$124</f>
        <v>Transport, Mobilité &amp; Stationnement</v>
      </c>
      <c r="E4" s="413" t="str">
        <f>'ANALYSE - ERP =&gt; SOUS-SEGMENT'!$C$124</f>
        <v>Transport / Mobilité</v>
      </c>
      <c r="F4" s="413" t="str">
        <f>'ANALYSE - ERP =&gt; SOUS-SEGMENT'!$D$124</f>
        <v>Aéroports / aérogares
(&gt;1 000 passagers/an)</v>
      </c>
      <c r="H4" s="787">
        <f>'ANALYSE - ERP =&gt; SOUS-SEGMENT'!$BO$124</f>
        <v>0.1</v>
      </c>
      <c r="I4" s="787">
        <f>'ANALYSE - ERP =&gt; SOUS-SEGMENT'!$BP$124</f>
        <v>0.47</v>
      </c>
      <c r="J4" s="787">
        <f>'ANALYSE - ERP =&gt; SOUS-SEGMENT'!$BQ$124</f>
        <v>0.38</v>
      </c>
      <c r="K4" s="787">
        <f>'ANALYSE - ERP =&gt; SOUS-SEGMENT'!$BR$124</f>
        <v>0.05</v>
      </c>
      <c r="M4" s="787">
        <f>'ANALYSE - ERP =&gt; SOUS-SEGMENT'!$BS$124</f>
        <v>0.08</v>
      </c>
      <c r="N4" s="787">
        <f>'ANALYSE - ERP =&gt; SOUS-SEGMENT'!$BT$124</f>
        <v>0.47</v>
      </c>
      <c r="O4" s="787">
        <f>'ANALYSE - ERP =&gt; SOUS-SEGMENT'!$BU$124</f>
        <v>0.42</v>
      </c>
      <c r="P4" s="787">
        <f>'ANALYSE - ERP =&gt; SOUS-SEGMENT'!$BV$124</f>
        <v>0.03</v>
      </c>
      <c r="R4" s="791" t="s">
        <v>7719</v>
      </c>
      <c r="S4" s="424">
        <f>'ANALYSE - ERP =&gt; SOUS-SEGMENT'!$BJ$124</f>
        <v>5600</v>
      </c>
      <c r="T4" s="430">
        <f>'ANALYSE - ERP =&gt; SOUS-SEGMENT'!$Q$124</f>
        <v>1</v>
      </c>
    </row>
    <row r="5" spans="1:44" ht="15" customHeight="1">
      <c r="A5" s="26">
        <v>2</v>
      </c>
      <c r="B5" s="26">
        <v>2</v>
      </c>
      <c r="C5" s="422">
        <f>'ANALYSE - ERP =&gt; SOUS-SEGMENT'!$A$79</f>
        <v>72</v>
      </c>
      <c r="D5" s="408" t="str">
        <f>'ANALYSE - ERP =&gt; SOUS-SEGMENT'!$B$79</f>
        <v>Commerce, Restauration &amp; Loisirs</v>
      </c>
      <c r="E5" s="408" t="str">
        <f>'ANALYSE - ERP =&gt; SOUS-SEGMENT'!$C$79</f>
        <v>Commerce</v>
      </c>
      <c r="F5" s="408" t="str">
        <f>'ANALYSE - ERP =&gt; SOUS-SEGMENT'!$D$79</f>
        <v>Centres commerciaux / Malls
(dotés de sanitaires collectifs clients)</v>
      </c>
      <c r="H5" s="787">
        <f>'ANALYSE - ERP =&gt; SOUS-SEGMENT'!$BO$79</f>
        <v>0.3</v>
      </c>
      <c r="I5" s="787">
        <f>'ANALYSE - ERP =&gt; SOUS-SEGMENT'!$BP$79</f>
        <v>0.45</v>
      </c>
      <c r="J5" s="787">
        <f>'ANALYSE - ERP =&gt; SOUS-SEGMENT'!$BQ$79</f>
        <v>0.2</v>
      </c>
      <c r="K5" s="787">
        <f>'ANALYSE - ERP =&gt; SOUS-SEGMENT'!$BR$79</f>
        <v>0.05</v>
      </c>
      <c r="M5" s="787">
        <f>'ANALYSE - ERP =&gt; SOUS-SEGMENT'!$BS$79</f>
        <v>0.26</v>
      </c>
      <c r="N5" s="787">
        <f>'ANALYSE - ERP =&gt; SOUS-SEGMENT'!$BT$79</f>
        <v>0.44</v>
      </c>
      <c r="O5" s="787">
        <f>'ANALYSE - ERP =&gt; SOUS-SEGMENT'!$BU$79</f>
        <v>0.26</v>
      </c>
      <c r="P5" s="787">
        <f>'ANALYSE - ERP =&gt; SOUS-SEGMENT'!$BV$79</f>
        <v>0.04</v>
      </c>
      <c r="R5" s="791" t="s">
        <v>7719</v>
      </c>
      <c r="S5" s="424">
        <f>'ANALYSE - ERP =&gt; SOUS-SEGMENT'!$BJ$79</f>
        <v>67600</v>
      </c>
      <c r="T5" s="430">
        <f>'ANALYSE - ERP =&gt; SOUS-SEGMENT'!$Q$79</f>
        <v>1</v>
      </c>
    </row>
    <row r="6" spans="1:44" ht="15" customHeight="1">
      <c r="A6" s="26">
        <v>3</v>
      </c>
      <c r="B6" s="26">
        <v>3</v>
      </c>
      <c r="C6" s="422">
        <f>'ANALYSE - ERP =&gt; SOUS-SEGMENT'!$A$125</f>
        <v>118</v>
      </c>
      <c r="D6" s="413" t="str">
        <f>'ANALYSE - ERP =&gt; SOUS-SEGMENT'!$B$125</f>
        <v>Transport, Mobilité &amp; Stationnement</v>
      </c>
      <c r="E6" s="413" t="str">
        <f>'ANALYSE - ERP =&gt; SOUS-SEGMENT'!$C$125</f>
        <v>Transport / Mobilité</v>
      </c>
      <c r="F6" s="413" t="str">
        <f>'ANALYSE - ERP =&gt; SOUS-SEGMENT'!$D$125</f>
        <v>Gares ferroviaires et stations
(dotés de sanitaires)</v>
      </c>
      <c r="H6" s="787">
        <f>'ANALYSE - ERP =&gt; SOUS-SEGMENT'!$BO$125</f>
        <v>0.1</v>
      </c>
      <c r="I6" s="787">
        <f>'ANALYSE - ERP =&gt; SOUS-SEGMENT'!$BP$125</f>
        <v>0.76</v>
      </c>
      <c r="J6" s="787">
        <f>'ANALYSE - ERP =&gt; SOUS-SEGMENT'!$BQ$125</f>
        <v>0.08</v>
      </c>
      <c r="K6" s="787">
        <f>'ANALYSE - ERP =&gt; SOUS-SEGMENT'!$BR$125</f>
        <v>0.06</v>
      </c>
      <c r="M6" s="787">
        <f>'ANALYSE - ERP =&gt; SOUS-SEGMENT'!$BS$125</f>
        <v>0.08</v>
      </c>
      <c r="N6" s="787">
        <f>'ANALYSE - ERP =&gt; SOUS-SEGMENT'!$BT$125</f>
        <v>0.76</v>
      </c>
      <c r="O6" s="787">
        <f>'ANALYSE - ERP =&gt; SOUS-SEGMENT'!$BU$125</f>
        <v>0.1</v>
      </c>
      <c r="P6" s="787">
        <f>'ANALYSE - ERP =&gt; SOUS-SEGMENT'!$BV$125</f>
        <v>0.06</v>
      </c>
      <c r="R6" s="791" t="s">
        <v>7719</v>
      </c>
      <c r="S6" s="424">
        <f>'ANALYSE - ERP =&gt; SOUS-SEGMENT'!$BJ$125</f>
        <v>29700</v>
      </c>
      <c r="T6" s="430">
        <f>'ANALYSE - ERP =&gt; SOUS-SEGMENT'!$Q$125</f>
        <v>1</v>
      </c>
    </row>
    <row r="7" spans="1:44" ht="15" customHeight="1">
      <c r="A7" s="26">
        <v>4</v>
      </c>
      <c r="B7" s="26">
        <v>4</v>
      </c>
      <c r="C7" s="422">
        <f>'ANALYSE - ERP =&gt; SOUS-SEGMENT'!$A$127</f>
        <v>120</v>
      </c>
      <c r="D7" s="413" t="str">
        <f>'ANALYSE - ERP =&gt; SOUS-SEGMENT'!$B$127</f>
        <v>Transport, Mobilité &amp; Stationnement</v>
      </c>
      <c r="E7" s="413" t="str">
        <f>'ANALYSE - ERP =&gt; SOUS-SEGMENT'!$C$127</f>
        <v>Transport / Mobilité</v>
      </c>
      <c r="F7" s="413" t="str">
        <f>'ANALYSE - ERP =&gt; SOUS-SEGMENT'!$D$127</f>
        <v>Terminaux maritimes / fluviaux</v>
      </c>
      <c r="H7" s="787">
        <f>'ANALYSE - ERP =&gt; SOUS-SEGMENT'!$BO$127</f>
        <v>0.12</v>
      </c>
      <c r="I7" s="787">
        <f>'ANALYSE - ERP =&gt; SOUS-SEGMENT'!$BP$127</f>
        <v>0.57999999999999996</v>
      </c>
      <c r="J7" s="787">
        <f>'ANALYSE - ERP =&gt; SOUS-SEGMENT'!$BQ$127</f>
        <v>0.25</v>
      </c>
      <c r="K7" s="787">
        <f>'ANALYSE - ERP =&gt; SOUS-SEGMENT'!$BR$127</f>
        <v>0.05</v>
      </c>
      <c r="M7" s="787">
        <f>'ANALYSE - ERP =&gt; SOUS-SEGMENT'!$BS$127</f>
        <v>0.1</v>
      </c>
      <c r="N7" s="787">
        <f>'ANALYSE - ERP =&gt; SOUS-SEGMENT'!$BT$127</f>
        <v>0.57999999999999996</v>
      </c>
      <c r="O7" s="787">
        <f>'ANALYSE - ERP =&gt; SOUS-SEGMENT'!$BU$127</f>
        <v>0.28999999999999998</v>
      </c>
      <c r="P7" s="787">
        <f>'ANALYSE - ERP =&gt; SOUS-SEGMENT'!$BV$127</f>
        <v>0.03</v>
      </c>
      <c r="R7" s="791" t="s">
        <v>7719</v>
      </c>
      <c r="S7" s="424">
        <f>'ANALYSE - ERP =&gt; SOUS-SEGMENT'!$BJ$127</f>
        <v>3375</v>
      </c>
      <c r="T7" s="430">
        <f>'ANALYSE - ERP =&gt; SOUS-SEGMENT'!$Q$127</f>
        <v>1</v>
      </c>
    </row>
    <row r="8" spans="1:44" ht="15" customHeight="1">
      <c r="A8" s="26">
        <v>5</v>
      </c>
      <c r="B8" s="26">
        <v>5</v>
      </c>
      <c r="C8" s="422">
        <f>'ANALYSE - ERP =&gt; SOUS-SEGMENT'!$A$121</f>
        <v>114</v>
      </c>
      <c r="D8" s="413" t="str">
        <f>'ANALYSE - ERP =&gt; SOUS-SEGMENT'!$B$121</f>
        <v>Transport, Mobilité &amp; Stationnement</v>
      </c>
      <c r="E8" s="413" t="str">
        <f>'ANALYSE - ERP =&gt; SOUS-SEGMENT'!$C$121</f>
        <v>Transport / Mobilité</v>
      </c>
      <c r="F8" s="413" t="str">
        <f>'ANALYSE - ERP =&gt; SOUS-SEGMENT'!$D$121</f>
        <v>Aires de service - Autoroutes
(Hors Aires de repos)</v>
      </c>
      <c r="H8" s="787">
        <f>'ANALYSE - ERP =&gt; SOUS-SEGMENT'!$BO$121</f>
        <v>0.12</v>
      </c>
      <c r="I8" s="787">
        <f>'ANALYSE - ERP =&gt; SOUS-SEGMENT'!$BP$121</f>
        <v>0.63</v>
      </c>
      <c r="J8" s="787">
        <f>'ANALYSE - ERP =&gt; SOUS-SEGMENT'!$BQ$121</f>
        <v>0.2</v>
      </c>
      <c r="K8" s="787">
        <f>'ANALYSE - ERP =&gt; SOUS-SEGMENT'!$BR$121</f>
        <v>0.05</v>
      </c>
      <c r="M8" s="787">
        <f>'ANALYSE - ERP =&gt; SOUS-SEGMENT'!$BS$121</f>
        <v>0.1</v>
      </c>
      <c r="N8" s="787">
        <f>'ANALYSE - ERP =&gt; SOUS-SEGMENT'!$BT$121</f>
        <v>0.63</v>
      </c>
      <c r="O8" s="787">
        <f>'ANALYSE - ERP =&gt; SOUS-SEGMENT'!$BU$121</f>
        <v>0.24</v>
      </c>
      <c r="P8" s="787">
        <f>'ANALYSE - ERP =&gt; SOUS-SEGMENT'!$BV$121</f>
        <v>0.03</v>
      </c>
      <c r="R8" s="791" t="s">
        <v>7719</v>
      </c>
      <c r="S8" s="424">
        <f>'ANALYSE - ERP =&gt; SOUS-SEGMENT'!$BJ$121</f>
        <v>1840</v>
      </c>
      <c r="T8" s="430">
        <f>'ANALYSE - ERP =&gt; SOUS-SEGMENT'!$Q$121</f>
        <v>1</v>
      </c>
    </row>
    <row r="9" spans="1:44" ht="15" customHeight="1">
      <c r="A9" s="26">
        <v>6</v>
      </c>
      <c r="B9" s="26">
        <v>6</v>
      </c>
      <c r="C9" s="422">
        <f>'ANALYSE - ERP =&gt; SOUS-SEGMENT'!$A$70</f>
        <v>63</v>
      </c>
      <c r="D9" s="414" t="str">
        <f>'ANALYSE - ERP =&gt; SOUS-SEGMENT'!$B$70</f>
        <v>Culture, Patrimoine &amp; Evénementiel</v>
      </c>
      <c r="E9" s="414" t="str">
        <f>'ANALYSE - ERP =&gt; SOUS-SEGMENT'!$C$70</f>
        <v>Expositions / salons</v>
      </c>
      <c r="F9" s="414" t="str">
        <f>'ANALYSE - ERP =&gt; SOUS-SEGMENT'!$D$70</f>
        <v>Foires / Salons</v>
      </c>
      <c r="H9" s="787">
        <f>'ANALYSE - ERP =&gt; SOUS-SEGMENT'!$BO$70</f>
        <v>0.16</v>
      </c>
      <c r="I9" s="787">
        <f>'ANALYSE - ERP =&gt; SOUS-SEGMENT'!$BP$70</f>
        <v>0.56000000000000005</v>
      </c>
      <c r="J9" s="787">
        <f>'ANALYSE - ERP =&gt; SOUS-SEGMENT'!$BQ$70</f>
        <v>0.23</v>
      </c>
      <c r="K9" s="787">
        <f>'ANALYSE - ERP =&gt; SOUS-SEGMENT'!$BR$70</f>
        <v>0.05</v>
      </c>
      <c r="M9" s="787">
        <f>'ANALYSE - ERP =&gt; SOUS-SEGMENT'!$BS$70</f>
        <v>0.14000000000000001</v>
      </c>
      <c r="N9" s="787">
        <f>'ANALYSE - ERP =&gt; SOUS-SEGMENT'!$BT$70</f>
        <v>0.56000000000000005</v>
      </c>
      <c r="O9" s="787">
        <f>'ANALYSE - ERP =&gt; SOUS-SEGMENT'!$BU$70</f>
        <v>0.27</v>
      </c>
      <c r="P9" s="787">
        <f>'ANALYSE - ERP =&gt; SOUS-SEGMENT'!$BV$70</f>
        <v>0.03</v>
      </c>
      <c r="R9" s="791" t="s">
        <v>7719</v>
      </c>
      <c r="S9" s="424">
        <f>'ANALYSE - ERP =&gt; SOUS-SEGMENT'!$BJ$70</f>
        <v>13160</v>
      </c>
      <c r="T9" s="430">
        <f>'ANALYSE - ERP =&gt; SOUS-SEGMENT'!$Q$70</f>
        <v>1</v>
      </c>
    </row>
    <row r="10" spans="1:44" ht="15" customHeight="1">
      <c r="A10" s="26">
        <v>7</v>
      </c>
      <c r="B10" s="26">
        <v>7</v>
      </c>
      <c r="C10" s="422">
        <f>'ANALYSE - ERP =&gt; SOUS-SEGMENT'!$A$71</f>
        <v>64</v>
      </c>
      <c r="D10" s="414" t="str">
        <f>'ANALYSE - ERP =&gt; SOUS-SEGMENT'!$B$71</f>
        <v>Culture, Patrimoine &amp; Evénementiel</v>
      </c>
      <c r="E10" s="414" t="str">
        <f>'ANALYSE - ERP =&gt; SOUS-SEGMENT'!$C$71</f>
        <v>Expositions / salons</v>
      </c>
      <c r="F10" s="414" t="str">
        <f>'ANALYSE - ERP =&gt; SOUS-SEGMENT'!$D$71</f>
        <v>Halls d’exposition</v>
      </c>
      <c r="H10" s="787">
        <f>'ANALYSE - ERP =&gt; SOUS-SEGMENT'!$BO$71</f>
        <v>0.16</v>
      </c>
      <c r="I10" s="787">
        <f>'ANALYSE - ERP =&gt; SOUS-SEGMENT'!$BP$71</f>
        <v>0.56000000000000005</v>
      </c>
      <c r="J10" s="787">
        <f>'ANALYSE - ERP =&gt; SOUS-SEGMENT'!$BQ$71</f>
        <v>0.23</v>
      </c>
      <c r="K10" s="787">
        <f>'ANALYSE - ERP =&gt; SOUS-SEGMENT'!$BR$71</f>
        <v>0.05</v>
      </c>
      <c r="M10" s="787">
        <f>'ANALYSE - ERP =&gt; SOUS-SEGMENT'!$BS$71</f>
        <v>0.14000000000000001</v>
      </c>
      <c r="N10" s="787">
        <f>'ANALYSE - ERP =&gt; SOUS-SEGMENT'!$BT$71</f>
        <v>0.56000000000000005</v>
      </c>
      <c r="O10" s="787">
        <f>'ANALYSE - ERP =&gt; SOUS-SEGMENT'!$BU$71</f>
        <v>0.27</v>
      </c>
      <c r="P10" s="787">
        <f>'ANALYSE - ERP =&gt; SOUS-SEGMENT'!$BV$71</f>
        <v>0.03</v>
      </c>
      <c r="R10" s="791" t="s">
        <v>7719</v>
      </c>
      <c r="S10" s="424">
        <f>'ANALYSE - ERP =&gt; SOUS-SEGMENT'!$BJ$71</f>
        <v>2646</v>
      </c>
      <c r="T10" s="430">
        <f>'ANALYSE - ERP =&gt; SOUS-SEGMENT'!$Q$71</f>
        <v>1</v>
      </c>
    </row>
    <row r="11" spans="1:44" s="45" customFormat="1" ht="15" customHeight="1">
      <c r="A11" s="26">
        <v>8</v>
      </c>
      <c r="B11" s="26">
        <v>8</v>
      </c>
      <c r="C11" s="422">
        <f>'ANALYSE - ERP =&gt; SOUS-SEGMENT'!$A$122</f>
        <v>115</v>
      </c>
      <c r="D11" s="413" t="str">
        <f>'ANALYSE - ERP =&gt; SOUS-SEGMENT'!$B$122</f>
        <v>Transport, Mobilité &amp; Stationnement</v>
      </c>
      <c r="E11" s="413" t="str">
        <f>'ANALYSE - ERP =&gt; SOUS-SEGMENT'!$C$122</f>
        <v>Transport / Mobilité</v>
      </c>
      <c r="F11" s="413" t="str">
        <f>'ANALYSE - ERP =&gt; SOUS-SEGMENT'!$D$122</f>
        <v>Aires de repos - Autoroutes
(Hors Aires de service)</v>
      </c>
      <c r="G11" s="685"/>
      <c r="H11" s="787">
        <f>'ANALYSE - ERP =&gt; SOUS-SEGMENT'!$BO$122</f>
        <v>0.1</v>
      </c>
      <c r="I11" s="787">
        <f>'ANALYSE - ERP =&gt; SOUS-SEGMENT'!$BP$122</f>
        <v>0.72</v>
      </c>
      <c r="J11" s="787">
        <f>'ANALYSE - ERP =&gt; SOUS-SEGMENT'!$BQ$122</f>
        <v>0.14000000000000001</v>
      </c>
      <c r="K11" s="787">
        <f>'ANALYSE - ERP =&gt; SOUS-SEGMENT'!$BR$122</f>
        <v>0.04</v>
      </c>
      <c r="L11" s="685"/>
      <c r="M11" s="787">
        <f>'ANALYSE - ERP =&gt; SOUS-SEGMENT'!$BS$122</f>
        <v>0.09</v>
      </c>
      <c r="N11" s="787">
        <f>'ANALYSE - ERP =&gt; SOUS-SEGMENT'!$BT$122</f>
        <v>0.72</v>
      </c>
      <c r="O11" s="787">
        <f>'ANALYSE - ERP =&gt; SOUS-SEGMENT'!$BU$122</f>
        <v>0.16</v>
      </c>
      <c r="P11" s="787">
        <f>'ANALYSE - ERP =&gt; SOUS-SEGMENT'!$BV$122</f>
        <v>0.03</v>
      </c>
      <c r="Q11" s="685"/>
      <c r="R11" s="791" t="s">
        <v>7719</v>
      </c>
      <c r="S11" s="424">
        <f>'ANALYSE - ERP =&gt; SOUS-SEGMENT'!$BJ$122</f>
        <v>10836</v>
      </c>
      <c r="T11" s="430">
        <f>'ANALYSE - ERP =&gt; SOUS-SEGMENT'!$Q$122</f>
        <v>1</v>
      </c>
      <c r="U11" s="685"/>
      <c r="V11" s="685"/>
      <c r="W11" s="685"/>
      <c r="X11" s="685"/>
      <c r="Y11" s="685"/>
      <c r="Z11" s="685"/>
      <c r="AA11" s="685"/>
      <c r="AB11" s="685"/>
      <c r="AC11" s="685"/>
      <c r="AD11" s="685"/>
      <c r="AE11" s="685"/>
      <c r="AF11" s="685"/>
      <c r="AG11" s="685"/>
      <c r="AH11" s="685"/>
      <c r="AI11" s="685"/>
      <c r="AJ11" s="685"/>
      <c r="AK11" s="685"/>
      <c r="AL11" s="685"/>
      <c r="AM11" s="685"/>
      <c r="AN11" s="685"/>
      <c r="AO11" s="685"/>
      <c r="AP11" s="685"/>
      <c r="AQ11" s="685"/>
      <c r="AR11" s="685"/>
    </row>
    <row r="12" spans="1:44" ht="15" customHeight="1">
      <c r="A12" s="26">
        <v>9</v>
      </c>
      <c r="B12" s="26">
        <v>9</v>
      </c>
      <c r="C12" s="422">
        <f>'ANALYSE - ERP =&gt; SOUS-SEGMENT'!$A$82</f>
        <v>75</v>
      </c>
      <c r="D12" s="416" t="str">
        <f>'ANALYSE - ERP =&gt; SOUS-SEGMENT'!$B$82</f>
        <v>Tertiaire &amp; Industriel</v>
      </c>
      <c r="E12" s="416" t="str">
        <f>'ANALYSE - ERP =&gt; SOUS-SEGMENT'!$C$82</f>
        <v>Bureaux</v>
      </c>
      <c r="F12" s="416" t="str">
        <f>'ANALYSE - ERP =&gt; SOUS-SEGMENT'!$D$82</f>
        <v>Bureaux Tertiaire Privé (&gt;50 salariés)
(hors usines et logistique )</v>
      </c>
      <c r="H12" s="787">
        <f>'ANALYSE - ERP =&gt; SOUS-SEGMENT'!$BO$82</f>
        <v>0.43</v>
      </c>
      <c r="I12" s="787">
        <f>'ANALYSE - ERP =&gt; SOUS-SEGMENT'!$BP$82</f>
        <v>0.35</v>
      </c>
      <c r="J12" s="787">
        <f>'ANALYSE - ERP =&gt; SOUS-SEGMENT'!$BQ$82</f>
        <v>0.17</v>
      </c>
      <c r="K12" s="787">
        <f>'ANALYSE - ERP =&gt; SOUS-SEGMENT'!$BR$82</f>
        <v>0.05</v>
      </c>
      <c r="M12" s="787">
        <f>'ANALYSE - ERP =&gt; SOUS-SEGMENT'!$BS$82</f>
        <v>0.36</v>
      </c>
      <c r="N12" s="787">
        <f>'ANALYSE - ERP =&gt; SOUS-SEGMENT'!$BT$82</f>
        <v>0.36</v>
      </c>
      <c r="O12" s="787">
        <f>'ANALYSE - ERP =&gt; SOUS-SEGMENT'!$BU$82</f>
        <v>0.24</v>
      </c>
      <c r="P12" s="787">
        <f>'ANALYSE - ERP =&gt; SOUS-SEGMENT'!$BV$82</f>
        <v>0.04</v>
      </c>
      <c r="R12" s="791" t="s">
        <v>7719</v>
      </c>
      <c r="S12" s="424">
        <f>'ANALYSE - ERP =&gt; SOUS-SEGMENT'!$BJ$82</f>
        <v>607200</v>
      </c>
      <c r="T12" s="430">
        <f>'ANALYSE - ERP =&gt; SOUS-SEGMENT'!$Q$82</f>
        <v>1</v>
      </c>
    </row>
    <row r="13" spans="1:44" ht="15" customHeight="1">
      <c r="A13" s="26">
        <v>10</v>
      </c>
      <c r="B13" s="26">
        <v>12</v>
      </c>
      <c r="C13" s="422">
        <f>'ANALYSE - ERP =&gt; SOUS-SEGMENT'!$A$133</f>
        <v>126</v>
      </c>
      <c r="D13" s="417" t="str">
        <f>'ANALYSE - ERP =&gt; SOUS-SEGMENT'!$B$133</f>
        <v>Sécurité &amp; Justice</v>
      </c>
      <c r="E13" s="417" t="str">
        <f>'ANALYSE - ERP =&gt; SOUS-SEGMENT'!$C$133</f>
        <v xml:space="preserve">Commissariats / postes de police </v>
      </c>
      <c r="F13" s="417" t="str">
        <f>'ANALYSE - ERP =&gt; SOUS-SEGMENT'!$D$133</f>
        <v>Postes de proximité et antennes avec accueil public</v>
      </c>
      <c r="H13" s="787">
        <f>'ANALYSE - ERP =&gt; SOUS-SEGMENT'!$BO$133</f>
        <v>0.12</v>
      </c>
      <c r="I13" s="787">
        <f>'ANALYSE - ERP =&gt; SOUS-SEGMENT'!$BP$133</f>
        <v>0.72</v>
      </c>
      <c r="J13" s="787">
        <f>'ANALYSE - ERP =&gt; SOUS-SEGMENT'!$BQ$133</f>
        <v>0.12</v>
      </c>
      <c r="K13" s="787">
        <f>'ANALYSE - ERP =&gt; SOUS-SEGMENT'!$BR$133</f>
        <v>0.04</v>
      </c>
      <c r="M13" s="787">
        <f>'ANALYSE - ERP =&gt; SOUS-SEGMENT'!$BS$133</f>
        <v>0.1</v>
      </c>
      <c r="N13" s="787">
        <f>'ANALYSE - ERP =&gt; SOUS-SEGMENT'!$BT$133</f>
        <v>0.72</v>
      </c>
      <c r="O13" s="787">
        <f>'ANALYSE - ERP =&gt; SOUS-SEGMENT'!$BU$133</f>
        <v>0.15</v>
      </c>
      <c r="P13" s="787">
        <f>'ANALYSE - ERP =&gt; SOUS-SEGMENT'!$BV$133</f>
        <v>0.03</v>
      </c>
      <c r="R13" s="791" t="s">
        <v>7719</v>
      </c>
      <c r="S13" s="424">
        <f>'ANALYSE - ERP =&gt; SOUS-SEGMENT'!$BJ$133</f>
        <v>100</v>
      </c>
      <c r="T13" s="430">
        <f>'ANALYSE - ERP =&gt; SOUS-SEGMENT'!$Q$133</f>
        <v>1</v>
      </c>
    </row>
    <row r="14" spans="1:44" ht="15" customHeight="1">
      <c r="A14" s="26">
        <v>11</v>
      </c>
      <c r="B14" s="26">
        <v>13</v>
      </c>
      <c r="C14" s="422">
        <f>'ANALYSE - ERP =&gt; SOUS-SEGMENT'!$A$137</f>
        <v>130</v>
      </c>
      <c r="D14" s="417" t="str">
        <f>'ANALYSE - ERP =&gt; SOUS-SEGMENT'!$B$137</f>
        <v>Sécurité &amp; Justice</v>
      </c>
      <c r="E14" s="417" t="str">
        <f>'ANALYSE - ERP =&gt; SOUS-SEGMENT'!$C$137</f>
        <v>Forces armées</v>
      </c>
      <c r="F14" s="417" t="str">
        <f>'ANALYSE - ERP =&gt; SOUS-SEGMENT'!$D$137</f>
        <v>Restaurants ou équipements sportifs ouverts au public sur emprise militaire</v>
      </c>
      <c r="H14" s="787">
        <f>'ANALYSE - ERP =&gt; SOUS-SEGMENT'!$BO$137</f>
        <v>0.12</v>
      </c>
      <c r="I14" s="787">
        <f>'ANALYSE - ERP =&gt; SOUS-SEGMENT'!$BP$137</f>
        <v>0.72</v>
      </c>
      <c r="J14" s="787">
        <f>'ANALYSE - ERP =&gt; SOUS-SEGMENT'!$BQ$137</f>
        <v>0.12</v>
      </c>
      <c r="K14" s="787">
        <f>'ANALYSE - ERP =&gt; SOUS-SEGMENT'!$BR$137</f>
        <v>0.04</v>
      </c>
      <c r="M14" s="787">
        <f>'ANALYSE - ERP =&gt; SOUS-SEGMENT'!$BS$137</f>
        <v>0.1</v>
      </c>
      <c r="N14" s="787">
        <f>'ANALYSE - ERP =&gt; SOUS-SEGMENT'!$BT$137</f>
        <v>0.72</v>
      </c>
      <c r="O14" s="787">
        <f>'ANALYSE - ERP =&gt; SOUS-SEGMENT'!$BU$137</f>
        <v>0.15</v>
      </c>
      <c r="P14" s="787">
        <f>'ANALYSE - ERP =&gt; SOUS-SEGMENT'!$BV$137</f>
        <v>0.03</v>
      </c>
      <c r="R14" s="791" t="s">
        <v>7719</v>
      </c>
      <c r="S14" s="424">
        <f>'ANALYSE - ERP =&gt; SOUS-SEGMENT'!$BJ$137</f>
        <v>1200</v>
      </c>
      <c r="T14" s="430">
        <f>'ANALYSE - ERP =&gt; SOUS-SEGMENT'!$Q$137</f>
        <v>1</v>
      </c>
    </row>
    <row r="15" spans="1:44" ht="15" customHeight="1">
      <c r="A15" s="26">
        <v>12</v>
      </c>
      <c r="B15" s="26">
        <v>11</v>
      </c>
      <c r="C15" s="422">
        <f>'ANALYSE - ERP =&gt; SOUS-SEGMENT'!$A$77</f>
        <v>70</v>
      </c>
      <c r="D15" s="408" t="str">
        <f>'ANALYSE - ERP =&gt; SOUS-SEGMENT'!$B$77</f>
        <v>Commerce, Restauration &amp; Loisirs</v>
      </c>
      <c r="E15" s="408" t="str">
        <f>'ANALYSE - ERP =&gt; SOUS-SEGMENT'!$C$77</f>
        <v>Restauration / boissons</v>
      </c>
      <c r="F15" s="408" t="str">
        <f>'ANALYSE - ERP =&gt; SOUS-SEGMENT'!$D$77</f>
        <v>Fast-food / Cafétérias / Food courts</v>
      </c>
      <c r="H15" s="787">
        <f>'ANALYSE - ERP =&gt; SOUS-SEGMENT'!$BO$77</f>
        <v>0.18</v>
      </c>
      <c r="I15" s="787">
        <f>'ANALYSE - ERP =&gt; SOUS-SEGMENT'!$BP$77</f>
        <v>0.6</v>
      </c>
      <c r="J15" s="787">
        <f>'ANALYSE - ERP =&gt; SOUS-SEGMENT'!$BQ$77</f>
        <v>0.18</v>
      </c>
      <c r="K15" s="787">
        <f>'ANALYSE - ERP =&gt; SOUS-SEGMENT'!$BR$77</f>
        <v>0.04</v>
      </c>
      <c r="M15" s="787">
        <f>'ANALYSE - ERP =&gt; SOUS-SEGMENT'!$BS$77</f>
        <v>0.16</v>
      </c>
      <c r="N15" s="787">
        <f>'ANALYSE - ERP =&gt; SOUS-SEGMENT'!$BT$77</f>
        <v>0.6</v>
      </c>
      <c r="O15" s="787">
        <f>'ANALYSE - ERP =&gt; SOUS-SEGMENT'!$BU$77</f>
        <v>0.21</v>
      </c>
      <c r="P15" s="787">
        <f>'ANALYSE - ERP =&gt; SOUS-SEGMENT'!$BV$77</f>
        <v>0.03</v>
      </c>
      <c r="R15" s="791" t="s">
        <v>7719</v>
      </c>
      <c r="S15" s="424">
        <f>'ANALYSE - ERP =&gt; SOUS-SEGMENT'!$BJ$77</f>
        <v>270622</v>
      </c>
      <c r="T15" s="430">
        <f>'ANALYSE - ERP =&gt; SOUS-SEGMENT'!$Q$77</f>
        <v>1</v>
      </c>
    </row>
    <row r="16" spans="1:44" ht="15" customHeight="1">
      <c r="A16" s="26">
        <v>13</v>
      </c>
      <c r="B16" s="26">
        <v>10</v>
      </c>
      <c r="C16" s="422">
        <f>'ANALYSE - ERP =&gt; SOUS-SEGMENT'!$A$123</f>
        <v>116</v>
      </c>
      <c r="D16" s="413" t="str">
        <f>'ANALYSE - ERP =&gt; SOUS-SEGMENT'!$B$123</f>
        <v>Transport, Mobilité &amp; Stationnement</v>
      </c>
      <c r="E16" s="413" t="str">
        <f>'ANALYSE - ERP =&gt; SOUS-SEGMENT'!$C$123</f>
        <v>Transport / Mobilité</v>
      </c>
      <c r="F16" s="413" t="str">
        <f>'ANALYSE - ERP =&gt; SOUS-SEGMENT'!$D$123</f>
        <v>Parcs de stationnement couverts (dotés de sanitaires)</v>
      </c>
      <c r="H16" s="787">
        <f>'ANALYSE - ERP =&gt; SOUS-SEGMENT'!$BO$123</f>
        <v>0.1</v>
      </c>
      <c r="I16" s="787">
        <f>'ANALYSE - ERP =&gt; SOUS-SEGMENT'!$BP$123</f>
        <v>0.76</v>
      </c>
      <c r="J16" s="787">
        <f>'ANALYSE - ERP =&gt; SOUS-SEGMENT'!$BQ$123</f>
        <v>0.08</v>
      </c>
      <c r="K16" s="787">
        <f>'ANALYSE - ERP =&gt; SOUS-SEGMENT'!$BR$123</f>
        <v>0.06</v>
      </c>
      <c r="M16" s="787">
        <f>'ANALYSE - ERP =&gt; SOUS-SEGMENT'!$BS$123</f>
        <v>0.08</v>
      </c>
      <c r="N16" s="787">
        <f>'ANALYSE - ERP =&gt; SOUS-SEGMENT'!$BT$123</f>
        <v>0.76</v>
      </c>
      <c r="O16" s="787">
        <f>'ANALYSE - ERP =&gt; SOUS-SEGMENT'!$BU$123</f>
        <v>0.1</v>
      </c>
      <c r="P16" s="787">
        <f>'ANALYSE - ERP =&gt; SOUS-SEGMENT'!$BV$123</f>
        <v>0.06</v>
      </c>
      <c r="R16" s="791" t="s">
        <v>7719</v>
      </c>
      <c r="S16" s="424">
        <f>'ANALYSE - ERP =&gt; SOUS-SEGMENT'!$BJ$123</f>
        <v>1076</v>
      </c>
      <c r="T16" s="430">
        <f>'ANALYSE - ERP =&gt; SOUS-SEGMENT'!$Q$123</f>
        <v>1</v>
      </c>
    </row>
    <row r="17" spans="1:20" ht="15" customHeight="1">
      <c r="A17" s="26">
        <v>14</v>
      </c>
      <c r="B17" s="26">
        <v>14</v>
      </c>
      <c r="C17" s="422">
        <f>'ANALYSE - ERP =&gt; SOUS-SEGMENT'!$A$65</f>
        <v>58</v>
      </c>
      <c r="D17" s="414" t="str">
        <f>'ANALYSE - ERP =&gt; SOUS-SEGMENT'!$B$65</f>
        <v>Culture, Patrimoine &amp; Evénementiel</v>
      </c>
      <c r="E17" s="414" t="str">
        <f>'ANALYSE - ERP =&gt; SOUS-SEGMENT'!$C$65</f>
        <v>Culture / spectacle</v>
      </c>
      <c r="F17" s="414" t="str">
        <f>'ANALYSE - ERP =&gt; SOUS-SEGMENT'!$D$65</f>
        <v>Salles de spectacle / Auditoriums</v>
      </c>
      <c r="H17" s="787">
        <f>'ANALYSE - ERP =&gt; SOUS-SEGMENT'!$BO$65</f>
        <v>0.18</v>
      </c>
      <c r="I17" s="787">
        <f>'ANALYSE - ERP =&gt; SOUS-SEGMENT'!$BP$65</f>
        <v>0.57999999999999996</v>
      </c>
      <c r="J17" s="787">
        <f>'ANALYSE - ERP =&gt; SOUS-SEGMENT'!$BQ$65</f>
        <v>0.19</v>
      </c>
      <c r="K17" s="787">
        <f>'ANALYSE - ERP =&gt; SOUS-SEGMENT'!$BR$65</f>
        <v>0.05</v>
      </c>
      <c r="M17" s="787">
        <f>'ANALYSE - ERP =&gt; SOUS-SEGMENT'!$BS$65</f>
        <v>0.16</v>
      </c>
      <c r="N17" s="787">
        <f>'ANALYSE - ERP =&gt; SOUS-SEGMENT'!$BT$65</f>
        <v>0.57999999999999996</v>
      </c>
      <c r="O17" s="787">
        <f>'ANALYSE - ERP =&gt; SOUS-SEGMENT'!$BU$65</f>
        <v>0.22</v>
      </c>
      <c r="P17" s="787">
        <f>'ANALYSE - ERP =&gt; SOUS-SEGMENT'!$BV$65</f>
        <v>0.04</v>
      </c>
      <c r="R17" s="791" t="s">
        <v>7719</v>
      </c>
      <c r="S17" s="424">
        <f>'ANALYSE - ERP =&gt; SOUS-SEGMENT'!$BJ$65</f>
        <v>19095</v>
      </c>
      <c r="T17" s="430">
        <f>'ANALYSE - ERP =&gt; SOUS-SEGMENT'!$Q$65</f>
        <v>1</v>
      </c>
    </row>
    <row r="18" spans="1:20" ht="15" customHeight="1">
      <c r="A18" s="26">
        <v>15</v>
      </c>
      <c r="B18" s="26">
        <v>15</v>
      </c>
      <c r="C18" s="422">
        <f>'ANALYSE - ERP =&gt; SOUS-SEGMENT'!$A$66</f>
        <v>59</v>
      </c>
      <c r="D18" s="414" t="str">
        <f>'ANALYSE - ERP =&gt; SOUS-SEGMENT'!$B$66</f>
        <v>Culture, Patrimoine &amp; Evénementiel</v>
      </c>
      <c r="E18" s="414" t="str">
        <f>'ANALYSE - ERP =&gt; SOUS-SEGMENT'!$C$66</f>
        <v>Culture / spectacle</v>
      </c>
      <c r="F18" s="414" t="str">
        <f>'ANALYSE - ERP =&gt; SOUS-SEGMENT'!$D$66</f>
        <v>Salles de conférence / Réunion</v>
      </c>
      <c r="H18" s="787">
        <f>'ANALYSE - ERP =&gt; SOUS-SEGMENT'!$BO$66</f>
        <v>0.18</v>
      </c>
      <c r="I18" s="787">
        <f>'ANALYSE - ERP =&gt; SOUS-SEGMENT'!$BP$66</f>
        <v>0.57999999999999996</v>
      </c>
      <c r="J18" s="787">
        <f>'ANALYSE - ERP =&gt; SOUS-SEGMENT'!$BQ$66</f>
        <v>0.19</v>
      </c>
      <c r="K18" s="787">
        <f>'ANALYSE - ERP =&gt; SOUS-SEGMENT'!$BR$66</f>
        <v>0.05</v>
      </c>
      <c r="M18" s="787">
        <f>'ANALYSE - ERP =&gt; SOUS-SEGMENT'!$BS$66</f>
        <v>0.16</v>
      </c>
      <c r="N18" s="787">
        <f>'ANALYSE - ERP =&gt; SOUS-SEGMENT'!$BT$66</f>
        <v>0.57999999999999996</v>
      </c>
      <c r="O18" s="787">
        <f>'ANALYSE - ERP =&gt; SOUS-SEGMENT'!$BU$66</f>
        <v>0.22</v>
      </c>
      <c r="P18" s="787">
        <f>'ANALYSE - ERP =&gt; SOUS-SEGMENT'!$BV$66</f>
        <v>0.04</v>
      </c>
      <c r="R18" s="791" t="s">
        <v>7719</v>
      </c>
      <c r="S18" s="424">
        <f>'ANALYSE - ERP =&gt; SOUS-SEGMENT'!$BJ$66</f>
        <v>44580</v>
      </c>
      <c r="T18" s="430">
        <f>'ANALYSE - ERP =&gt; SOUS-SEGMENT'!$Q$66</f>
        <v>1</v>
      </c>
    </row>
    <row r="19" spans="1:20" ht="15" customHeight="1">
      <c r="A19" s="26">
        <v>16</v>
      </c>
      <c r="B19" s="26">
        <v>16</v>
      </c>
      <c r="C19" s="422">
        <f>'ANALYSE - ERP =&gt; SOUS-SEGMENT'!$A$16</f>
        <v>9</v>
      </c>
      <c r="D19" s="411" t="str">
        <f>'ANALYSE - ERP =&gt; SOUS-SEGMENT'!$B$16</f>
        <v>Enfance, Enseignement, Jeunesse &amp; Formation</v>
      </c>
      <c r="E19" s="411" t="str">
        <f>'ANALYSE - ERP =&gt; SOUS-SEGMENT'!$C$16</f>
        <v>Enseignement supérieur</v>
      </c>
      <c r="F19" s="411" t="str">
        <f>'ANALYSE - ERP =&gt; SOUS-SEGMENT'!$D$16</f>
        <v>Universités</v>
      </c>
      <c r="H19" s="787">
        <f>'ANALYSE - ERP =&gt; SOUS-SEGMENT'!$BO$16</f>
        <v>0.2</v>
      </c>
      <c r="I19" s="787">
        <f>'ANALYSE - ERP =&gt; SOUS-SEGMENT'!$BP$16</f>
        <v>0.55000000000000004</v>
      </c>
      <c r="J19" s="787">
        <f>'ANALYSE - ERP =&gt; SOUS-SEGMENT'!$BQ$16</f>
        <v>0.2</v>
      </c>
      <c r="K19" s="787">
        <f>'ANALYSE - ERP =&gt; SOUS-SEGMENT'!$BR$16</f>
        <v>0.05</v>
      </c>
      <c r="M19" s="787">
        <f>'ANALYSE - ERP =&gt; SOUS-SEGMENT'!$BS$16</f>
        <v>0.18</v>
      </c>
      <c r="N19" s="787">
        <f>'ANALYSE - ERP =&gt; SOUS-SEGMENT'!$BT$16</f>
        <v>0.55000000000000004</v>
      </c>
      <c r="O19" s="787">
        <f>'ANALYSE - ERP =&gt; SOUS-SEGMENT'!$BU$16</f>
        <v>0.23</v>
      </c>
      <c r="P19" s="787">
        <f>'ANALYSE - ERP =&gt; SOUS-SEGMENT'!$BV$16</f>
        <v>0.04</v>
      </c>
      <c r="R19" s="791" t="s">
        <v>7719</v>
      </c>
      <c r="S19" s="424">
        <f>'ANALYSE - ERP =&gt; SOUS-SEGMENT'!$BJ$16</f>
        <v>14700</v>
      </c>
      <c r="T19" s="430">
        <f>'ANALYSE - ERP =&gt; SOUS-SEGMENT'!$Q$16</f>
        <v>1</v>
      </c>
    </row>
    <row r="20" spans="1:20" ht="15" customHeight="1">
      <c r="A20" s="26">
        <v>17</v>
      </c>
      <c r="B20" s="26">
        <v>17</v>
      </c>
      <c r="C20" s="422">
        <f>'ANALYSE - ERP =&gt; SOUS-SEGMENT'!$A$17</f>
        <v>10</v>
      </c>
      <c r="D20" s="411" t="str">
        <f>'ANALYSE - ERP =&gt; SOUS-SEGMENT'!$B$17</f>
        <v>Enfance, Enseignement, Jeunesse &amp; Formation</v>
      </c>
      <c r="E20" s="411" t="str">
        <f>'ANALYSE - ERP =&gt; SOUS-SEGMENT'!$C$17</f>
        <v>Enseignement supérieur</v>
      </c>
      <c r="F20" s="411" t="str">
        <f>'ANALYSE - ERP =&gt; SOUS-SEGMENT'!$D$17</f>
        <v>Grandes écoles</v>
      </c>
      <c r="H20" s="787">
        <f>'ANALYSE - ERP =&gt; SOUS-SEGMENT'!$BO$17</f>
        <v>0.2</v>
      </c>
      <c r="I20" s="787">
        <f>'ANALYSE - ERP =&gt; SOUS-SEGMENT'!$BP$17</f>
        <v>0.55000000000000004</v>
      </c>
      <c r="J20" s="787">
        <f>'ANALYSE - ERP =&gt; SOUS-SEGMENT'!$BQ$17</f>
        <v>0.2</v>
      </c>
      <c r="K20" s="787">
        <f>'ANALYSE - ERP =&gt; SOUS-SEGMENT'!$BR$17</f>
        <v>0.05</v>
      </c>
      <c r="M20" s="787">
        <f>'ANALYSE - ERP =&gt; SOUS-SEGMENT'!$BS$17</f>
        <v>0.18</v>
      </c>
      <c r="N20" s="787">
        <f>'ANALYSE - ERP =&gt; SOUS-SEGMENT'!$BT$17</f>
        <v>0.55000000000000004</v>
      </c>
      <c r="O20" s="787">
        <f>'ANALYSE - ERP =&gt; SOUS-SEGMENT'!$BU$17</f>
        <v>0.23</v>
      </c>
      <c r="P20" s="787">
        <f>'ANALYSE - ERP =&gt; SOUS-SEGMENT'!$BV$17</f>
        <v>0.04</v>
      </c>
      <c r="R20" s="791" t="s">
        <v>7719</v>
      </c>
      <c r="S20" s="424">
        <f>'ANALYSE - ERP =&gt; SOUS-SEGMENT'!$BJ$17</f>
        <v>14520</v>
      </c>
      <c r="T20" s="430">
        <f>'ANALYSE - ERP =&gt; SOUS-SEGMENT'!$Q$17</f>
        <v>1</v>
      </c>
    </row>
    <row r="21" spans="1:20" ht="15" customHeight="1">
      <c r="A21" s="26">
        <v>18</v>
      </c>
      <c r="B21" s="26">
        <v>20</v>
      </c>
      <c r="C21" s="422">
        <f>'ANALYSE - ERP =&gt; SOUS-SEGMENT'!$A$101</f>
        <v>94</v>
      </c>
      <c r="D21" s="415" t="str">
        <f>'ANALYSE - ERP =&gt; SOUS-SEGMENT'!$B$101</f>
        <v>Culte, Vie civique &amp; Services publics</v>
      </c>
      <c r="E21" s="415" t="str">
        <f>'ANALYSE - ERP =&gt; SOUS-SEGMENT'!$C$101</f>
        <v>Administrations / services publics</v>
      </c>
      <c r="F21" s="415" t="str">
        <f>'ANALYSE - ERP =&gt; SOUS-SEGMENT'!$D$101</f>
        <v>Mairies / hôtels de ville</v>
      </c>
      <c r="H21" s="787">
        <f>'ANALYSE - ERP =&gt; SOUS-SEGMENT'!$BO$101</f>
        <v>0.33</v>
      </c>
      <c r="I21" s="787">
        <f>'ANALYSE - ERP =&gt; SOUS-SEGMENT'!$BP$101</f>
        <v>0.46</v>
      </c>
      <c r="J21" s="787">
        <f>'ANALYSE - ERP =&gt; SOUS-SEGMENT'!$BQ$101</f>
        <v>0.17</v>
      </c>
      <c r="K21" s="787">
        <f>'ANALYSE - ERP =&gt; SOUS-SEGMENT'!$BR$101</f>
        <v>0.04</v>
      </c>
      <c r="M21" s="787">
        <f>'ANALYSE - ERP =&gt; SOUS-SEGMENT'!$BS$101</f>
        <v>0.28999999999999998</v>
      </c>
      <c r="N21" s="787">
        <f>'ANALYSE - ERP =&gt; SOUS-SEGMENT'!$BT$101</f>
        <v>0.46</v>
      </c>
      <c r="O21" s="787">
        <f>'ANALYSE - ERP =&gt; SOUS-SEGMENT'!$BU$101</f>
        <v>0.22</v>
      </c>
      <c r="P21" s="787">
        <f>'ANALYSE - ERP =&gt; SOUS-SEGMENT'!$BV$101</f>
        <v>0.03</v>
      </c>
      <c r="R21" s="791" t="s">
        <v>7719</v>
      </c>
      <c r="S21" s="424">
        <f>'ANALYSE - ERP =&gt; SOUS-SEGMENT'!$BJ$101</f>
        <v>112380</v>
      </c>
      <c r="T21" s="430">
        <f>'ANALYSE - ERP =&gt; SOUS-SEGMENT'!$Q$101</f>
        <v>1</v>
      </c>
    </row>
    <row r="22" spans="1:20" ht="15" customHeight="1">
      <c r="A22" s="26">
        <v>19</v>
      </c>
      <c r="B22" s="26">
        <v>21</v>
      </c>
      <c r="C22" s="422">
        <f>'ANALYSE - ERP =&gt; SOUS-SEGMENT'!$A$105</f>
        <v>98</v>
      </c>
      <c r="D22" s="415" t="str">
        <f>'ANALYSE - ERP =&gt; SOUS-SEGMENT'!$B$105</f>
        <v>Culte, Vie civique &amp; Services publics</v>
      </c>
      <c r="E22" s="415" t="str">
        <f>'ANALYSE - ERP =&gt; SOUS-SEGMENT'!$C$105</f>
        <v>Administrations / services publics</v>
      </c>
      <c r="F22" s="415" t="str">
        <f>'ANALYSE - ERP =&gt; SOUS-SEGMENT'!$D$105</f>
        <v>Préfectures / services administratifs</v>
      </c>
      <c r="H22" s="787">
        <f>'ANALYSE - ERP =&gt; SOUS-SEGMENT'!$BO$105</f>
        <v>0.18</v>
      </c>
      <c r="I22" s="787">
        <f>'ANALYSE - ERP =&gt; SOUS-SEGMENT'!$BP$105</f>
        <v>0.64</v>
      </c>
      <c r="J22" s="787">
        <f>'ANALYSE - ERP =&gt; SOUS-SEGMENT'!$BQ$105</f>
        <v>0.14000000000000001</v>
      </c>
      <c r="K22" s="787">
        <f>'ANALYSE - ERP =&gt; SOUS-SEGMENT'!$BR$105</f>
        <v>0.04</v>
      </c>
      <c r="M22" s="787">
        <f>'ANALYSE - ERP =&gt; SOUS-SEGMENT'!$BS$105</f>
        <v>0.16</v>
      </c>
      <c r="N22" s="787">
        <f>'ANALYSE - ERP =&gt; SOUS-SEGMENT'!$BT$105</f>
        <v>0.64</v>
      </c>
      <c r="O22" s="787">
        <f>'ANALYSE - ERP =&gt; SOUS-SEGMENT'!$BU$105</f>
        <v>0.17</v>
      </c>
      <c r="P22" s="787">
        <f>'ANALYSE - ERP =&gt; SOUS-SEGMENT'!$BV$105</f>
        <v>0.03</v>
      </c>
      <c r="R22" s="791" t="s">
        <v>7719</v>
      </c>
      <c r="S22" s="424">
        <f>'ANALYSE - ERP =&gt; SOUS-SEGMENT'!$BJ$105</f>
        <v>6012</v>
      </c>
      <c r="T22" s="430">
        <f>'ANALYSE - ERP =&gt; SOUS-SEGMENT'!$Q$105</f>
        <v>1</v>
      </c>
    </row>
    <row r="23" spans="1:20" ht="15" customHeight="1">
      <c r="A23" s="26">
        <v>20</v>
      </c>
      <c r="B23" s="26">
        <v>22</v>
      </c>
      <c r="C23" s="422">
        <f>'ANALYSE - ERP =&gt; SOUS-SEGMENT'!$A$134</f>
        <v>127</v>
      </c>
      <c r="D23" s="417" t="str">
        <f>'ANALYSE - ERP =&gt; SOUS-SEGMENT'!$B$134</f>
        <v>Sécurité &amp; Justice</v>
      </c>
      <c r="E23" s="417" t="str">
        <f>'ANALYSE - ERP =&gt; SOUS-SEGMENT'!$C$134</f>
        <v xml:space="preserve">Commissariats / postes de police </v>
      </c>
      <c r="F23" s="417" t="str">
        <f>'ANALYSE - ERP =&gt; SOUS-SEGMENT'!$D$134</f>
        <v>Salles de réunion, de prévention ou de conférence ouvertes au public</v>
      </c>
      <c r="H23" s="787">
        <f>'ANALYSE - ERP =&gt; SOUS-SEGMENT'!$BO$134</f>
        <v>0.18</v>
      </c>
      <c r="I23" s="787">
        <f>'ANALYSE - ERP =&gt; SOUS-SEGMENT'!$BP$134</f>
        <v>0.64</v>
      </c>
      <c r="J23" s="787">
        <f>'ANALYSE - ERP =&gt; SOUS-SEGMENT'!$BQ$134</f>
        <v>0.14000000000000001</v>
      </c>
      <c r="K23" s="787">
        <f>'ANALYSE - ERP =&gt; SOUS-SEGMENT'!$BR$134</f>
        <v>0.04</v>
      </c>
      <c r="M23" s="787">
        <f>'ANALYSE - ERP =&gt; SOUS-SEGMENT'!$BS$134</f>
        <v>0.16</v>
      </c>
      <c r="N23" s="787">
        <f>'ANALYSE - ERP =&gt; SOUS-SEGMENT'!$BT$134</f>
        <v>0.64</v>
      </c>
      <c r="O23" s="787">
        <f>'ANALYSE - ERP =&gt; SOUS-SEGMENT'!$BU$134</f>
        <v>0.17</v>
      </c>
      <c r="P23" s="787">
        <f>'ANALYSE - ERP =&gt; SOUS-SEGMENT'!$BV$134</f>
        <v>0.03</v>
      </c>
      <c r="R23" s="791" t="s">
        <v>7719</v>
      </c>
      <c r="S23" s="424">
        <f>'ANALYSE - ERP =&gt; SOUS-SEGMENT'!$BJ$134</f>
        <v>276</v>
      </c>
      <c r="T23" s="430">
        <f>'ANALYSE - ERP =&gt; SOUS-SEGMENT'!$Q$134</f>
        <v>0</v>
      </c>
    </row>
    <row r="24" spans="1:20" ht="15" customHeight="1">
      <c r="A24" s="26">
        <v>21</v>
      </c>
      <c r="B24" s="26">
        <v>23</v>
      </c>
      <c r="C24" s="422">
        <f>'ANALYSE - ERP =&gt; SOUS-SEGMENT'!$A$136</f>
        <v>129</v>
      </c>
      <c r="D24" s="417" t="str">
        <f>'ANALYSE - ERP =&gt; SOUS-SEGMENT'!$B$136</f>
        <v>Sécurité &amp; Justice</v>
      </c>
      <c r="E24" s="417" t="str">
        <f>'ANALYSE - ERP =&gt; SOUS-SEGMENT'!$C$136</f>
        <v>Forces armées</v>
      </c>
      <c r="F24" s="417" t="str">
        <f>'ANALYSE - ERP =&gt; SOUS-SEGMENT'!$D$136</f>
        <v>Centres de recrutement et bureaux d’information</v>
      </c>
      <c r="H24" s="787">
        <f>'ANALYSE - ERP =&gt; SOUS-SEGMENT'!$BO$136</f>
        <v>0.18</v>
      </c>
      <c r="I24" s="787">
        <f>'ANALYSE - ERP =&gt; SOUS-SEGMENT'!$BP$136</f>
        <v>0.64</v>
      </c>
      <c r="J24" s="787">
        <f>'ANALYSE - ERP =&gt; SOUS-SEGMENT'!$BQ$136</f>
        <v>0.14000000000000001</v>
      </c>
      <c r="K24" s="787">
        <f>'ANALYSE - ERP =&gt; SOUS-SEGMENT'!$BR$136</f>
        <v>0.04</v>
      </c>
      <c r="M24" s="787">
        <f>'ANALYSE - ERP =&gt; SOUS-SEGMENT'!$BS$136</f>
        <v>0.16</v>
      </c>
      <c r="N24" s="787">
        <f>'ANALYSE - ERP =&gt; SOUS-SEGMENT'!$BT$136</f>
        <v>0.64</v>
      </c>
      <c r="O24" s="787">
        <f>'ANALYSE - ERP =&gt; SOUS-SEGMENT'!$BU$136</f>
        <v>0.17</v>
      </c>
      <c r="P24" s="787">
        <f>'ANALYSE - ERP =&gt; SOUS-SEGMENT'!$BV$136</f>
        <v>0.03</v>
      </c>
      <c r="R24" s="791" t="s">
        <v>7719</v>
      </c>
      <c r="S24" s="424">
        <f>'ANALYSE - ERP =&gt; SOUS-SEGMENT'!$BJ$136</f>
        <v>204</v>
      </c>
      <c r="T24" s="430">
        <f>'ANALYSE - ERP =&gt; SOUS-SEGMENT'!$Q$136</f>
        <v>1</v>
      </c>
    </row>
    <row r="25" spans="1:20" ht="15" customHeight="1">
      <c r="A25" s="26">
        <v>22</v>
      </c>
      <c r="B25" s="26">
        <v>24</v>
      </c>
      <c r="C25" s="422">
        <f>'ANALYSE - ERP =&gt; SOUS-SEGMENT'!$A$138</f>
        <v>131</v>
      </c>
      <c r="D25" s="417" t="str">
        <f>'ANALYSE - ERP =&gt; SOUS-SEGMENT'!$B$138</f>
        <v>Sécurité &amp; Justice</v>
      </c>
      <c r="E25" s="417" t="str">
        <f>'ANALYSE - ERP =&gt; SOUS-SEGMENT'!$C$138</f>
        <v>Forces armées</v>
      </c>
      <c r="F25" s="417" t="str">
        <f>'ANALYSE - ERP =&gt; SOUS-SEGMENT'!$D$138</f>
        <v>Salles de conférence, auditoriums et espaces événementiels ouverts au public</v>
      </c>
      <c r="H25" s="787">
        <f>'ANALYSE - ERP =&gt; SOUS-SEGMENT'!$BO$138</f>
        <v>0.18</v>
      </c>
      <c r="I25" s="787">
        <f>'ANALYSE - ERP =&gt; SOUS-SEGMENT'!$BP$138</f>
        <v>0.64</v>
      </c>
      <c r="J25" s="787">
        <f>'ANALYSE - ERP =&gt; SOUS-SEGMENT'!$BQ$138</f>
        <v>0.14000000000000001</v>
      </c>
      <c r="K25" s="787">
        <f>'ANALYSE - ERP =&gt; SOUS-SEGMENT'!$BR$138</f>
        <v>0.04</v>
      </c>
      <c r="M25" s="787">
        <f>'ANALYSE - ERP =&gt; SOUS-SEGMENT'!$BS$138</f>
        <v>0.16</v>
      </c>
      <c r="N25" s="787">
        <f>'ANALYSE - ERP =&gt; SOUS-SEGMENT'!$BT$138</f>
        <v>0.64</v>
      </c>
      <c r="O25" s="787">
        <f>'ANALYSE - ERP =&gt; SOUS-SEGMENT'!$BU$138</f>
        <v>0.17</v>
      </c>
      <c r="P25" s="787">
        <f>'ANALYSE - ERP =&gt; SOUS-SEGMENT'!$BV$138</f>
        <v>0.03</v>
      </c>
      <c r="R25" s="791" t="s">
        <v>7719</v>
      </c>
      <c r="S25" s="424">
        <f>'ANALYSE - ERP =&gt; SOUS-SEGMENT'!$BJ$138</f>
        <v>1800</v>
      </c>
      <c r="T25" s="430">
        <f>'ANALYSE - ERP =&gt; SOUS-SEGMENT'!$Q$138</f>
        <v>1</v>
      </c>
    </row>
    <row r="26" spans="1:20" ht="15" customHeight="1">
      <c r="A26" s="26">
        <v>23</v>
      </c>
      <c r="B26" s="26">
        <v>25</v>
      </c>
      <c r="C26" s="422">
        <f>'ANALYSE - ERP =&gt; SOUS-SEGMENT'!$A$146</f>
        <v>139</v>
      </c>
      <c r="D26" s="417" t="str">
        <f>'ANALYSE - ERP =&gt; SOUS-SEGMENT'!$B$146</f>
        <v>Sécurité &amp; Justice</v>
      </c>
      <c r="E26" s="417" t="str">
        <f>'ANALYSE - ERP =&gt; SOUS-SEGMENT'!$C$146</f>
        <v>Tribunaux</v>
      </c>
      <c r="F26" s="417" t="str">
        <f>'ANALYSE - ERP =&gt; SOUS-SEGMENT'!$D$146</f>
        <v>Palais de justice et bâtiments judiciaires multi-usages</v>
      </c>
      <c r="H26" s="787">
        <f>'ANALYSE - ERP =&gt; SOUS-SEGMENT'!$BO$146</f>
        <v>0.18</v>
      </c>
      <c r="I26" s="787">
        <f>'ANALYSE - ERP =&gt; SOUS-SEGMENT'!$BP$146</f>
        <v>0.64</v>
      </c>
      <c r="J26" s="787">
        <f>'ANALYSE - ERP =&gt; SOUS-SEGMENT'!$BQ$146</f>
        <v>0.14000000000000001</v>
      </c>
      <c r="K26" s="787">
        <f>'ANALYSE - ERP =&gt; SOUS-SEGMENT'!$BR$146</f>
        <v>0.04</v>
      </c>
      <c r="M26" s="787">
        <f>'ANALYSE - ERP =&gt; SOUS-SEGMENT'!$BS$146</f>
        <v>0.16</v>
      </c>
      <c r="N26" s="787">
        <f>'ANALYSE - ERP =&gt; SOUS-SEGMENT'!$BT$146</f>
        <v>0.64</v>
      </c>
      <c r="O26" s="787">
        <f>'ANALYSE - ERP =&gt; SOUS-SEGMENT'!$BU$146</f>
        <v>0.17</v>
      </c>
      <c r="P26" s="787">
        <f>'ANALYSE - ERP =&gt; SOUS-SEGMENT'!$BV$146</f>
        <v>0.03</v>
      </c>
      <c r="R26" s="791" t="s">
        <v>7719</v>
      </c>
      <c r="S26" s="424">
        <f>'ANALYSE - ERP =&gt; SOUS-SEGMENT'!$BJ$146</f>
        <v>3680</v>
      </c>
      <c r="T26" s="430">
        <f>'ANALYSE - ERP =&gt; SOUS-SEGMENT'!$Q$146</f>
        <v>1</v>
      </c>
    </row>
    <row r="27" spans="1:20" ht="15" customHeight="1">
      <c r="A27" s="26">
        <v>24</v>
      </c>
      <c r="B27" s="26">
        <v>26</v>
      </c>
      <c r="C27" s="422">
        <f>'ANALYSE - ERP =&gt; SOUS-SEGMENT'!$A$147</f>
        <v>140</v>
      </c>
      <c r="D27" s="417" t="str">
        <f>'ANALYSE - ERP =&gt; SOUS-SEGMENT'!$B$147</f>
        <v>Sécurité &amp; Justice</v>
      </c>
      <c r="E27" s="417" t="str">
        <f>'ANALYSE - ERP =&gt; SOUS-SEGMENT'!$C$147</f>
        <v>Tribunaux</v>
      </c>
      <c r="F27" s="417" t="str">
        <f>'ANALYSE - ERP =&gt; SOUS-SEGMENT'!$D$147</f>
        <v>Maisons de justice et du droit</v>
      </c>
      <c r="H27" s="787">
        <f>'ANALYSE - ERP =&gt; SOUS-SEGMENT'!$BO$147</f>
        <v>0.18</v>
      </c>
      <c r="I27" s="787">
        <f>'ANALYSE - ERP =&gt; SOUS-SEGMENT'!$BP$147</f>
        <v>0.64</v>
      </c>
      <c r="J27" s="787">
        <f>'ANALYSE - ERP =&gt; SOUS-SEGMENT'!$BQ$147</f>
        <v>0.14000000000000001</v>
      </c>
      <c r="K27" s="787">
        <f>'ANALYSE - ERP =&gt; SOUS-SEGMENT'!$BR$147</f>
        <v>0.04</v>
      </c>
      <c r="M27" s="787">
        <f>'ANALYSE - ERP =&gt; SOUS-SEGMENT'!$BS$147</f>
        <v>0.16</v>
      </c>
      <c r="N27" s="787">
        <f>'ANALYSE - ERP =&gt; SOUS-SEGMENT'!$BT$147</f>
        <v>0.64</v>
      </c>
      <c r="O27" s="787">
        <f>'ANALYSE - ERP =&gt; SOUS-SEGMENT'!$BU$147</f>
        <v>0.17</v>
      </c>
      <c r="P27" s="787">
        <f>'ANALYSE - ERP =&gt; SOUS-SEGMENT'!$BV$147</f>
        <v>0.03</v>
      </c>
      <c r="R27" s="791" t="s">
        <v>7719</v>
      </c>
      <c r="S27" s="424">
        <f>'ANALYSE - ERP =&gt; SOUS-SEGMENT'!$BJ$147</f>
        <v>620</v>
      </c>
      <c r="T27" s="430">
        <f>'ANALYSE - ERP =&gt; SOUS-SEGMENT'!$Q$147</f>
        <v>1</v>
      </c>
    </row>
    <row r="28" spans="1:20" ht="15" customHeight="1">
      <c r="A28" s="26">
        <v>25</v>
      </c>
      <c r="B28" s="26">
        <v>27</v>
      </c>
      <c r="C28" s="422">
        <f>'ANALYSE - ERP =&gt; SOUS-SEGMENT'!$A$148</f>
        <v>141</v>
      </c>
      <c r="D28" s="417" t="str">
        <f>'ANALYSE - ERP =&gt; SOUS-SEGMENT'!$B$148</f>
        <v>Sécurité &amp; Justice</v>
      </c>
      <c r="E28" s="417" t="str">
        <f>'ANALYSE - ERP =&gt; SOUS-SEGMENT'!$C$148</f>
        <v>Tribunaux</v>
      </c>
      <c r="F28" s="417" t="str">
        <f>'ANALYSE - ERP =&gt; SOUS-SEGMENT'!$D$148</f>
        <v>Tribunaux de commerce autonomes</v>
      </c>
      <c r="H28" s="787">
        <f>'ANALYSE - ERP =&gt; SOUS-SEGMENT'!$BO$148</f>
        <v>0.18</v>
      </c>
      <c r="I28" s="787">
        <f>'ANALYSE - ERP =&gt; SOUS-SEGMENT'!$BP$148</f>
        <v>0.64</v>
      </c>
      <c r="J28" s="787">
        <f>'ANALYSE - ERP =&gt; SOUS-SEGMENT'!$BQ$148</f>
        <v>0.14000000000000001</v>
      </c>
      <c r="K28" s="787">
        <f>'ANALYSE - ERP =&gt; SOUS-SEGMENT'!$BR$148</f>
        <v>0.04</v>
      </c>
      <c r="M28" s="787">
        <f>'ANALYSE - ERP =&gt; SOUS-SEGMENT'!$BS$148</f>
        <v>0.16</v>
      </c>
      <c r="N28" s="787">
        <f>'ANALYSE - ERP =&gt; SOUS-SEGMENT'!$BT$148</f>
        <v>0.64</v>
      </c>
      <c r="O28" s="787">
        <f>'ANALYSE - ERP =&gt; SOUS-SEGMENT'!$BU$148</f>
        <v>0.17</v>
      </c>
      <c r="P28" s="787">
        <f>'ANALYSE - ERP =&gt; SOUS-SEGMENT'!$BV$148</f>
        <v>0.03</v>
      </c>
      <c r="R28" s="791" t="s">
        <v>7719</v>
      </c>
      <c r="S28" s="424">
        <f>'ANALYSE - ERP =&gt; SOUS-SEGMENT'!$BJ$148</f>
        <v>1072</v>
      </c>
      <c r="T28" s="430">
        <f>'ANALYSE - ERP =&gt; SOUS-SEGMENT'!$Q$148</f>
        <v>1</v>
      </c>
    </row>
    <row r="29" spans="1:20" ht="15" customHeight="1">
      <c r="A29" s="26">
        <v>26</v>
      </c>
      <c r="B29" s="26">
        <v>28</v>
      </c>
      <c r="C29" s="422">
        <f>'ANALYSE - ERP =&gt; SOUS-SEGMENT'!$A$149</f>
        <v>142</v>
      </c>
      <c r="D29" s="417" t="str">
        <f>'ANALYSE - ERP =&gt; SOUS-SEGMENT'!$B$149</f>
        <v>Sécurité &amp; Justice</v>
      </c>
      <c r="E29" s="417" t="str">
        <f>'ANALYSE - ERP =&gt; SOUS-SEGMENT'!$C$149</f>
        <v>Tribunaux</v>
      </c>
      <c r="F29" s="417" t="str">
        <f>'ANALYSE - ERP =&gt; SOUS-SEGMENT'!$D$149</f>
        <v>Conseils de prud’hommes autonomes</v>
      </c>
      <c r="H29" s="787">
        <f>'ANALYSE - ERP =&gt; SOUS-SEGMENT'!$BO$149</f>
        <v>0.18</v>
      </c>
      <c r="I29" s="787">
        <f>'ANALYSE - ERP =&gt; SOUS-SEGMENT'!$BP$149</f>
        <v>0.64</v>
      </c>
      <c r="J29" s="787">
        <f>'ANALYSE - ERP =&gt; SOUS-SEGMENT'!$BQ$149</f>
        <v>0.14000000000000001</v>
      </c>
      <c r="K29" s="787">
        <f>'ANALYSE - ERP =&gt; SOUS-SEGMENT'!$BR$149</f>
        <v>0.04</v>
      </c>
      <c r="M29" s="787">
        <f>'ANALYSE - ERP =&gt; SOUS-SEGMENT'!$BS$149</f>
        <v>0.16</v>
      </c>
      <c r="N29" s="787">
        <f>'ANALYSE - ERP =&gt; SOUS-SEGMENT'!$BT$149</f>
        <v>0.64</v>
      </c>
      <c r="O29" s="787">
        <f>'ANALYSE - ERP =&gt; SOUS-SEGMENT'!$BU$149</f>
        <v>0.17</v>
      </c>
      <c r="P29" s="787">
        <f>'ANALYSE - ERP =&gt; SOUS-SEGMENT'!$BV$149</f>
        <v>0.03</v>
      </c>
      <c r="R29" s="791" t="s">
        <v>7719</v>
      </c>
      <c r="S29" s="424">
        <f>'ANALYSE - ERP =&gt; SOUS-SEGMENT'!$BJ$149</f>
        <v>1477</v>
      </c>
      <c r="T29" s="430">
        <f>'ANALYSE - ERP =&gt; SOUS-SEGMENT'!$Q$149</f>
        <v>1</v>
      </c>
    </row>
    <row r="30" spans="1:20" ht="15" customHeight="1">
      <c r="A30" s="26">
        <v>27</v>
      </c>
      <c r="B30" s="26">
        <v>29</v>
      </c>
      <c r="C30" s="422" t="e">
        <f>'ANALYSE - ERP =&gt; SOUS-SEGMENT'!#REF!</f>
        <v>#REF!</v>
      </c>
      <c r="D30" s="417" t="e">
        <f>'ANALYSE - ERP =&gt; SOUS-SEGMENT'!#REF!</f>
        <v>#REF!</v>
      </c>
      <c r="E30" s="417" t="e">
        <f>'ANALYSE - ERP =&gt; SOUS-SEGMENT'!#REF!</f>
        <v>#REF!</v>
      </c>
      <c r="F30" s="417" t="e">
        <f>'ANALYSE - ERP =&gt; SOUS-SEGMENT'!#REF!</f>
        <v>#REF!</v>
      </c>
      <c r="H30" s="787" t="e">
        <f>'ANALYSE - ERP =&gt; SOUS-SEGMENT'!#REF!</f>
        <v>#REF!</v>
      </c>
      <c r="I30" s="787" t="e">
        <f>'ANALYSE - ERP =&gt; SOUS-SEGMENT'!#REF!</f>
        <v>#REF!</v>
      </c>
      <c r="J30" s="787" t="e">
        <f>'ANALYSE - ERP =&gt; SOUS-SEGMENT'!#REF!</f>
        <v>#REF!</v>
      </c>
      <c r="K30" s="787" t="e">
        <f>'ANALYSE - ERP =&gt; SOUS-SEGMENT'!#REF!</f>
        <v>#REF!</v>
      </c>
      <c r="M30" s="787" t="e">
        <f>'ANALYSE - ERP =&gt; SOUS-SEGMENT'!#REF!</f>
        <v>#REF!</v>
      </c>
      <c r="N30" s="787" t="e">
        <f>'ANALYSE - ERP =&gt; SOUS-SEGMENT'!#REF!</f>
        <v>#REF!</v>
      </c>
      <c r="O30" s="787" t="e">
        <f>'ANALYSE - ERP =&gt; SOUS-SEGMENT'!#REF!</f>
        <v>#REF!</v>
      </c>
      <c r="P30" s="787" t="e">
        <f>'ANALYSE - ERP =&gt; SOUS-SEGMENT'!#REF!</f>
        <v>#REF!</v>
      </c>
      <c r="R30" s="791" t="s">
        <v>7719</v>
      </c>
      <c r="S30" s="424" t="e">
        <f>'ANALYSE - ERP =&gt; SOUS-SEGMENT'!#REF!</f>
        <v>#REF!</v>
      </c>
      <c r="T30" s="430" t="e">
        <f>'ANALYSE - ERP =&gt; SOUS-SEGMENT'!#REF!</f>
        <v>#REF!</v>
      </c>
    </row>
    <row r="31" spans="1:20" ht="15" customHeight="1">
      <c r="A31" s="26">
        <v>28</v>
      </c>
      <c r="B31" s="26">
        <v>18</v>
      </c>
      <c r="C31" s="422">
        <f>'ANALYSE - ERP =&gt; SOUS-SEGMENT'!$A$21</f>
        <v>14</v>
      </c>
      <c r="D31" s="410" t="str">
        <f>'ANALYSE - ERP =&gt; SOUS-SEGMENT'!$B$21</f>
        <v>Sports &amp; Loisirs</v>
      </c>
      <c r="E31" s="410" t="str">
        <f>'ANALYSE - ERP =&gt; SOUS-SEGMENT'!$C$21</f>
        <v>Sport couvert / Thermalisme / Bien-être</v>
      </c>
      <c r="F31" s="410" t="str">
        <f>'ANALYSE - ERP =&gt; SOUS-SEGMENT'!$D$21</f>
        <v>Gymnases / salles multisports
(hors scolaire, mais gymnase municipaux inclus)</v>
      </c>
      <c r="H31" s="787">
        <f>'ANALYSE - ERP =&gt; SOUS-SEGMENT'!$BO$21</f>
        <v>0.1</v>
      </c>
      <c r="I31" s="787">
        <f>'ANALYSE - ERP =&gt; SOUS-SEGMENT'!$BP$21</f>
        <v>0.8</v>
      </c>
      <c r="J31" s="787">
        <f>'ANALYSE - ERP =&gt; SOUS-SEGMENT'!$BQ$21</f>
        <v>0.06</v>
      </c>
      <c r="K31" s="787">
        <f>'ANALYSE - ERP =&gt; SOUS-SEGMENT'!$BR$21</f>
        <v>0.04</v>
      </c>
      <c r="M31" s="787">
        <f>'ANALYSE - ERP =&gt; SOUS-SEGMENT'!$BS$21</f>
        <v>0.08</v>
      </c>
      <c r="N31" s="787">
        <f>'ANALYSE - ERP =&gt; SOUS-SEGMENT'!$BT$21</f>
        <v>0.81</v>
      </c>
      <c r="O31" s="787">
        <f>'ANALYSE - ERP =&gt; SOUS-SEGMENT'!$BU$21</f>
        <v>0.08</v>
      </c>
      <c r="P31" s="787">
        <f>'ANALYSE - ERP =&gt; SOUS-SEGMENT'!$BV$21</f>
        <v>0.03</v>
      </c>
      <c r="R31" s="791" t="s">
        <v>7719</v>
      </c>
      <c r="S31" s="424">
        <f>'ANALYSE - ERP =&gt; SOUS-SEGMENT'!$BJ$21</f>
        <v>249600</v>
      </c>
      <c r="T31" s="430">
        <f>'ANALYSE - ERP =&gt; SOUS-SEGMENT'!$Q$21</f>
        <v>1</v>
      </c>
    </row>
    <row r="32" spans="1:20" ht="15" customHeight="1">
      <c r="A32" s="26">
        <v>29</v>
      </c>
      <c r="B32" s="26">
        <v>19</v>
      </c>
      <c r="C32" s="422">
        <f>'ANALYSE - ERP =&gt; SOUS-SEGMENT'!$A$23</f>
        <v>16</v>
      </c>
      <c r="D32" s="410" t="str">
        <f>'ANALYSE - ERP =&gt; SOUS-SEGMENT'!$B$23</f>
        <v>Sports &amp; Loisirs</v>
      </c>
      <c r="E32" s="410" t="str">
        <f>'ANALYSE - ERP =&gt; SOUS-SEGMENT'!$C$23</f>
        <v>Sport couvert / Thermalisme / Bien-être</v>
      </c>
      <c r="F32" s="410" t="str">
        <f>'ANALYSE - ERP =&gt; SOUS-SEGMENT'!$D$23</f>
        <v>Patinoires couvertes</v>
      </c>
      <c r="H32" s="787">
        <f>'ANALYSE - ERP =&gt; SOUS-SEGMENT'!$BO$23</f>
        <v>0.1</v>
      </c>
      <c r="I32" s="787">
        <f>'ANALYSE - ERP =&gt; SOUS-SEGMENT'!$BP$23</f>
        <v>0.8</v>
      </c>
      <c r="J32" s="787">
        <f>'ANALYSE - ERP =&gt; SOUS-SEGMENT'!$BQ$23</f>
        <v>0.06</v>
      </c>
      <c r="K32" s="787">
        <f>'ANALYSE - ERP =&gt; SOUS-SEGMENT'!$BR$23</f>
        <v>0.04</v>
      </c>
      <c r="M32" s="787">
        <f>'ANALYSE - ERP =&gt; SOUS-SEGMENT'!$BS$23</f>
        <v>0.08</v>
      </c>
      <c r="N32" s="787">
        <f>'ANALYSE - ERP =&gt; SOUS-SEGMENT'!$BT$23</f>
        <v>0.81</v>
      </c>
      <c r="O32" s="787">
        <f>'ANALYSE - ERP =&gt; SOUS-SEGMENT'!$BU$23</f>
        <v>0.08</v>
      </c>
      <c r="P32" s="787">
        <f>'ANALYSE - ERP =&gt; SOUS-SEGMENT'!$BV$23</f>
        <v>0.03</v>
      </c>
      <c r="R32" s="791" t="s">
        <v>7719</v>
      </c>
      <c r="S32" s="424">
        <f>'ANALYSE - ERP =&gt; SOUS-SEGMENT'!$BJ$23</f>
        <v>5800</v>
      </c>
      <c r="T32" s="430">
        <f>'ANALYSE - ERP =&gt; SOUS-SEGMENT'!$Q$23</f>
        <v>1</v>
      </c>
    </row>
    <row r="33" spans="1:20" ht="15" customHeight="1">
      <c r="A33" s="26">
        <v>30</v>
      </c>
      <c r="B33" s="26">
        <v>30</v>
      </c>
      <c r="C33" s="422">
        <f>'ANALYSE - ERP =&gt; SOUS-SEGMENT'!$A$41</f>
        <v>34</v>
      </c>
      <c r="D33" s="408" t="str">
        <f>'ANALYSE - ERP =&gt; SOUS-SEGMENT'!$B$41</f>
        <v>Sports &amp; Loisirs</v>
      </c>
      <c r="E33" s="408" t="str">
        <f>'ANALYSE - ERP =&gt; SOUS-SEGMENT'!$C$41</f>
        <v>Loisirs</v>
      </c>
      <c r="F33" s="408" t="str">
        <f>'ANALYSE - ERP =&gt; SOUS-SEGMENT'!$D$41</f>
        <v>Salles de jeux / Bowlings / Billards</v>
      </c>
      <c r="H33" s="787">
        <f>'ANALYSE - ERP =&gt; SOUS-SEGMENT'!$BO$41</f>
        <v>0.1</v>
      </c>
      <c r="I33" s="787">
        <f>'ANALYSE - ERP =&gt; SOUS-SEGMENT'!$BP$41</f>
        <v>0.76</v>
      </c>
      <c r="J33" s="787">
        <f>'ANALYSE - ERP =&gt; SOUS-SEGMENT'!$BQ$41</f>
        <v>0.08</v>
      </c>
      <c r="K33" s="787">
        <f>'ANALYSE - ERP =&gt; SOUS-SEGMENT'!$BR$41</f>
        <v>0.06</v>
      </c>
      <c r="M33" s="787">
        <f>'ANALYSE - ERP =&gt; SOUS-SEGMENT'!$BS$41</f>
        <v>0.08</v>
      </c>
      <c r="N33" s="787">
        <f>'ANALYSE - ERP =&gt; SOUS-SEGMENT'!$BT$41</f>
        <v>0.76</v>
      </c>
      <c r="O33" s="787">
        <f>'ANALYSE - ERP =&gt; SOUS-SEGMENT'!$BU$41</f>
        <v>0.1</v>
      </c>
      <c r="P33" s="787">
        <f>'ANALYSE - ERP =&gt; SOUS-SEGMENT'!$BV$41</f>
        <v>0.06</v>
      </c>
      <c r="R33" s="791" t="s">
        <v>7719</v>
      </c>
      <c r="S33" s="424">
        <f>'ANALYSE - ERP =&gt; SOUS-SEGMENT'!$BJ$41</f>
        <v>10240</v>
      </c>
      <c r="T33" s="430">
        <f>'ANALYSE - ERP =&gt; SOUS-SEGMENT'!$Q$41</f>
        <v>1</v>
      </c>
    </row>
    <row r="34" spans="1:20" ht="15" customHeight="1">
      <c r="A34" s="26">
        <v>31</v>
      </c>
      <c r="B34" s="26">
        <v>31</v>
      </c>
      <c r="C34" s="422">
        <f>'ANALYSE - ERP =&gt; SOUS-SEGMENT'!$A$42</f>
        <v>35</v>
      </c>
      <c r="D34" s="408" t="str">
        <f>'ANALYSE - ERP =&gt; SOUS-SEGMENT'!$B$42</f>
        <v>Sports &amp; Loisirs</v>
      </c>
      <c r="E34" s="408" t="str">
        <f>'ANALYSE - ERP =&gt; SOUS-SEGMENT'!$C$42</f>
        <v>Loisirs</v>
      </c>
      <c r="F34" s="408" t="str">
        <f>'ANALYSE - ERP =&gt; SOUS-SEGMENT'!$D$42</f>
        <v>Discothèques / Salles de danse</v>
      </c>
      <c r="H34" s="787">
        <f>'ANALYSE - ERP =&gt; SOUS-SEGMENT'!$BO$42</f>
        <v>0.1</v>
      </c>
      <c r="I34" s="787">
        <f>'ANALYSE - ERP =&gt; SOUS-SEGMENT'!$BP$42</f>
        <v>0.76</v>
      </c>
      <c r="J34" s="787">
        <f>'ANALYSE - ERP =&gt; SOUS-SEGMENT'!$BQ$42</f>
        <v>0.08</v>
      </c>
      <c r="K34" s="787">
        <f>'ANALYSE - ERP =&gt; SOUS-SEGMENT'!$BR$42</f>
        <v>0.06</v>
      </c>
      <c r="M34" s="787">
        <f>'ANALYSE - ERP =&gt; SOUS-SEGMENT'!$BS$42</f>
        <v>0.08</v>
      </c>
      <c r="N34" s="787">
        <f>'ANALYSE - ERP =&gt; SOUS-SEGMENT'!$BT$42</f>
        <v>0.76</v>
      </c>
      <c r="O34" s="787">
        <f>'ANALYSE - ERP =&gt; SOUS-SEGMENT'!$BU$42</f>
        <v>0.1</v>
      </c>
      <c r="P34" s="787">
        <f>'ANALYSE - ERP =&gt; SOUS-SEGMENT'!$BV$42</f>
        <v>0.06</v>
      </c>
      <c r="R34" s="791" t="s">
        <v>7719</v>
      </c>
      <c r="S34" s="424">
        <f>'ANALYSE - ERP =&gt; SOUS-SEGMENT'!$BJ$42</f>
        <v>32400</v>
      </c>
      <c r="T34" s="430">
        <f>'ANALYSE - ERP =&gt; SOUS-SEGMENT'!$Q$42</f>
        <v>1</v>
      </c>
    </row>
    <row r="35" spans="1:20" ht="15" customHeight="1">
      <c r="A35" s="26">
        <v>32</v>
      </c>
      <c r="B35" s="26">
        <v>32</v>
      </c>
      <c r="C35" s="422">
        <f>'ANALYSE - ERP =&gt; SOUS-SEGMENT'!$A$22</f>
        <v>15</v>
      </c>
      <c r="D35" s="410" t="str">
        <f>'ANALYSE - ERP =&gt; SOUS-SEGMENT'!$B$22</f>
        <v>Sports &amp; Loisirs</v>
      </c>
      <c r="E35" s="410" t="str">
        <f>'ANALYSE - ERP =&gt; SOUS-SEGMENT'!$C$22</f>
        <v>Sport couvert / Thermalisme / Bien-être</v>
      </c>
      <c r="F35" s="410" t="str">
        <f>'ANALYSE - ERP =&gt; SOUS-SEGMENT'!$D$22</f>
        <v>Salles de fitness / dojos</v>
      </c>
      <c r="H35" s="787">
        <f>'ANALYSE - ERP =&gt; SOUS-SEGMENT'!$BO$22</f>
        <v>0.12</v>
      </c>
      <c r="I35" s="787">
        <f>'ANALYSE - ERP =&gt; SOUS-SEGMENT'!$BP$22</f>
        <v>0.74</v>
      </c>
      <c r="J35" s="787">
        <f>'ANALYSE - ERP =&gt; SOUS-SEGMENT'!$BQ$22</f>
        <v>0.09</v>
      </c>
      <c r="K35" s="787">
        <f>'ANALYSE - ERP =&gt; SOUS-SEGMENT'!$BR$22</f>
        <v>0.05</v>
      </c>
      <c r="M35" s="787">
        <f>'ANALYSE - ERP =&gt; SOUS-SEGMENT'!$BS$22</f>
        <v>0.1</v>
      </c>
      <c r="N35" s="787">
        <f>'ANALYSE - ERP =&gt; SOUS-SEGMENT'!$BT$22</f>
        <v>0.74</v>
      </c>
      <c r="O35" s="787">
        <f>'ANALYSE - ERP =&gt; SOUS-SEGMENT'!$BU$22</f>
        <v>0.12</v>
      </c>
      <c r="P35" s="787">
        <f>'ANALYSE - ERP =&gt; SOUS-SEGMENT'!$BV$22</f>
        <v>0.04</v>
      </c>
      <c r="R35" s="791" t="s">
        <v>7719</v>
      </c>
      <c r="S35" s="424">
        <f>'ANALYSE - ERP =&gt; SOUS-SEGMENT'!$BJ$22</f>
        <v>101904</v>
      </c>
      <c r="T35" s="430">
        <f>'ANALYSE - ERP =&gt; SOUS-SEGMENT'!$Q$22</f>
        <v>1</v>
      </c>
    </row>
    <row r="36" spans="1:20" ht="15" customHeight="1">
      <c r="A36" s="26">
        <v>33</v>
      </c>
      <c r="B36" s="26">
        <v>39</v>
      </c>
      <c r="C36" s="422">
        <f>'ANALYSE - ERP =&gt; SOUS-SEGMENT'!$A$62</f>
        <v>55</v>
      </c>
      <c r="D36" s="414" t="str">
        <f>'ANALYSE - ERP =&gt; SOUS-SEGMENT'!$B$62</f>
        <v>Culture, Patrimoine &amp; Evénementiel</v>
      </c>
      <c r="E36" s="414" t="str">
        <f>'ANALYSE - ERP =&gt; SOUS-SEGMENT'!$C$62</f>
        <v>Culture / spectacle</v>
      </c>
      <c r="F36" s="414" t="str">
        <f>'ANALYSE - ERP =&gt; SOUS-SEGMENT'!$D$62</f>
        <v>Cinémas</v>
      </c>
      <c r="H36" s="787">
        <f>'ANALYSE - ERP =&gt; SOUS-SEGMENT'!$BO$62</f>
        <v>0.18</v>
      </c>
      <c r="I36" s="787">
        <f>'ANALYSE - ERP =&gt; SOUS-SEGMENT'!$BP$62</f>
        <v>0.65</v>
      </c>
      <c r="J36" s="787">
        <f>'ANALYSE - ERP =&gt; SOUS-SEGMENT'!$BQ$62</f>
        <v>0.12</v>
      </c>
      <c r="K36" s="787">
        <f>'ANALYSE - ERP =&gt; SOUS-SEGMENT'!$BR$62</f>
        <v>0.05</v>
      </c>
      <c r="M36" s="787">
        <f>'ANALYSE - ERP =&gt; SOUS-SEGMENT'!$BS$62</f>
        <v>0.16</v>
      </c>
      <c r="N36" s="787">
        <f>'ANALYSE - ERP =&gt; SOUS-SEGMENT'!$BT$62</f>
        <v>0.66</v>
      </c>
      <c r="O36" s="787">
        <f>'ANALYSE - ERP =&gt; SOUS-SEGMENT'!$BU$62</f>
        <v>0.15</v>
      </c>
      <c r="P36" s="787">
        <f>'ANALYSE - ERP =&gt; SOUS-SEGMENT'!$BV$62</f>
        <v>0.03</v>
      </c>
      <c r="R36" s="791" t="s">
        <v>7719</v>
      </c>
      <c r="S36" s="424">
        <f>'ANALYSE - ERP =&gt; SOUS-SEGMENT'!$BJ$62</f>
        <v>20650</v>
      </c>
      <c r="T36" s="430">
        <f>'ANALYSE - ERP =&gt; SOUS-SEGMENT'!$Q$62</f>
        <v>1</v>
      </c>
    </row>
    <row r="37" spans="1:20" ht="15" customHeight="1">
      <c r="A37" s="26">
        <v>34</v>
      </c>
      <c r="B37" s="26">
        <v>40</v>
      </c>
      <c r="C37" s="422">
        <f>'ANALYSE - ERP =&gt; SOUS-SEGMENT'!$A$63</f>
        <v>56</v>
      </c>
      <c r="D37" s="414" t="str">
        <f>'ANALYSE - ERP =&gt; SOUS-SEGMENT'!$B$63</f>
        <v>Culture, Patrimoine &amp; Evénementiel</v>
      </c>
      <c r="E37" s="414" t="str">
        <f>'ANALYSE - ERP =&gt; SOUS-SEGMENT'!$C$63</f>
        <v>Culture / spectacle</v>
      </c>
      <c r="F37" s="414" t="str">
        <f>'ANALYSE - ERP =&gt; SOUS-SEGMENT'!$D$63</f>
        <v>Théâtres</v>
      </c>
      <c r="H37" s="787">
        <f>'ANALYSE - ERP =&gt; SOUS-SEGMENT'!$BO$63</f>
        <v>0.18</v>
      </c>
      <c r="I37" s="787">
        <f>'ANALYSE - ERP =&gt; SOUS-SEGMENT'!$BP$63</f>
        <v>0.65</v>
      </c>
      <c r="J37" s="787">
        <f>'ANALYSE - ERP =&gt; SOUS-SEGMENT'!$BQ$63</f>
        <v>0.12</v>
      </c>
      <c r="K37" s="787">
        <f>'ANALYSE - ERP =&gt; SOUS-SEGMENT'!$BR$63</f>
        <v>0.05</v>
      </c>
      <c r="M37" s="787">
        <f>'ANALYSE - ERP =&gt; SOUS-SEGMENT'!$BS$63</f>
        <v>0.16</v>
      </c>
      <c r="N37" s="787">
        <f>'ANALYSE - ERP =&gt; SOUS-SEGMENT'!$BT$63</f>
        <v>0.66</v>
      </c>
      <c r="O37" s="787">
        <f>'ANALYSE - ERP =&gt; SOUS-SEGMENT'!$BU$63</f>
        <v>0.15</v>
      </c>
      <c r="P37" s="787">
        <f>'ANALYSE - ERP =&gt; SOUS-SEGMENT'!$BV$63</f>
        <v>0.03</v>
      </c>
      <c r="R37" s="791" t="s">
        <v>7719</v>
      </c>
      <c r="S37" s="424">
        <f>'ANALYSE - ERP =&gt; SOUS-SEGMENT'!$BJ$63</f>
        <v>18620</v>
      </c>
      <c r="T37" s="430">
        <f>'ANALYSE - ERP =&gt; SOUS-SEGMENT'!$Q$63</f>
        <v>1</v>
      </c>
    </row>
    <row r="38" spans="1:20" ht="15" customHeight="1">
      <c r="A38" s="26">
        <v>35</v>
      </c>
      <c r="B38" s="26">
        <v>41</v>
      </c>
      <c r="C38" s="422">
        <f>'ANALYSE - ERP =&gt; SOUS-SEGMENT'!$A$64</f>
        <v>57</v>
      </c>
      <c r="D38" s="414" t="str">
        <f>'ANALYSE - ERP =&gt; SOUS-SEGMENT'!$B$64</f>
        <v>Culture, Patrimoine &amp; Evénementiel</v>
      </c>
      <c r="E38" s="414" t="str">
        <f>'ANALYSE - ERP =&gt; SOUS-SEGMENT'!$C$64</f>
        <v>Culture / spectacle</v>
      </c>
      <c r="F38" s="414" t="str">
        <f>'ANALYSE - ERP =&gt; SOUS-SEGMENT'!$D$64</f>
        <v>Musées</v>
      </c>
      <c r="H38" s="787">
        <f>'ANALYSE - ERP =&gt; SOUS-SEGMENT'!$BO$64</f>
        <v>0.18</v>
      </c>
      <c r="I38" s="787">
        <f>'ANALYSE - ERP =&gt; SOUS-SEGMENT'!$BP$64</f>
        <v>0.65</v>
      </c>
      <c r="J38" s="787">
        <f>'ANALYSE - ERP =&gt; SOUS-SEGMENT'!$BQ$64</f>
        <v>0.12</v>
      </c>
      <c r="K38" s="787">
        <f>'ANALYSE - ERP =&gt; SOUS-SEGMENT'!$BR$64</f>
        <v>0.05</v>
      </c>
      <c r="M38" s="787">
        <f>'ANALYSE - ERP =&gt; SOUS-SEGMENT'!$BS$64</f>
        <v>0.16</v>
      </c>
      <c r="N38" s="787">
        <f>'ANALYSE - ERP =&gt; SOUS-SEGMENT'!$BT$64</f>
        <v>0.66</v>
      </c>
      <c r="O38" s="787">
        <f>'ANALYSE - ERP =&gt; SOUS-SEGMENT'!$BU$64</f>
        <v>0.15</v>
      </c>
      <c r="P38" s="787">
        <f>'ANALYSE - ERP =&gt; SOUS-SEGMENT'!$BV$64</f>
        <v>0.03</v>
      </c>
      <c r="R38" s="791" t="s">
        <v>7719</v>
      </c>
      <c r="S38" s="424">
        <f>'ANALYSE - ERP =&gt; SOUS-SEGMENT'!$BJ$64</f>
        <v>9760</v>
      </c>
      <c r="T38" s="430">
        <f>'ANALYSE - ERP =&gt; SOUS-SEGMENT'!$Q$64</f>
        <v>1</v>
      </c>
    </row>
    <row r="39" spans="1:20" ht="15" customHeight="1">
      <c r="A39" s="26">
        <v>36</v>
      </c>
      <c r="B39" s="26">
        <v>42</v>
      </c>
      <c r="C39" s="422">
        <f>'ANALYSE - ERP =&gt; SOUS-SEGMENT'!$A$67</f>
        <v>60</v>
      </c>
      <c r="D39" s="414" t="str">
        <f>'ANALYSE - ERP =&gt; SOUS-SEGMENT'!$B$67</f>
        <v>Culture, Patrimoine &amp; Evénementiel</v>
      </c>
      <c r="E39" s="414" t="str">
        <f>'ANALYSE - ERP =&gt; SOUS-SEGMENT'!$C$67</f>
        <v>Culture / spectacle</v>
      </c>
      <c r="F39" s="414" t="str">
        <f>'ANALYSE - ERP =&gt; SOUS-SEGMENT'!$D$67</f>
        <v>Salles polyvalentes / Salles des fêtes</v>
      </c>
      <c r="H39" s="787">
        <f>'ANALYSE - ERP =&gt; SOUS-SEGMENT'!$BO$67</f>
        <v>0.25</v>
      </c>
      <c r="I39" s="787">
        <f>'ANALYSE - ERP =&gt; SOUS-SEGMENT'!$BP$67</f>
        <v>0.62</v>
      </c>
      <c r="J39" s="787">
        <f>'ANALYSE - ERP =&gt; SOUS-SEGMENT'!$BQ$67</f>
        <v>0.08</v>
      </c>
      <c r="K39" s="787">
        <f>'ANALYSE - ERP =&gt; SOUS-SEGMENT'!$BR$67</f>
        <v>0.05</v>
      </c>
      <c r="M39" s="787">
        <f>'ANALYSE - ERP =&gt; SOUS-SEGMENT'!$BS$67</f>
        <v>0.22</v>
      </c>
      <c r="N39" s="787">
        <f>'ANALYSE - ERP =&gt; SOUS-SEGMENT'!$BT$67</f>
        <v>0.62</v>
      </c>
      <c r="O39" s="787">
        <f>'ANALYSE - ERP =&gt; SOUS-SEGMENT'!$BU$67</f>
        <v>0.11</v>
      </c>
      <c r="P39" s="787">
        <f>'ANALYSE - ERP =&gt; SOUS-SEGMENT'!$BV$67</f>
        <v>0.05</v>
      </c>
      <c r="R39" s="791" t="s">
        <v>7719</v>
      </c>
      <c r="S39" s="424">
        <f>'ANALYSE - ERP =&gt; SOUS-SEGMENT'!$BJ$67</f>
        <v>222300</v>
      </c>
      <c r="T39" s="430">
        <f>'ANALYSE - ERP =&gt; SOUS-SEGMENT'!$Q$67</f>
        <v>1</v>
      </c>
    </row>
    <row r="40" spans="1:20" ht="15" customHeight="1">
      <c r="A40" s="26">
        <v>37</v>
      </c>
      <c r="B40" s="26">
        <v>43</v>
      </c>
      <c r="C40" s="422">
        <f>'ANALYSE - ERP =&gt; SOUS-SEGMENT'!$A$68</f>
        <v>61</v>
      </c>
      <c r="D40" s="414" t="str">
        <f>'ANALYSE - ERP =&gt; SOUS-SEGMENT'!$B$68</f>
        <v>Culture, Patrimoine &amp; Evénementiel</v>
      </c>
      <c r="E40" s="414" t="str">
        <f>'ANALYSE - ERP =&gt; SOUS-SEGMENT'!$C$68</f>
        <v>Culture / spectacle</v>
      </c>
      <c r="F40" s="414" t="str">
        <f>'ANALYSE - ERP =&gt; SOUS-SEGMENT'!$D$68</f>
        <v>Bibliothèques / Médiathèques</v>
      </c>
      <c r="H40" s="787">
        <f>'ANALYSE - ERP =&gt; SOUS-SEGMENT'!$BO$68</f>
        <v>0.18</v>
      </c>
      <c r="I40" s="787">
        <f>'ANALYSE - ERP =&gt; SOUS-SEGMENT'!$BP$68</f>
        <v>0.65</v>
      </c>
      <c r="J40" s="787">
        <f>'ANALYSE - ERP =&gt; SOUS-SEGMENT'!$BQ$68</f>
        <v>0.12</v>
      </c>
      <c r="K40" s="787">
        <f>'ANALYSE - ERP =&gt; SOUS-SEGMENT'!$BR$68</f>
        <v>0.05</v>
      </c>
      <c r="M40" s="787">
        <f>'ANALYSE - ERP =&gt; SOUS-SEGMENT'!$BS$68</f>
        <v>0.16</v>
      </c>
      <c r="N40" s="787">
        <f>'ANALYSE - ERP =&gt; SOUS-SEGMENT'!$BT$68</f>
        <v>0.66</v>
      </c>
      <c r="O40" s="787">
        <f>'ANALYSE - ERP =&gt; SOUS-SEGMENT'!$BU$68</f>
        <v>0.15</v>
      </c>
      <c r="P40" s="787">
        <f>'ANALYSE - ERP =&gt; SOUS-SEGMENT'!$BV$68</f>
        <v>0.03</v>
      </c>
      <c r="R40" s="791" t="s">
        <v>7719</v>
      </c>
      <c r="S40" s="424">
        <f>'ANALYSE - ERP =&gt; SOUS-SEGMENT'!$BJ$68</f>
        <v>61000</v>
      </c>
      <c r="T40" s="430">
        <f>'ANALYSE - ERP =&gt; SOUS-SEGMENT'!$Q$68</f>
        <v>1</v>
      </c>
    </row>
    <row r="41" spans="1:20" ht="15" customHeight="1">
      <c r="A41" s="26">
        <v>38</v>
      </c>
      <c r="B41" s="26">
        <v>38</v>
      </c>
      <c r="C41" s="422">
        <f>'ANALYSE - ERP =&gt; SOUS-SEGMENT'!$A$108</f>
        <v>101</v>
      </c>
      <c r="D41" s="415" t="str">
        <f>'ANALYSE - ERP =&gt; SOUS-SEGMENT'!$B$108</f>
        <v>Culte, Vie civique &amp; Services publics</v>
      </c>
      <c r="E41" s="415" t="str">
        <f>'ANALYSE - ERP =&gt; SOUS-SEGMENT'!$C$108</f>
        <v>Administrations / services publics</v>
      </c>
      <c r="F41" s="415" t="str">
        <f>'ANALYSE - ERP =&gt; SOUS-SEGMENT'!$D$108</f>
        <v>Maisons France Services / Guichets publics autonomes ou dédiés</v>
      </c>
      <c r="H41" s="787">
        <f>'ANALYSE - ERP =&gt; SOUS-SEGMENT'!$BO$108</f>
        <v>0.16</v>
      </c>
      <c r="I41" s="787">
        <f>'ANALYSE - ERP =&gt; SOUS-SEGMENT'!$BP$108</f>
        <v>0.7</v>
      </c>
      <c r="J41" s="787">
        <f>'ANALYSE - ERP =&gt; SOUS-SEGMENT'!$BQ$108</f>
        <v>0.1</v>
      </c>
      <c r="K41" s="787">
        <f>'ANALYSE - ERP =&gt; SOUS-SEGMENT'!$BR$108</f>
        <v>0.04</v>
      </c>
      <c r="M41" s="787">
        <f>'ANALYSE - ERP =&gt; SOUS-SEGMENT'!$BS$108</f>
        <v>0.14000000000000001</v>
      </c>
      <c r="N41" s="787">
        <f>'ANALYSE - ERP =&gt; SOUS-SEGMENT'!$BT$108</f>
        <v>0.7</v>
      </c>
      <c r="O41" s="787">
        <f>'ANALYSE - ERP =&gt; SOUS-SEGMENT'!$BU$108</f>
        <v>0.13</v>
      </c>
      <c r="P41" s="787">
        <f>'ANALYSE - ERP =&gt; SOUS-SEGMENT'!$BV$108</f>
        <v>0.03</v>
      </c>
      <c r="R41" s="791" t="s">
        <v>7719</v>
      </c>
      <c r="S41" s="424">
        <f>'ANALYSE - ERP =&gt; SOUS-SEGMENT'!$BJ$108</f>
        <v>2740</v>
      </c>
      <c r="T41" s="430">
        <f>'ANALYSE - ERP =&gt; SOUS-SEGMENT'!$Q$108</f>
        <v>1</v>
      </c>
    </row>
    <row r="42" spans="1:20" ht="15" customHeight="1">
      <c r="A42" s="26">
        <v>39</v>
      </c>
      <c r="B42" s="26">
        <v>35</v>
      </c>
      <c r="C42" s="422">
        <f>'ANALYSE - ERP =&gt; SOUS-SEGMENT'!$A$13</f>
        <v>6</v>
      </c>
      <c r="D42" s="411" t="str">
        <f>'ANALYSE - ERP =&gt; SOUS-SEGMENT'!$B$13</f>
        <v>Enfance, Enseignement, Jeunesse &amp; Formation</v>
      </c>
      <c r="E42" s="411" t="str">
        <f>'ANALYSE - ERP =&gt; SOUS-SEGMENT'!$C$13</f>
        <v>Enseignement scolaire</v>
      </c>
      <c r="F42" s="411" t="str">
        <f>'ANALYSE - ERP =&gt; SOUS-SEGMENT'!$D$13</f>
        <v>Collèges
(vestiaires EPS inclus)</v>
      </c>
      <c r="H42" s="787">
        <f>'ANALYSE - ERP =&gt; SOUS-SEGMENT'!$BO$13</f>
        <v>0.12</v>
      </c>
      <c r="I42" s="787">
        <f>'ANALYSE - ERP =&gt; SOUS-SEGMENT'!$BP$13</f>
        <v>0.78</v>
      </c>
      <c r="J42" s="787">
        <f>'ANALYSE - ERP =&gt; SOUS-SEGMENT'!$BQ$13</f>
        <v>0.06</v>
      </c>
      <c r="K42" s="787">
        <f>'ANALYSE - ERP =&gt; SOUS-SEGMENT'!$BR$13</f>
        <v>0.04</v>
      </c>
      <c r="M42" s="787">
        <f>'ANALYSE - ERP =&gt; SOUS-SEGMENT'!$BS$13</f>
        <v>0.1</v>
      </c>
      <c r="N42" s="787">
        <f>'ANALYSE - ERP =&gt; SOUS-SEGMENT'!$BT$13</f>
        <v>0.79</v>
      </c>
      <c r="O42" s="787">
        <f>'ANALYSE - ERP =&gt; SOUS-SEGMENT'!$BU$13</f>
        <v>0.08</v>
      </c>
      <c r="P42" s="787">
        <f>'ANALYSE - ERP =&gt; SOUS-SEGMENT'!$BV$13</f>
        <v>0.03</v>
      </c>
      <c r="R42" s="791" t="s">
        <v>7719</v>
      </c>
      <c r="S42" s="424">
        <f>'ANALYSE - ERP =&gt; SOUS-SEGMENT'!$BJ$13</f>
        <v>194870</v>
      </c>
      <c r="T42" s="430">
        <f>'ANALYSE - ERP =&gt; SOUS-SEGMENT'!$Q$13</f>
        <v>1</v>
      </c>
    </row>
    <row r="43" spans="1:20" ht="15" customHeight="1">
      <c r="A43" s="26">
        <v>40</v>
      </c>
      <c r="B43" s="26">
        <v>36</v>
      </c>
      <c r="C43" s="422">
        <f>'ANALYSE - ERP =&gt; SOUS-SEGMENT'!$A$14</f>
        <v>7</v>
      </c>
      <c r="D43" s="411" t="str">
        <f>'ANALYSE - ERP =&gt; SOUS-SEGMENT'!$B$14</f>
        <v>Enfance, Enseignement, Jeunesse &amp; Formation</v>
      </c>
      <c r="E43" s="411" t="str">
        <f>'ANALYSE - ERP =&gt; SOUS-SEGMENT'!$C$14</f>
        <v>Enseignement scolaire</v>
      </c>
      <c r="F43" s="411" t="str">
        <f>'ANALYSE - ERP =&gt; SOUS-SEGMENT'!$D$14</f>
        <v>Lycées
(vestiaires EPS inclus)</v>
      </c>
      <c r="H43" s="787">
        <f>'ANALYSE - ERP =&gt; SOUS-SEGMENT'!$BO$14</f>
        <v>0.12</v>
      </c>
      <c r="I43" s="787">
        <f>'ANALYSE - ERP =&gt; SOUS-SEGMENT'!$BP$14</f>
        <v>0.78</v>
      </c>
      <c r="J43" s="787">
        <f>'ANALYSE - ERP =&gt; SOUS-SEGMENT'!$BQ$14</f>
        <v>0.06</v>
      </c>
      <c r="K43" s="787">
        <f>'ANALYSE - ERP =&gt; SOUS-SEGMENT'!$BR$14</f>
        <v>0.04</v>
      </c>
      <c r="M43" s="787">
        <f>'ANALYSE - ERP =&gt; SOUS-SEGMENT'!$BS$14</f>
        <v>0.1</v>
      </c>
      <c r="N43" s="787">
        <f>'ANALYSE - ERP =&gt; SOUS-SEGMENT'!$BT$14</f>
        <v>0.79</v>
      </c>
      <c r="O43" s="787">
        <f>'ANALYSE - ERP =&gt; SOUS-SEGMENT'!$BU$14</f>
        <v>0.08</v>
      </c>
      <c r="P43" s="787">
        <f>'ANALYSE - ERP =&gt; SOUS-SEGMENT'!$BV$14</f>
        <v>0.03</v>
      </c>
      <c r="R43" s="791" t="s">
        <v>7719</v>
      </c>
      <c r="S43" s="424">
        <f>'ANALYSE - ERP =&gt; SOUS-SEGMENT'!$BJ$14</f>
        <v>187776</v>
      </c>
      <c r="T43" s="430">
        <f>'ANALYSE - ERP =&gt; SOUS-SEGMENT'!$Q$14</f>
        <v>1</v>
      </c>
    </row>
    <row r="44" spans="1:20" ht="15" customHeight="1">
      <c r="A44" s="26">
        <v>41</v>
      </c>
      <c r="B44" s="26">
        <v>37</v>
      </c>
      <c r="C44" s="422">
        <f>'ANALYSE - ERP =&gt; SOUS-SEGMENT'!$A$19</f>
        <v>12</v>
      </c>
      <c r="D44" s="411" t="str">
        <f>'ANALYSE - ERP =&gt; SOUS-SEGMENT'!$B$19</f>
        <v>Enfance, Enseignement, Jeunesse &amp; Formation</v>
      </c>
      <c r="E44" s="411" t="str">
        <f>'ANALYSE - ERP =&gt; SOUS-SEGMENT'!$C$19</f>
        <v>Formation</v>
      </c>
      <c r="F44" s="411" t="str">
        <f>'ANALYSE - ERP =&gt; SOUS-SEGMENT'!$D$19</f>
        <v>Centres de formation / CFA</v>
      </c>
      <c r="H44" s="787">
        <f>'ANALYSE - ERP =&gt; SOUS-SEGMENT'!$BO$19</f>
        <v>0.12</v>
      </c>
      <c r="I44" s="787">
        <f>'ANALYSE - ERP =&gt; SOUS-SEGMENT'!$BP$19</f>
        <v>0.78</v>
      </c>
      <c r="J44" s="787">
        <f>'ANALYSE - ERP =&gt; SOUS-SEGMENT'!$BQ$19</f>
        <v>0.06</v>
      </c>
      <c r="K44" s="787">
        <f>'ANALYSE - ERP =&gt; SOUS-SEGMENT'!$BR$19</f>
        <v>0.04</v>
      </c>
      <c r="M44" s="787">
        <f>'ANALYSE - ERP =&gt; SOUS-SEGMENT'!$BS$19</f>
        <v>0.1</v>
      </c>
      <c r="N44" s="787">
        <f>'ANALYSE - ERP =&gt; SOUS-SEGMENT'!$BT$19</f>
        <v>0.79</v>
      </c>
      <c r="O44" s="787">
        <f>'ANALYSE - ERP =&gt; SOUS-SEGMENT'!$BU$19</f>
        <v>0.08</v>
      </c>
      <c r="P44" s="787">
        <f>'ANALYSE - ERP =&gt; SOUS-SEGMENT'!$BV$19</f>
        <v>0.03</v>
      </c>
      <c r="R44" s="791" t="s">
        <v>7719</v>
      </c>
      <c r="S44" s="424">
        <f>'ANALYSE - ERP =&gt; SOUS-SEGMENT'!$BJ$19</f>
        <v>100320</v>
      </c>
      <c r="T44" s="430">
        <f>'ANALYSE - ERP =&gt; SOUS-SEGMENT'!$Q$19</f>
        <v>1</v>
      </c>
    </row>
    <row r="45" spans="1:20" ht="15" customHeight="1">
      <c r="A45" s="26">
        <v>42</v>
      </c>
      <c r="B45" s="26">
        <v>44</v>
      </c>
      <c r="C45" s="422">
        <f>'ANALYSE - ERP =&gt; SOUS-SEGMENT'!$A$81</f>
        <v>74</v>
      </c>
      <c r="D45" s="408" t="str">
        <f>'ANALYSE - ERP =&gt; SOUS-SEGMENT'!$B$81</f>
        <v>Commerce, Restauration &amp; Loisirs</v>
      </c>
      <c r="E45" s="408" t="str">
        <f>'ANALYSE - ERP =&gt; SOUS-SEGMENT'!$C$81</f>
        <v>Commerce</v>
      </c>
      <c r="F45" s="408" t="str">
        <f>'ANALYSE - ERP =&gt; SOUS-SEGMENT'!$D$81</f>
        <v>Marchés couverts</v>
      </c>
      <c r="H45" s="787">
        <f>'ANALYSE - ERP =&gt; SOUS-SEGMENT'!$BO$81</f>
        <v>0.39</v>
      </c>
      <c r="I45" s="787">
        <f>'ANALYSE - ERP =&gt; SOUS-SEGMENT'!$BP$81</f>
        <v>0.41</v>
      </c>
      <c r="J45" s="787">
        <f>'ANALYSE - ERP =&gt; SOUS-SEGMENT'!$BQ$81</f>
        <v>0.15</v>
      </c>
      <c r="K45" s="787">
        <f>'ANALYSE - ERP =&gt; SOUS-SEGMENT'!$BR$81</f>
        <v>0.05</v>
      </c>
      <c r="M45" s="787">
        <f>'ANALYSE - ERP =&gt; SOUS-SEGMENT'!$BS$81</f>
        <v>0.36</v>
      </c>
      <c r="N45" s="787">
        <f>'ANALYSE - ERP =&gt; SOUS-SEGMENT'!$BT$81</f>
        <v>0.39</v>
      </c>
      <c r="O45" s="787">
        <f>'ANALYSE - ERP =&gt; SOUS-SEGMENT'!$BU$81</f>
        <v>0.2</v>
      </c>
      <c r="P45" s="787">
        <f>'ANALYSE - ERP =&gt; SOUS-SEGMENT'!$BV$81</f>
        <v>0.05</v>
      </c>
      <c r="R45" s="791" t="s">
        <v>7719</v>
      </c>
      <c r="S45" s="424">
        <f>'ANALYSE - ERP =&gt; SOUS-SEGMENT'!$BJ$81</f>
        <v>5600</v>
      </c>
      <c r="T45" s="430">
        <f>'ANALYSE - ERP =&gt; SOUS-SEGMENT'!$Q$81</f>
        <v>1</v>
      </c>
    </row>
    <row r="46" spans="1:20" ht="15" customHeight="1">
      <c r="A46" s="26">
        <v>43</v>
      </c>
      <c r="B46" s="26">
        <v>33</v>
      </c>
      <c r="C46" s="422">
        <f>'ANALYSE - ERP =&gt; SOUS-SEGMENT'!$A$24</f>
        <v>17</v>
      </c>
      <c r="D46" s="410" t="str">
        <f>'ANALYSE - ERP =&gt; SOUS-SEGMENT'!$B$24</f>
        <v>Sports &amp; Loisirs</v>
      </c>
      <c r="E46" s="410" t="str">
        <f>'ANALYSE - ERP =&gt; SOUS-SEGMENT'!$C$24</f>
        <v>Sport couvert / Thermalisme / Bien-être</v>
      </c>
      <c r="F46" s="410" t="str">
        <f>'ANALYSE - ERP =&gt; SOUS-SEGMENT'!$D$24</f>
        <v>Piscines couvertes</v>
      </c>
      <c r="H46" s="787">
        <f>'ANALYSE - ERP =&gt; SOUS-SEGMENT'!$BO$24</f>
        <v>0.1</v>
      </c>
      <c r="I46" s="787">
        <f>'ANALYSE - ERP =&gt; SOUS-SEGMENT'!$BP$24</f>
        <v>0.76</v>
      </c>
      <c r="J46" s="787">
        <f>'ANALYSE - ERP =&gt; SOUS-SEGMENT'!$BQ$24</f>
        <v>0.08</v>
      </c>
      <c r="K46" s="787">
        <f>'ANALYSE - ERP =&gt; SOUS-SEGMENT'!$BR$24</f>
        <v>0.06</v>
      </c>
      <c r="M46" s="787">
        <f>'ANALYSE - ERP =&gt; SOUS-SEGMENT'!$BS$24</f>
        <v>0.08</v>
      </c>
      <c r="N46" s="787">
        <f>'ANALYSE - ERP =&gt; SOUS-SEGMENT'!$BT$24</f>
        <v>0.76</v>
      </c>
      <c r="O46" s="787">
        <f>'ANALYSE - ERP =&gt; SOUS-SEGMENT'!$BU$24</f>
        <v>0.1</v>
      </c>
      <c r="P46" s="787">
        <f>'ANALYSE - ERP =&gt; SOUS-SEGMENT'!$BV$24</f>
        <v>0.06</v>
      </c>
      <c r="R46" s="791" t="s">
        <v>7719</v>
      </c>
      <c r="S46" s="424">
        <f>'ANALYSE - ERP =&gt; SOUS-SEGMENT'!$BJ$24</f>
        <v>47200</v>
      </c>
      <c r="T46" s="430">
        <f>'ANALYSE - ERP =&gt; SOUS-SEGMENT'!$Q$24</f>
        <v>1</v>
      </c>
    </row>
    <row r="47" spans="1:20" ht="15" customHeight="1">
      <c r="A47" s="26">
        <v>44</v>
      </c>
      <c r="B47" s="26">
        <v>34</v>
      </c>
      <c r="C47" s="422">
        <f>'ANALYSE - ERP =&gt; SOUS-SEGMENT'!$A$31</f>
        <v>24</v>
      </c>
      <c r="D47" s="410" t="str">
        <f>'ANALYSE - ERP =&gt; SOUS-SEGMENT'!$B$31</f>
        <v>Sports &amp; Loisirs</v>
      </c>
      <c r="E47" s="410" t="str">
        <f>'ANALYSE - ERP =&gt; SOUS-SEGMENT'!$C$31</f>
        <v>Sport de plein air</v>
      </c>
      <c r="F47" s="410" t="str">
        <f>'ANALYSE - ERP =&gt; SOUS-SEGMENT'!$D$31</f>
        <v>Piscines extérieures 
(Hors campings, hôtels, résidences et établissement avec bassin intérieur)</v>
      </c>
      <c r="H47" s="787">
        <f>'ANALYSE - ERP =&gt; SOUS-SEGMENT'!$BO$31</f>
        <v>0.1</v>
      </c>
      <c r="I47" s="787">
        <f>'ANALYSE - ERP =&gt; SOUS-SEGMENT'!$BP$31</f>
        <v>0.76</v>
      </c>
      <c r="J47" s="787">
        <f>'ANALYSE - ERP =&gt; SOUS-SEGMENT'!$BQ$31</f>
        <v>0.08</v>
      </c>
      <c r="K47" s="787">
        <f>'ANALYSE - ERP =&gt; SOUS-SEGMENT'!$BR$31</f>
        <v>0.06</v>
      </c>
      <c r="M47" s="787">
        <f>'ANALYSE - ERP =&gt; SOUS-SEGMENT'!$BS$31</f>
        <v>0.08</v>
      </c>
      <c r="N47" s="787">
        <f>'ANALYSE - ERP =&gt; SOUS-SEGMENT'!$BT$31</f>
        <v>0.76</v>
      </c>
      <c r="O47" s="787">
        <f>'ANALYSE - ERP =&gt; SOUS-SEGMENT'!$BU$31</f>
        <v>0.1</v>
      </c>
      <c r="P47" s="787">
        <f>'ANALYSE - ERP =&gt; SOUS-SEGMENT'!$BV$31</f>
        <v>0.06</v>
      </c>
      <c r="R47" s="791" t="s">
        <v>7719</v>
      </c>
      <c r="S47" s="424">
        <f>'ANALYSE - ERP =&gt; SOUS-SEGMENT'!$BJ$31</f>
        <v>7500</v>
      </c>
      <c r="T47" s="430">
        <f>'ANALYSE - ERP =&gt; SOUS-SEGMENT'!$Q$31</f>
        <v>1</v>
      </c>
    </row>
    <row r="48" spans="1:20" ht="15" customHeight="1">
      <c r="A48" s="26">
        <v>45</v>
      </c>
      <c r="B48" s="26">
        <v>49</v>
      </c>
      <c r="C48" s="422">
        <f>'ANALYSE - ERP =&gt; SOUS-SEGMENT'!$A$84</f>
        <v>77</v>
      </c>
      <c r="D48" s="416" t="str">
        <f>'ANALYSE - ERP =&gt; SOUS-SEGMENT'!$B$84</f>
        <v>Tertiaire &amp; Industriel</v>
      </c>
      <c r="E48" s="416" t="str">
        <f>'ANALYSE - ERP =&gt; SOUS-SEGMENT'!$C$84</f>
        <v>Usines &amp; Ateliers</v>
      </c>
      <c r="F48" s="416" t="str">
        <f>'ANALYSE - ERP =&gt; SOUS-SEGMENT'!$D$84</f>
        <v>Usines 
(&gt;50 salariés)
(Hors Ateliers industriels)</v>
      </c>
      <c r="H48" s="787">
        <f>'ANALYSE - ERP =&gt; SOUS-SEGMENT'!$BO$84</f>
        <v>0.42</v>
      </c>
      <c r="I48" s="787">
        <f>'ANALYSE - ERP =&gt; SOUS-SEGMENT'!$BP$84</f>
        <v>0.39</v>
      </c>
      <c r="J48" s="787">
        <f>'ANALYSE - ERP =&gt; SOUS-SEGMENT'!$BQ$84</f>
        <v>0.14000000000000001</v>
      </c>
      <c r="K48" s="787">
        <f>'ANALYSE - ERP =&gt; SOUS-SEGMENT'!$BR$84</f>
        <v>0.05</v>
      </c>
      <c r="M48" s="787">
        <f>'ANALYSE - ERP =&gt; SOUS-SEGMENT'!$BS$84</f>
        <v>0.39</v>
      </c>
      <c r="N48" s="787">
        <f>'ANALYSE - ERP =&gt; SOUS-SEGMENT'!$BT$84</f>
        <v>0.4</v>
      </c>
      <c r="O48" s="787">
        <f>'ANALYSE - ERP =&gt; SOUS-SEGMENT'!$BU$84</f>
        <v>0.18</v>
      </c>
      <c r="P48" s="787">
        <f>'ANALYSE - ERP =&gt; SOUS-SEGMENT'!$BV$84</f>
        <v>0.03</v>
      </c>
      <c r="R48" s="791" t="s">
        <v>7719</v>
      </c>
      <c r="S48" s="424">
        <f>'ANALYSE - ERP =&gt; SOUS-SEGMENT'!$BJ$84</f>
        <v>226250</v>
      </c>
      <c r="T48" s="430">
        <f>'ANALYSE - ERP =&gt; SOUS-SEGMENT'!$Q$84</f>
        <v>1</v>
      </c>
    </row>
    <row r="49" spans="1:20" ht="15" customHeight="1">
      <c r="A49" s="26">
        <v>46</v>
      </c>
      <c r="B49" s="26">
        <v>45</v>
      </c>
      <c r="C49" s="422">
        <f>'ANALYSE - ERP =&gt; SOUS-SEGMENT'!$A$29</f>
        <v>22</v>
      </c>
      <c r="D49" s="410" t="str">
        <f>'ANALYSE - ERP =&gt; SOUS-SEGMENT'!$B$29</f>
        <v>Sports &amp; Loisirs</v>
      </c>
      <c r="E49" s="410" t="str">
        <f>'ANALYSE - ERP =&gt; SOUS-SEGMENT'!$C$29</f>
        <v>Sport de plein air</v>
      </c>
      <c r="F49" s="410" t="str">
        <f>'ANALYSE - ERP =&gt; SOUS-SEGMENT'!$D$29</f>
        <v xml:space="preserve">Grands stades avec tribunes
(Type football/rugby) </v>
      </c>
      <c r="H49" s="787">
        <f>'ANALYSE - ERP =&gt; SOUS-SEGMENT'!$BO$29</f>
        <v>0.08</v>
      </c>
      <c r="I49" s="787">
        <f>'ANALYSE - ERP =&gt; SOUS-SEGMENT'!$BP$29</f>
        <v>0.82</v>
      </c>
      <c r="J49" s="787">
        <f>'ANALYSE - ERP =&gt; SOUS-SEGMENT'!$BQ$29</f>
        <v>0.04</v>
      </c>
      <c r="K49" s="787">
        <f>'ANALYSE - ERP =&gt; SOUS-SEGMENT'!$BR$29</f>
        <v>0.06</v>
      </c>
      <c r="M49" s="787">
        <f>'ANALYSE - ERP =&gt; SOUS-SEGMENT'!$BS$29</f>
        <v>7.0000000000000007E-2</v>
      </c>
      <c r="N49" s="787">
        <f>'ANALYSE - ERP =&gt; SOUS-SEGMENT'!$BT$29</f>
        <v>0.82</v>
      </c>
      <c r="O49" s="787">
        <f>'ANALYSE - ERP =&gt; SOUS-SEGMENT'!$BU$29</f>
        <v>0.05</v>
      </c>
      <c r="P49" s="787">
        <f>'ANALYSE - ERP =&gt; SOUS-SEGMENT'!$BV$29</f>
        <v>0.06</v>
      </c>
      <c r="R49" s="791" t="s">
        <v>7719</v>
      </c>
      <c r="S49" s="424">
        <f>'ANALYSE - ERP =&gt; SOUS-SEGMENT'!$BJ$29</f>
        <v>27025</v>
      </c>
      <c r="T49" s="430">
        <f>'ANALYSE - ERP =&gt; SOUS-SEGMENT'!$Q$29</f>
        <v>1</v>
      </c>
    </row>
    <row r="50" spans="1:20" ht="15" customHeight="1">
      <c r="A50" s="26">
        <v>47</v>
      </c>
      <c r="B50" s="26">
        <v>46</v>
      </c>
      <c r="C50" s="422">
        <f>'ANALYSE - ERP =&gt; SOUS-SEGMENT'!$A$28</f>
        <v>21</v>
      </c>
      <c r="D50" s="410" t="str">
        <f>'ANALYSE - ERP =&gt; SOUS-SEGMENT'!$B$28</f>
        <v>Sports &amp; Loisirs</v>
      </c>
      <c r="E50" s="410" t="str">
        <f>'ANALYSE - ERP =&gt; SOUS-SEGMENT'!$C$28</f>
        <v>Sport de plein air</v>
      </c>
      <c r="F50" s="410" t="str">
        <f>'ANALYSE - ERP =&gt; SOUS-SEGMENT'!$D$28</f>
        <v>Stades avec tribunes
(Hors grands stades, hors terrains sport)</v>
      </c>
      <c r="H50" s="787">
        <f>'ANALYSE - ERP =&gt; SOUS-SEGMENT'!$BO$28</f>
        <v>0.08</v>
      </c>
      <c r="I50" s="787">
        <f>'ANALYSE - ERP =&gt; SOUS-SEGMENT'!$BP$28</f>
        <v>0.82</v>
      </c>
      <c r="J50" s="787">
        <f>'ANALYSE - ERP =&gt; SOUS-SEGMENT'!$BQ$28</f>
        <v>0.04</v>
      </c>
      <c r="K50" s="787">
        <f>'ANALYSE - ERP =&gt; SOUS-SEGMENT'!$BR$28</f>
        <v>0.06</v>
      </c>
      <c r="M50" s="787">
        <f>'ANALYSE - ERP =&gt; SOUS-SEGMENT'!$BS$28</f>
        <v>7.0000000000000007E-2</v>
      </c>
      <c r="N50" s="787">
        <f>'ANALYSE - ERP =&gt; SOUS-SEGMENT'!$BT$28</f>
        <v>0.82</v>
      </c>
      <c r="O50" s="787">
        <f>'ANALYSE - ERP =&gt; SOUS-SEGMENT'!$BU$28</f>
        <v>0.05</v>
      </c>
      <c r="P50" s="787">
        <f>'ANALYSE - ERP =&gt; SOUS-SEGMENT'!$BV$28</f>
        <v>0.06</v>
      </c>
      <c r="R50" s="791" t="s">
        <v>7719</v>
      </c>
      <c r="S50" s="424">
        <f>'ANALYSE - ERP =&gt; SOUS-SEGMENT'!$BJ$28</f>
        <v>22750</v>
      </c>
      <c r="T50" s="430">
        <f>'ANALYSE - ERP =&gt; SOUS-SEGMENT'!$Q$28</f>
        <v>1</v>
      </c>
    </row>
    <row r="51" spans="1:20" ht="15" customHeight="1">
      <c r="A51" s="26">
        <v>48</v>
      </c>
      <c r="B51" s="26">
        <v>47</v>
      </c>
      <c r="C51" s="422">
        <f>'ANALYSE - ERP =&gt; SOUS-SEGMENT'!$A$27</f>
        <v>20</v>
      </c>
      <c r="D51" s="410" t="str">
        <f>'ANALYSE - ERP =&gt; SOUS-SEGMENT'!$B$27</f>
        <v>Sports &amp; Loisirs</v>
      </c>
      <c r="E51" s="410" t="str">
        <f>'ANALYSE - ERP =&gt; SOUS-SEGMENT'!$C$27</f>
        <v>Sport de plein air</v>
      </c>
      <c r="F51" s="410" t="str">
        <f>'ANALYSE - ERP =&gt; SOUS-SEGMENT'!$D$27</f>
        <v>Terrains de sport
(Hors scolaire, sans tribune)</v>
      </c>
      <c r="H51" s="787">
        <f>'ANALYSE - ERP =&gt; SOUS-SEGMENT'!$BO$27</f>
        <v>0.1</v>
      </c>
      <c r="I51" s="787">
        <f>'ANALYSE - ERP =&gt; SOUS-SEGMENT'!$BP$27</f>
        <v>0.76</v>
      </c>
      <c r="J51" s="787">
        <f>'ANALYSE - ERP =&gt; SOUS-SEGMENT'!$BQ$27</f>
        <v>0.08</v>
      </c>
      <c r="K51" s="787">
        <f>'ANALYSE - ERP =&gt; SOUS-SEGMENT'!$BR$27</f>
        <v>0.06</v>
      </c>
      <c r="M51" s="787">
        <f>'ANALYSE - ERP =&gt; SOUS-SEGMENT'!$BS$27</f>
        <v>0.08</v>
      </c>
      <c r="N51" s="787">
        <f>'ANALYSE - ERP =&gt; SOUS-SEGMENT'!$BT$27</f>
        <v>0.76</v>
      </c>
      <c r="O51" s="787">
        <f>'ANALYSE - ERP =&gt; SOUS-SEGMENT'!$BU$27</f>
        <v>0.1</v>
      </c>
      <c r="P51" s="787">
        <f>'ANALYSE - ERP =&gt; SOUS-SEGMENT'!$BV$27</f>
        <v>0.06</v>
      </c>
      <c r="R51" s="791" t="s">
        <v>7719</v>
      </c>
      <c r="S51" s="424">
        <f>'ANALYSE - ERP =&gt; SOUS-SEGMENT'!$BJ$27</f>
        <v>221000</v>
      </c>
      <c r="T51" s="430">
        <f>'ANALYSE - ERP =&gt; SOUS-SEGMENT'!$Q$27</f>
        <v>1</v>
      </c>
    </row>
    <row r="52" spans="1:20" ht="15" customHeight="1">
      <c r="A52" s="26">
        <v>49</v>
      </c>
      <c r="B52" s="26">
        <v>48</v>
      </c>
      <c r="C52" s="422">
        <f>'ANALYSE - ERP =&gt; SOUS-SEGMENT'!$A$30</f>
        <v>23</v>
      </c>
      <c r="D52" s="410" t="str">
        <f>'ANALYSE - ERP =&gt; SOUS-SEGMENT'!$B$30</f>
        <v>Sports &amp; Loisirs</v>
      </c>
      <c r="E52" s="410" t="str">
        <f>'ANALYSE - ERP =&gt; SOUS-SEGMENT'!$C$30</f>
        <v>Sport de plein air</v>
      </c>
      <c r="F52" s="410" t="str">
        <f>'ANALYSE - ERP =&gt; SOUS-SEGMENT'!$D$30</f>
        <v>Hippodromes, Centres équestres &amp; Manèges couverts</v>
      </c>
      <c r="H52" s="787">
        <f>'ANALYSE - ERP =&gt; SOUS-SEGMENT'!$BO$30</f>
        <v>0.1</v>
      </c>
      <c r="I52" s="787">
        <f>'ANALYSE - ERP =&gt; SOUS-SEGMENT'!$BP$30</f>
        <v>0.76</v>
      </c>
      <c r="J52" s="787">
        <f>'ANALYSE - ERP =&gt; SOUS-SEGMENT'!$BQ$30</f>
        <v>0.08</v>
      </c>
      <c r="K52" s="787">
        <f>'ANALYSE - ERP =&gt; SOUS-SEGMENT'!$BR$30</f>
        <v>0.06</v>
      </c>
      <c r="M52" s="787">
        <f>'ANALYSE - ERP =&gt; SOUS-SEGMENT'!$BS$30</f>
        <v>0.08</v>
      </c>
      <c r="N52" s="787">
        <f>'ANALYSE - ERP =&gt; SOUS-SEGMENT'!$BT$30</f>
        <v>0.76</v>
      </c>
      <c r="O52" s="787">
        <f>'ANALYSE - ERP =&gt; SOUS-SEGMENT'!$BU$30</f>
        <v>0.1</v>
      </c>
      <c r="P52" s="787">
        <f>'ANALYSE - ERP =&gt; SOUS-SEGMENT'!$BV$30</f>
        <v>0.06</v>
      </c>
      <c r="R52" s="791" t="s">
        <v>7719</v>
      </c>
      <c r="S52" s="424">
        <f>'ANALYSE - ERP =&gt; SOUS-SEGMENT'!$BJ$30</f>
        <v>29800</v>
      </c>
      <c r="T52" s="430">
        <f>'ANALYSE - ERP =&gt; SOUS-SEGMENT'!$Q$30</f>
        <v>1</v>
      </c>
    </row>
    <row r="53" spans="1:20" ht="15" customHeight="1">
      <c r="A53" s="26">
        <v>50</v>
      </c>
      <c r="B53" s="26">
        <v>50</v>
      </c>
      <c r="C53" s="422">
        <f>'ANALYSE - ERP =&gt; SOUS-SEGMENT'!$A$12</f>
        <v>5</v>
      </c>
      <c r="D53" s="411" t="str">
        <f>'ANALYSE - ERP =&gt; SOUS-SEGMENT'!$B$12</f>
        <v>Enfance, Enseignement, Jeunesse &amp; Formation</v>
      </c>
      <c r="E53" s="411" t="str">
        <f>'ANALYSE - ERP =&gt; SOUS-SEGMENT'!$C$12</f>
        <v>Enseignement scolaire</v>
      </c>
      <c r="F53" s="411" t="str">
        <f>'ANALYSE - ERP =&gt; SOUS-SEGMENT'!$D$12</f>
        <v>Écoles primaires</v>
      </c>
      <c r="H53" s="787">
        <f>'ANALYSE - ERP =&gt; SOUS-SEGMENT'!$BO$12</f>
        <v>0.18</v>
      </c>
      <c r="I53" s="787">
        <f>'ANALYSE - ERP =&gt; SOUS-SEGMENT'!$BP$12</f>
        <v>0.75</v>
      </c>
      <c r="J53" s="787">
        <f>'ANALYSE - ERP =&gt; SOUS-SEGMENT'!$BQ$12</f>
        <v>0.03</v>
      </c>
      <c r="K53" s="787">
        <f>'ANALYSE - ERP =&gt; SOUS-SEGMENT'!$BR$12</f>
        <v>0.04</v>
      </c>
      <c r="M53" s="787">
        <f>'ANALYSE - ERP =&gt; SOUS-SEGMENT'!$BS$12</f>
        <v>0.16</v>
      </c>
      <c r="N53" s="787">
        <f>'ANALYSE - ERP =&gt; SOUS-SEGMENT'!$BT$12</f>
        <v>0.76</v>
      </c>
      <c r="O53" s="787">
        <f>'ANALYSE - ERP =&gt; SOUS-SEGMENT'!$BU$12</f>
        <v>0.05</v>
      </c>
      <c r="P53" s="787">
        <f>'ANALYSE - ERP =&gt; SOUS-SEGMENT'!$BV$12</f>
        <v>0.03</v>
      </c>
      <c r="R53" s="791" t="s">
        <v>7719</v>
      </c>
      <c r="S53" s="424">
        <f>'ANALYSE - ERP =&gt; SOUS-SEGMENT'!$BJ$12</f>
        <v>423220</v>
      </c>
      <c r="T53" s="430">
        <f>'ANALYSE - ERP =&gt; SOUS-SEGMENT'!$Q$12</f>
        <v>1</v>
      </c>
    </row>
    <row r="54" spans="1:20" ht="15" customHeight="1">
      <c r="A54" s="26">
        <v>51</v>
      </c>
      <c r="B54" s="26">
        <v>51</v>
      </c>
      <c r="C54" s="422">
        <f>'ANALYSE - ERP =&gt; SOUS-SEGMENT'!$A$76</f>
        <v>69</v>
      </c>
      <c r="D54" s="408" t="str">
        <f>'ANALYSE - ERP =&gt; SOUS-SEGMENT'!$B$76</f>
        <v>Commerce, Restauration &amp; Loisirs</v>
      </c>
      <c r="E54" s="408" t="str">
        <f>'ANALYSE - ERP =&gt; SOUS-SEGMENT'!$C$76</f>
        <v>Restauration / boissons</v>
      </c>
      <c r="F54" s="408" t="str">
        <f>'ANALYSE - ERP =&gt; SOUS-SEGMENT'!$D$76</f>
        <v>Cafés / bars / brasseries</v>
      </c>
      <c r="H54" s="787">
        <f>'ANALYSE - ERP =&gt; SOUS-SEGMENT'!$BO$76</f>
        <v>0.32</v>
      </c>
      <c r="I54" s="787">
        <f>'ANALYSE - ERP =&gt; SOUS-SEGMENT'!$BP$76</f>
        <v>0.48</v>
      </c>
      <c r="J54" s="787">
        <f>'ANALYSE - ERP =&gt; SOUS-SEGMENT'!$BQ$76</f>
        <v>0.15</v>
      </c>
      <c r="K54" s="787">
        <f>'ANALYSE - ERP =&gt; SOUS-SEGMENT'!$BR$76</f>
        <v>0.05</v>
      </c>
      <c r="M54" s="787">
        <f>'ANALYSE - ERP =&gt; SOUS-SEGMENT'!$BS$76</f>
        <v>0.3</v>
      </c>
      <c r="N54" s="787">
        <f>'ANALYSE - ERP =&gt; SOUS-SEGMENT'!$BT$76</f>
        <v>0.48</v>
      </c>
      <c r="O54" s="787">
        <f>'ANALYSE - ERP =&gt; SOUS-SEGMENT'!$BU$76</f>
        <v>0.18</v>
      </c>
      <c r="P54" s="787">
        <f>'ANALYSE - ERP =&gt; SOUS-SEGMENT'!$BV$76</f>
        <v>0.04</v>
      </c>
      <c r="R54" s="791" t="s">
        <v>7719</v>
      </c>
      <c r="S54" s="424">
        <f>'ANALYSE - ERP =&gt; SOUS-SEGMENT'!$BJ$76</f>
        <v>178885</v>
      </c>
      <c r="T54" s="430">
        <f>'ANALYSE - ERP =&gt; SOUS-SEGMENT'!$Q$76</f>
        <v>1</v>
      </c>
    </row>
    <row r="55" spans="1:20" ht="15" customHeight="1">
      <c r="A55" s="26">
        <v>52</v>
      </c>
      <c r="B55" s="26">
        <v>53</v>
      </c>
      <c r="C55" s="422">
        <f>'ANALYSE - ERP =&gt; SOUS-SEGMENT'!$A$120</f>
        <v>113</v>
      </c>
      <c r="D55" s="415" t="str">
        <f>'ANALYSE - ERP =&gt; SOUS-SEGMENT'!$B$120</f>
        <v>Culte, Vie civique &amp; Services publics</v>
      </c>
      <c r="E55" s="415" t="str">
        <f>'ANALYSE - ERP =&gt; SOUS-SEGMENT'!$C$120</f>
        <v>Vie associative</v>
      </c>
      <c r="F55" s="415" t="str">
        <f>'ANALYSE - ERP =&gt; SOUS-SEGMENT'!$D$120</f>
        <v>Locaux associatifs recevant du public (dotés de sanitaires)</v>
      </c>
      <c r="H55" s="787">
        <f>'ANALYSE - ERP =&gt; SOUS-SEGMENT'!$BO$120</f>
        <v>0.36</v>
      </c>
      <c r="I55" s="787">
        <f>'ANALYSE - ERP =&gt; SOUS-SEGMENT'!$BP$120</f>
        <v>0.5</v>
      </c>
      <c r="J55" s="787">
        <f>'ANALYSE - ERP =&gt; SOUS-SEGMENT'!$BQ$120</f>
        <v>0.1</v>
      </c>
      <c r="K55" s="787">
        <f>'ANALYSE - ERP =&gt; SOUS-SEGMENT'!$BR$120</f>
        <v>0.04</v>
      </c>
      <c r="M55" s="787">
        <f>'ANALYSE - ERP =&gt; SOUS-SEGMENT'!$BS$120</f>
        <v>0.31</v>
      </c>
      <c r="N55" s="787">
        <f>'ANALYSE - ERP =&gt; SOUS-SEGMENT'!$BT$120</f>
        <v>0.51</v>
      </c>
      <c r="O55" s="787">
        <f>'ANALYSE - ERP =&gt; SOUS-SEGMENT'!$BU$120</f>
        <v>0.15</v>
      </c>
      <c r="P55" s="787">
        <f>'ANALYSE - ERP =&gt; SOUS-SEGMENT'!$BV$120</f>
        <v>0.03</v>
      </c>
      <c r="R55" s="791" t="s">
        <v>7719</v>
      </c>
      <c r="S55" s="424">
        <f>'ANALYSE - ERP =&gt; SOUS-SEGMENT'!$BJ$120</f>
        <v>17160</v>
      </c>
      <c r="T55" s="430">
        <f>'ANALYSE - ERP =&gt; SOUS-SEGMENT'!$Q$120</f>
        <v>1</v>
      </c>
    </row>
    <row r="56" spans="1:20" ht="15" customHeight="1">
      <c r="A56" s="26">
        <v>53</v>
      </c>
      <c r="B56" s="26">
        <v>52</v>
      </c>
      <c r="C56" s="422">
        <f>'ANALYSE - ERP =&gt; SOUS-SEGMENT'!$A$72</f>
        <v>65</v>
      </c>
      <c r="D56" s="414" t="str">
        <f>'ANALYSE - ERP =&gt; SOUS-SEGMENT'!$B$72</f>
        <v>Culture, Patrimoine &amp; Evénementiel</v>
      </c>
      <c r="E56" s="414" t="str">
        <f>'ANALYSE - ERP =&gt; SOUS-SEGMENT'!$C$72</f>
        <v>Événementiel temporaire</v>
      </c>
      <c r="F56" s="414" t="str">
        <f>'ANALYSE - ERP =&gt; SOUS-SEGMENT'!$D$72</f>
        <v>Chapiteaux / Tentes / Structures</v>
      </c>
      <c r="H56" s="787">
        <f>'ANALYSE - ERP =&gt; SOUS-SEGMENT'!$BO$72</f>
        <v>0.25</v>
      </c>
      <c r="I56" s="787">
        <f>'ANALYSE - ERP =&gt; SOUS-SEGMENT'!$BP$72</f>
        <v>0.62</v>
      </c>
      <c r="J56" s="787">
        <f>'ANALYSE - ERP =&gt; SOUS-SEGMENT'!$BQ$72</f>
        <v>0.08</v>
      </c>
      <c r="K56" s="787">
        <f>'ANALYSE - ERP =&gt; SOUS-SEGMENT'!$BR$72</f>
        <v>0.05</v>
      </c>
      <c r="M56" s="787">
        <f>'ANALYSE - ERP =&gt; SOUS-SEGMENT'!$BS$72</f>
        <v>0.22</v>
      </c>
      <c r="N56" s="787">
        <f>'ANALYSE - ERP =&gt; SOUS-SEGMENT'!$BT$72</f>
        <v>0.62</v>
      </c>
      <c r="O56" s="787">
        <f>'ANALYSE - ERP =&gt; SOUS-SEGMENT'!$BU$72</f>
        <v>0.11</v>
      </c>
      <c r="P56" s="787">
        <f>'ANALYSE - ERP =&gt; SOUS-SEGMENT'!$BV$72</f>
        <v>0.05</v>
      </c>
      <c r="R56" s="791" t="s">
        <v>7719</v>
      </c>
      <c r="S56" s="424">
        <f>'ANALYSE - ERP =&gt; SOUS-SEGMENT'!$BJ$72</f>
        <v>3430</v>
      </c>
      <c r="T56" s="430">
        <f>'ANALYSE - ERP =&gt; SOUS-SEGMENT'!$Q$72</f>
        <v>1</v>
      </c>
    </row>
    <row r="57" spans="1:20" ht="15" customHeight="1">
      <c r="A57" s="26">
        <v>54</v>
      </c>
      <c r="B57" s="26">
        <v>54</v>
      </c>
      <c r="C57" s="422">
        <f>'ANALYSE - ERP =&gt; SOUS-SEGMENT'!$A$94</f>
        <v>87</v>
      </c>
      <c r="D57" s="412" t="str">
        <f>'ANALYSE - ERP =&gt; SOUS-SEGMENT'!$B$94</f>
        <v>Hébergement Touristique</v>
      </c>
      <c r="E57" s="412" t="str">
        <f>'ANALYSE - ERP =&gt; SOUS-SEGMENT'!$C$94</f>
        <v>Tourisme de plein air</v>
      </c>
      <c r="F57" s="412" t="str">
        <f>'ANALYSE - ERP =&gt; SOUS-SEGMENT'!$D$94</f>
        <v>Campings</v>
      </c>
      <c r="H57" s="787">
        <f>'ANALYSE - ERP =&gt; SOUS-SEGMENT'!$BO$94</f>
        <v>0.2</v>
      </c>
      <c r="I57" s="787">
        <f>'ANALYSE - ERP =&gt; SOUS-SEGMENT'!$BP$94</f>
        <v>0.68</v>
      </c>
      <c r="J57" s="787">
        <f>'ANALYSE - ERP =&gt; SOUS-SEGMENT'!$BQ$94</f>
        <v>0.04</v>
      </c>
      <c r="K57" s="787">
        <f>'ANALYSE - ERP =&gt; SOUS-SEGMENT'!$BR$94</f>
        <v>0.08</v>
      </c>
      <c r="M57" s="787">
        <f>'ANALYSE - ERP =&gt; SOUS-SEGMENT'!$BS$94</f>
        <v>0.18</v>
      </c>
      <c r="N57" s="787">
        <f>'ANALYSE - ERP =&gt; SOUS-SEGMENT'!$BT$94</f>
        <v>0.69</v>
      </c>
      <c r="O57" s="787">
        <f>'ANALYSE - ERP =&gt; SOUS-SEGMENT'!$BU$94</f>
        <v>0.06</v>
      </c>
      <c r="P57" s="787">
        <f>'ANALYSE - ERP =&gt; SOUS-SEGMENT'!$BV$94</f>
        <v>7.0000000000000007E-2</v>
      </c>
      <c r="R57" s="791" t="s">
        <v>7719</v>
      </c>
      <c r="S57" s="424">
        <f>'ANALYSE - ERP =&gt; SOUS-SEGMENT'!$BJ$94</f>
        <v>129600</v>
      </c>
      <c r="T57" s="430">
        <f>'ANALYSE - ERP =&gt; SOUS-SEGMENT'!$Q$94</f>
        <v>1</v>
      </c>
    </row>
    <row r="58" spans="1:20" ht="15" customHeight="1">
      <c r="A58" s="26">
        <v>55</v>
      </c>
      <c r="B58" s="26">
        <v>56</v>
      </c>
      <c r="C58" s="422">
        <f>'ANALYSE - ERP =&gt; SOUS-SEGMENT'!$A$75</f>
        <v>68</v>
      </c>
      <c r="D58" s="408" t="str">
        <f>'ANALYSE - ERP =&gt; SOUS-SEGMENT'!$B$75</f>
        <v>Commerce, Restauration &amp; Loisirs</v>
      </c>
      <c r="E58" s="408" t="str">
        <f>'ANALYSE - ERP =&gt; SOUS-SEGMENT'!$C$75</f>
        <v>Restauration / boissons</v>
      </c>
      <c r="F58" s="408" t="str">
        <f>'ANALYSE - ERP =&gt; SOUS-SEGMENT'!$D$75</f>
        <v>Restaurants
(Hors établissements altitude, flottant, armée)</v>
      </c>
      <c r="H58" s="787">
        <f>'ANALYSE - ERP =&gt; SOUS-SEGMENT'!$BO$75</f>
        <v>0.32</v>
      </c>
      <c r="I58" s="787">
        <f>'ANALYSE - ERP =&gt; SOUS-SEGMENT'!$BP$75</f>
        <v>0.55000000000000004</v>
      </c>
      <c r="J58" s="787">
        <f>'ANALYSE - ERP =&gt; SOUS-SEGMENT'!$BQ$75</f>
        <v>0.08</v>
      </c>
      <c r="K58" s="787">
        <f>'ANALYSE - ERP =&gt; SOUS-SEGMENT'!$BR$75</f>
        <v>0.05</v>
      </c>
      <c r="M58" s="787">
        <f>'ANALYSE - ERP =&gt; SOUS-SEGMENT'!$BS$75</f>
        <v>0.28000000000000003</v>
      </c>
      <c r="N58" s="787">
        <f>'ANALYSE - ERP =&gt; SOUS-SEGMENT'!$BT$75</f>
        <v>0.55000000000000004</v>
      </c>
      <c r="O58" s="787">
        <f>'ANALYSE - ERP =&gt; SOUS-SEGMENT'!$BU$75</f>
        <v>0.12</v>
      </c>
      <c r="P58" s="787">
        <f>'ANALYSE - ERP =&gt; SOUS-SEGMENT'!$BV$75</f>
        <v>0.05</v>
      </c>
      <c r="R58" s="791" t="s">
        <v>7719</v>
      </c>
      <c r="S58" s="424">
        <f>'ANALYSE - ERP =&gt; SOUS-SEGMENT'!$BJ$75</f>
        <v>460000</v>
      </c>
      <c r="T58" s="430">
        <f>'ANALYSE - ERP =&gt; SOUS-SEGMENT'!$Q$75</f>
        <v>1</v>
      </c>
    </row>
    <row r="59" spans="1:20" ht="15" customHeight="1">
      <c r="A59" s="26">
        <v>56</v>
      </c>
      <c r="B59" s="26">
        <v>57</v>
      </c>
      <c r="C59" s="422">
        <f>'ANALYSE - ERP =&gt; SOUS-SEGMENT'!$A$35</f>
        <v>28</v>
      </c>
      <c r="D59" s="411" t="str">
        <f>'ANALYSE - ERP =&gt; SOUS-SEGMENT'!$B$35</f>
        <v>Sports &amp; Loisirs</v>
      </c>
      <c r="E59" s="411" t="str">
        <f>'ANALYSE - ERP =&gt; SOUS-SEGMENT'!$C$35</f>
        <v>Loisirs de plein air</v>
      </c>
      <c r="F59" s="411" t="str">
        <f>'ANALYSE - ERP =&gt; SOUS-SEGMENT'!$D$35</f>
        <v>Centres de loisirs sans hébergement</v>
      </c>
      <c r="H59" s="787">
        <f>'ANALYSE - ERP =&gt; SOUS-SEGMENT'!$BO$35</f>
        <v>0.28000000000000003</v>
      </c>
      <c r="I59" s="787">
        <f>'ANALYSE - ERP =&gt; SOUS-SEGMENT'!$BP$35</f>
        <v>0.62</v>
      </c>
      <c r="J59" s="787">
        <f>'ANALYSE - ERP =&gt; SOUS-SEGMENT'!$BQ$35</f>
        <v>0.04</v>
      </c>
      <c r="K59" s="787">
        <f>'ANALYSE - ERP =&gt; SOUS-SEGMENT'!$BR$35</f>
        <v>0.06</v>
      </c>
      <c r="M59" s="787">
        <f>'ANALYSE - ERP =&gt; SOUS-SEGMENT'!$BS$35</f>
        <v>0.25</v>
      </c>
      <c r="N59" s="787">
        <f>'ANALYSE - ERP =&gt; SOUS-SEGMENT'!$BT$35</f>
        <v>0.63</v>
      </c>
      <c r="O59" s="787">
        <f>'ANALYSE - ERP =&gt; SOUS-SEGMENT'!$BU$35</f>
        <v>0.06</v>
      </c>
      <c r="P59" s="787">
        <f>'ANALYSE - ERP =&gt; SOUS-SEGMENT'!$BV$35</f>
        <v>0.06</v>
      </c>
      <c r="R59" s="791" t="s">
        <v>7719</v>
      </c>
      <c r="S59" s="424">
        <f>'ANALYSE - ERP =&gt; SOUS-SEGMENT'!$BJ$35</f>
        <v>96000</v>
      </c>
      <c r="T59" s="430">
        <f>'ANALYSE - ERP =&gt; SOUS-SEGMENT'!$Q$35</f>
        <v>1</v>
      </c>
    </row>
    <row r="60" spans="1:20" ht="15" customHeight="1">
      <c r="A60" s="26">
        <v>57</v>
      </c>
      <c r="B60" s="26">
        <v>55</v>
      </c>
      <c r="C60" s="422">
        <f>'ANALYSE - ERP =&gt; SOUS-SEGMENT'!$A$73</f>
        <v>66</v>
      </c>
      <c r="D60" s="414" t="str">
        <f>'ANALYSE - ERP =&gt; SOUS-SEGMENT'!$B$73</f>
        <v>Culture, Patrimoine &amp; Evénementiel</v>
      </c>
      <c r="E60" s="414" t="str">
        <f>'ANALYSE - ERP =&gt; SOUS-SEGMENT'!$C$73</f>
        <v>Événementiel temporaire</v>
      </c>
      <c r="F60" s="414" t="str">
        <f>'ANALYSE - ERP =&gt; SOUS-SEGMENT'!$D$73</f>
        <v>Structures gonflables</v>
      </c>
      <c r="H60" s="787">
        <f>'ANALYSE - ERP =&gt; SOUS-SEGMENT'!$BO$73</f>
        <v>0.12</v>
      </c>
      <c r="I60" s="787">
        <f>'ANALYSE - ERP =&gt; SOUS-SEGMENT'!$BP$73</f>
        <v>0.72</v>
      </c>
      <c r="J60" s="787">
        <f>'ANALYSE - ERP =&gt; SOUS-SEGMENT'!$BQ$73</f>
        <v>0.03</v>
      </c>
      <c r="K60" s="787">
        <f>'ANALYSE - ERP =&gt; SOUS-SEGMENT'!$BR$73</f>
        <v>0.13</v>
      </c>
      <c r="M60" s="787">
        <f>'ANALYSE - ERP =&gt; SOUS-SEGMENT'!$BS$73</f>
        <v>0.11</v>
      </c>
      <c r="N60" s="787">
        <f>'ANALYSE - ERP =&gt; SOUS-SEGMENT'!$BT$73</f>
        <v>0.73</v>
      </c>
      <c r="O60" s="787">
        <f>'ANALYSE - ERP =&gt; SOUS-SEGMENT'!$BU$73</f>
        <v>0.04</v>
      </c>
      <c r="P60" s="787">
        <f>'ANALYSE - ERP =&gt; SOUS-SEGMENT'!$BV$73</f>
        <v>0.12</v>
      </c>
      <c r="R60" s="791" t="s">
        <v>7719</v>
      </c>
      <c r="S60" s="424">
        <f>'ANALYSE - ERP =&gt; SOUS-SEGMENT'!$BJ$73</f>
        <v>1150</v>
      </c>
      <c r="T60" s="430">
        <f>'ANALYSE - ERP =&gt; SOUS-SEGMENT'!$Q$73</f>
        <v>1</v>
      </c>
    </row>
    <row r="61" spans="1:20" ht="15" customHeight="1">
      <c r="A61" s="26">
        <v>58</v>
      </c>
      <c r="B61" s="26">
        <v>60</v>
      </c>
      <c r="C61" s="422">
        <f>'ANALYSE - ERP =&gt; SOUS-SEGMENT'!$A$135</f>
        <v>128</v>
      </c>
      <c r="D61" s="417" t="str">
        <f>'ANALYSE - ERP =&gt; SOUS-SEGMENT'!$B$135</f>
        <v>Sécurité &amp; Justice</v>
      </c>
      <c r="E61" s="417" t="str">
        <f>'ANALYSE - ERP =&gt; SOUS-SEGMENT'!$C$135</f>
        <v>Forces armées</v>
      </c>
      <c r="F61" s="417" t="str">
        <f>'ANALYSE - ERP =&gt; SOUS-SEGMENT'!$D$135</f>
        <v>Unités d'hébergement des militaires &amp; réservistes</v>
      </c>
      <c r="H61" s="787">
        <f>'ANALYSE - ERP =&gt; SOUS-SEGMENT'!$BO$135</f>
        <v>0.25</v>
      </c>
      <c r="I61" s="787">
        <f>'ANALYSE - ERP =&gt; SOUS-SEGMENT'!$BP$135</f>
        <v>0.57999999999999996</v>
      </c>
      <c r="J61" s="787">
        <f>'ANALYSE - ERP =&gt; SOUS-SEGMENT'!$BQ$135</f>
        <v>0.06</v>
      </c>
      <c r="K61" s="787">
        <f>'ANALYSE - ERP =&gt; SOUS-SEGMENT'!$BR$135</f>
        <v>0.11</v>
      </c>
      <c r="M61" s="787">
        <f>'ANALYSE - ERP =&gt; SOUS-SEGMENT'!$BS$135</f>
        <v>0.23</v>
      </c>
      <c r="N61" s="787">
        <f>'ANALYSE - ERP =&gt; SOUS-SEGMENT'!$BT$135</f>
        <v>0.59</v>
      </c>
      <c r="O61" s="787">
        <f>'ANALYSE - ERP =&gt; SOUS-SEGMENT'!$BU$135</f>
        <v>0.08</v>
      </c>
      <c r="P61" s="787">
        <f>'ANALYSE - ERP =&gt; SOUS-SEGMENT'!$BV$135</f>
        <v>0.1</v>
      </c>
      <c r="R61" s="791" t="s">
        <v>7719</v>
      </c>
      <c r="S61" s="424">
        <f>'ANALYSE - ERP =&gt; SOUS-SEGMENT'!$BJ$135</f>
        <v>4368</v>
      </c>
      <c r="T61" s="430">
        <f>'ANALYSE - ERP =&gt; SOUS-SEGMENT'!$Q$135</f>
        <v>1</v>
      </c>
    </row>
    <row r="62" spans="1:20" ht="15" customHeight="1">
      <c r="A62" s="26">
        <v>59</v>
      </c>
      <c r="B62" s="26">
        <v>59</v>
      </c>
      <c r="C62" s="422">
        <f>'ANALYSE - ERP =&gt; SOUS-SEGMENT'!$A$11</f>
        <v>4</v>
      </c>
      <c r="D62" s="411" t="str">
        <f>'ANALYSE - ERP =&gt; SOUS-SEGMENT'!$B$11</f>
        <v>Enfance, Enseignement, Jeunesse &amp; Formation</v>
      </c>
      <c r="E62" s="411" t="str">
        <f>'ANALYSE - ERP =&gt; SOUS-SEGMENT'!$C$11</f>
        <v>Enseignement scolaire</v>
      </c>
      <c r="F62" s="411" t="str">
        <f>'ANALYSE - ERP =&gt; SOUS-SEGMENT'!$D$11</f>
        <v>Écoles maternelles</v>
      </c>
      <c r="H62" s="787">
        <f>'ANALYSE - ERP =&gt; SOUS-SEGMENT'!$BO$11</f>
        <v>0.4</v>
      </c>
      <c r="I62" s="787">
        <f>'ANALYSE - ERP =&gt; SOUS-SEGMENT'!$BP$11</f>
        <v>0.55000000000000004</v>
      </c>
      <c r="J62" s="787">
        <f>'ANALYSE - ERP =&gt; SOUS-SEGMENT'!$BQ$11</f>
        <v>0.03</v>
      </c>
      <c r="K62" s="787">
        <f>'ANALYSE - ERP =&gt; SOUS-SEGMENT'!$BR$11</f>
        <v>0.02</v>
      </c>
      <c r="M62" s="787">
        <f>'ANALYSE - ERP =&gt; SOUS-SEGMENT'!$BS$11</f>
        <v>0.38</v>
      </c>
      <c r="N62" s="787">
        <f>'ANALYSE - ERP =&gt; SOUS-SEGMENT'!$BT$11</f>
        <v>0.55000000000000004</v>
      </c>
      <c r="O62" s="787">
        <f>'ANALYSE - ERP =&gt; SOUS-SEGMENT'!$BU$11</f>
        <v>0.05</v>
      </c>
      <c r="P62" s="787">
        <f>'ANALYSE - ERP =&gt; SOUS-SEGMENT'!$BV$11</f>
        <v>0.02</v>
      </c>
      <c r="R62" s="791" t="s">
        <v>7719</v>
      </c>
      <c r="S62" s="424">
        <f>'ANALYSE - ERP =&gt; SOUS-SEGMENT'!$BJ$11</f>
        <v>163800</v>
      </c>
      <c r="T62" s="430">
        <f>'ANALYSE - ERP =&gt; SOUS-SEGMENT'!$Q$11</f>
        <v>1</v>
      </c>
    </row>
    <row r="63" spans="1:20" ht="15" customHeight="1">
      <c r="A63" s="26">
        <v>60</v>
      </c>
      <c r="B63" s="26">
        <v>63</v>
      </c>
      <c r="C63" s="422">
        <f>'ANALYSE - ERP =&gt; SOUS-SEGMENT'!$A$54</f>
        <v>47</v>
      </c>
      <c r="D63" s="409" t="str">
        <f>'ANALYSE - ERP =&gt; SOUS-SEGMENT'!$B$54</f>
        <v>Santé &amp; Médico-social</v>
      </c>
      <c r="E63" s="409" t="str">
        <f>'ANALYSE - ERP =&gt; SOUS-SEGMENT'!$C$54</f>
        <v>Santé ambulatoire</v>
      </c>
      <c r="F63" s="409" t="str">
        <f>'ANALYSE - ERP =&gt; SOUS-SEGMENT'!$D$54</f>
        <v>Maisons de santé</v>
      </c>
      <c r="H63" s="787">
        <f>'ANALYSE - ERP =&gt; SOUS-SEGMENT'!$BO$54</f>
        <v>0.5</v>
      </c>
      <c r="I63" s="787">
        <f>'ANALYSE - ERP =&gt; SOUS-SEGMENT'!$BP$54</f>
        <v>0.25</v>
      </c>
      <c r="J63" s="787">
        <f>'ANALYSE - ERP =&gt; SOUS-SEGMENT'!$BQ$54</f>
        <v>0.18</v>
      </c>
      <c r="K63" s="787">
        <f>'ANALYSE - ERP =&gt; SOUS-SEGMENT'!$BR$54</f>
        <v>7.0000000000000007E-2</v>
      </c>
      <c r="M63" s="787">
        <f>'ANALYSE - ERP =&gt; SOUS-SEGMENT'!$BS$54</f>
        <v>0.47</v>
      </c>
      <c r="N63" s="787">
        <f>'ANALYSE - ERP =&gt; SOUS-SEGMENT'!$BT$54</f>
        <v>0.25</v>
      </c>
      <c r="O63" s="787">
        <f>'ANALYSE - ERP =&gt; SOUS-SEGMENT'!$BU$54</f>
        <v>0.22</v>
      </c>
      <c r="P63" s="787">
        <f>'ANALYSE - ERP =&gt; SOUS-SEGMENT'!$BV$54</f>
        <v>0.06</v>
      </c>
      <c r="R63" s="791" t="s">
        <v>2514</v>
      </c>
      <c r="S63" s="424">
        <f>'ANALYSE - ERP =&gt; SOUS-SEGMENT'!$BJ$54</f>
        <v>15000</v>
      </c>
      <c r="T63" s="430">
        <f>'ANALYSE - ERP =&gt; SOUS-SEGMENT'!$Q$54</f>
        <v>1</v>
      </c>
    </row>
    <row r="64" spans="1:20" ht="15" customHeight="1">
      <c r="A64" s="26">
        <v>61</v>
      </c>
      <c r="B64" s="26">
        <v>58</v>
      </c>
      <c r="C64" s="422">
        <f>'ANALYSE - ERP =&gt; SOUS-SEGMENT'!$A$132</f>
        <v>125</v>
      </c>
      <c r="D64" s="417" t="str">
        <f>'ANALYSE - ERP =&gt; SOUS-SEGMENT'!$B$132</f>
        <v>Sécurité &amp; Justice</v>
      </c>
      <c r="E64" s="417" t="str">
        <f>'ANALYSE - ERP =&gt; SOUS-SEGMENT'!$C$132</f>
        <v xml:space="preserve">Commissariats / postes de police </v>
      </c>
      <c r="F64" s="417" t="str">
        <f>'ANALYSE - ERP =&gt; SOUS-SEGMENT'!$D$132</f>
        <v>Locaux de sûreté, garde à vue et zones opérationnelles</v>
      </c>
      <c r="H64" s="787">
        <f>'ANALYSE - ERP =&gt; SOUS-SEGMENT'!$BO$132</f>
        <v>0.05</v>
      </c>
      <c r="I64" s="787">
        <f>'ANALYSE - ERP =&gt; SOUS-SEGMENT'!$BP$132</f>
        <v>0.75</v>
      </c>
      <c r="J64" s="787">
        <f>'ANALYSE - ERP =&gt; SOUS-SEGMENT'!$BQ$132</f>
        <v>0.02</v>
      </c>
      <c r="K64" s="787">
        <f>'ANALYSE - ERP =&gt; SOUS-SEGMENT'!$BR$132</f>
        <v>0.18</v>
      </c>
      <c r="M64" s="787">
        <f>'ANALYSE - ERP =&gt; SOUS-SEGMENT'!$BS$132</f>
        <v>0.05</v>
      </c>
      <c r="N64" s="787">
        <f>'ANALYSE - ERP =&gt; SOUS-SEGMENT'!$BT$132</f>
        <v>0.74</v>
      </c>
      <c r="O64" s="787">
        <f>'ANALYSE - ERP =&gt; SOUS-SEGMENT'!$BU$132</f>
        <v>0.03</v>
      </c>
      <c r="P64" s="787">
        <f>'ANALYSE - ERP =&gt; SOUS-SEGMENT'!$BV$132</f>
        <v>0.18</v>
      </c>
      <c r="R64" s="791" t="s">
        <v>7719</v>
      </c>
      <c r="S64" s="424">
        <f>'ANALYSE - ERP =&gt; SOUS-SEGMENT'!$BJ$132</f>
        <v>2236</v>
      </c>
      <c r="T64" s="430">
        <f>'ANALYSE - ERP =&gt; SOUS-SEGMENT'!$Q$132</f>
        <v>1</v>
      </c>
    </row>
    <row r="65" spans="1:20" s="45" customFormat="1" ht="15" customHeight="1">
      <c r="A65" s="26">
        <v>62</v>
      </c>
      <c r="B65" s="26">
        <v>61</v>
      </c>
      <c r="C65" s="422">
        <f>'ANALYSE - ERP =&gt; SOUS-SEGMENT'!$A$53</f>
        <v>46</v>
      </c>
      <c r="D65" s="409" t="str">
        <f>'ANALYSE - ERP =&gt; SOUS-SEGMENT'!$B$53</f>
        <v>Santé &amp; Médico-social</v>
      </c>
      <c r="E65" s="409" t="str">
        <f>'ANALYSE - ERP =&gt; SOUS-SEGMENT'!$C$53</f>
        <v>Santé ambulatoire</v>
      </c>
      <c r="F65" s="409" t="str">
        <f>'ANALYSE - ERP =&gt; SOUS-SEGMENT'!$D$53</f>
        <v>Centres de santé / Centres médicaux</v>
      </c>
      <c r="G65" s="685"/>
      <c r="H65" s="787">
        <f>'ANALYSE - ERP =&gt; SOUS-SEGMENT'!$BO$53</f>
        <v>0.45</v>
      </c>
      <c r="I65" s="787">
        <f>'ANALYSE - ERP =&gt; SOUS-SEGMENT'!$BP$53</f>
        <v>0.25</v>
      </c>
      <c r="J65" s="787">
        <f>'ANALYSE - ERP =&gt; SOUS-SEGMENT'!$BQ$53</f>
        <v>0.2</v>
      </c>
      <c r="K65" s="787">
        <f>'ANALYSE - ERP =&gt; SOUS-SEGMENT'!$BR$53</f>
        <v>0.1</v>
      </c>
      <c r="L65" s="685"/>
      <c r="M65" s="787">
        <f>'ANALYSE - ERP =&gt; SOUS-SEGMENT'!$BS$53</f>
        <v>0.42</v>
      </c>
      <c r="N65" s="787">
        <f>'ANALYSE - ERP =&gt; SOUS-SEGMENT'!$BT$53</f>
        <v>0.25</v>
      </c>
      <c r="O65" s="787">
        <f>'ANALYSE - ERP =&gt; SOUS-SEGMENT'!$BU$53</f>
        <v>0.23</v>
      </c>
      <c r="P65" s="787">
        <f>'ANALYSE - ERP =&gt; SOUS-SEGMENT'!$BV$53</f>
        <v>0.1</v>
      </c>
      <c r="Q65" s="685"/>
      <c r="R65" s="791" t="s">
        <v>2514</v>
      </c>
      <c r="S65" s="424">
        <f>'ANALYSE - ERP =&gt; SOUS-SEGMENT'!$BJ$53</f>
        <v>9186</v>
      </c>
      <c r="T65" s="430">
        <f>'ANALYSE - ERP =&gt; SOUS-SEGMENT'!$Q$53</f>
        <v>1</v>
      </c>
    </row>
    <row r="66" spans="1:20" ht="15" customHeight="1">
      <c r="A66" s="26">
        <v>63</v>
      </c>
      <c r="B66" s="26">
        <v>62</v>
      </c>
      <c r="C66" s="422">
        <f>'ANALYSE - ERP =&gt; SOUS-SEGMENT'!$A$47</f>
        <v>40</v>
      </c>
      <c r="D66" s="417" t="str">
        <f>'ANALYSE - ERP =&gt; SOUS-SEGMENT'!$B$47</f>
        <v>Santé &amp; Médico-social</v>
      </c>
      <c r="E66" s="417" t="str">
        <f>'ANALYSE - ERP =&gt; SOUS-SEGMENT'!$C$47</f>
        <v>Santé hospitalière</v>
      </c>
      <c r="F66" s="417" t="str">
        <f>'ANALYSE - ERP =&gt; SOUS-SEGMENT'!$D$47</f>
        <v>Hôpitaux d’instruction des armées et centres médicaux recevant du public</v>
      </c>
      <c r="H66" s="787">
        <f>'ANALYSE - ERP =&gt; SOUS-SEGMENT'!$BO$47</f>
        <v>0.45</v>
      </c>
      <c r="I66" s="787">
        <f>'ANALYSE - ERP =&gt; SOUS-SEGMENT'!$BP$47</f>
        <v>0.25</v>
      </c>
      <c r="J66" s="787">
        <f>'ANALYSE - ERP =&gt; SOUS-SEGMENT'!$BQ$47</f>
        <v>0.2</v>
      </c>
      <c r="K66" s="787">
        <f>'ANALYSE - ERP =&gt; SOUS-SEGMENT'!$BR$47</f>
        <v>0.1</v>
      </c>
      <c r="M66" s="787">
        <f>'ANALYSE - ERP =&gt; SOUS-SEGMENT'!$BS$47</f>
        <v>0.42</v>
      </c>
      <c r="N66" s="787">
        <f>'ANALYSE - ERP =&gt; SOUS-SEGMENT'!$BT$47</f>
        <v>0.25</v>
      </c>
      <c r="O66" s="787">
        <f>'ANALYSE - ERP =&gt; SOUS-SEGMENT'!$BU$47</f>
        <v>0.23</v>
      </c>
      <c r="P66" s="787">
        <f>'ANALYSE - ERP =&gt; SOUS-SEGMENT'!$BV$47</f>
        <v>0.1</v>
      </c>
      <c r="R66" s="791" t="s">
        <v>2514</v>
      </c>
      <c r="S66" s="424">
        <f>'ANALYSE - ERP =&gt; SOUS-SEGMENT'!$BJ$47</f>
        <v>1560</v>
      </c>
      <c r="T66" s="430">
        <f>'ANALYSE - ERP =&gt; SOUS-SEGMENT'!$Q$47</f>
        <v>1</v>
      </c>
    </row>
    <row r="67" spans="1:20" ht="15" customHeight="1">
      <c r="A67" s="26">
        <v>64</v>
      </c>
      <c r="B67" s="26">
        <v>64</v>
      </c>
      <c r="C67" s="422">
        <f>'ANALYSE - ERP =&gt; SOUS-SEGMENT'!$A$15</f>
        <v>8</v>
      </c>
      <c r="D67" s="411" t="str">
        <f>'ANALYSE - ERP =&gt; SOUS-SEGMENT'!$B$15</f>
        <v>Enfance, Enseignement, Jeunesse &amp; Formation</v>
      </c>
      <c r="E67" s="411" t="str">
        <f>'ANALYSE - ERP =&gt; SOUS-SEGMENT'!$C$15</f>
        <v>Enseignement scolaire</v>
      </c>
      <c r="F67" s="411" t="str">
        <f>'ANALYSE - ERP =&gt; SOUS-SEGMENT'!$D$15</f>
        <v>Internats scolaires</v>
      </c>
      <c r="H67" s="787">
        <f>'ANALYSE - ERP =&gt; SOUS-SEGMENT'!$BO$15</f>
        <v>0.42</v>
      </c>
      <c r="I67" s="787">
        <f>'ANALYSE - ERP =&gt; SOUS-SEGMENT'!$BP$15</f>
        <v>0.4</v>
      </c>
      <c r="J67" s="787">
        <f>'ANALYSE - ERP =&gt; SOUS-SEGMENT'!$BQ$15</f>
        <v>0.1</v>
      </c>
      <c r="K67" s="787">
        <f>'ANALYSE - ERP =&gt; SOUS-SEGMENT'!$BR$15</f>
        <v>0.08</v>
      </c>
      <c r="M67" s="787">
        <f>'ANALYSE - ERP =&gt; SOUS-SEGMENT'!$BS$15</f>
        <v>0.4</v>
      </c>
      <c r="N67" s="787">
        <f>'ANALYSE - ERP =&gt; SOUS-SEGMENT'!$BT$15</f>
        <v>0.4</v>
      </c>
      <c r="O67" s="787">
        <f>'ANALYSE - ERP =&gt; SOUS-SEGMENT'!$BU$15</f>
        <v>0.13</v>
      </c>
      <c r="P67" s="787">
        <f>'ANALYSE - ERP =&gt; SOUS-SEGMENT'!$BV$15</f>
        <v>7.0000000000000007E-2</v>
      </c>
      <c r="R67" s="791" t="s">
        <v>2514</v>
      </c>
      <c r="S67" s="424">
        <f>'ANALYSE - ERP =&gt; SOUS-SEGMENT'!$BJ$15</f>
        <v>26128</v>
      </c>
      <c r="T67" s="430">
        <f>'ANALYSE - ERP =&gt; SOUS-SEGMENT'!$Q$15</f>
        <v>1</v>
      </c>
    </row>
    <row r="68" spans="1:20" ht="15" customHeight="1">
      <c r="A68" s="26">
        <v>65</v>
      </c>
      <c r="B68" s="26">
        <v>65</v>
      </c>
      <c r="C68" s="422">
        <f>'ANALYSE - ERP =&gt; SOUS-SEGMENT'!$A$18</f>
        <v>11</v>
      </c>
      <c r="D68" s="411" t="str">
        <f>'ANALYSE - ERP =&gt; SOUS-SEGMENT'!$B$18</f>
        <v>Enfance, Enseignement, Jeunesse &amp; Formation</v>
      </c>
      <c r="E68" s="411" t="str">
        <f>'ANALYSE - ERP =&gt; SOUS-SEGMENT'!$C$18</f>
        <v>Enseignement supérieur</v>
      </c>
      <c r="F68" s="411" t="str">
        <f>'ANALYSE - ERP =&gt; SOUS-SEGMENT'!$D$18</f>
        <v>Résidences étudiantes et dortoirs</v>
      </c>
      <c r="H68" s="787">
        <f>'ANALYSE - ERP =&gt; SOUS-SEGMENT'!$BO$18</f>
        <v>0.42</v>
      </c>
      <c r="I68" s="787">
        <f>'ANALYSE - ERP =&gt; SOUS-SEGMENT'!$BP$18</f>
        <v>0.4</v>
      </c>
      <c r="J68" s="787">
        <f>'ANALYSE - ERP =&gt; SOUS-SEGMENT'!$BQ$18</f>
        <v>0.1</v>
      </c>
      <c r="K68" s="787">
        <f>'ANALYSE - ERP =&gt; SOUS-SEGMENT'!$BR$18</f>
        <v>0.08</v>
      </c>
      <c r="M68" s="787">
        <f>'ANALYSE - ERP =&gt; SOUS-SEGMENT'!$BS$18</f>
        <v>0.4</v>
      </c>
      <c r="N68" s="787">
        <f>'ANALYSE - ERP =&gt; SOUS-SEGMENT'!$BT$18</f>
        <v>0.4</v>
      </c>
      <c r="O68" s="787">
        <f>'ANALYSE - ERP =&gt; SOUS-SEGMENT'!$BU$18</f>
        <v>0.13</v>
      </c>
      <c r="P68" s="787">
        <f>'ANALYSE - ERP =&gt; SOUS-SEGMENT'!$BV$18</f>
        <v>7.0000000000000007E-2</v>
      </c>
      <c r="R68" s="791" t="s">
        <v>2514</v>
      </c>
      <c r="S68" s="424">
        <f>'ANALYSE - ERP =&gt; SOUS-SEGMENT'!$BJ$18</f>
        <v>15744</v>
      </c>
      <c r="T68" s="430">
        <f>'ANALYSE - ERP =&gt; SOUS-SEGMENT'!$Q$18</f>
        <v>1</v>
      </c>
    </row>
    <row r="69" spans="1:20" ht="15" customHeight="1">
      <c r="A69" s="26">
        <v>66</v>
      </c>
      <c r="B69" s="26">
        <v>66</v>
      </c>
      <c r="C69" s="422">
        <f>'ANALYSE - ERP =&gt; SOUS-SEGMENT'!$A$43</f>
        <v>36</v>
      </c>
      <c r="D69" s="409" t="str">
        <f>'ANALYSE - ERP =&gt; SOUS-SEGMENT'!$B$43</f>
        <v>Santé &amp; Médico-social</v>
      </c>
      <c r="E69" s="409" t="str">
        <f>'ANALYSE - ERP =&gt; SOUS-SEGMENT'!$C$43</f>
        <v>Santé hospitalière</v>
      </c>
      <c r="F69" s="409" t="str">
        <f>'ANALYSE - ERP =&gt; SOUS-SEGMENT'!$D$43</f>
        <v>Hôpitaux universitaires / CHU</v>
      </c>
      <c r="H69" s="787">
        <f>'ANALYSE - ERP =&gt; SOUS-SEGMENT'!$BO$43</f>
        <v>0.48</v>
      </c>
      <c r="I69" s="787">
        <f>'ANALYSE - ERP =&gt; SOUS-SEGMENT'!$BP$43</f>
        <v>0.22</v>
      </c>
      <c r="J69" s="787">
        <f>'ANALYSE - ERP =&gt; SOUS-SEGMENT'!$BQ$43</f>
        <v>0.2</v>
      </c>
      <c r="K69" s="787">
        <f>'ANALYSE - ERP =&gt; SOUS-SEGMENT'!$BR$43</f>
        <v>0.1</v>
      </c>
      <c r="M69" s="787">
        <f>'ANALYSE - ERP =&gt; SOUS-SEGMENT'!$BS$43</f>
        <v>0.45</v>
      </c>
      <c r="N69" s="787">
        <f>'ANALYSE - ERP =&gt; SOUS-SEGMENT'!$BT$43</f>
        <v>0.22</v>
      </c>
      <c r="O69" s="787">
        <f>'ANALYSE - ERP =&gt; SOUS-SEGMENT'!$BU$43</f>
        <v>0.23</v>
      </c>
      <c r="P69" s="787">
        <f>'ANALYSE - ERP =&gt; SOUS-SEGMENT'!$BV$43</f>
        <v>0.1</v>
      </c>
      <c r="R69" s="791" t="s">
        <v>2514</v>
      </c>
      <c r="S69" s="424">
        <f>'ANALYSE - ERP =&gt; SOUS-SEGMENT'!$BJ$43</f>
        <v>11220</v>
      </c>
      <c r="T69" s="430">
        <f>'ANALYSE - ERP =&gt; SOUS-SEGMENT'!$Q$43</f>
        <v>1</v>
      </c>
    </row>
    <row r="70" spans="1:20" ht="15" customHeight="1">
      <c r="A70" s="26">
        <v>67</v>
      </c>
      <c r="B70" s="26">
        <v>67</v>
      </c>
      <c r="C70" s="422">
        <f>'ANALYSE - ERP =&gt; SOUS-SEGMENT'!$A$44</f>
        <v>37</v>
      </c>
      <c r="D70" s="409" t="str">
        <f>'ANALYSE - ERP =&gt; SOUS-SEGMENT'!$B$44</f>
        <v>Santé &amp; Médico-social</v>
      </c>
      <c r="E70" s="409" t="str">
        <f>'ANALYSE - ERP =&gt; SOUS-SEGMENT'!$C$44</f>
        <v>Santé hospitalière</v>
      </c>
      <c r="F70" s="409" t="str">
        <f>'ANALYSE - ERP =&gt; SOUS-SEGMENT'!$D$44</f>
        <v>Hôpitaux publics 
(Hors CHU, Universitaire, Militaire, Carcéral)</v>
      </c>
      <c r="H70" s="787">
        <f>'ANALYSE - ERP =&gt; SOUS-SEGMENT'!$BO$44</f>
        <v>0.45</v>
      </c>
      <c r="I70" s="787">
        <f>'ANALYSE - ERP =&gt; SOUS-SEGMENT'!$BP$44</f>
        <v>0.28000000000000003</v>
      </c>
      <c r="J70" s="787">
        <f>'ANALYSE - ERP =&gt; SOUS-SEGMENT'!$BQ$44</f>
        <v>0.17</v>
      </c>
      <c r="K70" s="787">
        <f>'ANALYSE - ERP =&gt; SOUS-SEGMENT'!$BR$44</f>
        <v>0.1</v>
      </c>
      <c r="M70" s="787">
        <f>'ANALYSE - ERP =&gt; SOUS-SEGMENT'!$BS$44</f>
        <v>0.42</v>
      </c>
      <c r="N70" s="787">
        <f>'ANALYSE - ERP =&gt; SOUS-SEGMENT'!$BT$44</f>
        <v>0.28000000000000003</v>
      </c>
      <c r="O70" s="787">
        <f>'ANALYSE - ERP =&gt; SOUS-SEGMENT'!$BU$44</f>
        <v>0.2</v>
      </c>
      <c r="P70" s="787">
        <f>'ANALYSE - ERP =&gt; SOUS-SEGMENT'!$BV$44</f>
        <v>0.1</v>
      </c>
      <c r="R70" s="791" t="s">
        <v>2514</v>
      </c>
      <c r="S70" s="424">
        <f>'ANALYSE - ERP =&gt; SOUS-SEGMENT'!$BJ$44</f>
        <v>132990</v>
      </c>
      <c r="T70" s="430">
        <f>'ANALYSE - ERP =&gt; SOUS-SEGMENT'!$Q$44</f>
        <v>1</v>
      </c>
    </row>
    <row r="71" spans="1:20" ht="15" customHeight="1">
      <c r="A71" s="26">
        <v>68</v>
      </c>
      <c r="B71" s="26">
        <v>71</v>
      </c>
      <c r="C71" s="422">
        <f>'ANALYSE - ERP =&gt; SOUS-SEGMENT'!$A$90</f>
        <v>83</v>
      </c>
      <c r="D71" s="412" t="str">
        <f>'ANALYSE - ERP =&gt; SOUS-SEGMENT'!$B$90</f>
        <v>Hébergement Touristique</v>
      </c>
      <c r="E71" s="412" t="str">
        <f>'ANALYSE - ERP =&gt; SOUS-SEGMENT'!$C$90</f>
        <v>Hébergement Touristique</v>
      </c>
      <c r="F71" s="412" t="str">
        <f>'ANALYSE - ERP =&gt; SOUS-SEGMENT'!$D$90</f>
        <v>Auberges de jeunesse</v>
      </c>
      <c r="H71" s="787">
        <f>'ANALYSE - ERP =&gt; SOUS-SEGMENT'!$BO$90</f>
        <v>0.55000000000000004</v>
      </c>
      <c r="I71" s="787">
        <f>'ANALYSE - ERP =&gt; SOUS-SEGMENT'!$BP$90</f>
        <v>0.35</v>
      </c>
      <c r="J71" s="787">
        <f>'ANALYSE - ERP =&gt; SOUS-SEGMENT'!$BQ$90</f>
        <v>0.05</v>
      </c>
      <c r="K71" s="787">
        <f>'ANALYSE - ERP =&gt; SOUS-SEGMENT'!$BR$90</f>
        <v>0.05</v>
      </c>
      <c r="M71" s="787">
        <f>'ANALYSE - ERP =&gt; SOUS-SEGMENT'!$BS$90</f>
        <v>0.5</v>
      </c>
      <c r="N71" s="787">
        <f>'ANALYSE - ERP =&gt; SOUS-SEGMENT'!$BT$90</f>
        <v>0.37</v>
      </c>
      <c r="O71" s="787">
        <f>'ANALYSE - ERP =&gt; SOUS-SEGMENT'!$BU$90</f>
        <v>0.08</v>
      </c>
      <c r="P71" s="787">
        <f>'ANALYSE - ERP =&gt; SOUS-SEGMENT'!$BV$90</f>
        <v>0.05</v>
      </c>
      <c r="R71" s="791" t="s">
        <v>7719</v>
      </c>
      <c r="S71" s="424">
        <f>'ANALYSE - ERP =&gt; SOUS-SEGMENT'!$BJ$90</f>
        <v>1200</v>
      </c>
      <c r="T71" s="430">
        <f>'ANALYSE - ERP =&gt; SOUS-SEGMENT'!$Q$90</f>
        <v>1</v>
      </c>
    </row>
    <row r="72" spans="1:20" ht="15" customHeight="1">
      <c r="A72" s="26">
        <v>69</v>
      </c>
      <c r="B72" s="26">
        <v>69</v>
      </c>
      <c r="C72" s="422">
        <f>'ANALYSE - ERP =&gt; SOUS-SEGMENT'!$A$45</f>
        <v>38</v>
      </c>
      <c r="D72" s="409" t="str">
        <f>'ANALYSE - ERP =&gt; SOUS-SEGMENT'!$B$45</f>
        <v>Santé &amp; Médico-social</v>
      </c>
      <c r="E72" s="409" t="str">
        <f>'ANALYSE - ERP =&gt; SOUS-SEGMENT'!$C$45</f>
        <v>Santé hospitalière</v>
      </c>
      <c r="F72" s="409" t="str">
        <f>'ANALYSE - ERP =&gt; SOUS-SEGMENT'!$D$45</f>
        <v>Hôpitaux privés</v>
      </c>
      <c r="H72" s="787">
        <f>'ANALYSE - ERP =&gt; SOUS-SEGMENT'!$BO$45</f>
        <v>0.5</v>
      </c>
      <c r="I72" s="787">
        <f>'ANALYSE - ERP =&gt; SOUS-SEGMENT'!$BP$45</f>
        <v>0.2</v>
      </c>
      <c r="J72" s="787">
        <f>'ANALYSE - ERP =&gt; SOUS-SEGMENT'!$BQ$45</f>
        <v>0.2</v>
      </c>
      <c r="K72" s="787">
        <f>'ANALYSE - ERP =&gt; SOUS-SEGMENT'!$BR$45</f>
        <v>0.1</v>
      </c>
      <c r="M72" s="787">
        <f>'ANALYSE - ERP =&gt; SOUS-SEGMENT'!$BS$45</f>
        <v>0.47</v>
      </c>
      <c r="N72" s="787">
        <f>'ANALYSE - ERP =&gt; SOUS-SEGMENT'!$BT$45</f>
        <v>0.2</v>
      </c>
      <c r="O72" s="787">
        <f>'ANALYSE - ERP =&gt; SOUS-SEGMENT'!$BU$45</f>
        <v>0.23</v>
      </c>
      <c r="P72" s="787">
        <f>'ANALYSE - ERP =&gt; SOUS-SEGMENT'!$BV$45</f>
        <v>0.1</v>
      </c>
      <c r="R72" s="791" t="s">
        <v>2514</v>
      </c>
      <c r="S72" s="424">
        <f>'ANALYSE - ERP =&gt; SOUS-SEGMENT'!$BJ$45</f>
        <v>48375</v>
      </c>
      <c r="T72" s="430">
        <f>'ANALYSE - ERP =&gt; SOUS-SEGMENT'!$Q$45</f>
        <v>1</v>
      </c>
    </row>
    <row r="73" spans="1:20" s="45" customFormat="1" ht="15" customHeight="1">
      <c r="A73" s="26">
        <v>70</v>
      </c>
      <c r="B73" s="26">
        <v>70</v>
      </c>
      <c r="C73" s="422">
        <f>'ANALYSE - ERP =&gt; SOUS-SEGMENT'!$A$46</f>
        <v>39</v>
      </c>
      <c r="D73" s="409" t="str">
        <f>'ANALYSE - ERP =&gt; SOUS-SEGMENT'!$B$46</f>
        <v>Santé &amp; Médico-social</v>
      </c>
      <c r="E73" s="409" t="str">
        <f>'ANALYSE - ERP =&gt; SOUS-SEGMENT'!$C$46</f>
        <v>Santé hospitalière</v>
      </c>
      <c r="F73" s="409" t="str">
        <f>'ANALYSE - ERP =&gt; SOUS-SEGMENT'!$D$46</f>
        <v>Cliniques</v>
      </c>
      <c r="G73" s="685"/>
      <c r="H73" s="787">
        <f>'ANALYSE - ERP =&gt; SOUS-SEGMENT'!$BO$46</f>
        <v>0.5</v>
      </c>
      <c r="I73" s="787">
        <f>'ANALYSE - ERP =&gt; SOUS-SEGMENT'!$BP$46</f>
        <v>0.2</v>
      </c>
      <c r="J73" s="787">
        <f>'ANALYSE - ERP =&gt; SOUS-SEGMENT'!$BQ$46</f>
        <v>0.2</v>
      </c>
      <c r="K73" s="787">
        <f>'ANALYSE - ERP =&gt; SOUS-SEGMENT'!$BR$46</f>
        <v>0.1</v>
      </c>
      <c r="L73" s="685"/>
      <c r="M73" s="787">
        <f>'ANALYSE - ERP =&gt; SOUS-SEGMENT'!$BS$46</f>
        <v>0.47</v>
      </c>
      <c r="N73" s="787">
        <f>'ANALYSE - ERP =&gt; SOUS-SEGMENT'!$BT$46</f>
        <v>0.2</v>
      </c>
      <c r="O73" s="787">
        <f>'ANALYSE - ERP =&gt; SOUS-SEGMENT'!$BU$46</f>
        <v>0.23</v>
      </c>
      <c r="P73" s="787">
        <f>'ANALYSE - ERP =&gt; SOUS-SEGMENT'!$BV$46</f>
        <v>0.1</v>
      </c>
      <c r="Q73" s="685"/>
      <c r="R73" s="791" t="s">
        <v>2514</v>
      </c>
      <c r="S73" s="424">
        <f>'ANALYSE - ERP =&gt; SOUS-SEGMENT'!$BJ$46</f>
        <v>57000</v>
      </c>
      <c r="T73" s="430">
        <f>'ANALYSE - ERP =&gt; SOUS-SEGMENT'!$Q$46</f>
        <v>1</v>
      </c>
    </row>
    <row r="74" spans="1:20" ht="15" customHeight="1">
      <c r="A74" s="26">
        <v>71</v>
      </c>
      <c r="B74" s="26">
        <v>72</v>
      </c>
      <c r="C74" s="422">
        <f>'ANALYSE - ERP =&gt; SOUS-SEGMENT'!$A$113</f>
        <v>106</v>
      </c>
      <c r="D74" s="415" t="str">
        <f>'ANALYSE - ERP =&gt; SOUS-SEGMENT'!$B$113</f>
        <v>Culte, Vie civique &amp; Services publics</v>
      </c>
      <c r="E74" s="415" t="str">
        <f>'ANALYSE - ERP =&gt; SOUS-SEGMENT'!$C$113</f>
        <v>Culte</v>
      </c>
      <c r="F74" s="415" t="str">
        <f>'ANALYSE - ERP =&gt; SOUS-SEGMENT'!$D$113</f>
        <v>Églises, cathédrales, basiliques et chapelles ouvertes au public</v>
      </c>
      <c r="H74" s="787">
        <f>'ANALYSE - ERP =&gt; SOUS-SEGMENT'!$BO$113</f>
        <v>0.36</v>
      </c>
      <c r="I74" s="787">
        <f>'ANALYSE - ERP =&gt; SOUS-SEGMENT'!$BP$113</f>
        <v>0.5</v>
      </c>
      <c r="J74" s="787">
        <f>'ANALYSE - ERP =&gt; SOUS-SEGMENT'!$BQ$113</f>
        <v>0.1</v>
      </c>
      <c r="K74" s="787">
        <f>'ANALYSE - ERP =&gt; SOUS-SEGMENT'!$BR$113</f>
        <v>0.04</v>
      </c>
      <c r="M74" s="787">
        <f>'ANALYSE - ERP =&gt; SOUS-SEGMENT'!$BS$113</f>
        <v>0.31</v>
      </c>
      <c r="N74" s="787">
        <f>'ANALYSE - ERP =&gt; SOUS-SEGMENT'!$BT$113</f>
        <v>0.51</v>
      </c>
      <c r="O74" s="787">
        <f>'ANALYSE - ERP =&gt; SOUS-SEGMENT'!$BU$113</f>
        <v>0.15</v>
      </c>
      <c r="P74" s="787">
        <f>'ANALYSE - ERP =&gt; SOUS-SEGMENT'!$BV$113</f>
        <v>0.03</v>
      </c>
      <c r="R74" s="791" t="s">
        <v>7719</v>
      </c>
      <c r="S74" s="424">
        <f>'ANALYSE - ERP =&gt; SOUS-SEGMENT'!$BJ$113</f>
        <v>11850</v>
      </c>
      <c r="T74" s="430">
        <f>'ANALYSE - ERP =&gt; SOUS-SEGMENT'!$Q$113</f>
        <v>1</v>
      </c>
    </row>
    <row r="75" spans="1:20" ht="15" customHeight="1">
      <c r="A75" s="26">
        <v>72</v>
      </c>
      <c r="B75" s="26">
        <v>73</v>
      </c>
      <c r="C75" s="422">
        <f>'ANALYSE - ERP =&gt; SOUS-SEGMENT'!$A$114</f>
        <v>107</v>
      </c>
      <c r="D75" s="415" t="str">
        <f>'ANALYSE - ERP =&gt; SOUS-SEGMENT'!$B$114</f>
        <v>Culte, Vie civique &amp; Services publics</v>
      </c>
      <c r="E75" s="415" t="str">
        <f>'ANALYSE - ERP =&gt; SOUS-SEGMENT'!$C$114</f>
        <v>Culte</v>
      </c>
      <c r="F75" s="415" t="str">
        <f>'ANALYSE - ERP =&gt; SOUS-SEGMENT'!$D$114</f>
        <v>Monastères, abbayes et couvents ouverts au public</v>
      </c>
      <c r="H75" s="787">
        <f>'ANALYSE - ERP =&gt; SOUS-SEGMENT'!$BO$114</f>
        <v>0.1</v>
      </c>
      <c r="I75" s="787">
        <f>'ANALYSE - ERP =&gt; SOUS-SEGMENT'!$BP$114</f>
        <v>0.76</v>
      </c>
      <c r="J75" s="787">
        <f>'ANALYSE - ERP =&gt; SOUS-SEGMENT'!$BQ$114</f>
        <v>0.08</v>
      </c>
      <c r="K75" s="787">
        <f>'ANALYSE - ERP =&gt; SOUS-SEGMENT'!$BR$114</f>
        <v>0.06</v>
      </c>
      <c r="M75" s="787">
        <f>'ANALYSE - ERP =&gt; SOUS-SEGMENT'!$BS$114</f>
        <v>0.08</v>
      </c>
      <c r="N75" s="787">
        <f>'ANALYSE - ERP =&gt; SOUS-SEGMENT'!$BT$114</f>
        <v>0.76</v>
      </c>
      <c r="O75" s="787">
        <f>'ANALYSE - ERP =&gt; SOUS-SEGMENT'!$BU$114</f>
        <v>0.1</v>
      </c>
      <c r="P75" s="787">
        <f>'ANALYSE - ERP =&gt; SOUS-SEGMENT'!$BV$114</f>
        <v>0.06</v>
      </c>
      <c r="R75" s="791" t="s">
        <v>7719</v>
      </c>
      <c r="S75" s="424">
        <f>'ANALYSE - ERP =&gt; SOUS-SEGMENT'!$BJ$114</f>
        <v>1875</v>
      </c>
      <c r="T75" s="430">
        <f>'ANALYSE - ERP =&gt; SOUS-SEGMENT'!$Q$114</f>
        <v>1</v>
      </c>
    </row>
    <row r="76" spans="1:20" ht="15" customHeight="1">
      <c r="A76" s="26">
        <v>73</v>
      </c>
      <c r="B76" s="26">
        <v>74</v>
      </c>
      <c r="C76" s="422">
        <f>'ANALYSE - ERP =&gt; SOUS-SEGMENT'!$A$115</f>
        <v>108</v>
      </c>
      <c r="D76" s="415" t="str">
        <f>'ANALYSE - ERP =&gt; SOUS-SEGMENT'!$B$115</f>
        <v>Culte, Vie civique &amp; Services publics</v>
      </c>
      <c r="E76" s="415" t="str">
        <f>'ANALYSE - ERP =&gt; SOUS-SEGMENT'!$C$115</f>
        <v>Culte</v>
      </c>
      <c r="F76" s="415" t="str">
        <f>'ANALYSE - ERP =&gt; SOUS-SEGMENT'!$D$115</f>
        <v>Temples protestants, évangéliques et salles de culte assimilées</v>
      </c>
      <c r="H76" s="787">
        <f>'ANALYSE - ERP =&gt; SOUS-SEGMENT'!$BO$115</f>
        <v>0.36</v>
      </c>
      <c r="I76" s="787">
        <f>'ANALYSE - ERP =&gt; SOUS-SEGMENT'!$BP$115</f>
        <v>0.5</v>
      </c>
      <c r="J76" s="787">
        <f>'ANALYSE - ERP =&gt; SOUS-SEGMENT'!$BQ$115</f>
        <v>0.1</v>
      </c>
      <c r="K76" s="787">
        <f>'ANALYSE - ERP =&gt; SOUS-SEGMENT'!$BR$115</f>
        <v>0.04</v>
      </c>
      <c r="M76" s="787">
        <f>'ANALYSE - ERP =&gt; SOUS-SEGMENT'!$BS$115</f>
        <v>0.31</v>
      </c>
      <c r="N76" s="787">
        <f>'ANALYSE - ERP =&gt; SOUS-SEGMENT'!$BT$115</f>
        <v>0.51</v>
      </c>
      <c r="O76" s="787">
        <f>'ANALYSE - ERP =&gt; SOUS-SEGMENT'!$BU$115</f>
        <v>0.15</v>
      </c>
      <c r="P76" s="787">
        <f>'ANALYSE - ERP =&gt; SOUS-SEGMENT'!$BV$115</f>
        <v>0.03</v>
      </c>
      <c r="R76" s="791" t="s">
        <v>7719</v>
      </c>
      <c r="S76" s="424">
        <f>'ANALYSE - ERP =&gt; SOUS-SEGMENT'!$BJ$115</f>
        <v>7950</v>
      </c>
      <c r="T76" s="430">
        <f>'ANALYSE - ERP =&gt; SOUS-SEGMENT'!$Q$115</f>
        <v>1</v>
      </c>
    </row>
    <row r="77" spans="1:20" ht="15" customHeight="1">
      <c r="A77" s="26">
        <v>74</v>
      </c>
      <c r="B77" s="26">
        <v>75</v>
      </c>
      <c r="C77" s="422">
        <f>'ANALYSE - ERP =&gt; SOUS-SEGMENT'!$A$116</f>
        <v>109</v>
      </c>
      <c r="D77" s="415" t="str">
        <f>'ANALYSE - ERP =&gt; SOUS-SEGMENT'!$B$116</f>
        <v>Culte, Vie civique &amp; Services publics</v>
      </c>
      <c r="E77" s="415" t="str">
        <f>'ANALYSE - ERP =&gt; SOUS-SEGMENT'!$C$116</f>
        <v>Culte</v>
      </c>
      <c r="F77" s="415" t="str">
        <f>'ANALYSE - ERP =&gt; SOUS-SEGMENT'!$D$116</f>
        <v>Mosquées et salles de prière musulmanes</v>
      </c>
      <c r="H77" s="787">
        <f>'ANALYSE - ERP =&gt; SOUS-SEGMENT'!$BO$116</f>
        <v>0.1</v>
      </c>
      <c r="I77" s="787">
        <f>'ANALYSE - ERP =&gt; SOUS-SEGMENT'!$BP$116</f>
        <v>0.76</v>
      </c>
      <c r="J77" s="787">
        <f>'ANALYSE - ERP =&gt; SOUS-SEGMENT'!$BQ$116</f>
        <v>0.08</v>
      </c>
      <c r="K77" s="787">
        <f>'ANALYSE - ERP =&gt; SOUS-SEGMENT'!$BR$116</f>
        <v>0.06</v>
      </c>
      <c r="M77" s="787">
        <f>'ANALYSE - ERP =&gt; SOUS-SEGMENT'!$BS$116</f>
        <v>0.08</v>
      </c>
      <c r="N77" s="787">
        <f>'ANALYSE - ERP =&gt; SOUS-SEGMENT'!$BT$116</f>
        <v>0.76</v>
      </c>
      <c r="O77" s="787">
        <f>'ANALYSE - ERP =&gt; SOUS-SEGMENT'!$BU$116</f>
        <v>0.1</v>
      </c>
      <c r="P77" s="787">
        <f>'ANALYSE - ERP =&gt; SOUS-SEGMENT'!$BV$116</f>
        <v>0.06</v>
      </c>
      <c r="R77" s="791" t="s">
        <v>7719</v>
      </c>
      <c r="S77" s="424">
        <f>'ANALYSE - ERP =&gt; SOUS-SEGMENT'!$BJ$116</f>
        <v>26160</v>
      </c>
      <c r="T77" s="430">
        <f>'ANALYSE - ERP =&gt; SOUS-SEGMENT'!$Q$116</f>
        <v>1</v>
      </c>
    </row>
    <row r="78" spans="1:20" ht="15" customHeight="1">
      <c r="A78" s="26">
        <v>75</v>
      </c>
      <c r="B78" s="26">
        <v>76</v>
      </c>
      <c r="C78" s="422">
        <f>'ANALYSE - ERP =&gt; SOUS-SEGMENT'!$A$117</f>
        <v>110</v>
      </c>
      <c r="D78" s="415" t="str">
        <f>'ANALYSE - ERP =&gt; SOUS-SEGMENT'!$B$117</f>
        <v>Culte, Vie civique &amp; Services publics</v>
      </c>
      <c r="E78" s="415" t="str">
        <f>'ANALYSE - ERP =&gt; SOUS-SEGMENT'!$C$117</f>
        <v>Culte</v>
      </c>
      <c r="F78" s="415" t="str">
        <f>'ANALYSE - ERP =&gt; SOUS-SEGMENT'!$D$117</f>
        <v>Synagogues et oratoires juifs ouverts au public</v>
      </c>
      <c r="H78" s="787">
        <f>'ANALYSE - ERP =&gt; SOUS-SEGMENT'!$BO$117</f>
        <v>0.36</v>
      </c>
      <c r="I78" s="787">
        <f>'ANALYSE - ERP =&gt; SOUS-SEGMENT'!$BP$117</f>
        <v>0.5</v>
      </c>
      <c r="J78" s="787">
        <f>'ANALYSE - ERP =&gt; SOUS-SEGMENT'!$BQ$117</f>
        <v>0.1</v>
      </c>
      <c r="K78" s="787">
        <f>'ANALYSE - ERP =&gt; SOUS-SEGMENT'!$BR$117</f>
        <v>0.04</v>
      </c>
      <c r="M78" s="787">
        <f>'ANALYSE - ERP =&gt; SOUS-SEGMENT'!$BS$117</f>
        <v>0.31</v>
      </c>
      <c r="N78" s="787">
        <f>'ANALYSE - ERP =&gt; SOUS-SEGMENT'!$BT$117</f>
        <v>0.51</v>
      </c>
      <c r="O78" s="787">
        <f>'ANALYSE - ERP =&gt; SOUS-SEGMENT'!$BU$117</f>
        <v>0.15</v>
      </c>
      <c r="P78" s="787">
        <f>'ANALYSE - ERP =&gt; SOUS-SEGMENT'!$BV$117</f>
        <v>0.03</v>
      </c>
      <c r="R78" s="791" t="s">
        <v>7719</v>
      </c>
      <c r="S78" s="424">
        <f>'ANALYSE - ERP =&gt; SOUS-SEGMENT'!$BJ$117</f>
        <v>726</v>
      </c>
      <c r="T78" s="430">
        <f>'ANALYSE - ERP =&gt; SOUS-SEGMENT'!$Q$117</f>
        <v>1</v>
      </c>
    </row>
    <row r="79" spans="1:20" ht="15" customHeight="1">
      <c r="A79" s="26">
        <v>76</v>
      </c>
      <c r="B79" s="26">
        <v>77</v>
      </c>
      <c r="C79" s="422">
        <f>'ANALYSE - ERP =&gt; SOUS-SEGMENT'!$A$118</f>
        <v>111</v>
      </c>
      <c r="D79" s="415" t="str">
        <f>'ANALYSE - ERP =&gt; SOUS-SEGMENT'!$B$118</f>
        <v>Culte, Vie civique &amp; Services publics</v>
      </c>
      <c r="E79" s="415" t="str">
        <f>'ANALYSE - ERP =&gt; SOUS-SEGMENT'!$C$118</f>
        <v>Culte</v>
      </c>
      <c r="F79" s="415" t="str">
        <f>'ANALYSE - ERP =&gt; SOUS-SEGMENT'!$D$118</f>
        <v>Temples bouddhistes, hindous et autres lieux de culte non abrahamiques ouverts au public</v>
      </c>
      <c r="H79" s="787">
        <f>'ANALYSE - ERP =&gt; SOUS-SEGMENT'!$BO$118</f>
        <v>0.55000000000000004</v>
      </c>
      <c r="I79" s="787">
        <f>'ANALYSE - ERP =&gt; SOUS-SEGMENT'!$BP$118</f>
        <v>0.35</v>
      </c>
      <c r="J79" s="787">
        <f>'ANALYSE - ERP =&gt; SOUS-SEGMENT'!$BQ$118</f>
        <v>0.05</v>
      </c>
      <c r="K79" s="787">
        <f>'ANALYSE - ERP =&gt; SOUS-SEGMENT'!$BR$118</f>
        <v>0.05</v>
      </c>
      <c r="M79" s="787">
        <f>'ANALYSE - ERP =&gt; SOUS-SEGMENT'!$BS$118</f>
        <v>0.5</v>
      </c>
      <c r="N79" s="787">
        <f>'ANALYSE - ERP =&gt; SOUS-SEGMENT'!$BT$118</f>
        <v>0.37</v>
      </c>
      <c r="O79" s="787">
        <f>'ANALYSE - ERP =&gt; SOUS-SEGMENT'!$BU$118</f>
        <v>0.08</v>
      </c>
      <c r="P79" s="787">
        <f>'ANALYSE - ERP =&gt; SOUS-SEGMENT'!$BV$118</f>
        <v>0.05</v>
      </c>
      <c r="R79" s="791" t="s">
        <v>7719</v>
      </c>
      <c r="S79" s="424">
        <f>'ANALYSE - ERP =&gt; SOUS-SEGMENT'!$BJ$118</f>
        <v>1500</v>
      </c>
      <c r="T79" s="430">
        <f>'ANALYSE - ERP =&gt; SOUS-SEGMENT'!$Q$118</f>
        <v>1</v>
      </c>
    </row>
    <row r="80" spans="1:20" ht="15" customHeight="1">
      <c r="A80" s="26">
        <v>77</v>
      </c>
      <c r="B80" s="26">
        <v>78</v>
      </c>
      <c r="C80" s="422">
        <f>'ANALYSE - ERP =&gt; SOUS-SEGMENT'!$A$119</f>
        <v>112</v>
      </c>
      <c r="D80" s="415" t="str">
        <f>'ANALYSE - ERP =&gt; SOUS-SEGMENT'!$B$119</f>
        <v>Culte, Vie civique &amp; Services publics</v>
      </c>
      <c r="E80" s="415" t="str">
        <f>'ANALYSE - ERP =&gt; SOUS-SEGMENT'!$C$119</f>
        <v>Culte</v>
      </c>
      <c r="F80" s="415" t="str">
        <f>'ANALYSE - ERP =&gt; SOUS-SEGMENT'!$D$119</f>
        <v>Salles du Royaume, centres cultuels pluriconfessionnels et lieux de culte polyvalents</v>
      </c>
      <c r="H80" s="787">
        <f>'ANALYSE - ERP =&gt; SOUS-SEGMENT'!$BO$119</f>
        <v>0.1</v>
      </c>
      <c r="I80" s="787">
        <f>'ANALYSE - ERP =&gt; SOUS-SEGMENT'!$BP$119</f>
        <v>0.76</v>
      </c>
      <c r="J80" s="787">
        <f>'ANALYSE - ERP =&gt; SOUS-SEGMENT'!$BQ$119</f>
        <v>0.08</v>
      </c>
      <c r="K80" s="787">
        <f>'ANALYSE - ERP =&gt; SOUS-SEGMENT'!$BR$119</f>
        <v>0.06</v>
      </c>
      <c r="M80" s="787">
        <f>'ANALYSE - ERP =&gt; SOUS-SEGMENT'!$BS$119</f>
        <v>0.08</v>
      </c>
      <c r="N80" s="787">
        <f>'ANALYSE - ERP =&gt; SOUS-SEGMENT'!$BT$119</f>
        <v>0.76</v>
      </c>
      <c r="O80" s="787">
        <f>'ANALYSE - ERP =&gt; SOUS-SEGMENT'!$BU$119</f>
        <v>0.1</v>
      </c>
      <c r="P80" s="787">
        <f>'ANALYSE - ERP =&gt; SOUS-SEGMENT'!$BV$119</f>
        <v>0.06</v>
      </c>
      <c r="R80" s="791" t="s">
        <v>7719</v>
      </c>
      <c r="S80" s="424">
        <f>'ANALYSE - ERP =&gt; SOUS-SEGMENT'!$BJ$119</f>
        <v>2250</v>
      </c>
      <c r="T80" s="430">
        <f>'ANALYSE - ERP =&gt; SOUS-SEGMENT'!$Q$119</f>
        <v>1</v>
      </c>
    </row>
    <row r="81" spans="1:20" ht="15" customHeight="1">
      <c r="A81" s="26">
        <v>78</v>
      </c>
      <c r="B81" s="26">
        <v>68</v>
      </c>
      <c r="C81" s="422" t="e">
        <f>'ANALYSE - ERP =&gt; SOUS-SEGMENT'!#REF!</f>
        <v>#REF!</v>
      </c>
      <c r="D81" s="411" t="e">
        <f>'ANALYSE - ERP =&gt; SOUS-SEGMENT'!#REF!</f>
        <v>#REF!</v>
      </c>
      <c r="E81" s="411" t="e">
        <f>'ANALYSE - ERP =&gt; SOUS-SEGMENT'!#REF!</f>
        <v>#REF!</v>
      </c>
      <c r="F81" s="411" t="e">
        <f>'ANALYSE - ERP =&gt; SOUS-SEGMENT'!#REF!</f>
        <v>#REF!</v>
      </c>
      <c r="H81" s="787" t="e">
        <f>'ANALYSE - ERP =&gt; SOUS-SEGMENT'!#REF!</f>
        <v>#REF!</v>
      </c>
      <c r="I81" s="787" t="e">
        <f>'ANALYSE - ERP =&gt; SOUS-SEGMENT'!#REF!</f>
        <v>#REF!</v>
      </c>
      <c r="J81" s="787" t="e">
        <f>'ANALYSE - ERP =&gt; SOUS-SEGMENT'!#REF!</f>
        <v>#REF!</v>
      </c>
      <c r="K81" s="787" t="e">
        <f>'ANALYSE - ERP =&gt; SOUS-SEGMENT'!#REF!</f>
        <v>#REF!</v>
      </c>
      <c r="M81" s="787" t="e">
        <f>'ANALYSE - ERP =&gt; SOUS-SEGMENT'!#REF!</f>
        <v>#REF!</v>
      </c>
      <c r="N81" s="787" t="e">
        <f>'ANALYSE - ERP =&gt; SOUS-SEGMENT'!#REF!</f>
        <v>#REF!</v>
      </c>
      <c r="O81" s="787" t="e">
        <f>'ANALYSE - ERP =&gt; SOUS-SEGMENT'!#REF!</f>
        <v>#REF!</v>
      </c>
      <c r="P81" s="787" t="e">
        <f>'ANALYSE - ERP =&gt; SOUS-SEGMENT'!#REF!</f>
        <v>#REF!</v>
      </c>
      <c r="R81" s="791" t="s">
        <v>7719</v>
      </c>
      <c r="S81" s="424" t="e">
        <f>'ANALYSE - ERP =&gt; SOUS-SEGMENT'!#REF!</f>
        <v>#REF!</v>
      </c>
      <c r="T81" s="430" t="e">
        <f>'ANALYSE - ERP =&gt; SOUS-SEGMENT'!#REF!</f>
        <v>#REF!</v>
      </c>
    </row>
    <row r="82" spans="1:20" s="45" customFormat="1" ht="15" customHeight="1">
      <c r="A82" s="406">
        <v>79</v>
      </c>
      <c r="B82" s="406">
        <v>80</v>
      </c>
      <c r="C82" s="448">
        <f>'ANALYSE - ERP =&gt; SOUS-SEGMENT'!$A$51</f>
        <v>44</v>
      </c>
      <c r="D82" s="449" t="str">
        <f>'ANALYSE - ERP =&gt; SOUS-SEGMENT'!$B$51</f>
        <v>Santé &amp; Médico-social</v>
      </c>
      <c r="E82" s="449" t="str">
        <f>'ANALYSE - ERP =&gt; SOUS-SEGMENT'!$C$51</f>
        <v>Santé spécialisée</v>
      </c>
      <c r="F82" s="449" t="str">
        <f>'ANALYSE - ERP =&gt; SOUS-SEGMENT'!$D$51</f>
        <v>Maternités</v>
      </c>
      <c r="G82" s="685"/>
      <c r="H82" s="788">
        <f>'ANALYSE - ERP =&gt; SOUS-SEGMENT'!$BO$51</f>
        <v>0.55000000000000004</v>
      </c>
      <c r="I82" s="788">
        <f>'ANALYSE - ERP =&gt; SOUS-SEGMENT'!$BP$51</f>
        <v>0.15</v>
      </c>
      <c r="J82" s="788">
        <f>'ANALYSE - ERP =&gt; SOUS-SEGMENT'!$BQ$51</f>
        <v>0.2</v>
      </c>
      <c r="K82" s="788">
        <f>'ANALYSE - ERP =&gt; SOUS-SEGMENT'!$BR$51</f>
        <v>0.1</v>
      </c>
      <c r="L82" s="685"/>
      <c r="M82" s="788">
        <f>'ANALYSE - ERP =&gt; SOUS-SEGMENT'!$BS$51</f>
        <v>0.52</v>
      </c>
      <c r="N82" s="788">
        <f>'ANALYSE - ERP =&gt; SOUS-SEGMENT'!$BT$51</f>
        <v>0.15</v>
      </c>
      <c r="O82" s="788">
        <f>'ANALYSE - ERP =&gt; SOUS-SEGMENT'!$BU$51</f>
        <v>0.23</v>
      </c>
      <c r="P82" s="788">
        <f>'ANALYSE - ERP =&gt; SOUS-SEGMENT'!$BV$51</f>
        <v>0.1</v>
      </c>
      <c r="Q82" s="685"/>
      <c r="R82" s="792" t="s">
        <v>2514</v>
      </c>
      <c r="S82" s="425">
        <f>'ANALYSE - ERP =&gt; SOUS-SEGMENT'!$BJ$51</f>
        <v>12600</v>
      </c>
      <c r="T82" s="450">
        <f>'ANALYSE - ERP =&gt; SOUS-SEGMENT'!$Q$51</f>
        <v>0</v>
      </c>
    </row>
    <row r="83" spans="1:20" ht="15" customHeight="1">
      <c r="A83" s="26">
        <v>80</v>
      </c>
      <c r="B83" s="26">
        <v>79</v>
      </c>
      <c r="C83" s="422">
        <f>'ANALYSE - ERP =&gt; SOUS-SEGMENT'!$A$8</f>
        <v>1</v>
      </c>
      <c r="D83" s="411" t="str">
        <f>'ANALYSE - ERP =&gt; SOUS-SEGMENT'!$B$8</f>
        <v>Enfance, Enseignement, Jeunesse &amp; Formation</v>
      </c>
      <c r="E83" s="411" t="str">
        <f>'ANALYSE - ERP =&gt; SOUS-SEGMENT'!$C$8</f>
        <v>Petite enfance</v>
      </c>
      <c r="F83" s="411" t="str">
        <f>'ANALYSE - ERP =&gt; SOUS-SEGMENT'!$D$8</f>
        <v>Crèches</v>
      </c>
      <c r="H83" s="787">
        <f>'ANALYSE - ERP =&gt; SOUS-SEGMENT'!$BO$8</f>
        <v>0.5</v>
      </c>
      <c r="I83" s="787">
        <f>'ANALYSE - ERP =&gt; SOUS-SEGMENT'!$BP$8</f>
        <v>0.42</v>
      </c>
      <c r="J83" s="787">
        <f>'ANALYSE - ERP =&gt; SOUS-SEGMENT'!$BQ$8</f>
        <v>0.04</v>
      </c>
      <c r="K83" s="787">
        <f>'ANALYSE - ERP =&gt; SOUS-SEGMENT'!$BR$8</f>
        <v>0.04</v>
      </c>
      <c r="M83" s="787">
        <f>'ANALYSE - ERP =&gt; SOUS-SEGMENT'!$BS$8</f>
        <v>0.48</v>
      </c>
      <c r="N83" s="787">
        <f>'ANALYSE - ERP =&gt; SOUS-SEGMENT'!$BT$8</f>
        <v>0.42</v>
      </c>
      <c r="O83" s="787">
        <f>'ANALYSE - ERP =&gt; SOUS-SEGMENT'!$BU$8</f>
        <v>0.06</v>
      </c>
      <c r="P83" s="787">
        <f>'ANALYSE - ERP =&gt; SOUS-SEGMENT'!$BV$8</f>
        <v>0.04</v>
      </c>
      <c r="R83" s="791" t="s">
        <v>2514</v>
      </c>
      <c r="S83" s="424">
        <f>'ANALYSE - ERP =&gt; SOUS-SEGMENT'!$BJ$8</f>
        <v>121080</v>
      </c>
      <c r="T83" s="430">
        <f>'ANALYSE - ERP =&gt; SOUS-SEGMENT'!$Q$8</f>
        <v>1</v>
      </c>
    </row>
    <row r="84" spans="1:20" s="45" customFormat="1" ht="15" customHeight="1">
      <c r="A84" s="406">
        <v>81</v>
      </c>
      <c r="B84" s="406">
        <v>88</v>
      </c>
      <c r="C84" s="448">
        <f>'ANALYSE - ERP =&gt; SOUS-SEGMENT'!$A$49</f>
        <v>42</v>
      </c>
      <c r="D84" s="449" t="str">
        <f>'ANALYSE - ERP =&gt; SOUS-SEGMENT'!$B$49</f>
        <v>Santé &amp; Médico-social</v>
      </c>
      <c r="E84" s="449" t="str">
        <f>'ANALYSE - ERP =&gt; SOUS-SEGMENT'!$C$49</f>
        <v>Santé spécialisée</v>
      </c>
      <c r="F84" s="449" t="str">
        <f>'ANALYSE - ERP =&gt; SOUS-SEGMENT'!$D$49</f>
        <v>Centres de psychiatrie</v>
      </c>
      <c r="G84" s="685"/>
      <c r="H84" s="788">
        <f>'ANALYSE - ERP =&gt; SOUS-SEGMENT'!$BO$49</f>
        <v>0.45</v>
      </c>
      <c r="I84" s="788">
        <f>'ANALYSE - ERP =&gt; SOUS-SEGMENT'!$BP$49</f>
        <v>0.3</v>
      </c>
      <c r="J84" s="788">
        <f>'ANALYSE - ERP =&gt; SOUS-SEGMENT'!$BQ$49</f>
        <v>0.12</v>
      </c>
      <c r="K84" s="788">
        <f>'ANALYSE - ERP =&gt; SOUS-SEGMENT'!$BR$49</f>
        <v>0.13</v>
      </c>
      <c r="L84" s="685"/>
      <c r="M84" s="788">
        <f>'ANALYSE - ERP =&gt; SOUS-SEGMENT'!$BS$49</f>
        <v>0.42</v>
      </c>
      <c r="N84" s="788">
        <f>'ANALYSE - ERP =&gt; SOUS-SEGMENT'!$BT$49</f>
        <v>0.3</v>
      </c>
      <c r="O84" s="788">
        <f>'ANALYSE - ERP =&gt; SOUS-SEGMENT'!$BU$49</f>
        <v>0.16</v>
      </c>
      <c r="P84" s="788">
        <f>'ANALYSE - ERP =&gt; SOUS-SEGMENT'!$BV$49</f>
        <v>0.12</v>
      </c>
      <c r="Q84" s="685"/>
      <c r="R84" s="792" t="s">
        <v>2514</v>
      </c>
      <c r="S84" s="425">
        <f>'ANALYSE - ERP =&gt; SOUS-SEGMENT'!$BJ$49</f>
        <v>28125</v>
      </c>
      <c r="T84" s="450">
        <f>'ANALYSE - ERP =&gt; SOUS-SEGMENT'!$Q$49</f>
        <v>0</v>
      </c>
    </row>
    <row r="85" spans="1:20" s="45" customFormat="1" ht="15" customHeight="1">
      <c r="A85" s="406">
        <v>82</v>
      </c>
      <c r="B85" s="406">
        <v>89</v>
      </c>
      <c r="C85" s="448">
        <f>'ANALYSE - ERP =&gt; SOUS-SEGMENT'!$A$50</f>
        <v>43</v>
      </c>
      <c r="D85" s="449" t="str">
        <f>'ANALYSE - ERP =&gt; SOUS-SEGMENT'!$B$50</f>
        <v>Santé &amp; Médico-social</v>
      </c>
      <c r="E85" s="449" t="str">
        <f>'ANALYSE - ERP =&gt; SOUS-SEGMENT'!$C$50</f>
        <v>Santé spécialisée</v>
      </c>
      <c r="F85" s="449" t="str">
        <f>'ANALYSE - ERP =&gt; SOUS-SEGMENT'!$D$50</f>
        <v>Centres de rééducation</v>
      </c>
      <c r="G85" s="685"/>
      <c r="H85" s="788">
        <f>'ANALYSE - ERP =&gt; SOUS-SEGMENT'!$BO$50</f>
        <v>0.45</v>
      </c>
      <c r="I85" s="788">
        <f>'ANALYSE - ERP =&gt; SOUS-SEGMENT'!$BP$50</f>
        <v>0.3</v>
      </c>
      <c r="J85" s="788">
        <f>'ANALYSE - ERP =&gt; SOUS-SEGMENT'!$BQ$50</f>
        <v>0.12</v>
      </c>
      <c r="K85" s="788">
        <f>'ANALYSE - ERP =&gt; SOUS-SEGMENT'!$BR$50</f>
        <v>0.13</v>
      </c>
      <c r="L85" s="685"/>
      <c r="M85" s="788">
        <f>'ANALYSE - ERP =&gt; SOUS-SEGMENT'!$BS$50</f>
        <v>0.42</v>
      </c>
      <c r="N85" s="788">
        <f>'ANALYSE - ERP =&gt; SOUS-SEGMENT'!$BT$50</f>
        <v>0.3</v>
      </c>
      <c r="O85" s="788">
        <f>'ANALYSE - ERP =&gt; SOUS-SEGMENT'!$BU$50</f>
        <v>0.16</v>
      </c>
      <c r="P85" s="788">
        <f>'ANALYSE - ERP =&gt; SOUS-SEGMENT'!$BV$50</f>
        <v>0.12</v>
      </c>
      <c r="Q85" s="685"/>
      <c r="R85" s="792" t="s">
        <v>2514</v>
      </c>
      <c r="S85" s="425">
        <f>'ANALYSE - ERP =&gt; SOUS-SEGMENT'!$BJ$50</f>
        <v>25536</v>
      </c>
      <c r="T85" s="450">
        <f>'ANALYSE - ERP =&gt; SOUS-SEGMENT'!$Q$50</f>
        <v>0</v>
      </c>
    </row>
    <row r="86" spans="1:20" ht="15" customHeight="1">
      <c r="A86" s="26">
        <v>83</v>
      </c>
      <c r="B86" s="26">
        <v>81</v>
      </c>
      <c r="C86" s="422">
        <f>'ANALYSE - ERP =&gt; SOUS-SEGMENT'!$A$139</f>
        <v>132</v>
      </c>
      <c r="D86" s="417" t="str">
        <f>'ANALYSE - ERP =&gt; SOUS-SEGMENT'!$B$139</f>
        <v>Sécurité &amp; Justice</v>
      </c>
      <c r="E86" s="417" t="str">
        <f>'ANALYSE - ERP =&gt; SOUS-SEGMENT'!$C$139</f>
        <v>Univers carcéral</v>
      </c>
      <c r="F86" s="417" t="str">
        <f>'ANALYSE - ERP =&gt; SOUS-SEGMENT'!$D$139</f>
        <v>Maisons d’arrêt</v>
      </c>
      <c r="H86" s="787">
        <f>'ANALYSE - ERP =&gt; SOUS-SEGMENT'!$BO$139</f>
        <v>0.02</v>
      </c>
      <c r="I86" s="787">
        <f>'ANALYSE - ERP =&gt; SOUS-SEGMENT'!$BP$139</f>
        <v>0.7</v>
      </c>
      <c r="J86" s="787">
        <f>'ANALYSE - ERP =&gt; SOUS-SEGMENT'!$BQ$139</f>
        <v>0.01</v>
      </c>
      <c r="K86" s="787">
        <f>'ANALYSE - ERP =&gt; SOUS-SEGMENT'!$BR$139</f>
        <v>0.27</v>
      </c>
      <c r="M86" s="787">
        <f>'ANALYSE - ERP =&gt; SOUS-SEGMENT'!$BS$139</f>
        <v>0.02</v>
      </c>
      <c r="N86" s="787">
        <f>'ANALYSE - ERP =&gt; SOUS-SEGMENT'!$BT$139</f>
        <v>0.69</v>
      </c>
      <c r="O86" s="787">
        <f>'ANALYSE - ERP =&gt; SOUS-SEGMENT'!$BU$139</f>
        <v>0.02</v>
      </c>
      <c r="P86" s="787">
        <f>'ANALYSE - ERP =&gt; SOUS-SEGMENT'!$BV$139</f>
        <v>0.27</v>
      </c>
      <c r="R86" s="791" t="s">
        <v>7719</v>
      </c>
      <c r="S86" s="424">
        <f>'ANALYSE - ERP =&gt; SOUS-SEGMENT'!$BJ$139</f>
        <v>10500</v>
      </c>
      <c r="T86" s="430">
        <f>'ANALYSE - ERP =&gt; SOUS-SEGMENT'!$Q$139</f>
        <v>1</v>
      </c>
    </row>
    <row r="87" spans="1:20" ht="15" customHeight="1">
      <c r="A87" s="26">
        <v>84</v>
      </c>
      <c r="B87" s="26">
        <v>82</v>
      </c>
      <c r="C87" s="422">
        <f>'ANALYSE - ERP =&gt; SOUS-SEGMENT'!$A$140</f>
        <v>133</v>
      </c>
      <c r="D87" s="417" t="str">
        <f>'ANALYSE - ERP =&gt; SOUS-SEGMENT'!$B$140</f>
        <v>Sécurité &amp; Justice</v>
      </c>
      <c r="E87" s="417" t="str">
        <f>'ANALYSE - ERP =&gt; SOUS-SEGMENT'!$C$140</f>
        <v>Univers carcéral</v>
      </c>
      <c r="F87" s="417" t="str">
        <f>'ANALYSE - ERP =&gt; SOUS-SEGMENT'!$D$140</f>
        <v>Centres de détention</v>
      </c>
      <c r="H87" s="787">
        <f>'ANALYSE - ERP =&gt; SOUS-SEGMENT'!$BO$140</f>
        <v>0.02</v>
      </c>
      <c r="I87" s="787">
        <f>'ANALYSE - ERP =&gt; SOUS-SEGMENT'!$BP$140</f>
        <v>0.7</v>
      </c>
      <c r="J87" s="787">
        <f>'ANALYSE - ERP =&gt; SOUS-SEGMENT'!$BQ$140</f>
        <v>0.01</v>
      </c>
      <c r="K87" s="787">
        <f>'ANALYSE - ERP =&gt; SOUS-SEGMENT'!$BR$140</f>
        <v>0.27</v>
      </c>
      <c r="M87" s="787">
        <f>'ANALYSE - ERP =&gt; SOUS-SEGMENT'!$BS$140</f>
        <v>0.02</v>
      </c>
      <c r="N87" s="787">
        <f>'ANALYSE - ERP =&gt; SOUS-SEGMENT'!$BT$140</f>
        <v>0.69</v>
      </c>
      <c r="O87" s="787">
        <f>'ANALYSE - ERP =&gt; SOUS-SEGMENT'!$BU$140</f>
        <v>0.02</v>
      </c>
      <c r="P87" s="787">
        <f>'ANALYSE - ERP =&gt; SOUS-SEGMENT'!$BV$140</f>
        <v>0.27</v>
      </c>
      <c r="R87" s="791" t="s">
        <v>7719</v>
      </c>
      <c r="S87" s="424">
        <f>'ANALYSE - ERP =&gt; SOUS-SEGMENT'!$BJ$140</f>
        <v>4440</v>
      </c>
      <c r="T87" s="430">
        <f>'ANALYSE - ERP =&gt; SOUS-SEGMENT'!$Q$140</f>
        <v>1</v>
      </c>
    </row>
    <row r="88" spans="1:20" ht="15" customHeight="1">
      <c r="A88" s="26">
        <v>85</v>
      </c>
      <c r="B88" s="26">
        <v>83</v>
      </c>
      <c r="C88" s="422">
        <f>'ANALYSE - ERP =&gt; SOUS-SEGMENT'!$A$141</f>
        <v>134</v>
      </c>
      <c r="D88" s="417" t="str">
        <f>'ANALYSE - ERP =&gt; SOUS-SEGMENT'!$B$141</f>
        <v>Sécurité &amp; Justice</v>
      </c>
      <c r="E88" s="417" t="str">
        <f>'ANALYSE - ERP =&gt; SOUS-SEGMENT'!$C$141</f>
        <v>Univers carcéral</v>
      </c>
      <c r="F88" s="417" t="str">
        <f>'ANALYSE - ERP =&gt; SOUS-SEGMENT'!$D$141</f>
        <v>Maisons centrales</v>
      </c>
      <c r="H88" s="787">
        <f>'ANALYSE - ERP =&gt; SOUS-SEGMENT'!$BO$141</f>
        <v>0.02</v>
      </c>
      <c r="I88" s="787">
        <f>'ANALYSE - ERP =&gt; SOUS-SEGMENT'!$BP$141</f>
        <v>0.7</v>
      </c>
      <c r="J88" s="787">
        <f>'ANALYSE - ERP =&gt; SOUS-SEGMENT'!$BQ$141</f>
        <v>0.01</v>
      </c>
      <c r="K88" s="787">
        <f>'ANALYSE - ERP =&gt; SOUS-SEGMENT'!$BR$141</f>
        <v>0.27</v>
      </c>
      <c r="M88" s="787">
        <f>'ANALYSE - ERP =&gt; SOUS-SEGMENT'!$BS$141</f>
        <v>0.02</v>
      </c>
      <c r="N88" s="787">
        <f>'ANALYSE - ERP =&gt; SOUS-SEGMENT'!$BT$141</f>
        <v>0.69</v>
      </c>
      <c r="O88" s="787">
        <f>'ANALYSE - ERP =&gt; SOUS-SEGMENT'!$BU$141</f>
        <v>0.02</v>
      </c>
      <c r="P88" s="787">
        <f>'ANALYSE - ERP =&gt; SOUS-SEGMENT'!$BV$141</f>
        <v>0.27</v>
      </c>
      <c r="R88" s="791" t="s">
        <v>7719</v>
      </c>
      <c r="S88" s="424">
        <f>'ANALYSE - ERP =&gt; SOUS-SEGMENT'!$BJ$141</f>
        <v>660</v>
      </c>
      <c r="T88" s="430">
        <f>'ANALYSE - ERP =&gt; SOUS-SEGMENT'!$Q$141</f>
        <v>1</v>
      </c>
    </row>
    <row r="89" spans="1:20" ht="15" customHeight="1">
      <c r="A89" s="26">
        <v>86</v>
      </c>
      <c r="B89" s="26">
        <v>84</v>
      </c>
      <c r="C89" s="422">
        <f>'ANALYSE - ERP =&gt; SOUS-SEGMENT'!$A$142</f>
        <v>135</v>
      </c>
      <c r="D89" s="417" t="str">
        <f>'ANALYSE - ERP =&gt; SOUS-SEGMENT'!$B$142</f>
        <v>Sécurité &amp; Justice</v>
      </c>
      <c r="E89" s="417" t="str">
        <f>'ANALYSE - ERP =&gt; SOUS-SEGMENT'!$C$142</f>
        <v>Univers carcéral</v>
      </c>
      <c r="F89" s="417" t="str">
        <f>'ANALYSE - ERP =&gt; SOUS-SEGMENT'!$D$142</f>
        <v>Centres pénitentiaires</v>
      </c>
      <c r="H89" s="787">
        <f>'ANALYSE - ERP =&gt; SOUS-SEGMENT'!$BO$142</f>
        <v>0.02</v>
      </c>
      <c r="I89" s="787">
        <f>'ANALYSE - ERP =&gt; SOUS-SEGMENT'!$BP$142</f>
        <v>0.7</v>
      </c>
      <c r="J89" s="787">
        <f>'ANALYSE - ERP =&gt; SOUS-SEGMENT'!$BQ$142</f>
        <v>0.01</v>
      </c>
      <c r="K89" s="787">
        <f>'ANALYSE - ERP =&gt; SOUS-SEGMENT'!$BR$142</f>
        <v>0.27</v>
      </c>
      <c r="M89" s="787">
        <f>'ANALYSE - ERP =&gt; SOUS-SEGMENT'!$BS$142</f>
        <v>0.02</v>
      </c>
      <c r="N89" s="787">
        <f>'ANALYSE - ERP =&gt; SOUS-SEGMENT'!$BT$142</f>
        <v>0.69</v>
      </c>
      <c r="O89" s="787">
        <f>'ANALYSE - ERP =&gt; SOUS-SEGMENT'!$BU$142</f>
        <v>0.02</v>
      </c>
      <c r="P89" s="787">
        <f>'ANALYSE - ERP =&gt; SOUS-SEGMENT'!$BV$142</f>
        <v>0.27</v>
      </c>
      <c r="R89" s="791" t="s">
        <v>7719</v>
      </c>
      <c r="S89" s="424">
        <f>'ANALYSE - ERP =&gt; SOUS-SEGMENT'!$BJ$142</f>
        <v>23100</v>
      </c>
      <c r="T89" s="430">
        <f>'ANALYSE - ERP =&gt; SOUS-SEGMENT'!$Q$142</f>
        <v>1</v>
      </c>
    </row>
    <row r="90" spans="1:20" ht="15" customHeight="1">
      <c r="A90" s="26">
        <v>87</v>
      </c>
      <c r="B90" s="26">
        <v>85</v>
      </c>
      <c r="C90" s="422">
        <f>'ANALYSE - ERP =&gt; SOUS-SEGMENT'!$A$143</f>
        <v>136</v>
      </c>
      <c r="D90" s="417" t="str">
        <f>'ANALYSE - ERP =&gt; SOUS-SEGMENT'!$B$143</f>
        <v>Sécurité &amp; Justice</v>
      </c>
      <c r="E90" s="417" t="str">
        <f>'ANALYSE - ERP =&gt; SOUS-SEGMENT'!$C$143</f>
        <v>Univers carcéral</v>
      </c>
      <c r="F90" s="417" t="str">
        <f>'ANALYSE - ERP =&gt; SOUS-SEGMENT'!$D$143</f>
        <v>Centres de semi-liberté</v>
      </c>
      <c r="H90" s="787">
        <f>'ANALYSE - ERP =&gt; SOUS-SEGMENT'!$BO$143</f>
        <v>0.02</v>
      </c>
      <c r="I90" s="787">
        <f>'ANALYSE - ERP =&gt; SOUS-SEGMENT'!$BP$143</f>
        <v>0.7</v>
      </c>
      <c r="J90" s="787">
        <f>'ANALYSE - ERP =&gt; SOUS-SEGMENT'!$BQ$143</f>
        <v>0.01</v>
      </c>
      <c r="K90" s="787">
        <f>'ANALYSE - ERP =&gt; SOUS-SEGMENT'!$BR$143</f>
        <v>0.27</v>
      </c>
      <c r="M90" s="787">
        <f>'ANALYSE - ERP =&gt; SOUS-SEGMENT'!$BS$143</f>
        <v>0.02</v>
      </c>
      <c r="N90" s="787">
        <f>'ANALYSE - ERP =&gt; SOUS-SEGMENT'!$BT$143</f>
        <v>0.69</v>
      </c>
      <c r="O90" s="787">
        <f>'ANALYSE - ERP =&gt; SOUS-SEGMENT'!$BU$143</f>
        <v>0.02</v>
      </c>
      <c r="P90" s="787">
        <f>'ANALYSE - ERP =&gt; SOUS-SEGMENT'!$BV$143</f>
        <v>0.27</v>
      </c>
      <c r="R90" s="791" t="s">
        <v>7719</v>
      </c>
      <c r="S90" s="424">
        <f>'ANALYSE - ERP =&gt; SOUS-SEGMENT'!$BJ$143</f>
        <v>144</v>
      </c>
      <c r="T90" s="430">
        <f>'ANALYSE - ERP =&gt; SOUS-SEGMENT'!$Q$143</f>
        <v>1</v>
      </c>
    </row>
    <row r="91" spans="1:20" ht="15" customHeight="1">
      <c r="A91" s="26">
        <v>88</v>
      </c>
      <c r="B91" s="26">
        <v>86</v>
      </c>
      <c r="C91" s="422">
        <f>'ANALYSE - ERP =&gt; SOUS-SEGMENT'!$A$144</f>
        <v>137</v>
      </c>
      <c r="D91" s="417" t="str">
        <f>'ANALYSE - ERP =&gt; SOUS-SEGMENT'!$B$144</f>
        <v>Sécurité &amp; Justice</v>
      </c>
      <c r="E91" s="417" t="str">
        <f>'ANALYSE - ERP =&gt; SOUS-SEGMENT'!$C$144</f>
        <v>Univers carcéral</v>
      </c>
      <c r="F91" s="417" t="str">
        <f>'ANALYSE - ERP =&gt; SOUS-SEGMENT'!$D$144</f>
        <v>Centres éducatifs fermés</v>
      </c>
      <c r="H91" s="787">
        <f>'ANALYSE - ERP =&gt; SOUS-SEGMENT'!$BO$144</f>
        <v>0.02</v>
      </c>
      <c r="I91" s="787">
        <f>'ANALYSE - ERP =&gt; SOUS-SEGMENT'!$BP$144</f>
        <v>0.7</v>
      </c>
      <c r="J91" s="787">
        <f>'ANALYSE - ERP =&gt; SOUS-SEGMENT'!$BQ$144</f>
        <v>0.01</v>
      </c>
      <c r="K91" s="787">
        <f>'ANALYSE - ERP =&gt; SOUS-SEGMENT'!$BR$144</f>
        <v>0.27</v>
      </c>
      <c r="M91" s="787">
        <f>'ANALYSE - ERP =&gt; SOUS-SEGMENT'!$BS$144</f>
        <v>0.02</v>
      </c>
      <c r="N91" s="787">
        <f>'ANALYSE - ERP =&gt; SOUS-SEGMENT'!$BT$144</f>
        <v>0.69</v>
      </c>
      <c r="O91" s="787">
        <f>'ANALYSE - ERP =&gt; SOUS-SEGMENT'!$BU$144</f>
        <v>0.02</v>
      </c>
      <c r="P91" s="787">
        <f>'ANALYSE - ERP =&gt; SOUS-SEGMENT'!$BV$144</f>
        <v>0.27</v>
      </c>
      <c r="R91" s="791" t="s">
        <v>7719</v>
      </c>
      <c r="S91" s="424">
        <f>'ANALYSE - ERP =&gt; SOUS-SEGMENT'!$BJ$144</f>
        <v>438</v>
      </c>
      <c r="T91" s="430">
        <f>'ANALYSE - ERP =&gt; SOUS-SEGMENT'!$Q$144</f>
        <v>1</v>
      </c>
    </row>
    <row r="92" spans="1:20" ht="15" customHeight="1">
      <c r="A92" s="26">
        <v>89</v>
      </c>
      <c r="B92" s="26">
        <v>87</v>
      </c>
      <c r="C92" s="422">
        <f>'ANALYSE - ERP =&gt; SOUS-SEGMENT'!$A$48</f>
        <v>41</v>
      </c>
      <c r="D92" s="417" t="str">
        <f>'ANALYSE - ERP =&gt; SOUS-SEGMENT'!$B$48</f>
        <v>Santé &amp; Médico-social</v>
      </c>
      <c r="E92" s="417" t="str">
        <f>'ANALYSE - ERP =&gt; SOUS-SEGMENT'!$C$48</f>
        <v>Santé hospitalière</v>
      </c>
      <c r="F92" s="417" t="str">
        <f>'ANALYSE - ERP =&gt; SOUS-SEGMENT'!$D$48</f>
        <v>Unités hospitalières sécurisées en milieu carcéral</v>
      </c>
      <c r="H92" s="787">
        <f>'ANALYSE - ERP =&gt; SOUS-SEGMENT'!$BO$48</f>
        <v>0.02</v>
      </c>
      <c r="I92" s="787">
        <f>'ANALYSE - ERP =&gt; SOUS-SEGMENT'!$BP$48</f>
        <v>0.7</v>
      </c>
      <c r="J92" s="787">
        <f>'ANALYSE - ERP =&gt; SOUS-SEGMENT'!$BQ$48</f>
        <v>0.01</v>
      </c>
      <c r="K92" s="787">
        <f>'ANALYSE - ERP =&gt; SOUS-SEGMENT'!$BR$48</f>
        <v>0.27</v>
      </c>
      <c r="M92" s="787">
        <f>'ANALYSE - ERP =&gt; SOUS-SEGMENT'!$BS$48</f>
        <v>0.02</v>
      </c>
      <c r="N92" s="787">
        <f>'ANALYSE - ERP =&gt; SOUS-SEGMENT'!$BT$48</f>
        <v>0.69</v>
      </c>
      <c r="O92" s="787">
        <f>'ANALYSE - ERP =&gt; SOUS-SEGMENT'!$BU$48</f>
        <v>0.02</v>
      </c>
      <c r="P92" s="787">
        <f>'ANALYSE - ERP =&gt; SOUS-SEGMENT'!$BV$48</f>
        <v>0.27</v>
      </c>
      <c r="R92" s="791" t="s">
        <v>7719</v>
      </c>
      <c r="S92" s="424">
        <f>'ANALYSE - ERP =&gt; SOUS-SEGMENT'!$BJ$48</f>
        <v>360</v>
      </c>
      <c r="T92" s="430">
        <f>'ANALYSE - ERP =&gt; SOUS-SEGMENT'!$Q$48</f>
        <v>1</v>
      </c>
    </row>
    <row r="93" spans="1:20" ht="15" customHeight="1">
      <c r="A93" s="26">
        <v>90</v>
      </c>
      <c r="B93" s="26">
        <v>90</v>
      </c>
      <c r="C93" s="422">
        <f>'ANALYSE - ERP =&gt; SOUS-SEGMENT'!$A$150</f>
        <v>143</v>
      </c>
      <c r="D93" s="418" t="str">
        <f>'ANALYSE - ERP =&gt; SOUS-SEGMENT'!$B$150</f>
        <v>Sanitaires Publics</v>
      </c>
      <c r="E93" s="418" t="str">
        <f>'ANALYSE - ERP =&gt; SOUS-SEGMENT'!$C$150</f>
        <v>Sanitaires publics</v>
      </c>
      <c r="F93" s="418" t="str">
        <f>'ANALYSE - ERP =&gt; SOUS-SEGMENT'!$D$150</f>
        <v>Toilettes publiques (sur la voie publique)</v>
      </c>
      <c r="H93" s="787">
        <f>'ANALYSE - ERP =&gt; SOUS-SEGMENT'!$BO$150</f>
        <v>0.05</v>
      </c>
      <c r="I93" s="787">
        <f>'ANALYSE - ERP =&gt; SOUS-SEGMENT'!$BP$150</f>
        <v>0.55000000000000004</v>
      </c>
      <c r="J93" s="787">
        <f>'ANALYSE - ERP =&gt; SOUS-SEGMENT'!$BQ$150</f>
        <v>0.08</v>
      </c>
      <c r="K93" s="787">
        <f>'ANALYSE - ERP =&gt; SOUS-SEGMENT'!$BR$150</f>
        <v>0.32</v>
      </c>
      <c r="M93" s="787">
        <f>'ANALYSE - ERP =&gt; SOUS-SEGMENT'!$BS$150</f>
        <v>0.05</v>
      </c>
      <c r="N93" s="787">
        <f>'ANALYSE - ERP =&gt; SOUS-SEGMENT'!$BT$150</f>
        <v>0.54</v>
      </c>
      <c r="O93" s="787">
        <f>'ANALYSE - ERP =&gt; SOUS-SEGMENT'!$BU$150</f>
        <v>0.09</v>
      </c>
      <c r="P93" s="787">
        <f>'ANALYSE - ERP =&gt; SOUS-SEGMENT'!$BV$150</f>
        <v>0.32</v>
      </c>
      <c r="R93" s="791" t="s">
        <v>7719</v>
      </c>
      <c r="S93" s="424">
        <f>'ANALYSE - ERP =&gt; SOUS-SEGMENT'!$BJ$150</f>
        <v>15500</v>
      </c>
      <c r="T93" s="430">
        <f>'ANALYSE - ERP =&gt; SOUS-SEGMENT'!$Q$150</f>
        <v>1</v>
      </c>
    </row>
    <row r="94" spans="1:20" ht="15" customHeight="1">
      <c r="A94" s="26">
        <v>91</v>
      </c>
      <c r="B94" s="26">
        <v>91</v>
      </c>
      <c r="C94" s="422">
        <f>'ANALYSE - ERP =&gt; SOUS-SEGMENT'!$A$78</f>
        <v>71</v>
      </c>
      <c r="D94" s="413" t="str">
        <f>'ANALYSE - ERP =&gt; SOUS-SEGMENT'!$B$78</f>
        <v>Commerce, Restauration &amp; Loisirs</v>
      </c>
      <c r="E94" s="413" t="str">
        <f>'ANALYSE - ERP =&gt; SOUS-SEGMENT'!$C$78</f>
        <v>Restauration / boissons</v>
      </c>
      <c r="F94" s="413" t="str">
        <f>'ANALYSE - ERP =&gt; SOUS-SEGMENT'!$D$78</f>
        <v>Établissements flottants</v>
      </c>
      <c r="H94" s="787">
        <f>'ANALYSE - ERP =&gt; SOUS-SEGMENT'!$BO$78</f>
        <v>0.35</v>
      </c>
      <c r="I94" s="787">
        <f>'ANALYSE - ERP =&gt; SOUS-SEGMENT'!$BP$78</f>
        <v>0.35</v>
      </c>
      <c r="J94" s="787">
        <f>'ANALYSE - ERP =&gt; SOUS-SEGMENT'!$BQ$78</f>
        <v>0.1</v>
      </c>
      <c r="K94" s="787">
        <f>'ANALYSE - ERP =&gt; SOUS-SEGMENT'!$BR$78</f>
        <v>0.2</v>
      </c>
      <c r="M94" s="787">
        <f>'ANALYSE - ERP =&gt; SOUS-SEGMENT'!$BS$78</f>
        <v>0.33</v>
      </c>
      <c r="N94" s="787">
        <f>'ANALYSE - ERP =&gt; SOUS-SEGMENT'!$BT$78</f>
        <v>0.35</v>
      </c>
      <c r="O94" s="787">
        <f>'ANALYSE - ERP =&gt; SOUS-SEGMENT'!$BU$78</f>
        <v>0.12</v>
      </c>
      <c r="P94" s="787">
        <f>'ANALYSE - ERP =&gt; SOUS-SEGMENT'!$BV$78</f>
        <v>0.2</v>
      </c>
      <c r="R94" s="791" t="s">
        <v>7719</v>
      </c>
      <c r="S94" s="424">
        <f>'ANALYSE - ERP =&gt; SOUS-SEGMENT'!$BJ$78</f>
        <v>1450</v>
      </c>
      <c r="T94" s="430">
        <f>'ANALYSE - ERP =&gt; SOUS-SEGMENT'!$Q$78</f>
        <v>1</v>
      </c>
    </row>
    <row r="95" spans="1:20" ht="15" customHeight="1">
      <c r="A95" s="26">
        <v>92</v>
      </c>
      <c r="B95" s="26">
        <v>92</v>
      </c>
      <c r="C95" s="422">
        <f>'ANALYSE - ERP =&gt; SOUS-SEGMENT'!$A$52</f>
        <v>45</v>
      </c>
      <c r="D95" s="409" t="str">
        <f>'ANALYSE - ERP =&gt; SOUS-SEGMENT'!$B$52</f>
        <v>Santé &amp; Médico-social</v>
      </c>
      <c r="E95" s="409" t="str">
        <f>'ANALYSE - ERP =&gt; SOUS-SEGMENT'!$C$52</f>
        <v>Médico-social</v>
      </c>
      <c r="F95" s="409" t="str">
        <f>'ANALYSE - ERP =&gt; SOUS-SEGMENT'!$D$52</f>
        <v>Établissements Médico-éducatifs</v>
      </c>
      <c r="H95" s="787">
        <f>'ANALYSE - ERP =&gt; SOUS-SEGMENT'!$BO$52</f>
        <v>0.5</v>
      </c>
      <c r="I95" s="787">
        <f>'ANALYSE - ERP =&gt; SOUS-SEGMENT'!$BP$52</f>
        <v>0.25</v>
      </c>
      <c r="J95" s="787">
        <f>'ANALYSE - ERP =&gt; SOUS-SEGMENT'!$BQ$52</f>
        <v>0.1</v>
      </c>
      <c r="K95" s="787">
        <f>'ANALYSE - ERP =&gt; SOUS-SEGMENT'!$BR$52</f>
        <v>0.15</v>
      </c>
      <c r="M95" s="787">
        <f>'ANALYSE - ERP =&gt; SOUS-SEGMENT'!$BS$52</f>
        <v>0.47</v>
      </c>
      <c r="N95" s="787">
        <f>'ANALYSE - ERP =&gt; SOUS-SEGMENT'!$BT$52</f>
        <v>0.25</v>
      </c>
      <c r="O95" s="787">
        <f>'ANALYSE - ERP =&gt; SOUS-SEGMENT'!$BU$52</f>
        <v>0.13</v>
      </c>
      <c r="P95" s="787">
        <f>'ANALYSE - ERP =&gt; SOUS-SEGMENT'!$BV$52</f>
        <v>0.15</v>
      </c>
      <c r="R95" s="791" t="s">
        <v>2514</v>
      </c>
      <c r="S95" s="424">
        <f>'ANALYSE - ERP =&gt; SOUS-SEGMENT'!$BJ$52</f>
        <v>45900</v>
      </c>
      <c r="T95" s="430">
        <f>'ANALYSE - ERP =&gt; SOUS-SEGMENT'!$Q$52</f>
        <v>1</v>
      </c>
    </row>
    <row r="96" spans="1:20" ht="15" customHeight="1">
      <c r="A96" s="26">
        <v>93</v>
      </c>
      <c r="B96" s="26">
        <v>93</v>
      </c>
      <c r="C96" s="422">
        <f>'ANALYSE - ERP =&gt; SOUS-SEGMENT'!$A$56</f>
        <v>49</v>
      </c>
      <c r="D96" s="409" t="str">
        <f>'ANALYSE - ERP =&gt; SOUS-SEGMENT'!$B$56</f>
        <v>Santé &amp; Médico-social</v>
      </c>
      <c r="E96" s="409" t="str">
        <f>'ANALYSE - ERP =&gt; SOUS-SEGMENT'!$C$56</f>
        <v>Médico-social</v>
      </c>
      <c r="F96" s="409" t="str">
        <f>'ANALYSE - ERP =&gt; SOUS-SEGMENT'!$D$56</f>
        <v>Foyers pour personnes handicapées</v>
      </c>
      <c r="H96" s="787">
        <f>'ANALYSE - ERP =&gt; SOUS-SEGMENT'!$BO$56</f>
        <v>0.55000000000000004</v>
      </c>
      <c r="I96" s="787">
        <f>'ANALYSE - ERP =&gt; SOUS-SEGMENT'!$BP$56</f>
        <v>0.2</v>
      </c>
      <c r="J96" s="787">
        <f>'ANALYSE - ERP =&gt; SOUS-SEGMENT'!$BQ$56</f>
        <v>0.1</v>
      </c>
      <c r="K96" s="787">
        <f>'ANALYSE - ERP =&gt; SOUS-SEGMENT'!$BR$56</f>
        <v>0.15</v>
      </c>
      <c r="M96" s="787">
        <f>'ANALYSE - ERP =&gt; SOUS-SEGMENT'!$BS$56</f>
        <v>0.52</v>
      </c>
      <c r="N96" s="787">
        <f>'ANALYSE - ERP =&gt; SOUS-SEGMENT'!$BT$56</f>
        <v>0.2</v>
      </c>
      <c r="O96" s="787">
        <f>'ANALYSE - ERP =&gt; SOUS-SEGMENT'!$BU$56</f>
        <v>0.13</v>
      </c>
      <c r="P96" s="787">
        <f>'ANALYSE - ERP =&gt; SOUS-SEGMENT'!$BV$56</f>
        <v>0.15</v>
      </c>
      <c r="R96" s="791" t="s">
        <v>2514</v>
      </c>
      <c r="S96" s="424">
        <f>'ANALYSE - ERP =&gt; SOUS-SEGMENT'!$BJ$56</f>
        <v>70500</v>
      </c>
      <c r="T96" s="430">
        <f>'ANALYSE - ERP =&gt; SOUS-SEGMENT'!$Q$56</f>
        <v>1</v>
      </c>
    </row>
    <row r="97" spans="1:20" ht="15" customHeight="1">
      <c r="A97" s="26">
        <v>94</v>
      </c>
      <c r="B97" s="26">
        <v>94</v>
      </c>
      <c r="C97" s="422">
        <f>'ANALYSE - ERP =&gt; SOUS-SEGMENT'!$A$61</f>
        <v>54</v>
      </c>
      <c r="D97" s="409" t="str">
        <f>'ANALYSE - ERP =&gt; SOUS-SEGMENT'!$B$61</f>
        <v>Santé &amp; Médico-social</v>
      </c>
      <c r="E97" s="409" t="str">
        <f>'ANALYSE - ERP =&gt; SOUS-SEGMENT'!$C$61</f>
        <v>Médico-social</v>
      </c>
      <c r="F97" s="409" t="str">
        <f>'ANALYSE - ERP =&gt; SOUS-SEGMENT'!$D$61</f>
        <v>Résidences services seniors
(Privé)</v>
      </c>
      <c r="H97" s="787">
        <f>'ANALYSE - ERP =&gt; SOUS-SEGMENT'!$BO$61</f>
        <v>0.62</v>
      </c>
      <c r="I97" s="787">
        <f>'ANALYSE - ERP =&gt; SOUS-SEGMENT'!$BP$61</f>
        <v>0.16</v>
      </c>
      <c r="J97" s="787">
        <f>'ANALYSE - ERP =&gt; SOUS-SEGMENT'!$BQ$61</f>
        <v>0.1</v>
      </c>
      <c r="K97" s="787">
        <f>'ANALYSE - ERP =&gt; SOUS-SEGMENT'!$BR$61</f>
        <v>0.12</v>
      </c>
      <c r="M97" s="787">
        <f>'ANALYSE - ERP =&gt; SOUS-SEGMENT'!$BS$61</f>
        <v>0.6</v>
      </c>
      <c r="N97" s="787">
        <f>'ANALYSE - ERP =&gt; SOUS-SEGMENT'!$BT$61</f>
        <v>0.16</v>
      </c>
      <c r="O97" s="787">
        <f>'ANALYSE - ERP =&gt; SOUS-SEGMENT'!$BU$61</f>
        <v>0.12</v>
      </c>
      <c r="P97" s="787">
        <f>'ANALYSE - ERP =&gt; SOUS-SEGMENT'!$BV$61</f>
        <v>0.12</v>
      </c>
      <c r="R97" s="791" t="s">
        <v>2514</v>
      </c>
      <c r="S97" s="424">
        <f>'ANALYSE - ERP =&gt; SOUS-SEGMENT'!$BJ$61</f>
        <v>11060</v>
      </c>
      <c r="T97" s="430">
        <f>'ANALYSE - ERP =&gt; SOUS-SEGMENT'!$Q$61</f>
        <v>1</v>
      </c>
    </row>
    <row r="98" spans="1:20" ht="15" customHeight="1">
      <c r="A98" s="26">
        <v>95</v>
      </c>
      <c r="B98" s="26">
        <v>95</v>
      </c>
      <c r="C98" s="422">
        <f>'ANALYSE - ERP =&gt; SOUS-SEGMENT'!$A$87</f>
        <v>80</v>
      </c>
      <c r="D98" s="412" t="str">
        <f>'ANALYSE - ERP =&gt; SOUS-SEGMENT'!$B$87</f>
        <v>Hébergement Touristique</v>
      </c>
      <c r="E98" s="412" t="str">
        <f>'ANALYSE - ERP =&gt; SOUS-SEGMENT'!$C$87</f>
        <v>Hébergement Touristique</v>
      </c>
      <c r="F98" s="412" t="str">
        <f>'ANALYSE - ERP =&gt; SOUS-SEGMENT'!$D$87</f>
        <v>Hôtels 
(hors autres hébérgements touristiques)</v>
      </c>
      <c r="H98" s="787">
        <f>'ANALYSE - ERP =&gt; SOUS-SEGMENT'!$BO$87</f>
        <v>0.55000000000000004</v>
      </c>
      <c r="I98" s="787">
        <f>'ANALYSE - ERP =&gt; SOUS-SEGMENT'!$BP$87</f>
        <v>0.35</v>
      </c>
      <c r="J98" s="787">
        <f>'ANALYSE - ERP =&gt; SOUS-SEGMENT'!$BQ$87</f>
        <v>0.05</v>
      </c>
      <c r="K98" s="787">
        <f>'ANALYSE - ERP =&gt; SOUS-SEGMENT'!$BR$87</f>
        <v>0.05</v>
      </c>
      <c r="M98" s="787">
        <f>'ANALYSE - ERP =&gt; SOUS-SEGMENT'!$BS$87</f>
        <v>0.5</v>
      </c>
      <c r="N98" s="787">
        <f>'ANALYSE - ERP =&gt; SOUS-SEGMENT'!$BT$87</f>
        <v>0.37</v>
      </c>
      <c r="O98" s="787">
        <f>'ANALYSE - ERP =&gt; SOUS-SEGMENT'!$BU$87</f>
        <v>0.08</v>
      </c>
      <c r="P98" s="787">
        <f>'ANALYSE - ERP =&gt; SOUS-SEGMENT'!$BV$87</f>
        <v>0.05</v>
      </c>
      <c r="R98" s="791" t="s">
        <v>2514</v>
      </c>
      <c r="S98" s="424">
        <f>'ANALYSE - ERP =&gt; SOUS-SEGMENT'!$BJ$87</f>
        <v>59000</v>
      </c>
      <c r="T98" s="430">
        <f>'ANALYSE - ERP =&gt; SOUS-SEGMENT'!$Q$87</f>
        <v>1</v>
      </c>
    </row>
    <row r="99" spans="1:20" ht="15" customHeight="1">
      <c r="A99" s="26">
        <v>96</v>
      </c>
      <c r="B99" s="26">
        <v>96</v>
      </c>
      <c r="C99" s="422">
        <f>'ANALYSE - ERP =&gt; SOUS-SEGMENT'!$A$60</f>
        <v>53</v>
      </c>
      <c r="D99" s="409" t="str">
        <f>'ANALYSE - ERP =&gt; SOUS-SEGMENT'!$B$60</f>
        <v>Santé &amp; Médico-social</v>
      </c>
      <c r="E99" s="409" t="str">
        <f>'ANALYSE - ERP =&gt; SOUS-SEGMENT'!$C$60</f>
        <v>Médico-social</v>
      </c>
      <c r="F99" s="409" t="str">
        <f>'ANALYSE - ERP =&gt; SOUS-SEGMENT'!$D$60</f>
        <v>Résidences autonomie
Foyers-logements
(Public)</v>
      </c>
      <c r="H99" s="787">
        <f>'ANALYSE - ERP =&gt; SOUS-SEGMENT'!$BO$60</f>
        <v>0.6</v>
      </c>
      <c r="I99" s="787">
        <f>'ANALYSE - ERP =&gt; SOUS-SEGMENT'!$BP$60</f>
        <v>0.18</v>
      </c>
      <c r="J99" s="787">
        <f>'ANALYSE - ERP =&gt; SOUS-SEGMENT'!$BQ$60</f>
        <v>0.08</v>
      </c>
      <c r="K99" s="787">
        <f>'ANALYSE - ERP =&gt; SOUS-SEGMENT'!$BR$60</f>
        <v>0.14000000000000001</v>
      </c>
      <c r="M99" s="787">
        <f>'ANALYSE - ERP =&gt; SOUS-SEGMENT'!$BS$60</f>
        <v>0.57999999999999996</v>
      </c>
      <c r="N99" s="787">
        <f>'ANALYSE - ERP =&gt; SOUS-SEGMENT'!$BT$60</f>
        <v>0.18</v>
      </c>
      <c r="O99" s="787">
        <f>'ANALYSE - ERP =&gt; SOUS-SEGMENT'!$BU$60</f>
        <v>0.1</v>
      </c>
      <c r="P99" s="787">
        <f>'ANALYSE - ERP =&gt; SOUS-SEGMENT'!$BV$60</f>
        <v>0.14000000000000001</v>
      </c>
      <c r="R99" s="791" t="s">
        <v>2514</v>
      </c>
      <c r="S99" s="424">
        <f>'ANALYSE - ERP =&gt; SOUS-SEGMENT'!$BJ$60</f>
        <v>12804</v>
      </c>
      <c r="T99" s="430">
        <f>'ANALYSE - ERP =&gt; SOUS-SEGMENT'!$Q$60</f>
        <v>1</v>
      </c>
    </row>
    <row r="100" spans="1:20" ht="15" customHeight="1">
      <c r="A100" s="26">
        <v>97</v>
      </c>
      <c r="B100" s="26">
        <v>97</v>
      </c>
      <c r="C100" s="422">
        <f>'ANALYSE - ERP =&gt; SOUS-SEGMENT'!$A$58</f>
        <v>51</v>
      </c>
      <c r="D100" s="409" t="str">
        <f>'ANALYSE - ERP =&gt; SOUS-SEGMENT'!$B$58</f>
        <v>Santé &amp; Médico-social</v>
      </c>
      <c r="E100" s="409" t="str">
        <f>'ANALYSE - ERP =&gt; SOUS-SEGMENT'!$C$58</f>
        <v>Médico-social</v>
      </c>
      <c r="F100" s="409" t="str">
        <f>'ANALYSE - ERP =&gt; SOUS-SEGMENT'!$D$58</f>
        <v>EHPAD</v>
      </c>
      <c r="H100" s="787">
        <f>'ANALYSE - ERP =&gt; SOUS-SEGMENT'!$BO$58</f>
        <v>0.6</v>
      </c>
      <c r="I100" s="787">
        <f>'ANALYSE - ERP =&gt; SOUS-SEGMENT'!$BP$58</f>
        <v>0.15</v>
      </c>
      <c r="J100" s="787">
        <f>'ANALYSE - ERP =&gt; SOUS-SEGMENT'!$BQ$58</f>
        <v>0.1</v>
      </c>
      <c r="K100" s="787">
        <f>'ANALYSE - ERP =&gt; SOUS-SEGMENT'!$BR$58</f>
        <v>0.15</v>
      </c>
      <c r="M100" s="787">
        <f>'ANALYSE - ERP =&gt; SOUS-SEGMENT'!$BS$58</f>
        <v>0.57999999999999996</v>
      </c>
      <c r="N100" s="787">
        <f>'ANALYSE - ERP =&gt; SOUS-SEGMENT'!$BT$58</f>
        <v>0.15</v>
      </c>
      <c r="O100" s="787">
        <f>'ANALYSE - ERP =&gt; SOUS-SEGMENT'!$BU$58</f>
        <v>0.12</v>
      </c>
      <c r="P100" s="787">
        <f>'ANALYSE - ERP =&gt; SOUS-SEGMENT'!$BV$58</f>
        <v>0.15</v>
      </c>
      <c r="R100" s="791" t="s">
        <v>2514</v>
      </c>
      <c r="S100" s="424">
        <f>'ANALYSE - ERP =&gt; SOUS-SEGMENT'!$BJ$58</f>
        <v>504390</v>
      </c>
      <c r="T100" s="430">
        <f>'ANALYSE - ERP =&gt; SOUS-SEGMENT'!$Q$58</f>
        <v>1</v>
      </c>
    </row>
    <row r="101" spans="1:20" ht="15" customHeight="1">
      <c r="A101" s="26">
        <v>98</v>
      </c>
      <c r="B101" s="26">
        <v>99</v>
      </c>
      <c r="C101" s="422">
        <f>'ANALYSE - ERP =&gt; SOUS-SEGMENT'!$A$89</f>
        <v>82</v>
      </c>
      <c r="D101" s="412" t="str">
        <f>'ANALYSE - ERP =&gt; SOUS-SEGMENT'!$B$89</f>
        <v>Hébergement Touristique</v>
      </c>
      <c r="E101" s="412" t="str">
        <f>'ANALYSE - ERP =&gt; SOUS-SEGMENT'!$C$89</f>
        <v>Hébergement Touristique</v>
      </c>
      <c r="F101" s="412" t="str">
        <f>'ANALYSE - ERP =&gt; SOUS-SEGMENT'!$D$89</f>
        <v>Résidences de tourisme</v>
      </c>
      <c r="H101" s="787">
        <f>'ANALYSE - ERP =&gt; SOUS-SEGMENT'!$BO$89</f>
        <v>0.55000000000000004</v>
      </c>
      <c r="I101" s="787">
        <f>'ANALYSE - ERP =&gt; SOUS-SEGMENT'!$BP$89</f>
        <v>0.35</v>
      </c>
      <c r="J101" s="787">
        <f>'ANALYSE - ERP =&gt; SOUS-SEGMENT'!$BQ$89</f>
        <v>0.05</v>
      </c>
      <c r="K101" s="787">
        <f>'ANALYSE - ERP =&gt; SOUS-SEGMENT'!$BR$89</f>
        <v>0.05</v>
      </c>
      <c r="M101" s="787">
        <f>'ANALYSE - ERP =&gt; SOUS-SEGMENT'!$BS$89</f>
        <v>0.5</v>
      </c>
      <c r="N101" s="787">
        <f>'ANALYSE - ERP =&gt; SOUS-SEGMENT'!$BT$89</f>
        <v>0.37</v>
      </c>
      <c r="O101" s="787">
        <f>'ANALYSE - ERP =&gt; SOUS-SEGMENT'!$BU$89</f>
        <v>0.08</v>
      </c>
      <c r="P101" s="787">
        <f>'ANALYSE - ERP =&gt; SOUS-SEGMENT'!$BV$89</f>
        <v>0.05</v>
      </c>
      <c r="R101" s="791" t="s">
        <v>2514</v>
      </c>
      <c r="S101" s="424">
        <f>'ANALYSE - ERP =&gt; SOUS-SEGMENT'!$BJ$89</f>
        <v>13000</v>
      </c>
      <c r="T101" s="430">
        <f>'ANALYSE - ERP =&gt; SOUS-SEGMENT'!$Q$89</f>
        <v>1</v>
      </c>
    </row>
    <row r="102" spans="1:20" ht="15" customHeight="1">
      <c r="A102" s="26">
        <v>99</v>
      </c>
      <c r="B102" s="26">
        <v>98</v>
      </c>
      <c r="C102" s="422">
        <f>'ANALYSE - ERP =&gt; SOUS-SEGMENT'!$A$59</f>
        <v>52</v>
      </c>
      <c r="D102" s="409" t="str">
        <f>'ANALYSE - ERP =&gt; SOUS-SEGMENT'!$B$59</f>
        <v>Santé &amp; Médico-social</v>
      </c>
      <c r="E102" s="409" t="str">
        <f>'ANALYSE - ERP =&gt; SOUS-SEGMENT'!$C$59</f>
        <v>Médico-social</v>
      </c>
      <c r="F102" s="409" t="str">
        <f>'ANALYSE - ERP =&gt; SOUS-SEGMENT'!$D$59</f>
        <v>USLD</v>
      </c>
      <c r="H102" s="787">
        <f>'ANALYSE - ERP =&gt; SOUS-SEGMENT'!$BO$59</f>
        <v>0.62</v>
      </c>
      <c r="I102" s="787">
        <f>'ANALYSE - ERP =&gt; SOUS-SEGMENT'!$BP$59</f>
        <v>0.13</v>
      </c>
      <c r="J102" s="787">
        <f>'ANALYSE - ERP =&gt; SOUS-SEGMENT'!$BQ$59</f>
        <v>0.1</v>
      </c>
      <c r="K102" s="787">
        <f>'ANALYSE - ERP =&gt; SOUS-SEGMENT'!$BR$59</f>
        <v>0.15</v>
      </c>
      <c r="M102" s="787">
        <f>'ANALYSE - ERP =&gt; SOUS-SEGMENT'!$BS$59</f>
        <v>0.6</v>
      </c>
      <c r="N102" s="787">
        <f>'ANALYSE - ERP =&gt; SOUS-SEGMENT'!$BT$59</f>
        <v>0.13</v>
      </c>
      <c r="O102" s="787">
        <f>'ANALYSE - ERP =&gt; SOUS-SEGMENT'!$BU$59</f>
        <v>0.12</v>
      </c>
      <c r="P102" s="787">
        <f>'ANALYSE - ERP =&gt; SOUS-SEGMENT'!$BV$59</f>
        <v>0.15</v>
      </c>
      <c r="R102" s="791" t="s">
        <v>2514</v>
      </c>
      <c r="S102" s="424">
        <f>'ANALYSE - ERP =&gt; SOUS-SEGMENT'!$BJ$59</f>
        <v>29400</v>
      </c>
      <c r="T102" s="430">
        <f>'ANALYSE - ERP =&gt; SOUS-SEGMENT'!$Q$59</f>
        <v>1</v>
      </c>
    </row>
    <row r="103" spans="1:20" ht="15" customHeight="1">
      <c r="A103" s="26">
        <v>100</v>
      </c>
      <c r="B103" s="26">
        <v>101</v>
      </c>
      <c r="C103" s="422">
        <f>'ANALYSE - ERP =&gt; SOUS-SEGMENT'!$A$93</f>
        <v>86</v>
      </c>
      <c r="D103" s="412" t="str">
        <f>'ANALYSE - ERP =&gt; SOUS-SEGMENT'!$B$93</f>
        <v>Hébergement Touristique</v>
      </c>
      <c r="E103" s="412" t="str">
        <f>'ANALYSE - ERP =&gt; SOUS-SEGMENT'!$C$93</f>
        <v>Hébergement Montagne</v>
      </c>
      <c r="F103" s="412" t="str">
        <f>'ANALYSE - ERP =&gt; SOUS-SEGMENT'!$D$93</f>
        <v>Refuges de montagne</v>
      </c>
      <c r="H103" s="787">
        <f>'ANALYSE - ERP =&gt; SOUS-SEGMENT'!$BO$93</f>
        <v>0.72</v>
      </c>
      <c r="I103" s="787">
        <f>'ANALYSE - ERP =&gt; SOUS-SEGMENT'!$BP$93</f>
        <v>0.18</v>
      </c>
      <c r="J103" s="787">
        <f>'ANALYSE - ERP =&gt; SOUS-SEGMENT'!$BQ$93</f>
        <v>0.02</v>
      </c>
      <c r="K103" s="787">
        <f>'ANALYSE - ERP =&gt; SOUS-SEGMENT'!$BR$93</f>
        <v>0.08</v>
      </c>
      <c r="M103" s="787">
        <f>'ANALYSE - ERP =&gt; SOUS-SEGMENT'!$BS$93</f>
        <v>0.7</v>
      </c>
      <c r="N103" s="787">
        <f>'ANALYSE - ERP =&gt; SOUS-SEGMENT'!$BT$93</f>
        <v>0.18</v>
      </c>
      <c r="O103" s="787">
        <f>'ANALYSE - ERP =&gt; SOUS-SEGMENT'!$BU$93</f>
        <v>0.04</v>
      </c>
      <c r="P103" s="787">
        <f>'ANALYSE - ERP =&gt; SOUS-SEGMENT'!$BV$93</f>
        <v>0.08</v>
      </c>
      <c r="R103" s="791" t="s">
        <v>2514</v>
      </c>
      <c r="S103" s="424">
        <f>'ANALYSE - ERP =&gt; SOUS-SEGMENT'!$BJ$93</f>
        <v>1240</v>
      </c>
      <c r="T103" s="430">
        <f>'ANALYSE - ERP =&gt; SOUS-SEGMENT'!$Q$93</f>
        <v>1</v>
      </c>
    </row>
    <row r="104" spans="1:20" ht="15" customHeight="1">
      <c r="A104" s="26">
        <v>101</v>
      </c>
      <c r="B104" s="26">
        <v>100</v>
      </c>
      <c r="C104" s="422">
        <f>'ANALYSE - ERP =&gt; SOUS-SEGMENT'!$A$92</f>
        <v>85</v>
      </c>
      <c r="D104" s="412" t="str">
        <f>'ANALYSE - ERP =&gt; SOUS-SEGMENT'!$B$92</f>
        <v>Hébergement Touristique</v>
      </c>
      <c r="E104" s="412" t="str">
        <f>'ANALYSE - ERP =&gt; SOUS-SEGMENT'!$C$92</f>
        <v>Hébergement Montagne</v>
      </c>
      <c r="F104" s="412" t="str">
        <f>'ANALYSE - ERP =&gt; SOUS-SEGMENT'!$D$92</f>
        <v>Hôtels-restaurants d’altitude</v>
      </c>
      <c r="H104" s="787">
        <f>'ANALYSE - ERP =&gt; SOUS-SEGMENT'!$BO$92</f>
        <v>0.72</v>
      </c>
      <c r="I104" s="787">
        <f>'ANALYSE - ERP =&gt; SOUS-SEGMENT'!$BP$92</f>
        <v>0.12</v>
      </c>
      <c r="J104" s="787">
        <f>'ANALYSE - ERP =&gt; SOUS-SEGMENT'!$BQ$92</f>
        <v>0.06</v>
      </c>
      <c r="K104" s="787">
        <f>'ANALYSE - ERP =&gt; SOUS-SEGMENT'!$BR$92</f>
        <v>0.1</v>
      </c>
      <c r="M104" s="787">
        <f>'ANALYSE - ERP =&gt; SOUS-SEGMENT'!$BS$92</f>
        <v>0.7</v>
      </c>
      <c r="N104" s="787">
        <f>'ANALYSE - ERP =&gt; SOUS-SEGMENT'!$BT$92</f>
        <v>0.12</v>
      </c>
      <c r="O104" s="787">
        <f>'ANALYSE - ERP =&gt; SOUS-SEGMENT'!$BU$92</f>
        <v>0.08</v>
      </c>
      <c r="P104" s="787">
        <f>'ANALYSE - ERP =&gt; SOUS-SEGMENT'!$BV$92</f>
        <v>0.1</v>
      </c>
      <c r="R104" s="791" t="s">
        <v>2514</v>
      </c>
      <c r="S104" s="424">
        <f>'ANALYSE - ERP =&gt; SOUS-SEGMENT'!$BJ$92</f>
        <v>2100</v>
      </c>
      <c r="T104" s="430">
        <f>'ANALYSE - ERP =&gt; SOUS-SEGMENT'!$Q$92</f>
        <v>1</v>
      </c>
    </row>
    <row r="105" spans="1:20" ht="15" customHeight="1">
      <c r="A105" s="26">
        <v>102</v>
      </c>
      <c r="B105" s="26">
        <v>102</v>
      </c>
      <c r="C105" s="422">
        <f>'ANALYSE - ERP =&gt; SOUS-SEGMENT'!$A$91</f>
        <v>84</v>
      </c>
      <c r="D105" s="412" t="str">
        <f>'ANALYSE - ERP =&gt; SOUS-SEGMENT'!$B$91</f>
        <v>Hébergement Touristique</v>
      </c>
      <c r="E105" s="412" t="str">
        <f>'ANALYSE - ERP =&gt; SOUS-SEGMENT'!$C$91</f>
        <v>Hébergement Touristique</v>
      </c>
      <c r="F105" s="412" t="str">
        <f>'ANALYSE - ERP =&gt; SOUS-SEGMENT'!$D$91</f>
        <v>Pensions de famille</v>
      </c>
      <c r="H105" s="787">
        <f>'ANALYSE - ERP =&gt; SOUS-SEGMENT'!$BO$91</f>
        <v>0.72</v>
      </c>
      <c r="I105" s="787">
        <f>'ANALYSE - ERP =&gt; SOUS-SEGMENT'!$BP$91</f>
        <v>0.1</v>
      </c>
      <c r="J105" s="787">
        <f>'ANALYSE - ERP =&gt; SOUS-SEGMENT'!$BQ$91</f>
        <v>0.06</v>
      </c>
      <c r="K105" s="787">
        <f>'ANALYSE - ERP =&gt; SOUS-SEGMENT'!$BR$91</f>
        <v>0.12</v>
      </c>
      <c r="M105" s="787">
        <f>'ANALYSE - ERP =&gt; SOUS-SEGMENT'!$BS$91</f>
        <v>0.7</v>
      </c>
      <c r="N105" s="787">
        <f>'ANALYSE - ERP =&gt; SOUS-SEGMENT'!$BT$91</f>
        <v>0.1</v>
      </c>
      <c r="O105" s="787">
        <f>'ANALYSE - ERP =&gt; SOUS-SEGMENT'!$BU$91</f>
        <v>0.08</v>
      </c>
      <c r="P105" s="787">
        <f>'ANALYSE - ERP =&gt; SOUS-SEGMENT'!$BV$91</f>
        <v>0.12</v>
      </c>
      <c r="R105" s="791" t="s">
        <v>2514</v>
      </c>
      <c r="S105" s="424">
        <f>'ANALYSE - ERP =&gt; SOUS-SEGMENT'!$BJ$91</f>
        <v>2862</v>
      </c>
      <c r="T105" s="430">
        <f>'ANALYSE - ERP =&gt; SOUS-SEGMENT'!$Q$91</f>
        <v>1</v>
      </c>
    </row>
    <row r="106" spans="1:20" s="45" customFormat="1" ht="15" customHeight="1">
      <c r="A106" s="406">
        <v>103</v>
      </c>
      <c r="B106" s="406">
        <v>103</v>
      </c>
      <c r="C106" s="448">
        <f>'ANALYSE - ERP =&gt; SOUS-SEGMENT'!$A$145</f>
        <v>138</v>
      </c>
      <c r="D106" s="423" t="str">
        <f>'ANALYSE - ERP =&gt; SOUS-SEGMENT'!$B$145</f>
        <v>Sécurité &amp; Justice</v>
      </c>
      <c r="E106" s="423" t="str">
        <f>'ANALYSE - ERP =&gt; SOUS-SEGMENT'!$C$145</f>
        <v>Univers carcéral</v>
      </c>
      <c r="F106" s="423" t="str">
        <f>'ANALYSE - ERP =&gt; SOUS-SEGMENT'!$D$145</f>
        <v>Centres pour peines aménagées
(absorbés par autres centres carcéraux)</v>
      </c>
      <c r="G106" s="685"/>
      <c r="H106" s="788">
        <f>'ANALYSE - ERP =&gt; SOUS-SEGMENT'!$BO$145</f>
        <v>0.1</v>
      </c>
      <c r="I106" s="788">
        <f>'ANALYSE - ERP =&gt; SOUS-SEGMENT'!$BP$145</f>
        <v>0.76</v>
      </c>
      <c r="J106" s="788">
        <f>'ANALYSE - ERP =&gt; SOUS-SEGMENT'!$BQ$145</f>
        <v>0.08</v>
      </c>
      <c r="K106" s="788">
        <f>'ANALYSE - ERP =&gt; SOUS-SEGMENT'!$BR$145</f>
        <v>0.06</v>
      </c>
      <c r="L106" s="685"/>
      <c r="M106" s="788">
        <f>'ANALYSE - ERP =&gt; SOUS-SEGMENT'!$BS$145</f>
        <v>0.08</v>
      </c>
      <c r="N106" s="788">
        <f>'ANALYSE - ERP =&gt; SOUS-SEGMENT'!$BT$145</f>
        <v>0.76</v>
      </c>
      <c r="O106" s="788">
        <f>'ANALYSE - ERP =&gt; SOUS-SEGMENT'!$BU$145</f>
        <v>0.1</v>
      </c>
      <c r="P106" s="788">
        <f>'ANALYSE - ERP =&gt; SOUS-SEGMENT'!$BV$145</f>
        <v>0.06</v>
      </c>
      <c r="Q106" s="685"/>
      <c r="R106" s="792" t="s">
        <v>2514</v>
      </c>
      <c r="S106" s="425">
        <f>'ANALYSE - ERP =&gt; SOUS-SEGMENT'!$BJ$145</f>
        <v>0</v>
      </c>
      <c r="T106" s="450">
        <f>'ANALYSE - ERP =&gt; SOUS-SEGMENT'!$Q$145</f>
        <v>0</v>
      </c>
    </row>
  </sheetData>
  <autoFilter ref="A2:S106" xr:uid="{00000000-0009-0000-0000-000010000000}"/>
  <conditionalFormatting sqref="H4:K106">
    <cfRule type="colorScale" priority="2">
      <colorScale>
        <cfvo type="min"/>
        <cfvo type="formula" val="MEDIAN($H$4:$K$106)"/>
        <cfvo type="max"/>
        <color rgb="FFF8696B"/>
        <color theme="0"/>
        <color rgb="FF63BE7B"/>
      </colorScale>
    </cfRule>
  </conditionalFormatting>
  <conditionalFormatting sqref="M4:P106">
    <cfRule type="colorScale" priority="1">
      <colorScale>
        <cfvo type="min"/>
        <cfvo type="formula" val="MEDIAN($H$4:$K$106)"/>
        <cfvo type="max"/>
        <color rgb="FFF8696B"/>
        <color theme="0"/>
        <color rgb="FF63BE7B"/>
      </colorScale>
    </cfRule>
  </conditionalFormatting>
  <pageMargins left="3.937007874015748E-2" right="3.937007874015748E-2" top="7.874015748031496E-2" bottom="7.874015748031496E-2" header="0.11811023622047249" footer="0.11811023622047249"/>
  <pageSetup paperSize="8" scale="79" fitToHeight="2"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D85"/>
  <sheetViews>
    <sheetView zoomScale="90" zoomScaleNormal="90" workbookViewId="0">
      <selection activeCell="D57" sqref="D57:G57"/>
    </sheetView>
  </sheetViews>
  <sheetFormatPr baseColWidth="10" defaultColWidth="10.28515625" defaultRowHeight="14.25"/>
  <cols>
    <col min="1" max="1" width="8" style="839" customWidth="1"/>
    <col min="2" max="2" width="3.42578125" style="932" customWidth="1"/>
    <col min="3" max="5" width="21.28515625" style="932" customWidth="1"/>
    <col min="6" max="9" width="16.140625" style="932" customWidth="1"/>
    <col min="10" max="14" width="15" style="932" customWidth="1"/>
    <col min="15" max="15" width="3.42578125" style="932" customWidth="1"/>
    <col min="16" max="30" width="10.28515625" style="839" customWidth="1"/>
    <col min="31" max="32" width="10.28515625" style="932" customWidth="1"/>
    <col min="33" max="16384" width="10.28515625" style="932"/>
  </cols>
  <sheetData>
    <row r="1" spans="2:15" s="839" customFormat="1">
      <c r="B1" s="838"/>
      <c r="C1" s="838"/>
      <c r="D1" s="838"/>
      <c r="E1" s="838"/>
      <c r="F1" s="838"/>
      <c r="G1" s="838"/>
      <c r="H1" s="838"/>
      <c r="I1" s="838"/>
      <c r="J1" s="838"/>
      <c r="K1" s="838"/>
      <c r="L1" s="838"/>
      <c r="M1" s="838"/>
      <c r="N1" s="838"/>
      <c r="O1" s="838"/>
    </row>
    <row r="2" spans="2:15" ht="46.5" customHeight="1">
      <c r="B2" s="999" t="s">
        <v>7723</v>
      </c>
      <c r="C2" s="994"/>
      <c r="D2" s="994"/>
      <c r="E2" s="994"/>
      <c r="F2" s="994"/>
      <c r="G2" s="994"/>
      <c r="H2" s="994"/>
      <c r="I2" s="994"/>
      <c r="J2" s="994"/>
      <c r="K2" s="994"/>
      <c r="L2" s="994"/>
      <c r="M2" s="994"/>
      <c r="N2" s="994"/>
      <c r="O2" s="994"/>
    </row>
    <row r="3" spans="2:15" s="839" customFormat="1">
      <c r="B3" s="838"/>
      <c r="C3" s="838"/>
      <c r="D3" s="838"/>
      <c r="E3" s="838"/>
      <c r="F3" s="838"/>
      <c r="G3" s="838"/>
      <c r="H3" s="838"/>
      <c r="I3" s="838"/>
      <c r="J3" s="838"/>
      <c r="K3" s="838"/>
      <c r="L3" s="838"/>
      <c r="M3" s="838"/>
      <c r="N3" s="838"/>
      <c r="O3" s="838"/>
    </row>
    <row r="4" spans="2:15" ht="20.100000000000001" customHeight="1">
      <c r="B4" s="997" t="s">
        <v>7724</v>
      </c>
      <c r="C4" s="994"/>
      <c r="D4" s="994"/>
      <c r="E4" s="994"/>
      <c r="F4" s="994"/>
      <c r="G4" s="994"/>
      <c r="H4" s="994"/>
      <c r="I4" s="994"/>
      <c r="J4" s="994"/>
      <c r="K4" s="994"/>
      <c r="L4" s="994"/>
      <c r="M4" s="994"/>
      <c r="N4" s="994"/>
      <c r="O4" s="994"/>
    </row>
    <row r="5" spans="2:15" ht="39" customHeight="1">
      <c r="B5" s="1001" t="s">
        <v>7725</v>
      </c>
      <c r="C5" s="994"/>
      <c r="D5" s="994"/>
      <c r="E5" s="994"/>
      <c r="F5" s="994"/>
      <c r="G5" s="994"/>
      <c r="H5" s="994"/>
      <c r="I5" s="994"/>
      <c r="J5" s="994"/>
      <c r="K5" s="994"/>
      <c r="L5" s="994"/>
      <c r="M5" s="994"/>
      <c r="N5" s="994"/>
      <c r="O5" s="994"/>
    </row>
    <row r="6" spans="2:15" s="839" customFormat="1" ht="10.5" customHeight="1">
      <c r="B6" s="838"/>
      <c r="C6" s="838"/>
      <c r="D6" s="838"/>
      <c r="E6" s="838"/>
      <c r="F6" s="838"/>
      <c r="G6" s="838"/>
      <c r="H6" s="838"/>
      <c r="I6" s="838"/>
      <c r="J6" s="838"/>
      <c r="K6" s="838"/>
      <c r="L6" s="838"/>
      <c r="M6" s="838"/>
      <c r="N6" s="838"/>
      <c r="O6" s="838"/>
    </row>
    <row r="7" spans="2:15" s="839" customFormat="1" ht="42" customHeight="1">
      <c r="B7" s="840"/>
      <c r="C7" s="840"/>
      <c r="D7" s="840"/>
      <c r="E7" s="840"/>
      <c r="F7" s="840"/>
      <c r="G7" s="840"/>
      <c r="H7" s="840"/>
      <c r="I7" s="840"/>
      <c r="J7" s="840"/>
      <c r="K7" s="840"/>
      <c r="L7" s="840"/>
      <c r="M7" s="840"/>
      <c r="N7" s="840"/>
      <c r="O7" s="840"/>
    </row>
    <row r="8" spans="2:15" s="839" customFormat="1" ht="42" customHeight="1">
      <c r="B8" s="840"/>
      <c r="C8" s="840"/>
      <c r="D8" s="840"/>
      <c r="E8" s="840"/>
      <c r="F8" s="840"/>
      <c r="G8" s="840"/>
      <c r="H8" s="840"/>
      <c r="I8" s="840"/>
      <c r="J8" s="840"/>
      <c r="K8" s="840"/>
      <c r="L8" s="840"/>
      <c r="M8" s="840"/>
      <c r="N8" s="840"/>
      <c r="O8" s="840"/>
    </row>
    <row r="9" spans="2:15" s="839" customFormat="1" ht="42" customHeight="1">
      <c r="B9" s="840"/>
      <c r="C9" s="840"/>
      <c r="D9" s="840"/>
      <c r="E9" s="840"/>
      <c r="F9" s="840"/>
      <c r="G9" s="840"/>
      <c r="H9" s="840"/>
      <c r="I9" s="840"/>
      <c r="J9" s="840"/>
      <c r="K9" s="840"/>
      <c r="L9" s="840"/>
      <c r="M9" s="840"/>
      <c r="N9" s="840"/>
      <c r="O9" s="840"/>
    </row>
    <row r="10" spans="2:15" s="839" customFormat="1" ht="42" customHeight="1">
      <c r="B10" s="840"/>
      <c r="C10" s="840"/>
      <c r="D10" s="840"/>
      <c r="E10" s="840"/>
      <c r="F10" s="840"/>
      <c r="G10" s="840"/>
      <c r="H10" s="840"/>
      <c r="I10" s="840"/>
      <c r="J10" s="840"/>
      <c r="K10" s="840"/>
      <c r="L10" s="840"/>
      <c r="M10" s="840"/>
      <c r="N10" s="840"/>
      <c r="O10" s="840"/>
    </row>
    <row r="11" spans="2:15" s="839" customFormat="1" ht="42" customHeight="1">
      <c r="B11" s="840"/>
      <c r="C11" s="840"/>
      <c r="D11" s="840"/>
      <c r="E11" s="840"/>
      <c r="F11" s="840"/>
      <c r="G11" s="840"/>
      <c r="H11" s="840"/>
      <c r="I11" s="840"/>
      <c r="J11" s="840"/>
      <c r="K11" s="840"/>
      <c r="L11" s="840"/>
      <c r="M11" s="840"/>
      <c r="N11" s="840"/>
      <c r="O11" s="840"/>
    </row>
    <row r="12" spans="2:15" s="839" customFormat="1" ht="42" customHeight="1">
      <c r="B12" s="840"/>
      <c r="C12" s="840"/>
      <c r="D12" s="840"/>
      <c r="E12" s="840"/>
      <c r="F12" s="840"/>
      <c r="G12" s="840"/>
      <c r="H12" s="840"/>
      <c r="I12" s="840"/>
      <c r="J12" s="840"/>
      <c r="K12" s="840"/>
      <c r="L12" s="840"/>
      <c r="M12" s="840"/>
      <c r="N12" s="840"/>
      <c r="O12" s="840"/>
    </row>
    <row r="13" spans="2:15" s="839" customFormat="1" ht="42" customHeight="1">
      <c r="B13" s="840"/>
      <c r="C13" s="840"/>
      <c r="D13" s="840"/>
      <c r="E13" s="840"/>
      <c r="F13" s="840"/>
      <c r="G13" s="840"/>
      <c r="H13" s="840"/>
      <c r="I13" s="840"/>
      <c r="J13" s="840"/>
      <c r="K13" s="840"/>
      <c r="L13" s="840"/>
      <c r="M13" s="840"/>
      <c r="N13" s="840"/>
      <c r="O13" s="840"/>
    </row>
    <row r="14" spans="2:15" s="839" customFormat="1" ht="42" customHeight="1">
      <c r="B14" s="840"/>
      <c r="C14" s="840"/>
      <c r="D14" s="840"/>
      <c r="E14" s="840"/>
      <c r="F14" s="840"/>
      <c r="G14" s="840"/>
      <c r="H14" s="840"/>
      <c r="I14" s="840"/>
      <c r="J14" s="840"/>
      <c r="K14" s="840"/>
      <c r="L14" s="840"/>
      <c r="M14" s="840"/>
      <c r="N14" s="840"/>
      <c r="O14" s="840"/>
    </row>
    <row r="15" spans="2:15" s="839" customFormat="1" ht="42" customHeight="1">
      <c r="B15" s="840"/>
      <c r="C15" s="840"/>
      <c r="D15" s="840"/>
      <c r="E15" s="840"/>
      <c r="F15" s="840"/>
      <c r="G15" s="840"/>
      <c r="H15" s="840"/>
      <c r="I15" s="840"/>
      <c r="J15" s="840"/>
      <c r="K15" s="840"/>
      <c r="L15" s="840"/>
      <c r="M15" s="840"/>
      <c r="N15" s="840"/>
      <c r="O15" s="840"/>
    </row>
    <row r="16" spans="2:15" s="839" customFormat="1" ht="42" customHeight="1">
      <c r="B16" s="840"/>
      <c r="C16" s="840"/>
      <c r="D16" s="840"/>
      <c r="E16" s="840"/>
      <c r="F16" s="840"/>
      <c r="G16" s="840"/>
      <c r="H16" s="840"/>
      <c r="I16" s="840"/>
      <c r="J16" s="840"/>
      <c r="K16" s="840"/>
      <c r="L16" s="840"/>
      <c r="M16" s="840"/>
      <c r="N16" s="840"/>
      <c r="O16" s="840"/>
    </row>
    <row r="17" spans="2:18" s="839" customFormat="1" ht="42" customHeight="1">
      <c r="B17" s="840"/>
      <c r="C17" s="840"/>
      <c r="D17" s="840"/>
      <c r="E17" s="840"/>
      <c r="F17" s="840"/>
      <c r="G17" s="840"/>
      <c r="H17" s="840"/>
      <c r="I17" s="840"/>
      <c r="J17" s="840"/>
      <c r="K17" s="840"/>
      <c r="L17" s="840"/>
      <c r="M17" s="840"/>
      <c r="N17" s="840"/>
      <c r="O17" s="840"/>
    </row>
    <row r="18" spans="2:18" s="839" customFormat="1" ht="42" customHeight="1">
      <c r="B18" s="840"/>
      <c r="C18" s="840"/>
      <c r="D18" s="840"/>
      <c r="E18" s="840"/>
      <c r="F18" s="840"/>
      <c r="G18" s="840"/>
      <c r="H18" s="840"/>
      <c r="I18" s="840"/>
      <c r="J18" s="840"/>
      <c r="K18" s="840"/>
      <c r="L18" s="840"/>
      <c r="M18" s="840"/>
      <c r="N18" s="840"/>
      <c r="O18" s="840"/>
    </row>
    <row r="19" spans="2:18" s="839" customFormat="1" ht="42" customHeight="1">
      <c r="B19" s="840"/>
      <c r="C19" s="840"/>
      <c r="D19" s="840"/>
      <c r="E19" s="840"/>
      <c r="F19" s="840"/>
      <c r="G19" s="840"/>
      <c r="H19" s="840"/>
      <c r="I19" s="840"/>
      <c r="J19" s="840"/>
      <c r="K19" s="840"/>
      <c r="L19" s="840"/>
      <c r="M19" s="840"/>
      <c r="N19" s="840"/>
      <c r="O19" s="840"/>
    </row>
    <row r="20" spans="2:18" s="839" customFormat="1" ht="42" customHeight="1">
      <c r="B20" s="840"/>
      <c r="C20" s="840"/>
      <c r="D20" s="840"/>
      <c r="E20" s="840"/>
      <c r="F20" s="840"/>
      <c r="G20" s="840"/>
      <c r="H20" s="840"/>
      <c r="I20" s="840"/>
      <c r="J20" s="840"/>
      <c r="K20" s="840"/>
      <c r="L20" s="840"/>
      <c r="M20" s="840"/>
      <c r="N20" s="840"/>
      <c r="O20" s="840"/>
    </row>
    <row r="21" spans="2:18" s="839" customFormat="1" ht="47.25" customHeight="1">
      <c r="B21" s="840"/>
      <c r="C21" s="840"/>
      <c r="D21" s="840"/>
      <c r="E21" s="840"/>
      <c r="F21" s="840"/>
      <c r="G21" s="840"/>
      <c r="H21" s="840"/>
      <c r="I21" s="840"/>
      <c r="J21" s="840"/>
      <c r="K21" s="840"/>
      <c r="L21" s="840"/>
      <c r="M21" s="840"/>
      <c r="N21" s="840"/>
      <c r="O21" s="840"/>
    </row>
    <row r="22" spans="2:18" ht="20.100000000000001" customHeight="1">
      <c r="B22" s="997" t="s">
        <v>7726</v>
      </c>
      <c r="C22" s="994"/>
      <c r="D22" s="994"/>
      <c r="E22" s="994"/>
      <c r="F22" s="994"/>
      <c r="G22" s="994"/>
      <c r="H22" s="994"/>
      <c r="I22" s="994"/>
      <c r="J22" s="994"/>
      <c r="K22" s="994"/>
      <c r="L22" s="994"/>
      <c r="M22" s="994"/>
      <c r="N22" s="994"/>
      <c r="O22" s="994"/>
    </row>
    <row r="23" spans="2:18" ht="27.95" customHeight="1">
      <c r="B23" s="996" t="s">
        <v>7727</v>
      </c>
      <c r="C23" s="994"/>
      <c r="D23" s="994"/>
      <c r="E23" s="994"/>
      <c r="F23" s="996" t="s">
        <v>7728</v>
      </c>
      <c r="G23" s="994"/>
      <c r="H23" s="994"/>
      <c r="I23" s="994"/>
      <c r="J23" s="996" t="s">
        <v>7729</v>
      </c>
      <c r="K23" s="994"/>
      <c r="L23" s="994"/>
      <c r="M23" s="994"/>
      <c r="N23" s="994"/>
      <c r="O23" s="994"/>
      <c r="R23" s="932"/>
    </row>
    <row r="24" spans="2:18" ht="30" customHeight="1">
      <c r="B24" s="995" t="s">
        <v>7730</v>
      </c>
      <c r="C24" s="994"/>
      <c r="D24" s="994"/>
      <c r="E24" s="994"/>
      <c r="F24" s="995" t="s">
        <v>7731</v>
      </c>
      <c r="G24" s="994"/>
      <c r="H24" s="994"/>
      <c r="I24" s="994"/>
      <c r="J24" s="995" t="s">
        <v>7732</v>
      </c>
      <c r="K24" s="994"/>
      <c r="L24" s="994"/>
      <c r="M24" s="994"/>
      <c r="N24" s="994"/>
      <c r="O24" s="994"/>
    </row>
    <row r="25" spans="2:18" ht="30" customHeight="1">
      <c r="B25" s="994"/>
      <c r="C25" s="994"/>
      <c r="D25" s="994"/>
      <c r="E25" s="994"/>
      <c r="F25" s="994"/>
      <c r="G25" s="994"/>
      <c r="H25" s="994"/>
      <c r="I25" s="994"/>
      <c r="J25" s="994"/>
      <c r="K25" s="994"/>
      <c r="L25" s="994"/>
      <c r="M25" s="994"/>
      <c r="N25" s="994"/>
      <c r="O25" s="994"/>
    </row>
    <row r="26" spans="2:18" ht="26.25" customHeight="1">
      <c r="B26" s="994"/>
      <c r="C26" s="994"/>
      <c r="D26" s="994"/>
      <c r="E26" s="994"/>
      <c r="F26" s="994"/>
      <c r="G26" s="994"/>
      <c r="H26" s="994"/>
      <c r="I26" s="994"/>
      <c r="J26" s="994"/>
      <c r="K26" s="994"/>
      <c r="L26" s="994"/>
      <c r="M26" s="994"/>
      <c r="N26" s="994"/>
      <c r="O26" s="994"/>
    </row>
    <row r="27" spans="2:18" s="839" customFormat="1">
      <c r="B27" s="838"/>
      <c r="C27" s="838"/>
      <c r="D27" s="838"/>
      <c r="E27" s="838"/>
      <c r="F27" s="838"/>
      <c r="G27" s="838"/>
      <c r="H27" s="838"/>
      <c r="I27" s="838"/>
      <c r="J27" s="838"/>
      <c r="K27" s="838"/>
      <c r="L27" s="838"/>
      <c r="M27" s="838"/>
      <c r="N27" s="838"/>
      <c r="O27" s="838"/>
    </row>
    <row r="28" spans="2:18" ht="20.100000000000001" customHeight="1">
      <c r="B28" s="997" t="s">
        <v>7733</v>
      </c>
      <c r="C28" s="994"/>
      <c r="D28" s="994"/>
      <c r="E28" s="994"/>
      <c r="F28" s="994"/>
      <c r="G28" s="994"/>
      <c r="H28" s="994"/>
      <c r="I28" s="994"/>
      <c r="J28" s="994"/>
      <c r="K28" s="994"/>
      <c r="L28" s="994"/>
      <c r="M28" s="994"/>
      <c r="N28" s="994"/>
      <c r="O28" s="994"/>
    </row>
    <row r="29" spans="2:18" ht="27" customHeight="1">
      <c r="B29" s="996" t="s">
        <v>7734</v>
      </c>
      <c r="C29" s="994"/>
      <c r="D29" s="994"/>
      <c r="E29" s="994"/>
      <c r="F29" s="996" t="s">
        <v>7735</v>
      </c>
      <c r="G29" s="994"/>
      <c r="H29" s="994"/>
      <c r="I29" s="994"/>
      <c r="J29" s="996" t="s">
        <v>7736</v>
      </c>
      <c r="K29" s="994"/>
      <c r="L29" s="994"/>
      <c r="M29" s="994"/>
      <c r="N29" s="994"/>
      <c r="O29" s="994"/>
    </row>
    <row r="30" spans="2:18" ht="27" customHeight="1">
      <c r="B30" s="995" t="s">
        <v>7737</v>
      </c>
      <c r="C30" s="994"/>
      <c r="D30" s="994"/>
      <c r="E30" s="994"/>
      <c r="F30" s="995" t="s">
        <v>7738</v>
      </c>
      <c r="G30" s="994"/>
      <c r="H30" s="994"/>
      <c r="I30" s="994"/>
      <c r="J30" s="995" t="s">
        <v>7739</v>
      </c>
      <c r="K30" s="994"/>
      <c r="L30" s="994"/>
      <c r="M30" s="994"/>
      <c r="N30" s="994"/>
      <c r="O30" s="994"/>
    </row>
    <row r="31" spans="2:18" ht="27" customHeight="1">
      <c r="B31" s="994"/>
      <c r="C31" s="994"/>
      <c r="D31" s="994"/>
      <c r="E31" s="994"/>
      <c r="F31" s="994"/>
      <c r="G31" s="994"/>
      <c r="H31" s="994"/>
      <c r="I31" s="994"/>
      <c r="J31" s="994"/>
      <c r="K31" s="994"/>
      <c r="L31" s="994"/>
      <c r="M31" s="994"/>
      <c r="N31" s="994"/>
      <c r="O31" s="994"/>
    </row>
    <row r="32" spans="2:18" ht="19.5" customHeight="1">
      <c r="B32" s="994"/>
      <c r="C32" s="994"/>
      <c r="D32" s="994"/>
      <c r="E32" s="994"/>
      <c r="F32" s="994"/>
      <c r="G32" s="994"/>
      <c r="H32" s="994"/>
      <c r="I32" s="994"/>
      <c r="J32" s="994"/>
      <c r="K32" s="994"/>
      <c r="L32" s="994"/>
      <c r="M32" s="994"/>
      <c r="N32" s="994"/>
      <c r="O32" s="994"/>
    </row>
    <row r="33" spans="2:15" s="839" customFormat="1">
      <c r="B33" s="838"/>
      <c r="C33" s="838"/>
      <c r="D33" s="838"/>
      <c r="E33" s="838"/>
      <c r="F33" s="838"/>
      <c r="G33" s="838"/>
      <c r="H33" s="838"/>
      <c r="I33" s="838"/>
      <c r="J33" s="838"/>
      <c r="K33" s="838"/>
      <c r="L33" s="838"/>
      <c r="M33" s="838"/>
      <c r="N33" s="838"/>
      <c r="O33" s="838"/>
    </row>
    <row r="34" spans="2:15" ht="20.100000000000001" customHeight="1">
      <c r="B34" s="997" t="s">
        <v>7740</v>
      </c>
      <c r="C34" s="994"/>
      <c r="D34" s="994"/>
      <c r="E34" s="994"/>
      <c r="F34" s="994"/>
      <c r="G34" s="994"/>
      <c r="H34" s="994"/>
      <c r="I34" s="994"/>
      <c r="J34" s="994"/>
      <c r="K34" s="994"/>
      <c r="L34" s="994"/>
      <c r="M34" s="994"/>
      <c r="N34" s="994"/>
      <c r="O34" s="994"/>
    </row>
    <row r="35" spans="2:15" ht="27.95" customHeight="1">
      <c r="B35" s="996" t="s">
        <v>7741</v>
      </c>
      <c r="C35" s="994"/>
      <c r="D35" s="994"/>
      <c r="E35" s="994"/>
      <c r="F35" s="996" t="s">
        <v>7742</v>
      </c>
      <c r="G35" s="994"/>
      <c r="H35" s="994"/>
      <c r="I35" s="994"/>
      <c r="J35" s="996" t="s">
        <v>7743</v>
      </c>
      <c r="K35" s="994"/>
      <c r="L35" s="994"/>
      <c r="M35" s="994"/>
      <c r="N35" s="994"/>
      <c r="O35" s="994"/>
    </row>
    <row r="36" spans="2:15" ht="27.95" customHeight="1">
      <c r="B36" s="995" t="s">
        <v>7744</v>
      </c>
      <c r="C36" s="994"/>
      <c r="D36" s="994"/>
      <c r="E36" s="994"/>
      <c r="F36" s="995" t="s">
        <v>7745</v>
      </c>
      <c r="G36" s="994"/>
      <c r="H36" s="994"/>
      <c r="I36" s="994"/>
      <c r="J36" s="995" t="s">
        <v>7746</v>
      </c>
      <c r="K36" s="994"/>
      <c r="L36" s="994"/>
      <c r="M36" s="994"/>
      <c r="N36" s="994"/>
      <c r="O36" s="994"/>
    </row>
    <row r="37" spans="2:15" ht="27.95" customHeight="1">
      <c r="B37" s="994"/>
      <c r="C37" s="994"/>
      <c r="D37" s="994"/>
      <c r="E37" s="994"/>
      <c r="F37" s="994"/>
      <c r="G37" s="994"/>
      <c r="H37" s="994"/>
      <c r="I37" s="994"/>
      <c r="J37" s="994"/>
      <c r="K37" s="994"/>
      <c r="L37" s="994"/>
      <c r="M37" s="994"/>
      <c r="N37" s="994"/>
      <c r="O37" s="994"/>
    </row>
    <row r="38" spans="2:15" ht="20.25" customHeight="1">
      <c r="B38" s="994"/>
      <c r="C38" s="994"/>
      <c r="D38" s="994"/>
      <c r="E38" s="994"/>
      <c r="F38" s="994"/>
      <c r="G38" s="994"/>
      <c r="H38" s="994"/>
      <c r="I38" s="994"/>
      <c r="J38" s="994"/>
      <c r="K38" s="994"/>
      <c r="L38" s="994"/>
      <c r="M38" s="994"/>
      <c r="N38" s="994"/>
      <c r="O38" s="994"/>
    </row>
    <row r="39" spans="2:15" s="839" customFormat="1">
      <c r="B39" s="838"/>
      <c r="C39" s="838"/>
      <c r="D39" s="838"/>
      <c r="E39" s="838"/>
      <c r="F39" s="838"/>
      <c r="G39" s="838"/>
      <c r="H39" s="838"/>
      <c r="I39" s="838"/>
      <c r="J39" s="838"/>
      <c r="K39" s="838"/>
      <c r="L39" s="838"/>
      <c r="M39" s="838"/>
      <c r="N39" s="838"/>
      <c r="O39" s="838"/>
    </row>
    <row r="40" spans="2:15" ht="20.100000000000001" customHeight="1">
      <c r="B40" s="997" t="s">
        <v>7747</v>
      </c>
      <c r="C40" s="994"/>
      <c r="D40" s="994"/>
      <c r="E40" s="994"/>
      <c r="F40" s="994"/>
      <c r="G40" s="994"/>
      <c r="H40" s="994"/>
      <c r="I40" s="994"/>
      <c r="J40" s="994"/>
      <c r="K40" s="994"/>
      <c r="L40" s="994"/>
      <c r="M40" s="994"/>
      <c r="N40" s="994"/>
      <c r="O40" s="994"/>
    </row>
    <row r="41" spans="2:15" ht="27" customHeight="1">
      <c r="B41" s="996" t="s">
        <v>7748</v>
      </c>
      <c r="C41" s="994"/>
      <c r="D41" s="994"/>
      <c r="E41" s="994"/>
      <c r="F41" s="996" t="s">
        <v>7749</v>
      </c>
      <c r="G41" s="994"/>
      <c r="H41" s="994"/>
      <c r="I41" s="994"/>
      <c r="J41" s="996" t="s">
        <v>7750</v>
      </c>
      <c r="K41" s="994"/>
      <c r="L41" s="994"/>
      <c r="M41" s="994"/>
      <c r="N41" s="994"/>
      <c r="O41" s="994"/>
    </row>
    <row r="42" spans="2:15" ht="27" customHeight="1">
      <c r="B42" s="995" t="s">
        <v>7751</v>
      </c>
      <c r="C42" s="994"/>
      <c r="D42" s="994"/>
      <c r="E42" s="994"/>
      <c r="F42" s="995" t="s">
        <v>7752</v>
      </c>
      <c r="G42" s="994"/>
      <c r="H42" s="994"/>
      <c r="I42" s="994"/>
      <c r="J42" s="995" t="s">
        <v>7753</v>
      </c>
      <c r="K42" s="994"/>
      <c r="L42" s="994"/>
      <c r="M42" s="994"/>
      <c r="N42" s="994"/>
      <c r="O42" s="994"/>
    </row>
    <row r="43" spans="2:15" ht="27" customHeight="1">
      <c r="B43" s="994"/>
      <c r="C43" s="994"/>
      <c r="D43" s="994"/>
      <c r="E43" s="994"/>
      <c r="F43" s="994"/>
      <c r="G43" s="994"/>
      <c r="H43" s="994"/>
      <c r="I43" s="994"/>
      <c r="J43" s="994"/>
      <c r="K43" s="994"/>
      <c r="L43" s="994"/>
      <c r="M43" s="994"/>
      <c r="N43" s="994"/>
      <c r="O43" s="994"/>
    </row>
    <row r="44" spans="2:15" ht="20.25" customHeight="1">
      <c r="B44" s="994"/>
      <c r="C44" s="994"/>
      <c r="D44" s="994"/>
      <c r="E44" s="994"/>
      <c r="F44" s="994"/>
      <c r="G44" s="994"/>
      <c r="H44" s="994"/>
      <c r="I44" s="994"/>
      <c r="J44" s="994"/>
      <c r="K44" s="994"/>
      <c r="L44" s="994"/>
      <c r="M44" s="994"/>
      <c r="N44" s="994"/>
      <c r="O44" s="994"/>
    </row>
    <row r="45" spans="2:15" s="839" customFormat="1">
      <c r="B45" s="838"/>
      <c r="C45" s="838"/>
      <c r="D45" s="838"/>
      <c r="E45" s="838"/>
      <c r="F45" s="838"/>
      <c r="G45" s="838"/>
      <c r="H45" s="838"/>
      <c r="I45" s="838"/>
      <c r="J45" s="838"/>
      <c r="K45" s="838"/>
      <c r="L45" s="838"/>
      <c r="M45" s="838"/>
      <c r="N45" s="838"/>
      <c r="O45" s="838"/>
    </row>
    <row r="46" spans="2:15" ht="20.100000000000001" customHeight="1">
      <c r="B46" s="997" t="s">
        <v>7754</v>
      </c>
      <c r="C46" s="994"/>
      <c r="D46" s="994"/>
      <c r="E46" s="994"/>
      <c r="F46" s="994"/>
      <c r="G46" s="994"/>
      <c r="H46" s="994"/>
      <c r="I46" s="994"/>
      <c r="J46" s="994"/>
      <c r="K46" s="994"/>
      <c r="L46" s="994"/>
      <c r="M46" s="994"/>
      <c r="N46" s="994"/>
      <c r="O46" s="994"/>
    </row>
    <row r="47" spans="2:15" ht="13.5" customHeight="1">
      <c r="B47" s="998" t="s">
        <v>7755</v>
      </c>
      <c r="C47" s="994"/>
      <c r="D47" s="994"/>
      <c r="E47" s="994"/>
      <c r="F47" s="994"/>
      <c r="G47" s="994"/>
      <c r="H47" s="994"/>
      <c r="I47" s="994"/>
      <c r="J47" s="994"/>
      <c r="K47" s="994"/>
      <c r="L47" s="994"/>
      <c r="M47" s="994"/>
      <c r="N47" s="994"/>
      <c r="O47" s="994"/>
    </row>
    <row r="48" spans="2:15" ht="24.95" customHeight="1">
      <c r="B48" s="1000" t="s">
        <v>7756</v>
      </c>
      <c r="C48" s="994"/>
      <c r="D48" s="994"/>
      <c r="E48" s="994"/>
      <c r="F48" s="994"/>
      <c r="G48" s="994"/>
      <c r="H48" s="994"/>
      <c r="I48" s="994"/>
      <c r="J48" s="994"/>
      <c r="K48" s="994"/>
      <c r="L48" s="994"/>
      <c r="M48" s="994"/>
      <c r="N48" s="994"/>
      <c r="O48" s="994"/>
    </row>
    <row r="49" spans="2:15" ht="24.95" customHeight="1">
      <c r="B49" s="994"/>
      <c r="C49" s="994"/>
      <c r="D49" s="994"/>
      <c r="E49" s="994"/>
      <c r="F49" s="994"/>
      <c r="G49" s="994"/>
      <c r="H49" s="994"/>
      <c r="I49" s="994"/>
      <c r="J49" s="994"/>
      <c r="K49" s="994"/>
      <c r="L49" s="994"/>
      <c r="M49" s="994"/>
      <c r="N49" s="994"/>
      <c r="O49" s="994"/>
    </row>
    <row r="50" spans="2:15" ht="33" customHeight="1">
      <c r="B50" s="994"/>
      <c r="C50" s="994"/>
      <c r="D50" s="994"/>
      <c r="E50" s="994"/>
      <c r="F50" s="994"/>
      <c r="G50" s="994"/>
      <c r="H50" s="994"/>
      <c r="I50" s="994"/>
      <c r="J50" s="994"/>
      <c r="K50" s="994"/>
      <c r="L50" s="994"/>
      <c r="M50" s="994"/>
      <c r="N50" s="994"/>
      <c r="O50" s="994"/>
    </row>
    <row r="51" spans="2:15" s="839" customFormat="1">
      <c r="B51" s="838"/>
      <c r="C51" s="838"/>
      <c r="D51" s="838"/>
      <c r="E51" s="838"/>
      <c r="F51" s="838"/>
      <c r="G51" s="838"/>
      <c r="H51" s="838"/>
      <c r="I51" s="838"/>
      <c r="J51" s="838"/>
      <c r="K51" s="838"/>
      <c r="L51" s="838"/>
      <c r="M51" s="838"/>
      <c r="N51" s="838"/>
      <c r="O51" s="838"/>
    </row>
    <row r="52" spans="2:15" ht="20.100000000000001" customHeight="1">
      <c r="B52" s="998" t="s">
        <v>7757</v>
      </c>
      <c r="C52" s="994"/>
      <c r="D52" s="994"/>
      <c r="E52" s="994"/>
      <c r="F52" s="994"/>
      <c r="G52" s="994"/>
      <c r="H52" s="994"/>
      <c r="I52" s="994"/>
      <c r="J52" s="994"/>
      <c r="K52" s="994"/>
      <c r="L52" s="994"/>
      <c r="M52" s="994"/>
      <c r="N52" s="994"/>
      <c r="O52" s="994"/>
    </row>
    <row r="53" spans="2:15" ht="24" customHeight="1">
      <c r="B53" s="841" t="s">
        <v>7758</v>
      </c>
      <c r="C53" s="841"/>
      <c r="D53" s="1003" t="s">
        <v>7759</v>
      </c>
      <c r="E53" s="994"/>
      <c r="F53" s="994"/>
      <c r="G53" s="994"/>
      <c r="H53" s="1003" t="s">
        <v>7760</v>
      </c>
      <c r="I53" s="994"/>
      <c r="J53" s="994"/>
      <c r="K53" s="1003" t="s">
        <v>7761</v>
      </c>
      <c r="L53" s="994"/>
      <c r="M53" s="994"/>
      <c r="N53" s="994"/>
      <c r="O53" s="994"/>
    </row>
    <row r="54" spans="2:15" ht="30.75" customHeight="1">
      <c r="B54" s="842" t="s">
        <v>2475</v>
      </c>
      <c r="C54" s="842"/>
      <c r="D54" s="993" t="s">
        <v>7762</v>
      </c>
      <c r="E54" s="994"/>
      <c r="F54" s="994"/>
      <c r="G54" s="994"/>
      <c r="H54" s="993" t="s">
        <v>7763</v>
      </c>
      <c r="I54" s="994"/>
      <c r="J54" s="994"/>
      <c r="K54" s="993" t="s">
        <v>7764</v>
      </c>
      <c r="L54" s="994"/>
      <c r="M54" s="994"/>
      <c r="N54" s="994"/>
      <c r="O54" s="994"/>
    </row>
    <row r="55" spans="2:15" ht="31.5" customHeight="1">
      <c r="B55" s="842" t="s">
        <v>2477</v>
      </c>
      <c r="C55" s="842"/>
      <c r="D55" s="993" t="s">
        <v>7765</v>
      </c>
      <c r="E55" s="994"/>
      <c r="F55" s="994"/>
      <c r="G55" s="994"/>
      <c r="H55" s="993" t="s">
        <v>7766</v>
      </c>
      <c r="I55" s="994"/>
      <c r="J55" s="994"/>
      <c r="K55" s="993" t="s">
        <v>7767</v>
      </c>
      <c r="L55" s="994"/>
      <c r="M55" s="994"/>
      <c r="N55" s="994"/>
      <c r="O55" s="994"/>
    </row>
    <row r="56" spans="2:15" ht="30.75" customHeight="1">
      <c r="B56" s="842" t="s">
        <v>2476</v>
      </c>
      <c r="C56" s="842"/>
      <c r="D56" s="993" t="s">
        <v>7768</v>
      </c>
      <c r="E56" s="994"/>
      <c r="F56" s="994"/>
      <c r="G56" s="994"/>
      <c r="H56" s="993" t="s">
        <v>7769</v>
      </c>
      <c r="I56" s="994"/>
      <c r="J56" s="994"/>
      <c r="K56" s="993" t="s">
        <v>7770</v>
      </c>
      <c r="L56" s="994"/>
      <c r="M56" s="994"/>
      <c r="N56" s="994"/>
      <c r="O56" s="994"/>
    </row>
    <row r="57" spans="2:15" ht="31.5" customHeight="1">
      <c r="B57" s="842" t="s">
        <v>2472</v>
      </c>
      <c r="C57" s="842"/>
      <c r="D57" s="993" t="s">
        <v>7771</v>
      </c>
      <c r="E57" s="994"/>
      <c r="F57" s="994"/>
      <c r="G57" s="994"/>
      <c r="H57" s="993" t="s">
        <v>7772</v>
      </c>
      <c r="I57" s="994"/>
      <c r="J57" s="994"/>
      <c r="K57" s="993" t="s">
        <v>7773</v>
      </c>
      <c r="L57" s="994"/>
      <c r="M57" s="994"/>
      <c r="N57" s="994"/>
      <c r="O57" s="994"/>
    </row>
    <row r="58" spans="2:15" s="839" customFormat="1" ht="20.25" customHeight="1">
      <c r="B58" s="838"/>
      <c r="C58" s="838"/>
      <c r="D58" s="838"/>
      <c r="E58" s="838"/>
      <c r="F58" s="838"/>
      <c r="G58" s="838"/>
      <c r="H58" s="838"/>
      <c r="I58" s="838"/>
      <c r="J58" s="838"/>
      <c r="K58" s="838"/>
      <c r="L58" s="838"/>
      <c r="M58" s="838"/>
      <c r="N58" s="838"/>
      <c r="O58" s="838"/>
    </row>
    <row r="59" spans="2:15" ht="26.1" customHeight="1">
      <c r="B59" s="1002" t="s">
        <v>7774</v>
      </c>
      <c r="C59" s="994"/>
      <c r="D59" s="994"/>
      <c r="E59" s="994"/>
      <c r="F59" s="994"/>
      <c r="G59" s="994"/>
      <c r="H59" s="994"/>
      <c r="I59" s="994"/>
      <c r="J59" s="994"/>
      <c r="K59" s="994"/>
      <c r="L59" s="994"/>
      <c r="M59" s="994"/>
      <c r="N59" s="994"/>
      <c r="O59" s="994"/>
    </row>
    <row r="60" spans="2:15">
      <c r="B60" s="994"/>
      <c r="C60" s="994"/>
      <c r="D60" s="994"/>
      <c r="E60" s="994"/>
      <c r="F60" s="994"/>
      <c r="G60" s="994"/>
      <c r="H60" s="994"/>
      <c r="I60" s="994"/>
      <c r="J60" s="994"/>
      <c r="K60" s="994"/>
      <c r="L60" s="994"/>
      <c r="M60" s="994"/>
      <c r="N60" s="994"/>
      <c r="O60" s="994"/>
    </row>
    <row r="61" spans="2:15" s="839" customFormat="1"/>
    <row r="62" spans="2:15" s="839" customFormat="1"/>
    <row r="63" spans="2:15" s="839" customFormat="1"/>
    <row r="64" spans="2:15" s="839" customFormat="1"/>
    <row r="65" s="839" customFormat="1"/>
    <row r="66" s="839" customFormat="1"/>
    <row r="67" s="839" customFormat="1"/>
    <row r="68" s="839" customFormat="1"/>
    <row r="69" s="839" customFormat="1"/>
    <row r="70" s="839" customFormat="1"/>
    <row r="71" s="839" customFormat="1"/>
    <row r="72" s="839" customFormat="1"/>
    <row r="73" s="839" customFormat="1"/>
    <row r="74" s="839" customFormat="1"/>
    <row r="75" s="839" customFormat="1"/>
    <row r="76" s="839" customFormat="1"/>
    <row r="77" s="839" customFormat="1"/>
    <row r="78" s="839" customFormat="1"/>
    <row r="79" s="839" customFormat="1"/>
    <row r="80" s="839" customFormat="1"/>
    <row r="81" s="839" customFormat="1"/>
    <row r="82" s="839" customFormat="1"/>
    <row r="83" s="839" customFormat="1"/>
    <row r="84" s="839" customFormat="1"/>
    <row r="85" s="839" customFormat="1"/>
  </sheetData>
  <mergeCells count="51">
    <mergeCell ref="B59:O60"/>
    <mergeCell ref="B28:O28"/>
    <mergeCell ref="H53:J53"/>
    <mergeCell ref="F30:I32"/>
    <mergeCell ref="B42:E44"/>
    <mergeCell ref="B40:O40"/>
    <mergeCell ref="J42:O44"/>
    <mergeCell ref="F36:I38"/>
    <mergeCell ref="H54:J54"/>
    <mergeCell ref="F41:I41"/>
    <mergeCell ref="K53:O53"/>
    <mergeCell ref="F35:I35"/>
    <mergeCell ref="J29:O29"/>
    <mergeCell ref="D53:G53"/>
    <mergeCell ref="H55:J55"/>
    <mergeCell ref="B29:E29"/>
    <mergeCell ref="B2:O2"/>
    <mergeCell ref="H56:J56"/>
    <mergeCell ref="F29:I29"/>
    <mergeCell ref="K56:O56"/>
    <mergeCell ref="B48:O50"/>
    <mergeCell ref="J23:O23"/>
    <mergeCell ref="B34:O34"/>
    <mergeCell ref="F24:I26"/>
    <mergeCell ref="B23:E23"/>
    <mergeCell ref="B5:O5"/>
    <mergeCell ref="F42:I44"/>
    <mergeCell ref="F23:I23"/>
    <mergeCell ref="J36:O38"/>
    <mergeCell ref="J41:O41"/>
    <mergeCell ref="B35:E35"/>
    <mergeCell ref="B52:O52"/>
    <mergeCell ref="K57:O57"/>
    <mergeCell ref="D56:G56"/>
    <mergeCell ref="B4:O4"/>
    <mergeCell ref="B47:O47"/>
    <mergeCell ref="B24:E26"/>
    <mergeCell ref="B30:E32"/>
    <mergeCell ref="K54:O54"/>
    <mergeCell ref="J35:O35"/>
    <mergeCell ref="B46:O46"/>
    <mergeCell ref="D55:G55"/>
    <mergeCell ref="J30:O32"/>
    <mergeCell ref="B22:O22"/>
    <mergeCell ref="K55:O55"/>
    <mergeCell ref="J24:O26"/>
    <mergeCell ref="D54:G54"/>
    <mergeCell ref="B36:E38"/>
    <mergeCell ref="B41:E41"/>
    <mergeCell ref="H57:J57"/>
    <mergeCell ref="D57:G57"/>
  </mergeCells>
  <pageMargins left="3.937007874015748E-2" right="3.937007874015748E-2" top="7.874015748031496E-2" bottom="3.937007874015748E-2" header="0.11811023622047249" footer="7.874015748031496E-2"/>
  <pageSetup paperSize="8" scale="7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8" tint="0.39997558519241921"/>
    <pageSetUpPr fitToPage="1"/>
  </sheetPr>
  <dimension ref="A1:AT90"/>
  <sheetViews>
    <sheetView workbookViewId="0">
      <pane ySplit="2" topLeftCell="A15" activePane="bottomLeft" state="frozen"/>
      <selection pane="bottomLeft" activeCell="A14" sqref="A14:H14"/>
    </sheetView>
  </sheetViews>
  <sheetFormatPr baseColWidth="10" defaultColWidth="9.140625" defaultRowHeight="15"/>
  <cols>
    <col min="1" max="8" width="18" style="934" customWidth="1"/>
    <col min="9" max="46" width="9.140625" style="933" customWidth="1"/>
  </cols>
  <sheetData>
    <row r="1" spans="1:8" ht="24" customHeight="1">
      <c r="A1" s="1007" t="s">
        <v>7775</v>
      </c>
      <c r="B1" s="1008"/>
      <c r="C1" s="1008"/>
      <c r="D1" s="1008"/>
      <c r="E1" s="1008"/>
      <c r="F1" s="1008"/>
      <c r="G1" s="1008"/>
      <c r="H1" s="1008"/>
    </row>
    <row r="2" spans="1:8" s="933" customFormat="1"/>
    <row r="3" spans="1:8">
      <c r="A3" s="1009" t="s">
        <v>7776</v>
      </c>
      <c r="B3" s="1008"/>
      <c r="C3" s="1008"/>
      <c r="D3" s="1008"/>
      <c r="E3" s="1008"/>
      <c r="F3" s="1008"/>
      <c r="G3" s="1008"/>
      <c r="H3" s="1008"/>
    </row>
    <row r="4" spans="1:8" s="933" customFormat="1" ht="28.5" customHeight="1">
      <c r="A4" s="1010" t="s">
        <v>7777</v>
      </c>
      <c r="B4" s="1005"/>
      <c r="C4" s="1005"/>
      <c r="D4" s="1005"/>
      <c r="E4" s="1005"/>
      <c r="F4" s="1005"/>
      <c r="G4" s="1005"/>
      <c r="H4" s="1005"/>
    </row>
    <row r="5" spans="1:8" s="933" customFormat="1" ht="28.5" customHeight="1">
      <c r="A5" s="1010" t="s">
        <v>7778</v>
      </c>
      <c r="B5" s="1005"/>
      <c r="C5" s="1005"/>
      <c r="D5" s="1005"/>
      <c r="E5" s="1005"/>
      <c r="F5" s="1005"/>
      <c r="G5" s="1005"/>
      <c r="H5" s="1005"/>
    </row>
    <row r="6" spans="1:8" s="933" customFormat="1"/>
    <row r="7" spans="1:8" s="933" customFormat="1">
      <c r="A7" s="1009" t="s">
        <v>7779</v>
      </c>
      <c r="B7" s="1005"/>
      <c r="C7" s="1005"/>
      <c r="D7" s="1005"/>
      <c r="E7" s="1005"/>
      <c r="F7" s="1005"/>
      <c r="G7" s="1005"/>
      <c r="H7" s="1005"/>
    </row>
    <row r="8" spans="1:8" s="933" customFormat="1">
      <c r="A8" s="1004" t="s">
        <v>7780</v>
      </c>
      <c r="B8" s="1005"/>
      <c r="C8" s="1005"/>
      <c r="D8" s="1005"/>
      <c r="E8" s="1005"/>
      <c r="F8" s="1005"/>
      <c r="G8" s="1005"/>
      <c r="H8" s="1005"/>
    </row>
    <row r="9" spans="1:8" s="933" customFormat="1" ht="66" customHeight="1">
      <c r="A9" s="1006" t="s">
        <v>7781</v>
      </c>
      <c r="B9" s="1005"/>
      <c r="C9" s="1005"/>
      <c r="D9" s="1005"/>
      <c r="E9" s="1005"/>
      <c r="F9" s="1005"/>
      <c r="G9" s="1005"/>
      <c r="H9" s="1005"/>
    </row>
    <row r="10" spans="1:8" s="933" customFormat="1">
      <c r="A10" s="1004" t="s">
        <v>7782</v>
      </c>
      <c r="B10" s="1005"/>
      <c r="C10" s="1005"/>
      <c r="D10" s="1005"/>
      <c r="E10" s="1005"/>
      <c r="F10" s="1005"/>
      <c r="G10" s="1005"/>
      <c r="H10" s="1005"/>
    </row>
    <row r="11" spans="1:8" s="933" customFormat="1">
      <c r="A11" s="1006" t="s">
        <v>7783</v>
      </c>
      <c r="B11" s="1005"/>
      <c r="C11" s="1005"/>
      <c r="D11" s="1005"/>
      <c r="E11" s="1005"/>
      <c r="F11" s="1005"/>
      <c r="G11" s="1005"/>
      <c r="H11" s="1005"/>
    </row>
    <row r="12" spans="1:8" s="933" customFormat="1"/>
    <row r="13" spans="1:8" s="933" customFormat="1">
      <c r="A13" s="1009" t="s">
        <v>7784</v>
      </c>
      <c r="B13" s="1005"/>
      <c r="C13" s="1005"/>
      <c r="D13" s="1005"/>
      <c r="E13" s="1005"/>
      <c r="F13" s="1005"/>
      <c r="G13" s="1005"/>
      <c r="H13" s="1005"/>
    </row>
    <row r="14" spans="1:8" s="933" customFormat="1">
      <c r="A14" s="1004" t="s">
        <v>7785</v>
      </c>
      <c r="B14" s="1005"/>
      <c r="C14" s="1005"/>
      <c r="D14" s="1005"/>
      <c r="E14" s="1005"/>
      <c r="F14" s="1005"/>
      <c r="G14" s="1005"/>
      <c r="H14" s="1005"/>
    </row>
    <row r="15" spans="1:8" s="933" customFormat="1" ht="52.5" customHeight="1">
      <c r="A15" s="1006" t="s">
        <v>7786</v>
      </c>
      <c r="B15" s="1005"/>
      <c r="C15" s="1005"/>
      <c r="D15" s="1005"/>
      <c r="E15" s="1005"/>
      <c r="F15" s="1005"/>
      <c r="G15" s="1005"/>
      <c r="H15" s="1005"/>
    </row>
    <row r="16" spans="1:8" s="933" customFormat="1">
      <c r="A16" s="1004" t="s">
        <v>7787</v>
      </c>
      <c r="B16" s="1005"/>
      <c r="C16" s="1005"/>
      <c r="D16" s="1005"/>
      <c r="E16" s="1005"/>
      <c r="F16" s="1005"/>
      <c r="G16" s="1005"/>
      <c r="H16" s="1005"/>
    </row>
    <row r="17" spans="1:8" s="933" customFormat="1" ht="39" customHeight="1">
      <c r="A17" s="1006" t="s">
        <v>7788</v>
      </c>
      <c r="B17" s="1005"/>
      <c r="C17" s="1005"/>
      <c r="D17" s="1005"/>
      <c r="E17" s="1005"/>
      <c r="F17" s="1005"/>
      <c r="G17" s="1005"/>
      <c r="H17" s="1005"/>
    </row>
    <row r="18" spans="1:8" s="933" customFormat="1"/>
    <row r="19" spans="1:8" s="933" customFormat="1">
      <c r="A19" s="1009" t="s">
        <v>7789</v>
      </c>
      <c r="B19" s="1005"/>
      <c r="C19" s="1005"/>
      <c r="D19" s="1005"/>
      <c r="E19" s="1005"/>
      <c r="F19" s="1005"/>
      <c r="G19" s="1005"/>
      <c r="H19" s="1005"/>
    </row>
    <row r="20" spans="1:8" s="933" customFormat="1">
      <c r="A20" s="1004" t="s">
        <v>7790</v>
      </c>
      <c r="B20" s="1005"/>
      <c r="C20" s="1005"/>
      <c r="D20" s="1005"/>
      <c r="E20" s="1005"/>
      <c r="F20" s="1005"/>
      <c r="G20" s="1005"/>
      <c r="H20" s="1005"/>
    </row>
    <row r="21" spans="1:8" s="933" customFormat="1" ht="40.5" customHeight="1">
      <c r="A21" s="1006" t="s">
        <v>7791</v>
      </c>
      <c r="B21" s="1005"/>
      <c r="C21" s="1005"/>
      <c r="D21" s="1005"/>
      <c r="E21" s="1005"/>
      <c r="F21" s="1005"/>
      <c r="G21" s="1005"/>
      <c r="H21" s="1005"/>
    </row>
    <row r="22" spans="1:8" s="933" customFormat="1">
      <c r="A22" s="1004" t="s">
        <v>7792</v>
      </c>
      <c r="B22" s="1005"/>
      <c r="C22" s="1005"/>
      <c r="D22" s="1005"/>
      <c r="E22" s="1005"/>
      <c r="F22" s="1005"/>
      <c r="G22" s="1005"/>
      <c r="H22" s="1005"/>
    </row>
    <row r="23" spans="1:8" s="933" customFormat="1" ht="28.5" customHeight="1">
      <c r="A23" s="1006" t="s">
        <v>7793</v>
      </c>
      <c r="B23" s="1005"/>
      <c r="C23" s="1005"/>
      <c r="D23" s="1005"/>
      <c r="E23" s="1005"/>
      <c r="F23" s="1005"/>
      <c r="G23" s="1005"/>
      <c r="H23" s="1005"/>
    </row>
    <row r="24" spans="1:8" s="933" customFormat="1" ht="36" customHeight="1">
      <c r="A24" s="1004" t="s">
        <v>7794</v>
      </c>
      <c r="B24" s="1005"/>
      <c r="C24" s="1005"/>
      <c r="D24" s="1005"/>
      <c r="E24" s="1005"/>
      <c r="F24" s="1005"/>
      <c r="G24" s="1005"/>
      <c r="H24" s="1005"/>
    </row>
    <row r="25" spans="1:8" s="933" customFormat="1" ht="40.5" customHeight="1">
      <c r="A25" s="1006" t="s">
        <v>7795</v>
      </c>
      <c r="B25" s="1005"/>
      <c r="C25" s="1005"/>
      <c r="D25" s="1005"/>
      <c r="E25" s="1005"/>
      <c r="F25" s="1005"/>
      <c r="G25" s="1005"/>
      <c r="H25" s="1005"/>
    </row>
    <row r="26" spans="1:8" s="933" customFormat="1"/>
    <row r="27" spans="1:8" s="933" customFormat="1">
      <c r="A27" s="1009" t="s">
        <v>7796</v>
      </c>
      <c r="B27" s="1005"/>
      <c r="C27" s="1005"/>
      <c r="D27" s="1005"/>
      <c r="E27" s="1005"/>
      <c r="F27" s="1005"/>
      <c r="G27" s="1005"/>
      <c r="H27" s="1005"/>
    </row>
    <row r="28" spans="1:8" s="933" customFormat="1">
      <c r="A28" s="1004" t="s">
        <v>7797</v>
      </c>
      <c r="B28" s="1005"/>
      <c r="C28" s="1005"/>
      <c r="D28" s="1005"/>
      <c r="E28" s="1005"/>
      <c r="F28" s="1005"/>
      <c r="G28" s="1005"/>
      <c r="H28" s="1005"/>
    </row>
    <row r="29" spans="1:8" s="933" customFormat="1" ht="39.75" customHeight="1">
      <c r="A29" s="1006" t="s">
        <v>7798</v>
      </c>
      <c r="B29" s="1005"/>
      <c r="C29" s="1005"/>
      <c r="D29" s="1005"/>
      <c r="E29" s="1005"/>
      <c r="F29" s="1005"/>
      <c r="G29" s="1005"/>
      <c r="H29" s="1005"/>
    </row>
    <row r="30" spans="1:8" s="933" customFormat="1">
      <c r="A30" s="1004" t="s">
        <v>7799</v>
      </c>
      <c r="B30" s="1005"/>
      <c r="C30" s="1005"/>
      <c r="D30" s="1005"/>
      <c r="E30" s="1005"/>
      <c r="F30" s="1005"/>
      <c r="G30" s="1005"/>
      <c r="H30" s="1005"/>
    </row>
    <row r="31" spans="1:8" s="933" customFormat="1" ht="29.25" customHeight="1">
      <c r="A31" s="1006" t="s">
        <v>7800</v>
      </c>
      <c r="B31" s="1005"/>
      <c r="C31" s="1005"/>
      <c r="D31" s="1005"/>
      <c r="E31" s="1005"/>
      <c r="F31" s="1005"/>
      <c r="G31" s="1005"/>
      <c r="H31" s="1005"/>
    </row>
    <row r="32" spans="1:8" s="933" customFormat="1"/>
    <row r="33" spans="1:8" s="933" customFormat="1">
      <c r="A33" s="1009" t="s">
        <v>7801</v>
      </c>
      <c r="B33" s="1005"/>
      <c r="C33" s="1005"/>
      <c r="D33" s="1005"/>
      <c r="E33" s="1005"/>
      <c r="F33" s="1005"/>
      <c r="G33" s="1005"/>
      <c r="H33" s="1005"/>
    </row>
    <row r="34" spans="1:8" s="933" customFormat="1">
      <c r="A34" s="1004" t="s">
        <v>7802</v>
      </c>
      <c r="B34" s="1005"/>
      <c r="C34" s="1005"/>
      <c r="D34" s="1005"/>
      <c r="E34" s="1005"/>
      <c r="F34" s="1005"/>
      <c r="G34" s="1005"/>
      <c r="H34" s="1005"/>
    </row>
    <row r="35" spans="1:8" s="933" customFormat="1" ht="66" customHeight="1">
      <c r="A35" s="1006" t="s">
        <v>7803</v>
      </c>
      <c r="B35" s="1005"/>
      <c r="C35" s="1005"/>
      <c r="D35" s="1005"/>
      <c r="E35" s="1005"/>
      <c r="F35" s="1005"/>
      <c r="G35" s="1005"/>
      <c r="H35" s="1005"/>
    </row>
    <row r="36" spans="1:8" s="933" customFormat="1">
      <c r="A36" s="1004" t="s">
        <v>7804</v>
      </c>
      <c r="B36" s="1005"/>
      <c r="C36" s="1005"/>
      <c r="D36" s="1005"/>
      <c r="E36" s="1005"/>
      <c r="F36" s="1005"/>
      <c r="G36" s="1005"/>
      <c r="H36" s="1005"/>
    </row>
    <row r="37" spans="1:8" s="933" customFormat="1" ht="66" customHeight="1">
      <c r="A37" s="1006" t="s">
        <v>7805</v>
      </c>
      <c r="B37" s="1005"/>
      <c r="C37" s="1005"/>
      <c r="D37" s="1005"/>
      <c r="E37" s="1005"/>
      <c r="F37" s="1005"/>
      <c r="G37" s="1005"/>
      <c r="H37" s="1005"/>
    </row>
    <row r="38" spans="1:8" s="933" customFormat="1">
      <c r="A38" s="1004" t="s">
        <v>7806</v>
      </c>
      <c r="B38" s="1005"/>
      <c r="C38" s="1005"/>
      <c r="D38" s="1005"/>
      <c r="E38" s="1005"/>
      <c r="F38" s="1005"/>
      <c r="G38" s="1005"/>
      <c r="H38" s="1005"/>
    </row>
    <row r="39" spans="1:8" s="933" customFormat="1" ht="66" customHeight="1">
      <c r="A39" s="1006" t="s">
        <v>7807</v>
      </c>
      <c r="B39" s="1005"/>
      <c r="C39" s="1005"/>
      <c r="D39" s="1005"/>
      <c r="E39" s="1005"/>
      <c r="F39" s="1005"/>
      <c r="G39" s="1005"/>
      <c r="H39" s="1005"/>
    </row>
    <row r="40" spans="1:8" s="933" customFormat="1" ht="36" customHeight="1">
      <c r="A40" s="1004" t="s">
        <v>7808</v>
      </c>
      <c r="B40" s="1005"/>
      <c r="C40" s="1005"/>
      <c r="D40" s="1005"/>
      <c r="E40" s="1005"/>
      <c r="F40" s="1005"/>
      <c r="G40" s="1005"/>
      <c r="H40" s="1005"/>
    </row>
    <row r="41" spans="1:8" s="933" customFormat="1" ht="30.75" customHeight="1">
      <c r="A41" s="1010" t="s">
        <v>7809</v>
      </c>
      <c r="B41" s="1005"/>
      <c r="C41" s="1005"/>
      <c r="D41" s="1005"/>
      <c r="E41" s="1005"/>
      <c r="F41" s="1005"/>
      <c r="G41" s="1005"/>
      <c r="H41" s="1005"/>
    </row>
    <row r="42" spans="1:8" s="933" customFormat="1"/>
    <row r="43" spans="1:8" s="933" customFormat="1">
      <c r="A43" s="1009" t="s">
        <v>7810</v>
      </c>
      <c r="B43" s="1005"/>
      <c r="C43" s="1005"/>
      <c r="D43" s="1005"/>
      <c r="E43" s="1005"/>
      <c r="F43" s="1005"/>
      <c r="G43" s="1005"/>
      <c r="H43" s="1005"/>
    </row>
    <row r="44" spans="1:8" s="933" customFormat="1">
      <c r="A44" s="1004" t="s">
        <v>7811</v>
      </c>
      <c r="B44" s="1005"/>
      <c r="C44" s="1005"/>
      <c r="D44" s="1005"/>
      <c r="E44" s="1005"/>
      <c r="F44" s="1005"/>
      <c r="G44" s="1005"/>
      <c r="H44" s="1005"/>
    </row>
    <row r="45" spans="1:8" s="933" customFormat="1" ht="27" customHeight="1">
      <c r="A45" s="1006" t="s">
        <v>7812</v>
      </c>
      <c r="B45" s="1005"/>
      <c r="C45" s="1005"/>
      <c r="D45" s="1005"/>
      <c r="E45" s="1005"/>
      <c r="F45" s="1005"/>
      <c r="G45" s="1005"/>
      <c r="H45" s="1005"/>
    </row>
    <row r="46" spans="1:8" s="933" customFormat="1">
      <c r="A46" s="1004" t="s">
        <v>7813</v>
      </c>
      <c r="B46" s="1005"/>
      <c r="C46" s="1005"/>
      <c r="D46" s="1005"/>
      <c r="E46" s="1005"/>
      <c r="F46" s="1005"/>
      <c r="G46" s="1005"/>
      <c r="H46" s="1005"/>
    </row>
    <row r="47" spans="1:8" s="933" customFormat="1">
      <c r="A47" s="1006" t="s">
        <v>7814</v>
      </c>
      <c r="B47" s="1005"/>
      <c r="C47" s="1005"/>
      <c r="D47" s="1005"/>
      <c r="E47" s="1005"/>
      <c r="F47" s="1005"/>
      <c r="G47" s="1005"/>
      <c r="H47" s="1005"/>
    </row>
    <row r="48" spans="1:8" s="933" customFormat="1">
      <c r="A48" s="1004" t="s">
        <v>7815</v>
      </c>
      <c r="B48" s="1005"/>
      <c r="C48" s="1005"/>
      <c r="D48" s="1005"/>
      <c r="E48" s="1005"/>
      <c r="F48" s="1005"/>
      <c r="G48" s="1005"/>
      <c r="H48" s="1005"/>
    </row>
    <row r="49" spans="1:8" s="933" customFormat="1">
      <c r="A49" s="1006" t="s">
        <v>7816</v>
      </c>
      <c r="B49" s="1005"/>
      <c r="C49" s="1005"/>
      <c r="D49" s="1005"/>
      <c r="E49" s="1005"/>
      <c r="F49" s="1005"/>
      <c r="G49" s="1005"/>
      <c r="H49" s="1005"/>
    </row>
    <row r="50" spans="1:8" s="933" customFormat="1">
      <c r="A50" s="1004" t="s">
        <v>7817</v>
      </c>
      <c r="B50" s="1005"/>
      <c r="C50" s="1005"/>
      <c r="D50" s="1005"/>
      <c r="E50" s="1005"/>
      <c r="F50" s="1005"/>
      <c r="G50" s="1005"/>
      <c r="H50" s="1005"/>
    </row>
    <row r="51" spans="1:8" s="933" customFormat="1">
      <c r="A51" s="1006" t="s">
        <v>7818</v>
      </c>
      <c r="B51" s="1005"/>
      <c r="C51" s="1005"/>
      <c r="D51" s="1005"/>
      <c r="E51" s="1005"/>
      <c r="F51" s="1005"/>
      <c r="G51" s="1005"/>
      <c r="H51" s="1005"/>
    </row>
    <row r="52" spans="1:8" s="933" customFormat="1" ht="17.25" customHeight="1">
      <c r="A52" s="1004" t="s">
        <v>7819</v>
      </c>
      <c r="B52" s="1005"/>
      <c r="C52" s="1005"/>
      <c r="D52" s="1005"/>
      <c r="E52" s="1005"/>
      <c r="F52" s="1005"/>
      <c r="G52" s="1005"/>
      <c r="H52" s="1005"/>
    </row>
    <row r="53" spans="1:8" s="933" customFormat="1" ht="27" customHeight="1">
      <c r="A53" s="1006" t="s">
        <v>7820</v>
      </c>
      <c r="B53" s="1005"/>
      <c r="C53" s="1005"/>
      <c r="D53" s="1005"/>
      <c r="E53" s="1005"/>
      <c r="F53" s="1005"/>
      <c r="G53" s="1005"/>
      <c r="H53" s="1005"/>
    </row>
    <row r="54" spans="1:8" s="933" customFormat="1"/>
    <row r="55" spans="1:8" s="933" customFormat="1">
      <c r="A55" s="1009" t="s">
        <v>7821</v>
      </c>
      <c r="B55" s="1005"/>
      <c r="C55" s="1005"/>
      <c r="D55" s="1005"/>
      <c r="E55" s="1005"/>
      <c r="F55" s="1005"/>
      <c r="G55" s="1005"/>
      <c r="H55" s="1005"/>
    </row>
    <row r="56" spans="1:8" s="933" customFormat="1" ht="28.5" customHeight="1">
      <c r="A56" s="1011" t="s">
        <v>7822</v>
      </c>
      <c r="B56" s="1005"/>
      <c r="C56" s="1005"/>
      <c r="D56" s="1005"/>
      <c r="E56" s="1005"/>
      <c r="F56" s="1005"/>
      <c r="G56" s="1005"/>
      <c r="H56" s="1005"/>
    </row>
    <row r="57" spans="1:8" s="933" customFormat="1"/>
    <row r="58" spans="1:8" s="933" customFormat="1"/>
    <row r="59" spans="1:8" s="933" customFormat="1">
      <c r="A59" s="1009" t="s">
        <v>7823</v>
      </c>
      <c r="B59" s="1005"/>
      <c r="C59" s="1005"/>
      <c r="D59" s="1005"/>
      <c r="E59" s="1005"/>
      <c r="F59" s="1005"/>
      <c r="G59" s="1005"/>
      <c r="H59" s="1005"/>
    </row>
    <row r="60" spans="1:8" s="933" customFormat="1">
      <c r="A60" s="481" t="s">
        <v>7824</v>
      </c>
    </row>
    <row r="61" spans="1:8" s="933" customFormat="1">
      <c r="A61" s="481" t="s">
        <v>7825</v>
      </c>
    </row>
    <row r="62" spans="1:8" s="933" customFormat="1">
      <c r="A62" s="481" t="s">
        <v>7826</v>
      </c>
    </row>
    <row r="63" spans="1:8" s="933" customFormat="1">
      <c r="A63" s="481" t="s">
        <v>7827</v>
      </c>
    </row>
    <row r="64" spans="1:8" s="933" customFormat="1">
      <c r="A64" s="481" t="s">
        <v>7828</v>
      </c>
    </row>
    <row r="65" spans="1:8" s="933" customFormat="1">
      <c r="A65" s="481"/>
    </row>
    <row r="66" spans="1:8" s="933" customFormat="1">
      <c r="A66" s="1009" t="s">
        <v>7829</v>
      </c>
      <c r="B66" s="1005"/>
      <c r="C66" s="1005"/>
      <c r="D66" s="1005"/>
      <c r="E66" s="1005"/>
      <c r="F66" s="1005"/>
      <c r="G66" s="1005"/>
      <c r="H66" s="1005"/>
    </row>
    <row r="67" spans="1:8" s="933" customFormat="1">
      <c r="A67" s="481" t="s">
        <v>7830</v>
      </c>
    </row>
    <row r="68" spans="1:8" s="933" customFormat="1">
      <c r="A68" s="481" t="s">
        <v>7831</v>
      </c>
    </row>
    <row r="69" spans="1:8" s="933" customFormat="1">
      <c r="A69" s="481" t="s">
        <v>7832</v>
      </c>
    </row>
    <row r="70" spans="1:8" s="933" customFormat="1">
      <c r="A70" s="453"/>
    </row>
    <row r="71" spans="1:8" s="933" customFormat="1">
      <c r="A71" s="1009" t="s">
        <v>7833</v>
      </c>
      <c r="B71" s="1005"/>
      <c r="C71" s="1005"/>
      <c r="D71" s="1005"/>
      <c r="E71" s="1005"/>
      <c r="F71" s="1005"/>
      <c r="G71" s="1005"/>
      <c r="H71" s="1005"/>
    </row>
    <row r="72" spans="1:8" s="933" customFormat="1">
      <c r="A72" s="481" t="s">
        <v>118</v>
      </c>
    </row>
    <row r="73" spans="1:8" s="933" customFormat="1">
      <c r="A73" s="481" t="s">
        <v>7834</v>
      </c>
    </row>
    <row r="74" spans="1:8" s="933" customFormat="1">
      <c r="A74" s="481" t="s">
        <v>7835</v>
      </c>
    </row>
    <row r="75" spans="1:8" s="933" customFormat="1">
      <c r="A75" s="481" t="s">
        <v>7836</v>
      </c>
    </row>
    <row r="76" spans="1:8" s="933" customFormat="1">
      <c r="A76" s="481" t="s">
        <v>7837</v>
      </c>
    </row>
    <row r="77" spans="1:8" s="933" customFormat="1">
      <c r="A77" s="481" t="s">
        <v>7838</v>
      </c>
    </row>
    <row r="78" spans="1:8" s="933" customFormat="1">
      <c r="A78" s="481" t="s">
        <v>7839</v>
      </c>
    </row>
    <row r="79" spans="1:8" s="933" customFormat="1">
      <c r="A79" s="481" t="s">
        <v>7840</v>
      </c>
    </row>
    <row r="80" spans="1:8" s="933" customFormat="1">
      <c r="A80" s="481" t="s">
        <v>7841</v>
      </c>
    </row>
    <row r="81" spans="1:1" s="933" customFormat="1">
      <c r="A81" s="481" t="s">
        <v>7842</v>
      </c>
    </row>
    <row r="82" spans="1:1" s="933" customFormat="1">
      <c r="A82" s="481" t="s">
        <v>127</v>
      </c>
    </row>
    <row r="83" spans="1:1" s="933" customFormat="1">
      <c r="A83" s="481" t="s">
        <v>7843</v>
      </c>
    </row>
    <row r="84" spans="1:1" s="933" customFormat="1">
      <c r="A84" s="481" t="s">
        <v>7844</v>
      </c>
    </row>
    <row r="85" spans="1:1" s="933" customFormat="1">
      <c r="A85" s="481" t="s">
        <v>7845</v>
      </c>
    </row>
    <row r="86" spans="1:1" s="933" customFormat="1">
      <c r="A86" s="481" t="s">
        <v>7846</v>
      </c>
    </row>
    <row r="87" spans="1:1" s="933" customFormat="1">
      <c r="A87" s="481" t="s">
        <v>7847</v>
      </c>
    </row>
    <row r="88" spans="1:1" s="933" customFormat="1">
      <c r="A88" s="481" t="s">
        <v>7848</v>
      </c>
    </row>
    <row r="89" spans="1:1" s="933" customFormat="1">
      <c r="A89" s="481" t="s">
        <v>7849</v>
      </c>
    </row>
    <row r="90" spans="1:1" s="933" customFormat="1">
      <c r="A90" s="481" t="s">
        <v>7850</v>
      </c>
    </row>
  </sheetData>
  <mergeCells count="51">
    <mergeCell ref="A14:H14"/>
    <mergeCell ref="A47:H47"/>
    <mergeCell ref="A5:H5"/>
    <mergeCell ref="A23:H23"/>
    <mergeCell ref="A8:H8"/>
    <mergeCell ref="A22:H22"/>
    <mergeCell ref="A17:H17"/>
    <mergeCell ref="A40:H40"/>
    <mergeCell ref="A35:H35"/>
    <mergeCell ref="A29:H29"/>
    <mergeCell ref="A20:H20"/>
    <mergeCell ref="A38:H38"/>
    <mergeCell ref="A43:H43"/>
    <mergeCell ref="A51:H51"/>
    <mergeCell ref="A49:H49"/>
    <mergeCell ref="A45:H45"/>
    <mergeCell ref="A71:H71"/>
    <mergeCell ref="A33:H33"/>
    <mergeCell ref="A53:H53"/>
    <mergeCell ref="A36:H36"/>
    <mergeCell ref="A11:H11"/>
    <mergeCell ref="A9:H9"/>
    <mergeCell ref="A66:H66"/>
    <mergeCell ref="A46:H46"/>
    <mergeCell ref="A37:H37"/>
    <mergeCell ref="A27:H27"/>
    <mergeCell ref="A56:H56"/>
    <mergeCell ref="A50:H50"/>
    <mergeCell ref="A55:H55"/>
    <mergeCell ref="A52:H52"/>
    <mergeCell ref="A28:H28"/>
    <mergeCell ref="A44:H44"/>
    <mergeCell ref="A31:H31"/>
    <mergeCell ref="A34:H34"/>
    <mergeCell ref="A59:H59"/>
    <mergeCell ref="A48:H48"/>
    <mergeCell ref="A30:H30"/>
    <mergeCell ref="A39:H39"/>
    <mergeCell ref="A15:H15"/>
    <mergeCell ref="A1:H1"/>
    <mergeCell ref="A7:H7"/>
    <mergeCell ref="A25:H25"/>
    <mergeCell ref="A16:H16"/>
    <mergeCell ref="A41:H41"/>
    <mergeCell ref="A3:H3"/>
    <mergeCell ref="A21:H21"/>
    <mergeCell ref="A4:H4"/>
    <mergeCell ref="A10:H10"/>
    <mergeCell ref="A13:H13"/>
    <mergeCell ref="A19:H19"/>
    <mergeCell ref="A24:H24"/>
  </mergeCells>
  <pageMargins left="7.874015748031496E-2" right="0.15748031496062989" top="0.39370078740157483" bottom="0.39370078740157483" header="0.31496062992125978" footer="0.11811023622047249"/>
  <pageSetup paperSize="9" scale="10" fitToHeight="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8" tint="-0.249977111117893"/>
    <pageSetUpPr fitToPage="1"/>
  </sheetPr>
  <dimension ref="A1:AZ106"/>
  <sheetViews>
    <sheetView zoomScale="85" zoomScaleNormal="85" workbookViewId="0">
      <pane ySplit="3" topLeftCell="A4" activePane="bottomLeft" state="frozen"/>
      <selection activeCell="G29" sqref="G29"/>
      <selection pane="bottomLeft" activeCell="I26" sqref="I26"/>
    </sheetView>
  </sheetViews>
  <sheetFormatPr baseColWidth="10" defaultColWidth="9.140625" defaultRowHeight="15"/>
  <cols>
    <col min="1" max="1" width="6.28515625" style="934" customWidth="1"/>
    <col min="2" max="3" width="5.7109375" style="934" customWidth="1"/>
    <col min="4" max="4" width="6" style="934" customWidth="1"/>
    <col min="5" max="5" width="31.42578125" style="43" customWidth="1"/>
    <col min="6" max="6" width="28" style="43" customWidth="1"/>
    <col min="7" max="7" width="51.140625" style="43" customWidth="1"/>
    <col min="8" max="8" width="10.7109375" style="934" customWidth="1"/>
    <col min="9" max="9" width="11.140625" style="934" customWidth="1"/>
    <col min="10" max="11" width="10.5703125" style="934" customWidth="1"/>
    <col min="12" max="12" width="7.85546875" style="934" customWidth="1"/>
    <col min="13" max="13" width="7" style="934" customWidth="1"/>
    <col min="14" max="14" width="9.42578125" style="934" customWidth="1"/>
    <col min="15" max="15" width="9.85546875" style="934" customWidth="1"/>
    <col min="16" max="16" width="9.7109375" style="934" customWidth="1"/>
    <col min="17" max="17" width="11.85546875" style="934" customWidth="1"/>
    <col min="18" max="18" width="3.42578125" style="933" customWidth="1"/>
    <col min="19" max="46" width="9.140625" style="933" customWidth="1"/>
    <col min="47" max="52" width="9.140625" style="438" customWidth="1"/>
  </cols>
  <sheetData>
    <row r="1" spans="1:52" s="933" customFormat="1" ht="18.75" customHeight="1">
      <c r="D1" s="477"/>
      <c r="E1" s="477"/>
      <c r="F1" s="478" t="s">
        <v>7851</v>
      </c>
      <c r="G1" s="479"/>
      <c r="I1" s="440"/>
      <c r="J1" s="440" t="s">
        <v>7852</v>
      </c>
      <c r="K1" s="440"/>
    </row>
    <row r="2" spans="1:52" ht="55.5" customHeight="1">
      <c r="A2" s="420" t="s">
        <v>7853</v>
      </c>
      <c r="B2" s="419" t="s">
        <v>7854</v>
      </c>
      <c r="C2" s="421" t="s">
        <v>7855</v>
      </c>
      <c r="D2" s="829" t="s">
        <v>2044</v>
      </c>
      <c r="E2" s="829" t="s">
        <v>6714</v>
      </c>
      <c r="F2" s="829" t="s">
        <v>6715</v>
      </c>
      <c r="G2" s="829" t="s">
        <v>2181</v>
      </c>
      <c r="H2" s="829" t="s">
        <v>7856</v>
      </c>
      <c r="I2" s="829" t="s">
        <v>7857</v>
      </c>
      <c r="J2" s="419" t="s">
        <v>7858</v>
      </c>
      <c r="K2" s="421" t="s">
        <v>7859</v>
      </c>
      <c r="L2" s="419" t="s">
        <v>7860</v>
      </c>
      <c r="M2" s="421" t="s">
        <v>2534</v>
      </c>
      <c r="N2" s="419" t="s">
        <v>7861</v>
      </c>
      <c r="O2" s="421" t="s">
        <v>7862</v>
      </c>
      <c r="P2" s="420" t="s">
        <v>7863</v>
      </c>
      <c r="Q2" s="829" t="s">
        <v>6711</v>
      </c>
    </row>
    <row r="3" spans="1:52">
      <c r="A3" s="405" t="s">
        <v>2535</v>
      </c>
      <c r="B3" s="405" t="s">
        <v>2535</v>
      </c>
      <c r="C3" s="405" t="s">
        <v>2535</v>
      </c>
      <c r="D3" s="405" t="s">
        <v>2090</v>
      </c>
      <c r="E3" s="405" t="s">
        <v>2086</v>
      </c>
      <c r="F3" s="405" t="s">
        <v>6728</v>
      </c>
      <c r="G3" s="405" t="s">
        <v>6729</v>
      </c>
      <c r="H3" s="429" t="str">
        <f>IFERROR(I3/5,"")</f>
        <v/>
      </c>
      <c r="I3" s="429" t="e">
        <f>SUMPRODUCT(($Q$4:$Q$106),('ANALYSE - ERP =&gt; SOUS-SEGMENT'!$EX$8:$EX$150))</f>
        <v>#REF!</v>
      </c>
      <c r="J3" s="429" t="e">
        <f>SUMPRODUCT(($Q$4:$Q$106),('ANALYSE - ERP =&gt; SOUS-SEGMENT'!$EY$8:$EY$150))</f>
        <v>#REF!</v>
      </c>
      <c r="K3" s="429" t="e">
        <f>SUMPRODUCT(($Q$4:$Q$106),('ANALYSE - ERP =&gt; SOUS-SEGMENT'!$EZ$8:$EZ$150))</f>
        <v>#REF!</v>
      </c>
      <c r="L3" s="790" t="str">
        <f>IFERROR(J3/I3,"")</f>
        <v/>
      </c>
      <c r="M3" s="790" t="str">
        <f>IFERROR(K3/I3,"")</f>
        <v/>
      </c>
      <c r="N3" s="918" t="str">
        <f>IFERROR(20*SUMPRODUCT(($Q$4:$Q$106),('ANALYSE - ERP =&gt; SOUS-SEGMENT'!$FU$8:$FU$150),('ANALYSE - ERP =&gt; SOUS-SEGMENT'!$EY$8:$EY$150))/SUMPRODUCT(($Q$4:$Q$106),('ANALYSE - ERP =&gt; SOUS-SEGMENT'!$EY$8:$EY$150)),"")</f>
        <v/>
      </c>
      <c r="O3" s="918" t="str">
        <f>IFERROR(20*SUMPRODUCT(($Q$4:$Q$106),('ANALYSE - ERP =&gt; SOUS-SEGMENT'!$FW$8:$FW$150),('ANALYSE - ERP =&gt; SOUS-SEGMENT'!$EZ$8:$EZ$150))/SUMPRODUCT(($Q$4:$Q$106),('ANALYSE - ERP =&gt; SOUS-SEGMENT'!$EZ$8:$EZ$150)),"")</f>
        <v/>
      </c>
      <c r="P3" s="918" t="str">
        <f>IFERROR(20*SUMPRODUCT(($Q$4:$Q$106),('ANALYSE - ERP =&gt; SOUS-SEGMENT'!$FS$8:$FS$150),('ANALYSE - ERP =&gt; SOUS-SEGMENT'!$EX$8:$EX$150))/SUMPRODUCT(($Q$4:$Q$106),('ANALYSE - ERP =&gt; SOUS-SEGMENT'!$EX$8:$EX$150)),"")</f>
        <v/>
      </c>
      <c r="Q3" s="428">
        <f>SUM('ANALYSE - ERP =&gt; SOUS-SEGMENT'!$Q$8:$Q$150)</f>
        <v>137</v>
      </c>
    </row>
    <row r="4" spans="1:52" ht="15" customHeight="1">
      <c r="A4" s="26">
        <v>1</v>
      </c>
      <c r="B4" s="26">
        <v>1</v>
      </c>
      <c r="C4" s="26">
        <v>1</v>
      </c>
      <c r="D4" s="422">
        <f>'ANALYSE - ERP =&gt; SOUS-SEGMENT'!$A$75</f>
        <v>68</v>
      </c>
      <c r="E4" s="408" t="str">
        <f>'ANALYSE - ERP =&gt; SOUS-SEGMENT'!$B$75</f>
        <v>Commerce, Restauration &amp; Loisirs</v>
      </c>
      <c r="F4" s="408" t="str">
        <f>'ANALYSE - ERP =&gt; SOUS-SEGMENT'!$C$75</f>
        <v>Restauration / boissons</v>
      </c>
      <c r="G4" s="408" t="str">
        <f>'ANALYSE - ERP =&gt; SOUS-SEGMENT'!$D$75</f>
        <v>Restaurants
(Hors établissements altitude, flottant, armée)</v>
      </c>
      <c r="H4" s="424">
        <f t="shared" ref="H4:H35" si="0">I4/5</f>
        <v>67852.5786960119</v>
      </c>
      <c r="I4" s="447">
        <f>'ANALYSE - ERP =&gt; SOUS-SEGMENT'!$EX$75</f>
        <v>339262.89348005952</v>
      </c>
      <c r="J4" s="427">
        <f>'ANALYSE - ERP =&gt; SOUS-SEGMENT'!$EY$75</f>
        <v>296802.20598005952</v>
      </c>
      <c r="K4" s="427">
        <f>'ANALYSE - ERP =&gt; SOUS-SEGMENT'!$EZ$75</f>
        <v>42460.6875</v>
      </c>
      <c r="L4" s="787">
        <f>'ANALYSE - ERP =&gt; SOUS-SEGMENT'!$EV$75</f>
        <v>0.87484429238797479</v>
      </c>
      <c r="M4" s="787">
        <f>'ANALYSE - ERP =&gt; SOUS-SEGMENT'!$EW$75</f>
        <v>0.12515570761202527</v>
      </c>
      <c r="N4" s="916">
        <f>20*'ANALYSE - ERP =&gt; SOUS-SEGMENT'!$FU$75</f>
        <v>82.6</v>
      </c>
      <c r="O4" s="916">
        <f>20*'ANALYSE - ERP =&gt; SOUS-SEGMENT'!$FW$75</f>
        <v>49.800000000000004</v>
      </c>
      <c r="P4" s="916">
        <f>20*'ANALYSE - ERP =&gt; SOUS-SEGMENT'!$FS$75</f>
        <v>70.8</v>
      </c>
      <c r="Q4" s="430">
        <f>'ANALYSE - ERP =&gt; SOUS-SEGMENT'!$Q$75</f>
        <v>1</v>
      </c>
      <c r="S4" s="443" t="s">
        <v>7864</v>
      </c>
      <c r="Z4" s="443" t="s">
        <v>7865</v>
      </c>
    </row>
    <row r="5" spans="1:52" ht="15" customHeight="1">
      <c r="A5" s="26">
        <v>2</v>
      </c>
      <c r="B5" s="26">
        <v>2</v>
      </c>
      <c r="C5" s="26">
        <v>3</v>
      </c>
      <c r="D5" s="422">
        <f>'ANALYSE - ERP =&gt; SOUS-SEGMENT'!$A$58</f>
        <v>51</v>
      </c>
      <c r="E5" s="409" t="str">
        <f>'ANALYSE - ERP =&gt; SOUS-SEGMENT'!$B$58</f>
        <v>Santé &amp; Médico-social</v>
      </c>
      <c r="F5" s="409" t="str">
        <f>'ANALYSE - ERP =&gt; SOUS-SEGMENT'!$C$58</f>
        <v>Médico-social</v>
      </c>
      <c r="G5" s="409" t="str">
        <f>'ANALYSE - ERP =&gt; SOUS-SEGMENT'!$D$58</f>
        <v>EHPAD</v>
      </c>
      <c r="H5" s="424">
        <f t="shared" si="0"/>
        <v>101320.26905127785</v>
      </c>
      <c r="I5" s="447">
        <f>'ANALYSE - ERP =&gt; SOUS-SEGMENT'!$EX$58</f>
        <v>506601.34525638924</v>
      </c>
      <c r="J5" s="427">
        <f>'ANALYSE - ERP =&gt; SOUS-SEGMENT'!$EY$58</f>
        <v>420961.63585638924</v>
      </c>
      <c r="K5" s="427">
        <f>'ANALYSE - ERP =&gt; SOUS-SEGMENT'!$EZ$58</f>
        <v>85639.709399999992</v>
      </c>
      <c r="L5" s="787">
        <f>'ANALYSE - ERP =&gt; SOUS-SEGMENT'!$EV$58</f>
        <v>0.83095246350627427</v>
      </c>
      <c r="M5" s="787">
        <f>'ANALYSE - ERP =&gt; SOUS-SEGMENT'!$EW$58</f>
        <v>0.1690475364937257</v>
      </c>
      <c r="N5" s="916">
        <f>20*'ANALYSE - ERP =&gt; SOUS-SEGMENT'!$FU$58</f>
        <v>85.600000000000009</v>
      </c>
      <c r="O5" s="916">
        <f>20*'ANALYSE - ERP =&gt; SOUS-SEGMENT'!$FW$58</f>
        <v>53.4</v>
      </c>
      <c r="P5" s="916">
        <f>20*'ANALYSE - ERP =&gt; SOUS-SEGMENT'!$FS$58</f>
        <v>71.2</v>
      </c>
      <c r="Q5" s="430">
        <f>'ANALYSE - ERP =&gt; SOUS-SEGMENT'!$Q$58</f>
        <v>1</v>
      </c>
    </row>
    <row r="6" spans="1:52" ht="15" customHeight="1">
      <c r="A6" s="26">
        <v>3</v>
      </c>
      <c r="B6" s="26">
        <v>3</v>
      </c>
      <c r="C6" s="26">
        <v>2</v>
      </c>
      <c r="D6" s="422">
        <f>'ANALYSE - ERP =&gt; SOUS-SEGMENT'!$A$82</f>
        <v>75</v>
      </c>
      <c r="E6" s="416" t="str">
        <f>'ANALYSE - ERP =&gt; SOUS-SEGMENT'!$B$82</f>
        <v>Tertiaire &amp; Industriel</v>
      </c>
      <c r="F6" s="416" t="str">
        <f>'ANALYSE - ERP =&gt; SOUS-SEGMENT'!$C$82</f>
        <v>Bureaux</v>
      </c>
      <c r="G6" s="416" t="str">
        <f>'ANALYSE - ERP =&gt; SOUS-SEGMENT'!$D$82</f>
        <v>Bureaux Tertiaire Privé (&gt;50 salariés)
(hors usines et logistique )</v>
      </c>
      <c r="H6" s="424">
        <f t="shared" si="0"/>
        <v>78410.244330623798</v>
      </c>
      <c r="I6" s="447">
        <f>'ANALYSE - ERP =&gt; SOUS-SEGMENT'!$EX$82</f>
        <v>392051.22165311902</v>
      </c>
      <c r="J6" s="427">
        <f>'ANALYSE - ERP =&gt; SOUS-SEGMENT'!$EY$82</f>
        <v>336224.600403119</v>
      </c>
      <c r="K6" s="427">
        <f>'ANALYSE - ERP =&gt; SOUS-SEGMENT'!$EZ$82</f>
        <v>55826.621250000004</v>
      </c>
      <c r="L6" s="787">
        <f>'ANALYSE - ERP =&gt; SOUS-SEGMENT'!$EV$82</f>
        <v>0.85760375643110587</v>
      </c>
      <c r="M6" s="787">
        <f>'ANALYSE - ERP =&gt; SOUS-SEGMENT'!$EW$82</f>
        <v>0.14239624356889405</v>
      </c>
      <c r="N6" s="916">
        <f>20*'ANALYSE - ERP =&gt; SOUS-SEGMENT'!$FU$82</f>
        <v>77.400000000000006</v>
      </c>
      <c r="O6" s="916">
        <f>20*'ANALYSE - ERP =&gt; SOUS-SEGMENT'!$FW$82</f>
        <v>42.400000000000006</v>
      </c>
      <c r="P6" s="916">
        <f>20*'ANALYSE - ERP =&gt; SOUS-SEGMENT'!$FS$82</f>
        <v>64.800000000000011</v>
      </c>
      <c r="Q6" s="430">
        <f>'ANALYSE - ERP =&gt; SOUS-SEGMENT'!$Q$82</f>
        <v>1</v>
      </c>
      <c r="S6" s="933" t="s">
        <v>7866</v>
      </c>
      <c r="Z6" s="933" t="s">
        <v>7867</v>
      </c>
    </row>
    <row r="7" spans="1:52" ht="15" customHeight="1">
      <c r="A7" s="26">
        <v>4</v>
      </c>
      <c r="B7" s="26">
        <v>4</v>
      </c>
      <c r="C7" s="26">
        <v>6</v>
      </c>
      <c r="D7" s="422">
        <f>'ANALYSE - ERP =&gt; SOUS-SEGMENT'!$A$21</f>
        <v>14</v>
      </c>
      <c r="E7" s="410" t="str">
        <f>'ANALYSE - ERP =&gt; SOUS-SEGMENT'!$B$21</f>
        <v>Sports &amp; Loisirs</v>
      </c>
      <c r="F7" s="410" t="str">
        <f>'ANALYSE - ERP =&gt; SOUS-SEGMENT'!$C$21</f>
        <v>Sport couvert / Thermalisme / Bien-être</v>
      </c>
      <c r="G7" s="410" t="str">
        <f>'ANALYSE - ERP =&gt; SOUS-SEGMENT'!$D$21</f>
        <v>Gymnases / salles multisports
(hors scolaire, mais gymnase municipaux inclus)</v>
      </c>
      <c r="H7" s="424">
        <f t="shared" si="0"/>
        <v>71456.846326250001</v>
      </c>
      <c r="I7" s="447">
        <f>'ANALYSE - ERP =&gt; SOUS-SEGMENT'!$EX$21</f>
        <v>357284.23163125</v>
      </c>
      <c r="J7" s="427">
        <f>'ANALYSE - ERP =&gt; SOUS-SEGMENT'!$EY$21</f>
        <v>283891.77613125002</v>
      </c>
      <c r="K7" s="427">
        <f>'ANALYSE - ERP =&gt; SOUS-SEGMENT'!$EZ$21</f>
        <v>73392.455499999996</v>
      </c>
      <c r="L7" s="787">
        <f>'ANALYSE - ERP =&gt; SOUS-SEGMENT'!$EV$21</f>
        <v>0.79458243884732171</v>
      </c>
      <c r="M7" s="787">
        <f>'ANALYSE - ERP =&gt; SOUS-SEGMENT'!$EW$21</f>
        <v>0.20541756115267837</v>
      </c>
      <c r="N7" s="916">
        <f>20*'ANALYSE - ERP =&gt; SOUS-SEGMENT'!$FU$21</f>
        <v>83</v>
      </c>
      <c r="O7" s="916">
        <f>20*'ANALYSE - ERP =&gt; SOUS-SEGMENT'!$FW$21</f>
        <v>49.2</v>
      </c>
      <c r="P7" s="916">
        <f>20*'ANALYSE - ERP =&gt; SOUS-SEGMENT'!$FS$21</f>
        <v>67.8</v>
      </c>
      <c r="Q7" s="430">
        <f>'ANALYSE - ERP =&gt; SOUS-SEGMENT'!$Q$21</f>
        <v>1</v>
      </c>
    </row>
    <row r="8" spans="1:52" ht="15" customHeight="1">
      <c r="A8" s="26">
        <v>5</v>
      </c>
      <c r="B8" s="26">
        <v>5</v>
      </c>
      <c r="C8" s="26">
        <v>10</v>
      </c>
      <c r="D8" s="422">
        <f>'ANALYSE - ERP =&gt; SOUS-SEGMENT'!$A$67</f>
        <v>60</v>
      </c>
      <c r="E8" s="414" t="str">
        <f>'ANALYSE - ERP =&gt; SOUS-SEGMENT'!$B$67</f>
        <v>Culture, Patrimoine &amp; Evénementiel</v>
      </c>
      <c r="F8" s="414" t="str">
        <f>'ANALYSE - ERP =&gt; SOUS-SEGMENT'!$C$67</f>
        <v>Culture / spectacle</v>
      </c>
      <c r="G8" s="414" t="str">
        <f>'ANALYSE - ERP =&gt; SOUS-SEGMENT'!$D$67</f>
        <v>Salles polyvalentes / Salles des fêtes</v>
      </c>
      <c r="H8" s="424">
        <f t="shared" si="0"/>
        <v>31594.02699932285</v>
      </c>
      <c r="I8" s="447">
        <f>'ANALYSE - ERP =&gt; SOUS-SEGMENT'!$EX$67</f>
        <v>157970.13499661424</v>
      </c>
      <c r="J8" s="427">
        <f>'ANALYSE - ERP =&gt; SOUS-SEGMENT'!$EY$67</f>
        <v>129930.50299661423</v>
      </c>
      <c r="K8" s="427">
        <f>'ANALYSE - ERP =&gt; SOUS-SEGMENT'!$EZ$67</f>
        <v>28039.632000000001</v>
      </c>
      <c r="L8" s="787">
        <f>'ANALYSE - ERP =&gt; SOUS-SEGMENT'!$EV$67</f>
        <v>0.82250042388961064</v>
      </c>
      <c r="M8" s="787">
        <f>'ANALYSE - ERP =&gt; SOUS-SEGMENT'!$EW$67</f>
        <v>0.1774995761103893</v>
      </c>
      <c r="N8" s="916">
        <f>20*'ANALYSE - ERP =&gt; SOUS-SEGMENT'!$FU$67</f>
        <v>73.400000000000006</v>
      </c>
      <c r="O8" s="916">
        <f>20*'ANALYSE - ERP =&gt; SOUS-SEGMENT'!$FW$67</f>
        <v>40</v>
      </c>
      <c r="P8" s="916">
        <f>20*'ANALYSE - ERP =&gt; SOUS-SEGMENT'!$FS$67</f>
        <v>61.4</v>
      </c>
      <c r="Q8" s="430">
        <f>'ANALYSE - ERP =&gt; SOUS-SEGMENT'!$Q$67</f>
        <v>1</v>
      </c>
      <c r="S8" s="933" t="s">
        <v>7868</v>
      </c>
      <c r="Z8" s="933" t="s">
        <v>7868</v>
      </c>
    </row>
    <row r="9" spans="1:52" ht="15" customHeight="1">
      <c r="A9" s="26">
        <v>6</v>
      </c>
      <c r="B9" s="26">
        <v>6</v>
      </c>
      <c r="C9" s="26">
        <v>9</v>
      </c>
      <c r="D9" s="422">
        <f>'ANALYSE - ERP =&gt; SOUS-SEGMENT'!$A$101</f>
        <v>94</v>
      </c>
      <c r="E9" s="415" t="str">
        <f>'ANALYSE - ERP =&gt; SOUS-SEGMENT'!$B$101</f>
        <v>Culte, Vie civique &amp; Services publics</v>
      </c>
      <c r="F9" s="415" t="str">
        <f>'ANALYSE - ERP =&gt; SOUS-SEGMENT'!$C$101</f>
        <v>Administrations / services publics</v>
      </c>
      <c r="G9" s="415" t="str">
        <f>'ANALYSE - ERP =&gt; SOUS-SEGMENT'!$D$101</f>
        <v>Mairies / hôtels de ville</v>
      </c>
      <c r="H9" s="424">
        <f t="shared" si="0"/>
        <v>16273.387488644676</v>
      </c>
      <c r="I9" s="447">
        <f>'ANALYSE - ERP =&gt; SOUS-SEGMENT'!$EX$101</f>
        <v>81366.937443223374</v>
      </c>
      <c r="J9" s="427">
        <f>'ANALYSE - ERP =&gt; SOUS-SEGMENT'!$EY$101</f>
        <v>71256.516003223369</v>
      </c>
      <c r="K9" s="427">
        <f>'ANALYSE - ERP =&gt; SOUS-SEGMENT'!$EZ$101</f>
        <v>10110.421439999998</v>
      </c>
      <c r="L9" s="787">
        <f>'ANALYSE - ERP =&gt; SOUS-SEGMENT'!$EV$101</f>
        <v>0.87574287840125598</v>
      </c>
      <c r="M9" s="787">
        <f>'ANALYSE - ERP =&gt; SOUS-SEGMENT'!$EW$101</f>
        <v>0.12425712159874394</v>
      </c>
      <c r="N9" s="916">
        <f>20*'ANALYSE - ERP =&gt; SOUS-SEGMENT'!$FU$101</f>
        <v>71.399999999999991</v>
      </c>
      <c r="O9" s="916">
        <f>20*'ANALYSE - ERP =&gt; SOUS-SEGMENT'!$FW$101</f>
        <v>42.800000000000004</v>
      </c>
      <c r="P9" s="916">
        <f>20*'ANALYSE - ERP =&gt; SOUS-SEGMENT'!$FS$101</f>
        <v>61.2</v>
      </c>
      <c r="Q9" s="430">
        <f>'ANALYSE - ERP =&gt; SOUS-SEGMENT'!$Q$101</f>
        <v>1</v>
      </c>
      <c r="S9" s="444"/>
      <c r="Z9" s="444"/>
    </row>
    <row r="10" spans="1:52" ht="15" customHeight="1">
      <c r="A10" s="26">
        <v>7</v>
      </c>
      <c r="B10" s="26">
        <v>7</v>
      </c>
      <c r="C10" s="26">
        <v>4</v>
      </c>
      <c r="D10" s="422">
        <f>'ANALYSE - ERP =&gt; SOUS-SEGMENT'!$A$77</f>
        <v>70</v>
      </c>
      <c r="E10" s="408" t="str">
        <f>'ANALYSE - ERP =&gt; SOUS-SEGMENT'!$B$77</f>
        <v>Commerce, Restauration &amp; Loisirs</v>
      </c>
      <c r="F10" s="408" t="str">
        <f>'ANALYSE - ERP =&gt; SOUS-SEGMENT'!$C$77</f>
        <v>Restauration / boissons</v>
      </c>
      <c r="G10" s="408" t="str">
        <f>'ANALYSE - ERP =&gt; SOUS-SEGMENT'!$D$77</f>
        <v>Fast-food / Cafétérias / Food courts</v>
      </c>
      <c r="H10" s="424">
        <f t="shared" si="0"/>
        <v>49857.718629435149</v>
      </c>
      <c r="I10" s="447">
        <f>'ANALYSE - ERP =&gt; SOUS-SEGMENT'!$EX$77</f>
        <v>249288.59314717574</v>
      </c>
      <c r="J10" s="427">
        <f>'ANALYSE - ERP =&gt; SOUS-SEGMENT'!$EY$77</f>
        <v>176672.70992217574</v>
      </c>
      <c r="K10" s="427">
        <f>'ANALYSE - ERP =&gt; SOUS-SEGMENT'!$EZ$77</f>
        <v>72615.883225000012</v>
      </c>
      <c r="L10" s="787">
        <f>'ANALYSE - ERP =&gt; SOUS-SEGMENT'!$EV$77</f>
        <v>0.70870755734046431</v>
      </c>
      <c r="M10" s="787">
        <f>'ANALYSE - ERP =&gt; SOUS-SEGMENT'!$EW$77</f>
        <v>0.29129244265953569</v>
      </c>
      <c r="N10" s="916">
        <f>20*'ANALYSE - ERP =&gt; SOUS-SEGMENT'!$FU$77</f>
        <v>83.2</v>
      </c>
      <c r="O10" s="916">
        <f>20*'ANALYSE - ERP =&gt; SOUS-SEGMENT'!$FW$77</f>
        <v>57.199999999999996</v>
      </c>
      <c r="P10" s="916">
        <f>20*'ANALYSE - ERP =&gt; SOUS-SEGMENT'!$FS$77</f>
        <v>71.599999999999994</v>
      </c>
      <c r="Q10" s="430">
        <f>'ANALYSE - ERP =&gt; SOUS-SEGMENT'!$Q$77</f>
        <v>1</v>
      </c>
      <c r="S10" s="444" t="s">
        <v>7869</v>
      </c>
      <c r="Z10" s="444" t="s">
        <v>7870</v>
      </c>
    </row>
    <row r="11" spans="1:52" s="45" customFormat="1" ht="15" customHeight="1">
      <c r="A11" s="26">
        <v>8</v>
      </c>
      <c r="B11" s="26">
        <v>8</v>
      </c>
      <c r="C11" s="26">
        <v>5</v>
      </c>
      <c r="D11" s="422">
        <f>'ANALYSE - ERP =&gt; SOUS-SEGMENT'!$A$12</f>
        <v>5</v>
      </c>
      <c r="E11" s="411" t="str">
        <f>'ANALYSE - ERP =&gt; SOUS-SEGMENT'!$B$12</f>
        <v>Enfance, Enseignement, Jeunesse &amp; Formation</v>
      </c>
      <c r="F11" s="411" t="str">
        <f>'ANALYSE - ERP =&gt; SOUS-SEGMENT'!$C$12</f>
        <v>Enseignement scolaire</v>
      </c>
      <c r="G11" s="411" t="str">
        <f>'ANALYSE - ERP =&gt; SOUS-SEGMENT'!$D$12</f>
        <v>Écoles primaires</v>
      </c>
      <c r="H11" s="424">
        <f t="shared" si="0"/>
        <v>48675.594535349766</v>
      </c>
      <c r="I11" s="447">
        <f>'ANALYSE - ERP =&gt; SOUS-SEGMENT'!$EX$12</f>
        <v>243377.97267674882</v>
      </c>
      <c r="J11" s="427">
        <f>'ANALYSE - ERP =&gt; SOUS-SEGMENT'!$EY$12</f>
        <v>180782.79456314881</v>
      </c>
      <c r="K11" s="427">
        <f>'ANALYSE - ERP =&gt; SOUS-SEGMENT'!$EZ$12</f>
        <v>62595.178113599999</v>
      </c>
      <c r="L11" s="787">
        <f>'ANALYSE - ERP =&gt; SOUS-SEGMENT'!$EV$12</f>
        <v>0.742806723939894</v>
      </c>
      <c r="M11" s="787">
        <f>'ANALYSE - ERP =&gt; SOUS-SEGMENT'!$EW$12</f>
        <v>0.257193276060106</v>
      </c>
      <c r="N11" s="916">
        <f>20*'ANALYSE - ERP =&gt; SOUS-SEGMENT'!$FU$12</f>
        <v>85.199999999999989</v>
      </c>
      <c r="O11" s="916">
        <f>20*'ANALYSE - ERP =&gt; SOUS-SEGMENT'!$FW$12</f>
        <v>39.4</v>
      </c>
      <c r="P11" s="916">
        <f>20*'ANALYSE - ERP =&gt; SOUS-SEGMENT'!$FS$12</f>
        <v>64.599999999999994</v>
      </c>
      <c r="Q11" s="430">
        <f>'ANALYSE - ERP =&gt; SOUS-SEGMENT'!$Q$12</f>
        <v>1</v>
      </c>
      <c r="R11" s="685"/>
      <c r="S11" s="444" t="s">
        <v>7871</v>
      </c>
      <c r="T11" s="685"/>
      <c r="U11" s="685"/>
      <c r="V11" s="685"/>
      <c r="W11" s="685"/>
      <c r="X11" s="685"/>
      <c r="Y11" s="685"/>
      <c r="Z11" s="444" t="s">
        <v>7872</v>
      </c>
      <c r="AA11" s="933"/>
      <c r="AB11" s="933"/>
      <c r="AC11" s="933"/>
      <c r="AD11" s="933"/>
      <c r="AE11" s="933"/>
      <c r="AF11" s="685"/>
      <c r="AG11" s="685"/>
      <c r="AH11" s="685"/>
      <c r="AI11" s="685"/>
      <c r="AJ11" s="685"/>
      <c r="AK11" s="685"/>
      <c r="AL11" s="685"/>
      <c r="AM11" s="685"/>
      <c r="AN11" s="685"/>
      <c r="AO11" s="685"/>
      <c r="AP11" s="685"/>
      <c r="AQ11" s="685"/>
      <c r="AR11" s="685"/>
      <c r="AS11" s="685"/>
      <c r="AT11" s="685"/>
      <c r="AU11" s="442"/>
      <c r="AV11" s="442"/>
      <c r="AW11" s="442"/>
      <c r="AX11" s="442"/>
      <c r="AY11" s="442"/>
      <c r="AZ11" s="442"/>
    </row>
    <row r="12" spans="1:52" ht="15" customHeight="1">
      <c r="A12" s="26">
        <v>9</v>
      </c>
      <c r="B12" s="26">
        <v>9</v>
      </c>
      <c r="C12" s="26">
        <v>20</v>
      </c>
      <c r="D12" s="422">
        <f>'ANALYSE - ERP =&gt; SOUS-SEGMENT'!$A$76</f>
        <v>69</v>
      </c>
      <c r="E12" s="408" t="str">
        <f>'ANALYSE - ERP =&gt; SOUS-SEGMENT'!$B$76</f>
        <v>Commerce, Restauration &amp; Loisirs</v>
      </c>
      <c r="F12" s="408" t="str">
        <f>'ANALYSE - ERP =&gt; SOUS-SEGMENT'!$C$76</f>
        <v>Restauration / boissons</v>
      </c>
      <c r="G12" s="408" t="str">
        <f>'ANALYSE - ERP =&gt; SOUS-SEGMENT'!$D$76</f>
        <v>Cafés / bars / brasseries</v>
      </c>
      <c r="H12" s="424">
        <f t="shared" si="0"/>
        <v>34938.304252709589</v>
      </c>
      <c r="I12" s="447">
        <f>'ANALYSE - ERP =&gt; SOUS-SEGMENT'!$EX$76</f>
        <v>174691.52126354794</v>
      </c>
      <c r="J12" s="427">
        <f>'ANALYSE - ERP =&gt; SOUS-SEGMENT'!$EY$76</f>
        <v>151356.15503354796</v>
      </c>
      <c r="K12" s="427">
        <f>'ANALYSE - ERP =&gt; SOUS-SEGMENT'!$EZ$76</f>
        <v>23335.36623</v>
      </c>
      <c r="L12" s="787">
        <f>'ANALYSE - ERP =&gt; SOUS-SEGMENT'!$EV$76</f>
        <v>0.86641958315312195</v>
      </c>
      <c r="M12" s="787">
        <f>'ANALYSE - ERP =&gt; SOUS-SEGMENT'!$EW$76</f>
        <v>0.13358041684687808</v>
      </c>
      <c r="N12" s="916">
        <f>20*'ANALYSE - ERP =&gt; SOUS-SEGMENT'!$FU$76</f>
        <v>83.4</v>
      </c>
      <c r="O12" s="916">
        <f>20*'ANALYSE - ERP =&gt; SOUS-SEGMENT'!$FW$76</f>
        <v>47.400000000000006</v>
      </c>
      <c r="P12" s="916">
        <f>20*'ANALYSE - ERP =&gt; SOUS-SEGMENT'!$FS$76</f>
        <v>67.2</v>
      </c>
      <c r="Q12" s="430">
        <f>'ANALYSE - ERP =&gt; SOUS-SEGMENT'!$Q$76</f>
        <v>1</v>
      </c>
      <c r="S12" s="444" t="s">
        <v>7873</v>
      </c>
      <c r="Z12" s="444" t="s">
        <v>7874</v>
      </c>
    </row>
    <row r="13" spans="1:52" ht="15" customHeight="1">
      <c r="A13" s="26">
        <v>10</v>
      </c>
      <c r="B13" s="26">
        <v>11</v>
      </c>
      <c r="C13" s="26">
        <v>11</v>
      </c>
      <c r="D13" s="422">
        <f>'ANALYSE - ERP =&gt; SOUS-SEGMENT'!$A$27</f>
        <v>20</v>
      </c>
      <c r="E13" s="410" t="str">
        <f>'ANALYSE - ERP =&gt; SOUS-SEGMENT'!$B$27</f>
        <v>Sports &amp; Loisirs</v>
      </c>
      <c r="F13" s="410" t="str">
        <f>'ANALYSE - ERP =&gt; SOUS-SEGMENT'!$C$27</f>
        <v>Sport de plein air</v>
      </c>
      <c r="G13" s="410" t="str">
        <f>'ANALYSE - ERP =&gt; SOUS-SEGMENT'!$D$27</f>
        <v>Terrains de sport
(Hors scolaire, sans tribune)</v>
      </c>
      <c r="H13" s="424">
        <f t="shared" si="0"/>
        <v>68661.201461178571</v>
      </c>
      <c r="I13" s="447">
        <f>'ANALYSE - ERP =&gt; SOUS-SEGMENT'!$EX$27</f>
        <v>343306.00730589288</v>
      </c>
      <c r="J13" s="427">
        <f>'ANALYSE - ERP =&gt; SOUS-SEGMENT'!$EY$27</f>
        <v>278591.63730589289</v>
      </c>
      <c r="K13" s="427">
        <f>'ANALYSE - ERP =&gt; SOUS-SEGMENT'!$EZ$27</f>
        <v>64714.37</v>
      </c>
      <c r="L13" s="787">
        <f>'ANALYSE - ERP =&gt; SOUS-SEGMENT'!$EV$27</f>
        <v>0.81149654062901921</v>
      </c>
      <c r="M13" s="787">
        <f>'ANALYSE - ERP =&gt; SOUS-SEGMENT'!$EW$27</f>
        <v>0.18850345937098076</v>
      </c>
      <c r="N13" s="916">
        <f>20*'ANALYSE - ERP =&gt; SOUS-SEGMENT'!$FU$27</f>
        <v>89.800000000000011</v>
      </c>
      <c r="O13" s="916">
        <f>20*'ANALYSE - ERP =&gt; SOUS-SEGMENT'!$FW$27</f>
        <v>40</v>
      </c>
      <c r="P13" s="916">
        <f>20*'ANALYSE - ERP =&gt; SOUS-SEGMENT'!$FS$27</f>
        <v>71.8</v>
      </c>
      <c r="Q13" s="430">
        <f>'ANALYSE - ERP =&gt; SOUS-SEGMENT'!$Q$27</f>
        <v>1</v>
      </c>
      <c r="S13" s="444" t="s">
        <v>7875</v>
      </c>
      <c r="Z13" s="444" t="s">
        <v>7876</v>
      </c>
    </row>
    <row r="14" spans="1:52" ht="15" customHeight="1">
      <c r="A14" s="26">
        <v>11</v>
      </c>
      <c r="B14" s="26">
        <v>13</v>
      </c>
      <c r="C14" s="26">
        <v>7</v>
      </c>
      <c r="D14" s="422">
        <f>'ANALYSE - ERP =&gt; SOUS-SEGMENT'!$A$29</f>
        <v>22</v>
      </c>
      <c r="E14" s="410" t="str">
        <f>'ANALYSE - ERP =&gt; SOUS-SEGMENT'!$B$29</f>
        <v>Sports &amp; Loisirs</v>
      </c>
      <c r="F14" s="410" t="str">
        <f>'ANALYSE - ERP =&gt; SOUS-SEGMENT'!$C$29</f>
        <v>Sport de plein air</v>
      </c>
      <c r="G14" s="410" t="str">
        <f>'ANALYSE - ERP =&gt; SOUS-SEGMENT'!$D$29</f>
        <v xml:space="preserve">Grands stades avec tribunes
(Type football/rugby) </v>
      </c>
      <c r="H14" s="424">
        <f t="shared" si="0"/>
        <v>8161.7360123919188</v>
      </c>
      <c r="I14" s="447">
        <f>'ANALYSE - ERP =&gt; SOUS-SEGMENT'!$EX$29</f>
        <v>40808.680061959596</v>
      </c>
      <c r="J14" s="427">
        <f>'ANALYSE - ERP =&gt; SOUS-SEGMENT'!$EY$29</f>
        <v>32441.893061959596</v>
      </c>
      <c r="K14" s="427">
        <f>'ANALYSE - ERP =&gt; SOUS-SEGMENT'!$EZ$29</f>
        <v>8366.7870000000003</v>
      </c>
      <c r="L14" s="787">
        <f>'ANALYSE - ERP =&gt; SOUS-SEGMENT'!$EV$29</f>
        <v>0.7949753094857086</v>
      </c>
      <c r="M14" s="787">
        <f>'ANALYSE - ERP =&gt; SOUS-SEGMENT'!$EW$29</f>
        <v>0.2050246905142914</v>
      </c>
      <c r="N14" s="916">
        <f>20*'ANALYSE - ERP =&gt; SOUS-SEGMENT'!$FU$29</f>
        <v>82.4</v>
      </c>
      <c r="O14" s="916">
        <f>20*'ANALYSE - ERP =&gt; SOUS-SEGMENT'!$FW$29</f>
        <v>50</v>
      </c>
      <c r="P14" s="916">
        <f>20*'ANALYSE - ERP =&gt; SOUS-SEGMENT'!$FS$29</f>
        <v>67.8</v>
      </c>
      <c r="Q14" s="430">
        <f>'ANALYSE - ERP =&gt; SOUS-SEGMENT'!$Q$29</f>
        <v>1</v>
      </c>
      <c r="S14" s="444" t="s">
        <v>7877</v>
      </c>
    </row>
    <row r="15" spans="1:52" ht="15" customHeight="1">
      <c r="A15" s="26">
        <v>12</v>
      </c>
      <c r="B15" s="26">
        <v>10</v>
      </c>
      <c r="C15" s="26">
        <v>23</v>
      </c>
      <c r="D15" s="422">
        <f>'ANALYSE - ERP =&gt; SOUS-SEGMENT'!$A$113</f>
        <v>106</v>
      </c>
      <c r="E15" s="415" t="str">
        <f>'ANALYSE - ERP =&gt; SOUS-SEGMENT'!$B$113</f>
        <v>Culte, Vie civique &amp; Services publics</v>
      </c>
      <c r="F15" s="415" t="str">
        <f>'ANALYSE - ERP =&gt; SOUS-SEGMENT'!$C$113</f>
        <v>Culte</v>
      </c>
      <c r="G15" s="415" t="str">
        <f>'ANALYSE - ERP =&gt; SOUS-SEGMENT'!$D$113</f>
        <v>Églises, cathédrales, basiliques et chapelles ouvertes au public</v>
      </c>
      <c r="H15" s="424">
        <f t="shared" si="0"/>
        <v>1865.1125329670328</v>
      </c>
      <c r="I15" s="447">
        <f>'ANALYSE - ERP =&gt; SOUS-SEGMENT'!$EX$113</f>
        <v>9325.5626648351645</v>
      </c>
      <c r="J15" s="427">
        <f>'ANALYSE - ERP =&gt; SOUS-SEGMENT'!$EY$113</f>
        <v>8294.2076648351649</v>
      </c>
      <c r="K15" s="427">
        <f>'ANALYSE - ERP =&gt; SOUS-SEGMENT'!$EZ$113</f>
        <v>1031.355</v>
      </c>
      <c r="L15" s="787">
        <f>'ANALYSE - ERP =&gt; SOUS-SEGMENT'!$EV$113</f>
        <v>0.88940560081280318</v>
      </c>
      <c r="M15" s="787">
        <f>'ANALYSE - ERP =&gt; SOUS-SEGMENT'!$EW$113</f>
        <v>0.11059439918719692</v>
      </c>
      <c r="N15" s="916">
        <f>20*'ANALYSE - ERP =&gt; SOUS-SEGMENT'!$FU$113</f>
        <v>64.599999999999994</v>
      </c>
      <c r="O15" s="916">
        <f>20*'ANALYSE - ERP =&gt; SOUS-SEGMENT'!$FW$113</f>
        <v>30.2</v>
      </c>
      <c r="P15" s="916">
        <f>20*'ANALYSE - ERP =&gt; SOUS-SEGMENT'!$FS$113</f>
        <v>52.199999999999996</v>
      </c>
      <c r="Q15" s="430">
        <f>'ANALYSE - ERP =&gt; SOUS-SEGMENT'!$Q$113</f>
        <v>1</v>
      </c>
    </row>
    <row r="16" spans="1:52" ht="15" customHeight="1">
      <c r="A16" s="26">
        <v>13</v>
      </c>
      <c r="B16" s="26">
        <v>12</v>
      </c>
      <c r="C16" s="26">
        <v>21</v>
      </c>
      <c r="D16" s="422">
        <f>'ANALYSE - ERP =&gt; SOUS-SEGMENT'!$A$94</f>
        <v>87</v>
      </c>
      <c r="E16" s="412" t="str">
        <f>'ANALYSE - ERP =&gt; SOUS-SEGMENT'!$B$94</f>
        <v>Hébergement Touristique</v>
      </c>
      <c r="F16" s="412" t="str">
        <f>'ANALYSE - ERP =&gt; SOUS-SEGMENT'!$C$94</f>
        <v>Tourisme de plein air</v>
      </c>
      <c r="G16" s="412" t="str">
        <f>'ANALYSE - ERP =&gt; SOUS-SEGMENT'!$D$94</f>
        <v>Campings</v>
      </c>
      <c r="H16" s="424">
        <f t="shared" si="0"/>
        <v>32416.525640620082</v>
      </c>
      <c r="I16" s="447">
        <f>'ANALYSE - ERP =&gt; SOUS-SEGMENT'!$EX$94</f>
        <v>162082.62820310041</v>
      </c>
      <c r="J16" s="427">
        <f>'ANALYSE - ERP =&gt; SOUS-SEGMENT'!$EY$94</f>
        <v>141130.3764281004</v>
      </c>
      <c r="K16" s="427">
        <f>'ANALYSE - ERP =&gt; SOUS-SEGMENT'!$EZ$94</f>
        <v>20952.251774999997</v>
      </c>
      <c r="L16" s="787">
        <f>'ANALYSE - ERP =&gt; SOUS-SEGMENT'!$EV$94</f>
        <v>0.87073104621214903</v>
      </c>
      <c r="M16" s="787">
        <f>'ANALYSE - ERP =&gt; SOUS-SEGMENT'!$EW$94</f>
        <v>0.12926895378785086</v>
      </c>
      <c r="N16" s="916">
        <f>20*'ANALYSE - ERP =&gt; SOUS-SEGMENT'!$FU$94</f>
        <v>83</v>
      </c>
      <c r="O16" s="916">
        <f>20*'ANALYSE - ERP =&gt; SOUS-SEGMENT'!$FW$94</f>
        <v>50.199999999999996</v>
      </c>
      <c r="P16" s="916">
        <f>20*'ANALYSE - ERP =&gt; SOUS-SEGMENT'!$FS$94</f>
        <v>68.2</v>
      </c>
      <c r="Q16" s="430">
        <f>'ANALYSE - ERP =&gt; SOUS-SEGMENT'!$Q$94</f>
        <v>1</v>
      </c>
      <c r="S16" s="933" t="s">
        <v>7878</v>
      </c>
      <c r="Z16" s="933" t="s">
        <v>7878</v>
      </c>
    </row>
    <row r="17" spans="1:26" ht="15" customHeight="1">
      <c r="A17" s="26">
        <v>14</v>
      </c>
      <c r="B17" s="26">
        <v>14</v>
      </c>
      <c r="C17" s="26">
        <v>16</v>
      </c>
      <c r="D17" s="422">
        <f>'ANALYSE - ERP =&gt; SOUS-SEGMENT'!$A$84</f>
        <v>77</v>
      </c>
      <c r="E17" s="416" t="str">
        <f>'ANALYSE - ERP =&gt; SOUS-SEGMENT'!$B$84</f>
        <v>Tertiaire &amp; Industriel</v>
      </c>
      <c r="F17" s="416" t="str">
        <f>'ANALYSE - ERP =&gt; SOUS-SEGMENT'!$C$84</f>
        <v>Usines &amp; Ateliers</v>
      </c>
      <c r="G17" s="416" t="str">
        <f>'ANALYSE - ERP =&gt; SOUS-SEGMENT'!$D$84</f>
        <v>Usines 
(&gt;50 salariés)
(Hors Ateliers industriels)</v>
      </c>
      <c r="H17" s="424">
        <f t="shared" si="0"/>
        <v>39449.599594290092</v>
      </c>
      <c r="I17" s="447">
        <f>'ANALYSE - ERP =&gt; SOUS-SEGMENT'!$EX$84</f>
        <v>197247.99797145047</v>
      </c>
      <c r="J17" s="427">
        <f>'ANALYSE - ERP =&gt; SOUS-SEGMENT'!$EY$84</f>
        <v>155370.47297145048</v>
      </c>
      <c r="K17" s="427">
        <f>'ANALYSE - ERP =&gt; SOUS-SEGMENT'!$EZ$84</f>
        <v>41877.525000000001</v>
      </c>
      <c r="L17" s="787">
        <f>'ANALYSE - ERP =&gt; SOUS-SEGMENT'!$EV$84</f>
        <v>0.7876910010206476</v>
      </c>
      <c r="M17" s="787">
        <f>'ANALYSE - ERP =&gt; SOUS-SEGMENT'!$EW$84</f>
        <v>0.21230899897935249</v>
      </c>
      <c r="N17" s="916">
        <f>20*'ANALYSE - ERP =&gt; SOUS-SEGMENT'!$FU$84</f>
        <v>77.400000000000006</v>
      </c>
      <c r="O17" s="916">
        <f>20*'ANALYSE - ERP =&gt; SOUS-SEGMENT'!$FW$84</f>
        <v>42.400000000000006</v>
      </c>
      <c r="P17" s="916">
        <f>20*'ANALYSE - ERP =&gt; SOUS-SEGMENT'!$FS$84</f>
        <v>64.800000000000011</v>
      </c>
      <c r="Q17" s="430">
        <f>'ANALYSE - ERP =&gt; SOUS-SEGMENT'!$Q$84</f>
        <v>1</v>
      </c>
      <c r="S17" s="62" t="s">
        <v>7879</v>
      </c>
      <c r="Z17" s="62" t="s">
        <v>7880</v>
      </c>
    </row>
    <row r="18" spans="1:26" ht="15" customHeight="1">
      <c r="A18" s="26">
        <v>15</v>
      </c>
      <c r="B18" s="26">
        <v>15</v>
      </c>
      <c r="C18" s="26">
        <v>17</v>
      </c>
      <c r="D18" s="422">
        <f>'ANALYSE - ERP =&gt; SOUS-SEGMENT'!$A$24</f>
        <v>17</v>
      </c>
      <c r="E18" s="410" t="str">
        <f>'ANALYSE - ERP =&gt; SOUS-SEGMENT'!$B$24</f>
        <v>Sports &amp; Loisirs</v>
      </c>
      <c r="F18" s="410" t="str">
        <f>'ANALYSE - ERP =&gt; SOUS-SEGMENT'!$C$24</f>
        <v>Sport couvert / Thermalisme / Bien-être</v>
      </c>
      <c r="G18" s="410" t="str">
        <f>'ANALYSE - ERP =&gt; SOUS-SEGMENT'!$D$24</f>
        <v>Piscines couvertes</v>
      </c>
      <c r="H18" s="424">
        <f t="shared" si="0"/>
        <v>21028.25680486394</v>
      </c>
      <c r="I18" s="447">
        <f>'ANALYSE - ERP =&gt; SOUS-SEGMENT'!$EX$24</f>
        <v>105141.2840243197</v>
      </c>
      <c r="J18" s="427">
        <f>'ANALYSE - ERP =&gt; SOUS-SEGMENT'!$EY$24</f>
        <v>88340.724024319701</v>
      </c>
      <c r="K18" s="427">
        <f>'ANALYSE - ERP =&gt; SOUS-SEGMENT'!$EZ$24</f>
        <v>16800.559999999998</v>
      </c>
      <c r="L18" s="787">
        <f>'ANALYSE - ERP =&gt; SOUS-SEGMENT'!$EV$24</f>
        <v>0.84020967447844797</v>
      </c>
      <c r="M18" s="787">
        <f>'ANALYSE - ERP =&gt; SOUS-SEGMENT'!$EW$24</f>
        <v>0.15979032552155198</v>
      </c>
      <c r="N18" s="916">
        <f>20*'ANALYSE - ERP =&gt; SOUS-SEGMENT'!$FU$24</f>
        <v>86</v>
      </c>
      <c r="O18" s="916">
        <f>20*'ANALYSE - ERP =&gt; SOUS-SEGMENT'!$FW$24</f>
        <v>41.8</v>
      </c>
      <c r="P18" s="916">
        <f>20*'ANALYSE - ERP =&gt; SOUS-SEGMENT'!$FS$24</f>
        <v>66.2</v>
      </c>
      <c r="Q18" s="430">
        <f>'ANALYSE - ERP =&gt; SOUS-SEGMENT'!$Q$24</f>
        <v>1</v>
      </c>
    </row>
    <row r="19" spans="1:26" ht="15" customHeight="1">
      <c r="A19" s="26">
        <v>16</v>
      </c>
      <c r="B19" s="26">
        <v>16</v>
      </c>
      <c r="C19" s="26">
        <v>18</v>
      </c>
      <c r="D19" s="422">
        <f>'ANALYSE - ERP =&gt; SOUS-SEGMENT'!$A$44</f>
        <v>37</v>
      </c>
      <c r="E19" s="409" t="str">
        <f>'ANALYSE - ERP =&gt; SOUS-SEGMENT'!$B$44</f>
        <v>Santé &amp; Médico-social</v>
      </c>
      <c r="F19" s="409" t="str">
        <f>'ANALYSE - ERP =&gt; SOUS-SEGMENT'!$C$44</f>
        <v>Santé hospitalière</v>
      </c>
      <c r="G19" s="409" t="str">
        <f>'ANALYSE - ERP =&gt; SOUS-SEGMENT'!$D$44</f>
        <v>Hôpitaux publics 
(Hors CHU, Universitaire, Militaire, Carcéral)</v>
      </c>
      <c r="H19" s="424">
        <f t="shared" si="0"/>
        <v>35613.574770000007</v>
      </c>
      <c r="I19" s="447">
        <f>'ANALYSE - ERP =&gt; SOUS-SEGMENT'!$EX$44</f>
        <v>178067.87385000003</v>
      </c>
      <c r="J19" s="427">
        <f>'ANALYSE - ERP =&gt; SOUS-SEGMENT'!$EY$44</f>
        <v>145442.88825000002</v>
      </c>
      <c r="K19" s="427">
        <f>'ANALYSE - ERP =&gt; SOUS-SEGMENT'!$EZ$44</f>
        <v>32624.9856</v>
      </c>
      <c r="L19" s="787">
        <f>'ANALYSE - ERP =&gt; SOUS-SEGMENT'!$EV$44</f>
        <v>0.81678342704601226</v>
      </c>
      <c r="M19" s="787">
        <f>'ANALYSE - ERP =&gt; SOUS-SEGMENT'!$EW$44</f>
        <v>0.18321657295398763</v>
      </c>
      <c r="N19" s="916">
        <f>20*'ANALYSE - ERP =&gt; SOUS-SEGMENT'!$FU$44</f>
        <v>91.199999999999989</v>
      </c>
      <c r="O19" s="916">
        <f>20*'ANALYSE - ERP =&gt; SOUS-SEGMENT'!$FW$44</f>
        <v>59</v>
      </c>
      <c r="P19" s="916">
        <f>20*'ANALYSE - ERP =&gt; SOUS-SEGMENT'!$FS$44</f>
        <v>76.8</v>
      </c>
      <c r="Q19" s="430">
        <f>'ANALYSE - ERP =&gt; SOUS-SEGMENT'!$Q$44</f>
        <v>1</v>
      </c>
    </row>
    <row r="20" spans="1:26" ht="15" customHeight="1">
      <c r="A20" s="26">
        <v>17</v>
      </c>
      <c r="B20" s="26">
        <v>19</v>
      </c>
      <c r="C20" s="26">
        <v>8</v>
      </c>
      <c r="D20" s="422">
        <f>'ANALYSE - ERP =&gt; SOUS-SEGMENT'!$A$56</f>
        <v>49</v>
      </c>
      <c r="E20" s="409" t="str">
        <f>'ANALYSE - ERP =&gt; SOUS-SEGMENT'!$B$56</f>
        <v>Santé &amp; Médico-social</v>
      </c>
      <c r="F20" s="409" t="str">
        <f>'ANALYSE - ERP =&gt; SOUS-SEGMENT'!$C$56</f>
        <v>Médico-social</v>
      </c>
      <c r="G20" s="409" t="str">
        <f>'ANALYSE - ERP =&gt; SOUS-SEGMENT'!$D$56</f>
        <v>Foyers pour personnes handicapées</v>
      </c>
      <c r="H20" s="424">
        <f t="shared" si="0"/>
        <v>14150.821303182485</v>
      </c>
      <c r="I20" s="447">
        <f>'ANALYSE - ERP =&gt; SOUS-SEGMENT'!$EX$56</f>
        <v>70754.106515912426</v>
      </c>
      <c r="J20" s="427">
        <f>'ANALYSE - ERP =&gt; SOUS-SEGMENT'!$EY$56</f>
        <v>53114.726515912422</v>
      </c>
      <c r="K20" s="427">
        <f>'ANALYSE - ERP =&gt; SOUS-SEGMENT'!$EZ$56</f>
        <v>17639.38</v>
      </c>
      <c r="L20" s="787">
        <f>'ANALYSE - ERP =&gt; SOUS-SEGMENT'!$EV$56</f>
        <v>0.75069461168260321</v>
      </c>
      <c r="M20" s="787">
        <f>'ANALYSE - ERP =&gt; SOUS-SEGMENT'!$EW$56</f>
        <v>0.24930538831739676</v>
      </c>
      <c r="N20" s="916">
        <f>20*'ANALYSE - ERP =&gt; SOUS-SEGMENT'!$FU$56</f>
        <v>79.599999999999994</v>
      </c>
      <c r="O20" s="916">
        <f>20*'ANALYSE - ERP =&gt; SOUS-SEGMENT'!$FW$56</f>
        <v>49.6</v>
      </c>
      <c r="P20" s="916">
        <f>20*'ANALYSE - ERP =&gt; SOUS-SEGMENT'!$FS$56</f>
        <v>66.2</v>
      </c>
      <c r="Q20" s="430">
        <f>'ANALYSE - ERP =&gt; SOUS-SEGMENT'!$Q$56</f>
        <v>1</v>
      </c>
    </row>
    <row r="21" spans="1:26" ht="15" customHeight="1">
      <c r="A21" s="26">
        <v>18</v>
      </c>
      <c r="B21" s="26">
        <v>17</v>
      </c>
      <c r="C21" s="26">
        <v>15</v>
      </c>
      <c r="D21" s="422">
        <f>'ANALYSE - ERP =&gt; SOUS-SEGMENT'!$A$22</f>
        <v>15</v>
      </c>
      <c r="E21" s="410" t="str">
        <f>'ANALYSE - ERP =&gt; SOUS-SEGMENT'!$B$22</f>
        <v>Sports &amp; Loisirs</v>
      </c>
      <c r="F21" s="410" t="str">
        <f>'ANALYSE - ERP =&gt; SOUS-SEGMENT'!$C$22</f>
        <v>Sport couvert / Thermalisme / Bien-être</v>
      </c>
      <c r="G21" s="410" t="str">
        <f>'ANALYSE - ERP =&gt; SOUS-SEGMENT'!$D$22</f>
        <v>Salles de fitness / dojos</v>
      </c>
      <c r="H21" s="424">
        <f t="shared" si="0"/>
        <v>27013.348297815759</v>
      </c>
      <c r="I21" s="447">
        <f>'ANALYSE - ERP =&gt; SOUS-SEGMENT'!$EX$22</f>
        <v>135066.74148907879</v>
      </c>
      <c r="J21" s="427">
        <f>'ANALYSE - ERP =&gt; SOUS-SEGMENT'!$EY$22</f>
        <v>103328.07228907879</v>
      </c>
      <c r="K21" s="427">
        <f>'ANALYSE - ERP =&gt; SOUS-SEGMENT'!$EZ$22</f>
        <v>31738.6692</v>
      </c>
      <c r="L21" s="787">
        <f>'ANALYSE - ERP =&gt; SOUS-SEGMENT'!$EV$22</f>
        <v>0.76501491892016715</v>
      </c>
      <c r="M21" s="787">
        <f>'ANALYSE - ERP =&gt; SOUS-SEGMENT'!$EW$22</f>
        <v>0.23498508107983282</v>
      </c>
      <c r="N21" s="916">
        <f>20*'ANALYSE - ERP =&gt; SOUS-SEGMENT'!$FU$22</f>
        <v>84</v>
      </c>
      <c r="O21" s="916">
        <f>20*'ANALYSE - ERP =&gt; SOUS-SEGMENT'!$FW$22</f>
        <v>51.2</v>
      </c>
      <c r="P21" s="916">
        <f>20*'ANALYSE - ERP =&gt; SOUS-SEGMENT'!$FS$22</f>
        <v>69.2</v>
      </c>
      <c r="Q21" s="430">
        <f>'ANALYSE - ERP =&gt; SOUS-SEGMENT'!$Q$22</f>
        <v>1</v>
      </c>
      <c r="X21" s="445" t="s">
        <v>7881</v>
      </c>
    </row>
    <row r="22" spans="1:26" ht="15" customHeight="1">
      <c r="A22" s="26">
        <v>19</v>
      </c>
      <c r="B22" s="26">
        <v>18</v>
      </c>
      <c r="C22" s="26">
        <v>12</v>
      </c>
      <c r="D22" s="422">
        <f>'ANALYSE - ERP =&gt; SOUS-SEGMENT'!$A$13</f>
        <v>6</v>
      </c>
      <c r="E22" s="411" t="str">
        <f>'ANALYSE - ERP =&gt; SOUS-SEGMENT'!$B$13</f>
        <v>Enfance, Enseignement, Jeunesse &amp; Formation</v>
      </c>
      <c r="F22" s="411" t="str">
        <f>'ANALYSE - ERP =&gt; SOUS-SEGMENT'!$C$13</f>
        <v>Enseignement scolaire</v>
      </c>
      <c r="G22" s="411" t="str">
        <f>'ANALYSE - ERP =&gt; SOUS-SEGMENT'!$D$13</f>
        <v>Collèges
(vestiaires EPS inclus)</v>
      </c>
      <c r="H22" s="424">
        <f t="shared" si="0"/>
        <v>28622.048789697001</v>
      </c>
      <c r="I22" s="447">
        <f>'ANALYSE - ERP =&gt; SOUS-SEGMENT'!$EX$13</f>
        <v>143110.243948485</v>
      </c>
      <c r="J22" s="427">
        <f>'ANALYSE - ERP =&gt; SOUS-SEGMENT'!$EY$13</f>
        <v>104921.61001348501</v>
      </c>
      <c r="K22" s="427">
        <f>'ANALYSE - ERP =&gt; SOUS-SEGMENT'!$EZ$13</f>
        <v>38188.633934999998</v>
      </c>
      <c r="L22" s="787">
        <f>'ANALYSE - ERP =&gt; SOUS-SEGMENT'!$EV$13</f>
        <v>0.73315233849544237</v>
      </c>
      <c r="M22" s="787">
        <f>'ANALYSE - ERP =&gt; SOUS-SEGMENT'!$EW$13</f>
        <v>0.26684766150455769</v>
      </c>
      <c r="N22" s="916">
        <f>20*'ANALYSE - ERP =&gt; SOUS-SEGMENT'!$FU$13</f>
        <v>79.599999999999994</v>
      </c>
      <c r="O22" s="916">
        <f>20*'ANALYSE - ERP =&gt; SOUS-SEGMENT'!$FW$13</f>
        <v>45.199999999999996</v>
      </c>
      <c r="P22" s="916">
        <f>20*'ANALYSE - ERP =&gt; SOUS-SEGMENT'!$FS$13</f>
        <v>64.2</v>
      </c>
      <c r="Q22" s="430">
        <f>'ANALYSE - ERP =&gt; SOUS-SEGMENT'!$Q$13</f>
        <v>1</v>
      </c>
      <c r="X22" s="444"/>
    </row>
    <row r="23" spans="1:26" ht="15" customHeight="1">
      <c r="A23" s="26">
        <v>20</v>
      </c>
      <c r="B23" s="26">
        <v>20</v>
      </c>
      <c r="C23" s="26">
        <v>14</v>
      </c>
      <c r="D23" s="422">
        <f>'ANALYSE - ERP =&gt; SOUS-SEGMENT'!$A$14</f>
        <v>7</v>
      </c>
      <c r="E23" s="411" t="str">
        <f>'ANALYSE - ERP =&gt; SOUS-SEGMENT'!$B$14</f>
        <v>Enfance, Enseignement, Jeunesse &amp; Formation</v>
      </c>
      <c r="F23" s="411" t="str">
        <f>'ANALYSE - ERP =&gt; SOUS-SEGMENT'!$C$14</f>
        <v>Enseignement scolaire</v>
      </c>
      <c r="G23" s="411" t="str">
        <f>'ANALYSE - ERP =&gt; SOUS-SEGMENT'!$D$14</f>
        <v>Lycées
(vestiaires EPS inclus)</v>
      </c>
      <c r="H23" s="424">
        <f t="shared" si="0"/>
        <v>27442.010906834999</v>
      </c>
      <c r="I23" s="447">
        <f>'ANALYSE - ERP =&gt; SOUS-SEGMENT'!$EX$14</f>
        <v>137210.054534175</v>
      </c>
      <c r="J23" s="427">
        <f>'ANALYSE - ERP =&gt; SOUS-SEGMENT'!$EY$14</f>
        <v>100325.115284175</v>
      </c>
      <c r="K23" s="427">
        <f>'ANALYSE - ERP =&gt; SOUS-SEGMENT'!$EZ$14</f>
        <v>36884.939250000003</v>
      </c>
      <c r="L23" s="787">
        <f>'ANALYSE - ERP =&gt; SOUS-SEGMENT'!$EV$14</f>
        <v>0.73117903512812144</v>
      </c>
      <c r="M23" s="787">
        <f>'ANALYSE - ERP =&gt; SOUS-SEGMENT'!$EW$14</f>
        <v>0.26882096487187862</v>
      </c>
      <c r="N23" s="916">
        <f>20*'ANALYSE - ERP =&gt; SOUS-SEGMENT'!$FU$14</f>
        <v>79.599999999999994</v>
      </c>
      <c r="O23" s="916">
        <f>20*'ANALYSE - ERP =&gt; SOUS-SEGMENT'!$FW$14</f>
        <v>45.199999999999996</v>
      </c>
      <c r="P23" s="916">
        <f>20*'ANALYSE - ERP =&gt; SOUS-SEGMENT'!$FS$14</f>
        <v>64.2</v>
      </c>
      <c r="Q23" s="430">
        <f>'ANALYSE - ERP =&gt; SOUS-SEGMENT'!$Q$14</f>
        <v>1</v>
      </c>
      <c r="X23" s="446" t="s">
        <v>7882</v>
      </c>
    </row>
    <row r="24" spans="1:26" ht="15" customHeight="1">
      <c r="A24" s="26">
        <v>21</v>
      </c>
      <c r="B24" s="26">
        <v>21</v>
      </c>
      <c r="C24" s="26">
        <v>22</v>
      </c>
      <c r="D24" s="422">
        <f>'ANALYSE - ERP =&gt; SOUS-SEGMENT'!$A$11</f>
        <v>4</v>
      </c>
      <c r="E24" s="411" t="str">
        <f>'ANALYSE - ERP =&gt; SOUS-SEGMENT'!$B$11</f>
        <v>Enfance, Enseignement, Jeunesse &amp; Formation</v>
      </c>
      <c r="F24" s="411" t="str">
        <f>'ANALYSE - ERP =&gt; SOUS-SEGMENT'!$C$11</f>
        <v>Enseignement scolaire</v>
      </c>
      <c r="G24" s="411" t="str">
        <f>'ANALYSE - ERP =&gt; SOUS-SEGMENT'!$D$11</f>
        <v>Écoles maternelles</v>
      </c>
      <c r="H24" s="424">
        <f t="shared" si="0"/>
        <v>18810.113912928002</v>
      </c>
      <c r="I24" s="447">
        <f>'ANALYSE - ERP =&gt; SOUS-SEGMENT'!$EX$11</f>
        <v>94050.569564640013</v>
      </c>
      <c r="J24" s="427">
        <f>'ANALYSE - ERP =&gt; SOUS-SEGMENT'!$EY$11</f>
        <v>74136.955972140015</v>
      </c>
      <c r="K24" s="427">
        <f>'ANALYSE - ERP =&gt; SOUS-SEGMENT'!$EZ$11</f>
        <v>19913.613592499998</v>
      </c>
      <c r="L24" s="787">
        <f>'ANALYSE - ERP =&gt; SOUS-SEGMENT'!$EV$11</f>
        <v>0.78826695378156564</v>
      </c>
      <c r="M24" s="787">
        <f>'ANALYSE - ERP =&gt; SOUS-SEGMENT'!$EW$11</f>
        <v>0.21173304621843433</v>
      </c>
      <c r="N24" s="916">
        <f>20*'ANALYSE - ERP =&gt; SOUS-SEGMENT'!$FU$11</f>
        <v>85.399999999999991</v>
      </c>
      <c r="O24" s="916">
        <f>20*'ANALYSE - ERP =&gt; SOUS-SEGMENT'!$FW$11</f>
        <v>37</v>
      </c>
      <c r="P24" s="916">
        <f>20*'ANALYSE - ERP =&gt; SOUS-SEGMENT'!$FS$11</f>
        <v>63.6</v>
      </c>
      <c r="Q24" s="430">
        <f>'ANALYSE - ERP =&gt; SOUS-SEGMENT'!$Q$11</f>
        <v>1</v>
      </c>
      <c r="X24" s="446" t="s">
        <v>7883</v>
      </c>
    </row>
    <row r="25" spans="1:26" ht="15" customHeight="1">
      <c r="A25" s="26">
        <v>22</v>
      </c>
      <c r="B25" s="26">
        <v>22</v>
      </c>
      <c r="C25" s="26">
        <v>25</v>
      </c>
      <c r="D25" s="422">
        <f>'ANALYSE - ERP =&gt; SOUS-SEGMENT'!$A$52</f>
        <v>45</v>
      </c>
      <c r="E25" s="409" t="str">
        <f>'ANALYSE - ERP =&gt; SOUS-SEGMENT'!$B$52</f>
        <v>Santé &amp; Médico-social</v>
      </c>
      <c r="F25" s="409" t="str">
        <f>'ANALYSE - ERP =&gt; SOUS-SEGMENT'!$C$52</f>
        <v>Médico-social</v>
      </c>
      <c r="G25" s="409" t="str">
        <f>'ANALYSE - ERP =&gt; SOUS-SEGMENT'!$D$52</f>
        <v>Établissements Médico-éducatifs</v>
      </c>
      <c r="H25" s="424">
        <f t="shared" si="0"/>
        <v>8505.8003062659081</v>
      </c>
      <c r="I25" s="447">
        <f>'ANALYSE - ERP =&gt; SOUS-SEGMENT'!$EX$52</f>
        <v>42529.001531329544</v>
      </c>
      <c r="J25" s="427">
        <f>'ANALYSE - ERP =&gt; SOUS-SEGMENT'!$EY$52</f>
        <v>32848.501531329544</v>
      </c>
      <c r="K25" s="427">
        <f>'ANALYSE - ERP =&gt; SOUS-SEGMENT'!$EZ$52</f>
        <v>9680.5</v>
      </c>
      <c r="L25" s="787">
        <f>'ANALYSE - ERP =&gt; SOUS-SEGMENT'!$EV$52</f>
        <v>0.77237885557062202</v>
      </c>
      <c r="M25" s="787">
        <f>'ANALYSE - ERP =&gt; SOUS-SEGMENT'!$EW$52</f>
        <v>0.227621144429378</v>
      </c>
      <c r="N25" s="916">
        <f>20*'ANALYSE - ERP =&gt; SOUS-SEGMENT'!$FU$52</f>
        <v>82.4</v>
      </c>
      <c r="O25" s="916">
        <f>20*'ANALYSE - ERP =&gt; SOUS-SEGMENT'!$FW$52</f>
        <v>47.800000000000004</v>
      </c>
      <c r="P25" s="916">
        <f>20*'ANALYSE - ERP =&gt; SOUS-SEGMENT'!$FS$52</f>
        <v>66.8</v>
      </c>
      <c r="Q25" s="430">
        <f>'ANALYSE - ERP =&gt; SOUS-SEGMENT'!$Q$52</f>
        <v>1</v>
      </c>
      <c r="X25" s="446" t="s">
        <v>7884</v>
      </c>
    </row>
    <row r="26" spans="1:26" ht="15" customHeight="1">
      <c r="A26" s="26">
        <v>23</v>
      </c>
      <c r="B26" s="26">
        <v>23</v>
      </c>
      <c r="C26" s="26">
        <v>27</v>
      </c>
      <c r="D26" s="422">
        <f>'ANALYSE - ERP =&gt; SOUS-SEGMENT'!$A$125</f>
        <v>118</v>
      </c>
      <c r="E26" s="413" t="str">
        <f>'ANALYSE - ERP =&gt; SOUS-SEGMENT'!$B$125</f>
        <v>Transport, Mobilité &amp; Stationnement</v>
      </c>
      <c r="F26" s="413" t="str">
        <f>'ANALYSE - ERP =&gt; SOUS-SEGMENT'!$C$125</f>
        <v>Transport / Mobilité</v>
      </c>
      <c r="G26" s="413" t="str">
        <f>'ANALYSE - ERP =&gt; SOUS-SEGMENT'!$D$125</f>
        <v>Gares ferroviaires et stations
(dotés de sanitaires)</v>
      </c>
      <c r="H26" s="424">
        <f t="shared" si="0"/>
        <v>6019.4677381476185</v>
      </c>
      <c r="I26" s="447">
        <f>'ANALYSE - ERP =&gt; SOUS-SEGMENT'!$EX$125</f>
        <v>30097.338690738092</v>
      </c>
      <c r="J26" s="427">
        <f>'ANALYSE - ERP =&gt; SOUS-SEGMENT'!$EY$125</f>
        <v>23072.994690738095</v>
      </c>
      <c r="K26" s="427">
        <f>'ANALYSE - ERP =&gt; SOUS-SEGMENT'!$EZ$125</f>
        <v>7024.3439999999991</v>
      </c>
      <c r="L26" s="787">
        <f>'ANALYSE - ERP =&gt; SOUS-SEGMENT'!$EV$125</f>
        <v>0.76661245460344929</v>
      </c>
      <c r="M26" s="787">
        <f>'ANALYSE - ERP =&gt; SOUS-SEGMENT'!$EW$125</f>
        <v>0.23338754539655074</v>
      </c>
      <c r="N26" s="916">
        <f>20*'ANALYSE - ERP =&gt; SOUS-SEGMENT'!$FU$125</f>
        <v>92.4</v>
      </c>
      <c r="O26" s="916">
        <f>20*'ANALYSE - ERP =&gt; SOUS-SEGMENT'!$FW$125</f>
        <v>44.400000000000006</v>
      </c>
      <c r="P26" s="916">
        <f>20*'ANALYSE - ERP =&gt; SOUS-SEGMENT'!$FS$125</f>
        <v>75.199999999999989</v>
      </c>
      <c r="Q26" s="430">
        <f>'ANALYSE - ERP =&gt; SOUS-SEGMENT'!$Q$125</f>
        <v>1</v>
      </c>
      <c r="X26" s="446" t="s">
        <v>7885</v>
      </c>
    </row>
    <row r="27" spans="1:26" ht="15" customHeight="1">
      <c r="A27" s="26">
        <v>24</v>
      </c>
      <c r="B27" s="26">
        <v>24</v>
      </c>
      <c r="C27" s="26">
        <v>26</v>
      </c>
      <c r="D27" s="422">
        <f>'ANALYSE - ERP =&gt; SOUS-SEGMENT'!$A$79</f>
        <v>72</v>
      </c>
      <c r="E27" s="408" t="str">
        <f>'ANALYSE - ERP =&gt; SOUS-SEGMENT'!$B$79</f>
        <v>Commerce, Restauration &amp; Loisirs</v>
      </c>
      <c r="F27" s="408" t="str">
        <f>'ANALYSE - ERP =&gt; SOUS-SEGMENT'!$C$79</f>
        <v>Commerce</v>
      </c>
      <c r="G27" s="408" t="str">
        <f>'ANALYSE - ERP =&gt; SOUS-SEGMENT'!$D$79</f>
        <v>Centres commerciaux / Malls
(dotés de sanitaires collectifs clients)</v>
      </c>
      <c r="H27" s="424">
        <f t="shared" si="0"/>
        <v>13084.928165326299</v>
      </c>
      <c r="I27" s="447">
        <f>'ANALYSE - ERP =&gt; SOUS-SEGMENT'!$EX$79</f>
        <v>65424.64082663149</v>
      </c>
      <c r="J27" s="427">
        <f>'ANALYSE - ERP =&gt; SOUS-SEGMENT'!$EY$79</f>
        <v>55392.28082663149</v>
      </c>
      <c r="K27" s="427">
        <f>'ANALYSE - ERP =&gt; SOUS-SEGMENT'!$EZ$79</f>
        <v>10032.36</v>
      </c>
      <c r="L27" s="787">
        <f>'ANALYSE - ERP =&gt; SOUS-SEGMENT'!$EV$79</f>
        <v>0.84665777491106575</v>
      </c>
      <c r="M27" s="787">
        <f>'ANALYSE - ERP =&gt; SOUS-SEGMENT'!$EW$79</f>
        <v>0.15334222508893422</v>
      </c>
      <c r="N27" s="916">
        <f>20*'ANALYSE - ERP =&gt; SOUS-SEGMENT'!$FU$79</f>
        <v>82.6</v>
      </c>
      <c r="O27" s="916">
        <f>20*'ANALYSE - ERP =&gt; SOUS-SEGMENT'!$FW$79</f>
        <v>49.800000000000004</v>
      </c>
      <c r="P27" s="916">
        <f>20*'ANALYSE - ERP =&gt; SOUS-SEGMENT'!$FS$79</f>
        <v>70.8</v>
      </c>
      <c r="Q27" s="430">
        <f>'ANALYSE - ERP =&gt; SOUS-SEGMENT'!$Q$79</f>
        <v>1</v>
      </c>
    </row>
    <row r="28" spans="1:26" ht="15" customHeight="1">
      <c r="A28" s="26">
        <v>25</v>
      </c>
      <c r="B28" s="26">
        <v>30</v>
      </c>
      <c r="C28" s="26">
        <v>13</v>
      </c>
      <c r="D28" s="422">
        <f>'ANALYSE - ERP =&gt; SOUS-SEGMENT'!$A$19</f>
        <v>12</v>
      </c>
      <c r="E28" s="411" t="str">
        <f>'ANALYSE - ERP =&gt; SOUS-SEGMENT'!$B$19</f>
        <v>Enfance, Enseignement, Jeunesse &amp; Formation</v>
      </c>
      <c r="F28" s="411" t="str">
        <f>'ANALYSE - ERP =&gt; SOUS-SEGMENT'!$C$19</f>
        <v>Formation</v>
      </c>
      <c r="G28" s="411" t="str">
        <f>'ANALYSE - ERP =&gt; SOUS-SEGMENT'!$D$19</f>
        <v>Centres de formation / CFA</v>
      </c>
      <c r="H28" s="424">
        <f t="shared" si="0"/>
        <v>16551.45560256</v>
      </c>
      <c r="I28" s="447">
        <f>'ANALYSE - ERP =&gt; SOUS-SEGMENT'!$EX$19</f>
        <v>82757.278012800001</v>
      </c>
      <c r="J28" s="427">
        <f>'ANALYSE - ERP =&gt; SOUS-SEGMENT'!$EY$19</f>
        <v>45245.6692128</v>
      </c>
      <c r="K28" s="427">
        <f>'ANALYSE - ERP =&gt; SOUS-SEGMENT'!$EZ$19</f>
        <v>37511.608800000002</v>
      </c>
      <c r="L28" s="787">
        <f>'ANALYSE - ERP =&gt; SOUS-SEGMENT'!$EV$19</f>
        <v>0.54672737309946184</v>
      </c>
      <c r="M28" s="787">
        <f>'ANALYSE - ERP =&gt; SOUS-SEGMENT'!$EW$19</f>
        <v>0.4532726269005381</v>
      </c>
      <c r="N28" s="916">
        <f>20*'ANALYSE - ERP =&gt; SOUS-SEGMENT'!$FU$19</f>
        <v>80.199999999999989</v>
      </c>
      <c r="O28" s="916">
        <f>20*'ANALYSE - ERP =&gt; SOUS-SEGMENT'!$FW$19</f>
        <v>51.6</v>
      </c>
      <c r="P28" s="916">
        <f>20*'ANALYSE - ERP =&gt; SOUS-SEGMENT'!$FS$19</f>
        <v>67.400000000000006</v>
      </c>
      <c r="Q28" s="430">
        <f>'ANALYSE - ERP =&gt; SOUS-SEGMENT'!$Q$19</f>
        <v>1</v>
      </c>
    </row>
    <row r="29" spans="1:26" ht="15" customHeight="1">
      <c r="A29" s="26">
        <v>26</v>
      </c>
      <c r="B29" s="26">
        <v>25</v>
      </c>
      <c r="C29" s="26">
        <v>28</v>
      </c>
      <c r="D29" s="422">
        <f>'ANALYSE - ERP =&gt; SOUS-SEGMENT'!$A$46</f>
        <v>39</v>
      </c>
      <c r="E29" s="409" t="str">
        <f>'ANALYSE - ERP =&gt; SOUS-SEGMENT'!$B$46</f>
        <v>Santé &amp; Médico-social</v>
      </c>
      <c r="F29" s="409" t="str">
        <f>'ANALYSE - ERP =&gt; SOUS-SEGMENT'!$C$46</f>
        <v>Santé hospitalière</v>
      </c>
      <c r="G29" s="409" t="str">
        <f>'ANALYSE - ERP =&gt; SOUS-SEGMENT'!$D$46</f>
        <v>Cliniques</v>
      </c>
      <c r="H29" s="424">
        <f t="shared" si="0"/>
        <v>15700.280631730759</v>
      </c>
      <c r="I29" s="447">
        <f>'ANALYSE - ERP =&gt; SOUS-SEGMENT'!$EX$46</f>
        <v>78501.403158653789</v>
      </c>
      <c r="J29" s="427">
        <f>'ANALYSE - ERP =&gt; SOUS-SEGMENT'!$EY$46</f>
        <v>65188.801908653782</v>
      </c>
      <c r="K29" s="427">
        <f>'ANALYSE - ERP =&gt; SOUS-SEGMENT'!$EZ$46</f>
        <v>13312.60125</v>
      </c>
      <c r="L29" s="787">
        <f>'ANALYSE - ERP =&gt; SOUS-SEGMENT'!$EV$46</f>
        <v>0.83041575418601343</v>
      </c>
      <c r="M29" s="787">
        <f>'ANALYSE - ERP =&gt; SOUS-SEGMENT'!$EW$46</f>
        <v>0.16958424581398648</v>
      </c>
      <c r="N29" s="916">
        <f>20*'ANALYSE - ERP =&gt; SOUS-SEGMENT'!$FU$46</f>
        <v>83.800000000000011</v>
      </c>
      <c r="O29" s="916">
        <f>20*'ANALYSE - ERP =&gt; SOUS-SEGMENT'!$FW$46</f>
        <v>50.8</v>
      </c>
      <c r="P29" s="916">
        <f>20*'ANALYSE - ERP =&gt; SOUS-SEGMENT'!$FS$46</f>
        <v>69</v>
      </c>
      <c r="Q29" s="430">
        <f>'ANALYSE - ERP =&gt; SOUS-SEGMENT'!$Q$46</f>
        <v>1</v>
      </c>
    </row>
    <row r="30" spans="1:26" ht="15" customHeight="1">
      <c r="A30" s="26">
        <v>27</v>
      </c>
      <c r="B30" s="26">
        <v>26</v>
      </c>
      <c r="C30" s="26">
        <v>31</v>
      </c>
      <c r="D30" s="422">
        <f>'ANALYSE - ERP =&gt; SOUS-SEGMENT'!$A$87</f>
        <v>80</v>
      </c>
      <c r="E30" s="412" t="str">
        <f>'ANALYSE - ERP =&gt; SOUS-SEGMENT'!$B$87</f>
        <v>Hébergement Touristique</v>
      </c>
      <c r="F30" s="412" t="str">
        <f>'ANALYSE - ERP =&gt; SOUS-SEGMENT'!$C$87</f>
        <v>Hébergement Touristique</v>
      </c>
      <c r="G30" s="412" t="str">
        <f>'ANALYSE - ERP =&gt; SOUS-SEGMENT'!$D$87</f>
        <v>Hôtels 
(hors autres hébérgements touristiques)</v>
      </c>
      <c r="H30" s="424">
        <f t="shared" si="0"/>
        <v>11755.307260579617</v>
      </c>
      <c r="I30" s="447">
        <f>'ANALYSE - ERP =&gt; SOUS-SEGMENT'!$EX$87</f>
        <v>58776.536302898086</v>
      </c>
      <c r="J30" s="427">
        <f>'ANALYSE - ERP =&gt; SOUS-SEGMENT'!$EY$87</f>
        <v>51069.280802898087</v>
      </c>
      <c r="K30" s="427">
        <f>'ANALYSE - ERP =&gt; SOUS-SEGMENT'!$EZ$87</f>
        <v>7707.2554999999993</v>
      </c>
      <c r="L30" s="787">
        <f>'ANALYSE - ERP =&gt; SOUS-SEGMENT'!$EV$87</f>
        <v>0.86887190051006835</v>
      </c>
      <c r="M30" s="787">
        <f>'ANALYSE - ERP =&gt; SOUS-SEGMENT'!$EW$87</f>
        <v>0.13112809948993165</v>
      </c>
      <c r="N30" s="916">
        <f>20*'ANALYSE - ERP =&gt; SOUS-SEGMENT'!$FU$87</f>
        <v>88.4</v>
      </c>
      <c r="O30" s="916">
        <f>20*'ANALYSE - ERP =&gt; SOUS-SEGMENT'!$FW$87</f>
        <v>52</v>
      </c>
      <c r="P30" s="916">
        <f>20*'ANALYSE - ERP =&gt; SOUS-SEGMENT'!$FS$87</f>
        <v>75.400000000000006</v>
      </c>
      <c r="Q30" s="430">
        <f>'ANALYSE - ERP =&gt; SOUS-SEGMENT'!$Q$87</f>
        <v>1</v>
      </c>
    </row>
    <row r="31" spans="1:26" ht="15" customHeight="1">
      <c r="A31" s="26">
        <v>28</v>
      </c>
      <c r="B31" s="26">
        <v>29</v>
      </c>
      <c r="C31" s="26">
        <v>19</v>
      </c>
      <c r="D31" s="422">
        <f>'ANALYSE - ERP =&gt; SOUS-SEGMENT'!$A$8</f>
        <v>1</v>
      </c>
      <c r="E31" s="411" t="str">
        <f>'ANALYSE - ERP =&gt; SOUS-SEGMENT'!$B$8</f>
        <v>Enfance, Enseignement, Jeunesse &amp; Formation</v>
      </c>
      <c r="F31" s="411" t="str">
        <f>'ANALYSE - ERP =&gt; SOUS-SEGMENT'!$C$8</f>
        <v>Petite enfance</v>
      </c>
      <c r="G31" s="411" t="str">
        <f>'ANALYSE - ERP =&gt; SOUS-SEGMENT'!$D$8</f>
        <v>Crèches</v>
      </c>
      <c r="H31" s="424">
        <f t="shared" si="0"/>
        <v>10995.889247646799</v>
      </c>
      <c r="I31" s="447">
        <f>'ANALYSE - ERP =&gt; SOUS-SEGMENT'!$EX$8</f>
        <v>54979.446238233999</v>
      </c>
      <c r="J31" s="427">
        <f>'ANALYSE - ERP =&gt; SOUS-SEGMENT'!$EY$8</f>
        <v>44063.967317483999</v>
      </c>
      <c r="K31" s="427">
        <f>'ANALYSE - ERP =&gt; SOUS-SEGMENT'!$EZ$8</f>
        <v>10915.47892075</v>
      </c>
      <c r="L31" s="787">
        <f>'ANALYSE - ERP =&gt; SOUS-SEGMENT'!$EV$8</f>
        <v>0.80146255250641063</v>
      </c>
      <c r="M31" s="787">
        <f>'ANALYSE - ERP =&gt; SOUS-SEGMENT'!$EW$8</f>
        <v>0.19853744749358931</v>
      </c>
      <c r="N31" s="916">
        <f>20*'ANALYSE - ERP =&gt; SOUS-SEGMENT'!$FU$8</f>
        <v>78</v>
      </c>
      <c r="O31" s="916">
        <f>20*'ANALYSE - ERP =&gt; SOUS-SEGMENT'!$FW$8</f>
        <v>56.4</v>
      </c>
      <c r="P31" s="916">
        <f>20*'ANALYSE - ERP =&gt; SOUS-SEGMENT'!$FS$8</f>
        <v>68.2</v>
      </c>
      <c r="Q31" s="430">
        <f>'ANALYSE - ERP =&gt; SOUS-SEGMENT'!$Q$8</f>
        <v>1</v>
      </c>
    </row>
    <row r="32" spans="1:26" ht="15" customHeight="1">
      <c r="A32" s="26">
        <v>29</v>
      </c>
      <c r="B32" s="26">
        <v>27</v>
      </c>
      <c r="C32" s="26">
        <v>32</v>
      </c>
      <c r="D32" s="422">
        <f>'ANALYSE - ERP =&gt; SOUS-SEGMENT'!$A$68</f>
        <v>61</v>
      </c>
      <c r="E32" s="414" t="str">
        <f>'ANALYSE - ERP =&gt; SOUS-SEGMENT'!$B$68</f>
        <v>Culture, Patrimoine &amp; Evénementiel</v>
      </c>
      <c r="F32" s="414" t="str">
        <f>'ANALYSE - ERP =&gt; SOUS-SEGMENT'!$C$68</f>
        <v>Culture / spectacle</v>
      </c>
      <c r="G32" s="414" t="str">
        <f>'ANALYSE - ERP =&gt; SOUS-SEGMENT'!$D$68</f>
        <v>Bibliothèques / Médiathèques</v>
      </c>
      <c r="H32" s="424">
        <f t="shared" si="0"/>
        <v>11852.749542937063</v>
      </c>
      <c r="I32" s="447">
        <f>'ANALYSE - ERP =&gt; SOUS-SEGMENT'!$EX$68</f>
        <v>59263.747714685313</v>
      </c>
      <c r="J32" s="427">
        <f>'ANALYSE - ERP =&gt; SOUS-SEGMENT'!$EY$68</f>
        <v>50123.707714685312</v>
      </c>
      <c r="K32" s="427">
        <f>'ANALYSE - ERP =&gt; SOUS-SEGMENT'!$EZ$68</f>
        <v>9140.0399999999991</v>
      </c>
      <c r="L32" s="787">
        <f>'ANALYSE - ERP =&gt; SOUS-SEGMENT'!$EV$68</f>
        <v>0.84577350652876215</v>
      </c>
      <c r="M32" s="787">
        <f>'ANALYSE - ERP =&gt; SOUS-SEGMENT'!$EW$68</f>
        <v>0.15422649347123782</v>
      </c>
      <c r="N32" s="916">
        <f>20*'ANALYSE - ERP =&gt; SOUS-SEGMENT'!$FU$68</f>
        <v>77.2</v>
      </c>
      <c r="O32" s="916">
        <f>20*'ANALYSE - ERP =&gt; SOUS-SEGMENT'!$FW$68</f>
        <v>36.4</v>
      </c>
      <c r="P32" s="916">
        <f>20*'ANALYSE - ERP =&gt; SOUS-SEGMENT'!$FS$68</f>
        <v>58.8</v>
      </c>
      <c r="Q32" s="430">
        <f>'ANALYSE - ERP =&gt; SOUS-SEGMENT'!$Q$68</f>
        <v>1</v>
      </c>
    </row>
    <row r="33" spans="1:17" ht="15" customHeight="1">
      <c r="A33" s="26">
        <v>30</v>
      </c>
      <c r="B33" s="26">
        <v>28</v>
      </c>
      <c r="C33" s="26">
        <v>33</v>
      </c>
      <c r="D33" s="422">
        <f>'ANALYSE - ERP =&gt; SOUS-SEGMENT'!$A$45</f>
        <v>38</v>
      </c>
      <c r="E33" s="409" t="str">
        <f>'ANALYSE - ERP =&gt; SOUS-SEGMENT'!$B$45</f>
        <v>Santé &amp; Médico-social</v>
      </c>
      <c r="F33" s="409" t="str">
        <f>'ANALYSE - ERP =&gt; SOUS-SEGMENT'!$C$45</f>
        <v>Santé hospitalière</v>
      </c>
      <c r="G33" s="409" t="str">
        <f>'ANALYSE - ERP =&gt; SOUS-SEGMENT'!$D$45</f>
        <v>Hôpitaux privés</v>
      </c>
      <c r="H33" s="424">
        <f t="shared" si="0"/>
        <v>12535.821608031212</v>
      </c>
      <c r="I33" s="447">
        <f>'ANALYSE - ERP =&gt; SOUS-SEGMENT'!$EX$45</f>
        <v>62679.108040156061</v>
      </c>
      <c r="J33" s="427">
        <f>'ANALYSE - ERP =&gt; SOUS-SEGMENT'!$EY$45</f>
        <v>52110.355280156058</v>
      </c>
      <c r="K33" s="427">
        <f>'ANALYSE - ERP =&gt; SOUS-SEGMENT'!$EZ$45</f>
        <v>10568.752759999999</v>
      </c>
      <c r="L33" s="787">
        <f>'ANALYSE - ERP =&gt; SOUS-SEGMENT'!$EV$45</f>
        <v>0.8313831659309987</v>
      </c>
      <c r="M33" s="787">
        <f>'ANALYSE - ERP =&gt; SOUS-SEGMENT'!$EW$45</f>
        <v>0.1686168340690013</v>
      </c>
      <c r="N33" s="916">
        <f>20*'ANALYSE - ERP =&gt; SOUS-SEGMENT'!$FU$45</f>
        <v>83.6</v>
      </c>
      <c r="O33" s="916">
        <f>20*'ANALYSE - ERP =&gt; SOUS-SEGMENT'!$FW$45</f>
        <v>50.599999999999994</v>
      </c>
      <c r="P33" s="916">
        <f>20*'ANALYSE - ERP =&gt; SOUS-SEGMENT'!$FS$45</f>
        <v>68.8</v>
      </c>
      <c r="Q33" s="430">
        <f>'ANALYSE - ERP =&gt; SOUS-SEGMENT'!$Q$45</f>
        <v>1</v>
      </c>
    </row>
    <row r="34" spans="1:17" ht="15" customHeight="1">
      <c r="A34" s="26">
        <v>31</v>
      </c>
      <c r="B34" s="26">
        <v>31</v>
      </c>
      <c r="C34" s="26">
        <v>30</v>
      </c>
      <c r="D34" s="422">
        <f>'ANALYSE - ERP =&gt; SOUS-SEGMENT'!$A$35</f>
        <v>28</v>
      </c>
      <c r="E34" s="411" t="str">
        <f>'ANALYSE - ERP =&gt; SOUS-SEGMENT'!$B$35</f>
        <v>Sports &amp; Loisirs</v>
      </c>
      <c r="F34" s="411" t="str">
        <f>'ANALYSE - ERP =&gt; SOUS-SEGMENT'!$C$35</f>
        <v>Loisirs de plein air</v>
      </c>
      <c r="G34" s="411" t="str">
        <f>'ANALYSE - ERP =&gt; SOUS-SEGMENT'!$D$35</f>
        <v>Centres de loisirs sans hébergement</v>
      </c>
      <c r="H34" s="424">
        <f t="shared" si="0"/>
        <v>10694.1152136</v>
      </c>
      <c r="I34" s="447">
        <f>'ANALYSE - ERP =&gt; SOUS-SEGMENT'!$EX$35</f>
        <v>53470.576068000002</v>
      </c>
      <c r="J34" s="427">
        <f>'ANALYSE - ERP =&gt; SOUS-SEGMENT'!$EY$35</f>
        <v>40804.216068000002</v>
      </c>
      <c r="K34" s="427">
        <f>'ANALYSE - ERP =&gt; SOUS-SEGMENT'!$EZ$35</f>
        <v>12666.36</v>
      </c>
      <c r="L34" s="787">
        <f>'ANALYSE - ERP =&gt; SOUS-SEGMENT'!$EV$35</f>
        <v>0.76311532563457252</v>
      </c>
      <c r="M34" s="787">
        <f>'ANALYSE - ERP =&gt; SOUS-SEGMENT'!$EW$35</f>
        <v>0.23688467436542748</v>
      </c>
      <c r="N34" s="916">
        <f>20*'ANALYSE - ERP =&gt; SOUS-SEGMENT'!$FU$35</f>
        <v>78</v>
      </c>
      <c r="O34" s="916">
        <f>20*'ANALYSE - ERP =&gt; SOUS-SEGMENT'!$FW$35</f>
        <v>39.6</v>
      </c>
      <c r="P34" s="916">
        <f>20*'ANALYSE - ERP =&gt; SOUS-SEGMENT'!$FS$35</f>
        <v>60.8</v>
      </c>
      <c r="Q34" s="430">
        <f>'ANALYSE - ERP =&gt; SOUS-SEGMENT'!$Q$35</f>
        <v>1</v>
      </c>
    </row>
    <row r="35" spans="1:17" ht="15" customHeight="1">
      <c r="A35" s="26">
        <v>32</v>
      </c>
      <c r="B35" s="26">
        <v>32</v>
      </c>
      <c r="C35" s="26">
        <v>29</v>
      </c>
      <c r="D35" s="422">
        <f>'ANALYSE - ERP =&gt; SOUS-SEGMENT'!$A$66</f>
        <v>59</v>
      </c>
      <c r="E35" s="414" t="str">
        <f>'ANALYSE - ERP =&gt; SOUS-SEGMENT'!$B$66</f>
        <v>Culture, Patrimoine &amp; Evénementiel</v>
      </c>
      <c r="F35" s="414" t="str">
        <f>'ANALYSE - ERP =&gt; SOUS-SEGMENT'!$C$66</f>
        <v>Culture / spectacle</v>
      </c>
      <c r="G35" s="414" t="str">
        <f>'ANALYSE - ERP =&gt; SOUS-SEGMENT'!$D$66</f>
        <v>Salles de conférence / Réunion</v>
      </c>
      <c r="H35" s="424">
        <f t="shared" si="0"/>
        <v>6499.365328431114</v>
      </c>
      <c r="I35" s="447">
        <f>'ANALYSE - ERP =&gt; SOUS-SEGMENT'!$EX$66</f>
        <v>32496.826642155571</v>
      </c>
      <c r="J35" s="427">
        <f>'ANALYSE - ERP =&gt; SOUS-SEGMENT'!$EY$66</f>
        <v>23440.799142155571</v>
      </c>
      <c r="K35" s="427">
        <f>'ANALYSE - ERP =&gt; SOUS-SEGMENT'!$EZ$66</f>
        <v>9056.0275000000001</v>
      </c>
      <c r="L35" s="787">
        <f>'ANALYSE - ERP =&gt; SOUS-SEGMENT'!$EV$66</f>
        <v>0.72132578975411921</v>
      </c>
      <c r="M35" s="787">
        <f>'ANALYSE - ERP =&gt; SOUS-SEGMENT'!$EW$66</f>
        <v>0.27867421024588074</v>
      </c>
      <c r="N35" s="916">
        <f>20*'ANALYSE - ERP =&gt; SOUS-SEGMENT'!$FU$66</f>
        <v>77.599999999999994</v>
      </c>
      <c r="O35" s="916">
        <f>20*'ANALYSE - ERP =&gt; SOUS-SEGMENT'!$FW$66</f>
        <v>42.599999999999994</v>
      </c>
      <c r="P35" s="916">
        <f>20*'ANALYSE - ERP =&gt; SOUS-SEGMENT'!$FS$66</f>
        <v>61.8</v>
      </c>
      <c r="Q35" s="430">
        <f>'ANALYSE - ERP =&gt; SOUS-SEGMENT'!$Q$66</f>
        <v>1</v>
      </c>
    </row>
    <row r="36" spans="1:17" ht="15" customHeight="1">
      <c r="A36" s="26">
        <v>33</v>
      </c>
      <c r="B36" s="26">
        <v>33</v>
      </c>
      <c r="C36" s="26">
        <v>37</v>
      </c>
      <c r="D36" s="422">
        <f>'ANALYSE - ERP =&gt; SOUS-SEGMENT'!$A$28</f>
        <v>21</v>
      </c>
      <c r="E36" s="410" t="str">
        <f>'ANALYSE - ERP =&gt; SOUS-SEGMENT'!$B$28</f>
        <v>Sports &amp; Loisirs</v>
      </c>
      <c r="F36" s="410" t="str">
        <f>'ANALYSE - ERP =&gt; SOUS-SEGMENT'!$C$28</f>
        <v>Sport de plein air</v>
      </c>
      <c r="G36" s="410" t="str">
        <f>'ANALYSE - ERP =&gt; SOUS-SEGMENT'!$D$28</f>
        <v>Stades avec tribunes
(Hors grands stades, hors terrains sport)</v>
      </c>
      <c r="H36" s="424">
        <f t="shared" ref="H36:H67" si="1">I36/5</f>
        <v>7346.8496364848488</v>
      </c>
      <c r="I36" s="447">
        <f>'ANALYSE - ERP =&gt; SOUS-SEGMENT'!$EX$28</f>
        <v>36734.248182424242</v>
      </c>
      <c r="J36" s="427">
        <f>'ANALYSE - ERP =&gt; SOUS-SEGMENT'!$EY$28</f>
        <v>29300.617382424243</v>
      </c>
      <c r="K36" s="427">
        <f>'ANALYSE - ERP =&gt; SOUS-SEGMENT'!$EZ$28</f>
        <v>7433.6307999999999</v>
      </c>
      <c r="L36" s="787">
        <f>'ANALYSE - ERP =&gt; SOUS-SEGMENT'!$EV$28</f>
        <v>0.79763759521947497</v>
      </c>
      <c r="M36" s="787">
        <f>'ANALYSE - ERP =&gt; SOUS-SEGMENT'!$EW$28</f>
        <v>0.20236240478052503</v>
      </c>
      <c r="N36" s="916">
        <f>20*'ANALYSE - ERP =&gt; SOUS-SEGMENT'!$FU$28</f>
        <v>83</v>
      </c>
      <c r="O36" s="916">
        <f>20*'ANALYSE - ERP =&gt; SOUS-SEGMENT'!$FW$28</f>
        <v>50</v>
      </c>
      <c r="P36" s="916">
        <f>20*'ANALYSE - ERP =&gt; SOUS-SEGMENT'!$FS$28</f>
        <v>68.2</v>
      </c>
      <c r="Q36" s="430">
        <f>'ANALYSE - ERP =&gt; SOUS-SEGMENT'!$Q$28</f>
        <v>1</v>
      </c>
    </row>
    <row r="37" spans="1:17" ht="15" customHeight="1">
      <c r="A37" s="26">
        <v>34</v>
      </c>
      <c r="B37" s="26">
        <v>34</v>
      </c>
      <c r="C37" s="26">
        <v>42</v>
      </c>
      <c r="D37" s="422">
        <f>'ANALYSE - ERP =&gt; SOUS-SEGMENT'!$A$59</f>
        <v>52</v>
      </c>
      <c r="E37" s="409" t="str">
        <f>'ANALYSE - ERP =&gt; SOUS-SEGMENT'!$B$59</f>
        <v>Santé &amp; Médico-social</v>
      </c>
      <c r="F37" s="409" t="str">
        <f>'ANALYSE - ERP =&gt; SOUS-SEGMENT'!$C$59</f>
        <v>Médico-social</v>
      </c>
      <c r="G37" s="409" t="str">
        <f>'ANALYSE - ERP =&gt; SOUS-SEGMENT'!$D$59</f>
        <v>USLD</v>
      </c>
      <c r="H37" s="424">
        <f t="shared" si="1"/>
        <v>6494.5122180419585</v>
      </c>
      <c r="I37" s="447">
        <f>'ANALYSE - ERP =&gt; SOUS-SEGMENT'!$EX$59</f>
        <v>32472.561090209791</v>
      </c>
      <c r="J37" s="427">
        <f>'ANALYSE - ERP =&gt; SOUS-SEGMENT'!$EY$59</f>
        <v>27379.036290209791</v>
      </c>
      <c r="K37" s="427">
        <f>'ANALYSE - ERP =&gt; SOUS-SEGMENT'!$EZ$59</f>
        <v>5093.5247999999992</v>
      </c>
      <c r="L37" s="787">
        <f>'ANALYSE - ERP =&gt; SOUS-SEGMENT'!$EV$59</f>
        <v>0.84314373030664169</v>
      </c>
      <c r="M37" s="787">
        <f>'ANALYSE - ERP =&gt; SOUS-SEGMENT'!$EW$59</f>
        <v>0.15685626969335828</v>
      </c>
      <c r="N37" s="916">
        <f>20*'ANALYSE - ERP =&gt; SOUS-SEGMENT'!$FU$59</f>
        <v>85.600000000000009</v>
      </c>
      <c r="O37" s="916">
        <f>20*'ANALYSE - ERP =&gt; SOUS-SEGMENT'!$FW$59</f>
        <v>45</v>
      </c>
      <c r="P37" s="916">
        <f>20*'ANALYSE - ERP =&gt; SOUS-SEGMENT'!$FS$59</f>
        <v>67.400000000000006</v>
      </c>
      <c r="Q37" s="430">
        <f>'ANALYSE - ERP =&gt; SOUS-SEGMENT'!$Q$59</f>
        <v>1</v>
      </c>
    </row>
    <row r="38" spans="1:17" s="45" customFormat="1" ht="15" customHeight="1">
      <c r="A38" s="406">
        <v>35</v>
      </c>
      <c r="B38" s="406">
        <v>35</v>
      </c>
      <c r="C38" s="406">
        <v>40</v>
      </c>
      <c r="D38" s="448">
        <f>'ANALYSE - ERP =&gt; SOUS-SEGMENT'!$A$50</f>
        <v>43</v>
      </c>
      <c r="E38" s="449" t="str">
        <f>'ANALYSE - ERP =&gt; SOUS-SEGMENT'!$B$50</f>
        <v>Santé &amp; Médico-social</v>
      </c>
      <c r="F38" s="449" t="str">
        <f>'ANALYSE - ERP =&gt; SOUS-SEGMENT'!$C$50</f>
        <v>Santé spécialisée</v>
      </c>
      <c r="G38" s="449" t="str">
        <f>'ANALYSE - ERP =&gt; SOUS-SEGMENT'!$D$50</f>
        <v>Centres de rééducation</v>
      </c>
      <c r="H38" s="425">
        <f t="shared" si="1"/>
        <v>6849.0894691114736</v>
      </c>
      <c r="I38" s="407">
        <f>'ANALYSE - ERP =&gt; SOUS-SEGMENT'!$EX$50</f>
        <v>34245.447345557368</v>
      </c>
      <c r="J38" s="407">
        <f>'ANALYSE - ERP =&gt; SOUS-SEGMENT'!$EY$50</f>
        <v>28093.77028555737</v>
      </c>
      <c r="K38" s="407">
        <f>'ANALYSE - ERP =&gt; SOUS-SEGMENT'!$EZ$50</f>
        <v>6151.67706</v>
      </c>
      <c r="L38" s="788">
        <f>'ANALYSE - ERP =&gt; SOUS-SEGMENT'!$EV$50</f>
        <v>0.82036511312216664</v>
      </c>
      <c r="M38" s="788">
        <f>'ANALYSE - ERP =&gt; SOUS-SEGMENT'!$EW$50</f>
        <v>0.17963488687783347</v>
      </c>
      <c r="N38" s="917">
        <f>20*'ANALYSE - ERP =&gt; SOUS-SEGMENT'!$FU$50</f>
        <v>82.6</v>
      </c>
      <c r="O38" s="917">
        <f>20*'ANALYSE - ERP =&gt; SOUS-SEGMENT'!$FW$50</f>
        <v>46.4</v>
      </c>
      <c r="P38" s="917">
        <f>20*'ANALYSE - ERP =&gt; SOUS-SEGMENT'!$FS$50</f>
        <v>66.399999999999991</v>
      </c>
      <c r="Q38" s="450">
        <f>'ANALYSE - ERP =&gt; SOUS-SEGMENT'!$Q$50</f>
        <v>0</v>
      </c>
    </row>
    <row r="39" spans="1:17" s="45" customFormat="1" ht="15" customHeight="1">
      <c r="A39" s="406">
        <v>36</v>
      </c>
      <c r="B39" s="406">
        <v>37</v>
      </c>
      <c r="C39" s="406">
        <v>34</v>
      </c>
      <c r="D39" s="448">
        <f>'ANALYSE - ERP =&gt; SOUS-SEGMENT'!$A$49</f>
        <v>42</v>
      </c>
      <c r="E39" s="449" t="str">
        <f>'ANALYSE - ERP =&gt; SOUS-SEGMENT'!$B$49</f>
        <v>Santé &amp; Médico-social</v>
      </c>
      <c r="F39" s="449" t="str">
        <f>'ANALYSE - ERP =&gt; SOUS-SEGMENT'!$C$49</f>
        <v>Santé spécialisée</v>
      </c>
      <c r="G39" s="449" t="str">
        <f>'ANALYSE - ERP =&gt; SOUS-SEGMENT'!$D$49</f>
        <v>Centres de psychiatrie</v>
      </c>
      <c r="H39" s="425">
        <f t="shared" si="1"/>
        <v>6685.4303546590909</v>
      </c>
      <c r="I39" s="407">
        <f>'ANALYSE - ERP =&gt; SOUS-SEGMENT'!$EX$49</f>
        <v>33427.151773295453</v>
      </c>
      <c r="J39" s="407">
        <f>'ANALYSE - ERP =&gt; SOUS-SEGMENT'!$EY$49</f>
        <v>23338.272173295452</v>
      </c>
      <c r="K39" s="407">
        <f>'ANALYSE - ERP =&gt; SOUS-SEGMENT'!$EZ$49</f>
        <v>10088.8796</v>
      </c>
      <c r="L39" s="788">
        <f>'ANALYSE - ERP =&gt; SOUS-SEGMENT'!$EV$49</f>
        <v>0.69818309174460136</v>
      </c>
      <c r="M39" s="788">
        <f>'ANALYSE - ERP =&gt; SOUS-SEGMENT'!$EW$49</f>
        <v>0.30181690825539864</v>
      </c>
      <c r="N39" s="917">
        <f>20*'ANALYSE - ERP =&gt; SOUS-SEGMENT'!$FU$49</f>
        <v>82.6</v>
      </c>
      <c r="O39" s="917">
        <f>20*'ANALYSE - ERP =&gt; SOUS-SEGMENT'!$FW$49</f>
        <v>48.6</v>
      </c>
      <c r="P39" s="917">
        <f>20*'ANALYSE - ERP =&gt; SOUS-SEGMENT'!$FS$49</f>
        <v>67.400000000000006</v>
      </c>
      <c r="Q39" s="450">
        <f>'ANALYSE - ERP =&gt; SOUS-SEGMENT'!$Q$49</f>
        <v>0</v>
      </c>
    </row>
    <row r="40" spans="1:17" ht="15" customHeight="1">
      <c r="A40" s="26">
        <v>37</v>
      </c>
      <c r="B40" s="26">
        <v>36</v>
      </c>
      <c r="C40" s="26">
        <v>43</v>
      </c>
      <c r="D40" s="422">
        <f>'ANALYSE - ERP =&gt; SOUS-SEGMENT'!$A$120</f>
        <v>113</v>
      </c>
      <c r="E40" s="415" t="str">
        <f>'ANALYSE - ERP =&gt; SOUS-SEGMENT'!$B$120</f>
        <v>Culte, Vie civique &amp; Services publics</v>
      </c>
      <c r="F40" s="415" t="str">
        <f>'ANALYSE - ERP =&gt; SOUS-SEGMENT'!$C$120</f>
        <v>Vie associative</v>
      </c>
      <c r="G40" s="415" t="str">
        <f>'ANALYSE - ERP =&gt; SOUS-SEGMENT'!$D$120</f>
        <v>Locaux associatifs recevant du public (dotés de sanitaires)</v>
      </c>
      <c r="H40" s="424">
        <f t="shared" si="1"/>
        <v>2256.7012686233766</v>
      </c>
      <c r="I40" s="447">
        <f>'ANALYSE - ERP =&gt; SOUS-SEGMENT'!$EX$120</f>
        <v>11283.506343116884</v>
      </c>
      <c r="J40" s="427">
        <f>'ANALYSE - ERP =&gt; SOUS-SEGMENT'!$EY$120</f>
        <v>8620.820343116884</v>
      </c>
      <c r="K40" s="427">
        <f>'ANALYSE - ERP =&gt; SOUS-SEGMENT'!$EZ$120</f>
        <v>2662.6859999999997</v>
      </c>
      <c r="L40" s="787">
        <f>'ANALYSE - ERP =&gt; SOUS-SEGMENT'!$EV$120</f>
        <v>0.76401963015474528</v>
      </c>
      <c r="M40" s="787">
        <f>'ANALYSE - ERP =&gt; SOUS-SEGMENT'!$EW$120</f>
        <v>0.23598036984525469</v>
      </c>
      <c r="N40" s="916">
        <f>20*'ANALYSE - ERP =&gt; SOUS-SEGMENT'!$FU$120</f>
        <v>71.8</v>
      </c>
      <c r="O40" s="916">
        <f>20*'ANALYSE - ERP =&gt; SOUS-SEGMENT'!$FW$120</f>
        <v>34.799999999999997</v>
      </c>
      <c r="P40" s="916">
        <f>20*'ANALYSE - ERP =&gt; SOUS-SEGMENT'!$FS$120</f>
        <v>58.4</v>
      </c>
      <c r="Q40" s="430">
        <f>'ANALYSE - ERP =&gt; SOUS-SEGMENT'!$Q$120</f>
        <v>1</v>
      </c>
    </row>
    <row r="41" spans="1:17" ht="15" customHeight="1">
      <c r="A41" s="26">
        <v>38</v>
      </c>
      <c r="B41" s="26">
        <v>38</v>
      </c>
      <c r="C41" s="26">
        <v>38</v>
      </c>
      <c r="D41" s="422">
        <f>'ANALYSE - ERP =&gt; SOUS-SEGMENT'!$A$73</f>
        <v>66</v>
      </c>
      <c r="E41" s="414" t="str">
        <f>'ANALYSE - ERP =&gt; SOUS-SEGMENT'!$B$73</f>
        <v>Culture, Patrimoine &amp; Evénementiel</v>
      </c>
      <c r="F41" s="414" t="str">
        <f>'ANALYSE - ERP =&gt; SOUS-SEGMENT'!$C$73</f>
        <v>Événementiel temporaire</v>
      </c>
      <c r="G41" s="414" t="str">
        <f>'ANALYSE - ERP =&gt; SOUS-SEGMENT'!$D$73</f>
        <v>Structures gonflables</v>
      </c>
      <c r="H41" s="424">
        <f t="shared" si="1"/>
        <v>228.66738599999999</v>
      </c>
      <c r="I41" s="447">
        <f>'ANALYSE - ERP =&gt; SOUS-SEGMENT'!$EX$73</f>
        <v>1143.3369299999999</v>
      </c>
      <c r="J41" s="427">
        <f>'ANALYSE - ERP =&gt; SOUS-SEGMENT'!$EY$73</f>
        <v>856.46773000000007</v>
      </c>
      <c r="K41" s="427">
        <f>'ANALYSE - ERP =&gt; SOUS-SEGMENT'!$EZ$73</f>
        <v>286.86919999999998</v>
      </c>
      <c r="L41" s="787">
        <f>'ANALYSE - ERP =&gt; SOUS-SEGMENT'!$EV$73</f>
        <v>0.74909478345985037</v>
      </c>
      <c r="M41" s="787">
        <f>'ANALYSE - ERP =&gt; SOUS-SEGMENT'!$EW$73</f>
        <v>0.25090521654014969</v>
      </c>
      <c r="N41" s="916">
        <f>20*'ANALYSE - ERP =&gt; SOUS-SEGMENT'!$FU$73</f>
        <v>75.599999999999994</v>
      </c>
      <c r="O41" s="916">
        <f>20*'ANALYSE - ERP =&gt; SOUS-SEGMENT'!$FW$73</f>
        <v>44</v>
      </c>
      <c r="P41" s="916">
        <f>20*'ANALYSE - ERP =&gt; SOUS-SEGMENT'!$FS$73</f>
        <v>61.4</v>
      </c>
      <c r="Q41" s="430">
        <f>'ANALYSE - ERP =&gt; SOUS-SEGMENT'!$Q$73</f>
        <v>1</v>
      </c>
    </row>
    <row r="42" spans="1:17" ht="15" customHeight="1">
      <c r="A42" s="26">
        <v>39</v>
      </c>
      <c r="B42" s="26">
        <v>42</v>
      </c>
      <c r="C42" s="26">
        <v>36</v>
      </c>
      <c r="D42" s="422">
        <f>'ANALYSE - ERP =&gt; SOUS-SEGMENT'!$A$142</f>
        <v>135</v>
      </c>
      <c r="E42" s="417" t="str">
        <f>'ANALYSE - ERP =&gt; SOUS-SEGMENT'!$B$142</f>
        <v>Sécurité &amp; Justice</v>
      </c>
      <c r="F42" s="417" t="str">
        <f>'ANALYSE - ERP =&gt; SOUS-SEGMENT'!$C$142</f>
        <v>Univers carcéral</v>
      </c>
      <c r="G42" s="417" t="str">
        <f>'ANALYSE - ERP =&gt; SOUS-SEGMENT'!$D$142</f>
        <v>Centres pénitentiaires</v>
      </c>
      <c r="H42" s="424">
        <f t="shared" si="1"/>
        <v>4840.6842474545456</v>
      </c>
      <c r="I42" s="447">
        <f>'ANALYSE - ERP =&gt; SOUS-SEGMENT'!$EX$142</f>
        <v>24203.421237272727</v>
      </c>
      <c r="J42" s="427">
        <f>'ANALYSE - ERP =&gt; SOUS-SEGMENT'!$EY$142</f>
        <v>15142.271477272727</v>
      </c>
      <c r="K42" s="427">
        <f>'ANALYSE - ERP =&gt; SOUS-SEGMENT'!$EZ$142</f>
        <v>9061.1497600000002</v>
      </c>
      <c r="L42" s="787">
        <f>'ANALYSE - ERP =&gt; SOUS-SEGMENT'!$EV$142</f>
        <v>0.62562525061349461</v>
      </c>
      <c r="M42" s="787">
        <f>'ANALYSE - ERP =&gt; SOUS-SEGMENT'!$EW$142</f>
        <v>0.37437474938650545</v>
      </c>
      <c r="N42" s="916">
        <f>20*'ANALYSE - ERP =&gt; SOUS-SEGMENT'!$FU$142</f>
        <v>86.4</v>
      </c>
      <c r="O42" s="916">
        <f>20*'ANALYSE - ERP =&gt; SOUS-SEGMENT'!$FW$142</f>
        <v>71.8</v>
      </c>
      <c r="P42" s="916">
        <f>20*'ANALYSE - ERP =&gt; SOUS-SEGMENT'!$FS$142</f>
        <v>79.800000000000011</v>
      </c>
      <c r="Q42" s="430">
        <f>'ANALYSE - ERP =&gt; SOUS-SEGMENT'!$Q$142</f>
        <v>1</v>
      </c>
    </row>
    <row r="43" spans="1:17" ht="15" customHeight="1">
      <c r="A43" s="26">
        <v>40</v>
      </c>
      <c r="B43" s="26">
        <v>39</v>
      </c>
      <c r="C43" s="26">
        <v>39</v>
      </c>
      <c r="D43" s="422">
        <f>'ANALYSE - ERP =&gt; SOUS-SEGMENT'!$A$15</f>
        <v>8</v>
      </c>
      <c r="E43" s="411" t="str">
        <f>'ANALYSE - ERP =&gt; SOUS-SEGMENT'!$B$15</f>
        <v>Enfance, Enseignement, Jeunesse &amp; Formation</v>
      </c>
      <c r="F43" s="411" t="str">
        <f>'ANALYSE - ERP =&gt; SOUS-SEGMENT'!$C$15</f>
        <v>Enseignement scolaire</v>
      </c>
      <c r="G43" s="411" t="str">
        <f>'ANALYSE - ERP =&gt; SOUS-SEGMENT'!$D$15</f>
        <v>Internats scolaires</v>
      </c>
      <c r="H43" s="424">
        <f t="shared" si="1"/>
        <v>4489.2647301887991</v>
      </c>
      <c r="I43" s="447">
        <f>'ANALYSE - ERP =&gt; SOUS-SEGMENT'!$EX$15</f>
        <v>22446.323650943996</v>
      </c>
      <c r="J43" s="427">
        <f>'ANALYSE - ERP =&gt; SOUS-SEGMENT'!$EY$15</f>
        <v>16401.867490943998</v>
      </c>
      <c r="K43" s="427">
        <f>'ANALYSE - ERP =&gt; SOUS-SEGMENT'!$EZ$15</f>
        <v>6044.4561599999997</v>
      </c>
      <c r="L43" s="787">
        <f>'ANALYSE - ERP =&gt; SOUS-SEGMENT'!$EV$15</f>
        <v>0.73071509375007193</v>
      </c>
      <c r="M43" s="787">
        <f>'ANALYSE - ERP =&gt; SOUS-SEGMENT'!$EW$15</f>
        <v>0.26928490624992818</v>
      </c>
      <c r="N43" s="916">
        <f>20*'ANALYSE - ERP =&gt; SOUS-SEGMENT'!$FU$15</f>
        <v>79</v>
      </c>
      <c r="O43" s="916">
        <f>20*'ANALYSE - ERP =&gt; SOUS-SEGMENT'!$FW$15</f>
        <v>43.8</v>
      </c>
      <c r="P43" s="916">
        <f>20*'ANALYSE - ERP =&gt; SOUS-SEGMENT'!$FS$15</f>
        <v>63.2</v>
      </c>
      <c r="Q43" s="430">
        <f>'ANALYSE - ERP =&gt; SOUS-SEGMENT'!$Q$15</f>
        <v>1</v>
      </c>
    </row>
    <row r="44" spans="1:17" ht="15" customHeight="1">
      <c r="A44" s="26">
        <v>41</v>
      </c>
      <c r="B44" s="26">
        <v>40</v>
      </c>
      <c r="C44" s="26">
        <v>45</v>
      </c>
      <c r="D44" s="422" t="e">
        <f>'ANALYSE - ERP =&gt; SOUS-SEGMENT'!#REF!</f>
        <v>#REF!</v>
      </c>
      <c r="E44" s="411" t="e">
        <f>'ANALYSE - ERP =&gt; SOUS-SEGMENT'!#REF!</f>
        <v>#REF!</v>
      </c>
      <c r="F44" s="411" t="e">
        <f>'ANALYSE - ERP =&gt; SOUS-SEGMENT'!#REF!</f>
        <v>#REF!</v>
      </c>
      <c r="G44" s="411" t="e">
        <f>'ANALYSE - ERP =&gt; SOUS-SEGMENT'!#REF!</f>
        <v>#REF!</v>
      </c>
      <c r="H44" s="424" t="e">
        <f t="shared" si="1"/>
        <v>#REF!</v>
      </c>
      <c r="I44" s="447" t="e">
        <f>'ANALYSE - ERP =&gt; SOUS-SEGMENT'!#REF!</f>
        <v>#REF!</v>
      </c>
      <c r="J44" s="427" t="e">
        <f>'ANALYSE - ERP =&gt; SOUS-SEGMENT'!#REF!</f>
        <v>#REF!</v>
      </c>
      <c r="K44" s="427" t="e">
        <f>'ANALYSE - ERP =&gt; SOUS-SEGMENT'!#REF!</f>
        <v>#REF!</v>
      </c>
      <c r="L44" s="787" t="e">
        <f>'ANALYSE - ERP =&gt; SOUS-SEGMENT'!#REF!</f>
        <v>#REF!</v>
      </c>
      <c r="M44" s="787" t="e">
        <f>'ANALYSE - ERP =&gt; SOUS-SEGMENT'!#REF!</f>
        <v>#REF!</v>
      </c>
      <c r="N44" s="916" t="e">
        <f>20*'ANALYSE - ERP =&gt; SOUS-SEGMENT'!#REF!</f>
        <v>#REF!</v>
      </c>
      <c r="O44" s="916" t="e">
        <f>20*'ANALYSE - ERP =&gt; SOUS-SEGMENT'!#REF!</f>
        <v>#REF!</v>
      </c>
      <c r="P44" s="916" t="e">
        <f>20*'ANALYSE - ERP =&gt; SOUS-SEGMENT'!#REF!</f>
        <v>#REF!</v>
      </c>
      <c r="Q44" s="430" t="e">
        <f>'ANALYSE - ERP =&gt; SOUS-SEGMENT'!#REF!</f>
        <v>#REF!</v>
      </c>
    </row>
    <row r="45" spans="1:17" ht="15" customHeight="1">
      <c r="A45" s="26">
        <v>42</v>
      </c>
      <c r="B45" s="26">
        <v>65</v>
      </c>
      <c r="C45" s="26">
        <v>24</v>
      </c>
      <c r="D45" s="422">
        <f>'ANALYSE - ERP =&gt; SOUS-SEGMENT'!$A$54</f>
        <v>47</v>
      </c>
      <c r="E45" s="409" t="str">
        <f>'ANALYSE - ERP =&gt; SOUS-SEGMENT'!$B$54</f>
        <v>Santé &amp; Médico-social</v>
      </c>
      <c r="F45" s="409" t="str">
        <f>'ANALYSE - ERP =&gt; SOUS-SEGMENT'!$C$54</f>
        <v>Santé ambulatoire</v>
      </c>
      <c r="G45" s="409" t="str">
        <f>'ANALYSE - ERP =&gt; SOUS-SEGMENT'!$D$54</f>
        <v>Maisons de santé</v>
      </c>
      <c r="H45" s="424">
        <f t="shared" si="1"/>
        <v>3776.8682054787278</v>
      </c>
      <c r="I45" s="447">
        <f>'ANALYSE - ERP =&gt; SOUS-SEGMENT'!$EX$54</f>
        <v>18884.341027393639</v>
      </c>
      <c r="J45" s="427">
        <f>'ANALYSE - ERP =&gt; SOUS-SEGMENT'!$EY$54</f>
        <v>4677.2910273936359</v>
      </c>
      <c r="K45" s="427">
        <f>'ANALYSE - ERP =&gt; SOUS-SEGMENT'!$EZ$54</f>
        <v>14207.050000000001</v>
      </c>
      <c r="L45" s="787">
        <f>'ANALYSE - ERP =&gt; SOUS-SEGMENT'!$EV$54</f>
        <v>0.24768092360801758</v>
      </c>
      <c r="M45" s="787">
        <f>'ANALYSE - ERP =&gt; SOUS-SEGMENT'!$EW$54</f>
        <v>0.75231907639198237</v>
      </c>
      <c r="N45" s="916">
        <f>20*'ANALYSE - ERP =&gt; SOUS-SEGMENT'!$FU$54</f>
        <v>78.2</v>
      </c>
      <c r="O45" s="916">
        <f>20*'ANALYSE - ERP =&gt; SOUS-SEGMENT'!$FW$54</f>
        <v>84.399999999999991</v>
      </c>
      <c r="P45" s="916">
        <f>20*'ANALYSE - ERP =&gt; SOUS-SEGMENT'!$FS$54</f>
        <v>81</v>
      </c>
      <c r="Q45" s="430">
        <f>'ANALYSE - ERP =&gt; SOUS-SEGMENT'!$Q$54</f>
        <v>1</v>
      </c>
    </row>
    <row r="46" spans="1:17" s="45" customFormat="1" ht="15" customHeight="1">
      <c r="A46" s="406">
        <v>43</v>
      </c>
      <c r="B46" s="406">
        <v>43</v>
      </c>
      <c r="C46" s="406">
        <v>52</v>
      </c>
      <c r="D46" s="448">
        <f>'ANALYSE - ERP =&gt; SOUS-SEGMENT'!$A$51</f>
        <v>44</v>
      </c>
      <c r="E46" s="449" t="str">
        <f>'ANALYSE - ERP =&gt; SOUS-SEGMENT'!$B$51</f>
        <v>Santé &amp; Médico-social</v>
      </c>
      <c r="F46" s="449" t="str">
        <f>'ANALYSE - ERP =&gt; SOUS-SEGMENT'!$C$51</f>
        <v>Santé spécialisée</v>
      </c>
      <c r="G46" s="449" t="str">
        <f>'ANALYSE - ERP =&gt; SOUS-SEGMENT'!$D$51</f>
        <v>Maternités</v>
      </c>
      <c r="H46" s="425">
        <f t="shared" si="1"/>
        <v>3918.1524049999998</v>
      </c>
      <c r="I46" s="407">
        <f>'ANALYSE - ERP =&gt; SOUS-SEGMENT'!$EX$51</f>
        <v>19590.762025</v>
      </c>
      <c r="J46" s="407">
        <f>'ANALYSE - ERP =&gt; SOUS-SEGMENT'!$EY$51</f>
        <v>16487.278624999999</v>
      </c>
      <c r="K46" s="407">
        <f>'ANALYSE - ERP =&gt; SOUS-SEGMENT'!$EZ$51</f>
        <v>3103.4834000000001</v>
      </c>
      <c r="L46" s="788">
        <f>'ANALYSE - ERP =&gt; SOUS-SEGMENT'!$EV$51</f>
        <v>0.84158434490503176</v>
      </c>
      <c r="M46" s="788">
        <f>'ANALYSE - ERP =&gt; SOUS-SEGMENT'!$EW$51</f>
        <v>0.15841565509496816</v>
      </c>
      <c r="N46" s="917">
        <f>20*'ANALYSE - ERP =&gt; SOUS-SEGMENT'!$FU$51</f>
        <v>83.6</v>
      </c>
      <c r="O46" s="917">
        <f>20*'ANALYSE - ERP =&gt; SOUS-SEGMENT'!$FW$51</f>
        <v>46</v>
      </c>
      <c r="P46" s="917">
        <f>20*'ANALYSE - ERP =&gt; SOUS-SEGMENT'!$FS$51</f>
        <v>66.599999999999994</v>
      </c>
      <c r="Q46" s="450">
        <f>'ANALYSE - ERP =&gt; SOUS-SEGMENT'!$Q$51</f>
        <v>0</v>
      </c>
    </row>
    <row r="47" spans="1:17" ht="15" customHeight="1">
      <c r="A47" s="26">
        <v>44</v>
      </c>
      <c r="B47" s="26">
        <v>41</v>
      </c>
      <c r="C47" s="26">
        <v>65</v>
      </c>
      <c r="D47" s="422">
        <f>'ANALYSE - ERP =&gt; SOUS-SEGMENT'!$A$31</f>
        <v>24</v>
      </c>
      <c r="E47" s="410" t="str">
        <f>'ANALYSE - ERP =&gt; SOUS-SEGMENT'!$B$31</f>
        <v>Sports &amp; Loisirs</v>
      </c>
      <c r="F47" s="410" t="str">
        <f>'ANALYSE - ERP =&gt; SOUS-SEGMENT'!$C$31</f>
        <v>Sport de plein air</v>
      </c>
      <c r="G47" s="410" t="str">
        <f>'ANALYSE - ERP =&gt; SOUS-SEGMENT'!$D$31</f>
        <v>Piscines extérieures 
(Hors campings, hôtels, résidences et établissement avec bassin intérieur)</v>
      </c>
      <c r="H47" s="424">
        <f t="shared" si="1"/>
        <v>3615.7377170787877</v>
      </c>
      <c r="I47" s="447">
        <f>'ANALYSE - ERP =&gt; SOUS-SEGMENT'!$EX$31</f>
        <v>18078.688585393938</v>
      </c>
      <c r="J47" s="427">
        <f>'ANALYSE - ERP =&gt; SOUS-SEGMENT'!$EY$31</f>
        <v>16083.604585393938</v>
      </c>
      <c r="K47" s="427">
        <f>'ANALYSE - ERP =&gt; SOUS-SEGMENT'!$EZ$31</f>
        <v>1995.0839999999998</v>
      </c>
      <c r="L47" s="787">
        <f>'ANALYSE - ERP =&gt; SOUS-SEGMENT'!$EV$31</f>
        <v>0.88964442909803421</v>
      </c>
      <c r="M47" s="787">
        <f>'ANALYSE - ERP =&gt; SOUS-SEGMENT'!$EW$31</f>
        <v>0.11035557090196577</v>
      </c>
      <c r="N47" s="916">
        <f>20*'ANALYSE - ERP =&gt; SOUS-SEGMENT'!$FU$31</f>
        <v>86</v>
      </c>
      <c r="O47" s="916">
        <f>20*'ANALYSE - ERP =&gt; SOUS-SEGMENT'!$FW$31</f>
        <v>40.599999999999994</v>
      </c>
      <c r="P47" s="916">
        <f>20*'ANALYSE - ERP =&gt; SOUS-SEGMENT'!$FS$31</f>
        <v>65.599999999999994</v>
      </c>
      <c r="Q47" s="430">
        <f>'ANALYSE - ERP =&gt; SOUS-SEGMENT'!$Q$31</f>
        <v>1</v>
      </c>
    </row>
    <row r="48" spans="1:17" ht="15" customHeight="1">
      <c r="A48" s="26">
        <v>45</v>
      </c>
      <c r="B48" s="26">
        <v>45</v>
      </c>
      <c r="C48" s="26">
        <v>48</v>
      </c>
      <c r="D48" s="422">
        <f>'ANALYSE - ERP =&gt; SOUS-SEGMENT'!$A$62</f>
        <v>55</v>
      </c>
      <c r="E48" s="414" t="str">
        <f>'ANALYSE - ERP =&gt; SOUS-SEGMENT'!$B$62</f>
        <v>Culture, Patrimoine &amp; Evénementiel</v>
      </c>
      <c r="F48" s="414" t="str">
        <f>'ANALYSE - ERP =&gt; SOUS-SEGMENT'!$C$62</f>
        <v>Culture / spectacle</v>
      </c>
      <c r="G48" s="414" t="str">
        <f>'ANALYSE - ERP =&gt; SOUS-SEGMENT'!$D$62</f>
        <v>Cinémas</v>
      </c>
      <c r="H48" s="424">
        <f t="shared" si="1"/>
        <v>3502.6991450745454</v>
      </c>
      <c r="I48" s="447">
        <f>'ANALYSE - ERP =&gt; SOUS-SEGMENT'!$EX$62</f>
        <v>17513.495725372726</v>
      </c>
      <c r="J48" s="427">
        <f>'ANALYSE - ERP =&gt; SOUS-SEGMENT'!$EY$62</f>
        <v>14475.980125372726</v>
      </c>
      <c r="K48" s="427">
        <f>'ANALYSE - ERP =&gt; SOUS-SEGMENT'!$EZ$62</f>
        <v>3037.5155999999997</v>
      </c>
      <c r="L48" s="787">
        <f>'ANALYSE - ERP =&gt; SOUS-SEGMENT'!$EV$62</f>
        <v>0.82656143310102326</v>
      </c>
      <c r="M48" s="787">
        <f>'ANALYSE - ERP =&gt; SOUS-SEGMENT'!$EW$62</f>
        <v>0.17343856689897669</v>
      </c>
      <c r="N48" s="916">
        <f>20*'ANALYSE - ERP =&gt; SOUS-SEGMENT'!$FU$62</f>
        <v>77.2</v>
      </c>
      <c r="O48" s="916">
        <f>20*'ANALYSE - ERP =&gt; SOUS-SEGMENT'!$FW$62</f>
        <v>36.6</v>
      </c>
      <c r="P48" s="916">
        <f>20*'ANALYSE - ERP =&gt; SOUS-SEGMENT'!$FS$62</f>
        <v>59</v>
      </c>
      <c r="Q48" s="430">
        <f>'ANALYSE - ERP =&gt; SOUS-SEGMENT'!$Q$62</f>
        <v>1</v>
      </c>
    </row>
    <row r="49" spans="1:17" ht="15" customHeight="1">
      <c r="A49" s="26">
        <v>46</v>
      </c>
      <c r="B49" s="26">
        <v>44</v>
      </c>
      <c r="C49" s="26">
        <v>60</v>
      </c>
      <c r="D49" s="422">
        <f>'ANALYSE - ERP =&gt; SOUS-SEGMENT'!$A$42</f>
        <v>35</v>
      </c>
      <c r="E49" s="408" t="str">
        <f>'ANALYSE - ERP =&gt; SOUS-SEGMENT'!$B$42</f>
        <v>Sports &amp; Loisirs</v>
      </c>
      <c r="F49" s="408" t="str">
        <f>'ANALYSE - ERP =&gt; SOUS-SEGMENT'!$C$42</f>
        <v>Loisirs</v>
      </c>
      <c r="G49" s="408" t="str">
        <f>'ANALYSE - ERP =&gt; SOUS-SEGMENT'!$D$42</f>
        <v>Discothèques / Salles de danse</v>
      </c>
      <c r="H49" s="424">
        <f t="shared" si="1"/>
        <v>7628.399186333334</v>
      </c>
      <c r="I49" s="447">
        <f>'ANALYSE - ERP =&gt; SOUS-SEGMENT'!$EX$42</f>
        <v>38141.995931666672</v>
      </c>
      <c r="J49" s="427">
        <f>'ANALYSE - ERP =&gt; SOUS-SEGMENT'!$EY$42</f>
        <v>34127.635931666671</v>
      </c>
      <c r="K49" s="427">
        <f>'ANALYSE - ERP =&gt; SOUS-SEGMENT'!$EZ$42</f>
        <v>4014.36</v>
      </c>
      <c r="L49" s="787">
        <f>'ANALYSE - ERP =&gt; SOUS-SEGMENT'!$EV$42</f>
        <v>0.89475223039738316</v>
      </c>
      <c r="M49" s="787">
        <f>'ANALYSE - ERP =&gt; SOUS-SEGMENT'!$EW$42</f>
        <v>0.10524776960261677</v>
      </c>
      <c r="N49" s="916">
        <f>20*'ANALYSE - ERP =&gt; SOUS-SEGMENT'!$FU$42</f>
        <v>82.6</v>
      </c>
      <c r="O49" s="916">
        <f>20*'ANALYSE - ERP =&gt; SOUS-SEGMENT'!$FW$42</f>
        <v>53.8</v>
      </c>
      <c r="P49" s="916">
        <f>20*'ANALYSE - ERP =&gt; SOUS-SEGMENT'!$FS$42</f>
        <v>72.2</v>
      </c>
      <c r="Q49" s="430">
        <f>'ANALYSE - ERP =&gt; SOUS-SEGMENT'!$Q$42</f>
        <v>1</v>
      </c>
    </row>
    <row r="50" spans="1:17" ht="15" customHeight="1">
      <c r="A50" s="26">
        <v>47</v>
      </c>
      <c r="B50" s="26">
        <v>48</v>
      </c>
      <c r="C50" s="26">
        <v>44</v>
      </c>
      <c r="D50" s="422">
        <f>'ANALYSE - ERP =&gt; SOUS-SEGMENT'!$A$65</f>
        <v>58</v>
      </c>
      <c r="E50" s="414" t="str">
        <f>'ANALYSE - ERP =&gt; SOUS-SEGMENT'!$B$65</f>
        <v>Culture, Patrimoine &amp; Evénementiel</v>
      </c>
      <c r="F50" s="414" t="str">
        <f>'ANALYSE - ERP =&gt; SOUS-SEGMENT'!$C$65</f>
        <v>Culture / spectacle</v>
      </c>
      <c r="G50" s="414" t="str">
        <f>'ANALYSE - ERP =&gt; SOUS-SEGMENT'!$D$65</f>
        <v>Salles de spectacle / Auditoriums</v>
      </c>
      <c r="H50" s="424">
        <f t="shared" si="1"/>
        <v>3390.2423026327278</v>
      </c>
      <c r="I50" s="447">
        <f>'ANALYSE - ERP =&gt; SOUS-SEGMENT'!$EX$65</f>
        <v>16951.211513163638</v>
      </c>
      <c r="J50" s="427">
        <f>'ANALYSE - ERP =&gt; SOUS-SEGMENT'!$EY$65</f>
        <v>12259.679353163638</v>
      </c>
      <c r="K50" s="427">
        <f>'ANALYSE - ERP =&gt; SOUS-SEGMENT'!$EZ$65</f>
        <v>4691.5321599999997</v>
      </c>
      <c r="L50" s="787">
        <f>'ANALYSE - ERP =&gt; SOUS-SEGMENT'!$EV$65</f>
        <v>0.72323322398775192</v>
      </c>
      <c r="M50" s="787">
        <f>'ANALYSE - ERP =&gt; SOUS-SEGMENT'!$EW$65</f>
        <v>0.27676677601224797</v>
      </c>
      <c r="N50" s="916">
        <f>20*'ANALYSE - ERP =&gt; SOUS-SEGMENT'!$FU$65</f>
        <v>77.400000000000006</v>
      </c>
      <c r="O50" s="916">
        <f>20*'ANALYSE - ERP =&gt; SOUS-SEGMENT'!$FW$65</f>
        <v>42.599999999999994</v>
      </c>
      <c r="P50" s="916">
        <f>20*'ANALYSE - ERP =&gt; SOUS-SEGMENT'!$FS$65</f>
        <v>61.8</v>
      </c>
      <c r="Q50" s="430">
        <f>'ANALYSE - ERP =&gt; SOUS-SEGMENT'!$Q$65</f>
        <v>1</v>
      </c>
    </row>
    <row r="51" spans="1:17" ht="15" customHeight="1">
      <c r="A51" s="26">
        <v>48</v>
      </c>
      <c r="B51" s="26">
        <v>47</v>
      </c>
      <c r="C51" s="26">
        <v>46</v>
      </c>
      <c r="D51" s="422">
        <f>'ANALYSE - ERP =&gt; SOUS-SEGMENT'!$A$63</f>
        <v>56</v>
      </c>
      <c r="E51" s="414" t="str">
        <f>'ANALYSE - ERP =&gt; SOUS-SEGMENT'!$B$63</f>
        <v>Culture, Patrimoine &amp; Evénementiel</v>
      </c>
      <c r="F51" s="414" t="str">
        <f>'ANALYSE - ERP =&gt; SOUS-SEGMENT'!$C$63</f>
        <v>Culture / spectacle</v>
      </c>
      <c r="G51" s="414" t="str">
        <f>'ANALYSE - ERP =&gt; SOUS-SEGMENT'!$D$63</f>
        <v>Théâtres</v>
      </c>
      <c r="H51" s="424">
        <f t="shared" si="1"/>
        <v>3266.3949574782905</v>
      </c>
      <c r="I51" s="447">
        <f>'ANALYSE - ERP =&gt; SOUS-SEGMENT'!$EX$63</f>
        <v>16331.974787391453</v>
      </c>
      <c r="J51" s="427">
        <f>'ANALYSE - ERP =&gt; SOUS-SEGMENT'!$EY$63</f>
        <v>12718.614787391452</v>
      </c>
      <c r="K51" s="427">
        <f>'ANALYSE - ERP =&gt; SOUS-SEGMENT'!$EZ$63</f>
        <v>3613.3599999999997</v>
      </c>
      <c r="L51" s="787">
        <f>'ANALYSE - ERP =&gt; SOUS-SEGMENT'!$EV$63</f>
        <v>0.77875547525400468</v>
      </c>
      <c r="M51" s="787">
        <f>'ANALYSE - ERP =&gt; SOUS-SEGMENT'!$EW$63</f>
        <v>0.22124452474599529</v>
      </c>
      <c r="N51" s="916">
        <f>20*'ANALYSE - ERP =&gt; SOUS-SEGMENT'!$FU$63</f>
        <v>77.2</v>
      </c>
      <c r="O51" s="916">
        <f>20*'ANALYSE - ERP =&gt; SOUS-SEGMENT'!$FW$63</f>
        <v>37.799999999999997</v>
      </c>
      <c r="P51" s="916">
        <f>20*'ANALYSE - ERP =&gt; SOUS-SEGMENT'!$FS$63</f>
        <v>59.400000000000006</v>
      </c>
      <c r="Q51" s="430">
        <f>'ANALYSE - ERP =&gt; SOUS-SEGMENT'!$Q$63</f>
        <v>1</v>
      </c>
    </row>
    <row r="52" spans="1:17" ht="15" customHeight="1">
      <c r="A52" s="26">
        <v>49</v>
      </c>
      <c r="B52" s="26">
        <v>46</v>
      </c>
      <c r="C52" s="26">
        <v>58</v>
      </c>
      <c r="D52" s="422">
        <f>'ANALYSE - ERP =&gt; SOUS-SEGMENT'!$A$30</f>
        <v>23</v>
      </c>
      <c r="E52" s="410" t="str">
        <f>'ANALYSE - ERP =&gt; SOUS-SEGMENT'!$B$30</f>
        <v>Sports &amp; Loisirs</v>
      </c>
      <c r="F52" s="410" t="str">
        <f>'ANALYSE - ERP =&gt; SOUS-SEGMENT'!$C$30</f>
        <v>Sport de plein air</v>
      </c>
      <c r="G52" s="410" t="str">
        <f>'ANALYSE - ERP =&gt; SOUS-SEGMENT'!$D$30</f>
        <v>Hippodromes, Centres équestres &amp; Manèges couverts</v>
      </c>
      <c r="H52" s="424">
        <f t="shared" si="1"/>
        <v>9206.4531302922078</v>
      </c>
      <c r="I52" s="447">
        <f>'ANALYSE - ERP =&gt; SOUS-SEGMENT'!$EX$30</f>
        <v>46032.265651461035</v>
      </c>
      <c r="J52" s="427">
        <f>'ANALYSE - ERP =&gt; SOUS-SEGMENT'!$EY$30</f>
        <v>40161.400651461037</v>
      </c>
      <c r="K52" s="427">
        <f>'ANALYSE - ERP =&gt; SOUS-SEGMENT'!$EZ$30</f>
        <v>5870.8649999999998</v>
      </c>
      <c r="L52" s="787">
        <f>'ANALYSE - ERP =&gt; SOUS-SEGMENT'!$EV$30</f>
        <v>0.87246195865195997</v>
      </c>
      <c r="M52" s="787">
        <f>'ANALYSE - ERP =&gt; SOUS-SEGMENT'!$EW$30</f>
        <v>0.12753804134804</v>
      </c>
      <c r="N52" s="916">
        <f>20*'ANALYSE - ERP =&gt; SOUS-SEGMENT'!$FU$30</f>
        <v>89.800000000000011</v>
      </c>
      <c r="O52" s="916">
        <f>20*'ANALYSE - ERP =&gt; SOUS-SEGMENT'!$FW$30</f>
        <v>40</v>
      </c>
      <c r="P52" s="916">
        <f>20*'ANALYSE - ERP =&gt; SOUS-SEGMENT'!$FS$30</f>
        <v>71.8</v>
      </c>
      <c r="Q52" s="430">
        <f>'ANALYSE - ERP =&gt; SOUS-SEGMENT'!$Q$30</f>
        <v>1</v>
      </c>
    </row>
    <row r="53" spans="1:17" ht="15" customHeight="1">
      <c r="A53" s="26">
        <v>50</v>
      </c>
      <c r="B53" s="26">
        <v>49</v>
      </c>
      <c r="C53" s="26">
        <v>55</v>
      </c>
      <c r="D53" s="422">
        <f>'ANALYSE - ERP =&gt; SOUS-SEGMENT'!$A$60</f>
        <v>53</v>
      </c>
      <c r="E53" s="409" t="str">
        <f>'ANALYSE - ERP =&gt; SOUS-SEGMENT'!$B$60</f>
        <v>Santé &amp; Médico-social</v>
      </c>
      <c r="F53" s="409" t="str">
        <f>'ANALYSE - ERP =&gt; SOUS-SEGMENT'!$C$60</f>
        <v>Médico-social</v>
      </c>
      <c r="G53" s="409" t="str">
        <f>'ANALYSE - ERP =&gt; SOUS-SEGMENT'!$D$60</f>
        <v>Résidences autonomie
Foyers-logements
(Public)</v>
      </c>
      <c r="H53" s="424">
        <f t="shared" si="1"/>
        <v>2886.3106819032882</v>
      </c>
      <c r="I53" s="447">
        <f>'ANALYSE - ERP =&gt; SOUS-SEGMENT'!$EX$60</f>
        <v>14431.55340951644</v>
      </c>
      <c r="J53" s="427">
        <f>'ANALYSE - ERP =&gt; SOUS-SEGMENT'!$EY$60</f>
        <v>11849.934369516441</v>
      </c>
      <c r="K53" s="427">
        <f>'ANALYSE - ERP =&gt; SOUS-SEGMENT'!$EZ$60</f>
        <v>2581.61904</v>
      </c>
      <c r="L53" s="787">
        <f>'ANALYSE - ERP =&gt; SOUS-SEGMENT'!$EV$60</f>
        <v>0.82111287906833152</v>
      </c>
      <c r="M53" s="787">
        <f>'ANALYSE - ERP =&gt; SOUS-SEGMENT'!$EW$60</f>
        <v>0.17888712093166848</v>
      </c>
      <c r="N53" s="916">
        <f>20*'ANALYSE - ERP =&gt; SOUS-SEGMENT'!$FU$60</f>
        <v>73</v>
      </c>
      <c r="O53" s="916">
        <f>20*'ANALYSE - ERP =&gt; SOUS-SEGMENT'!$FW$60</f>
        <v>47.400000000000006</v>
      </c>
      <c r="P53" s="916">
        <f>20*'ANALYSE - ERP =&gt; SOUS-SEGMENT'!$FS$60</f>
        <v>61.4</v>
      </c>
      <c r="Q53" s="430">
        <f>'ANALYSE - ERP =&gt; SOUS-SEGMENT'!$Q$60</f>
        <v>1</v>
      </c>
    </row>
    <row r="54" spans="1:17" ht="15" customHeight="1">
      <c r="A54" s="26">
        <v>51</v>
      </c>
      <c r="B54" s="26">
        <v>51</v>
      </c>
      <c r="C54" s="26">
        <v>54</v>
      </c>
      <c r="D54" s="422">
        <f>'ANALYSE - ERP =&gt; SOUS-SEGMENT'!$A$139</f>
        <v>132</v>
      </c>
      <c r="E54" s="417" t="str">
        <f>'ANALYSE - ERP =&gt; SOUS-SEGMENT'!$B$139</f>
        <v>Sécurité &amp; Justice</v>
      </c>
      <c r="F54" s="417" t="str">
        <f>'ANALYSE - ERP =&gt; SOUS-SEGMENT'!$C$139</f>
        <v>Univers carcéral</v>
      </c>
      <c r="G54" s="417" t="str">
        <f>'ANALYSE - ERP =&gt; SOUS-SEGMENT'!$D$139</f>
        <v>Maisons d’arrêt</v>
      </c>
      <c r="H54" s="424">
        <f t="shared" si="1"/>
        <v>2743.7468296363636</v>
      </c>
      <c r="I54" s="447">
        <f>'ANALYSE - ERP =&gt; SOUS-SEGMENT'!$EX$139</f>
        <v>13718.734148181818</v>
      </c>
      <c r="J54" s="427">
        <f>'ANALYSE - ERP =&gt; SOUS-SEGMENT'!$EY$139</f>
        <v>11122.31856818182</v>
      </c>
      <c r="K54" s="427">
        <f>'ANALYSE - ERP =&gt; SOUS-SEGMENT'!$EZ$139</f>
        <v>2596.4155799999999</v>
      </c>
      <c r="L54" s="787">
        <f>'ANALYSE - ERP =&gt; SOUS-SEGMENT'!$EV$139</f>
        <v>0.81073942012761369</v>
      </c>
      <c r="M54" s="787">
        <f>'ANALYSE - ERP =&gt; SOUS-SEGMENT'!$EW$139</f>
        <v>0.1892605798723864</v>
      </c>
      <c r="N54" s="916">
        <f>20*'ANALYSE - ERP =&gt; SOUS-SEGMENT'!$FU$139</f>
        <v>86.6</v>
      </c>
      <c r="O54" s="916">
        <f>20*'ANALYSE - ERP =&gt; SOUS-SEGMENT'!$FW$139</f>
        <v>64.2</v>
      </c>
      <c r="P54" s="916">
        <f>20*'ANALYSE - ERP =&gt; SOUS-SEGMENT'!$FS$139</f>
        <v>76.599999999999994</v>
      </c>
      <c r="Q54" s="430">
        <f>'ANALYSE - ERP =&gt; SOUS-SEGMENT'!$Q$139</f>
        <v>1</v>
      </c>
    </row>
    <row r="55" spans="1:17" ht="15" customHeight="1">
      <c r="A55" s="26">
        <v>52</v>
      </c>
      <c r="B55" s="26">
        <v>50</v>
      </c>
      <c r="C55" s="26">
        <v>68</v>
      </c>
      <c r="D55" s="422">
        <f>'ANALYSE - ERP =&gt; SOUS-SEGMENT'!$A$122</f>
        <v>115</v>
      </c>
      <c r="E55" s="413" t="str">
        <f>'ANALYSE - ERP =&gt; SOUS-SEGMENT'!$B$122</f>
        <v>Transport, Mobilité &amp; Stationnement</v>
      </c>
      <c r="F55" s="413" t="str">
        <f>'ANALYSE - ERP =&gt; SOUS-SEGMENT'!$C$122</f>
        <v>Transport / Mobilité</v>
      </c>
      <c r="G55" s="413" t="str">
        <f>'ANALYSE - ERP =&gt; SOUS-SEGMENT'!$D$122</f>
        <v>Aires de repos - Autoroutes
(Hors Aires de service)</v>
      </c>
      <c r="H55" s="424">
        <f t="shared" si="1"/>
        <v>2463.6922809199996</v>
      </c>
      <c r="I55" s="447">
        <f>'ANALYSE - ERP =&gt; SOUS-SEGMENT'!$EX$122</f>
        <v>12318.461404599999</v>
      </c>
      <c r="J55" s="427">
        <f>'ANALYSE - ERP =&gt; SOUS-SEGMENT'!$EY$122</f>
        <v>10677.5849246</v>
      </c>
      <c r="K55" s="427">
        <f>'ANALYSE - ERP =&gt; SOUS-SEGMENT'!$EZ$122</f>
        <v>1640.8764799999999</v>
      </c>
      <c r="L55" s="787">
        <f>'ANALYSE - ERP =&gt; SOUS-SEGMENT'!$EV$122</f>
        <v>0.86679533862993163</v>
      </c>
      <c r="M55" s="787">
        <f>'ANALYSE - ERP =&gt; SOUS-SEGMENT'!$EW$122</f>
        <v>0.13320466137006839</v>
      </c>
      <c r="N55" s="916">
        <f>20*'ANALYSE - ERP =&gt; SOUS-SEGMENT'!$FU$122</f>
        <v>84.399999999999991</v>
      </c>
      <c r="O55" s="916">
        <f>20*'ANALYSE - ERP =&gt; SOUS-SEGMENT'!$FW$122</f>
        <v>43.4</v>
      </c>
      <c r="P55" s="916">
        <f>20*'ANALYSE - ERP =&gt; SOUS-SEGMENT'!$FS$122</f>
        <v>66</v>
      </c>
      <c r="Q55" s="430">
        <f>'ANALYSE - ERP =&gt; SOUS-SEGMENT'!$Q$122</f>
        <v>1</v>
      </c>
    </row>
    <row r="56" spans="1:17" ht="15" customHeight="1">
      <c r="A56" s="26">
        <v>53</v>
      </c>
      <c r="B56" s="26">
        <v>52</v>
      </c>
      <c r="C56" s="26">
        <v>49</v>
      </c>
      <c r="D56" s="422">
        <f>'ANALYSE - ERP =&gt; SOUS-SEGMENT'!$A$116</f>
        <v>109</v>
      </c>
      <c r="E56" s="415" t="str">
        <f>'ANALYSE - ERP =&gt; SOUS-SEGMENT'!$B$116</f>
        <v>Culte, Vie civique &amp; Services publics</v>
      </c>
      <c r="F56" s="415" t="str">
        <f>'ANALYSE - ERP =&gt; SOUS-SEGMENT'!$C$116</f>
        <v>Culte</v>
      </c>
      <c r="G56" s="415" t="str">
        <f>'ANALYSE - ERP =&gt; SOUS-SEGMENT'!$D$116</f>
        <v>Mosquées et salles de prière musulmanes</v>
      </c>
      <c r="H56" s="424">
        <f t="shared" si="1"/>
        <v>3657.5560190476185</v>
      </c>
      <c r="I56" s="447">
        <f>'ANALYSE - ERP =&gt; SOUS-SEGMENT'!$EX$116</f>
        <v>18287.780095238093</v>
      </c>
      <c r="J56" s="427">
        <f>'ANALYSE - ERP =&gt; SOUS-SEGMENT'!$EY$116</f>
        <v>14316.868095238095</v>
      </c>
      <c r="K56" s="427">
        <f>'ANALYSE - ERP =&gt; SOUS-SEGMENT'!$EZ$116</f>
        <v>3970.9120000000003</v>
      </c>
      <c r="L56" s="787">
        <f>'ANALYSE - ERP =&gt; SOUS-SEGMENT'!$EV$116</f>
        <v>0.78286528056874582</v>
      </c>
      <c r="M56" s="787">
        <f>'ANALYSE - ERP =&gt; SOUS-SEGMENT'!$EW$116</f>
        <v>0.21713471943125429</v>
      </c>
      <c r="N56" s="916">
        <f>20*'ANALYSE - ERP =&gt; SOUS-SEGMENT'!$FU$116</f>
        <v>64.599999999999994</v>
      </c>
      <c r="O56" s="916">
        <f>20*'ANALYSE - ERP =&gt; SOUS-SEGMENT'!$FW$116</f>
        <v>30.2</v>
      </c>
      <c r="P56" s="916">
        <f>20*'ANALYSE - ERP =&gt; SOUS-SEGMENT'!$FS$116</f>
        <v>52.199999999999996</v>
      </c>
      <c r="Q56" s="430">
        <f>'ANALYSE - ERP =&gt; SOUS-SEGMENT'!$Q$116</f>
        <v>1</v>
      </c>
    </row>
    <row r="57" spans="1:17" ht="15" customHeight="1">
      <c r="A57" s="26">
        <v>54</v>
      </c>
      <c r="B57" s="26">
        <v>60</v>
      </c>
      <c r="C57" s="26">
        <v>41</v>
      </c>
      <c r="D57" s="422">
        <f>'ANALYSE - ERP =&gt; SOUS-SEGMENT'!$A$18</f>
        <v>11</v>
      </c>
      <c r="E57" s="411" t="str">
        <f>'ANALYSE - ERP =&gt; SOUS-SEGMENT'!$B$18</f>
        <v>Enfance, Enseignement, Jeunesse &amp; Formation</v>
      </c>
      <c r="F57" s="411" t="str">
        <f>'ANALYSE - ERP =&gt; SOUS-SEGMENT'!$C$18</f>
        <v>Enseignement supérieur</v>
      </c>
      <c r="G57" s="411" t="str">
        <f>'ANALYSE - ERP =&gt; SOUS-SEGMENT'!$D$18</f>
        <v>Résidences étudiantes et dortoirs</v>
      </c>
      <c r="H57" s="424">
        <f t="shared" si="1"/>
        <v>2626.0745327096001</v>
      </c>
      <c r="I57" s="447">
        <f>'ANALYSE - ERP =&gt; SOUS-SEGMENT'!$EX$18</f>
        <v>13130.372663548</v>
      </c>
      <c r="J57" s="427">
        <f>'ANALYSE - ERP =&gt; SOUS-SEGMENT'!$EY$18</f>
        <v>7606.4443935479994</v>
      </c>
      <c r="K57" s="427">
        <f>'ANALYSE - ERP =&gt; SOUS-SEGMENT'!$EZ$18</f>
        <v>5523.9282700000003</v>
      </c>
      <c r="L57" s="787">
        <f>'ANALYSE - ERP =&gt; SOUS-SEGMENT'!$EV$18</f>
        <v>0.57930148583403862</v>
      </c>
      <c r="M57" s="787">
        <f>'ANALYSE - ERP =&gt; SOUS-SEGMENT'!$EW$18</f>
        <v>0.42069851416596138</v>
      </c>
      <c r="N57" s="916">
        <f>20*'ANALYSE - ERP =&gt; SOUS-SEGMENT'!$FU$18</f>
        <v>79</v>
      </c>
      <c r="O57" s="916">
        <f>20*'ANALYSE - ERP =&gt; SOUS-SEGMENT'!$FW$18</f>
        <v>53.6</v>
      </c>
      <c r="P57" s="916">
        <f>20*'ANALYSE - ERP =&gt; SOUS-SEGMENT'!$FS$18</f>
        <v>67.599999999999994</v>
      </c>
      <c r="Q57" s="430">
        <f>'ANALYSE - ERP =&gt; SOUS-SEGMENT'!$Q$18</f>
        <v>1</v>
      </c>
    </row>
    <row r="58" spans="1:17" ht="15" customHeight="1">
      <c r="A58" s="26">
        <v>55</v>
      </c>
      <c r="B58" s="26">
        <v>53</v>
      </c>
      <c r="C58" s="26">
        <v>51</v>
      </c>
      <c r="D58" s="422">
        <f>'ANALYSE - ERP =&gt; SOUS-SEGMENT'!$A$43</f>
        <v>36</v>
      </c>
      <c r="E58" s="409" t="str">
        <f>'ANALYSE - ERP =&gt; SOUS-SEGMENT'!$B$43</f>
        <v>Santé &amp; Médico-social</v>
      </c>
      <c r="F58" s="409" t="str">
        <f>'ANALYSE - ERP =&gt; SOUS-SEGMENT'!$C$43</f>
        <v>Santé hospitalière</v>
      </c>
      <c r="G58" s="409" t="str">
        <f>'ANALYSE - ERP =&gt; SOUS-SEGMENT'!$D$43</f>
        <v>Hôpitaux universitaires / CHU</v>
      </c>
      <c r="H58" s="424">
        <f t="shared" si="1"/>
        <v>2735.1420941818187</v>
      </c>
      <c r="I58" s="447">
        <f>'ANALYSE - ERP =&gt; SOUS-SEGMENT'!$EX$43</f>
        <v>13675.710470909093</v>
      </c>
      <c r="J58" s="427">
        <f>'ANALYSE - ERP =&gt; SOUS-SEGMENT'!$EY$43</f>
        <v>10586.304590909092</v>
      </c>
      <c r="K58" s="427">
        <f>'ANALYSE - ERP =&gt; SOUS-SEGMENT'!$EZ$43</f>
        <v>3089.4058800000003</v>
      </c>
      <c r="L58" s="787">
        <f>'ANALYSE - ERP =&gt; SOUS-SEGMENT'!$EV$43</f>
        <v>0.77409540172908964</v>
      </c>
      <c r="M58" s="787">
        <f>'ANALYSE - ERP =&gt; SOUS-SEGMENT'!$EW$43</f>
        <v>0.22590459827091031</v>
      </c>
      <c r="N58" s="916">
        <f>20*'ANALYSE - ERP =&gt; SOUS-SEGMENT'!$FU$43</f>
        <v>91.6</v>
      </c>
      <c r="O58" s="916">
        <f>20*'ANALYSE - ERP =&gt; SOUS-SEGMENT'!$FW$43</f>
        <v>63.8</v>
      </c>
      <c r="P58" s="916">
        <f>20*'ANALYSE - ERP =&gt; SOUS-SEGMENT'!$FS$43</f>
        <v>79</v>
      </c>
      <c r="Q58" s="430">
        <f>'ANALYSE - ERP =&gt; SOUS-SEGMENT'!$Q$43</f>
        <v>1</v>
      </c>
    </row>
    <row r="59" spans="1:17" ht="15" customHeight="1">
      <c r="A59" s="26">
        <v>56</v>
      </c>
      <c r="B59" s="26">
        <v>74</v>
      </c>
      <c r="C59" s="26">
        <v>35</v>
      </c>
      <c r="D59" s="422">
        <f>'ANALYSE - ERP =&gt; SOUS-SEGMENT'!$A$61</f>
        <v>54</v>
      </c>
      <c r="E59" s="409" t="str">
        <f>'ANALYSE - ERP =&gt; SOUS-SEGMENT'!$B$61</f>
        <v>Santé &amp; Médico-social</v>
      </c>
      <c r="F59" s="409" t="str">
        <f>'ANALYSE - ERP =&gt; SOUS-SEGMENT'!$C$61</f>
        <v>Médico-social</v>
      </c>
      <c r="G59" s="409" t="str">
        <f>'ANALYSE - ERP =&gt; SOUS-SEGMENT'!$D$61</f>
        <v>Résidences services seniors
(Privé)</v>
      </c>
      <c r="H59" s="424">
        <f t="shared" si="1"/>
        <v>2569.4922581998444</v>
      </c>
      <c r="I59" s="447">
        <f>'ANALYSE - ERP =&gt; SOUS-SEGMENT'!$EX$61</f>
        <v>12847.461290999223</v>
      </c>
      <c r="J59" s="427">
        <f>'ANALYSE - ERP =&gt; SOUS-SEGMENT'!$EY$61</f>
        <v>3784.7690909992234</v>
      </c>
      <c r="K59" s="427">
        <f>'ANALYSE - ERP =&gt; SOUS-SEGMENT'!$EZ$61</f>
        <v>9062.6921999999995</v>
      </c>
      <c r="L59" s="787">
        <f>'ANALYSE - ERP =&gt; SOUS-SEGMENT'!$EV$61</f>
        <v>0.29459276080098307</v>
      </c>
      <c r="M59" s="787">
        <f>'ANALYSE - ERP =&gt; SOUS-SEGMENT'!$EW$61</f>
        <v>0.70540723919901693</v>
      </c>
      <c r="N59" s="916">
        <f>20*'ANALYSE - ERP =&gt; SOUS-SEGMENT'!$FU$61</f>
        <v>73</v>
      </c>
      <c r="O59" s="916">
        <f>20*'ANALYSE - ERP =&gt; SOUS-SEGMENT'!$FW$61</f>
        <v>62.800000000000004</v>
      </c>
      <c r="P59" s="916">
        <f>20*'ANALYSE - ERP =&gt; SOUS-SEGMENT'!$FS$61</f>
        <v>68.400000000000006</v>
      </c>
      <c r="Q59" s="430">
        <f>'ANALYSE - ERP =&gt; SOUS-SEGMENT'!$Q$61</f>
        <v>1</v>
      </c>
    </row>
    <row r="60" spans="1:17" ht="15" customHeight="1">
      <c r="A60" s="26">
        <v>57</v>
      </c>
      <c r="B60" s="26">
        <v>56</v>
      </c>
      <c r="C60" s="26">
        <v>50</v>
      </c>
      <c r="D60" s="422">
        <f>'ANALYSE - ERP =&gt; SOUS-SEGMENT'!$A$123</f>
        <v>116</v>
      </c>
      <c r="E60" s="413" t="str">
        <f>'ANALYSE - ERP =&gt; SOUS-SEGMENT'!$B$123</f>
        <v>Transport, Mobilité &amp; Stationnement</v>
      </c>
      <c r="F60" s="413" t="str">
        <f>'ANALYSE - ERP =&gt; SOUS-SEGMENT'!$C$123</f>
        <v>Transport / Mobilité</v>
      </c>
      <c r="G60" s="413" t="str">
        <f>'ANALYSE - ERP =&gt; SOUS-SEGMENT'!$D$123</f>
        <v>Parcs de stationnement couverts (dotés de sanitaires)</v>
      </c>
      <c r="H60" s="424">
        <f t="shared" si="1"/>
        <v>221.33747743056279</v>
      </c>
      <c r="I60" s="447">
        <f>'ANALYSE - ERP =&gt; SOUS-SEGMENT'!$EX$123</f>
        <v>1106.6873871528139</v>
      </c>
      <c r="J60" s="427">
        <f>'ANALYSE - ERP =&gt; SOUS-SEGMENT'!$EY$123</f>
        <v>848.0593371528139</v>
      </c>
      <c r="K60" s="427">
        <f>'ANALYSE - ERP =&gt; SOUS-SEGMENT'!$EZ$123</f>
        <v>258.62804999999997</v>
      </c>
      <c r="L60" s="787">
        <f>'ANALYSE - ERP =&gt; SOUS-SEGMENT'!$EV$123</f>
        <v>0.76630433038061896</v>
      </c>
      <c r="M60" s="787">
        <f>'ANALYSE - ERP =&gt; SOUS-SEGMENT'!$EW$123</f>
        <v>0.23369566961938099</v>
      </c>
      <c r="N60" s="916">
        <f>20*'ANALYSE - ERP =&gt; SOUS-SEGMENT'!$FU$123</f>
        <v>92.4</v>
      </c>
      <c r="O60" s="916">
        <f>20*'ANALYSE - ERP =&gt; SOUS-SEGMENT'!$FW$123</f>
        <v>44.400000000000006</v>
      </c>
      <c r="P60" s="916">
        <f>20*'ANALYSE - ERP =&gt; SOUS-SEGMENT'!$FS$123</f>
        <v>75.199999999999989</v>
      </c>
      <c r="Q60" s="430">
        <f>'ANALYSE - ERP =&gt; SOUS-SEGMENT'!$Q$123</f>
        <v>1</v>
      </c>
    </row>
    <row r="61" spans="1:17" ht="15" customHeight="1">
      <c r="A61" s="26">
        <v>58</v>
      </c>
      <c r="B61" s="26">
        <v>54</v>
      </c>
      <c r="C61" s="26">
        <v>56</v>
      </c>
      <c r="D61" s="422">
        <f>'ANALYSE - ERP =&gt; SOUS-SEGMENT'!$A$70</f>
        <v>63</v>
      </c>
      <c r="E61" s="414" t="str">
        <f>'ANALYSE - ERP =&gt; SOUS-SEGMENT'!$B$70</f>
        <v>Culture, Patrimoine &amp; Evénementiel</v>
      </c>
      <c r="F61" s="414" t="str">
        <f>'ANALYSE - ERP =&gt; SOUS-SEGMENT'!$C$70</f>
        <v>Expositions / salons</v>
      </c>
      <c r="G61" s="414" t="str">
        <f>'ANALYSE - ERP =&gt; SOUS-SEGMENT'!$D$70</f>
        <v>Foires / Salons</v>
      </c>
      <c r="H61" s="424">
        <f t="shared" si="1"/>
        <v>2395.2348083123238</v>
      </c>
      <c r="I61" s="447">
        <f>'ANALYSE - ERP =&gt; SOUS-SEGMENT'!$EX$70</f>
        <v>11976.174041561619</v>
      </c>
      <c r="J61" s="427">
        <f>'ANALYSE - ERP =&gt; SOUS-SEGMENT'!$EY$70</f>
        <v>9534.3444415616177</v>
      </c>
      <c r="K61" s="427">
        <f>'ANALYSE - ERP =&gt; SOUS-SEGMENT'!$EZ$70</f>
        <v>2441.8296</v>
      </c>
      <c r="L61" s="787">
        <f>'ANALYSE - ERP =&gt; SOUS-SEGMENT'!$EV$70</f>
        <v>0.7961093758719624</v>
      </c>
      <c r="M61" s="787">
        <f>'ANALYSE - ERP =&gt; SOUS-SEGMENT'!$EW$70</f>
        <v>0.20389062412803752</v>
      </c>
      <c r="N61" s="916">
        <f>20*'ANALYSE - ERP =&gt; SOUS-SEGMENT'!$FU$70</f>
        <v>73.8</v>
      </c>
      <c r="O61" s="916">
        <f>20*'ANALYSE - ERP =&gt; SOUS-SEGMENT'!$FW$70</f>
        <v>42.599999999999994</v>
      </c>
      <c r="P61" s="916">
        <f>20*'ANALYSE - ERP =&gt; SOUS-SEGMENT'!$FS$70</f>
        <v>59.800000000000004</v>
      </c>
      <c r="Q61" s="430">
        <f>'ANALYSE - ERP =&gt; SOUS-SEGMENT'!$Q$70</f>
        <v>1</v>
      </c>
    </row>
    <row r="62" spans="1:17" ht="15" customHeight="1">
      <c r="A62" s="26">
        <v>59</v>
      </c>
      <c r="B62" s="26">
        <v>55</v>
      </c>
      <c r="C62" s="26">
        <v>57</v>
      </c>
      <c r="D62" s="422">
        <f>'ANALYSE - ERP =&gt; SOUS-SEGMENT'!$A$150</f>
        <v>143</v>
      </c>
      <c r="E62" s="418" t="str">
        <f>'ANALYSE - ERP =&gt; SOUS-SEGMENT'!$B$150</f>
        <v>Sanitaires Publics</v>
      </c>
      <c r="F62" s="418" t="str">
        <f>'ANALYSE - ERP =&gt; SOUS-SEGMENT'!$C$150</f>
        <v>Sanitaires publics</v>
      </c>
      <c r="G62" s="418" t="str">
        <f>'ANALYSE - ERP =&gt; SOUS-SEGMENT'!$D$150</f>
        <v>Toilettes publiques (sur la voie publique)</v>
      </c>
      <c r="H62" s="424">
        <f t="shared" si="1"/>
        <v>3922.8053664285717</v>
      </c>
      <c r="I62" s="447">
        <f>'ANALYSE - ERP =&gt; SOUS-SEGMENT'!$EX$150</f>
        <v>19614.026832142859</v>
      </c>
      <c r="J62" s="427">
        <f>'ANALYSE - ERP =&gt; SOUS-SEGMENT'!$EY$150</f>
        <v>15626.526832142858</v>
      </c>
      <c r="K62" s="427">
        <f>'ANALYSE - ERP =&gt; SOUS-SEGMENT'!$EZ$150</f>
        <v>3987.5</v>
      </c>
      <c r="L62" s="787">
        <f>'ANALYSE - ERP =&gt; SOUS-SEGMENT'!$EV$150</f>
        <v>0.79670161389473526</v>
      </c>
      <c r="M62" s="787">
        <f>'ANALYSE - ERP =&gt; SOUS-SEGMENT'!$EW$150</f>
        <v>0.20329838610526466</v>
      </c>
      <c r="N62" s="916">
        <f>20*'ANALYSE - ERP =&gt; SOUS-SEGMENT'!$FU$150</f>
        <v>94</v>
      </c>
      <c r="O62" s="916">
        <f>20*'ANALYSE - ERP =&gt; SOUS-SEGMENT'!$FW$150</f>
        <v>43.6</v>
      </c>
      <c r="P62" s="916">
        <f>20*'ANALYSE - ERP =&gt; SOUS-SEGMENT'!$FS$150</f>
        <v>75.8</v>
      </c>
      <c r="Q62" s="430">
        <f>'ANALYSE - ERP =&gt; SOUS-SEGMENT'!$Q$150</f>
        <v>1</v>
      </c>
    </row>
    <row r="63" spans="1:17" ht="15" customHeight="1">
      <c r="A63" s="26">
        <v>60</v>
      </c>
      <c r="B63" s="26">
        <v>57</v>
      </c>
      <c r="C63" s="26">
        <v>61</v>
      </c>
      <c r="D63" s="422">
        <f>'ANALYSE - ERP =&gt; SOUS-SEGMENT'!$A$41</f>
        <v>34</v>
      </c>
      <c r="E63" s="408" t="str">
        <f>'ANALYSE - ERP =&gt; SOUS-SEGMENT'!$B$41</f>
        <v>Sports &amp; Loisirs</v>
      </c>
      <c r="F63" s="408" t="str">
        <f>'ANALYSE - ERP =&gt; SOUS-SEGMENT'!$C$41</f>
        <v>Loisirs</v>
      </c>
      <c r="G63" s="408" t="str">
        <f>'ANALYSE - ERP =&gt; SOUS-SEGMENT'!$D$41</f>
        <v>Salles de jeux / Bowlings / Billards</v>
      </c>
      <c r="H63" s="424">
        <f t="shared" si="1"/>
        <v>1922.5658432764071</v>
      </c>
      <c r="I63" s="447">
        <f>'ANALYSE - ERP =&gt; SOUS-SEGMENT'!$EX$41</f>
        <v>9612.8292163820352</v>
      </c>
      <c r="J63" s="427">
        <f>'ANALYSE - ERP =&gt; SOUS-SEGMENT'!$EY$41</f>
        <v>7652.5082163820352</v>
      </c>
      <c r="K63" s="427">
        <f>'ANALYSE - ERP =&gt; SOUS-SEGMENT'!$EZ$41</f>
        <v>1960.3210000000001</v>
      </c>
      <c r="L63" s="787">
        <f>'ANALYSE - ERP =&gt; SOUS-SEGMENT'!$EV$41</f>
        <v>0.7960724199011826</v>
      </c>
      <c r="M63" s="787">
        <f>'ANALYSE - ERP =&gt; SOUS-SEGMENT'!$EW$41</f>
        <v>0.20392758009881745</v>
      </c>
      <c r="N63" s="916">
        <f>20*'ANALYSE - ERP =&gt; SOUS-SEGMENT'!$FU$41</f>
        <v>82.6</v>
      </c>
      <c r="O63" s="916">
        <f>20*'ANALYSE - ERP =&gt; SOUS-SEGMENT'!$FW$41</f>
        <v>53.8</v>
      </c>
      <c r="P63" s="916">
        <f>20*'ANALYSE - ERP =&gt; SOUS-SEGMENT'!$FS$41</f>
        <v>72.2</v>
      </c>
      <c r="Q63" s="430">
        <f>'ANALYSE - ERP =&gt; SOUS-SEGMENT'!$Q$41</f>
        <v>1</v>
      </c>
    </row>
    <row r="64" spans="1:17" ht="15" customHeight="1">
      <c r="A64" s="26">
        <v>61</v>
      </c>
      <c r="B64" s="26">
        <v>63</v>
      </c>
      <c r="C64" s="26">
        <v>47</v>
      </c>
      <c r="D64" s="422">
        <f>'ANALYSE - ERP =&gt; SOUS-SEGMENT'!$A$53</f>
        <v>46</v>
      </c>
      <c r="E64" s="409" t="str">
        <f>'ANALYSE - ERP =&gt; SOUS-SEGMENT'!$B$53</f>
        <v>Santé &amp; Médico-social</v>
      </c>
      <c r="F64" s="409" t="str">
        <f>'ANALYSE - ERP =&gt; SOUS-SEGMENT'!$C$53</f>
        <v>Santé ambulatoire</v>
      </c>
      <c r="G64" s="409" t="str">
        <f>'ANALYSE - ERP =&gt; SOUS-SEGMENT'!$D$53</f>
        <v>Centres de santé / Centres médicaux</v>
      </c>
      <c r="H64" s="424">
        <f t="shared" si="1"/>
        <v>2097.3529588188185</v>
      </c>
      <c r="I64" s="447">
        <f>'ANALYSE - ERP =&gt; SOUS-SEGMENT'!$EX$53</f>
        <v>10486.764794094091</v>
      </c>
      <c r="J64" s="427">
        <f>'ANALYSE - ERP =&gt; SOUS-SEGMENT'!$EY$53</f>
        <v>6866.7545340940906</v>
      </c>
      <c r="K64" s="427">
        <f>'ANALYSE - ERP =&gt; SOUS-SEGMENT'!$EZ$53</f>
        <v>3620.01026</v>
      </c>
      <c r="L64" s="787">
        <f>'ANALYSE - ERP =&gt; SOUS-SEGMENT'!$EV$53</f>
        <v>0.65480199746267709</v>
      </c>
      <c r="M64" s="787">
        <f>'ANALYSE - ERP =&gt; SOUS-SEGMENT'!$EW$53</f>
        <v>0.34519800253732286</v>
      </c>
      <c r="N64" s="916">
        <f>20*'ANALYSE - ERP =&gt; SOUS-SEGMENT'!$FU$53</f>
        <v>78.400000000000006</v>
      </c>
      <c r="O64" s="916">
        <f>20*'ANALYSE - ERP =&gt; SOUS-SEGMENT'!$FW$53</f>
        <v>56</v>
      </c>
      <c r="P64" s="916">
        <f>20*'ANALYSE - ERP =&gt; SOUS-SEGMENT'!$FS$53</f>
        <v>68.400000000000006</v>
      </c>
      <c r="Q64" s="430">
        <f>'ANALYSE - ERP =&gt; SOUS-SEGMENT'!$Q$53</f>
        <v>1</v>
      </c>
    </row>
    <row r="65" spans="1:17" s="45" customFormat="1" ht="15" customHeight="1">
      <c r="A65" s="26">
        <v>62</v>
      </c>
      <c r="B65" s="26">
        <v>59</v>
      </c>
      <c r="C65" s="26">
        <v>66</v>
      </c>
      <c r="D65" s="422">
        <f>'ANALYSE - ERP =&gt; SOUS-SEGMENT'!$A$89</f>
        <v>82</v>
      </c>
      <c r="E65" s="412" t="str">
        <f>'ANALYSE - ERP =&gt; SOUS-SEGMENT'!$B$89</f>
        <v>Hébergement Touristique</v>
      </c>
      <c r="F65" s="412" t="str">
        <f>'ANALYSE - ERP =&gt; SOUS-SEGMENT'!$C$89</f>
        <v>Hébergement Touristique</v>
      </c>
      <c r="G65" s="412" t="str">
        <f>'ANALYSE - ERP =&gt; SOUS-SEGMENT'!$D$89</f>
        <v>Résidences de tourisme</v>
      </c>
      <c r="H65" s="424">
        <f t="shared" si="1"/>
        <v>2299.2964154895108</v>
      </c>
      <c r="I65" s="447">
        <f>'ANALYSE - ERP =&gt; SOUS-SEGMENT'!$EX$89</f>
        <v>11496.482077447554</v>
      </c>
      <c r="J65" s="427">
        <f>'ANALYSE - ERP =&gt; SOUS-SEGMENT'!$EY$89</f>
        <v>7814.8820774475535</v>
      </c>
      <c r="K65" s="427">
        <f>'ANALYSE - ERP =&gt; SOUS-SEGMENT'!$EZ$89</f>
        <v>3681.6000000000004</v>
      </c>
      <c r="L65" s="787">
        <f>'ANALYSE - ERP =&gt; SOUS-SEGMENT'!$EV$89</f>
        <v>0.67976290701812769</v>
      </c>
      <c r="M65" s="787">
        <f>'ANALYSE - ERP =&gt; SOUS-SEGMENT'!$EW$89</f>
        <v>0.32023709298187225</v>
      </c>
      <c r="N65" s="916">
        <f>20*'ANALYSE - ERP =&gt; SOUS-SEGMENT'!$FU$89</f>
        <v>73</v>
      </c>
      <c r="O65" s="916">
        <f>20*'ANALYSE - ERP =&gt; SOUS-SEGMENT'!$FW$89</f>
        <v>40</v>
      </c>
      <c r="P65" s="916">
        <f>20*'ANALYSE - ERP =&gt; SOUS-SEGMENT'!$FS$89</f>
        <v>61.2</v>
      </c>
      <c r="Q65" s="430">
        <f>'ANALYSE - ERP =&gt; SOUS-SEGMENT'!$Q$89</f>
        <v>1</v>
      </c>
    </row>
    <row r="66" spans="1:17" ht="15" customHeight="1">
      <c r="A66" s="26">
        <v>63</v>
      </c>
      <c r="B66" s="26">
        <v>58</v>
      </c>
      <c r="C66" s="26">
        <v>70</v>
      </c>
      <c r="D66" s="422">
        <f>'ANALYSE - ERP =&gt; SOUS-SEGMENT'!$A$23</f>
        <v>16</v>
      </c>
      <c r="E66" s="410" t="str">
        <f>'ANALYSE - ERP =&gt; SOUS-SEGMENT'!$B$23</f>
        <v>Sports &amp; Loisirs</v>
      </c>
      <c r="F66" s="410" t="str">
        <f>'ANALYSE - ERP =&gt; SOUS-SEGMENT'!$C$23</f>
        <v>Sport couvert / Thermalisme / Bien-être</v>
      </c>
      <c r="G66" s="410" t="str">
        <f>'ANALYSE - ERP =&gt; SOUS-SEGMENT'!$D$23</f>
        <v>Patinoires couvertes</v>
      </c>
      <c r="H66" s="424">
        <f t="shared" si="1"/>
        <v>2019.4696636242425</v>
      </c>
      <c r="I66" s="447">
        <f>'ANALYSE - ERP =&gt; SOUS-SEGMENT'!$EX$23</f>
        <v>10097.348318121212</v>
      </c>
      <c r="J66" s="427">
        <f>'ANALYSE - ERP =&gt; SOUS-SEGMENT'!$EY$23</f>
        <v>8626.833818121213</v>
      </c>
      <c r="K66" s="427">
        <f>'ANALYSE - ERP =&gt; SOUS-SEGMENT'!$EZ$23</f>
        <v>1470.5144999999998</v>
      </c>
      <c r="L66" s="787">
        <f>'ANALYSE - ERP =&gt; SOUS-SEGMENT'!$EV$23</f>
        <v>0.85436626986899722</v>
      </c>
      <c r="M66" s="787">
        <f>'ANALYSE - ERP =&gt; SOUS-SEGMENT'!$EW$23</f>
        <v>0.14563373013100281</v>
      </c>
      <c r="N66" s="916">
        <f>20*'ANALYSE - ERP =&gt; SOUS-SEGMENT'!$FU$23</f>
        <v>83.2</v>
      </c>
      <c r="O66" s="916">
        <f>20*'ANALYSE - ERP =&gt; SOUS-SEGMENT'!$FW$23</f>
        <v>40.199999999999996</v>
      </c>
      <c r="P66" s="916">
        <f>20*'ANALYSE - ERP =&gt; SOUS-SEGMENT'!$FS$23</f>
        <v>63.8</v>
      </c>
      <c r="Q66" s="430">
        <f>'ANALYSE - ERP =&gt; SOUS-SEGMENT'!$Q$23</f>
        <v>1</v>
      </c>
    </row>
    <row r="67" spans="1:17" ht="15" customHeight="1">
      <c r="A67" s="26">
        <v>64</v>
      </c>
      <c r="B67" s="26">
        <v>61</v>
      </c>
      <c r="C67" s="26">
        <v>62</v>
      </c>
      <c r="D67" s="422">
        <f>'ANALYSE - ERP =&gt; SOUS-SEGMENT'!$A$115</f>
        <v>108</v>
      </c>
      <c r="E67" s="415" t="str">
        <f>'ANALYSE - ERP =&gt; SOUS-SEGMENT'!$B$115</f>
        <v>Culte, Vie civique &amp; Services publics</v>
      </c>
      <c r="F67" s="415" t="str">
        <f>'ANALYSE - ERP =&gt; SOUS-SEGMENT'!$C$115</f>
        <v>Culte</v>
      </c>
      <c r="G67" s="415" t="str">
        <f>'ANALYSE - ERP =&gt; SOUS-SEGMENT'!$D$115</f>
        <v>Temples protestants, évangéliques et salles de culte assimilées</v>
      </c>
      <c r="H67" s="424">
        <f t="shared" si="1"/>
        <v>1030.0228227106227</v>
      </c>
      <c r="I67" s="447">
        <f>'ANALYSE - ERP =&gt; SOUS-SEGMENT'!$EX$115</f>
        <v>5150.1141135531134</v>
      </c>
      <c r="J67" s="427">
        <f>'ANALYSE - ERP =&gt; SOUS-SEGMENT'!$EY$115</f>
        <v>3546.2391135531134</v>
      </c>
      <c r="K67" s="427">
        <f>'ANALYSE - ERP =&gt; SOUS-SEGMENT'!$EZ$115</f>
        <v>1603.875</v>
      </c>
      <c r="L67" s="787">
        <f>'ANALYSE - ERP =&gt; SOUS-SEGMENT'!$EV$115</f>
        <v>0.68857486171438032</v>
      </c>
      <c r="M67" s="787">
        <f>'ANALYSE - ERP =&gt; SOUS-SEGMENT'!$EW$115</f>
        <v>0.31142513828561968</v>
      </c>
      <c r="N67" s="916">
        <f>20*'ANALYSE - ERP =&gt; SOUS-SEGMENT'!$FU$115</f>
        <v>64.599999999999994</v>
      </c>
      <c r="O67" s="916">
        <f>20*'ANALYSE - ERP =&gt; SOUS-SEGMENT'!$FW$115</f>
        <v>30.2</v>
      </c>
      <c r="P67" s="916">
        <f>20*'ANALYSE - ERP =&gt; SOUS-SEGMENT'!$FS$115</f>
        <v>52.199999999999996</v>
      </c>
      <c r="Q67" s="430">
        <f>'ANALYSE - ERP =&gt; SOUS-SEGMENT'!$Q$115</f>
        <v>1</v>
      </c>
    </row>
    <row r="68" spans="1:17" ht="15" customHeight="1">
      <c r="A68" s="26">
        <v>65</v>
      </c>
      <c r="B68" s="26">
        <v>62</v>
      </c>
      <c r="C68" s="26">
        <v>72</v>
      </c>
      <c r="D68" s="422">
        <f>'ANALYSE - ERP =&gt; SOUS-SEGMENT'!$A$64</f>
        <v>57</v>
      </c>
      <c r="E68" s="414" t="str">
        <f>'ANALYSE - ERP =&gt; SOUS-SEGMENT'!$B$64</f>
        <v>Culture, Patrimoine &amp; Evénementiel</v>
      </c>
      <c r="F68" s="414" t="str">
        <f>'ANALYSE - ERP =&gt; SOUS-SEGMENT'!$C$64</f>
        <v>Culture / spectacle</v>
      </c>
      <c r="G68" s="414" t="str">
        <f>'ANALYSE - ERP =&gt; SOUS-SEGMENT'!$D$64</f>
        <v>Musées</v>
      </c>
      <c r="H68" s="424">
        <f t="shared" ref="H68:H99" si="2">I68/5</f>
        <v>1582.3348417329603</v>
      </c>
      <c r="I68" s="447">
        <f>'ANALYSE - ERP =&gt; SOUS-SEGMENT'!$EX$64</f>
        <v>7911.6742086648019</v>
      </c>
      <c r="J68" s="427">
        <f>'ANALYSE - ERP =&gt; SOUS-SEGMENT'!$EY$64</f>
        <v>6680.7724486648021</v>
      </c>
      <c r="K68" s="427">
        <f>'ANALYSE - ERP =&gt; SOUS-SEGMENT'!$EZ$64</f>
        <v>1230.90176</v>
      </c>
      <c r="L68" s="787">
        <f>'ANALYSE - ERP =&gt; SOUS-SEGMENT'!$EV$64</f>
        <v>0.84441955930744395</v>
      </c>
      <c r="M68" s="787">
        <f>'ANALYSE - ERP =&gt; SOUS-SEGMENT'!$EW$64</f>
        <v>0.15558044069255611</v>
      </c>
      <c r="N68" s="916">
        <f>20*'ANALYSE - ERP =&gt; SOUS-SEGMENT'!$FU$64</f>
        <v>77.2</v>
      </c>
      <c r="O68" s="916">
        <f>20*'ANALYSE - ERP =&gt; SOUS-SEGMENT'!$FW$64</f>
        <v>36.4</v>
      </c>
      <c r="P68" s="916">
        <f>20*'ANALYSE - ERP =&gt; SOUS-SEGMENT'!$FS$64</f>
        <v>58.8</v>
      </c>
      <c r="Q68" s="430">
        <f>'ANALYSE - ERP =&gt; SOUS-SEGMENT'!$Q$64</f>
        <v>1</v>
      </c>
    </row>
    <row r="69" spans="1:17" ht="15" customHeight="1">
      <c r="A69" s="26">
        <v>66</v>
      </c>
      <c r="B69" s="26">
        <v>67</v>
      </c>
      <c r="C69" s="26">
        <v>53</v>
      </c>
      <c r="D69" s="422">
        <f>'ANALYSE - ERP =&gt; SOUS-SEGMENT'!$A$16</f>
        <v>9</v>
      </c>
      <c r="E69" s="411" t="str">
        <f>'ANALYSE - ERP =&gt; SOUS-SEGMENT'!$B$16</f>
        <v>Enfance, Enseignement, Jeunesse &amp; Formation</v>
      </c>
      <c r="F69" s="411" t="str">
        <f>'ANALYSE - ERP =&gt; SOUS-SEGMENT'!$C$16</f>
        <v>Enseignement supérieur</v>
      </c>
      <c r="G69" s="411" t="str">
        <f>'ANALYSE - ERP =&gt; SOUS-SEGMENT'!$D$16</f>
        <v>Universités</v>
      </c>
      <c r="H69" s="424">
        <f t="shared" si="2"/>
        <v>1490.3659406880001</v>
      </c>
      <c r="I69" s="447">
        <f>'ANALYSE - ERP =&gt; SOUS-SEGMENT'!$EX$16</f>
        <v>7451.8297034400002</v>
      </c>
      <c r="J69" s="427">
        <f>'ANALYSE - ERP =&gt; SOUS-SEGMENT'!$EY$16</f>
        <v>4844.5940534400006</v>
      </c>
      <c r="K69" s="427">
        <f>'ANALYSE - ERP =&gt; SOUS-SEGMENT'!$EZ$16</f>
        <v>2607.2356500000001</v>
      </c>
      <c r="L69" s="787">
        <f>'ANALYSE - ERP =&gt; SOUS-SEGMENT'!$EV$16</f>
        <v>0.65012141262481926</v>
      </c>
      <c r="M69" s="787">
        <f>'ANALYSE - ERP =&gt; SOUS-SEGMENT'!$EW$16</f>
        <v>0.34987858737518085</v>
      </c>
      <c r="N69" s="916">
        <f>20*'ANALYSE - ERP =&gt; SOUS-SEGMENT'!$FU$16</f>
        <v>77.8</v>
      </c>
      <c r="O69" s="916">
        <f>20*'ANALYSE - ERP =&gt; SOUS-SEGMENT'!$FW$16</f>
        <v>49.2</v>
      </c>
      <c r="P69" s="916">
        <f>20*'ANALYSE - ERP =&gt; SOUS-SEGMENT'!$FS$16</f>
        <v>65</v>
      </c>
      <c r="Q69" s="430">
        <f>'ANALYSE - ERP =&gt; SOUS-SEGMENT'!$Q$16</f>
        <v>1</v>
      </c>
    </row>
    <row r="70" spans="1:17" ht="15" customHeight="1">
      <c r="A70" s="26">
        <v>67</v>
      </c>
      <c r="B70" s="26">
        <v>64</v>
      </c>
      <c r="C70" s="26">
        <v>71</v>
      </c>
      <c r="D70" s="422">
        <f>'ANALYSE - ERP =&gt; SOUS-SEGMENT'!$A$124</f>
        <v>117</v>
      </c>
      <c r="E70" s="413" t="str">
        <f>'ANALYSE - ERP =&gt; SOUS-SEGMENT'!$B$124</f>
        <v>Transport, Mobilité &amp; Stationnement</v>
      </c>
      <c r="F70" s="413" t="str">
        <f>'ANALYSE - ERP =&gt; SOUS-SEGMENT'!$C$124</f>
        <v>Transport / Mobilité</v>
      </c>
      <c r="G70" s="413" t="str">
        <f>'ANALYSE - ERP =&gt; SOUS-SEGMENT'!$D$124</f>
        <v>Aéroports / aérogares
(&gt;1 000 passagers/an)</v>
      </c>
      <c r="H70" s="424">
        <f t="shared" si="2"/>
        <v>1487.9748894440911</v>
      </c>
      <c r="I70" s="447">
        <f>'ANALYSE - ERP =&gt; SOUS-SEGMENT'!$EX$124</f>
        <v>7439.8744472204553</v>
      </c>
      <c r="J70" s="427">
        <f>'ANALYSE - ERP =&gt; SOUS-SEGMENT'!$EY$124</f>
        <v>6062.3015472204552</v>
      </c>
      <c r="K70" s="427">
        <f>'ANALYSE - ERP =&gt; SOUS-SEGMENT'!$EZ$124</f>
        <v>1377.5728999999999</v>
      </c>
      <c r="L70" s="787">
        <f>'ANALYSE - ERP =&gt; SOUS-SEGMENT'!$EV$124</f>
        <v>0.81483922749332649</v>
      </c>
      <c r="M70" s="787">
        <f>'ANALYSE - ERP =&gt; SOUS-SEGMENT'!$EW$124</f>
        <v>0.18516077250667348</v>
      </c>
      <c r="N70" s="916">
        <f>20*'ANALYSE - ERP =&gt; SOUS-SEGMENT'!$FU$124</f>
        <v>89.600000000000009</v>
      </c>
      <c r="O70" s="916">
        <f>20*'ANALYSE - ERP =&gt; SOUS-SEGMENT'!$FW$124</f>
        <v>62</v>
      </c>
      <c r="P70" s="916">
        <f>20*'ANALYSE - ERP =&gt; SOUS-SEGMENT'!$FS$124</f>
        <v>77.2</v>
      </c>
      <c r="Q70" s="430">
        <f>'ANALYSE - ERP =&gt; SOUS-SEGMENT'!$Q$124</f>
        <v>1</v>
      </c>
    </row>
    <row r="71" spans="1:17" ht="15" customHeight="1">
      <c r="A71" s="26">
        <v>68</v>
      </c>
      <c r="B71" s="26">
        <v>66</v>
      </c>
      <c r="C71" s="26">
        <v>64</v>
      </c>
      <c r="D71" s="422">
        <f>'ANALYSE - ERP =&gt; SOUS-SEGMENT'!$A$81</f>
        <v>74</v>
      </c>
      <c r="E71" s="408" t="str">
        <f>'ANALYSE - ERP =&gt; SOUS-SEGMENT'!$B$81</f>
        <v>Commerce, Restauration &amp; Loisirs</v>
      </c>
      <c r="F71" s="408" t="str">
        <f>'ANALYSE - ERP =&gt; SOUS-SEGMENT'!$C$81</f>
        <v>Commerce</v>
      </c>
      <c r="G71" s="408" t="str">
        <f>'ANALYSE - ERP =&gt; SOUS-SEGMENT'!$D$81</f>
        <v>Marchés couverts</v>
      </c>
      <c r="H71" s="424">
        <f t="shared" si="2"/>
        <v>1209.8083566878786</v>
      </c>
      <c r="I71" s="447">
        <f>'ANALYSE - ERP =&gt; SOUS-SEGMENT'!$EX$81</f>
        <v>6049.0417834393929</v>
      </c>
      <c r="J71" s="427">
        <f>'ANALYSE - ERP =&gt; SOUS-SEGMENT'!$EY$81</f>
        <v>4404.128583439393</v>
      </c>
      <c r="K71" s="427">
        <f>'ANALYSE - ERP =&gt; SOUS-SEGMENT'!$EZ$81</f>
        <v>1644.9132</v>
      </c>
      <c r="L71" s="787">
        <f>'ANALYSE - ERP =&gt; SOUS-SEGMENT'!$EV$81</f>
        <v>0.72807045166999529</v>
      </c>
      <c r="M71" s="787">
        <f>'ANALYSE - ERP =&gt; SOUS-SEGMENT'!$EW$81</f>
        <v>0.27192954833000466</v>
      </c>
      <c r="N71" s="916">
        <f>20*'ANALYSE - ERP =&gt; SOUS-SEGMENT'!$FU$81</f>
        <v>83.6</v>
      </c>
      <c r="O71" s="916">
        <f>20*'ANALYSE - ERP =&gt; SOUS-SEGMENT'!$FW$81</f>
        <v>33.799999999999997</v>
      </c>
      <c r="P71" s="916">
        <f>20*'ANALYSE - ERP =&gt; SOUS-SEGMENT'!$FS$81</f>
        <v>61.2</v>
      </c>
      <c r="Q71" s="430">
        <f>'ANALYSE - ERP =&gt; SOUS-SEGMENT'!$Q$81</f>
        <v>1</v>
      </c>
    </row>
    <row r="72" spans="1:17" ht="15" customHeight="1">
      <c r="A72" s="26">
        <v>69</v>
      </c>
      <c r="B72" s="26">
        <v>73</v>
      </c>
      <c r="C72" s="26">
        <v>59</v>
      </c>
      <c r="D72" s="422">
        <f>'ANALYSE - ERP =&gt; SOUS-SEGMENT'!$A$17</f>
        <v>10</v>
      </c>
      <c r="E72" s="411" t="str">
        <f>'ANALYSE - ERP =&gt; SOUS-SEGMENT'!$B$17</f>
        <v>Enfance, Enseignement, Jeunesse &amp; Formation</v>
      </c>
      <c r="F72" s="411" t="str">
        <f>'ANALYSE - ERP =&gt; SOUS-SEGMENT'!$C$17</f>
        <v>Enseignement supérieur</v>
      </c>
      <c r="G72" s="411" t="str">
        <f>'ANALYSE - ERP =&gt; SOUS-SEGMENT'!$D$17</f>
        <v>Grandes écoles</v>
      </c>
      <c r="H72" s="424">
        <f t="shared" si="2"/>
        <v>1411.1360434079998</v>
      </c>
      <c r="I72" s="447">
        <f>'ANALYSE - ERP =&gt; SOUS-SEGMENT'!$EX$17</f>
        <v>7055.6802170399988</v>
      </c>
      <c r="J72" s="427">
        <f>'ANALYSE - ERP =&gt; SOUS-SEGMENT'!$EY$17</f>
        <v>4634.9034170399991</v>
      </c>
      <c r="K72" s="427">
        <f>'ANALYSE - ERP =&gt; SOUS-SEGMENT'!$EZ$17</f>
        <v>2420.7768000000001</v>
      </c>
      <c r="L72" s="787">
        <f>'ANALYSE - ERP =&gt; SOUS-SEGMENT'!$EV$17</f>
        <v>0.65690383839198929</v>
      </c>
      <c r="M72" s="787">
        <f>'ANALYSE - ERP =&gt; SOUS-SEGMENT'!$EW$17</f>
        <v>0.34309616160801082</v>
      </c>
      <c r="N72" s="916">
        <f>20*'ANALYSE - ERP =&gt; SOUS-SEGMENT'!$FU$17</f>
        <v>77.8</v>
      </c>
      <c r="O72" s="916">
        <f>20*'ANALYSE - ERP =&gt; SOUS-SEGMENT'!$FW$17</f>
        <v>50.8</v>
      </c>
      <c r="P72" s="916">
        <f>20*'ANALYSE - ERP =&gt; SOUS-SEGMENT'!$FS$17</f>
        <v>65.599999999999994</v>
      </c>
      <c r="Q72" s="430">
        <f>'ANALYSE - ERP =&gt; SOUS-SEGMENT'!$Q$17</f>
        <v>1</v>
      </c>
    </row>
    <row r="73" spans="1:17" s="45" customFormat="1" ht="15" customHeight="1">
      <c r="A73" s="26">
        <v>70</v>
      </c>
      <c r="B73" s="26">
        <v>71</v>
      </c>
      <c r="C73" s="26">
        <v>67</v>
      </c>
      <c r="D73" s="422">
        <f>'ANALYSE - ERP =&gt; SOUS-SEGMENT'!$A$135</f>
        <v>128</v>
      </c>
      <c r="E73" s="417" t="str">
        <f>'ANALYSE - ERP =&gt; SOUS-SEGMENT'!$B$135</f>
        <v>Sécurité &amp; Justice</v>
      </c>
      <c r="F73" s="417" t="str">
        <f>'ANALYSE - ERP =&gt; SOUS-SEGMENT'!$C$135</f>
        <v>Forces armées</v>
      </c>
      <c r="G73" s="417" t="str">
        <f>'ANALYSE - ERP =&gt; SOUS-SEGMENT'!$D$135</f>
        <v>Unités d'hébergement des militaires &amp; réservistes</v>
      </c>
      <c r="H73" s="424">
        <f t="shared" si="2"/>
        <v>1279.5010578812121</v>
      </c>
      <c r="I73" s="447">
        <f>'ANALYSE - ERP =&gt; SOUS-SEGMENT'!$EX$135</f>
        <v>6397.5052894060609</v>
      </c>
      <c r="J73" s="427">
        <f>'ANALYSE - ERP =&gt; SOUS-SEGMENT'!$EY$135</f>
        <v>4572.061449406061</v>
      </c>
      <c r="K73" s="427">
        <f>'ANALYSE - ERP =&gt; SOUS-SEGMENT'!$EZ$135</f>
        <v>1825.4438400000001</v>
      </c>
      <c r="L73" s="787">
        <f>'ANALYSE - ERP =&gt; SOUS-SEGMENT'!$EV$135</f>
        <v>0.71466317612541241</v>
      </c>
      <c r="M73" s="787">
        <f>'ANALYSE - ERP =&gt; SOUS-SEGMENT'!$EW$135</f>
        <v>0.28533682387458764</v>
      </c>
      <c r="N73" s="916">
        <f>20*'ANALYSE - ERP =&gt; SOUS-SEGMENT'!$FU$135</f>
        <v>82.4</v>
      </c>
      <c r="O73" s="916">
        <f>20*'ANALYSE - ERP =&gt; SOUS-SEGMENT'!$FW$135</f>
        <v>49.800000000000004</v>
      </c>
      <c r="P73" s="916">
        <f>20*'ANALYSE - ERP =&gt; SOUS-SEGMENT'!$FS$135</f>
        <v>67.8</v>
      </c>
      <c r="Q73" s="430">
        <f>'ANALYSE - ERP =&gt; SOUS-SEGMENT'!$Q$135</f>
        <v>1</v>
      </c>
    </row>
    <row r="74" spans="1:17" ht="15" customHeight="1">
      <c r="A74" s="26">
        <v>71</v>
      </c>
      <c r="B74" s="26">
        <v>68</v>
      </c>
      <c r="C74" s="26">
        <v>73</v>
      </c>
      <c r="D74" s="422">
        <f>'ANALYSE - ERP =&gt; SOUS-SEGMENT'!$A$105</f>
        <v>98</v>
      </c>
      <c r="E74" s="415" t="str">
        <f>'ANALYSE - ERP =&gt; SOUS-SEGMENT'!$B$105</f>
        <v>Culte, Vie civique &amp; Services publics</v>
      </c>
      <c r="F74" s="415" t="str">
        <f>'ANALYSE - ERP =&gt; SOUS-SEGMENT'!$C$105</f>
        <v>Administrations / services publics</v>
      </c>
      <c r="G74" s="415" t="str">
        <f>'ANALYSE - ERP =&gt; SOUS-SEGMENT'!$D$105</f>
        <v>Préfectures / services administratifs</v>
      </c>
      <c r="H74" s="424">
        <f t="shared" si="2"/>
        <v>1056.4089186959318</v>
      </c>
      <c r="I74" s="447">
        <f>'ANALYSE - ERP =&gt; SOUS-SEGMENT'!$EX$105</f>
        <v>5282.0445934796589</v>
      </c>
      <c r="J74" s="427">
        <f>'ANALYSE - ERP =&gt; SOUS-SEGMENT'!$EY$105</f>
        <v>4297.2789934796592</v>
      </c>
      <c r="K74" s="427">
        <f>'ANALYSE - ERP =&gt; SOUS-SEGMENT'!$EZ$105</f>
        <v>984.76559999999995</v>
      </c>
      <c r="L74" s="787">
        <f>'ANALYSE - ERP =&gt; SOUS-SEGMENT'!$EV$105</f>
        <v>0.81356355809346459</v>
      </c>
      <c r="M74" s="787">
        <f>'ANALYSE - ERP =&gt; SOUS-SEGMENT'!$EW$105</f>
        <v>0.18643644190653541</v>
      </c>
      <c r="N74" s="916">
        <f>20*'ANALYSE - ERP =&gt; SOUS-SEGMENT'!$FU$105</f>
        <v>78.8</v>
      </c>
      <c r="O74" s="916">
        <f>20*'ANALYSE - ERP =&gt; SOUS-SEGMENT'!$FW$105</f>
        <v>33.799999999999997</v>
      </c>
      <c r="P74" s="916">
        <f>20*'ANALYSE - ERP =&gt; SOUS-SEGMENT'!$FS$105</f>
        <v>58.6</v>
      </c>
      <c r="Q74" s="430">
        <f>'ANALYSE - ERP =&gt; SOUS-SEGMENT'!$Q$105</f>
        <v>1</v>
      </c>
    </row>
    <row r="75" spans="1:17" ht="15" customHeight="1">
      <c r="A75" s="26">
        <v>72</v>
      </c>
      <c r="B75" s="26">
        <v>72</v>
      </c>
      <c r="C75" s="26">
        <v>74</v>
      </c>
      <c r="D75" s="422">
        <f>'ANALYSE - ERP =&gt; SOUS-SEGMENT'!$A$140</f>
        <v>133</v>
      </c>
      <c r="E75" s="417" t="str">
        <f>'ANALYSE - ERP =&gt; SOUS-SEGMENT'!$B$140</f>
        <v>Sécurité &amp; Justice</v>
      </c>
      <c r="F75" s="417" t="str">
        <f>'ANALYSE - ERP =&gt; SOUS-SEGMENT'!$C$140</f>
        <v>Univers carcéral</v>
      </c>
      <c r="G75" s="417" t="str">
        <f>'ANALYSE - ERP =&gt; SOUS-SEGMENT'!$D$140</f>
        <v>Centres de détention</v>
      </c>
      <c r="H75" s="424">
        <f t="shared" si="2"/>
        <v>1079.9223386363635</v>
      </c>
      <c r="I75" s="447">
        <f>'ANALYSE - ERP =&gt; SOUS-SEGMENT'!$EX$140</f>
        <v>5399.6116931818178</v>
      </c>
      <c r="J75" s="427">
        <f>'ANALYSE - ERP =&gt; SOUS-SEGMENT'!$EY$140</f>
        <v>4377.9286931818178</v>
      </c>
      <c r="K75" s="427">
        <f>'ANALYSE - ERP =&gt; SOUS-SEGMENT'!$EZ$140</f>
        <v>1021.683</v>
      </c>
      <c r="L75" s="787">
        <f>'ANALYSE - ERP =&gt; SOUS-SEGMENT'!$EV$140</f>
        <v>0.81078583830572548</v>
      </c>
      <c r="M75" s="787">
        <f>'ANALYSE - ERP =&gt; SOUS-SEGMENT'!$EW$140</f>
        <v>0.18921416169427455</v>
      </c>
      <c r="N75" s="916">
        <f>20*'ANALYSE - ERP =&gt; SOUS-SEGMENT'!$FU$140</f>
        <v>86.4</v>
      </c>
      <c r="O75" s="916">
        <f>20*'ANALYSE - ERP =&gt; SOUS-SEGMENT'!$FW$140</f>
        <v>55.199999999999996</v>
      </c>
      <c r="P75" s="916">
        <f>20*'ANALYSE - ERP =&gt; SOUS-SEGMENT'!$FS$140</f>
        <v>72.400000000000006</v>
      </c>
      <c r="Q75" s="430">
        <f>'ANALYSE - ERP =&gt; SOUS-SEGMENT'!$Q$140</f>
        <v>1</v>
      </c>
    </row>
    <row r="76" spans="1:17" ht="15" customHeight="1">
      <c r="A76" s="26">
        <v>73</v>
      </c>
      <c r="B76" s="26">
        <v>69</v>
      </c>
      <c r="C76" s="26">
        <v>77</v>
      </c>
      <c r="D76" s="422">
        <f>'ANALYSE - ERP =&gt; SOUS-SEGMENT'!$A$119</f>
        <v>112</v>
      </c>
      <c r="E76" s="415" t="str">
        <f>'ANALYSE - ERP =&gt; SOUS-SEGMENT'!$B$119</f>
        <v>Culte, Vie civique &amp; Services publics</v>
      </c>
      <c r="F76" s="415" t="str">
        <f>'ANALYSE - ERP =&gt; SOUS-SEGMENT'!$C$119</f>
        <v>Culte</v>
      </c>
      <c r="G76" s="415" t="str">
        <f>'ANALYSE - ERP =&gt; SOUS-SEGMENT'!$D$119</f>
        <v>Salles du Royaume, centres cultuels pluriconfessionnels et lieux de culte polyvalents</v>
      </c>
      <c r="H76" s="424">
        <f t="shared" si="2"/>
        <v>397.78322786796537</v>
      </c>
      <c r="I76" s="447">
        <f>'ANALYSE - ERP =&gt; SOUS-SEGMENT'!$EX$119</f>
        <v>1988.9161393398267</v>
      </c>
      <c r="J76" s="427">
        <f>'ANALYSE - ERP =&gt; SOUS-SEGMENT'!$EY$119</f>
        <v>1737.7691393398268</v>
      </c>
      <c r="K76" s="427">
        <f>'ANALYSE - ERP =&gt; SOUS-SEGMENT'!$EZ$119</f>
        <v>251.14699999999999</v>
      </c>
      <c r="L76" s="787">
        <f>'ANALYSE - ERP =&gt; SOUS-SEGMENT'!$EV$119</f>
        <v>0.87372670218093651</v>
      </c>
      <c r="M76" s="787">
        <f>'ANALYSE - ERP =&gt; SOUS-SEGMENT'!$EW$119</f>
        <v>0.12627329781906352</v>
      </c>
      <c r="N76" s="916">
        <f>20*'ANALYSE - ERP =&gt; SOUS-SEGMENT'!$FU$119</f>
        <v>64.599999999999994</v>
      </c>
      <c r="O76" s="916">
        <f>20*'ANALYSE - ERP =&gt; SOUS-SEGMENT'!$FW$119</f>
        <v>30.2</v>
      </c>
      <c r="P76" s="916">
        <f>20*'ANALYSE - ERP =&gt; SOUS-SEGMENT'!$FS$119</f>
        <v>52.199999999999996</v>
      </c>
      <c r="Q76" s="430">
        <f>'ANALYSE - ERP =&gt; SOUS-SEGMENT'!$Q$119</f>
        <v>1</v>
      </c>
    </row>
    <row r="77" spans="1:17" ht="15" customHeight="1">
      <c r="A77" s="26">
        <v>74</v>
      </c>
      <c r="B77" s="26">
        <v>70</v>
      </c>
      <c r="C77" s="26">
        <v>80</v>
      </c>
      <c r="D77" s="422">
        <f>'ANALYSE - ERP =&gt; SOUS-SEGMENT'!$A$114</f>
        <v>107</v>
      </c>
      <c r="E77" s="415" t="str">
        <f>'ANALYSE - ERP =&gt; SOUS-SEGMENT'!$B$114</f>
        <v>Culte, Vie civique &amp; Services publics</v>
      </c>
      <c r="F77" s="415" t="str">
        <f>'ANALYSE - ERP =&gt; SOUS-SEGMENT'!$C$114</f>
        <v>Culte</v>
      </c>
      <c r="G77" s="415" t="str">
        <f>'ANALYSE - ERP =&gt; SOUS-SEGMENT'!$D$114</f>
        <v>Monastères, abbayes et couvents ouverts au public</v>
      </c>
      <c r="H77" s="424">
        <f t="shared" si="2"/>
        <v>453.88042499999995</v>
      </c>
      <c r="I77" s="447">
        <f>'ANALYSE - ERP =&gt; SOUS-SEGMENT'!$EX$114</f>
        <v>2269.4021249999996</v>
      </c>
      <c r="J77" s="427">
        <f>'ANALYSE - ERP =&gt; SOUS-SEGMENT'!$EY$114</f>
        <v>2074.3541249999998</v>
      </c>
      <c r="K77" s="427">
        <f>'ANALYSE - ERP =&gt; SOUS-SEGMENT'!$EZ$114</f>
        <v>195.04799999999997</v>
      </c>
      <c r="L77" s="787">
        <f>'ANALYSE - ERP =&gt; SOUS-SEGMENT'!$EV$114</f>
        <v>0.91405313414871336</v>
      </c>
      <c r="M77" s="787">
        <f>'ANALYSE - ERP =&gt; SOUS-SEGMENT'!$EW$114</f>
        <v>8.5946865851286719E-2</v>
      </c>
      <c r="N77" s="916">
        <f>20*'ANALYSE - ERP =&gt; SOUS-SEGMENT'!$FU$114</f>
        <v>64.599999999999994</v>
      </c>
      <c r="O77" s="916">
        <f>20*'ANALYSE - ERP =&gt; SOUS-SEGMENT'!$FW$114</f>
        <v>30.2</v>
      </c>
      <c r="P77" s="916">
        <f>20*'ANALYSE - ERP =&gt; SOUS-SEGMENT'!$FS$114</f>
        <v>52.199999999999996</v>
      </c>
      <c r="Q77" s="430">
        <f>'ANALYSE - ERP =&gt; SOUS-SEGMENT'!$Q$114</f>
        <v>1</v>
      </c>
    </row>
    <row r="78" spans="1:17" ht="15" customHeight="1">
      <c r="A78" s="26">
        <v>75</v>
      </c>
      <c r="B78" s="26">
        <v>75</v>
      </c>
      <c r="C78" s="26">
        <v>69</v>
      </c>
      <c r="D78" s="422">
        <f>'ANALYSE - ERP =&gt; SOUS-SEGMENT'!$A$72</f>
        <v>65</v>
      </c>
      <c r="E78" s="414" t="str">
        <f>'ANALYSE - ERP =&gt; SOUS-SEGMENT'!$B$72</f>
        <v>Culture, Patrimoine &amp; Evénementiel</v>
      </c>
      <c r="F78" s="414" t="str">
        <f>'ANALYSE - ERP =&gt; SOUS-SEGMENT'!$C$72</f>
        <v>Événementiel temporaire</v>
      </c>
      <c r="G78" s="414" t="str">
        <f>'ANALYSE - ERP =&gt; SOUS-SEGMENT'!$D$72</f>
        <v>Chapiteaux / Tentes / Structures</v>
      </c>
      <c r="H78" s="424">
        <f t="shared" si="2"/>
        <v>539.95071942403263</v>
      </c>
      <c r="I78" s="447">
        <f>'ANALYSE - ERP =&gt; SOUS-SEGMENT'!$EX$72</f>
        <v>2699.7535971201632</v>
      </c>
      <c r="J78" s="427">
        <f>'ANALYSE - ERP =&gt; SOUS-SEGMENT'!$EY$72</f>
        <v>1788.3295971201633</v>
      </c>
      <c r="K78" s="427">
        <f>'ANALYSE - ERP =&gt; SOUS-SEGMENT'!$EZ$72</f>
        <v>911.42399999999998</v>
      </c>
      <c r="L78" s="787">
        <f>'ANALYSE - ERP =&gt; SOUS-SEGMENT'!$EV$72</f>
        <v>0.66240474650271075</v>
      </c>
      <c r="M78" s="787">
        <f>'ANALYSE - ERP =&gt; SOUS-SEGMENT'!$EW$72</f>
        <v>0.33759525349728925</v>
      </c>
      <c r="N78" s="916">
        <f>20*'ANALYSE - ERP =&gt; SOUS-SEGMENT'!$FU$72</f>
        <v>73.400000000000006</v>
      </c>
      <c r="O78" s="916">
        <f>20*'ANALYSE - ERP =&gt; SOUS-SEGMENT'!$FW$72</f>
        <v>40</v>
      </c>
      <c r="P78" s="916">
        <f>20*'ANALYSE - ERP =&gt; SOUS-SEGMENT'!$FS$72</f>
        <v>61.4</v>
      </c>
      <c r="Q78" s="430">
        <f>'ANALYSE - ERP =&gt; SOUS-SEGMENT'!$Q$72</f>
        <v>1</v>
      </c>
    </row>
    <row r="79" spans="1:17" ht="15" customHeight="1">
      <c r="A79" s="26">
        <v>76</v>
      </c>
      <c r="B79" s="26">
        <v>77</v>
      </c>
      <c r="C79" s="26">
        <v>75</v>
      </c>
      <c r="D79" s="422">
        <f>'ANALYSE - ERP =&gt; SOUS-SEGMENT'!$A$127</f>
        <v>120</v>
      </c>
      <c r="E79" s="413" t="str">
        <f>'ANALYSE - ERP =&gt; SOUS-SEGMENT'!$B$127</f>
        <v>Transport, Mobilité &amp; Stationnement</v>
      </c>
      <c r="F79" s="413" t="str">
        <f>'ANALYSE - ERP =&gt; SOUS-SEGMENT'!$C$127</f>
        <v>Transport / Mobilité</v>
      </c>
      <c r="G79" s="413" t="str">
        <f>'ANALYSE - ERP =&gt; SOUS-SEGMENT'!$D$127</f>
        <v>Terminaux maritimes / fluviaux</v>
      </c>
      <c r="H79" s="424">
        <f t="shared" si="2"/>
        <v>747.06813413583336</v>
      </c>
      <c r="I79" s="447">
        <f>'ANALYSE - ERP =&gt; SOUS-SEGMENT'!$EX$127</f>
        <v>3735.3406706791666</v>
      </c>
      <c r="J79" s="427">
        <f>'ANALYSE - ERP =&gt; SOUS-SEGMENT'!$EY$127</f>
        <v>2799.2086706791665</v>
      </c>
      <c r="K79" s="427">
        <f>'ANALYSE - ERP =&gt; SOUS-SEGMENT'!$EZ$127</f>
        <v>936.13200000000006</v>
      </c>
      <c r="L79" s="787">
        <f>'ANALYSE - ERP =&gt; SOUS-SEGMENT'!$EV$127</f>
        <v>0.74938510766949917</v>
      </c>
      <c r="M79" s="787">
        <f>'ANALYSE - ERP =&gt; SOUS-SEGMENT'!$EW$127</f>
        <v>0.25061489233050083</v>
      </c>
      <c r="N79" s="916">
        <f>20*'ANALYSE - ERP =&gt; SOUS-SEGMENT'!$FU$127</f>
        <v>86.199999999999989</v>
      </c>
      <c r="O79" s="916">
        <f>20*'ANALYSE - ERP =&gt; SOUS-SEGMENT'!$FW$127</f>
        <v>49.400000000000006</v>
      </c>
      <c r="P79" s="916">
        <f>20*'ANALYSE - ERP =&gt; SOUS-SEGMENT'!$FS$127</f>
        <v>69.599999999999994</v>
      </c>
      <c r="Q79" s="430">
        <f>'ANALYSE - ERP =&gt; SOUS-SEGMENT'!$Q$127</f>
        <v>1</v>
      </c>
    </row>
    <row r="80" spans="1:17" ht="15" customHeight="1">
      <c r="A80" s="26">
        <v>77</v>
      </c>
      <c r="B80" s="26">
        <v>76</v>
      </c>
      <c r="C80" s="26">
        <v>78</v>
      </c>
      <c r="D80" s="422">
        <f>'ANALYSE - ERP =&gt; SOUS-SEGMENT'!$A$146</f>
        <v>139</v>
      </c>
      <c r="E80" s="417" t="str">
        <f>'ANALYSE - ERP =&gt; SOUS-SEGMENT'!$B$146</f>
        <v>Sécurité &amp; Justice</v>
      </c>
      <c r="F80" s="417" t="str">
        <f>'ANALYSE - ERP =&gt; SOUS-SEGMENT'!$C$146</f>
        <v>Tribunaux</v>
      </c>
      <c r="G80" s="417" t="str">
        <f>'ANALYSE - ERP =&gt; SOUS-SEGMENT'!$D$146</f>
        <v>Palais de justice et bâtiments judiciaires multi-usages</v>
      </c>
      <c r="H80" s="424">
        <f t="shared" si="2"/>
        <v>675.46535840000001</v>
      </c>
      <c r="I80" s="447">
        <f>'ANALYSE - ERP =&gt; SOUS-SEGMENT'!$EX$146</f>
        <v>3377.3267919999998</v>
      </c>
      <c r="J80" s="427">
        <f>'ANALYSE - ERP =&gt; SOUS-SEGMENT'!$EY$146</f>
        <v>2861.5533519999999</v>
      </c>
      <c r="K80" s="427">
        <f>'ANALYSE - ERP =&gt; SOUS-SEGMENT'!$EZ$146</f>
        <v>515.77343999999994</v>
      </c>
      <c r="L80" s="787">
        <f>'ANALYSE - ERP =&gt; SOUS-SEGMENT'!$EV$146</f>
        <v>0.84728352576903965</v>
      </c>
      <c r="M80" s="787">
        <f>'ANALYSE - ERP =&gt; SOUS-SEGMENT'!$EW$146</f>
        <v>0.15271647423096035</v>
      </c>
      <c r="N80" s="916">
        <f>20*'ANALYSE - ERP =&gt; SOUS-SEGMENT'!$FU$146</f>
        <v>77.599999999999994</v>
      </c>
      <c r="O80" s="916">
        <f>20*'ANALYSE - ERP =&gt; SOUS-SEGMENT'!$FW$146</f>
        <v>42.199999999999996</v>
      </c>
      <c r="P80" s="916">
        <f>20*'ANALYSE - ERP =&gt; SOUS-SEGMENT'!$FS$146</f>
        <v>61.6</v>
      </c>
      <c r="Q80" s="430">
        <f>'ANALYSE - ERP =&gt; SOUS-SEGMENT'!$Q$146</f>
        <v>1</v>
      </c>
    </row>
    <row r="81" spans="1:17" ht="15" customHeight="1">
      <c r="A81" s="26">
        <v>78</v>
      </c>
      <c r="B81" s="26">
        <v>78</v>
      </c>
      <c r="C81" s="26">
        <v>76</v>
      </c>
      <c r="D81" s="422">
        <f>'ANALYSE - ERP =&gt; SOUS-SEGMENT'!$A$91</f>
        <v>84</v>
      </c>
      <c r="E81" s="412" t="str">
        <f>'ANALYSE - ERP =&gt; SOUS-SEGMENT'!$B$91</f>
        <v>Hébergement Touristique</v>
      </c>
      <c r="F81" s="412" t="str">
        <f>'ANALYSE - ERP =&gt; SOUS-SEGMENT'!$C$91</f>
        <v>Hébergement Touristique</v>
      </c>
      <c r="G81" s="412" t="str">
        <f>'ANALYSE - ERP =&gt; SOUS-SEGMENT'!$D$91</f>
        <v>Pensions de famille</v>
      </c>
      <c r="H81" s="424">
        <f t="shared" si="2"/>
        <v>574.4645359772727</v>
      </c>
      <c r="I81" s="447">
        <f>'ANALYSE - ERP =&gt; SOUS-SEGMENT'!$EX$91</f>
        <v>2872.3226798863634</v>
      </c>
      <c r="J81" s="427">
        <f>'ANALYSE - ERP =&gt; SOUS-SEGMENT'!$EY$91</f>
        <v>2212.1504048863635</v>
      </c>
      <c r="K81" s="427">
        <f>'ANALYSE - ERP =&gt; SOUS-SEGMENT'!$EZ$91</f>
        <v>660.1722749999999</v>
      </c>
      <c r="L81" s="787">
        <f>'ANALYSE - ERP =&gt; SOUS-SEGMENT'!$EV$91</f>
        <v>0.77016082502745897</v>
      </c>
      <c r="M81" s="787">
        <f>'ANALYSE - ERP =&gt; SOUS-SEGMENT'!$EW$91</f>
        <v>0.22983917497254105</v>
      </c>
      <c r="N81" s="916">
        <f>20*'ANALYSE - ERP =&gt; SOUS-SEGMENT'!$FU$91</f>
        <v>81.8</v>
      </c>
      <c r="O81" s="916">
        <f>20*'ANALYSE - ERP =&gt; SOUS-SEGMENT'!$FW$91</f>
        <v>46.2</v>
      </c>
      <c r="P81" s="916">
        <f>20*'ANALYSE - ERP =&gt; SOUS-SEGMENT'!$FS$91</f>
        <v>65.8</v>
      </c>
      <c r="Q81" s="430">
        <f>'ANALYSE - ERP =&gt; SOUS-SEGMENT'!$Q$91</f>
        <v>1</v>
      </c>
    </row>
    <row r="82" spans="1:17" ht="15" customHeight="1">
      <c r="A82" s="26">
        <v>79</v>
      </c>
      <c r="B82" s="26">
        <v>89</v>
      </c>
      <c r="C82" s="26">
        <v>63</v>
      </c>
      <c r="D82" s="422">
        <f>'ANALYSE - ERP =&gt; SOUS-SEGMENT'!$A$108</f>
        <v>101</v>
      </c>
      <c r="E82" s="415" t="str">
        <f>'ANALYSE - ERP =&gt; SOUS-SEGMENT'!$B$108</f>
        <v>Culte, Vie civique &amp; Services publics</v>
      </c>
      <c r="F82" s="415" t="str">
        <f>'ANALYSE - ERP =&gt; SOUS-SEGMENT'!$C$108</f>
        <v>Administrations / services publics</v>
      </c>
      <c r="G82" s="415" t="str">
        <f>'ANALYSE - ERP =&gt; SOUS-SEGMENT'!$D$108</f>
        <v>Maisons France Services / Guichets publics autonomes ou dédiés</v>
      </c>
      <c r="H82" s="424">
        <f t="shared" si="2"/>
        <v>190.20558094747474</v>
      </c>
      <c r="I82" s="447">
        <f>'ANALYSE - ERP =&gt; SOUS-SEGMENT'!$EX$108</f>
        <v>951.02790473737377</v>
      </c>
      <c r="J82" s="427">
        <f>'ANALYSE - ERP =&gt; SOUS-SEGMENT'!$EY$108</f>
        <v>279.65370473737374</v>
      </c>
      <c r="K82" s="427">
        <f>'ANALYSE - ERP =&gt; SOUS-SEGMENT'!$EZ$108</f>
        <v>671.37419999999997</v>
      </c>
      <c r="L82" s="787">
        <f>'ANALYSE - ERP =&gt; SOUS-SEGMENT'!$EV$108</f>
        <v>0.29405415271658097</v>
      </c>
      <c r="M82" s="787">
        <f>'ANALYSE - ERP =&gt; SOUS-SEGMENT'!$EW$108</f>
        <v>0.70594584728341891</v>
      </c>
      <c r="N82" s="916">
        <f>20*'ANALYSE - ERP =&gt; SOUS-SEGMENT'!$FU$108</f>
        <v>70.8</v>
      </c>
      <c r="O82" s="916">
        <f>20*'ANALYSE - ERP =&gt; SOUS-SEGMENT'!$FW$108</f>
        <v>63.2</v>
      </c>
      <c r="P82" s="916">
        <f>20*'ANALYSE - ERP =&gt; SOUS-SEGMENT'!$FS$108</f>
        <v>67.400000000000006</v>
      </c>
      <c r="Q82" s="430">
        <f>'ANALYSE - ERP =&gt; SOUS-SEGMENT'!$Q$108</f>
        <v>1</v>
      </c>
    </row>
    <row r="83" spans="1:17" ht="15" customHeight="1">
      <c r="A83" s="26">
        <v>80</v>
      </c>
      <c r="B83" s="26">
        <v>79</v>
      </c>
      <c r="C83" s="26">
        <v>84</v>
      </c>
      <c r="D83" s="422">
        <f>'ANALYSE - ERP =&gt; SOUS-SEGMENT'!$A$132</f>
        <v>125</v>
      </c>
      <c r="E83" s="417" t="str">
        <f>'ANALYSE - ERP =&gt; SOUS-SEGMENT'!$B$132</f>
        <v>Sécurité &amp; Justice</v>
      </c>
      <c r="F83" s="417" t="str">
        <f>'ANALYSE - ERP =&gt; SOUS-SEGMENT'!$C$132</f>
        <v xml:space="preserve">Commissariats / postes de police </v>
      </c>
      <c r="G83" s="417" t="str">
        <f>'ANALYSE - ERP =&gt; SOUS-SEGMENT'!$D$132</f>
        <v>Locaux de sûreté, garde à vue et zones opérationnelles</v>
      </c>
      <c r="H83" s="424">
        <f t="shared" si="2"/>
        <v>507.51597452149997</v>
      </c>
      <c r="I83" s="447">
        <f>'ANALYSE - ERP =&gt; SOUS-SEGMENT'!$EX$132</f>
        <v>2537.5798726075</v>
      </c>
      <c r="J83" s="427">
        <f>'ANALYSE - ERP =&gt; SOUS-SEGMENT'!$EY$132</f>
        <v>2165.4262726074999</v>
      </c>
      <c r="K83" s="427">
        <f>'ANALYSE - ERP =&gt; SOUS-SEGMENT'!$EZ$132</f>
        <v>372.15359999999998</v>
      </c>
      <c r="L83" s="787">
        <f>'ANALYSE - ERP =&gt; SOUS-SEGMENT'!$EV$132</f>
        <v>0.85334309906170869</v>
      </c>
      <c r="M83" s="787">
        <f>'ANALYSE - ERP =&gt; SOUS-SEGMENT'!$EW$132</f>
        <v>0.14665690093829131</v>
      </c>
      <c r="N83" s="916">
        <f>20*'ANALYSE - ERP =&gt; SOUS-SEGMENT'!$FU$132</f>
        <v>79.400000000000006</v>
      </c>
      <c r="O83" s="916">
        <f>20*'ANALYSE - ERP =&gt; SOUS-SEGMENT'!$FW$132</f>
        <v>31.200000000000003</v>
      </c>
      <c r="P83" s="916">
        <f>20*'ANALYSE - ERP =&gt; SOUS-SEGMENT'!$FS$132</f>
        <v>57.800000000000004</v>
      </c>
      <c r="Q83" s="430">
        <f>'ANALYSE - ERP =&gt; SOUS-SEGMENT'!$Q$132</f>
        <v>1</v>
      </c>
    </row>
    <row r="84" spans="1:17" ht="15" customHeight="1">
      <c r="A84" s="26">
        <v>81</v>
      </c>
      <c r="B84" s="26">
        <v>81</v>
      </c>
      <c r="C84" s="26">
        <v>79</v>
      </c>
      <c r="D84" s="422">
        <f>'ANALYSE - ERP =&gt; SOUS-SEGMENT'!$A$71</f>
        <v>64</v>
      </c>
      <c r="E84" s="414" t="str">
        <f>'ANALYSE - ERP =&gt; SOUS-SEGMENT'!$B$71</f>
        <v>Culture, Patrimoine &amp; Evénementiel</v>
      </c>
      <c r="F84" s="414" t="str">
        <f>'ANALYSE - ERP =&gt; SOUS-SEGMENT'!$C$71</f>
        <v>Expositions / salons</v>
      </c>
      <c r="G84" s="414" t="str">
        <f>'ANALYSE - ERP =&gt; SOUS-SEGMENT'!$D$71</f>
        <v>Halls d’exposition</v>
      </c>
      <c r="H84" s="424">
        <f t="shared" si="2"/>
        <v>472.07509642268997</v>
      </c>
      <c r="I84" s="447">
        <f>'ANALYSE - ERP =&gt; SOUS-SEGMENT'!$EX$71</f>
        <v>2360.3754821134498</v>
      </c>
      <c r="J84" s="427">
        <f>'ANALYSE - ERP =&gt; SOUS-SEGMENT'!$EY$71</f>
        <v>1896.1809221134499</v>
      </c>
      <c r="K84" s="427">
        <f>'ANALYSE - ERP =&gt; SOUS-SEGMENT'!$EZ$71</f>
        <v>464.19455999999991</v>
      </c>
      <c r="L84" s="787">
        <f>'ANALYSE - ERP =&gt; SOUS-SEGMENT'!$EV$71</f>
        <v>0.80333867915609514</v>
      </c>
      <c r="M84" s="787">
        <f>'ANALYSE - ERP =&gt; SOUS-SEGMENT'!$EW$71</f>
        <v>0.19666132084390492</v>
      </c>
      <c r="N84" s="916">
        <f>20*'ANALYSE - ERP =&gt; SOUS-SEGMENT'!$FU$71</f>
        <v>73.8</v>
      </c>
      <c r="O84" s="916">
        <f>20*'ANALYSE - ERP =&gt; SOUS-SEGMENT'!$FW$71</f>
        <v>42.400000000000006</v>
      </c>
      <c r="P84" s="916">
        <f>20*'ANALYSE - ERP =&gt; SOUS-SEGMENT'!$FS$71</f>
        <v>59.6</v>
      </c>
      <c r="Q84" s="430">
        <f>'ANALYSE - ERP =&gt; SOUS-SEGMENT'!$Q$71</f>
        <v>1</v>
      </c>
    </row>
    <row r="85" spans="1:17" ht="15" customHeight="1">
      <c r="A85" s="26">
        <v>82</v>
      </c>
      <c r="B85" s="26">
        <v>80</v>
      </c>
      <c r="C85" s="26">
        <v>87</v>
      </c>
      <c r="D85" s="422">
        <f>'ANALYSE - ERP =&gt; SOUS-SEGMENT'!$A$121</f>
        <v>114</v>
      </c>
      <c r="E85" s="413" t="str">
        <f>'ANALYSE - ERP =&gt; SOUS-SEGMENT'!$B$121</f>
        <v>Transport, Mobilité &amp; Stationnement</v>
      </c>
      <c r="F85" s="413" t="str">
        <f>'ANALYSE - ERP =&gt; SOUS-SEGMENT'!$C$121</f>
        <v>Transport / Mobilité</v>
      </c>
      <c r="G85" s="413" t="str">
        <f>'ANALYSE - ERP =&gt; SOUS-SEGMENT'!$D$121</f>
        <v>Aires de service - Autoroutes
(Hors Aires de repos)</v>
      </c>
      <c r="H85" s="424">
        <f t="shared" si="2"/>
        <v>453.12110319878792</v>
      </c>
      <c r="I85" s="447">
        <f>'ANALYSE - ERP =&gt; SOUS-SEGMENT'!$EX$121</f>
        <v>2265.6055159939397</v>
      </c>
      <c r="J85" s="427">
        <f>'ANALYSE - ERP =&gt; SOUS-SEGMENT'!$EY$121</f>
        <v>1953.8416759939396</v>
      </c>
      <c r="K85" s="427">
        <f>'ANALYSE - ERP =&gt; SOUS-SEGMENT'!$EZ$121</f>
        <v>311.76383999999996</v>
      </c>
      <c r="L85" s="787">
        <f>'ANALYSE - ERP =&gt; SOUS-SEGMENT'!$EV$121</f>
        <v>0.86239270791004108</v>
      </c>
      <c r="M85" s="787">
        <f>'ANALYSE - ERP =&gt; SOUS-SEGMENT'!$EW$121</f>
        <v>0.13760729208995884</v>
      </c>
      <c r="N85" s="916">
        <f>20*'ANALYSE - ERP =&gt; SOUS-SEGMENT'!$FU$121</f>
        <v>84.800000000000011</v>
      </c>
      <c r="O85" s="916">
        <f>20*'ANALYSE - ERP =&gt; SOUS-SEGMENT'!$FW$121</f>
        <v>43.8</v>
      </c>
      <c r="P85" s="916">
        <f>20*'ANALYSE - ERP =&gt; SOUS-SEGMENT'!$FS$121</f>
        <v>66.399999999999991</v>
      </c>
      <c r="Q85" s="430">
        <f>'ANALYSE - ERP =&gt; SOUS-SEGMENT'!$Q$121</f>
        <v>1</v>
      </c>
    </row>
    <row r="86" spans="1:17" ht="15" customHeight="1">
      <c r="A86" s="26">
        <v>83</v>
      </c>
      <c r="B86" s="26">
        <v>82</v>
      </c>
      <c r="C86" s="26">
        <v>82</v>
      </c>
      <c r="D86" s="422">
        <f>'ANALYSE - ERP =&gt; SOUS-SEGMENT'!$A$138</f>
        <v>131</v>
      </c>
      <c r="E86" s="417" t="str">
        <f>'ANALYSE - ERP =&gt; SOUS-SEGMENT'!$B$138</f>
        <v>Sécurité &amp; Justice</v>
      </c>
      <c r="F86" s="417" t="str">
        <f>'ANALYSE - ERP =&gt; SOUS-SEGMENT'!$C$138</f>
        <v>Forces armées</v>
      </c>
      <c r="G86" s="417" t="str">
        <f>'ANALYSE - ERP =&gt; SOUS-SEGMENT'!$D$138</f>
        <v>Salles de conférence, auditoriums et espaces événementiels ouverts au public</v>
      </c>
      <c r="H86" s="424">
        <f t="shared" si="2"/>
        <v>369.28154929545457</v>
      </c>
      <c r="I86" s="447">
        <f>'ANALYSE - ERP =&gt; SOUS-SEGMENT'!$EX$138</f>
        <v>1846.4077464772729</v>
      </c>
      <c r="J86" s="427">
        <f>'ANALYSE - ERP =&gt; SOUS-SEGMENT'!$EY$138</f>
        <v>1529.4157464772729</v>
      </c>
      <c r="K86" s="427">
        <f>'ANALYSE - ERP =&gt; SOUS-SEGMENT'!$EZ$138</f>
        <v>316.99200000000002</v>
      </c>
      <c r="L86" s="787">
        <f>'ANALYSE - ERP =&gt; SOUS-SEGMENT'!$EV$138</f>
        <v>0.82831961109089625</v>
      </c>
      <c r="M86" s="787">
        <f>'ANALYSE - ERP =&gt; SOUS-SEGMENT'!$EW$138</f>
        <v>0.17168038890910373</v>
      </c>
      <c r="N86" s="916">
        <f>20*'ANALYSE - ERP =&gt; SOUS-SEGMENT'!$FU$138</f>
        <v>82.6</v>
      </c>
      <c r="O86" s="916">
        <f>20*'ANALYSE - ERP =&gt; SOUS-SEGMENT'!$FW$138</f>
        <v>36.4</v>
      </c>
      <c r="P86" s="916">
        <f>20*'ANALYSE - ERP =&gt; SOUS-SEGMENT'!$FS$138</f>
        <v>61.8</v>
      </c>
      <c r="Q86" s="430">
        <f>'ANALYSE - ERP =&gt; SOUS-SEGMENT'!$Q$138</f>
        <v>1</v>
      </c>
    </row>
    <row r="87" spans="1:17" ht="15" customHeight="1">
      <c r="A87" s="26">
        <v>84</v>
      </c>
      <c r="B87" s="26">
        <v>83</v>
      </c>
      <c r="C87" s="26">
        <v>88</v>
      </c>
      <c r="D87" s="422">
        <f>'ANALYSE - ERP =&gt; SOUS-SEGMENT'!$A$93</f>
        <v>86</v>
      </c>
      <c r="E87" s="412" t="str">
        <f>'ANALYSE - ERP =&gt; SOUS-SEGMENT'!$B$93</f>
        <v>Hébergement Touristique</v>
      </c>
      <c r="F87" s="412" t="str">
        <f>'ANALYSE - ERP =&gt; SOUS-SEGMENT'!$C$93</f>
        <v>Hébergement Montagne</v>
      </c>
      <c r="G87" s="412" t="str">
        <f>'ANALYSE - ERP =&gt; SOUS-SEGMENT'!$D$93</f>
        <v>Refuges de montagne</v>
      </c>
      <c r="H87" s="424">
        <f t="shared" si="2"/>
        <v>318.67765847749996</v>
      </c>
      <c r="I87" s="447">
        <f>'ANALYSE - ERP =&gt; SOUS-SEGMENT'!$EX$93</f>
        <v>1593.3882923874999</v>
      </c>
      <c r="J87" s="427">
        <f>'ANALYSE - ERP =&gt; SOUS-SEGMENT'!$EY$93</f>
        <v>1310.3632923875</v>
      </c>
      <c r="K87" s="427">
        <f>'ANALYSE - ERP =&gt; SOUS-SEGMENT'!$EZ$93</f>
        <v>283.02499999999998</v>
      </c>
      <c r="L87" s="787">
        <f>'ANALYSE - ERP =&gt; SOUS-SEGMENT'!$EV$93</f>
        <v>0.8223753736912921</v>
      </c>
      <c r="M87" s="787">
        <f>'ANALYSE - ERP =&gt; SOUS-SEGMENT'!$EW$93</f>
        <v>0.17762462630870798</v>
      </c>
      <c r="N87" s="916">
        <f>20*'ANALYSE - ERP =&gt; SOUS-SEGMENT'!$FU$93</f>
        <v>79</v>
      </c>
      <c r="O87" s="916">
        <f>20*'ANALYSE - ERP =&gt; SOUS-SEGMENT'!$FW$93</f>
        <v>32.400000000000006</v>
      </c>
      <c r="P87" s="916">
        <f>20*'ANALYSE - ERP =&gt; SOUS-SEGMENT'!$FS$93</f>
        <v>58</v>
      </c>
      <c r="Q87" s="430">
        <f>'ANALYSE - ERP =&gt; SOUS-SEGMENT'!$Q$93</f>
        <v>1</v>
      </c>
    </row>
    <row r="88" spans="1:17" ht="15" customHeight="1">
      <c r="A88" s="26">
        <v>85</v>
      </c>
      <c r="B88" s="26">
        <v>85</v>
      </c>
      <c r="C88" s="26">
        <v>86</v>
      </c>
      <c r="D88" s="422">
        <f>'ANALYSE - ERP =&gt; SOUS-SEGMENT'!$A$47</f>
        <v>40</v>
      </c>
      <c r="E88" s="417" t="str">
        <f>'ANALYSE - ERP =&gt; SOUS-SEGMENT'!$B$47</f>
        <v>Santé &amp; Médico-social</v>
      </c>
      <c r="F88" s="417" t="str">
        <f>'ANALYSE - ERP =&gt; SOUS-SEGMENT'!$C$47</f>
        <v>Santé hospitalière</v>
      </c>
      <c r="G88" s="417" t="str">
        <f>'ANALYSE - ERP =&gt; SOUS-SEGMENT'!$D$47</f>
        <v>Hôpitaux d’instruction des armées et centres médicaux recevant du public</v>
      </c>
      <c r="H88" s="424">
        <f t="shared" si="2"/>
        <v>330.42124034618183</v>
      </c>
      <c r="I88" s="447">
        <f>'ANALYSE - ERP =&gt; SOUS-SEGMENT'!$EX$47</f>
        <v>1652.1062017309091</v>
      </c>
      <c r="J88" s="427">
        <f>'ANALYSE - ERP =&gt; SOUS-SEGMENT'!$EY$47</f>
        <v>1318.357401730909</v>
      </c>
      <c r="K88" s="427">
        <f>'ANALYSE - ERP =&gt; SOUS-SEGMENT'!$EZ$47</f>
        <v>333.74880000000002</v>
      </c>
      <c r="L88" s="787">
        <f>'ANALYSE - ERP =&gt; SOUS-SEGMENT'!$EV$47</f>
        <v>0.79798586819035489</v>
      </c>
      <c r="M88" s="787">
        <f>'ANALYSE - ERP =&gt; SOUS-SEGMENT'!$EW$47</f>
        <v>0.20201413180964511</v>
      </c>
      <c r="N88" s="916">
        <f>20*'ANALYSE - ERP =&gt; SOUS-SEGMENT'!$FU$47</f>
        <v>82.4</v>
      </c>
      <c r="O88" s="916">
        <f>20*'ANALYSE - ERP =&gt; SOUS-SEGMENT'!$FW$47</f>
        <v>53.2</v>
      </c>
      <c r="P88" s="916">
        <f>20*'ANALYSE - ERP =&gt; SOUS-SEGMENT'!$FS$47</f>
        <v>69.2</v>
      </c>
      <c r="Q88" s="430">
        <f>'ANALYSE - ERP =&gt; SOUS-SEGMENT'!$Q$47</f>
        <v>1</v>
      </c>
    </row>
    <row r="89" spans="1:17" ht="15" customHeight="1">
      <c r="A89" s="26">
        <v>86</v>
      </c>
      <c r="B89" s="26">
        <v>84</v>
      </c>
      <c r="C89" s="26">
        <v>91</v>
      </c>
      <c r="D89" s="422" t="e">
        <f>'ANALYSE - ERP =&gt; SOUS-SEGMENT'!#REF!</f>
        <v>#REF!</v>
      </c>
      <c r="E89" s="417" t="e">
        <f>'ANALYSE - ERP =&gt; SOUS-SEGMENT'!#REF!</f>
        <v>#REF!</v>
      </c>
      <c r="F89" s="417" t="e">
        <f>'ANALYSE - ERP =&gt; SOUS-SEGMENT'!#REF!</f>
        <v>#REF!</v>
      </c>
      <c r="G89" s="417" t="e">
        <f>'ANALYSE - ERP =&gt; SOUS-SEGMENT'!#REF!</f>
        <v>#REF!</v>
      </c>
      <c r="H89" s="424" t="e">
        <f t="shared" si="2"/>
        <v>#REF!</v>
      </c>
      <c r="I89" s="447" t="e">
        <f>'ANALYSE - ERP =&gt; SOUS-SEGMENT'!#REF!</f>
        <v>#REF!</v>
      </c>
      <c r="J89" s="427" t="e">
        <f>'ANALYSE - ERP =&gt; SOUS-SEGMENT'!#REF!</f>
        <v>#REF!</v>
      </c>
      <c r="K89" s="427" t="e">
        <f>'ANALYSE - ERP =&gt; SOUS-SEGMENT'!#REF!</f>
        <v>#REF!</v>
      </c>
      <c r="L89" s="787" t="e">
        <f>'ANALYSE - ERP =&gt; SOUS-SEGMENT'!#REF!</f>
        <v>#REF!</v>
      </c>
      <c r="M89" s="787" t="e">
        <f>'ANALYSE - ERP =&gt; SOUS-SEGMENT'!#REF!</f>
        <v>#REF!</v>
      </c>
      <c r="N89" s="916" t="e">
        <f>20*'ANALYSE - ERP =&gt; SOUS-SEGMENT'!#REF!</f>
        <v>#REF!</v>
      </c>
      <c r="O89" s="916" t="e">
        <f>20*'ANALYSE - ERP =&gt; SOUS-SEGMENT'!#REF!</f>
        <v>#REF!</v>
      </c>
      <c r="P89" s="916" t="e">
        <f>20*'ANALYSE - ERP =&gt; SOUS-SEGMENT'!#REF!</f>
        <v>#REF!</v>
      </c>
      <c r="Q89" s="430" t="e">
        <f>'ANALYSE - ERP =&gt; SOUS-SEGMENT'!#REF!</f>
        <v>#REF!</v>
      </c>
    </row>
    <row r="90" spans="1:17" ht="15" customHeight="1">
      <c r="A90" s="26">
        <v>87</v>
      </c>
      <c r="B90" s="26">
        <v>86</v>
      </c>
      <c r="C90" s="26">
        <v>94</v>
      </c>
      <c r="D90" s="422">
        <f>'ANALYSE - ERP =&gt; SOUS-SEGMENT'!$A$92</f>
        <v>85</v>
      </c>
      <c r="E90" s="412" t="str">
        <f>'ANALYSE - ERP =&gt; SOUS-SEGMENT'!$B$92</f>
        <v>Hébergement Touristique</v>
      </c>
      <c r="F90" s="412" t="str">
        <f>'ANALYSE - ERP =&gt; SOUS-SEGMENT'!$C$92</f>
        <v>Hébergement Montagne</v>
      </c>
      <c r="G90" s="412" t="str">
        <f>'ANALYSE - ERP =&gt; SOUS-SEGMENT'!$D$92</f>
        <v>Hôtels-restaurants d’altitude</v>
      </c>
      <c r="H90" s="424">
        <f t="shared" si="2"/>
        <v>534.92521057575755</v>
      </c>
      <c r="I90" s="447">
        <f>'ANALYSE - ERP =&gt; SOUS-SEGMENT'!$EX$92</f>
        <v>2674.626052878788</v>
      </c>
      <c r="J90" s="427">
        <f>'ANALYSE - ERP =&gt; SOUS-SEGMENT'!$EY$92</f>
        <v>2115.7860528787878</v>
      </c>
      <c r="K90" s="427">
        <f>'ANALYSE - ERP =&gt; SOUS-SEGMENT'!$EZ$92</f>
        <v>558.83999999999992</v>
      </c>
      <c r="L90" s="787">
        <f>'ANALYSE - ERP =&gt; SOUS-SEGMENT'!$EV$92</f>
        <v>0.79105864186191477</v>
      </c>
      <c r="M90" s="787">
        <f>'ANALYSE - ERP =&gt; SOUS-SEGMENT'!$EW$92</f>
        <v>0.20894135813808515</v>
      </c>
      <c r="N90" s="916">
        <f>20*'ANALYSE - ERP =&gt; SOUS-SEGMENT'!$FU$92</f>
        <v>79.2</v>
      </c>
      <c r="O90" s="916">
        <f>20*'ANALYSE - ERP =&gt; SOUS-SEGMENT'!$FW$92</f>
        <v>32.400000000000006</v>
      </c>
      <c r="P90" s="916">
        <f>20*'ANALYSE - ERP =&gt; SOUS-SEGMENT'!$FS$92</f>
        <v>58.2</v>
      </c>
      <c r="Q90" s="430">
        <f>'ANALYSE - ERP =&gt; SOUS-SEGMENT'!$Q$92</f>
        <v>1</v>
      </c>
    </row>
    <row r="91" spans="1:17" ht="15" customHeight="1">
      <c r="A91" s="26">
        <v>88</v>
      </c>
      <c r="B91" s="26">
        <v>90</v>
      </c>
      <c r="C91" s="26">
        <v>81</v>
      </c>
      <c r="D91" s="422">
        <f>'ANALYSE - ERP =&gt; SOUS-SEGMENT'!$A$118</f>
        <v>111</v>
      </c>
      <c r="E91" s="415" t="str">
        <f>'ANALYSE - ERP =&gt; SOUS-SEGMENT'!$B$118</f>
        <v>Culte, Vie civique &amp; Services publics</v>
      </c>
      <c r="F91" s="415" t="str">
        <f>'ANALYSE - ERP =&gt; SOUS-SEGMENT'!$C$118</f>
        <v>Culte</v>
      </c>
      <c r="G91" s="415" t="str">
        <f>'ANALYSE - ERP =&gt; SOUS-SEGMENT'!$D$118</f>
        <v>Temples bouddhistes, hindous et autres lieux de culte non abrahamiques ouverts au public</v>
      </c>
      <c r="H91" s="424">
        <f t="shared" si="2"/>
        <v>204.95169999999999</v>
      </c>
      <c r="I91" s="447">
        <f>'ANALYSE - ERP =&gt; SOUS-SEGMENT'!$EX$118</f>
        <v>1024.7584999999999</v>
      </c>
      <c r="J91" s="427">
        <f>'ANALYSE - ERP =&gt; SOUS-SEGMENT'!$EY$118</f>
        <v>586.56099999999992</v>
      </c>
      <c r="K91" s="427">
        <f>'ANALYSE - ERP =&gt; SOUS-SEGMENT'!$EZ$118</f>
        <v>438.19749999999999</v>
      </c>
      <c r="L91" s="787">
        <f>'ANALYSE - ERP =&gt; SOUS-SEGMENT'!$EV$118</f>
        <v>0.57238949469557943</v>
      </c>
      <c r="M91" s="787">
        <f>'ANALYSE - ERP =&gt; SOUS-SEGMENT'!$EW$118</f>
        <v>0.42761050530442052</v>
      </c>
      <c r="N91" s="916">
        <f>20*'ANALYSE - ERP =&gt; SOUS-SEGMENT'!$FU$118</f>
        <v>64.599999999999994</v>
      </c>
      <c r="O91" s="916">
        <f>20*'ANALYSE - ERP =&gt; SOUS-SEGMENT'!$FW$118</f>
        <v>30.2</v>
      </c>
      <c r="P91" s="916">
        <f>20*'ANALYSE - ERP =&gt; SOUS-SEGMENT'!$FS$118</f>
        <v>52.199999999999996</v>
      </c>
      <c r="Q91" s="430">
        <f>'ANALYSE - ERP =&gt; SOUS-SEGMENT'!$Q$118</f>
        <v>1</v>
      </c>
    </row>
    <row r="92" spans="1:17" ht="15" customHeight="1">
      <c r="A92" s="26">
        <v>89</v>
      </c>
      <c r="B92" s="26">
        <v>87</v>
      </c>
      <c r="C92" s="26">
        <v>90</v>
      </c>
      <c r="D92" s="422">
        <f>'ANALYSE - ERP =&gt; SOUS-SEGMENT'!$A$90</f>
        <v>83</v>
      </c>
      <c r="E92" s="412" t="str">
        <f>'ANALYSE - ERP =&gt; SOUS-SEGMENT'!$B$90</f>
        <v>Hébergement Touristique</v>
      </c>
      <c r="F92" s="412" t="str">
        <f>'ANALYSE - ERP =&gt; SOUS-SEGMENT'!$C$90</f>
        <v>Hébergement Touristique</v>
      </c>
      <c r="G92" s="412" t="str">
        <f>'ANALYSE - ERP =&gt; SOUS-SEGMENT'!$D$90</f>
        <v>Auberges de jeunesse</v>
      </c>
      <c r="H92" s="424">
        <f t="shared" si="2"/>
        <v>298.20105226620046</v>
      </c>
      <c r="I92" s="447">
        <f>'ANALYSE - ERP =&gt; SOUS-SEGMENT'!$EX$90</f>
        <v>1491.0052613310022</v>
      </c>
      <c r="J92" s="427">
        <f>'ANALYSE - ERP =&gt; SOUS-SEGMENT'!$EY$90</f>
        <v>1156.2892613310023</v>
      </c>
      <c r="K92" s="427">
        <f>'ANALYSE - ERP =&gt; SOUS-SEGMENT'!$EZ$90</f>
        <v>334.71600000000001</v>
      </c>
      <c r="L92" s="787">
        <f>'ANALYSE - ERP =&gt; SOUS-SEGMENT'!$EV$90</f>
        <v>0.77550984649027799</v>
      </c>
      <c r="M92" s="787">
        <f>'ANALYSE - ERP =&gt; SOUS-SEGMENT'!$EW$90</f>
        <v>0.2244901535097221</v>
      </c>
      <c r="N92" s="916">
        <f>20*'ANALYSE - ERP =&gt; SOUS-SEGMENT'!$FU$90</f>
        <v>88.4</v>
      </c>
      <c r="O92" s="916">
        <f>20*'ANALYSE - ERP =&gt; SOUS-SEGMENT'!$FW$90</f>
        <v>52</v>
      </c>
      <c r="P92" s="916">
        <f>20*'ANALYSE - ERP =&gt; SOUS-SEGMENT'!$FS$90</f>
        <v>75.400000000000006</v>
      </c>
      <c r="Q92" s="430">
        <f>'ANALYSE - ERP =&gt; SOUS-SEGMENT'!$Q$90</f>
        <v>1</v>
      </c>
    </row>
    <row r="93" spans="1:17" ht="15" customHeight="1">
      <c r="A93" s="26">
        <v>90</v>
      </c>
      <c r="B93" s="26">
        <v>92</v>
      </c>
      <c r="C93" s="26">
        <v>83</v>
      </c>
      <c r="D93" s="422">
        <f>'ANALYSE - ERP =&gt; SOUS-SEGMENT'!$A$78</f>
        <v>71</v>
      </c>
      <c r="E93" s="413" t="str">
        <f>'ANALYSE - ERP =&gt; SOUS-SEGMENT'!$B$78</f>
        <v>Commerce, Restauration &amp; Loisirs</v>
      </c>
      <c r="F93" s="413" t="str">
        <f>'ANALYSE - ERP =&gt; SOUS-SEGMENT'!$C$78</f>
        <v>Restauration / boissons</v>
      </c>
      <c r="G93" s="413" t="str">
        <f>'ANALYSE - ERP =&gt; SOUS-SEGMENT'!$D$78</f>
        <v>Établissements flottants</v>
      </c>
      <c r="H93" s="424">
        <f t="shared" si="2"/>
        <v>251.37223762499997</v>
      </c>
      <c r="I93" s="447">
        <f>'ANALYSE - ERP =&gt; SOUS-SEGMENT'!$EX$78</f>
        <v>1256.8611881249999</v>
      </c>
      <c r="J93" s="427">
        <f>'ANALYSE - ERP =&gt; SOUS-SEGMENT'!$EY$78</f>
        <v>884.33118812499993</v>
      </c>
      <c r="K93" s="427">
        <f>'ANALYSE - ERP =&gt; SOUS-SEGMENT'!$EZ$78</f>
        <v>372.53</v>
      </c>
      <c r="L93" s="787">
        <f>'ANALYSE - ERP =&gt; SOUS-SEGMENT'!$EV$78</f>
        <v>0.70360290896105671</v>
      </c>
      <c r="M93" s="787">
        <f>'ANALYSE - ERP =&gt; SOUS-SEGMENT'!$EW$78</f>
        <v>0.29639709103894324</v>
      </c>
      <c r="N93" s="916">
        <f>20*'ANALYSE - ERP =&gt; SOUS-SEGMENT'!$FU$78</f>
        <v>74.599999999999994</v>
      </c>
      <c r="O93" s="916">
        <f>20*'ANALYSE - ERP =&gt; SOUS-SEGMENT'!$FW$78</f>
        <v>43.4</v>
      </c>
      <c r="P93" s="916">
        <f>20*'ANALYSE - ERP =&gt; SOUS-SEGMENT'!$FS$78</f>
        <v>60.599999999999994</v>
      </c>
      <c r="Q93" s="430">
        <f>'ANALYSE - ERP =&gt; SOUS-SEGMENT'!$Q$78</f>
        <v>1</v>
      </c>
    </row>
    <row r="94" spans="1:17" ht="15" customHeight="1">
      <c r="A94" s="26">
        <v>91</v>
      </c>
      <c r="B94" s="26">
        <v>88</v>
      </c>
      <c r="C94" s="26">
        <v>93</v>
      </c>
      <c r="D94" s="422">
        <f>'ANALYSE - ERP =&gt; SOUS-SEGMENT'!$A$149</f>
        <v>142</v>
      </c>
      <c r="E94" s="417" t="str">
        <f>'ANALYSE - ERP =&gt; SOUS-SEGMENT'!$B$149</f>
        <v>Sécurité &amp; Justice</v>
      </c>
      <c r="F94" s="417" t="str">
        <f>'ANALYSE - ERP =&gt; SOUS-SEGMENT'!$C$149</f>
        <v>Tribunaux</v>
      </c>
      <c r="G94" s="417" t="str">
        <f>'ANALYSE - ERP =&gt; SOUS-SEGMENT'!$D$149</f>
        <v>Conseils de prud’hommes autonomes</v>
      </c>
      <c r="H94" s="424">
        <f t="shared" si="2"/>
        <v>244.96278196678321</v>
      </c>
      <c r="I94" s="447">
        <f>'ANALYSE - ERP =&gt; SOUS-SEGMENT'!$EX$149</f>
        <v>1224.8139098339161</v>
      </c>
      <c r="J94" s="427">
        <f>'ANALYSE - ERP =&gt; SOUS-SEGMENT'!$EY$149</f>
        <v>1069.2858098339161</v>
      </c>
      <c r="K94" s="427">
        <f>'ANALYSE - ERP =&gt; SOUS-SEGMENT'!$EZ$149</f>
        <v>155.52809999999999</v>
      </c>
      <c r="L94" s="787">
        <f>'ANALYSE - ERP =&gt; SOUS-SEGMENT'!$EV$149</f>
        <v>0.87301899598683563</v>
      </c>
      <c r="M94" s="787">
        <f>'ANALYSE - ERP =&gt; SOUS-SEGMENT'!$EW$149</f>
        <v>0.12698100401316434</v>
      </c>
      <c r="N94" s="916">
        <f>20*'ANALYSE - ERP =&gt; SOUS-SEGMENT'!$FU$149</f>
        <v>77.599999999999994</v>
      </c>
      <c r="O94" s="916">
        <f>20*'ANALYSE - ERP =&gt; SOUS-SEGMENT'!$FW$149</f>
        <v>32.400000000000006</v>
      </c>
      <c r="P94" s="916">
        <f>20*'ANALYSE - ERP =&gt; SOUS-SEGMENT'!$FS$149</f>
        <v>57.199999999999996</v>
      </c>
      <c r="Q94" s="430">
        <f>'ANALYSE - ERP =&gt; SOUS-SEGMENT'!$Q$149</f>
        <v>1</v>
      </c>
    </row>
    <row r="95" spans="1:17" ht="15" customHeight="1">
      <c r="A95" s="26">
        <v>92</v>
      </c>
      <c r="B95" s="26">
        <v>91</v>
      </c>
      <c r="C95" s="26">
        <v>89</v>
      </c>
      <c r="D95" s="422">
        <f>'ANALYSE - ERP =&gt; SOUS-SEGMENT'!$A$137</f>
        <v>130</v>
      </c>
      <c r="E95" s="417" t="str">
        <f>'ANALYSE - ERP =&gt; SOUS-SEGMENT'!$B$137</f>
        <v>Sécurité &amp; Justice</v>
      </c>
      <c r="F95" s="417" t="str">
        <f>'ANALYSE - ERP =&gt; SOUS-SEGMENT'!$C$137</f>
        <v>Forces armées</v>
      </c>
      <c r="G95" s="417" t="str">
        <f>'ANALYSE - ERP =&gt; SOUS-SEGMENT'!$D$137</f>
        <v>Restaurants ou équipements sportifs ouverts au public sur emprise militaire</v>
      </c>
      <c r="H95" s="424">
        <f t="shared" si="2"/>
        <v>225.99238545454546</v>
      </c>
      <c r="I95" s="447">
        <f>'ANALYSE - ERP =&gt; SOUS-SEGMENT'!$EX$137</f>
        <v>1129.9619272727273</v>
      </c>
      <c r="J95" s="427">
        <f>'ANALYSE - ERP =&gt; SOUS-SEGMENT'!$EY$137</f>
        <v>953.05792727272728</v>
      </c>
      <c r="K95" s="427">
        <f>'ANALYSE - ERP =&gt; SOUS-SEGMENT'!$EZ$137</f>
        <v>176.904</v>
      </c>
      <c r="L95" s="787">
        <f>'ANALYSE - ERP =&gt; SOUS-SEGMENT'!$EV$137</f>
        <v>0.84344251276945681</v>
      </c>
      <c r="M95" s="787">
        <f>'ANALYSE - ERP =&gt; SOUS-SEGMENT'!$EW$137</f>
        <v>0.15655748723054322</v>
      </c>
      <c r="N95" s="916">
        <f>20*'ANALYSE - ERP =&gt; SOUS-SEGMENT'!$FU$137</f>
        <v>82.4</v>
      </c>
      <c r="O95" s="916">
        <f>20*'ANALYSE - ERP =&gt; SOUS-SEGMENT'!$FW$137</f>
        <v>36.4</v>
      </c>
      <c r="P95" s="916">
        <f>20*'ANALYSE - ERP =&gt; SOUS-SEGMENT'!$FS$137</f>
        <v>61.8</v>
      </c>
      <c r="Q95" s="430">
        <f>'ANALYSE - ERP =&gt; SOUS-SEGMENT'!$Q$137</f>
        <v>1</v>
      </c>
    </row>
    <row r="96" spans="1:17" ht="15" customHeight="1">
      <c r="A96" s="26">
        <v>93</v>
      </c>
      <c r="B96" s="26">
        <v>93</v>
      </c>
      <c r="C96" s="26">
        <v>96</v>
      </c>
      <c r="D96" s="422">
        <f>'ANALYSE - ERP =&gt; SOUS-SEGMENT'!$A$148</f>
        <v>141</v>
      </c>
      <c r="E96" s="417" t="str">
        <f>'ANALYSE - ERP =&gt; SOUS-SEGMENT'!$B$148</f>
        <v>Sécurité &amp; Justice</v>
      </c>
      <c r="F96" s="417" t="str">
        <f>'ANALYSE - ERP =&gt; SOUS-SEGMENT'!$C$148</f>
        <v>Tribunaux</v>
      </c>
      <c r="G96" s="417" t="str">
        <f>'ANALYSE - ERP =&gt; SOUS-SEGMENT'!$D$148</f>
        <v>Tribunaux de commerce autonomes</v>
      </c>
      <c r="H96" s="424">
        <f t="shared" si="2"/>
        <v>177.28667027972025</v>
      </c>
      <c r="I96" s="447">
        <f>'ANALYSE - ERP =&gt; SOUS-SEGMENT'!$EX$148</f>
        <v>886.4333513986013</v>
      </c>
      <c r="J96" s="427">
        <f>'ANALYSE - ERP =&gt; SOUS-SEGMENT'!$EY$148</f>
        <v>774.4924313986013</v>
      </c>
      <c r="K96" s="427">
        <f>'ANALYSE - ERP =&gt; SOUS-SEGMENT'!$EZ$148</f>
        <v>111.94092000000001</v>
      </c>
      <c r="L96" s="787">
        <f>'ANALYSE - ERP =&gt; SOUS-SEGMENT'!$EV$148</f>
        <v>0.87371761247094182</v>
      </c>
      <c r="M96" s="787">
        <f>'ANALYSE - ERP =&gt; SOUS-SEGMENT'!$EW$148</f>
        <v>0.12628238752905821</v>
      </c>
      <c r="N96" s="916">
        <f>20*'ANALYSE - ERP =&gt; SOUS-SEGMENT'!$FU$148</f>
        <v>77.599999999999994</v>
      </c>
      <c r="O96" s="916">
        <f>20*'ANALYSE - ERP =&gt; SOUS-SEGMENT'!$FW$148</f>
        <v>32.400000000000006</v>
      </c>
      <c r="P96" s="916">
        <f>20*'ANALYSE - ERP =&gt; SOUS-SEGMENT'!$FS$148</f>
        <v>57.199999999999996</v>
      </c>
      <c r="Q96" s="430">
        <f>'ANALYSE - ERP =&gt; SOUS-SEGMENT'!$Q$148</f>
        <v>1</v>
      </c>
    </row>
    <row r="97" spans="1:17" ht="15" customHeight="1">
      <c r="A97" s="26">
        <v>94</v>
      </c>
      <c r="B97" s="26">
        <v>94</v>
      </c>
      <c r="C97" s="26">
        <v>98</v>
      </c>
      <c r="D97" s="422">
        <f>'ANALYSE - ERP =&gt; SOUS-SEGMENT'!$A$117</f>
        <v>110</v>
      </c>
      <c r="E97" s="415" t="str">
        <f>'ANALYSE - ERP =&gt; SOUS-SEGMENT'!$B$117</f>
        <v>Culte, Vie civique &amp; Services publics</v>
      </c>
      <c r="F97" s="415" t="str">
        <f>'ANALYSE - ERP =&gt; SOUS-SEGMENT'!$C$117</f>
        <v>Culte</v>
      </c>
      <c r="G97" s="415" t="str">
        <f>'ANALYSE - ERP =&gt; SOUS-SEGMENT'!$D$117</f>
        <v>Synagogues et oratoires juifs ouverts au public</v>
      </c>
      <c r="H97" s="424">
        <f t="shared" si="2"/>
        <v>106.59478929736932</v>
      </c>
      <c r="I97" s="447">
        <f>'ANALYSE - ERP =&gt; SOUS-SEGMENT'!$EX$117</f>
        <v>532.97394648684656</v>
      </c>
      <c r="J97" s="427">
        <f>'ANALYSE - ERP =&gt; SOUS-SEGMENT'!$EY$117</f>
        <v>470.08644648684651</v>
      </c>
      <c r="K97" s="427">
        <f>'ANALYSE - ERP =&gt; SOUS-SEGMENT'!$EZ$117</f>
        <v>62.887499999999996</v>
      </c>
      <c r="L97" s="787">
        <f>'ANALYSE - ERP =&gt; SOUS-SEGMENT'!$EV$117</f>
        <v>0.88200642749138192</v>
      </c>
      <c r="M97" s="787">
        <f>'ANALYSE - ERP =&gt; SOUS-SEGMENT'!$EW$117</f>
        <v>0.11799357250861796</v>
      </c>
      <c r="N97" s="916">
        <f>20*'ANALYSE - ERP =&gt; SOUS-SEGMENT'!$FU$117</f>
        <v>64.599999999999994</v>
      </c>
      <c r="O97" s="916">
        <f>20*'ANALYSE - ERP =&gt; SOUS-SEGMENT'!$FW$117</f>
        <v>30.2</v>
      </c>
      <c r="P97" s="916">
        <f>20*'ANALYSE - ERP =&gt; SOUS-SEGMENT'!$FS$117</f>
        <v>52.199999999999996</v>
      </c>
      <c r="Q97" s="430">
        <f>'ANALYSE - ERP =&gt; SOUS-SEGMENT'!$Q$117</f>
        <v>1</v>
      </c>
    </row>
    <row r="98" spans="1:17" ht="15" customHeight="1">
      <c r="A98" s="26">
        <v>95</v>
      </c>
      <c r="B98" s="26">
        <v>95</v>
      </c>
      <c r="C98" s="26">
        <v>92</v>
      </c>
      <c r="D98" s="422">
        <f>'ANALYSE - ERP =&gt; SOUS-SEGMENT'!$A$141</f>
        <v>134</v>
      </c>
      <c r="E98" s="417" t="str">
        <f>'ANALYSE - ERP =&gt; SOUS-SEGMENT'!$B$141</f>
        <v>Sécurité &amp; Justice</v>
      </c>
      <c r="F98" s="417" t="str">
        <f>'ANALYSE - ERP =&gt; SOUS-SEGMENT'!$C$141</f>
        <v>Univers carcéral</v>
      </c>
      <c r="G98" s="417" t="str">
        <f>'ANALYSE - ERP =&gt; SOUS-SEGMENT'!$D$141</f>
        <v>Maisons centrales</v>
      </c>
      <c r="H98" s="424">
        <f t="shared" si="2"/>
        <v>155.70277909090913</v>
      </c>
      <c r="I98" s="447">
        <f>'ANALYSE - ERP =&gt; SOUS-SEGMENT'!$EX$141</f>
        <v>778.5138954545456</v>
      </c>
      <c r="J98" s="427">
        <f>'ANALYSE - ERP =&gt; SOUS-SEGMENT'!$EY$141</f>
        <v>619.07229545454561</v>
      </c>
      <c r="K98" s="427">
        <f>'ANALYSE - ERP =&gt; SOUS-SEGMENT'!$EZ$141</f>
        <v>159.44159999999999</v>
      </c>
      <c r="L98" s="787">
        <f>'ANALYSE - ERP =&gt; SOUS-SEGMENT'!$EV$141</f>
        <v>0.7951974898188453</v>
      </c>
      <c r="M98" s="787">
        <f>'ANALYSE - ERP =&gt; SOUS-SEGMENT'!$EW$141</f>
        <v>0.20480251018115472</v>
      </c>
      <c r="N98" s="916">
        <f>20*'ANALYSE - ERP =&gt; SOUS-SEGMENT'!$FU$141</f>
        <v>86.6</v>
      </c>
      <c r="O98" s="916">
        <f>20*'ANALYSE - ERP =&gt; SOUS-SEGMENT'!$FW$141</f>
        <v>45.4</v>
      </c>
      <c r="P98" s="916">
        <f>20*'ANALYSE - ERP =&gt; SOUS-SEGMENT'!$FS$141</f>
        <v>68</v>
      </c>
      <c r="Q98" s="430">
        <f>'ANALYSE - ERP =&gt; SOUS-SEGMENT'!$Q$141</f>
        <v>1</v>
      </c>
    </row>
    <row r="99" spans="1:17" ht="15" customHeight="1">
      <c r="A99" s="26">
        <v>96</v>
      </c>
      <c r="B99" s="26">
        <v>97</v>
      </c>
      <c r="C99" s="26">
        <v>85</v>
      </c>
      <c r="D99" s="422">
        <f>'ANALYSE - ERP =&gt; SOUS-SEGMENT'!$A$144</f>
        <v>137</v>
      </c>
      <c r="E99" s="417" t="str">
        <f>'ANALYSE - ERP =&gt; SOUS-SEGMENT'!$B$144</f>
        <v>Sécurité &amp; Justice</v>
      </c>
      <c r="F99" s="417" t="str">
        <f>'ANALYSE - ERP =&gt; SOUS-SEGMENT'!$C$144</f>
        <v>Univers carcéral</v>
      </c>
      <c r="G99" s="417" t="str">
        <f>'ANALYSE - ERP =&gt; SOUS-SEGMENT'!$D$144</f>
        <v>Centres éducatifs fermés</v>
      </c>
      <c r="H99" s="424">
        <f t="shared" si="2"/>
        <v>148.51572590909092</v>
      </c>
      <c r="I99" s="447">
        <f>'ANALYSE - ERP =&gt; SOUS-SEGMENT'!$EX$144</f>
        <v>742.57862954545453</v>
      </c>
      <c r="J99" s="427">
        <f>'ANALYSE - ERP =&gt; SOUS-SEGMENT'!$EY$144</f>
        <v>377.00977954545453</v>
      </c>
      <c r="K99" s="427">
        <f>'ANALYSE - ERP =&gt; SOUS-SEGMENT'!$EZ$144</f>
        <v>365.56885</v>
      </c>
      <c r="L99" s="787">
        <f>'ANALYSE - ERP =&gt; SOUS-SEGMENT'!$EV$144</f>
        <v>0.50770351387061718</v>
      </c>
      <c r="M99" s="787">
        <f>'ANALYSE - ERP =&gt; SOUS-SEGMENT'!$EW$144</f>
        <v>0.49229648612938287</v>
      </c>
      <c r="N99" s="916">
        <f>20*'ANALYSE - ERP =&gt; SOUS-SEGMENT'!$FU$144</f>
        <v>82.8</v>
      </c>
      <c r="O99" s="916">
        <f>20*'ANALYSE - ERP =&gt; SOUS-SEGMENT'!$FW$144</f>
        <v>66.2</v>
      </c>
      <c r="P99" s="916">
        <f>20*'ANALYSE - ERP =&gt; SOUS-SEGMENT'!$FS$144</f>
        <v>75.400000000000006</v>
      </c>
      <c r="Q99" s="430">
        <f>'ANALYSE - ERP =&gt; SOUS-SEGMENT'!$Q$144</f>
        <v>1</v>
      </c>
    </row>
    <row r="100" spans="1:17" ht="15" customHeight="1">
      <c r="A100" s="26">
        <v>97</v>
      </c>
      <c r="B100" s="26">
        <v>96</v>
      </c>
      <c r="C100" s="26">
        <v>97</v>
      </c>
      <c r="D100" s="422">
        <f>'ANALYSE - ERP =&gt; SOUS-SEGMENT'!$A$147</f>
        <v>140</v>
      </c>
      <c r="E100" s="417" t="str">
        <f>'ANALYSE - ERP =&gt; SOUS-SEGMENT'!$B$147</f>
        <v>Sécurité &amp; Justice</v>
      </c>
      <c r="F100" s="417" t="str">
        <f>'ANALYSE - ERP =&gt; SOUS-SEGMENT'!$C$147</f>
        <v>Tribunaux</v>
      </c>
      <c r="G100" s="417" t="str">
        <f>'ANALYSE - ERP =&gt; SOUS-SEGMENT'!$D$147</f>
        <v>Maisons de justice et du droit</v>
      </c>
      <c r="H100" s="424">
        <f t="shared" ref="H100:H106" si="3">I100/5</f>
        <v>100.08430365314685</v>
      </c>
      <c r="I100" s="447">
        <f>'ANALYSE - ERP =&gt; SOUS-SEGMENT'!$EX$147</f>
        <v>500.42151826573422</v>
      </c>
      <c r="J100" s="427">
        <f>'ANALYSE - ERP =&gt; SOUS-SEGMENT'!$EY$147</f>
        <v>395.26801826573421</v>
      </c>
      <c r="K100" s="427">
        <f>'ANALYSE - ERP =&gt; SOUS-SEGMENT'!$EZ$147</f>
        <v>105.15350000000001</v>
      </c>
      <c r="L100" s="787">
        <f>'ANALYSE - ERP =&gt; SOUS-SEGMENT'!$EV$147</f>
        <v>0.78987014714231107</v>
      </c>
      <c r="M100" s="787">
        <f>'ANALYSE - ERP =&gt; SOUS-SEGMENT'!$EW$147</f>
        <v>0.2101298528576889</v>
      </c>
      <c r="N100" s="916">
        <f>20*'ANALYSE - ERP =&gt; SOUS-SEGMENT'!$FU$147</f>
        <v>77.599999999999994</v>
      </c>
      <c r="O100" s="916">
        <f>20*'ANALYSE - ERP =&gt; SOUS-SEGMENT'!$FW$147</f>
        <v>43.4</v>
      </c>
      <c r="P100" s="916">
        <f>20*'ANALYSE - ERP =&gt; SOUS-SEGMENT'!$FS$147</f>
        <v>62.199999999999996</v>
      </c>
      <c r="Q100" s="430">
        <f>'ANALYSE - ERP =&gt; SOUS-SEGMENT'!$Q$147</f>
        <v>1</v>
      </c>
    </row>
    <row r="101" spans="1:17" ht="15" customHeight="1">
      <c r="A101" s="26">
        <v>98</v>
      </c>
      <c r="B101" s="26">
        <v>98</v>
      </c>
      <c r="C101" s="26">
        <v>95</v>
      </c>
      <c r="D101" s="422">
        <f>'ANALYSE - ERP =&gt; SOUS-SEGMENT'!$A$48</f>
        <v>41</v>
      </c>
      <c r="E101" s="417" t="str">
        <f>'ANALYSE - ERP =&gt; SOUS-SEGMENT'!$B$48</f>
        <v>Santé &amp; Médico-social</v>
      </c>
      <c r="F101" s="417" t="str">
        <f>'ANALYSE - ERP =&gt; SOUS-SEGMENT'!$C$48</f>
        <v>Santé hospitalière</v>
      </c>
      <c r="G101" s="417" t="str">
        <f>'ANALYSE - ERP =&gt; SOUS-SEGMENT'!$D$48</f>
        <v>Unités hospitalières sécurisées en milieu carcéral</v>
      </c>
      <c r="H101" s="424">
        <f t="shared" si="3"/>
        <v>91.339509000000007</v>
      </c>
      <c r="I101" s="447">
        <f>'ANALYSE - ERP =&gt; SOUS-SEGMENT'!$EX$48</f>
        <v>456.69754500000005</v>
      </c>
      <c r="J101" s="427">
        <f>'ANALYSE - ERP =&gt; SOUS-SEGMENT'!$EY$48</f>
        <v>316.69132500000006</v>
      </c>
      <c r="K101" s="427">
        <f>'ANALYSE - ERP =&gt; SOUS-SEGMENT'!$EZ$48</f>
        <v>140.00621999999998</v>
      </c>
      <c r="L101" s="787">
        <f>'ANALYSE - ERP =&gt; SOUS-SEGMENT'!$EV$48</f>
        <v>0.69343776525008483</v>
      </c>
      <c r="M101" s="787">
        <f>'ANALYSE - ERP =&gt; SOUS-SEGMENT'!$EW$48</f>
        <v>0.30656223474991523</v>
      </c>
      <c r="N101" s="916">
        <f>20*'ANALYSE - ERP =&gt; SOUS-SEGMENT'!$FU$48</f>
        <v>85</v>
      </c>
      <c r="O101" s="916">
        <f>20*'ANALYSE - ERP =&gt; SOUS-SEGMENT'!$FW$48</f>
        <v>51.8</v>
      </c>
      <c r="P101" s="916">
        <f>20*'ANALYSE - ERP =&gt; SOUS-SEGMENT'!$FS$48</f>
        <v>70</v>
      </c>
      <c r="Q101" s="430">
        <f>'ANALYSE - ERP =&gt; SOUS-SEGMENT'!$Q$48</f>
        <v>1</v>
      </c>
    </row>
    <row r="102" spans="1:17" ht="15" customHeight="1">
      <c r="A102" s="26">
        <v>99</v>
      </c>
      <c r="B102" s="26">
        <v>99</v>
      </c>
      <c r="C102" s="26">
        <v>99</v>
      </c>
      <c r="D102" s="422">
        <f>'ANALYSE - ERP =&gt; SOUS-SEGMENT'!$A$134</f>
        <v>127</v>
      </c>
      <c r="E102" s="417" t="str">
        <f>'ANALYSE - ERP =&gt; SOUS-SEGMENT'!$B$134</f>
        <v>Sécurité &amp; Justice</v>
      </c>
      <c r="F102" s="417" t="str">
        <f>'ANALYSE - ERP =&gt; SOUS-SEGMENT'!$C$134</f>
        <v xml:space="preserve">Commissariats / postes de police </v>
      </c>
      <c r="G102" s="417" t="str">
        <f>'ANALYSE - ERP =&gt; SOUS-SEGMENT'!$D$134</f>
        <v>Salles de réunion, de prévention ou de conférence ouvertes au public</v>
      </c>
      <c r="H102" s="424">
        <f t="shared" si="3"/>
        <v>60.294977383750009</v>
      </c>
      <c r="I102" s="447">
        <f>'ANALYSE - ERP =&gt; SOUS-SEGMENT'!$EX$134</f>
        <v>301.47488691875003</v>
      </c>
      <c r="J102" s="427">
        <f>'ANALYSE - ERP =&gt; SOUS-SEGMENT'!$EY$134</f>
        <v>250.14568691875002</v>
      </c>
      <c r="K102" s="427">
        <f>'ANALYSE - ERP =&gt; SOUS-SEGMENT'!$EZ$134</f>
        <v>51.3292</v>
      </c>
      <c r="L102" s="787">
        <f>'ANALYSE - ERP =&gt; SOUS-SEGMENT'!$EV$134</f>
        <v>0.82973971555437165</v>
      </c>
      <c r="M102" s="787">
        <f>'ANALYSE - ERP =&gt; SOUS-SEGMENT'!$EW$134</f>
        <v>0.17026028444562827</v>
      </c>
      <c r="N102" s="916">
        <f>20*'ANALYSE - ERP =&gt; SOUS-SEGMENT'!$FU$134</f>
        <v>80.199999999999989</v>
      </c>
      <c r="O102" s="916">
        <f>20*'ANALYSE - ERP =&gt; SOUS-SEGMENT'!$FW$134</f>
        <v>32</v>
      </c>
      <c r="P102" s="916">
        <f>20*'ANALYSE - ERP =&gt; SOUS-SEGMENT'!$FS$134</f>
        <v>58.6</v>
      </c>
      <c r="Q102" s="430">
        <f>'ANALYSE - ERP =&gt; SOUS-SEGMENT'!$Q$134</f>
        <v>0</v>
      </c>
    </row>
    <row r="103" spans="1:17" ht="15" customHeight="1">
      <c r="A103" s="26">
        <v>100</v>
      </c>
      <c r="B103" s="26">
        <v>100</v>
      </c>
      <c r="C103" s="26">
        <v>101</v>
      </c>
      <c r="D103" s="422">
        <f>'ANALYSE - ERP =&gt; SOUS-SEGMENT'!$A$143</f>
        <v>136</v>
      </c>
      <c r="E103" s="417" t="str">
        <f>'ANALYSE - ERP =&gt; SOUS-SEGMENT'!$B$143</f>
        <v>Sécurité &amp; Justice</v>
      </c>
      <c r="F103" s="417" t="str">
        <f>'ANALYSE - ERP =&gt; SOUS-SEGMENT'!$C$143</f>
        <v>Univers carcéral</v>
      </c>
      <c r="G103" s="417" t="str">
        <f>'ANALYSE - ERP =&gt; SOUS-SEGMENT'!$D$143</f>
        <v>Centres de semi-liberté</v>
      </c>
      <c r="H103" s="424">
        <f t="shared" si="3"/>
        <v>62.656955000000004</v>
      </c>
      <c r="I103" s="447">
        <f>'ANALYSE - ERP =&gt; SOUS-SEGMENT'!$EX$143</f>
        <v>313.28477500000002</v>
      </c>
      <c r="J103" s="427">
        <f>'ANALYSE - ERP =&gt; SOUS-SEGMENT'!$EY$143</f>
        <v>264.59437500000001</v>
      </c>
      <c r="K103" s="427">
        <f>'ANALYSE - ERP =&gt; SOUS-SEGMENT'!$EZ$143</f>
        <v>48.690399999999997</v>
      </c>
      <c r="L103" s="787">
        <f>'ANALYSE - ERP =&gt; SOUS-SEGMENT'!$EV$143</f>
        <v>0.84458102057465123</v>
      </c>
      <c r="M103" s="787">
        <f>'ANALYSE - ERP =&gt; SOUS-SEGMENT'!$EW$143</f>
        <v>0.15541897942534869</v>
      </c>
      <c r="N103" s="916">
        <f>20*'ANALYSE - ERP =&gt; SOUS-SEGMENT'!$FU$143</f>
        <v>82.8</v>
      </c>
      <c r="O103" s="916">
        <f>20*'ANALYSE - ERP =&gt; SOUS-SEGMENT'!$FW$143</f>
        <v>56.8</v>
      </c>
      <c r="P103" s="916">
        <f>20*'ANALYSE - ERP =&gt; SOUS-SEGMENT'!$FS$143</f>
        <v>71.2</v>
      </c>
      <c r="Q103" s="430">
        <f>'ANALYSE - ERP =&gt; SOUS-SEGMENT'!$Q$143</f>
        <v>1</v>
      </c>
    </row>
    <row r="104" spans="1:17" ht="15" customHeight="1">
      <c r="A104" s="26">
        <v>101</v>
      </c>
      <c r="B104" s="26">
        <v>101</v>
      </c>
      <c r="C104" s="26">
        <v>100</v>
      </c>
      <c r="D104" s="422">
        <f>'ANALYSE - ERP =&gt; SOUS-SEGMENT'!$A$136</f>
        <v>129</v>
      </c>
      <c r="E104" s="417" t="str">
        <f>'ANALYSE - ERP =&gt; SOUS-SEGMENT'!$B$136</f>
        <v>Sécurité &amp; Justice</v>
      </c>
      <c r="F104" s="417" t="str">
        <f>'ANALYSE - ERP =&gt; SOUS-SEGMENT'!$C$136</f>
        <v>Forces armées</v>
      </c>
      <c r="G104" s="417" t="str">
        <f>'ANALYSE - ERP =&gt; SOUS-SEGMENT'!$D$136</f>
        <v>Centres de recrutement et bureaux d’information</v>
      </c>
      <c r="H104" s="424">
        <f t="shared" si="3"/>
        <v>41.34014807737374</v>
      </c>
      <c r="I104" s="447">
        <f>'ANALYSE - ERP =&gt; SOUS-SEGMENT'!$EX$136</f>
        <v>206.70074038686872</v>
      </c>
      <c r="J104" s="427">
        <f>'ANALYSE - ERP =&gt; SOUS-SEGMENT'!$EY$136</f>
        <v>158.87474038686872</v>
      </c>
      <c r="K104" s="427">
        <f>'ANALYSE - ERP =&gt; SOUS-SEGMENT'!$EZ$136</f>
        <v>47.826000000000001</v>
      </c>
      <c r="L104" s="787">
        <f>'ANALYSE - ERP =&gt; SOUS-SEGMENT'!$EV$136</f>
        <v>0.76862201891252502</v>
      </c>
      <c r="M104" s="787">
        <f>'ANALYSE - ERP =&gt; SOUS-SEGMENT'!$EW$136</f>
        <v>0.23137798108747507</v>
      </c>
      <c r="N104" s="916">
        <f>20*'ANALYSE - ERP =&gt; SOUS-SEGMENT'!$FU$136</f>
        <v>82.6</v>
      </c>
      <c r="O104" s="916">
        <f>20*'ANALYSE - ERP =&gt; SOUS-SEGMENT'!$FW$136</f>
        <v>37.200000000000003</v>
      </c>
      <c r="P104" s="916">
        <f>20*'ANALYSE - ERP =&gt; SOUS-SEGMENT'!$FS$136</f>
        <v>62.199999999999996</v>
      </c>
      <c r="Q104" s="430">
        <f>'ANALYSE - ERP =&gt; SOUS-SEGMENT'!$Q$136</f>
        <v>1</v>
      </c>
    </row>
    <row r="105" spans="1:17" ht="15" customHeight="1">
      <c r="A105" s="26">
        <v>102</v>
      </c>
      <c r="B105" s="26">
        <v>102</v>
      </c>
      <c r="C105" s="26">
        <v>102</v>
      </c>
      <c r="D105" s="422">
        <f>'ANALYSE - ERP =&gt; SOUS-SEGMENT'!$A$133</f>
        <v>126</v>
      </c>
      <c r="E105" s="417" t="str">
        <f>'ANALYSE - ERP =&gt; SOUS-SEGMENT'!$B$133</f>
        <v>Sécurité &amp; Justice</v>
      </c>
      <c r="F105" s="417" t="str">
        <f>'ANALYSE - ERP =&gt; SOUS-SEGMENT'!$C$133</f>
        <v xml:space="preserve">Commissariats / postes de police </v>
      </c>
      <c r="G105" s="417" t="str">
        <f>'ANALYSE - ERP =&gt; SOUS-SEGMENT'!$D$133</f>
        <v>Postes de proximité et antennes avec accueil public</v>
      </c>
      <c r="H105" s="424">
        <f t="shared" si="3"/>
        <v>27.914377574999996</v>
      </c>
      <c r="I105" s="447">
        <f>'ANALYSE - ERP =&gt; SOUS-SEGMENT'!$EX$133</f>
        <v>139.57188787499999</v>
      </c>
      <c r="J105" s="427">
        <f>'ANALYSE - ERP =&gt; SOUS-SEGMENT'!$EY$133</f>
        <v>123.355687875</v>
      </c>
      <c r="K105" s="427">
        <f>'ANALYSE - ERP =&gt; SOUS-SEGMENT'!$EZ$133</f>
        <v>16.216199999999997</v>
      </c>
      <c r="L105" s="787">
        <f>'ANALYSE - ERP =&gt; SOUS-SEGMENT'!$EV$133</f>
        <v>0.88381471192448757</v>
      </c>
      <c r="M105" s="787">
        <f>'ANALYSE - ERP =&gt; SOUS-SEGMENT'!$EW$133</f>
        <v>0.11618528807551246</v>
      </c>
      <c r="N105" s="916">
        <f>20*'ANALYSE - ERP =&gt; SOUS-SEGMENT'!$FU$133</f>
        <v>80.199999999999989</v>
      </c>
      <c r="O105" s="916">
        <f>20*'ANALYSE - ERP =&gt; SOUS-SEGMENT'!$FW$133</f>
        <v>35.200000000000003</v>
      </c>
      <c r="P105" s="916">
        <f>20*'ANALYSE - ERP =&gt; SOUS-SEGMENT'!$FS$133</f>
        <v>60</v>
      </c>
      <c r="Q105" s="430">
        <f>'ANALYSE - ERP =&gt; SOUS-SEGMENT'!$Q$133</f>
        <v>1</v>
      </c>
    </row>
    <row r="106" spans="1:17" s="45" customFormat="1" ht="15" customHeight="1">
      <c r="A106" s="406">
        <v>103</v>
      </c>
      <c r="B106" s="406">
        <v>103</v>
      </c>
      <c r="C106" s="406">
        <v>103</v>
      </c>
      <c r="D106" s="448">
        <f>'ANALYSE - ERP =&gt; SOUS-SEGMENT'!$A$145</f>
        <v>138</v>
      </c>
      <c r="E106" s="423" t="str">
        <f>'ANALYSE - ERP =&gt; SOUS-SEGMENT'!$B$145</f>
        <v>Sécurité &amp; Justice</v>
      </c>
      <c r="F106" s="423" t="str">
        <f>'ANALYSE - ERP =&gt; SOUS-SEGMENT'!$C$145</f>
        <v>Univers carcéral</v>
      </c>
      <c r="G106" s="423" t="str">
        <f>'ANALYSE - ERP =&gt; SOUS-SEGMENT'!$D$145</f>
        <v>Centres pour peines aménagées
(absorbés par autres centres carcéraux)</v>
      </c>
      <c r="H106" s="425">
        <f t="shared" si="3"/>
        <v>0</v>
      </c>
      <c r="I106" s="407">
        <f>'ANALYSE - ERP =&gt; SOUS-SEGMENT'!$EX$145</f>
        <v>0</v>
      </c>
      <c r="J106" s="407">
        <f>'ANALYSE - ERP =&gt; SOUS-SEGMENT'!$EY$145</f>
        <v>0</v>
      </c>
      <c r="K106" s="407">
        <f>'ANALYSE - ERP =&gt; SOUS-SEGMENT'!$EZ$145</f>
        <v>0</v>
      </c>
      <c r="L106" s="788">
        <f>'ANALYSE - ERP =&gt; SOUS-SEGMENT'!$EV$145</f>
        <v>0</v>
      </c>
      <c r="M106" s="788">
        <f>'ANALYSE - ERP =&gt; SOUS-SEGMENT'!$EW$145</f>
        <v>0</v>
      </c>
      <c r="N106" s="917">
        <f>20*'ANALYSE - ERP =&gt; SOUS-SEGMENT'!$FU$145</f>
        <v>60.4</v>
      </c>
      <c r="O106" s="917">
        <f>20*'ANALYSE - ERP =&gt; SOUS-SEGMENT'!$FW$145</f>
        <v>46</v>
      </c>
      <c r="P106" s="917">
        <f>20*'ANALYSE - ERP =&gt; SOUS-SEGMENT'!$FS$145</f>
        <v>54</v>
      </c>
      <c r="Q106" s="450">
        <f>'ANALYSE - ERP =&gt; SOUS-SEGMENT'!$Q$145</f>
        <v>0</v>
      </c>
    </row>
  </sheetData>
  <autoFilter ref="A2:Q2" xr:uid="{00000000-0009-0000-0000-000013000000}"/>
  <conditionalFormatting sqref="N4:N106">
    <cfRule type="colorScale" priority="3">
      <colorScale>
        <cfvo type="min"/>
        <cfvo type="formula" val="AVERAGE($N$72:$N$106)"/>
        <cfvo type="max"/>
        <color rgb="FFF8696B"/>
        <color theme="0"/>
        <color rgb="FF63BE7B"/>
      </colorScale>
    </cfRule>
  </conditionalFormatting>
  <conditionalFormatting sqref="O4:O106">
    <cfRule type="colorScale" priority="2">
      <colorScale>
        <cfvo type="min"/>
        <cfvo type="formula" val="AVERAGE($O$72:$O$106)"/>
        <cfvo type="max"/>
        <color rgb="FFF8696B"/>
        <color theme="0"/>
        <color rgb="FF63BE7B"/>
      </colorScale>
    </cfRule>
  </conditionalFormatting>
  <conditionalFormatting sqref="P4:P106">
    <cfRule type="colorScale" priority="1">
      <colorScale>
        <cfvo type="min"/>
        <cfvo type="formula" val="AVERAGE($P$72:$P$106)"/>
        <cfvo type="max"/>
        <color rgb="FFF8696B"/>
        <color theme="0"/>
        <color rgb="FF63BE7B"/>
      </colorScale>
    </cfRule>
  </conditionalFormatting>
  <pageMargins left="3.937007874015748E-2" right="3.937007874015748E-2" top="7.874015748031496E-2" bottom="7.874015748031496E-2" header="0.11811023622047249" footer="0.11811023622047249"/>
  <pageSetup paperSize="8" scale="90" fitToHeight="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8" tint="0.39997558519241921"/>
    <pageSetUpPr fitToPage="1"/>
  </sheetPr>
  <dimension ref="A1:AQ49"/>
  <sheetViews>
    <sheetView workbookViewId="0">
      <pane ySplit="2" topLeftCell="A3" activePane="bottomLeft" state="frozen"/>
      <selection activeCell="A17" sqref="A17:H17"/>
      <selection pane="bottomLeft" activeCell="A16" sqref="A16:H16"/>
    </sheetView>
  </sheetViews>
  <sheetFormatPr baseColWidth="10" defaultColWidth="9.140625" defaultRowHeight="15"/>
  <cols>
    <col min="1" max="7" width="18" style="934" customWidth="1"/>
    <col min="8" max="8" width="9.5703125" style="934" customWidth="1"/>
    <col min="9" max="43" width="9.140625" style="933" customWidth="1"/>
  </cols>
  <sheetData>
    <row r="1" spans="1:8" ht="24" customHeight="1">
      <c r="A1" s="1012" t="s">
        <v>7886</v>
      </c>
      <c r="B1" s="1013"/>
      <c r="C1" s="1013"/>
      <c r="D1" s="1013"/>
      <c r="E1" s="1013"/>
      <c r="F1" s="1013"/>
      <c r="G1" s="1013"/>
      <c r="H1" s="1014"/>
    </row>
    <row r="2" spans="1:8" s="933" customFormat="1"/>
    <row r="3" spans="1:8">
      <c r="A3" s="1009" t="s">
        <v>7776</v>
      </c>
      <c r="B3" s="1008"/>
      <c r="C3" s="1008"/>
      <c r="D3" s="1008"/>
      <c r="E3" s="1008"/>
      <c r="F3" s="1008"/>
      <c r="G3" s="1008"/>
      <c r="H3" s="1008"/>
    </row>
    <row r="4" spans="1:8" s="933" customFormat="1" ht="25.5" customHeight="1">
      <c r="A4" s="1010" t="s">
        <v>7887</v>
      </c>
      <c r="B4" s="1005"/>
      <c r="C4" s="1005"/>
      <c r="D4" s="1005"/>
      <c r="E4" s="1005"/>
      <c r="F4" s="1005"/>
      <c r="G4" s="1005"/>
      <c r="H4" s="1005"/>
    </row>
    <row r="5" spans="1:8" s="933" customFormat="1"/>
    <row r="6" spans="1:8">
      <c r="A6" s="1009" t="s">
        <v>7888</v>
      </c>
      <c r="B6" s="1008"/>
      <c r="C6" s="1008"/>
      <c r="D6" s="1008"/>
      <c r="E6" s="1008"/>
      <c r="F6" s="1008"/>
      <c r="G6" s="1008"/>
      <c r="H6" s="1008"/>
    </row>
    <row r="7" spans="1:8">
      <c r="A7" s="1004" t="s">
        <v>7741</v>
      </c>
      <c r="B7" s="1008"/>
      <c r="C7" s="1008"/>
      <c r="D7" s="1008"/>
      <c r="E7" s="1008"/>
      <c r="F7" s="1008"/>
      <c r="G7" s="1008"/>
      <c r="H7" s="1008"/>
    </row>
    <row r="8" spans="1:8" s="933" customFormat="1">
      <c r="A8" s="1010" t="s">
        <v>7889</v>
      </c>
      <c r="B8" s="1005"/>
      <c r="C8" s="1005"/>
      <c r="D8" s="1005"/>
      <c r="E8" s="1005"/>
      <c r="F8" s="1005"/>
      <c r="G8" s="1005"/>
      <c r="H8" s="1005"/>
    </row>
    <row r="9" spans="1:8">
      <c r="A9" s="1004" t="s">
        <v>7890</v>
      </c>
      <c r="B9" s="1008"/>
      <c r="C9" s="1008"/>
      <c r="D9" s="1008"/>
      <c r="E9" s="1008"/>
      <c r="F9" s="1008"/>
      <c r="G9" s="1008"/>
      <c r="H9" s="1008"/>
    </row>
    <row r="10" spans="1:8" ht="51.75" customHeight="1">
      <c r="A10" s="1006" t="s">
        <v>7891</v>
      </c>
      <c r="B10" s="1008"/>
      <c r="C10" s="1008"/>
      <c r="D10" s="1008"/>
      <c r="E10" s="1008"/>
      <c r="F10" s="1008"/>
      <c r="G10" s="1008"/>
      <c r="H10" s="1008"/>
    </row>
    <row r="11" spans="1:8">
      <c r="A11" s="1004" t="s">
        <v>1307</v>
      </c>
      <c r="B11" s="1008"/>
      <c r="C11" s="1008"/>
      <c r="D11" s="1008"/>
      <c r="E11" s="1008"/>
      <c r="F11" s="1008"/>
      <c r="G11" s="1008"/>
      <c r="H11" s="1008"/>
    </row>
    <row r="12" spans="1:8" s="933" customFormat="1" ht="25.5" customHeight="1">
      <c r="A12" s="1010" t="s">
        <v>7892</v>
      </c>
      <c r="B12" s="1005"/>
      <c r="C12" s="1005"/>
      <c r="D12" s="1005"/>
      <c r="E12" s="1005"/>
      <c r="F12" s="1005"/>
      <c r="G12" s="1005"/>
      <c r="H12" s="1005"/>
    </row>
    <row r="13" spans="1:8" s="933" customFormat="1"/>
    <row r="14" spans="1:8">
      <c r="A14" s="1009" t="s">
        <v>7893</v>
      </c>
      <c r="B14" s="1008"/>
      <c r="C14" s="1008"/>
      <c r="D14" s="1008"/>
      <c r="E14" s="1008"/>
      <c r="F14" s="1008"/>
      <c r="G14" s="1008"/>
      <c r="H14" s="1008"/>
    </row>
    <row r="15" spans="1:8">
      <c r="A15" s="1004" t="s">
        <v>7741</v>
      </c>
      <c r="B15" s="1008"/>
      <c r="C15" s="1008"/>
      <c r="D15" s="1008"/>
      <c r="E15" s="1008"/>
      <c r="F15" s="1008"/>
      <c r="G15" s="1008"/>
      <c r="H15" s="1008"/>
    </row>
    <row r="16" spans="1:8" s="933" customFormat="1" ht="25.5" customHeight="1">
      <c r="A16" s="1010" t="s">
        <v>7894</v>
      </c>
      <c r="B16" s="1005"/>
      <c r="C16" s="1005"/>
      <c r="D16" s="1005"/>
      <c r="E16" s="1005"/>
      <c r="F16" s="1005"/>
      <c r="G16" s="1005"/>
      <c r="H16" s="1005"/>
    </row>
    <row r="17" spans="1:8">
      <c r="A17" s="1004" t="s">
        <v>7890</v>
      </c>
      <c r="B17" s="1008"/>
      <c r="C17" s="1008"/>
      <c r="D17" s="1008"/>
      <c r="E17" s="1008"/>
      <c r="F17" s="1008"/>
      <c r="G17" s="1008"/>
      <c r="H17" s="1008"/>
    </row>
    <row r="18" spans="1:8" s="933" customFormat="1" ht="51" customHeight="1">
      <c r="A18" s="1010" t="s">
        <v>7895</v>
      </c>
      <c r="B18" s="1005"/>
      <c r="C18" s="1005"/>
      <c r="D18" s="1005"/>
      <c r="E18" s="1005"/>
      <c r="F18" s="1005"/>
      <c r="G18" s="1005"/>
      <c r="H18" s="1005"/>
    </row>
    <row r="19" spans="1:8">
      <c r="A19" s="1004" t="s">
        <v>1307</v>
      </c>
      <c r="B19" s="1008"/>
      <c r="C19" s="1008"/>
      <c r="D19" s="1008"/>
      <c r="E19" s="1008"/>
      <c r="F19" s="1008"/>
      <c r="G19" s="1008"/>
      <c r="H19" s="1008"/>
    </row>
    <row r="20" spans="1:8" s="933" customFormat="1">
      <c r="A20" s="1010" t="s">
        <v>7896</v>
      </c>
      <c r="B20" s="1005"/>
      <c r="C20" s="1005"/>
      <c r="D20" s="1005"/>
      <c r="E20" s="1005"/>
      <c r="F20" s="1005"/>
      <c r="G20" s="1005"/>
      <c r="H20" s="1005"/>
    </row>
    <row r="21" spans="1:8" s="933" customFormat="1"/>
    <row r="22" spans="1:8">
      <c r="A22" s="1009" t="s">
        <v>7897</v>
      </c>
      <c r="B22" s="1008"/>
      <c r="C22" s="1008"/>
      <c r="D22" s="1008"/>
      <c r="E22" s="1008"/>
      <c r="F22" s="1008"/>
      <c r="G22" s="1008"/>
      <c r="H22" s="1008"/>
    </row>
    <row r="23" spans="1:8">
      <c r="A23" s="1004" t="s">
        <v>7898</v>
      </c>
      <c r="B23" s="1008"/>
      <c r="C23" s="1008"/>
      <c r="D23" s="1008"/>
      <c r="E23" s="1008"/>
      <c r="F23" s="1008"/>
      <c r="G23" s="1008"/>
      <c r="H23" s="1008"/>
    </row>
    <row r="24" spans="1:8" ht="39" customHeight="1">
      <c r="A24" s="1006" t="s">
        <v>7899</v>
      </c>
      <c r="B24" s="1008"/>
      <c r="C24" s="1008"/>
      <c r="D24" s="1008"/>
      <c r="E24" s="1008"/>
      <c r="F24" s="1008"/>
      <c r="G24" s="1008"/>
      <c r="H24" s="1008"/>
    </row>
    <row r="25" spans="1:8">
      <c r="A25" s="1004" t="s">
        <v>7900</v>
      </c>
      <c r="B25" s="1008"/>
      <c r="C25" s="1008"/>
      <c r="D25" s="1008"/>
      <c r="E25" s="1008"/>
      <c r="F25" s="1008"/>
      <c r="G25" s="1008"/>
      <c r="H25" s="1008"/>
    </row>
    <row r="26" spans="1:8" ht="26.25" customHeight="1">
      <c r="A26" s="1006" t="s">
        <v>7901</v>
      </c>
      <c r="B26" s="1008"/>
      <c r="C26" s="1008"/>
      <c r="D26" s="1008"/>
      <c r="E26" s="1008"/>
      <c r="F26" s="1008"/>
      <c r="G26" s="1008"/>
      <c r="H26" s="1008"/>
    </row>
    <row r="27" spans="1:8" s="933" customFormat="1"/>
    <row r="28" spans="1:8">
      <c r="A28" s="1009" t="s">
        <v>7902</v>
      </c>
      <c r="B28" s="1008"/>
      <c r="C28" s="1008"/>
      <c r="D28" s="1008"/>
      <c r="E28" s="1008"/>
      <c r="F28" s="1008"/>
      <c r="G28" s="1008"/>
      <c r="H28" s="1008"/>
    </row>
    <row r="29" spans="1:8">
      <c r="A29" s="1004" t="s">
        <v>7903</v>
      </c>
      <c r="B29" s="1008"/>
      <c r="C29" s="1008"/>
      <c r="D29" s="1008"/>
      <c r="E29" s="1008"/>
      <c r="F29" s="1008"/>
      <c r="G29" s="1008"/>
      <c r="H29" s="1008"/>
    </row>
    <row r="30" spans="1:8" ht="66" customHeight="1">
      <c r="A30" s="1006" t="s">
        <v>7904</v>
      </c>
      <c r="B30" s="1008"/>
      <c r="C30" s="1008"/>
      <c r="D30" s="1008"/>
      <c r="E30" s="1008"/>
      <c r="F30" s="1008"/>
      <c r="G30" s="1008"/>
      <c r="H30" s="1008"/>
    </row>
    <row r="31" spans="1:8" s="933" customFormat="1"/>
    <row r="32" spans="1:8">
      <c r="A32" s="1009" t="s">
        <v>7801</v>
      </c>
      <c r="B32" s="1008"/>
      <c r="C32" s="1008"/>
      <c r="D32" s="1008"/>
      <c r="E32" s="1008"/>
      <c r="F32" s="1008"/>
      <c r="G32" s="1008"/>
      <c r="H32" s="1008"/>
    </row>
    <row r="33" spans="1:8">
      <c r="A33" s="1004" t="s">
        <v>7905</v>
      </c>
      <c r="B33" s="1008"/>
      <c r="C33" s="1008"/>
      <c r="D33" s="1008"/>
      <c r="E33" s="1008"/>
      <c r="F33" s="1008"/>
      <c r="G33" s="1008"/>
      <c r="H33" s="1008"/>
    </row>
    <row r="34" spans="1:8" ht="78.75" customHeight="1">
      <c r="A34" s="1006" t="s">
        <v>7906</v>
      </c>
      <c r="B34" s="1008"/>
      <c r="C34" s="1008"/>
      <c r="D34" s="1008"/>
      <c r="E34" s="1008"/>
      <c r="F34" s="1008"/>
      <c r="G34" s="1008"/>
      <c r="H34" s="1008"/>
    </row>
    <row r="35" spans="1:8">
      <c r="A35" s="1004" t="s">
        <v>7907</v>
      </c>
      <c r="B35" s="1008"/>
      <c r="C35" s="1008"/>
      <c r="D35" s="1008"/>
      <c r="E35" s="1008"/>
      <c r="F35" s="1008"/>
      <c r="G35" s="1008"/>
      <c r="H35" s="1008"/>
    </row>
    <row r="36" spans="1:8" ht="38.25" customHeight="1">
      <c r="A36" s="1006" t="s">
        <v>7908</v>
      </c>
      <c r="B36" s="1008"/>
      <c r="C36" s="1008"/>
      <c r="D36" s="1008"/>
      <c r="E36" s="1008"/>
      <c r="F36" s="1008"/>
      <c r="G36" s="1008"/>
      <c r="H36" s="1008"/>
    </row>
    <row r="37" spans="1:8">
      <c r="A37" s="1004" t="s">
        <v>7909</v>
      </c>
      <c r="B37" s="1008"/>
      <c r="C37" s="1008"/>
      <c r="D37" s="1008"/>
      <c r="E37" s="1008"/>
      <c r="F37" s="1008"/>
      <c r="G37" s="1008"/>
      <c r="H37" s="1008"/>
    </row>
    <row r="38" spans="1:8" ht="66" customHeight="1">
      <c r="A38" s="1006" t="s">
        <v>7910</v>
      </c>
      <c r="B38" s="1008"/>
      <c r="C38" s="1008"/>
      <c r="D38" s="1008"/>
      <c r="E38" s="1008"/>
      <c r="F38" s="1008"/>
      <c r="G38" s="1008"/>
      <c r="H38" s="1008"/>
    </row>
    <row r="39" spans="1:8">
      <c r="A39" s="1004" t="s">
        <v>7808</v>
      </c>
      <c r="B39" s="1008"/>
      <c r="C39" s="1008"/>
      <c r="D39" s="1008"/>
      <c r="E39" s="1008"/>
      <c r="F39" s="1008"/>
      <c r="G39" s="1008"/>
      <c r="H39" s="1008"/>
    </row>
    <row r="40" spans="1:8" ht="27.75" customHeight="1">
      <c r="A40" s="1006" t="s">
        <v>7911</v>
      </c>
      <c r="B40" s="1008"/>
      <c r="C40" s="1008"/>
      <c r="D40" s="1008"/>
      <c r="E40" s="1008"/>
      <c r="F40" s="1008"/>
      <c r="G40" s="1008"/>
      <c r="H40" s="1008"/>
    </row>
    <row r="41" spans="1:8" s="933" customFormat="1"/>
    <row r="42" spans="1:8">
      <c r="A42" s="1009" t="s">
        <v>7912</v>
      </c>
      <c r="B42" s="1008"/>
      <c r="C42" s="1008"/>
      <c r="D42" s="1008"/>
      <c r="E42" s="1008"/>
      <c r="F42" s="1008"/>
      <c r="G42" s="1008"/>
      <c r="H42" s="1008"/>
    </row>
    <row r="43" spans="1:8">
      <c r="A43" s="1004" t="s">
        <v>7913</v>
      </c>
      <c r="B43" s="1008"/>
      <c r="C43" s="1008"/>
      <c r="D43" s="1008"/>
      <c r="E43" s="1008"/>
      <c r="F43" s="1008"/>
      <c r="G43" s="1008"/>
      <c r="H43" s="1008"/>
    </row>
    <row r="44" spans="1:8">
      <c r="A44" s="1006" t="s">
        <v>7914</v>
      </c>
      <c r="B44" s="1008"/>
      <c r="C44" s="1008"/>
      <c r="D44" s="1008"/>
      <c r="E44" s="1008"/>
      <c r="F44" s="1008"/>
      <c r="G44" s="1008"/>
      <c r="H44" s="1008"/>
    </row>
    <row r="45" spans="1:8">
      <c r="A45" s="1004" t="s">
        <v>7915</v>
      </c>
      <c r="B45" s="1008"/>
      <c r="C45" s="1008"/>
      <c r="D45" s="1008"/>
      <c r="E45" s="1008"/>
      <c r="F45" s="1008"/>
      <c r="G45" s="1008"/>
      <c r="H45" s="1008"/>
    </row>
    <row r="46" spans="1:8" ht="66" customHeight="1">
      <c r="A46" s="1006" t="s">
        <v>7916</v>
      </c>
      <c r="B46" s="1008"/>
      <c r="C46" s="1008"/>
      <c r="D46" s="1008"/>
      <c r="E46" s="1008"/>
      <c r="F46" s="1008"/>
      <c r="G46" s="1008"/>
      <c r="H46" s="1008"/>
    </row>
    <row r="47" spans="1:8" s="933" customFormat="1"/>
    <row r="48" spans="1:8">
      <c r="A48" s="1009" t="s">
        <v>7821</v>
      </c>
      <c r="B48" s="1008"/>
      <c r="C48" s="1008"/>
      <c r="D48" s="1008"/>
      <c r="E48" s="1008"/>
      <c r="F48" s="1008"/>
      <c r="G48" s="1008"/>
      <c r="H48" s="1008"/>
    </row>
    <row r="49" spans="1:8" ht="38.25" customHeight="1">
      <c r="A49" s="1011" t="s">
        <v>7917</v>
      </c>
      <c r="B49" s="1008"/>
      <c r="C49" s="1008"/>
      <c r="D49" s="1008"/>
      <c r="E49" s="1008"/>
      <c r="F49" s="1008"/>
      <c r="G49" s="1008"/>
      <c r="H49" s="1008"/>
    </row>
  </sheetData>
  <mergeCells count="41">
    <mergeCell ref="A8:H8"/>
    <mergeCell ref="A22:H22"/>
    <mergeCell ref="A17:H17"/>
    <mergeCell ref="A4:H4"/>
    <mergeCell ref="A35:H35"/>
    <mergeCell ref="A29:H29"/>
    <mergeCell ref="A34:H34"/>
    <mergeCell ref="A20:H20"/>
    <mergeCell ref="A10:H10"/>
    <mergeCell ref="A28:H28"/>
    <mergeCell ref="A19:H19"/>
    <mergeCell ref="A9:H9"/>
    <mergeCell ref="A14:H14"/>
    <mergeCell ref="A49:H49"/>
    <mergeCell ref="A11:H11"/>
    <mergeCell ref="A45:H45"/>
    <mergeCell ref="A1:H1"/>
    <mergeCell ref="A6:H6"/>
    <mergeCell ref="A7:H7"/>
    <mergeCell ref="A25:H25"/>
    <mergeCell ref="A16:H16"/>
    <mergeCell ref="A37:H37"/>
    <mergeCell ref="A46:H46"/>
    <mergeCell ref="A12:H12"/>
    <mergeCell ref="A18:H18"/>
    <mergeCell ref="A3:H3"/>
    <mergeCell ref="A26:H26"/>
    <mergeCell ref="A42:H42"/>
    <mergeCell ref="A33:H33"/>
    <mergeCell ref="A48:H48"/>
    <mergeCell ref="A30:H30"/>
    <mergeCell ref="A39:H39"/>
    <mergeCell ref="A15:H15"/>
    <mergeCell ref="A24:H24"/>
    <mergeCell ref="A36:H36"/>
    <mergeCell ref="A23:H23"/>
    <mergeCell ref="A32:H32"/>
    <mergeCell ref="A38:H38"/>
    <mergeCell ref="A43:H43"/>
    <mergeCell ref="A44:H44"/>
    <mergeCell ref="A40:H40"/>
  </mergeCells>
  <pageMargins left="3.937007874015748E-2" right="3.937007874015748E-2" top="0" bottom="0" header="0.11811023622047249" footer="0.11811023622047249"/>
  <pageSetup paperSize="9" scale="1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8" tint="-0.249977111117893"/>
    <pageSetUpPr fitToPage="1"/>
  </sheetPr>
  <dimension ref="A1:BE106"/>
  <sheetViews>
    <sheetView zoomScale="85" zoomScaleNormal="85" workbookViewId="0">
      <pane xSplit="8" ySplit="3" topLeftCell="I4" activePane="bottomRight" state="frozen"/>
      <selection activeCell="G29" sqref="G29"/>
      <selection pane="topRight" activeCell="G29" sqref="G29"/>
      <selection pane="bottomLeft" activeCell="G29" sqref="G29"/>
      <selection pane="bottomRight" activeCell="N29" sqref="N29"/>
    </sheetView>
  </sheetViews>
  <sheetFormatPr baseColWidth="10" defaultColWidth="9.140625" defaultRowHeight="15"/>
  <cols>
    <col min="1" max="1" width="6.140625" style="934" customWidth="1"/>
    <col min="2" max="2" width="5.7109375" style="934" customWidth="1"/>
    <col min="3" max="3" width="5.42578125" style="934" customWidth="1"/>
    <col min="4" max="4" width="4.85546875" style="934" customWidth="1"/>
    <col min="5" max="5" width="30.28515625" style="43" customWidth="1"/>
    <col min="6" max="6" width="22" style="43" customWidth="1"/>
    <col min="7" max="7" width="45.140625" style="43" customWidth="1"/>
    <col min="8" max="8" width="1.7109375" style="933" customWidth="1"/>
    <col min="9" max="9" width="9.7109375" style="934" customWidth="1"/>
    <col min="10" max="10" width="1.7109375" style="933" customWidth="1"/>
    <col min="11" max="11" width="9.5703125" style="934" customWidth="1"/>
    <col min="12" max="12" width="9" style="934" customWidth="1"/>
    <col min="13" max="13" width="1.7109375" style="933" customWidth="1"/>
    <col min="14" max="14" width="9.42578125" style="934" customWidth="1"/>
    <col min="15" max="15" width="9" style="934" customWidth="1"/>
    <col min="16" max="16" width="10.42578125" style="934" customWidth="1"/>
    <col min="17" max="17" width="8.7109375" style="934" customWidth="1"/>
    <col min="18" max="18" width="8.85546875" style="934" customWidth="1"/>
    <col min="19" max="19" width="1.7109375" style="933" customWidth="1"/>
    <col min="20" max="20" width="9" style="934" customWidth="1"/>
    <col min="21" max="21" width="8.85546875" style="934" customWidth="1"/>
    <col min="22" max="22" width="9.7109375" style="934" customWidth="1"/>
    <col min="23" max="23" width="10.42578125" style="934" customWidth="1"/>
    <col min="24" max="24" width="9" style="934" customWidth="1"/>
    <col min="25" max="25" width="1.7109375" style="933" customWidth="1"/>
    <col min="26" max="26" width="9.5703125" style="934" customWidth="1"/>
    <col min="27" max="27" width="9.85546875" style="934" customWidth="1"/>
    <col min="28" max="28" width="9" style="934" customWidth="1"/>
    <col min="29" max="29" width="9.42578125" style="934" customWidth="1"/>
    <col min="30" max="30" width="7.85546875" style="934" customWidth="1"/>
    <col min="31" max="31" width="1.7109375" style="933" customWidth="1"/>
    <col min="32" max="32" width="11.5703125" style="934" customWidth="1"/>
    <col min="33" max="57" width="9.140625" style="933" customWidth="1"/>
  </cols>
  <sheetData>
    <row r="1" spans="1:32" s="438" customFormat="1" ht="18.75" customHeight="1">
      <c r="A1" s="933"/>
      <c r="B1" s="933"/>
      <c r="C1" s="933"/>
      <c r="D1" s="477"/>
      <c r="E1" s="477"/>
      <c r="F1" s="478" t="s">
        <v>7918</v>
      </c>
      <c r="G1" s="479"/>
      <c r="H1" s="933"/>
      <c r="I1" s="933"/>
      <c r="J1" s="933"/>
      <c r="K1" s="933"/>
      <c r="L1" s="933"/>
      <c r="M1" s="933"/>
      <c r="N1" s="436"/>
      <c r="O1" s="436"/>
      <c r="P1" s="440" t="s">
        <v>7919</v>
      </c>
      <c r="Q1" s="436"/>
      <c r="R1" s="436"/>
      <c r="S1" s="933"/>
      <c r="T1" s="434"/>
      <c r="U1" s="434"/>
      <c r="V1" s="439" t="s">
        <v>7919</v>
      </c>
      <c r="W1" s="434"/>
      <c r="X1" s="434"/>
      <c r="Y1" s="933"/>
      <c r="Z1" s="435"/>
      <c r="AA1" s="435"/>
      <c r="AB1" s="441" t="s">
        <v>7919</v>
      </c>
      <c r="AC1" s="435"/>
      <c r="AD1" s="435"/>
      <c r="AE1" s="933"/>
      <c r="AF1" s="436"/>
    </row>
    <row r="2" spans="1:32" s="437" customFormat="1" ht="54.75" customHeight="1">
      <c r="A2" s="436" t="s">
        <v>7853</v>
      </c>
      <c r="B2" s="434" t="s">
        <v>7854</v>
      </c>
      <c r="C2" s="435" t="s">
        <v>7855</v>
      </c>
      <c r="D2" s="829" t="s">
        <v>2044</v>
      </c>
      <c r="E2" s="829" t="s">
        <v>6714</v>
      </c>
      <c r="F2" s="829" t="s">
        <v>6715</v>
      </c>
      <c r="G2" s="829" t="s">
        <v>2181</v>
      </c>
      <c r="H2" s="453"/>
      <c r="I2" s="436" t="s">
        <v>7920</v>
      </c>
      <c r="J2" s="453"/>
      <c r="K2" s="434" t="s">
        <v>7860</v>
      </c>
      <c r="L2" s="435" t="s">
        <v>2534</v>
      </c>
      <c r="M2" s="453"/>
      <c r="N2" s="436" t="s">
        <v>7857</v>
      </c>
      <c r="O2" s="436" t="s">
        <v>7921</v>
      </c>
      <c r="P2" s="436" t="s">
        <v>7922</v>
      </c>
      <c r="Q2" s="436" t="s">
        <v>7923</v>
      </c>
      <c r="R2" s="436" t="s">
        <v>7924</v>
      </c>
      <c r="S2" s="453"/>
      <c r="T2" s="434" t="s">
        <v>7925</v>
      </c>
      <c r="U2" s="434" t="s">
        <v>7926</v>
      </c>
      <c r="V2" s="434" t="s">
        <v>7927</v>
      </c>
      <c r="W2" s="434" t="s">
        <v>7928</v>
      </c>
      <c r="X2" s="434" t="s">
        <v>7929</v>
      </c>
      <c r="Y2" s="453"/>
      <c r="Z2" s="435" t="s">
        <v>7930</v>
      </c>
      <c r="AA2" s="435" t="s">
        <v>7931</v>
      </c>
      <c r="AB2" s="435" t="s">
        <v>7932</v>
      </c>
      <c r="AC2" s="435" t="s">
        <v>7933</v>
      </c>
      <c r="AD2" s="435" t="s">
        <v>7934</v>
      </c>
      <c r="AE2" s="453"/>
      <c r="AF2" s="436" t="s">
        <v>6711</v>
      </c>
    </row>
    <row r="3" spans="1:32">
      <c r="A3" s="405" t="s">
        <v>2535</v>
      </c>
      <c r="B3" s="405" t="s">
        <v>2535</v>
      </c>
      <c r="C3" s="405" t="s">
        <v>2535</v>
      </c>
      <c r="D3" s="405" t="s">
        <v>2090</v>
      </c>
      <c r="E3" s="405" t="s">
        <v>2086</v>
      </c>
      <c r="F3" s="405" t="s">
        <v>6728</v>
      </c>
      <c r="G3" s="405" t="s">
        <v>6729</v>
      </c>
      <c r="I3" s="426" t="str">
        <f>IFERROR(N3/5,"")</f>
        <v/>
      </c>
      <c r="K3" s="790" t="str">
        <f t="shared" ref="K3:K34" si="0">IFERROR(T3/N3,"")</f>
        <v/>
      </c>
      <c r="L3" s="790" t="str">
        <f t="shared" ref="L3:L34" si="1">IFERROR(Z3/N3,"")</f>
        <v/>
      </c>
      <c r="N3" s="426" t="e">
        <f>SUMPRODUCT(($AF$4:$AF$106),('ANALYSE - ERP =&gt; SOUS-SEGMENT'!$EX$8:$EX$150))</f>
        <v>#REF!</v>
      </c>
      <c r="O3" s="426" t="e">
        <f>SUMPRODUCT(($AF$4:$AF$106),('ANALYSE - ERP =&gt; SOUS-SEGMENT'!$FA$8:$FA$150))</f>
        <v>#REF!</v>
      </c>
      <c r="P3" s="426" t="e">
        <f>SUMPRODUCT(($AF$4:$AF$106),('ANALYSE - ERP =&gt; SOUS-SEGMENT'!$FD$8:$FD$150))</f>
        <v>#REF!</v>
      </c>
      <c r="Q3" s="426" t="e">
        <f>SUMPRODUCT(($AF$4:$AF$106),('ANALYSE - ERP =&gt; SOUS-SEGMENT'!$FG$8:$FG$150))</f>
        <v>#REF!</v>
      </c>
      <c r="R3" s="426" t="e">
        <f>SUMPRODUCT(($AF$4:$AF$106),('ANALYSE - ERP =&gt; SOUS-SEGMENT'!$FJ$8:$FJ$150))</f>
        <v>#REF!</v>
      </c>
      <c r="T3" s="426" t="e">
        <f>SUMPRODUCT(($AF$4:$AF$106),('ANALYSE - ERP =&gt; SOUS-SEGMENT'!$EY$8:$EY$150))</f>
        <v>#REF!</v>
      </c>
      <c r="U3" s="426" t="e">
        <f>SUMPRODUCT(($AF$4:$AF$106),('ANALYSE - ERP =&gt; SOUS-SEGMENT'!$FB$8:$FB$150))</f>
        <v>#REF!</v>
      </c>
      <c r="V3" s="426" t="e">
        <f>SUMPRODUCT(($AF$4:$AF$106),('ANALYSE - ERP =&gt; SOUS-SEGMENT'!$FE$8:$FE$150))</f>
        <v>#REF!</v>
      </c>
      <c r="W3" s="426" t="e">
        <f>SUMPRODUCT(($AF$4:$AF$106),('ANALYSE - ERP =&gt; SOUS-SEGMENT'!$FH$8:$FH$150))</f>
        <v>#REF!</v>
      </c>
      <c r="X3" s="426" t="e">
        <f>SUMPRODUCT(($AF$4:$AF$106),('ANALYSE - ERP =&gt; SOUS-SEGMENT'!$FK$8:$FK$150))</f>
        <v>#REF!</v>
      </c>
      <c r="Z3" s="426" t="e">
        <f>SUMPRODUCT(($AF$4:$AF$106),('ANALYSE - ERP =&gt; SOUS-SEGMENT'!$EZ$8:$EZ$150))</f>
        <v>#REF!</v>
      </c>
      <c r="AA3" s="426" t="e">
        <f>SUMPRODUCT(($AF$4:$AF$106),('ANALYSE - ERP =&gt; SOUS-SEGMENT'!$FC$8:$FC$150))</f>
        <v>#REF!</v>
      </c>
      <c r="AB3" s="426" t="e">
        <f>SUMPRODUCT(($AF$4:$AF$106),('ANALYSE - ERP =&gt; SOUS-SEGMENT'!$FF$8:$FF$150))</f>
        <v>#REF!</v>
      </c>
      <c r="AC3" s="426" t="e">
        <f>SUMPRODUCT(($AF$4:$AF$106),('ANALYSE - ERP =&gt; SOUS-SEGMENT'!$FI$8:$FI$150))</f>
        <v>#REF!</v>
      </c>
      <c r="AD3" s="426" t="e">
        <f>SUMPRODUCT(($AF$4:$AF$106),('ANALYSE - ERP =&gt; SOUS-SEGMENT'!$FL$8:$FL$150))</f>
        <v>#REF!</v>
      </c>
      <c r="AF3" s="428">
        <f>SUM('ANALYSE - ERP =&gt; SOUS-SEGMENT'!$Q$8:$Q$150)</f>
        <v>137</v>
      </c>
    </row>
    <row r="4" spans="1:32" ht="15" customHeight="1">
      <c r="A4" s="26">
        <v>1</v>
      </c>
      <c r="B4" s="26">
        <v>1</v>
      </c>
      <c r="C4" s="26">
        <v>1</v>
      </c>
      <c r="D4" s="422">
        <f>'ANALYSE - ERP =&gt; SOUS-SEGMENT'!$A$75</f>
        <v>68</v>
      </c>
      <c r="E4" s="408" t="str">
        <f>'ANALYSE - ERP =&gt; SOUS-SEGMENT'!$B$75</f>
        <v>Commerce, Restauration &amp; Loisirs</v>
      </c>
      <c r="F4" s="408" t="str">
        <f>'ANALYSE - ERP =&gt; SOUS-SEGMENT'!$C$75</f>
        <v>Restauration / boissons</v>
      </c>
      <c r="G4" s="408" t="str">
        <f>'ANALYSE - ERP =&gt; SOUS-SEGMENT'!$D$75</f>
        <v>Restaurants
(Hors établissements altitude, flottant, armée)</v>
      </c>
      <c r="I4" s="427">
        <f t="shared" ref="I4:I35" si="2">N4/5</f>
        <v>67852.5786960119</v>
      </c>
      <c r="K4" s="787">
        <f t="shared" si="0"/>
        <v>0.87484429238797479</v>
      </c>
      <c r="L4" s="787">
        <f t="shared" si="1"/>
        <v>0.12515570761202527</v>
      </c>
      <c r="N4" s="424">
        <f>'ANALYSE - ERP =&gt; SOUS-SEGMENT'!$EX$75</f>
        <v>339262.89348005952</v>
      </c>
      <c r="O4" s="427">
        <f>'ANALYSE - ERP =&gt; SOUS-SEGMENT'!$FA$75</f>
        <v>194487.39218750002</v>
      </c>
      <c r="P4" s="427">
        <f>'ANALYSE - ERP =&gt; SOUS-SEGMENT'!$FD$75</f>
        <v>0</v>
      </c>
      <c r="Q4" s="427">
        <f>'ANALYSE - ERP =&gt; SOUS-SEGMENT'!$FG$75</f>
        <v>28684.12019880952</v>
      </c>
      <c r="R4" s="427">
        <f>'ANALYSE - ERP =&gt; SOUS-SEGMENT'!$FJ$75</f>
        <v>116091.38109374999</v>
      </c>
      <c r="T4" s="424">
        <f>'ANALYSE - ERP =&gt; SOUS-SEGMENT'!$EY$75</f>
        <v>296802.20598005952</v>
      </c>
      <c r="U4" s="427">
        <f>'ANALYSE - ERP =&gt; SOUS-SEGMENT'!$FB$75</f>
        <v>169943.64218750002</v>
      </c>
      <c r="V4" s="427">
        <f>'ANALYSE - ERP =&gt; SOUS-SEGMENT'!$FE$75</f>
        <v>0</v>
      </c>
      <c r="W4" s="427">
        <f>'ANALYSE - ERP =&gt; SOUS-SEGMENT'!$FH$75</f>
        <v>25493.43269880952</v>
      </c>
      <c r="X4" s="427">
        <f>'ANALYSE - ERP =&gt; SOUS-SEGMENT'!$FK$75</f>
        <v>101365.13109374999</v>
      </c>
      <c r="Z4" s="427">
        <f>'ANALYSE - ERP =&gt; SOUS-SEGMENT'!$EZ$75</f>
        <v>42460.6875</v>
      </c>
      <c r="AA4" s="427">
        <f>'ANALYSE - ERP =&gt; SOUS-SEGMENT'!$FC$75</f>
        <v>24543.75</v>
      </c>
      <c r="AB4" s="427">
        <f>'ANALYSE - ERP =&gt; SOUS-SEGMENT'!$FF$75</f>
        <v>0</v>
      </c>
      <c r="AC4" s="427">
        <f>'ANALYSE - ERP =&gt; SOUS-SEGMENT'!$FI$75</f>
        <v>3190.6875</v>
      </c>
      <c r="AD4" s="427">
        <f>'ANALYSE - ERP =&gt; SOUS-SEGMENT'!$FL$75</f>
        <v>14726.25</v>
      </c>
      <c r="AF4" s="430">
        <f>'ANALYSE - ERP =&gt; SOUS-SEGMENT'!$Q$75</f>
        <v>1</v>
      </c>
    </row>
    <row r="5" spans="1:32" ht="15" customHeight="1">
      <c r="A5" s="26">
        <v>2</v>
      </c>
      <c r="B5" s="26">
        <v>2</v>
      </c>
      <c r="C5" s="26">
        <v>3</v>
      </c>
      <c r="D5" s="422">
        <f>'ANALYSE - ERP =&gt; SOUS-SEGMENT'!$A$58</f>
        <v>51</v>
      </c>
      <c r="E5" s="416" t="str">
        <f>'ANALYSE - ERP =&gt; SOUS-SEGMENT'!$B$58</f>
        <v>Santé &amp; Médico-social</v>
      </c>
      <c r="F5" s="416" t="str">
        <f>'ANALYSE - ERP =&gt; SOUS-SEGMENT'!$C$58</f>
        <v>Médico-social</v>
      </c>
      <c r="G5" s="416" t="str">
        <f>'ANALYSE - ERP =&gt; SOUS-SEGMENT'!$D$58</f>
        <v>EHPAD</v>
      </c>
      <c r="I5" s="427">
        <f t="shared" si="2"/>
        <v>101320.26905127785</v>
      </c>
      <c r="K5" s="787">
        <f t="shared" si="0"/>
        <v>0.83095246350627427</v>
      </c>
      <c r="L5" s="787">
        <f t="shared" si="1"/>
        <v>0.1690475364937257</v>
      </c>
      <c r="N5" s="424">
        <f>'ANALYSE - ERP =&gt; SOUS-SEGMENT'!$EX$58</f>
        <v>506601.34525638924</v>
      </c>
      <c r="O5" s="427">
        <f>'ANALYSE - ERP =&gt; SOUS-SEGMENT'!$FA$58</f>
        <v>219199.42985852476</v>
      </c>
      <c r="P5" s="427">
        <f>'ANALYSE - ERP =&gt; SOUS-SEGMENT'!$FD$58</f>
        <v>84097.243804133352</v>
      </c>
      <c r="Q5" s="427">
        <f>'ANALYSE - ERP =&gt; SOUS-SEGMENT'!$FG$58</f>
        <v>3459.0988761414142</v>
      </c>
      <c r="R5" s="427">
        <f>'ANALYSE - ERP =&gt; SOUS-SEGMENT'!$FJ$58</f>
        <v>199845.57271758973</v>
      </c>
      <c r="T5" s="424">
        <f>'ANALYSE - ERP =&gt; SOUS-SEGMENT'!$EY$58</f>
        <v>420961.63585638924</v>
      </c>
      <c r="U5" s="427">
        <f>'ANALYSE - ERP =&gt; SOUS-SEGMENT'!$FB$58</f>
        <v>183168.08870852477</v>
      </c>
      <c r="V5" s="427">
        <f>'ANALYSE - ERP =&gt; SOUS-SEGMENT'!$FE$58</f>
        <v>70520.216704133345</v>
      </c>
      <c r="W5" s="427">
        <f>'ANALYSE - ERP =&gt; SOUS-SEGMENT'!$FH$58</f>
        <v>2936.9055261414142</v>
      </c>
      <c r="X5" s="427">
        <f>'ANALYSE - ERP =&gt; SOUS-SEGMENT'!$FK$58</f>
        <v>164336.42491758973</v>
      </c>
      <c r="Z5" s="427">
        <f>'ANALYSE - ERP =&gt; SOUS-SEGMENT'!$EZ$58</f>
        <v>85639.709399999992</v>
      </c>
      <c r="AA5" s="427">
        <f>'ANALYSE - ERP =&gt; SOUS-SEGMENT'!$FC$58</f>
        <v>36031.34115</v>
      </c>
      <c r="AB5" s="427">
        <f>'ANALYSE - ERP =&gt; SOUS-SEGMENT'!$FF$58</f>
        <v>13577.027099999999</v>
      </c>
      <c r="AC5" s="427">
        <f>'ANALYSE - ERP =&gt; SOUS-SEGMENT'!$FI$58</f>
        <v>522.19335000000001</v>
      </c>
      <c r="AD5" s="427">
        <f>'ANALYSE - ERP =&gt; SOUS-SEGMENT'!$FL$58</f>
        <v>35509.147799999999</v>
      </c>
      <c r="AF5" s="430">
        <f>'ANALYSE - ERP =&gt; SOUS-SEGMENT'!$Q$58</f>
        <v>1</v>
      </c>
    </row>
    <row r="6" spans="1:32" ht="15" customHeight="1">
      <c r="A6" s="26">
        <v>3</v>
      </c>
      <c r="B6" s="26">
        <v>3</v>
      </c>
      <c r="C6" s="26">
        <v>2</v>
      </c>
      <c r="D6" s="422">
        <f>'ANALYSE - ERP =&gt; SOUS-SEGMENT'!$A$82</f>
        <v>75</v>
      </c>
      <c r="E6" s="409" t="str">
        <f>'ANALYSE - ERP =&gt; SOUS-SEGMENT'!$B$82</f>
        <v>Tertiaire &amp; Industriel</v>
      </c>
      <c r="F6" s="409" t="str">
        <f>'ANALYSE - ERP =&gt; SOUS-SEGMENT'!$C$82</f>
        <v>Bureaux</v>
      </c>
      <c r="G6" s="409" t="str">
        <f>'ANALYSE - ERP =&gt; SOUS-SEGMENT'!$D$82</f>
        <v>Bureaux Tertiaire Privé (&gt;50 salariés)
(hors usines et logistique )</v>
      </c>
      <c r="I6" s="427">
        <f t="shared" si="2"/>
        <v>78410.244330623798</v>
      </c>
      <c r="K6" s="787">
        <f t="shared" si="0"/>
        <v>0.85760375643110587</v>
      </c>
      <c r="L6" s="787">
        <f t="shared" si="1"/>
        <v>0.14239624356889405</v>
      </c>
      <c r="N6" s="424">
        <f>'ANALYSE - ERP =&gt; SOUS-SEGMENT'!$EX$82</f>
        <v>392051.22165311902</v>
      </c>
      <c r="O6" s="427">
        <f>'ANALYSE - ERP =&gt; SOUS-SEGMENT'!$FA$82</f>
        <v>203059.86842589744</v>
      </c>
      <c r="P6" s="427">
        <f>'ANALYSE - ERP =&gt; SOUS-SEGMENT'!$FD$82</f>
        <v>2446.2677532954544</v>
      </c>
      <c r="Q6" s="427">
        <f>'ANALYSE - ERP =&gt; SOUS-SEGMENT'!$FG$82</f>
        <v>47346.916216783211</v>
      </c>
      <c r="R6" s="427">
        <f>'ANALYSE - ERP =&gt; SOUS-SEGMENT'!$FJ$82</f>
        <v>139198.16925714284</v>
      </c>
      <c r="T6" s="424">
        <f>'ANALYSE - ERP =&gt; SOUS-SEGMENT'!$EY$82</f>
        <v>336224.600403119</v>
      </c>
      <c r="U6" s="427">
        <f>'ANALYSE - ERP =&gt; SOUS-SEGMENT'!$FB$82</f>
        <v>174313.56842589745</v>
      </c>
      <c r="V6" s="427">
        <f>'ANALYSE - ERP =&gt; SOUS-SEGMENT'!$FE$82</f>
        <v>2152.2715032954543</v>
      </c>
      <c r="W6" s="427">
        <f>'ANALYSE - ERP =&gt; SOUS-SEGMENT'!$FH$82</f>
        <v>41466.991216783208</v>
      </c>
      <c r="X6" s="427">
        <f>'ANALYSE - ERP =&gt; SOUS-SEGMENT'!$FK$82</f>
        <v>118291.76925714285</v>
      </c>
      <c r="Z6" s="427">
        <f>'ANALYSE - ERP =&gt; SOUS-SEGMENT'!$EZ$82</f>
        <v>55826.621250000004</v>
      </c>
      <c r="AA6" s="427">
        <f>'ANALYSE - ERP =&gt; SOUS-SEGMENT'!$FC$82</f>
        <v>28746.3</v>
      </c>
      <c r="AB6" s="427">
        <f>'ANALYSE - ERP =&gt; SOUS-SEGMENT'!$FF$82</f>
        <v>293.99624999999997</v>
      </c>
      <c r="AC6" s="427">
        <f>'ANALYSE - ERP =&gt; SOUS-SEGMENT'!$FI$82</f>
        <v>5879.9250000000002</v>
      </c>
      <c r="AD6" s="427">
        <f>'ANALYSE - ERP =&gt; SOUS-SEGMENT'!$FL$82</f>
        <v>20906.400000000001</v>
      </c>
      <c r="AF6" s="430">
        <f>'ANALYSE - ERP =&gt; SOUS-SEGMENT'!$Q$82</f>
        <v>1</v>
      </c>
    </row>
    <row r="7" spans="1:32" ht="15" customHeight="1">
      <c r="A7" s="26">
        <v>4</v>
      </c>
      <c r="B7" s="26">
        <v>4</v>
      </c>
      <c r="C7" s="26">
        <v>6</v>
      </c>
      <c r="D7" s="422">
        <f>'ANALYSE - ERP =&gt; SOUS-SEGMENT'!$A$21</f>
        <v>14</v>
      </c>
      <c r="E7" s="415" t="str">
        <f>'ANALYSE - ERP =&gt; SOUS-SEGMENT'!$B$21</f>
        <v>Sports &amp; Loisirs</v>
      </c>
      <c r="F7" s="415" t="str">
        <f>'ANALYSE - ERP =&gt; SOUS-SEGMENT'!$C$21</f>
        <v>Sport couvert / Thermalisme / Bien-être</v>
      </c>
      <c r="G7" s="415" t="str">
        <f>'ANALYSE - ERP =&gt; SOUS-SEGMENT'!$D$21</f>
        <v>Gymnases / salles multisports
(hors scolaire, mais gymnase municipaux inclus)</v>
      </c>
      <c r="I7" s="427">
        <f t="shared" si="2"/>
        <v>71456.846326250001</v>
      </c>
      <c r="K7" s="787">
        <f t="shared" si="0"/>
        <v>0.79458243884732171</v>
      </c>
      <c r="L7" s="787">
        <f t="shared" si="1"/>
        <v>0.20541756115267837</v>
      </c>
      <c r="N7" s="424">
        <f>'ANALYSE - ERP =&gt; SOUS-SEGMENT'!$EX$21</f>
        <v>357284.23163125</v>
      </c>
      <c r="O7" s="427">
        <f>'ANALYSE - ERP =&gt; SOUS-SEGMENT'!$FA$21</f>
        <v>121810.66280000001</v>
      </c>
      <c r="P7" s="427">
        <f>'ANALYSE - ERP =&gt; SOUS-SEGMENT'!$FD$21</f>
        <v>131392.04300000001</v>
      </c>
      <c r="Q7" s="427">
        <f>'ANALYSE - ERP =&gt; SOUS-SEGMENT'!$FG$21</f>
        <v>28104.510831250002</v>
      </c>
      <c r="R7" s="427">
        <f>'ANALYSE - ERP =&gt; SOUS-SEGMENT'!$FJ$21</f>
        <v>75977.015000000014</v>
      </c>
      <c r="T7" s="424">
        <f>'ANALYSE - ERP =&gt; SOUS-SEGMENT'!$EY$21</f>
        <v>283891.77613125002</v>
      </c>
      <c r="U7" s="427">
        <f>'ANALYSE - ERP =&gt; SOUS-SEGMENT'!$FB$21</f>
        <v>96002.32680000001</v>
      </c>
      <c r="V7" s="427">
        <f>'ANALYSE - ERP =&gt; SOUS-SEGMENT'!$FE$21</f>
        <v>105583.70700000001</v>
      </c>
      <c r="W7" s="427">
        <f>'ANALYSE - ERP =&gt; SOUS-SEGMENT'!$FH$21</f>
        <v>22458.937331249999</v>
      </c>
      <c r="X7" s="427">
        <f>'ANALYSE - ERP =&gt; SOUS-SEGMENT'!$FK$21</f>
        <v>59846.805000000008</v>
      </c>
      <c r="Z7" s="427">
        <f>'ANALYSE - ERP =&gt; SOUS-SEGMENT'!$EZ$21</f>
        <v>73392.455499999996</v>
      </c>
      <c r="AA7" s="427">
        <f>'ANALYSE - ERP =&gt; SOUS-SEGMENT'!$FC$21</f>
        <v>25808.335999999999</v>
      </c>
      <c r="AB7" s="427">
        <f>'ANALYSE - ERP =&gt; SOUS-SEGMENT'!$FF$21</f>
        <v>25808.335999999999</v>
      </c>
      <c r="AC7" s="427">
        <f>'ANALYSE - ERP =&gt; SOUS-SEGMENT'!$FI$21</f>
        <v>5645.5735000000004</v>
      </c>
      <c r="AD7" s="427">
        <f>'ANALYSE - ERP =&gt; SOUS-SEGMENT'!$FL$21</f>
        <v>16130.21</v>
      </c>
      <c r="AF7" s="430">
        <f>'ANALYSE - ERP =&gt; SOUS-SEGMENT'!$Q$21</f>
        <v>1</v>
      </c>
    </row>
    <row r="8" spans="1:32" ht="15" customHeight="1">
      <c r="A8" s="26">
        <v>5</v>
      </c>
      <c r="B8" s="26">
        <v>5</v>
      </c>
      <c r="C8" s="26">
        <v>10</v>
      </c>
      <c r="D8" s="422">
        <f>'ANALYSE - ERP =&gt; SOUS-SEGMENT'!$A$67</f>
        <v>60</v>
      </c>
      <c r="E8" s="414" t="str">
        <f>'ANALYSE - ERP =&gt; SOUS-SEGMENT'!$B$67</f>
        <v>Culture, Patrimoine &amp; Evénementiel</v>
      </c>
      <c r="F8" s="414" t="str">
        <f>'ANALYSE - ERP =&gt; SOUS-SEGMENT'!$C$67</f>
        <v>Culture / spectacle</v>
      </c>
      <c r="G8" s="414" t="str">
        <f>'ANALYSE - ERP =&gt; SOUS-SEGMENT'!$D$67</f>
        <v>Salles polyvalentes / Salles des fêtes</v>
      </c>
      <c r="I8" s="427">
        <f t="shared" si="2"/>
        <v>31594.02699932285</v>
      </c>
      <c r="K8" s="787">
        <f t="shared" si="0"/>
        <v>0.82250042388961064</v>
      </c>
      <c r="L8" s="787">
        <f t="shared" si="1"/>
        <v>0.1774995761103893</v>
      </c>
      <c r="N8" s="424">
        <f>'ANALYSE - ERP =&gt; SOUS-SEGMENT'!$EX$67</f>
        <v>157970.13499661424</v>
      </c>
      <c r="O8" s="427">
        <f>'ANALYSE - ERP =&gt; SOUS-SEGMENT'!$FA$67</f>
        <v>79282.178551748249</v>
      </c>
      <c r="P8" s="427">
        <f>'ANALYSE - ERP =&gt; SOUS-SEGMENT'!$FD$67</f>
        <v>2013.0442545454544</v>
      </c>
      <c r="Q8" s="427">
        <f>'ANALYSE - ERP =&gt; SOUS-SEGMENT'!$FG$67</f>
        <v>14988.9759275</v>
      </c>
      <c r="R8" s="427">
        <f>'ANALYSE - ERP =&gt; SOUS-SEGMENT'!$FJ$67</f>
        <v>61685.936262820513</v>
      </c>
      <c r="T8" s="424">
        <f>'ANALYSE - ERP =&gt; SOUS-SEGMENT'!$EY$67</f>
        <v>129930.50299661423</v>
      </c>
      <c r="U8" s="427">
        <f>'ANALYSE - ERP =&gt; SOUS-SEGMENT'!$FB$67</f>
        <v>65024.738551748254</v>
      </c>
      <c r="V8" s="427">
        <f>'ANALYSE - ERP =&gt; SOUS-SEGMENT'!$FE$67</f>
        <v>1696.2122545454545</v>
      </c>
      <c r="W8" s="427">
        <f>'ANALYSE - ERP =&gt; SOUS-SEGMENT'!$FH$67</f>
        <v>12612.7359275</v>
      </c>
      <c r="X8" s="427">
        <f>'ANALYSE - ERP =&gt; SOUS-SEGMENT'!$FK$67</f>
        <v>50596.816262820517</v>
      </c>
      <c r="Z8" s="427">
        <f>'ANALYSE - ERP =&gt; SOUS-SEGMENT'!$EZ$67</f>
        <v>28039.632000000001</v>
      </c>
      <c r="AA8" s="427">
        <f>'ANALYSE - ERP =&gt; SOUS-SEGMENT'!$FC$67</f>
        <v>14257.44</v>
      </c>
      <c r="AB8" s="427">
        <f>'ANALYSE - ERP =&gt; SOUS-SEGMENT'!$FF$67</f>
        <v>316.83199999999999</v>
      </c>
      <c r="AC8" s="427">
        <f>'ANALYSE - ERP =&gt; SOUS-SEGMENT'!$FI$67</f>
        <v>2376.2399999999998</v>
      </c>
      <c r="AD8" s="427">
        <f>'ANALYSE - ERP =&gt; SOUS-SEGMENT'!$FL$67</f>
        <v>11089.119999999999</v>
      </c>
      <c r="AF8" s="430">
        <f>'ANALYSE - ERP =&gt; SOUS-SEGMENT'!$Q$67</f>
        <v>1</v>
      </c>
    </row>
    <row r="9" spans="1:32" ht="15" customHeight="1">
      <c r="A9" s="26">
        <v>6</v>
      </c>
      <c r="B9" s="26">
        <v>6</v>
      </c>
      <c r="C9" s="26">
        <v>9</v>
      </c>
      <c r="D9" s="422">
        <f>'ANALYSE - ERP =&gt; SOUS-SEGMENT'!$A$101</f>
        <v>94</v>
      </c>
      <c r="E9" s="408" t="str">
        <f>'ANALYSE - ERP =&gt; SOUS-SEGMENT'!$B$101</f>
        <v>Culte, Vie civique &amp; Services publics</v>
      </c>
      <c r="F9" s="408" t="str">
        <f>'ANALYSE - ERP =&gt; SOUS-SEGMENT'!$C$101</f>
        <v>Administrations / services publics</v>
      </c>
      <c r="G9" s="408" t="str">
        <f>'ANALYSE - ERP =&gt; SOUS-SEGMENT'!$D$101</f>
        <v>Mairies / hôtels de ville</v>
      </c>
      <c r="I9" s="427">
        <f t="shared" si="2"/>
        <v>16273.387488644676</v>
      </c>
      <c r="K9" s="787">
        <f t="shared" si="0"/>
        <v>0.87574287840125598</v>
      </c>
      <c r="L9" s="787">
        <f t="shared" si="1"/>
        <v>0.12425712159874394</v>
      </c>
      <c r="N9" s="424">
        <f>'ANALYSE - ERP =&gt; SOUS-SEGMENT'!$EX$101</f>
        <v>81366.937443223374</v>
      </c>
      <c r="O9" s="427">
        <f>'ANALYSE - ERP =&gt; SOUS-SEGMENT'!$FA$101</f>
        <v>38986.352534185717</v>
      </c>
      <c r="P9" s="427">
        <f>'ANALYSE - ERP =&gt; SOUS-SEGMENT'!$FD$101</f>
        <v>0</v>
      </c>
      <c r="Q9" s="427">
        <f>'ANALYSE - ERP =&gt; SOUS-SEGMENT'!$FG$101</f>
        <v>4393.0607817090904</v>
      </c>
      <c r="R9" s="427">
        <f>'ANALYSE - ERP =&gt; SOUS-SEGMENT'!$FJ$101</f>
        <v>37987.524127328572</v>
      </c>
      <c r="T9" s="424">
        <f>'ANALYSE - ERP =&gt; SOUS-SEGMENT'!$EY$101</f>
        <v>71256.516003223369</v>
      </c>
      <c r="U9" s="427">
        <f>'ANALYSE - ERP =&gt; SOUS-SEGMENT'!$FB$101</f>
        <v>34171.866134185715</v>
      </c>
      <c r="V9" s="427">
        <f>'ANALYSE - ERP =&gt; SOUS-SEGMENT'!$FE$101</f>
        <v>0</v>
      </c>
      <c r="W9" s="427">
        <f>'ANALYSE - ERP =&gt; SOUS-SEGMENT'!$FH$101</f>
        <v>3911.6121417090908</v>
      </c>
      <c r="X9" s="427">
        <f>'ANALYSE - ERP =&gt; SOUS-SEGMENT'!$FK$101</f>
        <v>33173.03772732857</v>
      </c>
      <c r="Z9" s="427">
        <f>'ANALYSE - ERP =&gt; SOUS-SEGMENT'!$EZ$101</f>
        <v>10110.421439999998</v>
      </c>
      <c r="AA9" s="427">
        <f>'ANALYSE - ERP =&gt; SOUS-SEGMENT'!$FC$101</f>
        <v>4814.4863999999998</v>
      </c>
      <c r="AB9" s="427">
        <f>'ANALYSE - ERP =&gt; SOUS-SEGMENT'!$FF$101</f>
        <v>0</v>
      </c>
      <c r="AC9" s="427">
        <f>'ANALYSE - ERP =&gt; SOUS-SEGMENT'!$FI$101</f>
        <v>481.44863999999995</v>
      </c>
      <c r="AD9" s="427">
        <f>'ANALYSE - ERP =&gt; SOUS-SEGMENT'!$FL$101</f>
        <v>4814.4863999999998</v>
      </c>
      <c r="AF9" s="430">
        <f>'ANALYSE - ERP =&gt; SOUS-SEGMENT'!$Q$101</f>
        <v>1</v>
      </c>
    </row>
    <row r="10" spans="1:32" ht="15" customHeight="1">
      <c r="A10" s="26">
        <v>7</v>
      </c>
      <c r="B10" s="26">
        <v>7</v>
      </c>
      <c r="C10" s="26">
        <v>4</v>
      </c>
      <c r="D10" s="422">
        <f>'ANALYSE - ERP =&gt; SOUS-SEGMENT'!$A$77</f>
        <v>70</v>
      </c>
      <c r="E10" s="411" t="str">
        <f>'ANALYSE - ERP =&gt; SOUS-SEGMENT'!$B$77</f>
        <v>Commerce, Restauration &amp; Loisirs</v>
      </c>
      <c r="F10" s="411" t="str">
        <f>'ANALYSE - ERP =&gt; SOUS-SEGMENT'!$C$77</f>
        <v>Restauration / boissons</v>
      </c>
      <c r="G10" s="411" t="str">
        <f>'ANALYSE - ERP =&gt; SOUS-SEGMENT'!$D$77</f>
        <v>Fast-food / Cafétérias / Food courts</v>
      </c>
      <c r="I10" s="427">
        <f t="shared" si="2"/>
        <v>49857.718629435149</v>
      </c>
      <c r="K10" s="787">
        <f t="shared" si="0"/>
        <v>0.70870755734046431</v>
      </c>
      <c r="L10" s="787">
        <f t="shared" si="1"/>
        <v>0.29129244265953569</v>
      </c>
      <c r="N10" s="424">
        <f>'ANALYSE - ERP =&gt; SOUS-SEGMENT'!$EX$77</f>
        <v>249288.59314717574</v>
      </c>
      <c r="O10" s="427">
        <f>'ANALYSE - ERP =&gt; SOUS-SEGMENT'!$FA$77</f>
        <v>133116.57677715557</v>
      </c>
      <c r="P10" s="427">
        <f>'ANALYSE - ERP =&gt; SOUS-SEGMENT'!$FD$77</f>
        <v>0</v>
      </c>
      <c r="Q10" s="427">
        <f>'ANALYSE - ERP =&gt; SOUS-SEGMENT'!$FG$77</f>
        <v>20288.80199741415</v>
      </c>
      <c r="R10" s="427">
        <f>'ANALYSE - ERP =&gt; SOUS-SEGMENT'!$FJ$77</f>
        <v>95883.214372606075</v>
      </c>
      <c r="T10" s="424">
        <f>'ANALYSE - ERP =&gt; SOUS-SEGMENT'!$EY$77</f>
        <v>176672.70992217574</v>
      </c>
      <c r="U10" s="427">
        <f>'ANALYSE - ERP =&gt; SOUS-SEGMENT'!$FB$77</f>
        <v>94341.105152155549</v>
      </c>
      <c r="V10" s="427">
        <f>'ANALYSE - ERP =&gt; SOUS-SEGMENT'!$FE$77</f>
        <v>0</v>
      </c>
      <c r="W10" s="427">
        <f>'ANALYSE - ERP =&gt; SOUS-SEGMENT'!$FH$77</f>
        <v>14648.733397414144</v>
      </c>
      <c r="X10" s="427">
        <f>'ANALYSE - ERP =&gt; SOUS-SEGMENT'!$FK$77</f>
        <v>67682.871372606067</v>
      </c>
      <c r="Z10" s="427">
        <f>'ANALYSE - ERP =&gt; SOUS-SEGMENT'!$EZ$77</f>
        <v>72615.883225000012</v>
      </c>
      <c r="AA10" s="427">
        <f>'ANALYSE - ERP =&gt; SOUS-SEGMENT'!$FC$77</f>
        <v>38775.471625000006</v>
      </c>
      <c r="AB10" s="427">
        <f>'ANALYSE - ERP =&gt; SOUS-SEGMENT'!$FF$77</f>
        <v>0</v>
      </c>
      <c r="AC10" s="427">
        <f>'ANALYSE - ERP =&gt; SOUS-SEGMENT'!$FI$77</f>
        <v>5640.0686000000042</v>
      </c>
      <c r="AD10" s="427">
        <f>'ANALYSE - ERP =&gt; SOUS-SEGMENT'!$FL$77</f>
        <v>28200.343000000001</v>
      </c>
      <c r="AF10" s="430">
        <f>'ANALYSE - ERP =&gt; SOUS-SEGMENT'!$Q$77</f>
        <v>1</v>
      </c>
    </row>
    <row r="11" spans="1:32" s="45" customFormat="1" ht="15" customHeight="1">
      <c r="A11" s="26">
        <v>8</v>
      </c>
      <c r="B11" s="26">
        <v>8</v>
      </c>
      <c r="C11" s="26">
        <v>5</v>
      </c>
      <c r="D11" s="422">
        <f>'ANALYSE - ERP =&gt; SOUS-SEGMENT'!$A$12</f>
        <v>5</v>
      </c>
      <c r="E11" s="410" t="str">
        <f>'ANALYSE - ERP =&gt; SOUS-SEGMENT'!$B$12</f>
        <v>Enfance, Enseignement, Jeunesse &amp; Formation</v>
      </c>
      <c r="F11" s="410" t="str">
        <f>'ANALYSE - ERP =&gt; SOUS-SEGMENT'!$C$12</f>
        <v>Enseignement scolaire</v>
      </c>
      <c r="G11" s="410" t="str">
        <f>'ANALYSE - ERP =&gt; SOUS-SEGMENT'!$D$12</f>
        <v>Écoles primaires</v>
      </c>
      <c r="H11" s="685"/>
      <c r="I11" s="427">
        <f t="shared" si="2"/>
        <v>48675.594535349766</v>
      </c>
      <c r="J11" s="685"/>
      <c r="K11" s="787">
        <f t="shared" si="0"/>
        <v>0.742806723939894</v>
      </c>
      <c r="L11" s="787">
        <f t="shared" si="1"/>
        <v>0.257193276060106</v>
      </c>
      <c r="M11" s="685"/>
      <c r="N11" s="424">
        <f>'ANALYSE - ERP =&gt; SOUS-SEGMENT'!$EX$12</f>
        <v>243377.97267674882</v>
      </c>
      <c r="O11" s="427">
        <f>'ANALYSE - ERP =&gt; SOUS-SEGMENT'!$FA$12</f>
        <v>121031.95572160001</v>
      </c>
      <c r="P11" s="427">
        <f>'ANALYSE - ERP =&gt; SOUS-SEGMENT'!$FD$12</f>
        <v>1314.0612335487999</v>
      </c>
      <c r="Q11" s="427">
        <f>'ANALYSE - ERP =&gt; SOUS-SEGMENT'!$FG$12</f>
        <v>17290.279388800001</v>
      </c>
      <c r="R11" s="427">
        <f>'ANALYSE - ERP =&gt; SOUS-SEGMENT'!$FJ$12</f>
        <v>103741.67633280001</v>
      </c>
      <c r="S11" s="685"/>
      <c r="T11" s="424">
        <f>'ANALYSE - ERP =&gt; SOUS-SEGMENT'!$EY$12</f>
        <v>180782.79456314881</v>
      </c>
      <c r="U11" s="427">
        <f>'ANALYSE - ERP =&gt; SOUS-SEGMENT'!$FB$12</f>
        <v>89903.350521600005</v>
      </c>
      <c r="V11" s="427">
        <f>'ANALYSE - ERP =&gt; SOUS-SEGMENT'!$FE$12</f>
        <v>976.09351994880001</v>
      </c>
      <c r="W11" s="427">
        <f>'ANALYSE - ERP =&gt; SOUS-SEGMENT'!$FH$12</f>
        <v>12843.335788800001</v>
      </c>
      <c r="X11" s="427">
        <f>'ANALYSE - ERP =&gt; SOUS-SEGMENT'!$FK$12</f>
        <v>77060.014732800002</v>
      </c>
      <c r="Y11" s="685"/>
      <c r="Z11" s="427">
        <f>'ANALYSE - ERP =&gt; SOUS-SEGMENT'!$EZ$12</f>
        <v>62595.178113599999</v>
      </c>
      <c r="AA11" s="427">
        <f>'ANALYSE - ERP =&gt; SOUS-SEGMENT'!$FC$12</f>
        <v>31128.605199999998</v>
      </c>
      <c r="AB11" s="427">
        <f>'ANALYSE - ERP =&gt; SOUS-SEGMENT'!$FF$12</f>
        <v>337.96771359999997</v>
      </c>
      <c r="AC11" s="427">
        <f>'ANALYSE - ERP =&gt; SOUS-SEGMENT'!$FI$12</f>
        <v>4446.9435999999996</v>
      </c>
      <c r="AD11" s="427">
        <f>'ANALYSE - ERP =&gt; SOUS-SEGMENT'!$FL$12</f>
        <v>26681.661599999999</v>
      </c>
      <c r="AE11" s="685"/>
      <c r="AF11" s="430">
        <f>'ANALYSE - ERP =&gt; SOUS-SEGMENT'!$Q$12</f>
        <v>1</v>
      </c>
    </row>
    <row r="12" spans="1:32" ht="15" customHeight="1">
      <c r="A12" s="26">
        <v>9</v>
      </c>
      <c r="B12" s="26">
        <v>9</v>
      </c>
      <c r="C12" s="26">
        <v>20</v>
      </c>
      <c r="D12" s="422">
        <f>'ANALYSE - ERP =&gt; SOUS-SEGMENT'!$A$76</f>
        <v>69</v>
      </c>
      <c r="E12" s="408" t="str">
        <f>'ANALYSE - ERP =&gt; SOUS-SEGMENT'!$B$76</f>
        <v>Commerce, Restauration &amp; Loisirs</v>
      </c>
      <c r="F12" s="408" t="str">
        <f>'ANALYSE - ERP =&gt; SOUS-SEGMENT'!$C$76</f>
        <v>Restauration / boissons</v>
      </c>
      <c r="G12" s="408" t="str">
        <f>'ANALYSE - ERP =&gt; SOUS-SEGMENT'!$D$76</f>
        <v>Cafés / bars / brasseries</v>
      </c>
      <c r="I12" s="427">
        <f t="shared" si="2"/>
        <v>34938.304252709589</v>
      </c>
      <c r="K12" s="787">
        <f t="shared" si="0"/>
        <v>0.86641958315312195</v>
      </c>
      <c r="L12" s="787">
        <f t="shared" si="1"/>
        <v>0.13358041684687808</v>
      </c>
      <c r="N12" s="424">
        <f>'ANALYSE - ERP =&gt; SOUS-SEGMENT'!$EX$76</f>
        <v>174691.52126354794</v>
      </c>
      <c r="O12" s="427">
        <f>'ANALYSE - ERP =&gt; SOUS-SEGMENT'!$FA$76</f>
        <v>101038.8453600505</v>
      </c>
      <c r="P12" s="427">
        <f>'ANALYSE - ERP =&gt; SOUS-SEGMENT'!$FD$76</f>
        <v>0</v>
      </c>
      <c r="Q12" s="427">
        <f>'ANALYSE - ERP =&gt; SOUS-SEGMENT'!$FG$76</f>
        <v>13388.39162834596</v>
      </c>
      <c r="R12" s="427">
        <f>'ANALYSE - ERP =&gt; SOUS-SEGMENT'!$FJ$76</f>
        <v>60264.284275151513</v>
      </c>
      <c r="T12" s="424">
        <f>'ANALYSE - ERP =&gt; SOUS-SEGMENT'!$EY$76</f>
        <v>151356.15503354796</v>
      </c>
      <c r="U12" s="427">
        <f>'ANALYSE - ERP =&gt; SOUS-SEGMENT'!$FB$76</f>
        <v>87550.194360050504</v>
      </c>
      <c r="V12" s="427">
        <f>'ANALYSE - ERP =&gt; SOUS-SEGMENT'!$FE$76</f>
        <v>0</v>
      </c>
      <c r="W12" s="427">
        <f>'ANALYSE - ERP =&gt; SOUS-SEGMENT'!$FH$76</f>
        <v>11634.86699834596</v>
      </c>
      <c r="X12" s="427">
        <f>'ANALYSE - ERP =&gt; SOUS-SEGMENT'!$FK$76</f>
        <v>52171.093675151511</v>
      </c>
      <c r="Z12" s="427">
        <f>'ANALYSE - ERP =&gt; SOUS-SEGMENT'!$EZ$76</f>
        <v>23335.36623</v>
      </c>
      <c r="AA12" s="427">
        <f>'ANALYSE - ERP =&gt; SOUS-SEGMENT'!$FC$76</f>
        <v>13488.651</v>
      </c>
      <c r="AB12" s="427">
        <f>'ANALYSE - ERP =&gt; SOUS-SEGMENT'!$FF$76</f>
        <v>0</v>
      </c>
      <c r="AC12" s="427">
        <f>'ANALYSE - ERP =&gt; SOUS-SEGMENT'!$FI$76</f>
        <v>1753.5246299999999</v>
      </c>
      <c r="AD12" s="427">
        <f>'ANALYSE - ERP =&gt; SOUS-SEGMENT'!$FL$76</f>
        <v>8093.1905999999999</v>
      </c>
      <c r="AF12" s="430">
        <f>'ANALYSE - ERP =&gt; SOUS-SEGMENT'!$Q$76</f>
        <v>1</v>
      </c>
    </row>
    <row r="13" spans="1:32" ht="15" customHeight="1">
      <c r="A13" s="26">
        <v>10</v>
      </c>
      <c r="B13" s="26">
        <v>11</v>
      </c>
      <c r="C13" s="26">
        <v>11</v>
      </c>
      <c r="D13" s="422">
        <f>'ANALYSE - ERP =&gt; SOUS-SEGMENT'!$A$27</f>
        <v>20</v>
      </c>
      <c r="E13" s="415" t="str">
        <f>'ANALYSE - ERP =&gt; SOUS-SEGMENT'!$B$27</f>
        <v>Sports &amp; Loisirs</v>
      </c>
      <c r="F13" s="415" t="str">
        <f>'ANALYSE - ERP =&gt; SOUS-SEGMENT'!$C$27</f>
        <v>Sport de plein air</v>
      </c>
      <c r="G13" s="415" t="str">
        <f>'ANALYSE - ERP =&gt; SOUS-SEGMENT'!$D$27</f>
        <v>Terrains de sport
(Hors scolaire, sans tribune)</v>
      </c>
      <c r="I13" s="427">
        <f t="shared" si="2"/>
        <v>68661.201461178571</v>
      </c>
      <c r="K13" s="787">
        <f t="shared" si="0"/>
        <v>0.81149654062901921</v>
      </c>
      <c r="L13" s="787">
        <f t="shared" si="1"/>
        <v>0.18850345937098076</v>
      </c>
      <c r="N13" s="424">
        <f>'ANALYSE - ERP =&gt; SOUS-SEGMENT'!$EX$27</f>
        <v>343306.00730589288</v>
      </c>
      <c r="O13" s="427">
        <f>'ANALYSE - ERP =&gt; SOUS-SEGMENT'!$FA$27</f>
        <v>99773.020684999996</v>
      </c>
      <c r="P13" s="427">
        <f>'ANALYSE - ERP =&gt; SOUS-SEGMENT'!$FD$27</f>
        <v>116616.46339821428</v>
      </c>
      <c r="Q13" s="427">
        <f>'ANALYSE - ERP =&gt; SOUS-SEGMENT'!$FG$27</f>
        <v>30914.708372678571</v>
      </c>
      <c r="R13" s="427">
        <f>'ANALYSE - ERP =&gt; SOUS-SEGMENT'!$FJ$27</f>
        <v>96001.814849999995</v>
      </c>
      <c r="T13" s="424">
        <f>'ANALYSE - ERP =&gt; SOUS-SEGMENT'!$EY$27</f>
        <v>278591.63730589289</v>
      </c>
      <c r="U13" s="427">
        <f>'ANALYSE - ERP =&gt; SOUS-SEGMENT'!$FB$27</f>
        <v>79051.670685000005</v>
      </c>
      <c r="V13" s="427">
        <f>'ANALYSE - ERP =&gt; SOUS-SEGMENT'!$FE$27</f>
        <v>97489.06339821429</v>
      </c>
      <c r="W13" s="427">
        <f>'ANALYSE - ERP =&gt; SOUS-SEGMENT'!$FH$27</f>
        <v>25176.48837267857</v>
      </c>
      <c r="X13" s="427">
        <f>'ANALYSE - ERP =&gt; SOUS-SEGMENT'!$FK$27</f>
        <v>76874.414850000001</v>
      </c>
      <c r="Z13" s="427">
        <f>'ANALYSE - ERP =&gt; SOUS-SEGMENT'!$EZ$27</f>
        <v>64714.37</v>
      </c>
      <c r="AA13" s="427">
        <f>'ANALYSE - ERP =&gt; SOUS-SEGMENT'!$FC$27</f>
        <v>20721.349999999999</v>
      </c>
      <c r="AB13" s="427">
        <f>'ANALYSE - ERP =&gt; SOUS-SEGMENT'!$FF$27</f>
        <v>19127.400000000001</v>
      </c>
      <c r="AC13" s="427">
        <f>'ANALYSE - ERP =&gt; SOUS-SEGMENT'!$FI$27</f>
        <v>5738.2199999999993</v>
      </c>
      <c r="AD13" s="427">
        <f>'ANALYSE - ERP =&gt; SOUS-SEGMENT'!$FL$27</f>
        <v>19127.400000000001</v>
      </c>
      <c r="AF13" s="430">
        <f>'ANALYSE - ERP =&gt; SOUS-SEGMENT'!$Q$27</f>
        <v>1</v>
      </c>
    </row>
    <row r="14" spans="1:32" ht="15" customHeight="1">
      <c r="A14" s="26">
        <v>11</v>
      </c>
      <c r="B14" s="26">
        <v>13</v>
      </c>
      <c r="C14" s="26">
        <v>7</v>
      </c>
      <c r="D14" s="422">
        <f>'ANALYSE - ERP =&gt; SOUS-SEGMENT'!$A$29</f>
        <v>22</v>
      </c>
      <c r="E14" s="410" t="str">
        <f>'ANALYSE - ERP =&gt; SOUS-SEGMENT'!$B$29</f>
        <v>Sports &amp; Loisirs</v>
      </c>
      <c r="F14" s="410" t="str">
        <f>'ANALYSE - ERP =&gt; SOUS-SEGMENT'!$C$29</f>
        <v>Sport de plein air</v>
      </c>
      <c r="G14" s="410" t="str">
        <f>'ANALYSE - ERP =&gt; SOUS-SEGMENT'!$D$29</f>
        <v xml:space="preserve">Grands stades avec tribunes
(Type football/rugby) </v>
      </c>
      <c r="I14" s="427">
        <f t="shared" si="2"/>
        <v>8161.7360123919188</v>
      </c>
      <c r="K14" s="787">
        <f t="shared" si="0"/>
        <v>0.7949753094857086</v>
      </c>
      <c r="L14" s="787">
        <f t="shared" si="1"/>
        <v>0.2050246905142914</v>
      </c>
      <c r="N14" s="424">
        <f>'ANALYSE - ERP =&gt; SOUS-SEGMENT'!$EX$29</f>
        <v>40808.680061959596</v>
      </c>
      <c r="O14" s="427">
        <f>'ANALYSE - ERP =&gt; SOUS-SEGMENT'!$FA$29</f>
        <v>13231.595039515152</v>
      </c>
      <c r="P14" s="427">
        <f>'ANALYSE - ERP =&gt; SOUS-SEGMENT'!$FD$29</f>
        <v>4540.8155919999999</v>
      </c>
      <c r="Q14" s="427">
        <f>'ANALYSE - ERP =&gt; SOUS-SEGMENT'!$FG$29</f>
        <v>9782.8725137777783</v>
      </c>
      <c r="R14" s="427">
        <f>'ANALYSE - ERP =&gt; SOUS-SEGMENT'!$FJ$29</f>
        <v>13253.396916666667</v>
      </c>
      <c r="T14" s="424">
        <f>'ANALYSE - ERP =&gt; SOUS-SEGMENT'!$EY$29</f>
        <v>32441.893061959596</v>
      </c>
      <c r="U14" s="427">
        <f>'ANALYSE - ERP =&gt; SOUS-SEGMENT'!$FB$29</f>
        <v>10490.340039515151</v>
      </c>
      <c r="V14" s="427">
        <f>'ANALYSE - ERP =&gt; SOUS-SEGMENT'!$FE$29</f>
        <v>3682.6835919999999</v>
      </c>
      <c r="W14" s="427">
        <f>'ANALYSE - ERP =&gt; SOUS-SEGMENT'!$FH$29</f>
        <v>7875.9125137777783</v>
      </c>
      <c r="X14" s="427">
        <f>'ANALYSE - ERP =&gt; SOUS-SEGMENT'!$FK$29</f>
        <v>10392.956916666666</v>
      </c>
      <c r="Z14" s="427">
        <f>'ANALYSE - ERP =&gt; SOUS-SEGMENT'!$EZ$29</f>
        <v>8366.7870000000003</v>
      </c>
      <c r="AA14" s="427">
        <f>'ANALYSE - ERP =&gt; SOUS-SEGMENT'!$FC$29</f>
        <v>2741.2550000000001</v>
      </c>
      <c r="AB14" s="427">
        <f>'ANALYSE - ERP =&gt; SOUS-SEGMENT'!$FF$29</f>
        <v>858.13199999999995</v>
      </c>
      <c r="AC14" s="427">
        <f>'ANALYSE - ERP =&gt; SOUS-SEGMENT'!$FI$29</f>
        <v>1906.96</v>
      </c>
      <c r="AD14" s="427">
        <f>'ANALYSE - ERP =&gt; SOUS-SEGMENT'!$FL$29</f>
        <v>2860.44</v>
      </c>
      <c r="AF14" s="430">
        <f>'ANALYSE - ERP =&gt; SOUS-SEGMENT'!$Q$29</f>
        <v>1</v>
      </c>
    </row>
    <row r="15" spans="1:32" ht="15" customHeight="1">
      <c r="A15" s="26">
        <v>12</v>
      </c>
      <c r="B15" s="26">
        <v>10</v>
      </c>
      <c r="C15" s="26">
        <v>23</v>
      </c>
      <c r="D15" s="422">
        <f>'ANALYSE - ERP =&gt; SOUS-SEGMENT'!$A$113</f>
        <v>106</v>
      </c>
      <c r="E15" s="410" t="str">
        <f>'ANALYSE - ERP =&gt; SOUS-SEGMENT'!$B$113</f>
        <v>Culte, Vie civique &amp; Services publics</v>
      </c>
      <c r="F15" s="410" t="str">
        <f>'ANALYSE - ERP =&gt; SOUS-SEGMENT'!$C$113</f>
        <v>Culte</v>
      </c>
      <c r="G15" s="410" t="str">
        <f>'ANALYSE - ERP =&gt; SOUS-SEGMENT'!$D$113</f>
        <v>Églises, cathédrales, basiliques et chapelles ouvertes au public</v>
      </c>
      <c r="I15" s="427">
        <f t="shared" si="2"/>
        <v>1865.1125329670328</v>
      </c>
      <c r="K15" s="787">
        <f t="shared" si="0"/>
        <v>0.88940560081280318</v>
      </c>
      <c r="L15" s="787">
        <f t="shared" si="1"/>
        <v>0.11059439918719692</v>
      </c>
      <c r="N15" s="424">
        <f>'ANALYSE - ERP =&gt; SOUS-SEGMENT'!$EX$113</f>
        <v>9325.5626648351645</v>
      </c>
      <c r="O15" s="427">
        <f>'ANALYSE - ERP =&gt; SOUS-SEGMENT'!$FA$113</f>
        <v>4291.5305054945056</v>
      </c>
      <c r="P15" s="427">
        <f>'ANALYSE - ERP =&gt; SOUS-SEGMENT'!$FD$113</f>
        <v>0</v>
      </c>
      <c r="Q15" s="427">
        <f>'ANALYSE - ERP =&gt; SOUS-SEGMENT'!$FG$113</f>
        <v>786.51173076923078</v>
      </c>
      <c r="R15" s="427">
        <f>'ANALYSE - ERP =&gt; SOUS-SEGMENT'!$FJ$113</f>
        <v>4247.520428571429</v>
      </c>
      <c r="T15" s="424">
        <f>'ANALYSE - ERP =&gt; SOUS-SEGMENT'!$EY$113</f>
        <v>8294.2076648351649</v>
      </c>
      <c r="U15" s="427">
        <f>'ANALYSE - ERP =&gt; SOUS-SEGMENT'!$FB$113</f>
        <v>3815.5205054945054</v>
      </c>
      <c r="V15" s="427">
        <f>'ANALYSE - ERP =&gt; SOUS-SEGMENT'!$FE$113</f>
        <v>0</v>
      </c>
      <c r="W15" s="427">
        <f>'ANALYSE - ERP =&gt; SOUS-SEGMENT'!$FH$113</f>
        <v>707.17673076923074</v>
      </c>
      <c r="X15" s="427">
        <f>'ANALYSE - ERP =&gt; SOUS-SEGMENT'!$FK$113</f>
        <v>3771.5104285714292</v>
      </c>
      <c r="Z15" s="427">
        <f>'ANALYSE - ERP =&gt; SOUS-SEGMENT'!$EZ$113</f>
        <v>1031.355</v>
      </c>
      <c r="AA15" s="427">
        <f>'ANALYSE - ERP =&gt; SOUS-SEGMENT'!$FC$113</f>
        <v>476.01</v>
      </c>
      <c r="AB15" s="427">
        <f>'ANALYSE - ERP =&gt; SOUS-SEGMENT'!$FF$113</f>
        <v>0</v>
      </c>
      <c r="AC15" s="427">
        <f>'ANALYSE - ERP =&gt; SOUS-SEGMENT'!$FI$113</f>
        <v>79.334999999999994</v>
      </c>
      <c r="AD15" s="427">
        <f>'ANALYSE - ERP =&gt; SOUS-SEGMENT'!$FL$113</f>
        <v>476.01</v>
      </c>
      <c r="AF15" s="430">
        <f>'ANALYSE - ERP =&gt; SOUS-SEGMENT'!$Q$113</f>
        <v>1</v>
      </c>
    </row>
    <row r="16" spans="1:32" ht="15" customHeight="1">
      <c r="A16" s="26">
        <v>13</v>
      </c>
      <c r="B16" s="26">
        <v>12</v>
      </c>
      <c r="C16" s="26">
        <v>21</v>
      </c>
      <c r="D16" s="422">
        <f>'ANALYSE - ERP =&gt; SOUS-SEGMENT'!$A$94</f>
        <v>87</v>
      </c>
      <c r="E16" s="409" t="str">
        <f>'ANALYSE - ERP =&gt; SOUS-SEGMENT'!$B$94</f>
        <v>Hébergement Touristique</v>
      </c>
      <c r="F16" s="409" t="str">
        <f>'ANALYSE - ERP =&gt; SOUS-SEGMENT'!$C$94</f>
        <v>Tourisme de plein air</v>
      </c>
      <c r="G16" s="409" t="str">
        <f>'ANALYSE - ERP =&gt; SOUS-SEGMENT'!$D$94</f>
        <v>Campings</v>
      </c>
      <c r="I16" s="427">
        <f t="shared" si="2"/>
        <v>32416.525640620082</v>
      </c>
      <c r="K16" s="787">
        <f t="shared" si="0"/>
        <v>0.87073104621214903</v>
      </c>
      <c r="L16" s="787">
        <f t="shared" si="1"/>
        <v>0.12926895378785086</v>
      </c>
      <c r="N16" s="424">
        <f>'ANALYSE - ERP =&gt; SOUS-SEGMENT'!$EX$94</f>
        <v>162082.62820310041</v>
      </c>
      <c r="O16" s="427">
        <f>'ANALYSE - ERP =&gt; SOUS-SEGMENT'!$FA$94</f>
        <v>55012.781458909092</v>
      </c>
      <c r="P16" s="427">
        <f>'ANALYSE - ERP =&gt; SOUS-SEGMENT'!$FD$94</f>
        <v>49476.704926999999</v>
      </c>
      <c r="Q16" s="427">
        <f>'ANALYSE - ERP =&gt; SOUS-SEGMENT'!$FG$94</f>
        <v>10856.921145676135</v>
      </c>
      <c r="R16" s="427">
        <f>'ANALYSE - ERP =&gt; SOUS-SEGMENT'!$FJ$94</f>
        <v>46736.220671515155</v>
      </c>
      <c r="T16" s="424">
        <f>'ANALYSE - ERP =&gt; SOUS-SEGMENT'!$EY$94</f>
        <v>141130.3764281004</v>
      </c>
      <c r="U16" s="427">
        <f>'ANALYSE - ERP =&gt; SOUS-SEGMENT'!$FB$94</f>
        <v>47462.420458909095</v>
      </c>
      <c r="V16" s="427">
        <f>'ANALYSE - ERP =&gt; SOUS-SEGMENT'!$FE$94</f>
        <v>43436.416126999997</v>
      </c>
      <c r="W16" s="427">
        <f>'ANALYSE - ERP =&gt; SOUS-SEGMENT'!$FH$94</f>
        <v>9535.6079706761357</v>
      </c>
      <c r="X16" s="427">
        <f>'ANALYSE - ERP =&gt; SOUS-SEGMENT'!$FK$94</f>
        <v>40695.931871515153</v>
      </c>
      <c r="Z16" s="427">
        <f>'ANALYSE - ERP =&gt; SOUS-SEGMENT'!$EZ$94</f>
        <v>20952.251774999997</v>
      </c>
      <c r="AA16" s="427">
        <f>'ANALYSE - ERP =&gt; SOUS-SEGMENT'!$FC$94</f>
        <v>7550.3609999999999</v>
      </c>
      <c r="AB16" s="427">
        <f>'ANALYSE - ERP =&gt; SOUS-SEGMENT'!$FF$94</f>
        <v>6040.2888000000003</v>
      </c>
      <c r="AC16" s="427">
        <f>'ANALYSE - ERP =&gt; SOUS-SEGMENT'!$FI$94</f>
        <v>1321.313175</v>
      </c>
      <c r="AD16" s="427">
        <f>'ANALYSE - ERP =&gt; SOUS-SEGMENT'!$FL$94</f>
        <v>6040.2888000000003</v>
      </c>
      <c r="AF16" s="430">
        <f>'ANALYSE - ERP =&gt; SOUS-SEGMENT'!$Q$94</f>
        <v>1</v>
      </c>
    </row>
    <row r="17" spans="1:32" ht="15" customHeight="1">
      <c r="A17" s="26">
        <v>14</v>
      </c>
      <c r="B17" s="26">
        <v>14</v>
      </c>
      <c r="C17" s="26">
        <v>16</v>
      </c>
      <c r="D17" s="422">
        <f>'ANALYSE - ERP =&gt; SOUS-SEGMENT'!$A$84</f>
        <v>77</v>
      </c>
      <c r="E17" s="416" t="str">
        <f>'ANALYSE - ERP =&gt; SOUS-SEGMENT'!$B$84</f>
        <v>Tertiaire &amp; Industriel</v>
      </c>
      <c r="F17" s="416" t="str">
        <f>'ANALYSE - ERP =&gt; SOUS-SEGMENT'!$C$84</f>
        <v>Usines &amp; Ateliers</v>
      </c>
      <c r="G17" s="416" t="str">
        <f>'ANALYSE - ERP =&gt; SOUS-SEGMENT'!$D$84</f>
        <v>Usines 
(&gt;50 salariés)
(Hors Ateliers industriels)</v>
      </c>
      <c r="I17" s="427">
        <f t="shared" si="2"/>
        <v>39449.599594290092</v>
      </c>
      <c r="K17" s="787">
        <f t="shared" si="0"/>
        <v>0.7876910010206476</v>
      </c>
      <c r="L17" s="787">
        <f t="shared" si="1"/>
        <v>0.21230899897935249</v>
      </c>
      <c r="N17" s="424">
        <f>'ANALYSE - ERP =&gt; SOUS-SEGMENT'!$EX$84</f>
        <v>197247.99797145047</v>
      </c>
      <c r="O17" s="427">
        <f>'ANALYSE - ERP =&gt; SOUS-SEGMENT'!$FA$84</f>
        <v>87461.963544184982</v>
      </c>
      <c r="P17" s="427">
        <f>'ANALYSE - ERP =&gt; SOUS-SEGMENT'!$FD$84</f>
        <v>31112.906880202019</v>
      </c>
      <c r="Q17" s="427">
        <f>'ANALYSE - ERP =&gt; SOUS-SEGMENT'!$FG$84</f>
        <v>20578.91693777778</v>
      </c>
      <c r="R17" s="427">
        <f>'ANALYSE - ERP =&gt; SOUS-SEGMENT'!$FJ$84</f>
        <v>58094.210609285714</v>
      </c>
      <c r="T17" s="424">
        <f>'ANALYSE - ERP =&gt; SOUS-SEGMENT'!$EY$84</f>
        <v>155370.47297145048</v>
      </c>
      <c r="U17" s="427">
        <f>'ANALYSE - ERP =&gt; SOUS-SEGMENT'!$FB$84</f>
        <v>68598.213544184982</v>
      </c>
      <c r="V17" s="427">
        <f>'ANALYSE - ERP =&gt; SOUS-SEGMENT'!$FE$84</f>
        <v>25076.506880202018</v>
      </c>
      <c r="W17" s="427">
        <f>'ANALYSE - ERP =&gt; SOUS-SEGMENT'!$FH$84</f>
        <v>16428.891937777778</v>
      </c>
      <c r="X17" s="427">
        <f>'ANALYSE - ERP =&gt; SOUS-SEGMENT'!$FK$84</f>
        <v>45266.860609285715</v>
      </c>
      <c r="Z17" s="427">
        <f>'ANALYSE - ERP =&gt; SOUS-SEGMENT'!$EZ$84</f>
        <v>41877.525000000001</v>
      </c>
      <c r="AA17" s="427">
        <f>'ANALYSE - ERP =&gt; SOUS-SEGMENT'!$FC$84</f>
        <v>18863.75</v>
      </c>
      <c r="AB17" s="427">
        <f>'ANALYSE - ERP =&gt; SOUS-SEGMENT'!$FF$84</f>
        <v>6036.4</v>
      </c>
      <c r="AC17" s="427">
        <f>'ANALYSE - ERP =&gt; SOUS-SEGMENT'!$FI$84</f>
        <v>4150.0249999999996</v>
      </c>
      <c r="AD17" s="427">
        <f>'ANALYSE - ERP =&gt; SOUS-SEGMENT'!$FL$84</f>
        <v>12827.35</v>
      </c>
      <c r="AF17" s="430">
        <f>'ANALYSE - ERP =&gt; SOUS-SEGMENT'!$Q$84</f>
        <v>1</v>
      </c>
    </row>
    <row r="18" spans="1:32" ht="15" customHeight="1">
      <c r="A18" s="26">
        <v>15</v>
      </c>
      <c r="B18" s="26">
        <v>15</v>
      </c>
      <c r="C18" s="26">
        <v>17</v>
      </c>
      <c r="D18" s="422">
        <f>'ANALYSE - ERP =&gt; SOUS-SEGMENT'!$A$24</f>
        <v>17</v>
      </c>
      <c r="E18" s="412" t="str">
        <f>'ANALYSE - ERP =&gt; SOUS-SEGMENT'!$B$24</f>
        <v>Sports &amp; Loisirs</v>
      </c>
      <c r="F18" s="412" t="str">
        <f>'ANALYSE - ERP =&gt; SOUS-SEGMENT'!$C$24</f>
        <v>Sport couvert / Thermalisme / Bien-être</v>
      </c>
      <c r="G18" s="412" t="str">
        <f>'ANALYSE - ERP =&gt; SOUS-SEGMENT'!$D$24</f>
        <v>Piscines couvertes</v>
      </c>
      <c r="I18" s="427">
        <f t="shared" si="2"/>
        <v>21028.25680486394</v>
      </c>
      <c r="K18" s="787">
        <f t="shared" si="0"/>
        <v>0.84020967447844797</v>
      </c>
      <c r="L18" s="787">
        <f t="shared" si="1"/>
        <v>0.15979032552155198</v>
      </c>
      <c r="N18" s="424">
        <f>'ANALYSE - ERP =&gt; SOUS-SEGMENT'!$EX$24</f>
        <v>105141.2840243197</v>
      </c>
      <c r="O18" s="427">
        <f>'ANALYSE - ERP =&gt; SOUS-SEGMENT'!$FA$24</f>
        <v>23273.764154569701</v>
      </c>
      <c r="P18" s="427">
        <f>'ANALYSE - ERP =&gt; SOUS-SEGMENT'!$FD$24</f>
        <v>49517.10065866667</v>
      </c>
      <c r="Q18" s="427">
        <f>'ANALYSE - ERP =&gt; SOUS-SEGMENT'!$FG$24</f>
        <v>7684.0034670833329</v>
      </c>
      <c r="R18" s="427">
        <f>'ANALYSE - ERP =&gt; SOUS-SEGMENT'!$FJ$24</f>
        <v>24666.415743999998</v>
      </c>
      <c r="T18" s="424">
        <f>'ANALYSE - ERP =&gt; SOUS-SEGMENT'!$EY$24</f>
        <v>88340.724024319701</v>
      </c>
      <c r="U18" s="427">
        <f>'ANALYSE - ERP =&gt; SOUS-SEGMENT'!$FB$24</f>
        <v>19433.6361545697</v>
      </c>
      <c r="V18" s="427">
        <f>'ANALYSE - ERP =&gt; SOUS-SEGMENT'!$FE$24</f>
        <v>41836.844658666669</v>
      </c>
      <c r="W18" s="427">
        <f>'ANALYSE - ERP =&gt; SOUS-SEGMENT'!$FH$24</f>
        <v>6483.9634670833329</v>
      </c>
      <c r="X18" s="427">
        <f>'ANALYSE - ERP =&gt; SOUS-SEGMENT'!$FK$24</f>
        <v>20586.279743999999</v>
      </c>
      <c r="Z18" s="427">
        <f>'ANALYSE - ERP =&gt; SOUS-SEGMENT'!$EZ$24</f>
        <v>16800.559999999998</v>
      </c>
      <c r="AA18" s="427">
        <f>'ANALYSE - ERP =&gt; SOUS-SEGMENT'!$FC$24</f>
        <v>3840.1279999999997</v>
      </c>
      <c r="AB18" s="427">
        <f>'ANALYSE - ERP =&gt; SOUS-SEGMENT'!$FF$24</f>
        <v>7680.2559999999994</v>
      </c>
      <c r="AC18" s="427">
        <f>'ANALYSE - ERP =&gt; SOUS-SEGMENT'!$FI$24</f>
        <v>1200.04</v>
      </c>
      <c r="AD18" s="427">
        <f>'ANALYSE - ERP =&gt; SOUS-SEGMENT'!$FL$24</f>
        <v>4080.136</v>
      </c>
      <c r="AF18" s="430">
        <f>'ANALYSE - ERP =&gt; SOUS-SEGMENT'!$Q$24</f>
        <v>1</v>
      </c>
    </row>
    <row r="19" spans="1:32" ht="15" customHeight="1">
      <c r="A19" s="26">
        <v>16</v>
      </c>
      <c r="B19" s="26">
        <v>16</v>
      </c>
      <c r="C19" s="26">
        <v>18</v>
      </c>
      <c r="D19" s="422">
        <f>'ANALYSE - ERP =&gt; SOUS-SEGMENT'!$A$44</f>
        <v>37</v>
      </c>
      <c r="E19" s="409" t="str">
        <f>'ANALYSE - ERP =&gt; SOUS-SEGMENT'!$B$44</f>
        <v>Santé &amp; Médico-social</v>
      </c>
      <c r="F19" s="409" t="str">
        <f>'ANALYSE - ERP =&gt; SOUS-SEGMENT'!$C$44</f>
        <v>Santé hospitalière</v>
      </c>
      <c r="G19" s="409" t="str">
        <f>'ANALYSE - ERP =&gt; SOUS-SEGMENT'!$D$44</f>
        <v>Hôpitaux publics 
(Hors CHU, Universitaire, Militaire, Carcéral)</v>
      </c>
      <c r="I19" s="427">
        <f t="shared" si="2"/>
        <v>35613.574770000007</v>
      </c>
      <c r="K19" s="787">
        <f t="shared" si="0"/>
        <v>0.81678342704601226</v>
      </c>
      <c r="L19" s="787">
        <f t="shared" si="1"/>
        <v>0.18321657295398763</v>
      </c>
      <c r="N19" s="424">
        <f>'ANALYSE - ERP =&gt; SOUS-SEGMENT'!$EX$44</f>
        <v>178067.87385000003</v>
      </c>
      <c r="O19" s="427">
        <f>'ANALYSE - ERP =&gt; SOUS-SEGMENT'!$FA$44</f>
        <v>74130.093000000008</v>
      </c>
      <c r="P19" s="427">
        <f>'ANALYSE - ERP =&gt; SOUS-SEGMENT'!$FD$44</f>
        <v>36786.465000000004</v>
      </c>
      <c r="Q19" s="427">
        <f>'ANALYSE - ERP =&gt; SOUS-SEGMENT'!$FG$44</f>
        <v>1390.7556000000002</v>
      </c>
      <c r="R19" s="427">
        <f>'ANALYSE - ERP =&gt; SOUS-SEGMENT'!$FJ$44</f>
        <v>65760.56025000001</v>
      </c>
      <c r="T19" s="424">
        <f>'ANALYSE - ERP =&gt; SOUS-SEGMENT'!$EY$44</f>
        <v>145442.88825000002</v>
      </c>
      <c r="U19" s="427">
        <f>'ANALYSE - ERP =&gt; SOUS-SEGMENT'!$FB$44</f>
        <v>60936.165000000008</v>
      </c>
      <c r="V19" s="427">
        <f>'ANALYSE - ERP =&gt; SOUS-SEGMENT'!$FE$44</f>
        <v>30189.501000000004</v>
      </c>
      <c r="W19" s="427">
        <f>'ANALYSE - ERP =&gt; SOUS-SEGMENT'!$FH$44</f>
        <v>1150.8660000000002</v>
      </c>
      <c r="X19" s="427">
        <f>'ANALYSE - ERP =&gt; SOUS-SEGMENT'!$FK$44</f>
        <v>53166.356250000004</v>
      </c>
      <c r="Z19" s="427">
        <f>'ANALYSE - ERP =&gt; SOUS-SEGMENT'!$EZ$44</f>
        <v>32624.9856</v>
      </c>
      <c r="AA19" s="427">
        <f>'ANALYSE - ERP =&gt; SOUS-SEGMENT'!$FC$44</f>
        <v>13193.928</v>
      </c>
      <c r="AB19" s="427">
        <f>'ANALYSE - ERP =&gt; SOUS-SEGMENT'!$FF$44</f>
        <v>6596.9639999999999</v>
      </c>
      <c r="AC19" s="427">
        <f>'ANALYSE - ERP =&gt; SOUS-SEGMENT'!$FI$44</f>
        <v>239.88959999999997</v>
      </c>
      <c r="AD19" s="427">
        <f>'ANALYSE - ERP =&gt; SOUS-SEGMENT'!$FL$44</f>
        <v>12594.204</v>
      </c>
      <c r="AF19" s="430">
        <f>'ANALYSE - ERP =&gt; SOUS-SEGMENT'!$Q$44</f>
        <v>1</v>
      </c>
    </row>
    <row r="20" spans="1:32" ht="15" customHeight="1">
      <c r="A20" s="26">
        <v>17</v>
      </c>
      <c r="B20" s="26">
        <v>19</v>
      </c>
      <c r="C20" s="26">
        <v>8</v>
      </c>
      <c r="D20" s="422">
        <f>'ANALYSE - ERP =&gt; SOUS-SEGMENT'!$A$56</f>
        <v>49</v>
      </c>
      <c r="E20" s="411" t="str">
        <f>'ANALYSE - ERP =&gt; SOUS-SEGMENT'!$B$56</f>
        <v>Santé &amp; Médico-social</v>
      </c>
      <c r="F20" s="411" t="str">
        <f>'ANALYSE - ERP =&gt; SOUS-SEGMENT'!$C$56</f>
        <v>Médico-social</v>
      </c>
      <c r="G20" s="411" t="str">
        <f>'ANALYSE - ERP =&gt; SOUS-SEGMENT'!$D$56</f>
        <v>Foyers pour personnes handicapées</v>
      </c>
      <c r="I20" s="427">
        <f t="shared" si="2"/>
        <v>14150.821303182485</v>
      </c>
      <c r="K20" s="787">
        <f t="shared" si="0"/>
        <v>0.75069461168260321</v>
      </c>
      <c r="L20" s="787">
        <f t="shared" si="1"/>
        <v>0.24930538831739676</v>
      </c>
      <c r="N20" s="424">
        <f>'ANALYSE - ERP =&gt; SOUS-SEGMENT'!$EX$56</f>
        <v>70754.106515912426</v>
      </c>
      <c r="O20" s="427">
        <f>'ANALYSE - ERP =&gt; SOUS-SEGMENT'!$FA$56</f>
        <v>29117.396655906596</v>
      </c>
      <c r="P20" s="427">
        <f>'ANALYSE - ERP =&gt; SOUS-SEGMENT'!$FD$56</f>
        <v>15990.142059829061</v>
      </c>
      <c r="Q20" s="427">
        <f>'ANALYSE - ERP =&gt; SOUS-SEGMENT'!$FG$56</f>
        <v>2122.7322510101012</v>
      </c>
      <c r="R20" s="427">
        <f>'ANALYSE - ERP =&gt; SOUS-SEGMENT'!$FJ$56</f>
        <v>23523.835549166666</v>
      </c>
      <c r="T20" s="424">
        <f>'ANALYSE - ERP =&gt; SOUS-SEGMENT'!$EY$56</f>
        <v>53114.726515912422</v>
      </c>
      <c r="U20" s="427">
        <f>'ANALYSE - ERP =&gt; SOUS-SEGMENT'!$FB$56</f>
        <v>21966.296655906597</v>
      </c>
      <c r="V20" s="427">
        <f>'ANALYSE - ERP =&gt; SOUS-SEGMENT'!$FE$56</f>
        <v>12176.222059829061</v>
      </c>
      <c r="W20" s="427">
        <f>'ANALYSE - ERP =&gt; SOUS-SEGMENT'!$FH$56</f>
        <v>1645.9922510101012</v>
      </c>
      <c r="X20" s="427">
        <f>'ANALYSE - ERP =&gt; SOUS-SEGMENT'!$FK$56</f>
        <v>17326.215549166667</v>
      </c>
      <c r="Z20" s="427">
        <f>'ANALYSE - ERP =&gt; SOUS-SEGMENT'!$EZ$56</f>
        <v>17639.38</v>
      </c>
      <c r="AA20" s="427">
        <f>'ANALYSE - ERP =&gt; SOUS-SEGMENT'!$FC$56</f>
        <v>7151.1</v>
      </c>
      <c r="AB20" s="427">
        <f>'ANALYSE - ERP =&gt; SOUS-SEGMENT'!$FF$56</f>
        <v>3813.92</v>
      </c>
      <c r="AC20" s="427">
        <f>'ANALYSE - ERP =&gt; SOUS-SEGMENT'!$FI$56</f>
        <v>476.74</v>
      </c>
      <c r="AD20" s="427">
        <f>'ANALYSE - ERP =&gt; SOUS-SEGMENT'!$FL$56</f>
        <v>6197.62</v>
      </c>
      <c r="AF20" s="430">
        <f>'ANALYSE - ERP =&gt; SOUS-SEGMENT'!$Q$56</f>
        <v>1</v>
      </c>
    </row>
    <row r="21" spans="1:32" ht="15" customHeight="1">
      <c r="A21" s="26">
        <v>18</v>
      </c>
      <c r="B21" s="26">
        <v>17</v>
      </c>
      <c r="C21" s="26">
        <v>15</v>
      </c>
      <c r="D21" s="422">
        <f>'ANALYSE - ERP =&gt; SOUS-SEGMENT'!$A$22</f>
        <v>15</v>
      </c>
      <c r="E21" s="411" t="str">
        <f>'ANALYSE - ERP =&gt; SOUS-SEGMENT'!$B$22</f>
        <v>Sports &amp; Loisirs</v>
      </c>
      <c r="F21" s="411" t="str">
        <f>'ANALYSE - ERP =&gt; SOUS-SEGMENT'!$C$22</f>
        <v>Sport couvert / Thermalisme / Bien-être</v>
      </c>
      <c r="G21" s="411" t="str">
        <f>'ANALYSE - ERP =&gt; SOUS-SEGMENT'!$D$22</f>
        <v>Salles de fitness / dojos</v>
      </c>
      <c r="I21" s="427">
        <f t="shared" si="2"/>
        <v>27013.348297815759</v>
      </c>
      <c r="K21" s="787">
        <f t="shared" si="0"/>
        <v>0.76501491892016715</v>
      </c>
      <c r="L21" s="787">
        <f t="shared" si="1"/>
        <v>0.23498508107983282</v>
      </c>
      <c r="N21" s="424">
        <f>'ANALYSE - ERP =&gt; SOUS-SEGMENT'!$EX$22</f>
        <v>135066.74148907879</v>
      </c>
      <c r="O21" s="427">
        <f>'ANALYSE - ERP =&gt; SOUS-SEGMENT'!$FA$22</f>
        <v>49282.061119078789</v>
      </c>
      <c r="P21" s="427">
        <f>'ANALYSE - ERP =&gt; SOUS-SEGMENT'!$FD$22</f>
        <v>47459.062163333336</v>
      </c>
      <c r="Q21" s="427">
        <f>'ANALYSE - ERP =&gt; SOUS-SEGMENT'!$FG$22</f>
        <v>6539.1368733333338</v>
      </c>
      <c r="R21" s="427">
        <f>'ANALYSE - ERP =&gt; SOUS-SEGMENT'!$FJ$22</f>
        <v>31786.481333333337</v>
      </c>
      <c r="T21" s="424">
        <f>'ANALYSE - ERP =&gt; SOUS-SEGMENT'!$EY$22</f>
        <v>103328.07228907879</v>
      </c>
      <c r="U21" s="427">
        <f>'ANALYSE - ERP =&gt; SOUS-SEGMENT'!$FB$22</f>
        <v>37191.139519078788</v>
      </c>
      <c r="V21" s="427">
        <f>'ANALYSE - ERP =&gt; SOUS-SEGMENT'!$FE$22</f>
        <v>36879.505763333334</v>
      </c>
      <c r="W21" s="427">
        <f>'ANALYSE - ERP =&gt; SOUS-SEGMENT'!$FH$22</f>
        <v>5027.7716733333336</v>
      </c>
      <c r="X21" s="427">
        <f>'ANALYSE - ERP =&gt; SOUS-SEGMENT'!$FK$22</f>
        <v>24229.655333333336</v>
      </c>
      <c r="Z21" s="427">
        <f>'ANALYSE - ERP =&gt; SOUS-SEGMENT'!$EZ$22</f>
        <v>31738.6692</v>
      </c>
      <c r="AA21" s="427">
        <f>'ANALYSE - ERP =&gt; SOUS-SEGMENT'!$FC$22</f>
        <v>12090.9216</v>
      </c>
      <c r="AB21" s="427">
        <f>'ANALYSE - ERP =&gt; SOUS-SEGMENT'!$FF$22</f>
        <v>10579.556399999999</v>
      </c>
      <c r="AC21" s="427">
        <f>'ANALYSE - ERP =&gt; SOUS-SEGMENT'!$FI$22</f>
        <v>1511.3652</v>
      </c>
      <c r="AD21" s="427">
        <f>'ANALYSE - ERP =&gt; SOUS-SEGMENT'!$FL$22</f>
        <v>7556.826</v>
      </c>
      <c r="AF21" s="430">
        <f>'ANALYSE - ERP =&gt; SOUS-SEGMENT'!$Q$22</f>
        <v>1</v>
      </c>
    </row>
    <row r="22" spans="1:32" ht="15" customHeight="1">
      <c r="A22" s="26">
        <v>19</v>
      </c>
      <c r="B22" s="26">
        <v>18</v>
      </c>
      <c r="C22" s="26">
        <v>12</v>
      </c>
      <c r="D22" s="422">
        <f>'ANALYSE - ERP =&gt; SOUS-SEGMENT'!$A$13</f>
        <v>6</v>
      </c>
      <c r="E22" s="410" t="str">
        <f>'ANALYSE - ERP =&gt; SOUS-SEGMENT'!$B$13</f>
        <v>Enfance, Enseignement, Jeunesse &amp; Formation</v>
      </c>
      <c r="F22" s="410" t="str">
        <f>'ANALYSE - ERP =&gt; SOUS-SEGMENT'!$C$13</f>
        <v>Enseignement scolaire</v>
      </c>
      <c r="G22" s="410" t="str">
        <f>'ANALYSE - ERP =&gt; SOUS-SEGMENT'!$D$13</f>
        <v>Collèges
(vestiaires EPS inclus)</v>
      </c>
      <c r="I22" s="427">
        <f t="shared" si="2"/>
        <v>28622.048789697001</v>
      </c>
      <c r="K22" s="787">
        <f t="shared" si="0"/>
        <v>0.73315233849544237</v>
      </c>
      <c r="L22" s="787">
        <f t="shared" si="1"/>
        <v>0.26684766150455769</v>
      </c>
      <c r="N22" s="424">
        <f>'ANALYSE - ERP =&gt; SOUS-SEGMENT'!$EX$13</f>
        <v>143110.243948485</v>
      </c>
      <c r="O22" s="427">
        <f>'ANALYSE - ERP =&gt; SOUS-SEGMENT'!$FA$13</f>
        <v>58596.32035686</v>
      </c>
      <c r="P22" s="427">
        <f>'ANALYSE - ERP =&gt; SOUS-SEGMENT'!$FD$13</f>
        <v>16902.784718325001</v>
      </c>
      <c r="Q22" s="427">
        <f>'ANALYSE - ERP =&gt; SOUS-SEGMENT'!$FG$13</f>
        <v>22537.046291100003</v>
      </c>
      <c r="R22" s="427">
        <f>'ANALYSE - ERP =&gt; SOUS-SEGMENT'!$FJ$13</f>
        <v>45074.092582199999</v>
      </c>
      <c r="T22" s="424">
        <f>'ANALYSE - ERP =&gt; SOUS-SEGMENT'!$EY$13</f>
        <v>104921.61001348501</v>
      </c>
      <c r="U22" s="427">
        <f>'ANALYSE - ERP =&gt; SOUS-SEGMENT'!$FB$13</f>
        <v>42960.029296860004</v>
      </c>
      <c r="V22" s="427">
        <f>'ANALYSE - ERP =&gt; SOUS-SEGMENT'!$FE$13</f>
        <v>12392.316143325001</v>
      </c>
      <c r="W22" s="427">
        <f>'ANALYSE - ERP =&gt; SOUS-SEGMENT'!$FH$13</f>
        <v>16523.088191100003</v>
      </c>
      <c r="X22" s="427">
        <f>'ANALYSE - ERP =&gt; SOUS-SEGMENT'!$FK$13</f>
        <v>33046.176382199999</v>
      </c>
      <c r="Z22" s="427">
        <f>'ANALYSE - ERP =&gt; SOUS-SEGMENT'!$EZ$13</f>
        <v>38188.633934999998</v>
      </c>
      <c r="AA22" s="427">
        <f>'ANALYSE - ERP =&gt; SOUS-SEGMENT'!$FC$13</f>
        <v>15636.29106</v>
      </c>
      <c r="AB22" s="427">
        <f>'ANALYSE - ERP =&gt; SOUS-SEGMENT'!$FF$13</f>
        <v>4510.4685749999999</v>
      </c>
      <c r="AC22" s="427">
        <f>'ANALYSE - ERP =&gt; SOUS-SEGMENT'!$FI$13</f>
        <v>6013.9580999999998</v>
      </c>
      <c r="AD22" s="427">
        <f>'ANALYSE - ERP =&gt; SOUS-SEGMENT'!$FL$13</f>
        <v>12027.9162</v>
      </c>
      <c r="AF22" s="430">
        <f>'ANALYSE - ERP =&gt; SOUS-SEGMENT'!$Q$13</f>
        <v>1</v>
      </c>
    </row>
    <row r="23" spans="1:32" ht="15" customHeight="1">
      <c r="A23" s="26">
        <v>20</v>
      </c>
      <c r="B23" s="26">
        <v>20</v>
      </c>
      <c r="C23" s="26">
        <v>14</v>
      </c>
      <c r="D23" s="422">
        <f>'ANALYSE - ERP =&gt; SOUS-SEGMENT'!$A$14</f>
        <v>7</v>
      </c>
      <c r="E23" s="410" t="str">
        <f>'ANALYSE - ERP =&gt; SOUS-SEGMENT'!$B$14</f>
        <v>Enfance, Enseignement, Jeunesse &amp; Formation</v>
      </c>
      <c r="F23" s="410" t="str">
        <f>'ANALYSE - ERP =&gt; SOUS-SEGMENT'!$C$14</f>
        <v>Enseignement scolaire</v>
      </c>
      <c r="G23" s="410" t="str">
        <f>'ANALYSE - ERP =&gt; SOUS-SEGMENT'!$D$14</f>
        <v>Lycées
(vestiaires EPS inclus)</v>
      </c>
      <c r="I23" s="427">
        <f t="shared" si="2"/>
        <v>27442.010906834999</v>
      </c>
      <c r="K23" s="787">
        <f t="shared" si="0"/>
        <v>0.73117903512812144</v>
      </c>
      <c r="L23" s="787">
        <f t="shared" si="1"/>
        <v>0.26882096487187862</v>
      </c>
      <c r="N23" s="424">
        <f>'ANALYSE - ERP =&gt; SOUS-SEGMENT'!$EX$14</f>
        <v>137210.054534175</v>
      </c>
      <c r="O23" s="427">
        <f>'ANALYSE - ERP =&gt; SOUS-SEGMENT'!$FA$14</f>
        <v>56654.47413024</v>
      </c>
      <c r="P23" s="427">
        <f>'ANALYSE - ERP =&gt; SOUS-SEGMENT'!$FD$14</f>
        <v>16819.297007415</v>
      </c>
      <c r="Q23" s="427">
        <f>'ANALYSE - ERP =&gt; SOUS-SEGMENT'!$FG$14</f>
        <v>21245.427798839999</v>
      </c>
      <c r="R23" s="427">
        <f>'ANALYSE - ERP =&gt; SOUS-SEGMENT'!$FJ$14</f>
        <v>42490.855597679998</v>
      </c>
      <c r="T23" s="424">
        <f>'ANALYSE - ERP =&gt; SOUS-SEGMENT'!$EY$14</f>
        <v>100325.115284175</v>
      </c>
      <c r="U23" s="427">
        <f>'ANALYSE - ERP =&gt; SOUS-SEGMENT'!$FB$14</f>
        <v>41424.563730239999</v>
      </c>
      <c r="V23" s="427">
        <f>'ANALYSE - ERP =&gt; SOUS-SEGMENT'!$FE$14</f>
        <v>12297.917357415001</v>
      </c>
      <c r="W23" s="427">
        <f>'ANALYSE - ERP =&gt; SOUS-SEGMENT'!$FH$14</f>
        <v>15534.21139884</v>
      </c>
      <c r="X23" s="427">
        <f>'ANALYSE - ERP =&gt; SOUS-SEGMENT'!$FK$14</f>
        <v>31068.422797679999</v>
      </c>
      <c r="Z23" s="427">
        <f>'ANALYSE - ERP =&gt; SOUS-SEGMENT'!$EZ$14</f>
        <v>36884.939250000003</v>
      </c>
      <c r="AA23" s="427">
        <f>'ANALYSE - ERP =&gt; SOUS-SEGMENT'!$FC$14</f>
        <v>15229.910400000001</v>
      </c>
      <c r="AB23" s="427">
        <f>'ANALYSE - ERP =&gt; SOUS-SEGMENT'!$FF$14</f>
        <v>4521.3796499999999</v>
      </c>
      <c r="AC23" s="427">
        <f>'ANALYSE - ERP =&gt; SOUS-SEGMENT'!$FI$14</f>
        <v>5711.2164000000002</v>
      </c>
      <c r="AD23" s="427">
        <f>'ANALYSE - ERP =&gt; SOUS-SEGMENT'!$FL$14</f>
        <v>11422.4328</v>
      </c>
      <c r="AF23" s="430">
        <f>'ANALYSE - ERP =&gt; SOUS-SEGMENT'!$Q$14</f>
        <v>1</v>
      </c>
    </row>
    <row r="24" spans="1:32" ht="15" customHeight="1">
      <c r="A24" s="26">
        <v>21</v>
      </c>
      <c r="B24" s="26">
        <v>21</v>
      </c>
      <c r="C24" s="26">
        <v>22</v>
      </c>
      <c r="D24" s="422">
        <f>'ANALYSE - ERP =&gt; SOUS-SEGMENT'!$A$11</f>
        <v>4</v>
      </c>
      <c r="E24" s="411" t="str">
        <f>'ANALYSE - ERP =&gt; SOUS-SEGMENT'!$B$11</f>
        <v>Enfance, Enseignement, Jeunesse &amp; Formation</v>
      </c>
      <c r="F24" s="411" t="str">
        <f>'ANALYSE - ERP =&gt; SOUS-SEGMENT'!$C$11</f>
        <v>Enseignement scolaire</v>
      </c>
      <c r="G24" s="411" t="str">
        <f>'ANALYSE - ERP =&gt; SOUS-SEGMENT'!$D$11</f>
        <v>Écoles maternelles</v>
      </c>
      <c r="I24" s="427">
        <f t="shared" si="2"/>
        <v>18810.113912928002</v>
      </c>
      <c r="K24" s="787">
        <f t="shared" si="0"/>
        <v>0.78826695378156564</v>
      </c>
      <c r="L24" s="787">
        <f t="shared" si="1"/>
        <v>0.21173304621843433</v>
      </c>
      <c r="N24" s="424">
        <f>'ANALYSE - ERP =&gt; SOUS-SEGMENT'!$EX$11</f>
        <v>94050.569564640013</v>
      </c>
      <c r="O24" s="427">
        <f>'ANALYSE - ERP =&gt; SOUS-SEGMENT'!$FA$11</f>
        <v>41893.349472000009</v>
      </c>
      <c r="P24" s="427">
        <f>'ANALYSE - ERP =&gt; SOUS-SEGMENT'!$FD$11</f>
        <v>954.23740464000014</v>
      </c>
      <c r="Q24" s="427">
        <f>'ANALYSE - ERP =&gt; SOUS-SEGMENT'!$FG$11</f>
        <v>4654.8166080000001</v>
      </c>
      <c r="R24" s="427">
        <f>'ANALYSE - ERP =&gt; SOUS-SEGMENT'!$FJ$11</f>
        <v>46548.16608000001</v>
      </c>
      <c r="T24" s="424">
        <f>'ANALYSE - ERP =&gt; SOUS-SEGMENT'!$EY$11</f>
        <v>74136.955972140015</v>
      </c>
      <c r="U24" s="427">
        <f>'ANALYSE - ERP =&gt; SOUS-SEGMENT'!$FB$11</f>
        <v>33023.142972000009</v>
      </c>
      <c r="V24" s="427">
        <f>'ANALYSE - ERP =&gt; SOUS-SEGMENT'!$FE$11</f>
        <v>752.19381214000009</v>
      </c>
      <c r="W24" s="427">
        <f>'ANALYSE - ERP =&gt; SOUS-SEGMENT'!$FH$11</f>
        <v>3669.2381080000005</v>
      </c>
      <c r="X24" s="427">
        <f>'ANALYSE - ERP =&gt; SOUS-SEGMENT'!$FK$11</f>
        <v>36692.381080000006</v>
      </c>
      <c r="Z24" s="427">
        <f>'ANALYSE - ERP =&gt; SOUS-SEGMENT'!$EZ$11</f>
        <v>19913.613592499998</v>
      </c>
      <c r="AA24" s="427">
        <f>'ANALYSE - ERP =&gt; SOUS-SEGMENT'!$FC$11</f>
        <v>8870.2065000000002</v>
      </c>
      <c r="AB24" s="427">
        <f>'ANALYSE - ERP =&gt; SOUS-SEGMENT'!$FF$11</f>
        <v>202.04359250000002</v>
      </c>
      <c r="AC24" s="427">
        <f>'ANALYSE - ERP =&gt; SOUS-SEGMENT'!$FI$11</f>
        <v>985.57849999999996</v>
      </c>
      <c r="AD24" s="427">
        <f>'ANALYSE - ERP =&gt; SOUS-SEGMENT'!$FL$11</f>
        <v>9855.7849999999999</v>
      </c>
      <c r="AF24" s="430">
        <f>'ANALYSE - ERP =&gt; SOUS-SEGMENT'!$Q$11</f>
        <v>1</v>
      </c>
    </row>
    <row r="25" spans="1:32" ht="15" customHeight="1">
      <c r="A25" s="26">
        <v>22</v>
      </c>
      <c r="B25" s="26">
        <v>22</v>
      </c>
      <c r="C25" s="26">
        <v>25</v>
      </c>
      <c r="D25" s="422">
        <f>'ANALYSE - ERP =&gt; SOUS-SEGMENT'!$A$52</f>
        <v>45</v>
      </c>
      <c r="E25" s="408" t="str">
        <f>'ANALYSE - ERP =&gt; SOUS-SEGMENT'!$B$52</f>
        <v>Santé &amp; Médico-social</v>
      </c>
      <c r="F25" s="408" t="str">
        <f>'ANALYSE - ERP =&gt; SOUS-SEGMENT'!$C$52</f>
        <v>Médico-social</v>
      </c>
      <c r="G25" s="408" t="str">
        <f>'ANALYSE - ERP =&gt; SOUS-SEGMENT'!$D$52</f>
        <v>Établissements Médico-éducatifs</v>
      </c>
      <c r="I25" s="427">
        <f t="shared" si="2"/>
        <v>8505.8003062659081</v>
      </c>
      <c r="K25" s="787">
        <f t="shared" si="0"/>
        <v>0.77237885557062202</v>
      </c>
      <c r="L25" s="787">
        <f t="shared" si="1"/>
        <v>0.227621144429378</v>
      </c>
      <c r="N25" s="424">
        <f>'ANALYSE - ERP =&gt; SOUS-SEGMENT'!$EX$52</f>
        <v>42529.001531329544</v>
      </c>
      <c r="O25" s="427">
        <f>'ANALYSE - ERP =&gt; SOUS-SEGMENT'!$FA$52</f>
        <v>20453.929168000002</v>
      </c>
      <c r="P25" s="427">
        <f>'ANALYSE - ERP =&gt; SOUS-SEGMENT'!$FD$52</f>
        <v>5614.9968850568175</v>
      </c>
      <c r="Q25" s="427">
        <f>'ANALYSE - ERP =&gt; SOUS-SEGMENT'!$FG$52</f>
        <v>2436.7565582727275</v>
      </c>
      <c r="R25" s="427">
        <f>'ANALYSE - ERP =&gt; SOUS-SEGMENT'!$FJ$52</f>
        <v>14023.318920000002</v>
      </c>
      <c r="T25" s="424">
        <f>'ANALYSE - ERP =&gt; SOUS-SEGMENT'!$EY$52</f>
        <v>32848.501531329544</v>
      </c>
      <c r="U25" s="427">
        <f>'ANALYSE - ERP =&gt; SOUS-SEGMENT'!$FB$52</f>
        <v>15868.429168000001</v>
      </c>
      <c r="V25" s="427">
        <f>'ANALYSE - ERP =&gt; SOUS-SEGMENT'!$FE$52</f>
        <v>4341.2468850568175</v>
      </c>
      <c r="W25" s="427">
        <f>'ANALYSE - ERP =&gt; SOUS-SEGMENT'!$FH$52</f>
        <v>1927.2565582727275</v>
      </c>
      <c r="X25" s="427">
        <f>'ANALYSE - ERP =&gt; SOUS-SEGMENT'!$FK$52</f>
        <v>10711.568920000002</v>
      </c>
      <c r="Z25" s="427">
        <f>'ANALYSE - ERP =&gt; SOUS-SEGMENT'!$EZ$52</f>
        <v>9680.5</v>
      </c>
      <c r="AA25" s="427">
        <f>'ANALYSE - ERP =&gt; SOUS-SEGMENT'!$FC$52</f>
        <v>4585.5</v>
      </c>
      <c r="AB25" s="427">
        <f>'ANALYSE - ERP =&gt; SOUS-SEGMENT'!$FF$52</f>
        <v>1273.75</v>
      </c>
      <c r="AC25" s="427">
        <f>'ANALYSE - ERP =&gt; SOUS-SEGMENT'!$FI$52</f>
        <v>509.5</v>
      </c>
      <c r="AD25" s="427">
        <f>'ANALYSE - ERP =&gt; SOUS-SEGMENT'!$FL$52</f>
        <v>3311.75</v>
      </c>
      <c r="AF25" s="430">
        <f>'ANALYSE - ERP =&gt; SOUS-SEGMENT'!$Q$52</f>
        <v>1</v>
      </c>
    </row>
    <row r="26" spans="1:32" ht="15" customHeight="1">
      <c r="A26" s="26">
        <v>23</v>
      </c>
      <c r="B26" s="26">
        <v>23</v>
      </c>
      <c r="C26" s="26">
        <v>27</v>
      </c>
      <c r="D26" s="422">
        <f>'ANALYSE - ERP =&gt; SOUS-SEGMENT'!$A$125</f>
        <v>118</v>
      </c>
      <c r="E26" s="413" t="str">
        <f>'ANALYSE - ERP =&gt; SOUS-SEGMENT'!$B$125</f>
        <v>Transport, Mobilité &amp; Stationnement</v>
      </c>
      <c r="F26" s="413" t="str">
        <f>'ANALYSE - ERP =&gt; SOUS-SEGMENT'!$C$125</f>
        <v>Transport / Mobilité</v>
      </c>
      <c r="G26" s="413" t="str">
        <f>'ANALYSE - ERP =&gt; SOUS-SEGMENT'!$D$125</f>
        <v>Gares ferroviaires et stations
(dotés de sanitaires)</v>
      </c>
      <c r="I26" s="427">
        <f t="shared" si="2"/>
        <v>6019.4677381476185</v>
      </c>
      <c r="K26" s="787">
        <f t="shared" si="0"/>
        <v>0.76661245460344929</v>
      </c>
      <c r="L26" s="787">
        <f t="shared" si="1"/>
        <v>0.23338754539655074</v>
      </c>
      <c r="N26" s="424">
        <f>'ANALYSE - ERP =&gt; SOUS-SEGMENT'!$EX$125</f>
        <v>30097.338690738092</v>
      </c>
      <c r="O26" s="427">
        <f>'ANALYSE - ERP =&gt; SOUS-SEGMENT'!$FA$125</f>
        <v>13250.872028</v>
      </c>
      <c r="P26" s="427">
        <f>'ANALYSE - ERP =&gt; SOUS-SEGMENT'!$FD$125</f>
        <v>1544.0430982142857</v>
      </c>
      <c r="Q26" s="427">
        <f>'ANALYSE - ERP =&gt; SOUS-SEGMENT'!$FG$125</f>
        <v>2713.6125645238099</v>
      </c>
      <c r="R26" s="427">
        <f>'ANALYSE - ERP =&gt; SOUS-SEGMENT'!$FJ$125</f>
        <v>12588.811</v>
      </c>
      <c r="T26" s="424">
        <f>'ANALYSE - ERP =&gt; SOUS-SEGMENT'!$EY$125</f>
        <v>23072.994690738095</v>
      </c>
      <c r="U26" s="427">
        <f>'ANALYSE - ERP =&gt; SOUS-SEGMENT'!$FB$125</f>
        <v>10031.381028</v>
      </c>
      <c r="V26" s="427">
        <f>'ANALYSE - ERP =&gt; SOUS-SEGMENT'!$FE$125</f>
        <v>1251.3620982142857</v>
      </c>
      <c r="W26" s="427">
        <f>'ANALYSE - ERP =&gt; SOUS-SEGMENT'!$FH$125</f>
        <v>2128.2505645238098</v>
      </c>
      <c r="X26" s="427">
        <f>'ANALYSE - ERP =&gt; SOUS-SEGMENT'!$FK$125</f>
        <v>9662.0010000000002</v>
      </c>
      <c r="Z26" s="427">
        <f>'ANALYSE - ERP =&gt; SOUS-SEGMENT'!$EZ$125</f>
        <v>7024.3439999999991</v>
      </c>
      <c r="AA26" s="427">
        <f>'ANALYSE - ERP =&gt; SOUS-SEGMENT'!$FC$125</f>
        <v>3219.491</v>
      </c>
      <c r="AB26" s="427">
        <f>'ANALYSE - ERP =&gt; SOUS-SEGMENT'!$FF$125</f>
        <v>292.68099999999998</v>
      </c>
      <c r="AC26" s="427">
        <f>'ANALYSE - ERP =&gt; SOUS-SEGMENT'!$FI$125</f>
        <v>585.36199999999997</v>
      </c>
      <c r="AD26" s="427">
        <f>'ANALYSE - ERP =&gt; SOUS-SEGMENT'!$FL$125</f>
        <v>2926.81</v>
      </c>
      <c r="AF26" s="430">
        <f>'ANALYSE - ERP =&gt; SOUS-SEGMENT'!$Q$125</f>
        <v>1</v>
      </c>
    </row>
    <row r="27" spans="1:32" ht="15" customHeight="1">
      <c r="A27" s="26">
        <v>24</v>
      </c>
      <c r="B27" s="26">
        <v>24</v>
      </c>
      <c r="C27" s="26">
        <v>26</v>
      </c>
      <c r="D27" s="422">
        <f>'ANALYSE - ERP =&gt; SOUS-SEGMENT'!$A$79</f>
        <v>72</v>
      </c>
      <c r="E27" s="411" t="str">
        <f>'ANALYSE - ERP =&gt; SOUS-SEGMENT'!$B$79</f>
        <v>Commerce, Restauration &amp; Loisirs</v>
      </c>
      <c r="F27" s="411" t="str">
        <f>'ANALYSE - ERP =&gt; SOUS-SEGMENT'!$C$79</f>
        <v>Commerce</v>
      </c>
      <c r="G27" s="411" t="str">
        <f>'ANALYSE - ERP =&gt; SOUS-SEGMENT'!$D$79</f>
        <v>Centres commerciaux / Malls
(dotés de sanitaires collectifs clients)</v>
      </c>
      <c r="I27" s="427">
        <f t="shared" si="2"/>
        <v>13084.928165326299</v>
      </c>
      <c r="K27" s="787">
        <f t="shared" si="0"/>
        <v>0.84665777491106575</v>
      </c>
      <c r="L27" s="787">
        <f t="shared" si="1"/>
        <v>0.15334222508893422</v>
      </c>
      <c r="N27" s="424">
        <f>'ANALYSE - ERP =&gt; SOUS-SEGMENT'!$EX$79</f>
        <v>65424.64082663149</v>
      </c>
      <c r="O27" s="427">
        <f>'ANALYSE - ERP =&gt; SOUS-SEGMENT'!$FA$79</f>
        <v>29560.093572727274</v>
      </c>
      <c r="P27" s="427">
        <f>'ANALYSE - ERP =&gt; SOUS-SEGMENT'!$FD$79</f>
        <v>1756.2830657142858</v>
      </c>
      <c r="Q27" s="427">
        <f>'ANALYSE - ERP =&gt; SOUS-SEGMENT'!$FG$79</f>
        <v>7575.3981100649344</v>
      </c>
      <c r="R27" s="427">
        <f>'ANALYSE - ERP =&gt; SOUS-SEGMENT'!$FJ$79</f>
        <v>26532.866078125</v>
      </c>
      <c r="T27" s="424">
        <f>'ANALYSE - ERP =&gt; SOUS-SEGMENT'!$EY$79</f>
        <v>55392.28082663149</v>
      </c>
      <c r="U27" s="427">
        <f>'ANALYSE - ERP =&gt; SOUS-SEGMENT'!$FB$79</f>
        <v>25025.693572727272</v>
      </c>
      <c r="V27" s="427">
        <f>'ANALYSE - ERP =&gt; SOUS-SEGMENT'!$FE$79</f>
        <v>1529.5630657142858</v>
      </c>
      <c r="W27" s="427">
        <f>'ANALYSE - ERP =&gt; SOUS-SEGMENT'!$FH$79</f>
        <v>6555.1581100649346</v>
      </c>
      <c r="X27" s="427">
        <f>'ANALYSE - ERP =&gt; SOUS-SEGMENT'!$FK$79</f>
        <v>22281.866078125</v>
      </c>
      <c r="Z27" s="427">
        <f>'ANALYSE - ERP =&gt; SOUS-SEGMENT'!$EZ$79</f>
        <v>10032.36</v>
      </c>
      <c r="AA27" s="427">
        <f>'ANALYSE - ERP =&gt; SOUS-SEGMENT'!$FC$79</f>
        <v>4534.3999999999996</v>
      </c>
      <c r="AB27" s="427">
        <f>'ANALYSE - ERP =&gt; SOUS-SEGMENT'!$FF$79</f>
        <v>226.72</v>
      </c>
      <c r="AC27" s="427">
        <f>'ANALYSE - ERP =&gt; SOUS-SEGMENT'!$FI$79</f>
        <v>1020.24</v>
      </c>
      <c r="AD27" s="427">
        <f>'ANALYSE - ERP =&gt; SOUS-SEGMENT'!$FL$79</f>
        <v>4251</v>
      </c>
      <c r="AF27" s="430">
        <f>'ANALYSE - ERP =&gt; SOUS-SEGMENT'!$Q$79</f>
        <v>1</v>
      </c>
    </row>
    <row r="28" spans="1:32" ht="15" customHeight="1">
      <c r="A28" s="26">
        <v>25</v>
      </c>
      <c r="B28" s="26">
        <v>30</v>
      </c>
      <c r="C28" s="26">
        <v>13</v>
      </c>
      <c r="D28" s="422">
        <f>'ANALYSE - ERP =&gt; SOUS-SEGMENT'!$A$19</f>
        <v>12</v>
      </c>
      <c r="E28" s="409" t="str">
        <f>'ANALYSE - ERP =&gt; SOUS-SEGMENT'!$B$19</f>
        <v>Enfance, Enseignement, Jeunesse &amp; Formation</v>
      </c>
      <c r="F28" s="409" t="str">
        <f>'ANALYSE - ERP =&gt; SOUS-SEGMENT'!$C$19</f>
        <v>Formation</v>
      </c>
      <c r="G28" s="409" t="str">
        <f>'ANALYSE - ERP =&gt; SOUS-SEGMENT'!$D$19</f>
        <v>Centres de formation / CFA</v>
      </c>
      <c r="I28" s="427">
        <f t="shared" si="2"/>
        <v>16551.45560256</v>
      </c>
      <c r="K28" s="787">
        <f t="shared" si="0"/>
        <v>0.54672737309946184</v>
      </c>
      <c r="L28" s="787">
        <f t="shared" si="1"/>
        <v>0.4532726269005381</v>
      </c>
      <c r="N28" s="424">
        <f>'ANALYSE - ERP =&gt; SOUS-SEGMENT'!$EX$19</f>
        <v>82757.278012800001</v>
      </c>
      <c r="O28" s="427">
        <f>'ANALYSE - ERP =&gt; SOUS-SEGMENT'!$FA$19</f>
        <v>34845.169689599999</v>
      </c>
      <c r="P28" s="427">
        <f>'ANALYSE - ERP =&gt; SOUS-SEGMENT'!$FD$19</f>
        <v>10163.174492800001</v>
      </c>
      <c r="Q28" s="427">
        <f>'ANALYSE - ERP =&gt; SOUS-SEGMENT'!$FG$19</f>
        <v>11615.0565632</v>
      </c>
      <c r="R28" s="427">
        <f>'ANALYSE - ERP =&gt; SOUS-SEGMENT'!$FJ$19</f>
        <v>26133.877267199998</v>
      </c>
      <c r="T28" s="424">
        <f>'ANALYSE - ERP =&gt; SOUS-SEGMENT'!$EY$19</f>
        <v>45245.6692128</v>
      </c>
      <c r="U28" s="427">
        <f>'ANALYSE - ERP =&gt; SOUS-SEGMENT'!$FB$19</f>
        <v>19050.808089599999</v>
      </c>
      <c r="V28" s="427">
        <f>'ANALYSE - ERP =&gt; SOUS-SEGMENT'!$FE$19</f>
        <v>5556.4856927999999</v>
      </c>
      <c r="W28" s="427">
        <f>'ANALYSE - ERP =&gt; SOUS-SEGMENT'!$FH$19</f>
        <v>6350.269363200001</v>
      </c>
      <c r="X28" s="427">
        <f>'ANALYSE - ERP =&gt; SOUS-SEGMENT'!$FK$19</f>
        <v>14288.106067199999</v>
      </c>
      <c r="Z28" s="427">
        <f>'ANALYSE - ERP =&gt; SOUS-SEGMENT'!$EZ$19</f>
        <v>37511.608800000002</v>
      </c>
      <c r="AA28" s="427">
        <f>'ANALYSE - ERP =&gt; SOUS-SEGMENT'!$FC$19</f>
        <v>15794.3616</v>
      </c>
      <c r="AB28" s="427">
        <f>'ANALYSE - ERP =&gt; SOUS-SEGMENT'!$FF$19</f>
        <v>4606.6887999999999</v>
      </c>
      <c r="AC28" s="427">
        <f>'ANALYSE - ERP =&gt; SOUS-SEGMENT'!$FI$19</f>
        <v>5264.7871999999998</v>
      </c>
      <c r="AD28" s="427">
        <f>'ANALYSE - ERP =&gt; SOUS-SEGMENT'!$FL$19</f>
        <v>11845.771199999999</v>
      </c>
      <c r="AF28" s="430">
        <f>'ANALYSE - ERP =&gt; SOUS-SEGMENT'!$Q$19</f>
        <v>1</v>
      </c>
    </row>
    <row r="29" spans="1:32" ht="15" customHeight="1">
      <c r="A29" s="26">
        <v>26</v>
      </c>
      <c r="B29" s="26">
        <v>25</v>
      </c>
      <c r="C29" s="26">
        <v>28</v>
      </c>
      <c r="D29" s="422">
        <f>'ANALYSE - ERP =&gt; SOUS-SEGMENT'!$A$46</f>
        <v>39</v>
      </c>
      <c r="E29" s="414" t="str">
        <f>'ANALYSE - ERP =&gt; SOUS-SEGMENT'!$B$46</f>
        <v>Santé &amp; Médico-social</v>
      </c>
      <c r="F29" s="414" t="str">
        <f>'ANALYSE - ERP =&gt; SOUS-SEGMENT'!$C$46</f>
        <v>Santé hospitalière</v>
      </c>
      <c r="G29" s="414" t="str">
        <f>'ANALYSE - ERP =&gt; SOUS-SEGMENT'!$D$46</f>
        <v>Cliniques</v>
      </c>
      <c r="I29" s="427">
        <f t="shared" si="2"/>
        <v>15700.280631730759</v>
      </c>
      <c r="K29" s="787">
        <f t="shared" si="0"/>
        <v>0.83041575418601343</v>
      </c>
      <c r="L29" s="787">
        <f t="shared" si="1"/>
        <v>0.16958424581398648</v>
      </c>
      <c r="N29" s="424">
        <f>'ANALYSE - ERP =&gt; SOUS-SEGMENT'!$EX$46</f>
        <v>78501.403158653789</v>
      </c>
      <c r="O29" s="427">
        <f>'ANALYSE - ERP =&gt; SOUS-SEGMENT'!$FA$46</f>
        <v>31270.71995090909</v>
      </c>
      <c r="P29" s="427">
        <f>'ANALYSE - ERP =&gt; SOUS-SEGMENT'!$FD$46</f>
        <v>18492.713800036363</v>
      </c>
      <c r="Q29" s="427">
        <f>'ANALYSE - ERP =&gt; SOUS-SEGMENT'!$FG$46</f>
        <v>540.50940470833336</v>
      </c>
      <c r="R29" s="427">
        <f>'ANALYSE - ERP =&gt; SOUS-SEGMENT'!$FJ$46</f>
        <v>28197.460003</v>
      </c>
      <c r="T29" s="424">
        <f>'ANALYSE - ERP =&gt; SOUS-SEGMENT'!$EY$46</f>
        <v>65188.801908653782</v>
      </c>
      <c r="U29" s="427">
        <f>'ANALYSE - ERP =&gt; SOUS-SEGMENT'!$FB$46</f>
        <v>26117.45495090909</v>
      </c>
      <c r="V29" s="427">
        <f>'ANALYSE - ERP =&gt; SOUS-SEGMENT'!$FE$46</f>
        <v>15400.754800036364</v>
      </c>
      <c r="W29" s="427">
        <f>'ANALYSE - ERP =&gt; SOUS-SEGMENT'!$FH$46</f>
        <v>454.62165470833332</v>
      </c>
      <c r="X29" s="427">
        <f>'ANALYSE - ERP =&gt; SOUS-SEGMENT'!$FK$46</f>
        <v>23215.970503</v>
      </c>
      <c r="Z29" s="427">
        <f>'ANALYSE - ERP =&gt; SOUS-SEGMENT'!$EZ$46</f>
        <v>13312.60125</v>
      </c>
      <c r="AA29" s="427">
        <f>'ANALYSE - ERP =&gt; SOUS-SEGMENT'!$FC$46</f>
        <v>5153.2650000000003</v>
      </c>
      <c r="AB29" s="427">
        <f>'ANALYSE - ERP =&gt; SOUS-SEGMENT'!$FF$46</f>
        <v>3091.9589999999998</v>
      </c>
      <c r="AC29" s="427">
        <f>'ANALYSE - ERP =&gt; SOUS-SEGMENT'!$FI$46</f>
        <v>85.887749999999997</v>
      </c>
      <c r="AD29" s="427">
        <f>'ANALYSE - ERP =&gt; SOUS-SEGMENT'!$FL$46</f>
        <v>4981.4894999999997</v>
      </c>
      <c r="AF29" s="430">
        <f>'ANALYSE - ERP =&gt; SOUS-SEGMENT'!$Q$46</f>
        <v>1</v>
      </c>
    </row>
    <row r="30" spans="1:32" ht="15" customHeight="1">
      <c r="A30" s="26">
        <v>27</v>
      </c>
      <c r="B30" s="26">
        <v>26</v>
      </c>
      <c r="C30" s="26">
        <v>31</v>
      </c>
      <c r="D30" s="422">
        <f>'ANALYSE - ERP =&gt; SOUS-SEGMENT'!$A$87</f>
        <v>80</v>
      </c>
      <c r="E30" s="411" t="str">
        <f>'ANALYSE - ERP =&gt; SOUS-SEGMENT'!$B$87</f>
        <v>Hébergement Touristique</v>
      </c>
      <c r="F30" s="411" t="str">
        <f>'ANALYSE - ERP =&gt; SOUS-SEGMENT'!$C$87</f>
        <v>Hébergement Touristique</v>
      </c>
      <c r="G30" s="411" t="str">
        <f>'ANALYSE - ERP =&gt; SOUS-SEGMENT'!$D$87</f>
        <v>Hôtels 
(hors autres hébérgements touristiques)</v>
      </c>
      <c r="I30" s="427">
        <f t="shared" si="2"/>
        <v>11755.307260579617</v>
      </c>
      <c r="K30" s="787">
        <f t="shared" si="0"/>
        <v>0.86887190051006835</v>
      </c>
      <c r="L30" s="787">
        <f t="shared" si="1"/>
        <v>0.13112809948993165</v>
      </c>
      <c r="N30" s="424">
        <f>'ANALYSE - ERP =&gt; SOUS-SEGMENT'!$EX$87</f>
        <v>58776.536302898086</v>
      </c>
      <c r="O30" s="427">
        <f>'ANALYSE - ERP =&gt; SOUS-SEGMENT'!$FA$87</f>
        <v>28502.958314079257</v>
      </c>
      <c r="P30" s="427">
        <f>'ANALYSE - ERP =&gt; SOUS-SEGMENT'!$FD$87</f>
        <v>1585.8009087090909</v>
      </c>
      <c r="Q30" s="427">
        <f>'ANALYSE - ERP =&gt; SOUS-SEGMENT'!$FG$87</f>
        <v>4729.8471715199994</v>
      </c>
      <c r="R30" s="427">
        <f>'ANALYSE - ERP =&gt; SOUS-SEGMENT'!$FJ$87</f>
        <v>23957.929908589744</v>
      </c>
      <c r="T30" s="424">
        <f>'ANALYSE - ERP =&gt; SOUS-SEGMENT'!$EY$87</f>
        <v>51069.280802898087</v>
      </c>
      <c r="U30" s="427">
        <f>'ANALYSE - ERP =&gt; SOUS-SEGMENT'!$FB$87</f>
        <v>24788.618314079256</v>
      </c>
      <c r="V30" s="427">
        <f>'ANALYSE - ERP =&gt; SOUS-SEGMENT'!$FE$87</f>
        <v>1400.083908709091</v>
      </c>
      <c r="W30" s="427">
        <f>'ANALYSE - ERP =&gt; SOUS-SEGMENT'!$FH$87</f>
        <v>4172.6961715199996</v>
      </c>
      <c r="X30" s="427">
        <f>'ANALYSE - ERP =&gt; SOUS-SEGMENT'!$FK$87</f>
        <v>20707.882408589743</v>
      </c>
      <c r="Z30" s="427">
        <f>'ANALYSE - ERP =&gt; SOUS-SEGMENT'!$EZ$87</f>
        <v>7707.2554999999993</v>
      </c>
      <c r="AA30" s="427">
        <f>'ANALYSE - ERP =&gt; SOUS-SEGMENT'!$FC$87</f>
        <v>3714.3399999999997</v>
      </c>
      <c r="AB30" s="427">
        <f>'ANALYSE - ERP =&gt; SOUS-SEGMENT'!$FF$87</f>
        <v>185.71699999999998</v>
      </c>
      <c r="AC30" s="427">
        <f>'ANALYSE - ERP =&gt; SOUS-SEGMENT'!$FI$87</f>
        <v>557.15099999999995</v>
      </c>
      <c r="AD30" s="427">
        <f>'ANALYSE - ERP =&gt; SOUS-SEGMENT'!$FL$87</f>
        <v>3250.0474999999997</v>
      </c>
      <c r="AF30" s="430">
        <f>'ANALYSE - ERP =&gt; SOUS-SEGMENT'!$Q$87</f>
        <v>1</v>
      </c>
    </row>
    <row r="31" spans="1:32" ht="15" customHeight="1">
      <c r="A31" s="26">
        <v>28</v>
      </c>
      <c r="B31" s="26">
        <v>29</v>
      </c>
      <c r="C31" s="26">
        <v>19</v>
      </c>
      <c r="D31" s="422">
        <f>'ANALYSE - ERP =&gt; SOUS-SEGMENT'!$A$8</f>
        <v>1</v>
      </c>
      <c r="E31" s="409" t="str">
        <f>'ANALYSE - ERP =&gt; SOUS-SEGMENT'!$B$8</f>
        <v>Enfance, Enseignement, Jeunesse &amp; Formation</v>
      </c>
      <c r="F31" s="409" t="str">
        <f>'ANALYSE - ERP =&gt; SOUS-SEGMENT'!$C$8</f>
        <v>Petite enfance</v>
      </c>
      <c r="G31" s="409" t="str">
        <f>'ANALYSE - ERP =&gt; SOUS-SEGMENT'!$D$8</f>
        <v>Crèches</v>
      </c>
      <c r="I31" s="427">
        <f t="shared" si="2"/>
        <v>10995.889247646799</v>
      </c>
      <c r="K31" s="787">
        <f t="shared" si="0"/>
        <v>0.80146255250641063</v>
      </c>
      <c r="L31" s="787">
        <f t="shared" si="1"/>
        <v>0.19853744749358931</v>
      </c>
      <c r="N31" s="424">
        <f>'ANALYSE - ERP =&gt; SOUS-SEGMENT'!$EX$8</f>
        <v>54979.446238233999</v>
      </c>
      <c r="O31" s="427">
        <f>'ANALYSE - ERP =&gt; SOUS-SEGMENT'!$FA$8</f>
        <v>26939.704159200002</v>
      </c>
      <c r="P31" s="427">
        <f>'ANALYSE - ERP =&gt; SOUS-SEGMENT'!$FD$8</f>
        <v>1100.0379198340006</v>
      </c>
      <c r="Q31" s="427">
        <f>'ANALYSE - ERP =&gt; SOUS-SEGMENT'!$FG$8</f>
        <v>0</v>
      </c>
      <c r="R31" s="427">
        <f>'ANALYSE - ERP =&gt; SOUS-SEGMENT'!$FJ$8</f>
        <v>26939.704159200002</v>
      </c>
      <c r="T31" s="424">
        <f>'ANALYSE - ERP =&gt; SOUS-SEGMENT'!$EY$8</f>
        <v>44063.967317483999</v>
      </c>
      <c r="U31" s="427">
        <f>'ANALYSE - ERP =&gt; SOUS-SEGMENT'!$FB$8</f>
        <v>21591.164059200004</v>
      </c>
      <c r="V31" s="427">
        <f>'ANALYSE - ERP =&gt; SOUS-SEGMENT'!$FE$8</f>
        <v>881.63919908399998</v>
      </c>
      <c r="W31" s="427">
        <f>'ANALYSE - ERP =&gt; SOUS-SEGMENT'!$FH$8</f>
        <v>0</v>
      </c>
      <c r="X31" s="427">
        <f>'ANALYSE - ERP =&gt; SOUS-SEGMENT'!$FK$8</f>
        <v>21591.1640592</v>
      </c>
      <c r="Z31" s="427">
        <f>'ANALYSE - ERP =&gt; SOUS-SEGMENT'!$EZ$8</f>
        <v>10915.47892075</v>
      </c>
      <c r="AA31" s="427">
        <f>'ANALYSE - ERP =&gt; SOUS-SEGMENT'!$FC$8</f>
        <v>5348.5401000000002</v>
      </c>
      <c r="AB31" s="427">
        <f>'ANALYSE - ERP =&gt; SOUS-SEGMENT'!$FF$8</f>
        <v>218.39872075000071</v>
      </c>
      <c r="AC31" s="427">
        <f>'ANALYSE - ERP =&gt; SOUS-SEGMENT'!$FI$8</f>
        <v>0</v>
      </c>
      <c r="AD31" s="427">
        <f>'ANALYSE - ERP =&gt; SOUS-SEGMENT'!$FL$8</f>
        <v>5348.5401000000002</v>
      </c>
      <c r="AF31" s="430">
        <f>'ANALYSE - ERP =&gt; SOUS-SEGMENT'!$Q$8</f>
        <v>1</v>
      </c>
    </row>
    <row r="32" spans="1:32" ht="15" customHeight="1">
      <c r="A32" s="26">
        <v>29</v>
      </c>
      <c r="B32" s="26">
        <v>27</v>
      </c>
      <c r="C32" s="26">
        <v>32</v>
      </c>
      <c r="D32" s="422">
        <f>'ANALYSE - ERP =&gt; SOUS-SEGMENT'!$A$68</f>
        <v>61</v>
      </c>
      <c r="E32" s="412" t="str">
        <f>'ANALYSE - ERP =&gt; SOUS-SEGMENT'!$B$68</f>
        <v>Culture, Patrimoine &amp; Evénementiel</v>
      </c>
      <c r="F32" s="412" t="str">
        <f>'ANALYSE - ERP =&gt; SOUS-SEGMENT'!$C$68</f>
        <v>Culture / spectacle</v>
      </c>
      <c r="G32" s="412" t="str">
        <f>'ANALYSE - ERP =&gt; SOUS-SEGMENT'!$D$68</f>
        <v>Bibliothèques / Médiathèques</v>
      </c>
      <c r="I32" s="427">
        <f t="shared" si="2"/>
        <v>11852.749542937063</v>
      </c>
      <c r="K32" s="787">
        <f t="shared" si="0"/>
        <v>0.84577350652876215</v>
      </c>
      <c r="L32" s="787">
        <f t="shared" si="1"/>
        <v>0.15422649347123782</v>
      </c>
      <c r="N32" s="424">
        <f>'ANALYSE - ERP =&gt; SOUS-SEGMENT'!$EX$68</f>
        <v>59263.747714685313</v>
      </c>
      <c r="O32" s="427">
        <f>'ANALYSE - ERP =&gt; SOUS-SEGMENT'!$FA$68</f>
        <v>25736.588702564099</v>
      </c>
      <c r="P32" s="427">
        <f>'ANALYSE - ERP =&gt; SOUS-SEGMENT'!$FD$68</f>
        <v>0</v>
      </c>
      <c r="Q32" s="427">
        <f>'ANALYSE - ERP =&gt; SOUS-SEGMENT'!$FG$68</f>
        <v>6840.5442941724941</v>
      </c>
      <c r="R32" s="427">
        <f>'ANALYSE - ERP =&gt; SOUS-SEGMENT'!$FJ$68</f>
        <v>26686.614717948716</v>
      </c>
      <c r="T32" s="424">
        <f>'ANALYSE - ERP =&gt; SOUS-SEGMENT'!$EY$68</f>
        <v>50123.707714685312</v>
      </c>
      <c r="U32" s="427">
        <f>'ANALYSE - ERP =&gt; SOUS-SEGMENT'!$FB$68</f>
        <v>21674.348702564101</v>
      </c>
      <c r="V32" s="427">
        <f>'ANALYSE - ERP =&gt; SOUS-SEGMENT'!$FE$68</f>
        <v>0</v>
      </c>
      <c r="W32" s="427">
        <f>'ANALYSE - ERP =&gt; SOUS-SEGMENT'!$FH$68</f>
        <v>5824.9842941724946</v>
      </c>
      <c r="X32" s="427">
        <f>'ANALYSE - ERP =&gt; SOUS-SEGMENT'!$FK$68</f>
        <v>22624.374717948718</v>
      </c>
      <c r="Z32" s="427">
        <f>'ANALYSE - ERP =&gt; SOUS-SEGMENT'!$EZ$68</f>
        <v>9140.0399999999991</v>
      </c>
      <c r="AA32" s="427">
        <f>'ANALYSE - ERP =&gt; SOUS-SEGMENT'!$FC$68</f>
        <v>4062.24</v>
      </c>
      <c r="AB32" s="427">
        <f>'ANALYSE - ERP =&gt; SOUS-SEGMENT'!$FF$68</f>
        <v>0</v>
      </c>
      <c r="AC32" s="427">
        <f>'ANALYSE - ERP =&gt; SOUS-SEGMENT'!$FI$68</f>
        <v>1015.56</v>
      </c>
      <c r="AD32" s="427">
        <f>'ANALYSE - ERP =&gt; SOUS-SEGMENT'!$FL$68</f>
        <v>4062.24</v>
      </c>
      <c r="AF32" s="430">
        <f>'ANALYSE - ERP =&gt; SOUS-SEGMENT'!$Q$68</f>
        <v>1</v>
      </c>
    </row>
    <row r="33" spans="1:32" ht="15" customHeight="1">
      <c r="A33" s="26">
        <v>30</v>
      </c>
      <c r="B33" s="26">
        <v>28</v>
      </c>
      <c r="C33" s="26">
        <v>33</v>
      </c>
      <c r="D33" s="422">
        <f>'ANALYSE - ERP =&gt; SOUS-SEGMENT'!$A$45</f>
        <v>38</v>
      </c>
      <c r="E33" s="411" t="str">
        <f>'ANALYSE - ERP =&gt; SOUS-SEGMENT'!$B$45</f>
        <v>Santé &amp; Médico-social</v>
      </c>
      <c r="F33" s="411" t="str">
        <f>'ANALYSE - ERP =&gt; SOUS-SEGMENT'!$C$45</f>
        <v>Santé hospitalière</v>
      </c>
      <c r="G33" s="411" t="str">
        <f>'ANALYSE - ERP =&gt; SOUS-SEGMENT'!$D$45</f>
        <v>Hôpitaux privés</v>
      </c>
      <c r="I33" s="427">
        <f t="shared" si="2"/>
        <v>12535.821608031212</v>
      </c>
      <c r="K33" s="787">
        <f t="shared" si="0"/>
        <v>0.8313831659309987</v>
      </c>
      <c r="L33" s="787">
        <f t="shared" si="1"/>
        <v>0.1686168340690013</v>
      </c>
      <c r="N33" s="424">
        <f>'ANALYSE - ERP =&gt; SOUS-SEGMENT'!$EX$45</f>
        <v>62679.108040156061</v>
      </c>
      <c r="O33" s="427">
        <f>'ANALYSE - ERP =&gt; SOUS-SEGMENT'!$FA$45</f>
        <v>25770.164585681818</v>
      </c>
      <c r="P33" s="427">
        <f>'ANALYSE - ERP =&gt; SOUS-SEGMENT'!$FD$45</f>
        <v>13588.346907490908</v>
      </c>
      <c r="Q33" s="427">
        <f>'ANALYSE - ERP =&gt; SOUS-SEGMENT'!$FG$45</f>
        <v>356.96490298333333</v>
      </c>
      <c r="R33" s="427">
        <f>'ANALYSE - ERP =&gt; SOUS-SEGMENT'!$FJ$45</f>
        <v>22963.631643999997</v>
      </c>
      <c r="T33" s="424">
        <f>'ANALYSE - ERP =&gt; SOUS-SEGMENT'!$EY$45</f>
        <v>52110.355280156058</v>
      </c>
      <c r="U33" s="427">
        <f>'ANALYSE - ERP =&gt; SOUS-SEGMENT'!$FB$45</f>
        <v>21553.906835681817</v>
      </c>
      <c r="V33" s="427">
        <f>'ANALYSE - ERP =&gt; SOUS-SEGMENT'!$FE$45</f>
        <v>11339.676107490908</v>
      </c>
      <c r="W33" s="427">
        <f>'ANALYSE - ERP =&gt; SOUS-SEGMENT'!$FH$45</f>
        <v>300.74813298333333</v>
      </c>
      <c r="X33" s="427">
        <f>'ANALYSE - ERP =&gt; SOUS-SEGMENT'!$FK$45</f>
        <v>18916.024203999998</v>
      </c>
      <c r="Z33" s="427">
        <f>'ANALYSE - ERP =&gt; SOUS-SEGMENT'!$EZ$45</f>
        <v>10568.752759999999</v>
      </c>
      <c r="AA33" s="427">
        <f>'ANALYSE - ERP =&gt; SOUS-SEGMENT'!$FC$45</f>
        <v>4216.2577499999998</v>
      </c>
      <c r="AB33" s="427">
        <f>'ANALYSE - ERP =&gt; SOUS-SEGMENT'!$FF$45</f>
        <v>2248.6707999999999</v>
      </c>
      <c r="AC33" s="427">
        <f>'ANALYSE - ERP =&gt; SOUS-SEGMENT'!$FI$45</f>
        <v>56.216769999999997</v>
      </c>
      <c r="AD33" s="427">
        <f>'ANALYSE - ERP =&gt; SOUS-SEGMENT'!$FL$45</f>
        <v>4047.6074399999998</v>
      </c>
      <c r="AF33" s="430">
        <f>'ANALYSE - ERP =&gt; SOUS-SEGMENT'!$Q$45</f>
        <v>1</v>
      </c>
    </row>
    <row r="34" spans="1:32" ht="15" customHeight="1">
      <c r="A34" s="26">
        <v>31</v>
      </c>
      <c r="B34" s="26">
        <v>31</v>
      </c>
      <c r="C34" s="26">
        <v>30</v>
      </c>
      <c r="D34" s="422">
        <f>'ANALYSE - ERP =&gt; SOUS-SEGMENT'!$A$35</f>
        <v>28</v>
      </c>
      <c r="E34" s="409" t="str">
        <f>'ANALYSE - ERP =&gt; SOUS-SEGMENT'!$B$35</f>
        <v>Sports &amp; Loisirs</v>
      </c>
      <c r="F34" s="409" t="str">
        <f>'ANALYSE - ERP =&gt; SOUS-SEGMENT'!$C$35</f>
        <v>Loisirs de plein air</v>
      </c>
      <c r="G34" s="409" t="str">
        <f>'ANALYSE - ERP =&gt; SOUS-SEGMENT'!$D$35</f>
        <v>Centres de loisirs sans hébergement</v>
      </c>
      <c r="I34" s="427">
        <f t="shared" si="2"/>
        <v>10694.1152136</v>
      </c>
      <c r="K34" s="787">
        <f t="shared" si="0"/>
        <v>0.76311532563457252</v>
      </c>
      <c r="L34" s="787">
        <f t="shared" si="1"/>
        <v>0.23688467436542748</v>
      </c>
      <c r="N34" s="424">
        <f>'ANALYSE - ERP =&gt; SOUS-SEGMENT'!$EX$35</f>
        <v>53470.576068000002</v>
      </c>
      <c r="O34" s="427">
        <f>'ANALYSE - ERP =&gt; SOUS-SEGMENT'!$FA$35</f>
        <v>25162.624032</v>
      </c>
      <c r="P34" s="427">
        <f>'ANALYSE - ERP =&gt; SOUS-SEGMENT'!$FD$35</f>
        <v>1572.664002</v>
      </c>
      <c r="Q34" s="427">
        <f>'ANALYSE - ERP =&gt; SOUS-SEGMENT'!$FG$35</f>
        <v>4717.9920059999995</v>
      </c>
      <c r="R34" s="427">
        <f>'ANALYSE - ERP =&gt; SOUS-SEGMENT'!$FJ$35</f>
        <v>22017.296028000001</v>
      </c>
      <c r="T34" s="424">
        <f>'ANALYSE - ERP =&gt; SOUS-SEGMENT'!$EY$35</f>
        <v>40804.216068000002</v>
      </c>
      <c r="U34" s="427">
        <f>'ANALYSE - ERP =&gt; SOUS-SEGMENT'!$FB$35</f>
        <v>19201.984032</v>
      </c>
      <c r="V34" s="427">
        <f>'ANALYSE - ERP =&gt; SOUS-SEGMENT'!$FE$35</f>
        <v>1200.124002</v>
      </c>
      <c r="W34" s="427">
        <f>'ANALYSE - ERP =&gt; SOUS-SEGMENT'!$FH$35</f>
        <v>3600.3720059999996</v>
      </c>
      <c r="X34" s="427">
        <f>'ANALYSE - ERP =&gt; SOUS-SEGMENT'!$FK$35</f>
        <v>16801.736027999999</v>
      </c>
      <c r="Z34" s="427">
        <f>'ANALYSE - ERP =&gt; SOUS-SEGMENT'!$EZ$35</f>
        <v>12666.36</v>
      </c>
      <c r="AA34" s="427">
        <f>'ANALYSE - ERP =&gt; SOUS-SEGMENT'!$FC$35</f>
        <v>5960.64</v>
      </c>
      <c r="AB34" s="427">
        <f>'ANALYSE - ERP =&gt; SOUS-SEGMENT'!$FF$35</f>
        <v>372.54</v>
      </c>
      <c r="AC34" s="427">
        <f>'ANALYSE - ERP =&gt; SOUS-SEGMENT'!$FI$35</f>
        <v>1117.6199999999999</v>
      </c>
      <c r="AD34" s="427">
        <f>'ANALYSE - ERP =&gt; SOUS-SEGMENT'!$FL$35</f>
        <v>5215.5600000000004</v>
      </c>
      <c r="AF34" s="430">
        <f>'ANALYSE - ERP =&gt; SOUS-SEGMENT'!$Q$35</f>
        <v>1</v>
      </c>
    </row>
    <row r="35" spans="1:32" ht="15" customHeight="1">
      <c r="A35" s="26">
        <v>32</v>
      </c>
      <c r="B35" s="26">
        <v>32</v>
      </c>
      <c r="C35" s="26">
        <v>29</v>
      </c>
      <c r="D35" s="422">
        <f>'ANALYSE - ERP =&gt; SOUS-SEGMENT'!$A$66</f>
        <v>59</v>
      </c>
      <c r="E35" s="414" t="str">
        <f>'ANALYSE - ERP =&gt; SOUS-SEGMENT'!$B$66</f>
        <v>Culture, Patrimoine &amp; Evénementiel</v>
      </c>
      <c r="F35" s="414" t="str">
        <f>'ANALYSE - ERP =&gt; SOUS-SEGMENT'!$C$66</f>
        <v>Culture / spectacle</v>
      </c>
      <c r="G35" s="414" t="str">
        <f>'ANALYSE - ERP =&gt; SOUS-SEGMENT'!$D$66</f>
        <v>Salles de conférence / Réunion</v>
      </c>
      <c r="I35" s="427">
        <f t="shared" si="2"/>
        <v>6499.365328431114</v>
      </c>
      <c r="K35" s="787">
        <f t="shared" ref="K35:K66" si="3">IFERROR(T35/N35,"")</f>
        <v>0.72132578975411921</v>
      </c>
      <c r="L35" s="787">
        <f t="shared" ref="L35:L66" si="4">IFERROR(Z35/N35,"")</f>
        <v>0.27867421024588074</v>
      </c>
      <c r="N35" s="424">
        <f>'ANALYSE - ERP =&gt; SOUS-SEGMENT'!$EX$66</f>
        <v>32496.826642155571</v>
      </c>
      <c r="O35" s="427">
        <f>'ANALYSE - ERP =&gt; SOUS-SEGMENT'!$FA$66</f>
        <v>17357.16502889846</v>
      </c>
      <c r="P35" s="427">
        <f>'ANALYSE - ERP =&gt; SOUS-SEGMENT'!$FD$66</f>
        <v>147.33479220598292</v>
      </c>
      <c r="Q35" s="427">
        <f>'ANALYSE - ERP =&gt; SOUS-SEGMENT'!$FG$66</f>
        <v>3141.4892045998449</v>
      </c>
      <c r="R35" s="427">
        <f>'ANALYSE - ERP =&gt; SOUS-SEGMENT'!$FJ$66</f>
        <v>11850.837616451281</v>
      </c>
      <c r="T35" s="424">
        <f>'ANALYSE - ERP =&gt; SOUS-SEGMENT'!$EY$66</f>
        <v>23440.799142155571</v>
      </c>
      <c r="U35" s="427">
        <f>'ANALYSE - ERP =&gt; SOUS-SEGMENT'!$FB$66</f>
        <v>12439.865028898459</v>
      </c>
      <c r="V35" s="427">
        <f>'ANALYSE - ERP =&gt; SOUS-SEGMENT'!$FE$66</f>
        <v>106.35729220598292</v>
      </c>
      <c r="W35" s="427">
        <f>'ANALYSE - ERP =&gt; SOUS-SEGMENT'!$FH$66</f>
        <v>2321.9392045998452</v>
      </c>
      <c r="X35" s="427">
        <f>'ANALYSE - ERP =&gt; SOUS-SEGMENT'!$FK$66</f>
        <v>8572.6376164512822</v>
      </c>
      <c r="Z35" s="427">
        <f>'ANALYSE - ERP =&gt; SOUS-SEGMENT'!$EZ$66</f>
        <v>9056.0275000000001</v>
      </c>
      <c r="AA35" s="427">
        <f>'ANALYSE - ERP =&gt; SOUS-SEGMENT'!$FC$66</f>
        <v>4917.3</v>
      </c>
      <c r="AB35" s="427">
        <f>'ANALYSE - ERP =&gt; SOUS-SEGMENT'!$FF$66</f>
        <v>40.977499999999999</v>
      </c>
      <c r="AC35" s="427">
        <f>'ANALYSE - ERP =&gt; SOUS-SEGMENT'!$FI$66</f>
        <v>819.55</v>
      </c>
      <c r="AD35" s="427">
        <f>'ANALYSE - ERP =&gt; SOUS-SEGMENT'!$FL$66</f>
        <v>3278.2</v>
      </c>
      <c r="AF35" s="430">
        <f>'ANALYSE - ERP =&gt; SOUS-SEGMENT'!$Q$66</f>
        <v>1</v>
      </c>
    </row>
    <row r="36" spans="1:32" ht="15" customHeight="1">
      <c r="A36" s="26">
        <v>33</v>
      </c>
      <c r="B36" s="26">
        <v>33</v>
      </c>
      <c r="C36" s="26">
        <v>37</v>
      </c>
      <c r="D36" s="422">
        <f>'ANALYSE - ERP =&gt; SOUS-SEGMENT'!$A$28</f>
        <v>21</v>
      </c>
      <c r="E36" s="409" t="str">
        <f>'ANALYSE - ERP =&gt; SOUS-SEGMENT'!$B$28</f>
        <v>Sports &amp; Loisirs</v>
      </c>
      <c r="F36" s="409" t="str">
        <f>'ANALYSE - ERP =&gt; SOUS-SEGMENT'!$C$28</f>
        <v>Sport de plein air</v>
      </c>
      <c r="G36" s="409" t="str">
        <f>'ANALYSE - ERP =&gt; SOUS-SEGMENT'!$D$28</f>
        <v>Stades avec tribunes
(Hors grands stades, hors terrains sport)</v>
      </c>
      <c r="I36" s="427">
        <f t="shared" ref="I36:I67" si="5">N36/5</f>
        <v>7346.8496364848488</v>
      </c>
      <c r="K36" s="787">
        <f t="shared" si="3"/>
        <v>0.79763759521947497</v>
      </c>
      <c r="L36" s="787">
        <f t="shared" si="4"/>
        <v>0.20236240478052503</v>
      </c>
      <c r="N36" s="424">
        <f>'ANALYSE - ERP =&gt; SOUS-SEGMENT'!$EX$28</f>
        <v>36734.248182424242</v>
      </c>
      <c r="O36" s="427">
        <f>'ANALYSE - ERP =&gt; SOUS-SEGMENT'!$FA$28</f>
        <v>10448.785618424245</v>
      </c>
      <c r="P36" s="427">
        <f>'ANALYSE - ERP =&gt; SOUS-SEGMENT'!$FD$28</f>
        <v>13581.536573333335</v>
      </c>
      <c r="Q36" s="427">
        <f>'ANALYSE - ERP =&gt; SOUS-SEGMENT'!$FG$28</f>
        <v>3328.8993306666671</v>
      </c>
      <c r="R36" s="427">
        <f>'ANALYSE - ERP =&gt; SOUS-SEGMENT'!$FJ$28</f>
        <v>9375.0266599999995</v>
      </c>
      <c r="T36" s="424">
        <f>'ANALYSE - ERP =&gt; SOUS-SEGMENT'!$EY$28</f>
        <v>29300.617382424243</v>
      </c>
      <c r="U36" s="427">
        <f>'ANALYSE - ERP =&gt; SOUS-SEGMENT'!$FB$28</f>
        <v>8262.4236184242436</v>
      </c>
      <c r="V36" s="427">
        <f>'ANALYSE - ERP =&gt; SOUS-SEGMENT'!$FE$28</f>
        <v>10957.902173333334</v>
      </c>
      <c r="W36" s="427">
        <f>'ANALYSE - ERP =&gt; SOUS-SEGMENT'!$FH$28</f>
        <v>2672.9907306666669</v>
      </c>
      <c r="X36" s="427">
        <f>'ANALYSE - ERP =&gt; SOUS-SEGMENT'!$FK$28</f>
        <v>7407.3008600000003</v>
      </c>
      <c r="Z36" s="427">
        <f>'ANALYSE - ERP =&gt; SOUS-SEGMENT'!$EZ$28</f>
        <v>7433.6307999999999</v>
      </c>
      <c r="AA36" s="427">
        <f>'ANALYSE - ERP =&gt; SOUS-SEGMENT'!$FC$28</f>
        <v>2186.3620000000001</v>
      </c>
      <c r="AB36" s="427">
        <f>'ANALYSE - ERP =&gt; SOUS-SEGMENT'!$FF$28</f>
        <v>2623.6343999999999</v>
      </c>
      <c r="AC36" s="427">
        <f>'ANALYSE - ERP =&gt; SOUS-SEGMENT'!$FI$28</f>
        <v>655.90859999999998</v>
      </c>
      <c r="AD36" s="427">
        <f>'ANALYSE - ERP =&gt; SOUS-SEGMENT'!$FL$28</f>
        <v>1967.7257999999999</v>
      </c>
      <c r="AF36" s="430">
        <f>'ANALYSE - ERP =&gt; SOUS-SEGMENT'!$Q$28</f>
        <v>1</v>
      </c>
    </row>
    <row r="37" spans="1:32" s="45" customFormat="1" ht="15" customHeight="1">
      <c r="A37" s="406">
        <v>34</v>
      </c>
      <c r="B37" s="406">
        <v>34</v>
      </c>
      <c r="C37" s="406">
        <v>42</v>
      </c>
      <c r="D37" s="448">
        <f>'ANALYSE - ERP =&gt; SOUS-SEGMENT'!$A$59</f>
        <v>52</v>
      </c>
      <c r="E37" s="449" t="str">
        <f>'ANALYSE - ERP =&gt; SOUS-SEGMENT'!$B$59</f>
        <v>Santé &amp; Médico-social</v>
      </c>
      <c r="F37" s="449" t="str">
        <f>'ANALYSE - ERP =&gt; SOUS-SEGMENT'!$C$59</f>
        <v>Médico-social</v>
      </c>
      <c r="G37" s="449" t="str">
        <f>'ANALYSE - ERP =&gt; SOUS-SEGMENT'!$D$59</f>
        <v>USLD</v>
      </c>
      <c r="H37" s="685"/>
      <c r="I37" s="407">
        <f t="shared" si="5"/>
        <v>6494.5122180419585</v>
      </c>
      <c r="J37" s="685"/>
      <c r="K37" s="788">
        <f t="shared" si="3"/>
        <v>0.84314373030664169</v>
      </c>
      <c r="L37" s="788">
        <f t="shared" si="4"/>
        <v>0.15685626969335828</v>
      </c>
      <c r="M37" s="685"/>
      <c r="N37" s="425">
        <f>'ANALYSE - ERP =&gt; SOUS-SEGMENT'!$EX$59</f>
        <v>32472.561090209791</v>
      </c>
      <c r="O37" s="407">
        <f>'ANALYSE - ERP =&gt; SOUS-SEGMENT'!$FA$59</f>
        <v>12767.035500000002</v>
      </c>
      <c r="P37" s="407">
        <f>'ANALYSE - ERP =&gt; SOUS-SEGMENT'!$FD$59</f>
        <v>7549.3591476923075</v>
      </c>
      <c r="Q37" s="407">
        <f>'ANALYSE - ERP =&gt; SOUS-SEGMENT'!$FG$59</f>
        <v>278.63959636363643</v>
      </c>
      <c r="R37" s="407">
        <f>'ANALYSE - ERP =&gt; SOUS-SEGMENT'!$FJ$59</f>
        <v>11877.526846153847</v>
      </c>
      <c r="S37" s="685"/>
      <c r="T37" s="425">
        <f>'ANALYSE - ERP =&gt; SOUS-SEGMENT'!$EY$59</f>
        <v>27379.036290209791</v>
      </c>
      <c r="U37" s="407">
        <f>'ANALYSE - ERP =&gt; SOUS-SEGMENT'!$FB$59</f>
        <v>10807.987500000001</v>
      </c>
      <c r="V37" s="407">
        <f>'ANALYSE - ERP =&gt; SOUS-SEGMENT'!$FE$59</f>
        <v>6413.1113076923075</v>
      </c>
      <c r="W37" s="407">
        <f>'ANALYSE - ERP =&gt; SOUS-SEGMENT'!$FH$59</f>
        <v>239.4586363636364</v>
      </c>
      <c r="X37" s="407">
        <f>'ANALYSE - ERP =&gt; SOUS-SEGMENT'!$FK$59</f>
        <v>9918.4788461538465</v>
      </c>
      <c r="Y37" s="685"/>
      <c r="Z37" s="407">
        <f>'ANALYSE - ERP =&gt; SOUS-SEGMENT'!$EZ$59</f>
        <v>5093.5247999999992</v>
      </c>
      <c r="AA37" s="407">
        <f>'ANALYSE - ERP =&gt; SOUS-SEGMENT'!$FC$59</f>
        <v>1959.0479999999998</v>
      </c>
      <c r="AB37" s="407">
        <f>'ANALYSE - ERP =&gt; SOUS-SEGMENT'!$FF$59</f>
        <v>1136.24784</v>
      </c>
      <c r="AC37" s="407">
        <f>'ANALYSE - ERP =&gt; SOUS-SEGMENT'!$FI$59</f>
        <v>39.180959999999999</v>
      </c>
      <c r="AD37" s="407">
        <f>'ANALYSE - ERP =&gt; SOUS-SEGMENT'!$FL$59</f>
        <v>1959.0479999999998</v>
      </c>
      <c r="AE37" s="685"/>
      <c r="AF37" s="450">
        <f>'ANALYSE - ERP =&gt; SOUS-SEGMENT'!$Q$59</f>
        <v>1</v>
      </c>
    </row>
    <row r="38" spans="1:32" s="45" customFormat="1" ht="15" customHeight="1">
      <c r="A38" s="406">
        <v>35</v>
      </c>
      <c r="B38" s="406">
        <v>35</v>
      </c>
      <c r="C38" s="406">
        <v>40</v>
      </c>
      <c r="D38" s="448">
        <f>'ANALYSE - ERP =&gt; SOUS-SEGMENT'!$A$50</f>
        <v>43</v>
      </c>
      <c r="E38" s="449" t="str">
        <f>'ANALYSE - ERP =&gt; SOUS-SEGMENT'!$B$50</f>
        <v>Santé &amp; Médico-social</v>
      </c>
      <c r="F38" s="449" t="str">
        <f>'ANALYSE - ERP =&gt; SOUS-SEGMENT'!$C$50</f>
        <v>Santé spécialisée</v>
      </c>
      <c r="G38" s="449" t="str">
        <f>'ANALYSE - ERP =&gt; SOUS-SEGMENT'!$D$50</f>
        <v>Centres de rééducation</v>
      </c>
      <c r="H38" s="685"/>
      <c r="I38" s="407">
        <f t="shared" si="5"/>
        <v>6849.0894691114736</v>
      </c>
      <c r="J38" s="685"/>
      <c r="K38" s="788">
        <f t="shared" si="3"/>
        <v>0.82036511312216664</v>
      </c>
      <c r="L38" s="788">
        <f t="shared" si="4"/>
        <v>0.17963488687783347</v>
      </c>
      <c r="M38" s="685"/>
      <c r="N38" s="425">
        <f>'ANALYSE - ERP =&gt; SOUS-SEGMENT'!$EX$50</f>
        <v>34245.447345557368</v>
      </c>
      <c r="O38" s="407">
        <f>'ANALYSE - ERP =&gt; SOUS-SEGMENT'!$FA$50</f>
        <v>12929.955891019999</v>
      </c>
      <c r="P38" s="407">
        <f>'ANALYSE - ERP =&gt; SOUS-SEGMENT'!$FD$50</f>
        <v>9110.7783747727262</v>
      </c>
      <c r="Q38" s="407">
        <f>'ANALYSE - ERP =&gt; SOUS-SEGMENT'!$FG$50</f>
        <v>327.11152754242426</v>
      </c>
      <c r="R38" s="407">
        <f>'ANALYSE - ERP =&gt; SOUS-SEGMENT'!$FJ$50</f>
        <v>11877.601552222222</v>
      </c>
      <c r="S38" s="685"/>
      <c r="T38" s="425">
        <f>'ANALYSE - ERP =&gt; SOUS-SEGMENT'!$EY$50</f>
        <v>28093.77028555737</v>
      </c>
      <c r="U38" s="407">
        <f>'ANALYSE - ERP =&gt; SOUS-SEGMENT'!$FB$50</f>
        <v>10643.491851019999</v>
      </c>
      <c r="V38" s="407">
        <f>'ANALYSE - ERP =&gt; SOUS-SEGMENT'!$FE$50</f>
        <v>7477.5897747727267</v>
      </c>
      <c r="W38" s="407">
        <f>'ANALYSE - ERP =&gt; SOUS-SEGMENT'!$FH$50</f>
        <v>272.67190754242426</v>
      </c>
      <c r="X38" s="407">
        <f>'ANALYSE - ERP =&gt; SOUS-SEGMENT'!$FK$50</f>
        <v>9700.0167522222218</v>
      </c>
      <c r="Y38" s="685"/>
      <c r="Z38" s="407">
        <f>'ANALYSE - ERP =&gt; SOUS-SEGMENT'!$EZ$50</f>
        <v>6151.67706</v>
      </c>
      <c r="AA38" s="407">
        <f>'ANALYSE - ERP =&gt; SOUS-SEGMENT'!$FC$50</f>
        <v>2286.4640399999998</v>
      </c>
      <c r="AB38" s="407">
        <f>'ANALYSE - ERP =&gt; SOUS-SEGMENT'!$FF$50</f>
        <v>1633.1886</v>
      </c>
      <c r="AC38" s="407">
        <f>'ANALYSE - ERP =&gt; SOUS-SEGMENT'!$FI$50</f>
        <v>54.439619999999998</v>
      </c>
      <c r="AD38" s="407">
        <f>'ANALYSE - ERP =&gt; SOUS-SEGMENT'!$FL$50</f>
        <v>2177.5848000000001</v>
      </c>
      <c r="AE38" s="685"/>
      <c r="AF38" s="450">
        <f>'ANALYSE - ERP =&gt; SOUS-SEGMENT'!$Q$50</f>
        <v>0</v>
      </c>
    </row>
    <row r="39" spans="1:32" ht="15" customHeight="1">
      <c r="A39" s="26">
        <v>36</v>
      </c>
      <c r="B39" s="26">
        <v>37</v>
      </c>
      <c r="C39" s="26">
        <v>34</v>
      </c>
      <c r="D39" s="422">
        <f>'ANALYSE - ERP =&gt; SOUS-SEGMENT'!$A$49</f>
        <v>42</v>
      </c>
      <c r="E39" s="415" t="str">
        <f>'ANALYSE - ERP =&gt; SOUS-SEGMENT'!$B$49</f>
        <v>Santé &amp; Médico-social</v>
      </c>
      <c r="F39" s="415" t="str">
        <f>'ANALYSE - ERP =&gt; SOUS-SEGMENT'!$C$49</f>
        <v>Santé spécialisée</v>
      </c>
      <c r="G39" s="415" t="str">
        <f>'ANALYSE - ERP =&gt; SOUS-SEGMENT'!$D$49</f>
        <v>Centres de psychiatrie</v>
      </c>
      <c r="I39" s="427">
        <f t="shared" si="5"/>
        <v>6685.4303546590909</v>
      </c>
      <c r="K39" s="787">
        <f t="shared" si="3"/>
        <v>0.69818309174460136</v>
      </c>
      <c r="L39" s="787">
        <f t="shared" si="4"/>
        <v>0.30181690825539864</v>
      </c>
      <c r="N39" s="424">
        <f>'ANALYSE - ERP =&gt; SOUS-SEGMENT'!$EX$49</f>
        <v>33427.151773295453</v>
      </c>
      <c r="O39" s="427">
        <f>'ANALYSE - ERP =&gt; SOUS-SEGMENT'!$FA$49</f>
        <v>13154.849542349999</v>
      </c>
      <c r="P39" s="427">
        <f>'ANALYSE - ERP =&gt; SOUS-SEGMENT'!$FD$49</f>
        <v>8167.0812064545444</v>
      </c>
      <c r="Q39" s="427">
        <f>'ANALYSE - ERP =&gt; SOUS-SEGMENT'!$FG$49</f>
        <v>312.40473399090905</v>
      </c>
      <c r="R39" s="427">
        <f>'ANALYSE - ERP =&gt; SOUS-SEGMENT'!$FJ$49</f>
        <v>11792.816290499999</v>
      </c>
      <c r="T39" s="424">
        <f>'ANALYSE - ERP =&gt; SOUS-SEGMENT'!$EY$49</f>
        <v>23338.272173295452</v>
      </c>
      <c r="U39" s="427">
        <f>'ANALYSE - ERP =&gt; SOUS-SEGMENT'!$FB$49</f>
        <v>9241.06004235</v>
      </c>
      <c r="V39" s="427">
        <f>'ANALYSE - ERP =&gt; SOUS-SEGMENT'!$FE$49</f>
        <v>5731.8344064545445</v>
      </c>
      <c r="W39" s="427">
        <f>'ANALYSE - ERP =&gt; SOUS-SEGMENT'!$FH$49</f>
        <v>225.43163399090906</v>
      </c>
      <c r="X39" s="427">
        <f>'ANALYSE - ERP =&gt; SOUS-SEGMENT'!$FK$49</f>
        <v>8139.9460904999996</v>
      </c>
      <c r="Z39" s="427">
        <f>'ANALYSE - ERP =&gt; SOUS-SEGMENT'!$EZ$49</f>
        <v>10088.8796</v>
      </c>
      <c r="AA39" s="427">
        <f>'ANALYSE - ERP =&gt; SOUS-SEGMENT'!$FC$49</f>
        <v>3913.7894999999999</v>
      </c>
      <c r="AB39" s="427">
        <f>'ANALYSE - ERP =&gt; SOUS-SEGMENT'!$FF$49</f>
        <v>2435.2467999999999</v>
      </c>
      <c r="AC39" s="427">
        <f>'ANALYSE - ERP =&gt; SOUS-SEGMENT'!$FI$49</f>
        <v>86.973100000000002</v>
      </c>
      <c r="AD39" s="427">
        <f>'ANALYSE - ERP =&gt; SOUS-SEGMENT'!$FL$49</f>
        <v>3652.8701999999998</v>
      </c>
      <c r="AF39" s="430">
        <f>'ANALYSE - ERP =&gt; SOUS-SEGMENT'!$Q$49</f>
        <v>0</v>
      </c>
    </row>
    <row r="40" spans="1:32" ht="15" customHeight="1">
      <c r="A40" s="26">
        <v>37</v>
      </c>
      <c r="B40" s="26">
        <v>36</v>
      </c>
      <c r="C40" s="26">
        <v>43</v>
      </c>
      <c r="D40" s="422">
        <f>'ANALYSE - ERP =&gt; SOUS-SEGMENT'!$A$120</f>
        <v>113</v>
      </c>
      <c r="E40" s="414" t="str">
        <f>'ANALYSE - ERP =&gt; SOUS-SEGMENT'!$B$120</f>
        <v>Culte, Vie civique &amp; Services publics</v>
      </c>
      <c r="F40" s="414" t="str">
        <f>'ANALYSE - ERP =&gt; SOUS-SEGMENT'!$C$120</f>
        <v>Vie associative</v>
      </c>
      <c r="G40" s="414" t="str">
        <f>'ANALYSE - ERP =&gt; SOUS-SEGMENT'!$D$120</f>
        <v>Locaux associatifs recevant du public (dotés de sanitaires)</v>
      </c>
      <c r="I40" s="427">
        <f t="shared" si="5"/>
        <v>2256.7012686233766</v>
      </c>
      <c r="K40" s="787">
        <f t="shared" si="3"/>
        <v>0.76401963015474528</v>
      </c>
      <c r="L40" s="787">
        <f t="shared" si="4"/>
        <v>0.23598036984525469</v>
      </c>
      <c r="N40" s="424">
        <f>'ANALYSE - ERP =&gt; SOUS-SEGMENT'!$EX$120</f>
        <v>11283.506343116884</v>
      </c>
      <c r="O40" s="427">
        <f>'ANALYSE - ERP =&gt; SOUS-SEGMENT'!$FA$120</f>
        <v>5181.0116592857148</v>
      </c>
      <c r="P40" s="427">
        <f>'ANALYSE - ERP =&gt; SOUS-SEGMENT'!$FD$120</f>
        <v>0</v>
      </c>
      <c r="Q40" s="427">
        <f>'ANALYSE - ERP =&gt; SOUS-SEGMENT'!$FG$120</f>
        <v>984.3714920454546</v>
      </c>
      <c r="R40" s="427">
        <f>'ANALYSE - ERP =&gt; SOUS-SEGMENT'!$FJ$120</f>
        <v>5118.1231917857149</v>
      </c>
      <c r="T40" s="424">
        <f>'ANALYSE - ERP =&gt; SOUS-SEGMENT'!$EY$120</f>
        <v>8620.820343116884</v>
      </c>
      <c r="U40" s="427">
        <f>'ANALYSE - ERP =&gt; SOUS-SEGMENT'!$FB$120</f>
        <v>3952.0796592857146</v>
      </c>
      <c r="V40" s="427">
        <f>'ANALYSE - ERP =&gt; SOUS-SEGMENT'!$FE$120</f>
        <v>0</v>
      </c>
      <c r="W40" s="427">
        <f>'ANALYSE - ERP =&gt; SOUS-SEGMENT'!$FH$120</f>
        <v>779.5494920454546</v>
      </c>
      <c r="X40" s="427">
        <f>'ANALYSE - ERP =&gt; SOUS-SEGMENT'!$FK$120</f>
        <v>3889.1911917857146</v>
      </c>
      <c r="Z40" s="427">
        <f>'ANALYSE - ERP =&gt; SOUS-SEGMENT'!$EZ$120</f>
        <v>2662.6859999999997</v>
      </c>
      <c r="AA40" s="427">
        <f>'ANALYSE - ERP =&gt; SOUS-SEGMENT'!$FC$120</f>
        <v>1228.932</v>
      </c>
      <c r="AB40" s="427">
        <f>'ANALYSE - ERP =&gt; SOUS-SEGMENT'!$FF$120</f>
        <v>0</v>
      </c>
      <c r="AC40" s="427">
        <f>'ANALYSE - ERP =&gt; SOUS-SEGMENT'!$FI$120</f>
        <v>204.822</v>
      </c>
      <c r="AD40" s="427">
        <f>'ANALYSE - ERP =&gt; SOUS-SEGMENT'!$FL$120</f>
        <v>1228.932</v>
      </c>
      <c r="AF40" s="430">
        <f>'ANALYSE - ERP =&gt; SOUS-SEGMENT'!$Q$120</f>
        <v>1</v>
      </c>
    </row>
    <row r="41" spans="1:32" ht="15" customHeight="1">
      <c r="A41" s="26">
        <v>38</v>
      </c>
      <c r="B41" s="26">
        <v>38</v>
      </c>
      <c r="C41" s="26">
        <v>38</v>
      </c>
      <c r="D41" s="422">
        <f>'ANALYSE - ERP =&gt; SOUS-SEGMENT'!$A$73</f>
        <v>66</v>
      </c>
      <c r="E41" s="417" t="str">
        <f>'ANALYSE - ERP =&gt; SOUS-SEGMENT'!$B$73</f>
        <v>Culture, Patrimoine &amp; Evénementiel</v>
      </c>
      <c r="F41" s="417" t="str">
        <f>'ANALYSE - ERP =&gt; SOUS-SEGMENT'!$C$73</f>
        <v>Événementiel temporaire</v>
      </c>
      <c r="G41" s="417" t="str">
        <f>'ANALYSE - ERP =&gt; SOUS-SEGMENT'!$D$73</f>
        <v>Structures gonflables</v>
      </c>
      <c r="I41" s="427">
        <f t="shared" si="5"/>
        <v>228.66738599999999</v>
      </c>
      <c r="K41" s="787">
        <f t="shared" si="3"/>
        <v>0.74909478345985037</v>
      </c>
      <c r="L41" s="787">
        <f t="shared" si="4"/>
        <v>0.25090521654014969</v>
      </c>
      <c r="N41" s="424">
        <f>'ANALYSE - ERP =&gt; SOUS-SEGMENT'!$EX$73</f>
        <v>1143.3369299999999</v>
      </c>
      <c r="O41" s="427">
        <f>'ANALYSE - ERP =&gt; SOUS-SEGMENT'!$FA$73</f>
        <v>460.0193665454546</v>
      </c>
      <c r="P41" s="427">
        <f>'ANALYSE - ERP =&gt; SOUS-SEGMENT'!$FD$73</f>
        <v>53.579556500000002</v>
      </c>
      <c r="Q41" s="427">
        <f>'ANALYSE - ERP =&gt; SOUS-SEGMENT'!$FG$73</f>
        <v>132.15967604545455</v>
      </c>
      <c r="R41" s="427">
        <f>'ANALYSE - ERP =&gt; SOUS-SEGMENT'!$FJ$73</f>
        <v>497.57833090909099</v>
      </c>
      <c r="T41" s="424">
        <f>'ANALYSE - ERP =&gt; SOUS-SEGMENT'!$EY$73</f>
        <v>856.46773000000007</v>
      </c>
      <c r="U41" s="427">
        <f>'ANALYSE - ERP =&gt; SOUS-SEGMENT'!$FB$73</f>
        <v>337.9473665454546</v>
      </c>
      <c r="V41" s="427">
        <f>'ANALYSE - ERP =&gt; SOUS-SEGMENT'!$FE$73</f>
        <v>41.372356500000002</v>
      </c>
      <c r="W41" s="427">
        <f>'ANALYSE - ERP =&gt; SOUS-SEGMENT'!$FH$73</f>
        <v>101.64167604545455</v>
      </c>
      <c r="X41" s="427">
        <f>'ANALYSE - ERP =&gt; SOUS-SEGMENT'!$FK$73</f>
        <v>375.50633090909099</v>
      </c>
      <c r="Z41" s="427">
        <f>'ANALYSE - ERP =&gt; SOUS-SEGMENT'!$EZ$73</f>
        <v>286.86919999999998</v>
      </c>
      <c r="AA41" s="427">
        <f>'ANALYSE - ERP =&gt; SOUS-SEGMENT'!$FC$73</f>
        <v>122.07199999999999</v>
      </c>
      <c r="AB41" s="427">
        <f>'ANALYSE - ERP =&gt; SOUS-SEGMENT'!$FF$73</f>
        <v>12.2072</v>
      </c>
      <c r="AC41" s="427">
        <f>'ANALYSE - ERP =&gt; SOUS-SEGMENT'!$FI$73</f>
        <v>30.517999999999997</v>
      </c>
      <c r="AD41" s="427">
        <f>'ANALYSE - ERP =&gt; SOUS-SEGMENT'!$FL$73</f>
        <v>122.07199999999999</v>
      </c>
      <c r="AF41" s="430">
        <f>'ANALYSE - ERP =&gt; SOUS-SEGMENT'!$Q$73</f>
        <v>1</v>
      </c>
    </row>
    <row r="42" spans="1:32" ht="15" customHeight="1">
      <c r="A42" s="26">
        <v>39</v>
      </c>
      <c r="B42" s="26">
        <v>42</v>
      </c>
      <c r="C42" s="26">
        <v>36</v>
      </c>
      <c r="D42" s="422">
        <f>'ANALYSE - ERP =&gt; SOUS-SEGMENT'!$A$142</f>
        <v>135</v>
      </c>
      <c r="E42" s="410" t="str">
        <f>'ANALYSE - ERP =&gt; SOUS-SEGMENT'!$B$142</f>
        <v>Sécurité &amp; Justice</v>
      </c>
      <c r="F42" s="410" t="str">
        <f>'ANALYSE - ERP =&gt; SOUS-SEGMENT'!$C$142</f>
        <v>Univers carcéral</v>
      </c>
      <c r="G42" s="410" t="str">
        <f>'ANALYSE - ERP =&gt; SOUS-SEGMENT'!$D$142</f>
        <v>Centres pénitentiaires</v>
      </c>
      <c r="I42" s="427">
        <f t="shared" si="5"/>
        <v>4840.6842474545456</v>
      </c>
      <c r="K42" s="787">
        <f t="shared" si="3"/>
        <v>0.62562525061349461</v>
      </c>
      <c r="L42" s="787">
        <f t="shared" si="4"/>
        <v>0.37437474938650545</v>
      </c>
      <c r="N42" s="424">
        <f>'ANALYSE - ERP =&gt; SOUS-SEGMENT'!$EX$142</f>
        <v>24203.421237272727</v>
      </c>
      <c r="O42" s="427">
        <f>'ANALYSE - ERP =&gt; SOUS-SEGMENT'!$FA$142</f>
        <v>11257.414795454544</v>
      </c>
      <c r="P42" s="427">
        <f>'ANALYSE - ERP =&gt; SOUS-SEGMENT'!$FD$142</f>
        <v>2290.2208000000001</v>
      </c>
      <c r="Q42" s="427">
        <f>'ANALYSE - ERP =&gt; SOUS-SEGMENT'!$FG$142</f>
        <v>126.63044181818182</v>
      </c>
      <c r="R42" s="427">
        <f>'ANALYSE - ERP =&gt; SOUS-SEGMENT'!$FJ$142</f>
        <v>10529.155200000001</v>
      </c>
      <c r="T42" s="424">
        <f>'ANALYSE - ERP =&gt; SOUS-SEGMENT'!$EY$142</f>
        <v>15142.271477272727</v>
      </c>
      <c r="U42" s="427">
        <f>'ANALYSE - ERP =&gt; SOUS-SEGMENT'!$FB$142</f>
        <v>7051.3107954545449</v>
      </c>
      <c r="V42" s="427">
        <f>'ANALYSE - ERP =&gt; SOUS-SEGMENT'!$FE$142</f>
        <v>1449</v>
      </c>
      <c r="W42" s="427">
        <f>'ANALYSE - ERP =&gt; SOUS-SEGMENT'!$FH$142</f>
        <v>78.56068181818182</v>
      </c>
      <c r="X42" s="427">
        <f>'ANALYSE - ERP =&gt; SOUS-SEGMENT'!$FK$142</f>
        <v>6563.4000000000005</v>
      </c>
      <c r="Z42" s="427">
        <f>'ANALYSE - ERP =&gt; SOUS-SEGMENT'!$EZ$142</f>
        <v>9061.1497600000002</v>
      </c>
      <c r="AA42" s="427">
        <f>'ANALYSE - ERP =&gt; SOUS-SEGMENT'!$FC$142</f>
        <v>4206.1040000000003</v>
      </c>
      <c r="AB42" s="427">
        <f>'ANALYSE - ERP =&gt; SOUS-SEGMENT'!$FF$142</f>
        <v>841.22080000000005</v>
      </c>
      <c r="AC42" s="427">
        <f>'ANALYSE - ERP =&gt; SOUS-SEGMENT'!$FI$142</f>
        <v>48.069760000000002</v>
      </c>
      <c r="AD42" s="427">
        <f>'ANALYSE - ERP =&gt; SOUS-SEGMENT'!$FL$142</f>
        <v>3965.7552000000001</v>
      </c>
      <c r="AF42" s="430">
        <f>'ANALYSE - ERP =&gt; SOUS-SEGMENT'!$Q$142</f>
        <v>1</v>
      </c>
    </row>
    <row r="43" spans="1:32" ht="15" customHeight="1">
      <c r="A43" s="26">
        <v>40</v>
      </c>
      <c r="B43" s="26">
        <v>39</v>
      </c>
      <c r="C43" s="26">
        <v>39</v>
      </c>
      <c r="D43" s="422">
        <f>'ANALYSE - ERP =&gt; SOUS-SEGMENT'!$A$15</f>
        <v>8</v>
      </c>
      <c r="E43" s="409" t="str">
        <f>'ANALYSE - ERP =&gt; SOUS-SEGMENT'!$B$15</f>
        <v>Enfance, Enseignement, Jeunesse &amp; Formation</v>
      </c>
      <c r="F43" s="409" t="str">
        <f>'ANALYSE - ERP =&gt; SOUS-SEGMENT'!$C$15</f>
        <v>Enseignement scolaire</v>
      </c>
      <c r="G43" s="409" t="str">
        <f>'ANALYSE - ERP =&gt; SOUS-SEGMENT'!$D$15</f>
        <v>Internats scolaires</v>
      </c>
      <c r="I43" s="427">
        <f t="shared" si="5"/>
        <v>4489.2647301887991</v>
      </c>
      <c r="K43" s="787">
        <f t="shared" si="3"/>
        <v>0.73071509375007193</v>
      </c>
      <c r="L43" s="787">
        <f t="shared" si="4"/>
        <v>0.26928490624992818</v>
      </c>
      <c r="N43" s="424">
        <f>'ANALYSE - ERP =&gt; SOUS-SEGMENT'!$EX$15</f>
        <v>22446.323650943996</v>
      </c>
      <c r="O43" s="427">
        <f>'ANALYSE - ERP =&gt; SOUS-SEGMENT'!$FA$15</f>
        <v>7482.1078836480001</v>
      </c>
      <c r="P43" s="427">
        <f>'ANALYSE - ERP =&gt; SOUS-SEGMENT'!$FD$15</f>
        <v>7482.1078836479992</v>
      </c>
      <c r="Q43" s="427">
        <f>'ANALYSE - ERP =&gt; SOUS-SEGMENT'!$FG$15</f>
        <v>1402.8952281840002</v>
      </c>
      <c r="R43" s="427">
        <f>'ANALYSE - ERP =&gt; SOUS-SEGMENT'!$FJ$15</f>
        <v>6079.2126554639999</v>
      </c>
      <c r="T43" s="424">
        <f>'ANALYSE - ERP =&gt; SOUS-SEGMENT'!$EY$15</f>
        <v>16401.867490943998</v>
      </c>
      <c r="U43" s="427">
        <f>'ANALYSE - ERP =&gt; SOUS-SEGMENT'!$FB$15</f>
        <v>5467.2891636479999</v>
      </c>
      <c r="V43" s="427">
        <f>'ANALYSE - ERP =&gt; SOUS-SEGMENT'!$FE$15</f>
        <v>5467.289163647999</v>
      </c>
      <c r="W43" s="427">
        <f>'ANALYSE - ERP =&gt; SOUS-SEGMENT'!$FH$15</f>
        <v>1025.1167181840001</v>
      </c>
      <c r="X43" s="427">
        <f>'ANALYSE - ERP =&gt; SOUS-SEGMENT'!$FK$15</f>
        <v>4442.1724454639998</v>
      </c>
      <c r="Z43" s="427">
        <f>'ANALYSE - ERP =&gt; SOUS-SEGMENT'!$EZ$15</f>
        <v>6044.4561599999997</v>
      </c>
      <c r="AA43" s="427">
        <f>'ANALYSE - ERP =&gt; SOUS-SEGMENT'!$FC$15</f>
        <v>2014.81872</v>
      </c>
      <c r="AB43" s="427">
        <f>'ANALYSE - ERP =&gt; SOUS-SEGMENT'!$FF$15</f>
        <v>2014.81872</v>
      </c>
      <c r="AC43" s="427">
        <f>'ANALYSE - ERP =&gt; SOUS-SEGMENT'!$FI$15</f>
        <v>377.77850999999998</v>
      </c>
      <c r="AD43" s="427">
        <f>'ANALYSE - ERP =&gt; SOUS-SEGMENT'!$FL$15</f>
        <v>1637.0402099999999</v>
      </c>
      <c r="AF43" s="430">
        <f>'ANALYSE - ERP =&gt; SOUS-SEGMENT'!$Q$15</f>
        <v>1</v>
      </c>
    </row>
    <row r="44" spans="1:32" ht="15" customHeight="1">
      <c r="A44" s="26">
        <v>41</v>
      </c>
      <c r="B44" s="26">
        <v>40</v>
      </c>
      <c r="C44" s="26">
        <v>45</v>
      </c>
      <c r="D44" s="422" t="e">
        <f>'ANALYSE - ERP =&gt; SOUS-SEGMENT'!#REF!</f>
        <v>#REF!</v>
      </c>
      <c r="E44" s="408" t="e">
        <f>'ANALYSE - ERP =&gt; SOUS-SEGMENT'!#REF!</f>
        <v>#REF!</v>
      </c>
      <c r="F44" s="408" t="e">
        <f>'ANALYSE - ERP =&gt; SOUS-SEGMENT'!#REF!</f>
        <v>#REF!</v>
      </c>
      <c r="G44" s="408" t="e">
        <f>'ANALYSE - ERP =&gt; SOUS-SEGMENT'!#REF!</f>
        <v>#REF!</v>
      </c>
      <c r="I44" s="427" t="e">
        <f t="shared" si="5"/>
        <v>#REF!</v>
      </c>
      <c r="K44" s="787" t="str">
        <f t="shared" si="3"/>
        <v/>
      </c>
      <c r="L44" s="787" t="str">
        <f t="shared" si="4"/>
        <v/>
      </c>
      <c r="N44" s="424" t="e">
        <f>'ANALYSE - ERP =&gt; SOUS-SEGMENT'!#REF!</f>
        <v>#REF!</v>
      </c>
      <c r="O44" s="427" t="e">
        <f>'ANALYSE - ERP =&gt; SOUS-SEGMENT'!#REF!</f>
        <v>#REF!</v>
      </c>
      <c r="P44" s="427" t="e">
        <f>'ANALYSE - ERP =&gt; SOUS-SEGMENT'!#REF!</f>
        <v>#REF!</v>
      </c>
      <c r="Q44" s="427" t="e">
        <f>'ANALYSE - ERP =&gt; SOUS-SEGMENT'!#REF!</f>
        <v>#REF!</v>
      </c>
      <c r="R44" s="427" t="e">
        <f>'ANALYSE - ERP =&gt; SOUS-SEGMENT'!#REF!</f>
        <v>#REF!</v>
      </c>
      <c r="T44" s="424" t="e">
        <f>'ANALYSE - ERP =&gt; SOUS-SEGMENT'!#REF!</f>
        <v>#REF!</v>
      </c>
      <c r="U44" s="427" t="e">
        <f>'ANALYSE - ERP =&gt; SOUS-SEGMENT'!#REF!</f>
        <v>#REF!</v>
      </c>
      <c r="V44" s="427" t="e">
        <f>'ANALYSE - ERP =&gt; SOUS-SEGMENT'!#REF!</f>
        <v>#REF!</v>
      </c>
      <c r="W44" s="427" t="e">
        <f>'ANALYSE - ERP =&gt; SOUS-SEGMENT'!#REF!</f>
        <v>#REF!</v>
      </c>
      <c r="X44" s="427" t="e">
        <f>'ANALYSE - ERP =&gt; SOUS-SEGMENT'!#REF!</f>
        <v>#REF!</v>
      </c>
      <c r="Z44" s="427" t="e">
        <f>'ANALYSE - ERP =&gt; SOUS-SEGMENT'!#REF!</f>
        <v>#REF!</v>
      </c>
      <c r="AA44" s="427" t="e">
        <f>'ANALYSE - ERP =&gt; SOUS-SEGMENT'!#REF!</f>
        <v>#REF!</v>
      </c>
      <c r="AB44" s="427" t="e">
        <f>'ANALYSE - ERP =&gt; SOUS-SEGMENT'!#REF!</f>
        <v>#REF!</v>
      </c>
      <c r="AC44" s="427" t="e">
        <f>'ANALYSE - ERP =&gt; SOUS-SEGMENT'!#REF!</f>
        <v>#REF!</v>
      </c>
      <c r="AD44" s="427" t="e">
        <f>'ANALYSE - ERP =&gt; SOUS-SEGMENT'!#REF!</f>
        <v>#REF!</v>
      </c>
      <c r="AF44" s="430" t="e">
        <f>'ANALYSE - ERP =&gt; SOUS-SEGMENT'!#REF!</f>
        <v>#REF!</v>
      </c>
    </row>
    <row r="45" spans="1:32" ht="15" customHeight="1">
      <c r="A45" s="26">
        <v>42</v>
      </c>
      <c r="B45" s="26">
        <v>65</v>
      </c>
      <c r="C45" s="26">
        <v>24</v>
      </c>
      <c r="D45" s="422">
        <f>'ANALYSE - ERP =&gt; SOUS-SEGMENT'!$A$54</f>
        <v>47</v>
      </c>
      <c r="E45" s="414" t="str">
        <f>'ANALYSE - ERP =&gt; SOUS-SEGMENT'!$B$54</f>
        <v>Santé &amp; Médico-social</v>
      </c>
      <c r="F45" s="414" t="str">
        <f>'ANALYSE - ERP =&gt; SOUS-SEGMENT'!$C$54</f>
        <v>Santé ambulatoire</v>
      </c>
      <c r="G45" s="414" t="str">
        <f>'ANALYSE - ERP =&gt; SOUS-SEGMENT'!$D$54</f>
        <v>Maisons de santé</v>
      </c>
      <c r="I45" s="427">
        <f t="shared" si="5"/>
        <v>3776.8682054787278</v>
      </c>
      <c r="K45" s="787">
        <f t="shared" si="3"/>
        <v>0.24768092360801758</v>
      </c>
      <c r="L45" s="787">
        <f t="shared" si="4"/>
        <v>0.75231907639198237</v>
      </c>
      <c r="N45" s="424">
        <f>'ANALYSE - ERP =&gt; SOUS-SEGMENT'!$EX$54</f>
        <v>18884.341027393639</v>
      </c>
      <c r="O45" s="427">
        <f>'ANALYSE - ERP =&gt; SOUS-SEGMENT'!$FA$54</f>
        <v>8701.6576764300007</v>
      </c>
      <c r="P45" s="427">
        <f>'ANALYSE - ERP =&gt; SOUS-SEGMENT'!$FD$54</f>
        <v>0</v>
      </c>
      <c r="Q45" s="427">
        <f>'ANALYSE - ERP =&gt; SOUS-SEGMENT'!$FG$54</f>
        <v>1509.2528229636364</v>
      </c>
      <c r="R45" s="427">
        <f>'ANALYSE - ERP =&gt; SOUS-SEGMENT'!$FJ$54</f>
        <v>8673.4305280000008</v>
      </c>
      <c r="T45" s="424">
        <f>'ANALYSE - ERP =&gt; SOUS-SEGMENT'!$EY$54</f>
        <v>4677.2910273936359</v>
      </c>
      <c r="U45" s="427">
        <f>'ANALYSE - ERP =&gt; SOUS-SEGMENT'!$FB$54</f>
        <v>2144.5576764299999</v>
      </c>
      <c r="V45" s="427">
        <f>'ANALYSE - ERP =&gt; SOUS-SEGMENT'!$FE$54</f>
        <v>0</v>
      </c>
      <c r="W45" s="427">
        <f>'ANALYSE - ERP =&gt; SOUS-SEGMENT'!$FH$54</f>
        <v>416.40282296363637</v>
      </c>
      <c r="X45" s="427">
        <f>'ANALYSE - ERP =&gt; SOUS-SEGMENT'!$FK$54</f>
        <v>2116.330528</v>
      </c>
      <c r="Z45" s="427">
        <f>'ANALYSE - ERP =&gt; SOUS-SEGMENT'!$EZ$54</f>
        <v>14207.050000000001</v>
      </c>
      <c r="AA45" s="427">
        <f>'ANALYSE - ERP =&gt; SOUS-SEGMENT'!$FC$54</f>
        <v>6557.1</v>
      </c>
      <c r="AB45" s="427">
        <f>'ANALYSE - ERP =&gt; SOUS-SEGMENT'!$FF$54</f>
        <v>0</v>
      </c>
      <c r="AC45" s="427">
        <f>'ANALYSE - ERP =&gt; SOUS-SEGMENT'!$FI$54</f>
        <v>1092.8499999999999</v>
      </c>
      <c r="AD45" s="427">
        <f>'ANALYSE - ERP =&gt; SOUS-SEGMENT'!$FL$54</f>
        <v>6557.1</v>
      </c>
      <c r="AF45" s="430">
        <f>'ANALYSE - ERP =&gt; SOUS-SEGMENT'!$Q$54</f>
        <v>1</v>
      </c>
    </row>
    <row r="46" spans="1:32" ht="15" customHeight="1">
      <c r="A46" s="26">
        <v>43</v>
      </c>
      <c r="B46" s="26">
        <v>43</v>
      </c>
      <c r="C46" s="26">
        <v>52</v>
      </c>
      <c r="D46" s="422">
        <f>'ANALYSE - ERP =&gt; SOUS-SEGMENT'!$A$51</f>
        <v>44</v>
      </c>
      <c r="E46" s="415" t="str">
        <f>'ANALYSE - ERP =&gt; SOUS-SEGMENT'!$B$51</f>
        <v>Santé &amp; Médico-social</v>
      </c>
      <c r="F46" s="415" t="str">
        <f>'ANALYSE - ERP =&gt; SOUS-SEGMENT'!$C$51</f>
        <v>Santé spécialisée</v>
      </c>
      <c r="G46" s="415" t="str">
        <f>'ANALYSE - ERP =&gt; SOUS-SEGMENT'!$D$51</f>
        <v>Maternités</v>
      </c>
      <c r="I46" s="427">
        <f t="shared" si="5"/>
        <v>3918.1524049999998</v>
      </c>
      <c r="K46" s="787">
        <f t="shared" si="3"/>
        <v>0.84158434490503176</v>
      </c>
      <c r="L46" s="787">
        <f t="shared" si="4"/>
        <v>0.15841565509496816</v>
      </c>
      <c r="N46" s="424">
        <f>'ANALYSE - ERP =&gt; SOUS-SEGMENT'!$EX$51</f>
        <v>19590.762025</v>
      </c>
      <c r="O46" s="427">
        <f>'ANALYSE - ERP =&gt; SOUS-SEGMENT'!$FA$51</f>
        <v>7638.8627727272724</v>
      </c>
      <c r="P46" s="427">
        <f>'ANALYSE - ERP =&gt; SOUS-SEGMENT'!$FD$51</f>
        <v>5014.9507272727278</v>
      </c>
      <c r="Q46" s="427">
        <f>'ANALYSE - ERP =&gt; SOUS-SEGMENT'!$FG$51</f>
        <v>263.33472499999999</v>
      </c>
      <c r="R46" s="427">
        <f>'ANALYSE - ERP =&gt; SOUS-SEGMENT'!$FJ$51</f>
        <v>6673.6138000000001</v>
      </c>
      <c r="T46" s="424">
        <f>'ANALYSE - ERP =&gt; SOUS-SEGMENT'!$EY$51</f>
        <v>16487.278624999999</v>
      </c>
      <c r="U46" s="427">
        <f>'ANALYSE - ERP =&gt; SOUS-SEGMENT'!$FB$51</f>
        <v>6460.3247727272728</v>
      </c>
      <c r="V46" s="427">
        <f>'ANALYSE - ERP =&gt; SOUS-SEGMENT'!$FE$51</f>
        <v>4229.2587272727278</v>
      </c>
      <c r="W46" s="427">
        <f>'ANALYSE - ERP =&gt; SOUS-SEGMENT'!$FH$51</f>
        <v>224.05012500000001</v>
      </c>
      <c r="X46" s="427">
        <f>'ANALYSE - ERP =&gt; SOUS-SEGMENT'!$FK$51</f>
        <v>5573.6450000000004</v>
      </c>
      <c r="Z46" s="427">
        <f>'ANALYSE - ERP =&gt; SOUS-SEGMENT'!$EZ$51</f>
        <v>3103.4834000000001</v>
      </c>
      <c r="AA46" s="427">
        <f>'ANALYSE - ERP =&gt; SOUS-SEGMENT'!$FC$51</f>
        <v>1178.538</v>
      </c>
      <c r="AB46" s="427">
        <f>'ANALYSE - ERP =&gt; SOUS-SEGMENT'!$FF$51</f>
        <v>785.69200000000001</v>
      </c>
      <c r="AC46" s="427">
        <f>'ANALYSE - ERP =&gt; SOUS-SEGMENT'!$FI$51</f>
        <v>39.284599999999998</v>
      </c>
      <c r="AD46" s="427">
        <f>'ANALYSE - ERP =&gt; SOUS-SEGMENT'!$FL$51</f>
        <v>1099.9687999999999</v>
      </c>
      <c r="AF46" s="430">
        <f>'ANALYSE - ERP =&gt; SOUS-SEGMENT'!$Q$51</f>
        <v>0</v>
      </c>
    </row>
    <row r="47" spans="1:32" ht="15" customHeight="1">
      <c r="A47" s="26">
        <v>44</v>
      </c>
      <c r="B47" s="26">
        <v>41</v>
      </c>
      <c r="C47" s="26">
        <v>65</v>
      </c>
      <c r="D47" s="422">
        <f>'ANALYSE - ERP =&gt; SOUS-SEGMENT'!$A$31</f>
        <v>24</v>
      </c>
      <c r="E47" s="411" t="str">
        <f>'ANALYSE - ERP =&gt; SOUS-SEGMENT'!$B$31</f>
        <v>Sports &amp; Loisirs</v>
      </c>
      <c r="F47" s="411" t="str">
        <f>'ANALYSE - ERP =&gt; SOUS-SEGMENT'!$C$31</f>
        <v>Sport de plein air</v>
      </c>
      <c r="G47" s="411" t="str">
        <f>'ANALYSE - ERP =&gt; SOUS-SEGMENT'!$D$31</f>
        <v>Piscines extérieures 
(Hors campings, hôtels, résidences et établissement avec bassin intérieur)</v>
      </c>
      <c r="I47" s="427">
        <f t="shared" si="5"/>
        <v>3615.7377170787877</v>
      </c>
      <c r="K47" s="787">
        <f t="shared" si="3"/>
        <v>0.88964442909803421</v>
      </c>
      <c r="L47" s="787">
        <f t="shared" si="4"/>
        <v>0.11035557090196577</v>
      </c>
      <c r="N47" s="424">
        <f>'ANALYSE - ERP =&gt; SOUS-SEGMENT'!$EX$31</f>
        <v>18078.688585393938</v>
      </c>
      <c r="O47" s="427">
        <f>'ANALYSE - ERP =&gt; SOUS-SEGMENT'!$FA$31</f>
        <v>4384.7846587272725</v>
      </c>
      <c r="P47" s="427">
        <f>'ANALYSE - ERP =&gt; SOUS-SEGMENT'!$FD$31</f>
        <v>9974.6200097916662</v>
      </c>
      <c r="Q47" s="427">
        <f>'ANALYSE - ERP =&gt; SOUS-SEGMENT'!$FG$31</f>
        <v>763.46223520833337</v>
      </c>
      <c r="R47" s="427">
        <f>'ANALYSE - ERP =&gt; SOUS-SEGMENT'!$FJ$31</f>
        <v>2955.8216816666672</v>
      </c>
      <c r="T47" s="424">
        <f>'ANALYSE - ERP =&gt; SOUS-SEGMENT'!$EY$31</f>
        <v>16083.604585393938</v>
      </c>
      <c r="U47" s="427">
        <f>'ANALYSE - ERP =&gt; SOUS-SEGMENT'!$FB$31</f>
        <v>3886.0136587272723</v>
      </c>
      <c r="V47" s="427">
        <f>'ANALYSE - ERP =&gt; SOUS-SEGMENT'!$FE$31</f>
        <v>8893.9495097916661</v>
      </c>
      <c r="W47" s="427">
        <f>'ANALYSE - ERP =&gt; SOUS-SEGMENT'!$FH$31</f>
        <v>680.33373520833334</v>
      </c>
      <c r="X47" s="427">
        <f>'ANALYSE - ERP =&gt; SOUS-SEGMENT'!$FK$31</f>
        <v>2623.3076816666671</v>
      </c>
      <c r="Z47" s="427">
        <f>'ANALYSE - ERP =&gt; SOUS-SEGMENT'!$EZ$31</f>
        <v>1995.0839999999998</v>
      </c>
      <c r="AA47" s="427">
        <f>'ANALYSE - ERP =&gt; SOUS-SEGMENT'!$FC$31</f>
        <v>498.77100000000002</v>
      </c>
      <c r="AB47" s="427">
        <f>'ANALYSE - ERP =&gt; SOUS-SEGMENT'!$FF$31</f>
        <v>1080.6704999999999</v>
      </c>
      <c r="AC47" s="427">
        <f>'ANALYSE - ERP =&gt; SOUS-SEGMENT'!$FI$31</f>
        <v>83.128500000000003</v>
      </c>
      <c r="AD47" s="427">
        <f>'ANALYSE - ERP =&gt; SOUS-SEGMENT'!$FL$31</f>
        <v>332.51400000000001</v>
      </c>
      <c r="AF47" s="430">
        <f>'ANALYSE - ERP =&gt; SOUS-SEGMENT'!$Q$31</f>
        <v>1</v>
      </c>
    </row>
    <row r="48" spans="1:32" ht="15" customHeight="1">
      <c r="A48" s="26">
        <v>45</v>
      </c>
      <c r="B48" s="26">
        <v>45</v>
      </c>
      <c r="C48" s="26">
        <v>48</v>
      </c>
      <c r="D48" s="422">
        <f>'ANALYSE - ERP =&gt; SOUS-SEGMENT'!$A$62</f>
        <v>55</v>
      </c>
      <c r="E48" s="414" t="str">
        <f>'ANALYSE - ERP =&gt; SOUS-SEGMENT'!$B$62</f>
        <v>Culture, Patrimoine &amp; Evénementiel</v>
      </c>
      <c r="F48" s="414" t="str">
        <f>'ANALYSE - ERP =&gt; SOUS-SEGMENT'!$C$62</f>
        <v>Culture / spectacle</v>
      </c>
      <c r="G48" s="414" t="str">
        <f>'ANALYSE - ERP =&gt; SOUS-SEGMENT'!$D$62</f>
        <v>Cinémas</v>
      </c>
      <c r="I48" s="427">
        <f t="shared" si="5"/>
        <v>3502.6991450745454</v>
      </c>
      <c r="K48" s="787">
        <f t="shared" si="3"/>
        <v>0.82656143310102326</v>
      </c>
      <c r="L48" s="787">
        <f t="shared" si="4"/>
        <v>0.17343856689897669</v>
      </c>
      <c r="N48" s="424">
        <f>'ANALYSE - ERP =&gt; SOUS-SEGMENT'!$EX$62</f>
        <v>17513.495725372726</v>
      </c>
      <c r="O48" s="427">
        <f>'ANALYSE - ERP =&gt; SOUS-SEGMENT'!$FA$62</f>
        <v>8214.9754888666666</v>
      </c>
      <c r="P48" s="427">
        <f>'ANALYSE - ERP =&gt; SOUS-SEGMENT'!$FD$62</f>
        <v>0</v>
      </c>
      <c r="Q48" s="427">
        <f>'ANALYSE - ERP =&gt; SOUS-SEGMENT'!$FG$62</f>
        <v>1747.6992366060606</v>
      </c>
      <c r="R48" s="427">
        <f>'ANALYSE - ERP =&gt; SOUS-SEGMENT'!$FJ$62</f>
        <v>7550.8209998999992</v>
      </c>
      <c r="T48" s="424">
        <f>'ANALYSE - ERP =&gt; SOUS-SEGMENT'!$EY$62</f>
        <v>14475.980125372726</v>
      </c>
      <c r="U48" s="427">
        <f>'ANALYSE - ERP =&gt; SOUS-SEGMENT'!$FB$62</f>
        <v>6768.5394888666669</v>
      </c>
      <c r="V48" s="427">
        <f>'ANALYSE - ERP =&gt; SOUS-SEGMENT'!$FE$62</f>
        <v>0</v>
      </c>
      <c r="W48" s="427">
        <f>'ANALYSE - ERP =&gt; SOUS-SEGMENT'!$FH$62</f>
        <v>1458.4120366060606</v>
      </c>
      <c r="X48" s="427">
        <f>'ANALYSE - ERP =&gt; SOUS-SEGMENT'!$FK$62</f>
        <v>6249.0285998999989</v>
      </c>
      <c r="Z48" s="427">
        <f>'ANALYSE - ERP =&gt; SOUS-SEGMENT'!$EZ$62</f>
        <v>3037.5155999999997</v>
      </c>
      <c r="AA48" s="427">
        <f>'ANALYSE - ERP =&gt; SOUS-SEGMENT'!$FC$62</f>
        <v>1446.4359999999999</v>
      </c>
      <c r="AB48" s="427">
        <f>'ANALYSE - ERP =&gt; SOUS-SEGMENT'!$FF$62</f>
        <v>0</v>
      </c>
      <c r="AC48" s="427">
        <f>'ANALYSE - ERP =&gt; SOUS-SEGMENT'!$FI$62</f>
        <v>289.28719999999998</v>
      </c>
      <c r="AD48" s="427">
        <f>'ANALYSE - ERP =&gt; SOUS-SEGMENT'!$FL$62</f>
        <v>1301.7923999999998</v>
      </c>
      <c r="AF48" s="430">
        <f>'ANALYSE - ERP =&gt; SOUS-SEGMENT'!$Q$62</f>
        <v>1</v>
      </c>
    </row>
    <row r="49" spans="1:32" ht="15" customHeight="1">
      <c r="A49" s="26">
        <v>46</v>
      </c>
      <c r="B49" s="26">
        <v>44</v>
      </c>
      <c r="C49" s="26">
        <v>60</v>
      </c>
      <c r="D49" s="422">
        <f>'ANALYSE - ERP =&gt; SOUS-SEGMENT'!$A$42</f>
        <v>35</v>
      </c>
      <c r="E49" s="414" t="str">
        <f>'ANALYSE - ERP =&gt; SOUS-SEGMENT'!$B$42</f>
        <v>Sports &amp; Loisirs</v>
      </c>
      <c r="F49" s="414" t="str">
        <f>'ANALYSE - ERP =&gt; SOUS-SEGMENT'!$C$42</f>
        <v>Loisirs</v>
      </c>
      <c r="G49" s="414" t="str">
        <f>'ANALYSE - ERP =&gt; SOUS-SEGMENT'!$D$42</f>
        <v>Discothèques / Salles de danse</v>
      </c>
      <c r="I49" s="427">
        <f t="shared" si="5"/>
        <v>7628.399186333334</v>
      </c>
      <c r="K49" s="787">
        <f t="shared" si="3"/>
        <v>0.89475223039738316</v>
      </c>
      <c r="L49" s="787">
        <f t="shared" si="4"/>
        <v>0.10524776960261677</v>
      </c>
      <c r="N49" s="424">
        <f>'ANALYSE - ERP =&gt; SOUS-SEGMENT'!$EX$42</f>
        <v>38141.995931666672</v>
      </c>
      <c r="O49" s="427">
        <f>'ANALYSE - ERP =&gt; SOUS-SEGMENT'!$FA$42</f>
        <v>16621.424340000001</v>
      </c>
      <c r="P49" s="427">
        <f>'ANALYSE - ERP =&gt; SOUS-SEGMENT'!$FD$42</f>
        <v>0</v>
      </c>
      <c r="Q49" s="427">
        <f>'ANALYSE - ERP =&gt; SOUS-SEGMENT'!$FG$42</f>
        <v>5913.4310041666677</v>
      </c>
      <c r="R49" s="427">
        <f>'ANALYSE - ERP =&gt; SOUS-SEGMENT'!$FJ$42</f>
        <v>15607.1405875</v>
      </c>
      <c r="T49" s="424">
        <f>'ANALYSE - ERP =&gt; SOUS-SEGMENT'!$EY$42</f>
        <v>34127.635931666671</v>
      </c>
      <c r="U49" s="427">
        <f>'ANALYSE - ERP =&gt; SOUS-SEGMENT'!$FB$42</f>
        <v>14837.26434</v>
      </c>
      <c r="V49" s="427">
        <f>'ANALYSE - ERP =&gt; SOUS-SEGMENT'!$FE$42</f>
        <v>0</v>
      </c>
      <c r="W49" s="427">
        <f>'ANALYSE - ERP =&gt; SOUS-SEGMENT'!$FH$42</f>
        <v>5318.7110041666674</v>
      </c>
      <c r="X49" s="427">
        <f>'ANALYSE - ERP =&gt; SOUS-SEGMENT'!$FK$42</f>
        <v>13971.6605875</v>
      </c>
      <c r="Z49" s="427">
        <f>'ANALYSE - ERP =&gt; SOUS-SEGMENT'!$EZ$42</f>
        <v>4014.36</v>
      </c>
      <c r="AA49" s="427">
        <f>'ANALYSE - ERP =&gt; SOUS-SEGMENT'!$FC$42</f>
        <v>1784.16</v>
      </c>
      <c r="AB49" s="427">
        <f>'ANALYSE - ERP =&gt; SOUS-SEGMENT'!$FF$42</f>
        <v>0</v>
      </c>
      <c r="AC49" s="427">
        <f>'ANALYSE - ERP =&gt; SOUS-SEGMENT'!$FI$42</f>
        <v>594.72</v>
      </c>
      <c r="AD49" s="427">
        <f>'ANALYSE - ERP =&gt; SOUS-SEGMENT'!$FL$42</f>
        <v>1635.48</v>
      </c>
      <c r="AF49" s="430">
        <f>'ANALYSE - ERP =&gt; SOUS-SEGMENT'!$Q$42</f>
        <v>1</v>
      </c>
    </row>
    <row r="50" spans="1:32" s="45" customFormat="1" ht="15" customHeight="1">
      <c r="A50" s="406">
        <v>47</v>
      </c>
      <c r="B50" s="406">
        <v>48</v>
      </c>
      <c r="C50" s="406">
        <v>44</v>
      </c>
      <c r="D50" s="448">
        <f>'ANALYSE - ERP =&gt; SOUS-SEGMENT'!$A$65</f>
        <v>58</v>
      </c>
      <c r="E50" s="449" t="str">
        <f>'ANALYSE - ERP =&gt; SOUS-SEGMENT'!$B$65</f>
        <v>Culture, Patrimoine &amp; Evénementiel</v>
      </c>
      <c r="F50" s="449" t="str">
        <f>'ANALYSE - ERP =&gt; SOUS-SEGMENT'!$C$65</f>
        <v>Culture / spectacle</v>
      </c>
      <c r="G50" s="449" t="str">
        <f>'ANALYSE - ERP =&gt; SOUS-SEGMENT'!$D$65</f>
        <v>Salles de spectacle / Auditoriums</v>
      </c>
      <c r="H50" s="685"/>
      <c r="I50" s="407">
        <f t="shared" si="5"/>
        <v>3390.2423026327278</v>
      </c>
      <c r="J50" s="685"/>
      <c r="K50" s="788">
        <f t="shared" si="3"/>
        <v>0.72323322398775192</v>
      </c>
      <c r="L50" s="788">
        <f t="shared" si="4"/>
        <v>0.27676677601224797</v>
      </c>
      <c r="M50" s="685"/>
      <c r="N50" s="425">
        <f>'ANALYSE - ERP =&gt; SOUS-SEGMENT'!$EX$65</f>
        <v>16951.211513163638</v>
      </c>
      <c r="O50" s="407">
        <f>'ANALYSE - ERP =&gt; SOUS-SEGMENT'!$FA$65</f>
        <v>7379.4183619307705</v>
      </c>
      <c r="P50" s="407">
        <f>'ANALYSE - ERP =&gt; SOUS-SEGMENT'!$FD$65</f>
        <v>1001.2031206410256</v>
      </c>
      <c r="Q50" s="407">
        <f>'ANALYSE - ERP =&gt; SOUS-SEGMENT'!$FG$65</f>
        <v>2122.7373614918415</v>
      </c>
      <c r="R50" s="407">
        <f>'ANALYSE - ERP =&gt; SOUS-SEGMENT'!$FJ$65</f>
        <v>6447.8526690999997</v>
      </c>
      <c r="S50" s="685"/>
      <c r="T50" s="425">
        <f>'ANALYSE - ERP =&gt; SOUS-SEGMENT'!$EY$65</f>
        <v>12259.679353163638</v>
      </c>
      <c r="U50" s="407">
        <f>'ANALYSE - ERP =&gt; SOUS-SEGMENT'!$FB$65</f>
        <v>5309.6247619307705</v>
      </c>
      <c r="V50" s="407">
        <f>'ANALYSE - ERP =&gt; SOUS-SEGMENT'!$FE$65</f>
        <v>725.23064064102562</v>
      </c>
      <c r="W50" s="407">
        <f>'ANALYSE - ERP =&gt; SOUS-SEGMENT'!$FH$65</f>
        <v>1570.7924014918417</v>
      </c>
      <c r="X50" s="407">
        <f>'ANALYSE - ERP =&gt; SOUS-SEGMENT'!$FK$65</f>
        <v>4654.0315491000001</v>
      </c>
      <c r="Y50" s="685"/>
      <c r="Z50" s="407">
        <f>'ANALYSE - ERP =&gt; SOUS-SEGMENT'!$EZ$65</f>
        <v>4691.5321599999997</v>
      </c>
      <c r="AA50" s="407">
        <f>'ANALYSE - ERP =&gt; SOUS-SEGMENT'!$FC$65</f>
        <v>2069.7936</v>
      </c>
      <c r="AB50" s="407">
        <f>'ANALYSE - ERP =&gt; SOUS-SEGMENT'!$FF$65</f>
        <v>275.97248000000002</v>
      </c>
      <c r="AC50" s="407">
        <f>'ANALYSE - ERP =&gt; SOUS-SEGMENT'!$FI$65</f>
        <v>551.94496000000004</v>
      </c>
      <c r="AD50" s="407">
        <f>'ANALYSE - ERP =&gt; SOUS-SEGMENT'!$FL$65</f>
        <v>1793.8211199999998</v>
      </c>
      <c r="AE50" s="685"/>
      <c r="AF50" s="450">
        <f>'ANALYSE - ERP =&gt; SOUS-SEGMENT'!$Q$65</f>
        <v>1</v>
      </c>
    </row>
    <row r="51" spans="1:32" ht="15" customHeight="1">
      <c r="A51" s="26">
        <v>48</v>
      </c>
      <c r="B51" s="26">
        <v>47</v>
      </c>
      <c r="C51" s="26">
        <v>46</v>
      </c>
      <c r="D51" s="422">
        <f>'ANALYSE - ERP =&gt; SOUS-SEGMENT'!$A$63</f>
        <v>56</v>
      </c>
      <c r="E51" s="411" t="str">
        <f>'ANALYSE - ERP =&gt; SOUS-SEGMENT'!$B$63</f>
        <v>Culture, Patrimoine &amp; Evénementiel</v>
      </c>
      <c r="F51" s="411" t="str">
        <f>'ANALYSE - ERP =&gt; SOUS-SEGMENT'!$C$63</f>
        <v>Culture / spectacle</v>
      </c>
      <c r="G51" s="411" t="str">
        <f>'ANALYSE - ERP =&gt; SOUS-SEGMENT'!$D$63</f>
        <v>Théâtres</v>
      </c>
      <c r="I51" s="427">
        <f t="shared" si="5"/>
        <v>3266.3949574782905</v>
      </c>
      <c r="K51" s="787">
        <f t="shared" si="3"/>
        <v>0.77875547525400468</v>
      </c>
      <c r="L51" s="787">
        <f t="shared" si="4"/>
        <v>0.22124452474599529</v>
      </c>
      <c r="N51" s="424">
        <f>'ANALYSE - ERP =&gt; SOUS-SEGMENT'!$EX$63</f>
        <v>16331.974787391453</v>
      </c>
      <c r="O51" s="427">
        <f>'ANALYSE - ERP =&gt; SOUS-SEGMENT'!$FA$63</f>
        <v>7249.5852420923075</v>
      </c>
      <c r="P51" s="427">
        <f>'ANALYSE - ERP =&gt; SOUS-SEGMENT'!$FD$63</f>
        <v>535.65006345299139</v>
      </c>
      <c r="Q51" s="427">
        <f>'ANALYSE - ERP =&gt; SOUS-SEGMENT'!$FG$63</f>
        <v>1656.3468658461534</v>
      </c>
      <c r="R51" s="427">
        <f>'ANALYSE - ERP =&gt; SOUS-SEGMENT'!$FJ$63</f>
        <v>6890.3926160000001</v>
      </c>
      <c r="T51" s="424">
        <f>'ANALYSE - ERP =&gt; SOUS-SEGMENT'!$EY$63</f>
        <v>12718.614787391452</v>
      </c>
      <c r="U51" s="427">
        <f>'ANALYSE - ERP =&gt; SOUS-SEGMENT'!$FB$63</f>
        <v>5617.7452420923073</v>
      </c>
      <c r="V51" s="427">
        <f>'ANALYSE - ERP =&gt; SOUS-SEGMENT'!$FE$63</f>
        <v>419.09006345299144</v>
      </c>
      <c r="W51" s="427">
        <f>'ANALYSE - ERP =&gt; SOUS-SEGMENT'!$FH$63</f>
        <v>1306.6668658461535</v>
      </c>
      <c r="X51" s="427">
        <f>'ANALYSE - ERP =&gt; SOUS-SEGMENT'!$FK$63</f>
        <v>5375.1126160000003</v>
      </c>
      <c r="Z51" s="427">
        <f>'ANALYSE - ERP =&gt; SOUS-SEGMENT'!$EZ$63</f>
        <v>3613.3599999999997</v>
      </c>
      <c r="AA51" s="427">
        <f>'ANALYSE - ERP =&gt; SOUS-SEGMENT'!$FC$63</f>
        <v>1631.84</v>
      </c>
      <c r="AB51" s="427">
        <f>'ANALYSE - ERP =&gt; SOUS-SEGMENT'!$FF$63</f>
        <v>116.56</v>
      </c>
      <c r="AC51" s="427">
        <f>'ANALYSE - ERP =&gt; SOUS-SEGMENT'!$FI$63</f>
        <v>349.67999999999995</v>
      </c>
      <c r="AD51" s="427">
        <f>'ANALYSE - ERP =&gt; SOUS-SEGMENT'!$FL$63</f>
        <v>1515.28</v>
      </c>
      <c r="AF51" s="430">
        <f>'ANALYSE - ERP =&gt; SOUS-SEGMENT'!$Q$63</f>
        <v>1</v>
      </c>
    </row>
    <row r="52" spans="1:32" ht="15" customHeight="1">
      <c r="A52" s="26">
        <v>49</v>
      </c>
      <c r="B52" s="26">
        <v>46</v>
      </c>
      <c r="C52" s="26">
        <v>58</v>
      </c>
      <c r="D52" s="422">
        <f>'ANALYSE - ERP =&gt; SOUS-SEGMENT'!$A$30</f>
        <v>23</v>
      </c>
      <c r="E52" s="413" t="str">
        <f>'ANALYSE - ERP =&gt; SOUS-SEGMENT'!$B$30</f>
        <v>Sports &amp; Loisirs</v>
      </c>
      <c r="F52" s="413" t="str">
        <f>'ANALYSE - ERP =&gt; SOUS-SEGMENT'!$C$30</f>
        <v>Sport de plein air</v>
      </c>
      <c r="G52" s="413" t="str">
        <f>'ANALYSE - ERP =&gt; SOUS-SEGMENT'!$D$30</f>
        <v>Hippodromes, Centres équestres &amp; Manèges couverts</v>
      </c>
      <c r="I52" s="427">
        <f t="shared" si="5"/>
        <v>9206.4531302922078</v>
      </c>
      <c r="K52" s="787">
        <f t="shared" si="3"/>
        <v>0.87246195865195997</v>
      </c>
      <c r="L52" s="787">
        <f t="shared" si="4"/>
        <v>0.12753804134804</v>
      </c>
      <c r="N52" s="424">
        <f>'ANALYSE - ERP =&gt; SOUS-SEGMENT'!$EX$30</f>
        <v>46032.265651461035</v>
      </c>
      <c r="O52" s="427">
        <f>'ANALYSE - ERP =&gt; SOUS-SEGMENT'!$FA$30</f>
        <v>14757.393981818183</v>
      </c>
      <c r="P52" s="427">
        <f>'ANALYSE - ERP =&gt; SOUS-SEGMENT'!$FD$30</f>
        <v>13768.151183035716</v>
      </c>
      <c r="Q52" s="427">
        <f>'ANALYSE - ERP =&gt; SOUS-SEGMENT'!$FG$30</f>
        <v>4091.9467366071431</v>
      </c>
      <c r="R52" s="427">
        <f>'ANALYSE - ERP =&gt; SOUS-SEGMENT'!$FJ$30</f>
        <v>13414.77375</v>
      </c>
      <c r="T52" s="424">
        <f>'ANALYSE - ERP =&gt; SOUS-SEGMENT'!$EY$30</f>
        <v>40161.400651461037</v>
      </c>
      <c r="U52" s="427">
        <f>'ANALYSE - ERP =&gt; SOUS-SEGMENT'!$FB$30</f>
        <v>12715.353981818182</v>
      </c>
      <c r="V52" s="427">
        <f>'ANALYSE - ERP =&gt; SOUS-SEGMENT'!$FE$30</f>
        <v>12236.621183035715</v>
      </c>
      <c r="W52" s="427">
        <f>'ANALYSE - ERP =&gt; SOUS-SEGMENT'!$FH$30</f>
        <v>3581.4367366071428</v>
      </c>
      <c r="X52" s="427">
        <f>'ANALYSE - ERP =&gt; SOUS-SEGMENT'!$FK$30</f>
        <v>11627.98875</v>
      </c>
      <c r="Z52" s="427">
        <f>'ANALYSE - ERP =&gt; SOUS-SEGMENT'!$EZ$30</f>
        <v>5870.8649999999998</v>
      </c>
      <c r="AA52" s="427">
        <f>'ANALYSE - ERP =&gt; SOUS-SEGMENT'!$FC$30</f>
        <v>2042.04</v>
      </c>
      <c r="AB52" s="427">
        <f>'ANALYSE - ERP =&gt; SOUS-SEGMENT'!$FF$30</f>
        <v>1531.53</v>
      </c>
      <c r="AC52" s="427">
        <f>'ANALYSE - ERP =&gt; SOUS-SEGMENT'!$FI$30</f>
        <v>510.51</v>
      </c>
      <c r="AD52" s="427">
        <f>'ANALYSE - ERP =&gt; SOUS-SEGMENT'!$FL$30</f>
        <v>1786.7849999999999</v>
      </c>
      <c r="AF52" s="430">
        <f>'ANALYSE - ERP =&gt; SOUS-SEGMENT'!$Q$30</f>
        <v>1</v>
      </c>
    </row>
    <row r="53" spans="1:32" ht="15" customHeight="1">
      <c r="A53" s="26">
        <v>50</v>
      </c>
      <c r="B53" s="26">
        <v>49</v>
      </c>
      <c r="C53" s="26">
        <v>55</v>
      </c>
      <c r="D53" s="422">
        <f>'ANALYSE - ERP =&gt; SOUS-SEGMENT'!$A$60</f>
        <v>53</v>
      </c>
      <c r="E53" s="417" t="str">
        <f>'ANALYSE - ERP =&gt; SOUS-SEGMENT'!$B$60</f>
        <v>Santé &amp; Médico-social</v>
      </c>
      <c r="F53" s="417" t="str">
        <f>'ANALYSE - ERP =&gt; SOUS-SEGMENT'!$C$60</f>
        <v>Médico-social</v>
      </c>
      <c r="G53" s="417" t="str">
        <f>'ANALYSE - ERP =&gt; SOUS-SEGMENT'!$D$60</f>
        <v>Résidences autonomie
Foyers-logements
(Public)</v>
      </c>
      <c r="I53" s="427">
        <f t="shared" si="5"/>
        <v>2886.3106819032882</v>
      </c>
      <c r="K53" s="787">
        <f t="shared" si="3"/>
        <v>0.82111287906833152</v>
      </c>
      <c r="L53" s="787">
        <f t="shared" si="4"/>
        <v>0.17888712093166848</v>
      </c>
      <c r="N53" s="424">
        <f>'ANALYSE - ERP =&gt; SOUS-SEGMENT'!$EX$60</f>
        <v>14431.55340951644</v>
      </c>
      <c r="O53" s="427">
        <f>'ANALYSE - ERP =&gt; SOUS-SEGMENT'!$FA$60</f>
        <v>5439.1291386758239</v>
      </c>
      <c r="P53" s="427">
        <f>'ANALYSE - ERP =&gt; SOUS-SEGMENT'!$FD$60</f>
        <v>2780.9374960096152</v>
      </c>
      <c r="Q53" s="427">
        <f>'ANALYSE - ERP =&gt; SOUS-SEGMENT'!$FG$60</f>
        <v>982.91427598484836</v>
      </c>
      <c r="R53" s="427">
        <f>'ANALYSE - ERP =&gt; SOUS-SEGMENT'!$FJ$60</f>
        <v>5228.5724988461534</v>
      </c>
      <c r="T53" s="424">
        <f>'ANALYSE - ERP =&gt; SOUS-SEGMENT'!$EY$60</f>
        <v>11849.934369516441</v>
      </c>
      <c r="U53" s="427">
        <f>'ANALYSE - ERP =&gt; SOUS-SEGMENT'!$FB$60</f>
        <v>4471.0219986758239</v>
      </c>
      <c r="V53" s="427">
        <f>'ANALYSE - ERP =&gt; SOUS-SEGMENT'!$FE$60</f>
        <v>2296.8839260096152</v>
      </c>
      <c r="W53" s="427">
        <f>'ANALYSE - ERP =&gt; SOUS-SEGMENT'!$FH$60</f>
        <v>821.56308598484839</v>
      </c>
      <c r="X53" s="427">
        <f>'ANALYSE - ERP =&gt; SOUS-SEGMENT'!$FK$60</f>
        <v>4260.4653588461533</v>
      </c>
      <c r="Z53" s="427">
        <f>'ANALYSE - ERP =&gt; SOUS-SEGMENT'!$EZ$60</f>
        <v>2581.61904</v>
      </c>
      <c r="AA53" s="427">
        <f>'ANALYSE - ERP =&gt; SOUS-SEGMENT'!$FC$60</f>
        <v>968.10713999999996</v>
      </c>
      <c r="AB53" s="427">
        <f>'ANALYSE - ERP =&gt; SOUS-SEGMENT'!$FF$60</f>
        <v>484.05356999999998</v>
      </c>
      <c r="AC53" s="427">
        <f>'ANALYSE - ERP =&gt; SOUS-SEGMENT'!$FI$60</f>
        <v>161.35119</v>
      </c>
      <c r="AD53" s="427">
        <f>'ANALYSE - ERP =&gt; SOUS-SEGMENT'!$FL$60</f>
        <v>968.10713999999996</v>
      </c>
      <c r="AF53" s="430">
        <f>'ANALYSE - ERP =&gt; SOUS-SEGMENT'!$Q$60</f>
        <v>1</v>
      </c>
    </row>
    <row r="54" spans="1:32" ht="15" customHeight="1">
      <c r="A54" s="26">
        <v>51</v>
      </c>
      <c r="B54" s="26">
        <v>51</v>
      </c>
      <c r="C54" s="26">
        <v>54</v>
      </c>
      <c r="D54" s="422">
        <f>'ANALYSE - ERP =&gt; SOUS-SEGMENT'!$A$139</f>
        <v>132</v>
      </c>
      <c r="E54" s="410" t="str">
        <f>'ANALYSE - ERP =&gt; SOUS-SEGMENT'!$B$139</f>
        <v>Sécurité &amp; Justice</v>
      </c>
      <c r="F54" s="410" t="str">
        <f>'ANALYSE - ERP =&gt; SOUS-SEGMENT'!$C$139</f>
        <v>Univers carcéral</v>
      </c>
      <c r="G54" s="410" t="str">
        <f>'ANALYSE - ERP =&gt; SOUS-SEGMENT'!$D$139</f>
        <v>Maisons d’arrêt</v>
      </c>
      <c r="I54" s="427">
        <f t="shared" si="5"/>
        <v>2743.7468296363636</v>
      </c>
      <c r="K54" s="787">
        <f t="shared" si="3"/>
        <v>0.81073942012761369</v>
      </c>
      <c r="L54" s="787">
        <f t="shared" si="4"/>
        <v>0.1892605798723864</v>
      </c>
      <c r="N54" s="424">
        <f>'ANALYSE - ERP =&gt; SOUS-SEGMENT'!$EX$139</f>
        <v>13718.734148181818</v>
      </c>
      <c r="O54" s="427">
        <f>'ANALYSE - ERP =&gt; SOUS-SEGMENT'!$FA$139</f>
        <v>6459.9011909090905</v>
      </c>
      <c r="P54" s="427">
        <f>'ANALYSE - ERP =&gt; SOUS-SEGMENT'!$FD$139</f>
        <v>1174.8035</v>
      </c>
      <c r="Q54" s="427">
        <f>'ANALYSE - ERP =&gt; SOUS-SEGMENT'!$FG$139</f>
        <v>90.898984545454553</v>
      </c>
      <c r="R54" s="427">
        <f>'ANALYSE - ERP =&gt; SOUS-SEGMENT'!$FJ$139</f>
        <v>5993.1304727272745</v>
      </c>
      <c r="T54" s="424">
        <f>'ANALYSE - ERP =&gt; SOUS-SEGMENT'!$EY$139</f>
        <v>11122.31856818182</v>
      </c>
      <c r="U54" s="427">
        <f>'ANALYSE - ERP =&gt; SOUS-SEGMENT'!$FB$139</f>
        <v>5236.0015909090907</v>
      </c>
      <c r="V54" s="427">
        <f>'ANALYSE - ERP =&gt; SOUS-SEGMENT'!$FE$139</f>
        <v>956.24999999999989</v>
      </c>
      <c r="W54" s="427">
        <f>'ANALYSE - ERP =&gt; SOUS-SEGMENT'!$FH$139</f>
        <v>73.414704545454555</v>
      </c>
      <c r="X54" s="427">
        <f>'ANALYSE - ERP =&gt; SOUS-SEGMENT'!$FK$139</f>
        <v>4856.6522727272741</v>
      </c>
      <c r="Z54" s="427">
        <f>'ANALYSE - ERP =&gt; SOUS-SEGMENT'!$EZ$139</f>
        <v>2596.4155799999999</v>
      </c>
      <c r="AA54" s="427">
        <f>'ANALYSE - ERP =&gt; SOUS-SEGMENT'!$FC$139</f>
        <v>1223.8996</v>
      </c>
      <c r="AB54" s="427">
        <f>'ANALYSE - ERP =&gt; SOUS-SEGMENT'!$FF$139</f>
        <v>218.55349999999999</v>
      </c>
      <c r="AC54" s="427">
        <f>'ANALYSE - ERP =&gt; SOUS-SEGMENT'!$FI$139</f>
        <v>17.484279999999998</v>
      </c>
      <c r="AD54" s="427">
        <f>'ANALYSE - ERP =&gt; SOUS-SEGMENT'!$FL$139</f>
        <v>1136.4782</v>
      </c>
      <c r="AF54" s="430">
        <f>'ANALYSE - ERP =&gt; SOUS-SEGMENT'!$Q$139</f>
        <v>1</v>
      </c>
    </row>
    <row r="55" spans="1:32" ht="15" customHeight="1">
      <c r="A55" s="26">
        <v>52</v>
      </c>
      <c r="B55" s="26">
        <v>50</v>
      </c>
      <c r="C55" s="26">
        <v>68</v>
      </c>
      <c r="D55" s="422">
        <f>'ANALYSE - ERP =&gt; SOUS-SEGMENT'!$A$122</f>
        <v>115</v>
      </c>
      <c r="E55" s="413" t="str">
        <f>'ANALYSE - ERP =&gt; SOUS-SEGMENT'!$B$122</f>
        <v>Transport, Mobilité &amp; Stationnement</v>
      </c>
      <c r="F55" s="413" t="str">
        <f>'ANALYSE - ERP =&gt; SOUS-SEGMENT'!$C$122</f>
        <v>Transport / Mobilité</v>
      </c>
      <c r="G55" s="413" t="str">
        <f>'ANALYSE - ERP =&gt; SOUS-SEGMENT'!$D$122</f>
        <v>Aires de repos - Autoroutes
(Hors Aires de service)</v>
      </c>
      <c r="I55" s="427">
        <f t="shared" si="5"/>
        <v>2463.6922809199996</v>
      </c>
      <c r="K55" s="787">
        <f t="shared" si="3"/>
        <v>0.86679533862993163</v>
      </c>
      <c r="L55" s="787">
        <f t="shared" si="4"/>
        <v>0.13320466137006839</v>
      </c>
      <c r="N55" s="424">
        <f>'ANALYSE - ERP =&gt; SOUS-SEGMENT'!$EX$122</f>
        <v>12318.461404599999</v>
      </c>
      <c r="O55" s="427">
        <f>'ANALYSE - ERP =&gt; SOUS-SEGMENT'!$FA$122</f>
        <v>5815.1711439000001</v>
      </c>
      <c r="P55" s="427">
        <f>'ANALYSE - ERP =&gt; SOUS-SEGMENT'!$FD$122</f>
        <v>0</v>
      </c>
      <c r="Q55" s="427">
        <f>'ANALYSE - ERP =&gt; SOUS-SEGMENT'!$FG$122</f>
        <v>1333.3904087000001</v>
      </c>
      <c r="R55" s="427">
        <f>'ANALYSE - ERP =&gt; SOUS-SEGMENT'!$FJ$122</f>
        <v>5169.8998520000005</v>
      </c>
      <c r="T55" s="424">
        <f>'ANALYSE - ERP =&gt; SOUS-SEGMENT'!$EY$122</f>
        <v>10677.5849246</v>
      </c>
      <c r="U55" s="427">
        <f>'ANALYSE - ERP =&gt; SOUS-SEGMENT'!$FB$122</f>
        <v>5037.9138639000003</v>
      </c>
      <c r="V55" s="427">
        <f>'ANALYSE - ERP =&gt; SOUS-SEGMENT'!$FE$122</f>
        <v>0</v>
      </c>
      <c r="W55" s="427">
        <f>'ANALYSE - ERP =&gt; SOUS-SEGMENT'!$FH$122</f>
        <v>1160.6665687</v>
      </c>
      <c r="X55" s="427">
        <f>'ANALYSE - ERP =&gt; SOUS-SEGMENT'!$FK$122</f>
        <v>4479.004492</v>
      </c>
      <c r="Z55" s="427">
        <f>'ANALYSE - ERP =&gt; SOUS-SEGMENT'!$EZ$122</f>
        <v>1640.8764799999999</v>
      </c>
      <c r="AA55" s="427">
        <f>'ANALYSE - ERP =&gt; SOUS-SEGMENT'!$FC$122</f>
        <v>777.25727999999992</v>
      </c>
      <c r="AB55" s="427">
        <f>'ANALYSE - ERP =&gt; SOUS-SEGMENT'!$FF$122</f>
        <v>0</v>
      </c>
      <c r="AC55" s="427">
        <f>'ANALYSE - ERP =&gt; SOUS-SEGMENT'!$FI$122</f>
        <v>172.72384</v>
      </c>
      <c r="AD55" s="427">
        <f>'ANALYSE - ERP =&gt; SOUS-SEGMENT'!$FL$122</f>
        <v>690.89535999999998</v>
      </c>
      <c r="AF55" s="430">
        <f>'ANALYSE - ERP =&gt; SOUS-SEGMENT'!$Q$122</f>
        <v>1</v>
      </c>
    </row>
    <row r="56" spans="1:32" ht="15" customHeight="1">
      <c r="A56" s="26">
        <v>53</v>
      </c>
      <c r="B56" s="26">
        <v>52</v>
      </c>
      <c r="C56" s="26">
        <v>49</v>
      </c>
      <c r="D56" s="422">
        <f>'ANALYSE - ERP =&gt; SOUS-SEGMENT'!$A$116</f>
        <v>109</v>
      </c>
      <c r="E56" s="409" t="str">
        <f>'ANALYSE - ERP =&gt; SOUS-SEGMENT'!$B$116</f>
        <v>Culte, Vie civique &amp; Services publics</v>
      </c>
      <c r="F56" s="409" t="str">
        <f>'ANALYSE - ERP =&gt; SOUS-SEGMENT'!$C$116</f>
        <v>Culte</v>
      </c>
      <c r="G56" s="409" t="str">
        <f>'ANALYSE - ERP =&gt; SOUS-SEGMENT'!$D$116</f>
        <v>Mosquées et salles de prière musulmanes</v>
      </c>
      <c r="I56" s="427">
        <f t="shared" si="5"/>
        <v>3657.5560190476185</v>
      </c>
      <c r="K56" s="787">
        <f t="shared" si="3"/>
        <v>0.78286528056874582</v>
      </c>
      <c r="L56" s="787">
        <f t="shared" si="4"/>
        <v>0.21713471943125429</v>
      </c>
      <c r="N56" s="424">
        <f>'ANALYSE - ERP =&gt; SOUS-SEGMENT'!$EX$116</f>
        <v>18287.780095238093</v>
      </c>
      <c r="O56" s="427">
        <f>'ANALYSE - ERP =&gt; SOUS-SEGMENT'!$FA$116</f>
        <v>9678.4320000000007</v>
      </c>
      <c r="P56" s="427">
        <f>'ANALYSE - ERP =&gt; SOUS-SEGMENT'!$FD$116</f>
        <v>0</v>
      </c>
      <c r="Q56" s="427">
        <f>'ANALYSE - ERP =&gt; SOUS-SEGMENT'!$FG$116</f>
        <v>1837.380095238095</v>
      </c>
      <c r="R56" s="427">
        <f>'ANALYSE - ERP =&gt; SOUS-SEGMENT'!$FJ$116</f>
        <v>6771.9679999999998</v>
      </c>
      <c r="T56" s="424">
        <f>'ANALYSE - ERP =&gt; SOUS-SEGMENT'!$EY$116</f>
        <v>14316.868095238095</v>
      </c>
      <c r="U56" s="427">
        <f>'ANALYSE - ERP =&gt; SOUS-SEGMENT'!$FB$116</f>
        <v>7512.48</v>
      </c>
      <c r="V56" s="427">
        <f>'ANALYSE - ERP =&gt; SOUS-SEGMENT'!$FE$116</f>
        <v>0</v>
      </c>
      <c r="W56" s="427">
        <f>'ANALYSE - ERP =&gt; SOUS-SEGMENT'!$FH$116</f>
        <v>1476.388095238095</v>
      </c>
      <c r="X56" s="427">
        <f>'ANALYSE - ERP =&gt; SOUS-SEGMENT'!$FK$116</f>
        <v>5328</v>
      </c>
      <c r="Z56" s="427">
        <f>'ANALYSE - ERP =&gt; SOUS-SEGMENT'!$EZ$116</f>
        <v>3970.9120000000003</v>
      </c>
      <c r="AA56" s="427">
        <f>'ANALYSE - ERP =&gt; SOUS-SEGMENT'!$FC$116</f>
        <v>2165.9520000000002</v>
      </c>
      <c r="AB56" s="427">
        <f>'ANALYSE - ERP =&gt; SOUS-SEGMENT'!$FF$116</f>
        <v>0</v>
      </c>
      <c r="AC56" s="427">
        <f>'ANALYSE - ERP =&gt; SOUS-SEGMENT'!$FI$116</f>
        <v>360.99199999999996</v>
      </c>
      <c r="AD56" s="427">
        <f>'ANALYSE - ERP =&gt; SOUS-SEGMENT'!$FL$116</f>
        <v>1443.9679999999998</v>
      </c>
      <c r="AF56" s="430">
        <f>'ANALYSE - ERP =&gt; SOUS-SEGMENT'!$Q$116</f>
        <v>1</v>
      </c>
    </row>
    <row r="57" spans="1:32" ht="15" customHeight="1">
      <c r="A57" s="26">
        <v>54</v>
      </c>
      <c r="B57" s="26">
        <v>60</v>
      </c>
      <c r="C57" s="26">
        <v>41</v>
      </c>
      <c r="D57" s="422">
        <f>'ANALYSE - ERP =&gt; SOUS-SEGMENT'!$A$18</f>
        <v>11</v>
      </c>
      <c r="E57" s="409" t="str">
        <f>'ANALYSE - ERP =&gt; SOUS-SEGMENT'!$B$18</f>
        <v>Enfance, Enseignement, Jeunesse &amp; Formation</v>
      </c>
      <c r="F57" s="409" t="str">
        <f>'ANALYSE - ERP =&gt; SOUS-SEGMENT'!$C$18</f>
        <v>Enseignement supérieur</v>
      </c>
      <c r="G57" s="409" t="str">
        <f>'ANALYSE - ERP =&gt; SOUS-SEGMENT'!$D$18</f>
        <v>Résidences étudiantes et dortoirs</v>
      </c>
      <c r="I57" s="427">
        <f t="shared" si="5"/>
        <v>2626.0745327096001</v>
      </c>
      <c r="K57" s="787">
        <f t="shared" si="3"/>
        <v>0.57930148583403862</v>
      </c>
      <c r="L57" s="787">
        <f t="shared" si="4"/>
        <v>0.42069851416596138</v>
      </c>
      <c r="N57" s="424">
        <f>'ANALYSE - ERP =&gt; SOUS-SEGMENT'!$EX$18</f>
        <v>13130.372663548</v>
      </c>
      <c r="O57" s="427">
        <f>'ANALYSE - ERP =&gt; SOUS-SEGMENT'!$FA$18</f>
        <v>4287.4686248319995</v>
      </c>
      <c r="P57" s="427">
        <f>'ANALYSE - ERP =&gt; SOUS-SEGMENT'!$FD$18</f>
        <v>4555.4354138840008</v>
      </c>
      <c r="Q57" s="427">
        <f>'ANALYSE - ERP =&gt; SOUS-SEGMENT'!$FG$18</f>
        <v>803.90036715600013</v>
      </c>
      <c r="R57" s="427">
        <f>'ANALYSE - ERP =&gt; SOUS-SEGMENT'!$FJ$18</f>
        <v>3483.568257676</v>
      </c>
      <c r="T57" s="424">
        <f>'ANALYSE - ERP =&gt; SOUS-SEGMENT'!$EY$18</f>
        <v>7606.4443935479994</v>
      </c>
      <c r="U57" s="427">
        <f>'ANALYSE - ERP =&gt; SOUS-SEGMENT'!$FB$18</f>
        <v>2483.7369448319996</v>
      </c>
      <c r="V57" s="427">
        <f>'ANALYSE - ERP =&gt; SOUS-SEGMENT'!$FE$18</f>
        <v>2638.9705038840002</v>
      </c>
      <c r="W57" s="427">
        <f>'ANALYSE - ERP =&gt; SOUS-SEGMENT'!$FH$18</f>
        <v>465.70067715600004</v>
      </c>
      <c r="X57" s="427">
        <f>'ANALYSE - ERP =&gt; SOUS-SEGMENT'!$FK$18</f>
        <v>2018.0362676760001</v>
      </c>
      <c r="Z57" s="427">
        <f>'ANALYSE - ERP =&gt; SOUS-SEGMENT'!$EZ$18</f>
        <v>5523.9282700000003</v>
      </c>
      <c r="AA57" s="427">
        <f>'ANALYSE - ERP =&gt; SOUS-SEGMENT'!$FC$18</f>
        <v>1803.7316799999999</v>
      </c>
      <c r="AB57" s="427">
        <f>'ANALYSE - ERP =&gt; SOUS-SEGMENT'!$FF$18</f>
        <v>1916.4649100000001</v>
      </c>
      <c r="AC57" s="427">
        <f>'ANALYSE - ERP =&gt; SOUS-SEGMENT'!$FI$18</f>
        <v>338.19969000000003</v>
      </c>
      <c r="AD57" s="427">
        <f>'ANALYSE - ERP =&gt; SOUS-SEGMENT'!$FL$18</f>
        <v>1465.53199</v>
      </c>
      <c r="AF57" s="430">
        <f>'ANALYSE - ERP =&gt; SOUS-SEGMENT'!$Q$18</f>
        <v>1</v>
      </c>
    </row>
    <row r="58" spans="1:32" ht="15" customHeight="1">
      <c r="A58" s="26">
        <v>55</v>
      </c>
      <c r="B58" s="26">
        <v>53</v>
      </c>
      <c r="C58" s="26">
        <v>51</v>
      </c>
      <c r="D58" s="422">
        <f>'ANALYSE - ERP =&gt; SOUS-SEGMENT'!$A$43</f>
        <v>36</v>
      </c>
      <c r="E58" s="408" t="str">
        <f>'ANALYSE - ERP =&gt; SOUS-SEGMENT'!$B$43</f>
        <v>Santé &amp; Médico-social</v>
      </c>
      <c r="F58" s="408" t="str">
        <f>'ANALYSE - ERP =&gt; SOUS-SEGMENT'!$C$43</f>
        <v>Santé hospitalière</v>
      </c>
      <c r="G58" s="408" t="str">
        <f>'ANALYSE - ERP =&gt; SOUS-SEGMENT'!$D$43</f>
        <v>Hôpitaux universitaires / CHU</v>
      </c>
      <c r="I58" s="427">
        <f t="shared" si="5"/>
        <v>2735.1420941818187</v>
      </c>
      <c r="K58" s="787">
        <f t="shared" si="3"/>
        <v>0.77409540172908964</v>
      </c>
      <c r="L58" s="787">
        <f t="shared" si="4"/>
        <v>0.22590459827091031</v>
      </c>
      <c r="N58" s="424">
        <f>'ANALYSE - ERP =&gt; SOUS-SEGMENT'!$EX$43</f>
        <v>13675.710470909093</v>
      </c>
      <c r="O58" s="427">
        <f>'ANALYSE - ERP =&gt; SOUS-SEGMENT'!$FA$43</f>
        <v>5677.0752000000002</v>
      </c>
      <c r="P58" s="427">
        <f>'ANALYSE - ERP =&gt; SOUS-SEGMENT'!$FD$43</f>
        <v>2990.9119909090914</v>
      </c>
      <c r="Q58" s="427">
        <f>'ANALYSE - ERP =&gt; SOUS-SEGMENT'!$FG$43</f>
        <v>103.15367999999999</v>
      </c>
      <c r="R58" s="427">
        <f>'ANALYSE - ERP =&gt; SOUS-SEGMENT'!$FJ$43</f>
        <v>4904.5695999999998</v>
      </c>
      <c r="T58" s="424">
        <f>'ANALYSE - ERP =&gt; SOUS-SEGMENT'!$EY$43</f>
        <v>10586.304590909092</v>
      </c>
      <c r="U58" s="427">
        <f>'ANALYSE - ERP =&gt; SOUS-SEGMENT'!$FB$43</f>
        <v>4435.47</v>
      </c>
      <c r="V58" s="427">
        <f>'ANALYSE - ERP =&gt; SOUS-SEGMENT'!$FE$43</f>
        <v>2333.5915909090913</v>
      </c>
      <c r="W58" s="427">
        <f>'ANALYSE - ERP =&gt; SOUS-SEGMENT'!$FH$43</f>
        <v>81.242999999999995</v>
      </c>
      <c r="X58" s="427">
        <f>'ANALYSE - ERP =&gt; SOUS-SEGMENT'!$FK$43</f>
        <v>3736</v>
      </c>
      <c r="Z58" s="427">
        <f>'ANALYSE - ERP =&gt; SOUS-SEGMENT'!$EZ$43</f>
        <v>3089.4058800000003</v>
      </c>
      <c r="AA58" s="427">
        <f>'ANALYSE - ERP =&gt; SOUS-SEGMENT'!$FC$43</f>
        <v>1241.6052</v>
      </c>
      <c r="AB58" s="427">
        <f>'ANALYSE - ERP =&gt; SOUS-SEGMENT'!$FF$43</f>
        <v>657.32039999999995</v>
      </c>
      <c r="AC58" s="427">
        <f>'ANALYSE - ERP =&gt; SOUS-SEGMENT'!$FI$43</f>
        <v>21.910679999999999</v>
      </c>
      <c r="AD58" s="427">
        <f>'ANALYSE - ERP =&gt; SOUS-SEGMENT'!$FL$43</f>
        <v>1168.5696</v>
      </c>
      <c r="AF58" s="430">
        <f>'ANALYSE - ERP =&gt; SOUS-SEGMENT'!$Q$43</f>
        <v>1</v>
      </c>
    </row>
    <row r="59" spans="1:32" ht="15" customHeight="1">
      <c r="A59" s="26">
        <v>56</v>
      </c>
      <c r="B59" s="26">
        <v>74</v>
      </c>
      <c r="C59" s="26">
        <v>35</v>
      </c>
      <c r="D59" s="422">
        <f>'ANALYSE - ERP =&gt; SOUS-SEGMENT'!$A$61</f>
        <v>54</v>
      </c>
      <c r="E59" s="414" t="str">
        <f>'ANALYSE - ERP =&gt; SOUS-SEGMENT'!$B$61</f>
        <v>Santé &amp; Médico-social</v>
      </c>
      <c r="F59" s="414" t="str">
        <f>'ANALYSE - ERP =&gt; SOUS-SEGMENT'!$C$61</f>
        <v>Médico-social</v>
      </c>
      <c r="G59" s="414" t="str">
        <f>'ANALYSE - ERP =&gt; SOUS-SEGMENT'!$D$61</f>
        <v>Résidences services seniors
(Privé)</v>
      </c>
      <c r="I59" s="427">
        <f t="shared" si="5"/>
        <v>2569.4922581998444</v>
      </c>
      <c r="K59" s="787">
        <f t="shared" si="3"/>
        <v>0.29459276080098307</v>
      </c>
      <c r="L59" s="787">
        <f t="shared" si="4"/>
        <v>0.70540723919901693</v>
      </c>
      <c r="N59" s="424">
        <f>'ANALYSE - ERP =&gt; SOUS-SEGMENT'!$EX$61</f>
        <v>12847.461290999223</v>
      </c>
      <c r="O59" s="427">
        <f>'ANALYSE - ERP =&gt; SOUS-SEGMENT'!$FA$61</f>
        <v>5023.4371270769234</v>
      </c>
      <c r="P59" s="427">
        <f>'ANALYSE - ERP =&gt; SOUS-SEGMENT'!$FD$61</f>
        <v>2190.7388966153844</v>
      </c>
      <c r="Q59" s="427">
        <f>'ANALYSE - ERP =&gt; SOUS-SEGMENT'!$FG$61</f>
        <v>781.88731479409478</v>
      </c>
      <c r="R59" s="427">
        <f>'ANALYSE - ERP =&gt; SOUS-SEGMENT'!$FJ$61</f>
        <v>4851.3979525128207</v>
      </c>
      <c r="T59" s="424">
        <f>'ANALYSE - ERP =&gt; SOUS-SEGMENT'!$EY$61</f>
        <v>3784.7690909992234</v>
      </c>
      <c r="U59" s="427">
        <f>'ANALYSE - ERP =&gt; SOUS-SEGMENT'!$FB$61</f>
        <v>1499.0568270769234</v>
      </c>
      <c r="V59" s="427">
        <f>'ANALYSE - ERP =&gt; SOUS-SEGMENT'!$FE$61</f>
        <v>680.2901966153845</v>
      </c>
      <c r="W59" s="427">
        <f>'ANALYSE - ERP =&gt; SOUS-SEGMENT'!$FH$61</f>
        <v>278.40441479409481</v>
      </c>
      <c r="X59" s="427">
        <f>'ANALYSE - ERP =&gt; SOUS-SEGMENT'!$FK$61</f>
        <v>1327.0176525128206</v>
      </c>
      <c r="Z59" s="427">
        <f>'ANALYSE - ERP =&gt; SOUS-SEGMENT'!$EZ$61</f>
        <v>9062.6921999999995</v>
      </c>
      <c r="AA59" s="427">
        <f>'ANALYSE - ERP =&gt; SOUS-SEGMENT'!$FC$61</f>
        <v>3524.3802999999998</v>
      </c>
      <c r="AB59" s="427">
        <f>'ANALYSE - ERP =&gt; SOUS-SEGMENT'!$FF$61</f>
        <v>1510.4486999999999</v>
      </c>
      <c r="AC59" s="427">
        <f>'ANALYSE - ERP =&gt; SOUS-SEGMENT'!$FI$61</f>
        <v>503.48289999999997</v>
      </c>
      <c r="AD59" s="427">
        <f>'ANALYSE - ERP =&gt; SOUS-SEGMENT'!$FL$61</f>
        <v>3524.3802999999998</v>
      </c>
      <c r="AF59" s="430">
        <f>'ANALYSE - ERP =&gt; SOUS-SEGMENT'!$Q$61</f>
        <v>1</v>
      </c>
    </row>
    <row r="60" spans="1:32" ht="15" customHeight="1">
      <c r="A60" s="26">
        <v>57</v>
      </c>
      <c r="B60" s="26">
        <v>56</v>
      </c>
      <c r="C60" s="26">
        <v>50</v>
      </c>
      <c r="D60" s="422">
        <f>'ANALYSE - ERP =&gt; SOUS-SEGMENT'!$A$123</f>
        <v>116</v>
      </c>
      <c r="E60" s="409" t="str">
        <f>'ANALYSE - ERP =&gt; SOUS-SEGMENT'!$B$123</f>
        <v>Transport, Mobilité &amp; Stationnement</v>
      </c>
      <c r="F60" s="409" t="str">
        <f>'ANALYSE - ERP =&gt; SOUS-SEGMENT'!$C$123</f>
        <v>Transport / Mobilité</v>
      </c>
      <c r="G60" s="409" t="str">
        <f>'ANALYSE - ERP =&gt; SOUS-SEGMENT'!$D$123</f>
        <v>Parcs de stationnement couverts (dotés de sanitaires)</v>
      </c>
      <c r="I60" s="427">
        <f t="shared" si="5"/>
        <v>221.33747743056279</v>
      </c>
      <c r="K60" s="787">
        <f t="shared" si="3"/>
        <v>0.76630433038061896</v>
      </c>
      <c r="L60" s="787">
        <f t="shared" si="4"/>
        <v>0.23369566961938099</v>
      </c>
      <c r="N60" s="424">
        <f>'ANALYSE - ERP =&gt; SOUS-SEGMENT'!$EX$123</f>
        <v>1106.6873871528139</v>
      </c>
      <c r="O60" s="427">
        <f>'ANALYSE - ERP =&gt; SOUS-SEGMENT'!$FA$123</f>
        <v>475.19803389090907</v>
      </c>
      <c r="P60" s="427">
        <f>'ANALYSE - ERP =&gt; SOUS-SEGMENT'!$FD$123</f>
        <v>0</v>
      </c>
      <c r="Q60" s="427">
        <f>'ANALYSE - ERP =&gt; SOUS-SEGMENT'!$FG$123</f>
        <v>134.26438326190475</v>
      </c>
      <c r="R60" s="427">
        <f>'ANALYSE - ERP =&gt; SOUS-SEGMENT'!$FJ$123</f>
        <v>497.22496999999998</v>
      </c>
      <c r="T60" s="424">
        <f>'ANALYSE - ERP =&gt; SOUS-SEGMENT'!$EY$123</f>
        <v>848.0593371528139</v>
      </c>
      <c r="U60" s="427">
        <f>'ANALYSE - ERP =&gt; SOUS-SEGMENT'!$FB$123</f>
        <v>360.25223389090911</v>
      </c>
      <c r="V60" s="427">
        <f>'ANALYSE - ERP =&gt; SOUS-SEGMENT'!$FE$123</f>
        <v>0</v>
      </c>
      <c r="W60" s="427">
        <f>'ANALYSE - ERP =&gt; SOUS-SEGMENT'!$FH$123</f>
        <v>105.52793326190476</v>
      </c>
      <c r="X60" s="427">
        <f>'ANALYSE - ERP =&gt; SOUS-SEGMENT'!$FK$123</f>
        <v>382.27917000000002</v>
      </c>
      <c r="Z60" s="427">
        <f>'ANALYSE - ERP =&gt; SOUS-SEGMENT'!$EZ$123</f>
        <v>258.62804999999997</v>
      </c>
      <c r="AA60" s="427">
        <f>'ANALYSE - ERP =&gt; SOUS-SEGMENT'!$FC$123</f>
        <v>114.94579999999999</v>
      </c>
      <c r="AB60" s="427">
        <f>'ANALYSE - ERP =&gt; SOUS-SEGMENT'!$FF$123</f>
        <v>0</v>
      </c>
      <c r="AC60" s="427">
        <f>'ANALYSE - ERP =&gt; SOUS-SEGMENT'!$FI$123</f>
        <v>28.736449999999998</v>
      </c>
      <c r="AD60" s="427">
        <f>'ANALYSE - ERP =&gt; SOUS-SEGMENT'!$FL$123</f>
        <v>114.94579999999999</v>
      </c>
      <c r="AF60" s="430">
        <f>'ANALYSE - ERP =&gt; SOUS-SEGMENT'!$Q$123</f>
        <v>1</v>
      </c>
    </row>
    <row r="61" spans="1:32" ht="15" customHeight="1">
      <c r="A61" s="26">
        <v>58</v>
      </c>
      <c r="B61" s="26">
        <v>54</v>
      </c>
      <c r="C61" s="26">
        <v>56</v>
      </c>
      <c r="D61" s="422">
        <f>'ANALYSE - ERP =&gt; SOUS-SEGMENT'!$A$70</f>
        <v>63</v>
      </c>
      <c r="E61" s="415" t="str">
        <f>'ANALYSE - ERP =&gt; SOUS-SEGMENT'!$B$70</f>
        <v>Culture, Patrimoine &amp; Evénementiel</v>
      </c>
      <c r="F61" s="415" t="str">
        <f>'ANALYSE - ERP =&gt; SOUS-SEGMENT'!$C$70</f>
        <v>Expositions / salons</v>
      </c>
      <c r="G61" s="415" t="str">
        <f>'ANALYSE - ERP =&gt; SOUS-SEGMENT'!$D$70</f>
        <v>Foires / Salons</v>
      </c>
      <c r="I61" s="427">
        <f t="shared" si="5"/>
        <v>2395.2348083123238</v>
      </c>
      <c r="K61" s="787">
        <f t="shared" si="3"/>
        <v>0.7961093758719624</v>
      </c>
      <c r="L61" s="787">
        <f t="shared" si="4"/>
        <v>0.20389062412803752</v>
      </c>
      <c r="N61" s="424">
        <f>'ANALYSE - ERP =&gt; SOUS-SEGMENT'!$EX$70</f>
        <v>11976.174041561619</v>
      </c>
      <c r="O61" s="427">
        <f>'ANALYSE - ERP =&gt; SOUS-SEGMENT'!$FA$70</f>
        <v>5271.8752557333337</v>
      </c>
      <c r="P61" s="427">
        <f>'ANALYSE - ERP =&gt; SOUS-SEGMENT'!$FD$70</f>
        <v>480.39571305555558</v>
      </c>
      <c r="Q61" s="427">
        <f>'ANALYSE - ERP =&gt; SOUS-SEGMENT'!$FG$70</f>
        <v>1202.0726806060607</v>
      </c>
      <c r="R61" s="427">
        <f>'ANALYSE - ERP =&gt; SOUS-SEGMENT'!$FJ$70</f>
        <v>5021.8303921666675</v>
      </c>
      <c r="T61" s="424">
        <f>'ANALYSE - ERP =&gt; SOUS-SEGMENT'!$EY$70</f>
        <v>9534.3444415616177</v>
      </c>
      <c r="U61" s="427">
        <f>'ANALYSE - ERP =&gt; SOUS-SEGMENT'!$FB$70</f>
        <v>4186.6176557333338</v>
      </c>
      <c r="V61" s="427">
        <f>'ANALYSE - ERP =&gt; SOUS-SEGMENT'!$FE$70</f>
        <v>383.49771305555555</v>
      </c>
      <c r="W61" s="427">
        <f>'ANALYSE - ERP =&gt; SOUS-SEGMENT'!$FH$70</f>
        <v>969.51748060606064</v>
      </c>
      <c r="X61" s="427">
        <f>'ANALYSE - ERP =&gt; SOUS-SEGMENT'!$FK$70</f>
        <v>3994.7115921666673</v>
      </c>
      <c r="Z61" s="427">
        <f>'ANALYSE - ERP =&gt; SOUS-SEGMENT'!$EZ$70</f>
        <v>2441.8296</v>
      </c>
      <c r="AA61" s="427">
        <f>'ANALYSE - ERP =&gt; SOUS-SEGMENT'!$FC$70</f>
        <v>1085.2575999999999</v>
      </c>
      <c r="AB61" s="427">
        <f>'ANALYSE - ERP =&gt; SOUS-SEGMENT'!$FF$70</f>
        <v>96.89800000000001</v>
      </c>
      <c r="AC61" s="427">
        <f>'ANALYSE - ERP =&gt; SOUS-SEGMENT'!$FI$70</f>
        <v>232.55520000000001</v>
      </c>
      <c r="AD61" s="427">
        <f>'ANALYSE - ERP =&gt; SOUS-SEGMENT'!$FL$70</f>
        <v>1027.1188000000002</v>
      </c>
      <c r="AF61" s="430">
        <f>'ANALYSE - ERP =&gt; SOUS-SEGMENT'!$Q$70</f>
        <v>1</v>
      </c>
    </row>
    <row r="62" spans="1:32" ht="15" customHeight="1">
      <c r="A62" s="26">
        <v>59</v>
      </c>
      <c r="B62" s="26">
        <v>55</v>
      </c>
      <c r="C62" s="26">
        <v>57</v>
      </c>
      <c r="D62" s="422">
        <f>'ANALYSE - ERP =&gt; SOUS-SEGMENT'!$A$150</f>
        <v>143</v>
      </c>
      <c r="E62" s="410" t="str">
        <f>'ANALYSE - ERP =&gt; SOUS-SEGMENT'!$B$150</f>
        <v>Sanitaires Publics</v>
      </c>
      <c r="F62" s="410" t="str">
        <f>'ANALYSE - ERP =&gt; SOUS-SEGMENT'!$C$150</f>
        <v>Sanitaires publics</v>
      </c>
      <c r="G62" s="410" t="str">
        <f>'ANALYSE - ERP =&gt; SOUS-SEGMENT'!$D$150</f>
        <v>Toilettes publiques (sur la voie publique)</v>
      </c>
      <c r="I62" s="427">
        <f t="shared" si="5"/>
        <v>3922.8053664285717</v>
      </c>
      <c r="K62" s="787">
        <f t="shared" si="3"/>
        <v>0.79670161389473526</v>
      </c>
      <c r="L62" s="787">
        <f t="shared" si="4"/>
        <v>0.20329838610526466</v>
      </c>
      <c r="N62" s="424">
        <f>'ANALYSE - ERP =&gt; SOUS-SEGMENT'!$EX$150</f>
        <v>19614.026832142859</v>
      </c>
      <c r="O62" s="427">
        <f>'ANALYSE - ERP =&gt; SOUS-SEGMENT'!$FA$150</f>
        <v>7593.7632964285713</v>
      </c>
      <c r="P62" s="427">
        <f>'ANALYSE - ERP =&gt; SOUS-SEGMENT'!$FD$150</f>
        <v>0</v>
      </c>
      <c r="Q62" s="427">
        <f>'ANALYSE - ERP =&gt; SOUS-SEGMENT'!$FG$150</f>
        <v>4148.4672250000003</v>
      </c>
      <c r="R62" s="427">
        <f>'ANALYSE - ERP =&gt; SOUS-SEGMENT'!$FJ$150</f>
        <v>7871.7963107142859</v>
      </c>
      <c r="T62" s="424">
        <f>'ANALYSE - ERP =&gt; SOUS-SEGMENT'!$EY$150</f>
        <v>15626.526832142858</v>
      </c>
      <c r="U62" s="427">
        <f>'ANALYSE - ERP =&gt; SOUS-SEGMENT'!$FB$150</f>
        <v>5998.7632964285713</v>
      </c>
      <c r="V62" s="427">
        <f>'ANALYSE - ERP =&gt; SOUS-SEGMENT'!$FE$150</f>
        <v>0</v>
      </c>
      <c r="W62" s="427">
        <f>'ANALYSE - ERP =&gt; SOUS-SEGMENT'!$FH$150</f>
        <v>3350.9672249999999</v>
      </c>
      <c r="X62" s="427">
        <f>'ANALYSE - ERP =&gt; SOUS-SEGMENT'!$FK$150</f>
        <v>6276.7963107142859</v>
      </c>
      <c r="Z62" s="427">
        <f>'ANALYSE - ERP =&gt; SOUS-SEGMENT'!$EZ$150</f>
        <v>3987.5</v>
      </c>
      <c r="AA62" s="427">
        <f>'ANALYSE - ERP =&gt; SOUS-SEGMENT'!$FC$150</f>
        <v>1595</v>
      </c>
      <c r="AB62" s="427">
        <f>'ANALYSE - ERP =&gt; SOUS-SEGMENT'!$FF$150</f>
        <v>0</v>
      </c>
      <c r="AC62" s="427">
        <f>'ANALYSE - ERP =&gt; SOUS-SEGMENT'!$FI$150</f>
        <v>797.5</v>
      </c>
      <c r="AD62" s="427">
        <f>'ANALYSE - ERP =&gt; SOUS-SEGMENT'!$FL$150</f>
        <v>1595</v>
      </c>
      <c r="AF62" s="430">
        <f>'ANALYSE - ERP =&gt; SOUS-SEGMENT'!$Q$150</f>
        <v>1</v>
      </c>
    </row>
    <row r="63" spans="1:32" ht="15" customHeight="1">
      <c r="A63" s="26">
        <v>60</v>
      </c>
      <c r="B63" s="26">
        <v>57</v>
      </c>
      <c r="C63" s="26">
        <v>61</v>
      </c>
      <c r="D63" s="422">
        <f>'ANALYSE - ERP =&gt; SOUS-SEGMENT'!$A$41</f>
        <v>34</v>
      </c>
      <c r="E63" s="409" t="str">
        <f>'ANALYSE - ERP =&gt; SOUS-SEGMENT'!$B$41</f>
        <v>Sports &amp; Loisirs</v>
      </c>
      <c r="F63" s="409" t="str">
        <f>'ANALYSE - ERP =&gt; SOUS-SEGMENT'!$C$41</f>
        <v>Loisirs</v>
      </c>
      <c r="G63" s="409" t="str">
        <f>'ANALYSE - ERP =&gt; SOUS-SEGMENT'!$D$41</f>
        <v>Salles de jeux / Bowlings / Billards</v>
      </c>
      <c r="I63" s="427">
        <f t="shared" si="5"/>
        <v>1922.5658432764071</v>
      </c>
      <c r="K63" s="787">
        <f t="shared" si="3"/>
        <v>0.7960724199011826</v>
      </c>
      <c r="L63" s="787">
        <f t="shared" si="4"/>
        <v>0.20392758009881745</v>
      </c>
      <c r="N63" s="424">
        <f>'ANALYSE - ERP =&gt; SOUS-SEGMENT'!$EX$41</f>
        <v>9612.8292163820352</v>
      </c>
      <c r="O63" s="427">
        <f>'ANALYSE - ERP =&gt; SOUS-SEGMENT'!$FA$41</f>
        <v>4390.0716007272731</v>
      </c>
      <c r="P63" s="427">
        <f>'ANALYSE - ERP =&gt; SOUS-SEGMENT'!$FD$41</f>
        <v>0</v>
      </c>
      <c r="Q63" s="427">
        <f>'ANALYSE - ERP =&gt; SOUS-SEGMENT'!$FG$41</f>
        <v>1222.567803154762</v>
      </c>
      <c r="R63" s="427">
        <f>'ANALYSE - ERP =&gt; SOUS-SEGMENT'!$FJ$41</f>
        <v>4000.1898124999998</v>
      </c>
      <c r="T63" s="424">
        <f>'ANALYSE - ERP =&gt; SOUS-SEGMENT'!$EY$41</f>
        <v>7652.5082163820352</v>
      </c>
      <c r="U63" s="427">
        <f>'ANALYSE - ERP =&gt; SOUS-SEGMENT'!$FB$41</f>
        <v>3467.5676007272732</v>
      </c>
      <c r="V63" s="427">
        <f>'ANALYSE - ERP =&gt; SOUS-SEGMENT'!$FE$41</f>
        <v>0</v>
      </c>
      <c r="W63" s="427">
        <f>'ANALYSE - ERP =&gt; SOUS-SEGMENT'!$FH$41</f>
        <v>991.94180315476206</v>
      </c>
      <c r="X63" s="427">
        <f>'ANALYSE - ERP =&gt; SOUS-SEGMENT'!$FK$41</f>
        <v>3192.9988125</v>
      </c>
      <c r="Z63" s="427">
        <f>'ANALYSE - ERP =&gt; SOUS-SEGMENT'!$EZ$41</f>
        <v>1960.3210000000001</v>
      </c>
      <c r="AA63" s="427">
        <f>'ANALYSE - ERP =&gt; SOUS-SEGMENT'!$FC$41</f>
        <v>922.50400000000002</v>
      </c>
      <c r="AB63" s="427">
        <f>'ANALYSE - ERP =&gt; SOUS-SEGMENT'!$FF$41</f>
        <v>0</v>
      </c>
      <c r="AC63" s="427">
        <f>'ANALYSE - ERP =&gt; SOUS-SEGMENT'!$FI$41</f>
        <v>230.626</v>
      </c>
      <c r="AD63" s="427">
        <f>'ANALYSE - ERP =&gt; SOUS-SEGMENT'!$FL$41</f>
        <v>807.19100000000003</v>
      </c>
      <c r="AF63" s="430">
        <f>'ANALYSE - ERP =&gt; SOUS-SEGMENT'!$Q$41</f>
        <v>1</v>
      </c>
    </row>
    <row r="64" spans="1:32" ht="15" customHeight="1">
      <c r="A64" s="26">
        <v>61</v>
      </c>
      <c r="B64" s="26">
        <v>63</v>
      </c>
      <c r="C64" s="26">
        <v>47</v>
      </c>
      <c r="D64" s="422">
        <f>'ANALYSE - ERP =&gt; SOUS-SEGMENT'!$A$53</f>
        <v>46</v>
      </c>
      <c r="E64" s="411" t="str">
        <f>'ANALYSE - ERP =&gt; SOUS-SEGMENT'!$B$53</f>
        <v>Santé &amp; Médico-social</v>
      </c>
      <c r="F64" s="411" t="str">
        <f>'ANALYSE - ERP =&gt; SOUS-SEGMENT'!$C$53</f>
        <v>Santé ambulatoire</v>
      </c>
      <c r="G64" s="411" t="str">
        <f>'ANALYSE - ERP =&gt; SOUS-SEGMENT'!$D$53</f>
        <v>Centres de santé / Centres médicaux</v>
      </c>
      <c r="I64" s="427">
        <f t="shared" si="5"/>
        <v>2097.3529588188185</v>
      </c>
      <c r="K64" s="787">
        <f t="shared" si="3"/>
        <v>0.65480199746267709</v>
      </c>
      <c r="L64" s="787">
        <f t="shared" si="4"/>
        <v>0.34519800253732286</v>
      </c>
      <c r="N64" s="424">
        <f>'ANALYSE - ERP =&gt; SOUS-SEGMENT'!$EX$53</f>
        <v>10486.764794094091</v>
      </c>
      <c r="O64" s="427">
        <f>'ANALYSE - ERP =&gt; SOUS-SEGMENT'!$FA$53</f>
        <v>4321.9135555499997</v>
      </c>
      <c r="P64" s="427">
        <f>'ANALYSE - ERP =&gt; SOUS-SEGMENT'!$FD$53</f>
        <v>373.92014405318184</v>
      </c>
      <c r="Q64" s="427">
        <f>'ANALYSE - ERP =&gt; SOUS-SEGMENT'!$FG$53</f>
        <v>1543.3943364909092</v>
      </c>
      <c r="R64" s="427">
        <f>'ANALYSE - ERP =&gt; SOUS-SEGMENT'!$FJ$53</f>
        <v>4247.5367580000002</v>
      </c>
      <c r="T64" s="424">
        <f>'ANALYSE - ERP =&gt; SOUS-SEGMENT'!$EY$53</f>
        <v>6866.7545340940906</v>
      </c>
      <c r="U64" s="427">
        <f>'ANALYSE - ERP =&gt; SOUS-SEGMENT'!$FB$53</f>
        <v>2823.97827555</v>
      </c>
      <c r="V64" s="427">
        <f>'ANALYSE - ERP =&gt; SOUS-SEGMENT'!$FE$53</f>
        <v>249.09220405318183</v>
      </c>
      <c r="W64" s="427">
        <f>'ANALYSE - ERP =&gt; SOUS-SEGMENT'!$FH$53</f>
        <v>1044.0825764909091</v>
      </c>
      <c r="X64" s="427">
        <f>'ANALYSE - ERP =&gt; SOUS-SEGMENT'!$FK$53</f>
        <v>2749.601478</v>
      </c>
      <c r="Z64" s="427">
        <f>'ANALYSE - ERP =&gt; SOUS-SEGMENT'!$EZ$53</f>
        <v>3620.01026</v>
      </c>
      <c r="AA64" s="427">
        <f>'ANALYSE - ERP =&gt; SOUS-SEGMENT'!$FC$53</f>
        <v>1497.9352799999999</v>
      </c>
      <c r="AB64" s="427">
        <f>'ANALYSE - ERP =&gt; SOUS-SEGMENT'!$FF$53</f>
        <v>124.82794</v>
      </c>
      <c r="AC64" s="427">
        <f>'ANALYSE - ERP =&gt; SOUS-SEGMENT'!$FI$53</f>
        <v>499.31175999999999</v>
      </c>
      <c r="AD64" s="427">
        <f>'ANALYSE - ERP =&gt; SOUS-SEGMENT'!$FL$53</f>
        <v>1497.9352799999999</v>
      </c>
      <c r="AF64" s="430">
        <f>'ANALYSE - ERP =&gt; SOUS-SEGMENT'!$Q$53</f>
        <v>1</v>
      </c>
    </row>
    <row r="65" spans="1:32" s="45" customFormat="1" ht="15" customHeight="1">
      <c r="A65" s="26">
        <v>62</v>
      </c>
      <c r="B65" s="26">
        <v>59</v>
      </c>
      <c r="C65" s="26">
        <v>66</v>
      </c>
      <c r="D65" s="422">
        <f>'ANALYSE - ERP =&gt; SOUS-SEGMENT'!$A$89</f>
        <v>82</v>
      </c>
      <c r="E65" s="411" t="str">
        <f>'ANALYSE - ERP =&gt; SOUS-SEGMENT'!$B$89</f>
        <v>Hébergement Touristique</v>
      </c>
      <c r="F65" s="411" t="str">
        <f>'ANALYSE - ERP =&gt; SOUS-SEGMENT'!$C$89</f>
        <v>Hébergement Touristique</v>
      </c>
      <c r="G65" s="411" t="str">
        <f>'ANALYSE - ERP =&gt; SOUS-SEGMENT'!$D$89</f>
        <v>Résidences de tourisme</v>
      </c>
      <c r="H65" s="685"/>
      <c r="I65" s="427">
        <f t="shared" si="5"/>
        <v>2299.2964154895108</v>
      </c>
      <c r="J65" s="685"/>
      <c r="K65" s="787">
        <f t="shared" si="3"/>
        <v>0.67976290701812769</v>
      </c>
      <c r="L65" s="787">
        <f t="shared" si="4"/>
        <v>0.32023709298187225</v>
      </c>
      <c r="M65" s="685"/>
      <c r="N65" s="424">
        <f>'ANALYSE - ERP =&gt; SOUS-SEGMENT'!$EX$89</f>
        <v>11496.482077447554</v>
      </c>
      <c r="O65" s="427">
        <f>'ANALYSE - ERP =&gt; SOUS-SEGMENT'!$FA$89</f>
        <v>4694.9481315559442</v>
      </c>
      <c r="P65" s="427">
        <f>'ANALYSE - ERP =&gt; SOUS-SEGMENT'!$FD$89</f>
        <v>2167.9395795454548</v>
      </c>
      <c r="Q65" s="427">
        <f>'ANALYSE - ERP =&gt; SOUS-SEGMENT'!$FG$89</f>
        <v>1073.5722125</v>
      </c>
      <c r="R65" s="427">
        <f>'ANALYSE - ERP =&gt; SOUS-SEGMENT'!$FJ$89</f>
        <v>3560.0221538461537</v>
      </c>
      <c r="S65" s="685"/>
      <c r="T65" s="424">
        <f>'ANALYSE - ERP =&gt; SOUS-SEGMENT'!$EY$89</f>
        <v>7814.8820774475535</v>
      </c>
      <c r="U65" s="427">
        <f>'ANALYSE - ERP =&gt; SOUS-SEGMENT'!$FB$89</f>
        <v>3160.9481315559447</v>
      </c>
      <c r="V65" s="427">
        <f>'ANALYSE - ERP =&gt; SOUS-SEGMENT'!$FE$89</f>
        <v>1554.3395795454549</v>
      </c>
      <c r="W65" s="427">
        <f>'ANALYSE - ERP =&gt; SOUS-SEGMENT'!$FH$89</f>
        <v>766.77221250000002</v>
      </c>
      <c r="X65" s="427">
        <f>'ANALYSE - ERP =&gt; SOUS-SEGMENT'!$FK$89</f>
        <v>2332.8221538461539</v>
      </c>
      <c r="Y65" s="685"/>
      <c r="Z65" s="427">
        <f>'ANALYSE - ERP =&gt; SOUS-SEGMENT'!$EZ$89</f>
        <v>3681.6000000000004</v>
      </c>
      <c r="AA65" s="427">
        <f>'ANALYSE - ERP =&gt; SOUS-SEGMENT'!$FC$89</f>
        <v>1534</v>
      </c>
      <c r="AB65" s="427">
        <f>'ANALYSE - ERP =&gt; SOUS-SEGMENT'!$FF$89</f>
        <v>613.6</v>
      </c>
      <c r="AC65" s="427">
        <f>'ANALYSE - ERP =&gt; SOUS-SEGMENT'!$FI$89</f>
        <v>306.8</v>
      </c>
      <c r="AD65" s="427">
        <f>'ANALYSE - ERP =&gt; SOUS-SEGMENT'!$FL$89</f>
        <v>1227.2</v>
      </c>
      <c r="AE65" s="685"/>
      <c r="AF65" s="430">
        <f>'ANALYSE - ERP =&gt; SOUS-SEGMENT'!$Q$89</f>
        <v>1</v>
      </c>
    </row>
    <row r="66" spans="1:32" ht="15" customHeight="1">
      <c r="A66" s="26">
        <v>63</v>
      </c>
      <c r="B66" s="26">
        <v>58</v>
      </c>
      <c r="C66" s="26">
        <v>70</v>
      </c>
      <c r="D66" s="422">
        <f>'ANALYSE - ERP =&gt; SOUS-SEGMENT'!$A$23</f>
        <v>16</v>
      </c>
      <c r="E66" s="418" t="str">
        <f>'ANALYSE - ERP =&gt; SOUS-SEGMENT'!$B$23</f>
        <v>Sports &amp; Loisirs</v>
      </c>
      <c r="F66" s="418" t="str">
        <f>'ANALYSE - ERP =&gt; SOUS-SEGMENT'!$C$23</f>
        <v>Sport couvert / Thermalisme / Bien-être</v>
      </c>
      <c r="G66" s="418" t="str">
        <f>'ANALYSE - ERP =&gt; SOUS-SEGMENT'!$D$23</f>
        <v>Patinoires couvertes</v>
      </c>
      <c r="I66" s="427">
        <f t="shared" si="5"/>
        <v>2019.4696636242425</v>
      </c>
      <c r="K66" s="787">
        <f t="shared" si="3"/>
        <v>0.85436626986899722</v>
      </c>
      <c r="L66" s="787">
        <f t="shared" si="4"/>
        <v>0.14563373013100281</v>
      </c>
      <c r="N66" s="424">
        <f>'ANALYSE - ERP =&gt; SOUS-SEGMENT'!$EX$23</f>
        <v>10097.348318121212</v>
      </c>
      <c r="O66" s="427">
        <f>'ANALYSE - ERP =&gt; SOUS-SEGMENT'!$FA$23</f>
        <v>2916.3940945454551</v>
      </c>
      <c r="P66" s="427">
        <f>'ANALYSE - ERP =&gt; SOUS-SEGMENT'!$FD$23</f>
        <v>4578.3076039999996</v>
      </c>
      <c r="Q66" s="427">
        <f>'ANALYSE - ERP =&gt; SOUS-SEGMENT'!$FG$23</f>
        <v>537.98019290909099</v>
      </c>
      <c r="R66" s="427">
        <f>'ANALYSE - ERP =&gt; SOUS-SEGMENT'!$FJ$23</f>
        <v>2064.6664266666667</v>
      </c>
      <c r="T66" s="424">
        <f>'ANALYSE - ERP =&gt; SOUS-SEGMENT'!$EY$23</f>
        <v>8626.833818121213</v>
      </c>
      <c r="U66" s="427">
        <f>'ANALYSE - ERP =&gt; SOUS-SEGMENT'!$FB$23</f>
        <v>2474.1340945454549</v>
      </c>
      <c r="V66" s="427">
        <f>'ANALYSE - ERP =&gt; SOUS-SEGMENT'!$FE$23</f>
        <v>3937.030604</v>
      </c>
      <c r="W66" s="427">
        <f>'ANALYSE - ERP =&gt; SOUS-SEGMENT'!$FH$23</f>
        <v>460.58469290909102</v>
      </c>
      <c r="X66" s="427">
        <f>'ANALYSE - ERP =&gt; SOUS-SEGMENT'!$FK$23</f>
        <v>1755.0844266666668</v>
      </c>
      <c r="Z66" s="427">
        <f>'ANALYSE - ERP =&gt; SOUS-SEGMENT'!$EZ$23</f>
        <v>1470.5144999999998</v>
      </c>
      <c r="AA66" s="427">
        <f>'ANALYSE - ERP =&gt; SOUS-SEGMENT'!$FC$23</f>
        <v>442.26</v>
      </c>
      <c r="AB66" s="427">
        <f>'ANALYSE - ERP =&gt; SOUS-SEGMENT'!$FF$23</f>
        <v>641.27699999999993</v>
      </c>
      <c r="AC66" s="427">
        <f>'ANALYSE - ERP =&gt; SOUS-SEGMENT'!$FI$23</f>
        <v>77.395499999999998</v>
      </c>
      <c r="AD66" s="427">
        <f>'ANALYSE - ERP =&gt; SOUS-SEGMENT'!$FL$23</f>
        <v>309.58199999999999</v>
      </c>
      <c r="AF66" s="430">
        <f>'ANALYSE - ERP =&gt; SOUS-SEGMENT'!$Q$23</f>
        <v>1</v>
      </c>
    </row>
    <row r="67" spans="1:32" ht="15" customHeight="1">
      <c r="A67" s="26">
        <v>64</v>
      </c>
      <c r="B67" s="26">
        <v>61</v>
      </c>
      <c r="C67" s="26">
        <v>62</v>
      </c>
      <c r="D67" s="422">
        <f>'ANALYSE - ERP =&gt; SOUS-SEGMENT'!$A$115</f>
        <v>108</v>
      </c>
      <c r="E67" s="414" t="str">
        <f>'ANALYSE - ERP =&gt; SOUS-SEGMENT'!$B$115</f>
        <v>Culte, Vie civique &amp; Services publics</v>
      </c>
      <c r="F67" s="414" t="str">
        <f>'ANALYSE - ERP =&gt; SOUS-SEGMENT'!$C$115</f>
        <v>Culte</v>
      </c>
      <c r="G67" s="414" t="str">
        <f>'ANALYSE - ERP =&gt; SOUS-SEGMENT'!$D$115</f>
        <v>Temples protestants, évangéliques et salles de culte assimilées</v>
      </c>
      <c r="I67" s="427">
        <f t="shared" si="5"/>
        <v>1030.0228227106227</v>
      </c>
      <c r="K67" s="787">
        <f t="shared" ref="K67:K98" si="6">IFERROR(T67/N67,"")</f>
        <v>0.68857486171438032</v>
      </c>
      <c r="L67" s="787">
        <f t="shared" ref="L67:L98" si="7">IFERROR(Z67/N67,"")</f>
        <v>0.31142513828561968</v>
      </c>
      <c r="N67" s="424">
        <f>'ANALYSE - ERP =&gt; SOUS-SEGMENT'!$EX$115</f>
        <v>5150.1141135531134</v>
      </c>
      <c r="O67" s="427">
        <f>'ANALYSE - ERP =&gt; SOUS-SEGMENT'!$FA$115</f>
        <v>2366.2556593406593</v>
      </c>
      <c r="P67" s="427">
        <f>'ANALYSE - ERP =&gt; SOUS-SEGMENT'!$FD$115</f>
        <v>0</v>
      </c>
      <c r="Q67" s="427">
        <f>'ANALYSE - ERP =&gt; SOUS-SEGMENT'!$FG$115</f>
        <v>449.97352564102562</v>
      </c>
      <c r="R67" s="427">
        <f>'ANALYSE - ERP =&gt; SOUS-SEGMENT'!$FJ$115</f>
        <v>2333.8849285714286</v>
      </c>
      <c r="T67" s="424">
        <f>'ANALYSE - ERP =&gt; SOUS-SEGMENT'!$EY$115</f>
        <v>3546.2391135531134</v>
      </c>
      <c r="U67" s="427">
        <f>'ANALYSE - ERP =&gt; SOUS-SEGMENT'!$FB$115</f>
        <v>1626.0056593406593</v>
      </c>
      <c r="V67" s="427">
        <f>'ANALYSE - ERP =&gt; SOUS-SEGMENT'!$FE$115</f>
        <v>0</v>
      </c>
      <c r="W67" s="427">
        <f>'ANALYSE - ERP =&gt; SOUS-SEGMENT'!$FH$115</f>
        <v>326.59852564102562</v>
      </c>
      <c r="X67" s="427">
        <f>'ANALYSE - ERP =&gt; SOUS-SEGMENT'!$FK$115</f>
        <v>1593.6349285714286</v>
      </c>
      <c r="Z67" s="427">
        <f>'ANALYSE - ERP =&gt; SOUS-SEGMENT'!$EZ$115</f>
        <v>1603.875</v>
      </c>
      <c r="AA67" s="427">
        <f>'ANALYSE - ERP =&gt; SOUS-SEGMENT'!$FC$115</f>
        <v>740.25</v>
      </c>
      <c r="AB67" s="427">
        <f>'ANALYSE - ERP =&gt; SOUS-SEGMENT'!$FF$115</f>
        <v>0</v>
      </c>
      <c r="AC67" s="427">
        <f>'ANALYSE - ERP =&gt; SOUS-SEGMENT'!$FI$115</f>
        <v>123.375</v>
      </c>
      <c r="AD67" s="427">
        <f>'ANALYSE - ERP =&gt; SOUS-SEGMENT'!$FL$115</f>
        <v>740.25</v>
      </c>
      <c r="AF67" s="430">
        <f>'ANALYSE - ERP =&gt; SOUS-SEGMENT'!$Q$115</f>
        <v>1</v>
      </c>
    </row>
    <row r="68" spans="1:32" ht="15" customHeight="1">
      <c r="A68" s="26">
        <v>65</v>
      </c>
      <c r="B68" s="26">
        <v>62</v>
      </c>
      <c r="C68" s="26">
        <v>72</v>
      </c>
      <c r="D68" s="422">
        <f>'ANALYSE - ERP =&gt; SOUS-SEGMENT'!$A$64</f>
        <v>57</v>
      </c>
      <c r="E68" s="412" t="str">
        <f>'ANALYSE - ERP =&gt; SOUS-SEGMENT'!$B$64</f>
        <v>Culture, Patrimoine &amp; Evénementiel</v>
      </c>
      <c r="F68" s="412" t="str">
        <f>'ANALYSE - ERP =&gt; SOUS-SEGMENT'!$C$64</f>
        <v>Culture / spectacle</v>
      </c>
      <c r="G68" s="412" t="str">
        <f>'ANALYSE - ERP =&gt; SOUS-SEGMENT'!$D$64</f>
        <v>Musées</v>
      </c>
      <c r="I68" s="427">
        <f t="shared" ref="I68:I99" si="8">N68/5</f>
        <v>1582.3348417329603</v>
      </c>
      <c r="K68" s="787">
        <f t="shared" si="6"/>
        <v>0.84441955930744395</v>
      </c>
      <c r="L68" s="787">
        <f t="shared" si="7"/>
        <v>0.15558044069255611</v>
      </c>
      <c r="N68" s="424">
        <f>'ANALYSE - ERP =&gt; SOUS-SEGMENT'!$EX$64</f>
        <v>7911.6742086648019</v>
      </c>
      <c r="O68" s="427">
        <f>'ANALYSE - ERP =&gt; SOUS-SEGMENT'!$FA$64</f>
        <v>3875.8381143384618</v>
      </c>
      <c r="P68" s="427">
        <f>'ANALYSE - ERP =&gt; SOUS-SEGMENT'!$FD$64</f>
        <v>0</v>
      </c>
      <c r="Q68" s="427">
        <f>'ANALYSE - ERP =&gt; SOUS-SEGMENT'!$FG$64</f>
        <v>516.07498340326345</v>
      </c>
      <c r="R68" s="427">
        <f>'ANALYSE - ERP =&gt; SOUS-SEGMENT'!$FJ$64</f>
        <v>3519.761110923077</v>
      </c>
      <c r="T68" s="424">
        <f>'ANALYSE - ERP =&gt; SOUS-SEGMENT'!$EY$64</f>
        <v>6680.7724486648021</v>
      </c>
      <c r="U68" s="427">
        <f>'ANALYSE - ERP =&gt; SOUS-SEGMENT'!$FB$64</f>
        <v>3260.3872343384619</v>
      </c>
      <c r="V68" s="427">
        <f>'ANALYSE - ERP =&gt; SOUS-SEGMENT'!$FE$64</f>
        <v>0</v>
      </c>
      <c r="W68" s="427">
        <f>'ANALYSE - ERP =&gt; SOUS-SEGMENT'!$FH$64</f>
        <v>439.1436234032634</v>
      </c>
      <c r="X68" s="427">
        <f>'ANALYSE - ERP =&gt; SOUS-SEGMENT'!$FK$64</f>
        <v>2981.2415909230772</v>
      </c>
      <c r="Z68" s="427">
        <f>'ANALYSE - ERP =&gt; SOUS-SEGMENT'!$EZ$64</f>
        <v>1230.90176</v>
      </c>
      <c r="AA68" s="427">
        <f>'ANALYSE - ERP =&gt; SOUS-SEGMENT'!$FC$64</f>
        <v>615.45087999999998</v>
      </c>
      <c r="AB68" s="427">
        <f>'ANALYSE - ERP =&gt; SOUS-SEGMENT'!$FF$64</f>
        <v>0</v>
      </c>
      <c r="AC68" s="427">
        <f>'ANALYSE - ERP =&gt; SOUS-SEGMENT'!$FI$64</f>
        <v>76.931359999999998</v>
      </c>
      <c r="AD68" s="427">
        <f>'ANALYSE - ERP =&gt; SOUS-SEGMENT'!$FL$64</f>
        <v>538.51951999999994</v>
      </c>
      <c r="AF68" s="430">
        <f>'ANALYSE - ERP =&gt; SOUS-SEGMENT'!$Q$64</f>
        <v>1</v>
      </c>
    </row>
    <row r="69" spans="1:32" ht="15" customHeight="1">
      <c r="A69" s="26">
        <v>66</v>
      </c>
      <c r="B69" s="26">
        <v>67</v>
      </c>
      <c r="C69" s="26">
        <v>53</v>
      </c>
      <c r="D69" s="422">
        <f>'ANALYSE - ERP =&gt; SOUS-SEGMENT'!$A$16</f>
        <v>9</v>
      </c>
      <c r="E69" s="411" t="str">
        <f>'ANALYSE - ERP =&gt; SOUS-SEGMENT'!$B$16</f>
        <v>Enfance, Enseignement, Jeunesse &amp; Formation</v>
      </c>
      <c r="F69" s="411" t="str">
        <f>'ANALYSE - ERP =&gt; SOUS-SEGMENT'!$C$16</f>
        <v>Enseignement supérieur</v>
      </c>
      <c r="G69" s="411" t="str">
        <f>'ANALYSE - ERP =&gt; SOUS-SEGMENT'!$D$16</f>
        <v>Universités</v>
      </c>
      <c r="I69" s="427">
        <f t="shared" si="8"/>
        <v>1490.3659406880001</v>
      </c>
      <c r="K69" s="787">
        <f t="shared" si="6"/>
        <v>0.65012141262481926</v>
      </c>
      <c r="L69" s="787">
        <f t="shared" si="7"/>
        <v>0.34987858737518085</v>
      </c>
      <c r="N69" s="424">
        <f>'ANALYSE - ERP =&gt; SOUS-SEGMENT'!$EX$16</f>
        <v>7451.8297034400002</v>
      </c>
      <c r="O69" s="427">
        <f>'ANALYSE - ERP =&gt; SOUS-SEGMENT'!$FA$16</f>
        <v>3875.3943480000003</v>
      </c>
      <c r="P69" s="427">
        <f>'ANALYSE - ERP =&gt; SOUS-SEGMENT'!$FD$16</f>
        <v>88.580442240000011</v>
      </c>
      <c r="Q69" s="427">
        <f>'ANALYSE - ERP =&gt; SOUS-SEGMENT'!$FG$16</f>
        <v>1051.8927515999999</v>
      </c>
      <c r="R69" s="427">
        <f>'ANALYSE - ERP =&gt; SOUS-SEGMENT'!$FJ$16</f>
        <v>2435.9621615999999</v>
      </c>
      <c r="T69" s="424">
        <f>'ANALYSE - ERP =&gt; SOUS-SEGMENT'!$EY$16</f>
        <v>4844.5940534400006</v>
      </c>
      <c r="U69" s="427">
        <f>'ANALYSE - ERP =&gt; SOUS-SEGMENT'!$FB$16</f>
        <v>2519.4768480000002</v>
      </c>
      <c r="V69" s="427">
        <f>'ANALYSE - ERP =&gt; SOUS-SEGMENT'!$FE$16</f>
        <v>57.588042240000007</v>
      </c>
      <c r="W69" s="427">
        <f>'ANALYSE - ERP =&gt; SOUS-SEGMENT'!$FH$16</f>
        <v>683.85800159999997</v>
      </c>
      <c r="X69" s="427">
        <f>'ANALYSE - ERP =&gt; SOUS-SEGMENT'!$FK$16</f>
        <v>1583.6711616</v>
      </c>
      <c r="Z69" s="427">
        <f>'ANALYSE - ERP =&gt; SOUS-SEGMENT'!$EZ$16</f>
        <v>2607.2356500000001</v>
      </c>
      <c r="AA69" s="427">
        <f>'ANALYSE - ERP =&gt; SOUS-SEGMENT'!$FC$16</f>
        <v>1355.9175</v>
      </c>
      <c r="AB69" s="427">
        <f>'ANALYSE - ERP =&gt; SOUS-SEGMENT'!$FF$16</f>
        <v>30.9924</v>
      </c>
      <c r="AC69" s="427">
        <f>'ANALYSE - ERP =&gt; SOUS-SEGMENT'!$FI$16</f>
        <v>368.03474999999997</v>
      </c>
      <c r="AD69" s="427">
        <f>'ANALYSE - ERP =&gt; SOUS-SEGMENT'!$FL$16</f>
        <v>852.29100000000005</v>
      </c>
      <c r="AF69" s="430">
        <f>'ANALYSE - ERP =&gt; SOUS-SEGMENT'!$Q$16</f>
        <v>1</v>
      </c>
    </row>
    <row r="70" spans="1:32" ht="15" customHeight="1">
      <c r="A70" s="26">
        <v>67</v>
      </c>
      <c r="B70" s="26">
        <v>64</v>
      </c>
      <c r="C70" s="26">
        <v>71</v>
      </c>
      <c r="D70" s="422">
        <f>'ANALYSE - ERP =&gt; SOUS-SEGMENT'!$A$124</f>
        <v>117</v>
      </c>
      <c r="E70" s="413" t="str">
        <f>'ANALYSE - ERP =&gt; SOUS-SEGMENT'!$B$124</f>
        <v>Transport, Mobilité &amp; Stationnement</v>
      </c>
      <c r="F70" s="413" t="str">
        <f>'ANALYSE - ERP =&gt; SOUS-SEGMENT'!$C$124</f>
        <v>Transport / Mobilité</v>
      </c>
      <c r="G70" s="413" t="str">
        <f>'ANALYSE - ERP =&gt; SOUS-SEGMENT'!$D$124</f>
        <v>Aéroports / aérogares
(&gt;1 000 passagers/an)</v>
      </c>
      <c r="I70" s="427">
        <f t="shared" si="8"/>
        <v>1487.9748894440911</v>
      </c>
      <c r="K70" s="787">
        <f t="shared" si="6"/>
        <v>0.81483922749332649</v>
      </c>
      <c r="L70" s="787">
        <f t="shared" si="7"/>
        <v>0.18516077250667348</v>
      </c>
      <c r="N70" s="424">
        <f>'ANALYSE - ERP =&gt; SOUS-SEGMENT'!$EX$124</f>
        <v>7439.8744472204553</v>
      </c>
      <c r="O70" s="427">
        <f>'ANALYSE - ERP =&gt; SOUS-SEGMENT'!$FA$124</f>
        <v>3366.8505727272723</v>
      </c>
      <c r="P70" s="427">
        <f>'ANALYSE - ERP =&gt; SOUS-SEGMENT'!$FD$124</f>
        <v>493.21559669999999</v>
      </c>
      <c r="Q70" s="427">
        <f>'ANALYSE - ERP =&gt; SOUS-SEGMENT'!$FG$124</f>
        <v>601.70950591818189</v>
      </c>
      <c r="R70" s="427">
        <f>'ANALYSE - ERP =&gt; SOUS-SEGMENT'!$FJ$124</f>
        <v>2978.0987718750002</v>
      </c>
      <c r="T70" s="424">
        <f>'ANALYSE - ERP =&gt; SOUS-SEGMENT'!$EY$124</f>
        <v>6062.3015472204552</v>
      </c>
      <c r="U70" s="427">
        <f>'ANALYSE - ERP =&gt; SOUS-SEGMENT'!$FB$124</f>
        <v>2757.9785727272724</v>
      </c>
      <c r="V70" s="427">
        <f>'ANALYSE - ERP =&gt; SOUS-SEGMENT'!$FE$124</f>
        <v>401.88479669999998</v>
      </c>
      <c r="W70" s="427">
        <f>'ANALYSE - ERP =&gt; SOUS-SEGMENT'!$FH$124</f>
        <v>495.15690591818185</v>
      </c>
      <c r="X70" s="427">
        <f>'ANALYSE - ERP =&gt; SOUS-SEGMENT'!$FK$124</f>
        <v>2407.2812718750001</v>
      </c>
      <c r="Z70" s="427">
        <f>'ANALYSE - ERP =&gt; SOUS-SEGMENT'!$EZ$124</f>
        <v>1377.5728999999999</v>
      </c>
      <c r="AA70" s="427">
        <f>'ANALYSE - ERP =&gt; SOUS-SEGMENT'!$FC$124</f>
        <v>608.87199999999996</v>
      </c>
      <c r="AB70" s="427">
        <f>'ANALYSE - ERP =&gt; SOUS-SEGMENT'!$FF$124</f>
        <v>91.330799999999996</v>
      </c>
      <c r="AC70" s="427">
        <f>'ANALYSE - ERP =&gt; SOUS-SEGMENT'!$FI$124</f>
        <v>106.5526</v>
      </c>
      <c r="AD70" s="427">
        <f>'ANALYSE - ERP =&gt; SOUS-SEGMENT'!$FL$124</f>
        <v>570.8175</v>
      </c>
      <c r="AF70" s="430">
        <f>'ANALYSE - ERP =&gt; SOUS-SEGMENT'!$Q$124</f>
        <v>1</v>
      </c>
    </row>
    <row r="71" spans="1:32" ht="15" customHeight="1">
      <c r="A71" s="26">
        <v>68</v>
      </c>
      <c r="B71" s="26">
        <v>66</v>
      </c>
      <c r="C71" s="26">
        <v>64</v>
      </c>
      <c r="D71" s="422">
        <f>'ANALYSE - ERP =&gt; SOUS-SEGMENT'!$A$81</f>
        <v>74</v>
      </c>
      <c r="E71" s="408" t="str">
        <f>'ANALYSE - ERP =&gt; SOUS-SEGMENT'!$B$81</f>
        <v>Commerce, Restauration &amp; Loisirs</v>
      </c>
      <c r="F71" s="408" t="str">
        <f>'ANALYSE - ERP =&gt; SOUS-SEGMENT'!$C$81</f>
        <v>Commerce</v>
      </c>
      <c r="G71" s="408" t="str">
        <f>'ANALYSE - ERP =&gt; SOUS-SEGMENT'!$D$81</f>
        <v>Marchés couverts</v>
      </c>
      <c r="I71" s="427">
        <f t="shared" si="8"/>
        <v>1209.8083566878786</v>
      </c>
      <c r="K71" s="787">
        <f t="shared" si="6"/>
        <v>0.72807045166999529</v>
      </c>
      <c r="L71" s="787">
        <f t="shared" si="7"/>
        <v>0.27192954833000466</v>
      </c>
      <c r="N71" s="424">
        <f>'ANALYSE - ERP =&gt; SOUS-SEGMENT'!$EX$81</f>
        <v>6049.0417834393929</v>
      </c>
      <c r="O71" s="427">
        <f>'ANALYSE - ERP =&gt; SOUS-SEGMENT'!$FA$81</f>
        <v>2898.6372392878784</v>
      </c>
      <c r="P71" s="427">
        <f>'ANALYSE - ERP =&gt; SOUS-SEGMENT'!$FD$81</f>
        <v>0</v>
      </c>
      <c r="Q71" s="427">
        <f>'ANALYSE - ERP =&gt; SOUS-SEGMENT'!$FG$81</f>
        <v>587.36946315151511</v>
      </c>
      <c r="R71" s="427">
        <f>'ANALYSE - ERP =&gt; SOUS-SEGMENT'!$FJ$81</f>
        <v>2563.035081</v>
      </c>
      <c r="T71" s="424">
        <f>'ANALYSE - ERP =&gt; SOUS-SEGMENT'!$EY$81</f>
        <v>4404.128583439393</v>
      </c>
      <c r="U71" s="427">
        <f>'ANALYSE - ERP =&gt; SOUS-SEGMENT'!$FB$81</f>
        <v>2115.3452392878785</v>
      </c>
      <c r="V71" s="427">
        <f>'ANALYSE - ERP =&gt; SOUS-SEGMENT'!$FE$81</f>
        <v>0</v>
      </c>
      <c r="W71" s="427">
        <f>'ANALYSE - ERP =&gt; SOUS-SEGMENT'!$FH$81</f>
        <v>430.71106315151513</v>
      </c>
      <c r="X71" s="427">
        <f>'ANALYSE - ERP =&gt; SOUS-SEGMENT'!$FK$81</f>
        <v>1858.0722809999997</v>
      </c>
      <c r="Z71" s="427">
        <f>'ANALYSE - ERP =&gt; SOUS-SEGMENT'!$EZ$81</f>
        <v>1644.9132</v>
      </c>
      <c r="AA71" s="427">
        <f>'ANALYSE - ERP =&gt; SOUS-SEGMENT'!$FC$81</f>
        <v>783.29199999999992</v>
      </c>
      <c r="AB71" s="427">
        <f>'ANALYSE - ERP =&gt; SOUS-SEGMENT'!$FF$81</f>
        <v>0</v>
      </c>
      <c r="AC71" s="427">
        <f>'ANALYSE - ERP =&gt; SOUS-SEGMENT'!$FI$81</f>
        <v>156.6584</v>
      </c>
      <c r="AD71" s="427">
        <f>'ANALYSE - ERP =&gt; SOUS-SEGMENT'!$FL$81</f>
        <v>704.96280000000002</v>
      </c>
      <c r="AF71" s="430">
        <f>'ANALYSE - ERP =&gt; SOUS-SEGMENT'!$Q$81</f>
        <v>1</v>
      </c>
    </row>
    <row r="72" spans="1:32" ht="15" customHeight="1">
      <c r="A72" s="26">
        <v>69</v>
      </c>
      <c r="B72" s="26">
        <v>73</v>
      </c>
      <c r="C72" s="26">
        <v>59</v>
      </c>
      <c r="D72" s="422">
        <f>'ANALYSE - ERP =&gt; SOUS-SEGMENT'!$A$17</f>
        <v>10</v>
      </c>
      <c r="E72" s="415" t="str">
        <f>'ANALYSE - ERP =&gt; SOUS-SEGMENT'!$B$17</f>
        <v>Enfance, Enseignement, Jeunesse &amp; Formation</v>
      </c>
      <c r="F72" s="415" t="str">
        <f>'ANALYSE - ERP =&gt; SOUS-SEGMENT'!$C$17</f>
        <v>Enseignement supérieur</v>
      </c>
      <c r="G72" s="415" t="str">
        <f>'ANALYSE - ERP =&gt; SOUS-SEGMENT'!$D$17</f>
        <v>Grandes écoles</v>
      </c>
      <c r="I72" s="427">
        <f t="shared" si="8"/>
        <v>1411.1360434079998</v>
      </c>
      <c r="K72" s="787">
        <f t="shared" si="6"/>
        <v>0.65690383839198929</v>
      </c>
      <c r="L72" s="787">
        <f t="shared" si="7"/>
        <v>0.34309616160801082</v>
      </c>
      <c r="N72" s="424">
        <f>'ANALYSE - ERP =&gt; SOUS-SEGMENT'!$EX$17</f>
        <v>7055.6802170399988</v>
      </c>
      <c r="O72" s="427">
        <f>'ANALYSE - ERP =&gt; SOUS-SEGMENT'!$FA$17</f>
        <v>3813.8811983999994</v>
      </c>
      <c r="P72" s="427">
        <f>'ANALYSE - ERP =&gt; SOUS-SEGMENT'!$FD$17</f>
        <v>127.12937328</v>
      </c>
      <c r="Q72" s="427">
        <f>'ANALYSE - ERP =&gt; SOUS-SEGMENT'!$FG$17</f>
        <v>889.90561295999998</v>
      </c>
      <c r="R72" s="427">
        <f>'ANALYSE - ERP =&gt; SOUS-SEGMENT'!$FJ$17</f>
        <v>2224.7640323999999</v>
      </c>
      <c r="T72" s="424">
        <f>'ANALYSE - ERP =&gt; SOUS-SEGMENT'!$EY$17</f>
        <v>4634.9034170399991</v>
      </c>
      <c r="U72" s="427">
        <f>'ANALYSE - ERP =&gt; SOUS-SEGMENT'!$FB$17</f>
        <v>2505.3531983999997</v>
      </c>
      <c r="V72" s="427">
        <f>'ANALYSE - ERP =&gt; SOUS-SEGMENT'!$FE$17</f>
        <v>83.51177328</v>
      </c>
      <c r="W72" s="427">
        <f>'ANALYSE - ERP =&gt; SOUS-SEGMENT'!$FH$17</f>
        <v>584.58241295999994</v>
      </c>
      <c r="X72" s="427">
        <f>'ANALYSE - ERP =&gt; SOUS-SEGMENT'!$FK$17</f>
        <v>1461.4560323999999</v>
      </c>
      <c r="Z72" s="427">
        <f>'ANALYSE - ERP =&gt; SOUS-SEGMENT'!$EZ$17</f>
        <v>2420.7768000000001</v>
      </c>
      <c r="AA72" s="427">
        <f>'ANALYSE - ERP =&gt; SOUS-SEGMENT'!$FC$17</f>
        <v>1308.528</v>
      </c>
      <c r="AB72" s="427">
        <f>'ANALYSE - ERP =&gt; SOUS-SEGMENT'!$FF$17</f>
        <v>43.617599999999996</v>
      </c>
      <c r="AC72" s="427">
        <f>'ANALYSE - ERP =&gt; SOUS-SEGMENT'!$FI$17</f>
        <v>305.32320000000004</v>
      </c>
      <c r="AD72" s="427">
        <f>'ANALYSE - ERP =&gt; SOUS-SEGMENT'!$FL$17</f>
        <v>763.30799999999999</v>
      </c>
      <c r="AF72" s="430">
        <f>'ANALYSE - ERP =&gt; SOUS-SEGMENT'!$Q$17</f>
        <v>1</v>
      </c>
    </row>
    <row r="73" spans="1:32" s="45" customFormat="1" ht="15" customHeight="1">
      <c r="A73" s="26">
        <v>70</v>
      </c>
      <c r="B73" s="26">
        <v>71</v>
      </c>
      <c r="C73" s="26">
        <v>67</v>
      </c>
      <c r="D73" s="422">
        <f>'ANALYSE - ERP =&gt; SOUS-SEGMENT'!$A$135</f>
        <v>128</v>
      </c>
      <c r="E73" s="410" t="str">
        <f>'ANALYSE - ERP =&gt; SOUS-SEGMENT'!$B$135</f>
        <v>Sécurité &amp; Justice</v>
      </c>
      <c r="F73" s="410" t="str">
        <f>'ANALYSE - ERP =&gt; SOUS-SEGMENT'!$C$135</f>
        <v>Forces armées</v>
      </c>
      <c r="G73" s="410" t="str">
        <f>'ANALYSE - ERP =&gt; SOUS-SEGMENT'!$D$135</f>
        <v>Unités d'hébergement des militaires &amp; réservistes</v>
      </c>
      <c r="H73" s="685"/>
      <c r="I73" s="427">
        <f t="shared" si="8"/>
        <v>1279.5010578812121</v>
      </c>
      <c r="J73" s="685"/>
      <c r="K73" s="787">
        <f t="shared" si="6"/>
        <v>0.71466317612541241</v>
      </c>
      <c r="L73" s="787">
        <f t="shared" si="7"/>
        <v>0.28533682387458764</v>
      </c>
      <c r="M73" s="685"/>
      <c r="N73" s="424">
        <f>'ANALYSE - ERP =&gt; SOUS-SEGMENT'!$EX$135</f>
        <v>6397.5052894060609</v>
      </c>
      <c r="O73" s="427">
        <f>'ANALYSE - ERP =&gt; SOUS-SEGMENT'!$FA$135</f>
        <v>2030.2133918618181</v>
      </c>
      <c r="P73" s="427">
        <f>'ANALYSE - ERP =&gt; SOUS-SEGMENT'!$FD$135</f>
        <v>2099.2103860909092</v>
      </c>
      <c r="Q73" s="427">
        <f>'ANALYSE - ERP =&gt; SOUS-SEGMENT'!$FG$135</f>
        <v>524.94544512000004</v>
      </c>
      <c r="R73" s="427">
        <f>'ANALYSE - ERP =&gt; SOUS-SEGMENT'!$FJ$135</f>
        <v>1743.1360663333332</v>
      </c>
      <c r="S73" s="685"/>
      <c r="T73" s="424">
        <f>'ANALYSE - ERP =&gt; SOUS-SEGMENT'!$EY$135</f>
        <v>4572.061449406061</v>
      </c>
      <c r="U73" s="427">
        <f>'ANALYSE - ERP =&gt; SOUS-SEGMENT'!$FB$135</f>
        <v>1438.1775518618181</v>
      </c>
      <c r="V73" s="427">
        <f>'ANALYSE - ERP =&gt; SOUS-SEGMENT'!$FE$135</f>
        <v>1507.174546090909</v>
      </c>
      <c r="W73" s="427">
        <f>'ANALYSE - ERP =&gt; SOUS-SEGMENT'!$FH$135</f>
        <v>376.93648512000004</v>
      </c>
      <c r="X73" s="427">
        <f>'ANALYSE - ERP =&gt; SOUS-SEGMENT'!$FK$135</f>
        <v>1249.7728663333332</v>
      </c>
      <c r="Y73" s="685"/>
      <c r="Z73" s="427">
        <f>'ANALYSE - ERP =&gt; SOUS-SEGMENT'!$EZ$135</f>
        <v>1825.4438400000001</v>
      </c>
      <c r="AA73" s="427">
        <f>'ANALYSE - ERP =&gt; SOUS-SEGMENT'!$FC$135</f>
        <v>592.03584000000001</v>
      </c>
      <c r="AB73" s="427">
        <f>'ANALYSE - ERP =&gt; SOUS-SEGMENT'!$FF$135</f>
        <v>592.03584000000001</v>
      </c>
      <c r="AC73" s="427">
        <f>'ANALYSE - ERP =&gt; SOUS-SEGMENT'!$FI$135</f>
        <v>148.00896</v>
      </c>
      <c r="AD73" s="427">
        <f>'ANALYSE - ERP =&gt; SOUS-SEGMENT'!$FL$135</f>
        <v>493.36320000000001</v>
      </c>
      <c r="AE73" s="685"/>
      <c r="AF73" s="430">
        <f>'ANALYSE - ERP =&gt; SOUS-SEGMENT'!$Q$135</f>
        <v>1</v>
      </c>
    </row>
    <row r="74" spans="1:32" ht="15" customHeight="1">
      <c r="A74" s="26">
        <v>71</v>
      </c>
      <c r="B74" s="26">
        <v>68</v>
      </c>
      <c r="C74" s="26">
        <v>73</v>
      </c>
      <c r="D74" s="422">
        <f>'ANALYSE - ERP =&gt; SOUS-SEGMENT'!$A$105</f>
        <v>98</v>
      </c>
      <c r="E74" s="415" t="str">
        <f>'ANALYSE - ERP =&gt; SOUS-SEGMENT'!$B$105</f>
        <v>Culte, Vie civique &amp; Services publics</v>
      </c>
      <c r="F74" s="415" t="str">
        <f>'ANALYSE - ERP =&gt; SOUS-SEGMENT'!$C$105</f>
        <v>Administrations / services publics</v>
      </c>
      <c r="G74" s="415" t="str">
        <f>'ANALYSE - ERP =&gt; SOUS-SEGMENT'!$D$105</f>
        <v>Préfectures / services administratifs</v>
      </c>
      <c r="I74" s="427">
        <f t="shared" si="8"/>
        <v>1056.4089186959318</v>
      </c>
      <c r="K74" s="787">
        <f t="shared" si="6"/>
        <v>0.81356355809346459</v>
      </c>
      <c r="L74" s="787">
        <f t="shared" si="7"/>
        <v>0.18643644190653541</v>
      </c>
      <c r="N74" s="424">
        <f>'ANALYSE - ERP =&gt; SOUS-SEGMENT'!$EX$105</f>
        <v>5282.0445934796589</v>
      </c>
      <c r="O74" s="427">
        <f>'ANALYSE - ERP =&gt; SOUS-SEGMENT'!$FA$105</f>
        <v>2585.1532904215387</v>
      </c>
      <c r="P74" s="427">
        <f>'ANALYSE - ERP =&gt; SOUS-SEGMENT'!$FD$105</f>
        <v>0</v>
      </c>
      <c r="Q74" s="427">
        <f>'ANALYSE - ERP =&gt; SOUS-SEGMENT'!$FG$105</f>
        <v>609.48992463247873</v>
      </c>
      <c r="R74" s="427">
        <f>'ANALYSE - ERP =&gt; SOUS-SEGMENT'!$FJ$105</f>
        <v>2087.4013784256413</v>
      </c>
      <c r="T74" s="424">
        <f>'ANALYSE - ERP =&gt; SOUS-SEGMENT'!$EY$105</f>
        <v>4297.2789934796592</v>
      </c>
      <c r="U74" s="427">
        <f>'ANALYSE - ERP =&gt; SOUS-SEGMENT'!$FB$105</f>
        <v>2092.7704904215389</v>
      </c>
      <c r="V74" s="427">
        <f>'ANALYSE - ERP =&gt; SOUS-SEGMENT'!$FE$105</f>
        <v>0</v>
      </c>
      <c r="W74" s="427">
        <f>'ANALYSE - ERP =&gt; SOUS-SEGMENT'!$FH$105</f>
        <v>500.07152463247871</v>
      </c>
      <c r="X74" s="427">
        <f>'ANALYSE - ERP =&gt; SOUS-SEGMENT'!$FK$105</f>
        <v>1704.4369784256412</v>
      </c>
      <c r="Z74" s="427">
        <f>'ANALYSE - ERP =&gt; SOUS-SEGMENT'!$EZ$105</f>
        <v>984.76559999999995</v>
      </c>
      <c r="AA74" s="427">
        <f>'ANALYSE - ERP =&gt; SOUS-SEGMENT'!$FC$105</f>
        <v>492.38280000000003</v>
      </c>
      <c r="AB74" s="427">
        <f>'ANALYSE - ERP =&gt; SOUS-SEGMENT'!$FF$105</f>
        <v>0</v>
      </c>
      <c r="AC74" s="427">
        <f>'ANALYSE - ERP =&gt; SOUS-SEGMENT'!$FI$105</f>
        <v>109.41840000000001</v>
      </c>
      <c r="AD74" s="427">
        <f>'ANALYSE - ERP =&gt; SOUS-SEGMENT'!$FL$105</f>
        <v>382.96440000000001</v>
      </c>
      <c r="AF74" s="430">
        <f>'ANALYSE - ERP =&gt; SOUS-SEGMENT'!$Q$105</f>
        <v>1</v>
      </c>
    </row>
    <row r="75" spans="1:32" ht="15" customHeight="1">
      <c r="A75" s="26">
        <v>72</v>
      </c>
      <c r="B75" s="26">
        <v>72</v>
      </c>
      <c r="C75" s="26">
        <v>74</v>
      </c>
      <c r="D75" s="422">
        <f>'ANALYSE - ERP =&gt; SOUS-SEGMENT'!$A$140</f>
        <v>133</v>
      </c>
      <c r="E75" s="415" t="str">
        <f>'ANALYSE - ERP =&gt; SOUS-SEGMENT'!$B$140</f>
        <v>Sécurité &amp; Justice</v>
      </c>
      <c r="F75" s="415" t="str">
        <f>'ANALYSE - ERP =&gt; SOUS-SEGMENT'!$C$140</f>
        <v>Univers carcéral</v>
      </c>
      <c r="G75" s="415" t="str">
        <f>'ANALYSE - ERP =&gt; SOUS-SEGMENT'!$D$140</f>
        <v>Centres de détention</v>
      </c>
      <c r="I75" s="427">
        <f t="shared" si="8"/>
        <v>1079.9223386363635</v>
      </c>
      <c r="K75" s="787">
        <f t="shared" si="6"/>
        <v>0.81078583830572548</v>
      </c>
      <c r="L75" s="787">
        <f t="shared" si="7"/>
        <v>0.18921416169427455</v>
      </c>
      <c r="N75" s="424">
        <f>'ANALYSE - ERP =&gt; SOUS-SEGMENT'!$EX$140</f>
        <v>5399.6116931818178</v>
      </c>
      <c r="O75" s="427">
        <f>'ANALYSE - ERP =&gt; SOUS-SEGMENT'!$FA$140</f>
        <v>2486.6249431818183</v>
      </c>
      <c r="P75" s="427">
        <f>'ANALYSE - ERP =&gt; SOUS-SEGMENT'!$FD$140</f>
        <v>551.66</v>
      </c>
      <c r="Q75" s="427">
        <f>'ANALYSE - ERP =&gt; SOUS-SEGMENT'!$FG$140</f>
        <v>26.365386363636361</v>
      </c>
      <c r="R75" s="427">
        <f>'ANALYSE - ERP =&gt; SOUS-SEGMENT'!$FJ$140</f>
        <v>2334.9613636363633</v>
      </c>
      <c r="T75" s="424">
        <f>'ANALYSE - ERP =&gt; SOUS-SEGMENT'!$EY$140</f>
        <v>4377.9286931818178</v>
      </c>
      <c r="U75" s="427">
        <f>'ANALYSE - ERP =&gt; SOUS-SEGMENT'!$FB$140</f>
        <v>2016.4474431818182</v>
      </c>
      <c r="V75" s="427">
        <f>'ANALYSE - ERP =&gt; SOUS-SEGMENT'!$FE$140</f>
        <v>450</v>
      </c>
      <c r="W75" s="427">
        <f>'ANALYSE - ERP =&gt; SOUS-SEGMENT'!$FH$140</f>
        <v>21.282386363636363</v>
      </c>
      <c r="X75" s="427">
        <f>'ANALYSE - ERP =&gt; SOUS-SEGMENT'!$FK$140</f>
        <v>1890.1988636363635</v>
      </c>
      <c r="Z75" s="427">
        <f>'ANALYSE - ERP =&gt; SOUS-SEGMENT'!$EZ$140</f>
        <v>1021.683</v>
      </c>
      <c r="AA75" s="427">
        <f>'ANALYSE - ERP =&gt; SOUS-SEGMENT'!$FC$140</f>
        <v>470.17750000000001</v>
      </c>
      <c r="AB75" s="427">
        <f>'ANALYSE - ERP =&gt; SOUS-SEGMENT'!$FF$140</f>
        <v>101.66</v>
      </c>
      <c r="AC75" s="427">
        <f>'ANALYSE - ERP =&gt; SOUS-SEGMENT'!$FI$140</f>
        <v>5.0830000000000002</v>
      </c>
      <c r="AD75" s="427">
        <f>'ANALYSE - ERP =&gt; SOUS-SEGMENT'!$FL$140</f>
        <v>444.76249999999999</v>
      </c>
      <c r="AF75" s="430">
        <f>'ANALYSE - ERP =&gt; SOUS-SEGMENT'!$Q$140</f>
        <v>1</v>
      </c>
    </row>
    <row r="76" spans="1:32" ht="15" customHeight="1">
      <c r="A76" s="26">
        <v>73</v>
      </c>
      <c r="B76" s="26">
        <v>69</v>
      </c>
      <c r="C76" s="26">
        <v>77</v>
      </c>
      <c r="D76" s="422">
        <f>'ANALYSE - ERP =&gt; SOUS-SEGMENT'!$A$119</f>
        <v>112</v>
      </c>
      <c r="E76" s="417" t="str">
        <f>'ANALYSE - ERP =&gt; SOUS-SEGMENT'!$B$119</f>
        <v>Culte, Vie civique &amp; Services publics</v>
      </c>
      <c r="F76" s="417" t="str">
        <f>'ANALYSE - ERP =&gt; SOUS-SEGMENT'!$C$119</f>
        <v>Culte</v>
      </c>
      <c r="G76" s="417" t="str">
        <f>'ANALYSE - ERP =&gt; SOUS-SEGMENT'!$D$119</f>
        <v>Salles du Royaume, centres cultuels pluriconfessionnels et lieux de culte polyvalents</v>
      </c>
      <c r="I76" s="427">
        <f t="shared" si="8"/>
        <v>397.78322786796537</v>
      </c>
      <c r="K76" s="787">
        <f t="shared" si="6"/>
        <v>0.87372670218093651</v>
      </c>
      <c r="L76" s="787">
        <f t="shared" si="7"/>
        <v>0.12627329781906352</v>
      </c>
      <c r="N76" s="424">
        <f>'ANALYSE - ERP =&gt; SOUS-SEGMENT'!$EX$119</f>
        <v>1988.9161393398267</v>
      </c>
      <c r="O76" s="427">
        <f>'ANALYSE - ERP =&gt; SOUS-SEGMENT'!$FA$119</f>
        <v>888.98863636363649</v>
      </c>
      <c r="P76" s="427">
        <f>'ANALYSE - ERP =&gt; SOUS-SEGMENT'!$FD$119</f>
        <v>0</v>
      </c>
      <c r="Q76" s="427">
        <f>'ANALYSE - ERP =&gt; SOUS-SEGMENT'!$FG$119</f>
        <v>168.16350297619047</v>
      </c>
      <c r="R76" s="427">
        <f>'ANALYSE - ERP =&gt; SOUS-SEGMENT'!$FJ$119</f>
        <v>931.7639999999999</v>
      </c>
      <c r="T76" s="424">
        <f>'ANALYSE - ERP =&gt; SOUS-SEGMENT'!$EY$119</f>
        <v>1737.7691393398268</v>
      </c>
      <c r="U76" s="427">
        <f>'ANALYSE - ERP =&gt; SOUS-SEGMENT'!$FB$119</f>
        <v>773.0746363636365</v>
      </c>
      <c r="V76" s="427">
        <f>'ANALYSE - ERP =&gt; SOUS-SEGMENT'!$FE$119</f>
        <v>0</v>
      </c>
      <c r="W76" s="427">
        <f>'ANALYSE - ERP =&gt; SOUS-SEGMENT'!$FH$119</f>
        <v>148.84450297619048</v>
      </c>
      <c r="X76" s="427">
        <f>'ANALYSE - ERP =&gt; SOUS-SEGMENT'!$FK$119</f>
        <v>815.84999999999991</v>
      </c>
      <c r="Z76" s="427">
        <f>'ANALYSE - ERP =&gt; SOUS-SEGMENT'!$EZ$119</f>
        <v>251.14699999999999</v>
      </c>
      <c r="AA76" s="427">
        <f>'ANALYSE - ERP =&gt; SOUS-SEGMENT'!$FC$119</f>
        <v>115.914</v>
      </c>
      <c r="AB76" s="427">
        <f>'ANALYSE - ERP =&gt; SOUS-SEGMENT'!$FF$119</f>
        <v>0</v>
      </c>
      <c r="AC76" s="427">
        <f>'ANALYSE - ERP =&gt; SOUS-SEGMENT'!$FI$119</f>
        <v>19.318999999999999</v>
      </c>
      <c r="AD76" s="427">
        <f>'ANALYSE - ERP =&gt; SOUS-SEGMENT'!$FL$119</f>
        <v>115.914</v>
      </c>
      <c r="AF76" s="430">
        <f>'ANALYSE - ERP =&gt; SOUS-SEGMENT'!$Q$119</f>
        <v>1</v>
      </c>
    </row>
    <row r="77" spans="1:32" ht="15" customHeight="1">
      <c r="A77" s="26">
        <v>74</v>
      </c>
      <c r="B77" s="26">
        <v>70</v>
      </c>
      <c r="C77" s="26">
        <v>80</v>
      </c>
      <c r="D77" s="422">
        <f>'ANALYSE - ERP =&gt; SOUS-SEGMENT'!$A$114</f>
        <v>107</v>
      </c>
      <c r="E77" s="417" t="str">
        <f>'ANALYSE - ERP =&gt; SOUS-SEGMENT'!$B$114</f>
        <v>Culte, Vie civique &amp; Services publics</v>
      </c>
      <c r="F77" s="417" t="str">
        <f>'ANALYSE - ERP =&gt; SOUS-SEGMENT'!$C$114</f>
        <v>Culte</v>
      </c>
      <c r="G77" s="417" t="str">
        <f>'ANALYSE - ERP =&gt; SOUS-SEGMENT'!$D$114</f>
        <v>Monastères, abbayes et couvents ouverts au public</v>
      </c>
      <c r="I77" s="427">
        <f t="shared" si="8"/>
        <v>453.88042499999995</v>
      </c>
      <c r="K77" s="787">
        <f t="shared" si="6"/>
        <v>0.91405313414871336</v>
      </c>
      <c r="L77" s="787">
        <f t="shared" si="7"/>
        <v>8.5946865851286719E-2</v>
      </c>
      <c r="N77" s="424">
        <f>'ANALYSE - ERP =&gt; SOUS-SEGMENT'!$EX$114</f>
        <v>2269.4021249999996</v>
      </c>
      <c r="O77" s="427">
        <f>'ANALYSE - ERP =&gt; SOUS-SEGMENT'!$FA$114</f>
        <v>847.18499999999995</v>
      </c>
      <c r="P77" s="427">
        <f>'ANALYSE - ERP =&gt; SOUS-SEGMENT'!$FD$114</f>
        <v>426.62874999999997</v>
      </c>
      <c r="Q77" s="427">
        <f>'ANALYSE - ERP =&gt; SOUS-SEGMENT'!$FG$114</f>
        <v>113.43837499999999</v>
      </c>
      <c r="R77" s="427">
        <f>'ANALYSE - ERP =&gt; SOUS-SEGMENT'!$FJ$114</f>
        <v>882.15</v>
      </c>
      <c r="T77" s="424">
        <f>'ANALYSE - ERP =&gt; SOUS-SEGMENT'!$EY$114</f>
        <v>2074.3541249999998</v>
      </c>
      <c r="U77" s="427">
        <f>'ANALYSE - ERP =&gt; SOUS-SEGMENT'!$FB$114</f>
        <v>769.78499999999997</v>
      </c>
      <c r="V77" s="427">
        <f>'ANALYSE - ERP =&gt; SOUS-SEGMENT'!$FE$114</f>
        <v>395.66874999999999</v>
      </c>
      <c r="W77" s="427">
        <f>'ANALYSE - ERP =&gt; SOUS-SEGMENT'!$FH$114</f>
        <v>104.150375</v>
      </c>
      <c r="X77" s="427">
        <f>'ANALYSE - ERP =&gt; SOUS-SEGMENT'!$FK$114</f>
        <v>804.75</v>
      </c>
      <c r="Z77" s="427">
        <f>'ANALYSE - ERP =&gt; SOUS-SEGMENT'!$EZ$114</f>
        <v>195.04799999999997</v>
      </c>
      <c r="AA77" s="427">
        <f>'ANALYSE - ERP =&gt; SOUS-SEGMENT'!$FC$114</f>
        <v>77.399999999999991</v>
      </c>
      <c r="AB77" s="427">
        <f>'ANALYSE - ERP =&gt; SOUS-SEGMENT'!$FF$114</f>
        <v>30.959999999999997</v>
      </c>
      <c r="AC77" s="427">
        <f>'ANALYSE - ERP =&gt; SOUS-SEGMENT'!$FI$114</f>
        <v>9.2880000000000003</v>
      </c>
      <c r="AD77" s="427">
        <f>'ANALYSE - ERP =&gt; SOUS-SEGMENT'!$FL$114</f>
        <v>77.399999999999991</v>
      </c>
      <c r="AF77" s="430">
        <f>'ANALYSE - ERP =&gt; SOUS-SEGMENT'!$Q$114</f>
        <v>1</v>
      </c>
    </row>
    <row r="78" spans="1:32" ht="15" customHeight="1">
      <c r="A78" s="26">
        <v>75</v>
      </c>
      <c r="B78" s="26">
        <v>75</v>
      </c>
      <c r="C78" s="26">
        <v>69</v>
      </c>
      <c r="D78" s="422">
        <f>'ANALYSE - ERP =&gt; SOUS-SEGMENT'!$A$72</f>
        <v>65</v>
      </c>
      <c r="E78" s="414" t="str">
        <f>'ANALYSE - ERP =&gt; SOUS-SEGMENT'!$B$72</f>
        <v>Culture, Patrimoine &amp; Evénementiel</v>
      </c>
      <c r="F78" s="414" t="str">
        <f>'ANALYSE - ERP =&gt; SOUS-SEGMENT'!$C$72</f>
        <v>Événementiel temporaire</v>
      </c>
      <c r="G78" s="414" t="str">
        <f>'ANALYSE - ERP =&gt; SOUS-SEGMENT'!$D$72</f>
        <v>Chapiteaux / Tentes / Structures</v>
      </c>
      <c r="I78" s="427">
        <f t="shared" si="8"/>
        <v>539.95071942403263</v>
      </c>
      <c r="K78" s="787">
        <f t="shared" si="6"/>
        <v>0.66240474650271075</v>
      </c>
      <c r="L78" s="787">
        <f t="shared" si="7"/>
        <v>0.33759525349728925</v>
      </c>
      <c r="N78" s="424">
        <f>'ANALYSE - ERP =&gt; SOUS-SEGMENT'!$EX$72</f>
        <v>2699.7535971201632</v>
      </c>
      <c r="O78" s="427">
        <f>'ANALYSE - ERP =&gt; SOUS-SEGMENT'!$FA$72</f>
        <v>1233.1650296252915</v>
      </c>
      <c r="P78" s="427">
        <f>'ANALYSE - ERP =&gt; SOUS-SEGMENT'!$FD$72</f>
        <v>29.979839399999999</v>
      </c>
      <c r="Q78" s="427">
        <f>'ANALYSE - ERP =&gt; SOUS-SEGMENT'!$FG$72</f>
        <v>383.54300963333333</v>
      </c>
      <c r="R78" s="427">
        <f>'ANALYSE - ERP =&gt; SOUS-SEGMENT'!$FJ$72</f>
        <v>1053.0657184615384</v>
      </c>
      <c r="T78" s="424">
        <f>'ANALYSE - ERP =&gt; SOUS-SEGMENT'!$EY$72</f>
        <v>1788.3295971201633</v>
      </c>
      <c r="U78" s="427">
        <f>'ANALYSE - ERP =&gt; SOUS-SEGMENT'!$FB$72</f>
        <v>812.04502962529136</v>
      </c>
      <c r="V78" s="427">
        <f>'ANALYSE - ERP =&gt; SOUS-SEGMENT'!$FE$72</f>
        <v>20.955839399999999</v>
      </c>
      <c r="W78" s="427">
        <f>'ANALYSE - ERP =&gt; SOUS-SEGMENT'!$FH$72</f>
        <v>263.22300963333333</v>
      </c>
      <c r="X78" s="427">
        <f>'ANALYSE - ERP =&gt; SOUS-SEGMENT'!$FK$72</f>
        <v>692.10571846153846</v>
      </c>
      <c r="Z78" s="427">
        <f>'ANALYSE - ERP =&gt; SOUS-SEGMENT'!$EZ$72</f>
        <v>911.42399999999998</v>
      </c>
      <c r="AA78" s="427">
        <f>'ANALYSE - ERP =&gt; SOUS-SEGMENT'!$FC$72</f>
        <v>421.12</v>
      </c>
      <c r="AB78" s="427">
        <f>'ANALYSE - ERP =&gt; SOUS-SEGMENT'!$FF$72</f>
        <v>9.0240000000000009</v>
      </c>
      <c r="AC78" s="427">
        <f>'ANALYSE - ERP =&gt; SOUS-SEGMENT'!$FI$72</f>
        <v>120.32</v>
      </c>
      <c r="AD78" s="427">
        <f>'ANALYSE - ERP =&gt; SOUS-SEGMENT'!$FL$72</f>
        <v>360.96</v>
      </c>
      <c r="AF78" s="430">
        <f>'ANALYSE - ERP =&gt; SOUS-SEGMENT'!$Q$72</f>
        <v>1</v>
      </c>
    </row>
    <row r="79" spans="1:32" ht="15" customHeight="1">
      <c r="A79" s="26">
        <v>76</v>
      </c>
      <c r="B79" s="26">
        <v>77</v>
      </c>
      <c r="C79" s="26">
        <v>75</v>
      </c>
      <c r="D79" s="422">
        <f>'ANALYSE - ERP =&gt; SOUS-SEGMENT'!$A$127</f>
        <v>120</v>
      </c>
      <c r="E79" s="413" t="str">
        <f>'ANALYSE - ERP =&gt; SOUS-SEGMENT'!$B$127</f>
        <v>Transport, Mobilité &amp; Stationnement</v>
      </c>
      <c r="F79" s="413" t="str">
        <f>'ANALYSE - ERP =&gt; SOUS-SEGMENT'!$C$127</f>
        <v>Transport / Mobilité</v>
      </c>
      <c r="G79" s="413" t="str">
        <f>'ANALYSE - ERP =&gt; SOUS-SEGMENT'!$D$127</f>
        <v>Terminaux maritimes / fluviaux</v>
      </c>
      <c r="I79" s="427">
        <f t="shared" si="8"/>
        <v>747.06813413583336</v>
      </c>
      <c r="K79" s="787">
        <f t="shared" si="6"/>
        <v>0.74938510766949917</v>
      </c>
      <c r="L79" s="787">
        <f t="shared" si="7"/>
        <v>0.25061489233050083</v>
      </c>
      <c r="N79" s="424">
        <f>'ANALYSE - ERP =&gt; SOUS-SEGMENT'!$EX$127</f>
        <v>3735.3406706791666</v>
      </c>
      <c r="O79" s="427">
        <f>'ANALYSE - ERP =&gt; SOUS-SEGMENT'!$FA$127</f>
        <v>1711.7269163625001</v>
      </c>
      <c r="P79" s="427">
        <f>'ANALYSE - ERP =&gt; SOUS-SEGMENT'!$FD$127</f>
        <v>253.51632430000004</v>
      </c>
      <c r="Q79" s="427">
        <f>'ANALYSE - ERP =&gt; SOUS-SEGMENT'!$FG$127</f>
        <v>261.11586057222223</v>
      </c>
      <c r="R79" s="427">
        <f>'ANALYSE - ERP =&gt; SOUS-SEGMENT'!$FJ$127</f>
        <v>1508.9815694444444</v>
      </c>
      <c r="T79" s="424">
        <f>'ANALYSE - ERP =&gt; SOUS-SEGMENT'!$EY$127</f>
        <v>2799.2086706791665</v>
      </c>
      <c r="U79" s="427">
        <f>'ANALYSE - ERP =&gt; SOUS-SEGMENT'!$FB$127</f>
        <v>1290.4675163625</v>
      </c>
      <c r="V79" s="427">
        <f>'ANALYSE - ERP =&gt; SOUS-SEGMENT'!$FE$127</f>
        <v>191.10752430000002</v>
      </c>
      <c r="W79" s="427">
        <f>'ANALYSE - ERP =&gt; SOUS-SEGMENT'!$FH$127</f>
        <v>198.70706057222225</v>
      </c>
      <c r="X79" s="427">
        <f>'ANALYSE - ERP =&gt; SOUS-SEGMENT'!$FK$127</f>
        <v>1118.9265694444443</v>
      </c>
      <c r="Z79" s="427">
        <f>'ANALYSE - ERP =&gt; SOUS-SEGMENT'!$EZ$127</f>
        <v>936.13200000000006</v>
      </c>
      <c r="AA79" s="427">
        <f>'ANALYSE - ERP =&gt; SOUS-SEGMENT'!$FC$127</f>
        <v>421.25940000000003</v>
      </c>
      <c r="AB79" s="427">
        <f>'ANALYSE - ERP =&gt; SOUS-SEGMENT'!$FF$127</f>
        <v>62.408800000000006</v>
      </c>
      <c r="AC79" s="427">
        <f>'ANALYSE - ERP =&gt; SOUS-SEGMENT'!$FI$127</f>
        <v>62.408800000000006</v>
      </c>
      <c r="AD79" s="427">
        <f>'ANALYSE - ERP =&gt; SOUS-SEGMENT'!$FL$127</f>
        <v>390.05500000000001</v>
      </c>
      <c r="AF79" s="430">
        <f>'ANALYSE - ERP =&gt; SOUS-SEGMENT'!$Q$127</f>
        <v>1</v>
      </c>
    </row>
    <row r="80" spans="1:32" ht="15" customHeight="1">
      <c r="A80" s="26">
        <v>77</v>
      </c>
      <c r="B80" s="26">
        <v>76</v>
      </c>
      <c r="C80" s="26">
        <v>78</v>
      </c>
      <c r="D80" s="422">
        <f>'ANALYSE - ERP =&gt; SOUS-SEGMENT'!$A$146</f>
        <v>139</v>
      </c>
      <c r="E80" s="417" t="str">
        <f>'ANALYSE - ERP =&gt; SOUS-SEGMENT'!$B$146</f>
        <v>Sécurité &amp; Justice</v>
      </c>
      <c r="F80" s="417" t="str">
        <f>'ANALYSE - ERP =&gt; SOUS-SEGMENT'!$C$146</f>
        <v>Tribunaux</v>
      </c>
      <c r="G80" s="417" t="str">
        <f>'ANALYSE - ERP =&gt; SOUS-SEGMENT'!$D$146</f>
        <v>Palais de justice et bâtiments judiciaires multi-usages</v>
      </c>
      <c r="I80" s="427">
        <f t="shared" si="8"/>
        <v>675.46535840000001</v>
      </c>
      <c r="K80" s="787">
        <f t="shared" si="6"/>
        <v>0.84728352576903965</v>
      </c>
      <c r="L80" s="787">
        <f t="shared" si="7"/>
        <v>0.15271647423096035</v>
      </c>
      <c r="N80" s="424">
        <f>'ANALYSE - ERP =&gt; SOUS-SEGMENT'!$EX$146</f>
        <v>3377.3267919999998</v>
      </c>
      <c r="O80" s="427">
        <f>'ANALYSE - ERP =&gt; SOUS-SEGMENT'!$FA$146</f>
        <v>1582.1656058205126</v>
      </c>
      <c r="P80" s="427">
        <f>'ANALYSE - ERP =&gt; SOUS-SEGMENT'!$FD$146</f>
        <v>0</v>
      </c>
      <c r="Q80" s="427">
        <f>'ANALYSE - ERP =&gt; SOUS-SEGMENT'!$FG$146</f>
        <v>217.06445788461536</v>
      </c>
      <c r="R80" s="427">
        <f>'ANALYSE - ERP =&gt; SOUS-SEGMENT'!$FJ$146</f>
        <v>1578.0967282948718</v>
      </c>
      <c r="T80" s="424">
        <f>'ANALYSE - ERP =&gt; SOUS-SEGMENT'!$EY$146</f>
        <v>2861.5533519999999</v>
      </c>
      <c r="U80" s="427">
        <f>'ANALYSE - ERP =&gt; SOUS-SEGMENT'!$FB$146</f>
        <v>1335.0241658205127</v>
      </c>
      <c r="V80" s="427">
        <f>'ANALYSE - ERP =&gt; SOUS-SEGMENT'!$FE$146</f>
        <v>0</v>
      </c>
      <c r="W80" s="427">
        <f>'ANALYSE - ERP =&gt; SOUS-SEGMENT'!$FH$146</f>
        <v>184.82861788461537</v>
      </c>
      <c r="X80" s="427">
        <f>'ANALYSE - ERP =&gt; SOUS-SEGMENT'!$FK$146</f>
        <v>1341.7005682948718</v>
      </c>
      <c r="Z80" s="427">
        <f>'ANALYSE - ERP =&gt; SOUS-SEGMENT'!$EZ$146</f>
        <v>515.77343999999994</v>
      </c>
      <c r="AA80" s="427">
        <f>'ANALYSE - ERP =&gt; SOUS-SEGMENT'!$FC$146</f>
        <v>247.14143999999999</v>
      </c>
      <c r="AB80" s="427">
        <f>'ANALYSE - ERP =&gt; SOUS-SEGMENT'!$FF$146</f>
        <v>0</v>
      </c>
      <c r="AC80" s="427">
        <f>'ANALYSE - ERP =&gt; SOUS-SEGMENT'!$FI$146</f>
        <v>32.235839999999996</v>
      </c>
      <c r="AD80" s="427">
        <f>'ANALYSE - ERP =&gt; SOUS-SEGMENT'!$FL$146</f>
        <v>236.39615999999998</v>
      </c>
      <c r="AF80" s="430">
        <f>'ANALYSE - ERP =&gt; SOUS-SEGMENT'!$Q$146</f>
        <v>1</v>
      </c>
    </row>
    <row r="81" spans="1:32" ht="15" customHeight="1">
      <c r="A81" s="26">
        <v>78</v>
      </c>
      <c r="B81" s="26">
        <v>78</v>
      </c>
      <c r="C81" s="26">
        <v>76</v>
      </c>
      <c r="D81" s="422">
        <f>'ANALYSE - ERP =&gt; SOUS-SEGMENT'!$A$91</f>
        <v>84</v>
      </c>
      <c r="E81" s="415" t="str">
        <f>'ANALYSE - ERP =&gt; SOUS-SEGMENT'!$B$91</f>
        <v>Hébergement Touristique</v>
      </c>
      <c r="F81" s="415" t="str">
        <f>'ANALYSE - ERP =&gt; SOUS-SEGMENT'!$C$91</f>
        <v>Hébergement Touristique</v>
      </c>
      <c r="G81" s="415" t="str">
        <f>'ANALYSE - ERP =&gt; SOUS-SEGMENT'!$D$91</f>
        <v>Pensions de famille</v>
      </c>
      <c r="I81" s="427">
        <f t="shared" si="8"/>
        <v>574.4645359772727</v>
      </c>
      <c r="K81" s="787">
        <f t="shared" si="6"/>
        <v>0.77016082502745897</v>
      </c>
      <c r="L81" s="787">
        <f t="shared" si="7"/>
        <v>0.22983917497254105</v>
      </c>
      <c r="N81" s="424">
        <f>'ANALYSE - ERP =&gt; SOUS-SEGMENT'!$EX$91</f>
        <v>2872.3226798863634</v>
      </c>
      <c r="O81" s="427">
        <f>'ANALYSE - ERP =&gt; SOUS-SEGMENT'!$FA$91</f>
        <v>1110.896663181818</v>
      </c>
      <c r="P81" s="427">
        <f>'ANALYSE - ERP =&gt; SOUS-SEGMENT'!$FD$91</f>
        <v>801.92164568181806</v>
      </c>
      <c r="Q81" s="427">
        <f>'ANALYSE - ERP =&gt; SOUS-SEGMENT'!$FG$91</f>
        <v>215.61524693181818</v>
      </c>
      <c r="R81" s="427">
        <f>'ANALYSE - ERP =&gt; SOUS-SEGMENT'!$FJ$91</f>
        <v>743.88912409090904</v>
      </c>
      <c r="T81" s="424">
        <f>'ANALYSE - ERP =&gt; SOUS-SEGMENT'!$EY$91</f>
        <v>2212.1504048863635</v>
      </c>
      <c r="U81" s="427">
        <f>'ANALYSE - ERP =&gt; SOUS-SEGMENT'!$FB$91</f>
        <v>846.82775318181814</v>
      </c>
      <c r="V81" s="427">
        <f>'ANALYSE - ERP =&gt; SOUS-SEGMENT'!$FE$91</f>
        <v>625.87570568181809</v>
      </c>
      <c r="W81" s="427">
        <f>'ANALYSE - ERP =&gt; SOUS-SEGMENT'!$FH$91</f>
        <v>171.60376193181818</v>
      </c>
      <c r="X81" s="427">
        <f>'ANALYSE - ERP =&gt; SOUS-SEGMENT'!$FK$91</f>
        <v>567.84318409090906</v>
      </c>
      <c r="Z81" s="427">
        <f>'ANALYSE - ERP =&gt; SOUS-SEGMENT'!$EZ$91</f>
        <v>660.1722749999999</v>
      </c>
      <c r="AA81" s="427">
        <f>'ANALYSE - ERP =&gt; SOUS-SEGMENT'!$FC$91</f>
        <v>264.06890999999996</v>
      </c>
      <c r="AB81" s="427">
        <f>'ANALYSE - ERP =&gt; SOUS-SEGMENT'!$FF$91</f>
        <v>176.04594</v>
      </c>
      <c r="AC81" s="427">
        <f>'ANALYSE - ERP =&gt; SOUS-SEGMENT'!$FI$91</f>
        <v>44.011485</v>
      </c>
      <c r="AD81" s="427">
        <f>'ANALYSE - ERP =&gt; SOUS-SEGMENT'!$FL$91</f>
        <v>176.04594</v>
      </c>
      <c r="AF81" s="430">
        <f>'ANALYSE - ERP =&gt; SOUS-SEGMENT'!$Q$91</f>
        <v>1</v>
      </c>
    </row>
    <row r="82" spans="1:32" ht="15" customHeight="1">
      <c r="A82" s="26">
        <v>79</v>
      </c>
      <c r="B82" s="26">
        <v>89</v>
      </c>
      <c r="C82" s="26">
        <v>63</v>
      </c>
      <c r="D82" s="422">
        <f>'ANALYSE - ERP =&gt; SOUS-SEGMENT'!$A$108</f>
        <v>101</v>
      </c>
      <c r="E82" s="412" t="str">
        <f>'ANALYSE - ERP =&gt; SOUS-SEGMENT'!$B$108</f>
        <v>Culte, Vie civique &amp; Services publics</v>
      </c>
      <c r="F82" s="412" t="str">
        <f>'ANALYSE - ERP =&gt; SOUS-SEGMENT'!$C$108</f>
        <v>Administrations / services publics</v>
      </c>
      <c r="G82" s="412" t="str">
        <f>'ANALYSE - ERP =&gt; SOUS-SEGMENT'!$D$108</f>
        <v>Maisons France Services / Guichets publics autonomes ou dédiés</v>
      </c>
      <c r="I82" s="427">
        <f t="shared" si="8"/>
        <v>190.20558094747474</v>
      </c>
      <c r="K82" s="787">
        <f t="shared" si="6"/>
        <v>0.29405415271658097</v>
      </c>
      <c r="L82" s="787">
        <f t="shared" si="7"/>
        <v>0.70594584728341891</v>
      </c>
      <c r="N82" s="424">
        <f>'ANALYSE - ERP =&gt; SOUS-SEGMENT'!$EX$108</f>
        <v>951.02790473737377</v>
      </c>
      <c r="O82" s="427">
        <f>'ANALYSE - ERP =&gt; SOUS-SEGMENT'!$FA$108</f>
        <v>434.72674543589744</v>
      </c>
      <c r="P82" s="427">
        <f>'ANALYSE - ERP =&gt; SOUS-SEGMENT'!$FD$108</f>
        <v>0</v>
      </c>
      <c r="Q82" s="427">
        <f>'ANALYSE - ERP =&gt; SOUS-SEGMENT'!$FG$108</f>
        <v>49.085580814296812</v>
      </c>
      <c r="R82" s="427">
        <f>'ANALYSE - ERP =&gt; SOUS-SEGMENT'!$FJ$108</f>
        <v>467.21557848717953</v>
      </c>
      <c r="T82" s="424">
        <f>'ANALYSE - ERP =&gt; SOUS-SEGMENT'!$EY$108</f>
        <v>279.65370473737374</v>
      </c>
      <c r="U82" s="427">
        <f>'ANALYSE - ERP =&gt; SOUS-SEGMENT'!$FB$108</f>
        <v>115.02474543589743</v>
      </c>
      <c r="V82" s="427">
        <f>'ANALYSE - ERP =&gt; SOUS-SEGMENT'!$FE$108</f>
        <v>0</v>
      </c>
      <c r="W82" s="427">
        <f>'ANALYSE - ERP =&gt; SOUS-SEGMENT'!$FH$108</f>
        <v>17.115380814296813</v>
      </c>
      <c r="X82" s="427">
        <f>'ANALYSE - ERP =&gt; SOUS-SEGMENT'!$FK$108</f>
        <v>147.5135784871795</v>
      </c>
      <c r="Z82" s="427">
        <f>'ANALYSE - ERP =&gt; SOUS-SEGMENT'!$EZ$108</f>
        <v>671.37419999999997</v>
      </c>
      <c r="AA82" s="427">
        <f>'ANALYSE - ERP =&gt; SOUS-SEGMENT'!$FC$108</f>
        <v>319.702</v>
      </c>
      <c r="AB82" s="427">
        <f>'ANALYSE - ERP =&gt; SOUS-SEGMENT'!$FF$108</f>
        <v>0</v>
      </c>
      <c r="AC82" s="427">
        <f>'ANALYSE - ERP =&gt; SOUS-SEGMENT'!$FI$108</f>
        <v>31.970199999999998</v>
      </c>
      <c r="AD82" s="427">
        <f>'ANALYSE - ERP =&gt; SOUS-SEGMENT'!$FL$108</f>
        <v>319.702</v>
      </c>
      <c r="AF82" s="430">
        <f>'ANALYSE - ERP =&gt; SOUS-SEGMENT'!$Q$108</f>
        <v>1</v>
      </c>
    </row>
    <row r="83" spans="1:32" ht="15" customHeight="1">
      <c r="A83" s="26">
        <v>80</v>
      </c>
      <c r="B83" s="26">
        <v>79</v>
      </c>
      <c r="C83" s="26">
        <v>84</v>
      </c>
      <c r="D83" s="422">
        <f>'ANALYSE - ERP =&gt; SOUS-SEGMENT'!$A$132</f>
        <v>125</v>
      </c>
      <c r="E83" s="414" t="str">
        <f>'ANALYSE - ERP =&gt; SOUS-SEGMENT'!$B$132</f>
        <v>Sécurité &amp; Justice</v>
      </c>
      <c r="F83" s="414" t="str">
        <f>'ANALYSE - ERP =&gt; SOUS-SEGMENT'!$C$132</f>
        <v xml:space="preserve">Commissariats / postes de police </v>
      </c>
      <c r="G83" s="414" t="str">
        <f>'ANALYSE - ERP =&gt; SOUS-SEGMENT'!$D$132</f>
        <v>Locaux de sûreté, garde à vue et zones opérationnelles</v>
      </c>
      <c r="I83" s="427">
        <f t="shared" si="8"/>
        <v>507.51597452149997</v>
      </c>
      <c r="K83" s="787">
        <f t="shared" si="6"/>
        <v>0.85334309906170869</v>
      </c>
      <c r="L83" s="787">
        <f t="shared" si="7"/>
        <v>0.14665690093829131</v>
      </c>
      <c r="N83" s="424">
        <f>'ANALYSE - ERP =&gt; SOUS-SEGMENT'!$EX$132</f>
        <v>2537.5798726075</v>
      </c>
      <c r="O83" s="427">
        <f>'ANALYSE - ERP =&gt; SOUS-SEGMENT'!$FA$132</f>
        <v>993.52592708444445</v>
      </c>
      <c r="P83" s="427">
        <f>'ANALYSE - ERP =&gt; SOUS-SEGMENT'!$FD$132</f>
        <v>256.77910999999995</v>
      </c>
      <c r="Q83" s="427">
        <f>'ANALYSE - ERP =&gt; SOUS-SEGMENT'!$FG$132</f>
        <v>249.53906216749999</v>
      </c>
      <c r="R83" s="427">
        <f>'ANALYSE - ERP =&gt; SOUS-SEGMENT'!$FJ$132</f>
        <v>1037.7357733555555</v>
      </c>
      <c r="T83" s="424">
        <f>'ANALYSE - ERP =&gt; SOUS-SEGMENT'!$EY$132</f>
        <v>2165.4262726074999</v>
      </c>
      <c r="U83" s="427">
        <f>'ANALYSE - ERP =&gt; SOUS-SEGMENT'!$FB$132</f>
        <v>844.66448708444443</v>
      </c>
      <c r="V83" s="427">
        <f>'ANALYSE - ERP =&gt; SOUS-SEGMENT'!$FE$132</f>
        <v>219.56374999999997</v>
      </c>
      <c r="W83" s="427">
        <f>'ANALYSE - ERP =&gt; SOUS-SEGMENT'!$FH$132</f>
        <v>212.32370216749999</v>
      </c>
      <c r="X83" s="427">
        <f>'ANALYSE - ERP =&gt; SOUS-SEGMENT'!$FK$132</f>
        <v>888.87433335555545</v>
      </c>
      <c r="Z83" s="427">
        <f>'ANALYSE - ERP =&gt; SOUS-SEGMENT'!$EZ$132</f>
        <v>372.15359999999998</v>
      </c>
      <c r="AA83" s="427">
        <f>'ANALYSE - ERP =&gt; SOUS-SEGMENT'!$FC$132</f>
        <v>148.86143999999999</v>
      </c>
      <c r="AB83" s="427">
        <f>'ANALYSE - ERP =&gt; SOUS-SEGMENT'!$FF$132</f>
        <v>37.215359999999997</v>
      </c>
      <c r="AC83" s="427">
        <f>'ANALYSE - ERP =&gt; SOUS-SEGMENT'!$FI$132</f>
        <v>37.215359999999997</v>
      </c>
      <c r="AD83" s="427">
        <f>'ANALYSE - ERP =&gt; SOUS-SEGMENT'!$FL$132</f>
        <v>148.86143999999999</v>
      </c>
      <c r="AF83" s="430">
        <f>'ANALYSE - ERP =&gt; SOUS-SEGMENT'!$Q$132</f>
        <v>1</v>
      </c>
    </row>
    <row r="84" spans="1:32" ht="15" customHeight="1">
      <c r="A84" s="26">
        <v>81</v>
      </c>
      <c r="B84" s="26">
        <v>81</v>
      </c>
      <c r="C84" s="26">
        <v>79</v>
      </c>
      <c r="D84" s="422">
        <f>'ANALYSE - ERP =&gt; SOUS-SEGMENT'!$A$71</f>
        <v>64</v>
      </c>
      <c r="E84" s="417" t="str">
        <f>'ANALYSE - ERP =&gt; SOUS-SEGMENT'!$B$71</f>
        <v>Culture, Patrimoine &amp; Evénementiel</v>
      </c>
      <c r="F84" s="417" t="str">
        <f>'ANALYSE - ERP =&gt; SOUS-SEGMENT'!$C$71</f>
        <v>Expositions / salons</v>
      </c>
      <c r="G84" s="417" t="str">
        <f>'ANALYSE - ERP =&gt; SOUS-SEGMENT'!$D$71</f>
        <v>Halls d’exposition</v>
      </c>
      <c r="I84" s="427">
        <f t="shared" si="8"/>
        <v>472.07509642268997</v>
      </c>
      <c r="K84" s="787">
        <f t="shared" si="6"/>
        <v>0.80333867915609514</v>
      </c>
      <c r="L84" s="787">
        <f t="shared" si="7"/>
        <v>0.19666132084390492</v>
      </c>
      <c r="N84" s="424">
        <f>'ANALYSE - ERP =&gt; SOUS-SEGMENT'!$EX$71</f>
        <v>2360.3754821134498</v>
      </c>
      <c r="O84" s="427">
        <f>'ANALYSE - ERP =&gt; SOUS-SEGMENT'!$FA$71</f>
        <v>1044.8201781338462</v>
      </c>
      <c r="P84" s="427">
        <f>'ANALYSE - ERP =&gt; SOUS-SEGMENT'!$FD$71</f>
        <v>76.075523942307683</v>
      </c>
      <c r="Q84" s="427">
        <f>'ANALYSE - ERP =&gt; SOUS-SEGMENT'!$FG$71</f>
        <v>238.58684706293707</v>
      </c>
      <c r="R84" s="427">
        <f>'ANALYSE - ERP =&gt; SOUS-SEGMENT'!$FJ$71</f>
        <v>1000.8929329743588</v>
      </c>
      <c r="T84" s="424">
        <f>'ANALYSE - ERP =&gt; SOUS-SEGMENT'!$EY$71</f>
        <v>1896.1809221134499</v>
      </c>
      <c r="U84" s="427">
        <f>'ANALYSE - ERP =&gt; SOUS-SEGMENT'!$FB$71</f>
        <v>837.41409813384632</v>
      </c>
      <c r="V84" s="427">
        <f>'ANALYSE - ERP =&gt; SOUS-SEGMENT'!$FE$71</f>
        <v>61.260803942307682</v>
      </c>
      <c r="W84" s="427">
        <f>'ANALYSE - ERP =&gt; SOUS-SEGMENT'!$FH$71</f>
        <v>194.14268706293706</v>
      </c>
      <c r="X84" s="427">
        <f>'ANALYSE - ERP =&gt; SOUS-SEGMENT'!$FK$71</f>
        <v>803.36333297435885</v>
      </c>
      <c r="Z84" s="427">
        <f>'ANALYSE - ERP =&gt; SOUS-SEGMENT'!$EZ$71</f>
        <v>464.19455999999991</v>
      </c>
      <c r="AA84" s="427">
        <f>'ANALYSE - ERP =&gt; SOUS-SEGMENT'!$FC$71</f>
        <v>207.40607999999997</v>
      </c>
      <c r="AB84" s="427">
        <f>'ANALYSE - ERP =&gt; SOUS-SEGMENT'!$FF$71</f>
        <v>14.814719999999999</v>
      </c>
      <c r="AC84" s="427">
        <f>'ANALYSE - ERP =&gt; SOUS-SEGMENT'!$FI$71</f>
        <v>44.444159999999997</v>
      </c>
      <c r="AD84" s="427">
        <f>'ANALYSE - ERP =&gt; SOUS-SEGMENT'!$FL$71</f>
        <v>197.52959999999999</v>
      </c>
      <c r="AF84" s="430">
        <f>'ANALYSE - ERP =&gt; SOUS-SEGMENT'!$Q$71</f>
        <v>1</v>
      </c>
    </row>
    <row r="85" spans="1:32" ht="15" customHeight="1">
      <c r="A85" s="26">
        <v>82</v>
      </c>
      <c r="B85" s="26">
        <v>80</v>
      </c>
      <c r="C85" s="26">
        <v>87</v>
      </c>
      <c r="D85" s="422">
        <f>'ANALYSE - ERP =&gt; SOUS-SEGMENT'!$A$121</f>
        <v>114</v>
      </c>
      <c r="E85" s="417" t="str">
        <f>'ANALYSE - ERP =&gt; SOUS-SEGMENT'!$B$121</f>
        <v>Transport, Mobilité &amp; Stationnement</v>
      </c>
      <c r="F85" s="417" t="str">
        <f>'ANALYSE - ERP =&gt; SOUS-SEGMENT'!$C$121</f>
        <v>Transport / Mobilité</v>
      </c>
      <c r="G85" s="417" t="str">
        <f>'ANALYSE - ERP =&gt; SOUS-SEGMENT'!$D$121</f>
        <v>Aires de service - Autoroutes
(Hors Aires de repos)</v>
      </c>
      <c r="I85" s="427">
        <f t="shared" si="8"/>
        <v>453.12110319878792</v>
      </c>
      <c r="K85" s="787">
        <f t="shared" si="6"/>
        <v>0.86239270791004108</v>
      </c>
      <c r="L85" s="787">
        <f t="shared" si="7"/>
        <v>0.13760729208995884</v>
      </c>
      <c r="N85" s="424">
        <f>'ANALYSE - ERP =&gt; SOUS-SEGMENT'!$EX$121</f>
        <v>2265.6055159939397</v>
      </c>
      <c r="O85" s="427">
        <f>'ANALYSE - ERP =&gt; SOUS-SEGMENT'!$FA$121</f>
        <v>954.87995128282842</v>
      </c>
      <c r="P85" s="427">
        <f>'ANALYSE - ERP =&gt; SOUS-SEGMENT'!$FD$121</f>
        <v>193.13559389999998</v>
      </c>
      <c r="Q85" s="427">
        <f>'ANALYSE - ERP =&gt; SOUS-SEGMENT'!$FG$121</f>
        <v>194.95564858888889</v>
      </c>
      <c r="R85" s="427">
        <f>'ANALYSE - ERP =&gt; SOUS-SEGMENT'!$FJ$121</f>
        <v>922.63432222222218</v>
      </c>
      <c r="T85" s="424">
        <f>'ANALYSE - ERP =&gt; SOUS-SEGMENT'!$EY$121</f>
        <v>1953.8416759939396</v>
      </c>
      <c r="U85" s="427">
        <f>'ANALYSE - ERP =&gt; SOUS-SEGMENT'!$FB$121</f>
        <v>824.97835128282838</v>
      </c>
      <c r="V85" s="427">
        <f>'ANALYSE - ERP =&gt; SOUS-SEGMENT'!$FE$121</f>
        <v>167.15527389999997</v>
      </c>
      <c r="W85" s="427">
        <f>'ANALYSE - ERP =&gt; SOUS-SEGMENT'!$FH$121</f>
        <v>168.97532858888889</v>
      </c>
      <c r="X85" s="427">
        <f>'ANALYSE - ERP =&gt; SOUS-SEGMENT'!$FK$121</f>
        <v>792.73272222222215</v>
      </c>
      <c r="Z85" s="427">
        <f>'ANALYSE - ERP =&gt; SOUS-SEGMENT'!$EZ$121</f>
        <v>311.76383999999996</v>
      </c>
      <c r="AA85" s="427">
        <f>'ANALYSE - ERP =&gt; SOUS-SEGMENT'!$FC$121</f>
        <v>129.90159999999997</v>
      </c>
      <c r="AB85" s="427">
        <f>'ANALYSE - ERP =&gt; SOUS-SEGMENT'!$FF$121</f>
        <v>25.980319999999999</v>
      </c>
      <c r="AC85" s="427">
        <f>'ANALYSE - ERP =&gt; SOUS-SEGMENT'!$FI$121</f>
        <v>25.980319999999999</v>
      </c>
      <c r="AD85" s="427">
        <f>'ANALYSE - ERP =&gt; SOUS-SEGMENT'!$FL$121</f>
        <v>129.90159999999997</v>
      </c>
      <c r="AF85" s="430">
        <f>'ANALYSE - ERP =&gt; SOUS-SEGMENT'!$Q$121</f>
        <v>1</v>
      </c>
    </row>
    <row r="86" spans="1:32" ht="15" customHeight="1">
      <c r="A86" s="26">
        <v>83</v>
      </c>
      <c r="B86" s="26">
        <v>82</v>
      </c>
      <c r="C86" s="26">
        <v>82</v>
      </c>
      <c r="D86" s="422">
        <f>'ANALYSE - ERP =&gt; SOUS-SEGMENT'!$A$138</f>
        <v>131</v>
      </c>
      <c r="E86" s="413" t="str">
        <f>'ANALYSE - ERP =&gt; SOUS-SEGMENT'!$B$138</f>
        <v>Sécurité &amp; Justice</v>
      </c>
      <c r="F86" s="413" t="str">
        <f>'ANALYSE - ERP =&gt; SOUS-SEGMENT'!$C$138</f>
        <v>Forces armées</v>
      </c>
      <c r="G86" s="413" t="str">
        <f>'ANALYSE - ERP =&gt; SOUS-SEGMENT'!$D$138</f>
        <v>Salles de conférence, auditoriums et espaces événementiels ouverts au public</v>
      </c>
      <c r="I86" s="427">
        <f t="shared" si="8"/>
        <v>369.28154929545457</v>
      </c>
      <c r="K86" s="787">
        <f t="shared" si="6"/>
        <v>0.82831961109089625</v>
      </c>
      <c r="L86" s="787">
        <f t="shared" si="7"/>
        <v>0.17168038890910373</v>
      </c>
      <c r="N86" s="424">
        <f>'ANALYSE - ERP =&gt; SOUS-SEGMENT'!$EX$138</f>
        <v>1846.4077464772729</v>
      </c>
      <c r="O86" s="427">
        <f>'ANALYSE - ERP =&gt; SOUS-SEGMENT'!$FA$138</f>
        <v>829.87302545454543</v>
      </c>
      <c r="P86" s="427">
        <f>'ANALYSE - ERP =&gt; SOUS-SEGMENT'!$FD$138</f>
        <v>72.38916477272727</v>
      </c>
      <c r="Q86" s="427">
        <f>'ANALYSE - ERP =&gt; SOUS-SEGMENT'!$FG$138</f>
        <v>217.67518125000004</v>
      </c>
      <c r="R86" s="427">
        <f>'ANALYSE - ERP =&gt; SOUS-SEGMENT'!$FJ$138</f>
        <v>726.47037499999999</v>
      </c>
      <c r="T86" s="424">
        <f>'ANALYSE - ERP =&gt; SOUS-SEGMENT'!$EY$138</f>
        <v>1529.4157464772729</v>
      </c>
      <c r="U86" s="427">
        <f>'ANALYSE - ERP =&gt; SOUS-SEGMENT'!$FB$138</f>
        <v>683.56902545454545</v>
      </c>
      <c r="V86" s="427">
        <f>'ANALYSE - ERP =&gt; SOUS-SEGMENT'!$FE$138</f>
        <v>60.197164772727277</v>
      </c>
      <c r="W86" s="427">
        <f>'ANALYSE - ERP =&gt; SOUS-SEGMENT'!$FH$138</f>
        <v>181.09918125000004</v>
      </c>
      <c r="X86" s="427">
        <f>'ANALYSE - ERP =&gt; SOUS-SEGMENT'!$FK$138</f>
        <v>604.55037500000003</v>
      </c>
      <c r="Z86" s="427">
        <f>'ANALYSE - ERP =&gt; SOUS-SEGMENT'!$EZ$138</f>
        <v>316.99200000000002</v>
      </c>
      <c r="AA86" s="427">
        <f>'ANALYSE - ERP =&gt; SOUS-SEGMENT'!$FC$138</f>
        <v>146.304</v>
      </c>
      <c r="AB86" s="427">
        <f>'ANALYSE - ERP =&gt; SOUS-SEGMENT'!$FF$138</f>
        <v>12.192</v>
      </c>
      <c r="AC86" s="427">
        <f>'ANALYSE - ERP =&gt; SOUS-SEGMENT'!$FI$138</f>
        <v>36.576000000000001</v>
      </c>
      <c r="AD86" s="427">
        <f>'ANALYSE - ERP =&gt; SOUS-SEGMENT'!$FL$138</f>
        <v>121.92</v>
      </c>
      <c r="AF86" s="430">
        <f>'ANALYSE - ERP =&gt; SOUS-SEGMENT'!$Q$138</f>
        <v>1</v>
      </c>
    </row>
    <row r="87" spans="1:32" ht="15" customHeight="1">
      <c r="A87" s="26">
        <v>84</v>
      </c>
      <c r="B87" s="26">
        <v>83</v>
      </c>
      <c r="C87" s="26">
        <v>88</v>
      </c>
      <c r="D87" s="422">
        <f>'ANALYSE - ERP =&gt; SOUS-SEGMENT'!$A$93</f>
        <v>86</v>
      </c>
      <c r="E87" s="417" t="str">
        <f>'ANALYSE - ERP =&gt; SOUS-SEGMENT'!$B$93</f>
        <v>Hébergement Touristique</v>
      </c>
      <c r="F87" s="417" t="str">
        <f>'ANALYSE - ERP =&gt; SOUS-SEGMENT'!$C$93</f>
        <v>Hébergement Montagne</v>
      </c>
      <c r="G87" s="417" t="str">
        <f>'ANALYSE - ERP =&gt; SOUS-SEGMENT'!$D$93</f>
        <v>Refuges de montagne</v>
      </c>
      <c r="I87" s="427">
        <f t="shared" si="8"/>
        <v>318.67765847749996</v>
      </c>
      <c r="K87" s="787">
        <f t="shared" si="6"/>
        <v>0.8223753736912921</v>
      </c>
      <c r="L87" s="787">
        <f t="shared" si="7"/>
        <v>0.17762462630870798</v>
      </c>
      <c r="N87" s="424">
        <f>'ANALYSE - ERP =&gt; SOUS-SEGMENT'!$EX$93</f>
        <v>1593.3882923874999</v>
      </c>
      <c r="O87" s="427">
        <f>'ANALYSE - ERP =&gt; SOUS-SEGMENT'!$FA$93</f>
        <v>468.64056127272721</v>
      </c>
      <c r="P87" s="427">
        <f>'ANALYSE - ERP =&gt; SOUS-SEGMENT'!$FD$93</f>
        <v>549.78157370000008</v>
      </c>
      <c r="Q87" s="427">
        <f>'ANALYSE - ERP =&gt; SOUS-SEGMENT'!$FG$93</f>
        <v>68.227281051136359</v>
      </c>
      <c r="R87" s="427">
        <f>'ANALYSE - ERP =&gt; SOUS-SEGMENT'!$FJ$93</f>
        <v>506.73887636363628</v>
      </c>
      <c r="T87" s="424">
        <f>'ANALYSE - ERP =&gt; SOUS-SEGMENT'!$EY$93</f>
        <v>1310.3632923875</v>
      </c>
      <c r="U87" s="427">
        <f>'ANALYSE - ERP =&gt; SOUS-SEGMENT'!$FB$93</f>
        <v>378.07256127272723</v>
      </c>
      <c r="V87" s="427">
        <f>'ANALYSE - ERP =&gt; SOUS-SEGMENT'!$FE$93</f>
        <v>459.21357370000004</v>
      </c>
      <c r="W87" s="427">
        <f>'ANALYSE - ERP =&gt; SOUS-SEGMENT'!$FH$93</f>
        <v>56.906281051136361</v>
      </c>
      <c r="X87" s="427">
        <f>'ANALYSE - ERP =&gt; SOUS-SEGMENT'!$FK$93</f>
        <v>416.1708763636363</v>
      </c>
      <c r="Z87" s="427">
        <f>'ANALYSE - ERP =&gt; SOUS-SEGMENT'!$EZ$93</f>
        <v>283.02499999999998</v>
      </c>
      <c r="AA87" s="427">
        <f>'ANALYSE - ERP =&gt; SOUS-SEGMENT'!$FC$93</f>
        <v>90.567999999999998</v>
      </c>
      <c r="AB87" s="427">
        <f>'ANALYSE - ERP =&gt; SOUS-SEGMENT'!$FF$93</f>
        <v>90.567999999999998</v>
      </c>
      <c r="AC87" s="427">
        <f>'ANALYSE - ERP =&gt; SOUS-SEGMENT'!$FI$93</f>
        <v>11.321</v>
      </c>
      <c r="AD87" s="427">
        <f>'ANALYSE - ERP =&gt; SOUS-SEGMENT'!$FL$93</f>
        <v>90.567999999999998</v>
      </c>
      <c r="AF87" s="430">
        <f>'ANALYSE - ERP =&gt; SOUS-SEGMENT'!$Q$93</f>
        <v>1</v>
      </c>
    </row>
    <row r="88" spans="1:32" ht="15" customHeight="1">
      <c r="A88" s="26">
        <v>85</v>
      </c>
      <c r="B88" s="26">
        <v>85</v>
      </c>
      <c r="C88" s="26">
        <v>86</v>
      </c>
      <c r="D88" s="422">
        <f>'ANALYSE - ERP =&gt; SOUS-SEGMENT'!$A$47</f>
        <v>40</v>
      </c>
      <c r="E88" s="415" t="str">
        <f>'ANALYSE - ERP =&gt; SOUS-SEGMENT'!$B$47</f>
        <v>Santé &amp; Médico-social</v>
      </c>
      <c r="F88" s="415" t="str">
        <f>'ANALYSE - ERP =&gt; SOUS-SEGMENT'!$C$47</f>
        <v>Santé hospitalière</v>
      </c>
      <c r="G88" s="415" t="str">
        <f>'ANALYSE - ERP =&gt; SOUS-SEGMENT'!$D$47</f>
        <v>Hôpitaux d’instruction des armées et centres médicaux recevant du public</v>
      </c>
      <c r="I88" s="427">
        <f t="shared" si="8"/>
        <v>330.42124034618183</v>
      </c>
      <c r="K88" s="787">
        <f t="shared" si="6"/>
        <v>0.79798586819035489</v>
      </c>
      <c r="L88" s="787">
        <f t="shared" si="7"/>
        <v>0.20201413180964511</v>
      </c>
      <c r="N88" s="424">
        <f>'ANALYSE - ERP =&gt; SOUS-SEGMENT'!$EX$47</f>
        <v>1652.1062017309091</v>
      </c>
      <c r="O88" s="427">
        <f>'ANALYSE - ERP =&gt; SOUS-SEGMENT'!$FA$47</f>
        <v>680.3898447272727</v>
      </c>
      <c r="P88" s="427">
        <f>'ANALYSE - ERP =&gt; SOUS-SEGMENT'!$FD$47</f>
        <v>394.07992540363637</v>
      </c>
      <c r="Q88" s="427">
        <f>'ANALYSE - ERP =&gt; SOUS-SEGMENT'!$FG$47</f>
        <v>21.422451599999999</v>
      </c>
      <c r="R88" s="427">
        <f>'ANALYSE - ERP =&gt; SOUS-SEGMENT'!$FJ$47</f>
        <v>556.21397999999999</v>
      </c>
      <c r="T88" s="424">
        <f>'ANALYSE - ERP =&gt; SOUS-SEGMENT'!$EY$47</f>
        <v>1318.357401730909</v>
      </c>
      <c r="U88" s="427">
        <f>'ANALYSE - ERP =&gt; SOUS-SEGMENT'!$FB$47</f>
        <v>548.91304472727268</v>
      </c>
      <c r="V88" s="427">
        <f>'ANALYSE - ERP =&gt; SOUS-SEGMENT'!$FE$47</f>
        <v>317.21656540363637</v>
      </c>
      <c r="W88" s="427">
        <f>'ANALYSE - ERP =&gt; SOUS-SEGMENT'!$FH$47</f>
        <v>17.377011599999999</v>
      </c>
      <c r="X88" s="427">
        <f>'ANALYSE - ERP =&gt; SOUS-SEGMENT'!$FK$47</f>
        <v>434.85078000000004</v>
      </c>
      <c r="Z88" s="427">
        <f>'ANALYSE - ERP =&gt; SOUS-SEGMENT'!$EZ$47</f>
        <v>333.74880000000002</v>
      </c>
      <c r="AA88" s="427">
        <f>'ANALYSE - ERP =&gt; SOUS-SEGMENT'!$FC$47</f>
        <v>131.4768</v>
      </c>
      <c r="AB88" s="427">
        <f>'ANALYSE - ERP =&gt; SOUS-SEGMENT'!$FF$47</f>
        <v>76.86336</v>
      </c>
      <c r="AC88" s="427">
        <f>'ANALYSE - ERP =&gt; SOUS-SEGMENT'!$FI$47</f>
        <v>4.0454399999999993</v>
      </c>
      <c r="AD88" s="427">
        <f>'ANALYSE - ERP =&gt; SOUS-SEGMENT'!$FL$47</f>
        <v>121.36319999999999</v>
      </c>
      <c r="AF88" s="430">
        <f>'ANALYSE - ERP =&gt; SOUS-SEGMENT'!$Q$47</f>
        <v>1</v>
      </c>
    </row>
    <row r="89" spans="1:32" ht="15" customHeight="1">
      <c r="A89" s="26">
        <v>86</v>
      </c>
      <c r="B89" s="26">
        <v>84</v>
      </c>
      <c r="C89" s="26">
        <v>91</v>
      </c>
      <c r="D89" s="422" t="e">
        <f>'ANALYSE - ERP =&gt; SOUS-SEGMENT'!#REF!</f>
        <v>#REF!</v>
      </c>
      <c r="E89" s="417" t="e">
        <f>'ANALYSE - ERP =&gt; SOUS-SEGMENT'!#REF!</f>
        <v>#REF!</v>
      </c>
      <c r="F89" s="417" t="e">
        <f>'ANALYSE - ERP =&gt; SOUS-SEGMENT'!#REF!</f>
        <v>#REF!</v>
      </c>
      <c r="G89" s="417" t="e">
        <f>'ANALYSE - ERP =&gt; SOUS-SEGMENT'!#REF!</f>
        <v>#REF!</v>
      </c>
      <c r="I89" s="427" t="e">
        <f t="shared" si="8"/>
        <v>#REF!</v>
      </c>
      <c r="K89" s="787" t="str">
        <f t="shared" si="6"/>
        <v/>
      </c>
      <c r="L89" s="787" t="str">
        <f t="shared" si="7"/>
        <v/>
      </c>
      <c r="N89" s="424" t="e">
        <f>'ANALYSE - ERP =&gt; SOUS-SEGMENT'!#REF!</f>
        <v>#REF!</v>
      </c>
      <c r="O89" s="427" t="e">
        <f>'ANALYSE - ERP =&gt; SOUS-SEGMENT'!#REF!</f>
        <v>#REF!</v>
      </c>
      <c r="P89" s="427" t="e">
        <f>'ANALYSE - ERP =&gt; SOUS-SEGMENT'!#REF!</f>
        <v>#REF!</v>
      </c>
      <c r="Q89" s="427" t="e">
        <f>'ANALYSE - ERP =&gt; SOUS-SEGMENT'!#REF!</f>
        <v>#REF!</v>
      </c>
      <c r="R89" s="427" t="e">
        <f>'ANALYSE - ERP =&gt; SOUS-SEGMENT'!#REF!</f>
        <v>#REF!</v>
      </c>
      <c r="T89" s="424" t="e">
        <f>'ANALYSE - ERP =&gt; SOUS-SEGMENT'!#REF!</f>
        <v>#REF!</v>
      </c>
      <c r="U89" s="427" t="e">
        <f>'ANALYSE - ERP =&gt; SOUS-SEGMENT'!#REF!</f>
        <v>#REF!</v>
      </c>
      <c r="V89" s="427" t="e">
        <f>'ANALYSE - ERP =&gt; SOUS-SEGMENT'!#REF!</f>
        <v>#REF!</v>
      </c>
      <c r="W89" s="427" t="e">
        <f>'ANALYSE - ERP =&gt; SOUS-SEGMENT'!#REF!</f>
        <v>#REF!</v>
      </c>
      <c r="X89" s="427" t="e">
        <f>'ANALYSE - ERP =&gt; SOUS-SEGMENT'!#REF!</f>
        <v>#REF!</v>
      </c>
      <c r="Z89" s="427" t="e">
        <f>'ANALYSE - ERP =&gt; SOUS-SEGMENT'!#REF!</f>
        <v>#REF!</v>
      </c>
      <c r="AA89" s="427" t="e">
        <f>'ANALYSE - ERP =&gt; SOUS-SEGMENT'!#REF!</f>
        <v>#REF!</v>
      </c>
      <c r="AB89" s="427" t="e">
        <f>'ANALYSE - ERP =&gt; SOUS-SEGMENT'!#REF!</f>
        <v>#REF!</v>
      </c>
      <c r="AC89" s="427" t="e">
        <f>'ANALYSE - ERP =&gt; SOUS-SEGMENT'!#REF!</f>
        <v>#REF!</v>
      </c>
      <c r="AD89" s="427" t="e">
        <f>'ANALYSE - ERP =&gt; SOUS-SEGMENT'!#REF!</f>
        <v>#REF!</v>
      </c>
      <c r="AF89" s="430" t="e">
        <f>'ANALYSE - ERP =&gt; SOUS-SEGMENT'!#REF!</f>
        <v>#REF!</v>
      </c>
    </row>
    <row r="90" spans="1:32" ht="15" customHeight="1">
      <c r="A90" s="26">
        <v>87</v>
      </c>
      <c r="B90" s="26">
        <v>86</v>
      </c>
      <c r="C90" s="26">
        <v>94</v>
      </c>
      <c r="D90" s="422">
        <f>'ANALYSE - ERP =&gt; SOUS-SEGMENT'!$A$92</f>
        <v>85</v>
      </c>
      <c r="E90" s="413" t="str">
        <f>'ANALYSE - ERP =&gt; SOUS-SEGMENT'!$B$92</f>
        <v>Hébergement Touristique</v>
      </c>
      <c r="F90" s="413" t="str">
        <f>'ANALYSE - ERP =&gt; SOUS-SEGMENT'!$C$92</f>
        <v>Hébergement Montagne</v>
      </c>
      <c r="G90" s="413" t="str">
        <f>'ANALYSE - ERP =&gt; SOUS-SEGMENT'!$D$92</f>
        <v>Hôtels-restaurants d’altitude</v>
      </c>
      <c r="I90" s="427">
        <f t="shared" si="8"/>
        <v>534.92521057575755</v>
      </c>
      <c r="K90" s="787">
        <f t="shared" si="6"/>
        <v>0.79105864186191477</v>
      </c>
      <c r="L90" s="787">
        <f t="shared" si="7"/>
        <v>0.20894135813808515</v>
      </c>
      <c r="N90" s="424">
        <f>'ANALYSE - ERP =&gt; SOUS-SEGMENT'!$EX$92</f>
        <v>2674.626052878788</v>
      </c>
      <c r="O90" s="427">
        <f>'ANALYSE - ERP =&gt; SOUS-SEGMENT'!$FA$92</f>
        <v>822.63550454545452</v>
      </c>
      <c r="P90" s="427">
        <f>'ANALYSE - ERP =&gt; SOUS-SEGMENT'!$FD$92</f>
        <v>769.60116499999992</v>
      </c>
      <c r="Q90" s="427">
        <f>'ANALYSE - ERP =&gt; SOUS-SEGMENT'!$FG$92</f>
        <v>194.72862575757574</v>
      </c>
      <c r="R90" s="427">
        <f>'ANALYSE - ERP =&gt; SOUS-SEGMENT'!$FJ$92</f>
        <v>887.66075757575732</v>
      </c>
      <c r="T90" s="424">
        <f>'ANALYSE - ERP =&gt; SOUS-SEGMENT'!$EY$92</f>
        <v>2115.7860528787878</v>
      </c>
      <c r="U90" s="427">
        <f>'ANALYSE - ERP =&gt; SOUS-SEGMENT'!$FB$92</f>
        <v>636.35550454545455</v>
      </c>
      <c r="V90" s="427">
        <f>'ANALYSE - ERP =&gt; SOUS-SEGMENT'!$FE$92</f>
        <v>620.57716499999992</v>
      </c>
      <c r="W90" s="427">
        <f>'ANALYSE - ERP =&gt; SOUS-SEGMENT'!$FH$92</f>
        <v>157.47262575757574</v>
      </c>
      <c r="X90" s="427">
        <f>'ANALYSE - ERP =&gt; SOUS-SEGMENT'!$FK$92</f>
        <v>701.38075757575734</v>
      </c>
      <c r="Z90" s="427">
        <f>'ANALYSE - ERP =&gt; SOUS-SEGMENT'!$EZ$92</f>
        <v>558.83999999999992</v>
      </c>
      <c r="AA90" s="427">
        <f>'ANALYSE - ERP =&gt; SOUS-SEGMENT'!$FC$92</f>
        <v>186.28</v>
      </c>
      <c r="AB90" s="427">
        <f>'ANALYSE - ERP =&gt; SOUS-SEGMENT'!$FF$92</f>
        <v>149.024</v>
      </c>
      <c r="AC90" s="427">
        <f>'ANALYSE - ERP =&gt; SOUS-SEGMENT'!$FI$92</f>
        <v>37.256</v>
      </c>
      <c r="AD90" s="427">
        <f>'ANALYSE - ERP =&gt; SOUS-SEGMENT'!$FL$92</f>
        <v>186.28</v>
      </c>
      <c r="AF90" s="430">
        <f>'ANALYSE - ERP =&gt; SOUS-SEGMENT'!$Q$92</f>
        <v>1</v>
      </c>
    </row>
    <row r="91" spans="1:32" ht="15" customHeight="1">
      <c r="A91" s="26">
        <v>88</v>
      </c>
      <c r="B91" s="26">
        <v>90</v>
      </c>
      <c r="C91" s="26">
        <v>81</v>
      </c>
      <c r="D91" s="422">
        <f>'ANALYSE - ERP =&gt; SOUS-SEGMENT'!$A$118</f>
        <v>111</v>
      </c>
      <c r="E91" s="417" t="str">
        <f>'ANALYSE - ERP =&gt; SOUS-SEGMENT'!$B$118</f>
        <v>Culte, Vie civique &amp; Services publics</v>
      </c>
      <c r="F91" s="417" t="str">
        <f>'ANALYSE - ERP =&gt; SOUS-SEGMENT'!$C$118</f>
        <v>Culte</v>
      </c>
      <c r="G91" s="417" t="str">
        <f>'ANALYSE - ERP =&gt; SOUS-SEGMENT'!$D$118</f>
        <v>Temples bouddhistes, hindous et autres lieux de culte non abrahamiques ouverts au public</v>
      </c>
      <c r="I91" s="427">
        <f t="shared" si="8"/>
        <v>204.95169999999999</v>
      </c>
      <c r="K91" s="787">
        <f t="shared" si="6"/>
        <v>0.57238949469557943</v>
      </c>
      <c r="L91" s="787">
        <f t="shared" si="7"/>
        <v>0.42761050530442052</v>
      </c>
      <c r="N91" s="424">
        <f>'ANALYSE - ERP =&gt; SOUS-SEGMENT'!$EX$118</f>
        <v>1024.7584999999999</v>
      </c>
      <c r="O91" s="427">
        <f>'ANALYSE - ERP =&gt; SOUS-SEGMENT'!$FA$118</f>
        <v>479.73076923076917</v>
      </c>
      <c r="P91" s="427">
        <f>'ANALYSE - ERP =&gt; SOUS-SEGMENT'!$FD$118</f>
        <v>0</v>
      </c>
      <c r="Q91" s="427">
        <f>'ANALYSE - ERP =&gt; SOUS-SEGMENT'!$FG$118</f>
        <v>92.648499999999999</v>
      </c>
      <c r="R91" s="427">
        <f>'ANALYSE - ERP =&gt; SOUS-SEGMENT'!$FJ$118</f>
        <v>452.37923076923073</v>
      </c>
      <c r="T91" s="424">
        <f>'ANALYSE - ERP =&gt; SOUS-SEGMENT'!$EY$118</f>
        <v>586.56099999999992</v>
      </c>
      <c r="U91" s="427">
        <f>'ANALYSE - ERP =&gt; SOUS-SEGMENT'!$FB$118</f>
        <v>277.48576923076917</v>
      </c>
      <c r="V91" s="427">
        <f>'ANALYSE - ERP =&gt; SOUS-SEGMENT'!$FE$118</f>
        <v>0</v>
      </c>
      <c r="W91" s="427">
        <f>'ANALYSE - ERP =&gt; SOUS-SEGMENT'!$FH$118</f>
        <v>58.941000000000003</v>
      </c>
      <c r="X91" s="427">
        <f>'ANALYSE - ERP =&gt; SOUS-SEGMENT'!$FK$118</f>
        <v>250.13423076923073</v>
      </c>
      <c r="Z91" s="427">
        <f>'ANALYSE - ERP =&gt; SOUS-SEGMENT'!$EZ$118</f>
        <v>438.19749999999999</v>
      </c>
      <c r="AA91" s="427">
        <f>'ANALYSE - ERP =&gt; SOUS-SEGMENT'!$FC$118</f>
        <v>202.245</v>
      </c>
      <c r="AB91" s="427">
        <f>'ANALYSE - ERP =&gt; SOUS-SEGMENT'!$FF$118</f>
        <v>0</v>
      </c>
      <c r="AC91" s="427">
        <f>'ANALYSE - ERP =&gt; SOUS-SEGMENT'!$FI$118</f>
        <v>33.707499999999996</v>
      </c>
      <c r="AD91" s="427">
        <f>'ANALYSE - ERP =&gt; SOUS-SEGMENT'!$FL$118</f>
        <v>202.245</v>
      </c>
      <c r="AF91" s="430">
        <f>'ANALYSE - ERP =&gt; SOUS-SEGMENT'!$Q$118</f>
        <v>1</v>
      </c>
    </row>
    <row r="92" spans="1:32" ht="15" customHeight="1">
      <c r="A92" s="26">
        <v>89</v>
      </c>
      <c r="B92" s="26">
        <v>87</v>
      </c>
      <c r="C92" s="26">
        <v>90</v>
      </c>
      <c r="D92" s="422">
        <f>'ANALYSE - ERP =&gt; SOUS-SEGMENT'!$A$90</f>
        <v>83</v>
      </c>
      <c r="E92" s="417" t="str">
        <f>'ANALYSE - ERP =&gt; SOUS-SEGMENT'!$B$90</f>
        <v>Hébergement Touristique</v>
      </c>
      <c r="F92" s="417" t="str">
        <f>'ANALYSE - ERP =&gt; SOUS-SEGMENT'!$C$90</f>
        <v>Hébergement Touristique</v>
      </c>
      <c r="G92" s="417" t="str">
        <f>'ANALYSE - ERP =&gt; SOUS-SEGMENT'!$D$90</f>
        <v>Auberges de jeunesse</v>
      </c>
      <c r="I92" s="427">
        <f t="shared" si="8"/>
        <v>298.20105226620046</v>
      </c>
      <c r="K92" s="787">
        <f t="shared" si="6"/>
        <v>0.77550984649027799</v>
      </c>
      <c r="L92" s="787">
        <f t="shared" si="7"/>
        <v>0.2244901535097221</v>
      </c>
      <c r="N92" s="424">
        <f>'ANALYSE - ERP =&gt; SOUS-SEGMENT'!$EX$90</f>
        <v>1491.0052613310022</v>
      </c>
      <c r="O92" s="427">
        <f>'ANALYSE - ERP =&gt; SOUS-SEGMENT'!$FA$90</f>
        <v>478.86936612276617</v>
      </c>
      <c r="P92" s="427">
        <f>'ANALYSE - ERP =&gt; SOUS-SEGMENT'!$FD$90</f>
        <v>544.17043090909078</v>
      </c>
      <c r="Q92" s="427">
        <f>'ANALYSE - ERP =&gt; SOUS-SEGMENT'!$FG$90</f>
        <v>67.718763999999993</v>
      </c>
      <c r="R92" s="427">
        <f>'ANALYSE - ERP =&gt; SOUS-SEGMENT'!$FJ$90</f>
        <v>400.24670029914529</v>
      </c>
      <c r="T92" s="424">
        <f>'ANALYSE - ERP =&gt; SOUS-SEGMENT'!$EY$90</f>
        <v>1156.2892613310023</v>
      </c>
      <c r="U92" s="427">
        <f>'ANALYSE - ERP =&gt; SOUS-SEGMENT'!$FB$90</f>
        <v>367.29736612276616</v>
      </c>
      <c r="V92" s="427">
        <f>'ANALYSE - ERP =&gt; SOUS-SEGMENT'!$FE$90</f>
        <v>432.59843090909084</v>
      </c>
      <c r="W92" s="427">
        <f>'ANALYSE - ERP =&gt; SOUS-SEGMENT'!$FH$90</f>
        <v>53.772263999999993</v>
      </c>
      <c r="X92" s="427">
        <f>'ANALYSE - ERP =&gt; SOUS-SEGMENT'!$FK$90</f>
        <v>302.6212002991453</v>
      </c>
      <c r="Z92" s="427">
        <f>'ANALYSE - ERP =&gt; SOUS-SEGMENT'!$EZ$90</f>
        <v>334.71600000000001</v>
      </c>
      <c r="AA92" s="427">
        <f>'ANALYSE - ERP =&gt; SOUS-SEGMENT'!$FC$90</f>
        <v>111.572</v>
      </c>
      <c r="AB92" s="427">
        <f>'ANALYSE - ERP =&gt; SOUS-SEGMENT'!$FF$90</f>
        <v>111.572</v>
      </c>
      <c r="AC92" s="427">
        <f>'ANALYSE - ERP =&gt; SOUS-SEGMENT'!$FI$90</f>
        <v>13.9465</v>
      </c>
      <c r="AD92" s="427">
        <f>'ANALYSE - ERP =&gt; SOUS-SEGMENT'!$FL$90</f>
        <v>97.625499999999988</v>
      </c>
      <c r="AF92" s="430">
        <f>'ANALYSE - ERP =&gt; SOUS-SEGMENT'!$Q$90</f>
        <v>1</v>
      </c>
    </row>
    <row r="93" spans="1:32" ht="15" customHeight="1">
      <c r="A93" s="26">
        <v>90</v>
      </c>
      <c r="B93" s="26">
        <v>92</v>
      </c>
      <c r="C93" s="26">
        <v>83</v>
      </c>
      <c r="D93" s="422">
        <f>'ANALYSE - ERP =&gt; SOUS-SEGMENT'!$A$78</f>
        <v>71</v>
      </c>
      <c r="E93" s="412" t="str">
        <f>'ANALYSE - ERP =&gt; SOUS-SEGMENT'!$B$78</f>
        <v>Commerce, Restauration &amp; Loisirs</v>
      </c>
      <c r="F93" s="412" t="str">
        <f>'ANALYSE - ERP =&gt; SOUS-SEGMENT'!$C$78</f>
        <v>Restauration / boissons</v>
      </c>
      <c r="G93" s="412" t="str">
        <f>'ANALYSE - ERP =&gt; SOUS-SEGMENT'!$D$78</f>
        <v>Établissements flottants</v>
      </c>
      <c r="I93" s="427">
        <f t="shared" si="8"/>
        <v>251.37223762499997</v>
      </c>
      <c r="K93" s="787">
        <f t="shared" si="6"/>
        <v>0.70360290896105671</v>
      </c>
      <c r="L93" s="787">
        <f t="shared" si="7"/>
        <v>0.29639709103894324</v>
      </c>
      <c r="N93" s="424">
        <f>'ANALYSE - ERP =&gt; SOUS-SEGMENT'!$EX$78</f>
        <v>1256.8611881249999</v>
      </c>
      <c r="O93" s="427">
        <f>'ANALYSE - ERP =&gt; SOUS-SEGMENT'!$FA$78</f>
        <v>602.62469374999989</v>
      </c>
      <c r="P93" s="427">
        <f>'ANALYSE - ERP =&gt; SOUS-SEGMENT'!$FD$78</f>
        <v>0</v>
      </c>
      <c r="Q93" s="427">
        <f>'ANALYSE - ERP =&gt; SOUS-SEGMENT'!$FG$78</f>
        <v>138.785960375</v>
      </c>
      <c r="R93" s="427">
        <f>'ANALYSE - ERP =&gt; SOUS-SEGMENT'!$FJ$78</f>
        <v>515.45053400000006</v>
      </c>
      <c r="T93" s="424">
        <f>'ANALYSE - ERP =&gt; SOUS-SEGMENT'!$EY$78</f>
        <v>884.33118812499993</v>
      </c>
      <c r="U93" s="427">
        <f>'ANALYSE - ERP =&gt; SOUS-SEGMENT'!$FB$78</f>
        <v>416.35969374999991</v>
      </c>
      <c r="V93" s="427">
        <f>'ANALYSE - ERP =&gt; SOUS-SEGMENT'!$FE$78</f>
        <v>0</v>
      </c>
      <c r="W93" s="427">
        <f>'ANALYSE - ERP =&gt; SOUS-SEGMENT'!$FH$78</f>
        <v>101.53296037499999</v>
      </c>
      <c r="X93" s="427">
        <f>'ANALYSE - ERP =&gt; SOUS-SEGMENT'!$FK$78</f>
        <v>366.438534</v>
      </c>
      <c r="Z93" s="427">
        <f>'ANALYSE - ERP =&gt; SOUS-SEGMENT'!$EZ$78</f>
        <v>372.53</v>
      </c>
      <c r="AA93" s="427">
        <f>'ANALYSE - ERP =&gt; SOUS-SEGMENT'!$FC$78</f>
        <v>186.26499999999999</v>
      </c>
      <c r="AB93" s="427">
        <f>'ANALYSE - ERP =&gt; SOUS-SEGMENT'!$FF$78</f>
        <v>0</v>
      </c>
      <c r="AC93" s="427">
        <f>'ANALYSE - ERP =&gt; SOUS-SEGMENT'!$FI$78</f>
        <v>37.253</v>
      </c>
      <c r="AD93" s="427">
        <f>'ANALYSE - ERP =&gt; SOUS-SEGMENT'!$FL$78</f>
        <v>149.012</v>
      </c>
      <c r="AF93" s="430">
        <f>'ANALYSE - ERP =&gt; SOUS-SEGMENT'!$Q$78</f>
        <v>1</v>
      </c>
    </row>
    <row r="94" spans="1:32" ht="15" customHeight="1">
      <c r="A94" s="26">
        <v>91</v>
      </c>
      <c r="B94" s="26">
        <v>88</v>
      </c>
      <c r="C94" s="26">
        <v>93</v>
      </c>
      <c r="D94" s="422">
        <f>'ANALYSE - ERP =&gt; SOUS-SEGMENT'!$A$149</f>
        <v>142</v>
      </c>
      <c r="E94" s="417" t="str">
        <f>'ANALYSE - ERP =&gt; SOUS-SEGMENT'!$B$149</f>
        <v>Sécurité &amp; Justice</v>
      </c>
      <c r="F94" s="417" t="str">
        <f>'ANALYSE - ERP =&gt; SOUS-SEGMENT'!$C$149</f>
        <v>Tribunaux</v>
      </c>
      <c r="G94" s="417" t="str">
        <f>'ANALYSE - ERP =&gt; SOUS-SEGMENT'!$D$149</f>
        <v>Conseils de prud’hommes autonomes</v>
      </c>
      <c r="I94" s="427">
        <f t="shared" si="8"/>
        <v>244.96278196678321</v>
      </c>
      <c r="K94" s="787">
        <f t="shared" si="6"/>
        <v>0.87301899598683563</v>
      </c>
      <c r="L94" s="787">
        <f t="shared" si="7"/>
        <v>0.12698100401316434</v>
      </c>
      <c r="N94" s="424">
        <f>'ANALYSE - ERP =&gt; SOUS-SEGMENT'!$EX$149</f>
        <v>1224.8139098339161</v>
      </c>
      <c r="O94" s="427">
        <f>'ANALYSE - ERP =&gt; SOUS-SEGMENT'!$FA$149</f>
        <v>556.17811846153836</v>
      </c>
      <c r="P94" s="427">
        <f>'ANALYSE - ERP =&gt; SOUS-SEGMENT'!$FD$149</f>
        <v>0</v>
      </c>
      <c r="Q94" s="427">
        <f>'ANALYSE - ERP =&gt; SOUS-SEGMENT'!$FG$149</f>
        <v>84.468802237762233</v>
      </c>
      <c r="R94" s="427">
        <f>'ANALYSE - ERP =&gt; SOUS-SEGMENT'!$FJ$149</f>
        <v>584.16698913461539</v>
      </c>
      <c r="T94" s="424">
        <f>'ANALYSE - ERP =&gt; SOUS-SEGMENT'!$EY$149</f>
        <v>1069.2858098339161</v>
      </c>
      <c r="U94" s="427">
        <f>'ANALYSE - ERP =&gt; SOUS-SEGMENT'!$FB$149</f>
        <v>483.59833846153839</v>
      </c>
      <c r="V94" s="427">
        <f>'ANALYSE - ERP =&gt; SOUS-SEGMENT'!$FE$149</f>
        <v>0</v>
      </c>
      <c r="W94" s="427">
        <f>'ANALYSE - ERP =&gt; SOUS-SEGMENT'!$FH$149</f>
        <v>74.100262237762237</v>
      </c>
      <c r="X94" s="427">
        <f>'ANALYSE - ERP =&gt; SOUS-SEGMENT'!$FK$149</f>
        <v>511.58720913461536</v>
      </c>
      <c r="Z94" s="427">
        <f>'ANALYSE - ERP =&gt; SOUS-SEGMENT'!$EZ$149</f>
        <v>155.52809999999999</v>
      </c>
      <c r="AA94" s="427">
        <f>'ANALYSE - ERP =&gt; SOUS-SEGMENT'!$FC$149</f>
        <v>72.57978</v>
      </c>
      <c r="AB94" s="427">
        <f>'ANALYSE - ERP =&gt; SOUS-SEGMENT'!$FF$149</f>
        <v>0</v>
      </c>
      <c r="AC94" s="427">
        <f>'ANALYSE - ERP =&gt; SOUS-SEGMENT'!$FI$149</f>
        <v>10.368540000000001</v>
      </c>
      <c r="AD94" s="427">
        <f>'ANALYSE - ERP =&gt; SOUS-SEGMENT'!$FL$149</f>
        <v>72.57978</v>
      </c>
      <c r="AF94" s="430">
        <f>'ANALYSE - ERP =&gt; SOUS-SEGMENT'!$Q$149</f>
        <v>1</v>
      </c>
    </row>
    <row r="95" spans="1:32" ht="15" customHeight="1">
      <c r="A95" s="26">
        <v>92</v>
      </c>
      <c r="B95" s="26">
        <v>91</v>
      </c>
      <c r="C95" s="26">
        <v>89</v>
      </c>
      <c r="D95" s="422">
        <f>'ANALYSE - ERP =&gt; SOUS-SEGMENT'!$A$137</f>
        <v>130</v>
      </c>
      <c r="E95" s="415" t="str">
        <f>'ANALYSE - ERP =&gt; SOUS-SEGMENT'!$B$137</f>
        <v>Sécurité &amp; Justice</v>
      </c>
      <c r="F95" s="415" t="str">
        <f>'ANALYSE - ERP =&gt; SOUS-SEGMENT'!$C$137</f>
        <v>Forces armées</v>
      </c>
      <c r="G95" s="415" t="str">
        <f>'ANALYSE - ERP =&gt; SOUS-SEGMENT'!$D$137</f>
        <v>Restaurants ou équipements sportifs ouverts au public sur emprise militaire</v>
      </c>
      <c r="I95" s="427">
        <f t="shared" si="8"/>
        <v>225.99238545454546</v>
      </c>
      <c r="K95" s="787">
        <f t="shared" si="6"/>
        <v>0.84344251276945681</v>
      </c>
      <c r="L95" s="787">
        <f t="shared" si="7"/>
        <v>0.15655748723054322</v>
      </c>
      <c r="N95" s="424">
        <f>'ANALYSE - ERP =&gt; SOUS-SEGMENT'!$EX$137</f>
        <v>1129.9619272727273</v>
      </c>
      <c r="O95" s="427">
        <f>'ANALYSE - ERP =&gt; SOUS-SEGMENT'!$FA$137</f>
        <v>550.55992727272724</v>
      </c>
      <c r="P95" s="427">
        <f>'ANALYSE - ERP =&gt; SOUS-SEGMENT'!$FD$137</f>
        <v>0</v>
      </c>
      <c r="Q95" s="427">
        <f>'ANALYSE - ERP =&gt; SOUS-SEGMENT'!$FG$137</f>
        <v>143.214</v>
      </c>
      <c r="R95" s="427">
        <f>'ANALYSE - ERP =&gt; SOUS-SEGMENT'!$FJ$137</f>
        <v>436.18799999999999</v>
      </c>
      <c r="T95" s="424">
        <f>'ANALYSE - ERP =&gt; SOUS-SEGMENT'!$EY$137</f>
        <v>953.05792727272728</v>
      </c>
      <c r="U95" s="427">
        <f>'ANALYSE - ERP =&gt; SOUS-SEGMENT'!$FB$137</f>
        <v>462.10792727272724</v>
      </c>
      <c r="V95" s="427">
        <f>'ANALYSE - ERP =&gt; SOUS-SEGMENT'!$FE$137</f>
        <v>0</v>
      </c>
      <c r="W95" s="427">
        <f>'ANALYSE - ERP =&gt; SOUS-SEGMENT'!$FH$137</f>
        <v>121.101</v>
      </c>
      <c r="X95" s="427">
        <f>'ANALYSE - ERP =&gt; SOUS-SEGMENT'!$FK$137</f>
        <v>369.84899999999999</v>
      </c>
      <c r="Z95" s="427">
        <f>'ANALYSE - ERP =&gt; SOUS-SEGMENT'!$EZ$137</f>
        <v>176.904</v>
      </c>
      <c r="AA95" s="427">
        <f>'ANALYSE - ERP =&gt; SOUS-SEGMENT'!$FC$137</f>
        <v>88.451999999999998</v>
      </c>
      <c r="AB95" s="427">
        <f>'ANALYSE - ERP =&gt; SOUS-SEGMENT'!$FF$137</f>
        <v>0</v>
      </c>
      <c r="AC95" s="427">
        <f>'ANALYSE - ERP =&gt; SOUS-SEGMENT'!$FI$137</f>
        <v>22.113</v>
      </c>
      <c r="AD95" s="427">
        <f>'ANALYSE - ERP =&gt; SOUS-SEGMENT'!$FL$137</f>
        <v>66.338999999999999</v>
      </c>
      <c r="AF95" s="430">
        <f>'ANALYSE - ERP =&gt; SOUS-SEGMENT'!$Q$137</f>
        <v>1</v>
      </c>
    </row>
    <row r="96" spans="1:32" ht="15" customHeight="1">
      <c r="A96" s="26">
        <v>93</v>
      </c>
      <c r="B96" s="26">
        <v>93</v>
      </c>
      <c r="C96" s="26">
        <v>96</v>
      </c>
      <c r="D96" s="422">
        <f>'ANALYSE - ERP =&gt; SOUS-SEGMENT'!$A$148</f>
        <v>141</v>
      </c>
      <c r="E96" s="412" t="str">
        <f>'ANALYSE - ERP =&gt; SOUS-SEGMENT'!$B$148</f>
        <v>Sécurité &amp; Justice</v>
      </c>
      <c r="F96" s="412" t="str">
        <f>'ANALYSE - ERP =&gt; SOUS-SEGMENT'!$C$148</f>
        <v>Tribunaux</v>
      </c>
      <c r="G96" s="412" t="str">
        <f>'ANALYSE - ERP =&gt; SOUS-SEGMENT'!$D$148</f>
        <v>Tribunaux de commerce autonomes</v>
      </c>
      <c r="I96" s="427">
        <f t="shared" si="8"/>
        <v>177.28667027972025</v>
      </c>
      <c r="K96" s="787">
        <f t="shared" si="6"/>
        <v>0.87371761247094182</v>
      </c>
      <c r="L96" s="787">
        <f t="shared" si="7"/>
        <v>0.12628238752905821</v>
      </c>
      <c r="N96" s="424">
        <f>'ANALYSE - ERP =&gt; SOUS-SEGMENT'!$EX$148</f>
        <v>886.4333513986013</v>
      </c>
      <c r="O96" s="427">
        <f>'ANALYSE - ERP =&gt; SOUS-SEGMENT'!$FA$148</f>
        <v>406.19061384615384</v>
      </c>
      <c r="P96" s="427">
        <f>'ANALYSE - ERP =&gt; SOUS-SEGMENT'!$FD$148</f>
        <v>0</v>
      </c>
      <c r="Q96" s="427">
        <f>'ANALYSE - ERP =&gt; SOUS-SEGMENT'!$FG$148</f>
        <v>53.937021013986005</v>
      </c>
      <c r="R96" s="427">
        <f>'ANALYSE - ERP =&gt; SOUS-SEGMENT'!$FJ$148</f>
        <v>426.30571653846152</v>
      </c>
      <c r="T96" s="424">
        <f>'ANALYSE - ERP =&gt; SOUS-SEGMENT'!$EY$148</f>
        <v>774.4924313986013</v>
      </c>
      <c r="U96" s="427">
        <f>'ANALYSE - ERP =&gt; SOUS-SEGMENT'!$FB$148</f>
        <v>353.51253384615381</v>
      </c>
      <c r="V96" s="427">
        <f>'ANALYSE - ERP =&gt; SOUS-SEGMENT'!$FE$148</f>
        <v>0</v>
      </c>
      <c r="W96" s="427">
        <f>'ANALYSE - ERP =&gt; SOUS-SEGMENT'!$FH$148</f>
        <v>47.352261013986002</v>
      </c>
      <c r="X96" s="427">
        <f>'ANALYSE - ERP =&gt; SOUS-SEGMENT'!$FK$148</f>
        <v>373.6276365384615</v>
      </c>
      <c r="Z96" s="427">
        <f>'ANALYSE - ERP =&gt; SOUS-SEGMENT'!$EZ$148</f>
        <v>111.94092000000001</v>
      </c>
      <c r="AA96" s="427">
        <f>'ANALYSE - ERP =&gt; SOUS-SEGMENT'!$FC$148</f>
        <v>52.678080000000001</v>
      </c>
      <c r="AB96" s="427">
        <f>'ANALYSE - ERP =&gt; SOUS-SEGMENT'!$FF$148</f>
        <v>0</v>
      </c>
      <c r="AC96" s="427">
        <f>'ANALYSE - ERP =&gt; SOUS-SEGMENT'!$FI$148</f>
        <v>6.5847600000000002</v>
      </c>
      <c r="AD96" s="427">
        <f>'ANALYSE - ERP =&gt; SOUS-SEGMENT'!$FL$148</f>
        <v>52.678080000000001</v>
      </c>
      <c r="AF96" s="430">
        <f>'ANALYSE - ERP =&gt; SOUS-SEGMENT'!$Q$148</f>
        <v>1</v>
      </c>
    </row>
    <row r="97" spans="1:32" ht="15" customHeight="1">
      <c r="A97" s="26">
        <v>94</v>
      </c>
      <c r="B97" s="26">
        <v>94</v>
      </c>
      <c r="C97" s="26">
        <v>98</v>
      </c>
      <c r="D97" s="422">
        <f>'ANALYSE - ERP =&gt; SOUS-SEGMENT'!$A$117</f>
        <v>110</v>
      </c>
      <c r="E97" s="412" t="str">
        <f>'ANALYSE - ERP =&gt; SOUS-SEGMENT'!$B$117</f>
        <v>Culte, Vie civique &amp; Services publics</v>
      </c>
      <c r="F97" s="412" t="str">
        <f>'ANALYSE - ERP =&gt; SOUS-SEGMENT'!$C$117</f>
        <v>Culte</v>
      </c>
      <c r="G97" s="412" t="str">
        <f>'ANALYSE - ERP =&gt; SOUS-SEGMENT'!$D$117</f>
        <v>Synagogues et oratoires juifs ouverts au public</v>
      </c>
      <c r="I97" s="427">
        <f t="shared" si="8"/>
        <v>106.59478929736932</v>
      </c>
      <c r="K97" s="787">
        <f t="shared" si="6"/>
        <v>0.88200642749138192</v>
      </c>
      <c r="L97" s="787">
        <f t="shared" si="7"/>
        <v>0.11799357250861796</v>
      </c>
      <c r="N97" s="424">
        <f>'ANALYSE - ERP =&gt; SOUS-SEGMENT'!$EX$117</f>
        <v>532.97394648684656</v>
      </c>
      <c r="O97" s="427">
        <f>'ANALYSE - ERP =&gt; SOUS-SEGMENT'!$FA$117</f>
        <v>245.03742417582419</v>
      </c>
      <c r="P97" s="427">
        <f>'ANALYSE - ERP =&gt; SOUS-SEGMENT'!$FD$117</f>
        <v>0</v>
      </c>
      <c r="Q97" s="427">
        <f>'ANALYSE - ERP =&gt; SOUS-SEGMENT'!$FG$117</f>
        <v>45.989736596736591</v>
      </c>
      <c r="R97" s="427">
        <f>'ANALYSE - ERP =&gt; SOUS-SEGMENT'!$FJ$117</f>
        <v>241.94678571428577</v>
      </c>
      <c r="T97" s="424">
        <f>'ANALYSE - ERP =&gt; SOUS-SEGMENT'!$EY$117</f>
        <v>470.08644648684651</v>
      </c>
      <c r="U97" s="427">
        <f>'ANALYSE - ERP =&gt; SOUS-SEGMENT'!$FB$117</f>
        <v>216.01242417582418</v>
      </c>
      <c r="V97" s="427">
        <f>'ANALYSE - ERP =&gt; SOUS-SEGMENT'!$FE$117</f>
        <v>0</v>
      </c>
      <c r="W97" s="427">
        <f>'ANALYSE - ERP =&gt; SOUS-SEGMENT'!$FH$117</f>
        <v>41.152236596736593</v>
      </c>
      <c r="X97" s="427">
        <f>'ANALYSE - ERP =&gt; SOUS-SEGMENT'!$FK$117</f>
        <v>212.92178571428576</v>
      </c>
      <c r="Z97" s="427">
        <f>'ANALYSE - ERP =&gt; SOUS-SEGMENT'!$EZ$117</f>
        <v>62.887499999999996</v>
      </c>
      <c r="AA97" s="427">
        <f>'ANALYSE - ERP =&gt; SOUS-SEGMENT'!$FC$117</f>
        <v>29.024999999999999</v>
      </c>
      <c r="AB97" s="427">
        <f>'ANALYSE - ERP =&gt; SOUS-SEGMENT'!$FF$117</f>
        <v>0</v>
      </c>
      <c r="AC97" s="427">
        <f>'ANALYSE - ERP =&gt; SOUS-SEGMENT'!$FI$117</f>
        <v>4.8374999999999995</v>
      </c>
      <c r="AD97" s="427">
        <f>'ANALYSE - ERP =&gt; SOUS-SEGMENT'!$FL$117</f>
        <v>29.024999999999999</v>
      </c>
      <c r="AF97" s="430">
        <f>'ANALYSE - ERP =&gt; SOUS-SEGMENT'!$Q$117</f>
        <v>1</v>
      </c>
    </row>
    <row r="98" spans="1:32" ht="15" customHeight="1">
      <c r="A98" s="26">
        <v>95</v>
      </c>
      <c r="B98" s="26">
        <v>95</v>
      </c>
      <c r="C98" s="26">
        <v>92</v>
      </c>
      <c r="D98" s="422">
        <f>'ANALYSE - ERP =&gt; SOUS-SEGMENT'!$A$141</f>
        <v>134</v>
      </c>
      <c r="E98" s="417" t="str">
        <f>'ANALYSE - ERP =&gt; SOUS-SEGMENT'!$B$141</f>
        <v>Sécurité &amp; Justice</v>
      </c>
      <c r="F98" s="417" t="str">
        <f>'ANALYSE - ERP =&gt; SOUS-SEGMENT'!$C$141</f>
        <v>Univers carcéral</v>
      </c>
      <c r="G98" s="417" t="str">
        <f>'ANALYSE - ERP =&gt; SOUS-SEGMENT'!$D$141</f>
        <v>Maisons centrales</v>
      </c>
      <c r="I98" s="427">
        <f t="shared" si="8"/>
        <v>155.70277909090913</v>
      </c>
      <c r="K98" s="787">
        <f t="shared" si="6"/>
        <v>0.7951974898188453</v>
      </c>
      <c r="L98" s="787">
        <f t="shared" si="7"/>
        <v>0.20480251018115472</v>
      </c>
      <c r="N98" s="424">
        <f>'ANALYSE - ERP =&gt; SOUS-SEGMENT'!$EX$141</f>
        <v>778.5138954545456</v>
      </c>
      <c r="O98" s="427">
        <f>'ANALYSE - ERP =&gt; SOUS-SEGMENT'!$FA$141</f>
        <v>362.06850000000009</v>
      </c>
      <c r="P98" s="427">
        <f>'ANALYSE - ERP =&gt; SOUS-SEGMENT'!$FD$141</f>
        <v>67.512000000000015</v>
      </c>
      <c r="Q98" s="427">
        <f>'ANALYSE - ERP =&gt; SOUS-SEGMENT'!$FG$141</f>
        <v>3.2294863636363642</v>
      </c>
      <c r="R98" s="427">
        <f>'ANALYSE - ERP =&gt; SOUS-SEGMENT'!$FJ$141</f>
        <v>345.70390909090912</v>
      </c>
      <c r="T98" s="424">
        <f>'ANALYSE - ERP =&gt; SOUS-SEGMENT'!$EY$141</f>
        <v>619.07229545454561</v>
      </c>
      <c r="U98" s="427">
        <f>'ANALYSE - ERP =&gt; SOUS-SEGMENT'!$FB$141</f>
        <v>287.75250000000005</v>
      </c>
      <c r="V98" s="427">
        <f>'ANALYSE - ERP =&gt; SOUS-SEGMENT'!$FE$141</f>
        <v>54.000000000000014</v>
      </c>
      <c r="W98" s="427">
        <f>'ANALYSE - ERP =&gt; SOUS-SEGMENT'!$FH$141</f>
        <v>2.553886363636364</v>
      </c>
      <c r="X98" s="427">
        <f>'ANALYSE - ERP =&gt; SOUS-SEGMENT'!$FK$141</f>
        <v>274.76590909090913</v>
      </c>
      <c r="Z98" s="427">
        <f>'ANALYSE - ERP =&gt; SOUS-SEGMENT'!$EZ$141</f>
        <v>159.44159999999999</v>
      </c>
      <c r="AA98" s="427">
        <f>'ANALYSE - ERP =&gt; SOUS-SEGMENT'!$FC$141</f>
        <v>74.316000000000003</v>
      </c>
      <c r="AB98" s="427">
        <f>'ANALYSE - ERP =&gt; SOUS-SEGMENT'!$FF$141</f>
        <v>13.512</v>
      </c>
      <c r="AC98" s="427">
        <f>'ANALYSE - ERP =&gt; SOUS-SEGMENT'!$FI$141</f>
        <v>0.67559999999999998</v>
      </c>
      <c r="AD98" s="427">
        <f>'ANALYSE - ERP =&gt; SOUS-SEGMENT'!$FL$141</f>
        <v>70.938000000000002</v>
      </c>
      <c r="AF98" s="430">
        <f>'ANALYSE - ERP =&gt; SOUS-SEGMENT'!$Q$141</f>
        <v>1</v>
      </c>
    </row>
    <row r="99" spans="1:32" ht="15" customHeight="1">
      <c r="A99" s="26">
        <v>96</v>
      </c>
      <c r="B99" s="26">
        <v>97</v>
      </c>
      <c r="C99" s="26">
        <v>85</v>
      </c>
      <c r="D99" s="422">
        <f>'ANALYSE - ERP =&gt; SOUS-SEGMENT'!$A$144</f>
        <v>137</v>
      </c>
      <c r="E99" s="417" t="str">
        <f>'ANALYSE - ERP =&gt; SOUS-SEGMENT'!$B$144</f>
        <v>Sécurité &amp; Justice</v>
      </c>
      <c r="F99" s="417" t="str">
        <f>'ANALYSE - ERP =&gt; SOUS-SEGMENT'!$C$144</f>
        <v>Univers carcéral</v>
      </c>
      <c r="G99" s="417" t="str">
        <f>'ANALYSE - ERP =&gt; SOUS-SEGMENT'!$D$144</f>
        <v>Centres éducatifs fermés</v>
      </c>
      <c r="I99" s="427">
        <f t="shared" si="8"/>
        <v>148.51572590909092</v>
      </c>
      <c r="K99" s="787">
        <f t="shared" ref="K99:K106" si="9">IFERROR(T99/N99,"")</f>
        <v>0.50770351387061718</v>
      </c>
      <c r="L99" s="787">
        <f t="shared" ref="L99:L106" si="10">IFERROR(Z99/N99,"")</f>
        <v>0.49229648612938287</v>
      </c>
      <c r="N99" s="424">
        <f>'ANALYSE - ERP =&gt; SOUS-SEGMENT'!$EX$144</f>
        <v>742.57862954545453</v>
      </c>
      <c r="O99" s="427">
        <f>'ANALYSE - ERP =&gt; SOUS-SEGMENT'!$FA$144</f>
        <v>260.88137727272726</v>
      </c>
      <c r="P99" s="427">
        <f>'ANALYSE - ERP =&gt; SOUS-SEGMENT'!$FD$144</f>
        <v>220.92025000000001</v>
      </c>
      <c r="Q99" s="427">
        <f>'ANALYSE - ERP =&gt; SOUS-SEGMENT'!$FG$144</f>
        <v>42.928115909090906</v>
      </c>
      <c r="R99" s="427">
        <f>'ANALYSE - ERP =&gt; SOUS-SEGMENT'!$FJ$144</f>
        <v>217.84888636363635</v>
      </c>
      <c r="T99" s="424">
        <f>'ANALYSE - ERP =&gt; SOUS-SEGMENT'!$EY$144</f>
        <v>377.00977954545453</v>
      </c>
      <c r="U99" s="427">
        <f>'ANALYSE - ERP =&gt; SOUS-SEGMENT'!$FB$144</f>
        <v>131.85707727272728</v>
      </c>
      <c r="V99" s="427">
        <f>'ANALYSE - ERP =&gt; SOUS-SEGMENT'!$FE$144</f>
        <v>113.4</v>
      </c>
      <c r="W99" s="427">
        <f>'ANALYSE - ERP =&gt; SOUS-SEGMENT'!$FH$144</f>
        <v>21.42406590909091</v>
      </c>
      <c r="X99" s="427">
        <f>'ANALYSE - ERP =&gt; SOUS-SEGMENT'!$FK$144</f>
        <v>110.32863636363635</v>
      </c>
      <c r="Z99" s="427">
        <f>'ANALYSE - ERP =&gt; SOUS-SEGMENT'!$EZ$144</f>
        <v>365.56885</v>
      </c>
      <c r="AA99" s="427">
        <f>'ANALYSE - ERP =&gt; SOUS-SEGMENT'!$FC$144</f>
        <v>129.02430000000001</v>
      </c>
      <c r="AB99" s="427">
        <f>'ANALYSE - ERP =&gt; SOUS-SEGMENT'!$FF$144</f>
        <v>107.52025</v>
      </c>
      <c r="AC99" s="427">
        <f>'ANALYSE - ERP =&gt; SOUS-SEGMENT'!$FI$144</f>
        <v>21.504049999999999</v>
      </c>
      <c r="AD99" s="427">
        <f>'ANALYSE - ERP =&gt; SOUS-SEGMENT'!$FL$144</f>
        <v>107.52025</v>
      </c>
      <c r="AF99" s="430">
        <f>'ANALYSE - ERP =&gt; SOUS-SEGMENT'!$Q$144</f>
        <v>1</v>
      </c>
    </row>
    <row r="100" spans="1:32" ht="15" customHeight="1">
      <c r="A100" s="26">
        <v>97</v>
      </c>
      <c r="B100" s="26">
        <v>96</v>
      </c>
      <c r="C100" s="26">
        <v>97</v>
      </c>
      <c r="D100" s="422">
        <f>'ANALYSE - ERP =&gt; SOUS-SEGMENT'!$A$147</f>
        <v>140</v>
      </c>
      <c r="E100" s="417" t="str">
        <f>'ANALYSE - ERP =&gt; SOUS-SEGMENT'!$B$147</f>
        <v>Sécurité &amp; Justice</v>
      </c>
      <c r="F100" s="417" t="str">
        <f>'ANALYSE - ERP =&gt; SOUS-SEGMENT'!$C$147</f>
        <v>Tribunaux</v>
      </c>
      <c r="G100" s="417" t="str">
        <f>'ANALYSE - ERP =&gt; SOUS-SEGMENT'!$D$147</f>
        <v>Maisons de justice et du droit</v>
      </c>
      <c r="I100" s="427">
        <f t="shared" ref="I100:I106" si="11">N100/5</f>
        <v>100.08430365314685</v>
      </c>
      <c r="K100" s="787">
        <f t="shared" si="9"/>
        <v>0.78987014714231107</v>
      </c>
      <c r="L100" s="787">
        <f t="shared" si="10"/>
        <v>0.2101298528576889</v>
      </c>
      <c r="N100" s="424">
        <f>'ANALYSE - ERP =&gt; SOUS-SEGMENT'!$EX$147</f>
        <v>500.42151826573422</v>
      </c>
      <c r="O100" s="427">
        <f>'ANALYSE - ERP =&gt; SOUS-SEGMENT'!$FA$147</f>
        <v>228.71868323076922</v>
      </c>
      <c r="P100" s="427">
        <f>'ANALYSE - ERP =&gt; SOUS-SEGMENT'!$FD$147</f>
        <v>0</v>
      </c>
      <c r="Q100" s="427">
        <f>'ANALYSE - ERP =&gt; SOUS-SEGMENT'!$FG$147</f>
        <v>30.54398234265734</v>
      </c>
      <c r="R100" s="427">
        <f>'ANALYSE - ERP =&gt; SOUS-SEGMENT'!$FJ$147</f>
        <v>241.15885269230768</v>
      </c>
      <c r="T100" s="424">
        <f>'ANALYSE - ERP =&gt; SOUS-SEGMENT'!$EY$147</f>
        <v>395.26801826573421</v>
      </c>
      <c r="U100" s="427">
        <f>'ANALYSE - ERP =&gt; SOUS-SEGMENT'!$FB$147</f>
        <v>179.23468323076921</v>
      </c>
      <c r="V100" s="427">
        <f>'ANALYSE - ERP =&gt; SOUS-SEGMENT'!$FE$147</f>
        <v>0</v>
      </c>
      <c r="W100" s="427">
        <f>'ANALYSE - ERP =&gt; SOUS-SEGMENT'!$FH$147</f>
        <v>24.358482342657339</v>
      </c>
      <c r="X100" s="427">
        <f>'ANALYSE - ERP =&gt; SOUS-SEGMENT'!$FK$147</f>
        <v>191.67485269230767</v>
      </c>
      <c r="Z100" s="427">
        <f>'ANALYSE - ERP =&gt; SOUS-SEGMENT'!$EZ$147</f>
        <v>105.15350000000001</v>
      </c>
      <c r="AA100" s="427">
        <f>'ANALYSE - ERP =&gt; SOUS-SEGMENT'!$FC$147</f>
        <v>49.484000000000002</v>
      </c>
      <c r="AB100" s="427">
        <f>'ANALYSE - ERP =&gt; SOUS-SEGMENT'!$FF$147</f>
        <v>0</v>
      </c>
      <c r="AC100" s="427">
        <f>'ANALYSE - ERP =&gt; SOUS-SEGMENT'!$FI$147</f>
        <v>6.1855000000000002</v>
      </c>
      <c r="AD100" s="427">
        <f>'ANALYSE - ERP =&gt; SOUS-SEGMENT'!$FL$147</f>
        <v>49.484000000000002</v>
      </c>
      <c r="AF100" s="430">
        <f>'ANALYSE - ERP =&gt; SOUS-SEGMENT'!$Q$147</f>
        <v>1</v>
      </c>
    </row>
    <row r="101" spans="1:32" ht="15" customHeight="1">
      <c r="A101" s="26">
        <v>98</v>
      </c>
      <c r="B101" s="26">
        <v>98</v>
      </c>
      <c r="C101" s="26">
        <v>95</v>
      </c>
      <c r="D101" s="422">
        <f>'ANALYSE - ERP =&gt; SOUS-SEGMENT'!$A$48</f>
        <v>41</v>
      </c>
      <c r="E101" s="417" t="str">
        <f>'ANALYSE - ERP =&gt; SOUS-SEGMENT'!$B$48</f>
        <v>Santé &amp; Médico-social</v>
      </c>
      <c r="F101" s="417" t="str">
        <f>'ANALYSE - ERP =&gt; SOUS-SEGMENT'!$C$48</f>
        <v>Santé hospitalière</v>
      </c>
      <c r="G101" s="417" t="str">
        <f>'ANALYSE - ERP =&gt; SOUS-SEGMENT'!$D$48</f>
        <v>Unités hospitalières sécurisées en milieu carcéral</v>
      </c>
      <c r="I101" s="427">
        <f t="shared" si="11"/>
        <v>91.339509000000007</v>
      </c>
      <c r="K101" s="787">
        <f t="shared" si="9"/>
        <v>0.69343776525008483</v>
      </c>
      <c r="L101" s="787">
        <f t="shared" si="10"/>
        <v>0.30656223474991523</v>
      </c>
      <c r="N101" s="424">
        <f>'ANALYSE - ERP =&gt; SOUS-SEGMENT'!$EX$48</f>
        <v>456.69754500000005</v>
      </c>
      <c r="O101" s="427">
        <f>'ANALYSE - ERP =&gt; SOUS-SEGMENT'!$FA$48</f>
        <v>185.46590000000003</v>
      </c>
      <c r="P101" s="427">
        <f>'ANALYSE - ERP =&gt; SOUS-SEGMENT'!$FD$48</f>
        <v>116.31864</v>
      </c>
      <c r="Q101" s="427">
        <f>'ANALYSE - ERP =&gt; SOUS-SEGMENT'!$FG$48</f>
        <v>8.4340450000000011</v>
      </c>
      <c r="R101" s="427">
        <f>'ANALYSE - ERP =&gt; SOUS-SEGMENT'!$FJ$48</f>
        <v>146.47896000000003</v>
      </c>
      <c r="T101" s="424">
        <f>'ANALYSE - ERP =&gt; SOUS-SEGMENT'!$EY$48</f>
        <v>316.69132500000006</v>
      </c>
      <c r="U101" s="427">
        <f>'ANALYSE - ERP =&gt; SOUS-SEGMENT'!$FB$48</f>
        <v>130.56150000000002</v>
      </c>
      <c r="V101" s="427">
        <f>'ANALYSE - ERP =&gt; SOUS-SEGMENT'!$FE$48</f>
        <v>83.376000000000005</v>
      </c>
      <c r="W101" s="427">
        <f>'ANALYSE - ERP =&gt; SOUS-SEGMENT'!$FH$48</f>
        <v>5.6888250000000014</v>
      </c>
      <c r="X101" s="427">
        <f>'ANALYSE - ERP =&gt; SOUS-SEGMENT'!$FK$48</f>
        <v>97.065000000000012</v>
      </c>
      <c r="Z101" s="427">
        <f>'ANALYSE - ERP =&gt; SOUS-SEGMENT'!$EZ$48</f>
        <v>140.00621999999998</v>
      </c>
      <c r="AA101" s="427">
        <f>'ANALYSE - ERP =&gt; SOUS-SEGMENT'!$FC$48</f>
        <v>54.904400000000003</v>
      </c>
      <c r="AB101" s="427">
        <f>'ANALYSE - ERP =&gt; SOUS-SEGMENT'!$FF$48</f>
        <v>32.942639999999997</v>
      </c>
      <c r="AC101" s="427">
        <f>'ANALYSE - ERP =&gt; SOUS-SEGMENT'!$FI$48</f>
        <v>2.7452199999999998</v>
      </c>
      <c r="AD101" s="427">
        <f>'ANALYSE - ERP =&gt; SOUS-SEGMENT'!$FL$48</f>
        <v>49.413960000000003</v>
      </c>
      <c r="AF101" s="430">
        <f>'ANALYSE - ERP =&gt; SOUS-SEGMENT'!$Q$48</f>
        <v>1</v>
      </c>
    </row>
    <row r="102" spans="1:32" ht="15" customHeight="1">
      <c r="A102" s="26">
        <v>99</v>
      </c>
      <c r="B102" s="26">
        <v>99</v>
      </c>
      <c r="C102" s="26">
        <v>99</v>
      </c>
      <c r="D102" s="422">
        <f>'ANALYSE - ERP =&gt; SOUS-SEGMENT'!$A$134</f>
        <v>127</v>
      </c>
      <c r="E102" s="417" t="str">
        <f>'ANALYSE - ERP =&gt; SOUS-SEGMENT'!$B$134</f>
        <v>Sécurité &amp; Justice</v>
      </c>
      <c r="F102" s="417" t="str">
        <f>'ANALYSE - ERP =&gt; SOUS-SEGMENT'!$C$134</f>
        <v xml:space="preserve">Commissariats / postes de police </v>
      </c>
      <c r="G102" s="417" t="str">
        <f>'ANALYSE - ERP =&gt; SOUS-SEGMENT'!$D$134</f>
        <v>Salles de réunion, de prévention ou de conférence ouvertes au public</v>
      </c>
      <c r="I102" s="427">
        <f t="shared" si="11"/>
        <v>60.294977383750009</v>
      </c>
      <c r="K102" s="787">
        <f t="shared" si="9"/>
        <v>0.82973971555437165</v>
      </c>
      <c r="L102" s="787">
        <f t="shared" si="10"/>
        <v>0.17026028444562827</v>
      </c>
      <c r="N102" s="424">
        <f>'ANALYSE - ERP =&gt; SOUS-SEGMENT'!$EX$134</f>
        <v>301.47488691875003</v>
      </c>
      <c r="O102" s="427">
        <f>'ANALYSE - ERP =&gt; SOUS-SEGMENT'!$FA$134</f>
        <v>135.34792220000003</v>
      </c>
      <c r="P102" s="427">
        <f>'ANALYSE - ERP =&gt; SOUS-SEGMENT'!$FD$134</f>
        <v>0</v>
      </c>
      <c r="Q102" s="427">
        <f>'ANALYSE - ERP =&gt; SOUS-SEGMENT'!$FG$134</f>
        <v>23.50365446875</v>
      </c>
      <c r="R102" s="427">
        <f>'ANALYSE - ERP =&gt; SOUS-SEGMENT'!$FJ$134</f>
        <v>142.62331025</v>
      </c>
      <c r="T102" s="424">
        <f>'ANALYSE - ERP =&gt; SOUS-SEGMENT'!$EY$134</f>
        <v>250.14568691875002</v>
      </c>
      <c r="U102" s="427">
        <f>'ANALYSE - ERP =&gt; SOUS-SEGMENT'!$FB$134</f>
        <v>111.65752220000002</v>
      </c>
      <c r="V102" s="427">
        <f>'ANALYSE - ERP =&gt; SOUS-SEGMENT'!$FE$134</f>
        <v>0</v>
      </c>
      <c r="W102" s="427">
        <f>'ANALYSE - ERP =&gt; SOUS-SEGMENT'!$FH$134</f>
        <v>19.55525446875</v>
      </c>
      <c r="X102" s="427">
        <f>'ANALYSE - ERP =&gt; SOUS-SEGMENT'!$FK$134</f>
        <v>118.93291024999999</v>
      </c>
      <c r="Z102" s="427">
        <f>'ANALYSE - ERP =&gt; SOUS-SEGMENT'!$EZ$134</f>
        <v>51.3292</v>
      </c>
      <c r="AA102" s="427">
        <f>'ANALYSE - ERP =&gt; SOUS-SEGMENT'!$FC$134</f>
        <v>23.6904</v>
      </c>
      <c r="AB102" s="427">
        <f>'ANALYSE - ERP =&gt; SOUS-SEGMENT'!$FF$134</f>
        <v>0</v>
      </c>
      <c r="AC102" s="427">
        <f>'ANALYSE - ERP =&gt; SOUS-SEGMENT'!$FI$134</f>
        <v>3.9483999999999999</v>
      </c>
      <c r="AD102" s="427">
        <f>'ANALYSE - ERP =&gt; SOUS-SEGMENT'!$FL$134</f>
        <v>23.6904</v>
      </c>
      <c r="AF102" s="430">
        <f>'ANALYSE - ERP =&gt; SOUS-SEGMENT'!$Q$134</f>
        <v>0</v>
      </c>
    </row>
    <row r="103" spans="1:32" ht="15" customHeight="1">
      <c r="A103" s="26">
        <v>100</v>
      </c>
      <c r="B103" s="26">
        <v>100</v>
      </c>
      <c r="C103" s="26">
        <v>101</v>
      </c>
      <c r="D103" s="422">
        <f>'ANALYSE - ERP =&gt; SOUS-SEGMENT'!$A$143</f>
        <v>136</v>
      </c>
      <c r="E103" s="417" t="str">
        <f>'ANALYSE - ERP =&gt; SOUS-SEGMENT'!$B$143</f>
        <v>Sécurité &amp; Justice</v>
      </c>
      <c r="F103" s="417" t="str">
        <f>'ANALYSE - ERP =&gt; SOUS-SEGMENT'!$C$143</f>
        <v>Univers carcéral</v>
      </c>
      <c r="G103" s="417" t="str">
        <f>'ANALYSE - ERP =&gt; SOUS-SEGMENT'!$D$143</f>
        <v>Centres de semi-liberté</v>
      </c>
      <c r="I103" s="427">
        <f t="shared" si="11"/>
        <v>62.656955000000004</v>
      </c>
      <c r="K103" s="787">
        <f t="shared" si="9"/>
        <v>0.84458102057465123</v>
      </c>
      <c r="L103" s="787">
        <f t="shared" si="10"/>
        <v>0.15541897942534869</v>
      </c>
      <c r="N103" s="424">
        <f>'ANALYSE - ERP =&gt; SOUS-SEGMENT'!$EX$143</f>
        <v>313.28477500000002</v>
      </c>
      <c r="O103" s="427">
        <f>'ANALYSE - ERP =&gt; SOUS-SEGMENT'!$FA$143</f>
        <v>135.64571999999998</v>
      </c>
      <c r="P103" s="427">
        <f>'ANALYSE - ERP =&gt; SOUS-SEGMENT'!$FD$143</f>
        <v>46.68224</v>
      </c>
      <c r="Q103" s="427">
        <f>'ANALYSE - ERP =&gt; SOUS-SEGMENT'!$FG$143</f>
        <v>5.5506549999999999</v>
      </c>
      <c r="R103" s="427">
        <f>'ANALYSE - ERP =&gt; SOUS-SEGMENT'!$FJ$143</f>
        <v>125.40616</v>
      </c>
      <c r="T103" s="424">
        <f>'ANALYSE - ERP =&gt; SOUS-SEGMENT'!$EY$143</f>
        <v>264.59437500000001</v>
      </c>
      <c r="U103" s="427">
        <f>'ANALYSE - ERP =&gt; SOUS-SEGMENT'!$FB$143</f>
        <v>114.39899999999999</v>
      </c>
      <c r="V103" s="427">
        <f>'ANALYSE - ERP =&gt; SOUS-SEGMENT'!$FE$143</f>
        <v>39.6</v>
      </c>
      <c r="W103" s="427">
        <f>'ANALYSE - ERP =&gt; SOUS-SEGMENT'!$FH$143</f>
        <v>4.665375</v>
      </c>
      <c r="X103" s="427">
        <f>'ANALYSE - ERP =&gt; SOUS-SEGMENT'!$FK$143</f>
        <v>105.93</v>
      </c>
      <c r="Z103" s="427">
        <f>'ANALYSE - ERP =&gt; SOUS-SEGMENT'!$EZ$143</f>
        <v>48.690399999999997</v>
      </c>
      <c r="AA103" s="427">
        <f>'ANALYSE - ERP =&gt; SOUS-SEGMENT'!$FC$143</f>
        <v>21.24672</v>
      </c>
      <c r="AB103" s="427">
        <f>'ANALYSE - ERP =&gt; SOUS-SEGMENT'!$FF$143</f>
        <v>7.0822399999999996</v>
      </c>
      <c r="AC103" s="427">
        <f>'ANALYSE - ERP =&gt; SOUS-SEGMENT'!$FI$143</f>
        <v>0.88527999999999996</v>
      </c>
      <c r="AD103" s="427">
        <f>'ANALYSE - ERP =&gt; SOUS-SEGMENT'!$FL$143</f>
        <v>19.47616</v>
      </c>
      <c r="AF103" s="430">
        <f>'ANALYSE - ERP =&gt; SOUS-SEGMENT'!$Q$143</f>
        <v>1</v>
      </c>
    </row>
    <row r="104" spans="1:32" ht="15" customHeight="1">
      <c r="A104" s="26">
        <v>101</v>
      </c>
      <c r="B104" s="26">
        <v>101</v>
      </c>
      <c r="C104" s="26">
        <v>100</v>
      </c>
      <c r="D104" s="422">
        <f>'ANALYSE - ERP =&gt; SOUS-SEGMENT'!$A$136</f>
        <v>129</v>
      </c>
      <c r="E104" s="417" t="str">
        <f>'ANALYSE - ERP =&gt; SOUS-SEGMENT'!$B$136</f>
        <v>Sécurité &amp; Justice</v>
      </c>
      <c r="F104" s="417" t="str">
        <f>'ANALYSE - ERP =&gt; SOUS-SEGMENT'!$C$136</f>
        <v>Forces armées</v>
      </c>
      <c r="G104" s="417" t="str">
        <f>'ANALYSE - ERP =&gt; SOUS-SEGMENT'!$D$136</f>
        <v>Centres de recrutement et bureaux d’information</v>
      </c>
      <c r="I104" s="427">
        <f t="shared" si="11"/>
        <v>41.34014807737374</v>
      </c>
      <c r="K104" s="787">
        <f t="shared" si="9"/>
        <v>0.76862201891252502</v>
      </c>
      <c r="L104" s="787">
        <f t="shared" si="10"/>
        <v>0.23137798108747507</v>
      </c>
      <c r="N104" s="424">
        <f>'ANALYSE - ERP =&gt; SOUS-SEGMENT'!$EX$136</f>
        <v>206.70074038686872</v>
      </c>
      <c r="O104" s="427">
        <f>'ANALYSE - ERP =&gt; SOUS-SEGMENT'!$FA$136</f>
        <v>89.719824953535365</v>
      </c>
      <c r="P104" s="427">
        <f>'ANALYSE - ERP =&gt; SOUS-SEGMENT'!$FD$136</f>
        <v>0</v>
      </c>
      <c r="Q104" s="427">
        <f>'ANALYSE - ERP =&gt; SOUS-SEGMENT'!$FG$136</f>
        <v>23.221783100000003</v>
      </c>
      <c r="R104" s="427">
        <f>'ANALYSE - ERP =&gt; SOUS-SEGMENT'!$FJ$136</f>
        <v>93.759132333333341</v>
      </c>
      <c r="T104" s="424">
        <f>'ANALYSE - ERP =&gt; SOUS-SEGMENT'!$EY$136</f>
        <v>158.87474038686872</v>
      </c>
      <c r="U104" s="427">
        <f>'ANALYSE - ERP =&gt; SOUS-SEGMENT'!$FB$136</f>
        <v>68.463824953535365</v>
      </c>
      <c r="V104" s="427">
        <f>'ANALYSE - ERP =&gt; SOUS-SEGMENT'!$FE$136</f>
        <v>0</v>
      </c>
      <c r="W104" s="427">
        <f>'ANALYSE - ERP =&gt; SOUS-SEGMENT'!$FH$136</f>
        <v>17.907783100000003</v>
      </c>
      <c r="X104" s="427">
        <f>'ANALYSE - ERP =&gt; SOUS-SEGMENT'!$FK$136</f>
        <v>72.50313233333334</v>
      </c>
      <c r="Z104" s="427">
        <f>'ANALYSE - ERP =&gt; SOUS-SEGMENT'!$EZ$136</f>
        <v>47.826000000000001</v>
      </c>
      <c r="AA104" s="427">
        <f>'ANALYSE - ERP =&gt; SOUS-SEGMENT'!$FC$136</f>
        <v>21.256</v>
      </c>
      <c r="AB104" s="427">
        <f>'ANALYSE - ERP =&gt; SOUS-SEGMENT'!$FF$136</f>
        <v>0</v>
      </c>
      <c r="AC104" s="427">
        <f>'ANALYSE - ERP =&gt; SOUS-SEGMENT'!$FI$136</f>
        <v>5.3140000000000001</v>
      </c>
      <c r="AD104" s="427">
        <f>'ANALYSE - ERP =&gt; SOUS-SEGMENT'!$FL$136</f>
        <v>21.256</v>
      </c>
      <c r="AF104" s="430">
        <f>'ANALYSE - ERP =&gt; SOUS-SEGMENT'!$Q$136</f>
        <v>1</v>
      </c>
    </row>
    <row r="105" spans="1:32" ht="15" customHeight="1">
      <c r="A105" s="26">
        <v>102</v>
      </c>
      <c r="B105" s="26">
        <v>102</v>
      </c>
      <c r="C105" s="26">
        <v>102</v>
      </c>
      <c r="D105" s="422">
        <f>'ANALYSE - ERP =&gt; SOUS-SEGMENT'!$A$133</f>
        <v>126</v>
      </c>
      <c r="E105" s="417" t="str">
        <f>'ANALYSE - ERP =&gt; SOUS-SEGMENT'!$B$133</f>
        <v>Sécurité &amp; Justice</v>
      </c>
      <c r="F105" s="417" t="str">
        <f>'ANALYSE - ERP =&gt; SOUS-SEGMENT'!$C$133</f>
        <v xml:space="preserve">Commissariats / postes de police </v>
      </c>
      <c r="G105" s="417" t="str">
        <f>'ANALYSE - ERP =&gt; SOUS-SEGMENT'!$D$133</f>
        <v>Postes de proximité et antennes avec accueil public</v>
      </c>
      <c r="I105" s="427">
        <f t="shared" si="11"/>
        <v>27.914377574999996</v>
      </c>
      <c r="K105" s="787">
        <f t="shared" si="9"/>
        <v>0.88381471192448757</v>
      </c>
      <c r="L105" s="787">
        <f t="shared" si="10"/>
        <v>0.11618528807551246</v>
      </c>
      <c r="N105" s="424">
        <f>'ANALYSE - ERP =&gt; SOUS-SEGMENT'!$EX$133</f>
        <v>139.57188787499999</v>
      </c>
      <c r="O105" s="427">
        <f>'ANALYSE - ERP =&gt; SOUS-SEGMENT'!$FA$133</f>
        <v>61.358621333333332</v>
      </c>
      <c r="P105" s="427">
        <f>'ANALYSE - ERP =&gt; SOUS-SEGMENT'!$FD$133</f>
        <v>0</v>
      </c>
      <c r="Q105" s="427">
        <f>'ANALYSE - ERP =&gt; SOUS-SEGMENT'!$FG$133</f>
        <v>15.589448875</v>
      </c>
      <c r="R105" s="427">
        <f>'ANALYSE - ERP =&gt; SOUS-SEGMENT'!$FJ$133</f>
        <v>62.623817666666667</v>
      </c>
      <c r="T105" s="424">
        <f>'ANALYSE - ERP =&gt; SOUS-SEGMENT'!$EY$133</f>
        <v>123.355687875</v>
      </c>
      <c r="U105" s="427">
        <f>'ANALYSE - ERP =&gt; SOUS-SEGMENT'!$FB$133</f>
        <v>54.151421333333332</v>
      </c>
      <c r="V105" s="427">
        <f>'ANALYSE - ERP =&gt; SOUS-SEGMENT'!$FE$133</f>
        <v>0</v>
      </c>
      <c r="W105" s="427">
        <f>'ANALYSE - ERP =&gt; SOUS-SEGMENT'!$FH$133</f>
        <v>13.787648875</v>
      </c>
      <c r="X105" s="427">
        <f>'ANALYSE - ERP =&gt; SOUS-SEGMENT'!$FK$133</f>
        <v>55.416617666666667</v>
      </c>
      <c r="Z105" s="427">
        <f>'ANALYSE - ERP =&gt; SOUS-SEGMENT'!$EZ$133</f>
        <v>16.216199999999997</v>
      </c>
      <c r="AA105" s="427">
        <f>'ANALYSE - ERP =&gt; SOUS-SEGMENT'!$FC$133</f>
        <v>7.2071999999999994</v>
      </c>
      <c r="AB105" s="427">
        <f>'ANALYSE - ERP =&gt; SOUS-SEGMENT'!$FF$133</f>
        <v>0</v>
      </c>
      <c r="AC105" s="427">
        <f>'ANALYSE - ERP =&gt; SOUS-SEGMENT'!$FI$133</f>
        <v>1.8017999999999998</v>
      </c>
      <c r="AD105" s="427">
        <f>'ANALYSE - ERP =&gt; SOUS-SEGMENT'!$FL$133</f>
        <v>7.2071999999999994</v>
      </c>
      <c r="AF105" s="430">
        <f>'ANALYSE - ERP =&gt; SOUS-SEGMENT'!$Q$133</f>
        <v>1</v>
      </c>
    </row>
    <row r="106" spans="1:32" s="45" customFormat="1" ht="15" customHeight="1">
      <c r="A106" s="406">
        <v>103</v>
      </c>
      <c r="B106" s="406">
        <v>103</v>
      </c>
      <c r="C106" s="406">
        <v>103</v>
      </c>
      <c r="D106" s="448">
        <f>'ANALYSE - ERP =&gt; SOUS-SEGMENT'!$A$145</f>
        <v>138</v>
      </c>
      <c r="E106" s="423" t="str">
        <f>'ANALYSE - ERP =&gt; SOUS-SEGMENT'!$B$145</f>
        <v>Sécurité &amp; Justice</v>
      </c>
      <c r="F106" s="423" t="str">
        <f>'ANALYSE - ERP =&gt; SOUS-SEGMENT'!$C$145</f>
        <v>Univers carcéral</v>
      </c>
      <c r="G106" s="423" t="str">
        <f>'ANALYSE - ERP =&gt; SOUS-SEGMENT'!$D$145</f>
        <v>Centres pour peines aménagées
(absorbés par autres centres carcéraux)</v>
      </c>
      <c r="H106" s="685"/>
      <c r="I106" s="407">
        <f t="shared" si="11"/>
        <v>0</v>
      </c>
      <c r="J106" s="685"/>
      <c r="K106" s="788" t="str">
        <f t="shared" si="9"/>
        <v/>
      </c>
      <c r="L106" s="788" t="str">
        <f t="shared" si="10"/>
        <v/>
      </c>
      <c r="M106" s="685"/>
      <c r="N106" s="425">
        <f>'ANALYSE - ERP =&gt; SOUS-SEGMENT'!$EX$145</f>
        <v>0</v>
      </c>
      <c r="O106" s="407">
        <f>'ANALYSE - ERP =&gt; SOUS-SEGMENT'!$FA$145</f>
        <v>0</v>
      </c>
      <c r="P106" s="407">
        <f>'ANALYSE - ERP =&gt; SOUS-SEGMENT'!$FD$145</f>
        <v>0</v>
      </c>
      <c r="Q106" s="407">
        <f>'ANALYSE - ERP =&gt; SOUS-SEGMENT'!$FG$145</f>
        <v>0</v>
      </c>
      <c r="R106" s="407">
        <f>'ANALYSE - ERP =&gt; SOUS-SEGMENT'!$FJ$145</f>
        <v>0</v>
      </c>
      <c r="S106" s="685"/>
      <c r="T106" s="425">
        <f>'ANALYSE - ERP =&gt; SOUS-SEGMENT'!$EY$145</f>
        <v>0</v>
      </c>
      <c r="U106" s="407">
        <f>'ANALYSE - ERP =&gt; SOUS-SEGMENT'!$FB$145</f>
        <v>0</v>
      </c>
      <c r="V106" s="407">
        <f>'ANALYSE - ERP =&gt; SOUS-SEGMENT'!$FE$145</f>
        <v>0</v>
      </c>
      <c r="W106" s="407">
        <f>'ANALYSE - ERP =&gt; SOUS-SEGMENT'!$FH$145</f>
        <v>0</v>
      </c>
      <c r="X106" s="407">
        <f>'ANALYSE - ERP =&gt; SOUS-SEGMENT'!$FK$145</f>
        <v>0</v>
      </c>
      <c r="Y106" s="685"/>
      <c r="Z106" s="407">
        <f>'ANALYSE - ERP =&gt; SOUS-SEGMENT'!$EZ$145</f>
        <v>0</v>
      </c>
      <c r="AA106" s="407">
        <f>'ANALYSE - ERP =&gt; SOUS-SEGMENT'!$FC$145</f>
        <v>0</v>
      </c>
      <c r="AB106" s="407">
        <f>'ANALYSE - ERP =&gt; SOUS-SEGMENT'!$FF$145</f>
        <v>0</v>
      </c>
      <c r="AC106" s="407">
        <f>'ANALYSE - ERP =&gt; SOUS-SEGMENT'!$FI$145</f>
        <v>0</v>
      </c>
      <c r="AD106" s="407">
        <f>'ANALYSE - ERP =&gt; SOUS-SEGMENT'!$FL$145</f>
        <v>0</v>
      </c>
      <c r="AE106" s="685"/>
      <c r="AF106" s="450">
        <f>'ANALYSE - ERP =&gt; SOUS-SEGMENT'!$Q$145</f>
        <v>0</v>
      </c>
    </row>
  </sheetData>
  <autoFilter ref="A2:AF2" xr:uid="{00000000-0009-0000-0000-000015000000}"/>
  <conditionalFormatting sqref="O4:R106">
    <cfRule type="colorScale" priority="3">
      <colorScale>
        <cfvo type="min"/>
        <cfvo type="formula" val="MEDIAN($O$4:$R$106)"/>
        <cfvo type="max"/>
        <color rgb="FFF8696B"/>
        <color theme="0"/>
        <color rgb="FF63BE7B"/>
      </colorScale>
    </cfRule>
  </conditionalFormatting>
  <conditionalFormatting sqref="U4:X106">
    <cfRule type="colorScale" priority="2">
      <colorScale>
        <cfvo type="min"/>
        <cfvo type="formula" val="MEDIAN($U$4:$X$106)"/>
        <cfvo type="max"/>
        <color rgb="FFF8696B"/>
        <color theme="0"/>
        <color rgb="FF63BE7B"/>
      </colorScale>
    </cfRule>
  </conditionalFormatting>
  <conditionalFormatting sqref="AA4:AD106">
    <cfRule type="colorScale" priority="1">
      <colorScale>
        <cfvo type="min"/>
        <cfvo type="formula" val="MEDIAN($AA$4:$AD$106)"/>
        <cfvo type="max"/>
        <color rgb="FFF8696B"/>
        <color theme="0"/>
        <color rgb="FF63BE7B"/>
      </colorScale>
    </cfRule>
  </conditionalFormatting>
  <pageMargins left="3.937007874015748E-2" right="3.937007874015748E-2" top="7.874015748031496E-2" bottom="7.874015748031496E-2" header="0.11811023622047249" footer="0.11811023622047249"/>
  <pageSetup paperSize="8" scale="67" fitToHeight="2"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8" tint="-0.249977111117893"/>
    <pageSetUpPr fitToPage="1"/>
  </sheetPr>
  <dimension ref="A1:BE106"/>
  <sheetViews>
    <sheetView zoomScale="85" zoomScaleNormal="85" workbookViewId="0">
      <pane ySplit="3" topLeftCell="A4" activePane="bottomLeft" state="frozen"/>
      <selection activeCell="G29" sqref="G29"/>
      <selection pane="bottomLeft" activeCell="P7" sqref="P7"/>
    </sheetView>
  </sheetViews>
  <sheetFormatPr baseColWidth="10" defaultColWidth="9.140625" defaultRowHeight="15"/>
  <cols>
    <col min="1" max="1" width="6.140625" style="934" customWidth="1"/>
    <col min="2" max="2" width="5.7109375" style="934" customWidth="1"/>
    <col min="3" max="3" width="5.5703125" style="934" customWidth="1"/>
    <col min="4" max="4" width="6" style="934" customWidth="1"/>
    <col min="5" max="5" width="30.28515625" style="43" customWidth="1"/>
    <col min="6" max="6" width="22" style="43" customWidth="1"/>
    <col min="7" max="7" width="45.140625" style="43" customWidth="1"/>
    <col min="8" max="8" width="1.7109375" style="933" customWidth="1"/>
    <col min="9" max="9" width="9.7109375" style="934" customWidth="1"/>
    <col min="10" max="10" width="1.7109375" style="933" customWidth="1"/>
    <col min="11" max="11" width="9.5703125" style="934" customWidth="1"/>
    <col min="12" max="12" width="9" style="934" customWidth="1"/>
    <col min="13" max="13" width="1.7109375" style="933" customWidth="1"/>
    <col min="14" max="14" width="9.42578125" style="934" customWidth="1"/>
    <col min="15" max="15" width="9" style="934" customWidth="1"/>
    <col min="16" max="16" width="10.42578125" style="934" customWidth="1"/>
    <col min="17" max="17" width="8.7109375" style="934" customWidth="1"/>
    <col min="18" max="18" width="8.140625" style="934" customWidth="1"/>
    <col min="19" max="19" width="1.7109375" style="933" customWidth="1"/>
    <col min="20" max="20" width="9" style="934" customWidth="1"/>
    <col min="21" max="21" width="8.85546875" style="934" customWidth="1"/>
    <col min="22" max="22" width="9.7109375" style="934" customWidth="1"/>
    <col min="23" max="23" width="10.42578125" style="934" customWidth="1"/>
    <col min="24" max="24" width="9" style="934" customWidth="1"/>
    <col min="25" max="25" width="1.7109375" style="933" customWidth="1"/>
    <col min="26" max="26" width="8.140625" style="934" customWidth="1"/>
    <col min="27" max="27" width="9.85546875" style="934" customWidth="1"/>
    <col min="28" max="28" width="9" style="934" customWidth="1"/>
    <col min="29" max="29" width="9.42578125" style="934" customWidth="1"/>
    <col min="30" max="30" width="7.28515625" style="934" customWidth="1"/>
    <col min="31" max="31" width="1.7109375" style="933" customWidth="1"/>
    <col min="32" max="32" width="12.5703125" style="934" customWidth="1"/>
    <col min="33" max="57" width="9.140625" style="933" customWidth="1"/>
  </cols>
  <sheetData>
    <row r="1" spans="1:57" s="438" customFormat="1" ht="18.75" customHeight="1">
      <c r="A1" s="933"/>
      <c r="B1" s="933"/>
      <c r="C1" s="477"/>
      <c r="D1" s="477"/>
      <c r="E1" s="479"/>
      <c r="F1" s="478" t="s">
        <v>7935</v>
      </c>
      <c r="G1" s="479"/>
      <c r="H1" s="933"/>
      <c r="I1" s="933"/>
      <c r="J1" s="933"/>
      <c r="K1" s="933"/>
      <c r="L1" s="933"/>
      <c r="M1" s="933"/>
      <c r="N1" s="436"/>
      <c r="O1" s="436"/>
      <c r="P1" s="440" t="s">
        <v>7919</v>
      </c>
      <c r="Q1" s="436"/>
      <c r="R1" s="436"/>
      <c r="S1" s="933"/>
      <c r="T1" s="434"/>
      <c r="U1" s="434"/>
      <c r="V1" s="439" t="s">
        <v>7919</v>
      </c>
      <c r="W1" s="434"/>
      <c r="X1" s="434"/>
      <c r="Y1" s="933"/>
      <c r="Z1" s="435"/>
      <c r="AA1" s="435"/>
      <c r="AB1" s="441" t="s">
        <v>7919</v>
      </c>
      <c r="AC1" s="435"/>
      <c r="AD1" s="435"/>
      <c r="AE1" s="933"/>
      <c r="AF1" s="436"/>
      <c r="AG1" s="933"/>
      <c r="AH1" s="933"/>
      <c r="AI1" s="933"/>
      <c r="AJ1" s="933"/>
      <c r="AK1" s="933"/>
      <c r="AL1" s="933"/>
      <c r="AM1" s="933"/>
      <c r="AN1" s="933"/>
      <c r="AO1" s="933"/>
      <c r="AP1" s="933"/>
      <c r="AQ1" s="933"/>
      <c r="AR1" s="933"/>
      <c r="AS1" s="933"/>
      <c r="AT1" s="933"/>
      <c r="AU1" s="933"/>
      <c r="AV1" s="933"/>
      <c r="AW1" s="933"/>
      <c r="AX1" s="933"/>
      <c r="AY1" s="933"/>
      <c r="AZ1" s="933"/>
      <c r="BA1" s="933"/>
      <c r="BB1" s="933"/>
      <c r="BC1" s="933"/>
      <c r="BD1" s="933"/>
      <c r="BE1" s="933"/>
    </row>
    <row r="2" spans="1:57" s="437" customFormat="1" ht="54.75" customHeight="1">
      <c r="A2" s="431" t="s">
        <v>7853</v>
      </c>
      <c r="B2" s="432" t="s">
        <v>7854</v>
      </c>
      <c r="C2" s="433" t="s">
        <v>7855</v>
      </c>
      <c r="D2" s="829" t="s">
        <v>2044</v>
      </c>
      <c r="E2" s="829" t="s">
        <v>6714</v>
      </c>
      <c r="F2" s="829" t="s">
        <v>6715</v>
      </c>
      <c r="G2" s="829" t="s">
        <v>2181</v>
      </c>
      <c r="H2" s="453"/>
      <c r="I2" s="436" t="s">
        <v>7920</v>
      </c>
      <c r="J2" s="453"/>
      <c r="K2" s="434" t="s">
        <v>7860</v>
      </c>
      <c r="L2" s="435" t="s">
        <v>2534</v>
      </c>
      <c r="M2" s="453"/>
      <c r="N2" s="436" t="s">
        <v>7857</v>
      </c>
      <c r="O2" s="436" t="s">
        <v>7936</v>
      </c>
      <c r="P2" s="436" t="s">
        <v>7937</v>
      </c>
      <c r="Q2" s="436" t="s">
        <v>7938</v>
      </c>
      <c r="R2" s="436" t="s">
        <v>7939</v>
      </c>
      <c r="S2" s="453"/>
      <c r="T2" s="434" t="s">
        <v>7925</v>
      </c>
      <c r="U2" s="434" t="s">
        <v>7940</v>
      </c>
      <c r="V2" s="434" t="s">
        <v>7941</v>
      </c>
      <c r="W2" s="434" t="s">
        <v>7942</v>
      </c>
      <c r="X2" s="434" t="s">
        <v>7943</v>
      </c>
      <c r="Y2" s="453"/>
      <c r="Z2" s="435" t="s">
        <v>7930</v>
      </c>
      <c r="AA2" s="435" t="s">
        <v>7944</v>
      </c>
      <c r="AB2" s="435" t="s">
        <v>7945</v>
      </c>
      <c r="AC2" s="435" t="s">
        <v>7946</v>
      </c>
      <c r="AD2" s="435" t="s">
        <v>7947</v>
      </c>
      <c r="AE2" s="453"/>
      <c r="AF2" s="436" t="s">
        <v>6711</v>
      </c>
      <c r="AG2" s="453"/>
      <c r="AH2" s="453"/>
      <c r="AI2" s="453"/>
      <c r="AJ2" s="453"/>
      <c r="AK2" s="453"/>
      <c r="AL2" s="453"/>
      <c r="AM2" s="453"/>
      <c r="AN2" s="453"/>
      <c r="AO2" s="453"/>
      <c r="AP2" s="453"/>
      <c r="AQ2" s="453"/>
      <c r="AR2" s="453"/>
      <c r="AS2" s="453"/>
      <c r="AT2" s="453"/>
      <c r="AU2" s="453"/>
      <c r="AV2" s="453"/>
      <c r="AW2" s="453"/>
      <c r="AX2" s="453"/>
      <c r="AY2" s="453"/>
      <c r="AZ2" s="453"/>
      <c r="BA2" s="453"/>
      <c r="BB2" s="453"/>
      <c r="BC2" s="453"/>
      <c r="BD2" s="453"/>
      <c r="BE2" s="453"/>
    </row>
    <row r="3" spans="1:57">
      <c r="A3" s="405" t="s">
        <v>2535</v>
      </c>
      <c r="B3" s="405" t="s">
        <v>2535</v>
      </c>
      <c r="C3" s="405" t="s">
        <v>2535</v>
      </c>
      <c r="D3" s="405" t="s">
        <v>2090</v>
      </c>
      <c r="E3" s="405" t="s">
        <v>2086</v>
      </c>
      <c r="F3" s="405" t="s">
        <v>6728</v>
      </c>
      <c r="G3" s="405" t="s">
        <v>6729</v>
      </c>
      <c r="I3" s="426" t="str">
        <f>IFERROR(N3/5,"")</f>
        <v/>
      </c>
      <c r="K3" s="790" t="str">
        <f t="shared" ref="K3:K34" si="0">IFERROR(T3/N3,"")</f>
        <v/>
      </c>
      <c r="L3" s="790" t="str">
        <f t="shared" ref="L3:L34" si="1">IFERROR(Z3/N3,"")</f>
        <v/>
      </c>
      <c r="N3" s="426" t="e">
        <f>SUMPRODUCT(($AF$4:$AF$106),('ANALYSE - ERP =&gt; SOUS-SEGMENT'!$FA$8:$FA$150))</f>
        <v>#REF!</v>
      </c>
      <c r="O3" s="426" t="e">
        <f>SUMPRODUCT(($AF$4:$AF$106),('ANALYSE - ERP =&gt; SOUS-SEGMENT'!$GH$8:$GH$150))</f>
        <v>#REF!</v>
      </c>
      <c r="P3" s="426" t="e">
        <f>SUMPRODUCT(($AF$4:$AF$106),('ANALYSE - ERP =&gt; SOUS-SEGMENT'!$GK$8:$GK$150))</f>
        <v>#REF!</v>
      </c>
      <c r="Q3" s="426" t="e">
        <f>SUMPRODUCT(($AF$4:$AF$106),('ANALYSE - ERP =&gt; SOUS-SEGMENT'!$GN$8:$GN$150))</f>
        <v>#REF!</v>
      </c>
      <c r="R3" s="426" t="e">
        <f>SUMPRODUCT(($AF$4:$AF$106),('ANALYSE - ERP =&gt; SOUS-SEGMENT'!$GQ$8:$GQ$150))</f>
        <v>#REF!</v>
      </c>
      <c r="T3" s="426" t="e">
        <f>SUMPRODUCT(($AF$4:$AF$106),('ANALYSE - ERP =&gt; SOUS-SEGMENT'!$FB$8:$FB$150))</f>
        <v>#REF!</v>
      </c>
      <c r="U3" s="426" t="e">
        <f>SUMPRODUCT(($AF$4:$AF$106),('ANALYSE - ERP =&gt; SOUS-SEGMENT'!$GI$8:$GI$150))</f>
        <v>#REF!</v>
      </c>
      <c r="V3" s="426" t="e">
        <f>SUMPRODUCT(($AF$4:$AF$106),('ANALYSE - ERP =&gt; SOUS-SEGMENT'!$GL$8:$GL$150))</f>
        <v>#REF!</v>
      </c>
      <c r="W3" s="426" t="e">
        <f>SUMPRODUCT(($AF$4:$AF$106),('ANALYSE - ERP =&gt; SOUS-SEGMENT'!$GO$8:$GO$150))</f>
        <v>#REF!</v>
      </c>
      <c r="X3" s="426" t="e">
        <f>SUMPRODUCT(($AF$4:$AF$106),('ANALYSE - ERP =&gt; SOUS-SEGMENT'!$GR$8:$GR$150))</f>
        <v>#REF!</v>
      </c>
      <c r="Z3" s="426" t="e">
        <f>SUMPRODUCT(($AF$4:$AF$106),('ANALYSE - ERP =&gt; SOUS-SEGMENT'!$FC$8:$FC$150))</f>
        <v>#REF!</v>
      </c>
      <c r="AA3" s="426" t="e">
        <f>SUMPRODUCT(($AF$4:$AF$106),('ANALYSE - ERP =&gt; SOUS-SEGMENT'!$GJ$8:$GJ$150))</f>
        <v>#REF!</v>
      </c>
      <c r="AB3" s="426" t="e">
        <f>SUMPRODUCT(($AF$4:$AF$106),('ANALYSE - ERP =&gt; SOUS-SEGMENT'!$GM$8:$GM$150))</f>
        <v>#REF!</v>
      </c>
      <c r="AC3" s="426" t="e">
        <f>SUMPRODUCT(($AF$4:$AF$106),('ANALYSE - ERP =&gt; SOUS-SEGMENT'!$GP$8:$GP$150))</f>
        <v>#REF!</v>
      </c>
      <c r="AD3" s="426" t="e">
        <f>SUMPRODUCT(($AF$4:$AF$106),('ANALYSE - ERP =&gt; SOUS-SEGMENT'!$GS$8:$GS$150))</f>
        <v>#REF!</v>
      </c>
      <c r="AF3" s="428">
        <f>SUM('ANALYSE - ERP =&gt; SOUS-SEGMENT'!$Q$8:$Q$150)</f>
        <v>137</v>
      </c>
    </row>
    <row r="4" spans="1:57" ht="15" customHeight="1">
      <c r="A4" s="26">
        <v>1</v>
      </c>
      <c r="B4" s="26">
        <v>1</v>
      </c>
      <c r="C4" s="26">
        <v>1</v>
      </c>
      <c r="D4" s="422">
        <f>'ANALYSE - ERP =&gt; SOUS-SEGMENT'!$A$75</f>
        <v>68</v>
      </c>
      <c r="E4" s="408" t="str">
        <f>'ANALYSE - ERP =&gt; SOUS-SEGMENT'!$B$75</f>
        <v>Commerce, Restauration &amp; Loisirs</v>
      </c>
      <c r="F4" s="408" t="str">
        <f>'ANALYSE - ERP =&gt; SOUS-SEGMENT'!$C$75</f>
        <v>Restauration / boissons</v>
      </c>
      <c r="G4" s="408" t="str">
        <f>'ANALYSE - ERP =&gt; SOUS-SEGMENT'!$D$75</f>
        <v>Restaurants
(Hors établissements altitude, flottant, armée)</v>
      </c>
      <c r="I4" s="427">
        <f t="shared" ref="I4:I35" si="2">N4/5</f>
        <v>38897.478437500002</v>
      </c>
      <c r="K4" s="787">
        <f t="shared" si="0"/>
        <v>0.87380287367760046</v>
      </c>
      <c r="L4" s="787">
        <f t="shared" si="1"/>
        <v>0.12619712632239954</v>
      </c>
      <c r="N4" s="424">
        <f>'ANALYSE - ERP =&gt; SOUS-SEGMENT'!$FA$75</f>
        <v>194487.39218750002</v>
      </c>
      <c r="O4" s="427">
        <f>'ANALYSE - ERP =&gt; SOUS-SEGMENT'!$GH$75</f>
        <v>62057.65</v>
      </c>
      <c r="P4" s="427">
        <f>'ANALYSE - ERP =&gt; SOUS-SEGMENT'!$GK$75</f>
        <v>99700.889062500006</v>
      </c>
      <c r="Q4" s="427">
        <f>'ANALYSE - ERP =&gt; SOUS-SEGMENT'!$GN$75</f>
        <v>21996.38625</v>
      </c>
      <c r="R4" s="427">
        <f>'ANALYSE - ERP =&gt; SOUS-SEGMENT'!$GQ$75</f>
        <v>10732.466875</v>
      </c>
      <c r="T4" s="424">
        <f>'ANALYSE - ERP =&gt; SOUS-SEGMENT'!$FB$75</f>
        <v>169943.64218750002</v>
      </c>
      <c r="U4" s="427">
        <f>'ANALYSE - ERP =&gt; SOUS-SEGMENT'!$GI$75</f>
        <v>55185.4</v>
      </c>
      <c r="V4" s="427">
        <f>'ANALYSE - ERP =&gt; SOUS-SEGMENT'!$GL$75</f>
        <v>86201.826562500006</v>
      </c>
      <c r="W4" s="427">
        <f>'ANALYSE - ERP =&gt; SOUS-SEGMENT'!$GO$75</f>
        <v>19051.13625</v>
      </c>
      <c r="X4" s="427">
        <f>'ANALYSE - ERP =&gt; SOUS-SEGMENT'!$GR$75</f>
        <v>9505.2793750000001</v>
      </c>
      <c r="Z4" s="427">
        <f>'ANALYSE - ERP =&gt; SOUS-SEGMENT'!$FC$75</f>
        <v>24543.75</v>
      </c>
      <c r="AA4" s="427">
        <f>'ANALYSE - ERP =&gt; SOUS-SEGMENT'!$GJ$75</f>
        <v>6872.2500000000009</v>
      </c>
      <c r="AB4" s="427">
        <f>'ANALYSE - ERP =&gt; SOUS-SEGMENT'!$GM$75</f>
        <v>13499.062500000002</v>
      </c>
      <c r="AC4" s="427">
        <f>'ANALYSE - ERP =&gt; SOUS-SEGMENT'!$GP$75</f>
        <v>2945.25</v>
      </c>
      <c r="AD4" s="427">
        <f>'ANALYSE - ERP =&gt; SOUS-SEGMENT'!$GS$75</f>
        <v>1227.1875</v>
      </c>
      <c r="AF4" s="430">
        <f>'ANALYSE - ERP =&gt; SOUS-SEGMENT'!$Q$75</f>
        <v>1</v>
      </c>
    </row>
    <row r="5" spans="1:57" ht="15" customHeight="1">
      <c r="A5" s="26">
        <v>2</v>
      </c>
      <c r="B5" s="26">
        <v>3</v>
      </c>
      <c r="C5" s="26">
        <v>2</v>
      </c>
      <c r="D5" s="422">
        <f>'ANALYSE - ERP =&gt; SOUS-SEGMENT'!$A$82</f>
        <v>75</v>
      </c>
      <c r="E5" s="416" t="str">
        <f>'ANALYSE - ERP =&gt; SOUS-SEGMENT'!$B$82</f>
        <v>Tertiaire &amp; Industriel</v>
      </c>
      <c r="F5" s="416" t="str">
        <f>'ANALYSE - ERP =&gt; SOUS-SEGMENT'!$C$82</f>
        <v>Bureaux</v>
      </c>
      <c r="G5" s="416" t="str">
        <f>'ANALYSE - ERP =&gt; SOUS-SEGMENT'!$D$82</f>
        <v>Bureaux Tertiaire Privé (&gt;50 salariés)
(hors usines et logistique )</v>
      </c>
      <c r="I5" s="427">
        <f t="shared" si="2"/>
        <v>40611.973685179488</v>
      </c>
      <c r="K5" s="787">
        <f t="shared" si="0"/>
        <v>0.85843436114265792</v>
      </c>
      <c r="L5" s="787">
        <f t="shared" si="1"/>
        <v>0.14156563885734208</v>
      </c>
      <c r="N5" s="424">
        <f>'ANALYSE - ERP =&gt; SOUS-SEGMENT'!$FA$82</f>
        <v>203059.86842589744</v>
      </c>
      <c r="O5" s="427">
        <f>'ANALYSE - ERP =&gt; SOUS-SEGMENT'!$GH$82</f>
        <v>82046.364569230776</v>
      </c>
      <c r="P5" s="427">
        <f>'ANALYSE - ERP =&gt; SOUS-SEGMENT'!$GK$82</f>
        <v>62372.950749999996</v>
      </c>
      <c r="Q5" s="427">
        <f>'ANALYSE - ERP =&gt; SOUS-SEGMENT'!$GN$82</f>
        <v>48046.474190000001</v>
      </c>
      <c r="R5" s="427">
        <f>'ANALYSE - ERP =&gt; SOUS-SEGMENT'!$GQ$82</f>
        <v>10594.078916666667</v>
      </c>
      <c r="T5" s="424">
        <f>'ANALYSE - ERP =&gt; SOUS-SEGMENT'!$FB$82</f>
        <v>174313.56842589745</v>
      </c>
      <c r="U5" s="427">
        <f>'ANALYSE - ERP =&gt; SOUS-SEGMENT'!$GI$82</f>
        <v>71697.696569230771</v>
      </c>
      <c r="V5" s="427">
        <f>'ANALYSE - ERP =&gt; SOUS-SEGMENT'!$GL$82</f>
        <v>52024.282749999998</v>
      </c>
      <c r="W5" s="427">
        <f>'ANALYSE - ERP =&gt; SOUS-SEGMENT'!$GO$82</f>
        <v>41147.36219</v>
      </c>
      <c r="X5" s="427">
        <f>'ANALYSE - ERP =&gt; SOUS-SEGMENT'!$GR$82</f>
        <v>9444.2269166666665</v>
      </c>
      <c r="Z5" s="427">
        <f>'ANALYSE - ERP =&gt; SOUS-SEGMENT'!$FC$82</f>
        <v>28746.3</v>
      </c>
      <c r="AA5" s="427">
        <f>'ANALYSE - ERP =&gt; SOUS-SEGMENT'!$GJ$82</f>
        <v>10348.668</v>
      </c>
      <c r="AB5" s="427">
        <f>'ANALYSE - ERP =&gt; SOUS-SEGMENT'!$GM$82</f>
        <v>10348.668</v>
      </c>
      <c r="AC5" s="427">
        <f>'ANALYSE - ERP =&gt; SOUS-SEGMENT'!$GP$82</f>
        <v>6899.1119999999992</v>
      </c>
      <c r="AD5" s="427">
        <f>'ANALYSE - ERP =&gt; SOUS-SEGMENT'!$GS$82</f>
        <v>1149.8520000000001</v>
      </c>
      <c r="AF5" s="430">
        <f>'ANALYSE - ERP =&gt; SOUS-SEGMENT'!$Q$82</f>
        <v>1</v>
      </c>
    </row>
    <row r="6" spans="1:57" ht="15" customHeight="1">
      <c r="A6" s="26">
        <v>3</v>
      </c>
      <c r="B6" s="26">
        <v>2</v>
      </c>
      <c r="C6" s="26">
        <v>4</v>
      </c>
      <c r="D6" s="422">
        <f>'ANALYSE - ERP =&gt; SOUS-SEGMENT'!$A$58</f>
        <v>51</v>
      </c>
      <c r="E6" s="409" t="str">
        <f>'ANALYSE - ERP =&gt; SOUS-SEGMENT'!$B$58</f>
        <v>Santé &amp; Médico-social</v>
      </c>
      <c r="F6" s="409" t="str">
        <f>'ANALYSE - ERP =&gt; SOUS-SEGMENT'!$C$58</f>
        <v>Médico-social</v>
      </c>
      <c r="G6" s="409" t="str">
        <f>'ANALYSE - ERP =&gt; SOUS-SEGMENT'!$D$58</f>
        <v>EHPAD</v>
      </c>
      <c r="I6" s="427">
        <f t="shared" si="2"/>
        <v>43839.885971704949</v>
      </c>
      <c r="K6" s="787">
        <f t="shared" si="0"/>
        <v>0.83562301611251788</v>
      </c>
      <c r="L6" s="787">
        <f t="shared" si="1"/>
        <v>0.16437698388748215</v>
      </c>
      <c r="N6" s="424">
        <f>'ANALYSE - ERP =&gt; SOUS-SEGMENT'!$FA$58</f>
        <v>219199.42985852476</v>
      </c>
      <c r="O6" s="427">
        <f>'ANALYSE - ERP =&gt; SOUS-SEGMENT'!$GH$58</f>
        <v>123721.57039242858</v>
      </c>
      <c r="P6" s="427">
        <f>'ANALYSE - ERP =&gt; SOUS-SEGMENT'!$GK$58</f>
        <v>32894.901090346153</v>
      </c>
      <c r="Q6" s="427">
        <f>'ANALYSE - ERP =&gt; SOUS-SEGMENT'!$GN$58</f>
        <v>27635.634705</v>
      </c>
      <c r="R6" s="427">
        <f>'ANALYSE - ERP =&gt; SOUS-SEGMENT'!$GQ$58</f>
        <v>34947.323670749996</v>
      </c>
      <c r="T6" s="424">
        <f>'ANALYSE - ERP =&gt; SOUS-SEGMENT'!$FB$58</f>
        <v>183168.08870852477</v>
      </c>
      <c r="U6" s="427">
        <f>'ANALYSE - ERP =&gt; SOUS-SEGMENT'!$GI$58</f>
        <v>102823.39252542859</v>
      </c>
      <c r="V6" s="427">
        <f>'ANALYSE - ERP =&gt; SOUS-SEGMENT'!$GL$58</f>
        <v>27490.199917846156</v>
      </c>
      <c r="W6" s="427">
        <f>'ANALYSE - ERP =&gt; SOUS-SEGMENT'!$GO$58</f>
        <v>23311.873767000001</v>
      </c>
      <c r="X6" s="427">
        <f>'ANALYSE - ERP =&gt; SOUS-SEGMENT'!$GR$58</f>
        <v>29542.622498249999</v>
      </c>
      <c r="Z6" s="427">
        <f>'ANALYSE - ERP =&gt; SOUS-SEGMENT'!$FC$58</f>
        <v>36031.34115</v>
      </c>
      <c r="AA6" s="427">
        <f>'ANALYSE - ERP =&gt; SOUS-SEGMENT'!$GJ$58</f>
        <v>20898.177866999999</v>
      </c>
      <c r="AB6" s="427">
        <f>'ANALYSE - ERP =&gt; SOUS-SEGMENT'!$GM$58</f>
        <v>5404.7011725000002</v>
      </c>
      <c r="AC6" s="427">
        <f>'ANALYSE - ERP =&gt; SOUS-SEGMENT'!$GP$58</f>
        <v>4323.7609379999994</v>
      </c>
      <c r="AD6" s="427">
        <f>'ANALYSE - ERP =&gt; SOUS-SEGMENT'!$GS$58</f>
        <v>5404.7011725000002</v>
      </c>
      <c r="AF6" s="430">
        <f>'ANALYSE - ERP =&gt; SOUS-SEGMENT'!$Q$58</f>
        <v>1</v>
      </c>
    </row>
    <row r="7" spans="1:57" ht="15" customHeight="1">
      <c r="A7" s="26">
        <v>4</v>
      </c>
      <c r="B7" s="26">
        <v>4</v>
      </c>
      <c r="C7" s="26">
        <v>6</v>
      </c>
      <c r="D7" s="422">
        <f>'ANALYSE - ERP =&gt; SOUS-SEGMENT'!$A$101</f>
        <v>94</v>
      </c>
      <c r="E7" s="415" t="str">
        <f>'ANALYSE - ERP =&gt; SOUS-SEGMENT'!$B$101</f>
        <v>Culte, Vie civique &amp; Services publics</v>
      </c>
      <c r="F7" s="415" t="str">
        <f>'ANALYSE - ERP =&gt; SOUS-SEGMENT'!$C$101</f>
        <v>Administrations / services publics</v>
      </c>
      <c r="G7" s="415" t="str">
        <f>'ANALYSE - ERP =&gt; SOUS-SEGMENT'!$D$101</f>
        <v>Mairies / hôtels de ville</v>
      </c>
      <c r="I7" s="427">
        <f t="shared" si="2"/>
        <v>7797.2705068371433</v>
      </c>
      <c r="K7" s="787">
        <f t="shared" si="0"/>
        <v>0.87650841673946411</v>
      </c>
      <c r="L7" s="787">
        <f t="shared" si="1"/>
        <v>0.12349158326053589</v>
      </c>
      <c r="N7" s="424">
        <f>'ANALYSE - ERP =&gt; SOUS-SEGMENT'!$FA$101</f>
        <v>38986.352534185717</v>
      </c>
      <c r="O7" s="427">
        <f>'ANALYSE - ERP =&gt; SOUS-SEGMENT'!$GH$101</f>
        <v>12431.363320500001</v>
      </c>
      <c r="P7" s="427">
        <f>'ANALYSE - ERP =&gt; SOUS-SEGMENT'!$GK$101</f>
        <v>16495.295989285714</v>
      </c>
      <c r="Q7" s="427">
        <f>'ANALYSE - ERP =&gt; SOUS-SEGMENT'!$GN$101</f>
        <v>8464.9969884000002</v>
      </c>
      <c r="R7" s="427">
        <f>'ANALYSE - ERP =&gt; SOUS-SEGMENT'!$GQ$101</f>
        <v>1594.696236</v>
      </c>
      <c r="T7" s="424">
        <f>'ANALYSE - ERP =&gt; SOUS-SEGMENT'!$FB$101</f>
        <v>34171.866134185715</v>
      </c>
      <c r="U7" s="427">
        <f>'ANALYSE - ERP =&gt; SOUS-SEGMENT'!$GI$101</f>
        <v>11035.162264500001</v>
      </c>
      <c r="V7" s="427">
        <f>'ANALYSE - ERP =&gt; SOUS-SEGMENT'!$GL$101</f>
        <v>14280.632245285715</v>
      </c>
      <c r="W7" s="427">
        <f>'ANALYSE - ERP =&gt; SOUS-SEGMENT'!$GO$101</f>
        <v>7405.8099804000003</v>
      </c>
      <c r="X7" s="427">
        <f>'ANALYSE - ERP =&gt; SOUS-SEGMENT'!$GR$101</f>
        <v>1450.2616439999999</v>
      </c>
      <c r="Z7" s="427">
        <f>'ANALYSE - ERP =&gt; SOUS-SEGMENT'!$FC$101</f>
        <v>4814.4863999999998</v>
      </c>
      <c r="AA7" s="427">
        <f>'ANALYSE - ERP =&gt; SOUS-SEGMENT'!$GJ$101</f>
        <v>1396.2010559999999</v>
      </c>
      <c r="AB7" s="427">
        <f>'ANALYSE - ERP =&gt; SOUS-SEGMENT'!$GM$101</f>
        <v>2214.663744</v>
      </c>
      <c r="AC7" s="427">
        <f>'ANALYSE - ERP =&gt; SOUS-SEGMENT'!$GP$101</f>
        <v>1059.1870079999999</v>
      </c>
      <c r="AD7" s="427">
        <f>'ANALYSE - ERP =&gt; SOUS-SEGMENT'!$GS$101</f>
        <v>144.43459199999998</v>
      </c>
      <c r="AF7" s="430">
        <f>'ANALYSE - ERP =&gt; SOUS-SEGMENT'!$Q$101</f>
        <v>1</v>
      </c>
    </row>
    <row r="8" spans="1:57" ht="15" customHeight="1">
      <c r="A8" s="26">
        <v>5</v>
      </c>
      <c r="B8" s="26">
        <v>5</v>
      </c>
      <c r="C8" s="26">
        <v>7</v>
      </c>
      <c r="D8" s="422">
        <f>'ANALYSE - ERP =&gt; SOUS-SEGMENT'!$A$67</f>
        <v>60</v>
      </c>
      <c r="E8" s="414" t="str">
        <f>'ANALYSE - ERP =&gt; SOUS-SEGMENT'!$B$67</f>
        <v>Culture, Patrimoine &amp; Evénementiel</v>
      </c>
      <c r="F8" s="414" t="str">
        <f>'ANALYSE - ERP =&gt; SOUS-SEGMENT'!$C$67</f>
        <v>Culture / spectacle</v>
      </c>
      <c r="G8" s="414" t="str">
        <f>'ANALYSE - ERP =&gt; SOUS-SEGMENT'!$D$67</f>
        <v>Salles polyvalentes / Salles des fêtes</v>
      </c>
      <c r="I8" s="427">
        <f t="shared" si="2"/>
        <v>15856.43571034965</v>
      </c>
      <c r="K8" s="787">
        <f t="shared" si="0"/>
        <v>0.82016841287107134</v>
      </c>
      <c r="L8" s="787">
        <f t="shared" si="1"/>
        <v>0.17983158712892874</v>
      </c>
      <c r="N8" s="424">
        <f>'ANALYSE - ERP =&gt; SOUS-SEGMENT'!$FA$67</f>
        <v>79282.178551748249</v>
      </c>
      <c r="O8" s="427">
        <f>'ANALYSE - ERP =&gt; SOUS-SEGMENT'!$GH$67</f>
        <v>19718.559300000001</v>
      </c>
      <c r="P8" s="427">
        <f>'ANALYSE - ERP =&gt; SOUS-SEGMENT'!$GK$67</f>
        <v>46334.916415384621</v>
      </c>
      <c r="Q8" s="427">
        <f>'ANALYSE - ERP =&gt; SOUS-SEGMENT'!$GN$67</f>
        <v>8847.3572000000004</v>
      </c>
      <c r="R8" s="427">
        <f>'ANALYSE - ERP =&gt; SOUS-SEGMENT'!$GQ$67</f>
        <v>4381.345636363636</v>
      </c>
      <c r="T8" s="424">
        <f>'ANALYSE - ERP =&gt; SOUS-SEGMENT'!$FB$67</f>
        <v>65024.738551748254</v>
      </c>
      <c r="U8" s="427">
        <f>'ANALYSE - ERP =&gt; SOUS-SEGMENT'!$GI$67</f>
        <v>16581.922500000001</v>
      </c>
      <c r="V8" s="427">
        <f>'ANALYSE - ERP =&gt; SOUS-SEGMENT'!$GL$67</f>
        <v>37495.303615384619</v>
      </c>
      <c r="W8" s="427">
        <f>'ANALYSE - ERP =&gt; SOUS-SEGMENT'!$GO$67</f>
        <v>7279.0388000000003</v>
      </c>
      <c r="X8" s="427">
        <f>'ANALYSE - ERP =&gt; SOUS-SEGMENT'!$GR$67</f>
        <v>3668.4736363636362</v>
      </c>
      <c r="Z8" s="427">
        <f>'ANALYSE - ERP =&gt; SOUS-SEGMENT'!$FC$67</f>
        <v>14257.44</v>
      </c>
      <c r="AA8" s="427">
        <f>'ANALYSE - ERP =&gt; SOUS-SEGMENT'!$GJ$67</f>
        <v>3136.6368000000002</v>
      </c>
      <c r="AB8" s="427">
        <f>'ANALYSE - ERP =&gt; SOUS-SEGMENT'!$GM$67</f>
        <v>8839.6128000000008</v>
      </c>
      <c r="AC8" s="427">
        <f>'ANALYSE - ERP =&gt; SOUS-SEGMENT'!$GP$67</f>
        <v>1568.3184000000001</v>
      </c>
      <c r="AD8" s="427">
        <f>'ANALYSE - ERP =&gt; SOUS-SEGMENT'!$GS$67</f>
        <v>712.87200000000007</v>
      </c>
      <c r="AF8" s="430">
        <f>'ANALYSE - ERP =&gt; SOUS-SEGMENT'!$Q$67</f>
        <v>1</v>
      </c>
    </row>
    <row r="9" spans="1:57" ht="15" customHeight="1">
      <c r="A9" s="26">
        <v>6</v>
      </c>
      <c r="B9" s="26">
        <v>6</v>
      </c>
      <c r="C9" s="26">
        <v>3</v>
      </c>
      <c r="D9" s="422">
        <f>'ANALYSE - ERP =&gt; SOUS-SEGMENT'!$A$77</f>
        <v>70</v>
      </c>
      <c r="E9" s="408" t="str">
        <f>'ANALYSE - ERP =&gt; SOUS-SEGMENT'!$B$77</f>
        <v>Commerce, Restauration &amp; Loisirs</v>
      </c>
      <c r="F9" s="408" t="str">
        <f>'ANALYSE - ERP =&gt; SOUS-SEGMENT'!$C$77</f>
        <v>Restauration / boissons</v>
      </c>
      <c r="G9" s="408" t="str">
        <f>'ANALYSE - ERP =&gt; SOUS-SEGMENT'!$D$77</f>
        <v>Fast-food / Cafétérias / Food courts</v>
      </c>
      <c r="I9" s="427">
        <f t="shared" si="2"/>
        <v>26623.315355431114</v>
      </c>
      <c r="K9" s="787">
        <f t="shared" si="0"/>
        <v>0.70871042086732539</v>
      </c>
      <c r="L9" s="787">
        <f t="shared" si="1"/>
        <v>0.29128957913267456</v>
      </c>
      <c r="N9" s="424">
        <f>'ANALYSE - ERP =&gt; SOUS-SEGMENT'!$FA$77</f>
        <v>133116.57677715557</v>
      </c>
      <c r="O9" s="427">
        <f>'ANALYSE - ERP =&gt; SOUS-SEGMENT'!$GH$77</f>
        <v>23343.634837600002</v>
      </c>
      <c r="P9" s="427">
        <f>'ANALYSE - ERP =&gt; SOUS-SEGMENT'!$GK$77</f>
        <v>74858.760255000001</v>
      </c>
      <c r="Q9" s="427">
        <f>'ANALYSE - ERP =&gt; SOUS-SEGMENT'!$GN$77</f>
        <v>29532.411356250002</v>
      </c>
      <c r="R9" s="427">
        <f>'ANALYSE - ERP =&gt; SOUS-SEGMENT'!$GQ$77</f>
        <v>5381.7703283055562</v>
      </c>
      <c r="T9" s="424">
        <f>'ANALYSE - ERP =&gt; SOUS-SEGMENT'!$FB$77</f>
        <v>94341.105152155549</v>
      </c>
      <c r="U9" s="427">
        <f>'ANALYSE - ERP =&gt; SOUS-SEGMENT'!$GI$77</f>
        <v>17139.559377600002</v>
      </c>
      <c r="V9" s="427">
        <f>'ANALYSE - ERP =&gt; SOUS-SEGMENT'!$GL$77</f>
        <v>51593.477279999999</v>
      </c>
      <c r="W9" s="427">
        <f>'ANALYSE - ERP =&gt; SOUS-SEGMENT'!$GO$77</f>
        <v>21389.562315000003</v>
      </c>
      <c r="X9" s="427">
        <f>'ANALYSE - ERP =&gt; SOUS-SEGMENT'!$GR$77</f>
        <v>4218.5061795555557</v>
      </c>
      <c r="Z9" s="427">
        <f>'ANALYSE - ERP =&gt; SOUS-SEGMENT'!$FC$77</f>
        <v>38775.471625000006</v>
      </c>
      <c r="AA9" s="427">
        <f>'ANALYSE - ERP =&gt; SOUS-SEGMENT'!$GJ$77</f>
        <v>6204.0754600000009</v>
      </c>
      <c r="AB9" s="427">
        <f>'ANALYSE - ERP =&gt; SOUS-SEGMENT'!$GM$77</f>
        <v>23265.282975000002</v>
      </c>
      <c r="AC9" s="427">
        <f>'ANALYSE - ERP =&gt; SOUS-SEGMENT'!$GP$77</f>
        <v>8142.8490412500005</v>
      </c>
      <c r="AD9" s="427">
        <f>'ANALYSE - ERP =&gt; SOUS-SEGMENT'!$GS$77</f>
        <v>1163.2641487500002</v>
      </c>
      <c r="AF9" s="430">
        <f>'ANALYSE - ERP =&gt; SOUS-SEGMENT'!$Q$77</f>
        <v>1</v>
      </c>
    </row>
    <row r="10" spans="1:57" ht="15" customHeight="1">
      <c r="A10" s="26">
        <v>7</v>
      </c>
      <c r="B10" s="26">
        <v>8</v>
      </c>
      <c r="C10" s="26">
        <v>5</v>
      </c>
      <c r="D10" s="422">
        <f>'ANALYSE - ERP =&gt; SOUS-SEGMENT'!$A$12</f>
        <v>5</v>
      </c>
      <c r="E10" s="411" t="str">
        <f>'ANALYSE - ERP =&gt; SOUS-SEGMENT'!$B$12</f>
        <v>Enfance, Enseignement, Jeunesse &amp; Formation</v>
      </c>
      <c r="F10" s="411" t="str">
        <f>'ANALYSE - ERP =&gt; SOUS-SEGMENT'!$C$12</f>
        <v>Enseignement scolaire</v>
      </c>
      <c r="G10" s="411" t="str">
        <f>'ANALYSE - ERP =&gt; SOUS-SEGMENT'!$D$12</f>
        <v>Écoles primaires</v>
      </c>
      <c r="I10" s="427">
        <f t="shared" si="2"/>
        <v>24206.391144320001</v>
      </c>
      <c r="K10" s="787">
        <f t="shared" si="0"/>
        <v>0.74280672393989389</v>
      </c>
      <c r="L10" s="787">
        <f t="shared" si="1"/>
        <v>0.257193276060106</v>
      </c>
      <c r="N10" s="424">
        <f>'ANALYSE - ERP =&gt; SOUS-SEGMENT'!$FA$12</f>
        <v>121031.95572160001</v>
      </c>
      <c r="O10" s="427">
        <f>'ANALYSE - ERP =&gt; SOUS-SEGMENT'!$GH$12</f>
        <v>21163.179925887998</v>
      </c>
      <c r="P10" s="427">
        <f>'ANALYSE - ERP =&gt; SOUS-SEGMENT'!$GK$12</f>
        <v>91085.252843200011</v>
      </c>
      <c r="Q10" s="427">
        <f>'ANALYSE - ERP =&gt; SOUS-SEGMENT'!$GN$12</f>
        <v>4253.5307756479997</v>
      </c>
      <c r="R10" s="427">
        <f>'ANALYSE - ERP =&gt; SOUS-SEGMENT'!$GQ$12</f>
        <v>4529.9921768640006</v>
      </c>
      <c r="T10" s="424">
        <f>'ANALYSE - ERP =&gt; SOUS-SEGMENT'!$FB$12</f>
        <v>89903.350521600005</v>
      </c>
      <c r="U10" s="427">
        <f>'ANALYSE - ERP =&gt; SOUS-SEGMENT'!$GI$12</f>
        <v>16182.603093887999</v>
      </c>
      <c r="V10" s="427">
        <f>'ANALYSE - ERP =&gt; SOUS-SEGMENT'!$GL$12</f>
        <v>67427.512891200007</v>
      </c>
      <c r="W10" s="427">
        <f>'ANALYSE - ERP =&gt; SOUS-SEGMENT'!$GO$12</f>
        <v>2697.1005156480001</v>
      </c>
      <c r="X10" s="427">
        <f>'ANALYSE - ERP =&gt; SOUS-SEGMENT'!$GR$12</f>
        <v>3596.1340208640004</v>
      </c>
      <c r="Z10" s="427">
        <f>'ANALYSE - ERP =&gt; SOUS-SEGMENT'!$FC$12</f>
        <v>31128.605199999998</v>
      </c>
      <c r="AA10" s="427">
        <f>'ANALYSE - ERP =&gt; SOUS-SEGMENT'!$GJ$12</f>
        <v>4980.5768319999997</v>
      </c>
      <c r="AB10" s="427">
        <f>'ANALYSE - ERP =&gt; SOUS-SEGMENT'!$GM$12</f>
        <v>23657.739952</v>
      </c>
      <c r="AC10" s="427">
        <f>'ANALYSE - ERP =&gt; SOUS-SEGMENT'!$GP$12</f>
        <v>1556.4302600000001</v>
      </c>
      <c r="AD10" s="427">
        <f>'ANALYSE - ERP =&gt; SOUS-SEGMENT'!$GS$12</f>
        <v>933.85815599999989</v>
      </c>
      <c r="AF10" s="430">
        <f>'ANALYSE - ERP =&gt; SOUS-SEGMENT'!$Q$12</f>
        <v>1</v>
      </c>
    </row>
    <row r="11" spans="1:57" s="45" customFormat="1" ht="15" customHeight="1">
      <c r="A11" s="26">
        <v>8</v>
      </c>
      <c r="B11" s="26">
        <v>7</v>
      </c>
      <c r="C11" s="26">
        <v>9</v>
      </c>
      <c r="D11" s="422">
        <f>'ANALYSE - ERP =&gt; SOUS-SEGMENT'!$A$21</f>
        <v>14</v>
      </c>
      <c r="E11" s="410" t="str">
        <f>'ANALYSE - ERP =&gt; SOUS-SEGMENT'!$B$21</f>
        <v>Sports &amp; Loisirs</v>
      </c>
      <c r="F11" s="410" t="str">
        <f>'ANALYSE - ERP =&gt; SOUS-SEGMENT'!$C$21</f>
        <v>Sport couvert / Thermalisme / Bien-être</v>
      </c>
      <c r="G11" s="410" t="str">
        <f>'ANALYSE - ERP =&gt; SOUS-SEGMENT'!$D$21</f>
        <v>Gymnases / salles multisports
(hors scolaire, mais gymnase municipaux inclus)</v>
      </c>
      <c r="H11" s="685"/>
      <c r="I11" s="427">
        <f t="shared" si="2"/>
        <v>24362.132560000002</v>
      </c>
      <c r="J11" s="685"/>
      <c r="K11" s="787">
        <f t="shared" si="0"/>
        <v>0.78812744790351807</v>
      </c>
      <c r="L11" s="787">
        <f t="shared" si="1"/>
        <v>0.21187255209648198</v>
      </c>
      <c r="M11" s="685"/>
      <c r="N11" s="424">
        <f>'ANALYSE - ERP =&gt; SOUS-SEGMENT'!$FA$21</f>
        <v>121810.66280000001</v>
      </c>
      <c r="O11" s="427">
        <f>'ANALYSE - ERP =&gt; SOUS-SEGMENT'!$GH$21</f>
        <v>12245.006079999999</v>
      </c>
      <c r="P11" s="427">
        <f>'ANALYSE - ERP =&gt; SOUS-SEGMENT'!$GK$21</f>
        <v>94429.42416000001</v>
      </c>
      <c r="Q11" s="427">
        <f>'ANALYSE - ERP =&gt; SOUS-SEGMENT'!$GN$21</f>
        <v>9805.9664799999991</v>
      </c>
      <c r="R11" s="427">
        <f>'ANALYSE - ERP =&gt; SOUS-SEGMENT'!$GQ$21</f>
        <v>5330.2660800000003</v>
      </c>
      <c r="S11" s="685"/>
      <c r="T11" s="424">
        <f>'ANALYSE - ERP =&gt; SOUS-SEGMENT'!$FB$21</f>
        <v>96002.32680000001</v>
      </c>
      <c r="U11" s="427">
        <f>'ANALYSE - ERP =&gt; SOUS-SEGMENT'!$GI$21</f>
        <v>10180.3392</v>
      </c>
      <c r="V11" s="427">
        <f>'ANALYSE - ERP =&gt; SOUS-SEGMENT'!$GL$21</f>
        <v>73524.672000000006</v>
      </c>
      <c r="W11" s="427">
        <f>'ANALYSE - ERP =&gt; SOUS-SEGMENT'!$GO$21</f>
        <v>7741.2995999999994</v>
      </c>
      <c r="X11" s="427">
        <f>'ANALYSE - ERP =&gt; SOUS-SEGMENT'!$GR$21</f>
        <v>4556.0160000000005</v>
      </c>
      <c r="Y11" s="685"/>
      <c r="Z11" s="427">
        <f>'ANALYSE - ERP =&gt; SOUS-SEGMENT'!$FC$21</f>
        <v>25808.335999999999</v>
      </c>
      <c r="AA11" s="427">
        <f>'ANALYSE - ERP =&gt; SOUS-SEGMENT'!$GJ$21</f>
        <v>2064.6668799999998</v>
      </c>
      <c r="AB11" s="427">
        <f>'ANALYSE - ERP =&gt; SOUS-SEGMENT'!$GM$21</f>
        <v>20904.75216</v>
      </c>
      <c r="AC11" s="427">
        <f>'ANALYSE - ERP =&gt; SOUS-SEGMENT'!$GP$21</f>
        <v>2064.6668799999998</v>
      </c>
      <c r="AD11" s="427">
        <f>'ANALYSE - ERP =&gt; SOUS-SEGMENT'!$GS$21</f>
        <v>774.25007999999991</v>
      </c>
      <c r="AE11" s="685"/>
      <c r="AF11" s="430">
        <f>'ANALYSE - ERP =&gt; SOUS-SEGMENT'!$Q$21</f>
        <v>1</v>
      </c>
      <c r="AG11" s="685"/>
      <c r="AH11" s="685"/>
      <c r="AI11" s="685"/>
      <c r="AJ11" s="685"/>
      <c r="AK11" s="685"/>
      <c r="AL11" s="685"/>
      <c r="AM11" s="685"/>
      <c r="AN11" s="685"/>
      <c r="AO11" s="685"/>
      <c r="AP11" s="685"/>
      <c r="AQ11" s="685"/>
      <c r="AR11" s="685"/>
      <c r="AS11" s="685"/>
      <c r="AT11" s="685"/>
      <c r="AU11" s="685"/>
      <c r="AV11" s="685"/>
      <c r="AW11" s="685"/>
      <c r="AX11" s="685"/>
      <c r="AY11" s="685"/>
      <c r="AZ11" s="685"/>
      <c r="BA11" s="685"/>
      <c r="BB11" s="685"/>
      <c r="BC11" s="685"/>
      <c r="BD11" s="685"/>
      <c r="BE11" s="685"/>
    </row>
    <row r="12" spans="1:57" ht="15" customHeight="1">
      <c r="A12" s="26">
        <v>9</v>
      </c>
      <c r="B12" s="26">
        <v>9</v>
      </c>
      <c r="C12" s="26">
        <v>16</v>
      </c>
      <c r="D12" s="422">
        <f>'ANALYSE - ERP =&gt; SOUS-SEGMENT'!$A$76</f>
        <v>69</v>
      </c>
      <c r="E12" s="408" t="str">
        <f>'ANALYSE - ERP =&gt; SOUS-SEGMENT'!$B$76</f>
        <v>Commerce, Restauration &amp; Loisirs</v>
      </c>
      <c r="F12" s="408" t="str">
        <f>'ANALYSE - ERP =&gt; SOUS-SEGMENT'!$C$76</f>
        <v>Restauration / boissons</v>
      </c>
      <c r="G12" s="408" t="str">
        <f>'ANALYSE - ERP =&gt; SOUS-SEGMENT'!$D$76</f>
        <v>Cafés / bars / brasseries</v>
      </c>
      <c r="I12" s="427">
        <f t="shared" si="2"/>
        <v>20207.769072010102</v>
      </c>
      <c r="K12" s="787">
        <f t="shared" si="0"/>
        <v>0.86650034497194239</v>
      </c>
      <c r="L12" s="787">
        <f t="shared" si="1"/>
        <v>0.13349965502805761</v>
      </c>
      <c r="N12" s="424">
        <f>'ANALYSE - ERP =&gt; SOUS-SEGMENT'!$FA$76</f>
        <v>101038.8453600505</v>
      </c>
      <c r="O12" s="427">
        <f>'ANALYSE - ERP =&gt; SOUS-SEGMENT'!$GH$76</f>
        <v>32015.296740000002</v>
      </c>
      <c r="P12" s="427">
        <f>'ANALYSE - ERP =&gt; SOUS-SEGMENT'!$GK$76</f>
        <v>45696.661047272726</v>
      </c>
      <c r="Q12" s="427">
        <f>'ANALYSE - ERP =&gt; SOUS-SEGMENT'!$GN$76</f>
        <v>18073.469955</v>
      </c>
      <c r="R12" s="427">
        <f>'ANALYSE - ERP =&gt; SOUS-SEGMENT'!$GQ$76</f>
        <v>5253.4176177777772</v>
      </c>
      <c r="T12" s="424">
        <f>'ANALYSE - ERP =&gt; SOUS-SEGMENT'!$FB$76</f>
        <v>87550.194360050504</v>
      </c>
      <c r="U12" s="427">
        <f>'ANALYSE - ERP =&gt; SOUS-SEGMENT'!$GI$76</f>
        <v>27968.701440000001</v>
      </c>
      <c r="V12" s="427">
        <f>'ANALYSE - ERP =&gt; SOUS-SEGMENT'!$GL$76</f>
        <v>39222.108567272728</v>
      </c>
      <c r="W12" s="427">
        <f>'ANALYSE - ERP =&gt; SOUS-SEGMENT'!$GO$76</f>
        <v>15645.512774999999</v>
      </c>
      <c r="X12" s="427">
        <f>'ANALYSE - ERP =&gt; SOUS-SEGMENT'!$GR$76</f>
        <v>4713.871577777777</v>
      </c>
      <c r="Z12" s="427">
        <f>'ANALYSE - ERP =&gt; SOUS-SEGMENT'!$FC$76</f>
        <v>13488.651</v>
      </c>
      <c r="AA12" s="427">
        <f>'ANALYSE - ERP =&gt; SOUS-SEGMENT'!$GJ$76</f>
        <v>4046.5953</v>
      </c>
      <c r="AB12" s="427">
        <f>'ANALYSE - ERP =&gt; SOUS-SEGMENT'!$GM$76</f>
        <v>6474.5524799999994</v>
      </c>
      <c r="AC12" s="427">
        <f>'ANALYSE - ERP =&gt; SOUS-SEGMENT'!$GP$76</f>
        <v>2427.9571799999999</v>
      </c>
      <c r="AD12" s="427">
        <f>'ANALYSE - ERP =&gt; SOUS-SEGMENT'!$GS$76</f>
        <v>539.54603999999995</v>
      </c>
      <c r="AF12" s="430">
        <f>'ANALYSE - ERP =&gt; SOUS-SEGMENT'!$Q$76</f>
        <v>1</v>
      </c>
    </row>
    <row r="13" spans="1:57" ht="15" customHeight="1">
      <c r="A13" s="26">
        <v>10</v>
      </c>
      <c r="B13" s="26">
        <v>10</v>
      </c>
      <c r="C13" s="26">
        <v>21</v>
      </c>
      <c r="D13" s="422">
        <f>'ANALYSE - ERP =&gt; SOUS-SEGMENT'!$A$113</f>
        <v>106</v>
      </c>
      <c r="E13" s="415" t="str">
        <f>'ANALYSE - ERP =&gt; SOUS-SEGMENT'!$B$113</f>
        <v>Culte, Vie civique &amp; Services publics</v>
      </c>
      <c r="F13" s="415" t="str">
        <f>'ANALYSE - ERP =&gt; SOUS-SEGMENT'!$C$113</f>
        <v>Culte</v>
      </c>
      <c r="G13" s="415" t="str">
        <f>'ANALYSE - ERP =&gt; SOUS-SEGMENT'!$D$113</f>
        <v>Églises, cathédrales, basiliques et chapelles ouvertes au public</v>
      </c>
      <c r="I13" s="427">
        <f t="shared" si="2"/>
        <v>858.30610109890108</v>
      </c>
      <c r="K13" s="787">
        <f t="shared" si="0"/>
        <v>0.88908152944723151</v>
      </c>
      <c r="L13" s="787">
        <f t="shared" si="1"/>
        <v>0.11091847055276849</v>
      </c>
      <c r="N13" s="424">
        <f>'ANALYSE - ERP =&gt; SOUS-SEGMENT'!$FA$113</f>
        <v>4291.5305054945056</v>
      </c>
      <c r="O13" s="427">
        <f>'ANALYSE - ERP =&gt; SOUS-SEGMENT'!$GH$113</f>
        <v>1524.6461769230768</v>
      </c>
      <c r="P13" s="427">
        <f>'ANALYSE - ERP =&gt; SOUS-SEGMENT'!$GK$113</f>
        <v>2038.5865285714285</v>
      </c>
      <c r="Q13" s="427">
        <f>'ANALYSE - ERP =&gt; SOUS-SEGMENT'!$GN$113</f>
        <v>550.47750000000008</v>
      </c>
      <c r="R13" s="427">
        <f>'ANALYSE - ERP =&gt; SOUS-SEGMENT'!$GQ$113</f>
        <v>177.8203</v>
      </c>
      <c r="T13" s="424">
        <f>'ANALYSE - ERP =&gt; SOUS-SEGMENT'!$FB$113</f>
        <v>3815.5205054945054</v>
      </c>
      <c r="U13" s="427">
        <f>'ANALYSE - ERP =&gt; SOUS-SEGMENT'!$GI$113</f>
        <v>1377.0830769230768</v>
      </c>
      <c r="V13" s="427">
        <f>'ANALYSE - ERP =&gt; SOUS-SEGMENT'!$GL$113</f>
        <v>1795.8214285714284</v>
      </c>
      <c r="W13" s="427">
        <f>'ANALYSE - ERP =&gt; SOUS-SEGMENT'!$GO$113</f>
        <v>479.07600000000008</v>
      </c>
      <c r="X13" s="427">
        <f>'ANALYSE - ERP =&gt; SOUS-SEGMENT'!$GR$113</f>
        <v>163.54</v>
      </c>
      <c r="Z13" s="427">
        <f>'ANALYSE - ERP =&gt; SOUS-SEGMENT'!$FC$113</f>
        <v>476.01</v>
      </c>
      <c r="AA13" s="427">
        <f>'ANALYSE - ERP =&gt; SOUS-SEGMENT'!$GJ$113</f>
        <v>147.56309999999999</v>
      </c>
      <c r="AB13" s="427">
        <f>'ANALYSE - ERP =&gt; SOUS-SEGMENT'!$GM$113</f>
        <v>242.76509999999999</v>
      </c>
      <c r="AC13" s="427">
        <f>'ANALYSE - ERP =&gt; SOUS-SEGMENT'!$GP$113</f>
        <v>71.401499999999999</v>
      </c>
      <c r="AD13" s="427">
        <f>'ANALYSE - ERP =&gt; SOUS-SEGMENT'!$GS$113</f>
        <v>14.280299999999999</v>
      </c>
      <c r="AF13" s="430">
        <f>'ANALYSE - ERP =&gt; SOUS-SEGMENT'!$Q$113</f>
        <v>1</v>
      </c>
    </row>
    <row r="14" spans="1:57" ht="15" customHeight="1">
      <c r="A14" s="26">
        <v>11</v>
      </c>
      <c r="B14" s="26">
        <v>11</v>
      </c>
      <c r="C14" s="26">
        <v>14</v>
      </c>
      <c r="D14" s="422">
        <f>'ANALYSE - ERP =&gt; SOUS-SEGMENT'!$A$27</f>
        <v>20</v>
      </c>
      <c r="E14" s="410" t="str">
        <f>'ANALYSE - ERP =&gt; SOUS-SEGMENT'!$B$27</f>
        <v>Sports &amp; Loisirs</v>
      </c>
      <c r="F14" s="410" t="str">
        <f>'ANALYSE - ERP =&gt; SOUS-SEGMENT'!$C$27</f>
        <v>Sport de plein air</v>
      </c>
      <c r="G14" s="410" t="str">
        <f>'ANALYSE - ERP =&gt; SOUS-SEGMENT'!$D$27</f>
        <v>Terrains de sport
(Hors scolaire, sans tribune)</v>
      </c>
      <c r="I14" s="427">
        <f t="shared" si="2"/>
        <v>19954.604136999998</v>
      </c>
      <c r="K14" s="787">
        <f t="shared" si="0"/>
        <v>0.79231509823261004</v>
      </c>
      <c r="L14" s="787">
        <f t="shared" si="1"/>
        <v>0.20768490176739005</v>
      </c>
      <c r="N14" s="424">
        <f>'ANALYSE - ERP =&gt; SOUS-SEGMENT'!$FA$27</f>
        <v>99773.020684999996</v>
      </c>
      <c r="O14" s="427">
        <f>'ANALYSE - ERP =&gt; SOUS-SEGMENT'!$GH$27</f>
        <v>9983.4279999999999</v>
      </c>
      <c r="P14" s="427">
        <f>'ANALYSE - ERP =&gt; SOUS-SEGMENT'!$GK$27</f>
        <v>73091.622499999998</v>
      </c>
      <c r="Q14" s="427">
        <f>'ANALYSE - ERP =&gt; SOUS-SEGMENT'!$GN$27</f>
        <v>10459.257185</v>
      </c>
      <c r="R14" s="427">
        <f>'ANALYSE - ERP =&gt; SOUS-SEGMENT'!$GQ$27</f>
        <v>6238.7129999999997</v>
      </c>
      <c r="T14" s="424">
        <f>'ANALYSE - ERP =&gt; SOUS-SEGMENT'!$FB$27</f>
        <v>79051.670685000005</v>
      </c>
      <c r="U14" s="427">
        <f>'ANALYSE - ERP =&gt; SOUS-SEGMENT'!$GI$27</f>
        <v>8325.7199999999993</v>
      </c>
      <c r="V14" s="427">
        <f>'ANALYSE - ERP =&gt; SOUS-SEGMENT'!$GL$27</f>
        <v>57343.396500000003</v>
      </c>
      <c r="W14" s="427">
        <f>'ANALYSE - ERP =&gt; SOUS-SEGMENT'!$GO$27</f>
        <v>8387.1221850000002</v>
      </c>
      <c r="X14" s="427">
        <f>'ANALYSE - ERP =&gt; SOUS-SEGMENT'!$GR$27</f>
        <v>4995.4319999999998</v>
      </c>
      <c r="Z14" s="427">
        <f>'ANALYSE - ERP =&gt; SOUS-SEGMENT'!$FC$27</f>
        <v>20721.349999999999</v>
      </c>
      <c r="AA14" s="427">
        <f>'ANALYSE - ERP =&gt; SOUS-SEGMENT'!$GJ$27</f>
        <v>1657.7079999999999</v>
      </c>
      <c r="AB14" s="427">
        <f>'ANALYSE - ERP =&gt; SOUS-SEGMENT'!$GM$27</f>
        <v>15748.225999999999</v>
      </c>
      <c r="AC14" s="427">
        <f>'ANALYSE - ERP =&gt; SOUS-SEGMENT'!$GP$27</f>
        <v>2072.1349999999998</v>
      </c>
      <c r="AD14" s="427">
        <f>'ANALYSE - ERP =&gt; SOUS-SEGMENT'!$GS$27</f>
        <v>1243.2809999999999</v>
      </c>
      <c r="AF14" s="430">
        <f>'ANALYSE - ERP =&gt; SOUS-SEGMENT'!$Q$27</f>
        <v>1</v>
      </c>
    </row>
    <row r="15" spans="1:57" ht="15" customHeight="1">
      <c r="A15" s="26">
        <v>12</v>
      </c>
      <c r="B15" s="26">
        <v>14</v>
      </c>
      <c r="C15" s="26">
        <v>8</v>
      </c>
      <c r="D15" s="422">
        <f>'ANALYSE - ERP =&gt; SOUS-SEGMENT'!$A$29</f>
        <v>22</v>
      </c>
      <c r="E15" s="410" t="str">
        <f>'ANALYSE - ERP =&gt; SOUS-SEGMENT'!$B$29</f>
        <v>Sports &amp; Loisirs</v>
      </c>
      <c r="F15" s="410" t="str">
        <f>'ANALYSE - ERP =&gt; SOUS-SEGMENT'!$C$29</f>
        <v>Sport de plein air</v>
      </c>
      <c r="G15" s="410" t="str">
        <f>'ANALYSE - ERP =&gt; SOUS-SEGMENT'!$D$29</f>
        <v xml:space="preserve">Grands stades avec tribunes
(Type football/rugby) </v>
      </c>
      <c r="I15" s="427">
        <f t="shared" si="2"/>
        <v>2646.3190079030305</v>
      </c>
      <c r="K15" s="787">
        <f t="shared" si="0"/>
        <v>0.79282505307837403</v>
      </c>
      <c r="L15" s="787">
        <f t="shared" si="1"/>
        <v>0.20717494692162589</v>
      </c>
      <c r="N15" s="424">
        <f>'ANALYSE - ERP =&gt; SOUS-SEGMENT'!$FA$29</f>
        <v>13231.595039515152</v>
      </c>
      <c r="O15" s="427">
        <f>'ANALYSE - ERP =&gt; SOUS-SEGMENT'!$GH$29</f>
        <v>1087.908694</v>
      </c>
      <c r="P15" s="427">
        <f>'ANALYSE - ERP =&gt; SOUS-SEGMENT'!$GK$29</f>
        <v>10523.22675818182</v>
      </c>
      <c r="Q15" s="427">
        <f>'ANALYSE - ERP =&gt; SOUS-SEGMENT'!$GN$29</f>
        <v>704.01399200000014</v>
      </c>
      <c r="R15" s="427">
        <f>'ANALYSE - ERP =&gt; SOUS-SEGMENT'!$GQ$29</f>
        <v>916.44559533333336</v>
      </c>
      <c r="T15" s="424">
        <f>'ANALYSE - ERP =&gt; SOUS-SEGMENT'!$FB$29</f>
        <v>10490.340039515151</v>
      </c>
      <c r="U15" s="427">
        <f>'ANALYSE - ERP =&gt; SOUS-SEGMENT'!$GI$29</f>
        <v>896.02084400000001</v>
      </c>
      <c r="V15" s="427">
        <f>'ANALYSE - ERP =&gt; SOUS-SEGMENT'!$GL$29</f>
        <v>8275.3976581818188</v>
      </c>
      <c r="W15" s="427">
        <f>'ANALYSE - ERP =&gt; SOUS-SEGMENT'!$GO$29</f>
        <v>566.95124200000009</v>
      </c>
      <c r="X15" s="427">
        <f>'ANALYSE - ERP =&gt; SOUS-SEGMENT'!$GR$29</f>
        <v>751.97029533333341</v>
      </c>
      <c r="Z15" s="427">
        <f>'ANALYSE - ERP =&gt; SOUS-SEGMENT'!$FC$29</f>
        <v>2741.2550000000001</v>
      </c>
      <c r="AA15" s="427">
        <f>'ANALYSE - ERP =&gt; SOUS-SEGMENT'!$GJ$29</f>
        <v>191.88785000000001</v>
      </c>
      <c r="AB15" s="427">
        <f>'ANALYSE - ERP =&gt; SOUS-SEGMENT'!$GM$29</f>
        <v>2247.8290999999999</v>
      </c>
      <c r="AC15" s="427">
        <f>'ANALYSE - ERP =&gt; SOUS-SEGMENT'!$GP$29</f>
        <v>137.06275000000002</v>
      </c>
      <c r="AD15" s="427">
        <f>'ANALYSE - ERP =&gt; SOUS-SEGMENT'!$GS$29</f>
        <v>164.4753</v>
      </c>
      <c r="AF15" s="430">
        <f>'ANALYSE - ERP =&gt; SOUS-SEGMENT'!$Q$29</f>
        <v>1</v>
      </c>
    </row>
    <row r="16" spans="1:57" ht="15" customHeight="1">
      <c r="A16" s="26">
        <v>13</v>
      </c>
      <c r="B16" s="26">
        <v>12</v>
      </c>
      <c r="C16" s="26">
        <v>18</v>
      </c>
      <c r="D16" s="422">
        <f>'ANALYSE - ERP =&gt; SOUS-SEGMENT'!$A$44</f>
        <v>37</v>
      </c>
      <c r="E16" s="409" t="str">
        <f>'ANALYSE - ERP =&gt; SOUS-SEGMENT'!$B$44</f>
        <v>Santé &amp; Médico-social</v>
      </c>
      <c r="F16" s="409" t="str">
        <f>'ANALYSE - ERP =&gt; SOUS-SEGMENT'!$C$44</f>
        <v>Santé hospitalière</v>
      </c>
      <c r="G16" s="409" t="str">
        <f>'ANALYSE - ERP =&gt; SOUS-SEGMENT'!$D$44</f>
        <v>Hôpitaux publics 
(Hors CHU, Universitaire, Militaire, Carcéral)</v>
      </c>
      <c r="I16" s="427">
        <f t="shared" si="2"/>
        <v>14826.018600000001</v>
      </c>
      <c r="K16" s="787">
        <f t="shared" si="0"/>
        <v>0.8220165729456187</v>
      </c>
      <c r="L16" s="787">
        <f t="shared" si="1"/>
        <v>0.17798342705438125</v>
      </c>
      <c r="N16" s="424">
        <f>'ANALYSE - ERP =&gt; SOUS-SEGMENT'!$FA$44</f>
        <v>74130.093000000008</v>
      </c>
      <c r="O16" s="427">
        <f>'ANALYSE - ERP =&gt; SOUS-SEGMENT'!$GH$44</f>
        <v>30255.562260000002</v>
      </c>
      <c r="P16" s="427">
        <f>'ANALYSE - ERP =&gt; SOUS-SEGMENT'!$GK$44</f>
        <v>20142.339840000001</v>
      </c>
      <c r="Q16" s="427">
        <f>'ANALYSE - ERP =&gt; SOUS-SEGMENT'!$GN$44</f>
        <v>16014.428100000005</v>
      </c>
      <c r="R16" s="427">
        <f>'ANALYSE - ERP =&gt; SOUS-SEGMENT'!$GQ$44</f>
        <v>7717.7628000000004</v>
      </c>
      <c r="T16" s="424">
        <f>'ANALYSE - ERP =&gt; SOUS-SEGMENT'!$FB$44</f>
        <v>60936.165000000008</v>
      </c>
      <c r="U16" s="427">
        <f>'ANALYSE - ERP =&gt; SOUS-SEGMENT'!$GI$44</f>
        <v>24714.112500000003</v>
      </c>
      <c r="V16" s="427">
        <f>'ANALYSE - ERP =&gt; SOUS-SEGMENT'!$GL$44</f>
        <v>16448.04</v>
      </c>
      <c r="W16" s="427">
        <f>'ANALYSE - ERP =&gt; SOUS-SEGMENT'!$GO$44</f>
        <v>13375.642500000004</v>
      </c>
      <c r="X16" s="427">
        <f>'ANALYSE - ERP =&gt; SOUS-SEGMENT'!$GR$44</f>
        <v>6398.37</v>
      </c>
      <c r="Z16" s="427">
        <f>'ANALYSE - ERP =&gt; SOUS-SEGMENT'!$FC$44</f>
        <v>13193.928</v>
      </c>
      <c r="AA16" s="427">
        <f>'ANALYSE - ERP =&gt; SOUS-SEGMENT'!$GJ$44</f>
        <v>5541.4497599999995</v>
      </c>
      <c r="AB16" s="427">
        <f>'ANALYSE - ERP =&gt; SOUS-SEGMENT'!$GM$44</f>
        <v>3694.2998400000001</v>
      </c>
      <c r="AC16" s="427">
        <f>'ANALYSE - ERP =&gt; SOUS-SEGMENT'!$GP$44</f>
        <v>2638.7856000000002</v>
      </c>
      <c r="AD16" s="427">
        <f>'ANALYSE - ERP =&gt; SOUS-SEGMENT'!$GS$44</f>
        <v>1319.3928000000001</v>
      </c>
      <c r="AF16" s="430">
        <f>'ANALYSE - ERP =&gt; SOUS-SEGMENT'!$Q$44</f>
        <v>1</v>
      </c>
    </row>
    <row r="17" spans="1:32" ht="15" customHeight="1">
      <c r="A17" s="26">
        <v>14</v>
      </c>
      <c r="B17" s="26">
        <v>13</v>
      </c>
      <c r="C17" s="26">
        <v>17</v>
      </c>
      <c r="D17" s="422">
        <f>'ANALYSE - ERP =&gt; SOUS-SEGMENT'!$A$84</f>
        <v>77</v>
      </c>
      <c r="E17" s="416" t="str">
        <f>'ANALYSE - ERP =&gt; SOUS-SEGMENT'!$B$84</f>
        <v>Tertiaire &amp; Industriel</v>
      </c>
      <c r="F17" s="416" t="str">
        <f>'ANALYSE - ERP =&gt; SOUS-SEGMENT'!$C$84</f>
        <v>Usines &amp; Ateliers</v>
      </c>
      <c r="G17" s="416" t="str">
        <f>'ANALYSE - ERP =&gt; SOUS-SEGMENT'!$D$84</f>
        <v>Usines 
(&gt;50 salariés)
(Hors Ateliers industriels)</v>
      </c>
      <c r="I17" s="427">
        <f t="shared" si="2"/>
        <v>17492.392708836996</v>
      </c>
      <c r="K17" s="787">
        <f t="shared" si="0"/>
        <v>0.7843205293410751</v>
      </c>
      <c r="L17" s="787">
        <f t="shared" si="1"/>
        <v>0.21567947065892484</v>
      </c>
      <c r="N17" s="424">
        <f>'ANALYSE - ERP =&gt; SOUS-SEGMENT'!$FA$84</f>
        <v>87461.963544184982</v>
      </c>
      <c r="O17" s="427">
        <f>'ANALYSE - ERP =&gt; SOUS-SEGMENT'!$GH$84</f>
        <v>35735.598576923076</v>
      </c>
      <c r="P17" s="427">
        <f>'ANALYSE - ERP =&gt; SOUS-SEGMENT'!$GK$84</f>
        <v>32395.506071428576</v>
      </c>
      <c r="Q17" s="427">
        <f>'ANALYSE - ERP =&gt; SOUS-SEGMENT'!$GN$84</f>
        <v>15166.938375</v>
      </c>
      <c r="R17" s="427">
        <f>'ANALYSE - ERP =&gt; SOUS-SEGMENT'!$GQ$84</f>
        <v>4163.9205208333342</v>
      </c>
      <c r="T17" s="424">
        <f>'ANALYSE - ERP =&gt; SOUS-SEGMENT'!$FB$84</f>
        <v>68598.213544184982</v>
      </c>
      <c r="U17" s="427">
        <f>'ANALYSE - ERP =&gt; SOUS-SEGMENT'!$GI$84</f>
        <v>28378.736076923073</v>
      </c>
      <c r="V17" s="427">
        <f>'ANALYSE - ERP =&gt; SOUS-SEGMENT'!$GL$84</f>
        <v>24850.006071428576</v>
      </c>
      <c r="W17" s="427">
        <f>'ANALYSE - ERP =&gt; SOUS-SEGMENT'!$GO$84</f>
        <v>11771.463374999999</v>
      </c>
      <c r="X17" s="427">
        <f>'ANALYSE - ERP =&gt; SOUS-SEGMENT'!$GR$84</f>
        <v>3598.0080208333338</v>
      </c>
      <c r="Z17" s="427">
        <f>'ANALYSE - ERP =&gt; SOUS-SEGMENT'!$FC$84</f>
        <v>18863.75</v>
      </c>
      <c r="AA17" s="427">
        <f>'ANALYSE - ERP =&gt; SOUS-SEGMENT'!$GJ$84</f>
        <v>7356.8625000000002</v>
      </c>
      <c r="AB17" s="427">
        <f>'ANALYSE - ERP =&gt; SOUS-SEGMENT'!$GM$84</f>
        <v>7545.5</v>
      </c>
      <c r="AC17" s="427">
        <f>'ANALYSE - ERP =&gt; SOUS-SEGMENT'!$GP$84</f>
        <v>3395.4749999999999</v>
      </c>
      <c r="AD17" s="427">
        <f>'ANALYSE - ERP =&gt; SOUS-SEGMENT'!$GS$84</f>
        <v>565.91250000000002</v>
      </c>
      <c r="AF17" s="430">
        <f>'ANALYSE - ERP =&gt; SOUS-SEGMENT'!$Q$84</f>
        <v>1</v>
      </c>
    </row>
    <row r="18" spans="1:32" ht="15" customHeight="1">
      <c r="A18" s="26">
        <v>15</v>
      </c>
      <c r="B18" s="26">
        <v>15</v>
      </c>
      <c r="C18" s="26">
        <v>23</v>
      </c>
      <c r="D18" s="422">
        <f>'ANALYSE - ERP =&gt; SOUS-SEGMENT'!$A$94</f>
        <v>87</v>
      </c>
      <c r="E18" s="412" t="str">
        <f>'ANALYSE - ERP =&gt; SOUS-SEGMENT'!$B$94</f>
        <v>Hébergement Touristique</v>
      </c>
      <c r="F18" s="412" t="str">
        <f>'ANALYSE - ERP =&gt; SOUS-SEGMENT'!$C$94</f>
        <v>Tourisme de plein air</v>
      </c>
      <c r="G18" s="412" t="str">
        <f>'ANALYSE - ERP =&gt; SOUS-SEGMENT'!$D$94</f>
        <v>Campings</v>
      </c>
      <c r="I18" s="427">
        <f t="shared" si="2"/>
        <v>11002.556291781819</v>
      </c>
      <c r="K18" s="787">
        <f t="shared" si="0"/>
        <v>0.86275260403548915</v>
      </c>
      <c r="L18" s="787">
        <f t="shared" si="1"/>
        <v>0.13724739596451091</v>
      </c>
      <c r="N18" s="424">
        <f>'ANALYSE - ERP =&gt; SOUS-SEGMENT'!$FA$94</f>
        <v>55012.781458909092</v>
      </c>
      <c r="O18" s="427">
        <f>'ANALYSE - ERP =&gt; SOUS-SEGMENT'!$GH$94</f>
        <v>10707.029366666666</v>
      </c>
      <c r="P18" s="427">
        <f>'ANALYSE - ERP =&gt; SOUS-SEGMENT'!$GK$94</f>
        <v>36992.82800466667</v>
      </c>
      <c r="Q18" s="427">
        <f>'ANALYSE - ERP =&gt; SOUS-SEGMENT'!$GN$94</f>
        <v>2779.6591666666664</v>
      </c>
      <c r="R18" s="427">
        <f>'ANALYSE - ERP =&gt; SOUS-SEGMENT'!$GQ$94</f>
        <v>4533.2649209090914</v>
      </c>
      <c r="T18" s="424">
        <f>'ANALYSE - ERP =&gt; SOUS-SEGMENT'!$FB$94</f>
        <v>47462.420458909095</v>
      </c>
      <c r="U18" s="427">
        <f>'ANALYSE - ERP =&gt; SOUS-SEGMENT'!$GI$94</f>
        <v>9347.9643866666665</v>
      </c>
      <c r="V18" s="427">
        <f>'ANALYSE - ERP =&gt; SOUS-SEGMENT'!$GL$94</f>
        <v>31783.078914666668</v>
      </c>
      <c r="W18" s="427">
        <f>'ANALYSE - ERP =&gt; SOUS-SEGMENT'!$GO$94</f>
        <v>2326.6375066666665</v>
      </c>
      <c r="X18" s="427">
        <f>'ANALYSE - ERP =&gt; SOUS-SEGMENT'!$GR$94</f>
        <v>4004.7396509090913</v>
      </c>
      <c r="Z18" s="427">
        <f>'ANALYSE - ERP =&gt; SOUS-SEGMENT'!$FC$94</f>
        <v>7550.3609999999999</v>
      </c>
      <c r="AA18" s="427">
        <f>'ANALYSE - ERP =&gt; SOUS-SEGMENT'!$GJ$94</f>
        <v>1359.0649799999999</v>
      </c>
      <c r="AB18" s="427">
        <f>'ANALYSE - ERP =&gt; SOUS-SEGMENT'!$GM$94</f>
        <v>5209.7490899999993</v>
      </c>
      <c r="AC18" s="427">
        <f>'ANALYSE - ERP =&gt; SOUS-SEGMENT'!$GP$94</f>
        <v>453.02166</v>
      </c>
      <c r="AD18" s="427">
        <f>'ANALYSE - ERP =&gt; SOUS-SEGMENT'!$GS$94</f>
        <v>528.52527000000009</v>
      </c>
      <c r="AF18" s="430">
        <f>'ANALYSE - ERP =&gt; SOUS-SEGMENT'!$Q$94</f>
        <v>1</v>
      </c>
    </row>
    <row r="19" spans="1:32" ht="15" customHeight="1">
      <c r="A19" s="26">
        <v>16</v>
      </c>
      <c r="B19" s="26">
        <v>18</v>
      </c>
      <c r="C19" s="26">
        <v>10</v>
      </c>
      <c r="D19" s="422">
        <f>'ANALYSE - ERP =&gt; SOUS-SEGMENT'!$A$56</f>
        <v>49</v>
      </c>
      <c r="E19" s="409" t="str">
        <f>'ANALYSE - ERP =&gt; SOUS-SEGMENT'!$B$56</f>
        <v>Santé &amp; Médico-social</v>
      </c>
      <c r="F19" s="409" t="str">
        <f>'ANALYSE - ERP =&gt; SOUS-SEGMENT'!$C$56</f>
        <v>Médico-social</v>
      </c>
      <c r="G19" s="409" t="str">
        <f>'ANALYSE - ERP =&gt; SOUS-SEGMENT'!$D$56</f>
        <v>Foyers pour personnes handicapées</v>
      </c>
      <c r="I19" s="427">
        <f t="shared" si="2"/>
        <v>5823.4793311813191</v>
      </c>
      <c r="K19" s="787">
        <f t="shared" si="0"/>
        <v>0.75440455462046374</v>
      </c>
      <c r="L19" s="787">
        <f t="shared" si="1"/>
        <v>0.24559544537953626</v>
      </c>
      <c r="N19" s="424">
        <f>'ANALYSE - ERP =&gt; SOUS-SEGMENT'!$FA$56</f>
        <v>29117.396655906596</v>
      </c>
      <c r="O19" s="427">
        <f>'ANALYSE - ERP =&gt; SOUS-SEGMENT'!$GH$56</f>
        <v>14800.938310714288</v>
      </c>
      <c r="P19" s="427">
        <f>'ANALYSE - ERP =&gt; SOUS-SEGMENT'!$GK$56</f>
        <v>5807.958207692308</v>
      </c>
      <c r="Q19" s="427">
        <f>'ANALYSE - ERP =&gt; SOUS-SEGMENT'!$GN$56</f>
        <v>3844.985925</v>
      </c>
      <c r="R19" s="427">
        <f>'ANALYSE - ERP =&gt; SOUS-SEGMENT'!$GQ$56</f>
        <v>4663.5142125000002</v>
      </c>
      <c r="T19" s="424">
        <f>'ANALYSE - ERP =&gt; SOUS-SEGMENT'!$FB$56</f>
        <v>21966.296655906597</v>
      </c>
      <c r="U19" s="427">
        <f>'ANALYSE - ERP =&gt; SOUS-SEGMENT'!$GI$56</f>
        <v>11082.366310714287</v>
      </c>
      <c r="V19" s="427">
        <f>'ANALYSE - ERP =&gt; SOUS-SEGMENT'!$GL$56</f>
        <v>4377.7382076923077</v>
      </c>
      <c r="W19" s="427">
        <f>'ANALYSE - ERP =&gt; SOUS-SEGMENT'!$GO$56</f>
        <v>2915.3429249999999</v>
      </c>
      <c r="X19" s="427">
        <f>'ANALYSE - ERP =&gt; SOUS-SEGMENT'!$GR$56</f>
        <v>3590.8492125000002</v>
      </c>
      <c r="Z19" s="427">
        <f>'ANALYSE - ERP =&gt; SOUS-SEGMENT'!$FC$56</f>
        <v>7151.1</v>
      </c>
      <c r="AA19" s="427">
        <f>'ANALYSE - ERP =&gt; SOUS-SEGMENT'!$GJ$56</f>
        <v>3718.5720000000001</v>
      </c>
      <c r="AB19" s="427">
        <f>'ANALYSE - ERP =&gt; SOUS-SEGMENT'!$GM$56</f>
        <v>1430.2200000000003</v>
      </c>
      <c r="AC19" s="427">
        <f>'ANALYSE - ERP =&gt; SOUS-SEGMENT'!$GP$56</f>
        <v>929.64300000000003</v>
      </c>
      <c r="AD19" s="427">
        <f>'ANALYSE - ERP =&gt; SOUS-SEGMENT'!$GS$56</f>
        <v>1072.665</v>
      </c>
      <c r="AF19" s="430">
        <f>'ANALYSE - ERP =&gt; SOUS-SEGMENT'!$Q$56</f>
        <v>1</v>
      </c>
    </row>
    <row r="20" spans="1:32" ht="15" customHeight="1">
      <c r="A20" s="26">
        <v>17</v>
      </c>
      <c r="B20" s="26">
        <v>16</v>
      </c>
      <c r="C20" s="26">
        <v>12</v>
      </c>
      <c r="D20" s="422">
        <f>'ANALYSE - ERP =&gt; SOUS-SEGMENT'!$A$13</f>
        <v>6</v>
      </c>
      <c r="E20" s="411" t="str">
        <f>'ANALYSE - ERP =&gt; SOUS-SEGMENT'!$B$13</f>
        <v>Enfance, Enseignement, Jeunesse &amp; Formation</v>
      </c>
      <c r="F20" s="411" t="str">
        <f>'ANALYSE - ERP =&gt; SOUS-SEGMENT'!$C$13</f>
        <v>Enseignement scolaire</v>
      </c>
      <c r="G20" s="411" t="str">
        <f>'ANALYSE - ERP =&gt; SOUS-SEGMENT'!$D$13</f>
        <v>Collèges
(vestiaires EPS inclus)</v>
      </c>
      <c r="I20" s="427">
        <f t="shared" si="2"/>
        <v>11719.264071371999</v>
      </c>
      <c r="K20" s="787">
        <f t="shared" si="0"/>
        <v>0.73315233849544237</v>
      </c>
      <c r="L20" s="787">
        <f t="shared" si="1"/>
        <v>0.26684766150455769</v>
      </c>
      <c r="N20" s="424">
        <f>'ANALYSE - ERP =&gt; SOUS-SEGMENT'!$FA$13</f>
        <v>58596.32035686</v>
      </c>
      <c r="O20" s="427">
        <f>'ANALYSE - ERP =&gt; SOUS-SEGMENT'!$GH$13</f>
        <v>6718.8326216231999</v>
      </c>
      <c r="P20" s="427">
        <f>'ANALYSE - ERP =&gt; SOUS-SEGMENT'!$GK$13</f>
        <v>45861.492788950804</v>
      </c>
      <c r="Q20" s="427">
        <f>'ANALYSE - ERP =&gt; SOUS-SEGMENT'!$GN$13</f>
        <v>3828.5050426115995</v>
      </c>
      <c r="R20" s="427">
        <f>'ANALYSE - ERP =&gt; SOUS-SEGMENT'!$GQ$13</f>
        <v>2187.4899036744</v>
      </c>
      <c r="T20" s="424">
        <f>'ANALYSE - ERP =&gt; SOUS-SEGMENT'!$FB$13</f>
        <v>42960.029296860004</v>
      </c>
      <c r="U20" s="427">
        <f>'ANALYSE - ERP =&gt; SOUS-SEGMENT'!$GI$13</f>
        <v>5155.2035156231996</v>
      </c>
      <c r="V20" s="427">
        <f>'ANALYSE - ERP =&gt; SOUS-SEGMENT'!$GL$13</f>
        <v>33508.822851550802</v>
      </c>
      <c r="W20" s="427">
        <f>'ANALYSE - ERP =&gt; SOUS-SEGMENT'!$GO$13</f>
        <v>2577.6017578115998</v>
      </c>
      <c r="X20" s="427">
        <f>'ANALYSE - ERP =&gt; SOUS-SEGMENT'!$GR$13</f>
        <v>1718.4011718744</v>
      </c>
      <c r="Z20" s="427">
        <f>'ANALYSE - ERP =&gt; SOUS-SEGMENT'!$FC$13</f>
        <v>15636.29106</v>
      </c>
      <c r="AA20" s="427">
        <f>'ANALYSE - ERP =&gt; SOUS-SEGMENT'!$GJ$13</f>
        <v>1563.6291060000001</v>
      </c>
      <c r="AB20" s="427">
        <f>'ANALYSE - ERP =&gt; SOUS-SEGMENT'!$GM$13</f>
        <v>12352.6699374</v>
      </c>
      <c r="AC20" s="427">
        <f>'ANALYSE - ERP =&gt; SOUS-SEGMENT'!$GP$13</f>
        <v>1250.9032847999999</v>
      </c>
      <c r="AD20" s="427">
        <f>'ANALYSE - ERP =&gt; SOUS-SEGMENT'!$GS$13</f>
        <v>469.08873179999995</v>
      </c>
      <c r="AF20" s="430">
        <f>'ANALYSE - ERP =&gt; SOUS-SEGMENT'!$Q$13</f>
        <v>1</v>
      </c>
    </row>
    <row r="21" spans="1:32" ht="15" customHeight="1">
      <c r="A21" s="26">
        <v>18</v>
      </c>
      <c r="B21" s="26">
        <v>17</v>
      </c>
      <c r="C21" s="26">
        <v>13</v>
      </c>
      <c r="D21" s="422">
        <f>'ANALYSE - ERP =&gt; SOUS-SEGMENT'!$A$14</f>
        <v>7</v>
      </c>
      <c r="E21" s="411" t="str">
        <f>'ANALYSE - ERP =&gt; SOUS-SEGMENT'!$B$14</f>
        <v>Enfance, Enseignement, Jeunesse &amp; Formation</v>
      </c>
      <c r="F21" s="411" t="str">
        <f>'ANALYSE - ERP =&gt; SOUS-SEGMENT'!$C$14</f>
        <v>Enseignement scolaire</v>
      </c>
      <c r="G21" s="411" t="str">
        <f>'ANALYSE - ERP =&gt; SOUS-SEGMENT'!$D$14</f>
        <v>Lycées
(vestiaires EPS inclus)</v>
      </c>
      <c r="I21" s="427">
        <f t="shared" si="2"/>
        <v>11330.894826047999</v>
      </c>
      <c r="K21" s="787">
        <f t="shared" si="0"/>
        <v>0.73117903512812144</v>
      </c>
      <c r="L21" s="787">
        <f t="shared" si="1"/>
        <v>0.26882096487187856</v>
      </c>
      <c r="N21" s="424">
        <f>'ANALYSE - ERP =&gt; SOUS-SEGMENT'!$FA$14</f>
        <v>56654.47413024</v>
      </c>
      <c r="O21" s="427">
        <f>'ANALYSE - ERP =&gt; SOUS-SEGMENT'!$GH$14</f>
        <v>6493.9386876287999</v>
      </c>
      <c r="P21" s="427">
        <f>'ANALYSE - ERP =&gt; SOUS-SEGMENT'!$GK$14</f>
        <v>44342.7889255872</v>
      </c>
      <c r="Q21" s="427">
        <f>'ANALYSE - ERP =&gt; SOUS-SEGMENT'!$GN$14</f>
        <v>3703.8666558144</v>
      </c>
      <c r="R21" s="427">
        <f>'ANALYSE - ERP =&gt; SOUS-SEGMENT'!$GQ$14</f>
        <v>2113.8798612095998</v>
      </c>
      <c r="T21" s="424">
        <f>'ANALYSE - ERP =&gt; SOUS-SEGMENT'!$FB$14</f>
        <v>41424.563730239999</v>
      </c>
      <c r="U21" s="427">
        <f>'ANALYSE - ERP =&gt; SOUS-SEGMENT'!$GI$14</f>
        <v>4970.9476476288</v>
      </c>
      <c r="V21" s="427">
        <f>'ANALYSE - ERP =&gt; SOUS-SEGMENT'!$GL$14</f>
        <v>32311.159709587202</v>
      </c>
      <c r="W21" s="427">
        <f>'ANALYSE - ERP =&gt; SOUS-SEGMENT'!$GO$14</f>
        <v>2485.4738238144</v>
      </c>
      <c r="X21" s="427">
        <f>'ANALYSE - ERP =&gt; SOUS-SEGMENT'!$GR$14</f>
        <v>1656.9825492095999</v>
      </c>
      <c r="Z21" s="427">
        <f>'ANALYSE - ERP =&gt; SOUS-SEGMENT'!$FC$14</f>
        <v>15229.910400000001</v>
      </c>
      <c r="AA21" s="427">
        <f>'ANALYSE - ERP =&gt; SOUS-SEGMENT'!$GJ$14</f>
        <v>1522.9910400000001</v>
      </c>
      <c r="AB21" s="427">
        <f>'ANALYSE - ERP =&gt; SOUS-SEGMENT'!$GM$14</f>
        <v>12031.629216000001</v>
      </c>
      <c r="AC21" s="427">
        <f>'ANALYSE - ERP =&gt; SOUS-SEGMENT'!$GP$14</f>
        <v>1218.392832</v>
      </c>
      <c r="AD21" s="427">
        <f>'ANALYSE - ERP =&gt; SOUS-SEGMENT'!$GS$14</f>
        <v>456.897312</v>
      </c>
      <c r="AF21" s="430">
        <f>'ANALYSE - ERP =&gt; SOUS-SEGMENT'!$Q$14</f>
        <v>1</v>
      </c>
    </row>
    <row r="22" spans="1:32" ht="15" customHeight="1">
      <c r="A22" s="26">
        <v>19</v>
      </c>
      <c r="B22" s="26">
        <v>21</v>
      </c>
      <c r="C22" s="26">
        <v>19</v>
      </c>
      <c r="D22" s="422">
        <f>'ANALYSE - ERP =&gt; SOUS-SEGMENT'!$A$22</f>
        <v>15</v>
      </c>
      <c r="E22" s="410" t="str">
        <f>'ANALYSE - ERP =&gt; SOUS-SEGMENT'!$B$22</f>
        <v>Sports &amp; Loisirs</v>
      </c>
      <c r="F22" s="410" t="str">
        <f>'ANALYSE - ERP =&gt; SOUS-SEGMENT'!$C$22</f>
        <v>Sport couvert / Thermalisme / Bien-être</v>
      </c>
      <c r="G22" s="410" t="str">
        <f>'ANALYSE - ERP =&gt; SOUS-SEGMENT'!$D$22</f>
        <v>Salles de fitness / dojos</v>
      </c>
      <c r="I22" s="427">
        <f t="shared" si="2"/>
        <v>9856.4122238157579</v>
      </c>
      <c r="K22" s="787">
        <f t="shared" si="0"/>
        <v>0.75465876780630048</v>
      </c>
      <c r="L22" s="787">
        <f t="shared" si="1"/>
        <v>0.24534123219369949</v>
      </c>
      <c r="N22" s="424">
        <f>'ANALYSE - ERP =&gt; SOUS-SEGMENT'!$FA$22</f>
        <v>49282.061119078789</v>
      </c>
      <c r="O22" s="427">
        <f>'ANALYSE - ERP =&gt; SOUS-SEGMENT'!$GH$22</f>
        <v>5891.1265152000005</v>
      </c>
      <c r="P22" s="427">
        <f>'ANALYSE - ERP =&gt; SOUS-SEGMENT'!$GK$22</f>
        <v>34733.310574545452</v>
      </c>
      <c r="Q22" s="427">
        <f>'ANALYSE - ERP =&gt; SOUS-SEGMENT'!$GN$22</f>
        <v>5971.9709520000006</v>
      </c>
      <c r="R22" s="427">
        <f>'ANALYSE - ERP =&gt; SOUS-SEGMENT'!$GQ$22</f>
        <v>2685.6530773333334</v>
      </c>
      <c r="T22" s="424">
        <f>'ANALYSE - ERP =&gt; SOUS-SEGMENT'!$FB$22</f>
        <v>37191.139519078788</v>
      </c>
      <c r="U22" s="427">
        <f>'ANALYSE - ERP =&gt; SOUS-SEGMENT'!$GI$22</f>
        <v>4682.0343552000004</v>
      </c>
      <c r="V22" s="427">
        <f>'ANALYSE - ERP =&gt; SOUS-SEGMENT'!$GL$22</f>
        <v>25786.028590545451</v>
      </c>
      <c r="W22" s="427">
        <f>'ANALYSE - ERP =&gt; SOUS-SEGMENT'!$GO$22</f>
        <v>4521.0603600000004</v>
      </c>
      <c r="X22" s="427">
        <f>'ANALYSE - ERP =&gt; SOUS-SEGMENT'!$GR$22</f>
        <v>2202.0162133333333</v>
      </c>
      <c r="Z22" s="427">
        <f>'ANALYSE - ERP =&gt; SOUS-SEGMENT'!$FC$22</f>
        <v>12090.9216</v>
      </c>
      <c r="AA22" s="427">
        <f>'ANALYSE - ERP =&gt; SOUS-SEGMENT'!$GJ$22</f>
        <v>1209.0921599999999</v>
      </c>
      <c r="AB22" s="427">
        <f>'ANALYSE - ERP =&gt; SOUS-SEGMENT'!$GM$22</f>
        <v>8947.2819839999993</v>
      </c>
      <c r="AC22" s="427">
        <f>'ANALYSE - ERP =&gt; SOUS-SEGMENT'!$GP$22</f>
        <v>1450.910592</v>
      </c>
      <c r="AD22" s="427">
        <f>'ANALYSE - ERP =&gt; SOUS-SEGMENT'!$GS$22</f>
        <v>483.636864</v>
      </c>
      <c r="AF22" s="430">
        <f>'ANALYSE - ERP =&gt; SOUS-SEGMENT'!$Q$22</f>
        <v>1</v>
      </c>
    </row>
    <row r="23" spans="1:32" ht="15" customHeight="1">
      <c r="A23" s="26">
        <v>20</v>
      </c>
      <c r="B23" s="26">
        <v>19</v>
      </c>
      <c r="C23" s="26">
        <v>22</v>
      </c>
      <c r="D23" s="422">
        <f>'ANALYSE - ERP =&gt; SOUS-SEGMENT'!$A$24</f>
        <v>17</v>
      </c>
      <c r="E23" s="410" t="str">
        <f>'ANALYSE - ERP =&gt; SOUS-SEGMENT'!$B$24</f>
        <v>Sports &amp; Loisirs</v>
      </c>
      <c r="F23" s="410" t="str">
        <f>'ANALYSE - ERP =&gt; SOUS-SEGMENT'!$C$24</f>
        <v>Sport couvert / Thermalisme / Bien-être</v>
      </c>
      <c r="G23" s="410" t="str">
        <f>'ANALYSE - ERP =&gt; SOUS-SEGMENT'!$D$24</f>
        <v>Piscines couvertes</v>
      </c>
      <c r="I23" s="427">
        <f t="shared" si="2"/>
        <v>4654.7528309139398</v>
      </c>
      <c r="K23" s="787">
        <f t="shared" si="0"/>
        <v>0.83500185124777038</v>
      </c>
      <c r="L23" s="787">
        <f t="shared" si="1"/>
        <v>0.16499814875222957</v>
      </c>
      <c r="N23" s="424">
        <f>'ANALYSE - ERP =&gt; SOUS-SEGMENT'!$FA$24</f>
        <v>23273.764154569701</v>
      </c>
      <c r="O23" s="427">
        <f>'ANALYSE - ERP =&gt; SOUS-SEGMENT'!$GH$24</f>
        <v>2338.3554880000002</v>
      </c>
      <c r="P23" s="427">
        <f>'ANALYSE - ERP =&gt; SOUS-SEGMENT'!$GK$24</f>
        <v>16922.195595636364</v>
      </c>
      <c r="Q23" s="427">
        <f>'ANALYSE - ERP =&gt; SOUS-SEGMENT'!$GN$24</f>
        <v>2425.4640703999999</v>
      </c>
      <c r="R23" s="427">
        <f>'ANALYSE - ERP =&gt; SOUS-SEGMENT'!$GQ$24</f>
        <v>1587.7490005333334</v>
      </c>
      <c r="T23" s="424">
        <f>'ANALYSE - ERP =&gt; SOUS-SEGMENT'!$FB$24</f>
        <v>19433.6361545697</v>
      </c>
      <c r="U23" s="427">
        <f>'ANALYSE - ERP =&gt; SOUS-SEGMENT'!$GI$24</f>
        <v>2031.145248</v>
      </c>
      <c r="V23" s="427">
        <f>'ANALYSE - ERP =&gt; SOUS-SEGMENT'!$GL$24</f>
        <v>14003.698315636364</v>
      </c>
      <c r="W23" s="427">
        <f>'ANALYSE - ERP =&gt; SOUS-SEGMENT'!$GO$24</f>
        <v>2041.4512703999999</v>
      </c>
      <c r="X23" s="427">
        <f>'ANALYSE - ERP =&gt; SOUS-SEGMENT'!$GR$24</f>
        <v>1357.3413205333334</v>
      </c>
      <c r="Z23" s="427">
        <f>'ANALYSE - ERP =&gt; SOUS-SEGMENT'!$FC$24</f>
        <v>3840.1279999999997</v>
      </c>
      <c r="AA23" s="427">
        <f>'ANALYSE - ERP =&gt; SOUS-SEGMENT'!$GJ$24</f>
        <v>307.21024</v>
      </c>
      <c r="AB23" s="427">
        <f>'ANALYSE - ERP =&gt; SOUS-SEGMENT'!$GM$24</f>
        <v>2918.4972799999996</v>
      </c>
      <c r="AC23" s="427">
        <f>'ANALYSE - ERP =&gt; SOUS-SEGMENT'!$GP$24</f>
        <v>384.01279999999997</v>
      </c>
      <c r="AD23" s="427">
        <f>'ANALYSE - ERP =&gt; SOUS-SEGMENT'!$GS$24</f>
        <v>230.40767999999997</v>
      </c>
      <c r="AF23" s="430">
        <f>'ANALYSE - ERP =&gt; SOUS-SEGMENT'!$Q$24</f>
        <v>1</v>
      </c>
    </row>
    <row r="24" spans="1:32" ht="15" customHeight="1">
      <c r="A24" s="26">
        <v>21</v>
      </c>
      <c r="B24" s="26">
        <v>20</v>
      </c>
      <c r="C24" s="26">
        <v>20</v>
      </c>
      <c r="D24" s="422">
        <f>'ANALYSE - ERP =&gt; SOUS-SEGMENT'!$A$11</f>
        <v>4</v>
      </c>
      <c r="E24" s="411" t="str">
        <f>'ANALYSE - ERP =&gt; SOUS-SEGMENT'!$B$11</f>
        <v>Enfance, Enseignement, Jeunesse &amp; Formation</v>
      </c>
      <c r="F24" s="411" t="str">
        <f>'ANALYSE - ERP =&gt; SOUS-SEGMENT'!$C$11</f>
        <v>Enseignement scolaire</v>
      </c>
      <c r="G24" s="411" t="str">
        <f>'ANALYSE - ERP =&gt; SOUS-SEGMENT'!$D$11</f>
        <v>Écoles maternelles</v>
      </c>
      <c r="I24" s="427">
        <f t="shared" si="2"/>
        <v>8378.6698944000018</v>
      </c>
      <c r="K24" s="787">
        <f t="shared" si="0"/>
        <v>0.78826695378156564</v>
      </c>
      <c r="L24" s="787">
        <f t="shared" si="1"/>
        <v>0.21173304621843436</v>
      </c>
      <c r="N24" s="424">
        <f>'ANALYSE - ERP =&gt; SOUS-SEGMENT'!$FA$11</f>
        <v>41893.349472000009</v>
      </c>
      <c r="O24" s="427">
        <f>'ANALYSE - ERP =&gt; SOUS-SEGMENT'!$GH$11</f>
        <v>16579.935658800001</v>
      </c>
      <c r="P24" s="427">
        <f>'ANALYSE - ERP =&gt; SOUS-SEGMENT'!$GK$11</f>
        <v>23041.342209600003</v>
      </c>
      <c r="Q24" s="427">
        <f>'ANALYSE - ERP =&gt; SOUS-SEGMENT'!$GN$11</f>
        <v>1434.2046141600001</v>
      </c>
      <c r="R24" s="427">
        <f>'ANALYSE - ERP =&gt; SOUS-SEGMENT'!$GQ$11</f>
        <v>837.86698944</v>
      </c>
      <c r="T24" s="424">
        <f>'ANALYSE - ERP =&gt; SOUS-SEGMENT'!$FB$11</f>
        <v>33023.142972000009</v>
      </c>
      <c r="U24" s="427">
        <f>'ANALYSE - ERP =&gt; SOUS-SEGMENT'!$GI$11</f>
        <v>13209.257188800002</v>
      </c>
      <c r="V24" s="427">
        <f>'ANALYSE - ERP =&gt; SOUS-SEGMENT'!$GL$11</f>
        <v>18162.728634600004</v>
      </c>
      <c r="W24" s="427">
        <f>'ANALYSE - ERP =&gt; SOUS-SEGMENT'!$GO$11</f>
        <v>990.69428916000004</v>
      </c>
      <c r="X24" s="427">
        <f>'ANALYSE - ERP =&gt; SOUS-SEGMENT'!$GR$11</f>
        <v>660.46285943999999</v>
      </c>
      <c r="Z24" s="427">
        <f>'ANALYSE - ERP =&gt; SOUS-SEGMENT'!$FC$11</f>
        <v>8870.2065000000002</v>
      </c>
      <c r="AA24" s="427">
        <f>'ANALYSE - ERP =&gt; SOUS-SEGMENT'!$GJ$11</f>
        <v>3370.6784700000003</v>
      </c>
      <c r="AB24" s="427">
        <f>'ANALYSE - ERP =&gt; SOUS-SEGMENT'!$GM$11</f>
        <v>4878.6135750000003</v>
      </c>
      <c r="AC24" s="427">
        <f>'ANALYSE - ERP =&gt; SOUS-SEGMENT'!$GP$11</f>
        <v>443.51032500000002</v>
      </c>
      <c r="AD24" s="427">
        <f>'ANALYSE - ERP =&gt; SOUS-SEGMENT'!$GS$11</f>
        <v>177.40413000000001</v>
      </c>
      <c r="AF24" s="430">
        <f>'ANALYSE - ERP =&gt; SOUS-SEGMENT'!$Q$11</f>
        <v>1</v>
      </c>
    </row>
    <row r="25" spans="1:32" ht="15" customHeight="1">
      <c r="A25" s="26">
        <v>22</v>
      </c>
      <c r="B25" s="26">
        <v>22</v>
      </c>
      <c r="C25" s="26">
        <v>24</v>
      </c>
      <c r="D25" s="422">
        <f>'ANALYSE - ERP =&gt; SOUS-SEGMENT'!$A$79</f>
        <v>72</v>
      </c>
      <c r="E25" s="408" t="str">
        <f>'ANALYSE - ERP =&gt; SOUS-SEGMENT'!$B$79</f>
        <v>Commerce, Restauration &amp; Loisirs</v>
      </c>
      <c r="F25" s="408" t="str">
        <f>'ANALYSE - ERP =&gt; SOUS-SEGMENT'!$C$79</f>
        <v>Commerce</v>
      </c>
      <c r="G25" s="408" t="str">
        <f>'ANALYSE - ERP =&gt; SOUS-SEGMENT'!$D$79</f>
        <v>Centres commerciaux / Malls
(dotés de sanitaires collectifs clients)</v>
      </c>
      <c r="I25" s="427">
        <f t="shared" si="2"/>
        <v>5912.0187145454547</v>
      </c>
      <c r="K25" s="787">
        <f t="shared" si="0"/>
        <v>0.84660400384579537</v>
      </c>
      <c r="L25" s="787">
        <f t="shared" si="1"/>
        <v>0.15339599615420454</v>
      </c>
      <c r="N25" s="424">
        <f>'ANALYSE - ERP =&gt; SOUS-SEGMENT'!$FA$79</f>
        <v>29560.093572727274</v>
      </c>
      <c r="O25" s="427">
        <f>'ANALYSE - ERP =&gt; SOUS-SEGMENT'!$GH$79</f>
        <v>8394.3612727272721</v>
      </c>
      <c r="P25" s="427">
        <f>'ANALYSE - ERP =&gt; SOUS-SEGMENT'!$GK$79</f>
        <v>11806.775500000002</v>
      </c>
      <c r="Q25" s="427">
        <f>'ANALYSE - ERP =&gt; SOUS-SEGMENT'!$GN$79</f>
        <v>7849.8850000000002</v>
      </c>
      <c r="R25" s="427">
        <f>'ANALYSE - ERP =&gt; SOUS-SEGMENT'!$GQ$79</f>
        <v>1509.0717999999999</v>
      </c>
      <c r="T25" s="424">
        <f>'ANALYSE - ERP =&gt; SOUS-SEGMENT'!$FB$79</f>
        <v>25025.693572727272</v>
      </c>
      <c r="U25" s="427">
        <f>'ANALYSE - ERP =&gt; SOUS-SEGMENT'!$GI$79</f>
        <v>7215.4172727272726</v>
      </c>
      <c r="V25" s="427">
        <f>'ANALYSE - ERP =&gt; SOUS-SEGMENT'!$GL$79</f>
        <v>9811.6395000000011</v>
      </c>
      <c r="W25" s="427">
        <f>'ANALYSE - ERP =&gt; SOUS-SEGMENT'!$GO$79</f>
        <v>6670.9410000000007</v>
      </c>
      <c r="X25" s="427">
        <f>'ANALYSE - ERP =&gt; SOUS-SEGMENT'!$GR$79</f>
        <v>1327.6958</v>
      </c>
      <c r="Z25" s="427">
        <f>'ANALYSE - ERP =&gt; SOUS-SEGMENT'!$FC$79</f>
        <v>4534.3999999999996</v>
      </c>
      <c r="AA25" s="427">
        <f>'ANALYSE - ERP =&gt; SOUS-SEGMENT'!$GJ$79</f>
        <v>1178.944</v>
      </c>
      <c r="AB25" s="427">
        <f>'ANALYSE - ERP =&gt; SOUS-SEGMENT'!$GM$79</f>
        <v>1995.1359999999997</v>
      </c>
      <c r="AC25" s="427">
        <f>'ANALYSE - ERP =&gt; SOUS-SEGMENT'!$GP$79</f>
        <v>1178.944</v>
      </c>
      <c r="AD25" s="427">
        <f>'ANALYSE - ERP =&gt; SOUS-SEGMENT'!$GS$79</f>
        <v>181.37599999999998</v>
      </c>
      <c r="AF25" s="430">
        <f>'ANALYSE - ERP =&gt; SOUS-SEGMENT'!$Q$79</f>
        <v>1</v>
      </c>
    </row>
    <row r="26" spans="1:32" ht="15" customHeight="1">
      <c r="A26" s="26">
        <v>23</v>
      </c>
      <c r="B26" s="26">
        <v>23</v>
      </c>
      <c r="C26" s="26">
        <v>26</v>
      </c>
      <c r="D26" s="422">
        <f>'ANALYSE - ERP =&gt; SOUS-SEGMENT'!$A$125</f>
        <v>118</v>
      </c>
      <c r="E26" s="413" t="str">
        <f>'ANALYSE - ERP =&gt; SOUS-SEGMENT'!$B$125</f>
        <v>Transport, Mobilité &amp; Stationnement</v>
      </c>
      <c r="F26" s="413" t="str">
        <f>'ANALYSE - ERP =&gt; SOUS-SEGMENT'!$C$125</f>
        <v>Transport / Mobilité</v>
      </c>
      <c r="G26" s="413" t="str">
        <f>'ANALYSE - ERP =&gt; SOUS-SEGMENT'!$D$125</f>
        <v>Gares ferroviaires et stations
(dotés de sanitaires)</v>
      </c>
      <c r="I26" s="427">
        <f t="shared" si="2"/>
        <v>2650.1744055999998</v>
      </c>
      <c r="K26" s="787">
        <f t="shared" si="0"/>
        <v>0.75703553749541952</v>
      </c>
      <c r="L26" s="787">
        <f t="shared" si="1"/>
        <v>0.24296446250458045</v>
      </c>
      <c r="N26" s="424">
        <f>'ANALYSE - ERP =&gt; SOUS-SEGMENT'!$FA$125</f>
        <v>13250.872028</v>
      </c>
      <c r="O26" s="427">
        <f>'ANALYSE - ERP =&gt; SOUS-SEGMENT'!$GH$125</f>
        <v>1321.2854600000001</v>
      </c>
      <c r="P26" s="427">
        <f>'ANALYSE - ERP =&gt; SOUS-SEGMENT'!$GK$125</f>
        <v>9683.51188</v>
      </c>
      <c r="Q26" s="427">
        <f>'ANALYSE - ERP =&gt; SOUS-SEGMENT'!$GN$125</f>
        <v>1414.6695199999999</v>
      </c>
      <c r="R26" s="427">
        <f>'ANALYSE - ERP =&gt; SOUS-SEGMENT'!$GQ$125</f>
        <v>831.40516799999989</v>
      </c>
      <c r="T26" s="424">
        <f>'ANALYSE - ERP =&gt; SOUS-SEGMENT'!$FB$125</f>
        <v>10031.381028</v>
      </c>
      <c r="U26" s="427">
        <f>'ANALYSE - ERP =&gt; SOUS-SEGMENT'!$GI$125</f>
        <v>1063.7261800000001</v>
      </c>
      <c r="V26" s="427">
        <f>'ANALYSE - ERP =&gt; SOUS-SEGMENT'!$GL$125</f>
        <v>7236.6987200000003</v>
      </c>
      <c r="W26" s="427">
        <f>'ANALYSE - ERP =&gt; SOUS-SEGMENT'!$GO$125</f>
        <v>1092.7204199999999</v>
      </c>
      <c r="X26" s="427">
        <f>'ANALYSE - ERP =&gt; SOUS-SEGMENT'!$GR$125</f>
        <v>638.23570799999993</v>
      </c>
      <c r="Z26" s="427">
        <f>'ANALYSE - ERP =&gt; SOUS-SEGMENT'!$FC$125</f>
        <v>3219.491</v>
      </c>
      <c r="AA26" s="427">
        <f>'ANALYSE - ERP =&gt; SOUS-SEGMENT'!$GJ$125</f>
        <v>257.55928</v>
      </c>
      <c r="AB26" s="427">
        <f>'ANALYSE - ERP =&gt; SOUS-SEGMENT'!$GM$125</f>
        <v>2446.8131600000002</v>
      </c>
      <c r="AC26" s="427">
        <f>'ANALYSE - ERP =&gt; SOUS-SEGMENT'!$GP$125</f>
        <v>321.94910000000004</v>
      </c>
      <c r="AD26" s="427">
        <f>'ANALYSE - ERP =&gt; SOUS-SEGMENT'!$GS$125</f>
        <v>193.16945999999999</v>
      </c>
      <c r="AF26" s="430">
        <f>'ANALYSE - ERP =&gt; SOUS-SEGMENT'!$Q$125</f>
        <v>1</v>
      </c>
    </row>
    <row r="27" spans="1:32" ht="15" customHeight="1">
      <c r="A27" s="26">
        <v>24</v>
      </c>
      <c r="B27" s="26">
        <v>28</v>
      </c>
      <c r="C27" s="26">
        <v>15</v>
      </c>
      <c r="D27" s="422">
        <f>'ANALYSE - ERP =&gt; SOUS-SEGMENT'!$A$8</f>
        <v>1</v>
      </c>
      <c r="E27" s="411" t="str">
        <f>'ANALYSE - ERP =&gt; SOUS-SEGMENT'!$B$8</f>
        <v>Enfance, Enseignement, Jeunesse &amp; Formation</v>
      </c>
      <c r="F27" s="411" t="str">
        <f>'ANALYSE - ERP =&gt; SOUS-SEGMENT'!$C$8</f>
        <v>Petite enfance</v>
      </c>
      <c r="G27" s="411" t="str">
        <f>'ANALYSE - ERP =&gt; SOUS-SEGMENT'!$D$8</f>
        <v>Crèches</v>
      </c>
      <c r="I27" s="427">
        <f t="shared" si="2"/>
        <v>5387.9408318400001</v>
      </c>
      <c r="K27" s="787">
        <f t="shared" si="0"/>
        <v>0.80146255250641074</v>
      </c>
      <c r="L27" s="787">
        <f t="shared" si="1"/>
        <v>0.19853744749358931</v>
      </c>
      <c r="N27" s="424">
        <f>'ANALYSE - ERP =&gt; SOUS-SEGMENT'!$FA$8</f>
        <v>26939.704159200002</v>
      </c>
      <c r="O27" s="427">
        <f>'ANALYSE - ERP =&gt; SOUS-SEGMENT'!$GH$8</f>
        <v>13362.8812776</v>
      </c>
      <c r="P27" s="427">
        <f>'ANALYSE - ERP =&gt; SOUS-SEGMENT'!$GK$8</f>
        <v>11314.675746863999</v>
      </c>
      <c r="Q27" s="427">
        <f>'ANALYSE - ERP =&gt; SOUS-SEGMENT'!$GN$8</f>
        <v>1184.558968368</v>
      </c>
      <c r="R27" s="427">
        <f>'ANALYSE - ERP =&gt; SOUS-SEGMENT'!$GQ$8</f>
        <v>1077.588166368</v>
      </c>
      <c r="T27" s="424">
        <f>'ANALYSE - ERP =&gt; SOUS-SEGMENT'!$FB$8</f>
        <v>21591.164059200004</v>
      </c>
      <c r="U27" s="427">
        <f>'ANALYSE - ERP =&gt; SOUS-SEGMENT'!$GI$8</f>
        <v>10795.5820296</v>
      </c>
      <c r="V27" s="427">
        <f>'ANALYSE - ERP =&gt; SOUS-SEGMENT'!$GL$8</f>
        <v>9068.2889048639991</v>
      </c>
      <c r="W27" s="427">
        <f>'ANALYSE - ERP =&gt; SOUS-SEGMENT'!$GO$8</f>
        <v>863.64656236799999</v>
      </c>
      <c r="X27" s="427">
        <f>'ANALYSE - ERP =&gt; SOUS-SEGMENT'!$GR$8</f>
        <v>863.64656236799999</v>
      </c>
      <c r="Z27" s="427">
        <f>'ANALYSE - ERP =&gt; SOUS-SEGMENT'!$FC$8</f>
        <v>5348.5401000000002</v>
      </c>
      <c r="AA27" s="427">
        <f>'ANALYSE - ERP =&gt; SOUS-SEGMENT'!$GJ$8</f>
        <v>2567.2992479999998</v>
      </c>
      <c r="AB27" s="427">
        <f>'ANALYSE - ERP =&gt; SOUS-SEGMENT'!$GM$8</f>
        <v>2246.3868419999999</v>
      </c>
      <c r="AC27" s="427">
        <f>'ANALYSE - ERP =&gt; SOUS-SEGMENT'!$GP$8</f>
        <v>320.91240599999998</v>
      </c>
      <c r="AD27" s="427">
        <f>'ANALYSE - ERP =&gt; SOUS-SEGMENT'!$GS$8</f>
        <v>213.94160400000001</v>
      </c>
      <c r="AF27" s="430">
        <f>'ANALYSE - ERP =&gt; SOUS-SEGMENT'!$Q$8</f>
        <v>1</v>
      </c>
    </row>
    <row r="28" spans="1:32" ht="15" customHeight="1">
      <c r="A28" s="26">
        <v>25</v>
      </c>
      <c r="B28" s="26">
        <v>25</v>
      </c>
      <c r="C28" s="26">
        <v>28</v>
      </c>
      <c r="D28" s="422">
        <f>'ANALYSE - ERP =&gt; SOUS-SEGMENT'!$A$52</f>
        <v>45</v>
      </c>
      <c r="E28" s="409" t="str">
        <f>'ANALYSE - ERP =&gt; SOUS-SEGMENT'!$B$52</f>
        <v>Santé &amp; Médico-social</v>
      </c>
      <c r="F28" s="409" t="str">
        <f>'ANALYSE - ERP =&gt; SOUS-SEGMENT'!$C$52</f>
        <v>Médico-social</v>
      </c>
      <c r="G28" s="409" t="str">
        <f>'ANALYSE - ERP =&gt; SOUS-SEGMENT'!$D$52</f>
        <v>Établissements Médico-éducatifs</v>
      </c>
      <c r="I28" s="427">
        <f t="shared" si="2"/>
        <v>4090.7858336000004</v>
      </c>
      <c r="K28" s="787">
        <f t="shared" si="0"/>
        <v>0.77581324535072815</v>
      </c>
      <c r="L28" s="787">
        <f t="shared" si="1"/>
        <v>0.22418675464927176</v>
      </c>
      <c r="N28" s="424">
        <f>'ANALYSE - ERP =&gt; SOUS-SEGMENT'!$FA$52</f>
        <v>20453.929168000002</v>
      </c>
      <c r="O28" s="427">
        <f>'ANALYSE - ERP =&gt; SOUS-SEGMENT'!$GH$52</f>
        <v>9570.8865600000008</v>
      </c>
      <c r="P28" s="427">
        <f>'ANALYSE - ERP =&gt; SOUS-SEGMENT'!$GK$52</f>
        <v>4854.2257800000007</v>
      </c>
      <c r="Q28" s="427">
        <f>'ANALYSE - ERP =&gt; SOUS-SEGMENT'!$GN$52</f>
        <v>2622.9355239999995</v>
      </c>
      <c r="R28" s="427">
        <f>'ANALYSE - ERP =&gt; SOUS-SEGMENT'!$GQ$52</f>
        <v>3405.8813039999995</v>
      </c>
      <c r="T28" s="424">
        <f>'ANALYSE - ERP =&gt; SOUS-SEGMENT'!$FB$52</f>
        <v>15868.429168000001</v>
      </c>
      <c r="U28" s="427">
        <f>'ANALYSE - ERP =&gt; SOUS-SEGMENT'!$GI$52</f>
        <v>7415.7015600000013</v>
      </c>
      <c r="V28" s="427">
        <f>'ANALYSE - ERP =&gt; SOUS-SEGMENT'!$GL$52</f>
        <v>3707.8507800000007</v>
      </c>
      <c r="W28" s="427">
        <f>'ANALYSE - ERP =&gt; SOUS-SEGMENT'!$GO$52</f>
        <v>2026.8205239999998</v>
      </c>
      <c r="X28" s="427">
        <f>'ANALYSE - ERP =&gt; SOUS-SEGMENT'!$GR$52</f>
        <v>2718.0563039999997</v>
      </c>
      <c r="Z28" s="427">
        <f>'ANALYSE - ERP =&gt; SOUS-SEGMENT'!$FC$52</f>
        <v>4585.5</v>
      </c>
      <c r="AA28" s="427">
        <f>'ANALYSE - ERP =&gt; SOUS-SEGMENT'!$GJ$52</f>
        <v>2155.1849999999999</v>
      </c>
      <c r="AB28" s="427">
        <f>'ANALYSE - ERP =&gt; SOUS-SEGMENT'!$GM$52</f>
        <v>1146.375</v>
      </c>
      <c r="AC28" s="427">
        <f>'ANALYSE - ERP =&gt; SOUS-SEGMENT'!$GP$52</f>
        <v>596.11500000000001</v>
      </c>
      <c r="AD28" s="427">
        <f>'ANALYSE - ERP =&gt; SOUS-SEGMENT'!$GS$52</f>
        <v>687.82499999999993</v>
      </c>
      <c r="AF28" s="430">
        <f>'ANALYSE - ERP =&gt; SOUS-SEGMENT'!$Q$52</f>
        <v>1</v>
      </c>
    </row>
    <row r="29" spans="1:32" ht="15" customHeight="1">
      <c r="A29" s="26">
        <v>26</v>
      </c>
      <c r="B29" s="26">
        <v>24</v>
      </c>
      <c r="C29" s="26">
        <v>31</v>
      </c>
      <c r="D29" s="422">
        <f>'ANALYSE - ERP =&gt; SOUS-SEGMENT'!$A$68</f>
        <v>61</v>
      </c>
      <c r="E29" s="414" t="str">
        <f>'ANALYSE - ERP =&gt; SOUS-SEGMENT'!$B$68</f>
        <v>Culture, Patrimoine &amp; Evénementiel</v>
      </c>
      <c r="F29" s="414" t="str">
        <f>'ANALYSE - ERP =&gt; SOUS-SEGMENT'!$C$68</f>
        <v>Culture / spectacle</v>
      </c>
      <c r="G29" s="414" t="str">
        <f>'ANALYSE - ERP =&gt; SOUS-SEGMENT'!$D$68</f>
        <v>Bibliothèques / Médiathèques</v>
      </c>
      <c r="I29" s="427">
        <f t="shared" si="2"/>
        <v>5147.3177405128199</v>
      </c>
      <c r="K29" s="787">
        <f t="shared" si="0"/>
        <v>0.84216089991773913</v>
      </c>
      <c r="L29" s="787">
        <f t="shared" si="1"/>
        <v>0.1578391000822609</v>
      </c>
      <c r="N29" s="424">
        <f>'ANALYSE - ERP =&gt; SOUS-SEGMENT'!$FA$68</f>
        <v>25736.588702564099</v>
      </c>
      <c r="O29" s="427">
        <f>'ANALYSE - ERP =&gt; SOUS-SEGMENT'!$GH$68</f>
        <v>4406.4358892307691</v>
      </c>
      <c r="P29" s="427">
        <f>'ANALYSE - ERP =&gt; SOUS-SEGMENT'!$GK$68</f>
        <v>16246.136</v>
      </c>
      <c r="Q29" s="427">
        <f>'ANALYSE - ERP =&gt; SOUS-SEGMENT'!$GN$68</f>
        <v>3833.1100799999999</v>
      </c>
      <c r="R29" s="427">
        <f>'ANALYSE - ERP =&gt; SOUS-SEGMENT'!$GQ$68</f>
        <v>1250.9067333333332</v>
      </c>
      <c r="T29" s="424">
        <f>'ANALYSE - ERP =&gt; SOUS-SEGMENT'!$FB$68</f>
        <v>21674.348702564101</v>
      </c>
      <c r="U29" s="427">
        <f>'ANALYSE - ERP =&gt; SOUS-SEGMENT'!$GI$68</f>
        <v>3756.4774892307692</v>
      </c>
      <c r="V29" s="427">
        <f>'ANALYSE - ERP =&gt; SOUS-SEGMENT'!$GL$68</f>
        <v>13565.0576</v>
      </c>
      <c r="W29" s="427">
        <f>'ANALYSE - ERP =&gt; SOUS-SEGMENT'!$GO$68</f>
        <v>3223.7740800000001</v>
      </c>
      <c r="X29" s="427">
        <f>'ANALYSE - ERP =&gt; SOUS-SEGMENT'!$GR$68</f>
        <v>1129.0395333333333</v>
      </c>
      <c r="Z29" s="427">
        <f>'ANALYSE - ERP =&gt; SOUS-SEGMENT'!$FC$68</f>
        <v>4062.24</v>
      </c>
      <c r="AA29" s="427">
        <f>'ANALYSE - ERP =&gt; SOUS-SEGMENT'!$GJ$68</f>
        <v>649.95839999999998</v>
      </c>
      <c r="AB29" s="427">
        <f>'ANALYSE - ERP =&gt; SOUS-SEGMENT'!$GM$68</f>
        <v>2681.0783999999999</v>
      </c>
      <c r="AC29" s="427">
        <f>'ANALYSE - ERP =&gt; SOUS-SEGMENT'!$GP$68</f>
        <v>609.3359999999999</v>
      </c>
      <c r="AD29" s="427">
        <f>'ANALYSE - ERP =&gt; SOUS-SEGMENT'!$GS$68</f>
        <v>121.86719999999998</v>
      </c>
      <c r="AF29" s="430">
        <f>'ANALYSE - ERP =&gt; SOUS-SEGMENT'!$Q$68</f>
        <v>1</v>
      </c>
    </row>
    <row r="30" spans="1:32" ht="15" customHeight="1">
      <c r="A30" s="26">
        <v>27</v>
      </c>
      <c r="B30" s="26">
        <v>31</v>
      </c>
      <c r="C30" s="26">
        <v>11</v>
      </c>
      <c r="D30" s="422">
        <f>'ANALYSE - ERP =&gt; SOUS-SEGMENT'!$A$19</f>
        <v>12</v>
      </c>
      <c r="E30" s="411" t="str">
        <f>'ANALYSE - ERP =&gt; SOUS-SEGMENT'!$B$19</f>
        <v>Enfance, Enseignement, Jeunesse &amp; Formation</v>
      </c>
      <c r="F30" s="411" t="str">
        <f>'ANALYSE - ERP =&gt; SOUS-SEGMENT'!$C$19</f>
        <v>Formation</v>
      </c>
      <c r="G30" s="411" t="str">
        <f>'ANALYSE - ERP =&gt; SOUS-SEGMENT'!$D$19</f>
        <v>Centres de formation / CFA</v>
      </c>
      <c r="I30" s="427">
        <f t="shared" si="2"/>
        <v>6969.0339379199995</v>
      </c>
      <c r="K30" s="787">
        <f t="shared" si="0"/>
        <v>0.54672737309946184</v>
      </c>
      <c r="L30" s="787">
        <f t="shared" si="1"/>
        <v>0.4532726269005381</v>
      </c>
      <c r="N30" s="424">
        <f>'ANALYSE - ERP =&gt; SOUS-SEGMENT'!$FA$19</f>
        <v>34845.169689599999</v>
      </c>
      <c r="O30" s="427">
        <f>'ANALYSE - ERP =&gt; SOUS-SEGMENT'!$GH$19</f>
        <v>3865.533130752</v>
      </c>
      <c r="P30" s="427">
        <f>'ANALYSE - ERP =&gt; SOUS-SEGMENT'!$GK$19</f>
        <v>27337.175973887999</v>
      </c>
      <c r="Q30" s="427">
        <f>'ANALYSE - ERP =&gt; SOUS-SEGMENT'!$GN$19</f>
        <v>2406.5974133760001</v>
      </c>
      <c r="R30" s="427">
        <f>'ANALYSE - ERP =&gt; SOUS-SEGMENT'!$GQ$19</f>
        <v>1235.8631715839999</v>
      </c>
      <c r="T30" s="424">
        <f>'ANALYSE - ERP =&gt; SOUS-SEGMENT'!$FB$19</f>
        <v>19050.808089599999</v>
      </c>
      <c r="U30" s="427">
        <f>'ANALYSE - ERP =&gt; SOUS-SEGMENT'!$GI$19</f>
        <v>2286.0969707519998</v>
      </c>
      <c r="V30" s="427">
        <f>'ANALYSE - ERP =&gt; SOUS-SEGMENT'!$GL$19</f>
        <v>14859.630309888</v>
      </c>
      <c r="W30" s="427">
        <f>'ANALYSE - ERP =&gt; SOUS-SEGMENT'!$GO$19</f>
        <v>1143.0484853759999</v>
      </c>
      <c r="X30" s="427">
        <f>'ANALYSE - ERP =&gt; SOUS-SEGMENT'!$GR$19</f>
        <v>762.03232358399998</v>
      </c>
      <c r="Z30" s="427">
        <f>'ANALYSE - ERP =&gt; SOUS-SEGMENT'!$FC$19</f>
        <v>15794.3616</v>
      </c>
      <c r="AA30" s="427">
        <f>'ANALYSE - ERP =&gt; SOUS-SEGMENT'!$GJ$19</f>
        <v>1579.4361600000002</v>
      </c>
      <c r="AB30" s="427">
        <f>'ANALYSE - ERP =&gt; SOUS-SEGMENT'!$GM$19</f>
        <v>12477.545664000001</v>
      </c>
      <c r="AC30" s="427">
        <f>'ANALYSE - ERP =&gt; SOUS-SEGMENT'!$GP$19</f>
        <v>1263.5489279999999</v>
      </c>
      <c r="AD30" s="427">
        <f>'ANALYSE - ERP =&gt; SOUS-SEGMENT'!$GS$19</f>
        <v>473.830848</v>
      </c>
      <c r="AF30" s="430">
        <f>'ANALYSE - ERP =&gt; SOUS-SEGMENT'!$Q$19</f>
        <v>1</v>
      </c>
    </row>
    <row r="31" spans="1:32" ht="15" customHeight="1">
      <c r="A31" s="26">
        <v>28</v>
      </c>
      <c r="B31" s="26">
        <v>26</v>
      </c>
      <c r="C31" s="26">
        <v>32</v>
      </c>
      <c r="D31" s="422">
        <f>'ANALYSE - ERP =&gt; SOUS-SEGMENT'!$A$46</f>
        <v>39</v>
      </c>
      <c r="E31" s="409" t="str">
        <f>'ANALYSE - ERP =&gt; SOUS-SEGMENT'!$B$46</f>
        <v>Santé &amp; Médico-social</v>
      </c>
      <c r="F31" s="409" t="str">
        <f>'ANALYSE - ERP =&gt; SOUS-SEGMENT'!$C$46</f>
        <v>Santé hospitalière</v>
      </c>
      <c r="G31" s="409" t="str">
        <f>'ANALYSE - ERP =&gt; SOUS-SEGMENT'!$D$46</f>
        <v>Cliniques</v>
      </c>
      <c r="I31" s="427">
        <f t="shared" si="2"/>
        <v>6254.1439901818176</v>
      </c>
      <c r="K31" s="787">
        <f t="shared" si="0"/>
        <v>0.83520478556010391</v>
      </c>
      <c r="L31" s="787">
        <f t="shared" si="1"/>
        <v>0.16479521443989609</v>
      </c>
      <c r="N31" s="424">
        <f>'ANALYSE - ERP =&gt; SOUS-SEGMENT'!$FA$46</f>
        <v>31270.71995090909</v>
      </c>
      <c r="O31" s="427">
        <f>'ANALYSE - ERP =&gt; SOUS-SEGMENT'!$GH$46</f>
        <v>14094.589</v>
      </c>
      <c r="P31" s="427">
        <f>'ANALYSE - ERP =&gt; SOUS-SEGMENT'!$GK$46</f>
        <v>6032.3920909090912</v>
      </c>
      <c r="Q31" s="427">
        <f>'ANALYSE - ERP =&gt; SOUS-SEGMENT'!$GN$46</f>
        <v>7901.6106</v>
      </c>
      <c r="R31" s="427">
        <f>'ANALYSE - ERP =&gt; SOUS-SEGMENT'!$GQ$46</f>
        <v>3242.12826</v>
      </c>
      <c r="T31" s="424">
        <f>'ANALYSE - ERP =&gt; SOUS-SEGMENT'!$FB$46</f>
        <v>26117.45495090909</v>
      </c>
      <c r="U31" s="427">
        <f>'ANALYSE - ERP =&gt; SOUS-SEGMENT'!$GI$46</f>
        <v>11672.55445</v>
      </c>
      <c r="V31" s="427">
        <f>'ANALYSE - ERP =&gt; SOUS-SEGMENT'!$GL$46</f>
        <v>5001.7390909090909</v>
      </c>
      <c r="W31" s="427">
        <f>'ANALYSE - ERP =&gt; SOUS-SEGMENT'!$GO$46</f>
        <v>6716.3596500000003</v>
      </c>
      <c r="X31" s="427">
        <f>'ANALYSE - ERP =&gt; SOUS-SEGMENT'!$GR$46</f>
        <v>2726.8017599999998</v>
      </c>
      <c r="Z31" s="427">
        <f>'ANALYSE - ERP =&gt; SOUS-SEGMENT'!$FC$46</f>
        <v>5153.2650000000003</v>
      </c>
      <c r="AA31" s="427">
        <f>'ANALYSE - ERP =&gt; SOUS-SEGMENT'!$GJ$46</f>
        <v>2422.0345499999999</v>
      </c>
      <c r="AB31" s="427">
        <f>'ANALYSE - ERP =&gt; SOUS-SEGMENT'!$GM$46</f>
        <v>1030.653</v>
      </c>
      <c r="AC31" s="427">
        <f>'ANALYSE - ERP =&gt; SOUS-SEGMENT'!$GP$46</f>
        <v>1185.2509500000001</v>
      </c>
      <c r="AD31" s="427">
        <f>'ANALYSE - ERP =&gt; SOUS-SEGMENT'!$GS$46</f>
        <v>515.32650000000001</v>
      </c>
      <c r="AF31" s="430">
        <f>'ANALYSE - ERP =&gt; SOUS-SEGMENT'!$Q$46</f>
        <v>1</v>
      </c>
    </row>
    <row r="32" spans="1:32" ht="15" customHeight="1">
      <c r="A32" s="26">
        <v>29</v>
      </c>
      <c r="B32" s="26">
        <v>27</v>
      </c>
      <c r="C32" s="26">
        <v>30</v>
      </c>
      <c r="D32" s="422">
        <f>'ANALYSE - ERP =&gt; SOUS-SEGMENT'!$A$87</f>
        <v>80</v>
      </c>
      <c r="E32" s="412" t="str">
        <f>'ANALYSE - ERP =&gt; SOUS-SEGMENT'!$B$87</f>
        <v>Hébergement Touristique</v>
      </c>
      <c r="F32" s="412" t="str">
        <f>'ANALYSE - ERP =&gt; SOUS-SEGMENT'!$C$87</f>
        <v>Hébergement Touristique</v>
      </c>
      <c r="G32" s="412" t="str">
        <f>'ANALYSE - ERP =&gt; SOUS-SEGMENT'!$D$87</f>
        <v>Hôtels 
(hors autres hébérgements touristiques)</v>
      </c>
      <c r="I32" s="427">
        <f t="shared" si="2"/>
        <v>5700.5916628158511</v>
      </c>
      <c r="K32" s="787">
        <f t="shared" si="0"/>
        <v>0.86968580737932477</v>
      </c>
      <c r="L32" s="787">
        <f t="shared" si="1"/>
        <v>0.1303141926206752</v>
      </c>
      <c r="N32" s="424">
        <f>'ANALYSE - ERP =&gt; SOUS-SEGMENT'!$FA$87</f>
        <v>28502.958314079257</v>
      </c>
      <c r="O32" s="427">
        <f>'ANALYSE - ERP =&gt; SOUS-SEGMENT'!$GH$87</f>
        <v>15589.505393333333</v>
      </c>
      <c r="P32" s="427">
        <f>'ANALYSE - ERP =&gt; SOUS-SEGMENT'!$GK$87</f>
        <v>9515.0942492307695</v>
      </c>
      <c r="Q32" s="427">
        <f>'ANALYSE - ERP =&gt; SOUS-SEGMENT'!$GN$87</f>
        <v>1866.8727333333336</v>
      </c>
      <c r="R32" s="427">
        <f>'ANALYSE - ERP =&gt; SOUS-SEGMENT'!$GQ$87</f>
        <v>1531.4859381818183</v>
      </c>
      <c r="T32" s="424">
        <f>'ANALYSE - ERP =&gt; SOUS-SEGMENT'!$FB$87</f>
        <v>24788.618314079256</v>
      </c>
      <c r="U32" s="427">
        <f>'ANALYSE - ERP =&gt; SOUS-SEGMENT'!$GI$87</f>
        <v>13732.335393333333</v>
      </c>
      <c r="V32" s="427">
        <f>'ANALYSE - ERP =&gt; SOUS-SEGMENT'!$GL$87</f>
        <v>8140.7884492307703</v>
      </c>
      <c r="W32" s="427">
        <f>'ANALYSE - ERP =&gt; SOUS-SEGMENT'!$GO$87</f>
        <v>1569.7255333333335</v>
      </c>
      <c r="X32" s="427">
        <f>'ANALYSE - ERP =&gt; SOUS-SEGMENT'!$GR$87</f>
        <v>1345.7689381818182</v>
      </c>
      <c r="Z32" s="427">
        <f>'ANALYSE - ERP =&gt; SOUS-SEGMENT'!$FC$87</f>
        <v>3714.3399999999997</v>
      </c>
      <c r="AA32" s="427">
        <f>'ANALYSE - ERP =&gt; SOUS-SEGMENT'!$GJ$87</f>
        <v>1857.1699999999998</v>
      </c>
      <c r="AB32" s="427">
        <f>'ANALYSE - ERP =&gt; SOUS-SEGMENT'!$GM$87</f>
        <v>1374.3057999999999</v>
      </c>
      <c r="AC32" s="427">
        <f>'ANALYSE - ERP =&gt; SOUS-SEGMENT'!$GP$87</f>
        <v>297.1472</v>
      </c>
      <c r="AD32" s="427">
        <f>'ANALYSE - ERP =&gt; SOUS-SEGMENT'!$GS$87</f>
        <v>185.71699999999998</v>
      </c>
      <c r="AF32" s="430">
        <f>'ANALYSE - ERP =&gt; SOUS-SEGMENT'!$Q$87</f>
        <v>1</v>
      </c>
    </row>
    <row r="33" spans="1:32" ht="15" customHeight="1">
      <c r="A33" s="26">
        <v>30</v>
      </c>
      <c r="B33" s="26">
        <v>30</v>
      </c>
      <c r="C33" s="26">
        <v>27</v>
      </c>
      <c r="D33" s="422">
        <f>'ANALYSE - ERP =&gt; SOUS-SEGMENT'!$A$35</f>
        <v>28</v>
      </c>
      <c r="E33" s="411" t="str">
        <f>'ANALYSE - ERP =&gt; SOUS-SEGMENT'!$B$35</f>
        <v>Sports &amp; Loisirs</v>
      </c>
      <c r="F33" s="411" t="str">
        <f>'ANALYSE - ERP =&gt; SOUS-SEGMENT'!$C$35</f>
        <v>Loisirs de plein air</v>
      </c>
      <c r="G33" s="411" t="str">
        <f>'ANALYSE - ERP =&gt; SOUS-SEGMENT'!$D$35</f>
        <v>Centres de loisirs sans hébergement</v>
      </c>
      <c r="I33" s="427">
        <f t="shared" si="2"/>
        <v>5032.5248063999998</v>
      </c>
      <c r="K33" s="787">
        <f t="shared" si="0"/>
        <v>0.76311532563457252</v>
      </c>
      <c r="L33" s="787">
        <f t="shared" si="1"/>
        <v>0.23688467436542751</v>
      </c>
      <c r="N33" s="424">
        <f>'ANALYSE - ERP =&gt; SOUS-SEGMENT'!$FA$35</f>
        <v>25162.624032</v>
      </c>
      <c r="O33" s="427">
        <f>'ANALYSE - ERP =&gt; SOUS-SEGMENT'!$GH$35</f>
        <v>6866.7155289600005</v>
      </c>
      <c r="P33" s="427">
        <f>'ANALYSE - ERP =&gt; SOUS-SEGMENT'!$GK$35</f>
        <v>15660.43329984</v>
      </c>
      <c r="Q33" s="427">
        <f>'ANALYSE - ERP =&gt; SOUS-SEGMENT'!$GN$35</f>
        <v>1125.7177612800001</v>
      </c>
      <c r="R33" s="427">
        <f>'ANALYSE - ERP =&gt; SOUS-SEGMENT'!$GQ$35</f>
        <v>1509.75744192</v>
      </c>
      <c r="T33" s="424">
        <f>'ANALYSE - ERP =&gt; SOUS-SEGMENT'!$FB$35</f>
        <v>19201.984032</v>
      </c>
      <c r="U33" s="427">
        <f>'ANALYSE - ERP =&gt; SOUS-SEGMENT'!$GI$35</f>
        <v>5376.5555289600006</v>
      </c>
      <c r="V33" s="427">
        <f>'ANALYSE - ERP =&gt; SOUS-SEGMENT'!$GL$35</f>
        <v>11905.230099840001</v>
      </c>
      <c r="W33" s="427">
        <f>'ANALYSE - ERP =&gt; SOUS-SEGMENT'!$GO$35</f>
        <v>768.07936128000006</v>
      </c>
      <c r="X33" s="427">
        <f>'ANALYSE - ERP =&gt; SOUS-SEGMENT'!$GR$35</f>
        <v>1152.11904192</v>
      </c>
      <c r="Z33" s="427">
        <f>'ANALYSE - ERP =&gt; SOUS-SEGMENT'!$FC$35</f>
        <v>5960.64</v>
      </c>
      <c r="AA33" s="427">
        <f>'ANALYSE - ERP =&gt; SOUS-SEGMENT'!$GJ$35</f>
        <v>1490.16</v>
      </c>
      <c r="AB33" s="427">
        <f>'ANALYSE - ERP =&gt; SOUS-SEGMENT'!$GM$35</f>
        <v>3755.2032000000004</v>
      </c>
      <c r="AC33" s="427">
        <f>'ANALYSE - ERP =&gt; SOUS-SEGMENT'!$GP$35</f>
        <v>357.63839999999999</v>
      </c>
      <c r="AD33" s="427">
        <f>'ANALYSE - ERP =&gt; SOUS-SEGMENT'!$GS$35</f>
        <v>357.63839999999999</v>
      </c>
      <c r="AF33" s="430">
        <f>'ANALYSE - ERP =&gt; SOUS-SEGMENT'!$Q$35</f>
        <v>1</v>
      </c>
    </row>
    <row r="34" spans="1:32" ht="15" customHeight="1">
      <c r="A34" s="26">
        <v>31</v>
      </c>
      <c r="B34" s="26">
        <v>29</v>
      </c>
      <c r="C34" s="26">
        <v>34</v>
      </c>
      <c r="D34" s="422">
        <f>'ANALYSE - ERP =&gt; SOUS-SEGMENT'!$A$45</f>
        <v>38</v>
      </c>
      <c r="E34" s="409" t="str">
        <f>'ANALYSE - ERP =&gt; SOUS-SEGMENT'!$B$45</f>
        <v>Santé &amp; Médico-social</v>
      </c>
      <c r="F34" s="409" t="str">
        <f>'ANALYSE - ERP =&gt; SOUS-SEGMENT'!$C$45</f>
        <v>Santé hospitalière</v>
      </c>
      <c r="G34" s="409" t="str">
        <f>'ANALYSE - ERP =&gt; SOUS-SEGMENT'!$D$45</f>
        <v>Hôpitaux privés</v>
      </c>
      <c r="I34" s="427">
        <f t="shared" si="2"/>
        <v>5154.0329171363637</v>
      </c>
      <c r="K34" s="787">
        <f t="shared" si="0"/>
        <v>0.83638995645597858</v>
      </c>
      <c r="L34" s="787">
        <f t="shared" si="1"/>
        <v>0.16361004354402137</v>
      </c>
      <c r="N34" s="424">
        <f>'ANALYSE - ERP =&gt; SOUS-SEGMENT'!$FA$45</f>
        <v>25770.164585681818</v>
      </c>
      <c r="O34" s="427">
        <f>'ANALYSE - ERP =&gt; SOUS-SEGMENT'!$GH$45</f>
        <v>11540.096705</v>
      </c>
      <c r="P34" s="427">
        <f>'ANALYSE - ERP =&gt; SOUS-SEGMENT'!$GK$45</f>
        <v>4983.7155681818185</v>
      </c>
      <c r="Q34" s="427">
        <f>'ANALYSE - ERP =&gt; SOUS-SEGMENT'!$GN$45</f>
        <v>6562.2325575000004</v>
      </c>
      <c r="R34" s="427">
        <f>'ANALYSE - ERP =&gt; SOUS-SEGMENT'!$GQ$45</f>
        <v>2684.1197550000002</v>
      </c>
      <c r="T34" s="424">
        <f>'ANALYSE - ERP =&gt; SOUS-SEGMENT'!$FB$45</f>
        <v>21553.906835681817</v>
      </c>
      <c r="U34" s="427">
        <f>'ANALYSE - ERP =&gt; SOUS-SEGMENT'!$GI$45</f>
        <v>9558.4555624999994</v>
      </c>
      <c r="V34" s="427">
        <f>'ANALYSE - ERP =&gt; SOUS-SEGMENT'!$GL$45</f>
        <v>4140.4640181818186</v>
      </c>
      <c r="W34" s="427">
        <f>'ANALYSE - ERP =&gt; SOUS-SEGMENT'!$GO$45</f>
        <v>5592.4932750000007</v>
      </c>
      <c r="X34" s="427">
        <f>'ANALYSE - ERP =&gt; SOUS-SEGMENT'!$GR$45</f>
        <v>2262.4939800000002</v>
      </c>
      <c r="Z34" s="427">
        <f>'ANALYSE - ERP =&gt; SOUS-SEGMENT'!$FC$45</f>
        <v>4216.2577499999998</v>
      </c>
      <c r="AA34" s="427">
        <f>'ANALYSE - ERP =&gt; SOUS-SEGMENT'!$GJ$45</f>
        <v>1981.6411424999999</v>
      </c>
      <c r="AB34" s="427">
        <f>'ANALYSE - ERP =&gt; SOUS-SEGMENT'!$GM$45</f>
        <v>843.25154999999995</v>
      </c>
      <c r="AC34" s="427">
        <f>'ANALYSE - ERP =&gt; SOUS-SEGMENT'!$GP$45</f>
        <v>969.73928249999994</v>
      </c>
      <c r="AD34" s="427">
        <f>'ANALYSE - ERP =&gt; SOUS-SEGMENT'!$GS$45</f>
        <v>421.62577499999998</v>
      </c>
      <c r="AF34" s="430">
        <f>'ANALYSE - ERP =&gt; SOUS-SEGMENT'!$Q$45</f>
        <v>1</v>
      </c>
    </row>
    <row r="35" spans="1:32" ht="15" customHeight="1">
      <c r="A35" s="26">
        <v>32</v>
      </c>
      <c r="B35" s="26">
        <v>32</v>
      </c>
      <c r="C35" s="26">
        <v>29</v>
      </c>
      <c r="D35" s="422">
        <f>'ANALYSE - ERP =&gt; SOUS-SEGMENT'!$A$66</f>
        <v>59</v>
      </c>
      <c r="E35" s="414" t="str">
        <f>'ANALYSE - ERP =&gt; SOUS-SEGMENT'!$B$66</f>
        <v>Culture, Patrimoine &amp; Evénementiel</v>
      </c>
      <c r="F35" s="414" t="str">
        <f>'ANALYSE - ERP =&gt; SOUS-SEGMENT'!$C$66</f>
        <v>Culture / spectacle</v>
      </c>
      <c r="G35" s="414" t="str">
        <f>'ANALYSE - ERP =&gt; SOUS-SEGMENT'!$D$66</f>
        <v>Salles de conférence / Réunion</v>
      </c>
      <c r="I35" s="427">
        <f t="shared" si="2"/>
        <v>3471.4330057796919</v>
      </c>
      <c r="K35" s="787">
        <f t="shared" ref="K35:K66" si="3">IFERROR(T35/N35,"")</f>
        <v>0.71669912731641128</v>
      </c>
      <c r="L35" s="787">
        <f t="shared" ref="L35:L66" si="4">IFERROR(Z35/N35,"")</f>
        <v>0.28330087268358867</v>
      </c>
      <c r="N35" s="424">
        <f>'ANALYSE - ERP =&gt; SOUS-SEGMENT'!$FA$66</f>
        <v>17357.16502889846</v>
      </c>
      <c r="O35" s="427">
        <f>'ANALYSE - ERP =&gt; SOUS-SEGMENT'!$GH$66</f>
        <v>2851.498860553846</v>
      </c>
      <c r="P35" s="427">
        <f>'ANALYSE - ERP =&gt; SOUS-SEGMENT'!$GK$66</f>
        <v>9505.0556617846141</v>
      </c>
      <c r="Q35" s="427">
        <f>'ANALYSE - ERP =&gt; SOUS-SEGMENT'!$GN$66</f>
        <v>4162.7290785599998</v>
      </c>
      <c r="R35" s="427">
        <f>'ANALYSE - ERP =&gt; SOUS-SEGMENT'!$GQ$66</f>
        <v>837.88142800000003</v>
      </c>
      <c r="T35" s="424">
        <f>'ANALYSE - ERP =&gt; SOUS-SEGMENT'!$FB$66</f>
        <v>12439.865028898459</v>
      </c>
      <c r="U35" s="427">
        <f>'ANALYSE - ERP =&gt; SOUS-SEGMENT'!$GI$66</f>
        <v>2064.730860553846</v>
      </c>
      <c r="V35" s="427">
        <f>'ANALYSE - ERP =&gt; SOUS-SEGMENT'!$GL$66</f>
        <v>6653.0216617846145</v>
      </c>
      <c r="W35" s="427">
        <f>'ANALYSE - ERP =&gt; SOUS-SEGMENT'!$GO$66</f>
        <v>3080.9230785599998</v>
      </c>
      <c r="X35" s="427">
        <f>'ANALYSE - ERP =&gt; SOUS-SEGMENT'!$GR$66</f>
        <v>641.18942800000002</v>
      </c>
      <c r="Z35" s="427">
        <f>'ANALYSE - ERP =&gt; SOUS-SEGMENT'!$FC$66</f>
        <v>4917.3</v>
      </c>
      <c r="AA35" s="427">
        <f>'ANALYSE - ERP =&gt; SOUS-SEGMENT'!$GJ$66</f>
        <v>786.76800000000003</v>
      </c>
      <c r="AB35" s="427">
        <f>'ANALYSE - ERP =&gt; SOUS-SEGMENT'!$GM$66</f>
        <v>2852.0340000000001</v>
      </c>
      <c r="AC35" s="427">
        <f>'ANALYSE - ERP =&gt; SOUS-SEGMENT'!$GP$66</f>
        <v>1081.806</v>
      </c>
      <c r="AD35" s="427">
        <f>'ANALYSE - ERP =&gt; SOUS-SEGMENT'!$GS$66</f>
        <v>196.69200000000001</v>
      </c>
      <c r="AF35" s="430">
        <f>'ANALYSE - ERP =&gt; SOUS-SEGMENT'!$Q$66</f>
        <v>1</v>
      </c>
    </row>
    <row r="36" spans="1:32" ht="15" customHeight="1">
      <c r="A36" s="26">
        <v>33</v>
      </c>
      <c r="B36" s="26">
        <v>33</v>
      </c>
      <c r="C36" s="26">
        <v>43</v>
      </c>
      <c r="D36" s="422">
        <f>'ANALYSE - ERP =&gt; SOUS-SEGMENT'!$A$59</f>
        <v>52</v>
      </c>
      <c r="E36" s="409" t="str">
        <f>'ANALYSE - ERP =&gt; SOUS-SEGMENT'!$B$59</f>
        <v>Santé &amp; Médico-social</v>
      </c>
      <c r="F36" s="409" t="str">
        <f>'ANALYSE - ERP =&gt; SOUS-SEGMENT'!$C$59</f>
        <v>Médico-social</v>
      </c>
      <c r="G36" s="409" t="str">
        <f>'ANALYSE - ERP =&gt; SOUS-SEGMENT'!$D$59</f>
        <v>USLD</v>
      </c>
      <c r="I36" s="427">
        <f t="shared" ref="I36:I67" si="5">N36/5</f>
        <v>2553.4071000000004</v>
      </c>
      <c r="K36" s="787">
        <f t="shared" si="3"/>
        <v>0.84655419811435473</v>
      </c>
      <c r="L36" s="787">
        <f t="shared" si="4"/>
        <v>0.15344580188564522</v>
      </c>
      <c r="N36" s="424">
        <f>'ANALYSE - ERP =&gt; SOUS-SEGMENT'!$FA$59</f>
        <v>12767.035500000002</v>
      </c>
      <c r="O36" s="427">
        <f>'ANALYSE - ERP =&gt; SOUS-SEGMENT'!$GH$59</f>
        <v>7452.9288000000006</v>
      </c>
      <c r="P36" s="427">
        <f>'ANALYSE - ERP =&gt; SOUS-SEGMENT'!$GK$59</f>
        <v>1662.2762400000001</v>
      </c>
      <c r="Q36" s="427">
        <f>'ANALYSE - ERP =&gt; SOUS-SEGMENT'!$GN$59</f>
        <v>1612.53576</v>
      </c>
      <c r="R36" s="427">
        <f>'ANALYSE - ERP =&gt; SOUS-SEGMENT'!$GQ$59</f>
        <v>2039.2946999999999</v>
      </c>
      <c r="T36" s="424">
        <f>'ANALYSE - ERP =&gt; SOUS-SEGMENT'!$FB$59</f>
        <v>10807.987500000001</v>
      </c>
      <c r="U36" s="427">
        <f>'ANALYSE - ERP =&gt; SOUS-SEGMENT'!$GI$59</f>
        <v>6277.5000000000009</v>
      </c>
      <c r="V36" s="427">
        <f>'ANALYSE - ERP =&gt; SOUS-SEGMENT'!$GL$59</f>
        <v>1407.6000000000001</v>
      </c>
      <c r="W36" s="427">
        <f>'ANALYSE - ERP =&gt; SOUS-SEGMENT'!$GO$59</f>
        <v>1377.45</v>
      </c>
      <c r="X36" s="427">
        <f>'ANALYSE - ERP =&gt; SOUS-SEGMENT'!$GR$59</f>
        <v>1745.4375</v>
      </c>
      <c r="Z36" s="427">
        <f>'ANALYSE - ERP =&gt; SOUS-SEGMENT'!$FC$59</f>
        <v>1959.0479999999998</v>
      </c>
      <c r="AA36" s="427">
        <f>'ANALYSE - ERP =&gt; SOUS-SEGMENT'!$GJ$59</f>
        <v>1175.4287999999999</v>
      </c>
      <c r="AB36" s="427">
        <f>'ANALYSE - ERP =&gt; SOUS-SEGMENT'!$GM$59</f>
        <v>254.67623999999998</v>
      </c>
      <c r="AC36" s="427">
        <f>'ANALYSE - ERP =&gt; SOUS-SEGMENT'!$GP$59</f>
        <v>235.08575999999996</v>
      </c>
      <c r="AD36" s="427">
        <f>'ANALYSE - ERP =&gt; SOUS-SEGMENT'!$GS$59</f>
        <v>293.85719999999998</v>
      </c>
      <c r="AF36" s="430">
        <f>'ANALYSE - ERP =&gt; SOUS-SEGMENT'!$Q$59</f>
        <v>1</v>
      </c>
    </row>
    <row r="37" spans="1:32" s="45" customFormat="1" ht="15" customHeight="1">
      <c r="A37" s="406">
        <v>34</v>
      </c>
      <c r="B37" s="406">
        <v>34</v>
      </c>
      <c r="C37" s="406">
        <v>39</v>
      </c>
      <c r="D37" s="448">
        <f>'ANALYSE - ERP =&gt; SOUS-SEGMENT'!$A$50</f>
        <v>43</v>
      </c>
      <c r="E37" s="449" t="str">
        <f>'ANALYSE - ERP =&gt; SOUS-SEGMENT'!$B$50</f>
        <v>Santé &amp; Médico-social</v>
      </c>
      <c r="F37" s="449" t="str">
        <f>'ANALYSE - ERP =&gt; SOUS-SEGMENT'!$C$50</f>
        <v>Santé spécialisée</v>
      </c>
      <c r="G37" s="449" t="str">
        <f>'ANALYSE - ERP =&gt; SOUS-SEGMENT'!$D$50</f>
        <v>Centres de rééducation</v>
      </c>
      <c r="H37" s="685"/>
      <c r="I37" s="407">
        <f t="shared" si="5"/>
        <v>2585.9911782039999</v>
      </c>
      <c r="J37" s="685"/>
      <c r="K37" s="788">
        <f t="shared" si="3"/>
        <v>0.82316536426949638</v>
      </c>
      <c r="L37" s="788">
        <f t="shared" si="4"/>
        <v>0.17683463573050354</v>
      </c>
      <c r="M37" s="685"/>
      <c r="N37" s="425">
        <f>'ANALYSE - ERP =&gt; SOUS-SEGMENT'!$FA$50</f>
        <v>12929.955891019999</v>
      </c>
      <c r="O37" s="407">
        <f>'ANALYSE - ERP =&gt; SOUS-SEGMENT'!$GH$50</f>
        <v>5473.4267762999998</v>
      </c>
      <c r="P37" s="407">
        <f>'ANALYSE - ERP =&gt; SOUS-SEGMENT'!$GK$50</f>
        <v>3694.680464999999</v>
      </c>
      <c r="Q37" s="407">
        <f>'ANALYSE - ERP =&gt; SOUS-SEGMENT'!$GN$50</f>
        <v>1943.4429391999997</v>
      </c>
      <c r="R37" s="407">
        <f>'ANALYSE - ERP =&gt; SOUS-SEGMENT'!$GQ$50</f>
        <v>1818.4057105200002</v>
      </c>
      <c r="S37" s="685"/>
      <c r="T37" s="425">
        <f>'ANALYSE - ERP =&gt; SOUS-SEGMENT'!$FB$50</f>
        <v>10643.491851019999</v>
      </c>
      <c r="U37" s="407">
        <f>'ANALYSE - ERP =&gt; SOUS-SEGMENT'!$GI$50</f>
        <v>4513.1118795000002</v>
      </c>
      <c r="V37" s="407">
        <f>'ANALYSE - ERP =&gt; SOUS-SEGMENT'!$GL$50</f>
        <v>3008.7412529999992</v>
      </c>
      <c r="W37" s="407">
        <f>'ANALYSE - ERP =&gt; SOUS-SEGMENT'!$GO$50</f>
        <v>1577.6086927999997</v>
      </c>
      <c r="X37" s="407">
        <f>'ANALYSE - ERP =&gt; SOUS-SEGMENT'!$GR$50</f>
        <v>1544.0300257200001</v>
      </c>
      <c r="Y37" s="685"/>
      <c r="Z37" s="407">
        <f>'ANALYSE - ERP =&gt; SOUS-SEGMENT'!$FC$50</f>
        <v>2286.4640399999998</v>
      </c>
      <c r="AA37" s="407">
        <f>'ANALYSE - ERP =&gt; SOUS-SEGMENT'!$GJ$50</f>
        <v>960.31489679999993</v>
      </c>
      <c r="AB37" s="407">
        <f>'ANALYSE - ERP =&gt; SOUS-SEGMENT'!$GM$50</f>
        <v>685.93921199999988</v>
      </c>
      <c r="AC37" s="407">
        <f>'ANALYSE - ERP =&gt; SOUS-SEGMENT'!$GP$50</f>
        <v>365.83424639999998</v>
      </c>
      <c r="AD37" s="407">
        <f>'ANALYSE - ERP =&gt; SOUS-SEGMENT'!$GS$50</f>
        <v>274.37568479999999</v>
      </c>
      <c r="AE37" s="685"/>
      <c r="AF37" s="450">
        <f>'ANALYSE - ERP =&gt; SOUS-SEGMENT'!$Q$50</f>
        <v>0</v>
      </c>
    </row>
    <row r="38" spans="1:32" s="45" customFormat="1" ht="15" customHeight="1">
      <c r="A38" s="406">
        <v>35</v>
      </c>
      <c r="B38" s="406">
        <v>36</v>
      </c>
      <c r="C38" s="406">
        <v>35</v>
      </c>
      <c r="D38" s="448">
        <f>'ANALYSE - ERP =&gt; SOUS-SEGMENT'!$A$49</f>
        <v>42</v>
      </c>
      <c r="E38" s="449" t="str">
        <f>'ANALYSE - ERP =&gt; SOUS-SEGMENT'!$B$49</f>
        <v>Santé &amp; Médico-social</v>
      </c>
      <c r="F38" s="449" t="str">
        <f>'ANALYSE - ERP =&gt; SOUS-SEGMENT'!$C$49</f>
        <v>Santé spécialisée</v>
      </c>
      <c r="G38" s="449" t="str">
        <f>'ANALYSE - ERP =&gt; SOUS-SEGMENT'!$D$49</f>
        <v>Centres de psychiatrie</v>
      </c>
      <c r="H38" s="685"/>
      <c r="I38" s="407">
        <f t="shared" si="5"/>
        <v>2630.9699084699996</v>
      </c>
      <c r="J38" s="685"/>
      <c r="K38" s="788">
        <f t="shared" si="3"/>
        <v>0.70248314225106412</v>
      </c>
      <c r="L38" s="788">
        <f t="shared" si="4"/>
        <v>0.29751685774893594</v>
      </c>
      <c r="M38" s="685"/>
      <c r="N38" s="425">
        <f>'ANALYSE - ERP =&gt; SOUS-SEGMENT'!$FA$49</f>
        <v>13154.849542349999</v>
      </c>
      <c r="O38" s="407">
        <f>'ANALYSE - ERP =&gt; SOUS-SEGMENT'!$GH$49</f>
        <v>5488.9242637500001</v>
      </c>
      <c r="P38" s="407">
        <f>'ANALYSE - ERP =&gt; SOUS-SEGMENT'!$GK$49</f>
        <v>3737.5586324999999</v>
      </c>
      <c r="Q38" s="407">
        <f>'ANALYSE - ERP =&gt; SOUS-SEGMENT'!$GN$49</f>
        <v>2075.4907200000002</v>
      </c>
      <c r="R38" s="407">
        <f>'ANALYSE - ERP =&gt; SOUS-SEGMENT'!$GQ$49</f>
        <v>1852.8759261</v>
      </c>
      <c r="S38" s="685"/>
      <c r="T38" s="425">
        <f>'ANALYSE - ERP =&gt; SOUS-SEGMENT'!$FB$49</f>
        <v>9241.06004235</v>
      </c>
      <c r="U38" s="407">
        <f>'ANALYSE - ERP =&gt; SOUS-SEGMENT'!$GI$49</f>
        <v>3845.1326737500003</v>
      </c>
      <c r="V38" s="407">
        <f>'ANALYSE - ERP =&gt; SOUS-SEGMENT'!$GL$49</f>
        <v>2563.4217825000001</v>
      </c>
      <c r="W38" s="407">
        <f>'ANALYSE - ERP =&gt; SOUS-SEGMENT'!$GO$49</f>
        <v>1449.2844000000002</v>
      </c>
      <c r="X38" s="407">
        <f>'ANALYSE - ERP =&gt; SOUS-SEGMENT'!$GR$49</f>
        <v>1383.2211861000001</v>
      </c>
      <c r="Y38" s="685"/>
      <c r="Z38" s="407">
        <f>'ANALYSE - ERP =&gt; SOUS-SEGMENT'!$FC$49</f>
        <v>3913.7894999999999</v>
      </c>
      <c r="AA38" s="407">
        <f>'ANALYSE - ERP =&gt; SOUS-SEGMENT'!$GJ$49</f>
        <v>1643.7915899999998</v>
      </c>
      <c r="AB38" s="407">
        <f>'ANALYSE - ERP =&gt; SOUS-SEGMENT'!$GM$49</f>
        <v>1174.1368499999999</v>
      </c>
      <c r="AC38" s="407">
        <f>'ANALYSE - ERP =&gt; SOUS-SEGMENT'!$GP$49</f>
        <v>626.20632000000001</v>
      </c>
      <c r="AD38" s="407">
        <f>'ANALYSE - ERP =&gt; SOUS-SEGMENT'!$GS$49</f>
        <v>469.65473999999995</v>
      </c>
      <c r="AE38" s="685"/>
      <c r="AF38" s="450">
        <f>'ANALYSE - ERP =&gt; SOUS-SEGMENT'!$Q$49</f>
        <v>0</v>
      </c>
    </row>
    <row r="39" spans="1:32" ht="15" customHeight="1">
      <c r="A39" s="26">
        <v>36</v>
      </c>
      <c r="B39" s="26">
        <v>35</v>
      </c>
      <c r="C39" s="26">
        <v>40</v>
      </c>
      <c r="D39" s="422">
        <f>'ANALYSE - ERP =&gt; SOUS-SEGMENT'!$A$120</f>
        <v>113</v>
      </c>
      <c r="E39" s="415" t="str">
        <f>'ANALYSE - ERP =&gt; SOUS-SEGMENT'!$B$120</f>
        <v>Culte, Vie civique &amp; Services publics</v>
      </c>
      <c r="F39" s="415" t="str">
        <f>'ANALYSE - ERP =&gt; SOUS-SEGMENT'!$C$120</f>
        <v>Vie associative</v>
      </c>
      <c r="G39" s="415" t="str">
        <f>'ANALYSE - ERP =&gt; SOUS-SEGMENT'!$D$120</f>
        <v>Locaux associatifs recevant du public (dotés de sanitaires)</v>
      </c>
      <c r="I39" s="427">
        <f t="shared" si="5"/>
        <v>1036.202331857143</v>
      </c>
      <c r="K39" s="787">
        <f t="shared" si="3"/>
        <v>0.76280076540699615</v>
      </c>
      <c r="L39" s="787">
        <f t="shared" si="4"/>
        <v>0.23719923459300377</v>
      </c>
      <c r="N39" s="424">
        <f>'ANALYSE - ERP =&gt; SOUS-SEGMENT'!$FA$120</f>
        <v>5181.0116592857148</v>
      </c>
      <c r="O39" s="427">
        <f>'ANALYSE - ERP =&gt; SOUS-SEGMENT'!$GH$120</f>
        <v>1802.8688400000001</v>
      </c>
      <c r="P39" s="427">
        <f>'ANALYSE - ERP =&gt; SOUS-SEGMENT'!$GK$120</f>
        <v>2418.510034285714</v>
      </c>
      <c r="Q39" s="427">
        <f>'ANALYSE - ERP =&gt; SOUS-SEGMENT'!$GN$120</f>
        <v>746.47858499999995</v>
      </c>
      <c r="R39" s="427">
        <f>'ANALYSE - ERP =&gt; SOUS-SEGMENT'!$GQ$120</f>
        <v>213.15420000000006</v>
      </c>
      <c r="T39" s="424">
        <f>'ANALYSE - ERP =&gt; SOUS-SEGMENT'!$FB$120</f>
        <v>3952.0796592857146</v>
      </c>
      <c r="U39" s="427">
        <f>'ANALYSE - ERP =&gt; SOUS-SEGMENT'!$GI$120</f>
        <v>1421.8999200000001</v>
      </c>
      <c r="V39" s="427">
        <f>'ANALYSE - ERP =&gt; SOUS-SEGMENT'!$GL$120</f>
        <v>1791.7547142857143</v>
      </c>
      <c r="W39" s="427">
        <f>'ANALYSE - ERP =&gt; SOUS-SEGMENT'!$GO$120</f>
        <v>562.13878499999998</v>
      </c>
      <c r="X39" s="427">
        <f>'ANALYSE - ERP =&gt; SOUS-SEGMENT'!$GR$120</f>
        <v>176.28624000000005</v>
      </c>
      <c r="Z39" s="427">
        <f>'ANALYSE - ERP =&gt; SOUS-SEGMENT'!$FC$120</f>
        <v>1228.932</v>
      </c>
      <c r="AA39" s="427">
        <f>'ANALYSE - ERP =&gt; SOUS-SEGMENT'!$GJ$120</f>
        <v>380.96892000000003</v>
      </c>
      <c r="AB39" s="427">
        <f>'ANALYSE - ERP =&gt; SOUS-SEGMENT'!$GM$120</f>
        <v>626.75531999999998</v>
      </c>
      <c r="AC39" s="427">
        <f>'ANALYSE - ERP =&gt; SOUS-SEGMENT'!$GP$120</f>
        <v>184.3398</v>
      </c>
      <c r="AD39" s="427">
        <f>'ANALYSE - ERP =&gt; SOUS-SEGMENT'!$GS$120</f>
        <v>36.867959999999997</v>
      </c>
      <c r="AF39" s="430">
        <f>'ANALYSE - ERP =&gt; SOUS-SEGMENT'!$Q$120</f>
        <v>1</v>
      </c>
    </row>
    <row r="40" spans="1:32" ht="15" customHeight="1">
      <c r="A40" s="26">
        <v>37</v>
      </c>
      <c r="B40" s="26">
        <v>37</v>
      </c>
      <c r="C40" s="26">
        <v>37</v>
      </c>
      <c r="D40" s="422">
        <f>'ANALYSE - ERP =&gt; SOUS-SEGMENT'!$A$73</f>
        <v>66</v>
      </c>
      <c r="E40" s="414" t="str">
        <f>'ANALYSE - ERP =&gt; SOUS-SEGMENT'!$B$73</f>
        <v>Culture, Patrimoine &amp; Evénementiel</v>
      </c>
      <c r="F40" s="414" t="str">
        <f>'ANALYSE - ERP =&gt; SOUS-SEGMENT'!$C$73</f>
        <v>Événementiel temporaire</v>
      </c>
      <c r="G40" s="414" t="str">
        <f>'ANALYSE - ERP =&gt; SOUS-SEGMENT'!$D$73</f>
        <v>Structures gonflables</v>
      </c>
      <c r="I40" s="427">
        <f t="shared" si="5"/>
        <v>92.00387330909092</v>
      </c>
      <c r="K40" s="787">
        <f t="shared" si="3"/>
        <v>0.73463725904257549</v>
      </c>
      <c r="L40" s="787">
        <f t="shared" si="4"/>
        <v>0.26536274095742451</v>
      </c>
      <c r="N40" s="424">
        <f>'ANALYSE - ERP =&gt; SOUS-SEGMENT'!$FA$73</f>
        <v>460.0193665454546</v>
      </c>
      <c r="O40" s="427">
        <f>'ANALYSE - ERP =&gt; SOUS-SEGMENT'!$GH$73</f>
        <v>52.861024</v>
      </c>
      <c r="P40" s="427">
        <f>'ANALYSE - ERP =&gt; SOUS-SEGMENT'!$GK$73</f>
        <v>325.711184</v>
      </c>
      <c r="Q40" s="427">
        <f>'ANALYSE - ERP =&gt; SOUS-SEGMENT'!$GN$73</f>
        <v>18.524743999999998</v>
      </c>
      <c r="R40" s="427">
        <f>'ANALYSE - ERP =&gt; SOUS-SEGMENT'!$GQ$73</f>
        <v>62.922414545454551</v>
      </c>
      <c r="T40" s="424">
        <f>'ANALYSE - ERP =&gt; SOUS-SEGMENT'!$FB$73</f>
        <v>337.9473665454546</v>
      </c>
      <c r="U40" s="427">
        <f>'ANALYSE - ERP =&gt; SOUS-SEGMENT'!$GI$73</f>
        <v>39.433104</v>
      </c>
      <c r="V40" s="427">
        <f>'ANALYSE - ERP =&gt; SOUS-SEGMENT'!$GL$73</f>
        <v>236.59862400000003</v>
      </c>
      <c r="W40" s="427">
        <f>'ANALYSE - ERP =&gt; SOUS-SEGMENT'!$GO$73</f>
        <v>13.641863999999998</v>
      </c>
      <c r="X40" s="427">
        <f>'ANALYSE - ERP =&gt; SOUS-SEGMENT'!$GR$73</f>
        <v>48.27377454545455</v>
      </c>
      <c r="Z40" s="427">
        <f>'ANALYSE - ERP =&gt; SOUS-SEGMENT'!$FC$73</f>
        <v>122.07199999999999</v>
      </c>
      <c r="AA40" s="427">
        <f>'ANALYSE - ERP =&gt; SOUS-SEGMENT'!$GJ$73</f>
        <v>13.427919999999999</v>
      </c>
      <c r="AB40" s="427">
        <f>'ANALYSE - ERP =&gt; SOUS-SEGMENT'!$GM$73</f>
        <v>89.112559999999988</v>
      </c>
      <c r="AC40" s="427">
        <f>'ANALYSE - ERP =&gt; SOUS-SEGMENT'!$GP$73</f>
        <v>4.8828799999999992</v>
      </c>
      <c r="AD40" s="427">
        <f>'ANALYSE - ERP =&gt; SOUS-SEGMENT'!$GS$73</f>
        <v>14.648639999999999</v>
      </c>
      <c r="AF40" s="430">
        <f>'ANALYSE - ERP =&gt; SOUS-SEGMENT'!$Q$73</f>
        <v>1</v>
      </c>
    </row>
    <row r="41" spans="1:32" ht="15" customHeight="1">
      <c r="A41" s="26">
        <v>38</v>
      </c>
      <c r="B41" s="26">
        <v>40</v>
      </c>
      <c r="C41" s="26">
        <v>33</v>
      </c>
      <c r="D41" s="422">
        <f>'ANALYSE - ERP =&gt; SOUS-SEGMENT'!$A$142</f>
        <v>135</v>
      </c>
      <c r="E41" s="417" t="str">
        <f>'ANALYSE - ERP =&gt; SOUS-SEGMENT'!$B$142</f>
        <v>Sécurité &amp; Justice</v>
      </c>
      <c r="F41" s="417" t="str">
        <f>'ANALYSE - ERP =&gt; SOUS-SEGMENT'!$C$142</f>
        <v>Univers carcéral</v>
      </c>
      <c r="G41" s="417" t="str">
        <f>'ANALYSE - ERP =&gt; SOUS-SEGMENT'!$D$142</f>
        <v>Centres pénitentiaires</v>
      </c>
      <c r="I41" s="427">
        <f t="shared" si="5"/>
        <v>2251.4829590909089</v>
      </c>
      <c r="K41" s="787">
        <f t="shared" si="3"/>
        <v>0.62637034555230953</v>
      </c>
      <c r="L41" s="787">
        <f t="shared" si="4"/>
        <v>0.37362965444769053</v>
      </c>
      <c r="N41" s="424">
        <f>'ANALYSE - ERP =&gt; SOUS-SEGMENT'!$FA$142</f>
        <v>11257.414795454544</v>
      </c>
      <c r="O41" s="427">
        <f>'ANALYSE - ERP =&gt; SOUS-SEGMENT'!$GH$142</f>
        <v>229.02208000000002</v>
      </c>
      <c r="P41" s="427">
        <f>'ANALYSE - ERP =&gt; SOUS-SEGMENT'!$GK$142</f>
        <v>7512.6663054545452</v>
      </c>
      <c r="Q41" s="427">
        <f>'ANALYSE - ERP =&gt; SOUS-SEGMENT'!$GN$142</f>
        <v>178.22833000000003</v>
      </c>
      <c r="R41" s="427">
        <f>'ANALYSE - ERP =&gt; SOUS-SEGMENT'!$GQ$142</f>
        <v>3337.4980800000003</v>
      </c>
      <c r="T41" s="424">
        <f>'ANALYSE - ERP =&gt; SOUS-SEGMENT'!$FB$142</f>
        <v>7051.3107954545449</v>
      </c>
      <c r="U41" s="427">
        <f>'ANALYSE - ERP =&gt; SOUS-SEGMENT'!$GI$142</f>
        <v>144.9</v>
      </c>
      <c r="V41" s="427">
        <f>'ANALYSE - ERP =&gt; SOUS-SEGMENT'!$GL$142</f>
        <v>4610.454545454545</v>
      </c>
      <c r="W41" s="427">
        <f>'ANALYSE - ERP =&gt; SOUS-SEGMENT'!$GO$142</f>
        <v>94.106250000000003</v>
      </c>
      <c r="X41" s="427">
        <f>'ANALYSE - ERP =&gt; SOUS-SEGMENT'!$GR$142</f>
        <v>2201.85</v>
      </c>
      <c r="Z41" s="427">
        <f>'ANALYSE - ERP =&gt; SOUS-SEGMENT'!$FC$142</f>
        <v>4206.1040000000003</v>
      </c>
      <c r="AA41" s="427">
        <f>'ANALYSE - ERP =&gt; SOUS-SEGMENT'!$GJ$142</f>
        <v>84.122080000000011</v>
      </c>
      <c r="AB41" s="427">
        <f>'ANALYSE - ERP =&gt; SOUS-SEGMENT'!$GM$142</f>
        <v>2902.2117600000001</v>
      </c>
      <c r="AC41" s="427">
        <f>'ANALYSE - ERP =&gt; SOUS-SEGMENT'!$GP$142</f>
        <v>84.122080000000011</v>
      </c>
      <c r="AD41" s="427">
        <f>'ANALYSE - ERP =&gt; SOUS-SEGMENT'!$GS$142</f>
        <v>1135.6480800000002</v>
      </c>
      <c r="AF41" s="430">
        <f>'ANALYSE - ERP =&gt; SOUS-SEGMENT'!$Q$142</f>
        <v>1</v>
      </c>
    </row>
    <row r="42" spans="1:32" ht="15" customHeight="1">
      <c r="A42" s="26">
        <v>39</v>
      </c>
      <c r="B42" s="26">
        <v>38</v>
      </c>
      <c r="C42" s="26">
        <v>38</v>
      </c>
      <c r="D42" s="422">
        <f>'ANALYSE - ERP =&gt; SOUS-SEGMENT'!$A$28</f>
        <v>21</v>
      </c>
      <c r="E42" s="410" t="str">
        <f>'ANALYSE - ERP =&gt; SOUS-SEGMENT'!$B$28</f>
        <v>Sports &amp; Loisirs</v>
      </c>
      <c r="F42" s="410" t="str">
        <f>'ANALYSE - ERP =&gt; SOUS-SEGMENT'!$C$28</f>
        <v>Sport de plein air</v>
      </c>
      <c r="G42" s="410" t="str">
        <f>'ANALYSE - ERP =&gt; SOUS-SEGMENT'!$D$28</f>
        <v>Stades avec tribunes
(Hors grands stades, hors terrains sport)</v>
      </c>
      <c r="I42" s="427">
        <f t="shared" si="5"/>
        <v>2089.7571236848489</v>
      </c>
      <c r="K42" s="787">
        <f t="shared" si="3"/>
        <v>0.79075443981310045</v>
      </c>
      <c r="L42" s="787">
        <f t="shared" si="4"/>
        <v>0.20924556018689949</v>
      </c>
      <c r="N42" s="424">
        <f>'ANALYSE - ERP =&gt; SOUS-SEGMENT'!$FA$28</f>
        <v>10448.785618424245</v>
      </c>
      <c r="O42" s="427">
        <f>'ANALYSE - ERP =&gt; SOUS-SEGMENT'!$GH$28</f>
        <v>857.49967600000002</v>
      </c>
      <c r="P42" s="427">
        <f>'ANALYSE - ERP =&gt; SOUS-SEGMENT'!$GK$28</f>
        <v>8313.7833490909088</v>
      </c>
      <c r="Q42" s="427">
        <f>'ANALYSE - ERP =&gt; SOUS-SEGMENT'!$GN$28</f>
        <v>555.40617999999995</v>
      </c>
      <c r="R42" s="427">
        <f>'ANALYSE - ERP =&gt; SOUS-SEGMENT'!$GQ$28</f>
        <v>722.09641333333332</v>
      </c>
      <c r="T42" s="424">
        <f>'ANALYSE - ERP =&gt; SOUS-SEGMENT'!$FB$28</f>
        <v>8262.4236184242436</v>
      </c>
      <c r="U42" s="427">
        <f>'ANALYSE - ERP =&gt; SOUS-SEGMENT'!$GI$28</f>
        <v>704.45433600000001</v>
      </c>
      <c r="V42" s="427">
        <f>'ANALYSE - ERP =&gt; SOUS-SEGMENT'!$GL$28</f>
        <v>6520.9665090909093</v>
      </c>
      <c r="W42" s="427">
        <f>'ANALYSE - ERP =&gt; SOUS-SEGMENT'!$GO$28</f>
        <v>446.08807999999999</v>
      </c>
      <c r="X42" s="427">
        <f>'ANALYSE - ERP =&gt; SOUS-SEGMENT'!$GR$28</f>
        <v>590.91469333333328</v>
      </c>
      <c r="Z42" s="427">
        <f>'ANALYSE - ERP =&gt; SOUS-SEGMENT'!$FC$28</f>
        <v>2186.3620000000001</v>
      </c>
      <c r="AA42" s="427">
        <f>'ANALYSE - ERP =&gt; SOUS-SEGMENT'!$GJ$28</f>
        <v>153.04534000000001</v>
      </c>
      <c r="AB42" s="427">
        <f>'ANALYSE - ERP =&gt; SOUS-SEGMENT'!$GM$28</f>
        <v>1792.81684</v>
      </c>
      <c r="AC42" s="427">
        <f>'ANALYSE - ERP =&gt; SOUS-SEGMENT'!$GP$28</f>
        <v>109.31810000000002</v>
      </c>
      <c r="AD42" s="427">
        <f>'ANALYSE - ERP =&gt; SOUS-SEGMENT'!$GS$28</f>
        <v>131.18172000000001</v>
      </c>
      <c r="AF42" s="430">
        <f>'ANALYSE - ERP =&gt; SOUS-SEGMENT'!$Q$28</f>
        <v>1</v>
      </c>
    </row>
    <row r="43" spans="1:32" ht="15" customHeight="1">
      <c r="A43" s="26">
        <v>40</v>
      </c>
      <c r="B43" s="26">
        <v>71</v>
      </c>
      <c r="C43" s="26">
        <v>25</v>
      </c>
      <c r="D43" s="422">
        <f>'ANALYSE - ERP =&gt; SOUS-SEGMENT'!$A$54</f>
        <v>47</v>
      </c>
      <c r="E43" s="409" t="str">
        <f>'ANALYSE - ERP =&gt; SOUS-SEGMENT'!$B$54</f>
        <v>Santé &amp; Médico-social</v>
      </c>
      <c r="F43" s="409" t="str">
        <f>'ANALYSE - ERP =&gt; SOUS-SEGMENT'!$C$54</f>
        <v>Santé ambulatoire</v>
      </c>
      <c r="G43" s="409" t="str">
        <f>'ANALYSE - ERP =&gt; SOUS-SEGMENT'!$D$54</f>
        <v>Maisons de santé</v>
      </c>
      <c r="I43" s="427">
        <f t="shared" si="5"/>
        <v>1740.3315352860002</v>
      </c>
      <c r="K43" s="787">
        <f t="shared" si="3"/>
        <v>0.24645392362870339</v>
      </c>
      <c r="L43" s="787">
        <f t="shared" si="4"/>
        <v>0.75354607637129656</v>
      </c>
      <c r="N43" s="424">
        <f>'ANALYSE - ERP =&gt; SOUS-SEGMENT'!$FA$54</f>
        <v>8701.6576764300007</v>
      </c>
      <c r="O43" s="427">
        <f>'ANALYSE - ERP =&gt; SOUS-SEGMENT'!$GH$54</f>
        <v>4021.8507825000002</v>
      </c>
      <c r="P43" s="427">
        <f>'ANALYSE - ERP =&gt; SOUS-SEGMENT'!$GK$54</f>
        <v>2109.2818912500002</v>
      </c>
      <c r="Q43" s="427">
        <f>'ANALYSE - ERP =&gt; SOUS-SEGMENT'!$GN$54</f>
        <v>1993.6396284</v>
      </c>
      <c r="R43" s="427">
        <f>'ANALYSE - ERP =&gt; SOUS-SEGMENT'!$GQ$54</f>
        <v>576.88537427999995</v>
      </c>
      <c r="T43" s="424">
        <f>'ANALYSE - ERP =&gt; SOUS-SEGMENT'!$FB$54</f>
        <v>2144.5576764299999</v>
      </c>
      <c r="U43" s="427">
        <f>'ANALYSE - ERP =&gt; SOUS-SEGMENT'!$GI$54</f>
        <v>940.01378250000005</v>
      </c>
      <c r="V43" s="427">
        <f>'ANALYSE - ERP =&gt; SOUS-SEGMENT'!$GL$54</f>
        <v>470.00689125000002</v>
      </c>
      <c r="W43" s="427">
        <f>'ANALYSE - ERP =&gt; SOUS-SEGMENT'!$GO$54</f>
        <v>551.07762839999987</v>
      </c>
      <c r="X43" s="427">
        <f>'ANALYSE - ERP =&gt; SOUS-SEGMENT'!$GR$54</f>
        <v>183.45937428000002</v>
      </c>
      <c r="Z43" s="427">
        <f>'ANALYSE - ERP =&gt; SOUS-SEGMENT'!$FC$54</f>
        <v>6557.1</v>
      </c>
      <c r="AA43" s="427">
        <f>'ANALYSE - ERP =&gt; SOUS-SEGMENT'!$GJ$54</f>
        <v>3081.837</v>
      </c>
      <c r="AB43" s="427">
        <f>'ANALYSE - ERP =&gt; SOUS-SEGMENT'!$GM$54</f>
        <v>1639.2750000000001</v>
      </c>
      <c r="AC43" s="427">
        <f>'ANALYSE - ERP =&gt; SOUS-SEGMENT'!$GP$54</f>
        <v>1442.5620000000001</v>
      </c>
      <c r="AD43" s="427">
        <f>'ANALYSE - ERP =&gt; SOUS-SEGMENT'!$GS$54</f>
        <v>393.42599999999999</v>
      </c>
      <c r="AF43" s="430">
        <f>'ANALYSE - ERP =&gt; SOUS-SEGMENT'!$Q$54</f>
        <v>1</v>
      </c>
    </row>
    <row r="44" spans="1:32" ht="15" customHeight="1">
      <c r="A44" s="26">
        <v>41</v>
      </c>
      <c r="B44" s="26">
        <v>39</v>
      </c>
      <c r="C44" s="26">
        <v>57</v>
      </c>
      <c r="D44" s="422">
        <f>'ANALYSE - ERP =&gt; SOUS-SEGMENT'!$A$42</f>
        <v>35</v>
      </c>
      <c r="E44" s="408" t="str">
        <f>'ANALYSE - ERP =&gt; SOUS-SEGMENT'!$B$42</f>
        <v>Sports &amp; Loisirs</v>
      </c>
      <c r="F44" s="408" t="str">
        <f>'ANALYSE - ERP =&gt; SOUS-SEGMENT'!$C$42</f>
        <v>Loisirs</v>
      </c>
      <c r="G44" s="408" t="str">
        <f>'ANALYSE - ERP =&gt; SOUS-SEGMENT'!$D$42</f>
        <v>Discothèques / Salles de danse</v>
      </c>
      <c r="I44" s="427">
        <f t="shared" si="5"/>
        <v>3324.2848680000002</v>
      </c>
      <c r="K44" s="787">
        <f t="shared" si="3"/>
        <v>0.89265901865543729</v>
      </c>
      <c r="L44" s="787">
        <f t="shared" si="4"/>
        <v>0.10734098134456267</v>
      </c>
      <c r="N44" s="424">
        <f>'ANALYSE - ERP =&gt; SOUS-SEGMENT'!$FA$42</f>
        <v>16621.424340000001</v>
      </c>
      <c r="O44" s="427">
        <f>'ANALYSE - ERP =&gt; SOUS-SEGMENT'!$GH$42</f>
        <v>1660.3890000000001</v>
      </c>
      <c r="P44" s="427">
        <f>'ANALYSE - ERP =&gt; SOUS-SEGMENT'!$GK$42</f>
        <v>12375.8856</v>
      </c>
      <c r="Q44" s="427">
        <f>'ANALYSE - ERP =&gt; SOUS-SEGMENT'!$GN$42</f>
        <v>1567.5064199999999</v>
      </c>
      <c r="R44" s="427">
        <f>'ANALYSE - ERP =&gt; SOUS-SEGMENT'!$GQ$42</f>
        <v>1017.6433200000001</v>
      </c>
      <c r="T44" s="424">
        <f>'ANALYSE - ERP =&gt; SOUS-SEGMENT'!$FB$42</f>
        <v>14837.26434</v>
      </c>
      <c r="U44" s="427">
        <f>'ANALYSE - ERP =&gt; SOUS-SEGMENT'!$GI$42</f>
        <v>1517.6562000000001</v>
      </c>
      <c r="V44" s="427">
        <f>'ANALYSE - ERP =&gt; SOUS-SEGMENT'!$GL$42</f>
        <v>11019.923999999999</v>
      </c>
      <c r="W44" s="427">
        <f>'ANALYSE - ERP =&gt; SOUS-SEGMENT'!$GO$42</f>
        <v>1389.09042</v>
      </c>
      <c r="X44" s="427">
        <f>'ANALYSE - ERP =&gt; SOUS-SEGMENT'!$GR$42</f>
        <v>910.59372000000008</v>
      </c>
      <c r="Z44" s="427">
        <f>'ANALYSE - ERP =&gt; SOUS-SEGMENT'!$FC$42</f>
        <v>1784.16</v>
      </c>
      <c r="AA44" s="427">
        <f>'ANALYSE - ERP =&gt; SOUS-SEGMENT'!$GJ$42</f>
        <v>142.7328</v>
      </c>
      <c r="AB44" s="427">
        <f>'ANALYSE - ERP =&gt; SOUS-SEGMENT'!$GM$42</f>
        <v>1355.9616000000001</v>
      </c>
      <c r="AC44" s="427">
        <f>'ANALYSE - ERP =&gt; SOUS-SEGMENT'!$GP$42</f>
        <v>178.41600000000003</v>
      </c>
      <c r="AD44" s="427">
        <f>'ANALYSE - ERP =&gt; SOUS-SEGMENT'!$GS$42</f>
        <v>107.0496</v>
      </c>
      <c r="AF44" s="430">
        <f>'ANALYSE - ERP =&gt; SOUS-SEGMENT'!$Q$42</f>
        <v>1</v>
      </c>
    </row>
    <row r="45" spans="1:32" ht="15" customHeight="1">
      <c r="A45" s="26">
        <v>42</v>
      </c>
      <c r="B45" s="26">
        <v>41</v>
      </c>
      <c r="C45" s="26">
        <v>51</v>
      </c>
      <c r="D45" s="422">
        <f>'ANALYSE - ERP =&gt; SOUS-SEGMENT'!$A$62</f>
        <v>55</v>
      </c>
      <c r="E45" s="414" t="str">
        <f>'ANALYSE - ERP =&gt; SOUS-SEGMENT'!$B$62</f>
        <v>Culture, Patrimoine &amp; Evénementiel</v>
      </c>
      <c r="F45" s="414" t="str">
        <f>'ANALYSE - ERP =&gt; SOUS-SEGMENT'!$C$62</f>
        <v>Culture / spectacle</v>
      </c>
      <c r="G45" s="414" t="str">
        <f>'ANALYSE - ERP =&gt; SOUS-SEGMENT'!$D$62</f>
        <v>Cinémas</v>
      </c>
      <c r="I45" s="427">
        <f t="shared" si="5"/>
        <v>1642.9950977733333</v>
      </c>
      <c r="K45" s="787">
        <f t="shared" si="3"/>
        <v>0.82392692443692861</v>
      </c>
      <c r="L45" s="787">
        <f t="shared" si="4"/>
        <v>0.17607307556307139</v>
      </c>
      <c r="N45" s="424">
        <f>'ANALYSE - ERP =&gt; SOUS-SEGMENT'!$FA$62</f>
        <v>8214.9754888666666</v>
      </c>
      <c r="O45" s="427">
        <f>'ANALYSE - ERP =&gt; SOUS-SEGMENT'!$GH$62</f>
        <v>1403.0328400000001</v>
      </c>
      <c r="P45" s="427">
        <f>'ANALYSE - ERP =&gt; SOUS-SEGMENT'!$GK$62</f>
        <v>5185.4366600000003</v>
      </c>
      <c r="Q45" s="427">
        <f>'ANALYSE - ERP =&gt; SOUS-SEGMENT'!$GN$62</f>
        <v>1230.9617472</v>
      </c>
      <c r="R45" s="427">
        <f>'ANALYSE - ERP =&gt; SOUS-SEGMENT'!$GQ$62</f>
        <v>395.54424166666666</v>
      </c>
      <c r="T45" s="424">
        <f>'ANALYSE - ERP =&gt; SOUS-SEGMENT'!$FB$62</f>
        <v>6768.5394888666669</v>
      </c>
      <c r="U45" s="427">
        <f>'ANALYSE - ERP =&gt; SOUS-SEGMENT'!$GI$62</f>
        <v>1171.6030800000001</v>
      </c>
      <c r="V45" s="427">
        <f>'ANALYSE - ERP =&gt; SOUS-SEGMENT'!$GL$62</f>
        <v>4230.7889000000005</v>
      </c>
      <c r="W45" s="427">
        <f>'ANALYSE - ERP =&gt; SOUS-SEGMENT'!$GO$62</f>
        <v>1013.9963472000001</v>
      </c>
      <c r="X45" s="427">
        <f>'ANALYSE - ERP =&gt; SOUS-SEGMENT'!$GR$62</f>
        <v>352.15116166666667</v>
      </c>
      <c r="Z45" s="427">
        <f>'ANALYSE - ERP =&gt; SOUS-SEGMENT'!$FC$62</f>
        <v>1446.4359999999999</v>
      </c>
      <c r="AA45" s="427">
        <f>'ANALYSE - ERP =&gt; SOUS-SEGMENT'!$GJ$62</f>
        <v>231.42975999999999</v>
      </c>
      <c r="AB45" s="427">
        <f>'ANALYSE - ERP =&gt; SOUS-SEGMENT'!$GM$62</f>
        <v>954.64775999999995</v>
      </c>
      <c r="AC45" s="427">
        <f>'ANALYSE - ERP =&gt; SOUS-SEGMENT'!$GP$62</f>
        <v>216.96539999999999</v>
      </c>
      <c r="AD45" s="427">
        <f>'ANALYSE - ERP =&gt; SOUS-SEGMENT'!$GS$62</f>
        <v>43.393079999999998</v>
      </c>
      <c r="AF45" s="430">
        <f>'ANALYSE - ERP =&gt; SOUS-SEGMENT'!$Q$62</f>
        <v>1</v>
      </c>
    </row>
    <row r="46" spans="1:32" ht="15" customHeight="1">
      <c r="A46" s="26">
        <v>43</v>
      </c>
      <c r="B46" s="26">
        <v>42</v>
      </c>
      <c r="C46" s="26">
        <v>45</v>
      </c>
      <c r="D46" s="422">
        <f>'ANALYSE - ERP =&gt; SOUS-SEGMENT'!$A$116</f>
        <v>109</v>
      </c>
      <c r="E46" s="415" t="str">
        <f>'ANALYSE - ERP =&gt; SOUS-SEGMENT'!$B$116</f>
        <v>Culte, Vie civique &amp; Services publics</v>
      </c>
      <c r="F46" s="415" t="str">
        <f>'ANALYSE - ERP =&gt; SOUS-SEGMENT'!$C$116</f>
        <v>Culte</v>
      </c>
      <c r="G46" s="415" t="str">
        <f>'ANALYSE - ERP =&gt; SOUS-SEGMENT'!$D$116</f>
        <v>Mosquées et salles de prière musulmanes</v>
      </c>
      <c r="I46" s="427">
        <f t="shared" si="5"/>
        <v>1935.6864</v>
      </c>
      <c r="K46" s="787">
        <f t="shared" si="3"/>
        <v>0.77620837755537253</v>
      </c>
      <c r="L46" s="787">
        <f t="shared" si="4"/>
        <v>0.22379162244462741</v>
      </c>
      <c r="N46" s="424">
        <f>'ANALYSE - ERP =&gt; SOUS-SEGMENT'!$FA$116</f>
        <v>9678.4320000000007</v>
      </c>
      <c r="O46" s="427">
        <f>'ANALYSE - ERP =&gt; SOUS-SEGMENT'!$GH$116</f>
        <v>972.47616000000005</v>
      </c>
      <c r="P46" s="427">
        <f>'ANALYSE - ERP =&gt; SOUS-SEGMENT'!$GK$116</f>
        <v>7045.1635200000001</v>
      </c>
      <c r="Q46" s="427">
        <f>'ANALYSE - ERP =&gt; SOUS-SEGMENT'!$GN$116</f>
        <v>1051.3152</v>
      </c>
      <c r="R46" s="427">
        <f>'ANALYSE - ERP =&gt; SOUS-SEGMENT'!$GQ$116</f>
        <v>609.4771199999999</v>
      </c>
      <c r="T46" s="424">
        <f>'ANALYSE - ERP =&gt; SOUS-SEGMENT'!$FB$116</f>
        <v>7512.48</v>
      </c>
      <c r="U46" s="427">
        <f>'ANALYSE - ERP =&gt; SOUS-SEGMENT'!$GI$116</f>
        <v>799.2</v>
      </c>
      <c r="V46" s="427">
        <f>'ANALYSE - ERP =&gt; SOUS-SEGMENT'!$GL$116</f>
        <v>5399.04</v>
      </c>
      <c r="W46" s="427">
        <f>'ANALYSE - ERP =&gt; SOUS-SEGMENT'!$GO$116</f>
        <v>834.72</v>
      </c>
      <c r="X46" s="427">
        <f>'ANALYSE - ERP =&gt; SOUS-SEGMENT'!$GR$116</f>
        <v>479.51999999999992</v>
      </c>
      <c r="Z46" s="427">
        <f>'ANALYSE - ERP =&gt; SOUS-SEGMENT'!$FC$116</f>
        <v>2165.9520000000002</v>
      </c>
      <c r="AA46" s="427">
        <f>'ANALYSE - ERP =&gt; SOUS-SEGMENT'!$GJ$116</f>
        <v>173.27616000000003</v>
      </c>
      <c r="AB46" s="427">
        <f>'ANALYSE - ERP =&gt; SOUS-SEGMENT'!$GM$116</f>
        <v>1646.1235200000001</v>
      </c>
      <c r="AC46" s="427">
        <f>'ANALYSE - ERP =&gt; SOUS-SEGMENT'!$GP$116</f>
        <v>216.59520000000003</v>
      </c>
      <c r="AD46" s="427">
        <f>'ANALYSE - ERP =&gt; SOUS-SEGMENT'!$GS$116</f>
        <v>129.95712</v>
      </c>
      <c r="AF46" s="430">
        <f>'ANALYSE - ERP =&gt; SOUS-SEGMENT'!$Q$116</f>
        <v>1</v>
      </c>
    </row>
    <row r="47" spans="1:32" ht="15" customHeight="1">
      <c r="A47" s="26">
        <v>44</v>
      </c>
      <c r="B47" s="26">
        <v>46</v>
      </c>
      <c r="C47" s="26">
        <v>42</v>
      </c>
      <c r="D47" s="422">
        <f>'ANALYSE - ERP =&gt; SOUS-SEGMENT'!$A$15</f>
        <v>8</v>
      </c>
      <c r="E47" s="411" t="str">
        <f>'ANALYSE - ERP =&gt; SOUS-SEGMENT'!$B$15</f>
        <v>Enfance, Enseignement, Jeunesse &amp; Formation</v>
      </c>
      <c r="F47" s="411" t="str">
        <f>'ANALYSE - ERP =&gt; SOUS-SEGMENT'!$C$15</f>
        <v>Enseignement scolaire</v>
      </c>
      <c r="G47" s="411" t="str">
        <f>'ANALYSE - ERP =&gt; SOUS-SEGMENT'!$D$15</f>
        <v>Internats scolaires</v>
      </c>
      <c r="I47" s="427">
        <f t="shared" si="5"/>
        <v>1496.4215767296</v>
      </c>
      <c r="K47" s="787">
        <f t="shared" si="3"/>
        <v>0.73071509375007182</v>
      </c>
      <c r="L47" s="787">
        <f t="shared" si="4"/>
        <v>0.26928490624992812</v>
      </c>
      <c r="N47" s="424">
        <f>'ANALYSE - ERP =&gt; SOUS-SEGMENT'!$FA$15</f>
        <v>7482.1078836480001</v>
      </c>
      <c r="O47" s="427">
        <f>'ANALYSE - ERP =&gt; SOUS-SEGMENT'!$GH$15</f>
        <v>3102.1889367321592</v>
      </c>
      <c r="P47" s="427">
        <f>'ANALYSE - ERP =&gt; SOUS-SEGMENT'!$GK$15</f>
        <v>2992.8431534592</v>
      </c>
      <c r="Q47" s="427">
        <f>'ANALYSE - ERP =&gt; SOUS-SEGMENT'!$GN$15</f>
        <v>808.65534996479994</v>
      </c>
      <c r="R47" s="427">
        <f>'ANALYSE - ERP =&gt; SOUS-SEGMENT'!$GQ$15</f>
        <v>578.42044349183993</v>
      </c>
      <c r="T47" s="424">
        <f>'ANALYSE - ERP =&gt; SOUS-SEGMENT'!$FB$15</f>
        <v>5467.2891636479999</v>
      </c>
      <c r="U47" s="427">
        <f>'ANALYSE - ERP =&gt; SOUS-SEGMENT'!$GI$15</f>
        <v>2296.2614487321594</v>
      </c>
      <c r="V47" s="427">
        <f>'ANALYSE - ERP =&gt; SOUS-SEGMENT'!$GL$15</f>
        <v>2186.9156654591998</v>
      </c>
      <c r="W47" s="427">
        <f>'ANALYSE - ERP =&gt; SOUS-SEGMENT'!$GO$15</f>
        <v>546.72891636479994</v>
      </c>
      <c r="X47" s="427">
        <f>'ANALYSE - ERP =&gt; SOUS-SEGMENT'!$GR$15</f>
        <v>437.38313309183991</v>
      </c>
      <c r="Z47" s="427">
        <f>'ANALYSE - ERP =&gt; SOUS-SEGMENT'!$FC$15</f>
        <v>2014.81872</v>
      </c>
      <c r="AA47" s="427">
        <f>'ANALYSE - ERP =&gt; SOUS-SEGMENT'!$GJ$15</f>
        <v>805.92748800000004</v>
      </c>
      <c r="AB47" s="427">
        <f>'ANALYSE - ERP =&gt; SOUS-SEGMENT'!$GM$15</f>
        <v>805.92748800000004</v>
      </c>
      <c r="AC47" s="427">
        <f>'ANALYSE - ERP =&gt; SOUS-SEGMENT'!$GP$15</f>
        <v>261.9264336</v>
      </c>
      <c r="AD47" s="427">
        <f>'ANALYSE - ERP =&gt; SOUS-SEGMENT'!$GS$15</f>
        <v>141.03731040000002</v>
      </c>
      <c r="AF47" s="430">
        <f>'ANALYSE - ERP =&gt; SOUS-SEGMENT'!$Q$15</f>
        <v>1</v>
      </c>
    </row>
    <row r="48" spans="1:32" ht="15" customHeight="1">
      <c r="A48" s="26">
        <v>45</v>
      </c>
      <c r="B48" s="26">
        <v>47</v>
      </c>
      <c r="C48" s="26">
        <v>41</v>
      </c>
      <c r="D48" s="422">
        <f>'ANALYSE - ERP =&gt; SOUS-SEGMENT'!$A$65</f>
        <v>58</v>
      </c>
      <c r="E48" s="414" t="str">
        <f>'ANALYSE - ERP =&gt; SOUS-SEGMENT'!$B$65</f>
        <v>Culture, Patrimoine &amp; Evénementiel</v>
      </c>
      <c r="F48" s="414" t="str">
        <f>'ANALYSE - ERP =&gt; SOUS-SEGMENT'!$C$65</f>
        <v>Culture / spectacle</v>
      </c>
      <c r="G48" s="414" t="str">
        <f>'ANALYSE - ERP =&gt; SOUS-SEGMENT'!$D$65</f>
        <v>Salles de spectacle / Auditoriums</v>
      </c>
      <c r="I48" s="427">
        <f t="shared" si="5"/>
        <v>1475.8836723861541</v>
      </c>
      <c r="K48" s="787">
        <f t="shared" si="3"/>
        <v>0.71951805704935612</v>
      </c>
      <c r="L48" s="787">
        <f t="shared" si="4"/>
        <v>0.28048194295064383</v>
      </c>
      <c r="N48" s="424">
        <f>'ANALYSE - ERP =&gt; SOUS-SEGMENT'!$FA$65</f>
        <v>7379.4183619307705</v>
      </c>
      <c r="O48" s="427">
        <f>'ANALYSE - ERP =&gt; SOUS-SEGMENT'!$GH$65</f>
        <v>1216.4993769230771</v>
      </c>
      <c r="P48" s="427">
        <f>'ANALYSE - ERP =&gt; SOUS-SEGMENT'!$GK$65</f>
        <v>4053.2180243076928</v>
      </c>
      <c r="Q48" s="427">
        <f>'ANALYSE - ERP =&gt; SOUS-SEGMENT'!$GN$65</f>
        <v>1751.9908542000001</v>
      </c>
      <c r="R48" s="427">
        <f>'ANALYSE - ERP =&gt; SOUS-SEGMENT'!$GQ$65</f>
        <v>357.71010650000005</v>
      </c>
      <c r="T48" s="424">
        <f>'ANALYSE - ERP =&gt; SOUS-SEGMENT'!$FB$65</f>
        <v>5309.6247619307705</v>
      </c>
      <c r="U48" s="427">
        <f>'ANALYSE - ERP =&gt; SOUS-SEGMENT'!$GI$65</f>
        <v>885.3324009230771</v>
      </c>
      <c r="V48" s="427">
        <f>'ANALYSE - ERP =&gt; SOUS-SEGMENT'!$GL$65</f>
        <v>2852.7377363076926</v>
      </c>
      <c r="W48" s="427">
        <f>'ANALYSE - ERP =&gt; SOUS-SEGMENT'!$GO$65</f>
        <v>1296.6362622000001</v>
      </c>
      <c r="X48" s="427">
        <f>'ANALYSE - ERP =&gt; SOUS-SEGMENT'!$GR$65</f>
        <v>274.91836250000006</v>
      </c>
      <c r="Z48" s="427">
        <f>'ANALYSE - ERP =&gt; SOUS-SEGMENT'!$FC$65</f>
        <v>2069.7936</v>
      </c>
      <c r="AA48" s="427">
        <f>'ANALYSE - ERP =&gt; SOUS-SEGMENT'!$GJ$65</f>
        <v>331.16697599999998</v>
      </c>
      <c r="AB48" s="427">
        <f>'ANALYSE - ERP =&gt; SOUS-SEGMENT'!$GM$65</f>
        <v>1200.480288</v>
      </c>
      <c r="AC48" s="427">
        <f>'ANALYSE - ERP =&gt; SOUS-SEGMENT'!$GP$65</f>
        <v>455.35459199999997</v>
      </c>
      <c r="AD48" s="427">
        <f>'ANALYSE - ERP =&gt; SOUS-SEGMENT'!$GS$65</f>
        <v>82.791743999999994</v>
      </c>
      <c r="AF48" s="430">
        <f>'ANALYSE - ERP =&gt; SOUS-SEGMENT'!$Q$65</f>
        <v>1</v>
      </c>
    </row>
    <row r="49" spans="1:32" ht="15" customHeight="1">
      <c r="A49" s="26">
        <v>46</v>
      </c>
      <c r="B49" s="26">
        <v>44</v>
      </c>
      <c r="C49" s="26">
        <v>46</v>
      </c>
      <c r="D49" s="422">
        <f>'ANALYSE - ERP =&gt; SOUS-SEGMENT'!$A$63</f>
        <v>56</v>
      </c>
      <c r="E49" s="414" t="str">
        <f>'ANALYSE - ERP =&gt; SOUS-SEGMENT'!$B$63</f>
        <v>Culture, Patrimoine &amp; Evénementiel</v>
      </c>
      <c r="F49" s="414" t="str">
        <f>'ANALYSE - ERP =&gt; SOUS-SEGMENT'!$C$63</f>
        <v>Culture / spectacle</v>
      </c>
      <c r="G49" s="414" t="str">
        <f>'ANALYSE - ERP =&gt; SOUS-SEGMENT'!$D$63</f>
        <v>Théâtres</v>
      </c>
      <c r="I49" s="427">
        <f t="shared" si="5"/>
        <v>1449.9170484184615</v>
      </c>
      <c r="K49" s="787">
        <f t="shared" si="3"/>
        <v>0.77490574350029529</v>
      </c>
      <c r="L49" s="787">
        <f t="shared" si="4"/>
        <v>0.22509425649970474</v>
      </c>
      <c r="N49" s="424">
        <f>'ANALYSE - ERP =&gt; SOUS-SEGMENT'!$FA$63</f>
        <v>7249.5852420923075</v>
      </c>
      <c r="O49" s="427">
        <f>'ANALYSE - ERP =&gt; SOUS-SEGMENT'!$GH$63</f>
        <v>1229.9716868923076</v>
      </c>
      <c r="P49" s="427">
        <f>'ANALYSE - ERP =&gt; SOUS-SEGMENT'!$GK$63</f>
        <v>4575.7379359999995</v>
      </c>
      <c r="Q49" s="427">
        <f>'ANALYSE - ERP =&gt; SOUS-SEGMENT'!$GN$63</f>
        <v>1100.0711231999999</v>
      </c>
      <c r="R49" s="427">
        <f>'ANALYSE - ERP =&gt; SOUS-SEGMENT'!$GQ$63</f>
        <v>343.80449599999997</v>
      </c>
      <c r="T49" s="424">
        <f>'ANALYSE - ERP =&gt; SOUS-SEGMENT'!$FB$63</f>
        <v>5617.7452420923073</v>
      </c>
      <c r="U49" s="427">
        <f>'ANALYSE - ERP =&gt; SOUS-SEGMENT'!$GI$63</f>
        <v>968.87728689230767</v>
      </c>
      <c r="V49" s="427">
        <f>'ANALYSE - ERP =&gt; SOUS-SEGMENT'!$GL$63</f>
        <v>3498.723536</v>
      </c>
      <c r="W49" s="427">
        <f>'ANALYSE - ERP =&gt; SOUS-SEGMENT'!$GO$63</f>
        <v>855.29512319999992</v>
      </c>
      <c r="X49" s="427">
        <f>'ANALYSE - ERP =&gt; SOUS-SEGMENT'!$GR$63</f>
        <v>294.84929599999998</v>
      </c>
      <c r="Z49" s="427">
        <f>'ANALYSE - ERP =&gt; SOUS-SEGMENT'!$FC$63</f>
        <v>1631.84</v>
      </c>
      <c r="AA49" s="427">
        <f>'ANALYSE - ERP =&gt; SOUS-SEGMENT'!$GJ$63</f>
        <v>261.09440000000001</v>
      </c>
      <c r="AB49" s="427">
        <f>'ANALYSE - ERP =&gt; SOUS-SEGMENT'!$GM$63</f>
        <v>1077.0144</v>
      </c>
      <c r="AC49" s="427">
        <f>'ANALYSE - ERP =&gt; SOUS-SEGMENT'!$GP$63</f>
        <v>244.77599999999998</v>
      </c>
      <c r="AD49" s="427">
        <f>'ANALYSE - ERP =&gt; SOUS-SEGMENT'!$GS$63</f>
        <v>48.955199999999998</v>
      </c>
      <c r="AF49" s="430">
        <f>'ANALYSE - ERP =&gt; SOUS-SEGMENT'!$Q$63</f>
        <v>1</v>
      </c>
    </row>
    <row r="50" spans="1:32" s="45" customFormat="1" ht="15" customHeight="1">
      <c r="A50" s="406">
        <v>47</v>
      </c>
      <c r="B50" s="406">
        <v>43</v>
      </c>
      <c r="C50" s="406">
        <v>56</v>
      </c>
      <c r="D50" s="448">
        <f>'ANALYSE - ERP =&gt; SOUS-SEGMENT'!$A$51</f>
        <v>44</v>
      </c>
      <c r="E50" s="449" t="str">
        <f>'ANALYSE - ERP =&gt; SOUS-SEGMENT'!$B$51</f>
        <v>Santé &amp; Médico-social</v>
      </c>
      <c r="F50" s="449" t="str">
        <f>'ANALYSE - ERP =&gt; SOUS-SEGMENT'!$C$51</f>
        <v>Santé spécialisée</v>
      </c>
      <c r="G50" s="449" t="str">
        <f>'ANALYSE - ERP =&gt; SOUS-SEGMENT'!$D$51</f>
        <v>Maternités</v>
      </c>
      <c r="H50" s="685"/>
      <c r="I50" s="407">
        <f t="shared" si="5"/>
        <v>1527.7725545454546</v>
      </c>
      <c r="J50" s="685"/>
      <c r="K50" s="788">
        <f t="shared" si="3"/>
        <v>0.84571813435270926</v>
      </c>
      <c r="L50" s="788">
        <f t="shared" si="4"/>
        <v>0.15428186564729077</v>
      </c>
      <c r="M50" s="685"/>
      <c r="N50" s="425">
        <f>'ANALYSE - ERP =&gt; SOUS-SEGMENT'!$FA$51</f>
        <v>7638.8627727272724</v>
      </c>
      <c r="O50" s="407">
        <f>'ANALYSE - ERP =&gt; SOUS-SEGMENT'!$GH$51</f>
        <v>3858.8022600000004</v>
      </c>
      <c r="P50" s="407">
        <f>'ANALYSE - ERP =&gt; SOUS-SEGMENT'!$GK$51</f>
        <v>1106.8079727272727</v>
      </c>
      <c r="Q50" s="407">
        <f>'ANALYSE - ERP =&gt; SOUS-SEGMENT'!$GN$51</f>
        <v>1886.3387400000001</v>
      </c>
      <c r="R50" s="407">
        <f>'ANALYSE - ERP =&gt; SOUS-SEGMENT'!$GQ$51</f>
        <v>786.91380000000004</v>
      </c>
      <c r="S50" s="685"/>
      <c r="T50" s="425">
        <f>'ANALYSE - ERP =&gt; SOUS-SEGMENT'!$FB$51</f>
        <v>6460.3247727272728</v>
      </c>
      <c r="U50" s="407">
        <f>'ANALYSE - ERP =&gt; SOUS-SEGMENT'!$GI$51</f>
        <v>3245.9625000000005</v>
      </c>
      <c r="V50" s="407">
        <f>'ANALYSE - ERP =&gt; SOUS-SEGMENT'!$GL$51</f>
        <v>930.0272727272727</v>
      </c>
      <c r="W50" s="407">
        <f>'ANALYSE - ERP =&gt; SOUS-SEGMENT'!$GO$51</f>
        <v>1615.2750000000001</v>
      </c>
      <c r="X50" s="407">
        <f>'ANALYSE - ERP =&gt; SOUS-SEGMENT'!$GR$51</f>
        <v>669.06000000000006</v>
      </c>
      <c r="Y50" s="685"/>
      <c r="Z50" s="407">
        <f>'ANALYSE - ERP =&gt; SOUS-SEGMENT'!$FC$51</f>
        <v>1178.538</v>
      </c>
      <c r="AA50" s="407">
        <f>'ANALYSE - ERP =&gt; SOUS-SEGMENT'!$GJ$51</f>
        <v>612.83976000000007</v>
      </c>
      <c r="AB50" s="407">
        <f>'ANALYSE - ERP =&gt; SOUS-SEGMENT'!$GM$51</f>
        <v>176.7807</v>
      </c>
      <c r="AC50" s="407">
        <f>'ANALYSE - ERP =&gt; SOUS-SEGMENT'!$GP$51</f>
        <v>271.06374</v>
      </c>
      <c r="AD50" s="407">
        <f>'ANALYSE - ERP =&gt; SOUS-SEGMENT'!$GS$51</f>
        <v>117.85380000000001</v>
      </c>
      <c r="AE50" s="685"/>
      <c r="AF50" s="450">
        <f>'ANALYSE - ERP =&gt; SOUS-SEGMENT'!$Q$51</f>
        <v>0</v>
      </c>
    </row>
    <row r="51" spans="1:32" ht="15" customHeight="1">
      <c r="A51" s="26">
        <v>48</v>
      </c>
      <c r="B51" s="26">
        <v>49</v>
      </c>
      <c r="C51" s="26">
        <v>47</v>
      </c>
      <c r="D51" s="422" t="e">
        <f>'ANALYSE - ERP =&gt; SOUS-SEGMENT'!#REF!</f>
        <v>#REF!</v>
      </c>
      <c r="E51" s="411" t="e">
        <f>'ANALYSE - ERP =&gt; SOUS-SEGMENT'!#REF!</f>
        <v>#REF!</v>
      </c>
      <c r="F51" s="411" t="e">
        <f>'ANALYSE - ERP =&gt; SOUS-SEGMENT'!#REF!</f>
        <v>#REF!</v>
      </c>
      <c r="G51" s="411" t="e">
        <f>'ANALYSE - ERP =&gt; SOUS-SEGMENT'!#REF!</f>
        <v>#REF!</v>
      </c>
      <c r="I51" s="427" t="e">
        <f t="shared" si="5"/>
        <v>#REF!</v>
      </c>
      <c r="K51" s="787" t="str">
        <f t="shared" si="3"/>
        <v/>
      </c>
      <c r="L51" s="787" t="str">
        <f t="shared" si="4"/>
        <v/>
      </c>
      <c r="N51" s="424" t="e">
        <f>'ANALYSE - ERP =&gt; SOUS-SEGMENT'!#REF!</f>
        <v>#REF!</v>
      </c>
      <c r="O51" s="427" t="e">
        <f>'ANALYSE - ERP =&gt; SOUS-SEGMENT'!#REF!</f>
        <v>#REF!</v>
      </c>
      <c r="P51" s="427" t="e">
        <f>'ANALYSE - ERP =&gt; SOUS-SEGMENT'!#REF!</f>
        <v>#REF!</v>
      </c>
      <c r="Q51" s="427" t="e">
        <f>'ANALYSE - ERP =&gt; SOUS-SEGMENT'!#REF!</f>
        <v>#REF!</v>
      </c>
      <c r="R51" s="427" t="e">
        <f>'ANALYSE - ERP =&gt; SOUS-SEGMENT'!#REF!</f>
        <v>#REF!</v>
      </c>
      <c r="T51" s="424" t="e">
        <f>'ANALYSE - ERP =&gt; SOUS-SEGMENT'!#REF!</f>
        <v>#REF!</v>
      </c>
      <c r="U51" s="427" t="e">
        <f>'ANALYSE - ERP =&gt; SOUS-SEGMENT'!#REF!</f>
        <v>#REF!</v>
      </c>
      <c r="V51" s="427" t="e">
        <f>'ANALYSE - ERP =&gt; SOUS-SEGMENT'!#REF!</f>
        <v>#REF!</v>
      </c>
      <c r="W51" s="427" t="e">
        <f>'ANALYSE - ERP =&gt; SOUS-SEGMENT'!#REF!</f>
        <v>#REF!</v>
      </c>
      <c r="X51" s="427" t="e">
        <f>'ANALYSE - ERP =&gt; SOUS-SEGMENT'!#REF!</f>
        <v>#REF!</v>
      </c>
      <c r="Z51" s="427" t="e">
        <f>'ANALYSE - ERP =&gt; SOUS-SEGMENT'!#REF!</f>
        <v>#REF!</v>
      </c>
      <c r="AA51" s="427" t="e">
        <f>'ANALYSE - ERP =&gt; SOUS-SEGMENT'!#REF!</f>
        <v>#REF!</v>
      </c>
      <c r="AB51" s="427" t="e">
        <f>'ANALYSE - ERP =&gt; SOUS-SEGMENT'!#REF!</f>
        <v>#REF!</v>
      </c>
      <c r="AC51" s="427" t="e">
        <f>'ANALYSE - ERP =&gt; SOUS-SEGMENT'!#REF!</f>
        <v>#REF!</v>
      </c>
      <c r="AD51" s="427" t="e">
        <f>'ANALYSE - ERP =&gt; SOUS-SEGMENT'!#REF!</f>
        <v>#REF!</v>
      </c>
      <c r="AF51" s="430" t="e">
        <f>'ANALYSE - ERP =&gt; SOUS-SEGMENT'!#REF!</f>
        <v>#REF!</v>
      </c>
    </row>
    <row r="52" spans="1:32" ht="15" customHeight="1">
      <c r="A52" s="26">
        <v>49</v>
      </c>
      <c r="B52" s="26">
        <v>45</v>
      </c>
      <c r="C52" s="26">
        <v>63</v>
      </c>
      <c r="D52" s="422">
        <f>'ANALYSE - ERP =&gt; SOUS-SEGMENT'!$A$122</f>
        <v>115</v>
      </c>
      <c r="E52" s="413" t="str">
        <f>'ANALYSE - ERP =&gt; SOUS-SEGMENT'!$B$122</f>
        <v>Transport, Mobilité &amp; Stationnement</v>
      </c>
      <c r="F52" s="413" t="str">
        <f>'ANALYSE - ERP =&gt; SOUS-SEGMENT'!$C$122</f>
        <v>Transport / Mobilité</v>
      </c>
      <c r="G52" s="413" t="str">
        <f>'ANALYSE - ERP =&gt; SOUS-SEGMENT'!$D$122</f>
        <v>Aires de repos - Autoroutes
(Hors Aires de service)</v>
      </c>
      <c r="I52" s="427">
        <f t="shared" si="5"/>
        <v>1163.0342287799999</v>
      </c>
      <c r="K52" s="787">
        <f t="shared" si="3"/>
        <v>0.86633974121031199</v>
      </c>
      <c r="L52" s="787">
        <f t="shared" si="4"/>
        <v>0.13366025878968799</v>
      </c>
      <c r="N52" s="424">
        <f>'ANALYSE - ERP =&gt; SOUS-SEGMENT'!$FA$122</f>
        <v>5815.1711439000001</v>
      </c>
      <c r="O52" s="427">
        <f>'ANALYSE - ERP =&gt; SOUS-SEGMENT'!$GH$122</f>
        <v>638.39470320000009</v>
      </c>
      <c r="P52" s="427">
        <f>'ANALYSE - ERP =&gt; SOUS-SEGMENT'!$GK$122</f>
        <v>3910.3707743999998</v>
      </c>
      <c r="Q52" s="427">
        <f>'ANALYSE - ERP =&gt; SOUS-SEGMENT'!$GN$122</f>
        <v>1015.7113287</v>
      </c>
      <c r="R52" s="427">
        <f>'ANALYSE - ERP =&gt; SOUS-SEGMENT'!$GQ$122</f>
        <v>250.69433760000001</v>
      </c>
      <c r="T52" s="424">
        <f>'ANALYSE - ERP =&gt; SOUS-SEGMENT'!$FB$122</f>
        <v>5037.9138639000003</v>
      </c>
      <c r="U52" s="427">
        <f>'ANALYSE - ERP =&gt; SOUS-SEGMENT'!$GI$122</f>
        <v>568.44154800000013</v>
      </c>
      <c r="V52" s="427">
        <f>'ANALYSE - ERP =&gt; SOUS-SEGMENT'!$GL$122</f>
        <v>3350.7455328000001</v>
      </c>
      <c r="W52" s="427">
        <f>'ANALYSE - ERP =&gt; SOUS-SEGMENT'!$GO$122</f>
        <v>891.35016389999998</v>
      </c>
      <c r="X52" s="427">
        <f>'ANALYSE - ERP =&gt; SOUS-SEGMENT'!$GR$122</f>
        <v>227.37661920000002</v>
      </c>
      <c r="Z52" s="427">
        <f>'ANALYSE - ERP =&gt; SOUS-SEGMENT'!$FC$122</f>
        <v>777.25727999999992</v>
      </c>
      <c r="AA52" s="427">
        <f>'ANALYSE - ERP =&gt; SOUS-SEGMENT'!$GJ$122</f>
        <v>69.953155199999983</v>
      </c>
      <c r="AB52" s="427">
        <f>'ANALYSE - ERP =&gt; SOUS-SEGMENT'!$GM$122</f>
        <v>559.62524159999987</v>
      </c>
      <c r="AC52" s="427">
        <f>'ANALYSE - ERP =&gt; SOUS-SEGMENT'!$GP$122</f>
        <v>124.3611648</v>
      </c>
      <c r="AD52" s="427">
        <f>'ANALYSE - ERP =&gt; SOUS-SEGMENT'!$GS$122</f>
        <v>23.317718399999997</v>
      </c>
      <c r="AF52" s="430">
        <f>'ANALYSE - ERP =&gt; SOUS-SEGMENT'!$Q$122</f>
        <v>1</v>
      </c>
    </row>
    <row r="53" spans="1:32" ht="15" customHeight="1">
      <c r="A53" s="26">
        <v>50</v>
      </c>
      <c r="B53" s="26">
        <v>48</v>
      </c>
      <c r="C53" s="26">
        <v>52</v>
      </c>
      <c r="D53" s="422">
        <f>'ANALYSE - ERP =&gt; SOUS-SEGMENT'!$A$139</f>
        <v>132</v>
      </c>
      <c r="E53" s="417" t="str">
        <f>'ANALYSE - ERP =&gt; SOUS-SEGMENT'!$B$139</f>
        <v>Sécurité &amp; Justice</v>
      </c>
      <c r="F53" s="417" t="str">
        <f>'ANALYSE - ERP =&gt; SOUS-SEGMENT'!$C$139</f>
        <v>Univers carcéral</v>
      </c>
      <c r="G53" s="417" t="str">
        <f>'ANALYSE - ERP =&gt; SOUS-SEGMENT'!$D$139</f>
        <v>Maisons d’arrêt</v>
      </c>
      <c r="I53" s="427">
        <f t="shared" si="5"/>
        <v>1291.9802381818181</v>
      </c>
      <c r="K53" s="787">
        <f t="shared" si="3"/>
        <v>0.81053895967907796</v>
      </c>
      <c r="L53" s="787">
        <f t="shared" si="4"/>
        <v>0.18946104032092212</v>
      </c>
      <c r="N53" s="424">
        <f>'ANALYSE - ERP =&gt; SOUS-SEGMENT'!$FA$139</f>
        <v>6459.9011909090905</v>
      </c>
      <c r="O53" s="427">
        <f>'ANALYSE - ERP =&gt; SOUS-SEGMENT'!$GH$139</f>
        <v>131.57799199999999</v>
      </c>
      <c r="P53" s="427">
        <f>'ANALYSE - ERP =&gt; SOUS-SEGMENT'!$GK$139</f>
        <v>4332.3998149090912</v>
      </c>
      <c r="Q53" s="427">
        <f>'ANALYSE - ERP =&gt; SOUS-SEGMENT'!$GN$139</f>
        <v>89.210492000000002</v>
      </c>
      <c r="R53" s="427">
        <f>'ANALYSE - ERP =&gt; SOUS-SEGMENT'!$GQ$139</f>
        <v>1906.7128920000002</v>
      </c>
      <c r="T53" s="424">
        <f>'ANALYSE - ERP =&gt; SOUS-SEGMENT'!$FB$139</f>
        <v>5236.0015909090907</v>
      </c>
      <c r="U53" s="427">
        <f>'ANALYSE - ERP =&gt; SOUS-SEGMENT'!$GI$139</f>
        <v>107.1</v>
      </c>
      <c r="V53" s="427">
        <f>'ANALYSE - ERP =&gt; SOUS-SEGMENT'!$GL$139</f>
        <v>3487.909090909091</v>
      </c>
      <c r="W53" s="427">
        <f>'ANALYSE - ERP =&gt; SOUS-SEGMENT'!$GO$139</f>
        <v>64.732500000000002</v>
      </c>
      <c r="X53" s="427">
        <f>'ANALYSE - ERP =&gt; SOUS-SEGMENT'!$GR$139</f>
        <v>1576.2600000000002</v>
      </c>
      <c r="Z53" s="427">
        <f>'ANALYSE - ERP =&gt; SOUS-SEGMENT'!$FC$139</f>
        <v>1223.8996</v>
      </c>
      <c r="AA53" s="427">
        <f>'ANALYSE - ERP =&gt; SOUS-SEGMENT'!$GJ$139</f>
        <v>24.477992</v>
      </c>
      <c r="AB53" s="427">
        <f>'ANALYSE - ERP =&gt; SOUS-SEGMENT'!$GM$139</f>
        <v>844.49072399999989</v>
      </c>
      <c r="AC53" s="427">
        <f>'ANALYSE - ERP =&gt; SOUS-SEGMENT'!$GP$139</f>
        <v>24.477992</v>
      </c>
      <c r="AD53" s="427">
        <f>'ANALYSE - ERP =&gt; SOUS-SEGMENT'!$GS$139</f>
        <v>330.45289200000002</v>
      </c>
      <c r="AF53" s="430">
        <f>'ANALYSE - ERP =&gt; SOUS-SEGMENT'!$Q$139</f>
        <v>1</v>
      </c>
    </row>
    <row r="54" spans="1:32" ht="15" customHeight="1">
      <c r="A54" s="26">
        <v>51</v>
      </c>
      <c r="B54" s="26">
        <v>50</v>
      </c>
      <c r="C54" s="26">
        <v>61</v>
      </c>
      <c r="D54" s="422">
        <f>'ANALYSE - ERP =&gt; SOUS-SEGMENT'!$A$30</f>
        <v>23</v>
      </c>
      <c r="E54" s="410" t="str">
        <f>'ANALYSE - ERP =&gt; SOUS-SEGMENT'!$B$30</f>
        <v>Sports &amp; Loisirs</v>
      </c>
      <c r="F54" s="410" t="str">
        <f>'ANALYSE - ERP =&gt; SOUS-SEGMENT'!$C$30</f>
        <v>Sport de plein air</v>
      </c>
      <c r="G54" s="410" t="str">
        <f>'ANALYSE - ERP =&gt; SOUS-SEGMENT'!$D$30</f>
        <v>Hippodromes, Centres équestres &amp; Manèges couverts</v>
      </c>
      <c r="I54" s="427">
        <f t="shared" si="5"/>
        <v>2951.4787963636363</v>
      </c>
      <c r="K54" s="787">
        <f t="shared" si="3"/>
        <v>0.86162597525580109</v>
      </c>
      <c r="L54" s="787">
        <f t="shared" si="4"/>
        <v>0.13837402474419883</v>
      </c>
      <c r="N54" s="424">
        <f>'ANALYSE - ERP =&gt; SOUS-SEGMENT'!$FA$30</f>
        <v>14757.393981818183</v>
      </c>
      <c r="O54" s="427">
        <f>'ANALYSE - ERP =&gt; SOUS-SEGMENT'!$GH$30</f>
        <v>1492.2762</v>
      </c>
      <c r="P54" s="427">
        <f>'ANALYSE - ERP =&gt; SOUS-SEGMENT'!$GK$30</f>
        <v>10844.152581818182</v>
      </c>
      <c r="Q54" s="427">
        <f>'ANALYSE - ERP =&gt; SOUS-SEGMENT'!$GN$30</f>
        <v>1501.0949999999998</v>
      </c>
      <c r="R54" s="427">
        <f>'ANALYSE - ERP =&gt; SOUS-SEGMENT'!$GQ$30</f>
        <v>919.87020000000007</v>
      </c>
      <c r="T54" s="424">
        <f>'ANALYSE - ERP =&gt; SOUS-SEGMENT'!$FB$30</f>
        <v>12715.353981818182</v>
      </c>
      <c r="U54" s="427">
        <f>'ANALYSE - ERP =&gt; SOUS-SEGMENT'!$GI$30</f>
        <v>1328.913</v>
      </c>
      <c r="V54" s="427">
        <f>'ANALYSE - ERP =&gt; SOUS-SEGMENT'!$GL$30</f>
        <v>9292.202181818182</v>
      </c>
      <c r="W54" s="427">
        <f>'ANALYSE - ERP =&gt; SOUS-SEGMENT'!$GO$30</f>
        <v>1296.8909999999998</v>
      </c>
      <c r="X54" s="427">
        <f>'ANALYSE - ERP =&gt; SOUS-SEGMENT'!$GR$30</f>
        <v>797.34780000000012</v>
      </c>
      <c r="Z54" s="427">
        <f>'ANALYSE - ERP =&gt; SOUS-SEGMENT'!$FC$30</f>
        <v>2042.04</v>
      </c>
      <c r="AA54" s="427">
        <f>'ANALYSE - ERP =&gt; SOUS-SEGMENT'!$GJ$30</f>
        <v>163.36320000000001</v>
      </c>
      <c r="AB54" s="427">
        <f>'ANALYSE - ERP =&gt; SOUS-SEGMENT'!$GM$30</f>
        <v>1551.9503999999999</v>
      </c>
      <c r="AC54" s="427">
        <f>'ANALYSE - ERP =&gt; SOUS-SEGMENT'!$GP$30</f>
        <v>204.20400000000001</v>
      </c>
      <c r="AD54" s="427">
        <f>'ANALYSE - ERP =&gt; SOUS-SEGMENT'!$GS$30</f>
        <v>122.52239999999999</v>
      </c>
      <c r="AF54" s="430">
        <f>'ANALYSE - ERP =&gt; SOUS-SEGMENT'!$Q$30</f>
        <v>1</v>
      </c>
    </row>
    <row r="55" spans="1:32" ht="15" customHeight="1">
      <c r="A55" s="26">
        <v>52</v>
      </c>
      <c r="B55" s="26">
        <v>51</v>
      </c>
      <c r="C55" s="26">
        <v>50</v>
      </c>
      <c r="D55" s="422">
        <f>'ANALYSE - ERP =&gt; SOUS-SEGMENT'!$A$123</f>
        <v>116</v>
      </c>
      <c r="E55" s="413" t="str">
        <f>'ANALYSE - ERP =&gt; SOUS-SEGMENT'!$B$123</f>
        <v>Transport, Mobilité &amp; Stationnement</v>
      </c>
      <c r="F55" s="413" t="str">
        <f>'ANALYSE - ERP =&gt; SOUS-SEGMENT'!$C$123</f>
        <v>Transport / Mobilité</v>
      </c>
      <c r="G55" s="413" t="str">
        <f>'ANALYSE - ERP =&gt; SOUS-SEGMENT'!$D$123</f>
        <v>Parcs de stationnement couverts (dotés de sanitaires)</v>
      </c>
      <c r="I55" s="427">
        <f t="shared" si="5"/>
        <v>95.03960677818182</v>
      </c>
      <c r="K55" s="787">
        <f t="shared" si="3"/>
        <v>0.75810968943026391</v>
      </c>
      <c r="L55" s="787">
        <f t="shared" si="4"/>
        <v>0.24189031056973614</v>
      </c>
      <c r="N55" s="424">
        <f>'ANALYSE - ERP =&gt; SOUS-SEGMENT'!$FA$123</f>
        <v>475.19803389090907</v>
      </c>
      <c r="O55" s="427">
        <f>'ANALYSE - ERP =&gt; SOUS-SEGMENT'!$GH$123</f>
        <v>47.448292000000002</v>
      </c>
      <c r="P55" s="427">
        <f>'ANALYSE - ERP =&gt; SOUS-SEGMENT'!$GK$123</f>
        <v>346.86923709090911</v>
      </c>
      <c r="Q55" s="427">
        <f>'ANALYSE - ERP =&gt; SOUS-SEGMENT'!$GN$123</f>
        <v>51.032179999999997</v>
      </c>
      <c r="R55" s="427">
        <f>'ANALYSE - ERP =&gt; SOUS-SEGMENT'!$GQ$123</f>
        <v>29.848324799999997</v>
      </c>
      <c r="T55" s="424">
        <f>'ANALYSE - ERP =&gt; SOUS-SEGMENT'!$FB$123</f>
        <v>360.25223389090911</v>
      </c>
      <c r="U55" s="427">
        <f>'ANALYSE - ERP =&gt; SOUS-SEGMENT'!$GI$123</f>
        <v>38.252628000000001</v>
      </c>
      <c r="V55" s="427">
        <f>'ANALYSE - ERP =&gt; SOUS-SEGMENT'!$GL$123</f>
        <v>259.5104290909091</v>
      </c>
      <c r="W55" s="427">
        <f>'ANALYSE - ERP =&gt; SOUS-SEGMENT'!$GO$123</f>
        <v>39.537599999999998</v>
      </c>
      <c r="X55" s="427">
        <f>'ANALYSE - ERP =&gt; SOUS-SEGMENT'!$GR$123</f>
        <v>22.951576799999998</v>
      </c>
      <c r="Z55" s="427">
        <f>'ANALYSE - ERP =&gt; SOUS-SEGMENT'!$FC$123</f>
        <v>114.94579999999999</v>
      </c>
      <c r="AA55" s="427">
        <f>'ANALYSE - ERP =&gt; SOUS-SEGMENT'!$GJ$123</f>
        <v>9.1956639999999989</v>
      </c>
      <c r="AB55" s="427">
        <f>'ANALYSE - ERP =&gt; SOUS-SEGMENT'!$GM$123</f>
        <v>87.358807999999996</v>
      </c>
      <c r="AC55" s="427">
        <f>'ANALYSE - ERP =&gt; SOUS-SEGMENT'!$GP$123</f>
        <v>11.494579999999999</v>
      </c>
      <c r="AD55" s="427">
        <f>'ANALYSE - ERP =&gt; SOUS-SEGMENT'!$GS$123</f>
        <v>6.8967479999999997</v>
      </c>
      <c r="AF55" s="430">
        <f>'ANALYSE - ERP =&gt; SOUS-SEGMENT'!$Q$123</f>
        <v>1</v>
      </c>
    </row>
    <row r="56" spans="1:32" ht="15" customHeight="1">
      <c r="A56" s="26">
        <v>53</v>
      </c>
      <c r="B56" s="26">
        <v>52</v>
      </c>
      <c r="C56" s="26">
        <v>60</v>
      </c>
      <c r="D56" s="422">
        <f>'ANALYSE - ERP =&gt; SOUS-SEGMENT'!$A$60</f>
        <v>53</v>
      </c>
      <c r="E56" s="409" t="str">
        <f>'ANALYSE - ERP =&gt; SOUS-SEGMENT'!$B$60</f>
        <v>Santé &amp; Médico-social</v>
      </c>
      <c r="F56" s="409" t="str">
        <f>'ANALYSE - ERP =&gt; SOUS-SEGMENT'!$C$60</f>
        <v>Médico-social</v>
      </c>
      <c r="G56" s="409" t="str">
        <f>'ANALYSE - ERP =&gt; SOUS-SEGMENT'!$D$60</f>
        <v>Résidences autonomie
Foyers-logements
(Public)</v>
      </c>
      <c r="I56" s="427">
        <f t="shared" si="5"/>
        <v>1087.8258277351647</v>
      </c>
      <c r="K56" s="787">
        <f t="shared" si="3"/>
        <v>0.82201063528421958</v>
      </c>
      <c r="L56" s="787">
        <f t="shared" si="4"/>
        <v>0.17798936471578045</v>
      </c>
      <c r="N56" s="424">
        <f>'ANALYSE - ERP =&gt; SOUS-SEGMENT'!$FA$60</f>
        <v>5439.1291386758239</v>
      </c>
      <c r="O56" s="427">
        <f>'ANALYSE - ERP =&gt; SOUS-SEGMENT'!$GH$60</f>
        <v>3103.2204269142858</v>
      </c>
      <c r="P56" s="427">
        <f>'ANALYSE - ERP =&gt; SOUS-SEGMENT'!$GK$60</f>
        <v>984.07753366153827</v>
      </c>
      <c r="Q56" s="427">
        <f>'ANALYSE - ERP =&gt; SOUS-SEGMENT'!$GN$60</f>
        <v>544.83204599999999</v>
      </c>
      <c r="R56" s="427">
        <f>'ANALYSE - ERP =&gt; SOUS-SEGMENT'!$GQ$60</f>
        <v>806.9991321</v>
      </c>
      <c r="T56" s="424">
        <f>'ANALYSE - ERP =&gt; SOUS-SEGMENT'!$FB$60</f>
        <v>4471.0219986758239</v>
      </c>
      <c r="U56" s="427">
        <f>'ANALYSE - ERP =&gt; SOUS-SEGMENT'!$GI$60</f>
        <v>2541.7182857142857</v>
      </c>
      <c r="V56" s="427">
        <f>'ANALYSE - ERP =&gt; SOUS-SEGMENT'!$GL$60</f>
        <v>809.81824846153825</v>
      </c>
      <c r="W56" s="427">
        <f>'ANALYSE - ERP =&gt; SOUS-SEGMENT'!$GO$60</f>
        <v>448.02133199999997</v>
      </c>
      <c r="X56" s="427">
        <f>'ANALYSE - ERP =&gt; SOUS-SEGMENT'!$GR$60</f>
        <v>671.46413250000001</v>
      </c>
      <c r="Z56" s="427">
        <f>'ANALYSE - ERP =&gt; SOUS-SEGMENT'!$FC$60</f>
        <v>968.10713999999996</v>
      </c>
      <c r="AA56" s="427">
        <f>'ANALYSE - ERP =&gt; SOUS-SEGMENT'!$GJ$60</f>
        <v>561.50214119999998</v>
      </c>
      <c r="AB56" s="427">
        <f>'ANALYSE - ERP =&gt; SOUS-SEGMENT'!$GM$60</f>
        <v>174.25928519999999</v>
      </c>
      <c r="AC56" s="427">
        <f>'ANALYSE - ERP =&gt; SOUS-SEGMENT'!$GP$60</f>
        <v>96.810714000000004</v>
      </c>
      <c r="AD56" s="427">
        <f>'ANALYSE - ERP =&gt; SOUS-SEGMENT'!$GS$60</f>
        <v>135.53499960000002</v>
      </c>
      <c r="AF56" s="430">
        <f>'ANALYSE - ERP =&gt; SOUS-SEGMENT'!$Q$60</f>
        <v>1</v>
      </c>
    </row>
    <row r="57" spans="1:32" ht="15" customHeight="1">
      <c r="A57" s="26">
        <v>54</v>
      </c>
      <c r="B57" s="26">
        <v>55</v>
      </c>
      <c r="C57" s="26">
        <v>54</v>
      </c>
      <c r="D57" s="422">
        <f>'ANALYSE - ERP =&gt; SOUS-SEGMENT'!$A$43</f>
        <v>36</v>
      </c>
      <c r="E57" s="409" t="str">
        <f>'ANALYSE - ERP =&gt; SOUS-SEGMENT'!$B$43</f>
        <v>Santé &amp; Médico-social</v>
      </c>
      <c r="F57" s="409" t="str">
        <f>'ANALYSE - ERP =&gt; SOUS-SEGMENT'!$C$43</f>
        <v>Santé hospitalière</v>
      </c>
      <c r="G57" s="409" t="str">
        <f>'ANALYSE - ERP =&gt; SOUS-SEGMENT'!$D$43</f>
        <v>Hôpitaux universitaires / CHU</v>
      </c>
      <c r="I57" s="427">
        <f t="shared" si="5"/>
        <v>1135.4150400000001</v>
      </c>
      <c r="K57" s="787">
        <f t="shared" si="3"/>
        <v>0.78129491749554425</v>
      </c>
      <c r="L57" s="787">
        <f t="shared" si="4"/>
        <v>0.21870508250445581</v>
      </c>
      <c r="N57" s="424">
        <f>'ANALYSE - ERP =&gt; SOUS-SEGMENT'!$FA$43</f>
        <v>5677.0752000000002</v>
      </c>
      <c r="O57" s="427">
        <f>'ANALYSE - ERP =&gt; SOUS-SEGMENT'!$GH$43</f>
        <v>2394.7223400000003</v>
      </c>
      <c r="P57" s="427">
        <f>'ANALYSE - ERP =&gt; SOUS-SEGMENT'!$GK$43</f>
        <v>1203.3931440000001</v>
      </c>
      <c r="Q57" s="427">
        <f>'ANALYSE - ERP =&gt; SOUS-SEGMENT'!$GN$43</f>
        <v>1486.6191959999999</v>
      </c>
      <c r="R57" s="427">
        <f>'ANALYSE - ERP =&gt; SOUS-SEGMENT'!$GQ$43</f>
        <v>592.34051999999997</v>
      </c>
      <c r="T57" s="424">
        <f>'ANALYSE - ERP =&gt; SOUS-SEGMENT'!$FB$43</f>
        <v>4435.47</v>
      </c>
      <c r="U57" s="427">
        <f>'ANALYSE - ERP =&gt; SOUS-SEGMENT'!$GI$43</f>
        <v>1836</v>
      </c>
      <c r="V57" s="427">
        <f>'ANALYSE - ERP =&gt; SOUS-SEGMENT'!$GL$43</f>
        <v>930.24</v>
      </c>
      <c r="W57" s="427">
        <f>'ANALYSE - ERP =&gt; SOUS-SEGMENT'!$GO$43</f>
        <v>1201.05</v>
      </c>
      <c r="X57" s="427">
        <f>'ANALYSE - ERP =&gt; SOUS-SEGMENT'!$GR$43</f>
        <v>468.18</v>
      </c>
      <c r="Z57" s="427">
        <f>'ANALYSE - ERP =&gt; SOUS-SEGMENT'!$FC$43</f>
        <v>1241.6052</v>
      </c>
      <c r="AA57" s="427">
        <f>'ANALYSE - ERP =&gt; SOUS-SEGMENT'!$GJ$43</f>
        <v>558.72234000000003</v>
      </c>
      <c r="AB57" s="427">
        <f>'ANALYSE - ERP =&gt; SOUS-SEGMENT'!$GM$43</f>
        <v>273.153144</v>
      </c>
      <c r="AC57" s="427">
        <f>'ANALYSE - ERP =&gt; SOUS-SEGMENT'!$GP$43</f>
        <v>285.56919599999998</v>
      </c>
      <c r="AD57" s="427">
        <f>'ANALYSE - ERP =&gt; SOUS-SEGMENT'!$GS$43</f>
        <v>124.16052000000001</v>
      </c>
      <c r="AF57" s="430">
        <f>'ANALYSE - ERP =&gt; SOUS-SEGMENT'!$Q$43</f>
        <v>1</v>
      </c>
    </row>
    <row r="58" spans="1:32" ht="15" customHeight="1">
      <c r="A58" s="26">
        <v>55</v>
      </c>
      <c r="B58" s="26">
        <v>53</v>
      </c>
      <c r="C58" s="26">
        <v>58</v>
      </c>
      <c r="D58" s="422">
        <f>'ANALYSE - ERP =&gt; SOUS-SEGMENT'!$A$41</f>
        <v>34</v>
      </c>
      <c r="E58" s="408" t="str">
        <f>'ANALYSE - ERP =&gt; SOUS-SEGMENT'!$B$41</f>
        <v>Sports &amp; Loisirs</v>
      </c>
      <c r="F58" s="408" t="str">
        <f>'ANALYSE - ERP =&gt; SOUS-SEGMENT'!$C$41</f>
        <v>Loisirs</v>
      </c>
      <c r="G58" s="408" t="str">
        <f>'ANALYSE - ERP =&gt; SOUS-SEGMENT'!$D$41</f>
        <v>Salles de jeux / Bowlings / Billards</v>
      </c>
      <c r="I58" s="427">
        <f t="shared" si="5"/>
        <v>878.01432014545458</v>
      </c>
      <c r="K58" s="787">
        <f t="shared" si="3"/>
        <v>0.78986584185843922</v>
      </c>
      <c r="L58" s="787">
        <f t="shared" si="4"/>
        <v>0.21013415814156086</v>
      </c>
      <c r="N58" s="424">
        <f>'ANALYSE - ERP =&gt; SOUS-SEGMENT'!$FA$41</f>
        <v>4390.0716007272731</v>
      </c>
      <c r="O58" s="427">
        <f>'ANALYSE - ERP =&gt; SOUS-SEGMENT'!$GH$41</f>
        <v>435.97559999999999</v>
      </c>
      <c r="P58" s="427">
        <f>'ANALYSE - ERP =&gt; SOUS-SEGMENT'!$GK$41</f>
        <v>3221.2149527272732</v>
      </c>
      <c r="Q58" s="427">
        <f>'ANALYSE - ERP =&gt; SOUS-SEGMENT'!$GN$41</f>
        <v>460.22564</v>
      </c>
      <c r="R58" s="427">
        <f>'ANALYSE - ERP =&gt; SOUS-SEGMENT'!$GQ$41</f>
        <v>272.65540799999997</v>
      </c>
      <c r="T58" s="424">
        <f>'ANALYSE - ERP =&gt; SOUS-SEGMENT'!$FB$41</f>
        <v>3467.5676007272732</v>
      </c>
      <c r="U58" s="427">
        <f>'ANALYSE - ERP =&gt; SOUS-SEGMENT'!$GI$41</f>
        <v>362.17527999999999</v>
      </c>
      <c r="V58" s="427">
        <f>'ANALYSE - ERP =&gt; SOUS-SEGMENT'!$GL$41</f>
        <v>2520.1119127272732</v>
      </c>
      <c r="W58" s="427">
        <f>'ANALYSE - ERP =&gt; SOUS-SEGMENT'!$GO$41</f>
        <v>367.97523999999999</v>
      </c>
      <c r="X58" s="427">
        <f>'ANALYSE - ERP =&gt; SOUS-SEGMENT'!$GR$41</f>
        <v>217.30516799999995</v>
      </c>
      <c r="Z58" s="427">
        <f>'ANALYSE - ERP =&gt; SOUS-SEGMENT'!$FC$41</f>
        <v>922.50400000000002</v>
      </c>
      <c r="AA58" s="427">
        <f>'ANALYSE - ERP =&gt; SOUS-SEGMENT'!$GJ$41</f>
        <v>73.800319999999999</v>
      </c>
      <c r="AB58" s="427">
        <f>'ANALYSE - ERP =&gt; SOUS-SEGMENT'!$GM$41</f>
        <v>701.10304000000008</v>
      </c>
      <c r="AC58" s="427">
        <f>'ANALYSE - ERP =&gt; SOUS-SEGMENT'!$GP$41</f>
        <v>92.250400000000013</v>
      </c>
      <c r="AD58" s="427">
        <f>'ANALYSE - ERP =&gt; SOUS-SEGMENT'!$GS$41</f>
        <v>55.350239999999999</v>
      </c>
      <c r="AF58" s="430">
        <f>'ANALYSE - ERP =&gt; SOUS-SEGMENT'!$Q$41</f>
        <v>1</v>
      </c>
    </row>
    <row r="59" spans="1:32" ht="15" customHeight="1">
      <c r="A59" s="26">
        <v>56</v>
      </c>
      <c r="B59" s="26">
        <v>54</v>
      </c>
      <c r="C59" s="26">
        <v>55</v>
      </c>
      <c r="D59" s="422">
        <f>'ANALYSE - ERP =&gt; SOUS-SEGMENT'!$A$70</f>
        <v>63</v>
      </c>
      <c r="E59" s="414" t="str">
        <f>'ANALYSE - ERP =&gt; SOUS-SEGMENT'!$B$70</f>
        <v>Culture, Patrimoine &amp; Evénementiel</v>
      </c>
      <c r="F59" s="414" t="str">
        <f>'ANALYSE - ERP =&gt; SOUS-SEGMENT'!$C$70</f>
        <v>Expositions / salons</v>
      </c>
      <c r="G59" s="414" t="str">
        <f>'ANALYSE - ERP =&gt; SOUS-SEGMENT'!$D$70</f>
        <v>Foires / Salons</v>
      </c>
      <c r="I59" s="427">
        <f t="shared" si="5"/>
        <v>1054.3750511466667</v>
      </c>
      <c r="K59" s="787">
        <f t="shared" si="3"/>
        <v>0.79414201828471809</v>
      </c>
      <c r="L59" s="787">
        <f t="shared" si="4"/>
        <v>0.20585798171528194</v>
      </c>
      <c r="N59" s="424">
        <f>'ANALYSE - ERP =&gt; SOUS-SEGMENT'!$FA$70</f>
        <v>5271.8752557333337</v>
      </c>
      <c r="O59" s="427">
        <f>'ANALYSE - ERP =&gt; SOUS-SEGMENT'!$GH$70</f>
        <v>774.03997440000012</v>
      </c>
      <c r="P59" s="427">
        <f>'ANALYSE - ERP =&gt; SOUS-SEGMENT'!$GK$70</f>
        <v>2785.1079424000004</v>
      </c>
      <c r="Q59" s="427">
        <f>'ANALYSE - ERP =&gt; SOUS-SEGMENT'!$GN$70</f>
        <v>1468.0544815999999</v>
      </c>
      <c r="R59" s="427">
        <f>'ANALYSE - ERP =&gt; SOUS-SEGMENT'!$GQ$70</f>
        <v>244.67285733333333</v>
      </c>
      <c r="T59" s="424">
        <f>'ANALYSE - ERP =&gt; SOUS-SEGMENT'!$FB$70</f>
        <v>4186.6176557333338</v>
      </c>
      <c r="U59" s="427">
        <f>'ANALYSE - ERP =&gt; SOUS-SEGMENT'!$GI$70</f>
        <v>622.10391040000013</v>
      </c>
      <c r="V59" s="427">
        <f>'ANALYSE - ERP =&gt; SOUS-SEGMENT'!$GL$70</f>
        <v>2177.3636864000005</v>
      </c>
      <c r="W59" s="427">
        <f>'ANALYSE - ERP =&gt; SOUS-SEGMENT'!$GO$70</f>
        <v>1175.0349295999999</v>
      </c>
      <c r="X59" s="427">
        <f>'ANALYSE - ERP =&gt; SOUS-SEGMENT'!$GR$70</f>
        <v>212.11512933333333</v>
      </c>
      <c r="Z59" s="427">
        <f>'ANALYSE - ERP =&gt; SOUS-SEGMENT'!$FC$70</f>
        <v>1085.2575999999999</v>
      </c>
      <c r="AA59" s="427">
        <f>'ANALYSE - ERP =&gt; SOUS-SEGMENT'!$GJ$70</f>
        <v>151.93606400000002</v>
      </c>
      <c r="AB59" s="427">
        <f>'ANALYSE - ERP =&gt; SOUS-SEGMENT'!$GM$70</f>
        <v>607.74425600000006</v>
      </c>
      <c r="AC59" s="427">
        <f>'ANALYSE - ERP =&gt; SOUS-SEGMENT'!$GP$70</f>
        <v>293.01955199999998</v>
      </c>
      <c r="AD59" s="427">
        <f>'ANALYSE - ERP =&gt; SOUS-SEGMENT'!$GS$70</f>
        <v>32.557727999999997</v>
      </c>
      <c r="AF59" s="430">
        <f>'ANALYSE - ERP =&gt; SOUS-SEGMENT'!$Q$70</f>
        <v>1</v>
      </c>
    </row>
    <row r="60" spans="1:32" ht="15" customHeight="1">
      <c r="A60" s="26">
        <v>57</v>
      </c>
      <c r="B60" s="26">
        <v>73</v>
      </c>
      <c r="C60" s="26">
        <v>36</v>
      </c>
      <c r="D60" s="422">
        <f>'ANALYSE - ERP =&gt; SOUS-SEGMENT'!$A$61</f>
        <v>54</v>
      </c>
      <c r="E60" s="409" t="str">
        <f>'ANALYSE - ERP =&gt; SOUS-SEGMENT'!$B$61</f>
        <v>Santé &amp; Médico-social</v>
      </c>
      <c r="F60" s="409" t="str">
        <f>'ANALYSE - ERP =&gt; SOUS-SEGMENT'!$C$61</f>
        <v>Médico-social</v>
      </c>
      <c r="G60" s="409" t="str">
        <f>'ANALYSE - ERP =&gt; SOUS-SEGMENT'!$D$61</f>
        <v>Résidences services seniors
(Privé)</v>
      </c>
      <c r="I60" s="427">
        <f t="shared" si="5"/>
        <v>1004.6874254153847</v>
      </c>
      <c r="K60" s="787">
        <f t="shared" si="3"/>
        <v>0.29841257870967047</v>
      </c>
      <c r="L60" s="787">
        <f t="shared" si="4"/>
        <v>0.70158742129032947</v>
      </c>
      <c r="N60" s="424">
        <f>'ANALYSE - ERP =&gt; SOUS-SEGMENT'!$FA$61</f>
        <v>5023.4371270769234</v>
      </c>
      <c r="O60" s="427">
        <f>'ANALYSE - ERP =&gt; SOUS-SEGMENT'!$GH$61</f>
        <v>2910.639236</v>
      </c>
      <c r="P60" s="427">
        <f>'ANALYSE - ERP =&gt; SOUS-SEGMENT'!$GK$61</f>
        <v>804.44989907692309</v>
      </c>
      <c r="Q60" s="427">
        <f>'ANALYSE - ERP =&gt; SOUS-SEGMENT'!$GN$61</f>
        <v>671.46416399999998</v>
      </c>
      <c r="R60" s="427">
        <f>'ANALYSE - ERP =&gt; SOUS-SEGMENT'!$GQ$61</f>
        <v>636.88382799999988</v>
      </c>
      <c r="T60" s="424">
        <f>'ANALYSE - ERP =&gt; SOUS-SEGMENT'!$FB$61</f>
        <v>1499.0568270769234</v>
      </c>
      <c r="U60" s="427">
        <f>'ANALYSE - ERP =&gt; SOUS-SEGMENT'!$GI$61</f>
        <v>796.01105600000005</v>
      </c>
      <c r="V60" s="427">
        <f>'ANALYSE - ERP =&gt; SOUS-SEGMENT'!$GL$61</f>
        <v>240.54905107692312</v>
      </c>
      <c r="W60" s="427">
        <f>'ANALYSE - ERP =&gt; SOUS-SEGMENT'!$GO$61</f>
        <v>248.53852800000001</v>
      </c>
      <c r="X60" s="427">
        <f>'ANALYSE - ERP =&gt; SOUS-SEGMENT'!$GR$61</f>
        <v>213.95819199999997</v>
      </c>
      <c r="Z60" s="427">
        <f>'ANALYSE - ERP =&gt; SOUS-SEGMENT'!$FC$61</f>
        <v>3524.3802999999998</v>
      </c>
      <c r="AA60" s="427">
        <f>'ANALYSE - ERP =&gt; SOUS-SEGMENT'!$GJ$61</f>
        <v>2114.6281799999997</v>
      </c>
      <c r="AB60" s="427">
        <f>'ANALYSE - ERP =&gt; SOUS-SEGMENT'!$GM$61</f>
        <v>563.900848</v>
      </c>
      <c r="AC60" s="427">
        <f>'ANALYSE - ERP =&gt; SOUS-SEGMENT'!$GP$61</f>
        <v>422.92563599999994</v>
      </c>
      <c r="AD60" s="427">
        <f>'ANALYSE - ERP =&gt; SOUS-SEGMENT'!$GS$61</f>
        <v>422.92563599999994</v>
      </c>
      <c r="AF60" s="430">
        <f>'ANALYSE - ERP =&gt; SOUS-SEGMENT'!$Q$61</f>
        <v>1</v>
      </c>
    </row>
    <row r="61" spans="1:32" ht="15" customHeight="1">
      <c r="A61" s="26">
        <v>58</v>
      </c>
      <c r="B61" s="26">
        <v>57</v>
      </c>
      <c r="C61" s="26">
        <v>59</v>
      </c>
      <c r="D61" s="422">
        <f>'ANALYSE - ERP =&gt; SOUS-SEGMENT'!$A$115</f>
        <v>108</v>
      </c>
      <c r="E61" s="415" t="str">
        <f>'ANALYSE - ERP =&gt; SOUS-SEGMENT'!$B$115</f>
        <v>Culte, Vie civique &amp; Services publics</v>
      </c>
      <c r="F61" s="415" t="str">
        <f>'ANALYSE - ERP =&gt; SOUS-SEGMENT'!$C$115</f>
        <v>Culte</v>
      </c>
      <c r="G61" s="415" t="str">
        <f>'ANALYSE - ERP =&gt; SOUS-SEGMENT'!$D$115</f>
        <v>Temples protestants, évangéliques et salles de culte assimilées</v>
      </c>
      <c r="I61" s="427">
        <f t="shared" si="5"/>
        <v>473.25113186813189</v>
      </c>
      <c r="K61" s="787">
        <f t="shared" si="3"/>
        <v>0.68716398117088262</v>
      </c>
      <c r="L61" s="787">
        <f t="shared" si="4"/>
        <v>0.31283601882911732</v>
      </c>
      <c r="N61" s="424">
        <f>'ANALYSE - ERP =&gt; SOUS-SEGMENT'!$FA$115</f>
        <v>2366.2556593406593</v>
      </c>
      <c r="O61" s="427">
        <f>'ANALYSE - ERP =&gt; SOUS-SEGMENT'!$GH$115</f>
        <v>816.2747307692307</v>
      </c>
      <c r="P61" s="427">
        <f>'ANALYSE - ERP =&gt; SOUS-SEGMENT'!$GK$115</f>
        <v>1104.9739285714286</v>
      </c>
      <c r="Q61" s="427">
        <f>'ANALYSE - ERP =&gt; SOUS-SEGMENT'!$GN$115</f>
        <v>349.0215</v>
      </c>
      <c r="R61" s="427">
        <f>'ANALYSE - ERP =&gt; SOUS-SEGMENT'!$GQ$115</f>
        <v>95.985500000000002</v>
      </c>
      <c r="T61" s="424">
        <f>'ANALYSE - ERP =&gt; SOUS-SEGMENT'!$FB$115</f>
        <v>1626.0056593406593</v>
      </c>
      <c r="U61" s="427">
        <f>'ANALYSE - ERP =&gt; SOUS-SEGMENT'!$GI$115</f>
        <v>586.79723076923074</v>
      </c>
      <c r="V61" s="427">
        <f>'ANALYSE - ERP =&gt; SOUS-SEGMENT'!$GL$115</f>
        <v>727.44642857142867</v>
      </c>
      <c r="W61" s="427">
        <f>'ANALYSE - ERP =&gt; SOUS-SEGMENT'!$GO$115</f>
        <v>237.98400000000001</v>
      </c>
      <c r="X61" s="427">
        <f>'ANALYSE - ERP =&gt; SOUS-SEGMENT'!$GR$115</f>
        <v>73.778000000000006</v>
      </c>
      <c r="Z61" s="427">
        <f>'ANALYSE - ERP =&gt; SOUS-SEGMENT'!$FC$115</f>
        <v>740.25</v>
      </c>
      <c r="AA61" s="427">
        <f>'ANALYSE - ERP =&gt; SOUS-SEGMENT'!$GJ$115</f>
        <v>229.47749999999999</v>
      </c>
      <c r="AB61" s="427">
        <f>'ANALYSE - ERP =&gt; SOUS-SEGMENT'!$GM$115</f>
        <v>377.52750000000003</v>
      </c>
      <c r="AC61" s="427">
        <f>'ANALYSE - ERP =&gt; SOUS-SEGMENT'!$GP$115</f>
        <v>111.03749999999999</v>
      </c>
      <c r="AD61" s="427">
        <f>'ANALYSE - ERP =&gt; SOUS-SEGMENT'!$GS$115</f>
        <v>22.2075</v>
      </c>
      <c r="AF61" s="430">
        <f>'ANALYSE - ERP =&gt; SOUS-SEGMENT'!$Q$115</f>
        <v>1</v>
      </c>
    </row>
    <row r="62" spans="1:32" ht="15" customHeight="1">
      <c r="A62" s="26">
        <v>59</v>
      </c>
      <c r="B62" s="26">
        <v>56</v>
      </c>
      <c r="C62" s="26">
        <v>72</v>
      </c>
      <c r="D62" s="422">
        <f>'ANALYSE - ERP =&gt; SOUS-SEGMENT'!$A$31</f>
        <v>24</v>
      </c>
      <c r="E62" s="410" t="str">
        <f>'ANALYSE - ERP =&gt; SOUS-SEGMENT'!$B$31</f>
        <v>Sports &amp; Loisirs</v>
      </c>
      <c r="F62" s="410" t="str">
        <f>'ANALYSE - ERP =&gt; SOUS-SEGMENT'!$C$31</f>
        <v>Sport de plein air</v>
      </c>
      <c r="G62" s="410" t="str">
        <f>'ANALYSE - ERP =&gt; SOUS-SEGMENT'!$D$31</f>
        <v>Piscines extérieures 
(Hors campings, hôtels, résidences et établissement avec bassin intérieur)</v>
      </c>
      <c r="I62" s="427">
        <f t="shared" si="5"/>
        <v>876.95693174545454</v>
      </c>
      <c r="K62" s="787">
        <f t="shared" si="3"/>
        <v>0.88624960201699543</v>
      </c>
      <c r="L62" s="787">
        <f t="shared" si="4"/>
        <v>0.11375039798300454</v>
      </c>
      <c r="N62" s="424">
        <f>'ANALYSE - ERP =&gt; SOUS-SEGMENT'!$FA$31</f>
        <v>4384.7846587272725</v>
      </c>
      <c r="O62" s="427">
        <f>'ANALYSE - ERP =&gt; SOUS-SEGMENT'!$GH$31</f>
        <v>441.30240000000003</v>
      </c>
      <c r="P62" s="427">
        <f>'ANALYSE - ERP =&gt; SOUS-SEGMENT'!$GK$31</f>
        <v>3218.4113127272722</v>
      </c>
      <c r="Q62" s="427">
        <f>'ANALYSE - ERP =&gt; SOUS-SEGMENT'!$GN$31</f>
        <v>433.59707400000002</v>
      </c>
      <c r="R62" s="427">
        <f>'ANALYSE - ERP =&gt; SOUS-SEGMENT'!$GQ$31</f>
        <v>291.47387199999997</v>
      </c>
      <c r="T62" s="424">
        <f>'ANALYSE - ERP =&gt; SOUS-SEGMENT'!$FB$31</f>
        <v>3886.0136587272723</v>
      </c>
      <c r="U62" s="427">
        <f>'ANALYSE - ERP =&gt; SOUS-SEGMENT'!$GI$31</f>
        <v>401.40072000000004</v>
      </c>
      <c r="V62" s="427">
        <f>'ANALYSE - ERP =&gt; SOUS-SEGMENT'!$GL$31</f>
        <v>2839.3453527272723</v>
      </c>
      <c r="W62" s="427">
        <f>'ANALYSE - ERP =&gt; SOUS-SEGMENT'!$GO$31</f>
        <v>383.71997400000004</v>
      </c>
      <c r="X62" s="427">
        <f>'ANALYSE - ERP =&gt; SOUS-SEGMENT'!$GR$31</f>
        <v>261.54761199999996</v>
      </c>
      <c r="Z62" s="427">
        <f>'ANALYSE - ERP =&gt; SOUS-SEGMENT'!$FC$31</f>
        <v>498.77100000000002</v>
      </c>
      <c r="AA62" s="427">
        <f>'ANALYSE - ERP =&gt; SOUS-SEGMENT'!$GJ$31</f>
        <v>39.901679999999999</v>
      </c>
      <c r="AB62" s="427">
        <f>'ANALYSE - ERP =&gt; SOUS-SEGMENT'!$GM$31</f>
        <v>379.06596000000002</v>
      </c>
      <c r="AC62" s="427">
        <f>'ANALYSE - ERP =&gt; SOUS-SEGMENT'!$GP$31</f>
        <v>49.877100000000006</v>
      </c>
      <c r="AD62" s="427">
        <f>'ANALYSE - ERP =&gt; SOUS-SEGMENT'!$GS$31</f>
        <v>29.926259999999999</v>
      </c>
      <c r="AF62" s="430">
        <f>'ANALYSE - ERP =&gt; SOUS-SEGMENT'!$Q$31</f>
        <v>1</v>
      </c>
    </row>
    <row r="63" spans="1:32" ht="15" customHeight="1">
      <c r="A63" s="26">
        <v>60</v>
      </c>
      <c r="B63" s="26">
        <v>61</v>
      </c>
      <c r="C63" s="26">
        <v>48</v>
      </c>
      <c r="D63" s="422">
        <f>'ANALYSE - ERP =&gt; SOUS-SEGMENT'!$A$53</f>
        <v>46</v>
      </c>
      <c r="E63" s="409" t="str">
        <f>'ANALYSE - ERP =&gt; SOUS-SEGMENT'!$B$53</f>
        <v>Santé &amp; Médico-social</v>
      </c>
      <c r="F63" s="409" t="str">
        <f>'ANALYSE - ERP =&gt; SOUS-SEGMENT'!$C$53</f>
        <v>Santé ambulatoire</v>
      </c>
      <c r="G63" s="409" t="str">
        <f>'ANALYSE - ERP =&gt; SOUS-SEGMENT'!$D$53</f>
        <v>Centres de santé / Centres médicaux</v>
      </c>
      <c r="I63" s="427">
        <f t="shared" si="5"/>
        <v>864.38271110999995</v>
      </c>
      <c r="K63" s="787">
        <f t="shared" si="3"/>
        <v>0.6534092455235665</v>
      </c>
      <c r="L63" s="787">
        <f t="shared" si="4"/>
        <v>0.34659075447643356</v>
      </c>
      <c r="N63" s="424">
        <f>'ANALYSE - ERP =&gt; SOUS-SEGMENT'!$FA$53</f>
        <v>4321.9135555499997</v>
      </c>
      <c r="O63" s="427">
        <f>'ANALYSE - ERP =&gt; SOUS-SEGMENT'!$GH$53</f>
        <v>1759.2322119749999</v>
      </c>
      <c r="P63" s="427">
        <f>'ANALYSE - ERP =&gt; SOUS-SEGMENT'!$GK$53</f>
        <v>1002.3168168750001</v>
      </c>
      <c r="Q63" s="427">
        <f>'ANALYSE - ERP =&gt; SOUS-SEGMENT'!$GN$53</f>
        <v>1085.0610024</v>
      </c>
      <c r="R63" s="427">
        <f>'ANALYSE - ERP =&gt; SOUS-SEGMENT'!$GQ$53</f>
        <v>475.30352430000005</v>
      </c>
      <c r="T63" s="424">
        <f>'ANALYSE - ERP =&gt; SOUS-SEGMENT'!$FB$53</f>
        <v>2823.97827555</v>
      </c>
      <c r="U63" s="427">
        <f>'ANALYSE - ERP =&gt; SOUS-SEGMENT'!$GI$53</f>
        <v>1130.099394375</v>
      </c>
      <c r="V63" s="427">
        <f>'ANALYSE - ERP =&gt; SOUS-SEGMENT'!$GL$53</f>
        <v>627.83299687500005</v>
      </c>
      <c r="W63" s="427">
        <f>'ANALYSE - ERP =&gt; SOUS-SEGMENT'!$GO$53</f>
        <v>740.535888</v>
      </c>
      <c r="X63" s="427">
        <f>'ANALYSE - ERP =&gt; SOUS-SEGMENT'!$GR$53</f>
        <v>325.50999630000001</v>
      </c>
      <c r="Z63" s="427">
        <f>'ANALYSE - ERP =&gt; SOUS-SEGMENT'!$FC$53</f>
        <v>1497.9352799999999</v>
      </c>
      <c r="AA63" s="427">
        <f>'ANALYSE - ERP =&gt; SOUS-SEGMENT'!$GJ$53</f>
        <v>629.13281759999995</v>
      </c>
      <c r="AB63" s="427">
        <f>'ANALYSE - ERP =&gt; SOUS-SEGMENT'!$GM$53</f>
        <v>374.48381999999998</v>
      </c>
      <c r="AC63" s="427">
        <f>'ANALYSE - ERP =&gt; SOUS-SEGMENT'!$GP$53</f>
        <v>344.52511440000001</v>
      </c>
      <c r="AD63" s="427">
        <f>'ANALYSE - ERP =&gt; SOUS-SEGMENT'!$GS$53</f>
        <v>149.79352800000001</v>
      </c>
      <c r="AF63" s="430">
        <f>'ANALYSE - ERP =&gt; SOUS-SEGMENT'!$Q$53</f>
        <v>1</v>
      </c>
    </row>
    <row r="64" spans="1:32" ht="15" customHeight="1">
      <c r="A64" s="26">
        <v>61</v>
      </c>
      <c r="B64" s="26">
        <v>64</v>
      </c>
      <c r="C64" s="26">
        <v>44</v>
      </c>
      <c r="D64" s="422">
        <f>'ANALYSE - ERP =&gt; SOUS-SEGMENT'!$A$18</f>
        <v>11</v>
      </c>
      <c r="E64" s="411" t="str">
        <f>'ANALYSE - ERP =&gt; SOUS-SEGMENT'!$B$18</f>
        <v>Enfance, Enseignement, Jeunesse &amp; Formation</v>
      </c>
      <c r="F64" s="411" t="str">
        <f>'ANALYSE - ERP =&gt; SOUS-SEGMENT'!$C$18</f>
        <v>Enseignement supérieur</v>
      </c>
      <c r="G64" s="411" t="str">
        <f>'ANALYSE - ERP =&gt; SOUS-SEGMENT'!$D$18</f>
        <v>Résidences étudiantes et dortoirs</v>
      </c>
      <c r="I64" s="427">
        <f t="shared" si="5"/>
        <v>857.4937249663999</v>
      </c>
      <c r="K64" s="787">
        <f t="shared" si="3"/>
        <v>0.57930148583403862</v>
      </c>
      <c r="L64" s="787">
        <f t="shared" si="4"/>
        <v>0.42069851416596138</v>
      </c>
      <c r="N64" s="424">
        <f>'ANALYSE - ERP =&gt; SOUS-SEGMENT'!$FA$18</f>
        <v>4287.4686248319995</v>
      </c>
      <c r="O64" s="427">
        <f>'ANALYSE - ERP =&gt; SOUS-SEGMENT'!$GH$18</f>
        <v>1764.6621888294399</v>
      </c>
      <c r="P64" s="427">
        <f>'ANALYSE - ERP =&gt; SOUS-SEGMENT'!$GK$18</f>
        <v>1714.9874499327998</v>
      </c>
      <c r="Q64" s="427">
        <f>'ANALYSE - ERP =&gt; SOUS-SEGMENT'!$GN$18</f>
        <v>482.85881288320002</v>
      </c>
      <c r="R64" s="427">
        <f>'ANALYSE - ERP =&gt; SOUS-SEGMENT'!$GQ$18</f>
        <v>324.96017318655998</v>
      </c>
      <c r="T64" s="424">
        <f>'ANALYSE - ERP =&gt; SOUS-SEGMENT'!$FB$18</f>
        <v>2483.7369448319996</v>
      </c>
      <c r="U64" s="427">
        <f>'ANALYSE - ERP =&gt; SOUS-SEGMENT'!$GI$18</f>
        <v>1043.1695168294398</v>
      </c>
      <c r="V64" s="427">
        <f>'ANALYSE - ERP =&gt; SOUS-SEGMENT'!$GL$18</f>
        <v>993.49477793279993</v>
      </c>
      <c r="W64" s="427">
        <f>'ANALYSE - ERP =&gt; SOUS-SEGMENT'!$GO$18</f>
        <v>248.37369448319998</v>
      </c>
      <c r="X64" s="427">
        <f>'ANALYSE - ERP =&gt; SOUS-SEGMENT'!$GR$18</f>
        <v>198.69895558655998</v>
      </c>
      <c r="Z64" s="427">
        <f>'ANALYSE - ERP =&gt; SOUS-SEGMENT'!$FC$18</f>
        <v>1803.7316799999999</v>
      </c>
      <c r="AA64" s="427">
        <f>'ANALYSE - ERP =&gt; SOUS-SEGMENT'!$GJ$18</f>
        <v>721.49267199999997</v>
      </c>
      <c r="AB64" s="427">
        <f>'ANALYSE - ERP =&gt; SOUS-SEGMENT'!$GM$18</f>
        <v>721.49267199999997</v>
      </c>
      <c r="AC64" s="427">
        <f>'ANALYSE - ERP =&gt; SOUS-SEGMENT'!$GP$18</f>
        <v>234.4851184</v>
      </c>
      <c r="AD64" s="427">
        <f>'ANALYSE - ERP =&gt; SOUS-SEGMENT'!$GS$18</f>
        <v>126.26121760000001</v>
      </c>
      <c r="AF64" s="430">
        <f>'ANALYSE - ERP =&gt; SOUS-SEGMENT'!$Q$18</f>
        <v>1</v>
      </c>
    </row>
    <row r="65" spans="1:32" s="45" customFormat="1" ht="15" customHeight="1">
      <c r="A65" s="26">
        <v>62</v>
      </c>
      <c r="B65" s="26">
        <v>62</v>
      </c>
      <c r="C65" s="26">
        <v>49</v>
      </c>
      <c r="D65" s="422">
        <f>'ANALYSE - ERP =&gt; SOUS-SEGMENT'!$A$16</f>
        <v>9</v>
      </c>
      <c r="E65" s="411" t="str">
        <f>'ANALYSE - ERP =&gt; SOUS-SEGMENT'!$B$16</f>
        <v>Enfance, Enseignement, Jeunesse &amp; Formation</v>
      </c>
      <c r="F65" s="411" t="str">
        <f>'ANALYSE - ERP =&gt; SOUS-SEGMENT'!$C$16</f>
        <v>Enseignement supérieur</v>
      </c>
      <c r="G65" s="411" t="str">
        <f>'ANALYSE - ERP =&gt; SOUS-SEGMENT'!$D$16</f>
        <v>Universités</v>
      </c>
      <c r="H65" s="685"/>
      <c r="I65" s="427">
        <f t="shared" si="5"/>
        <v>775.07886960000008</v>
      </c>
      <c r="J65" s="685"/>
      <c r="K65" s="787">
        <f t="shared" si="3"/>
        <v>0.65012141262481915</v>
      </c>
      <c r="L65" s="787">
        <f t="shared" si="4"/>
        <v>0.34987858737518085</v>
      </c>
      <c r="M65" s="685"/>
      <c r="N65" s="424">
        <f>'ANALYSE - ERP =&gt; SOUS-SEGMENT'!$FA$16</f>
        <v>3875.3943480000003</v>
      </c>
      <c r="O65" s="427">
        <f>'ANALYSE - ERP =&gt; SOUS-SEGMENT'!$GH$16</f>
        <v>747.9605196</v>
      </c>
      <c r="P65" s="427">
        <f>'ANALYSE - ERP =&gt; SOUS-SEGMENT'!$GK$16</f>
        <v>2131.4668914000003</v>
      </c>
      <c r="Q65" s="427">
        <f>'ANALYSE - ERP =&gt; SOUS-SEGMENT'!$GN$16</f>
        <v>815.75639460000002</v>
      </c>
      <c r="R65" s="427">
        <f>'ANALYSE - ERP =&gt; SOUS-SEGMENT'!$GQ$16</f>
        <v>180.21054240000001</v>
      </c>
      <c r="S65" s="685"/>
      <c r="T65" s="424">
        <f>'ANALYSE - ERP =&gt; SOUS-SEGMENT'!$FB$16</f>
        <v>2519.4768480000002</v>
      </c>
      <c r="U65" s="427">
        <f>'ANALYSE - ERP =&gt; SOUS-SEGMENT'!$GI$16</f>
        <v>503.89536959999998</v>
      </c>
      <c r="V65" s="427">
        <f>'ANALYSE - ERP =&gt; SOUS-SEGMENT'!$GL$16</f>
        <v>1385.7122664000001</v>
      </c>
      <c r="W65" s="427">
        <f>'ANALYSE - ERP =&gt; SOUS-SEGMENT'!$GO$16</f>
        <v>503.89536959999998</v>
      </c>
      <c r="X65" s="427">
        <f>'ANALYSE - ERP =&gt; SOUS-SEGMENT'!$GR$16</f>
        <v>125.9738424</v>
      </c>
      <c r="Y65" s="685"/>
      <c r="Z65" s="427">
        <f>'ANALYSE - ERP =&gt; SOUS-SEGMENT'!$FC$16</f>
        <v>1355.9175</v>
      </c>
      <c r="AA65" s="427">
        <f>'ANALYSE - ERP =&gt; SOUS-SEGMENT'!$GJ$16</f>
        <v>244.06514999999999</v>
      </c>
      <c r="AB65" s="427">
        <f>'ANALYSE - ERP =&gt; SOUS-SEGMENT'!$GM$16</f>
        <v>745.75462500000003</v>
      </c>
      <c r="AC65" s="427">
        <f>'ANALYSE - ERP =&gt; SOUS-SEGMENT'!$GP$16</f>
        <v>311.86102500000004</v>
      </c>
      <c r="AD65" s="427">
        <f>'ANALYSE - ERP =&gt; SOUS-SEGMENT'!$GS$16</f>
        <v>54.236699999999999</v>
      </c>
      <c r="AE65" s="685"/>
      <c r="AF65" s="430">
        <f>'ANALYSE - ERP =&gt; SOUS-SEGMENT'!$Q$16</f>
        <v>1</v>
      </c>
    </row>
    <row r="66" spans="1:32" ht="15" customHeight="1">
      <c r="A66" s="26">
        <v>63</v>
      </c>
      <c r="B66" s="26">
        <v>58</v>
      </c>
      <c r="C66" s="26">
        <v>64</v>
      </c>
      <c r="D66" s="422">
        <f>'ANALYSE - ERP =&gt; SOUS-SEGMENT'!$A$150</f>
        <v>143</v>
      </c>
      <c r="E66" s="418" t="str">
        <f>'ANALYSE - ERP =&gt; SOUS-SEGMENT'!$B$150</f>
        <v>Sanitaires Publics</v>
      </c>
      <c r="F66" s="418" t="str">
        <f>'ANALYSE - ERP =&gt; SOUS-SEGMENT'!$C$150</f>
        <v>Sanitaires publics</v>
      </c>
      <c r="G66" s="418" t="str">
        <f>'ANALYSE - ERP =&gt; SOUS-SEGMENT'!$D$150</f>
        <v>Toilettes publiques (sur la voie publique)</v>
      </c>
      <c r="I66" s="427">
        <f t="shared" si="5"/>
        <v>1518.7526592857143</v>
      </c>
      <c r="K66" s="787">
        <f t="shared" si="3"/>
        <v>0.78995921551174164</v>
      </c>
      <c r="L66" s="787">
        <f t="shared" si="4"/>
        <v>0.21004078448825836</v>
      </c>
      <c r="N66" s="424">
        <f>'ANALYSE - ERP =&gt; SOUS-SEGMENT'!$FA$150</f>
        <v>7593.7632964285713</v>
      </c>
      <c r="O66" s="427">
        <f>'ANALYSE - ERP =&gt; SOUS-SEGMENT'!$GH$150</f>
        <v>391.46474999999992</v>
      </c>
      <c r="P66" s="427">
        <f>'ANALYSE - ERP =&gt; SOUS-SEGMENT'!$GK$150</f>
        <v>3889.5111749999996</v>
      </c>
      <c r="Q66" s="427">
        <f>'ANALYSE - ERP =&gt; SOUS-SEGMENT'!$GN$150</f>
        <v>807.41297142857138</v>
      </c>
      <c r="R66" s="427">
        <f>'ANALYSE - ERP =&gt; SOUS-SEGMENT'!$GQ$150</f>
        <v>2505.3743999999997</v>
      </c>
      <c r="T66" s="424">
        <f>'ANALYSE - ERP =&gt; SOUS-SEGMENT'!$FB$150</f>
        <v>5998.7632964285713</v>
      </c>
      <c r="U66" s="427">
        <f>'ANALYSE - ERP =&gt; SOUS-SEGMENT'!$GI$150</f>
        <v>311.71474999999992</v>
      </c>
      <c r="V66" s="427">
        <f>'ANALYSE - ERP =&gt; SOUS-SEGMENT'!$GL$150</f>
        <v>3028.2111749999995</v>
      </c>
      <c r="W66" s="427">
        <f>'ANALYSE - ERP =&gt; SOUS-SEGMENT'!$GO$150</f>
        <v>663.86297142857143</v>
      </c>
      <c r="X66" s="427">
        <f>'ANALYSE - ERP =&gt; SOUS-SEGMENT'!$GR$150</f>
        <v>1994.9743999999998</v>
      </c>
      <c r="Z66" s="427">
        <f>'ANALYSE - ERP =&gt; SOUS-SEGMENT'!$FC$150</f>
        <v>1595</v>
      </c>
      <c r="AA66" s="427">
        <f>'ANALYSE - ERP =&gt; SOUS-SEGMENT'!$GJ$150</f>
        <v>79.75</v>
      </c>
      <c r="AB66" s="427">
        <f>'ANALYSE - ERP =&gt; SOUS-SEGMENT'!$GM$150</f>
        <v>861.30000000000007</v>
      </c>
      <c r="AC66" s="427">
        <f>'ANALYSE - ERP =&gt; SOUS-SEGMENT'!$GP$150</f>
        <v>143.54999999999998</v>
      </c>
      <c r="AD66" s="427">
        <f>'ANALYSE - ERP =&gt; SOUS-SEGMENT'!$GS$150</f>
        <v>510.40000000000003</v>
      </c>
      <c r="AF66" s="430">
        <f>'ANALYSE - ERP =&gt; SOUS-SEGMENT'!$Q$150</f>
        <v>1</v>
      </c>
    </row>
    <row r="67" spans="1:32" ht="15" customHeight="1">
      <c r="A67" s="26">
        <v>64</v>
      </c>
      <c r="B67" s="26">
        <v>59</v>
      </c>
      <c r="C67" s="26">
        <v>68</v>
      </c>
      <c r="D67" s="422">
        <f>'ANALYSE - ERP =&gt; SOUS-SEGMENT'!$A$64</f>
        <v>57</v>
      </c>
      <c r="E67" s="414" t="str">
        <f>'ANALYSE - ERP =&gt; SOUS-SEGMENT'!$B$64</f>
        <v>Culture, Patrimoine &amp; Evénementiel</v>
      </c>
      <c r="F67" s="414" t="str">
        <f>'ANALYSE - ERP =&gt; SOUS-SEGMENT'!$C$64</f>
        <v>Culture / spectacle</v>
      </c>
      <c r="G67" s="414" t="str">
        <f>'ANALYSE - ERP =&gt; SOUS-SEGMENT'!$D$64</f>
        <v>Musées</v>
      </c>
      <c r="I67" s="427">
        <f t="shared" si="5"/>
        <v>775.16762286769233</v>
      </c>
      <c r="K67" s="787">
        <f t="shared" ref="K67:K98" si="6">IFERROR(T67/N67,"")</f>
        <v>0.84120831112033001</v>
      </c>
      <c r="L67" s="787">
        <f t="shared" ref="L67:L98" si="7">IFERROR(Z67/N67,"")</f>
        <v>0.15879168887967005</v>
      </c>
      <c r="N67" s="424">
        <f>'ANALYSE - ERP =&gt; SOUS-SEGMENT'!$FA$64</f>
        <v>3875.8381143384618</v>
      </c>
      <c r="O67" s="427">
        <f>'ANALYSE - ERP =&gt; SOUS-SEGMENT'!$GH$64</f>
        <v>662.86221833846162</v>
      </c>
      <c r="P67" s="427">
        <f>'ANALYSE - ERP =&gt; SOUS-SEGMENT'!$GK$64</f>
        <v>2444.2728608000002</v>
      </c>
      <c r="Q67" s="427">
        <f>'ANALYSE - ERP =&gt; SOUS-SEGMENT'!$GN$64</f>
        <v>580.26170880000006</v>
      </c>
      <c r="R67" s="427">
        <f>'ANALYSE - ERP =&gt; SOUS-SEGMENT'!$GQ$64</f>
        <v>188.44132640000001</v>
      </c>
      <c r="T67" s="424">
        <f>'ANALYSE - ERP =&gt; SOUS-SEGMENT'!$FB$64</f>
        <v>3260.3872343384619</v>
      </c>
      <c r="U67" s="427">
        <f>'ANALYSE - ERP =&gt; SOUS-SEGMENT'!$GI$64</f>
        <v>564.39007753846158</v>
      </c>
      <c r="V67" s="427">
        <f>'ANALYSE - ERP =&gt; SOUS-SEGMENT'!$GL$64</f>
        <v>2038.0752800000002</v>
      </c>
      <c r="W67" s="427">
        <f>'ANALYSE - ERP =&gt; SOUS-SEGMENT'!$GO$64</f>
        <v>487.94407680000006</v>
      </c>
      <c r="X67" s="427">
        <f>'ANALYSE - ERP =&gt; SOUS-SEGMENT'!$GR$64</f>
        <v>169.9778</v>
      </c>
      <c r="Z67" s="427">
        <f>'ANALYSE - ERP =&gt; SOUS-SEGMENT'!$FC$64</f>
        <v>615.45087999999998</v>
      </c>
      <c r="AA67" s="427">
        <f>'ANALYSE - ERP =&gt; SOUS-SEGMENT'!$GJ$64</f>
        <v>98.472140800000005</v>
      </c>
      <c r="AB67" s="427">
        <f>'ANALYSE - ERP =&gt; SOUS-SEGMENT'!$GM$64</f>
        <v>406.19758080000003</v>
      </c>
      <c r="AC67" s="427">
        <f>'ANALYSE - ERP =&gt; SOUS-SEGMENT'!$GP$64</f>
        <v>92.317631999999989</v>
      </c>
      <c r="AD67" s="427">
        <f>'ANALYSE - ERP =&gt; SOUS-SEGMENT'!$GS$64</f>
        <v>18.463526399999999</v>
      </c>
      <c r="AF67" s="430">
        <f>'ANALYSE - ERP =&gt; SOUS-SEGMENT'!$Q$64</f>
        <v>1</v>
      </c>
    </row>
    <row r="68" spans="1:32" ht="15" customHeight="1">
      <c r="A68" s="26">
        <v>65</v>
      </c>
      <c r="B68" s="26">
        <v>60</v>
      </c>
      <c r="C68" s="26">
        <v>66</v>
      </c>
      <c r="D68" s="422">
        <f>'ANALYSE - ERP =&gt; SOUS-SEGMENT'!$A$89</f>
        <v>82</v>
      </c>
      <c r="E68" s="412" t="str">
        <f>'ANALYSE - ERP =&gt; SOUS-SEGMENT'!$B$89</f>
        <v>Hébergement Touristique</v>
      </c>
      <c r="F68" s="412" t="str">
        <f>'ANALYSE - ERP =&gt; SOUS-SEGMENT'!$C$89</f>
        <v>Hébergement Touristique</v>
      </c>
      <c r="G68" s="412" t="str">
        <f>'ANALYSE - ERP =&gt; SOUS-SEGMENT'!$D$89</f>
        <v>Résidences de tourisme</v>
      </c>
      <c r="I68" s="427">
        <f t="shared" ref="I68:I99" si="8">N68/5</f>
        <v>938.98962631118889</v>
      </c>
      <c r="K68" s="787">
        <f t="shared" si="6"/>
        <v>0.67326582594393447</v>
      </c>
      <c r="L68" s="787">
        <f t="shared" si="7"/>
        <v>0.32673417405606564</v>
      </c>
      <c r="N68" s="424">
        <f>'ANALYSE - ERP =&gt; SOUS-SEGMENT'!$FA$89</f>
        <v>4694.9481315559442</v>
      </c>
      <c r="O68" s="427">
        <f>'ANALYSE - ERP =&gt; SOUS-SEGMENT'!$GH$89</f>
        <v>2524.9821875000007</v>
      </c>
      <c r="P68" s="427">
        <f>'ANALYSE - ERP =&gt; SOUS-SEGMENT'!$GK$89</f>
        <v>1556.6073076923076</v>
      </c>
      <c r="Q68" s="427">
        <f>'ANALYSE - ERP =&gt; SOUS-SEGMENT'!$GN$89</f>
        <v>354.245</v>
      </c>
      <c r="R68" s="427">
        <f>'ANALYSE - ERP =&gt; SOUS-SEGMENT'!$GQ$89</f>
        <v>259.11363636363637</v>
      </c>
      <c r="T68" s="424">
        <f>'ANALYSE - ERP =&gt; SOUS-SEGMENT'!$FB$89</f>
        <v>3160.9481315559447</v>
      </c>
      <c r="U68" s="427">
        <f>'ANALYSE - ERP =&gt; SOUS-SEGMENT'!$GI$89</f>
        <v>1757.9821875000005</v>
      </c>
      <c r="V68" s="427">
        <f>'ANALYSE - ERP =&gt; SOUS-SEGMENT'!$GL$89</f>
        <v>989.02730769230766</v>
      </c>
      <c r="W68" s="427">
        <f>'ANALYSE - ERP =&gt; SOUS-SEGMENT'!$GO$89</f>
        <v>231.52500000000001</v>
      </c>
      <c r="X68" s="427">
        <f>'ANALYSE - ERP =&gt; SOUS-SEGMENT'!$GR$89</f>
        <v>182.41363636363636</v>
      </c>
      <c r="Z68" s="427">
        <f>'ANALYSE - ERP =&gt; SOUS-SEGMENT'!$FC$89</f>
        <v>1534</v>
      </c>
      <c r="AA68" s="427">
        <f>'ANALYSE - ERP =&gt; SOUS-SEGMENT'!$GJ$89</f>
        <v>767</v>
      </c>
      <c r="AB68" s="427">
        <f>'ANALYSE - ERP =&gt; SOUS-SEGMENT'!$GM$89</f>
        <v>567.58000000000004</v>
      </c>
      <c r="AC68" s="427">
        <f>'ANALYSE - ERP =&gt; SOUS-SEGMENT'!$GP$89</f>
        <v>122.72</v>
      </c>
      <c r="AD68" s="427">
        <f>'ANALYSE - ERP =&gt; SOUS-SEGMENT'!$GS$89</f>
        <v>76.7</v>
      </c>
      <c r="AF68" s="430">
        <f>'ANALYSE - ERP =&gt; SOUS-SEGMENT'!$Q$89</f>
        <v>1</v>
      </c>
    </row>
    <row r="69" spans="1:32" ht="15" customHeight="1">
      <c r="A69" s="26">
        <v>66</v>
      </c>
      <c r="B69" s="26">
        <v>70</v>
      </c>
      <c r="C69" s="26">
        <v>53</v>
      </c>
      <c r="D69" s="422">
        <f>'ANALYSE - ERP =&gt; SOUS-SEGMENT'!$A$17</f>
        <v>10</v>
      </c>
      <c r="E69" s="411" t="str">
        <f>'ANALYSE - ERP =&gt; SOUS-SEGMENT'!$B$17</f>
        <v>Enfance, Enseignement, Jeunesse &amp; Formation</v>
      </c>
      <c r="F69" s="411" t="str">
        <f>'ANALYSE - ERP =&gt; SOUS-SEGMENT'!$C$17</f>
        <v>Enseignement supérieur</v>
      </c>
      <c r="G69" s="411" t="str">
        <f>'ANALYSE - ERP =&gt; SOUS-SEGMENT'!$D$17</f>
        <v>Grandes écoles</v>
      </c>
      <c r="I69" s="427">
        <f t="shared" si="8"/>
        <v>762.77623967999989</v>
      </c>
      <c r="K69" s="787">
        <f t="shared" si="6"/>
        <v>0.65690383839198929</v>
      </c>
      <c r="L69" s="787">
        <f t="shared" si="7"/>
        <v>0.34309616160801076</v>
      </c>
      <c r="N69" s="424">
        <f>'ANALYSE - ERP =&gt; SOUS-SEGMENT'!$FA$17</f>
        <v>3813.8811983999994</v>
      </c>
      <c r="O69" s="427">
        <f>'ANALYSE - ERP =&gt; SOUS-SEGMENT'!$GH$17</f>
        <v>736.60567967999987</v>
      </c>
      <c r="P69" s="427">
        <f>'ANALYSE - ERP =&gt; SOUS-SEGMENT'!$GK$17</f>
        <v>2097.6346591199999</v>
      </c>
      <c r="Q69" s="427">
        <f>'ANALYSE - ERP =&gt; SOUS-SEGMENT'!$GN$17</f>
        <v>802.03207967999992</v>
      </c>
      <c r="R69" s="427">
        <f>'ANALYSE - ERP =&gt; SOUS-SEGMENT'!$GQ$17</f>
        <v>177.60877991999999</v>
      </c>
      <c r="T69" s="424">
        <f>'ANALYSE - ERP =&gt; SOUS-SEGMENT'!$FB$17</f>
        <v>2505.3531983999997</v>
      </c>
      <c r="U69" s="427">
        <f>'ANALYSE - ERP =&gt; SOUS-SEGMENT'!$GI$17</f>
        <v>501.07063967999994</v>
      </c>
      <c r="V69" s="427">
        <f>'ANALYSE - ERP =&gt; SOUS-SEGMENT'!$GL$17</f>
        <v>1377.94425912</v>
      </c>
      <c r="W69" s="427">
        <f>'ANALYSE - ERP =&gt; SOUS-SEGMENT'!$GO$17</f>
        <v>501.07063967999994</v>
      </c>
      <c r="X69" s="427">
        <f>'ANALYSE - ERP =&gt; SOUS-SEGMENT'!$GR$17</f>
        <v>125.26765991999999</v>
      </c>
      <c r="Z69" s="427">
        <f>'ANALYSE - ERP =&gt; SOUS-SEGMENT'!$FC$17</f>
        <v>1308.528</v>
      </c>
      <c r="AA69" s="427">
        <f>'ANALYSE - ERP =&gt; SOUS-SEGMENT'!$GJ$17</f>
        <v>235.53503999999998</v>
      </c>
      <c r="AB69" s="427">
        <f>'ANALYSE - ERP =&gt; SOUS-SEGMENT'!$GM$17</f>
        <v>719.69040000000007</v>
      </c>
      <c r="AC69" s="427">
        <f>'ANALYSE - ERP =&gt; SOUS-SEGMENT'!$GP$17</f>
        <v>300.96144000000004</v>
      </c>
      <c r="AD69" s="427">
        <f>'ANALYSE - ERP =&gt; SOUS-SEGMENT'!$GS$17</f>
        <v>52.341120000000004</v>
      </c>
      <c r="AF69" s="430">
        <f>'ANALYSE - ERP =&gt; SOUS-SEGMENT'!$Q$17</f>
        <v>1</v>
      </c>
    </row>
    <row r="70" spans="1:32" ht="15" customHeight="1">
      <c r="A70" s="26">
        <v>67</v>
      </c>
      <c r="B70" s="26">
        <v>63</v>
      </c>
      <c r="C70" s="26">
        <v>69</v>
      </c>
      <c r="D70" s="422">
        <f>'ANALYSE - ERP =&gt; SOUS-SEGMENT'!$A$124</f>
        <v>117</v>
      </c>
      <c r="E70" s="413" t="str">
        <f>'ANALYSE - ERP =&gt; SOUS-SEGMENT'!$B$124</f>
        <v>Transport, Mobilité &amp; Stationnement</v>
      </c>
      <c r="F70" s="413" t="str">
        <f>'ANALYSE - ERP =&gt; SOUS-SEGMENT'!$C$124</f>
        <v>Transport / Mobilité</v>
      </c>
      <c r="G70" s="413" t="str">
        <f>'ANALYSE - ERP =&gt; SOUS-SEGMENT'!$D$124</f>
        <v>Aéroports / aérogares
(&gt;1 000 passagers/an)</v>
      </c>
      <c r="I70" s="427">
        <f t="shared" si="8"/>
        <v>673.3701145454545</v>
      </c>
      <c r="K70" s="787">
        <f t="shared" si="6"/>
        <v>0.81915680935409285</v>
      </c>
      <c r="L70" s="787">
        <f t="shared" si="7"/>
        <v>0.1808431906459072</v>
      </c>
      <c r="N70" s="424">
        <f>'ANALYSE - ERP =&gt; SOUS-SEGMENT'!$FA$124</f>
        <v>3366.8505727272723</v>
      </c>
      <c r="O70" s="427">
        <f>'ANALYSE - ERP =&gt; SOUS-SEGMENT'!$GH$124</f>
        <v>333.85352</v>
      </c>
      <c r="P70" s="427">
        <f>'ANALYSE - ERP =&gt; SOUS-SEGMENT'!$GK$124</f>
        <v>1400.8012967272725</v>
      </c>
      <c r="Q70" s="427">
        <f>'ANALYSE - ERP =&gt; SOUS-SEGMENT'!$GN$124</f>
        <v>1471.357716</v>
      </c>
      <c r="R70" s="427">
        <f>'ANALYSE - ERP =&gt; SOUS-SEGMENT'!$GQ$124</f>
        <v>160.83803999999998</v>
      </c>
      <c r="T70" s="424">
        <f>'ANALYSE - ERP =&gt; SOUS-SEGMENT'!$FB$124</f>
        <v>2757.9785727272724</v>
      </c>
      <c r="U70" s="427">
        <f>'ANALYSE - ERP =&gt; SOUS-SEGMENT'!$GI$124</f>
        <v>285.14375999999999</v>
      </c>
      <c r="V70" s="427">
        <f>'ANALYSE - ERP =&gt; SOUS-SEGMENT'!$GL$124</f>
        <v>1114.6314567272725</v>
      </c>
      <c r="W70" s="427">
        <f>'ANALYSE - ERP =&gt; SOUS-SEGMENT'!$GO$124</f>
        <v>1215.631476</v>
      </c>
      <c r="X70" s="427">
        <f>'ANALYSE - ERP =&gt; SOUS-SEGMENT'!$GR$124</f>
        <v>142.57187999999999</v>
      </c>
      <c r="Z70" s="427">
        <f>'ANALYSE - ERP =&gt; SOUS-SEGMENT'!$FC$124</f>
        <v>608.87199999999996</v>
      </c>
      <c r="AA70" s="427">
        <f>'ANALYSE - ERP =&gt; SOUS-SEGMENT'!$GJ$124</f>
        <v>48.709759999999996</v>
      </c>
      <c r="AB70" s="427">
        <f>'ANALYSE - ERP =&gt; SOUS-SEGMENT'!$GM$124</f>
        <v>286.16983999999997</v>
      </c>
      <c r="AC70" s="427">
        <f>'ANALYSE - ERP =&gt; SOUS-SEGMENT'!$GP$124</f>
        <v>255.72623999999996</v>
      </c>
      <c r="AD70" s="427">
        <f>'ANALYSE - ERP =&gt; SOUS-SEGMENT'!$GS$124</f>
        <v>18.266159999999999</v>
      </c>
      <c r="AF70" s="430">
        <f>'ANALYSE - ERP =&gt; SOUS-SEGMENT'!$Q$124</f>
        <v>1</v>
      </c>
    </row>
    <row r="71" spans="1:32" ht="15" customHeight="1">
      <c r="A71" s="26">
        <v>68</v>
      </c>
      <c r="B71" s="26">
        <v>66</v>
      </c>
      <c r="C71" s="26">
        <v>62</v>
      </c>
      <c r="D71" s="422">
        <f>'ANALYSE - ERP =&gt; SOUS-SEGMENT'!$A$81</f>
        <v>74</v>
      </c>
      <c r="E71" s="408" t="str">
        <f>'ANALYSE - ERP =&gt; SOUS-SEGMENT'!$B$81</f>
        <v>Commerce, Restauration &amp; Loisirs</v>
      </c>
      <c r="F71" s="408" t="str">
        <f>'ANALYSE - ERP =&gt; SOUS-SEGMENT'!$C$81</f>
        <v>Commerce</v>
      </c>
      <c r="G71" s="408" t="str">
        <f>'ANALYSE - ERP =&gt; SOUS-SEGMENT'!$D$81</f>
        <v>Marchés couverts</v>
      </c>
      <c r="I71" s="427">
        <f t="shared" si="8"/>
        <v>579.72744785757573</v>
      </c>
      <c r="K71" s="787">
        <f t="shared" si="6"/>
        <v>0.7297723256351889</v>
      </c>
      <c r="L71" s="787">
        <f t="shared" si="7"/>
        <v>0.27022767436481115</v>
      </c>
      <c r="N71" s="424">
        <f>'ANALYSE - ERP =&gt; SOUS-SEGMENT'!$FA$81</f>
        <v>2898.6372392878784</v>
      </c>
      <c r="O71" s="427">
        <f>'ANALYSE - ERP =&gt; SOUS-SEGMENT'!$GH$81</f>
        <v>1165.5292879999997</v>
      </c>
      <c r="P71" s="427">
        <f>'ANALYSE - ERP =&gt; SOUS-SEGMENT'!$GK$81</f>
        <v>1035.0058254545454</v>
      </c>
      <c r="Q71" s="427">
        <f>'ANALYSE - ERP =&gt; SOUS-SEGMENT'!$GN$81</f>
        <v>545.66263249999997</v>
      </c>
      <c r="R71" s="427">
        <f>'ANALYSE - ERP =&gt; SOUS-SEGMENT'!$GQ$81</f>
        <v>152.43949333333333</v>
      </c>
      <c r="T71" s="424">
        <f>'ANALYSE - ERP =&gt; SOUS-SEGMENT'!$FB$81</f>
        <v>2115.3452392878785</v>
      </c>
      <c r="U71" s="427">
        <f>'ANALYSE - ERP =&gt; SOUS-SEGMENT'!$GI$81</f>
        <v>883.5441679999999</v>
      </c>
      <c r="V71" s="427">
        <f>'ANALYSE - ERP =&gt; SOUS-SEGMENT'!$GL$81</f>
        <v>729.5219454545454</v>
      </c>
      <c r="W71" s="427">
        <f>'ANALYSE - ERP =&gt; SOUS-SEGMENT'!$GO$81</f>
        <v>389.0042325</v>
      </c>
      <c r="X71" s="427">
        <f>'ANALYSE - ERP =&gt; SOUS-SEGMENT'!$GR$81</f>
        <v>113.27489333333332</v>
      </c>
      <c r="Z71" s="427">
        <f>'ANALYSE - ERP =&gt; SOUS-SEGMENT'!$FC$81</f>
        <v>783.29199999999992</v>
      </c>
      <c r="AA71" s="427">
        <f>'ANALYSE - ERP =&gt; SOUS-SEGMENT'!$GJ$81</f>
        <v>281.98511999999994</v>
      </c>
      <c r="AB71" s="427">
        <f>'ANALYSE - ERP =&gt; SOUS-SEGMENT'!$GM$81</f>
        <v>305.48388</v>
      </c>
      <c r="AC71" s="427">
        <f>'ANALYSE - ERP =&gt; SOUS-SEGMENT'!$GP$81</f>
        <v>156.6584</v>
      </c>
      <c r="AD71" s="427">
        <f>'ANALYSE - ERP =&gt; SOUS-SEGMENT'!$GS$81</f>
        <v>39.1646</v>
      </c>
      <c r="AF71" s="430">
        <f>'ANALYSE - ERP =&gt; SOUS-SEGMENT'!$Q$81</f>
        <v>1</v>
      </c>
    </row>
    <row r="72" spans="1:32" ht="15" customHeight="1">
      <c r="A72" s="26">
        <v>69</v>
      </c>
      <c r="B72" s="26">
        <v>69</v>
      </c>
      <c r="C72" s="26">
        <v>71</v>
      </c>
      <c r="D72" s="422">
        <f>'ANALYSE - ERP =&gt; SOUS-SEGMENT'!$A$105</f>
        <v>98</v>
      </c>
      <c r="E72" s="415" t="str">
        <f>'ANALYSE - ERP =&gt; SOUS-SEGMENT'!$B$105</f>
        <v>Culte, Vie civique &amp; Services publics</v>
      </c>
      <c r="F72" s="415" t="str">
        <f>'ANALYSE - ERP =&gt; SOUS-SEGMENT'!$C$105</f>
        <v>Administrations / services publics</v>
      </c>
      <c r="G72" s="415" t="str">
        <f>'ANALYSE - ERP =&gt; SOUS-SEGMENT'!$D$105</f>
        <v>Préfectures / services administratifs</v>
      </c>
      <c r="I72" s="427">
        <f t="shared" si="8"/>
        <v>517.03065808430779</v>
      </c>
      <c r="K72" s="787">
        <f t="shared" si="6"/>
        <v>0.80953438938249145</v>
      </c>
      <c r="L72" s="787">
        <f t="shared" si="7"/>
        <v>0.19046561061750863</v>
      </c>
      <c r="N72" s="424">
        <f>'ANALYSE - ERP =&gt; SOUS-SEGMENT'!$FA$105</f>
        <v>2585.1532904215387</v>
      </c>
      <c r="O72" s="427">
        <f>'ANALYSE - ERP =&gt; SOUS-SEGMENT'!$GH$105</f>
        <v>441.16488747692307</v>
      </c>
      <c r="P72" s="427">
        <f>'ANALYSE - ERP =&gt; SOUS-SEGMENT'!$GK$105</f>
        <v>1603.6001545846157</v>
      </c>
      <c r="Q72" s="427">
        <f>'ANALYSE - ERP =&gt; SOUS-SEGMENT'!$GN$105</f>
        <v>439.25538636000005</v>
      </c>
      <c r="R72" s="427">
        <f>'ANALYSE - ERP =&gt; SOUS-SEGMENT'!$GQ$105</f>
        <v>101.13286200000002</v>
      </c>
      <c r="T72" s="424">
        <f>'ANALYSE - ERP =&gt; SOUS-SEGMENT'!$FB$105</f>
        <v>2092.7704904215389</v>
      </c>
      <c r="U72" s="427">
        <f>'ANALYSE - ERP =&gt; SOUS-SEGMENT'!$GI$105</f>
        <v>362.38363947692307</v>
      </c>
      <c r="V72" s="427">
        <f>'ANALYSE - ERP =&gt; SOUS-SEGMENT'!$GL$105</f>
        <v>1288.4751625846156</v>
      </c>
      <c r="W72" s="427">
        <f>'ANALYSE - ERP =&gt; SOUS-SEGMENT'!$GO$105</f>
        <v>355.55031036000003</v>
      </c>
      <c r="X72" s="427">
        <f>'ANALYSE - ERP =&gt; SOUS-SEGMENT'!$GR$105</f>
        <v>86.361378000000016</v>
      </c>
      <c r="Z72" s="427">
        <f>'ANALYSE - ERP =&gt; SOUS-SEGMENT'!$FC$105</f>
        <v>492.38280000000003</v>
      </c>
      <c r="AA72" s="427">
        <f>'ANALYSE - ERP =&gt; SOUS-SEGMENT'!$GJ$105</f>
        <v>78.781248000000005</v>
      </c>
      <c r="AB72" s="427">
        <f>'ANALYSE - ERP =&gt; SOUS-SEGMENT'!$GM$105</f>
        <v>315.12499200000002</v>
      </c>
      <c r="AC72" s="427">
        <f>'ANALYSE - ERP =&gt; SOUS-SEGMENT'!$GP$105</f>
        <v>83.705076000000005</v>
      </c>
      <c r="AD72" s="427">
        <f>'ANALYSE - ERP =&gt; SOUS-SEGMENT'!$GS$105</f>
        <v>14.771484000000001</v>
      </c>
      <c r="AF72" s="430">
        <f>'ANALYSE - ERP =&gt; SOUS-SEGMENT'!$Q$105</f>
        <v>1</v>
      </c>
    </row>
    <row r="73" spans="1:32" s="45" customFormat="1" ht="15" customHeight="1">
      <c r="A73" s="26">
        <v>70</v>
      </c>
      <c r="B73" s="26">
        <v>68</v>
      </c>
      <c r="C73" s="26">
        <v>75</v>
      </c>
      <c r="D73" s="422">
        <f>'ANALYSE - ERP =&gt; SOUS-SEGMENT'!$A$23</f>
        <v>16</v>
      </c>
      <c r="E73" s="410" t="str">
        <f>'ANALYSE - ERP =&gt; SOUS-SEGMENT'!$B$23</f>
        <v>Sports &amp; Loisirs</v>
      </c>
      <c r="F73" s="410" t="str">
        <f>'ANALYSE - ERP =&gt; SOUS-SEGMENT'!$C$23</f>
        <v>Sport couvert / Thermalisme / Bien-être</v>
      </c>
      <c r="G73" s="410" t="str">
        <f>'ANALYSE - ERP =&gt; SOUS-SEGMENT'!$D$23</f>
        <v>Patinoires couvertes</v>
      </c>
      <c r="H73" s="685"/>
      <c r="I73" s="427">
        <f t="shared" si="8"/>
        <v>583.278818909091</v>
      </c>
      <c r="J73" s="685"/>
      <c r="K73" s="787">
        <f t="shared" si="6"/>
        <v>0.8483538281650066</v>
      </c>
      <c r="L73" s="787">
        <f t="shared" si="7"/>
        <v>0.15164617183499338</v>
      </c>
      <c r="M73" s="685"/>
      <c r="N73" s="424">
        <f>'ANALYSE - ERP =&gt; SOUS-SEGMENT'!$FA$23</f>
        <v>2916.3940945454551</v>
      </c>
      <c r="O73" s="427">
        <f>'ANALYSE - ERP =&gt; SOUS-SEGMENT'!$GH$23</f>
        <v>296.52256000000011</v>
      </c>
      <c r="P73" s="427">
        <f>'ANALYSE - ERP =&gt; SOUS-SEGMENT'!$GK$23</f>
        <v>2259.9824545454549</v>
      </c>
      <c r="Q73" s="427">
        <f>'ANALYSE - ERP =&gt; SOUS-SEGMENT'!$GN$23</f>
        <v>230.71344000000002</v>
      </c>
      <c r="R73" s="427">
        <f>'ANALYSE - ERP =&gt; SOUS-SEGMENT'!$GQ$23</f>
        <v>129.17563999999999</v>
      </c>
      <c r="S73" s="685"/>
      <c r="T73" s="424">
        <f>'ANALYSE - ERP =&gt; SOUS-SEGMENT'!$FB$23</f>
        <v>2474.1340945454549</v>
      </c>
      <c r="U73" s="427">
        <f>'ANALYSE - ERP =&gt; SOUS-SEGMENT'!$GI$23</f>
        <v>261.14176000000009</v>
      </c>
      <c r="V73" s="427">
        <f>'ANALYSE - ERP =&gt; SOUS-SEGMENT'!$GL$23</f>
        <v>1901.751854545455</v>
      </c>
      <c r="W73" s="427">
        <f>'ANALYSE - ERP =&gt; SOUS-SEGMENT'!$GO$23</f>
        <v>195.33264000000003</v>
      </c>
      <c r="X73" s="427">
        <f>'ANALYSE - ERP =&gt; SOUS-SEGMENT'!$GR$23</f>
        <v>115.90783999999999</v>
      </c>
      <c r="Y73" s="685"/>
      <c r="Z73" s="427">
        <f>'ANALYSE - ERP =&gt; SOUS-SEGMENT'!$FC$23</f>
        <v>442.26</v>
      </c>
      <c r="AA73" s="427">
        <f>'ANALYSE - ERP =&gt; SOUS-SEGMENT'!$GJ$23</f>
        <v>35.380800000000001</v>
      </c>
      <c r="AB73" s="427">
        <f>'ANALYSE - ERP =&gt; SOUS-SEGMENT'!$GM$23</f>
        <v>358.23060000000004</v>
      </c>
      <c r="AC73" s="427">
        <f>'ANALYSE - ERP =&gt; SOUS-SEGMENT'!$GP$23</f>
        <v>35.380800000000001</v>
      </c>
      <c r="AD73" s="427">
        <f>'ANALYSE - ERP =&gt; SOUS-SEGMENT'!$GS$23</f>
        <v>13.267799999999999</v>
      </c>
      <c r="AE73" s="685"/>
      <c r="AF73" s="430">
        <f>'ANALYSE - ERP =&gt; SOUS-SEGMENT'!$Q$23</f>
        <v>1</v>
      </c>
    </row>
    <row r="74" spans="1:32" ht="15" customHeight="1">
      <c r="A74" s="26">
        <v>71</v>
      </c>
      <c r="B74" s="26">
        <v>65</v>
      </c>
      <c r="C74" s="26">
        <v>76</v>
      </c>
      <c r="D74" s="422">
        <f>'ANALYSE - ERP =&gt; SOUS-SEGMENT'!$A$119</f>
        <v>112</v>
      </c>
      <c r="E74" s="415" t="str">
        <f>'ANALYSE - ERP =&gt; SOUS-SEGMENT'!$B$119</f>
        <v>Culte, Vie civique &amp; Services publics</v>
      </c>
      <c r="F74" s="415" t="str">
        <f>'ANALYSE - ERP =&gt; SOUS-SEGMENT'!$C$119</f>
        <v>Culte</v>
      </c>
      <c r="G74" s="415" t="str">
        <f>'ANALYSE - ERP =&gt; SOUS-SEGMENT'!$D$119</f>
        <v>Salles du Royaume, centres cultuels pluriconfessionnels et lieux de culte polyvalents</v>
      </c>
      <c r="I74" s="427">
        <f t="shared" si="8"/>
        <v>177.79772727272729</v>
      </c>
      <c r="K74" s="787">
        <f t="shared" si="6"/>
        <v>0.8696113816773402</v>
      </c>
      <c r="L74" s="787">
        <f t="shared" si="7"/>
        <v>0.1303886183226598</v>
      </c>
      <c r="N74" s="424">
        <f>'ANALYSE - ERP =&gt; SOUS-SEGMENT'!$FA$119</f>
        <v>888.98863636363649</v>
      </c>
      <c r="O74" s="427">
        <f>'ANALYSE - ERP =&gt; SOUS-SEGMENT'!$GH$119</f>
        <v>90.858120000000014</v>
      </c>
      <c r="P74" s="427">
        <f>'ANALYSE - ERP =&gt; SOUS-SEGMENT'!$GK$119</f>
        <v>647.93827636363642</v>
      </c>
      <c r="Q74" s="427">
        <f>'ANALYSE - ERP =&gt; SOUS-SEGMENT'!$GN$119</f>
        <v>94.286400000000015</v>
      </c>
      <c r="R74" s="427">
        <f>'ANALYSE - ERP =&gt; SOUS-SEGMENT'!$GQ$119</f>
        <v>55.905839999999984</v>
      </c>
      <c r="T74" s="424">
        <f>'ANALYSE - ERP =&gt; SOUS-SEGMENT'!$FB$119</f>
        <v>773.0746363636365</v>
      </c>
      <c r="U74" s="427">
        <f>'ANALYSE - ERP =&gt; SOUS-SEGMENT'!$GI$119</f>
        <v>81.585000000000008</v>
      </c>
      <c r="V74" s="427">
        <f>'ANALYSE - ERP =&gt; SOUS-SEGMENT'!$GL$119</f>
        <v>559.84363636363639</v>
      </c>
      <c r="W74" s="427">
        <f>'ANALYSE - ERP =&gt; SOUS-SEGMENT'!$GO$119</f>
        <v>82.695000000000007</v>
      </c>
      <c r="X74" s="427">
        <f>'ANALYSE - ERP =&gt; SOUS-SEGMENT'!$GR$119</f>
        <v>48.950999999999986</v>
      </c>
      <c r="Z74" s="427">
        <f>'ANALYSE - ERP =&gt; SOUS-SEGMENT'!$FC$119</f>
        <v>115.914</v>
      </c>
      <c r="AA74" s="427">
        <f>'ANALYSE - ERP =&gt; SOUS-SEGMENT'!$GJ$119</f>
        <v>9.2731200000000005</v>
      </c>
      <c r="AB74" s="427">
        <f>'ANALYSE - ERP =&gt; SOUS-SEGMENT'!$GM$119</f>
        <v>88.094639999999998</v>
      </c>
      <c r="AC74" s="427">
        <f>'ANALYSE - ERP =&gt; SOUS-SEGMENT'!$GP$119</f>
        <v>11.5914</v>
      </c>
      <c r="AD74" s="427">
        <f>'ANALYSE - ERP =&gt; SOUS-SEGMENT'!$GS$119</f>
        <v>6.9548399999999999</v>
      </c>
      <c r="AF74" s="430">
        <f>'ANALYSE - ERP =&gt; SOUS-SEGMENT'!$Q$119</f>
        <v>1</v>
      </c>
    </row>
    <row r="75" spans="1:32" ht="15" customHeight="1">
      <c r="A75" s="26">
        <v>72</v>
      </c>
      <c r="B75" s="26">
        <v>67</v>
      </c>
      <c r="C75" s="26">
        <v>79</v>
      </c>
      <c r="D75" s="422">
        <f>'ANALYSE - ERP =&gt; SOUS-SEGMENT'!$A$114</f>
        <v>107</v>
      </c>
      <c r="E75" s="415" t="str">
        <f>'ANALYSE - ERP =&gt; SOUS-SEGMENT'!$B$114</f>
        <v>Culte, Vie civique &amp; Services publics</v>
      </c>
      <c r="F75" s="415" t="str">
        <f>'ANALYSE - ERP =&gt; SOUS-SEGMENT'!$C$114</f>
        <v>Culte</v>
      </c>
      <c r="G75" s="415" t="str">
        <f>'ANALYSE - ERP =&gt; SOUS-SEGMENT'!$D$114</f>
        <v>Monastères, abbayes et couvents ouverts au public</v>
      </c>
      <c r="I75" s="427">
        <f t="shared" si="8"/>
        <v>169.43699999999998</v>
      </c>
      <c r="K75" s="787">
        <f t="shared" si="6"/>
        <v>0.9086386090405284</v>
      </c>
      <c r="L75" s="787">
        <f t="shared" si="7"/>
        <v>9.1361390959471656E-2</v>
      </c>
      <c r="N75" s="424">
        <f>'ANALYSE - ERP =&gt; SOUS-SEGMENT'!$FA$114</f>
        <v>847.18499999999995</v>
      </c>
      <c r="O75" s="427">
        <f>'ANALYSE - ERP =&gt; SOUS-SEGMENT'!$GH$114</f>
        <v>86.666999999999987</v>
      </c>
      <c r="P75" s="427">
        <f>'ANALYSE - ERP =&gt; SOUS-SEGMENT'!$GK$114</f>
        <v>621.22399999999993</v>
      </c>
      <c r="Q75" s="427">
        <f>'ANALYSE - ERP =&gt; SOUS-SEGMENT'!$GN$114</f>
        <v>86.364999999999995</v>
      </c>
      <c r="R75" s="427">
        <f>'ANALYSE - ERP =&gt; SOUS-SEGMENT'!$GQ$114</f>
        <v>52.928999999999988</v>
      </c>
      <c r="T75" s="424">
        <f>'ANALYSE - ERP =&gt; SOUS-SEGMENT'!$FB$114</f>
        <v>769.78499999999997</v>
      </c>
      <c r="U75" s="427">
        <f>'ANALYSE - ERP =&gt; SOUS-SEGMENT'!$GI$114</f>
        <v>80.474999999999994</v>
      </c>
      <c r="V75" s="427">
        <f>'ANALYSE - ERP =&gt; SOUS-SEGMENT'!$GL$114</f>
        <v>562.4</v>
      </c>
      <c r="W75" s="427">
        <f>'ANALYSE - ERP =&gt; SOUS-SEGMENT'!$GO$114</f>
        <v>78.625</v>
      </c>
      <c r="X75" s="427">
        <f>'ANALYSE - ERP =&gt; SOUS-SEGMENT'!$GR$114</f>
        <v>48.284999999999989</v>
      </c>
      <c r="Z75" s="427">
        <f>'ANALYSE - ERP =&gt; SOUS-SEGMENT'!$FC$114</f>
        <v>77.399999999999991</v>
      </c>
      <c r="AA75" s="427">
        <f>'ANALYSE - ERP =&gt; SOUS-SEGMENT'!$GJ$114</f>
        <v>6.1919999999999993</v>
      </c>
      <c r="AB75" s="427">
        <f>'ANALYSE - ERP =&gt; SOUS-SEGMENT'!$GM$114</f>
        <v>58.823999999999991</v>
      </c>
      <c r="AC75" s="427">
        <f>'ANALYSE - ERP =&gt; SOUS-SEGMENT'!$GP$114</f>
        <v>7.7399999999999993</v>
      </c>
      <c r="AD75" s="427">
        <f>'ANALYSE - ERP =&gt; SOUS-SEGMENT'!$GS$114</f>
        <v>4.6439999999999992</v>
      </c>
      <c r="AF75" s="430">
        <f>'ANALYSE - ERP =&gt; SOUS-SEGMENT'!$Q$114</f>
        <v>1</v>
      </c>
    </row>
    <row r="76" spans="1:32" ht="15" customHeight="1">
      <c r="A76" s="26">
        <v>73</v>
      </c>
      <c r="B76" s="26">
        <v>72</v>
      </c>
      <c r="C76" s="26">
        <v>73</v>
      </c>
      <c r="D76" s="422">
        <f>'ANALYSE - ERP =&gt; SOUS-SEGMENT'!$A$140</f>
        <v>133</v>
      </c>
      <c r="E76" s="417" t="str">
        <f>'ANALYSE - ERP =&gt; SOUS-SEGMENT'!$B$140</f>
        <v>Sécurité &amp; Justice</v>
      </c>
      <c r="F76" s="417" t="str">
        <f>'ANALYSE - ERP =&gt; SOUS-SEGMENT'!$C$140</f>
        <v>Univers carcéral</v>
      </c>
      <c r="G76" s="417" t="str">
        <f>'ANALYSE - ERP =&gt; SOUS-SEGMENT'!$D$140</f>
        <v>Centres de détention</v>
      </c>
      <c r="I76" s="427">
        <f t="shared" si="8"/>
        <v>497.32498863636363</v>
      </c>
      <c r="K76" s="787">
        <f t="shared" si="6"/>
        <v>0.8109174038130682</v>
      </c>
      <c r="L76" s="787">
        <f t="shared" si="7"/>
        <v>0.18908259618693182</v>
      </c>
      <c r="N76" s="424">
        <f>'ANALYSE - ERP =&gt; SOUS-SEGMENT'!$FA$140</f>
        <v>2486.6249431818183</v>
      </c>
      <c r="O76" s="427">
        <f>'ANALYSE - ERP =&gt; SOUS-SEGMENT'!$GH$140</f>
        <v>51.028550000000003</v>
      </c>
      <c r="P76" s="427">
        <f>'ANALYSE - ERP =&gt; SOUS-SEGMENT'!$GK$140</f>
        <v>1648.8542931818183</v>
      </c>
      <c r="Q76" s="427">
        <f>'ANALYSE - ERP =&gt; SOUS-SEGMENT'!$GN$140</f>
        <v>35.419175000000003</v>
      </c>
      <c r="R76" s="427">
        <f>'ANALYSE - ERP =&gt; SOUS-SEGMENT'!$GQ$140</f>
        <v>751.32292500000005</v>
      </c>
      <c r="T76" s="424">
        <f>'ANALYSE - ERP =&gt; SOUS-SEGMENT'!$FB$140</f>
        <v>2016.4474431818182</v>
      </c>
      <c r="U76" s="427">
        <f>'ANALYSE - ERP =&gt; SOUS-SEGMENT'!$GI$140</f>
        <v>41.625</v>
      </c>
      <c r="V76" s="427">
        <f>'ANALYSE - ERP =&gt; SOUS-SEGMENT'!$GL$140</f>
        <v>1324.4318181818182</v>
      </c>
      <c r="W76" s="427">
        <f>'ANALYSE - ERP =&gt; SOUS-SEGMENT'!$GO$140</f>
        <v>26.015625</v>
      </c>
      <c r="X76" s="427">
        <f>'ANALYSE - ERP =&gt; SOUS-SEGMENT'!$GR$140</f>
        <v>624.375</v>
      </c>
      <c r="Z76" s="427">
        <f>'ANALYSE - ERP =&gt; SOUS-SEGMENT'!$FC$140</f>
        <v>470.17750000000001</v>
      </c>
      <c r="AA76" s="427">
        <f>'ANALYSE - ERP =&gt; SOUS-SEGMENT'!$GJ$140</f>
        <v>9.403550000000001</v>
      </c>
      <c r="AB76" s="427">
        <f>'ANALYSE - ERP =&gt; SOUS-SEGMENT'!$GM$140</f>
        <v>324.42247499999996</v>
      </c>
      <c r="AC76" s="427">
        <f>'ANALYSE - ERP =&gt; SOUS-SEGMENT'!$GP$140</f>
        <v>9.403550000000001</v>
      </c>
      <c r="AD76" s="427">
        <f>'ANALYSE - ERP =&gt; SOUS-SEGMENT'!$GS$140</f>
        <v>126.94792500000001</v>
      </c>
      <c r="AF76" s="430">
        <f>'ANALYSE - ERP =&gt; SOUS-SEGMENT'!$Q$140</f>
        <v>1</v>
      </c>
    </row>
    <row r="77" spans="1:32" ht="15" customHeight="1">
      <c r="A77" s="26">
        <v>74</v>
      </c>
      <c r="B77" s="26">
        <v>74</v>
      </c>
      <c r="C77" s="26">
        <v>70</v>
      </c>
      <c r="D77" s="422">
        <f>'ANALYSE - ERP =&gt; SOUS-SEGMENT'!$A$135</f>
        <v>128</v>
      </c>
      <c r="E77" s="417" t="str">
        <f>'ANALYSE - ERP =&gt; SOUS-SEGMENT'!$B$135</f>
        <v>Sécurité &amp; Justice</v>
      </c>
      <c r="F77" s="417" t="str">
        <f>'ANALYSE - ERP =&gt; SOUS-SEGMENT'!$C$135</f>
        <v>Forces armées</v>
      </c>
      <c r="G77" s="417" t="str">
        <f>'ANALYSE - ERP =&gt; SOUS-SEGMENT'!$D$135</f>
        <v>Unités d'hébergement des militaires &amp; réservistes</v>
      </c>
      <c r="I77" s="427">
        <f t="shared" si="8"/>
        <v>406.04267837236364</v>
      </c>
      <c r="K77" s="787">
        <f t="shared" si="6"/>
        <v>0.70838738313263205</v>
      </c>
      <c r="L77" s="787">
        <f t="shared" si="7"/>
        <v>0.291612616867368</v>
      </c>
      <c r="N77" s="424">
        <f>'ANALYSE - ERP =&gt; SOUS-SEGMENT'!$FA$135</f>
        <v>2030.2133918618181</v>
      </c>
      <c r="O77" s="427">
        <f>'ANALYSE - ERP =&gt; SOUS-SEGMENT'!$GH$135</f>
        <v>505.41620138181815</v>
      </c>
      <c r="P77" s="427">
        <f>'ANALYSE - ERP =&gt; SOUS-SEGMENT'!$GK$135</f>
        <v>1128.1520807999998</v>
      </c>
      <c r="Q77" s="427">
        <f>'ANALYSE - ERP =&gt; SOUS-SEGMENT'!$GN$135</f>
        <v>157.37756160000001</v>
      </c>
      <c r="R77" s="427">
        <f>'ANALYSE - ERP =&gt; SOUS-SEGMENT'!$GQ$135</f>
        <v>239.26754808000001</v>
      </c>
      <c r="T77" s="424">
        <f>'ANALYSE - ERP =&gt; SOUS-SEGMENT'!$FB$135</f>
        <v>1438.1775518618181</v>
      </c>
      <c r="U77" s="427">
        <f>'ANALYSE - ERP =&gt; SOUS-SEGMENT'!$GI$135</f>
        <v>369.24795818181815</v>
      </c>
      <c r="V77" s="427">
        <f>'ANALYSE - ERP =&gt; SOUS-SEGMENT'!$GL$135</f>
        <v>778.85093519999987</v>
      </c>
      <c r="W77" s="427">
        <f>'ANALYSE - ERP =&gt; SOUS-SEGMENT'!$GO$135</f>
        <v>110.0146944</v>
      </c>
      <c r="X77" s="427">
        <f>'ANALYSE - ERP =&gt; SOUS-SEGMENT'!$GR$135</f>
        <v>180.06396408000001</v>
      </c>
      <c r="Z77" s="427">
        <f>'ANALYSE - ERP =&gt; SOUS-SEGMENT'!$FC$135</f>
        <v>592.03584000000001</v>
      </c>
      <c r="AA77" s="427">
        <f>'ANALYSE - ERP =&gt; SOUS-SEGMENT'!$GJ$135</f>
        <v>136.16824320000001</v>
      </c>
      <c r="AB77" s="427">
        <f>'ANALYSE - ERP =&gt; SOUS-SEGMENT'!$GM$135</f>
        <v>349.30114559999998</v>
      </c>
      <c r="AC77" s="427">
        <f>'ANALYSE - ERP =&gt; SOUS-SEGMENT'!$GP$135</f>
        <v>47.362867200000004</v>
      </c>
      <c r="AD77" s="427">
        <f>'ANALYSE - ERP =&gt; SOUS-SEGMENT'!$GS$135</f>
        <v>59.203584000000006</v>
      </c>
      <c r="AF77" s="430">
        <f>'ANALYSE - ERP =&gt; SOUS-SEGMENT'!$Q$135</f>
        <v>1</v>
      </c>
    </row>
    <row r="78" spans="1:32" ht="15" customHeight="1">
      <c r="A78" s="26">
        <v>75</v>
      </c>
      <c r="B78" s="26">
        <v>77</v>
      </c>
      <c r="C78" s="26">
        <v>67</v>
      </c>
      <c r="D78" s="422">
        <f>'ANALYSE - ERP =&gt; SOUS-SEGMENT'!$A$72</f>
        <v>65</v>
      </c>
      <c r="E78" s="414" t="str">
        <f>'ANALYSE - ERP =&gt; SOUS-SEGMENT'!$B$72</f>
        <v>Culture, Patrimoine &amp; Evénementiel</v>
      </c>
      <c r="F78" s="414" t="str">
        <f>'ANALYSE - ERP =&gt; SOUS-SEGMENT'!$C$72</f>
        <v>Événementiel temporaire</v>
      </c>
      <c r="G78" s="414" t="str">
        <f>'ANALYSE - ERP =&gt; SOUS-SEGMENT'!$D$72</f>
        <v>Chapiteaux / Tentes / Structures</v>
      </c>
      <c r="I78" s="427">
        <f t="shared" si="8"/>
        <v>246.63300592505828</v>
      </c>
      <c r="K78" s="787">
        <f t="shared" si="6"/>
        <v>0.65850475006742504</v>
      </c>
      <c r="L78" s="787">
        <f t="shared" si="7"/>
        <v>0.34149524993257485</v>
      </c>
      <c r="N78" s="424">
        <f>'ANALYSE - ERP =&gt; SOUS-SEGMENT'!$FA$72</f>
        <v>1233.1650296252915</v>
      </c>
      <c r="O78" s="427">
        <f>'ANALYSE - ERP =&gt; SOUS-SEGMENT'!$GH$72</f>
        <v>301.20884791666663</v>
      </c>
      <c r="P78" s="427">
        <f>'ANALYSE - ERP =&gt; SOUS-SEGMENT'!$GK$72</f>
        <v>734.41269676923071</v>
      </c>
      <c r="Q78" s="427">
        <f>'ANALYSE - ERP =&gt; SOUS-SEGMENT'!$GN$72</f>
        <v>130.88456266666668</v>
      </c>
      <c r="R78" s="427">
        <f>'ANALYSE - ERP =&gt; SOUS-SEGMENT'!$GQ$72</f>
        <v>66.658922272727281</v>
      </c>
      <c r="T78" s="424">
        <f>'ANALYSE - ERP =&gt; SOUS-SEGMENT'!$FB$72</f>
        <v>812.04502962529136</v>
      </c>
      <c r="U78" s="427">
        <f>'ANALYSE - ERP =&gt; SOUS-SEGMENT'!$GI$72</f>
        <v>208.56244791666666</v>
      </c>
      <c r="V78" s="427">
        <f>'ANALYSE - ERP =&gt; SOUS-SEGMENT'!$GL$72</f>
        <v>473.31829676923076</v>
      </c>
      <c r="W78" s="427">
        <f>'ANALYSE - ERP =&gt; SOUS-SEGMENT'!$GO$72</f>
        <v>84.561362666666682</v>
      </c>
      <c r="X78" s="427">
        <f>'ANALYSE - ERP =&gt; SOUS-SEGMENT'!$GR$72</f>
        <v>45.602922272727277</v>
      </c>
      <c r="Z78" s="427">
        <f>'ANALYSE - ERP =&gt; SOUS-SEGMENT'!$FC$72</f>
        <v>421.12</v>
      </c>
      <c r="AA78" s="427">
        <f>'ANALYSE - ERP =&gt; SOUS-SEGMENT'!$GJ$72</f>
        <v>92.6464</v>
      </c>
      <c r="AB78" s="427">
        <f>'ANALYSE - ERP =&gt; SOUS-SEGMENT'!$GM$72</f>
        <v>261.09440000000001</v>
      </c>
      <c r="AC78" s="427">
        <f>'ANALYSE - ERP =&gt; SOUS-SEGMENT'!$GP$72</f>
        <v>46.3232</v>
      </c>
      <c r="AD78" s="427">
        <f>'ANALYSE - ERP =&gt; SOUS-SEGMENT'!$GS$72</f>
        <v>21.056000000000001</v>
      </c>
      <c r="AF78" s="430">
        <f>'ANALYSE - ERP =&gt; SOUS-SEGMENT'!$Q$72</f>
        <v>1</v>
      </c>
    </row>
    <row r="79" spans="1:32" ht="15" customHeight="1">
      <c r="A79" s="26">
        <v>76</v>
      </c>
      <c r="B79" s="26">
        <v>76</v>
      </c>
      <c r="C79" s="26">
        <v>74</v>
      </c>
      <c r="D79" s="422">
        <f>'ANALYSE - ERP =&gt; SOUS-SEGMENT'!$A$127</f>
        <v>120</v>
      </c>
      <c r="E79" s="413" t="str">
        <f>'ANALYSE - ERP =&gt; SOUS-SEGMENT'!$B$127</f>
        <v>Transport, Mobilité &amp; Stationnement</v>
      </c>
      <c r="F79" s="413" t="str">
        <f>'ANALYSE - ERP =&gt; SOUS-SEGMENT'!$C$127</f>
        <v>Transport / Mobilité</v>
      </c>
      <c r="G79" s="413" t="str">
        <f>'ANALYSE - ERP =&gt; SOUS-SEGMENT'!$D$127</f>
        <v>Terminaux maritimes / fluviaux</v>
      </c>
      <c r="I79" s="427">
        <f t="shared" si="8"/>
        <v>342.34538327250004</v>
      </c>
      <c r="K79" s="787">
        <f t="shared" si="6"/>
        <v>0.75389801026486392</v>
      </c>
      <c r="L79" s="787">
        <f t="shared" si="7"/>
        <v>0.24610198973513603</v>
      </c>
      <c r="N79" s="424">
        <f>'ANALYSE - ERP =&gt; SOUS-SEGMENT'!$FA$127</f>
        <v>1711.7269163625001</v>
      </c>
      <c r="O79" s="427">
        <f>'ANALYSE - ERP =&gt; SOUS-SEGMENT'!$GH$127</f>
        <v>210.5767764</v>
      </c>
      <c r="P79" s="427">
        <f>'ANALYSE - ERP =&gt; SOUS-SEGMENT'!$GK$127</f>
        <v>898.51739940000004</v>
      </c>
      <c r="Q79" s="427">
        <f>'ANALYSE - ERP =&gt; SOUS-SEGMENT'!$GN$127</f>
        <v>519.80711006249999</v>
      </c>
      <c r="R79" s="427">
        <f>'ANALYSE - ERP =&gt; SOUS-SEGMENT'!$GQ$127</f>
        <v>82.825630500000003</v>
      </c>
      <c r="T79" s="424">
        <f>'ANALYSE - ERP =&gt; SOUS-SEGMENT'!$FB$127</f>
        <v>1290.4675163625</v>
      </c>
      <c r="U79" s="427">
        <f>'ANALYSE - ERP =&gt; SOUS-SEGMENT'!$GI$127</f>
        <v>168.45083639999999</v>
      </c>
      <c r="V79" s="427">
        <f>'ANALYSE - ERP =&gt; SOUS-SEGMENT'!$GL$127</f>
        <v>654.18694740000001</v>
      </c>
      <c r="W79" s="427">
        <f>'ANALYSE - ERP =&gt; SOUS-SEGMENT'!$GO$127</f>
        <v>397.64188406250003</v>
      </c>
      <c r="X79" s="427">
        <f>'ANALYSE - ERP =&gt; SOUS-SEGMENT'!$GR$127</f>
        <v>70.187848500000001</v>
      </c>
      <c r="Z79" s="427">
        <f>'ANALYSE - ERP =&gt; SOUS-SEGMENT'!$FC$127</f>
        <v>421.25940000000003</v>
      </c>
      <c r="AA79" s="427">
        <f>'ANALYSE - ERP =&gt; SOUS-SEGMENT'!$GJ$127</f>
        <v>42.125940000000007</v>
      </c>
      <c r="AB79" s="427">
        <f>'ANALYSE - ERP =&gt; SOUS-SEGMENT'!$GM$127</f>
        <v>244.33045200000001</v>
      </c>
      <c r="AC79" s="427">
        <f>'ANALYSE - ERP =&gt; SOUS-SEGMENT'!$GP$127</f>
        <v>122.165226</v>
      </c>
      <c r="AD79" s="427">
        <f>'ANALYSE - ERP =&gt; SOUS-SEGMENT'!$GS$127</f>
        <v>12.637782</v>
      </c>
      <c r="AF79" s="430">
        <f>'ANALYSE - ERP =&gt; SOUS-SEGMENT'!$Q$127</f>
        <v>1</v>
      </c>
    </row>
    <row r="80" spans="1:32" ht="15" customHeight="1">
      <c r="A80" s="26">
        <v>77</v>
      </c>
      <c r="B80" s="26">
        <v>75</v>
      </c>
      <c r="C80" s="26">
        <v>78</v>
      </c>
      <c r="D80" s="422">
        <f>'ANALYSE - ERP =&gt; SOUS-SEGMENT'!$A$146</f>
        <v>139</v>
      </c>
      <c r="E80" s="417" t="str">
        <f>'ANALYSE - ERP =&gt; SOUS-SEGMENT'!$B$146</f>
        <v>Sécurité &amp; Justice</v>
      </c>
      <c r="F80" s="417" t="str">
        <f>'ANALYSE - ERP =&gt; SOUS-SEGMENT'!$C$146</f>
        <v>Tribunaux</v>
      </c>
      <c r="G80" s="417" t="str">
        <f>'ANALYSE - ERP =&gt; SOUS-SEGMENT'!$D$146</f>
        <v>Palais de justice et bâtiments judiciaires multi-usages</v>
      </c>
      <c r="I80" s="427">
        <f t="shared" si="8"/>
        <v>316.43312116410254</v>
      </c>
      <c r="K80" s="787">
        <f t="shared" si="6"/>
        <v>0.84379546673824191</v>
      </c>
      <c r="L80" s="787">
        <f t="shared" si="7"/>
        <v>0.15620453326175815</v>
      </c>
      <c r="N80" s="424">
        <f>'ANALYSE - ERP =&gt; SOUS-SEGMENT'!$FA$146</f>
        <v>1582.1656058205126</v>
      </c>
      <c r="O80" s="427">
        <f>'ANALYSE - ERP =&gt; SOUS-SEGMENT'!$GH$146</f>
        <v>270.95606709230765</v>
      </c>
      <c r="P80" s="427">
        <f>'ANALYSE - ERP =&gt; SOUS-SEGMENT'!$GK$146</f>
        <v>980.97385206153854</v>
      </c>
      <c r="Q80" s="427">
        <f>'ANALYSE - ERP =&gt; SOUS-SEGMENT'!$GN$146</f>
        <v>267.88366569999999</v>
      </c>
      <c r="R80" s="427">
        <f>'ANALYSE - ERP =&gt; SOUS-SEGMENT'!$GQ$146</f>
        <v>62.352020966666664</v>
      </c>
      <c r="T80" s="424">
        <f>'ANALYSE - ERP =&gt; SOUS-SEGMENT'!$FB$146</f>
        <v>1335.0241658205127</v>
      </c>
      <c r="U80" s="427">
        <f>'ANALYSE - ERP =&gt; SOUS-SEGMENT'!$GI$146</f>
        <v>231.41343669230764</v>
      </c>
      <c r="V80" s="427">
        <f>'ANALYSE - ERP =&gt; SOUS-SEGMENT'!$GL$146</f>
        <v>822.80333046153851</v>
      </c>
      <c r="W80" s="427">
        <f>'ANALYSE - ERP =&gt; SOUS-SEGMENT'!$GO$146</f>
        <v>225.8696209</v>
      </c>
      <c r="X80" s="427">
        <f>'ANALYSE - ERP =&gt; SOUS-SEGMENT'!$GR$146</f>
        <v>54.937777766666663</v>
      </c>
      <c r="Z80" s="427">
        <f>'ANALYSE - ERP =&gt; SOUS-SEGMENT'!$FC$146</f>
        <v>247.14143999999999</v>
      </c>
      <c r="AA80" s="427">
        <f>'ANALYSE - ERP =&gt; SOUS-SEGMENT'!$GJ$146</f>
        <v>39.5426304</v>
      </c>
      <c r="AB80" s="427">
        <f>'ANALYSE - ERP =&gt; SOUS-SEGMENT'!$GM$146</f>
        <v>158.1705216</v>
      </c>
      <c r="AC80" s="427">
        <f>'ANALYSE - ERP =&gt; SOUS-SEGMENT'!$GP$146</f>
        <v>42.014044800000001</v>
      </c>
      <c r="AD80" s="427">
        <f>'ANALYSE - ERP =&gt; SOUS-SEGMENT'!$GS$146</f>
        <v>7.4142431999999996</v>
      </c>
      <c r="AF80" s="430">
        <f>'ANALYSE - ERP =&gt; SOUS-SEGMENT'!$Q$146</f>
        <v>1</v>
      </c>
    </row>
    <row r="81" spans="1:32" ht="15" customHeight="1">
      <c r="A81" s="26">
        <v>78</v>
      </c>
      <c r="B81" s="26">
        <v>94</v>
      </c>
      <c r="C81" s="26">
        <v>65</v>
      </c>
      <c r="D81" s="422">
        <f>'ANALYSE - ERP =&gt; SOUS-SEGMENT'!$A$108</f>
        <v>101</v>
      </c>
      <c r="E81" s="415" t="str">
        <f>'ANALYSE - ERP =&gt; SOUS-SEGMENT'!$B$108</f>
        <v>Culte, Vie civique &amp; Services publics</v>
      </c>
      <c r="F81" s="415" t="str">
        <f>'ANALYSE - ERP =&gt; SOUS-SEGMENT'!$C$108</f>
        <v>Administrations / services publics</v>
      </c>
      <c r="G81" s="415" t="str">
        <f>'ANALYSE - ERP =&gt; SOUS-SEGMENT'!$D$108</f>
        <v>Maisons France Services / Guichets publics autonomes ou dédiés</v>
      </c>
      <c r="I81" s="427">
        <f t="shared" si="8"/>
        <v>86.945349087179494</v>
      </c>
      <c r="K81" s="787">
        <f t="shared" si="6"/>
        <v>0.2645909105973292</v>
      </c>
      <c r="L81" s="787">
        <f t="shared" si="7"/>
        <v>0.7354090894026708</v>
      </c>
      <c r="N81" s="424">
        <f>'ANALYSE - ERP =&gt; SOUS-SEGMENT'!$FA$108</f>
        <v>434.72674543589744</v>
      </c>
      <c r="O81" s="427">
        <f>'ANALYSE - ERP =&gt; SOUS-SEGMENT'!$GH$108</f>
        <v>58.760677538461543</v>
      </c>
      <c r="P81" s="427">
        <f>'ANALYSE - ERP =&gt; SOUS-SEGMENT'!$GK$108</f>
        <v>285.05188923076923</v>
      </c>
      <c r="Q81" s="427">
        <f>'ANALYSE - ERP =&gt; SOUS-SEGMENT'!$GN$108</f>
        <v>75.692104</v>
      </c>
      <c r="R81" s="427">
        <f>'ANALYSE - ERP =&gt; SOUS-SEGMENT'!$GQ$108</f>
        <v>15.222074666666666</v>
      </c>
      <c r="T81" s="424">
        <f>'ANALYSE - ERP =&gt; SOUS-SEGMENT'!$FB$108</f>
        <v>115.02474543589743</v>
      </c>
      <c r="U81" s="427">
        <f>'ANALYSE - ERP =&gt; SOUS-SEGMENT'!$GI$108</f>
        <v>14.002397538461539</v>
      </c>
      <c r="V81" s="427">
        <f>'ANALYSE - ERP =&gt; SOUS-SEGMENT'!$GL$108</f>
        <v>61.260489230769224</v>
      </c>
      <c r="W81" s="427">
        <f>'ANALYSE - ERP =&gt; SOUS-SEGMENT'!$GO$108</f>
        <v>34.130844000000003</v>
      </c>
      <c r="X81" s="427">
        <f>'ANALYSE - ERP =&gt; SOUS-SEGMENT'!$GR$108</f>
        <v>5.6310146666666672</v>
      </c>
      <c r="Z81" s="427">
        <f>'ANALYSE - ERP =&gt; SOUS-SEGMENT'!$FC$108</f>
        <v>319.702</v>
      </c>
      <c r="AA81" s="427">
        <f>'ANALYSE - ERP =&gt; SOUS-SEGMENT'!$GJ$108</f>
        <v>44.758280000000006</v>
      </c>
      <c r="AB81" s="427">
        <f>'ANALYSE - ERP =&gt; SOUS-SEGMENT'!$GM$108</f>
        <v>223.79139999999998</v>
      </c>
      <c r="AC81" s="427">
        <f>'ANALYSE - ERP =&gt; SOUS-SEGMENT'!$GP$108</f>
        <v>41.561260000000004</v>
      </c>
      <c r="AD81" s="427">
        <f>'ANALYSE - ERP =&gt; SOUS-SEGMENT'!$GS$108</f>
        <v>9.5910599999999988</v>
      </c>
      <c r="AF81" s="430">
        <f>'ANALYSE - ERP =&gt; SOUS-SEGMENT'!$Q$108</f>
        <v>1</v>
      </c>
    </row>
    <row r="82" spans="1:32" ht="15" customHeight="1">
      <c r="A82" s="26">
        <v>79</v>
      </c>
      <c r="B82" s="26">
        <v>78</v>
      </c>
      <c r="C82" s="26">
        <v>77</v>
      </c>
      <c r="D82" s="422">
        <f>'ANALYSE - ERP =&gt; SOUS-SEGMENT'!$A$91</f>
        <v>84</v>
      </c>
      <c r="E82" s="412" t="str">
        <f>'ANALYSE - ERP =&gt; SOUS-SEGMENT'!$B$91</f>
        <v>Hébergement Touristique</v>
      </c>
      <c r="F82" s="412" t="str">
        <f>'ANALYSE - ERP =&gt; SOUS-SEGMENT'!$C$91</f>
        <v>Hébergement Touristique</v>
      </c>
      <c r="G82" s="412" t="str">
        <f>'ANALYSE - ERP =&gt; SOUS-SEGMENT'!$D$91</f>
        <v>Pensions de famille</v>
      </c>
      <c r="I82" s="427">
        <f t="shared" si="8"/>
        <v>222.1793326363636</v>
      </c>
      <c r="K82" s="787">
        <f t="shared" si="6"/>
        <v>0.76229210263026936</v>
      </c>
      <c r="L82" s="787">
        <f t="shared" si="7"/>
        <v>0.23770789736973078</v>
      </c>
      <c r="N82" s="424">
        <f>'ANALYSE - ERP =&gt; SOUS-SEGMENT'!$FA$91</f>
        <v>1110.896663181818</v>
      </c>
      <c r="O82" s="427">
        <f>'ANALYSE - ERP =&gt; SOUS-SEGMENT'!$GH$91</f>
        <v>770.45339699999988</v>
      </c>
      <c r="P82" s="427">
        <f>'ANALYSE - ERP =&gt; SOUS-SEGMENT'!$GK$91</f>
        <v>107.74094099999999</v>
      </c>
      <c r="Q82" s="427">
        <f>'ANALYSE - ERP =&gt; SOUS-SEGMENT'!$GN$91</f>
        <v>90.791317799999987</v>
      </c>
      <c r="R82" s="427">
        <f>'ANALYSE - ERP =&gt; SOUS-SEGMENT'!$GQ$91</f>
        <v>141.91100738181814</v>
      </c>
      <c r="T82" s="424">
        <f>'ANALYSE - ERP =&gt; SOUS-SEGMENT'!$FB$91</f>
        <v>846.82775318181814</v>
      </c>
      <c r="U82" s="427">
        <f>'ANALYSE - ERP =&gt; SOUS-SEGMENT'!$GI$91</f>
        <v>585.60515999999996</v>
      </c>
      <c r="V82" s="427">
        <f>'ANALYSE - ERP =&gt; SOUS-SEGMENT'!$GL$91</f>
        <v>81.334049999999991</v>
      </c>
      <c r="W82" s="427">
        <f>'ANALYSE - ERP =&gt; SOUS-SEGMENT'!$GO$91</f>
        <v>69.665804999999992</v>
      </c>
      <c r="X82" s="427">
        <f>'ANALYSE - ERP =&gt; SOUS-SEGMENT'!$GR$91</f>
        <v>110.22273818181816</v>
      </c>
      <c r="Z82" s="427">
        <f>'ANALYSE - ERP =&gt; SOUS-SEGMENT'!$FC$91</f>
        <v>264.06890999999996</v>
      </c>
      <c r="AA82" s="427">
        <f>'ANALYSE - ERP =&gt; SOUS-SEGMENT'!$GJ$91</f>
        <v>184.84823699999995</v>
      </c>
      <c r="AB82" s="427">
        <f>'ANALYSE - ERP =&gt; SOUS-SEGMENT'!$GM$91</f>
        <v>26.406890999999998</v>
      </c>
      <c r="AC82" s="427">
        <f>'ANALYSE - ERP =&gt; SOUS-SEGMENT'!$GP$91</f>
        <v>21.125512799999996</v>
      </c>
      <c r="AD82" s="427">
        <f>'ANALYSE - ERP =&gt; SOUS-SEGMENT'!$GS$91</f>
        <v>31.688269199999993</v>
      </c>
      <c r="AF82" s="430">
        <f>'ANALYSE - ERP =&gt; SOUS-SEGMENT'!$Q$91</f>
        <v>1</v>
      </c>
    </row>
    <row r="83" spans="1:32" ht="15" customHeight="1">
      <c r="A83" s="26">
        <v>80</v>
      </c>
      <c r="B83" s="26">
        <v>81</v>
      </c>
      <c r="C83" s="26">
        <v>80</v>
      </c>
      <c r="D83" s="422">
        <f>'ANALYSE - ERP =&gt; SOUS-SEGMENT'!$A$71</f>
        <v>64</v>
      </c>
      <c r="E83" s="414" t="str">
        <f>'ANALYSE - ERP =&gt; SOUS-SEGMENT'!$B$71</f>
        <v>Culture, Patrimoine &amp; Evénementiel</v>
      </c>
      <c r="F83" s="414" t="str">
        <f>'ANALYSE - ERP =&gt; SOUS-SEGMENT'!$C$71</f>
        <v>Expositions / salons</v>
      </c>
      <c r="G83" s="414" t="str">
        <f>'ANALYSE - ERP =&gt; SOUS-SEGMENT'!$D$71</f>
        <v>Halls d’exposition</v>
      </c>
      <c r="I83" s="427">
        <f t="shared" si="8"/>
        <v>208.96403562676923</v>
      </c>
      <c r="K83" s="787">
        <f t="shared" si="6"/>
        <v>0.8014911232184968</v>
      </c>
      <c r="L83" s="787">
        <f t="shared" si="7"/>
        <v>0.19850887678150328</v>
      </c>
      <c r="N83" s="424">
        <f>'ANALYSE - ERP =&gt; SOUS-SEGMENT'!$FA$71</f>
        <v>1044.8201781338462</v>
      </c>
      <c r="O83" s="427">
        <f>'ANALYSE - ERP =&gt; SOUS-SEGMENT'!$GH$71</f>
        <v>153.40198892307689</v>
      </c>
      <c r="P83" s="427">
        <f>'ANALYSE - ERP =&gt; SOUS-SEGMENT'!$GK$71</f>
        <v>551.4253868307693</v>
      </c>
      <c r="Q83" s="427">
        <f>'ANALYSE - ERP =&gt; SOUS-SEGMENT'!$GN$71</f>
        <v>291.52655448000002</v>
      </c>
      <c r="R83" s="427">
        <f>'ANALYSE - ERP =&gt; SOUS-SEGMENT'!$GQ$71</f>
        <v>48.466247900000013</v>
      </c>
      <c r="T83" s="424">
        <f>'ANALYSE - ERP =&gt; SOUS-SEGMENT'!$FB$71</f>
        <v>837.41409813384632</v>
      </c>
      <c r="U83" s="427">
        <f>'ANALYSE - ERP =&gt; SOUS-SEGMENT'!$GI$71</f>
        <v>124.3651377230769</v>
      </c>
      <c r="V83" s="427">
        <f>'ANALYSE - ERP =&gt; SOUS-SEGMENT'!$GL$71</f>
        <v>435.27798203076929</v>
      </c>
      <c r="W83" s="427">
        <f>'ANALYSE - ERP =&gt; SOUS-SEGMENT'!$GO$71</f>
        <v>235.52691288000003</v>
      </c>
      <c r="X83" s="427">
        <f>'ANALYSE - ERP =&gt; SOUS-SEGMENT'!$GR$71</f>
        <v>42.244065500000012</v>
      </c>
      <c r="Z83" s="427">
        <f>'ANALYSE - ERP =&gt; SOUS-SEGMENT'!$FC$71</f>
        <v>207.40607999999997</v>
      </c>
      <c r="AA83" s="427">
        <f>'ANALYSE - ERP =&gt; SOUS-SEGMENT'!$GJ$71</f>
        <v>29.036851199999997</v>
      </c>
      <c r="AB83" s="427">
        <f>'ANALYSE - ERP =&gt; SOUS-SEGMENT'!$GM$71</f>
        <v>116.14740479999999</v>
      </c>
      <c r="AC83" s="427">
        <f>'ANALYSE - ERP =&gt; SOUS-SEGMENT'!$GP$71</f>
        <v>55.999641599999997</v>
      </c>
      <c r="AD83" s="427">
        <f>'ANALYSE - ERP =&gt; SOUS-SEGMENT'!$GS$71</f>
        <v>6.2221823999999994</v>
      </c>
      <c r="AF83" s="430">
        <f>'ANALYSE - ERP =&gt; SOUS-SEGMENT'!$Q$71</f>
        <v>1</v>
      </c>
    </row>
    <row r="84" spans="1:32" ht="15" customHeight="1">
      <c r="A84" s="26">
        <v>81</v>
      </c>
      <c r="B84" s="26">
        <v>79</v>
      </c>
      <c r="C84" s="26">
        <v>84</v>
      </c>
      <c r="D84" s="422">
        <f>'ANALYSE - ERP =&gt; SOUS-SEGMENT'!$A$132</f>
        <v>125</v>
      </c>
      <c r="E84" s="417" t="str">
        <f>'ANALYSE - ERP =&gt; SOUS-SEGMENT'!$B$132</f>
        <v>Sécurité &amp; Justice</v>
      </c>
      <c r="F84" s="417" t="str">
        <f>'ANALYSE - ERP =&gt; SOUS-SEGMENT'!$C$132</f>
        <v xml:space="preserve">Commissariats / postes de police </v>
      </c>
      <c r="G84" s="417" t="str">
        <f>'ANALYSE - ERP =&gt; SOUS-SEGMENT'!$D$132</f>
        <v>Locaux de sûreté, garde à vue et zones opérationnelles</v>
      </c>
      <c r="I84" s="427">
        <f t="shared" si="8"/>
        <v>198.7051854168889</v>
      </c>
      <c r="K84" s="787">
        <f t="shared" si="6"/>
        <v>0.85016854020423804</v>
      </c>
      <c r="L84" s="787">
        <f t="shared" si="7"/>
        <v>0.14983145979576187</v>
      </c>
      <c r="N84" s="424">
        <f>'ANALYSE - ERP =&gt; SOUS-SEGMENT'!$FA$132</f>
        <v>993.52592708444445</v>
      </c>
      <c r="O84" s="427">
        <f>'ANALYSE - ERP =&gt; SOUS-SEGMENT'!$GH$132</f>
        <v>51.355821999999996</v>
      </c>
      <c r="P84" s="427">
        <f>'ANALYSE - ERP =&gt; SOUS-SEGMENT'!$GK$132</f>
        <v>715.84793560000003</v>
      </c>
      <c r="Q84" s="427">
        <f>'ANALYSE - ERP =&gt; SOUS-SEGMENT'!$GN$132</f>
        <v>25.874560444444441</v>
      </c>
      <c r="R84" s="427">
        <f>'ANALYSE - ERP =&gt; SOUS-SEGMENT'!$GQ$132</f>
        <v>200.44760903999997</v>
      </c>
      <c r="T84" s="424">
        <f>'ANALYSE - ERP =&gt; SOUS-SEGMENT'!$FB$132</f>
        <v>844.66448708444443</v>
      </c>
      <c r="U84" s="427">
        <f>'ANALYSE - ERP =&gt; SOUS-SEGMENT'!$GI$132</f>
        <v>43.912749999999996</v>
      </c>
      <c r="V84" s="427">
        <f>'ANALYSE - ERP =&gt; SOUS-SEGMENT'!$GL$132</f>
        <v>605.69047</v>
      </c>
      <c r="W84" s="427">
        <f>'ANALYSE - ERP =&gt; SOUS-SEGMENT'!$GO$132</f>
        <v>21.408717244444443</v>
      </c>
      <c r="X84" s="427">
        <f>'ANALYSE - ERP =&gt; SOUS-SEGMENT'!$GR$132</f>
        <v>173.65254983999998</v>
      </c>
      <c r="Z84" s="427">
        <f>'ANALYSE - ERP =&gt; SOUS-SEGMENT'!$FC$132</f>
        <v>148.86143999999999</v>
      </c>
      <c r="AA84" s="427">
        <f>'ANALYSE - ERP =&gt; SOUS-SEGMENT'!$GJ$132</f>
        <v>7.4430719999999999</v>
      </c>
      <c r="AB84" s="427">
        <f>'ANALYSE - ERP =&gt; SOUS-SEGMENT'!$GM$132</f>
        <v>110.15746559999999</v>
      </c>
      <c r="AC84" s="427">
        <f>'ANALYSE - ERP =&gt; SOUS-SEGMENT'!$GP$132</f>
        <v>4.4658431999999992</v>
      </c>
      <c r="AD84" s="427">
        <f>'ANALYSE - ERP =&gt; SOUS-SEGMENT'!$GS$132</f>
        <v>26.795059199999997</v>
      </c>
      <c r="AF84" s="430">
        <f>'ANALYSE - ERP =&gt; SOUS-SEGMENT'!$Q$132</f>
        <v>1</v>
      </c>
    </row>
    <row r="85" spans="1:32" ht="15" customHeight="1">
      <c r="A85" s="26">
        <v>82</v>
      </c>
      <c r="B85" s="26">
        <v>82</v>
      </c>
      <c r="C85" s="26">
        <v>83</v>
      </c>
      <c r="D85" s="422">
        <f>'ANALYSE - ERP =&gt; SOUS-SEGMENT'!$A$138</f>
        <v>131</v>
      </c>
      <c r="E85" s="417" t="str">
        <f>'ANALYSE - ERP =&gt; SOUS-SEGMENT'!$B$138</f>
        <v>Sécurité &amp; Justice</v>
      </c>
      <c r="F85" s="417" t="str">
        <f>'ANALYSE - ERP =&gt; SOUS-SEGMENT'!$C$138</f>
        <v>Forces armées</v>
      </c>
      <c r="G85" s="417" t="str">
        <f>'ANALYSE - ERP =&gt; SOUS-SEGMENT'!$D$138</f>
        <v>Salles de conférence, auditoriums et espaces événementiels ouverts au public</v>
      </c>
      <c r="I85" s="427">
        <f t="shared" si="8"/>
        <v>165.97460509090908</v>
      </c>
      <c r="K85" s="787">
        <f t="shared" si="6"/>
        <v>0.82370315034656649</v>
      </c>
      <c r="L85" s="787">
        <f t="shared" si="7"/>
        <v>0.17629684965343351</v>
      </c>
      <c r="N85" s="424">
        <f>'ANALYSE - ERP =&gt; SOUS-SEGMENT'!$FA$138</f>
        <v>829.87302545454543</v>
      </c>
      <c r="O85" s="427">
        <f>'ANALYSE - ERP =&gt; SOUS-SEGMENT'!$GH$138</f>
        <v>148.73478545454546</v>
      </c>
      <c r="P85" s="427">
        <f>'ANALYSE - ERP =&gt; SOUS-SEGMENT'!$GK$138</f>
        <v>502.10496000000001</v>
      </c>
      <c r="Q85" s="427">
        <f>'ANALYSE - ERP =&gt; SOUS-SEGMENT'!$GN$138</f>
        <v>144.00888</v>
      </c>
      <c r="R85" s="427">
        <f>'ANALYSE - ERP =&gt; SOUS-SEGMENT'!$GQ$138</f>
        <v>35.0244</v>
      </c>
      <c r="T85" s="424">
        <f>'ANALYSE - ERP =&gt; SOUS-SEGMENT'!$FB$138</f>
        <v>683.56902545454545</v>
      </c>
      <c r="U85" s="427">
        <f>'ANALYSE - ERP =&gt; SOUS-SEGMENT'!$GI$138</f>
        <v>125.32614545454545</v>
      </c>
      <c r="V85" s="427">
        <f>'ANALYSE - ERP =&gt; SOUS-SEGMENT'!$GL$138</f>
        <v>408.47039999999998</v>
      </c>
      <c r="W85" s="427">
        <f>'ANALYSE - ERP =&gt; SOUS-SEGMENT'!$GO$138</f>
        <v>119.13720000000001</v>
      </c>
      <c r="X85" s="427">
        <f>'ANALYSE - ERP =&gt; SOUS-SEGMENT'!$GR$138</f>
        <v>30.635279999999998</v>
      </c>
      <c r="Z85" s="427">
        <f>'ANALYSE - ERP =&gt; SOUS-SEGMENT'!$FC$138</f>
        <v>146.304</v>
      </c>
      <c r="AA85" s="427">
        <f>'ANALYSE - ERP =&gt; SOUS-SEGMENT'!$GJ$138</f>
        <v>23.408640000000002</v>
      </c>
      <c r="AB85" s="427">
        <f>'ANALYSE - ERP =&gt; SOUS-SEGMENT'!$GM$138</f>
        <v>93.634560000000008</v>
      </c>
      <c r="AC85" s="427">
        <f>'ANALYSE - ERP =&gt; SOUS-SEGMENT'!$GP$138</f>
        <v>24.871680000000001</v>
      </c>
      <c r="AD85" s="427">
        <f>'ANALYSE - ERP =&gt; SOUS-SEGMENT'!$GS$138</f>
        <v>4.3891200000000001</v>
      </c>
      <c r="AF85" s="430">
        <f>'ANALYSE - ERP =&gt; SOUS-SEGMENT'!$Q$138</f>
        <v>1</v>
      </c>
    </row>
    <row r="86" spans="1:32" ht="15" customHeight="1">
      <c r="A86" s="26">
        <v>83</v>
      </c>
      <c r="B86" s="26">
        <v>80</v>
      </c>
      <c r="C86" s="26">
        <v>85</v>
      </c>
      <c r="D86" s="422">
        <f>'ANALYSE - ERP =&gt; SOUS-SEGMENT'!$A$121</f>
        <v>114</v>
      </c>
      <c r="E86" s="413" t="str">
        <f>'ANALYSE - ERP =&gt; SOUS-SEGMENT'!$B$121</f>
        <v>Transport, Mobilité &amp; Stationnement</v>
      </c>
      <c r="F86" s="413" t="str">
        <f>'ANALYSE - ERP =&gt; SOUS-SEGMENT'!$C$121</f>
        <v>Transport / Mobilité</v>
      </c>
      <c r="G86" s="413" t="str">
        <f>'ANALYSE - ERP =&gt; SOUS-SEGMENT'!$D$121</f>
        <v>Aires de service - Autoroutes
(Hors Aires de repos)</v>
      </c>
      <c r="I86" s="427">
        <f t="shared" si="8"/>
        <v>190.97599025656569</v>
      </c>
      <c r="K86" s="787">
        <f t="shared" si="6"/>
        <v>0.86396028126312174</v>
      </c>
      <c r="L86" s="787">
        <f t="shared" si="7"/>
        <v>0.13603971873687823</v>
      </c>
      <c r="N86" s="424">
        <f>'ANALYSE - ERP =&gt; SOUS-SEGMENT'!$FA$121</f>
        <v>954.87995128282842</v>
      </c>
      <c r="O86" s="427">
        <f>'ANALYSE - ERP =&gt; SOUS-SEGMENT'!$GH$121</f>
        <v>121.65666933333333</v>
      </c>
      <c r="P86" s="427">
        <f>'ANALYSE - ERP =&gt; SOUS-SEGMENT'!$GK$121</f>
        <v>549.12243272727267</v>
      </c>
      <c r="Q86" s="427">
        <f>'ANALYSE - ERP =&gt; SOUS-SEGMENT'!$GN$121</f>
        <v>234.92608899999999</v>
      </c>
      <c r="R86" s="427">
        <f>'ANALYSE - ERP =&gt; SOUS-SEGMENT'!$GQ$121</f>
        <v>49.174760222222226</v>
      </c>
      <c r="T86" s="424">
        <f>'ANALYSE - ERP =&gt; SOUS-SEGMENT'!$FB$121</f>
        <v>824.97835128282838</v>
      </c>
      <c r="U86" s="427">
        <f>'ANALYSE - ERP =&gt; SOUS-SEGMENT'!$GI$121</f>
        <v>108.66650933333332</v>
      </c>
      <c r="V86" s="427">
        <f>'ANALYSE - ERP =&gt; SOUS-SEGMENT'!$GL$121</f>
        <v>467.28442472727272</v>
      </c>
      <c r="W86" s="427">
        <f>'ANALYSE - ERP =&gt; SOUS-SEGMENT'!$GO$121</f>
        <v>203.74970500000001</v>
      </c>
      <c r="X86" s="427">
        <f>'ANALYSE - ERP =&gt; SOUS-SEGMENT'!$GR$121</f>
        <v>45.277712222222227</v>
      </c>
      <c r="Z86" s="427">
        <f>'ANALYSE - ERP =&gt; SOUS-SEGMENT'!$FC$121</f>
        <v>129.90159999999997</v>
      </c>
      <c r="AA86" s="427">
        <f>'ANALYSE - ERP =&gt; SOUS-SEGMENT'!$GJ$121</f>
        <v>12.990159999999998</v>
      </c>
      <c r="AB86" s="427">
        <f>'ANALYSE - ERP =&gt; SOUS-SEGMENT'!$GM$121</f>
        <v>81.838007999999988</v>
      </c>
      <c r="AC86" s="427">
        <f>'ANALYSE - ERP =&gt; SOUS-SEGMENT'!$GP$121</f>
        <v>31.176383999999992</v>
      </c>
      <c r="AD86" s="427">
        <f>'ANALYSE - ERP =&gt; SOUS-SEGMENT'!$GS$121</f>
        <v>3.897047999999999</v>
      </c>
      <c r="AF86" s="430">
        <f>'ANALYSE - ERP =&gt; SOUS-SEGMENT'!$Q$121</f>
        <v>1</v>
      </c>
    </row>
    <row r="87" spans="1:32" ht="15" customHeight="1">
      <c r="A87" s="26">
        <v>84</v>
      </c>
      <c r="B87" s="26">
        <v>83</v>
      </c>
      <c r="C87" s="26">
        <v>89</v>
      </c>
      <c r="D87" s="422" t="e">
        <f>'ANALYSE - ERP =&gt; SOUS-SEGMENT'!#REF!</f>
        <v>#REF!</v>
      </c>
      <c r="E87" s="417" t="e">
        <f>'ANALYSE - ERP =&gt; SOUS-SEGMENT'!#REF!</f>
        <v>#REF!</v>
      </c>
      <c r="F87" s="417" t="e">
        <f>'ANALYSE - ERP =&gt; SOUS-SEGMENT'!#REF!</f>
        <v>#REF!</v>
      </c>
      <c r="G87" s="417" t="e">
        <f>'ANALYSE - ERP =&gt; SOUS-SEGMENT'!#REF!</f>
        <v>#REF!</v>
      </c>
      <c r="I87" s="427" t="e">
        <f t="shared" si="8"/>
        <v>#REF!</v>
      </c>
      <c r="K87" s="787" t="str">
        <f t="shared" si="6"/>
        <v/>
      </c>
      <c r="L87" s="787" t="str">
        <f t="shared" si="7"/>
        <v/>
      </c>
      <c r="N87" s="424" t="e">
        <f>'ANALYSE - ERP =&gt; SOUS-SEGMENT'!#REF!</f>
        <v>#REF!</v>
      </c>
      <c r="O87" s="427" t="e">
        <f>'ANALYSE - ERP =&gt; SOUS-SEGMENT'!#REF!</f>
        <v>#REF!</v>
      </c>
      <c r="P87" s="427" t="e">
        <f>'ANALYSE - ERP =&gt; SOUS-SEGMENT'!#REF!</f>
        <v>#REF!</v>
      </c>
      <c r="Q87" s="427" t="e">
        <f>'ANALYSE - ERP =&gt; SOUS-SEGMENT'!#REF!</f>
        <v>#REF!</v>
      </c>
      <c r="R87" s="427" t="e">
        <f>'ANALYSE - ERP =&gt; SOUS-SEGMENT'!#REF!</f>
        <v>#REF!</v>
      </c>
      <c r="T87" s="424" t="e">
        <f>'ANALYSE - ERP =&gt; SOUS-SEGMENT'!#REF!</f>
        <v>#REF!</v>
      </c>
      <c r="U87" s="427" t="e">
        <f>'ANALYSE - ERP =&gt; SOUS-SEGMENT'!#REF!</f>
        <v>#REF!</v>
      </c>
      <c r="V87" s="427" t="e">
        <f>'ANALYSE - ERP =&gt; SOUS-SEGMENT'!#REF!</f>
        <v>#REF!</v>
      </c>
      <c r="W87" s="427" t="e">
        <f>'ANALYSE - ERP =&gt; SOUS-SEGMENT'!#REF!</f>
        <v>#REF!</v>
      </c>
      <c r="X87" s="427" t="e">
        <f>'ANALYSE - ERP =&gt; SOUS-SEGMENT'!#REF!</f>
        <v>#REF!</v>
      </c>
      <c r="Z87" s="427" t="e">
        <f>'ANALYSE - ERP =&gt; SOUS-SEGMENT'!#REF!</f>
        <v>#REF!</v>
      </c>
      <c r="AA87" s="427" t="e">
        <f>'ANALYSE - ERP =&gt; SOUS-SEGMENT'!#REF!</f>
        <v>#REF!</v>
      </c>
      <c r="AB87" s="427" t="e">
        <f>'ANALYSE - ERP =&gt; SOUS-SEGMENT'!#REF!</f>
        <v>#REF!</v>
      </c>
      <c r="AC87" s="427" t="e">
        <f>'ANALYSE - ERP =&gt; SOUS-SEGMENT'!#REF!</f>
        <v>#REF!</v>
      </c>
      <c r="AD87" s="427" t="e">
        <f>'ANALYSE - ERP =&gt; SOUS-SEGMENT'!#REF!</f>
        <v>#REF!</v>
      </c>
      <c r="AF87" s="430" t="e">
        <f>'ANALYSE - ERP =&gt; SOUS-SEGMENT'!#REF!</f>
        <v>#REF!</v>
      </c>
    </row>
    <row r="88" spans="1:32" ht="15" customHeight="1">
      <c r="A88" s="26">
        <v>85</v>
      </c>
      <c r="B88" s="26">
        <v>85</v>
      </c>
      <c r="C88" s="26">
        <v>81</v>
      </c>
      <c r="D88" s="422">
        <f>'ANALYSE - ERP =&gt; SOUS-SEGMENT'!$A$118</f>
        <v>111</v>
      </c>
      <c r="E88" s="415" t="str">
        <f>'ANALYSE - ERP =&gt; SOUS-SEGMENT'!$B$118</f>
        <v>Culte, Vie civique &amp; Services publics</v>
      </c>
      <c r="F88" s="415" t="str">
        <f>'ANALYSE - ERP =&gt; SOUS-SEGMENT'!$C$118</f>
        <v>Culte</v>
      </c>
      <c r="G88" s="415" t="str">
        <f>'ANALYSE - ERP =&gt; SOUS-SEGMENT'!$D$118</f>
        <v>Temples bouddhistes, hindous et autres lieux de culte non abrahamiques ouverts au public</v>
      </c>
      <c r="I88" s="427">
        <f t="shared" si="8"/>
        <v>95.946153846153834</v>
      </c>
      <c r="K88" s="787">
        <f t="shared" si="6"/>
        <v>0.5784197867393569</v>
      </c>
      <c r="L88" s="787">
        <f t="shared" si="7"/>
        <v>0.42158021326064304</v>
      </c>
      <c r="N88" s="424">
        <f>'ANALYSE - ERP =&gt; SOUS-SEGMENT'!$FA$118</f>
        <v>479.73076923076917</v>
      </c>
      <c r="O88" s="427">
        <f>'ANALYSE - ERP =&gt; SOUS-SEGMENT'!$GH$118</f>
        <v>255.7825</v>
      </c>
      <c r="P88" s="427">
        <f>'ANALYSE - ERP =&gt; SOUS-SEGMENT'!$GK$118</f>
        <v>158.80641923076922</v>
      </c>
      <c r="Q88" s="427">
        <f>'ANALYSE - ERP =&gt; SOUS-SEGMENT'!$GN$118</f>
        <v>38.379600000000003</v>
      </c>
      <c r="R88" s="427">
        <f>'ANALYSE - ERP =&gt; SOUS-SEGMENT'!$GQ$118</f>
        <v>26.762250000000002</v>
      </c>
      <c r="T88" s="424">
        <f>'ANALYSE - ERP =&gt; SOUS-SEGMENT'!$FB$118</f>
        <v>277.48576923076917</v>
      </c>
      <c r="U88" s="427">
        <f>'ANALYSE - ERP =&gt; SOUS-SEGMENT'!$GI$118</f>
        <v>154.66</v>
      </c>
      <c r="V88" s="427">
        <f>'ANALYSE - ERP =&gt; SOUS-SEGMENT'!$GL$118</f>
        <v>83.975769230769217</v>
      </c>
      <c r="W88" s="427">
        <f>'ANALYSE - ERP =&gt; SOUS-SEGMENT'!$GO$118</f>
        <v>22.200000000000003</v>
      </c>
      <c r="X88" s="427">
        <f>'ANALYSE - ERP =&gt; SOUS-SEGMENT'!$GR$118</f>
        <v>16.649999999999999</v>
      </c>
      <c r="Z88" s="427">
        <f>'ANALYSE - ERP =&gt; SOUS-SEGMENT'!$FC$118</f>
        <v>202.245</v>
      </c>
      <c r="AA88" s="427">
        <f>'ANALYSE - ERP =&gt; SOUS-SEGMENT'!$GJ$118</f>
        <v>101.1225</v>
      </c>
      <c r="AB88" s="427">
        <f>'ANALYSE - ERP =&gt; SOUS-SEGMENT'!$GM$118</f>
        <v>74.830650000000006</v>
      </c>
      <c r="AC88" s="427">
        <f>'ANALYSE - ERP =&gt; SOUS-SEGMENT'!$GP$118</f>
        <v>16.179600000000001</v>
      </c>
      <c r="AD88" s="427">
        <f>'ANALYSE - ERP =&gt; SOUS-SEGMENT'!$GS$118</f>
        <v>10.112250000000001</v>
      </c>
      <c r="AF88" s="430">
        <f>'ANALYSE - ERP =&gt; SOUS-SEGMENT'!$Q$118</f>
        <v>1</v>
      </c>
    </row>
    <row r="89" spans="1:32" ht="15" customHeight="1">
      <c r="A89" s="26">
        <v>86</v>
      </c>
      <c r="B89" s="26">
        <v>84</v>
      </c>
      <c r="C89" s="26">
        <v>87</v>
      </c>
      <c r="D89" s="422">
        <f>'ANALYSE - ERP =&gt; SOUS-SEGMENT'!$A$47</f>
        <v>40</v>
      </c>
      <c r="E89" s="417" t="str">
        <f>'ANALYSE - ERP =&gt; SOUS-SEGMENT'!$B$47</f>
        <v>Santé &amp; Médico-social</v>
      </c>
      <c r="F89" s="417" t="str">
        <f>'ANALYSE - ERP =&gt; SOUS-SEGMENT'!$C$47</f>
        <v>Santé hospitalière</v>
      </c>
      <c r="G89" s="417" t="str">
        <f>'ANALYSE - ERP =&gt; SOUS-SEGMENT'!$D$47</f>
        <v>Hôpitaux d’instruction des armées et centres médicaux recevant du public</v>
      </c>
      <c r="I89" s="427">
        <f t="shared" si="8"/>
        <v>136.07796894545453</v>
      </c>
      <c r="K89" s="787">
        <f t="shared" si="6"/>
        <v>0.80676254794381719</v>
      </c>
      <c r="L89" s="787">
        <f t="shared" si="7"/>
        <v>0.19323745205618276</v>
      </c>
      <c r="N89" s="424">
        <f>'ANALYSE - ERP =&gt; SOUS-SEGMENT'!$FA$47</f>
        <v>680.3898447272727</v>
      </c>
      <c r="O89" s="427">
        <f>'ANALYSE - ERP =&gt; SOUS-SEGMENT'!$GH$47</f>
        <v>262.64663100000001</v>
      </c>
      <c r="P89" s="427">
        <f>'ANALYSE - ERP =&gt; SOUS-SEGMENT'!$GK$47</f>
        <v>163.61067272727274</v>
      </c>
      <c r="Q89" s="427">
        <f>'ANALYSE - ERP =&gt; SOUS-SEGMENT'!$GN$47</f>
        <v>182.352339</v>
      </c>
      <c r="R89" s="427">
        <f>'ANALYSE - ERP =&gt; SOUS-SEGMENT'!$GQ$47</f>
        <v>71.780202000000003</v>
      </c>
      <c r="T89" s="424">
        <f>'ANALYSE - ERP =&gt; SOUS-SEGMENT'!$FB$47</f>
        <v>548.91304472727268</v>
      </c>
      <c r="U89" s="427">
        <f>'ANALYSE - ERP =&gt; SOUS-SEGMENT'!$GI$47</f>
        <v>207.42637500000001</v>
      </c>
      <c r="V89" s="427">
        <f>'ANALYSE - ERP =&gt; SOUS-SEGMENT'!$GL$47</f>
        <v>130.74147272727274</v>
      </c>
      <c r="W89" s="427">
        <f>'ANALYSE - ERP =&gt; SOUS-SEGMENT'!$GO$47</f>
        <v>152.112675</v>
      </c>
      <c r="X89" s="427">
        <f>'ANALYSE - ERP =&gt; SOUS-SEGMENT'!$GR$47</f>
        <v>58.632521999999994</v>
      </c>
      <c r="Z89" s="427">
        <f>'ANALYSE - ERP =&gt; SOUS-SEGMENT'!$FC$47</f>
        <v>131.4768</v>
      </c>
      <c r="AA89" s="427">
        <f>'ANALYSE - ERP =&gt; SOUS-SEGMENT'!$GJ$47</f>
        <v>55.220255999999999</v>
      </c>
      <c r="AB89" s="427">
        <f>'ANALYSE - ERP =&gt; SOUS-SEGMENT'!$GM$47</f>
        <v>32.869199999999999</v>
      </c>
      <c r="AC89" s="427">
        <f>'ANALYSE - ERP =&gt; SOUS-SEGMENT'!$GP$47</f>
        <v>30.239664000000001</v>
      </c>
      <c r="AD89" s="427">
        <f>'ANALYSE - ERP =&gt; SOUS-SEGMENT'!$GS$47</f>
        <v>13.147680000000001</v>
      </c>
      <c r="AF89" s="430">
        <f>'ANALYSE - ERP =&gt; SOUS-SEGMENT'!$Q$47</f>
        <v>1</v>
      </c>
    </row>
    <row r="90" spans="1:32" ht="15" customHeight="1">
      <c r="A90" s="26">
        <v>87</v>
      </c>
      <c r="B90" s="26">
        <v>89</v>
      </c>
      <c r="C90" s="26">
        <v>82</v>
      </c>
      <c r="D90" s="422">
        <f>'ANALYSE - ERP =&gt; SOUS-SEGMENT'!$A$78</f>
        <v>71</v>
      </c>
      <c r="E90" s="413" t="str">
        <f>'ANALYSE - ERP =&gt; SOUS-SEGMENT'!$B$78</f>
        <v>Commerce, Restauration &amp; Loisirs</v>
      </c>
      <c r="F90" s="413" t="str">
        <f>'ANALYSE - ERP =&gt; SOUS-SEGMENT'!$C$78</f>
        <v>Restauration / boissons</v>
      </c>
      <c r="G90" s="413" t="str">
        <f>'ANALYSE - ERP =&gt; SOUS-SEGMENT'!$D$78</f>
        <v>Établissements flottants</v>
      </c>
      <c r="I90" s="427">
        <f t="shared" si="8"/>
        <v>120.52493874999998</v>
      </c>
      <c r="K90" s="787">
        <f t="shared" si="6"/>
        <v>0.69091044238344401</v>
      </c>
      <c r="L90" s="787">
        <f t="shared" si="7"/>
        <v>0.30908955761655599</v>
      </c>
      <c r="N90" s="424">
        <f>'ANALYSE - ERP =&gt; SOUS-SEGMENT'!$FA$78</f>
        <v>602.62469374999989</v>
      </c>
      <c r="O90" s="427">
        <f>'ANALYSE - ERP =&gt; SOUS-SEGMENT'!$GH$78</f>
        <v>197.82131187499999</v>
      </c>
      <c r="P90" s="427">
        <f>'ANALYSE - ERP =&gt; SOUS-SEGMENT'!$GK$78</f>
        <v>201.54661187499997</v>
      </c>
      <c r="Q90" s="427">
        <f>'ANALYSE - ERP =&gt; SOUS-SEGMENT'!$GN$78</f>
        <v>77.796419999999998</v>
      </c>
      <c r="R90" s="427">
        <f>'ANALYSE - ERP =&gt; SOUS-SEGMENT'!$GQ$78</f>
        <v>125.46034999999999</v>
      </c>
      <c r="T90" s="424">
        <f>'ANALYSE - ERP =&gt; SOUS-SEGMENT'!$FB$78</f>
        <v>416.35969374999991</v>
      </c>
      <c r="U90" s="427">
        <f>'ANALYSE - ERP =&gt; SOUS-SEGMENT'!$GI$78</f>
        <v>136.35386187499998</v>
      </c>
      <c r="V90" s="427">
        <f>'ANALYSE - ERP =&gt; SOUS-SEGMENT'!$GL$78</f>
        <v>136.35386187499998</v>
      </c>
      <c r="W90" s="427">
        <f>'ANALYSE - ERP =&gt; SOUS-SEGMENT'!$GO$78</f>
        <v>55.44462</v>
      </c>
      <c r="X90" s="427">
        <f>'ANALYSE - ERP =&gt; SOUS-SEGMENT'!$GR$78</f>
        <v>88.207349999999991</v>
      </c>
      <c r="Z90" s="427">
        <f>'ANALYSE - ERP =&gt; SOUS-SEGMENT'!$FC$78</f>
        <v>186.26499999999999</v>
      </c>
      <c r="AA90" s="427">
        <f>'ANALYSE - ERP =&gt; SOUS-SEGMENT'!$GJ$78</f>
        <v>61.467449999999999</v>
      </c>
      <c r="AB90" s="427">
        <f>'ANALYSE - ERP =&gt; SOUS-SEGMENT'!$GM$78</f>
        <v>65.19274999999999</v>
      </c>
      <c r="AC90" s="427">
        <f>'ANALYSE - ERP =&gt; SOUS-SEGMENT'!$GP$78</f>
        <v>22.351799999999997</v>
      </c>
      <c r="AD90" s="427">
        <f>'ANALYSE - ERP =&gt; SOUS-SEGMENT'!$GS$78</f>
        <v>37.253</v>
      </c>
      <c r="AF90" s="430">
        <f>'ANALYSE - ERP =&gt; SOUS-SEGMENT'!$Q$78</f>
        <v>1</v>
      </c>
    </row>
    <row r="91" spans="1:32" ht="15" customHeight="1">
      <c r="A91" s="26">
        <v>88</v>
      </c>
      <c r="B91" s="26">
        <v>86</v>
      </c>
      <c r="C91" s="26">
        <v>91</v>
      </c>
      <c r="D91" s="422">
        <f>'ANALYSE - ERP =&gt; SOUS-SEGMENT'!$A$149</f>
        <v>142</v>
      </c>
      <c r="E91" s="417" t="str">
        <f>'ANALYSE - ERP =&gt; SOUS-SEGMENT'!$B$149</f>
        <v>Sécurité &amp; Justice</v>
      </c>
      <c r="F91" s="417" t="str">
        <f>'ANALYSE - ERP =&gt; SOUS-SEGMENT'!$C$149</f>
        <v>Tribunaux</v>
      </c>
      <c r="G91" s="417" t="str">
        <f>'ANALYSE - ERP =&gt; SOUS-SEGMENT'!$D$149</f>
        <v>Conseils de prud’hommes autonomes</v>
      </c>
      <c r="I91" s="427">
        <f t="shared" si="8"/>
        <v>111.23562369230767</v>
      </c>
      <c r="K91" s="787">
        <f t="shared" si="6"/>
        <v>0.86950263307595566</v>
      </c>
      <c r="L91" s="787">
        <f t="shared" si="7"/>
        <v>0.1304973669240444</v>
      </c>
      <c r="N91" s="424">
        <f>'ANALYSE - ERP =&gt; SOUS-SEGMENT'!$FA$149</f>
        <v>556.17811846153836</v>
      </c>
      <c r="O91" s="427">
        <f>'ANALYSE - ERP =&gt; SOUS-SEGMENT'!$GH$149</f>
        <v>94.885437876923078</v>
      </c>
      <c r="P91" s="427">
        <f>'ANALYSE - ERP =&gt; SOUS-SEGMENT'!$GK$149</f>
        <v>342.5316745846153</v>
      </c>
      <c r="Q91" s="427">
        <f>'ANALYSE - ERP =&gt; SOUS-SEGMENT'!$GN$149</f>
        <v>96.536487599999987</v>
      </c>
      <c r="R91" s="427">
        <f>'ANALYSE - ERP =&gt; SOUS-SEGMENT'!$GQ$149</f>
        <v>22.224518399999997</v>
      </c>
      <c r="T91" s="424">
        <f>'ANALYSE - ERP =&gt; SOUS-SEGMENT'!$FB$149</f>
        <v>483.59833846153839</v>
      </c>
      <c r="U91" s="427">
        <f>'ANALYSE - ERP =&gt; SOUS-SEGMENT'!$GI$149</f>
        <v>83.272673076923084</v>
      </c>
      <c r="V91" s="427">
        <f>'ANALYSE - ERP =&gt; SOUS-SEGMENT'!$GL$149</f>
        <v>296.08061538461533</v>
      </c>
      <c r="W91" s="427">
        <f>'ANALYSE - ERP =&gt; SOUS-SEGMENT'!$GO$149</f>
        <v>84.197924999999984</v>
      </c>
      <c r="X91" s="427">
        <f>'ANALYSE - ERP =&gt; SOUS-SEGMENT'!$GR$149</f>
        <v>20.047124999999998</v>
      </c>
      <c r="Z91" s="427">
        <f>'ANALYSE - ERP =&gt; SOUS-SEGMENT'!$FC$149</f>
        <v>72.57978</v>
      </c>
      <c r="AA91" s="427">
        <f>'ANALYSE - ERP =&gt; SOUS-SEGMENT'!$GJ$149</f>
        <v>11.612764800000001</v>
      </c>
      <c r="AB91" s="427">
        <f>'ANALYSE - ERP =&gt; SOUS-SEGMENT'!$GM$149</f>
        <v>46.451059200000003</v>
      </c>
      <c r="AC91" s="427">
        <f>'ANALYSE - ERP =&gt; SOUS-SEGMENT'!$GP$149</f>
        <v>12.338562600000001</v>
      </c>
      <c r="AD91" s="427">
        <f>'ANALYSE - ERP =&gt; SOUS-SEGMENT'!$GS$149</f>
        <v>2.1773933999999997</v>
      </c>
      <c r="AF91" s="430">
        <f>'ANALYSE - ERP =&gt; SOUS-SEGMENT'!$Q$149</f>
        <v>1</v>
      </c>
    </row>
    <row r="92" spans="1:32" ht="15" customHeight="1">
      <c r="A92" s="26">
        <v>89</v>
      </c>
      <c r="B92" s="26">
        <v>88</v>
      </c>
      <c r="C92" s="26">
        <v>88</v>
      </c>
      <c r="D92" s="422">
        <f>'ANALYSE - ERP =&gt; SOUS-SEGMENT'!$A$137</f>
        <v>130</v>
      </c>
      <c r="E92" s="417" t="str">
        <f>'ANALYSE - ERP =&gt; SOUS-SEGMENT'!$B$137</f>
        <v>Sécurité &amp; Justice</v>
      </c>
      <c r="F92" s="417" t="str">
        <f>'ANALYSE - ERP =&gt; SOUS-SEGMENT'!$C$137</f>
        <v>Forces armées</v>
      </c>
      <c r="G92" s="417" t="str">
        <f>'ANALYSE - ERP =&gt; SOUS-SEGMENT'!$D$137</f>
        <v>Restaurants ou équipements sportifs ouverts au public sur emprise militaire</v>
      </c>
      <c r="I92" s="427">
        <f t="shared" si="8"/>
        <v>110.11198545454545</v>
      </c>
      <c r="K92" s="787">
        <f t="shared" si="6"/>
        <v>0.83934173989349548</v>
      </c>
      <c r="L92" s="787">
        <f t="shared" si="7"/>
        <v>0.16065826010650447</v>
      </c>
      <c r="N92" s="424">
        <f>'ANALYSE - ERP =&gt; SOUS-SEGMENT'!$FA$137</f>
        <v>550.55992727272724</v>
      </c>
      <c r="O92" s="427">
        <f>'ANALYSE - ERP =&gt; SOUS-SEGMENT'!$GH$137</f>
        <v>65.973927272727281</v>
      </c>
      <c r="P92" s="427">
        <f>'ANALYSE - ERP =&gt; SOUS-SEGMENT'!$GK$137</f>
        <v>377.89343999999994</v>
      </c>
      <c r="Q92" s="427">
        <f>'ANALYSE - ERP =&gt; SOUS-SEGMENT'!$GN$137</f>
        <v>83.091799999999992</v>
      </c>
      <c r="R92" s="427">
        <f>'ANALYSE - ERP =&gt; SOUS-SEGMENT'!$GQ$137</f>
        <v>23.600760000000001</v>
      </c>
      <c r="T92" s="424">
        <f>'ANALYSE - ERP =&gt; SOUS-SEGMENT'!$FB$137</f>
        <v>462.10792727272724</v>
      </c>
      <c r="U92" s="427">
        <f>'ANALYSE - ERP =&gt; SOUS-SEGMENT'!$GI$137</f>
        <v>57.128727272727275</v>
      </c>
      <c r="V92" s="427">
        <f>'ANALYSE - ERP =&gt; SOUS-SEGMENT'!$GL$137</f>
        <v>314.20799999999997</v>
      </c>
      <c r="W92" s="427">
        <f>'ANALYSE - ERP =&gt; SOUS-SEGMENT'!$GO$137</f>
        <v>69.823999999999998</v>
      </c>
      <c r="X92" s="427">
        <f>'ANALYSE - ERP =&gt; SOUS-SEGMENT'!$GR$137</f>
        <v>20.947200000000002</v>
      </c>
      <c r="Z92" s="427">
        <f>'ANALYSE - ERP =&gt; SOUS-SEGMENT'!$FC$137</f>
        <v>88.451999999999998</v>
      </c>
      <c r="AA92" s="427">
        <f>'ANALYSE - ERP =&gt; SOUS-SEGMENT'!$GJ$137</f>
        <v>8.8452000000000002</v>
      </c>
      <c r="AB92" s="427">
        <f>'ANALYSE - ERP =&gt; SOUS-SEGMENT'!$GM$137</f>
        <v>63.68544</v>
      </c>
      <c r="AC92" s="427">
        <f>'ANALYSE - ERP =&gt; SOUS-SEGMENT'!$GP$137</f>
        <v>13.267799999999999</v>
      </c>
      <c r="AD92" s="427">
        <f>'ANALYSE - ERP =&gt; SOUS-SEGMENT'!$GS$137</f>
        <v>2.6535599999999997</v>
      </c>
      <c r="AF92" s="430">
        <f>'ANALYSE - ERP =&gt; SOUS-SEGMENT'!$Q$137</f>
        <v>1</v>
      </c>
    </row>
    <row r="93" spans="1:32" ht="15" customHeight="1">
      <c r="A93" s="26">
        <v>90</v>
      </c>
      <c r="B93" s="26">
        <v>87</v>
      </c>
      <c r="C93" s="26">
        <v>93</v>
      </c>
      <c r="D93" s="422">
        <f>'ANALYSE - ERP =&gt; SOUS-SEGMENT'!$A$93</f>
        <v>86</v>
      </c>
      <c r="E93" s="412" t="str">
        <f>'ANALYSE - ERP =&gt; SOUS-SEGMENT'!$B$93</f>
        <v>Hébergement Touristique</v>
      </c>
      <c r="F93" s="412" t="str">
        <f>'ANALYSE - ERP =&gt; SOUS-SEGMENT'!$C$93</f>
        <v>Hébergement Montagne</v>
      </c>
      <c r="G93" s="412" t="str">
        <f>'ANALYSE - ERP =&gt; SOUS-SEGMENT'!$D$93</f>
        <v>Refuges de montagne</v>
      </c>
      <c r="I93" s="427">
        <f t="shared" si="8"/>
        <v>93.728112254545437</v>
      </c>
      <c r="K93" s="787">
        <f t="shared" si="6"/>
        <v>0.80674314712743445</v>
      </c>
      <c r="L93" s="787">
        <f t="shared" si="7"/>
        <v>0.19325685287256558</v>
      </c>
      <c r="N93" s="424">
        <f>'ANALYSE - ERP =&gt; SOUS-SEGMENT'!$FA$93</f>
        <v>468.64056127272721</v>
      </c>
      <c r="O93" s="427">
        <f>'ANALYSE - ERP =&gt; SOUS-SEGMENT'!$GH$93</f>
        <v>331.38036640000001</v>
      </c>
      <c r="P93" s="427">
        <f>'ANALYSE - ERP =&gt; SOUS-SEGMENT'!$GK$93</f>
        <v>83.297931599999998</v>
      </c>
      <c r="Q93" s="427">
        <f>'ANALYSE - ERP =&gt; SOUS-SEGMENT'!$GN$93</f>
        <v>13.817024</v>
      </c>
      <c r="R93" s="427">
        <f>'ANALYSE - ERP =&gt; SOUS-SEGMENT'!$GQ$93</f>
        <v>40.145239272727274</v>
      </c>
      <c r="T93" s="424">
        <f>'ANALYSE - ERP =&gt; SOUS-SEGMENT'!$FB$93</f>
        <v>378.07256127272723</v>
      </c>
      <c r="U93" s="427">
        <f>'ANALYSE - ERP =&gt; SOUS-SEGMENT'!$GI$93</f>
        <v>267.9827664</v>
      </c>
      <c r="V93" s="427">
        <f>'ANALYSE - ERP =&gt; SOUS-SEGMENT'!$GL$93</f>
        <v>66.995691600000001</v>
      </c>
      <c r="W93" s="427">
        <f>'ANALYSE - ERP =&gt; SOUS-SEGMENT'!$GO$93</f>
        <v>10.194303999999999</v>
      </c>
      <c r="X93" s="427">
        <f>'ANALYSE - ERP =&gt; SOUS-SEGMENT'!$GR$93</f>
        <v>32.899799272727272</v>
      </c>
      <c r="Z93" s="427">
        <f>'ANALYSE - ERP =&gt; SOUS-SEGMENT'!$FC$93</f>
        <v>90.567999999999998</v>
      </c>
      <c r="AA93" s="427">
        <f>'ANALYSE - ERP =&gt; SOUS-SEGMENT'!$GJ$93</f>
        <v>63.397599999999997</v>
      </c>
      <c r="AB93" s="427">
        <f>'ANALYSE - ERP =&gt; SOUS-SEGMENT'!$GM$93</f>
        <v>16.302239999999998</v>
      </c>
      <c r="AC93" s="427">
        <f>'ANALYSE - ERP =&gt; SOUS-SEGMENT'!$GP$93</f>
        <v>3.6227200000000002</v>
      </c>
      <c r="AD93" s="427">
        <f>'ANALYSE - ERP =&gt; SOUS-SEGMENT'!$GS$93</f>
        <v>7.2454400000000003</v>
      </c>
      <c r="AF93" s="430">
        <f>'ANALYSE - ERP =&gt; SOUS-SEGMENT'!$Q$93</f>
        <v>1</v>
      </c>
    </row>
    <row r="94" spans="1:32" ht="15" customHeight="1">
      <c r="A94" s="26">
        <v>91</v>
      </c>
      <c r="B94" s="26">
        <v>90</v>
      </c>
      <c r="C94" s="26">
        <v>92</v>
      </c>
      <c r="D94" s="422">
        <f>'ANALYSE - ERP =&gt; SOUS-SEGMENT'!$A$148</f>
        <v>141</v>
      </c>
      <c r="E94" s="417" t="str">
        <f>'ANALYSE - ERP =&gt; SOUS-SEGMENT'!$B$148</f>
        <v>Sécurité &amp; Justice</v>
      </c>
      <c r="F94" s="417" t="str">
        <f>'ANALYSE - ERP =&gt; SOUS-SEGMENT'!$C$148</f>
        <v>Tribunaux</v>
      </c>
      <c r="G94" s="417" t="str">
        <f>'ANALYSE - ERP =&gt; SOUS-SEGMENT'!$D$148</f>
        <v>Tribunaux de commerce autonomes</v>
      </c>
      <c r="I94" s="427">
        <f t="shared" si="8"/>
        <v>81.23812276923077</v>
      </c>
      <c r="K94" s="787">
        <f t="shared" si="6"/>
        <v>0.87031192202793728</v>
      </c>
      <c r="L94" s="787">
        <f t="shared" si="7"/>
        <v>0.12968807797206267</v>
      </c>
      <c r="N94" s="424">
        <f>'ANALYSE - ERP =&gt; SOUS-SEGMENT'!$FA$148</f>
        <v>406.19061384615384</v>
      </c>
      <c r="O94" s="427">
        <f>'ANALYSE - ERP =&gt; SOUS-SEGMENT'!$GH$148</f>
        <v>69.336505107692304</v>
      </c>
      <c r="P94" s="427">
        <f>'ANALYSE - ERP =&gt; SOUS-SEGMENT'!$GK$148</f>
        <v>250.27579273846152</v>
      </c>
      <c r="Q94" s="427">
        <f>'ANALYSE - ERP =&gt; SOUS-SEGMENT'!$GN$148</f>
        <v>70.356753600000005</v>
      </c>
      <c r="R94" s="427">
        <f>'ANALYSE - ERP =&gt; SOUS-SEGMENT'!$GQ$148</f>
        <v>16.2215624</v>
      </c>
      <c r="T94" s="424">
        <f>'ANALYSE - ERP =&gt; SOUS-SEGMENT'!$FB$148</f>
        <v>353.51253384615381</v>
      </c>
      <c r="U94" s="427">
        <f>'ANALYSE - ERP =&gt; SOUS-SEGMENT'!$GI$148</f>
        <v>60.908012307692303</v>
      </c>
      <c r="V94" s="427">
        <f>'ANALYSE - ERP =&gt; SOUS-SEGMENT'!$GL$148</f>
        <v>216.56182153846152</v>
      </c>
      <c r="W94" s="427">
        <f>'ANALYSE - ERP =&gt; SOUS-SEGMENT'!$GO$148</f>
        <v>61.401479999999999</v>
      </c>
      <c r="X94" s="427">
        <f>'ANALYSE - ERP =&gt; SOUS-SEGMENT'!$GR$148</f>
        <v>14.641219999999999</v>
      </c>
      <c r="Z94" s="427">
        <f>'ANALYSE - ERP =&gt; SOUS-SEGMENT'!$FC$148</f>
        <v>52.678080000000001</v>
      </c>
      <c r="AA94" s="427">
        <f>'ANALYSE - ERP =&gt; SOUS-SEGMENT'!$GJ$148</f>
        <v>8.4284928000000008</v>
      </c>
      <c r="AB94" s="427">
        <f>'ANALYSE - ERP =&gt; SOUS-SEGMENT'!$GM$148</f>
        <v>33.713971200000003</v>
      </c>
      <c r="AC94" s="427">
        <f>'ANALYSE - ERP =&gt; SOUS-SEGMENT'!$GP$148</f>
        <v>8.9552736000000017</v>
      </c>
      <c r="AD94" s="427">
        <f>'ANALYSE - ERP =&gt; SOUS-SEGMENT'!$GS$148</f>
        <v>1.5803423999999999</v>
      </c>
      <c r="AF94" s="430">
        <f>'ANALYSE - ERP =&gt; SOUS-SEGMENT'!$Q$148</f>
        <v>1</v>
      </c>
    </row>
    <row r="95" spans="1:32" ht="15" customHeight="1">
      <c r="A95" s="26">
        <v>92</v>
      </c>
      <c r="B95" s="26">
        <v>91</v>
      </c>
      <c r="C95" s="26">
        <v>98</v>
      </c>
      <c r="D95" s="422">
        <f>'ANALYSE - ERP =&gt; SOUS-SEGMENT'!$A$117</f>
        <v>110</v>
      </c>
      <c r="E95" s="415" t="str">
        <f>'ANALYSE - ERP =&gt; SOUS-SEGMENT'!$B$117</f>
        <v>Culte, Vie civique &amp; Services publics</v>
      </c>
      <c r="F95" s="415" t="str">
        <f>'ANALYSE - ERP =&gt; SOUS-SEGMENT'!$C$117</f>
        <v>Culte</v>
      </c>
      <c r="G95" s="415" t="str">
        <f>'ANALYSE - ERP =&gt; SOUS-SEGMENT'!$D$117</f>
        <v>Synagogues et oratoires juifs ouverts au public</v>
      </c>
      <c r="I95" s="427">
        <f t="shared" si="8"/>
        <v>49.007484835164838</v>
      </c>
      <c r="K95" s="787">
        <f t="shared" si="6"/>
        <v>0.88154870588594902</v>
      </c>
      <c r="L95" s="787">
        <f t="shared" si="7"/>
        <v>0.11845129411405091</v>
      </c>
      <c r="N95" s="424">
        <f>'ANALYSE - ERP =&gt; SOUS-SEGMENT'!$FA$117</f>
        <v>245.03742417582419</v>
      </c>
      <c r="O95" s="427">
        <f>'ANALYSE - ERP =&gt; SOUS-SEGMENT'!$GH$117</f>
        <v>86.950488461538455</v>
      </c>
      <c r="P95" s="427">
        <f>'ANALYSE - ERP =&gt; SOUS-SEGMENT'!$GK$117</f>
        <v>114.78203571428573</v>
      </c>
      <c r="Q95" s="427">
        <f>'ANALYSE - ERP =&gt; SOUS-SEGMENT'!$GN$117</f>
        <v>32.991750000000003</v>
      </c>
      <c r="R95" s="427">
        <f>'ANALYSE - ERP =&gt; SOUS-SEGMENT'!$GQ$117</f>
        <v>10.313149999999998</v>
      </c>
      <c r="T95" s="424">
        <f>'ANALYSE - ERP =&gt; SOUS-SEGMENT'!$FB$117</f>
        <v>216.01242417582418</v>
      </c>
      <c r="U95" s="427">
        <f>'ANALYSE - ERP =&gt; SOUS-SEGMENT'!$GI$117</f>
        <v>77.952738461538459</v>
      </c>
      <c r="V95" s="427">
        <f>'ANALYSE - ERP =&gt; SOUS-SEGMENT'!$GL$117</f>
        <v>99.979285714285723</v>
      </c>
      <c r="W95" s="427">
        <f>'ANALYSE - ERP =&gt; SOUS-SEGMENT'!$GO$117</f>
        <v>28.638000000000002</v>
      </c>
      <c r="X95" s="427">
        <f>'ANALYSE - ERP =&gt; SOUS-SEGMENT'!$GR$117</f>
        <v>9.4423999999999992</v>
      </c>
      <c r="Z95" s="427">
        <f>'ANALYSE - ERP =&gt; SOUS-SEGMENT'!$FC$117</f>
        <v>29.024999999999999</v>
      </c>
      <c r="AA95" s="427">
        <f>'ANALYSE - ERP =&gt; SOUS-SEGMENT'!$GJ$117</f>
        <v>8.9977499999999999</v>
      </c>
      <c r="AB95" s="427">
        <f>'ANALYSE - ERP =&gt; SOUS-SEGMENT'!$GM$117</f>
        <v>14.80275</v>
      </c>
      <c r="AC95" s="427">
        <f>'ANALYSE - ERP =&gt; SOUS-SEGMENT'!$GP$117</f>
        <v>4.3537499999999998</v>
      </c>
      <c r="AD95" s="427">
        <f>'ANALYSE - ERP =&gt; SOUS-SEGMENT'!$GS$117</f>
        <v>0.87074999999999991</v>
      </c>
      <c r="AF95" s="430">
        <f>'ANALYSE - ERP =&gt; SOUS-SEGMENT'!$Q$117</f>
        <v>1</v>
      </c>
    </row>
    <row r="96" spans="1:32" ht="15" customHeight="1">
      <c r="A96" s="26">
        <v>93</v>
      </c>
      <c r="B96" s="26">
        <v>92</v>
      </c>
      <c r="C96" s="26">
        <v>97</v>
      </c>
      <c r="D96" s="422">
        <f>'ANALYSE - ERP =&gt; SOUS-SEGMENT'!$A$92</f>
        <v>85</v>
      </c>
      <c r="E96" s="412" t="str">
        <f>'ANALYSE - ERP =&gt; SOUS-SEGMENT'!$B$92</f>
        <v>Hébergement Touristique</v>
      </c>
      <c r="F96" s="412" t="str">
        <f>'ANALYSE - ERP =&gt; SOUS-SEGMENT'!$C$92</f>
        <v>Hébergement Montagne</v>
      </c>
      <c r="G96" s="412" t="str">
        <f>'ANALYSE - ERP =&gt; SOUS-SEGMENT'!$D$92</f>
        <v>Hôtels-restaurants d’altitude</v>
      </c>
      <c r="I96" s="427">
        <f t="shared" si="8"/>
        <v>164.5271009090909</v>
      </c>
      <c r="K96" s="787">
        <f t="shared" si="6"/>
        <v>0.77355706267148217</v>
      </c>
      <c r="L96" s="787">
        <f t="shared" si="7"/>
        <v>0.22644293732851783</v>
      </c>
      <c r="N96" s="424">
        <f>'ANALYSE - ERP =&gt; SOUS-SEGMENT'!$FA$92</f>
        <v>822.63550454545452</v>
      </c>
      <c r="O96" s="427">
        <f>'ANALYSE - ERP =&gt; SOUS-SEGMENT'!$GH$92</f>
        <v>573.23289999999997</v>
      </c>
      <c r="P96" s="427">
        <f>'ANALYSE - ERP =&gt; SOUS-SEGMENT'!$GK$92</f>
        <v>96.159749999999988</v>
      </c>
      <c r="Q96" s="427">
        <f>'ANALYSE - ERP =&gt; SOUS-SEGMENT'!$GN$92</f>
        <v>66.179400000000001</v>
      </c>
      <c r="R96" s="427">
        <f>'ANALYSE - ERP =&gt; SOUS-SEGMENT'!$GQ$92</f>
        <v>87.063454545454547</v>
      </c>
      <c r="T96" s="424">
        <f>'ANALYSE - ERP =&gt; SOUS-SEGMENT'!$FB$92</f>
        <v>636.35550454545455</v>
      </c>
      <c r="U96" s="427">
        <f>'ANALYSE - ERP =&gt; SOUS-SEGMENT'!$GI$92</f>
        <v>442.83690000000001</v>
      </c>
      <c r="V96" s="427">
        <f>'ANALYSE - ERP =&gt; SOUS-SEGMENT'!$GL$92</f>
        <v>73.806149999999988</v>
      </c>
      <c r="W96" s="427">
        <f>'ANALYSE - ERP =&gt; SOUS-SEGMENT'!$GO$92</f>
        <v>51.277000000000001</v>
      </c>
      <c r="X96" s="427">
        <f>'ANALYSE - ERP =&gt; SOUS-SEGMENT'!$GR$92</f>
        <v>68.435454545454547</v>
      </c>
      <c r="Z96" s="427">
        <f>'ANALYSE - ERP =&gt; SOUS-SEGMENT'!$FC$92</f>
        <v>186.28</v>
      </c>
      <c r="AA96" s="427">
        <f>'ANALYSE - ERP =&gt; SOUS-SEGMENT'!$GJ$92</f>
        <v>130.39599999999999</v>
      </c>
      <c r="AB96" s="427">
        <f>'ANALYSE - ERP =&gt; SOUS-SEGMENT'!$GM$92</f>
        <v>22.3536</v>
      </c>
      <c r="AC96" s="427">
        <f>'ANALYSE - ERP =&gt; SOUS-SEGMENT'!$GP$92</f>
        <v>14.9024</v>
      </c>
      <c r="AD96" s="427">
        <f>'ANALYSE - ERP =&gt; SOUS-SEGMENT'!$GS$92</f>
        <v>18.628</v>
      </c>
      <c r="AF96" s="430">
        <f>'ANALYSE - ERP =&gt; SOUS-SEGMENT'!$Q$92</f>
        <v>1</v>
      </c>
    </row>
    <row r="97" spans="1:32" ht="15" customHeight="1">
      <c r="A97" s="26">
        <v>94</v>
      </c>
      <c r="B97" s="26">
        <v>93</v>
      </c>
      <c r="C97" s="26">
        <v>94</v>
      </c>
      <c r="D97" s="422">
        <f>'ANALYSE - ERP =&gt; SOUS-SEGMENT'!$A$90</f>
        <v>83</v>
      </c>
      <c r="E97" s="412" t="str">
        <f>'ANALYSE - ERP =&gt; SOUS-SEGMENT'!$B$90</f>
        <v>Hébergement Touristique</v>
      </c>
      <c r="F97" s="412" t="str">
        <f>'ANALYSE - ERP =&gt; SOUS-SEGMENT'!$C$90</f>
        <v>Hébergement Touristique</v>
      </c>
      <c r="G97" s="412" t="str">
        <f>'ANALYSE - ERP =&gt; SOUS-SEGMENT'!$D$90</f>
        <v>Auberges de jeunesse</v>
      </c>
      <c r="I97" s="427">
        <f t="shared" si="8"/>
        <v>95.773873224553228</v>
      </c>
      <c r="K97" s="787">
        <f t="shared" si="6"/>
        <v>0.76700952724673421</v>
      </c>
      <c r="L97" s="787">
        <f t="shared" si="7"/>
        <v>0.23299047275326579</v>
      </c>
      <c r="N97" s="424">
        <f>'ANALYSE - ERP =&gt; SOUS-SEGMENT'!$FA$90</f>
        <v>478.86936612276617</v>
      </c>
      <c r="O97" s="427">
        <f>'ANALYSE - ERP =&gt; SOUS-SEGMENT'!$GH$90</f>
        <v>259.21017333333333</v>
      </c>
      <c r="P97" s="427">
        <f>'ANALYSE - ERP =&gt; SOUS-SEGMENT'!$GK$90</f>
        <v>159.36143076923076</v>
      </c>
      <c r="Q97" s="427">
        <f>'ANALYSE - ERP =&gt; SOUS-SEGMENT'!$GN$90</f>
        <v>34.276271111111114</v>
      </c>
      <c r="R97" s="427">
        <f>'ANALYSE - ERP =&gt; SOUS-SEGMENT'!$GQ$90</f>
        <v>26.021490909090915</v>
      </c>
      <c r="T97" s="424">
        <f>'ANALYSE - ERP =&gt; SOUS-SEGMENT'!$FB$90</f>
        <v>367.29736612276616</v>
      </c>
      <c r="U97" s="427">
        <f>'ANALYSE - ERP =&gt; SOUS-SEGMENT'!$GI$90</f>
        <v>203.42417333333333</v>
      </c>
      <c r="V97" s="427">
        <f>'ANALYSE - ERP =&gt; SOUS-SEGMENT'!$GL$90</f>
        <v>118.07979076923077</v>
      </c>
      <c r="W97" s="427">
        <f>'ANALYSE - ERP =&gt; SOUS-SEGMENT'!$GO$90</f>
        <v>25.350511111111114</v>
      </c>
      <c r="X97" s="427">
        <f>'ANALYSE - ERP =&gt; SOUS-SEGMENT'!$GR$90</f>
        <v>20.442890909090913</v>
      </c>
      <c r="Z97" s="427">
        <f>'ANALYSE - ERP =&gt; SOUS-SEGMENT'!$FC$90</f>
        <v>111.572</v>
      </c>
      <c r="AA97" s="427">
        <f>'ANALYSE - ERP =&gt; SOUS-SEGMENT'!$GJ$90</f>
        <v>55.786000000000001</v>
      </c>
      <c r="AB97" s="427">
        <f>'ANALYSE - ERP =&gt; SOUS-SEGMENT'!$GM$90</f>
        <v>41.281640000000003</v>
      </c>
      <c r="AC97" s="427">
        <f>'ANALYSE - ERP =&gt; SOUS-SEGMENT'!$GP$90</f>
        <v>8.9257600000000004</v>
      </c>
      <c r="AD97" s="427">
        <f>'ANALYSE - ERP =&gt; SOUS-SEGMENT'!$GS$90</f>
        <v>5.5786000000000007</v>
      </c>
      <c r="AF97" s="430">
        <f>'ANALYSE - ERP =&gt; SOUS-SEGMENT'!$Q$90</f>
        <v>1</v>
      </c>
    </row>
    <row r="98" spans="1:32" ht="15" customHeight="1">
      <c r="A98" s="26">
        <v>95</v>
      </c>
      <c r="B98" s="26">
        <v>95</v>
      </c>
      <c r="C98" s="26">
        <v>90</v>
      </c>
      <c r="D98" s="422">
        <f>'ANALYSE - ERP =&gt; SOUS-SEGMENT'!$A$141</f>
        <v>134</v>
      </c>
      <c r="E98" s="417" t="str">
        <f>'ANALYSE - ERP =&gt; SOUS-SEGMENT'!$B$141</f>
        <v>Sécurité &amp; Justice</v>
      </c>
      <c r="F98" s="417" t="str">
        <f>'ANALYSE - ERP =&gt; SOUS-SEGMENT'!$C$141</f>
        <v>Univers carcéral</v>
      </c>
      <c r="G98" s="417" t="str">
        <f>'ANALYSE - ERP =&gt; SOUS-SEGMENT'!$D$141</f>
        <v>Maisons centrales</v>
      </c>
      <c r="I98" s="427">
        <f t="shared" si="8"/>
        <v>72.41370000000002</v>
      </c>
      <c r="K98" s="787">
        <f t="shared" si="6"/>
        <v>0.79474602181631371</v>
      </c>
      <c r="L98" s="787">
        <f t="shared" si="7"/>
        <v>0.20525397818368618</v>
      </c>
      <c r="N98" s="424">
        <f>'ANALYSE - ERP =&gt; SOUS-SEGMENT'!$FA$141</f>
        <v>362.06850000000009</v>
      </c>
      <c r="O98" s="427">
        <f>'ANALYSE - ERP =&gt; SOUS-SEGMENT'!$GH$141</f>
        <v>7.4263200000000014</v>
      </c>
      <c r="P98" s="427">
        <f>'ANALYSE - ERP =&gt; SOUS-SEGMENT'!$GK$141</f>
        <v>240.27804</v>
      </c>
      <c r="Q98" s="427">
        <f>'ANALYSE - ERP =&gt; SOUS-SEGMENT'!$GN$141</f>
        <v>5.1988200000000004</v>
      </c>
      <c r="R98" s="427">
        <f>'ANALYSE - ERP =&gt; SOUS-SEGMENT'!$GQ$141</f>
        <v>109.16532000000002</v>
      </c>
      <c r="T98" s="424">
        <f>'ANALYSE - ERP =&gt; SOUS-SEGMENT'!$FB$141</f>
        <v>287.75250000000005</v>
      </c>
      <c r="U98" s="427">
        <f>'ANALYSE - ERP =&gt; SOUS-SEGMENT'!$GI$141</f>
        <v>5.9400000000000013</v>
      </c>
      <c r="V98" s="427">
        <f>'ANALYSE - ERP =&gt; SOUS-SEGMENT'!$GL$141</f>
        <v>189</v>
      </c>
      <c r="W98" s="427">
        <f>'ANALYSE - ERP =&gt; SOUS-SEGMENT'!$GO$141</f>
        <v>3.7125000000000004</v>
      </c>
      <c r="X98" s="427">
        <f>'ANALYSE - ERP =&gt; SOUS-SEGMENT'!$GR$141</f>
        <v>89.100000000000023</v>
      </c>
      <c r="Z98" s="427">
        <f>'ANALYSE - ERP =&gt; SOUS-SEGMENT'!$FC$141</f>
        <v>74.316000000000003</v>
      </c>
      <c r="AA98" s="427">
        <f>'ANALYSE - ERP =&gt; SOUS-SEGMENT'!$GJ$141</f>
        <v>1.4863200000000001</v>
      </c>
      <c r="AB98" s="427">
        <f>'ANALYSE - ERP =&gt; SOUS-SEGMENT'!$GM$141</f>
        <v>51.278039999999997</v>
      </c>
      <c r="AC98" s="427">
        <f>'ANALYSE - ERP =&gt; SOUS-SEGMENT'!$GP$141</f>
        <v>1.4863200000000001</v>
      </c>
      <c r="AD98" s="427">
        <f>'ANALYSE - ERP =&gt; SOUS-SEGMENT'!$GS$141</f>
        <v>20.065320000000003</v>
      </c>
      <c r="AF98" s="430">
        <f>'ANALYSE - ERP =&gt; SOUS-SEGMENT'!$Q$141</f>
        <v>1</v>
      </c>
    </row>
    <row r="99" spans="1:32" ht="15" customHeight="1">
      <c r="A99" s="26">
        <v>96</v>
      </c>
      <c r="B99" s="26">
        <v>97</v>
      </c>
      <c r="C99" s="26">
        <v>86</v>
      </c>
      <c r="D99" s="422">
        <f>'ANALYSE - ERP =&gt; SOUS-SEGMENT'!$A$144</f>
        <v>137</v>
      </c>
      <c r="E99" s="417" t="str">
        <f>'ANALYSE - ERP =&gt; SOUS-SEGMENT'!$B$144</f>
        <v>Sécurité &amp; Justice</v>
      </c>
      <c r="F99" s="417" t="str">
        <f>'ANALYSE - ERP =&gt; SOUS-SEGMENT'!$C$144</f>
        <v>Univers carcéral</v>
      </c>
      <c r="G99" s="417" t="str">
        <f>'ANALYSE - ERP =&gt; SOUS-SEGMENT'!$D$144</f>
        <v>Centres éducatifs fermés</v>
      </c>
      <c r="I99" s="427">
        <f t="shared" si="8"/>
        <v>52.176275454545454</v>
      </c>
      <c r="K99" s="787">
        <f t="shared" ref="K99:K106" si="9">IFERROR(T99/N99,"")</f>
        <v>0.50542924393902955</v>
      </c>
      <c r="L99" s="787">
        <f t="shared" ref="L99:L106" si="10">IFERROR(Z99/N99,"")</f>
        <v>0.49457075606097051</v>
      </c>
      <c r="N99" s="424">
        <f>'ANALYSE - ERP =&gt; SOUS-SEGMENT'!$FA$144</f>
        <v>260.88137727272726</v>
      </c>
      <c r="O99" s="427">
        <f>'ANALYSE - ERP =&gt; SOUS-SEGMENT'!$GH$144</f>
        <v>5.302086000000001</v>
      </c>
      <c r="P99" s="427">
        <f>'ANALYSE - ERP =&gt; SOUS-SEGMENT'!$GK$144</f>
        <v>175.27949427272728</v>
      </c>
      <c r="Q99" s="427">
        <f>'ANALYSE - ERP =&gt; SOUS-SEGMENT'!$GN$144</f>
        <v>4.3152360000000005</v>
      </c>
      <c r="R99" s="427">
        <f>'ANALYSE - ERP =&gt; SOUS-SEGMENT'!$GQ$144</f>
        <v>75.984561000000014</v>
      </c>
      <c r="T99" s="424">
        <f>'ANALYSE - ERP =&gt; SOUS-SEGMENT'!$FB$144</f>
        <v>131.85707727272728</v>
      </c>
      <c r="U99" s="427">
        <f>'ANALYSE - ERP =&gt; SOUS-SEGMENT'!$GI$144</f>
        <v>2.7216000000000005</v>
      </c>
      <c r="V99" s="427">
        <f>'ANALYSE - ERP =&gt; SOUS-SEGMENT'!$GL$144</f>
        <v>86.25272727272727</v>
      </c>
      <c r="W99" s="427">
        <f>'ANALYSE - ERP =&gt; SOUS-SEGMENT'!$GO$144</f>
        <v>1.7347500000000002</v>
      </c>
      <c r="X99" s="427">
        <f>'ANALYSE - ERP =&gt; SOUS-SEGMENT'!$GR$144</f>
        <v>41.148000000000003</v>
      </c>
      <c r="Z99" s="427">
        <f>'ANALYSE - ERP =&gt; SOUS-SEGMENT'!$FC$144</f>
        <v>129.02430000000001</v>
      </c>
      <c r="AA99" s="427">
        <f>'ANALYSE - ERP =&gt; SOUS-SEGMENT'!$GJ$144</f>
        <v>2.5804860000000001</v>
      </c>
      <c r="AB99" s="427">
        <f>'ANALYSE - ERP =&gt; SOUS-SEGMENT'!$GM$144</f>
        <v>89.026767000000007</v>
      </c>
      <c r="AC99" s="427">
        <f>'ANALYSE - ERP =&gt; SOUS-SEGMENT'!$GP$144</f>
        <v>2.5804860000000001</v>
      </c>
      <c r="AD99" s="427">
        <f>'ANALYSE - ERP =&gt; SOUS-SEGMENT'!$GS$144</f>
        <v>34.836561000000003</v>
      </c>
      <c r="AF99" s="430">
        <f>'ANALYSE - ERP =&gt; SOUS-SEGMENT'!$Q$144</f>
        <v>1</v>
      </c>
    </row>
    <row r="100" spans="1:32" ht="15" customHeight="1">
      <c r="A100" s="26">
        <v>97</v>
      </c>
      <c r="B100" s="26">
        <v>96</v>
      </c>
      <c r="C100" s="26">
        <v>95</v>
      </c>
      <c r="D100" s="422">
        <f>'ANALYSE - ERP =&gt; SOUS-SEGMENT'!$A$147</f>
        <v>140</v>
      </c>
      <c r="E100" s="417" t="str">
        <f>'ANALYSE - ERP =&gt; SOUS-SEGMENT'!$B$147</f>
        <v>Sécurité &amp; Justice</v>
      </c>
      <c r="F100" s="417" t="str">
        <f>'ANALYSE - ERP =&gt; SOUS-SEGMENT'!$C$147</f>
        <v>Tribunaux</v>
      </c>
      <c r="G100" s="417" t="str">
        <f>'ANALYSE - ERP =&gt; SOUS-SEGMENT'!$D$147</f>
        <v>Maisons de justice et du droit</v>
      </c>
      <c r="I100" s="427">
        <f t="shared" ref="I100:I106" si="11">N100/5</f>
        <v>45.743736646153842</v>
      </c>
      <c r="K100" s="787">
        <f t="shared" si="9"/>
        <v>0.78364688314477415</v>
      </c>
      <c r="L100" s="787">
        <f t="shared" si="10"/>
        <v>0.21635311685522587</v>
      </c>
      <c r="N100" s="424">
        <f>'ANALYSE - ERP =&gt; SOUS-SEGMENT'!$FA$147</f>
        <v>228.71868323076922</v>
      </c>
      <c r="O100" s="427">
        <f>'ANALYSE - ERP =&gt; SOUS-SEGMENT'!$GH$147</f>
        <v>38.507401538461536</v>
      </c>
      <c r="P100" s="427">
        <f>'ANALYSE - ERP =&gt; SOUS-SEGMENT'!$GK$147</f>
        <v>140.43406769230768</v>
      </c>
      <c r="Q100" s="427">
        <f>'ANALYSE - ERP =&gt; SOUS-SEGMENT'!$GN$147</f>
        <v>40.808434000000005</v>
      </c>
      <c r="R100" s="427">
        <f>'ANALYSE - ERP =&gt; SOUS-SEGMENT'!$GQ$147</f>
        <v>8.9687799999999989</v>
      </c>
      <c r="T100" s="424">
        <f>'ANALYSE - ERP =&gt; SOUS-SEGMENT'!$FB$147</f>
        <v>179.23468323076921</v>
      </c>
      <c r="U100" s="427">
        <f>'ANALYSE - ERP =&gt; SOUS-SEGMENT'!$GI$147</f>
        <v>30.589961538461534</v>
      </c>
      <c r="V100" s="427">
        <f>'ANALYSE - ERP =&gt; SOUS-SEGMENT'!$GL$147</f>
        <v>108.76430769230768</v>
      </c>
      <c r="W100" s="427">
        <f>'ANALYSE - ERP =&gt; SOUS-SEGMENT'!$GO$147</f>
        <v>32.396154000000003</v>
      </c>
      <c r="X100" s="427">
        <f>'ANALYSE - ERP =&gt; SOUS-SEGMENT'!$GR$147</f>
        <v>7.484259999999999</v>
      </c>
      <c r="Z100" s="427">
        <f>'ANALYSE - ERP =&gt; SOUS-SEGMENT'!$FC$147</f>
        <v>49.484000000000002</v>
      </c>
      <c r="AA100" s="427">
        <f>'ANALYSE - ERP =&gt; SOUS-SEGMENT'!$GJ$147</f>
        <v>7.91744</v>
      </c>
      <c r="AB100" s="427">
        <f>'ANALYSE - ERP =&gt; SOUS-SEGMENT'!$GM$147</f>
        <v>31.66976</v>
      </c>
      <c r="AC100" s="427">
        <f>'ANALYSE - ERP =&gt; SOUS-SEGMENT'!$GP$147</f>
        <v>8.4122800000000009</v>
      </c>
      <c r="AD100" s="427">
        <f>'ANALYSE - ERP =&gt; SOUS-SEGMENT'!$GS$147</f>
        <v>1.4845200000000001</v>
      </c>
      <c r="AF100" s="430">
        <f>'ANALYSE - ERP =&gt; SOUS-SEGMENT'!$Q$147</f>
        <v>1</v>
      </c>
    </row>
    <row r="101" spans="1:32" ht="15" customHeight="1">
      <c r="A101" s="26">
        <v>98</v>
      </c>
      <c r="B101" s="26">
        <v>98</v>
      </c>
      <c r="C101" s="26">
        <v>96</v>
      </c>
      <c r="D101" s="422">
        <f>'ANALYSE - ERP =&gt; SOUS-SEGMENT'!$A$48</f>
        <v>41</v>
      </c>
      <c r="E101" s="417" t="str">
        <f>'ANALYSE - ERP =&gt; SOUS-SEGMENT'!$B$48</f>
        <v>Santé &amp; Médico-social</v>
      </c>
      <c r="F101" s="417" t="str">
        <f>'ANALYSE - ERP =&gt; SOUS-SEGMENT'!$C$48</f>
        <v>Santé hospitalière</v>
      </c>
      <c r="G101" s="417" t="str">
        <f>'ANALYSE - ERP =&gt; SOUS-SEGMENT'!$D$48</f>
        <v>Unités hospitalières sécurisées en milieu carcéral</v>
      </c>
      <c r="I101" s="427">
        <f t="shared" si="11"/>
        <v>37.093180000000004</v>
      </c>
      <c r="K101" s="787">
        <f t="shared" si="9"/>
        <v>0.70396498763384541</v>
      </c>
      <c r="L101" s="787">
        <f t="shared" si="10"/>
        <v>0.29603501236615459</v>
      </c>
      <c r="N101" s="424">
        <f>'ANALYSE - ERP =&gt; SOUS-SEGMENT'!$FA$48</f>
        <v>185.46590000000003</v>
      </c>
      <c r="O101" s="427">
        <f>'ANALYSE - ERP =&gt; SOUS-SEGMENT'!$GH$48</f>
        <v>3.1980880000000003</v>
      </c>
      <c r="P101" s="427">
        <f>'ANALYSE - ERP =&gt; SOUS-SEGMENT'!$GK$48</f>
        <v>126.084036</v>
      </c>
      <c r="Q101" s="427">
        <f>'ANALYSE - ERP =&gt; SOUS-SEGMENT'!$GN$48</f>
        <v>2.9655880000000003</v>
      </c>
      <c r="R101" s="427">
        <f>'ANALYSE - ERP =&gt; SOUS-SEGMENT'!$GQ$48</f>
        <v>53.218188000000012</v>
      </c>
      <c r="T101" s="424">
        <f>'ANALYSE - ERP =&gt; SOUS-SEGMENT'!$FB$48</f>
        <v>130.56150000000002</v>
      </c>
      <c r="U101" s="427">
        <f>'ANALYSE - ERP =&gt; SOUS-SEGMENT'!$GI$48</f>
        <v>2.1</v>
      </c>
      <c r="V101" s="427">
        <f>'ANALYSE - ERP =&gt; SOUS-SEGMENT'!$GL$48</f>
        <v>88.2</v>
      </c>
      <c r="W101" s="427">
        <f>'ANALYSE - ERP =&gt; SOUS-SEGMENT'!$GO$48</f>
        <v>1.8675000000000002</v>
      </c>
      <c r="X101" s="427">
        <f>'ANALYSE - ERP =&gt; SOUS-SEGMENT'!$GR$48</f>
        <v>38.394000000000013</v>
      </c>
      <c r="Z101" s="427">
        <f>'ANALYSE - ERP =&gt; SOUS-SEGMENT'!$FC$48</f>
        <v>54.904400000000003</v>
      </c>
      <c r="AA101" s="427">
        <f>'ANALYSE - ERP =&gt; SOUS-SEGMENT'!$GJ$48</f>
        <v>1.0980880000000002</v>
      </c>
      <c r="AB101" s="427">
        <f>'ANALYSE - ERP =&gt; SOUS-SEGMENT'!$GM$48</f>
        <v>37.884036000000002</v>
      </c>
      <c r="AC101" s="427">
        <f>'ANALYSE - ERP =&gt; SOUS-SEGMENT'!$GP$48</f>
        <v>1.0980880000000002</v>
      </c>
      <c r="AD101" s="427">
        <f>'ANALYSE - ERP =&gt; SOUS-SEGMENT'!$GS$48</f>
        <v>14.824188000000001</v>
      </c>
      <c r="AF101" s="430">
        <f>'ANALYSE - ERP =&gt; SOUS-SEGMENT'!$Q$48</f>
        <v>1</v>
      </c>
    </row>
    <row r="102" spans="1:32" ht="15" customHeight="1">
      <c r="A102" s="26">
        <v>99</v>
      </c>
      <c r="B102" s="26">
        <v>99</v>
      </c>
      <c r="C102" s="26">
        <v>101</v>
      </c>
      <c r="D102" s="422">
        <f>'ANALYSE - ERP =&gt; SOUS-SEGMENT'!$A$143</f>
        <v>136</v>
      </c>
      <c r="E102" s="417" t="str">
        <f>'ANALYSE - ERP =&gt; SOUS-SEGMENT'!$B$143</f>
        <v>Sécurité &amp; Justice</v>
      </c>
      <c r="F102" s="417" t="str">
        <f>'ANALYSE - ERP =&gt; SOUS-SEGMENT'!$C$143</f>
        <v>Univers carcéral</v>
      </c>
      <c r="G102" s="417" t="str">
        <f>'ANALYSE - ERP =&gt; SOUS-SEGMENT'!$D$143</f>
        <v>Centres de semi-liberté</v>
      </c>
      <c r="I102" s="427">
        <f t="shared" si="11"/>
        <v>27.129143999999997</v>
      </c>
      <c r="K102" s="787">
        <f t="shared" si="9"/>
        <v>0.84336608630187526</v>
      </c>
      <c r="L102" s="787">
        <f t="shared" si="10"/>
        <v>0.15663391369812482</v>
      </c>
      <c r="N102" s="424">
        <f>'ANALYSE - ERP =&gt; SOUS-SEGMENT'!$FA$143</f>
        <v>135.64571999999998</v>
      </c>
      <c r="O102" s="427">
        <f>'ANALYSE - ERP =&gt; SOUS-SEGMENT'!$GH$143</f>
        <v>2.8009344000000005</v>
      </c>
      <c r="P102" s="427">
        <f>'ANALYSE - ERP =&gt; SOUS-SEGMENT'!$GK$143</f>
        <v>90.260236799999973</v>
      </c>
      <c r="Q102" s="427">
        <f>'ANALYSE - ERP =&gt; SOUS-SEGMENT'!$GN$143</f>
        <v>1.8559344</v>
      </c>
      <c r="R102" s="427">
        <f>'ANALYSE - ERP =&gt; SOUS-SEGMENT'!$GQ$143</f>
        <v>40.728614400000005</v>
      </c>
      <c r="T102" s="424">
        <f>'ANALYSE - ERP =&gt; SOUS-SEGMENT'!$FB$143</f>
        <v>114.39899999999999</v>
      </c>
      <c r="U102" s="427">
        <f>'ANALYSE - ERP =&gt; SOUS-SEGMENT'!$GI$143</f>
        <v>2.3760000000000003</v>
      </c>
      <c r="V102" s="427">
        <f>'ANALYSE - ERP =&gt; SOUS-SEGMENT'!$GL$143</f>
        <v>75.59999999999998</v>
      </c>
      <c r="W102" s="427">
        <f>'ANALYSE - ERP =&gt; SOUS-SEGMENT'!$GO$143</f>
        <v>1.431</v>
      </c>
      <c r="X102" s="427">
        <f>'ANALYSE - ERP =&gt; SOUS-SEGMENT'!$GR$143</f>
        <v>34.992000000000004</v>
      </c>
      <c r="Z102" s="427">
        <f>'ANALYSE - ERP =&gt; SOUS-SEGMENT'!$FC$143</f>
        <v>21.24672</v>
      </c>
      <c r="AA102" s="427">
        <f>'ANALYSE - ERP =&gt; SOUS-SEGMENT'!$GJ$143</f>
        <v>0.42493439999999999</v>
      </c>
      <c r="AB102" s="427">
        <f>'ANALYSE - ERP =&gt; SOUS-SEGMENT'!$GM$143</f>
        <v>14.660236799999998</v>
      </c>
      <c r="AC102" s="427">
        <f>'ANALYSE - ERP =&gt; SOUS-SEGMENT'!$GP$143</f>
        <v>0.42493439999999999</v>
      </c>
      <c r="AD102" s="427">
        <f>'ANALYSE - ERP =&gt; SOUS-SEGMENT'!$GS$143</f>
        <v>5.7366144000000006</v>
      </c>
      <c r="AF102" s="430">
        <f>'ANALYSE - ERP =&gt; SOUS-SEGMENT'!$Q$143</f>
        <v>1</v>
      </c>
    </row>
    <row r="103" spans="1:32" ht="15" customHeight="1">
      <c r="A103" s="26">
        <v>100</v>
      </c>
      <c r="B103" s="26">
        <v>100</v>
      </c>
      <c r="C103" s="26">
        <v>99</v>
      </c>
      <c r="D103" s="422">
        <f>'ANALYSE - ERP =&gt; SOUS-SEGMENT'!$A$134</f>
        <v>127</v>
      </c>
      <c r="E103" s="417" t="str">
        <f>'ANALYSE - ERP =&gt; SOUS-SEGMENT'!$B$134</f>
        <v>Sécurité &amp; Justice</v>
      </c>
      <c r="F103" s="417" t="str">
        <f>'ANALYSE - ERP =&gt; SOUS-SEGMENT'!$C$134</f>
        <v xml:space="preserve">Commissariats / postes de police </v>
      </c>
      <c r="G103" s="417" t="str">
        <f>'ANALYSE - ERP =&gt; SOUS-SEGMENT'!$D$134</f>
        <v>Salles de réunion, de prévention ou de conférence ouvertes au public</v>
      </c>
      <c r="I103" s="427">
        <f t="shared" si="11"/>
        <v>27.069584440000007</v>
      </c>
      <c r="K103" s="787">
        <f t="shared" si="9"/>
        <v>0.82496665175994843</v>
      </c>
      <c r="L103" s="787">
        <f t="shared" si="10"/>
        <v>0.17503334824005148</v>
      </c>
      <c r="N103" s="424">
        <f>'ANALYSE - ERP =&gt; SOUS-SEGMENT'!$FA$134</f>
        <v>135.34792220000003</v>
      </c>
      <c r="O103" s="427">
        <f>'ANALYSE - ERP =&gt; SOUS-SEGMENT'!$GH$134</f>
        <v>23.997965999999998</v>
      </c>
      <c r="P103" s="427">
        <f>'ANALYSE - ERP =&gt; SOUS-SEGMENT'!$GK$134</f>
        <v>82.905100800000014</v>
      </c>
      <c r="Q103" s="427">
        <f>'ANALYSE - ERP =&gt; SOUS-SEGMENT'!$GN$134</f>
        <v>22.844936000000001</v>
      </c>
      <c r="R103" s="427">
        <f>'ANALYSE - ERP =&gt; SOUS-SEGMENT'!$GQ$134</f>
        <v>5.5999194000000001</v>
      </c>
      <c r="T103" s="424">
        <f>'ANALYSE - ERP =&gt; SOUS-SEGMENT'!$FB$134</f>
        <v>111.65752220000002</v>
      </c>
      <c r="U103" s="427">
        <f>'ANALYSE - ERP =&gt; SOUS-SEGMENT'!$GI$134</f>
        <v>20.207501999999998</v>
      </c>
      <c r="V103" s="427">
        <f>'ANALYSE - ERP =&gt; SOUS-SEGMENT'!$GL$134</f>
        <v>67.743244800000014</v>
      </c>
      <c r="W103" s="427">
        <f>'ANALYSE - ERP =&gt; SOUS-SEGMENT'!$GO$134</f>
        <v>18.817568000000001</v>
      </c>
      <c r="X103" s="427">
        <f>'ANALYSE - ERP =&gt; SOUS-SEGMENT'!$GR$134</f>
        <v>4.8892074000000001</v>
      </c>
      <c r="Z103" s="427">
        <f>'ANALYSE - ERP =&gt; SOUS-SEGMENT'!$FC$134</f>
        <v>23.6904</v>
      </c>
      <c r="AA103" s="427">
        <f>'ANALYSE - ERP =&gt; SOUS-SEGMENT'!$GJ$134</f>
        <v>3.7904640000000001</v>
      </c>
      <c r="AB103" s="427">
        <f>'ANALYSE - ERP =&gt; SOUS-SEGMENT'!$GM$134</f>
        <v>15.161856</v>
      </c>
      <c r="AC103" s="427">
        <f>'ANALYSE - ERP =&gt; SOUS-SEGMENT'!$GP$134</f>
        <v>4.0273680000000001</v>
      </c>
      <c r="AD103" s="427">
        <f>'ANALYSE - ERP =&gt; SOUS-SEGMENT'!$GS$134</f>
        <v>0.71071200000000001</v>
      </c>
      <c r="AF103" s="430">
        <f>'ANALYSE - ERP =&gt; SOUS-SEGMENT'!$Q$134</f>
        <v>0</v>
      </c>
    </row>
    <row r="104" spans="1:32" ht="15" customHeight="1">
      <c r="A104" s="26">
        <v>101</v>
      </c>
      <c r="B104" s="26">
        <v>101</v>
      </c>
      <c r="C104" s="26">
        <v>100</v>
      </c>
      <c r="D104" s="422">
        <f>'ANALYSE - ERP =&gt; SOUS-SEGMENT'!$A$136</f>
        <v>129</v>
      </c>
      <c r="E104" s="417" t="str">
        <f>'ANALYSE - ERP =&gt; SOUS-SEGMENT'!$B$136</f>
        <v>Sécurité &amp; Justice</v>
      </c>
      <c r="F104" s="417" t="str">
        <f>'ANALYSE - ERP =&gt; SOUS-SEGMENT'!$C$136</f>
        <v>Forces armées</v>
      </c>
      <c r="G104" s="417" t="str">
        <f>'ANALYSE - ERP =&gt; SOUS-SEGMENT'!$D$136</f>
        <v>Centres de recrutement et bureaux d’information</v>
      </c>
      <c r="I104" s="427">
        <f t="shared" si="11"/>
        <v>17.943964990707073</v>
      </c>
      <c r="K104" s="787">
        <f t="shared" si="9"/>
        <v>0.76308469158284487</v>
      </c>
      <c r="L104" s="787">
        <f t="shared" si="10"/>
        <v>0.23691530841715511</v>
      </c>
      <c r="N104" s="424">
        <f>'ANALYSE - ERP =&gt; SOUS-SEGMENT'!$FA$136</f>
        <v>89.719824953535365</v>
      </c>
      <c r="O104" s="427">
        <f>'ANALYSE - ERP =&gt; SOUS-SEGMENT'!$GH$136</f>
        <v>15.883586909090909</v>
      </c>
      <c r="P104" s="427">
        <f>'ANALYSE - ERP =&gt; SOUS-SEGMENT'!$GK$136</f>
        <v>54.376401066666666</v>
      </c>
      <c r="Q104" s="427">
        <f>'ANALYSE - ERP =&gt; SOUS-SEGMENT'!$GN$136</f>
        <v>15.73768177777778</v>
      </c>
      <c r="R104" s="427">
        <f>'ANALYSE - ERP =&gt; SOUS-SEGMENT'!$GQ$136</f>
        <v>3.7221552</v>
      </c>
      <c r="T104" s="424">
        <f>'ANALYSE - ERP =&gt; SOUS-SEGMENT'!$FB$136</f>
        <v>68.463824953535365</v>
      </c>
      <c r="U104" s="427">
        <f>'ANALYSE - ERP =&gt; SOUS-SEGMENT'!$GI$136</f>
        <v>12.482626909090909</v>
      </c>
      <c r="V104" s="427">
        <f>'ANALYSE - ERP =&gt; SOUS-SEGMENT'!$GL$136</f>
        <v>40.772561066666668</v>
      </c>
      <c r="W104" s="427">
        <f>'ANALYSE - ERP =&gt; SOUS-SEGMENT'!$GO$136</f>
        <v>12.124161777777781</v>
      </c>
      <c r="X104" s="427">
        <f>'ANALYSE - ERP =&gt; SOUS-SEGMENT'!$GR$136</f>
        <v>3.0844752</v>
      </c>
      <c r="Z104" s="427">
        <f>'ANALYSE - ERP =&gt; SOUS-SEGMENT'!$FC$136</f>
        <v>21.256</v>
      </c>
      <c r="AA104" s="427">
        <f>'ANALYSE - ERP =&gt; SOUS-SEGMENT'!$GJ$136</f>
        <v>3.40096</v>
      </c>
      <c r="AB104" s="427">
        <f>'ANALYSE - ERP =&gt; SOUS-SEGMENT'!$GM$136</f>
        <v>13.60384</v>
      </c>
      <c r="AC104" s="427">
        <f>'ANALYSE - ERP =&gt; SOUS-SEGMENT'!$GP$136</f>
        <v>3.6135200000000003</v>
      </c>
      <c r="AD104" s="427">
        <f>'ANALYSE - ERP =&gt; SOUS-SEGMENT'!$GS$136</f>
        <v>0.63768000000000002</v>
      </c>
      <c r="AF104" s="430">
        <f>'ANALYSE - ERP =&gt; SOUS-SEGMENT'!$Q$136</f>
        <v>1</v>
      </c>
    </row>
    <row r="105" spans="1:32" ht="15" customHeight="1">
      <c r="A105" s="26">
        <v>102</v>
      </c>
      <c r="B105" s="26">
        <v>102</v>
      </c>
      <c r="C105" s="26">
        <v>102</v>
      </c>
      <c r="D105" s="422">
        <f>'ANALYSE - ERP =&gt; SOUS-SEGMENT'!$A$133</f>
        <v>126</v>
      </c>
      <c r="E105" s="417" t="str">
        <f>'ANALYSE - ERP =&gt; SOUS-SEGMENT'!$B$133</f>
        <v>Sécurité &amp; Justice</v>
      </c>
      <c r="F105" s="417" t="str">
        <f>'ANALYSE - ERP =&gt; SOUS-SEGMENT'!$C$133</f>
        <v xml:space="preserve">Commissariats / postes de police </v>
      </c>
      <c r="G105" s="417" t="str">
        <f>'ANALYSE - ERP =&gt; SOUS-SEGMENT'!$D$133</f>
        <v>Postes de proximité et antennes avec accueil public</v>
      </c>
      <c r="I105" s="427">
        <f t="shared" si="11"/>
        <v>12.271724266666666</v>
      </c>
      <c r="K105" s="787">
        <f t="shared" si="9"/>
        <v>0.88253973372630756</v>
      </c>
      <c r="L105" s="787">
        <f t="shared" si="10"/>
        <v>0.11746026627369245</v>
      </c>
      <c r="N105" s="424">
        <f>'ANALYSE - ERP =&gt; SOUS-SEGMENT'!$FA$133</f>
        <v>61.358621333333332</v>
      </c>
      <c r="O105" s="427">
        <f>'ANALYSE - ERP =&gt; SOUS-SEGMENT'!$GH$133</f>
        <v>7.0441560000000001</v>
      </c>
      <c r="P105" s="427">
        <f>'ANALYSE - ERP =&gt; SOUS-SEGMENT'!$GK$133</f>
        <v>43.697992800000002</v>
      </c>
      <c r="Q105" s="427">
        <f>'ANALYSE - ERP =&gt; SOUS-SEGMENT'!$GN$133</f>
        <v>8.1824717333333314</v>
      </c>
      <c r="R105" s="427">
        <f>'ANALYSE - ERP =&gt; SOUS-SEGMENT'!$GQ$133</f>
        <v>2.4340007999999997</v>
      </c>
      <c r="T105" s="424">
        <f>'ANALYSE - ERP =&gt; SOUS-SEGMENT'!$FB$133</f>
        <v>54.151421333333332</v>
      </c>
      <c r="U105" s="427">
        <f>'ANALYSE - ERP =&gt; SOUS-SEGMENT'!$GI$133</f>
        <v>6.3234360000000001</v>
      </c>
      <c r="V105" s="427">
        <f>'ANALYSE - ERP =&gt; SOUS-SEGMENT'!$GL$133</f>
        <v>38.508808800000004</v>
      </c>
      <c r="W105" s="427">
        <f>'ANALYSE - ERP =&gt; SOUS-SEGMENT'!$GO$133</f>
        <v>7.1013917333333323</v>
      </c>
      <c r="X105" s="427">
        <f>'ANALYSE - ERP =&gt; SOUS-SEGMENT'!$GR$133</f>
        <v>2.2177848</v>
      </c>
      <c r="Z105" s="427">
        <f>'ANALYSE - ERP =&gt; SOUS-SEGMENT'!$FC$133</f>
        <v>7.2071999999999994</v>
      </c>
      <c r="AA105" s="427">
        <f>'ANALYSE - ERP =&gt; SOUS-SEGMENT'!$GJ$133</f>
        <v>0.72072000000000003</v>
      </c>
      <c r="AB105" s="427">
        <f>'ANALYSE - ERP =&gt; SOUS-SEGMENT'!$GM$133</f>
        <v>5.1891839999999991</v>
      </c>
      <c r="AC105" s="427">
        <f>'ANALYSE - ERP =&gt; SOUS-SEGMENT'!$GP$133</f>
        <v>1.0810799999999998</v>
      </c>
      <c r="AD105" s="427">
        <f>'ANALYSE - ERP =&gt; SOUS-SEGMENT'!$GS$133</f>
        <v>0.21621599999999996</v>
      </c>
      <c r="AF105" s="430">
        <f>'ANALYSE - ERP =&gt; SOUS-SEGMENT'!$Q$133</f>
        <v>1</v>
      </c>
    </row>
    <row r="106" spans="1:32" s="45" customFormat="1" ht="15" customHeight="1">
      <c r="A106" s="406">
        <v>103</v>
      </c>
      <c r="B106" s="406">
        <v>103</v>
      </c>
      <c r="C106" s="406">
        <v>103</v>
      </c>
      <c r="D106" s="448">
        <f>'ANALYSE - ERP =&gt; SOUS-SEGMENT'!$A$145</f>
        <v>138</v>
      </c>
      <c r="E106" s="423" t="str">
        <f>'ANALYSE - ERP =&gt; SOUS-SEGMENT'!$B$145</f>
        <v>Sécurité &amp; Justice</v>
      </c>
      <c r="F106" s="423" t="str">
        <f>'ANALYSE - ERP =&gt; SOUS-SEGMENT'!$C$145</f>
        <v>Univers carcéral</v>
      </c>
      <c r="G106" s="423" t="str">
        <f>'ANALYSE - ERP =&gt; SOUS-SEGMENT'!$D$145</f>
        <v>Centres pour peines aménagées
(absorbés par autres centres carcéraux)</v>
      </c>
      <c r="H106" s="685"/>
      <c r="I106" s="407">
        <f t="shared" si="11"/>
        <v>0</v>
      </c>
      <c r="J106" s="685"/>
      <c r="K106" s="788" t="str">
        <f t="shared" si="9"/>
        <v/>
      </c>
      <c r="L106" s="788" t="str">
        <f t="shared" si="10"/>
        <v/>
      </c>
      <c r="M106" s="685"/>
      <c r="N106" s="425">
        <f>'ANALYSE - ERP =&gt; SOUS-SEGMENT'!$FA$145</f>
        <v>0</v>
      </c>
      <c r="O106" s="407">
        <f>'ANALYSE - ERP =&gt; SOUS-SEGMENT'!$GH$145</f>
        <v>0</v>
      </c>
      <c r="P106" s="407">
        <f>'ANALYSE - ERP =&gt; SOUS-SEGMENT'!$GK$145</f>
        <v>0</v>
      </c>
      <c r="Q106" s="407">
        <f>'ANALYSE - ERP =&gt; SOUS-SEGMENT'!$GN$145</f>
        <v>0</v>
      </c>
      <c r="R106" s="407">
        <f>'ANALYSE - ERP =&gt; SOUS-SEGMENT'!$GQ$145</f>
        <v>0</v>
      </c>
      <c r="S106" s="685"/>
      <c r="T106" s="425">
        <f>'ANALYSE - ERP =&gt; SOUS-SEGMENT'!$FB$145</f>
        <v>0</v>
      </c>
      <c r="U106" s="407">
        <f>'ANALYSE - ERP =&gt; SOUS-SEGMENT'!$GI$145</f>
        <v>0</v>
      </c>
      <c r="V106" s="407">
        <f>'ANALYSE - ERP =&gt; SOUS-SEGMENT'!$GL$145</f>
        <v>0</v>
      </c>
      <c r="W106" s="407">
        <f>'ANALYSE - ERP =&gt; SOUS-SEGMENT'!$GO$145</f>
        <v>0</v>
      </c>
      <c r="X106" s="407">
        <f>'ANALYSE - ERP =&gt; SOUS-SEGMENT'!$GR$145</f>
        <v>0</v>
      </c>
      <c r="Y106" s="685"/>
      <c r="Z106" s="407">
        <f>'ANALYSE - ERP =&gt; SOUS-SEGMENT'!$FC$145</f>
        <v>0</v>
      </c>
      <c r="AA106" s="407">
        <f>'ANALYSE - ERP =&gt; SOUS-SEGMENT'!$GJ$145</f>
        <v>0</v>
      </c>
      <c r="AB106" s="407">
        <f>'ANALYSE - ERP =&gt; SOUS-SEGMENT'!$GM$145</f>
        <v>0</v>
      </c>
      <c r="AC106" s="407">
        <f>'ANALYSE - ERP =&gt; SOUS-SEGMENT'!$GP$145</f>
        <v>0</v>
      </c>
      <c r="AD106" s="407">
        <f>'ANALYSE - ERP =&gt; SOUS-SEGMENT'!$GS$145</f>
        <v>0</v>
      </c>
      <c r="AE106" s="685"/>
      <c r="AF106" s="450">
        <f>'ANALYSE - ERP =&gt; SOUS-SEGMENT'!$Q$145</f>
        <v>0</v>
      </c>
    </row>
  </sheetData>
  <autoFilter ref="A2:AD106" xr:uid="{00000000-0009-0000-0000-000016000000}"/>
  <conditionalFormatting sqref="O4:R106">
    <cfRule type="colorScale" priority="3">
      <colorScale>
        <cfvo type="min"/>
        <cfvo type="formula" val="MEDIAN($O$4:$R$106)"/>
        <cfvo type="max"/>
        <color rgb="FFF8696B"/>
        <color theme="0"/>
        <color rgb="FF63BE7B"/>
      </colorScale>
    </cfRule>
  </conditionalFormatting>
  <conditionalFormatting sqref="U4:X106">
    <cfRule type="colorScale" priority="2">
      <colorScale>
        <cfvo type="min"/>
        <cfvo type="formula" val="MEDIAN($U$4:$X$106)"/>
        <cfvo type="max"/>
        <color rgb="FFF8696B"/>
        <color theme="0"/>
        <color rgb="FF63BE7B"/>
      </colorScale>
    </cfRule>
  </conditionalFormatting>
  <conditionalFormatting sqref="AA4:AD106">
    <cfRule type="colorScale" priority="1">
      <colorScale>
        <cfvo type="min"/>
        <cfvo type="formula" val="MEDIAN($AA$4:$AD$106)"/>
        <cfvo type="max"/>
        <color rgb="FFF8696B"/>
        <color theme="0"/>
        <color rgb="FF63BE7B"/>
      </colorScale>
    </cfRule>
  </conditionalFormatting>
  <pageMargins left="3.937007874015748E-2" right="3.937007874015748E-2" top="7.874015748031496E-2" bottom="7.874015748031496E-2" header="0.11811023622047249" footer="0.11811023622047249"/>
  <pageSetup paperSize="8" scale="68" fitToHeight="2"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8" tint="-0.249977111117893"/>
    <pageSetUpPr fitToPage="1"/>
  </sheetPr>
  <dimension ref="A1:BB106"/>
  <sheetViews>
    <sheetView zoomScale="85" zoomScaleNormal="85" workbookViewId="0">
      <pane xSplit="7" ySplit="3" topLeftCell="H4" activePane="bottomRight" state="frozen"/>
      <selection activeCell="G29" sqref="G29"/>
      <selection pane="topRight" activeCell="G29" sqref="G29"/>
      <selection pane="bottomLeft" activeCell="G29" sqref="G29"/>
      <selection pane="bottomRight" activeCell="G29" sqref="G29"/>
    </sheetView>
  </sheetViews>
  <sheetFormatPr baseColWidth="10" defaultColWidth="9.140625" defaultRowHeight="15"/>
  <cols>
    <col min="1" max="1" width="6.140625" style="934" customWidth="1"/>
    <col min="2" max="2" width="5.7109375" style="934" customWidth="1"/>
    <col min="3" max="3" width="5.5703125" style="934" customWidth="1"/>
    <col min="4" max="4" width="6" style="934" customWidth="1"/>
    <col min="5" max="5" width="30.28515625" style="43" customWidth="1"/>
    <col min="6" max="6" width="22" style="43" customWidth="1"/>
    <col min="7" max="7" width="45.140625" style="43" customWidth="1"/>
    <col min="8" max="8" width="1.7109375" style="933" customWidth="1"/>
    <col min="9" max="9" width="9.7109375" style="934" customWidth="1"/>
    <col min="10" max="10" width="1.7109375" style="933" customWidth="1"/>
    <col min="11" max="11" width="9.5703125" style="934" customWidth="1"/>
    <col min="12" max="12" width="9" style="934" customWidth="1"/>
    <col min="13" max="13" width="1.7109375" style="933" customWidth="1"/>
    <col min="14" max="14" width="9.42578125" style="934" customWidth="1"/>
    <col min="15" max="15" width="9" style="934" customWidth="1"/>
    <col min="16" max="16" width="10.42578125" style="934" customWidth="1"/>
    <col min="17" max="17" width="8.7109375" style="934" customWidth="1"/>
    <col min="18" max="18" width="1.7109375" style="933" customWidth="1"/>
    <col min="19" max="19" width="9" style="934" customWidth="1"/>
    <col min="20" max="20" width="8.85546875" style="934" customWidth="1"/>
    <col min="21" max="21" width="9.7109375" style="934" customWidth="1"/>
    <col min="22" max="22" width="10.42578125" style="934" customWidth="1"/>
    <col min="23" max="23" width="1.7109375" style="933" customWidth="1"/>
    <col min="24" max="24" width="8.140625" style="934" customWidth="1"/>
    <col min="25" max="25" width="9.85546875" style="934" customWidth="1"/>
    <col min="26" max="26" width="9" style="934" customWidth="1"/>
    <col min="27" max="27" width="9.42578125" style="934" customWidth="1"/>
    <col min="28" max="28" width="1.7109375" style="933" customWidth="1"/>
    <col min="29" max="29" width="12.5703125" style="934" customWidth="1"/>
    <col min="30" max="54" width="9.140625" style="933" customWidth="1"/>
  </cols>
  <sheetData>
    <row r="1" spans="1:54" s="438" customFormat="1" ht="18.75" customHeight="1">
      <c r="A1" s="933"/>
      <c r="B1" s="933"/>
      <c r="C1" s="933"/>
      <c r="D1" s="477"/>
      <c r="E1" s="479"/>
      <c r="F1" s="478" t="s">
        <v>7948</v>
      </c>
      <c r="G1" s="479"/>
      <c r="H1" s="933"/>
      <c r="I1" s="933"/>
      <c r="J1" s="933"/>
      <c r="K1" s="933"/>
      <c r="L1" s="933"/>
      <c r="M1" s="933"/>
      <c r="N1" s="460" t="s">
        <v>7949</v>
      </c>
      <c r="O1" s="440"/>
      <c r="P1" s="440"/>
      <c r="Q1" s="436"/>
      <c r="R1" s="933"/>
      <c r="S1" s="461" t="s">
        <v>7949</v>
      </c>
      <c r="T1" s="434"/>
      <c r="U1" s="439"/>
      <c r="V1" s="434"/>
      <c r="W1" s="933"/>
      <c r="X1" s="462" t="s">
        <v>7949</v>
      </c>
      <c r="Y1" s="435"/>
      <c r="Z1" s="441"/>
      <c r="AA1" s="435"/>
      <c r="AB1" s="933"/>
      <c r="AC1" s="436"/>
      <c r="AD1" s="933"/>
      <c r="AE1" s="933"/>
      <c r="AF1" s="933"/>
      <c r="AG1" s="933"/>
      <c r="AH1" s="933"/>
      <c r="AI1" s="933"/>
      <c r="AJ1" s="933"/>
      <c r="AK1" s="933"/>
      <c r="AL1" s="933"/>
      <c r="AM1" s="933"/>
      <c r="AN1" s="933"/>
      <c r="AO1" s="933"/>
      <c r="AP1" s="933"/>
      <c r="AQ1" s="933"/>
      <c r="AR1" s="933"/>
      <c r="AS1" s="933"/>
      <c r="AT1" s="933"/>
      <c r="AU1" s="933"/>
      <c r="AV1" s="933"/>
      <c r="AW1" s="933"/>
      <c r="AX1" s="933"/>
      <c r="AY1" s="933"/>
      <c r="AZ1" s="933"/>
      <c r="BA1" s="933"/>
      <c r="BB1" s="933"/>
    </row>
    <row r="2" spans="1:54" s="437" customFormat="1" ht="54.75" customHeight="1">
      <c r="A2" s="431" t="s">
        <v>7853</v>
      </c>
      <c r="B2" s="432" t="s">
        <v>7854</v>
      </c>
      <c r="C2" s="433" t="s">
        <v>7855</v>
      </c>
      <c r="D2" s="829" t="s">
        <v>2044</v>
      </c>
      <c r="E2" s="829" t="s">
        <v>6714</v>
      </c>
      <c r="F2" s="829" t="s">
        <v>6715</v>
      </c>
      <c r="G2" s="829" t="s">
        <v>2181</v>
      </c>
      <c r="H2" s="453"/>
      <c r="I2" s="436" t="s">
        <v>7920</v>
      </c>
      <c r="J2" s="453"/>
      <c r="K2" s="434" t="s">
        <v>7860</v>
      </c>
      <c r="L2" s="435" t="s">
        <v>2534</v>
      </c>
      <c r="M2" s="453"/>
      <c r="N2" s="436" t="s">
        <v>7857</v>
      </c>
      <c r="O2" s="436" t="s">
        <v>7936</v>
      </c>
      <c r="P2" s="436" t="s">
        <v>7937</v>
      </c>
      <c r="Q2" s="436" t="s">
        <v>7938</v>
      </c>
      <c r="R2" s="453"/>
      <c r="S2" s="434" t="s">
        <v>7925</v>
      </c>
      <c r="T2" s="434" t="s">
        <v>7940</v>
      </c>
      <c r="U2" s="434" t="s">
        <v>7941</v>
      </c>
      <c r="V2" s="434" t="s">
        <v>7942</v>
      </c>
      <c r="W2" s="453"/>
      <c r="X2" s="435" t="s">
        <v>7930</v>
      </c>
      <c r="Y2" s="435" t="s">
        <v>7944</v>
      </c>
      <c r="Z2" s="435" t="s">
        <v>7945</v>
      </c>
      <c r="AA2" s="435" t="s">
        <v>7946</v>
      </c>
      <c r="AB2" s="453"/>
      <c r="AC2" s="436" t="s">
        <v>6711</v>
      </c>
      <c r="AD2" s="453"/>
      <c r="AE2" s="453"/>
      <c r="AF2" s="453"/>
      <c r="AG2" s="453"/>
      <c r="AH2" s="453"/>
      <c r="AI2" s="453"/>
      <c r="AJ2" s="453"/>
      <c r="AK2" s="453"/>
      <c r="AL2" s="453"/>
      <c r="AM2" s="453"/>
      <c r="AN2" s="453"/>
      <c r="AO2" s="453"/>
      <c r="AP2" s="453"/>
      <c r="AQ2" s="453"/>
      <c r="AR2" s="453"/>
      <c r="AS2" s="453"/>
      <c r="AT2" s="453"/>
      <c r="AU2" s="453"/>
      <c r="AV2" s="453"/>
      <c r="AW2" s="453"/>
      <c r="AX2" s="453"/>
      <c r="AY2" s="453"/>
      <c r="AZ2" s="453"/>
      <c r="BA2" s="453"/>
      <c r="BB2" s="453"/>
    </row>
    <row r="3" spans="1:54">
      <c r="A3" s="405" t="s">
        <v>2535</v>
      </c>
      <c r="B3" s="405" t="s">
        <v>2535</v>
      </c>
      <c r="C3" s="405" t="s">
        <v>2535</v>
      </c>
      <c r="D3" s="405" t="s">
        <v>2090</v>
      </c>
      <c r="E3" s="405" t="s">
        <v>2086</v>
      </c>
      <c r="F3" s="405" t="s">
        <v>6728</v>
      </c>
      <c r="G3" s="405" t="s">
        <v>6729</v>
      </c>
      <c r="I3" s="426" t="str">
        <f>IFERROR(N3/5,"")</f>
        <v/>
      </c>
      <c r="K3" s="790" t="str">
        <f t="shared" ref="K3:K34" si="0">IFERROR(S3/N3,"")</f>
        <v/>
      </c>
      <c r="L3" s="790" t="str">
        <f t="shared" ref="L3:L34" si="1">IFERROR(X3/N3,"")</f>
        <v/>
      </c>
      <c r="N3" s="426" t="e">
        <f>SUMPRODUCT(($AC$4:$AC$106),('ANALYSE - ERP =&gt; SOUS-SEGMENT'!$FD$8:$FD$150))</f>
        <v>#REF!</v>
      </c>
      <c r="O3" s="426" t="e">
        <f>SUMPRODUCT(($AC$4:$AC$106),('ANALYSE - ERP =&gt; SOUS-SEGMENT'!$GT$8:$GT$150))</f>
        <v>#REF!</v>
      </c>
      <c r="P3" s="426" t="e">
        <f>SUMPRODUCT(($AC$4:$AC$106),('ANALYSE - ERP =&gt; SOUS-SEGMENT'!$GW$8:$GW$150))</f>
        <v>#REF!</v>
      </c>
      <c r="Q3" s="426" t="e">
        <f>SUMPRODUCT(($AC$4:$AC$106),('ANALYSE - ERP =&gt; SOUS-SEGMENT'!$GZ$8:$GZ$150))</f>
        <v>#REF!</v>
      </c>
      <c r="S3" s="426" t="e">
        <f>SUMPRODUCT(($AC$4:$AC$106),('ANALYSE - ERP =&gt; SOUS-SEGMENT'!$FE$8:$FE$150))</f>
        <v>#REF!</v>
      </c>
      <c r="T3" s="426" t="e">
        <f>SUMPRODUCT(($AC$4:$AC$106),('ANALYSE - ERP =&gt; SOUS-SEGMENT'!$GU$8:$GU$150))</f>
        <v>#REF!</v>
      </c>
      <c r="U3" s="426" t="e">
        <f>SUMPRODUCT(($AC$4:$AC$106),('ANALYSE - ERP =&gt; SOUS-SEGMENT'!$GX$8:$GX$150))</f>
        <v>#REF!</v>
      </c>
      <c r="V3" s="426" t="e">
        <f>SUMPRODUCT(($AC$4:$AC$106),('ANALYSE - ERP =&gt; SOUS-SEGMENT'!$HA$8:$HA$150))</f>
        <v>#REF!</v>
      </c>
      <c r="X3" s="426" t="e">
        <f>SUMPRODUCT(($AC$4:$AC$106),('ANALYSE - ERP =&gt; SOUS-SEGMENT'!$FF$8:$FF$150))</f>
        <v>#REF!</v>
      </c>
      <c r="Y3" s="426" t="e">
        <f>SUMPRODUCT(($AC$4:$AC$106),('ANALYSE - ERP =&gt; SOUS-SEGMENT'!$GV$8:$GV$150))</f>
        <v>#REF!</v>
      </c>
      <c r="Z3" s="426" t="e">
        <f>SUMPRODUCT(($AC$4:$AC$106),('ANALYSE - ERP =&gt; SOUS-SEGMENT'!$GY$8:$GY$150))</f>
        <v>#REF!</v>
      </c>
      <c r="AA3" s="426" t="e">
        <f>SUMPRODUCT(($AC$4:$AC$106),('ANALYSE - ERP =&gt; SOUS-SEGMENT'!$HB$8:$HB$150))</f>
        <v>#REF!</v>
      </c>
      <c r="AC3" s="428">
        <f>SUM('ANALYSE - ERP =&gt; SOUS-SEGMENT'!$Q$8:$Q$150)</f>
        <v>137</v>
      </c>
    </row>
    <row r="4" spans="1:54" ht="15" customHeight="1">
      <c r="A4" s="26">
        <v>1</v>
      </c>
      <c r="B4" s="26">
        <v>1</v>
      </c>
      <c r="C4" s="26">
        <v>1</v>
      </c>
      <c r="D4" s="422">
        <f>'ANALYSE - ERP =&gt; SOUS-SEGMENT'!$A$75</f>
        <v>68</v>
      </c>
      <c r="E4" s="408" t="str">
        <f>'ANALYSE - ERP =&gt; SOUS-SEGMENT'!$B$75</f>
        <v>Commerce, Restauration &amp; Loisirs</v>
      </c>
      <c r="F4" s="408" t="str">
        <f>'ANALYSE - ERP =&gt; SOUS-SEGMENT'!$C$75</f>
        <v>Restauration / boissons</v>
      </c>
      <c r="G4" s="408" t="str">
        <f>'ANALYSE - ERP =&gt; SOUS-SEGMENT'!$D$75</f>
        <v>Restaurants
(Hors établissements altitude, flottant, armée)</v>
      </c>
      <c r="I4" s="427">
        <f t="shared" ref="I4:I35" si="2">N4/5</f>
        <v>0</v>
      </c>
      <c r="K4" s="787" t="str">
        <f t="shared" si="0"/>
        <v/>
      </c>
      <c r="L4" s="787" t="str">
        <f t="shared" si="1"/>
        <v/>
      </c>
      <c r="N4" s="424">
        <f>'ANALYSE - ERP =&gt; SOUS-SEGMENT'!$FD$75</f>
        <v>0</v>
      </c>
      <c r="O4" s="427">
        <f>'ANALYSE - ERP =&gt; SOUS-SEGMENT'!$GT$75</f>
        <v>0</v>
      </c>
      <c r="P4" s="427">
        <f>'ANALYSE - ERP =&gt; SOUS-SEGMENT'!$GW$75</f>
        <v>0</v>
      </c>
      <c r="Q4" s="427">
        <f>'ANALYSE - ERP =&gt; SOUS-SEGMENT'!$GZ$75</f>
        <v>0</v>
      </c>
      <c r="S4" s="424">
        <f>'ANALYSE - ERP =&gt; SOUS-SEGMENT'!$FE$75</f>
        <v>0</v>
      </c>
      <c r="T4" s="427">
        <f>'ANALYSE - ERP =&gt; SOUS-SEGMENT'!$GU$75</f>
        <v>0</v>
      </c>
      <c r="U4" s="427">
        <f>'ANALYSE - ERP =&gt; SOUS-SEGMENT'!$GX$75</f>
        <v>0</v>
      </c>
      <c r="V4" s="427">
        <f>'ANALYSE - ERP =&gt; SOUS-SEGMENT'!$HA$75</f>
        <v>0</v>
      </c>
      <c r="X4" s="427">
        <f>'ANALYSE - ERP =&gt; SOUS-SEGMENT'!$FF$75</f>
        <v>0</v>
      </c>
      <c r="Y4" s="427">
        <f>'ANALYSE - ERP =&gt; SOUS-SEGMENT'!$GV$75</f>
        <v>0</v>
      </c>
      <c r="Z4" s="427">
        <f>'ANALYSE - ERP =&gt; SOUS-SEGMENT'!$GY$75</f>
        <v>0</v>
      </c>
      <c r="AA4" s="427">
        <f>'ANALYSE - ERP =&gt; SOUS-SEGMENT'!$HB$75</f>
        <v>0</v>
      </c>
      <c r="AC4" s="430">
        <f>'ANALYSE - ERP =&gt; SOUS-SEGMENT'!$Q$75</f>
        <v>1</v>
      </c>
    </row>
    <row r="5" spans="1:54" ht="15" customHeight="1">
      <c r="A5" s="26">
        <v>2</v>
      </c>
      <c r="B5" s="26">
        <v>2</v>
      </c>
      <c r="C5" s="26">
        <v>2</v>
      </c>
      <c r="D5" s="422">
        <f>'ANALYSE - ERP =&gt; SOUS-SEGMENT'!$A$21</f>
        <v>14</v>
      </c>
      <c r="E5" s="416" t="str">
        <f>'ANALYSE - ERP =&gt; SOUS-SEGMENT'!$B$21</f>
        <v>Sports &amp; Loisirs</v>
      </c>
      <c r="F5" s="416" t="str">
        <f>'ANALYSE - ERP =&gt; SOUS-SEGMENT'!$C$21</f>
        <v>Sport couvert / Thermalisme / Bien-être</v>
      </c>
      <c r="G5" s="416" t="str">
        <f>'ANALYSE - ERP =&gt; SOUS-SEGMENT'!$D$21</f>
        <v>Gymnases / salles multisports
(hors scolaire, mais gymnase municipaux inclus)</v>
      </c>
      <c r="I5" s="427">
        <f t="shared" si="2"/>
        <v>26278.408600000002</v>
      </c>
      <c r="K5" s="787">
        <f t="shared" si="0"/>
        <v>0.80357763369278001</v>
      </c>
      <c r="L5" s="787">
        <f t="shared" si="1"/>
        <v>0.19642236630721999</v>
      </c>
      <c r="N5" s="424">
        <f>'ANALYSE - ERP =&gt; SOUS-SEGMENT'!$FD$21</f>
        <v>131392.04300000001</v>
      </c>
      <c r="O5" s="427">
        <f>'ANALYSE - ERP =&gt; SOUS-SEGMENT'!$GT$21</f>
        <v>26651.330400000003</v>
      </c>
      <c r="P5" s="427">
        <f>'ANALYSE - ERP =&gt; SOUS-SEGMENT'!$GW$21</f>
        <v>96483.04608</v>
      </c>
      <c r="Q5" s="427">
        <f>'ANALYSE - ERP =&gt; SOUS-SEGMENT'!$GZ$21</f>
        <v>8257.6665199999989</v>
      </c>
      <c r="S5" s="424">
        <f>'ANALYSE - ERP =&gt; SOUS-SEGMENT'!$FE$21</f>
        <v>105583.70700000001</v>
      </c>
      <c r="T5" s="427">
        <f>'ANALYSE - ERP =&gt; SOUS-SEGMENT'!$GU$21</f>
        <v>22780.080000000002</v>
      </c>
      <c r="U5" s="427">
        <f>'ANALYSE - ERP =&gt; SOUS-SEGMENT'!$GX$21</f>
        <v>76352.544000000009</v>
      </c>
      <c r="V5" s="427">
        <f>'ANALYSE - ERP =&gt; SOUS-SEGMENT'!$HA$21</f>
        <v>6451.0829999999996</v>
      </c>
      <c r="X5" s="427">
        <f>'ANALYSE - ERP =&gt; SOUS-SEGMENT'!$FF$21</f>
        <v>25808.335999999999</v>
      </c>
      <c r="Y5" s="427">
        <f>'ANALYSE - ERP =&gt; SOUS-SEGMENT'!$GV$21</f>
        <v>3871.2503999999999</v>
      </c>
      <c r="Z5" s="427">
        <f>'ANALYSE - ERP =&gt; SOUS-SEGMENT'!$GY$21</f>
        <v>20130.502079999998</v>
      </c>
      <c r="AA5" s="427">
        <f>'ANALYSE - ERP =&gt; SOUS-SEGMENT'!$HB$21</f>
        <v>1806.5835200000001</v>
      </c>
      <c r="AC5" s="430">
        <f>'ANALYSE - ERP =&gt; SOUS-SEGMENT'!$Q$21</f>
        <v>1</v>
      </c>
    </row>
    <row r="6" spans="1:54" ht="15" customHeight="1">
      <c r="A6" s="26">
        <v>3</v>
      </c>
      <c r="B6" s="26">
        <v>3</v>
      </c>
      <c r="C6" s="26">
        <v>4</v>
      </c>
      <c r="D6" s="422">
        <f>'ANALYSE - ERP =&gt; SOUS-SEGMENT'!$A$58</f>
        <v>51</v>
      </c>
      <c r="E6" s="409" t="str">
        <f>'ANALYSE - ERP =&gt; SOUS-SEGMENT'!$B$58</f>
        <v>Santé &amp; Médico-social</v>
      </c>
      <c r="F6" s="409" t="str">
        <f>'ANALYSE - ERP =&gt; SOUS-SEGMENT'!$C$58</f>
        <v>Médico-social</v>
      </c>
      <c r="G6" s="409" t="str">
        <f>'ANALYSE - ERP =&gt; SOUS-SEGMENT'!$D$58</f>
        <v>EHPAD</v>
      </c>
      <c r="I6" s="427">
        <f t="shared" si="2"/>
        <v>16819.448760826672</v>
      </c>
      <c r="K6" s="787">
        <f t="shared" si="0"/>
        <v>0.83855562339686684</v>
      </c>
      <c r="L6" s="787">
        <f t="shared" si="1"/>
        <v>0.16144437660313302</v>
      </c>
      <c r="N6" s="424">
        <f>'ANALYSE - ERP =&gt; SOUS-SEGMENT'!$FD$58</f>
        <v>84097.243804133352</v>
      </c>
      <c r="O6" s="427">
        <f>'ANALYSE - ERP =&gt; SOUS-SEGMENT'!$GT$58</f>
        <v>69832.043206000002</v>
      </c>
      <c r="P6" s="427">
        <f>'ANALYSE - ERP =&gt; SOUS-SEGMENT'!$GW$58</f>
        <v>10806.385938400001</v>
      </c>
      <c r="Q6" s="427">
        <f>'ANALYSE - ERP =&gt; SOUS-SEGMENT'!$GZ$58</f>
        <v>3458.814659733333</v>
      </c>
      <c r="S6" s="424">
        <f>'ANALYSE - ERP =&gt; SOUS-SEGMENT'!$FE$58</f>
        <v>70520.216704133345</v>
      </c>
      <c r="T6" s="427">
        <f>'ANALYSE - ERP =&gt; SOUS-SEGMENT'!$GU$58</f>
        <v>58698.88098400001</v>
      </c>
      <c r="U6" s="427">
        <f>'ANALYSE - ERP =&gt; SOUS-SEGMENT'!$GX$58</f>
        <v>8905.6021443999998</v>
      </c>
      <c r="V6" s="427">
        <f>'ANALYSE - ERP =&gt; SOUS-SEGMENT'!$HA$58</f>
        <v>2915.7335757333331</v>
      </c>
      <c r="X6" s="427">
        <f>'ANALYSE - ERP =&gt; SOUS-SEGMENT'!$FF$58</f>
        <v>13577.027099999999</v>
      </c>
      <c r="Y6" s="427">
        <f>'ANALYSE - ERP =&gt; SOUS-SEGMENT'!$GV$58</f>
        <v>11133.162221999999</v>
      </c>
      <c r="Z6" s="427">
        <f>'ANALYSE - ERP =&gt; SOUS-SEGMENT'!$GY$58</f>
        <v>1900.7837940000002</v>
      </c>
      <c r="AA6" s="427">
        <f>'ANALYSE - ERP =&gt; SOUS-SEGMENT'!$HB$58</f>
        <v>543.08108400000003</v>
      </c>
      <c r="AC6" s="430">
        <f>'ANALYSE - ERP =&gt; SOUS-SEGMENT'!$Q$58</f>
        <v>1</v>
      </c>
    </row>
    <row r="7" spans="1:54" ht="15" customHeight="1">
      <c r="A7" s="26">
        <v>4</v>
      </c>
      <c r="B7" s="26">
        <v>4</v>
      </c>
      <c r="C7" s="26">
        <v>3</v>
      </c>
      <c r="D7" s="422">
        <f>'ANALYSE - ERP =&gt; SOUS-SEGMENT'!$A$24</f>
        <v>17</v>
      </c>
      <c r="E7" s="415" t="str">
        <f>'ANALYSE - ERP =&gt; SOUS-SEGMENT'!$B$24</f>
        <v>Sports &amp; Loisirs</v>
      </c>
      <c r="F7" s="415" t="str">
        <f>'ANALYSE - ERP =&gt; SOUS-SEGMENT'!$C$24</f>
        <v>Sport couvert / Thermalisme / Bien-être</v>
      </c>
      <c r="G7" s="415" t="str">
        <f>'ANALYSE - ERP =&gt; SOUS-SEGMENT'!$D$24</f>
        <v>Piscines couvertes</v>
      </c>
      <c r="I7" s="427">
        <f t="shared" si="2"/>
        <v>9903.4201317333336</v>
      </c>
      <c r="K7" s="787">
        <f t="shared" si="0"/>
        <v>0.84489689626737519</v>
      </c>
      <c r="L7" s="787">
        <f t="shared" si="1"/>
        <v>0.15510310373262479</v>
      </c>
      <c r="N7" s="424">
        <f>'ANALYSE - ERP =&gt; SOUS-SEGMENT'!$FD$24</f>
        <v>49517.10065866667</v>
      </c>
      <c r="O7" s="427">
        <f>'ANALYSE - ERP =&gt; SOUS-SEGMENT'!$GT$24</f>
        <v>7708.3373226666672</v>
      </c>
      <c r="P7" s="427">
        <f>'ANALYSE - ERP =&gt; SOUS-SEGMENT'!$GW$24</f>
        <v>38796.133887999997</v>
      </c>
      <c r="Q7" s="427">
        <f>'ANALYSE - ERP =&gt; SOUS-SEGMENT'!$GZ$24</f>
        <v>3012.6294480000001</v>
      </c>
      <c r="S7" s="424">
        <f>'ANALYSE - ERP =&gt; SOUS-SEGMENT'!$FE$24</f>
        <v>41836.844658666669</v>
      </c>
      <c r="T7" s="427">
        <f>'ANALYSE - ERP =&gt; SOUS-SEGMENT'!$GU$24</f>
        <v>6786.7066026666671</v>
      </c>
      <c r="U7" s="427">
        <f>'ANALYSE - ERP =&gt; SOUS-SEGMENT'!$GX$24</f>
        <v>32498.323968000001</v>
      </c>
      <c r="V7" s="427">
        <f>'ANALYSE - ERP =&gt; SOUS-SEGMENT'!$HA$24</f>
        <v>2551.8140880000001</v>
      </c>
      <c r="X7" s="427">
        <f>'ANALYSE - ERP =&gt; SOUS-SEGMENT'!$FF$24</f>
        <v>7680.2559999999994</v>
      </c>
      <c r="Y7" s="427">
        <f>'ANALYSE - ERP =&gt; SOUS-SEGMENT'!$GV$24</f>
        <v>921.63071999999988</v>
      </c>
      <c r="Z7" s="427">
        <f>'ANALYSE - ERP =&gt; SOUS-SEGMENT'!$GY$24</f>
        <v>6297.8099199999988</v>
      </c>
      <c r="AA7" s="427">
        <f>'ANALYSE - ERP =&gt; SOUS-SEGMENT'!$HB$24</f>
        <v>460.81535999999994</v>
      </c>
      <c r="AC7" s="430">
        <f>'ANALYSE - ERP =&gt; SOUS-SEGMENT'!$Q$24</f>
        <v>1</v>
      </c>
    </row>
    <row r="8" spans="1:54" ht="15" customHeight="1">
      <c r="A8" s="26">
        <v>5</v>
      </c>
      <c r="B8" s="26">
        <v>5</v>
      </c>
      <c r="C8" s="26">
        <v>9</v>
      </c>
      <c r="D8" s="422">
        <f>'ANALYSE - ERP =&gt; SOUS-SEGMENT'!$A$94</f>
        <v>87</v>
      </c>
      <c r="E8" s="414" t="str">
        <f>'ANALYSE - ERP =&gt; SOUS-SEGMENT'!$B$94</f>
        <v>Hébergement Touristique</v>
      </c>
      <c r="F8" s="414" t="str">
        <f>'ANALYSE - ERP =&gt; SOUS-SEGMENT'!$C$94</f>
        <v>Tourisme de plein air</v>
      </c>
      <c r="G8" s="414" t="str">
        <f>'ANALYSE - ERP =&gt; SOUS-SEGMENT'!$D$94</f>
        <v>Campings</v>
      </c>
      <c r="I8" s="427">
        <f t="shared" si="2"/>
        <v>9895.3409854000001</v>
      </c>
      <c r="K8" s="787">
        <f t="shared" si="0"/>
        <v>0.87791651022613371</v>
      </c>
      <c r="L8" s="787">
        <f t="shared" si="1"/>
        <v>0.12208348977386621</v>
      </c>
      <c r="N8" s="424">
        <f>'ANALYSE - ERP =&gt; SOUS-SEGMENT'!$FD$94</f>
        <v>49476.704926999999</v>
      </c>
      <c r="O8" s="427">
        <f>'ANALYSE - ERP =&gt; SOUS-SEGMENT'!$GT$94</f>
        <v>16864.61364</v>
      </c>
      <c r="P8" s="427">
        <f>'ANALYSE - ERP =&gt; SOUS-SEGMENT'!$GW$94</f>
        <v>29670.116832</v>
      </c>
      <c r="Q8" s="427">
        <f>'ANALYSE - ERP =&gt; SOUS-SEGMENT'!$GZ$94</f>
        <v>2941.974455</v>
      </c>
      <c r="S8" s="424">
        <f>'ANALYSE - ERP =&gt; SOUS-SEGMENT'!$FE$94</f>
        <v>43436.416126999997</v>
      </c>
      <c r="T8" s="427">
        <f>'ANALYSE - ERP =&gt; SOUS-SEGMENT'!$GU$94</f>
        <v>15052.526999999998</v>
      </c>
      <c r="U8" s="427">
        <f>'ANALYSE - ERP =&gt; SOUS-SEGMENT'!$GX$94</f>
        <v>25804.331999999999</v>
      </c>
      <c r="V8" s="427">
        <f>'ANALYSE - ERP =&gt; SOUS-SEGMENT'!$HA$94</f>
        <v>2579.557127</v>
      </c>
      <c r="X8" s="427">
        <f>'ANALYSE - ERP =&gt; SOUS-SEGMENT'!$FF$94</f>
        <v>6040.2888000000003</v>
      </c>
      <c r="Y8" s="427">
        <f>'ANALYSE - ERP =&gt; SOUS-SEGMENT'!$GV$94</f>
        <v>1812.08664</v>
      </c>
      <c r="Z8" s="427">
        <f>'ANALYSE - ERP =&gt; SOUS-SEGMENT'!$GY$94</f>
        <v>3865.7848320000003</v>
      </c>
      <c r="AA8" s="427">
        <f>'ANALYSE - ERP =&gt; SOUS-SEGMENT'!$HB$94</f>
        <v>362.417328</v>
      </c>
      <c r="AC8" s="430">
        <f>'ANALYSE - ERP =&gt; SOUS-SEGMENT'!$Q$94</f>
        <v>1</v>
      </c>
    </row>
    <row r="9" spans="1:54" ht="15" customHeight="1">
      <c r="A9" s="26">
        <v>6</v>
      </c>
      <c r="B9" s="26">
        <v>6</v>
      </c>
      <c r="C9" s="26">
        <v>5</v>
      </c>
      <c r="D9" s="422">
        <f>'ANALYSE - ERP =&gt; SOUS-SEGMENT'!$A$22</f>
        <v>15</v>
      </c>
      <c r="E9" s="408" t="str">
        <f>'ANALYSE - ERP =&gt; SOUS-SEGMENT'!$B$22</f>
        <v>Sports &amp; Loisirs</v>
      </c>
      <c r="F9" s="408" t="str">
        <f>'ANALYSE - ERP =&gt; SOUS-SEGMENT'!$C$22</f>
        <v>Sport couvert / Thermalisme / Bien-être</v>
      </c>
      <c r="G9" s="408" t="str">
        <f>'ANALYSE - ERP =&gt; SOUS-SEGMENT'!$D$22</f>
        <v>Salles de fitness / dojos</v>
      </c>
      <c r="I9" s="427">
        <f t="shared" si="2"/>
        <v>9491.8124326666675</v>
      </c>
      <c r="K9" s="787">
        <f t="shared" si="0"/>
        <v>0.77708037374211492</v>
      </c>
      <c r="L9" s="787">
        <f t="shared" si="1"/>
        <v>0.22291962625788503</v>
      </c>
      <c r="N9" s="424">
        <f>'ANALYSE - ERP =&gt; SOUS-SEGMENT'!$FD$22</f>
        <v>47459.062163333336</v>
      </c>
      <c r="O9" s="427">
        <f>'ANALYSE - ERP =&gt; SOUS-SEGMENT'!$GT$22</f>
        <v>19116.958233333335</v>
      </c>
      <c r="P9" s="427">
        <f>'ANALYSE - ERP =&gt; SOUS-SEGMENT'!$GW$22</f>
        <v>22571.286248</v>
      </c>
      <c r="Q9" s="427">
        <f>'ANALYSE - ERP =&gt; SOUS-SEGMENT'!$GZ$22</f>
        <v>5770.8176820000008</v>
      </c>
      <c r="S9" s="424">
        <f>'ANALYSE - ERP =&gt; SOUS-SEGMENT'!$FE$22</f>
        <v>36879.505763333334</v>
      </c>
      <c r="T9" s="427">
        <f>'ANALYSE - ERP =&gt; SOUS-SEGMENT'!$GU$22</f>
        <v>15414.113493333334</v>
      </c>
      <c r="U9" s="427">
        <f>'ANALYSE - ERP =&gt; SOUS-SEGMENT'!$GX$22</f>
        <v>17069.91692</v>
      </c>
      <c r="V9" s="427">
        <f>'ANALYSE - ERP =&gt; SOUS-SEGMENT'!$HA$22</f>
        <v>4395.4753500000006</v>
      </c>
      <c r="X9" s="427">
        <f>'ANALYSE - ERP =&gt; SOUS-SEGMENT'!$FF$22</f>
        <v>10579.556399999999</v>
      </c>
      <c r="Y9" s="427">
        <f>'ANALYSE - ERP =&gt; SOUS-SEGMENT'!$GV$22</f>
        <v>3702.8447399999995</v>
      </c>
      <c r="Z9" s="427">
        <f>'ANALYSE - ERP =&gt; SOUS-SEGMENT'!$GY$22</f>
        <v>5501.3693279999998</v>
      </c>
      <c r="AA9" s="427">
        <f>'ANALYSE - ERP =&gt; SOUS-SEGMENT'!$HB$22</f>
        <v>1375.3423319999999</v>
      </c>
      <c r="AC9" s="430">
        <f>'ANALYSE - ERP =&gt; SOUS-SEGMENT'!$Q$22</f>
        <v>1</v>
      </c>
    </row>
    <row r="10" spans="1:54" ht="15" customHeight="1">
      <c r="A10" s="26">
        <v>7</v>
      </c>
      <c r="B10" s="26">
        <v>7</v>
      </c>
      <c r="C10" s="26">
        <v>8</v>
      </c>
      <c r="D10" s="422">
        <f>'ANALYSE - ERP =&gt; SOUS-SEGMENT'!$A$27</f>
        <v>20</v>
      </c>
      <c r="E10" s="411" t="str">
        <f>'ANALYSE - ERP =&gt; SOUS-SEGMENT'!$B$27</f>
        <v>Sports &amp; Loisirs</v>
      </c>
      <c r="F10" s="411" t="str">
        <f>'ANALYSE - ERP =&gt; SOUS-SEGMENT'!$C$27</f>
        <v>Sport de plein air</v>
      </c>
      <c r="G10" s="411" t="str">
        <f>'ANALYSE - ERP =&gt; SOUS-SEGMENT'!$D$27</f>
        <v>Terrains de sport
(Hors scolaire, sans tribune)</v>
      </c>
      <c r="I10" s="427">
        <f t="shared" si="2"/>
        <v>23323.292679642858</v>
      </c>
      <c r="K10" s="787">
        <f t="shared" si="0"/>
        <v>0.83598027720421431</v>
      </c>
      <c r="L10" s="787">
        <f t="shared" si="1"/>
        <v>0.16401972279578575</v>
      </c>
      <c r="N10" s="424">
        <f>'ANALYSE - ERP =&gt; SOUS-SEGMENT'!$FD$27</f>
        <v>116616.46339821428</v>
      </c>
      <c r="O10" s="427">
        <f>'ANALYSE - ERP =&gt; SOUS-SEGMENT'!$GT$27</f>
        <v>16811.4610125</v>
      </c>
      <c r="P10" s="427">
        <f>'ANALYSE - ERP =&gt; SOUS-SEGMENT'!$GW$27</f>
        <v>93104.057399999991</v>
      </c>
      <c r="Q10" s="427">
        <f>'ANALYSE - ERP =&gt; SOUS-SEGMENT'!$GZ$27</f>
        <v>6700.9449857142854</v>
      </c>
      <c r="S10" s="424">
        <f>'ANALYSE - ERP =&gt; SOUS-SEGMENT'!$FE$27</f>
        <v>97489.06339821429</v>
      </c>
      <c r="T10" s="427">
        <f>'ANALYSE - ERP =&gt; SOUS-SEGMENT'!$GU$27</f>
        <v>14516.173012499999</v>
      </c>
      <c r="U10" s="427">
        <f>'ANALYSE - ERP =&gt; SOUS-SEGMENT'!$GX$27</f>
        <v>77419.589399999997</v>
      </c>
      <c r="V10" s="427">
        <f>'ANALYSE - ERP =&gt; SOUS-SEGMENT'!$HA$27</f>
        <v>5553.3009857142852</v>
      </c>
      <c r="X10" s="427">
        <f>'ANALYSE - ERP =&gt; SOUS-SEGMENT'!$FF$27</f>
        <v>19127.400000000001</v>
      </c>
      <c r="Y10" s="427">
        <f>'ANALYSE - ERP =&gt; SOUS-SEGMENT'!$GV$27</f>
        <v>2295.288</v>
      </c>
      <c r="Z10" s="427">
        <f>'ANALYSE - ERP =&gt; SOUS-SEGMENT'!$GY$27</f>
        <v>15684.468000000001</v>
      </c>
      <c r="AA10" s="427">
        <f>'ANALYSE - ERP =&gt; SOUS-SEGMENT'!$HB$27</f>
        <v>1147.644</v>
      </c>
      <c r="AC10" s="430">
        <f>'ANALYSE - ERP =&gt; SOUS-SEGMENT'!$Q$27</f>
        <v>1</v>
      </c>
    </row>
    <row r="11" spans="1:54" s="45" customFormat="1" ht="15" customHeight="1">
      <c r="A11" s="26">
        <v>8</v>
      </c>
      <c r="B11" s="26">
        <v>8</v>
      </c>
      <c r="C11" s="26">
        <v>7</v>
      </c>
      <c r="D11" s="422">
        <f>'ANALYSE - ERP =&gt; SOUS-SEGMENT'!$A$29</f>
        <v>22</v>
      </c>
      <c r="E11" s="410" t="str">
        <f>'ANALYSE - ERP =&gt; SOUS-SEGMENT'!$B$29</f>
        <v>Sports &amp; Loisirs</v>
      </c>
      <c r="F11" s="410" t="str">
        <f>'ANALYSE - ERP =&gt; SOUS-SEGMENT'!$C$29</f>
        <v>Sport de plein air</v>
      </c>
      <c r="G11" s="410" t="str">
        <f>'ANALYSE - ERP =&gt; SOUS-SEGMENT'!$D$29</f>
        <v xml:space="preserve">Grands stades avec tribunes
(Type football/rugby) </v>
      </c>
      <c r="H11" s="685"/>
      <c r="I11" s="427">
        <f t="shared" si="2"/>
        <v>908.16311840000003</v>
      </c>
      <c r="J11" s="685"/>
      <c r="K11" s="787">
        <f t="shared" si="0"/>
        <v>0.81101809077826126</v>
      </c>
      <c r="L11" s="787">
        <f t="shared" si="1"/>
        <v>0.18898190922173877</v>
      </c>
      <c r="M11" s="685"/>
      <c r="N11" s="424">
        <f>'ANALYSE - ERP =&gt; SOUS-SEGMENT'!$FD$29</f>
        <v>4540.8155919999999</v>
      </c>
      <c r="O11" s="427">
        <f>'ANALYSE - ERP =&gt; SOUS-SEGMENT'!$GT$29</f>
        <v>913.384456</v>
      </c>
      <c r="P11" s="427">
        <f>'ANALYSE - ERP =&gt; SOUS-SEGMENT'!$GW$29</f>
        <v>3072.1730039999998</v>
      </c>
      <c r="Q11" s="427">
        <f>'ANALYSE - ERP =&gt; SOUS-SEGMENT'!$GZ$29</f>
        <v>555.25813200000005</v>
      </c>
      <c r="R11" s="685"/>
      <c r="S11" s="424">
        <f>'ANALYSE - ERP =&gt; SOUS-SEGMENT'!$FE$29</f>
        <v>3682.6835919999999</v>
      </c>
      <c r="T11" s="427">
        <f>'ANALYSE - ERP =&gt; SOUS-SEGMENT'!$GU$29</f>
        <v>784.66465600000004</v>
      </c>
      <c r="U11" s="427">
        <f>'ANALYSE - ERP =&gt; SOUS-SEGMENT'!$GX$29</f>
        <v>2454.3179639999998</v>
      </c>
      <c r="V11" s="427">
        <f>'ANALYSE - ERP =&gt; SOUS-SEGMENT'!$HA$29</f>
        <v>443.70097200000004</v>
      </c>
      <c r="W11" s="685"/>
      <c r="X11" s="427">
        <f>'ANALYSE - ERP =&gt; SOUS-SEGMENT'!$FF$29</f>
        <v>858.13199999999995</v>
      </c>
      <c r="Y11" s="427">
        <f>'ANALYSE - ERP =&gt; SOUS-SEGMENT'!$GV$29</f>
        <v>128.71979999999999</v>
      </c>
      <c r="Z11" s="427">
        <f>'ANALYSE - ERP =&gt; SOUS-SEGMENT'!$GY$29</f>
        <v>617.85503999999992</v>
      </c>
      <c r="AA11" s="427">
        <f>'ANALYSE - ERP =&gt; SOUS-SEGMENT'!$HB$29</f>
        <v>111.55716</v>
      </c>
      <c r="AB11" s="685"/>
      <c r="AC11" s="430">
        <f>'ANALYSE - ERP =&gt; SOUS-SEGMENT'!$Q$29</f>
        <v>1</v>
      </c>
      <c r="AD11" s="685"/>
      <c r="AE11" s="685"/>
      <c r="AF11" s="685"/>
      <c r="AG11" s="685"/>
      <c r="AH11" s="685"/>
      <c r="AI11" s="685"/>
      <c r="AJ11" s="685"/>
      <c r="AK11" s="685"/>
      <c r="AL11" s="685"/>
      <c r="AM11" s="685"/>
      <c r="AN11" s="685"/>
      <c r="AO11" s="685"/>
      <c r="AP11" s="685"/>
      <c r="AQ11" s="685"/>
      <c r="AR11" s="685"/>
      <c r="AS11" s="685"/>
      <c r="AT11" s="685"/>
      <c r="AU11" s="685"/>
      <c r="AV11" s="685"/>
      <c r="AW11" s="685"/>
      <c r="AX11" s="685"/>
      <c r="AY11" s="685"/>
      <c r="AZ11" s="685"/>
      <c r="BA11" s="685"/>
      <c r="BB11" s="685"/>
    </row>
    <row r="12" spans="1:54" ht="15" customHeight="1">
      <c r="A12" s="26">
        <v>9</v>
      </c>
      <c r="B12" s="26">
        <v>11</v>
      </c>
      <c r="C12" s="26">
        <v>6</v>
      </c>
      <c r="D12" s="422">
        <f>'ANALYSE - ERP =&gt; SOUS-SEGMENT'!$A$56</f>
        <v>49</v>
      </c>
      <c r="E12" s="408" t="str">
        <f>'ANALYSE - ERP =&gt; SOUS-SEGMENT'!$B$56</f>
        <v>Santé &amp; Médico-social</v>
      </c>
      <c r="F12" s="408" t="str">
        <f>'ANALYSE - ERP =&gt; SOUS-SEGMENT'!$C$56</f>
        <v>Médico-social</v>
      </c>
      <c r="G12" s="408" t="str">
        <f>'ANALYSE - ERP =&gt; SOUS-SEGMENT'!$D$56</f>
        <v>Foyers pour personnes handicapées</v>
      </c>
      <c r="I12" s="427">
        <f t="shared" si="2"/>
        <v>3198.0284119658122</v>
      </c>
      <c r="K12" s="787">
        <f t="shared" si="0"/>
        <v>0.76148304463276473</v>
      </c>
      <c r="L12" s="787">
        <f t="shared" si="1"/>
        <v>0.2385169553672353</v>
      </c>
      <c r="N12" s="424">
        <f>'ANALYSE - ERP =&gt; SOUS-SEGMENT'!$FD$56</f>
        <v>15990.142059829061</v>
      </c>
      <c r="O12" s="427">
        <f>'ANALYSE - ERP =&gt; SOUS-SEGMENT'!$GT$56</f>
        <v>11463.359615384616</v>
      </c>
      <c r="P12" s="427">
        <f>'ANALYSE - ERP =&gt; SOUS-SEGMENT'!$GW$56</f>
        <v>3430.6943733333337</v>
      </c>
      <c r="Q12" s="427">
        <f>'ANALYSE - ERP =&gt; SOUS-SEGMENT'!$GZ$56</f>
        <v>1096.0880711111113</v>
      </c>
      <c r="S12" s="424">
        <f>'ANALYSE - ERP =&gt; SOUS-SEGMENT'!$FE$56</f>
        <v>12176.222059829061</v>
      </c>
      <c r="T12" s="427">
        <f>'ANALYSE - ERP =&gt; SOUS-SEGMENT'!$GU$56</f>
        <v>8755.4764153846154</v>
      </c>
      <c r="U12" s="427">
        <f>'ANALYSE - ERP =&gt; SOUS-SEGMENT'!$GX$56</f>
        <v>2553.4927733333334</v>
      </c>
      <c r="V12" s="427">
        <f>'ANALYSE - ERP =&gt; SOUS-SEGMENT'!$HA$56</f>
        <v>867.25287111111118</v>
      </c>
      <c r="X12" s="427">
        <f>'ANALYSE - ERP =&gt; SOUS-SEGMENT'!$FF$56</f>
        <v>3813.92</v>
      </c>
      <c r="Y12" s="427">
        <f>'ANALYSE - ERP =&gt; SOUS-SEGMENT'!$GV$56</f>
        <v>2707.8831999999998</v>
      </c>
      <c r="Z12" s="427">
        <f>'ANALYSE - ERP =&gt; SOUS-SEGMENT'!$GY$56</f>
        <v>877.2016000000001</v>
      </c>
      <c r="AA12" s="427">
        <f>'ANALYSE - ERP =&gt; SOUS-SEGMENT'!$HB$56</f>
        <v>228.83519999999999</v>
      </c>
      <c r="AC12" s="430">
        <f>'ANALYSE - ERP =&gt; SOUS-SEGMENT'!$Q$56</f>
        <v>1</v>
      </c>
    </row>
    <row r="13" spans="1:54" ht="15" customHeight="1">
      <c r="A13" s="26">
        <v>10</v>
      </c>
      <c r="B13" s="26">
        <v>9</v>
      </c>
      <c r="C13" s="26">
        <v>10</v>
      </c>
      <c r="D13" s="422">
        <f>'ANALYSE - ERP =&gt; SOUS-SEGMENT'!$A$44</f>
        <v>37</v>
      </c>
      <c r="E13" s="415" t="str">
        <f>'ANALYSE - ERP =&gt; SOUS-SEGMENT'!$B$44</f>
        <v>Santé &amp; Médico-social</v>
      </c>
      <c r="F13" s="415" t="str">
        <f>'ANALYSE - ERP =&gt; SOUS-SEGMENT'!$C$44</f>
        <v>Santé hospitalière</v>
      </c>
      <c r="G13" s="415" t="str">
        <f>'ANALYSE - ERP =&gt; SOUS-SEGMENT'!$D$44</f>
        <v>Hôpitaux publics 
(Hors CHU, Universitaire, Militaire, Carcéral)</v>
      </c>
      <c r="I13" s="427">
        <f t="shared" si="2"/>
        <v>7357.2930000000006</v>
      </c>
      <c r="K13" s="787">
        <f t="shared" si="0"/>
        <v>0.8206687160617363</v>
      </c>
      <c r="L13" s="787">
        <f t="shared" si="1"/>
        <v>0.1793312839382637</v>
      </c>
      <c r="N13" s="424">
        <f>'ANALYSE - ERP =&gt; SOUS-SEGMENT'!$FD$44</f>
        <v>36786.465000000004</v>
      </c>
      <c r="O13" s="427">
        <f>'ANALYSE - ERP =&gt; SOUS-SEGMENT'!$GT$44</f>
        <v>28576.862280000005</v>
      </c>
      <c r="P13" s="427">
        <f>'ANALYSE - ERP =&gt; SOUS-SEGMENT'!$GW$44</f>
        <v>6306.1495200000008</v>
      </c>
      <c r="Q13" s="427">
        <f>'ANALYSE - ERP =&gt; SOUS-SEGMENT'!$GZ$44</f>
        <v>1903.4531999999999</v>
      </c>
      <c r="S13" s="424">
        <f>'ANALYSE - ERP =&gt; SOUS-SEGMENT'!$FE$44</f>
        <v>30189.501000000004</v>
      </c>
      <c r="T13" s="427">
        <f>'ANALYSE - ERP =&gt; SOUS-SEGMENT'!$GU$44</f>
        <v>23497.200000000004</v>
      </c>
      <c r="U13" s="427">
        <f>'ANALYSE - ERP =&gt; SOUS-SEGMENT'!$GX$44</f>
        <v>5118.6960000000008</v>
      </c>
      <c r="V13" s="427">
        <f>'ANALYSE - ERP =&gt; SOUS-SEGMENT'!$HA$44</f>
        <v>1573.605</v>
      </c>
      <c r="X13" s="427">
        <f>'ANALYSE - ERP =&gt; SOUS-SEGMENT'!$FF$44</f>
        <v>6596.9639999999999</v>
      </c>
      <c r="Y13" s="427">
        <f>'ANALYSE - ERP =&gt; SOUS-SEGMENT'!$GV$44</f>
        <v>5079.6622800000005</v>
      </c>
      <c r="Z13" s="427">
        <f>'ANALYSE - ERP =&gt; SOUS-SEGMENT'!$GY$44</f>
        <v>1187.45352</v>
      </c>
      <c r="AA13" s="427">
        <f>'ANALYSE - ERP =&gt; SOUS-SEGMENT'!$HB$44</f>
        <v>329.84820000000002</v>
      </c>
      <c r="AC13" s="430">
        <f>'ANALYSE - ERP =&gt; SOUS-SEGMENT'!$Q$44</f>
        <v>1</v>
      </c>
    </row>
    <row r="14" spans="1:54" ht="15" customHeight="1">
      <c r="A14" s="26">
        <v>11</v>
      </c>
      <c r="B14" s="26">
        <v>10</v>
      </c>
      <c r="C14" s="26">
        <v>11</v>
      </c>
      <c r="D14" s="422">
        <f>'ANALYSE - ERP =&gt; SOUS-SEGMENT'!$A$84</f>
        <v>77</v>
      </c>
      <c r="E14" s="410" t="str">
        <f>'ANALYSE - ERP =&gt; SOUS-SEGMENT'!$B$84</f>
        <v>Tertiaire &amp; Industriel</v>
      </c>
      <c r="F14" s="410" t="str">
        <f>'ANALYSE - ERP =&gt; SOUS-SEGMENT'!$C$84</f>
        <v>Usines &amp; Ateliers</v>
      </c>
      <c r="G14" s="410" t="str">
        <f>'ANALYSE - ERP =&gt; SOUS-SEGMENT'!$D$84</f>
        <v>Usines 
(&gt;50 salariés)
(Hors Ateliers industriels)</v>
      </c>
      <c r="I14" s="427">
        <f t="shared" si="2"/>
        <v>6222.5813760404035</v>
      </c>
      <c r="K14" s="787">
        <f t="shared" si="0"/>
        <v>0.80598405596613909</v>
      </c>
      <c r="L14" s="787">
        <f t="shared" si="1"/>
        <v>0.19401594403386085</v>
      </c>
      <c r="N14" s="424">
        <f>'ANALYSE - ERP =&gt; SOUS-SEGMENT'!$FD$84</f>
        <v>31112.906880202019</v>
      </c>
      <c r="O14" s="427">
        <f>'ANALYSE - ERP =&gt; SOUS-SEGMENT'!$GT$84</f>
        <v>10512.094993333334</v>
      </c>
      <c r="P14" s="427">
        <f>'ANALYSE - ERP =&gt; SOUS-SEGMENT'!$GW$84</f>
        <v>13201.494109090909</v>
      </c>
      <c r="Q14" s="427">
        <f>'ANALYSE - ERP =&gt; SOUS-SEGMENT'!$GZ$84</f>
        <v>7399.3177777777782</v>
      </c>
      <c r="S14" s="424">
        <f>'ANALYSE - ERP =&gt; SOUS-SEGMENT'!$FE$84</f>
        <v>25076.506880202018</v>
      </c>
      <c r="T14" s="427">
        <f>'ANALYSE - ERP =&gt; SOUS-SEGMENT'!$GU$84</f>
        <v>8520.0829933333334</v>
      </c>
      <c r="U14" s="427">
        <f>'ANALYSE - ERP =&gt; SOUS-SEGMENT'!$GX$84</f>
        <v>10605.842109090909</v>
      </c>
      <c r="V14" s="427">
        <f>'ANALYSE - ERP =&gt; SOUS-SEGMENT'!$HA$84</f>
        <v>5950.5817777777784</v>
      </c>
      <c r="X14" s="427">
        <f>'ANALYSE - ERP =&gt; SOUS-SEGMENT'!$FF$84</f>
        <v>6036.4</v>
      </c>
      <c r="Y14" s="427">
        <f>'ANALYSE - ERP =&gt; SOUS-SEGMENT'!$GV$84</f>
        <v>1992.0119999999999</v>
      </c>
      <c r="Z14" s="427">
        <f>'ANALYSE - ERP =&gt; SOUS-SEGMENT'!$GY$84</f>
        <v>2595.6519999999996</v>
      </c>
      <c r="AA14" s="427">
        <f>'ANALYSE - ERP =&gt; SOUS-SEGMENT'!$HB$84</f>
        <v>1448.7359999999999</v>
      </c>
      <c r="AC14" s="430">
        <f>'ANALYSE - ERP =&gt; SOUS-SEGMENT'!$Q$84</f>
        <v>1</v>
      </c>
    </row>
    <row r="15" spans="1:54" ht="15" customHeight="1">
      <c r="A15" s="26">
        <v>12</v>
      </c>
      <c r="B15" s="26">
        <v>12</v>
      </c>
      <c r="C15" s="26">
        <v>15</v>
      </c>
      <c r="D15" s="422">
        <f>'ANALYSE - ERP =&gt; SOUS-SEGMENT'!$A$52</f>
        <v>45</v>
      </c>
      <c r="E15" s="410" t="str">
        <f>'ANALYSE - ERP =&gt; SOUS-SEGMENT'!$B$52</f>
        <v>Santé &amp; Médico-social</v>
      </c>
      <c r="F15" s="410" t="str">
        <f>'ANALYSE - ERP =&gt; SOUS-SEGMENT'!$C$52</f>
        <v>Médico-social</v>
      </c>
      <c r="G15" s="410" t="str">
        <f>'ANALYSE - ERP =&gt; SOUS-SEGMENT'!$D$52</f>
        <v>Établissements Médico-éducatifs</v>
      </c>
      <c r="I15" s="427">
        <f t="shared" si="2"/>
        <v>1122.9993770113635</v>
      </c>
      <c r="K15" s="787">
        <f t="shared" si="0"/>
        <v>0.77315214485873918</v>
      </c>
      <c r="L15" s="787">
        <f t="shared" si="1"/>
        <v>0.22684785514126088</v>
      </c>
      <c r="N15" s="424">
        <f>'ANALYSE - ERP =&gt; SOUS-SEGMENT'!$FD$52</f>
        <v>5614.9968850568175</v>
      </c>
      <c r="O15" s="427">
        <f>'ANALYSE - ERP =&gt; SOUS-SEGMENT'!$GT$52</f>
        <v>3724.5589399999999</v>
      </c>
      <c r="P15" s="427">
        <f>'ANALYSE - ERP =&gt; SOUS-SEGMENT'!$GW$52</f>
        <v>1494.7365681818183</v>
      </c>
      <c r="Q15" s="427">
        <f>'ANALYSE - ERP =&gt; SOUS-SEGMENT'!$GZ$52</f>
        <v>395.70137687499999</v>
      </c>
      <c r="S15" s="424">
        <f>'ANALYSE - ERP =&gt; SOUS-SEGMENT'!$FE$52</f>
        <v>4341.2468850568175</v>
      </c>
      <c r="T15" s="427">
        <f>'ANALYSE - ERP =&gt; SOUS-SEGMENT'!$GU$52</f>
        <v>2883.8839399999997</v>
      </c>
      <c r="U15" s="427">
        <f>'ANALYSE - ERP =&gt; SOUS-SEGMENT'!$GX$52</f>
        <v>1138.0865681818182</v>
      </c>
      <c r="V15" s="427">
        <f>'ANALYSE - ERP =&gt; SOUS-SEGMENT'!$HA$52</f>
        <v>319.27637687499998</v>
      </c>
      <c r="X15" s="427">
        <f>'ANALYSE - ERP =&gt; SOUS-SEGMENT'!$FF$52</f>
        <v>1273.75</v>
      </c>
      <c r="Y15" s="427">
        <f>'ANALYSE - ERP =&gt; SOUS-SEGMENT'!$GV$52</f>
        <v>840.67500000000007</v>
      </c>
      <c r="Z15" s="427">
        <f>'ANALYSE - ERP =&gt; SOUS-SEGMENT'!$GY$52</f>
        <v>356.65000000000003</v>
      </c>
      <c r="AA15" s="427">
        <f>'ANALYSE - ERP =&gt; SOUS-SEGMENT'!$HB$52</f>
        <v>76.424999999999997</v>
      </c>
      <c r="AC15" s="430">
        <f>'ANALYSE - ERP =&gt; SOUS-SEGMENT'!$Q$52</f>
        <v>1</v>
      </c>
    </row>
    <row r="16" spans="1:54" ht="15" customHeight="1">
      <c r="A16" s="26">
        <v>13</v>
      </c>
      <c r="B16" s="26">
        <v>14</v>
      </c>
      <c r="C16" s="26">
        <v>12</v>
      </c>
      <c r="D16" s="422">
        <f>'ANALYSE - ERP =&gt; SOUS-SEGMENT'!$A$13</f>
        <v>6</v>
      </c>
      <c r="E16" s="409" t="str">
        <f>'ANALYSE - ERP =&gt; SOUS-SEGMENT'!$B$13</f>
        <v>Enfance, Enseignement, Jeunesse &amp; Formation</v>
      </c>
      <c r="F16" s="409" t="str">
        <f>'ANALYSE - ERP =&gt; SOUS-SEGMENT'!$C$13</f>
        <v>Enseignement scolaire</v>
      </c>
      <c r="G16" s="409" t="str">
        <f>'ANALYSE - ERP =&gt; SOUS-SEGMENT'!$D$13</f>
        <v>Collèges
(vestiaires EPS inclus)</v>
      </c>
      <c r="I16" s="427">
        <f t="shared" si="2"/>
        <v>3380.5569436650003</v>
      </c>
      <c r="K16" s="787">
        <f t="shared" si="0"/>
        <v>0.73315233849544226</v>
      </c>
      <c r="L16" s="787">
        <f t="shared" si="1"/>
        <v>0.26684766150455763</v>
      </c>
      <c r="N16" s="424">
        <f>'ANALYSE - ERP =&gt; SOUS-SEGMENT'!$FD$13</f>
        <v>16902.784718325001</v>
      </c>
      <c r="O16" s="427">
        <f>'ANALYSE - ERP =&gt; SOUS-SEGMENT'!$GT$13</f>
        <v>4000.1727508312501</v>
      </c>
      <c r="P16" s="427">
        <f>'ANALYSE - ERP =&gt; SOUS-SEGMENT'!$GW$13</f>
        <v>11122.124124161252</v>
      </c>
      <c r="Q16" s="427">
        <f>'ANALYSE - ERP =&gt; SOUS-SEGMENT'!$GZ$13</f>
        <v>1780.4878433325002</v>
      </c>
      <c r="S16" s="424">
        <f>'ANALYSE - ERP =&gt; SOUS-SEGMENT'!$FE$13</f>
        <v>12392.316143325001</v>
      </c>
      <c r="T16" s="427">
        <f>'ANALYSE - ERP =&gt; SOUS-SEGMENT'!$GU$13</f>
        <v>3098.0790358312502</v>
      </c>
      <c r="U16" s="427">
        <f>'ANALYSE - ERP =&gt; SOUS-SEGMENT'!$GX$13</f>
        <v>8055.0054931612503</v>
      </c>
      <c r="V16" s="427">
        <f>'ANALYSE - ERP =&gt; SOUS-SEGMENT'!$HA$13</f>
        <v>1239.2316143325002</v>
      </c>
      <c r="X16" s="427">
        <f>'ANALYSE - ERP =&gt; SOUS-SEGMENT'!$FF$13</f>
        <v>4510.4685749999999</v>
      </c>
      <c r="Y16" s="427">
        <f>'ANALYSE - ERP =&gt; SOUS-SEGMENT'!$GV$13</f>
        <v>902.09371499999997</v>
      </c>
      <c r="Z16" s="427">
        <f>'ANALYSE - ERP =&gt; SOUS-SEGMENT'!$GY$13</f>
        <v>3067.1186310000003</v>
      </c>
      <c r="AA16" s="427">
        <f>'ANALYSE - ERP =&gt; SOUS-SEGMENT'!$HB$13</f>
        <v>541.25622899999996</v>
      </c>
      <c r="AC16" s="430">
        <f>'ANALYSE - ERP =&gt; SOUS-SEGMENT'!$Q$13</f>
        <v>1</v>
      </c>
    </row>
    <row r="17" spans="1:29" ht="15" customHeight="1">
      <c r="A17" s="26">
        <v>14</v>
      </c>
      <c r="B17" s="26">
        <v>13</v>
      </c>
      <c r="C17" s="26">
        <v>17</v>
      </c>
      <c r="D17" s="422">
        <f>'ANALYSE - ERP =&gt; SOUS-SEGMENT'!$A$46</f>
        <v>39</v>
      </c>
      <c r="E17" s="416" t="str">
        <f>'ANALYSE - ERP =&gt; SOUS-SEGMENT'!$B$46</f>
        <v>Santé &amp; Médico-social</v>
      </c>
      <c r="F17" s="416" t="str">
        <f>'ANALYSE - ERP =&gt; SOUS-SEGMENT'!$C$46</f>
        <v>Santé hospitalière</v>
      </c>
      <c r="G17" s="416" t="str">
        <f>'ANALYSE - ERP =&gt; SOUS-SEGMENT'!$D$46</f>
        <v>Cliniques</v>
      </c>
      <c r="I17" s="427">
        <f t="shared" si="2"/>
        <v>3698.5427600072726</v>
      </c>
      <c r="K17" s="787">
        <f t="shared" si="0"/>
        <v>0.83280123007181783</v>
      </c>
      <c r="L17" s="787">
        <f t="shared" si="1"/>
        <v>0.16719876992818219</v>
      </c>
      <c r="N17" s="424">
        <f>'ANALYSE - ERP =&gt; SOUS-SEGMENT'!$FD$46</f>
        <v>18492.713800036363</v>
      </c>
      <c r="O17" s="427">
        <f>'ANALYSE - ERP =&gt; SOUS-SEGMENT'!$GT$46</f>
        <v>14746.925773636363</v>
      </c>
      <c r="P17" s="427">
        <f>'ANALYSE - ERP =&gt; SOUS-SEGMENT'!$GW$46</f>
        <v>2785.2269184000006</v>
      </c>
      <c r="Q17" s="427">
        <f>'ANALYSE - ERP =&gt; SOUS-SEGMENT'!$GZ$46</f>
        <v>960.56110799999988</v>
      </c>
      <c r="S17" s="424">
        <f>'ANALYSE - ERP =&gt; SOUS-SEGMENT'!$FE$46</f>
        <v>15400.754800036364</v>
      </c>
      <c r="T17" s="427">
        <f>'ANALYSE - ERP =&gt; SOUS-SEGMENT'!$GU$46</f>
        <v>12304.278163636363</v>
      </c>
      <c r="U17" s="427">
        <f>'ANALYSE - ERP =&gt; SOUS-SEGMENT'!$GX$46</f>
        <v>2290.5134784000006</v>
      </c>
      <c r="V17" s="427">
        <f>'ANALYSE - ERP =&gt; SOUS-SEGMENT'!$HA$46</f>
        <v>805.96315799999991</v>
      </c>
      <c r="X17" s="427">
        <f>'ANALYSE - ERP =&gt; SOUS-SEGMENT'!$FF$46</f>
        <v>3091.9589999999998</v>
      </c>
      <c r="Y17" s="427">
        <f>'ANALYSE - ERP =&gt; SOUS-SEGMENT'!$GV$46</f>
        <v>2442.64761</v>
      </c>
      <c r="Z17" s="427">
        <f>'ANALYSE - ERP =&gt; SOUS-SEGMENT'!$GY$46</f>
        <v>494.71343999999999</v>
      </c>
      <c r="AA17" s="427">
        <f>'ANALYSE - ERP =&gt; SOUS-SEGMENT'!$HB$46</f>
        <v>154.59795</v>
      </c>
      <c r="AC17" s="430">
        <f>'ANALYSE - ERP =&gt; SOUS-SEGMENT'!$Q$46</f>
        <v>1</v>
      </c>
    </row>
    <row r="18" spans="1:29" ht="15" customHeight="1">
      <c r="A18" s="26">
        <v>15</v>
      </c>
      <c r="B18" s="26">
        <v>15</v>
      </c>
      <c r="C18" s="26">
        <v>13</v>
      </c>
      <c r="D18" s="422">
        <f>'ANALYSE - ERP =&gt; SOUS-SEGMENT'!$A$14</f>
        <v>7</v>
      </c>
      <c r="E18" s="412" t="str">
        <f>'ANALYSE - ERP =&gt; SOUS-SEGMENT'!$B$14</f>
        <v>Enfance, Enseignement, Jeunesse &amp; Formation</v>
      </c>
      <c r="F18" s="412" t="str">
        <f>'ANALYSE - ERP =&gt; SOUS-SEGMENT'!$C$14</f>
        <v>Enseignement scolaire</v>
      </c>
      <c r="G18" s="412" t="str">
        <f>'ANALYSE - ERP =&gt; SOUS-SEGMENT'!$D$14</f>
        <v>Lycées
(vestiaires EPS inclus)</v>
      </c>
      <c r="I18" s="427">
        <f t="shared" si="2"/>
        <v>3363.8594014830001</v>
      </c>
      <c r="K18" s="787">
        <f t="shared" si="0"/>
        <v>0.73117903512812155</v>
      </c>
      <c r="L18" s="787">
        <f t="shared" si="1"/>
        <v>0.26882096487187856</v>
      </c>
      <c r="N18" s="424">
        <f>'ANALYSE - ERP =&gt; SOUS-SEGMENT'!$FD$14</f>
        <v>16819.297007415</v>
      </c>
      <c r="O18" s="427">
        <f>'ANALYSE - ERP =&gt; SOUS-SEGMENT'!$GT$14</f>
        <v>3978.75526935375</v>
      </c>
      <c r="P18" s="427">
        <f>'ANALYSE - ERP =&gt; SOUS-SEGMENT'!$GW$14</f>
        <v>11068.18444431975</v>
      </c>
      <c r="Q18" s="427">
        <f>'ANALYSE - ERP =&gt; SOUS-SEGMENT'!$GZ$14</f>
        <v>1772.3572937414999</v>
      </c>
      <c r="S18" s="424">
        <f>'ANALYSE - ERP =&gt; SOUS-SEGMENT'!$FE$14</f>
        <v>12297.917357415001</v>
      </c>
      <c r="T18" s="427">
        <f>'ANALYSE - ERP =&gt; SOUS-SEGMENT'!$GU$14</f>
        <v>3074.4793393537498</v>
      </c>
      <c r="U18" s="427">
        <f>'ANALYSE - ERP =&gt; SOUS-SEGMENT'!$GX$14</f>
        <v>7993.6462823197498</v>
      </c>
      <c r="V18" s="427">
        <f>'ANALYSE - ERP =&gt; SOUS-SEGMENT'!$HA$14</f>
        <v>1229.7917357414999</v>
      </c>
      <c r="X18" s="427">
        <f>'ANALYSE - ERP =&gt; SOUS-SEGMENT'!$FF$14</f>
        <v>4521.3796499999999</v>
      </c>
      <c r="Y18" s="427">
        <f>'ANALYSE - ERP =&gt; SOUS-SEGMENT'!$GV$14</f>
        <v>904.27593000000002</v>
      </c>
      <c r="Z18" s="427">
        <f>'ANALYSE - ERP =&gt; SOUS-SEGMENT'!$GY$14</f>
        <v>3074.5381620000003</v>
      </c>
      <c r="AA18" s="427">
        <f>'ANALYSE - ERP =&gt; SOUS-SEGMENT'!$HB$14</f>
        <v>542.56555800000001</v>
      </c>
      <c r="AC18" s="430">
        <f>'ANALYSE - ERP =&gt; SOUS-SEGMENT'!$Q$14</f>
        <v>1</v>
      </c>
    </row>
    <row r="19" spans="1:29" ht="15" customHeight="1">
      <c r="A19" s="26">
        <v>16</v>
      </c>
      <c r="B19" s="26">
        <v>16</v>
      </c>
      <c r="C19" s="26">
        <v>16</v>
      </c>
      <c r="D19" s="422">
        <f>'ANALYSE - ERP =&gt; SOUS-SEGMENT'!$A$28</f>
        <v>21</v>
      </c>
      <c r="E19" s="409" t="str">
        <f>'ANALYSE - ERP =&gt; SOUS-SEGMENT'!$B$28</f>
        <v>Sports &amp; Loisirs</v>
      </c>
      <c r="F19" s="409" t="str">
        <f>'ANALYSE - ERP =&gt; SOUS-SEGMENT'!$C$28</f>
        <v>Sport de plein air</v>
      </c>
      <c r="G19" s="409" t="str">
        <f>'ANALYSE - ERP =&gt; SOUS-SEGMENT'!$D$28</f>
        <v>Stades avec tribunes
(Hors grands stades, hors terrains sport)</v>
      </c>
      <c r="I19" s="427">
        <f t="shared" si="2"/>
        <v>2716.307314666667</v>
      </c>
      <c r="K19" s="787">
        <f t="shared" si="0"/>
        <v>0.80682344844902343</v>
      </c>
      <c r="L19" s="787">
        <f t="shared" si="1"/>
        <v>0.19317655155097652</v>
      </c>
      <c r="N19" s="424">
        <f>'ANALYSE - ERP =&gt; SOUS-SEGMENT'!$FD$28</f>
        <v>13581.536573333335</v>
      </c>
      <c r="O19" s="427">
        <f>'ANALYSE - ERP =&gt; SOUS-SEGMENT'!$GT$28</f>
        <v>2757.2039333333332</v>
      </c>
      <c r="P19" s="427">
        <f>'ANALYSE - ERP =&gt; SOUS-SEGMENT'!$GW$28</f>
        <v>9971.546112</v>
      </c>
      <c r="Q19" s="427">
        <f>'ANALYSE - ERP =&gt; SOUS-SEGMENT'!$GZ$28</f>
        <v>852.78652799999998</v>
      </c>
      <c r="S19" s="424">
        <f>'ANALYSE - ERP =&gt; SOUS-SEGMENT'!$FE$28</f>
        <v>10957.902173333334</v>
      </c>
      <c r="T19" s="427">
        <f>'ANALYSE - ERP =&gt; SOUS-SEGMENT'!$GU$28</f>
        <v>2363.6587733333331</v>
      </c>
      <c r="U19" s="427">
        <f>'ANALYSE - ERP =&gt; SOUS-SEGMENT'!$GX$28</f>
        <v>7925.1112800000001</v>
      </c>
      <c r="V19" s="427">
        <f>'ANALYSE - ERP =&gt; SOUS-SEGMENT'!$HA$28</f>
        <v>669.13211999999999</v>
      </c>
      <c r="X19" s="427">
        <f>'ANALYSE - ERP =&gt; SOUS-SEGMENT'!$FF$28</f>
        <v>2623.6343999999999</v>
      </c>
      <c r="Y19" s="427">
        <f>'ANALYSE - ERP =&gt; SOUS-SEGMENT'!$GV$28</f>
        <v>393.54515999999995</v>
      </c>
      <c r="Z19" s="427">
        <f>'ANALYSE - ERP =&gt; SOUS-SEGMENT'!$GY$28</f>
        <v>2046.4348319999999</v>
      </c>
      <c r="AA19" s="427">
        <f>'ANALYSE - ERP =&gt; SOUS-SEGMENT'!$HB$28</f>
        <v>183.65440800000002</v>
      </c>
      <c r="AC19" s="430">
        <f>'ANALYSE - ERP =&gt; SOUS-SEGMENT'!$Q$28</f>
        <v>1</v>
      </c>
    </row>
    <row r="20" spans="1:29" ht="15" customHeight="1">
      <c r="A20" s="26">
        <v>17</v>
      </c>
      <c r="B20" s="26">
        <v>17</v>
      </c>
      <c r="C20" s="26">
        <v>19</v>
      </c>
      <c r="D20" s="422">
        <f>'ANALYSE - ERP =&gt; SOUS-SEGMENT'!$A$45</f>
        <v>38</v>
      </c>
      <c r="E20" s="411" t="str">
        <f>'ANALYSE - ERP =&gt; SOUS-SEGMENT'!$B$45</f>
        <v>Santé &amp; Médico-social</v>
      </c>
      <c r="F20" s="411" t="str">
        <f>'ANALYSE - ERP =&gt; SOUS-SEGMENT'!$C$45</f>
        <v>Santé hospitalière</v>
      </c>
      <c r="G20" s="411" t="str">
        <f>'ANALYSE - ERP =&gt; SOUS-SEGMENT'!$D$45</f>
        <v>Hôpitaux privés</v>
      </c>
      <c r="I20" s="427">
        <f t="shared" si="2"/>
        <v>2717.6693814981818</v>
      </c>
      <c r="K20" s="787">
        <f t="shared" si="0"/>
        <v>0.83451476361996868</v>
      </c>
      <c r="L20" s="787">
        <f t="shared" si="1"/>
        <v>0.16548523638003126</v>
      </c>
      <c r="N20" s="424">
        <f>'ANALYSE - ERP =&gt; SOUS-SEGMENT'!$FD$45</f>
        <v>13588.346907490908</v>
      </c>
      <c r="O20" s="427">
        <f>'ANALYSE - ERP =&gt; SOUS-SEGMENT'!$GT$45</f>
        <v>10830.264585090907</v>
      </c>
      <c r="P20" s="427">
        <f>'ANALYSE - ERP =&gt; SOUS-SEGMENT'!$GW$45</f>
        <v>2049.1161664000001</v>
      </c>
      <c r="Q20" s="427">
        <f>'ANALYSE - ERP =&gt; SOUS-SEGMENT'!$GZ$45</f>
        <v>708.96615599999996</v>
      </c>
      <c r="S20" s="424">
        <f>'ANALYSE - ERP =&gt; SOUS-SEGMENT'!$FE$45</f>
        <v>11339.676107490908</v>
      </c>
      <c r="T20" s="427">
        <f>'ANALYSE - ERP =&gt; SOUS-SEGMENT'!$GU$45</f>
        <v>9053.8146530909071</v>
      </c>
      <c r="U20" s="427">
        <f>'ANALYSE - ERP =&gt; SOUS-SEGMENT'!$GX$45</f>
        <v>1689.3288384</v>
      </c>
      <c r="V20" s="427">
        <f>'ANALYSE - ERP =&gt; SOUS-SEGMENT'!$HA$45</f>
        <v>596.53261599999996</v>
      </c>
      <c r="X20" s="427">
        <f>'ANALYSE - ERP =&gt; SOUS-SEGMENT'!$FF$45</f>
        <v>2248.6707999999999</v>
      </c>
      <c r="Y20" s="427">
        <f>'ANALYSE - ERP =&gt; SOUS-SEGMENT'!$GV$45</f>
        <v>1776.449932</v>
      </c>
      <c r="Z20" s="427">
        <f>'ANALYSE - ERP =&gt; SOUS-SEGMENT'!$GY$45</f>
        <v>359.787328</v>
      </c>
      <c r="AA20" s="427">
        <f>'ANALYSE - ERP =&gt; SOUS-SEGMENT'!$HB$45</f>
        <v>112.43353999999999</v>
      </c>
      <c r="AC20" s="430">
        <f>'ANALYSE - ERP =&gt; SOUS-SEGMENT'!$Q$45</f>
        <v>1</v>
      </c>
    </row>
    <row r="21" spans="1:29" ht="15" customHeight="1">
      <c r="A21" s="26">
        <v>18</v>
      </c>
      <c r="B21" s="26">
        <v>18</v>
      </c>
      <c r="C21" s="26">
        <v>25</v>
      </c>
      <c r="D21" s="422">
        <f>'ANALYSE - ERP =&gt; SOUS-SEGMENT'!$A$67</f>
        <v>60</v>
      </c>
      <c r="E21" s="411" t="str">
        <f>'ANALYSE - ERP =&gt; SOUS-SEGMENT'!$B$67</f>
        <v>Culture, Patrimoine &amp; Evénementiel</v>
      </c>
      <c r="F21" s="411" t="str">
        <f>'ANALYSE - ERP =&gt; SOUS-SEGMENT'!$C$67</f>
        <v>Culture / spectacle</v>
      </c>
      <c r="G21" s="411" t="str">
        <f>'ANALYSE - ERP =&gt; SOUS-SEGMENT'!$D$67</f>
        <v>Salles polyvalentes / Salles des fêtes</v>
      </c>
      <c r="I21" s="427">
        <f t="shared" si="2"/>
        <v>402.60885090909085</v>
      </c>
      <c r="K21" s="787">
        <f t="shared" si="0"/>
        <v>0.84261051425740241</v>
      </c>
      <c r="L21" s="787">
        <f t="shared" si="1"/>
        <v>0.1573894857425977</v>
      </c>
      <c r="N21" s="424">
        <f>'ANALYSE - ERP =&gt; SOUS-SEGMENT'!$FD$67</f>
        <v>2013.0442545454544</v>
      </c>
      <c r="O21" s="427">
        <f>'ANALYSE - ERP =&gt; SOUS-SEGMENT'!$GT$67</f>
        <v>763.06429090909091</v>
      </c>
      <c r="P21" s="427">
        <f>'ANALYSE - ERP =&gt; SOUS-SEGMENT'!$GW$67</f>
        <v>979.96900363636371</v>
      </c>
      <c r="Q21" s="427">
        <f>'ANALYSE - ERP =&gt; SOUS-SEGMENT'!$GZ$67</f>
        <v>270.01096000000001</v>
      </c>
      <c r="S21" s="424">
        <f>'ANALYSE - ERP =&gt; SOUS-SEGMENT'!$FE$67</f>
        <v>1696.2122545454545</v>
      </c>
      <c r="T21" s="427">
        <f>'ANALYSE - ERP =&gt; SOUS-SEGMENT'!$GU$67</f>
        <v>652.17309090909089</v>
      </c>
      <c r="U21" s="427">
        <f>'ANALYSE - ERP =&gt; SOUS-SEGMENT'!$GX$67</f>
        <v>815.21636363636367</v>
      </c>
      <c r="V21" s="427">
        <f>'ANALYSE - ERP =&gt; SOUS-SEGMENT'!$HA$67</f>
        <v>228.8228</v>
      </c>
      <c r="X21" s="427">
        <f>'ANALYSE - ERP =&gt; SOUS-SEGMENT'!$FF$67</f>
        <v>316.83199999999999</v>
      </c>
      <c r="Y21" s="427">
        <f>'ANALYSE - ERP =&gt; SOUS-SEGMENT'!$GV$67</f>
        <v>110.8912</v>
      </c>
      <c r="Z21" s="427">
        <f>'ANALYSE - ERP =&gt; SOUS-SEGMENT'!$GY$67</f>
        <v>164.75264000000001</v>
      </c>
      <c r="AA21" s="427">
        <f>'ANALYSE - ERP =&gt; SOUS-SEGMENT'!$HB$67</f>
        <v>41.188160000000003</v>
      </c>
      <c r="AC21" s="430">
        <f>'ANALYSE - ERP =&gt; SOUS-SEGMENT'!$Q$67</f>
        <v>1</v>
      </c>
    </row>
    <row r="22" spans="1:29" ht="15" customHeight="1">
      <c r="A22" s="26">
        <v>19</v>
      </c>
      <c r="B22" s="26">
        <v>19</v>
      </c>
      <c r="C22" s="26">
        <v>27</v>
      </c>
      <c r="D22" s="422">
        <f>'ANALYSE - ERP =&gt; SOUS-SEGMENT'!$A$31</f>
        <v>24</v>
      </c>
      <c r="E22" s="410" t="str">
        <f>'ANALYSE - ERP =&gt; SOUS-SEGMENT'!$B$31</f>
        <v>Sports &amp; Loisirs</v>
      </c>
      <c r="F22" s="410" t="str">
        <f>'ANALYSE - ERP =&gt; SOUS-SEGMENT'!$C$31</f>
        <v>Sport de plein air</v>
      </c>
      <c r="G22" s="410" t="str">
        <f>'ANALYSE - ERP =&gt; SOUS-SEGMENT'!$D$31</f>
        <v>Piscines extérieures 
(Hors campings, hôtels, résidences et établissement avec bassin intérieur)</v>
      </c>
      <c r="I22" s="427">
        <f t="shared" si="2"/>
        <v>1994.9240019583333</v>
      </c>
      <c r="K22" s="787">
        <f t="shared" si="0"/>
        <v>0.89165797805438696</v>
      </c>
      <c r="L22" s="787">
        <f t="shared" si="1"/>
        <v>0.10834202194561307</v>
      </c>
      <c r="N22" s="424">
        <f>'ANALYSE - ERP =&gt; SOUS-SEGMENT'!$FD$31</f>
        <v>9974.6200097916662</v>
      </c>
      <c r="O22" s="427">
        <f>'ANALYSE - ERP =&gt; SOUS-SEGMENT'!$GT$31</f>
        <v>1546.3966916666666</v>
      </c>
      <c r="P22" s="427">
        <f>'ANALYSE - ERP =&gt; SOUS-SEGMENT'!$GW$31</f>
        <v>7843.7622899999997</v>
      </c>
      <c r="Q22" s="427">
        <f>'ANALYSE - ERP =&gt; SOUS-SEGMENT'!$GZ$31</f>
        <v>584.46102812499998</v>
      </c>
      <c r="S22" s="424">
        <f>'ANALYSE - ERP =&gt; SOUS-SEGMENT'!$FE$31</f>
        <v>8893.9495097916661</v>
      </c>
      <c r="T22" s="427">
        <f>'ANALYSE - ERP =&gt; SOUS-SEGMENT'!$GU$31</f>
        <v>1416.7162316666665</v>
      </c>
      <c r="U22" s="427">
        <f>'ANALYSE - ERP =&gt; SOUS-SEGMENT'!$GX$31</f>
        <v>6957.6124799999998</v>
      </c>
      <c r="V22" s="427">
        <f>'ANALYSE - ERP =&gt; SOUS-SEGMENT'!$HA$31</f>
        <v>519.62079812499996</v>
      </c>
      <c r="X22" s="427">
        <f>'ANALYSE - ERP =&gt; SOUS-SEGMENT'!$FF$31</f>
        <v>1080.6704999999999</v>
      </c>
      <c r="Y22" s="427">
        <f>'ANALYSE - ERP =&gt; SOUS-SEGMENT'!$GV$31</f>
        <v>129.68045999999998</v>
      </c>
      <c r="Z22" s="427">
        <f>'ANALYSE - ERP =&gt; SOUS-SEGMENT'!$GY$31</f>
        <v>886.14980999999989</v>
      </c>
      <c r="AA22" s="427">
        <f>'ANALYSE - ERP =&gt; SOUS-SEGMENT'!$HB$31</f>
        <v>64.840229999999991</v>
      </c>
      <c r="AC22" s="430">
        <f>'ANALYSE - ERP =&gt; SOUS-SEGMENT'!$Q$31</f>
        <v>1</v>
      </c>
    </row>
    <row r="23" spans="1:29" ht="15" customHeight="1">
      <c r="A23" s="26">
        <v>20</v>
      </c>
      <c r="B23" s="26">
        <v>26</v>
      </c>
      <c r="C23" s="26">
        <v>14</v>
      </c>
      <c r="D23" s="422">
        <f>'ANALYSE - ERP =&gt; SOUS-SEGMENT'!$A$19</f>
        <v>12</v>
      </c>
      <c r="E23" s="410" t="str">
        <f>'ANALYSE - ERP =&gt; SOUS-SEGMENT'!$B$19</f>
        <v>Enfance, Enseignement, Jeunesse &amp; Formation</v>
      </c>
      <c r="F23" s="410" t="str">
        <f>'ANALYSE - ERP =&gt; SOUS-SEGMENT'!$C$19</f>
        <v>Formation</v>
      </c>
      <c r="G23" s="410" t="str">
        <f>'ANALYSE - ERP =&gt; SOUS-SEGMENT'!$D$19</f>
        <v>Centres de formation / CFA</v>
      </c>
      <c r="I23" s="427">
        <f t="shared" si="2"/>
        <v>2032.6348985600002</v>
      </c>
      <c r="K23" s="787">
        <f t="shared" si="0"/>
        <v>0.54672737309946184</v>
      </c>
      <c r="L23" s="787">
        <f t="shared" si="1"/>
        <v>0.45327262690053804</v>
      </c>
      <c r="N23" s="424">
        <f>'ANALYSE - ERP =&gt; SOUS-SEGMENT'!$FD$19</f>
        <v>10163.174492800001</v>
      </c>
      <c r="O23" s="427">
        <f>'ANALYSE - ERP =&gt; SOUS-SEGMENT'!$GT$19</f>
        <v>2310.4591832000001</v>
      </c>
      <c r="P23" s="427">
        <f>'ANALYSE - ERP =&gt; SOUS-SEGMENT'!$GW$19</f>
        <v>6744.2640843200006</v>
      </c>
      <c r="Q23" s="427">
        <f>'ANALYSE - ERP =&gt; SOUS-SEGMENT'!$GZ$19</f>
        <v>1108.45122528</v>
      </c>
      <c r="S23" s="424">
        <f>'ANALYSE - ERP =&gt; SOUS-SEGMENT'!$FE$19</f>
        <v>5556.4856927999999</v>
      </c>
      <c r="T23" s="427">
        <f>'ANALYSE - ERP =&gt; SOUS-SEGMENT'!$GU$19</f>
        <v>1389.1214232</v>
      </c>
      <c r="U23" s="427">
        <f>'ANALYSE - ERP =&gt; SOUS-SEGMENT'!$GX$19</f>
        <v>3611.71570032</v>
      </c>
      <c r="V23" s="427">
        <f>'ANALYSE - ERP =&gt; SOUS-SEGMENT'!$HA$19</f>
        <v>555.64856928000006</v>
      </c>
      <c r="X23" s="427">
        <f>'ANALYSE - ERP =&gt; SOUS-SEGMENT'!$FF$19</f>
        <v>4606.6887999999999</v>
      </c>
      <c r="Y23" s="427">
        <f>'ANALYSE - ERP =&gt; SOUS-SEGMENT'!$GV$19</f>
        <v>921.33776</v>
      </c>
      <c r="Z23" s="427">
        <f>'ANALYSE - ERP =&gt; SOUS-SEGMENT'!$GY$19</f>
        <v>3132.5483840000002</v>
      </c>
      <c r="AA23" s="427">
        <f>'ANALYSE - ERP =&gt; SOUS-SEGMENT'!$HB$19</f>
        <v>552.80265599999996</v>
      </c>
      <c r="AC23" s="430">
        <f>'ANALYSE - ERP =&gt; SOUS-SEGMENT'!$Q$19</f>
        <v>1</v>
      </c>
    </row>
    <row r="24" spans="1:29" ht="15" customHeight="1">
      <c r="A24" s="26">
        <v>21</v>
      </c>
      <c r="B24" s="26">
        <v>20</v>
      </c>
      <c r="C24" s="26">
        <v>23</v>
      </c>
      <c r="D24" s="422">
        <f>'ANALYSE - ERP =&gt; SOUS-SEGMENT'!$A$50</f>
        <v>43</v>
      </c>
      <c r="E24" s="411" t="str">
        <f>'ANALYSE - ERP =&gt; SOUS-SEGMENT'!$B$50</f>
        <v>Santé &amp; Médico-social</v>
      </c>
      <c r="F24" s="411" t="str">
        <f>'ANALYSE - ERP =&gt; SOUS-SEGMENT'!$C$50</f>
        <v>Santé spécialisée</v>
      </c>
      <c r="G24" s="411" t="str">
        <f>'ANALYSE - ERP =&gt; SOUS-SEGMENT'!$D$50</f>
        <v>Centres de rééducation</v>
      </c>
      <c r="I24" s="427">
        <f t="shared" si="2"/>
        <v>1822.1556749545452</v>
      </c>
      <c r="K24" s="787">
        <f t="shared" si="0"/>
        <v>0.82074104617425292</v>
      </c>
      <c r="L24" s="787">
        <f t="shared" si="1"/>
        <v>0.17925895382574716</v>
      </c>
      <c r="N24" s="424">
        <f>'ANALYSE - ERP =&gt; SOUS-SEGMENT'!$FD$50</f>
        <v>9110.7783747727262</v>
      </c>
      <c r="O24" s="427">
        <f>'ANALYSE - ERP =&gt; SOUS-SEGMENT'!$GT$50</f>
        <v>6092.473230999999</v>
      </c>
      <c r="P24" s="427">
        <f>'ANALYSE - ERP =&gt; SOUS-SEGMENT'!$GW$50</f>
        <v>2393.941785272727</v>
      </c>
      <c r="Q24" s="427">
        <f>'ANALYSE - ERP =&gt; SOUS-SEGMENT'!$GZ$50</f>
        <v>624.3633585</v>
      </c>
      <c r="S24" s="424">
        <f>'ANALYSE - ERP =&gt; SOUS-SEGMENT'!$FE$50</f>
        <v>7477.5897747727267</v>
      </c>
      <c r="T24" s="427">
        <f>'ANALYSE - ERP =&gt; SOUS-SEGMENT'!$GU$50</f>
        <v>5014.5687549999993</v>
      </c>
      <c r="U24" s="427">
        <f>'ANALYSE - ERP =&gt; SOUS-SEGMENT'!$GX$50</f>
        <v>1936.6489772727271</v>
      </c>
      <c r="V24" s="427">
        <f>'ANALYSE - ERP =&gt; SOUS-SEGMENT'!$HA$50</f>
        <v>526.37204250000002</v>
      </c>
      <c r="X24" s="427">
        <f>'ANALYSE - ERP =&gt; SOUS-SEGMENT'!$FF$50</f>
        <v>1633.1886</v>
      </c>
      <c r="Y24" s="427">
        <f>'ANALYSE - ERP =&gt; SOUS-SEGMENT'!$GV$50</f>
        <v>1077.9044759999999</v>
      </c>
      <c r="Z24" s="427">
        <f>'ANALYSE - ERP =&gt; SOUS-SEGMENT'!$GY$50</f>
        <v>457.29280800000004</v>
      </c>
      <c r="AA24" s="427">
        <f>'ANALYSE - ERP =&gt; SOUS-SEGMENT'!$HB$50</f>
        <v>97.991315999999998</v>
      </c>
      <c r="AC24" s="430">
        <f>'ANALYSE - ERP =&gt; SOUS-SEGMENT'!$Q$50</f>
        <v>0</v>
      </c>
    </row>
    <row r="25" spans="1:29" ht="15" customHeight="1">
      <c r="A25" s="26">
        <v>22</v>
      </c>
      <c r="B25" s="26">
        <v>22</v>
      </c>
      <c r="C25" s="26">
        <v>20</v>
      </c>
      <c r="D25" s="422">
        <f>'ANALYSE - ERP =&gt; SOUS-SEGMENT'!$A$15</f>
        <v>8</v>
      </c>
      <c r="E25" s="408" t="str">
        <f>'ANALYSE - ERP =&gt; SOUS-SEGMENT'!$B$15</f>
        <v>Enfance, Enseignement, Jeunesse &amp; Formation</v>
      </c>
      <c r="F25" s="408" t="str">
        <f>'ANALYSE - ERP =&gt; SOUS-SEGMENT'!$C$15</f>
        <v>Enseignement scolaire</v>
      </c>
      <c r="G25" s="408" t="str">
        <f>'ANALYSE - ERP =&gt; SOUS-SEGMENT'!$D$15</f>
        <v>Internats scolaires</v>
      </c>
      <c r="I25" s="427">
        <f t="shared" si="2"/>
        <v>1496.4215767295998</v>
      </c>
      <c r="K25" s="787">
        <f t="shared" si="0"/>
        <v>0.73071509375007182</v>
      </c>
      <c r="L25" s="787">
        <f t="shared" si="1"/>
        <v>0.26928490624992818</v>
      </c>
      <c r="N25" s="424">
        <f>'ANALYSE - ERP =&gt; SOUS-SEGMENT'!$FD$15</f>
        <v>7482.1078836479992</v>
      </c>
      <c r="O25" s="427">
        <f>'ANALYSE - ERP =&gt; SOUS-SEGMENT'!$GT$15</f>
        <v>4014.4184000063997</v>
      </c>
      <c r="P25" s="427">
        <f>'ANALYSE - ERP =&gt; SOUS-SEGMENT'!$GW$15</f>
        <v>2659.0341336767997</v>
      </c>
      <c r="Q25" s="427">
        <f>'ANALYSE - ERP =&gt; SOUS-SEGMENT'!$GZ$15</f>
        <v>808.65534996479994</v>
      </c>
      <c r="S25" s="424">
        <f>'ANALYSE - ERP =&gt; SOUS-SEGMENT'!$FE$15</f>
        <v>5467.289163647999</v>
      </c>
      <c r="T25" s="427">
        <f>'ANALYSE - ERP =&gt; SOUS-SEGMENT'!$GU$15</f>
        <v>3007.0090400063996</v>
      </c>
      <c r="U25" s="427">
        <f>'ANALYSE - ERP =&gt; SOUS-SEGMENT'!$GX$15</f>
        <v>1913.5512072767995</v>
      </c>
      <c r="V25" s="427">
        <f>'ANALYSE - ERP =&gt; SOUS-SEGMENT'!$HA$15</f>
        <v>546.72891636479994</v>
      </c>
      <c r="X25" s="427">
        <f>'ANALYSE - ERP =&gt; SOUS-SEGMENT'!$FF$15</f>
        <v>2014.81872</v>
      </c>
      <c r="Y25" s="427">
        <f>'ANALYSE - ERP =&gt; SOUS-SEGMENT'!$GV$15</f>
        <v>1007.40936</v>
      </c>
      <c r="Z25" s="427">
        <f>'ANALYSE - ERP =&gt; SOUS-SEGMENT'!$GY$15</f>
        <v>745.4829264</v>
      </c>
      <c r="AA25" s="427">
        <f>'ANALYSE - ERP =&gt; SOUS-SEGMENT'!$HB$15</f>
        <v>261.9264336</v>
      </c>
      <c r="AC25" s="430">
        <f>'ANALYSE - ERP =&gt; SOUS-SEGMENT'!$Q$15</f>
        <v>1</v>
      </c>
    </row>
    <row r="26" spans="1:29" ht="15" customHeight="1">
      <c r="A26" s="26">
        <v>23</v>
      </c>
      <c r="B26" s="26">
        <v>24</v>
      </c>
      <c r="C26" s="26">
        <v>18</v>
      </c>
      <c r="D26" s="422">
        <f>'ANALYSE - ERP =&gt; SOUS-SEGMENT'!$A$49</f>
        <v>42</v>
      </c>
      <c r="E26" s="413" t="str">
        <f>'ANALYSE - ERP =&gt; SOUS-SEGMENT'!$B$49</f>
        <v>Santé &amp; Médico-social</v>
      </c>
      <c r="F26" s="413" t="str">
        <f>'ANALYSE - ERP =&gt; SOUS-SEGMENT'!$C$49</f>
        <v>Santé spécialisée</v>
      </c>
      <c r="G26" s="413" t="str">
        <f>'ANALYSE - ERP =&gt; SOUS-SEGMENT'!$D$49</f>
        <v>Centres de psychiatrie</v>
      </c>
      <c r="I26" s="427">
        <f t="shared" si="2"/>
        <v>1633.4162412909088</v>
      </c>
      <c r="K26" s="787">
        <f t="shared" si="0"/>
        <v>0.70182164981102491</v>
      </c>
      <c r="L26" s="787">
        <f t="shared" si="1"/>
        <v>0.29817835018897504</v>
      </c>
      <c r="N26" s="424">
        <f>'ANALYSE - ERP =&gt; SOUS-SEGMENT'!$FD$49</f>
        <v>8167.0812064545444</v>
      </c>
      <c r="O26" s="427">
        <f>'ANALYSE - ERP =&gt; SOUS-SEGMENT'!$GT$49</f>
        <v>2640.1333070000001</v>
      </c>
      <c r="P26" s="427">
        <f>'ANALYSE - ERP =&gt; SOUS-SEGMENT'!$GW$49</f>
        <v>5281.4256518545453</v>
      </c>
      <c r="Q26" s="427">
        <f>'ANALYSE - ERP =&gt; SOUS-SEGMENT'!$GZ$49</f>
        <v>245.52224759999999</v>
      </c>
      <c r="S26" s="424">
        <f>'ANALYSE - ERP =&gt; SOUS-SEGMENT'!$FE$49</f>
        <v>5731.8344064545445</v>
      </c>
      <c r="T26" s="427">
        <f>'ANALYSE - ERP =&gt; SOUS-SEGMENT'!$GU$49</f>
        <v>1860.854331</v>
      </c>
      <c r="U26" s="427">
        <f>'ANALYSE - ERP =&gt; SOUS-SEGMENT'!$GX$49</f>
        <v>3698.5152318545452</v>
      </c>
      <c r="V26" s="427">
        <f>'ANALYSE - ERP =&gt; SOUS-SEGMENT'!$HA$49</f>
        <v>172.46484359999999</v>
      </c>
      <c r="X26" s="427">
        <f>'ANALYSE - ERP =&gt; SOUS-SEGMENT'!$FF$49</f>
        <v>2435.2467999999999</v>
      </c>
      <c r="Y26" s="427">
        <f>'ANALYSE - ERP =&gt; SOUS-SEGMENT'!$GV$49</f>
        <v>779.27897599999994</v>
      </c>
      <c r="Z26" s="427">
        <f>'ANALYSE - ERP =&gt; SOUS-SEGMENT'!$GY$49</f>
        <v>1582.9104199999999</v>
      </c>
      <c r="AA26" s="427">
        <f>'ANALYSE - ERP =&gt; SOUS-SEGMENT'!$HB$49</f>
        <v>73.057403999999991</v>
      </c>
      <c r="AC26" s="430">
        <f>'ANALYSE - ERP =&gt; SOUS-SEGMENT'!$Q$49</f>
        <v>0</v>
      </c>
    </row>
    <row r="27" spans="1:29" ht="15" customHeight="1">
      <c r="A27" s="26">
        <v>24</v>
      </c>
      <c r="B27" s="26">
        <v>21</v>
      </c>
      <c r="C27" s="26">
        <v>26</v>
      </c>
      <c r="D27" s="422">
        <f>'ANALYSE - ERP =&gt; SOUS-SEGMENT'!$A$59</f>
        <v>52</v>
      </c>
      <c r="E27" s="411" t="str">
        <f>'ANALYSE - ERP =&gt; SOUS-SEGMENT'!$B$59</f>
        <v>Santé &amp; Médico-social</v>
      </c>
      <c r="F27" s="411" t="str">
        <f>'ANALYSE - ERP =&gt; SOUS-SEGMENT'!$C$59</f>
        <v>Médico-social</v>
      </c>
      <c r="G27" s="411" t="str">
        <f>'ANALYSE - ERP =&gt; SOUS-SEGMENT'!$D$59</f>
        <v>USLD</v>
      </c>
      <c r="I27" s="427">
        <f t="shared" si="2"/>
        <v>1509.8718295384615</v>
      </c>
      <c r="K27" s="787">
        <f t="shared" si="0"/>
        <v>0.84949082196634806</v>
      </c>
      <c r="L27" s="787">
        <f t="shared" si="1"/>
        <v>0.15050917803365188</v>
      </c>
      <c r="N27" s="424">
        <f>'ANALYSE - ERP =&gt; SOUS-SEGMENT'!$FD$59</f>
        <v>7549.3591476923075</v>
      </c>
      <c r="O27" s="427">
        <f>'ANALYSE - ERP =&gt; SOUS-SEGMENT'!$GT$59</f>
        <v>6269.7755364923069</v>
      </c>
      <c r="P27" s="427">
        <f>'ANALYSE - ERP =&gt; SOUS-SEGMENT'!$GW$59</f>
        <v>968.95769759999996</v>
      </c>
      <c r="Q27" s="427">
        <f>'ANALYSE - ERP =&gt; SOUS-SEGMENT'!$GZ$59</f>
        <v>310.62591359999999</v>
      </c>
      <c r="S27" s="424">
        <f>'ANALYSE - ERP =&gt; SOUS-SEGMENT'!$FE$59</f>
        <v>6413.1113076923075</v>
      </c>
      <c r="T27" s="427">
        <f>'ANALYSE - ERP =&gt; SOUS-SEGMENT'!$GU$59</f>
        <v>5338.0523076923073</v>
      </c>
      <c r="U27" s="427">
        <f>'ANALYSE - ERP =&gt; SOUS-SEGMENT'!$GX$59</f>
        <v>809.88299999999992</v>
      </c>
      <c r="V27" s="427">
        <f>'ANALYSE - ERP =&gt; SOUS-SEGMENT'!$HA$59</f>
        <v>265.17599999999999</v>
      </c>
      <c r="X27" s="427">
        <f>'ANALYSE - ERP =&gt; SOUS-SEGMENT'!$FF$59</f>
        <v>1136.24784</v>
      </c>
      <c r="Y27" s="427">
        <f>'ANALYSE - ERP =&gt; SOUS-SEGMENT'!$GV$59</f>
        <v>931.7232287999999</v>
      </c>
      <c r="Z27" s="427">
        <f>'ANALYSE - ERP =&gt; SOUS-SEGMENT'!$GY$59</f>
        <v>159.07469760000001</v>
      </c>
      <c r="AA27" s="427">
        <f>'ANALYSE - ERP =&gt; SOUS-SEGMENT'!$HB$59</f>
        <v>45.449913600000002</v>
      </c>
      <c r="AC27" s="430">
        <f>'ANALYSE - ERP =&gt; SOUS-SEGMENT'!$Q$59</f>
        <v>1</v>
      </c>
    </row>
    <row r="28" spans="1:29" ht="15" customHeight="1">
      <c r="A28" s="26">
        <v>25</v>
      </c>
      <c r="B28" s="26">
        <v>23</v>
      </c>
      <c r="C28" s="26">
        <v>22</v>
      </c>
      <c r="D28" s="422" t="e">
        <f>'ANALYSE - ERP =&gt; SOUS-SEGMENT'!#REF!</f>
        <v>#REF!</v>
      </c>
      <c r="E28" s="409" t="e">
        <f>'ANALYSE - ERP =&gt; SOUS-SEGMENT'!#REF!</f>
        <v>#REF!</v>
      </c>
      <c r="F28" s="409" t="e">
        <f>'ANALYSE - ERP =&gt; SOUS-SEGMENT'!#REF!</f>
        <v>#REF!</v>
      </c>
      <c r="G28" s="409" t="e">
        <f>'ANALYSE - ERP =&gt; SOUS-SEGMENT'!#REF!</f>
        <v>#REF!</v>
      </c>
      <c r="I28" s="427" t="e">
        <f t="shared" si="2"/>
        <v>#REF!</v>
      </c>
      <c r="K28" s="787" t="str">
        <f t="shared" si="0"/>
        <v/>
      </c>
      <c r="L28" s="787" t="str">
        <f t="shared" si="1"/>
        <v/>
      </c>
      <c r="N28" s="424" t="e">
        <f>'ANALYSE - ERP =&gt; SOUS-SEGMENT'!#REF!</f>
        <v>#REF!</v>
      </c>
      <c r="O28" s="427" t="e">
        <f>'ANALYSE - ERP =&gt; SOUS-SEGMENT'!#REF!</f>
        <v>#REF!</v>
      </c>
      <c r="P28" s="427" t="e">
        <f>'ANALYSE - ERP =&gt; SOUS-SEGMENT'!#REF!</f>
        <v>#REF!</v>
      </c>
      <c r="Q28" s="427" t="e">
        <f>'ANALYSE - ERP =&gt; SOUS-SEGMENT'!#REF!</f>
        <v>#REF!</v>
      </c>
      <c r="S28" s="424" t="e">
        <f>'ANALYSE - ERP =&gt; SOUS-SEGMENT'!#REF!</f>
        <v>#REF!</v>
      </c>
      <c r="T28" s="427" t="e">
        <f>'ANALYSE - ERP =&gt; SOUS-SEGMENT'!#REF!</f>
        <v>#REF!</v>
      </c>
      <c r="U28" s="427" t="e">
        <f>'ANALYSE - ERP =&gt; SOUS-SEGMENT'!#REF!</f>
        <v>#REF!</v>
      </c>
      <c r="V28" s="427" t="e">
        <f>'ANALYSE - ERP =&gt; SOUS-SEGMENT'!#REF!</f>
        <v>#REF!</v>
      </c>
      <c r="X28" s="427" t="e">
        <f>'ANALYSE - ERP =&gt; SOUS-SEGMENT'!#REF!</f>
        <v>#REF!</v>
      </c>
      <c r="Y28" s="427" t="e">
        <f>'ANALYSE - ERP =&gt; SOUS-SEGMENT'!#REF!</f>
        <v>#REF!</v>
      </c>
      <c r="Z28" s="427" t="e">
        <f>'ANALYSE - ERP =&gt; SOUS-SEGMENT'!#REF!</f>
        <v>#REF!</v>
      </c>
      <c r="AA28" s="427" t="e">
        <f>'ANALYSE - ERP =&gt; SOUS-SEGMENT'!#REF!</f>
        <v>#REF!</v>
      </c>
      <c r="AC28" s="430" t="e">
        <f>'ANALYSE - ERP =&gt; SOUS-SEGMENT'!#REF!</f>
        <v>#REF!</v>
      </c>
    </row>
    <row r="29" spans="1:29" ht="15" customHeight="1">
      <c r="A29" s="26">
        <v>26</v>
      </c>
      <c r="B29" s="26">
        <v>25</v>
      </c>
      <c r="C29" s="26">
        <v>28</v>
      </c>
      <c r="D29" s="422">
        <f>'ANALYSE - ERP =&gt; SOUS-SEGMENT'!$A$87</f>
        <v>80</v>
      </c>
      <c r="E29" s="414" t="str">
        <f>'ANALYSE - ERP =&gt; SOUS-SEGMENT'!$B$87</f>
        <v>Hébergement Touristique</v>
      </c>
      <c r="F29" s="414" t="str">
        <f>'ANALYSE - ERP =&gt; SOUS-SEGMENT'!$C$87</f>
        <v>Hébergement Touristique</v>
      </c>
      <c r="G29" s="414" t="str">
        <f>'ANALYSE - ERP =&gt; SOUS-SEGMENT'!$D$87</f>
        <v>Hôtels 
(hors autres hébérgements touristiques)</v>
      </c>
      <c r="I29" s="427">
        <f t="shared" si="2"/>
        <v>317.16018174181818</v>
      </c>
      <c r="K29" s="787">
        <f t="shared" si="0"/>
        <v>0.88288756868528884</v>
      </c>
      <c r="L29" s="787">
        <f t="shared" si="1"/>
        <v>0.11711243131471118</v>
      </c>
      <c r="N29" s="424">
        <f>'ANALYSE - ERP =&gt; SOUS-SEGMENT'!$FD$87</f>
        <v>1585.8009087090909</v>
      </c>
      <c r="O29" s="427">
        <f>'ANALYSE - ERP =&gt; SOUS-SEGMENT'!$GT$87</f>
        <v>909.60571290909093</v>
      </c>
      <c r="P29" s="427">
        <f>'ANALYSE - ERP =&gt; SOUS-SEGMENT'!$GW$87</f>
        <v>576.93943580000007</v>
      </c>
      <c r="Q29" s="427">
        <f>'ANALYSE - ERP =&gt; SOUS-SEGMENT'!$GZ$87</f>
        <v>99.255760000000009</v>
      </c>
      <c r="S29" s="424">
        <f>'ANALYSE - ERP =&gt; SOUS-SEGMENT'!$FE$87</f>
        <v>1400.083908709091</v>
      </c>
      <c r="T29" s="427">
        <f>'ANALYSE - ERP =&gt; SOUS-SEGMENT'!$GU$87</f>
        <v>807.46136290909089</v>
      </c>
      <c r="U29" s="427">
        <f>'ANALYSE - ERP =&gt; SOUS-SEGMENT'!$GX$87</f>
        <v>506.36697580000003</v>
      </c>
      <c r="V29" s="427">
        <f>'ANALYSE - ERP =&gt; SOUS-SEGMENT'!$HA$87</f>
        <v>86.255570000000006</v>
      </c>
      <c r="X29" s="427">
        <f>'ANALYSE - ERP =&gt; SOUS-SEGMENT'!$FF$87</f>
        <v>185.71699999999998</v>
      </c>
      <c r="Y29" s="427">
        <f>'ANALYSE - ERP =&gt; SOUS-SEGMENT'!$GV$87</f>
        <v>102.14435</v>
      </c>
      <c r="Z29" s="427">
        <f>'ANALYSE - ERP =&gt; SOUS-SEGMENT'!$GY$87</f>
        <v>70.572459999999992</v>
      </c>
      <c r="AA29" s="427">
        <f>'ANALYSE - ERP =&gt; SOUS-SEGMENT'!$HB$87</f>
        <v>13.00019</v>
      </c>
      <c r="AC29" s="430">
        <f>'ANALYSE - ERP =&gt; SOUS-SEGMENT'!$Q$87</f>
        <v>1</v>
      </c>
    </row>
    <row r="30" spans="1:29" ht="15" customHeight="1">
      <c r="A30" s="26">
        <v>27</v>
      </c>
      <c r="B30" s="26">
        <v>27</v>
      </c>
      <c r="C30" s="26">
        <v>30</v>
      </c>
      <c r="D30" s="422">
        <f>'ANALYSE - ERP =&gt; SOUS-SEGMENT'!$A$125</f>
        <v>118</v>
      </c>
      <c r="E30" s="411" t="str">
        <f>'ANALYSE - ERP =&gt; SOUS-SEGMENT'!$B$125</f>
        <v>Transport, Mobilité &amp; Stationnement</v>
      </c>
      <c r="F30" s="411" t="str">
        <f>'ANALYSE - ERP =&gt; SOUS-SEGMENT'!$C$125</f>
        <v>Transport / Mobilité</v>
      </c>
      <c r="G30" s="411" t="str">
        <f>'ANALYSE - ERP =&gt; SOUS-SEGMENT'!$D$125</f>
        <v>Gares ferroviaires et stations
(dotés de sanitaires)</v>
      </c>
      <c r="I30" s="427">
        <f t="shared" si="2"/>
        <v>308.80861964285714</v>
      </c>
      <c r="K30" s="787">
        <f t="shared" si="0"/>
        <v>0.81044505795305133</v>
      </c>
      <c r="L30" s="787">
        <f t="shared" si="1"/>
        <v>0.18955494204694867</v>
      </c>
      <c r="N30" s="424">
        <f>'ANALYSE - ERP =&gt; SOUS-SEGMENT'!$FD$125</f>
        <v>1544.0430982142857</v>
      </c>
      <c r="O30" s="427">
        <f>'ANALYSE - ERP =&gt; SOUS-SEGMENT'!$GT$125</f>
        <v>221.38088249999998</v>
      </c>
      <c r="P30" s="427">
        <f>'ANALYSE - ERP =&gt; SOUS-SEGMENT'!$GW$125</f>
        <v>1233.3806200000001</v>
      </c>
      <c r="Q30" s="427">
        <f>'ANALYSE - ERP =&gt; SOUS-SEGMENT'!$GZ$125</f>
        <v>89.281595714285714</v>
      </c>
      <c r="S30" s="424">
        <f>'ANALYSE - ERP =&gt; SOUS-SEGMENT'!$FE$125</f>
        <v>1251.3620982142857</v>
      </c>
      <c r="T30" s="427">
        <f>'ANALYSE - ERP =&gt; SOUS-SEGMENT'!$GU$125</f>
        <v>186.25916249999997</v>
      </c>
      <c r="U30" s="427">
        <f>'ANALYSE - ERP =&gt; SOUS-SEGMENT'!$GX$125</f>
        <v>993.38220000000013</v>
      </c>
      <c r="V30" s="427">
        <f>'ANALYSE - ERP =&gt; SOUS-SEGMENT'!$HA$125</f>
        <v>71.720735714285709</v>
      </c>
      <c r="X30" s="427">
        <f>'ANALYSE - ERP =&gt; SOUS-SEGMENT'!$FF$125</f>
        <v>292.68099999999998</v>
      </c>
      <c r="Y30" s="427">
        <f>'ANALYSE - ERP =&gt; SOUS-SEGMENT'!$GV$125</f>
        <v>35.121719999999996</v>
      </c>
      <c r="Z30" s="427">
        <f>'ANALYSE - ERP =&gt; SOUS-SEGMENT'!$GY$125</f>
        <v>239.99841999999998</v>
      </c>
      <c r="AA30" s="427">
        <f>'ANALYSE - ERP =&gt; SOUS-SEGMENT'!$HB$125</f>
        <v>17.560859999999998</v>
      </c>
      <c r="AC30" s="430">
        <f>'ANALYSE - ERP =&gt; SOUS-SEGMENT'!$Q$125</f>
        <v>1</v>
      </c>
    </row>
    <row r="31" spans="1:29" ht="15" customHeight="1">
      <c r="A31" s="26">
        <v>28</v>
      </c>
      <c r="B31" s="26">
        <v>30</v>
      </c>
      <c r="C31" s="26">
        <v>21</v>
      </c>
      <c r="D31" s="422">
        <f>'ANALYSE - ERP =&gt; SOUS-SEGMENT'!$A$18</f>
        <v>11</v>
      </c>
      <c r="E31" s="409" t="str">
        <f>'ANALYSE - ERP =&gt; SOUS-SEGMENT'!$B$18</f>
        <v>Enfance, Enseignement, Jeunesse &amp; Formation</v>
      </c>
      <c r="F31" s="409" t="str">
        <f>'ANALYSE - ERP =&gt; SOUS-SEGMENT'!$C$18</f>
        <v>Enseignement supérieur</v>
      </c>
      <c r="G31" s="409" t="str">
        <f>'ANALYSE - ERP =&gt; SOUS-SEGMENT'!$D$18</f>
        <v>Résidences étudiantes et dortoirs</v>
      </c>
      <c r="I31" s="427">
        <f t="shared" si="2"/>
        <v>911.08708277680012</v>
      </c>
      <c r="K31" s="787">
        <f t="shared" si="0"/>
        <v>0.57930148583403862</v>
      </c>
      <c r="L31" s="787">
        <f t="shared" si="1"/>
        <v>0.42069851416596132</v>
      </c>
      <c r="N31" s="424">
        <f>'ANALYSE - ERP =&gt; SOUS-SEGMENT'!$FD$18</f>
        <v>4555.4354138840008</v>
      </c>
      <c r="O31" s="427">
        <f>'ANALYSE - ERP =&gt; SOUS-SEGMENT'!$GT$18</f>
        <v>2409.6662321362001</v>
      </c>
      <c r="P31" s="427">
        <f>'ANALYSE - ERP =&gt; SOUS-SEGMENT'!$GW$18</f>
        <v>1632.7316930593997</v>
      </c>
      <c r="Q31" s="427">
        <f>'ANALYSE - ERP =&gt; SOUS-SEGMENT'!$GZ$18</f>
        <v>513.0374886884</v>
      </c>
      <c r="S31" s="424">
        <f>'ANALYSE - ERP =&gt; SOUS-SEGMENT'!$FE$18</f>
        <v>2638.9705038840002</v>
      </c>
      <c r="T31" s="427">
        <f>'ANALYSE - ERP =&gt; SOUS-SEGMENT'!$GU$18</f>
        <v>1451.4337771362</v>
      </c>
      <c r="U31" s="427">
        <f>'ANALYSE - ERP =&gt; SOUS-SEGMENT'!$GX$18</f>
        <v>923.6396763593998</v>
      </c>
      <c r="V31" s="427">
        <f>'ANALYSE - ERP =&gt; SOUS-SEGMENT'!$HA$18</f>
        <v>263.89705038839998</v>
      </c>
      <c r="X31" s="427">
        <f>'ANALYSE - ERP =&gt; SOUS-SEGMENT'!$FF$18</f>
        <v>1916.4649100000001</v>
      </c>
      <c r="Y31" s="427">
        <f>'ANALYSE - ERP =&gt; SOUS-SEGMENT'!$GV$18</f>
        <v>958.23245500000007</v>
      </c>
      <c r="Z31" s="427">
        <f>'ANALYSE - ERP =&gt; SOUS-SEGMENT'!$GY$18</f>
        <v>709.09201670000004</v>
      </c>
      <c r="AA31" s="427">
        <f>'ANALYSE - ERP =&gt; SOUS-SEGMENT'!$HB$18</f>
        <v>249.14043830000003</v>
      </c>
      <c r="AC31" s="430">
        <f>'ANALYSE - ERP =&gt; SOUS-SEGMENT'!$Q$18</f>
        <v>1</v>
      </c>
    </row>
    <row r="32" spans="1:29" ht="15" customHeight="1">
      <c r="A32" s="26">
        <v>29</v>
      </c>
      <c r="B32" s="26">
        <v>28</v>
      </c>
      <c r="C32" s="26">
        <v>31</v>
      </c>
      <c r="D32" s="422">
        <f>'ANALYSE - ERP =&gt; SOUS-SEGMENT'!$A$51</f>
        <v>44</v>
      </c>
      <c r="E32" s="412" t="str">
        <f>'ANALYSE - ERP =&gt; SOUS-SEGMENT'!$B$51</f>
        <v>Santé &amp; Médico-social</v>
      </c>
      <c r="F32" s="412" t="str">
        <f>'ANALYSE - ERP =&gt; SOUS-SEGMENT'!$C$51</f>
        <v>Santé spécialisée</v>
      </c>
      <c r="G32" s="412" t="str">
        <f>'ANALYSE - ERP =&gt; SOUS-SEGMENT'!$D$51</f>
        <v>Maternités</v>
      </c>
      <c r="I32" s="427">
        <f t="shared" si="2"/>
        <v>1002.9901454545455</v>
      </c>
      <c r="K32" s="787">
        <f t="shared" si="0"/>
        <v>0.84333006589133896</v>
      </c>
      <c r="L32" s="787">
        <f t="shared" si="1"/>
        <v>0.15666993410866104</v>
      </c>
      <c r="N32" s="424">
        <f>'ANALYSE - ERP =&gt; SOUS-SEGMENT'!$FD$51</f>
        <v>5014.9507272727278</v>
      </c>
      <c r="O32" s="427">
        <f>'ANALYSE - ERP =&gt; SOUS-SEGMENT'!$GT$51</f>
        <v>4010.1294072727273</v>
      </c>
      <c r="P32" s="427">
        <f>'ANALYSE - ERP =&gt; SOUS-SEGMENT'!$GW$51</f>
        <v>750.16672000000028</v>
      </c>
      <c r="Q32" s="427">
        <f>'ANALYSE - ERP =&gt; SOUS-SEGMENT'!$GZ$51</f>
        <v>254.65460000000004</v>
      </c>
      <c r="S32" s="424">
        <f>'ANALYSE - ERP =&gt; SOUS-SEGMENT'!$FE$51</f>
        <v>4229.2587272727278</v>
      </c>
      <c r="T32" s="427">
        <f>'ANALYSE - ERP =&gt; SOUS-SEGMENT'!$GU$51</f>
        <v>3389.4327272727273</v>
      </c>
      <c r="U32" s="427">
        <f>'ANALYSE - ERP =&gt; SOUS-SEGMENT'!$GX$51</f>
        <v>624.45600000000024</v>
      </c>
      <c r="V32" s="427">
        <f>'ANALYSE - ERP =&gt; SOUS-SEGMENT'!$HA$51</f>
        <v>215.37000000000003</v>
      </c>
      <c r="X32" s="427">
        <f>'ANALYSE - ERP =&gt; SOUS-SEGMENT'!$FF$51</f>
        <v>785.69200000000001</v>
      </c>
      <c r="Y32" s="427">
        <f>'ANALYSE - ERP =&gt; SOUS-SEGMENT'!$GV$51</f>
        <v>620.69668000000001</v>
      </c>
      <c r="Z32" s="427">
        <f>'ANALYSE - ERP =&gt; SOUS-SEGMENT'!$GY$51</f>
        <v>125.71072000000001</v>
      </c>
      <c r="AA32" s="427">
        <f>'ANALYSE - ERP =&gt; SOUS-SEGMENT'!$HB$51</f>
        <v>39.284600000000005</v>
      </c>
      <c r="AC32" s="430">
        <f>'ANALYSE - ERP =&gt; SOUS-SEGMENT'!$Q$51</f>
        <v>0</v>
      </c>
    </row>
    <row r="33" spans="1:29" ht="15" customHeight="1">
      <c r="A33" s="26">
        <v>30</v>
      </c>
      <c r="B33" s="26">
        <v>29</v>
      </c>
      <c r="C33" s="26">
        <v>33</v>
      </c>
      <c r="D33" s="422">
        <f>'ANALYSE - ERP =&gt; SOUS-SEGMENT'!$A$23</f>
        <v>16</v>
      </c>
      <c r="E33" s="411" t="str">
        <f>'ANALYSE - ERP =&gt; SOUS-SEGMENT'!$B$23</f>
        <v>Sports &amp; Loisirs</v>
      </c>
      <c r="F33" s="411" t="str">
        <f>'ANALYSE - ERP =&gt; SOUS-SEGMENT'!$C$23</f>
        <v>Sport couvert / Thermalisme / Bien-être</v>
      </c>
      <c r="G33" s="411" t="str">
        <f>'ANALYSE - ERP =&gt; SOUS-SEGMENT'!$D$23</f>
        <v>Patinoires couvertes</v>
      </c>
      <c r="I33" s="427">
        <f t="shared" si="2"/>
        <v>915.66152079999995</v>
      </c>
      <c r="K33" s="787">
        <f t="shared" si="0"/>
        <v>0.85993142980613069</v>
      </c>
      <c r="L33" s="787">
        <f t="shared" si="1"/>
        <v>0.1400685701938694</v>
      </c>
      <c r="N33" s="424">
        <f>'ANALYSE - ERP =&gt; SOUS-SEGMENT'!$FD$23</f>
        <v>4578.3076039999996</v>
      </c>
      <c r="O33" s="427">
        <f>'ANALYSE - ERP =&gt; SOUS-SEGMENT'!$GT$23</f>
        <v>1178.6702</v>
      </c>
      <c r="P33" s="427">
        <f>'ANALYSE - ERP =&gt; SOUS-SEGMENT'!$GW$23</f>
        <v>3118.7210739999996</v>
      </c>
      <c r="Q33" s="427">
        <f>'ANALYSE - ERP =&gt; SOUS-SEGMENT'!$GZ$23</f>
        <v>280.91633000000002</v>
      </c>
      <c r="S33" s="424">
        <f>'ANALYSE - ERP =&gt; SOUS-SEGMENT'!$FE$23</f>
        <v>3937.030604</v>
      </c>
      <c r="T33" s="427">
        <f>'ANALYSE - ERP =&gt; SOUS-SEGMENT'!$GU$23</f>
        <v>1050.4148</v>
      </c>
      <c r="U33" s="427">
        <f>'ANALYSE - ERP =&gt; SOUS-SEGMENT'!$GX$23</f>
        <v>2650.5888639999998</v>
      </c>
      <c r="V33" s="427">
        <f>'ANALYSE - ERP =&gt; SOUS-SEGMENT'!$HA$23</f>
        <v>236.02694</v>
      </c>
      <c r="X33" s="427">
        <f>'ANALYSE - ERP =&gt; SOUS-SEGMENT'!$FF$23</f>
        <v>641.27699999999993</v>
      </c>
      <c r="Y33" s="427">
        <f>'ANALYSE - ERP =&gt; SOUS-SEGMENT'!$GV$23</f>
        <v>128.25539999999998</v>
      </c>
      <c r="Z33" s="427">
        <f>'ANALYSE - ERP =&gt; SOUS-SEGMENT'!$GY$23</f>
        <v>468.13220999999993</v>
      </c>
      <c r="AA33" s="427">
        <f>'ANALYSE - ERP =&gt; SOUS-SEGMENT'!$HB$23</f>
        <v>44.889389999999999</v>
      </c>
      <c r="AC33" s="430">
        <f>'ANALYSE - ERP =&gt; SOUS-SEGMENT'!$Q$23</f>
        <v>1</v>
      </c>
    </row>
    <row r="34" spans="1:29" ht="15" customHeight="1">
      <c r="A34" s="26">
        <v>31</v>
      </c>
      <c r="B34" s="26">
        <v>32</v>
      </c>
      <c r="C34" s="26">
        <v>32</v>
      </c>
      <c r="D34" s="422">
        <f>'ANALYSE - ERP =&gt; SOUS-SEGMENT'!$A$43</f>
        <v>36</v>
      </c>
      <c r="E34" s="409" t="str">
        <f>'ANALYSE - ERP =&gt; SOUS-SEGMENT'!$B$43</f>
        <v>Santé &amp; Médico-social</v>
      </c>
      <c r="F34" s="409" t="str">
        <f>'ANALYSE - ERP =&gt; SOUS-SEGMENT'!$C$43</f>
        <v>Santé hospitalière</v>
      </c>
      <c r="G34" s="409" t="str">
        <f>'ANALYSE - ERP =&gt; SOUS-SEGMENT'!$D$43</f>
        <v>Hôpitaux universitaires / CHU</v>
      </c>
      <c r="I34" s="427">
        <f t="shared" si="2"/>
        <v>598.18239818181826</v>
      </c>
      <c r="K34" s="787">
        <f t="shared" si="0"/>
        <v>0.78022743497704639</v>
      </c>
      <c r="L34" s="787">
        <f t="shared" si="1"/>
        <v>0.21977256502295361</v>
      </c>
      <c r="N34" s="424">
        <f>'ANALYSE - ERP =&gt; SOUS-SEGMENT'!$FD$43</f>
        <v>2990.9119909090914</v>
      </c>
      <c r="O34" s="427">
        <f>'ANALYSE - ERP =&gt; SOUS-SEGMENT'!$GT$43</f>
        <v>2152.1797789090911</v>
      </c>
      <c r="P34" s="427">
        <f>'ANALYSE - ERP =&gt; SOUS-SEGMENT'!$GW$43</f>
        <v>640.33048800000006</v>
      </c>
      <c r="Q34" s="427">
        <f>'ANALYSE - ERP =&gt; SOUS-SEGMENT'!$GZ$43</f>
        <v>198.401724</v>
      </c>
      <c r="S34" s="424">
        <f>'ANALYSE - ERP =&gt; SOUS-SEGMENT'!$FE$43</f>
        <v>2333.5915909090913</v>
      </c>
      <c r="T34" s="427">
        <f>'ANALYSE - ERP =&gt; SOUS-SEGMENT'!$GU$43</f>
        <v>1678.909090909091</v>
      </c>
      <c r="U34" s="427">
        <f>'ANALYSE - ERP =&gt; SOUS-SEGMENT'!$GX$43</f>
        <v>495.72</v>
      </c>
      <c r="V34" s="427">
        <f>'ANALYSE - ERP =&gt; SOUS-SEGMENT'!$HA$43</f>
        <v>158.96250000000001</v>
      </c>
      <c r="X34" s="427">
        <f>'ANALYSE - ERP =&gt; SOUS-SEGMENT'!$FF$43</f>
        <v>657.32039999999995</v>
      </c>
      <c r="Y34" s="427">
        <f>'ANALYSE - ERP =&gt; SOUS-SEGMENT'!$GV$43</f>
        <v>473.27068799999995</v>
      </c>
      <c r="Z34" s="427">
        <f>'ANALYSE - ERP =&gt; SOUS-SEGMENT'!$GY$43</f>
        <v>144.610488</v>
      </c>
      <c r="AA34" s="427">
        <f>'ANALYSE - ERP =&gt; SOUS-SEGMENT'!$HB$43</f>
        <v>39.439223999999996</v>
      </c>
      <c r="AC34" s="430">
        <f>'ANALYSE - ERP =&gt; SOUS-SEGMENT'!$Q$43</f>
        <v>1</v>
      </c>
    </row>
    <row r="35" spans="1:29" ht="15" customHeight="1">
      <c r="A35" s="26">
        <v>32</v>
      </c>
      <c r="B35" s="26">
        <v>31</v>
      </c>
      <c r="C35" s="26">
        <v>35</v>
      </c>
      <c r="D35" s="422">
        <f>'ANALYSE - ERP =&gt; SOUS-SEGMENT'!$A$60</f>
        <v>53</v>
      </c>
      <c r="E35" s="414" t="str">
        <f>'ANALYSE - ERP =&gt; SOUS-SEGMENT'!$B$60</f>
        <v>Santé &amp; Médico-social</v>
      </c>
      <c r="F35" s="414" t="str">
        <f>'ANALYSE - ERP =&gt; SOUS-SEGMENT'!$C$60</f>
        <v>Médico-social</v>
      </c>
      <c r="G35" s="414" t="str">
        <f>'ANALYSE - ERP =&gt; SOUS-SEGMENT'!$D$60</f>
        <v>Résidences autonomie
Foyers-logements
(Public)</v>
      </c>
      <c r="I35" s="427">
        <f t="shared" si="2"/>
        <v>556.18749920192306</v>
      </c>
      <c r="K35" s="787">
        <f t="shared" ref="K35:K66" si="3">IFERROR(S35/N35,"")</f>
        <v>0.82593870926816171</v>
      </c>
      <c r="L35" s="787">
        <f t="shared" ref="L35:L66" si="4">IFERROR(X35/N35,"")</f>
        <v>0.17406129073183826</v>
      </c>
      <c r="N35" s="424">
        <f>'ANALYSE - ERP =&gt; SOUS-SEGMENT'!$FD$60</f>
        <v>2780.9374960096152</v>
      </c>
      <c r="O35" s="427">
        <f>'ANALYSE - ERP =&gt; SOUS-SEGMENT'!$GT$60</f>
        <v>2222.1477949846148</v>
      </c>
      <c r="P35" s="427">
        <f>'ANALYSE - ERP =&gt; SOUS-SEGMENT'!$GW$60</f>
        <v>446.84257072499997</v>
      </c>
      <c r="Q35" s="427">
        <f>'ANALYSE - ERP =&gt; SOUS-SEGMENT'!$GZ$60</f>
        <v>111.94713029999998</v>
      </c>
      <c r="S35" s="424">
        <f>'ANALYSE - ERP =&gt; SOUS-SEGMENT'!$FE$60</f>
        <v>2296.8839260096152</v>
      </c>
      <c r="T35" s="427">
        <f>'ANALYSE - ERP =&gt; SOUS-SEGMENT'!$GU$60</f>
        <v>1844.5860103846151</v>
      </c>
      <c r="U35" s="427">
        <f>'ANALYSE - ERP =&gt; SOUS-SEGMENT'!$GX$60</f>
        <v>359.71292812499996</v>
      </c>
      <c r="V35" s="427">
        <f>'ANALYSE - ERP =&gt; SOUS-SEGMENT'!$HA$60</f>
        <v>92.584987499999983</v>
      </c>
      <c r="X35" s="427">
        <f>'ANALYSE - ERP =&gt; SOUS-SEGMENT'!$FF$60</f>
        <v>484.05356999999998</v>
      </c>
      <c r="Y35" s="427">
        <f>'ANALYSE - ERP =&gt; SOUS-SEGMENT'!$GV$60</f>
        <v>377.56178460000001</v>
      </c>
      <c r="Z35" s="427">
        <f>'ANALYSE - ERP =&gt; SOUS-SEGMENT'!$GY$60</f>
        <v>87.129642599999997</v>
      </c>
      <c r="AA35" s="427">
        <f>'ANALYSE - ERP =&gt; SOUS-SEGMENT'!$HB$60</f>
        <v>19.362142800000001</v>
      </c>
      <c r="AC35" s="430">
        <f>'ANALYSE - ERP =&gt; SOUS-SEGMENT'!$Q$60</f>
        <v>1</v>
      </c>
    </row>
    <row r="36" spans="1:29" ht="15" customHeight="1">
      <c r="A36" s="26">
        <v>33</v>
      </c>
      <c r="B36" s="26">
        <v>36</v>
      </c>
      <c r="C36" s="26">
        <v>29</v>
      </c>
      <c r="D36" s="422">
        <f>'ANALYSE - ERP =&gt; SOUS-SEGMENT'!$A$142</f>
        <v>135</v>
      </c>
      <c r="E36" s="409" t="str">
        <f>'ANALYSE - ERP =&gt; SOUS-SEGMENT'!$B$142</f>
        <v>Sécurité &amp; Justice</v>
      </c>
      <c r="F36" s="409" t="str">
        <f>'ANALYSE - ERP =&gt; SOUS-SEGMENT'!$C$142</f>
        <v>Univers carcéral</v>
      </c>
      <c r="G36" s="409" t="str">
        <f>'ANALYSE - ERP =&gt; SOUS-SEGMENT'!$D$142</f>
        <v>Centres pénitentiaires</v>
      </c>
      <c r="I36" s="427">
        <f t="shared" ref="I36:I67" si="5">N36/5</f>
        <v>458.04416000000003</v>
      </c>
      <c r="K36" s="787">
        <f t="shared" si="3"/>
        <v>0.63269008822206141</v>
      </c>
      <c r="L36" s="787">
        <f t="shared" si="4"/>
        <v>0.36730991177793865</v>
      </c>
      <c r="N36" s="424">
        <f>'ANALYSE - ERP =&gt; SOUS-SEGMENT'!$FD$142</f>
        <v>2290.2208000000001</v>
      </c>
      <c r="O36" s="427">
        <f>'ANALYSE - ERP =&gt; SOUS-SEGMENT'!$GT$142</f>
        <v>441.21974399999999</v>
      </c>
      <c r="P36" s="427">
        <f>'ANALYSE - ERP =&gt; SOUS-SEGMENT'!$GW$142</f>
        <v>1849.0010560000001</v>
      </c>
      <c r="Q36" s="427">
        <f>'ANALYSE - ERP =&gt; SOUS-SEGMENT'!$GZ$142</f>
        <v>0</v>
      </c>
      <c r="S36" s="424">
        <f>'ANALYSE - ERP =&gt; SOUS-SEGMENT'!$FE$142</f>
        <v>1449</v>
      </c>
      <c r="T36" s="427">
        <f>'ANALYSE - ERP =&gt; SOUS-SEGMENT'!$GU$142</f>
        <v>289.8</v>
      </c>
      <c r="U36" s="427">
        <f>'ANALYSE - ERP =&gt; SOUS-SEGMENT'!$GX$142</f>
        <v>1159.2</v>
      </c>
      <c r="V36" s="427">
        <f>'ANALYSE - ERP =&gt; SOUS-SEGMENT'!$HA$142</f>
        <v>0</v>
      </c>
      <c r="X36" s="427">
        <f>'ANALYSE - ERP =&gt; SOUS-SEGMENT'!$FF$142</f>
        <v>841.22080000000005</v>
      </c>
      <c r="Y36" s="427">
        <f>'ANALYSE - ERP =&gt; SOUS-SEGMENT'!$GV$142</f>
        <v>151.41974400000001</v>
      </c>
      <c r="Z36" s="427">
        <f>'ANALYSE - ERP =&gt; SOUS-SEGMENT'!$GY$142</f>
        <v>689.80105600000002</v>
      </c>
      <c r="AA36" s="427">
        <f>'ANALYSE - ERP =&gt; SOUS-SEGMENT'!$HB$142</f>
        <v>0</v>
      </c>
      <c r="AC36" s="430">
        <f>'ANALYSE - ERP =&gt; SOUS-SEGMENT'!$Q$142</f>
        <v>1</v>
      </c>
    </row>
    <row r="37" spans="1:29" s="45" customFormat="1" ht="15" customHeight="1">
      <c r="A37" s="406">
        <v>34</v>
      </c>
      <c r="B37" s="406">
        <v>42</v>
      </c>
      <c r="C37" s="406">
        <v>24</v>
      </c>
      <c r="D37" s="448">
        <f>'ANALYSE - ERP =&gt; SOUS-SEGMENT'!$A$61</f>
        <v>54</v>
      </c>
      <c r="E37" s="449" t="str">
        <f>'ANALYSE - ERP =&gt; SOUS-SEGMENT'!$B$61</f>
        <v>Santé &amp; Médico-social</v>
      </c>
      <c r="F37" s="449" t="str">
        <f>'ANALYSE - ERP =&gt; SOUS-SEGMENT'!$C$61</f>
        <v>Médico-social</v>
      </c>
      <c r="G37" s="449" t="str">
        <f>'ANALYSE - ERP =&gt; SOUS-SEGMENT'!$D$61</f>
        <v>Résidences services seniors
(Privé)</v>
      </c>
      <c r="H37" s="685"/>
      <c r="I37" s="407">
        <f t="shared" si="5"/>
        <v>438.14777932307686</v>
      </c>
      <c r="J37" s="685"/>
      <c r="K37" s="788">
        <f t="shared" si="3"/>
        <v>0.31053002147650238</v>
      </c>
      <c r="L37" s="788">
        <f t="shared" si="4"/>
        <v>0.68946997852349756</v>
      </c>
      <c r="M37" s="685"/>
      <c r="N37" s="425">
        <f>'ANALYSE - ERP =&gt; SOUS-SEGMENT'!$FD$61</f>
        <v>2190.7388966153844</v>
      </c>
      <c r="O37" s="407">
        <f>'ANALYSE - ERP =&gt; SOUS-SEGMENT'!$GT$61</f>
        <v>1706.4987946153844</v>
      </c>
      <c r="P37" s="407">
        <f>'ANALYSE - ERP =&gt; SOUS-SEGMENT'!$GW$61</f>
        <v>386.50122599999997</v>
      </c>
      <c r="Q37" s="407">
        <f>'ANALYSE - ERP =&gt; SOUS-SEGMENT'!$GZ$61</f>
        <v>97.738876000000005</v>
      </c>
      <c r="R37" s="685"/>
      <c r="S37" s="425">
        <f>'ANALYSE - ERP =&gt; SOUS-SEGMENT'!$FE$61</f>
        <v>680.2901966153845</v>
      </c>
      <c r="T37" s="407">
        <f>'ANALYSE - ERP =&gt; SOUS-SEGMENT'!$GU$61</f>
        <v>528.34880861538454</v>
      </c>
      <c r="U37" s="407">
        <f>'ANALYSE - ERP =&gt; SOUS-SEGMENT'!$GX$61</f>
        <v>114.62046000000001</v>
      </c>
      <c r="V37" s="407">
        <f>'ANALYSE - ERP =&gt; SOUS-SEGMENT'!$HA$61</f>
        <v>37.320928000000009</v>
      </c>
      <c r="W37" s="685"/>
      <c r="X37" s="407">
        <f>'ANALYSE - ERP =&gt; SOUS-SEGMENT'!$FF$61</f>
        <v>1510.4486999999999</v>
      </c>
      <c r="Y37" s="407">
        <f>'ANALYSE - ERP =&gt; SOUS-SEGMENT'!$GV$61</f>
        <v>1178.1499859999999</v>
      </c>
      <c r="Z37" s="407">
        <f>'ANALYSE - ERP =&gt; SOUS-SEGMENT'!$GY$61</f>
        <v>271.88076599999999</v>
      </c>
      <c r="AA37" s="407">
        <f>'ANALYSE - ERP =&gt; SOUS-SEGMENT'!$HB$61</f>
        <v>60.417947999999996</v>
      </c>
      <c r="AB37" s="685"/>
      <c r="AC37" s="450">
        <f>'ANALYSE - ERP =&gt; SOUS-SEGMENT'!$Q$61</f>
        <v>1</v>
      </c>
    </row>
    <row r="38" spans="1:29" s="45" customFormat="1" ht="15" customHeight="1">
      <c r="A38" s="406">
        <v>35</v>
      </c>
      <c r="B38" s="406">
        <v>34</v>
      </c>
      <c r="C38" s="406">
        <v>34</v>
      </c>
      <c r="D38" s="448">
        <f>'ANALYSE - ERP =&gt; SOUS-SEGMENT'!$A$135</f>
        <v>128</v>
      </c>
      <c r="E38" s="449" t="str">
        <f>'ANALYSE - ERP =&gt; SOUS-SEGMENT'!$B$135</f>
        <v>Sécurité &amp; Justice</v>
      </c>
      <c r="F38" s="449" t="str">
        <f>'ANALYSE - ERP =&gt; SOUS-SEGMENT'!$C$135</f>
        <v>Forces armées</v>
      </c>
      <c r="G38" s="449" t="str">
        <f>'ANALYSE - ERP =&gt; SOUS-SEGMENT'!$D$135</f>
        <v>Unités d'hébergement des militaires &amp; réservistes</v>
      </c>
      <c r="H38" s="685"/>
      <c r="I38" s="407">
        <f t="shared" si="5"/>
        <v>419.84207721818183</v>
      </c>
      <c r="J38" s="685"/>
      <c r="K38" s="788">
        <f t="shared" si="3"/>
        <v>0.71797212708037672</v>
      </c>
      <c r="L38" s="788">
        <f t="shared" si="4"/>
        <v>0.28202787291962317</v>
      </c>
      <c r="M38" s="685"/>
      <c r="N38" s="425">
        <f>'ANALYSE - ERP =&gt; SOUS-SEGMENT'!$FD$135</f>
        <v>2099.2103860909092</v>
      </c>
      <c r="O38" s="407">
        <f>'ANALYSE - ERP =&gt; SOUS-SEGMENT'!$GT$135</f>
        <v>1108.3634280000001</v>
      </c>
      <c r="P38" s="407">
        <f>'ANALYSE - ERP =&gt; SOUS-SEGMENT'!$GW$135</f>
        <v>845.37214429090909</v>
      </c>
      <c r="Q38" s="407">
        <f>'ANALYSE - ERP =&gt; SOUS-SEGMENT'!$GZ$135</f>
        <v>145.47481379999999</v>
      </c>
      <c r="R38" s="685"/>
      <c r="S38" s="425">
        <f>'ANALYSE - ERP =&gt; SOUS-SEGMENT'!$FE$135</f>
        <v>1507.174546090909</v>
      </c>
      <c r="T38" s="407">
        <f>'ANALYSE - ERP =&gt; SOUS-SEGMENT'!$GU$135</f>
        <v>812.345508</v>
      </c>
      <c r="U38" s="407">
        <f>'ANALYSE - ERP =&gt; SOUS-SEGMENT'!$GX$135</f>
        <v>590.79673309090913</v>
      </c>
      <c r="V38" s="407">
        <f>'ANALYSE - ERP =&gt; SOUS-SEGMENT'!$HA$135</f>
        <v>104.03230499999999</v>
      </c>
      <c r="W38" s="685"/>
      <c r="X38" s="407">
        <f>'ANALYSE - ERP =&gt; SOUS-SEGMENT'!$FF$135</f>
        <v>592.03584000000001</v>
      </c>
      <c r="Y38" s="407">
        <f>'ANALYSE - ERP =&gt; SOUS-SEGMENT'!$GV$135</f>
        <v>296.01792</v>
      </c>
      <c r="Z38" s="407">
        <f>'ANALYSE - ERP =&gt; SOUS-SEGMENT'!$GY$135</f>
        <v>254.57541119999999</v>
      </c>
      <c r="AA38" s="407">
        <f>'ANALYSE - ERP =&gt; SOUS-SEGMENT'!$HB$135</f>
        <v>41.442508800000006</v>
      </c>
      <c r="AB38" s="685"/>
      <c r="AC38" s="450">
        <f>'ANALYSE - ERP =&gt; SOUS-SEGMENT'!$Q$135</f>
        <v>1</v>
      </c>
    </row>
    <row r="39" spans="1:29" ht="15" customHeight="1">
      <c r="A39" s="26">
        <v>36</v>
      </c>
      <c r="B39" s="26">
        <v>35</v>
      </c>
      <c r="C39" s="26">
        <v>38</v>
      </c>
      <c r="D39" s="422">
        <f>'ANALYSE - ERP =&gt; SOUS-SEGMENT'!$A$79</f>
        <v>72</v>
      </c>
      <c r="E39" s="415" t="str">
        <f>'ANALYSE - ERP =&gt; SOUS-SEGMENT'!$B$79</f>
        <v>Commerce, Restauration &amp; Loisirs</v>
      </c>
      <c r="F39" s="415" t="str">
        <f>'ANALYSE - ERP =&gt; SOUS-SEGMENT'!$C$79</f>
        <v>Commerce</v>
      </c>
      <c r="G39" s="415" t="str">
        <f>'ANALYSE - ERP =&gt; SOUS-SEGMENT'!$D$79</f>
        <v>Centres commerciaux / Malls
(dotés de sanitaires collectifs clients)</v>
      </c>
      <c r="I39" s="427">
        <f t="shared" si="5"/>
        <v>351.25661314285719</v>
      </c>
      <c r="K39" s="787">
        <f t="shared" si="3"/>
        <v>0.87090919201695294</v>
      </c>
      <c r="L39" s="787">
        <f t="shared" si="4"/>
        <v>0.12909080798304701</v>
      </c>
      <c r="N39" s="424">
        <f>'ANALYSE - ERP =&gt; SOUS-SEGMENT'!$FD$79</f>
        <v>1756.2830657142858</v>
      </c>
      <c r="O39" s="427">
        <f>'ANALYSE - ERP =&gt; SOUS-SEGMENT'!$GT$79</f>
        <v>488.34425599999997</v>
      </c>
      <c r="P39" s="427">
        <f>'ANALYSE - ERP =&gt; SOUS-SEGMENT'!$GW$79</f>
        <v>769.76220000000001</v>
      </c>
      <c r="Q39" s="427">
        <f>'ANALYSE - ERP =&gt; SOUS-SEGMENT'!$GZ$79</f>
        <v>498.17660971428575</v>
      </c>
      <c r="S39" s="424">
        <f>'ANALYSE - ERP =&gt; SOUS-SEGMENT'!$FE$79</f>
        <v>1529.5630657142858</v>
      </c>
      <c r="T39" s="427">
        <f>'ANALYSE - ERP =&gt; SOUS-SEGMENT'!$GU$79</f>
        <v>424.86265599999996</v>
      </c>
      <c r="U39" s="427">
        <f>'ANALYSE - ERP =&gt; SOUS-SEGMENT'!$GX$79</f>
        <v>665.471</v>
      </c>
      <c r="V39" s="427">
        <f>'ANALYSE - ERP =&gt; SOUS-SEGMENT'!$HA$79</f>
        <v>439.22940971428574</v>
      </c>
      <c r="X39" s="427">
        <f>'ANALYSE - ERP =&gt; SOUS-SEGMENT'!$FF$79</f>
        <v>226.72</v>
      </c>
      <c r="Y39" s="427">
        <f>'ANALYSE - ERP =&gt; SOUS-SEGMENT'!$GV$79</f>
        <v>63.481600000000007</v>
      </c>
      <c r="Z39" s="427">
        <f>'ANALYSE - ERP =&gt; SOUS-SEGMENT'!$GY$79</f>
        <v>104.2912</v>
      </c>
      <c r="AA39" s="427">
        <f>'ANALYSE - ERP =&gt; SOUS-SEGMENT'!$HB$79</f>
        <v>58.947200000000002</v>
      </c>
      <c r="AC39" s="430">
        <f>'ANALYSE - ERP =&gt; SOUS-SEGMENT'!$Q$79</f>
        <v>1</v>
      </c>
    </row>
    <row r="40" spans="1:29" ht="15" customHeight="1">
      <c r="A40" s="26">
        <v>37</v>
      </c>
      <c r="B40" s="26">
        <v>33</v>
      </c>
      <c r="C40" s="26">
        <v>41</v>
      </c>
      <c r="D40" s="422">
        <f>'ANALYSE - ERP =&gt; SOUS-SEGMENT'!$A$30</f>
        <v>23</v>
      </c>
      <c r="E40" s="414" t="str">
        <f>'ANALYSE - ERP =&gt; SOUS-SEGMENT'!$B$30</f>
        <v>Sports &amp; Loisirs</v>
      </c>
      <c r="F40" s="414" t="str">
        <f>'ANALYSE - ERP =&gt; SOUS-SEGMENT'!$C$30</f>
        <v>Sport de plein air</v>
      </c>
      <c r="G40" s="414" t="str">
        <f>'ANALYSE - ERP =&gt; SOUS-SEGMENT'!$D$30</f>
        <v>Hippodromes, Centres équestres &amp; Manèges couverts</v>
      </c>
      <c r="I40" s="427">
        <f t="shared" si="5"/>
        <v>2753.6302366071432</v>
      </c>
      <c r="K40" s="787">
        <f t="shared" si="3"/>
        <v>0.88876284261847305</v>
      </c>
      <c r="L40" s="787">
        <f t="shared" si="4"/>
        <v>0.11123715738152692</v>
      </c>
      <c r="N40" s="424">
        <f>'ANALYSE - ERP =&gt; SOUS-SEGMENT'!$FD$30</f>
        <v>13768.151183035716</v>
      </c>
      <c r="O40" s="427">
        <f>'ANALYSE - ERP =&gt; SOUS-SEGMENT'!$GT$30</f>
        <v>2007.53656875</v>
      </c>
      <c r="P40" s="427">
        <f>'ANALYSE - ERP =&gt; SOUS-SEGMENT'!$GW$30</f>
        <v>10982.537100000001</v>
      </c>
      <c r="Q40" s="427">
        <f>'ANALYSE - ERP =&gt; SOUS-SEGMENT'!$GZ$30</f>
        <v>778.07751428571419</v>
      </c>
      <c r="S40" s="424">
        <f>'ANALYSE - ERP =&gt; SOUS-SEGMENT'!$FE$30</f>
        <v>12236.621183035715</v>
      </c>
      <c r="T40" s="427">
        <f>'ANALYSE - ERP =&gt; SOUS-SEGMENT'!$GU$30</f>
        <v>1823.75296875</v>
      </c>
      <c r="U40" s="427">
        <f>'ANALYSE - ERP =&gt; SOUS-SEGMENT'!$GX$30</f>
        <v>9726.6825000000008</v>
      </c>
      <c r="V40" s="427">
        <f>'ANALYSE - ERP =&gt; SOUS-SEGMENT'!$HA$30</f>
        <v>686.1857142857142</v>
      </c>
      <c r="X40" s="427">
        <f>'ANALYSE - ERP =&gt; SOUS-SEGMENT'!$FF$30</f>
        <v>1531.53</v>
      </c>
      <c r="Y40" s="427">
        <f>'ANALYSE - ERP =&gt; SOUS-SEGMENT'!$GV$30</f>
        <v>183.78359999999998</v>
      </c>
      <c r="Z40" s="427">
        <f>'ANALYSE - ERP =&gt; SOUS-SEGMENT'!$GY$30</f>
        <v>1255.8545999999999</v>
      </c>
      <c r="AA40" s="427">
        <f>'ANALYSE - ERP =&gt; SOUS-SEGMENT'!$HB$30</f>
        <v>91.891799999999989</v>
      </c>
      <c r="AC40" s="430">
        <f>'ANALYSE - ERP =&gt; SOUS-SEGMENT'!$Q$30</f>
        <v>1</v>
      </c>
    </row>
    <row r="41" spans="1:29" ht="15" customHeight="1">
      <c r="A41" s="26">
        <v>38</v>
      </c>
      <c r="B41" s="26">
        <v>37</v>
      </c>
      <c r="C41" s="26">
        <v>39</v>
      </c>
      <c r="D41" s="422">
        <f>'ANALYSE - ERP =&gt; SOUS-SEGMENT'!$A$89</f>
        <v>82</v>
      </c>
      <c r="E41" s="417" t="str">
        <f>'ANALYSE - ERP =&gt; SOUS-SEGMENT'!$B$89</f>
        <v>Hébergement Touristique</v>
      </c>
      <c r="F41" s="417" t="str">
        <f>'ANALYSE - ERP =&gt; SOUS-SEGMENT'!$C$89</f>
        <v>Hébergement Touristique</v>
      </c>
      <c r="G41" s="417" t="str">
        <f>'ANALYSE - ERP =&gt; SOUS-SEGMENT'!$D$89</f>
        <v>Résidences de tourisme</v>
      </c>
      <c r="I41" s="427">
        <f t="shared" si="5"/>
        <v>433.58791590909095</v>
      </c>
      <c r="K41" s="787">
        <f t="shared" si="3"/>
        <v>0.71696628181461974</v>
      </c>
      <c r="L41" s="787">
        <f t="shared" si="4"/>
        <v>0.28303371818538026</v>
      </c>
      <c r="N41" s="424">
        <f>'ANALYSE - ERP =&gt; SOUS-SEGMENT'!$FD$89</f>
        <v>2167.9395795454548</v>
      </c>
      <c r="O41" s="427">
        <f>'ANALYSE - ERP =&gt; SOUS-SEGMENT'!$GT$89</f>
        <v>1213.0654545454547</v>
      </c>
      <c r="P41" s="427">
        <f>'ANALYSE - ERP =&gt; SOUS-SEGMENT'!$GW$89</f>
        <v>805.80650000000014</v>
      </c>
      <c r="Q41" s="427">
        <f>'ANALYSE - ERP =&gt; SOUS-SEGMENT'!$GZ$89</f>
        <v>149.06762499999999</v>
      </c>
      <c r="S41" s="424">
        <f>'ANALYSE - ERP =&gt; SOUS-SEGMENT'!$FE$89</f>
        <v>1554.3395795454549</v>
      </c>
      <c r="T41" s="427">
        <f>'ANALYSE - ERP =&gt; SOUS-SEGMENT'!$GU$89</f>
        <v>875.5854545454547</v>
      </c>
      <c r="U41" s="427">
        <f>'ANALYSE - ERP =&gt; SOUS-SEGMENT'!$GX$89</f>
        <v>572.63850000000014</v>
      </c>
      <c r="V41" s="427">
        <f>'ANALYSE - ERP =&gt; SOUS-SEGMENT'!$HA$89</f>
        <v>106.11562499999999</v>
      </c>
      <c r="X41" s="427">
        <f>'ANALYSE - ERP =&gt; SOUS-SEGMENT'!$FF$89</f>
        <v>613.6</v>
      </c>
      <c r="Y41" s="427">
        <f>'ANALYSE - ERP =&gt; SOUS-SEGMENT'!$GV$89</f>
        <v>337.48</v>
      </c>
      <c r="Z41" s="427">
        <f>'ANALYSE - ERP =&gt; SOUS-SEGMENT'!$GY$89</f>
        <v>233.16800000000001</v>
      </c>
      <c r="AA41" s="427">
        <f>'ANALYSE - ERP =&gt; SOUS-SEGMENT'!$HB$89</f>
        <v>42.952000000000005</v>
      </c>
      <c r="AC41" s="430">
        <f>'ANALYSE - ERP =&gt; SOUS-SEGMENT'!$Q$89</f>
        <v>1</v>
      </c>
    </row>
    <row r="42" spans="1:29" ht="15" customHeight="1">
      <c r="A42" s="26">
        <v>39</v>
      </c>
      <c r="B42" s="26">
        <v>38</v>
      </c>
      <c r="C42" s="26">
        <v>36</v>
      </c>
      <c r="D42" s="422">
        <f>'ANALYSE - ERP =&gt; SOUS-SEGMENT'!$A$66</f>
        <v>59</v>
      </c>
      <c r="E42" s="410" t="str">
        <f>'ANALYSE - ERP =&gt; SOUS-SEGMENT'!$B$66</f>
        <v>Culture, Patrimoine &amp; Evénementiel</v>
      </c>
      <c r="F42" s="410" t="str">
        <f>'ANALYSE - ERP =&gt; SOUS-SEGMENT'!$C$66</f>
        <v>Culture / spectacle</v>
      </c>
      <c r="G42" s="410" t="str">
        <f>'ANALYSE - ERP =&gt; SOUS-SEGMENT'!$D$66</f>
        <v>Salles de conférence / Réunion</v>
      </c>
      <c r="I42" s="427">
        <f t="shared" si="5"/>
        <v>29.466958441196585</v>
      </c>
      <c r="K42" s="787">
        <f t="shared" si="3"/>
        <v>0.72187492589862279</v>
      </c>
      <c r="L42" s="787">
        <f t="shared" si="4"/>
        <v>0.2781250741013771</v>
      </c>
      <c r="N42" s="424">
        <f>'ANALYSE - ERP =&gt; SOUS-SEGMENT'!$FD$66</f>
        <v>147.33479220598292</v>
      </c>
      <c r="O42" s="427">
        <f>'ANALYSE - ERP =&gt; SOUS-SEGMENT'!$GT$66</f>
        <v>59.406226261538464</v>
      </c>
      <c r="P42" s="427">
        <f>'ANALYSE - ERP =&gt; SOUS-SEGMENT'!$GW$66</f>
        <v>67.348632100000003</v>
      </c>
      <c r="Q42" s="427">
        <f>'ANALYSE - ERP =&gt; SOUS-SEGMENT'!$GZ$66</f>
        <v>20.579933844444447</v>
      </c>
      <c r="S42" s="424">
        <f>'ANALYSE - ERP =&gt; SOUS-SEGMENT'!$FE$66</f>
        <v>106.35729220598292</v>
      </c>
      <c r="T42" s="427">
        <f>'ANALYSE - ERP =&gt; SOUS-SEGMENT'!$GU$66</f>
        <v>43.015226261538466</v>
      </c>
      <c r="U42" s="427">
        <f>'ANALYSE - ERP =&gt; SOUS-SEGMENT'!$GX$66</f>
        <v>48.089207100000003</v>
      </c>
      <c r="V42" s="427">
        <f>'ANALYSE - ERP =&gt; SOUS-SEGMENT'!$HA$66</f>
        <v>15.252858844444447</v>
      </c>
      <c r="X42" s="427">
        <f>'ANALYSE - ERP =&gt; SOUS-SEGMENT'!$FF$66</f>
        <v>40.977499999999999</v>
      </c>
      <c r="Y42" s="427">
        <f>'ANALYSE - ERP =&gt; SOUS-SEGMENT'!$GV$66</f>
        <v>16.391000000000002</v>
      </c>
      <c r="Z42" s="427">
        <f>'ANALYSE - ERP =&gt; SOUS-SEGMENT'!$GY$66</f>
        <v>19.259425</v>
      </c>
      <c r="AA42" s="427">
        <f>'ANALYSE - ERP =&gt; SOUS-SEGMENT'!$HB$66</f>
        <v>5.3270749999999998</v>
      </c>
      <c r="AC42" s="430">
        <f>'ANALYSE - ERP =&gt; SOUS-SEGMENT'!$Q$66</f>
        <v>1</v>
      </c>
    </row>
    <row r="43" spans="1:29" ht="15" customHeight="1">
      <c r="A43" s="26">
        <v>40</v>
      </c>
      <c r="B43" s="26">
        <v>39</v>
      </c>
      <c r="C43" s="26">
        <v>43</v>
      </c>
      <c r="D43" s="422">
        <f>'ANALYSE - ERP =&gt; SOUS-SEGMENT'!$A$139</f>
        <v>132</v>
      </c>
      <c r="E43" s="409" t="str">
        <f>'ANALYSE - ERP =&gt; SOUS-SEGMENT'!$B$139</f>
        <v>Sécurité &amp; Justice</v>
      </c>
      <c r="F43" s="409" t="str">
        <f>'ANALYSE - ERP =&gt; SOUS-SEGMENT'!$C$139</f>
        <v>Univers carcéral</v>
      </c>
      <c r="G43" s="409" t="str">
        <f>'ANALYSE - ERP =&gt; SOUS-SEGMENT'!$D$139</f>
        <v>Maisons d’arrêt</v>
      </c>
      <c r="I43" s="427">
        <f t="shared" si="5"/>
        <v>234.9607</v>
      </c>
      <c r="K43" s="787">
        <f t="shared" si="3"/>
        <v>0.81396591004367957</v>
      </c>
      <c r="L43" s="787">
        <f t="shared" si="4"/>
        <v>0.18603408995632034</v>
      </c>
      <c r="N43" s="424">
        <f>'ANALYSE - ERP =&gt; SOUS-SEGMENT'!$FD$139</f>
        <v>1174.8035</v>
      </c>
      <c r="O43" s="427">
        <f>'ANALYSE - ERP =&gt; SOUS-SEGMENT'!$GT$139</f>
        <v>230.58962999999997</v>
      </c>
      <c r="P43" s="427">
        <f>'ANALYSE - ERP =&gt; SOUS-SEGMENT'!$GW$139</f>
        <v>944.21386999999982</v>
      </c>
      <c r="Q43" s="427">
        <f>'ANALYSE - ERP =&gt; SOUS-SEGMENT'!$GZ$139</f>
        <v>0</v>
      </c>
      <c r="S43" s="424">
        <f>'ANALYSE - ERP =&gt; SOUS-SEGMENT'!$FE$139</f>
        <v>956.24999999999989</v>
      </c>
      <c r="T43" s="427">
        <f>'ANALYSE - ERP =&gt; SOUS-SEGMENT'!$GU$139</f>
        <v>191.24999999999997</v>
      </c>
      <c r="U43" s="427">
        <f>'ANALYSE - ERP =&gt; SOUS-SEGMENT'!$GX$139</f>
        <v>764.99999999999989</v>
      </c>
      <c r="V43" s="427">
        <f>'ANALYSE - ERP =&gt; SOUS-SEGMENT'!$HA$139</f>
        <v>0</v>
      </c>
      <c r="X43" s="427">
        <f>'ANALYSE - ERP =&gt; SOUS-SEGMENT'!$FF$139</f>
        <v>218.55349999999999</v>
      </c>
      <c r="Y43" s="427">
        <f>'ANALYSE - ERP =&gt; SOUS-SEGMENT'!$GV$139</f>
        <v>39.339629999999993</v>
      </c>
      <c r="Z43" s="427">
        <f>'ANALYSE - ERP =&gt; SOUS-SEGMENT'!$GY$139</f>
        <v>179.21386999999999</v>
      </c>
      <c r="AA43" s="427">
        <f>'ANALYSE - ERP =&gt; SOUS-SEGMENT'!$HB$139</f>
        <v>0</v>
      </c>
      <c r="AC43" s="430">
        <f>'ANALYSE - ERP =&gt; SOUS-SEGMENT'!$Q$139</f>
        <v>1</v>
      </c>
    </row>
    <row r="44" spans="1:29" ht="15" customHeight="1">
      <c r="A44" s="26">
        <v>41</v>
      </c>
      <c r="B44" s="26">
        <v>41</v>
      </c>
      <c r="C44" s="26">
        <v>40</v>
      </c>
      <c r="D44" s="422">
        <f>'ANALYSE - ERP =&gt; SOUS-SEGMENT'!$A$65</f>
        <v>58</v>
      </c>
      <c r="E44" s="408" t="str">
        <f>'ANALYSE - ERP =&gt; SOUS-SEGMENT'!$B$65</f>
        <v>Culture, Patrimoine &amp; Evénementiel</v>
      </c>
      <c r="F44" s="408" t="str">
        <f>'ANALYSE - ERP =&gt; SOUS-SEGMENT'!$C$65</f>
        <v>Culture / spectacle</v>
      </c>
      <c r="G44" s="408" t="str">
        <f>'ANALYSE - ERP =&gt; SOUS-SEGMENT'!$D$65</f>
        <v>Salles de spectacle / Auditoriums</v>
      </c>
      <c r="I44" s="427">
        <f t="shared" si="5"/>
        <v>200.24062412820513</v>
      </c>
      <c r="K44" s="787">
        <f t="shared" si="3"/>
        <v>0.72435914919711075</v>
      </c>
      <c r="L44" s="787">
        <f t="shared" si="4"/>
        <v>0.27564085080288919</v>
      </c>
      <c r="N44" s="424">
        <f>'ANALYSE - ERP =&gt; SOUS-SEGMENT'!$FD$65</f>
        <v>1001.2031206410256</v>
      </c>
      <c r="O44" s="427">
        <f>'ANALYSE - ERP =&gt; SOUS-SEGMENT'!$GT$65</f>
        <v>405.49979230769236</v>
      </c>
      <c r="P44" s="427">
        <f>'ANALYSE - ERP =&gt; SOUS-SEGMENT'!$GW$65</f>
        <v>459.60910060000003</v>
      </c>
      <c r="Q44" s="427">
        <f>'ANALYSE - ERP =&gt; SOUS-SEGMENT'!$GZ$65</f>
        <v>136.09422773333333</v>
      </c>
      <c r="S44" s="424">
        <f>'ANALYSE - ERP =&gt; SOUS-SEGMENT'!$FE$65</f>
        <v>725.23064064102562</v>
      </c>
      <c r="T44" s="427">
        <f>'ANALYSE - ERP =&gt; SOUS-SEGMENT'!$GU$65</f>
        <v>295.11080030769233</v>
      </c>
      <c r="U44" s="427">
        <f>'ANALYSE - ERP =&gt; SOUS-SEGMENT'!$GX$65</f>
        <v>329.90203500000001</v>
      </c>
      <c r="V44" s="427">
        <f>'ANALYSE - ERP =&gt; SOUS-SEGMENT'!$HA$65</f>
        <v>100.21780533333333</v>
      </c>
      <c r="X44" s="427">
        <f>'ANALYSE - ERP =&gt; SOUS-SEGMENT'!$FF$65</f>
        <v>275.97248000000002</v>
      </c>
      <c r="Y44" s="427">
        <f>'ANALYSE - ERP =&gt; SOUS-SEGMENT'!$GV$65</f>
        <v>110.38899200000002</v>
      </c>
      <c r="Z44" s="427">
        <f>'ANALYSE - ERP =&gt; SOUS-SEGMENT'!$GY$65</f>
        <v>129.70706559999999</v>
      </c>
      <c r="AA44" s="427">
        <f>'ANALYSE - ERP =&gt; SOUS-SEGMENT'!$HB$65</f>
        <v>35.876422400000003</v>
      </c>
      <c r="AC44" s="430">
        <f>'ANALYSE - ERP =&gt; SOUS-SEGMENT'!$Q$65</f>
        <v>1</v>
      </c>
    </row>
    <row r="45" spans="1:29" ht="15" customHeight="1">
      <c r="A45" s="26">
        <v>42</v>
      </c>
      <c r="B45" s="26">
        <v>40</v>
      </c>
      <c r="C45" s="26">
        <v>42</v>
      </c>
      <c r="D45" s="422">
        <f>'ANALYSE - ERP =&gt; SOUS-SEGMENT'!$A$73</f>
        <v>66</v>
      </c>
      <c r="E45" s="414" t="str">
        <f>'ANALYSE - ERP =&gt; SOUS-SEGMENT'!$B$73</f>
        <v>Culture, Patrimoine &amp; Evénementiel</v>
      </c>
      <c r="F45" s="414" t="str">
        <f>'ANALYSE - ERP =&gt; SOUS-SEGMENT'!$C$73</f>
        <v>Événementiel temporaire</v>
      </c>
      <c r="G45" s="414" t="str">
        <f>'ANALYSE - ERP =&gt; SOUS-SEGMENT'!$D$73</f>
        <v>Structures gonflables</v>
      </c>
      <c r="I45" s="427">
        <f t="shared" si="5"/>
        <v>10.7159113</v>
      </c>
      <c r="K45" s="787">
        <f t="shared" si="3"/>
        <v>0.77216683381841733</v>
      </c>
      <c r="L45" s="787">
        <f t="shared" si="4"/>
        <v>0.2278331661815827</v>
      </c>
      <c r="N45" s="424">
        <f>'ANALYSE - ERP =&gt; SOUS-SEGMENT'!$FD$73</f>
        <v>53.579556500000002</v>
      </c>
      <c r="O45" s="427">
        <f>'ANALYSE - ERP =&gt; SOUS-SEGMENT'!$GT$73</f>
        <v>36.527608000000001</v>
      </c>
      <c r="P45" s="427">
        <f>'ANALYSE - ERP =&gt; SOUS-SEGMENT'!$GW$73</f>
        <v>13.629776</v>
      </c>
      <c r="Q45" s="427">
        <f>'ANALYSE - ERP =&gt; SOUS-SEGMENT'!$GZ$73</f>
        <v>3.4221725000000003</v>
      </c>
      <c r="S45" s="424">
        <f>'ANALYSE - ERP =&gt; SOUS-SEGMENT'!$FE$73</f>
        <v>41.372356500000002</v>
      </c>
      <c r="T45" s="427">
        <f>'ANALYSE - ERP =&gt; SOUS-SEGMENT'!$GU$73</f>
        <v>28.592927999999997</v>
      </c>
      <c r="U45" s="427">
        <f>'ANALYSE - ERP =&gt; SOUS-SEGMENT'!$GX$73</f>
        <v>10.21176</v>
      </c>
      <c r="V45" s="427">
        <f>'ANALYSE - ERP =&gt; SOUS-SEGMENT'!$HA$73</f>
        <v>2.5676685000000004</v>
      </c>
      <c r="X45" s="427">
        <f>'ANALYSE - ERP =&gt; SOUS-SEGMENT'!$FF$73</f>
        <v>12.2072</v>
      </c>
      <c r="Y45" s="427">
        <f>'ANALYSE - ERP =&gt; SOUS-SEGMENT'!$GV$73</f>
        <v>7.9346800000000002</v>
      </c>
      <c r="Z45" s="427">
        <f>'ANALYSE - ERP =&gt; SOUS-SEGMENT'!$GY$73</f>
        <v>3.4180160000000006</v>
      </c>
      <c r="AA45" s="427">
        <f>'ANALYSE - ERP =&gt; SOUS-SEGMENT'!$HB$73</f>
        <v>0.85450400000000015</v>
      </c>
      <c r="AC45" s="430">
        <f>'ANALYSE - ERP =&gt; SOUS-SEGMENT'!$Q$73</f>
        <v>1</v>
      </c>
    </row>
    <row r="46" spans="1:29" ht="15" customHeight="1">
      <c r="A46" s="26">
        <v>43</v>
      </c>
      <c r="B46" s="26">
        <v>45</v>
      </c>
      <c r="C46" s="26">
        <v>37</v>
      </c>
      <c r="D46" s="422">
        <f>'ANALYSE - ERP =&gt; SOUS-SEGMENT'!$A$8</f>
        <v>1</v>
      </c>
      <c r="E46" s="415" t="str">
        <f>'ANALYSE - ERP =&gt; SOUS-SEGMENT'!$B$8</f>
        <v>Enfance, Enseignement, Jeunesse &amp; Formation</v>
      </c>
      <c r="F46" s="415" t="str">
        <f>'ANALYSE - ERP =&gt; SOUS-SEGMENT'!$C$8</f>
        <v>Petite enfance</v>
      </c>
      <c r="G46" s="415" t="str">
        <f>'ANALYSE - ERP =&gt; SOUS-SEGMENT'!$D$8</f>
        <v>Crèches</v>
      </c>
      <c r="I46" s="427">
        <f t="shared" si="5"/>
        <v>220.00758396680013</v>
      </c>
      <c r="K46" s="787">
        <f t="shared" si="3"/>
        <v>0.80146255250641019</v>
      </c>
      <c r="L46" s="787">
        <f t="shared" si="4"/>
        <v>0.19853744749358987</v>
      </c>
      <c r="N46" s="424">
        <f>'ANALYSE - ERP =&gt; SOUS-SEGMENT'!$FD$8</f>
        <v>1100.0379198340006</v>
      </c>
      <c r="O46" s="427">
        <f>'ANALYSE - ERP =&gt; SOUS-SEGMENT'!$GT$8</f>
        <v>985.66615343560056</v>
      </c>
      <c r="P46" s="427">
        <f>'ANALYSE - ERP =&gt; SOUS-SEGMENT'!$GW$8</f>
        <v>90.187020794220061</v>
      </c>
      <c r="Q46" s="427">
        <f>'ANALYSE - ERP =&gt; SOUS-SEGMENT'!$GZ$8</f>
        <v>24.184745604180019</v>
      </c>
      <c r="S46" s="424">
        <f>'ANALYSE - ERP =&gt; SOUS-SEGMENT'!$FE$8</f>
        <v>881.63919908399998</v>
      </c>
      <c r="T46" s="427">
        <f>'ANALYSE - ERP =&gt; SOUS-SEGMENT'!$GU$8</f>
        <v>793.47527917560001</v>
      </c>
      <c r="U46" s="427">
        <f>'ANALYSE - ERP =&gt; SOUS-SEGMENT'!$GX$8</f>
        <v>70.531135926719998</v>
      </c>
      <c r="V46" s="427">
        <f>'ANALYSE - ERP =&gt; SOUS-SEGMENT'!$HA$8</f>
        <v>17.632783981679999</v>
      </c>
      <c r="X46" s="427">
        <f>'ANALYSE - ERP =&gt; SOUS-SEGMENT'!$FF$8</f>
        <v>218.39872075000071</v>
      </c>
      <c r="Y46" s="427">
        <f>'ANALYSE - ERP =&gt; SOUS-SEGMENT'!$GV$8</f>
        <v>192.19087426000061</v>
      </c>
      <c r="Z46" s="427">
        <f>'ANALYSE - ERP =&gt; SOUS-SEGMENT'!$GY$8</f>
        <v>19.655884867500063</v>
      </c>
      <c r="AA46" s="427">
        <f>'ANALYSE - ERP =&gt; SOUS-SEGMENT'!$HB$8</f>
        <v>6.5519616225000208</v>
      </c>
      <c r="AC46" s="430">
        <f>'ANALYSE - ERP =&gt; SOUS-SEGMENT'!$Q$8</f>
        <v>1</v>
      </c>
    </row>
    <row r="47" spans="1:29" ht="15" customHeight="1">
      <c r="A47" s="26">
        <v>44</v>
      </c>
      <c r="B47" s="26">
        <v>43</v>
      </c>
      <c r="C47" s="26">
        <v>44</v>
      </c>
      <c r="D47" s="422">
        <f>'ANALYSE - ERP =&gt; SOUS-SEGMENT'!$A$91</f>
        <v>84</v>
      </c>
      <c r="E47" s="411" t="str">
        <f>'ANALYSE - ERP =&gt; SOUS-SEGMENT'!$B$91</f>
        <v>Hébergement Touristique</v>
      </c>
      <c r="F47" s="411" t="str">
        <f>'ANALYSE - ERP =&gt; SOUS-SEGMENT'!$C$91</f>
        <v>Hébergement Touristique</v>
      </c>
      <c r="G47" s="411" t="str">
        <f>'ANALYSE - ERP =&gt; SOUS-SEGMENT'!$D$91</f>
        <v>Pensions de famille</v>
      </c>
      <c r="I47" s="427">
        <f t="shared" si="5"/>
        <v>160.38432913636362</v>
      </c>
      <c r="K47" s="787">
        <f t="shared" si="3"/>
        <v>0.78046989883865725</v>
      </c>
      <c r="L47" s="787">
        <f t="shared" si="4"/>
        <v>0.21953010116134278</v>
      </c>
      <c r="N47" s="424">
        <f>'ANALYSE - ERP =&gt; SOUS-SEGMENT'!$FD$91</f>
        <v>801.92164568181806</v>
      </c>
      <c r="O47" s="427">
        <f>'ANALYSE - ERP =&gt; SOUS-SEGMENT'!$GT$91</f>
        <v>544.83430221818173</v>
      </c>
      <c r="P47" s="427">
        <f>'ANALYSE - ERP =&gt; SOUS-SEGMENT'!$GW$91</f>
        <v>202.37999956363637</v>
      </c>
      <c r="Q47" s="427">
        <f>'ANALYSE - ERP =&gt; SOUS-SEGMENT'!$GZ$91</f>
        <v>54.707343899999991</v>
      </c>
      <c r="S47" s="424">
        <f>'ANALYSE - ERP =&gt; SOUS-SEGMENT'!$FE$91</f>
        <v>625.87570568181809</v>
      </c>
      <c r="T47" s="427">
        <f>'ANALYSE - ERP =&gt; SOUS-SEGMENT'!$GU$91</f>
        <v>428.64398181818171</v>
      </c>
      <c r="U47" s="427">
        <f>'ANALYSE - ERP =&gt; SOUS-SEGMENT'!$GX$91</f>
        <v>153.08713636363638</v>
      </c>
      <c r="V47" s="427">
        <f>'ANALYSE - ERP =&gt; SOUS-SEGMENT'!$HA$91</f>
        <v>44.144587499999993</v>
      </c>
      <c r="X47" s="427">
        <f>'ANALYSE - ERP =&gt; SOUS-SEGMENT'!$FF$91</f>
        <v>176.04594</v>
      </c>
      <c r="Y47" s="427">
        <f>'ANALYSE - ERP =&gt; SOUS-SEGMENT'!$GV$91</f>
        <v>116.1903204</v>
      </c>
      <c r="Z47" s="427">
        <f>'ANALYSE - ERP =&gt; SOUS-SEGMENT'!$GY$91</f>
        <v>49.292863200000006</v>
      </c>
      <c r="AA47" s="427">
        <f>'ANALYSE - ERP =&gt; SOUS-SEGMENT'!$HB$91</f>
        <v>10.5627564</v>
      </c>
      <c r="AC47" s="430">
        <f>'ANALYSE - ERP =&gt; SOUS-SEGMENT'!$Q$91</f>
        <v>1</v>
      </c>
    </row>
    <row r="48" spans="1:29" ht="15" customHeight="1">
      <c r="A48" s="26">
        <v>45</v>
      </c>
      <c r="B48" s="26">
        <v>44</v>
      </c>
      <c r="C48" s="26">
        <v>53</v>
      </c>
      <c r="D48" s="422">
        <f>'ANALYSE - ERP =&gt; SOUS-SEGMENT'!$A$93</f>
        <v>86</v>
      </c>
      <c r="E48" s="414" t="str">
        <f>'ANALYSE - ERP =&gt; SOUS-SEGMENT'!$B$93</f>
        <v>Hébergement Touristique</v>
      </c>
      <c r="F48" s="414" t="str">
        <f>'ANALYSE - ERP =&gt; SOUS-SEGMENT'!$C$93</f>
        <v>Hébergement Montagne</v>
      </c>
      <c r="G48" s="414" t="str">
        <f>'ANALYSE - ERP =&gt; SOUS-SEGMENT'!$D$93</f>
        <v>Refuges de montagne</v>
      </c>
      <c r="I48" s="427">
        <f t="shared" si="5"/>
        <v>109.95631474000001</v>
      </c>
      <c r="K48" s="787">
        <f t="shared" si="3"/>
        <v>0.8352654866359337</v>
      </c>
      <c r="L48" s="787">
        <f t="shared" si="4"/>
        <v>0.16473451336406617</v>
      </c>
      <c r="N48" s="424">
        <f>'ANALYSE - ERP =&gt; SOUS-SEGMENT'!$FD$93</f>
        <v>549.78157370000008</v>
      </c>
      <c r="O48" s="427">
        <f>'ANALYSE - ERP =&gt; SOUS-SEGMENT'!$GT$93</f>
        <v>461.490026</v>
      </c>
      <c r="P48" s="427">
        <f>'ANALYSE - ERP =&gt; SOUS-SEGMENT'!$GW$93</f>
        <v>67.3464752</v>
      </c>
      <c r="Q48" s="427">
        <f>'ANALYSE - ERP =&gt; SOUS-SEGMENT'!$GZ$93</f>
        <v>20.945072500000002</v>
      </c>
      <c r="S48" s="424">
        <f>'ANALYSE - ERP =&gt; SOUS-SEGMENT'!$FE$93</f>
        <v>459.21357370000004</v>
      </c>
      <c r="T48" s="427">
        <f>'ANALYSE - ERP =&gt; SOUS-SEGMENT'!$GU$93</f>
        <v>387.224266</v>
      </c>
      <c r="U48" s="427">
        <f>'ANALYSE - ERP =&gt; SOUS-SEGMENT'!$GX$93</f>
        <v>54.666955199999997</v>
      </c>
      <c r="V48" s="427">
        <f>'ANALYSE - ERP =&gt; SOUS-SEGMENT'!$HA$93</f>
        <v>17.322352500000001</v>
      </c>
      <c r="X48" s="427">
        <f>'ANALYSE - ERP =&gt; SOUS-SEGMENT'!$FF$93</f>
        <v>90.567999999999998</v>
      </c>
      <c r="Y48" s="427">
        <f>'ANALYSE - ERP =&gt; SOUS-SEGMENT'!$GV$93</f>
        <v>74.26576</v>
      </c>
      <c r="Z48" s="427">
        <f>'ANALYSE - ERP =&gt; SOUS-SEGMENT'!$GY$93</f>
        <v>12.67952</v>
      </c>
      <c r="AA48" s="427">
        <f>'ANALYSE - ERP =&gt; SOUS-SEGMENT'!$HB$93</f>
        <v>3.6227200000000002</v>
      </c>
      <c r="AC48" s="430">
        <f>'ANALYSE - ERP =&gt; SOUS-SEGMENT'!$Q$93</f>
        <v>1</v>
      </c>
    </row>
    <row r="49" spans="1:29" ht="15" customHeight="1">
      <c r="A49" s="26">
        <v>46</v>
      </c>
      <c r="B49" s="26">
        <v>46</v>
      </c>
      <c r="C49" s="26">
        <v>48</v>
      </c>
      <c r="D49" s="422">
        <f>'ANALYSE - ERP =&gt; SOUS-SEGMENT'!$A$140</f>
        <v>133</v>
      </c>
      <c r="E49" s="414" t="str">
        <f>'ANALYSE - ERP =&gt; SOUS-SEGMENT'!$B$140</f>
        <v>Sécurité &amp; Justice</v>
      </c>
      <c r="F49" s="414" t="str">
        <f>'ANALYSE - ERP =&gt; SOUS-SEGMENT'!$C$140</f>
        <v>Univers carcéral</v>
      </c>
      <c r="G49" s="414" t="str">
        <f>'ANALYSE - ERP =&gt; SOUS-SEGMENT'!$D$140</f>
        <v>Centres de détention</v>
      </c>
      <c r="I49" s="427">
        <f t="shared" si="5"/>
        <v>110.33199999999999</v>
      </c>
      <c r="K49" s="787">
        <f t="shared" si="3"/>
        <v>0.81571982742993876</v>
      </c>
      <c r="L49" s="787">
        <f t="shared" si="4"/>
        <v>0.18428017257006127</v>
      </c>
      <c r="N49" s="424">
        <f>'ANALYSE - ERP =&gt; SOUS-SEGMENT'!$FD$140</f>
        <v>551.66</v>
      </c>
      <c r="O49" s="427">
        <f>'ANALYSE - ERP =&gt; SOUS-SEGMENT'!$GT$140</f>
        <v>108.2988</v>
      </c>
      <c r="P49" s="427">
        <f>'ANALYSE - ERP =&gt; SOUS-SEGMENT'!$GW$140</f>
        <v>443.3612</v>
      </c>
      <c r="Q49" s="427">
        <f>'ANALYSE - ERP =&gt; SOUS-SEGMENT'!$GZ$140</f>
        <v>0</v>
      </c>
      <c r="S49" s="424">
        <f>'ANALYSE - ERP =&gt; SOUS-SEGMENT'!$FE$140</f>
        <v>450</v>
      </c>
      <c r="T49" s="427">
        <f>'ANALYSE - ERP =&gt; SOUS-SEGMENT'!$GU$140</f>
        <v>90</v>
      </c>
      <c r="U49" s="427">
        <f>'ANALYSE - ERP =&gt; SOUS-SEGMENT'!$GX$140</f>
        <v>360</v>
      </c>
      <c r="V49" s="427">
        <f>'ANALYSE - ERP =&gt; SOUS-SEGMENT'!$HA$140</f>
        <v>0</v>
      </c>
      <c r="X49" s="427">
        <f>'ANALYSE - ERP =&gt; SOUS-SEGMENT'!$FF$140</f>
        <v>101.66</v>
      </c>
      <c r="Y49" s="427">
        <f>'ANALYSE - ERP =&gt; SOUS-SEGMENT'!$GV$140</f>
        <v>18.2988</v>
      </c>
      <c r="Z49" s="427">
        <f>'ANALYSE - ERP =&gt; SOUS-SEGMENT'!$GY$140</f>
        <v>83.361199999999997</v>
      </c>
      <c r="AA49" s="427">
        <f>'ANALYSE - ERP =&gt; SOUS-SEGMENT'!$HB$140</f>
        <v>0</v>
      </c>
      <c r="AC49" s="430">
        <f>'ANALYSE - ERP =&gt; SOUS-SEGMENT'!$Q$140</f>
        <v>1</v>
      </c>
    </row>
    <row r="50" spans="1:29" s="45" customFormat="1" ht="15" customHeight="1">
      <c r="A50" s="406">
        <v>47</v>
      </c>
      <c r="B50" s="406">
        <v>47</v>
      </c>
      <c r="C50" s="406">
        <v>50</v>
      </c>
      <c r="D50" s="448">
        <f>'ANALYSE - ERP =&gt; SOUS-SEGMENT'!$A$124</f>
        <v>117</v>
      </c>
      <c r="E50" s="449" t="str">
        <f>'ANALYSE - ERP =&gt; SOUS-SEGMENT'!$B$124</f>
        <v>Transport, Mobilité &amp; Stationnement</v>
      </c>
      <c r="F50" s="449" t="str">
        <f>'ANALYSE - ERP =&gt; SOUS-SEGMENT'!$C$124</f>
        <v>Transport / Mobilité</v>
      </c>
      <c r="G50" s="449" t="str">
        <f>'ANALYSE - ERP =&gt; SOUS-SEGMENT'!$D$124</f>
        <v>Aéroports / aérogares
(&gt;1 000 passagers/an)</v>
      </c>
      <c r="H50" s="685"/>
      <c r="I50" s="407">
        <f t="shared" si="5"/>
        <v>98.643119339999998</v>
      </c>
      <c r="J50" s="685"/>
      <c r="K50" s="788">
        <f t="shared" si="3"/>
        <v>0.81482580719045616</v>
      </c>
      <c r="L50" s="788">
        <f t="shared" si="4"/>
        <v>0.18517419280954381</v>
      </c>
      <c r="M50" s="685"/>
      <c r="N50" s="425">
        <f>'ANALYSE - ERP =&gt; SOUS-SEGMENT'!$FD$124</f>
        <v>493.21559669999999</v>
      </c>
      <c r="O50" s="407">
        <f>'ANALYSE - ERP =&gt; SOUS-SEGMENT'!$GT$124</f>
        <v>115.29751799999998</v>
      </c>
      <c r="P50" s="407">
        <f>'ANALYSE - ERP =&gt; SOUS-SEGMENT'!$GW$124</f>
        <v>289.5003552</v>
      </c>
      <c r="Q50" s="407">
        <f>'ANALYSE - ERP =&gt; SOUS-SEGMENT'!$GZ$124</f>
        <v>88.417723499999994</v>
      </c>
      <c r="R50" s="685"/>
      <c r="S50" s="425">
        <f>'ANALYSE - ERP =&gt; SOUS-SEGMENT'!$FE$124</f>
        <v>401.88479669999998</v>
      </c>
      <c r="T50" s="407">
        <f>'ANALYSE - ERP =&gt; SOUS-SEGMENT'!$GU$124</f>
        <v>97.031357999999983</v>
      </c>
      <c r="U50" s="407">
        <f>'ANALYSE - ERP =&gt; SOUS-SEGMENT'!$GX$124</f>
        <v>232.87525919999999</v>
      </c>
      <c r="V50" s="407">
        <f>'ANALYSE - ERP =&gt; SOUS-SEGMENT'!$HA$124</f>
        <v>71.978179499999996</v>
      </c>
      <c r="W50" s="685"/>
      <c r="X50" s="407">
        <f>'ANALYSE - ERP =&gt; SOUS-SEGMENT'!$FF$124</f>
        <v>91.330799999999996</v>
      </c>
      <c r="Y50" s="407">
        <f>'ANALYSE - ERP =&gt; SOUS-SEGMENT'!$GV$124</f>
        <v>18.266159999999999</v>
      </c>
      <c r="Z50" s="407">
        <f>'ANALYSE - ERP =&gt; SOUS-SEGMENT'!$GY$124</f>
        <v>56.625095999999999</v>
      </c>
      <c r="AA50" s="407">
        <f>'ANALYSE - ERP =&gt; SOUS-SEGMENT'!$HB$124</f>
        <v>16.439543999999998</v>
      </c>
      <c r="AB50" s="685"/>
      <c r="AC50" s="450">
        <f>'ANALYSE - ERP =&gt; SOUS-SEGMENT'!$Q$124</f>
        <v>1</v>
      </c>
    </row>
    <row r="51" spans="1:29" ht="15" customHeight="1">
      <c r="A51" s="26">
        <v>48</v>
      </c>
      <c r="B51" s="26">
        <v>49</v>
      </c>
      <c r="C51" s="26">
        <v>47</v>
      </c>
      <c r="D51" s="422">
        <f>'ANALYSE - ERP =&gt; SOUS-SEGMENT'!$A$11</f>
        <v>4</v>
      </c>
      <c r="E51" s="411" t="str">
        <f>'ANALYSE - ERP =&gt; SOUS-SEGMENT'!$B$11</f>
        <v>Enfance, Enseignement, Jeunesse &amp; Formation</v>
      </c>
      <c r="F51" s="411" t="str">
        <f>'ANALYSE - ERP =&gt; SOUS-SEGMENT'!$C$11</f>
        <v>Enseignement scolaire</v>
      </c>
      <c r="G51" s="411" t="str">
        <f>'ANALYSE - ERP =&gt; SOUS-SEGMENT'!$D$11</f>
        <v>Écoles maternelles</v>
      </c>
      <c r="I51" s="427">
        <f t="shared" si="5"/>
        <v>190.84748092800004</v>
      </c>
      <c r="K51" s="787">
        <f t="shared" si="3"/>
        <v>0.78826695378156564</v>
      </c>
      <c r="L51" s="787">
        <f t="shared" si="4"/>
        <v>0.21173304621843439</v>
      </c>
      <c r="N51" s="424">
        <f>'ANALYSE - ERP =&gt; SOUS-SEGMENT'!$FD$11</f>
        <v>954.23740464000014</v>
      </c>
      <c r="O51" s="427">
        <f>'ANALYSE - ERP =&gt; SOUS-SEGMENT'!$GT$11</f>
        <v>805.04048616900002</v>
      </c>
      <c r="P51" s="427">
        <f>'ANALYSE - ERP =&gt; SOUS-SEGMENT'!$GW$11</f>
        <v>118.54936040679999</v>
      </c>
      <c r="Q51" s="427">
        <f>'ANALYSE - ERP =&gt; SOUS-SEGMENT'!$GZ$11</f>
        <v>30.647558064199998</v>
      </c>
      <c r="S51" s="424">
        <f>'ANALYSE - ERP =&gt; SOUS-SEGMENT'!$FE$11</f>
        <v>752.19381214000009</v>
      </c>
      <c r="T51" s="427">
        <f>'ANALYSE - ERP =&gt; SOUS-SEGMENT'!$GU$11</f>
        <v>639.36474031900002</v>
      </c>
      <c r="U51" s="427">
        <f>'ANALYSE - ERP =&gt; SOUS-SEGMENT'!$GX$11</f>
        <v>90.263257456799991</v>
      </c>
      <c r="V51" s="427">
        <f>'ANALYSE - ERP =&gt; SOUS-SEGMENT'!$HA$11</f>
        <v>22.565814364199998</v>
      </c>
      <c r="X51" s="427">
        <f>'ANALYSE - ERP =&gt; SOUS-SEGMENT'!$FF$11</f>
        <v>202.04359250000002</v>
      </c>
      <c r="Y51" s="427">
        <f>'ANALYSE - ERP =&gt; SOUS-SEGMENT'!$GV$11</f>
        <v>165.67574585</v>
      </c>
      <c r="Z51" s="427">
        <f>'ANALYSE - ERP =&gt; SOUS-SEGMENT'!$GY$11</f>
        <v>28.286102950000004</v>
      </c>
      <c r="AA51" s="427">
        <f>'ANALYSE - ERP =&gt; SOUS-SEGMENT'!$HB$11</f>
        <v>8.0817437000000005</v>
      </c>
      <c r="AC51" s="430">
        <f>'ANALYSE - ERP =&gt; SOUS-SEGMENT'!$Q$11</f>
        <v>1</v>
      </c>
    </row>
    <row r="52" spans="1:29" ht="15" customHeight="1">
      <c r="A52" s="26">
        <v>49</v>
      </c>
      <c r="B52" s="26">
        <v>50</v>
      </c>
      <c r="C52" s="26">
        <v>49</v>
      </c>
      <c r="D52" s="422">
        <f>'ANALYSE - ERP =&gt; SOUS-SEGMENT'!$A$70</f>
        <v>63</v>
      </c>
      <c r="E52" s="413" t="str">
        <f>'ANALYSE - ERP =&gt; SOUS-SEGMENT'!$B$70</f>
        <v>Culture, Patrimoine &amp; Evénementiel</v>
      </c>
      <c r="F52" s="413" t="str">
        <f>'ANALYSE - ERP =&gt; SOUS-SEGMENT'!$C$70</f>
        <v>Expositions / salons</v>
      </c>
      <c r="G52" s="413" t="str">
        <f>'ANALYSE - ERP =&gt; SOUS-SEGMENT'!$D$70</f>
        <v>Foires / Salons</v>
      </c>
      <c r="I52" s="427">
        <f t="shared" si="5"/>
        <v>96.079142611111109</v>
      </c>
      <c r="K52" s="787">
        <f t="shared" si="3"/>
        <v>0.79829545233932131</v>
      </c>
      <c r="L52" s="787">
        <f t="shared" si="4"/>
        <v>0.20170454766067863</v>
      </c>
      <c r="N52" s="424">
        <f>'ANALYSE - ERP =&gt; SOUS-SEGMENT'!$FD$70</f>
        <v>480.39571305555558</v>
      </c>
      <c r="O52" s="427">
        <f>'ANALYSE - ERP =&gt; SOUS-SEGMENT'!$GT$70</f>
        <v>106.16864999999999</v>
      </c>
      <c r="P52" s="427">
        <f>'ANALYSE - ERP =&gt; SOUS-SEGMENT'!$GW$70</f>
        <v>312.0957008333333</v>
      </c>
      <c r="Q52" s="427">
        <f>'ANALYSE - ERP =&gt; SOUS-SEGMENT'!$GZ$70</f>
        <v>62.131362222222222</v>
      </c>
      <c r="S52" s="424">
        <f>'ANALYSE - ERP =&gt; SOUS-SEGMENT'!$FE$70</f>
        <v>383.49771305555555</v>
      </c>
      <c r="T52" s="427">
        <f>'ANALYSE - ERP =&gt; SOUS-SEGMENT'!$GU$70</f>
        <v>86.789049999999989</v>
      </c>
      <c r="U52" s="427">
        <f>'ANALYSE - ERP =&gt; SOUS-SEGMENT'!$GX$70</f>
        <v>246.20506083333331</v>
      </c>
      <c r="V52" s="427">
        <f>'ANALYSE - ERP =&gt; SOUS-SEGMENT'!$HA$70</f>
        <v>50.50360222222222</v>
      </c>
      <c r="X52" s="427">
        <f>'ANALYSE - ERP =&gt; SOUS-SEGMENT'!$FF$70</f>
        <v>96.89800000000001</v>
      </c>
      <c r="Y52" s="427">
        <f>'ANALYSE - ERP =&gt; SOUS-SEGMENT'!$GV$70</f>
        <v>19.379600000000003</v>
      </c>
      <c r="Z52" s="427">
        <f>'ANALYSE - ERP =&gt; SOUS-SEGMENT'!$GY$70</f>
        <v>65.890640000000005</v>
      </c>
      <c r="AA52" s="427">
        <f>'ANALYSE - ERP =&gt; SOUS-SEGMENT'!$HB$70</f>
        <v>11.62776</v>
      </c>
      <c r="AC52" s="430">
        <f>'ANALYSE - ERP =&gt; SOUS-SEGMENT'!$Q$70</f>
        <v>1</v>
      </c>
    </row>
    <row r="53" spans="1:29" ht="15" customHeight="1">
      <c r="A53" s="26">
        <v>50</v>
      </c>
      <c r="B53" s="26">
        <v>52</v>
      </c>
      <c r="C53" s="26">
        <v>45</v>
      </c>
      <c r="D53" s="422">
        <f>'ANALYSE - ERP =&gt; SOUS-SEGMENT'!$A$12</f>
        <v>5</v>
      </c>
      <c r="E53" s="417" t="str">
        <f>'ANALYSE - ERP =&gt; SOUS-SEGMENT'!$B$12</f>
        <v>Enfance, Enseignement, Jeunesse &amp; Formation</v>
      </c>
      <c r="F53" s="417" t="str">
        <f>'ANALYSE - ERP =&gt; SOUS-SEGMENT'!$C$12</f>
        <v>Enseignement scolaire</v>
      </c>
      <c r="G53" s="417" t="str">
        <f>'ANALYSE - ERP =&gt; SOUS-SEGMENT'!$D$12</f>
        <v>Écoles primaires</v>
      </c>
      <c r="I53" s="427">
        <f t="shared" si="5"/>
        <v>262.81224670975996</v>
      </c>
      <c r="K53" s="787">
        <f t="shared" si="3"/>
        <v>0.742806723939894</v>
      </c>
      <c r="L53" s="787">
        <f t="shared" si="4"/>
        <v>0.25719327606010606</v>
      </c>
      <c r="N53" s="424">
        <f>'ANALYSE - ERP =&gt; SOUS-SEGMENT'!$FD$12</f>
        <v>1314.0612335487999</v>
      </c>
      <c r="O53" s="427">
        <f>'ANALYSE - ERP =&gt; SOUS-SEGMENT'!$GT$12</f>
        <v>968.64753948160001</v>
      </c>
      <c r="P53" s="427">
        <f>'ANALYSE - ERP =&gt; SOUS-SEGMENT'!$GW$12</f>
        <v>272.95127811776001</v>
      </c>
      <c r="Q53" s="427">
        <f>'ANALYSE - ERP =&gt; SOUS-SEGMENT'!$GZ$12</f>
        <v>72.46241594944</v>
      </c>
      <c r="S53" s="424">
        <f>'ANALYSE - ERP =&gt; SOUS-SEGMENT'!$FE$12</f>
        <v>976.09351994880001</v>
      </c>
      <c r="T53" s="427">
        <f>'ANALYSE - ERP =&gt; SOUS-SEGMENT'!$GU$12</f>
        <v>732.07013996160003</v>
      </c>
      <c r="U53" s="427">
        <f>'ANALYSE - ERP =&gt; SOUS-SEGMENT'!$GX$12</f>
        <v>195.21870398976</v>
      </c>
      <c r="V53" s="427">
        <f>'ANALYSE - ERP =&gt; SOUS-SEGMENT'!$HA$12</f>
        <v>48.80467599744</v>
      </c>
      <c r="X53" s="427">
        <f>'ANALYSE - ERP =&gt; SOUS-SEGMENT'!$FF$12</f>
        <v>337.96771359999997</v>
      </c>
      <c r="Y53" s="427">
        <f>'ANALYSE - ERP =&gt; SOUS-SEGMENT'!$GV$12</f>
        <v>236.57739951999997</v>
      </c>
      <c r="Z53" s="427">
        <f>'ANALYSE - ERP =&gt; SOUS-SEGMENT'!$GY$12</f>
        <v>77.732574127999996</v>
      </c>
      <c r="AA53" s="427">
        <f>'ANALYSE - ERP =&gt; SOUS-SEGMENT'!$HB$12</f>
        <v>23.657739952</v>
      </c>
      <c r="AC53" s="430">
        <f>'ANALYSE - ERP =&gt; SOUS-SEGMENT'!$Q$12</f>
        <v>1</v>
      </c>
    </row>
    <row r="54" spans="1:29" ht="15" customHeight="1">
      <c r="A54" s="26">
        <v>51</v>
      </c>
      <c r="B54" s="26">
        <v>48</v>
      </c>
      <c r="C54" s="26">
        <v>54</v>
      </c>
      <c r="D54" s="422">
        <f>'ANALYSE - ERP =&gt; SOUS-SEGMENT'!$A$90</f>
        <v>83</v>
      </c>
      <c r="E54" s="410" t="str">
        <f>'ANALYSE - ERP =&gt; SOUS-SEGMENT'!$B$90</f>
        <v>Hébergement Touristique</v>
      </c>
      <c r="F54" s="410" t="str">
        <f>'ANALYSE - ERP =&gt; SOUS-SEGMENT'!$C$90</f>
        <v>Hébergement Touristique</v>
      </c>
      <c r="G54" s="410" t="str">
        <f>'ANALYSE - ERP =&gt; SOUS-SEGMENT'!$D$90</f>
        <v>Auberges de jeunesse</v>
      </c>
      <c r="I54" s="427">
        <f t="shared" si="5"/>
        <v>108.83408618181815</v>
      </c>
      <c r="K54" s="787">
        <f t="shared" si="3"/>
        <v>0.79496864647054077</v>
      </c>
      <c r="L54" s="787">
        <f t="shared" si="4"/>
        <v>0.20503135352945931</v>
      </c>
      <c r="N54" s="424">
        <f>'ANALYSE - ERP =&gt; SOUS-SEGMENT'!$FD$90</f>
        <v>544.17043090909078</v>
      </c>
      <c r="O54" s="427">
        <f>'ANALYSE - ERP =&gt; SOUS-SEGMENT'!$GT$90</f>
        <v>306.67929090909087</v>
      </c>
      <c r="P54" s="427">
        <f>'ANALYSE - ERP =&gt; SOUS-SEGMENT'!$GW$90</f>
        <v>200.95659999999998</v>
      </c>
      <c r="Q54" s="427">
        <f>'ANALYSE - ERP =&gt; SOUS-SEGMENT'!$GZ$90</f>
        <v>36.53454</v>
      </c>
      <c r="S54" s="424">
        <f>'ANALYSE - ERP =&gt; SOUS-SEGMENT'!$FE$90</f>
        <v>432.59843090909084</v>
      </c>
      <c r="T54" s="427">
        <f>'ANALYSE - ERP =&gt; SOUS-SEGMENT'!$GU$90</f>
        <v>245.31469090909087</v>
      </c>
      <c r="U54" s="427">
        <f>'ANALYSE - ERP =&gt; SOUS-SEGMENT'!$GX$90</f>
        <v>158.55923999999999</v>
      </c>
      <c r="V54" s="427">
        <f>'ANALYSE - ERP =&gt; SOUS-SEGMENT'!$HA$90</f>
        <v>28.724499999999999</v>
      </c>
      <c r="X54" s="427">
        <f>'ANALYSE - ERP =&gt; SOUS-SEGMENT'!$FF$90</f>
        <v>111.572</v>
      </c>
      <c r="Y54" s="427">
        <f>'ANALYSE - ERP =&gt; SOUS-SEGMENT'!$GV$90</f>
        <v>61.364600000000003</v>
      </c>
      <c r="Z54" s="427">
        <f>'ANALYSE - ERP =&gt; SOUS-SEGMENT'!$GY$90</f>
        <v>42.397359999999999</v>
      </c>
      <c r="AA54" s="427">
        <f>'ANALYSE - ERP =&gt; SOUS-SEGMENT'!$HB$90</f>
        <v>7.8100400000000008</v>
      </c>
      <c r="AC54" s="430">
        <f>'ANALYSE - ERP =&gt; SOUS-SEGMENT'!$Q$90</f>
        <v>1</v>
      </c>
    </row>
    <row r="55" spans="1:29" ht="15" customHeight="1">
      <c r="A55" s="26">
        <v>52</v>
      </c>
      <c r="B55" s="26">
        <v>51</v>
      </c>
      <c r="C55" s="26">
        <v>56</v>
      </c>
      <c r="D55" s="422">
        <f>'ANALYSE - ERP =&gt; SOUS-SEGMENT'!$A$92</f>
        <v>85</v>
      </c>
      <c r="E55" s="413" t="str">
        <f>'ANALYSE - ERP =&gt; SOUS-SEGMENT'!$B$92</f>
        <v>Hébergement Touristique</v>
      </c>
      <c r="F55" s="413" t="str">
        <f>'ANALYSE - ERP =&gt; SOUS-SEGMENT'!$C$92</f>
        <v>Hébergement Montagne</v>
      </c>
      <c r="G55" s="413" t="str">
        <f>'ANALYSE - ERP =&gt; SOUS-SEGMENT'!$D$92</f>
        <v>Hôtels-restaurants d’altitude</v>
      </c>
      <c r="I55" s="427">
        <f t="shared" si="5"/>
        <v>153.920233</v>
      </c>
      <c r="K55" s="787">
        <f t="shared" si="3"/>
        <v>0.80636203948573804</v>
      </c>
      <c r="L55" s="787">
        <f t="shared" si="4"/>
        <v>0.19363796051426196</v>
      </c>
      <c r="N55" s="424">
        <f>'ANALYSE - ERP =&gt; SOUS-SEGMENT'!$FD$92</f>
        <v>769.60116499999992</v>
      </c>
      <c r="O55" s="427">
        <f>'ANALYSE - ERP =&gt; SOUS-SEGMENT'!$GT$92</f>
        <v>560.9002999999999</v>
      </c>
      <c r="P55" s="427">
        <f>'ANALYSE - ERP =&gt; SOUS-SEGMENT'!$GW$92</f>
        <v>140.87508</v>
      </c>
      <c r="Q55" s="427">
        <f>'ANALYSE - ERP =&gt; SOUS-SEGMENT'!$GZ$92</f>
        <v>67.825784999999996</v>
      </c>
      <c r="S55" s="424">
        <f>'ANALYSE - ERP =&gt; SOUS-SEGMENT'!$FE$92</f>
        <v>620.57716499999992</v>
      </c>
      <c r="T55" s="427">
        <f>'ANALYSE - ERP =&gt; SOUS-SEGMENT'!$GU$92</f>
        <v>456.5834999999999</v>
      </c>
      <c r="U55" s="427">
        <f>'ANALYSE - ERP =&gt; SOUS-SEGMENT'!$GX$92</f>
        <v>109.58004</v>
      </c>
      <c r="V55" s="427">
        <f>'ANALYSE - ERP =&gt; SOUS-SEGMENT'!$HA$92</f>
        <v>54.413625000000003</v>
      </c>
      <c r="X55" s="427">
        <f>'ANALYSE - ERP =&gt; SOUS-SEGMENT'!$FF$92</f>
        <v>149.024</v>
      </c>
      <c r="Y55" s="427">
        <f>'ANALYSE - ERP =&gt; SOUS-SEGMENT'!$GV$92</f>
        <v>104.3168</v>
      </c>
      <c r="Z55" s="427">
        <f>'ANALYSE - ERP =&gt; SOUS-SEGMENT'!$GY$92</f>
        <v>31.29504</v>
      </c>
      <c r="AA55" s="427">
        <f>'ANALYSE - ERP =&gt; SOUS-SEGMENT'!$HB$92</f>
        <v>13.41216</v>
      </c>
      <c r="AC55" s="430">
        <f>'ANALYSE - ERP =&gt; SOUS-SEGMENT'!$Q$92</f>
        <v>1</v>
      </c>
    </row>
    <row r="56" spans="1:29" ht="15" customHeight="1">
      <c r="A56" s="26">
        <v>53</v>
      </c>
      <c r="B56" s="26">
        <v>53</v>
      </c>
      <c r="C56" s="26">
        <v>51</v>
      </c>
      <c r="D56" s="422">
        <f>'ANALYSE - ERP =&gt; SOUS-SEGMENT'!$A$47</f>
        <v>40</v>
      </c>
      <c r="E56" s="409" t="str">
        <f>'ANALYSE - ERP =&gt; SOUS-SEGMENT'!$B$47</f>
        <v>Santé &amp; Médico-social</v>
      </c>
      <c r="F56" s="409" t="str">
        <f>'ANALYSE - ERP =&gt; SOUS-SEGMENT'!$C$47</f>
        <v>Santé hospitalière</v>
      </c>
      <c r="G56" s="409" t="str">
        <f>'ANALYSE - ERP =&gt; SOUS-SEGMENT'!$D$47</f>
        <v>Hôpitaux d’instruction des armées et centres médicaux recevant du public</v>
      </c>
      <c r="I56" s="427">
        <f t="shared" si="5"/>
        <v>78.815985080727273</v>
      </c>
      <c r="K56" s="787">
        <f t="shared" si="3"/>
        <v>0.80495489608796311</v>
      </c>
      <c r="L56" s="787">
        <f t="shared" si="4"/>
        <v>0.19504510391203689</v>
      </c>
      <c r="N56" s="424">
        <f>'ANALYSE - ERP =&gt; SOUS-SEGMENT'!$FD$47</f>
        <v>394.07992540363637</v>
      </c>
      <c r="O56" s="427">
        <f>'ANALYSE - ERP =&gt; SOUS-SEGMENT'!$GT$47</f>
        <v>303.77191156363637</v>
      </c>
      <c r="P56" s="427">
        <f>'ANALYSE - ERP =&gt; SOUS-SEGMENT'!$GW$47</f>
        <v>68.679363839999994</v>
      </c>
      <c r="Q56" s="427">
        <f>'ANALYSE - ERP =&gt; SOUS-SEGMENT'!$GZ$47</f>
        <v>21.62865</v>
      </c>
      <c r="S56" s="424">
        <f>'ANALYSE - ERP =&gt; SOUS-SEGMENT'!$FE$47</f>
        <v>317.21656540363637</v>
      </c>
      <c r="T56" s="427">
        <f>'ANALYSE - ERP =&gt; SOUS-SEGMENT'!$GU$47</f>
        <v>244.58712436363635</v>
      </c>
      <c r="U56" s="427">
        <f>'ANALYSE - ERP =&gt; SOUS-SEGMENT'!$GX$47</f>
        <v>54.843959039999994</v>
      </c>
      <c r="V56" s="427">
        <f>'ANALYSE - ERP =&gt; SOUS-SEGMENT'!$HA$47</f>
        <v>17.785481999999998</v>
      </c>
      <c r="X56" s="427">
        <f>'ANALYSE - ERP =&gt; SOUS-SEGMENT'!$FF$47</f>
        <v>76.86336</v>
      </c>
      <c r="Y56" s="427">
        <f>'ANALYSE - ERP =&gt; SOUS-SEGMENT'!$GV$47</f>
        <v>59.184787200000002</v>
      </c>
      <c r="Z56" s="427">
        <f>'ANALYSE - ERP =&gt; SOUS-SEGMENT'!$GY$47</f>
        <v>13.835404799999999</v>
      </c>
      <c r="AA56" s="427">
        <f>'ANALYSE - ERP =&gt; SOUS-SEGMENT'!$HB$47</f>
        <v>3.8431680000000004</v>
      </c>
      <c r="AC56" s="430">
        <f>'ANALYSE - ERP =&gt; SOUS-SEGMENT'!$Q$47</f>
        <v>1</v>
      </c>
    </row>
    <row r="57" spans="1:29" ht="15" customHeight="1">
      <c r="A57" s="26">
        <v>54</v>
      </c>
      <c r="B57" s="26">
        <v>54</v>
      </c>
      <c r="C57" s="26">
        <v>57</v>
      </c>
      <c r="D57" s="422">
        <f>'ANALYSE - ERP =&gt; SOUS-SEGMENT'!$A$132</f>
        <v>125</v>
      </c>
      <c r="E57" s="409" t="str">
        <f>'ANALYSE - ERP =&gt; SOUS-SEGMENT'!$B$132</f>
        <v>Sécurité &amp; Justice</v>
      </c>
      <c r="F57" s="409" t="str">
        <f>'ANALYSE - ERP =&gt; SOUS-SEGMENT'!$C$132</f>
        <v xml:space="preserve">Commissariats / postes de police </v>
      </c>
      <c r="G57" s="409" t="str">
        <f>'ANALYSE - ERP =&gt; SOUS-SEGMENT'!$D$132</f>
        <v>Locaux de sûreté, garde à vue et zones opérationnelles</v>
      </c>
      <c r="I57" s="427">
        <f t="shared" si="5"/>
        <v>51.355821999999989</v>
      </c>
      <c r="K57" s="787">
        <f t="shared" si="3"/>
        <v>0.85506858404486263</v>
      </c>
      <c r="L57" s="787">
        <f t="shared" si="4"/>
        <v>0.14493141595513748</v>
      </c>
      <c r="N57" s="424">
        <f>'ANALYSE - ERP =&gt; SOUS-SEGMENT'!$FD$132</f>
        <v>256.77910999999995</v>
      </c>
      <c r="O57" s="427">
        <f>'ANALYSE - ERP =&gt; SOUS-SEGMENT'!$GT$132</f>
        <v>76.289425800000004</v>
      </c>
      <c r="P57" s="427">
        <f>'ANALYSE - ERP =&gt; SOUS-SEGMENT'!$GW$132</f>
        <v>180.48968419999997</v>
      </c>
      <c r="Q57" s="427">
        <f>'ANALYSE - ERP =&gt; SOUS-SEGMENT'!$GZ$132</f>
        <v>0</v>
      </c>
      <c r="S57" s="424">
        <f>'ANALYSE - ERP =&gt; SOUS-SEGMENT'!$FE$132</f>
        <v>219.56374999999997</v>
      </c>
      <c r="T57" s="427">
        <f>'ANALYSE - ERP =&gt; SOUS-SEGMENT'!$GU$132</f>
        <v>65.869124999999997</v>
      </c>
      <c r="U57" s="427">
        <f>'ANALYSE - ERP =&gt; SOUS-SEGMENT'!$GX$132</f>
        <v>153.69462499999997</v>
      </c>
      <c r="V57" s="427">
        <f>'ANALYSE - ERP =&gt; SOUS-SEGMENT'!$HA$132</f>
        <v>0</v>
      </c>
      <c r="X57" s="427">
        <f>'ANALYSE - ERP =&gt; SOUS-SEGMENT'!$FF$132</f>
        <v>37.215359999999997</v>
      </c>
      <c r="Y57" s="427">
        <f>'ANALYSE - ERP =&gt; SOUS-SEGMENT'!$GV$132</f>
        <v>10.4203008</v>
      </c>
      <c r="Z57" s="427">
        <f>'ANALYSE - ERP =&gt; SOUS-SEGMENT'!$GY$132</f>
        <v>26.795059199999997</v>
      </c>
      <c r="AA57" s="427">
        <f>'ANALYSE - ERP =&gt; SOUS-SEGMENT'!$HB$132</f>
        <v>0</v>
      </c>
      <c r="AC57" s="430">
        <f>'ANALYSE - ERP =&gt; SOUS-SEGMENT'!$Q$132</f>
        <v>1</v>
      </c>
    </row>
    <row r="58" spans="1:29" ht="15" customHeight="1">
      <c r="A58" s="26">
        <v>55</v>
      </c>
      <c r="B58" s="26">
        <v>55</v>
      </c>
      <c r="C58" s="26">
        <v>52</v>
      </c>
      <c r="D58" s="422">
        <f>'ANALYSE - ERP =&gt; SOUS-SEGMENT'!$A$127</f>
        <v>120</v>
      </c>
      <c r="E58" s="408" t="str">
        <f>'ANALYSE - ERP =&gt; SOUS-SEGMENT'!$B$127</f>
        <v>Transport, Mobilité &amp; Stationnement</v>
      </c>
      <c r="F58" s="408" t="str">
        <f>'ANALYSE - ERP =&gt; SOUS-SEGMENT'!$C$127</f>
        <v>Transport / Mobilité</v>
      </c>
      <c r="G58" s="408" t="str">
        <f>'ANALYSE - ERP =&gt; SOUS-SEGMENT'!$D$127</f>
        <v>Terminaux maritimes / fluviaux</v>
      </c>
      <c r="I58" s="427">
        <f t="shared" si="5"/>
        <v>50.703264860000004</v>
      </c>
      <c r="K58" s="787">
        <f t="shared" si="3"/>
        <v>0.75382729229638012</v>
      </c>
      <c r="L58" s="787">
        <f t="shared" si="4"/>
        <v>0.24617270770361985</v>
      </c>
      <c r="N58" s="424">
        <f>'ANALYSE - ERP =&gt; SOUS-SEGMENT'!$FD$127</f>
        <v>253.51632430000004</v>
      </c>
      <c r="O58" s="427">
        <f>'ANALYSE - ERP =&gt; SOUS-SEGMENT'!$GT$127</f>
        <v>83.878469199999998</v>
      </c>
      <c r="P58" s="427">
        <f>'ANALYSE - ERP =&gt; SOUS-SEGMENT'!$GW$127</f>
        <v>137.96074760000002</v>
      </c>
      <c r="Q58" s="427">
        <f>'ANALYSE - ERP =&gt; SOUS-SEGMENT'!$GZ$127</f>
        <v>31.677107500000005</v>
      </c>
      <c r="S58" s="424">
        <f>'ANALYSE - ERP =&gt; SOUS-SEGMENT'!$FE$127</f>
        <v>191.10752430000002</v>
      </c>
      <c r="T58" s="427">
        <f>'ANALYSE - ERP =&gt; SOUS-SEGMENT'!$GU$127</f>
        <v>65.155829199999999</v>
      </c>
      <c r="U58" s="427">
        <f>'ANALYSE - ERP =&gt; SOUS-SEGMENT'!$GX$127</f>
        <v>102.38773160000001</v>
      </c>
      <c r="V58" s="427">
        <f>'ANALYSE - ERP =&gt; SOUS-SEGMENT'!$HA$127</f>
        <v>23.563963500000003</v>
      </c>
      <c r="X58" s="427">
        <f>'ANALYSE - ERP =&gt; SOUS-SEGMENT'!$FF$127</f>
        <v>62.408800000000006</v>
      </c>
      <c r="Y58" s="427">
        <f>'ANALYSE - ERP =&gt; SOUS-SEGMENT'!$GV$127</f>
        <v>18.722640000000002</v>
      </c>
      <c r="Z58" s="427">
        <f>'ANALYSE - ERP =&gt; SOUS-SEGMENT'!$GY$127</f>
        <v>35.573016000000003</v>
      </c>
      <c r="AA58" s="427">
        <f>'ANALYSE - ERP =&gt; SOUS-SEGMENT'!$HB$127</f>
        <v>8.1131440000000019</v>
      </c>
      <c r="AC58" s="430">
        <f>'ANALYSE - ERP =&gt; SOUS-SEGMENT'!$Q$127</f>
        <v>1</v>
      </c>
    </row>
    <row r="59" spans="1:29" ht="15" customHeight="1">
      <c r="A59" s="26">
        <v>56</v>
      </c>
      <c r="B59" s="26">
        <v>57</v>
      </c>
      <c r="C59" s="26">
        <v>46</v>
      </c>
      <c r="D59" s="422">
        <f>'ANALYSE - ERP =&gt; SOUS-SEGMENT'!$A$144</f>
        <v>137</v>
      </c>
      <c r="E59" s="414" t="str">
        <f>'ANALYSE - ERP =&gt; SOUS-SEGMENT'!$B$144</f>
        <v>Sécurité &amp; Justice</v>
      </c>
      <c r="F59" s="414" t="str">
        <f>'ANALYSE - ERP =&gt; SOUS-SEGMENT'!$C$144</f>
        <v>Univers carcéral</v>
      </c>
      <c r="G59" s="414" t="str">
        <f>'ANALYSE - ERP =&gt; SOUS-SEGMENT'!$D$144</f>
        <v>Centres éducatifs fermés</v>
      </c>
      <c r="I59" s="427">
        <f t="shared" si="5"/>
        <v>44.184049999999999</v>
      </c>
      <c r="K59" s="787">
        <f t="shared" si="3"/>
        <v>0.51330740391611906</v>
      </c>
      <c r="L59" s="787">
        <f t="shared" si="4"/>
        <v>0.48669259608388094</v>
      </c>
      <c r="N59" s="424">
        <f>'ANALYSE - ERP =&gt; SOUS-SEGMENT'!$FD$144</f>
        <v>220.92025000000001</v>
      </c>
      <c r="O59" s="427">
        <f>'ANALYSE - ERP =&gt; SOUS-SEGMENT'!$GT$144</f>
        <v>52.004455000000007</v>
      </c>
      <c r="P59" s="427">
        <f>'ANALYSE - ERP =&gt; SOUS-SEGMENT'!$GW$144</f>
        <v>168.915795</v>
      </c>
      <c r="Q59" s="427">
        <f>'ANALYSE - ERP =&gt; SOUS-SEGMENT'!$GZ$144</f>
        <v>0</v>
      </c>
      <c r="S59" s="424">
        <f>'ANALYSE - ERP =&gt; SOUS-SEGMENT'!$FE$144</f>
        <v>113.4</v>
      </c>
      <c r="T59" s="427">
        <f>'ANALYSE - ERP =&gt; SOUS-SEGMENT'!$GU$144</f>
        <v>28.35</v>
      </c>
      <c r="U59" s="427">
        <f>'ANALYSE - ERP =&gt; SOUS-SEGMENT'!$GX$144</f>
        <v>85.05</v>
      </c>
      <c r="V59" s="427">
        <f>'ANALYSE - ERP =&gt; SOUS-SEGMENT'!$HA$144</f>
        <v>0</v>
      </c>
      <c r="X59" s="427">
        <f>'ANALYSE - ERP =&gt; SOUS-SEGMENT'!$FF$144</f>
        <v>107.52025</v>
      </c>
      <c r="Y59" s="427">
        <f>'ANALYSE - ERP =&gt; SOUS-SEGMENT'!$GV$144</f>
        <v>23.654455000000002</v>
      </c>
      <c r="Z59" s="427">
        <f>'ANALYSE - ERP =&gt; SOUS-SEGMENT'!$GY$144</f>
        <v>83.865795000000006</v>
      </c>
      <c r="AA59" s="427">
        <f>'ANALYSE - ERP =&gt; SOUS-SEGMENT'!$HB$144</f>
        <v>0</v>
      </c>
      <c r="AC59" s="430">
        <f>'ANALYSE - ERP =&gt; SOUS-SEGMENT'!$Q$144</f>
        <v>1</v>
      </c>
    </row>
    <row r="60" spans="1:29" ht="15" customHeight="1">
      <c r="A60" s="26">
        <v>57</v>
      </c>
      <c r="B60" s="26">
        <v>56</v>
      </c>
      <c r="C60" s="26">
        <v>60</v>
      </c>
      <c r="D60" s="422">
        <f>'ANALYSE - ERP =&gt; SOUS-SEGMENT'!$A$121</f>
        <v>114</v>
      </c>
      <c r="E60" s="409" t="str">
        <f>'ANALYSE - ERP =&gt; SOUS-SEGMENT'!$B$121</f>
        <v>Transport, Mobilité &amp; Stationnement</v>
      </c>
      <c r="F60" s="409" t="str">
        <f>'ANALYSE - ERP =&gt; SOUS-SEGMENT'!$C$121</f>
        <v>Transport / Mobilité</v>
      </c>
      <c r="G60" s="409" t="str">
        <f>'ANALYSE - ERP =&gt; SOUS-SEGMENT'!$D$121</f>
        <v>Aires de service - Autoroutes
(Hors Aires de repos)</v>
      </c>
      <c r="I60" s="427">
        <f t="shared" si="5"/>
        <v>38.627118779999996</v>
      </c>
      <c r="K60" s="787">
        <f t="shared" si="3"/>
        <v>0.86548145023204859</v>
      </c>
      <c r="L60" s="787">
        <f t="shared" si="4"/>
        <v>0.13451854976795141</v>
      </c>
      <c r="N60" s="424">
        <f>'ANALYSE - ERP =&gt; SOUS-SEGMENT'!$FD$121</f>
        <v>193.13559389999998</v>
      </c>
      <c r="O60" s="427">
        <f>'ANALYSE - ERP =&gt; SOUS-SEGMENT'!$GT$121</f>
        <v>36.514893199999996</v>
      </c>
      <c r="P60" s="427">
        <f>'ANALYSE - ERP =&gt; SOUS-SEGMENT'!$GW$121</f>
        <v>132.8682886</v>
      </c>
      <c r="Q60" s="427">
        <f>'ANALYSE - ERP =&gt; SOUS-SEGMENT'!$GZ$121</f>
        <v>23.752412099999997</v>
      </c>
      <c r="S60" s="424">
        <f>'ANALYSE - ERP =&gt; SOUS-SEGMENT'!$FE$121</f>
        <v>167.15527389999997</v>
      </c>
      <c r="T60" s="427">
        <f>'ANALYSE - ERP =&gt; SOUS-SEGMENT'!$GU$121</f>
        <v>32.617845199999998</v>
      </c>
      <c r="U60" s="427">
        <f>'ANALYSE - ERP =&gt; SOUS-SEGMENT'!$GX$121</f>
        <v>114.16245819999999</v>
      </c>
      <c r="V60" s="427">
        <f>'ANALYSE - ERP =&gt; SOUS-SEGMENT'!$HA$121</f>
        <v>20.374970499999996</v>
      </c>
      <c r="X60" s="427">
        <f>'ANALYSE - ERP =&gt; SOUS-SEGMENT'!$FF$121</f>
        <v>25.980319999999999</v>
      </c>
      <c r="Y60" s="427">
        <f>'ANALYSE - ERP =&gt; SOUS-SEGMENT'!$GV$121</f>
        <v>3.8970479999999998</v>
      </c>
      <c r="Z60" s="427">
        <f>'ANALYSE - ERP =&gt; SOUS-SEGMENT'!$GY$121</f>
        <v>18.7058304</v>
      </c>
      <c r="AA60" s="427">
        <f>'ANALYSE - ERP =&gt; SOUS-SEGMENT'!$HB$121</f>
        <v>3.3774416</v>
      </c>
      <c r="AC60" s="430">
        <f>'ANALYSE - ERP =&gt; SOUS-SEGMENT'!$Q$121</f>
        <v>1</v>
      </c>
    </row>
    <row r="61" spans="1:29" ht="15" customHeight="1">
      <c r="A61" s="26">
        <v>58</v>
      </c>
      <c r="B61" s="26">
        <v>58</v>
      </c>
      <c r="C61" s="26">
        <v>55</v>
      </c>
      <c r="D61" s="422">
        <f>'ANALYSE - ERP =&gt; SOUS-SEGMENT'!$A$72</f>
        <v>65</v>
      </c>
      <c r="E61" s="415" t="str">
        <f>'ANALYSE - ERP =&gt; SOUS-SEGMENT'!$B$72</f>
        <v>Culture, Patrimoine &amp; Evénementiel</v>
      </c>
      <c r="F61" s="415" t="str">
        <f>'ANALYSE - ERP =&gt; SOUS-SEGMENT'!$C$72</f>
        <v>Événementiel temporaire</v>
      </c>
      <c r="G61" s="415" t="str">
        <f>'ANALYSE - ERP =&gt; SOUS-SEGMENT'!$D$72</f>
        <v>Chapiteaux / Tentes / Structures</v>
      </c>
      <c r="I61" s="427">
        <f t="shared" si="5"/>
        <v>5.9959678800000002</v>
      </c>
      <c r="K61" s="787">
        <f t="shared" si="3"/>
        <v>0.69899772044809549</v>
      </c>
      <c r="L61" s="787">
        <f t="shared" si="4"/>
        <v>0.30100227955190451</v>
      </c>
      <c r="N61" s="424">
        <f>'ANALYSE - ERP =&gt; SOUS-SEGMENT'!$FD$72</f>
        <v>29.979839399999999</v>
      </c>
      <c r="O61" s="427">
        <f>'ANALYSE - ERP =&gt; SOUS-SEGMENT'!$GT$72</f>
        <v>17.65540665</v>
      </c>
      <c r="P61" s="427">
        <f>'ANALYSE - ERP =&gt; SOUS-SEGMENT'!$GW$72</f>
        <v>9.8699823750000011</v>
      </c>
      <c r="Q61" s="427">
        <f>'ANALYSE - ERP =&gt; SOUS-SEGMENT'!$GZ$72</f>
        <v>2.4544503750000004</v>
      </c>
      <c r="S61" s="424">
        <f>'ANALYSE - ERP =&gt; SOUS-SEGMENT'!$FE$72</f>
        <v>20.955839399999999</v>
      </c>
      <c r="T61" s="427">
        <f>'ANALYSE - ERP =&gt; SOUS-SEGMENT'!$GU$72</f>
        <v>14.497006649999999</v>
      </c>
      <c r="U61" s="427">
        <f>'ANALYSE - ERP =&gt; SOUS-SEGMENT'!$GX$72</f>
        <v>5.1775023750000004</v>
      </c>
      <c r="V61" s="427">
        <f>'ANALYSE - ERP =&gt; SOUS-SEGMENT'!$HA$72</f>
        <v>1.281330375</v>
      </c>
      <c r="X61" s="427">
        <f>'ANALYSE - ERP =&gt; SOUS-SEGMENT'!$FF$72</f>
        <v>9.0240000000000009</v>
      </c>
      <c r="Y61" s="427">
        <f>'ANALYSE - ERP =&gt; SOUS-SEGMENT'!$GV$72</f>
        <v>3.1584000000000003</v>
      </c>
      <c r="Z61" s="427">
        <f>'ANALYSE - ERP =&gt; SOUS-SEGMENT'!$GY$72</f>
        <v>4.6924800000000007</v>
      </c>
      <c r="AA61" s="427">
        <f>'ANALYSE - ERP =&gt; SOUS-SEGMENT'!$HB$72</f>
        <v>1.1731200000000002</v>
      </c>
      <c r="AC61" s="430">
        <f>'ANALYSE - ERP =&gt; SOUS-SEGMENT'!$Q$72</f>
        <v>1</v>
      </c>
    </row>
    <row r="62" spans="1:29" ht="15" customHeight="1">
      <c r="A62" s="26">
        <v>59</v>
      </c>
      <c r="B62" s="26">
        <v>59</v>
      </c>
      <c r="C62" s="26">
        <v>58</v>
      </c>
      <c r="D62" s="422">
        <f>'ANALYSE - ERP =&gt; SOUS-SEGMENT'!$A$48</f>
        <v>41</v>
      </c>
      <c r="E62" s="410" t="str">
        <f>'ANALYSE - ERP =&gt; SOUS-SEGMENT'!$B$48</f>
        <v>Santé &amp; Médico-social</v>
      </c>
      <c r="F62" s="410" t="str">
        <f>'ANALYSE - ERP =&gt; SOUS-SEGMENT'!$C$48</f>
        <v>Santé hospitalière</v>
      </c>
      <c r="G62" s="410" t="str">
        <f>'ANALYSE - ERP =&gt; SOUS-SEGMENT'!$D$48</f>
        <v>Unités hospitalières sécurisées en milieu carcéral</v>
      </c>
      <c r="I62" s="427">
        <f t="shared" si="5"/>
        <v>23.263728</v>
      </c>
      <c r="K62" s="787">
        <f t="shared" si="3"/>
        <v>0.71678967360691292</v>
      </c>
      <c r="L62" s="787">
        <f t="shared" si="4"/>
        <v>0.28321032639308708</v>
      </c>
      <c r="N62" s="424">
        <f>'ANALYSE - ERP =&gt; SOUS-SEGMENT'!$FD$48</f>
        <v>116.31864</v>
      </c>
      <c r="O62" s="427">
        <f>'ANALYSE - ERP =&gt; SOUS-SEGMENT'!$GT$48</f>
        <v>21.049675199999999</v>
      </c>
      <c r="P62" s="427">
        <f>'ANALYSE - ERP =&gt; SOUS-SEGMENT'!$GW$48</f>
        <v>95.268964799999992</v>
      </c>
      <c r="Q62" s="427">
        <f>'ANALYSE - ERP =&gt; SOUS-SEGMENT'!$GZ$48</f>
        <v>0</v>
      </c>
      <c r="S62" s="424">
        <f>'ANALYSE - ERP =&gt; SOUS-SEGMENT'!$FE$48</f>
        <v>83.376000000000005</v>
      </c>
      <c r="T62" s="427">
        <f>'ANALYSE - ERP =&gt; SOUS-SEGMENT'!$GU$48</f>
        <v>15.120000000000001</v>
      </c>
      <c r="U62" s="427">
        <f>'ANALYSE - ERP =&gt; SOUS-SEGMENT'!$GX$48</f>
        <v>68.256</v>
      </c>
      <c r="V62" s="427">
        <f>'ANALYSE - ERP =&gt; SOUS-SEGMENT'!$HA$48</f>
        <v>0</v>
      </c>
      <c r="X62" s="427">
        <f>'ANALYSE - ERP =&gt; SOUS-SEGMENT'!$FF$48</f>
        <v>32.942639999999997</v>
      </c>
      <c r="Y62" s="427">
        <f>'ANALYSE - ERP =&gt; SOUS-SEGMENT'!$GV$48</f>
        <v>5.9296751999999993</v>
      </c>
      <c r="Z62" s="427">
        <f>'ANALYSE - ERP =&gt; SOUS-SEGMENT'!$GY$48</f>
        <v>27.012964799999995</v>
      </c>
      <c r="AA62" s="427">
        <f>'ANALYSE - ERP =&gt; SOUS-SEGMENT'!$HB$48</f>
        <v>0</v>
      </c>
      <c r="AC62" s="430">
        <f>'ANALYSE - ERP =&gt; SOUS-SEGMENT'!$Q$48</f>
        <v>1</v>
      </c>
    </row>
    <row r="63" spans="1:29" ht="15" customHeight="1">
      <c r="A63" s="26">
        <v>60</v>
      </c>
      <c r="B63" s="26">
        <v>63</v>
      </c>
      <c r="C63" s="26">
        <v>59</v>
      </c>
      <c r="D63" s="422">
        <f>'ANALYSE - ERP =&gt; SOUS-SEGMENT'!$A$16</f>
        <v>9</v>
      </c>
      <c r="E63" s="409" t="str">
        <f>'ANALYSE - ERP =&gt; SOUS-SEGMENT'!$B$16</f>
        <v>Enfance, Enseignement, Jeunesse &amp; Formation</v>
      </c>
      <c r="F63" s="409" t="str">
        <f>'ANALYSE - ERP =&gt; SOUS-SEGMENT'!$C$16</f>
        <v>Enseignement supérieur</v>
      </c>
      <c r="G63" s="409" t="str">
        <f>'ANALYSE - ERP =&gt; SOUS-SEGMENT'!$D$16</f>
        <v>Universités</v>
      </c>
      <c r="I63" s="427">
        <f t="shared" si="5"/>
        <v>17.716088448000001</v>
      </c>
      <c r="K63" s="787">
        <f t="shared" si="3"/>
        <v>0.65012141262481915</v>
      </c>
      <c r="L63" s="787">
        <f t="shared" si="4"/>
        <v>0.34987858737518079</v>
      </c>
      <c r="N63" s="424">
        <f>'ANALYSE - ERP =&gt; SOUS-SEGMENT'!$FD$16</f>
        <v>88.580442240000011</v>
      </c>
      <c r="O63" s="427">
        <f>'ANALYSE - ERP =&gt; SOUS-SEGMENT'!$GT$16</f>
        <v>20.595490560000002</v>
      </c>
      <c r="P63" s="427">
        <f>'ANALYSE - ERP =&gt; SOUS-SEGMENT'!$GW$16</f>
        <v>58.197135456000012</v>
      </c>
      <c r="Q63" s="427">
        <f>'ANALYSE - ERP =&gt; SOUS-SEGMENT'!$GZ$16</f>
        <v>9.7878162240000002</v>
      </c>
      <c r="S63" s="424">
        <f>'ANALYSE - ERP =&gt; SOUS-SEGMENT'!$FE$16</f>
        <v>57.588042240000007</v>
      </c>
      <c r="T63" s="427">
        <f>'ANALYSE - ERP =&gt; SOUS-SEGMENT'!$GU$16</f>
        <v>14.397010560000002</v>
      </c>
      <c r="U63" s="427">
        <f>'ANALYSE - ERP =&gt; SOUS-SEGMENT'!$GX$16</f>
        <v>37.432227456000007</v>
      </c>
      <c r="V63" s="427">
        <f>'ANALYSE - ERP =&gt; SOUS-SEGMENT'!$HA$16</f>
        <v>5.7588042240000012</v>
      </c>
      <c r="X63" s="427">
        <f>'ANALYSE - ERP =&gt; SOUS-SEGMENT'!$FF$16</f>
        <v>30.9924</v>
      </c>
      <c r="Y63" s="427">
        <f>'ANALYSE - ERP =&gt; SOUS-SEGMENT'!$GV$16</f>
        <v>6.19848</v>
      </c>
      <c r="Z63" s="427">
        <f>'ANALYSE - ERP =&gt; SOUS-SEGMENT'!$GY$16</f>
        <v>20.764908000000002</v>
      </c>
      <c r="AA63" s="427">
        <f>'ANALYSE - ERP =&gt; SOUS-SEGMENT'!$HB$16</f>
        <v>4.0290119999999998</v>
      </c>
      <c r="AC63" s="430">
        <f>'ANALYSE - ERP =&gt; SOUS-SEGMENT'!$Q$16</f>
        <v>1</v>
      </c>
    </row>
    <row r="64" spans="1:29" ht="15" customHeight="1">
      <c r="A64" s="26">
        <v>61</v>
      </c>
      <c r="B64" s="26">
        <v>60</v>
      </c>
      <c r="C64" s="26">
        <v>62</v>
      </c>
      <c r="D64" s="422">
        <f>'ANALYSE - ERP =&gt; SOUS-SEGMENT'!$A$71</f>
        <v>64</v>
      </c>
      <c r="E64" s="411" t="str">
        <f>'ANALYSE - ERP =&gt; SOUS-SEGMENT'!$B$71</f>
        <v>Culture, Patrimoine &amp; Evénementiel</v>
      </c>
      <c r="F64" s="411" t="str">
        <f>'ANALYSE - ERP =&gt; SOUS-SEGMENT'!$C$71</f>
        <v>Expositions / salons</v>
      </c>
      <c r="G64" s="411" t="str">
        <f>'ANALYSE - ERP =&gt; SOUS-SEGMENT'!$D$71</f>
        <v>Halls d’exposition</v>
      </c>
      <c r="I64" s="427">
        <f t="shared" si="5"/>
        <v>15.215104788461536</v>
      </c>
      <c r="K64" s="787">
        <f t="shared" si="3"/>
        <v>0.80526299087687081</v>
      </c>
      <c r="L64" s="787">
        <f t="shared" si="4"/>
        <v>0.19473700912312913</v>
      </c>
      <c r="N64" s="424">
        <f>'ANALYSE - ERP =&gt; SOUS-SEGMENT'!$FD$71</f>
        <v>76.075523942307683</v>
      </c>
      <c r="O64" s="427">
        <f>'ANALYSE - ERP =&gt; SOUS-SEGMENT'!$GT$71</f>
        <v>16.842981692307688</v>
      </c>
      <c r="P64" s="427">
        <f>'ANALYSE - ERP =&gt; SOUS-SEGMENT'!$GW$71</f>
        <v>49.300641849999991</v>
      </c>
      <c r="Q64" s="427">
        <f>'ANALYSE - ERP =&gt; SOUS-SEGMENT'!$GZ$71</f>
        <v>9.9319004</v>
      </c>
      <c r="S64" s="424">
        <f>'ANALYSE - ERP =&gt; SOUS-SEGMENT'!$FE$71</f>
        <v>61.260803942307682</v>
      </c>
      <c r="T64" s="427">
        <f>'ANALYSE - ERP =&gt; SOUS-SEGMENT'!$GU$71</f>
        <v>13.88003769230769</v>
      </c>
      <c r="U64" s="427">
        <f>'ANALYSE - ERP =&gt; SOUS-SEGMENT'!$GX$71</f>
        <v>39.226632249999994</v>
      </c>
      <c r="V64" s="427">
        <f>'ANALYSE - ERP =&gt; SOUS-SEGMENT'!$HA$71</f>
        <v>8.1541340000000009</v>
      </c>
      <c r="X64" s="427">
        <f>'ANALYSE - ERP =&gt; SOUS-SEGMENT'!$FF$71</f>
        <v>14.814719999999999</v>
      </c>
      <c r="Y64" s="427">
        <f>'ANALYSE - ERP =&gt; SOUS-SEGMENT'!$GV$71</f>
        <v>2.9629440000000002</v>
      </c>
      <c r="Z64" s="427">
        <f>'ANALYSE - ERP =&gt; SOUS-SEGMENT'!$GY$71</f>
        <v>10.0740096</v>
      </c>
      <c r="AA64" s="427">
        <f>'ANALYSE - ERP =&gt; SOUS-SEGMENT'!$HB$71</f>
        <v>1.7777664</v>
      </c>
      <c r="AC64" s="430">
        <f>'ANALYSE - ERP =&gt; SOUS-SEGMENT'!$Q$71</f>
        <v>1</v>
      </c>
    </row>
    <row r="65" spans="1:29" s="45" customFormat="1" ht="15" customHeight="1">
      <c r="A65" s="26">
        <v>62</v>
      </c>
      <c r="B65" s="26">
        <v>61</v>
      </c>
      <c r="C65" s="26">
        <v>64</v>
      </c>
      <c r="D65" s="422">
        <f>'ANALYSE - ERP =&gt; SOUS-SEGMENT'!$A$138</f>
        <v>131</v>
      </c>
      <c r="E65" s="411" t="str">
        <f>'ANALYSE - ERP =&gt; SOUS-SEGMENT'!$B$138</f>
        <v>Sécurité &amp; Justice</v>
      </c>
      <c r="F65" s="411" t="str">
        <f>'ANALYSE - ERP =&gt; SOUS-SEGMENT'!$C$138</f>
        <v>Forces armées</v>
      </c>
      <c r="G65" s="411" t="str">
        <f>'ANALYSE - ERP =&gt; SOUS-SEGMENT'!$D$138</f>
        <v>Salles de conférence, auditoriums et espaces événementiels ouverts au public</v>
      </c>
      <c r="H65" s="685"/>
      <c r="I65" s="427">
        <f t="shared" si="5"/>
        <v>14.477832954545454</v>
      </c>
      <c r="J65" s="685"/>
      <c r="K65" s="787">
        <f t="shared" si="3"/>
        <v>0.83157700412378088</v>
      </c>
      <c r="L65" s="787">
        <f t="shared" si="4"/>
        <v>0.16842299587621923</v>
      </c>
      <c r="M65" s="685"/>
      <c r="N65" s="424">
        <f>'ANALYSE - ERP =&gt; SOUS-SEGMENT'!$FD$138</f>
        <v>72.38916477272727</v>
      </c>
      <c r="O65" s="427">
        <f>'ANALYSE - ERP =&gt; SOUS-SEGMENT'!$GT$138</f>
        <v>30.986413636363636</v>
      </c>
      <c r="P65" s="427">
        <f>'ANALYSE - ERP =&gt; SOUS-SEGMENT'!$GW$138</f>
        <v>31.839853636363635</v>
      </c>
      <c r="Q65" s="427">
        <f>'ANALYSE - ERP =&gt; SOUS-SEGMENT'!$GZ$138</f>
        <v>9.5628975000000001</v>
      </c>
      <c r="R65" s="685"/>
      <c r="S65" s="424">
        <f>'ANALYSE - ERP =&gt; SOUS-SEGMENT'!$FE$138</f>
        <v>60.197164772727277</v>
      </c>
      <c r="T65" s="427">
        <f>'ANALYSE - ERP =&gt; SOUS-SEGMENT'!$GU$138</f>
        <v>26.109613636363637</v>
      </c>
      <c r="U65" s="427">
        <f>'ANALYSE - ERP =&gt; SOUS-SEGMENT'!$GX$138</f>
        <v>26.109613636363637</v>
      </c>
      <c r="V65" s="427">
        <f>'ANALYSE - ERP =&gt; SOUS-SEGMENT'!$HA$138</f>
        <v>7.9779374999999995</v>
      </c>
      <c r="W65" s="685"/>
      <c r="X65" s="427">
        <f>'ANALYSE - ERP =&gt; SOUS-SEGMENT'!$FF$138</f>
        <v>12.192</v>
      </c>
      <c r="Y65" s="427">
        <f>'ANALYSE - ERP =&gt; SOUS-SEGMENT'!$GV$138</f>
        <v>4.8768000000000002</v>
      </c>
      <c r="Z65" s="427">
        <f>'ANALYSE - ERP =&gt; SOUS-SEGMENT'!$GY$138</f>
        <v>5.7302399999999993</v>
      </c>
      <c r="AA65" s="427">
        <f>'ANALYSE - ERP =&gt; SOUS-SEGMENT'!$HB$138</f>
        <v>1.5849600000000001</v>
      </c>
      <c r="AB65" s="685"/>
      <c r="AC65" s="430">
        <f>'ANALYSE - ERP =&gt; SOUS-SEGMENT'!$Q$138</f>
        <v>1</v>
      </c>
    </row>
    <row r="66" spans="1:29" ht="15" customHeight="1">
      <c r="A66" s="26">
        <v>63</v>
      </c>
      <c r="B66" s="26">
        <v>62</v>
      </c>
      <c r="C66" s="26">
        <v>63</v>
      </c>
      <c r="D66" s="422">
        <f>'ANALYSE - ERP =&gt; SOUS-SEGMENT'!$A$141</f>
        <v>134</v>
      </c>
      <c r="E66" s="418" t="str">
        <f>'ANALYSE - ERP =&gt; SOUS-SEGMENT'!$B$141</f>
        <v>Sécurité &amp; Justice</v>
      </c>
      <c r="F66" s="418" t="str">
        <f>'ANALYSE - ERP =&gt; SOUS-SEGMENT'!$C$141</f>
        <v>Univers carcéral</v>
      </c>
      <c r="G66" s="418" t="str">
        <f>'ANALYSE - ERP =&gt; SOUS-SEGMENT'!$D$141</f>
        <v>Maisons centrales</v>
      </c>
      <c r="I66" s="427">
        <f t="shared" si="5"/>
        <v>13.502400000000003</v>
      </c>
      <c r="K66" s="787">
        <f t="shared" si="3"/>
        <v>0.79985780305723431</v>
      </c>
      <c r="L66" s="787">
        <f t="shared" si="4"/>
        <v>0.20014219694276569</v>
      </c>
      <c r="N66" s="424">
        <f>'ANALYSE - ERP =&gt; SOUS-SEGMENT'!$FD$141</f>
        <v>67.512000000000015</v>
      </c>
      <c r="O66" s="427">
        <f>'ANALYSE - ERP =&gt; SOUS-SEGMENT'!$GT$141</f>
        <v>13.232160000000002</v>
      </c>
      <c r="P66" s="427">
        <f>'ANALYSE - ERP =&gt; SOUS-SEGMENT'!$GW$141</f>
        <v>54.279840000000007</v>
      </c>
      <c r="Q66" s="427">
        <f>'ANALYSE - ERP =&gt; SOUS-SEGMENT'!$GZ$141</f>
        <v>0</v>
      </c>
      <c r="S66" s="424">
        <f>'ANALYSE - ERP =&gt; SOUS-SEGMENT'!$FE$141</f>
        <v>54.000000000000014</v>
      </c>
      <c r="T66" s="427">
        <f>'ANALYSE - ERP =&gt; SOUS-SEGMENT'!$GU$141</f>
        <v>10.800000000000002</v>
      </c>
      <c r="U66" s="427">
        <f>'ANALYSE - ERP =&gt; SOUS-SEGMENT'!$GX$141</f>
        <v>43.20000000000001</v>
      </c>
      <c r="V66" s="427">
        <f>'ANALYSE - ERP =&gt; SOUS-SEGMENT'!$HA$141</f>
        <v>0</v>
      </c>
      <c r="X66" s="427">
        <f>'ANALYSE - ERP =&gt; SOUS-SEGMENT'!$FF$141</f>
        <v>13.512</v>
      </c>
      <c r="Y66" s="427">
        <f>'ANALYSE - ERP =&gt; SOUS-SEGMENT'!$GV$141</f>
        <v>2.4321600000000001</v>
      </c>
      <c r="Z66" s="427">
        <f>'ANALYSE - ERP =&gt; SOUS-SEGMENT'!$GY$141</f>
        <v>11.079839999999999</v>
      </c>
      <c r="AA66" s="427">
        <f>'ANALYSE - ERP =&gt; SOUS-SEGMENT'!$HB$141</f>
        <v>0</v>
      </c>
      <c r="AC66" s="430">
        <f>'ANALYSE - ERP =&gt; SOUS-SEGMENT'!$Q$141</f>
        <v>1</v>
      </c>
    </row>
    <row r="67" spans="1:29" ht="15" customHeight="1">
      <c r="A67" s="26">
        <v>64</v>
      </c>
      <c r="B67" s="26">
        <v>64</v>
      </c>
      <c r="C67" s="26">
        <v>61</v>
      </c>
      <c r="D67" s="422">
        <f>'ANALYSE - ERP =&gt; SOUS-SEGMENT'!$A$17</f>
        <v>10</v>
      </c>
      <c r="E67" s="414" t="str">
        <f>'ANALYSE - ERP =&gt; SOUS-SEGMENT'!$B$17</f>
        <v>Enfance, Enseignement, Jeunesse &amp; Formation</v>
      </c>
      <c r="F67" s="414" t="str">
        <f>'ANALYSE - ERP =&gt; SOUS-SEGMENT'!$C$17</f>
        <v>Enseignement supérieur</v>
      </c>
      <c r="G67" s="414" t="str">
        <f>'ANALYSE - ERP =&gt; SOUS-SEGMENT'!$D$17</f>
        <v>Grandes écoles</v>
      </c>
      <c r="I67" s="427">
        <f t="shared" si="5"/>
        <v>25.425874655999998</v>
      </c>
      <c r="K67" s="787">
        <f t="shared" ref="K67:K98" si="6">IFERROR(S67/N67,"")</f>
        <v>0.65690383839198929</v>
      </c>
      <c r="L67" s="787">
        <f t="shared" ref="L67:L98" si="7">IFERROR(X67/N67,"")</f>
        <v>0.34309616160801071</v>
      </c>
      <c r="N67" s="424">
        <f>'ANALYSE - ERP =&gt; SOUS-SEGMENT'!$FD$17</f>
        <v>127.12937328</v>
      </c>
      <c r="O67" s="427">
        <f>'ANALYSE - ERP =&gt; SOUS-SEGMENT'!$GT$17</f>
        <v>29.601463320000001</v>
      </c>
      <c r="P67" s="427">
        <f>'ANALYSE - ERP =&gt; SOUS-SEGMENT'!$GW$17</f>
        <v>83.506444631999997</v>
      </c>
      <c r="Q67" s="427">
        <f>'ANALYSE - ERP =&gt; SOUS-SEGMENT'!$GZ$17</f>
        <v>14.021465328</v>
      </c>
      <c r="S67" s="424">
        <f>'ANALYSE - ERP =&gt; SOUS-SEGMENT'!$FE$17</f>
        <v>83.51177328</v>
      </c>
      <c r="T67" s="427">
        <f>'ANALYSE - ERP =&gt; SOUS-SEGMENT'!$GU$17</f>
        <v>20.87794332</v>
      </c>
      <c r="U67" s="427">
        <f>'ANALYSE - ERP =&gt; SOUS-SEGMENT'!$GX$17</f>
        <v>54.282652632000001</v>
      </c>
      <c r="V67" s="427">
        <f>'ANALYSE - ERP =&gt; SOUS-SEGMENT'!$HA$17</f>
        <v>8.3511773280000003</v>
      </c>
      <c r="X67" s="427">
        <f>'ANALYSE - ERP =&gt; SOUS-SEGMENT'!$FF$17</f>
        <v>43.617599999999996</v>
      </c>
      <c r="Y67" s="427">
        <f>'ANALYSE - ERP =&gt; SOUS-SEGMENT'!$GV$17</f>
        <v>8.7235199999999988</v>
      </c>
      <c r="Z67" s="427">
        <f>'ANALYSE - ERP =&gt; SOUS-SEGMENT'!$GY$17</f>
        <v>29.223792</v>
      </c>
      <c r="AA67" s="427">
        <f>'ANALYSE - ERP =&gt; SOUS-SEGMENT'!$HB$17</f>
        <v>5.6702879999999993</v>
      </c>
      <c r="AC67" s="430">
        <f>'ANALYSE - ERP =&gt; SOUS-SEGMENT'!$Q$17</f>
        <v>1</v>
      </c>
    </row>
    <row r="68" spans="1:29" ht="15" customHeight="1">
      <c r="A68" s="26">
        <v>65</v>
      </c>
      <c r="B68" s="26">
        <v>65</v>
      </c>
      <c r="C68" s="26">
        <v>65</v>
      </c>
      <c r="D68" s="422">
        <f>'ANALYSE - ERP =&gt; SOUS-SEGMENT'!$A$143</f>
        <v>136</v>
      </c>
      <c r="E68" s="412" t="str">
        <f>'ANALYSE - ERP =&gt; SOUS-SEGMENT'!$B$143</f>
        <v>Sécurité &amp; Justice</v>
      </c>
      <c r="F68" s="412" t="str">
        <f>'ANALYSE - ERP =&gt; SOUS-SEGMENT'!$C$143</f>
        <v>Univers carcéral</v>
      </c>
      <c r="G68" s="412" t="str">
        <f>'ANALYSE - ERP =&gt; SOUS-SEGMENT'!$D$143</f>
        <v>Centres de semi-liberté</v>
      </c>
      <c r="I68" s="427">
        <f t="shared" ref="I68:I99" si="8">N68/5</f>
        <v>9.3364480000000007</v>
      </c>
      <c r="K68" s="787">
        <f t="shared" si="6"/>
        <v>0.84828834263308706</v>
      </c>
      <c r="L68" s="787">
        <f t="shared" si="7"/>
        <v>0.15171165736691297</v>
      </c>
      <c r="N68" s="424">
        <f>'ANALYSE - ERP =&gt; SOUS-SEGMENT'!$FD$143</f>
        <v>46.68224</v>
      </c>
      <c r="O68" s="427">
        <f>'ANALYSE - ERP =&gt; SOUS-SEGMENT'!$GT$143</f>
        <v>11.458092799999999</v>
      </c>
      <c r="P68" s="427">
        <f>'ANALYSE - ERP =&gt; SOUS-SEGMENT'!$GW$143</f>
        <v>35.224147200000004</v>
      </c>
      <c r="Q68" s="427">
        <f>'ANALYSE - ERP =&gt; SOUS-SEGMENT'!$GZ$143</f>
        <v>0</v>
      </c>
      <c r="S68" s="424">
        <f>'ANALYSE - ERP =&gt; SOUS-SEGMENT'!$FE$143</f>
        <v>39.6</v>
      </c>
      <c r="T68" s="427">
        <f>'ANALYSE - ERP =&gt; SOUS-SEGMENT'!$GU$143</f>
        <v>9.9</v>
      </c>
      <c r="U68" s="427">
        <f>'ANALYSE - ERP =&gt; SOUS-SEGMENT'!$GX$143</f>
        <v>29.700000000000003</v>
      </c>
      <c r="V68" s="427">
        <f>'ANALYSE - ERP =&gt; SOUS-SEGMENT'!$HA$143</f>
        <v>0</v>
      </c>
      <c r="X68" s="427">
        <f>'ANALYSE - ERP =&gt; SOUS-SEGMENT'!$FF$143</f>
        <v>7.0822399999999996</v>
      </c>
      <c r="Y68" s="427">
        <f>'ANALYSE - ERP =&gt; SOUS-SEGMENT'!$GV$143</f>
        <v>1.5580927999999998</v>
      </c>
      <c r="Z68" s="427">
        <f>'ANALYSE - ERP =&gt; SOUS-SEGMENT'!$GY$143</f>
        <v>5.5241471999999998</v>
      </c>
      <c r="AA68" s="427">
        <f>'ANALYSE - ERP =&gt; SOUS-SEGMENT'!$HB$143</f>
        <v>0</v>
      </c>
      <c r="AC68" s="430">
        <f>'ANALYSE - ERP =&gt; SOUS-SEGMENT'!$Q$143</f>
        <v>1</v>
      </c>
    </row>
    <row r="69" spans="1:29" ht="15" customHeight="1">
      <c r="A69" s="26">
        <v>66</v>
      </c>
      <c r="B69" s="26">
        <v>66</v>
      </c>
      <c r="C69" s="26">
        <v>66</v>
      </c>
      <c r="D69" s="422">
        <f>'ANALYSE - ERP =&gt; SOUS-SEGMENT'!$A$35</f>
        <v>28</v>
      </c>
      <c r="E69" s="411" t="str">
        <f>'ANALYSE - ERP =&gt; SOUS-SEGMENT'!$B$35</f>
        <v>Sports &amp; Loisirs</v>
      </c>
      <c r="F69" s="411" t="str">
        <f>'ANALYSE - ERP =&gt; SOUS-SEGMENT'!$C$35</f>
        <v>Loisirs de plein air</v>
      </c>
      <c r="G69" s="411" t="str">
        <f>'ANALYSE - ERP =&gt; SOUS-SEGMENT'!$D$35</f>
        <v>Centres de loisirs sans hébergement</v>
      </c>
      <c r="I69" s="427">
        <f t="shared" si="8"/>
        <v>314.53280039999999</v>
      </c>
      <c r="K69" s="787">
        <f t="shared" si="6"/>
        <v>0.76311532563457252</v>
      </c>
      <c r="L69" s="787">
        <f t="shared" si="7"/>
        <v>0.23688467436542751</v>
      </c>
      <c r="N69" s="424">
        <f>'ANALYSE - ERP =&gt; SOUS-SEGMENT'!$FD$35</f>
        <v>1572.664002</v>
      </c>
      <c r="O69" s="427">
        <f>'ANALYSE - ERP =&gt; SOUS-SEGMENT'!$GT$35</f>
        <v>295.90580039999998</v>
      </c>
      <c r="P69" s="427">
        <f>'ANALYSE - ERP =&gt; SOUS-SEGMENT'!$GW$35</f>
        <v>1190.6742015</v>
      </c>
      <c r="Q69" s="427">
        <f>'ANALYSE - ERP =&gt; SOUS-SEGMENT'!$GZ$35</f>
        <v>86.084000099999997</v>
      </c>
      <c r="S69" s="424">
        <f>'ANALYSE - ERP =&gt; SOUS-SEGMENT'!$FE$35</f>
        <v>1200.124002</v>
      </c>
      <c r="T69" s="427">
        <f>'ANALYSE - ERP =&gt; SOUS-SEGMENT'!$GU$35</f>
        <v>240.0248004</v>
      </c>
      <c r="U69" s="427">
        <f>'ANALYSE - ERP =&gt; SOUS-SEGMENT'!$GX$35</f>
        <v>900.09300150000001</v>
      </c>
      <c r="V69" s="427">
        <f>'ANALYSE - ERP =&gt; SOUS-SEGMENT'!$HA$35</f>
        <v>60.006200100000001</v>
      </c>
      <c r="X69" s="427">
        <f>'ANALYSE - ERP =&gt; SOUS-SEGMENT'!$FF$35</f>
        <v>372.54</v>
      </c>
      <c r="Y69" s="427">
        <f>'ANALYSE - ERP =&gt; SOUS-SEGMENT'!$GV$35</f>
        <v>55.881</v>
      </c>
      <c r="Z69" s="427">
        <f>'ANALYSE - ERP =&gt; SOUS-SEGMENT'!$GY$35</f>
        <v>290.58120000000002</v>
      </c>
      <c r="AA69" s="427">
        <f>'ANALYSE - ERP =&gt; SOUS-SEGMENT'!$HB$35</f>
        <v>26.077800000000003</v>
      </c>
      <c r="AC69" s="430">
        <f>'ANALYSE - ERP =&gt; SOUS-SEGMENT'!$Q$35</f>
        <v>1</v>
      </c>
    </row>
    <row r="70" spans="1:29" ht="15" customHeight="1">
      <c r="A70" s="26">
        <v>67</v>
      </c>
      <c r="B70" s="26">
        <v>67</v>
      </c>
      <c r="C70" s="26">
        <v>67</v>
      </c>
      <c r="D70" s="422">
        <f>'ANALYSE - ERP =&gt; SOUS-SEGMENT'!$A$53</f>
        <v>46</v>
      </c>
      <c r="E70" s="413" t="str">
        <f>'ANALYSE - ERP =&gt; SOUS-SEGMENT'!$B$53</f>
        <v>Santé &amp; Médico-social</v>
      </c>
      <c r="F70" s="413" t="str">
        <f>'ANALYSE - ERP =&gt; SOUS-SEGMENT'!$C$53</f>
        <v>Santé ambulatoire</v>
      </c>
      <c r="G70" s="413" t="str">
        <f>'ANALYSE - ERP =&gt; SOUS-SEGMENT'!$D$53</f>
        <v>Centres de santé / Centres médicaux</v>
      </c>
      <c r="I70" s="427">
        <f t="shared" si="8"/>
        <v>74.784028810636372</v>
      </c>
      <c r="K70" s="787">
        <f t="shared" si="6"/>
        <v>0.66616417439589448</v>
      </c>
      <c r="L70" s="787">
        <f t="shared" si="7"/>
        <v>0.33383582560410546</v>
      </c>
      <c r="N70" s="424">
        <f>'ANALYSE - ERP =&gt; SOUS-SEGMENT'!$FD$53</f>
        <v>373.92014405318184</v>
      </c>
      <c r="O70" s="427">
        <f>'ANALYSE - ERP =&gt; SOUS-SEGMENT'!$GT$53</f>
        <v>295.55632936818182</v>
      </c>
      <c r="P70" s="427">
        <f>'ANALYSE - ERP =&gt; SOUS-SEGMENT'!$GW$53</f>
        <v>57.948636635000014</v>
      </c>
      <c r="Q70" s="427">
        <f>'ANALYSE - ERP =&gt; SOUS-SEGMENT'!$GZ$53</f>
        <v>20.415178050000002</v>
      </c>
      <c r="S70" s="424">
        <f>'ANALYSE - ERP =&gt; SOUS-SEGMENT'!$FE$53</f>
        <v>249.09220405318183</v>
      </c>
      <c r="T70" s="427">
        <f>'ANALYSE - ERP =&gt; SOUS-SEGMENT'!$GU$53</f>
        <v>196.94225676818181</v>
      </c>
      <c r="U70" s="427">
        <f>'ANALYSE - ERP =&gt; SOUS-SEGMENT'!$GX$53</f>
        <v>37.976166235000015</v>
      </c>
      <c r="V70" s="427">
        <f>'ANALYSE - ERP =&gt; SOUS-SEGMENT'!$HA$53</f>
        <v>14.173781050000002</v>
      </c>
      <c r="X70" s="427">
        <f>'ANALYSE - ERP =&gt; SOUS-SEGMENT'!$FF$53</f>
        <v>124.82794</v>
      </c>
      <c r="Y70" s="427">
        <f>'ANALYSE - ERP =&gt; SOUS-SEGMENT'!$GV$53</f>
        <v>98.6140726</v>
      </c>
      <c r="Z70" s="427">
        <f>'ANALYSE - ERP =&gt; SOUS-SEGMENT'!$GY$53</f>
        <v>19.972470399999999</v>
      </c>
      <c r="AA70" s="427">
        <f>'ANALYSE - ERP =&gt; SOUS-SEGMENT'!$HB$53</f>
        <v>6.2413970000000001</v>
      </c>
      <c r="AC70" s="430">
        <f>'ANALYSE - ERP =&gt; SOUS-SEGMENT'!$Q$53</f>
        <v>1</v>
      </c>
    </row>
    <row r="71" spans="1:29" ht="15" customHeight="1">
      <c r="A71" s="26">
        <v>68</v>
      </c>
      <c r="B71" s="26">
        <v>68</v>
      </c>
      <c r="C71" s="26">
        <v>68</v>
      </c>
      <c r="D71" s="422">
        <f>'ANALYSE - ERP =&gt; SOUS-SEGMENT'!$A$54</f>
        <v>47</v>
      </c>
      <c r="E71" s="408" t="str">
        <f>'ANALYSE - ERP =&gt; SOUS-SEGMENT'!$B$54</f>
        <v>Santé &amp; Médico-social</v>
      </c>
      <c r="F71" s="408" t="str">
        <f>'ANALYSE - ERP =&gt; SOUS-SEGMENT'!$C$54</f>
        <v>Santé ambulatoire</v>
      </c>
      <c r="G71" s="408" t="str">
        <f>'ANALYSE - ERP =&gt; SOUS-SEGMENT'!$D$54</f>
        <v>Maisons de santé</v>
      </c>
      <c r="I71" s="427">
        <f t="shared" si="8"/>
        <v>0</v>
      </c>
      <c r="K71" s="787" t="str">
        <f t="shared" si="6"/>
        <v/>
      </c>
      <c r="L71" s="787" t="str">
        <f t="shared" si="7"/>
        <v/>
      </c>
      <c r="N71" s="424">
        <f>'ANALYSE - ERP =&gt; SOUS-SEGMENT'!$FD$54</f>
        <v>0</v>
      </c>
      <c r="O71" s="427">
        <f>'ANALYSE - ERP =&gt; SOUS-SEGMENT'!$GT$54</f>
        <v>0</v>
      </c>
      <c r="P71" s="427">
        <f>'ANALYSE - ERP =&gt; SOUS-SEGMENT'!$GW$54</f>
        <v>0</v>
      </c>
      <c r="Q71" s="427">
        <f>'ANALYSE - ERP =&gt; SOUS-SEGMENT'!$GZ$54</f>
        <v>0</v>
      </c>
      <c r="S71" s="424">
        <f>'ANALYSE - ERP =&gt; SOUS-SEGMENT'!$FE$54</f>
        <v>0</v>
      </c>
      <c r="T71" s="427">
        <f>'ANALYSE - ERP =&gt; SOUS-SEGMENT'!$GU$54</f>
        <v>0</v>
      </c>
      <c r="U71" s="427">
        <f>'ANALYSE - ERP =&gt; SOUS-SEGMENT'!$GX$54</f>
        <v>0</v>
      </c>
      <c r="V71" s="427">
        <f>'ANALYSE - ERP =&gt; SOUS-SEGMENT'!$HA$54</f>
        <v>0</v>
      </c>
      <c r="X71" s="427">
        <f>'ANALYSE - ERP =&gt; SOUS-SEGMENT'!$FF$54</f>
        <v>0</v>
      </c>
      <c r="Y71" s="427">
        <f>'ANALYSE - ERP =&gt; SOUS-SEGMENT'!$GV$54</f>
        <v>0</v>
      </c>
      <c r="Z71" s="427">
        <f>'ANALYSE - ERP =&gt; SOUS-SEGMENT'!$GY$54</f>
        <v>0</v>
      </c>
      <c r="AA71" s="427">
        <f>'ANALYSE - ERP =&gt; SOUS-SEGMENT'!$HB$54</f>
        <v>0</v>
      </c>
      <c r="AC71" s="430">
        <f>'ANALYSE - ERP =&gt; SOUS-SEGMENT'!$Q$54</f>
        <v>1</v>
      </c>
    </row>
    <row r="72" spans="1:29" ht="15" customHeight="1">
      <c r="A72" s="26">
        <v>69</v>
      </c>
      <c r="B72" s="26">
        <v>69</v>
      </c>
      <c r="C72" s="26">
        <v>69</v>
      </c>
      <c r="D72" s="422">
        <f>'ANALYSE - ERP =&gt; SOUS-SEGMENT'!$A$62</f>
        <v>55</v>
      </c>
      <c r="E72" s="415" t="str">
        <f>'ANALYSE - ERP =&gt; SOUS-SEGMENT'!$B$62</f>
        <v>Culture, Patrimoine &amp; Evénementiel</v>
      </c>
      <c r="F72" s="415" t="str">
        <f>'ANALYSE - ERP =&gt; SOUS-SEGMENT'!$C$62</f>
        <v>Culture / spectacle</v>
      </c>
      <c r="G72" s="415" t="str">
        <f>'ANALYSE - ERP =&gt; SOUS-SEGMENT'!$D$62</f>
        <v>Cinémas</v>
      </c>
      <c r="I72" s="427">
        <f t="shared" si="8"/>
        <v>0</v>
      </c>
      <c r="K72" s="787" t="str">
        <f t="shared" si="6"/>
        <v/>
      </c>
      <c r="L72" s="787" t="str">
        <f t="shared" si="7"/>
        <v/>
      </c>
      <c r="N72" s="424">
        <f>'ANALYSE - ERP =&gt; SOUS-SEGMENT'!$FD$62</f>
        <v>0</v>
      </c>
      <c r="O72" s="427">
        <f>'ANALYSE - ERP =&gt; SOUS-SEGMENT'!$GT$62</f>
        <v>0</v>
      </c>
      <c r="P72" s="427">
        <f>'ANALYSE - ERP =&gt; SOUS-SEGMENT'!$GW$62</f>
        <v>0</v>
      </c>
      <c r="Q72" s="427">
        <f>'ANALYSE - ERP =&gt; SOUS-SEGMENT'!$GZ$62</f>
        <v>0</v>
      </c>
      <c r="S72" s="424">
        <f>'ANALYSE - ERP =&gt; SOUS-SEGMENT'!$FE$62</f>
        <v>0</v>
      </c>
      <c r="T72" s="427">
        <f>'ANALYSE - ERP =&gt; SOUS-SEGMENT'!$GU$62</f>
        <v>0</v>
      </c>
      <c r="U72" s="427">
        <f>'ANALYSE - ERP =&gt; SOUS-SEGMENT'!$GX$62</f>
        <v>0</v>
      </c>
      <c r="V72" s="427">
        <f>'ANALYSE - ERP =&gt; SOUS-SEGMENT'!$HA$62</f>
        <v>0</v>
      </c>
      <c r="X72" s="427">
        <f>'ANALYSE - ERP =&gt; SOUS-SEGMENT'!$FF$62</f>
        <v>0</v>
      </c>
      <c r="Y72" s="427">
        <f>'ANALYSE - ERP =&gt; SOUS-SEGMENT'!$GV$62</f>
        <v>0</v>
      </c>
      <c r="Z72" s="427">
        <f>'ANALYSE - ERP =&gt; SOUS-SEGMENT'!$GY$62</f>
        <v>0</v>
      </c>
      <c r="AA72" s="427">
        <f>'ANALYSE - ERP =&gt; SOUS-SEGMENT'!$HB$62</f>
        <v>0</v>
      </c>
      <c r="AC72" s="430">
        <f>'ANALYSE - ERP =&gt; SOUS-SEGMENT'!$Q$62</f>
        <v>1</v>
      </c>
    </row>
    <row r="73" spans="1:29" s="45" customFormat="1" ht="15" customHeight="1">
      <c r="A73" s="26">
        <v>70</v>
      </c>
      <c r="B73" s="26">
        <v>70</v>
      </c>
      <c r="C73" s="26">
        <v>70</v>
      </c>
      <c r="D73" s="422">
        <f>'ANALYSE - ERP =&gt; SOUS-SEGMENT'!$A$63</f>
        <v>56</v>
      </c>
      <c r="E73" s="410" t="str">
        <f>'ANALYSE - ERP =&gt; SOUS-SEGMENT'!$B$63</f>
        <v>Culture, Patrimoine &amp; Evénementiel</v>
      </c>
      <c r="F73" s="410" t="str">
        <f>'ANALYSE - ERP =&gt; SOUS-SEGMENT'!$C$63</f>
        <v>Culture / spectacle</v>
      </c>
      <c r="G73" s="410" t="str">
        <f>'ANALYSE - ERP =&gt; SOUS-SEGMENT'!$D$63</f>
        <v>Théâtres</v>
      </c>
      <c r="H73" s="685"/>
      <c r="I73" s="427">
        <f t="shared" si="8"/>
        <v>107.13001269059828</v>
      </c>
      <c r="J73" s="685"/>
      <c r="K73" s="787">
        <f t="shared" si="6"/>
        <v>0.78239524653724002</v>
      </c>
      <c r="L73" s="787">
        <f t="shared" si="7"/>
        <v>0.21760475346276012</v>
      </c>
      <c r="M73" s="685"/>
      <c r="N73" s="424">
        <f>'ANALYSE - ERP =&gt; SOUS-SEGMENT'!$FD$63</f>
        <v>535.65006345299139</v>
      </c>
      <c r="O73" s="427">
        <f>'ANALYSE - ERP =&gt; SOUS-SEGMENT'!$GT$63</f>
        <v>219.63780123076921</v>
      </c>
      <c r="P73" s="427">
        <f>'ANALYSE - ERP =&gt; SOUS-SEGMENT'!$GW$63</f>
        <v>244.32917600000002</v>
      </c>
      <c r="Q73" s="427">
        <f>'ANALYSE - ERP =&gt; SOUS-SEGMENT'!$GZ$63</f>
        <v>71.683086222222215</v>
      </c>
      <c r="R73" s="685"/>
      <c r="S73" s="424">
        <f>'ANALYSE - ERP =&gt; SOUS-SEGMENT'!$FE$63</f>
        <v>419.09006345299144</v>
      </c>
      <c r="T73" s="427">
        <f>'ANALYSE - ERP =&gt; SOUS-SEGMENT'!$GU$63</f>
        <v>173.01380123076922</v>
      </c>
      <c r="U73" s="427">
        <f>'ANALYSE - ERP =&gt; SOUS-SEGMENT'!$GX$63</f>
        <v>189.54597600000002</v>
      </c>
      <c r="V73" s="427">
        <f>'ANALYSE - ERP =&gt; SOUS-SEGMENT'!$HA$63</f>
        <v>56.530286222222216</v>
      </c>
      <c r="W73" s="685"/>
      <c r="X73" s="427">
        <f>'ANALYSE - ERP =&gt; SOUS-SEGMENT'!$FF$63</f>
        <v>116.56</v>
      </c>
      <c r="Y73" s="427">
        <f>'ANALYSE - ERP =&gt; SOUS-SEGMENT'!$GV$63</f>
        <v>46.624000000000002</v>
      </c>
      <c r="Z73" s="427">
        <f>'ANALYSE - ERP =&gt; SOUS-SEGMENT'!$GY$63</f>
        <v>54.783200000000001</v>
      </c>
      <c r="AA73" s="427">
        <f>'ANALYSE - ERP =&gt; SOUS-SEGMENT'!$HB$63</f>
        <v>15.152800000000001</v>
      </c>
      <c r="AB73" s="685"/>
      <c r="AC73" s="430">
        <f>'ANALYSE - ERP =&gt; SOUS-SEGMENT'!$Q$63</f>
        <v>1</v>
      </c>
    </row>
    <row r="74" spans="1:29" ht="15" customHeight="1">
      <c r="A74" s="26">
        <v>71</v>
      </c>
      <c r="B74" s="26">
        <v>71</v>
      </c>
      <c r="C74" s="26">
        <v>71</v>
      </c>
      <c r="D74" s="422">
        <f>'ANALYSE - ERP =&gt; SOUS-SEGMENT'!$A$64</f>
        <v>57</v>
      </c>
      <c r="E74" s="415" t="str">
        <f>'ANALYSE - ERP =&gt; SOUS-SEGMENT'!$B$64</f>
        <v>Culture, Patrimoine &amp; Evénementiel</v>
      </c>
      <c r="F74" s="415" t="str">
        <f>'ANALYSE - ERP =&gt; SOUS-SEGMENT'!$C$64</f>
        <v>Culture / spectacle</v>
      </c>
      <c r="G74" s="415" t="str">
        <f>'ANALYSE - ERP =&gt; SOUS-SEGMENT'!$D$64</f>
        <v>Musées</v>
      </c>
      <c r="I74" s="427">
        <f t="shared" si="8"/>
        <v>0</v>
      </c>
      <c r="K74" s="787" t="str">
        <f t="shared" si="6"/>
        <v/>
      </c>
      <c r="L74" s="787" t="str">
        <f t="shared" si="7"/>
        <v/>
      </c>
      <c r="N74" s="424">
        <f>'ANALYSE - ERP =&gt; SOUS-SEGMENT'!$FD$64</f>
        <v>0</v>
      </c>
      <c r="O74" s="427">
        <f>'ANALYSE - ERP =&gt; SOUS-SEGMENT'!$GT$64</f>
        <v>0</v>
      </c>
      <c r="P74" s="427">
        <f>'ANALYSE - ERP =&gt; SOUS-SEGMENT'!$GW$64</f>
        <v>0</v>
      </c>
      <c r="Q74" s="427">
        <f>'ANALYSE - ERP =&gt; SOUS-SEGMENT'!$GZ$64</f>
        <v>0</v>
      </c>
      <c r="S74" s="424">
        <f>'ANALYSE - ERP =&gt; SOUS-SEGMENT'!$FE$64</f>
        <v>0</v>
      </c>
      <c r="T74" s="427">
        <f>'ANALYSE - ERP =&gt; SOUS-SEGMENT'!$GU$64</f>
        <v>0</v>
      </c>
      <c r="U74" s="427">
        <f>'ANALYSE - ERP =&gt; SOUS-SEGMENT'!$GX$64</f>
        <v>0</v>
      </c>
      <c r="V74" s="427">
        <f>'ANALYSE - ERP =&gt; SOUS-SEGMENT'!$HA$64</f>
        <v>0</v>
      </c>
      <c r="X74" s="427">
        <f>'ANALYSE - ERP =&gt; SOUS-SEGMENT'!$FF$64</f>
        <v>0</v>
      </c>
      <c r="Y74" s="427">
        <f>'ANALYSE - ERP =&gt; SOUS-SEGMENT'!$GV$64</f>
        <v>0</v>
      </c>
      <c r="Z74" s="427">
        <f>'ANALYSE - ERP =&gt; SOUS-SEGMENT'!$GY$64</f>
        <v>0</v>
      </c>
      <c r="AA74" s="427">
        <f>'ANALYSE - ERP =&gt; SOUS-SEGMENT'!$HB$64</f>
        <v>0</v>
      </c>
      <c r="AC74" s="430">
        <f>'ANALYSE - ERP =&gt; SOUS-SEGMENT'!$Q$64</f>
        <v>1</v>
      </c>
    </row>
    <row r="75" spans="1:29" ht="15" customHeight="1">
      <c r="A75" s="26">
        <v>72</v>
      </c>
      <c r="B75" s="26">
        <v>72</v>
      </c>
      <c r="C75" s="26">
        <v>72</v>
      </c>
      <c r="D75" s="422">
        <f>'ANALYSE - ERP =&gt; SOUS-SEGMENT'!$A$68</f>
        <v>61</v>
      </c>
      <c r="E75" s="415" t="str">
        <f>'ANALYSE - ERP =&gt; SOUS-SEGMENT'!$B$68</f>
        <v>Culture, Patrimoine &amp; Evénementiel</v>
      </c>
      <c r="F75" s="415" t="str">
        <f>'ANALYSE - ERP =&gt; SOUS-SEGMENT'!$C$68</f>
        <v>Culture / spectacle</v>
      </c>
      <c r="G75" s="415" t="str">
        <f>'ANALYSE - ERP =&gt; SOUS-SEGMENT'!$D$68</f>
        <v>Bibliothèques / Médiathèques</v>
      </c>
      <c r="I75" s="427">
        <f t="shared" si="8"/>
        <v>0</v>
      </c>
      <c r="K75" s="787" t="str">
        <f t="shared" si="6"/>
        <v/>
      </c>
      <c r="L75" s="787" t="str">
        <f t="shared" si="7"/>
        <v/>
      </c>
      <c r="N75" s="424">
        <f>'ANALYSE - ERP =&gt; SOUS-SEGMENT'!$FD$68</f>
        <v>0</v>
      </c>
      <c r="O75" s="427">
        <f>'ANALYSE - ERP =&gt; SOUS-SEGMENT'!$GT$68</f>
        <v>0</v>
      </c>
      <c r="P75" s="427">
        <f>'ANALYSE - ERP =&gt; SOUS-SEGMENT'!$GW$68</f>
        <v>0</v>
      </c>
      <c r="Q75" s="427">
        <f>'ANALYSE - ERP =&gt; SOUS-SEGMENT'!$GZ$68</f>
        <v>0</v>
      </c>
      <c r="S75" s="424">
        <f>'ANALYSE - ERP =&gt; SOUS-SEGMENT'!$FE$68</f>
        <v>0</v>
      </c>
      <c r="T75" s="427">
        <f>'ANALYSE - ERP =&gt; SOUS-SEGMENT'!$GU$68</f>
        <v>0</v>
      </c>
      <c r="U75" s="427">
        <f>'ANALYSE - ERP =&gt; SOUS-SEGMENT'!$GX$68</f>
        <v>0</v>
      </c>
      <c r="V75" s="427">
        <f>'ANALYSE - ERP =&gt; SOUS-SEGMENT'!$HA$68</f>
        <v>0</v>
      </c>
      <c r="X75" s="427">
        <f>'ANALYSE - ERP =&gt; SOUS-SEGMENT'!$FF$68</f>
        <v>0</v>
      </c>
      <c r="Y75" s="427">
        <f>'ANALYSE - ERP =&gt; SOUS-SEGMENT'!$GV$68</f>
        <v>0</v>
      </c>
      <c r="Z75" s="427">
        <f>'ANALYSE - ERP =&gt; SOUS-SEGMENT'!$GY$68</f>
        <v>0</v>
      </c>
      <c r="AA75" s="427">
        <f>'ANALYSE - ERP =&gt; SOUS-SEGMENT'!$HB$68</f>
        <v>0</v>
      </c>
      <c r="AC75" s="430">
        <f>'ANALYSE - ERP =&gt; SOUS-SEGMENT'!$Q$68</f>
        <v>1</v>
      </c>
    </row>
    <row r="76" spans="1:29" ht="15" customHeight="1">
      <c r="A76" s="26">
        <v>73</v>
      </c>
      <c r="B76" s="26">
        <v>73</v>
      </c>
      <c r="C76" s="26">
        <v>73</v>
      </c>
      <c r="D76" s="422">
        <f>'ANALYSE - ERP =&gt; SOUS-SEGMENT'!$A$76</f>
        <v>69</v>
      </c>
      <c r="E76" s="417" t="str">
        <f>'ANALYSE - ERP =&gt; SOUS-SEGMENT'!$B$76</f>
        <v>Commerce, Restauration &amp; Loisirs</v>
      </c>
      <c r="F76" s="417" t="str">
        <f>'ANALYSE - ERP =&gt; SOUS-SEGMENT'!$C$76</f>
        <v>Restauration / boissons</v>
      </c>
      <c r="G76" s="417" t="str">
        <f>'ANALYSE - ERP =&gt; SOUS-SEGMENT'!$D$76</f>
        <v>Cafés / bars / brasseries</v>
      </c>
      <c r="I76" s="427">
        <f t="shared" si="8"/>
        <v>0</v>
      </c>
      <c r="K76" s="787" t="str">
        <f t="shared" si="6"/>
        <v/>
      </c>
      <c r="L76" s="787" t="str">
        <f t="shared" si="7"/>
        <v/>
      </c>
      <c r="N76" s="424">
        <f>'ANALYSE - ERP =&gt; SOUS-SEGMENT'!$FD$76</f>
        <v>0</v>
      </c>
      <c r="O76" s="427">
        <f>'ANALYSE - ERP =&gt; SOUS-SEGMENT'!$GT$76</f>
        <v>0</v>
      </c>
      <c r="P76" s="427">
        <f>'ANALYSE - ERP =&gt; SOUS-SEGMENT'!$GW$76</f>
        <v>0</v>
      </c>
      <c r="Q76" s="427">
        <f>'ANALYSE - ERP =&gt; SOUS-SEGMENT'!$GZ$76</f>
        <v>0</v>
      </c>
      <c r="S76" s="424">
        <f>'ANALYSE - ERP =&gt; SOUS-SEGMENT'!$FE$76</f>
        <v>0</v>
      </c>
      <c r="T76" s="427">
        <f>'ANALYSE - ERP =&gt; SOUS-SEGMENT'!$GU$76</f>
        <v>0</v>
      </c>
      <c r="U76" s="427">
        <f>'ANALYSE - ERP =&gt; SOUS-SEGMENT'!$GX$76</f>
        <v>0</v>
      </c>
      <c r="V76" s="427">
        <f>'ANALYSE - ERP =&gt; SOUS-SEGMENT'!$HA$76</f>
        <v>0</v>
      </c>
      <c r="X76" s="427">
        <f>'ANALYSE - ERP =&gt; SOUS-SEGMENT'!$FF$76</f>
        <v>0</v>
      </c>
      <c r="Y76" s="427">
        <f>'ANALYSE - ERP =&gt; SOUS-SEGMENT'!$GV$76</f>
        <v>0</v>
      </c>
      <c r="Z76" s="427">
        <f>'ANALYSE - ERP =&gt; SOUS-SEGMENT'!$GY$76</f>
        <v>0</v>
      </c>
      <c r="AA76" s="427">
        <f>'ANALYSE - ERP =&gt; SOUS-SEGMENT'!$HB$76</f>
        <v>0</v>
      </c>
      <c r="AC76" s="430">
        <f>'ANALYSE - ERP =&gt; SOUS-SEGMENT'!$Q$76</f>
        <v>1</v>
      </c>
    </row>
    <row r="77" spans="1:29" ht="15" customHeight="1">
      <c r="A77" s="26">
        <v>74</v>
      </c>
      <c r="B77" s="26">
        <v>74</v>
      </c>
      <c r="C77" s="26">
        <v>74</v>
      </c>
      <c r="D77" s="422">
        <f>'ANALYSE - ERP =&gt; SOUS-SEGMENT'!$A$77</f>
        <v>70</v>
      </c>
      <c r="E77" s="417" t="str">
        <f>'ANALYSE - ERP =&gt; SOUS-SEGMENT'!$B$77</f>
        <v>Commerce, Restauration &amp; Loisirs</v>
      </c>
      <c r="F77" s="417" t="str">
        <f>'ANALYSE - ERP =&gt; SOUS-SEGMENT'!$C$77</f>
        <v>Restauration / boissons</v>
      </c>
      <c r="G77" s="417" t="str">
        <f>'ANALYSE - ERP =&gt; SOUS-SEGMENT'!$D$77</f>
        <v>Fast-food / Cafétérias / Food courts</v>
      </c>
      <c r="I77" s="427">
        <f t="shared" si="8"/>
        <v>0</v>
      </c>
      <c r="K77" s="787" t="str">
        <f t="shared" si="6"/>
        <v/>
      </c>
      <c r="L77" s="787" t="str">
        <f t="shared" si="7"/>
        <v/>
      </c>
      <c r="N77" s="424">
        <f>'ANALYSE - ERP =&gt; SOUS-SEGMENT'!$FD$77</f>
        <v>0</v>
      </c>
      <c r="O77" s="427">
        <f>'ANALYSE - ERP =&gt; SOUS-SEGMENT'!$GT$77</f>
        <v>0</v>
      </c>
      <c r="P77" s="427">
        <f>'ANALYSE - ERP =&gt; SOUS-SEGMENT'!$GW$77</f>
        <v>0</v>
      </c>
      <c r="Q77" s="427">
        <f>'ANALYSE - ERP =&gt; SOUS-SEGMENT'!$GZ$77</f>
        <v>0</v>
      </c>
      <c r="S77" s="424">
        <f>'ANALYSE - ERP =&gt; SOUS-SEGMENT'!$FE$77</f>
        <v>0</v>
      </c>
      <c r="T77" s="427">
        <f>'ANALYSE - ERP =&gt; SOUS-SEGMENT'!$GU$77</f>
        <v>0</v>
      </c>
      <c r="U77" s="427">
        <f>'ANALYSE - ERP =&gt; SOUS-SEGMENT'!$GX$77</f>
        <v>0</v>
      </c>
      <c r="V77" s="427">
        <f>'ANALYSE - ERP =&gt; SOUS-SEGMENT'!$HA$77</f>
        <v>0</v>
      </c>
      <c r="X77" s="427">
        <f>'ANALYSE - ERP =&gt; SOUS-SEGMENT'!$FF$77</f>
        <v>0</v>
      </c>
      <c r="Y77" s="427">
        <f>'ANALYSE - ERP =&gt; SOUS-SEGMENT'!$GV$77</f>
        <v>0</v>
      </c>
      <c r="Z77" s="427">
        <f>'ANALYSE - ERP =&gt; SOUS-SEGMENT'!$GY$77</f>
        <v>0</v>
      </c>
      <c r="AA77" s="427">
        <f>'ANALYSE - ERP =&gt; SOUS-SEGMENT'!$HB$77</f>
        <v>0</v>
      </c>
      <c r="AC77" s="430">
        <f>'ANALYSE - ERP =&gt; SOUS-SEGMENT'!$Q$77</f>
        <v>1</v>
      </c>
    </row>
    <row r="78" spans="1:29" ht="15" customHeight="1">
      <c r="A78" s="26">
        <v>75</v>
      </c>
      <c r="B78" s="26">
        <v>75</v>
      </c>
      <c r="C78" s="26">
        <v>75</v>
      </c>
      <c r="D78" s="422">
        <f>'ANALYSE - ERP =&gt; SOUS-SEGMENT'!$A$41</f>
        <v>34</v>
      </c>
      <c r="E78" s="414" t="str">
        <f>'ANALYSE - ERP =&gt; SOUS-SEGMENT'!$B$41</f>
        <v>Sports &amp; Loisirs</v>
      </c>
      <c r="F78" s="414" t="str">
        <f>'ANALYSE - ERP =&gt; SOUS-SEGMENT'!$C$41</f>
        <v>Loisirs</v>
      </c>
      <c r="G78" s="414" t="str">
        <f>'ANALYSE - ERP =&gt; SOUS-SEGMENT'!$D$41</f>
        <v>Salles de jeux / Bowlings / Billards</v>
      </c>
      <c r="I78" s="427">
        <f t="shared" si="8"/>
        <v>0</v>
      </c>
      <c r="K78" s="787" t="str">
        <f t="shared" si="6"/>
        <v/>
      </c>
      <c r="L78" s="787" t="str">
        <f t="shared" si="7"/>
        <v/>
      </c>
      <c r="N78" s="424">
        <f>'ANALYSE - ERP =&gt; SOUS-SEGMENT'!$FD$41</f>
        <v>0</v>
      </c>
      <c r="O78" s="427">
        <f>'ANALYSE - ERP =&gt; SOUS-SEGMENT'!$GT$41</f>
        <v>0</v>
      </c>
      <c r="P78" s="427">
        <f>'ANALYSE - ERP =&gt; SOUS-SEGMENT'!$GW$41</f>
        <v>0</v>
      </c>
      <c r="Q78" s="427">
        <f>'ANALYSE - ERP =&gt; SOUS-SEGMENT'!$GZ$41</f>
        <v>0</v>
      </c>
      <c r="S78" s="424">
        <f>'ANALYSE - ERP =&gt; SOUS-SEGMENT'!$FE$41</f>
        <v>0</v>
      </c>
      <c r="T78" s="427">
        <f>'ANALYSE - ERP =&gt; SOUS-SEGMENT'!$GU$41</f>
        <v>0</v>
      </c>
      <c r="U78" s="427">
        <f>'ANALYSE - ERP =&gt; SOUS-SEGMENT'!$GX$41</f>
        <v>0</v>
      </c>
      <c r="V78" s="427">
        <f>'ANALYSE - ERP =&gt; SOUS-SEGMENT'!$HA$41</f>
        <v>0</v>
      </c>
      <c r="X78" s="427">
        <f>'ANALYSE - ERP =&gt; SOUS-SEGMENT'!$FF$41</f>
        <v>0</v>
      </c>
      <c r="Y78" s="427">
        <f>'ANALYSE - ERP =&gt; SOUS-SEGMENT'!$GV$41</f>
        <v>0</v>
      </c>
      <c r="Z78" s="427">
        <f>'ANALYSE - ERP =&gt; SOUS-SEGMENT'!$GY$41</f>
        <v>0</v>
      </c>
      <c r="AA78" s="427">
        <f>'ANALYSE - ERP =&gt; SOUS-SEGMENT'!$HB$41</f>
        <v>0</v>
      </c>
      <c r="AC78" s="430">
        <f>'ANALYSE - ERP =&gt; SOUS-SEGMENT'!$Q$41</f>
        <v>1</v>
      </c>
    </row>
    <row r="79" spans="1:29" ht="15" customHeight="1">
      <c r="A79" s="26">
        <v>76</v>
      </c>
      <c r="B79" s="26">
        <v>76</v>
      </c>
      <c r="C79" s="26">
        <v>76</v>
      </c>
      <c r="D79" s="422">
        <f>'ANALYSE - ERP =&gt; SOUS-SEGMENT'!$A$42</f>
        <v>35</v>
      </c>
      <c r="E79" s="413" t="str">
        <f>'ANALYSE - ERP =&gt; SOUS-SEGMENT'!$B$42</f>
        <v>Sports &amp; Loisirs</v>
      </c>
      <c r="F79" s="413" t="str">
        <f>'ANALYSE - ERP =&gt; SOUS-SEGMENT'!$C$42</f>
        <v>Loisirs</v>
      </c>
      <c r="G79" s="413" t="str">
        <f>'ANALYSE - ERP =&gt; SOUS-SEGMENT'!$D$42</f>
        <v>Discothèques / Salles de danse</v>
      </c>
      <c r="I79" s="427">
        <f t="shared" si="8"/>
        <v>0</v>
      </c>
      <c r="K79" s="787" t="str">
        <f t="shared" si="6"/>
        <v/>
      </c>
      <c r="L79" s="787" t="str">
        <f t="shared" si="7"/>
        <v/>
      </c>
      <c r="N79" s="424">
        <f>'ANALYSE - ERP =&gt; SOUS-SEGMENT'!$FD$42</f>
        <v>0</v>
      </c>
      <c r="O79" s="427">
        <f>'ANALYSE - ERP =&gt; SOUS-SEGMENT'!$GT$42</f>
        <v>0</v>
      </c>
      <c r="P79" s="427">
        <f>'ANALYSE - ERP =&gt; SOUS-SEGMENT'!$GW$42</f>
        <v>0</v>
      </c>
      <c r="Q79" s="427">
        <f>'ANALYSE - ERP =&gt; SOUS-SEGMENT'!$GZ$42</f>
        <v>0</v>
      </c>
      <c r="S79" s="424">
        <f>'ANALYSE - ERP =&gt; SOUS-SEGMENT'!$FE$42</f>
        <v>0</v>
      </c>
      <c r="T79" s="427">
        <f>'ANALYSE - ERP =&gt; SOUS-SEGMENT'!$GU$42</f>
        <v>0</v>
      </c>
      <c r="U79" s="427">
        <f>'ANALYSE - ERP =&gt; SOUS-SEGMENT'!$GX$42</f>
        <v>0</v>
      </c>
      <c r="V79" s="427">
        <f>'ANALYSE - ERP =&gt; SOUS-SEGMENT'!$HA$42</f>
        <v>0</v>
      </c>
      <c r="X79" s="427">
        <f>'ANALYSE - ERP =&gt; SOUS-SEGMENT'!$FF$42</f>
        <v>0</v>
      </c>
      <c r="Y79" s="427">
        <f>'ANALYSE - ERP =&gt; SOUS-SEGMENT'!$GV$42</f>
        <v>0</v>
      </c>
      <c r="Z79" s="427">
        <f>'ANALYSE - ERP =&gt; SOUS-SEGMENT'!$GY$42</f>
        <v>0</v>
      </c>
      <c r="AA79" s="427">
        <f>'ANALYSE - ERP =&gt; SOUS-SEGMENT'!$HB$42</f>
        <v>0</v>
      </c>
      <c r="AC79" s="430">
        <f>'ANALYSE - ERP =&gt; SOUS-SEGMENT'!$Q$42</f>
        <v>1</v>
      </c>
    </row>
    <row r="80" spans="1:29" ht="15" customHeight="1">
      <c r="A80" s="26">
        <v>77</v>
      </c>
      <c r="B80" s="26">
        <v>77</v>
      </c>
      <c r="C80" s="26">
        <v>77</v>
      </c>
      <c r="D80" s="422">
        <f>'ANALYSE - ERP =&gt; SOUS-SEGMENT'!$A$81</f>
        <v>74</v>
      </c>
      <c r="E80" s="417" t="str">
        <f>'ANALYSE - ERP =&gt; SOUS-SEGMENT'!$B$81</f>
        <v>Commerce, Restauration &amp; Loisirs</v>
      </c>
      <c r="F80" s="417" t="str">
        <f>'ANALYSE - ERP =&gt; SOUS-SEGMENT'!$C$81</f>
        <v>Commerce</v>
      </c>
      <c r="G80" s="417" t="str">
        <f>'ANALYSE - ERP =&gt; SOUS-SEGMENT'!$D$81</f>
        <v>Marchés couverts</v>
      </c>
      <c r="I80" s="427">
        <f t="shared" si="8"/>
        <v>0</v>
      </c>
      <c r="K80" s="787" t="str">
        <f t="shared" si="6"/>
        <v/>
      </c>
      <c r="L80" s="787" t="str">
        <f t="shared" si="7"/>
        <v/>
      </c>
      <c r="N80" s="424">
        <f>'ANALYSE - ERP =&gt; SOUS-SEGMENT'!$FD$81</f>
        <v>0</v>
      </c>
      <c r="O80" s="427">
        <f>'ANALYSE - ERP =&gt; SOUS-SEGMENT'!$GT$81</f>
        <v>0</v>
      </c>
      <c r="P80" s="427">
        <f>'ANALYSE - ERP =&gt; SOUS-SEGMENT'!$GW$81</f>
        <v>0</v>
      </c>
      <c r="Q80" s="427">
        <f>'ANALYSE - ERP =&gt; SOUS-SEGMENT'!$GZ$81</f>
        <v>0</v>
      </c>
      <c r="S80" s="424">
        <f>'ANALYSE - ERP =&gt; SOUS-SEGMENT'!$FE$81</f>
        <v>0</v>
      </c>
      <c r="T80" s="427">
        <f>'ANALYSE - ERP =&gt; SOUS-SEGMENT'!$GU$81</f>
        <v>0</v>
      </c>
      <c r="U80" s="427">
        <f>'ANALYSE - ERP =&gt; SOUS-SEGMENT'!$GX$81</f>
        <v>0</v>
      </c>
      <c r="V80" s="427">
        <f>'ANALYSE - ERP =&gt; SOUS-SEGMENT'!$HA$81</f>
        <v>0</v>
      </c>
      <c r="X80" s="427">
        <f>'ANALYSE - ERP =&gt; SOUS-SEGMENT'!$FF$81</f>
        <v>0</v>
      </c>
      <c r="Y80" s="427">
        <f>'ANALYSE - ERP =&gt; SOUS-SEGMENT'!$GV$81</f>
        <v>0</v>
      </c>
      <c r="Z80" s="427">
        <f>'ANALYSE - ERP =&gt; SOUS-SEGMENT'!$GY$81</f>
        <v>0</v>
      </c>
      <c r="AA80" s="427">
        <f>'ANALYSE - ERP =&gt; SOUS-SEGMENT'!$HB$81</f>
        <v>0</v>
      </c>
      <c r="AC80" s="430">
        <f>'ANALYSE - ERP =&gt; SOUS-SEGMENT'!$Q$81</f>
        <v>1</v>
      </c>
    </row>
    <row r="81" spans="1:29" ht="15" customHeight="1">
      <c r="A81" s="26">
        <v>78</v>
      </c>
      <c r="B81" s="26">
        <v>78</v>
      </c>
      <c r="C81" s="26">
        <v>78</v>
      </c>
      <c r="D81" s="422">
        <f>'ANALYSE - ERP =&gt; SOUS-SEGMENT'!$A$82</f>
        <v>75</v>
      </c>
      <c r="E81" s="415" t="str">
        <f>'ANALYSE - ERP =&gt; SOUS-SEGMENT'!$B$82</f>
        <v>Tertiaire &amp; Industriel</v>
      </c>
      <c r="F81" s="415" t="str">
        <f>'ANALYSE - ERP =&gt; SOUS-SEGMENT'!$C$82</f>
        <v>Bureaux</v>
      </c>
      <c r="G81" s="415" t="str">
        <f>'ANALYSE - ERP =&gt; SOUS-SEGMENT'!$D$82</f>
        <v>Bureaux Tertiaire Privé (&gt;50 salariés)
(hors usines et logistique )</v>
      </c>
      <c r="I81" s="427">
        <f t="shared" si="8"/>
        <v>489.25355065909088</v>
      </c>
      <c r="K81" s="787">
        <f t="shared" si="6"/>
        <v>0.87981845012511517</v>
      </c>
      <c r="L81" s="787">
        <f t="shared" si="7"/>
        <v>0.12018154987488477</v>
      </c>
      <c r="N81" s="424">
        <f>'ANALYSE - ERP =&gt; SOUS-SEGMENT'!$FD$82</f>
        <v>2446.2677532954544</v>
      </c>
      <c r="O81" s="427">
        <f>'ANALYSE - ERP =&gt; SOUS-SEGMENT'!$GT$82</f>
        <v>1098.1851562500001</v>
      </c>
      <c r="P81" s="427">
        <f>'ANALYSE - ERP =&gt; SOUS-SEGMENT'!$GW$82</f>
        <v>902.37269454545446</v>
      </c>
      <c r="Q81" s="427">
        <f>'ANALYSE - ERP =&gt; SOUS-SEGMENT'!$GZ$82</f>
        <v>445.7099025</v>
      </c>
      <c r="S81" s="424">
        <f>'ANALYSE - ERP =&gt; SOUS-SEGMENT'!$FE$82</f>
        <v>2152.2715032954543</v>
      </c>
      <c r="T81" s="427">
        <f>'ANALYSE - ERP =&gt; SOUS-SEGMENT'!$GU$82</f>
        <v>965.88684375000003</v>
      </c>
      <c r="U81" s="427">
        <f>'ANALYSE - ERP =&gt; SOUS-SEGMENT'!$GX$82</f>
        <v>796.53404454545444</v>
      </c>
      <c r="V81" s="427">
        <f>'ANALYSE - ERP =&gt; SOUS-SEGMENT'!$HA$82</f>
        <v>389.850615</v>
      </c>
      <c r="X81" s="427">
        <f>'ANALYSE - ERP =&gt; SOUS-SEGMENT'!$FF$82</f>
        <v>293.99624999999997</v>
      </c>
      <c r="Y81" s="427">
        <f>'ANALYSE - ERP =&gt; SOUS-SEGMENT'!$GV$82</f>
        <v>132.29831249999998</v>
      </c>
      <c r="Z81" s="427">
        <f>'ANALYSE - ERP =&gt; SOUS-SEGMENT'!$GY$82</f>
        <v>105.83864999999999</v>
      </c>
      <c r="AA81" s="427">
        <f>'ANALYSE - ERP =&gt; SOUS-SEGMENT'!$HB$82</f>
        <v>55.859287499999994</v>
      </c>
      <c r="AC81" s="430">
        <f>'ANALYSE - ERP =&gt; SOUS-SEGMENT'!$Q$82</f>
        <v>1</v>
      </c>
    </row>
    <row r="82" spans="1:29" ht="15" customHeight="1">
      <c r="A82" s="26">
        <v>79</v>
      </c>
      <c r="B82" s="26">
        <v>79</v>
      </c>
      <c r="C82" s="26">
        <v>79</v>
      </c>
      <c r="D82" s="422">
        <f>'ANALYSE - ERP =&gt; SOUS-SEGMENT'!$A$101</f>
        <v>94</v>
      </c>
      <c r="E82" s="412" t="str">
        <f>'ANALYSE - ERP =&gt; SOUS-SEGMENT'!$B$101</f>
        <v>Culte, Vie civique &amp; Services publics</v>
      </c>
      <c r="F82" s="412" t="str">
        <f>'ANALYSE - ERP =&gt; SOUS-SEGMENT'!$C$101</f>
        <v>Administrations / services publics</v>
      </c>
      <c r="G82" s="412" t="str">
        <f>'ANALYSE - ERP =&gt; SOUS-SEGMENT'!$D$101</f>
        <v>Mairies / hôtels de ville</v>
      </c>
      <c r="I82" s="427">
        <f t="shared" si="8"/>
        <v>0</v>
      </c>
      <c r="K82" s="787" t="str">
        <f t="shared" si="6"/>
        <v/>
      </c>
      <c r="L82" s="787" t="str">
        <f t="shared" si="7"/>
        <v/>
      </c>
      <c r="N82" s="424">
        <f>'ANALYSE - ERP =&gt; SOUS-SEGMENT'!$FD$101</f>
        <v>0</v>
      </c>
      <c r="O82" s="427">
        <f>'ANALYSE - ERP =&gt; SOUS-SEGMENT'!$GT$101</f>
        <v>0</v>
      </c>
      <c r="P82" s="427">
        <f>'ANALYSE - ERP =&gt; SOUS-SEGMENT'!$GW$101</f>
        <v>0</v>
      </c>
      <c r="Q82" s="427">
        <f>'ANALYSE - ERP =&gt; SOUS-SEGMENT'!$GZ$101</f>
        <v>0</v>
      </c>
      <c r="S82" s="424">
        <f>'ANALYSE - ERP =&gt; SOUS-SEGMENT'!$FE$101</f>
        <v>0</v>
      </c>
      <c r="T82" s="427">
        <f>'ANALYSE - ERP =&gt; SOUS-SEGMENT'!$GU$101</f>
        <v>0</v>
      </c>
      <c r="U82" s="427">
        <f>'ANALYSE - ERP =&gt; SOUS-SEGMENT'!$GX$101</f>
        <v>0</v>
      </c>
      <c r="V82" s="427">
        <f>'ANALYSE - ERP =&gt; SOUS-SEGMENT'!$HA$101</f>
        <v>0</v>
      </c>
      <c r="X82" s="427">
        <f>'ANALYSE - ERP =&gt; SOUS-SEGMENT'!$FF$101</f>
        <v>0</v>
      </c>
      <c r="Y82" s="427">
        <f>'ANALYSE - ERP =&gt; SOUS-SEGMENT'!$GV$101</f>
        <v>0</v>
      </c>
      <c r="Z82" s="427">
        <f>'ANALYSE - ERP =&gt; SOUS-SEGMENT'!$GY$101</f>
        <v>0</v>
      </c>
      <c r="AA82" s="427">
        <f>'ANALYSE - ERP =&gt; SOUS-SEGMENT'!$HB$101</f>
        <v>0</v>
      </c>
      <c r="AC82" s="430">
        <f>'ANALYSE - ERP =&gt; SOUS-SEGMENT'!$Q$101</f>
        <v>1</v>
      </c>
    </row>
    <row r="83" spans="1:29" ht="15" customHeight="1">
      <c r="A83" s="26">
        <v>80</v>
      </c>
      <c r="B83" s="26">
        <v>80</v>
      </c>
      <c r="C83" s="26">
        <v>80</v>
      </c>
      <c r="D83" s="422">
        <f>'ANALYSE - ERP =&gt; SOUS-SEGMENT'!$A$105</f>
        <v>98</v>
      </c>
      <c r="E83" s="414" t="str">
        <f>'ANALYSE - ERP =&gt; SOUS-SEGMENT'!$B$105</f>
        <v>Culte, Vie civique &amp; Services publics</v>
      </c>
      <c r="F83" s="414" t="str">
        <f>'ANALYSE - ERP =&gt; SOUS-SEGMENT'!$C$105</f>
        <v>Administrations / services publics</v>
      </c>
      <c r="G83" s="414" t="str">
        <f>'ANALYSE - ERP =&gt; SOUS-SEGMENT'!$D$105</f>
        <v>Préfectures / services administratifs</v>
      </c>
      <c r="I83" s="427">
        <f t="shared" si="8"/>
        <v>0</v>
      </c>
      <c r="K83" s="787" t="str">
        <f t="shared" si="6"/>
        <v/>
      </c>
      <c r="L83" s="787" t="str">
        <f t="shared" si="7"/>
        <v/>
      </c>
      <c r="N83" s="424">
        <f>'ANALYSE - ERP =&gt; SOUS-SEGMENT'!$FD$105</f>
        <v>0</v>
      </c>
      <c r="O83" s="427">
        <f>'ANALYSE - ERP =&gt; SOUS-SEGMENT'!$GT$105</f>
        <v>0</v>
      </c>
      <c r="P83" s="427">
        <f>'ANALYSE - ERP =&gt; SOUS-SEGMENT'!$GW$105</f>
        <v>0</v>
      </c>
      <c r="Q83" s="427">
        <f>'ANALYSE - ERP =&gt; SOUS-SEGMENT'!$GZ$105</f>
        <v>0</v>
      </c>
      <c r="S83" s="424">
        <f>'ANALYSE - ERP =&gt; SOUS-SEGMENT'!$FE$105</f>
        <v>0</v>
      </c>
      <c r="T83" s="427">
        <f>'ANALYSE - ERP =&gt; SOUS-SEGMENT'!$GU$105</f>
        <v>0</v>
      </c>
      <c r="U83" s="427">
        <f>'ANALYSE - ERP =&gt; SOUS-SEGMENT'!$GX$105</f>
        <v>0</v>
      </c>
      <c r="V83" s="427">
        <f>'ANALYSE - ERP =&gt; SOUS-SEGMENT'!$HA$105</f>
        <v>0</v>
      </c>
      <c r="X83" s="427">
        <f>'ANALYSE - ERP =&gt; SOUS-SEGMENT'!$FF$105</f>
        <v>0</v>
      </c>
      <c r="Y83" s="427">
        <f>'ANALYSE - ERP =&gt; SOUS-SEGMENT'!$GV$105</f>
        <v>0</v>
      </c>
      <c r="Z83" s="427">
        <f>'ANALYSE - ERP =&gt; SOUS-SEGMENT'!$GY$105</f>
        <v>0</v>
      </c>
      <c r="AA83" s="427">
        <f>'ANALYSE - ERP =&gt; SOUS-SEGMENT'!$HB$105</f>
        <v>0</v>
      </c>
      <c r="AC83" s="430">
        <f>'ANALYSE - ERP =&gt; SOUS-SEGMENT'!$Q$105</f>
        <v>1</v>
      </c>
    </row>
    <row r="84" spans="1:29" ht="15" customHeight="1">
      <c r="A84" s="26">
        <v>81</v>
      </c>
      <c r="B84" s="26">
        <v>81</v>
      </c>
      <c r="C84" s="26">
        <v>81</v>
      </c>
      <c r="D84" s="422">
        <f>'ANALYSE - ERP =&gt; SOUS-SEGMENT'!$A$108</f>
        <v>101</v>
      </c>
      <c r="E84" s="417" t="str">
        <f>'ANALYSE - ERP =&gt; SOUS-SEGMENT'!$B$108</f>
        <v>Culte, Vie civique &amp; Services publics</v>
      </c>
      <c r="F84" s="417" t="str">
        <f>'ANALYSE - ERP =&gt; SOUS-SEGMENT'!$C$108</f>
        <v>Administrations / services publics</v>
      </c>
      <c r="G84" s="417" t="str">
        <f>'ANALYSE - ERP =&gt; SOUS-SEGMENT'!$D$108</f>
        <v>Maisons France Services / Guichets publics autonomes ou dédiés</v>
      </c>
      <c r="I84" s="427">
        <f t="shared" si="8"/>
        <v>0</v>
      </c>
      <c r="K84" s="787" t="str">
        <f t="shared" si="6"/>
        <v/>
      </c>
      <c r="L84" s="787" t="str">
        <f t="shared" si="7"/>
        <v/>
      </c>
      <c r="N84" s="424">
        <f>'ANALYSE - ERP =&gt; SOUS-SEGMENT'!$FD$108</f>
        <v>0</v>
      </c>
      <c r="O84" s="427">
        <f>'ANALYSE - ERP =&gt; SOUS-SEGMENT'!$GT$108</f>
        <v>0</v>
      </c>
      <c r="P84" s="427">
        <f>'ANALYSE - ERP =&gt; SOUS-SEGMENT'!$GW$108</f>
        <v>0</v>
      </c>
      <c r="Q84" s="427">
        <f>'ANALYSE - ERP =&gt; SOUS-SEGMENT'!$GZ$108</f>
        <v>0</v>
      </c>
      <c r="S84" s="424">
        <f>'ANALYSE - ERP =&gt; SOUS-SEGMENT'!$FE$108</f>
        <v>0</v>
      </c>
      <c r="T84" s="427">
        <f>'ANALYSE - ERP =&gt; SOUS-SEGMENT'!$GU$108</f>
        <v>0</v>
      </c>
      <c r="U84" s="427">
        <f>'ANALYSE - ERP =&gt; SOUS-SEGMENT'!$GX$108</f>
        <v>0</v>
      </c>
      <c r="V84" s="427">
        <f>'ANALYSE - ERP =&gt; SOUS-SEGMENT'!$HA$108</f>
        <v>0</v>
      </c>
      <c r="X84" s="427">
        <f>'ANALYSE - ERP =&gt; SOUS-SEGMENT'!$FF$108</f>
        <v>0</v>
      </c>
      <c r="Y84" s="427">
        <f>'ANALYSE - ERP =&gt; SOUS-SEGMENT'!$GV$108</f>
        <v>0</v>
      </c>
      <c r="Z84" s="427">
        <f>'ANALYSE - ERP =&gt; SOUS-SEGMENT'!$GY$108</f>
        <v>0</v>
      </c>
      <c r="AA84" s="427">
        <f>'ANALYSE - ERP =&gt; SOUS-SEGMENT'!$HB$108</f>
        <v>0</v>
      </c>
      <c r="AC84" s="430">
        <f>'ANALYSE - ERP =&gt; SOUS-SEGMENT'!$Q$108</f>
        <v>1</v>
      </c>
    </row>
    <row r="85" spans="1:29" ht="15" customHeight="1">
      <c r="A85" s="26">
        <v>82</v>
      </c>
      <c r="B85" s="26">
        <v>82</v>
      </c>
      <c r="C85" s="26">
        <v>82</v>
      </c>
      <c r="D85" s="422">
        <f>'ANALYSE - ERP =&gt; SOUS-SEGMENT'!$A$113</f>
        <v>106</v>
      </c>
      <c r="E85" s="417" t="str">
        <f>'ANALYSE - ERP =&gt; SOUS-SEGMENT'!$B$113</f>
        <v>Culte, Vie civique &amp; Services publics</v>
      </c>
      <c r="F85" s="417" t="str">
        <f>'ANALYSE - ERP =&gt; SOUS-SEGMENT'!$C$113</f>
        <v>Culte</v>
      </c>
      <c r="G85" s="417" t="str">
        <f>'ANALYSE - ERP =&gt; SOUS-SEGMENT'!$D$113</f>
        <v>Églises, cathédrales, basiliques et chapelles ouvertes au public</v>
      </c>
      <c r="I85" s="427">
        <f t="shared" si="8"/>
        <v>0</v>
      </c>
      <c r="K85" s="787" t="str">
        <f t="shared" si="6"/>
        <v/>
      </c>
      <c r="L85" s="787" t="str">
        <f t="shared" si="7"/>
        <v/>
      </c>
      <c r="N85" s="424">
        <f>'ANALYSE - ERP =&gt; SOUS-SEGMENT'!$FD$113</f>
        <v>0</v>
      </c>
      <c r="O85" s="427">
        <f>'ANALYSE - ERP =&gt; SOUS-SEGMENT'!$GT$113</f>
        <v>0</v>
      </c>
      <c r="P85" s="427">
        <f>'ANALYSE - ERP =&gt; SOUS-SEGMENT'!$GW$113</f>
        <v>0</v>
      </c>
      <c r="Q85" s="427">
        <f>'ANALYSE - ERP =&gt; SOUS-SEGMENT'!$GZ$113</f>
        <v>0</v>
      </c>
      <c r="S85" s="424">
        <f>'ANALYSE - ERP =&gt; SOUS-SEGMENT'!$FE$113</f>
        <v>0</v>
      </c>
      <c r="T85" s="427">
        <f>'ANALYSE - ERP =&gt; SOUS-SEGMENT'!$GU$113</f>
        <v>0</v>
      </c>
      <c r="U85" s="427">
        <f>'ANALYSE - ERP =&gt; SOUS-SEGMENT'!$GX$113</f>
        <v>0</v>
      </c>
      <c r="V85" s="427">
        <f>'ANALYSE - ERP =&gt; SOUS-SEGMENT'!$HA$113</f>
        <v>0</v>
      </c>
      <c r="X85" s="427">
        <f>'ANALYSE - ERP =&gt; SOUS-SEGMENT'!$FF$113</f>
        <v>0</v>
      </c>
      <c r="Y85" s="427">
        <f>'ANALYSE - ERP =&gt; SOUS-SEGMENT'!$GV$113</f>
        <v>0</v>
      </c>
      <c r="Z85" s="427">
        <f>'ANALYSE - ERP =&gt; SOUS-SEGMENT'!$GY$113</f>
        <v>0</v>
      </c>
      <c r="AA85" s="427">
        <f>'ANALYSE - ERP =&gt; SOUS-SEGMENT'!$HB$113</f>
        <v>0</v>
      </c>
      <c r="AC85" s="430">
        <f>'ANALYSE - ERP =&gt; SOUS-SEGMENT'!$Q$113</f>
        <v>1</v>
      </c>
    </row>
    <row r="86" spans="1:29" ht="15" customHeight="1">
      <c r="A86" s="26">
        <v>83</v>
      </c>
      <c r="B86" s="26">
        <v>83</v>
      </c>
      <c r="C86" s="26">
        <v>83</v>
      </c>
      <c r="D86" s="422">
        <f>'ANALYSE - ERP =&gt; SOUS-SEGMENT'!$A$114</f>
        <v>107</v>
      </c>
      <c r="E86" s="413" t="str">
        <f>'ANALYSE - ERP =&gt; SOUS-SEGMENT'!$B$114</f>
        <v>Culte, Vie civique &amp; Services publics</v>
      </c>
      <c r="F86" s="413" t="str">
        <f>'ANALYSE - ERP =&gt; SOUS-SEGMENT'!$C$114</f>
        <v>Culte</v>
      </c>
      <c r="G86" s="413" t="str">
        <f>'ANALYSE - ERP =&gt; SOUS-SEGMENT'!$D$114</f>
        <v>Monastères, abbayes et couvents ouverts au public</v>
      </c>
      <c r="I86" s="427">
        <f t="shared" si="8"/>
        <v>85.325749999999999</v>
      </c>
      <c r="K86" s="787">
        <f t="shared" si="6"/>
        <v>0.92743105100160272</v>
      </c>
      <c r="L86" s="787">
        <f t="shared" si="7"/>
        <v>7.2568948998397317E-2</v>
      </c>
      <c r="N86" s="424">
        <f>'ANALYSE - ERP =&gt; SOUS-SEGMENT'!$FD$114</f>
        <v>426.62874999999997</v>
      </c>
      <c r="O86" s="427">
        <f>'ANALYSE - ERP =&gt; SOUS-SEGMENT'!$GT$114</f>
        <v>62.683949999999996</v>
      </c>
      <c r="P86" s="427">
        <f>'ANALYSE - ERP =&gt; SOUS-SEGMENT'!$GW$114</f>
        <v>339.88720000000001</v>
      </c>
      <c r="Q86" s="427">
        <f>'ANALYSE - ERP =&gt; SOUS-SEGMENT'!$GZ$114</f>
        <v>24.057600000000001</v>
      </c>
      <c r="S86" s="424">
        <f>'ANALYSE - ERP =&gt; SOUS-SEGMENT'!$FE$114</f>
        <v>395.66874999999999</v>
      </c>
      <c r="T86" s="427">
        <f>'ANALYSE - ERP =&gt; SOUS-SEGMENT'!$GU$114</f>
        <v>58.96875</v>
      </c>
      <c r="U86" s="427">
        <f>'ANALYSE - ERP =&gt; SOUS-SEGMENT'!$GX$114</f>
        <v>314.5</v>
      </c>
      <c r="V86" s="427">
        <f>'ANALYSE - ERP =&gt; SOUS-SEGMENT'!$HA$114</f>
        <v>22.2</v>
      </c>
      <c r="X86" s="427">
        <f>'ANALYSE - ERP =&gt; SOUS-SEGMENT'!$FF$114</f>
        <v>30.959999999999997</v>
      </c>
      <c r="Y86" s="427">
        <f>'ANALYSE - ERP =&gt; SOUS-SEGMENT'!$GV$114</f>
        <v>3.7151999999999994</v>
      </c>
      <c r="Z86" s="427">
        <f>'ANALYSE - ERP =&gt; SOUS-SEGMENT'!$GY$114</f>
        <v>25.387199999999996</v>
      </c>
      <c r="AA86" s="427">
        <f>'ANALYSE - ERP =&gt; SOUS-SEGMENT'!$HB$114</f>
        <v>1.8575999999999997</v>
      </c>
      <c r="AC86" s="430">
        <f>'ANALYSE - ERP =&gt; SOUS-SEGMENT'!$Q$114</f>
        <v>1</v>
      </c>
    </row>
    <row r="87" spans="1:29" ht="15" customHeight="1">
      <c r="A87" s="26">
        <v>84</v>
      </c>
      <c r="B87" s="26">
        <v>84</v>
      </c>
      <c r="C87" s="26">
        <v>84</v>
      </c>
      <c r="D87" s="422">
        <f>'ANALYSE - ERP =&gt; SOUS-SEGMENT'!$A$115</f>
        <v>108</v>
      </c>
      <c r="E87" s="417" t="str">
        <f>'ANALYSE - ERP =&gt; SOUS-SEGMENT'!$B$115</f>
        <v>Culte, Vie civique &amp; Services publics</v>
      </c>
      <c r="F87" s="417" t="str">
        <f>'ANALYSE - ERP =&gt; SOUS-SEGMENT'!$C$115</f>
        <v>Culte</v>
      </c>
      <c r="G87" s="417" t="str">
        <f>'ANALYSE - ERP =&gt; SOUS-SEGMENT'!$D$115</f>
        <v>Temples protestants, évangéliques et salles de culte assimilées</v>
      </c>
      <c r="I87" s="427">
        <f t="shared" si="8"/>
        <v>0</v>
      </c>
      <c r="K87" s="787" t="str">
        <f t="shared" si="6"/>
        <v/>
      </c>
      <c r="L87" s="787" t="str">
        <f t="shared" si="7"/>
        <v/>
      </c>
      <c r="N87" s="424">
        <f>'ANALYSE - ERP =&gt; SOUS-SEGMENT'!$FD$115</f>
        <v>0</v>
      </c>
      <c r="O87" s="427">
        <f>'ANALYSE - ERP =&gt; SOUS-SEGMENT'!$GT$115</f>
        <v>0</v>
      </c>
      <c r="P87" s="427">
        <f>'ANALYSE - ERP =&gt; SOUS-SEGMENT'!$GW$115</f>
        <v>0</v>
      </c>
      <c r="Q87" s="427">
        <f>'ANALYSE - ERP =&gt; SOUS-SEGMENT'!$GZ$115</f>
        <v>0</v>
      </c>
      <c r="S87" s="424">
        <f>'ANALYSE - ERP =&gt; SOUS-SEGMENT'!$FE$115</f>
        <v>0</v>
      </c>
      <c r="T87" s="427">
        <f>'ANALYSE - ERP =&gt; SOUS-SEGMENT'!$GU$115</f>
        <v>0</v>
      </c>
      <c r="U87" s="427">
        <f>'ANALYSE - ERP =&gt; SOUS-SEGMENT'!$GX$115</f>
        <v>0</v>
      </c>
      <c r="V87" s="427">
        <f>'ANALYSE - ERP =&gt; SOUS-SEGMENT'!$HA$115</f>
        <v>0</v>
      </c>
      <c r="X87" s="427">
        <f>'ANALYSE - ERP =&gt; SOUS-SEGMENT'!$FF$115</f>
        <v>0</v>
      </c>
      <c r="Y87" s="427">
        <f>'ANALYSE - ERP =&gt; SOUS-SEGMENT'!$GV$115</f>
        <v>0</v>
      </c>
      <c r="Z87" s="427">
        <f>'ANALYSE - ERP =&gt; SOUS-SEGMENT'!$GY$115</f>
        <v>0</v>
      </c>
      <c r="AA87" s="427">
        <f>'ANALYSE - ERP =&gt; SOUS-SEGMENT'!$HB$115</f>
        <v>0</v>
      </c>
      <c r="AC87" s="430">
        <f>'ANALYSE - ERP =&gt; SOUS-SEGMENT'!$Q$115</f>
        <v>1</v>
      </c>
    </row>
    <row r="88" spans="1:29" ht="15" customHeight="1">
      <c r="A88" s="26">
        <v>85</v>
      </c>
      <c r="B88" s="26">
        <v>85</v>
      </c>
      <c r="C88" s="26">
        <v>85</v>
      </c>
      <c r="D88" s="422">
        <f>'ANALYSE - ERP =&gt; SOUS-SEGMENT'!$A$116</f>
        <v>109</v>
      </c>
      <c r="E88" s="415" t="str">
        <f>'ANALYSE - ERP =&gt; SOUS-SEGMENT'!$B$116</f>
        <v>Culte, Vie civique &amp; Services publics</v>
      </c>
      <c r="F88" s="415" t="str">
        <f>'ANALYSE - ERP =&gt; SOUS-SEGMENT'!$C$116</f>
        <v>Culte</v>
      </c>
      <c r="G88" s="415" t="str">
        <f>'ANALYSE - ERP =&gt; SOUS-SEGMENT'!$D$116</f>
        <v>Mosquées et salles de prière musulmanes</v>
      </c>
      <c r="I88" s="427">
        <f t="shared" si="8"/>
        <v>0</v>
      </c>
      <c r="K88" s="787" t="str">
        <f t="shared" si="6"/>
        <v/>
      </c>
      <c r="L88" s="787" t="str">
        <f t="shared" si="7"/>
        <v/>
      </c>
      <c r="N88" s="424">
        <f>'ANALYSE - ERP =&gt; SOUS-SEGMENT'!$FD$116</f>
        <v>0</v>
      </c>
      <c r="O88" s="427">
        <f>'ANALYSE - ERP =&gt; SOUS-SEGMENT'!$GT$116</f>
        <v>0</v>
      </c>
      <c r="P88" s="427">
        <f>'ANALYSE - ERP =&gt; SOUS-SEGMENT'!$GW$116</f>
        <v>0</v>
      </c>
      <c r="Q88" s="427">
        <f>'ANALYSE - ERP =&gt; SOUS-SEGMENT'!$GZ$116</f>
        <v>0</v>
      </c>
      <c r="S88" s="424">
        <f>'ANALYSE - ERP =&gt; SOUS-SEGMENT'!$FE$116</f>
        <v>0</v>
      </c>
      <c r="T88" s="427">
        <f>'ANALYSE - ERP =&gt; SOUS-SEGMENT'!$GU$116</f>
        <v>0</v>
      </c>
      <c r="U88" s="427">
        <f>'ANALYSE - ERP =&gt; SOUS-SEGMENT'!$GX$116</f>
        <v>0</v>
      </c>
      <c r="V88" s="427">
        <f>'ANALYSE - ERP =&gt; SOUS-SEGMENT'!$HA$116</f>
        <v>0</v>
      </c>
      <c r="X88" s="427">
        <f>'ANALYSE - ERP =&gt; SOUS-SEGMENT'!$FF$116</f>
        <v>0</v>
      </c>
      <c r="Y88" s="427">
        <f>'ANALYSE - ERP =&gt; SOUS-SEGMENT'!$GV$116</f>
        <v>0</v>
      </c>
      <c r="Z88" s="427">
        <f>'ANALYSE - ERP =&gt; SOUS-SEGMENT'!$GY$116</f>
        <v>0</v>
      </c>
      <c r="AA88" s="427">
        <f>'ANALYSE - ERP =&gt; SOUS-SEGMENT'!$HB$116</f>
        <v>0</v>
      </c>
      <c r="AC88" s="430">
        <f>'ANALYSE - ERP =&gt; SOUS-SEGMENT'!$Q$116</f>
        <v>1</v>
      </c>
    </row>
    <row r="89" spans="1:29" ht="15" customHeight="1">
      <c r="A89" s="26">
        <v>86</v>
      </c>
      <c r="B89" s="26">
        <v>86</v>
      </c>
      <c r="C89" s="26">
        <v>86</v>
      </c>
      <c r="D89" s="422">
        <f>'ANALYSE - ERP =&gt; SOUS-SEGMENT'!$A$117</f>
        <v>110</v>
      </c>
      <c r="E89" s="417" t="str">
        <f>'ANALYSE - ERP =&gt; SOUS-SEGMENT'!$B$117</f>
        <v>Culte, Vie civique &amp; Services publics</v>
      </c>
      <c r="F89" s="417" t="str">
        <f>'ANALYSE - ERP =&gt; SOUS-SEGMENT'!$C$117</f>
        <v>Culte</v>
      </c>
      <c r="G89" s="417" t="str">
        <f>'ANALYSE - ERP =&gt; SOUS-SEGMENT'!$D$117</f>
        <v>Synagogues et oratoires juifs ouverts au public</v>
      </c>
      <c r="I89" s="427">
        <f t="shared" si="8"/>
        <v>0</v>
      </c>
      <c r="K89" s="787" t="str">
        <f t="shared" si="6"/>
        <v/>
      </c>
      <c r="L89" s="787" t="str">
        <f t="shared" si="7"/>
        <v/>
      </c>
      <c r="N89" s="424">
        <f>'ANALYSE - ERP =&gt; SOUS-SEGMENT'!$FD$117</f>
        <v>0</v>
      </c>
      <c r="O89" s="427">
        <f>'ANALYSE - ERP =&gt; SOUS-SEGMENT'!$GT$117</f>
        <v>0</v>
      </c>
      <c r="P89" s="427">
        <f>'ANALYSE - ERP =&gt; SOUS-SEGMENT'!$GW$117</f>
        <v>0</v>
      </c>
      <c r="Q89" s="427">
        <f>'ANALYSE - ERP =&gt; SOUS-SEGMENT'!$GZ$117</f>
        <v>0</v>
      </c>
      <c r="S89" s="424">
        <f>'ANALYSE - ERP =&gt; SOUS-SEGMENT'!$FE$117</f>
        <v>0</v>
      </c>
      <c r="T89" s="427">
        <f>'ANALYSE - ERP =&gt; SOUS-SEGMENT'!$GU$117</f>
        <v>0</v>
      </c>
      <c r="U89" s="427">
        <f>'ANALYSE - ERP =&gt; SOUS-SEGMENT'!$GX$117</f>
        <v>0</v>
      </c>
      <c r="V89" s="427">
        <f>'ANALYSE - ERP =&gt; SOUS-SEGMENT'!$HA$117</f>
        <v>0</v>
      </c>
      <c r="X89" s="427">
        <f>'ANALYSE - ERP =&gt; SOUS-SEGMENT'!$FF$117</f>
        <v>0</v>
      </c>
      <c r="Y89" s="427">
        <f>'ANALYSE - ERP =&gt; SOUS-SEGMENT'!$GV$117</f>
        <v>0</v>
      </c>
      <c r="Z89" s="427">
        <f>'ANALYSE - ERP =&gt; SOUS-SEGMENT'!$GY$117</f>
        <v>0</v>
      </c>
      <c r="AA89" s="427">
        <f>'ANALYSE - ERP =&gt; SOUS-SEGMENT'!$HB$117</f>
        <v>0</v>
      </c>
      <c r="AC89" s="430">
        <f>'ANALYSE - ERP =&gt; SOUS-SEGMENT'!$Q$117</f>
        <v>1</v>
      </c>
    </row>
    <row r="90" spans="1:29" ht="15" customHeight="1">
      <c r="A90" s="26">
        <v>87</v>
      </c>
      <c r="B90" s="26">
        <v>87</v>
      </c>
      <c r="C90" s="26">
        <v>87</v>
      </c>
      <c r="D90" s="422">
        <f>'ANALYSE - ERP =&gt; SOUS-SEGMENT'!$A$118</f>
        <v>111</v>
      </c>
      <c r="E90" s="413" t="str">
        <f>'ANALYSE - ERP =&gt; SOUS-SEGMENT'!$B$118</f>
        <v>Culte, Vie civique &amp; Services publics</v>
      </c>
      <c r="F90" s="413" t="str">
        <f>'ANALYSE - ERP =&gt; SOUS-SEGMENT'!$C$118</f>
        <v>Culte</v>
      </c>
      <c r="G90" s="413" t="str">
        <f>'ANALYSE - ERP =&gt; SOUS-SEGMENT'!$D$118</f>
        <v>Temples bouddhistes, hindous et autres lieux de culte non abrahamiques ouverts au public</v>
      </c>
      <c r="I90" s="427">
        <f t="shared" si="8"/>
        <v>0</v>
      </c>
      <c r="K90" s="787" t="str">
        <f t="shared" si="6"/>
        <v/>
      </c>
      <c r="L90" s="787" t="str">
        <f t="shared" si="7"/>
        <v/>
      </c>
      <c r="N90" s="424">
        <f>'ANALYSE - ERP =&gt; SOUS-SEGMENT'!$FD$118</f>
        <v>0</v>
      </c>
      <c r="O90" s="427">
        <f>'ANALYSE - ERP =&gt; SOUS-SEGMENT'!$GT$118</f>
        <v>0</v>
      </c>
      <c r="P90" s="427">
        <f>'ANALYSE - ERP =&gt; SOUS-SEGMENT'!$GW$118</f>
        <v>0</v>
      </c>
      <c r="Q90" s="427">
        <f>'ANALYSE - ERP =&gt; SOUS-SEGMENT'!$GZ$118</f>
        <v>0</v>
      </c>
      <c r="S90" s="424">
        <f>'ANALYSE - ERP =&gt; SOUS-SEGMENT'!$FE$118</f>
        <v>0</v>
      </c>
      <c r="T90" s="427">
        <f>'ANALYSE - ERP =&gt; SOUS-SEGMENT'!$GU$118</f>
        <v>0</v>
      </c>
      <c r="U90" s="427">
        <f>'ANALYSE - ERP =&gt; SOUS-SEGMENT'!$GX$118</f>
        <v>0</v>
      </c>
      <c r="V90" s="427">
        <f>'ANALYSE - ERP =&gt; SOUS-SEGMENT'!$HA$118</f>
        <v>0</v>
      </c>
      <c r="X90" s="427">
        <f>'ANALYSE - ERP =&gt; SOUS-SEGMENT'!$FF$118</f>
        <v>0</v>
      </c>
      <c r="Y90" s="427">
        <f>'ANALYSE - ERP =&gt; SOUS-SEGMENT'!$GV$118</f>
        <v>0</v>
      </c>
      <c r="Z90" s="427">
        <f>'ANALYSE - ERP =&gt; SOUS-SEGMENT'!$GY$118</f>
        <v>0</v>
      </c>
      <c r="AA90" s="427">
        <f>'ANALYSE - ERP =&gt; SOUS-SEGMENT'!$HB$118</f>
        <v>0</v>
      </c>
      <c r="AC90" s="430">
        <f>'ANALYSE - ERP =&gt; SOUS-SEGMENT'!$Q$118</f>
        <v>1</v>
      </c>
    </row>
    <row r="91" spans="1:29" ht="15" customHeight="1">
      <c r="A91" s="26">
        <v>88</v>
      </c>
      <c r="B91" s="26">
        <v>88</v>
      </c>
      <c r="C91" s="26">
        <v>88</v>
      </c>
      <c r="D91" s="422">
        <f>'ANALYSE - ERP =&gt; SOUS-SEGMENT'!$A$119</f>
        <v>112</v>
      </c>
      <c r="E91" s="417" t="str">
        <f>'ANALYSE - ERP =&gt; SOUS-SEGMENT'!$B$119</f>
        <v>Culte, Vie civique &amp; Services publics</v>
      </c>
      <c r="F91" s="417" t="str">
        <f>'ANALYSE - ERP =&gt; SOUS-SEGMENT'!$C$119</f>
        <v>Culte</v>
      </c>
      <c r="G91" s="417" t="str">
        <f>'ANALYSE - ERP =&gt; SOUS-SEGMENT'!$D$119</f>
        <v>Salles du Royaume, centres cultuels pluriconfessionnels et lieux de culte polyvalents</v>
      </c>
      <c r="I91" s="427">
        <f t="shared" si="8"/>
        <v>0</v>
      </c>
      <c r="K91" s="787" t="str">
        <f t="shared" si="6"/>
        <v/>
      </c>
      <c r="L91" s="787" t="str">
        <f t="shared" si="7"/>
        <v/>
      </c>
      <c r="N91" s="424">
        <f>'ANALYSE - ERP =&gt; SOUS-SEGMENT'!$FD$119</f>
        <v>0</v>
      </c>
      <c r="O91" s="427">
        <f>'ANALYSE - ERP =&gt; SOUS-SEGMENT'!$GT$119</f>
        <v>0</v>
      </c>
      <c r="P91" s="427">
        <f>'ANALYSE - ERP =&gt; SOUS-SEGMENT'!$GW$119</f>
        <v>0</v>
      </c>
      <c r="Q91" s="427">
        <f>'ANALYSE - ERP =&gt; SOUS-SEGMENT'!$GZ$119</f>
        <v>0</v>
      </c>
      <c r="S91" s="424">
        <f>'ANALYSE - ERP =&gt; SOUS-SEGMENT'!$FE$119</f>
        <v>0</v>
      </c>
      <c r="T91" s="427">
        <f>'ANALYSE - ERP =&gt; SOUS-SEGMENT'!$GU$119</f>
        <v>0</v>
      </c>
      <c r="U91" s="427">
        <f>'ANALYSE - ERP =&gt; SOUS-SEGMENT'!$GX$119</f>
        <v>0</v>
      </c>
      <c r="V91" s="427">
        <f>'ANALYSE - ERP =&gt; SOUS-SEGMENT'!$HA$119</f>
        <v>0</v>
      </c>
      <c r="X91" s="427">
        <f>'ANALYSE - ERP =&gt; SOUS-SEGMENT'!$FF$119</f>
        <v>0</v>
      </c>
      <c r="Y91" s="427">
        <f>'ANALYSE - ERP =&gt; SOUS-SEGMENT'!$GV$119</f>
        <v>0</v>
      </c>
      <c r="Z91" s="427">
        <f>'ANALYSE - ERP =&gt; SOUS-SEGMENT'!$GY$119</f>
        <v>0</v>
      </c>
      <c r="AA91" s="427">
        <f>'ANALYSE - ERP =&gt; SOUS-SEGMENT'!$HB$119</f>
        <v>0</v>
      </c>
      <c r="AC91" s="430">
        <f>'ANALYSE - ERP =&gt; SOUS-SEGMENT'!$Q$119</f>
        <v>1</v>
      </c>
    </row>
    <row r="92" spans="1:29" ht="15" customHeight="1">
      <c r="A92" s="26">
        <v>89</v>
      </c>
      <c r="B92" s="26">
        <v>89</v>
      </c>
      <c r="C92" s="26">
        <v>89</v>
      </c>
      <c r="D92" s="422">
        <f>'ANALYSE - ERP =&gt; SOUS-SEGMENT'!$A$120</f>
        <v>113</v>
      </c>
      <c r="E92" s="417" t="str">
        <f>'ANALYSE - ERP =&gt; SOUS-SEGMENT'!$B$120</f>
        <v>Culte, Vie civique &amp; Services publics</v>
      </c>
      <c r="F92" s="417" t="str">
        <f>'ANALYSE - ERP =&gt; SOUS-SEGMENT'!$C$120</f>
        <v>Vie associative</v>
      </c>
      <c r="G92" s="417" t="str">
        <f>'ANALYSE - ERP =&gt; SOUS-SEGMENT'!$D$120</f>
        <v>Locaux associatifs recevant du public (dotés de sanitaires)</v>
      </c>
      <c r="I92" s="427">
        <f t="shared" si="8"/>
        <v>0</v>
      </c>
      <c r="K92" s="787" t="str">
        <f t="shared" si="6"/>
        <v/>
      </c>
      <c r="L92" s="787" t="str">
        <f t="shared" si="7"/>
        <v/>
      </c>
      <c r="N92" s="424">
        <f>'ANALYSE - ERP =&gt; SOUS-SEGMENT'!$FD$120</f>
        <v>0</v>
      </c>
      <c r="O92" s="427">
        <f>'ANALYSE - ERP =&gt; SOUS-SEGMENT'!$GT$120</f>
        <v>0</v>
      </c>
      <c r="P92" s="427">
        <f>'ANALYSE - ERP =&gt; SOUS-SEGMENT'!$GW$120</f>
        <v>0</v>
      </c>
      <c r="Q92" s="427">
        <f>'ANALYSE - ERP =&gt; SOUS-SEGMENT'!$GZ$120</f>
        <v>0</v>
      </c>
      <c r="S92" s="424">
        <f>'ANALYSE - ERP =&gt; SOUS-SEGMENT'!$FE$120</f>
        <v>0</v>
      </c>
      <c r="T92" s="427">
        <f>'ANALYSE - ERP =&gt; SOUS-SEGMENT'!$GU$120</f>
        <v>0</v>
      </c>
      <c r="U92" s="427">
        <f>'ANALYSE - ERP =&gt; SOUS-SEGMENT'!$GX$120</f>
        <v>0</v>
      </c>
      <c r="V92" s="427">
        <f>'ANALYSE - ERP =&gt; SOUS-SEGMENT'!$HA$120</f>
        <v>0</v>
      </c>
      <c r="X92" s="427">
        <f>'ANALYSE - ERP =&gt; SOUS-SEGMENT'!$FF$120</f>
        <v>0</v>
      </c>
      <c r="Y92" s="427">
        <f>'ANALYSE - ERP =&gt; SOUS-SEGMENT'!$GV$120</f>
        <v>0</v>
      </c>
      <c r="Z92" s="427">
        <f>'ANALYSE - ERP =&gt; SOUS-SEGMENT'!$GY$120</f>
        <v>0</v>
      </c>
      <c r="AA92" s="427">
        <f>'ANALYSE - ERP =&gt; SOUS-SEGMENT'!$HB$120</f>
        <v>0</v>
      </c>
      <c r="AC92" s="430">
        <f>'ANALYSE - ERP =&gt; SOUS-SEGMENT'!$Q$120</f>
        <v>1</v>
      </c>
    </row>
    <row r="93" spans="1:29" ht="15" customHeight="1">
      <c r="A93" s="26">
        <v>90</v>
      </c>
      <c r="B93" s="26">
        <v>90</v>
      </c>
      <c r="C93" s="26">
        <v>90</v>
      </c>
      <c r="D93" s="422">
        <f>'ANALYSE - ERP =&gt; SOUS-SEGMENT'!$A$122</f>
        <v>115</v>
      </c>
      <c r="E93" s="412" t="str">
        <f>'ANALYSE - ERP =&gt; SOUS-SEGMENT'!$B$122</f>
        <v>Transport, Mobilité &amp; Stationnement</v>
      </c>
      <c r="F93" s="412" t="str">
        <f>'ANALYSE - ERP =&gt; SOUS-SEGMENT'!$C$122</f>
        <v>Transport / Mobilité</v>
      </c>
      <c r="G93" s="412" t="str">
        <f>'ANALYSE - ERP =&gt; SOUS-SEGMENT'!$D$122</f>
        <v>Aires de repos - Autoroutes
(Hors Aires de service)</v>
      </c>
      <c r="I93" s="427">
        <f t="shared" si="8"/>
        <v>0</v>
      </c>
      <c r="K93" s="787" t="str">
        <f t="shared" si="6"/>
        <v/>
      </c>
      <c r="L93" s="787" t="str">
        <f t="shared" si="7"/>
        <v/>
      </c>
      <c r="N93" s="424">
        <f>'ANALYSE - ERP =&gt; SOUS-SEGMENT'!$FD$122</f>
        <v>0</v>
      </c>
      <c r="O93" s="427">
        <f>'ANALYSE - ERP =&gt; SOUS-SEGMENT'!$GT$122</f>
        <v>0</v>
      </c>
      <c r="P93" s="427">
        <f>'ANALYSE - ERP =&gt; SOUS-SEGMENT'!$GW$122</f>
        <v>0</v>
      </c>
      <c r="Q93" s="427">
        <f>'ANALYSE - ERP =&gt; SOUS-SEGMENT'!$GZ$122</f>
        <v>0</v>
      </c>
      <c r="S93" s="424">
        <f>'ANALYSE - ERP =&gt; SOUS-SEGMENT'!$FE$122</f>
        <v>0</v>
      </c>
      <c r="T93" s="427">
        <f>'ANALYSE - ERP =&gt; SOUS-SEGMENT'!$GU$122</f>
        <v>0</v>
      </c>
      <c r="U93" s="427">
        <f>'ANALYSE - ERP =&gt; SOUS-SEGMENT'!$GX$122</f>
        <v>0</v>
      </c>
      <c r="V93" s="427">
        <f>'ANALYSE - ERP =&gt; SOUS-SEGMENT'!$HA$122</f>
        <v>0</v>
      </c>
      <c r="X93" s="427">
        <f>'ANALYSE - ERP =&gt; SOUS-SEGMENT'!$FF$122</f>
        <v>0</v>
      </c>
      <c r="Y93" s="427">
        <f>'ANALYSE - ERP =&gt; SOUS-SEGMENT'!$GV$122</f>
        <v>0</v>
      </c>
      <c r="Z93" s="427">
        <f>'ANALYSE - ERP =&gt; SOUS-SEGMENT'!$GY$122</f>
        <v>0</v>
      </c>
      <c r="AA93" s="427">
        <f>'ANALYSE - ERP =&gt; SOUS-SEGMENT'!$HB$122</f>
        <v>0</v>
      </c>
      <c r="AC93" s="430">
        <f>'ANALYSE - ERP =&gt; SOUS-SEGMENT'!$Q$122</f>
        <v>1</v>
      </c>
    </row>
    <row r="94" spans="1:29" ht="15" customHeight="1">
      <c r="A94" s="26">
        <v>91</v>
      </c>
      <c r="B94" s="26">
        <v>91</v>
      </c>
      <c r="C94" s="26">
        <v>91</v>
      </c>
      <c r="D94" s="422">
        <f>'ANALYSE - ERP =&gt; SOUS-SEGMENT'!$A$78</f>
        <v>71</v>
      </c>
      <c r="E94" s="417" t="str">
        <f>'ANALYSE - ERP =&gt; SOUS-SEGMENT'!$B$78</f>
        <v>Commerce, Restauration &amp; Loisirs</v>
      </c>
      <c r="F94" s="417" t="str">
        <f>'ANALYSE - ERP =&gt; SOUS-SEGMENT'!$C$78</f>
        <v>Restauration / boissons</v>
      </c>
      <c r="G94" s="417" t="str">
        <f>'ANALYSE - ERP =&gt; SOUS-SEGMENT'!$D$78</f>
        <v>Établissements flottants</v>
      </c>
      <c r="I94" s="427">
        <f t="shared" si="8"/>
        <v>0</v>
      </c>
      <c r="K94" s="787" t="str">
        <f t="shared" si="6"/>
        <v/>
      </c>
      <c r="L94" s="787" t="str">
        <f t="shared" si="7"/>
        <v/>
      </c>
      <c r="N94" s="424">
        <f>'ANALYSE - ERP =&gt; SOUS-SEGMENT'!$FD$78</f>
        <v>0</v>
      </c>
      <c r="O94" s="427">
        <f>'ANALYSE - ERP =&gt; SOUS-SEGMENT'!$GT$78</f>
        <v>0</v>
      </c>
      <c r="P94" s="427">
        <f>'ANALYSE - ERP =&gt; SOUS-SEGMENT'!$GW$78</f>
        <v>0</v>
      </c>
      <c r="Q94" s="427">
        <f>'ANALYSE - ERP =&gt; SOUS-SEGMENT'!$GZ$78</f>
        <v>0</v>
      </c>
      <c r="S94" s="424">
        <f>'ANALYSE - ERP =&gt; SOUS-SEGMENT'!$FE$78</f>
        <v>0</v>
      </c>
      <c r="T94" s="427">
        <f>'ANALYSE - ERP =&gt; SOUS-SEGMENT'!$GU$78</f>
        <v>0</v>
      </c>
      <c r="U94" s="427">
        <f>'ANALYSE - ERP =&gt; SOUS-SEGMENT'!$GX$78</f>
        <v>0</v>
      </c>
      <c r="V94" s="427">
        <f>'ANALYSE - ERP =&gt; SOUS-SEGMENT'!$HA$78</f>
        <v>0</v>
      </c>
      <c r="X94" s="427">
        <f>'ANALYSE - ERP =&gt; SOUS-SEGMENT'!$FF$78</f>
        <v>0</v>
      </c>
      <c r="Y94" s="427">
        <f>'ANALYSE - ERP =&gt; SOUS-SEGMENT'!$GV$78</f>
        <v>0</v>
      </c>
      <c r="Z94" s="427">
        <f>'ANALYSE - ERP =&gt; SOUS-SEGMENT'!$GY$78</f>
        <v>0</v>
      </c>
      <c r="AA94" s="427">
        <f>'ANALYSE - ERP =&gt; SOUS-SEGMENT'!$HB$78</f>
        <v>0</v>
      </c>
      <c r="AC94" s="430">
        <f>'ANALYSE - ERP =&gt; SOUS-SEGMENT'!$Q$78</f>
        <v>1</v>
      </c>
    </row>
    <row r="95" spans="1:29" ht="15" customHeight="1">
      <c r="A95" s="26">
        <v>92</v>
      </c>
      <c r="B95" s="26">
        <v>92</v>
      </c>
      <c r="C95" s="26">
        <v>92</v>
      </c>
      <c r="D95" s="422">
        <f>'ANALYSE - ERP =&gt; SOUS-SEGMENT'!$A$123</f>
        <v>116</v>
      </c>
      <c r="E95" s="415" t="str">
        <f>'ANALYSE - ERP =&gt; SOUS-SEGMENT'!$B$123</f>
        <v>Transport, Mobilité &amp; Stationnement</v>
      </c>
      <c r="F95" s="415" t="str">
        <f>'ANALYSE - ERP =&gt; SOUS-SEGMENT'!$C$123</f>
        <v>Transport / Mobilité</v>
      </c>
      <c r="G95" s="415" t="str">
        <f>'ANALYSE - ERP =&gt; SOUS-SEGMENT'!$D$123</f>
        <v>Parcs de stationnement couverts (dotés de sanitaires)</v>
      </c>
      <c r="I95" s="427">
        <f t="shared" si="8"/>
        <v>0</v>
      </c>
      <c r="K95" s="787" t="str">
        <f t="shared" si="6"/>
        <v/>
      </c>
      <c r="L95" s="787" t="str">
        <f t="shared" si="7"/>
        <v/>
      </c>
      <c r="N95" s="424">
        <f>'ANALYSE - ERP =&gt; SOUS-SEGMENT'!$FD$123</f>
        <v>0</v>
      </c>
      <c r="O95" s="427">
        <f>'ANALYSE - ERP =&gt; SOUS-SEGMENT'!$GT$123</f>
        <v>0</v>
      </c>
      <c r="P95" s="427">
        <f>'ANALYSE - ERP =&gt; SOUS-SEGMENT'!$GW$123</f>
        <v>0</v>
      </c>
      <c r="Q95" s="427">
        <f>'ANALYSE - ERP =&gt; SOUS-SEGMENT'!$GZ$123</f>
        <v>0</v>
      </c>
      <c r="S95" s="424">
        <f>'ANALYSE - ERP =&gt; SOUS-SEGMENT'!$FE$123</f>
        <v>0</v>
      </c>
      <c r="T95" s="427">
        <f>'ANALYSE - ERP =&gt; SOUS-SEGMENT'!$GU$123</f>
        <v>0</v>
      </c>
      <c r="U95" s="427">
        <f>'ANALYSE - ERP =&gt; SOUS-SEGMENT'!$GX$123</f>
        <v>0</v>
      </c>
      <c r="V95" s="427">
        <f>'ANALYSE - ERP =&gt; SOUS-SEGMENT'!$HA$123</f>
        <v>0</v>
      </c>
      <c r="X95" s="427">
        <f>'ANALYSE - ERP =&gt; SOUS-SEGMENT'!$FF$123</f>
        <v>0</v>
      </c>
      <c r="Y95" s="427">
        <f>'ANALYSE - ERP =&gt; SOUS-SEGMENT'!$GV$123</f>
        <v>0</v>
      </c>
      <c r="Z95" s="427">
        <f>'ANALYSE - ERP =&gt; SOUS-SEGMENT'!$GY$123</f>
        <v>0</v>
      </c>
      <c r="AA95" s="427">
        <f>'ANALYSE - ERP =&gt; SOUS-SEGMENT'!$HB$123</f>
        <v>0</v>
      </c>
      <c r="AC95" s="430">
        <f>'ANALYSE - ERP =&gt; SOUS-SEGMENT'!$Q$123</f>
        <v>1</v>
      </c>
    </row>
    <row r="96" spans="1:29" ht="15" customHeight="1">
      <c r="A96" s="26">
        <v>93</v>
      </c>
      <c r="B96" s="26">
        <v>93</v>
      </c>
      <c r="C96" s="26">
        <v>93</v>
      </c>
      <c r="D96" s="422">
        <f>'ANALYSE - ERP =&gt; SOUS-SEGMENT'!$A$133</f>
        <v>126</v>
      </c>
      <c r="E96" s="412" t="str">
        <f>'ANALYSE - ERP =&gt; SOUS-SEGMENT'!$B$133</f>
        <v>Sécurité &amp; Justice</v>
      </c>
      <c r="F96" s="412" t="str">
        <f>'ANALYSE - ERP =&gt; SOUS-SEGMENT'!$C$133</f>
        <v xml:space="preserve">Commissariats / postes de police </v>
      </c>
      <c r="G96" s="412" t="str">
        <f>'ANALYSE - ERP =&gt; SOUS-SEGMENT'!$D$133</f>
        <v>Postes de proximité et antennes avec accueil public</v>
      </c>
      <c r="I96" s="427">
        <f t="shared" si="8"/>
        <v>0</v>
      </c>
      <c r="K96" s="787" t="str">
        <f t="shared" si="6"/>
        <v/>
      </c>
      <c r="L96" s="787" t="str">
        <f t="shared" si="7"/>
        <v/>
      </c>
      <c r="N96" s="424">
        <f>'ANALYSE - ERP =&gt; SOUS-SEGMENT'!$FD$133</f>
        <v>0</v>
      </c>
      <c r="O96" s="427">
        <f>'ANALYSE - ERP =&gt; SOUS-SEGMENT'!$GT$133</f>
        <v>0</v>
      </c>
      <c r="P96" s="427">
        <f>'ANALYSE - ERP =&gt; SOUS-SEGMENT'!$GW$133</f>
        <v>0</v>
      </c>
      <c r="Q96" s="427">
        <f>'ANALYSE - ERP =&gt; SOUS-SEGMENT'!$GZ$133</f>
        <v>0</v>
      </c>
      <c r="S96" s="424">
        <f>'ANALYSE - ERP =&gt; SOUS-SEGMENT'!$FE$133</f>
        <v>0</v>
      </c>
      <c r="T96" s="427">
        <f>'ANALYSE - ERP =&gt; SOUS-SEGMENT'!$GU$133</f>
        <v>0</v>
      </c>
      <c r="U96" s="427">
        <f>'ANALYSE - ERP =&gt; SOUS-SEGMENT'!$GX$133</f>
        <v>0</v>
      </c>
      <c r="V96" s="427">
        <f>'ANALYSE - ERP =&gt; SOUS-SEGMENT'!$HA$133</f>
        <v>0</v>
      </c>
      <c r="X96" s="427">
        <f>'ANALYSE - ERP =&gt; SOUS-SEGMENT'!$FF$133</f>
        <v>0</v>
      </c>
      <c r="Y96" s="427">
        <f>'ANALYSE - ERP =&gt; SOUS-SEGMENT'!$GV$133</f>
        <v>0</v>
      </c>
      <c r="Z96" s="427">
        <f>'ANALYSE - ERP =&gt; SOUS-SEGMENT'!$GY$133</f>
        <v>0</v>
      </c>
      <c r="AA96" s="427">
        <f>'ANALYSE - ERP =&gt; SOUS-SEGMENT'!$HB$133</f>
        <v>0</v>
      </c>
      <c r="AC96" s="430">
        <f>'ANALYSE - ERP =&gt; SOUS-SEGMENT'!$Q$133</f>
        <v>1</v>
      </c>
    </row>
    <row r="97" spans="1:29" ht="15" customHeight="1">
      <c r="A97" s="26">
        <v>94</v>
      </c>
      <c r="B97" s="26">
        <v>94</v>
      </c>
      <c r="C97" s="26">
        <v>94</v>
      </c>
      <c r="D97" s="422">
        <f>'ANALYSE - ERP =&gt; SOUS-SEGMENT'!$A$134</f>
        <v>127</v>
      </c>
      <c r="E97" s="412" t="str">
        <f>'ANALYSE - ERP =&gt; SOUS-SEGMENT'!$B$134</f>
        <v>Sécurité &amp; Justice</v>
      </c>
      <c r="F97" s="412" t="str">
        <f>'ANALYSE - ERP =&gt; SOUS-SEGMENT'!$C$134</f>
        <v xml:space="preserve">Commissariats / postes de police </v>
      </c>
      <c r="G97" s="412" t="str">
        <f>'ANALYSE - ERP =&gt; SOUS-SEGMENT'!$D$134</f>
        <v>Salles de réunion, de prévention ou de conférence ouvertes au public</v>
      </c>
      <c r="I97" s="427">
        <f t="shared" si="8"/>
        <v>0</v>
      </c>
      <c r="K97" s="787" t="str">
        <f t="shared" si="6"/>
        <v/>
      </c>
      <c r="L97" s="787" t="str">
        <f t="shared" si="7"/>
        <v/>
      </c>
      <c r="N97" s="424">
        <f>'ANALYSE - ERP =&gt; SOUS-SEGMENT'!$FD$134</f>
        <v>0</v>
      </c>
      <c r="O97" s="427">
        <f>'ANALYSE - ERP =&gt; SOUS-SEGMENT'!$GT$134</f>
        <v>0</v>
      </c>
      <c r="P97" s="427">
        <f>'ANALYSE - ERP =&gt; SOUS-SEGMENT'!$GW$134</f>
        <v>0</v>
      </c>
      <c r="Q97" s="427">
        <f>'ANALYSE - ERP =&gt; SOUS-SEGMENT'!$GZ$134</f>
        <v>0</v>
      </c>
      <c r="S97" s="424">
        <f>'ANALYSE - ERP =&gt; SOUS-SEGMENT'!$FE$134</f>
        <v>0</v>
      </c>
      <c r="T97" s="427">
        <f>'ANALYSE - ERP =&gt; SOUS-SEGMENT'!$GU$134</f>
        <v>0</v>
      </c>
      <c r="U97" s="427">
        <f>'ANALYSE - ERP =&gt; SOUS-SEGMENT'!$GX$134</f>
        <v>0</v>
      </c>
      <c r="V97" s="427">
        <f>'ANALYSE - ERP =&gt; SOUS-SEGMENT'!$HA$134</f>
        <v>0</v>
      </c>
      <c r="X97" s="427">
        <f>'ANALYSE - ERP =&gt; SOUS-SEGMENT'!$FF$134</f>
        <v>0</v>
      </c>
      <c r="Y97" s="427">
        <f>'ANALYSE - ERP =&gt; SOUS-SEGMENT'!$GV$134</f>
        <v>0</v>
      </c>
      <c r="Z97" s="427">
        <f>'ANALYSE - ERP =&gt; SOUS-SEGMENT'!$GY$134</f>
        <v>0</v>
      </c>
      <c r="AA97" s="427">
        <f>'ANALYSE - ERP =&gt; SOUS-SEGMENT'!$HB$134</f>
        <v>0</v>
      </c>
      <c r="AC97" s="430">
        <f>'ANALYSE - ERP =&gt; SOUS-SEGMENT'!$Q$134</f>
        <v>0</v>
      </c>
    </row>
    <row r="98" spans="1:29" ht="15" customHeight="1">
      <c r="A98" s="26">
        <v>95</v>
      </c>
      <c r="B98" s="26">
        <v>95</v>
      </c>
      <c r="C98" s="26">
        <v>95</v>
      </c>
      <c r="D98" s="422">
        <f>'ANALYSE - ERP =&gt; SOUS-SEGMENT'!$A$136</f>
        <v>129</v>
      </c>
      <c r="E98" s="417" t="str">
        <f>'ANALYSE - ERP =&gt; SOUS-SEGMENT'!$B$136</f>
        <v>Sécurité &amp; Justice</v>
      </c>
      <c r="F98" s="417" t="str">
        <f>'ANALYSE - ERP =&gt; SOUS-SEGMENT'!$C$136</f>
        <v>Forces armées</v>
      </c>
      <c r="G98" s="417" t="str">
        <f>'ANALYSE - ERP =&gt; SOUS-SEGMENT'!$D$136</f>
        <v>Centres de recrutement et bureaux d’information</v>
      </c>
      <c r="I98" s="427">
        <f t="shared" si="8"/>
        <v>0</v>
      </c>
      <c r="K98" s="787" t="str">
        <f t="shared" si="6"/>
        <v/>
      </c>
      <c r="L98" s="787" t="str">
        <f t="shared" si="7"/>
        <v/>
      </c>
      <c r="N98" s="424">
        <f>'ANALYSE - ERP =&gt; SOUS-SEGMENT'!$FD$136</f>
        <v>0</v>
      </c>
      <c r="O98" s="427">
        <f>'ANALYSE - ERP =&gt; SOUS-SEGMENT'!$GT$136</f>
        <v>0</v>
      </c>
      <c r="P98" s="427">
        <f>'ANALYSE - ERP =&gt; SOUS-SEGMENT'!$GW$136</f>
        <v>0</v>
      </c>
      <c r="Q98" s="427">
        <f>'ANALYSE - ERP =&gt; SOUS-SEGMENT'!$GZ$136</f>
        <v>0</v>
      </c>
      <c r="S98" s="424">
        <f>'ANALYSE - ERP =&gt; SOUS-SEGMENT'!$FE$136</f>
        <v>0</v>
      </c>
      <c r="T98" s="427">
        <f>'ANALYSE - ERP =&gt; SOUS-SEGMENT'!$GU$136</f>
        <v>0</v>
      </c>
      <c r="U98" s="427">
        <f>'ANALYSE - ERP =&gt; SOUS-SEGMENT'!$GX$136</f>
        <v>0</v>
      </c>
      <c r="V98" s="427">
        <f>'ANALYSE - ERP =&gt; SOUS-SEGMENT'!$HA$136</f>
        <v>0</v>
      </c>
      <c r="X98" s="427">
        <f>'ANALYSE - ERP =&gt; SOUS-SEGMENT'!$FF$136</f>
        <v>0</v>
      </c>
      <c r="Y98" s="427">
        <f>'ANALYSE - ERP =&gt; SOUS-SEGMENT'!$GV$136</f>
        <v>0</v>
      </c>
      <c r="Z98" s="427">
        <f>'ANALYSE - ERP =&gt; SOUS-SEGMENT'!$GY$136</f>
        <v>0</v>
      </c>
      <c r="AA98" s="427">
        <f>'ANALYSE - ERP =&gt; SOUS-SEGMENT'!$HB$136</f>
        <v>0</v>
      </c>
      <c r="AC98" s="430">
        <f>'ANALYSE - ERP =&gt; SOUS-SEGMENT'!$Q$136</f>
        <v>1</v>
      </c>
    </row>
    <row r="99" spans="1:29" ht="15" customHeight="1">
      <c r="A99" s="26">
        <v>96</v>
      </c>
      <c r="B99" s="26">
        <v>96</v>
      </c>
      <c r="C99" s="26">
        <v>96</v>
      </c>
      <c r="D99" s="422">
        <f>'ANALYSE - ERP =&gt; SOUS-SEGMENT'!$A$137</f>
        <v>130</v>
      </c>
      <c r="E99" s="417" t="str">
        <f>'ANALYSE - ERP =&gt; SOUS-SEGMENT'!$B$137</f>
        <v>Sécurité &amp; Justice</v>
      </c>
      <c r="F99" s="417" t="str">
        <f>'ANALYSE - ERP =&gt; SOUS-SEGMENT'!$C$137</f>
        <v>Forces armées</v>
      </c>
      <c r="G99" s="417" t="str">
        <f>'ANALYSE - ERP =&gt; SOUS-SEGMENT'!$D$137</f>
        <v>Restaurants ou équipements sportifs ouverts au public sur emprise militaire</v>
      </c>
      <c r="I99" s="427">
        <f t="shared" si="8"/>
        <v>0</v>
      </c>
      <c r="K99" s="787" t="str">
        <f t="shared" ref="K99:K106" si="9">IFERROR(S99/N99,"")</f>
        <v/>
      </c>
      <c r="L99" s="787" t="str">
        <f t="shared" ref="L99:L106" si="10">IFERROR(X99/N99,"")</f>
        <v/>
      </c>
      <c r="N99" s="424">
        <f>'ANALYSE - ERP =&gt; SOUS-SEGMENT'!$FD$137</f>
        <v>0</v>
      </c>
      <c r="O99" s="427">
        <f>'ANALYSE - ERP =&gt; SOUS-SEGMENT'!$GT$137</f>
        <v>0</v>
      </c>
      <c r="P99" s="427">
        <f>'ANALYSE - ERP =&gt; SOUS-SEGMENT'!$GW$137</f>
        <v>0</v>
      </c>
      <c r="Q99" s="427">
        <f>'ANALYSE - ERP =&gt; SOUS-SEGMENT'!$GZ$137</f>
        <v>0</v>
      </c>
      <c r="S99" s="424">
        <f>'ANALYSE - ERP =&gt; SOUS-SEGMENT'!$FE$137</f>
        <v>0</v>
      </c>
      <c r="T99" s="427">
        <f>'ANALYSE - ERP =&gt; SOUS-SEGMENT'!$GU$137</f>
        <v>0</v>
      </c>
      <c r="U99" s="427">
        <f>'ANALYSE - ERP =&gt; SOUS-SEGMENT'!$GX$137</f>
        <v>0</v>
      </c>
      <c r="V99" s="427">
        <f>'ANALYSE - ERP =&gt; SOUS-SEGMENT'!$HA$137</f>
        <v>0</v>
      </c>
      <c r="X99" s="427">
        <f>'ANALYSE - ERP =&gt; SOUS-SEGMENT'!$FF$137</f>
        <v>0</v>
      </c>
      <c r="Y99" s="427">
        <f>'ANALYSE - ERP =&gt; SOUS-SEGMENT'!$GV$137</f>
        <v>0</v>
      </c>
      <c r="Z99" s="427">
        <f>'ANALYSE - ERP =&gt; SOUS-SEGMENT'!$GY$137</f>
        <v>0</v>
      </c>
      <c r="AA99" s="427">
        <f>'ANALYSE - ERP =&gt; SOUS-SEGMENT'!$HB$137</f>
        <v>0</v>
      </c>
      <c r="AC99" s="430">
        <f>'ANALYSE - ERP =&gt; SOUS-SEGMENT'!$Q$137</f>
        <v>1</v>
      </c>
    </row>
    <row r="100" spans="1:29" ht="15" customHeight="1">
      <c r="A100" s="26">
        <v>97</v>
      </c>
      <c r="B100" s="26">
        <v>97</v>
      </c>
      <c r="C100" s="26">
        <v>97</v>
      </c>
      <c r="D100" s="422">
        <f>'ANALYSE - ERP =&gt; SOUS-SEGMENT'!$A$145</f>
        <v>138</v>
      </c>
      <c r="E100" s="417" t="str">
        <f>'ANALYSE - ERP =&gt; SOUS-SEGMENT'!$B$145</f>
        <v>Sécurité &amp; Justice</v>
      </c>
      <c r="F100" s="417" t="str">
        <f>'ANALYSE - ERP =&gt; SOUS-SEGMENT'!$C$145</f>
        <v>Univers carcéral</v>
      </c>
      <c r="G100" s="417" t="str">
        <f>'ANALYSE - ERP =&gt; SOUS-SEGMENT'!$D$145</f>
        <v>Centres pour peines aménagées
(absorbés par autres centres carcéraux)</v>
      </c>
      <c r="I100" s="427">
        <f t="shared" ref="I100:I106" si="11">N100/5</f>
        <v>0</v>
      </c>
      <c r="K100" s="787" t="str">
        <f t="shared" si="9"/>
        <v/>
      </c>
      <c r="L100" s="787" t="str">
        <f t="shared" si="10"/>
        <v/>
      </c>
      <c r="N100" s="424">
        <f>'ANALYSE - ERP =&gt; SOUS-SEGMENT'!$FD$145</f>
        <v>0</v>
      </c>
      <c r="O100" s="427">
        <f>'ANALYSE - ERP =&gt; SOUS-SEGMENT'!$GT$145</f>
        <v>0</v>
      </c>
      <c r="P100" s="427">
        <f>'ANALYSE - ERP =&gt; SOUS-SEGMENT'!$GW$145</f>
        <v>0</v>
      </c>
      <c r="Q100" s="427">
        <f>'ANALYSE - ERP =&gt; SOUS-SEGMENT'!$GZ$145</f>
        <v>0</v>
      </c>
      <c r="S100" s="424">
        <f>'ANALYSE - ERP =&gt; SOUS-SEGMENT'!$FE$145</f>
        <v>0</v>
      </c>
      <c r="T100" s="427">
        <f>'ANALYSE - ERP =&gt; SOUS-SEGMENT'!$GU$145</f>
        <v>0</v>
      </c>
      <c r="U100" s="427">
        <f>'ANALYSE - ERP =&gt; SOUS-SEGMENT'!$GX$145</f>
        <v>0</v>
      </c>
      <c r="V100" s="427">
        <f>'ANALYSE - ERP =&gt; SOUS-SEGMENT'!$HA$145</f>
        <v>0</v>
      </c>
      <c r="X100" s="427">
        <f>'ANALYSE - ERP =&gt; SOUS-SEGMENT'!$FF$145</f>
        <v>0</v>
      </c>
      <c r="Y100" s="427">
        <f>'ANALYSE - ERP =&gt; SOUS-SEGMENT'!$GV$145</f>
        <v>0</v>
      </c>
      <c r="Z100" s="427">
        <f>'ANALYSE - ERP =&gt; SOUS-SEGMENT'!$GY$145</f>
        <v>0</v>
      </c>
      <c r="AA100" s="427">
        <f>'ANALYSE - ERP =&gt; SOUS-SEGMENT'!$HB$145</f>
        <v>0</v>
      </c>
      <c r="AC100" s="430">
        <f>'ANALYSE - ERP =&gt; SOUS-SEGMENT'!$Q$145</f>
        <v>0</v>
      </c>
    </row>
    <row r="101" spans="1:29" ht="15" customHeight="1">
      <c r="A101" s="26">
        <v>98</v>
      </c>
      <c r="B101" s="26">
        <v>98</v>
      </c>
      <c r="C101" s="26">
        <v>98</v>
      </c>
      <c r="D101" s="422">
        <f>'ANALYSE - ERP =&gt; SOUS-SEGMENT'!$A$146</f>
        <v>139</v>
      </c>
      <c r="E101" s="417" t="str">
        <f>'ANALYSE - ERP =&gt; SOUS-SEGMENT'!$B$146</f>
        <v>Sécurité &amp; Justice</v>
      </c>
      <c r="F101" s="417" t="str">
        <f>'ANALYSE - ERP =&gt; SOUS-SEGMENT'!$C$146</f>
        <v>Tribunaux</v>
      </c>
      <c r="G101" s="417" t="str">
        <f>'ANALYSE - ERP =&gt; SOUS-SEGMENT'!$D$146</f>
        <v>Palais de justice et bâtiments judiciaires multi-usages</v>
      </c>
      <c r="I101" s="427">
        <f t="shared" si="11"/>
        <v>0</v>
      </c>
      <c r="K101" s="787" t="str">
        <f t="shared" si="9"/>
        <v/>
      </c>
      <c r="L101" s="787" t="str">
        <f t="shared" si="10"/>
        <v/>
      </c>
      <c r="N101" s="424">
        <f>'ANALYSE - ERP =&gt; SOUS-SEGMENT'!$FD$146</f>
        <v>0</v>
      </c>
      <c r="O101" s="427">
        <f>'ANALYSE - ERP =&gt; SOUS-SEGMENT'!$GT$146</f>
        <v>0</v>
      </c>
      <c r="P101" s="427">
        <f>'ANALYSE - ERP =&gt; SOUS-SEGMENT'!$GW$146</f>
        <v>0</v>
      </c>
      <c r="Q101" s="427">
        <f>'ANALYSE - ERP =&gt; SOUS-SEGMENT'!$GZ$146</f>
        <v>0</v>
      </c>
      <c r="S101" s="424">
        <f>'ANALYSE - ERP =&gt; SOUS-SEGMENT'!$FE$146</f>
        <v>0</v>
      </c>
      <c r="T101" s="427">
        <f>'ANALYSE - ERP =&gt; SOUS-SEGMENT'!$GU$146</f>
        <v>0</v>
      </c>
      <c r="U101" s="427">
        <f>'ANALYSE - ERP =&gt; SOUS-SEGMENT'!$GX$146</f>
        <v>0</v>
      </c>
      <c r="V101" s="427">
        <f>'ANALYSE - ERP =&gt; SOUS-SEGMENT'!$HA$146</f>
        <v>0</v>
      </c>
      <c r="X101" s="427">
        <f>'ANALYSE - ERP =&gt; SOUS-SEGMENT'!$FF$146</f>
        <v>0</v>
      </c>
      <c r="Y101" s="427">
        <f>'ANALYSE - ERP =&gt; SOUS-SEGMENT'!$GV$146</f>
        <v>0</v>
      </c>
      <c r="Z101" s="427">
        <f>'ANALYSE - ERP =&gt; SOUS-SEGMENT'!$GY$146</f>
        <v>0</v>
      </c>
      <c r="AA101" s="427">
        <f>'ANALYSE - ERP =&gt; SOUS-SEGMENT'!$HB$146</f>
        <v>0</v>
      </c>
      <c r="AC101" s="430">
        <f>'ANALYSE - ERP =&gt; SOUS-SEGMENT'!$Q$146</f>
        <v>1</v>
      </c>
    </row>
    <row r="102" spans="1:29" ht="15" customHeight="1">
      <c r="A102" s="26">
        <v>99</v>
      </c>
      <c r="B102" s="26">
        <v>99</v>
      </c>
      <c r="C102" s="26">
        <v>99</v>
      </c>
      <c r="D102" s="422">
        <f>'ANALYSE - ERP =&gt; SOUS-SEGMENT'!$A$147</f>
        <v>140</v>
      </c>
      <c r="E102" s="417" t="str">
        <f>'ANALYSE - ERP =&gt; SOUS-SEGMENT'!$B$147</f>
        <v>Sécurité &amp; Justice</v>
      </c>
      <c r="F102" s="417" t="str">
        <f>'ANALYSE - ERP =&gt; SOUS-SEGMENT'!$C$147</f>
        <v>Tribunaux</v>
      </c>
      <c r="G102" s="417" t="str">
        <f>'ANALYSE - ERP =&gt; SOUS-SEGMENT'!$D$147</f>
        <v>Maisons de justice et du droit</v>
      </c>
      <c r="I102" s="427">
        <f t="shared" si="11"/>
        <v>0</v>
      </c>
      <c r="K102" s="787" t="str">
        <f t="shared" si="9"/>
        <v/>
      </c>
      <c r="L102" s="787" t="str">
        <f t="shared" si="10"/>
        <v/>
      </c>
      <c r="N102" s="424">
        <f>'ANALYSE - ERP =&gt; SOUS-SEGMENT'!$FD$147</f>
        <v>0</v>
      </c>
      <c r="O102" s="427">
        <f>'ANALYSE - ERP =&gt; SOUS-SEGMENT'!$GT$147</f>
        <v>0</v>
      </c>
      <c r="P102" s="427">
        <f>'ANALYSE - ERP =&gt; SOUS-SEGMENT'!$GW$147</f>
        <v>0</v>
      </c>
      <c r="Q102" s="427">
        <f>'ANALYSE - ERP =&gt; SOUS-SEGMENT'!$GZ$147</f>
        <v>0</v>
      </c>
      <c r="S102" s="424">
        <f>'ANALYSE - ERP =&gt; SOUS-SEGMENT'!$FE$147</f>
        <v>0</v>
      </c>
      <c r="T102" s="427">
        <f>'ANALYSE - ERP =&gt; SOUS-SEGMENT'!$GU$147</f>
        <v>0</v>
      </c>
      <c r="U102" s="427">
        <f>'ANALYSE - ERP =&gt; SOUS-SEGMENT'!$GX$147</f>
        <v>0</v>
      </c>
      <c r="V102" s="427">
        <f>'ANALYSE - ERP =&gt; SOUS-SEGMENT'!$HA$147</f>
        <v>0</v>
      </c>
      <c r="X102" s="427">
        <f>'ANALYSE - ERP =&gt; SOUS-SEGMENT'!$FF$147</f>
        <v>0</v>
      </c>
      <c r="Y102" s="427">
        <f>'ANALYSE - ERP =&gt; SOUS-SEGMENT'!$GV$147</f>
        <v>0</v>
      </c>
      <c r="Z102" s="427">
        <f>'ANALYSE - ERP =&gt; SOUS-SEGMENT'!$GY$147</f>
        <v>0</v>
      </c>
      <c r="AA102" s="427">
        <f>'ANALYSE - ERP =&gt; SOUS-SEGMENT'!$HB$147</f>
        <v>0</v>
      </c>
      <c r="AC102" s="430">
        <f>'ANALYSE - ERP =&gt; SOUS-SEGMENT'!$Q$147</f>
        <v>1</v>
      </c>
    </row>
    <row r="103" spans="1:29" ht="15" customHeight="1">
      <c r="A103" s="26">
        <v>100</v>
      </c>
      <c r="B103" s="26">
        <v>100</v>
      </c>
      <c r="C103" s="26">
        <v>100</v>
      </c>
      <c r="D103" s="422">
        <f>'ANALYSE - ERP =&gt; SOUS-SEGMENT'!$A$148</f>
        <v>141</v>
      </c>
      <c r="E103" s="417" t="str">
        <f>'ANALYSE - ERP =&gt; SOUS-SEGMENT'!$B$148</f>
        <v>Sécurité &amp; Justice</v>
      </c>
      <c r="F103" s="417" t="str">
        <f>'ANALYSE - ERP =&gt; SOUS-SEGMENT'!$C$148</f>
        <v>Tribunaux</v>
      </c>
      <c r="G103" s="417" t="str">
        <f>'ANALYSE - ERP =&gt; SOUS-SEGMENT'!$D$148</f>
        <v>Tribunaux de commerce autonomes</v>
      </c>
      <c r="I103" s="427">
        <f t="shared" si="11"/>
        <v>0</v>
      </c>
      <c r="K103" s="787" t="str">
        <f t="shared" si="9"/>
        <v/>
      </c>
      <c r="L103" s="787" t="str">
        <f t="shared" si="10"/>
        <v/>
      </c>
      <c r="N103" s="424">
        <f>'ANALYSE - ERP =&gt; SOUS-SEGMENT'!$FD$148</f>
        <v>0</v>
      </c>
      <c r="O103" s="427">
        <f>'ANALYSE - ERP =&gt; SOUS-SEGMENT'!$GT$148</f>
        <v>0</v>
      </c>
      <c r="P103" s="427">
        <f>'ANALYSE - ERP =&gt; SOUS-SEGMENT'!$GW$148</f>
        <v>0</v>
      </c>
      <c r="Q103" s="427">
        <f>'ANALYSE - ERP =&gt; SOUS-SEGMENT'!$GZ$148</f>
        <v>0</v>
      </c>
      <c r="S103" s="424">
        <f>'ANALYSE - ERP =&gt; SOUS-SEGMENT'!$FE$148</f>
        <v>0</v>
      </c>
      <c r="T103" s="427">
        <f>'ANALYSE - ERP =&gt; SOUS-SEGMENT'!$GU$148</f>
        <v>0</v>
      </c>
      <c r="U103" s="427">
        <f>'ANALYSE - ERP =&gt; SOUS-SEGMENT'!$GX$148</f>
        <v>0</v>
      </c>
      <c r="V103" s="427">
        <f>'ANALYSE - ERP =&gt; SOUS-SEGMENT'!$HA$148</f>
        <v>0</v>
      </c>
      <c r="X103" s="427">
        <f>'ANALYSE - ERP =&gt; SOUS-SEGMENT'!$FF$148</f>
        <v>0</v>
      </c>
      <c r="Y103" s="427">
        <f>'ANALYSE - ERP =&gt; SOUS-SEGMENT'!$GV$148</f>
        <v>0</v>
      </c>
      <c r="Z103" s="427">
        <f>'ANALYSE - ERP =&gt; SOUS-SEGMENT'!$GY$148</f>
        <v>0</v>
      </c>
      <c r="AA103" s="427">
        <f>'ANALYSE - ERP =&gt; SOUS-SEGMENT'!$HB$148</f>
        <v>0</v>
      </c>
      <c r="AC103" s="430">
        <f>'ANALYSE - ERP =&gt; SOUS-SEGMENT'!$Q$148</f>
        <v>1</v>
      </c>
    </row>
    <row r="104" spans="1:29" ht="15" customHeight="1">
      <c r="A104" s="26">
        <v>101</v>
      </c>
      <c r="B104" s="26">
        <v>101</v>
      </c>
      <c r="C104" s="26">
        <v>101</v>
      </c>
      <c r="D104" s="422">
        <f>'ANALYSE - ERP =&gt; SOUS-SEGMENT'!$A$149</f>
        <v>142</v>
      </c>
      <c r="E104" s="417" t="str">
        <f>'ANALYSE - ERP =&gt; SOUS-SEGMENT'!$B$149</f>
        <v>Sécurité &amp; Justice</v>
      </c>
      <c r="F104" s="417" t="str">
        <f>'ANALYSE - ERP =&gt; SOUS-SEGMENT'!$C$149</f>
        <v>Tribunaux</v>
      </c>
      <c r="G104" s="417" t="str">
        <f>'ANALYSE - ERP =&gt; SOUS-SEGMENT'!$D$149</f>
        <v>Conseils de prud’hommes autonomes</v>
      </c>
      <c r="I104" s="427">
        <f t="shared" si="11"/>
        <v>0</v>
      </c>
      <c r="K104" s="787" t="str">
        <f t="shared" si="9"/>
        <v/>
      </c>
      <c r="L104" s="787" t="str">
        <f t="shared" si="10"/>
        <v/>
      </c>
      <c r="N104" s="424">
        <f>'ANALYSE - ERP =&gt; SOUS-SEGMENT'!$FD$149</f>
        <v>0</v>
      </c>
      <c r="O104" s="427">
        <f>'ANALYSE - ERP =&gt; SOUS-SEGMENT'!$GT$149</f>
        <v>0</v>
      </c>
      <c r="P104" s="427">
        <f>'ANALYSE - ERP =&gt; SOUS-SEGMENT'!$GW$149</f>
        <v>0</v>
      </c>
      <c r="Q104" s="427">
        <f>'ANALYSE - ERP =&gt; SOUS-SEGMENT'!$GZ$149</f>
        <v>0</v>
      </c>
      <c r="S104" s="424">
        <f>'ANALYSE - ERP =&gt; SOUS-SEGMENT'!$FE$149</f>
        <v>0</v>
      </c>
      <c r="T104" s="427">
        <f>'ANALYSE - ERP =&gt; SOUS-SEGMENT'!$GU$149</f>
        <v>0</v>
      </c>
      <c r="U104" s="427">
        <f>'ANALYSE - ERP =&gt; SOUS-SEGMENT'!$GX$149</f>
        <v>0</v>
      </c>
      <c r="V104" s="427">
        <f>'ANALYSE - ERP =&gt; SOUS-SEGMENT'!$HA$149</f>
        <v>0</v>
      </c>
      <c r="X104" s="427">
        <f>'ANALYSE - ERP =&gt; SOUS-SEGMENT'!$FF$149</f>
        <v>0</v>
      </c>
      <c r="Y104" s="427">
        <f>'ANALYSE - ERP =&gt; SOUS-SEGMENT'!$GV$149</f>
        <v>0</v>
      </c>
      <c r="Z104" s="427">
        <f>'ANALYSE - ERP =&gt; SOUS-SEGMENT'!$GY$149</f>
        <v>0</v>
      </c>
      <c r="AA104" s="427">
        <f>'ANALYSE - ERP =&gt; SOUS-SEGMENT'!$HB$149</f>
        <v>0</v>
      </c>
      <c r="AC104" s="430">
        <f>'ANALYSE - ERP =&gt; SOUS-SEGMENT'!$Q$149</f>
        <v>1</v>
      </c>
    </row>
    <row r="105" spans="1:29" ht="15" customHeight="1">
      <c r="A105" s="26">
        <v>102</v>
      </c>
      <c r="B105" s="26">
        <v>102</v>
      </c>
      <c r="C105" s="26">
        <v>102</v>
      </c>
      <c r="D105" s="422" t="e">
        <f>'ANALYSE - ERP =&gt; SOUS-SEGMENT'!#REF!</f>
        <v>#REF!</v>
      </c>
      <c r="E105" s="417" t="e">
        <f>'ANALYSE - ERP =&gt; SOUS-SEGMENT'!#REF!</f>
        <v>#REF!</v>
      </c>
      <c r="F105" s="417" t="e">
        <f>'ANALYSE - ERP =&gt; SOUS-SEGMENT'!#REF!</f>
        <v>#REF!</v>
      </c>
      <c r="G105" s="417" t="e">
        <f>'ANALYSE - ERP =&gt; SOUS-SEGMENT'!#REF!</f>
        <v>#REF!</v>
      </c>
      <c r="I105" s="427" t="e">
        <f t="shared" si="11"/>
        <v>#REF!</v>
      </c>
      <c r="K105" s="787" t="str">
        <f t="shared" si="9"/>
        <v/>
      </c>
      <c r="L105" s="787" t="str">
        <f t="shared" si="10"/>
        <v/>
      </c>
      <c r="N105" s="424" t="e">
        <f>'ANALYSE - ERP =&gt; SOUS-SEGMENT'!#REF!</f>
        <v>#REF!</v>
      </c>
      <c r="O105" s="427" t="e">
        <f>'ANALYSE - ERP =&gt; SOUS-SEGMENT'!#REF!</f>
        <v>#REF!</v>
      </c>
      <c r="P105" s="427" t="e">
        <f>'ANALYSE - ERP =&gt; SOUS-SEGMENT'!#REF!</f>
        <v>#REF!</v>
      </c>
      <c r="Q105" s="427" t="e">
        <f>'ANALYSE - ERP =&gt; SOUS-SEGMENT'!#REF!</f>
        <v>#REF!</v>
      </c>
      <c r="S105" s="424" t="e">
        <f>'ANALYSE - ERP =&gt; SOUS-SEGMENT'!#REF!</f>
        <v>#REF!</v>
      </c>
      <c r="T105" s="427" t="e">
        <f>'ANALYSE - ERP =&gt; SOUS-SEGMENT'!#REF!</f>
        <v>#REF!</v>
      </c>
      <c r="U105" s="427" t="e">
        <f>'ANALYSE - ERP =&gt; SOUS-SEGMENT'!#REF!</f>
        <v>#REF!</v>
      </c>
      <c r="V105" s="427" t="e">
        <f>'ANALYSE - ERP =&gt; SOUS-SEGMENT'!#REF!</f>
        <v>#REF!</v>
      </c>
      <c r="X105" s="427" t="e">
        <f>'ANALYSE - ERP =&gt; SOUS-SEGMENT'!#REF!</f>
        <v>#REF!</v>
      </c>
      <c r="Y105" s="427" t="e">
        <f>'ANALYSE - ERP =&gt; SOUS-SEGMENT'!#REF!</f>
        <v>#REF!</v>
      </c>
      <c r="Z105" s="427" t="e">
        <f>'ANALYSE - ERP =&gt; SOUS-SEGMENT'!#REF!</f>
        <v>#REF!</v>
      </c>
      <c r="AA105" s="427" t="e">
        <f>'ANALYSE - ERP =&gt; SOUS-SEGMENT'!#REF!</f>
        <v>#REF!</v>
      </c>
      <c r="AC105" s="430" t="e">
        <f>'ANALYSE - ERP =&gt; SOUS-SEGMENT'!#REF!</f>
        <v>#REF!</v>
      </c>
    </row>
    <row r="106" spans="1:29" s="45" customFormat="1" ht="15" customHeight="1">
      <c r="A106" s="406">
        <v>103</v>
      </c>
      <c r="B106" s="406">
        <v>103</v>
      </c>
      <c r="C106" s="406">
        <v>103</v>
      </c>
      <c r="D106" s="448">
        <f>'ANALYSE - ERP =&gt; SOUS-SEGMENT'!$A$150</f>
        <v>143</v>
      </c>
      <c r="E106" s="423" t="str">
        <f>'ANALYSE - ERP =&gt; SOUS-SEGMENT'!$B$150</f>
        <v>Sanitaires Publics</v>
      </c>
      <c r="F106" s="423" t="str">
        <f>'ANALYSE - ERP =&gt; SOUS-SEGMENT'!$C$150</f>
        <v>Sanitaires publics</v>
      </c>
      <c r="G106" s="423" t="str">
        <f>'ANALYSE - ERP =&gt; SOUS-SEGMENT'!$D$150</f>
        <v>Toilettes publiques (sur la voie publique)</v>
      </c>
      <c r="H106" s="685"/>
      <c r="I106" s="407">
        <f t="shared" si="11"/>
        <v>0</v>
      </c>
      <c r="J106" s="685"/>
      <c r="K106" s="788" t="str">
        <f t="shared" si="9"/>
        <v/>
      </c>
      <c r="L106" s="788" t="str">
        <f t="shared" si="10"/>
        <v/>
      </c>
      <c r="M106" s="685"/>
      <c r="N106" s="425">
        <f>'ANALYSE - ERP =&gt; SOUS-SEGMENT'!$FD$150</f>
        <v>0</v>
      </c>
      <c r="O106" s="407">
        <f>'ANALYSE - ERP =&gt; SOUS-SEGMENT'!$GT$150</f>
        <v>0</v>
      </c>
      <c r="P106" s="407">
        <f>'ANALYSE - ERP =&gt; SOUS-SEGMENT'!$GW$150</f>
        <v>0</v>
      </c>
      <c r="Q106" s="407">
        <f>'ANALYSE - ERP =&gt; SOUS-SEGMENT'!$GZ$150</f>
        <v>0</v>
      </c>
      <c r="R106" s="685"/>
      <c r="S106" s="425">
        <f>'ANALYSE - ERP =&gt; SOUS-SEGMENT'!$FE$150</f>
        <v>0</v>
      </c>
      <c r="T106" s="407">
        <f>'ANALYSE - ERP =&gt; SOUS-SEGMENT'!$GU$150</f>
        <v>0</v>
      </c>
      <c r="U106" s="407">
        <f>'ANALYSE - ERP =&gt; SOUS-SEGMENT'!$GX$150</f>
        <v>0</v>
      </c>
      <c r="V106" s="407">
        <f>'ANALYSE - ERP =&gt; SOUS-SEGMENT'!$HA$150</f>
        <v>0</v>
      </c>
      <c r="W106" s="685"/>
      <c r="X106" s="407">
        <f>'ANALYSE - ERP =&gt; SOUS-SEGMENT'!$FF$150</f>
        <v>0</v>
      </c>
      <c r="Y106" s="407">
        <f>'ANALYSE - ERP =&gt; SOUS-SEGMENT'!$GV$150</f>
        <v>0</v>
      </c>
      <c r="Z106" s="407">
        <f>'ANALYSE - ERP =&gt; SOUS-SEGMENT'!$GY$150</f>
        <v>0</v>
      </c>
      <c r="AA106" s="407">
        <f>'ANALYSE - ERP =&gt; SOUS-SEGMENT'!$HB$150</f>
        <v>0</v>
      </c>
      <c r="AB106" s="685"/>
      <c r="AC106" s="450">
        <f>'ANALYSE - ERP =&gt; SOUS-SEGMENT'!$Q$150</f>
        <v>1</v>
      </c>
    </row>
  </sheetData>
  <autoFilter ref="A2:AC2" xr:uid="{00000000-0009-0000-0000-000017000000}"/>
  <conditionalFormatting sqref="O4:Q106">
    <cfRule type="colorScale" priority="14">
      <colorScale>
        <cfvo type="min"/>
        <cfvo type="formula" val="MEDIAN($O$4:$Q$106)"/>
        <cfvo type="max"/>
        <color rgb="FFF8696B"/>
        <color theme="0"/>
        <color rgb="FF63BE7B"/>
      </colorScale>
    </cfRule>
  </conditionalFormatting>
  <conditionalFormatting sqref="T4:V106">
    <cfRule type="colorScale" priority="15">
      <colorScale>
        <cfvo type="min"/>
        <cfvo type="formula" val="MEDIAN($T$4:$V$106)"/>
        <cfvo type="max"/>
        <color rgb="FFF8696B"/>
        <color theme="0"/>
        <color rgb="FF63BE7B"/>
      </colorScale>
    </cfRule>
  </conditionalFormatting>
  <conditionalFormatting sqref="Y4:AA106">
    <cfRule type="colorScale" priority="16">
      <colorScale>
        <cfvo type="min"/>
        <cfvo type="formula" val="MEDIAN($Y$4:$AA$106)"/>
        <cfvo type="max"/>
        <color rgb="FFF8696B"/>
        <color theme="0"/>
        <color rgb="FF63BE7B"/>
      </colorScale>
    </cfRule>
  </conditionalFormatting>
  <pageMargins left="3.937007874015748E-2" right="3.937007874015748E-2" top="7.874015748031496E-2" bottom="7.874015748031496E-2" header="0.11811023622047249" footer="0.11811023622047249"/>
  <pageSetup paperSize="8" scale="73" fitToHeight="2"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8" tint="-0.249977111117893"/>
    <pageSetUpPr fitToPage="1"/>
  </sheetPr>
  <dimension ref="A1:BE106"/>
  <sheetViews>
    <sheetView zoomScale="85" zoomScaleNormal="85" workbookViewId="0">
      <pane xSplit="7" ySplit="3" topLeftCell="H4" activePane="bottomRight" state="frozen"/>
      <selection activeCell="G29" sqref="G29"/>
      <selection pane="topRight" activeCell="G29" sqref="G29"/>
      <selection pane="bottomLeft" activeCell="G29" sqref="G29"/>
      <selection pane="bottomRight" activeCell="G29" sqref="G29"/>
    </sheetView>
  </sheetViews>
  <sheetFormatPr baseColWidth="10" defaultColWidth="9.140625" defaultRowHeight="15"/>
  <cols>
    <col min="1" max="1" width="6.140625" style="934" customWidth="1"/>
    <col min="2" max="2" width="5.7109375" style="934" customWidth="1"/>
    <col min="3" max="3" width="5.5703125" style="934" customWidth="1"/>
    <col min="4" max="4" width="6" style="934" customWidth="1"/>
    <col min="5" max="5" width="30.28515625" style="43" customWidth="1"/>
    <col min="6" max="6" width="22.7109375" style="43" customWidth="1"/>
    <col min="7" max="7" width="45.140625" style="43" customWidth="1"/>
    <col min="8" max="8" width="1.7109375" style="933" customWidth="1"/>
    <col min="9" max="9" width="9.7109375" style="934" customWidth="1"/>
    <col min="10" max="10" width="1.7109375" style="933" customWidth="1"/>
    <col min="11" max="11" width="9.5703125" style="934" customWidth="1"/>
    <col min="12" max="12" width="9" style="934" customWidth="1"/>
    <col min="13" max="13" width="1.7109375" style="933" customWidth="1"/>
    <col min="14" max="14" width="9.42578125" style="934" customWidth="1"/>
    <col min="15" max="15" width="9" style="934" customWidth="1"/>
    <col min="16" max="16" width="10.42578125" style="934" customWidth="1"/>
    <col min="17" max="17" width="8.7109375" style="934" customWidth="1"/>
    <col min="18" max="18" width="8.140625" style="934" customWidth="1"/>
    <col min="19" max="19" width="1.7109375" style="933" customWidth="1"/>
    <col min="20" max="20" width="9" style="934" customWidth="1"/>
    <col min="21" max="21" width="8.85546875" style="934" customWidth="1"/>
    <col min="22" max="22" width="9.7109375" style="934" customWidth="1"/>
    <col min="23" max="23" width="10.42578125" style="934" customWidth="1"/>
    <col min="24" max="24" width="9" style="934" customWidth="1"/>
    <col min="25" max="25" width="1.7109375" style="933" customWidth="1"/>
    <col min="26" max="26" width="8.140625" style="934" customWidth="1"/>
    <col min="27" max="27" width="9.85546875" style="934" customWidth="1"/>
    <col min="28" max="28" width="9" style="934" customWidth="1"/>
    <col min="29" max="29" width="9.42578125" style="934" customWidth="1"/>
    <col min="30" max="30" width="7.28515625" style="934" customWidth="1"/>
    <col min="31" max="31" width="1.7109375" style="933" customWidth="1"/>
    <col min="32" max="32" width="12.5703125" style="934" customWidth="1"/>
    <col min="33" max="57" width="9.140625" style="933" customWidth="1"/>
  </cols>
  <sheetData>
    <row r="1" spans="1:57" s="438" customFormat="1" ht="18.75" customHeight="1">
      <c r="D1" s="477"/>
      <c r="E1" s="479"/>
      <c r="F1" s="478" t="s">
        <v>7950</v>
      </c>
      <c r="G1" s="479"/>
      <c r="H1" s="933"/>
      <c r="J1" s="933"/>
      <c r="M1" s="933"/>
      <c r="N1" s="436"/>
      <c r="O1" s="436"/>
      <c r="P1" s="440" t="s">
        <v>7919</v>
      </c>
      <c r="Q1" s="436"/>
      <c r="R1" s="436"/>
      <c r="S1" s="933"/>
      <c r="T1" s="434"/>
      <c r="U1" s="434"/>
      <c r="V1" s="439" t="s">
        <v>7919</v>
      </c>
      <c r="W1" s="434"/>
      <c r="X1" s="434"/>
      <c r="Y1" s="933"/>
      <c r="Z1" s="435"/>
      <c r="AA1" s="435"/>
      <c r="AB1" s="441" t="s">
        <v>7919</v>
      </c>
      <c r="AC1" s="435"/>
      <c r="AD1" s="435"/>
      <c r="AE1" s="933"/>
      <c r="AF1" s="436"/>
      <c r="AG1" s="933"/>
      <c r="AH1" s="933"/>
      <c r="AI1" s="933"/>
      <c r="AJ1" s="933"/>
      <c r="AK1" s="933"/>
      <c r="AL1" s="933"/>
      <c r="AM1" s="933"/>
      <c r="AN1" s="933"/>
      <c r="AO1" s="933"/>
      <c r="AP1" s="933"/>
      <c r="AQ1" s="933"/>
      <c r="AR1" s="933"/>
      <c r="AS1" s="933"/>
      <c r="AT1" s="933"/>
      <c r="AU1" s="933"/>
      <c r="AV1" s="933"/>
      <c r="AW1" s="933"/>
      <c r="AX1" s="933"/>
      <c r="AY1" s="933"/>
      <c r="AZ1" s="933"/>
      <c r="BA1" s="933"/>
      <c r="BB1" s="933"/>
      <c r="BC1" s="933"/>
      <c r="BD1" s="933"/>
      <c r="BE1" s="933"/>
    </row>
    <row r="2" spans="1:57" s="437" customFormat="1" ht="54.75" customHeight="1">
      <c r="A2" s="431" t="s">
        <v>7853</v>
      </c>
      <c r="B2" s="432" t="s">
        <v>7854</v>
      </c>
      <c r="C2" s="433" t="s">
        <v>7855</v>
      </c>
      <c r="D2" s="829" t="s">
        <v>2044</v>
      </c>
      <c r="E2" s="829" t="s">
        <v>6714</v>
      </c>
      <c r="F2" s="829" t="s">
        <v>6715</v>
      </c>
      <c r="G2" s="829" t="s">
        <v>2181</v>
      </c>
      <c r="H2" s="453"/>
      <c r="I2" s="436" t="s">
        <v>7920</v>
      </c>
      <c r="J2" s="453"/>
      <c r="K2" s="434" t="s">
        <v>7860</v>
      </c>
      <c r="L2" s="435" t="s">
        <v>2534</v>
      </c>
      <c r="M2" s="453"/>
      <c r="N2" s="436" t="s">
        <v>7857</v>
      </c>
      <c r="O2" s="436" t="s">
        <v>7951</v>
      </c>
      <c r="P2" s="436" t="s">
        <v>7952</v>
      </c>
      <c r="Q2" s="436" t="s">
        <v>7953</v>
      </c>
      <c r="R2" s="436" t="s">
        <v>7954</v>
      </c>
      <c r="S2" s="453"/>
      <c r="T2" s="434" t="s">
        <v>7925</v>
      </c>
      <c r="U2" s="434" t="s">
        <v>7955</v>
      </c>
      <c r="V2" s="434" t="s">
        <v>7956</v>
      </c>
      <c r="W2" s="434" t="s">
        <v>7957</v>
      </c>
      <c r="X2" s="434" t="s">
        <v>7958</v>
      </c>
      <c r="Y2" s="453"/>
      <c r="Z2" s="435" t="s">
        <v>7930</v>
      </c>
      <c r="AA2" s="435" t="s">
        <v>7959</v>
      </c>
      <c r="AB2" s="435" t="s">
        <v>7960</v>
      </c>
      <c r="AC2" s="435" t="s">
        <v>7961</v>
      </c>
      <c r="AD2" s="435" t="s">
        <v>7962</v>
      </c>
      <c r="AE2" s="453"/>
      <c r="AF2" s="436" t="s">
        <v>6711</v>
      </c>
      <c r="AG2" s="453"/>
      <c r="AH2" s="453"/>
      <c r="AI2" s="453"/>
      <c r="AJ2" s="453"/>
      <c r="AK2" s="453"/>
      <c r="AL2" s="453"/>
      <c r="AM2" s="453"/>
      <c r="AN2" s="453"/>
      <c r="AO2" s="453"/>
      <c r="AP2" s="453"/>
      <c r="AQ2" s="453"/>
      <c r="AR2" s="453"/>
      <c r="AS2" s="453"/>
      <c r="AT2" s="453"/>
      <c r="AU2" s="453"/>
      <c r="AV2" s="453"/>
      <c r="AW2" s="453"/>
      <c r="AX2" s="453"/>
      <c r="AY2" s="453"/>
      <c r="AZ2" s="453"/>
      <c r="BA2" s="453"/>
      <c r="BB2" s="453"/>
      <c r="BC2" s="453"/>
      <c r="BD2" s="453"/>
      <c r="BE2" s="453"/>
    </row>
    <row r="3" spans="1:57">
      <c r="A3" s="405" t="s">
        <v>2535</v>
      </c>
      <c r="B3" s="405" t="s">
        <v>2535</v>
      </c>
      <c r="C3" s="405" t="s">
        <v>2535</v>
      </c>
      <c r="D3" s="405" t="s">
        <v>2090</v>
      </c>
      <c r="E3" s="405" t="s">
        <v>2086</v>
      </c>
      <c r="F3" s="405" t="s">
        <v>6728</v>
      </c>
      <c r="G3" s="405" t="s">
        <v>6729</v>
      </c>
      <c r="I3" s="426" t="str">
        <f>IFERROR(N3/5,"")</f>
        <v/>
      </c>
      <c r="K3" s="790" t="str">
        <f t="shared" ref="K3:K34" si="0">IFERROR(T3/N3,"")</f>
        <v/>
      </c>
      <c r="L3" s="790" t="str">
        <f t="shared" ref="L3:L34" si="1">IFERROR(Z3/N3,"")</f>
        <v/>
      </c>
      <c r="N3" s="426" t="e">
        <f>SUMPRODUCT(($AF$4:$AF$106),('ANALYSE - ERP =&gt; SOUS-SEGMENT'!$FG$8:$FG$150))</f>
        <v>#REF!</v>
      </c>
      <c r="O3" s="426" t="e">
        <f>SUMPRODUCT(($AF$4:$AF$106),('ANALYSE - ERP =&gt; SOUS-SEGMENT'!$HC$8:$HC$150))</f>
        <v>#REF!</v>
      </c>
      <c r="P3" s="426" t="e">
        <f>SUMPRODUCT(($AF$4:$AF$106),('ANALYSE - ERP =&gt; SOUS-SEGMENT'!$HF$8:$HF$150))</f>
        <v>#REF!</v>
      </c>
      <c r="Q3" s="426" t="e">
        <f>SUMPRODUCT(($AF$4:$AF$106),('ANALYSE - ERP =&gt; SOUS-SEGMENT'!$HI$8:$HI$150))</f>
        <v>#REF!</v>
      </c>
      <c r="R3" s="426" t="e">
        <f>SUMPRODUCT(($AF$4:$AF$106),('ANALYSE - ERP =&gt; SOUS-SEGMENT'!$HL$8:$HL$150))</f>
        <v>#REF!</v>
      </c>
      <c r="T3" s="426" t="e">
        <f>SUMPRODUCT(($AF$4:$AF$106),('ANALYSE - ERP =&gt; SOUS-SEGMENT'!$FH$8:$FH$150))</f>
        <v>#REF!</v>
      </c>
      <c r="U3" s="426" t="e">
        <f>SUMPRODUCT(($AF$4:$AF$106),('ANALYSE - ERP =&gt; SOUS-SEGMENT'!$HD$8:$HD$150))</f>
        <v>#REF!</v>
      </c>
      <c r="V3" s="426" t="e">
        <f>SUMPRODUCT(($AF$4:$AF$106),('ANALYSE - ERP =&gt; SOUS-SEGMENT'!$HG$8:$HG$150))</f>
        <v>#REF!</v>
      </c>
      <c r="W3" s="426" t="e">
        <f>SUMPRODUCT(($AF$4:$AF$106),('ANALYSE - ERP =&gt; SOUS-SEGMENT'!$HJ$8:$HJ$150))</f>
        <v>#REF!</v>
      </c>
      <c r="X3" s="426" t="e">
        <f>SUMPRODUCT(($AF$4:$AF$106),('ANALYSE - ERP =&gt; SOUS-SEGMENT'!$HM$8:$HM$150))</f>
        <v>#REF!</v>
      </c>
      <c r="Z3" s="426" t="e">
        <f>SUMPRODUCT(($AF$4:$AF$106),('ANALYSE - ERP =&gt; SOUS-SEGMENT'!$FI$8:$FI$150))</f>
        <v>#REF!</v>
      </c>
      <c r="AA3" s="426" t="e">
        <f>SUMPRODUCT(($AF$4:$AF$106),('ANALYSE - ERP =&gt; SOUS-SEGMENT'!$HE$8:$HE$150))</f>
        <v>#REF!</v>
      </c>
      <c r="AB3" s="426" t="e">
        <f>SUMPRODUCT(($AF$4:$AF$106),('ANALYSE - ERP =&gt; SOUS-SEGMENT'!$HH$8:$HH$150))</f>
        <v>#REF!</v>
      </c>
      <c r="AC3" s="426" t="e">
        <f>SUMPRODUCT(($AF$4:$AF$106),('ANALYSE - ERP =&gt; SOUS-SEGMENT'!$HK$8:$HK$150))</f>
        <v>#REF!</v>
      </c>
      <c r="AD3" s="426" t="e">
        <f>SUMPRODUCT(($AF$4:$AF$106),('ANALYSE - ERP =&gt; SOUS-SEGMENT'!$HN$8:$HN$150))</f>
        <v>#REF!</v>
      </c>
      <c r="AF3" s="428">
        <f>SUM('ANALYSE - ERP =&gt; SOUS-SEGMENT'!$Q$8:$Q$150)</f>
        <v>137</v>
      </c>
    </row>
    <row r="4" spans="1:57" ht="15" customHeight="1">
      <c r="A4" s="26">
        <v>1</v>
      </c>
      <c r="B4" s="26">
        <v>1</v>
      </c>
      <c r="C4" s="26">
        <v>1</v>
      </c>
      <c r="D4" s="422">
        <f>'ANALYSE - ERP =&gt; SOUS-SEGMENT'!$A$75</f>
        <v>68</v>
      </c>
      <c r="E4" s="408" t="str">
        <f>'ANALYSE - ERP =&gt; SOUS-SEGMENT'!$B$75</f>
        <v>Commerce, Restauration &amp; Loisirs</v>
      </c>
      <c r="F4" s="408" t="str">
        <f>'ANALYSE - ERP =&gt; SOUS-SEGMENT'!$C$75</f>
        <v>Restauration / boissons</v>
      </c>
      <c r="G4" s="408" t="str">
        <f>'ANALYSE - ERP =&gt; SOUS-SEGMENT'!$D$75</f>
        <v>Restaurants
(Hors établissements altitude, flottant, armée)</v>
      </c>
      <c r="I4" s="427">
        <f t="shared" ref="I4:I35" si="2">N4/5</f>
        <v>5736.8240397619038</v>
      </c>
      <c r="K4" s="787">
        <f t="shared" si="0"/>
        <v>0.88876467265213788</v>
      </c>
      <c r="L4" s="787">
        <f t="shared" si="1"/>
        <v>0.1112353273478621</v>
      </c>
      <c r="N4" s="424">
        <f>'ANALYSE - ERP =&gt; SOUS-SEGMENT'!$FG$75</f>
        <v>28684.12019880952</v>
      </c>
      <c r="O4" s="427">
        <f>'ANALYSE - ERP =&gt; SOUS-SEGMENT'!$HC$75</f>
        <v>3005.3274333333334</v>
      </c>
      <c r="P4" s="427">
        <f>'ANALYSE - ERP =&gt; SOUS-SEGMENT'!$HF$75</f>
        <v>14085.365937499999</v>
      </c>
      <c r="Q4" s="427">
        <f>'ANALYSE - ERP =&gt; SOUS-SEGMENT'!$HI$75</f>
        <v>3952.4807446428567</v>
      </c>
      <c r="R4" s="427">
        <f>'ANALYSE - ERP =&gt; SOUS-SEGMENT'!$HL$75</f>
        <v>7640.9460833333342</v>
      </c>
      <c r="T4" s="424">
        <f>'ANALYSE - ERP =&gt; SOUS-SEGMENT'!$FH$75</f>
        <v>25493.43269880952</v>
      </c>
      <c r="U4" s="427">
        <f>'ANALYSE - ERP =&gt; SOUS-SEGMENT'!$HD$75</f>
        <v>2750.0724333333333</v>
      </c>
      <c r="V4" s="427">
        <f>'ANALYSE - ERP =&gt; SOUS-SEGMENT'!$HG$75</f>
        <v>12330.487812499998</v>
      </c>
      <c r="W4" s="427">
        <f>'ANALYSE - ERP =&gt; SOUS-SEGMENT'!$HJ$75</f>
        <v>3537.6913696428569</v>
      </c>
      <c r="X4" s="427">
        <f>'ANALYSE - ERP =&gt; SOUS-SEGMENT'!$HM$75</f>
        <v>6875.1810833333338</v>
      </c>
      <c r="Z4" s="427">
        <f>'ANALYSE - ERP =&gt; SOUS-SEGMENT'!$FI$75</f>
        <v>3190.6875</v>
      </c>
      <c r="AA4" s="427">
        <f>'ANALYSE - ERP =&gt; SOUS-SEGMENT'!$HE$75</f>
        <v>255.255</v>
      </c>
      <c r="AB4" s="427">
        <f>'ANALYSE - ERP =&gt; SOUS-SEGMENT'!$HH$75</f>
        <v>1754.8781250000002</v>
      </c>
      <c r="AC4" s="427">
        <f>'ANALYSE - ERP =&gt; SOUS-SEGMENT'!$HK$75</f>
        <v>414.78937500000001</v>
      </c>
      <c r="AD4" s="427">
        <f>'ANALYSE - ERP =&gt; SOUS-SEGMENT'!$HN$75</f>
        <v>765.76499999999999</v>
      </c>
      <c r="AF4" s="430">
        <f>'ANALYSE - ERP =&gt; SOUS-SEGMENT'!$Q$75</f>
        <v>1</v>
      </c>
    </row>
    <row r="5" spans="1:57" ht="15" customHeight="1">
      <c r="A5" s="26">
        <v>2</v>
      </c>
      <c r="B5" s="26">
        <v>2</v>
      </c>
      <c r="C5" s="26">
        <v>2</v>
      </c>
      <c r="D5" s="422">
        <f>'ANALYSE - ERP =&gt; SOUS-SEGMENT'!$A$82</f>
        <v>75</v>
      </c>
      <c r="E5" s="416" t="str">
        <f>'ANALYSE - ERP =&gt; SOUS-SEGMENT'!$B$82</f>
        <v>Tertiaire &amp; Industriel</v>
      </c>
      <c r="F5" s="416" t="str">
        <f>'ANALYSE - ERP =&gt; SOUS-SEGMENT'!$C$82</f>
        <v>Bureaux</v>
      </c>
      <c r="G5" s="416" t="str">
        <f>'ANALYSE - ERP =&gt; SOUS-SEGMENT'!$D$82</f>
        <v>Bureaux Tertiaire Privé (&gt;50 salariés)
(hors usines et logistique )</v>
      </c>
      <c r="I5" s="427">
        <f t="shared" si="2"/>
        <v>9469.3832433566422</v>
      </c>
      <c r="K5" s="787">
        <f t="shared" si="0"/>
        <v>0.87581186970914637</v>
      </c>
      <c r="L5" s="787">
        <f t="shared" si="1"/>
        <v>0.12418813029085354</v>
      </c>
      <c r="N5" s="424">
        <f>'ANALYSE - ERP =&gt; SOUS-SEGMENT'!$FG$82</f>
        <v>47346.916216783211</v>
      </c>
      <c r="O5" s="427">
        <f>'ANALYSE - ERP =&gt; SOUS-SEGMENT'!$HC$82</f>
        <v>7343.3747045454547</v>
      </c>
      <c r="P5" s="427">
        <f>'ANALYSE - ERP =&gt; SOUS-SEGMENT'!$HF$82</f>
        <v>19816.399557692308</v>
      </c>
      <c r="Q5" s="427">
        <f>'ANALYSE - ERP =&gt; SOUS-SEGMENT'!$HI$82</f>
        <v>12490.971750000001</v>
      </c>
      <c r="R5" s="427">
        <f>'ANALYSE - ERP =&gt; SOUS-SEGMENT'!$HL$82</f>
        <v>7696.1702045454549</v>
      </c>
      <c r="T5" s="424">
        <f>'ANALYSE - ERP =&gt; SOUS-SEGMENT'!$FH$82</f>
        <v>41466.991216783208</v>
      </c>
      <c r="U5" s="427">
        <f>'ANALYSE - ERP =&gt; SOUS-SEGMENT'!$HD$82</f>
        <v>6637.7837045454544</v>
      </c>
      <c r="V5" s="427">
        <f>'ANALYSE - ERP =&gt; SOUS-SEGMENT'!$HG$82</f>
        <v>17052.834807692307</v>
      </c>
      <c r="W5" s="427">
        <f>'ANALYSE - ERP =&gt; SOUS-SEGMENT'!$HJ$82</f>
        <v>11138.589</v>
      </c>
      <c r="X5" s="427">
        <f>'ANALYSE - ERP =&gt; SOUS-SEGMENT'!$HM$82</f>
        <v>6637.7837045454544</v>
      </c>
      <c r="Z5" s="427">
        <f>'ANALYSE - ERP =&gt; SOUS-SEGMENT'!$FI$82</f>
        <v>5879.9250000000002</v>
      </c>
      <c r="AA5" s="427">
        <f>'ANALYSE - ERP =&gt; SOUS-SEGMENT'!$HE$82</f>
        <v>705.59100000000001</v>
      </c>
      <c r="AB5" s="427">
        <f>'ANALYSE - ERP =&gt; SOUS-SEGMENT'!$HH$82</f>
        <v>2763.56475</v>
      </c>
      <c r="AC5" s="427">
        <f>'ANALYSE - ERP =&gt; SOUS-SEGMENT'!$HK$82</f>
        <v>1352.38275</v>
      </c>
      <c r="AD5" s="427">
        <f>'ANALYSE - ERP =&gt; SOUS-SEGMENT'!$HN$82</f>
        <v>1058.3865000000001</v>
      </c>
      <c r="AF5" s="430">
        <f>'ANALYSE - ERP =&gt; SOUS-SEGMENT'!$Q$82</f>
        <v>1</v>
      </c>
    </row>
    <row r="6" spans="1:57" ht="15" customHeight="1">
      <c r="A6" s="26">
        <v>3</v>
      </c>
      <c r="B6" s="26">
        <v>4</v>
      </c>
      <c r="C6" s="26">
        <v>3</v>
      </c>
      <c r="D6" s="422">
        <f>'ANALYSE - ERP =&gt; SOUS-SEGMENT'!$A$12</f>
        <v>5</v>
      </c>
      <c r="E6" s="409" t="str">
        <f>'ANALYSE - ERP =&gt; SOUS-SEGMENT'!$B$12</f>
        <v>Enfance, Enseignement, Jeunesse &amp; Formation</v>
      </c>
      <c r="F6" s="409" t="str">
        <f>'ANALYSE - ERP =&gt; SOUS-SEGMENT'!$C$12</f>
        <v>Enseignement scolaire</v>
      </c>
      <c r="G6" s="409" t="str">
        <f>'ANALYSE - ERP =&gt; SOUS-SEGMENT'!$D$12</f>
        <v>Écoles primaires</v>
      </c>
      <c r="I6" s="427">
        <f t="shared" si="2"/>
        <v>3458.0558777600004</v>
      </c>
      <c r="K6" s="787">
        <f t="shared" si="0"/>
        <v>0.742806723939894</v>
      </c>
      <c r="L6" s="787">
        <f t="shared" si="1"/>
        <v>0.257193276060106</v>
      </c>
      <c r="N6" s="424">
        <f>'ANALYSE - ERP =&gt; SOUS-SEGMENT'!$FG$12</f>
        <v>17290.279388800001</v>
      </c>
      <c r="O6" s="427">
        <f>'ANALYSE - ERP =&gt; SOUS-SEGMENT'!$HC$12</f>
        <v>1985.8946546560001</v>
      </c>
      <c r="P6" s="427">
        <f>'ANALYSE - ERP =&gt; SOUS-SEGMENT'!$HF$12</f>
        <v>10719.973221056</v>
      </c>
      <c r="Q6" s="427">
        <f>'ANALYSE - ERP =&gt; SOUS-SEGMENT'!$HI$12</f>
        <v>607.647253664</v>
      </c>
      <c r="R6" s="427">
        <f>'ANALYSE - ERP =&gt; SOUS-SEGMENT'!$HL$12</f>
        <v>3976.7642594240001</v>
      </c>
      <c r="T6" s="424">
        <f>'ANALYSE - ERP =&gt; SOUS-SEGMENT'!$FH$12</f>
        <v>12843.335788800001</v>
      </c>
      <c r="U6" s="427">
        <f>'ANALYSE - ERP =&gt; SOUS-SEGMENT'!$HD$12</f>
        <v>1541.2002946560001</v>
      </c>
      <c r="V6" s="427">
        <f>'ANALYSE - ERP =&gt; SOUS-SEGMENT'!$HG$12</f>
        <v>7962.8681890560001</v>
      </c>
      <c r="W6" s="427">
        <f>'ANALYSE - ERP =&gt; SOUS-SEGMENT'!$HJ$12</f>
        <v>385.30007366400002</v>
      </c>
      <c r="X6" s="427">
        <f>'ANALYSE - ERP =&gt; SOUS-SEGMENT'!$HM$12</f>
        <v>2953.9672314240001</v>
      </c>
      <c r="Z6" s="427">
        <f>'ANALYSE - ERP =&gt; SOUS-SEGMENT'!$FI$12</f>
        <v>4446.9435999999996</v>
      </c>
      <c r="AA6" s="427">
        <f>'ANALYSE - ERP =&gt; SOUS-SEGMENT'!$HE$12</f>
        <v>444.69435999999996</v>
      </c>
      <c r="AB6" s="427">
        <f>'ANALYSE - ERP =&gt; SOUS-SEGMENT'!$HH$12</f>
        <v>2757.1050319999999</v>
      </c>
      <c r="AC6" s="427">
        <f>'ANALYSE - ERP =&gt; SOUS-SEGMENT'!$HK$12</f>
        <v>222.34717999999998</v>
      </c>
      <c r="AD6" s="427">
        <f>'ANALYSE - ERP =&gt; SOUS-SEGMENT'!$HN$12</f>
        <v>1022.797028</v>
      </c>
      <c r="AF6" s="430">
        <f>'ANALYSE - ERP =&gt; SOUS-SEGMENT'!$Q$12</f>
        <v>1</v>
      </c>
    </row>
    <row r="7" spans="1:57" ht="15" customHeight="1">
      <c r="A7" s="26">
        <v>4</v>
      </c>
      <c r="B7" s="26">
        <v>3</v>
      </c>
      <c r="C7" s="26">
        <v>8</v>
      </c>
      <c r="D7" s="422">
        <f>'ANALYSE - ERP =&gt; SOUS-SEGMENT'!$A$67</f>
        <v>60</v>
      </c>
      <c r="E7" s="415" t="str">
        <f>'ANALYSE - ERP =&gt; SOUS-SEGMENT'!$B$67</f>
        <v>Culture, Patrimoine &amp; Evénementiel</v>
      </c>
      <c r="F7" s="415" t="str">
        <f>'ANALYSE - ERP =&gt; SOUS-SEGMENT'!$C$67</f>
        <v>Culture / spectacle</v>
      </c>
      <c r="G7" s="415" t="str">
        <f>'ANALYSE - ERP =&gt; SOUS-SEGMENT'!$D$67</f>
        <v>Salles polyvalentes / Salles des fêtes</v>
      </c>
      <c r="I7" s="427">
        <f t="shared" si="2"/>
        <v>2997.7951855000001</v>
      </c>
      <c r="K7" s="787">
        <f t="shared" si="0"/>
        <v>0.84146748840657248</v>
      </c>
      <c r="L7" s="787">
        <f t="shared" si="1"/>
        <v>0.15853251159342752</v>
      </c>
      <c r="N7" s="424">
        <f>'ANALYSE - ERP =&gt; SOUS-SEGMENT'!$FG$67</f>
        <v>14988.9759275</v>
      </c>
      <c r="O7" s="427">
        <f>'ANALYSE - ERP =&gt; SOUS-SEGMENT'!$HC$67</f>
        <v>1227.0089399999999</v>
      </c>
      <c r="P7" s="427">
        <f>'ANALYSE - ERP =&gt; SOUS-SEGMENT'!$HF$67</f>
        <v>7386.9702500000003</v>
      </c>
      <c r="Q7" s="427">
        <f>'ANALYSE - ERP =&gt; SOUS-SEGMENT'!$HI$67</f>
        <v>2415.8412000000003</v>
      </c>
      <c r="R7" s="427">
        <f>'ANALYSE - ERP =&gt; SOUS-SEGMENT'!$HL$67</f>
        <v>3959.1555374999994</v>
      </c>
      <c r="T7" s="424">
        <f>'ANALYSE - ERP =&gt; SOUS-SEGMENT'!$FH$67</f>
        <v>12612.7359275</v>
      </c>
      <c r="U7" s="427">
        <f>'ANALYSE - ERP =&gt; SOUS-SEGMENT'!$HD$67</f>
        <v>1084.43454</v>
      </c>
      <c r="V7" s="427">
        <f>'ANALYSE - ERP =&gt; SOUS-SEGMENT'!$HG$67</f>
        <v>6080.0382500000005</v>
      </c>
      <c r="W7" s="427">
        <f>'ANALYSE - ERP =&gt; SOUS-SEGMENT'!$HJ$67</f>
        <v>2059.4052000000001</v>
      </c>
      <c r="X7" s="427">
        <f>'ANALYSE - ERP =&gt; SOUS-SEGMENT'!$HM$67</f>
        <v>3388.8579374999995</v>
      </c>
      <c r="Z7" s="427">
        <f>'ANALYSE - ERP =&gt; SOUS-SEGMENT'!$FI$67</f>
        <v>2376.2399999999998</v>
      </c>
      <c r="AA7" s="427">
        <f>'ANALYSE - ERP =&gt; SOUS-SEGMENT'!$HE$67</f>
        <v>142.57439999999997</v>
      </c>
      <c r="AB7" s="427">
        <f>'ANALYSE - ERP =&gt; SOUS-SEGMENT'!$HH$67</f>
        <v>1306.932</v>
      </c>
      <c r="AC7" s="427">
        <f>'ANALYSE - ERP =&gt; SOUS-SEGMENT'!$HK$67</f>
        <v>356.43599999999998</v>
      </c>
      <c r="AD7" s="427">
        <f>'ANALYSE - ERP =&gt; SOUS-SEGMENT'!$HN$67</f>
        <v>570.29759999999987</v>
      </c>
      <c r="AF7" s="430">
        <f>'ANALYSE - ERP =&gt; SOUS-SEGMENT'!$Q$67</f>
        <v>1</v>
      </c>
    </row>
    <row r="8" spans="1:57" ht="15" customHeight="1">
      <c r="A8" s="26">
        <v>5</v>
      </c>
      <c r="B8" s="26">
        <v>5</v>
      </c>
      <c r="C8" s="26">
        <v>9</v>
      </c>
      <c r="D8" s="422">
        <f>'ANALYSE - ERP =&gt; SOUS-SEGMENT'!$A$101</f>
        <v>94</v>
      </c>
      <c r="E8" s="414" t="str">
        <f>'ANALYSE - ERP =&gt; SOUS-SEGMENT'!$B$101</f>
        <v>Culte, Vie civique &amp; Services publics</v>
      </c>
      <c r="F8" s="414" t="str">
        <f>'ANALYSE - ERP =&gt; SOUS-SEGMENT'!$C$101</f>
        <v>Administrations / services publics</v>
      </c>
      <c r="G8" s="414" t="str">
        <f>'ANALYSE - ERP =&gt; SOUS-SEGMENT'!$D$101</f>
        <v>Mairies / hôtels de ville</v>
      </c>
      <c r="I8" s="427">
        <f t="shared" si="2"/>
        <v>878.61215634181804</v>
      </c>
      <c r="K8" s="787">
        <f t="shared" si="0"/>
        <v>0.89040701599109329</v>
      </c>
      <c r="L8" s="787">
        <f t="shared" si="1"/>
        <v>0.1095929840089068</v>
      </c>
      <c r="N8" s="424">
        <f>'ANALYSE - ERP =&gt; SOUS-SEGMENT'!$FG$101</f>
        <v>4393.0607817090904</v>
      </c>
      <c r="O8" s="427">
        <f>'ANALYSE - ERP =&gt; SOUS-SEGMENT'!$HC$101</f>
        <v>523.08757805454547</v>
      </c>
      <c r="P8" s="427">
        <f>'ANALYSE - ERP =&gt; SOUS-SEGMENT'!$HF$101</f>
        <v>1831.3953719999997</v>
      </c>
      <c r="Q8" s="427">
        <f>'ANALYSE - ERP =&gt; SOUS-SEGMENT'!$HI$101</f>
        <v>1501.0467944000002</v>
      </c>
      <c r="R8" s="427">
        <f>'ANALYSE - ERP =&gt; SOUS-SEGMENT'!$HL$101</f>
        <v>537.53103725454548</v>
      </c>
      <c r="T8" s="424">
        <f>'ANALYSE - ERP =&gt; SOUS-SEGMENT'!$FH$101</f>
        <v>3911.6121417090908</v>
      </c>
      <c r="U8" s="427">
        <f>'ANALYSE - ERP =&gt; SOUS-SEGMENT'!$HD$101</f>
        <v>474.94271405454543</v>
      </c>
      <c r="V8" s="427">
        <f>'ANALYSE - ERP =&gt; SOUS-SEGMENT'!$HG$101</f>
        <v>1605.1145111999997</v>
      </c>
      <c r="W8" s="427">
        <f>'ANALYSE - ERP =&gt; SOUS-SEGMENT'!$HJ$101</f>
        <v>1356.6122024000001</v>
      </c>
      <c r="X8" s="427">
        <f>'ANALYSE - ERP =&gt; SOUS-SEGMENT'!$HM$101</f>
        <v>474.94271405454543</v>
      </c>
      <c r="Z8" s="427">
        <f>'ANALYSE - ERP =&gt; SOUS-SEGMENT'!$FI$101</f>
        <v>481.44863999999995</v>
      </c>
      <c r="AA8" s="427">
        <f>'ANALYSE - ERP =&gt; SOUS-SEGMENT'!$HE$101</f>
        <v>48.144863999999998</v>
      </c>
      <c r="AB8" s="427">
        <f>'ANALYSE - ERP =&gt; SOUS-SEGMENT'!$HH$101</f>
        <v>226.28086079999997</v>
      </c>
      <c r="AC8" s="427">
        <f>'ANALYSE - ERP =&gt; SOUS-SEGMENT'!$HK$101</f>
        <v>144.43459199999998</v>
      </c>
      <c r="AD8" s="427">
        <f>'ANALYSE - ERP =&gt; SOUS-SEGMENT'!$HN$101</f>
        <v>62.588323199999998</v>
      </c>
      <c r="AF8" s="430">
        <f>'ANALYSE - ERP =&gt; SOUS-SEGMENT'!$Q$101</f>
        <v>1</v>
      </c>
    </row>
    <row r="9" spans="1:57" ht="15" customHeight="1">
      <c r="A9" s="26">
        <v>6</v>
      </c>
      <c r="B9" s="26">
        <v>6</v>
      </c>
      <c r="C9" s="26">
        <v>13</v>
      </c>
      <c r="D9" s="422">
        <f>'ANALYSE - ERP =&gt; SOUS-SEGMENT'!$A$21</f>
        <v>14</v>
      </c>
      <c r="E9" s="408" t="str">
        <f>'ANALYSE - ERP =&gt; SOUS-SEGMENT'!$B$21</f>
        <v>Sports &amp; Loisirs</v>
      </c>
      <c r="F9" s="408" t="str">
        <f>'ANALYSE - ERP =&gt; SOUS-SEGMENT'!$C$21</f>
        <v>Sport couvert / Thermalisme / Bien-être</v>
      </c>
      <c r="G9" s="408" t="str">
        <f>'ANALYSE - ERP =&gt; SOUS-SEGMENT'!$D$21</f>
        <v>Gymnases / salles multisports
(hors scolaire, mais gymnase municipaux inclus)</v>
      </c>
      <c r="I9" s="427">
        <f t="shared" si="2"/>
        <v>5620.9021662499999</v>
      </c>
      <c r="K9" s="787">
        <f t="shared" si="0"/>
        <v>0.79912215751065241</v>
      </c>
      <c r="L9" s="787">
        <f t="shared" si="1"/>
        <v>0.20087784248934756</v>
      </c>
      <c r="N9" s="424">
        <f>'ANALYSE - ERP =&gt; SOUS-SEGMENT'!$FG$21</f>
        <v>28104.510831250002</v>
      </c>
      <c r="O9" s="427">
        <f>'ANALYSE - ERP =&gt; SOUS-SEGMENT'!$HC$21</f>
        <v>1636.99734625</v>
      </c>
      <c r="P9" s="427">
        <f>'ANALYSE - ERP =&gt; SOUS-SEGMENT'!$HF$21</f>
        <v>15449.9856</v>
      </c>
      <c r="Q9" s="427">
        <f>'ANALYSE - ERP =&gt; SOUS-SEGMENT'!$HI$21</f>
        <v>2822.4364</v>
      </c>
      <c r="R9" s="427">
        <f>'ANALYSE - ERP =&gt; SOUS-SEGMENT'!$HL$21</f>
        <v>8195.0914850000008</v>
      </c>
      <c r="T9" s="424">
        <f>'ANALYSE - ERP =&gt; SOUS-SEGMENT'!$FH$21</f>
        <v>22458.937331249999</v>
      </c>
      <c r="U9" s="427">
        <f>'ANALYSE - ERP =&gt; SOUS-SEGMENT'!$HD$21</f>
        <v>1411.1744062499999</v>
      </c>
      <c r="V9" s="427">
        <f>'ANALYSE - ERP =&gt; SOUS-SEGMENT'!$HG$21</f>
        <v>12062.6415</v>
      </c>
      <c r="W9" s="427">
        <f>'ANALYSE - ERP =&gt; SOUS-SEGMENT'!$HJ$21</f>
        <v>2257.87905</v>
      </c>
      <c r="X9" s="427">
        <f>'ANALYSE - ERP =&gt; SOUS-SEGMENT'!$HM$21</f>
        <v>6727.2423750000007</v>
      </c>
      <c r="Z9" s="427">
        <f>'ANALYSE - ERP =&gt; SOUS-SEGMENT'!$FI$21</f>
        <v>5645.5735000000004</v>
      </c>
      <c r="AA9" s="427">
        <f>'ANALYSE - ERP =&gt; SOUS-SEGMENT'!$HE$21</f>
        <v>225.82294000000002</v>
      </c>
      <c r="AB9" s="427">
        <f>'ANALYSE - ERP =&gt; SOUS-SEGMENT'!$HH$21</f>
        <v>3387.3441000000003</v>
      </c>
      <c r="AC9" s="427">
        <f>'ANALYSE - ERP =&gt; SOUS-SEGMENT'!$HK$21</f>
        <v>564.55735000000004</v>
      </c>
      <c r="AD9" s="427">
        <f>'ANALYSE - ERP =&gt; SOUS-SEGMENT'!$HN$21</f>
        <v>1467.8491100000001</v>
      </c>
      <c r="AF9" s="430">
        <f>'ANALYSE - ERP =&gt; SOUS-SEGMENT'!$Q$21</f>
        <v>1</v>
      </c>
    </row>
    <row r="10" spans="1:57" ht="15" customHeight="1">
      <c r="A10" s="26">
        <v>7</v>
      </c>
      <c r="B10" s="26">
        <v>7</v>
      </c>
      <c r="C10" s="26">
        <v>10</v>
      </c>
      <c r="D10" s="422">
        <f>'ANALYSE - ERP =&gt; SOUS-SEGMENT'!$A$27</f>
        <v>20</v>
      </c>
      <c r="E10" s="411" t="str">
        <f>'ANALYSE - ERP =&gt; SOUS-SEGMENT'!$B$27</f>
        <v>Sports &amp; Loisirs</v>
      </c>
      <c r="F10" s="411" t="str">
        <f>'ANALYSE - ERP =&gt; SOUS-SEGMENT'!$C$27</f>
        <v>Sport de plein air</v>
      </c>
      <c r="G10" s="411" t="str">
        <f>'ANALYSE - ERP =&gt; SOUS-SEGMENT'!$D$27</f>
        <v>Terrains de sport
(Hors scolaire, sans tribune)</v>
      </c>
      <c r="I10" s="427">
        <f t="shared" si="2"/>
        <v>6182.9416745357139</v>
      </c>
      <c r="K10" s="787">
        <f t="shared" si="0"/>
        <v>0.81438543974520372</v>
      </c>
      <c r="L10" s="787">
        <f t="shared" si="1"/>
        <v>0.1856145602547962</v>
      </c>
      <c r="N10" s="424">
        <f>'ANALYSE - ERP =&gt; SOUS-SEGMENT'!$FG$27</f>
        <v>30914.708372678571</v>
      </c>
      <c r="O10" s="427">
        <f>'ANALYSE - ERP =&gt; SOUS-SEGMENT'!$HC$27</f>
        <v>1681.1461012499999</v>
      </c>
      <c r="P10" s="427">
        <f>'ANALYSE - ERP =&gt; SOUS-SEGMENT'!$HF$27</f>
        <v>15836.733</v>
      </c>
      <c r="Q10" s="427">
        <f>'ANALYSE - ERP =&gt; SOUS-SEGMENT'!$HI$27</f>
        <v>4020.5669914285718</v>
      </c>
      <c r="R10" s="427">
        <f>'ANALYSE - ERP =&gt; SOUS-SEGMENT'!$HL$27</f>
        <v>9376.2622800000008</v>
      </c>
      <c r="T10" s="424">
        <f>'ANALYSE - ERP =&gt; SOUS-SEGMENT'!$FH$27</f>
        <v>25176.48837267857</v>
      </c>
      <c r="U10" s="427">
        <f>'ANALYSE - ERP =&gt; SOUS-SEGMENT'!$HD$27</f>
        <v>1451.6173012499999</v>
      </c>
      <c r="V10" s="427">
        <f>'ANALYSE - ERP =&gt; SOUS-SEGMENT'!$HG$27</f>
        <v>12680.712</v>
      </c>
      <c r="W10" s="427">
        <f>'ANALYSE - ERP =&gt; SOUS-SEGMENT'!$HJ$27</f>
        <v>3331.9805914285716</v>
      </c>
      <c r="X10" s="427">
        <f>'ANALYSE - ERP =&gt; SOUS-SEGMENT'!$HM$27</f>
        <v>7712.1784800000005</v>
      </c>
      <c r="Z10" s="427">
        <f>'ANALYSE - ERP =&gt; SOUS-SEGMENT'!$FI$27</f>
        <v>5738.2199999999993</v>
      </c>
      <c r="AA10" s="427">
        <f>'ANALYSE - ERP =&gt; SOUS-SEGMENT'!$HE$27</f>
        <v>229.52879999999999</v>
      </c>
      <c r="AB10" s="427">
        <f>'ANALYSE - ERP =&gt; SOUS-SEGMENT'!$HH$27</f>
        <v>3156.0209999999997</v>
      </c>
      <c r="AC10" s="427">
        <f>'ANALYSE - ERP =&gt; SOUS-SEGMENT'!$HK$27</f>
        <v>688.58639999999991</v>
      </c>
      <c r="AD10" s="427">
        <f>'ANALYSE - ERP =&gt; SOUS-SEGMENT'!$HN$27</f>
        <v>1664.0837999999997</v>
      </c>
      <c r="AF10" s="430">
        <f>'ANALYSE - ERP =&gt; SOUS-SEGMENT'!$Q$27</f>
        <v>1</v>
      </c>
    </row>
    <row r="11" spans="1:57" s="45" customFormat="1" ht="15" customHeight="1">
      <c r="A11" s="26">
        <v>8</v>
      </c>
      <c r="B11" s="26">
        <v>9</v>
      </c>
      <c r="C11" s="26">
        <v>4</v>
      </c>
      <c r="D11" s="422">
        <f>'ANALYSE - ERP =&gt; SOUS-SEGMENT'!$A$77</f>
        <v>70</v>
      </c>
      <c r="E11" s="410" t="str">
        <f>'ANALYSE - ERP =&gt; SOUS-SEGMENT'!$B$77</f>
        <v>Commerce, Restauration &amp; Loisirs</v>
      </c>
      <c r="F11" s="410" t="str">
        <f>'ANALYSE - ERP =&gt; SOUS-SEGMENT'!$C$77</f>
        <v>Restauration / boissons</v>
      </c>
      <c r="G11" s="410" t="str">
        <f>'ANALYSE - ERP =&gt; SOUS-SEGMENT'!$D$77</f>
        <v>Fast-food / Cafétérias / Food courts</v>
      </c>
      <c r="H11" s="685"/>
      <c r="I11" s="427">
        <f t="shared" si="2"/>
        <v>4057.7603994828301</v>
      </c>
      <c r="J11" s="685"/>
      <c r="K11" s="787">
        <f t="shared" si="0"/>
        <v>0.72201076235458139</v>
      </c>
      <c r="L11" s="787">
        <f t="shared" si="1"/>
        <v>0.27798923764541855</v>
      </c>
      <c r="M11" s="685"/>
      <c r="N11" s="424">
        <f>'ANALYSE - ERP =&gt; SOUS-SEGMENT'!$FG$77</f>
        <v>20288.80199741415</v>
      </c>
      <c r="O11" s="427">
        <f>'ANALYSE - ERP =&gt; SOUS-SEGMENT'!$HC$77</f>
        <v>992.60386755555578</v>
      </c>
      <c r="P11" s="427">
        <f>'ANALYSE - ERP =&gt; SOUS-SEGMENT'!$HF$77</f>
        <v>8166.4102096363658</v>
      </c>
      <c r="Q11" s="427">
        <f>'ANALYSE - ERP =&gt; SOUS-SEGMENT'!$HI$77</f>
        <v>7046.5710780000027</v>
      </c>
      <c r="R11" s="427">
        <f>'ANALYSE - ERP =&gt; SOUS-SEGMENT'!$HL$77</f>
        <v>4083.216842222223</v>
      </c>
      <c r="S11" s="685"/>
      <c r="T11" s="424">
        <f>'ANALYSE - ERP =&gt; SOUS-SEGMENT'!$FH$77</f>
        <v>14648.733397414144</v>
      </c>
      <c r="U11" s="427">
        <f>'ANALYSE - ERP =&gt; SOUS-SEGMENT'!$HD$77</f>
        <v>767.00112355555564</v>
      </c>
      <c r="V11" s="427">
        <f>'ANALYSE - ERP =&gt; SOUS-SEGMENT'!$HG$77</f>
        <v>5628.3793396363635</v>
      </c>
      <c r="W11" s="427">
        <f>'ANALYSE - ERP =&gt; SOUS-SEGMENT'!$HJ$77</f>
        <v>5185.3484400000007</v>
      </c>
      <c r="X11" s="427">
        <f>'ANALYSE - ERP =&gt; SOUS-SEGMENT'!$HM$77</f>
        <v>3068.0044942222225</v>
      </c>
      <c r="Y11" s="685"/>
      <c r="Z11" s="427">
        <f>'ANALYSE - ERP =&gt; SOUS-SEGMENT'!$FI$77</f>
        <v>5640.0686000000042</v>
      </c>
      <c r="AA11" s="427">
        <f>'ANALYSE - ERP =&gt; SOUS-SEGMENT'!$HE$77</f>
        <v>225.60274400000017</v>
      </c>
      <c r="AB11" s="427">
        <f>'ANALYSE - ERP =&gt; SOUS-SEGMENT'!$HH$77</f>
        <v>2538.0308700000019</v>
      </c>
      <c r="AC11" s="427">
        <f>'ANALYSE - ERP =&gt; SOUS-SEGMENT'!$HK$77</f>
        <v>1861.2226380000016</v>
      </c>
      <c r="AD11" s="427">
        <f>'ANALYSE - ERP =&gt; SOUS-SEGMENT'!$HN$77</f>
        <v>1015.2123480000007</v>
      </c>
      <c r="AE11" s="685"/>
      <c r="AF11" s="430">
        <f>'ANALYSE - ERP =&gt; SOUS-SEGMENT'!$Q$77</f>
        <v>1</v>
      </c>
      <c r="AG11" s="685"/>
      <c r="AH11" s="685"/>
      <c r="AI11" s="685"/>
      <c r="AJ11" s="685"/>
      <c r="AK11" s="685"/>
      <c r="AL11" s="685"/>
      <c r="AM11" s="685"/>
      <c r="AN11" s="685"/>
      <c r="AO11" s="685"/>
      <c r="AP11" s="685"/>
      <c r="AQ11" s="685"/>
      <c r="AR11" s="685"/>
      <c r="AS11" s="685"/>
      <c r="AT11" s="685"/>
      <c r="AU11" s="685"/>
      <c r="AV11" s="685"/>
      <c r="AW11" s="685"/>
      <c r="AX11" s="685"/>
      <c r="AY11" s="685"/>
      <c r="AZ11" s="685"/>
      <c r="BA11" s="685"/>
      <c r="BB11" s="685"/>
      <c r="BC11" s="685"/>
      <c r="BD11" s="685"/>
      <c r="BE11" s="685"/>
    </row>
    <row r="12" spans="1:57" ht="15" customHeight="1">
      <c r="A12" s="26">
        <v>9</v>
      </c>
      <c r="B12" s="26">
        <v>8</v>
      </c>
      <c r="C12" s="26">
        <v>11</v>
      </c>
      <c r="D12" s="422">
        <f>'ANALYSE - ERP =&gt; SOUS-SEGMENT'!$A$84</f>
        <v>77</v>
      </c>
      <c r="E12" s="408" t="str">
        <f>'ANALYSE - ERP =&gt; SOUS-SEGMENT'!$B$84</f>
        <v>Tertiaire &amp; Industriel</v>
      </c>
      <c r="F12" s="408" t="str">
        <f>'ANALYSE - ERP =&gt; SOUS-SEGMENT'!$C$84</f>
        <v>Usines &amp; Ateliers</v>
      </c>
      <c r="G12" s="408" t="str">
        <f>'ANALYSE - ERP =&gt; SOUS-SEGMENT'!$D$84</f>
        <v>Usines 
(&gt;50 salariés)
(Hors Ateliers industriels)</v>
      </c>
      <c r="I12" s="427">
        <f t="shared" si="2"/>
        <v>4115.7833875555561</v>
      </c>
      <c r="K12" s="787">
        <f t="shared" si="0"/>
        <v>0.79833608286830748</v>
      </c>
      <c r="L12" s="787">
        <f t="shared" si="1"/>
        <v>0.20166391713169241</v>
      </c>
      <c r="N12" s="424">
        <f>'ANALYSE - ERP =&gt; SOUS-SEGMENT'!$FG$84</f>
        <v>20578.91693777778</v>
      </c>
      <c r="O12" s="427">
        <f>'ANALYSE - ERP =&gt; SOUS-SEGMENT'!$HC$84</f>
        <v>3844.3365999999996</v>
      </c>
      <c r="P12" s="427">
        <f>'ANALYSE - ERP =&gt; SOUS-SEGMENT'!$HF$84</f>
        <v>9846.3399099999988</v>
      </c>
      <c r="Q12" s="427">
        <f>'ANALYSE - ERP =&gt; SOUS-SEGMENT'!$HI$84</f>
        <v>4102.8249777777773</v>
      </c>
      <c r="R12" s="427">
        <f>'ANALYSE - ERP =&gt; SOUS-SEGMENT'!$HL$84</f>
        <v>2785.4154499999995</v>
      </c>
      <c r="T12" s="424">
        <f>'ANALYSE - ERP =&gt; SOUS-SEGMENT'!$FH$84</f>
        <v>16428.891937777778</v>
      </c>
      <c r="U12" s="427">
        <f>'ANALYSE - ERP =&gt; SOUS-SEGMENT'!$HD$84</f>
        <v>3221.8328499999998</v>
      </c>
      <c r="V12" s="427">
        <f>'ANALYSE - ERP =&gt; SOUS-SEGMENT'!$HG$84</f>
        <v>7729.8271599999998</v>
      </c>
      <c r="W12" s="427">
        <f>'ANALYSE - ERP =&gt; SOUS-SEGMENT'!$HJ$84</f>
        <v>3272.8199777777777</v>
      </c>
      <c r="X12" s="427">
        <f>'ANALYSE - ERP =&gt; SOUS-SEGMENT'!$HM$84</f>
        <v>2204.4119499999997</v>
      </c>
      <c r="Z12" s="427">
        <f>'ANALYSE - ERP =&gt; SOUS-SEGMENT'!$FI$84</f>
        <v>4150.0249999999996</v>
      </c>
      <c r="AA12" s="427">
        <f>'ANALYSE - ERP =&gt; SOUS-SEGMENT'!$HE$84</f>
        <v>622.50374999999997</v>
      </c>
      <c r="AB12" s="427">
        <f>'ANALYSE - ERP =&gt; SOUS-SEGMENT'!$HH$84</f>
        <v>2116.5127499999999</v>
      </c>
      <c r="AC12" s="427">
        <f>'ANALYSE - ERP =&gt; SOUS-SEGMENT'!$HK$84</f>
        <v>830.005</v>
      </c>
      <c r="AD12" s="427">
        <f>'ANALYSE - ERP =&gt; SOUS-SEGMENT'!$HN$84</f>
        <v>581.00350000000003</v>
      </c>
      <c r="AF12" s="430">
        <f>'ANALYSE - ERP =&gt; SOUS-SEGMENT'!$Q$84</f>
        <v>1</v>
      </c>
    </row>
    <row r="13" spans="1:57" ht="15" customHeight="1">
      <c r="A13" s="26">
        <v>10</v>
      </c>
      <c r="B13" s="26">
        <v>11</v>
      </c>
      <c r="C13" s="26">
        <v>5</v>
      </c>
      <c r="D13" s="422">
        <f>'ANALYSE - ERP =&gt; SOUS-SEGMENT'!$A$13</f>
        <v>6</v>
      </c>
      <c r="E13" s="415" t="str">
        <f>'ANALYSE - ERP =&gt; SOUS-SEGMENT'!$B$13</f>
        <v>Enfance, Enseignement, Jeunesse &amp; Formation</v>
      </c>
      <c r="F13" s="415" t="str">
        <f>'ANALYSE - ERP =&gt; SOUS-SEGMENT'!$C$13</f>
        <v>Enseignement scolaire</v>
      </c>
      <c r="G13" s="415" t="str">
        <f>'ANALYSE - ERP =&gt; SOUS-SEGMENT'!$D$13</f>
        <v>Collèges
(vestiaires EPS inclus)</v>
      </c>
      <c r="I13" s="427">
        <f t="shared" si="2"/>
        <v>4507.409258220001</v>
      </c>
      <c r="K13" s="787">
        <f t="shared" si="0"/>
        <v>0.73315233849544237</v>
      </c>
      <c r="L13" s="787">
        <f t="shared" si="1"/>
        <v>0.26684766150455763</v>
      </c>
      <c r="N13" s="424">
        <f>'ANALYSE - ERP =&gt; SOUS-SEGMENT'!$FG$13</f>
        <v>22537.046291100003</v>
      </c>
      <c r="O13" s="427">
        <f>'ANALYSE - ERP =&gt; SOUS-SEGMENT'!$HC$13</f>
        <v>1066.7127335550001</v>
      </c>
      <c r="P13" s="427">
        <f>'ANALYSE - ERP =&gt; SOUS-SEGMENT'!$HF$13</f>
        <v>14649.080089215</v>
      </c>
      <c r="Q13" s="427">
        <f>'ANALYSE - ERP =&gt; SOUS-SEGMENT'!$HI$13</f>
        <v>1923.2428652880001</v>
      </c>
      <c r="R13" s="427">
        <f>'ANALYSE - ERP =&gt; SOUS-SEGMENT'!$HL$13</f>
        <v>4898.0106030419993</v>
      </c>
      <c r="T13" s="424">
        <f>'ANALYSE - ERP =&gt; SOUS-SEGMENT'!$FH$13</f>
        <v>16523.088191100003</v>
      </c>
      <c r="U13" s="427">
        <f>'ANALYSE - ERP =&gt; SOUS-SEGMENT'!$HD$13</f>
        <v>826.15440955500003</v>
      </c>
      <c r="V13" s="427">
        <f>'ANALYSE - ERP =&gt; SOUS-SEGMENT'!$HG$13</f>
        <v>10740.007324215001</v>
      </c>
      <c r="W13" s="427">
        <f>'ANALYSE - ERP =&gt; SOUS-SEGMENT'!$HJ$13</f>
        <v>1321.8470552880001</v>
      </c>
      <c r="X13" s="427">
        <f>'ANALYSE - ERP =&gt; SOUS-SEGMENT'!$HM$13</f>
        <v>3635.0794020419999</v>
      </c>
      <c r="Z13" s="427">
        <f>'ANALYSE - ERP =&gt; SOUS-SEGMENT'!$FI$13</f>
        <v>6013.9580999999998</v>
      </c>
      <c r="AA13" s="427">
        <f>'ANALYSE - ERP =&gt; SOUS-SEGMENT'!$HE$13</f>
        <v>240.558324</v>
      </c>
      <c r="AB13" s="427">
        <f>'ANALYSE - ERP =&gt; SOUS-SEGMENT'!$HH$13</f>
        <v>3909.0727649999999</v>
      </c>
      <c r="AC13" s="427">
        <f>'ANALYSE - ERP =&gt; SOUS-SEGMENT'!$HK$13</f>
        <v>601.39580999999998</v>
      </c>
      <c r="AD13" s="427">
        <f>'ANALYSE - ERP =&gt; SOUS-SEGMENT'!$HN$13</f>
        <v>1262.9312009999999</v>
      </c>
      <c r="AF13" s="430">
        <f>'ANALYSE - ERP =&gt; SOUS-SEGMENT'!$Q$13</f>
        <v>1</v>
      </c>
    </row>
    <row r="14" spans="1:57" ht="15" customHeight="1">
      <c r="A14" s="26">
        <v>11</v>
      </c>
      <c r="B14" s="26">
        <v>12</v>
      </c>
      <c r="C14" s="26">
        <v>7</v>
      </c>
      <c r="D14" s="422">
        <f>'ANALYSE - ERP =&gt; SOUS-SEGMENT'!$A$14</f>
        <v>7</v>
      </c>
      <c r="E14" s="410" t="str">
        <f>'ANALYSE - ERP =&gt; SOUS-SEGMENT'!$B$14</f>
        <v>Enfance, Enseignement, Jeunesse &amp; Formation</v>
      </c>
      <c r="F14" s="410" t="str">
        <f>'ANALYSE - ERP =&gt; SOUS-SEGMENT'!$C$14</f>
        <v>Enseignement scolaire</v>
      </c>
      <c r="G14" s="410" t="str">
        <f>'ANALYSE - ERP =&gt; SOUS-SEGMENT'!$D$14</f>
        <v>Lycées
(vestiaires EPS inclus)</v>
      </c>
      <c r="I14" s="427">
        <f t="shared" si="2"/>
        <v>4249.0855597680002</v>
      </c>
      <c r="K14" s="787">
        <f t="shared" si="0"/>
        <v>0.73117903512812144</v>
      </c>
      <c r="L14" s="787">
        <f t="shared" si="1"/>
        <v>0.26882096487187856</v>
      </c>
      <c r="N14" s="424">
        <f>'ANALYSE - ERP =&gt; SOUS-SEGMENT'!$FG$14</f>
        <v>21245.427798839999</v>
      </c>
      <c r="O14" s="427">
        <f>'ANALYSE - ERP =&gt; SOUS-SEGMENT'!$HC$14</f>
        <v>1005.159225942</v>
      </c>
      <c r="P14" s="427">
        <f>'ANALYSE - ERP =&gt; SOUS-SEGMENT'!$HF$14</f>
        <v>13809.528069246</v>
      </c>
      <c r="Q14" s="427">
        <f>'ANALYSE - ERP =&gt; SOUS-SEGMENT'!$HI$14</f>
        <v>1813.8585519072001</v>
      </c>
      <c r="R14" s="427">
        <f>'ANALYSE - ERP =&gt; SOUS-SEGMENT'!$HL$14</f>
        <v>4616.8819517448001</v>
      </c>
      <c r="T14" s="424">
        <f>'ANALYSE - ERP =&gt; SOUS-SEGMENT'!$FH$14</f>
        <v>15534.21139884</v>
      </c>
      <c r="U14" s="427">
        <f>'ANALYSE - ERP =&gt; SOUS-SEGMENT'!$HD$14</f>
        <v>776.71056994200001</v>
      </c>
      <c r="V14" s="427">
        <f>'ANALYSE - ERP =&gt; SOUS-SEGMENT'!$HG$14</f>
        <v>10097.237409246</v>
      </c>
      <c r="W14" s="427">
        <f>'ANALYSE - ERP =&gt; SOUS-SEGMENT'!$HJ$14</f>
        <v>1242.7369119072</v>
      </c>
      <c r="X14" s="427">
        <f>'ANALYSE - ERP =&gt; SOUS-SEGMENT'!$HM$14</f>
        <v>3417.5265077447998</v>
      </c>
      <c r="Z14" s="427">
        <f>'ANALYSE - ERP =&gt; SOUS-SEGMENT'!$FI$14</f>
        <v>5711.2164000000002</v>
      </c>
      <c r="AA14" s="427">
        <f>'ANALYSE - ERP =&gt; SOUS-SEGMENT'!$HE$14</f>
        <v>228.44865600000003</v>
      </c>
      <c r="AB14" s="427">
        <f>'ANALYSE - ERP =&gt; SOUS-SEGMENT'!$HH$14</f>
        <v>3712.2906600000001</v>
      </c>
      <c r="AC14" s="427">
        <f>'ANALYSE - ERP =&gt; SOUS-SEGMENT'!$HK$14</f>
        <v>571.12164000000007</v>
      </c>
      <c r="AD14" s="427">
        <f>'ANALYSE - ERP =&gt; SOUS-SEGMENT'!$HN$14</f>
        <v>1199.355444</v>
      </c>
      <c r="AF14" s="430">
        <f>'ANALYSE - ERP =&gt; SOUS-SEGMENT'!$Q$14</f>
        <v>1</v>
      </c>
    </row>
    <row r="15" spans="1:57" ht="15" customHeight="1">
      <c r="A15" s="26">
        <v>12</v>
      </c>
      <c r="B15" s="26">
        <v>10</v>
      </c>
      <c r="C15" s="26">
        <v>14</v>
      </c>
      <c r="D15" s="422">
        <f>'ANALYSE - ERP =&gt; SOUS-SEGMENT'!$A$76</f>
        <v>69</v>
      </c>
      <c r="E15" s="410" t="str">
        <f>'ANALYSE - ERP =&gt; SOUS-SEGMENT'!$B$76</f>
        <v>Commerce, Restauration &amp; Loisirs</v>
      </c>
      <c r="F15" s="410" t="str">
        <f>'ANALYSE - ERP =&gt; SOUS-SEGMENT'!$C$76</f>
        <v>Restauration / boissons</v>
      </c>
      <c r="G15" s="410" t="str">
        <f>'ANALYSE - ERP =&gt; SOUS-SEGMENT'!$D$76</f>
        <v>Cafés / bars / brasseries</v>
      </c>
      <c r="I15" s="427">
        <f t="shared" si="2"/>
        <v>2677.678325669192</v>
      </c>
      <c r="K15" s="787">
        <f t="shared" si="0"/>
        <v>0.86902649110686081</v>
      </c>
      <c r="L15" s="787">
        <f t="shared" si="1"/>
        <v>0.13097350889313919</v>
      </c>
      <c r="N15" s="424">
        <f>'ANALYSE - ERP =&gt; SOUS-SEGMENT'!$FG$76</f>
        <v>13388.39162834596</v>
      </c>
      <c r="O15" s="427">
        <f>'ANALYSE - ERP =&gt; SOUS-SEGMENT'!$HC$76</f>
        <v>1103.2320122777778</v>
      </c>
      <c r="P15" s="427">
        <f>'ANALYSE - ERP =&gt; SOUS-SEGMENT'!$HF$76</f>
        <v>6188.0895168181823</v>
      </c>
      <c r="Q15" s="427">
        <f>'ANALYSE - ERP =&gt; SOUS-SEGMENT'!$HI$76</f>
        <v>2349.5510941499997</v>
      </c>
      <c r="R15" s="427">
        <f>'ANALYSE - ERP =&gt; SOUS-SEGMENT'!$HL$76</f>
        <v>3747.5190051000004</v>
      </c>
      <c r="T15" s="424">
        <f>'ANALYSE - ERP =&gt; SOUS-SEGMENT'!$FH$76</f>
        <v>11634.86699834596</v>
      </c>
      <c r="U15" s="427">
        <f>'ANALYSE - ERP =&gt; SOUS-SEGMENT'!$HD$76</f>
        <v>980.48528817777776</v>
      </c>
      <c r="V15" s="427">
        <f>'ANALYSE - ERP =&gt; SOUS-SEGMENT'!$HG$76</f>
        <v>5311.3272018181824</v>
      </c>
      <c r="W15" s="427">
        <f>'ANALYSE - ERP =&gt; SOUS-SEGMENT'!$HJ$76</f>
        <v>2033.9166607499999</v>
      </c>
      <c r="X15" s="427">
        <f>'ANALYSE - ERP =&gt; SOUS-SEGMENT'!$HM$76</f>
        <v>3309.1378476000004</v>
      </c>
      <c r="Z15" s="427">
        <f>'ANALYSE - ERP =&gt; SOUS-SEGMENT'!$FI$76</f>
        <v>1753.5246299999999</v>
      </c>
      <c r="AA15" s="427">
        <f>'ANALYSE - ERP =&gt; SOUS-SEGMENT'!$HE$76</f>
        <v>122.74672410000001</v>
      </c>
      <c r="AB15" s="427">
        <f>'ANALYSE - ERP =&gt; SOUS-SEGMENT'!$HH$76</f>
        <v>876.76231499999994</v>
      </c>
      <c r="AC15" s="427">
        <f>'ANALYSE - ERP =&gt; SOUS-SEGMENT'!$HK$76</f>
        <v>315.63443339999998</v>
      </c>
      <c r="AD15" s="427">
        <f>'ANALYSE - ERP =&gt; SOUS-SEGMENT'!$HN$76</f>
        <v>438.38115749999997</v>
      </c>
      <c r="AF15" s="430">
        <f>'ANALYSE - ERP =&gt; SOUS-SEGMENT'!$Q$76</f>
        <v>1</v>
      </c>
    </row>
    <row r="16" spans="1:57" ht="15" customHeight="1">
      <c r="A16" s="26">
        <v>13</v>
      </c>
      <c r="B16" s="26">
        <v>14</v>
      </c>
      <c r="C16" s="26">
        <v>12</v>
      </c>
      <c r="D16" s="422">
        <f>'ANALYSE - ERP =&gt; SOUS-SEGMENT'!$A$29</f>
        <v>22</v>
      </c>
      <c r="E16" s="409" t="str">
        <f>'ANALYSE - ERP =&gt; SOUS-SEGMENT'!$B$29</f>
        <v>Sports &amp; Loisirs</v>
      </c>
      <c r="F16" s="409" t="str">
        <f>'ANALYSE - ERP =&gt; SOUS-SEGMENT'!$C$29</f>
        <v>Sport de plein air</v>
      </c>
      <c r="G16" s="409" t="str">
        <f>'ANALYSE - ERP =&gt; SOUS-SEGMENT'!$D$29</f>
        <v xml:space="preserve">Grands stades avec tribunes
(Type football/rugby) </v>
      </c>
      <c r="I16" s="427">
        <f t="shared" si="2"/>
        <v>1956.5745027555556</v>
      </c>
      <c r="K16" s="787">
        <f t="shared" si="0"/>
        <v>0.80507156795569812</v>
      </c>
      <c r="L16" s="787">
        <f t="shared" si="1"/>
        <v>0.19492843204430185</v>
      </c>
      <c r="N16" s="424">
        <f>'ANALYSE - ERP =&gt; SOUS-SEGMENT'!$FG$29</f>
        <v>9782.8725137777783</v>
      </c>
      <c r="O16" s="427">
        <f>'ANALYSE - ERP =&gt; SOUS-SEGMENT'!$HC$29</f>
        <v>333.93984800000004</v>
      </c>
      <c r="P16" s="427">
        <f>'ANALYSE - ERP =&gt; SOUS-SEGMENT'!$HF$29</f>
        <v>4910.0952000000007</v>
      </c>
      <c r="Q16" s="427">
        <f>'ANALYSE - ERP =&gt; SOUS-SEGMENT'!$HI$29</f>
        <v>626.48828000000003</v>
      </c>
      <c r="R16" s="427">
        <f>'ANALYSE - ERP =&gt; SOUS-SEGMENT'!$HL$29</f>
        <v>3912.3491857777776</v>
      </c>
      <c r="T16" s="424">
        <f>'ANALYSE - ERP =&gt; SOUS-SEGMENT'!$FH$29</f>
        <v>7875.9125137777783</v>
      </c>
      <c r="U16" s="427">
        <f>'ANALYSE - ERP =&gt; SOUS-SEGMENT'!$HD$29</f>
        <v>295.80064800000002</v>
      </c>
      <c r="V16" s="427">
        <f>'ANALYSE - ERP =&gt; SOUS-SEGMENT'!$HG$29</f>
        <v>3861.2672000000002</v>
      </c>
      <c r="W16" s="427">
        <f>'ANALYSE - ERP =&gt; SOUS-SEGMENT'!$HJ$29</f>
        <v>493.00108</v>
      </c>
      <c r="X16" s="427">
        <f>'ANALYSE - ERP =&gt; SOUS-SEGMENT'!$HM$29</f>
        <v>3225.8435857777777</v>
      </c>
      <c r="Z16" s="427">
        <f>'ANALYSE - ERP =&gt; SOUS-SEGMENT'!$FI$29</f>
        <v>1906.96</v>
      </c>
      <c r="AA16" s="427">
        <f>'ANALYSE - ERP =&gt; SOUS-SEGMENT'!$HE$29</f>
        <v>38.139200000000002</v>
      </c>
      <c r="AB16" s="427">
        <f>'ANALYSE - ERP =&gt; SOUS-SEGMENT'!$HH$29</f>
        <v>1048.8280000000002</v>
      </c>
      <c r="AC16" s="427">
        <f>'ANALYSE - ERP =&gt; SOUS-SEGMENT'!$HK$29</f>
        <v>133.4872</v>
      </c>
      <c r="AD16" s="427">
        <f>'ANALYSE - ERP =&gt; SOUS-SEGMENT'!$HN$29</f>
        <v>686.50559999999996</v>
      </c>
      <c r="AF16" s="430">
        <f>'ANALYSE - ERP =&gt; SOUS-SEGMENT'!$Q$29</f>
        <v>1</v>
      </c>
    </row>
    <row r="17" spans="1:32" ht="15" customHeight="1">
      <c r="A17" s="26">
        <v>14</v>
      </c>
      <c r="B17" s="26">
        <v>13</v>
      </c>
      <c r="C17" s="26">
        <v>20</v>
      </c>
      <c r="D17" s="422">
        <f>'ANALYSE - ERP =&gt; SOUS-SEGMENT'!$A$113</f>
        <v>106</v>
      </c>
      <c r="E17" s="416" t="str">
        <f>'ANALYSE - ERP =&gt; SOUS-SEGMENT'!$B$113</f>
        <v>Culte, Vie civique &amp; Services publics</v>
      </c>
      <c r="F17" s="416" t="str">
        <f>'ANALYSE - ERP =&gt; SOUS-SEGMENT'!$C$113</f>
        <v>Culte</v>
      </c>
      <c r="G17" s="416" t="str">
        <f>'ANALYSE - ERP =&gt; SOUS-SEGMENT'!$D$113</f>
        <v>Églises, cathédrales, basiliques et chapelles ouvertes au public</v>
      </c>
      <c r="I17" s="427">
        <f t="shared" si="2"/>
        <v>157.30234615384614</v>
      </c>
      <c r="K17" s="787">
        <f t="shared" si="0"/>
        <v>0.89913055724876711</v>
      </c>
      <c r="L17" s="787">
        <f t="shared" si="1"/>
        <v>0.10086944275123286</v>
      </c>
      <c r="N17" s="424">
        <f>'ANALYSE - ERP =&gt; SOUS-SEGMENT'!$FG$113</f>
        <v>786.51173076923078</v>
      </c>
      <c r="O17" s="427">
        <f>'ANALYSE - ERP =&gt; SOUS-SEGMENT'!$HC$113</f>
        <v>95.845499999999987</v>
      </c>
      <c r="P17" s="427">
        <f>'ANALYSE - ERP =&gt; SOUS-SEGMENT'!$HF$113</f>
        <v>358.43673076923079</v>
      </c>
      <c r="Q17" s="427">
        <f>'ANALYSE - ERP =&gt; SOUS-SEGMENT'!$HI$113</f>
        <v>146.27780000000001</v>
      </c>
      <c r="R17" s="427">
        <f>'ANALYSE - ERP =&gt; SOUS-SEGMENT'!$HL$113</f>
        <v>185.95169999999999</v>
      </c>
      <c r="T17" s="424">
        <f>'ANALYSE - ERP =&gt; SOUS-SEGMENT'!$FH$113</f>
        <v>707.17673076923074</v>
      </c>
      <c r="U17" s="427">
        <f>'ANALYSE - ERP =&gt; SOUS-SEGMENT'!$HD$113</f>
        <v>87.911999999999992</v>
      </c>
      <c r="V17" s="427">
        <f>'ANALYSE - ERP =&gt; SOUS-SEGMENT'!$HG$113</f>
        <v>318.76923076923077</v>
      </c>
      <c r="W17" s="427">
        <f>'ANALYSE - ERP =&gt; SOUS-SEGMENT'!$HJ$113</f>
        <v>131.9975</v>
      </c>
      <c r="X17" s="427">
        <f>'ANALYSE - ERP =&gt; SOUS-SEGMENT'!$HM$113</f>
        <v>168.49799999999999</v>
      </c>
      <c r="Z17" s="427">
        <f>'ANALYSE - ERP =&gt; SOUS-SEGMENT'!$FI$113</f>
        <v>79.334999999999994</v>
      </c>
      <c r="AA17" s="427">
        <f>'ANALYSE - ERP =&gt; SOUS-SEGMENT'!$HE$113</f>
        <v>7.9334999999999996</v>
      </c>
      <c r="AB17" s="427">
        <f>'ANALYSE - ERP =&gt; SOUS-SEGMENT'!$HH$113</f>
        <v>39.667499999999997</v>
      </c>
      <c r="AC17" s="427">
        <f>'ANALYSE - ERP =&gt; SOUS-SEGMENT'!$HK$113</f>
        <v>14.280299999999999</v>
      </c>
      <c r="AD17" s="427">
        <f>'ANALYSE - ERP =&gt; SOUS-SEGMENT'!$HN$113</f>
        <v>17.453699999999998</v>
      </c>
      <c r="AF17" s="430">
        <f>'ANALYSE - ERP =&gt; SOUS-SEGMENT'!$Q$113</f>
        <v>1</v>
      </c>
    </row>
    <row r="18" spans="1:32" ht="15" customHeight="1">
      <c r="A18" s="26">
        <v>15</v>
      </c>
      <c r="B18" s="26">
        <v>16</v>
      </c>
      <c r="C18" s="26">
        <v>6</v>
      </c>
      <c r="D18" s="422">
        <f>'ANALYSE - ERP =&gt; SOUS-SEGMENT'!$A$19</f>
        <v>12</v>
      </c>
      <c r="E18" s="412" t="str">
        <f>'ANALYSE - ERP =&gt; SOUS-SEGMENT'!$B$19</f>
        <v>Enfance, Enseignement, Jeunesse &amp; Formation</v>
      </c>
      <c r="F18" s="412" t="str">
        <f>'ANALYSE - ERP =&gt; SOUS-SEGMENT'!$C$19</f>
        <v>Formation</v>
      </c>
      <c r="G18" s="412" t="str">
        <f>'ANALYSE - ERP =&gt; SOUS-SEGMENT'!$D$19</f>
        <v>Centres de formation / CFA</v>
      </c>
      <c r="I18" s="427">
        <f t="shared" si="2"/>
        <v>2323.0113126400001</v>
      </c>
      <c r="K18" s="787">
        <f t="shared" si="0"/>
        <v>0.54672737309946196</v>
      </c>
      <c r="L18" s="787">
        <f t="shared" si="1"/>
        <v>0.4532726269005381</v>
      </c>
      <c r="N18" s="424">
        <f>'ANALYSE - ERP =&gt; SOUS-SEGMENT'!$FG$19</f>
        <v>11615.0565632</v>
      </c>
      <c r="O18" s="427">
        <f>'ANALYSE - ERP =&gt; SOUS-SEGMENT'!$HC$19</f>
        <v>528.10495616000003</v>
      </c>
      <c r="P18" s="427">
        <f>'ANALYSE - ERP =&gt; SOUS-SEGMENT'!$HF$19</f>
        <v>6969.0339379200004</v>
      </c>
      <c r="Q18" s="427">
        <f>'ANALYSE - ERP =&gt; SOUS-SEGMENT'!$HI$19</f>
        <v>1150.650834688</v>
      </c>
      <c r="R18" s="427">
        <f>'ANALYSE - ERP =&gt; SOUS-SEGMENT'!$HL$19</f>
        <v>2967.266834432</v>
      </c>
      <c r="T18" s="424">
        <f>'ANALYSE - ERP =&gt; SOUS-SEGMENT'!$FH$19</f>
        <v>6350.269363200001</v>
      </c>
      <c r="U18" s="427">
        <f>'ANALYSE - ERP =&gt; SOUS-SEGMENT'!$HD$19</f>
        <v>317.51346816000006</v>
      </c>
      <c r="V18" s="427">
        <f>'ANALYSE - ERP =&gt; SOUS-SEGMENT'!$HG$19</f>
        <v>3810.1616179200005</v>
      </c>
      <c r="W18" s="427">
        <f>'ANALYSE - ERP =&gt; SOUS-SEGMENT'!$HJ$19</f>
        <v>571.52424268800007</v>
      </c>
      <c r="X18" s="427">
        <f>'ANALYSE - ERP =&gt; SOUS-SEGMENT'!$HM$19</f>
        <v>1651.0700344320003</v>
      </c>
      <c r="Z18" s="427">
        <f>'ANALYSE - ERP =&gt; SOUS-SEGMENT'!$FI$19</f>
        <v>5264.7871999999998</v>
      </c>
      <c r="AA18" s="427">
        <f>'ANALYSE - ERP =&gt; SOUS-SEGMENT'!$HE$19</f>
        <v>210.591488</v>
      </c>
      <c r="AB18" s="427">
        <f>'ANALYSE - ERP =&gt; SOUS-SEGMENT'!$HH$19</f>
        <v>3158.8723199999999</v>
      </c>
      <c r="AC18" s="427">
        <f>'ANALYSE - ERP =&gt; SOUS-SEGMENT'!$HK$19</f>
        <v>579.12659199999996</v>
      </c>
      <c r="AD18" s="427">
        <f>'ANALYSE - ERP =&gt; SOUS-SEGMENT'!$HN$19</f>
        <v>1316.1967999999999</v>
      </c>
      <c r="AF18" s="430">
        <f>'ANALYSE - ERP =&gt; SOUS-SEGMENT'!$Q$19</f>
        <v>1</v>
      </c>
    </row>
    <row r="19" spans="1:32" ht="15" customHeight="1">
      <c r="A19" s="26">
        <v>16</v>
      </c>
      <c r="B19" s="26">
        <v>15</v>
      </c>
      <c r="C19" s="26">
        <v>18</v>
      </c>
      <c r="D19" s="422">
        <f>'ANALYSE - ERP =&gt; SOUS-SEGMENT'!$A$94</f>
        <v>87</v>
      </c>
      <c r="E19" s="409" t="str">
        <f>'ANALYSE - ERP =&gt; SOUS-SEGMENT'!$B$94</f>
        <v>Hébergement Touristique</v>
      </c>
      <c r="F19" s="409" t="str">
        <f>'ANALYSE - ERP =&gt; SOUS-SEGMENT'!$C$94</f>
        <v>Tourisme de plein air</v>
      </c>
      <c r="G19" s="409" t="str">
        <f>'ANALYSE - ERP =&gt; SOUS-SEGMENT'!$D$94</f>
        <v>Campings</v>
      </c>
      <c r="I19" s="427">
        <f t="shared" si="2"/>
        <v>2171.3842291352271</v>
      </c>
      <c r="K19" s="787">
        <f t="shared" si="0"/>
        <v>0.87829761704346321</v>
      </c>
      <c r="L19" s="787">
        <f t="shared" si="1"/>
        <v>0.12170238295653688</v>
      </c>
      <c r="N19" s="424">
        <f>'ANALYSE - ERP =&gt; SOUS-SEGMENT'!$FG$94</f>
        <v>10856.921145676135</v>
      </c>
      <c r="O19" s="427">
        <f>'ANALYSE - ERP =&gt; SOUS-SEGMENT'!$HC$94</f>
        <v>1582.945119</v>
      </c>
      <c r="P19" s="427">
        <f>'ANALYSE - ERP =&gt; SOUS-SEGMENT'!$HF$94</f>
        <v>4536.7565226136367</v>
      </c>
      <c r="Q19" s="427">
        <f>'ANALYSE - ERP =&gt; SOUS-SEGMENT'!$HI$94</f>
        <v>1287.1138240625</v>
      </c>
      <c r="R19" s="427">
        <f>'ANALYSE - ERP =&gt; SOUS-SEGMENT'!$HL$94</f>
        <v>3450.1056799999997</v>
      </c>
      <c r="T19" s="424">
        <f>'ANALYSE - ERP =&gt; SOUS-SEGMENT'!$FH$94</f>
        <v>9535.6079706761357</v>
      </c>
      <c r="U19" s="427">
        <f>'ANALYSE - ERP =&gt; SOUS-SEGMENT'!$HD$94</f>
        <v>1411.1744062499999</v>
      </c>
      <c r="V19" s="427">
        <f>'ANALYSE - ERP =&gt; SOUS-SEGMENT'!$HG$94</f>
        <v>3942.1655938636363</v>
      </c>
      <c r="W19" s="427">
        <f>'ANALYSE - ERP =&gt; SOUS-SEGMENT'!$HJ$94</f>
        <v>1128.5562430625</v>
      </c>
      <c r="X19" s="427">
        <f>'ANALYSE - ERP =&gt; SOUS-SEGMENT'!$HM$94</f>
        <v>3053.7117274999996</v>
      </c>
      <c r="Z19" s="427">
        <f>'ANALYSE - ERP =&gt; SOUS-SEGMENT'!$FI$94</f>
        <v>1321.313175</v>
      </c>
      <c r="AA19" s="427">
        <f>'ANALYSE - ERP =&gt; SOUS-SEGMENT'!$HE$94</f>
        <v>171.77071275</v>
      </c>
      <c r="AB19" s="427">
        <f>'ANALYSE - ERP =&gt; SOUS-SEGMENT'!$HH$94</f>
        <v>594.59092874999999</v>
      </c>
      <c r="AC19" s="427">
        <f>'ANALYSE - ERP =&gt; SOUS-SEGMENT'!$HK$94</f>
        <v>158.557581</v>
      </c>
      <c r="AD19" s="427">
        <f>'ANALYSE - ERP =&gt; SOUS-SEGMENT'!$HN$94</f>
        <v>396.39395250000001</v>
      </c>
      <c r="AF19" s="430">
        <f>'ANALYSE - ERP =&gt; SOUS-SEGMENT'!$Q$94</f>
        <v>1</v>
      </c>
    </row>
    <row r="20" spans="1:32" ht="15" customHeight="1">
      <c r="A20" s="26">
        <v>17</v>
      </c>
      <c r="B20" s="26">
        <v>17</v>
      </c>
      <c r="C20" s="26">
        <v>21</v>
      </c>
      <c r="D20" s="422">
        <f>'ANALYSE - ERP =&gt; SOUS-SEGMENT'!$A$79</f>
        <v>72</v>
      </c>
      <c r="E20" s="411" t="str">
        <f>'ANALYSE - ERP =&gt; SOUS-SEGMENT'!$B$79</f>
        <v>Commerce, Restauration &amp; Loisirs</v>
      </c>
      <c r="F20" s="411" t="str">
        <f>'ANALYSE - ERP =&gt; SOUS-SEGMENT'!$C$79</f>
        <v>Commerce</v>
      </c>
      <c r="G20" s="411" t="str">
        <f>'ANALYSE - ERP =&gt; SOUS-SEGMENT'!$D$79</f>
        <v>Centres commerciaux / Malls
(dotés de sanitaires collectifs clients)</v>
      </c>
      <c r="I20" s="427">
        <f t="shared" si="2"/>
        <v>1515.0796220129869</v>
      </c>
      <c r="K20" s="787">
        <f t="shared" si="0"/>
        <v>0.86532192959674636</v>
      </c>
      <c r="L20" s="787">
        <f t="shared" si="1"/>
        <v>0.13467807040325366</v>
      </c>
      <c r="N20" s="424">
        <f>'ANALYSE - ERP =&gt; SOUS-SEGMENT'!$FG$79</f>
        <v>7575.3981100649344</v>
      </c>
      <c r="O20" s="427">
        <f>'ANALYSE - ERP =&gt; SOUS-SEGMENT'!$HC$79</f>
        <v>747.09019999999998</v>
      </c>
      <c r="P20" s="427">
        <f>'ANALYSE - ERP =&gt; SOUS-SEGMENT'!$HF$79</f>
        <v>3002.5425886363637</v>
      </c>
      <c r="Q20" s="427">
        <f>'ANALYSE - ERP =&gt; SOUS-SEGMENT'!$HI$79</f>
        <v>2423.8695214285717</v>
      </c>
      <c r="R20" s="427">
        <f>'ANALYSE - ERP =&gt; SOUS-SEGMENT'!$HL$79</f>
        <v>1401.8957999999998</v>
      </c>
      <c r="T20" s="424">
        <f>'ANALYSE - ERP =&gt; SOUS-SEGMENT'!$FH$79</f>
        <v>6555.1581100649346</v>
      </c>
      <c r="U20" s="427">
        <f>'ANALYSE - ERP =&gt; SOUS-SEGMENT'!$HD$79</f>
        <v>665.471</v>
      </c>
      <c r="V20" s="427">
        <f>'ANALYSE - ERP =&gt; SOUS-SEGMENT'!$HG$79</f>
        <v>2543.4345886363635</v>
      </c>
      <c r="W20" s="427">
        <f>'ANALYSE - ERP =&gt; SOUS-SEGMENT'!$HJ$79</f>
        <v>2148.4047214285715</v>
      </c>
      <c r="X20" s="427">
        <f>'ANALYSE - ERP =&gt; SOUS-SEGMENT'!$HM$79</f>
        <v>1197.8477999999998</v>
      </c>
      <c r="Z20" s="427">
        <f>'ANALYSE - ERP =&gt; SOUS-SEGMENT'!$FI$79</f>
        <v>1020.24</v>
      </c>
      <c r="AA20" s="427">
        <f>'ANALYSE - ERP =&gt; SOUS-SEGMENT'!$HE$79</f>
        <v>81.619200000000006</v>
      </c>
      <c r="AB20" s="427">
        <f>'ANALYSE - ERP =&gt; SOUS-SEGMENT'!$HH$79</f>
        <v>459.108</v>
      </c>
      <c r="AC20" s="427">
        <f>'ANALYSE - ERP =&gt; SOUS-SEGMENT'!$HK$79</f>
        <v>275.46480000000003</v>
      </c>
      <c r="AD20" s="427">
        <f>'ANALYSE - ERP =&gt; SOUS-SEGMENT'!$HN$79</f>
        <v>204.048</v>
      </c>
      <c r="AF20" s="430">
        <f>'ANALYSE - ERP =&gt; SOUS-SEGMENT'!$Q$79</f>
        <v>1</v>
      </c>
    </row>
    <row r="21" spans="1:32" ht="15" customHeight="1">
      <c r="A21" s="26">
        <v>18</v>
      </c>
      <c r="B21" s="26">
        <v>20</v>
      </c>
      <c r="C21" s="26">
        <v>22</v>
      </c>
      <c r="D21" s="422">
        <f>'ANALYSE - ERP =&gt; SOUS-SEGMENT'!$A$24</f>
        <v>17</v>
      </c>
      <c r="E21" s="411" t="str">
        <f>'ANALYSE - ERP =&gt; SOUS-SEGMENT'!$B$24</f>
        <v>Sports &amp; Loisirs</v>
      </c>
      <c r="F21" s="411" t="str">
        <f>'ANALYSE - ERP =&gt; SOUS-SEGMENT'!$C$24</f>
        <v>Sport couvert / Thermalisme / Bien-être</v>
      </c>
      <c r="G21" s="411" t="str">
        <f>'ANALYSE - ERP =&gt; SOUS-SEGMENT'!$D$24</f>
        <v>Piscines couvertes</v>
      </c>
      <c r="I21" s="427">
        <f t="shared" si="2"/>
        <v>1536.8006934166665</v>
      </c>
      <c r="K21" s="787">
        <f t="shared" si="0"/>
        <v>0.84382620268968889</v>
      </c>
      <c r="L21" s="787">
        <f t="shared" si="1"/>
        <v>0.15617379731031106</v>
      </c>
      <c r="N21" s="424">
        <f>'ANALYSE - ERP =&gt; SOUS-SEGMENT'!$FG$24</f>
        <v>7684.0034670833329</v>
      </c>
      <c r="O21" s="427">
        <f>'ANALYSE - ERP =&gt; SOUS-SEGMENT'!$HC$24</f>
        <v>446.72255124999998</v>
      </c>
      <c r="P21" s="427">
        <f>'ANALYSE - ERP =&gt; SOUS-SEGMENT'!$HF$24</f>
        <v>3826.9767999999999</v>
      </c>
      <c r="Q21" s="427">
        <f>'ANALYSE - ERP =&gt; SOUS-SEGMENT'!$HI$24</f>
        <v>941.4467024999999</v>
      </c>
      <c r="R21" s="427">
        <f>'ANALYSE - ERP =&gt; SOUS-SEGMENT'!$HL$24</f>
        <v>2468.8574133333327</v>
      </c>
      <c r="T21" s="424">
        <f>'ANALYSE - ERP =&gt; SOUS-SEGMENT'!$FH$24</f>
        <v>6483.9634670833329</v>
      </c>
      <c r="U21" s="427">
        <f>'ANALYSE - ERP =&gt; SOUS-SEGMENT'!$HD$24</f>
        <v>398.72095124999998</v>
      </c>
      <c r="V21" s="427">
        <f>'ANALYSE - ERP =&gt; SOUS-SEGMENT'!$HG$24</f>
        <v>3166.9548</v>
      </c>
      <c r="W21" s="427">
        <f>'ANALYSE - ERP =&gt; SOUS-SEGMENT'!$HJ$24</f>
        <v>797.44190249999997</v>
      </c>
      <c r="X21" s="427">
        <f>'ANALYSE - ERP =&gt; SOUS-SEGMENT'!$HM$24</f>
        <v>2120.8458133333329</v>
      </c>
      <c r="Z21" s="427">
        <f>'ANALYSE - ERP =&gt; SOUS-SEGMENT'!$FI$24</f>
        <v>1200.04</v>
      </c>
      <c r="AA21" s="427">
        <f>'ANALYSE - ERP =&gt; SOUS-SEGMENT'!$HE$24</f>
        <v>48.001599999999996</v>
      </c>
      <c r="AB21" s="427">
        <f>'ANALYSE - ERP =&gt; SOUS-SEGMENT'!$HH$24</f>
        <v>660.02200000000005</v>
      </c>
      <c r="AC21" s="427">
        <f>'ANALYSE - ERP =&gt; SOUS-SEGMENT'!$HK$24</f>
        <v>144.00479999999999</v>
      </c>
      <c r="AD21" s="427">
        <f>'ANALYSE - ERP =&gt; SOUS-SEGMENT'!$HN$24</f>
        <v>348.01159999999999</v>
      </c>
      <c r="AF21" s="430">
        <f>'ANALYSE - ERP =&gt; SOUS-SEGMENT'!$Q$24</f>
        <v>1</v>
      </c>
    </row>
    <row r="22" spans="1:32" ht="15" customHeight="1">
      <c r="A22" s="26">
        <v>19</v>
      </c>
      <c r="B22" s="26">
        <v>19</v>
      </c>
      <c r="C22" s="26">
        <v>24</v>
      </c>
      <c r="D22" s="422">
        <f>'ANALYSE - ERP =&gt; SOUS-SEGMENT'!$A$87</f>
        <v>80</v>
      </c>
      <c r="E22" s="410" t="str">
        <f>'ANALYSE - ERP =&gt; SOUS-SEGMENT'!$B$87</f>
        <v>Hébergement Touristique</v>
      </c>
      <c r="F22" s="410" t="str">
        <f>'ANALYSE - ERP =&gt; SOUS-SEGMENT'!$C$87</f>
        <v>Hébergement Touristique</v>
      </c>
      <c r="G22" s="410" t="str">
        <f>'ANALYSE - ERP =&gt; SOUS-SEGMENT'!$D$87</f>
        <v>Hôtels 
(hors autres hébérgements touristiques)</v>
      </c>
      <c r="I22" s="427">
        <f t="shared" si="2"/>
        <v>945.96943430399983</v>
      </c>
      <c r="K22" s="787">
        <f t="shared" si="0"/>
        <v>0.88220528490755612</v>
      </c>
      <c r="L22" s="787">
        <f t="shared" si="1"/>
        <v>0.11779471509244389</v>
      </c>
      <c r="N22" s="424">
        <f>'ANALYSE - ERP =&gt; SOUS-SEGMENT'!$FG$87</f>
        <v>4729.8471715199994</v>
      </c>
      <c r="O22" s="427">
        <f>'ANALYSE - ERP =&gt; SOUS-SEGMENT'!$HC$87</f>
        <v>576.54970367999999</v>
      </c>
      <c r="P22" s="427">
        <f>'ANALYSE - ERP =&gt; SOUS-SEGMENT'!$HF$87</f>
        <v>1936.050021</v>
      </c>
      <c r="Q22" s="427">
        <f>'ANALYSE - ERP =&gt; SOUS-SEGMENT'!$HI$87</f>
        <v>704.61275399999988</v>
      </c>
      <c r="R22" s="427">
        <f>'ANALYSE - ERP =&gt; SOUS-SEGMENT'!$HL$87</f>
        <v>1512.6346928399998</v>
      </c>
      <c r="T22" s="424">
        <f>'ANALYSE - ERP =&gt; SOUS-SEGMENT'!$FH$87</f>
        <v>4172.6961715199996</v>
      </c>
      <c r="U22" s="427">
        <f>'ANALYSE - ERP =&gt; SOUS-SEGMENT'!$HD$87</f>
        <v>520.83460367999999</v>
      </c>
      <c r="V22" s="427">
        <f>'ANALYSE - ERP =&gt; SOUS-SEGMENT'!$HG$87</f>
        <v>1685.332071</v>
      </c>
      <c r="W22" s="427">
        <f>'ANALYSE - ERP =&gt; SOUS-SEGMENT'!$HJ$87</f>
        <v>621.04010399999993</v>
      </c>
      <c r="X22" s="427">
        <f>'ANALYSE - ERP =&gt; SOUS-SEGMENT'!$HM$87</f>
        <v>1345.4893928399999</v>
      </c>
      <c r="Z22" s="427">
        <f>'ANALYSE - ERP =&gt; SOUS-SEGMENT'!$FI$87</f>
        <v>557.15099999999995</v>
      </c>
      <c r="AA22" s="427">
        <f>'ANALYSE - ERP =&gt; SOUS-SEGMENT'!$HE$87</f>
        <v>55.7151</v>
      </c>
      <c r="AB22" s="427">
        <f>'ANALYSE - ERP =&gt; SOUS-SEGMENT'!$HH$87</f>
        <v>250.71794999999997</v>
      </c>
      <c r="AC22" s="427">
        <f>'ANALYSE - ERP =&gt; SOUS-SEGMENT'!$HK$87</f>
        <v>83.572649999999996</v>
      </c>
      <c r="AD22" s="427">
        <f>'ANALYSE - ERP =&gt; SOUS-SEGMENT'!$HN$87</f>
        <v>167.14529999999999</v>
      </c>
      <c r="AF22" s="430">
        <f>'ANALYSE - ERP =&gt; SOUS-SEGMENT'!$Q$87</f>
        <v>1</v>
      </c>
    </row>
    <row r="23" spans="1:32" ht="15" customHeight="1">
      <c r="A23" s="26">
        <v>20</v>
      </c>
      <c r="B23" s="26">
        <v>18</v>
      </c>
      <c r="C23" s="26">
        <v>25</v>
      </c>
      <c r="D23" s="422">
        <f>'ANALYSE - ERP =&gt; SOUS-SEGMENT'!$A$68</f>
        <v>61</v>
      </c>
      <c r="E23" s="410" t="str">
        <f>'ANALYSE - ERP =&gt; SOUS-SEGMENT'!$B$68</f>
        <v>Culture, Patrimoine &amp; Evénementiel</v>
      </c>
      <c r="F23" s="410" t="str">
        <f>'ANALYSE - ERP =&gt; SOUS-SEGMENT'!$C$68</f>
        <v>Culture / spectacle</v>
      </c>
      <c r="G23" s="410" t="str">
        <f>'ANALYSE - ERP =&gt; SOUS-SEGMENT'!$D$68</f>
        <v>Bibliothèques / Médiathèques</v>
      </c>
      <c r="I23" s="427">
        <f t="shared" si="2"/>
        <v>1368.1088588344987</v>
      </c>
      <c r="K23" s="787">
        <f t="shared" si="0"/>
        <v>0.85153812966825437</v>
      </c>
      <c r="L23" s="787">
        <f t="shared" si="1"/>
        <v>0.14846187033174574</v>
      </c>
      <c r="N23" s="424">
        <f>'ANALYSE - ERP =&gt; SOUS-SEGMENT'!$FG$68</f>
        <v>6840.5442941724941</v>
      </c>
      <c r="O23" s="427">
        <f>'ANALYSE - ERP =&gt; SOUS-SEGMENT'!$HC$68</f>
        <v>695.57698181818182</v>
      </c>
      <c r="P23" s="427">
        <f>'ANALYSE - ERP =&gt; SOUS-SEGMENT'!$HF$68</f>
        <v>3428.0894153846157</v>
      </c>
      <c r="Q23" s="427">
        <f>'ANALYSE - ERP =&gt; SOUS-SEGMENT'!$HI$68</f>
        <v>1295.2571333333333</v>
      </c>
      <c r="R23" s="427">
        <f>'ANALYSE - ERP =&gt; SOUS-SEGMENT'!$HL$68</f>
        <v>1421.6207636363638</v>
      </c>
      <c r="T23" s="424">
        <f>'ANALYSE - ERP =&gt; SOUS-SEGMENT'!$FH$68</f>
        <v>5824.9842941724946</v>
      </c>
      <c r="U23" s="427">
        <f>'ANALYSE - ERP =&gt; SOUS-SEGMENT'!$HD$68</f>
        <v>614.33218181818188</v>
      </c>
      <c r="V23" s="427">
        <f>'ANALYSE - ERP =&gt; SOUS-SEGMENT'!$HG$68</f>
        <v>2869.5314153846157</v>
      </c>
      <c r="W23" s="427">
        <f>'ANALYSE - ERP =&gt; SOUS-SEGMENT'!$HJ$68</f>
        <v>1112.4563333333333</v>
      </c>
      <c r="X23" s="427">
        <f>'ANALYSE - ERP =&gt; SOUS-SEGMENT'!$HM$68</f>
        <v>1228.6643636363638</v>
      </c>
      <c r="Z23" s="427">
        <f>'ANALYSE - ERP =&gt; SOUS-SEGMENT'!$FI$68</f>
        <v>1015.56</v>
      </c>
      <c r="AA23" s="427">
        <f>'ANALYSE - ERP =&gt; SOUS-SEGMENT'!$HE$68</f>
        <v>81.244799999999998</v>
      </c>
      <c r="AB23" s="427">
        <f>'ANALYSE - ERP =&gt; SOUS-SEGMENT'!$HH$68</f>
        <v>558.55799999999999</v>
      </c>
      <c r="AC23" s="427">
        <f>'ANALYSE - ERP =&gt; SOUS-SEGMENT'!$HK$68</f>
        <v>182.80079999999998</v>
      </c>
      <c r="AD23" s="427">
        <f>'ANALYSE - ERP =&gt; SOUS-SEGMENT'!$HN$68</f>
        <v>192.9564</v>
      </c>
      <c r="AF23" s="430">
        <f>'ANALYSE - ERP =&gt; SOUS-SEGMENT'!$Q$68</f>
        <v>1</v>
      </c>
    </row>
    <row r="24" spans="1:32" ht="15" customHeight="1">
      <c r="A24" s="26">
        <v>21</v>
      </c>
      <c r="B24" s="26">
        <v>21</v>
      </c>
      <c r="C24" s="26">
        <v>23</v>
      </c>
      <c r="D24" s="422">
        <f>'ANALYSE - ERP =&gt; SOUS-SEGMENT'!$A$125</f>
        <v>118</v>
      </c>
      <c r="E24" s="411" t="str">
        <f>'ANALYSE - ERP =&gt; SOUS-SEGMENT'!$B$125</f>
        <v>Transport, Mobilité &amp; Stationnement</v>
      </c>
      <c r="F24" s="411" t="str">
        <f>'ANALYSE - ERP =&gt; SOUS-SEGMENT'!$C$125</f>
        <v>Transport / Mobilité</v>
      </c>
      <c r="G24" s="411" t="str">
        <f>'ANALYSE - ERP =&gt; SOUS-SEGMENT'!$D$125</f>
        <v>Gares ferroviaires et stations
(dotés de sanitaires)</v>
      </c>
      <c r="I24" s="427">
        <f t="shared" si="2"/>
        <v>542.72251290476197</v>
      </c>
      <c r="K24" s="787">
        <f t="shared" si="0"/>
        <v>0.78428681837168579</v>
      </c>
      <c r="L24" s="787">
        <f t="shared" si="1"/>
        <v>0.21571318162831415</v>
      </c>
      <c r="N24" s="424">
        <f>'ANALYSE - ERP =&gt; SOUS-SEGMENT'!$FG$125</f>
        <v>2713.6125645238099</v>
      </c>
      <c r="O24" s="427">
        <f>'ANALYSE - ERP =&gt; SOUS-SEGMENT'!$HC$125</f>
        <v>147.58725500000003</v>
      </c>
      <c r="P24" s="427">
        <f>'ANALYSE - ERP =&gt; SOUS-SEGMENT'!$HF$125</f>
        <v>1385.6752800000002</v>
      </c>
      <c r="Q24" s="427">
        <f>'ANALYSE - ERP =&gt; SOUS-SEGMENT'!$HI$125</f>
        <v>357.12638285714286</v>
      </c>
      <c r="R24" s="427">
        <f>'ANALYSE - ERP =&gt; SOUS-SEGMENT'!$HL$125</f>
        <v>823.22364666666658</v>
      </c>
      <c r="T24" s="424">
        <f>'ANALYSE - ERP =&gt; SOUS-SEGMENT'!$FH$125</f>
        <v>2128.2505645238098</v>
      </c>
      <c r="U24" s="427">
        <f>'ANALYSE - ERP =&gt; SOUS-SEGMENT'!$HD$125</f>
        <v>124.17277500000002</v>
      </c>
      <c r="V24" s="427">
        <f>'ANALYSE - ERP =&gt; SOUS-SEGMENT'!$HG$125</f>
        <v>1063.7261800000001</v>
      </c>
      <c r="W24" s="427">
        <f>'ANALYSE - ERP =&gt; SOUS-SEGMENT'!$HJ$125</f>
        <v>286.88294285714284</v>
      </c>
      <c r="X24" s="427">
        <f>'ANALYSE - ERP =&gt; SOUS-SEGMENT'!$HM$125</f>
        <v>653.46866666666665</v>
      </c>
      <c r="Z24" s="427">
        <f>'ANALYSE - ERP =&gt; SOUS-SEGMENT'!$FI$125</f>
        <v>585.36199999999997</v>
      </c>
      <c r="AA24" s="427">
        <f>'ANALYSE - ERP =&gt; SOUS-SEGMENT'!$HE$125</f>
        <v>23.414479999999998</v>
      </c>
      <c r="AB24" s="427">
        <f>'ANALYSE - ERP =&gt; SOUS-SEGMENT'!$HH$125</f>
        <v>321.94909999999999</v>
      </c>
      <c r="AC24" s="427">
        <f>'ANALYSE - ERP =&gt; SOUS-SEGMENT'!$HK$125</f>
        <v>70.243439999999993</v>
      </c>
      <c r="AD24" s="427">
        <f>'ANALYSE - ERP =&gt; SOUS-SEGMENT'!$HN$125</f>
        <v>169.75497999999999</v>
      </c>
      <c r="AF24" s="430">
        <f>'ANALYSE - ERP =&gt; SOUS-SEGMENT'!$Q$125</f>
        <v>1</v>
      </c>
    </row>
    <row r="25" spans="1:32" ht="15" customHeight="1">
      <c r="A25" s="26">
        <v>22</v>
      </c>
      <c r="B25" s="26">
        <v>22</v>
      </c>
      <c r="C25" s="26">
        <v>17</v>
      </c>
      <c r="D25" s="422">
        <f>'ANALYSE - ERP =&gt; SOUS-SEGMENT'!$A$22</f>
        <v>15</v>
      </c>
      <c r="E25" s="408" t="str">
        <f>'ANALYSE - ERP =&gt; SOUS-SEGMENT'!$B$22</f>
        <v>Sports &amp; Loisirs</v>
      </c>
      <c r="F25" s="408" t="str">
        <f>'ANALYSE - ERP =&gt; SOUS-SEGMENT'!$C$22</f>
        <v>Sport couvert / Thermalisme / Bien-être</v>
      </c>
      <c r="G25" s="408" t="str">
        <f>'ANALYSE - ERP =&gt; SOUS-SEGMENT'!$D$22</f>
        <v>Salles de fitness / dojos</v>
      </c>
      <c r="I25" s="427">
        <f t="shared" si="2"/>
        <v>1307.8273746666669</v>
      </c>
      <c r="K25" s="787">
        <f t="shared" si="0"/>
        <v>0.76887390044344195</v>
      </c>
      <c r="L25" s="787">
        <f t="shared" si="1"/>
        <v>0.23112609955655808</v>
      </c>
      <c r="N25" s="424">
        <f>'ANALYSE - ERP =&gt; SOUS-SEGMENT'!$FG$22</f>
        <v>6539.1368733333338</v>
      </c>
      <c r="O25" s="427">
        <f>'ANALYSE - ERP =&gt; SOUS-SEGMENT'!$HC$22</f>
        <v>374.41713299999998</v>
      </c>
      <c r="P25" s="427">
        <f>'ANALYSE - ERP =&gt; SOUS-SEGMENT'!$HF$22</f>
        <v>3226.9123000000004</v>
      </c>
      <c r="Q25" s="427">
        <f>'ANALYSE - ERP =&gt; SOUS-SEGMENT'!$HI$22</f>
        <v>1213.933311</v>
      </c>
      <c r="R25" s="427">
        <f>'ANALYSE - ERP =&gt; SOUS-SEGMENT'!$HL$22</f>
        <v>1723.8741293333333</v>
      </c>
      <c r="T25" s="424">
        <f>'ANALYSE - ERP =&gt; SOUS-SEGMENT'!$FH$22</f>
        <v>5027.7716733333336</v>
      </c>
      <c r="U25" s="427">
        <f>'ANALYSE - ERP =&gt; SOUS-SEGMENT'!$HD$22</f>
        <v>313.96252499999997</v>
      </c>
      <c r="V25" s="427">
        <f>'ANALYSE - ERP =&gt; SOUS-SEGMENT'!$HG$22</f>
        <v>2395.6614400000003</v>
      </c>
      <c r="W25" s="427">
        <f>'ANALYSE - ERP =&gt; SOUS-SEGMENT'!$HJ$22</f>
        <v>941.88757499999997</v>
      </c>
      <c r="X25" s="427">
        <f>'ANALYSE - ERP =&gt; SOUS-SEGMENT'!$HM$22</f>
        <v>1376.2601333333332</v>
      </c>
      <c r="Z25" s="427">
        <f>'ANALYSE - ERP =&gt; SOUS-SEGMENT'!$FI$22</f>
        <v>1511.3652</v>
      </c>
      <c r="AA25" s="427">
        <f>'ANALYSE - ERP =&gt; SOUS-SEGMENT'!$HE$22</f>
        <v>60.454608</v>
      </c>
      <c r="AB25" s="427">
        <f>'ANALYSE - ERP =&gt; SOUS-SEGMENT'!$HH$22</f>
        <v>831.25085999999999</v>
      </c>
      <c r="AC25" s="427">
        <f>'ANALYSE - ERP =&gt; SOUS-SEGMENT'!$HK$22</f>
        <v>272.04573599999998</v>
      </c>
      <c r="AD25" s="427">
        <f>'ANALYSE - ERP =&gt; SOUS-SEGMENT'!$HN$22</f>
        <v>347.61399599999999</v>
      </c>
      <c r="AF25" s="430">
        <f>'ANALYSE - ERP =&gt; SOUS-SEGMENT'!$Q$22</f>
        <v>1</v>
      </c>
    </row>
    <row r="26" spans="1:32" ht="15" customHeight="1">
      <c r="A26" s="26">
        <v>23</v>
      </c>
      <c r="B26" s="26">
        <v>23</v>
      </c>
      <c r="C26" s="26">
        <v>19</v>
      </c>
      <c r="D26" s="422">
        <f>'ANALYSE - ERP =&gt; SOUS-SEGMENT'!$A$35</f>
        <v>28</v>
      </c>
      <c r="E26" s="413" t="str">
        <f>'ANALYSE - ERP =&gt; SOUS-SEGMENT'!$B$35</f>
        <v>Sports &amp; Loisirs</v>
      </c>
      <c r="F26" s="413" t="str">
        <f>'ANALYSE - ERP =&gt; SOUS-SEGMENT'!$C$35</f>
        <v>Loisirs de plein air</v>
      </c>
      <c r="G26" s="413" t="str">
        <f>'ANALYSE - ERP =&gt; SOUS-SEGMENT'!$D$35</f>
        <v>Centres de loisirs sans hébergement</v>
      </c>
      <c r="I26" s="427">
        <f t="shared" si="2"/>
        <v>943.5984011999999</v>
      </c>
      <c r="K26" s="787">
        <f t="shared" si="0"/>
        <v>0.76311532563457252</v>
      </c>
      <c r="L26" s="787">
        <f t="shared" si="1"/>
        <v>0.23688467436542748</v>
      </c>
      <c r="N26" s="424">
        <f>'ANALYSE - ERP =&gt; SOUS-SEGMENT'!$FG$35</f>
        <v>4717.9920059999995</v>
      </c>
      <c r="O26" s="427">
        <f>'ANALYSE - ERP =&gt; SOUS-SEGMENT'!$HC$35</f>
        <v>366.26316048000001</v>
      </c>
      <c r="P26" s="427">
        <f>'ANALYSE - ERP =&gt; SOUS-SEGMENT'!$HF$35</f>
        <v>2936.3312437200002</v>
      </c>
      <c r="Q26" s="427">
        <f>'ANALYSE - ERP =&gt; SOUS-SEGMENT'!$HI$35</f>
        <v>258.25200030000002</v>
      </c>
      <c r="R26" s="427">
        <f>'ANALYSE - ERP =&gt; SOUS-SEGMENT'!$HL$35</f>
        <v>1157.1456014999999</v>
      </c>
      <c r="T26" s="424">
        <f>'ANALYSE - ERP =&gt; SOUS-SEGMENT'!$FH$35</f>
        <v>3600.3720059999996</v>
      </c>
      <c r="U26" s="427">
        <f>'ANALYSE - ERP =&gt; SOUS-SEGMENT'!$HD$35</f>
        <v>288.02976047999999</v>
      </c>
      <c r="V26" s="427">
        <f>'ANALYSE - ERP =&gt; SOUS-SEGMENT'!$HG$35</f>
        <v>2232.23064372</v>
      </c>
      <c r="W26" s="427">
        <f>'ANALYSE - ERP =&gt; SOUS-SEGMENT'!$HJ$35</f>
        <v>180.0186003</v>
      </c>
      <c r="X26" s="427">
        <f>'ANALYSE - ERP =&gt; SOUS-SEGMENT'!$HM$35</f>
        <v>900.09300150000001</v>
      </c>
      <c r="Z26" s="427">
        <f>'ANALYSE - ERP =&gt; SOUS-SEGMENT'!$FI$35</f>
        <v>1117.6199999999999</v>
      </c>
      <c r="AA26" s="427">
        <f>'ANALYSE - ERP =&gt; SOUS-SEGMENT'!$HE$35</f>
        <v>78.233400000000003</v>
      </c>
      <c r="AB26" s="427">
        <f>'ANALYSE - ERP =&gt; SOUS-SEGMENT'!$HH$35</f>
        <v>704.10059999999999</v>
      </c>
      <c r="AC26" s="427">
        <f>'ANALYSE - ERP =&gt; SOUS-SEGMENT'!$HK$35</f>
        <v>78.233400000000003</v>
      </c>
      <c r="AD26" s="427">
        <f>'ANALYSE - ERP =&gt; SOUS-SEGMENT'!$HN$35</f>
        <v>257.05259999999998</v>
      </c>
      <c r="AF26" s="430">
        <f>'ANALYSE - ERP =&gt; SOUS-SEGMENT'!$Q$35</f>
        <v>1</v>
      </c>
    </row>
    <row r="27" spans="1:32" ht="15" customHeight="1">
      <c r="A27" s="26">
        <v>24</v>
      </c>
      <c r="B27" s="26">
        <v>24</v>
      </c>
      <c r="C27" s="26">
        <v>16</v>
      </c>
      <c r="D27" s="422">
        <f>'ANALYSE - ERP =&gt; SOUS-SEGMENT'!$A$66</f>
        <v>59</v>
      </c>
      <c r="E27" s="411" t="str">
        <f>'ANALYSE - ERP =&gt; SOUS-SEGMENT'!$B$66</f>
        <v>Culture, Patrimoine &amp; Evénementiel</v>
      </c>
      <c r="F27" s="411" t="str">
        <f>'ANALYSE - ERP =&gt; SOUS-SEGMENT'!$C$66</f>
        <v>Culture / spectacle</v>
      </c>
      <c r="G27" s="411" t="str">
        <f>'ANALYSE - ERP =&gt; SOUS-SEGMENT'!$D$66</f>
        <v>Salles de conférence / Réunion</v>
      </c>
      <c r="I27" s="427">
        <f t="shared" si="2"/>
        <v>628.29784091996896</v>
      </c>
      <c r="K27" s="787">
        <f t="shared" si="0"/>
        <v>0.73912054232114033</v>
      </c>
      <c r="L27" s="787">
        <f t="shared" si="1"/>
        <v>0.26087945767885973</v>
      </c>
      <c r="N27" s="424">
        <f>'ANALYSE - ERP =&gt; SOUS-SEGMENT'!$FG$66</f>
        <v>3141.4892045998449</v>
      </c>
      <c r="O27" s="427">
        <f>'ANALYSE - ERP =&gt; SOUS-SEGMENT'!$HC$66</f>
        <v>242.26175054545459</v>
      </c>
      <c r="P27" s="427">
        <f>'ANALYSE - ERP =&gt; SOUS-SEGMENT'!$HF$66</f>
        <v>1365.6689169230772</v>
      </c>
      <c r="Q27" s="427">
        <f>'ANALYSE - ERP =&gt; SOUS-SEGMENT'!$HI$66</f>
        <v>992.11694222222241</v>
      </c>
      <c r="R27" s="427">
        <f>'ANALYSE - ERP =&gt; SOUS-SEGMENT'!$HL$66</f>
        <v>541.44159490909101</v>
      </c>
      <c r="T27" s="424">
        <f>'ANALYSE - ERP =&gt; SOUS-SEGMENT'!$FH$66</f>
        <v>2321.9392045998452</v>
      </c>
      <c r="U27" s="427">
        <f>'ANALYSE - ERP =&gt; SOUS-SEGMENT'!$HD$66</f>
        <v>193.08875054545459</v>
      </c>
      <c r="V27" s="427">
        <f>'ANALYSE - ERP =&gt; SOUS-SEGMENT'!$HG$66</f>
        <v>955.89391692307709</v>
      </c>
      <c r="W27" s="427">
        <f>'ANALYSE - ERP =&gt; SOUS-SEGMENT'!$HJ$66</f>
        <v>762.64294222222236</v>
      </c>
      <c r="X27" s="427">
        <f>'ANALYSE - ERP =&gt; SOUS-SEGMENT'!$HM$66</f>
        <v>410.31359490909097</v>
      </c>
      <c r="Z27" s="427">
        <f>'ANALYSE - ERP =&gt; SOUS-SEGMENT'!$FI$66</f>
        <v>819.55</v>
      </c>
      <c r="AA27" s="427">
        <f>'ANALYSE - ERP =&gt; SOUS-SEGMENT'!$HE$66</f>
        <v>49.172999999999995</v>
      </c>
      <c r="AB27" s="427">
        <f>'ANALYSE - ERP =&gt; SOUS-SEGMENT'!$HH$66</f>
        <v>409.77499999999998</v>
      </c>
      <c r="AC27" s="427">
        <f>'ANALYSE - ERP =&gt; SOUS-SEGMENT'!$HK$66</f>
        <v>229.47400000000002</v>
      </c>
      <c r="AD27" s="427">
        <f>'ANALYSE - ERP =&gt; SOUS-SEGMENT'!$HN$66</f>
        <v>131.12799999999999</v>
      </c>
      <c r="AF27" s="430">
        <f>'ANALYSE - ERP =&gt; SOUS-SEGMENT'!$Q$66</f>
        <v>1</v>
      </c>
    </row>
    <row r="28" spans="1:32" ht="15" customHeight="1">
      <c r="A28" s="26">
        <v>25</v>
      </c>
      <c r="B28" s="26">
        <v>25</v>
      </c>
      <c r="C28" s="26">
        <v>29</v>
      </c>
      <c r="D28" s="422">
        <f>'ANALYSE - ERP =&gt; SOUS-SEGMENT'!$A$120</f>
        <v>113</v>
      </c>
      <c r="E28" s="409" t="str">
        <f>'ANALYSE - ERP =&gt; SOUS-SEGMENT'!$B$120</f>
        <v>Culte, Vie civique &amp; Services publics</v>
      </c>
      <c r="F28" s="409" t="str">
        <f>'ANALYSE - ERP =&gt; SOUS-SEGMENT'!$C$120</f>
        <v>Vie associative</v>
      </c>
      <c r="G28" s="409" t="str">
        <f>'ANALYSE - ERP =&gt; SOUS-SEGMENT'!$D$120</f>
        <v>Locaux associatifs recevant du public (dotés de sanitaires)</v>
      </c>
      <c r="I28" s="427">
        <f t="shared" si="2"/>
        <v>196.87429840909093</v>
      </c>
      <c r="K28" s="787">
        <f t="shared" si="0"/>
        <v>0.79192611564319648</v>
      </c>
      <c r="L28" s="787">
        <f t="shared" si="1"/>
        <v>0.20807388435680346</v>
      </c>
      <c r="N28" s="424">
        <f>'ANALYSE - ERP =&gt; SOUS-SEGMENT'!$FG$120</f>
        <v>984.3714920454546</v>
      </c>
      <c r="O28" s="427">
        <f>'ANALYSE - ERP =&gt; SOUS-SEGMENT'!$HC$120</f>
        <v>120.05483727272728</v>
      </c>
      <c r="P28" s="427">
        <f>'ANALYSE - ERP =&gt; SOUS-SEGMENT'!$HF$120</f>
        <v>431.55450000000002</v>
      </c>
      <c r="Q28" s="427">
        <f>'ANALYSE - ERP =&gt; SOUS-SEGMENT'!$HI$120</f>
        <v>196.85376000000002</v>
      </c>
      <c r="R28" s="427">
        <f>'ANALYSE - ERP =&gt; SOUS-SEGMENT'!$HL$120</f>
        <v>235.90839477272726</v>
      </c>
      <c r="T28" s="424">
        <f>'ANALYSE - ERP =&gt; SOUS-SEGMENT'!$FH$120</f>
        <v>779.5494920454546</v>
      </c>
      <c r="U28" s="427">
        <f>'ANALYSE - ERP =&gt; SOUS-SEGMENT'!$HD$120</f>
        <v>99.572637272727277</v>
      </c>
      <c r="V28" s="427">
        <f>'ANALYSE - ERP =&gt; SOUS-SEGMENT'!$HG$120</f>
        <v>329.14350000000002</v>
      </c>
      <c r="W28" s="427">
        <f>'ANALYSE - ERP =&gt; SOUS-SEGMENT'!$HJ$120</f>
        <v>159.98580000000001</v>
      </c>
      <c r="X28" s="427">
        <f>'ANALYSE - ERP =&gt; SOUS-SEGMENT'!$HM$120</f>
        <v>190.84755477272728</v>
      </c>
      <c r="Z28" s="427">
        <f>'ANALYSE - ERP =&gt; SOUS-SEGMENT'!$FI$120</f>
        <v>204.822</v>
      </c>
      <c r="AA28" s="427">
        <f>'ANALYSE - ERP =&gt; SOUS-SEGMENT'!$HE$120</f>
        <v>20.482200000000002</v>
      </c>
      <c r="AB28" s="427">
        <f>'ANALYSE - ERP =&gt; SOUS-SEGMENT'!$HH$120</f>
        <v>102.411</v>
      </c>
      <c r="AC28" s="427">
        <f>'ANALYSE - ERP =&gt; SOUS-SEGMENT'!$HK$120</f>
        <v>36.867959999999997</v>
      </c>
      <c r="AD28" s="427">
        <f>'ANALYSE - ERP =&gt; SOUS-SEGMENT'!$HN$120</f>
        <v>45.060839999999999</v>
      </c>
      <c r="AF28" s="430">
        <f>'ANALYSE - ERP =&gt; SOUS-SEGMENT'!$Q$120</f>
        <v>1</v>
      </c>
    </row>
    <row r="29" spans="1:32" ht="15" customHeight="1">
      <c r="A29" s="26">
        <v>26</v>
      </c>
      <c r="B29" s="26">
        <v>27</v>
      </c>
      <c r="C29" s="26">
        <v>26</v>
      </c>
      <c r="D29" s="422">
        <f>'ANALYSE - ERP =&gt; SOUS-SEGMENT'!$A$73</f>
        <v>66</v>
      </c>
      <c r="E29" s="414" t="str">
        <f>'ANALYSE - ERP =&gt; SOUS-SEGMENT'!$B$73</f>
        <v>Culture, Patrimoine &amp; Evénementiel</v>
      </c>
      <c r="F29" s="414" t="str">
        <f>'ANALYSE - ERP =&gt; SOUS-SEGMENT'!$C$73</f>
        <v>Événementiel temporaire</v>
      </c>
      <c r="G29" s="414" t="str">
        <f>'ANALYSE - ERP =&gt; SOUS-SEGMENT'!$D$73</f>
        <v>Structures gonflables</v>
      </c>
      <c r="I29" s="427">
        <f t="shared" si="2"/>
        <v>26.431935209090909</v>
      </c>
      <c r="K29" s="787">
        <f t="shared" si="0"/>
        <v>0.76908236374986461</v>
      </c>
      <c r="L29" s="787">
        <f t="shared" si="1"/>
        <v>0.23091763625013534</v>
      </c>
      <c r="N29" s="424">
        <f>'ANALYSE - ERP =&gt; SOUS-SEGMENT'!$FG$73</f>
        <v>132.15967604545455</v>
      </c>
      <c r="O29" s="427">
        <f>'ANALYSE - ERP =&gt; SOUS-SEGMENT'!$HC$73</f>
        <v>23.264047999999999</v>
      </c>
      <c r="P29" s="427">
        <f>'ANALYSE - ERP =&gt; SOUS-SEGMENT'!$HF$73</f>
        <v>64.143134545454544</v>
      </c>
      <c r="Q29" s="427">
        <f>'ANALYSE - ERP =&gt; SOUS-SEGMENT'!$HI$73</f>
        <v>10.1444455</v>
      </c>
      <c r="R29" s="427">
        <f>'ANALYSE - ERP =&gt; SOUS-SEGMENT'!$HL$73</f>
        <v>34.608047999999997</v>
      </c>
      <c r="T29" s="424">
        <f>'ANALYSE - ERP =&gt; SOUS-SEGMENT'!$FH$73</f>
        <v>101.64167604545455</v>
      </c>
      <c r="U29" s="427">
        <f>'ANALYSE - ERP =&gt; SOUS-SEGMENT'!$HD$73</f>
        <v>18.381167999999999</v>
      </c>
      <c r="V29" s="427">
        <f>'ANALYSE - ERP =&gt; SOUS-SEGMENT'!$HG$73</f>
        <v>48.27377454545455</v>
      </c>
      <c r="W29" s="427">
        <f>'ANALYSE - ERP =&gt; SOUS-SEGMENT'!$HJ$73</f>
        <v>7.7030054999999997</v>
      </c>
      <c r="X29" s="427">
        <f>'ANALYSE - ERP =&gt; SOUS-SEGMENT'!$HM$73</f>
        <v>27.283727999999996</v>
      </c>
      <c r="Z29" s="427">
        <f>'ANALYSE - ERP =&gt; SOUS-SEGMENT'!$FI$73</f>
        <v>30.517999999999997</v>
      </c>
      <c r="AA29" s="427">
        <f>'ANALYSE - ERP =&gt; SOUS-SEGMENT'!$HE$73</f>
        <v>4.8828799999999992</v>
      </c>
      <c r="AB29" s="427">
        <f>'ANALYSE - ERP =&gt; SOUS-SEGMENT'!$HH$73</f>
        <v>15.869359999999999</v>
      </c>
      <c r="AC29" s="427">
        <f>'ANALYSE - ERP =&gt; SOUS-SEGMENT'!$HK$73</f>
        <v>2.4414399999999996</v>
      </c>
      <c r="AD29" s="427">
        <f>'ANALYSE - ERP =&gt; SOUS-SEGMENT'!$HN$73</f>
        <v>7.3243199999999993</v>
      </c>
      <c r="AF29" s="430">
        <f>'ANALYSE - ERP =&gt; SOUS-SEGMENT'!$Q$73</f>
        <v>1</v>
      </c>
    </row>
    <row r="30" spans="1:32" ht="15" customHeight="1">
      <c r="A30" s="26">
        <v>27</v>
      </c>
      <c r="B30" s="26">
        <v>28</v>
      </c>
      <c r="C30" s="26">
        <v>28</v>
      </c>
      <c r="D30" s="422">
        <f>'ANALYSE - ERP =&gt; SOUS-SEGMENT'!$A$28</f>
        <v>21</v>
      </c>
      <c r="E30" s="411" t="str">
        <f>'ANALYSE - ERP =&gt; SOUS-SEGMENT'!$B$28</f>
        <v>Sports &amp; Loisirs</v>
      </c>
      <c r="F30" s="411" t="str">
        <f>'ANALYSE - ERP =&gt; SOUS-SEGMENT'!$C$28</f>
        <v>Sport de plein air</v>
      </c>
      <c r="G30" s="411" t="str">
        <f>'ANALYSE - ERP =&gt; SOUS-SEGMENT'!$D$28</f>
        <v>Stades avec tribunes
(Hors grands stades, hors terrains sport)</v>
      </c>
      <c r="I30" s="427">
        <f t="shared" si="2"/>
        <v>665.77986613333337</v>
      </c>
      <c r="K30" s="787">
        <f t="shared" si="0"/>
        <v>0.80296532431677836</v>
      </c>
      <c r="L30" s="787">
        <f t="shared" si="1"/>
        <v>0.19703467568322153</v>
      </c>
      <c r="N30" s="424">
        <f>'ANALYSE - ERP =&gt; SOUS-SEGMENT'!$FG$28</f>
        <v>3328.8993306666671</v>
      </c>
      <c r="O30" s="427">
        <f>'ANALYSE - ERP =&gt; SOUS-SEGMENT'!$HC$28</f>
        <v>113.48799</v>
      </c>
      <c r="P30" s="427">
        <f>'ANALYSE - ERP =&gt; SOUS-SEGMENT'!$HF$28</f>
        <v>1672.8954300000003</v>
      </c>
      <c r="Q30" s="427">
        <f>'ANALYSE - ERP =&gt; SOUS-SEGMENT'!$HI$28</f>
        <v>213.19663199999999</v>
      </c>
      <c r="R30" s="427">
        <f>'ANALYSE - ERP =&gt; SOUS-SEGMENT'!$HL$28</f>
        <v>1329.3192786666666</v>
      </c>
      <c r="T30" s="424">
        <f>'ANALYSE - ERP =&gt; SOUS-SEGMENT'!$FH$28</f>
        <v>2672.9907306666669</v>
      </c>
      <c r="U30" s="427">
        <f>'ANALYSE - ERP =&gt; SOUS-SEGMENT'!$HD$28</f>
        <v>100.369818</v>
      </c>
      <c r="V30" s="427">
        <f>'ANALYSE - ERP =&gt; SOUS-SEGMENT'!$HG$28</f>
        <v>1312.1457000000003</v>
      </c>
      <c r="W30" s="427">
        <f>'ANALYSE - ERP =&gt; SOUS-SEGMENT'!$HJ$28</f>
        <v>167.28303</v>
      </c>
      <c r="X30" s="427">
        <f>'ANALYSE - ERP =&gt; SOUS-SEGMENT'!$HM$28</f>
        <v>1093.1921826666667</v>
      </c>
      <c r="Z30" s="427">
        <f>'ANALYSE - ERP =&gt; SOUS-SEGMENT'!$FI$28</f>
        <v>655.90859999999998</v>
      </c>
      <c r="AA30" s="427">
        <f>'ANALYSE - ERP =&gt; SOUS-SEGMENT'!$HE$28</f>
        <v>13.118171999999999</v>
      </c>
      <c r="AB30" s="427">
        <f>'ANALYSE - ERP =&gt; SOUS-SEGMENT'!$HH$28</f>
        <v>360.74973</v>
      </c>
      <c r="AC30" s="427">
        <f>'ANALYSE - ERP =&gt; SOUS-SEGMENT'!$HK$28</f>
        <v>45.913602000000004</v>
      </c>
      <c r="AD30" s="427">
        <f>'ANALYSE - ERP =&gt; SOUS-SEGMENT'!$HN$28</f>
        <v>236.12709599999999</v>
      </c>
      <c r="AF30" s="430">
        <f>'ANALYSE - ERP =&gt; SOUS-SEGMENT'!$Q$28</f>
        <v>1</v>
      </c>
    </row>
    <row r="31" spans="1:32" ht="15" customHeight="1">
      <c r="A31" s="26">
        <v>28</v>
      </c>
      <c r="B31" s="26">
        <v>26</v>
      </c>
      <c r="C31" s="26">
        <v>31</v>
      </c>
      <c r="D31" s="422">
        <f>'ANALYSE - ERP =&gt; SOUS-SEGMENT'!$A$58</f>
        <v>51</v>
      </c>
      <c r="E31" s="409" t="str">
        <f>'ANALYSE - ERP =&gt; SOUS-SEGMENT'!$B$58</f>
        <v>Santé &amp; Médico-social</v>
      </c>
      <c r="F31" s="409" t="str">
        <f>'ANALYSE - ERP =&gt; SOUS-SEGMENT'!$C$58</f>
        <v>Médico-social</v>
      </c>
      <c r="G31" s="409" t="str">
        <f>'ANALYSE - ERP =&gt; SOUS-SEGMENT'!$D$58</f>
        <v>EHPAD</v>
      </c>
      <c r="I31" s="427">
        <f t="shared" si="2"/>
        <v>691.81977522828288</v>
      </c>
      <c r="K31" s="787">
        <f t="shared" si="0"/>
        <v>0.84903774980190772</v>
      </c>
      <c r="L31" s="787">
        <f t="shared" si="1"/>
        <v>0.15096225019809228</v>
      </c>
      <c r="N31" s="424">
        <f>'ANALYSE - ERP =&gt; SOUS-SEGMENT'!$FG$58</f>
        <v>3459.0988761414142</v>
      </c>
      <c r="O31" s="427">
        <f>'ANALYSE - ERP =&gt; SOUS-SEGMENT'!$HC$58</f>
        <v>778.8970277692307</v>
      </c>
      <c r="P31" s="427">
        <f>'ANALYSE - ERP =&gt; SOUS-SEGMENT'!$HF$58</f>
        <v>1271.3005252307692</v>
      </c>
      <c r="Q31" s="427">
        <f>'ANALYSE - ERP =&gt; SOUS-SEGMENT'!$HI$58</f>
        <v>867.72846427777768</v>
      </c>
      <c r="R31" s="427">
        <f>'ANALYSE - ERP =&gt; SOUS-SEGMENT'!$HL$58</f>
        <v>541.17285886363629</v>
      </c>
      <c r="T31" s="424">
        <f>'ANALYSE - ERP =&gt; SOUS-SEGMENT'!$FH$58</f>
        <v>2936.9055261414142</v>
      </c>
      <c r="U31" s="427">
        <f>'ANALYSE - ERP =&gt; SOUS-SEGMENT'!$HD$58</f>
        <v>664.01449076923075</v>
      </c>
      <c r="V31" s="427">
        <f>'ANALYSE - ERP =&gt; SOUS-SEGMENT'!$HG$58</f>
        <v>1062.4231852307691</v>
      </c>
      <c r="W31" s="427">
        <f>'ANALYSE - ERP =&gt; SOUS-SEGMENT'!$HJ$58</f>
        <v>747.62399377777763</v>
      </c>
      <c r="X31" s="427">
        <f>'ANALYSE - ERP =&gt; SOUS-SEGMENT'!$HM$58</f>
        <v>462.84385636363635</v>
      </c>
      <c r="Z31" s="427">
        <f>'ANALYSE - ERP =&gt; SOUS-SEGMENT'!$FI$58</f>
        <v>522.19335000000001</v>
      </c>
      <c r="AA31" s="427">
        <f>'ANALYSE - ERP =&gt; SOUS-SEGMENT'!$HE$58</f>
        <v>114.882537</v>
      </c>
      <c r="AB31" s="427">
        <f>'ANALYSE - ERP =&gt; SOUS-SEGMENT'!$HH$58</f>
        <v>208.87734</v>
      </c>
      <c r="AC31" s="427">
        <f>'ANALYSE - ERP =&gt; SOUS-SEGMENT'!$HK$58</f>
        <v>120.10447050000001</v>
      </c>
      <c r="AD31" s="427">
        <f>'ANALYSE - ERP =&gt; SOUS-SEGMENT'!$HN$58</f>
        <v>78.329002500000001</v>
      </c>
      <c r="AF31" s="430">
        <f>'ANALYSE - ERP =&gt; SOUS-SEGMENT'!$Q$58</f>
        <v>1</v>
      </c>
    </row>
    <row r="32" spans="1:32" ht="15" customHeight="1">
      <c r="A32" s="26">
        <v>29</v>
      </c>
      <c r="B32" s="26">
        <v>45</v>
      </c>
      <c r="C32" s="26">
        <v>15</v>
      </c>
      <c r="D32" s="422">
        <f>'ANALYSE - ERP =&gt; SOUS-SEGMENT'!$A$54</f>
        <v>47</v>
      </c>
      <c r="E32" s="412" t="str">
        <f>'ANALYSE - ERP =&gt; SOUS-SEGMENT'!$B$54</f>
        <v>Santé &amp; Médico-social</v>
      </c>
      <c r="F32" s="412" t="str">
        <f>'ANALYSE - ERP =&gt; SOUS-SEGMENT'!$C$54</f>
        <v>Santé ambulatoire</v>
      </c>
      <c r="G32" s="412" t="str">
        <f>'ANALYSE - ERP =&gt; SOUS-SEGMENT'!$D$54</f>
        <v>Maisons de santé</v>
      </c>
      <c r="I32" s="427">
        <f t="shared" si="2"/>
        <v>301.85056459272727</v>
      </c>
      <c r="K32" s="787">
        <f t="shared" si="0"/>
        <v>0.27589997953157319</v>
      </c>
      <c r="L32" s="787">
        <f t="shared" si="1"/>
        <v>0.7241000204684267</v>
      </c>
      <c r="N32" s="424">
        <f>'ANALYSE - ERP =&gt; SOUS-SEGMENT'!$FG$54</f>
        <v>1509.2528229636364</v>
      </c>
      <c r="O32" s="427">
        <f>'ANALYSE - ERP =&gt; SOUS-SEGMENT'!$HC$54</f>
        <v>271.95510436363634</v>
      </c>
      <c r="P32" s="427">
        <f>'ANALYSE - ERP =&gt; SOUS-SEGMENT'!$HF$54</f>
        <v>562.47517099999993</v>
      </c>
      <c r="Q32" s="427">
        <f>'ANALYSE - ERP =&gt; SOUS-SEGMENT'!$HI$54</f>
        <v>456.30234250000001</v>
      </c>
      <c r="R32" s="427">
        <f>'ANALYSE - ERP =&gt; SOUS-SEGMENT'!$HL$54</f>
        <v>218.5202051</v>
      </c>
      <c r="T32" s="424">
        <f>'ANALYSE - ERP =&gt; SOUS-SEGMENT'!$FH$54</f>
        <v>416.40282296363637</v>
      </c>
      <c r="U32" s="427">
        <f>'ANALYSE - ERP =&gt; SOUS-SEGMENT'!$HD$54</f>
        <v>75.242104363636372</v>
      </c>
      <c r="V32" s="427">
        <f>'ANALYSE - ERP =&gt; SOUS-SEGMENT'!$HG$54</f>
        <v>125.33517099999999</v>
      </c>
      <c r="W32" s="427">
        <f>'ANALYSE - ERP =&gt; SOUS-SEGMENT'!$HJ$54</f>
        <v>150.30434250000002</v>
      </c>
      <c r="X32" s="427">
        <f>'ANALYSE - ERP =&gt; SOUS-SEGMENT'!$HM$54</f>
        <v>65.521205100000003</v>
      </c>
      <c r="Z32" s="427">
        <f>'ANALYSE - ERP =&gt; SOUS-SEGMENT'!$FI$54</f>
        <v>1092.8499999999999</v>
      </c>
      <c r="AA32" s="427">
        <f>'ANALYSE - ERP =&gt; SOUS-SEGMENT'!$HE$54</f>
        <v>196.71299999999997</v>
      </c>
      <c r="AB32" s="427">
        <f>'ANALYSE - ERP =&gt; SOUS-SEGMENT'!$HH$54</f>
        <v>437.14</v>
      </c>
      <c r="AC32" s="427">
        <f>'ANALYSE - ERP =&gt; SOUS-SEGMENT'!$HK$54</f>
        <v>305.99799999999999</v>
      </c>
      <c r="AD32" s="427">
        <f>'ANALYSE - ERP =&gt; SOUS-SEGMENT'!$HN$54</f>
        <v>152.999</v>
      </c>
      <c r="AF32" s="430">
        <f>'ANALYSE - ERP =&gt; SOUS-SEGMENT'!$Q$54</f>
        <v>1</v>
      </c>
    </row>
    <row r="33" spans="1:32" ht="15" customHeight="1">
      <c r="A33" s="26">
        <v>30</v>
      </c>
      <c r="B33" s="26">
        <v>29</v>
      </c>
      <c r="C33" s="26">
        <v>27</v>
      </c>
      <c r="D33" s="422">
        <f>'ANALYSE - ERP =&gt; SOUS-SEGMENT'!$A$56</f>
        <v>49</v>
      </c>
      <c r="E33" s="411" t="str">
        <f>'ANALYSE - ERP =&gt; SOUS-SEGMENT'!$B$56</f>
        <v>Santé &amp; Médico-social</v>
      </c>
      <c r="F33" s="411" t="str">
        <f>'ANALYSE - ERP =&gt; SOUS-SEGMENT'!$C$56</f>
        <v>Médico-social</v>
      </c>
      <c r="G33" s="411" t="str">
        <f>'ANALYSE - ERP =&gt; SOUS-SEGMENT'!$D$56</f>
        <v>Foyers pour personnes handicapées</v>
      </c>
      <c r="I33" s="427">
        <f t="shared" si="2"/>
        <v>424.54645020202025</v>
      </c>
      <c r="K33" s="787">
        <f t="shared" si="0"/>
        <v>0.77541208987937904</v>
      </c>
      <c r="L33" s="787">
        <f t="shared" si="1"/>
        <v>0.22458791012062096</v>
      </c>
      <c r="N33" s="424">
        <f>'ANALYSE - ERP =&gt; SOUS-SEGMENT'!$FG$56</f>
        <v>2122.7322510101012</v>
      </c>
      <c r="O33" s="427">
        <f>'ANALYSE - ERP =&gt; SOUS-SEGMENT'!$HC$56</f>
        <v>469.69431730769236</v>
      </c>
      <c r="P33" s="427">
        <f>'ANALYSE - ERP =&gt; SOUS-SEGMENT'!$HF$56</f>
        <v>774.39442769230766</v>
      </c>
      <c r="Q33" s="427">
        <f>'ANALYSE - ERP =&gt; SOUS-SEGMENT'!$HI$56</f>
        <v>543.27663555555557</v>
      </c>
      <c r="R33" s="427">
        <f>'ANALYSE - ERP =&gt; SOUS-SEGMENT'!$HL$56</f>
        <v>335.36687045454551</v>
      </c>
      <c r="T33" s="424">
        <f>'ANALYSE - ERP =&gt; SOUS-SEGMENT'!$FH$56</f>
        <v>1645.9922510101012</v>
      </c>
      <c r="U33" s="427">
        <f>'ANALYSE - ERP =&gt; SOUS-SEGMENT'!$HD$56</f>
        <v>364.81151730769238</v>
      </c>
      <c r="V33" s="427">
        <f>'ANALYSE - ERP =&gt; SOUS-SEGMENT'!$HG$56</f>
        <v>583.69842769230763</v>
      </c>
      <c r="W33" s="427">
        <f>'ANALYSE - ERP =&gt; SOUS-SEGMENT'!$HJ$56</f>
        <v>433.62643555555559</v>
      </c>
      <c r="X33" s="427">
        <f>'ANALYSE - ERP =&gt; SOUS-SEGMENT'!$HM$56</f>
        <v>263.85587045454548</v>
      </c>
      <c r="Z33" s="427">
        <f>'ANALYSE - ERP =&gt; SOUS-SEGMENT'!$FI$56</f>
        <v>476.74</v>
      </c>
      <c r="AA33" s="427">
        <f>'ANALYSE - ERP =&gt; SOUS-SEGMENT'!$HE$56</f>
        <v>104.8828</v>
      </c>
      <c r="AB33" s="427">
        <f>'ANALYSE - ERP =&gt; SOUS-SEGMENT'!$HH$56</f>
        <v>190.69600000000003</v>
      </c>
      <c r="AC33" s="427">
        <f>'ANALYSE - ERP =&gt; SOUS-SEGMENT'!$HK$56</f>
        <v>109.65020000000001</v>
      </c>
      <c r="AD33" s="427">
        <f>'ANALYSE - ERP =&gt; SOUS-SEGMENT'!$HN$56</f>
        <v>71.510999999999996</v>
      </c>
      <c r="AF33" s="430">
        <f>'ANALYSE - ERP =&gt; SOUS-SEGMENT'!$Q$56</f>
        <v>1</v>
      </c>
    </row>
    <row r="34" spans="1:32" ht="15" customHeight="1">
      <c r="A34" s="26">
        <v>31</v>
      </c>
      <c r="B34" s="26">
        <v>32</v>
      </c>
      <c r="C34" s="26">
        <v>30</v>
      </c>
      <c r="D34" s="422">
        <f>'ANALYSE - ERP =&gt; SOUS-SEGMENT'!$A$65</f>
        <v>58</v>
      </c>
      <c r="E34" s="409" t="str">
        <f>'ANALYSE - ERP =&gt; SOUS-SEGMENT'!$B$65</f>
        <v>Culture, Patrimoine &amp; Evénementiel</v>
      </c>
      <c r="F34" s="409" t="str">
        <f>'ANALYSE - ERP =&gt; SOUS-SEGMENT'!$C$65</f>
        <v>Culture / spectacle</v>
      </c>
      <c r="G34" s="409" t="str">
        <f>'ANALYSE - ERP =&gt; SOUS-SEGMENT'!$D$65</f>
        <v>Salles de spectacle / Auditoriums</v>
      </c>
      <c r="I34" s="427">
        <f t="shared" si="2"/>
        <v>424.54747229836829</v>
      </c>
      <c r="K34" s="787">
        <f t="shared" si="0"/>
        <v>0.73998433814153175</v>
      </c>
      <c r="L34" s="787">
        <f t="shared" si="1"/>
        <v>0.26001566185846836</v>
      </c>
      <c r="N34" s="424">
        <f>'ANALYSE - ERP =&gt; SOUS-SEGMENT'!$FG$65</f>
        <v>2122.7373614918415</v>
      </c>
      <c r="O34" s="427">
        <f>'ANALYSE - ERP =&gt; SOUS-SEGMENT'!$HC$65</f>
        <v>165.56520843636366</v>
      </c>
      <c r="P34" s="427">
        <f>'ANALYSE - ERP =&gt; SOUS-SEGMENT'!$HF$65</f>
        <v>931.77425846153847</v>
      </c>
      <c r="Q34" s="427">
        <f>'ANALYSE - ERP =&gt; SOUS-SEGMENT'!$HI$65</f>
        <v>655.6336154666667</v>
      </c>
      <c r="R34" s="427">
        <f>'ANALYSE - ERP =&gt; SOUS-SEGMENT'!$HL$65</f>
        <v>369.7642791272728</v>
      </c>
      <c r="T34" s="424">
        <f>'ANALYSE - ERP =&gt; SOUS-SEGMENT'!$FH$65</f>
        <v>1570.7924014918417</v>
      </c>
      <c r="U34" s="427">
        <f>'ANALYSE - ERP =&gt; SOUS-SEGMENT'!$HD$65</f>
        <v>132.44851083636365</v>
      </c>
      <c r="V34" s="427">
        <f>'ANALYSE - ERP =&gt; SOUS-SEGMENT'!$HG$65</f>
        <v>655.80177846153845</v>
      </c>
      <c r="W34" s="427">
        <f>'ANALYSE - ERP =&gt; SOUS-SEGMENT'!$HJ$65</f>
        <v>501.08902666666665</v>
      </c>
      <c r="X34" s="427">
        <f>'ANALYSE - ERP =&gt; SOUS-SEGMENT'!$HM$65</f>
        <v>281.45308552727278</v>
      </c>
      <c r="Z34" s="427">
        <f>'ANALYSE - ERP =&gt; SOUS-SEGMENT'!$FI$65</f>
        <v>551.94496000000004</v>
      </c>
      <c r="AA34" s="427">
        <f>'ANALYSE - ERP =&gt; SOUS-SEGMENT'!$HE$65</f>
        <v>33.116697600000002</v>
      </c>
      <c r="AB34" s="427">
        <f>'ANALYSE - ERP =&gt; SOUS-SEGMENT'!$HH$65</f>
        <v>275.97248000000002</v>
      </c>
      <c r="AC34" s="427">
        <f>'ANALYSE - ERP =&gt; SOUS-SEGMENT'!$HK$65</f>
        <v>154.54458880000001</v>
      </c>
      <c r="AD34" s="427">
        <f>'ANALYSE - ERP =&gt; SOUS-SEGMENT'!$HN$65</f>
        <v>88.31119360000001</v>
      </c>
      <c r="AF34" s="430">
        <f>'ANALYSE - ERP =&gt; SOUS-SEGMENT'!$Q$65</f>
        <v>1</v>
      </c>
    </row>
    <row r="35" spans="1:32" ht="15" customHeight="1">
      <c r="A35" s="26">
        <v>32</v>
      </c>
      <c r="B35" s="26">
        <v>31</v>
      </c>
      <c r="C35" s="26">
        <v>40</v>
      </c>
      <c r="D35" s="422">
        <f>'ANALYSE - ERP =&gt; SOUS-SEGMENT'!$A$52</f>
        <v>45</v>
      </c>
      <c r="E35" s="414" t="str">
        <f>'ANALYSE - ERP =&gt; SOUS-SEGMENT'!$B$52</f>
        <v>Santé &amp; Médico-social</v>
      </c>
      <c r="F35" s="414" t="str">
        <f>'ANALYSE - ERP =&gt; SOUS-SEGMENT'!$C$52</f>
        <v>Médico-social</v>
      </c>
      <c r="G35" s="414" t="str">
        <f>'ANALYSE - ERP =&gt; SOUS-SEGMENT'!$D$52</f>
        <v>Établissements Médico-éducatifs</v>
      </c>
      <c r="I35" s="427">
        <f t="shared" si="2"/>
        <v>487.3513116545455</v>
      </c>
      <c r="K35" s="787">
        <f t="shared" ref="K35:K66" si="3">IFERROR(T35/N35,"")</f>
        <v>0.79091058634057632</v>
      </c>
      <c r="L35" s="787">
        <f t="shared" ref="L35:L66" si="4">IFERROR(Z35/N35,"")</f>
        <v>0.20908941365942374</v>
      </c>
      <c r="N35" s="424">
        <f>'ANALYSE - ERP =&gt; SOUS-SEGMENT'!$FG$52</f>
        <v>2436.7565582727275</v>
      </c>
      <c r="O35" s="427">
        <f>'ANALYSE - ERP =&gt; SOUS-SEGMENT'!$HC$52</f>
        <v>567.3246272727273</v>
      </c>
      <c r="P35" s="427">
        <f>'ANALYSE - ERP =&gt; SOUS-SEGMENT'!$HF$52</f>
        <v>862.97347200000013</v>
      </c>
      <c r="Q35" s="427">
        <f>'ANALYSE - ERP =&gt; SOUS-SEGMENT'!$HI$52</f>
        <v>628.0272030000001</v>
      </c>
      <c r="R35" s="427">
        <f>'ANALYSE - ERP =&gt; SOUS-SEGMENT'!$HL$52</f>
        <v>378.43125600000002</v>
      </c>
      <c r="T35" s="424">
        <f>'ANALYSE - ERP =&gt; SOUS-SEGMENT'!$FH$52</f>
        <v>1927.2565582727275</v>
      </c>
      <c r="U35" s="427">
        <f>'ANALYSE - ERP =&gt; SOUS-SEGMENT'!$HD$52</f>
        <v>455.23462727272727</v>
      </c>
      <c r="V35" s="427">
        <f>'ANALYSE - ERP =&gt; SOUS-SEGMENT'!$HG$52</f>
        <v>659.17347200000006</v>
      </c>
      <c r="W35" s="427">
        <f>'ANALYSE - ERP =&gt; SOUS-SEGMENT'!$HJ$52</f>
        <v>510.84220300000004</v>
      </c>
      <c r="X35" s="427">
        <f>'ANALYSE - ERP =&gt; SOUS-SEGMENT'!$HM$52</f>
        <v>302.00625600000001</v>
      </c>
      <c r="Z35" s="427">
        <f>'ANALYSE - ERP =&gt; SOUS-SEGMENT'!$FI$52</f>
        <v>509.5</v>
      </c>
      <c r="AA35" s="427">
        <f>'ANALYSE - ERP =&gt; SOUS-SEGMENT'!$HE$52</f>
        <v>112.09</v>
      </c>
      <c r="AB35" s="427">
        <f>'ANALYSE - ERP =&gt; SOUS-SEGMENT'!$HH$52</f>
        <v>203.8</v>
      </c>
      <c r="AC35" s="427">
        <f>'ANALYSE - ERP =&gt; SOUS-SEGMENT'!$HK$52</f>
        <v>117.185</v>
      </c>
      <c r="AD35" s="427">
        <f>'ANALYSE - ERP =&gt; SOUS-SEGMENT'!$HN$52</f>
        <v>76.424999999999997</v>
      </c>
      <c r="AF35" s="430">
        <f>'ANALYSE - ERP =&gt; SOUS-SEGMENT'!$Q$52</f>
        <v>1</v>
      </c>
    </row>
    <row r="36" spans="1:32" ht="15" customHeight="1">
      <c r="A36" s="26">
        <v>33</v>
      </c>
      <c r="B36" s="26">
        <v>30</v>
      </c>
      <c r="C36" s="26">
        <v>48</v>
      </c>
      <c r="D36" s="422">
        <f>'ANALYSE - ERP =&gt; SOUS-SEGMENT'!$A$42</f>
        <v>35</v>
      </c>
      <c r="E36" s="409" t="str">
        <f>'ANALYSE - ERP =&gt; SOUS-SEGMENT'!$B$42</f>
        <v>Sports &amp; Loisirs</v>
      </c>
      <c r="F36" s="409" t="str">
        <f>'ANALYSE - ERP =&gt; SOUS-SEGMENT'!$C$42</f>
        <v>Loisirs</v>
      </c>
      <c r="G36" s="409" t="str">
        <f>'ANALYSE - ERP =&gt; SOUS-SEGMENT'!$D$42</f>
        <v>Discothèques / Salles de danse</v>
      </c>
      <c r="I36" s="427">
        <f t="shared" ref="I36:I67" si="5">N36/5</f>
        <v>1182.6862008333335</v>
      </c>
      <c r="K36" s="787">
        <f t="shared" si="3"/>
        <v>0.89942894411367036</v>
      </c>
      <c r="L36" s="787">
        <f t="shared" si="4"/>
        <v>0.10057105588632959</v>
      </c>
      <c r="N36" s="424">
        <f>'ANALYSE - ERP =&gt; SOUS-SEGMENT'!$FG$42</f>
        <v>5913.4310041666677</v>
      </c>
      <c r="O36" s="427">
        <f>'ANALYSE - ERP =&gt; SOUS-SEGMENT'!$HC$42</f>
        <v>313.1826375</v>
      </c>
      <c r="P36" s="427">
        <f>'ANALYSE - ERP =&gt; SOUS-SEGMENT'!$HF$42</f>
        <v>3109.4657000000007</v>
      </c>
      <c r="Q36" s="427">
        <f>'ANALYSE - ERP =&gt; SOUS-SEGMENT'!$HI$42</f>
        <v>712.58420000000001</v>
      </c>
      <c r="R36" s="427">
        <f>'ANALYSE - ERP =&gt; SOUS-SEGMENT'!$HL$42</f>
        <v>1778.1984666666667</v>
      </c>
      <c r="T36" s="424">
        <f>'ANALYSE - ERP =&gt; SOUS-SEGMENT'!$FH$42</f>
        <v>5318.7110041666674</v>
      </c>
      <c r="U36" s="427">
        <f>'ANALYSE - ERP =&gt; SOUS-SEGMENT'!$HD$42</f>
        <v>289.39383750000002</v>
      </c>
      <c r="V36" s="427">
        <f>'ANALYSE - ERP =&gt; SOUS-SEGMENT'!$HG$42</f>
        <v>2782.3697000000006</v>
      </c>
      <c r="W36" s="427">
        <f>'ANALYSE - ERP =&gt; SOUS-SEGMENT'!$HJ$42</f>
        <v>641.21780000000001</v>
      </c>
      <c r="X36" s="427">
        <f>'ANALYSE - ERP =&gt; SOUS-SEGMENT'!$HM$42</f>
        <v>1605.7296666666668</v>
      </c>
      <c r="Z36" s="427">
        <f>'ANALYSE - ERP =&gt; SOUS-SEGMENT'!$FI$42</f>
        <v>594.72</v>
      </c>
      <c r="AA36" s="427">
        <f>'ANALYSE - ERP =&gt; SOUS-SEGMENT'!$HE$42</f>
        <v>23.788800000000002</v>
      </c>
      <c r="AB36" s="427">
        <f>'ANALYSE - ERP =&gt; SOUS-SEGMENT'!$HH$42</f>
        <v>327.09600000000006</v>
      </c>
      <c r="AC36" s="427">
        <f>'ANALYSE - ERP =&gt; SOUS-SEGMENT'!$HK$42</f>
        <v>71.366399999999999</v>
      </c>
      <c r="AD36" s="427">
        <f>'ANALYSE - ERP =&gt; SOUS-SEGMENT'!$HN$42</f>
        <v>172.46879999999999</v>
      </c>
      <c r="AF36" s="430">
        <f>'ANALYSE - ERP =&gt; SOUS-SEGMENT'!$Q$42</f>
        <v>1</v>
      </c>
    </row>
    <row r="37" spans="1:32" s="45" customFormat="1" ht="15" customHeight="1">
      <c r="A37" s="406">
        <v>34</v>
      </c>
      <c r="B37" s="406">
        <v>33</v>
      </c>
      <c r="C37" s="406">
        <v>42</v>
      </c>
      <c r="D37" s="448">
        <f>'ANALYSE - ERP =&gt; SOUS-SEGMENT'!$A$62</f>
        <v>55</v>
      </c>
      <c r="E37" s="449" t="str">
        <f>'ANALYSE - ERP =&gt; SOUS-SEGMENT'!$B$62</f>
        <v>Culture, Patrimoine &amp; Evénementiel</v>
      </c>
      <c r="F37" s="449" t="str">
        <f>'ANALYSE - ERP =&gt; SOUS-SEGMENT'!$C$62</f>
        <v>Culture / spectacle</v>
      </c>
      <c r="G37" s="449" t="str">
        <f>'ANALYSE - ERP =&gt; SOUS-SEGMENT'!$D$62</f>
        <v>Cinémas</v>
      </c>
      <c r="H37" s="685"/>
      <c r="I37" s="407">
        <f t="shared" si="5"/>
        <v>349.53984732121211</v>
      </c>
      <c r="J37" s="685"/>
      <c r="K37" s="788">
        <f t="shared" si="3"/>
        <v>0.83447540976113233</v>
      </c>
      <c r="L37" s="788">
        <f t="shared" si="4"/>
        <v>0.16552459023886765</v>
      </c>
      <c r="M37" s="685"/>
      <c r="N37" s="425">
        <f>'ANALYSE - ERP =&gt; SOUS-SEGMENT'!$FG$62</f>
        <v>1747.6992366060606</v>
      </c>
      <c r="O37" s="407">
        <f>'ANALYSE - ERP =&gt; SOUS-SEGMENT'!$HC$62</f>
        <v>176.6581810909091</v>
      </c>
      <c r="P37" s="407">
        <f>'ANALYSE - ERP =&gt; SOUS-SEGMENT'!$HF$62</f>
        <v>875.08762000000002</v>
      </c>
      <c r="Q37" s="407">
        <f>'ANALYSE - ERP =&gt; SOUS-SEGMENT'!$HI$62</f>
        <v>333.95845733333334</v>
      </c>
      <c r="R37" s="407">
        <f>'ANALYSE - ERP =&gt; SOUS-SEGMENT'!$HL$62</f>
        <v>361.99497818181817</v>
      </c>
      <c r="S37" s="685"/>
      <c r="T37" s="425">
        <f>'ANALYSE - ERP =&gt; SOUS-SEGMENT'!$FH$62</f>
        <v>1458.4120366060606</v>
      </c>
      <c r="U37" s="407">
        <f>'ANALYSE - ERP =&gt; SOUS-SEGMENT'!$HD$62</f>
        <v>153.51520509090909</v>
      </c>
      <c r="V37" s="407">
        <f>'ANALYSE - ERP =&gt; SOUS-SEGMENT'!$HG$62</f>
        <v>715.97965999999997</v>
      </c>
      <c r="W37" s="407">
        <f>'ANALYSE - ERP =&gt; SOUS-SEGMENT'!$HJ$62</f>
        <v>281.88676133333337</v>
      </c>
      <c r="X37" s="407">
        <f>'ANALYSE - ERP =&gt; SOUS-SEGMENT'!$HM$62</f>
        <v>307.03041018181818</v>
      </c>
      <c r="Y37" s="685"/>
      <c r="Z37" s="407">
        <f>'ANALYSE - ERP =&gt; SOUS-SEGMENT'!$FI$62</f>
        <v>289.28719999999998</v>
      </c>
      <c r="AA37" s="407">
        <f>'ANALYSE - ERP =&gt; SOUS-SEGMENT'!$HE$62</f>
        <v>23.142976000000001</v>
      </c>
      <c r="AB37" s="407">
        <f>'ANALYSE - ERP =&gt; SOUS-SEGMENT'!$HH$62</f>
        <v>159.10795999999999</v>
      </c>
      <c r="AC37" s="407">
        <f>'ANALYSE - ERP =&gt; SOUS-SEGMENT'!$HK$62</f>
        <v>52.071695999999996</v>
      </c>
      <c r="AD37" s="407">
        <f>'ANALYSE - ERP =&gt; SOUS-SEGMENT'!$HN$62</f>
        <v>54.964568</v>
      </c>
      <c r="AE37" s="685"/>
      <c r="AF37" s="450">
        <f>'ANALYSE - ERP =&gt; SOUS-SEGMENT'!$Q$62</f>
        <v>1</v>
      </c>
    </row>
    <row r="38" spans="1:32" s="45" customFormat="1" ht="15" customHeight="1">
      <c r="A38" s="406">
        <v>35</v>
      </c>
      <c r="B38" s="406">
        <v>34</v>
      </c>
      <c r="C38" s="406">
        <v>49</v>
      </c>
      <c r="D38" s="448">
        <f>'ANALYSE - ERP =&gt; SOUS-SEGMENT'!$A$122</f>
        <v>115</v>
      </c>
      <c r="E38" s="449" t="str">
        <f>'ANALYSE - ERP =&gt; SOUS-SEGMENT'!$B$122</f>
        <v>Transport, Mobilité &amp; Stationnement</v>
      </c>
      <c r="F38" s="449" t="str">
        <f>'ANALYSE - ERP =&gt; SOUS-SEGMENT'!$C$122</f>
        <v>Transport / Mobilité</v>
      </c>
      <c r="G38" s="449" t="str">
        <f>'ANALYSE - ERP =&gt; SOUS-SEGMENT'!$D$122</f>
        <v>Aires de repos - Autoroutes
(Hors Aires de service)</v>
      </c>
      <c r="H38" s="685"/>
      <c r="I38" s="407">
        <f t="shared" si="5"/>
        <v>266.67808174000004</v>
      </c>
      <c r="J38" s="685"/>
      <c r="K38" s="788">
        <f t="shared" si="3"/>
        <v>0.87046266504316716</v>
      </c>
      <c r="L38" s="788">
        <f t="shared" si="4"/>
        <v>0.12953733495683273</v>
      </c>
      <c r="M38" s="685"/>
      <c r="N38" s="425">
        <f>'ANALYSE - ERP =&gt; SOUS-SEGMENT'!$FG$122</f>
        <v>1333.3904087000001</v>
      </c>
      <c r="O38" s="407">
        <f>'ANALYSE - ERP =&gt; SOUS-SEGMENT'!$HC$122</f>
        <v>202.92902130000004</v>
      </c>
      <c r="P38" s="407">
        <f>'ANALYSE - ERP =&gt; SOUS-SEGMENT'!$HF$122</f>
        <v>724.14273600000001</v>
      </c>
      <c r="Q38" s="407">
        <f>'ANALYSE - ERP =&gt; SOUS-SEGMENT'!$HI$122</f>
        <v>162.21101380000002</v>
      </c>
      <c r="R38" s="407">
        <f>'ANALYSE - ERP =&gt; SOUS-SEGMENT'!$HL$122</f>
        <v>244.1076376</v>
      </c>
      <c r="S38" s="685"/>
      <c r="T38" s="425">
        <f>'ANALYSE - ERP =&gt; SOUS-SEGMENT'!$FH$122</f>
        <v>1160.6665687</v>
      </c>
      <c r="U38" s="407">
        <f>'ANALYSE - ERP =&gt; SOUS-SEGMENT'!$HD$122</f>
        <v>183.92939890000005</v>
      </c>
      <c r="V38" s="407">
        <f>'ANALYSE - ERP =&gt; SOUS-SEGMENT'!$HG$122</f>
        <v>620.50843199999997</v>
      </c>
      <c r="W38" s="407">
        <f>'ANALYSE - ERP =&gt; SOUS-SEGMENT'!$HJ$122</f>
        <v>141.48415300000002</v>
      </c>
      <c r="X38" s="407">
        <f>'ANALYSE - ERP =&gt; SOUS-SEGMENT'!$HM$122</f>
        <v>214.74458480000001</v>
      </c>
      <c r="Y38" s="685"/>
      <c r="Z38" s="407">
        <f>'ANALYSE - ERP =&gt; SOUS-SEGMENT'!$FI$122</f>
        <v>172.72384</v>
      </c>
      <c r="AA38" s="407">
        <f>'ANALYSE - ERP =&gt; SOUS-SEGMENT'!$HE$122</f>
        <v>18.9996224</v>
      </c>
      <c r="AB38" s="407">
        <f>'ANALYSE - ERP =&gt; SOUS-SEGMENT'!$HH$122</f>
        <v>103.634304</v>
      </c>
      <c r="AC38" s="407">
        <f>'ANALYSE - ERP =&gt; SOUS-SEGMENT'!$HK$122</f>
        <v>20.726860799999997</v>
      </c>
      <c r="AD38" s="407">
        <f>'ANALYSE - ERP =&gt; SOUS-SEGMENT'!$HN$122</f>
        <v>29.363052800000002</v>
      </c>
      <c r="AE38" s="685"/>
      <c r="AF38" s="450">
        <f>'ANALYSE - ERP =&gt; SOUS-SEGMENT'!$Q$122</f>
        <v>1</v>
      </c>
    </row>
    <row r="39" spans="1:32" ht="15" customHeight="1">
      <c r="A39" s="26">
        <v>36</v>
      </c>
      <c r="B39" s="26">
        <v>36</v>
      </c>
      <c r="C39" s="26">
        <v>36</v>
      </c>
      <c r="D39" s="422">
        <f>'ANALYSE - ERP =&gt; SOUS-SEGMENT'!$A$63</f>
        <v>56</v>
      </c>
      <c r="E39" s="415" t="str">
        <f>'ANALYSE - ERP =&gt; SOUS-SEGMENT'!$B$63</f>
        <v>Culture, Patrimoine &amp; Evénementiel</v>
      </c>
      <c r="F39" s="415" t="str">
        <f>'ANALYSE - ERP =&gt; SOUS-SEGMENT'!$C$63</f>
        <v>Culture / spectacle</v>
      </c>
      <c r="G39" s="415" t="str">
        <f>'ANALYSE - ERP =&gt; SOUS-SEGMENT'!$D$63</f>
        <v>Théâtres</v>
      </c>
      <c r="I39" s="427">
        <f t="shared" si="5"/>
        <v>331.26937316923068</v>
      </c>
      <c r="K39" s="787">
        <f t="shared" si="3"/>
        <v>0.78888479991093896</v>
      </c>
      <c r="L39" s="787">
        <f t="shared" si="4"/>
        <v>0.21111520008906112</v>
      </c>
      <c r="N39" s="424">
        <f>'ANALYSE - ERP =&gt; SOUS-SEGMENT'!$FG$63</f>
        <v>1656.3468658461534</v>
      </c>
      <c r="O39" s="427">
        <f>'ANALYSE - ERP =&gt; SOUS-SEGMENT'!$HC$63</f>
        <v>167.27328</v>
      </c>
      <c r="P39" s="427">
        <f>'ANALYSE - ERP =&gt; SOUS-SEGMENT'!$HF$63</f>
        <v>826.70793784615375</v>
      </c>
      <c r="Q39" s="427">
        <f>'ANALYSE - ERP =&gt; SOUS-SEGMENT'!$HI$63</f>
        <v>317.328688</v>
      </c>
      <c r="R39" s="427">
        <f>'ANALYSE - ERP =&gt; SOUS-SEGMENT'!$HL$63</f>
        <v>345.03695999999997</v>
      </c>
      <c r="T39" s="424">
        <f>'ANALYSE - ERP =&gt; SOUS-SEGMENT'!$FH$63</f>
        <v>1306.6668658461535</v>
      </c>
      <c r="U39" s="427">
        <f>'ANALYSE - ERP =&gt; SOUS-SEGMENT'!$HD$63</f>
        <v>139.29888</v>
      </c>
      <c r="V39" s="427">
        <f>'ANALYSE - ERP =&gt; SOUS-SEGMENT'!$HG$63</f>
        <v>634.3839378461538</v>
      </c>
      <c r="W39" s="427">
        <f>'ANALYSE - ERP =&gt; SOUS-SEGMENT'!$HJ$63</f>
        <v>254.38628800000001</v>
      </c>
      <c r="X39" s="427">
        <f>'ANALYSE - ERP =&gt; SOUS-SEGMENT'!$HM$63</f>
        <v>278.59775999999999</v>
      </c>
      <c r="Z39" s="427">
        <f>'ANALYSE - ERP =&gt; SOUS-SEGMENT'!$FI$63</f>
        <v>349.67999999999995</v>
      </c>
      <c r="AA39" s="427">
        <f>'ANALYSE - ERP =&gt; SOUS-SEGMENT'!$HE$63</f>
        <v>27.974399999999996</v>
      </c>
      <c r="AB39" s="427">
        <f>'ANALYSE - ERP =&gt; SOUS-SEGMENT'!$HH$63</f>
        <v>192.32399999999998</v>
      </c>
      <c r="AC39" s="427">
        <f>'ANALYSE - ERP =&gt; SOUS-SEGMENT'!$HK$63</f>
        <v>62.942399999999992</v>
      </c>
      <c r="AD39" s="427">
        <f>'ANALYSE - ERP =&gt; SOUS-SEGMENT'!$HN$63</f>
        <v>66.439199999999985</v>
      </c>
      <c r="AF39" s="430">
        <f>'ANALYSE - ERP =&gt; SOUS-SEGMENT'!$Q$63</f>
        <v>1</v>
      </c>
    </row>
    <row r="40" spans="1:32" ht="15" customHeight="1">
      <c r="A40" s="26">
        <v>37</v>
      </c>
      <c r="B40" s="26">
        <v>35</v>
      </c>
      <c r="C40" s="26">
        <v>39</v>
      </c>
      <c r="D40" s="422">
        <f>'ANALYSE - ERP =&gt; SOUS-SEGMENT'!$A$116</f>
        <v>109</v>
      </c>
      <c r="E40" s="414" t="str">
        <f>'ANALYSE - ERP =&gt; SOUS-SEGMENT'!$B$116</f>
        <v>Culte, Vie civique &amp; Services publics</v>
      </c>
      <c r="F40" s="414" t="str">
        <f>'ANALYSE - ERP =&gt; SOUS-SEGMENT'!$C$116</f>
        <v>Culte</v>
      </c>
      <c r="G40" s="414" t="str">
        <f>'ANALYSE - ERP =&gt; SOUS-SEGMENT'!$D$116</f>
        <v>Mosquées et salles de prière musulmanes</v>
      </c>
      <c r="I40" s="427">
        <f t="shared" si="5"/>
        <v>367.47601904761899</v>
      </c>
      <c r="K40" s="787">
        <f t="shared" si="3"/>
        <v>0.80352894812805664</v>
      </c>
      <c r="L40" s="787">
        <f t="shared" si="4"/>
        <v>0.19647105187194333</v>
      </c>
      <c r="N40" s="424">
        <f>'ANALYSE - ERP =&gt; SOUS-SEGMENT'!$FG$116</f>
        <v>1837.380095238095</v>
      </c>
      <c r="O40" s="427">
        <f>'ANALYSE - ERP =&gt; SOUS-SEGMENT'!$HC$116</f>
        <v>101.38967999999998</v>
      </c>
      <c r="P40" s="427">
        <f>'ANALYSE - ERP =&gt; SOUS-SEGMENT'!$HF$116</f>
        <v>931.14559999999994</v>
      </c>
      <c r="Q40" s="427">
        <f>'ANALYSE - ERP =&gt; SOUS-SEGMENT'!$HI$116</f>
        <v>246.29046857142853</v>
      </c>
      <c r="R40" s="427">
        <f>'ANALYSE - ERP =&gt; SOUS-SEGMENT'!$HL$116</f>
        <v>558.55434666666667</v>
      </c>
      <c r="T40" s="424">
        <f>'ANALYSE - ERP =&gt; SOUS-SEGMENT'!$FH$116</f>
        <v>1476.388095238095</v>
      </c>
      <c r="U40" s="427">
        <f>'ANALYSE - ERP =&gt; SOUS-SEGMENT'!$HD$116</f>
        <v>86.949999999999989</v>
      </c>
      <c r="V40" s="427">
        <f>'ANALYSE - ERP =&gt; SOUS-SEGMENT'!$HG$116</f>
        <v>732.59999999999991</v>
      </c>
      <c r="W40" s="427">
        <f>'ANALYSE - ERP =&gt; SOUS-SEGMENT'!$HJ$116</f>
        <v>202.97142857142853</v>
      </c>
      <c r="X40" s="427">
        <f>'ANALYSE - ERP =&gt; SOUS-SEGMENT'!$HM$116</f>
        <v>453.86666666666667</v>
      </c>
      <c r="Z40" s="427">
        <f>'ANALYSE - ERP =&gt; SOUS-SEGMENT'!$FI$116</f>
        <v>360.99199999999996</v>
      </c>
      <c r="AA40" s="427">
        <f>'ANALYSE - ERP =&gt; SOUS-SEGMENT'!$HE$116</f>
        <v>14.439679999999999</v>
      </c>
      <c r="AB40" s="427">
        <f>'ANALYSE - ERP =&gt; SOUS-SEGMENT'!$HH$116</f>
        <v>198.54560000000001</v>
      </c>
      <c r="AC40" s="427">
        <f>'ANALYSE - ERP =&gt; SOUS-SEGMENT'!$HK$116</f>
        <v>43.319039999999994</v>
      </c>
      <c r="AD40" s="427">
        <f>'ANALYSE - ERP =&gt; SOUS-SEGMENT'!$HN$116</f>
        <v>104.68767999999999</v>
      </c>
      <c r="AF40" s="430">
        <f>'ANALYSE - ERP =&gt; SOUS-SEGMENT'!$Q$116</f>
        <v>1</v>
      </c>
    </row>
    <row r="41" spans="1:32" ht="15" customHeight="1">
      <c r="A41" s="26">
        <v>38</v>
      </c>
      <c r="B41" s="26">
        <v>39</v>
      </c>
      <c r="C41" s="26">
        <v>33</v>
      </c>
      <c r="D41" s="422">
        <f>'ANALYSE - ERP =&gt; SOUS-SEGMENT'!$A$53</f>
        <v>46</v>
      </c>
      <c r="E41" s="417" t="str">
        <f>'ANALYSE - ERP =&gt; SOUS-SEGMENT'!$B$53</f>
        <v>Santé &amp; Médico-social</v>
      </c>
      <c r="F41" s="417" t="str">
        <f>'ANALYSE - ERP =&gt; SOUS-SEGMENT'!$C$53</f>
        <v>Santé ambulatoire</v>
      </c>
      <c r="G41" s="417" t="str">
        <f>'ANALYSE - ERP =&gt; SOUS-SEGMENT'!$D$53</f>
        <v>Centres de santé / Centres médicaux</v>
      </c>
      <c r="I41" s="427">
        <f t="shared" si="5"/>
        <v>308.67886729818184</v>
      </c>
      <c r="K41" s="787">
        <f t="shared" si="3"/>
        <v>0.67648464932478314</v>
      </c>
      <c r="L41" s="787">
        <f t="shared" si="4"/>
        <v>0.32351535067521675</v>
      </c>
      <c r="N41" s="424">
        <f>'ANALYSE - ERP =&gt; SOUS-SEGMENT'!$FG$53</f>
        <v>1543.3943364909092</v>
      </c>
      <c r="O41" s="427">
        <f>'ANALYSE - ERP =&gt; SOUS-SEGMENT'!$HC$53</f>
        <v>282.01490389090907</v>
      </c>
      <c r="P41" s="427">
        <f>'ANALYSE - ERP =&gt; SOUS-SEGMENT'!$HF$53</f>
        <v>534.56896900000004</v>
      </c>
      <c r="Q41" s="427">
        <f>'ANALYSE - ERP =&gt; SOUS-SEGMENT'!$HI$53</f>
        <v>494.15181904999997</v>
      </c>
      <c r="R41" s="427">
        <f>'ANALYSE - ERP =&gt; SOUS-SEGMENT'!$HL$53</f>
        <v>232.65864455000002</v>
      </c>
      <c r="T41" s="424">
        <f>'ANALYSE - ERP =&gt; SOUS-SEGMENT'!$FH$53</f>
        <v>1044.0825764909091</v>
      </c>
      <c r="U41" s="427">
        <f>'ANALYSE - ERP =&gt; SOUS-SEGMENT'!$HD$53</f>
        <v>192.13878709090909</v>
      </c>
      <c r="V41" s="427">
        <f>'ANALYSE - ERP =&gt; SOUS-SEGMENT'!$HG$53</f>
        <v>334.84426500000006</v>
      </c>
      <c r="W41" s="427">
        <f>'ANALYSE - ERP =&gt; SOUS-SEGMENT'!$HJ$53</f>
        <v>354.34452625</v>
      </c>
      <c r="X41" s="427">
        <f>'ANALYSE - ERP =&gt; SOUS-SEGMENT'!$HM$53</f>
        <v>162.75499815000001</v>
      </c>
      <c r="Z41" s="427">
        <f>'ANALYSE - ERP =&gt; SOUS-SEGMENT'!$FI$53</f>
        <v>499.31175999999999</v>
      </c>
      <c r="AA41" s="427">
        <f>'ANALYSE - ERP =&gt; SOUS-SEGMENT'!$HE$53</f>
        <v>89.876116799999991</v>
      </c>
      <c r="AB41" s="427">
        <f>'ANALYSE - ERP =&gt; SOUS-SEGMENT'!$HH$53</f>
        <v>199.724704</v>
      </c>
      <c r="AC41" s="427">
        <f>'ANALYSE - ERP =&gt; SOUS-SEGMENT'!$HK$53</f>
        <v>139.8072928</v>
      </c>
      <c r="AD41" s="427">
        <f>'ANALYSE - ERP =&gt; SOUS-SEGMENT'!$HN$53</f>
        <v>69.9036464</v>
      </c>
      <c r="AF41" s="430">
        <f>'ANALYSE - ERP =&gt; SOUS-SEGMENT'!$Q$53</f>
        <v>1</v>
      </c>
    </row>
    <row r="42" spans="1:32" ht="15" customHeight="1">
      <c r="A42" s="26">
        <v>39</v>
      </c>
      <c r="B42" s="26">
        <v>40</v>
      </c>
      <c r="C42" s="26">
        <v>35</v>
      </c>
      <c r="D42" s="422">
        <f>'ANALYSE - ERP =&gt; SOUS-SEGMENT'!$A$15</f>
        <v>8</v>
      </c>
      <c r="E42" s="410" t="str">
        <f>'ANALYSE - ERP =&gt; SOUS-SEGMENT'!$B$15</f>
        <v>Enfance, Enseignement, Jeunesse &amp; Formation</v>
      </c>
      <c r="F42" s="410" t="str">
        <f>'ANALYSE - ERP =&gt; SOUS-SEGMENT'!$C$15</f>
        <v>Enseignement scolaire</v>
      </c>
      <c r="G42" s="410" t="str">
        <f>'ANALYSE - ERP =&gt; SOUS-SEGMENT'!$D$15</f>
        <v>Internats scolaires</v>
      </c>
      <c r="I42" s="427">
        <f t="shared" si="5"/>
        <v>280.57904563680006</v>
      </c>
      <c r="K42" s="787">
        <f t="shared" si="3"/>
        <v>0.73071509375007182</v>
      </c>
      <c r="L42" s="787">
        <f t="shared" si="4"/>
        <v>0.26928490624992812</v>
      </c>
      <c r="N42" s="424">
        <f>'ANALYSE - ERP =&gt; SOUS-SEGMENT'!$FG$15</f>
        <v>1402.8952281840002</v>
      </c>
      <c r="O42" s="427">
        <f>'ANALYSE - ERP =&gt; SOUS-SEGMENT'!$HC$15</f>
        <v>160.79185718208001</v>
      </c>
      <c r="P42" s="427">
        <f>'ANALYSE - ERP =&gt; SOUS-SEGMENT'!$HF$15</f>
        <v>631.30285268279999</v>
      </c>
      <c r="Q42" s="427">
        <f>'ANALYSE - ERP =&gt; SOUS-SEGMENT'!$HI$15</f>
        <v>179.68078268208001</v>
      </c>
      <c r="R42" s="427">
        <f>'ANALYSE - ERP =&gt; SOUS-SEGMENT'!$HL$15</f>
        <v>431.11973563704004</v>
      </c>
      <c r="T42" s="424">
        <f>'ANALYSE - ERP =&gt; SOUS-SEGMENT'!$FH$15</f>
        <v>1025.1167181840001</v>
      </c>
      <c r="U42" s="427">
        <f>'ANALYSE - ERP =&gt; SOUS-SEGMENT'!$HD$15</f>
        <v>123.01400618208001</v>
      </c>
      <c r="V42" s="427">
        <f>'ANALYSE - ERP =&gt; SOUS-SEGMENT'!$HG$15</f>
        <v>461.30252318280003</v>
      </c>
      <c r="W42" s="427">
        <f>'ANALYSE - ERP =&gt; SOUS-SEGMENT'!$HJ$15</f>
        <v>123.01400618208001</v>
      </c>
      <c r="X42" s="427">
        <f>'ANALYSE - ERP =&gt; SOUS-SEGMENT'!$HM$15</f>
        <v>317.78618263704004</v>
      </c>
      <c r="Z42" s="427">
        <f>'ANALYSE - ERP =&gt; SOUS-SEGMENT'!$FI$15</f>
        <v>377.77850999999998</v>
      </c>
      <c r="AA42" s="427">
        <f>'ANALYSE - ERP =&gt; SOUS-SEGMENT'!$HE$15</f>
        <v>37.777850999999998</v>
      </c>
      <c r="AB42" s="427">
        <f>'ANALYSE - ERP =&gt; SOUS-SEGMENT'!$HH$15</f>
        <v>170.00032949999999</v>
      </c>
      <c r="AC42" s="427">
        <f>'ANALYSE - ERP =&gt; SOUS-SEGMENT'!$HK$15</f>
        <v>56.666776499999997</v>
      </c>
      <c r="AD42" s="427">
        <f>'ANALYSE - ERP =&gt; SOUS-SEGMENT'!$HN$15</f>
        <v>113.33355299999999</v>
      </c>
      <c r="AF42" s="430">
        <f>'ANALYSE - ERP =&gt; SOUS-SEGMENT'!$Q$15</f>
        <v>1</v>
      </c>
    </row>
    <row r="43" spans="1:32" ht="15" customHeight="1">
      <c r="A43" s="26">
        <v>40</v>
      </c>
      <c r="B43" s="26">
        <v>37</v>
      </c>
      <c r="C43" s="26">
        <v>45</v>
      </c>
      <c r="D43" s="422">
        <f>'ANALYSE - ERP =&gt; SOUS-SEGMENT'!$A$44</f>
        <v>37</v>
      </c>
      <c r="E43" s="409" t="str">
        <f>'ANALYSE - ERP =&gt; SOUS-SEGMENT'!$B$44</f>
        <v>Santé &amp; Médico-social</v>
      </c>
      <c r="F43" s="409" t="str">
        <f>'ANALYSE - ERP =&gt; SOUS-SEGMENT'!$C$44</f>
        <v>Santé hospitalière</v>
      </c>
      <c r="G43" s="409" t="str">
        <f>'ANALYSE - ERP =&gt; SOUS-SEGMENT'!$D$44</f>
        <v>Hôpitaux publics 
(Hors CHU, Universitaire, Militaire, Carcéral)</v>
      </c>
      <c r="I43" s="427">
        <f t="shared" si="5"/>
        <v>278.15112000000005</v>
      </c>
      <c r="K43" s="787">
        <f t="shared" si="3"/>
        <v>0.82751131830783209</v>
      </c>
      <c r="L43" s="787">
        <f t="shared" si="4"/>
        <v>0.17248868169216788</v>
      </c>
      <c r="N43" s="424">
        <f>'ANALYSE - ERP =&gt; SOUS-SEGMENT'!$FG$44</f>
        <v>1390.7556000000002</v>
      </c>
      <c r="O43" s="427">
        <f>'ANALYSE - ERP =&gt; SOUS-SEGMENT'!$HC$44</f>
        <v>343.61071200000004</v>
      </c>
      <c r="P43" s="427">
        <f>'ANALYSE - ERP =&gt; SOUS-SEGMENT'!$HF$44</f>
        <v>495.37584000000004</v>
      </c>
      <c r="Q43" s="427">
        <f>'ANALYSE - ERP =&gt; SOUS-SEGMENT'!$HI$44</f>
        <v>341.28460799999999</v>
      </c>
      <c r="R43" s="427">
        <f>'ANALYSE - ERP =&gt; SOUS-SEGMENT'!$HL$44</f>
        <v>210.48444000000001</v>
      </c>
      <c r="T43" s="424">
        <f>'ANALYSE - ERP =&gt; SOUS-SEGMENT'!$FH$44</f>
        <v>1150.8660000000002</v>
      </c>
      <c r="U43" s="427">
        <f>'ANALYSE - ERP =&gt; SOUS-SEGMENT'!$HD$44</f>
        <v>290.83500000000004</v>
      </c>
      <c r="V43" s="427">
        <f>'ANALYSE - ERP =&gt; SOUS-SEGMENT'!$HG$44</f>
        <v>399.42</v>
      </c>
      <c r="W43" s="427">
        <f>'ANALYSE - ERP =&gt; SOUS-SEGMENT'!$HJ$44</f>
        <v>286.11</v>
      </c>
      <c r="X43" s="427">
        <f>'ANALYSE - ERP =&gt; SOUS-SEGMENT'!$HM$44</f>
        <v>174.501</v>
      </c>
      <c r="Z43" s="427">
        <f>'ANALYSE - ERP =&gt; SOUS-SEGMENT'!$FI$44</f>
        <v>239.88959999999997</v>
      </c>
      <c r="AA43" s="427">
        <f>'ANALYSE - ERP =&gt; SOUS-SEGMENT'!$HE$44</f>
        <v>52.775711999999992</v>
      </c>
      <c r="AB43" s="427">
        <f>'ANALYSE - ERP =&gt; SOUS-SEGMENT'!$HH$44</f>
        <v>95.955839999999995</v>
      </c>
      <c r="AC43" s="427">
        <f>'ANALYSE - ERP =&gt; SOUS-SEGMENT'!$HK$44</f>
        <v>55.174607999999999</v>
      </c>
      <c r="AD43" s="427">
        <f>'ANALYSE - ERP =&gt; SOUS-SEGMENT'!$HN$44</f>
        <v>35.983439999999995</v>
      </c>
      <c r="AF43" s="430">
        <f>'ANALYSE - ERP =&gt; SOUS-SEGMENT'!$Q$44</f>
        <v>1</v>
      </c>
    </row>
    <row r="44" spans="1:32" ht="15" customHeight="1">
      <c r="A44" s="26">
        <v>41</v>
      </c>
      <c r="B44" s="26">
        <v>38</v>
      </c>
      <c r="C44" s="26">
        <v>52</v>
      </c>
      <c r="D44" s="422">
        <f>'ANALYSE - ERP =&gt; SOUS-SEGMENT'!$A$30</f>
        <v>23</v>
      </c>
      <c r="E44" s="408" t="str">
        <f>'ANALYSE - ERP =&gt; SOUS-SEGMENT'!$B$30</f>
        <v>Sports &amp; Loisirs</v>
      </c>
      <c r="F44" s="408" t="str">
        <f>'ANALYSE - ERP =&gt; SOUS-SEGMENT'!$C$30</f>
        <v>Sport de plein air</v>
      </c>
      <c r="G44" s="408" t="str">
        <f>'ANALYSE - ERP =&gt; SOUS-SEGMENT'!$D$30</f>
        <v>Hippodromes, Centres équestres &amp; Manèges couverts</v>
      </c>
      <c r="I44" s="427">
        <f t="shared" si="5"/>
        <v>818.38934732142866</v>
      </c>
      <c r="K44" s="787">
        <f t="shared" si="3"/>
        <v>0.8752403115532017</v>
      </c>
      <c r="L44" s="787">
        <f t="shared" si="4"/>
        <v>0.12475968844679824</v>
      </c>
      <c r="N44" s="424">
        <f>'ANALYSE - ERP =&gt; SOUS-SEGMENT'!$FG$30</f>
        <v>4091.9467366071431</v>
      </c>
      <c r="O44" s="427">
        <f>'ANALYSE - ERP =&gt; SOUS-SEGMENT'!$HC$30</f>
        <v>223.05961875</v>
      </c>
      <c r="P44" s="427">
        <f>'ANALYSE - ERP =&gt; SOUS-SEGMENT'!$HF$30</f>
        <v>2108.035875</v>
      </c>
      <c r="Q44" s="427">
        <f>'ANALYSE - ERP =&gt; SOUS-SEGMENT'!$HI$30</f>
        <v>518.71834285714283</v>
      </c>
      <c r="R44" s="427">
        <f>'ANALYSE - ERP =&gt; SOUS-SEGMENT'!$HL$30</f>
        <v>1242.1329000000001</v>
      </c>
      <c r="T44" s="424">
        <f>'ANALYSE - ERP =&gt; SOUS-SEGMENT'!$FH$30</f>
        <v>3581.4367366071428</v>
      </c>
      <c r="U44" s="427">
        <f>'ANALYSE - ERP =&gt; SOUS-SEGMENT'!$HD$30</f>
        <v>202.63921875</v>
      </c>
      <c r="V44" s="427">
        <f>'ANALYSE - ERP =&gt; SOUS-SEGMENT'!$HG$30</f>
        <v>1827.255375</v>
      </c>
      <c r="W44" s="427">
        <f>'ANALYSE - ERP =&gt; SOUS-SEGMENT'!$HJ$30</f>
        <v>457.45714285714286</v>
      </c>
      <c r="X44" s="427">
        <f>'ANALYSE - ERP =&gt; SOUS-SEGMENT'!$HM$30</f>
        <v>1094.085</v>
      </c>
      <c r="Z44" s="427">
        <f>'ANALYSE - ERP =&gt; SOUS-SEGMENT'!$FI$30</f>
        <v>510.51</v>
      </c>
      <c r="AA44" s="427">
        <f>'ANALYSE - ERP =&gt; SOUS-SEGMENT'!$HE$30</f>
        <v>20.420400000000001</v>
      </c>
      <c r="AB44" s="427">
        <f>'ANALYSE - ERP =&gt; SOUS-SEGMENT'!$HH$30</f>
        <v>280.78050000000002</v>
      </c>
      <c r="AC44" s="427">
        <f>'ANALYSE - ERP =&gt; SOUS-SEGMENT'!$HK$30</f>
        <v>61.261199999999995</v>
      </c>
      <c r="AD44" s="427">
        <f>'ANALYSE - ERP =&gt; SOUS-SEGMENT'!$HN$30</f>
        <v>148.0479</v>
      </c>
      <c r="AF44" s="430">
        <f>'ANALYSE - ERP =&gt; SOUS-SEGMENT'!$Q$30</f>
        <v>1</v>
      </c>
    </row>
    <row r="45" spans="1:32" ht="15" customHeight="1">
      <c r="A45" s="26">
        <v>42</v>
      </c>
      <c r="B45" s="26">
        <v>42</v>
      </c>
      <c r="C45" s="26">
        <v>44</v>
      </c>
      <c r="D45" s="422" t="e">
        <f>'ANALYSE - ERP =&gt; SOUS-SEGMENT'!#REF!</f>
        <v>#REF!</v>
      </c>
      <c r="E45" s="414" t="e">
        <f>'ANALYSE - ERP =&gt; SOUS-SEGMENT'!#REF!</f>
        <v>#REF!</v>
      </c>
      <c r="F45" s="414" t="e">
        <f>'ANALYSE - ERP =&gt; SOUS-SEGMENT'!#REF!</f>
        <v>#REF!</v>
      </c>
      <c r="G45" s="414" t="e">
        <f>'ANALYSE - ERP =&gt; SOUS-SEGMENT'!#REF!</f>
        <v>#REF!</v>
      </c>
      <c r="I45" s="427" t="e">
        <f t="shared" si="5"/>
        <v>#REF!</v>
      </c>
      <c r="K45" s="787" t="str">
        <f t="shared" si="3"/>
        <v/>
      </c>
      <c r="L45" s="787" t="str">
        <f t="shared" si="4"/>
        <v/>
      </c>
      <c r="N45" s="424" t="e">
        <f>'ANALYSE - ERP =&gt; SOUS-SEGMENT'!#REF!</f>
        <v>#REF!</v>
      </c>
      <c r="O45" s="427" t="e">
        <f>'ANALYSE - ERP =&gt; SOUS-SEGMENT'!#REF!</f>
        <v>#REF!</v>
      </c>
      <c r="P45" s="427" t="e">
        <f>'ANALYSE - ERP =&gt; SOUS-SEGMENT'!#REF!</f>
        <v>#REF!</v>
      </c>
      <c r="Q45" s="427" t="e">
        <f>'ANALYSE - ERP =&gt; SOUS-SEGMENT'!#REF!</f>
        <v>#REF!</v>
      </c>
      <c r="R45" s="427" t="e">
        <f>'ANALYSE - ERP =&gt; SOUS-SEGMENT'!#REF!</f>
        <v>#REF!</v>
      </c>
      <c r="T45" s="424" t="e">
        <f>'ANALYSE - ERP =&gt; SOUS-SEGMENT'!#REF!</f>
        <v>#REF!</v>
      </c>
      <c r="U45" s="427" t="e">
        <f>'ANALYSE - ERP =&gt; SOUS-SEGMENT'!#REF!</f>
        <v>#REF!</v>
      </c>
      <c r="V45" s="427" t="e">
        <f>'ANALYSE - ERP =&gt; SOUS-SEGMENT'!#REF!</f>
        <v>#REF!</v>
      </c>
      <c r="W45" s="427" t="e">
        <f>'ANALYSE - ERP =&gt; SOUS-SEGMENT'!#REF!</f>
        <v>#REF!</v>
      </c>
      <c r="X45" s="427" t="e">
        <f>'ANALYSE - ERP =&gt; SOUS-SEGMENT'!#REF!</f>
        <v>#REF!</v>
      </c>
      <c r="Z45" s="427" t="e">
        <f>'ANALYSE - ERP =&gt; SOUS-SEGMENT'!#REF!</f>
        <v>#REF!</v>
      </c>
      <c r="AA45" s="427" t="e">
        <f>'ANALYSE - ERP =&gt; SOUS-SEGMENT'!#REF!</f>
        <v>#REF!</v>
      </c>
      <c r="AB45" s="427" t="e">
        <f>'ANALYSE - ERP =&gt; SOUS-SEGMENT'!#REF!</f>
        <v>#REF!</v>
      </c>
      <c r="AC45" s="427" t="e">
        <f>'ANALYSE - ERP =&gt; SOUS-SEGMENT'!#REF!</f>
        <v>#REF!</v>
      </c>
      <c r="AD45" s="427" t="e">
        <f>'ANALYSE - ERP =&gt; SOUS-SEGMENT'!#REF!</f>
        <v>#REF!</v>
      </c>
      <c r="AF45" s="430" t="e">
        <f>'ANALYSE - ERP =&gt; SOUS-SEGMENT'!#REF!</f>
        <v>#REF!</v>
      </c>
    </row>
    <row r="46" spans="1:32" ht="15" customHeight="1">
      <c r="A46" s="26">
        <v>43</v>
      </c>
      <c r="B46" s="26">
        <v>44</v>
      </c>
      <c r="C46" s="26">
        <v>41</v>
      </c>
      <c r="D46" s="422">
        <f>'ANALYSE - ERP =&gt; SOUS-SEGMENT'!$A$123</f>
        <v>116</v>
      </c>
      <c r="E46" s="415" t="str">
        <f>'ANALYSE - ERP =&gt; SOUS-SEGMENT'!$B$123</f>
        <v>Transport, Mobilité &amp; Stationnement</v>
      </c>
      <c r="F46" s="415" t="str">
        <f>'ANALYSE - ERP =&gt; SOUS-SEGMENT'!$C$123</f>
        <v>Transport / Mobilité</v>
      </c>
      <c r="G46" s="415" t="str">
        <f>'ANALYSE - ERP =&gt; SOUS-SEGMENT'!$D$123</f>
        <v>Parcs de stationnement couverts (dotés de sanitaires)</v>
      </c>
      <c r="I46" s="427">
        <f t="shared" si="5"/>
        <v>26.852876652380949</v>
      </c>
      <c r="K46" s="787">
        <f t="shared" si="3"/>
        <v>0.78597116151090629</v>
      </c>
      <c r="L46" s="787">
        <f t="shared" si="4"/>
        <v>0.21402883848909376</v>
      </c>
      <c r="N46" s="424">
        <f>'ANALYSE - ERP =&gt; SOUS-SEGMENT'!$FG$123</f>
        <v>134.26438326190475</v>
      </c>
      <c r="O46" s="427">
        <f>'ANALYSE - ERP =&gt; SOUS-SEGMENT'!$HC$123</f>
        <v>7.3272080000000006</v>
      </c>
      <c r="P46" s="427">
        <f>'ANALYSE - ERP =&gt; SOUS-SEGMENT'!$HF$123</f>
        <v>68.402411000000001</v>
      </c>
      <c r="Q46" s="427">
        <f>'ANALYSE - ERP =&gt; SOUS-SEGMENT'!$HI$123</f>
        <v>17.774870428571429</v>
      </c>
      <c r="R46" s="427">
        <f>'ANALYSE - ERP =&gt; SOUS-SEGMENT'!$HL$123</f>
        <v>40.759893833333336</v>
      </c>
      <c r="T46" s="424">
        <f>'ANALYSE - ERP =&gt; SOUS-SEGMENT'!$FH$123</f>
        <v>105.52793326190476</v>
      </c>
      <c r="U46" s="427">
        <f>'ANALYSE - ERP =&gt; SOUS-SEGMENT'!$HD$123</f>
        <v>6.1777500000000005</v>
      </c>
      <c r="V46" s="427">
        <f>'ANALYSE - ERP =&gt; SOUS-SEGMENT'!$HG$123</f>
        <v>52.5973635</v>
      </c>
      <c r="W46" s="427">
        <f>'ANALYSE - ERP =&gt; SOUS-SEGMENT'!$HJ$123</f>
        <v>14.32649642857143</v>
      </c>
      <c r="X46" s="427">
        <f>'ANALYSE - ERP =&gt; SOUS-SEGMENT'!$HM$123</f>
        <v>32.426323333333336</v>
      </c>
      <c r="Z46" s="427">
        <f>'ANALYSE - ERP =&gt; SOUS-SEGMENT'!$FI$123</f>
        <v>28.736449999999998</v>
      </c>
      <c r="AA46" s="427">
        <f>'ANALYSE - ERP =&gt; SOUS-SEGMENT'!$HE$123</f>
        <v>1.1494579999999999</v>
      </c>
      <c r="AB46" s="427">
        <f>'ANALYSE - ERP =&gt; SOUS-SEGMENT'!$HH$123</f>
        <v>15.805047500000001</v>
      </c>
      <c r="AC46" s="427">
        <f>'ANALYSE - ERP =&gt; SOUS-SEGMENT'!$HK$123</f>
        <v>3.4483739999999998</v>
      </c>
      <c r="AD46" s="427">
        <f>'ANALYSE - ERP =&gt; SOUS-SEGMENT'!$HN$123</f>
        <v>8.3335704999999987</v>
      </c>
      <c r="AF46" s="430">
        <f>'ANALYSE - ERP =&gt; SOUS-SEGMENT'!$Q$123</f>
        <v>1</v>
      </c>
    </row>
    <row r="47" spans="1:32" ht="15" customHeight="1">
      <c r="A47" s="26">
        <v>44</v>
      </c>
      <c r="B47" s="26">
        <v>41</v>
      </c>
      <c r="C47" s="26">
        <v>46</v>
      </c>
      <c r="D47" s="422">
        <f>'ANALYSE - ERP =&gt; SOUS-SEGMENT'!$A$41</f>
        <v>34</v>
      </c>
      <c r="E47" s="411" t="str">
        <f>'ANALYSE - ERP =&gt; SOUS-SEGMENT'!$B$41</f>
        <v>Sports &amp; Loisirs</v>
      </c>
      <c r="F47" s="411" t="str">
        <f>'ANALYSE - ERP =&gt; SOUS-SEGMENT'!$C$41</f>
        <v>Loisirs</v>
      </c>
      <c r="G47" s="411" t="str">
        <f>'ANALYSE - ERP =&gt; SOUS-SEGMENT'!$D$41</f>
        <v>Salles de jeux / Bowlings / Billards</v>
      </c>
      <c r="I47" s="427">
        <f t="shared" si="5"/>
        <v>244.51356063095241</v>
      </c>
      <c r="K47" s="787">
        <f t="shared" si="3"/>
        <v>0.81135933777669955</v>
      </c>
      <c r="L47" s="787">
        <f t="shared" si="4"/>
        <v>0.1886406622233005</v>
      </c>
      <c r="N47" s="424">
        <f>'ANALYSE - ERP =&gt; SOUS-SEGMENT'!$FG$41</f>
        <v>1222.567803154762</v>
      </c>
      <c r="O47" s="427">
        <f>'ANALYSE - ERP =&gt; SOUS-SEGMENT'!$HC$41</f>
        <v>66.721171249999998</v>
      </c>
      <c r="P47" s="427">
        <f>'ANALYSE - ERP =&gt; SOUS-SEGMENT'!$HF$41</f>
        <v>624.83531000000005</v>
      </c>
      <c r="Q47" s="427">
        <f>'ANALYSE - ERP =&gt; SOUS-SEGMENT'!$HI$41</f>
        <v>160.70594857142859</v>
      </c>
      <c r="R47" s="427">
        <f>'ANALYSE - ERP =&gt; SOUS-SEGMENT'!$HL$41</f>
        <v>370.30537333333336</v>
      </c>
      <c r="T47" s="424">
        <f>'ANALYSE - ERP =&gt; SOUS-SEGMENT'!$FH$41</f>
        <v>991.94180315476206</v>
      </c>
      <c r="U47" s="427">
        <f>'ANALYSE - ERP =&gt; SOUS-SEGMENT'!$HD$41</f>
        <v>57.496131249999998</v>
      </c>
      <c r="V47" s="427">
        <f>'ANALYSE - ERP =&gt; SOUS-SEGMENT'!$HG$41</f>
        <v>497.99101000000002</v>
      </c>
      <c r="W47" s="427">
        <f>'ANALYSE - ERP =&gt; SOUS-SEGMENT'!$HJ$41</f>
        <v>133.0308285714286</v>
      </c>
      <c r="X47" s="427">
        <f>'ANALYSE - ERP =&gt; SOUS-SEGMENT'!$HM$41</f>
        <v>303.42383333333333</v>
      </c>
      <c r="Z47" s="427">
        <f>'ANALYSE - ERP =&gt; SOUS-SEGMENT'!$FI$41</f>
        <v>230.626</v>
      </c>
      <c r="AA47" s="427">
        <f>'ANALYSE - ERP =&gt; SOUS-SEGMENT'!$HE$41</f>
        <v>9.2250399999999999</v>
      </c>
      <c r="AB47" s="427">
        <f>'ANALYSE - ERP =&gt; SOUS-SEGMENT'!$HH$41</f>
        <v>126.84430000000002</v>
      </c>
      <c r="AC47" s="427">
        <f>'ANALYSE - ERP =&gt; SOUS-SEGMENT'!$HK$41</f>
        <v>27.67512</v>
      </c>
      <c r="AD47" s="427">
        <f>'ANALYSE - ERP =&gt; SOUS-SEGMENT'!$HN$41</f>
        <v>66.881540000000001</v>
      </c>
      <c r="AF47" s="430">
        <f>'ANALYSE - ERP =&gt; SOUS-SEGMENT'!$Q$41</f>
        <v>1</v>
      </c>
    </row>
    <row r="48" spans="1:32" ht="15" customHeight="1">
      <c r="A48" s="26">
        <v>45</v>
      </c>
      <c r="B48" s="26">
        <v>43</v>
      </c>
      <c r="C48" s="26">
        <v>47</v>
      </c>
      <c r="D48" s="422">
        <f>'ANALYSE - ERP =&gt; SOUS-SEGMENT'!$A$70</f>
        <v>63</v>
      </c>
      <c r="E48" s="414" t="str">
        <f>'ANALYSE - ERP =&gt; SOUS-SEGMENT'!$B$70</f>
        <v>Culture, Patrimoine &amp; Evénementiel</v>
      </c>
      <c r="F48" s="414" t="str">
        <f>'ANALYSE - ERP =&gt; SOUS-SEGMENT'!$C$70</f>
        <v>Expositions / salons</v>
      </c>
      <c r="G48" s="414" t="str">
        <f>'ANALYSE - ERP =&gt; SOUS-SEGMENT'!$D$70</f>
        <v>Foires / Salons</v>
      </c>
      <c r="I48" s="427">
        <f t="shared" si="5"/>
        <v>240.41453612121214</v>
      </c>
      <c r="K48" s="787">
        <f t="shared" si="3"/>
        <v>0.80653815384711147</v>
      </c>
      <c r="L48" s="787">
        <f t="shared" si="4"/>
        <v>0.19346184615288853</v>
      </c>
      <c r="N48" s="424">
        <f>'ANALYSE - ERP =&gt; SOUS-SEGMENT'!$FG$70</f>
        <v>1202.0726806060607</v>
      </c>
      <c r="O48" s="427">
        <f>'ANALYSE - ERP =&gt; SOUS-SEGMENT'!$HC$70</f>
        <v>93.924008727272721</v>
      </c>
      <c r="P48" s="427">
        <f>'ANALYSE - ERP =&gt; SOUS-SEGMENT'!$HF$70</f>
        <v>532.86504000000002</v>
      </c>
      <c r="Q48" s="427">
        <f>'ANALYSE - ERP =&gt; SOUS-SEGMENT'!$HI$70</f>
        <v>368.13706933333327</v>
      </c>
      <c r="R48" s="427">
        <f>'ANALYSE - ERP =&gt; SOUS-SEGMENT'!$HL$70</f>
        <v>207.14656254545454</v>
      </c>
      <c r="T48" s="424">
        <f>'ANALYSE - ERP =&gt; SOUS-SEGMENT'!$FH$70</f>
        <v>969.51748060606064</v>
      </c>
      <c r="U48" s="427">
        <f>'ANALYSE - ERP =&gt; SOUS-SEGMENT'!$HD$70</f>
        <v>79.970696727272724</v>
      </c>
      <c r="V48" s="427">
        <f>'ANALYSE - ERP =&gt; SOUS-SEGMENT'!$HG$70</f>
        <v>416.58744000000002</v>
      </c>
      <c r="W48" s="427">
        <f>'ANALYSE - ERP =&gt; SOUS-SEGMENT'!$HJ$70</f>
        <v>303.02161333333328</v>
      </c>
      <c r="X48" s="427">
        <f>'ANALYSE - ERP =&gt; SOUS-SEGMENT'!$HM$70</f>
        <v>169.93773054545454</v>
      </c>
      <c r="Z48" s="427">
        <f>'ANALYSE - ERP =&gt; SOUS-SEGMENT'!$FI$70</f>
        <v>232.55520000000001</v>
      </c>
      <c r="AA48" s="427">
        <f>'ANALYSE - ERP =&gt; SOUS-SEGMENT'!$HE$70</f>
        <v>13.953312</v>
      </c>
      <c r="AB48" s="427">
        <f>'ANALYSE - ERP =&gt; SOUS-SEGMENT'!$HH$70</f>
        <v>116.27760000000001</v>
      </c>
      <c r="AC48" s="427">
        <f>'ANALYSE - ERP =&gt; SOUS-SEGMENT'!$HK$70</f>
        <v>65.115456000000009</v>
      </c>
      <c r="AD48" s="427">
        <f>'ANALYSE - ERP =&gt; SOUS-SEGMENT'!$HN$70</f>
        <v>37.208832000000001</v>
      </c>
      <c r="AF48" s="430">
        <f>'ANALYSE - ERP =&gt; SOUS-SEGMENT'!$Q$70</f>
        <v>1</v>
      </c>
    </row>
    <row r="49" spans="1:32" ht="15" customHeight="1">
      <c r="A49" s="26">
        <v>46</v>
      </c>
      <c r="B49" s="26">
        <v>46</v>
      </c>
      <c r="C49" s="26">
        <v>50</v>
      </c>
      <c r="D49" s="422">
        <f>'ANALYSE - ERP =&gt; SOUS-SEGMENT'!$A$115</f>
        <v>108</v>
      </c>
      <c r="E49" s="414" t="str">
        <f>'ANALYSE - ERP =&gt; SOUS-SEGMENT'!$B$115</f>
        <v>Culte, Vie civique &amp; Services publics</v>
      </c>
      <c r="F49" s="414" t="str">
        <f>'ANALYSE - ERP =&gt; SOUS-SEGMENT'!$C$115</f>
        <v>Culte</v>
      </c>
      <c r="G49" s="414" t="str">
        <f>'ANALYSE - ERP =&gt; SOUS-SEGMENT'!$D$115</f>
        <v>Temples protestants, évangéliques et salles de culte assimilées</v>
      </c>
      <c r="I49" s="427">
        <f t="shared" si="5"/>
        <v>89.994705128205126</v>
      </c>
      <c r="K49" s="787">
        <f t="shared" si="3"/>
        <v>0.72581720263599547</v>
      </c>
      <c r="L49" s="787">
        <f t="shared" si="4"/>
        <v>0.27418279736400447</v>
      </c>
      <c r="N49" s="424">
        <f>'ANALYSE - ERP =&gt; SOUS-SEGMENT'!$FG$115</f>
        <v>449.97352564102562</v>
      </c>
      <c r="O49" s="427">
        <f>'ANALYSE - ERP =&gt; SOUS-SEGMENT'!$HC$115</f>
        <v>54.517500000000005</v>
      </c>
      <c r="P49" s="427">
        <f>'ANALYSE - ERP =&gt; SOUS-SEGMENT'!$HF$115</f>
        <v>197.52019230769233</v>
      </c>
      <c r="Q49" s="427">
        <f>'ANALYSE - ERP =&gt; SOUS-SEGMENT'!$HI$115</f>
        <v>89.948333333333323</v>
      </c>
      <c r="R49" s="427">
        <f>'ANALYSE - ERP =&gt; SOUS-SEGMENT'!$HL$115</f>
        <v>107.9875</v>
      </c>
      <c r="T49" s="424">
        <f>'ANALYSE - ERP =&gt; SOUS-SEGMENT'!$FH$115</f>
        <v>326.59852564102562</v>
      </c>
      <c r="U49" s="427">
        <f>'ANALYSE - ERP =&gt; SOUS-SEGMENT'!$HD$115</f>
        <v>42.180000000000007</v>
      </c>
      <c r="V49" s="427">
        <f>'ANALYSE - ERP =&gt; SOUS-SEGMENT'!$HG$115</f>
        <v>135.83269230769233</v>
      </c>
      <c r="W49" s="427">
        <f>'ANALYSE - ERP =&gt; SOUS-SEGMENT'!$HJ$115</f>
        <v>67.740833333333327</v>
      </c>
      <c r="X49" s="427">
        <f>'ANALYSE - ERP =&gt; SOUS-SEGMENT'!$HM$115</f>
        <v>80.844999999999999</v>
      </c>
      <c r="Z49" s="427">
        <f>'ANALYSE - ERP =&gt; SOUS-SEGMENT'!$FI$115</f>
        <v>123.375</v>
      </c>
      <c r="AA49" s="427">
        <f>'ANALYSE - ERP =&gt; SOUS-SEGMENT'!$HE$115</f>
        <v>12.3375</v>
      </c>
      <c r="AB49" s="427">
        <f>'ANALYSE - ERP =&gt; SOUS-SEGMENT'!$HH$115</f>
        <v>61.6875</v>
      </c>
      <c r="AC49" s="427">
        <f>'ANALYSE - ERP =&gt; SOUS-SEGMENT'!$HK$115</f>
        <v>22.2075</v>
      </c>
      <c r="AD49" s="427">
        <f>'ANALYSE - ERP =&gt; SOUS-SEGMENT'!$HN$115</f>
        <v>27.142500000000002</v>
      </c>
      <c r="AF49" s="430">
        <f>'ANALYSE - ERP =&gt; SOUS-SEGMENT'!$Q$115</f>
        <v>1</v>
      </c>
    </row>
    <row r="50" spans="1:32" s="45" customFormat="1" ht="15" customHeight="1">
      <c r="A50" s="406">
        <v>47</v>
      </c>
      <c r="B50" s="406">
        <v>47</v>
      </c>
      <c r="C50" s="406">
        <v>53</v>
      </c>
      <c r="D50" s="448">
        <f>'ANALYSE - ERP =&gt; SOUS-SEGMENT'!$A$60</f>
        <v>53</v>
      </c>
      <c r="E50" s="449" t="str">
        <f>'ANALYSE - ERP =&gt; SOUS-SEGMENT'!$B$60</f>
        <v>Santé &amp; Médico-social</v>
      </c>
      <c r="F50" s="449" t="str">
        <f>'ANALYSE - ERP =&gt; SOUS-SEGMENT'!$C$60</f>
        <v>Médico-social</v>
      </c>
      <c r="G50" s="449" t="str">
        <f>'ANALYSE - ERP =&gt; SOUS-SEGMENT'!$D$60</f>
        <v>Résidences autonomie
Foyers-logements
(Public)</v>
      </c>
      <c r="H50" s="685"/>
      <c r="I50" s="407">
        <f t="shared" si="5"/>
        <v>196.58285519696966</v>
      </c>
      <c r="J50" s="685"/>
      <c r="K50" s="788">
        <f t="shared" si="3"/>
        <v>0.83584408738154581</v>
      </c>
      <c r="L50" s="788">
        <f t="shared" si="4"/>
        <v>0.16415591261845425</v>
      </c>
      <c r="M50" s="685"/>
      <c r="N50" s="425">
        <f>'ANALYSE - ERP =&gt; SOUS-SEGMENT'!$FG$60</f>
        <v>982.91427598484836</v>
      </c>
      <c r="O50" s="407">
        <f>'ANALYSE - ERP =&gt; SOUS-SEGMENT'!$HC$60</f>
        <v>222.95518968461539</v>
      </c>
      <c r="P50" s="407">
        <f>'ANALYSE - ERP =&gt; SOUS-SEGMENT'!$HF$60</f>
        <v>364.47316061538464</v>
      </c>
      <c r="Q50" s="407">
        <f>'ANALYSE - ERP =&gt; SOUS-SEGMENT'!$HI$60</f>
        <v>242.85519036666668</v>
      </c>
      <c r="R50" s="407">
        <f>'ANALYSE - ERP =&gt; SOUS-SEGMENT'!$HL$60</f>
        <v>152.63073531818179</v>
      </c>
      <c r="S50" s="685"/>
      <c r="T50" s="425">
        <f>'ANALYSE - ERP =&gt; SOUS-SEGMENT'!$FH$60</f>
        <v>821.56308598484839</v>
      </c>
      <c r="U50" s="407">
        <f>'ANALYSE - ERP =&gt; SOUS-SEGMENT'!$HD$60</f>
        <v>187.45792788461537</v>
      </c>
      <c r="V50" s="407">
        <f>'ANALYSE - ERP =&gt; SOUS-SEGMENT'!$HG$60</f>
        <v>299.93268461538463</v>
      </c>
      <c r="W50" s="407">
        <f>'ANALYSE - ERP =&gt; SOUS-SEGMENT'!$HJ$60</f>
        <v>205.74441666666667</v>
      </c>
      <c r="X50" s="407">
        <f>'ANALYSE - ERP =&gt; SOUS-SEGMENT'!$HM$60</f>
        <v>128.4280568181818</v>
      </c>
      <c r="Y50" s="685"/>
      <c r="Z50" s="407">
        <f>'ANALYSE - ERP =&gt; SOUS-SEGMENT'!$FI$60</f>
        <v>161.35119</v>
      </c>
      <c r="AA50" s="407">
        <f>'ANALYSE - ERP =&gt; SOUS-SEGMENT'!$HE$60</f>
        <v>35.497261800000004</v>
      </c>
      <c r="AB50" s="407">
        <f>'ANALYSE - ERP =&gt; SOUS-SEGMENT'!$HH$60</f>
        <v>64.540475999999998</v>
      </c>
      <c r="AC50" s="407">
        <f>'ANALYSE - ERP =&gt; SOUS-SEGMENT'!$HK$60</f>
        <v>37.110773700000003</v>
      </c>
      <c r="AD50" s="407">
        <f>'ANALYSE - ERP =&gt; SOUS-SEGMENT'!$HN$60</f>
        <v>24.202678500000001</v>
      </c>
      <c r="AE50" s="685"/>
      <c r="AF50" s="450">
        <f>'ANALYSE - ERP =&gt; SOUS-SEGMENT'!$Q$60</f>
        <v>1</v>
      </c>
    </row>
    <row r="51" spans="1:32" ht="15" customHeight="1">
      <c r="A51" s="26">
        <v>48</v>
      </c>
      <c r="B51" s="26">
        <v>51</v>
      </c>
      <c r="C51" s="26">
        <v>37</v>
      </c>
      <c r="D51" s="422">
        <f>'ANALYSE - ERP =&gt; SOUS-SEGMENT'!$A$16</f>
        <v>9</v>
      </c>
      <c r="E51" s="411" t="str">
        <f>'ANALYSE - ERP =&gt; SOUS-SEGMENT'!$B$16</f>
        <v>Enfance, Enseignement, Jeunesse &amp; Formation</v>
      </c>
      <c r="F51" s="411" t="str">
        <f>'ANALYSE - ERP =&gt; SOUS-SEGMENT'!$C$16</f>
        <v>Enseignement supérieur</v>
      </c>
      <c r="G51" s="411" t="str">
        <f>'ANALYSE - ERP =&gt; SOUS-SEGMENT'!$D$16</f>
        <v>Universités</v>
      </c>
      <c r="I51" s="427">
        <f t="shared" si="5"/>
        <v>210.37855031999999</v>
      </c>
      <c r="K51" s="787">
        <f t="shared" si="3"/>
        <v>0.65012141262481915</v>
      </c>
      <c r="L51" s="787">
        <f t="shared" si="4"/>
        <v>0.34987858737518085</v>
      </c>
      <c r="N51" s="424">
        <f>'ANALYSE - ERP =&gt; SOUS-SEGMENT'!$FG$16</f>
        <v>1051.8927515999999</v>
      </c>
      <c r="O51" s="427">
        <f>'ANALYSE - ERP =&gt; SOUS-SEGMENT'!$HC$16</f>
        <v>76.790725127999991</v>
      </c>
      <c r="P51" s="427">
        <f>'ANALYSE - ERP =&gt; SOUS-SEGMENT'!$HF$16</f>
        <v>473.35173821999996</v>
      </c>
      <c r="Q51" s="427">
        <f>'ANALYSE - ERP =&gt; SOUS-SEGMENT'!$HI$16</f>
        <v>274.01423039999997</v>
      </c>
      <c r="R51" s="427">
        <f>'ANALYSE - ERP =&gt; SOUS-SEGMENT'!$HL$16</f>
        <v>227.73605785199999</v>
      </c>
      <c r="T51" s="424">
        <f>'ANALYSE - ERP =&gt; SOUS-SEGMENT'!$FH$16</f>
        <v>683.85800159999997</v>
      </c>
      <c r="U51" s="427">
        <f>'ANALYSE - ERP =&gt; SOUS-SEGMENT'!$HD$16</f>
        <v>54.708640127999999</v>
      </c>
      <c r="V51" s="427">
        <f>'ANALYSE - ERP =&gt; SOUS-SEGMENT'!$HG$16</f>
        <v>307.73610071999997</v>
      </c>
      <c r="W51" s="427">
        <f>'ANALYSE - ERP =&gt; SOUS-SEGMENT'!$HJ$16</f>
        <v>170.96450039999999</v>
      </c>
      <c r="X51" s="427">
        <f>'ANALYSE - ERP =&gt; SOUS-SEGMENT'!$HM$16</f>
        <v>150.44876035199999</v>
      </c>
      <c r="Z51" s="427">
        <f>'ANALYSE - ERP =&gt; SOUS-SEGMENT'!$FI$16</f>
        <v>368.03474999999997</v>
      </c>
      <c r="AA51" s="427">
        <f>'ANALYSE - ERP =&gt; SOUS-SEGMENT'!$HE$16</f>
        <v>22.082084999999999</v>
      </c>
      <c r="AB51" s="427">
        <f>'ANALYSE - ERP =&gt; SOUS-SEGMENT'!$HH$16</f>
        <v>165.61563749999999</v>
      </c>
      <c r="AC51" s="427">
        <f>'ANALYSE - ERP =&gt; SOUS-SEGMENT'!$HK$16</f>
        <v>103.04973</v>
      </c>
      <c r="AD51" s="427">
        <f>'ANALYSE - ERP =&gt; SOUS-SEGMENT'!$HN$16</f>
        <v>77.287297499999994</v>
      </c>
      <c r="AF51" s="430">
        <f>'ANALYSE - ERP =&gt; SOUS-SEGMENT'!$Q$16</f>
        <v>1</v>
      </c>
    </row>
    <row r="52" spans="1:32" ht="15" customHeight="1">
      <c r="A52" s="26">
        <v>49</v>
      </c>
      <c r="B52" s="26">
        <v>48</v>
      </c>
      <c r="C52" s="26">
        <v>56</v>
      </c>
      <c r="D52" s="422">
        <f>'ANALYSE - ERP =&gt; SOUS-SEGMENT'!$A$89</f>
        <v>82</v>
      </c>
      <c r="E52" s="413" t="str">
        <f>'ANALYSE - ERP =&gt; SOUS-SEGMENT'!$B$89</f>
        <v>Hébergement Touristique</v>
      </c>
      <c r="F52" s="413" t="str">
        <f>'ANALYSE - ERP =&gt; SOUS-SEGMENT'!$C$89</f>
        <v>Hébergement Touristique</v>
      </c>
      <c r="G52" s="413" t="str">
        <f>'ANALYSE - ERP =&gt; SOUS-SEGMENT'!$D$89</f>
        <v>Résidences de tourisme</v>
      </c>
      <c r="I52" s="427">
        <f t="shared" si="5"/>
        <v>214.71444249999999</v>
      </c>
      <c r="K52" s="787">
        <f t="shared" si="3"/>
        <v>0.71422509224082587</v>
      </c>
      <c r="L52" s="787">
        <f t="shared" si="4"/>
        <v>0.28577490775917413</v>
      </c>
      <c r="N52" s="424">
        <f>'ANALYSE - ERP =&gt; SOUS-SEGMENT'!$FG$89</f>
        <v>1073.5722125</v>
      </c>
      <c r="O52" s="427">
        <f>'ANALYSE - ERP =&gt; SOUS-SEGMENT'!$HC$89</f>
        <v>128.84660000000002</v>
      </c>
      <c r="P52" s="427">
        <f>'ANALYSE - ERP =&gt; SOUS-SEGMENT'!$HF$89</f>
        <v>425.72981249999998</v>
      </c>
      <c r="Q52" s="427">
        <f>'ANALYSE - ERP =&gt; SOUS-SEGMENT'!$HI$89</f>
        <v>173.35875000000001</v>
      </c>
      <c r="R52" s="427">
        <f>'ANALYSE - ERP =&gt; SOUS-SEGMENT'!$HL$89</f>
        <v>345.63705000000004</v>
      </c>
      <c r="T52" s="424">
        <f>'ANALYSE - ERP =&gt; SOUS-SEGMENT'!$FH$89</f>
        <v>766.77221250000002</v>
      </c>
      <c r="U52" s="427">
        <f>'ANALYSE - ERP =&gt; SOUS-SEGMENT'!$HD$89</f>
        <v>98.166600000000017</v>
      </c>
      <c r="V52" s="427">
        <f>'ANALYSE - ERP =&gt; SOUS-SEGMENT'!$HG$89</f>
        <v>287.66981249999998</v>
      </c>
      <c r="W52" s="427">
        <f>'ANALYSE - ERP =&gt; SOUS-SEGMENT'!$HJ$89</f>
        <v>127.33875</v>
      </c>
      <c r="X52" s="427">
        <f>'ANALYSE - ERP =&gt; SOUS-SEGMENT'!$HM$89</f>
        <v>253.59705000000002</v>
      </c>
      <c r="Z52" s="427">
        <f>'ANALYSE - ERP =&gt; SOUS-SEGMENT'!$FI$89</f>
        <v>306.8</v>
      </c>
      <c r="AA52" s="427">
        <f>'ANALYSE - ERP =&gt; SOUS-SEGMENT'!$HE$89</f>
        <v>30.680000000000003</v>
      </c>
      <c r="AB52" s="427">
        <f>'ANALYSE - ERP =&gt; SOUS-SEGMENT'!$HH$89</f>
        <v>138.06</v>
      </c>
      <c r="AC52" s="427">
        <f>'ANALYSE - ERP =&gt; SOUS-SEGMENT'!$HK$89</f>
        <v>46.02</v>
      </c>
      <c r="AD52" s="427">
        <f>'ANALYSE - ERP =&gt; SOUS-SEGMENT'!$HN$89</f>
        <v>92.04</v>
      </c>
      <c r="AF52" s="430">
        <f>'ANALYSE - ERP =&gt; SOUS-SEGMENT'!$Q$89</f>
        <v>1</v>
      </c>
    </row>
    <row r="53" spans="1:32" ht="15" customHeight="1">
      <c r="A53" s="26">
        <v>50</v>
      </c>
      <c r="B53" s="26">
        <v>53</v>
      </c>
      <c r="C53" s="26">
        <v>43</v>
      </c>
      <c r="D53" s="422">
        <f>'ANALYSE - ERP =&gt; SOUS-SEGMENT'!$A$17</f>
        <v>10</v>
      </c>
      <c r="E53" s="417" t="str">
        <f>'ANALYSE - ERP =&gt; SOUS-SEGMENT'!$B$17</f>
        <v>Enfance, Enseignement, Jeunesse &amp; Formation</v>
      </c>
      <c r="F53" s="417" t="str">
        <f>'ANALYSE - ERP =&gt; SOUS-SEGMENT'!$C$17</f>
        <v>Enseignement supérieur</v>
      </c>
      <c r="G53" s="417" t="str">
        <f>'ANALYSE - ERP =&gt; SOUS-SEGMENT'!$D$17</f>
        <v>Grandes écoles</v>
      </c>
      <c r="I53" s="427">
        <f t="shared" si="5"/>
        <v>177.98112259199999</v>
      </c>
      <c r="K53" s="787">
        <f t="shared" si="3"/>
        <v>0.65690383839198918</v>
      </c>
      <c r="L53" s="787">
        <f t="shared" si="4"/>
        <v>0.34309616160801076</v>
      </c>
      <c r="N53" s="424">
        <f>'ANALYSE - ERP =&gt; SOUS-SEGMENT'!$FG$17</f>
        <v>889.90561295999998</v>
      </c>
      <c r="O53" s="427">
        <f>'ANALYSE - ERP =&gt; SOUS-SEGMENT'!$HC$17</f>
        <v>65.085985036799997</v>
      </c>
      <c r="P53" s="427">
        <f>'ANALYSE - ERP =&gt; SOUS-SEGMENT'!$HF$17</f>
        <v>400.45752583199999</v>
      </c>
      <c r="Q53" s="427">
        <f>'ANALYSE - ERP =&gt; SOUS-SEGMENT'!$HI$17</f>
        <v>231.63609924000002</v>
      </c>
      <c r="R53" s="427">
        <f>'ANALYSE - ERP =&gt; SOUS-SEGMENT'!$HL$17</f>
        <v>192.72600285120001</v>
      </c>
      <c r="T53" s="424">
        <f>'ANALYSE - ERP =&gt; SOUS-SEGMENT'!$FH$17</f>
        <v>584.58241295999994</v>
      </c>
      <c r="U53" s="427">
        <f>'ANALYSE - ERP =&gt; SOUS-SEGMENT'!$HD$17</f>
        <v>46.766593036799996</v>
      </c>
      <c r="V53" s="427">
        <f>'ANALYSE - ERP =&gt; SOUS-SEGMENT'!$HG$17</f>
        <v>263.06208583199998</v>
      </c>
      <c r="W53" s="427">
        <f>'ANALYSE - ERP =&gt; SOUS-SEGMENT'!$HJ$17</f>
        <v>146.14560323999999</v>
      </c>
      <c r="X53" s="427">
        <f>'ANALYSE - ERP =&gt; SOUS-SEGMENT'!$HM$17</f>
        <v>128.6081308512</v>
      </c>
      <c r="Z53" s="427">
        <f>'ANALYSE - ERP =&gt; SOUS-SEGMENT'!$FI$17</f>
        <v>305.32320000000004</v>
      </c>
      <c r="AA53" s="427">
        <f>'ANALYSE - ERP =&gt; SOUS-SEGMENT'!$HE$17</f>
        <v>18.319392000000001</v>
      </c>
      <c r="AB53" s="427">
        <f>'ANALYSE - ERP =&gt; SOUS-SEGMENT'!$HH$17</f>
        <v>137.39544000000004</v>
      </c>
      <c r="AC53" s="427">
        <f>'ANALYSE - ERP =&gt; SOUS-SEGMENT'!$HK$17</f>
        <v>85.490496000000022</v>
      </c>
      <c r="AD53" s="427">
        <f>'ANALYSE - ERP =&gt; SOUS-SEGMENT'!$HN$17</f>
        <v>64.117872000000006</v>
      </c>
      <c r="AF53" s="430">
        <f>'ANALYSE - ERP =&gt; SOUS-SEGMENT'!$Q$17</f>
        <v>1</v>
      </c>
    </row>
    <row r="54" spans="1:32" ht="15" customHeight="1">
      <c r="A54" s="26">
        <v>51</v>
      </c>
      <c r="B54" s="26">
        <v>56</v>
      </c>
      <c r="C54" s="26">
        <v>38</v>
      </c>
      <c r="D54" s="422">
        <f>'ANALYSE - ERP =&gt; SOUS-SEGMENT'!$A$18</f>
        <v>11</v>
      </c>
      <c r="E54" s="410" t="str">
        <f>'ANALYSE - ERP =&gt; SOUS-SEGMENT'!$B$18</f>
        <v>Enfance, Enseignement, Jeunesse &amp; Formation</v>
      </c>
      <c r="F54" s="410" t="str">
        <f>'ANALYSE - ERP =&gt; SOUS-SEGMENT'!$C$18</f>
        <v>Enseignement supérieur</v>
      </c>
      <c r="G54" s="410" t="str">
        <f>'ANALYSE - ERP =&gt; SOUS-SEGMENT'!$D$18</f>
        <v>Résidences étudiantes et dortoirs</v>
      </c>
      <c r="I54" s="427">
        <f t="shared" si="5"/>
        <v>160.78007343120004</v>
      </c>
      <c r="K54" s="787">
        <f t="shared" si="3"/>
        <v>0.57930148583403862</v>
      </c>
      <c r="L54" s="787">
        <f t="shared" si="4"/>
        <v>0.42069851416596132</v>
      </c>
      <c r="N54" s="424">
        <f>'ANALYSE - ERP =&gt; SOUS-SEGMENT'!$FG$18</f>
        <v>803.90036715600013</v>
      </c>
      <c r="O54" s="427">
        <f>'ANALYSE - ERP =&gt; SOUS-SEGMENT'!$HC$18</f>
        <v>89.704050258720002</v>
      </c>
      <c r="P54" s="427">
        <f>'ANALYSE - ERP =&gt; SOUS-SEGMENT'!$HF$18</f>
        <v>361.75516522020001</v>
      </c>
      <c r="Q54" s="427">
        <f>'ANALYSE - ERP =&gt; SOUS-SEGMENT'!$HI$18</f>
        <v>106.61403475872</v>
      </c>
      <c r="R54" s="427">
        <f>'ANALYSE - ERP =&gt; SOUS-SEGMENT'!$HL$18</f>
        <v>245.82711691835999</v>
      </c>
      <c r="T54" s="424">
        <f>'ANALYSE - ERP =&gt; SOUS-SEGMENT'!$FH$18</f>
        <v>465.70067715600004</v>
      </c>
      <c r="U54" s="427">
        <f>'ANALYSE - ERP =&gt; SOUS-SEGMENT'!$HD$18</f>
        <v>55.884081258719995</v>
      </c>
      <c r="V54" s="427">
        <f>'ANALYSE - ERP =&gt; SOUS-SEGMENT'!$HG$18</f>
        <v>209.5653047202</v>
      </c>
      <c r="W54" s="427">
        <f>'ANALYSE - ERP =&gt; SOUS-SEGMENT'!$HJ$18</f>
        <v>55.884081258719995</v>
      </c>
      <c r="X54" s="427">
        <f>'ANALYSE - ERP =&gt; SOUS-SEGMENT'!$HM$18</f>
        <v>144.36720991836</v>
      </c>
      <c r="Z54" s="427">
        <f>'ANALYSE - ERP =&gt; SOUS-SEGMENT'!$FI$18</f>
        <v>338.19969000000003</v>
      </c>
      <c r="AA54" s="427">
        <f>'ANALYSE - ERP =&gt; SOUS-SEGMENT'!$HE$18</f>
        <v>33.819969000000007</v>
      </c>
      <c r="AB54" s="427">
        <f>'ANALYSE - ERP =&gt; SOUS-SEGMENT'!$HH$18</f>
        <v>152.18986050000001</v>
      </c>
      <c r="AC54" s="427">
        <f>'ANALYSE - ERP =&gt; SOUS-SEGMENT'!$HK$18</f>
        <v>50.729953500000001</v>
      </c>
      <c r="AD54" s="427">
        <f>'ANALYSE - ERP =&gt; SOUS-SEGMENT'!$HN$18</f>
        <v>101.459907</v>
      </c>
      <c r="AF54" s="430">
        <f>'ANALYSE - ERP =&gt; SOUS-SEGMENT'!$Q$18</f>
        <v>1</v>
      </c>
    </row>
    <row r="55" spans="1:32" ht="15" customHeight="1">
      <c r="A55" s="26">
        <v>52</v>
      </c>
      <c r="B55" s="26">
        <v>65</v>
      </c>
      <c r="C55" s="26">
        <v>32</v>
      </c>
      <c r="D55" s="422">
        <f>'ANALYSE - ERP =&gt; SOUS-SEGMENT'!$A$61</f>
        <v>54</v>
      </c>
      <c r="E55" s="413" t="str">
        <f>'ANALYSE - ERP =&gt; SOUS-SEGMENT'!$B$61</f>
        <v>Santé &amp; Médico-social</v>
      </c>
      <c r="F55" s="413" t="str">
        <f>'ANALYSE - ERP =&gt; SOUS-SEGMENT'!$C$61</f>
        <v>Médico-social</v>
      </c>
      <c r="G55" s="413" t="str">
        <f>'ANALYSE - ERP =&gt; SOUS-SEGMENT'!$D$61</f>
        <v>Résidences services seniors
(Privé)</v>
      </c>
      <c r="I55" s="427">
        <f t="shared" si="5"/>
        <v>156.37746295881897</v>
      </c>
      <c r="K55" s="787">
        <f t="shared" si="3"/>
        <v>0.35606718452442332</v>
      </c>
      <c r="L55" s="787">
        <f t="shared" si="4"/>
        <v>0.64393281547557668</v>
      </c>
      <c r="N55" s="424">
        <f>'ANALYSE - ERP =&gt; SOUS-SEGMENT'!$FG$61</f>
        <v>781.88731479409478</v>
      </c>
      <c r="O55" s="427">
        <f>'ANALYSE - ERP =&gt; SOUS-SEGMENT'!$HC$61</f>
        <v>133.58210969230768</v>
      </c>
      <c r="P55" s="427">
        <f>'ANALYSE - ERP =&gt; SOUS-SEGMENT'!$HF$61</f>
        <v>287.30353538461537</v>
      </c>
      <c r="Q55" s="427">
        <f>'ANALYSE - ERP =&gt; SOUS-SEGMENT'!$HI$61</f>
        <v>244.64445644444444</v>
      </c>
      <c r="R55" s="427">
        <f>'ANALYSE - ERP =&gt; SOUS-SEGMENT'!$HL$61</f>
        <v>116.35721327272728</v>
      </c>
      <c r="T55" s="424">
        <f>'ANALYSE - ERP =&gt; SOUS-SEGMENT'!$FH$61</f>
        <v>278.40441479409481</v>
      </c>
      <c r="U55" s="427">
        <f>'ANALYSE - ERP =&gt; SOUS-SEGMENT'!$HD$61</f>
        <v>42.955187692307696</v>
      </c>
      <c r="V55" s="427">
        <f>'ANALYSE - ERP =&gt; SOUS-SEGMENT'!$HG$61</f>
        <v>85.910375384615392</v>
      </c>
      <c r="W55" s="427">
        <f>'ANALYSE - ERP =&gt; SOUS-SEGMENT'!$HJ$61</f>
        <v>103.66924444444444</v>
      </c>
      <c r="X55" s="427">
        <f>'ANALYSE - ERP =&gt; SOUS-SEGMENT'!$HM$61</f>
        <v>45.869607272727279</v>
      </c>
      <c r="Z55" s="427">
        <f>'ANALYSE - ERP =&gt; SOUS-SEGMENT'!$FI$61</f>
        <v>503.48289999999997</v>
      </c>
      <c r="AA55" s="427">
        <f>'ANALYSE - ERP =&gt; SOUS-SEGMENT'!$HE$61</f>
        <v>90.626921999999993</v>
      </c>
      <c r="AB55" s="427">
        <f>'ANALYSE - ERP =&gt; SOUS-SEGMENT'!$HH$61</f>
        <v>201.39315999999999</v>
      </c>
      <c r="AC55" s="427">
        <f>'ANALYSE - ERP =&gt; SOUS-SEGMENT'!$HK$61</f>
        <v>140.975212</v>
      </c>
      <c r="AD55" s="427">
        <f>'ANALYSE - ERP =&gt; SOUS-SEGMENT'!$HN$61</f>
        <v>70.487606</v>
      </c>
      <c r="AF55" s="430">
        <f>'ANALYSE - ERP =&gt; SOUS-SEGMENT'!$Q$61</f>
        <v>1</v>
      </c>
    </row>
    <row r="56" spans="1:32" ht="15" customHeight="1">
      <c r="A56" s="26">
        <v>53</v>
      </c>
      <c r="B56" s="26">
        <v>49</v>
      </c>
      <c r="C56" s="26">
        <v>62</v>
      </c>
      <c r="D56" s="422">
        <f>'ANALYSE - ERP =&gt; SOUS-SEGMENT'!$A$31</f>
        <v>24</v>
      </c>
      <c r="E56" s="409" t="str">
        <f>'ANALYSE - ERP =&gt; SOUS-SEGMENT'!$B$31</f>
        <v>Sports &amp; Loisirs</v>
      </c>
      <c r="F56" s="409" t="str">
        <f>'ANALYSE - ERP =&gt; SOUS-SEGMENT'!$C$31</f>
        <v>Sport de plein air</v>
      </c>
      <c r="G56" s="409" t="str">
        <f>'ANALYSE - ERP =&gt; SOUS-SEGMENT'!$D$31</f>
        <v>Piscines extérieures 
(Hors campings, hôtels, résidences et établissement avec bassin intérieur)</v>
      </c>
      <c r="I56" s="427">
        <f t="shared" si="5"/>
        <v>152.69244704166667</v>
      </c>
      <c r="K56" s="787">
        <f t="shared" si="3"/>
        <v>0.89111642178697159</v>
      </c>
      <c r="L56" s="787">
        <f t="shared" si="4"/>
        <v>0.10888357821302834</v>
      </c>
      <c r="N56" s="424">
        <f>'ANALYSE - ERP =&gt; SOUS-SEGMENT'!$FG$31</f>
        <v>763.46223520833337</v>
      </c>
      <c r="O56" s="427">
        <f>'ANALYSE - ERP =&gt; SOUS-SEGMENT'!$HC$31</f>
        <v>43.295970624999995</v>
      </c>
      <c r="P56" s="427">
        <f>'ANALYSE - ERP =&gt; SOUS-SEGMENT'!$HF$31</f>
        <v>388.18557500000009</v>
      </c>
      <c r="Q56" s="427">
        <f>'ANALYSE - ERP =&gt; SOUS-SEGMENT'!$HI$31</f>
        <v>89.917081249999995</v>
      </c>
      <c r="R56" s="427">
        <f>'ANALYSE - ERP =&gt; SOUS-SEGMENT'!$HL$31</f>
        <v>242.06360833333332</v>
      </c>
      <c r="T56" s="424">
        <f>'ANALYSE - ERP =&gt; SOUS-SEGMENT'!$FH$31</f>
        <v>680.33373520833334</v>
      </c>
      <c r="U56" s="427">
        <f>'ANALYSE - ERP =&gt; SOUS-SEGMENT'!$HD$31</f>
        <v>39.970830624999998</v>
      </c>
      <c r="V56" s="427">
        <f>'ANALYSE - ERP =&gt; SOUS-SEGMENT'!$HG$31</f>
        <v>342.46490000000006</v>
      </c>
      <c r="W56" s="427">
        <f>'ANALYSE - ERP =&gt; SOUS-SEGMENT'!$HJ$31</f>
        <v>79.941661249999996</v>
      </c>
      <c r="X56" s="427">
        <f>'ANALYSE - ERP =&gt; SOUS-SEGMENT'!$HM$31</f>
        <v>217.95634333333331</v>
      </c>
      <c r="Z56" s="427">
        <f>'ANALYSE - ERP =&gt; SOUS-SEGMENT'!$FI$31</f>
        <v>83.128500000000003</v>
      </c>
      <c r="AA56" s="427">
        <f>'ANALYSE - ERP =&gt; SOUS-SEGMENT'!$HE$31</f>
        <v>3.3251400000000002</v>
      </c>
      <c r="AB56" s="427">
        <f>'ANALYSE - ERP =&gt; SOUS-SEGMENT'!$HH$31</f>
        <v>45.720675000000007</v>
      </c>
      <c r="AC56" s="427">
        <f>'ANALYSE - ERP =&gt; SOUS-SEGMENT'!$HK$31</f>
        <v>9.9754199999999997</v>
      </c>
      <c r="AD56" s="427">
        <f>'ANALYSE - ERP =&gt; SOUS-SEGMENT'!$HN$31</f>
        <v>24.107264999999998</v>
      </c>
      <c r="AF56" s="430">
        <f>'ANALYSE - ERP =&gt; SOUS-SEGMENT'!$Q$31</f>
        <v>1</v>
      </c>
    </row>
    <row r="57" spans="1:32" ht="15" customHeight="1">
      <c r="A57" s="26">
        <v>54</v>
      </c>
      <c r="B57" s="26">
        <v>52</v>
      </c>
      <c r="C57" s="26">
        <v>57</v>
      </c>
      <c r="D57" s="422">
        <f>'ANALYSE - ERP =&gt; SOUS-SEGMENT'!$A$105</f>
        <v>98</v>
      </c>
      <c r="E57" s="409" t="str">
        <f>'ANALYSE - ERP =&gt; SOUS-SEGMENT'!$B$105</f>
        <v>Culte, Vie civique &amp; Services publics</v>
      </c>
      <c r="F57" s="409" t="str">
        <f>'ANALYSE - ERP =&gt; SOUS-SEGMENT'!$C$105</f>
        <v>Administrations / services publics</v>
      </c>
      <c r="G57" s="409" t="str">
        <f>'ANALYSE - ERP =&gt; SOUS-SEGMENT'!$D$105</f>
        <v>Préfectures / services administratifs</v>
      </c>
      <c r="I57" s="427">
        <f t="shared" si="5"/>
        <v>121.89798492649575</v>
      </c>
      <c r="K57" s="787">
        <f t="shared" si="3"/>
        <v>0.82047545729984117</v>
      </c>
      <c r="L57" s="787">
        <f t="shared" si="4"/>
        <v>0.1795245427001588</v>
      </c>
      <c r="N57" s="424">
        <f>'ANALYSE - ERP =&gt; SOUS-SEGMENT'!$FG$105</f>
        <v>609.48992463247873</v>
      </c>
      <c r="O57" s="427">
        <f>'ANALYSE - ERP =&gt; SOUS-SEGMENT'!$HC$105</f>
        <v>60.466872000000002</v>
      </c>
      <c r="P57" s="427">
        <f>'ANALYSE - ERP =&gt; SOUS-SEGMENT'!$HF$105</f>
        <v>306.24308507692314</v>
      </c>
      <c r="Q57" s="427">
        <f>'ANALYSE - ERP =&gt; SOUS-SEGMENT'!$HI$105</f>
        <v>149.89129155555557</v>
      </c>
      <c r="R57" s="427">
        <f>'ANALYSE - ERP =&gt; SOUS-SEGMENT'!$HL$105</f>
        <v>92.888676000000018</v>
      </c>
      <c r="T57" s="424">
        <f>'ANALYSE - ERP =&gt; SOUS-SEGMENT'!$FH$105</f>
        <v>500.07152463247871</v>
      </c>
      <c r="U57" s="427">
        <f>'ANALYSE - ERP =&gt; SOUS-SEGMENT'!$HD$105</f>
        <v>51.7134</v>
      </c>
      <c r="V57" s="427">
        <f>'ANALYSE - ERP =&gt; SOUS-SEGMENT'!$HG$105</f>
        <v>246.06296507692312</v>
      </c>
      <c r="W57" s="427">
        <f>'ANALYSE - ERP =&gt; SOUS-SEGMENT'!$HJ$105</f>
        <v>124.72505955555557</v>
      </c>
      <c r="X57" s="427">
        <f>'ANALYSE - ERP =&gt; SOUS-SEGMENT'!$HM$105</f>
        <v>77.570100000000011</v>
      </c>
      <c r="Z57" s="427">
        <f>'ANALYSE - ERP =&gt; SOUS-SEGMENT'!$FI$105</f>
        <v>109.41840000000001</v>
      </c>
      <c r="AA57" s="427">
        <f>'ANALYSE - ERP =&gt; SOUS-SEGMENT'!$HE$105</f>
        <v>8.7534720000000004</v>
      </c>
      <c r="AB57" s="427">
        <f>'ANALYSE - ERP =&gt; SOUS-SEGMENT'!$HH$105</f>
        <v>60.180120000000009</v>
      </c>
      <c r="AC57" s="427">
        <f>'ANALYSE - ERP =&gt; SOUS-SEGMENT'!$HK$105</f>
        <v>25.166232000000001</v>
      </c>
      <c r="AD57" s="427">
        <f>'ANALYSE - ERP =&gt; SOUS-SEGMENT'!$HN$105</f>
        <v>15.318576000000002</v>
      </c>
      <c r="AF57" s="430">
        <f>'ANALYSE - ERP =&gt; SOUS-SEGMENT'!$Q$105</f>
        <v>1</v>
      </c>
    </row>
    <row r="58" spans="1:32" ht="15" customHeight="1">
      <c r="A58" s="26">
        <v>55</v>
      </c>
      <c r="B58" s="26">
        <v>50</v>
      </c>
      <c r="C58" s="26">
        <v>65</v>
      </c>
      <c r="D58" s="422">
        <f>'ANALYSE - ERP =&gt; SOUS-SEGMENT'!$A$119</f>
        <v>112</v>
      </c>
      <c r="E58" s="408" t="str">
        <f>'ANALYSE - ERP =&gt; SOUS-SEGMENT'!$B$119</f>
        <v>Culte, Vie civique &amp; Services publics</v>
      </c>
      <c r="F58" s="408" t="str">
        <f>'ANALYSE - ERP =&gt; SOUS-SEGMENT'!$C$119</f>
        <v>Culte</v>
      </c>
      <c r="G58" s="408" t="str">
        <f>'ANALYSE - ERP =&gt; SOUS-SEGMENT'!$D$119</f>
        <v>Salles du Royaume, centres cultuels pluriconfessionnels et lieux de culte polyvalents</v>
      </c>
      <c r="I58" s="427">
        <f t="shared" si="5"/>
        <v>33.632700595238092</v>
      </c>
      <c r="K58" s="787">
        <f t="shared" si="3"/>
        <v>0.88511775945381399</v>
      </c>
      <c r="L58" s="787">
        <f t="shared" si="4"/>
        <v>0.11488224054618612</v>
      </c>
      <c r="N58" s="424">
        <f>'ANALYSE - ERP =&gt; SOUS-SEGMENT'!$FG$119</f>
        <v>168.16350297619047</v>
      </c>
      <c r="O58" s="427">
        <f>'ANALYSE - ERP =&gt; SOUS-SEGMENT'!$HC$119</f>
        <v>9.3868224999999992</v>
      </c>
      <c r="P58" s="427">
        <f>'ANALYSE - ERP =&gt; SOUS-SEGMENT'!$HF$119</f>
        <v>85.41170000000001</v>
      </c>
      <c r="Q58" s="427">
        <f>'ANALYSE - ERP =&gt; SOUS-SEGMENT'!$HI$119</f>
        <v>22.12913714285714</v>
      </c>
      <c r="R58" s="427">
        <f>'ANALYSE - ERP =&gt; SOUS-SEGMENT'!$HL$119</f>
        <v>51.235843333333335</v>
      </c>
      <c r="T58" s="424">
        <f>'ANALYSE - ERP =&gt; SOUS-SEGMENT'!$FH$119</f>
        <v>148.84450297619048</v>
      </c>
      <c r="U58" s="427">
        <f>'ANALYSE - ERP =&gt; SOUS-SEGMENT'!$HD$119</f>
        <v>8.6140624999999993</v>
      </c>
      <c r="V58" s="427">
        <f>'ANALYSE - ERP =&gt; SOUS-SEGMENT'!$HG$119</f>
        <v>74.78625000000001</v>
      </c>
      <c r="W58" s="427">
        <f>'ANALYSE - ERP =&gt; SOUS-SEGMENT'!$HJ$119</f>
        <v>19.810857142857142</v>
      </c>
      <c r="X58" s="427">
        <f>'ANALYSE - ERP =&gt; SOUS-SEGMENT'!$HM$119</f>
        <v>45.633333333333333</v>
      </c>
      <c r="Z58" s="427">
        <f>'ANALYSE - ERP =&gt; SOUS-SEGMENT'!$FI$119</f>
        <v>19.318999999999999</v>
      </c>
      <c r="AA58" s="427">
        <f>'ANALYSE - ERP =&gt; SOUS-SEGMENT'!$HE$119</f>
        <v>0.77276</v>
      </c>
      <c r="AB58" s="427">
        <f>'ANALYSE - ERP =&gt; SOUS-SEGMENT'!$HH$119</f>
        <v>10.625450000000001</v>
      </c>
      <c r="AC58" s="427">
        <f>'ANALYSE - ERP =&gt; SOUS-SEGMENT'!$HK$119</f>
        <v>2.3182799999999997</v>
      </c>
      <c r="AD58" s="427">
        <f>'ANALYSE - ERP =&gt; SOUS-SEGMENT'!$HN$119</f>
        <v>5.6025099999999997</v>
      </c>
      <c r="AF58" s="430">
        <f>'ANALYSE - ERP =&gt; SOUS-SEGMENT'!$Q$119</f>
        <v>1</v>
      </c>
    </row>
    <row r="59" spans="1:32" ht="15" customHeight="1">
      <c r="A59" s="26">
        <v>56</v>
      </c>
      <c r="B59" s="26">
        <v>69</v>
      </c>
      <c r="C59" s="26">
        <v>34</v>
      </c>
      <c r="D59" s="422">
        <f>'ANALYSE - ERP =&gt; SOUS-SEGMENT'!$A$108</f>
        <v>101</v>
      </c>
      <c r="E59" s="414" t="str">
        <f>'ANALYSE - ERP =&gt; SOUS-SEGMENT'!$B$108</f>
        <v>Culte, Vie civique &amp; Services publics</v>
      </c>
      <c r="F59" s="414" t="str">
        <f>'ANALYSE - ERP =&gt; SOUS-SEGMENT'!$C$108</f>
        <v>Administrations / services publics</v>
      </c>
      <c r="G59" s="414" t="str">
        <f>'ANALYSE - ERP =&gt; SOUS-SEGMENT'!$D$108</f>
        <v>Maisons France Services / Guichets publics autonomes ou dédiés</v>
      </c>
      <c r="I59" s="427">
        <f t="shared" si="5"/>
        <v>9.8171161628593619</v>
      </c>
      <c r="K59" s="787">
        <f t="shared" si="3"/>
        <v>0.34868449207209412</v>
      </c>
      <c r="L59" s="787">
        <f t="shared" si="4"/>
        <v>0.65131550792790582</v>
      </c>
      <c r="N59" s="424">
        <f>'ANALYSE - ERP =&gt; SOUS-SEGMENT'!$FG$108</f>
        <v>49.085580814296812</v>
      </c>
      <c r="O59" s="427">
        <f>'ANALYSE - ERP =&gt; SOUS-SEGMENT'!$HC$108</f>
        <v>7.5410030909090899</v>
      </c>
      <c r="P59" s="427">
        <f>'ANALYSE - ERP =&gt; SOUS-SEGMENT'!$HF$108</f>
        <v>24.433019076923074</v>
      </c>
      <c r="Q59" s="427">
        <f>'ANALYSE - ERP =&gt; SOUS-SEGMENT'!$HI$108</f>
        <v>8.9311515555555552</v>
      </c>
      <c r="R59" s="427">
        <f>'ANALYSE - ERP =&gt; SOUS-SEGMENT'!$HL$108</f>
        <v>8.1804070909090889</v>
      </c>
      <c r="T59" s="424">
        <f>'ANALYSE - ERP =&gt; SOUS-SEGMENT'!$FH$108</f>
        <v>17.115380814296813</v>
      </c>
      <c r="U59" s="427">
        <f>'ANALYSE - ERP =&gt; SOUS-SEGMENT'!$HD$108</f>
        <v>3.3848770909090904</v>
      </c>
      <c r="V59" s="427">
        <f>'ANALYSE - ERP =&gt; SOUS-SEGMENT'!$HG$108</f>
        <v>5.2508990769230763</v>
      </c>
      <c r="W59" s="427">
        <f>'ANALYSE - ERP =&gt; SOUS-SEGMENT'!$HJ$108</f>
        <v>5.094727555555556</v>
      </c>
      <c r="X59" s="427">
        <f>'ANALYSE - ERP =&gt; SOUS-SEGMENT'!$HM$108</f>
        <v>3.3848770909090904</v>
      </c>
      <c r="Z59" s="427">
        <f>'ANALYSE - ERP =&gt; SOUS-SEGMENT'!$FI$108</f>
        <v>31.970199999999998</v>
      </c>
      <c r="AA59" s="427">
        <f>'ANALYSE - ERP =&gt; SOUS-SEGMENT'!$HE$108</f>
        <v>4.1561259999999995</v>
      </c>
      <c r="AB59" s="427">
        <f>'ANALYSE - ERP =&gt; SOUS-SEGMENT'!$HH$108</f>
        <v>19.182119999999998</v>
      </c>
      <c r="AC59" s="427">
        <f>'ANALYSE - ERP =&gt; SOUS-SEGMENT'!$HK$108</f>
        <v>3.8364239999999996</v>
      </c>
      <c r="AD59" s="427">
        <f>'ANALYSE - ERP =&gt; SOUS-SEGMENT'!$HN$108</f>
        <v>4.7955299999999994</v>
      </c>
      <c r="AF59" s="430">
        <f>'ANALYSE - ERP =&gt; SOUS-SEGMENT'!$Q$108</f>
        <v>1</v>
      </c>
    </row>
    <row r="60" spans="1:32" ht="15" customHeight="1">
      <c r="A60" s="26">
        <v>57</v>
      </c>
      <c r="B60" s="26">
        <v>55</v>
      </c>
      <c r="C60" s="26">
        <v>58</v>
      </c>
      <c r="D60" s="422">
        <f>'ANALYSE - ERP =&gt; SOUS-SEGMENT'!$A$124</f>
        <v>117</v>
      </c>
      <c r="E60" s="409" t="str">
        <f>'ANALYSE - ERP =&gt; SOUS-SEGMENT'!$B$124</f>
        <v>Transport, Mobilité &amp; Stationnement</v>
      </c>
      <c r="F60" s="409" t="str">
        <f>'ANALYSE - ERP =&gt; SOUS-SEGMENT'!$C$124</f>
        <v>Transport / Mobilité</v>
      </c>
      <c r="G60" s="409" t="str">
        <f>'ANALYSE - ERP =&gt; SOUS-SEGMENT'!$D$124</f>
        <v>Aéroports / aérogares
(&gt;1 000 passagers/an)</v>
      </c>
      <c r="I60" s="427">
        <f t="shared" si="5"/>
        <v>120.34190118363638</v>
      </c>
      <c r="K60" s="787">
        <f t="shared" si="3"/>
        <v>0.82291687441865236</v>
      </c>
      <c r="L60" s="787">
        <f t="shared" si="4"/>
        <v>0.17708312558134756</v>
      </c>
      <c r="N60" s="424">
        <f>'ANALYSE - ERP =&gt; SOUS-SEGMENT'!$FG$124</f>
        <v>601.70950591818189</v>
      </c>
      <c r="O60" s="427">
        <f>'ANALYSE - ERP =&gt; SOUS-SEGMENT'!$HC$124</f>
        <v>25.589789399999997</v>
      </c>
      <c r="P60" s="427">
        <f>'ANALYSE - ERP =&gt; SOUS-SEGMENT'!$HF$124</f>
        <v>182.5512328181818</v>
      </c>
      <c r="Q60" s="427">
        <f>'ANALYSE - ERP =&gt; SOUS-SEGMENT'!$HI$124</f>
        <v>256.42207430000002</v>
      </c>
      <c r="R60" s="427">
        <f>'ANALYSE - ERP =&gt; SOUS-SEGMENT'!$HL$124</f>
        <v>137.14640939999998</v>
      </c>
      <c r="T60" s="424">
        <f>'ANALYSE - ERP =&gt; SOUS-SEGMENT'!$FH$124</f>
        <v>495.15690591818185</v>
      </c>
      <c r="U60" s="427">
        <f>'ANALYSE - ERP =&gt; SOUS-SEGMENT'!$HD$124</f>
        <v>22.393211399999998</v>
      </c>
      <c r="V60" s="427">
        <f>'ANALYSE - ERP =&gt; SOUS-SEGMENT'!$HG$124</f>
        <v>145.25782281818181</v>
      </c>
      <c r="W60" s="427">
        <f>'ANALYSE - ERP =&gt; SOUS-SEGMENT'!$HJ$124</f>
        <v>212.73550830000002</v>
      </c>
      <c r="X60" s="427">
        <f>'ANALYSE - ERP =&gt; SOUS-SEGMENT'!$HM$124</f>
        <v>114.77036339999999</v>
      </c>
      <c r="Z60" s="427">
        <f>'ANALYSE - ERP =&gt; SOUS-SEGMENT'!$FI$124</f>
        <v>106.5526</v>
      </c>
      <c r="AA60" s="427">
        <f>'ANALYSE - ERP =&gt; SOUS-SEGMENT'!$HE$124</f>
        <v>3.1965779999999997</v>
      </c>
      <c r="AB60" s="427">
        <f>'ANALYSE - ERP =&gt; SOUS-SEGMENT'!$HH$124</f>
        <v>37.293409999999994</v>
      </c>
      <c r="AC60" s="427">
        <f>'ANALYSE - ERP =&gt; SOUS-SEGMENT'!$HK$124</f>
        <v>43.686565999999999</v>
      </c>
      <c r="AD60" s="427">
        <f>'ANALYSE - ERP =&gt; SOUS-SEGMENT'!$HN$124</f>
        <v>22.376045999999999</v>
      </c>
      <c r="AF60" s="430">
        <f>'ANALYSE - ERP =&gt; SOUS-SEGMENT'!$Q$124</f>
        <v>1</v>
      </c>
    </row>
    <row r="61" spans="1:32" ht="15" customHeight="1">
      <c r="A61" s="26">
        <v>58</v>
      </c>
      <c r="B61" s="26">
        <v>61</v>
      </c>
      <c r="C61" s="26">
        <v>51</v>
      </c>
      <c r="D61" s="422">
        <f>'ANALYSE - ERP =&gt; SOUS-SEGMENT'!$A$72</f>
        <v>65</v>
      </c>
      <c r="E61" s="415" t="str">
        <f>'ANALYSE - ERP =&gt; SOUS-SEGMENT'!$B$72</f>
        <v>Culture, Patrimoine &amp; Evénementiel</v>
      </c>
      <c r="F61" s="415" t="str">
        <f>'ANALYSE - ERP =&gt; SOUS-SEGMENT'!$C$72</f>
        <v>Événementiel temporaire</v>
      </c>
      <c r="G61" s="415" t="str">
        <f>'ANALYSE - ERP =&gt; SOUS-SEGMENT'!$D$72</f>
        <v>Chapiteaux / Tentes / Structures</v>
      </c>
      <c r="I61" s="427">
        <f t="shared" si="5"/>
        <v>76.70860192666666</v>
      </c>
      <c r="K61" s="787">
        <f t="shared" si="3"/>
        <v>0.68629333092258471</v>
      </c>
      <c r="L61" s="787">
        <f t="shared" si="4"/>
        <v>0.31370666907741529</v>
      </c>
      <c r="N61" s="424">
        <f>'ANALYSE - ERP =&gt; SOUS-SEGMENT'!$FG$72</f>
        <v>383.54300963333333</v>
      </c>
      <c r="O61" s="427">
        <f>'ANALYSE - ERP =&gt; SOUS-SEGMENT'!$HC$72</f>
        <v>29.309876799999998</v>
      </c>
      <c r="P61" s="427">
        <f>'ANALYSE - ERP =&gt; SOUS-SEGMENT'!$HF$72</f>
        <v>197.27239583333335</v>
      </c>
      <c r="Q61" s="427">
        <f>'ANALYSE - ERP =&gt; SOUS-SEGMENT'!$HI$72</f>
        <v>59.050572000000003</v>
      </c>
      <c r="R61" s="427">
        <f>'ANALYSE - ERP =&gt; SOUS-SEGMENT'!$HL$72</f>
        <v>97.910165000000006</v>
      </c>
      <c r="T61" s="424">
        <f>'ANALYSE - ERP =&gt; SOUS-SEGMENT'!$FH$72</f>
        <v>263.22300963333333</v>
      </c>
      <c r="U61" s="427">
        <f>'ANALYSE - ERP =&gt; SOUS-SEGMENT'!$HD$72</f>
        <v>22.090676799999997</v>
      </c>
      <c r="V61" s="427">
        <f>'ANALYSE - ERP =&gt; SOUS-SEGMENT'!$HG$72</f>
        <v>131.09639583333333</v>
      </c>
      <c r="W61" s="427">
        <f>'ANALYSE - ERP =&gt; SOUS-SEGMENT'!$HJ$72</f>
        <v>41.002572000000001</v>
      </c>
      <c r="X61" s="427">
        <f>'ANALYSE - ERP =&gt; SOUS-SEGMENT'!$HM$72</f>
        <v>69.033365000000003</v>
      </c>
      <c r="Z61" s="427">
        <f>'ANALYSE - ERP =&gt; SOUS-SEGMENT'!$FI$72</f>
        <v>120.32</v>
      </c>
      <c r="AA61" s="427">
        <f>'ANALYSE - ERP =&gt; SOUS-SEGMENT'!$HE$72</f>
        <v>7.219199999999999</v>
      </c>
      <c r="AB61" s="427">
        <f>'ANALYSE - ERP =&gt; SOUS-SEGMENT'!$HH$72</f>
        <v>66.176000000000002</v>
      </c>
      <c r="AC61" s="427">
        <f>'ANALYSE - ERP =&gt; SOUS-SEGMENT'!$HK$72</f>
        <v>18.047999999999998</v>
      </c>
      <c r="AD61" s="427">
        <f>'ANALYSE - ERP =&gt; SOUS-SEGMENT'!$HN$72</f>
        <v>28.876799999999996</v>
      </c>
      <c r="AF61" s="430">
        <f>'ANALYSE - ERP =&gt; SOUS-SEGMENT'!$Q$72</f>
        <v>1</v>
      </c>
    </row>
    <row r="62" spans="1:32" ht="15" customHeight="1">
      <c r="A62" s="26">
        <v>59</v>
      </c>
      <c r="B62" s="26">
        <v>60</v>
      </c>
      <c r="C62" s="26">
        <v>54</v>
      </c>
      <c r="D62" s="422">
        <f>'ANALYSE - ERP =&gt; SOUS-SEGMENT'!$A$81</f>
        <v>74</v>
      </c>
      <c r="E62" s="410" t="str">
        <f>'ANALYSE - ERP =&gt; SOUS-SEGMENT'!$B$81</f>
        <v>Commerce, Restauration &amp; Loisirs</v>
      </c>
      <c r="F62" s="410" t="str">
        <f>'ANALYSE - ERP =&gt; SOUS-SEGMENT'!$C$81</f>
        <v>Commerce</v>
      </c>
      <c r="G62" s="410" t="str">
        <f>'ANALYSE - ERP =&gt; SOUS-SEGMENT'!$D$81</f>
        <v>Marchés couverts</v>
      </c>
      <c r="I62" s="427">
        <f t="shared" si="5"/>
        <v>117.47389263030303</v>
      </c>
      <c r="K62" s="787">
        <f t="shared" si="3"/>
        <v>0.73328814344645443</v>
      </c>
      <c r="L62" s="787">
        <f t="shared" si="4"/>
        <v>0.26671185655354562</v>
      </c>
      <c r="N62" s="424">
        <f>'ANALYSE - ERP =&gt; SOUS-SEGMENT'!$FG$81</f>
        <v>587.36946315151511</v>
      </c>
      <c r="O62" s="427">
        <f>'ANALYSE - ERP =&gt; SOUS-SEGMENT'!$HC$81</f>
        <v>127.233222</v>
      </c>
      <c r="P62" s="427">
        <f>'ANALYSE - ERP =&gt; SOUS-SEGMENT'!$HF$81</f>
        <v>254.69479781818183</v>
      </c>
      <c r="Q62" s="427">
        <f>'ANALYSE - ERP =&gt; SOUS-SEGMENT'!$HI$81</f>
        <v>141.33247799999998</v>
      </c>
      <c r="R62" s="427">
        <f>'ANALYSE - ERP =&gt; SOUS-SEGMENT'!$HL$81</f>
        <v>64.108965333333344</v>
      </c>
      <c r="T62" s="424">
        <f>'ANALYSE - ERP =&gt; SOUS-SEGMENT'!$FH$81</f>
        <v>430.71106315151513</v>
      </c>
      <c r="U62" s="427">
        <f>'ANALYSE - ERP =&gt; SOUS-SEGMENT'!$HD$81</f>
        <v>103.73446199999999</v>
      </c>
      <c r="V62" s="427">
        <f>'ANALYSE - ERP =&gt; SOUS-SEGMENT'!$HG$81</f>
        <v>177.93218181818182</v>
      </c>
      <c r="W62" s="427">
        <f>'ANALYSE - ERP =&gt; SOUS-SEGMENT'!$HJ$81</f>
        <v>103.73446199999999</v>
      </c>
      <c r="X62" s="427">
        <f>'ANALYSE - ERP =&gt; SOUS-SEGMENT'!$HM$81</f>
        <v>45.309957333333337</v>
      </c>
      <c r="Z62" s="427">
        <f>'ANALYSE - ERP =&gt; SOUS-SEGMENT'!$FI$81</f>
        <v>156.6584</v>
      </c>
      <c r="AA62" s="427">
        <f>'ANALYSE - ERP =&gt; SOUS-SEGMENT'!$HE$81</f>
        <v>23.498760000000001</v>
      </c>
      <c r="AB62" s="427">
        <f>'ANALYSE - ERP =&gt; SOUS-SEGMENT'!$HH$81</f>
        <v>76.762615999999994</v>
      </c>
      <c r="AC62" s="427">
        <f>'ANALYSE - ERP =&gt; SOUS-SEGMENT'!$HK$81</f>
        <v>37.598016000000001</v>
      </c>
      <c r="AD62" s="427">
        <f>'ANALYSE - ERP =&gt; SOUS-SEGMENT'!$HN$81</f>
        <v>18.799008000000001</v>
      </c>
      <c r="AF62" s="430">
        <f>'ANALYSE - ERP =&gt; SOUS-SEGMENT'!$Q$81</f>
        <v>1</v>
      </c>
    </row>
    <row r="63" spans="1:32" ht="15" customHeight="1">
      <c r="A63" s="26">
        <v>60</v>
      </c>
      <c r="B63" s="26">
        <v>58</v>
      </c>
      <c r="C63" s="26">
        <v>61</v>
      </c>
      <c r="D63" s="422">
        <f>'ANALYSE - ERP =&gt; SOUS-SEGMENT'!$A$46</f>
        <v>39</v>
      </c>
      <c r="E63" s="409" t="str">
        <f>'ANALYSE - ERP =&gt; SOUS-SEGMENT'!$B$46</f>
        <v>Santé &amp; Médico-social</v>
      </c>
      <c r="F63" s="409" t="str">
        <f>'ANALYSE - ERP =&gt; SOUS-SEGMENT'!$C$46</f>
        <v>Santé hospitalière</v>
      </c>
      <c r="G63" s="409" t="str">
        <f>'ANALYSE - ERP =&gt; SOUS-SEGMENT'!$D$46</f>
        <v>Cliniques</v>
      </c>
      <c r="I63" s="427">
        <f t="shared" si="5"/>
        <v>108.10188094166668</v>
      </c>
      <c r="K63" s="787">
        <f t="shared" si="3"/>
        <v>0.84109850956923438</v>
      </c>
      <c r="L63" s="787">
        <f t="shared" si="4"/>
        <v>0.15890149043076551</v>
      </c>
      <c r="N63" s="424">
        <f>'ANALYSE - ERP =&gt; SOUS-SEGMENT'!$FG$46</f>
        <v>540.50940470833336</v>
      </c>
      <c r="O63" s="427">
        <f>'ANALYSE - ERP =&gt; SOUS-SEGMENT'!$HC$46</f>
        <v>106.35318699999999</v>
      </c>
      <c r="P63" s="427">
        <f>'ANALYSE - ERP =&gt; SOUS-SEGMENT'!$HF$46</f>
        <v>189.9891593333333</v>
      </c>
      <c r="Q63" s="427">
        <f>'ANALYSE - ERP =&gt; SOUS-SEGMENT'!$HI$46</f>
        <v>163.972729375</v>
      </c>
      <c r="R63" s="427">
        <f>'ANALYSE - ERP =&gt; SOUS-SEGMENT'!$HL$46</f>
        <v>80.19432900000001</v>
      </c>
      <c r="T63" s="424">
        <f>'ANALYSE - ERP =&gt; SOUS-SEGMENT'!$FH$46</f>
        <v>454.62165470833332</v>
      </c>
      <c r="U63" s="427">
        <f>'ANALYSE - ERP =&gt; SOUS-SEGMENT'!$HD$46</f>
        <v>90.893391999999992</v>
      </c>
      <c r="V63" s="427">
        <f>'ANALYSE - ERP =&gt; SOUS-SEGMENT'!$HG$46</f>
        <v>155.63405933333331</v>
      </c>
      <c r="W63" s="427">
        <f>'ANALYSE - ERP =&gt; SOUS-SEGMENT'!$HJ$46</f>
        <v>139.92415937499999</v>
      </c>
      <c r="X63" s="427">
        <f>'ANALYSE - ERP =&gt; SOUS-SEGMENT'!$HM$46</f>
        <v>68.170044000000004</v>
      </c>
      <c r="Z63" s="427">
        <f>'ANALYSE - ERP =&gt; SOUS-SEGMENT'!$FI$46</f>
        <v>85.887749999999997</v>
      </c>
      <c r="AA63" s="427">
        <f>'ANALYSE - ERP =&gt; SOUS-SEGMENT'!$HE$46</f>
        <v>15.459795</v>
      </c>
      <c r="AB63" s="427">
        <f>'ANALYSE - ERP =&gt; SOUS-SEGMENT'!$HH$46</f>
        <v>34.3551</v>
      </c>
      <c r="AC63" s="427">
        <f>'ANALYSE - ERP =&gt; SOUS-SEGMENT'!$HK$46</f>
        <v>24.048570000000002</v>
      </c>
      <c r="AD63" s="427">
        <f>'ANALYSE - ERP =&gt; SOUS-SEGMENT'!$HN$46</f>
        <v>12.024285000000001</v>
      </c>
      <c r="AF63" s="430">
        <f>'ANALYSE - ERP =&gt; SOUS-SEGMENT'!$Q$46</f>
        <v>1</v>
      </c>
    </row>
    <row r="64" spans="1:32" ht="15" customHeight="1">
      <c r="A64" s="26">
        <v>61</v>
      </c>
      <c r="B64" s="26">
        <v>54</v>
      </c>
      <c r="C64" s="26">
        <v>72</v>
      </c>
      <c r="D64" s="422">
        <f>'ANALYSE - ERP =&gt; SOUS-SEGMENT'!$A$114</f>
        <v>107</v>
      </c>
      <c r="E64" s="411" t="str">
        <f>'ANALYSE - ERP =&gt; SOUS-SEGMENT'!$B$114</f>
        <v>Culte, Vie civique &amp; Services publics</v>
      </c>
      <c r="F64" s="411" t="str">
        <f>'ANALYSE - ERP =&gt; SOUS-SEGMENT'!$C$114</f>
        <v>Culte</v>
      </c>
      <c r="G64" s="411" t="str">
        <f>'ANALYSE - ERP =&gt; SOUS-SEGMENT'!$D$114</f>
        <v>Monastères, abbayes et couvents ouverts au public</v>
      </c>
      <c r="I64" s="427">
        <f t="shared" si="5"/>
        <v>22.687674999999999</v>
      </c>
      <c r="K64" s="787">
        <f t="shared" si="3"/>
        <v>0.91812294560813312</v>
      </c>
      <c r="L64" s="787">
        <f t="shared" si="4"/>
        <v>8.187705439186696E-2</v>
      </c>
      <c r="N64" s="424">
        <f>'ANALYSE - ERP =&gt; SOUS-SEGMENT'!$FG$114</f>
        <v>113.43837499999999</v>
      </c>
      <c r="O64" s="427">
        <f>'ANALYSE - ERP =&gt; SOUS-SEGMENT'!$HC$114</f>
        <v>6.2683949999999991</v>
      </c>
      <c r="P64" s="427">
        <f>'ANALYSE - ERP =&gt; SOUS-SEGMENT'!$HF$114</f>
        <v>58.221899999999998</v>
      </c>
      <c r="Q64" s="427">
        <f>'ANALYSE - ERP =&gt; SOUS-SEGMENT'!$HI$114</f>
        <v>14.434559999999998</v>
      </c>
      <c r="R64" s="427">
        <f>'ANALYSE - ERP =&gt; SOUS-SEGMENT'!$HL$114</f>
        <v>34.51352</v>
      </c>
      <c r="T64" s="424">
        <f>'ANALYSE - ERP =&gt; SOUS-SEGMENT'!$FH$114</f>
        <v>104.150375</v>
      </c>
      <c r="U64" s="427">
        <f>'ANALYSE - ERP =&gt; SOUS-SEGMENT'!$HD$114</f>
        <v>5.8968749999999988</v>
      </c>
      <c r="V64" s="427">
        <f>'ANALYSE - ERP =&gt; SOUS-SEGMENT'!$HG$114</f>
        <v>53.113499999999995</v>
      </c>
      <c r="W64" s="427">
        <f>'ANALYSE - ERP =&gt; SOUS-SEGMENT'!$HJ$114</f>
        <v>13.319999999999999</v>
      </c>
      <c r="X64" s="427">
        <f>'ANALYSE - ERP =&gt; SOUS-SEGMENT'!$HM$114</f>
        <v>31.82</v>
      </c>
      <c r="Z64" s="427">
        <f>'ANALYSE - ERP =&gt; SOUS-SEGMENT'!$FI$114</f>
        <v>9.2880000000000003</v>
      </c>
      <c r="AA64" s="427">
        <f>'ANALYSE - ERP =&gt; SOUS-SEGMENT'!$HE$114</f>
        <v>0.37152000000000002</v>
      </c>
      <c r="AB64" s="427">
        <f>'ANALYSE - ERP =&gt; SOUS-SEGMENT'!$HH$114</f>
        <v>5.1084000000000005</v>
      </c>
      <c r="AC64" s="427">
        <f>'ANALYSE - ERP =&gt; SOUS-SEGMENT'!$HK$114</f>
        <v>1.11456</v>
      </c>
      <c r="AD64" s="427">
        <f>'ANALYSE - ERP =&gt; SOUS-SEGMENT'!$HN$114</f>
        <v>2.6935199999999999</v>
      </c>
      <c r="AF64" s="430">
        <f>'ANALYSE - ERP =&gt; SOUS-SEGMENT'!$Q$114</f>
        <v>1</v>
      </c>
    </row>
    <row r="65" spans="1:32" s="45" customFormat="1" ht="15" customHeight="1">
      <c r="A65" s="26">
        <v>62</v>
      </c>
      <c r="B65" s="26">
        <v>57</v>
      </c>
      <c r="C65" s="26">
        <v>63</v>
      </c>
      <c r="D65" s="422">
        <f>'ANALYSE - ERP =&gt; SOUS-SEGMENT'!$A$23</f>
        <v>16</v>
      </c>
      <c r="E65" s="411" t="str">
        <f>'ANALYSE - ERP =&gt; SOUS-SEGMENT'!$B$23</f>
        <v>Sports &amp; Loisirs</v>
      </c>
      <c r="F65" s="411" t="str">
        <f>'ANALYSE - ERP =&gt; SOUS-SEGMENT'!$C$23</f>
        <v>Sport couvert / Thermalisme / Bien-être</v>
      </c>
      <c r="G65" s="411" t="str">
        <f>'ANALYSE - ERP =&gt; SOUS-SEGMENT'!$D$23</f>
        <v>Patinoires couvertes</v>
      </c>
      <c r="H65" s="685"/>
      <c r="I65" s="427">
        <f t="shared" si="5"/>
        <v>107.59603858181819</v>
      </c>
      <c r="J65" s="685"/>
      <c r="K65" s="787">
        <f t="shared" si="3"/>
        <v>0.85613689682237348</v>
      </c>
      <c r="L65" s="787">
        <f t="shared" si="4"/>
        <v>0.14386310317762657</v>
      </c>
      <c r="M65" s="685"/>
      <c r="N65" s="424">
        <f>'ANALYSE - ERP =&gt; SOUS-SEGMENT'!$FG$23</f>
        <v>537.98019290909099</v>
      </c>
      <c r="O65" s="427">
        <f>'ANALYSE - ERP =&gt; SOUS-SEGMENT'!$HC$23</f>
        <v>31.58183</v>
      </c>
      <c r="P65" s="427">
        <f>'ANALYSE - ERP =&gt; SOUS-SEGMENT'!$HF$23</f>
        <v>296.04223090909096</v>
      </c>
      <c r="Q65" s="427">
        <f>'ANALYSE - ERP =&gt; SOUS-SEGMENT'!$HI$23</f>
        <v>53.317166000000007</v>
      </c>
      <c r="R65" s="427">
        <f>'ANALYSE - ERP =&gt; SOUS-SEGMENT'!$HL$23</f>
        <v>157.03896600000002</v>
      </c>
      <c r="S65" s="685"/>
      <c r="T65" s="424">
        <f>'ANALYSE - ERP =&gt; SOUS-SEGMENT'!$FH$23</f>
        <v>460.58469290909102</v>
      </c>
      <c r="U65" s="427">
        <f>'ANALYSE - ERP =&gt; SOUS-SEGMENT'!$HD$23</f>
        <v>28.48601</v>
      </c>
      <c r="V65" s="427">
        <f>'ANALYSE - ERP =&gt; SOUS-SEGMENT'!$HG$23</f>
        <v>249.60493090909097</v>
      </c>
      <c r="W65" s="427">
        <f>'ANALYSE - ERP =&gt; SOUS-SEGMENT'!$HJ$23</f>
        <v>45.577616000000006</v>
      </c>
      <c r="X65" s="427">
        <f>'ANALYSE - ERP =&gt; SOUS-SEGMENT'!$HM$23</f>
        <v>136.91613600000002</v>
      </c>
      <c r="Y65" s="685"/>
      <c r="Z65" s="427">
        <f>'ANALYSE - ERP =&gt; SOUS-SEGMENT'!$FI$23</f>
        <v>77.395499999999998</v>
      </c>
      <c r="AA65" s="427">
        <f>'ANALYSE - ERP =&gt; SOUS-SEGMENT'!$HE$23</f>
        <v>3.0958199999999998</v>
      </c>
      <c r="AB65" s="427">
        <f>'ANALYSE - ERP =&gt; SOUS-SEGMENT'!$HH$23</f>
        <v>46.4373</v>
      </c>
      <c r="AC65" s="427">
        <f>'ANALYSE - ERP =&gt; SOUS-SEGMENT'!$HK$23</f>
        <v>7.7395500000000004</v>
      </c>
      <c r="AD65" s="427">
        <f>'ANALYSE - ERP =&gt; SOUS-SEGMENT'!$HN$23</f>
        <v>20.12283</v>
      </c>
      <c r="AE65" s="685"/>
      <c r="AF65" s="430">
        <f>'ANALYSE - ERP =&gt; SOUS-SEGMENT'!$Q$23</f>
        <v>1</v>
      </c>
    </row>
    <row r="66" spans="1:32" ht="15" customHeight="1">
      <c r="A66" s="26">
        <v>63</v>
      </c>
      <c r="B66" s="26">
        <v>62</v>
      </c>
      <c r="C66" s="26">
        <v>55</v>
      </c>
      <c r="D66" s="422">
        <f>'ANALYSE - ERP =&gt; SOUS-SEGMENT'!$A$135</f>
        <v>128</v>
      </c>
      <c r="E66" s="418" t="str">
        <f>'ANALYSE - ERP =&gt; SOUS-SEGMENT'!$B$135</f>
        <v>Sécurité &amp; Justice</v>
      </c>
      <c r="F66" s="418" t="str">
        <f>'ANALYSE - ERP =&gt; SOUS-SEGMENT'!$C$135</f>
        <v>Forces armées</v>
      </c>
      <c r="G66" s="418" t="str">
        <f>'ANALYSE - ERP =&gt; SOUS-SEGMENT'!$D$135</f>
        <v>Unités d'hébergement des militaires &amp; réservistes</v>
      </c>
      <c r="I66" s="427">
        <f t="shared" si="5"/>
        <v>104.98908902400001</v>
      </c>
      <c r="K66" s="787">
        <f t="shared" si="3"/>
        <v>0.7180488727430222</v>
      </c>
      <c r="L66" s="787">
        <f t="shared" si="4"/>
        <v>0.28195112725697785</v>
      </c>
      <c r="N66" s="424">
        <f>'ANALYSE - ERP =&gt; SOUS-SEGMENT'!$FG$135</f>
        <v>524.94544512000004</v>
      </c>
      <c r="O66" s="427">
        <f>'ANALYSE - ERP =&gt; SOUS-SEGMENT'!$HC$135</f>
        <v>63.909249839999994</v>
      </c>
      <c r="P66" s="427">
        <f>'ANALYSE - ERP =&gt; SOUS-SEGMENT'!$HF$135</f>
        <v>270.88351920000002</v>
      </c>
      <c r="Q66" s="427">
        <f>'ANALYSE - ERP =&gt; SOUS-SEGMENT'!$HI$135</f>
        <v>56.413818000000006</v>
      </c>
      <c r="R66" s="427">
        <f>'ANALYSE - ERP =&gt; SOUS-SEGMENT'!$HL$135</f>
        <v>133.73885808</v>
      </c>
      <c r="T66" s="424">
        <f>'ANALYSE - ERP =&gt; SOUS-SEGMENT'!$FH$135</f>
        <v>376.93648512000004</v>
      </c>
      <c r="U66" s="427">
        <f>'ANALYSE - ERP =&gt; SOUS-SEGMENT'!$HD$135</f>
        <v>49.108353839999992</v>
      </c>
      <c r="V66" s="427">
        <f>'ANALYSE - ERP =&gt; SOUS-SEGMENT'!$HG$135</f>
        <v>187.99850160000003</v>
      </c>
      <c r="W66" s="427">
        <f>'ANALYSE - ERP =&gt; SOUS-SEGMENT'!$HJ$135</f>
        <v>41.612922000000005</v>
      </c>
      <c r="X66" s="427">
        <f>'ANALYSE - ERP =&gt; SOUS-SEGMENT'!$HM$135</f>
        <v>98.216707679999985</v>
      </c>
      <c r="Z66" s="427">
        <f>'ANALYSE - ERP =&gt; SOUS-SEGMENT'!$FI$135</f>
        <v>148.00896</v>
      </c>
      <c r="AA66" s="427">
        <f>'ANALYSE - ERP =&gt; SOUS-SEGMENT'!$HE$135</f>
        <v>14.800896000000002</v>
      </c>
      <c r="AB66" s="427">
        <f>'ANALYSE - ERP =&gt; SOUS-SEGMENT'!$HH$135</f>
        <v>82.885017600000012</v>
      </c>
      <c r="AC66" s="427">
        <f>'ANALYSE - ERP =&gt; SOUS-SEGMENT'!$HK$135</f>
        <v>14.800896000000002</v>
      </c>
      <c r="AD66" s="427">
        <f>'ANALYSE - ERP =&gt; SOUS-SEGMENT'!$HN$135</f>
        <v>35.522150400000001</v>
      </c>
      <c r="AF66" s="430">
        <f>'ANALYSE - ERP =&gt; SOUS-SEGMENT'!$Q$135</f>
        <v>1</v>
      </c>
    </row>
    <row r="67" spans="1:32" ht="15" customHeight="1">
      <c r="A67" s="26">
        <v>64</v>
      </c>
      <c r="B67" s="26">
        <v>59</v>
      </c>
      <c r="C67" s="26">
        <v>64</v>
      </c>
      <c r="D67" s="422">
        <f>'ANALYSE - ERP =&gt; SOUS-SEGMENT'!$A$64</f>
        <v>57</v>
      </c>
      <c r="E67" s="414" t="str">
        <f>'ANALYSE - ERP =&gt; SOUS-SEGMENT'!$B$64</f>
        <v>Culture, Patrimoine &amp; Evénementiel</v>
      </c>
      <c r="F67" s="414" t="str">
        <f>'ANALYSE - ERP =&gt; SOUS-SEGMENT'!$C$64</f>
        <v>Culture / spectacle</v>
      </c>
      <c r="G67" s="414" t="str">
        <f>'ANALYSE - ERP =&gt; SOUS-SEGMENT'!$D$64</f>
        <v>Musées</v>
      </c>
      <c r="I67" s="427">
        <f t="shared" si="5"/>
        <v>103.21499668065269</v>
      </c>
      <c r="K67" s="787">
        <f t="shared" ref="K67:K98" si="6">IFERROR(T67/N67,"")</f>
        <v>0.8509298794282274</v>
      </c>
      <c r="L67" s="787">
        <f t="shared" ref="L67:L98" si="7">IFERROR(Z67/N67,"")</f>
        <v>0.14907012057177255</v>
      </c>
      <c r="N67" s="424">
        <f>'ANALYSE - ERP =&gt; SOUS-SEGMENT'!$FG$64</f>
        <v>516.07498340326345</v>
      </c>
      <c r="O67" s="427">
        <f>'ANALYSE - ERP =&gt; SOUS-SEGMENT'!$HC$64</f>
        <v>52.512090618181823</v>
      </c>
      <c r="P67" s="427">
        <f>'ANALYSE - ERP =&gt; SOUS-SEGMENT'!$HF$64</f>
        <v>257.87790261538464</v>
      </c>
      <c r="Q67" s="427">
        <f>'ANALYSE - ERP =&gt; SOUS-SEGMENT'!$HI$64</f>
        <v>98.352868133333317</v>
      </c>
      <c r="R67" s="427">
        <f>'ANALYSE - ERP =&gt; SOUS-SEGMENT'!$HL$64</f>
        <v>107.33212203636364</v>
      </c>
      <c r="T67" s="424">
        <f>'ANALYSE - ERP =&gt; SOUS-SEGMENT'!$FH$64</f>
        <v>439.1436234032634</v>
      </c>
      <c r="U67" s="427">
        <f>'ANALYSE - ERP =&gt; SOUS-SEGMENT'!$HD$64</f>
        <v>46.357581818181821</v>
      </c>
      <c r="V67" s="427">
        <f>'ANALYSE - ERP =&gt; SOUS-SEGMENT'!$HG$64</f>
        <v>215.56565461538463</v>
      </c>
      <c r="W67" s="427">
        <f>'ANALYSE - ERP =&gt; SOUS-SEGMENT'!$HJ$64</f>
        <v>84.505223333333319</v>
      </c>
      <c r="X67" s="427">
        <f>'ANALYSE - ERP =&gt; SOUS-SEGMENT'!$HM$64</f>
        <v>92.715163636363641</v>
      </c>
      <c r="Z67" s="427">
        <f>'ANALYSE - ERP =&gt; SOUS-SEGMENT'!$FI$64</f>
        <v>76.931359999999998</v>
      </c>
      <c r="AA67" s="427">
        <f>'ANALYSE - ERP =&gt; SOUS-SEGMENT'!$HE$64</f>
        <v>6.1545088000000003</v>
      </c>
      <c r="AB67" s="427">
        <f>'ANALYSE - ERP =&gt; SOUS-SEGMENT'!$HH$64</f>
        <v>42.312248000000004</v>
      </c>
      <c r="AC67" s="427">
        <f>'ANALYSE - ERP =&gt; SOUS-SEGMENT'!$HK$64</f>
        <v>13.847644799999999</v>
      </c>
      <c r="AD67" s="427">
        <f>'ANALYSE - ERP =&gt; SOUS-SEGMENT'!$HN$64</f>
        <v>14.6169584</v>
      </c>
      <c r="AF67" s="430">
        <f>'ANALYSE - ERP =&gt; SOUS-SEGMENT'!$Q$64</f>
        <v>1</v>
      </c>
    </row>
    <row r="68" spans="1:32" ht="15" customHeight="1">
      <c r="A68" s="26">
        <v>65</v>
      </c>
      <c r="B68" s="26">
        <v>63</v>
      </c>
      <c r="C68" s="26">
        <v>59</v>
      </c>
      <c r="D68" s="422">
        <f>'ANALYSE - ERP =&gt; SOUS-SEGMENT'!$A$91</f>
        <v>84</v>
      </c>
      <c r="E68" s="412" t="str">
        <f>'ANALYSE - ERP =&gt; SOUS-SEGMENT'!$B$91</f>
        <v>Hébergement Touristique</v>
      </c>
      <c r="F68" s="412" t="str">
        <f>'ANALYSE - ERP =&gt; SOUS-SEGMENT'!$C$91</f>
        <v>Hébergement Touristique</v>
      </c>
      <c r="G68" s="412" t="str">
        <f>'ANALYSE - ERP =&gt; SOUS-SEGMENT'!$D$91</f>
        <v>Pensions de famille</v>
      </c>
      <c r="I68" s="427">
        <f t="shared" ref="I68:I99" si="8">N68/5</f>
        <v>43.123049386363633</v>
      </c>
      <c r="K68" s="787">
        <f t="shared" si="6"/>
        <v>0.79587953251785903</v>
      </c>
      <c r="L68" s="787">
        <f t="shared" si="7"/>
        <v>0.20412046748214102</v>
      </c>
      <c r="N68" s="424">
        <f>'ANALYSE - ERP =&gt; SOUS-SEGMENT'!$FG$91</f>
        <v>215.61524693181818</v>
      </c>
      <c r="O68" s="427">
        <f>'ANALYSE - ERP =&gt; SOUS-SEGMENT'!$HC$91</f>
        <v>42.206742300000002</v>
      </c>
      <c r="P68" s="427">
        <f>'ANALYSE - ERP =&gt; SOUS-SEGMENT'!$HF$91</f>
        <v>98.549310681818184</v>
      </c>
      <c r="Q68" s="427">
        <f>'ANALYSE - ERP =&gt; SOUS-SEGMENT'!$HI$91</f>
        <v>27.353671949999995</v>
      </c>
      <c r="R68" s="427">
        <f>'ANALYSE - ERP =&gt; SOUS-SEGMENT'!$HL$91</f>
        <v>47.505521999999999</v>
      </c>
      <c r="T68" s="424">
        <f>'ANALYSE - ERP =&gt; SOUS-SEGMENT'!$FH$91</f>
        <v>171.60376193181818</v>
      </c>
      <c r="U68" s="427">
        <f>'ANALYSE - ERP =&gt; SOUS-SEGMENT'!$HD$91</f>
        <v>34.284675</v>
      </c>
      <c r="V68" s="427">
        <f>'ANALYSE - ERP =&gt; SOUS-SEGMENT'!$HG$91</f>
        <v>76.543568181818188</v>
      </c>
      <c r="W68" s="427">
        <f>'ANALYSE - ERP =&gt; SOUS-SEGMENT'!$HJ$91</f>
        <v>22.072293749999996</v>
      </c>
      <c r="X68" s="427">
        <f>'ANALYSE - ERP =&gt; SOUS-SEGMENT'!$HM$91</f>
        <v>38.703224999999996</v>
      </c>
      <c r="Z68" s="427">
        <f>'ANALYSE - ERP =&gt; SOUS-SEGMENT'!$FI$91</f>
        <v>44.011485</v>
      </c>
      <c r="AA68" s="427">
        <f>'ANALYSE - ERP =&gt; SOUS-SEGMENT'!$HE$91</f>
        <v>7.9220673000000001</v>
      </c>
      <c r="AB68" s="427">
        <f>'ANALYSE - ERP =&gt; SOUS-SEGMENT'!$HH$91</f>
        <v>22.0057425</v>
      </c>
      <c r="AC68" s="427">
        <f>'ANALYSE - ERP =&gt; SOUS-SEGMENT'!$HK$91</f>
        <v>5.2813781999999998</v>
      </c>
      <c r="AD68" s="427">
        <f>'ANALYSE - ERP =&gt; SOUS-SEGMENT'!$HN$91</f>
        <v>8.8022970000000011</v>
      </c>
      <c r="AF68" s="430">
        <f>'ANALYSE - ERP =&gt; SOUS-SEGMENT'!$Q$91</f>
        <v>1</v>
      </c>
    </row>
    <row r="69" spans="1:32" ht="15" customHeight="1">
      <c r="A69" s="26">
        <v>66</v>
      </c>
      <c r="B69" s="26">
        <v>64</v>
      </c>
      <c r="C69" s="26">
        <v>67</v>
      </c>
      <c r="D69" s="422">
        <f>'ANALYSE - ERP =&gt; SOUS-SEGMENT'!$A$45</f>
        <v>38</v>
      </c>
      <c r="E69" s="411" t="str">
        <f>'ANALYSE - ERP =&gt; SOUS-SEGMENT'!$B$45</f>
        <v>Santé &amp; Médico-social</v>
      </c>
      <c r="F69" s="411" t="str">
        <f>'ANALYSE - ERP =&gt; SOUS-SEGMENT'!$C$45</f>
        <v>Santé hospitalière</v>
      </c>
      <c r="G69" s="411" t="str">
        <f>'ANALYSE - ERP =&gt; SOUS-SEGMENT'!$D$45</f>
        <v>Hôpitaux privés</v>
      </c>
      <c r="I69" s="427">
        <f t="shared" si="8"/>
        <v>71.392980596666661</v>
      </c>
      <c r="K69" s="787">
        <f t="shared" si="6"/>
        <v>0.84251457347720049</v>
      </c>
      <c r="L69" s="787">
        <f t="shared" si="7"/>
        <v>0.15748542652279951</v>
      </c>
      <c r="N69" s="424">
        <f>'ANALYSE - ERP =&gt; SOUS-SEGMENT'!$FG$45</f>
        <v>356.96490298333333</v>
      </c>
      <c r="O69" s="427">
        <f>'ANALYSE - ERP =&gt; SOUS-SEGMENT'!$HC$45</f>
        <v>70.45219139999999</v>
      </c>
      <c r="P69" s="427">
        <f>'ANALYSE - ERP =&gt; SOUS-SEGMENT'!$HF$45</f>
        <v>124.44356733333331</v>
      </c>
      <c r="Q69" s="427">
        <f>'ANALYSE - ERP =&gt; SOUS-SEGMENT'!$HI$45</f>
        <v>108.94891685</v>
      </c>
      <c r="R69" s="427">
        <f>'ANALYSE - ERP =&gt; SOUS-SEGMENT'!$HL$45</f>
        <v>53.120227399999997</v>
      </c>
      <c r="T69" s="424">
        <f>'ANALYSE - ERP =&gt; SOUS-SEGMENT'!$FH$45</f>
        <v>300.74813298333333</v>
      </c>
      <c r="U69" s="427">
        <f>'ANALYSE - ERP =&gt; SOUS-SEGMENT'!$HD$45</f>
        <v>60.333172799999993</v>
      </c>
      <c r="V69" s="427">
        <f>'ANALYSE - ERP =&gt; SOUS-SEGMENT'!$HG$45</f>
        <v>101.95685933333331</v>
      </c>
      <c r="W69" s="427">
        <f>'ANALYSE - ERP =&gt; SOUS-SEGMENT'!$HJ$45</f>
        <v>93.208221250000008</v>
      </c>
      <c r="X69" s="427">
        <f>'ANALYSE - ERP =&gt; SOUS-SEGMENT'!$HM$45</f>
        <v>45.2498796</v>
      </c>
      <c r="Z69" s="427">
        <f>'ANALYSE - ERP =&gt; SOUS-SEGMENT'!$FI$45</f>
        <v>56.216769999999997</v>
      </c>
      <c r="AA69" s="427">
        <f>'ANALYSE - ERP =&gt; SOUS-SEGMENT'!$HE$45</f>
        <v>10.119018599999999</v>
      </c>
      <c r="AB69" s="427">
        <f>'ANALYSE - ERP =&gt; SOUS-SEGMENT'!$HH$45</f>
        <v>22.486708</v>
      </c>
      <c r="AC69" s="427">
        <f>'ANALYSE - ERP =&gt; SOUS-SEGMENT'!$HK$45</f>
        <v>15.7406956</v>
      </c>
      <c r="AD69" s="427">
        <f>'ANALYSE - ERP =&gt; SOUS-SEGMENT'!$HN$45</f>
        <v>7.8703478000000002</v>
      </c>
      <c r="AF69" s="430">
        <f>'ANALYSE - ERP =&gt; SOUS-SEGMENT'!$Q$45</f>
        <v>1</v>
      </c>
    </row>
    <row r="70" spans="1:32" ht="15" customHeight="1">
      <c r="A70" s="26">
        <v>67</v>
      </c>
      <c r="B70" s="26">
        <v>66</v>
      </c>
      <c r="C70" s="26">
        <v>68</v>
      </c>
      <c r="D70" s="422">
        <f>'ANALYSE - ERP =&gt; SOUS-SEGMENT'!$A$50</f>
        <v>43</v>
      </c>
      <c r="E70" s="413" t="str">
        <f>'ANALYSE - ERP =&gt; SOUS-SEGMENT'!$B$50</f>
        <v>Santé &amp; Médico-social</v>
      </c>
      <c r="F70" s="413" t="str">
        <f>'ANALYSE - ERP =&gt; SOUS-SEGMENT'!$C$50</f>
        <v>Santé spécialisée</v>
      </c>
      <c r="G70" s="413" t="str">
        <f>'ANALYSE - ERP =&gt; SOUS-SEGMENT'!$D$50</f>
        <v>Centres de rééducation</v>
      </c>
      <c r="I70" s="427">
        <f t="shared" si="8"/>
        <v>65.422305508484854</v>
      </c>
      <c r="K70" s="787">
        <f t="shared" si="6"/>
        <v>0.83357474311895197</v>
      </c>
      <c r="L70" s="787">
        <f t="shared" si="7"/>
        <v>0.16642525688104809</v>
      </c>
      <c r="N70" s="424">
        <f>'ANALYSE - ERP =&gt; SOUS-SEGMENT'!$FG$50</f>
        <v>327.11152754242426</v>
      </c>
      <c r="O70" s="427">
        <f>'ANALYSE - ERP =&gt; SOUS-SEGMENT'!$HC$50</f>
        <v>76.531682309090897</v>
      </c>
      <c r="P70" s="427">
        <f>'ANALYSE - ERP =&gt; SOUS-SEGMENT'!$HF$50</f>
        <v>117.29144333333335</v>
      </c>
      <c r="Q70" s="427">
        <f>'ANALYSE - ERP =&gt; SOUS-SEGMENT'!$HI$50</f>
        <v>82.7040516</v>
      </c>
      <c r="R70" s="427">
        <f>'ANALYSE - ERP =&gt; SOUS-SEGMENT'!$HL$50</f>
        <v>50.584350299999997</v>
      </c>
      <c r="T70" s="424">
        <f>'ANALYSE - ERP =&gt; SOUS-SEGMENT'!$FH$50</f>
        <v>272.67190754242426</v>
      </c>
      <c r="U70" s="427">
        <f>'ANALYSE - ERP =&gt; SOUS-SEGMENT'!$HD$50</f>
        <v>64.554965909090896</v>
      </c>
      <c r="V70" s="427">
        <f>'ANALYSE - ERP =&gt; SOUS-SEGMENT'!$HG$50</f>
        <v>95.515595333333351</v>
      </c>
      <c r="W70" s="427">
        <f>'ANALYSE - ERP =&gt; SOUS-SEGMENT'!$HJ$50</f>
        <v>70.182939000000005</v>
      </c>
      <c r="X70" s="427">
        <f>'ANALYSE - ERP =&gt; SOUS-SEGMENT'!$HM$50</f>
        <v>42.418407299999998</v>
      </c>
      <c r="Z70" s="427">
        <f>'ANALYSE - ERP =&gt; SOUS-SEGMENT'!$FI$50</f>
        <v>54.439619999999998</v>
      </c>
      <c r="AA70" s="427">
        <f>'ANALYSE - ERP =&gt; SOUS-SEGMENT'!$HE$50</f>
        <v>11.976716399999999</v>
      </c>
      <c r="AB70" s="427">
        <f>'ANALYSE - ERP =&gt; SOUS-SEGMENT'!$HH$50</f>
        <v>21.775848</v>
      </c>
      <c r="AC70" s="427">
        <f>'ANALYSE - ERP =&gt; SOUS-SEGMENT'!$HK$50</f>
        <v>12.5211126</v>
      </c>
      <c r="AD70" s="427">
        <f>'ANALYSE - ERP =&gt; SOUS-SEGMENT'!$HN$50</f>
        <v>8.1659429999999986</v>
      </c>
      <c r="AF70" s="430">
        <f>'ANALYSE - ERP =&gt; SOUS-SEGMENT'!$Q$50</f>
        <v>0</v>
      </c>
    </row>
    <row r="71" spans="1:32" ht="15" customHeight="1">
      <c r="A71" s="26">
        <v>68</v>
      </c>
      <c r="B71" s="26">
        <v>70</v>
      </c>
      <c r="C71" s="26">
        <v>60</v>
      </c>
      <c r="D71" s="422">
        <f>'ANALYSE - ERP =&gt; SOUS-SEGMENT'!$A$49</f>
        <v>42</v>
      </c>
      <c r="E71" s="408" t="str">
        <f>'ANALYSE - ERP =&gt; SOUS-SEGMENT'!$B$49</f>
        <v>Santé &amp; Médico-social</v>
      </c>
      <c r="F71" s="408" t="str">
        <f>'ANALYSE - ERP =&gt; SOUS-SEGMENT'!$C$49</f>
        <v>Santé spécialisée</v>
      </c>
      <c r="G71" s="408" t="str">
        <f>'ANALYSE - ERP =&gt; SOUS-SEGMENT'!$D$49</f>
        <v>Centres de psychiatrie</v>
      </c>
      <c r="I71" s="427">
        <f t="shared" si="8"/>
        <v>62.480946798181812</v>
      </c>
      <c r="K71" s="787">
        <f t="shared" si="6"/>
        <v>0.72160120978662601</v>
      </c>
      <c r="L71" s="787">
        <f t="shared" si="7"/>
        <v>0.27839879021337399</v>
      </c>
      <c r="N71" s="424">
        <f>'ANALYSE - ERP =&gt; SOUS-SEGMENT'!$FG$49</f>
        <v>312.40473399090905</v>
      </c>
      <c r="O71" s="427">
        <f>'ANALYSE - ERP =&gt; SOUS-SEGMENT'!$HC$49</f>
        <v>71.55068109090908</v>
      </c>
      <c r="P71" s="427">
        <f>'ANALYSE - ERP =&gt; SOUS-SEGMENT'!$HF$49</f>
        <v>110.74247800000001</v>
      </c>
      <c r="Q71" s="427">
        <f>'ANALYSE - ERP =&gt; SOUS-SEGMENT'!$HI$49</f>
        <v>81.598399999999998</v>
      </c>
      <c r="R71" s="427">
        <f>'ANALYSE - ERP =&gt; SOUS-SEGMENT'!$HL$49</f>
        <v>48.513174900000003</v>
      </c>
      <c r="T71" s="424">
        <f>'ANALYSE - ERP =&gt; SOUS-SEGMENT'!$FH$49</f>
        <v>225.43163399090906</v>
      </c>
      <c r="U71" s="427">
        <f>'ANALYSE - ERP =&gt; SOUS-SEGMENT'!$HD$49</f>
        <v>52.416599090909088</v>
      </c>
      <c r="V71" s="427">
        <f>'ANALYSE - ERP =&gt; SOUS-SEGMENT'!$HG$49</f>
        <v>75.953237999999999</v>
      </c>
      <c r="W71" s="427">
        <f>'ANALYSE - ERP =&gt; SOUS-SEGMENT'!$HJ$49</f>
        <v>61.594586999999997</v>
      </c>
      <c r="X71" s="427">
        <f>'ANALYSE - ERP =&gt; SOUS-SEGMENT'!$HM$49</f>
        <v>35.4672099</v>
      </c>
      <c r="Z71" s="427">
        <f>'ANALYSE - ERP =&gt; SOUS-SEGMENT'!$FI$49</f>
        <v>86.973100000000002</v>
      </c>
      <c r="AA71" s="427">
        <f>'ANALYSE - ERP =&gt; SOUS-SEGMENT'!$HE$49</f>
        <v>19.134081999999999</v>
      </c>
      <c r="AB71" s="427">
        <f>'ANALYSE - ERP =&gt; SOUS-SEGMENT'!$HH$49</f>
        <v>34.789239999999999</v>
      </c>
      <c r="AC71" s="427">
        <f>'ANALYSE - ERP =&gt; SOUS-SEGMENT'!$HK$49</f>
        <v>20.003813000000001</v>
      </c>
      <c r="AD71" s="427">
        <f>'ANALYSE - ERP =&gt; SOUS-SEGMENT'!$HN$49</f>
        <v>13.045965000000001</v>
      </c>
      <c r="AF71" s="430">
        <f>'ANALYSE - ERP =&gt; SOUS-SEGMENT'!$Q$49</f>
        <v>0</v>
      </c>
    </row>
    <row r="72" spans="1:32" ht="15" customHeight="1">
      <c r="A72" s="26">
        <v>69</v>
      </c>
      <c r="B72" s="26">
        <v>67</v>
      </c>
      <c r="C72" s="26">
        <v>70</v>
      </c>
      <c r="D72" s="422">
        <f>'ANALYSE - ERP =&gt; SOUS-SEGMENT'!$A$138</f>
        <v>131</v>
      </c>
      <c r="E72" s="415" t="str">
        <f>'ANALYSE - ERP =&gt; SOUS-SEGMENT'!$B$138</f>
        <v>Sécurité &amp; Justice</v>
      </c>
      <c r="F72" s="415" t="str">
        <f>'ANALYSE - ERP =&gt; SOUS-SEGMENT'!$C$138</f>
        <v>Forces armées</v>
      </c>
      <c r="G72" s="415" t="str">
        <f>'ANALYSE - ERP =&gt; SOUS-SEGMENT'!$D$138</f>
        <v>Salles de conférence, auditoriums et espaces événementiels ouverts au public</v>
      </c>
      <c r="I72" s="427">
        <f t="shared" si="8"/>
        <v>43.535036250000005</v>
      </c>
      <c r="K72" s="787">
        <f t="shared" si="6"/>
        <v>0.83196981948074067</v>
      </c>
      <c r="L72" s="787">
        <f t="shared" si="7"/>
        <v>0.16803018051925933</v>
      </c>
      <c r="N72" s="424">
        <f>'ANALYSE - ERP =&gt; SOUS-SEGMENT'!$FG$138</f>
        <v>217.67518125000004</v>
      </c>
      <c r="O72" s="427">
        <f>'ANALYSE - ERP =&gt; SOUS-SEGMENT'!$HC$138</f>
        <v>22.073130000000003</v>
      </c>
      <c r="P72" s="427">
        <f>'ANALYSE - ERP =&gt; SOUS-SEGMENT'!$HF$138</f>
        <v>107.87411250000002</v>
      </c>
      <c r="Q72" s="427">
        <f>'ANALYSE - ERP =&gt; SOUS-SEGMENT'!$HI$138</f>
        <v>42.484398750000004</v>
      </c>
      <c r="R72" s="427">
        <f>'ANALYSE - ERP =&gt; SOUS-SEGMENT'!$HL$138</f>
        <v>45.24354000000001</v>
      </c>
      <c r="T72" s="424">
        <f>'ANALYSE - ERP =&gt; SOUS-SEGMENT'!$FH$138</f>
        <v>181.09918125000004</v>
      </c>
      <c r="U72" s="427">
        <f>'ANALYSE - ERP =&gt; SOUS-SEGMENT'!$HD$138</f>
        <v>19.147050000000004</v>
      </c>
      <c r="V72" s="427">
        <f>'ANALYSE - ERP =&gt; SOUS-SEGMENT'!$HG$138</f>
        <v>87.757312500000026</v>
      </c>
      <c r="W72" s="427">
        <f>'ANALYSE - ERP =&gt; SOUS-SEGMENT'!$HJ$138</f>
        <v>35.900718750000003</v>
      </c>
      <c r="X72" s="427">
        <f>'ANALYSE - ERP =&gt; SOUS-SEGMENT'!$HM$138</f>
        <v>38.294100000000007</v>
      </c>
      <c r="Z72" s="427">
        <f>'ANALYSE - ERP =&gt; SOUS-SEGMENT'!$FI$138</f>
        <v>36.576000000000001</v>
      </c>
      <c r="AA72" s="427">
        <f>'ANALYSE - ERP =&gt; SOUS-SEGMENT'!$HE$138</f>
        <v>2.9260800000000002</v>
      </c>
      <c r="AB72" s="427">
        <f>'ANALYSE - ERP =&gt; SOUS-SEGMENT'!$HH$138</f>
        <v>20.116800000000001</v>
      </c>
      <c r="AC72" s="427">
        <f>'ANALYSE - ERP =&gt; SOUS-SEGMENT'!$HK$138</f>
        <v>6.5836800000000002</v>
      </c>
      <c r="AD72" s="427">
        <f>'ANALYSE - ERP =&gt; SOUS-SEGMENT'!$HN$138</f>
        <v>6.9494400000000001</v>
      </c>
      <c r="AF72" s="430">
        <f>'ANALYSE - ERP =&gt; SOUS-SEGMENT'!$Q$138</f>
        <v>1</v>
      </c>
    </row>
    <row r="73" spans="1:32" s="45" customFormat="1" ht="15" customHeight="1">
      <c r="A73" s="26">
        <v>70</v>
      </c>
      <c r="B73" s="26">
        <v>68</v>
      </c>
      <c r="C73" s="26">
        <v>75</v>
      </c>
      <c r="D73" s="422">
        <f>'ANALYSE - ERP =&gt; SOUS-SEGMENT'!$A$59</f>
        <v>52</v>
      </c>
      <c r="E73" s="410" t="str">
        <f>'ANALYSE - ERP =&gt; SOUS-SEGMENT'!$B$59</f>
        <v>Santé &amp; Médico-social</v>
      </c>
      <c r="F73" s="410" t="str">
        <f>'ANALYSE - ERP =&gt; SOUS-SEGMENT'!$C$59</f>
        <v>Médico-social</v>
      </c>
      <c r="G73" s="410" t="str">
        <f>'ANALYSE - ERP =&gt; SOUS-SEGMENT'!$D$59</f>
        <v>USLD</v>
      </c>
      <c r="H73" s="685"/>
      <c r="I73" s="427">
        <f t="shared" si="8"/>
        <v>55.727919272727284</v>
      </c>
      <c r="J73" s="685"/>
      <c r="K73" s="787">
        <f t="shared" si="6"/>
        <v>0.85938480922550853</v>
      </c>
      <c r="L73" s="787">
        <f t="shared" si="7"/>
        <v>0.14061519077449133</v>
      </c>
      <c r="M73" s="685"/>
      <c r="N73" s="424">
        <f>'ANALYSE - ERP =&gt; SOUS-SEGMENT'!$FG$59</f>
        <v>278.63959636363643</v>
      </c>
      <c r="O73" s="427">
        <f>'ANALYSE - ERP =&gt; SOUS-SEGMENT'!$HC$59</f>
        <v>62.758272738461542</v>
      </c>
      <c r="P73" s="427">
        <f>'ANALYSE - ERP =&gt; SOUS-SEGMENT'!$HF$59</f>
        <v>102.29392246153847</v>
      </c>
      <c r="Q73" s="427">
        <f>'ANALYSE - ERP =&gt; SOUS-SEGMENT'!$HI$59</f>
        <v>69.971620799999997</v>
      </c>
      <c r="R73" s="427">
        <f>'ANALYSE - ERP =&gt; SOUS-SEGMENT'!$HL$59</f>
        <v>43.615780363636368</v>
      </c>
      <c r="S73" s="685"/>
      <c r="T73" s="424">
        <f>'ANALYSE - ERP =&gt; SOUS-SEGMENT'!$FH$59</f>
        <v>239.4586363636364</v>
      </c>
      <c r="U73" s="427">
        <f>'ANALYSE - ERP =&gt; SOUS-SEGMENT'!$HD$59</f>
        <v>54.138461538461542</v>
      </c>
      <c r="V73" s="427">
        <f>'ANALYSE - ERP =&gt; SOUS-SEGMENT'!$HG$59</f>
        <v>86.621538461538478</v>
      </c>
      <c r="W73" s="427">
        <f>'ANALYSE - ERP =&gt; SOUS-SEGMENT'!$HJ$59</f>
        <v>60.96</v>
      </c>
      <c r="X73" s="427">
        <f>'ANALYSE - ERP =&gt; SOUS-SEGMENT'!$HM$59</f>
        <v>37.738636363636367</v>
      </c>
      <c r="Y73" s="685"/>
      <c r="Z73" s="427">
        <f>'ANALYSE - ERP =&gt; SOUS-SEGMENT'!$FI$59</f>
        <v>39.180959999999999</v>
      </c>
      <c r="AA73" s="427">
        <f>'ANALYSE - ERP =&gt; SOUS-SEGMENT'!$HE$59</f>
        <v>8.6198111999999991</v>
      </c>
      <c r="AB73" s="427">
        <f>'ANALYSE - ERP =&gt; SOUS-SEGMENT'!$HH$59</f>
        <v>15.672384000000001</v>
      </c>
      <c r="AC73" s="427">
        <f>'ANALYSE - ERP =&gt; SOUS-SEGMENT'!$HK$59</f>
        <v>9.0116207999999993</v>
      </c>
      <c r="AD73" s="427">
        <f>'ANALYSE - ERP =&gt; SOUS-SEGMENT'!$HN$59</f>
        <v>5.8771439999999995</v>
      </c>
      <c r="AE73" s="685"/>
      <c r="AF73" s="430">
        <f>'ANALYSE - ERP =&gt; SOUS-SEGMENT'!$Q$59</f>
        <v>1</v>
      </c>
    </row>
    <row r="74" spans="1:32" ht="15" customHeight="1">
      <c r="A74" s="26">
        <v>71</v>
      </c>
      <c r="B74" s="26">
        <v>71</v>
      </c>
      <c r="C74" s="26">
        <v>74</v>
      </c>
      <c r="D74" s="422">
        <f>'ANALYSE - ERP =&gt; SOUS-SEGMENT'!$A$51</f>
        <v>44</v>
      </c>
      <c r="E74" s="415" t="str">
        <f>'ANALYSE - ERP =&gt; SOUS-SEGMENT'!$B$51</f>
        <v>Santé &amp; Médico-social</v>
      </c>
      <c r="F74" s="415" t="str">
        <f>'ANALYSE - ERP =&gt; SOUS-SEGMENT'!$C$51</f>
        <v>Santé spécialisée</v>
      </c>
      <c r="G74" s="415" t="str">
        <f>'ANALYSE - ERP =&gt; SOUS-SEGMENT'!$D$51</f>
        <v>Maternités</v>
      </c>
      <c r="I74" s="427">
        <f t="shared" si="8"/>
        <v>52.666944999999998</v>
      </c>
      <c r="K74" s="787">
        <f t="shared" si="6"/>
        <v>0.85081876307805593</v>
      </c>
      <c r="L74" s="787">
        <f t="shared" si="7"/>
        <v>0.1491812369219441</v>
      </c>
      <c r="N74" s="424">
        <f>'ANALYSE - ERP =&gt; SOUS-SEGMENT'!$FG$51</f>
        <v>263.33472499999999</v>
      </c>
      <c r="O74" s="427">
        <f>'ANALYSE - ERP =&gt; SOUS-SEGMENT'!$HC$51</f>
        <v>51.675228000000004</v>
      </c>
      <c r="P74" s="427">
        <f>'ANALYSE - ERP =&gt; SOUS-SEGMENT'!$HF$51</f>
        <v>94.403840000000017</v>
      </c>
      <c r="Q74" s="427">
        <f>'ANALYSE - ERP =&gt; SOUS-SEGMENT'!$HI$51</f>
        <v>78.302813</v>
      </c>
      <c r="R74" s="427">
        <f>'ANALYSE - ERP =&gt; SOUS-SEGMENT'!$HL$51</f>
        <v>38.952844000000006</v>
      </c>
      <c r="T74" s="424">
        <f>'ANALYSE - ERP =&gt; SOUS-SEGMENT'!$FH$51</f>
        <v>224.05012500000001</v>
      </c>
      <c r="U74" s="427">
        <f>'ANALYSE - ERP =&gt; SOUS-SEGMENT'!$HD$51</f>
        <v>44.604000000000006</v>
      </c>
      <c r="V74" s="427">
        <f>'ANALYSE - ERP =&gt; SOUS-SEGMENT'!$HG$51</f>
        <v>78.690000000000012</v>
      </c>
      <c r="W74" s="427">
        <f>'ANALYSE - ERP =&gt; SOUS-SEGMENT'!$HJ$51</f>
        <v>67.303124999999994</v>
      </c>
      <c r="X74" s="427">
        <f>'ANALYSE - ERP =&gt; SOUS-SEGMENT'!$HM$51</f>
        <v>33.453000000000003</v>
      </c>
      <c r="Z74" s="427">
        <f>'ANALYSE - ERP =&gt; SOUS-SEGMENT'!$FI$51</f>
        <v>39.284599999999998</v>
      </c>
      <c r="AA74" s="427">
        <f>'ANALYSE - ERP =&gt; SOUS-SEGMENT'!$HE$51</f>
        <v>7.0712279999999996</v>
      </c>
      <c r="AB74" s="427">
        <f>'ANALYSE - ERP =&gt; SOUS-SEGMENT'!$HH$51</f>
        <v>15.713839999999999</v>
      </c>
      <c r="AC74" s="427">
        <f>'ANALYSE - ERP =&gt; SOUS-SEGMENT'!$HK$51</f>
        <v>10.999688000000001</v>
      </c>
      <c r="AD74" s="427">
        <f>'ANALYSE - ERP =&gt; SOUS-SEGMENT'!$HN$51</f>
        <v>5.4998440000000004</v>
      </c>
      <c r="AF74" s="430">
        <f>'ANALYSE - ERP =&gt; SOUS-SEGMENT'!$Q$51</f>
        <v>0</v>
      </c>
    </row>
    <row r="75" spans="1:32" ht="15" customHeight="1">
      <c r="A75" s="26">
        <v>72</v>
      </c>
      <c r="B75" s="26">
        <v>73</v>
      </c>
      <c r="C75" s="26">
        <v>66</v>
      </c>
      <c r="D75" s="422">
        <f>'ANALYSE - ERP =&gt; SOUS-SEGMENT'!$A$127</f>
        <v>120</v>
      </c>
      <c r="E75" s="415" t="str">
        <f>'ANALYSE - ERP =&gt; SOUS-SEGMENT'!$B$127</f>
        <v>Transport, Mobilité &amp; Stationnement</v>
      </c>
      <c r="F75" s="415" t="str">
        <f>'ANALYSE - ERP =&gt; SOUS-SEGMENT'!$C$127</f>
        <v>Transport / Mobilité</v>
      </c>
      <c r="G75" s="415" t="str">
        <f>'ANALYSE - ERP =&gt; SOUS-SEGMENT'!$D$127</f>
        <v>Terminaux maritimes / fluviaux</v>
      </c>
      <c r="I75" s="427">
        <f t="shared" si="8"/>
        <v>52.223172114444445</v>
      </c>
      <c r="K75" s="787">
        <f t="shared" si="6"/>
        <v>0.76099192188772347</v>
      </c>
      <c r="L75" s="787">
        <f t="shared" si="7"/>
        <v>0.23900807811227656</v>
      </c>
      <c r="N75" s="424">
        <f>'ANALYSE - ERP =&gt; SOUS-SEGMENT'!$FG$127</f>
        <v>261.11586057222223</v>
      </c>
      <c r="O75" s="427">
        <f>'ANALYSE - ERP =&gt; SOUS-SEGMENT'!$HC$127</f>
        <v>22.595698799999997</v>
      </c>
      <c r="P75" s="427">
        <f>'ANALYSE - ERP =&gt; SOUS-SEGMENT'!$HF$127</f>
        <v>103.27786200000001</v>
      </c>
      <c r="Q75" s="427">
        <f>'ANALYSE - ERP =&gt; SOUS-SEGMENT'!$HI$127</f>
        <v>76.384372750000011</v>
      </c>
      <c r="R75" s="427">
        <f>'ANALYSE - ERP =&gt; SOUS-SEGMENT'!$HL$127</f>
        <v>58.857927022222221</v>
      </c>
      <c r="T75" s="424">
        <f>'ANALYSE - ERP =&gt; SOUS-SEGMENT'!$FH$127</f>
        <v>198.70706057222225</v>
      </c>
      <c r="U75" s="427">
        <f>'ANALYSE - ERP =&gt; SOUS-SEGMENT'!$HD$127</f>
        <v>18.851170799999998</v>
      </c>
      <c r="V75" s="427">
        <f>'ANALYSE - ERP =&gt; SOUS-SEGMENT'!$HG$127</f>
        <v>75.193902000000008</v>
      </c>
      <c r="W75" s="427">
        <f>'ANALYSE - ERP =&gt; SOUS-SEGMENT'!$HJ$127</f>
        <v>58.90990875</v>
      </c>
      <c r="X75" s="427">
        <f>'ANALYSE - ERP =&gt; SOUS-SEGMENT'!$HM$127</f>
        <v>45.752079022222219</v>
      </c>
      <c r="Z75" s="427">
        <f>'ANALYSE - ERP =&gt; SOUS-SEGMENT'!$FI$127</f>
        <v>62.408800000000006</v>
      </c>
      <c r="AA75" s="427">
        <f>'ANALYSE - ERP =&gt; SOUS-SEGMENT'!$HE$127</f>
        <v>3.7445280000000003</v>
      </c>
      <c r="AB75" s="427">
        <f>'ANALYSE - ERP =&gt; SOUS-SEGMENT'!$HH$127</f>
        <v>28.083960000000005</v>
      </c>
      <c r="AC75" s="427">
        <f>'ANALYSE - ERP =&gt; SOUS-SEGMENT'!$HK$127</f>
        <v>17.474464000000005</v>
      </c>
      <c r="AD75" s="427">
        <f>'ANALYSE - ERP =&gt; SOUS-SEGMENT'!$HN$127</f>
        <v>13.105848000000002</v>
      </c>
      <c r="AF75" s="430">
        <f>'ANALYSE - ERP =&gt; SOUS-SEGMENT'!$Q$127</f>
        <v>1</v>
      </c>
    </row>
    <row r="76" spans="1:32" ht="15" customHeight="1">
      <c r="A76" s="26">
        <v>73</v>
      </c>
      <c r="B76" s="26">
        <v>72</v>
      </c>
      <c r="C76" s="26">
        <v>77</v>
      </c>
      <c r="D76" s="422">
        <f>'ANALYSE - ERP =&gt; SOUS-SEGMENT'!$A$132</f>
        <v>125</v>
      </c>
      <c r="E76" s="417" t="str">
        <f>'ANALYSE - ERP =&gt; SOUS-SEGMENT'!$B$132</f>
        <v>Sécurité &amp; Justice</v>
      </c>
      <c r="F76" s="417" t="str">
        <f>'ANALYSE - ERP =&gt; SOUS-SEGMENT'!$C$132</f>
        <v xml:space="preserve">Commissariats / postes de police </v>
      </c>
      <c r="G76" s="417" t="str">
        <f>'ANALYSE - ERP =&gt; SOUS-SEGMENT'!$D$132</f>
        <v>Locaux de sûreté, garde à vue et zones opérationnelles</v>
      </c>
      <c r="I76" s="427">
        <f t="shared" si="8"/>
        <v>49.907812433499998</v>
      </c>
      <c r="K76" s="787">
        <f t="shared" si="6"/>
        <v>0.85086358954487196</v>
      </c>
      <c r="L76" s="787">
        <f t="shared" si="7"/>
        <v>0.14913641045512807</v>
      </c>
      <c r="N76" s="424">
        <f>'ANALYSE - ERP =&gt; SOUS-SEGMENT'!$FG$132</f>
        <v>249.53906216749999</v>
      </c>
      <c r="O76" s="427">
        <f>'ANALYSE - ERP =&gt; SOUS-SEGMENT'!$HC$132</f>
        <v>27.839945700000005</v>
      </c>
      <c r="P76" s="427">
        <f>'ANALYSE - ERP =&gt; SOUS-SEGMENT'!$HF$132</f>
        <v>186.1353494</v>
      </c>
      <c r="Q76" s="427">
        <f>'ANALYSE - ERP =&gt; SOUS-SEGMENT'!$HI$132</f>
        <v>10.507815937499998</v>
      </c>
      <c r="R76" s="427">
        <f>'ANALYSE - ERP =&gt; SOUS-SEGMENT'!$HL$132</f>
        <v>25.055951129999997</v>
      </c>
      <c r="T76" s="424">
        <f>'ANALYSE - ERP =&gt; SOUS-SEGMENT'!$FH$132</f>
        <v>212.32370216749999</v>
      </c>
      <c r="U76" s="427">
        <f>'ANALYSE - ERP =&gt; SOUS-SEGMENT'!$HD$132</f>
        <v>24.118409700000004</v>
      </c>
      <c r="V76" s="427">
        <f>'ANALYSE - ERP =&gt; SOUS-SEGMENT'!$HG$132</f>
        <v>157.47952219999999</v>
      </c>
      <c r="W76" s="427">
        <f>'ANALYSE - ERP =&gt; SOUS-SEGMENT'!$HJ$132</f>
        <v>9.019201537499999</v>
      </c>
      <c r="X76" s="427">
        <f>'ANALYSE - ERP =&gt; SOUS-SEGMENT'!$HM$132</f>
        <v>21.706568729999997</v>
      </c>
      <c r="Z76" s="427">
        <f>'ANALYSE - ERP =&gt; SOUS-SEGMENT'!$FI$132</f>
        <v>37.215359999999997</v>
      </c>
      <c r="AA76" s="427">
        <f>'ANALYSE - ERP =&gt; SOUS-SEGMENT'!$HE$132</f>
        <v>3.721536</v>
      </c>
      <c r="AB76" s="427">
        <f>'ANALYSE - ERP =&gt; SOUS-SEGMENT'!$HH$132</f>
        <v>28.655827199999997</v>
      </c>
      <c r="AC76" s="427">
        <f>'ANALYSE - ERP =&gt; SOUS-SEGMENT'!$HK$132</f>
        <v>1.4886143999999999</v>
      </c>
      <c r="AD76" s="427">
        <f>'ANALYSE - ERP =&gt; SOUS-SEGMENT'!$HN$132</f>
        <v>3.3493823999999996</v>
      </c>
      <c r="AF76" s="430">
        <f>'ANALYSE - ERP =&gt; SOUS-SEGMENT'!$Q$132</f>
        <v>1</v>
      </c>
    </row>
    <row r="77" spans="1:32" ht="15" customHeight="1">
      <c r="A77" s="26">
        <v>74</v>
      </c>
      <c r="B77" s="26">
        <v>74</v>
      </c>
      <c r="C77" s="26">
        <v>73</v>
      </c>
      <c r="D77" s="422">
        <f>'ANALYSE - ERP =&gt; SOUS-SEGMENT'!$A$71</f>
        <v>64</v>
      </c>
      <c r="E77" s="417" t="str">
        <f>'ANALYSE - ERP =&gt; SOUS-SEGMENT'!$B$71</f>
        <v>Culture, Patrimoine &amp; Evénementiel</v>
      </c>
      <c r="F77" s="417" t="str">
        <f>'ANALYSE - ERP =&gt; SOUS-SEGMENT'!$C$71</f>
        <v>Expositions / salons</v>
      </c>
      <c r="G77" s="417" t="str">
        <f>'ANALYSE - ERP =&gt; SOUS-SEGMENT'!$D$71</f>
        <v>Halls d’exposition</v>
      </c>
      <c r="I77" s="427">
        <f t="shared" si="8"/>
        <v>47.717369412587416</v>
      </c>
      <c r="K77" s="787">
        <f t="shared" si="6"/>
        <v>0.81371915280696072</v>
      </c>
      <c r="L77" s="787">
        <f t="shared" si="7"/>
        <v>0.18628084719303922</v>
      </c>
      <c r="N77" s="424">
        <f>'ANALYSE - ERP =&gt; SOUS-SEGMENT'!$FG$71</f>
        <v>238.58684706293707</v>
      </c>
      <c r="O77" s="427">
        <f>'ANALYSE - ERP =&gt; SOUS-SEGMENT'!$HC$71</f>
        <v>18.57271549090909</v>
      </c>
      <c r="P77" s="427">
        <f>'ANALYSE - ERP =&gt; SOUS-SEGMENT'!$HF$71</f>
        <v>105.50230615384615</v>
      </c>
      <c r="Q77" s="427">
        <f>'ANALYSE - ERP =&gt; SOUS-SEGMENT'!$HI$71</f>
        <v>73.600369799999996</v>
      </c>
      <c r="R77" s="427">
        <f>'ANALYSE - ERP =&gt; SOUS-SEGMENT'!$HL$71</f>
        <v>40.911455618181819</v>
      </c>
      <c r="T77" s="424">
        <f>'ANALYSE - ERP =&gt; SOUS-SEGMENT'!$FH$71</f>
        <v>194.14268706293706</v>
      </c>
      <c r="U77" s="427">
        <f>'ANALYSE - ERP =&gt; SOUS-SEGMENT'!$HD$71</f>
        <v>15.90606589090909</v>
      </c>
      <c r="V77" s="427">
        <f>'ANALYSE - ERP =&gt; SOUS-SEGMENT'!$HG$71</f>
        <v>83.280226153846158</v>
      </c>
      <c r="W77" s="427">
        <f>'ANALYSE - ERP =&gt; SOUS-SEGMENT'!$HJ$71</f>
        <v>61.156005</v>
      </c>
      <c r="X77" s="427">
        <f>'ANALYSE - ERP =&gt; SOUS-SEGMENT'!$HM$71</f>
        <v>33.800390018181822</v>
      </c>
      <c r="Z77" s="427">
        <f>'ANALYSE - ERP =&gt; SOUS-SEGMENT'!$FI$71</f>
        <v>44.444159999999997</v>
      </c>
      <c r="AA77" s="427">
        <f>'ANALYSE - ERP =&gt; SOUS-SEGMENT'!$HE$71</f>
        <v>2.6666495999999995</v>
      </c>
      <c r="AB77" s="427">
        <f>'ANALYSE - ERP =&gt; SOUS-SEGMENT'!$HH$71</f>
        <v>22.222079999999998</v>
      </c>
      <c r="AC77" s="427">
        <f>'ANALYSE - ERP =&gt; SOUS-SEGMENT'!$HK$71</f>
        <v>12.444364800000001</v>
      </c>
      <c r="AD77" s="427">
        <f>'ANALYSE - ERP =&gt; SOUS-SEGMENT'!$HN$71</f>
        <v>7.1110655999999999</v>
      </c>
      <c r="AF77" s="430">
        <f>'ANALYSE - ERP =&gt; SOUS-SEGMENT'!$Q$71</f>
        <v>1</v>
      </c>
    </row>
    <row r="78" spans="1:32" ht="15" customHeight="1">
      <c r="A78" s="26">
        <v>75</v>
      </c>
      <c r="B78" s="26">
        <v>75</v>
      </c>
      <c r="C78" s="26">
        <v>78</v>
      </c>
      <c r="D78" s="422">
        <f>'ANALYSE - ERP =&gt; SOUS-SEGMENT'!$A$146</f>
        <v>139</v>
      </c>
      <c r="E78" s="414" t="str">
        <f>'ANALYSE - ERP =&gt; SOUS-SEGMENT'!$B$146</f>
        <v>Sécurité &amp; Justice</v>
      </c>
      <c r="F78" s="414" t="str">
        <f>'ANALYSE - ERP =&gt; SOUS-SEGMENT'!$C$146</f>
        <v>Tribunaux</v>
      </c>
      <c r="G78" s="414" t="str">
        <f>'ANALYSE - ERP =&gt; SOUS-SEGMENT'!$D$146</f>
        <v>Palais de justice et bâtiments judiciaires multi-usages</v>
      </c>
      <c r="I78" s="427">
        <f t="shared" si="8"/>
        <v>43.412891576923073</v>
      </c>
      <c r="K78" s="787">
        <f t="shared" si="6"/>
        <v>0.85149185493492652</v>
      </c>
      <c r="L78" s="787">
        <f t="shared" si="7"/>
        <v>0.14850814506507351</v>
      </c>
      <c r="N78" s="424">
        <f>'ANALYSE - ERP =&gt; SOUS-SEGMENT'!$FG$146</f>
        <v>217.06445788461536</v>
      </c>
      <c r="O78" s="427">
        <f>'ANALYSE - ERP =&gt; SOUS-SEGMENT'!$HC$146</f>
        <v>21.824107200000004</v>
      </c>
      <c r="P78" s="427">
        <f>'ANALYSE - ERP =&gt; SOUS-SEGMENT'!$HF$146</f>
        <v>109.95970488461538</v>
      </c>
      <c r="Q78" s="427">
        <f>'ANALYSE - ERP =&gt; SOUS-SEGMENT'!$HI$146</f>
        <v>40.665356199999991</v>
      </c>
      <c r="R78" s="427">
        <f>'ANALYSE - ERP =&gt; SOUS-SEGMENT'!$HL$146</f>
        <v>44.615289600000004</v>
      </c>
      <c r="T78" s="424">
        <f>'ANALYSE - ERP =&gt; SOUS-SEGMENT'!$FH$146</f>
        <v>184.82861788461537</v>
      </c>
      <c r="U78" s="427">
        <f>'ANALYSE - ERP =&gt; SOUS-SEGMENT'!$HD$146</f>
        <v>19.245240000000003</v>
      </c>
      <c r="V78" s="427">
        <f>'ANALYSE - ERP =&gt; SOUS-SEGMENT'!$HG$146</f>
        <v>92.229992884615385</v>
      </c>
      <c r="W78" s="427">
        <f>'ANALYSE - ERP =&gt; SOUS-SEGMENT'!$HJ$146</f>
        <v>34.862904999999991</v>
      </c>
      <c r="X78" s="427">
        <f>'ANALYSE - ERP =&gt; SOUS-SEGMENT'!$HM$146</f>
        <v>38.490480000000005</v>
      </c>
      <c r="Z78" s="427">
        <f>'ANALYSE - ERP =&gt; SOUS-SEGMENT'!$FI$146</f>
        <v>32.235839999999996</v>
      </c>
      <c r="AA78" s="427">
        <f>'ANALYSE - ERP =&gt; SOUS-SEGMENT'!$HE$146</f>
        <v>2.5788671999999999</v>
      </c>
      <c r="AB78" s="427">
        <f>'ANALYSE - ERP =&gt; SOUS-SEGMENT'!$HH$146</f>
        <v>17.729711999999999</v>
      </c>
      <c r="AC78" s="427">
        <f>'ANALYSE - ERP =&gt; SOUS-SEGMENT'!$HK$146</f>
        <v>5.8024511999999993</v>
      </c>
      <c r="AD78" s="427">
        <f>'ANALYSE - ERP =&gt; SOUS-SEGMENT'!$HN$146</f>
        <v>6.124809599999999</v>
      </c>
      <c r="AF78" s="430">
        <f>'ANALYSE - ERP =&gt; SOUS-SEGMENT'!$Q$146</f>
        <v>1</v>
      </c>
    </row>
    <row r="79" spans="1:32" ht="15" customHeight="1">
      <c r="A79" s="26">
        <v>76</v>
      </c>
      <c r="B79" s="26">
        <v>76</v>
      </c>
      <c r="C79" s="26">
        <v>79</v>
      </c>
      <c r="D79" s="422">
        <f>'ANALYSE - ERP =&gt; SOUS-SEGMENT'!$A$121</f>
        <v>114</v>
      </c>
      <c r="E79" s="413" t="str">
        <f>'ANALYSE - ERP =&gt; SOUS-SEGMENT'!$B$121</f>
        <v>Transport, Mobilité &amp; Stationnement</v>
      </c>
      <c r="F79" s="413" t="str">
        <f>'ANALYSE - ERP =&gt; SOUS-SEGMENT'!$C$121</f>
        <v>Transport / Mobilité</v>
      </c>
      <c r="G79" s="413" t="str">
        <f>'ANALYSE - ERP =&gt; SOUS-SEGMENT'!$D$121</f>
        <v>Aires de service - Autoroutes
(Hors Aires de repos)</v>
      </c>
      <c r="I79" s="427">
        <f t="shared" si="8"/>
        <v>38.991129717777781</v>
      </c>
      <c r="K79" s="787">
        <f t="shared" si="6"/>
        <v>0.86673728005293249</v>
      </c>
      <c r="L79" s="787">
        <f t="shared" si="7"/>
        <v>0.13326271994706745</v>
      </c>
      <c r="N79" s="424">
        <f>'ANALYSE - ERP =&gt; SOUS-SEGMENT'!$FG$121</f>
        <v>194.95564858888889</v>
      </c>
      <c r="O79" s="427">
        <f>'ANALYSE - ERP =&gt; SOUS-SEGMENT'!$HC$121</f>
        <v>17.858795599999997</v>
      </c>
      <c r="P79" s="427">
        <f>'ANALYSE - ERP =&gt; SOUS-SEGMENT'!$HF$121</f>
        <v>95.878519999999995</v>
      </c>
      <c r="Q79" s="427">
        <f>'ANALYSE - ERP =&gt; SOUS-SEGMENT'!$HI$121</f>
        <v>42.130814099999995</v>
      </c>
      <c r="R79" s="427">
        <f>'ANALYSE - ERP =&gt; SOUS-SEGMENT'!$HL$121</f>
        <v>39.087518888888887</v>
      </c>
      <c r="T79" s="424">
        <f>'ANALYSE - ERP =&gt; SOUS-SEGMENT'!$FH$121</f>
        <v>168.97532858888889</v>
      </c>
      <c r="U79" s="427">
        <f>'ANALYSE - ERP =&gt; SOUS-SEGMENT'!$HD$121</f>
        <v>16.299976399999998</v>
      </c>
      <c r="V79" s="427">
        <f>'ANALYSE - ERP =&gt; SOUS-SEGMENT'!$HG$121</f>
        <v>81.589343999999997</v>
      </c>
      <c r="W79" s="427">
        <f>'ANALYSE - ERP =&gt; SOUS-SEGMENT'!$HJ$121</f>
        <v>36.674946899999995</v>
      </c>
      <c r="X79" s="427">
        <f>'ANALYSE - ERP =&gt; SOUS-SEGMENT'!$HM$121</f>
        <v>34.411061288888888</v>
      </c>
      <c r="Z79" s="427">
        <f>'ANALYSE - ERP =&gt; SOUS-SEGMENT'!$FI$121</f>
        <v>25.980319999999999</v>
      </c>
      <c r="AA79" s="427">
        <f>'ANALYSE - ERP =&gt; SOUS-SEGMENT'!$HE$121</f>
        <v>1.5588191999999998</v>
      </c>
      <c r="AB79" s="427">
        <f>'ANALYSE - ERP =&gt; SOUS-SEGMENT'!$HH$121</f>
        <v>14.289176000000001</v>
      </c>
      <c r="AC79" s="427">
        <f>'ANALYSE - ERP =&gt; SOUS-SEGMENT'!$HK$121</f>
        <v>5.4558671999999993</v>
      </c>
      <c r="AD79" s="427">
        <f>'ANALYSE - ERP =&gt; SOUS-SEGMENT'!$HN$121</f>
        <v>4.6764576</v>
      </c>
      <c r="AF79" s="430">
        <f>'ANALYSE - ERP =&gt; SOUS-SEGMENT'!$Q$121</f>
        <v>1</v>
      </c>
    </row>
    <row r="80" spans="1:32" ht="15" customHeight="1">
      <c r="A80" s="26">
        <v>77</v>
      </c>
      <c r="B80" s="26">
        <v>77</v>
      </c>
      <c r="C80" s="26">
        <v>69</v>
      </c>
      <c r="D80" s="422">
        <f>'ANALYSE - ERP =&gt; SOUS-SEGMENT'!$A$118</f>
        <v>111</v>
      </c>
      <c r="E80" s="417" t="str">
        <f>'ANALYSE - ERP =&gt; SOUS-SEGMENT'!$B$118</f>
        <v>Culte, Vie civique &amp; Services publics</v>
      </c>
      <c r="F80" s="417" t="str">
        <f>'ANALYSE - ERP =&gt; SOUS-SEGMENT'!$C$118</f>
        <v>Culte</v>
      </c>
      <c r="G80" s="417" t="str">
        <f>'ANALYSE - ERP =&gt; SOUS-SEGMENT'!$D$118</f>
        <v>Temples bouddhistes, hindous et autres lieux de culte non abrahamiques ouverts au public</v>
      </c>
      <c r="I80" s="427">
        <f t="shared" si="8"/>
        <v>18.529699999999998</v>
      </c>
      <c r="K80" s="787">
        <f t="shared" si="6"/>
        <v>0.63617867531584438</v>
      </c>
      <c r="L80" s="787">
        <f t="shared" si="7"/>
        <v>0.36382132468415568</v>
      </c>
      <c r="N80" s="424">
        <f>'ANALYSE - ERP =&gt; SOUS-SEGMENT'!$FG$118</f>
        <v>92.648499999999999</v>
      </c>
      <c r="O80" s="427">
        <f>'ANALYSE - ERP =&gt; SOUS-SEGMENT'!$HC$118</f>
        <v>11.02975</v>
      </c>
      <c r="P80" s="427">
        <f>'ANALYSE - ERP =&gt; SOUS-SEGMENT'!$HF$118</f>
        <v>36.258375000000001</v>
      </c>
      <c r="Q80" s="427">
        <f>'ANALYSE - ERP =&gt; SOUS-SEGMENT'!$HI$118</f>
        <v>15.462374999999998</v>
      </c>
      <c r="R80" s="427">
        <f>'ANALYSE - ERP =&gt; SOUS-SEGMENT'!$HL$118</f>
        <v>29.897999999999996</v>
      </c>
      <c r="T80" s="424">
        <f>'ANALYSE - ERP =&gt; SOUS-SEGMENT'!$FH$118</f>
        <v>58.941000000000003</v>
      </c>
      <c r="U80" s="427">
        <f>'ANALYSE - ERP =&gt; SOUS-SEGMENT'!$HD$118</f>
        <v>7.6590000000000007</v>
      </c>
      <c r="V80" s="427">
        <f>'ANALYSE - ERP =&gt; SOUS-SEGMENT'!$HG$118</f>
        <v>21.09</v>
      </c>
      <c r="W80" s="427">
        <f>'ANALYSE - ERP =&gt; SOUS-SEGMENT'!$HJ$118</f>
        <v>10.40625</v>
      </c>
      <c r="X80" s="427">
        <f>'ANALYSE - ERP =&gt; SOUS-SEGMENT'!$HM$118</f>
        <v>19.78575</v>
      </c>
      <c r="Z80" s="427">
        <f>'ANALYSE - ERP =&gt; SOUS-SEGMENT'!$FI$118</f>
        <v>33.707499999999996</v>
      </c>
      <c r="AA80" s="427">
        <f>'ANALYSE - ERP =&gt; SOUS-SEGMENT'!$HE$118</f>
        <v>3.3707499999999997</v>
      </c>
      <c r="AB80" s="427">
        <f>'ANALYSE - ERP =&gt; SOUS-SEGMENT'!$HH$118</f>
        <v>15.168374999999999</v>
      </c>
      <c r="AC80" s="427">
        <f>'ANALYSE - ERP =&gt; SOUS-SEGMENT'!$HK$118</f>
        <v>5.0561249999999989</v>
      </c>
      <c r="AD80" s="427">
        <f>'ANALYSE - ERP =&gt; SOUS-SEGMENT'!$HN$118</f>
        <v>10.112249999999998</v>
      </c>
      <c r="AF80" s="430">
        <f>'ANALYSE - ERP =&gt; SOUS-SEGMENT'!$Q$118</f>
        <v>1</v>
      </c>
    </row>
    <row r="81" spans="1:32" ht="15" customHeight="1">
      <c r="A81" s="26">
        <v>78</v>
      </c>
      <c r="B81" s="26">
        <v>78</v>
      </c>
      <c r="C81" s="26">
        <v>84</v>
      </c>
      <c r="D81" s="422">
        <f>'ANALYSE - ERP =&gt; SOUS-SEGMENT'!$A$93</f>
        <v>86</v>
      </c>
      <c r="E81" s="415" t="str">
        <f>'ANALYSE - ERP =&gt; SOUS-SEGMENT'!$B$93</f>
        <v>Hébergement Touristique</v>
      </c>
      <c r="F81" s="415" t="str">
        <f>'ANALYSE - ERP =&gt; SOUS-SEGMENT'!$C$93</f>
        <v>Hébergement Montagne</v>
      </c>
      <c r="G81" s="415" t="str">
        <f>'ANALYSE - ERP =&gt; SOUS-SEGMENT'!$D$93</f>
        <v>Refuges de montagne</v>
      </c>
      <c r="I81" s="427">
        <f t="shared" si="8"/>
        <v>13.645456210227271</v>
      </c>
      <c r="K81" s="787">
        <f t="shared" si="6"/>
        <v>0.83406930738578156</v>
      </c>
      <c r="L81" s="787">
        <f t="shared" si="7"/>
        <v>0.16593069261421847</v>
      </c>
      <c r="N81" s="424">
        <f>'ANALYSE - ERP =&gt; SOUS-SEGMENT'!$FG$93</f>
        <v>68.227281051136359</v>
      </c>
      <c r="O81" s="427">
        <f>'ANALYSE - ERP =&gt; SOUS-SEGMENT'!$HC$93</f>
        <v>16.840016250000001</v>
      </c>
      <c r="P81" s="427">
        <f>'ANALYSE - ERP =&gt; SOUS-SEGMENT'!$HF$93</f>
        <v>28.340331363636366</v>
      </c>
      <c r="Q81" s="427">
        <f>'ANALYSE - ERP =&gt; SOUS-SEGMENT'!$HI$93</f>
        <v>4.2880834374999992</v>
      </c>
      <c r="R81" s="427">
        <f>'ANALYSE - ERP =&gt; SOUS-SEGMENT'!$HL$93</f>
        <v>18.758849999999999</v>
      </c>
      <c r="T81" s="424">
        <f>'ANALYSE - ERP =&gt; SOUS-SEGMENT'!$FH$93</f>
        <v>56.906281051136361</v>
      </c>
      <c r="U81" s="427">
        <f>'ANALYSE - ERP =&gt; SOUS-SEGMENT'!$HD$93</f>
        <v>14.236186250000001</v>
      </c>
      <c r="V81" s="427">
        <f>'ANALYSE - ERP =&gt; SOUS-SEGMENT'!$HG$93</f>
        <v>23.132671363636366</v>
      </c>
      <c r="W81" s="427">
        <f>'ANALYSE - ERP =&gt; SOUS-SEGMENT'!$HJ$93</f>
        <v>3.6088234374999995</v>
      </c>
      <c r="X81" s="427">
        <f>'ANALYSE - ERP =&gt; SOUS-SEGMENT'!$HM$93</f>
        <v>15.928599999999999</v>
      </c>
      <c r="Z81" s="427">
        <f>'ANALYSE - ERP =&gt; SOUS-SEGMENT'!$FI$93</f>
        <v>11.321</v>
      </c>
      <c r="AA81" s="427">
        <f>'ANALYSE - ERP =&gt; SOUS-SEGMENT'!$HE$93</f>
        <v>2.6038299999999999</v>
      </c>
      <c r="AB81" s="427">
        <f>'ANALYSE - ERP =&gt; SOUS-SEGMENT'!$HH$93</f>
        <v>5.2076599999999997</v>
      </c>
      <c r="AC81" s="427">
        <f>'ANALYSE - ERP =&gt; SOUS-SEGMENT'!$HK$93</f>
        <v>0.67925999999999997</v>
      </c>
      <c r="AD81" s="427">
        <f>'ANALYSE - ERP =&gt; SOUS-SEGMENT'!$HN$93</f>
        <v>2.8302499999999999</v>
      </c>
      <c r="AF81" s="430">
        <f>'ANALYSE - ERP =&gt; SOUS-SEGMENT'!$Q$93</f>
        <v>1</v>
      </c>
    </row>
    <row r="82" spans="1:32" ht="15" customHeight="1">
      <c r="A82" s="26">
        <v>79</v>
      </c>
      <c r="B82" s="26">
        <v>79</v>
      </c>
      <c r="C82" s="26">
        <v>80</v>
      </c>
      <c r="D82" s="422">
        <f>'ANALYSE - ERP =&gt; SOUS-SEGMENT'!$A$137</f>
        <v>130</v>
      </c>
      <c r="E82" s="412" t="str">
        <f>'ANALYSE - ERP =&gt; SOUS-SEGMENT'!$B$137</f>
        <v>Sécurité &amp; Justice</v>
      </c>
      <c r="F82" s="412" t="str">
        <f>'ANALYSE - ERP =&gt; SOUS-SEGMENT'!$C$137</f>
        <v>Forces armées</v>
      </c>
      <c r="G82" s="412" t="str">
        <f>'ANALYSE - ERP =&gt; SOUS-SEGMENT'!$D$137</f>
        <v>Restaurants ou équipements sportifs ouverts au public sur emprise militaire</v>
      </c>
      <c r="I82" s="427">
        <f t="shared" si="8"/>
        <v>28.642800000000001</v>
      </c>
      <c r="K82" s="787">
        <f t="shared" si="6"/>
        <v>0.84559470442833806</v>
      </c>
      <c r="L82" s="787">
        <f t="shared" si="7"/>
        <v>0.15440529557166199</v>
      </c>
      <c r="N82" s="424">
        <f>'ANALYSE - ERP =&gt; SOUS-SEGMENT'!$FG$137</f>
        <v>143.214</v>
      </c>
      <c r="O82" s="427">
        <f>'ANALYSE - ERP =&gt; SOUS-SEGMENT'!$HC$137</f>
        <v>11.800380000000001</v>
      </c>
      <c r="P82" s="427">
        <f>'ANALYSE - ERP =&gt; SOUS-SEGMENT'!$HF$137</f>
        <v>78.727799999999988</v>
      </c>
      <c r="Q82" s="427">
        <f>'ANALYSE - ERP =&gt; SOUS-SEGMENT'!$HI$137</f>
        <v>19.018559999999997</v>
      </c>
      <c r="R82" s="427">
        <f>'ANALYSE - ERP =&gt; SOUS-SEGMENT'!$HL$137</f>
        <v>33.667259999999999</v>
      </c>
      <c r="T82" s="424">
        <f>'ANALYSE - ERP =&gt; SOUS-SEGMENT'!$FH$137</f>
        <v>121.101</v>
      </c>
      <c r="U82" s="427">
        <f>'ANALYSE - ERP =&gt; SOUS-SEGMENT'!$HD$137</f>
        <v>10.473600000000001</v>
      </c>
      <c r="V82" s="427">
        <f>'ANALYSE - ERP =&gt; SOUS-SEGMENT'!$HG$137</f>
        <v>65.459999999999994</v>
      </c>
      <c r="W82" s="427">
        <f>'ANALYSE - ERP =&gt; SOUS-SEGMENT'!$HJ$137</f>
        <v>16.364999999999998</v>
      </c>
      <c r="X82" s="427">
        <f>'ANALYSE - ERP =&gt; SOUS-SEGMENT'!$HM$137</f>
        <v>28.802400000000002</v>
      </c>
      <c r="Z82" s="427">
        <f>'ANALYSE - ERP =&gt; SOUS-SEGMENT'!$FI$137</f>
        <v>22.113</v>
      </c>
      <c r="AA82" s="427">
        <f>'ANALYSE - ERP =&gt; SOUS-SEGMENT'!$HE$137</f>
        <v>1.3267799999999998</v>
      </c>
      <c r="AB82" s="427">
        <f>'ANALYSE - ERP =&gt; SOUS-SEGMENT'!$HH$137</f>
        <v>13.267799999999999</v>
      </c>
      <c r="AC82" s="427">
        <f>'ANALYSE - ERP =&gt; SOUS-SEGMENT'!$HK$137</f>
        <v>2.6535599999999997</v>
      </c>
      <c r="AD82" s="427">
        <f>'ANALYSE - ERP =&gt; SOUS-SEGMENT'!$HN$137</f>
        <v>4.8648600000000002</v>
      </c>
      <c r="AF82" s="430">
        <f>'ANALYSE - ERP =&gt; SOUS-SEGMENT'!$Q$137</f>
        <v>1</v>
      </c>
    </row>
    <row r="83" spans="1:32" ht="15" customHeight="1">
      <c r="A83" s="26">
        <v>80</v>
      </c>
      <c r="B83" s="26">
        <v>82</v>
      </c>
      <c r="C83" s="26">
        <v>76</v>
      </c>
      <c r="D83" s="422">
        <f>'ANALYSE - ERP =&gt; SOUS-SEGMENT'!$A$78</f>
        <v>71</v>
      </c>
      <c r="E83" s="414" t="str">
        <f>'ANALYSE - ERP =&gt; SOUS-SEGMENT'!$B$78</f>
        <v>Commerce, Restauration &amp; Loisirs</v>
      </c>
      <c r="F83" s="414" t="str">
        <f>'ANALYSE - ERP =&gt; SOUS-SEGMENT'!$C$78</f>
        <v>Restauration / boissons</v>
      </c>
      <c r="G83" s="414" t="str">
        <f>'ANALYSE - ERP =&gt; SOUS-SEGMENT'!$D$78</f>
        <v>Établissements flottants</v>
      </c>
      <c r="I83" s="427">
        <f t="shared" si="8"/>
        <v>27.757192074999999</v>
      </c>
      <c r="K83" s="787">
        <f t="shared" si="6"/>
        <v>0.73157947749655428</v>
      </c>
      <c r="L83" s="787">
        <f t="shared" si="7"/>
        <v>0.26842052250344561</v>
      </c>
      <c r="N83" s="424">
        <f>'ANALYSE - ERP =&gt; SOUS-SEGMENT'!$FG$78</f>
        <v>138.785960375</v>
      </c>
      <c r="O83" s="427">
        <f>'ANALYSE - ERP =&gt; SOUS-SEGMENT'!$HC$78</f>
        <v>19.586118500000005</v>
      </c>
      <c r="P83" s="427">
        <f>'ANALYSE - ERP =&gt; SOUS-SEGMENT'!$HF$78</f>
        <v>50.184139999999999</v>
      </c>
      <c r="Q83" s="427">
        <f>'ANALYSE - ERP =&gt; SOUS-SEGMENT'!$HI$78</f>
        <v>17.165917874999998</v>
      </c>
      <c r="R83" s="427">
        <f>'ANALYSE - ERP =&gt; SOUS-SEGMENT'!$HL$78</f>
        <v>51.849783999999993</v>
      </c>
      <c r="T83" s="424">
        <f>'ANALYSE - ERP =&gt; SOUS-SEGMENT'!$FH$78</f>
        <v>101.53296037499999</v>
      </c>
      <c r="U83" s="427">
        <f>'ANALYSE - ERP =&gt; SOUS-SEGMENT'!$HD$78</f>
        <v>14.743228500000003</v>
      </c>
      <c r="V83" s="427">
        <f>'ANALYSE - ERP =&gt; SOUS-SEGMENT'!$HG$78</f>
        <v>35.282939999999996</v>
      </c>
      <c r="W83" s="427">
        <f>'ANALYSE - ERP =&gt; SOUS-SEGMENT'!$HJ$78</f>
        <v>12.695557874999999</v>
      </c>
      <c r="X83" s="427">
        <f>'ANALYSE - ERP =&gt; SOUS-SEGMENT'!$HM$78</f>
        <v>38.811233999999992</v>
      </c>
      <c r="Z83" s="427">
        <f>'ANALYSE - ERP =&gt; SOUS-SEGMENT'!$FI$78</f>
        <v>37.253</v>
      </c>
      <c r="AA83" s="427">
        <f>'ANALYSE - ERP =&gt; SOUS-SEGMENT'!$HE$78</f>
        <v>4.8428900000000006</v>
      </c>
      <c r="AB83" s="427">
        <f>'ANALYSE - ERP =&gt; SOUS-SEGMENT'!$HH$78</f>
        <v>14.901200000000001</v>
      </c>
      <c r="AC83" s="427">
        <f>'ANALYSE - ERP =&gt; SOUS-SEGMENT'!$HK$78</f>
        <v>4.4703599999999994</v>
      </c>
      <c r="AD83" s="427">
        <f>'ANALYSE - ERP =&gt; SOUS-SEGMENT'!$HN$78</f>
        <v>13.038549999999999</v>
      </c>
      <c r="AF83" s="430">
        <f>'ANALYSE - ERP =&gt; SOUS-SEGMENT'!$Q$78</f>
        <v>1</v>
      </c>
    </row>
    <row r="84" spans="1:32" ht="15" customHeight="1">
      <c r="A84" s="26">
        <v>81</v>
      </c>
      <c r="B84" s="26">
        <v>85</v>
      </c>
      <c r="C84" s="26">
        <v>71</v>
      </c>
      <c r="D84" s="422">
        <f>'ANALYSE - ERP =&gt; SOUS-SEGMENT'!$A$142</f>
        <v>135</v>
      </c>
      <c r="E84" s="417" t="str">
        <f>'ANALYSE - ERP =&gt; SOUS-SEGMENT'!$B$142</f>
        <v>Sécurité &amp; Justice</v>
      </c>
      <c r="F84" s="417" t="str">
        <f>'ANALYSE - ERP =&gt; SOUS-SEGMENT'!$C$142</f>
        <v>Univers carcéral</v>
      </c>
      <c r="G84" s="417" t="str">
        <f>'ANALYSE - ERP =&gt; SOUS-SEGMENT'!$D$142</f>
        <v>Centres pénitentiaires</v>
      </c>
      <c r="I84" s="427">
        <f t="shared" si="8"/>
        <v>25.326088363636366</v>
      </c>
      <c r="K84" s="787">
        <f t="shared" si="6"/>
        <v>0.62039333267888774</v>
      </c>
      <c r="L84" s="787">
        <f t="shared" si="7"/>
        <v>0.3796066673211122</v>
      </c>
      <c r="N84" s="424">
        <f>'ANALYSE - ERP =&gt; SOUS-SEGMENT'!$FG$142</f>
        <v>126.63044181818182</v>
      </c>
      <c r="O84" s="427">
        <f>'ANALYSE - ERP =&gt; SOUS-SEGMENT'!$HC$142</f>
        <v>14.126976000000001</v>
      </c>
      <c r="P84" s="427">
        <f>'ANALYSE - ERP =&gt; SOUS-SEGMENT'!$HF$142</f>
        <v>98.193292218181824</v>
      </c>
      <c r="Q84" s="427">
        <f>'ANALYSE - ERP =&gt; SOUS-SEGMENT'!$HI$142</f>
        <v>5.1492903999999999</v>
      </c>
      <c r="R84" s="427">
        <f>'ANALYSE - ERP =&gt; SOUS-SEGMENT'!$HL$142</f>
        <v>9.1608832000000007</v>
      </c>
      <c r="T84" s="424">
        <f>'ANALYSE - ERP =&gt; SOUS-SEGMENT'!$FH$142</f>
        <v>78.56068181818182</v>
      </c>
      <c r="U84" s="427">
        <f>'ANALYSE - ERP =&gt; SOUS-SEGMENT'!$HD$142</f>
        <v>9.32</v>
      </c>
      <c r="V84" s="427">
        <f>'ANALYSE - ERP =&gt; SOUS-SEGMENT'!$HG$142</f>
        <v>60.218181818181819</v>
      </c>
      <c r="W84" s="427">
        <f>'ANALYSE - ERP =&gt; SOUS-SEGMENT'!$HJ$142</f>
        <v>3.2264999999999993</v>
      </c>
      <c r="X84" s="427">
        <f>'ANALYSE - ERP =&gt; SOUS-SEGMENT'!$HM$142</f>
        <v>5.7960000000000003</v>
      </c>
      <c r="Z84" s="427">
        <f>'ANALYSE - ERP =&gt; SOUS-SEGMENT'!$FI$142</f>
        <v>48.069760000000002</v>
      </c>
      <c r="AA84" s="427">
        <f>'ANALYSE - ERP =&gt; SOUS-SEGMENT'!$HE$142</f>
        <v>4.8069760000000006</v>
      </c>
      <c r="AB84" s="427">
        <f>'ANALYSE - ERP =&gt; SOUS-SEGMENT'!$HH$142</f>
        <v>37.975110400000005</v>
      </c>
      <c r="AC84" s="427">
        <f>'ANALYSE - ERP =&gt; SOUS-SEGMENT'!$HK$142</f>
        <v>1.9227904000000002</v>
      </c>
      <c r="AD84" s="427">
        <f>'ANALYSE - ERP =&gt; SOUS-SEGMENT'!$HN$142</f>
        <v>3.3648832000000004</v>
      </c>
      <c r="AF84" s="430">
        <f>'ANALYSE - ERP =&gt; SOUS-SEGMENT'!$Q$142</f>
        <v>1</v>
      </c>
    </row>
    <row r="85" spans="1:32" ht="15" customHeight="1">
      <c r="A85" s="26">
        <v>82</v>
      </c>
      <c r="B85" s="26">
        <v>80</v>
      </c>
      <c r="C85" s="26">
        <v>85</v>
      </c>
      <c r="D85" s="422">
        <f>'ANALYSE - ERP =&gt; SOUS-SEGMENT'!$A$90</f>
        <v>83</v>
      </c>
      <c r="E85" s="417" t="str">
        <f>'ANALYSE - ERP =&gt; SOUS-SEGMENT'!$B$90</f>
        <v>Hébergement Touristique</v>
      </c>
      <c r="F85" s="417" t="str">
        <f>'ANALYSE - ERP =&gt; SOUS-SEGMENT'!$C$90</f>
        <v>Hébergement Touristique</v>
      </c>
      <c r="G85" s="417" t="str">
        <f>'ANALYSE - ERP =&gt; SOUS-SEGMENT'!$D$90</f>
        <v>Auberges de jeunesse</v>
      </c>
      <c r="I85" s="427">
        <f t="shared" si="8"/>
        <v>13.543752799999998</v>
      </c>
      <c r="K85" s="787">
        <f t="shared" si="6"/>
        <v>0.79405264986821078</v>
      </c>
      <c r="L85" s="787">
        <f t="shared" si="7"/>
        <v>0.20594735013178919</v>
      </c>
      <c r="N85" s="424">
        <f>'ANALYSE - ERP =&gt; SOUS-SEGMENT'!$FG$90</f>
        <v>67.718763999999993</v>
      </c>
      <c r="O85" s="427">
        <f>'ANALYSE - ERP =&gt; SOUS-SEGMENT'!$HC$90</f>
        <v>8.1900459999999988</v>
      </c>
      <c r="P85" s="427">
        <f>'ANALYSE - ERP =&gt; SOUS-SEGMENT'!$HF$90</f>
        <v>27.080670000000001</v>
      </c>
      <c r="Q85" s="427">
        <f>'ANALYSE - ERP =&gt; SOUS-SEGMENT'!$HI$90</f>
        <v>10.709324999999998</v>
      </c>
      <c r="R85" s="427">
        <f>'ANALYSE - ERP =&gt; SOUS-SEGMENT'!$HL$90</f>
        <v>21.738723</v>
      </c>
      <c r="T85" s="424">
        <f>'ANALYSE - ERP =&gt; SOUS-SEGMENT'!$FH$90</f>
        <v>53.772263999999993</v>
      </c>
      <c r="U85" s="427">
        <f>'ANALYSE - ERP =&gt; SOUS-SEGMENT'!$HD$90</f>
        <v>6.7953959999999993</v>
      </c>
      <c r="V85" s="427">
        <f>'ANALYSE - ERP =&gt; SOUS-SEGMENT'!$HG$90</f>
        <v>20.804745</v>
      </c>
      <c r="W85" s="427">
        <f>'ANALYSE - ERP =&gt; SOUS-SEGMENT'!$HJ$90</f>
        <v>8.6173499999999983</v>
      </c>
      <c r="X85" s="427">
        <f>'ANALYSE - ERP =&gt; SOUS-SEGMENT'!$HM$90</f>
        <v>17.554773000000001</v>
      </c>
      <c r="Z85" s="427">
        <f>'ANALYSE - ERP =&gt; SOUS-SEGMENT'!$FI$90</f>
        <v>13.9465</v>
      </c>
      <c r="AA85" s="427">
        <f>'ANALYSE - ERP =&gt; SOUS-SEGMENT'!$HE$90</f>
        <v>1.3946500000000002</v>
      </c>
      <c r="AB85" s="427">
        <f>'ANALYSE - ERP =&gt; SOUS-SEGMENT'!$HH$90</f>
        <v>6.275925</v>
      </c>
      <c r="AC85" s="427">
        <f>'ANALYSE - ERP =&gt; SOUS-SEGMENT'!$HK$90</f>
        <v>2.0919750000000001</v>
      </c>
      <c r="AD85" s="427">
        <f>'ANALYSE - ERP =&gt; SOUS-SEGMENT'!$HN$90</f>
        <v>4.1839500000000003</v>
      </c>
      <c r="AF85" s="430">
        <f>'ANALYSE - ERP =&gt; SOUS-SEGMENT'!$Q$90</f>
        <v>1</v>
      </c>
    </row>
    <row r="86" spans="1:32" ht="15" customHeight="1">
      <c r="A86" s="26">
        <v>83</v>
      </c>
      <c r="B86" s="26">
        <v>81</v>
      </c>
      <c r="C86" s="26">
        <v>87</v>
      </c>
      <c r="D86" s="422">
        <f>'ANALYSE - ERP =&gt; SOUS-SEGMENT'!$A$117</f>
        <v>110</v>
      </c>
      <c r="E86" s="413" t="str">
        <f>'ANALYSE - ERP =&gt; SOUS-SEGMENT'!$B$117</f>
        <v>Culte, Vie civique &amp; Services publics</v>
      </c>
      <c r="F86" s="413" t="str">
        <f>'ANALYSE - ERP =&gt; SOUS-SEGMENT'!$C$117</f>
        <v>Culte</v>
      </c>
      <c r="G86" s="413" t="str">
        <f>'ANALYSE - ERP =&gt; SOUS-SEGMENT'!$D$117</f>
        <v>Synagogues et oratoires juifs ouverts au public</v>
      </c>
      <c r="I86" s="427">
        <f t="shared" si="8"/>
        <v>9.1979473193473176</v>
      </c>
      <c r="K86" s="787">
        <f t="shared" si="6"/>
        <v>0.89481348757402401</v>
      </c>
      <c r="L86" s="787">
        <f t="shared" si="7"/>
        <v>0.10518651242597606</v>
      </c>
      <c r="N86" s="424">
        <f>'ANALYSE - ERP =&gt; SOUS-SEGMENT'!$FG$117</f>
        <v>45.989736596736591</v>
      </c>
      <c r="O86" s="427">
        <f>'ANALYSE - ERP =&gt; SOUS-SEGMENT'!$HC$117</f>
        <v>5.6704772727272719</v>
      </c>
      <c r="P86" s="427">
        <f>'ANALYSE - ERP =&gt; SOUS-SEGMENT'!$HF$117</f>
        <v>20.463365384615383</v>
      </c>
      <c r="Q86" s="427">
        <f>'ANALYSE - ERP =&gt; SOUS-SEGMENT'!$HI$117</f>
        <v>8.8504166666666659</v>
      </c>
      <c r="R86" s="427">
        <f>'ANALYSE - ERP =&gt; SOUS-SEGMENT'!$HL$117</f>
        <v>11.005477272727271</v>
      </c>
      <c r="T86" s="424">
        <f>'ANALYSE - ERP =&gt; SOUS-SEGMENT'!$FH$117</f>
        <v>41.152236596736593</v>
      </c>
      <c r="U86" s="427">
        <f>'ANALYSE - ERP =&gt; SOUS-SEGMENT'!$HD$117</f>
        <v>5.1867272727272722</v>
      </c>
      <c r="V86" s="427">
        <f>'ANALYSE - ERP =&gt; SOUS-SEGMENT'!$HG$117</f>
        <v>18.044615384615383</v>
      </c>
      <c r="W86" s="427">
        <f>'ANALYSE - ERP =&gt; SOUS-SEGMENT'!$HJ$117</f>
        <v>7.9796666666666667</v>
      </c>
      <c r="X86" s="427">
        <f>'ANALYSE - ERP =&gt; SOUS-SEGMENT'!$HM$117</f>
        <v>9.9412272727272715</v>
      </c>
      <c r="Z86" s="427">
        <f>'ANALYSE - ERP =&gt; SOUS-SEGMENT'!$FI$117</f>
        <v>4.8374999999999995</v>
      </c>
      <c r="AA86" s="427">
        <f>'ANALYSE - ERP =&gt; SOUS-SEGMENT'!$HE$117</f>
        <v>0.48374999999999996</v>
      </c>
      <c r="AB86" s="427">
        <f>'ANALYSE - ERP =&gt; SOUS-SEGMENT'!$HH$117</f>
        <v>2.4187499999999997</v>
      </c>
      <c r="AC86" s="427">
        <f>'ANALYSE - ERP =&gt; SOUS-SEGMENT'!$HK$117</f>
        <v>0.87074999999999991</v>
      </c>
      <c r="AD86" s="427">
        <f>'ANALYSE - ERP =&gt; SOUS-SEGMENT'!$HN$117</f>
        <v>1.0642499999999999</v>
      </c>
      <c r="AF86" s="430">
        <f>'ANALYSE - ERP =&gt; SOUS-SEGMENT'!$Q$117</f>
        <v>1</v>
      </c>
    </row>
    <row r="87" spans="1:32" ht="15" customHeight="1">
      <c r="A87" s="26">
        <v>84</v>
      </c>
      <c r="B87" s="26">
        <v>84</v>
      </c>
      <c r="C87" s="26">
        <v>81</v>
      </c>
      <c r="D87" s="422">
        <f>'ANALYSE - ERP =&gt; SOUS-SEGMENT'!$A$43</f>
        <v>36</v>
      </c>
      <c r="E87" s="417" t="str">
        <f>'ANALYSE - ERP =&gt; SOUS-SEGMENT'!$B$43</f>
        <v>Santé &amp; Médico-social</v>
      </c>
      <c r="F87" s="417" t="str">
        <f>'ANALYSE - ERP =&gt; SOUS-SEGMENT'!$C$43</f>
        <v>Santé hospitalière</v>
      </c>
      <c r="G87" s="417" t="str">
        <f>'ANALYSE - ERP =&gt; SOUS-SEGMENT'!$D$43</f>
        <v>Hôpitaux universitaires / CHU</v>
      </c>
      <c r="I87" s="427">
        <f t="shared" si="8"/>
        <v>20.630735999999999</v>
      </c>
      <c r="K87" s="787">
        <f t="shared" si="6"/>
        <v>0.78759187263120423</v>
      </c>
      <c r="L87" s="787">
        <f t="shared" si="7"/>
        <v>0.21240812736879577</v>
      </c>
      <c r="N87" s="424">
        <f>'ANALYSE - ERP =&gt; SOUS-SEGMENT'!$FG$43</f>
        <v>103.15367999999999</v>
      </c>
      <c r="O87" s="427">
        <f>'ANALYSE - ERP =&gt; SOUS-SEGMENT'!$HC$43</f>
        <v>25.475349600000001</v>
      </c>
      <c r="P87" s="427">
        <f>'ANALYSE - ERP =&gt; SOUS-SEGMENT'!$HF$43</f>
        <v>35.764272000000005</v>
      </c>
      <c r="Q87" s="427">
        <f>'ANALYSE - ERP =&gt; SOUS-SEGMENT'!$HI$43</f>
        <v>26.234456399999999</v>
      </c>
      <c r="R87" s="427">
        <f>'ANALYSE - ERP =&gt; SOUS-SEGMENT'!$HL$43</f>
        <v>15.679602000000001</v>
      </c>
      <c r="T87" s="424">
        <f>'ANALYSE - ERP =&gt; SOUS-SEGMENT'!$FH$43</f>
        <v>81.242999999999995</v>
      </c>
      <c r="U87" s="427">
        <f>'ANALYSE - ERP =&gt; SOUS-SEGMENT'!$HD$43</f>
        <v>20.655000000000001</v>
      </c>
      <c r="V87" s="427">
        <f>'ANALYSE - ERP =&gt; SOUS-SEGMENT'!$HG$43</f>
        <v>27.000000000000004</v>
      </c>
      <c r="W87" s="427">
        <f>'ANALYSE - ERP =&gt; SOUS-SEGMENT'!$HJ$43</f>
        <v>21.195</v>
      </c>
      <c r="X87" s="427">
        <f>'ANALYSE - ERP =&gt; SOUS-SEGMENT'!$HM$43</f>
        <v>12.393000000000001</v>
      </c>
      <c r="Z87" s="427">
        <f>'ANALYSE - ERP =&gt; SOUS-SEGMENT'!$FI$43</f>
        <v>21.910679999999999</v>
      </c>
      <c r="AA87" s="427">
        <f>'ANALYSE - ERP =&gt; SOUS-SEGMENT'!$HE$43</f>
        <v>4.8203496000000001</v>
      </c>
      <c r="AB87" s="427">
        <f>'ANALYSE - ERP =&gt; SOUS-SEGMENT'!$HH$43</f>
        <v>8.7642720000000001</v>
      </c>
      <c r="AC87" s="427">
        <f>'ANALYSE - ERP =&gt; SOUS-SEGMENT'!$HK$43</f>
        <v>5.0394563999999997</v>
      </c>
      <c r="AD87" s="427">
        <f>'ANALYSE - ERP =&gt; SOUS-SEGMENT'!$HN$43</f>
        <v>3.2866019999999998</v>
      </c>
      <c r="AF87" s="430">
        <f>'ANALYSE - ERP =&gt; SOUS-SEGMENT'!$Q$43</f>
        <v>1</v>
      </c>
    </row>
    <row r="88" spans="1:32" ht="15" customHeight="1">
      <c r="A88" s="26">
        <v>85</v>
      </c>
      <c r="B88" s="26">
        <v>83</v>
      </c>
      <c r="C88" s="26">
        <v>90</v>
      </c>
      <c r="D88" s="422">
        <f>'ANALYSE - ERP =&gt; SOUS-SEGMENT'!$A$92</f>
        <v>85</v>
      </c>
      <c r="E88" s="415" t="str">
        <f>'ANALYSE - ERP =&gt; SOUS-SEGMENT'!$B$92</f>
        <v>Hébergement Touristique</v>
      </c>
      <c r="F88" s="415" t="str">
        <f>'ANALYSE - ERP =&gt; SOUS-SEGMENT'!$C$92</f>
        <v>Hébergement Montagne</v>
      </c>
      <c r="G88" s="415" t="str">
        <f>'ANALYSE - ERP =&gt; SOUS-SEGMENT'!$D$92</f>
        <v>Hôtels-restaurants d’altitude</v>
      </c>
      <c r="I88" s="427">
        <f t="shared" si="8"/>
        <v>38.945725151515148</v>
      </c>
      <c r="K88" s="787">
        <f t="shared" si="6"/>
        <v>0.80867733310878875</v>
      </c>
      <c r="L88" s="787">
        <f t="shared" si="7"/>
        <v>0.19132266689121125</v>
      </c>
      <c r="N88" s="424">
        <f>'ANALYSE - ERP =&gt; SOUS-SEGMENT'!$FG$92</f>
        <v>194.72862575757574</v>
      </c>
      <c r="O88" s="427">
        <f>'ANALYSE - ERP =&gt; SOUS-SEGMENT'!$HC$92</f>
        <v>27.672454999999996</v>
      </c>
      <c r="P88" s="427">
        <f>'ANALYSE - ERP =&gt; SOUS-SEGMENT'!$HF$92</f>
        <v>78.357109090909091</v>
      </c>
      <c r="Q88" s="427">
        <f>'ANALYSE - ERP =&gt; SOUS-SEGMENT'!$HI$92</f>
        <v>47.435754999999993</v>
      </c>
      <c r="R88" s="427">
        <f>'ANALYSE - ERP =&gt; SOUS-SEGMENT'!$HL$92</f>
        <v>41.263306666666665</v>
      </c>
      <c r="T88" s="424">
        <f>'ANALYSE - ERP =&gt; SOUS-SEGMENT'!$FH$92</f>
        <v>157.47262575757574</v>
      </c>
      <c r="U88" s="427">
        <f>'ANALYSE - ERP =&gt; SOUS-SEGMENT'!$HD$92</f>
        <v>22.829174999999996</v>
      </c>
      <c r="V88" s="427">
        <f>'ANALYSE - ERP =&gt; SOUS-SEGMENT'!$HG$92</f>
        <v>61.591909090909084</v>
      </c>
      <c r="W88" s="427">
        <f>'ANALYSE - ERP =&gt; SOUS-SEGMENT'!$HJ$92</f>
        <v>38.866874999999993</v>
      </c>
      <c r="X88" s="427">
        <f>'ANALYSE - ERP =&gt; SOUS-SEGMENT'!$HM$92</f>
        <v>34.184666666666665</v>
      </c>
      <c r="Z88" s="427">
        <f>'ANALYSE - ERP =&gt; SOUS-SEGMENT'!$FI$92</f>
        <v>37.256</v>
      </c>
      <c r="AA88" s="427">
        <f>'ANALYSE - ERP =&gt; SOUS-SEGMENT'!$HE$92</f>
        <v>4.84328</v>
      </c>
      <c r="AB88" s="427">
        <f>'ANALYSE - ERP =&gt; SOUS-SEGMENT'!$HH$92</f>
        <v>16.7652</v>
      </c>
      <c r="AC88" s="427">
        <f>'ANALYSE - ERP =&gt; SOUS-SEGMENT'!$HK$92</f>
        <v>8.5688800000000001</v>
      </c>
      <c r="AD88" s="427">
        <f>'ANALYSE - ERP =&gt; SOUS-SEGMENT'!$HN$92</f>
        <v>7.07864</v>
      </c>
      <c r="AF88" s="430">
        <f>'ANALYSE - ERP =&gt; SOUS-SEGMENT'!$Q$92</f>
        <v>1</v>
      </c>
    </row>
    <row r="89" spans="1:32" ht="15" customHeight="1">
      <c r="A89" s="26">
        <v>86</v>
      </c>
      <c r="B89" s="26">
        <v>88</v>
      </c>
      <c r="C89" s="26">
        <v>83</v>
      </c>
      <c r="D89" s="422">
        <f>'ANALYSE - ERP =&gt; SOUS-SEGMENT'!$A$139</f>
        <v>132</v>
      </c>
      <c r="E89" s="417" t="str">
        <f>'ANALYSE - ERP =&gt; SOUS-SEGMENT'!$B$139</f>
        <v>Sécurité &amp; Justice</v>
      </c>
      <c r="F89" s="417" t="str">
        <f>'ANALYSE - ERP =&gt; SOUS-SEGMENT'!$C$139</f>
        <v>Univers carcéral</v>
      </c>
      <c r="G89" s="417" t="str">
        <f>'ANALYSE - ERP =&gt; SOUS-SEGMENT'!$D$139</f>
        <v>Maisons d’arrêt</v>
      </c>
      <c r="I89" s="427">
        <f t="shared" si="8"/>
        <v>18.179796909090911</v>
      </c>
      <c r="K89" s="787">
        <f t="shared" si="6"/>
        <v>0.80765153662132627</v>
      </c>
      <c r="L89" s="787">
        <f t="shared" si="7"/>
        <v>0.19234846337867378</v>
      </c>
      <c r="N89" s="424">
        <f>'ANALYSE - ERP =&gt; SOUS-SEGMENT'!$FG$139</f>
        <v>90.898984545454553</v>
      </c>
      <c r="O89" s="427">
        <f>'ANALYSE - ERP =&gt; SOUS-SEGMENT'!$HC$139</f>
        <v>10.088428</v>
      </c>
      <c r="P89" s="427">
        <f>'ANALYSE - ERP =&gt; SOUS-SEGMENT'!$HF$139</f>
        <v>70.758035745454549</v>
      </c>
      <c r="Q89" s="427">
        <f>'ANALYSE - ERP =&gt; SOUS-SEGMENT'!$HI$139</f>
        <v>3.4736211999999997</v>
      </c>
      <c r="R89" s="427">
        <f>'ANALYSE - ERP =&gt; SOUS-SEGMENT'!$HL$139</f>
        <v>6.5788996000000006</v>
      </c>
      <c r="T89" s="424">
        <f>'ANALYSE - ERP =&gt; SOUS-SEGMENT'!$FH$139</f>
        <v>73.414704545454555</v>
      </c>
      <c r="U89" s="427">
        <f>'ANALYSE - ERP =&gt; SOUS-SEGMENT'!$HD$139</f>
        <v>8.34</v>
      </c>
      <c r="V89" s="427">
        <f>'ANALYSE - ERP =&gt; SOUS-SEGMENT'!$HG$139</f>
        <v>56.945454545454552</v>
      </c>
      <c r="W89" s="427">
        <f>'ANALYSE - ERP =&gt; SOUS-SEGMENT'!$HJ$139</f>
        <v>2.7742499999999999</v>
      </c>
      <c r="X89" s="427">
        <f>'ANALYSE - ERP =&gt; SOUS-SEGMENT'!$HM$139</f>
        <v>5.3550000000000004</v>
      </c>
      <c r="Z89" s="427">
        <f>'ANALYSE - ERP =&gt; SOUS-SEGMENT'!$FI$139</f>
        <v>17.484279999999998</v>
      </c>
      <c r="AA89" s="427">
        <f>'ANALYSE - ERP =&gt; SOUS-SEGMENT'!$HE$139</f>
        <v>1.7484279999999999</v>
      </c>
      <c r="AB89" s="427">
        <f>'ANALYSE - ERP =&gt; SOUS-SEGMENT'!$HH$139</f>
        <v>13.812581199999999</v>
      </c>
      <c r="AC89" s="427">
        <f>'ANALYSE - ERP =&gt; SOUS-SEGMENT'!$HK$139</f>
        <v>0.69937119999999997</v>
      </c>
      <c r="AD89" s="427">
        <f>'ANALYSE - ERP =&gt; SOUS-SEGMENT'!$HN$139</f>
        <v>1.2238996</v>
      </c>
      <c r="AF89" s="430">
        <f>'ANALYSE - ERP =&gt; SOUS-SEGMENT'!$Q$139</f>
        <v>1</v>
      </c>
    </row>
    <row r="90" spans="1:32" ht="15" customHeight="1">
      <c r="A90" s="26">
        <v>87</v>
      </c>
      <c r="B90" s="26">
        <v>87</v>
      </c>
      <c r="C90" s="26">
        <v>89</v>
      </c>
      <c r="D90" s="422">
        <f>'ANALYSE - ERP =&gt; SOUS-SEGMENT'!$A$149</f>
        <v>142</v>
      </c>
      <c r="E90" s="413" t="str">
        <f>'ANALYSE - ERP =&gt; SOUS-SEGMENT'!$B$149</f>
        <v>Sécurité &amp; Justice</v>
      </c>
      <c r="F90" s="413" t="str">
        <f>'ANALYSE - ERP =&gt; SOUS-SEGMENT'!$C$149</f>
        <v>Tribunaux</v>
      </c>
      <c r="G90" s="413" t="str">
        <f>'ANALYSE - ERP =&gt; SOUS-SEGMENT'!$D$149</f>
        <v>Conseils de prud’hommes autonomes</v>
      </c>
      <c r="I90" s="427">
        <f t="shared" si="8"/>
        <v>16.893760447552445</v>
      </c>
      <c r="K90" s="787">
        <f t="shared" si="6"/>
        <v>0.87725006481310464</v>
      </c>
      <c r="L90" s="787">
        <f t="shared" si="7"/>
        <v>0.12274993518689542</v>
      </c>
      <c r="N90" s="424">
        <f>'ANALYSE - ERP =&gt; SOUS-SEGMENT'!$FG$149</f>
        <v>84.468802237762233</v>
      </c>
      <c r="O90" s="427">
        <f>'ANALYSE - ERP =&gt; SOUS-SEGMENT'!$HC$149</f>
        <v>8.6400513818181803</v>
      </c>
      <c r="P90" s="427">
        <f>'ANALYSE - ERP =&gt; SOUS-SEGMENT'!$HF$149</f>
        <v>42.051879692307693</v>
      </c>
      <c r="Q90" s="427">
        <f>'ANALYSE - ERP =&gt; SOUS-SEGMENT'!$HI$149</f>
        <v>16.185712199999998</v>
      </c>
      <c r="R90" s="427">
        <f>'ANALYSE - ERP =&gt; SOUS-SEGMENT'!$HL$149</f>
        <v>17.591158963636364</v>
      </c>
      <c r="T90" s="424">
        <f>'ANALYSE - ERP =&gt; SOUS-SEGMENT'!$FH$149</f>
        <v>74.100262237762237</v>
      </c>
      <c r="U90" s="427">
        <f>'ANALYSE - ERP =&gt; SOUS-SEGMENT'!$HD$149</f>
        <v>7.8105681818181809</v>
      </c>
      <c r="V90" s="427">
        <f>'ANALYSE - ERP =&gt; SOUS-SEGMENT'!$HG$149</f>
        <v>36.349182692307693</v>
      </c>
      <c r="W90" s="427">
        <f>'ANALYSE - ERP =&gt; SOUS-SEGMENT'!$HJ$149</f>
        <v>14.319374999999999</v>
      </c>
      <c r="X90" s="427">
        <f>'ANALYSE - ERP =&gt; SOUS-SEGMENT'!$HM$149</f>
        <v>15.621136363636362</v>
      </c>
      <c r="Z90" s="427">
        <f>'ANALYSE - ERP =&gt; SOUS-SEGMENT'!$FI$149</f>
        <v>10.368540000000001</v>
      </c>
      <c r="AA90" s="427">
        <f>'ANALYSE - ERP =&gt; SOUS-SEGMENT'!$HE$149</f>
        <v>0.82948320000000009</v>
      </c>
      <c r="AB90" s="427">
        <f>'ANALYSE - ERP =&gt; SOUS-SEGMENT'!$HH$149</f>
        <v>5.7026970000000015</v>
      </c>
      <c r="AC90" s="427">
        <f>'ANALYSE - ERP =&gt; SOUS-SEGMENT'!$HK$149</f>
        <v>1.8663372000000003</v>
      </c>
      <c r="AD90" s="427">
        <f>'ANALYSE - ERP =&gt; SOUS-SEGMENT'!$HN$149</f>
        <v>1.9700226000000003</v>
      </c>
      <c r="AF90" s="430">
        <f>'ANALYSE - ERP =&gt; SOUS-SEGMENT'!$Q$149</f>
        <v>1</v>
      </c>
    </row>
    <row r="91" spans="1:32" ht="15" customHeight="1">
      <c r="A91" s="26">
        <v>88</v>
      </c>
      <c r="B91" s="26">
        <v>86</v>
      </c>
      <c r="C91" s="26">
        <v>91</v>
      </c>
      <c r="D91" s="422" t="e">
        <f>'ANALYSE - ERP =&gt; SOUS-SEGMENT'!#REF!</f>
        <v>#REF!</v>
      </c>
      <c r="E91" s="417" t="e">
        <f>'ANALYSE - ERP =&gt; SOUS-SEGMENT'!#REF!</f>
        <v>#REF!</v>
      </c>
      <c r="F91" s="417" t="e">
        <f>'ANALYSE - ERP =&gt; SOUS-SEGMENT'!#REF!</f>
        <v>#REF!</v>
      </c>
      <c r="G91" s="417" t="e">
        <f>'ANALYSE - ERP =&gt; SOUS-SEGMENT'!#REF!</f>
        <v>#REF!</v>
      </c>
      <c r="I91" s="427" t="e">
        <f t="shared" si="8"/>
        <v>#REF!</v>
      </c>
      <c r="K91" s="787" t="str">
        <f t="shared" si="6"/>
        <v/>
      </c>
      <c r="L91" s="787" t="str">
        <f t="shared" si="7"/>
        <v/>
      </c>
      <c r="N91" s="424" t="e">
        <f>'ANALYSE - ERP =&gt; SOUS-SEGMENT'!#REF!</f>
        <v>#REF!</v>
      </c>
      <c r="O91" s="427" t="e">
        <f>'ANALYSE - ERP =&gt; SOUS-SEGMENT'!#REF!</f>
        <v>#REF!</v>
      </c>
      <c r="P91" s="427" t="e">
        <f>'ANALYSE - ERP =&gt; SOUS-SEGMENT'!#REF!</f>
        <v>#REF!</v>
      </c>
      <c r="Q91" s="427" t="e">
        <f>'ANALYSE - ERP =&gt; SOUS-SEGMENT'!#REF!</f>
        <v>#REF!</v>
      </c>
      <c r="R91" s="427" t="e">
        <f>'ANALYSE - ERP =&gt; SOUS-SEGMENT'!#REF!</f>
        <v>#REF!</v>
      </c>
      <c r="T91" s="424" t="e">
        <f>'ANALYSE - ERP =&gt; SOUS-SEGMENT'!#REF!</f>
        <v>#REF!</v>
      </c>
      <c r="U91" s="427" t="e">
        <f>'ANALYSE - ERP =&gt; SOUS-SEGMENT'!#REF!</f>
        <v>#REF!</v>
      </c>
      <c r="V91" s="427" t="e">
        <f>'ANALYSE - ERP =&gt; SOUS-SEGMENT'!#REF!</f>
        <v>#REF!</v>
      </c>
      <c r="W91" s="427" t="e">
        <f>'ANALYSE - ERP =&gt; SOUS-SEGMENT'!#REF!</f>
        <v>#REF!</v>
      </c>
      <c r="X91" s="427" t="e">
        <f>'ANALYSE - ERP =&gt; SOUS-SEGMENT'!#REF!</f>
        <v>#REF!</v>
      </c>
      <c r="Z91" s="427" t="e">
        <f>'ANALYSE - ERP =&gt; SOUS-SEGMENT'!#REF!</f>
        <v>#REF!</v>
      </c>
      <c r="AA91" s="427" t="e">
        <f>'ANALYSE - ERP =&gt; SOUS-SEGMENT'!#REF!</f>
        <v>#REF!</v>
      </c>
      <c r="AB91" s="427" t="e">
        <f>'ANALYSE - ERP =&gt; SOUS-SEGMENT'!#REF!</f>
        <v>#REF!</v>
      </c>
      <c r="AC91" s="427" t="e">
        <f>'ANALYSE - ERP =&gt; SOUS-SEGMENT'!#REF!</f>
        <v>#REF!</v>
      </c>
      <c r="AD91" s="427" t="e">
        <f>'ANALYSE - ERP =&gt; SOUS-SEGMENT'!#REF!</f>
        <v>#REF!</v>
      </c>
      <c r="AF91" s="430" t="e">
        <f>'ANALYSE - ERP =&gt; SOUS-SEGMENT'!#REF!</f>
        <v>#REF!</v>
      </c>
    </row>
    <row r="92" spans="1:32" ht="15" customHeight="1">
      <c r="A92" s="26">
        <v>89</v>
      </c>
      <c r="B92" s="26">
        <v>89</v>
      </c>
      <c r="C92" s="26">
        <v>86</v>
      </c>
      <c r="D92" s="422">
        <f>'ANALYSE - ERP =&gt; SOUS-SEGMENT'!$A$147</f>
        <v>140</v>
      </c>
      <c r="E92" s="417" t="str">
        <f>'ANALYSE - ERP =&gt; SOUS-SEGMENT'!$B$147</f>
        <v>Sécurité &amp; Justice</v>
      </c>
      <c r="F92" s="417" t="str">
        <f>'ANALYSE - ERP =&gt; SOUS-SEGMENT'!$C$147</f>
        <v>Tribunaux</v>
      </c>
      <c r="G92" s="417" t="str">
        <f>'ANALYSE - ERP =&gt; SOUS-SEGMENT'!$D$147</f>
        <v>Maisons de justice et du droit</v>
      </c>
      <c r="I92" s="427">
        <f t="shared" si="8"/>
        <v>6.1087964685314677</v>
      </c>
      <c r="K92" s="787">
        <f t="shared" si="6"/>
        <v>0.79748875144674869</v>
      </c>
      <c r="L92" s="787">
        <f t="shared" si="7"/>
        <v>0.20251124855325131</v>
      </c>
      <c r="N92" s="424">
        <f>'ANALYSE - ERP =&gt; SOUS-SEGMENT'!$FG$147</f>
        <v>30.54398234265734</v>
      </c>
      <c r="O92" s="427">
        <f>'ANALYSE - ERP =&gt; SOUS-SEGMENT'!$HC$147</f>
        <v>3.0946434090909087</v>
      </c>
      <c r="P92" s="427">
        <f>'ANALYSE - ERP =&gt; SOUS-SEGMENT'!$HF$147</f>
        <v>15.085690865384615</v>
      </c>
      <c r="Q92" s="427">
        <f>'ANALYSE - ERP =&gt; SOUS-SEGMENT'!$HI$147</f>
        <v>5.9887962499999992</v>
      </c>
      <c r="R92" s="427">
        <f>'ANALYSE - ERP =&gt; SOUS-SEGMENT'!$HL$147</f>
        <v>6.3748518181818179</v>
      </c>
      <c r="T92" s="424">
        <f>'ANALYSE - ERP =&gt; SOUS-SEGMENT'!$FH$147</f>
        <v>24.358482342657339</v>
      </c>
      <c r="U92" s="427">
        <f>'ANALYSE - ERP =&gt; SOUS-SEGMENT'!$HD$147</f>
        <v>2.5998034090909088</v>
      </c>
      <c r="V92" s="427">
        <f>'ANALYSE - ERP =&gt; SOUS-SEGMENT'!$HG$147</f>
        <v>11.683665865384615</v>
      </c>
      <c r="W92" s="427">
        <f>'ANALYSE - ERP =&gt; SOUS-SEGMENT'!$HJ$147</f>
        <v>4.8754062499999993</v>
      </c>
      <c r="X92" s="427">
        <f>'ANALYSE - ERP =&gt; SOUS-SEGMENT'!$HM$147</f>
        <v>5.1996068181818176</v>
      </c>
      <c r="Z92" s="427">
        <f>'ANALYSE - ERP =&gt; SOUS-SEGMENT'!$FI$147</f>
        <v>6.1855000000000002</v>
      </c>
      <c r="AA92" s="427">
        <f>'ANALYSE - ERP =&gt; SOUS-SEGMENT'!$HE$147</f>
        <v>0.49484</v>
      </c>
      <c r="AB92" s="427">
        <f>'ANALYSE - ERP =&gt; SOUS-SEGMENT'!$HH$147</f>
        <v>3.4020250000000005</v>
      </c>
      <c r="AC92" s="427">
        <f>'ANALYSE - ERP =&gt; SOUS-SEGMENT'!$HK$147</f>
        <v>1.1133900000000001</v>
      </c>
      <c r="AD92" s="427">
        <f>'ANALYSE - ERP =&gt; SOUS-SEGMENT'!$HN$147</f>
        <v>1.1752450000000001</v>
      </c>
      <c r="AF92" s="430">
        <f>'ANALYSE - ERP =&gt; SOUS-SEGMENT'!$Q$147</f>
        <v>1</v>
      </c>
    </row>
    <row r="93" spans="1:32" ht="15" customHeight="1">
      <c r="A93" s="26">
        <v>90</v>
      </c>
      <c r="B93" s="26">
        <v>90</v>
      </c>
      <c r="C93" s="26">
        <v>93</v>
      </c>
      <c r="D93" s="422">
        <f>'ANALYSE - ERP =&gt; SOUS-SEGMENT'!$A$148</f>
        <v>141</v>
      </c>
      <c r="E93" s="412" t="str">
        <f>'ANALYSE - ERP =&gt; SOUS-SEGMENT'!$B$148</f>
        <v>Sécurité &amp; Justice</v>
      </c>
      <c r="F93" s="412" t="str">
        <f>'ANALYSE - ERP =&gt; SOUS-SEGMENT'!$C$148</f>
        <v>Tribunaux</v>
      </c>
      <c r="G93" s="412" t="str">
        <f>'ANALYSE - ERP =&gt; SOUS-SEGMENT'!$D$148</f>
        <v>Tribunaux de commerce autonomes</v>
      </c>
      <c r="I93" s="427">
        <f t="shared" si="8"/>
        <v>10.787404202797202</v>
      </c>
      <c r="K93" s="787">
        <f t="shared" si="6"/>
        <v>0.87791761806250745</v>
      </c>
      <c r="L93" s="787">
        <f t="shared" si="7"/>
        <v>0.12208238193749253</v>
      </c>
      <c r="N93" s="424">
        <f>'ANALYSE - ERP =&gt; SOUS-SEGMENT'!$FG$148</f>
        <v>53.937021013986005</v>
      </c>
      <c r="O93" s="427">
        <f>'ANALYSE - ERP =&gt; SOUS-SEGMENT'!$HC$148</f>
        <v>5.5106671636363629</v>
      </c>
      <c r="P93" s="427">
        <f>'ANALYSE - ERP =&gt; SOUS-SEGMENT'!$HF$148</f>
        <v>26.88509492307692</v>
      </c>
      <c r="Q93" s="427">
        <f>'ANALYSE - ERP =&gt; SOUS-SEGMENT'!$HI$148</f>
        <v>10.322381799999997</v>
      </c>
      <c r="R93" s="427">
        <f>'ANALYSE - ERP =&gt; SOUS-SEGMENT'!$HL$148</f>
        <v>11.218877127272727</v>
      </c>
      <c r="T93" s="424">
        <f>'ANALYSE - ERP =&gt; SOUS-SEGMENT'!$FH$148</f>
        <v>47.352261013986002</v>
      </c>
      <c r="U93" s="427">
        <f>'ANALYSE - ERP =&gt; SOUS-SEGMENT'!$HD$148</f>
        <v>4.9838863636363628</v>
      </c>
      <c r="V93" s="427">
        <f>'ANALYSE - ERP =&gt; SOUS-SEGMENT'!$HG$148</f>
        <v>23.263476923076919</v>
      </c>
      <c r="W93" s="427">
        <f>'ANALYSE - ERP =&gt; SOUS-SEGMENT'!$HJ$148</f>
        <v>9.1371249999999975</v>
      </c>
      <c r="X93" s="427">
        <f>'ANALYSE - ERP =&gt; SOUS-SEGMENT'!$HM$148</f>
        <v>9.9677727272727257</v>
      </c>
      <c r="Z93" s="427">
        <f>'ANALYSE - ERP =&gt; SOUS-SEGMENT'!$FI$148</f>
        <v>6.5847600000000002</v>
      </c>
      <c r="AA93" s="427">
        <f>'ANALYSE - ERP =&gt; SOUS-SEGMENT'!$HE$148</f>
        <v>0.52678080000000005</v>
      </c>
      <c r="AB93" s="427">
        <f>'ANALYSE - ERP =&gt; SOUS-SEGMENT'!$HH$148</f>
        <v>3.6216180000000002</v>
      </c>
      <c r="AC93" s="427">
        <f>'ANALYSE - ERP =&gt; SOUS-SEGMENT'!$HK$148</f>
        <v>1.1852567999999999</v>
      </c>
      <c r="AD93" s="427">
        <f>'ANALYSE - ERP =&gt; SOUS-SEGMENT'!$HN$148</f>
        <v>1.2511044</v>
      </c>
      <c r="AF93" s="430">
        <f>'ANALYSE - ERP =&gt; SOUS-SEGMENT'!$Q$148</f>
        <v>1</v>
      </c>
    </row>
    <row r="94" spans="1:32" ht="15" customHeight="1">
      <c r="A94" s="26">
        <v>91</v>
      </c>
      <c r="B94" s="26">
        <v>91</v>
      </c>
      <c r="C94" s="26">
        <v>92</v>
      </c>
      <c r="D94" s="422">
        <f>'ANALYSE - ERP =&gt; SOUS-SEGMENT'!$A$134</f>
        <v>127</v>
      </c>
      <c r="E94" s="417" t="str">
        <f>'ANALYSE - ERP =&gt; SOUS-SEGMENT'!$B$134</f>
        <v>Sécurité &amp; Justice</v>
      </c>
      <c r="F94" s="417" t="str">
        <f>'ANALYSE - ERP =&gt; SOUS-SEGMENT'!$C$134</f>
        <v xml:space="preserve">Commissariats / postes de police </v>
      </c>
      <c r="G94" s="417" t="str">
        <f>'ANALYSE - ERP =&gt; SOUS-SEGMENT'!$D$134</f>
        <v>Salles de réunion, de prévention ou de conférence ouvertes au public</v>
      </c>
      <c r="I94" s="427">
        <f t="shared" si="8"/>
        <v>4.7007308937500003</v>
      </c>
      <c r="K94" s="787">
        <f t="shared" si="6"/>
        <v>0.83200910287165275</v>
      </c>
      <c r="L94" s="787">
        <f t="shared" si="7"/>
        <v>0.16799089712834722</v>
      </c>
      <c r="N94" s="424">
        <f>'ANALYSE - ERP =&gt; SOUS-SEGMENT'!$FG$134</f>
        <v>23.50365446875</v>
      </c>
      <c r="O94" s="427">
        <f>'ANALYSE - ERP =&gt; SOUS-SEGMENT'!$HC$134</f>
        <v>2.35304175</v>
      </c>
      <c r="P94" s="427">
        <f>'ANALYSE - ERP =&gt; SOUS-SEGMENT'!$HF$134</f>
        <v>11.874428500000002</v>
      </c>
      <c r="Q94" s="427">
        <f>'ANALYSE - ERP =&gt; SOUS-SEGMENT'!$HI$134</f>
        <v>4.4516487187500005</v>
      </c>
      <c r="R94" s="427">
        <f>'ANALYSE - ERP =&gt; SOUS-SEGMENT'!$HL$134</f>
        <v>4.8245354999999996</v>
      </c>
      <c r="T94" s="424">
        <f>'ANALYSE - ERP =&gt; SOUS-SEGMENT'!$FH$134</f>
        <v>19.55525446875</v>
      </c>
      <c r="U94" s="427">
        <f>'ANALYSE - ERP =&gt; SOUS-SEGMENT'!$HD$134</f>
        <v>2.0371697499999999</v>
      </c>
      <c r="V94" s="427">
        <f>'ANALYSE - ERP =&gt; SOUS-SEGMENT'!$HG$134</f>
        <v>9.7028085000000015</v>
      </c>
      <c r="W94" s="427">
        <f>'ANALYSE - ERP =&gt; SOUS-SEGMENT'!$HJ$134</f>
        <v>3.74093671875</v>
      </c>
      <c r="X94" s="427">
        <f>'ANALYSE - ERP =&gt; SOUS-SEGMENT'!$HM$134</f>
        <v>4.0743394999999998</v>
      </c>
      <c r="Z94" s="427">
        <f>'ANALYSE - ERP =&gt; SOUS-SEGMENT'!$FI$134</f>
        <v>3.9483999999999999</v>
      </c>
      <c r="AA94" s="427">
        <f>'ANALYSE - ERP =&gt; SOUS-SEGMENT'!$HE$134</f>
        <v>0.31587199999999999</v>
      </c>
      <c r="AB94" s="427">
        <f>'ANALYSE - ERP =&gt; SOUS-SEGMENT'!$HH$134</f>
        <v>2.1716200000000003</v>
      </c>
      <c r="AC94" s="427">
        <f>'ANALYSE - ERP =&gt; SOUS-SEGMENT'!$HK$134</f>
        <v>0.71071200000000001</v>
      </c>
      <c r="AD94" s="427">
        <f>'ANALYSE - ERP =&gt; SOUS-SEGMENT'!$HN$134</f>
        <v>0.75019599999999997</v>
      </c>
      <c r="AF94" s="430">
        <f>'ANALYSE - ERP =&gt; SOUS-SEGMENT'!$Q$134</f>
        <v>0</v>
      </c>
    </row>
    <row r="95" spans="1:32" ht="15" customHeight="1">
      <c r="A95" s="26">
        <v>92</v>
      </c>
      <c r="B95" s="26">
        <v>92</v>
      </c>
      <c r="C95" s="26">
        <v>88</v>
      </c>
      <c r="D95" s="422">
        <f>'ANALYSE - ERP =&gt; SOUS-SEGMENT'!$A$136</f>
        <v>129</v>
      </c>
      <c r="E95" s="415" t="str">
        <f>'ANALYSE - ERP =&gt; SOUS-SEGMENT'!$B$136</f>
        <v>Sécurité &amp; Justice</v>
      </c>
      <c r="F95" s="415" t="str">
        <f>'ANALYSE - ERP =&gt; SOUS-SEGMENT'!$C$136</f>
        <v>Forces armées</v>
      </c>
      <c r="G95" s="415" t="str">
        <f>'ANALYSE - ERP =&gt; SOUS-SEGMENT'!$D$136</f>
        <v>Centres de recrutement et bureaux d’information</v>
      </c>
      <c r="I95" s="427">
        <f t="shared" si="8"/>
        <v>4.6443566200000008</v>
      </c>
      <c r="K95" s="787">
        <f t="shared" si="6"/>
        <v>0.77116313690829374</v>
      </c>
      <c r="L95" s="787">
        <f t="shared" si="7"/>
        <v>0.22883686309170631</v>
      </c>
      <c r="N95" s="424">
        <f>'ANALYSE - ERP =&gt; SOUS-SEGMENT'!$FG$136</f>
        <v>23.221783100000003</v>
      </c>
      <c r="O95" s="427">
        <f>'ANALYSE - ERP =&gt; SOUS-SEGMENT'!$HC$136</f>
        <v>2.3529170000000001</v>
      </c>
      <c r="P95" s="427">
        <f>'ANALYSE - ERP =&gt; SOUS-SEGMENT'!$HF$136</f>
        <v>12.744469</v>
      </c>
      <c r="Q95" s="427">
        <f>'ANALYSE - ERP =&gt; SOUS-SEGMENT'!$HI$136</f>
        <v>3.7509825000000001</v>
      </c>
      <c r="R95" s="427">
        <f>'ANALYSE - ERP =&gt; SOUS-SEGMENT'!$HL$136</f>
        <v>4.3734146000000003</v>
      </c>
      <c r="T95" s="424">
        <f>'ANALYSE - ERP =&gt; SOUS-SEGMENT'!$FH$136</f>
        <v>17.907783100000003</v>
      </c>
      <c r="U95" s="427">
        <f>'ANALYSE - ERP =&gt; SOUS-SEGMENT'!$HD$136</f>
        <v>1.9277970000000002</v>
      </c>
      <c r="V95" s="427">
        <f>'ANALYSE - ERP =&gt; SOUS-SEGMENT'!$HG$136</f>
        <v>9.5560690000000008</v>
      </c>
      <c r="W95" s="427">
        <f>'ANALYSE - ERP =&gt; SOUS-SEGMENT'!$HJ$136</f>
        <v>2.9538825000000002</v>
      </c>
      <c r="X95" s="427">
        <f>'ANALYSE - ERP =&gt; SOUS-SEGMENT'!$HM$136</f>
        <v>3.4700346</v>
      </c>
      <c r="Z95" s="427">
        <f>'ANALYSE - ERP =&gt; SOUS-SEGMENT'!$FI$136</f>
        <v>5.3140000000000001</v>
      </c>
      <c r="AA95" s="427">
        <f>'ANALYSE - ERP =&gt; SOUS-SEGMENT'!$HE$136</f>
        <v>0.42512</v>
      </c>
      <c r="AB95" s="427">
        <f>'ANALYSE - ERP =&gt; SOUS-SEGMENT'!$HH$136</f>
        <v>3.1884000000000001</v>
      </c>
      <c r="AC95" s="427">
        <f>'ANALYSE - ERP =&gt; SOUS-SEGMENT'!$HK$136</f>
        <v>0.79710000000000003</v>
      </c>
      <c r="AD95" s="427">
        <f>'ANALYSE - ERP =&gt; SOUS-SEGMENT'!$HN$136</f>
        <v>0.90338000000000007</v>
      </c>
      <c r="AF95" s="430">
        <f>'ANALYSE - ERP =&gt; SOUS-SEGMENT'!$Q$136</f>
        <v>1</v>
      </c>
    </row>
    <row r="96" spans="1:32" ht="15" customHeight="1">
      <c r="A96" s="26">
        <v>93</v>
      </c>
      <c r="B96" s="26">
        <v>94</v>
      </c>
      <c r="C96" s="26">
        <v>82</v>
      </c>
      <c r="D96" s="422">
        <f>'ANALYSE - ERP =&gt; SOUS-SEGMENT'!$A$144</f>
        <v>137</v>
      </c>
      <c r="E96" s="412" t="str">
        <f>'ANALYSE - ERP =&gt; SOUS-SEGMENT'!$B$144</f>
        <v>Sécurité &amp; Justice</v>
      </c>
      <c r="F96" s="412" t="str">
        <f>'ANALYSE - ERP =&gt; SOUS-SEGMENT'!$C$144</f>
        <v>Univers carcéral</v>
      </c>
      <c r="G96" s="412" t="str">
        <f>'ANALYSE - ERP =&gt; SOUS-SEGMENT'!$D$144</f>
        <v>Centres éducatifs fermés</v>
      </c>
      <c r="I96" s="427">
        <f t="shared" si="8"/>
        <v>8.5856231818181818</v>
      </c>
      <c r="K96" s="787">
        <f t="shared" si="6"/>
        <v>0.49906839504581951</v>
      </c>
      <c r="L96" s="787">
        <f t="shared" si="7"/>
        <v>0.50093160495418054</v>
      </c>
      <c r="N96" s="424">
        <f>'ANALYSE - ERP =&gt; SOUS-SEGMENT'!$FG$144</f>
        <v>42.928115909090906</v>
      </c>
      <c r="O96" s="427">
        <f>'ANALYSE - ERP =&gt; SOUS-SEGMENT'!$HC$144</f>
        <v>4.6904050000000002</v>
      </c>
      <c r="P96" s="427">
        <f>'ANALYSE - ERP =&gt; SOUS-SEGMENT'!$HF$144</f>
        <v>33.41729040909091</v>
      </c>
      <c r="Q96" s="427">
        <f>'ANALYSE - ERP =&gt; SOUS-SEGMENT'!$HI$144</f>
        <v>1.7275369999999999</v>
      </c>
      <c r="R96" s="427">
        <f>'ANALYSE - ERP =&gt; SOUS-SEGMENT'!$HL$144</f>
        <v>3.0928835000000006</v>
      </c>
      <c r="T96" s="424">
        <f>'ANALYSE - ERP =&gt; SOUS-SEGMENT'!$FH$144</f>
        <v>21.42406590909091</v>
      </c>
      <c r="U96" s="427">
        <f>'ANALYSE - ERP =&gt; SOUS-SEGMENT'!$HD$144</f>
        <v>2.5400000000000005</v>
      </c>
      <c r="V96" s="427">
        <f>'ANALYSE - ERP =&gt; SOUS-SEGMENT'!$HG$144</f>
        <v>16.42909090909091</v>
      </c>
      <c r="W96" s="427">
        <f>'ANALYSE - ERP =&gt; SOUS-SEGMENT'!$HJ$144</f>
        <v>0.86737500000000001</v>
      </c>
      <c r="X96" s="427">
        <f>'ANALYSE - ERP =&gt; SOUS-SEGMENT'!$HM$144</f>
        <v>1.5876000000000006</v>
      </c>
      <c r="Z96" s="427">
        <f>'ANALYSE - ERP =&gt; SOUS-SEGMENT'!$FI$144</f>
        <v>21.504049999999999</v>
      </c>
      <c r="AA96" s="427">
        <f>'ANALYSE - ERP =&gt; SOUS-SEGMENT'!$HE$144</f>
        <v>2.1504050000000001</v>
      </c>
      <c r="AB96" s="427">
        <f>'ANALYSE - ERP =&gt; SOUS-SEGMENT'!$HH$144</f>
        <v>16.9881995</v>
      </c>
      <c r="AC96" s="427">
        <f>'ANALYSE - ERP =&gt; SOUS-SEGMENT'!$HK$144</f>
        <v>0.86016199999999998</v>
      </c>
      <c r="AD96" s="427">
        <f>'ANALYSE - ERP =&gt; SOUS-SEGMENT'!$HN$144</f>
        <v>1.5052835</v>
      </c>
      <c r="AF96" s="430">
        <f>'ANALYSE - ERP =&gt; SOUS-SEGMENT'!$Q$144</f>
        <v>1</v>
      </c>
    </row>
    <row r="97" spans="1:32" ht="15" customHeight="1">
      <c r="A97" s="26">
        <v>94</v>
      </c>
      <c r="B97" s="26">
        <v>93</v>
      </c>
      <c r="C97" s="26">
        <v>96</v>
      </c>
      <c r="D97" s="422">
        <f>'ANALYSE - ERP =&gt; SOUS-SEGMENT'!$A$133</f>
        <v>126</v>
      </c>
      <c r="E97" s="412" t="str">
        <f>'ANALYSE - ERP =&gt; SOUS-SEGMENT'!$B$133</f>
        <v>Sécurité &amp; Justice</v>
      </c>
      <c r="F97" s="412" t="str">
        <f>'ANALYSE - ERP =&gt; SOUS-SEGMENT'!$C$133</f>
        <v xml:space="preserve">Commissariats / postes de police </v>
      </c>
      <c r="G97" s="412" t="str">
        <f>'ANALYSE - ERP =&gt; SOUS-SEGMENT'!$D$133</f>
        <v>Postes de proximité et antennes avec accueil public</v>
      </c>
      <c r="I97" s="427">
        <f t="shared" si="8"/>
        <v>3.1178897750000001</v>
      </c>
      <c r="K97" s="787">
        <f t="shared" si="6"/>
        <v>0.88442182822194215</v>
      </c>
      <c r="L97" s="787">
        <f t="shared" si="7"/>
        <v>0.11557817177805779</v>
      </c>
      <c r="N97" s="424">
        <f>'ANALYSE - ERP =&gt; SOUS-SEGMENT'!$FG$133</f>
        <v>15.589448875</v>
      </c>
      <c r="O97" s="427">
        <f>'ANALYSE - ERP =&gt; SOUS-SEGMENT'!$HC$133</f>
        <v>1.5302594999999999</v>
      </c>
      <c r="P97" s="427">
        <f>'ANALYSE - ERP =&gt; SOUS-SEGMENT'!$HF$133</f>
        <v>9.1037485</v>
      </c>
      <c r="Q97" s="427">
        <f>'ANALYSE - ERP =&gt; SOUS-SEGMENT'!$HI$133</f>
        <v>1.822849875</v>
      </c>
      <c r="R97" s="427">
        <f>'ANALYSE - ERP =&gt; SOUS-SEGMENT'!$HL$133</f>
        <v>3.1325909999999997</v>
      </c>
      <c r="T97" s="424">
        <f>'ANALYSE - ERP =&gt; SOUS-SEGMENT'!$FH$133</f>
        <v>13.787648875</v>
      </c>
      <c r="U97" s="427">
        <f>'ANALYSE - ERP =&gt; SOUS-SEGMENT'!$HD$133</f>
        <v>1.3861154999999998</v>
      </c>
      <c r="V97" s="427">
        <f>'ANALYSE - ERP =&gt; SOUS-SEGMENT'!$HG$133</f>
        <v>8.0226685</v>
      </c>
      <c r="W97" s="427">
        <f>'ANALYSE - ERP =&gt; SOUS-SEGMENT'!$HJ$133</f>
        <v>1.606633875</v>
      </c>
      <c r="X97" s="427">
        <f>'ANALYSE - ERP =&gt; SOUS-SEGMENT'!$HM$133</f>
        <v>2.7722309999999997</v>
      </c>
      <c r="Z97" s="427">
        <f>'ANALYSE - ERP =&gt; SOUS-SEGMENT'!$FI$133</f>
        <v>1.8017999999999998</v>
      </c>
      <c r="AA97" s="427">
        <f>'ANALYSE - ERP =&gt; SOUS-SEGMENT'!$HE$133</f>
        <v>0.14414399999999999</v>
      </c>
      <c r="AB97" s="427">
        <f>'ANALYSE - ERP =&gt; SOUS-SEGMENT'!$HH$133</f>
        <v>1.0810799999999998</v>
      </c>
      <c r="AC97" s="427">
        <f>'ANALYSE - ERP =&gt; SOUS-SEGMENT'!$HK$133</f>
        <v>0.21621599999999996</v>
      </c>
      <c r="AD97" s="427">
        <f>'ANALYSE - ERP =&gt; SOUS-SEGMENT'!$HN$133</f>
        <v>0.36036000000000001</v>
      </c>
      <c r="AF97" s="430">
        <f>'ANALYSE - ERP =&gt; SOUS-SEGMENT'!$Q$133</f>
        <v>1</v>
      </c>
    </row>
    <row r="98" spans="1:32" ht="15" customHeight="1">
      <c r="A98" s="26">
        <v>95</v>
      </c>
      <c r="B98" s="26">
        <v>95</v>
      </c>
      <c r="C98" s="26">
        <v>94</v>
      </c>
      <c r="D98" s="422">
        <f>'ANALYSE - ERP =&gt; SOUS-SEGMENT'!$A$140</f>
        <v>133</v>
      </c>
      <c r="E98" s="417" t="str">
        <f>'ANALYSE - ERP =&gt; SOUS-SEGMENT'!$B$140</f>
        <v>Sécurité &amp; Justice</v>
      </c>
      <c r="F98" s="417" t="str">
        <f>'ANALYSE - ERP =&gt; SOUS-SEGMENT'!$C$140</f>
        <v>Univers carcéral</v>
      </c>
      <c r="G98" s="417" t="str">
        <f>'ANALYSE - ERP =&gt; SOUS-SEGMENT'!$D$140</f>
        <v>Centres de détention</v>
      </c>
      <c r="I98" s="427">
        <f t="shared" si="8"/>
        <v>5.2730772727272726</v>
      </c>
      <c r="K98" s="787">
        <f t="shared" si="6"/>
        <v>0.80720934903458996</v>
      </c>
      <c r="L98" s="787">
        <f t="shared" si="7"/>
        <v>0.19279065096541009</v>
      </c>
      <c r="N98" s="424">
        <f>'ANALYSE - ERP =&gt; SOUS-SEGMENT'!$FG$140</f>
        <v>26.365386363636361</v>
      </c>
      <c r="O98" s="427">
        <f>'ANALYSE - ERP =&gt; SOUS-SEGMENT'!$HC$140</f>
        <v>3.0083000000000002</v>
      </c>
      <c r="P98" s="427">
        <f>'ANALYSE - ERP =&gt; SOUS-SEGMENT'!$HF$140</f>
        <v>20.379206363636364</v>
      </c>
      <c r="Q98" s="427">
        <f>'ANALYSE - ERP =&gt; SOUS-SEGMENT'!$HI$140</f>
        <v>1.0470699999999999</v>
      </c>
      <c r="R98" s="427">
        <f>'ANALYSE - ERP =&gt; SOUS-SEGMENT'!$HL$140</f>
        <v>1.9308100000000001</v>
      </c>
      <c r="T98" s="424">
        <f>'ANALYSE - ERP =&gt; SOUS-SEGMENT'!$FH$140</f>
        <v>21.282386363636363</v>
      </c>
      <c r="U98" s="427">
        <f>'ANALYSE - ERP =&gt; SOUS-SEGMENT'!$HD$140</f>
        <v>2.5</v>
      </c>
      <c r="V98" s="427">
        <f>'ANALYSE - ERP =&gt; SOUS-SEGMENT'!$HG$140</f>
        <v>16.363636363636363</v>
      </c>
      <c r="W98" s="427">
        <f>'ANALYSE - ERP =&gt; SOUS-SEGMENT'!$HJ$140</f>
        <v>0.84375</v>
      </c>
      <c r="X98" s="427">
        <f>'ANALYSE - ERP =&gt; SOUS-SEGMENT'!$HM$140</f>
        <v>1.5750000000000002</v>
      </c>
      <c r="Z98" s="427">
        <f>'ANALYSE - ERP =&gt; SOUS-SEGMENT'!$FI$140</f>
        <v>5.0830000000000002</v>
      </c>
      <c r="AA98" s="427">
        <f>'ANALYSE - ERP =&gt; SOUS-SEGMENT'!$HE$140</f>
        <v>0.50830000000000009</v>
      </c>
      <c r="AB98" s="427">
        <f>'ANALYSE - ERP =&gt; SOUS-SEGMENT'!$HH$140</f>
        <v>4.0155700000000003</v>
      </c>
      <c r="AC98" s="427">
        <f>'ANALYSE - ERP =&gt; SOUS-SEGMENT'!$HK$140</f>
        <v>0.20332</v>
      </c>
      <c r="AD98" s="427">
        <f>'ANALYSE - ERP =&gt; SOUS-SEGMENT'!$HN$140</f>
        <v>0.35581000000000007</v>
      </c>
      <c r="AF98" s="430">
        <f>'ANALYSE - ERP =&gt; SOUS-SEGMENT'!$Q$140</f>
        <v>1</v>
      </c>
    </row>
    <row r="99" spans="1:32" ht="15" customHeight="1">
      <c r="A99" s="26">
        <v>96</v>
      </c>
      <c r="B99" s="26">
        <v>96</v>
      </c>
      <c r="C99" s="26">
        <v>95</v>
      </c>
      <c r="D99" s="422">
        <f>'ANALYSE - ERP =&gt; SOUS-SEGMENT'!$A$47</f>
        <v>40</v>
      </c>
      <c r="E99" s="417" t="str">
        <f>'ANALYSE - ERP =&gt; SOUS-SEGMENT'!$B$47</f>
        <v>Santé &amp; Médico-social</v>
      </c>
      <c r="F99" s="417" t="str">
        <f>'ANALYSE - ERP =&gt; SOUS-SEGMENT'!$C$47</f>
        <v>Santé hospitalière</v>
      </c>
      <c r="G99" s="417" t="str">
        <f>'ANALYSE - ERP =&gt; SOUS-SEGMENT'!$D$47</f>
        <v>Hôpitaux d’instruction des armées et centres médicaux recevant du public</v>
      </c>
      <c r="I99" s="427">
        <f t="shared" si="8"/>
        <v>4.2844903199999997</v>
      </c>
      <c r="K99" s="787">
        <f t="shared" ref="K99:K106" si="9">IFERROR(T99/N99,"")</f>
        <v>0.811158868483568</v>
      </c>
      <c r="L99" s="787">
        <f t="shared" ref="L99:L106" si="10">IFERROR(Z99/N99,"")</f>
        <v>0.18884113151643203</v>
      </c>
      <c r="N99" s="424">
        <f>'ANALYSE - ERP =&gt; SOUS-SEGMENT'!$FG$47</f>
        <v>21.422451599999999</v>
      </c>
      <c r="O99" s="427">
        <f>'ANALYSE - ERP =&gt; SOUS-SEGMENT'!$HC$47</f>
        <v>4.3363344000000001</v>
      </c>
      <c r="P99" s="427">
        <f>'ANALYSE - ERP =&gt; SOUS-SEGMENT'!$HF$47</f>
        <v>8.2027979999999996</v>
      </c>
      <c r="Q99" s="427">
        <f>'ANALYSE - ERP =&gt; SOUS-SEGMENT'!$HI$47</f>
        <v>5.6108412000000003</v>
      </c>
      <c r="R99" s="427">
        <f>'ANALYSE - ERP =&gt; SOUS-SEGMENT'!$HL$47</f>
        <v>3.2724779999999991</v>
      </c>
      <c r="T99" s="424">
        <f>'ANALYSE - ERP =&gt; SOUS-SEGMENT'!$FH$47</f>
        <v>17.377011599999999</v>
      </c>
      <c r="U99" s="427">
        <f>'ANALYSE - ERP =&gt; SOUS-SEGMENT'!$HD$47</f>
        <v>3.6081552000000001</v>
      </c>
      <c r="V99" s="427">
        <f>'ANALYSE - ERP =&gt; SOUS-SEGMENT'!$HG$47</f>
        <v>6.3823499999999997</v>
      </c>
      <c r="W99" s="427">
        <f>'ANALYSE - ERP =&gt; SOUS-SEGMENT'!$HJ$47</f>
        <v>4.6803900000000001</v>
      </c>
      <c r="X99" s="427">
        <f>'ANALYSE - ERP =&gt; SOUS-SEGMENT'!$HM$47</f>
        <v>2.7061163999999991</v>
      </c>
      <c r="Z99" s="427">
        <f>'ANALYSE - ERP =&gt; SOUS-SEGMENT'!$FI$47</f>
        <v>4.0454399999999993</v>
      </c>
      <c r="AA99" s="427">
        <f>'ANALYSE - ERP =&gt; SOUS-SEGMENT'!$HE$47</f>
        <v>0.7281791999999998</v>
      </c>
      <c r="AB99" s="427">
        <f>'ANALYSE - ERP =&gt; SOUS-SEGMENT'!$HH$47</f>
        <v>1.8204479999999996</v>
      </c>
      <c r="AC99" s="427">
        <f>'ANALYSE - ERP =&gt; SOUS-SEGMENT'!$HK$47</f>
        <v>0.93045119999999992</v>
      </c>
      <c r="AD99" s="427">
        <f>'ANALYSE - ERP =&gt; SOUS-SEGMENT'!$HN$47</f>
        <v>0.56636159999999991</v>
      </c>
      <c r="AF99" s="430">
        <f>'ANALYSE - ERP =&gt; SOUS-SEGMENT'!$Q$47</f>
        <v>1</v>
      </c>
    </row>
    <row r="100" spans="1:32" ht="15" customHeight="1">
      <c r="A100" s="26">
        <v>97</v>
      </c>
      <c r="B100" s="26">
        <v>97</v>
      </c>
      <c r="C100" s="26">
        <v>97</v>
      </c>
      <c r="D100" s="422">
        <f>'ANALYSE - ERP =&gt; SOUS-SEGMENT'!$A$48</f>
        <v>41</v>
      </c>
      <c r="E100" s="417" t="str">
        <f>'ANALYSE - ERP =&gt; SOUS-SEGMENT'!$B$48</f>
        <v>Santé &amp; Médico-social</v>
      </c>
      <c r="F100" s="417" t="str">
        <f>'ANALYSE - ERP =&gt; SOUS-SEGMENT'!$C$48</f>
        <v>Santé hospitalière</v>
      </c>
      <c r="G100" s="417" t="str">
        <f>'ANALYSE - ERP =&gt; SOUS-SEGMENT'!$D$48</f>
        <v>Unités hospitalières sécurisées en milieu carcéral</v>
      </c>
      <c r="I100" s="427">
        <f t="shared" ref="I100:I106" si="11">N100/5</f>
        <v>1.6868090000000002</v>
      </c>
      <c r="K100" s="787">
        <f t="shared" si="9"/>
        <v>0.67450730936341941</v>
      </c>
      <c r="L100" s="787">
        <f t="shared" si="10"/>
        <v>0.32549269063658059</v>
      </c>
      <c r="N100" s="424">
        <f>'ANALYSE - ERP =&gt; SOUS-SEGMENT'!$FG$48</f>
        <v>8.4340450000000011</v>
      </c>
      <c r="O100" s="427">
        <f>'ANALYSE - ERP =&gt; SOUS-SEGMENT'!$HC$48</f>
        <v>0.98552200000000001</v>
      </c>
      <c r="P100" s="427">
        <f>'ANALYSE - ERP =&gt; SOUS-SEGMENT'!$HF$48</f>
        <v>6.3687238000000015</v>
      </c>
      <c r="Q100" s="427">
        <f>'ANALYSE - ERP =&gt; SOUS-SEGMENT'!$HI$48</f>
        <v>0.3899338</v>
      </c>
      <c r="R100" s="427">
        <f>'ANALYSE - ERP =&gt; SOUS-SEGMENT'!$HL$48</f>
        <v>0.68986540000000007</v>
      </c>
      <c r="T100" s="424">
        <f>'ANALYSE - ERP =&gt; SOUS-SEGMENT'!$FH$48</f>
        <v>5.6888250000000014</v>
      </c>
      <c r="U100" s="427">
        <f>'ANALYSE - ERP =&gt; SOUS-SEGMENT'!$HD$48</f>
        <v>0.71100000000000008</v>
      </c>
      <c r="V100" s="427">
        <f>'ANALYSE - ERP =&gt; SOUS-SEGMENT'!$HG$48</f>
        <v>4.2000000000000011</v>
      </c>
      <c r="W100" s="427">
        <f>'ANALYSE - ERP =&gt; SOUS-SEGMENT'!$HJ$48</f>
        <v>0.28012500000000001</v>
      </c>
      <c r="X100" s="427">
        <f>'ANALYSE - ERP =&gt; SOUS-SEGMENT'!$HM$48</f>
        <v>0.49770000000000003</v>
      </c>
      <c r="Z100" s="427">
        <f>'ANALYSE - ERP =&gt; SOUS-SEGMENT'!$FI$48</f>
        <v>2.7452199999999998</v>
      </c>
      <c r="AA100" s="427">
        <f>'ANALYSE - ERP =&gt; SOUS-SEGMENT'!$HE$48</f>
        <v>0.27452199999999999</v>
      </c>
      <c r="AB100" s="427">
        <f>'ANALYSE - ERP =&gt; SOUS-SEGMENT'!$HH$48</f>
        <v>2.1687238</v>
      </c>
      <c r="AC100" s="427">
        <f>'ANALYSE - ERP =&gt; SOUS-SEGMENT'!$HK$48</f>
        <v>0.1098088</v>
      </c>
      <c r="AD100" s="427">
        <f>'ANALYSE - ERP =&gt; SOUS-SEGMENT'!$HN$48</f>
        <v>0.19216540000000001</v>
      </c>
      <c r="AF100" s="430">
        <f>'ANALYSE - ERP =&gt; SOUS-SEGMENT'!$Q$48</f>
        <v>1</v>
      </c>
    </row>
    <row r="101" spans="1:32" ht="15" customHeight="1">
      <c r="A101" s="26">
        <v>98</v>
      </c>
      <c r="B101" s="26">
        <v>98</v>
      </c>
      <c r="C101" s="26">
        <v>98</v>
      </c>
      <c r="D101" s="422">
        <f>'ANALYSE - ERP =&gt; SOUS-SEGMENT'!$A$143</f>
        <v>136</v>
      </c>
      <c r="E101" s="417" t="str">
        <f>'ANALYSE - ERP =&gt; SOUS-SEGMENT'!$B$143</f>
        <v>Sécurité &amp; Justice</v>
      </c>
      <c r="F101" s="417" t="str">
        <f>'ANALYSE - ERP =&gt; SOUS-SEGMENT'!$C$143</f>
        <v>Univers carcéral</v>
      </c>
      <c r="G101" s="417" t="str">
        <f>'ANALYSE - ERP =&gt; SOUS-SEGMENT'!$D$143</f>
        <v>Centres de semi-liberté</v>
      </c>
      <c r="I101" s="427">
        <f t="shared" si="11"/>
        <v>1.110131</v>
      </c>
      <c r="K101" s="787">
        <f t="shared" si="9"/>
        <v>0.84050891291207974</v>
      </c>
      <c r="L101" s="787">
        <f t="shared" si="10"/>
        <v>0.15949108708792026</v>
      </c>
      <c r="N101" s="424">
        <f>'ANALYSE - ERP =&gt; SOUS-SEGMENT'!$FG$143</f>
        <v>5.5506549999999999</v>
      </c>
      <c r="O101" s="427">
        <f>'ANALYSE - ERP =&gt; SOUS-SEGMENT'!$HC$143</f>
        <v>0.6285280000000002</v>
      </c>
      <c r="P101" s="427">
        <f>'ANALYSE - ERP =&gt; SOUS-SEGMENT'!$HF$143</f>
        <v>4.2993712000000004</v>
      </c>
      <c r="Q101" s="427">
        <f>'ANALYSE - ERP =&gt; SOUS-SEGMENT'!$HI$143</f>
        <v>0.21428620000000001</v>
      </c>
      <c r="R101" s="427">
        <f>'ANALYSE - ERP =&gt; SOUS-SEGMENT'!$HL$143</f>
        <v>0.4084696000000001</v>
      </c>
      <c r="T101" s="424">
        <f>'ANALYSE - ERP =&gt; SOUS-SEGMENT'!$FH$143</f>
        <v>4.665375</v>
      </c>
      <c r="U101" s="427">
        <f>'ANALYSE - ERP =&gt; SOUS-SEGMENT'!$HD$143</f>
        <v>0.54000000000000015</v>
      </c>
      <c r="V101" s="427">
        <f>'ANALYSE - ERP =&gt; SOUS-SEGMENT'!$HG$143</f>
        <v>3.6</v>
      </c>
      <c r="W101" s="427">
        <f>'ANALYSE - ERP =&gt; SOUS-SEGMENT'!$HJ$143</f>
        <v>0.17887500000000001</v>
      </c>
      <c r="X101" s="427">
        <f>'ANALYSE - ERP =&gt; SOUS-SEGMENT'!$HM$143</f>
        <v>0.34650000000000009</v>
      </c>
      <c r="Z101" s="427">
        <f>'ANALYSE - ERP =&gt; SOUS-SEGMENT'!$FI$143</f>
        <v>0.88527999999999996</v>
      </c>
      <c r="AA101" s="427">
        <f>'ANALYSE - ERP =&gt; SOUS-SEGMENT'!$HE$143</f>
        <v>8.8527999999999996E-2</v>
      </c>
      <c r="AB101" s="427">
        <f>'ANALYSE - ERP =&gt; SOUS-SEGMENT'!$HH$143</f>
        <v>0.69937119999999997</v>
      </c>
      <c r="AC101" s="427">
        <f>'ANALYSE - ERP =&gt; SOUS-SEGMENT'!$HK$143</f>
        <v>3.5411199999999997E-2</v>
      </c>
      <c r="AD101" s="427">
        <f>'ANALYSE - ERP =&gt; SOUS-SEGMENT'!$HN$143</f>
        <v>6.19696E-2</v>
      </c>
      <c r="AF101" s="430">
        <f>'ANALYSE - ERP =&gt; SOUS-SEGMENT'!$Q$143</f>
        <v>1</v>
      </c>
    </row>
    <row r="102" spans="1:32" ht="15" customHeight="1">
      <c r="A102" s="26">
        <v>99</v>
      </c>
      <c r="B102" s="26">
        <v>99</v>
      </c>
      <c r="C102" s="26">
        <v>99</v>
      </c>
      <c r="D102" s="422">
        <f>'ANALYSE - ERP =&gt; SOUS-SEGMENT'!$A$141</f>
        <v>134</v>
      </c>
      <c r="E102" s="417" t="str">
        <f>'ANALYSE - ERP =&gt; SOUS-SEGMENT'!$B$141</f>
        <v>Sécurité &amp; Justice</v>
      </c>
      <c r="F102" s="417" t="str">
        <f>'ANALYSE - ERP =&gt; SOUS-SEGMENT'!$C$141</f>
        <v>Univers carcéral</v>
      </c>
      <c r="G102" s="417" t="str">
        <f>'ANALYSE - ERP =&gt; SOUS-SEGMENT'!$D$141</f>
        <v>Maisons centrales</v>
      </c>
      <c r="I102" s="427">
        <f t="shared" si="11"/>
        <v>0.64589727272727282</v>
      </c>
      <c r="K102" s="787">
        <f t="shared" si="9"/>
        <v>0.79080264663533606</v>
      </c>
      <c r="L102" s="787">
        <f t="shared" si="10"/>
        <v>0.20919735336466391</v>
      </c>
      <c r="N102" s="424">
        <f>'ANALYSE - ERP =&gt; SOUS-SEGMENT'!$FG$141</f>
        <v>3.2294863636363642</v>
      </c>
      <c r="O102" s="427">
        <f>'ANALYSE - ERP =&gt; SOUS-SEGMENT'!$HC$141</f>
        <v>0.36756000000000011</v>
      </c>
      <c r="P102" s="427">
        <f>'ANALYSE - ERP =&gt; SOUS-SEGMENT'!$HF$141</f>
        <v>2.4973603636363642</v>
      </c>
      <c r="Q102" s="427">
        <f>'ANALYSE - ERP =&gt; SOUS-SEGMENT'!$HI$141</f>
        <v>0.128274</v>
      </c>
      <c r="R102" s="427">
        <f>'ANALYSE - ERP =&gt; SOUS-SEGMENT'!$HL$141</f>
        <v>0.23629200000000003</v>
      </c>
      <c r="T102" s="424">
        <f>'ANALYSE - ERP =&gt; SOUS-SEGMENT'!$FH$141</f>
        <v>2.553886363636364</v>
      </c>
      <c r="U102" s="427">
        <f>'ANALYSE - ERP =&gt; SOUS-SEGMENT'!$HD$141</f>
        <v>0.3000000000000001</v>
      </c>
      <c r="V102" s="427">
        <f>'ANALYSE - ERP =&gt; SOUS-SEGMENT'!$HG$141</f>
        <v>1.9636363636363641</v>
      </c>
      <c r="W102" s="427">
        <f>'ANALYSE - ERP =&gt; SOUS-SEGMENT'!$HJ$141</f>
        <v>0.10125000000000001</v>
      </c>
      <c r="X102" s="427">
        <f>'ANALYSE - ERP =&gt; SOUS-SEGMENT'!$HM$141</f>
        <v>0.18900000000000003</v>
      </c>
      <c r="Z102" s="427">
        <f>'ANALYSE - ERP =&gt; SOUS-SEGMENT'!$FI$141</f>
        <v>0.67559999999999998</v>
      </c>
      <c r="AA102" s="427">
        <f>'ANALYSE - ERP =&gt; SOUS-SEGMENT'!$HE$141</f>
        <v>6.7559999999999995E-2</v>
      </c>
      <c r="AB102" s="427">
        <f>'ANALYSE - ERP =&gt; SOUS-SEGMENT'!$HH$141</f>
        <v>0.53372399999999998</v>
      </c>
      <c r="AC102" s="427">
        <f>'ANALYSE - ERP =&gt; SOUS-SEGMENT'!$HK$141</f>
        <v>2.7023999999999999E-2</v>
      </c>
      <c r="AD102" s="427">
        <f>'ANALYSE - ERP =&gt; SOUS-SEGMENT'!$HN$141</f>
        <v>4.7292000000000001E-2</v>
      </c>
      <c r="AF102" s="430">
        <f>'ANALYSE - ERP =&gt; SOUS-SEGMENT'!$Q$141</f>
        <v>1</v>
      </c>
    </row>
    <row r="103" spans="1:32" ht="15" customHeight="1">
      <c r="A103" s="26">
        <v>100</v>
      </c>
      <c r="B103" s="26">
        <v>100</v>
      </c>
      <c r="C103" s="26">
        <v>100</v>
      </c>
      <c r="D103" s="422">
        <f>'ANALYSE - ERP =&gt; SOUS-SEGMENT'!$A$8</f>
        <v>1</v>
      </c>
      <c r="E103" s="417" t="str">
        <f>'ANALYSE - ERP =&gt; SOUS-SEGMENT'!$B$8</f>
        <v>Enfance, Enseignement, Jeunesse &amp; Formation</v>
      </c>
      <c r="F103" s="417" t="str">
        <f>'ANALYSE - ERP =&gt; SOUS-SEGMENT'!$C$8</f>
        <v>Petite enfance</v>
      </c>
      <c r="G103" s="417" t="str">
        <f>'ANALYSE - ERP =&gt; SOUS-SEGMENT'!$D$8</f>
        <v>Crèches</v>
      </c>
      <c r="I103" s="427">
        <f t="shared" si="11"/>
        <v>0</v>
      </c>
      <c r="K103" s="787" t="str">
        <f t="shared" si="9"/>
        <v/>
      </c>
      <c r="L103" s="787" t="str">
        <f t="shared" si="10"/>
        <v/>
      </c>
      <c r="N103" s="424">
        <f>'ANALYSE - ERP =&gt; SOUS-SEGMENT'!$FG$8</f>
        <v>0</v>
      </c>
      <c r="O103" s="427">
        <f>'ANALYSE - ERP =&gt; SOUS-SEGMENT'!$HC$8</f>
        <v>0</v>
      </c>
      <c r="P103" s="427">
        <f>'ANALYSE - ERP =&gt; SOUS-SEGMENT'!$HF$8</f>
        <v>0</v>
      </c>
      <c r="Q103" s="427">
        <f>'ANALYSE - ERP =&gt; SOUS-SEGMENT'!$HI$8</f>
        <v>0</v>
      </c>
      <c r="R103" s="427">
        <f>'ANALYSE - ERP =&gt; SOUS-SEGMENT'!$HL$8</f>
        <v>0</v>
      </c>
      <c r="T103" s="424">
        <f>'ANALYSE - ERP =&gt; SOUS-SEGMENT'!$FH$8</f>
        <v>0</v>
      </c>
      <c r="U103" s="427">
        <f>'ANALYSE - ERP =&gt; SOUS-SEGMENT'!$HD$8</f>
        <v>0</v>
      </c>
      <c r="V103" s="427">
        <f>'ANALYSE - ERP =&gt; SOUS-SEGMENT'!$HG$8</f>
        <v>0</v>
      </c>
      <c r="W103" s="427">
        <f>'ANALYSE - ERP =&gt; SOUS-SEGMENT'!$HJ$8</f>
        <v>0</v>
      </c>
      <c r="X103" s="427">
        <f>'ANALYSE - ERP =&gt; SOUS-SEGMENT'!$HM$8</f>
        <v>0</v>
      </c>
      <c r="Z103" s="427">
        <f>'ANALYSE - ERP =&gt; SOUS-SEGMENT'!$FI$8</f>
        <v>0</v>
      </c>
      <c r="AA103" s="427">
        <f>'ANALYSE - ERP =&gt; SOUS-SEGMENT'!$HE$8</f>
        <v>0</v>
      </c>
      <c r="AB103" s="427">
        <f>'ANALYSE - ERP =&gt; SOUS-SEGMENT'!$HH$8</f>
        <v>0</v>
      </c>
      <c r="AC103" s="427">
        <f>'ANALYSE - ERP =&gt; SOUS-SEGMENT'!$HK$8</f>
        <v>0</v>
      </c>
      <c r="AD103" s="427">
        <f>'ANALYSE - ERP =&gt; SOUS-SEGMENT'!$HN$8</f>
        <v>0</v>
      </c>
      <c r="AF103" s="430">
        <f>'ANALYSE - ERP =&gt; SOUS-SEGMENT'!$Q$8</f>
        <v>1</v>
      </c>
    </row>
    <row r="104" spans="1:32" ht="15" customHeight="1">
      <c r="A104" s="26">
        <v>101</v>
      </c>
      <c r="B104" s="26">
        <v>101</v>
      </c>
      <c r="C104" s="26">
        <v>101</v>
      </c>
      <c r="D104" s="422">
        <f>'ANALYSE - ERP =&gt; SOUS-SEGMENT'!$A$11</f>
        <v>4</v>
      </c>
      <c r="E104" s="417" t="str">
        <f>'ANALYSE - ERP =&gt; SOUS-SEGMENT'!$B$11</f>
        <v>Enfance, Enseignement, Jeunesse &amp; Formation</v>
      </c>
      <c r="F104" s="417" t="str">
        <f>'ANALYSE - ERP =&gt; SOUS-SEGMENT'!$C$11</f>
        <v>Enseignement scolaire</v>
      </c>
      <c r="G104" s="417" t="str">
        <f>'ANALYSE - ERP =&gt; SOUS-SEGMENT'!$D$11</f>
        <v>Écoles maternelles</v>
      </c>
      <c r="I104" s="427">
        <f t="shared" si="11"/>
        <v>930.96332159999997</v>
      </c>
      <c r="K104" s="787">
        <f t="shared" si="9"/>
        <v>0.78826695378156575</v>
      </c>
      <c r="L104" s="787">
        <f t="shared" si="10"/>
        <v>0.21173304621843439</v>
      </c>
      <c r="N104" s="424">
        <f>'ANALYSE - ERP =&gt; SOUS-SEGMENT'!$FG$11</f>
        <v>4654.8166080000001</v>
      </c>
      <c r="O104" s="427">
        <f>'ANALYSE - ERP =&gt; SOUS-SEGMENT'!$HC$11</f>
        <v>538.86642296000002</v>
      </c>
      <c r="P104" s="427">
        <f>'ANALYSE - ERP =&gt; SOUS-SEGMENT'!$HF$11</f>
        <v>2885.9862969599999</v>
      </c>
      <c r="Q104" s="427">
        <f>'ANALYSE - ERP =&gt; SOUS-SEGMENT'!$HI$11</f>
        <v>159.35606824000001</v>
      </c>
      <c r="R104" s="427">
        <f>'ANALYSE - ERP =&gt; SOUS-SEGMENT'!$HL$11</f>
        <v>1070.60781984</v>
      </c>
      <c r="T104" s="424">
        <f>'ANALYSE - ERP =&gt; SOUS-SEGMENT'!$FH$11</f>
        <v>3669.2381080000005</v>
      </c>
      <c r="U104" s="427">
        <f>'ANALYSE - ERP =&gt; SOUS-SEGMENT'!$HD$11</f>
        <v>440.30857295999999</v>
      </c>
      <c r="V104" s="427">
        <f>'ANALYSE - ERP =&gt; SOUS-SEGMENT'!$HG$11</f>
        <v>2274.92762696</v>
      </c>
      <c r="W104" s="427">
        <f>'ANALYSE - ERP =&gt; SOUS-SEGMENT'!$HJ$11</f>
        <v>110.07714324</v>
      </c>
      <c r="X104" s="427">
        <f>'ANALYSE - ERP =&gt; SOUS-SEGMENT'!$HM$11</f>
        <v>843.92476484000008</v>
      </c>
      <c r="Z104" s="427">
        <f>'ANALYSE - ERP =&gt; SOUS-SEGMENT'!$FI$11</f>
        <v>985.57849999999996</v>
      </c>
      <c r="AA104" s="427">
        <f>'ANALYSE - ERP =&gt; SOUS-SEGMENT'!$HE$11</f>
        <v>98.557850000000002</v>
      </c>
      <c r="AB104" s="427">
        <f>'ANALYSE - ERP =&gt; SOUS-SEGMENT'!$HH$11</f>
        <v>611.05867000000001</v>
      </c>
      <c r="AC104" s="427">
        <f>'ANALYSE - ERP =&gt; SOUS-SEGMENT'!$HK$11</f>
        <v>49.278925000000001</v>
      </c>
      <c r="AD104" s="427">
        <f>'ANALYSE - ERP =&gt; SOUS-SEGMENT'!$HN$11</f>
        <v>226.683055</v>
      </c>
      <c r="AF104" s="430">
        <f>'ANALYSE - ERP =&gt; SOUS-SEGMENT'!$Q$11</f>
        <v>1</v>
      </c>
    </row>
    <row r="105" spans="1:32" ht="15" customHeight="1">
      <c r="A105" s="26">
        <v>102</v>
      </c>
      <c r="B105" s="26">
        <v>102</v>
      </c>
      <c r="C105" s="26">
        <v>102</v>
      </c>
      <c r="D105" s="422">
        <f>'ANALYSE - ERP =&gt; SOUS-SEGMENT'!$A$145</f>
        <v>138</v>
      </c>
      <c r="E105" s="417" t="str">
        <f>'ANALYSE - ERP =&gt; SOUS-SEGMENT'!$B$145</f>
        <v>Sécurité &amp; Justice</v>
      </c>
      <c r="F105" s="417" t="str">
        <f>'ANALYSE - ERP =&gt; SOUS-SEGMENT'!$C$145</f>
        <v>Univers carcéral</v>
      </c>
      <c r="G105" s="417" t="str">
        <f>'ANALYSE - ERP =&gt; SOUS-SEGMENT'!$D$145</f>
        <v>Centres pour peines aménagées
(absorbés par autres centres carcéraux)</v>
      </c>
      <c r="I105" s="427">
        <f t="shared" si="11"/>
        <v>0</v>
      </c>
      <c r="K105" s="787" t="str">
        <f t="shared" si="9"/>
        <v/>
      </c>
      <c r="L105" s="787" t="str">
        <f t="shared" si="10"/>
        <v/>
      </c>
      <c r="N105" s="424">
        <f>'ANALYSE - ERP =&gt; SOUS-SEGMENT'!$FG$145</f>
        <v>0</v>
      </c>
      <c r="O105" s="427">
        <f>'ANALYSE - ERP =&gt; SOUS-SEGMENT'!$HC$145</f>
        <v>0</v>
      </c>
      <c r="P105" s="427">
        <f>'ANALYSE - ERP =&gt; SOUS-SEGMENT'!$HF$145</f>
        <v>0</v>
      </c>
      <c r="Q105" s="427">
        <f>'ANALYSE - ERP =&gt; SOUS-SEGMENT'!$HI$145</f>
        <v>0</v>
      </c>
      <c r="R105" s="427">
        <f>'ANALYSE - ERP =&gt; SOUS-SEGMENT'!$HL$145</f>
        <v>0</v>
      </c>
      <c r="T105" s="424">
        <f>'ANALYSE - ERP =&gt; SOUS-SEGMENT'!$FH$145</f>
        <v>0</v>
      </c>
      <c r="U105" s="427">
        <f>'ANALYSE - ERP =&gt; SOUS-SEGMENT'!$HD$145</f>
        <v>0</v>
      </c>
      <c r="V105" s="427">
        <f>'ANALYSE - ERP =&gt; SOUS-SEGMENT'!$HG$145</f>
        <v>0</v>
      </c>
      <c r="W105" s="427">
        <f>'ANALYSE - ERP =&gt; SOUS-SEGMENT'!$HJ$145</f>
        <v>0</v>
      </c>
      <c r="X105" s="427">
        <f>'ANALYSE - ERP =&gt; SOUS-SEGMENT'!$HM$145</f>
        <v>0</v>
      </c>
      <c r="Z105" s="427">
        <f>'ANALYSE - ERP =&gt; SOUS-SEGMENT'!$FI$145</f>
        <v>0</v>
      </c>
      <c r="AA105" s="427">
        <f>'ANALYSE - ERP =&gt; SOUS-SEGMENT'!$HE$145</f>
        <v>0</v>
      </c>
      <c r="AB105" s="427">
        <f>'ANALYSE - ERP =&gt; SOUS-SEGMENT'!$HH$145</f>
        <v>0</v>
      </c>
      <c r="AC105" s="427">
        <f>'ANALYSE - ERP =&gt; SOUS-SEGMENT'!$HK$145</f>
        <v>0</v>
      </c>
      <c r="AD105" s="427">
        <f>'ANALYSE - ERP =&gt; SOUS-SEGMENT'!$HN$145</f>
        <v>0</v>
      </c>
      <c r="AF105" s="430">
        <f>'ANALYSE - ERP =&gt; SOUS-SEGMENT'!$Q$145</f>
        <v>0</v>
      </c>
    </row>
    <row r="106" spans="1:32" s="45" customFormat="1" ht="15" customHeight="1">
      <c r="A106" s="406">
        <v>103</v>
      </c>
      <c r="B106" s="406">
        <v>103</v>
      </c>
      <c r="C106" s="406">
        <v>103</v>
      </c>
      <c r="D106" s="448">
        <f>'ANALYSE - ERP =&gt; SOUS-SEGMENT'!$A$150</f>
        <v>143</v>
      </c>
      <c r="E106" s="423" t="str">
        <f>'ANALYSE - ERP =&gt; SOUS-SEGMENT'!$B$150</f>
        <v>Sanitaires Publics</v>
      </c>
      <c r="F106" s="423" t="str">
        <f>'ANALYSE - ERP =&gt; SOUS-SEGMENT'!$C$150</f>
        <v>Sanitaires publics</v>
      </c>
      <c r="G106" s="423" t="str">
        <f>'ANALYSE - ERP =&gt; SOUS-SEGMENT'!$D$150</f>
        <v>Toilettes publiques (sur la voie publique)</v>
      </c>
      <c r="H106" s="685"/>
      <c r="I106" s="407">
        <f t="shared" si="11"/>
        <v>829.69344500000011</v>
      </c>
      <c r="J106" s="685"/>
      <c r="K106" s="788">
        <f t="shared" si="9"/>
        <v>0.80776032285032684</v>
      </c>
      <c r="L106" s="788">
        <f t="shared" si="10"/>
        <v>0.19223967714967302</v>
      </c>
      <c r="M106" s="685"/>
      <c r="N106" s="425">
        <f>'ANALYSE - ERP =&gt; SOUS-SEGMENT'!$FG$150</f>
        <v>4148.4672250000003</v>
      </c>
      <c r="O106" s="407">
        <f>'ANALYSE - ERP =&gt; SOUS-SEGMENT'!$HC$150</f>
        <v>210.39540625000001</v>
      </c>
      <c r="P106" s="407">
        <f>'ANALYSE - ERP =&gt; SOUS-SEGMENT'!$HF$150</f>
        <v>2818.5461999999998</v>
      </c>
      <c r="Q106" s="407">
        <f>'ANALYSE - ERP =&gt; SOUS-SEGMENT'!$HI$150</f>
        <v>472.38939999999991</v>
      </c>
      <c r="R106" s="407">
        <f>'ANALYSE - ERP =&gt; SOUS-SEGMENT'!$HL$150</f>
        <v>647.1362187499999</v>
      </c>
      <c r="S106" s="685"/>
      <c r="T106" s="425">
        <f>'ANALYSE - ERP =&gt; SOUS-SEGMENT'!$FH$150</f>
        <v>3350.9672249999999</v>
      </c>
      <c r="U106" s="407">
        <f>'ANALYSE - ERP =&gt; SOUS-SEGMENT'!$HD$150</f>
        <v>178.49540625</v>
      </c>
      <c r="V106" s="407">
        <f>'ANALYSE - ERP =&gt; SOUS-SEGMENT'!$HG$150</f>
        <v>2244.3462</v>
      </c>
      <c r="W106" s="407">
        <f>'ANALYSE - ERP =&gt; SOUS-SEGMENT'!$HJ$150</f>
        <v>392.63939999999991</v>
      </c>
      <c r="X106" s="407">
        <f>'ANALYSE - ERP =&gt; SOUS-SEGMENT'!$HM$150</f>
        <v>535.48621874999992</v>
      </c>
      <c r="Y106" s="685"/>
      <c r="Z106" s="407">
        <f>'ANALYSE - ERP =&gt; SOUS-SEGMENT'!$FI$150</f>
        <v>797.5</v>
      </c>
      <c r="AA106" s="407">
        <f>'ANALYSE - ERP =&gt; SOUS-SEGMENT'!$HE$150</f>
        <v>31.900000000000002</v>
      </c>
      <c r="AB106" s="407">
        <f>'ANALYSE - ERP =&gt; SOUS-SEGMENT'!$HH$150</f>
        <v>574.19999999999993</v>
      </c>
      <c r="AC106" s="407">
        <f>'ANALYSE - ERP =&gt; SOUS-SEGMENT'!$HK$150</f>
        <v>79.75</v>
      </c>
      <c r="AD106" s="407">
        <f>'ANALYSE - ERP =&gt; SOUS-SEGMENT'!$HN$150</f>
        <v>111.65</v>
      </c>
      <c r="AE106" s="685"/>
      <c r="AF106" s="450">
        <f>'ANALYSE - ERP =&gt; SOUS-SEGMENT'!$Q$150</f>
        <v>1</v>
      </c>
    </row>
  </sheetData>
  <autoFilter ref="A2:AF2" xr:uid="{00000000-0009-0000-0000-000018000000}"/>
  <conditionalFormatting sqref="O4:R106">
    <cfRule type="colorScale" priority="3">
      <colorScale>
        <cfvo type="min"/>
        <cfvo type="formula" val="MEDIAN($O$4:$R$106)"/>
        <cfvo type="max"/>
        <color rgb="FFF8696B"/>
        <color theme="0"/>
        <color rgb="FF63BE7B"/>
      </colorScale>
    </cfRule>
  </conditionalFormatting>
  <conditionalFormatting sqref="U4:X106">
    <cfRule type="colorScale" priority="2">
      <colorScale>
        <cfvo type="min"/>
        <cfvo type="formula" val="MEDIAN($U$4:$X$106)"/>
        <cfvo type="max"/>
        <color rgb="FFF8696B"/>
        <color theme="0"/>
        <color rgb="FF63BE7B"/>
      </colorScale>
    </cfRule>
  </conditionalFormatting>
  <conditionalFormatting sqref="AA4:AD106">
    <cfRule type="colorScale" priority="1">
      <colorScale>
        <cfvo type="min"/>
        <cfvo type="formula" val="MEDIAN($AA$4:$AD$106)"/>
        <cfvo type="max"/>
        <color rgb="FFF8696B"/>
        <color theme="0"/>
        <color rgb="FF63BE7B"/>
      </colorScale>
    </cfRule>
  </conditionalFormatting>
  <pageMargins left="3.937007874015748E-2" right="3.937007874015748E-2" top="7.874015748031496E-2" bottom="7.874015748031496E-2" header="0.11811023622047249" footer="0.11811023622047249"/>
  <pageSetup paperSize="8" scale="69" fitToHeight="2"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8" tint="-0.249977111117893"/>
    <pageSetUpPr fitToPage="1"/>
  </sheetPr>
  <dimension ref="A1:BB106"/>
  <sheetViews>
    <sheetView zoomScale="85" zoomScaleNormal="85" workbookViewId="0">
      <pane xSplit="7" ySplit="3" topLeftCell="H4" activePane="bottomRight" state="frozen"/>
      <selection activeCell="G29" sqref="G29"/>
      <selection pane="topRight" activeCell="G29" sqref="G29"/>
      <selection pane="bottomLeft" activeCell="G29" sqref="G29"/>
      <selection pane="bottomRight" activeCell="F33" sqref="F33"/>
    </sheetView>
  </sheetViews>
  <sheetFormatPr baseColWidth="10" defaultColWidth="9.140625" defaultRowHeight="15"/>
  <cols>
    <col min="1" max="1" width="6.140625" style="934" customWidth="1"/>
    <col min="2" max="2" width="5.7109375" style="934" customWidth="1"/>
    <col min="3" max="3" width="5.5703125" style="934" customWidth="1"/>
    <col min="4" max="4" width="6" style="934" customWidth="1"/>
    <col min="5" max="5" width="30.28515625" style="43" customWidth="1"/>
    <col min="6" max="6" width="22" style="43" customWidth="1"/>
    <col min="7" max="7" width="45.140625" style="43" customWidth="1"/>
    <col min="8" max="8" width="1.7109375" style="933" customWidth="1"/>
    <col min="9" max="9" width="9.7109375" style="934" customWidth="1"/>
    <col min="10" max="10" width="1.7109375" style="933" customWidth="1"/>
    <col min="11" max="11" width="9.5703125" style="934" customWidth="1"/>
    <col min="12" max="12" width="9" style="934" customWidth="1"/>
    <col min="13" max="13" width="1.7109375" style="933" customWidth="1"/>
    <col min="14" max="14" width="9.42578125" style="934" customWidth="1"/>
    <col min="15" max="15" width="9" style="934" customWidth="1"/>
    <col min="16" max="16" width="10.42578125" style="934" customWidth="1"/>
    <col min="17" max="17" width="8.7109375" style="934" customWidth="1"/>
    <col min="18" max="18" width="1.7109375" style="933" customWidth="1"/>
    <col min="19" max="19" width="9" style="934" customWidth="1"/>
    <col min="20" max="20" width="8.85546875" style="934" customWidth="1"/>
    <col min="21" max="21" width="9.7109375" style="934" customWidth="1"/>
    <col min="22" max="22" width="10.42578125" style="934" customWidth="1"/>
    <col min="23" max="23" width="1.7109375" style="933" customWidth="1"/>
    <col min="24" max="24" width="8.140625" style="934" customWidth="1"/>
    <col min="25" max="25" width="9.85546875" style="934" customWidth="1"/>
    <col min="26" max="26" width="9" style="934" customWidth="1"/>
    <col min="27" max="27" width="9.42578125" style="934" customWidth="1"/>
    <col min="28" max="28" width="1.7109375" style="933" customWidth="1"/>
    <col min="29" max="29" width="11.42578125" style="934" customWidth="1"/>
    <col min="30" max="54" width="9.140625" style="933" customWidth="1"/>
  </cols>
  <sheetData>
    <row r="1" spans="1:54" s="438" customFormat="1" ht="18.75" customHeight="1">
      <c r="A1" s="933"/>
      <c r="B1" s="933"/>
      <c r="C1" s="933"/>
      <c r="D1" s="477"/>
      <c r="E1" s="479"/>
      <c r="F1" s="478" t="s">
        <v>7963</v>
      </c>
      <c r="G1" s="479"/>
      <c r="H1" s="933"/>
      <c r="I1" s="933"/>
      <c r="J1" s="933"/>
      <c r="K1" s="933"/>
      <c r="L1" s="933"/>
      <c r="M1" s="933"/>
      <c r="N1" s="460" t="s">
        <v>7949</v>
      </c>
      <c r="O1" s="440"/>
      <c r="P1" s="440"/>
      <c r="Q1" s="436"/>
      <c r="R1" s="933"/>
      <c r="S1" s="461" t="s">
        <v>7949</v>
      </c>
      <c r="T1" s="434"/>
      <c r="U1" s="439"/>
      <c r="V1" s="434"/>
      <c r="W1" s="933"/>
      <c r="X1" s="462" t="s">
        <v>7949</v>
      </c>
      <c r="Y1" s="435"/>
      <c r="Z1" s="441"/>
      <c r="AA1" s="435"/>
      <c r="AB1" s="933"/>
      <c r="AC1" s="436"/>
      <c r="AD1" s="933"/>
      <c r="AE1" s="933"/>
      <c r="AF1" s="933"/>
      <c r="AG1" s="933"/>
      <c r="AH1" s="933"/>
      <c r="AI1" s="933"/>
      <c r="AJ1" s="933"/>
      <c r="AK1" s="933"/>
      <c r="AL1" s="933"/>
      <c r="AM1" s="933"/>
      <c r="AN1" s="933"/>
      <c r="AO1" s="933"/>
      <c r="AP1" s="933"/>
      <c r="AQ1" s="933"/>
      <c r="AR1" s="933"/>
      <c r="AS1" s="933"/>
      <c r="AT1" s="933"/>
      <c r="AU1" s="933"/>
      <c r="AV1" s="933"/>
      <c r="AW1" s="933"/>
      <c r="AX1" s="933"/>
      <c r="AY1" s="933"/>
      <c r="AZ1" s="933"/>
      <c r="BA1" s="933"/>
      <c r="BB1" s="933"/>
    </row>
    <row r="2" spans="1:54" s="437" customFormat="1" ht="54.75" customHeight="1">
      <c r="A2" s="431" t="s">
        <v>7853</v>
      </c>
      <c r="B2" s="432" t="s">
        <v>7854</v>
      </c>
      <c r="C2" s="433" t="s">
        <v>7855</v>
      </c>
      <c r="D2" s="436" t="s">
        <v>2044</v>
      </c>
      <c r="E2" s="829" t="s">
        <v>6714</v>
      </c>
      <c r="F2" s="829" t="s">
        <v>6715</v>
      </c>
      <c r="G2" s="829" t="s">
        <v>2181</v>
      </c>
      <c r="H2" s="453"/>
      <c r="I2" s="436" t="s">
        <v>7920</v>
      </c>
      <c r="J2" s="453"/>
      <c r="K2" s="434" t="s">
        <v>7860</v>
      </c>
      <c r="L2" s="435" t="s">
        <v>2534</v>
      </c>
      <c r="M2" s="453"/>
      <c r="N2" s="436" t="s">
        <v>7857</v>
      </c>
      <c r="O2" s="436" t="s">
        <v>7951</v>
      </c>
      <c r="P2" s="436" t="s">
        <v>7952</v>
      </c>
      <c r="Q2" s="436" t="s">
        <v>7964</v>
      </c>
      <c r="R2" s="453"/>
      <c r="S2" s="434" t="s">
        <v>7925</v>
      </c>
      <c r="T2" s="434" t="s">
        <v>7955</v>
      </c>
      <c r="U2" s="434" t="s">
        <v>7956</v>
      </c>
      <c r="V2" s="434" t="s">
        <v>7965</v>
      </c>
      <c r="W2" s="453"/>
      <c r="X2" s="435" t="s">
        <v>7930</v>
      </c>
      <c r="Y2" s="435" t="s">
        <v>7959</v>
      </c>
      <c r="Z2" s="435" t="s">
        <v>7960</v>
      </c>
      <c r="AA2" s="435" t="s">
        <v>7966</v>
      </c>
      <c r="AB2" s="453"/>
      <c r="AC2" s="436" t="s">
        <v>6711</v>
      </c>
      <c r="AD2" s="453"/>
      <c r="AE2" s="453"/>
      <c r="AF2" s="453"/>
      <c r="AG2" s="453"/>
      <c r="AH2" s="453"/>
      <c r="AI2" s="453"/>
      <c r="AJ2" s="453"/>
      <c r="AK2" s="453"/>
      <c r="AL2" s="453"/>
      <c r="AM2" s="453"/>
      <c r="AN2" s="453"/>
      <c r="AO2" s="453"/>
      <c r="AP2" s="453"/>
      <c r="AQ2" s="453"/>
      <c r="AR2" s="453"/>
      <c r="AS2" s="453"/>
      <c r="AT2" s="453"/>
      <c r="AU2" s="453"/>
      <c r="AV2" s="453"/>
      <c r="AW2" s="453"/>
      <c r="AX2" s="453"/>
      <c r="AY2" s="453"/>
      <c r="AZ2" s="453"/>
      <c r="BA2" s="453"/>
      <c r="BB2" s="453"/>
    </row>
    <row r="3" spans="1:54">
      <c r="A3" s="405" t="s">
        <v>2535</v>
      </c>
      <c r="B3" s="405" t="s">
        <v>2535</v>
      </c>
      <c r="C3" s="405" t="s">
        <v>2535</v>
      </c>
      <c r="D3" s="405" t="s">
        <v>2090</v>
      </c>
      <c r="E3" s="405" t="s">
        <v>2086</v>
      </c>
      <c r="F3" s="405" t="s">
        <v>6728</v>
      </c>
      <c r="G3" s="405" t="s">
        <v>6729</v>
      </c>
      <c r="I3" s="426" t="str">
        <f>IFERROR(N3/5,"")</f>
        <v/>
      </c>
      <c r="K3" s="790" t="str">
        <f t="shared" ref="K3:K34" si="0">IFERROR(S3/N3,"")</f>
        <v/>
      </c>
      <c r="L3" s="790" t="str">
        <f t="shared" ref="L3:L34" si="1">IFERROR(X3/N3,"")</f>
        <v/>
      </c>
      <c r="N3" s="426" t="e">
        <f>SUMPRODUCT(($AC$4:$AC$106),('ANALYSE - ERP =&gt; SOUS-SEGMENT'!$FJ$8:$FJ$150))</f>
        <v>#REF!</v>
      </c>
      <c r="O3" s="426" t="e">
        <f>SUMPRODUCT(($AC$4:$AC$106),('ANALYSE - ERP =&gt; SOUS-SEGMENT'!$HO$8:$HO$150))</f>
        <v>#REF!</v>
      </c>
      <c r="P3" s="426" t="e">
        <f>SUMPRODUCT(($AC$4:$AC$106),('ANALYSE - ERP =&gt; SOUS-SEGMENT'!$HR$8:$HR$150))</f>
        <v>#REF!</v>
      </c>
      <c r="Q3" s="426" t="e">
        <f>SUMPRODUCT(($AC$4:$AC$106),('ANALYSE - ERP =&gt; SOUS-SEGMENT'!$HU$8:$HU$150))</f>
        <v>#REF!</v>
      </c>
      <c r="S3" s="426" t="e">
        <f>SUMPRODUCT(($AC$4:$AC$106),('ANALYSE - ERP =&gt; SOUS-SEGMENT'!$FK$8:$FK$150))</f>
        <v>#REF!</v>
      </c>
      <c r="T3" s="426" t="e">
        <f>SUMPRODUCT(($AC$4:$AC$106),('ANALYSE - ERP =&gt; SOUS-SEGMENT'!$HP$8:$HP$150))</f>
        <v>#REF!</v>
      </c>
      <c r="U3" s="426" t="e">
        <f>SUMPRODUCT(($AC$4:$AC$106),('ANALYSE - ERP =&gt; SOUS-SEGMENT'!$HS$8:$HS$150))</f>
        <v>#REF!</v>
      </c>
      <c r="V3" s="426" t="e">
        <f>SUMPRODUCT(($AC$4:$AC$106),('ANALYSE - ERP =&gt; SOUS-SEGMENT'!$HV$8:$HV$150))</f>
        <v>#REF!</v>
      </c>
      <c r="X3" s="426" t="e">
        <f>SUMPRODUCT(($AC$4:$AC$106),('ANALYSE - ERP =&gt; SOUS-SEGMENT'!$FL$8:$FL$150))</f>
        <v>#REF!</v>
      </c>
      <c r="Y3" s="426" t="e">
        <f>SUMPRODUCT(($AC$4:$AC$106),('ANALYSE - ERP =&gt; SOUS-SEGMENT'!$HQ$8:$HQ$150))</f>
        <v>#REF!</v>
      </c>
      <c r="Z3" s="426" t="e">
        <f>SUMPRODUCT(($AC$4:$AC$106),('ANALYSE - ERP =&gt; SOUS-SEGMENT'!$HT$8:$HT$150))</f>
        <v>#REF!</v>
      </c>
      <c r="AA3" s="426" t="e">
        <f>SUMPRODUCT(($AC$4:$AC$106),('ANALYSE - ERP =&gt; SOUS-SEGMENT'!$HW$8:$HW$150))</f>
        <v>#REF!</v>
      </c>
      <c r="AC3" s="428">
        <f>SUM('ANALYSE - ERP =&gt; SOUS-SEGMENT'!$Q$8:$Q$150)</f>
        <v>137</v>
      </c>
    </row>
    <row r="4" spans="1:54" ht="15" customHeight="1">
      <c r="A4" s="26">
        <v>1</v>
      </c>
      <c r="B4" s="26">
        <v>1</v>
      </c>
      <c r="C4" s="26">
        <v>1</v>
      </c>
      <c r="D4" s="422">
        <f>'ANALYSE - ERP =&gt; SOUS-SEGMENT'!$A$75</f>
        <v>68</v>
      </c>
      <c r="E4" s="408" t="str">
        <f>'ANALYSE - ERP =&gt; SOUS-SEGMENT'!$B$75</f>
        <v>Commerce, Restauration &amp; Loisirs</v>
      </c>
      <c r="F4" s="408" t="str">
        <f>'ANALYSE - ERP =&gt; SOUS-SEGMENT'!$C$75</f>
        <v>Restauration / boissons</v>
      </c>
      <c r="G4" s="408" t="str">
        <f>'ANALYSE - ERP =&gt; SOUS-SEGMENT'!$D$75</f>
        <v>Restaurants
(Hors établissements altitude, flottant, armée)</v>
      </c>
      <c r="I4" s="427">
        <f t="shared" ref="I4:I35" si="2">N4/5</f>
        <v>23218.276218749997</v>
      </c>
      <c r="K4" s="787">
        <f t="shared" si="0"/>
        <v>0.87314949773827077</v>
      </c>
      <c r="L4" s="787">
        <f t="shared" si="1"/>
        <v>0.1268505022617292</v>
      </c>
      <c r="N4" s="424">
        <f>'ANALYSE - ERP =&gt; SOUS-SEGMENT'!$FJ$75</f>
        <v>116091.38109374999</v>
      </c>
      <c r="O4" s="427">
        <f>'ANALYSE - ERP =&gt; SOUS-SEGMENT'!$HO$75</f>
        <v>52909.678124999999</v>
      </c>
      <c r="P4" s="427">
        <f>'ANALYSE - ERP =&gt; SOUS-SEGMENT'!$HR$75</f>
        <v>38803.924687500003</v>
      </c>
      <c r="Q4" s="427">
        <f>'ANALYSE - ERP =&gt; SOUS-SEGMENT'!$HU$75</f>
        <v>24377.778281249997</v>
      </c>
      <c r="S4" s="424">
        <f>'ANALYSE - ERP =&gt; SOUS-SEGMENT'!$FK$75</f>
        <v>101365.13109374999</v>
      </c>
      <c r="T4" s="427">
        <f>'ANALYSE - ERP =&gt; SOUS-SEGMENT'!$HP$75</f>
        <v>47019.178124999999</v>
      </c>
      <c r="U4" s="427">
        <f>'ANALYSE - ERP =&gt; SOUS-SEGMENT'!$HS$75</f>
        <v>32913.424687500003</v>
      </c>
      <c r="V4" s="427">
        <f>'ANALYSE - ERP =&gt; SOUS-SEGMENT'!$HV$75</f>
        <v>21432.528281249997</v>
      </c>
      <c r="X4" s="427">
        <f>'ANALYSE - ERP =&gt; SOUS-SEGMENT'!$FL$75</f>
        <v>14726.25</v>
      </c>
      <c r="Y4" s="427">
        <f>'ANALYSE - ERP =&gt; SOUS-SEGMENT'!$HQ$75</f>
        <v>5890.5</v>
      </c>
      <c r="Z4" s="427">
        <f>'ANALYSE - ERP =&gt; SOUS-SEGMENT'!$HT$75</f>
        <v>5890.5</v>
      </c>
      <c r="AA4" s="427">
        <f>'ANALYSE - ERP =&gt; SOUS-SEGMENT'!$HW$75</f>
        <v>2945.25</v>
      </c>
      <c r="AC4" s="430">
        <f>'ANALYSE - ERP =&gt; SOUS-SEGMENT'!$Q$75</f>
        <v>1</v>
      </c>
    </row>
    <row r="5" spans="1:54" ht="15" customHeight="1">
      <c r="A5" s="26">
        <v>2</v>
      </c>
      <c r="B5" s="26">
        <v>2</v>
      </c>
      <c r="C5" s="26">
        <v>3</v>
      </c>
      <c r="D5" s="422">
        <f>'ANALYSE - ERP =&gt; SOUS-SEGMENT'!$A$58</f>
        <v>51</v>
      </c>
      <c r="E5" s="416" t="str">
        <f>'ANALYSE - ERP =&gt; SOUS-SEGMENT'!$B$58</f>
        <v>Santé &amp; Médico-social</v>
      </c>
      <c r="F5" s="416" t="str">
        <f>'ANALYSE - ERP =&gt; SOUS-SEGMENT'!$C$58</f>
        <v>Médico-social</v>
      </c>
      <c r="G5" s="416" t="str">
        <f>'ANALYSE - ERP =&gt; SOUS-SEGMENT'!$D$58</f>
        <v>EHPAD</v>
      </c>
      <c r="I5" s="427">
        <f t="shared" si="2"/>
        <v>39969.11454351795</v>
      </c>
      <c r="K5" s="787">
        <f t="shared" si="0"/>
        <v>0.82231706553650052</v>
      </c>
      <c r="L5" s="787">
        <f t="shared" si="1"/>
        <v>0.17768293446349939</v>
      </c>
      <c r="N5" s="424">
        <f>'ANALYSE - ERP =&gt; SOUS-SEGMENT'!$FJ$58</f>
        <v>199845.57271758973</v>
      </c>
      <c r="O5" s="427">
        <f>'ANALYSE - ERP =&gt; SOUS-SEGMENT'!$HO$58</f>
        <v>163905.72170266666</v>
      </c>
      <c r="P5" s="427">
        <f>'ANALYSE - ERP =&gt; SOUS-SEGMENT'!$HR$58</f>
        <v>22144.746145923073</v>
      </c>
      <c r="Q5" s="427">
        <f>'ANALYSE - ERP =&gt; SOUS-SEGMENT'!$HU$58</f>
        <v>13795.104868999999</v>
      </c>
      <c r="S5" s="424">
        <f>'ANALYSE - ERP =&gt; SOUS-SEGMENT'!$FK$58</f>
        <v>164336.42491758973</v>
      </c>
      <c r="T5" s="427">
        <f>'ANALYSE - ERP =&gt; SOUS-SEGMENT'!$HP$58</f>
        <v>134788.22050666666</v>
      </c>
      <c r="U5" s="427">
        <f>'ANALYSE - ERP =&gt; SOUS-SEGMENT'!$HS$58</f>
        <v>18061.194148923074</v>
      </c>
      <c r="V5" s="427">
        <f>'ANALYSE - ERP =&gt; SOUS-SEGMENT'!$HV$58</f>
        <v>11487.010261999998</v>
      </c>
      <c r="X5" s="427">
        <f>'ANALYSE - ERP =&gt; SOUS-SEGMENT'!$FL$58</f>
        <v>35509.147799999999</v>
      </c>
      <c r="Y5" s="427">
        <f>'ANALYSE - ERP =&gt; SOUS-SEGMENT'!$HQ$58</f>
        <v>29117.501195999997</v>
      </c>
      <c r="Z5" s="427">
        <f>'ANALYSE - ERP =&gt; SOUS-SEGMENT'!$HT$58</f>
        <v>4083.551997</v>
      </c>
      <c r="AA5" s="427">
        <f>'ANALYSE - ERP =&gt; SOUS-SEGMENT'!$HW$58</f>
        <v>2308.094607</v>
      </c>
      <c r="AC5" s="430">
        <f>'ANALYSE - ERP =&gt; SOUS-SEGMENT'!$Q$58</f>
        <v>1</v>
      </c>
    </row>
    <row r="6" spans="1:54" ht="15" customHeight="1">
      <c r="A6" s="26">
        <v>3</v>
      </c>
      <c r="B6" s="26">
        <v>4</v>
      </c>
      <c r="C6" s="26">
        <v>2</v>
      </c>
      <c r="D6" s="422">
        <f>'ANALYSE - ERP =&gt; SOUS-SEGMENT'!$A$82</f>
        <v>75</v>
      </c>
      <c r="E6" s="409" t="str">
        <f>'ANALYSE - ERP =&gt; SOUS-SEGMENT'!$B$82</f>
        <v>Tertiaire &amp; Industriel</v>
      </c>
      <c r="F6" s="409" t="str">
        <f>'ANALYSE - ERP =&gt; SOUS-SEGMENT'!$C$82</f>
        <v>Bureaux</v>
      </c>
      <c r="G6" s="409" t="str">
        <f>'ANALYSE - ERP =&gt; SOUS-SEGMENT'!$D$82</f>
        <v>Bureaux Tertiaire Privé (&gt;50 salariés)
(hors usines et logistique )</v>
      </c>
      <c r="I6" s="427">
        <f t="shared" si="2"/>
        <v>27839.633851428567</v>
      </c>
      <c r="K6" s="787">
        <f t="shared" si="0"/>
        <v>0.84980836952403238</v>
      </c>
      <c r="L6" s="787">
        <f t="shared" si="1"/>
        <v>0.15019163047596767</v>
      </c>
      <c r="N6" s="424">
        <f>'ANALYSE - ERP =&gt; SOUS-SEGMENT'!$FJ$82</f>
        <v>139198.16925714284</v>
      </c>
      <c r="O6" s="427">
        <f>'ANALYSE - ERP =&gt; SOUS-SEGMENT'!$HO$82</f>
        <v>70781.483200000002</v>
      </c>
      <c r="P6" s="427">
        <f>'ANALYSE - ERP =&gt; SOUS-SEGMENT'!$HR$82</f>
        <v>38248.809657142854</v>
      </c>
      <c r="Q6" s="427">
        <f>'ANALYSE - ERP =&gt; SOUS-SEGMENT'!$HU$82</f>
        <v>30167.876400000001</v>
      </c>
      <c r="S6" s="424">
        <f>'ANALYSE - ERP =&gt; SOUS-SEGMENT'!$FK$82</f>
        <v>118291.76925714285</v>
      </c>
      <c r="T6" s="427">
        <f>'ANALYSE - ERP =&gt; SOUS-SEGMENT'!$HP$82</f>
        <v>60537.347200000004</v>
      </c>
      <c r="U6" s="427">
        <f>'ANALYSE - ERP =&gt; SOUS-SEGMENT'!$HS$82</f>
        <v>31349.697657142853</v>
      </c>
      <c r="V6" s="427">
        <f>'ANALYSE - ERP =&gt; SOUS-SEGMENT'!$HV$82</f>
        <v>26404.724399999999</v>
      </c>
      <c r="X6" s="427">
        <f>'ANALYSE - ERP =&gt; SOUS-SEGMENT'!$FL$82</f>
        <v>20906.400000000001</v>
      </c>
      <c r="Y6" s="427">
        <f>'ANALYSE - ERP =&gt; SOUS-SEGMENT'!$HQ$82</f>
        <v>10244.136</v>
      </c>
      <c r="Z6" s="427">
        <f>'ANALYSE - ERP =&gt; SOUS-SEGMENT'!$HT$82</f>
        <v>6899.112000000001</v>
      </c>
      <c r="AA6" s="427">
        <f>'ANALYSE - ERP =&gt; SOUS-SEGMENT'!$HW$82</f>
        <v>3763.152</v>
      </c>
      <c r="AC6" s="430">
        <f>'ANALYSE - ERP =&gt; SOUS-SEGMENT'!$Q$82</f>
        <v>1</v>
      </c>
    </row>
    <row r="7" spans="1:54" ht="15" customHeight="1">
      <c r="A7" s="26">
        <v>4</v>
      </c>
      <c r="B7" s="26">
        <v>3</v>
      </c>
      <c r="C7" s="26">
        <v>6</v>
      </c>
      <c r="D7" s="422">
        <f>'ANALYSE - ERP =&gt; SOUS-SEGMENT'!$A$101</f>
        <v>94</v>
      </c>
      <c r="E7" s="415" t="str">
        <f>'ANALYSE - ERP =&gt; SOUS-SEGMENT'!$B$101</f>
        <v>Culte, Vie civique &amp; Services publics</v>
      </c>
      <c r="F7" s="415" t="str">
        <f>'ANALYSE - ERP =&gt; SOUS-SEGMENT'!$C$101</f>
        <v>Administrations / services publics</v>
      </c>
      <c r="G7" s="415" t="str">
        <f>'ANALYSE - ERP =&gt; SOUS-SEGMENT'!$D$101</f>
        <v>Mairies / hôtels de ville</v>
      </c>
      <c r="I7" s="427">
        <f t="shared" si="2"/>
        <v>7597.504825465714</v>
      </c>
      <c r="K7" s="787">
        <f t="shared" si="0"/>
        <v>0.8732613796081431</v>
      </c>
      <c r="L7" s="787">
        <f t="shared" si="1"/>
        <v>0.12673862039185688</v>
      </c>
      <c r="N7" s="424">
        <f>'ANALYSE - ERP =&gt; SOUS-SEGMENT'!$FJ$101</f>
        <v>37987.524127328572</v>
      </c>
      <c r="O7" s="427">
        <f>'ANALYSE - ERP =&gt; SOUS-SEGMENT'!$HO$101</f>
        <v>16875.46872342857</v>
      </c>
      <c r="P7" s="427">
        <f>'ANALYSE - ERP =&gt; SOUS-SEGMENT'!$HR$101</f>
        <v>12695.2032795</v>
      </c>
      <c r="Q7" s="427">
        <f>'ANALYSE - ERP =&gt; SOUS-SEGMENT'!$HU$101</f>
        <v>8416.8521244000003</v>
      </c>
      <c r="S7" s="424">
        <f>'ANALYSE - ERP =&gt; SOUS-SEGMENT'!$FK$101</f>
        <v>33173.03772732857</v>
      </c>
      <c r="T7" s="427">
        <f>'ANALYSE - ERP =&gt; SOUS-SEGMENT'!$HP$101</f>
        <v>14901.52929942857</v>
      </c>
      <c r="U7" s="427">
        <f>'ANALYSE - ERP =&gt; SOUS-SEGMENT'!$HS$101</f>
        <v>10865.698447499999</v>
      </c>
      <c r="V7" s="427">
        <f>'ANALYSE - ERP =&gt; SOUS-SEGMENT'!$HV$101</f>
        <v>7405.8099804000003</v>
      </c>
      <c r="X7" s="427">
        <f>'ANALYSE - ERP =&gt; SOUS-SEGMENT'!$FL$101</f>
        <v>4814.4863999999998</v>
      </c>
      <c r="Y7" s="427">
        <f>'ANALYSE - ERP =&gt; SOUS-SEGMENT'!$HQ$101</f>
        <v>1973.9394239999997</v>
      </c>
      <c r="Z7" s="427">
        <f>'ANALYSE - ERP =&gt; SOUS-SEGMENT'!$HT$101</f>
        <v>1829.5048319999999</v>
      </c>
      <c r="AA7" s="427">
        <f>'ANALYSE - ERP =&gt; SOUS-SEGMENT'!$HW$101</f>
        <v>1011.0421439999999</v>
      </c>
      <c r="AC7" s="430">
        <f>'ANALYSE - ERP =&gt; SOUS-SEGMENT'!$Q$101</f>
        <v>1</v>
      </c>
    </row>
    <row r="8" spans="1:54" ht="15" customHeight="1">
      <c r="A8" s="26">
        <v>5</v>
      </c>
      <c r="B8" s="26">
        <v>5</v>
      </c>
      <c r="C8" s="26">
        <v>8</v>
      </c>
      <c r="D8" s="422">
        <f>'ANALYSE - ERP =&gt; SOUS-SEGMENT'!$A$67</f>
        <v>60</v>
      </c>
      <c r="E8" s="414" t="str">
        <f>'ANALYSE - ERP =&gt; SOUS-SEGMENT'!$B$67</f>
        <v>Culture, Patrimoine &amp; Evénementiel</v>
      </c>
      <c r="F8" s="414" t="str">
        <f>'ANALYSE - ERP =&gt; SOUS-SEGMENT'!$C$67</f>
        <v>Culture / spectacle</v>
      </c>
      <c r="G8" s="414" t="str">
        <f>'ANALYSE - ERP =&gt; SOUS-SEGMENT'!$D$67</f>
        <v>Salles polyvalentes / Salles des fêtes</v>
      </c>
      <c r="I8" s="427">
        <f t="shared" si="2"/>
        <v>12337.187252564103</v>
      </c>
      <c r="K8" s="787">
        <f t="shared" si="0"/>
        <v>0.82023260613645488</v>
      </c>
      <c r="L8" s="787">
        <f t="shared" si="1"/>
        <v>0.17976739386354518</v>
      </c>
      <c r="N8" s="424">
        <f>'ANALYSE - ERP =&gt; SOUS-SEGMENT'!$FJ$67</f>
        <v>61685.936262820513</v>
      </c>
      <c r="O8" s="427">
        <f>'ANALYSE - ERP =&gt; SOUS-SEGMENT'!$HO$67</f>
        <v>25047.895653846153</v>
      </c>
      <c r="P8" s="427">
        <f>'ANALYSE - ERP =&gt; SOUS-SEGMENT'!$HR$67</f>
        <v>23804.951692307692</v>
      </c>
      <c r="Q8" s="427">
        <f>'ANALYSE - ERP =&gt; SOUS-SEGMENT'!$HU$67</f>
        <v>12833.088916666668</v>
      </c>
      <c r="S8" s="424">
        <f>'ANALYSE - ERP =&gt; SOUS-SEGMENT'!$FK$67</f>
        <v>50596.816262820517</v>
      </c>
      <c r="T8" s="427">
        <f>'ANALYSE - ERP =&gt; SOUS-SEGMENT'!$HP$67</f>
        <v>21166.703653846154</v>
      </c>
      <c r="U8" s="427">
        <f>'ANALYSE - ERP =&gt; SOUS-SEGMENT'!$HS$67</f>
        <v>18814.847692307692</v>
      </c>
      <c r="V8" s="427">
        <f>'ANALYSE - ERP =&gt; SOUS-SEGMENT'!$HV$67</f>
        <v>10615.264916666667</v>
      </c>
      <c r="X8" s="427">
        <f>'ANALYSE - ERP =&gt; SOUS-SEGMENT'!$FL$67</f>
        <v>11089.119999999999</v>
      </c>
      <c r="Y8" s="427">
        <f>'ANALYSE - ERP =&gt; SOUS-SEGMENT'!$HQ$67</f>
        <v>3881.1919999999996</v>
      </c>
      <c r="Z8" s="427">
        <f>'ANALYSE - ERP =&gt; SOUS-SEGMENT'!$HT$67</f>
        <v>4990.1039999999994</v>
      </c>
      <c r="AA8" s="427">
        <f>'ANALYSE - ERP =&gt; SOUS-SEGMENT'!$HW$67</f>
        <v>2217.8240000000001</v>
      </c>
      <c r="AC8" s="430">
        <f>'ANALYSE - ERP =&gt; SOUS-SEGMENT'!$Q$67</f>
        <v>1</v>
      </c>
    </row>
    <row r="9" spans="1:54" ht="15" customHeight="1">
      <c r="A9" s="26">
        <v>6</v>
      </c>
      <c r="B9" s="26">
        <v>6</v>
      </c>
      <c r="C9" s="26">
        <v>4</v>
      </c>
      <c r="D9" s="422">
        <f>'ANALYSE - ERP =&gt; SOUS-SEGMENT'!$A$77</f>
        <v>70</v>
      </c>
      <c r="E9" s="408" t="str">
        <f>'ANALYSE - ERP =&gt; SOUS-SEGMENT'!$B$77</f>
        <v>Commerce, Restauration &amp; Loisirs</v>
      </c>
      <c r="F9" s="408" t="str">
        <f>'ANALYSE - ERP =&gt; SOUS-SEGMENT'!$C$77</f>
        <v>Restauration / boissons</v>
      </c>
      <c r="G9" s="408" t="str">
        <f>'ANALYSE - ERP =&gt; SOUS-SEGMENT'!$D$77</f>
        <v>Fast-food / Cafétérias / Food courts</v>
      </c>
      <c r="I9" s="427">
        <f t="shared" si="2"/>
        <v>19176.642874521214</v>
      </c>
      <c r="K9" s="787">
        <f t="shared" si="0"/>
        <v>0.70588863562278659</v>
      </c>
      <c r="L9" s="787">
        <f t="shared" si="1"/>
        <v>0.2941113643772133</v>
      </c>
      <c r="N9" s="424">
        <f>'ANALYSE - ERP =&gt; SOUS-SEGMENT'!$FJ$77</f>
        <v>95883.214372606075</v>
      </c>
      <c r="O9" s="427">
        <f>'ANALYSE - ERP =&gt; SOUS-SEGMENT'!$HO$77</f>
        <v>41032.955282000003</v>
      </c>
      <c r="P9" s="427">
        <f>'ANALYSE - ERP =&gt; SOUS-SEGMENT'!$HR$77</f>
        <v>37141.166777272723</v>
      </c>
      <c r="Q9" s="427">
        <f>'ANALYSE - ERP =&gt; SOUS-SEGMENT'!$HU$77</f>
        <v>17709.092313333334</v>
      </c>
      <c r="S9" s="424">
        <f>'ANALYSE - ERP =&gt; SOUS-SEGMENT'!$FK$77</f>
        <v>67682.871372606067</v>
      </c>
      <c r="T9" s="427">
        <f>'ANALYSE - ERP =&gt; SOUS-SEGMENT'!$HP$77</f>
        <v>31162.835232000001</v>
      </c>
      <c r="U9" s="427">
        <f>'ANALYSE - ERP =&gt; SOUS-SEGMENT'!$HS$77</f>
        <v>25015.019287272728</v>
      </c>
      <c r="V9" s="427">
        <f>'ANALYSE - ERP =&gt; SOUS-SEGMENT'!$HV$77</f>
        <v>11505.016853333333</v>
      </c>
      <c r="X9" s="427">
        <f>'ANALYSE - ERP =&gt; SOUS-SEGMENT'!$FL$77</f>
        <v>28200.343000000001</v>
      </c>
      <c r="Y9" s="427">
        <f>'ANALYSE - ERP =&gt; SOUS-SEGMENT'!$HQ$77</f>
        <v>9870.1200499999995</v>
      </c>
      <c r="Z9" s="427">
        <f>'ANALYSE - ERP =&gt; SOUS-SEGMENT'!$HT$77</f>
        <v>12126.147489999999</v>
      </c>
      <c r="AA9" s="427">
        <f>'ANALYSE - ERP =&gt; SOUS-SEGMENT'!$HW$77</f>
        <v>6204.07546</v>
      </c>
      <c r="AC9" s="430">
        <f>'ANALYSE - ERP =&gt; SOUS-SEGMENT'!$Q$77</f>
        <v>1</v>
      </c>
    </row>
    <row r="10" spans="1:54" ht="15" customHeight="1">
      <c r="A10" s="26">
        <v>7</v>
      </c>
      <c r="B10" s="26">
        <v>7</v>
      </c>
      <c r="C10" s="26">
        <v>5</v>
      </c>
      <c r="D10" s="422">
        <f>'ANALYSE - ERP =&gt; SOUS-SEGMENT'!$A$12</f>
        <v>5</v>
      </c>
      <c r="E10" s="411" t="str">
        <f>'ANALYSE - ERP =&gt; SOUS-SEGMENT'!$B$12</f>
        <v>Enfance, Enseignement, Jeunesse &amp; Formation</v>
      </c>
      <c r="F10" s="411" t="str">
        <f>'ANALYSE - ERP =&gt; SOUS-SEGMENT'!$C$12</f>
        <v>Enseignement scolaire</v>
      </c>
      <c r="G10" s="411" t="str">
        <f>'ANALYSE - ERP =&gt; SOUS-SEGMENT'!$D$12</f>
        <v>Écoles primaires</v>
      </c>
      <c r="I10" s="427">
        <f t="shared" si="2"/>
        <v>20748.335266560003</v>
      </c>
      <c r="K10" s="787">
        <f t="shared" si="0"/>
        <v>0.74280672393989389</v>
      </c>
      <c r="L10" s="787">
        <f t="shared" si="1"/>
        <v>0.257193276060106</v>
      </c>
      <c r="N10" s="424">
        <f>'ANALYSE - ERP =&gt; SOUS-SEGMENT'!$FJ$12</f>
        <v>103741.67633280001</v>
      </c>
      <c r="O10" s="427">
        <f>'ANALYSE - ERP =&gt; SOUS-SEGMENT'!$HO$12</f>
        <v>64763.923456320001</v>
      </c>
      <c r="P10" s="427">
        <f>'ANALYSE - ERP =&gt; SOUS-SEGMENT'!$HR$12</f>
        <v>37643.669796479997</v>
      </c>
      <c r="Q10" s="427">
        <f>'ANALYSE - ERP =&gt; SOUS-SEGMENT'!$HU$12</f>
        <v>1334.0830800000001</v>
      </c>
      <c r="S10" s="424">
        <f>'ANALYSE - ERP =&gt; SOUS-SEGMENT'!$FK$12</f>
        <v>77060.014732800002</v>
      </c>
      <c r="T10" s="427">
        <f>'ANALYSE - ERP =&gt; SOUS-SEGMENT'!$HP$12</f>
        <v>50089.009576320001</v>
      </c>
      <c r="U10" s="427">
        <f>'ANALYSE - ERP =&gt; SOUS-SEGMENT'!$HS$12</f>
        <v>26971.005156479998</v>
      </c>
      <c r="V10" s="427">
        <f>'ANALYSE - ERP =&gt; SOUS-SEGMENT'!$HV$12</f>
        <v>0</v>
      </c>
      <c r="X10" s="427">
        <f>'ANALYSE - ERP =&gt; SOUS-SEGMENT'!$FL$12</f>
        <v>26681.661599999999</v>
      </c>
      <c r="Y10" s="427">
        <f>'ANALYSE - ERP =&gt; SOUS-SEGMENT'!$HQ$12</f>
        <v>14674.91388</v>
      </c>
      <c r="Z10" s="427">
        <f>'ANALYSE - ERP =&gt; SOUS-SEGMENT'!$HT$12</f>
        <v>10672.664640000001</v>
      </c>
      <c r="AA10" s="427">
        <f>'ANALYSE - ERP =&gt; SOUS-SEGMENT'!$HW$12</f>
        <v>1334.0830800000001</v>
      </c>
      <c r="AC10" s="430">
        <f>'ANALYSE - ERP =&gt; SOUS-SEGMENT'!$Q$12</f>
        <v>1</v>
      </c>
    </row>
    <row r="11" spans="1:54" s="45" customFormat="1" ht="15" customHeight="1">
      <c r="A11" s="26">
        <v>8</v>
      </c>
      <c r="B11" s="26">
        <v>8</v>
      </c>
      <c r="C11" s="26">
        <v>15</v>
      </c>
      <c r="D11" s="422">
        <f>'ANALYSE - ERP =&gt; SOUS-SEGMENT'!$A$76</f>
        <v>69</v>
      </c>
      <c r="E11" s="410" t="str">
        <f>'ANALYSE - ERP =&gt; SOUS-SEGMENT'!$B$76</f>
        <v>Commerce, Restauration &amp; Loisirs</v>
      </c>
      <c r="F11" s="410" t="str">
        <f>'ANALYSE - ERP =&gt; SOUS-SEGMENT'!$C$76</f>
        <v>Restauration / boissons</v>
      </c>
      <c r="G11" s="410" t="str">
        <f>'ANALYSE - ERP =&gt; SOUS-SEGMENT'!$D$76</f>
        <v>Cafés / bars / brasseries</v>
      </c>
      <c r="H11" s="685"/>
      <c r="I11" s="427">
        <f t="shared" si="2"/>
        <v>12052.856855030303</v>
      </c>
      <c r="J11" s="685"/>
      <c r="K11" s="787">
        <f t="shared" si="0"/>
        <v>0.86570502417238482</v>
      </c>
      <c r="L11" s="787">
        <f t="shared" si="1"/>
        <v>0.13429497582761515</v>
      </c>
      <c r="M11" s="685"/>
      <c r="N11" s="424">
        <f>'ANALYSE - ERP =&gt; SOUS-SEGMENT'!$FJ$76</f>
        <v>60264.284275151513</v>
      </c>
      <c r="O11" s="427">
        <f>'ANALYSE - ERP =&gt; SOUS-SEGMENT'!$HO$76</f>
        <v>41726.698811999995</v>
      </c>
      <c r="P11" s="427">
        <f>'ANALYSE - ERP =&gt; SOUS-SEGMENT'!$HR$76</f>
        <v>11666.960979818183</v>
      </c>
      <c r="Q11" s="427">
        <f>'ANALYSE - ERP =&gt; SOUS-SEGMENT'!$HU$76</f>
        <v>6870.6244833333321</v>
      </c>
      <c r="R11" s="685"/>
      <c r="S11" s="424">
        <f>'ANALYSE - ERP =&gt; SOUS-SEGMENT'!$FK$76</f>
        <v>52171.093675151511</v>
      </c>
      <c r="T11" s="427">
        <f>'ANALYSE - ERP =&gt; SOUS-SEGMENT'!$HP$76</f>
        <v>36708.920639999997</v>
      </c>
      <c r="U11" s="427">
        <f>'ANALYSE - ERP =&gt; SOUS-SEGMENT'!$HS$76</f>
        <v>9805.5271418181819</v>
      </c>
      <c r="V11" s="427">
        <f>'ANALYSE - ERP =&gt; SOUS-SEGMENT'!$HV$76</f>
        <v>5656.6458933333324</v>
      </c>
      <c r="W11" s="685"/>
      <c r="X11" s="427">
        <f>'ANALYSE - ERP =&gt; SOUS-SEGMENT'!$FL$76</f>
        <v>8093.1905999999999</v>
      </c>
      <c r="Y11" s="427">
        <f>'ANALYSE - ERP =&gt; SOUS-SEGMENT'!$HQ$76</f>
        <v>5017.7781720000003</v>
      </c>
      <c r="Z11" s="427">
        <f>'ANALYSE - ERP =&gt; SOUS-SEGMENT'!$HT$76</f>
        <v>1861.4338380000002</v>
      </c>
      <c r="AA11" s="427">
        <f>'ANALYSE - ERP =&gt; SOUS-SEGMENT'!$HW$76</f>
        <v>1213.9785899999999</v>
      </c>
      <c r="AB11" s="685"/>
      <c r="AC11" s="430">
        <f>'ANALYSE - ERP =&gt; SOUS-SEGMENT'!$Q$76</f>
        <v>1</v>
      </c>
      <c r="AD11" s="685"/>
      <c r="AE11" s="685"/>
      <c r="AF11" s="685"/>
      <c r="AG11" s="685"/>
      <c r="AH11" s="685"/>
      <c r="AI11" s="685"/>
      <c r="AJ11" s="685"/>
      <c r="AK11" s="685"/>
      <c r="AL11" s="685"/>
      <c r="AM11" s="685"/>
      <c r="AN11" s="685"/>
      <c r="AO11" s="685"/>
      <c r="AP11" s="685"/>
      <c r="AQ11" s="685"/>
      <c r="AR11" s="685"/>
      <c r="AS11" s="685"/>
      <c r="AT11" s="685"/>
      <c r="AU11" s="685"/>
      <c r="AV11" s="685"/>
      <c r="AW11" s="685"/>
      <c r="AX11" s="685"/>
      <c r="AY11" s="685"/>
      <c r="AZ11" s="685"/>
      <c r="BA11" s="685"/>
      <c r="BB11" s="685"/>
    </row>
    <row r="12" spans="1:54" ht="15" customHeight="1">
      <c r="A12" s="26">
        <v>9</v>
      </c>
      <c r="B12" s="26">
        <v>10</v>
      </c>
      <c r="C12" s="26">
        <v>12</v>
      </c>
      <c r="D12" s="422">
        <f>'ANALYSE - ERP =&gt; SOUS-SEGMENT'!$A$21</f>
        <v>14</v>
      </c>
      <c r="E12" s="408" t="str">
        <f>'ANALYSE - ERP =&gt; SOUS-SEGMENT'!$B$21</f>
        <v>Sports &amp; Loisirs</v>
      </c>
      <c r="F12" s="408" t="str">
        <f>'ANALYSE - ERP =&gt; SOUS-SEGMENT'!$C$21</f>
        <v>Sport couvert / Thermalisme / Bien-être</v>
      </c>
      <c r="G12" s="408" t="str">
        <f>'ANALYSE - ERP =&gt; SOUS-SEGMENT'!$D$21</f>
        <v>Gymnases / salles multisports
(hors scolaire, mais gymnase municipaux inclus)</v>
      </c>
      <c r="I12" s="427">
        <f t="shared" si="2"/>
        <v>15195.403000000002</v>
      </c>
      <c r="K12" s="787">
        <f t="shared" si="0"/>
        <v>0.78769618680070541</v>
      </c>
      <c r="L12" s="787">
        <f t="shared" si="1"/>
        <v>0.21230381319929451</v>
      </c>
      <c r="N12" s="424">
        <f>'ANALYSE - ERP =&gt; SOUS-SEGMENT'!$FJ$21</f>
        <v>75977.015000000014</v>
      </c>
      <c r="O12" s="427">
        <f>'ANALYSE - ERP =&gt; SOUS-SEGMENT'!$HO$21</f>
        <v>24582.367000000006</v>
      </c>
      <c r="P12" s="427">
        <f>'ANALYSE - ERP =&gt; SOUS-SEGMENT'!$HR$21</f>
        <v>41533.737300000001</v>
      </c>
      <c r="Q12" s="427">
        <f>'ANALYSE - ERP =&gt; SOUS-SEGMENT'!$HU$21</f>
        <v>9860.9107000000004</v>
      </c>
      <c r="S12" s="424">
        <f>'ANALYSE - ERP =&gt; SOUS-SEGMENT'!$FK$21</f>
        <v>59846.805000000008</v>
      </c>
      <c r="T12" s="427">
        <f>'ANALYSE - ERP =&gt; SOUS-SEGMENT'!$HP$21</f>
        <v>21356.325000000004</v>
      </c>
      <c r="U12" s="427">
        <f>'ANALYSE - ERP =&gt; SOUS-SEGMENT'!$HS$21</f>
        <v>31371.705000000002</v>
      </c>
      <c r="V12" s="427">
        <f>'ANALYSE - ERP =&gt; SOUS-SEGMENT'!$HV$21</f>
        <v>7118.7749999999996</v>
      </c>
      <c r="X12" s="427">
        <f>'ANALYSE - ERP =&gt; SOUS-SEGMENT'!$FL$21</f>
        <v>16130.21</v>
      </c>
      <c r="Y12" s="427">
        <f>'ANALYSE - ERP =&gt; SOUS-SEGMENT'!$HQ$21</f>
        <v>3226.0419999999999</v>
      </c>
      <c r="Z12" s="427">
        <f>'ANALYSE - ERP =&gt; SOUS-SEGMENT'!$HT$21</f>
        <v>10162.032299999999</v>
      </c>
      <c r="AA12" s="427">
        <f>'ANALYSE - ERP =&gt; SOUS-SEGMENT'!$HW$21</f>
        <v>2742.1357000000003</v>
      </c>
      <c r="AC12" s="430">
        <f>'ANALYSE - ERP =&gt; SOUS-SEGMENT'!$Q$21</f>
        <v>1</v>
      </c>
    </row>
    <row r="13" spans="1:54" ht="15" customHeight="1">
      <c r="A13" s="26">
        <v>10</v>
      </c>
      <c r="B13" s="26">
        <v>9</v>
      </c>
      <c r="C13" s="26">
        <v>21</v>
      </c>
      <c r="D13" s="422">
        <f>'ANALYSE - ERP =&gt; SOUS-SEGMENT'!$A$113</f>
        <v>106</v>
      </c>
      <c r="E13" s="415" t="str">
        <f>'ANALYSE - ERP =&gt; SOUS-SEGMENT'!$B$113</f>
        <v>Culte, Vie civique &amp; Services publics</v>
      </c>
      <c r="F13" s="415" t="str">
        <f>'ANALYSE - ERP =&gt; SOUS-SEGMENT'!$C$113</f>
        <v>Culte</v>
      </c>
      <c r="G13" s="415" t="str">
        <f>'ANALYSE - ERP =&gt; SOUS-SEGMENT'!$D$113</f>
        <v>Églises, cathédrales, basiliques et chapelles ouvertes au public</v>
      </c>
      <c r="I13" s="427">
        <f t="shared" si="2"/>
        <v>849.50408571428579</v>
      </c>
      <c r="K13" s="787">
        <f t="shared" si="0"/>
        <v>0.88793226353943722</v>
      </c>
      <c r="L13" s="787">
        <f t="shared" si="1"/>
        <v>0.11206773646056288</v>
      </c>
      <c r="N13" s="424">
        <f>'ANALYSE - ERP =&gt; SOUS-SEGMENT'!$FJ$113</f>
        <v>4247.520428571429</v>
      </c>
      <c r="O13" s="427">
        <f>'ANALYSE - ERP =&gt; SOUS-SEGMENT'!$HO$113</f>
        <v>2199.1282714285717</v>
      </c>
      <c r="P13" s="427">
        <f>'ANALYSE - ERP =&gt; SOUS-SEGMENT'!$HR$113</f>
        <v>1234.5761571428573</v>
      </c>
      <c r="Q13" s="427">
        <f>'ANALYSE - ERP =&gt; SOUS-SEGMENT'!$HU$113</f>
        <v>813.81600000000003</v>
      </c>
      <c r="S13" s="424">
        <f>'ANALYSE - ERP =&gt; SOUS-SEGMENT'!$FK$113</f>
        <v>3771.5104285714292</v>
      </c>
      <c r="T13" s="427">
        <f>'ANALYSE - ERP =&gt; SOUS-SEGMENT'!$HP$113</f>
        <v>1975.4035714285717</v>
      </c>
      <c r="U13" s="427">
        <f>'ANALYSE - ERP =&gt; SOUS-SEGMENT'!$HS$113</f>
        <v>1077.4928571428572</v>
      </c>
      <c r="V13" s="427">
        <f>'ANALYSE - ERP =&gt; SOUS-SEGMENT'!$HV$113</f>
        <v>718.61400000000003</v>
      </c>
      <c r="X13" s="427">
        <f>'ANALYSE - ERP =&gt; SOUS-SEGMENT'!$FL$113</f>
        <v>476.01</v>
      </c>
      <c r="Y13" s="427">
        <f>'ANALYSE - ERP =&gt; SOUS-SEGMENT'!$HQ$113</f>
        <v>223.72469999999998</v>
      </c>
      <c r="Z13" s="427">
        <f>'ANALYSE - ERP =&gt; SOUS-SEGMENT'!$HT$113</f>
        <v>157.08330000000001</v>
      </c>
      <c r="AA13" s="427">
        <f>'ANALYSE - ERP =&gt; SOUS-SEGMENT'!$HW$113</f>
        <v>95.201999999999998</v>
      </c>
      <c r="AC13" s="430">
        <f>'ANALYSE - ERP =&gt; SOUS-SEGMENT'!$Q$113</f>
        <v>1</v>
      </c>
    </row>
    <row r="14" spans="1:54" ht="15" customHeight="1">
      <c r="A14" s="26">
        <v>11</v>
      </c>
      <c r="B14" s="26">
        <v>11</v>
      </c>
      <c r="C14" s="26">
        <v>11</v>
      </c>
      <c r="D14" s="422">
        <f>'ANALYSE - ERP =&gt; SOUS-SEGMENT'!$A$44</f>
        <v>37</v>
      </c>
      <c r="E14" s="410" t="str">
        <f>'ANALYSE - ERP =&gt; SOUS-SEGMENT'!$B$44</f>
        <v>Santé &amp; Médico-social</v>
      </c>
      <c r="F14" s="410" t="str">
        <f>'ANALYSE - ERP =&gt; SOUS-SEGMENT'!$C$44</f>
        <v>Santé hospitalière</v>
      </c>
      <c r="G14" s="410" t="str">
        <f>'ANALYSE - ERP =&gt; SOUS-SEGMENT'!$D$44</f>
        <v>Hôpitaux publics 
(Hors CHU, Universitaire, Militaire, Carcéral)</v>
      </c>
      <c r="I14" s="427">
        <f t="shared" si="2"/>
        <v>13152.112050000002</v>
      </c>
      <c r="K14" s="787">
        <f t="shared" si="0"/>
        <v>0.80848393091359039</v>
      </c>
      <c r="L14" s="787">
        <f t="shared" si="1"/>
        <v>0.19151606908640956</v>
      </c>
      <c r="N14" s="424">
        <f>'ANALYSE - ERP =&gt; SOUS-SEGMENT'!$FJ$44</f>
        <v>65760.56025000001</v>
      </c>
      <c r="O14" s="427">
        <f>'ANALYSE - ERP =&gt; SOUS-SEGMENT'!$HO$44</f>
        <v>48133.849049999997</v>
      </c>
      <c r="P14" s="427">
        <f>'ANALYSE - ERP =&gt; SOUS-SEGMENT'!$HR$44</f>
        <v>13255.499880000001</v>
      </c>
      <c r="Q14" s="427">
        <f>'ANALYSE - ERP =&gt; SOUS-SEGMENT'!$HU$44</f>
        <v>4371.2113200000003</v>
      </c>
      <c r="S14" s="424">
        <f>'ANALYSE - ERP =&gt; SOUS-SEGMENT'!$FK$44</f>
        <v>53166.356250000004</v>
      </c>
      <c r="T14" s="427">
        <f>'ANALYSE - ERP =&gt; SOUS-SEGMENT'!$HP$44</f>
        <v>39317.90625</v>
      </c>
      <c r="U14" s="427">
        <f>'ANALYSE - ERP =&gt; SOUS-SEGMENT'!$HS$44</f>
        <v>10484.775000000001</v>
      </c>
      <c r="V14" s="427">
        <f>'ANALYSE - ERP =&gt; SOUS-SEGMENT'!$HV$44</f>
        <v>3363.6750000000002</v>
      </c>
      <c r="X14" s="427">
        <f>'ANALYSE - ERP =&gt; SOUS-SEGMENT'!$FL$44</f>
        <v>12594.204</v>
      </c>
      <c r="Y14" s="427">
        <f>'ANALYSE - ERP =&gt; SOUS-SEGMENT'!$HQ$44</f>
        <v>8815.9427999999989</v>
      </c>
      <c r="Z14" s="427">
        <f>'ANALYSE - ERP =&gt; SOUS-SEGMENT'!$HT$44</f>
        <v>2770.7248799999998</v>
      </c>
      <c r="AA14" s="427">
        <f>'ANALYSE - ERP =&gt; SOUS-SEGMENT'!$HW$44</f>
        <v>1007.53632</v>
      </c>
      <c r="AC14" s="430">
        <f>'ANALYSE - ERP =&gt; SOUS-SEGMENT'!$Q$44</f>
        <v>1</v>
      </c>
    </row>
    <row r="15" spans="1:54" ht="15" customHeight="1">
      <c r="A15" s="26">
        <v>12</v>
      </c>
      <c r="B15" s="26">
        <v>12</v>
      </c>
      <c r="C15" s="26">
        <v>7</v>
      </c>
      <c r="D15" s="422">
        <f>'ANALYSE - ERP =&gt; SOUS-SEGMENT'!$A$29</f>
        <v>22</v>
      </c>
      <c r="E15" s="410" t="str">
        <f>'ANALYSE - ERP =&gt; SOUS-SEGMENT'!$B$29</f>
        <v>Sports &amp; Loisirs</v>
      </c>
      <c r="F15" s="410" t="str">
        <f>'ANALYSE - ERP =&gt; SOUS-SEGMENT'!$C$29</f>
        <v>Sport de plein air</v>
      </c>
      <c r="G15" s="410" t="str">
        <f>'ANALYSE - ERP =&gt; SOUS-SEGMENT'!$D$29</f>
        <v xml:space="preserve">Grands stades avec tribunes
(Type football/rugby) </v>
      </c>
      <c r="I15" s="427">
        <f t="shared" si="2"/>
        <v>2650.6793833333331</v>
      </c>
      <c r="K15" s="787">
        <f t="shared" si="0"/>
        <v>0.78417306763046646</v>
      </c>
      <c r="L15" s="787">
        <f t="shared" si="1"/>
        <v>0.21582693236953346</v>
      </c>
      <c r="N15" s="424">
        <f>'ANALYSE - ERP =&gt; SOUS-SEGMENT'!$FJ$29</f>
        <v>13253.396916666667</v>
      </c>
      <c r="O15" s="427">
        <f>'ANALYSE - ERP =&gt; SOUS-SEGMENT'!$HO$29</f>
        <v>2104.6836400000002</v>
      </c>
      <c r="P15" s="427">
        <f>'ANALYSE - ERP =&gt; SOUS-SEGMENT'!$HR$29</f>
        <v>9354.6640499999994</v>
      </c>
      <c r="Q15" s="427">
        <f>'ANALYSE - ERP =&gt; SOUS-SEGMENT'!$HU$29</f>
        <v>1794.049226666667</v>
      </c>
      <c r="S15" s="424">
        <f>'ANALYSE - ERP =&gt; SOUS-SEGMENT'!$FK$29</f>
        <v>10392.956916666666</v>
      </c>
      <c r="T15" s="427">
        <f>'ANALYSE - ERP =&gt; SOUS-SEGMENT'!$HP$29</f>
        <v>1961.6616400000003</v>
      </c>
      <c r="U15" s="427">
        <f>'ANALYSE - ERP =&gt; SOUS-SEGMENT'!$HS$29</f>
        <v>7123.5208499999999</v>
      </c>
      <c r="V15" s="427">
        <f>'ANALYSE - ERP =&gt; SOUS-SEGMENT'!$HV$29</f>
        <v>1307.7744266666668</v>
      </c>
      <c r="X15" s="427">
        <f>'ANALYSE - ERP =&gt; SOUS-SEGMENT'!$FL$29</f>
        <v>2860.44</v>
      </c>
      <c r="Y15" s="427">
        <f>'ANALYSE - ERP =&gt; SOUS-SEGMENT'!$HQ$29</f>
        <v>143.02200000000002</v>
      </c>
      <c r="Z15" s="427">
        <f>'ANALYSE - ERP =&gt; SOUS-SEGMENT'!$HT$29</f>
        <v>2231.1432</v>
      </c>
      <c r="AA15" s="427">
        <f>'ANALYSE - ERP =&gt; SOUS-SEGMENT'!$HW$29</f>
        <v>486.27480000000003</v>
      </c>
      <c r="AC15" s="430">
        <f>'ANALYSE - ERP =&gt; SOUS-SEGMENT'!$Q$29</f>
        <v>1</v>
      </c>
    </row>
    <row r="16" spans="1:54" ht="15" customHeight="1">
      <c r="A16" s="26">
        <v>13</v>
      </c>
      <c r="B16" s="26">
        <v>14</v>
      </c>
      <c r="C16" s="26">
        <v>19</v>
      </c>
      <c r="D16" s="422">
        <f>'ANALYSE - ERP =&gt; SOUS-SEGMENT'!$A$84</f>
        <v>77</v>
      </c>
      <c r="E16" s="409" t="str">
        <f>'ANALYSE - ERP =&gt; SOUS-SEGMENT'!$B$84</f>
        <v>Tertiaire &amp; Industriel</v>
      </c>
      <c r="F16" s="409" t="str">
        <f>'ANALYSE - ERP =&gt; SOUS-SEGMENT'!$C$84</f>
        <v>Usines &amp; Ateliers</v>
      </c>
      <c r="G16" s="409" t="str">
        <f>'ANALYSE - ERP =&gt; SOUS-SEGMENT'!$D$84</f>
        <v>Usines 
(&gt;50 salariés)
(Hors Ateliers industriels)</v>
      </c>
      <c r="I16" s="427">
        <f t="shared" si="2"/>
        <v>11618.842121857142</v>
      </c>
      <c r="K16" s="787">
        <f t="shared" si="0"/>
        <v>0.77919744729348828</v>
      </c>
      <c r="L16" s="787">
        <f t="shared" si="1"/>
        <v>0.2208025527065117</v>
      </c>
      <c r="N16" s="424">
        <f>'ANALYSE - ERP =&gt; SOUS-SEGMENT'!$FJ$84</f>
        <v>58094.210609285714</v>
      </c>
      <c r="O16" s="427">
        <f>'ANALYSE - ERP =&gt; SOUS-SEGMENT'!$HO$84</f>
        <v>30115.92014285714</v>
      </c>
      <c r="P16" s="427">
        <f>'ANALYSE - ERP =&gt; SOUS-SEGMENT'!$HR$84</f>
        <v>17793.045871428571</v>
      </c>
      <c r="Q16" s="427">
        <f>'ANALYSE - ERP =&gt; SOUS-SEGMENT'!$HU$84</f>
        <v>10185.244595000002</v>
      </c>
      <c r="S16" s="424">
        <f>'ANALYSE - ERP =&gt; SOUS-SEGMENT'!$FK$84</f>
        <v>45266.860609285715</v>
      </c>
      <c r="T16" s="427">
        <f>'ANALYSE - ERP =&gt; SOUS-SEGMENT'!$HP$84</f>
        <v>23830.51864285714</v>
      </c>
      <c r="U16" s="427">
        <f>'ANALYSE - ERP =&gt; SOUS-SEGMENT'!$HS$84</f>
        <v>13431.74687142857</v>
      </c>
      <c r="V16" s="427">
        <f>'ANALYSE - ERP =&gt; SOUS-SEGMENT'!$HV$84</f>
        <v>8004.5950950000015</v>
      </c>
      <c r="X16" s="427">
        <f>'ANALYSE - ERP =&gt; SOUS-SEGMENT'!$FL$84</f>
        <v>12827.35</v>
      </c>
      <c r="Y16" s="427">
        <f>'ANALYSE - ERP =&gt; SOUS-SEGMENT'!$HQ$84</f>
        <v>6285.4014999999999</v>
      </c>
      <c r="Z16" s="427">
        <f>'ANALYSE - ERP =&gt; SOUS-SEGMENT'!$HT$84</f>
        <v>4361.2990000000009</v>
      </c>
      <c r="AA16" s="427">
        <f>'ANALYSE - ERP =&gt; SOUS-SEGMENT'!$HW$84</f>
        <v>2180.6495000000004</v>
      </c>
      <c r="AC16" s="430">
        <f>'ANALYSE - ERP =&gt; SOUS-SEGMENT'!$Q$84</f>
        <v>1</v>
      </c>
    </row>
    <row r="17" spans="1:29" ht="15" customHeight="1">
      <c r="A17" s="26">
        <v>14</v>
      </c>
      <c r="B17" s="26">
        <v>15</v>
      </c>
      <c r="C17" s="26">
        <v>18</v>
      </c>
      <c r="D17" s="422">
        <f>'ANALYSE - ERP =&gt; SOUS-SEGMENT'!$A$27</f>
        <v>20</v>
      </c>
      <c r="E17" s="416" t="str">
        <f>'ANALYSE - ERP =&gt; SOUS-SEGMENT'!$B$27</f>
        <v>Sports &amp; Loisirs</v>
      </c>
      <c r="F17" s="416" t="str">
        <f>'ANALYSE - ERP =&gt; SOUS-SEGMENT'!$C$27</f>
        <v>Sport de plein air</v>
      </c>
      <c r="G17" s="416" t="str">
        <f>'ANALYSE - ERP =&gt; SOUS-SEGMENT'!$D$27</f>
        <v>Terrains de sport
(Hors scolaire, sans tribune)</v>
      </c>
      <c r="I17" s="427">
        <f t="shared" si="2"/>
        <v>19200.362969999998</v>
      </c>
      <c r="K17" s="787">
        <f t="shared" si="0"/>
        <v>0.80076001656962426</v>
      </c>
      <c r="L17" s="787">
        <f t="shared" si="1"/>
        <v>0.19923998343037577</v>
      </c>
      <c r="N17" s="424">
        <f>'ANALYSE - ERP =&gt; SOUS-SEGMENT'!$FJ$27</f>
        <v>96001.814849999995</v>
      </c>
      <c r="O17" s="427">
        <f>'ANALYSE - ERP =&gt; SOUS-SEGMENT'!$HO$27</f>
        <v>22082.31</v>
      </c>
      <c r="P17" s="427">
        <f>'ANALYSE - ERP =&gt; SOUS-SEGMENT'!$HR$27</f>
        <v>49400.209499999997</v>
      </c>
      <c r="Q17" s="427">
        <f>'ANALYSE - ERP =&gt; SOUS-SEGMENT'!$HU$27</f>
        <v>24519.29535</v>
      </c>
      <c r="S17" s="424">
        <f>'ANALYSE - ERP =&gt; SOUS-SEGMENT'!$FK$27</f>
        <v>76874.414850000001</v>
      </c>
      <c r="T17" s="427">
        <f>'ANALYSE - ERP =&gt; SOUS-SEGMENT'!$HP$27</f>
        <v>19213.2</v>
      </c>
      <c r="U17" s="427">
        <f>'ANALYSE - ERP =&gt; SOUS-SEGMENT'!$HS$27</f>
        <v>38306.317499999997</v>
      </c>
      <c r="V17" s="427">
        <f>'ANALYSE - ERP =&gt; SOUS-SEGMENT'!$HV$27</f>
        <v>19354.897349999999</v>
      </c>
      <c r="X17" s="427">
        <f>'ANALYSE - ERP =&gt; SOUS-SEGMENT'!$FL$27</f>
        <v>19127.400000000001</v>
      </c>
      <c r="Y17" s="427">
        <f>'ANALYSE - ERP =&gt; SOUS-SEGMENT'!$HQ$27</f>
        <v>2869.11</v>
      </c>
      <c r="Z17" s="427">
        <f>'ANALYSE - ERP =&gt; SOUS-SEGMENT'!$HT$27</f>
        <v>11093.892</v>
      </c>
      <c r="AA17" s="427">
        <f>'ANALYSE - ERP =&gt; SOUS-SEGMENT'!$HW$27</f>
        <v>5164.398000000001</v>
      </c>
      <c r="AC17" s="430">
        <f>'ANALYSE - ERP =&gt; SOUS-SEGMENT'!$Q$27</f>
        <v>1</v>
      </c>
    </row>
    <row r="18" spans="1:29" ht="15" customHeight="1">
      <c r="A18" s="26">
        <v>15</v>
      </c>
      <c r="B18" s="26">
        <v>13</v>
      </c>
      <c r="C18" s="26">
        <v>24</v>
      </c>
      <c r="D18" s="422">
        <f>'ANALYSE - ERP =&gt; SOUS-SEGMENT'!$A$94</f>
        <v>87</v>
      </c>
      <c r="E18" s="412" t="str">
        <f>'ANALYSE - ERP =&gt; SOUS-SEGMENT'!$B$94</f>
        <v>Hébergement Touristique</v>
      </c>
      <c r="F18" s="412" t="str">
        <f>'ANALYSE - ERP =&gt; SOUS-SEGMENT'!$C$94</f>
        <v>Tourisme de plein air</v>
      </c>
      <c r="G18" s="412" t="str">
        <f>'ANALYSE - ERP =&gt; SOUS-SEGMENT'!$D$94</f>
        <v>Campings</v>
      </c>
      <c r="I18" s="427">
        <f t="shared" si="2"/>
        <v>9347.2441343030314</v>
      </c>
      <c r="K18" s="787">
        <f t="shared" si="0"/>
        <v>0.87075786802587052</v>
      </c>
      <c r="L18" s="787">
        <f t="shared" si="1"/>
        <v>0.12924213197412948</v>
      </c>
      <c r="N18" s="424">
        <f>'ANALYSE - ERP =&gt; SOUS-SEGMENT'!$FJ$94</f>
        <v>46736.220671515155</v>
      </c>
      <c r="O18" s="427">
        <f>'ANALYSE - ERP =&gt; SOUS-SEGMENT'!$HO$94</f>
        <v>31959.365276363638</v>
      </c>
      <c r="P18" s="427">
        <f>'ANALYSE - ERP =&gt; SOUS-SEGMENT'!$HR$94</f>
        <v>9338.3428378181834</v>
      </c>
      <c r="Q18" s="427">
        <f>'ANALYSE - ERP =&gt; SOUS-SEGMENT'!$HU$94</f>
        <v>5438.5125573333335</v>
      </c>
      <c r="S18" s="424">
        <f>'ANALYSE - ERP =&gt; SOUS-SEGMENT'!$FK$94</f>
        <v>40695.931871515153</v>
      </c>
      <c r="T18" s="427">
        <f>'ANALYSE - ERP =&gt; SOUS-SEGMENT'!$HP$94</f>
        <v>28033.177556363637</v>
      </c>
      <c r="U18" s="427">
        <f>'ANALYSE - ERP =&gt; SOUS-SEGMENT'!$HS$94</f>
        <v>8009.4793018181826</v>
      </c>
      <c r="V18" s="427">
        <f>'ANALYSE - ERP =&gt; SOUS-SEGMENT'!$HV$94</f>
        <v>4653.2750133333329</v>
      </c>
      <c r="X18" s="427">
        <f>'ANALYSE - ERP =&gt; SOUS-SEGMENT'!$FL$94</f>
        <v>6040.2888000000003</v>
      </c>
      <c r="Y18" s="427">
        <f>'ANALYSE - ERP =&gt; SOUS-SEGMENT'!$HQ$94</f>
        <v>3926.1877200000004</v>
      </c>
      <c r="Z18" s="427">
        <f>'ANALYSE - ERP =&gt; SOUS-SEGMENT'!$HT$94</f>
        <v>1328.8635360000001</v>
      </c>
      <c r="AA18" s="427">
        <f>'ANALYSE - ERP =&gt; SOUS-SEGMENT'!$HW$94</f>
        <v>785.23754400000007</v>
      </c>
      <c r="AC18" s="430">
        <f>'ANALYSE - ERP =&gt; SOUS-SEGMENT'!$Q$94</f>
        <v>1</v>
      </c>
    </row>
    <row r="19" spans="1:29" ht="15" customHeight="1">
      <c r="A19" s="26">
        <v>16</v>
      </c>
      <c r="B19" s="26">
        <v>16</v>
      </c>
      <c r="C19" s="26">
        <v>17</v>
      </c>
      <c r="D19" s="422">
        <f>'ANALYSE - ERP =&gt; SOUS-SEGMENT'!$A$11</f>
        <v>4</v>
      </c>
      <c r="E19" s="409" t="str">
        <f>'ANALYSE - ERP =&gt; SOUS-SEGMENT'!$B$11</f>
        <v>Enfance, Enseignement, Jeunesse &amp; Formation</v>
      </c>
      <c r="F19" s="409" t="str">
        <f>'ANALYSE - ERP =&gt; SOUS-SEGMENT'!$C$11</f>
        <v>Enseignement scolaire</v>
      </c>
      <c r="G19" s="409" t="str">
        <f>'ANALYSE - ERP =&gt; SOUS-SEGMENT'!$D$11</f>
        <v>Écoles maternelles</v>
      </c>
      <c r="I19" s="427">
        <f t="shared" si="2"/>
        <v>9309.633216000002</v>
      </c>
      <c r="K19" s="787">
        <f t="shared" si="0"/>
        <v>0.78826695378156553</v>
      </c>
      <c r="L19" s="787">
        <f t="shared" si="1"/>
        <v>0.21173304621843433</v>
      </c>
      <c r="N19" s="424">
        <f>'ANALYSE - ERP =&gt; SOUS-SEGMENT'!$FJ$11</f>
        <v>46548.16608000001</v>
      </c>
      <c r="O19" s="427">
        <f>'ANALYSE - ERP =&gt; SOUS-SEGMENT'!$HO$11</f>
        <v>36252.954364000005</v>
      </c>
      <c r="P19" s="427">
        <f>'ANALYSE - ERP =&gt; SOUS-SEGMENT'!$HR$11</f>
        <v>9802.4224660000018</v>
      </c>
      <c r="Q19" s="427">
        <f>'ANALYSE - ERP =&gt; SOUS-SEGMENT'!$HU$11</f>
        <v>492.78925000000004</v>
      </c>
      <c r="S19" s="424">
        <f>'ANALYSE - ERP =&gt; SOUS-SEGMENT'!$FK$11</f>
        <v>36692.381080000006</v>
      </c>
      <c r="T19" s="427">
        <f>'ANALYSE - ERP =&gt; SOUS-SEGMENT'!$HP$11</f>
        <v>29353.904864000007</v>
      </c>
      <c r="U19" s="427">
        <f>'ANALYSE - ERP =&gt; SOUS-SEGMENT'!$HS$11</f>
        <v>7338.4762160000018</v>
      </c>
      <c r="V19" s="427">
        <f>'ANALYSE - ERP =&gt; SOUS-SEGMENT'!$HV$11</f>
        <v>0</v>
      </c>
      <c r="X19" s="427">
        <f>'ANALYSE - ERP =&gt; SOUS-SEGMENT'!$FL$11</f>
        <v>9855.7849999999999</v>
      </c>
      <c r="Y19" s="427">
        <f>'ANALYSE - ERP =&gt; SOUS-SEGMENT'!$HQ$11</f>
        <v>6899.0494999999992</v>
      </c>
      <c r="Z19" s="427">
        <f>'ANALYSE - ERP =&gt; SOUS-SEGMENT'!$HT$11</f>
        <v>2463.94625</v>
      </c>
      <c r="AA19" s="427">
        <f>'ANALYSE - ERP =&gt; SOUS-SEGMENT'!$HW$11</f>
        <v>492.78925000000004</v>
      </c>
      <c r="AC19" s="430">
        <f>'ANALYSE - ERP =&gt; SOUS-SEGMENT'!$Q$11</f>
        <v>1</v>
      </c>
    </row>
    <row r="20" spans="1:29" ht="15" customHeight="1">
      <c r="A20" s="26">
        <v>17</v>
      </c>
      <c r="B20" s="26">
        <v>17</v>
      </c>
      <c r="C20" s="26">
        <v>9</v>
      </c>
      <c r="D20" s="422">
        <f>'ANALYSE - ERP =&gt; SOUS-SEGMENT'!$A$56</f>
        <v>49</v>
      </c>
      <c r="E20" s="411" t="str">
        <f>'ANALYSE - ERP =&gt; SOUS-SEGMENT'!$B$56</f>
        <v>Santé &amp; Médico-social</v>
      </c>
      <c r="F20" s="411" t="str">
        <f>'ANALYSE - ERP =&gt; SOUS-SEGMENT'!$C$56</f>
        <v>Médico-social</v>
      </c>
      <c r="G20" s="411" t="str">
        <f>'ANALYSE - ERP =&gt; SOUS-SEGMENT'!$D$56</f>
        <v>Foyers pour personnes handicapées</v>
      </c>
      <c r="I20" s="427">
        <f t="shared" si="2"/>
        <v>4704.7671098333331</v>
      </c>
      <c r="K20" s="787">
        <f t="shared" si="0"/>
        <v>0.73653871253068037</v>
      </c>
      <c r="L20" s="787">
        <f t="shared" si="1"/>
        <v>0.26346128746931963</v>
      </c>
      <c r="N20" s="424">
        <f>'ANALYSE - ERP =&gt; SOUS-SEGMENT'!$FJ$56</f>
        <v>23523.835549166666</v>
      </c>
      <c r="O20" s="427">
        <f>'ANALYSE - ERP =&gt; SOUS-SEGMENT'!$HO$56</f>
        <v>15472.755956666668</v>
      </c>
      <c r="P20" s="427">
        <f>'ANALYSE - ERP =&gt; SOUS-SEGMENT'!$HR$56</f>
        <v>6384.9190250000011</v>
      </c>
      <c r="Q20" s="427">
        <f>'ANALYSE - ERP =&gt; SOUS-SEGMENT'!$HU$56</f>
        <v>1666.1605674999998</v>
      </c>
      <c r="S20" s="424">
        <f>'ANALYSE - ERP =&gt; SOUS-SEGMENT'!$FK$56</f>
        <v>17326.215549166667</v>
      </c>
      <c r="T20" s="427">
        <f>'ANALYSE - ERP =&gt; SOUS-SEGMENT'!$HP$56</f>
        <v>11320.350556666666</v>
      </c>
      <c r="U20" s="427">
        <f>'ANALYSE - ERP =&gt; SOUS-SEGMENT'!$HS$56</f>
        <v>4742.5497250000008</v>
      </c>
      <c r="V20" s="427">
        <f>'ANALYSE - ERP =&gt; SOUS-SEGMENT'!$HV$56</f>
        <v>1263.3152674999999</v>
      </c>
      <c r="X20" s="427">
        <f>'ANALYSE - ERP =&gt; SOUS-SEGMENT'!$FL$56</f>
        <v>6197.62</v>
      </c>
      <c r="Y20" s="427">
        <f>'ANALYSE - ERP =&gt; SOUS-SEGMENT'!$HQ$56</f>
        <v>4152.4054000000006</v>
      </c>
      <c r="Z20" s="427">
        <f>'ANALYSE - ERP =&gt; SOUS-SEGMENT'!$HT$56</f>
        <v>1642.3693000000001</v>
      </c>
      <c r="AA20" s="427">
        <f>'ANALYSE - ERP =&gt; SOUS-SEGMENT'!$HW$56</f>
        <v>402.84530000000001</v>
      </c>
      <c r="AC20" s="430">
        <f>'ANALYSE - ERP =&gt; SOUS-SEGMENT'!$Q$56</f>
        <v>1</v>
      </c>
    </row>
    <row r="21" spans="1:29" ht="15" customHeight="1">
      <c r="A21" s="26">
        <v>18</v>
      </c>
      <c r="B21" s="26">
        <v>18</v>
      </c>
      <c r="C21" s="26">
        <v>14</v>
      </c>
      <c r="D21" s="422">
        <f>'ANALYSE - ERP =&gt; SOUS-SEGMENT'!$A$13</f>
        <v>6</v>
      </c>
      <c r="E21" s="411" t="str">
        <f>'ANALYSE - ERP =&gt; SOUS-SEGMENT'!$B$13</f>
        <v>Enfance, Enseignement, Jeunesse &amp; Formation</v>
      </c>
      <c r="F21" s="411" t="str">
        <f>'ANALYSE - ERP =&gt; SOUS-SEGMENT'!$C$13</f>
        <v>Enseignement scolaire</v>
      </c>
      <c r="G21" s="411" t="str">
        <f>'ANALYSE - ERP =&gt; SOUS-SEGMENT'!$D$13</f>
        <v>Collèges
(vestiaires EPS inclus)</v>
      </c>
      <c r="I21" s="427">
        <f t="shared" si="2"/>
        <v>9014.8185164400002</v>
      </c>
      <c r="K21" s="787">
        <f t="shared" si="0"/>
        <v>0.73315233849544237</v>
      </c>
      <c r="L21" s="787">
        <f t="shared" si="1"/>
        <v>0.26684766150455769</v>
      </c>
      <c r="N21" s="424">
        <f>'ANALYSE - ERP =&gt; SOUS-SEGMENT'!$FJ$13</f>
        <v>45074.092582199999</v>
      </c>
      <c r="O21" s="427">
        <f>'ANALYSE - ERP =&gt; SOUS-SEGMENT'!$HO$13</f>
        <v>21334.2546711</v>
      </c>
      <c r="P21" s="427">
        <f>'ANALYSE - ERP =&gt; SOUS-SEGMENT'!$HR$13</f>
        <v>20884.73747199</v>
      </c>
      <c r="Q21" s="427">
        <f>'ANALYSE - ERP =&gt; SOUS-SEGMENT'!$HU$13</f>
        <v>2855.10043911</v>
      </c>
      <c r="S21" s="424">
        <f>'ANALYSE - ERP =&gt; SOUS-SEGMENT'!$FK$13</f>
        <v>33046.176382199999</v>
      </c>
      <c r="T21" s="427">
        <f>'ANALYSE - ERP =&gt; SOUS-SEGMENT'!$HP$13</f>
        <v>16523.0881911</v>
      </c>
      <c r="U21" s="427">
        <f>'ANALYSE - ERP =&gt; SOUS-SEGMENT'!$HS$13</f>
        <v>14870.77937199</v>
      </c>
      <c r="V21" s="427">
        <f>'ANALYSE - ERP =&gt; SOUS-SEGMENT'!$HV$13</f>
        <v>1652.3088191100001</v>
      </c>
      <c r="X21" s="427">
        <f>'ANALYSE - ERP =&gt; SOUS-SEGMENT'!$FL$13</f>
        <v>12027.9162</v>
      </c>
      <c r="Y21" s="427">
        <f>'ANALYSE - ERP =&gt; SOUS-SEGMENT'!$HQ$13</f>
        <v>4811.1664799999999</v>
      </c>
      <c r="Z21" s="427">
        <f>'ANALYSE - ERP =&gt; SOUS-SEGMENT'!$HT$13</f>
        <v>6013.9580999999998</v>
      </c>
      <c r="AA21" s="427">
        <f>'ANALYSE - ERP =&gt; SOUS-SEGMENT'!$HW$13</f>
        <v>1202.79162</v>
      </c>
      <c r="AC21" s="430">
        <f>'ANALYSE - ERP =&gt; SOUS-SEGMENT'!$Q$13</f>
        <v>1</v>
      </c>
    </row>
    <row r="22" spans="1:29" ht="15" customHeight="1">
      <c r="A22" s="26">
        <v>19</v>
      </c>
      <c r="B22" s="26">
        <v>19</v>
      </c>
      <c r="C22" s="26">
        <v>16</v>
      </c>
      <c r="D22" s="422">
        <f>'ANALYSE - ERP =&gt; SOUS-SEGMENT'!$A$14</f>
        <v>7</v>
      </c>
      <c r="E22" s="410" t="str">
        <f>'ANALYSE - ERP =&gt; SOUS-SEGMENT'!$B$14</f>
        <v>Enfance, Enseignement, Jeunesse &amp; Formation</v>
      </c>
      <c r="F22" s="410" t="str">
        <f>'ANALYSE - ERP =&gt; SOUS-SEGMENT'!$C$14</f>
        <v>Enseignement scolaire</v>
      </c>
      <c r="G22" s="410" t="str">
        <f>'ANALYSE - ERP =&gt; SOUS-SEGMENT'!$D$14</f>
        <v>Lycées
(vestiaires EPS inclus)</v>
      </c>
      <c r="I22" s="427">
        <f t="shared" si="2"/>
        <v>8498.1711195360003</v>
      </c>
      <c r="K22" s="787">
        <f t="shared" si="0"/>
        <v>0.73117903512812144</v>
      </c>
      <c r="L22" s="787">
        <f t="shared" si="1"/>
        <v>0.26882096487187856</v>
      </c>
      <c r="N22" s="424">
        <f>'ANALYSE - ERP =&gt; SOUS-SEGMENT'!$FJ$14</f>
        <v>42490.855597679998</v>
      </c>
      <c r="O22" s="427">
        <f>'ANALYSE - ERP =&gt; SOUS-SEGMENT'!$HO$14</f>
        <v>20103.18451884</v>
      </c>
      <c r="P22" s="427">
        <f>'ANALYSE - ERP =&gt; SOUS-SEGMENT'!$HR$14</f>
        <v>19692.006658956001</v>
      </c>
      <c r="Q22" s="427">
        <f>'ANALYSE - ERP =&gt; SOUS-SEGMENT'!$HU$14</f>
        <v>2695.6644198840004</v>
      </c>
      <c r="S22" s="424">
        <f>'ANALYSE - ERP =&gt; SOUS-SEGMENT'!$FK$14</f>
        <v>31068.422797679999</v>
      </c>
      <c r="T22" s="427">
        <f>'ANALYSE - ERP =&gt; SOUS-SEGMENT'!$HP$14</f>
        <v>15534.21139884</v>
      </c>
      <c r="U22" s="427">
        <f>'ANALYSE - ERP =&gt; SOUS-SEGMENT'!$HS$14</f>
        <v>13980.790258956</v>
      </c>
      <c r="V22" s="427">
        <f>'ANALYSE - ERP =&gt; SOUS-SEGMENT'!$HV$14</f>
        <v>1553.421139884</v>
      </c>
      <c r="X22" s="427">
        <f>'ANALYSE - ERP =&gt; SOUS-SEGMENT'!$FL$14</f>
        <v>11422.4328</v>
      </c>
      <c r="Y22" s="427">
        <f>'ANALYSE - ERP =&gt; SOUS-SEGMENT'!$HQ$14</f>
        <v>4568.9731200000006</v>
      </c>
      <c r="Z22" s="427">
        <f>'ANALYSE - ERP =&gt; SOUS-SEGMENT'!$HT$14</f>
        <v>5711.2164000000002</v>
      </c>
      <c r="AA22" s="427">
        <f>'ANALYSE - ERP =&gt; SOUS-SEGMENT'!$HW$14</f>
        <v>1142.2432800000001</v>
      </c>
      <c r="AC22" s="430">
        <f>'ANALYSE - ERP =&gt; SOUS-SEGMENT'!$Q$14</f>
        <v>1</v>
      </c>
    </row>
    <row r="23" spans="1:29" ht="15" customHeight="1">
      <c r="A23" s="26">
        <v>20</v>
      </c>
      <c r="B23" s="26">
        <v>28</v>
      </c>
      <c r="C23" s="26">
        <v>10</v>
      </c>
      <c r="D23" s="422">
        <f>'ANALYSE - ERP =&gt; SOUS-SEGMENT'!$A$8</f>
        <v>1</v>
      </c>
      <c r="E23" s="410" t="str">
        <f>'ANALYSE - ERP =&gt; SOUS-SEGMENT'!$B$8</f>
        <v>Enfance, Enseignement, Jeunesse &amp; Formation</v>
      </c>
      <c r="F23" s="410" t="str">
        <f>'ANALYSE - ERP =&gt; SOUS-SEGMENT'!$C$8</f>
        <v>Petite enfance</v>
      </c>
      <c r="G23" s="410" t="str">
        <f>'ANALYSE - ERP =&gt; SOUS-SEGMENT'!$D$8</f>
        <v>Crèches</v>
      </c>
      <c r="I23" s="427">
        <f t="shared" si="2"/>
        <v>5387.9408318400001</v>
      </c>
      <c r="K23" s="787">
        <f t="shared" si="0"/>
        <v>0.80146255250641063</v>
      </c>
      <c r="L23" s="787">
        <f t="shared" si="1"/>
        <v>0.19853744749358931</v>
      </c>
      <c r="N23" s="424">
        <f>'ANALYSE - ERP =&gt; SOUS-SEGMENT'!$FJ$8</f>
        <v>26939.704159200002</v>
      </c>
      <c r="O23" s="427">
        <f>'ANALYSE - ERP =&gt; SOUS-SEGMENT'!$HO$8</f>
        <v>22631.321530320001</v>
      </c>
      <c r="P23" s="427">
        <f>'ANALYSE - ERP =&gt; SOUS-SEGMENT'!$HR$8</f>
        <v>4201.4118268800003</v>
      </c>
      <c r="Q23" s="427">
        <f>'ANALYSE - ERP =&gt; SOUS-SEGMENT'!$HU$8</f>
        <v>106.97080200000001</v>
      </c>
      <c r="S23" s="424">
        <f>'ANALYSE - ERP =&gt; SOUS-SEGMENT'!$FK$8</f>
        <v>21591.1640592</v>
      </c>
      <c r="T23" s="427">
        <f>'ANALYSE - ERP =&gt; SOUS-SEGMENT'!$HP$8</f>
        <v>18352.489450320001</v>
      </c>
      <c r="U23" s="427">
        <f>'ANALYSE - ERP =&gt; SOUS-SEGMENT'!$HS$8</f>
        <v>3238.6746088800001</v>
      </c>
      <c r="V23" s="427">
        <f>'ANALYSE - ERP =&gt; SOUS-SEGMENT'!$HV$8</f>
        <v>0</v>
      </c>
      <c r="X23" s="427">
        <f>'ANALYSE - ERP =&gt; SOUS-SEGMENT'!$FL$8</f>
        <v>5348.5401000000002</v>
      </c>
      <c r="Y23" s="427">
        <f>'ANALYSE - ERP =&gt; SOUS-SEGMENT'!$HQ$8</f>
        <v>4278.8320800000001</v>
      </c>
      <c r="Z23" s="427">
        <f>'ANALYSE - ERP =&gt; SOUS-SEGMENT'!$HT$8</f>
        <v>962.73721799999998</v>
      </c>
      <c r="AA23" s="427">
        <f>'ANALYSE - ERP =&gt; SOUS-SEGMENT'!$HW$8</f>
        <v>106.97080200000001</v>
      </c>
      <c r="AC23" s="430">
        <f>'ANALYSE - ERP =&gt; SOUS-SEGMENT'!$Q$8</f>
        <v>1</v>
      </c>
    </row>
    <row r="24" spans="1:29" ht="15" customHeight="1">
      <c r="A24" s="26">
        <v>21</v>
      </c>
      <c r="B24" s="26">
        <v>20</v>
      </c>
      <c r="C24" s="26">
        <v>23</v>
      </c>
      <c r="D24" s="422">
        <f>'ANALYSE - ERP =&gt; SOUS-SEGMENT'!$A$79</f>
        <v>72</v>
      </c>
      <c r="E24" s="411" t="str">
        <f>'ANALYSE - ERP =&gt; SOUS-SEGMENT'!$B$79</f>
        <v>Commerce, Restauration &amp; Loisirs</v>
      </c>
      <c r="F24" s="411" t="str">
        <f>'ANALYSE - ERP =&gt; SOUS-SEGMENT'!$C$79</f>
        <v>Commerce</v>
      </c>
      <c r="G24" s="411" t="str">
        <f>'ANALYSE - ERP =&gt; SOUS-SEGMENT'!$D$79</f>
        <v>Centres commerciaux / Malls
(dotés de sanitaires collectifs clients)</v>
      </c>
      <c r="I24" s="427">
        <f t="shared" si="2"/>
        <v>5306.5732156249996</v>
      </c>
      <c r="K24" s="787">
        <f t="shared" si="0"/>
        <v>0.83978361073081609</v>
      </c>
      <c r="L24" s="787">
        <f t="shared" si="1"/>
        <v>0.16021638926918391</v>
      </c>
      <c r="N24" s="424">
        <f>'ANALYSE - ERP =&gt; SOUS-SEGMENT'!$FJ$79</f>
        <v>26532.866078125</v>
      </c>
      <c r="O24" s="427">
        <f>'ANALYSE - ERP =&gt; SOUS-SEGMENT'!$HO$79</f>
        <v>11392.650343750001</v>
      </c>
      <c r="P24" s="427">
        <f>'ANALYSE - ERP =&gt; SOUS-SEGMENT'!$HR$79</f>
        <v>9016.6196249999994</v>
      </c>
      <c r="Q24" s="427">
        <f>'ANALYSE - ERP =&gt; SOUS-SEGMENT'!$HU$79</f>
        <v>6123.5961093749993</v>
      </c>
      <c r="S24" s="424">
        <f>'ANALYSE - ERP =&gt; SOUS-SEGMENT'!$FK$79</f>
        <v>22281.866078125</v>
      </c>
      <c r="T24" s="427">
        <f>'ANALYSE - ERP =&gt; SOUS-SEGMENT'!$HP$79</f>
        <v>9607.2303437500013</v>
      </c>
      <c r="U24" s="427">
        <f>'ANALYSE - ERP =&gt; SOUS-SEGMENT'!$HS$79</f>
        <v>7358.729624999999</v>
      </c>
      <c r="V24" s="427">
        <f>'ANALYSE - ERP =&gt; SOUS-SEGMENT'!$HV$79</f>
        <v>5315.9061093749997</v>
      </c>
      <c r="X24" s="427">
        <f>'ANALYSE - ERP =&gt; SOUS-SEGMENT'!$FL$79</f>
        <v>4251</v>
      </c>
      <c r="Y24" s="427">
        <f>'ANALYSE - ERP =&gt; SOUS-SEGMENT'!$HQ$79</f>
        <v>1785.4199999999998</v>
      </c>
      <c r="Z24" s="427">
        <f>'ANALYSE - ERP =&gt; SOUS-SEGMENT'!$HT$79</f>
        <v>1657.89</v>
      </c>
      <c r="AA24" s="427">
        <f>'ANALYSE - ERP =&gt; SOUS-SEGMENT'!$HW$79</f>
        <v>807.69</v>
      </c>
      <c r="AC24" s="430">
        <f>'ANALYSE - ERP =&gt; SOUS-SEGMENT'!$Q$79</f>
        <v>1</v>
      </c>
    </row>
    <row r="25" spans="1:29" ht="15" customHeight="1">
      <c r="A25" s="26">
        <v>22</v>
      </c>
      <c r="B25" s="26">
        <v>21</v>
      </c>
      <c r="C25" s="26">
        <v>25</v>
      </c>
      <c r="D25" s="422">
        <f>'ANALYSE - ERP =&gt; SOUS-SEGMENT'!$A$125</f>
        <v>118</v>
      </c>
      <c r="E25" s="408" t="str">
        <f>'ANALYSE - ERP =&gt; SOUS-SEGMENT'!$B$125</f>
        <v>Transport, Mobilité &amp; Stationnement</v>
      </c>
      <c r="F25" s="408" t="str">
        <f>'ANALYSE - ERP =&gt; SOUS-SEGMENT'!$C$125</f>
        <v>Transport / Mobilité</v>
      </c>
      <c r="G25" s="408" t="str">
        <f>'ANALYSE - ERP =&gt; SOUS-SEGMENT'!$D$125</f>
        <v>Gares ferroviaires et stations
(dotés de sanitaires)</v>
      </c>
      <c r="I25" s="427">
        <f t="shared" si="2"/>
        <v>2517.7622000000001</v>
      </c>
      <c r="K25" s="787">
        <f t="shared" si="0"/>
        <v>0.76750703461987002</v>
      </c>
      <c r="L25" s="787">
        <f t="shared" si="1"/>
        <v>0.23249296538013003</v>
      </c>
      <c r="N25" s="424">
        <f>'ANALYSE - ERP =&gt; SOUS-SEGMENT'!$FJ$125</f>
        <v>12588.811</v>
      </c>
      <c r="O25" s="427">
        <f>'ANALYSE - ERP =&gt; SOUS-SEGMENT'!$HO$125</f>
        <v>2856.5809999999997</v>
      </c>
      <c r="P25" s="427">
        <f>'ANALYSE - ERP =&gt; SOUS-SEGMENT'!$HR$125</f>
        <v>6458.5358000000006</v>
      </c>
      <c r="Q25" s="427">
        <f>'ANALYSE - ERP =&gt; SOUS-SEGMENT'!$HU$125</f>
        <v>3273.6942000000004</v>
      </c>
      <c r="S25" s="424">
        <f>'ANALYSE - ERP =&gt; SOUS-SEGMENT'!$FK$125</f>
        <v>9662.0010000000002</v>
      </c>
      <c r="T25" s="427">
        <f>'ANALYSE - ERP =&gt; SOUS-SEGMENT'!$HP$125</f>
        <v>2417.5594999999998</v>
      </c>
      <c r="U25" s="427">
        <f>'ANALYSE - ERP =&gt; SOUS-SEGMENT'!$HS$125</f>
        <v>4760.9860000000008</v>
      </c>
      <c r="V25" s="427">
        <f>'ANALYSE - ERP =&gt; SOUS-SEGMENT'!$HV$125</f>
        <v>2483.4555000000005</v>
      </c>
      <c r="X25" s="427">
        <f>'ANALYSE - ERP =&gt; SOUS-SEGMENT'!$FL$125</f>
        <v>2926.81</v>
      </c>
      <c r="Y25" s="427">
        <f>'ANALYSE - ERP =&gt; SOUS-SEGMENT'!$HQ$125</f>
        <v>439.0215</v>
      </c>
      <c r="Z25" s="427">
        <f>'ANALYSE - ERP =&gt; SOUS-SEGMENT'!$HT$125</f>
        <v>1697.5497999999998</v>
      </c>
      <c r="AA25" s="427">
        <f>'ANALYSE - ERP =&gt; SOUS-SEGMENT'!$HW$125</f>
        <v>790.23869999999999</v>
      </c>
      <c r="AC25" s="430">
        <f>'ANALYSE - ERP =&gt; SOUS-SEGMENT'!$Q$125</f>
        <v>1</v>
      </c>
    </row>
    <row r="26" spans="1:29" ht="15" customHeight="1">
      <c r="A26" s="26">
        <v>23</v>
      </c>
      <c r="B26" s="26">
        <v>23</v>
      </c>
      <c r="C26" s="26">
        <v>20</v>
      </c>
      <c r="D26" s="422">
        <f>'ANALYSE - ERP =&gt; SOUS-SEGMENT'!$A$22</f>
        <v>15</v>
      </c>
      <c r="E26" s="413" t="str">
        <f>'ANALYSE - ERP =&gt; SOUS-SEGMENT'!$B$22</f>
        <v>Sports &amp; Loisirs</v>
      </c>
      <c r="F26" s="413" t="str">
        <f>'ANALYSE - ERP =&gt; SOUS-SEGMENT'!$C$22</f>
        <v>Sport couvert / Thermalisme / Bien-être</v>
      </c>
      <c r="G26" s="413" t="str">
        <f>'ANALYSE - ERP =&gt; SOUS-SEGMENT'!$D$22</f>
        <v>Salles de fitness / dojos</v>
      </c>
      <c r="I26" s="427">
        <f t="shared" si="2"/>
        <v>6357.2962666666672</v>
      </c>
      <c r="K26" s="787">
        <f t="shared" si="0"/>
        <v>0.76226289658316382</v>
      </c>
      <c r="L26" s="787">
        <f t="shared" si="1"/>
        <v>0.23773710341683618</v>
      </c>
      <c r="N26" s="424">
        <f>'ANALYSE - ERP =&gt; SOUS-SEGMENT'!$FJ$22</f>
        <v>31786.481333333337</v>
      </c>
      <c r="O26" s="427">
        <f>'ANALYSE - ERP =&gt; SOUS-SEGMENT'!$HO$22</f>
        <v>15031.230300000001</v>
      </c>
      <c r="P26" s="427">
        <f>'ANALYSE - ERP =&gt; SOUS-SEGMENT'!$HR$22</f>
        <v>10963.968913333334</v>
      </c>
      <c r="Q26" s="427">
        <f>'ANALYSE - ERP =&gt; SOUS-SEGMENT'!$HU$22</f>
        <v>5791.2821199999998</v>
      </c>
      <c r="S26" s="424">
        <f>'ANALYSE - ERP =&gt; SOUS-SEGMENT'!$FK$22</f>
        <v>24229.655333333336</v>
      </c>
      <c r="T26" s="427">
        <f>'ANALYSE - ERP =&gt; SOUS-SEGMENT'!$HP$22</f>
        <v>12386.341200000001</v>
      </c>
      <c r="U26" s="427">
        <f>'ANALYSE - ERP =&gt; SOUS-SEGMENT'!$HS$22</f>
        <v>7714.5337333333346</v>
      </c>
      <c r="V26" s="427">
        <f>'ANALYSE - ERP =&gt; SOUS-SEGMENT'!$HV$22</f>
        <v>4128.7803999999996</v>
      </c>
      <c r="X26" s="427">
        <f>'ANALYSE - ERP =&gt; SOUS-SEGMENT'!$FL$22</f>
        <v>7556.826</v>
      </c>
      <c r="Y26" s="427">
        <f>'ANALYSE - ERP =&gt; SOUS-SEGMENT'!$HQ$22</f>
        <v>2644.8890999999999</v>
      </c>
      <c r="Z26" s="427">
        <f>'ANALYSE - ERP =&gt; SOUS-SEGMENT'!$HT$22</f>
        <v>3249.4351799999999</v>
      </c>
      <c r="AA26" s="427">
        <f>'ANALYSE - ERP =&gt; SOUS-SEGMENT'!$HW$22</f>
        <v>1662.50172</v>
      </c>
      <c r="AC26" s="430">
        <f>'ANALYSE - ERP =&gt; SOUS-SEGMENT'!$Q$22</f>
        <v>1</v>
      </c>
    </row>
    <row r="27" spans="1:29" ht="15" customHeight="1">
      <c r="A27" s="26">
        <v>24</v>
      </c>
      <c r="B27" s="26">
        <v>22</v>
      </c>
      <c r="C27" s="26">
        <v>28</v>
      </c>
      <c r="D27" s="422">
        <f>'ANALYSE - ERP =&gt; SOUS-SEGMENT'!$A$87</f>
        <v>80</v>
      </c>
      <c r="E27" s="411" t="str">
        <f>'ANALYSE - ERP =&gt; SOUS-SEGMENT'!$B$87</f>
        <v>Hébergement Touristique</v>
      </c>
      <c r="F27" s="411" t="str">
        <f>'ANALYSE - ERP =&gt; SOUS-SEGMENT'!$C$87</f>
        <v>Hébergement Touristique</v>
      </c>
      <c r="G27" s="411" t="str">
        <f>'ANALYSE - ERP =&gt; SOUS-SEGMENT'!$D$87</f>
        <v>Hôtels 
(hors autres hébérgements touristiques)</v>
      </c>
      <c r="I27" s="427">
        <f t="shared" si="2"/>
        <v>4791.5859817179489</v>
      </c>
      <c r="K27" s="787">
        <f t="shared" si="0"/>
        <v>0.8643435592139892</v>
      </c>
      <c r="L27" s="787">
        <f t="shared" si="1"/>
        <v>0.13565644078601072</v>
      </c>
      <c r="N27" s="424">
        <f>'ANALYSE - ERP =&gt; SOUS-SEGMENT'!$FJ$87</f>
        <v>23957.929908589744</v>
      </c>
      <c r="O27" s="427">
        <f>'ANALYSE - ERP =&gt; SOUS-SEGMENT'!$HO$87</f>
        <v>13998.708798846155</v>
      </c>
      <c r="P27" s="427">
        <f>'ANALYSE - ERP =&gt; SOUS-SEGMENT'!$HR$87</f>
        <v>8358.2079430769227</v>
      </c>
      <c r="Q27" s="427">
        <f>'ANALYSE - ERP =&gt; SOUS-SEGMENT'!$HU$87</f>
        <v>1601.0131666666666</v>
      </c>
      <c r="S27" s="424">
        <f>'ANALYSE - ERP =&gt; SOUS-SEGMENT'!$FK$87</f>
        <v>20707.882408589743</v>
      </c>
      <c r="T27" s="427">
        <f>'ANALYSE - ERP =&gt; SOUS-SEGMENT'!$HP$87</f>
        <v>12211.182673846155</v>
      </c>
      <c r="U27" s="427">
        <f>'ANALYSE - ERP =&gt; SOUS-SEGMENT'!$HS$87</f>
        <v>7123.189893076923</v>
      </c>
      <c r="V27" s="427">
        <f>'ANALYSE - ERP =&gt; SOUS-SEGMENT'!$HV$87</f>
        <v>1373.5098416666667</v>
      </c>
      <c r="X27" s="427">
        <f>'ANALYSE - ERP =&gt; SOUS-SEGMENT'!$FL$87</f>
        <v>3250.0474999999997</v>
      </c>
      <c r="Y27" s="427">
        <f>'ANALYSE - ERP =&gt; SOUS-SEGMENT'!$HQ$87</f>
        <v>1787.5261249999999</v>
      </c>
      <c r="Z27" s="427">
        <f>'ANALYSE - ERP =&gt; SOUS-SEGMENT'!$HT$87</f>
        <v>1235.0180499999999</v>
      </c>
      <c r="AA27" s="427">
        <f>'ANALYSE - ERP =&gt; SOUS-SEGMENT'!$HW$87</f>
        <v>227.50332499999999</v>
      </c>
      <c r="AC27" s="430">
        <f>'ANALYSE - ERP =&gt; SOUS-SEGMENT'!$Q$87</f>
        <v>1</v>
      </c>
    </row>
    <row r="28" spans="1:29" ht="15" customHeight="1">
      <c r="A28" s="26">
        <v>25</v>
      </c>
      <c r="B28" s="26">
        <v>25</v>
      </c>
      <c r="C28" s="26">
        <v>27</v>
      </c>
      <c r="D28" s="422">
        <f>'ANALYSE - ERP =&gt; SOUS-SEGMENT'!$A$52</f>
        <v>45</v>
      </c>
      <c r="E28" s="409" t="str">
        <f>'ANALYSE - ERP =&gt; SOUS-SEGMENT'!$B$52</f>
        <v>Santé &amp; Médico-social</v>
      </c>
      <c r="F28" s="409" t="str">
        <f>'ANALYSE - ERP =&gt; SOUS-SEGMENT'!$C$52</f>
        <v>Médico-social</v>
      </c>
      <c r="G28" s="409" t="str">
        <f>'ANALYSE - ERP =&gt; SOUS-SEGMENT'!$D$52</f>
        <v>Établissements Médico-éducatifs</v>
      </c>
      <c r="I28" s="427">
        <f t="shared" si="2"/>
        <v>2804.6637840000003</v>
      </c>
      <c r="K28" s="787">
        <f t="shared" si="0"/>
        <v>0.76383978579587208</v>
      </c>
      <c r="L28" s="787">
        <f t="shared" si="1"/>
        <v>0.23616021420412792</v>
      </c>
      <c r="N28" s="424">
        <f>'ANALYSE - ERP =&gt; SOUS-SEGMENT'!$FJ$52</f>
        <v>14023.318920000002</v>
      </c>
      <c r="O28" s="427">
        <f>'ANALYSE - ERP =&gt; SOUS-SEGMENT'!$HO$52</f>
        <v>9716.970744000002</v>
      </c>
      <c r="P28" s="427">
        <f>'ANALYSE - ERP =&gt; SOUS-SEGMENT'!$HR$52</f>
        <v>4256.671926</v>
      </c>
      <c r="Q28" s="427">
        <f>'ANALYSE - ERP =&gt; SOUS-SEGMENT'!$HU$52</f>
        <v>49.676249999999996</v>
      </c>
      <c r="S28" s="424">
        <f>'ANALYSE - ERP =&gt; SOUS-SEGMENT'!$FK$52</f>
        <v>10711.568920000002</v>
      </c>
      <c r="T28" s="427">
        <f>'ANALYSE - ERP =&gt; SOUS-SEGMENT'!$HP$52</f>
        <v>7498.0982440000016</v>
      </c>
      <c r="U28" s="427">
        <f>'ANALYSE - ERP =&gt; SOUS-SEGMENT'!$HS$52</f>
        <v>3213.4706759999999</v>
      </c>
      <c r="V28" s="427">
        <f>'ANALYSE - ERP =&gt; SOUS-SEGMENT'!$HV$52</f>
        <v>0</v>
      </c>
      <c r="X28" s="427">
        <f>'ANALYSE - ERP =&gt; SOUS-SEGMENT'!$FL$52</f>
        <v>3311.75</v>
      </c>
      <c r="Y28" s="427">
        <f>'ANALYSE - ERP =&gt; SOUS-SEGMENT'!$HQ$52</f>
        <v>2218.8724999999999</v>
      </c>
      <c r="Z28" s="427">
        <f>'ANALYSE - ERP =&gt; SOUS-SEGMENT'!$HT$52</f>
        <v>1043.2012500000001</v>
      </c>
      <c r="AA28" s="427">
        <f>'ANALYSE - ERP =&gt; SOUS-SEGMENT'!$HW$52</f>
        <v>49.676249999999996</v>
      </c>
      <c r="AC28" s="430">
        <f>'ANALYSE - ERP =&gt; SOUS-SEGMENT'!$Q$52</f>
        <v>1</v>
      </c>
    </row>
    <row r="29" spans="1:29" ht="15" customHeight="1">
      <c r="A29" s="26">
        <v>26</v>
      </c>
      <c r="B29" s="26">
        <v>27</v>
      </c>
      <c r="C29" s="26">
        <v>29</v>
      </c>
      <c r="D29" s="422">
        <f>'ANALYSE - ERP =&gt; SOUS-SEGMENT'!$A$24</f>
        <v>17</v>
      </c>
      <c r="E29" s="414" t="str">
        <f>'ANALYSE - ERP =&gt; SOUS-SEGMENT'!$B$24</f>
        <v>Sports &amp; Loisirs</v>
      </c>
      <c r="F29" s="414" t="str">
        <f>'ANALYSE - ERP =&gt; SOUS-SEGMENT'!$C$24</f>
        <v>Sport couvert / Thermalisme / Bien-être</v>
      </c>
      <c r="G29" s="414" t="str">
        <f>'ANALYSE - ERP =&gt; SOUS-SEGMENT'!$D$24</f>
        <v>Piscines couvertes</v>
      </c>
      <c r="I29" s="427">
        <f t="shared" si="2"/>
        <v>4933.2831487999993</v>
      </c>
      <c r="K29" s="787">
        <f t="shared" si="0"/>
        <v>0.83458739841468554</v>
      </c>
      <c r="L29" s="787">
        <f t="shared" si="1"/>
        <v>0.16541260158531448</v>
      </c>
      <c r="N29" s="424">
        <f>'ANALYSE - ERP =&gt; SOUS-SEGMENT'!$FJ$24</f>
        <v>24666.415743999998</v>
      </c>
      <c r="O29" s="427">
        <f>'ANALYSE - ERP =&gt; SOUS-SEGMENT'!$HO$24</f>
        <v>6621.0835377777767</v>
      </c>
      <c r="P29" s="427">
        <f>'ANALYSE - ERP =&gt; SOUS-SEGMENT'!$HR$24</f>
        <v>12136.444975999999</v>
      </c>
      <c r="Q29" s="427">
        <f>'ANALYSE - ERP =&gt; SOUS-SEGMENT'!$HU$24</f>
        <v>5908.8872302222226</v>
      </c>
      <c r="S29" s="424">
        <f>'ANALYSE - ERP =&gt; SOUS-SEGMENT'!$FK$24</f>
        <v>20586.279743999999</v>
      </c>
      <c r="T29" s="427">
        <f>'ANALYSE - ERP =&gt; SOUS-SEGMENT'!$HP$24</f>
        <v>6009.0631377777763</v>
      </c>
      <c r="U29" s="427">
        <f>'ANALYSE - ERP =&gt; SOUS-SEGMENT'!$HS$24</f>
        <v>9769.9660960000001</v>
      </c>
      <c r="V29" s="427">
        <f>'ANALYSE - ERP =&gt; SOUS-SEGMENT'!$HV$24</f>
        <v>4807.2505102222231</v>
      </c>
      <c r="X29" s="427">
        <f>'ANALYSE - ERP =&gt; SOUS-SEGMENT'!$FL$24</f>
        <v>4080.136</v>
      </c>
      <c r="Y29" s="427">
        <f>'ANALYSE - ERP =&gt; SOUS-SEGMENT'!$HQ$24</f>
        <v>612.0204</v>
      </c>
      <c r="Z29" s="427">
        <f>'ANALYSE - ERP =&gt; SOUS-SEGMENT'!$HT$24</f>
        <v>2366.4788799999997</v>
      </c>
      <c r="AA29" s="427">
        <f>'ANALYSE - ERP =&gt; SOUS-SEGMENT'!$HW$24</f>
        <v>1101.63672</v>
      </c>
      <c r="AC29" s="430">
        <f>'ANALYSE - ERP =&gt; SOUS-SEGMENT'!$Q$24</f>
        <v>1</v>
      </c>
    </row>
    <row r="30" spans="1:29" ht="15" customHeight="1">
      <c r="A30" s="26">
        <v>27</v>
      </c>
      <c r="B30" s="26">
        <v>26</v>
      </c>
      <c r="C30" s="26">
        <v>31</v>
      </c>
      <c r="D30" s="422">
        <f>'ANALYSE - ERP =&gt; SOUS-SEGMENT'!$A$46</f>
        <v>39</v>
      </c>
      <c r="E30" s="411" t="str">
        <f>'ANALYSE - ERP =&gt; SOUS-SEGMENT'!$B$46</f>
        <v>Santé &amp; Médico-social</v>
      </c>
      <c r="F30" s="411" t="str">
        <f>'ANALYSE - ERP =&gt; SOUS-SEGMENT'!$C$46</f>
        <v>Santé hospitalière</v>
      </c>
      <c r="G30" s="411" t="str">
        <f>'ANALYSE - ERP =&gt; SOUS-SEGMENT'!$D$46</f>
        <v>Cliniques</v>
      </c>
      <c r="I30" s="427">
        <f t="shared" si="2"/>
        <v>5639.4920006000002</v>
      </c>
      <c r="K30" s="787">
        <f t="shared" si="0"/>
        <v>0.82333552385675846</v>
      </c>
      <c r="L30" s="787">
        <f t="shared" si="1"/>
        <v>0.17666447614324149</v>
      </c>
      <c r="N30" s="424">
        <f>'ANALYSE - ERP =&gt; SOUS-SEGMENT'!$FJ$46</f>
        <v>28197.460003</v>
      </c>
      <c r="O30" s="427">
        <f>'ANALYSE - ERP =&gt; SOUS-SEGMENT'!$HO$46</f>
        <v>20412.246602499999</v>
      </c>
      <c r="P30" s="427">
        <f>'ANALYSE - ERP =&gt; SOUS-SEGMENT'!$HR$46</f>
        <v>4231.8940054999994</v>
      </c>
      <c r="Q30" s="427">
        <f>'ANALYSE - ERP =&gt; SOUS-SEGMENT'!$HU$46</f>
        <v>3553.3193950000004</v>
      </c>
      <c r="S30" s="424">
        <f>'ANALYSE - ERP =&gt; SOUS-SEGMENT'!$FK$46</f>
        <v>23215.970503</v>
      </c>
      <c r="T30" s="427">
        <f>'ANALYSE - ERP =&gt; SOUS-SEGMENT'!$HP$46</f>
        <v>16925.2039525</v>
      </c>
      <c r="U30" s="427">
        <f>'ANALYSE - ERP =&gt; SOUS-SEGMENT'!$HS$46</f>
        <v>3385.0407904999993</v>
      </c>
      <c r="V30" s="427">
        <f>'ANALYSE - ERP =&gt; SOUS-SEGMENT'!$HV$46</f>
        <v>2905.7257600000003</v>
      </c>
      <c r="X30" s="427">
        <f>'ANALYSE - ERP =&gt; SOUS-SEGMENT'!$FL$46</f>
        <v>4981.4894999999997</v>
      </c>
      <c r="Y30" s="427">
        <f>'ANALYSE - ERP =&gt; SOUS-SEGMENT'!$HQ$46</f>
        <v>3487.0426499999994</v>
      </c>
      <c r="Z30" s="427">
        <f>'ANALYSE - ERP =&gt; SOUS-SEGMENT'!$HT$46</f>
        <v>846.85321499999998</v>
      </c>
      <c r="AA30" s="427">
        <f>'ANALYSE - ERP =&gt; SOUS-SEGMENT'!$HW$46</f>
        <v>647.59363499999995</v>
      </c>
      <c r="AC30" s="430">
        <f>'ANALYSE - ERP =&gt; SOUS-SEGMENT'!$Q$46</f>
        <v>1</v>
      </c>
    </row>
    <row r="31" spans="1:29" ht="15" customHeight="1">
      <c r="A31" s="26">
        <v>28</v>
      </c>
      <c r="B31" s="26">
        <v>24</v>
      </c>
      <c r="C31" s="26">
        <v>32</v>
      </c>
      <c r="D31" s="422">
        <f>'ANALYSE - ERP =&gt; SOUS-SEGMENT'!$A$68</f>
        <v>61</v>
      </c>
      <c r="E31" s="409" t="str">
        <f>'ANALYSE - ERP =&gt; SOUS-SEGMENT'!$B$68</f>
        <v>Culture, Patrimoine &amp; Evénementiel</v>
      </c>
      <c r="F31" s="409" t="str">
        <f>'ANALYSE - ERP =&gt; SOUS-SEGMENT'!$C$68</f>
        <v>Culture / spectacle</v>
      </c>
      <c r="G31" s="409" t="str">
        <f>'ANALYSE - ERP =&gt; SOUS-SEGMENT'!$D$68</f>
        <v>Bibliothèques / Médiathèques</v>
      </c>
      <c r="I31" s="427">
        <f t="shared" si="2"/>
        <v>5337.3229435897429</v>
      </c>
      <c r="K31" s="787">
        <f t="shared" si="0"/>
        <v>0.84777986856205323</v>
      </c>
      <c r="L31" s="787">
        <f t="shared" si="1"/>
        <v>0.15222013143794683</v>
      </c>
      <c r="N31" s="424">
        <f>'ANALYSE - ERP =&gt; SOUS-SEGMENT'!$FJ$68</f>
        <v>26686.614717948716</v>
      </c>
      <c r="O31" s="427">
        <f>'ANALYSE - ERP =&gt; SOUS-SEGMENT'!$HO$68</f>
        <v>12996.536133333331</v>
      </c>
      <c r="P31" s="427">
        <f>'ANALYSE - ERP =&gt; SOUS-SEGMENT'!$HR$68</f>
        <v>8847.9129846153846</v>
      </c>
      <c r="Q31" s="427">
        <f>'ANALYSE - ERP =&gt; SOUS-SEGMENT'!$HU$68</f>
        <v>4842.1656000000003</v>
      </c>
      <c r="S31" s="424">
        <f>'ANALYSE - ERP =&gt; SOUS-SEGMENT'!$FK$68</f>
        <v>22624.374717948718</v>
      </c>
      <c r="T31" s="427">
        <f>'ANALYSE - ERP =&gt; SOUS-SEGMENT'!$HP$68</f>
        <v>11290.395333333332</v>
      </c>
      <c r="U31" s="427">
        <f>'ANALYSE - ERP =&gt; SOUS-SEGMENT'!$HS$68</f>
        <v>7304.2617846153853</v>
      </c>
      <c r="V31" s="427">
        <f>'ANALYSE - ERP =&gt; SOUS-SEGMENT'!$HV$68</f>
        <v>4029.7175999999999</v>
      </c>
      <c r="X31" s="427">
        <f>'ANALYSE - ERP =&gt; SOUS-SEGMENT'!$FL$68</f>
        <v>4062.24</v>
      </c>
      <c r="Y31" s="427">
        <f>'ANALYSE - ERP =&gt; SOUS-SEGMENT'!$HQ$68</f>
        <v>1706.1407999999999</v>
      </c>
      <c r="Z31" s="427">
        <f>'ANALYSE - ERP =&gt; SOUS-SEGMENT'!$HT$68</f>
        <v>1543.6512</v>
      </c>
      <c r="AA31" s="427">
        <f>'ANALYSE - ERP =&gt; SOUS-SEGMENT'!$HW$68</f>
        <v>812.44799999999998</v>
      </c>
      <c r="AC31" s="430">
        <f>'ANALYSE - ERP =&gt; SOUS-SEGMENT'!$Q$68</f>
        <v>1</v>
      </c>
    </row>
    <row r="32" spans="1:29" ht="15" customHeight="1">
      <c r="A32" s="26">
        <v>29</v>
      </c>
      <c r="B32" s="26">
        <v>31</v>
      </c>
      <c r="C32" s="26">
        <v>13</v>
      </c>
      <c r="D32" s="422">
        <f>'ANALYSE - ERP =&gt; SOUS-SEGMENT'!$A$19</f>
        <v>12</v>
      </c>
      <c r="E32" s="412" t="str">
        <f>'ANALYSE - ERP =&gt; SOUS-SEGMENT'!$B$19</f>
        <v>Enfance, Enseignement, Jeunesse &amp; Formation</v>
      </c>
      <c r="F32" s="412" t="str">
        <f>'ANALYSE - ERP =&gt; SOUS-SEGMENT'!$C$19</f>
        <v>Formation</v>
      </c>
      <c r="G32" s="412" t="str">
        <f>'ANALYSE - ERP =&gt; SOUS-SEGMENT'!$D$19</f>
        <v>Centres de formation / CFA</v>
      </c>
      <c r="I32" s="427">
        <f t="shared" si="2"/>
        <v>5226.7754534399992</v>
      </c>
      <c r="K32" s="787">
        <f t="shared" si="0"/>
        <v>0.54672737309946184</v>
      </c>
      <c r="L32" s="787">
        <f t="shared" si="1"/>
        <v>0.4532726269005381</v>
      </c>
      <c r="N32" s="424">
        <f>'ANALYSE - ERP =&gt; SOUS-SEGMENT'!$FJ$19</f>
        <v>26133.877267199998</v>
      </c>
      <c r="O32" s="427">
        <f>'ANALYSE - ERP =&gt; SOUS-SEGMENT'!$HO$19</f>
        <v>11882.361513600001</v>
      </c>
      <c r="P32" s="427">
        <f>'ANALYSE - ERP =&gt; SOUS-SEGMENT'!$HR$19</f>
        <v>12352.533330239999</v>
      </c>
      <c r="Q32" s="427">
        <f>'ANALYSE - ERP =&gt; SOUS-SEGMENT'!$HU$19</f>
        <v>1898.98242336</v>
      </c>
      <c r="S32" s="424">
        <f>'ANALYSE - ERP =&gt; SOUS-SEGMENT'!$FK$19</f>
        <v>14288.106067199999</v>
      </c>
      <c r="T32" s="427">
        <f>'ANALYSE - ERP =&gt; SOUS-SEGMENT'!$HP$19</f>
        <v>7144.0530336000002</v>
      </c>
      <c r="U32" s="427">
        <f>'ANALYSE - ERP =&gt; SOUS-SEGMENT'!$HS$19</f>
        <v>6429.6477302399999</v>
      </c>
      <c r="V32" s="427">
        <f>'ANALYSE - ERP =&gt; SOUS-SEGMENT'!$HV$19</f>
        <v>714.40530336000006</v>
      </c>
      <c r="X32" s="427">
        <f>'ANALYSE - ERP =&gt; SOUS-SEGMENT'!$FL$19</f>
        <v>11845.771199999999</v>
      </c>
      <c r="Y32" s="427">
        <f>'ANALYSE - ERP =&gt; SOUS-SEGMENT'!$HQ$19</f>
        <v>4738.3084799999997</v>
      </c>
      <c r="Z32" s="427">
        <f>'ANALYSE - ERP =&gt; SOUS-SEGMENT'!$HT$19</f>
        <v>5922.8855999999996</v>
      </c>
      <c r="AA32" s="427">
        <f>'ANALYSE - ERP =&gt; SOUS-SEGMENT'!$HW$19</f>
        <v>1184.5771199999999</v>
      </c>
      <c r="AC32" s="430">
        <f>'ANALYSE - ERP =&gt; SOUS-SEGMENT'!$Q$19</f>
        <v>1</v>
      </c>
    </row>
    <row r="33" spans="1:29" ht="15" customHeight="1">
      <c r="A33" s="26">
        <v>30</v>
      </c>
      <c r="B33" s="26">
        <v>30</v>
      </c>
      <c r="C33" s="26">
        <v>26</v>
      </c>
      <c r="D33" s="422">
        <f>'ANALYSE - ERP =&gt; SOUS-SEGMENT'!$A$35</f>
        <v>28</v>
      </c>
      <c r="E33" s="411" t="str">
        <f>'ANALYSE - ERP =&gt; SOUS-SEGMENT'!$B$35</f>
        <v>Sports &amp; Loisirs</v>
      </c>
      <c r="F33" s="411" t="str">
        <f>'ANALYSE - ERP =&gt; SOUS-SEGMENT'!$C$35</f>
        <v>Loisirs de plein air</v>
      </c>
      <c r="G33" s="411" t="str">
        <f>'ANALYSE - ERP =&gt; SOUS-SEGMENT'!$D$35</f>
        <v>Centres de loisirs sans hébergement</v>
      </c>
      <c r="I33" s="427">
        <f t="shared" si="2"/>
        <v>4403.4592056000001</v>
      </c>
      <c r="K33" s="787">
        <f t="shared" si="0"/>
        <v>0.76311532563457252</v>
      </c>
      <c r="L33" s="787">
        <f t="shared" si="1"/>
        <v>0.23688467436542748</v>
      </c>
      <c r="N33" s="424">
        <f>'ANALYSE - ERP =&gt; SOUS-SEGMENT'!$FJ$35</f>
        <v>22017.296028000001</v>
      </c>
      <c r="O33" s="427">
        <f>'ANALYSE - ERP =&gt; SOUS-SEGMENT'!$HO$35</f>
        <v>14890.551219600002</v>
      </c>
      <c r="P33" s="427">
        <f>'ANALYSE - ERP =&gt; SOUS-SEGMENT'!$HR$35</f>
        <v>6865.9668084000004</v>
      </c>
      <c r="Q33" s="427">
        <f>'ANALYSE - ERP =&gt; SOUS-SEGMENT'!$HU$35</f>
        <v>260.77800000000002</v>
      </c>
      <c r="S33" s="424">
        <f>'ANALYSE - ERP =&gt; SOUS-SEGMENT'!$FK$35</f>
        <v>16801.736027999999</v>
      </c>
      <c r="T33" s="427">
        <f>'ANALYSE - ERP =&gt; SOUS-SEGMENT'!$HP$35</f>
        <v>11761.215219600001</v>
      </c>
      <c r="U33" s="427">
        <f>'ANALYSE - ERP =&gt; SOUS-SEGMENT'!$HS$35</f>
        <v>5040.5208084000005</v>
      </c>
      <c r="V33" s="427">
        <f>'ANALYSE - ERP =&gt; SOUS-SEGMENT'!$HV$35</f>
        <v>0</v>
      </c>
      <c r="X33" s="427">
        <f>'ANALYSE - ERP =&gt; SOUS-SEGMENT'!$FL$35</f>
        <v>5215.5600000000004</v>
      </c>
      <c r="Y33" s="427">
        <f>'ANALYSE - ERP =&gt; SOUS-SEGMENT'!$HQ$35</f>
        <v>3129.3360000000002</v>
      </c>
      <c r="Z33" s="427">
        <f>'ANALYSE - ERP =&gt; SOUS-SEGMENT'!$HT$35</f>
        <v>1825.4459999999999</v>
      </c>
      <c r="AA33" s="427">
        <f>'ANALYSE - ERP =&gt; SOUS-SEGMENT'!$HW$35</f>
        <v>260.77800000000002</v>
      </c>
      <c r="AC33" s="430">
        <f>'ANALYSE - ERP =&gt; SOUS-SEGMENT'!$Q$35</f>
        <v>1</v>
      </c>
    </row>
    <row r="34" spans="1:29" ht="15" customHeight="1">
      <c r="A34" s="26">
        <v>31</v>
      </c>
      <c r="B34" s="26">
        <v>29</v>
      </c>
      <c r="C34" s="26">
        <v>34</v>
      </c>
      <c r="D34" s="422">
        <f>'ANALYSE - ERP =&gt; SOUS-SEGMENT'!$A$45</f>
        <v>38</v>
      </c>
      <c r="E34" s="409" t="str">
        <f>'ANALYSE - ERP =&gt; SOUS-SEGMENT'!$B$45</f>
        <v>Santé &amp; Médico-social</v>
      </c>
      <c r="F34" s="409" t="str">
        <f>'ANALYSE - ERP =&gt; SOUS-SEGMENT'!$C$45</f>
        <v>Santé hospitalière</v>
      </c>
      <c r="G34" s="409" t="str">
        <f>'ANALYSE - ERP =&gt; SOUS-SEGMENT'!$D$45</f>
        <v>Hôpitaux privés</v>
      </c>
      <c r="I34" s="427">
        <f t="shared" si="2"/>
        <v>4592.7263287999995</v>
      </c>
      <c r="K34" s="787">
        <f t="shared" si="0"/>
        <v>0.82373835712272581</v>
      </c>
      <c r="L34" s="787">
        <f t="shared" si="1"/>
        <v>0.17626164287727417</v>
      </c>
      <c r="N34" s="424">
        <f>'ANALYSE - ERP =&gt; SOUS-SEGMENT'!$FJ$45</f>
        <v>22963.631643999997</v>
      </c>
      <c r="O34" s="427">
        <f>'ANALYSE - ERP =&gt; SOUS-SEGMENT'!$HO$45</f>
        <v>16597.501217999998</v>
      </c>
      <c r="P34" s="427">
        <f>'ANALYSE - ERP =&gt; SOUS-SEGMENT'!$HR$45</f>
        <v>3440.9284668</v>
      </c>
      <c r="Q34" s="427">
        <f>'ANALYSE - ERP =&gt; SOUS-SEGMENT'!$HU$45</f>
        <v>2925.2019592000006</v>
      </c>
      <c r="S34" s="424">
        <f>'ANALYSE - ERP =&gt; SOUS-SEGMENT'!$FK$45</f>
        <v>18916.024203999998</v>
      </c>
      <c r="T34" s="427">
        <f>'ANALYSE - ERP =&gt; SOUS-SEGMENT'!$HP$45</f>
        <v>13764.176009999999</v>
      </c>
      <c r="U34" s="427">
        <f>'ANALYSE - ERP =&gt; SOUS-SEGMENT'!$HS$45</f>
        <v>2752.8352019999998</v>
      </c>
      <c r="V34" s="427">
        <f>'ANALYSE - ERP =&gt; SOUS-SEGMENT'!$HV$45</f>
        <v>2399.0129920000004</v>
      </c>
      <c r="X34" s="427">
        <f>'ANALYSE - ERP =&gt; SOUS-SEGMENT'!$FL$45</f>
        <v>4047.6074399999998</v>
      </c>
      <c r="Y34" s="427">
        <f>'ANALYSE - ERP =&gt; SOUS-SEGMENT'!$HQ$45</f>
        <v>2833.3252079999997</v>
      </c>
      <c r="Z34" s="427">
        <f>'ANALYSE - ERP =&gt; SOUS-SEGMENT'!$HT$45</f>
        <v>688.09326480000004</v>
      </c>
      <c r="AA34" s="427">
        <f>'ANALYSE - ERP =&gt; SOUS-SEGMENT'!$HW$45</f>
        <v>526.18896719999998</v>
      </c>
      <c r="AC34" s="430">
        <f>'ANALYSE - ERP =&gt; SOUS-SEGMENT'!$Q$45</f>
        <v>1</v>
      </c>
    </row>
    <row r="35" spans="1:29" ht="15" customHeight="1">
      <c r="A35" s="26">
        <v>32</v>
      </c>
      <c r="B35" s="26">
        <v>32</v>
      </c>
      <c r="C35" s="26">
        <v>30</v>
      </c>
      <c r="D35" s="422">
        <f>'ANALYSE - ERP =&gt; SOUS-SEGMENT'!$A$66</f>
        <v>59</v>
      </c>
      <c r="E35" s="414" t="str">
        <f>'ANALYSE - ERP =&gt; SOUS-SEGMENT'!$B$66</f>
        <v>Culture, Patrimoine &amp; Evénementiel</v>
      </c>
      <c r="F35" s="414" t="str">
        <f>'ANALYSE - ERP =&gt; SOUS-SEGMENT'!$C$66</f>
        <v>Culture / spectacle</v>
      </c>
      <c r="G35" s="414" t="str">
        <f>'ANALYSE - ERP =&gt; SOUS-SEGMENT'!$D$66</f>
        <v>Salles de conférence / Réunion</v>
      </c>
      <c r="I35" s="427">
        <f t="shared" si="2"/>
        <v>2370.1675232902562</v>
      </c>
      <c r="K35" s="787">
        <f t="shared" ref="K35:K66" si="3">IFERROR(S35/N35,"")</f>
        <v>0.72337820278212095</v>
      </c>
      <c r="L35" s="787">
        <f t="shared" ref="L35:L66" si="4">IFERROR(X35/N35,"")</f>
        <v>0.27662179721787911</v>
      </c>
      <c r="N35" s="424">
        <f>'ANALYSE - ERP =&gt; SOUS-SEGMENT'!$FJ$66</f>
        <v>11850.837616451281</v>
      </c>
      <c r="O35" s="427">
        <f>'ANALYSE - ERP =&gt; SOUS-SEGMENT'!$HO$66</f>
        <v>5651.4401866666667</v>
      </c>
      <c r="P35" s="427">
        <f>'ANALYSE - ERP =&gt; SOUS-SEGMENT'!$HR$66</f>
        <v>3922.2189673846156</v>
      </c>
      <c r="Q35" s="427">
        <f>'ANALYSE - ERP =&gt; SOUS-SEGMENT'!$HU$66</f>
        <v>2277.1784623999997</v>
      </c>
      <c r="S35" s="424">
        <f>'ANALYSE - ERP =&gt; SOUS-SEGMENT'!$FK$66</f>
        <v>8572.6376164512822</v>
      </c>
      <c r="T35" s="427">
        <f>'ANALYSE - ERP =&gt; SOUS-SEGMENT'!$HP$66</f>
        <v>4274.5961866666667</v>
      </c>
      <c r="U35" s="427">
        <f>'ANALYSE - ERP =&gt; SOUS-SEGMENT'!$HS$66</f>
        <v>2676.5029673846157</v>
      </c>
      <c r="V35" s="427">
        <f>'ANALYSE - ERP =&gt; SOUS-SEGMENT'!$HV$66</f>
        <v>1621.5384623999998</v>
      </c>
      <c r="X35" s="427">
        <f>'ANALYSE - ERP =&gt; SOUS-SEGMENT'!$FL$66</f>
        <v>3278.2</v>
      </c>
      <c r="Y35" s="427">
        <f>'ANALYSE - ERP =&gt; SOUS-SEGMENT'!$HQ$66</f>
        <v>1376.8439999999998</v>
      </c>
      <c r="Z35" s="427">
        <f>'ANALYSE - ERP =&gt; SOUS-SEGMENT'!$HT$66</f>
        <v>1245.7159999999999</v>
      </c>
      <c r="AA35" s="427">
        <f>'ANALYSE - ERP =&gt; SOUS-SEGMENT'!$HW$66</f>
        <v>655.64</v>
      </c>
      <c r="AC35" s="430">
        <f>'ANALYSE - ERP =&gt; SOUS-SEGMENT'!$Q$66</f>
        <v>1</v>
      </c>
    </row>
    <row r="36" spans="1:29" ht="15" customHeight="1">
      <c r="A36" s="26">
        <v>33</v>
      </c>
      <c r="B36" s="26">
        <v>33</v>
      </c>
      <c r="C36" s="26">
        <v>40</v>
      </c>
      <c r="D36" s="422">
        <f>'ANALYSE - ERP =&gt; SOUS-SEGMENT'!$A$59</f>
        <v>52</v>
      </c>
      <c r="E36" s="409" t="str">
        <f>'ANALYSE - ERP =&gt; SOUS-SEGMENT'!$B$59</f>
        <v>Santé &amp; Médico-social</v>
      </c>
      <c r="F36" s="409" t="str">
        <f>'ANALYSE - ERP =&gt; SOUS-SEGMENT'!$C$59</f>
        <v>Médico-social</v>
      </c>
      <c r="G36" s="409" t="str">
        <f>'ANALYSE - ERP =&gt; SOUS-SEGMENT'!$D$59</f>
        <v>USLD</v>
      </c>
      <c r="I36" s="427">
        <f t="shared" ref="I36:I67" si="5">N36/5</f>
        <v>2375.5053692307692</v>
      </c>
      <c r="K36" s="787">
        <f t="shared" si="3"/>
        <v>0.83506263337688225</v>
      </c>
      <c r="L36" s="787">
        <f t="shared" si="4"/>
        <v>0.16493736662311767</v>
      </c>
      <c r="N36" s="424">
        <f>'ANALYSE - ERP =&gt; SOUS-SEGMENT'!$FJ$59</f>
        <v>11877.526846153847</v>
      </c>
      <c r="O36" s="427">
        <f>'ANALYSE - ERP =&gt; SOUS-SEGMENT'!$HO$59</f>
        <v>9114.0669600000001</v>
      </c>
      <c r="P36" s="427">
        <f>'ANALYSE - ERP =&gt; SOUS-SEGMENT'!$HR$59</f>
        <v>1947.3967661538461</v>
      </c>
      <c r="Q36" s="427">
        <f>'ANALYSE - ERP =&gt; SOUS-SEGMENT'!$HU$59</f>
        <v>816.06312000000003</v>
      </c>
      <c r="S36" s="424">
        <f>'ANALYSE - ERP =&gt; SOUS-SEGMENT'!$FK$59</f>
        <v>9918.4788461538465</v>
      </c>
      <c r="T36" s="427">
        <f>'ANALYSE - ERP =&gt; SOUS-SEGMENT'!$HP$59</f>
        <v>7605.5999999999995</v>
      </c>
      <c r="U36" s="427">
        <f>'ANALYSE - ERP =&gt; SOUS-SEGMENT'!$HS$59</f>
        <v>1624.1538461538462</v>
      </c>
      <c r="V36" s="427">
        <f>'ANALYSE - ERP =&gt; SOUS-SEGMENT'!$HV$59</f>
        <v>688.72500000000002</v>
      </c>
      <c r="X36" s="427">
        <f>'ANALYSE - ERP =&gt; SOUS-SEGMENT'!$FL$59</f>
        <v>1959.0479999999998</v>
      </c>
      <c r="Y36" s="427">
        <f>'ANALYSE - ERP =&gt; SOUS-SEGMENT'!$HQ$59</f>
        <v>1508.46696</v>
      </c>
      <c r="Z36" s="427">
        <f>'ANALYSE - ERP =&gt; SOUS-SEGMENT'!$HT$59</f>
        <v>323.24291999999997</v>
      </c>
      <c r="AA36" s="427">
        <f>'ANALYSE - ERP =&gt; SOUS-SEGMENT'!$HW$59</f>
        <v>127.33811999999999</v>
      </c>
      <c r="AC36" s="430">
        <f>'ANALYSE - ERP =&gt; SOUS-SEGMENT'!$Q$59</f>
        <v>1</v>
      </c>
    </row>
    <row r="37" spans="1:29" s="45" customFormat="1" ht="15" customHeight="1">
      <c r="A37" s="406">
        <v>34</v>
      </c>
      <c r="B37" s="406">
        <v>34</v>
      </c>
      <c r="C37" s="406">
        <v>38</v>
      </c>
      <c r="D37" s="448">
        <f>'ANALYSE - ERP =&gt; SOUS-SEGMENT'!$A$120</f>
        <v>113</v>
      </c>
      <c r="E37" s="449" t="str">
        <f>'ANALYSE - ERP =&gt; SOUS-SEGMENT'!$B$120</f>
        <v>Culte, Vie civique &amp; Services publics</v>
      </c>
      <c r="F37" s="449" t="str">
        <f>'ANALYSE - ERP =&gt; SOUS-SEGMENT'!$C$120</f>
        <v>Vie associative</v>
      </c>
      <c r="G37" s="449" t="str">
        <f>'ANALYSE - ERP =&gt; SOUS-SEGMENT'!$D$120</f>
        <v>Locaux associatifs recevant du public (dotés de sanitaires)</v>
      </c>
      <c r="H37" s="685"/>
      <c r="I37" s="407">
        <f t="shared" si="5"/>
        <v>1023.624638357143</v>
      </c>
      <c r="J37" s="685"/>
      <c r="K37" s="788">
        <f t="shared" si="3"/>
        <v>0.75988620165056531</v>
      </c>
      <c r="L37" s="788">
        <f t="shared" si="4"/>
        <v>0.24011379834943467</v>
      </c>
      <c r="M37" s="685"/>
      <c r="N37" s="425">
        <f>'ANALYSE - ERP =&gt; SOUS-SEGMENT'!$FJ$120</f>
        <v>5118.1231917857149</v>
      </c>
      <c r="O37" s="407">
        <f>'ANALYSE - ERP =&gt; SOUS-SEGMENT'!$HO$120</f>
        <v>2548.5282257142858</v>
      </c>
      <c r="P37" s="407">
        <f>'ANALYSE - ERP =&gt; SOUS-SEGMENT'!$HR$120</f>
        <v>1480.6003885714288</v>
      </c>
      <c r="Q37" s="407">
        <f>'ANALYSE - ERP =&gt; SOUS-SEGMENT'!$HU$120</f>
        <v>1088.9945775000001</v>
      </c>
      <c r="R37" s="685"/>
      <c r="S37" s="425">
        <f>'ANALYSE - ERP =&gt; SOUS-SEGMENT'!$FK$120</f>
        <v>3889.1911917857146</v>
      </c>
      <c r="T37" s="407">
        <f>'ANALYSE - ERP =&gt; SOUS-SEGMENT'!$HP$120</f>
        <v>1970.9301857142859</v>
      </c>
      <c r="U37" s="407">
        <f>'ANALYSE - ERP =&gt; SOUS-SEGMENT'!$HS$120</f>
        <v>1075.0528285714288</v>
      </c>
      <c r="V37" s="407">
        <f>'ANALYSE - ERP =&gt; SOUS-SEGMENT'!$HV$120</f>
        <v>843.20817750000003</v>
      </c>
      <c r="W37" s="685"/>
      <c r="X37" s="407">
        <f>'ANALYSE - ERP =&gt; SOUS-SEGMENT'!$FL$120</f>
        <v>1228.932</v>
      </c>
      <c r="Y37" s="407">
        <f>'ANALYSE - ERP =&gt; SOUS-SEGMENT'!$HQ$120</f>
        <v>577.59803999999997</v>
      </c>
      <c r="Z37" s="407">
        <f>'ANALYSE - ERP =&gt; SOUS-SEGMENT'!$HT$120</f>
        <v>405.54756000000003</v>
      </c>
      <c r="AA37" s="407">
        <f>'ANALYSE - ERP =&gt; SOUS-SEGMENT'!$HW$120</f>
        <v>245.78640000000001</v>
      </c>
      <c r="AB37" s="685"/>
      <c r="AC37" s="450">
        <f>'ANALYSE - ERP =&gt; SOUS-SEGMENT'!$Q$120</f>
        <v>1</v>
      </c>
    </row>
    <row r="38" spans="1:29" s="45" customFormat="1" ht="15" customHeight="1">
      <c r="A38" s="406">
        <v>35</v>
      </c>
      <c r="B38" s="406">
        <v>35</v>
      </c>
      <c r="C38" s="406">
        <v>39</v>
      </c>
      <c r="D38" s="448">
        <f>'ANALYSE - ERP =&gt; SOUS-SEGMENT'!$A$50</f>
        <v>43</v>
      </c>
      <c r="E38" s="449" t="str">
        <f>'ANALYSE - ERP =&gt; SOUS-SEGMENT'!$B$50</f>
        <v>Santé &amp; Médico-social</v>
      </c>
      <c r="F38" s="449" t="str">
        <f>'ANALYSE - ERP =&gt; SOUS-SEGMENT'!$C$50</f>
        <v>Santé spécialisée</v>
      </c>
      <c r="G38" s="449" t="str">
        <f>'ANALYSE - ERP =&gt; SOUS-SEGMENT'!$D$50</f>
        <v>Centres de rééducation</v>
      </c>
      <c r="H38" s="685"/>
      <c r="I38" s="407">
        <f t="shared" si="5"/>
        <v>2375.5203104444445</v>
      </c>
      <c r="J38" s="685"/>
      <c r="K38" s="788">
        <f t="shared" si="3"/>
        <v>0.81666460266192475</v>
      </c>
      <c r="L38" s="788">
        <f t="shared" si="4"/>
        <v>0.18333539733807522</v>
      </c>
      <c r="M38" s="685"/>
      <c r="N38" s="425">
        <f>'ANALYSE - ERP =&gt; SOUS-SEGMENT'!$FJ$50</f>
        <v>11877.601552222222</v>
      </c>
      <c r="O38" s="407">
        <f>'ANALYSE - ERP =&gt; SOUS-SEGMENT'!$HO$50</f>
        <v>8101.5217933333333</v>
      </c>
      <c r="P38" s="407">
        <f>'ANALYSE - ERP =&gt; SOUS-SEGMENT'!$HR$50</f>
        <v>2975.8377793333329</v>
      </c>
      <c r="Q38" s="407">
        <f>'ANALYSE - ERP =&gt; SOUS-SEGMENT'!$HU$50</f>
        <v>800.24197955555542</v>
      </c>
      <c r="R38" s="685"/>
      <c r="S38" s="425">
        <f>'ANALYSE - ERP =&gt; SOUS-SEGMENT'!$FK$50</f>
        <v>9700.0167522222218</v>
      </c>
      <c r="T38" s="407">
        <f>'ANALYSE - ERP =&gt; SOUS-SEGMENT'!$HP$50</f>
        <v>6686.0916733333333</v>
      </c>
      <c r="U38" s="407">
        <f>'ANALYSE - ERP =&gt; SOUS-SEGMENT'!$HS$50</f>
        <v>2387.8898833333328</v>
      </c>
      <c r="V38" s="407">
        <f>'ANALYSE - ERP =&gt; SOUS-SEGMENT'!$HV$50</f>
        <v>626.03519555555545</v>
      </c>
      <c r="W38" s="685"/>
      <c r="X38" s="407">
        <f>'ANALYSE - ERP =&gt; SOUS-SEGMENT'!$FL$50</f>
        <v>2177.5848000000001</v>
      </c>
      <c r="Y38" s="407">
        <f>'ANALYSE - ERP =&gt; SOUS-SEGMENT'!$HQ$50</f>
        <v>1415.4301200000002</v>
      </c>
      <c r="Z38" s="407">
        <f>'ANALYSE - ERP =&gt; SOUS-SEGMENT'!$HT$50</f>
        <v>587.94789600000001</v>
      </c>
      <c r="AA38" s="407">
        <f>'ANALYSE - ERP =&gt; SOUS-SEGMENT'!$HW$50</f>
        <v>174.206784</v>
      </c>
      <c r="AB38" s="685"/>
      <c r="AC38" s="450">
        <f>'ANALYSE - ERP =&gt; SOUS-SEGMENT'!$Q$50</f>
        <v>0</v>
      </c>
    </row>
    <row r="39" spans="1:29" ht="15" customHeight="1">
      <c r="A39" s="26">
        <v>36</v>
      </c>
      <c r="B39" s="26">
        <v>37</v>
      </c>
      <c r="C39" s="26">
        <v>36</v>
      </c>
      <c r="D39" s="422">
        <f>'ANALYSE - ERP =&gt; SOUS-SEGMENT'!$A$49</f>
        <v>42</v>
      </c>
      <c r="E39" s="415" t="str">
        <f>'ANALYSE - ERP =&gt; SOUS-SEGMENT'!$B$49</f>
        <v>Santé &amp; Médico-social</v>
      </c>
      <c r="F39" s="415" t="str">
        <f>'ANALYSE - ERP =&gt; SOUS-SEGMENT'!$C$49</f>
        <v>Santé spécialisée</v>
      </c>
      <c r="G39" s="415" t="str">
        <f>'ANALYSE - ERP =&gt; SOUS-SEGMENT'!$D$49</f>
        <v>Centres de psychiatrie</v>
      </c>
      <c r="I39" s="427">
        <f t="shared" si="5"/>
        <v>2358.5632581</v>
      </c>
      <c r="K39" s="787">
        <f t="shared" si="3"/>
        <v>0.69024615409784162</v>
      </c>
      <c r="L39" s="787">
        <f t="shared" si="4"/>
        <v>0.30975384590215838</v>
      </c>
      <c r="N39" s="424">
        <f>'ANALYSE - ERP =&gt; SOUS-SEGMENT'!$FJ$49</f>
        <v>11792.816290499999</v>
      </c>
      <c r="O39" s="427">
        <f>'ANALYSE - ERP =&gt; SOUS-SEGMENT'!$HO$49</f>
        <v>6794.1326040000004</v>
      </c>
      <c r="P39" s="427">
        <f>'ANALYSE - ERP =&gt; SOUS-SEGMENT'!$HR$49</f>
        <v>4142.8434705</v>
      </c>
      <c r="Q39" s="427">
        <f>'ANALYSE - ERP =&gt; SOUS-SEGMENT'!$HU$49</f>
        <v>855.84021600000005</v>
      </c>
      <c r="S39" s="424">
        <f>'ANALYSE - ERP =&gt; SOUS-SEGMENT'!$FK$49</f>
        <v>8139.9460904999996</v>
      </c>
      <c r="T39" s="427">
        <f>'ANALYSE - ERP =&gt; SOUS-SEGMENT'!$HP$49</f>
        <v>4785.0539939999999</v>
      </c>
      <c r="U39" s="427">
        <f>'ANALYSE - ERP =&gt; SOUS-SEGMENT'!$HS$49</f>
        <v>2791.2814964999998</v>
      </c>
      <c r="V39" s="427">
        <f>'ANALYSE - ERP =&gt; SOUS-SEGMENT'!$HV$49</f>
        <v>563.61059999999998</v>
      </c>
      <c r="X39" s="427">
        <f>'ANALYSE - ERP =&gt; SOUS-SEGMENT'!$FL$49</f>
        <v>3652.8701999999998</v>
      </c>
      <c r="Y39" s="427">
        <f>'ANALYSE - ERP =&gt; SOUS-SEGMENT'!$HQ$49</f>
        <v>2009.07861</v>
      </c>
      <c r="Z39" s="427">
        <f>'ANALYSE - ERP =&gt; SOUS-SEGMENT'!$HT$49</f>
        <v>1351.561974</v>
      </c>
      <c r="AA39" s="427">
        <f>'ANALYSE - ERP =&gt; SOUS-SEGMENT'!$HW$49</f>
        <v>292.22961600000002</v>
      </c>
      <c r="AC39" s="430">
        <f>'ANALYSE - ERP =&gt; SOUS-SEGMENT'!$Q$49</f>
        <v>0</v>
      </c>
    </row>
    <row r="40" spans="1:29" ht="15" customHeight="1">
      <c r="A40" s="26">
        <v>37</v>
      </c>
      <c r="B40" s="26">
        <v>36</v>
      </c>
      <c r="C40" s="26">
        <v>37</v>
      </c>
      <c r="D40" s="422">
        <f>'ANALYSE - ERP =&gt; SOUS-SEGMENT'!$A$73</f>
        <v>66</v>
      </c>
      <c r="E40" s="414" t="str">
        <f>'ANALYSE - ERP =&gt; SOUS-SEGMENT'!$B$73</f>
        <v>Culture, Patrimoine &amp; Evénementiel</v>
      </c>
      <c r="F40" s="414" t="str">
        <f>'ANALYSE - ERP =&gt; SOUS-SEGMENT'!$C$73</f>
        <v>Événementiel temporaire</v>
      </c>
      <c r="G40" s="414" t="str">
        <f>'ANALYSE - ERP =&gt; SOUS-SEGMENT'!$D$73</f>
        <v>Structures gonflables</v>
      </c>
      <c r="I40" s="427">
        <f t="shared" si="5"/>
        <v>99.515666181818204</v>
      </c>
      <c r="K40" s="787">
        <f t="shared" si="3"/>
        <v>0.75466777305802146</v>
      </c>
      <c r="L40" s="787">
        <f t="shared" si="4"/>
        <v>0.24533222694197851</v>
      </c>
      <c r="N40" s="424">
        <f>'ANALYSE - ERP =&gt; SOUS-SEGMENT'!$FJ$73</f>
        <v>497.57833090909099</v>
      </c>
      <c r="O40" s="427">
        <f>'ANALYSE - ERP =&gt; SOUS-SEGMENT'!$HO$73</f>
        <v>384.96122181818185</v>
      </c>
      <c r="P40" s="427">
        <f>'ANALYSE - ERP =&gt; SOUS-SEGMENT'!$HR$73</f>
        <v>77.673469090909094</v>
      </c>
      <c r="Q40" s="427">
        <f>'ANALYSE - ERP =&gt; SOUS-SEGMENT'!$HU$73</f>
        <v>34.943640000000002</v>
      </c>
      <c r="S40" s="424">
        <f>'ANALYSE - ERP =&gt; SOUS-SEGMENT'!$FK$73</f>
        <v>375.50633090909099</v>
      </c>
      <c r="T40" s="427">
        <f>'ANALYSE - ERP =&gt; SOUS-SEGMENT'!$HP$73</f>
        <v>297.06938181818185</v>
      </c>
      <c r="U40" s="427">
        <f>'ANALYSE - ERP =&gt; SOUS-SEGMENT'!$HS$73</f>
        <v>55.700509090909101</v>
      </c>
      <c r="V40" s="427">
        <f>'ANALYSE - ERP =&gt; SOUS-SEGMENT'!$HV$73</f>
        <v>22.736439999999998</v>
      </c>
      <c r="X40" s="427">
        <f>'ANALYSE - ERP =&gt; SOUS-SEGMENT'!$FL$73</f>
        <v>122.07199999999999</v>
      </c>
      <c r="Y40" s="427">
        <f>'ANALYSE - ERP =&gt; SOUS-SEGMENT'!$HQ$73</f>
        <v>87.891839999999988</v>
      </c>
      <c r="Z40" s="427">
        <f>'ANALYSE - ERP =&gt; SOUS-SEGMENT'!$HT$73</f>
        <v>21.972959999999997</v>
      </c>
      <c r="AA40" s="427">
        <f>'ANALYSE - ERP =&gt; SOUS-SEGMENT'!$HW$73</f>
        <v>12.2072</v>
      </c>
      <c r="AC40" s="430">
        <f>'ANALYSE - ERP =&gt; SOUS-SEGMENT'!$Q$73</f>
        <v>1</v>
      </c>
    </row>
    <row r="41" spans="1:29" ht="15" customHeight="1">
      <c r="A41" s="26">
        <v>38</v>
      </c>
      <c r="B41" s="26">
        <v>38</v>
      </c>
      <c r="C41" s="26">
        <v>33</v>
      </c>
      <c r="D41" s="422">
        <f>'ANALYSE - ERP =&gt; SOUS-SEGMENT'!$A$142</f>
        <v>135</v>
      </c>
      <c r="E41" s="417" t="str">
        <f>'ANALYSE - ERP =&gt; SOUS-SEGMENT'!$B$142</f>
        <v>Sécurité &amp; Justice</v>
      </c>
      <c r="F41" s="417" t="str">
        <f>'ANALYSE - ERP =&gt; SOUS-SEGMENT'!$C$142</f>
        <v>Univers carcéral</v>
      </c>
      <c r="G41" s="417" t="str">
        <f>'ANALYSE - ERP =&gt; SOUS-SEGMENT'!$D$142</f>
        <v>Centres pénitentiaires</v>
      </c>
      <c r="I41" s="427">
        <f t="shared" si="5"/>
        <v>2105.83104</v>
      </c>
      <c r="K41" s="787">
        <f t="shared" si="3"/>
        <v>0.62335485376832511</v>
      </c>
      <c r="L41" s="787">
        <f t="shared" si="4"/>
        <v>0.37664514623167483</v>
      </c>
      <c r="N41" s="424">
        <f>'ANALYSE - ERP =&gt; SOUS-SEGMENT'!$FJ$142</f>
        <v>10529.155200000001</v>
      </c>
      <c r="O41" s="427">
        <f>'ANALYSE - ERP =&gt; SOUS-SEGMENT'!$HO$142</f>
        <v>4660.2520800000002</v>
      </c>
      <c r="P41" s="427">
        <f>'ANALYSE - ERP =&gt; SOUS-SEGMENT'!$HR$142</f>
        <v>5246.5078080000003</v>
      </c>
      <c r="Q41" s="427">
        <f>'ANALYSE - ERP =&gt; SOUS-SEGMENT'!$HU$142</f>
        <v>622.39531199999999</v>
      </c>
      <c r="S41" s="424">
        <f>'ANALYSE - ERP =&gt; SOUS-SEGMENT'!$FK$142</f>
        <v>6563.4000000000005</v>
      </c>
      <c r="T41" s="427">
        <f>'ANALYSE - ERP =&gt; SOUS-SEGMENT'!$HP$142</f>
        <v>3073.9500000000003</v>
      </c>
      <c r="U41" s="427">
        <f>'ANALYSE - ERP =&gt; SOUS-SEGMENT'!$HS$142</f>
        <v>3105</v>
      </c>
      <c r="V41" s="427">
        <f>'ANALYSE - ERP =&gt; SOUS-SEGMENT'!$HV$142</f>
        <v>384.45</v>
      </c>
      <c r="X41" s="427">
        <f>'ANALYSE - ERP =&gt; SOUS-SEGMENT'!$FL$142</f>
        <v>3965.7552000000001</v>
      </c>
      <c r="Y41" s="427">
        <f>'ANALYSE - ERP =&gt; SOUS-SEGMENT'!$HQ$142</f>
        <v>1586.3020800000002</v>
      </c>
      <c r="Z41" s="427">
        <f>'ANALYSE - ERP =&gt; SOUS-SEGMENT'!$HT$142</f>
        <v>2141.5078080000003</v>
      </c>
      <c r="AA41" s="427">
        <f>'ANALYSE - ERP =&gt; SOUS-SEGMENT'!$HW$142</f>
        <v>237.945312</v>
      </c>
      <c r="AC41" s="430">
        <f>'ANALYSE - ERP =&gt; SOUS-SEGMENT'!$Q$142</f>
        <v>1</v>
      </c>
    </row>
    <row r="42" spans="1:29" ht="15" customHeight="1">
      <c r="A42" s="26">
        <v>39</v>
      </c>
      <c r="B42" s="26">
        <v>64</v>
      </c>
      <c r="C42" s="26">
        <v>22</v>
      </c>
      <c r="D42" s="422">
        <f>'ANALYSE - ERP =&gt; SOUS-SEGMENT'!$A$54</f>
        <v>47</v>
      </c>
      <c r="E42" s="410" t="str">
        <f>'ANALYSE - ERP =&gt; SOUS-SEGMENT'!$B$54</f>
        <v>Santé &amp; Médico-social</v>
      </c>
      <c r="F42" s="410" t="str">
        <f>'ANALYSE - ERP =&gt; SOUS-SEGMENT'!$C$54</f>
        <v>Santé ambulatoire</v>
      </c>
      <c r="G42" s="410" t="str">
        <f>'ANALYSE - ERP =&gt; SOUS-SEGMENT'!$D$54</f>
        <v>Maisons de santé</v>
      </c>
      <c r="I42" s="427">
        <f t="shared" si="5"/>
        <v>1734.6861056000002</v>
      </c>
      <c r="K42" s="787">
        <f t="shared" si="3"/>
        <v>0.24400155407574387</v>
      </c>
      <c r="L42" s="787">
        <f t="shared" si="4"/>
        <v>0.75599844592425602</v>
      </c>
      <c r="N42" s="424">
        <f>'ANALYSE - ERP =&gt; SOUS-SEGMENT'!$FJ$54</f>
        <v>8673.4305280000008</v>
      </c>
      <c r="O42" s="427">
        <f>'ANALYSE - ERP =&gt; SOUS-SEGMENT'!$HO$54</f>
        <v>4734.4215390000008</v>
      </c>
      <c r="P42" s="427">
        <f>'ANALYSE - ERP =&gt; SOUS-SEGMENT'!$HR$54</f>
        <v>1818.567513</v>
      </c>
      <c r="Q42" s="427">
        <f>'ANALYSE - ERP =&gt; SOUS-SEGMENT'!$HU$54</f>
        <v>2120.441476</v>
      </c>
      <c r="S42" s="424">
        <f>'ANALYSE - ERP =&gt; SOUS-SEGMENT'!$FK$54</f>
        <v>2116.330528</v>
      </c>
      <c r="T42" s="427">
        <f>'ANALYSE - ERP =&gt; SOUS-SEGMENT'!$HP$54</f>
        <v>1128.016539</v>
      </c>
      <c r="U42" s="427">
        <f>'ANALYSE - ERP =&gt; SOUS-SEGMENT'!$HS$54</f>
        <v>376.00551299999995</v>
      </c>
      <c r="V42" s="427">
        <f>'ANALYSE - ERP =&gt; SOUS-SEGMENT'!$HV$54</f>
        <v>612.30847600000004</v>
      </c>
      <c r="X42" s="427">
        <f>'ANALYSE - ERP =&gt; SOUS-SEGMENT'!$FL$54</f>
        <v>6557.1</v>
      </c>
      <c r="Y42" s="427">
        <f>'ANALYSE - ERP =&gt; SOUS-SEGMENT'!$HQ$54</f>
        <v>3606.4050000000007</v>
      </c>
      <c r="Z42" s="427">
        <f>'ANALYSE - ERP =&gt; SOUS-SEGMENT'!$HT$54</f>
        <v>1442.5620000000001</v>
      </c>
      <c r="AA42" s="427">
        <f>'ANALYSE - ERP =&gt; SOUS-SEGMENT'!$HW$54</f>
        <v>1508.133</v>
      </c>
      <c r="AC42" s="430">
        <f>'ANALYSE - ERP =&gt; SOUS-SEGMENT'!$Q$54</f>
        <v>1</v>
      </c>
    </row>
    <row r="43" spans="1:29" ht="15" customHeight="1">
      <c r="A43" s="26">
        <v>40</v>
      </c>
      <c r="B43" s="26">
        <v>40</v>
      </c>
      <c r="C43" s="26">
        <v>44</v>
      </c>
      <c r="D43" s="422">
        <f>'ANALYSE - ERP =&gt; SOUS-SEGMENT'!$A$150</f>
        <v>143</v>
      </c>
      <c r="E43" s="409" t="str">
        <f>'ANALYSE - ERP =&gt; SOUS-SEGMENT'!$B$150</f>
        <v>Sanitaires Publics</v>
      </c>
      <c r="F43" s="409" t="str">
        <f>'ANALYSE - ERP =&gt; SOUS-SEGMENT'!$C$150</f>
        <v>Sanitaires publics</v>
      </c>
      <c r="G43" s="409" t="str">
        <f>'ANALYSE - ERP =&gt; SOUS-SEGMENT'!$D$150</f>
        <v>Toilettes publiques (sur la voie publique)</v>
      </c>
      <c r="I43" s="427">
        <f t="shared" si="5"/>
        <v>1574.3592621428572</v>
      </c>
      <c r="K43" s="787">
        <f t="shared" si="3"/>
        <v>0.79737788720103842</v>
      </c>
      <c r="L43" s="787">
        <f t="shared" si="4"/>
        <v>0.20262211279896161</v>
      </c>
      <c r="N43" s="424">
        <f>'ANALYSE - ERP =&gt; SOUS-SEGMENT'!$FJ$150</f>
        <v>7871.7963107142859</v>
      </c>
      <c r="O43" s="427">
        <f>'ANALYSE - ERP =&gt; SOUS-SEGMENT'!$HO$150</f>
        <v>703.17949999999985</v>
      </c>
      <c r="P43" s="427">
        <f>'ANALYSE - ERP =&gt; SOUS-SEGMENT'!$HR$150</f>
        <v>4615.5450249999994</v>
      </c>
      <c r="Q43" s="427">
        <f>'ANALYSE - ERP =&gt; SOUS-SEGMENT'!$HU$150</f>
        <v>2553.0717857142859</v>
      </c>
      <c r="S43" s="424">
        <f>'ANALYSE - ERP =&gt; SOUS-SEGMENT'!$FK$150</f>
        <v>6276.7963107142859</v>
      </c>
      <c r="T43" s="427">
        <f>'ANALYSE - ERP =&gt; SOUS-SEGMENT'!$HP$150</f>
        <v>623.42949999999985</v>
      </c>
      <c r="U43" s="427">
        <f>'ANALYSE - ERP =&gt; SOUS-SEGMENT'!$HS$150</f>
        <v>3578.7950249999999</v>
      </c>
      <c r="V43" s="427">
        <f>'ANALYSE - ERP =&gt; SOUS-SEGMENT'!$HV$150</f>
        <v>2074.5717857142859</v>
      </c>
      <c r="X43" s="427">
        <f>'ANALYSE - ERP =&gt; SOUS-SEGMENT'!$FL$150</f>
        <v>1595</v>
      </c>
      <c r="Y43" s="427">
        <f>'ANALYSE - ERP =&gt; SOUS-SEGMENT'!$HQ$150</f>
        <v>79.75</v>
      </c>
      <c r="Z43" s="427">
        <f>'ANALYSE - ERP =&gt; SOUS-SEGMENT'!$HT$150</f>
        <v>1036.75</v>
      </c>
      <c r="AA43" s="427">
        <f>'ANALYSE - ERP =&gt; SOUS-SEGMENT'!$HW$150</f>
        <v>478.5</v>
      </c>
      <c r="AC43" s="430">
        <f>'ANALYSE - ERP =&gt; SOUS-SEGMENT'!$Q$150</f>
        <v>1</v>
      </c>
    </row>
    <row r="44" spans="1:29" ht="15" customHeight="1">
      <c r="A44" s="26">
        <v>41</v>
      </c>
      <c r="B44" s="26">
        <v>39</v>
      </c>
      <c r="C44" s="26">
        <v>48</v>
      </c>
      <c r="D44" s="422">
        <f>'ANALYSE - ERP =&gt; SOUS-SEGMENT'!$A$62</f>
        <v>55</v>
      </c>
      <c r="E44" s="408" t="str">
        <f>'ANALYSE - ERP =&gt; SOUS-SEGMENT'!$B$62</f>
        <v>Culture, Patrimoine &amp; Evénementiel</v>
      </c>
      <c r="F44" s="408" t="str">
        <f>'ANALYSE - ERP =&gt; SOUS-SEGMENT'!$C$62</f>
        <v>Culture / spectacle</v>
      </c>
      <c r="G44" s="408" t="str">
        <f>'ANALYSE - ERP =&gt; SOUS-SEGMENT'!$D$62</f>
        <v>Cinémas</v>
      </c>
      <c r="I44" s="427">
        <f t="shared" si="5"/>
        <v>1510.1641999799999</v>
      </c>
      <c r="K44" s="787">
        <f t="shared" si="3"/>
        <v>0.82759591307789693</v>
      </c>
      <c r="L44" s="787">
        <f t="shared" si="4"/>
        <v>0.17240408692210296</v>
      </c>
      <c r="N44" s="424">
        <f>'ANALYSE - ERP =&gt; SOUS-SEGMENT'!$FJ$62</f>
        <v>7550.8209998999992</v>
      </c>
      <c r="O44" s="427">
        <f>'ANALYSE - ERP =&gt; SOUS-SEGMENT'!$HO$62</f>
        <v>3334.0875974999999</v>
      </c>
      <c r="P44" s="427">
        <f>'ANALYSE - ERP =&gt; SOUS-SEGMENT'!$HR$62</f>
        <v>3260.9672819999996</v>
      </c>
      <c r="Q44" s="427">
        <f>'ANALYSE - ERP =&gt; SOUS-SEGMENT'!$HU$62</f>
        <v>955.76612039999986</v>
      </c>
      <c r="S44" s="424">
        <f>'ANALYSE - ERP =&gt; SOUS-SEGMENT'!$FK$62</f>
        <v>6249.0285998999989</v>
      </c>
      <c r="T44" s="427">
        <f>'ANALYSE - ERP =&gt; SOUS-SEGMENT'!$HP$62</f>
        <v>2852.4244094999999</v>
      </c>
      <c r="U44" s="427">
        <f>'ANALYSE - ERP =&gt; SOUS-SEGMENT'!$HS$62</f>
        <v>2636.1069299999995</v>
      </c>
      <c r="V44" s="427">
        <f>'ANALYSE - ERP =&gt; SOUS-SEGMENT'!$HV$62</f>
        <v>760.49726039999996</v>
      </c>
      <c r="X44" s="427">
        <f>'ANALYSE - ERP =&gt; SOUS-SEGMENT'!$FL$62</f>
        <v>1301.7923999999998</v>
      </c>
      <c r="Y44" s="427">
        <f>'ANALYSE - ERP =&gt; SOUS-SEGMENT'!$HQ$62</f>
        <v>481.66318799999993</v>
      </c>
      <c r="Z44" s="427">
        <f>'ANALYSE - ERP =&gt; SOUS-SEGMENT'!$HT$62</f>
        <v>624.86035199999992</v>
      </c>
      <c r="AA44" s="427">
        <f>'ANALYSE - ERP =&gt; SOUS-SEGMENT'!$HW$62</f>
        <v>195.26885999999996</v>
      </c>
      <c r="AC44" s="430">
        <f>'ANALYSE - ERP =&gt; SOUS-SEGMENT'!$Q$62</f>
        <v>1</v>
      </c>
    </row>
    <row r="45" spans="1:29" ht="15" customHeight="1">
      <c r="A45" s="26">
        <v>42</v>
      </c>
      <c r="B45" s="26">
        <v>43</v>
      </c>
      <c r="C45" s="26">
        <v>42</v>
      </c>
      <c r="D45" s="422">
        <f>'ANALYSE - ERP =&gt; SOUS-SEGMENT'!$A$28</f>
        <v>21</v>
      </c>
      <c r="E45" s="414" t="str">
        <f>'ANALYSE - ERP =&gt; SOUS-SEGMENT'!$B$28</f>
        <v>Sports &amp; Loisirs</v>
      </c>
      <c r="F45" s="414" t="str">
        <f>'ANALYSE - ERP =&gt; SOUS-SEGMENT'!$C$28</f>
        <v>Sport de plein air</v>
      </c>
      <c r="G45" s="414" t="str">
        <f>'ANALYSE - ERP =&gt; SOUS-SEGMENT'!$D$28</f>
        <v>Stades avec tribunes
(Hors grands stades, hors terrains sport)</v>
      </c>
      <c r="I45" s="427">
        <f t="shared" si="5"/>
        <v>1875.005332</v>
      </c>
      <c r="K45" s="787">
        <f t="shared" si="3"/>
        <v>0.7901098448716305</v>
      </c>
      <c r="L45" s="787">
        <f t="shared" si="4"/>
        <v>0.20989015512836953</v>
      </c>
      <c r="N45" s="424">
        <f>'ANALYSE - ERP =&gt; SOUS-SEGMENT'!$FJ$28</f>
        <v>9375.0266599999995</v>
      </c>
      <c r="O45" s="427">
        <f>'ANALYSE - ERP =&gt; SOUS-SEGMENT'!$HO$28</f>
        <v>3052.6612800000003</v>
      </c>
      <c r="P45" s="427">
        <f>'ANALYSE - ERP =&gt; SOUS-SEGMENT'!$HR$28</f>
        <v>5101.4799540000004</v>
      </c>
      <c r="Q45" s="427">
        <f>'ANALYSE - ERP =&gt; SOUS-SEGMENT'!$HU$28</f>
        <v>1220.8854260000001</v>
      </c>
      <c r="S45" s="424">
        <f>'ANALYSE - ERP =&gt; SOUS-SEGMENT'!$FK$28</f>
        <v>7407.3008600000003</v>
      </c>
      <c r="T45" s="427">
        <f>'ANALYSE - ERP =&gt; SOUS-SEGMENT'!$HP$28</f>
        <v>2659.1161200000001</v>
      </c>
      <c r="U45" s="427">
        <f>'ANALYSE - ERP =&gt; SOUS-SEGMENT'!$HS$28</f>
        <v>3861.8126999999999</v>
      </c>
      <c r="V45" s="427">
        <f>'ANALYSE - ERP =&gt; SOUS-SEGMENT'!$HV$28</f>
        <v>886.37204000000008</v>
      </c>
      <c r="X45" s="427">
        <f>'ANALYSE - ERP =&gt; SOUS-SEGMENT'!$FL$28</f>
        <v>1967.7257999999999</v>
      </c>
      <c r="Y45" s="427">
        <f>'ANALYSE - ERP =&gt; SOUS-SEGMENT'!$HQ$28</f>
        <v>393.54516000000001</v>
      </c>
      <c r="Z45" s="427">
        <f>'ANALYSE - ERP =&gt; SOUS-SEGMENT'!$HT$28</f>
        <v>1239.667254</v>
      </c>
      <c r="AA45" s="427">
        <f>'ANALYSE - ERP =&gt; SOUS-SEGMENT'!$HW$28</f>
        <v>334.51338600000003</v>
      </c>
      <c r="AC45" s="430">
        <f>'ANALYSE - ERP =&gt; SOUS-SEGMENT'!$Q$28</f>
        <v>1</v>
      </c>
    </row>
    <row r="46" spans="1:29" ht="15" customHeight="1">
      <c r="A46" s="26">
        <v>43</v>
      </c>
      <c r="B46" s="26">
        <v>42</v>
      </c>
      <c r="C46" s="26">
        <v>45</v>
      </c>
      <c r="D46" s="422">
        <f>'ANALYSE - ERP =&gt; SOUS-SEGMENT'!$A$63</f>
        <v>56</v>
      </c>
      <c r="E46" s="415" t="str">
        <f>'ANALYSE - ERP =&gt; SOUS-SEGMENT'!$B$63</f>
        <v>Culture, Patrimoine &amp; Evénementiel</v>
      </c>
      <c r="F46" s="415" t="str">
        <f>'ANALYSE - ERP =&gt; SOUS-SEGMENT'!$C$63</f>
        <v>Culture / spectacle</v>
      </c>
      <c r="G46" s="415" t="str">
        <f>'ANALYSE - ERP =&gt; SOUS-SEGMENT'!$D$63</f>
        <v>Théâtres</v>
      </c>
      <c r="I46" s="427">
        <f t="shared" si="5"/>
        <v>1378.0785232000001</v>
      </c>
      <c r="K46" s="787">
        <f t="shared" si="3"/>
        <v>0.78008800304333781</v>
      </c>
      <c r="L46" s="787">
        <f t="shared" si="4"/>
        <v>0.21991199695666225</v>
      </c>
      <c r="N46" s="424">
        <f>'ANALYSE - ERP =&gt; SOUS-SEGMENT'!$FJ$63</f>
        <v>6890.3926160000001</v>
      </c>
      <c r="O46" s="427">
        <f>'ANALYSE - ERP =&gt; SOUS-SEGMENT'!$HO$63</f>
        <v>3024.7512880000004</v>
      </c>
      <c r="P46" s="427">
        <f>'ANALYSE - ERP =&gt; SOUS-SEGMENT'!$HR$63</f>
        <v>2976.5138159999997</v>
      </c>
      <c r="Q46" s="427">
        <f>'ANALYSE - ERP =&gt; SOUS-SEGMENT'!$HU$63</f>
        <v>889.12751200000002</v>
      </c>
      <c r="S46" s="424">
        <f>'ANALYSE - ERP =&gt; SOUS-SEGMENT'!$FK$63</f>
        <v>5375.1126160000003</v>
      </c>
      <c r="T46" s="427">
        <f>'ANALYSE - ERP =&gt; SOUS-SEGMENT'!$HP$63</f>
        <v>2464.0976880000003</v>
      </c>
      <c r="U46" s="427">
        <f>'ANALYSE - ERP =&gt; SOUS-SEGMENT'!$HS$63</f>
        <v>2249.1794159999999</v>
      </c>
      <c r="V46" s="427">
        <f>'ANALYSE - ERP =&gt; SOUS-SEGMENT'!$HV$63</f>
        <v>661.83551199999999</v>
      </c>
      <c r="X46" s="427">
        <f>'ANALYSE - ERP =&gt; SOUS-SEGMENT'!$FL$63</f>
        <v>1515.28</v>
      </c>
      <c r="Y46" s="427">
        <f>'ANALYSE - ERP =&gt; SOUS-SEGMENT'!$HQ$63</f>
        <v>560.65359999999998</v>
      </c>
      <c r="Z46" s="427">
        <f>'ANALYSE - ERP =&gt; SOUS-SEGMENT'!$HT$63</f>
        <v>727.33439999999996</v>
      </c>
      <c r="AA46" s="427">
        <f>'ANALYSE - ERP =&gt; SOUS-SEGMENT'!$HW$63</f>
        <v>227.292</v>
      </c>
      <c r="AC46" s="430">
        <f>'ANALYSE - ERP =&gt; SOUS-SEGMENT'!$Q$63</f>
        <v>1</v>
      </c>
    </row>
    <row r="47" spans="1:29" ht="15" customHeight="1">
      <c r="A47" s="26">
        <v>44</v>
      </c>
      <c r="B47" s="26">
        <v>41</v>
      </c>
      <c r="C47" s="26">
        <v>59</v>
      </c>
      <c r="D47" s="422">
        <f>'ANALYSE - ERP =&gt; SOUS-SEGMENT'!$A$42</f>
        <v>35</v>
      </c>
      <c r="E47" s="411" t="str">
        <f>'ANALYSE - ERP =&gt; SOUS-SEGMENT'!$B$42</f>
        <v>Sports &amp; Loisirs</v>
      </c>
      <c r="F47" s="411" t="str">
        <f>'ANALYSE - ERP =&gt; SOUS-SEGMENT'!$C$42</f>
        <v>Loisirs</v>
      </c>
      <c r="G47" s="411" t="str">
        <f>'ANALYSE - ERP =&gt; SOUS-SEGMENT'!$D$42</f>
        <v>Discothèques / Salles de danse</v>
      </c>
      <c r="I47" s="427">
        <f t="shared" si="5"/>
        <v>3121.4281175000001</v>
      </c>
      <c r="K47" s="787">
        <f t="shared" si="3"/>
        <v>0.895209504211817</v>
      </c>
      <c r="L47" s="787">
        <f t="shared" si="4"/>
        <v>0.10479049578818309</v>
      </c>
      <c r="N47" s="424">
        <f>'ANALYSE - ERP =&gt; SOUS-SEGMENT'!$FJ$42</f>
        <v>15607.1405875</v>
      </c>
      <c r="O47" s="427">
        <f>'ANALYSE - ERP =&gt; SOUS-SEGMENT'!$HO$42</f>
        <v>3723.2841250000006</v>
      </c>
      <c r="P47" s="427">
        <f>'ANALYSE - ERP =&gt; SOUS-SEGMENT'!$HR$42</f>
        <v>8258.9446499999995</v>
      </c>
      <c r="Q47" s="427">
        <f>'ANALYSE - ERP =&gt; SOUS-SEGMENT'!$HU$42</f>
        <v>3624.9118125</v>
      </c>
      <c r="S47" s="424">
        <f>'ANALYSE - ERP =&gt; SOUS-SEGMENT'!$FK$42</f>
        <v>13971.6605875</v>
      </c>
      <c r="T47" s="427">
        <f>'ANALYSE - ERP =&gt; SOUS-SEGMENT'!$HP$42</f>
        <v>3477.9621250000005</v>
      </c>
      <c r="U47" s="427">
        <f>'ANALYSE - ERP =&gt; SOUS-SEGMENT'!$HS$42</f>
        <v>7310.36625</v>
      </c>
      <c r="V47" s="427">
        <f>'ANALYSE - ERP =&gt; SOUS-SEGMENT'!$HV$42</f>
        <v>3183.3322125</v>
      </c>
      <c r="X47" s="427">
        <f>'ANALYSE - ERP =&gt; SOUS-SEGMENT'!$FL$42</f>
        <v>1635.48</v>
      </c>
      <c r="Y47" s="427">
        <f>'ANALYSE - ERP =&gt; SOUS-SEGMENT'!$HQ$42</f>
        <v>245.322</v>
      </c>
      <c r="Z47" s="427">
        <f>'ANALYSE - ERP =&gt; SOUS-SEGMENT'!$HT$42</f>
        <v>948.57839999999999</v>
      </c>
      <c r="AA47" s="427">
        <f>'ANALYSE - ERP =&gt; SOUS-SEGMENT'!$HW$42</f>
        <v>441.57960000000003</v>
      </c>
      <c r="AC47" s="430">
        <f>'ANALYSE - ERP =&gt; SOUS-SEGMENT'!$Q$42</f>
        <v>1</v>
      </c>
    </row>
    <row r="48" spans="1:29" ht="15" customHeight="1">
      <c r="A48" s="26">
        <v>45</v>
      </c>
      <c r="B48" s="26">
        <v>48</v>
      </c>
      <c r="C48" s="26">
        <v>41</v>
      </c>
      <c r="D48" s="422">
        <f>'ANALYSE - ERP =&gt; SOUS-SEGMENT'!$A$65</f>
        <v>58</v>
      </c>
      <c r="E48" s="414" t="str">
        <f>'ANALYSE - ERP =&gt; SOUS-SEGMENT'!$B$65</f>
        <v>Culture, Patrimoine &amp; Evénementiel</v>
      </c>
      <c r="F48" s="414" t="str">
        <f>'ANALYSE - ERP =&gt; SOUS-SEGMENT'!$C$65</f>
        <v>Culture / spectacle</v>
      </c>
      <c r="G48" s="414" t="str">
        <f>'ANALYSE - ERP =&gt; SOUS-SEGMENT'!$D$65</f>
        <v>Salles de spectacle / Auditoriums</v>
      </c>
      <c r="I48" s="427">
        <f t="shared" si="5"/>
        <v>1289.57053382</v>
      </c>
      <c r="K48" s="787">
        <f t="shared" si="3"/>
        <v>0.7217955787674063</v>
      </c>
      <c r="L48" s="787">
        <f t="shared" si="4"/>
        <v>0.2782044212325937</v>
      </c>
      <c r="N48" s="424">
        <f>'ANALYSE - ERP =&gt; SOUS-SEGMENT'!$FJ$65</f>
        <v>6447.8526690999997</v>
      </c>
      <c r="O48" s="427">
        <f>'ANALYSE - ERP =&gt; SOUS-SEGMENT'!$HO$65</f>
        <v>2808.0770419</v>
      </c>
      <c r="P48" s="427">
        <f>'ANALYSE - ERP =&gt; SOUS-SEGMENT'!$HR$65</f>
        <v>2779.2543396000001</v>
      </c>
      <c r="Q48" s="427">
        <f>'ANALYSE - ERP =&gt; SOUS-SEGMENT'!$HU$65</f>
        <v>860.52128760000005</v>
      </c>
      <c r="S48" s="424">
        <f>'ANALYSE - ERP =&gt; SOUS-SEGMENT'!$FK$65</f>
        <v>4654.0315491000001</v>
      </c>
      <c r="T48" s="427">
        <f>'ANALYSE - ERP =&gt; SOUS-SEGMENT'!$HP$65</f>
        <v>2144.3632275</v>
      </c>
      <c r="U48" s="427">
        <f>'ANALYSE - ERP =&gt; SOUS-SEGMENT'!$HS$65</f>
        <v>1918.220202</v>
      </c>
      <c r="V48" s="427">
        <f>'ANALYSE - ERP =&gt; SOUS-SEGMENT'!$HV$65</f>
        <v>591.44811960000015</v>
      </c>
      <c r="X48" s="427">
        <f>'ANALYSE - ERP =&gt; SOUS-SEGMENT'!$FL$65</f>
        <v>1793.8211199999998</v>
      </c>
      <c r="Y48" s="427">
        <f>'ANALYSE - ERP =&gt; SOUS-SEGMENT'!$HQ$65</f>
        <v>663.71381439999993</v>
      </c>
      <c r="Z48" s="427">
        <f>'ANALYSE - ERP =&gt; SOUS-SEGMENT'!$HT$65</f>
        <v>861.03413759999989</v>
      </c>
      <c r="AA48" s="427">
        <f>'ANALYSE - ERP =&gt; SOUS-SEGMENT'!$HW$65</f>
        <v>269.07316799999995</v>
      </c>
      <c r="AC48" s="430">
        <f>'ANALYSE - ERP =&gt; SOUS-SEGMENT'!$Q$65</f>
        <v>1</v>
      </c>
    </row>
    <row r="49" spans="1:29" ht="15" customHeight="1">
      <c r="A49" s="26">
        <v>46</v>
      </c>
      <c r="B49" s="26">
        <v>44</v>
      </c>
      <c r="C49" s="26">
        <v>54</v>
      </c>
      <c r="D49" s="422">
        <f>'ANALYSE - ERP =&gt; SOUS-SEGMENT'!$A$51</f>
        <v>44</v>
      </c>
      <c r="E49" s="414" t="str">
        <f>'ANALYSE - ERP =&gt; SOUS-SEGMENT'!$B$51</f>
        <v>Santé &amp; Médico-social</v>
      </c>
      <c r="F49" s="414" t="str">
        <f>'ANALYSE - ERP =&gt; SOUS-SEGMENT'!$C$51</f>
        <v>Santé spécialisée</v>
      </c>
      <c r="G49" s="414" t="str">
        <f>'ANALYSE - ERP =&gt; SOUS-SEGMENT'!$D$51</f>
        <v>Maternités</v>
      </c>
      <c r="I49" s="427">
        <f t="shared" si="5"/>
        <v>1334.7227600000001</v>
      </c>
      <c r="K49" s="787">
        <f t="shared" si="3"/>
        <v>0.83517643768957683</v>
      </c>
      <c r="L49" s="787">
        <f t="shared" si="4"/>
        <v>0.16482356231042317</v>
      </c>
      <c r="N49" s="424">
        <f>'ANALYSE - ERP =&gt; SOUS-SEGMENT'!$FJ$51</f>
        <v>6673.6138000000001</v>
      </c>
      <c r="O49" s="427">
        <f>'ANALYSE - ERP =&gt; SOUS-SEGMENT'!$HO$51</f>
        <v>5231.6166000000003</v>
      </c>
      <c r="P49" s="427">
        <f>'ANALYSE - ERP =&gt; SOUS-SEGMENT'!$HR$51</f>
        <v>1013.239696</v>
      </c>
      <c r="Q49" s="427">
        <f>'ANALYSE - ERP =&gt; SOUS-SEGMENT'!$HU$51</f>
        <v>428.75750400000004</v>
      </c>
      <c r="S49" s="424">
        <f>'ANALYSE - ERP =&gt; SOUS-SEGMENT'!$FK$51</f>
        <v>5573.6450000000004</v>
      </c>
      <c r="T49" s="427">
        <f>'ANALYSE - ERP =&gt; SOUS-SEGMENT'!$HP$51</f>
        <v>4406.6400000000003</v>
      </c>
      <c r="U49" s="427">
        <f>'ANALYSE - ERP =&gt; SOUS-SEGMENT'!$HS$51</f>
        <v>826.245</v>
      </c>
      <c r="V49" s="427">
        <f>'ANALYSE - ERP =&gt; SOUS-SEGMENT'!$HV$51</f>
        <v>340.76000000000005</v>
      </c>
      <c r="X49" s="427">
        <f>'ANALYSE - ERP =&gt; SOUS-SEGMENT'!$FL$51</f>
        <v>1099.9687999999999</v>
      </c>
      <c r="Y49" s="427">
        <f>'ANALYSE - ERP =&gt; SOUS-SEGMENT'!$HQ$51</f>
        <v>824.97659999999996</v>
      </c>
      <c r="Z49" s="427">
        <f>'ANALYSE - ERP =&gt; SOUS-SEGMENT'!$HT$51</f>
        <v>186.994696</v>
      </c>
      <c r="AA49" s="427">
        <f>'ANALYSE - ERP =&gt; SOUS-SEGMENT'!$HW$51</f>
        <v>87.997503999999992</v>
      </c>
      <c r="AC49" s="430">
        <f>'ANALYSE - ERP =&gt; SOUS-SEGMENT'!$Q$51</f>
        <v>0</v>
      </c>
    </row>
    <row r="50" spans="1:29" s="45" customFormat="1" ht="15" customHeight="1">
      <c r="A50" s="406">
        <v>47</v>
      </c>
      <c r="B50" s="406">
        <v>49</v>
      </c>
      <c r="C50" s="406">
        <v>43</v>
      </c>
      <c r="D50" s="448">
        <f>'ANALYSE - ERP =&gt; SOUS-SEGMENT'!$A$15</f>
        <v>8</v>
      </c>
      <c r="E50" s="449" t="str">
        <f>'ANALYSE - ERP =&gt; SOUS-SEGMENT'!$B$15</f>
        <v>Enfance, Enseignement, Jeunesse &amp; Formation</v>
      </c>
      <c r="F50" s="449" t="str">
        <f>'ANALYSE - ERP =&gt; SOUS-SEGMENT'!$C$15</f>
        <v>Enseignement scolaire</v>
      </c>
      <c r="G50" s="449" t="str">
        <f>'ANALYSE - ERP =&gt; SOUS-SEGMENT'!$D$15</f>
        <v>Internats scolaires</v>
      </c>
      <c r="H50" s="685"/>
      <c r="I50" s="407">
        <f t="shared" si="5"/>
        <v>1215.8425310928001</v>
      </c>
      <c r="J50" s="685"/>
      <c r="K50" s="788">
        <f t="shared" si="3"/>
        <v>0.73071509375007182</v>
      </c>
      <c r="L50" s="788">
        <f t="shared" si="4"/>
        <v>0.26928490624992812</v>
      </c>
      <c r="M50" s="685"/>
      <c r="N50" s="425">
        <f>'ANALYSE - ERP =&gt; SOUS-SEGMENT'!$FJ$15</f>
        <v>6079.2126554639999</v>
      </c>
      <c r="O50" s="407">
        <f>'ANALYSE - ERP =&gt; SOUS-SEGMENT'!$HO$15</f>
        <v>3565.6755827784</v>
      </c>
      <c r="P50" s="407">
        <f>'ANALYSE - ERP =&gt; SOUS-SEGMENT'!$HR$15</f>
        <v>2176.8356357123998</v>
      </c>
      <c r="Q50" s="407">
        <f>'ANALYSE - ERP =&gt; SOUS-SEGMENT'!$HU$15</f>
        <v>336.70143697320003</v>
      </c>
      <c r="R50" s="685"/>
      <c r="S50" s="425">
        <f>'ANALYSE - ERP =&gt; SOUS-SEGMENT'!$FK$15</f>
        <v>4442.1724454639998</v>
      </c>
      <c r="T50" s="407">
        <f>'ANALYSE - ERP =&gt; SOUS-SEGMENT'!$HP$15</f>
        <v>2665.3034672783997</v>
      </c>
      <c r="U50" s="407">
        <f>'ANALYSE - ERP =&gt; SOUS-SEGMENT'!$HS$15</f>
        <v>1554.7603559123997</v>
      </c>
      <c r="V50" s="407">
        <f>'ANALYSE - ERP =&gt; SOUS-SEGMENT'!$HV$15</f>
        <v>222.10862227320001</v>
      </c>
      <c r="W50" s="685"/>
      <c r="X50" s="407">
        <f>'ANALYSE - ERP =&gt; SOUS-SEGMENT'!$FL$15</f>
        <v>1637.0402099999999</v>
      </c>
      <c r="Y50" s="407">
        <f>'ANALYSE - ERP =&gt; SOUS-SEGMENT'!$HQ$15</f>
        <v>900.37211550000006</v>
      </c>
      <c r="Z50" s="407">
        <f>'ANALYSE - ERP =&gt; SOUS-SEGMENT'!$HT$15</f>
        <v>622.07527979999998</v>
      </c>
      <c r="AA50" s="407">
        <f>'ANALYSE - ERP =&gt; SOUS-SEGMENT'!$HW$15</f>
        <v>114.59281470000001</v>
      </c>
      <c r="AB50" s="685"/>
      <c r="AC50" s="450">
        <f>'ANALYSE - ERP =&gt; SOUS-SEGMENT'!$Q$15</f>
        <v>1</v>
      </c>
    </row>
    <row r="51" spans="1:29" ht="15" customHeight="1">
      <c r="A51" s="26">
        <v>48</v>
      </c>
      <c r="B51" s="26">
        <v>45</v>
      </c>
      <c r="C51" s="26">
        <v>51</v>
      </c>
      <c r="D51" s="422">
        <f>'ANALYSE - ERP =&gt; SOUS-SEGMENT'!$A$139</f>
        <v>132</v>
      </c>
      <c r="E51" s="411" t="str">
        <f>'ANALYSE - ERP =&gt; SOUS-SEGMENT'!$B$139</f>
        <v>Sécurité &amp; Justice</v>
      </c>
      <c r="F51" s="411" t="str">
        <f>'ANALYSE - ERP =&gt; SOUS-SEGMENT'!$C$139</f>
        <v>Univers carcéral</v>
      </c>
      <c r="G51" s="411" t="str">
        <f>'ANALYSE - ERP =&gt; SOUS-SEGMENT'!$D$139</f>
        <v>Maisons d’arrêt</v>
      </c>
      <c r="I51" s="427">
        <f t="shared" si="5"/>
        <v>1198.6260945454549</v>
      </c>
      <c r="K51" s="787">
        <f t="shared" si="3"/>
        <v>0.8103698550913031</v>
      </c>
      <c r="L51" s="787">
        <f t="shared" si="4"/>
        <v>0.18963014490869687</v>
      </c>
      <c r="N51" s="424">
        <f>'ANALYSE - ERP =&gt; SOUS-SEGMENT'!$FJ$139</f>
        <v>5993.1304727272745</v>
      </c>
      <c r="O51" s="427">
        <f>'ANALYSE - ERP =&gt; SOUS-SEGMENT'!$HO$139</f>
        <v>3303.1141000000007</v>
      </c>
      <c r="P51" s="427">
        <f>'ANALYSE - ERP =&gt; SOUS-SEGMENT'!$HR$139</f>
        <v>2350.777680727273</v>
      </c>
      <c r="Q51" s="427">
        <f>'ANALYSE - ERP =&gt; SOUS-SEGMENT'!$HU$139</f>
        <v>339.23869200000001</v>
      </c>
      <c r="S51" s="424">
        <f>'ANALYSE - ERP =&gt; SOUS-SEGMENT'!$FK$139</f>
        <v>4856.6522727272741</v>
      </c>
      <c r="T51" s="427">
        <f>'ANALYSE - ERP =&gt; SOUS-SEGMENT'!$HP$139</f>
        <v>2734.8750000000005</v>
      </c>
      <c r="U51" s="427">
        <f>'ANALYSE - ERP =&gt; SOUS-SEGMENT'!$HS$139</f>
        <v>1850.727272727273</v>
      </c>
      <c r="V51" s="427">
        <f>'ANALYSE - ERP =&gt; SOUS-SEGMENT'!$HV$139</f>
        <v>271.05</v>
      </c>
      <c r="X51" s="427">
        <f>'ANALYSE - ERP =&gt; SOUS-SEGMENT'!$FL$139</f>
        <v>1136.4782</v>
      </c>
      <c r="Y51" s="427">
        <f>'ANALYSE - ERP =&gt; SOUS-SEGMENT'!$HQ$139</f>
        <v>568.23910000000001</v>
      </c>
      <c r="Z51" s="427">
        <f>'ANALYSE - ERP =&gt; SOUS-SEGMENT'!$HT$139</f>
        <v>500.050408</v>
      </c>
      <c r="AA51" s="427">
        <f>'ANALYSE - ERP =&gt; SOUS-SEGMENT'!$HW$139</f>
        <v>68.188692000000003</v>
      </c>
      <c r="AC51" s="430">
        <f>'ANALYSE - ERP =&gt; SOUS-SEGMENT'!$Q$139</f>
        <v>1</v>
      </c>
    </row>
    <row r="52" spans="1:29" ht="15" customHeight="1">
      <c r="A52" s="26">
        <v>49</v>
      </c>
      <c r="B52" s="26">
        <v>47</v>
      </c>
      <c r="C52" s="26">
        <v>58</v>
      </c>
      <c r="D52" s="422">
        <f>'ANALYSE - ERP =&gt; SOUS-SEGMENT'!$A$30</f>
        <v>23</v>
      </c>
      <c r="E52" s="413" t="str">
        <f>'ANALYSE - ERP =&gt; SOUS-SEGMENT'!$B$30</f>
        <v>Sports &amp; Loisirs</v>
      </c>
      <c r="F52" s="413" t="str">
        <f>'ANALYSE - ERP =&gt; SOUS-SEGMENT'!$C$30</f>
        <v>Sport de plein air</v>
      </c>
      <c r="G52" s="413" t="str">
        <f>'ANALYSE - ERP =&gt; SOUS-SEGMENT'!$D$30</f>
        <v>Hippodromes, Centres équestres &amp; Manèges couverts</v>
      </c>
      <c r="I52" s="427">
        <f t="shared" si="5"/>
        <v>2682.9547499999999</v>
      </c>
      <c r="K52" s="787">
        <f t="shared" si="3"/>
        <v>0.86680468613941408</v>
      </c>
      <c r="L52" s="787">
        <f t="shared" si="4"/>
        <v>0.13319531386058597</v>
      </c>
      <c r="N52" s="424">
        <f>'ANALYSE - ERP =&gt; SOUS-SEGMENT'!$FJ$30</f>
        <v>13414.77375</v>
      </c>
      <c r="O52" s="427">
        <f>'ANALYSE - ERP =&gt; SOUS-SEGMENT'!$HO$30</f>
        <v>3175.0149375000001</v>
      </c>
      <c r="P52" s="427">
        <f>'ANALYSE - ERP =&gt; SOUS-SEGMENT'!$HR$30</f>
        <v>6920.3778000000011</v>
      </c>
      <c r="Q52" s="427">
        <f>'ANALYSE - ERP =&gt; SOUS-SEGMENT'!$HU$30</f>
        <v>3319.3810125</v>
      </c>
      <c r="S52" s="424">
        <f>'ANALYSE - ERP =&gt; SOUS-SEGMENT'!$FK$30</f>
        <v>11627.98875</v>
      </c>
      <c r="T52" s="427">
        <f>'ANALYSE - ERP =&gt; SOUS-SEGMENT'!$HP$30</f>
        <v>2906.9971875000001</v>
      </c>
      <c r="U52" s="427">
        <f>'ANALYSE - ERP =&gt; SOUS-SEGMENT'!$HS$30</f>
        <v>5884.0425000000014</v>
      </c>
      <c r="V52" s="427">
        <f>'ANALYSE - ERP =&gt; SOUS-SEGMENT'!$HV$30</f>
        <v>2836.9490624999999</v>
      </c>
      <c r="X52" s="427">
        <f>'ANALYSE - ERP =&gt; SOUS-SEGMENT'!$FL$30</f>
        <v>1786.7849999999999</v>
      </c>
      <c r="Y52" s="427">
        <f>'ANALYSE - ERP =&gt; SOUS-SEGMENT'!$HQ$30</f>
        <v>268.01774999999998</v>
      </c>
      <c r="Z52" s="427">
        <f>'ANALYSE - ERP =&gt; SOUS-SEGMENT'!$HT$30</f>
        <v>1036.3352999999997</v>
      </c>
      <c r="AA52" s="427">
        <f>'ANALYSE - ERP =&gt; SOUS-SEGMENT'!$HW$30</f>
        <v>482.43194999999997</v>
      </c>
      <c r="AC52" s="430">
        <f>'ANALYSE - ERP =&gt; SOUS-SEGMENT'!$Q$30</f>
        <v>1</v>
      </c>
    </row>
    <row r="53" spans="1:29" ht="15" customHeight="1">
      <c r="A53" s="26">
        <v>50</v>
      </c>
      <c r="B53" s="26">
        <v>46</v>
      </c>
      <c r="C53" s="26">
        <v>64</v>
      </c>
      <c r="D53" s="422">
        <f>'ANALYSE - ERP =&gt; SOUS-SEGMENT'!$A$122</f>
        <v>115</v>
      </c>
      <c r="E53" s="417" t="str">
        <f>'ANALYSE - ERP =&gt; SOUS-SEGMENT'!$B$122</f>
        <v>Transport, Mobilité &amp; Stationnement</v>
      </c>
      <c r="F53" s="417" t="str">
        <f>'ANALYSE - ERP =&gt; SOUS-SEGMENT'!$C$122</f>
        <v>Transport / Mobilité</v>
      </c>
      <c r="G53" s="417" t="str">
        <f>'ANALYSE - ERP =&gt; SOUS-SEGMENT'!$D$122</f>
        <v>Aires de repos - Autoroutes
(Hors Aires de service)</v>
      </c>
      <c r="I53" s="427">
        <f t="shared" si="5"/>
        <v>1033.9799704000002</v>
      </c>
      <c r="K53" s="787">
        <f t="shared" si="3"/>
        <v>0.86636194514817844</v>
      </c>
      <c r="L53" s="787">
        <f t="shared" si="4"/>
        <v>0.13363805485182151</v>
      </c>
      <c r="N53" s="424">
        <f>'ANALYSE - ERP =&gt; SOUS-SEGMENT'!$FJ$122</f>
        <v>5169.8998520000005</v>
      </c>
      <c r="O53" s="427">
        <f>'ANALYSE - ERP =&gt; SOUS-SEGMENT'!$HO$122</f>
        <v>1654.0231999999999</v>
      </c>
      <c r="P53" s="427">
        <f>'ANALYSE - ERP =&gt; SOUS-SEGMENT'!$HR$122</f>
        <v>2010.8598360000003</v>
      </c>
      <c r="Q53" s="427">
        <f>'ANALYSE - ERP =&gt; SOUS-SEGMENT'!$HU$122</f>
        <v>1505.0168160000001</v>
      </c>
      <c r="S53" s="424">
        <f>'ANALYSE - ERP =&gt; SOUS-SEGMENT'!$FK$122</f>
        <v>4479.004492</v>
      </c>
      <c r="T53" s="427">
        <f>'ANALYSE - ERP =&gt; SOUS-SEGMENT'!$HP$122</f>
        <v>1515.844128</v>
      </c>
      <c r="U53" s="427">
        <f>'ANALYSE - ERP =&gt; SOUS-SEGMENT'!$HS$122</f>
        <v>1699.9569240000003</v>
      </c>
      <c r="V53" s="427">
        <f>'ANALYSE - ERP =&gt; SOUS-SEGMENT'!$HV$122</f>
        <v>1263.20344</v>
      </c>
      <c r="X53" s="427">
        <f>'ANALYSE - ERP =&gt; SOUS-SEGMENT'!$FL$122</f>
        <v>690.89535999999998</v>
      </c>
      <c r="Y53" s="427">
        <f>'ANALYSE - ERP =&gt; SOUS-SEGMENT'!$HQ$122</f>
        <v>138.17907199999999</v>
      </c>
      <c r="Z53" s="427">
        <f>'ANALYSE - ERP =&gt; SOUS-SEGMENT'!$HT$122</f>
        <v>310.90291200000001</v>
      </c>
      <c r="AA53" s="427">
        <f>'ANALYSE - ERP =&gt; SOUS-SEGMENT'!$HW$122</f>
        <v>241.81337599999998</v>
      </c>
      <c r="AC53" s="430">
        <f>'ANALYSE - ERP =&gt; SOUS-SEGMENT'!$Q$122</f>
        <v>1</v>
      </c>
    </row>
    <row r="54" spans="1:29" ht="15" customHeight="1">
      <c r="A54" s="26">
        <v>51</v>
      </c>
      <c r="B54" s="26">
        <v>51</v>
      </c>
      <c r="C54" s="26">
        <v>49</v>
      </c>
      <c r="D54" s="422" t="e">
        <f>'ANALYSE - ERP =&gt; SOUS-SEGMENT'!#REF!</f>
        <v>#REF!</v>
      </c>
      <c r="E54" s="410" t="e">
        <f>'ANALYSE - ERP =&gt; SOUS-SEGMENT'!#REF!</f>
        <v>#REF!</v>
      </c>
      <c r="F54" s="410" t="e">
        <f>'ANALYSE - ERP =&gt; SOUS-SEGMENT'!#REF!</f>
        <v>#REF!</v>
      </c>
      <c r="G54" s="410" t="e">
        <f>'ANALYSE - ERP =&gt; SOUS-SEGMENT'!#REF!</f>
        <v>#REF!</v>
      </c>
      <c r="I54" s="427" t="e">
        <f t="shared" si="5"/>
        <v>#REF!</v>
      </c>
      <c r="K54" s="787" t="str">
        <f t="shared" si="3"/>
        <v/>
      </c>
      <c r="L54" s="787" t="str">
        <f t="shared" si="4"/>
        <v/>
      </c>
      <c r="N54" s="424" t="e">
        <f>'ANALYSE - ERP =&gt; SOUS-SEGMENT'!#REF!</f>
        <v>#REF!</v>
      </c>
      <c r="O54" s="427" t="e">
        <f>'ANALYSE - ERP =&gt; SOUS-SEGMENT'!#REF!</f>
        <v>#REF!</v>
      </c>
      <c r="P54" s="427" t="e">
        <f>'ANALYSE - ERP =&gt; SOUS-SEGMENT'!#REF!</f>
        <v>#REF!</v>
      </c>
      <c r="Q54" s="427" t="e">
        <f>'ANALYSE - ERP =&gt; SOUS-SEGMENT'!#REF!</f>
        <v>#REF!</v>
      </c>
      <c r="S54" s="424" t="e">
        <f>'ANALYSE - ERP =&gt; SOUS-SEGMENT'!#REF!</f>
        <v>#REF!</v>
      </c>
      <c r="T54" s="427" t="e">
        <f>'ANALYSE - ERP =&gt; SOUS-SEGMENT'!#REF!</f>
        <v>#REF!</v>
      </c>
      <c r="U54" s="427" t="e">
        <f>'ANALYSE - ERP =&gt; SOUS-SEGMENT'!#REF!</f>
        <v>#REF!</v>
      </c>
      <c r="V54" s="427" t="e">
        <f>'ANALYSE - ERP =&gt; SOUS-SEGMENT'!#REF!</f>
        <v>#REF!</v>
      </c>
      <c r="X54" s="427" t="e">
        <f>'ANALYSE - ERP =&gt; SOUS-SEGMENT'!#REF!</f>
        <v>#REF!</v>
      </c>
      <c r="Y54" s="427" t="e">
        <f>'ANALYSE - ERP =&gt; SOUS-SEGMENT'!#REF!</f>
        <v>#REF!</v>
      </c>
      <c r="Z54" s="427" t="e">
        <f>'ANALYSE - ERP =&gt; SOUS-SEGMENT'!#REF!</f>
        <v>#REF!</v>
      </c>
      <c r="AA54" s="427" t="e">
        <f>'ANALYSE - ERP =&gt; SOUS-SEGMENT'!#REF!</f>
        <v>#REF!</v>
      </c>
      <c r="AC54" s="430" t="e">
        <f>'ANALYSE - ERP =&gt; SOUS-SEGMENT'!#REF!</f>
        <v>#REF!</v>
      </c>
    </row>
    <row r="55" spans="1:29" ht="15" customHeight="1">
      <c r="A55" s="26">
        <v>52</v>
      </c>
      <c r="B55" s="26">
        <v>50</v>
      </c>
      <c r="C55" s="26">
        <v>56</v>
      </c>
      <c r="D55" s="422">
        <f>'ANALYSE - ERP =&gt; SOUS-SEGMENT'!$A$60</f>
        <v>53</v>
      </c>
      <c r="E55" s="413" t="str">
        <f>'ANALYSE - ERP =&gt; SOUS-SEGMENT'!$B$60</f>
        <v>Santé &amp; Médico-social</v>
      </c>
      <c r="F55" s="413" t="str">
        <f>'ANALYSE - ERP =&gt; SOUS-SEGMENT'!$C$60</f>
        <v>Médico-social</v>
      </c>
      <c r="G55" s="413" t="str">
        <f>'ANALYSE - ERP =&gt; SOUS-SEGMENT'!$D$60</f>
        <v>Résidences autonomie
Foyers-logements
(Public)</v>
      </c>
      <c r="I55" s="427">
        <f t="shared" si="5"/>
        <v>1045.7144997692308</v>
      </c>
      <c r="K55" s="787">
        <f t="shared" si="3"/>
        <v>0.81484293462247237</v>
      </c>
      <c r="L55" s="787">
        <f t="shared" si="4"/>
        <v>0.18515706537752757</v>
      </c>
      <c r="N55" s="424">
        <f>'ANALYSE - ERP =&gt; SOUS-SEGMENT'!$FJ$60</f>
        <v>5228.5724988461534</v>
      </c>
      <c r="O55" s="427">
        <f>'ANALYSE - ERP =&gt; SOUS-SEGMENT'!$HO$60</f>
        <v>3449.2724237999992</v>
      </c>
      <c r="P55" s="427">
        <f>'ANALYSE - ERP =&gt; SOUS-SEGMENT'!$HR$60</f>
        <v>1107.9410889461537</v>
      </c>
      <c r="Q55" s="427">
        <f>'ANALYSE - ERP =&gt; SOUS-SEGMENT'!$HU$60</f>
        <v>671.35898610000004</v>
      </c>
      <c r="S55" s="424">
        <f>'ANALYSE - ERP =&gt; SOUS-SEGMENT'!$FK$60</f>
        <v>4260.4653588461533</v>
      </c>
      <c r="T55" s="427">
        <f>'ANALYSE - ERP =&gt; SOUS-SEGMENT'!$HP$60</f>
        <v>2800.6406399999992</v>
      </c>
      <c r="U55" s="427">
        <f>'ANALYSE - ERP =&gt; SOUS-SEGMENT'!$HS$60</f>
        <v>899.79805384615383</v>
      </c>
      <c r="V55" s="427">
        <f>'ANALYSE - ERP =&gt; SOUS-SEGMENT'!$HV$60</f>
        <v>560.02666499999998</v>
      </c>
      <c r="X55" s="427">
        <f>'ANALYSE - ERP =&gt; SOUS-SEGMENT'!$FL$60</f>
        <v>968.10713999999996</v>
      </c>
      <c r="Y55" s="427">
        <f>'ANALYSE - ERP =&gt; SOUS-SEGMENT'!$HQ$60</f>
        <v>648.63178379999999</v>
      </c>
      <c r="Z55" s="427">
        <f>'ANALYSE - ERP =&gt; SOUS-SEGMENT'!$HT$60</f>
        <v>208.14303509999999</v>
      </c>
      <c r="AA55" s="427">
        <f>'ANALYSE - ERP =&gt; SOUS-SEGMENT'!$HW$60</f>
        <v>111.3323211</v>
      </c>
      <c r="AC55" s="430">
        <f>'ANALYSE - ERP =&gt; SOUS-SEGMENT'!$Q$60</f>
        <v>1</v>
      </c>
    </row>
    <row r="56" spans="1:29" ht="15" customHeight="1">
      <c r="A56" s="26">
        <v>53</v>
      </c>
      <c r="B56" s="26">
        <v>52</v>
      </c>
      <c r="C56" s="26">
        <v>53</v>
      </c>
      <c r="D56" s="422">
        <f>'ANALYSE - ERP =&gt; SOUS-SEGMENT'!$A$70</f>
        <v>63</v>
      </c>
      <c r="E56" s="409" t="str">
        <f>'ANALYSE - ERP =&gt; SOUS-SEGMENT'!$B$70</f>
        <v>Culture, Patrimoine &amp; Evénementiel</v>
      </c>
      <c r="F56" s="409" t="str">
        <f>'ANALYSE - ERP =&gt; SOUS-SEGMENT'!$C$70</f>
        <v>Expositions / salons</v>
      </c>
      <c r="G56" s="409" t="str">
        <f>'ANALYSE - ERP =&gt; SOUS-SEGMENT'!$D$70</f>
        <v>Foires / Salons</v>
      </c>
      <c r="I56" s="427">
        <f t="shared" si="5"/>
        <v>1004.3660784333335</v>
      </c>
      <c r="K56" s="787">
        <f t="shared" si="3"/>
        <v>0.79546923735175168</v>
      </c>
      <c r="L56" s="787">
        <f t="shared" si="4"/>
        <v>0.20453076264824827</v>
      </c>
      <c r="N56" s="424">
        <f>'ANALYSE - ERP =&gt; SOUS-SEGMENT'!$FJ$70</f>
        <v>5021.8303921666675</v>
      </c>
      <c r="O56" s="427">
        <f>'ANALYSE - ERP =&gt; SOUS-SEGMENT'!$HO$70</f>
        <v>1178.3692901666668</v>
      </c>
      <c r="P56" s="427">
        <f>'ANALYSE - ERP =&gt; SOUS-SEGMENT'!$HR$70</f>
        <v>2619.6495500000001</v>
      </c>
      <c r="Q56" s="427">
        <f>'ANALYSE - ERP =&gt; SOUS-SEGMENT'!$HU$70</f>
        <v>1223.8115520000001</v>
      </c>
      <c r="S56" s="424">
        <f>'ANALYSE - ERP =&gt; SOUS-SEGMENT'!$FK$70</f>
        <v>3994.7115921666673</v>
      </c>
      <c r="T56" s="427">
        <f>'ANALYSE - ERP =&gt; SOUS-SEGMENT'!$HP$70</f>
        <v>1003.7590941666667</v>
      </c>
      <c r="U56" s="427">
        <f>'ANALYSE - ERP =&gt; SOUS-SEGMENT'!$HS$70</f>
        <v>2023.9206460000003</v>
      </c>
      <c r="V56" s="427">
        <f>'ANALYSE - ERP =&gt; SOUS-SEGMENT'!$HV$70</f>
        <v>967.03185199999996</v>
      </c>
      <c r="X56" s="427">
        <f>'ANALYSE - ERP =&gt; SOUS-SEGMENT'!$FL$70</f>
        <v>1027.1188000000002</v>
      </c>
      <c r="Y56" s="427">
        <f>'ANALYSE - ERP =&gt; SOUS-SEGMENT'!$HQ$70</f>
        <v>174.61019600000006</v>
      </c>
      <c r="Z56" s="427">
        <f>'ANALYSE - ERP =&gt; SOUS-SEGMENT'!$HT$70</f>
        <v>595.72890400000006</v>
      </c>
      <c r="AA56" s="427">
        <f>'ANALYSE - ERP =&gt; SOUS-SEGMENT'!$HW$70</f>
        <v>256.77970000000005</v>
      </c>
      <c r="AC56" s="430">
        <f>'ANALYSE - ERP =&gt; SOUS-SEGMENT'!$Q$70</f>
        <v>1</v>
      </c>
    </row>
    <row r="57" spans="1:29" ht="15" customHeight="1">
      <c r="A57" s="26">
        <v>54</v>
      </c>
      <c r="B57" s="26">
        <v>74</v>
      </c>
      <c r="C57" s="26">
        <v>35</v>
      </c>
      <c r="D57" s="422">
        <f>'ANALYSE - ERP =&gt; SOUS-SEGMENT'!$A$61</f>
        <v>54</v>
      </c>
      <c r="E57" s="409" t="str">
        <f>'ANALYSE - ERP =&gt; SOUS-SEGMENT'!$B$61</f>
        <v>Santé &amp; Médico-social</v>
      </c>
      <c r="F57" s="409" t="str">
        <f>'ANALYSE - ERP =&gt; SOUS-SEGMENT'!$C$61</f>
        <v>Médico-social</v>
      </c>
      <c r="G57" s="409" t="str">
        <f>'ANALYSE - ERP =&gt; SOUS-SEGMENT'!$D$61</f>
        <v>Résidences services seniors
(Privé)</v>
      </c>
      <c r="I57" s="427">
        <f t="shared" si="5"/>
        <v>970.27959050256413</v>
      </c>
      <c r="K57" s="787">
        <f t="shared" si="3"/>
        <v>0.27353304459913069</v>
      </c>
      <c r="L57" s="787">
        <f t="shared" si="4"/>
        <v>0.72646695540086925</v>
      </c>
      <c r="N57" s="424">
        <f>'ANALYSE - ERP =&gt; SOUS-SEGMENT'!$FJ$61</f>
        <v>4851.3979525128207</v>
      </c>
      <c r="O57" s="427">
        <f>'ANALYSE - ERP =&gt; SOUS-SEGMENT'!$HO$61</f>
        <v>3139.1276116666668</v>
      </c>
      <c r="P57" s="427">
        <f>'ANALYSE - ERP =&gt; SOUS-SEGMENT'!$HR$61</f>
        <v>1058.4280783461538</v>
      </c>
      <c r="Q57" s="427">
        <f>'ANALYSE - ERP =&gt; SOUS-SEGMENT'!$HU$61</f>
        <v>653.84226250000006</v>
      </c>
      <c r="S57" s="424">
        <f>'ANALYSE - ERP =&gt; SOUS-SEGMENT'!$FK$61</f>
        <v>1327.0176525128206</v>
      </c>
      <c r="T57" s="427">
        <f>'ANALYSE - ERP =&gt; SOUS-SEGMENT'!$HP$61</f>
        <v>777.79281066666681</v>
      </c>
      <c r="U57" s="427">
        <f>'ANALYSE - ERP =&gt; SOUS-SEGMENT'!$HS$61</f>
        <v>300.68631384615384</v>
      </c>
      <c r="V57" s="427">
        <f>'ANALYSE - ERP =&gt; SOUS-SEGMENT'!$HV$61</f>
        <v>248.53852800000001</v>
      </c>
      <c r="X57" s="427">
        <f>'ANALYSE - ERP =&gt; SOUS-SEGMENT'!$FL$61</f>
        <v>3524.3802999999998</v>
      </c>
      <c r="Y57" s="427">
        <f>'ANALYSE - ERP =&gt; SOUS-SEGMENT'!$HQ$61</f>
        <v>2361.334801</v>
      </c>
      <c r="Z57" s="427">
        <f>'ANALYSE - ERP =&gt; SOUS-SEGMENT'!$HT$61</f>
        <v>757.74176449999993</v>
      </c>
      <c r="AA57" s="427">
        <f>'ANALYSE - ERP =&gt; SOUS-SEGMENT'!$HW$61</f>
        <v>405.30373450000002</v>
      </c>
      <c r="AC57" s="430">
        <f>'ANALYSE - ERP =&gt; SOUS-SEGMENT'!$Q$61</f>
        <v>1</v>
      </c>
    </row>
    <row r="58" spans="1:29" ht="15" customHeight="1">
      <c r="A58" s="26">
        <v>55</v>
      </c>
      <c r="B58" s="26">
        <v>53</v>
      </c>
      <c r="C58" s="26">
        <v>50</v>
      </c>
      <c r="D58" s="422">
        <f>'ANALYSE - ERP =&gt; SOUS-SEGMENT'!$A$123</f>
        <v>116</v>
      </c>
      <c r="E58" s="408" t="str">
        <f>'ANALYSE - ERP =&gt; SOUS-SEGMENT'!$B$123</f>
        <v>Transport, Mobilité &amp; Stationnement</v>
      </c>
      <c r="F58" s="408" t="str">
        <f>'ANALYSE - ERP =&gt; SOUS-SEGMENT'!$C$123</f>
        <v>Transport / Mobilité</v>
      </c>
      <c r="G58" s="408" t="str">
        <f>'ANALYSE - ERP =&gt; SOUS-SEGMENT'!$D$123</f>
        <v>Parcs de stationnement couverts (dotés de sanitaires)</v>
      </c>
      <c r="I58" s="427">
        <f t="shared" si="5"/>
        <v>99.444993999999994</v>
      </c>
      <c r="K58" s="787">
        <f t="shared" si="3"/>
        <v>0.76882536691590531</v>
      </c>
      <c r="L58" s="787">
        <f t="shared" si="4"/>
        <v>0.23117463308409469</v>
      </c>
      <c r="N58" s="424">
        <f>'ANALYSE - ERP =&gt; SOUS-SEGMENT'!$FJ$123</f>
        <v>497.22496999999998</v>
      </c>
      <c r="O58" s="427">
        <f>'ANALYSE - ERP =&gt; SOUS-SEGMENT'!$HO$123</f>
        <v>112.87343999999999</v>
      </c>
      <c r="P58" s="427">
        <f>'ANALYSE - ERP =&gt; SOUS-SEGMENT'!$HR$123</f>
        <v>254.47216400000002</v>
      </c>
      <c r="Q58" s="427">
        <f>'ANALYSE - ERP =&gt; SOUS-SEGMENT'!$HU$123</f>
        <v>129.879366</v>
      </c>
      <c r="S58" s="424">
        <f>'ANALYSE - ERP =&gt; SOUS-SEGMENT'!$FK$123</f>
        <v>382.27917000000002</v>
      </c>
      <c r="T58" s="427">
        <f>'ANALYSE - ERP =&gt; SOUS-SEGMENT'!$HP$123</f>
        <v>95.631569999999996</v>
      </c>
      <c r="U58" s="427">
        <f>'ANALYSE - ERP =&gt; SOUS-SEGMENT'!$HS$123</f>
        <v>187.80360000000002</v>
      </c>
      <c r="V58" s="427">
        <f>'ANALYSE - ERP =&gt; SOUS-SEGMENT'!$HV$123</f>
        <v>98.844000000000008</v>
      </c>
      <c r="X58" s="427">
        <f>'ANALYSE - ERP =&gt; SOUS-SEGMENT'!$FL$123</f>
        <v>114.94579999999999</v>
      </c>
      <c r="Y58" s="427">
        <f>'ANALYSE - ERP =&gt; SOUS-SEGMENT'!$HQ$123</f>
        <v>17.241869999999999</v>
      </c>
      <c r="Z58" s="427">
        <f>'ANALYSE - ERP =&gt; SOUS-SEGMENT'!$HT$123</f>
        <v>66.668563999999989</v>
      </c>
      <c r="AA58" s="427">
        <f>'ANALYSE - ERP =&gt; SOUS-SEGMENT'!$HW$123</f>
        <v>31.035366</v>
      </c>
      <c r="AC58" s="430">
        <f>'ANALYSE - ERP =&gt; SOUS-SEGMENT'!$Q$123</f>
        <v>1</v>
      </c>
    </row>
    <row r="59" spans="1:29" ht="15" customHeight="1">
      <c r="A59" s="26">
        <v>56</v>
      </c>
      <c r="B59" s="26">
        <v>54</v>
      </c>
      <c r="C59" s="26">
        <v>52</v>
      </c>
      <c r="D59" s="422">
        <f>'ANALYSE - ERP =&gt; SOUS-SEGMENT'!$A$43</f>
        <v>36</v>
      </c>
      <c r="E59" s="414" t="str">
        <f>'ANALYSE - ERP =&gt; SOUS-SEGMENT'!$B$43</f>
        <v>Santé &amp; Médico-social</v>
      </c>
      <c r="F59" s="414" t="str">
        <f>'ANALYSE - ERP =&gt; SOUS-SEGMENT'!$C$43</f>
        <v>Santé hospitalière</v>
      </c>
      <c r="G59" s="414" t="str">
        <f>'ANALYSE - ERP =&gt; SOUS-SEGMENT'!$D$43</f>
        <v>Hôpitaux universitaires / CHU</v>
      </c>
      <c r="I59" s="427">
        <f t="shared" si="5"/>
        <v>980.91391999999996</v>
      </c>
      <c r="K59" s="787">
        <f t="shared" si="3"/>
        <v>0.76173860393376824</v>
      </c>
      <c r="L59" s="787">
        <f t="shared" si="4"/>
        <v>0.23826139606623181</v>
      </c>
      <c r="N59" s="424">
        <f>'ANALYSE - ERP =&gt; SOUS-SEGMENT'!$FJ$43</f>
        <v>4904.5695999999998</v>
      </c>
      <c r="O59" s="427">
        <f>'ANALYSE - ERP =&gt; SOUS-SEGMENT'!$HO$43</f>
        <v>3279.57024</v>
      </c>
      <c r="P59" s="427">
        <f>'ANALYSE - ERP =&gt; SOUS-SEGMENT'!$HR$43</f>
        <v>977.08531199999993</v>
      </c>
      <c r="Q59" s="427">
        <f>'ANALYSE - ERP =&gt; SOUS-SEGMENT'!$HU$43</f>
        <v>647.91404799999998</v>
      </c>
      <c r="S59" s="424">
        <f>'ANALYSE - ERP =&gt; SOUS-SEGMENT'!$FK$43</f>
        <v>3736</v>
      </c>
      <c r="T59" s="427">
        <f>'ANALYSE - ERP =&gt; SOUS-SEGMENT'!$HP$43</f>
        <v>2520</v>
      </c>
      <c r="U59" s="427">
        <f>'ANALYSE - ERP =&gt; SOUS-SEGMENT'!$HS$43</f>
        <v>720</v>
      </c>
      <c r="V59" s="427">
        <f>'ANALYSE - ERP =&gt; SOUS-SEGMENT'!$HV$43</f>
        <v>496</v>
      </c>
      <c r="X59" s="427">
        <f>'ANALYSE - ERP =&gt; SOUS-SEGMENT'!$FL$43</f>
        <v>1168.5696</v>
      </c>
      <c r="Y59" s="427">
        <f>'ANALYSE - ERP =&gt; SOUS-SEGMENT'!$HQ$43</f>
        <v>759.57024000000001</v>
      </c>
      <c r="Z59" s="427">
        <f>'ANALYSE - ERP =&gt; SOUS-SEGMENT'!$HT$43</f>
        <v>257.08531199999999</v>
      </c>
      <c r="AA59" s="427">
        <f>'ANALYSE - ERP =&gt; SOUS-SEGMENT'!$HW$43</f>
        <v>151.91404800000001</v>
      </c>
      <c r="AC59" s="430">
        <f>'ANALYSE - ERP =&gt; SOUS-SEGMENT'!$Q$43</f>
        <v>1</v>
      </c>
    </row>
    <row r="60" spans="1:29" ht="15" customHeight="1">
      <c r="A60" s="26">
        <v>57</v>
      </c>
      <c r="B60" s="26">
        <v>55</v>
      </c>
      <c r="C60" s="26">
        <v>55</v>
      </c>
      <c r="D60" s="422">
        <f>'ANALYSE - ERP =&gt; SOUS-SEGMENT'!$A$116</f>
        <v>109</v>
      </c>
      <c r="E60" s="409" t="str">
        <f>'ANALYSE - ERP =&gt; SOUS-SEGMENT'!$B$116</f>
        <v>Culte, Vie civique &amp; Services publics</v>
      </c>
      <c r="F60" s="409" t="str">
        <f>'ANALYSE - ERP =&gt; SOUS-SEGMENT'!$C$116</f>
        <v>Culte</v>
      </c>
      <c r="G60" s="409" t="str">
        <f>'ANALYSE - ERP =&gt; SOUS-SEGMENT'!$D$116</f>
        <v>Mosquées et salles de prière musulmanes</v>
      </c>
      <c r="I60" s="427">
        <f t="shared" si="5"/>
        <v>1354.3935999999999</v>
      </c>
      <c r="K60" s="787">
        <f t="shared" si="3"/>
        <v>0.78677276679393648</v>
      </c>
      <c r="L60" s="787">
        <f t="shared" si="4"/>
        <v>0.21322723320606357</v>
      </c>
      <c r="N60" s="424">
        <f>'ANALYSE - ERP =&gt; SOUS-SEGMENT'!$FJ$116</f>
        <v>6771.9679999999998</v>
      </c>
      <c r="O60" s="427">
        <f>'ANALYSE - ERP =&gt; SOUS-SEGMENT'!$HO$116</f>
        <v>1548.5952000000002</v>
      </c>
      <c r="P60" s="427">
        <f>'ANALYSE - ERP =&gt; SOUS-SEGMENT'!$HR$116</f>
        <v>3442.3014400000002</v>
      </c>
      <c r="Q60" s="427">
        <f>'ANALYSE - ERP =&gt; SOUS-SEGMENT'!$HU$116</f>
        <v>1781.0713599999999</v>
      </c>
      <c r="S60" s="424">
        <f>'ANALYSE - ERP =&gt; SOUS-SEGMENT'!$FK$116</f>
        <v>5328</v>
      </c>
      <c r="T60" s="427">
        <f>'ANALYSE - ERP =&gt; SOUS-SEGMENT'!$HP$116</f>
        <v>1332.0000000000002</v>
      </c>
      <c r="U60" s="427">
        <f>'ANALYSE - ERP =&gt; SOUS-SEGMENT'!$HS$116</f>
        <v>2604.8000000000002</v>
      </c>
      <c r="V60" s="427">
        <f>'ANALYSE - ERP =&gt; SOUS-SEGMENT'!$HV$116</f>
        <v>1391.1999999999998</v>
      </c>
      <c r="X60" s="427">
        <f>'ANALYSE - ERP =&gt; SOUS-SEGMENT'!$FL$116</f>
        <v>1443.9679999999998</v>
      </c>
      <c r="Y60" s="427">
        <f>'ANALYSE - ERP =&gt; SOUS-SEGMENT'!$HQ$116</f>
        <v>216.59519999999998</v>
      </c>
      <c r="Z60" s="427">
        <f>'ANALYSE - ERP =&gt; SOUS-SEGMENT'!$HT$116</f>
        <v>837.50143999999989</v>
      </c>
      <c r="AA60" s="427">
        <f>'ANALYSE - ERP =&gt; SOUS-SEGMENT'!$HW$116</f>
        <v>389.87135999999998</v>
      </c>
      <c r="AC60" s="430">
        <f>'ANALYSE - ERP =&gt; SOUS-SEGMENT'!$Q$116</f>
        <v>1</v>
      </c>
    </row>
    <row r="61" spans="1:29" ht="15" customHeight="1">
      <c r="A61" s="26">
        <v>58</v>
      </c>
      <c r="B61" s="26">
        <v>60</v>
      </c>
      <c r="C61" s="26">
        <v>46</v>
      </c>
      <c r="D61" s="422">
        <f>'ANALYSE - ERP =&gt; SOUS-SEGMENT'!$A$53</f>
        <v>46</v>
      </c>
      <c r="E61" s="415" t="str">
        <f>'ANALYSE - ERP =&gt; SOUS-SEGMENT'!$B$53</f>
        <v>Santé &amp; Médico-social</v>
      </c>
      <c r="F61" s="415" t="str">
        <f>'ANALYSE - ERP =&gt; SOUS-SEGMENT'!$C$53</f>
        <v>Santé ambulatoire</v>
      </c>
      <c r="G61" s="415" t="str">
        <f>'ANALYSE - ERP =&gt; SOUS-SEGMENT'!$D$53</f>
        <v>Centres de santé / Centres médicaux</v>
      </c>
      <c r="I61" s="427">
        <f t="shared" si="5"/>
        <v>849.50735159999999</v>
      </c>
      <c r="K61" s="787">
        <f t="shared" si="3"/>
        <v>0.64734024321773742</v>
      </c>
      <c r="L61" s="787">
        <f t="shared" si="4"/>
        <v>0.35265975678226252</v>
      </c>
      <c r="N61" s="424">
        <f>'ANALYSE - ERP =&gt; SOUS-SEGMENT'!$FJ$53</f>
        <v>4247.5367580000002</v>
      </c>
      <c r="O61" s="427">
        <f>'ANALYSE - ERP =&gt; SOUS-SEGMENT'!$HO$53</f>
        <v>2330.6635965</v>
      </c>
      <c r="P61" s="427">
        <f>'ANALYSE - ERP =&gt; SOUS-SEGMENT'!$HR$53</f>
        <v>831.81215910000014</v>
      </c>
      <c r="Q61" s="427">
        <f>'ANALYSE - ERP =&gt; SOUS-SEGMENT'!$HU$53</f>
        <v>1085.0610024</v>
      </c>
      <c r="S61" s="424">
        <f>'ANALYSE - ERP =&gt; SOUS-SEGMENT'!$FK$53</f>
        <v>2749.601478</v>
      </c>
      <c r="T61" s="427">
        <f>'ANALYSE - ERP =&gt; SOUS-SEGMENT'!$HP$53</f>
        <v>1506.7991924999999</v>
      </c>
      <c r="U61" s="427">
        <f>'ANALYSE - ERP =&gt; SOUS-SEGMENT'!$HS$53</f>
        <v>502.2663975000001</v>
      </c>
      <c r="V61" s="427">
        <f>'ANALYSE - ERP =&gt; SOUS-SEGMENT'!$HV$53</f>
        <v>740.535888</v>
      </c>
      <c r="X61" s="427">
        <f>'ANALYSE - ERP =&gt; SOUS-SEGMENT'!$FL$53</f>
        <v>1497.9352799999999</v>
      </c>
      <c r="Y61" s="427">
        <f>'ANALYSE - ERP =&gt; SOUS-SEGMENT'!$HQ$53</f>
        <v>823.86440400000004</v>
      </c>
      <c r="Z61" s="427">
        <f>'ANALYSE - ERP =&gt; SOUS-SEGMENT'!$HT$53</f>
        <v>329.54576159999999</v>
      </c>
      <c r="AA61" s="427">
        <f>'ANALYSE - ERP =&gt; SOUS-SEGMENT'!$HW$53</f>
        <v>344.52511440000001</v>
      </c>
      <c r="AC61" s="430">
        <f>'ANALYSE - ERP =&gt; SOUS-SEGMENT'!$Q$53</f>
        <v>1</v>
      </c>
    </row>
    <row r="62" spans="1:29" ht="15" customHeight="1">
      <c r="A62" s="26">
        <v>59</v>
      </c>
      <c r="B62" s="26">
        <v>56</v>
      </c>
      <c r="C62" s="26">
        <v>61</v>
      </c>
      <c r="D62" s="422">
        <f>'ANALYSE - ERP =&gt; SOUS-SEGMENT'!$A$41</f>
        <v>34</v>
      </c>
      <c r="E62" s="410" t="str">
        <f>'ANALYSE - ERP =&gt; SOUS-SEGMENT'!$B$41</f>
        <v>Sports &amp; Loisirs</v>
      </c>
      <c r="F62" s="410" t="str">
        <f>'ANALYSE - ERP =&gt; SOUS-SEGMENT'!$C$41</f>
        <v>Loisirs</v>
      </c>
      <c r="G62" s="410" t="str">
        <f>'ANALYSE - ERP =&gt; SOUS-SEGMENT'!$D$41</f>
        <v>Salles de jeux / Bowlings / Billards</v>
      </c>
      <c r="I62" s="427">
        <f t="shared" si="5"/>
        <v>800.03796249999994</v>
      </c>
      <c r="K62" s="787">
        <f t="shared" si="3"/>
        <v>0.79821182547946912</v>
      </c>
      <c r="L62" s="787">
        <f t="shared" si="4"/>
        <v>0.20178817452053097</v>
      </c>
      <c r="N62" s="424">
        <f>'ANALYSE - ERP =&gt; SOUS-SEGMENT'!$FJ$41</f>
        <v>4000.1898124999998</v>
      </c>
      <c r="O62" s="427">
        <f>'ANALYSE - ERP =&gt; SOUS-SEGMENT'!$HO$41</f>
        <v>913.33707500000003</v>
      </c>
      <c r="P62" s="427">
        <f>'ANALYSE - ERP =&gt; SOUS-SEGMENT'!$HR$41</f>
        <v>2063.96533</v>
      </c>
      <c r="Q62" s="427">
        <f>'ANALYSE - ERP =&gt; SOUS-SEGMENT'!$HU$41</f>
        <v>1022.8874074999999</v>
      </c>
      <c r="S62" s="424">
        <f>'ANALYSE - ERP =&gt; SOUS-SEGMENT'!$FK$41</f>
        <v>3192.9988125</v>
      </c>
      <c r="T62" s="427">
        <f>'ANALYSE - ERP =&gt; SOUS-SEGMENT'!$HP$41</f>
        <v>792.25842499999999</v>
      </c>
      <c r="U62" s="427">
        <f>'ANALYSE - ERP =&gt; SOUS-SEGMENT'!$HS$41</f>
        <v>1595.7945500000001</v>
      </c>
      <c r="V62" s="427">
        <f>'ANALYSE - ERP =&gt; SOUS-SEGMENT'!$HV$41</f>
        <v>804.94583749999993</v>
      </c>
      <c r="X62" s="427">
        <f>'ANALYSE - ERP =&gt; SOUS-SEGMENT'!$FL$41</f>
        <v>807.19100000000003</v>
      </c>
      <c r="Y62" s="427">
        <f>'ANALYSE - ERP =&gt; SOUS-SEGMENT'!$HQ$41</f>
        <v>121.07865</v>
      </c>
      <c r="Z62" s="427">
        <f>'ANALYSE - ERP =&gt; SOUS-SEGMENT'!$HT$41</f>
        <v>468.17077999999998</v>
      </c>
      <c r="AA62" s="427">
        <f>'ANALYSE - ERP =&gt; SOUS-SEGMENT'!$HW$41</f>
        <v>217.94157000000001</v>
      </c>
      <c r="AC62" s="430">
        <f>'ANALYSE - ERP =&gt; SOUS-SEGMENT'!$Q$41</f>
        <v>1</v>
      </c>
    </row>
    <row r="63" spans="1:29" ht="15" customHeight="1">
      <c r="A63" s="26">
        <v>60</v>
      </c>
      <c r="B63" s="26">
        <v>57</v>
      </c>
      <c r="C63" s="26">
        <v>65</v>
      </c>
      <c r="D63" s="422">
        <f>'ANALYSE - ERP =&gt; SOUS-SEGMENT'!$A$89</f>
        <v>82</v>
      </c>
      <c r="E63" s="409" t="str">
        <f>'ANALYSE - ERP =&gt; SOUS-SEGMENT'!$B$89</f>
        <v>Hébergement Touristique</v>
      </c>
      <c r="F63" s="409" t="str">
        <f>'ANALYSE - ERP =&gt; SOUS-SEGMENT'!$C$89</f>
        <v>Hébergement Touristique</v>
      </c>
      <c r="G63" s="409" t="str">
        <f>'ANALYSE - ERP =&gt; SOUS-SEGMENT'!$D$89</f>
        <v>Résidences de tourisme</v>
      </c>
      <c r="I63" s="427">
        <f t="shared" si="5"/>
        <v>712.00443076923079</v>
      </c>
      <c r="K63" s="787">
        <f t="shared" si="3"/>
        <v>0.65528304404674409</v>
      </c>
      <c r="L63" s="787">
        <f t="shared" si="4"/>
        <v>0.34471695595325597</v>
      </c>
      <c r="N63" s="424">
        <f>'ANALYSE - ERP =&gt; SOUS-SEGMENT'!$FJ$89</f>
        <v>3560.0221538461537</v>
      </c>
      <c r="O63" s="427">
        <f>'ANALYSE - ERP =&gt; SOUS-SEGMENT'!$HO$89</f>
        <v>2031.3403076923078</v>
      </c>
      <c r="P63" s="427">
        <f>'ANALYSE - ERP =&gt; SOUS-SEGMENT'!$HR$89</f>
        <v>1257.5578461538462</v>
      </c>
      <c r="Q63" s="427">
        <f>'ANALYSE - ERP =&gt; SOUS-SEGMENT'!$HU$89</f>
        <v>271.12399999999997</v>
      </c>
      <c r="S63" s="424">
        <f>'ANALYSE - ERP =&gt; SOUS-SEGMENT'!$FK$89</f>
        <v>2332.8221538461539</v>
      </c>
      <c r="T63" s="427">
        <f>'ANALYSE - ERP =&gt; SOUS-SEGMENT'!$HP$89</f>
        <v>1356.3803076923077</v>
      </c>
      <c r="U63" s="427">
        <f>'ANALYSE - ERP =&gt; SOUS-SEGMENT'!$HS$89</f>
        <v>791.22184615384629</v>
      </c>
      <c r="V63" s="427">
        <f>'ANALYSE - ERP =&gt; SOUS-SEGMENT'!$HV$89</f>
        <v>185.21999999999997</v>
      </c>
      <c r="X63" s="427">
        <f>'ANALYSE - ERP =&gt; SOUS-SEGMENT'!$FL$89</f>
        <v>1227.2</v>
      </c>
      <c r="Y63" s="427">
        <f>'ANALYSE - ERP =&gt; SOUS-SEGMENT'!$HQ$89</f>
        <v>674.96</v>
      </c>
      <c r="Z63" s="427">
        <f>'ANALYSE - ERP =&gt; SOUS-SEGMENT'!$HT$89</f>
        <v>466.33600000000001</v>
      </c>
      <c r="AA63" s="427">
        <f>'ANALYSE - ERP =&gt; SOUS-SEGMENT'!$HW$89</f>
        <v>85.904000000000011</v>
      </c>
      <c r="AC63" s="430">
        <f>'ANALYSE - ERP =&gt; SOUS-SEGMENT'!$Q$89</f>
        <v>1</v>
      </c>
    </row>
    <row r="64" spans="1:29" ht="15" customHeight="1">
      <c r="A64" s="26">
        <v>61</v>
      </c>
      <c r="B64" s="26">
        <v>59</v>
      </c>
      <c r="C64" s="26">
        <v>60</v>
      </c>
      <c r="D64" s="422">
        <f>'ANALYSE - ERP =&gt; SOUS-SEGMENT'!$A$115</f>
        <v>108</v>
      </c>
      <c r="E64" s="411" t="str">
        <f>'ANALYSE - ERP =&gt; SOUS-SEGMENT'!$B$115</f>
        <v>Culte, Vie civique &amp; Services publics</v>
      </c>
      <c r="F64" s="411" t="str">
        <f>'ANALYSE - ERP =&gt; SOUS-SEGMENT'!$C$115</f>
        <v>Culte</v>
      </c>
      <c r="G64" s="411" t="str">
        <f>'ANALYSE - ERP =&gt; SOUS-SEGMENT'!$D$115</f>
        <v>Temples protestants, évangéliques et salles de culte assimilées</v>
      </c>
      <c r="I64" s="427">
        <f t="shared" si="5"/>
        <v>466.77698571428573</v>
      </c>
      <c r="K64" s="787">
        <f t="shared" si="3"/>
        <v>0.68282497952754373</v>
      </c>
      <c r="L64" s="787">
        <f t="shared" si="4"/>
        <v>0.31717502047245627</v>
      </c>
      <c r="N64" s="424">
        <f>'ANALYSE - ERP =&gt; SOUS-SEGMENT'!$FJ$115</f>
        <v>2333.8849285714286</v>
      </c>
      <c r="O64" s="427">
        <f>'ANALYSE - ERP =&gt; SOUS-SEGMENT'!$HO$115</f>
        <v>1148.1085714285714</v>
      </c>
      <c r="P64" s="427">
        <f>'ANALYSE - ERP =&gt; SOUS-SEGMENT'!$HR$115</f>
        <v>680.75035714285718</v>
      </c>
      <c r="Q64" s="427">
        <f>'ANALYSE - ERP =&gt; SOUS-SEGMENT'!$HU$115</f>
        <v>505.02600000000001</v>
      </c>
      <c r="S64" s="424">
        <f>'ANALYSE - ERP =&gt; SOUS-SEGMENT'!$FK$115</f>
        <v>1593.6349285714286</v>
      </c>
      <c r="T64" s="427">
        <f>'ANALYSE - ERP =&gt; SOUS-SEGMENT'!$HP$115</f>
        <v>800.19107142857138</v>
      </c>
      <c r="U64" s="427">
        <f>'ANALYSE - ERP =&gt; SOUS-SEGMENT'!$HS$115</f>
        <v>436.46785714285716</v>
      </c>
      <c r="V64" s="427">
        <f>'ANALYSE - ERP =&gt; SOUS-SEGMENT'!$HV$115</f>
        <v>356.976</v>
      </c>
      <c r="X64" s="427">
        <f>'ANALYSE - ERP =&gt; SOUS-SEGMENT'!$FL$115</f>
        <v>740.25</v>
      </c>
      <c r="Y64" s="427">
        <f>'ANALYSE - ERP =&gt; SOUS-SEGMENT'!$HQ$115</f>
        <v>347.91749999999996</v>
      </c>
      <c r="Z64" s="427">
        <f>'ANALYSE - ERP =&gt; SOUS-SEGMENT'!$HT$115</f>
        <v>244.2825</v>
      </c>
      <c r="AA64" s="427">
        <f>'ANALYSE - ERP =&gt; SOUS-SEGMENT'!$HW$115</f>
        <v>148.05000000000001</v>
      </c>
      <c r="AC64" s="430">
        <f>'ANALYSE - ERP =&gt; SOUS-SEGMENT'!$Q$115</f>
        <v>1</v>
      </c>
    </row>
    <row r="65" spans="1:29" s="45" customFormat="1" ht="15" customHeight="1">
      <c r="A65" s="26">
        <v>62</v>
      </c>
      <c r="B65" s="26">
        <v>58</v>
      </c>
      <c r="C65" s="26">
        <v>69</v>
      </c>
      <c r="D65" s="422">
        <f>'ANALYSE - ERP =&gt; SOUS-SEGMENT'!$A$64</f>
        <v>57</v>
      </c>
      <c r="E65" s="411" t="str">
        <f>'ANALYSE - ERP =&gt; SOUS-SEGMENT'!$B$64</f>
        <v>Culture, Patrimoine &amp; Evénementiel</v>
      </c>
      <c r="F65" s="411" t="str">
        <f>'ANALYSE - ERP =&gt; SOUS-SEGMENT'!$C$64</f>
        <v>Culture / spectacle</v>
      </c>
      <c r="G65" s="411" t="str">
        <f>'ANALYSE - ERP =&gt; SOUS-SEGMENT'!$D$64</f>
        <v>Musées</v>
      </c>
      <c r="H65" s="685"/>
      <c r="I65" s="427">
        <f t="shared" si="5"/>
        <v>703.95222218461538</v>
      </c>
      <c r="J65" s="685"/>
      <c r="K65" s="787">
        <f t="shared" si="3"/>
        <v>0.84700111654487542</v>
      </c>
      <c r="L65" s="787">
        <f t="shared" si="4"/>
        <v>0.15299888345512466</v>
      </c>
      <c r="M65" s="685"/>
      <c r="N65" s="424">
        <f>'ANALYSE - ERP =&gt; SOUS-SEGMENT'!$FJ$64</f>
        <v>3519.761110923077</v>
      </c>
      <c r="O65" s="427">
        <f>'ANALYSE - ERP =&gt; SOUS-SEGMENT'!$HO$64</f>
        <v>1713.4839484000001</v>
      </c>
      <c r="P65" s="427">
        <f>'ANALYSE - ERP =&gt; SOUS-SEGMENT'!$HR$64</f>
        <v>1164.8844245230769</v>
      </c>
      <c r="Q65" s="427">
        <f>'ANALYSE - ERP =&gt; SOUS-SEGMENT'!$HU$64</f>
        <v>641.39273799999989</v>
      </c>
      <c r="R65" s="685"/>
      <c r="S65" s="424">
        <f>'ANALYSE - ERP =&gt; SOUS-SEGMENT'!$FK$64</f>
        <v>2981.2415909230772</v>
      </c>
      <c r="T65" s="427">
        <f>'ANALYSE - ERP =&gt; SOUS-SEGMENT'!$HP$64</f>
        <v>1487.3057500000002</v>
      </c>
      <c r="U65" s="427">
        <f>'ANALYSE - ERP =&gt; SOUS-SEGMENT'!$HS$64</f>
        <v>960.24700692307692</v>
      </c>
      <c r="V65" s="427">
        <f>'ANALYSE - ERP =&gt; SOUS-SEGMENT'!$HV$64</f>
        <v>533.68883399999993</v>
      </c>
      <c r="W65" s="685"/>
      <c r="X65" s="427">
        <f>'ANALYSE - ERP =&gt; SOUS-SEGMENT'!$FL$64</f>
        <v>538.51951999999994</v>
      </c>
      <c r="Y65" s="427">
        <f>'ANALYSE - ERP =&gt; SOUS-SEGMENT'!$HQ$64</f>
        <v>226.17819839999996</v>
      </c>
      <c r="Z65" s="427">
        <f>'ANALYSE - ERP =&gt; SOUS-SEGMENT'!$HT$64</f>
        <v>204.63741759999999</v>
      </c>
      <c r="AA65" s="427">
        <f>'ANALYSE - ERP =&gt; SOUS-SEGMENT'!$HW$64</f>
        <v>107.70390399999999</v>
      </c>
      <c r="AB65" s="685"/>
      <c r="AC65" s="430">
        <f>'ANALYSE - ERP =&gt; SOUS-SEGMENT'!$Q$64</f>
        <v>1</v>
      </c>
    </row>
    <row r="66" spans="1:29" ht="15" customHeight="1">
      <c r="A66" s="26">
        <v>63</v>
      </c>
      <c r="B66" s="26">
        <v>65</v>
      </c>
      <c r="C66" s="26">
        <v>47</v>
      </c>
      <c r="D66" s="422">
        <f>'ANALYSE - ERP =&gt; SOUS-SEGMENT'!$A$18</f>
        <v>11</v>
      </c>
      <c r="E66" s="418" t="str">
        <f>'ANALYSE - ERP =&gt; SOUS-SEGMENT'!$B$18</f>
        <v>Enfance, Enseignement, Jeunesse &amp; Formation</v>
      </c>
      <c r="F66" s="418" t="str">
        <f>'ANALYSE - ERP =&gt; SOUS-SEGMENT'!$C$18</f>
        <v>Enseignement supérieur</v>
      </c>
      <c r="G66" s="418" t="str">
        <f>'ANALYSE - ERP =&gt; SOUS-SEGMENT'!$D$18</f>
        <v>Résidences étudiantes et dortoirs</v>
      </c>
      <c r="I66" s="427">
        <f t="shared" si="5"/>
        <v>696.71365153520003</v>
      </c>
      <c r="K66" s="787">
        <f t="shared" si="3"/>
        <v>0.57930148583403862</v>
      </c>
      <c r="L66" s="787">
        <f t="shared" si="4"/>
        <v>0.42069851416596132</v>
      </c>
      <c r="N66" s="424">
        <f>'ANALYSE - ERP =&gt; SOUS-SEGMENT'!$FJ$18</f>
        <v>3483.568257676</v>
      </c>
      <c r="O66" s="427">
        <f>'ANALYSE - ERP =&gt; SOUS-SEGMENT'!$HO$18</f>
        <v>2016.8643551056002</v>
      </c>
      <c r="P66" s="427">
        <f>'ANALYSE - ERP =&gt; SOUS-SEGMENT'!$HR$18</f>
        <v>1263.2148498865999</v>
      </c>
      <c r="Q66" s="427">
        <f>'ANALYSE - ERP =&gt; SOUS-SEGMENT'!$HU$18</f>
        <v>203.48905268380003</v>
      </c>
      <c r="S66" s="424">
        <f>'ANALYSE - ERP =&gt; SOUS-SEGMENT'!$FK$18</f>
        <v>2018.0362676760001</v>
      </c>
      <c r="T66" s="427">
        <f>'ANALYSE - ERP =&gt; SOUS-SEGMENT'!$HP$18</f>
        <v>1210.8217606056</v>
      </c>
      <c r="U66" s="427">
        <f>'ANALYSE - ERP =&gt; SOUS-SEGMENT'!$HS$18</f>
        <v>706.31269368660003</v>
      </c>
      <c r="V66" s="427">
        <f>'ANALYSE - ERP =&gt; SOUS-SEGMENT'!$HV$18</f>
        <v>100.9018133838</v>
      </c>
      <c r="X66" s="427">
        <f>'ANALYSE - ERP =&gt; SOUS-SEGMENT'!$FL$18</f>
        <v>1465.53199</v>
      </c>
      <c r="Y66" s="427">
        <f>'ANALYSE - ERP =&gt; SOUS-SEGMENT'!$HQ$18</f>
        <v>806.04259450000006</v>
      </c>
      <c r="Z66" s="427">
        <f>'ANALYSE - ERP =&gt; SOUS-SEGMENT'!$HT$18</f>
        <v>556.90215620000004</v>
      </c>
      <c r="AA66" s="427">
        <f>'ANALYSE - ERP =&gt; SOUS-SEGMENT'!$HW$18</f>
        <v>102.58723930000001</v>
      </c>
      <c r="AC66" s="430">
        <f>'ANALYSE - ERP =&gt; SOUS-SEGMENT'!$Q$18</f>
        <v>1</v>
      </c>
    </row>
    <row r="67" spans="1:29" ht="15" customHeight="1">
      <c r="A67" s="26">
        <v>64</v>
      </c>
      <c r="B67" s="26">
        <v>63</v>
      </c>
      <c r="C67" s="26">
        <v>57</v>
      </c>
      <c r="D67" s="422">
        <f>'ANALYSE - ERP =&gt; SOUS-SEGMENT'!$A$81</f>
        <v>74</v>
      </c>
      <c r="E67" s="414" t="str">
        <f>'ANALYSE - ERP =&gt; SOUS-SEGMENT'!$B$81</f>
        <v>Commerce, Restauration &amp; Loisirs</v>
      </c>
      <c r="F67" s="414" t="str">
        <f>'ANALYSE - ERP =&gt; SOUS-SEGMENT'!$C$81</f>
        <v>Commerce</v>
      </c>
      <c r="G67" s="414" t="str">
        <f>'ANALYSE - ERP =&gt; SOUS-SEGMENT'!$D$81</f>
        <v>Marchés couverts</v>
      </c>
      <c r="I67" s="427">
        <f t="shared" si="5"/>
        <v>512.60701619999998</v>
      </c>
      <c r="K67" s="787">
        <f t="shared" ref="K67:K98" si="6">IFERROR(S67/N67,"")</f>
        <v>0.72494999962117168</v>
      </c>
      <c r="L67" s="787">
        <f t="shared" ref="L67:L98" si="7">IFERROR(X67/N67,"")</f>
        <v>0.27505000037882821</v>
      </c>
      <c r="N67" s="424">
        <f>'ANALYSE - ERP =&gt; SOUS-SEGMENT'!$FJ$81</f>
        <v>2563.035081</v>
      </c>
      <c r="O67" s="427">
        <f>'ANALYSE - ERP =&gt; SOUS-SEGMENT'!$HO$81</f>
        <v>1452.7539599999998</v>
      </c>
      <c r="P67" s="427">
        <f>'ANALYSE - ERP =&gt; SOUS-SEGMENT'!$HR$81</f>
        <v>677.54560500000002</v>
      </c>
      <c r="Q67" s="427">
        <f>'ANALYSE - ERP =&gt; SOUS-SEGMENT'!$HU$81</f>
        <v>432.73551600000002</v>
      </c>
      <c r="S67" s="424">
        <f>'ANALYSE - ERP =&gt; SOUS-SEGMENT'!$FK$81</f>
        <v>1858.0722809999997</v>
      </c>
      <c r="T67" s="427">
        <f>'ANALYSE - ERP =&gt; SOUS-SEGMENT'!$HP$81</f>
        <v>1121.4214439999998</v>
      </c>
      <c r="U67" s="427">
        <f>'ANALYSE - ERP =&gt; SOUS-SEGMENT'!$HS$81</f>
        <v>430.80862500000001</v>
      </c>
      <c r="V67" s="427">
        <f>'ANALYSE - ERP =&gt; SOUS-SEGMENT'!$HV$81</f>
        <v>305.84221200000002</v>
      </c>
      <c r="X67" s="427">
        <f>'ANALYSE - ERP =&gt; SOUS-SEGMENT'!$FL$81</f>
        <v>704.96280000000002</v>
      </c>
      <c r="Y67" s="427">
        <f>'ANALYSE - ERP =&gt; SOUS-SEGMENT'!$HQ$81</f>
        <v>331.332516</v>
      </c>
      <c r="Z67" s="427">
        <f>'ANALYSE - ERP =&gt; SOUS-SEGMENT'!$HT$81</f>
        <v>246.73697999999999</v>
      </c>
      <c r="AA67" s="427">
        <f>'ANALYSE - ERP =&gt; SOUS-SEGMENT'!$HW$81</f>
        <v>126.893304</v>
      </c>
      <c r="AC67" s="430">
        <f>'ANALYSE - ERP =&gt; SOUS-SEGMENT'!$Q$81</f>
        <v>1</v>
      </c>
    </row>
    <row r="68" spans="1:29" ht="15" customHeight="1">
      <c r="A68" s="26">
        <v>65</v>
      </c>
      <c r="B68" s="26">
        <v>62</v>
      </c>
      <c r="C68" s="26">
        <v>68</v>
      </c>
      <c r="D68" s="422">
        <f>'ANALYSE - ERP =&gt; SOUS-SEGMENT'!$A$124</f>
        <v>117</v>
      </c>
      <c r="E68" s="412" t="str">
        <f>'ANALYSE - ERP =&gt; SOUS-SEGMENT'!$B$124</f>
        <v>Transport, Mobilité &amp; Stationnement</v>
      </c>
      <c r="F68" s="412" t="str">
        <f>'ANALYSE - ERP =&gt; SOUS-SEGMENT'!$C$124</f>
        <v>Transport / Mobilité</v>
      </c>
      <c r="G68" s="412" t="str">
        <f>'ANALYSE - ERP =&gt; SOUS-SEGMENT'!$D$124</f>
        <v>Aéroports / aérogares
(&gt;1 000 passagers/an)</v>
      </c>
      <c r="I68" s="427">
        <f t="shared" ref="I68:I99" si="8">N68/5</f>
        <v>595.61975437500007</v>
      </c>
      <c r="K68" s="787">
        <f t="shared" si="6"/>
        <v>0.80832821752227668</v>
      </c>
      <c r="L68" s="787">
        <f t="shared" si="7"/>
        <v>0.19167178247772332</v>
      </c>
      <c r="N68" s="424">
        <f>'ANALYSE - ERP =&gt; SOUS-SEGMENT'!$FJ$124</f>
        <v>2978.0987718750002</v>
      </c>
      <c r="O68" s="427">
        <f>'ANALYSE - ERP =&gt; SOUS-SEGMENT'!$HO$124</f>
        <v>429.52428750000001</v>
      </c>
      <c r="P68" s="427">
        <f>'ANALYSE - ERP =&gt; SOUS-SEGMENT'!$HR$124</f>
        <v>1193.8766343750001</v>
      </c>
      <c r="Q68" s="427">
        <f>'ANALYSE - ERP =&gt; SOUS-SEGMENT'!$HU$124</f>
        <v>1354.69785</v>
      </c>
      <c r="S68" s="424">
        <f>'ANALYSE - ERP =&gt; SOUS-SEGMENT'!$FK$124</f>
        <v>2407.2812718750001</v>
      </c>
      <c r="T68" s="427">
        <f>'ANALYSE - ERP =&gt; SOUS-SEGMENT'!$HP$124</f>
        <v>400.98341250000004</v>
      </c>
      <c r="U68" s="427">
        <f>'ANALYSE - ERP =&gt; SOUS-SEGMENT'!$HS$124</f>
        <v>937.00875937500007</v>
      </c>
      <c r="V68" s="427">
        <f>'ANALYSE - ERP =&gt; SOUS-SEGMENT'!$HV$124</f>
        <v>1069.2891</v>
      </c>
      <c r="X68" s="427">
        <f>'ANALYSE - ERP =&gt; SOUS-SEGMENT'!$FL$124</f>
        <v>570.8175</v>
      </c>
      <c r="Y68" s="427">
        <f>'ANALYSE - ERP =&gt; SOUS-SEGMENT'!$HQ$124</f>
        <v>28.540875</v>
      </c>
      <c r="Z68" s="427">
        <f>'ANALYSE - ERP =&gt; SOUS-SEGMENT'!$HT$124</f>
        <v>256.86787500000003</v>
      </c>
      <c r="AA68" s="427">
        <f>'ANALYSE - ERP =&gt; SOUS-SEGMENT'!$HW$124</f>
        <v>285.40875</v>
      </c>
      <c r="AC68" s="430">
        <f>'ANALYSE - ERP =&gt; SOUS-SEGMENT'!$Q$124</f>
        <v>1</v>
      </c>
    </row>
    <row r="69" spans="1:29" ht="15" customHeight="1">
      <c r="A69" s="26">
        <v>66</v>
      </c>
      <c r="B69" s="26">
        <v>61</v>
      </c>
      <c r="C69" s="26">
        <v>74</v>
      </c>
      <c r="D69" s="422">
        <f>'ANALYSE - ERP =&gt; SOUS-SEGMENT'!$A$31</f>
        <v>24</v>
      </c>
      <c r="E69" s="411" t="str">
        <f>'ANALYSE - ERP =&gt; SOUS-SEGMENT'!$B$31</f>
        <v>Sports &amp; Loisirs</v>
      </c>
      <c r="F69" s="411" t="str">
        <f>'ANALYSE - ERP =&gt; SOUS-SEGMENT'!$C$31</f>
        <v>Sport de plein air</v>
      </c>
      <c r="G69" s="411" t="str">
        <f>'ANALYSE - ERP =&gt; SOUS-SEGMENT'!$D$31</f>
        <v>Piscines extérieures 
(Hors campings, hôtels, résidences et établissement avec bassin intérieur)</v>
      </c>
      <c r="I69" s="427">
        <f t="shared" si="8"/>
        <v>591.16433633333349</v>
      </c>
      <c r="K69" s="787">
        <f t="shared" si="6"/>
        <v>0.88750539247262406</v>
      </c>
      <c r="L69" s="787">
        <f t="shared" si="7"/>
        <v>0.11249460752737592</v>
      </c>
      <c r="N69" s="424">
        <f>'ANALYSE - ERP =&gt; SOUS-SEGMENT'!$FJ$31</f>
        <v>2955.8216816666672</v>
      </c>
      <c r="O69" s="427">
        <f>'ANALYSE - ERP =&gt; SOUS-SEGMENT'!$HO$31</f>
        <v>776.39824444444446</v>
      </c>
      <c r="P69" s="427">
        <f>'ANALYSE - ERP =&gt; SOUS-SEGMENT'!$HR$31</f>
        <v>1508.4277416666669</v>
      </c>
      <c r="Q69" s="427">
        <f>'ANALYSE - ERP =&gt; SOUS-SEGMENT'!$HU$31</f>
        <v>670.99569555555559</v>
      </c>
      <c r="S69" s="424">
        <f>'ANALYSE - ERP =&gt; SOUS-SEGMENT'!$FK$31</f>
        <v>2623.3076816666671</v>
      </c>
      <c r="T69" s="427">
        <f>'ANALYSE - ERP =&gt; SOUS-SEGMENT'!$HP$31</f>
        <v>726.52114444444442</v>
      </c>
      <c r="U69" s="427">
        <f>'ANALYSE - ERP =&gt; SOUS-SEGMENT'!$HS$31</f>
        <v>1315.569621666667</v>
      </c>
      <c r="V69" s="427">
        <f>'ANALYSE - ERP =&gt; SOUS-SEGMENT'!$HV$31</f>
        <v>581.2169155555556</v>
      </c>
      <c r="X69" s="427">
        <f>'ANALYSE - ERP =&gt; SOUS-SEGMENT'!$FL$31</f>
        <v>332.51400000000001</v>
      </c>
      <c r="Y69" s="427">
        <f>'ANALYSE - ERP =&gt; SOUS-SEGMENT'!$HQ$31</f>
        <v>49.877099999999999</v>
      </c>
      <c r="Z69" s="427">
        <f>'ANALYSE - ERP =&gt; SOUS-SEGMENT'!$HT$31</f>
        <v>192.85811999999999</v>
      </c>
      <c r="AA69" s="427">
        <f>'ANALYSE - ERP =&gt; SOUS-SEGMENT'!$HW$31</f>
        <v>89.778780000000012</v>
      </c>
      <c r="AC69" s="430">
        <f>'ANALYSE - ERP =&gt; SOUS-SEGMENT'!$Q$31</f>
        <v>1</v>
      </c>
    </row>
    <row r="70" spans="1:29" ht="15" customHeight="1">
      <c r="A70" s="26">
        <v>67</v>
      </c>
      <c r="B70" s="26">
        <v>66</v>
      </c>
      <c r="C70" s="26">
        <v>71</v>
      </c>
      <c r="D70" s="422">
        <f>'ANALYSE - ERP =&gt; SOUS-SEGMENT'!$A$140</f>
        <v>133</v>
      </c>
      <c r="E70" s="413" t="str">
        <f>'ANALYSE - ERP =&gt; SOUS-SEGMENT'!$B$140</f>
        <v>Sécurité &amp; Justice</v>
      </c>
      <c r="F70" s="413" t="str">
        <f>'ANALYSE - ERP =&gt; SOUS-SEGMENT'!$C$140</f>
        <v>Univers carcéral</v>
      </c>
      <c r="G70" s="413" t="str">
        <f>'ANALYSE - ERP =&gt; SOUS-SEGMENT'!$D$140</f>
        <v>Centres de détention</v>
      </c>
      <c r="I70" s="427">
        <f t="shared" si="8"/>
        <v>466.99227272727268</v>
      </c>
      <c r="K70" s="787">
        <f t="shared" si="6"/>
        <v>0.80952040280985771</v>
      </c>
      <c r="L70" s="787">
        <f t="shared" si="7"/>
        <v>0.19047959719014235</v>
      </c>
      <c r="N70" s="424">
        <f>'ANALYSE - ERP =&gt; SOUS-SEGMENT'!$FJ$140</f>
        <v>2334.9613636363633</v>
      </c>
      <c r="O70" s="427">
        <f>'ANALYSE - ERP =&gt; SOUS-SEGMENT'!$HO$140</f>
        <v>1063.8425</v>
      </c>
      <c r="P70" s="427">
        <f>'ANALYSE - ERP =&gt; SOUS-SEGMENT'!$HR$140</f>
        <v>1135.0581136363635</v>
      </c>
      <c r="Q70" s="427">
        <f>'ANALYSE - ERP =&gt; SOUS-SEGMENT'!$HU$140</f>
        <v>136.06074999999998</v>
      </c>
      <c r="S70" s="424">
        <f>'ANALYSE - ERP =&gt; SOUS-SEGMENT'!$FK$140</f>
        <v>1890.1988636363635</v>
      </c>
      <c r="T70" s="427">
        <f>'ANALYSE - ERP =&gt; SOUS-SEGMENT'!$HP$140</f>
        <v>885.9375</v>
      </c>
      <c r="U70" s="427">
        <f>'ANALYSE - ERP =&gt; SOUS-SEGMENT'!$HS$140</f>
        <v>894.88636363636351</v>
      </c>
      <c r="V70" s="427">
        <f>'ANALYSE - ERP =&gt; SOUS-SEGMENT'!$HV$140</f>
        <v>109.375</v>
      </c>
      <c r="X70" s="427">
        <f>'ANALYSE - ERP =&gt; SOUS-SEGMENT'!$FL$140</f>
        <v>444.76249999999999</v>
      </c>
      <c r="Y70" s="427">
        <f>'ANALYSE - ERP =&gt; SOUS-SEGMENT'!$HQ$140</f>
        <v>177.905</v>
      </c>
      <c r="Z70" s="427">
        <f>'ANALYSE - ERP =&gt; SOUS-SEGMENT'!$HT$140</f>
        <v>240.17175</v>
      </c>
      <c r="AA70" s="427">
        <f>'ANALYSE - ERP =&gt; SOUS-SEGMENT'!$HW$140</f>
        <v>26.685749999999999</v>
      </c>
      <c r="AC70" s="430">
        <f>'ANALYSE - ERP =&gt; SOUS-SEGMENT'!$Q$140</f>
        <v>1</v>
      </c>
    </row>
    <row r="71" spans="1:29" ht="15" customHeight="1">
      <c r="A71" s="26">
        <v>68</v>
      </c>
      <c r="B71" s="26">
        <v>67</v>
      </c>
      <c r="C71" s="26">
        <v>72</v>
      </c>
      <c r="D71" s="422">
        <f>'ANALYSE - ERP =&gt; SOUS-SEGMENT'!$A$105</f>
        <v>98</v>
      </c>
      <c r="E71" s="408" t="str">
        <f>'ANALYSE - ERP =&gt; SOUS-SEGMENT'!$B$105</f>
        <v>Culte, Vie civique &amp; Services publics</v>
      </c>
      <c r="F71" s="408" t="str">
        <f>'ANALYSE - ERP =&gt; SOUS-SEGMENT'!$C$105</f>
        <v>Administrations / services publics</v>
      </c>
      <c r="G71" s="408" t="str">
        <f>'ANALYSE - ERP =&gt; SOUS-SEGMENT'!$D$105</f>
        <v>Préfectures / services administratifs</v>
      </c>
      <c r="I71" s="427">
        <f t="shared" si="8"/>
        <v>417.48027568512828</v>
      </c>
      <c r="K71" s="787">
        <f t="shared" si="6"/>
        <v>0.81653533241947018</v>
      </c>
      <c r="L71" s="787">
        <f t="shared" si="7"/>
        <v>0.18346466758052982</v>
      </c>
      <c r="N71" s="424">
        <f>'ANALYSE - ERP =&gt; SOUS-SEGMENT'!$FJ$105</f>
        <v>2087.4013784256413</v>
      </c>
      <c r="O71" s="427">
        <f>'ANALYSE - ERP =&gt; SOUS-SEGMENT'!$HO$105</f>
        <v>1000.4695563333333</v>
      </c>
      <c r="P71" s="427">
        <f>'ANALYSE - ERP =&gt; SOUS-SEGMENT'!$HR$105</f>
        <v>592.30517769230767</v>
      </c>
      <c r="Q71" s="427">
        <f>'ANALYSE - ERP =&gt; SOUS-SEGMENT'!$HU$105</f>
        <v>494.62664440000009</v>
      </c>
      <c r="S71" s="424">
        <f>'ANALYSE - ERP =&gt; SOUS-SEGMENT'!$FK$105</f>
        <v>1704.4369784256412</v>
      </c>
      <c r="T71" s="427">
        <f>'ANALYSE - ERP =&gt; SOUS-SEGMENT'!$HP$105</f>
        <v>839.62450833333332</v>
      </c>
      <c r="U71" s="427">
        <f>'ANALYSE - ERP =&gt; SOUS-SEGMENT'!$HS$105</f>
        <v>469.75656969230766</v>
      </c>
      <c r="V71" s="427">
        <f>'ANALYSE - ERP =&gt; SOUS-SEGMENT'!$HV$105</f>
        <v>395.0559004000001</v>
      </c>
      <c r="X71" s="427">
        <f>'ANALYSE - ERP =&gt; SOUS-SEGMENT'!$FL$105</f>
        <v>382.96440000000001</v>
      </c>
      <c r="Y71" s="427">
        <f>'ANALYSE - ERP =&gt; SOUS-SEGMENT'!$HQ$105</f>
        <v>160.84504799999999</v>
      </c>
      <c r="Z71" s="427">
        <f>'ANALYSE - ERP =&gt; SOUS-SEGMENT'!$HT$105</f>
        <v>122.548608</v>
      </c>
      <c r="AA71" s="427">
        <f>'ANALYSE - ERP =&gt; SOUS-SEGMENT'!$HW$105</f>
        <v>99.570744000000005</v>
      </c>
      <c r="AC71" s="430">
        <f>'ANALYSE - ERP =&gt; SOUS-SEGMENT'!$Q$105</f>
        <v>1</v>
      </c>
    </row>
    <row r="72" spans="1:29" ht="15" customHeight="1">
      <c r="A72" s="26">
        <v>69</v>
      </c>
      <c r="B72" s="26">
        <v>71</v>
      </c>
      <c r="C72" s="26">
        <v>63</v>
      </c>
      <c r="D72" s="422">
        <f>'ANALYSE - ERP =&gt; SOUS-SEGMENT'!$A$16</f>
        <v>9</v>
      </c>
      <c r="E72" s="415" t="str">
        <f>'ANALYSE - ERP =&gt; SOUS-SEGMENT'!$B$16</f>
        <v>Enfance, Enseignement, Jeunesse &amp; Formation</v>
      </c>
      <c r="F72" s="415" t="str">
        <f>'ANALYSE - ERP =&gt; SOUS-SEGMENT'!$C$16</f>
        <v>Enseignement supérieur</v>
      </c>
      <c r="G72" s="415" t="str">
        <f>'ANALYSE - ERP =&gt; SOUS-SEGMENT'!$D$16</f>
        <v>Universités</v>
      </c>
      <c r="I72" s="427">
        <f t="shared" si="8"/>
        <v>487.19243231999997</v>
      </c>
      <c r="K72" s="787">
        <f t="shared" si="6"/>
        <v>0.65012141262481915</v>
      </c>
      <c r="L72" s="787">
        <f t="shared" si="7"/>
        <v>0.34987858737518085</v>
      </c>
      <c r="N72" s="424">
        <f>'ANALYSE - ERP =&gt; SOUS-SEGMENT'!$FJ$16</f>
        <v>2435.9621615999999</v>
      </c>
      <c r="O72" s="427">
        <f>'ANALYSE - ERP =&gt; SOUS-SEGMENT'!$HO$16</f>
        <v>767.35765656000001</v>
      </c>
      <c r="P72" s="427">
        <f>'ANALYSE - ERP =&gt; SOUS-SEGMENT'!$HR$16</f>
        <v>1217.9810808</v>
      </c>
      <c r="Q72" s="427">
        <f>'ANALYSE - ERP =&gt; SOUS-SEGMENT'!$HU$16</f>
        <v>450.62342423999996</v>
      </c>
      <c r="S72" s="424">
        <f>'ANALYSE - ERP =&gt; SOUS-SEGMENT'!$FK$16</f>
        <v>1583.6711616</v>
      </c>
      <c r="T72" s="427">
        <f>'ANALYSE - ERP =&gt; SOUS-SEGMENT'!$HP$16</f>
        <v>554.28490655999997</v>
      </c>
      <c r="U72" s="427">
        <f>'ANALYSE - ERP =&gt; SOUS-SEGMENT'!$HS$16</f>
        <v>791.8355808</v>
      </c>
      <c r="V72" s="427">
        <f>'ANALYSE - ERP =&gt; SOUS-SEGMENT'!$HV$16</f>
        <v>237.55067423999998</v>
      </c>
      <c r="X72" s="427">
        <f>'ANALYSE - ERP =&gt; SOUS-SEGMENT'!$FL$16</f>
        <v>852.29100000000005</v>
      </c>
      <c r="Y72" s="427">
        <f>'ANALYSE - ERP =&gt; SOUS-SEGMENT'!$HQ$16</f>
        <v>213.07275000000001</v>
      </c>
      <c r="Z72" s="427">
        <f>'ANALYSE - ERP =&gt; SOUS-SEGMENT'!$HT$16</f>
        <v>426.14550000000003</v>
      </c>
      <c r="AA72" s="427">
        <f>'ANALYSE - ERP =&gt; SOUS-SEGMENT'!$HW$16</f>
        <v>213.07275000000001</v>
      </c>
      <c r="AC72" s="430">
        <f>'ANALYSE - ERP =&gt; SOUS-SEGMENT'!$Q$16</f>
        <v>1</v>
      </c>
    </row>
    <row r="73" spans="1:29" s="45" customFormat="1" ht="15" customHeight="1">
      <c r="A73" s="26">
        <v>70</v>
      </c>
      <c r="B73" s="26">
        <v>72</v>
      </c>
      <c r="C73" s="26">
        <v>66</v>
      </c>
      <c r="D73" s="422">
        <f>'ANALYSE - ERP =&gt; SOUS-SEGMENT'!$A$17</f>
        <v>10</v>
      </c>
      <c r="E73" s="410" t="str">
        <f>'ANALYSE - ERP =&gt; SOUS-SEGMENT'!$B$17</f>
        <v>Enfance, Enseignement, Jeunesse &amp; Formation</v>
      </c>
      <c r="F73" s="410" t="str">
        <f>'ANALYSE - ERP =&gt; SOUS-SEGMENT'!$C$17</f>
        <v>Enseignement supérieur</v>
      </c>
      <c r="G73" s="410" t="str">
        <f>'ANALYSE - ERP =&gt; SOUS-SEGMENT'!$D$17</f>
        <v>Grandes écoles</v>
      </c>
      <c r="H73" s="685"/>
      <c r="I73" s="427">
        <f t="shared" si="8"/>
        <v>444.95280647999999</v>
      </c>
      <c r="J73" s="685"/>
      <c r="K73" s="787">
        <f t="shared" si="6"/>
        <v>0.65690383839198929</v>
      </c>
      <c r="L73" s="787">
        <f t="shared" si="7"/>
        <v>0.34309616160801071</v>
      </c>
      <c r="M73" s="685"/>
      <c r="N73" s="424">
        <f>'ANALYSE - ERP =&gt; SOUS-SEGMENT'!$FJ$17</f>
        <v>2224.7640323999999</v>
      </c>
      <c r="O73" s="427">
        <f>'ANALYSE - ERP =&gt; SOUS-SEGMENT'!$HO$17</f>
        <v>702.33661133999999</v>
      </c>
      <c r="P73" s="427">
        <f>'ANALYSE - ERP =&gt; SOUS-SEGMENT'!$HR$17</f>
        <v>1112.3820162</v>
      </c>
      <c r="Q73" s="427">
        <f>'ANALYSE - ERP =&gt; SOUS-SEGMENT'!$HU$17</f>
        <v>410.04540485999996</v>
      </c>
      <c r="R73" s="685"/>
      <c r="S73" s="424">
        <f>'ANALYSE - ERP =&gt; SOUS-SEGMENT'!$FK$17</f>
        <v>1461.4560323999999</v>
      </c>
      <c r="T73" s="427">
        <f>'ANALYSE - ERP =&gt; SOUS-SEGMENT'!$HP$17</f>
        <v>511.50961133999994</v>
      </c>
      <c r="U73" s="427">
        <f>'ANALYSE - ERP =&gt; SOUS-SEGMENT'!$HS$17</f>
        <v>730.72801619999996</v>
      </c>
      <c r="V73" s="427">
        <f>'ANALYSE - ERP =&gt; SOUS-SEGMENT'!$HV$17</f>
        <v>219.21840485999999</v>
      </c>
      <c r="W73" s="685"/>
      <c r="X73" s="427">
        <f>'ANALYSE - ERP =&gt; SOUS-SEGMENT'!$FL$17</f>
        <v>763.30799999999999</v>
      </c>
      <c r="Y73" s="427">
        <f>'ANALYSE - ERP =&gt; SOUS-SEGMENT'!$HQ$17</f>
        <v>190.827</v>
      </c>
      <c r="Z73" s="427">
        <f>'ANALYSE - ERP =&gt; SOUS-SEGMENT'!$HT$17</f>
        <v>381.654</v>
      </c>
      <c r="AA73" s="427">
        <f>'ANALYSE - ERP =&gt; SOUS-SEGMENT'!$HW$17</f>
        <v>190.827</v>
      </c>
      <c r="AB73" s="685"/>
      <c r="AC73" s="430">
        <f>'ANALYSE - ERP =&gt; SOUS-SEGMENT'!$Q$17</f>
        <v>1</v>
      </c>
    </row>
    <row r="74" spans="1:29" ht="15" customHeight="1">
      <c r="A74" s="26">
        <v>71</v>
      </c>
      <c r="B74" s="26">
        <v>68</v>
      </c>
      <c r="C74" s="26">
        <v>79</v>
      </c>
      <c r="D74" s="422">
        <f>'ANALYSE - ERP =&gt; SOUS-SEGMENT'!$A$114</f>
        <v>107</v>
      </c>
      <c r="E74" s="415" t="str">
        <f>'ANALYSE - ERP =&gt; SOUS-SEGMENT'!$B$114</f>
        <v>Culte, Vie civique &amp; Services publics</v>
      </c>
      <c r="F74" s="415" t="str">
        <f>'ANALYSE - ERP =&gt; SOUS-SEGMENT'!$C$114</f>
        <v>Culte</v>
      </c>
      <c r="G74" s="415" t="str">
        <f>'ANALYSE - ERP =&gt; SOUS-SEGMENT'!$D$114</f>
        <v>Monastères, abbayes et couvents ouverts au public</v>
      </c>
      <c r="I74" s="427">
        <f t="shared" si="8"/>
        <v>176.43</v>
      </c>
      <c r="K74" s="787">
        <f t="shared" si="6"/>
        <v>0.91225981975854453</v>
      </c>
      <c r="L74" s="787">
        <f t="shared" si="7"/>
        <v>8.7740180241455523E-2</v>
      </c>
      <c r="N74" s="424">
        <f>'ANALYSE - ERP =&gt; SOUS-SEGMENT'!$FJ$114</f>
        <v>882.15</v>
      </c>
      <c r="O74" s="427">
        <f>'ANALYSE - ERP =&gt; SOUS-SEGMENT'!$HO$114</f>
        <v>212.79749999999999</v>
      </c>
      <c r="P74" s="427">
        <f>'ANALYSE - ERP =&gt; SOUS-SEGMENT'!$HR$114</f>
        <v>451.892</v>
      </c>
      <c r="Q74" s="427">
        <f>'ANALYSE - ERP =&gt; SOUS-SEGMENT'!$HU$114</f>
        <v>217.4605</v>
      </c>
      <c r="S74" s="424">
        <f>'ANALYSE - ERP =&gt; SOUS-SEGMENT'!$FK$114</f>
        <v>804.75</v>
      </c>
      <c r="T74" s="427">
        <f>'ANALYSE - ERP =&gt; SOUS-SEGMENT'!$HP$114</f>
        <v>201.1875</v>
      </c>
      <c r="U74" s="427">
        <f>'ANALYSE - ERP =&gt; SOUS-SEGMENT'!$HS$114</f>
        <v>407</v>
      </c>
      <c r="V74" s="427">
        <f>'ANALYSE - ERP =&gt; SOUS-SEGMENT'!$HV$114</f>
        <v>196.5625</v>
      </c>
      <c r="X74" s="427">
        <f>'ANALYSE - ERP =&gt; SOUS-SEGMENT'!$FL$114</f>
        <v>77.399999999999991</v>
      </c>
      <c r="Y74" s="427">
        <f>'ANALYSE - ERP =&gt; SOUS-SEGMENT'!$HQ$114</f>
        <v>11.609999999999998</v>
      </c>
      <c r="Z74" s="427">
        <f>'ANALYSE - ERP =&gt; SOUS-SEGMENT'!$HT$114</f>
        <v>44.891999999999989</v>
      </c>
      <c r="AA74" s="427">
        <f>'ANALYSE - ERP =&gt; SOUS-SEGMENT'!$HW$114</f>
        <v>20.898</v>
      </c>
      <c r="AC74" s="430">
        <f>'ANALYSE - ERP =&gt; SOUS-SEGMENT'!$Q$114</f>
        <v>1</v>
      </c>
    </row>
    <row r="75" spans="1:29" ht="15" customHeight="1">
      <c r="A75" s="26">
        <v>72</v>
      </c>
      <c r="B75" s="26">
        <v>70</v>
      </c>
      <c r="C75" s="26">
        <v>75</v>
      </c>
      <c r="D75" s="422">
        <f>'ANALYSE - ERP =&gt; SOUS-SEGMENT'!$A$23</f>
        <v>16</v>
      </c>
      <c r="E75" s="415" t="str">
        <f>'ANALYSE - ERP =&gt; SOUS-SEGMENT'!$B$23</f>
        <v>Sports &amp; Loisirs</v>
      </c>
      <c r="F75" s="415" t="str">
        <f>'ANALYSE - ERP =&gt; SOUS-SEGMENT'!$C$23</f>
        <v>Sport couvert / Thermalisme / Bien-être</v>
      </c>
      <c r="G75" s="415" t="str">
        <f>'ANALYSE - ERP =&gt; SOUS-SEGMENT'!$D$23</f>
        <v>Patinoires couvertes</v>
      </c>
      <c r="I75" s="427">
        <f t="shared" si="8"/>
        <v>412.93328533333334</v>
      </c>
      <c r="K75" s="787">
        <f t="shared" si="6"/>
        <v>0.85005713465307353</v>
      </c>
      <c r="L75" s="787">
        <f t="shared" si="7"/>
        <v>0.14994286534692655</v>
      </c>
      <c r="N75" s="424">
        <f>'ANALYSE - ERP =&gt; SOUS-SEGMENT'!$FJ$23</f>
        <v>2064.6664266666667</v>
      </c>
      <c r="O75" s="427">
        <f>'ANALYSE - ERP =&gt; SOUS-SEGMENT'!$HO$23</f>
        <v>670.43255999999997</v>
      </c>
      <c r="P75" s="427">
        <f>'ANALYSE - ERP =&gt; SOUS-SEGMENT'!$HR$23</f>
        <v>1021.8677466666667</v>
      </c>
      <c r="Q75" s="427">
        <f>'ANALYSE - ERP =&gt; SOUS-SEGMENT'!$HU$23</f>
        <v>372.36612000000002</v>
      </c>
      <c r="S75" s="424">
        <f>'ANALYSE - ERP =&gt; SOUS-SEGMENT'!$FK$23</f>
        <v>1755.0844266666668</v>
      </c>
      <c r="T75" s="427">
        <f>'ANALYSE - ERP =&gt; SOUS-SEGMENT'!$HP$23</f>
        <v>608.51616000000001</v>
      </c>
      <c r="U75" s="427">
        <f>'ANALYSE - ERP =&gt; SOUS-SEGMENT'!$HS$23</f>
        <v>842.31018666666671</v>
      </c>
      <c r="V75" s="427">
        <f>'ANALYSE - ERP =&gt; SOUS-SEGMENT'!$HV$23</f>
        <v>304.25808000000001</v>
      </c>
      <c r="X75" s="427">
        <f>'ANALYSE - ERP =&gt; SOUS-SEGMENT'!$FL$23</f>
        <v>309.58199999999999</v>
      </c>
      <c r="Y75" s="427">
        <f>'ANALYSE - ERP =&gt; SOUS-SEGMENT'!$HQ$23</f>
        <v>61.916400000000003</v>
      </c>
      <c r="Z75" s="427">
        <f>'ANALYSE - ERP =&gt; SOUS-SEGMENT'!$HT$23</f>
        <v>179.55756</v>
      </c>
      <c r="AA75" s="427">
        <f>'ANALYSE - ERP =&gt; SOUS-SEGMENT'!$HW$23</f>
        <v>68.108040000000003</v>
      </c>
      <c r="AC75" s="430">
        <f>'ANALYSE - ERP =&gt; SOUS-SEGMENT'!$Q$23</f>
        <v>1</v>
      </c>
    </row>
    <row r="76" spans="1:29" ht="15" customHeight="1">
      <c r="A76" s="26">
        <v>73</v>
      </c>
      <c r="B76" s="26">
        <v>69</v>
      </c>
      <c r="C76" s="26">
        <v>77</v>
      </c>
      <c r="D76" s="422">
        <f>'ANALYSE - ERP =&gt; SOUS-SEGMENT'!$A$119</f>
        <v>112</v>
      </c>
      <c r="E76" s="417" t="str">
        <f>'ANALYSE - ERP =&gt; SOUS-SEGMENT'!$B$119</f>
        <v>Culte, Vie civique &amp; Services publics</v>
      </c>
      <c r="F76" s="417" t="str">
        <f>'ANALYSE - ERP =&gt; SOUS-SEGMENT'!$C$119</f>
        <v>Culte</v>
      </c>
      <c r="G76" s="417" t="str">
        <f>'ANALYSE - ERP =&gt; SOUS-SEGMENT'!$D$119</f>
        <v>Salles du Royaume, centres cultuels pluriconfessionnels et lieux de culte polyvalents</v>
      </c>
      <c r="I76" s="427">
        <f t="shared" si="8"/>
        <v>186.35279999999997</v>
      </c>
      <c r="K76" s="787">
        <f t="shared" si="6"/>
        <v>0.87559725424034407</v>
      </c>
      <c r="L76" s="787">
        <f t="shared" si="7"/>
        <v>0.12440274575965589</v>
      </c>
      <c r="N76" s="424">
        <f>'ANALYSE - ERP =&gt; SOUS-SEGMENT'!$FJ$119</f>
        <v>931.7639999999999</v>
      </c>
      <c r="O76" s="427">
        <f>'ANALYSE - ERP =&gt; SOUS-SEGMENT'!$HO$119</f>
        <v>221.34960000000001</v>
      </c>
      <c r="P76" s="427">
        <f>'ANALYSE - ERP =&gt; SOUS-SEGMENT'!$HR$119</f>
        <v>472.38011999999998</v>
      </c>
      <c r="Q76" s="427">
        <f>'ANALYSE - ERP =&gt; SOUS-SEGMENT'!$HU$119</f>
        <v>238.03428000000002</v>
      </c>
      <c r="S76" s="424">
        <f>'ANALYSE - ERP =&gt; SOUS-SEGMENT'!$FK$119</f>
        <v>815.84999999999991</v>
      </c>
      <c r="T76" s="427">
        <f>'ANALYSE - ERP =&gt; SOUS-SEGMENT'!$HP$119</f>
        <v>203.96250000000001</v>
      </c>
      <c r="U76" s="427">
        <f>'ANALYSE - ERP =&gt; SOUS-SEGMENT'!$HS$119</f>
        <v>405.15</v>
      </c>
      <c r="V76" s="427">
        <f>'ANALYSE - ERP =&gt; SOUS-SEGMENT'!$HV$119</f>
        <v>206.73750000000001</v>
      </c>
      <c r="X76" s="427">
        <f>'ANALYSE - ERP =&gt; SOUS-SEGMENT'!$FL$119</f>
        <v>115.914</v>
      </c>
      <c r="Y76" s="427">
        <f>'ANALYSE - ERP =&gt; SOUS-SEGMENT'!$HQ$119</f>
        <v>17.3871</v>
      </c>
      <c r="Z76" s="427">
        <f>'ANALYSE - ERP =&gt; SOUS-SEGMENT'!$HT$119</f>
        <v>67.230119999999999</v>
      </c>
      <c r="AA76" s="427">
        <f>'ANALYSE - ERP =&gt; SOUS-SEGMENT'!$HW$119</f>
        <v>31.296780000000002</v>
      </c>
      <c r="AC76" s="430">
        <f>'ANALYSE - ERP =&gt; SOUS-SEGMENT'!$Q$119</f>
        <v>1</v>
      </c>
    </row>
    <row r="77" spans="1:29" ht="15" customHeight="1">
      <c r="A77" s="26">
        <v>74</v>
      </c>
      <c r="B77" s="26">
        <v>75</v>
      </c>
      <c r="C77" s="26">
        <v>70</v>
      </c>
      <c r="D77" s="422">
        <f>'ANALYSE - ERP =&gt; SOUS-SEGMENT'!$A$135</f>
        <v>128</v>
      </c>
      <c r="E77" s="417" t="str">
        <f>'ANALYSE - ERP =&gt; SOUS-SEGMENT'!$B$135</f>
        <v>Sécurité &amp; Justice</v>
      </c>
      <c r="F77" s="417" t="str">
        <f>'ANALYSE - ERP =&gt; SOUS-SEGMENT'!$C$135</f>
        <v>Forces armées</v>
      </c>
      <c r="G77" s="417" t="str">
        <f>'ANALYSE - ERP =&gt; SOUS-SEGMENT'!$D$135</f>
        <v>Unités d'hébergement des militaires &amp; réservistes</v>
      </c>
      <c r="I77" s="427">
        <f t="shared" si="8"/>
        <v>348.62721326666667</v>
      </c>
      <c r="K77" s="787">
        <f t="shared" si="6"/>
        <v>0.71696804998259034</v>
      </c>
      <c r="L77" s="787">
        <f t="shared" si="7"/>
        <v>0.28303195001740961</v>
      </c>
      <c r="N77" s="424">
        <f>'ANALYSE - ERP =&gt; SOUS-SEGMENT'!$FJ$135</f>
        <v>1743.1360663333332</v>
      </c>
      <c r="O77" s="427">
        <f>'ANALYSE - ERP =&gt; SOUS-SEGMENT'!$HO$135</f>
        <v>811.19970299999989</v>
      </c>
      <c r="P77" s="427">
        <f>'ANALYSE - ERP =&gt; SOUS-SEGMENT'!$HR$135</f>
        <v>821.00184600000011</v>
      </c>
      <c r="Q77" s="427">
        <f>'ANALYSE - ERP =&gt; SOUS-SEGMENT'!$HU$135</f>
        <v>110.93451733333335</v>
      </c>
      <c r="S77" s="424">
        <f>'ANALYSE - ERP =&gt; SOUS-SEGMENT'!$FK$135</f>
        <v>1249.7728663333332</v>
      </c>
      <c r="T77" s="427">
        <f>'ANALYSE - ERP =&gt; SOUS-SEGMENT'!$HP$135</f>
        <v>613.85442299999988</v>
      </c>
      <c r="U77" s="427">
        <f>'ANALYSE - ERP =&gt; SOUS-SEGMENT'!$HS$135</f>
        <v>559.51935000000003</v>
      </c>
      <c r="V77" s="427">
        <f>'ANALYSE - ERP =&gt; SOUS-SEGMENT'!$HV$135</f>
        <v>76.39909333333334</v>
      </c>
      <c r="X77" s="427">
        <f>'ANALYSE - ERP =&gt; SOUS-SEGMENT'!$FL$135</f>
        <v>493.36320000000001</v>
      </c>
      <c r="Y77" s="427">
        <f>'ANALYSE - ERP =&gt; SOUS-SEGMENT'!$HQ$135</f>
        <v>197.34528</v>
      </c>
      <c r="Z77" s="427">
        <f>'ANALYSE - ERP =&gt; SOUS-SEGMENT'!$HT$135</f>
        <v>261.48249600000003</v>
      </c>
      <c r="AA77" s="427">
        <f>'ANALYSE - ERP =&gt; SOUS-SEGMENT'!$HW$135</f>
        <v>34.535424000000006</v>
      </c>
      <c r="AC77" s="430">
        <f>'ANALYSE - ERP =&gt; SOUS-SEGMENT'!$Q$135</f>
        <v>1</v>
      </c>
    </row>
    <row r="78" spans="1:29" ht="15" customHeight="1">
      <c r="A78" s="26">
        <v>75</v>
      </c>
      <c r="B78" s="26">
        <v>76</v>
      </c>
      <c r="C78" s="26">
        <v>67</v>
      </c>
      <c r="D78" s="422">
        <f>'ANALYSE - ERP =&gt; SOUS-SEGMENT'!$A$72</f>
        <v>65</v>
      </c>
      <c r="E78" s="414" t="str">
        <f>'ANALYSE - ERP =&gt; SOUS-SEGMENT'!$B$72</f>
        <v>Culture, Patrimoine &amp; Evénementiel</v>
      </c>
      <c r="F78" s="414" t="str">
        <f>'ANALYSE - ERP =&gt; SOUS-SEGMENT'!$C$72</f>
        <v>Événementiel temporaire</v>
      </c>
      <c r="G78" s="414" t="str">
        <f>'ANALYSE - ERP =&gt; SOUS-SEGMENT'!$D$72</f>
        <v>Chapiteaux / Tentes / Structures</v>
      </c>
      <c r="I78" s="427">
        <f t="shared" si="8"/>
        <v>210.61314369230769</v>
      </c>
      <c r="K78" s="787">
        <f t="shared" si="6"/>
        <v>0.65722936976113955</v>
      </c>
      <c r="L78" s="787">
        <f t="shared" si="7"/>
        <v>0.34277063023886051</v>
      </c>
      <c r="N78" s="424">
        <f>'ANALYSE - ERP =&gt; SOUS-SEGMENT'!$FJ$72</f>
        <v>1053.0657184615384</v>
      </c>
      <c r="O78" s="427">
        <f>'ANALYSE - ERP =&gt; SOUS-SEGMENT'!$HO$72</f>
        <v>420.79669153846157</v>
      </c>
      <c r="P78" s="427">
        <f>'ANALYSE - ERP =&gt; SOUS-SEGMENT'!$HR$72</f>
        <v>424.1748369230769</v>
      </c>
      <c r="Q78" s="427">
        <f>'ANALYSE - ERP =&gt; SOUS-SEGMENT'!$HU$72</f>
        <v>208.09419000000003</v>
      </c>
      <c r="S78" s="424">
        <f>'ANALYSE - ERP =&gt; SOUS-SEGMENT'!$FK$72</f>
        <v>692.10571846153846</v>
      </c>
      <c r="T78" s="427">
        <f>'ANALYSE - ERP =&gt; SOUS-SEGMENT'!$HP$72</f>
        <v>294.46069153846156</v>
      </c>
      <c r="U78" s="427">
        <f>'ANALYSE - ERP =&gt; SOUS-SEGMENT'!$HS$72</f>
        <v>261.74283692307688</v>
      </c>
      <c r="V78" s="427">
        <f>'ANALYSE - ERP =&gt; SOUS-SEGMENT'!$HV$72</f>
        <v>135.90219000000002</v>
      </c>
      <c r="X78" s="427">
        <f>'ANALYSE - ERP =&gt; SOUS-SEGMENT'!$FL$72</f>
        <v>360.96</v>
      </c>
      <c r="Y78" s="427">
        <f>'ANALYSE - ERP =&gt; SOUS-SEGMENT'!$HQ$72</f>
        <v>126.33599999999998</v>
      </c>
      <c r="Z78" s="427">
        <f>'ANALYSE - ERP =&gt; SOUS-SEGMENT'!$HT$72</f>
        <v>162.43199999999999</v>
      </c>
      <c r="AA78" s="427">
        <f>'ANALYSE - ERP =&gt; SOUS-SEGMENT'!$HW$72</f>
        <v>72.191999999999993</v>
      </c>
      <c r="AC78" s="430">
        <f>'ANALYSE - ERP =&gt; SOUS-SEGMENT'!$Q$72</f>
        <v>1</v>
      </c>
    </row>
    <row r="79" spans="1:29" ht="15" customHeight="1">
      <c r="A79" s="26">
        <v>76</v>
      </c>
      <c r="B79" s="26">
        <v>73</v>
      </c>
      <c r="C79" s="26">
        <v>76</v>
      </c>
      <c r="D79" s="422">
        <f>'ANALYSE - ERP =&gt; SOUS-SEGMENT'!$A$146</f>
        <v>139</v>
      </c>
      <c r="E79" s="413" t="str">
        <f>'ANALYSE - ERP =&gt; SOUS-SEGMENT'!$B$146</f>
        <v>Sécurité &amp; Justice</v>
      </c>
      <c r="F79" s="413" t="str">
        <f>'ANALYSE - ERP =&gt; SOUS-SEGMENT'!$C$146</f>
        <v>Tribunaux</v>
      </c>
      <c r="G79" s="413" t="str">
        <f>'ANALYSE - ERP =&gt; SOUS-SEGMENT'!$D$146</f>
        <v>Palais de justice et bâtiments judiciaires multi-usages</v>
      </c>
      <c r="I79" s="427">
        <f t="shared" si="8"/>
        <v>315.61934565897434</v>
      </c>
      <c r="K79" s="787">
        <f t="shared" si="6"/>
        <v>0.85020172986770892</v>
      </c>
      <c r="L79" s="787">
        <f t="shared" si="7"/>
        <v>0.14979827013229108</v>
      </c>
      <c r="N79" s="424">
        <f>'ANALYSE - ERP =&gt; SOUS-SEGMENT'!$FJ$146</f>
        <v>1578.0967282948718</v>
      </c>
      <c r="O79" s="427">
        <f>'ANALYSE - ERP =&gt; SOUS-SEGMENT'!$HO$146</f>
        <v>601.13855853333337</v>
      </c>
      <c r="P79" s="427">
        <f>'ANALYSE - ERP =&gt; SOUS-SEGMENT'!$HR$146</f>
        <v>520.23717426153848</v>
      </c>
      <c r="Q79" s="427">
        <f>'ANALYSE - ERP =&gt; SOUS-SEGMENT'!$HU$146</f>
        <v>456.72099549999996</v>
      </c>
      <c r="S79" s="424">
        <f>'ANALYSE - ERP =&gt; SOUS-SEGMENT'!$FK$146</f>
        <v>1341.7005682948718</v>
      </c>
      <c r="T79" s="427">
        <f>'ANALYSE - ERP =&gt; SOUS-SEGMENT'!$HP$146</f>
        <v>525.49178733333338</v>
      </c>
      <c r="U79" s="427">
        <f>'ANALYSE - ERP =&gt; SOUS-SEGMENT'!$HS$146</f>
        <v>430.40663346153843</v>
      </c>
      <c r="V79" s="427">
        <f>'ANALYSE - ERP =&gt; SOUS-SEGMENT'!$HV$146</f>
        <v>385.80214749999999</v>
      </c>
      <c r="X79" s="427">
        <f>'ANALYSE - ERP =&gt; SOUS-SEGMENT'!$FL$146</f>
        <v>236.39615999999998</v>
      </c>
      <c r="Y79" s="427">
        <f>'ANALYSE - ERP =&gt; SOUS-SEGMENT'!$HQ$146</f>
        <v>75.646771199999989</v>
      </c>
      <c r="Z79" s="427">
        <f>'ANALYSE - ERP =&gt; SOUS-SEGMENT'!$HT$146</f>
        <v>89.830540799999994</v>
      </c>
      <c r="AA79" s="427">
        <f>'ANALYSE - ERP =&gt; SOUS-SEGMENT'!$HW$146</f>
        <v>70.918847999999997</v>
      </c>
      <c r="AC79" s="430">
        <f>'ANALYSE - ERP =&gt; SOUS-SEGMENT'!$Q$146</f>
        <v>1</v>
      </c>
    </row>
    <row r="80" spans="1:29" ht="15" customHeight="1">
      <c r="A80" s="26">
        <v>77</v>
      </c>
      <c r="B80" s="26">
        <v>77</v>
      </c>
      <c r="C80" s="26">
        <v>73</v>
      </c>
      <c r="D80" s="422">
        <f>'ANALYSE - ERP =&gt; SOUS-SEGMENT'!$A$127</f>
        <v>120</v>
      </c>
      <c r="E80" s="417" t="str">
        <f>'ANALYSE - ERP =&gt; SOUS-SEGMENT'!$B$127</f>
        <v>Transport, Mobilité &amp; Stationnement</v>
      </c>
      <c r="F80" s="417" t="str">
        <f>'ANALYSE - ERP =&gt; SOUS-SEGMENT'!$C$127</f>
        <v>Transport / Mobilité</v>
      </c>
      <c r="G80" s="417" t="str">
        <f>'ANALYSE - ERP =&gt; SOUS-SEGMENT'!$D$127</f>
        <v>Terminaux maritimes / fluviaux</v>
      </c>
      <c r="I80" s="427">
        <f t="shared" si="8"/>
        <v>301.7963138888889</v>
      </c>
      <c r="K80" s="787">
        <f t="shared" si="6"/>
        <v>0.74151109072617438</v>
      </c>
      <c r="L80" s="787">
        <f t="shared" si="7"/>
        <v>0.25848890927382562</v>
      </c>
      <c r="N80" s="424">
        <f>'ANALYSE - ERP =&gt; SOUS-SEGMENT'!$FJ$127</f>
        <v>1508.9815694444444</v>
      </c>
      <c r="O80" s="427">
        <f>'ANALYSE - ERP =&gt; SOUS-SEGMENT'!$HO$127</f>
        <v>383.45199305555548</v>
      </c>
      <c r="P80" s="427">
        <f>'ANALYSE - ERP =&gt; SOUS-SEGMENT'!$HR$127</f>
        <v>664.06658333333326</v>
      </c>
      <c r="Q80" s="427">
        <f>'ANALYSE - ERP =&gt; SOUS-SEGMENT'!$HU$127</f>
        <v>461.4629930555555</v>
      </c>
      <c r="S80" s="424">
        <f>'ANALYSE - ERP =&gt; SOUS-SEGMENT'!$FK$127</f>
        <v>1118.9265694444443</v>
      </c>
      <c r="T80" s="427">
        <f>'ANALYSE - ERP =&gt; SOUS-SEGMENT'!$HP$127</f>
        <v>324.9437430555555</v>
      </c>
      <c r="U80" s="427">
        <f>'ANALYSE - ERP =&gt; SOUS-SEGMENT'!$HS$127</f>
        <v>469.03908333333328</v>
      </c>
      <c r="V80" s="427">
        <f>'ANALYSE - ERP =&gt; SOUS-SEGMENT'!$HV$127</f>
        <v>324.9437430555555</v>
      </c>
      <c r="X80" s="427">
        <f>'ANALYSE - ERP =&gt; SOUS-SEGMENT'!$FL$127</f>
        <v>390.05500000000001</v>
      </c>
      <c r="Y80" s="427">
        <f>'ANALYSE - ERP =&gt; SOUS-SEGMENT'!$HQ$127</f>
        <v>58.508249999999997</v>
      </c>
      <c r="Z80" s="427">
        <f>'ANALYSE - ERP =&gt; SOUS-SEGMENT'!$HT$127</f>
        <v>195.0275</v>
      </c>
      <c r="AA80" s="427">
        <f>'ANALYSE - ERP =&gt; SOUS-SEGMENT'!$HW$127</f>
        <v>136.51925</v>
      </c>
      <c r="AC80" s="430">
        <f>'ANALYSE - ERP =&gt; SOUS-SEGMENT'!$Q$127</f>
        <v>1</v>
      </c>
    </row>
    <row r="81" spans="1:29" ht="15" customHeight="1">
      <c r="A81" s="26">
        <v>78</v>
      </c>
      <c r="B81" s="26">
        <v>86</v>
      </c>
      <c r="C81" s="26">
        <v>62</v>
      </c>
      <c r="D81" s="422">
        <f>'ANALYSE - ERP =&gt; SOUS-SEGMENT'!$A$108</f>
        <v>101</v>
      </c>
      <c r="E81" s="415" t="str">
        <f>'ANALYSE - ERP =&gt; SOUS-SEGMENT'!$B$108</f>
        <v>Culte, Vie civique &amp; Services publics</v>
      </c>
      <c r="F81" s="415" t="str">
        <f>'ANALYSE - ERP =&gt; SOUS-SEGMENT'!$C$108</f>
        <v>Administrations / services publics</v>
      </c>
      <c r="G81" s="415" t="str">
        <f>'ANALYSE - ERP =&gt; SOUS-SEGMENT'!$D$108</f>
        <v>Maisons France Services / Guichets publics autonomes ou dédiés</v>
      </c>
      <c r="I81" s="427">
        <f t="shared" si="8"/>
        <v>93.4431156974359</v>
      </c>
      <c r="K81" s="787">
        <f t="shared" si="6"/>
        <v>0.31572915219312897</v>
      </c>
      <c r="L81" s="787">
        <f t="shared" si="7"/>
        <v>0.68427084780687097</v>
      </c>
      <c r="N81" s="424">
        <f>'ANALYSE - ERP =&gt; SOUS-SEGMENT'!$FJ$108</f>
        <v>467.21557848717953</v>
      </c>
      <c r="O81" s="427">
        <f>'ANALYSE - ERP =&gt; SOUS-SEGMENT'!$HO$108</f>
        <v>273.73412833333333</v>
      </c>
      <c r="P81" s="427">
        <f>'ANALYSE - ERP =&gt; SOUS-SEGMENT'!$HR$108</f>
        <v>108.19828615384615</v>
      </c>
      <c r="Q81" s="427">
        <f>'ANALYSE - ERP =&gt; SOUS-SEGMENT'!$HU$108</f>
        <v>85.283163999999999</v>
      </c>
      <c r="S81" s="424">
        <f>'ANALYSE - ERP =&gt; SOUS-SEGMENT'!$FK$108</f>
        <v>147.5135784871795</v>
      </c>
      <c r="T81" s="427">
        <f>'ANALYSE - ERP =&gt; SOUS-SEGMENT'!$HP$108</f>
        <v>91.503988333333339</v>
      </c>
      <c r="U81" s="427">
        <f>'ANALYSE - ERP =&gt; SOUS-SEGMENT'!$HS$108</f>
        <v>21.878746153846155</v>
      </c>
      <c r="V81" s="427">
        <f>'ANALYSE - ERP =&gt; SOUS-SEGMENT'!$HV$108</f>
        <v>34.130844000000003</v>
      </c>
      <c r="X81" s="427">
        <f>'ANALYSE - ERP =&gt; SOUS-SEGMENT'!$FL$108</f>
        <v>319.702</v>
      </c>
      <c r="Y81" s="427">
        <f>'ANALYSE - ERP =&gt; SOUS-SEGMENT'!$HQ$108</f>
        <v>182.23013999999998</v>
      </c>
      <c r="Z81" s="427">
        <f>'ANALYSE - ERP =&gt; SOUS-SEGMENT'!$HT$108</f>
        <v>86.319540000000003</v>
      </c>
      <c r="AA81" s="427">
        <f>'ANALYSE - ERP =&gt; SOUS-SEGMENT'!$HW$108</f>
        <v>51.152320000000003</v>
      </c>
      <c r="AC81" s="430">
        <f>'ANALYSE - ERP =&gt; SOUS-SEGMENT'!$Q$108</f>
        <v>1</v>
      </c>
    </row>
    <row r="82" spans="1:29" ht="15" customHeight="1">
      <c r="A82" s="26">
        <v>79</v>
      </c>
      <c r="B82" s="26">
        <v>78</v>
      </c>
      <c r="C82" s="26">
        <v>82</v>
      </c>
      <c r="D82" s="422">
        <f>'ANALYSE - ERP =&gt; SOUS-SEGMENT'!$A$132</f>
        <v>125</v>
      </c>
      <c r="E82" s="412" t="str">
        <f>'ANALYSE - ERP =&gt; SOUS-SEGMENT'!$B$132</f>
        <v>Sécurité &amp; Justice</v>
      </c>
      <c r="F82" s="412" t="str">
        <f>'ANALYSE - ERP =&gt; SOUS-SEGMENT'!$C$132</f>
        <v xml:space="preserve">Commissariats / postes de police </v>
      </c>
      <c r="G82" s="412" t="str">
        <f>'ANALYSE - ERP =&gt; SOUS-SEGMENT'!$D$132</f>
        <v>Locaux de sûreté, garde à vue et zones opérationnelles</v>
      </c>
      <c r="I82" s="427">
        <f t="shared" si="8"/>
        <v>207.54715467111109</v>
      </c>
      <c r="K82" s="787">
        <f t="shared" si="6"/>
        <v>0.85655169280841958</v>
      </c>
      <c r="L82" s="787">
        <f t="shared" si="7"/>
        <v>0.14344830719158042</v>
      </c>
      <c r="N82" s="424">
        <f>'ANALYSE - ERP =&gt; SOUS-SEGMENT'!$FJ$132</f>
        <v>1037.7357733555555</v>
      </c>
      <c r="O82" s="427">
        <f>'ANALYSE - ERP =&gt; SOUS-SEGMENT'!$HO$132</f>
        <v>382.31616779999996</v>
      </c>
      <c r="P82" s="427">
        <f>'ANALYSE - ERP =&gt; SOUS-SEGMENT'!$HR$132</f>
        <v>530.5126465333334</v>
      </c>
      <c r="Q82" s="427">
        <f>'ANALYSE - ERP =&gt; SOUS-SEGMENT'!$HU$132</f>
        <v>124.90695902222222</v>
      </c>
      <c r="S82" s="424">
        <f>'ANALYSE - ERP =&gt; SOUS-SEGMENT'!$FK$132</f>
        <v>888.87433335555545</v>
      </c>
      <c r="T82" s="427">
        <f>'ANALYSE - ERP =&gt; SOUS-SEGMENT'!$HP$132</f>
        <v>337.65773579999995</v>
      </c>
      <c r="U82" s="427">
        <f>'ANALYSE - ERP =&gt; SOUS-SEGMENT'!$HS$132</f>
        <v>444.17301133333336</v>
      </c>
      <c r="V82" s="427">
        <f>'ANALYSE - ERP =&gt; SOUS-SEGMENT'!$HV$132</f>
        <v>107.04358622222223</v>
      </c>
      <c r="X82" s="427">
        <f>'ANALYSE - ERP =&gt; SOUS-SEGMENT'!$FL$132</f>
        <v>148.86143999999999</v>
      </c>
      <c r="Y82" s="427">
        <f>'ANALYSE - ERP =&gt; SOUS-SEGMENT'!$HQ$132</f>
        <v>44.658431999999998</v>
      </c>
      <c r="Z82" s="427">
        <f>'ANALYSE - ERP =&gt; SOUS-SEGMENT'!$HT$132</f>
        <v>86.339635199999989</v>
      </c>
      <c r="AA82" s="427">
        <f>'ANALYSE - ERP =&gt; SOUS-SEGMENT'!$HW$132</f>
        <v>17.863372799999997</v>
      </c>
      <c r="AC82" s="430">
        <f>'ANALYSE - ERP =&gt; SOUS-SEGMENT'!$Q$132</f>
        <v>1</v>
      </c>
    </row>
    <row r="83" spans="1:29" ht="15" customHeight="1">
      <c r="A83" s="26">
        <v>80</v>
      </c>
      <c r="B83" s="26">
        <v>80</v>
      </c>
      <c r="C83" s="26">
        <v>78</v>
      </c>
      <c r="D83" s="422">
        <f>'ANALYSE - ERP =&gt; SOUS-SEGMENT'!$A$71</f>
        <v>64</v>
      </c>
      <c r="E83" s="414" t="str">
        <f>'ANALYSE - ERP =&gt; SOUS-SEGMENT'!$B$71</f>
        <v>Culture, Patrimoine &amp; Evénementiel</v>
      </c>
      <c r="F83" s="414" t="str">
        <f>'ANALYSE - ERP =&gt; SOUS-SEGMENT'!$C$71</f>
        <v>Expositions / salons</v>
      </c>
      <c r="G83" s="414" t="str">
        <f>'ANALYSE - ERP =&gt; SOUS-SEGMENT'!$D$71</f>
        <v>Halls d’exposition</v>
      </c>
      <c r="I83" s="427">
        <f t="shared" si="8"/>
        <v>200.17858659487177</v>
      </c>
      <c r="K83" s="787">
        <f t="shared" si="6"/>
        <v>0.80264662333762293</v>
      </c>
      <c r="L83" s="787">
        <f t="shared" si="7"/>
        <v>0.19735337666237709</v>
      </c>
      <c r="N83" s="424">
        <f>'ANALYSE - ERP =&gt; SOUS-SEGMENT'!$FJ$71</f>
        <v>1000.8929329743588</v>
      </c>
      <c r="O83" s="427">
        <f>'ANALYSE - ERP =&gt; SOUS-SEGMENT'!$HO$71</f>
        <v>234.74224866666668</v>
      </c>
      <c r="P83" s="427">
        <f>'ANALYSE - ERP =&gt; SOUS-SEGMENT'!$HR$71</f>
        <v>521.71494030769213</v>
      </c>
      <c r="Q83" s="427">
        <f>'ANALYSE - ERP =&gt; SOUS-SEGMENT'!$HU$71</f>
        <v>244.43574399999997</v>
      </c>
      <c r="S83" s="424">
        <f>'ANALYSE - ERP =&gt; SOUS-SEGMENT'!$FK$71</f>
        <v>803.36333297435885</v>
      </c>
      <c r="T83" s="427">
        <f>'ANALYSE - ERP =&gt; SOUS-SEGMENT'!$HP$71</f>
        <v>201.16221666666667</v>
      </c>
      <c r="U83" s="427">
        <f>'ANALYSE - ERP =&gt; SOUS-SEGMENT'!$HS$71</f>
        <v>407.14777230769221</v>
      </c>
      <c r="V83" s="427">
        <f>'ANALYSE - ERP =&gt; SOUS-SEGMENT'!$HV$71</f>
        <v>195.05334399999998</v>
      </c>
      <c r="X83" s="427">
        <f>'ANALYSE - ERP =&gt; SOUS-SEGMENT'!$FL$71</f>
        <v>197.52959999999999</v>
      </c>
      <c r="Y83" s="427">
        <f>'ANALYSE - ERP =&gt; SOUS-SEGMENT'!$HQ$71</f>
        <v>33.580032000000003</v>
      </c>
      <c r="Z83" s="427">
        <f>'ANALYSE - ERP =&gt; SOUS-SEGMENT'!$HT$71</f>
        <v>114.56716799999998</v>
      </c>
      <c r="AA83" s="427">
        <f>'ANALYSE - ERP =&gt; SOUS-SEGMENT'!$HW$71</f>
        <v>49.382399999999997</v>
      </c>
      <c r="AC83" s="430">
        <f>'ANALYSE - ERP =&gt; SOUS-SEGMENT'!$Q$71</f>
        <v>1</v>
      </c>
    </row>
    <row r="84" spans="1:29" ht="15" customHeight="1">
      <c r="A84" s="26">
        <v>81</v>
      </c>
      <c r="B84" s="26">
        <v>79</v>
      </c>
      <c r="C84" s="26">
        <v>85</v>
      </c>
      <c r="D84" s="422">
        <f>'ANALYSE - ERP =&gt; SOUS-SEGMENT'!$A$121</f>
        <v>114</v>
      </c>
      <c r="E84" s="417" t="str">
        <f>'ANALYSE - ERP =&gt; SOUS-SEGMENT'!$B$121</f>
        <v>Transport, Mobilité &amp; Stationnement</v>
      </c>
      <c r="F84" s="417" t="str">
        <f>'ANALYSE - ERP =&gt; SOUS-SEGMENT'!$C$121</f>
        <v>Transport / Mobilité</v>
      </c>
      <c r="G84" s="417" t="str">
        <f>'ANALYSE - ERP =&gt; SOUS-SEGMENT'!$D$121</f>
        <v>Aires de service - Autoroutes
(Hors Aires de repos)</v>
      </c>
      <c r="I84" s="427">
        <f t="shared" si="8"/>
        <v>184.52686444444444</v>
      </c>
      <c r="K84" s="787">
        <f t="shared" si="6"/>
        <v>0.85920575804385435</v>
      </c>
      <c r="L84" s="787">
        <f t="shared" si="7"/>
        <v>0.14079424195614562</v>
      </c>
      <c r="N84" s="424">
        <f>'ANALYSE - ERP =&gt; SOUS-SEGMENT'!$FJ$121</f>
        <v>922.63432222222218</v>
      </c>
      <c r="O84" s="427">
        <f>'ANALYSE - ERP =&gt; SOUS-SEGMENT'!$HO$121</f>
        <v>245.87380111111111</v>
      </c>
      <c r="P84" s="427">
        <f>'ANALYSE - ERP =&gt; SOUS-SEGMENT'!$HR$121</f>
        <v>404.90639999999996</v>
      </c>
      <c r="Q84" s="427">
        <f>'ANALYSE - ERP =&gt; SOUS-SEGMENT'!$HU$121</f>
        <v>271.85412111111111</v>
      </c>
      <c r="S84" s="424">
        <f>'ANALYSE - ERP =&gt; SOUS-SEGMENT'!$FK$121</f>
        <v>792.73272222222215</v>
      </c>
      <c r="T84" s="427">
        <f>'ANALYSE - ERP =&gt; SOUS-SEGMENT'!$HP$121</f>
        <v>226.3885611111111</v>
      </c>
      <c r="U84" s="427">
        <f>'ANALYSE - ERP =&gt; SOUS-SEGMENT'!$HS$121</f>
        <v>339.95559999999995</v>
      </c>
      <c r="V84" s="427">
        <f>'ANALYSE - ERP =&gt; SOUS-SEGMENT'!$HV$121</f>
        <v>226.3885611111111</v>
      </c>
      <c r="X84" s="427">
        <f>'ANALYSE - ERP =&gt; SOUS-SEGMENT'!$FL$121</f>
        <v>129.90159999999997</v>
      </c>
      <c r="Y84" s="427">
        <f>'ANALYSE - ERP =&gt; SOUS-SEGMENT'!$HQ$121</f>
        <v>19.485239999999994</v>
      </c>
      <c r="Z84" s="427">
        <f>'ANALYSE - ERP =&gt; SOUS-SEGMENT'!$HT$121</f>
        <v>64.950799999999987</v>
      </c>
      <c r="AA84" s="427">
        <f>'ANALYSE - ERP =&gt; SOUS-SEGMENT'!$HW$121</f>
        <v>45.465559999999989</v>
      </c>
      <c r="AC84" s="430">
        <f>'ANALYSE - ERP =&gt; SOUS-SEGMENT'!$Q$121</f>
        <v>1</v>
      </c>
    </row>
    <row r="85" spans="1:29" ht="15" customHeight="1">
      <c r="A85" s="26">
        <v>82</v>
      </c>
      <c r="B85" s="26">
        <v>81</v>
      </c>
      <c r="C85" s="26">
        <v>84</v>
      </c>
      <c r="D85" s="422">
        <f>'ANALYSE - ERP =&gt; SOUS-SEGMENT'!$A$138</f>
        <v>131</v>
      </c>
      <c r="E85" s="417" t="str">
        <f>'ANALYSE - ERP =&gt; SOUS-SEGMENT'!$B$138</f>
        <v>Sécurité &amp; Justice</v>
      </c>
      <c r="F85" s="417" t="str">
        <f>'ANALYSE - ERP =&gt; SOUS-SEGMENT'!$C$138</f>
        <v>Forces armées</v>
      </c>
      <c r="G85" s="417" t="str">
        <f>'ANALYSE - ERP =&gt; SOUS-SEGMENT'!$D$138</f>
        <v>Salles de conférence, auditoriums et espaces événementiels ouverts au public</v>
      </c>
      <c r="I85" s="427">
        <f t="shared" si="8"/>
        <v>145.29407499999999</v>
      </c>
      <c r="K85" s="787">
        <f t="shared" si="6"/>
        <v>0.83217484952500653</v>
      </c>
      <c r="L85" s="787">
        <f t="shared" si="7"/>
        <v>0.16782515047499358</v>
      </c>
      <c r="N85" s="424">
        <f>'ANALYSE - ERP =&gt; SOUS-SEGMENT'!$FJ$138</f>
        <v>726.47037499999999</v>
      </c>
      <c r="O85" s="427">
        <f>'ANALYSE - ERP =&gt; SOUS-SEGMENT'!$HO$138</f>
        <v>259.95825000000002</v>
      </c>
      <c r="P85" s="427">
        <f>'ANALYSE - ERP =&gt; SOUS-SEGMENT'!$HR$138</f>
        <v>297.85972499999997</v>
      </c>
      <c r="Q85" s="427">
        <f>'ANALYSE - ERP =&gt; SOUS-SEGMENT'!$HU$138</f>
        <v>168.6524</v>
      </c>
      <c r="S85" s="424">
        <f>'ANALYSE - ERP =&gt; SOUS-SEGMENT'!$FK$138</f>
        <v>604.55037500000003</v>
      </c>
      <c r="T85" s="427">
        <f>'ANALYSE - ERP =&gt; SOUS-SEGMENT'!$HP$138</f>
        <v>223.38225</v>
      </c>
      <c r="U85" s="427">
        <f>'ANALYSE - ERP =&gt; SOUS-SEGMENT'!$HS$138</f>
        <v>239.33812499999999</v>
      </c>
      <c r="V85" s="427">
        <f>'ANALYSE - ERP =&gt; SOUS-SEGMENT'!$HV$138</f>
        <v>141.83000000000001</v>
      </c>
      <c r="X85" s="427">
        <f>'ANALYSE - ERP =&gt; SOUS-SEGMENT'!$FL$138</f>
        <v>121.92</v>
      </c>
      <c r="Y85" s="427">
        <f>'ANALYSE - ERP =&gt; SOUS-SEGMENT'!$HQ$138</f>
        <v>36.576000000000001</v>
      </c>
      <c r="Z85" s="427">
        <f>'ANALYSE - ERP =&gt; SOUS-SEGMENT'!$HT$138</f>
        <v>58.521599999999999</v>
      </c>
      <c r="AA85" s="427">
        <f>'ANALYSE - ERP =&gt; SOUS-SEGMENT'!$HW$138</f>
        <v>26.822400000000002</v>
      </c>
      <c r="AC85" s="430">
        <f>'ANALYSE - ERP =&gt; SOUS-SEGMENT'!$Q$138</f>
        <v>1</v>
      </c>
    </row>
    <row r="86" spans="1:29" ht="15" customHeight="1">
      <c r="A86" s="26">
        <v>83</v>
      </c>
      <c r="B86" s="26">
        <v>82</v>
      </c>
      <c r="C86" s="26">
        <v>88</v>
      </c>
      <c r="D86" s="422" t="e">
        <f>'ANALYSE - ERP =&gt; SOUS-SEGMENT'!#REF!</f>
        <v>#REF!</v>
      </c>
      <c r="E86" s="413" t="e">
        <f>'ANALYSE - ERP =&gt; SOUS-SEGMENT'!#REF!</f>
        <v>#REF!</v>
      </c>
      <c r="F86" s="413" t="e">
        <f>'ANALYSE - ERP =&gt; SOUS-SEGMENT'!#REF!</f>
        <v>#REF!</v>
      </c>
      <c r="G86" s="413" t="e">
        <f>'ANALYSE - ERP =&gt; SOUS-SEGMENT'!#REF!</f>
        <v>#REF!</v>
      </c>
      <c r="I86" s="427" t="e">
        <f t="shared" si="8"/>
        <v>#REF!</v>
      </c>
      <c r="K86" s="787" t="str">
        <f t="shared" si="6"/>
        <v/>
      </c>
      <c r="L86" s="787" t="str">
        <f t="shared" si="7"/>
        <v/>
      </c>
      <c r="N86" s="424" t="e">
        <f>'ANALYSE - ERP =&gt; SOUS-SEGMENT'!#REF!</f>
        <v>#REF!</v>
      </c>
      <c r="O86" s="427" t="e">
        <f>'ANALYSE - ERP =&gt; SOUS-SEGMENT'!#REF!</f>
        <v>#REF!</v>
      </c>
      <c r="P86" s="427" t="e">
        <f>'ANALYSE - ERP =&gt; SOUS-SEGMENT'!#REF!</f>
        <v>#REF!</v>
      </c>
      <c r="Q86" s="427" t="e">
        <f>'ANALYSE - ERP =&gt; SOUS-SEGMENT'!#REF!</f>
        <v>#REF!</v>
      </c>
      <c r="S86" s="424" t="e">
        <f>'ANALYSE - ERP =&gt; SOUS-SEGMENT'!#REF!</f>
        <v>#REF!</v>
      </c>
      <c r="T86" s="427" t="e">
        <f>'ANALYSE - ERP =&gt; SOUS-SEGMENT'!#REF!</f>
        <v>#REF!</v>
      </c>
      <c r="U86" s="427" t="e">
        <f>'ANALYSE - ERP =&gt; SOUS-SEGMENT'!#REF!</f>
        <v>#REF!</v>
      </c>
      <c r="V86" s="427" t="e">
        <f>'ANALYSE - ERP =&gt; SOUS-SEGMENT'!#REF!</f>
        <v>#REF!</v>
      </c>
      <c r="X86" s="427" t="e">
        <f>'ANALYSE - ERP =&gt; SOUS-SEGMENT'!#REF!</f>
        <v>#REF!</v>
      </c>
      <c r="Y86" s="427" t="e">
        <f>'ANALYSE - ERP =&gt; SOUS-SEGMENT'!#REF!</f>
        <v>#REF!</v>
      </c>
      <c r="Z86" s="427" t="e">
        <f>'ANALYSE - ERP =&gt; SOUS-SEGMENT'!#REF!</f>
        <v>#REF!</v>
      </c>
      <c r="AA86" s="427" t="e">
        <f>'ANALYSE - ERP =&gt; SOUS-SEGMENT'!#REF!</f>
        <v>#REF!</v>
      </c>
      <c r="AC86" s="430" t="e">
        <f>'ANALYSE - ERP =&gt; SOUS-SEGMENT'!#REF!</f>
        <v>#REF!</v>
      </c>
    </row>
    <row r="87" spans="1:29" ht="15" customHeight="1">
      <c r="A87" s="26">
        <v>84</v>
      </c>
      <c r="B87" s="26">
        <v>83</v>
      </c>
      <c r="C87" s="26">
        <v>80</v>
      </c>
      <c r="D87" s="422">
        <f>'ANALYSE - ERP =&gt; SOUS-SEGMENT'!$A$91</f>
        <v>84</v>
      </c>
      <c r="E87" s="417" t="str">
        <f>'ANALYSE - ERP =&gt; SOUS-SEGMENT'!$B$91</f>
        <v>Hébergement Touristique</v>
      </c>
      <c r="F87" s="417" t="str">
        <f>'ANALYSE - ERP =&gt; SOUS-SEGMENT'!$C$91</f>
        <v>Hébergement Touristique</v>
      </c>
      <c r="G87" s="417" t="str">
        <f>'ANALYSE - ERP =&gt; SOUS-SEGMENT'!$D$91</f>
        <v>Pensions de famille</v>
      </c>
      <c r="I87" s="427">
        <f t="shared" si="8"/>
        <v>148.77782481818181</v>
      </c>
      <c r="K87" s="787">
        <f t="shared" si="6"/>
        <v>0.76334384480329387</v>
      </c>
      <c r="L87" s="787">
        <f t="shared" si="7"/>
        <v>0.23665615519670619</v>
      </c>
      <c r="N87" s="424">
        <f>'ANALYSE - ERP =&gt; SOUS-SEGMENT'!$FJ$91</f>
        <v>743.88912409090904</v>
      </c>
      <c r="O87" s="427">
        <f>'ANALYSE - ERP =&gt; SOUS-SEGMENT'!$HO$91</f>
        <v>529.90240799999992</v>
      </c>
      <c r="P87" s="427">
        <f>'ANALYSE - ERP =&gt; SOUS-SEGMENT'!$HR$91</f>
        <v>161.19981589090909</v>
      </c>
      <c r="Q87" s="427">
        <f>'ANALYSE - ERP =&gt; SOUS-SEGMENT'!$HU$91</f>
        <v>52.786900199999998</v>
      </c>
      <c r="S87" s="424">
        <f>'ANALYSE - ERP =&gt; SOUS-SEGMENT'!$FK$91</f>
        <v>567.84318409090906</v>
      </c>
      <c r="T87" s="427">
        <f>'ANALYSE - ERP =&gt; SOUS-SEGMENT'!$HP$91</f>
        <v>406.67024999999995</v>
      </c>
      <c r="U87" s="427">
        <f>'ANALYSE - ERP =&gt; SOUS-SEGMENT'!$HS$91</f>
        <v>122.46970909090909</v>
      </c>
      <c r="V87" s="427">
        <f>'ANALYSE - ERP =&gt; SOUS-SEGMENT'!$HV$91</f>
        <v>38.703224999999996</v>
      </c>
      <c r="X87" s="427">
        <f>'ANALYSE - ERP =&gt; SOUS-SEGMENT'!$FL$91</f>
        <v>176.04594</v>
      </c>
      <c r="Y87" s="427">
        <f>'ANALYSE - ERP =&gt; SOUS-SEGMENT'!$HQ$91</f>
        <v>123.232158</v>
      </c>
      <c r="Z87" s="427">
        <f>'ANALYSE - ERP =&gt; SOUS-SEGMENT'!$HT$91</f>
        <v>38.730106800000001</v>
      </c>
      <c r="AA87" s="427">
        <f>'ANALYSE - ERP =&gt; SOUS-SEGMENT'!$HW$91</f>
        <v>14.0836752</v>
      </c>
      <c r="AC87" s="430">
        <f>'ANALYSE - ERP =&gt; SOUS-SEGMENT'!$Q$91</f>
        <v>1</v>
      </c>
    </row>
    <row r="88" spans="1:29" ht="15" customHeight="1">
      <c r="A88" s="26">
        <v>85</v>
      </c>
      <c r="B88" s="26">
        <v>85</v>
      </c>
      <c r="C88" s="26">
        <v>89</v>
      </c>
      <c r="D88" s="422">
        <f>'ANALYSE - ERP =&gt; SOUS-SEGMENT'!$A$149</f>
        <v>142</v>
      </c>
      <c r="E88" s="415" t="str">
        <f>'ANALYSE - ERP =&gt; SOUS-SEGMENT'!$B$149</f>
        <v>Sécurité &amp; Justice</v>
      </c>
      <c r="F88" s="415" t="str">
        <f>'ANALYSE - ERP =&gt; SOUS-SEGMENT'!$C$149</f>
        <v>Tribunaux</v>
      </c>
      <c r="G88" s="415" t="str">
        <f>'ANALYSE - ERP =&gt; SOUS-SEGMENT'!$D$149</f>
        <v>Conseils de prud’hommes autonomes</v>
      </c>
      <c r="I88" s="427">
        <f t="shared" si="8"/>
        <v>116.83339782692308</v>
      </c>
      <c r="K88" s="787">
        <f t="shared" si="6"/>
        <v>0.8757550814236873</v>
      </c>
      <c r="L88" s="787">
        <f t="shared" si="7"/>
        <v>0.12424491857631263</v>
      </c>
      <c r="N88" s="424">
        <f>'ANALYSE - ERP =&gt; SOUS-SEGMENT'!$FJ$149</f>
        <v>584.16698913461539</v>
      </c>
      <c r="O88" s="427">
        <f>'ANALYSE - ERP =&gt; SOUS-SEGMENT'!$HO$149</f>
        <v>309.76046534999995</v>
      </c>
      <c r="P88" s="427">
        <f>'ANALYSE - ERP =&gt; SOUS-SEGMENT'!$HR$149</f>
        <v>135.97882878461536</v>
      </c>
      <c r="Q88" s="427">
        <f>'ANALYSE - ERP =&gt; SOUS-SEGMENT'!$HU$149</f>
        <v>138.427695</v>
      </c>
      <c r="S88" s="424">
        <f>'ANALYSE - ERP =&gt; SOUS-SEGMENT'!$FK$149</f>
        <v>511.58720913461536</v>
      </c>
      <c r="T88" s="427">
        <f>'ANALYSE - ERP =&gt; SOUS-SEGMENT'!$HP$149</f>
        <v>275.64796874999996</v>
      </c>
      <c r="U88" s="427">
        <f>'ANALYSE - ERP =&gt; SOUS-SEGMENT'!$HS$149</f>
        <v>115.65649038461537</v>
      </c>
      <c r="V88" s="427">
        <f>'ANALYSE - ERP =&gt; SOUS-SEGMENT'!$HV$149</f>
        <v>120.28275000000001</v>
      </c>
      <c r="X88" s="427">
        <f>'ANALYSE - ERP =&gt; SOUS-SEGMENT'!$FL$149</f>
        <v>72.57978</v>
      </c>
      <c r="Y88" s="427">
        <f>'ANALYSE - ERP =&gt; SOUS-SEGMENT'!$HQ$149</f>
        <v>34.1124966</v>
      </c>
      <c r="Z88" s="427">
        <f>'ANALYSE - ERP =&gt; SOUS-SEGMENT'!$HT$149</f>
        <v>20.322338400000003</v>
      </c>
      <c r="AA88" s="427">
        <f>'ANALYSE - ERP =&gt; SOUS-SEGMENT'!$HW$149</f>
        <v>18.144945</v>
      </c>
      <c r="AC88" s="430">
        <f>'ANALYSE - ERP =&gt; SOUS-SEGMENT'!$Q$149</f>
        <v>1</v>
      </c>
    </row>
    <row r="89" spans="1:29" ht="15" customHeight="1">
      <c r="A89" s="26">
        <v>86</v>
      </c>
      <c r="B89" s="26">
        <v>84</v>
      </c>
      <c r="C89" s="26">
        <v>93</v>
      </c>
      <c r="D89" s="422">
        <f>'ANALYSE - ERP =&gt; SOUS-SEGMENT'!$A$93</f>
        <v>86</v>
      </c>
      <c r="E89" s="417" t="str">
        <f>'ANALYSE - ERP =&gt; SOUS-SEGMENT'!$B$93</f>
        <v>Hébergement Touristique</v>
      </c>
      <c r="F89" s="417" t="str">
        <f>'ANALYSE - ERP =&gt; SOUS-SEGMENT'!$C$93</f>
        <v>Hébergement Montagne</v>
      </c>
      <c r="G89" s="417" t="str">
        <f>'ANALYSE - ERP =&gt; SOUS-SEGMENT'!$D$93</f>
        <v>Refuges de montagne</v>
      </c>
      <c r="I89" s="427">
        <f t="shared" si="8"/>
        <v>101.34777527272726</v>
      </c>
      <c r="K89" s="787">
        <f t="shared" si="6"/>
        <v>0.8212728404619023</v>
      </c>
      <c r="L89" s="787">
        <f t="shared" si="7"/>
        <v>0.17872715953809773</v>
      </c>
      <c r="N89" s="424">
        <f>'ANALYSE - ERP =&gt; SOUS-SEGMENT'!$FJ$93</f>
        <v>506.73887636363628</v>
      </c>
      <c r="O89" s="427">
        <f>'ANALYSE - ERP =&gt; SOUS-SEGMENT'!$HO$93</f>
        <v>371.83321818181815</v>
      </c>
      <c r="P89" s="427">
        <f>'ANALYSE - ERP =&gt; SOUS-SEGMENT'!$HR$93</f>
        <v>102.17445818181817</v>
      </c>
      <c r="Q89" s="427">
        <f>'ANALYSE - ERP =&gt; SOUS-SEGMENT'!$HU$93</f>
        <v>32.731199999999994</v>
      </c>
      <c r="S89" s="424">
        <f>'ANALYSE - ERP =&gt; SOUS-SEGMENT'!$FK$93</f>
        <v>416.1708763636363</v>
      </c>
      <c r="T89" s="427">
        <f>'ANALYSE - ERP =&gt; SOUS-SEGMENT'!$HP$93</f>
        <v>308.43561818181814</v>
      </c>
      <c r="U89" s="427">
        <f>'ANALYSE - ERP =&gt; SOUS-SEGMENT'!$HS$93</f>
        <v>82.249498181818169</v>
      </c>
      <c r="V89" s="427">
        <f>'ANALYSE - ERP =&gt; SOUS-SEGMENT'!$HV$93</f>
        <v>25.485759999999996</v>
      </c>
      <c r="X89" s="427">
        <f>'ANALYSE - ERP =&gt; SOUS-SEGMENT'!$FL$93</f>
        <v>90.567999999999998</v>
      </c>
      <c r="Y89" s="427">
        <f>'ANALYSE - ERP =&gt; SOUS-SEGMENT'!$HQ$93</f>
        <v>63.397599999999997</v>
      </c>
      <c r="Z89" s="427">
        <f>'ANALYSE - ERP =&gt; SOUS-SEGMENT'!$HT$93</f>
        <v>19.924959999999999</v>
      </c>
      <c r="AA89" s="427">
        <f>'ANALYSE - ERP =&gt; SOUS-SEGMENT'!$HW$93</f>
        <v>7.2454400000000003</v>
      </c>
      <c r="AC89" s="430">
        <f>'ANALYSE - ERP =&gt; SOUS-SEGMENT'!$Q$93</f>
        <v>1</v>
      </c>
    </row>
    <row r="90" spans="1:29" ht="15" customHeight="1">
      <c r="A90" s="26">
        <v>87</v>
      </c>
      <c r="B90" s="26">
        <v>87</v>
      </c>
      <c r="C90" s="26">
        <v>86</v>
      </c>
      <c r="D90" s="422">
        <f>'ANALYSE - ERP =&gt; SOUS-SEGMENT'!$A$47</f>
        <v>40</v>
      </c>
      <c r="E90" s="413" t="str">
        <f>'ANALYSE - ERP =&gt; SOUS-SEGMENT'!$B$47</f>
        <v>Santé &amp; Médico-social</v>
      </c>
      <c r="F90" s="413" t="str">
        <f>'ANALYSE - ERP =&gt; SOUS-SEGMENT'!$C$47</f>
        <v>Santé hospitalière</v>
      </c>
      <c r="G90" s="413" t="str">
        <f>'ANALYSE - ERP =&gt; SOUS-SEGMENT'!$D$47</f>
        <v>Hôpitaux d’instruction des armées et centres médicaux recevant du public</v>
      </c>
      <c r="I90" s="427">
        <f t="shared" si="8"/>
        <v>111.242796</v>
      </c>
      <c r="K90" s="787">
        <f t="shared" si="6"/>
        <v>0.78180483705210002</v>
      </c>
      <c r="L90" s="787">
        <f t="shared" si="7"/>
        <v>0.21819516294790001</v>
      </c>
      <c r="N90" s="424">
        <f>'ANALYSE - ERP =&gt; SOUS-SEGMENT'!$FJ$47</f>
        <v>556.21397999999999</v>
      </c>
      <c r="O90" s="427">
        <f>'ANALYSE - ERP =&gt; SOUS-SEGMENT'!$HO$47</f>
        <v>404.07173999999998</v>
      </c>
      <c r="P90" s="427">
        <f>'ANALYSE - ERP =&gt; SOUS-SEGMENT'!$HR$47</f>
        <v>113.01153600000001</v>
      </c>
      <c r="Q90" s="427">
        <f>'ANALYSE - ERP =&gt; SOUS-SEGMENT'!$HU$47</f>
        <v>39.130703999999994</v>
      </c>
      <c r="S90" s="424">
        <f>'ANALYSE - ERP =&gt; SOUS-SEGMENT'!$FK$47</f>
        <v>434.85078000000004</v>
      </c>
      <c r="T90" s="427">
        <f>'ANALYSE - ERP =&gt; SOUS-SEGMENT'!$HP$47</f>
        <v>319.11750000000001</v>
      </c>
      <c r="U90" s="427">
        <f>'ANALYSE - ERP =&gt; SOUS-SEGMENT'!$HS$47</f>
        <v>85.097999999999999</v>
      </c>
      <c r="V90" s="427">
        <f>'ANALYSE - ERP =&gt; SOUS-SEGMENT'!$HV$47</f>
        <v>30.635279999999998</v>
      </c>
      <c r="X90" s="427">
        <f>'ANALYSE - ERP =&gt; SOUS-SEGMENT'!$FL$47</f>
        <v>121.36319999999999</v>
      </c>
      <c r="Y90" s="427">
        <f>'ANALYSE - ERP =&gt; SOUS-SEGMENT'!$HQ$47</f>
        <v>84.954239999999984</v>
      </c>
      <c r="Z90" s="427">
        <f>'ANALYSE - ERP =&gt; SOUS-SEGMENT'!$HT$47</f>
        <v>27.913536000000001</v>
      </c>
      <c r="AA90" s="427">
        <f>'ANALYSE - ERP =&gt; SOUS-SEGMENT'!$HW$47</f>
        <v>8.4954239999999999</v>
      </c>
      <c r="AC90" s="430">
        <f>'ANALYSE - ERP =&gt; SOUS-SEGMENT'!$Q$47</f>
        <v>1</v>
      </c>
    </row>
    <row r="91" spans="1:29" ht="15" customHeight="1">
      <c r="A91" s="26">
        <v>88</v>
      </c>
      <c r="B91" s="26">
        <v>91</v>
      </c>
      <c r="C91" s="26">
        <v>81</v>
      </c>
      <c r="D91" s="422">
        <f>'ANALYSE - ERP =&gt; SOUS-SEGMENT'!$A$78</f>
        <v>71</v>
      </c>
      <c r="E91" s="417" t="str">
        <f>'ANALYSE - ERP =&gt; SOUS-SEGMENT'!$B$78</f>
        <v>Commerce, Restauration &amp; Loisirs</v>
      </c>
      <c r="F91" s="417" t="str">
        <f>'ANALYSE - ERP =&gt; SOUS-SEGMENT'!$C$78</f>
        <v>Restauration / boissons</v>
      </c>
      <c r="G91" s="417" t="str">
        <f>'ANALYSE - ERP =&gt; SOUS-SEGMENT'!$D$78</f>
        <v>Établissements flottants</v>
      </c>
      <c r="I91" s="427">
        <f t="shared" si="8"/>
        <v>103.09010680000002</v>
      </c>
      <c r="K91" s="787">
        <f t="shared" si="6"/>
        <v>0.71090921403526952</v>
      </c>
      <c r="L91" s="787">
        <f t="shared" si="7"/>
        <v>0.28909078596473037</v>
      </c>
      <c r="N91" s="424">
        <f>'ANALYSE - ERP =&gt; SOUS-SEGMENT'!$FJ$78</f>
        <v>515.45053400000006</v>
      </c>
      <c r="O91" s="427">
        <f>'ANALYSE - ERP =&gt; SOUS-SEGMENT'!$HO$78</f>
        <v>286.20364000000001</v>
      </c>
      <c r="P91" s="427">
        <f>'ANALYSE - ERP =&gt; SOUS-SEGMENT'!$HR$78</f>
        <v>125.46034999999999</v>
      </c>
      <c r="Q91" s="427">
        <f>'ANALYSE - ERP =&gt; SOUS-SEGMENT'!$HU$78</f>
        <v>103.78654400000001</v>
      </c>
      <c r="S91" s="424">
        <f>'ANALYSE - ERP =&gt; SOUS-SEGMENT'!$FK$78</f>
        <v>366.438534</v>
      </c>
      <c r="T91" s="427">
        <f>'ANALYSE - ERP =&gt; SOUS-SEGMENT'!$HP$78</f>
        <v>211.69764000000001</v>
      </c>
      <c r="U91" s="427">
        <f>'ANALYSE - ERP =&gt; SOUS-SEGMENT'!$HS$78</f>
        <v>88.207349999999991</v>
      </c>
      <c r="V91" s="427">
        <f>'ANALYSE - ERP =&gt; SOUS-SEGMENT'!$HV$78</f>
        <v>66.533544000000006</v>
      </c>
      <c r="X91" s="427">
        <f>'ANALYSE - ERP =&gt; SOUS-SEGMENT'!$FL$78</f>
        <v>149.012</v>
      </c>
      <c r="Y91" s="427">
        <f>'ANALYSE - ERP =&gt; SOUS-SEGMENT'!$HQ$78</f>
        <v>74.506</v>
      </c>
      <c r="Z91" s="427">
        <f>'ANALYSE - ERP =&gt; SOUS-SEGMENT'!$HT$78</f>
        <v>37.253</v>
      </c>
      <c r="AA91" s="427">
        <f>'ANALYSE - ERP =&gt; SOUS-SEGMENT'!$HW$78</f>
        <v>37.253</v>
      </c>
      <c r="AC91" s="430">
        <f>'ANALYSE - ERP =&gt; SOUS-SEGMENT'!$Q$78</f>
        <v>1</v>
      </c>
    </row>
    <row r="92" spans="1:29" ht="15" customHeight="1">
      <c r="A92" s="26">
        <v>89</v>
      </c>
      <c r="B92" s="26">
        <v>92</v>
      </c>
      <c r="C92" s="26">
        <v>83</v>
      </c>
      <c r="D92" s="422">
        <f>'ANALYSE - ERP =&gt; SOUS-SEGMENT'!$A$118</f>
        <v>111</v>
      </c>
      <c r="E92" s="417" t="str">
        <f>'ANALYSE - ERP =&gt; SOUS-SEGMENT'!$B$118</f>
        <v>Culte, Vie civique &amp; Services publics</v>
      </c>
      <c r="F92" s="417" t="str">
        <f>'ANALYSE - ERP =&gt; SOUS-SEGMENT'!$C$118</f>
        <v>Culte</v>
      </c>
      <c r="G92" s="417" t="str">
        <f>'ANALYSE - ERP =&gt; SOUS-SEGMENT'!$D$118</f>
        <v>Temples bouddhistes, hindous et autres lieux de culte non abrahamiques ouverts au public</v>
      </c>
      <c r="I92" s="427">
        <f t="shared" si="8"/>
        <v>90.475846153846149</v>
      </c>
      <c r="K92" s="787">
        <f t="shared" si="6"/>
        <v>0.55293040386469483</v>
      </c>
      <c r="L92" s="787">
        <f t="shared" si="7"/>
        <v>0.44706959613530517</v>
      </c>
      <c r="N92" s="424">
        <f>'ANALYSE - ERP =&gt; SOUS-SEGMENT'!$FJ$118</f>
        <v>452.37923076923073</v>
      </c>
      <c r="O92" s="427">
        <f>'ANALYSE - ERP =&gt; SOUS-SEGMENT'!$HO$118</f>
        <v>255.19321153846153</v>
      </c>
      <c r="P92" s="427">
        <f>'ANALYSE - ERP =&gt; SOUS-SEGMENT'!$HR$118</f>
        <v>160.82886923076921</v>
      </c>
      <c r="Q92" s="427">
        <f>'ANALYSE - ERP =&gt; SOUS-SEGMENT'!$HU$118</f>
        <v>36.357150000000004</v>
      </c>
      <c r="S92" s="424">
        <f>'ANALYSE - ERP =&gt; SOUS-SEGMENT'!$FK$118</f>
        <v>250.13423076923073</v>
      </c>
      <c r="T92" s="427">
        <f>'ANALYSE - ERP =&gt; SOUS-SEGMENT'!$HP$118</f>
        <v>143.95846153846153</v>
      </c>
      <c r="U92" s="427">
        <f>'ANALYSE - ERP =&gt; SOUS-SEGMENT'!$HS$118</f>
        <v>83.975769230769217</v>
      </c>
      <c r="V92" s="427">
        <f>'ANALYSE - ERP =&gt; SOUS-SEGMENT'!$HV$118</f>
        <v>22.200000000000003</v>
      </c>
      <c r="X92" s="427">
        <f>'ANALYSE - ERP =&gt; SOUS-SEGMENT'!$FL$118</f>
        <v>202.245</v>
      </c>
      <c r="Y92" s="427">
        <f>'ANALYSE - ERP =&gt; SOUS-SEGMENT'!$HQ$118</f>
        <v>111.23475000000001</v>
      </c>
      <c r="Z92" s="427">
        <f>'ANALYSE - ERP =&gt; SOUS-SEGMENT'!$HT$118</f>
        <v>76.853099999999998</v>
      </c>
      <c r="AA92" s="427">
        <f>'ANALYSE - ERP =&gt; SOUS-SEGMENT'!$HW$118</f>
        <v>14.157150000000001</v>
      </c>
      <c r="AC92" s="430">
        <f>'ANALYSE - ERP =&gt; SOUS-SEGMENT'!$Q$118</f>
        <v>1</v>
      </c>
    </row>
    <row r="93" spans="1:29" ht="15" customHeight="1">
      <c r="A93" s="26">
        <v>90</v>
      </c>
      <c r="B93" s="26">
        <v>88</v>
      </c>
      <c r="C93" s="26">
        <v>92</v>
      </c>
      <c r="D93" s="422">
        <f>'ANALYSE - ERP =&gt; SOUS-SEGMENT'!$A$148</f>
        <v>141</v>
      </c>
      <c r="E93" s="412" t="str">
        <f>'ANALYSE - ERP =&gt; SOUS-SEGMENT'!$B$148</f>
        <v>Sécurité &amp; Justice</v>
      </c>
      <c r="F93" s="412" t="str">
        <f>'ANALYSE - ERP =&gt; SOUS-SEGMENT'!$C$148</f>
        <v>Tribunaux</v>
      </c>
      <c r="G93" s="412" t="str">
        <f>'ANALYSE - ERP =&gt; SOUS-SEGMENT'!$D$148</f>
        <v>Tribunaux de commerce autonomes</v>
      </c>
      <c r="I93" s="427">
        <f t="shared" si="8"/>
        <v>85.261143307692308</v>
      </c>
      <c r="K93" s="787">
        <f t="shared" si="6"/>
        <v>0.87643121366577459</v>
      </c>
      <c r="L93" s="787">
        <f t="shared" si="7"/>
        <v>0.12356878633422537</v>
      </c>
      <c r="N93" s="424">
        <f>'ANALYSE - ERP =&gt; SOUS-SEGMENT'!$FJ$148</f>
        <v>426.30571653846152</v>
      </c>
      <c r="O93" s="427">
        <f>'ANALYSE - ERP =&gt; SOUS-SEGMENT'!$HO$148</f>
        <v>226.07547259999998</v>
      </c>
      <c r="P93" s="427">
        <f>'ANALYSE - ERP =&gt; SOUS-SEGMENT'!$HR$148</f>
        <v>99.344323938461528</v>
      </c>
      <c r="Q93" s="427">
        <f>'ANALYSE - ERP =&gt; SOUS-SEGMENT'!$HU$148</f>
        <v>100.88592</v>
      </c>
      <c r="S93" s="424">
        <f>'ANALYSE - ERP =&gt; SOUS-SEGMENT'!$FK$148</f>
        <v>373.6276365384615</v>
      </c>
      <c r="T93" s="427">
        <f>'ANALYSE - ERP =&gt; SOUS-SEGMENT'!$HP$148</f>
        <v>201.31677499999998</v>
      </c>
      <c r="U93" s="427">
        <f>'ANALYSE - ERP =&gt; SOUS-SEGMENT'!$HS$148</f>
        <v>84.59446153846153</v>
      </c>
      <c r="V93" s="427">
        <f>'ANALYSE - ERP =&gt; SOUS-SEGMENT'!$HV$148</f>
        <v>87.716399999999993</v>
      </c>
      <c r="X93" s="427">
        <f>'ANALYSE - ERP =&gt; SOUS-SEGMENT'!$FL$148</f>
        <v>52.678080000000001</v>
      </c>
      <c r="Y93" s="427">
        <f>'ANALYSE - ERP =&gt; SOUS-SEGMENT'!$HQ$148</f>
        <v>24.758697599999998</v>
      </c>
      <c r="Z93" s="427">
        <f>'ANALYSE - ERP =&gt; SOUS-SEGMENT'!$HT$148</f>
        <v>14.749862400000001</v>
      </c>
      <c r="AA93" s="427">
        <f>'ANALYSE - ERP =&gt; SOUS-SEGMENT'!$HW$148</f>
        <v>13.16952</v>
      </c>
      <c r="AC93" s="430">
        <f>'ANALYSE - ERP =&gt; SOUS-SEGMENT'!$Q$148</f>
        <v>1</v>
      </c>
    </row>
    <row r="94" spans="1:29" ht="15" customHeight="1">
      <c r="A94" s="26">
        <v>91</v>
      </c>
      <c r="B94" s="26">
        <v>89</v>
      </c>
      <c r="C94" s="26">
        <v>95</v>
      </c>
      <c r="D94" s="422">
        <f>'ANALYSE - ERP =&gt; SOUS-SEGMENT'!$A$92</f>
        <v>85</v>
      </c>
      <c r="E94" s="417" t="str">
        <f>'ANALYSE - ERP =&gt; SOUS-SEGMENT'!$B$92</f>
        <v>Hébergement Touristique</v>
      </c>
      <c r="F94" s="417" t="str">
        <f>'ANALYSE - ERP =&gt; SOUS-SEGMENT'!$C$92</f>
        <v>Hébergement Montagne</v>
      </c>
      <c r="G94" s="417" t="str">
        <f>'ANALYSE - ERP =&gt; SOUS-SEGMENT'!$D$92</f>
        <v>Hôtels-restaurants d’altitude</v>
      </c>
      <c r="I94" s="427">
        <f t="shared" si="8"/>
        <v>177.53215151515147</v>
      </c>
      <c r="K94" s="787">
        <f t="shared" si="6"/>
        <v>0.79014505439134286</v>
      </c>
      <c r="L94" s="787">
        <f t="shared" si="7"/>
        <v>0.2098549456086572</v>
      </c>
      <c r="N94" s="424">
        <f>'ANALYSE - ERP =&gt; SOUS-SEGMENT'!$FJ$92</f>
        <v>887.66075757575732</v>
      </c>
      <c r="O94" s="427">
        <f>'ANALYSE - ERP =&gt; SOUS-SEGMENT'!$HO$92</f>
        <v>556.5984545454545</v>
      </c>
      <c r="P94" s="427">
        <f>'ANALYSE - ERP =&gt; SOUS-SEGMENT'!$HR$92</f>
        <v>221.38423636363632</v>
      </c>
      <c r="Q94" s="427">
        <f>'ANALYSE - ERP =&gt; SOUS-SEGMENT'!$HU$92</f>
        <v>109.67806666666664</v>
      </c>
      <c r="S94" s="424">
        <f>'ANALYSE - ERP =&gt; SOUS-SEGMENT'!$FK$92</f>
        <v>701.38075757575734</v>
      </c>
      <c r="T94" s="427">
        <f>'ANALYSE - ERP =&gt; SOUS-SEGMENT'!$HP$92</f>
        <v>444.83045454545447</v>
      </c>
      <c r="U94" s="427">
        <f>'ANALYSE - ERP =&gt; SOUS-SEGMENT'!$HS$92</f>
        <v>171.08863636363631</v>
      </c>
      <c r="V94" s="427">
        <f>'ANALYSE - ERP =&gt; SOUS-SEGMENT'!$HV$92</f>
        <v>85.461666666666645</v>
      </c>
      <c r="X94" s="427">
        <f>'ANALYSE - ERP =&gt; SOUS-SEGMENT'!$FL$92</f>
        <v>186.28</v>
      </c>
      <c r="Y94" s="427">
        <f>'ANALYSE - ERP =&gt; SOUS-SEGMENT'!$HQ$92</f>
        <v>111.768</v>
      </c>
      <c r="Z94" s="427">
        <f>'ANALYSE - ERP =&gt; SOUS-SEGMENT'!$HT$92</f>
        <v>50.2956</v>
      </c>
      <c r="AA94" s="427">
        <f>'ANALYSE - ERP =&gt; SOUS-SEGMENT'!$HW$92</f>
        <v>24.2164</v>
      </c>
      <c r="AC94" s="430">
        <f>'ANALYSE - ERP =&gt; SOUS-SEGMENT'!$Q$92</f>
        <v>1</v>
      </c>
    </row>
    <row r="95" spans="1:29" ht="15" customHeight="1">
      <c r="A95" s="26">
        <v>92</v>
      </c>
      <c r="B95" s="26">
        <v>90</v>
      </c>
      <c r="C95" s="26">
        <v>91</v>
      </c>
      <c r="D95" s="422">
        <f>'ANALYSE - ERP =&gt; SOUS-SEGMENT'!$A$137</f>
        <v>130</v>
      </c>
      <c r="E95" s="415" t="str">
        <f>'ANALYSE - ERP =&gt; SOUS-SEGMENT'!$B$137</f>
        <v>Sécurité &amp; Justice</v>
      </c>
      <c r="F95" s="415" t="str">
        <f>'ANALYSE - ERP =&gt; SOUS-SEGMENT'!$C$137</f>
        <v>Forces armées</v>
      </c>
      <c r="G95" s="415" t="str">
        <f>'ANALYSE - ERP =&gt; SOUS-SEGMENT'!$D$137</f>
        <v>Restaurants ou équipements sportifs ouverts au public sur emprise militaire</v>
      </c>
      <c r="I95" s="427">
        <f t="shared" si="8"/>
        <v>87.2376</v>
      </c>
      <c r="K95" s="787">
        <f t="shared" si="6"/>
        <v>0.8479119095435913</v>
      </c>
      <c r="L95" s="787">
        <f t="shared" si="7"/>
        <v>0.1520880904564087</v>
      </c>
      <c r="N95" s="424">
        <f>'ANALYSE - ERP =&gt; SOUS-SEGMENT'!$FJ$137</f>
        <v>436.18799999999999</v>
      </c>
      <c r="O95" s="427">
        <f>'ANALYSE - ERP =&gt; SOUS-SEGMENT'!$HO$137</f>
        <v>180.32265000000001</v>
      </c>
      <c r="P95" s="427">
        <f>'ANALYSE - ERP =&gt; SOUS-SEGMENT'!$HR$137</f>
        <v>179.12771999999995</v>
      </c>
      <c r="Q95" s="427">
        <f>'ANALYSE - ERP =&gt; SOUS-SEGMENT'!$HU$137</f>
        <v>76.737629999999996</v>
      </c>
      <c r="S95" s="424">
        <f>'ANALYSE - ERP =&gt; SOUS-SEGMENT'!$FK$137</f>
        <v>369.84899999999999</v>
      </c>
      <c r="T95" s="427">
        <f>'ANALYSE - ERP =&gt; SOUS-SEGMENT'!$HP$137</f>
        <v>157.10400000000001</v>
      </c>
      <c r="U95" s="427">
        <f>'ANALYSE - ERP =&gt; SOUS-SEGMENT'!$HS$137</f>
        <v>147.28499999999997</v>
      </c>
      <c r="V95" s="427">
        <f>'ANALYSE - ERP =&gt; SOUS-SEGMENT'!$HV$137</f>
        <v>65.459999999999994</v>
      </c>
      <c r="X95" s="427">
        <f>'ANALYSE - ERP =&gt; SOUS-SEGMENT'!$FL$137</f>
        <v>66.338999999999999</v>
      </c>
      <c r="Y95" s="427">
        <f>'ANALYSE - ERP =&gt; SOUS-SEGMENT'!$HQ$137</f>
        <v>23.218649999999997</v>
      </c>
      <c r="Z95" s="427">
        <f>'ANALYSE - ERP =&gt; SOUS-SEGMENT'!$HT$137</f>
        <v>31.84272</v>
      </c>
      <c r="AA95" s="427">
        <f>'ANALYSE - ERP =&gt; SOUS-SEGMENT'!$HW$137</f>
        <v>11.27763</v>
      </c>
      <c r="AC95" s="430">
        <f>'ANALYSE - ERP =&gt; SOUS-SEGMENT'!$Q$137</f>
        <v>1</v>
      </c>
    </row>
    <row r="96" spans="1:29" ht="15" customHeight="1">
      <c r="A96" s="26">
        <v>93</v>
      </c>
      <c r="B96" s="26">
        <v>93</v>
      </c>
      <c r="C96" s="26">
        <v>96</v>
      </c>
      <c r="D96" s="422">
        <f>'ANALYSE - ERP =&gt; SOUS-SEGMENT'!$A$90</f>
        <v>83</v>
      </c>
      <c r="E96" s="412" t="str">
        <f>'ANALYSE - ERP =&gt; SOUS-SEGMENT'!$B$90</f>
        <v>Hébergement Touristique</v>
      </c>
      <c r="F96" s="412" t="str">
        <f>'ANALYSE - ERP =&gt; SOUS-SEGMENT'!$C$90</f>
        <v>Hébergement Touristique</v>
      </c>
      <c r="G96" s="412" t="str">
        <f>'ANALYSE - ERP =&gt; SOUS-SEGMENT'!$D$90</f>
        <v>Auberges de jeunesse</v>
      </c>
      <c r="I96" s="427">
        <f t="shared" si="8"/>
        <v>80.049340059829063</v>
      </c>
      <c r="K96" s="787">
        <f t="shared" si="6"/>
        <v>0.75608668372022936</v>
      </c>
      <c r="L96" s="787">
        <f t="shared" si="7"/>
        <v>0.24391331627977061</v>
      </c>
      <c r="N96" s="424">
        <f>'ANALYSE - ERP =&gt; SOUS-SEGMENT'!$FJ$90</f>
        <v>400.24670029914529</v>
      </c>
      <c r="O96" s="427">
        <f>'ANALYSE - ERP =&gt; SOUS-SEGMENT'!$HO$90</f>
        <v>230.8137111538461</v>
      </c>
      <c r="P96" s="427">
        <f>'ANALYSE - ERP =&gt; SOUS-SEGMENT'!$HR$90</f>
        <v>140.41750692307693</v>
      </c>
      <c r="Q96" s="427">
        <f>'ANALYSE - ERP =&gt; SOUS-SEGMENT'!$HU$90</f>
        <v>29.015482222222225</v>
      </c>
      <c r="S96" s="424">
        <f>'ANALYSE - ERP =&gt; SOUS-SEGMENT'!$FK$90</f>
        <v>302.6212002991453</v>
      </c>
      <c r="T96" s="427">
        <f>'ANALYSE - ERP =&gt; SOUS-SEGMENT'!$HP$90</f>
        <v>177.11968615384612</v>
      </c>
      <c r="U96" s="427">
        <f>'ANALYSE - ERP =&gt; SOUS-SEGMENT'!$HS$90</f>
        <v>103.31981692307693</v>
      </c>
      <c r="V96" s="427">
        <f>'ANALYSE - ERP =&gt; SOUS-SEGMENT'!$HV$90</f>
        <v>22.181697222222226</v>
      </c>
      <c r="X96" s="427">
        <f>'ANALYSE - ERP =&gt; SOUS-SEGMENT'!$FL$90</f>
        <v>97.625499999999988</v>
      </c>
      <c r="Y96" s="427">
        <f>'ANALYSE - ERP =&gt; SOUS-SEGMENT'!$HQ$90</f>
        <v>53.694024999999996</v>
      </c>
      <c r="Z96" s="427">
        <f>'ANALYSE - ERP =&gt; SOUS-SEGMENT'!$HT$90</f>
        <v>37.097689999999993</v>
      </c>
      <c r="AA96" s="427">
        <f>'ANALYSE - ERP =&gt; SOUS-SEGMENT'!$HW$90</f>
        <v>6.8337849999999998</v>
      </c>
      <c r="AC96" s="430">
        <f>'ANALYSE - ERP =&gt; SOUS-SEGMENT'!$Q$90</f>
        <v>1</v>
      </c>
    </row>
    <row r="97" spans="1:29" ht="15" customHeight="1">
      <c r="A97" s="26">
        <v>94</v>
      </c>
      <c r="B97" s="26">
        <v>94</v>
      </c>
      <c r="C97" s="26">
        <v>90</v>
      </c>
      <c r="D97" s="422">
        <f>'ANALYSE - ERP =&gt; SOUS-SEGMENT'!$A$141</f>
        <v>134</v>
      </c>
      <c r="E97" s="412" t="str">
        <f>'ANALYSE - ERP =&gt; SOUS-SEGMENT'!$B$141</f>
        <v>Sécurité &amp; Justice</v>
      </c>
      <c r="F97" s="412" t="str">
        <f>'ANALYSE - ERP =&gt; SOUS-SEGMENT'!$C$141</f>
        <v>Univers carcéral</v>
      </c>
      <c r="G97" s="412" t="str">
        <f>'ANALYSE - ERP =&gt; SOUS-SEGMENT'!$D$141</f>
        <v>Maisons centrales</v>
      </c>
      <c r="I97" s="427">
        <f t="shared" si="8"/>
        <v>69.140781818181821</v>
      </c>
      <c r="K97" s="787">
        <f t="shared" si="6"/>
        <v>0.79480127897152142</v>
      </c>
      <c r="L97" s="787">
        <f t="shared" si="7"/>
        <v>0.20519872102847864</v>
      </c>
      <c r="N97" s="424">
        <f>'ANALYSE - ERP =&gt; SOUS-SEGMENT'!$FJ$141</f>
        <v>345.70390909090912</v>
      </c>
      <c r="O97" s="427">
        <f>'ANALYSE - ERP =&gt; SOUS-SEGMENT'!$HO$141</f>
        <v>191.39400000000001</v>
      </c>
      <c r="P97" s="427">
        <f>'ANALYSE - ERP =&gt; SOUS-SEGMENT'!$HR$141</f>
        <v>134.30362909090911</v>
      </c>
      <c r="Q97" s="427">
        <f>'ANALYSE - ERP =&gt; SOUS-SEGMENT'!$HU$141</f>
        <v>20.006280000000004</v>
      </c>
      <c r="S97" s="424">
        <f>'ANALYSE - ERP =&gt; SOUS-SEGMENT'!$FK$141</f>
        <v>274.76590909090913</v>
      </c>
      <c r="T97" s="427">
        <f>'ANALYSE - ERP =&gt; SOUS-SEGMENT'!$HP$141</f>
        <v>155.92500000000001</v>
      </c>
      <c r="U97" s="427">
        <f>'ANALYSE - ERP =&gt; SOUS-SEGMENT'!$HS$141</f>
        <v>103.09090909090911</v>
      </c>
      <c r="V97" s="427">
        <f>'ANALYSE - ERP =&gt; SOUS-SEGMENT'!$HV$141</f>
        <v>15.750000000000002</v>
      </c>
      <c r="X97" s="427">
        <f>'ANALYSE - ERP =&gt; SOUS-SEGMENT'!$FL$141</f>
        <v>70.938000000000002</v>
      </c>
      <c r="Y97" s="427">
        <f>'ANALYSE - ERP =&gt; SOUS-SEGMENT'!$HQ$141</f>
        <v>35.469000000000001</v>
      </c>
      <c r="Z97" s="427">
        <f>'ANALYSE - ERP =&gt; SOUS-SEGMENT'!$HT$141</f>
        <v>31.212720000000001</v>
      </c>
      <c r="AA97" s="427">
        <f>'ANALYSE - ERP =&gt; SOUS-SEGMENT'!$HW$141</f>
        <v>4.2562800000000003</v>
      </c>
      <c r="AC97" s="430">
        <f>'ANALYSE - ERP =&gt; SOUS-SEGMENT'!$Q$141</f>
        <v>1</v>
      </c>
    </row>
    <row r="98" spans="1:29" ht="15" customHeight="1">
      <c r="A98" s="26">
        <v>95</v>
      </c>
      <c r="B98" s="26">
        <v>95</v>
      </c>
      <c r="C98" s="26">
        <v>98</v>
      </c>
      <c r="D98" s="422">
        <f>'ANALYSE - ERP =&gt; SOUS-SEGMENT'!$A$117</f>
        <v>110</v>
      </c>
      <c r="E98" s="417" t="str">
        <f>'ANALYSE - ERP =&gt; SOUS-SEGMENT'!$B$117</f>
        <v>Culte, Vie civique &amp; Services publics</v>
      </c>
      <c r="F98" s="417" t="str">
        <f>'ANALYSE - ERP =&gt; SOUS-SEGMENT'!$C$117</f>
        <v>Culte</v>
      </c>
      <c r="G98" s="417" t="str">
        <f>'ANALYSE - ERP =&gt; SOUS-SEGMENT'!$D$117</f>
        <v>Synagogues et oratoires juifs ouverts au public</v>
      </c>
      <c r="I98" s="427">
        <f t="shared" si="8"/>
        <v>48.389357142857151</v>
      </c>
      <c r="K98" s="787">
        <f t="shared" si="6"/>
        <v>0.88003560405106795</v>
      </c>
      <c r="L98" s="787">
        <f t="shared" si="7"/>
        <v>0.11996439594893207</v>
      </c>
      <c r="N98" s="424">
        <f>'ANALYSE - ERP =&gt; SOUS-SEGMENT'!$FJ$117</f>
        <v>241.94678571428577</v>
      </c>
      <c r="O98" s="427">
        <f>'ANALYSE - ERP =&gt; SOUS-SEGMENT'!$HO$117</f>
        <v>123.61896428571433</v>
      </c>
      <c r="P98" s="427">
        <f>'ANALYSE - ERP =&gt; SOUS-SEGMENT'!$HR$117</f>
        <v>69.565821428571425</v>
      </c>
      <c r="Q98" s="427">
        <f>'ANALYSE - ERP =&gt; SOUS-SEGMENT'!$HU$117</f>
        <v>48.761999999999993</v>
      </c>
      <c r="S98" s="424">
        <f>'ANALYSE - ERP =&gt; SOUS-SEGMENT'!$FK$117</f>
        <v>212.92178571428576</v>
      </c>
      <c r="T98" s="427">
        <f>'ANALYSE - ERP =&gt; SOUS-SEGMENT'!$HP$117</f>
        <v>109.97721428571433</v>
      </c>
      <c r="U98" s="427">
        <f>'ANALYSE - ERP =&gt; SOUS-SEGMENT'!$HS$117</f>
        <v>59.987571428571428</v>
      </c>
      <c r="V98" s="427">
        <f>'ANALYSE - ERP =&gt; SOUS-SEGMENT'!$HV$117</f>
        <v>42.956999999999994</v>
      </c>
      <c r="X98" s="427">
        <f>'ANALYSE - ERP =&gt; SOUS-SEGMENT'!$FL$117</f>
        <v>29.024999999999999</v>
      </c>
      <c r="Y98" s="427">
        <f>'ANALYSE - ERP =&gt; SOUS-SEGMENT'!$HQ$117</f>
        <v>13.641749999999998</v>
      </c>
      <c r="Z98" s="427">
        <f>'ANALYSE - ERP =&gt; SOUS-SEGMENT'!$HT$117</f>
        <v>9.5782500000000006</v>
      </c>
      <c r="AA98" s="427">
        <f>'ANALYSE - ERP =&gt; SOUS-SEGMENT'!$HW$117</f>
        <v>5.8049999999999997</v>
      </c>
      <c r="AC98" s="430">
        <f>'ANALYSE - ERP =&gt; SOUS-SEGMENT'!$Q$117</f>
        <v>1</v>
      </c>
    </row>
    <row r="99" spans="1:29" ht="15" customHeight="1">
      <c r="A99" s="26">
        <v>96</v>
      </c>
      <c r="B99" s="26">
        <v>96</v>
      </c>
      <c r="C99" s="26">
        <v>94</v>
      </c>
      <c r="D99" s="422">
        <f>'ANALYSE - ERP =&gt; SOUS-SEGMENT'!$A$147</f>
        <v>140</v>
      </c>
      <c r="E99" s="417" t="str">
        <f>'ANALYSE - ERP =&gt; SOUS-SEGMENT'!$B$147</f>
        <v>Sécurité &amp; Justice</v>
      </c>
      <c r="F99" s="417" t="str">
        <f>'ANALYSE - ERP =&gt; SOUS-SEGMENT'!$C$147</f>
        <v>Tribunaux</v>
      </c>
      <c r="G99" s="417" t="str">
        <f>'ANALYSE - ERP =&gt; SOUS-SEGMENT'!$D$147</f>
        <v>Maisons de justice et du droit</v>
      </c>
      <c r="I99" s="427">
        <f t="shared" si="8"/>
        <v>48.231770538461532</v>
      </c>
      <c r="K99" s="787">
        <f t="shared" ref="K99:K106" si="9">IFERROR(S99/N99,"")</f>
        <v>0.79480744974709183</v>
      </c>
      <c r="L99" s="787">
        <f t="shared" ref="L99:L106" si="10">IFERROR(X99/N99,"")</f>
        <v>0.20519255025290808</v>
      </c>
      <c r="N99" s="424">
        <f>'ANALYSE - ERP =&gt; SOUS-SEGMENT'!$FJ$147</f>
        <v>241.15885269230768</v>
      </c>
      <c r="O99" s="427">
        <f>'ANALYSE - ERP =&gt; SOUS-SEGMENT'!$HO$147</f>
        <v>126.166055</v>
      </c>
      <c r="P99" s="427">
        <f>'ANALYSE - ERP =&gt; SOUS-SEGMENT'!$HR$147</f>
        <v>56.341577692307695</v>
      </c>
      <c r="Q99" s="427">
        <f>'ANALYSE - ERP =&gt; SOUS-SEGMENT'!$HU$147</f>
        <v>58.651219999999995</v>
      </c>
      <c r="S99" s="424">
        <f>'ANALYSE - ERP =&gt; SOUS-SEGMENT'!$FK$147</f>
        <v>191.67485269230767</v>
      </c>
      <c r="T99" s="427">
        <f>'ANALYSE - ERP =&gt; SOUS-SEGMENT'!$HP$147</f>
        <v>102.908575</v>
      </c>
      <c r="U99" s="427">
        <f>'ANALYSE - ERP =&gt; SOUS-SEGMENT'!$HS$147</f>
        <v>42.486057692307689</v>
      </c>
      <c r="V99" s="427">
        <f>'ANALYSE - ERP =&gt; SOUS-SEGMENT'!$HV$147</f>
        <v>46.280219999999993</v>
      </c>
      <c r="X99" s="427">
        <f>'ANALYSE - ERP =&gt; SOUS-SEGMENT'!$FL$147</f>
        <v>49.484000000000002</v>
      </c>
      <c r="Y99" s="427">
        <f>'ANALYSE - ERP =&gt; SOUS-SEGMENT'!$HQ$147</f>
        <v>23.257480000000001</v>
      </c>
      <c r="Z99" s="427">
        <f>'ANALYSE - ERP =&gt; SOUS-SEGMENT'!$HT$147</f>
        <v>13.855520000000002</v>
      </c>
      <c r="AA99" s="427">
        <f>'ANALYSE - ERP =&gt; SOUS-SEGMENT'!$HW$147</f>
        <v>12.371</v>
      </c>
      <c r="AC99" s="430">
        <f>'ANALYSE - ERP =&gt; SOUS-SEGMENT'!$Q$147</f>
        <v>1</v>
      </c>
    </row>
    <row r="100" spans="1:29" ht="15" customHeight="1">
      <c r="A100" s="26">
        <v>97</v>
      </c>
      <c r="B100" s="26">
        <v>98</v>
      </c>
      <c r="C100" s="26">
        <v>87</v>
      </c>
      <c r="D100" s="422">
        <f>'ANALYSE - ERP =&gt; SOUS-SEGMENT'!$A$144</f>
        <v>137</v>
      </c>
      <c r="E100" s="417" t="str">
        <f>'ANALYSE - ERP =&gt; SOUS-SEGMENT'!$B$144</f>
        <v>Sécurité &amp; Justice</v>
      </c>
      <c r="F100" s="417" t="str">
        <f>'ANALYSE - ERP =&gt; SOUS-SEGMENT'!$C$144</f>
        <v>Univers carcéral</v>
      </c>
      <c r="G100" s="417" t="str">
        <f>'ANALYSE - ERP =&gt; SOUS-SEGMENT'!$D$144</f>
        <v>Centres éducatifs fermés</v>
      </c>
      <c r="I100" s="427">
        <f t="shared" ref="I100:I106" si="11">N100/5</f>
        <v>43.569777272727272</v>
      </c>
      <c r="K100" s="787">
        <f t="shared" si="9"/>
        <v>0.50644572118433639</v>
      </c>
      <c r="L100" s="787">
        <f t="shared" si="10"/>
        <v>0.49355427881566366</v>
      </c>
      <c r="N100" s="424">
        <f>'ANALYSE - ERP =&gt; SOUS-SEGMENT'!$FJ$144</f>
        <v>217.84888636363635</v>
      </c>
      <c r="O100" s="427">
        <f>'ANALYSE - ERP =&gt; SOUS-SEGMENT'!$HO$144</f>
        <v>127.1761375</v>
      </c>
      <c r="P100" s="427">
        <f>'ANALYSE - ERP =&gt; SOUS-SEGMENT'!$HR$144</f>
        <v>77.871533863636358</v>
      </c>
      <c r="Q100" s="427">
        <f>'ANALYSE - ERP =&gt; SOUS-SEGMENT'!$HU$144</f>
        <v>12.801214999999999</v>
      </c>
      <c r="S100" s="424">
        <f>'ANALYSE - ERP =&gt; SOUS-SEGMENT'!$FK$144</f>
        <v>110.32863636363635</v>
      </c>
      <c r="T100" s="427">
        <f>'ANALYSE - ERP =&gt; SOUS-SEGMENT'!$HP$144</f>
        <v>68.039999999999992</v>
      </c>
      <c r="U100" s="427">
        <f>'ANALYSE - ERP =&gt; SOUS-SEGMENT'!$HS$144</f>
        <v>35.938636363636363</v>
      </c>
      <c r="V100" s="427">
        <f>'ANALYSE - ERP =&gt; SOUS-SEGMENT'!$HV$144</f>
        <v>6.35</v>
      </c>
      <c r="X100" s="427">
        <f>'ANALYSE - ERP =&gt; SOUS-SEGMENT'!$FL$144</f>
        <v>107.52025</v>
      </c>
      <c r="Y100" s="427">
        <f>'ANALYSE - ERP =&gt; SOUS-SEGMENT'!$HQ$144</f>
        <v>59.136137500000004</v>
      </c>
      <c r="Z100" s="427">
        <f>'ANALYSE - ERP =&gt; SOUS-SEGMENT'!$HT$144</f>
        <v>41.932897500000003</v>
      </c>
      <c r="AA100" s="427">
        <f>'ANALYSE - ERP =&gt; SOUS-SEGMENT'!$HW$144</f>
        <v>6.4512150000000004</v>
      </c>
      <c r="AC100" s="430">
        <f>'ANALYSE - ERP =&gt; SOUS-SEGMENT'!$Q$144</f>
        <v>1</v>
      </c>
    </row>
    <row r="101" spans="1:29" ht="15" customHeight="1">
      <c r="A101" s="26">
        <v>98</v>
      </c>
      <c r="B101" s="26">
        <v>97</v>
      </c>
      <c r="C101" s="26">
        <v>99</v>
      </c>
      <c r="D101" s="422">
        <f>'ANALYSE - ERP =&gt; SOUS-SEGMENT'!$A$134</f>
        <v>127</v>
      </c>
      <c r="E101" s="417" t="str">
        <f>'ANALYSE - ERP =&gt; SOUS-SEGMENT'!$B$134</f>
        <v>Sécurité &amp; Justice</v>
      </c>
      <c r="F101" s="417" t="str">
        <f>'ANALYSE - ERP =&gt; SOUS-SEGMENT'!$C$134</f>
        <v xml:space="preserve">Commissariats / postes de police </v>
      </c>
      <c r="G101" s="417" t="str">
        <f>'ANALYSE - ERP =&gt; SOUS-SEGMENT'!$D$134</f>
        <v>Salles de réunion, de prévention ou de conférence ouvertes au public</v>
      </c>
      <c r="I101" s="427">
        <f t="shared" si="11"/>
        <v>28.52466205</v>
      </c>
      <c r="K101" s="787">
        <f t="shared" si="9"/>
        <v>0.83389531515939552</v>
      </c>
      <c r="L101" s="787">
        <f t="shared" si="10"/>
        <v>0.16610468484060445</v>
      </c>
      <c r="N101" s="424">
        <f>'ANALYSE - ERP =&gt; SOUS-SEGMENT'!$FJ$134</f>
        <v>142.62331025</v>
      </c>
      <c r="O101" s="427">
        <f>'ANALYSE - ERP =&gt; SOUS-SEGMENT'!$HO$134</f>
        <v>64.479743249999984</v>
      </c>
      <c r="P101" s="427">
        <f>'ANALYSE - ERP =&gt; SOUS-SEGMENT'!$HR$134</f>
        <v>46.049439</v>
      </c>
      <c r="Q101" s="427">
        <f>'ANALYSE - ERP =&gt; SOUS-SEGMENT'!$HU$134</f>
        <v>32.094128000000005</v>
      </c>
      <c r="S101" s="424">
        <f>'ANALYSE - ERP =&gt; SOUS-SEGMENT'!$FK$134</f>
        <v>118.93291024999999</v>
      </c>
      <c r="T101" s="427">
        <f>'ANALYSE - ERP =&gt; SOUS-SEGMENT'!$HP$134</f>
        <v>55.003583249999991</v>
      </c>
      <c r="U101" s="427">
        <f>'ANALYSE - ERP =&gt; SOUS-SEGMENT'!$HS$134</f>
        <v>37.047086999999998</v>
      </c>
      <c r="V101" s="427">
        <f>'ANALYSE - ERP =&gt; SOUS-SEGMENT'!$HV$134</f>
        <v>26.882240000000003</v>
      </c>
      <c r="X101" s="427">
        <f>'ANALYSE - ERP =&gt; SOUS-SEGMENT'!$FL$134</f>
        <v>23.6904</v>
      </c>
      <c r="Y101" s="427">
        <f>'ANALYSE - ERP =&gt; SOUS-SEGMENT'!$HQ$134</f>
        <v>9.4761600000000001</v>
      </c>
      <c r="Z101" s="427">
        <f>'ANALYSE - ERP =&gt; SOUS-SEGMENT'!$HT$134</f>
        <v>9.0023520000000001</v>
      </c>
      <c r="AA101" s="427">
        <f>'ANALYSE - ERP =&gt; SOUS-SEGMENT'!$HW$134</f>
        <v>5.2118880000000001</v>
      </c>
      <c r="AC101" s="430">
        <f>'ANALYSE - ERP =&gt; SOUS-SEGMENT'!$Q$134</f>
        <v>0</v>
      </c>
    </row>
    <row r="102" spans="1:29" ht="15" customHeight="1">
      <c r="A102" s="26">
        <v>99</v>
      </c>
      <c r="B102" s="26">
        <v>100</v>
      </c>
      <c r="C102" s="26">
        <v>97</v>
      </c>
      <c r="D102" s="422">
        <f>'ANALYSE - ERP =&gt; SOUS-SEGMENT'!$A$48</f>
        <v>41</v>
      </c>
      <c r="E102" s="417" t="str">
        <f>'ANALYSE - ERP =&gt; SOUS-SEGMENT'!$B$48</f>
        <v>Santé &amp; Médico-social</v>
      </c>
      <c r="F102" s="417" t="str">
        <f>'ANALYSE - ERP =&gt; SOUS-SEGMENT'!$C$48</f>
        <v>Santé hospitalière</v>
      </c>
      <c r="G102" s="417" t="str">
        <f>'ANALYSE - ERP =&gt; SOUS-SEGMENT'!$D$48</f>
        <v>Unités hospitalières sécurisées en milieu carcéral</v>
      </c>
      <c r="I102" s="427">
        <f t="shared" si="11"/>
        <v>29.295792000000006</v>
      </c>
      <c r="K102" s="787">
        <f t="shared" si="9"/>
        <v>0.66265489596594618</v>
      </c>
      <c r="L102" s="787">
        <f t="shared" si="10"/>
        <v>0.33734510403405371</v>
      </c>
      <c r="N102" s="424">
        <f>'ANALYSE - ERP =&gt; SOUS-SEGMENT'!$FJ$48</f>
        <v>146.47896000000003</v>
      </c>
      <c r="O102" s="427">
        <f>'ANALYSE - ERP =&gt; SOUS-SEGMENT'!$HO$48</f>
        <v>91.07337600000001</v>
      </c>
      <c r="P102" s="427">
        <f>'ANALYSE - ERP =&gt; SOUS-SEGMENT'!$HR$48</f>
        <v>45.150746400000003</v>
      </c>
      <c r="Q102" s="427">
        <f>'ANALYSE - ERP =&gt; SOUS-SEGMENT'!$HU$48</f>
        <v>10.254837600000002</v>
      </c>
      <c r="S102" s="424">
        <f>'ANALYSE - ERP =&gt; SOUS-SEGMENT'!$FK$48</f>
        <v>97.065000000000012</v>
      </c>
      <c r="T102" s="427">
        <f>'ANALYSE - ERP =&gt; SOUS-SEGMENT'!$HP$48</f>
        <v>61.425000000000011</v>
      </c>
      <c r="U102" s="427">
        <f>'ANALYSE - ERP =&gt; SOUS-SEGMENT'!$HS$48</f>
        <v>28.35</v>
      </c>
      <c r="V102" s="427">
        <f>'ANALYSE - ERP =&gt; SOUS-SEGMENT'!$HV$48</f>
        <v>7.2900000000000009</v>
      </c>
      <c r="X102" s="427">
        <f>'ANALYSE - ERP =&gt; SOUS-SEGMENT'!$FL$48</f>
        <v>49.413960000000003</v>
      </c>
      <c r="Y102" s="427">
        <f>'ANALYSE - ERP =&gt; SOUS-SEGMENT'!$HQ$48</f>
        <v>29.648375999999999</v>
      </c>
      <c r="Z102" s="427">
        <f>'ANALYSE - ERP =&gt; SOUS-SEGMENT'!$HT$48</f>
        <v>16.800746400000001</v>
      </c>
      <c r="AA102" s="427">
        <f>'ANALYSE - ERP =&gt; SOUS-SEGMENT'!$HW$48</f>
        <v>2.9648376000000001</v>
      </c>
      <c r="AC102" s="430">
        <f>'ANALYSE - ERP =&gt; SOUS-SEGMENT'!$Q$48</f>
        <v>1</v>
      </c>
    </row>
    <row r="103" spans="1:29" ht="15" customHeight="1">
      <c r="A103" s="26">
        <v>100</v>
      </c>
      <c r="B103" s="26">
        <v>99</v>
      </c>
      <c r="C103" s="26">
        <v>101</v>
      </c>
      <c r="D103" s="422">
        <f>'ANALYSE - ERP =&gt; SOUS-SEGMENT'!$A$143</f>
        <v>136</v>
      </c>
      <c r="E103" s="417" t="str">
        <f>'ANALYSE - ERP =&gt; SOUS-SEGMENT'!$B$143</f>
        <v>Sécurité &amp; Justice</v>
      </c>
      <c r="F103" s="417" t="str">
        <f>'ANALYSE - ERP =&gt; SOUS-SEGMENT'!$C$143</f>
        <v>Univers carcéral</v>
      </c>
      <c r="G103" s="417" t="str">
        <f>'ANALYSE - ERP =&gt; SOUS-SEGMENT'!$D$143</f>
        <v>Centres de semi-liberté</v>
      </c>
      <c r="I103" s="427">
        <f t="shared" si="11"/>
        <v>25.081232</v>
      </c>
      <c r="K103" s="787">
        <f t="shared" si="9"/>
        <v>0.84469534829868009</v>
      </c>
      <c r="L103" s="787">
        <f t="shared" si="10"/>
        <v>0.15530465170131993</v>
      </c>
      <c r="N103" s="424">
        <f>'ANALYSE - ERP =&gt; SOUS-SEGMENT'!$FJ$143</f>
        <v>125.40616</v>
      </c>
      <c r="O103" s="427">
        <f>'ANALYSE - ERP =&gt; SOUS-SEGMENT'!$HO$143</f>
        <v>76.051888000000005</v>
      </c>
      <c r="P103" s="427">
        <f>'ANALYSE - ERP =&gt; SOUS-SEGMENT'!$HR$143</f>
        <v>42.245702399999999</v>
      </c>
      <c r="Q103" s="427">
        <f>'ANALYSE - ERP =&gt; SOUS-SEGMENT'!$HU$143</f>
        <v>7.1085696</v>
      </c>
      <c r="S103" s="424">
        <f>'ANALYSE - ERP =&gt; SOUS-SEGMENT'!$FK$143</f>
        <v>105.93</v>
      </c>
      <c r="T103" s="427">
        <f>'ANALYSE - ERP =&gt; SOUS-SEGMENT'!$HP$143</f>
        <v>65.34</v>
      </c>
      <c r="U103" s="427">
        <f>'ANALYSE - ERP =&gt; SOUS-SEGMENT'!$HS$143</f>
        <v>34.65</v>
      </c>
      <c r="V103" s="427">
        <f>'ANALYSE - ERP =&gt; SOUS-SEGMENT'!$HV$143</f>
        <v>5.94</v>
      </c>
      <c r="X103" s="427">
        <f>'ANALYSE - ERP =&gt; SOUS-SEGMENT'!$FL$143</f>
        <v>19.47616</v>
      </c>
      <c r="Y103" s="427">
        <f>'ANALYSE - ERP =&gt; SOUS-SEGMENT'!$HQ$143</f>
        <v>10.711888</v>
      </c>
      <c r="Z103" s="427">
        <f>'ANALYSE - ERP =&gt; SOUS-SEGMENT'!$HT$143</f>
        <v>7.5957024000000004</v>
      </c>
      <c r="AA103" s="427">
        <f>'ANALYSE - ERP =&gt; SOUS-SEGMENT'!$HW$143</f>
        <v>1.1685695999999999</v>
      </c>
      <c r="AC103" s="430">
        <f>'ANALYSE - ERP =&gt; SOUS-SEGMENT'!$Q$143</f>
        <v>1</v>
      </c>
    </row>
    <row r="104" spans="1:29" ht="15" customHeight="1">
      <c r="A104" s="26">
        <v>101</v>
      </c>
      <c r="B104" s="26">
        <v>101</v>
      </c>
      <c r="C104" s="26">
        <v>100</v>
      </c>
      <c r="D104" s="422">
        <f>'ANALYSE - ERP =&gt; SOUS-SEGMENT'!$A$136</f>
        <v>129</v>
      </c>
      <c r="E104" s="417" t="str">
        <f>'ANALYSE - ERP =&gt; SOUS-SEGMENT'!$B$136</f>
        <v>Sécurité &amp; Justice</v>
      </c>
      <c r="F104" s="417" t="str">
        <f>'ANALYSE - ERP =&gt; SOUS-SEGMENT'!$C$136</f>
        <v>Forces armées</v>
      </c>
      <c r="G104" s="417" t="str">
        <f>'ANALYSE - ERP =&gt; SOUS-SEGMENT'!$D$136</f>
        <v>Centres de recrutement et bureaux d’information</v>
      </c>
      <c r="I104" s="427">
        <f t="shared" si="11"/>
        <v>18.751826466666667</v>
      </c>
      <c r="K104" s="787">
        <f t="shared" si="9"/>
        <v>0.77329141736902518</v>
      </c>
      <c r="L104" s="787">
        <f t="shared" si="10"/>
        <v>0.22670858263097476</v>
      </c>
      <c r="N104" s="424">
        <f>'ANALYSE - ERP =&gt; SOUS-SEGMENT'!$FJ$136</f>
        <v>93.759132333333341</v>
      </c>
      <c r="O104" s="427">
        <f>'ANALYSE - ERP =&gt; SOUS-SEGMENT'!$HO$136</f>
        <v>38.284352000000005</v>
      </c>
      <c r="P104" s="427">
        <f>'ANALYSE - ERP =&gt; SOUS-SEGMENT'!$HR$136</f>
        <v>38.871087000000003</v>
      </c>
      <c r="Q104" s="427">
        <f>'ANALYSE - ERP =&gt; SOUS-SEGMENT'!$HU$136</f>
        <v>16.603693333333336</v>
      </c>
      <c r="S104" s="424">
        <f>'ANALYSE - ERP =&gt; SOUS-SEGMENT'!$FK$136</f>
        <v>72.50313233333334</v>
      </c>
      <c r="T104" s="427">
        <f>'ANALYSE - ERP =&gt; SOUS-SEGMENT'!$HP$136</f>
        <v>30.844752000000003</v>
      </c>
      <c r="U104" s="427">
        <f>'ANALYSE - ERP =&gt; SOUS-SEGMENT'!$HS$136</f>
        <v>28.668206999999999</v>
      </c>
      <c r="V104" s="427">
        <f>'ANALYSE - ERP =&gt; SOUS-SEGMENT'!$HV$136</f>
        <v>12.990173333333335</v>
      </c>
      <c r="X104" s="427">
        <f>'ANALYSE - ERP =&gt; SOUS-SEGMENT'!$FL$136</f>
        <v>21.256</v>
      </c>
      <c r="Y104" s="427">
        <f>'ANALYSE - ERP =&gt; SOUS-SEGMENT'!$HQ$136</f>
        <v>7.4395999999999995</v>
      </c>
      <c r="Z104" s="427">
        <f>'ANALYSE - ERP =&gt; SOUS-SEGMENT'!$HT$136</f>
        <v>10.20288</v>
      </c>
      <c r="AA104" s="427">
        <f>'ANALYSE - ERP =&gt; SOUS-SEGMENT'!$HW$136</f>
        <v>3.6135200000000003</v>
      </c>
      <c r="AC104" s="430">
        <f>'ANALYSE - ERP =&gt; SOUS-SEGMENT'!$Q$136</f>
        <v>1</v>
      </c>
    </row>
    <row r="105" spans="1:29" ht="15" customHeight="1">
      <c r="A105" s="26">
        <v>102</v>
      </c>
      <c r="B105" s="26">
        <v>102</v>
      </c>
      <c r="C105" s="26">
        <v>102</v>
      </c>
      <c r="D105" s="422">
        <f>'ANALYSE - ERP =&gt; SOUS-SEGMENT'!$A$133</f>
        <v>126</v>
      </c>
      <c r="E105" s="417" t="str">
        <f>'ANALYSE - ERP =&gt; SOUS-SEGMENT'!$B$133</f>
        <v>Sécurité &amp; Justice</v>
      </c>
      <c r="F105" s="417" t="str">
        <f>'ANALYSE - ERP =&gt; SOUS-SEGMENT'!$C$133</f>
        <v xml:space="preserve">Commissariats / postes de police </v>
      </c>
      <c r="G105" s="417" t="str">
        <f>'ANALYSE - ERP =&gt; SOUS-SEGMENT'!$D$133</f>
        <v>Postes de proximité et antennes avec accueil public</v>
      </c>
      <c r="I105" s="427">
        <f t="shared" si="11"/>
        <v>12.524763533333333</v>
      </c>
      <c r="K105" s="787">
        <f t="shared" si="9"/>
        <v>0.88491279726249839</v>
      </c>
      <c r="L105" s="787">
        <f t="shared" si="10"/>
        <v>0.11508720273750157</v>
      </c>
      <c r="N105" s="424">
        <f>'ANALYSE - ERP =&gt; SOUS-SEGMENT'!$FJ$133</f>
        <v>62.623817666666667</v>
      </c>
      <c r="O105" s="427">
        <f>'ANALYSE - ERP =&gt; SOUS-SEGMENT'!$HO$133</f>
        <v>34.098140999999998</v>
      </c>
      <c r="P105" s="427">
        <f>'ANALYSE - ERP =&gt; SOUS-SEGMENT'!$HR$133</f>
        <v>18.423712999999999</v>
      </c>
      <c r="Q105" s="427">
        <f>'ANALYSE - ERP =&gt; SOUS-SEGMENT'!$HU$133</f>
        <v>10.101963666666668</v>
      </c>
      <c r="S105" s="424">
        <f>'ANALYSE - ERP =&gt; SOUS-SEGMENT'!$FK$133</f>
        <v>55.416617666666667</v>
      </c>
      <c r="T105" s="427">
        <f>'ANALYSE - ERP =&gt; SOUS-SEGMENT'!$HP$133</f>
        <v>30.494541000000002</v>
      </c>
      <c r="U105" s="427">
        <f>'ANALYSE - ERP =&gt; SOUS-SEGMENT'!$HS$133</f>
        <v>16.045337</v>
      </c>
      <c r="V105" s="427">
        <f>'ANALYSE - ERP =&gt; SOUS-SEGMENT'!$HV$133</f>
        <v>8.8767396666666674</v>
      </c>
      <c r="X105" s="427">
        <f>'ANALYSE - ERP =&gt; SOUS-SEGMENT'!$FL$133</f>
        <v>7.2071999999999994</v>
      </c>
      <c r="Y105" s="427">
        <f>'ANALYSE - ERP =&gt; SOUS-SEGMENT'!$HQ$133</f>
        <v>3.6035999999999997</v>
      </c>
      <c r="Z105" s="427">
        <f>'ANALYSE - ERP =&gt; SOUS-SEGMENT'!$HT$133</f>
        <v>2.3783759999999998</v>
      </c>
      <c r="AA105" s="427">
        <f>'ANALYSE - ERP =&gt; SOUS-SEGMENT'!$HW$133</f>
        <v>1.2252240000000001</v>
      </c>
      <c r="AC105" s="430">
        <f>'ANALYSE - ERP =&gt; SOUS-SEGMENT'!$Q$133</f>
        <v>1</v>
      </c>
    </row>
    <row r="106" spans="1:29" s="45" customFormat="1" ht="15" customHeight="1">
      <c r="A106" s="406">
        <v>103</v>
      </c>
      <c r="B106" s="406">
        <v>103</v>
      </c>
      <c r="C106" s="406">
        <v>103</v>
      </c>
      <c r="D106" s="448">
        <f>'ANALYSE - ERP =&gt; SOUS-SEGMENT'!$A$145</f>
        <v>138</v>
      </c>
      <c r="E106" s="423" t="str">
        <f>'ANALYSE - ERP =&gt; SOUS-SEGMENT'!$B$145</f>
        <v>Sécurité &amp; Justice</v>
      </c>
      <c r="F106" s="423" t="str">
        <f>'ANALYSE - ERP =&gt; SOUS-SEGMENT'!$C$145</f>
        <v>Univers carcéral</v>
      </c>
      <c r="G106" s="423" t="str">
        <f>'ANALYSE - ERP =&gt; SOUS-SEGMENT'!$D$145</f>
        <v>Centres pour peines aménagées
(absorbés par autres centres carcéraux)</v>
      </c>
      <c r="H106" s="685"/>
      <c r="I106" s="407">
        <f t="shared" si="11"/>
        <v>0</v>
      </c>
      <c r="J106" s="685"/>
      <c r="K106" s="788" t="str">
        <f t="shared" si="9"/>
        <v/>
      </c>
      <c r="L106" s="788" t="str">
        <f t="shared" si="10"/>
        <v/>
      </c>
      <c r="M106" s="685"/>
      <c r="N106" s="425">
        <f>'ANALYSE - ERP =&gt; SOUS-SEGMENT'!$FJ$145</f>
        <v>0</v>
      </c>
      <c r="O106" s="407">
        <f>'ANALYSE - ERP =&gt; SOUS-SEGMENT'!$HO$145</f>
        <v>0</v>
      </c>
      <c r="P106" s="407">
        <f>'ANALYSE - ERP =&gt; SOUS-SEGMENT'!$HR$145</f>
        <v>0</v>
      </c>
      <c r="Q106" s="407">
        <f>'ANALYSE - ERP =&gt; SOUS-SEGMENT'!$HU$145</f>
        <v>0</v>
      </c>
      <c r="R106" s="685"/>
      <c r="S106" s="425">
        <f>'ANALYSE - ERP =&gt; SOUS-SEGMENT'!$FK$145</f>
        <v>0</v>
      </c>
      <c r="T106" s="407">
        <f>'ANALYSE - ERP =&gt; SOUS-SEGMENT'!$HP$145</f>
        <v>0</v>
      </c>
      <c r="U106" s="407">
        <f>'ANALYSE - ERP =&gt; SOUS-SEGMENT'!$HS$145</f>
        <v>0</v>
      </c>
      <c r="V106" s="407">
        <f>'ANALYSE - ERP =&gt; SOUS-SEGMENT'!$HV$145</f>
        <v>0</v>
      </c>
      <c r="W106" s="685"/>
      <c r="X106" s="407">
        <f>'ANALYSE - ERP =&gt; SOUS-SEGMENT'!$FL$145</f>
        <v>0</v>
      </c>
      <c r="Y106" s="407">
        <f>'ANALYSE - ERP =&gt; SOUS-SEGMENT'!$HQ$145</f>
        <v>0</v>
      </c>
      <c r="Z106" s="407">
        <f>'ANALYSE - ERP =&gt; SOUS-SEGMENT'!$HT$145</f>
        <v>0</v>
      </c>
      <c r="AA106" s="407">
        <f>'ANALYSE - ERP =&gt; SOUS-SEGMENT'!$HW$145</f>
        <v>0</v>
      </c>
      <c r="AB106" s="685"/>
      <c r="AC106" s="450">
        <f>'ANALYSE - ERP =&gt; SOUS-SEGMENT'!$Q$145</f>
        <v>0</v>
      </c>
    </row>
  </sheetData>
  <autoFilter ref="A2:AC2" xr:uid="{00000000-0009-0000-0000-000019000000}"/>
  <conditionalFormatting sqref="O4:Q106">
    <cfRule type="colorScale" priority="17">
      <colorScale>
        <cfvo type="min"/>
        <cfvo type="formula" val="MEDIAN($O$4:$Q$106)"/>
        <cfvo type="max"/>
        <color rgb="FFF8696B"/>
        <color theme="0"/>
        <color rgb="FF63BE7B"/>
      </colorScale>
    </cfRule>
  </conditionalFormatting>
  <conditionalFormatting sqref="T4:V106">
    <cfRule type="colorScale" priority="18">
      <colorScale>
        <cfvo type="min"/>
        <cfvo type="formula" val="MEDIAN($T$4:$V$106)"/>
        <cfvo type="max"/>
        <color rgb="FFF8696B"/>
        <color theme="0"/>
        <color rgb="FF63BE7B"/>
      </colorScale>
    </cfRule>
  </conditionalFormatting>
  <conditionalFormatting sqref="Y4:AA106">
    <cfRule type="colorScale" priority="19">
      <colorScale>
        <cfvo type="min"/>
        <cfvo type="formula" val="MEDIAN($Y$4:$AA$106)"/>
        <cfvo type="max"/>
        <color rgb="FFF8696B"/>
        <color theme="0"/>
        <color rgb="FF63BE7B"/>
      </colorScale>
    </cfRule>
  </conditionalFormatting>
  <pageMargins left="3.937007874015748E-2" right="3.937007874015748E-2" top="7.874015748031496E-2" bottom="7.874015748031496E-2" header="0.11811023622047249" footer="0.11811023622047249"/>
  <pageSetup paperSize="8" scale="74" fitToHeight="2"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5"/>
    <pageSetUpPr fitToPage="1"/>
  </sheetPr>
  <dimension ref="A1:BZ106"/>
  <sheetViews>
    <sheetView zoomScale="85" zoomScaleNormal="85" workbookViewId="0">
      <pane xSplit="6" ySplit="3" topLeftCell="G4" activePane="bottomRight" state="frozen"/>
      <selection pane="topRight" activeCell="G1" sqref="G1"/>
      <selection pane="bottomLeft" activeCell="A4" sqref="A4"/>
      <selection pane="bottomRight" activeCell="D28" sqref="D28"/>
    </sheetView>
  </sheetViews>
  <sheetFormatPr baseColWidth="10" defaultColWidth="9.140625" defaultRowHeight="15"/>
  <cols>
    <col min="1" max="1" width="7.42578125" style="934" customWidth="1"/>
    <col min="2" max="2" width="7.28515625" style="934" customWidth="1"/>
    <col min="3" max="3" width="6" style="934" customWidth="1"/>
    <col min="4" max="4" width="30.5703125" style="934" customWidth="1"/>
    <col min="5" max="5" width="27.7109375" style="43" customWidth="1"/>
    <col min="6" max="6" width="51.7109375" style="43" customWidth="1"/>
    <col min="7" max="7" width="1.7109375" style="933" customWidth="1"/>
    <col min="8" max="8" width="8.7109375" style="43" customWidth="1"/>
    <col min="9" max="12" width="8.7109375" style="934" customWidth="1"/>
    <col min="13" max="13" width="1.7109375" style="933" customWidth="1"/>
    <col min="14" max="18" width="8.7109375" style="934" customWidth="1"/>
    <col min="19" max="19" width="1.7109375" style="933" customWidth="1"/>
    <col min="20" max="20" width="12" style="934" customWidth="1"/>
    <col min="21" max="78" width="9.140625" style="933" customWidth="1"/>
  </cols>
  <sheetData>
    <row r="1" spans="1:78" s="933" customFormat="1" ht="18.75" customHeight="1">
      <c r="C1" s="477"/>
      <c r="D1" s="479"/>
      <c r="E1" s="478" t="s">
        <v>7967</v>
      </c>
      <c r="F1" s="479"/>
      <c r="H1" s="474"/>
      <c r="I1" s="474"/>
      <c r="J1" s="475" t="s">
        <v>7968</v>
      </c>
      <c r="K1" s="474"/>
      <c r="L1" s="474"/>
      <c r="N1" s="452"/>
      <c r="O1" s="452"/>
      <c r="P1" s="476" t="s">
        <v>7969</v>
      </c>
      <c r="Q1" s="452"/>
      <c r="R1" s="452"/>
      <c r="T1" s="452"/>
    </row>
    <row r="2" spans="1:78" ht="45" customHeight="1">
      <c r="A2" s="420" t="s">
        <v>6712</v>
      </c>
      <c r="B2" s="420"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78">
      <c r="A3" s="405" t="s">
        <v>2535</v>
      </c>
      <c r="B3" s="405" t="s">
        <v>2535</v>
      </c>
      <c r="C3" s="405" t="s">
        <v>2090</v>
      </c>
      <c r="D3" s="405" t="s">
        <v>2086</v>
      </c>
      <c r="E3" s="405" t="s">
        <v>6728</v>
      </c>
      <c r="F3" s="405" t="s">
        <v>6729</v>
      </c>
      <c r="H3" s="790" t="str">
        <f>IFERROR(SUMPRODUCT(($T$4:$T$106),('ANALYSE - ERP =&gt; SOUS-SEGMENT'!$HZ$8:$HZ$150))/SUMPRODUCT(($T$4:$T$106),('ANALYSE - ERP =&gt; SOUS-SEGMENT'!$HY$8:$HY$150)),"")</f>
        <v/>
      </c>
      <c r="I3" s="790" t="str">
        <f>IFERROR(SUMPRODUCT(($T$4:$T$106),('ANALYSE - ERP =&gt; SOUS-SEGMENT'!$IA$8:$IA$150))/SUMPRODUCT(($T$4:$T$106),('ANALYSE - ERP =&gt; SOUS-SEGMENT'!$HY$8:$HY$150)),"")</f>
        <v/>
      </c>
      <c r="J3" s="790" t="str">
        <f>IFERROR(SUMPRODUCT(($T$4:$T$106),('ANALYSE - ERP =&gt; SOUS-SEGMENT'!$IB$8:$IB$150))/SUMPRODUCT(($T$4:$T$106),('ANALYSE - ERP =&gt; SOUS-SEGMENT'!$HY$8:$HY$150)),"")</f>
        <v/>
      </c>
      <c r="K3" s="790" t="str">
        <f>IFERROR(SUMPRODUCT(($T$4:$T$106),('ANALYSE - ERP =&gt; SOUS-SEGMENT'!$IC$8:$IC$150))/SUMPRODUCT(($T$4:$T$106),('ANALYSE - ERP =&gt; SOUS-SEGMENT'!$HY$8:$HY$150)),"")</f>
        <v/>
      </c>
      <c r="L3" s="790" t="str">
        <f>IFERROR(SUMPRODUCT(($T$4:$T$106),('ANALYSE - ERP =&gt; SOUS-SEGMENT'!$ID$8:$ID$150))/SUMPRODUCT(($T$4:$T$106),('ANALYSE - ERP =&gt; SOUS-SEGMENT'!$HY$8:$HY$150)),"")</f>
        <v/>
      </c>
      <c r="N3" s="790" t="str">
        <f>IFERROR(SUMPRODUCT(($T$4:$T$106),('ANALYSE - ERP =&gt; SOUS-SEGMENT'!$IF$8:$IF$150))/SUMPRODUCT(($T$4:$T$106),('ANALYSE - ERP =&gt; SOUS-SEGMENT'!$IE$8:$IE$150)),"")</f>
        <v/>
      </c>
      <c r="O3" s="790" t="str">
        <f>IFERROR(SUMPRODUCT(($T$4:$T$106),('ANALYSE - ERP =&gt; SOUS-SEGMENT'!$IG$8:$IG$150))/SUMPRODUCT(($T$4:$T$106),('ANALYSE - ERP =&gt; SOUS-SEGMENT'!$IE$8:$IE$150)),"")</f>
        <v/>
      </c>
      <c r="P3" s="790" t="str">
        <f>IFERROR(SUMPRODUCT(($T$4:$T$106),('ANALYSE - ERP =&gt; SOUS-SEGMENT'!$IH$8:$IH$150))/SUMPRODUCT(($T$4:$T$106),('ANALYSE - ERP =&gt; SOUS-SEGMENT'!$IE$8:$IE$150)),"")</f>
        <v/>
      </c>
      <c r="Q3" s="790" t="str">
        <f>IFERROR(SUMPRODUCT(($T$4:$T$106),('ANALYSE - ERP =&gt; SOUS-SEGMENT'!$II$8:$II$150))/SUMPRODUCT(($T$4:$T$106),('ANALYSE - ERP =&gt; SOUS-SEGMENT'!$IE$8:$IE$150)),"")</f>
        <v/>
      </c>
      <c r="R3" s="790" t="str">
        <f>IFERROR(SUMPRODUCT(($T$4:$T$106),('ANALYSE - ERP =&gt; SOUS-SEGMENT'!$IJ$8:$IJ$150))/SUMPRODUCT(($T$4:$T$106),('ANALYSE - ERP =&gt; SOUS-SEGMENT'!$IE$8:$IE$150)),"")</f>
        <v/>
      </c>
      <c r="T3" s="428">
        <f>SUM('ANALYSE - ERP =&gt; SOUS-SEGMENT'!$Q$8:$Q$150)</f>
        <v>137</v>
      </c>
    </row>
    <row r="4" spans="1:78" ht="15" customHeight="1">
      <c r="A4" s="26">
        <v>1</v>
      </c>
      <c r="B4" s="26">
        <v>1</v>
      </c>
      <c r="C4" s="422">
        <f>'ANALYSE - ERP =&gt; SOUS-SEGMENT'!$A$75</f>
        <v>68</v>
      </c>
      <c r="D4" s="412" t="str">
        <f>'ANALYSE - ERP =&gt; SOUS-SEGMENT'!$B$75</f>
        <v>Commerce, Restauration &amp; Loisirs</v>
      </c>
      <c r="E4" s="412" t="str">
        <f>'ANALYSE - ERP =&gt; SOUS-SEGMENT'!$C$75</f>
        <v>Restauration / boissons</v>
      </c>
      <c r="F4" s="412" t="str">
        <f>'ANALYSE - ERP =&gt; SOUS-SEGMENT'!$D$75</f>
        <v>Restaurants
(Hors établissements altitude, flottant, armée)</v>
      </c>
      <c r="H4" s="787">
        <f>IFERROR('ANALYSE - ERP =&gt; SOUS-SEGMENT'!$HZ$75/'ANALYSE - ERP =&gt; SOUS-SEGMENT'!$HY$75,"")</f>
        <v>1.1235260115606936E-2</v>
      </c>
      <c r="I4" s="787">
        <f>IFERROR('ANALYSE - ERP =&gt; SOUS-SEGMENT'!$IA$75/'ANALYSE - ERP =&gt; SOUS-SEGMENT'!$HY$75,"")</f>
        <v>0.29883757225433527</v>
      </c>
      <c r="J4" s="787">
        <f>IFERROR('ANALYSE - ERP =&gt; SOUS-SEGMENT'!$IB$75/'ANALYSE - ERP =&gt; SOUS-SEGMENT'!$HY$75,"")</f>
        <v>0.49860924855491323</v>
      </c>
      <c r="K4" s="787">
        <f>IFERROR('ANALYSE - ERP =&gt; SOUS-SEGMENT'!$IC$75/'ANALYSE - ERP =&gt; SOUS-SEGMENT'!$HY$75,"")</f>
        <v>0.17441734104046241</v>
      </c>
      <c r="L4" s="787">
        <f>IFERROR('ANALYSE - ERP =&gt; SOUS-SEGMENT'!$ID$75/'ANALYSE - ERP =&gt; SOUS-SEGMENT'!$HY$75,"")</f>
        <v>1.6900578034682076E-2</v>
      </c>
      <c r="N4" s="787">
        <f>IFERROR('ANALYSE - ERP =&gt; SOUS-SEGMENT'!$IF$75/'ANALYSE - ERP =&gt; SOUS-SEGMENT'!$IE$75,"")</f>
        <v>0</v>
      </c>
      <c r="O4" s="787">
        <f>IFERROR('ANALYSE - ERP =&gt; SOUS-SEGMENT'!$IG$75/'ANALYSE - ERP =&gt; SOUS-SEGMENT'!$IE$75,"")</f>
        <v>0.26278247140287475</v>
      </c>
      <c r="P4" s="787">
        <f>IFERROR('ANALYSE - ERP =&gt; SOUS-SEGMENT'!$IH$75/'ANALYSE - ERP =&gt; SOUS-SEGMENT'!$IE$75,"")</f>
        <v>0.51695283953069893</v>
      </c>
      <c r="Q4" s="787">
        <f>IFERROR('ANALYSE - ERP =&gt; SOUS-SEGMENT'!$II$75/'ANALYSE - ERP =&gt; SOUS-SEGMENT'!$IE$75,"")</f>
        <v>0.19776562964390643</v>
      </c>
      <c r="R4" s="787">
        <f>IFERROR('ANALYSE - ERP =&gt; SOUS-SEGMENT'!$IJ$75/'ANALYSE - ERP =&gt; SOUS-SEGMENT'!$IE$75,"")</f>
        <v>2.2499059422520024E-2</v>
      </c>
      <c r="T4" s="430">
        <f>'ANALYSE - ERP =&gt; SOUS-SEGMENT'!$Q$75</f>
        <v>1</v>
      </c>
    </row>
    <row r="5" spans="1:78" ht="15" customHeight="1">
      <c r="A5" s="26">
        <v>2</v>
      </c>
      <c r="B5" s="26">
        <v>2</v>
      </c>
      <c r="C5" s="422">
        <f>'ANALYSE - ERP =&gt; SOUS-SEGMENT'!$A$58</f>
        <v>51</v>
      </c>
      <c r="D5" s="409" t="str">
        <f>'ANALYSE - ERP =&gt; SOUS-SEGMENT'!$B$58</f>
        <v>Santé &amp; Médico-social</v>
      </c>
      <c r="E5" s="409" t="str">
        <f>'ANALYSE - ERP =&gt; SOUS-SEGMENT'!$C$58</f>
        <v>Médico-social</v>
      </c>
      <c r="F5" s="409" t="str">
        <f>'ANALYSE - ERP =&gt; SOUS-SEGMENT'!$D$58</f>
        <v>EHPAD</v>
      </c>
      <c r="H5" s="787">
        <f>IFERROR('ANALYSE - ERP =&gt; SOUS-SEGMENT'!$HZ$58/'ANALYSE - ERP =&gt; SOUS-SEGMENT'!$HY$58,"")</f>
        <v>0</v>
      </c>
      <c r="I5" s="787">
        <f>IFERROR('ANALYSE - ERP =&gt; SOUS-SEGMENT'!$IA$58/'ANALYSE - ERP =&gt; SOUS-SEGMENT'!$HY$58,"")</f>
        <v>0.10229573170731705</v>
      </c>
      <c r="J5" s="787">
        <f>IFERROR('ANALYSE - ERP =&gt; SOUS-SEGMENT'!$IB$58/'ANALYSE - ERP =&gt; SOUS-SEGMENT'!$HY$58,"")</f>
        <v>0.54209268292682911</v>
      </c>
      <c r="K5" s="787">
        <f>IFERROR('ANALYSE - ERP =&gt; SOUS-SEGMENT'!$IC$58/'ANALYSE - ERP =&gt; SOUS-SEGMENT'!$HY$58,"")</f>
        <v>0.35255914634146335</v>
      </c>
      <c r="L5" s="787">
        <f>IFERROR('ANALYSE - ERP =&gt; SOUS-SEGMENT'!$ID$58/'ANALYSE - ERP =&gt; SOUS-SEGMENT'!$HY$58,"")</f>
        <v>3.052439024390243E-3</v>
      </c>
      <c r="N5" s="787">
        <f>IFERROR('ANALYSE - ERP =&gt; SOUS-SEGMENT'!$IF$58/'ANALYSE - ERP =&gt; SOUS-SEGMENT'!$IE$58,"")</f>
        <v>0</v>
      </c>
      <c r="O5" s="787">
        <f>IFERROR('ANALYSE - ERP =&gt; SOUS-SEGMENT'!$IG$58/'ANALYSE - ERP =&gt; SOUS-SEGMENT'!$IE$58,"")</f>
        <v>5.1025016717321327E-2</v>
      </c>
      <c r="P5" s="787">
        <f>IFERROR('ANALYSE - ERP =&gt; SOUS-SEGMENT'!$IH$58/'ANALYSE - ERP =&gt; SOUS-SEGMENT'!$IE$58,"")</f>
        <v>0.47234819890673624</v>
      </c>
      <c r="Q5" s="787">
        <f>IFERROR('ANALYSE - ERP =&gt; SOUS-SEGMENT'!$II$58/'ANALYSE - ERP =&gt; SOUS-SEGMENT'!$IE$58,"")</f>
        <v>0.44846385666137328</v>
      </c>
      <c r="R5" s="787">
        <f>IFERROR('ANALYSE - ERP =&gt; SOUS-SEGMENT'!$IJ$58/'ANALYSE - ERP =&gt; SOUS-SEGMENT'!$IE$58,"")</f>
        <v>2.8162927714569127E-2</v>
      </c>
      <c r="T5" s="430">
        <f>'ANALYSE - ERP =&gt; SOUS-SEGMENT'!$Q$58</f>
        <v>1</v>
      </c>
    </row>
    <row r="6" spans="1:78" ht="15" customHeight="1">
      <c r="A6" s="26">
        <v>3</v>
      </c>
      <c r="B6" s="26">
        <v>3</v>
      </c>
      <c r="C6" s="422">
        <f>'ANALYSE - ERP =&gt; SOUS-SEGMENT'!$A$82</f>
        <v>75</v>
      </c>
      <c r="D6" s="412" t="str">
        <f>'ANALYSE - ERP =&gt; SOUS-SEGMENT'!$B$82</f>
        <v>Tertiaire &amp; Industriel</v>
      </c>
      <c r="E6" s="412" t="str">
        <f>'ANALYSE - ERP =&gt; SOUS-SEGMENT'!$C$82</f>
        <v>Bureaux</v>
      </c>
      <c r="F6" s="412" t="str">
        <f>'ANALYSE - ERP =&gt; SOUS-SEGMENT'!$D$82</f>
        <v>Bureaux Tertiaire Privé (&gt;50 salariés)
(hors usines et logistique )</v>
      </c>
      <c r="H6" s="787">
        <f>IFERROR('ANALYSE - ERP =&gt; SOUS-SEGMENT'!$HZ$82/'ANALYSE - ERP =&gt; SOUS-SEGMENT'!$HY$82,"")</f>
        <v>3.3507764682862366E-2</v>
      </c>
      <c r="I6" s="787">
        <f>IFERROR('ANALYSE - ERP =&gt; SOUS-SEGMENT'!$IA$82/'ANALYSE - ERP =&gt; SOUS-SEGMENT'!$HY$82,"")</f>
        <v>0.42033716892717848</v>
      </c>
      <c r="J6" s="787">
        <f>IFERROR('ANALYSE - ERP =&gt; SOUS-SEGMENT'!$IB$82/'ANALYSE - ERP =&gt; SOUS-SEGMENT'!$HY$82,"")</f>
        <v>0.48446282269365687</v>
      </c>
      <c r="K6" s="787">
        <f>IFERROR('ANALYSE - ERP =&gt; SOUS-SEGMENT'!$IC$82/'ANALYSE - ERP =&gt; SOUS-SEGMENT'!$HY$82,"")</f>
        <v>6.1692243696302336E-2</v>
      </c>
      <c r="L6" s="787">
        <f>IFERROR('ANALYSE - ERP =&gt; SOUS-SEGMENT'!$ID$82/'ANALYSE - ERP =&gt; SOUS-SEGMENT'!$HY$82,"")</f>
        <v>0</v>
      </c>
      <c r="N6" s="787">
        <f>IFERROR('ANALYSE - ERP =&gt; SOUS-SEGMENT'!$IF$82/'ANALYSE - ERP =&gt; SOUS-SEGMENT'!$IE$82,"")</f>
        <v>1.1682372418645946E-2</v>
      </c>
      <c r="O6" s="787">
        <f>IFERROR('ANALYSE - ERP =&gt; SOUS-SEGMENT'!$IG$82/'ANALYSE - ERP =&gt; SOUS-SEGMENT'!$IE$82,"")</f>
        <v>0.39533494191102259</v>
      </c>
      <c r="P6" s="787">
        <f>IFERROR('ANALYSE - ERP =&gt; SOUS-SEGMENT'!$IH$82/'ANALYSE - ERP =&gt; SOUS-SEGMENT'!$IE$82,"")</f>
        <v>0.50454305720421555</v>
      </c>
      <c r="Q6" s="787">
        <f>IFERROR('ANALYSE - ERP =&gt; SOUS-SEGMENT'!$II$82/'ANALYSE - ERP =&gt; SOUS-SEGMENT'!$IE$82,"")</f>
        <v>8.3440268595214279E-2</v>
      </c>
      <c r="R6" s="787">
        <f>IFERROR('ANALYSE - ERP =&gt; SOUS-SEGMENT'!$IJ$82/'ANALYSE - ERP =&gt; SOUS-SEGMENT'!$IE$82,"")</f>
        <v>4.9993598709015602E-3</v>
      </c>
      <c r="T6" s="430">
        <f>'ANALYSE - ERP =&gt; SOUS-SEGMENT'!$Q$82</f>
        <v>1</v>
      </c>
    </row>
    <row r="7" spans="1:78" ht="15" customHeight="1">
      <c r="A7" s="26">
        <v>4</v>
      </c>
      <c r="B7" s="26">
        <v>4</v>
      </c>
      <c r="C7" s="422">
        <f>'ANALYSE - ERP =&gt; SOUS-SEGMENT'!$A$12</f>
        <v>5</v>
      </c>
      <c r="D7" s="413" t="str">
        <f>'ANALYSE - ERP =&gt; SOUS-SEGMENT'!$B$12</f>
        <v>Enfance, Enseignement, Jeunesse &amp; Formation</v>
      </c>
      <c r="E7" s="413" t="str">
        <f>'ANALYSE - ERP =&gt; SOUS-SEGMENT'!$C$12</f>
        <v>Enseignement scolaire</v>
      </c>
      <c r="F7" s="413" t="str">
        <f>'ANALYSE - ERP =&gt; SOUS-SEGMENT'!$D$12</f>
        <v>Écoles primaires</v>
      </c>
      <c r="H7" s="787">
        <f>IFERROR('ANALYSE - ERP =&gt; SOUS-SEGMENT'!$HZ$12/'ANALYSE - ERP =&gt; SOUS-SEGMENT'!$HY$12,"")</f>
        <v>0.10319565217391305</v>
      </c>
      <c r="I7" s="787">
        <f>IFERROR('ANALYSE - ERP =&gt; SOUS-SEGMENT'!$IA$12/'ANALYSE - ERP =&gt; SOUS-SEGMENT'!$HY$12,"")</f>
        <v>0.5413710144927536</v>
      </c>
      <c r="J7" s="787">
        <f>IFERROR('ANALYSE - ERP =&gt; SOUS-SEGMENT'!$IB$12/'ANALYSE - ERP =&gt; SOUS-SEGMENT'!$HY$12,"")</f>
        <v>0.33164276783177038</v>
      </c>
      <c r="K7" s="787">
        <f>IFERROR('ANALYSE - ERP =&gt; SOUS-SEGMENT'!$IC$12/'ANALYSE - ERP =&gt; SOUS-SEGMENT'!$HY$12,"")</f>
        <v>2.3597669792554701E-2</v>
      </c>
      <c r="L7" s="787">
        <f>IFERROR('ANALYSE - ERP =&gt; SOUS-SEGMENT'!$ID$12/'ANALYSE - ERP =&gt; SOUS-SEGMENT'!$HY$12,"")</f>
        <v>1.9289570900824101E-4</v>
      </c>
      <c r="N7" s="787">
        <f>IFERROR('ANALYSE - ERP =&gt; SOUS-SEGMENT'!$IF$12/'ANALYSE - ERP =&gt; SOUS-SEGMENT'!$IE$12,"")</f>
        <v>3.8591531685137813E-2</v>
      </c>
      <c r="O7" s="787">
        <f>IFERROR('ANALYSE - ERP =&gt; SOUS-SEGMENT'!$IG$12/'ANALYSE - ERP =&gt; SOUS-SEGMENT'!$IE$12,"")</f>
        <v>0.40173699914748506</v>
      </c>
      <c r="P7" s="787">
        <f>IFERROR('ANALYSE - ERP =&gt; SOUS-SEGMENT'!$IH$12/'ANALYSE - ERP =&gt; SOUS-SEGMENT'!$IE$12,"")</f>
        <v>0.48919096334185846</v>
      </c>
      <c r="Q7" s="787">
        <f>IFERROR('ANALYSE - ERP =&gt; SOUS-SEGMENT'!$II$12/'ANALYSE - ERP =&gt; SOUS-SEGMENT'!$IE$12,"")</f>
        <v>6.932969593634554E-2</v>
      </c>
      <c r="R7" s="787">
        <f>IFERROR('ANALYSE - ERP =&gt; SOUS-SEGMENT'!$IJ$12/'ANALYSE - ERP =&gt; SOUS-SEGMENT'!$IE$12,"")</f>
        <v>1.1508098891730603E-3</v>
      </c>
      <c r="T7" s="430">
        <f>'ANALYSE - ERP =&gt; SOUS-SEGMENT'!$Q$12</f>
        <v>1</v>
      </c>
    </row>
    <row r="8" spans="1:78" ht="15" customHeight="1">
      <c r="A8" s="26">
        <v>5</v>
      </c>
      <c r="B8" s="26">
        <v>5</v>
      </c>
      <c r="C8" s="422">
        <f>'ANALYSE - ERP =&gt; SOUS-SEGMENT'!$A$101</f>
        <v>94</v>
      </c>
      <c r="D8" s="412" t="str">
        <f>'ANALYSE - ERP =&gt; SOUS-SEGMENT'!$B$101</f>
        <v>Culte, Vie civique &amp; Services publics</v>
      </c>
      <c r="E8" s="412" t="str">
        <f>'ANALYSE - ERP =&gt; SOUS-SEGMENT'!$C$101</f>
        <v>Administrations / services publics</v>
      </c>
      <c r="F8" s="412" t="str">
        <f>'ANALYSE - ERP =&gt; SOUS-SEGMENT'!$D$101</f>
        <v>Mairies / hôtels de ville</v>
      </c>
      <c r="H8" s="787">
        <f>IFERROR('ANALYSE - ERP =&gt; SOUS-SEGMENT'!$HZ$101/'ANALYSE - ERP =&gt; SOUS-SEGMENT'!$HY$101,"")</f>
        <v>3.2380952380952378E-2</v>
      </c>
      <c r="I8" s="787">
        <f>IFERROR('ANALYSE - ERP =&gt; SOUS-SEGMENT'!$IA$101/'ANALYSE - ERP =&gt; SOUS-SEGMENT'!$HY$101,"")</f>
        <v>0.41370000000000001</v>
      </c>
      <c r="J8" s="787">
        <f>IFERROR('ANALYSE - ERP =&gt; SOUS-SEGMENT'!$IB$101/'ANALYSE - ERP =&gt; SOUS-SEGMENT'!$HY$101,"")</f>
        <v>0.49108571428571429</v>
      </c>
      <c r="K8" s="787">
        <f>IFERROR('ANALYSE - ERP =&gt; SOUS-SEGMENT'!$IC$101/'ANALYSE - ERP =&gt; SOUS-SEGMENT'!$HY$101,"")</f>
        <v>6.2833333333333338E-2</v>
      </c>
      <c r="L8" s="787">
        <f>IFERROR('ANALYSE - ERP =&gt; SOUS-SEGMENT'!$ID$101/'ANALYSE - ERP =&gt; SOUS-SEGMENT'!$HY$101,"")</f>
        <v>0</v>
      </c>
      <c r="N8" s="787">
        <f>IFERROR('ANALYSE - ERP =&gt; SOUS-SEGMENT'!$IF$101/'ANALYSE - ERP =&gt; SOUS-SEGMENT'!$IE$101,"")</f>
        <v>1.223337885195057E-2</v>
      </c>
      <c r="O8" s="787">
        <f>IFERROR('ANALYSE - ERP =&gt; SOUS-SEGMENT'!$IG$101/'ANALYSE - ERP =&gt; SOUS-SEGMENT'!$IE$101,"")</f>
        <v>0.3898588534600021</v>
      </c>
      <c r="P8" s="787">
        <f>IFERROR('ANALYSE - ERP =&gt; SOUS-SEGMENT'!$IH$101/'ANALYSE - ERP =&gt; SOUS-SEGMENT'!$IE$101,"")</f>
        <v>0.51049284270601702</v>
      </c>
      <c r="Q8" s="787">
        <f>IFERROR('ANALYSE - ERP =&gt; SOUS-SEGMENT'!$II$101/'ANALYSE - ERP =&gt; SOUS-SEGMENT'!$IE$101,"")</f>
        <v>8.2925903941881707E-2</v>
      </c>
      <c r="R8" s="787">
        <f>IFERROR('ANALYSE - ERP =&gt; SOUS-SEGMENT'!$IJ$101/'ANALYSE - ERP =&gt; SOUS-SEGMENT'!$IE$101,"")</f>
        <v>4.4890210401487161E-3</v>
      </c>
      <c r="T8" s="430">
        <f>'ANALYSE - ERP =&gt; SOUS-SEGMENT'!$Q$101</f>
        <v>1</v>
      </c>
    </row>
    <row r="9" spans="1:78" ht="15" customHeight="1">
      <c r="A9" s="26">
        <v>6</v>
      </c>
      <c r="B9" s="26">
        <v>6</v>
      </c>
      <c r="C9" s="422">
        <f>'ANALYSE - ERP =&gt; SOUS-SEGMENT'!$A$67</f>
        <v>60</v>
      </c>
      <c r="D9" s="409" t="str">
        <f>'ANALYSE - ERP =&gt; SOUS-SEGMENT'!$B$67</f>
        <v>Culture, Patrimoine &amp; Evénementiel</v>
      </c>
      <c r="E9" s="409" t="str">
        <f>'ANALYSE - ERP =&gt; SOUS-SEGMENT'!$C$67</f>
        <v>Culture / spectacle</v>
      </c>
      <c r="F9" s="409" t="str">
        <f>'ANALYSE - ERP =&gt; SOUS-SEGMENT'!$D$67</f>
        <v>Salles polyvalentes / Salles des fêtes</v>
      </c>
      <c r="H9" s="787">
        <f>IFERROR('ANALYSE - ERP =&gt; SOUS-SEGMENT'!$HZ$67/'ANALYSE - ERP =&gt; SOUS-SEGMENT'!$HY$67,"")</f>
        <v>3.3075668841052161E-2</v>
      </c>
      <c r="I9" s="787">
        <f>IFERROR('ANALYSE - ERP =&gt; SOUS-SEGMENT'!$IA$67/'ANALYSE - ERP =&gt; SOUS-SEGMENT'!$HY$67,"")</f>
        <v>0.4178656295303621</v>
      </c>
      <c r="J9" s="787">
        <f>IFERROR('ANALYSE - ERP =&gt; SOUS-SEGMENT'!$IB$67/'ANALYSE - ERP =&gt; SOUS-SEGMENT'!$HY$67,"")</f>
        <v>0.4868762860154961</v>
      </c>
      <c r="K9" s="787">
        <f>IFERROR('ANALYSE - ERP =&gt; SOUS-SEGMENT'!$IC$67/'ANALYSE - ERP =&gt; SOUS-SEGMENT'!$HY$67,"")</f>
        <v>6.2182415613089702E-2</v>
      </c>
      <c r="L9" s="787">
        <f>IFERROR('ANALYSE - ERP =&gt; SOUS-SEGMENT'!$ID$67/'ANALYSE - ERP =&gt; SOUS-SEGMENT'!$HY$67,"")</f>
        <v>0</v>
      </c>
      <c r="N9" s="787">
        <f>IFERROR('ANALYSE - ERP =&gt; SOUS-SEGMENT'!$IF$67/'ANALYSE - ERP =&gt; SOUS-SEGMENT'!$IE$67,"")</f>
        <v>1.5957893867771428E-2</v>
      </c>
      <c r="O9" s="787">
        <f>IFERROR('ANALYSE - ERP =&gt; SOUS-SEGMENT'!$IG$67/'ANALYSE - ERP =&gt; SOUS-SEGMENT'!$IE$67,"")</f>
        <v>0.39832416159985273</v>
      </c>
      <c r="P9" s="787">
        <f>IFERROR('ANALYSE - ERP =&gt; SOUS-SEGMENT'!$IH$67/'ANALYSE - ERP =&gt; SOUS-SEGMENT'!$IE$67,"")</f>
        <v>0.50276029706279179</v>
      </c>
      <c r="Q9" s="787">
        <f>IFERROR('ANALYSE - ERP =&gt; SOUS-SEGMENT'!$II$67/'ANALYSE - ERP =&gt; SOUS-SEGMENT'!$IE$67,"")</f>
        <v>7.9156341993029108E-2</v>
      </c>
      <c r="R9" s="787">
        <f>IFERROR('ANALYSE - ERP =&gt; SOUS-SEGMENT'!$IJ$67/'ANALYSE - ERP =&gt; SOUS-SEGMENT'!$IE$67,"")</f>
        <v>3.8013054765551014E-3</v>
      </c>
      <c r="T9" s="430">
        <f>'ANALYSE - ERP =&gt; SOUS-SEGMENT'!$Q$67</f>
        <v>1</v>
      </c>
    </row>
    <row r="10" spans="1:78" ht="15" customHeight="1">
      <c r="A10" s="26">
        <v>7</v>
      </c>
      <c r="B10" s="26">
        <v>7</v>
      </c>
      <c r="C10" s="422">
        <f>'ANALYSE - ERP =&gt; SOUS-SEGMENT'!$A$21</f>
        <v>14</v>
      </c>
      <c r="D10" s="409" t="str">
        <f>'ANALYSE - ERP =&gt; SOUS-SEGMENT'!$B$21</f>
        <v>Sports &amp; Loisirs</v>
      </c>
      <c r="E10" s="409" t="str">
        <f>'ANALYSE - ERP =&gt; SOUS-SEGMENT'!$C$21</f>
        <v>Sport couvert / Thermalisme / Bien-être</v>
      </c>
      <c r="F10" s="409" t="str">
        <f>'ANALYSE - ERP =&gt; SOUS-SEGMENT'!$D$21</f>
        <v>Gymnases / salles multisports
(hors scolaire, mais gymnase municipaux inclus)</v>
      </c>
      <c r="H10" s="787">
        <f>IFERROR('ANALYSE - ERP =&gt; SOUS-SEGMENT'!$HZ$21/'ANALYSE - ERP =&gt; SOUS-SEGMENT'!$HY$21,"")</f>
        <v>0.18405274725274723</v>
      </c>
      <c r="I10" s="787">
        <f>IFERROR('ANALYSE - ERP =&gt; SOUS-SEGMENT'!$IA$21/'ANALYSE - ERP =&gt; SOUS-SEGMENT'!$HY$21,"")</f>
        <v>0.6215120879120879</v>
      </c>
      <c r="J10" s="787">
        <f>IFERROR('ANALYSE - ERP =&gt; SOUS-SEGMENT'!$IB$21/'ANALYSE - ERP =&gt; SOUS-SEGMENT'!$HY$21,"")</f>
        <v>0.19443516483516485</v>
      </c>
      <c r="K10" s="787">
        <f>IFERROR('ANALYSE - ERP =&gt; SOUS-SEGMENT'!$IC$21/'ANALYSE - ERP =&gt; SOUS-SEGMENT'!$HY$21,"")</f>
        <v>0</v>
      </c>
      <c r="L10" s="787">
        <f>IFERROR('ANALYSE - ERP =&gt; SOUS-SEGMENT'!$ID$21/'ANALYSE - ERP =&gt; SOUS-SEGMENT'!$HY$21,"")</f>
        <v>0</v>
      </c>
      <c r="N10" s="787">
        <f>IFERROR('ANALYSE - ERP =&gt; SOUS-SEGMENT'!$IF$21/'ANALYSE - ERP =&gt; SOUS-SEGMENT'!$IE$21,"")</f>
        <v>9.4910519587228639E-2</v>
      </c>
      <c r="O10" s="787">
        <f>IFERROR('ANALYSE - ERP =&gt; SOUS-SEGMENT'!$IG$21/'ANALYSE - ERP =&gt; SOUS-SEGMENT'!$IE$21,"")</f>
        <v>0.58450547691428378</v>
      </c>
      <c r="P10" s="787">
        <f>IFERROR('ANALYSE - ERP =&gt; SOUS-SEGMENT'!$IH$21/'ANALYSE - ERP =&gt; SOUS-SEGMENT'!$IE$21,"")</f>
        <v>0.32058400349848765</v>
      </c>
      <c r="Q10" s="787">
        <f>IFERROR('ANALYSE - ERP =&gt; SOUS-SEGMENT'!$II$21/'ANALYSE - ERP =&gt; SOUS-SEGMENT'!$IE$21,"")</f>
        <v>0</v>
      </c>
      <c r="R10" s="787">
        <f>IFERROR('ANALYSE - ERP =&gt; SOUS-SEGMENT'!$IJ$21/'ANALYSE - ERP =&gt; SOUS-SEGMENT'!$IE$21,"")</f>
        <v>0</v>
      </c>
      <c r="T10" s="430">
        <f>'ANALYSE - ERP =&gt; SOUS-SEGMENT'!$Q$21</f>
        <v>1</v>
      </c>
    </row>
    <row r="11" spans="1:78" s="45" customFormat="1" ht="15" customHeight="1">
      <c r="A11" s="26">
        <v>8</v>
      </c>
      <c r="B11" s="26">
        <v>8</v>
      </c>
      <c r="C11" s="422">
        <f>'ANALYSE - ERP =&gt; SOUS-SEGMENT'!$A$77</f>
        <v>70</v>
      </c>
      <c r="D11" s="409" t="str">
        <f>'ANALYSE - ERP =&gt; SOUS-SEGMENT'!$B$77</f>
        <v>Commerce, Restauration &amp; Loisirs</v>
      </c>
      <c r="E11" s="409" t="str">
        <f>'ANALYSE - ERP =&gt; SOUS-SEGMENT'!$C$77</f>
        <v>Restauration / boissons</v>
      </c>
      <c r="F11" s="409" t="str">
        <f>'ANALYSE - ERP =&gt; SOUS-SEGMENT'!$D$77</f>
        <v>Fast-food / Cafétérias / Food courts</v>
      </c>
      <c r="G11" s="685"/>
      <c r="H11" s="787">
        <f>IFERROR('ANALYSE - ERP =&gt; SOUS-SEGMENT'!$HZ$77/'ANALYSE - ERP =&gt; SOUS-SEGMENT'!$HY$77,"")</f>
        <v>4.6337864077669905E-2</v>
      </c>
      <c r="I11" s="787">
        <f>IFERROR('ANALYSE - ERP =&gt; SOUS-SEGMENT'!$IA$77/'ANALYSE - ERP =&gt; SOUS-SEGMENT'!$HY$77,"")</f>
        <v>0.50428155339805825</v>
      </c>
      <c r="J11" s="787">
        <f>IFERROR('ANALYSE - ERP =&gt; SOUS-SEGMENT'!$IB$77/'ANALYSE - ERP =&gt; SOUS-SEGMENT'!$HY$77,"")</f>
        <v>0.37938058252427187</v>
      </c>
      <c r="K11" s="787">
        <f>IFERROR('ANALYSE - ERP =&gt; SOUS-SEGMENT'!$IC$77/'ANALYSE - ERP =&gt; SOUS-SEGMENT'!$HY$77,"")</f>
        <v>0.04</v>
      </c>
      <c r="L11" s="787">
        <f>IFERROR('ANALYSE - ERP =&gt; SOUS-SEGMENT'!$ID$77/'ANALYSE - ERP =&gt; SOUS-SEGMENT'!$HY$77,"")</f>
        <v>3.0000000000000006E-2</v>
      </c>
      <c r="M11" s="685"/>
      <c r="N11" s="787">
        <f>IFERROR('ANALYSE - ERP =&gt; SOUS-SEGMENT'!$IF$77/'ANALYSE - ERP =&gt; SOUS-SEGMENT'!$IE$77,"")</f>
        <v>6.4470809393957331E-3</v>
      </c>
      <c r="O11" s="787">
        <f>IFERROR('ANALYSE - ERP =&gt; SOUS-SEGMENT'!$IG$77/'ANALYSE - ERP =&gt; SOUS-SEGMENT'!$IE$77,"")</f>
        <v>0.34492164729516922</v>
      </c>
      <c r="P11" s="787">
        <f>IFERROR('ANALYSE - ERP =&gt; SOUS-SEGMENT'!$IH$77/'ANALYSE - ERP =&gt; SOUS-SEGMENT'!$IE$77,"")</f>
        <v>0.53089556361527168</v>
      </c>
      <c r="Q11" s="787">
        <f>IFERROR('ANALYSE - ERP =&gt; SOUS-SEGMENT'!$II$77/'ANALYSE - ERP =&gt; SOUS-SEGMENT'!$IE$77,"")</f>
        <v>8.7735708150163433E-2</v>
      </c>
      <c r="R11" s="787">
        <f>IFERROR('ANALYSE - ERP =&gt; SOUS-SEGMENT'!$IJ$77/'ANALYSE - ERP =&gt; SOUS-SEGMENT'!$IE$77,"")</f>
        <v>3.0000000000000002E-2</v>
      </c>
      <c r="S11" s="685"/>
      <c r="T11" s="430">
        <f>'ANALYSE - ERP =&gt; SOUS-SEGMENT'!$Q$77</f>
        <v>1</v>
      </c>
      <c r="U11" s="685"/>
      <c r="V11" s="685"/>
      <c r="W11" s="685"/>
      <c r="X11" s="685"/>
      <c r="Y11" s="685"/>
      <c r="Z11" s="685"/>
      <c r="AA11" s="685"/>
      <c r="AB11" s="685"/>
      <c r="AC11" s="685"/>
      <c r="AD11" s="685"/>
      <c r="AE11" s="685"/>
      <c r="AF11" s="685"/>
      <c r="AG11" s="685"/>
      <c r="AH11" s="685"/>
      <c r="AI11" s="685"/>
      <c r="AJ11" s="685"/>
      <c r="AK11" s="685"/>
      <c r="AL11" s="685"/>
      <c r="AM11" s="685"/>
      <c r="AN11" s="685"/>
      <c r="AO11" s="685"/>
      <c r="AP11" s="685"/>
      <c r="AQ11" s="685"/>
      <c r="AR11" s="685"/>
      <c r="AS11" s="685"/>
      <c r="AT11" s="685"/>
      <c r="AU11" s="685"/>
      <c r="AV11" s="685"/>
      <c r="AW11" s="685"/>
      <c r="AX11" s="685"/>
      <c r="AY11" s="685"/>
      <c r="AZ11" s="685"/>
      <c r="BA11" s="685"/>
      <c r="BB11" s="685"/>
      <c r="BC11" s="685"/>
      <c r="BD11" s="685"/>
      <c r="BE11" s="685"/>
      <c r="BF11" s="685"/>
      <c r="BG11" s="685"/>
      <c r="BH11" s="685"/>
      <c r="BI11" s="685"/>
      <c r="BJ11" s="685"/>
      <c r="BK11" s="685"/>
      <c r="BL11" s="685"/>
      <c r="BM11" s="685"/>
      <c r="BN11" s="685"/>
      <c r="BO11" s="685"/>
      <c r="BP11" s="685"/>
      <c r="BQ11" s="685"/>
      <c r="BR11" s="685"/>
      <c r="BS11" s="685"/>
      <c r="BT11" s="685"/>
      <c r="BU11" s="685"/>
      <c r="BV11" s="685"/>
      <c r="BW11" s="685"/>
      <c r="BX11" s="685"/>
      <c r="BY11" s="685"/>
      <c r="BZ11" s="685"/>
    </row>
    <row r="12" spans="1:78" ht="15" customHeight="1">
      <c r="A12" s="26">
        <v>9</v>
      </c>
      <c r="B12" s="26">
        <v>9</v>
      </c>
      <c r="C12" s="422">
        <f>'ANALYSE - ERP =&gt; SOUS-SEGMENT'!$A$113</f>
        <v>106</v>
      </c>
      <c r="D12" s="413" t="str">
        <f>'ANALYSE - ERP =&gt; SOUS-SEGMENT'!$B$113</f>
        <v>Culte, Vie civique &amp; Services publics</v>
      </c>
      <c r="E12" s="413" t="str">
        <f>'ANALYSE - ERP =&gt; SOUS-SEGMENT'!$C$113</f>
        <v>Culte</v>
      </c>
      <c r="F12" s="413" t="str">
        <f>'ANALYSE - ERP =&gt; SOUS-SEGMENT'!$D$113</f>
        <v>Églises, cathédrales, basiliques et chapelles ouvertes au public</v>
      </c>
      <c r="H12" s="787">
        <f>IFERROR('ANALYSE - ERP =&gt; SOUS-SEGMENT'!$HZ$113/'ANALYSE - ERP =&gt; SOUS-SEGMENT'!$HY$113,"")</f>
        <v>0.10724615384615384</v>
      </c>
      <c r="I12" s="787">
        <f>IFERROR('ANALYSE - ERP =&gt; SOUS-SEGMENT'!$IA$113/'ANALYSE - ERP =&gt; SOUS-SEGMENT'!$HY$113,"")</f>
        <v>0.54076153846153852</v>
      </c>
      <c r="J12" s="787">
        <f>IFERROR('ANALYSE - ERP =&gt; SOUS-SEGMENT'!$IB$113/'ANALYSE - ERP =&gt; SOUS-SEGMENT'!$HY$113,"")</f>
        <v>0.32585384615384622</v>
      </c>
      <c r="K12" s="787">
        <f>IFERROR('ANALYSE - ERP =&gt; SOUS-SEGMENT'!$IC$113/'ANALYSE - ERP =&gt; SOUS-SEGMENT'!$HY$113,"")</f>
        <v>2.6138461538461534E-2</v>
      </c>
      <c r="L12" s="787">
        <f>IFERROR('ANALYSE - ERP =&gt; SOUS-SEGMENT'!$ID$113/'ANALYSE - ERP =&gt; SOUS-SEGMENT'!$HY$113,"")</f>
        <v>0</v>
      </c>
      <c r="N12" s="787">
        <f>IFERROR('ANALYSE - ERP =&gt; SOUS-SEGMENT'!$IF$113/'ANALYSE - ERP =&gt; SOUS-SEGMENT'!$IE$113,"")</f>
        <v>9.3556405638094614E-2</v>
      </c>
      <c r="O12" s="787">
        <f>IFERROR('ANALYSE - ERP =&gt; SOUS-SEGMENT'!$IG$113/'ANALYSE - ERP =&gt; SOUS-SEGMENT'!$IE$113,"")</f>
        <v>0.52410503937947772</v>
      </c>
      <c r="P12" s="787">
        <f>IFERROR('ANALYSE - ERP =&gt; SOUS-SEGMENT'!$IH$113/'ANALYSE - ERP =&gt; SOUS-SEGMENT'!$IE$113,"")</f>
        <v>0.33901736265775234</v>
      </c>
      <c r="Q12" s="787">
        <f>IFERROR('ANALYSE - ERP =&gt; SOUS-SEGMENT'!$II$113/'ANALYSE - ERP =&gt; SOUS-SEGMENT'!$IE$113,"")</f>
        <v>4.0121192324675391E-2</v>
      </c>
      <c r="R12" s="787">
        <f>IFERROR('ANALYSE - ERP =&gt; SOUS-SEGMENT'!$IJ$113/'ANALYSE - ERP =&gt; SOUS-SEGMENT'!$IE$113,"")</f>
        <v>3.2000000000000006E-3</v>
      </c>
      <c r="T12" s="430">
        <f>'ANALYSE - ERP =&gt; SOUS-SEGMENT'!$Q$113</f>
        <v>1</v>
      </c>
    </row>
    <row r="13" spans="1:78" s="45" customFormat="1" ht="15" customHeight="1">
      <c r="A13" s="406">
        <v>10</v>
      </c>
      <c r="B13" s="406">
        <v>10</v>
      </c>
      <c r="C13" s="448">
        <f>'ANALYSE - ERP =&gt; SOUS-SEGMENT'!$A$13</f>
        <v>6</v>
      </c>
      <c r="D13" s="449" t="str">
        <f>'ANALYSE - ERP =&gt; SOUS-SEGMENT'!$B$13</f>
        <v>Enfance, Enseignement, Jeunesse &amp; Formation</v>
      </c>
      <c r="E13" s="449" t="str">
        <f>'ANALYSE - ERP =&gt; SOUS-SEGMENT'!$C$13</f>
        <v>Enseignement scolaire</v>
      </c>
      <c r="F13" s="449" t="str">
        <f>'ANALYSE - ERP =&gt; SOUS-SEGMENT'!$D$13</f>
        <v>Collèges
(vestiaires EPS inclus)</v>
      </c>
      <c r="G13" s="685"/>
      <c r="H13" s="788">
        <f>IFERROR('ANALYSE - ERP =&gt; SOUS-SEGMENT'!$HZ$13/'ANALYSE - ERP =&gt; SOUS-SEGMENT'!$HY$13,"")</f>
        <v>0.12389133858267717</v>
      </c>
      <c r="I13" s="788">
        <f>IFERROR('ANALYSE - ERP =&gt; SOUS-SEGMENT'!$IA$13/'ANALYSE - ERP =&gt; SOUS-SEGMENT'!$HY$13,"")</f>
        <v>0.55880236220472446</v>
      </c>
      <c r="J13" s="788">
        <f>IFERROR('ANALYSE - ERP =&gt; SOUS-SEGMENT'!$IB$13/'ANALYSE - ERP =&gt; SOUS-SEGMENT'!$HY$13,"")</f>
        <v>0.29846220472440943</v>
      </c>
      <c r="K13" s="788">
        <f>IFERROR('ANALYSE - ERP =&gt; SOUS-SEGMENT'!$IC$13/'ANALYSE - ERP =&gt; SOUS-SEGMENT'!$HY$13,"")</f>
        <v>1.8707086614173231E-2</v>
      </c>
      <c r="L13" s="788">
        <f>IFERROR('ANALYSE - ERP =&gt; SOUS-SEGMENT'!$ID$13/'ANALYSE - ERP =&gt; SOUS-SEGMENT'!$HY$13,"")</f>
        <v>1.3700787401574807E-4</v>
      </c>
      <c r="M13" s="685"/>
      <c r="N13" s="788">
        <f>IFERROR('ANALYSE - ERP =&gt; SOUS-SEGMENT'!$IF$13/'ANALYSE - ERP =&gt; SOUS-SEGMENT'!$IE$13,"")</f>
        <v>4.7732283464566934E-2</v>
      </c>
      <c r="O13" s="788">
        <f>IFERROR('ANALYSE - ERP =&gt; SOUS-SEGMENT'!$IG$13/'ANALYSE - ERP =&gt; SOUS-SEGMENT'!$IE$13,"")</f>
        <v>0.43102913385826769</v>
      </c>
      <c r="P13" s="788">
        <f>IFERROR('ANALYSE - ERP =&gt; SOUS-SEGMENT'!$IH$13/'ANALYSE - ERP =&gt; SOUS-SEGMENT'!$IE$13,"")</f>
        <v>0.46204566929133861</v>
      </c>
      <c r="Q13" s="788">
        <f>IFERROR('ANALYSE - ERP =&gt; SOUS-SEGMENT'!$II$13/'ANALYSE - ERP =&gt; SOUS-SEGMENT'!$IE$13,"")</f>
        <v>5.8334645669291328E-2</v>
      </c>
      <c r="R13" s="788">
        <f>IFERROR('ANALYSE - ERP =&gt; SOUS-SEGMENT'!$IJ$13/'ANALYSE - ERP =&gt; SOUS-SEGMENT'!$IE$13,"")</f>
        <v>8.5826771653543289E-4</v>
      </c>
      <c r="S13" s="685"/>
      <c r="T13" s="450">
        <f>'ANALYSE - ERP =&gt; SOUS-SEGMENT'!$Q$13</f>
        <v>1</v>
      </c>
      <c r="U13" s="685"/>
      <c r="V13" s="685"/>
      <c r="W13" s="685"/>
      <c r="X13" s="685"/>
      <c r="Y13" s="685"/>
      <c r="Z13" s="685"/>
      <c r="AA13" s="685"/>
      <c r="AB13" s="685"/>
      <c r="AC13" s="685"/>
      <c r="AD13" s="685"/>
      <c r="AE13" s="685"/>
      <c r="AF13" s="685"/>
      <c r="AG13" s="685"/>
      <c r="AH13" s="685"/>
      <c r="AI13" s="685"/>
      <c r="AJ13" s="685"/>
      <c r="AK13" s="685"/>
      <c r="AL13" s="685"/>
      <c r="AM13" s="685"/>
      <c r="AN13" s="685"/>
      <c r="AO13" s="685"/>
      <c r="AP13" s="685"/>
      <c r="AQ13" s="685"/>
      <c r="AR13" s="685"/>
      <c r="AS13" s="685"/>
      <c r="AT13" s="685"/>
      <c r="AU13" s="685"/>
      <c r="AV13" s="685"/>
      <c r="AW13" s="685"/>
      <c r="AX13" s="685"/>
      <c r="AY13" s="685"/>
      <c r="AZ13" s="685"/>
      <c r="BA13" s="685"/>
      <c r="BB13" s="685"/>
      <c r="BC13" s="685"/>
      <c r="BD13" s="685"/>
      <c r="BE13" s="685"/>
      <c r="BF13" s="685"/>
      <c r="BG13" s="685"/>
      <c r="BH13" s="685"/>
      <c r="BI13" s="685"/>
      <c r="BJ13" s="685"/>
      <c r="BK13" s="685"/>
      <c r="BL13" s="685"/>
      <c r="BM13" s="685"/>
      <c r="BN13" s="685"/>
      <c r="BO13" s="685"/>
      <c r="BP13" s="685"/>
      <c r="BQ13" s="685"/>
      <c r="BR13" s="685"/>
      <c r="BS13" s="685"/>
      <c r="BT13" s="685"/>
      <c r="BU13" s="685"/>
      <c r="BV13" s="685"/>
      <c r="BW13" s="685"/>
      <c r="BX13" s="685"/>
      <c r="BY13" s="685"/>
      <c r="BZ13" s="685"/>
    </row>
    <row r="14" spans="1:78" ht="15" customHeight="1">
      <c r="A14" s="26">
        <v>11</v>
      </c>
      <c r="B14" s="26">
        <v>11</v>
      </c>
      <c r="C14" s="422">
        <f>'ANALYSE - ERP =&gt; SOUS-SEGMENT'!$A$14</f>
        <v>7</v>
      </c>
      <c r="D14" s="409" t="str">
        <f>'ANALYSE - ERP =&gt; SOUS-SEGMENT'!$B$14</f>
        <v>Enfance, Enseignement, Jeunesse &amp; Formation</v>
      </c>
      <c r="E14" s="409" t="str">
        <f>'ANALYSE - ERP =&gt; SOUS-SEGMENT'!$C$14</f>
        <v>Enseignement scolaire</v>
      </c>
      <c r="F14" s="409" t="str">
        <f>'ANALYSE - ERP =&gt; SOUS-SEGMENT'!$D$14</f>
        <v>Lycées
(vestiaires EPS inclus)</v>
      </c>
      <c r="H14" s="787">
        <f>IFERROR('ANALYSE - ERP =&gt; SOUS-SEGMENT'!$HZ$14/'ANALYSE - ERP =&gt; SOUS-SEGMENT'!$HY$14,"")</f>
        <v>0.11429161290322581</v>
      </c>
      <c r="I14" s="787">
        <f>IFERROR('ANALYSE - ERP =&gt; SOUS-SEGMENT'!$IA$14/'ANALYSE - ERP =&gt; SOUS-SEGMENT'!$HY$14,"")</f>
        <v>0.55044322580645166</v>
      </c>
      <c r="J14" s="787">
        <f>IFERROR('ANALYSE - ERP =&gt; SOUS-SEGMENT'!$IB$14/'ANALYSE - ERP =&gt; SOUS-SEGMENT'!$HY$14,"")</f>
        <v>0.31403806451612903</v>
      </c>
      <c r="K14" s="787">
        <f>IFERROR('ANALYSE - ERP =&gt; SOUS-SEGMENT'!$IC$14/'ANALYSE - ERP =&gt; SOUS-SEGMENT'!$HY$14,"")</f>
        <v>2.1042580645161291E-2</v>
      </c>
      <c r="L14" s="787">
        <f>IFERROR('ANALYSE - ERP =&gt; SOUS-SEGMENT'!$ID$14/'ANALYSE - ERP =&gt; SOUS-SEGMENT'!$HY$14,"")</f>
        <v>1.8451612903225807E-4</v>
      </c>
      <c r="N14" s="787">
        <f>IFERROR('ANALYSE - ERP =&gt; SOUS-SEGMENT'!$IF$14/'ANALYSE - ERP =&gt; SOUS-SEGMENT'!$IE$14,"")</f>
        <v>4.2929677419354842E-2</v>
      </c>
      <c r="O14" s="787">
        <f>IFERROR('ANALYSE - ERP =&gt; SOUS-SEGMENT'!$IG$14/'ANALYSE - ERP =&gt; SOUS-SEGMENT'!$IE$14,"")</f>
        <v>0.41513548387096777</v>
      </c>
      <c r="P14" s="787">
        <f>IFERROR('ANALYSE - ERP =&gt; SOUS-SEGMENT'!$IH$14/'ANALYSE - ERP =&gt; SOUS-SEGMENT'!$IE$14,"")</f>
        <v>0.47646967741935492</v>
      </c>
      <c r="Q14" s="787">
        <f>IFERROR('ANALYSE - ERP =&gt; SOUS-SEGMENT'!$II$14/'ANALYSE - ERP =&gt; SOUS-SEGMENT'!$IE$14,"")</f>
        <v>6.4450967741935497E-2</v>
      </c>
      <c r="R14" s="787">
        <f>IFERROR('ANALYSE - ERP =&gt; SOUS-SEGMENT'!$IJ$14/'ANALYSE - ERP =&gt; SOUS-SEGMENT'!$IE$14,"")</f>
        <v>1.0141935483870968E-3</v>
      </c>
      <c r="T14" s="430">
        <f>'ANALYSE - ERP =&gt; SOUS-SEGMENT'!$Q$14</f>
        <v>1</v>
      </c>
    </row>
    <row r="15" spans="1:78" s="45" customFormat="1" ht="15" customHeight="1">
      <c r="A15" s="406">
        <v>12</v>
      </c>
      <c r="B15" s="406">
        <v>12</v>
      </c>
      <c r="C15" s="448">
        <f>'ANALYSE - ERP =&gt; SOUS-SEGMENT'!$A$27</f>
        <v>20</v>
      </c>
      <c r="D15" s="449" t="str">
        <f>'ANALYSE - ERP =&gt; SOUS-SEGMENT'!$B$27</f>
        <v>Sports &amp; Loisirs</v>
      </c>
      <c r="E15" s="449" t="str">
        <f>'ANALYSE - ERP =&gt; SOUS-SEGMENT'!$C$27</f>
        <v>Sport de plein air</v>
      </c>
      <c r="F15" s="449" t="str">
        <f>'ANALYSE - ERP =&gt; SOUS-SEGMENT'!$D$27</f>
        <v>Terrains de sport
(Hors scolaire, sans tribune)</v>
      </c>
      <c r="G15" s="685"/>
      <c r="H15" s="788">
        <f>IFERROR('ANALYSE - ERP =&gt; SOUS-SEGMENT'!$HZ$27/'ANALYSE - ERP =&gt; SOUS-SEGMENT'!$HY$27,"")</f>
        <v>0.16960886699507388</v>
      </c>
      <c r="I15" s="788">
        <f>IFERROR('ANALYSE - ERP =&gt; SOUS-SEGMENT'!$IA$27/'ANALYSE - ERP =&gt; SOUS-SEGMENT'!$HY$27,"")</f>
        <v>0.57794482758620691</v>
      </c>
      <c r="J15" s="788">
        <f>IFERROR('ANALYSE - ERP =&gt; SOUS-SEGMENT'!$IB$27/'ANALYSE - ERP =&gt; SOUS-SEGMENT'!$HY$27,"")</f>
        <v>0.23573891625615764</v>
      </c>
      <c r="K15" s="788">
        <f>IFERROR('ANALYSE - ERP =&gt; SOUS-SEGMENT'!$IC$27/'ANALYSE - ERP =&gt; SOUS-SEGMENT'!$HY$27,"")</f>
        <v>1.6707389162561578E-2</v>
      </c>
      <c r="L15" s="788">
        <f>IFERROR('ANALYSE - ERP =&gt; SOUS-SEGMENT'!$ID$27/'ANALYSE - ERP =&gt; SOUS-SEGMENT'!$HY$27,"")</f>
        <v>0</v>
      </c>
      <c r="M15" s="685"/>
      <c r="N15" s="788">
        <f>IFERROR('ANALYSE - ERP =&gt; SOUS-SEGMENT'!$IF$27/'ANALYSE - ERP =&gt; SOUS-SEGMENT'!$IE$27,"")</f>
        <v>0.15199211626082051</v>
      </c>
      <c r="O15" s="788">
        <f>IFERROR('ANALYSE - ERP =&gt; SOUS-SEGMENT'!$IG$27/'ANALYSE - ERP =&gt; SOUS-SEGMENT'!$IE$27,"")</f>
        <v>0.55672148437209368</v>
      </c>
      <c r="P15" s="788">
        <f>IFERROR('ANALYSE - ERP =&gt; SOUS-SEGMENT'!$IH$27/'ANALYSE - ERP =&gt; SOUS-SEGMENT'!$IE$27,"")</f>
        <v>0.25302388594640263</v>
      </c>
      <c r="Q15" s="788">
        <f>IFERROR('ANALYSE - ERP =&gt; SOUS-SEGMENT'!$II$27/'ANALYSE - ERP =&gt; SOUS-SEGMENT'!$IE$27,"")</f>
        <v>3.4262513420683358E-2</v>
      </c>
      <c r="R15" s="788">
        <f>IFERROR('ANALYSE - ERP =&gt; SOUS-SEGMENT'!$IJ$27/'ANALYSE - ERP =&gt; SOUS-SEGMENT'!$IE$27,"")</f>
        <v>4.000000000000001E-3</v>
      </c>
      <c r="S15" s="685"/>
      <c r="T15" s="450">
        <f>'ANALYSE - ERP =&gt; SOUS-SEGMENT'!$Q$27</f>
        <v>1</v>
      </c>
      <c r="U15" s="685"/>
      <c r="V15" s="685"/>
      <c r="W15" s="685"/>
      <c r="X15" s="685"/>
      <c r="Y15" s="685"/>
      <c r="Z15" s="685"/>
      <c r="AA15" s="685"/>
      <c r="AB15" s="685"/>
      <c r="AC15" s="685"/>
      <c r="AD15" s="685"/>
      <c r="AE15" s="685"/>
      <c r="AF15" s="685"/>
      <c r="AG15" s="685"/>
      <c r="AH15" s="685"/>
      <c r="AI15" s="685"/>
      <c r="AJ15" s="685"/>
      <c r="AK15" s="685"/>
      <c r="AL15" s="685"/>
      <c r="AM15" s="685"/>
      <c r="AN15" s="685"/>
      <c r="AO15" s="685"/>
      <c r="AP15" s="685"/>
      <c r="AQ15" s="685"/>
      <c r="AR15" s="685"/>
      <c r="AS15" s="685"/>
      <c r="AT15" s="685"/>
      <c r="AU15" s="685"/>
      <c r="AV15" s="685"/>
      <c r="AW15" s="685"/>
      <c r="AX15" s="685"/>
      <c r="AY15" s="685"/>
      <c r="AZ15" s="685"/>
      <c r="BA15" s="685"/>
      <c r="BB15" s="685"/>
      <c r="BC15" s="685"/>
      <c r="BD15" s="685"/>
      <c r="BE15" s="685"/>
      <c r="BF15" s="685"/>
      <c r="BG15" s="685"/>
      <c r="BH15" s="685"/>
      <c r="BI15" s="685"/>
      <c r="BJ15" s="685"/>
      <c r="BK15" s="685"/>
      <c r="BL15" s="685"/>
      <c r="BM15" s="685"/>
      <c r="BN15" s="685"/>
      <c r="BO15" s="685"/>
      <c r="BP15" s="685"/>
      <c r="BQ15" s="685"/>
      <c r="BR15" s="685"/>
      <c r="BS15" s="685"/>
      <c r="BT15" s="685"/>
      <c r="BU15" s="685"/>
      <c r="BV15" s="685"/>
      <c r="BW15" s="685"/>
      <c r="BX15" s="685"/>
      <c r="BY15" s="685"/>
      <c r="BZ15" s="685"/>
    </row>
    <row r="16" spans="1:78" ht="15" customHeight="1">
      <c r="A16" s="26">
        <v>13</v>
      </c>
      <c r="B16" s="26">
        <v>13</v>
      </c>
      <c r="C16" s="422">
        <f>'ANALYSE - ERP =&gt; SOUS-SEGMENT'!$A$94</f>
        <v>87</v>
      </c>
      <c r="D16" s="408" t="str">
        <f>'ANALYSE - ERP =&gt; SOUS-SEGMENT'!$B$94</f>
        <v>Hébergement Touristique</v>
      </c>
      <c r="E16" s="408" t="str">
        <f>'ANALYSE - ERP =&gt; SOUS-SEGMENT'!$C$94</f>
        <v>Tourisme de plein air</v>
      </c>
      <c r="F16" s="408" t="str">
        <f>'ANALYSE - ERP =&gt; SOUS-SEGMENT'!$D$94</f>
        <v>Campings</v>
      </c>
      <c r="H16" s="787">
        <f>IFERROR('ANALYSE - ERP =&gt; SOUS-SEGMENT'!$HZ$94/'ANALYSE - ERP =&gt; SOUS-SEGMENT'!$HY$94,"")</f>
        <v>0.1188261261261261</v>
      </c>
      <c r="I16" s="787">
        <f>IFERROR('ANALYSE - ERP =&gt; SOUS-SEGMENT'!$IA$94/'ANALYSE - ERP =&gt; SOUS-SEGMENT'!$HY$94,"")</f>
        <v>0.53566216216216211</v>
      </c>
      <c r="J16" s="787">
        <f>IFERROR('ANALYSE - ERP =&gt; SOUS-SEGMENT'!$IB$94/'ANALYSE - ERP =&gt; SOUS-SEGMENT'!$HY$94,"")</f>
        <v>0.32007567567567569</v>
      </c>
      <c r="K16" s="787">
        <f>IFERROR('ANALYSE - ERP =&gt; SOUS-SEGMENT'!$IC$94/'ANALYSE - ERP =&gt; SOUS-SEGMENT'!$HY$94,"")</f>
        <v>2.5184684684684683E-2</v>
      </c>
      <c r="L16" s="787">
        <f>IFERROR('ANALYSE - ERP =&gt; SOUS-SEGMENT'!$ID$94/'ANALYSE - ERP =&gt; SOUS-SEGMENT'!$HY$94,"")</f>
        <v>2.5135135135135131E-4</v>
      </c>
      <c r="N16" s="787">
        <f>IFERROR('ANALYSE - ERP =&gt; SOUS-SEGMENT'!$IF$94/'ANALYSE - ERP =&gt; SOUS-SEGMENT'!$IE$94,"")</f>
        <v>5.0994551582118394E-2</v>
      </c>
      <c r="O16" s="787">
        <f>IFERROR('ANALYSE - ERP =&gt; SOUS-SEGMENT'!$IG$94/'ANALYSE - ERP =&gt; SOUS-SEGMENT'!$IE$94,"")</f>
        <v>0.42041199209755725</v>
      </c>
      <c r="P16" s="787">
        <f>IFERROR('ANALYSE - ERP =&gt; SOUS-SEGMENT'!$IH$94/'ANALYSE - ERP =&gt; SOUS-SEGMENT'!$IE$94,"")</f>
        <v>0.46068177208487815</v>
      </c>
      <c r="Q16" s="787">
        <f>IFERROR('ANALYSE - ERP =&gt; SOUS-SEGMENT'!$II$94/'ANALYSE - ERP =&gt; SOUS-SEGMENT'!$IE$94,"")</f>
        <v>6.6653246880231734E-2</v>
      </c>
      <c r="R16" s="787">
        <f>IFERROR('ANALYSE - ERP =&gt; SOUS-SEGMENT'!$IJ$94/'ANALYSE - ERP =&gt; SOUS-SEGMENT'!$IE$94,"")</f>
        <v>1.2584373552144237E-3</v>
      </c>
      <c r="T16" s="430">
        <f>'ANALYSE - ERP =&gt; SOUS-SEGMENT'!$Q$94</f>
        <v>1</v>
      </c>
    </row>
    <row r="17" spans="1:20" ht="15" customHeight="1">
      <c r="A17" s="26">
        <v>14</v>
      </c>
      <c r="B17" s="26">
        <v>15</v>
      </c>
      <c r="C17" s="422">
        <f>'ANALYSE - ERP =&gt; SOUS-SEGMENT'!$A$29</f>
        <v>22</v>
      </c>
      <c r="D17" s="411" t="str">
        <f>'ANALYSE - ERP =&gt; SOUS-SEGMENT'!$B$29</f>
        <v>Sports &amp; Loisirs</v>
      </c>
      <c r="E17" s="411" t="str">
        <f>'ANALYSE - ERP =&gt; SOUS-SEGMENT'!$C$29</f>
        <v>Sport de plein air</v>
      </c>
      <c r="F17" s="411" t="str">
        <f>'ANALYSE - ERP =&gt; SOUS-SEGMENT'!$D$29</f>
        <v xml:space="preserve">Grands stades avec tribunes
(Type football/rugby) </v>
      </c>
      <c r="H17" s="787">
        <f>IFERROR('ANALYSE - ERP =&gt; SOUS-SEGMENT'!$HZ$29/'ANALYSE - ERP =&gt; SOUS-SEGMENT'!$HY$29,"")</f>
        <v>5.3325641025641031E-2</v>
      </c>
      <c r="I17" s="787">
        <f>IFERROR('ANALYSE - ERP =&gt; SOUS-SEGMENT'!$IA$29/'ANALYSE - ERP =&gt; SOUS-SEGMENT'!$HY$29,"")</f>
        <v>0.49923846153846152</v>
      </c>
      <c r="J17" s="787">
        <f>IFERROR('ANALYSE - ERP =&gt; SOUS-SEGMENT'!$IB$29/'ANALYSE - ERP =&gt; SOUS-SEGMENT'!$HY$29,"")</f>
        <v>0.41622364672364676</v>
      </c>
      <c r="K17" s="787">
        <f>IFERROR('ANALYSE - ERP =&gt; SOUS-SEGMENT'!$IC$29/'ANALYSE - ERP =&gt; SOUS-SEGMENT'!$HY$29,"")</f>
        <v>3.121225071225071E-2</v>
      </c>
      <c r="L17" s="787">
        <f>IFERROR('ANALYSE - ERP =&gt; SOUS-SEGMENT'!$ID$29/'ANALYSE - ERP =&gt; SOUS-SEGMENT'!$HY$29,"")</f>
        <v>0</v>
      </c>
      <c r="N17" s="787">
        <f>IFERROR('ANALYSE - ERP =&gt; SOUS-SEGMENT'!$IF$29/'ANALYSE - ERP =&gt; SOUS-SEGMENT'!$IE$29,"")</f>
        <v>1.6507940853165384E-2</v>
      </c>
      <c r="O17" s="787">
        <f>IFERROR('ANALYSE - ERP =&gt; SOUS-SEGMENT'!$IG$29/'ANALYSE - ERP =&gt; SOUS-SEGMENT'!$IE$29,"")</f>
        <v>0.34953876199461748</v>
      </c>
      <c r="P17" s="787">
        <f>IFERROR('ANALYSE - ERP =&gt; SOUS-SEGMENT'!$IH$29/'ANALYSE - ERP =&gt; SOUS-SEGMENT'!$IE$29,"")</f>
        <v>0.55951223188940025</v>
      </c>
      <c r="Q17" s="787">
        <f>IFERROR('ANALYSE - ERP =&gt; SOUS-SEGMENT'!$II$29/'ANALYSE - ERP =&gt; SOUS-SEGMENT'!$IE$29,"")</f>
        <v>7.444106526281688E-2</v>
      </c>
      <c r="R17" s="787">
        <f>IFERROR('ANALYSE - ERP =&gt; SOUS-SEGMENT'!$IJ$29/'ANALYSE - ERP =&gt; SOUS-SEGMENT'!$IE$29,"")</f>
        <v>0</v>
      </c>
      <c r="T17" s="430">
        <f>'ANALYSE - ERP =&gt; SOUS-SEGMENT'!$Q$29</f>
        <v>1</v>
      </c>
    </row>
    <row r="18" spans="1:20" ht="15" customHeight="1">
      <c r="A18" s="26">
        <v>15</v>
      </c>
      <c r="B18" s="26">
        <v>17</v>
      </c>
      <c r="C18" s="422">
        <f>'ANALYSE - ERP =&gt; SOUS-SEGMENT'!$A$56</f>
        <v>49</v>
      </c>
      <c r="D18" s="409" t="str">
        <f>'ANALYSE - ERP =&gt; SOUS-SEGMENT'!$B$56</f>
        <v>Santé &amp; Médico-social</v>
      </c>
      <c r="E18" s="409" t="str">
        <f>'ANALYSE - ERP =&gt; SOUS-SEGMENT'!$C$56</f>
        <v>Médico-social</v>
      </c>
      <c r="F18" s="409" t="str">
        <f>'ANALYSE - ERP =&gt; SOUS-SEGMENT'!$D$56</f>
        <v>Foyers pour personnes handicapées</v>
      </c>
      <c r="H18" s="787">
        <f>IFERROR('ANALYSE - ERP =&gt; SOUS-SEGMENT'!$HZ$56/'ANALYSE - ERP =&gt; SOUS-SEGMENT'!$HY$56,"")</f>
        <v>7.35135135135135E-4</v>
      </c>
      <c r="I18" s="787">
        <f>IFERROR('ANALYSE - ERP =&gt; SOUS-SEGMENT'!$IA$56/'ANALYSE - ERP =&gt; SOUS-SEGMENT'!$HY$56,"")</f>
        <v>0.30092432432432431</v>
      </c>
      <c r="J18" s="787">
        <f>IFERROR('ANALYSE - ERP =&gt; SOUS-SEGMENT'!$IB$56/'ANALYSE - ERP =&gt; SOUS-SEGMENT'!$HY$56,"")</f>
        <v>0.54951081081081077</v>
      </c>
      <c r="K18" s="787">
        <f>IFERROR('ANALYSE - ERP =&gt; SOUS-SEGMENT'!$IC$56/'ANALYSE - ERP =&gt; SOUS-SEGMENT'!$HY$56,"")</f>
        <v>0.14882972972972972</v>
      </c>
      <c r="L18" s="787">
        <f>IFERROR('ANALYSE - ERP =&gt; SOUS-SEGMENT'!$ID$56/'ANALYSE - ERP =&gt; SOUS-SEGMENT'!$HY$56,"")</f>
        <v>0</v>
      </c>
      <c r="N18" s="787">
        <f>IFERROR('ANALYSE - ERP =&gt; SOUS-SEGMENT'!$IF$56/'ANALYSE - ERP =&gt; SOUS-SEGMENT'!$IE$56,"")</f>
        <v>0</v>
      </c>
      <c r="O18" s="787">
        <f>IFERROR('ANALYSE - ERP =&gt; SOUS-SEGMENT'!$IG$56/'ANALYSE - ERP =&gt; SOUS-SEGMENT'!$IE$56,"")</f>
        <v>0.14953061887664607</v>
      </c>
      <c r="P18" s="787">
        <f>IFERROR('ANALYSE - ERP =&gt; SOUS-SEGMENT'!$IH$56/'ANALYSE - ERP =&gt; SOUS-SEGMENT'!$IE$56,"")</f>
        <v>0.56742828261010658</v>
      </c>
      <c r="Q18" s="787">
        <f>IFERROR('ANALYSE - ERP =&gt; SOUS-SEGMENT'!$II$56/'ANALYSE - ERP =&gt; SOUS-SEGMENT'!$IE$56,"")</f>
        <v>0.28304109851324749</v>
      </c>
      <c r="R18" s="787">
        <f>IFERROR('ANALYSE - ERP =&gt; SOUS-SEGMENT'!$IJ$56/'ANALYSE - ERP =&gt; SOUS-SEGMENT'!$IE$56,"")</f>
        <v>0</v>
      </c>
      <c r="T18" s="430">
        <f>'ANALYSE - ERP =&gt; SOUS-SEGMENT'!$Q$56</f>
        <v>1</v>
      </c>
    </row>
    <row r="19" spans="1:20" ht="15" customHeight="1">
      <c r="A19" s="26">
        <v>16</v>
      </c>
      <c r="B19" s="26">
        <v>14</v>
      </c>
      <c r="C19" s="422">
        <f>'ANALYSE - ERP =&gt; SOUS-SEGMENT'!$A$76</f>
        <v>69</v>
      </c>
      <c r="D19" s="409" t="str">
        <f>'ANALYSE - ERP =&gt; SOUS-SEGMENT'!$B$76</f>
        <v>Commerce, Restauration &amp; Loisirs</v>
      </c>
      <c r="E19" s="409" t="str">
        <f>'ANALYSE - ERP =&gt; SOUS-SEGMENT'!$C$76</f>
        <v>Restauration / boissons</v>
      </c>
      <c r="F19" s="409" t="str">
        <f>'ANALYSE - ERP =&gt; SOUS-SEGMENT'!$D$76</f>
        <v>Cafés / bars / brasseries</v>
      </c>
      <c r="H19" s="787">
        <f>IFERROR('ANALYSE - ERP =&gt; SOUS-SEGMENT'!$HZ$76/'ANALYSE - ERP =&gt; SOUS-SEGMENT'!$HY$76,"")</f>
        <v>2.4870520231213871E-2</v>
      </c>
      <c r="I19" s="787">
        <f>IFERROR('ANALYSE - ERP =&gt; SOUS-SEGMENT'!$IA$76/'ANALYSE - ERP =&gt; SOUS-SEGMENT'!$HY$76,"")</f>
        <v>0.30509364161849711</v>
      </c>
      <c r="J19" s="787">
        <f>IFERROR('ANALYSE - ERP =&gt; SOUS-SEGMENT'!$IB$76/'ANALYSE - ERP =&gt; SOUS-SEGMENT'!$HY$76,"")</f>
        <v>0.44056184971098267</v>
      </c>
      <c r="K19" s="787">
        <f>IFERROR('ANALYSE - ERP =&gt; SOUS-SEGMENT'!$IC$76/'ANALYSE - ERP =&gt; SOUS-SEGMENT'!$HY$76,"")</f>
        <v>0.18705664739884392</v>
      </c>
      <c r="L19" s="787">
        <f>IFERROR('ANALYSE - ERP =&gt; SOUS-SEGMENT'!$ID$76/'ANALYSE - ERP =&gt; SOUS-SEGMENT'!$HY$76,"")</f>
        <v>4.2417341040462429E-2</v>
      </c>
      <c r="N19" s="787">
        <f>IFERROR('ANALYSE - ERP =&gt; SOUS-SEGMENT'!$IF$76/'ANALYSE - ERP =&gt; SOUS-SEGMENT'!$IE$76,"")</f>
        <v>1.7065315071331567E-3</v>
      </c>
      <c r="O19" s="787">
        <f>IFERROR('ANALYSE - ERP =&gt; SOUS-SEGMENT'!$IG$76/'ANALYSE - ERP =&gt; SOUS-SEGMENT'!$IE$76,"")</f>
        <v>0.22234151575223937</v>
      </c>
      <c r="P19" s="787">
        <f>IFERROR('ANALYSE - ERP =&gt; SOUS-SEGMENT'!$IH$76/'ANALYSE - ERP =&gt; SOUS-SEGMENT'!$IE$76,"")</f>
        <v>0.46719834852363012</v>
      </c>
      <c r="Q19" s="787">
        <f>IFERROR('ANALYSE - ERP =&gt; SOUS-SEGMENT'!$II$76/'ANALYSE - ERP =&gt; SOUS-SEGMENT'!$IE$76,"")</f>
        <v>0.2526139007784402</v>
      </c>
      <c r="R19" s="787">
        <f>IFERROR('ANALYSE - ERP =&gt; SOUS-SEGMENT'!$IJ$76/'ANALYSE - ERP =&gt; SOUS-SEGMENT'!$IE$76,"")</f>
        <v>5.6139703438557106E-2</v>
      </c>
      <c r="T19" s="430">
        <f>'ANALYSE - ERP =&gt; SOUS-SEGMENT'!$Q$76</f>
        <v>1</v>
      </c>
    </row>
    <row r="20" spans="1:20" ht="15" customHeight="1">
      <c r="A20" s="26">
        <v>17</v>
      </c>
      <c r="B20" s="26">
        <v>16</v>
      </c>
      <c r="C20" s="422">
        <f>'ANALYSE - ERP =&gt; SOUS-SEGMENT'!$A$11</f>
        <v>4</v>
      </c>
      <c r="D20" s="416" t="str">
        <f>'ANALYSE - ERP =&gt; SOUS-SEGMENT'!$B$11</f>
        <v>Enfance, Enseignement, Jeunesse &amp; Formation</v>
      </c>
      <c r="E20" s="416" t="str">
        <f>'ANALYSE - ERP =&gt; SOUS-SEGMENT'!$C$11</f>
        <v>Enseignement scolaire</v>
      </c>
      <c r="F20" s="416" t="str">
        <f>'ANALYSE - ERP =&gt; SOUS-SEGMENT'!$D$11</f>
        <v>Écoles maternelles</v>
      </c>
      <c r="H20" s="787">
        <f>IFERROR('ANALYSE - ERP =&gt; SOUS-SEGMENT'!$HZ$11/'ANALYSE - ERP =&gt; SOUS-SEGMENT'!$HY$11,"")</f>
        <v>9.8821791200208259E-2</v>
      </c>
      <c r="I20" s="787">
        <f>IFERROR('ANALYSE - ERP =&gt; SOUS-SEGMENT'!$IA$11/'ANALYSE - ERP =&gt; SOUS-SEGMENT'!$HY$11,"")</f>
        <v>0.53860697734964846</v>
      </c>
      <c r="J20" s="787">
        <f>IFERROR('ANALYSE - ERP =&gt; SOUS-SEGMENT'!$IB$11/'ANALYSE - ERP =&gt; SOUS-SEGMENT'!$HY$11,"")</f>
        <v>0.33797711533454833</v>
      </c>
      <c r="K20" s="787">
        <f>IFERROR('ANALYSE - ERP =&gt; SOUS-SEGMENT'!$IC$11/'ANALYSE - ERP =&gt; SOUS-SEGMENT'!$HY$11,"")</f>
        <v>2.4394116115594895E-2</v>
      </c>
      <c r="L20" s="787">
        <f>IFERROR('ANALYSE - ERP =&gt; SOUS-SEGMENT'!$ID$11/'ANALYSE - ERP =&gt; SOUS-SEGMENT'!$HY$11,"")</f>
        <v>1.9999999999999998E-4</v>
      </c>
      <c r="N20" s="787">
        <f>IFERROR('ANALYSE - ERP =&gt; SOUS-SEGMENT'!$IF$11/'ANALYSE - ERP =&gt; SOUS-SEGMENT'!$IE$11,"")</f>
        <v>4.0234860713355899E-2</v>
      </c>
      <c r="O20" s="787">
        <f>IFERROR('ANALYSE - ERP =&gt; SOUS-SEGMENT'!$IG$11/'ANALYSE - ERP =&gt; SOUS-SEGMENT'!$IE$11,"")</f>
        <v>0.41081874511845867</v>
      </c>
      <c r="P20" s="787">
        <f>IFERROR('ANALYSE - ERP =&gt; SOUS-SEGMENT'!$IH$11/'ANALYSE - ERP =&gt; SOUS-SEGMENT'!$IE$11,"")</f>
        <v>0.48267472012496737</v>
      </c>
      <c r="Q20" s="787">
        <f>IFERROR('ANALYSE - ERP =&gt; SOUS-SEGMENT'!$II$11/'ANALYSE - ERP =&gt; SOUS-SEGMENT'!$IE$11,"")</f>
        <v>6.5275813590210882E-2</v>
      </c>
      <c r="R20" s="787">
        <f>IFERROR('ANALYSE - ERP =&gt; SOUS-SEGMENT'!$IJ$11/'ANALYSE - ERP =&gt; SOUS-SEGMENT'!$IE$11,"")</f>
        <v>9.9586045300702935E-4</v>
      </c>
      <c r="T20" s="430">
        <f>'ANALYSE - ERP =&gt; SOUS-SEGMENT'!$Q$11</f>
        <v>1</v>
      </c>
    </row>
    <row r="21" spans="1:20" ht="15" customHeight="1">
      <c r="A21" s="26">
        <v>18</v>
      </c>
      <c r="B21" s="26">
        <v>19</v>
      </c>
      <c r="C21" s="422">
        <f>'ANALYSE - ERP =&gt; SOUS-SEGMENT'!$A$24</f>
        <v>17</v>
      </c>
      <c r="D21" s="417" t="str">
        <f>'ANALYSE - ERP =&gt; SOUS-SEGMENT'!$B$24</f>
        <v>Sports &amp; Loisirs</v>
      </c>
      <c r="E21" s="417" t="str">
        <f>'ANALYSE - ERP =&gt; SOUS-SEGMENT'!$C$24</f>
        <v>Sport couvert / Thermalisme / Bien-être</v>
      </c>
      <c r="F21" s="417" t="str">
        <f>'ANALYSE - ERP =&gt; SOUS-SEGMENT'!$D$24</f>
        <v>Piscines couvertes</v>
      </c>
      <c r="H21" s="787">
        <f>IFERROR('ANALYSE - ERP =&gt; SOUS-SEGMENT'!$HZ$24/'ANALYSE - ERP =&gt; SOUS-SEGMENT'!$HY$24,"")</f>
        <v>0.15111142857142859</v>
      </c>
      <c r="I21" s="787">
        <f>IFERROR('ANALYSE - ERP =&gt; SOUS-SEGMENT'!$IA$24/'ANALYSE - ERP =&gt; SOUS-SEGMENT'!$HY$24,"")</f>
        <v>0.62035285714285704</v>
      </c>
      <c r="J21" s="787">
        <f>IFERROR('ANALYSE - ERP =&gt; SOUS-SEGMENT'!$IB$24/'ANALYSE - ERP =&gt; SOUS-SEGMENT'!$HY$24,"")</f>
        <v>0.22853571428571429</v>
      </c>
      <c r="K21" s="787">
        <f>IFERROR('ANALYSE - ERP =&gt; SOUS-SEGMENT'!$IC$24/'ANALYSE - ERP =&gt; SOUS-SEGMENT'!$HY$24,"")</f>
        <v>0</v>
      </c>
      <c r="L21" s="787">
        <f>IFERROR('ANALYSE - ERP =&gt; SOUS-SEGMENT'!$ID$24/'ANALYSE - ERP =&gt; SOUS-SEGMENT'!$HY$24,"")</f>
        <v>0</v>
      </c>
      <c r="N21" s="787">
        <f>IFERROR('ANALYSE - ERP =&gt; SOUS-SEGMENT'!$IF$24/'ANALYSE - ERP =&gt; SOUS-SEGMENT'!$IE$24,"")</f>
        <v>7.1323937460780071E-2</v>
      </c>
      <c r="O21" s="787">
        <f>IFERROR('ANALYSE - ERP =&gt; SOUS-SEGMENT'!$IG$24/'ANALYSE - ERP =&gt; SOUS-SEGMENT'!$IE$24,"")</f>
        <v>0.55361556760254538</v>
      </c>
      <c r="P21" s="787">
        <f>IFERROR('ANALYSE - ERP =&gt; SOUS-SEGMENT'!$IH$24/'ANALYSE - ERP =&gt; SOUS-SEGMENT'!$IE$24,"")</f>
        <v>0.37506049493667454</v>
      </c>
      <c r="Q21" s="787">
        <f>IFERROR('ANALYSE - ERP =&gt; SOUS-SEGMENT'!$II$24/'ANALYSE - ERP =&gt; SOUS-SEGMENT'!$IE$24,"")</f>
        <v>0</v>
      </c>
      <c r="R21" s="787">
        <f>IFERROR('ANALYSE - ERP =&gt; SOUS-SEGMENT'!$IJ$24/'ANALYSE - ERP =&gt; SOUS-SEGMENT'!$IE$24,"")</f>
        <v>0</v>
      </c>
      <c r="T21" s="430">
        <f>'ANALYSE - ERP =&gt; SOUS-SEGMENT'!$Q$24</f>
        <v>1</v>
      </c>
    </row>
    <row r="22" spans="1:20" ht="15" customHeight="1">
      <c r="A22" s="26">
        <v>19</v>
      </c>
      <c r="B22" s="26">
        <v>18</v>
      </c>
      <c r="C22" s="422">
        <f>'ANALYSE - ERP =&gt; SOUS-SEGMENT'!$A$84</f>
        <v>77</v>
      </c>
      <c r="D22" s="408" t="str">
        <f>'ANALYSE - ERP =&gt; SOUS-SEGMENT'!$B$84</f>
        <v>Tertiaire &amp; Industriel</v>
      </c>
      <c r="E22" s="408" t="str">
        <f>'ANALYSE - ERP =&gt; SOUS-SEGMENT'!$C$84</f>
        <v>Usines &amp; Ateliers</v>
      </c>
      <c r="F22" s="408" t="str">
        <f>'ANALYSE - ERP =&gt; SOUS-SEGMENT'!$D$84</f>
        <v>Usines 
(&gt;50 salariés)
(Hors Ateliers industriels)</v>
      </c>
      <c r="H22" s="787">
        <f>IFERROR('ANALYSE - ERP =&gt; SOUS-SEGMENT'!$HZ$84/'ANALYSE - ERP =&gt; SOUS-SEGMENT'!$HY$84,"")</f>
        <v>3.3347267066420667E-2</v>
      </c>
      <c r="I22" s="787">
        <f>IFERROR('ANALYSE - ERP =&gt; SOUS-SEGMENT'!$IA$84/'ANALYSE - ERP =&gt; SOUS-SEGMENT'!$HY$84,"")</f>
        <v>0.42059123472094095</v>
      </c>
      <c r="J22" s="787">
        <f>IFERROR('ANALYSE - ERP =&gt; SOUS-SEGMENT'!$IB$84/'ANALYSE - ERP =&gt; SOUS-SEGMENT'!$HY$84,"")</f>
        <v>0.48490832564575648</v>
      </c>
      <c r="K22" s="787">
        <f>IFERROR('ANALYSE - ERP =&gt; SOUS-SEGMENT'!$IC$84/'ANALYSE - ERP =&gt; SOUS-SEGMENT'!$HY$84,"")</f>
        <v>6.1153172566881929E-2</v>
      </c>
      <c r="L22" s="787">
        <f>IFERROR('ANALYSE - ERP =&gt; SOUS-SEGMENT'!$ID$84/'ANALYSE - ERP =&gt; SOUS-SEGMENT'!$HY$84,"")</f>
        <v>0</v>
      </c>
      <c r="N22" s="787">
        <f>IFERROR('ANALYSE - ERP =&gt; SOUS-SEGMENT'!$IF$84/'ANALYSE - ERP =&gt; SOUS-SEGMENT'!$IE$84,"")</f>
        <v>1.1288945112799261E-2</v>
      </c>
      <c r="O22" s="787">
        <f>IFERROR('ANALYSE - ERP =&gt; SOUS-SEGMENT'!$IG$84/'ANALYSE - ERP =&gt; SOUS-SEGMENT'!$IE$84,"")</f>
        <v>0.39436937468611483</v>
      </c>
      <c r="P22" s="787">
        <f>IFERROR('ANALYSE - ERP =&gt; SOUS-SEGMENT'!$IH$84/'ANALYSE - ERP =&gt; SOUS-SEGMENT'!$IE$84,"")</f>
        <v>0.50628343042120449</v>
      </c>
      <c r="Q22" s="787">
        <f>IFERROR('ANALYSE - ERP =&gt; SOUS-SEGMENT'!$II$84/'ANALYSE - ERP =&gt; SOUS-SEGMENT'!$IE$84,"")</f>
        <v>8.3074389594867112E-2</v>
      </c>
      <c r="R22" s="787">
        <f>IFERROR('ANALYSE - ERP =&gt; SOUS-SEGMENT'!$IJ$84/'ANALYSE - ERP =&gt; SOUS-SEGMENT'!$IE$84,"")</f>
        <v>4.9838601850141686E-3</v>
      </c>
      <c r="T22" s="430">
        <f>'ANALYSE - ERP =&gt; SOUS-SEGMENT'!$Q$84</f>
        <v>1</v>
      </c>
    </row>
    <row r="23" spans="1:20" ht="15" customHeight="1">
      <c r="A23" s="26">
        <v>20</v>
      </c>
      <c r="B23" s="26">
        <v>20</v>
      </c>
      <c r="C23" s="422">
        <f>'ANALYSE - ERP =&gt; SOUS-SEGMENT'!$A$44</f>
        <v>37</v>
      </c>
      <c r="D23" s="409" t="str">
        <f>'ANALYSE - ERP =&gt; SOUS-SEGMENT'!$B$44</f>
        <v>Santé &amp; Médico-social</v>
      </c>
      <c r="E23" s="409" t="str">
        <f>'ANALYSE - ERP =&gt; SOUS-SEGMENT'!$C$44</f>
        <v>Santé hospitalière</v>
      </c>
      <c r="F23" s="409" t="str">
        <f>'ANALYSE - ERP =&gt; SOUS-SEGMENT'!$D$44</f>
        <v>Hôpitaux publics 
(Hors CHU, Universitaire, Militaire, Carcéral)</v>
      </c>
      <c r="H23" s="787">
        <f>IFERROR('ANALYSE - ERP =&gt; SOUS-SEGMENT'!$HZ$44/'ANALYSE - ERP =&gt; SOUS-SEGMENT'!$HY$44,"")</f>
        <v>1.2426470588235294E-4</v>
      </c>
      <c r="I23" s="787">
        <f>IFERROR('ANALYSE - ERP =&gt; SOUS-SEGMENT'!$IA$44/'ANALYSE - ERP =&gt; SOUS-SEGMENT'!$HY$44,"")</f>
        <v>0.28336507352941176</v>
      </c>
      <c r="J23" s="787">
        <f>IFERROR('ANALYSE - ERP =&gt; SOUS-SEGMENT'!$IB$44/'ANALYSE - ERP =&gt; SOUS-SEGMENT'!$HY$44,"")</f>
        <v>0.58969558823529411</v>
      </c>
      <c r="K23" s="787">
        <f>IFERROR('ANALYSE - ERP =&gt; SOUS-SEGMENT'!$IC$44/'ANALYSE - ERP =&gt; SOUS-SEGMENT'!$HY$44,"")</f>
        <v>0.12681507352941176</v>
      </c>
      <c r="L23" s="787">
        <f>IFERROR('ANALYSE - ERP =&gt; SOUS-SEGMENT'!$ID$44/'ANALYSE - ERP =&gt; SOUS-SEGMENT'!$HY$44,"")</f>
        <v>0</v>
      </c>
      <c r="N23" s="787">
        <f>IFERROR('ANALYSE - ERP =&gt; SOUS-SEGMENT'!$IF$44/'ANALYSE - ERP =&gt; SOUS-SEGMENT'!$IE$44,"")</f>
        <v>0</v>
      </c>
      <c r="O23" s="787">
        <f>IFERROR('ANALYSE - ERP =&gt; SOUS-SEGMENT'!$IG$44/'ANALYSE - ERP =&gt; SOUS-SEGMENT'!$IE$44,"")</f>
        <v>0.16160639069868721</v>
      </c>
      <c r="P23" s="787">
        <f>IFERROR('ANALYSE - ERP =&gt; SOUS-SEGMENT'!$IH$44/'ANALYSE - ERP =&gt; SOUS-SEGMENT'!$IE$44,"")</f>
        <v>0.59991228766543014</v>
      </c>
      <c r="Q23" s="787">
        <f>IFERROR('ANALYSE - ERP =&gt; SOUS-SEGMENT'!$II$44/'ANALYSE - ERP =&gt; SOUS-SEGMENT'!$IE$44,"")</f>
        <v>0.23848132163588279</v>
      </c>
      <c r="R23" s="787">
        <f>IFERROR('ANALYSE - ERP =&gt; SOUS-SEGMENT'!$IJ$44/'ANALYSE - ERP =&gt; SOUS-SEGMENT'!$IE$44,"")</f>
        <v>0</v>
      </c>
      <c r="T23" s="430">
        <f>'ANALYSE - ERP =&gt; SOUS-SEGMENT'!$Q$44</f>
        <v>1</v>
      </c>
    </row>
    <row r="24" spans="1:20" ht="15" customHeight="1">
      <c r="A24" s="26">
        <v>21</v>
      </c>
      <c r="B24" s="26">
        <v>21</v>
      </c>
      <c r="C24" s="422">
        <f>'ANALYSE - ERP =&gt; SOUS-SEGMENT'!$A$22</f>
        <v>15</v>
      </c>
      <c r="D24" s="414" t="str">
        <f>'ANALYSE - ERP =&gt; SOUS-SEGMENT'!$B$22</f>
        <v>Sports &amp; Loisirs</v>
      </c>
      <c r="E24" s="414" t="str">
        <f>'ANALYSE - ERP =&gt; SOUS-SEGMENT'!$C$22</f>
        <v>Sport couvert / Thermalisme / Bien-être</v>
      </c>
      <c r="F24" s="414" t="str">
        <f>'ANALYSE - ERP =&gt; SOUS-SEGMENT'!$D$22</f>
        <v>Salles de fitness / dojos</v>
      </c>
      <c r="H24" s="787">
        <f>IFERROR('ANALYSE - ERP =&gt; SOUS-SEGMENT'!$HZ$22/'ANALYSE - ERP =&gt; SOUS-SEGMENT'!$HY$22,"")</f>
        <v>4.761904761904762E-5</v>
      </c>
      <c r="I24" s="787">
        <f>IFERROR('ANALYSE - ERP =&gt; SOUS-SEGMENT'!$IA$22/'ANALYSE - ERP =&gt; SOUS-SEGMENT'!$HY$22,"")</f>
        <v>0.20779523809523806</v>
      </c>
      <c r="J24" s="787">
        <f>IFERROR('ANALYSE - ERP =&gt; SOUS-SEGMENT'!$IB$22/'ANALYSE - ERP =&gt; SOUS-SEGMENT'!$HY$22,"")</f>
        <v>0.53219047619047621</v>
      </c>
      <c r="K24" s="787">
        <f>IFERROR('ANALYSE - ERP =&gt; SOUS-SEGMENT'!$IC$22/'ANALYSE - ERP =&gt; SOUS-SEGMENT'!$HY$22,"")</f>
        <v>0.21744285714285716</v>
      </c>
      <c r="L24" s="787">
        <f>IFERROR('ANALYSE - ERP =&gt; SOUS-SEGMENT'!$ID$22/'ANALYSE - ERP =&gt; SOUS-SEGMENT'!$HY$22,"")</f>
        <v>4.2523809523809526E-2</v>
      </c>
      <c r="N24" s="787">
        <f>IFERROR('ANALYSE - ERP =&gt; SOUS-SEGMENT'!$IF$22/'ANALYSE - ERP =&gt; SOUS-SEGMENT'!$IE$22,"")</f>
        <v>0</v>
      </c>
      <c r="O24" s="787">
        <f>IFERROR('ANALYSE - ERP =&gt; SOUS-SEGMENT'!$IG$22/'ANALYSE - ERP =&gt; SOUS-SEGMENT'!$IE$22,"")</f>
        <v>8.7565163413624317E-2</v>
      </c>
      <c r="P24" s="787">
        <f>IFERROR('ANALYSE - ERP =&gt; SOUS-SEGMENT'!$IH$22/'ANALYSE - ERP =&gt; SOUS-SEGMENT'!$IE$22,"")</f>
        <v>0.49210422195797304</v>
      </c>
      <c r="Q24" s="787">
        <f>IFERROR('ANALYSE - ERP =&gt; SOUS-SEGMENT'!$II$22/'ANALYSE - ERP =&gt; SOUS-SEGMENT'!$IE$22,"")</f>
        <v>0.34980355954004849</v>
      </c>
      <c r="R24" s="787">
        <f>IFERROR('ANALYSE - ERP =&gt; SOUS-SEGMENT'!$IJ$22/'ANALYSE - ERP =&gt; SOUS-SEGMENT'!$IE$22,"")</f>
        <v>7.0527055088354176E-2</v>
      </c>
      <c r="T24" s="430">
        <f>'ANALYSE - ERP =&gt; SOUS-SEGMENT'!$Q$22</f>
        <v>1</v>
      </c>
    </row>
    <row r="25" spans="1:20" ht="15" customHeight="1">
      <c r="A25" s="26">
        <v>22</v>
      </c>
      <c r="B25" s="26">
        <v>22</v>
      </c>
      <c r="C25" s="422">
        <f>'ANALYSE - ERP =&gt; SOUS-SEGMENT'!$A$8</f>
        <v>1</v>
      </c>
      <c r="D25" s="414" t="str">
        <f>'ANALYSE - ERP =&gt; SOUS-SEGMENT'!$B$8</f>
        <v>Enfance, Enseignement, Jeunesse &amp; Formation</v>
      </c>
      <c r="E25" s="414" t="str">
        <f>'ANALYSE - ERP =&gt; SOUS-SEGMENT'!$C$8</f>
        <v>Petite enfance</v>
      </c>
      <c r="F25" s="414" t="str">
        <f>'ANALYSE - ERP =&gt; SOUS-SEGMENT'!$D$8</f>
        <v>Crèches</v>
      </c>
      <c r="H25" s="787">
        <f>IFERROR('ANALYSE - ERP =&gt; SOUS-SEGMENT'!$HZ$8/'ANALYSE - ERP =&gt; SOUS-SEGMENT'!$HY$8,"")</f>
        <v>1.1895018374846876E-2</v>
      </c>
      <c r="I25" s="787">
        <f>IFERROR('ANALYSE - ERP =&gt; SOUS-SEGMENT'!$IA$8/'ANALYSE - ERP =&gt; SOUS-SEGMENT'!$HY$8,"")</f>
        <v>0.33533009391588398</v>
      </c>
      <c r="J25" s="787">
        <f>IFERROR('ANALYSE - ERP =&gt; SOUS-SEGMENT'!$IB$8/'ANALYSE - ERP =&gt; SOUS-SEGMENT'!$HY$8,"")</f>
        <v>0.53662895059207838</v>
      </c>
      <c r="K25" s="787">
        <f>IFERROR('ANALYSE - ERP =&gt; SOUS-SEGMENT'!$IC$8/'ANALYSE - ERP =&gt; SOUS-SEGMENT'!$HY$8,"")</f>
        <v>0.11614593711719066</v>
      </c>
      <c r="L25" s="787">
        <f>IFERROR('ANALYSE - ERP =&gt; SOUS-SEGMENT'!$ID$8/'ANALYSE - ERP =&gt; SOUS-SEGMENT'!$HY$8,"")</f>
        <v>0</v>
      </c>
      <c r="N25" s="787">
        <f>IFERROR('ANALYSE - ERP =&gt; SOUS-SEGMENT'!$IF$8/'ANALYSE - ERP =&gt; SOUS-SEGMENT'!$IE$8,"")</f>
        <v>0</v>
      </c>
      <c r="O25" s="787">
        <f>IFERROR('ANALYSE - ERP =&gt; SOUS-SEGMENT'!$IG$8/'ANALYSE - ERP =&gt; SOUS-SEGMENT'!$IE$8,"")</f>
        <v>0.16915406288280932</v>
      </c>
      <c r="P25" s="787">
        <f>IFERROR('ANALYSE - ERP =&gt; SOUS-SEGMENT'!$IH$8/'ANALYSE - ERP =&gt; SOUS-SEGMENT'!$IE$8,"")</f>
        <v>0.56467603103307484</v>
      </c>
      <c r="Q25" s="787">
        <f>IFERROR('ANALYSE - ERP =&gt; SOUS-SEGMENT'!$II$8/'ANALYSE - ERP =&gt; SOUS-SEGMENT'!$IE$8,"")</f>
        <v>0.266169906084116</v>
      </c>
      <c r="R25" s="787">
        <f>IFERROR('ANALYSE - ERP =&gt; SOUS-SEGMENT'!$IJ$8/'ANALYSE - ERP =&gt; SOUS-SEGMENT'!$IE$8,"")</f>
        <v>0</v>
      </c>
      <c r="T25" s="430">
        <f>'ANALYSE - ERP =&gt; SOUS-SEGMENT'!$Q$8</f>
        <v>1</v>
      </c>
    </row>
    <row r="26" spans="1:20" ht="15" customHeight="1">
      <c r="A26" s="26">
        <v>23</v>
      </c>
      <c r="B26" s="26">
        <v>23</v>
      </c>
      <c r="C26" s="422">
        <f>'ANALYSE - ERP =&gt; SOUS-SEGMENT'!$A$19</f>
        <v>12</v>
      </c>
      <c r="D26" s="414" t="str">
        <f>'ANALYSE - ERP =&gt; SOUS-SEGMENT'!$B$19</f>
        <v>Enfance, Enseignement, Jeunesse &amp; Formation</v>
      </c>
      <c r="E26" s="414" t="str">
        <f>'ANALYSE - ERP =&gt; SOUS-SEGMENT'!$C$19</f>
        <v>Formation</v>
      </c>
      <c r="F26" s="414" t="str">
        <f>'ANALYSE - ERP =&gt; SOUS-SEGMENT'!$D$19</f>
        <v>Centres de formation / CFA</v>
      </c>
      <c r="H26" s="787">
        <f>IFERROR('ANALYSE - ERP =&gt; SOUS-SEGMENT'!$HZ$19/'ANALYSE - ERP =&gt; SOUS-SEGMENT'!$HY$19,"")</f>
        <v>3.0184210526315786E-2</v>
      </c>
      <c r="I26" s="787">
        <f>IFERROR('ANALYSE - ERP =&gt; SOUS-SEGMENT'!$IA$19/'ANALYSE - ERP =&gt; SOUS-SEGMENT'!$HY$19,"")</f>
        <v>0.3561894736842105</v>
      </c>
      <c r="J26" s="787">
        <f>IFERROR('ANALYSE - ERP =&gt; SOUS-SEGMENT'!$IB$19/'ANALYSE - ERP =&gt; SOUS-SEGMENT'!$HY$19,"")</f>
        <v>0.48314912280701749</v>
      </c>
      <c r="K26" s="787">
        <f>IFERROR('ANALYSE - ERP =&gt; SOUS-SEGMENT'!$IC$19/'ANALYSE - ERP =&gt; SOUS-SEGMENT'!$HY$19,"")</f>
        <v>0.12672280701754385</v>
      </c>
      <c r="L26" s="787">
        <f>IFERROR('ANALYSE - ERP =&gt; SOUS-SEGMENT'!$ID$19/'ANALYSE - ERP =&gt; SOUS-SEGMENT'!$HY$19,"")</f>
        <v>3.7543859649122806E-3</v>
      </c>
      <c r="N26" s="787">
        <f>IFERROR('ANALYSE - ERP =&gt; SOUS-SEGMENT'!$IF$19/'ANALYSE - ERP =&gt; SOUS-SEGMENT'!$IE$19,"")</f>
        <v>0</v>
      </c>
      <c r="O26" s="787">
        <f>IFERROR('ANALYSE - ERP =&gt; SOUS-SEGMENT'!$IG$19/'ANALYSE - ERP =&gt; SOUS-SEGMENT'!$IE$19,"")</f>
        <v>0.15917017543859652</v>
      </c>
      <c r="P26" s="787">
        <f>IFERROR('ANALYSE - ERP =&gt; SOUS-SEGMENT'!$IH$19/'ANALYSE - ERP =&gt; SOUS-SEGMENT'!$IE$19,"")</f>
        <v>0.52980526315789478</v>
      </c>
      <c r="Q26" s="787">
        <f>IFERROR('ANALYSE - ERP =&gt; SOUS-SEGMENT'!$II$19/'ANALYSE - ERP =&gt; SOUS-SEGMENT'!$IE$19,"")</f>
        <v>0.28772456140350877</v>
      </c>
      <c r="R26" s="787">
        <f>IFERROR('ANALYSE - ERP =&gt; SOUS-SEGMENT'!$IJ$19/'ANALYSE - ERP =&gt; SOUS-SEGMENT'!$IE$19,"")</f>
        <v>2.3300000000000008E-2</v>
      </c>
      <c r="T26" s="430">
        <f>'ANALYSE - ERP =&gt; SOUS-SEGMENT'!$Q$19</f>
        <v>1</v>
      </c>
    </row>
    <row r="27" spans="1:20" ht="15" customHeight="1">
      <c r="A27" s="26">
        <v>24</v>
      </c>
      <c r="B27" s="26">
        <v>24</v>
      </c>
      <c r="C27" s="422">
        <f>'ANALYSE - ERP =&gt; SOUS-SEGMENT'!$A$35</f>
        <v>28</v>
      </c>
      <c r="D27" s="414" t="str">
        <f>'ANALYSE - ERP =&gt; SOUS-SEGMENT'!$B$35</f>
        <v>Sports &amp; Loisirs</v>
      </c>
      <c r="E27" s="414" t="str">
        <f>'ANALYSE - ERP =&gt; SOUS-SEGMENT'!$C$35</f>
        <v>Loisirs de plein air</v>
      </c>
      <c r="F27" s="414" t="str">
        <f>'ANALYSE - ERP =&gt; SOUS-SEGMENT'!$D$35</f>
        <v>Centres de loisirs sans hébergement</v>
      </c>
      <c r="H27" s="787">
        <f>IFERROR('ANALYSE - ERP =&gt; SOUS-SEGMENT'!$HZ$35/'ANALYSE - ERP =&gt; SOUS-SEGMENT'!$HY$35,"")</f>
        <v>0.20048181818181818</v>
      </c>
      <c r="I27" s="787">
        <f>IFERROR('ANALYSE - ERP =&gt; SOUS-SEGMENT'!$IA$35/'ANALYSE - ERP =&gt; SOUS-SEGMENT'!$HY$35,"")</f>
        <v>0.58238484848484851</v>
      </c>
      <c r="J27" s="787">
        <f>IFERROR('ANALYSE - ERP =&gt; SOUS-SEGMENT'!$IB$35/'ANALYSE - ERP =&gt; SOUS-SEGMENT'!$HY$35,"")</f>
        <v>0.2170424242424242</v>
      </c>
      <c r="K27" s="787">
        <f>IFERROR('ANALYSE - ERP =&gt; SOUS-SEGMENT'!$IC$35/'ANALYSE - ERP =&gt; SOUS-SEGMENT'!$HY$35,"")</f>
        <v>0</v>
      </c>
      <c r="L27" s="787">
        <f>IFERROR('ANALYSE - ERP =&gt; SOUS-SEGMENT'!$ID$35/'ANALYSE - ERP =&gt; SOUS-SEGMENT'!$HY$35,"")</f>
        <v>9.0909090909090904E-5</v>
      </c>
      <c r="N27" s="787">
        <f>IFERROR('ANALYSE - ERP =&gt; SOUS-SEGMENT'!$IF$35/'ANALYSE - ERP =&gt; SOUS-SEGMENT'!$IE$35,"")</f>
        <v>0.10416666666666666</v>
      </c>
      <c r="O27" s="787">
        <f>IFERROR('ANALYSE - ERP =&gt; SOUS-SEGMENT'!$IG$35/'ANALYSE - ERP =&gt; SOUS-SEGMENT'!$IE$35,"")</f>
        <v>0.52276969696969688</v>
      </c>
      <c r="P27" s="787">
        <f>IFERROR('ANALYSE - ERP =&gt; SOUS-SEGMENT'!$IH$35/'ANALYSE - ERP =&gt; SOUS-SEGMENT'!$IE$35,"")</f>
        <v>0.3626030303030302</v>
      </c>
      <c r="Q27" s="787">
        <f>IFERROR('ANALYSE - ERP =&gt; SOUS-SEGMENT'!$II$35/'ANALYSE - ERP =&gt; SOUS-SEGMENT'!$IE$35,"")</f>
        <v>9.9393939393939389E-3</v>
      </c>
      <c r="R27" s="787">
        <f>IFERROR('ANALYSE - ERP =&gt; SOUS-SEGMENT'!$IJ$35/'ANALYSE - ERP =&gt; SOUS-SEGMENT'!$IE$35,"")</f>
        <v>5.2121212121212124E-4</v>
      </c>
      <c r="T27" s="430">
        <f>'ANALYSE - ERP =&gt; SOUS-SEGMENT'!$Q$35</f>
        <v>1</v>
      </c>
    </row>
    <row r="28" spans="1:20" ht="15" customHeight="1">
      <c r="A28" s="26">
        <v>25</v>
      </c>
      <c r="B28" s="26">
        <v>26</v>
      </c>
      <c r="C28" s="422">
        <f>'ANALYSE - ERP =&gt; SOUS-SEGMENT'!$A$87</f>
        <v>80</v>
      </c>
      <c r="D28" s="413" t="str">
        <f>'ANALYSE - ERP =&gt; SOUS-SEGMENT'!$B$87</f>
        <v>Hébergement Touristique</v>
      </c>
      <c r="E28" s="413" t="str">
        <f>'ANALYSE - ERP =&gt; SOUS-SEGMENT'!$C$87</f>
        <v>Hébergement Touristique</v>
      </c>
      <c r="F28" s="413" t="str">
        <f>'ANALYSE - ERP =&gt; SOUS-SEGMENT'!$D$87</f>
        <v>Hôtels 
(hors autres hébérgements touristiques)</v>
      </c>
      <c r="H28" s="787">
        <f>IFERROR('ANALYSE - ERP =&gt; SOUS-SEGMENT'!$HZ$87/'ANALYSE - ERP =&gt; SOUS-SEGMENT'!$HY$87,"")</f>
        <v>1.1187951807228917E-2</v>
      </c>
      <c r="I28" s="787">
        <f>IFERROR('ANALYSE - ERP =&gt; SOUS-SEGMENT'!$IA$87/'ANALYSE - ERP =&gt; SOUS-SEGMENT'!$HY$87,"")</f>
        <v>0.29848433734939761</v>
      </c>
      <c r="J28" s="787">
        <f>IFERROR('ANALYSE - ERP =&gt; SOUS-SEGMENT'!$IB$87/'ANALYSE - ERP =&gt; SOUS-SEGMENT'!$HY$87,"")</f>
        <v>0.49932409638554215</v>
      </c>
      <c r="K28" s="787">
        <f>IFERROR('ANALYSE - ERP =&gt; SOUS-SEGMENT'!$IC$87/'ANALYSE - ERP =&gt; SOUS-SEGMENT'!$HY$87,"")</f>
        <v>0.1744156626506024</v>
      </c>
      <c r="L28" s="787">
        <f>IFERROR('ANALYSE - ERP =&gt; SOUS-SEGMENT'!$ID$87/'ANALYSE - ERP =&gt; SOUS-SEGMENT'!$HY$87,"")</f>
        <v>1.6587951807228916E-2</v>
      </c>
      <c r="N28" s="787">
        <f>IFERROR('ANALYSE - ERP =&gt; SOUS-SEGMENT'!$IF$87/'ANALYSE - ERP =&gt; SOUS-SEGMENT'!$IE$87,"")</f>
        <v>0</v>
      </c>
      <c r="O28" s="787">
        <f>IFERROR('ANALYSE - ERP =&gt; SOUS-SEGMENT'!$IG$87/'ANALYSE - ERP =&gt; SOUS-SEGMENT'!$IE$87,"")</f>
        <v>0.26271796501470712</v>
      </c>
      <c r="P28" s="787">
        <f>IFERROR('ANALYSE - ERP =&gt; SOUS-SEGMENT'!$IH$87/'ANALYSE - ERP =&gt; SOUS-SEGMENT'!$IE$87,"")</f>
        <v>0.51726838778050876</v>
      </c>
      <c r="Q28" s="787">
        <f>IFERROR('ANALYSE - ERP =&gt; SOUS-SEGMENT'!$II$87/'ANALYSE - ERP =&gt; SOUS-SEGMENT'!$IE$87,"")</f>
        <v>0.19785508318987927</v>
      </c>
      <c r="R28" s="787">
        <f>IFERROR('ANALYSE - ERP =&gt; SOUS-SEGMENT'!$IJ$87/'ANALYSE - ERP =&gt; SOUS-SEGMENT'!$IE$87,"")</f>
        <v>2.2158564014904823E-2</v>
      </c>
      <c r="T28" s="430">
        <f>'ANALYSE - ERP =&gt; SOUS-SEGMENT'!$Q$87</f>
        <v>1</v>
      </c>
    </row>
    <row r="29" spans="1:20" ht="15" customHeight="1">
      <c r="A29" s="26">
        <v>26</v>
      </c>
      <c r="B29" s="26">
        <v>25</v>
      </c>
      <c r="C29" s="422">
        <f>'ANALYSE - ERP =&gt; SOUS-SEGMENT'!$A$52</f>
        <v>45</v>
      </c>
      <c r="D29" s="414" t="str">
        <f>'ANALYSE - ERP =&gt; SOUS-SEGMENT'!$B$52</f>
        <v>Santé &amp; Médico-social</v>
      </c>
      <c r="E29" s="414" t="str">
        <f>'ANALYSE - ERP =&gt; SOUS-SEGMENT'!$C$52</f>
        <v>Médico-social</v>
      </c>
      <c r="F29" s="414" t="str">
        <f>'ANALYSE - ERP =&gt; SOUS-SEGMENT'!$D$52</f>
        <v>Établissements Médico-éducatifs</v>
      </c>
      <c r="H29" s="787">
        <f>IFERROR('ANALYSE - ERP =&gt; SOUS-SEGMENT'!$HZ$52/'ANALYSE - ERP =&gt; SOUS-SEGMENT'!$HY$52,"")</f>
        <v>1.4315789473684211E-3</v>
      </c>
      <c r="I29" s="787">
        <f>IFERROR('ANALYSE - ERP =&gt; SOUS-SEGMENT'!$IA$52/'ANALYSE - ERP =&gt; SOUS-SEGMENT'!$HY$52,"")</f>
        <v>0.30698947368421059</v>
      </c>
      <c r="J29" s="787">
        <f>IFERROR('ANALYSE - ERP =&gt; SOUS-SEGMENT'!$IB$52/'ANALYSE - ERP =&gt; SOUS-SEGMENT'!$HY$52,"")</f>
        <v>0.54619473684210529</v>
      </c>
      <c r="K29" s="787">
        <f>IFERROR('ANALYSE - ERP =&gt; SOUS-SEGMENT'!$IC$52/'ANALYSE - ERP =&gt; SOUS-SEGMENT'!$HY$52,"")</f>
        <v>0.14538421052631578</v>
      </c>
      <c r="L29" s="787">
        <f>IFERROR('ANALYSE - ERP =&gt; SOUS-SEGMENT'!$ID$52/'ANALYSE - ERP =&gt; SOUS-SEGMENT'!$HY$52,"")</f>
        <v>0</v>
      </c>
      <c r="N29" s="787">
        <f>IFERROR('ANALYSE - ERP =&gt; SOUS-SEGMENT'!$IF$52/'ANALYSE - ERP =&gt; SOUS-SEGMENT'!$IE$52,"")</f>
        <v>0</v>
      </c>
      <c r="O29" s="787">
        <f>IFERROR('ANALYSE - ERP =&gt; SOUS-SEGMENT'!$IG$52/'ANALYSE - ERP =&gt; SOUS-SEGMENT'!$IE$52,"")</f>
        <v>0.19015405846372216</v>
      </c>
      <c r="P29" s="787">
        <f>IFERROR('ANALYSE - ERP =&gt; SOUS-SEGMENT'!$IH$52/'ANALYSE - ERP =&gt; SOUS-SEGMENT'!$IE$52,"")</f>
        <v>0.57198445881629389</v>
      </c>
      <c r="Q29" s="787">
        <f>IFERROR('ANALYSE - ERP =&gt; SOUS-SEGMENT'!$II$52/'ANALYSE - ERP =&gt; SOUS-SEGMENT'!$IE$52,"")</f>
        <v>0.23786148271998389</v>
      </c>
      <c r="R29" s="787">
        <f>IFERROR('ANALYSE - ERP =&gt; SOUS-SEGMENT'!$IJ$52/'ANALYSE - ERP =&gt; SOUS-SEGMENT'!$IE$52,"")</f>
        <v>0</v>
      </c>
      <c r="T29" s="430">
        <f>'ANALYSE - ERP =&gt; SOUS-SEGMENT'!$Q$52</f>
        <v>1</v>
      </c>
    </row>
    <row r="30" spans="1:20" ht="15" customHeight="1">
      <c r="A30" s="26">
        <v>27</v>
      </c>
      <c r="B30" s="26">
        <v>27</v>
      </c>
      <c r="C30" s="422">
        <f>'ANALYSE - ERP =&gt; SOUS-SEGMENT'!$A$79</f>
        <v>72</v>
      </c>
      <c r="D30" s="409" t="str">
        <f>'ANALYSE - ERP =&gt; SOUS-SEGMENT'!$B$79</f>
        <v>Commerce, Restauration &amp; Loisirs</v>
      </c>
      <c r="E30" s="409" t="str">
        <f>'ANALYSE - ERP =&gt; SOUS-SEGMENT'!$C$79</f>
        <v>Commerce</v>
      </c>
      <c r="F30" s="409" t="str">
        <f>'ANALYSE - ERP =&gt; SOUS-SEGMENT'!$D$79</f>
        <v>Centres commerciaux / Malls
(dotés de sanitaires collectifs clients)</v>
      </c>
      <c r="H30" s="787">
        <f>IFERROR('ANALYSE - ERP =&gt; SOUS-SEGMENT'!$HZ$79/'ANALYSE - ERP =&gt; SOUS-SEGMENT'!$HY$79,"")</f>
        <v>1.1517514124293785E-2</v>
      </c>
      <c r="I30" s="787">
        <f>IFERROR('ANALYSE - ERP =&gt; SOUS-SEGMENT'!$IA$79/'ANALYSE - ERP =&gt; SOUS-SEGMENT'!$HY$79,"")</f>
        <v>0.30329491525423724</v>
      </c>
      <c r="J30" s="787">
        <f>IFERROR('ANALYSE - ERP =&gt; SOUS-SEGMENT'!$IB$79/'ANALYSE - ERP =&gt; SOUS-SEGMENT'!$HY$79,"")</f>
        <v>0.49746949152542363</v>
      </c>
      <c r="K30" s="787">
        <f>IFERROR('ANALYSE - ERP =&gt; SOUS-SEGMENT'!$IC$79/'ANALYSE - ERP =&gt; SOUS-SEGMENT'!$HY$79,"")</f>
        <v>0.17159830508474574</v>
      </c>
      <c r="L30" s="787">
        <f>IFERROR('ANALYSE - ERP =&gt; SOUS-SEGMENT'!$ID$79/'ANALYSE - ERP =&gt; SOUS-SEGMENT'!$HY$79,"")</f>
        <v>1.611977401129943E-2</v>
      </c>
      <c r="N30" s="787">
        <f>IFERROR('ANALYSE - ERP =&gt; SOUS-SEGMENT'!$IF$79/'ANALYSE - ERP =&gt; SOUS-SEGMENT'!$IE$79,"")</f>
        <v>0</v>
      </c>
      <c r="O30" s="787">
        <f>IFERROR('ANALYSE - ERP =&gt; SOUS-SEGMENT'!$IG$79/'ANALYSE - ERP =&gt; SOUS-SEGMENT'!$IE$79,"")</f>
        <v>0.2667171213097283</v>
      </c>
      <c r="P30" s="787">
        <f>IFERROR('ANALYSE - ERP =&gt; SOUS-SEGMENT'!$IH$79/'ANALYSE - ERP =&gt; SOUS-SEGMENT'!$IE$79,"")</f>
        <v>0.51567218117957347</v>
      </c>
      <c r="Q30" s="787">
        <f>IFERROR('ANALYSE - ERP =&gt; SOUS-SEGMENT'!$II$79/'ANALYSE - ERP =&gt; SOUS-SEGMENT'!$IE$79,"")</f>
        <v>0.19574377620474634</v>
      </c>
      <c r="R30" s="787">
        <f>IFERROR('ANALYSE - ERP =&gt; SOUS-SEGMENT'!$IJ$79/'ANALYSE - ERP =&gt; SOUS-SEGMENT'!$IE$79,"")</f>
        <v>2.1866921305951893E-2</v>
      </c>
      <c r="T30" s="430">
        <f>'ANALYSE - ERP =&gt; SOUS-SEGMENT'!$Q$79</f>
        <v>1</v>
      </c>
    </row>
    <row r="31" spans="1:20" ht="15" customHeight="1">
      <c r="A31" s="26">
        <v>28</v>
      </c>
      <c r="B31" s="26">
        <v>28</v>
      </c>
      <c r="C31" s="422">
        <f>'ANALYSE - ERP =&gt; SOUS-SEGMENT'!$A$68</f>
        <v>61</v>
      </c>
      <c r="D31" s="409" t="str">
        <f>'ANALYSE - ERP =&gt; SOUS-SEGMENT'!$B$68</f>
        <v>Culture, Patrimoine &amp; Evénementiel</v>
      </c>
      <c r="E31" s="409" t="str">
        <f>'ANALYSE - ERP =&gt; SOUS-SEGMENT'!$C$68</f>
        <v>Culture / spectacle</v>
      </c>
      <c r="F31" s="409" t="str">
        <f>'ANALYSE - ERP =&gt; SOUS-SEGMENT'!$D$68</f>
        <v>Bibliothèques / Médiathèques</v>
      </c>
      <c r="H31" s="787">
        <f>IFERROR('ANALYSE - ERP =&gt; SOUS-SEGMENT'!$HZ$68/'ANALYSE - ERP =&gt; SOUS-SEGMENT'!$HY$68,"")</f>
        <v>3.1088888888888885E-2</v>
      </c>
      <c r="I31" s="787">
        <f>IFERROR('ANALYSE - ERP =&gt; SOUS-SEGMENT'!$IA$68/'ANALYSE - ERP =&gt; SOUS-SEGMENT'!$HY$68,"")</f>
        <v>0.34334444444444445</v>
      </c>
      <c r="J31" s="787">
        <f>IFERROR('ANALYSE - ERP =&gt; SOUS-SEGMENT'!$IB$68/'ANALYSE - ERP =&gt; SOUS-SEGMENT'!$HY$68,"")</f>
        <v>0.48233333333333334</v>
      </c>
      <c r="K31" s="787">
        <f>IFERROR('ANALYSE - ERP =&gt; SOUS-SEGMENT'!$IC$68/'ANALYSE - ERP =&gt; SOUS-SEGMENT'!$HY$68,"")</f>
        <v>0.13816666666666666</v>
      </c>
      <c r="L31" s="787">
        <f>IFERROR('ANALYSE - ERP =&gt; SOUS-SEGMENT'!$ID$68/'ANALYSE - ERP =&gt; SOUS-SEGMENT'!$HY$68,"")</f>
        <v>5.0666666666666664E-3</v>
      </c>
      <c r="N31" s="787">
        <f>IFERROR('ANALYSE - ERP =&gt; SOUS-SEGMENT'!$IF$68/'ANALYSE - ERP =&gt; SOUS-SEGMENT'!$IE$68,"")</f>
        <v>3.4442532764495117E-3</v>
      </c>
      <c r="O31" s="787">
        <f>IFERROR('ANALYSE - ERP =&gt; SOUS-SEGMENT'!$IG$68/'ANALYSE - ERP =&gt; SOUS-SEGMENT'!$IE$68,"")</f>
        <v>0.24571170288614444</v>
      </c>
      <c r="P31" s="787">
        <f>IFERROR('ANALYSE - ERP =&gt; SOUS-SEGMENT'!$IH$68/'ANALYSE - ERP =&gt; SOUS-SEGMENT'!$IE$68,"")</f>
        <v>0.52788877433333481</v>
      </c>
      <c r="Q31" s="787">
        <f>IFERROR('ANALYSE - ERP =&gt; SOUS-SEGMENT'!$II$68/'ANALYSE - ERP =&gt; SOUS-SEGMENT'!$IE$68,"")</f>
        <v>0.21021235156299403</v>
      </c>
      <c r="R31" s="787">
        <f>IFERROR('ANALYSE - ERP =&gt; SOUS-SEGMENT'!$IJ$68/'ANALYSE - ERP =&gt; SOUS-SEGMENT'!$IE$68,"")</f>
        <v>1.2742917941077122E-2</v>
      </c>
      <c r="T31" s="430">
        <f>'ANALYSE - ERP =&gt; SOUS-SEGMENT'!$Q$68</f>
        <v>1</v>
      </c>
    </row>
    <row r="32" spans="1:20" ht="15" customHeight="1">
      <c r="A32" s="26">
        <v>29</v>
      </c>
      <c r="B32" s="26">
        <v>29</v>
      </c>
      <c r="C32" s="422">
        <f>'ANALYSE - ERP =&gt; SOUS-SEGMENT'!$A$125</f>
        <v>118</v>
      </c>
      <c r="D32" s="409" t="str">
        <f>'ANALYSE - ERP =&gt; SOUS-SEGMENT'!$B$125</f>
        <v>Transport, Mobilité &amp; Stationnement</v>
      </c>
      <c r="E32" s="409" t="str">
        <f>'ANALYSE - ERP =&gt; SOUS-SEGMENT'!$C$125</f>
        <v>Transport / Mobilité</v>
      </c>
      <c r="F32" s="409" t="str">
        <f>'ANALYSE - ERP =&gt; SOUS-SEGMENT'!$D$125</f>
        <v>Gares ferroviaires et stations
(dotés de sanitaires)</v>
      </c>
      <c r="H32" s="787">
        <f>IFERROR('ANALYSE - ERP =&gt; SOUS-SEGMENT'!$HZ$125/'ANALYSE - ERP =&gt; SOUS-SEGMENT'!$HY$125,"")</f>
        <v>5.4675000000000008E-2</v>
      </c>
      <c r="I32" s="787">
        <f>IFERROR('ANALYSE - ERP =&gt; SOUS-SEGMENT'!$IA$125/'ANALYSE - ERP =&gt; SOUS-SEGMENT'!$HY$125,"")</f>
        <v>0.48776250000000004</v>
      </c>
      <c r="J32" s="787">
        <f>IFERROR('ANALYSE - ERP =&gt; SOUS-SEGMENT'!$IB$125/'ANALYSE - ERP =&gt; SOUS-SEGMENT'!$HY$125,"")</f>
        <v>0.39690416666666672</v>
      </c>
      <c r="K32" s="787">
        <f>IFERROR('ANALYSE - ERP =&gt; SOUS-SEGMENT'!$IC$125/'ANALYSE - ERP =&gt; SOUS-SEGMENT'!$HY$125,"")</f>
        <v>5.2620833333333346E-2</v>
      </c>
      <c r="L32" s="787">
        <f>IFERROR('ANALYSE - ERP =&gt; SOUS-SEGMENT'!$ID$125/'ANALYSE - ERP =&gt; SOUS-SEGMENT'!$HY$125,"")</f>
        <v>8.0374999999999995E-3</v>
      </c>
      <c r="N32" s="787">
        <f>IFERROR('ANALYSE - ERP =&gt; SOUS-SEGMENT'!$IF$125/'ANALYSE - ERP =&gt; SOUS-SEGMENT'!$IE$125,"")</f>
        <v>3.4413631938684033E-2</v>
      </c>
      <c r="O32" s="787">
        <f>IFERROR('ANALYSE - ERP =&gt; SOUS-SEGMENT'!$IG$125/'ANALYSE - ERP =&gt; SOUS-SEGMENT'!$IE$125,"")</f>
        <v>0.46392724957367071</v>
      </c>
      <c r="P32" s="787">
        <f>IFERROR('ANALYSE - ERP =&gt; SOUS-SEGMENT'!$IH$125/'ANALYSE - ERP =&gt; SOUS-SEGMENT'!$IE$125,"")</f>
        <v>0.41633286530657498</v>
      </c>
      <c r="Q32" s="787">
        <f>IFERROR('ANALYSE - ERP =&gt; SOUS-SEGMENT'!$II$125/'ANALYSE - ERP =&gt; SOUS-SEGMENT'!$IE$125,"")</f>
        <v>7.2767745603591436E-2</v>
      </c>
      <c r="R32" s="787">
        <f>IFERROR('ANALYSE - ERP =&gt; SOUS-SEGMENT'!$IJ$125/'ANALYSE - ERP =&gt; SOUS-SEGMENT'!$IE$125,"")</f>
        <v>1.2558507577478879E-2</v>
      </c>
      <c r="T32" s="430">
        <f>'ANALYSE - ERP =&gt; SOUS-SEGMENT'!$Q$125</f>
        <v>1</v>
      </c>
    </row>
    <row r="33" spans="1:20" ht="15" customHeight="1">
      <c r="A33" s="26">
        <v>30</v>
      </c>
      <c r="B33" s="26">
        <v>30</v>
      </c>
      <c r="C33" s="422">
        <f>'ANALYSE - ERP =&gt; SOUS-SEGMENT'!$A$46</f>
        <v>39</v>
      </c>
      <c r="D33" s="409" t="str">
        <f>'ANALYSE - ERP =&gt; SOUS-SEGMENT'!$B$46</f>
        <v>Santé &amp; Médico-social</v>
      </c>
      <c r="E33" s="409" t="str">
        <f>'ANALYSE - ERP =&gt; SOUS-SEGMENT'!$C$46</f>
        <v>Santé hospitalière</v>
      </c>
      <c r="F33" s="409" t="str">
        <f>'ANALYSE - ERP =&gt; SOUS-SEGMENT'!$D$46</f>
        <v>Cliniques</v>
      </c>
      <c r="H33" s="787">
        <f>IFERROR('ANALYSE - ERP =&gt; SOUS-SEGMENT'!$HZ$46/'ANALYSE - ERP =&gt; SOUS-SEGMENT'!$HY$46,"")</f>
        <v>0</v>
      </c>
      <c r="I33" s="787">
        <f>IFERROR('ANALYSE - ERP =&gt; SOUS-SEGMENT'!$IA$46/'ANALYSE - ERP =&gt; SOUS-SEGMENT'!$HY$46,"")</f>
        <v>5.0619999999999998E-2</v>
      </c>
      <c r="J33" s="787">
        <f>IFERROR('ANALYSE - ERP =&gt; SOUS-SEGMENT'!$IB$46/'ANALYSE - ERP =&gt; SOUS-SEGMENT'!$HY$46,"")</f>
        <v>0.51908838709677418</v>
      </c>
      <c r="K33" s="787">
        <f>IFERROR('ANALYSE - ERP =&gt; SOUS-SEGMENT'!$IC$46/'ANALYSE - ERP =&gt; SOUS-SEGMENT'!$HY$46,"")</f>
        <v>0.39227483870967744</v>
      </c>
      <c r="L33" s="787">
        <f>IFERROR('ANALYSE - ERP =&gt; SOUS-SEGMENT'!$ID$46/'ANALYSE - ERP =&gt; SOUS-SEGMENT'!$HY$46,"")</f>
        <v>3.8016774193548389E-2</v>
      </c>
      <c r="N33" s="787">
        <f>IFERROR('ANALYSE - ERP =&gt; SOUS-SEGMENT'!$IF$46/'ANALYSE - ERP =&gt; SOUS-SEGMENT'!$IE$46,"")</f>
        <v>0</v>
      </c>
      <c r="O33" s="787">
        <f>IFERROR('ANALYSE - ERP =&gt; SOUS-SEGMENT'!$IG$46/'ANALYSE - ERP =&gt; SOUS-SEGMENT'!$IE$46,"")</f>
        <v>4.1564578312981319E-4</v>
      </c>
      <c r="P33" s="787">
        <f>IFERROR('ANALYSE - ERP =&gt; SOUS-SEGMENT'!$IH$46/'ANALYSE - ERP =&gt; SOUS-SEGMENT'!$IE$46,"")</f>
        <v>0.3932567896084268</v>
      </c>
      <c r="Q33" s="787">
        <f>IFERROR('ANALYSE - ERP =&gt; SOUS-SEGMENT'!$II$46/'ANALYSE - ERP =&gt; SOUS-SEGMENT'!$IE$46,"")</f>
        <v>0.51138722179511775</v>
      </c>
      <c r="R33" s="787">
        <f>IFERROR('ANALYSE - ERP =&gt; SOUS-SEGMENT'!$IJ$46/'ANALYSE - ERP =&gt; SOUS-SEGMENT'!$IE$46,"")</f>
        <v>9.4940342813325668E-2</v>
      </c>
      <c r="T33" s="430">
        <f>'ANALYSE - ERP =&gt; SOUS-SEGMENT'!$Q$46</f>
        <v>1</v>
      </c>
    </row>
    <row r="34" spans="1:20" ht="15" customHeight="1">
      <c r="A34" s="26">
        <v>31</v>
      </c>
      <c r="B34" s="26">
        <v>32</v>
      </c>
      <c r="C34" s="422">
        <f>'ANALYSE - ERP =&gt; SOUS-SEGMENT'!$A$66</f>
        <v>59</v>
      </c>
      <c r="D34" s="410" t="str">
        <f>'ANALYSE - ERP =&gt; SOUS-SEGMENT'!$B$66</f>
        <v>Culture, Patrimoine &amp; Evénementiel</v>
      </c>
      <c r="E34" s="410" t="str">
        <f>'ANALYSE - ERP =&gt; SOUS-SEGMENT'!$C$66</f>
        <v>Culture / spectacle</v>
      </c>
      <c r="F34" s="410" t="str">
        <f>'ANALYSE - ERP =&gt; SOUS-SEGMENT'!$D$66</f>
        <v>Salles de conférence / Réunion</v>
      </c>
      <c r="H34" s="787">
        <f>IFERROR('ANALYSE - ERP =&gt; SOUS-SEGMENT'!$HZ$66/'ANALYSE - ERP =&gt; SOUS-SEGMENT'!$HY$66,"")</f>
        <v>1.7219909502262445E-2</v>
      </c>
      <c r="I34" s="787">
        <f>IFERROR('ANALYSE - ERP =&gt; SOUS-SEGMENT'!$IA$66/'ANALYSE - ERP =&gt; SOUS-SEGMENT'!$HY$66,"")</f>
        <v>0.30678914027149318</v>
      </c>
      <c r="J34" s="787">
        <f>IFERROR('ANALYSE - ERP =&gt; SOUS-SEGMENT'!$IB$66/'ANALYSE - ERP =&gt; SOUS-SEGMENT'!$HY$66,"")</f>
        <v>0.50605294117647059</v>
      </c>
      <c r="K34" s="787">
        <f>IFERROR('ANALYSE - ERP =&gt; SOUS-SEGMENT'!$IC$66/'ANALYSE - ERP =&gt; SOUS-SEGMENT'!$HY$66,"")</f>
        <v>0.16268642533936647</v>
      </c>
      <c r="L34" s="787">
        <f>IFERROR('ANALYSE - ERP =&gt; SOUS-SEGMENT'!$ID$66/'ANALYSE - ERP =&gt; SOUS-SEGMENT'!$HY$66,"")</f>
        <v>7.2515837104072381E-3</v>
      </c>
      <c r="N34" s="787">
        <f>IFERROR('ANALYSE - ERP =&gt; SOUS-SEGMENT'!$IF$66/'ANALYSE - ERP =&gt; SOUS-SEGMENT'!$IE$66,"")</f>
        <v>4.3584403578912395E-4</v>
      </c>
      <c r="O34" s="787">
        <f>IFERROR('ANALYSE - ERP =&gt; SOUS-SEGMENT'!$IG$66/'ANALYSE - ERP =&gt; SOUS-SEGMENT'!$IE$66,"")</f>
        <v>0.1804871674995209</v>
      </c>
      <c r="P34" s="787">
        <f>IFERROR('ANALYSE - ERP =&gt; SOUS-SEGMENT'!$IH$66/'ANALYSE - ERP =&gt; SOUS-SEGMENT'!$IE$66,"")</f>
        <v>0.52445549251450085</v>
      </c>
      <c r="Q34" s="787">
        <f>IFERROR('ANALYSE - ERP =&gt; SOUS-SEGMENT'!$II$66/'ANALYSE - ERP =&gt; SOUS-SEGMENT'!$IE$66,"")</f>
        <v>0.2719350249414873</v>
      </c>
      <c r="R34" s="787">
        <f>IFERROR('ANALYSE - ERP =&gt; SOUS-SEGMENT'!$IJ$66/'ANALYSE - ERP =&gt; SOUS-SEGMENT'!$IE$66,"")</f>
        <v>2.2686471008701758E-2</v>
      </c>
      <c r="T34" s="430">
        <f>'ANALYSE - ERP =&gt; SOUS-SEGMENT'!$Q$66</f>
        <v>1</v>
      </c>
    </row>
    <row r="35" spans="1:20" ht="15" customHeight="1">
      <c r="A35" s="26">
        <v>32</v>
      </c>
      <c r="B35" s="26">
        <v>31</v>
      </c>
      <c r="C35" s="422">
        <f>'ANALYSE - ERP =&gt; SOUS-SEGMENT'!$A$45</f>
        <v>38</v>
      </c>
      <c r="D35" s="411" t="str">
        <f>'ANALYSE - ERP =&gt; SOUS-SEGMENT'!$B$45</f>
        <v>Santé &amp; Médico-social</v>
      </c>
      <c r="E35" s="411" t="str">
        <f>'ANALYSE - ERP =&gt; SOUS-SEGMENT'!$C$45</f>
        <v>Santé hospitalière</v>
      </c>
      <c r="F35" s="411" t="str">
        <f>'ANALYSE - ERP =&gt; SOUS-SEGMENT'!$D$45</f>
        <v>Hôpitaux privés</v>
      </c>
      <c r="H35" s="787">
        <f>IFERROR('ANALYSE - ERP =&gt; SOUS-SEGMENT'!$HZ$45/'ANALYSE - ERP =&gt; SOUS-SEGMENT'!$HY$45,"")</f>
        <v>0</v>
      </c>
      <c r="I35" s="787">
        <f>IFERROR('ANALYSE - ERP =&gt; SOUS-SEGMENT'!$IA$45/'ANALYSE - ERP =&gt; SOUS-SEGMENT'!$HY$45,"")</f>
        <v>7.5284042553191488E-2</v>
      </c>
      <c r="J35" s="787">
        <f>IFERROR('ANALYSE - ERP =&gt; SOUS-SEGMENT'!$IB$45/'ANALYSE - ERP =&gt; SOUS-SEGMENT'!$HY$45,"")</f>
        <v>0.54479840425531922</v>
      </c>
      <c r="K35" s="787">
        <f>IFERROR('ANALYSE - ERP =&gt; SOUS-SEGMENT'!$IC$45/'ANALYSE - ERP =&gt; SOUS-SEGMENT'!$HY$45,"")</f>
        <v>0.35184787234042553</v>
      </c>
      <c r="L35" s="787">
        <f>IFERROR('ANALYSE - ERP =&gt; SOUS-SEGMENT'!$ID$45/'ANALYSE - ERP =&gt; SOUS-SEGMENT'!$HY$45,"")</f>
        <v>2.806968085106383E-2</v>
      </c>
      <c r="N35" s="787">
        <f>IFERROR('ANALYSE - ERP =&gt; SOUS-SEGMENT'!$IF$45/'ANALYSE - ERP =&gt; SOUS-SEGMENT'!$IE$45,"")</f>
        <v>0</v>
      </c>
      <c r="O35" s="787">
        <f>IFERROR('ANALYSE - ERP =&gt; SOUS-SEGMENT'!$IG$45/'ANALYSE - ERP =&gt; SOUS-SEGMENT'!$IE$45,"")</f>
        <v>4.9284332534645361E-3</v>
      </c>
      <c r="P35" s="787">
        <f>IFERROR('ANALYSE - ERP =&gt; SOUS-SEGMENT'!$IH$45/'ANALYSE - ERP =&gt; SOUS-SEGMENT'!$IE$45,"")</f>
        <v>0.43450387185793499</v>
      </c>
      <c r="Q35" s="787">
        <f>IFERROR('ANALYSE - ERP =&gt; SOUS-SEGMENT'!$II$45/'ANALYSE - ERP =&gt; SOUS-SEGMENT'!$IE$45,"")</f>
        <v>0.48683593887553112</v>
      </c>
      <c r="R35" s="787">
        <f>IFERROR('ANALYSE - ERP =&gt; SOUS-SEGMENT'!$IJ$45/'ANALYSE - ERP =&gt; SOUS-SEGMENT'!$IE$45,"")</f>
        <v>7.3731756013069347E-2</v>
      </c>
      <c r="T35" s="430">
        <f>'ANALYSE - ERP =&gt; SOUS-SEGMENT'!$Q$45</f>
        <v>1</v>
      </c>
    </row>
    <row r="36" spans="1:20" ht="15" customHeight="1">
      <c r="A36" s="26">
        <v>33</v>
      </c>
      <c r="B36" s="26">
        <v>33</v>
      </c>
      <c r="C36" s="422">
        <f>'ANALYSE - ERP =&gt; SOUS-SEGMENT'!$A$15</f>
        <v>8</v>
      </c>
      <c r="D36" s="411" t="str">
        <f>'ANALYSE - ERP =&gt; SOUS-SEGMENT'!$B$15</f>
        <v>Enfance, Enseignement, Jeunesse &amp; Formation</v>
      </c>
      <c r="E36" s="411" t="str">
        <f>'ANALYSE - ERP =&gt; SOUS-SEGMENT'!$C$15</f>
        <v>Enseignement scolaire</v>
      </c>
      <c r="F36" s="411" t="str">
        <f>'ANALYSE - ERP =&gt; SOUS-SEGMENT'!$D$15</f>
        <v>Internats scolaires</v>
      </c>
      <c r="H36" s="787">
        <f>IFERROR('ANALYSE - ERP =&gt; SOUS-SEGMENT'!$HZ$15/'ANALYSE - ERP =&gt; SOUS-SEGMENT'!$HY$15,"")</f>
        <v>1.7437500000000001E-3</v>
      </c>
      <c r="I36" s="787">
        <f>IFERROR('ANALYSE - ERP =&gt; SOUS-SEGMENT'!$IA$15/'ANALYSE - ERP =&gt; SOUS-SEGMENT'!$HY$15,"")</f>
        <v>0.20674166666666668</v>
      </c>
      <c r="J36" s="787">
        <f>IFERROR('ANALYSE - ERP =&gt; SOUS-SEGMENT'!$IB$15/'ANALYSE - ERP =&gt; SOUS-SEGMENT'!$HY$15,"")</f>
        <v>0.54102916666666667</v>
      </c>
      <c r="K36" s="787">
        <f>IFERROR('ANALYSE - ERP =&gt; SOUS-SEGMENT'!$IC$15/'ANALYSE - ERP =&gt; SOUS-SEGMENT'!$HY$15,"")</f>
        <v>0.23616041666666668</v>
      </c>
      <c r="L36" s="787">
        <f>IFERROR('ANALYSE - ERP =&gt; SOUS-SEGMENT'!$ID$15/'ANALYSE - ERP =&gt; SOUS-SEGMENT'!$HY$15,"")</f>
        <v>1.4325000000000001E-2</v>
      </c>
      <c r="N36" s="787">
        <f>IFERROR('ANALYSE - ERP =&gt; SOUS-SEGMENT'!$IF$15/'ANALYSE - ERP =&gt; SOUS-SEGMENT'!$IE$15,"")</f>
        <v>0</v>
      </c>
      <c r="O36" s="787">
        <f>IFERROR('ANALYSE - ERP =&gt; SOUS-SEGMENT'!$IG$15/'ANALYSE - ERP =&gt; SOUS-SEGMENT'!$IE$15,"")</f>
        <v>9.5843749999999991E-2</v>
      </c>
      <c r="P36" s="787">
        <f>IFERROR('ANALYSE - ERP =&gt; SOUS-SEGMENT'!$IH$15/'ANALYSE - ERP =&gt; SOUS-SEGMENT'!$IE$15,"")</f>
        <v>0.4938499999999999</v>
      </c>
      <c r="Q36" s="787">
        <f>IFERROR('ANALYSE - ERP =&gt; SOUS-SEGMENT'!$II$15/'ANALYSE - ERP =&gt; SOUS-SEGMENT'!$IE$15,"")</f>
        <v>0.36872291666666657</v>
      </c>
      <c r="R36" s="787">
        <f>IFERROR('ANALYSE - ERP =&gt; SOUS-SEGMENT'!$IJ$15/'ANALYSE - ERP =&gt; SOUS-SEGMENT'!$IE$15,"")</f>
        <v>4.1583333333333326E-2</v>
      </c>
      <c r="T36" s="430">
        <f>'ANALYSE - ERP =&gt; SOUS-SEGMENT'!$Q$15</f>
        <v>1</v>
      </c>
    </row>
    <row r="37" spans="1:20" ht="15" customHeight="1">
      <c r="A37" s="26">
        <v>34</v>
      </c>
      <c r="B37" s="26">
        <v>35</v>
      </c>
      <c r="C37" s="422">
        <f>'ANALYSE - ERP =&gt; SOUS-SEGMENT'!$A$120</f>
        <v>113</v>
      </c>
      <c r="D37" s="408" t="str">
        <f>'ANALYSE - ERP =&gt; SOUS-SEGMENT'!$B$120</f>
        <v>Culte, Vie civique &amp; Services publics</v>
      </c>
      <c r="E37" s="408" t="str">
        <f>'ANALYSE - ERP =&gt; SOUS-SEGMENT'!$C$120</f>
        <v>Vie associative</v>
      </c>
      <c r="F37" s="408" t="str">
        <f>'ANALYSE - ERP =&gt; SOUS-SEGMENT'!$D$120</f>
        <v>Locaux associatifs recevant du public (dotés de sanitaires)</v>
      </c>
      <c r="H37" s="787">
        <f>IFERROR('ANALYSE - ERP =&gt; SOUS-SEGMENT'!$HZ$120/'ANALYSE - ERP =&gt; SOUS-SEGMENT'!$HY$120,"")</f>
        <v>0.10724615384615385</v>
      </c>
      <c r="I37" s="787">
        <f>IFERROR('ANALYSE - ERP =&gt; SOUS-SEGMENT'!$IA$120/'ANALYSE - ERP =&gt; SOUS-SEGMENT'!$HY$120,"")</f>
        <v>0.5407615384615384</v>
      </c>
      <c r="J37" s="787">
        <f>IFERROR('ANALYSE - ERP =&gt; SOUS-SEGMENT'!$IB$120/'ANALYSE - ERP =&gt; SOUS-SEGMENT'!$HY$120,"")</f>
        <v>0.32585384615384616</v>
      </c>
      <c r="K37" s="787">
        <f>IFERROR('ANALYSE - ERP =&gt; SOUS-SEGMENT'!$IC$120/'ANALYSE - ERP =&gt; SOUS-SEGMENT'!$HY$120,"")</f>
        <v>2.6138461538461537E-2</v>
      </c>
      <c r="L37" s="787">
        <f>IFERROR('ANALYSE - ERP =&gt; SOUS-SEGMENT'!$ID$120/'ANALYSE - ERP =&gt; SOUS-SEGMENT'!$HY$120,"")</f>
        <v>0</v>
      </c>
      <c r="N37" s="787">
        <f>IFERROR('ANALYSE - ERP =&gt; SOUS-SEGMENT'!$IF$120/'ANALYSE - ERP =&gt; SOUS-SEGMENT'!$IE$120,"")</f>
        <v>9.1614799452461163E-2</v>
      </c>
      <c r="O37" s="787">
        <f>IFERROR('ANALYSE - ERP =&gt; SOUS-SEGMENT'!$IG$120/'ANALYSE - ERP =&gt; SOUS-SEGMENT'!$IE$120,"")</f>
        <v>0.52190959547799476</v>
      </c>
      <c r="P37" s="787">
        <f>IFERROR('ANALYSE - ERP =&gt; SOUS-SEGMENT'!$IH$120/'ANALYSE - ERP =&gt; SOUS-SEGMENT'!$IE$120,"")</f>
        <v>0.34063048877884339</v>
      </c>
      <c r="Q37" s="787">
        <f>IFERROR('ANALYSE - ERP =&gt; SOUS-SEGMENT'!$II$120/'ANALYSE - ERP =&gt; SOUS-SEGMENT'!$IE$120,"")</f>
        <v>4.2245116290700699E-2</v>
      </c>
      <c r="R37" s="787">
        <f>IFERROR('ANALYSE - ERP =&gt; SOUS-SEGMENT'!$IJ$120/'ANALYSE - ERP =&gt; SOUS-SEGMENT'!$IE$120,"")</f>
        <v>3.5999999999999995E-3</v>
      </c>
      <c r="T37" s="430">
        <f>'ANALYSE - ERP =&gt; SOUS-SEGMENT'!$Q$120</f>
        <v>1</v>
      </c>
    </row>
    <row r="38" spans="1:20" ht="15" customHeight="1">
      <c r="A38" s="26">
        <v>35</v>
      </c>
      <c r="B38" s="26">
        <v>34</v>
      </c>
      <c r="C38" s="422">
        <f>'ANALYSE - ERP =&gt; SOUS-SEGMENT'!$A$59</f>
        <v>52</v>
      </c>
      <c r="D38" s="415" t="str">
        <f>'ANALYSE - ERP =&gt; SOUS-SEGMENT'!$B$59</f>
        <v>Santé &amp; Médico-social</v>
      </c>
      <c r="E38" s="415" t="str">
        <f>'ANALYSE - ERP =&gt; SOUS-SEGMENT'!$C$59</f>
        <v>Médico-social</v>
      </c>
      <c r="F38" s="415" t="str">
        <f>'ANALYSE - ERP =&gt; SOUS-SEGMENT'!$D$59</f>
        <v>USLD</v>
      </c>
      <c r="H38" s="787">
        <f>IFERROR('ANALYSE - ERP =&gt; SOUS-SEGMENT'!$HZ$59/'ANALYSE - ERP =&gt; SOUS-SEGMENT'!$HY$59,"")</f>
        <v>0</v>
      </c>
      <c r="I38" s="787">
        <f>IFERROR('ANALYSE - ERP =&gt; SOUS-SEGMENT'!$IA$59/'ANALYSE - ERP =&gt; SOUS-SEGMENT'!$HY$59,"")</f>
        <v>0.11365692307692306</v>
      </c>
      <c r="J38" s="787">
        <f>IFERROR('ANALYSE - ERP =&gt; SOUS-SEGMENT'!$IB$59/'ANALYSE - ERP =&gt; SOUS-SEGMENT'!$HY$59,"")</f>
        <v>0.54938923076923074</v>
      </c>
      <c r="K38" s="787">
        <f>IFERROR('ANALYSE - ERP =&gt; SOUS-SEGMENT'!$IC$59/'ANALYSE - ERP =&gt; SOUS-SEGMENT'!$HY$59,"")</f>
        <v>0.33470076923076914</v>
      </c>
      <c r="L38" s="787">
        <f>IFERROR('ANALYSE - ERP =&gt; SOUS-SEGMENT'!$ID$59/'ANALYSE - ERP =&gt; SOUS-SEGMENT'!$HY$59,"")</f>
        <v>2.2530769230769227E-3</v>
      </c>
      <c r="N38" s="787">
        <f>IFERROR('ANALYSE - ERP =&gt; SOUS-SEGMENT'!$IF$59/'ANALYSE - ERP =&gt; SOUS-SEGMENT'!$IE$59,"")</f>
        <v>0</v>
      </c>
      <c r="O38" s="787">
        <f>IFERROR('ANALYSE - ERP =&gt; SOUS-SEGMENT'!$IG$59/'ANALYSE - ERP =&gt; SOUS-SEGMENT'!$IE$59,"")</f>
        <v>6.1011044006070991E-2</v>
      </c>
      <c r="P38" s="787">
        <f>IFERROR('ANALYSE - ERP =&gt; SOUS-SEGMENT'!$IH$59/'ANALYSE - ERP =&gt; SOUS-SEGMENT'!$IE$59,"")</f>
        <v>0.48988560165352346</v>
      </c>
      <c r="Q38" s="787">
        <f>IFERROR('ANALYSE - ERP =&gt; SOUS-SEGMENT'!$II$59/'ANALYSE - ERP =&gt; SOUS-SEGMENT'!$IE$59,"")</f>
        <v>0.42809739002620928</v>
      </c>
      <c r="R38" s="787">
        <f>IFERROR('ANALYSE - ERP =&gt; SOUS-SEGMENT'!$IJ$59/'ANALYSE - ERP =&gt; SOUS-SEGMENT'!$IE$59,"")</f>
        <v>2.1005964314196244E-2</v>
      </c>
      <c r="T38" s="430">
        <f>'ANALYSE - ERP =&gt; SOUS-SEGMENT'!$Q$59</f>
        <v>1</v>
      </c>
    </row>
    <row r="39" spans="1:20" ht="15" customHeight="1">
      <c r="A39" s="26">
        <v>36</v>
      </c>
      <c r="B39" s="26">
        <v>37</v>
      </c>
      <c r="C39" s="422">
        <f>'ANALYSE - ERP =&gt; SOUS-SEGMENT'!$A$28</f>
        <v>21</v>
      </c>
      <c r="D39" s="411" t="str">
        <f>'ANALYSE - ERP =&gt; SOUS-SEGMENT'!$B$28</f>
        <v>Sports &amp; Loisirs</v>
      </c>
      <c r="E39" s="411" t="str">
        <f>'ANALYSE - ERP =&gt; SOUS-SEGMENT'!$C$28</f>
        <v>Sport de plein air</v>
      </c>
      <c r="F39" s="411" t="str">
        <f>'ANALYSE - ERP =&gt; SOUS-SEGMENT'!$D$28</f>
        <v>Stades avec tribunes
(Hors grands stades, hors terrains sport)</v>
      </c>
      <c r="H39" s="787">
        <f>IFERROR('ANALYSE - ERP =&gt; SOUS-SEGMENT'!$HZ$28/'ANALYSE - ERP =&gt; SOUS-SEGMENT'!$HY$28,"")</f>
        <v>0.17805294117647058</v>
      </c>
      <c r="I39" s="787">
        <f>IFERROR('ANALYSE - ERP =&gt; SOUS-SEGMENT'!$IA$28/'ANALYSE - ERP =&gt; SOUS-SEGMENT'!$HY$28,"")</f>
        <v>0.62357941176470588</v>
      </c>
      <c r="J39" s="787">
        <f>IFERROR('ANALYSE - ERP =&gt; SOUS-SEGMENT'!$IB$28/'ANALYSE - ERP =&gt; SOUS-SEGMENT'!$HY$28,"")</f>
        <v>0.19836764705882354</v>
      </c>
      <c r="K39" s="787">
        <f>IFERROR('ANALYSE - ERP =&gt; SOUS-SEGMENT'!$IC$28/'ANALYSE - ERP =&gt; SOUS-SEGMENT'!$HY$28,"")</f>
        <v>0</v>
      </c>
      <c r="L39" s="787">
        <f>IFERROR('ANALYSE - ERP =&gt; SOUS-SEGMENT'!$ID$28/'ANALYSE - ERP =&gt; SOUS-SEGMENT'!$HY$28,"")</f>
        <v>0</v>
      </c>
      <c r="N39" s="787">
        <f>IFERROR('ANALYSE - ERP =&gt; SOUS-SEGMENT'!$IF$28/'ANALYSE - ERP =&gt; SOUS-SEGMENT'!$IE$28,"")</f>
        <v>7.8394791185826457E-2</v>
      </c>
      <c r="O39" s="787">
        <f>IFERROR('ANALYSE - ERP =&gt; SOUS-SEGMENT'!$IG$28/'ANALYSE - ERP =&gt; SOUS-SEGMENT'!$IE$28,"")</f>
        <v>0.56596514233870676</v>
      </c>
      <c r="P39" s="787">
        <f>IFERROR('ANALYSE - ERP =&gt; SOUS-SEGMENT'!$IH$28/'ANALYSE - ERP =&gt; SOUS-SEGMENT'!$IE$28,"")</f>
        <v>0.35564006647546681</v>
      </c>
      <c r="Q39" s="787">
        <f>IFERROR('ANALYSE - ERP =&gt; SOUS-SEGMENT'!$II$28/'ANALYSE - ERP =&gt; SOUS-SEGMENT'!$IE$28,"")</f>
        <v>0</v>
      </c>
      <c r="R39" s="787">
        <f>IFERROR('ANALYSE - ERP =&gt; SOUS-SEGMENT'!$IJ$28/'ANALYSE - ERP =&gt; SOUS-SEGMENT'!$IE$28,"")</f>
        <v>0</v>
      </c>
      <c r="T39" s="430">
        <f>'ANALYSE - ERP =&gt; SOUS-SEGMENT'!$Q$28</f>
        <v>1</v>
      </c>
    </row>
    <row r="40" spans="1:20" ht="15" customHeight="1">
      <c r="A40" s="26">
        <v>37</v>
      </c>
      <c r="B40" s="26">
        <v>36</v>
      </c>
      <c r="C40" s="422" t="e">
        <f>'ANALYSE - ERP =&gt; SOUS-SEGMENT'!#REF!</f>
        <v>#REF!</v>
      </c>
      <c r="D40" s="408" t="e">
        <f>'ANALYSE - ERP =&gt; SOUS-SEGMENT'!#REF!</f>
        <v>#REF!</v>
      </c>
      <c r="E40" s="408" t="e">
        <f>'ANALYSE - ERP =&gt; SOUS-SEGMENT'!#REF!</f>
        <v>#REF!</v>
      </c>
      <c r="F40" s="408" t="e">
        <f>'ANALYSE - ERP =&gt; SOUS-SEGMENT'!#REF!</f>
        <v>#REF!</v>
      </c>
      <c r="H40" s="787" t="str">
        <f>IFERROR('ANALYSE - ERP =&gt; SOUS-SEGMENT'!#REF!/'ANALYSE - ERP =&gt; SOUS-SEGMENT'!#REF!,"")</f>
        <v/>
      </c>
      <c r="I40" s="787" t="str">
        <f>IFERROR('ANALYSE - ERP =&gt; SOUS-SEGMENT'!#REF!/'ANALYSE - ERP =&gt; SOUS-SEGMENT'!#REF!,"")</f>
        <v/>
      </c>
      <c r="J40" s="787" t="str">
        <f>IFERROR('ANALYSE - ERP =&gt; SOUS-SEGMENT'!#REF!/'ANALYSE - ERP =&gt; SOUS-SEGMENT'!#REF!,"")</f>
        <v/>
      </c>
      <c r="K40" s="787" t="str">
        <f>IFERROR('ANALYSE - ERP =&gt; SOUS-SEGMENT'!#REF!/'ANALYSE - ERP =&gt; SOUS-SEGMENT'!#REF!,"")</f>
        <v/>
      </c>
      <c r="L40" s="787" t="str">
        <f>IFERROR('ANALYSE - ERP =&gt; SOUS-SEGMENT'!#REF!/'ANALYSE - ERP =&gt; SOUS-SEGMENT'!#REF!,"")</f>
        <v/>
      </c>
      <c r="N40" s="787" t="str">
        <f>IFERROR('ANALYSE - ERP =&gt; SOUS-SEGMENT'!#REF!/'ANALYSE - ERP =&gt; SOUS-SEGMENT'!#REF!,"")</f>
        <v/>
      </c>
      <c r="O40" s="787" t="str">
        <f>IFERROR('ANALYSE - ERP =&gt; SOUS-SEGMENT'!#REF!/'ANALYSE - ERP =&gt; SOUS-SEGMENT'!#REF!,"")</f>
        <v/>
      </c>
      <c r="P40" s="787" t="str">
        <f>IFERROR('ANALYSE - ERP =&gt; SOUS-SEGMENT'!#REF!/'ANALYSE - ERP =&gt; SOUS-SEGMENT'!#REF!,"")</f>
        <v/>
      </c>
      <c r="Q40" s="787" t="str">
        <f>IFERROR('ANALYSE - ERP =&gt; SOUS-SEGMENT'!#REF!/'ANALYSE - ERP =&gt; SOUS-SEGMENT'!#REF!,"")</f>
        <v/>
      </c>
      <c r="R40" s="787" t="str">
        <f>IFERROR('ANALYSE - ERP =&gt; SOUS-SEGMENT'!#REF!/'ANALYSE - ERP =&gt; SOUS-SEGMENT'!#REF!,"")</f>
        <v/>
      </c>
      <c r="T40" s="430" t="e">
        <f>'ANALYSE - ERP =&gt; SOUS-SEGMENT'!#REF!</f>
        <v>#REF!</v>
      </c>
    </row>
    <row r="41" spans="1:20" ht="15" customHeight="1">
      <c r="A41" s="26">
        <v>38</v>
      </c>
      <c r="B41" s="26">
        <v>39</v>
      </c>
      <c r="C41" s="422">
        <f>'ANALYSE - ERP =&gt; SOUS-SEGMENT'!$A$49</f>
        <v>42</v>
      </c>
      <c r="D41" s="413" t="str">
        <f>'ANALYSE - ERP =&gt; SOUS-SEGMENT'!$B$49</f>
        <v>Santé &amp; Médico-social</v>
      </c>
      <c r="E41" s="413" t="str">
        <f>'ANALYSE - ERP =&gt; SOUS-SEGMENT'!$C$49</f>
        <v>Santé spécialisée</v>
      </c>
      <c r="F41" s="413" t="str">
        <f>'ANALYSE - ERP =&gt; SOUS-SEGMENT'!$D$49</f>
        <v>Centres de psychiatrie</v>
      </c>
      <c r="H41" s="787">
        <f>IFERROR('ANALYSE - ERP =&gt; SOUS-SEGMENT'!$HZ$49/'ANALYSE - ERP =&gt; SOUS-SEGMENT'!$HY$49,"")</f>
        <v>3.6318965517241369E-2</v>
      </c>
      <c r="I41" s="787">
        <f>IFERROR('ANALYSE - ERP =&gt; SOUS-SEGMENT'!$IA$49/'ANALYSE - ERP =&gt; SOUS-SEGMENT'!$HY$49,"")</f>
        <v>0.52451982758620685</v>
      </c>
      <c r="J41" s="787">
        <f>IFERROR('ANALYSE - ERP =&gt; SOUS-SEGMENT'!$IB$49/'ANALYSE - ERP =&gt; SOUS-SEGMENT'!$HY$49,"")</f>
        <v>0.41514396551724131</v>
      </c>
      <c r="K41" s="787">
        <f>IFERROR('ANALYSE - ERP =&gt; SOUS-SEGMENT'!$IC$49/'ANALYSE - ERP =&gt; SOUS-SEGMENT'!$HY$49,"")</f>
        <v>2.4017241379310338E-2</v>
      </c>
      <c r="L41" s="787">
        <f>IFERROR('ANALYSE - ERP =&gt; SOUS-SEGMENT'!$ID$49/'ANALYSE - ERP =&gt; SOUS-SEGMENT'!$HY$49,"")</f>
        <v>0</v>
      </c>
      <c r="N41" s="787">
        <f>IFERROR('ANALYSE - ERP =&gt; SOUS-SEGMENT'!$IF$49/'ANALYSE - ERP =&gt; SOUS-SEGMENT'!$IE$49,"")</f>
        <v>1.9608401753287412E-4</v>
      </c>
      <c r="O41" s="787">
        <f>IFERROR('ANALYSE - ERP =&gt; SOUS-SEGMENT'!$IG$49/'ANALYSE - ERP =&gt; SOUS-SEGMENT'!$IE$49,"")</f>
        <v>0.35032670714720537</v>
      </c>
      <c r="P41" s="787">
        <f>IFERROR('ANALYSE - ERP =&gt; SOUS-SEGMENT'!$IH$49/'ANALYSE - ERP =&gt; SOUS-SEGMENT'!$IE$49,"")</f>
        <v>0.57734668795731137</v>
      </c>
      <c r="Q41" s="787">
        <f>IFERROR('ANALYSE - ERP =&gt; SOUS-SEGMENT'!$II$49/'ANALYSE - ERP =&gt; SOUS-SEGMENT'!$IE$49,"")</f>
        <v>7.2130520877950507E-2</v>
      </c>
      <c r="R41" s="787">
        <f>IFERROR('ANALYSE - ERP =&gt; SOUS-SEGMENT'!$IJ$49/'ANALYSE - ERP =&gt; SOUS-SEGMENT'!$IE$49,"")</f>
        <v>0</v>
      </c>
      <c r="T41" s="430">
        <f>'ANALYSE - ERP =&gt; SOUS-SEGMENT'!$Q$49</f>
        <v>0</v>
      </c>
    </row>
    <row r="42" spans="1:20" ht="15" customHeight="1">
      <c r="A42" s="26">
        <v>39</v>
      </c>
      <c r="B42" s="26">
        <v>40</v>
      </c>
      <c r="C42" s="422">
        <f>'ANALYSE - ERP =&gt; SOUS-SEGMENT'!$A$73</f>
        <v>66</v>
      </c>
      <c r="D42" s="412" t="str">
        <f>'ANALYSE - ERP =&gt; SOUS-SEGMENT'!$B$73</f>
        <v>Culture, Patrimoine &amp; Evénementiel</v>
      </c>
      <c r="E42" s="412" t="str">
        <f>'ANALYSE - ERP =&gt; SOUS-SEGMENT'!$C$73</f>
        <v>Événementiel temporaire</v>
      </c>
      <c r="F42" s="412" t="str">
        <f>'ANALYSE - ERP =&gt; SOUS-SEGMENT'!$D$73</f>
        <v>Structures gonflables</v>
      </c>
      <c r="H42" s="787">
        <f>IFERROR('ANALYSE - ERP =&gt; SOUS-SEGMENT'!$HZ$73/'ANALYSE - ERP =&gt; SOUS-SEGMENT'!$HY$73,"")</f>
        <v>0.3227787234042554</v>
      </c>
      <c r="I42" s="787">
        <f>IFERROR('ANALYSE - ERP =&gt; SOUS-SEGMENT'!$IA$73/'ANALYSE - ERP =&gt; SOUS-SEGMENT'!$HY$73,"")</f>
        <v>0.61682765957446817</v>
      </c>
      <c r="J42" s="787">
        <f>IFERROR('ANALYSE - ERP =&gt; SOUS-SEGMENT'!$IB$73/'ANALYSE - ERP =&gt; SOUS-SEGMENT'!$HY$73,"")</f>
        <v>6.0393617021276609E-2</v>
      </c>
      <c r="K42" s="787">
        <f>IFERROR('ANALYSE - ERP =&gt; SOUS-SEGMENT'!$IC$73/'ANALYSE - ERP =&gt; SOUS-SEGMENT'!$HY$73,"")</f>
        <v>0</v>
      </c>
      <c r="L42" s="787">
        <f>IFERROR('ANALYSE - ERP =&gt; SOUS-SEGMENT'!$ID$73/'ANALYSE - ERP =&gt; SOUS-SEGMENT'!$HY$73,"")</f>
        <v>0</v>
      </c>
      <c r="N42" s="787">
        <f>IFERROR('ANALYSE - ERP =&gt; SOUS-SEGMENT'!$IF$73/'ANALYSE - ERP =&gt; SOUS-SEGMENT'!$IE$73,"")</f>
        <v>0.17372525989163123</v>
      </c>
      <c r="O42" s="787">
        <f>IFERROR('ANALYSE - ERP =&gt; SOUS-SEGMENT'!$IG$73/'ANALYSE - ERP =&gt; SOUS-SEGMENT'!$IE$73,"")</f>
        <v>0.66342350698815211</v>
      </c>
      <c r="P42" s="787">
        <f>IFERROR('ANALYSE - ERP =&gt; SOUS-SEGMENT'!$IH$73/'ANALYSE - ERP =&gt; SOUS-SEGMENT'!$IE$73,"")</f>
        <v>0.1628512331202166</v>
      </c>
      <c r="Q42" s="787">
        <f>IFERROR('ANALYSE - ERP =&gt; SOUS-SEGMENT'!$II$73/'ANALYSE - ERP =&gt; SOUS-SEGMENT'!$IE$73,"")</f>
        <v>0</v>
      </c>
      <c r="R42" s="787">
        <f>IFERROR('ANALYSE - ERP =&gt; SOUS-SEGMENT'!$IJ$73/'ANALYSE - ERP =&gt; SOUS-SEGMENT'!$IE$73,"")</f>
        <v>0</v>
      </c>
      <c r="T42" s="430">
        <f>'ANALYSE - ERP =&gt; SOUS-SEGMENT'!$Q$73</f>
        <v>1</v>
      </c>
    </row>
    <row r="43" spans="1:20" ht="15" customHeight="1">
      <c r="A43" s="26">
        <v>40</v>
      </c>
      <c r="B43" s="26">
        <v>38</v>
      </c>
      <c r="C43" s="422">
        <f>'ANALYSE - ERP =&gt; SOUS-SEGMENT'!$A$50</f>
        <v>43</v>
      </c>
      <c r="D43" s="412" t="str">
        <f>'ANALYSE - ERP =&gt; SOUS-SEGMENT'!$B$50</f>
        <v>Santé &amp; Médico-social</v>
      </c>
      <c r="E43" s="412" t="str">
        <f>'ANALYSE - ERP =&gt; SOUS-SEGMENT'!$C$50</f>
        <v>Santé spécialisée</v>
      </c>
      <c r="F43" s="412" t="str">
        <f>'ANALYSE - ERP =&gt; SOUS-SEGMENT'!$D$50</f>
        <v>Centres de rééducation</v>
      </c>
      <c r="H43" s="787">
        <f>IFERROR('ANALYSE - ERP =&gt; SOUS-SEGMENT'!$HZ$50/'ANALYSE - ERP =&gt; SOUS-SEGMENT'!$HY$50,"")</f>
        <v>0</v>
      </c>
      <c r="I43" s="787">
        <f>IFERROR('ANALYSE - ERP =&gt; SOUS-SEGMENT'!$IA$50/'ANALYSE - ERP =&gt; SOUS-SEGMENT'!$HY$50,"")</f>
        <v>0.11331061946902654</v>
      </c>
      <c r="J43" s="787">
        <f>IFERROR('ANALYSE - ERP =&gt; SOUS-SEGMENT'!$IB$50/'ANALYSE - ERP =&gt; SOUS-SEGMENT'!$HY$50,"")</f>
        <v>0.58040265486725662</v>
      </c>
      <c r="K43" s="787">
        <f>IFERROR('ANALYSE - ERP =&gt; SOUS-SEGMENT'!$IC$50/'ANALYSE - ERP =&gt; SOUS-SEGMENT'!$HY$50,"")</f>
        <v>0.30628672566371679</v>
      </c>
      <c r="L43" s="787">
        <f>IFERROR('ANALYSE - ERP =&gt; SOUS-SEGMENT'!$ID$50/'ANALYSE - ERP =&gt; SOUS-SEGMENT'!$HY$50,"")</f>
        <v>0</v>
      </c>
      <c r="N43" s="787">
        <f>IFERROR('ANALYSE - ERP =&gt; SOUS-SEGMENT'!$IF$50/'ANALYSE - ERP =&gt; SOUS-SEGMENT'!$IE$50,"")</f>
        <v>0</v>
      </c>
      <c r="O43" s="787">
        <f>IFERROR('ANALYSE - ERP =&gt; SOUS-SEGMENT'!$IG$50/'ANALYSE - ERP =&gt; SOUS-SEGMENT'!$IE$50,"")</f>
        <v>3.545129307108387E-2</v>
      </c>
      <c r="P43" s="787">
        <f>IFERROR('ANALYSE - ERP =&gt; SOUS-SEGMENT'!$IH$50/'ANALYSE - ERP =&gt; SOUS-SEGMENT'!$IE$50,"")</f>
        <v>0.52107509976444111</v>
      </c>
      <c r="Q43" s="787">
        <f>IFERROR('ANALYSE - ERP =&gt; SOUS-SEGMENT'!$II$50/'ANALYSE - ERP =&gt; SOUS-SEGMENT'!$IE$50,"")</f>
        <v>0.4361182406191994</v>
      </c>
      <c r="R43" s="787">
        <f>IFERROR('ANALYSE - ERP =&gt; SOUS-SEGMENT'!$IJ$50/'ANALYSE - ERP =&gt; SOUS-SEGMENT'!$IE$50,"")</f>
        <v>7.3553665452755802E-3</v>
      </c>
      <c r="T43" s="430">
        <f>'ANALYSE - ERP =&gt; SOUS-SEGMENT'!$Q$50</f>
        <v>0</v>
      </c>
    </row>
    <row r="44" spans="1:20" ht="15" customHeight="1">
      <c r="A44" s="26">
        <v>41</v>
      </c>
      <c r="B44" s="26">
        <v>42</v>
      </c>
      <c r="C44" s="422">
        <f>'ANALYSE - ERP =&gt; SOUS-SEGMENT'!$A$142</f>
        <v>135</v>
      </c>
      <c r="D44" s="408" t="str">
        <f>'ANALYSE - ERP =&gt; SOUS-SEGMENT'!$B$142</f>
        <v>Sécurité &amp; Justice</v>
      </c>
      <c r="E44" s="408" t="str">
        <f>'ANALYSE - ERP =&gt; SOUS-SEGMENT'!$C$142</f>
        <v>Univers carcéral</v>
      </c>
      <c r="F44" s="408" t="str">
        <f>'ANALYSE - ERP =&gt; SOUS-SEGMENT'!$D$142</f>
        <v>Centres pénitentiaires</v>
      </c>
      <c r="H44" s="787">
        <f>IFERROR('ANALYSE - ERP =&gt; SOUS-SEGMENT'!$HZ$142/'ANALYSE - ERP =&gt; SOUS-SEGMENT'!$HY$142,"")</f>
        <v>0.19016631299734746</v>
      </c>
      <c r="I44" s="787">
        <f>IFERROR('ANALYSE - ERP =&gt; SOUS-SEGMENT'!$IA$142/'ANALYSE - ERP =&gt; SOUS-SEGMENT'!$HY$142,"")</f>
        <v>0.67877055702917766</v>
      </c>
      <c r="J44" s="787">
        <f>IFERROR('ANALYSE - ERP =&gt; SOUS-SEGMENT'!$IB$142/'ANALYSE - ERP =&gt; SOUS-SEGMENT'!$HY$142,"")</f>
        <v>0.1310631299734748</v>
      </c>
      <c r="K44" s="787">
        <f>IFERROR('ANALYSE - ERP =&gt; SOUS-SEGMENT'!$IC$142/'ANALYSE - ERP =&gt; SOUS-SEGMENT'!$HY$142,"")</f>
        <v>0</v>
      </c>
      <c r="L44" s="787">
        <f>IFERROR('ANALYSE - ERP =&gt; SOUS-SEGMENT'!$ID$142/'ANALYSE - ERP =&gt; SOUS-SEGMENT'!$HY$142,"")</f>
        <v>0</v>
      </c>
      <c r="N44" s="787">
        <f>IFERROR('ANALYSE - ERP =&gt; SOUS-SEGMENT'!$IF$142/'ANALYSE - ERP =&gt; SOUS-SEGMENT'!$IE$142,"")</f>
        <v>6.2221064685946265E-2</v>
      </c>
      <c r="O44" s="787">
        <f>IFERROR('ANALYSE - ERP =&gt; SOUS-SEGMENT'!$IG$142/'ANALYSE - ERP =&gt; SOUS-SEGMENT'!$IE$142,"")</f>
        <v>0.61589148107950575</v>
      </c>
      <c r="P44" s="787">
        <f>IFERROR('ANALYSE - ERP =&gt; SOUS-SEGMENT'!$IH$142/'ANALYSE - ERP =&gt; SOUS-SEGMENT'!$IE$142,"")</f>
        <v>0.32188745423454806</v>
      </c>
      <c r="Q44" s="787">
        <f>IFERROR('ANALYSE - ERP =&gt; SOUS-SEGMENT'!$II$142/'ANALYSE - ERP =&gt; SOUS-SEGMENT'!$IE$142,"")</f>
        <v>0</v>
      </c>
      <c r="R44" s="787">
        <f>IFERROR('ANALYSE - ERP =&gt; SOUS-SEGMENT'!$IJ$142/'ANALYSE - ERP =&gt; SOUS-SEGMENT'!$IE$142,"")</f>
        <v>0</v>
      </c>
      <c r="T44" s="430">
        <f>'ANALYSE - ERP =&gt; SOUS-SEGMENT'!$Q$142</f>
        <v>1</v>
      </c>
    </row>
    <row r="45" spans="1:20" ht="15" customHeight="1">
      <c r="A45" s="26">
        <v>42</v>
      </c>
      <c r="B45" s="26">
        <v>41</v>
      </c>
      <c r="C45" s="422">
        <f>'ANALYSE - ERP =&gt; SOUS-SEGMENT'!$A$116</f>
        <v>109</v>
      </c>
      <c r="D45" s="414" t="str">
        <f>'ANALYSE - ERP =&gt; SOUS-SEGMENT'!$B$116</f>
        <v>Culte, Vie civique &amp; Services publics</v>
      </c>
      <c r="E45" s="414" t="str">
        <f>'ANALYSE - ERP =&gt; SOUS-SEGMENT'!$C$116</f>
        <v>Culte</v>
      </c>
      <c r="F45" s="414" t="str">
        <f>'ANALYSE - ERP =&gt; SOUS-SEGMENT'!$D$116</f>
        <v>Mosquées et salles de prière musulmanes</v>
      </c>
      <c r="H45" s="787">
        <f>IFERROR('ANALYSE - ERP =&gt; SOUS-SEGMENT'!$HZ$116/'ANALYSE - ERP =&gt; SOUS-SEGMENT'!$HY$116,"")</f>
        <v>0.10736363636363637</v>
      </c>
      <c r="I45" s="787">
        <f>IFERROR('ANALYSE - ERP =&gt; SOUS-SEGMENT'!$IA$116/'ANALYSE - ERP =&gt; SOUS-SEGMENT'!$HY$116,"")</f>
        <v>0.54104545454545461</v>
      </c>
      <c r="J45" s="787">
        <f>IFERROR('ANALYSE - ERP =&gt; SOUS-SEGMENT'!$IB$116/'ANALYSE - ERP =&gt; SOUS-SEGMENT'!$HY$116,"")</f>
        <v>0.32519090909090909</v>
      </c>
      <c r="K45" s="787">
        <f>IFERROR('ANALYSE - ERP =&gt; SOUS-SEGMENT'!$IC$116/'ANALYSE - ERP =&gt; SOUS-SEGMENT'!$HY$116,"")</f>
        <v>2.6399999999999996E-2</v>
      </c>
      <c r="L45" s="787">
        <f>IFERROR('ANALYSE - ERP =&gt; SOUS-SEGMENT'!$ID$116/'ANALYSE - ERP =&gt; SOUS-SEGMENT'!$HY$116,"")</f>
        <v>0</v>
      </c>
      <c r="N45" s="787">
        <f>IFERROR('ANALYSE - ERP =&gt; SOUS-SEGMENT'!$IF$116/'ANALYSE - ERP =&gt; SOUS-SEGMENT'!$IE$116,"")</f>
        <v>9.3986656189736631E-2</v>
      </c>
      <c r="O45" s="787">
        <f>IFERROR('ANALYSE - ERP =&gt; SOUS-SEGMENT'!$IG$116/'ANALYSE - ERP =&gt; SOUS-SEGMENT'!$IE$116,"")</f>
        <v>0.5248582227697246</v>
      </c>
      <c r="P45" s="787">
        <f>IFERROR('ANALYSE - ERP =&gt; SOUS-SEGMENT'!$IH$116/'ANALYSE - ERP =&gt; SOUS-SEGMENT'!$IE$116,"")</f>
        <v>0.33772495769642086</v>
      </c>
      <c r="Q45" s="787">
        <f>IFERROR('ANALYSE - ERP =&gt; SOUS-SEGMENT'!$II$116/'ANALYSE - ERP =&gt; SOUS-SEGMENT'!$IE$116,"")</f>
        <v>4.0230163344117928E-2</v>
      </c>
      <c r="R45" s="787">
        <f>IFERROR('ANALYSE - ERP =&gt; SOUS-SEGMENT'!$IJ$116/'ANALYSE - ERP =&gt; SOUS-SEGMENT'!$IE$116,"")</f>
        <v>3.2000000000000002E-3</v>
      </c>
      <c r="T45" s="430">
        <f>'ANALYSE - ERP =&gt; SOUS-SEGMENT'!$Q$116</f>
        <v>1</v>
      </c>
    </row>
    <row r="46" spans="1:20" ht="15" customHeight="1">
      <c r="A46" s="26">
        <v>43</v>
      </c>
      <c r="B46" s="26">
        <v>43</v>
      </c>
      <c r="C46" s="422">
        <f>'ANALYSE - ERP =&gt; SOUS-SEGMENT'!$A$18</f>
        <v>11</v>
      </c>
      <c r="D46" s="414" t="str">
        <f>'ANALYSE - ERP =&gt; SOUS-SEGMENT'!$B$18</f>
        <v>Enfance, Enseignement, Jeunesse &amp; Formation</v>
      </c>
      <c r="E46" s="414" t="str">
        <f>'ANALYSE - ERP =&gt; SOUS-SEGMENT'!$C$18</f>
        <v>Enseignement supérieur</v>
      </c>
      <c r="F46" s="414" t="str">
        <f>'ANALYSE - ERP =&gt; SOUS-SEGMENT'!$D$18</f>
        <v>Résidences étudiantes et dortoirs</v>
      </c>
      <c r="H46" s="787">
        <f>IFERROR('ANALYSE - ERP =&gt; SOUS-SEGMENT'!$HZ$18/'ANALYSE - ERP =&gt; SOUS-SEGMENT'!$HY$18,"")</f>
        <v>8.1428571428571422E-4</v>
      </c>
      <c r="I46" s="787">
        <f>IFERROR('ANALYSE - ERP =&gt; SOUS-SEGMENT'!$IA$18/'ANALYSE - ERP =&gt; SOUS-SEGMENT'!$HY$18,"")</f>
        <v>0.16796938775510203</v>
      </c>
      <c r="J46" s="787">
        <f>IFERROR('ANALYSE - ERP =&gt; SOUS-SEGMENT'!$IB$18/'ANALYSE - ERP =&gt; SOUS-SEGMENT'!$HY$18,"")</f>
        <v>0.53497755102040823</v>
      </c>
      <c r="K46" s="787">
        <f>IFERROR('ANALYSE - ERP =&gt; SOUS-SEGMENT'!$IC$18/'ANALYSE - ERP =&gt; SOUS-SEGMENT'!$HY$18,"")</f>
        <v>0.27580612244897956</v>
      </c>
      <c r="L46" s="787">
        <f>IFERROR('ANALYSE - ERP =&gt; SOUS-SEGMENT'!$ID$18/'ANALYSE - ERP =&gt; SOUS-SEGMENT'!$HY$18,"")</f>
        <v>2.0432653061224493E-2</v>
      </c>
      <c r="N46" s="787">
        <f>IFERROR('ANALYSE - ERP =&gt; SOUS-SEGMENT'!$IF$18/'ANALYSE - ERP =&gt; SOUS-SEGMENT'!$IE$18,"")</f>
        <v>0</v>
      </c>
      <c r="O46" s="787">
        <f>IFERROR('ANALYSE - ERP =&gt; SOUS-SEGMENT'!$IG$18/'ANALYSE - ERP =&gt; SOUS-SEGMENT'!$IE$18,"")</f>
        <v>4.7991836734693878E-2</v>
      </c>
      <c r="P46" s="787">
        <f>IFERROR('ANALYSE - ERP =&gt; SOUS-SEGMENT'!$IH$18/'ANALYSE - ERP =&gt; SOUS-SEGMENT'!$IE$18,"")</f>
        <v>0.42946938775510207</v>
      </c>
      <c r="Q46" s="787">
        <f>IFERROR('ANALYSE - ERP =&gt; SOUS-SEGMENT'!$II$18/'ANALYSE - ERP =&gt; SOUS-SEGMENT'!$IE$18,"")</f>
        <v>0.44947755102040821</v>
      </c>
      <c r="R46" s="787">
        <f>IFERROR('ANALYSE - ERP =&gt; SOUS-SEGMENT'!$IJ$18/'ANALYSE - ERP =&gt; SOUS-SEGMENT'!$IE$18,"")</f>
        <v>7.306122448979592E-2</v>
      </c>
      <c r="T46" s="430">
        <f>'ANALYSE - ERP =&gt; SOUS-SEGMENT'!$Q$18</f>
        <v>1</v>
      </c>
    </row>
    <row r="47" spans="1:20" ht="15" customHeight="1">
      <c r="A47" s="26">
        <v>44</v>
      </c>
      <c r="B47" s="26">
        <v>44</v>
      </c>
      <c r="C47" s="422">
        <f>'ANALYSE - ERP =&gt; SOUS-SEGMENT'!$A$62</f>
        <v>55</v>
      </c>
      <c r="D47" s="414" t="str">
        <f>'ANALYSE - ERP =&gt; SOUS-SEGMENT'!$B$62</f>
        <v>Culture, Patrimoine &amp; Evénementiel</v>
      </c>
      <c r="E47" s="414" t="str">
        <f>'ANALYSE - ERP =&gt; SOUS-SEGMENT'!$C$62</f>
        <v>Culture / spectacle</v>
      </c>
      <c r="F47" s="414" t="str">
        <f>'ANALYSE - ERP =&gt; SOUS-SEGMENT'!$D$62</f>
        <v>Cinémas</v>
      </c>
      <c r="H47" s="787">
        <f>IFERROR('ANALYSE - ERP =&gt; SOUS-SEGMENT'!$HZ$62/'ANALYSE - ERP =&gt; SOUS-SEGMENT'!$HY$62,"")</f>
        <v>4.9523809523809514E-4</v>
      </c>
      <c r="I47" s="787">
        <f>IFERROR('ANALYSE - ERP =&gt; SOUS-SEGMENT'!$IA$62/'ANALYSE - ERP =&gt; SOUS-SEGMENT'!$HY$62,"")</f>
        <v>0.15385238095238093</v>
      </c>
      <c r="J47" s="787">
        <f>IFERROR('ANALYSE - ERP =&gt; SOUS-SEGMENT'!$IB$62/'ANALYSE - ERP =&gt; SOUS-SEGMENT'!$HY$62,"")</f>
        <v>0.48930952380952375</v>
      </c>
      <c r="K47" s="787">
        <f>IFERROR('ANALYSE - ERP =&gt; SOUS-SEGMENT'!$IC$62/'ANALYSE - ERP =&gt; SOUS-SEGMENT'!$HY$62,"")</f>
        <v>0.31591904761904754</v>
      </c>
      <c r="L47" s="787">
        <f>IFERROR('ANALYSE - ERP =&gt; SOUS-SEGMENT'!$ID$62/'ANALYSE - ERP =&gt; SOUS-SEGMENT'!$HY$62,"")</f>
        <v>4.0423809523809522E-2</v>
      </c>
      <c r="N47" s="787">
        <f>IFERROR('ANALYSE - ERP =&gt; SOUS-SEGMENT'!$IF$62/'ANALYSE - ERP =&gt; SOUS-SEGMENT'!$IE$62,"")</f>
        <v>0</v>
      </c>
      <c r="O47" s="787">
        <f>IFERROR('ANALYSE - ERP =&gt; SOUS-SEGMENT'!$IG$62/'ANALYSE - ERP =&gt; SOUS-SEGMENT'!$IE$62,"")</f>
        <v>7.2065693677032333E-2</v>
      </c>
      <c r="P47" s="787">
        <f>IFERROR('ANALYSE - ERP =&gt; SOUS-SEGMENT'!$IH$62/'ANALYSE - ERP =&gt; SOUS-SEGMENT'!$IE$62,"")</f>
        <v>0.41829398245817229</v>
      </c>
      <c r="Q47" s="787">
        <f>IFERROR('ANALYSE - ERP =&gt; SOUS-SEGMENT'!$II$62/'ANALYSE - ERP =&gt; SOUS-SEGMENT'!$IE$62,"")</f>
        <v>0.42219523862537267</v>
      </c>
      <c r="R47" s="787">
        <f>IFERROR('ANALYSE - ERP =&gt; SOUS-SEGMENT'!$IJ$62/'ANALYSE - ERP =&gt; SOUS-SEGMENT'!$IE$62,"")</f>
        <v>8.7445085239422793E-2</v>
      </c>
      <c r="T47" s="430">
        <f>'ANALYSE - ERP =&gt; SOUS-SEGMENT'!$Q$62</f>
        <v>1</v>
      </c>
    </row>
    <row r="48" spans="1:20" ht="15" customHeight="1">
      <c r="A48" s="26">
        <v>45</v>
      </c>
      <c r="B48" s="26">
        <v>45</v>
      </c>
      <c r="C48" s="422">
        <f>'ANALYSE - ERP =&gt; SOUS-SEGMENT'!$A$65</f>
        <v>58</v>
      </c>
      <c r="D48" s="414" t="str">
        <f>'ANALYSE - ERP =&gt; SOUS-SEGMENT'!$B$65</f>
        <v>Culture, Patrimoine &amp; Evénementiel</v>
      </c>
      <c r="E48" s="414" t="str">
        <f>'ANALYSE - ERP =&gt; SOUS-SEGMENT'!$C$65</f>
        <v>Culture / spectacle</v>
      </c>
      <c r="F48" s="414" t="str">
        <f>'ANALYSE - ERP =&gt; SOUS-SEGMENT'!$D$65</f>
        <v>Salles de spectacle / Auditoriums</v>
      </c>
      <c r="H48" s="787">
        <f>IFERROR('ANALYSE - ERP =&gt; SOUS-SEGMENT'!$HZ$65/'ANALYSE - ERP =&gt; SOUS-SEGMENT'!$HY$65,"")</f>
        <v>1.9058823529411765E-3</v>
      </c>
      <c r="I48" s="787">
        <f>IFERROR('ANALYSE - ERP =&gt; SOUS-SEGMENT'!$IA$65/'ANALYSE - ERP =&gt; SOUS-SEGMENT'!$HY$65,"")</f>
        <v>0.18894705882352938</v>
      </c>
      <c r="J48" s="787">
        <f>IFERROR('ANALYSE - ERP =&gt; SOUS-SEGMENT'!$IB$65/'ANALYSE - ERP =&gt; SOUS-SEGMENT'!$HY$65,"")</f>
        <v>0.5016205882352941</v>
      </c>
      <c r="K48" s="787">
        <f>IFERROR('ANALYSE - ERP =&gt; SOUS-SEGMENT'!$IC$65/'ANALYSE - ERP =&gt; SOUS-SEGMENT'!$HY$65,"")</f>
        <v>0.27760294117647061</v>
      </c>
      <c r="L48" s="787">
        <f>IFERROR('ANALYSE - ERP =&gt; SOUS-SEGMENT'!$ID$65/'ANALYSE - ERP =&gt; SOUS-SEGMENT'!$HY$65,"")</f>
        <v>2.9923529411764706E-2</v>
      </c>
      <c r="N48" s="787">
        <f>IFERROR('ANALYSE - ERP =&gt; SOUS-SEGMENT'!$IF$65/'ANALYSE - ERP =&gt; SOUS-SEGMENT'!$IE$65,"")</f>
        <v>0</v>
      </c>
      <c r="O48" s="787">
        <f>IFERROR('ANALYSE - ERP =&gt; SOUS-SEGMENT'!$IG$65/'ANALYSE - ERP =&gt; SOUS-SEGMENT'!$IE$65,"")</f>
        <v>8.1872695676411394E-2</v>
      </c>
      <c r="P48" s="787">
        <f>IFERROR('ANALYSE - ERP =&gt; SOUS-SEGMENT'!$IH$65/'ANALYSE - ERP =&gt; SOUS-SEGMENT'!$IE$65,"")</f>
        <v>0.4305250484892208</v>
      </c>
      <c r="Q48" s="787">
        <f>IFERROR('ANALYSE - ERP =&gt; SOUS-SEGMENT'!$II$65/'ANALYSE - ERP =&gt; SOUS-SEGMENT'!$IE$65,"")</f>
        <v>0.4082007757040127</v>
      </c>
      <c r="R48" s="787">
        <f>IFERROR('ANALYSE - ERP =&gt; SOUS-SEGMENT'!$IJ$65/'ANALYSE - ERP =&gt; SOUS-SEGMENT'!$IE$65,"")</f>
        <v>7.9401480130355043E-2</v>
      </c>
      <c r="T48" s="430">
        <f>'ANALYSE - ERP =&gt; SOUS-SEGMENT'!$Q$65</f>
        <v>1</v>
      </c>
    </row>
    <row r="49" spans="1:20" ht="15" customHeight="1">
      <c r="A49" s="26">
        <v>46</v>
      </c>
      <c r="B49" s="26">
        <v>46</v>
      </c>
      <c r="C49" s="422">
        <f>'ANALYSE - ERP =&gt; SOUS-SEGMENT'!$A$63</f>
        <v>56</v>
      </c>
      <c r="D49" s="415" t="str">
        <f>'ANALYSE - ERP =&gt; SOUS-SEGMENT'!$B$63</f>
        <v>Culture, Patrimoine &amp; Evénementiel</v>
      </c>
      <c r="E49" s="415" t="str">
        <f>'ANALYSE - ERP =&gt; SOUS-SEGMENT'!$C$63</f>
        <v>Culture / spectacle</v>
      </c>
      <c r="F49" s="415" t="str">
        <f>'ANALYSE - ERP =&gt; SOUS-SEGMENT'!$D$63</f>
        <v>Théâtres</v>
      </c>
      <c r="H49" s="787">
        <f>IFERROR('ANALYSE - ERP =&gt; SOUS-SEGMENT'!$HZ$63/'ANALYSE - ERP =&gt; SOUS-SEGMENT'!$HY$63,"")</f>
        <v>1.2249999999999999E-2</v>
      </c>
      <c r="I49" s="787">
        <f>IFERROR('ANALYSE - ERP =&gt; SOUS-SEGMENT'!$IA$63/'ANALYSE - ERP =&gt; SOUS-SEGMENT'!$HY$63,"")</f>
        <v>0.29127333333333333</v>
      </c>
      <c r="J49" s="787">
        <f>IFERROR('ANALYSE - ERP =&gt; SOUS-SEGMENT'!$IB$63/'ANALYSE - ERP =&gt; SOUS-SEGMENT'!$HY$63,"")</f>
        <v>0.51410666666666671</v>
      </c>
      <c r="K49" s="787">
        <f>IFERROR('ANALYSE - ERP =&gt; SOUS-SEGMENT'!$IC$63/'ANALYSE - ERP =&gt; SOUS-SEGMENT'!$HY$63,"")</f>
        <v>0.17396</v>
      </c>
      <c r="L49" s="787">
        <f>IFERROR('ANALYSE - ERP =&gt; SOUS-SEGMENT'!$ID$63/'ANALYSE - ERP =&gt; SOUS-SEGMENT'!$HY$63,"")</f>
        <v>8.4100000000000008E-3</v>
      </c>
      <c r="N49" s="787">
        <f>IFERROR('ANALYSE - ERP =&gt; SOUS-SEGMENT'!$IF$63/'ANALYSE - ERP =&gt; SOUS-SEGMENT'!$IE$63,"")</f>
        <v>3.1871155069179192E-4</v>
      </c>
      <c r="O49" s="787">
        <f>IFERROR('ANALYSE - ERP =&gt; SOUS-SEGMENT'!$IG$63/'ANALYSE - ERP =&gt; SOUS-SEGMENT'!$IE$63,"")</f>
        <v>0.17912496109694379</v>
      </c>
      <c r="P49" s="787">
        <f>IFERROR('ANALYSE - ERP =&gt; SOUS-SEGMENT'!$IH$63/'ANALYSE - ERP =&gt; SOUS-SEGMENT'!$IE$63,"")</f>
        <v>0.52415213922212134</v>
      </c>
      <c r="Q49" s="787">
        <f>IFERROR('ANALYSE - ERP =&gt; SOUS-SEGMENT'!$II$63/'ANALYSE - ERP =&gt; SOUS-SEGMENT'!$IE$63,"")</f>
        <v>0.27339803161529308</v>
      </c>
      <c r="R49" s="787">
        <f>IFERROR('ANALYSE - ERP =&gt; SOUS-SEGMENT'!$IJ$63/'ANALYSE - ERP =&gt; SOUS-SEGMENT'!$IE$63,"")</f>
        <v>2.3006156514949937E-2</v>
      </c>
      <c r="T49" s="430">
        <f>'ANALYSE - ERP =&gt; SOUS-SEGMENT'!$Q$63</f>
        <v>1</v>
      </c>
    </row>
    <row r="50" spans="1:20" ht="15" customHeight="1">
      <c r="A50" s="26">
        <v>47</v>
      </c>
      <c r="B50" s="26">
        <v>49</v>
      </c>
      <c r="C50" s="422">
        <f>'ANALYSE - ERP =&gt; SOUS-SEGMENT'!$A$115</f>
        <v>108</v>
      </c>
      <c r="D50" s="415" t="str">
        <f>'ANALYSE - ERP =&gt; SOUS-SEGMENT'!$B$115</f>
        <v>Culte, Vie civique &amp; Services publics</v>
      </c>
      <c r="E50" s="415" t="str">
        <f>'ANALYSE - ERP =&gt; SOUS-SEGMENT'!$C$115</f>
        <v>Culte</v>
      </c>
      <c r="F50" s="415" t="str">
        <f>'ANALYSE - ERP =&gt; SOUS-SEGMENT'!$D$115</f>
        <v>Temples protestants, évangéliques et salles de culte assimilées</v>
      </c>
      <c r="H50" s="787">
        <f>IFERROR('ANALYSE - ERP =&gt; SOUS-SEGMENT'!$HZ$115/'ANALYSE - ERP =&gt; SOUS-SEGMENT'!$HY$115,"")</f>
        <v>0.10724615384615385</v>
      </c>
      <c r="I50" s="787">
        <f>IFERROR('ANALYSE - ERP =&gt; SOUS-SEGMENT'!$IA$115/'ANALYSE - ERP =&gt; SOUS-SEGMENT'!$HY$115,"")</f>
        <v>0.54076153846153852</v>
      </c>
      <c r="J50" s="787">
        <f>IFERROR('ANALYSE - ERP =&gt; SOUS-SEGMENT'!$IB$115/'ANALYSE - ERP =&gt; SOUS-SEGMENT'!$HY$115,"")</f>
        <v>0.32585384615384616</v>
      </c>
      <c r="K50" s="787">
        <f>IFERROR('ANALYSE - ERP =&gt; SOUS-SEGMENT'!$IC$115/'ANALYSE - ERP =&gt; SOUS-SEGMENT'!$HY$115,"")</f>
        <v>2.6138461538461537E-2</v>
      </c>
      <c r="L50" s="787">
        <f>IFERROR('ANALYSE - ERP =&gt; SOUS-SEGMENT'!$ID$115/'ANALYSE - ERP =&gt; SOUS-SEGMENT'!$HY$115,"")</f>
        <v>0</v>
      </c>
      <c r="N50" s="787">
        <f>IFERROR('ANALYSE - ERP =&gt; SOUS-SEGMENT'!$IF$115/'ANALYSE - ERP =&gt; SOUS-SEGMENT'!$IE$115,"")</f>
        <v>9.3894460926287115E-2</v>
      </c>
      <c r="O50" s="787">
        <f>IFERROR('ANALYSE - ERP =&gt; SOUS-SEGMENT'!$IG$115/'ANALYSE - ERP =&gt; SOUS-SEGMENT'!$IE$115,"")</f>
        <v>0.52463499228602384</v>
      </c>
      <c r="P50" s="787">
        <f>IFERROR('ANALYSE - ERP =&gt; SOUS-SEGMENT'!$IH$115/'ANALYSE - ERP =&gt; SOUS-SEGMENT'!$IE$115,"")</f>
        <v>0.33824688725158414</v>
      </c>
      <c r="Q50" s="787">
        <f>IFERROR('ANALYSE - ERP =&gt; SOUS-SEGMENT'!$II$115/'ANALYSE - ERP =&gt; SOUS-SEGMENT'!$IE$115,"")</f>
        <v>4.0023659536105066E-2</v>
      </c>
      <c r="R50" s="787">
        <f>IFERROR('ANALYSE - ERP =&gt; SOUS-SEGMENT'!$IJ$115/'ANALYSE - ERP =&gt; SOUS-SEGMENT'!$IE$115,"")</f>
        <v>3.2000000000000002E-3</v>
      </c>
      <c r="T50" s="430">
        <f>'ANALYSE - ERP =&gt; SOUS-SEGMENT'!$Q$115</f>
        <v>1</v>
      </c>
    </row>
    <row r="51" spans="1:20" ht="15" customHeight="1">
      <c r="A51" s="26">
        <v>48</v>
      </c>
      <c r="B51" s="26">
        <v>63</v>
      </c>
      <c r="C51" s="422">
        <f>'ANALYSE - ERP =&gt; SOUS-SEGMENT'!$A$54</f>
        <v>47</v>
      </c>
      <c r="D51" s="413" t="str">
        <f>'ANALYSE - ERP =&gt; SOUS-SEGMENT'!$B$54</f>
        <v>Santé &amp; Médico-social</v>
      </c>
      <c r="E51" s="413" t="str">
        <f>'ANALYSE - ERP =&gt; SOUS-SEGMENT'!$C$54</f>
        <v>Santé ambulatoire</v>
      </c>
      <c r="F51" s="413" t="str">
        <f>'ANALYSE - ERP =&gt; SOUS-SEGMENT'!$D$54</f>
        <v>Maisons de santé</v>
      </c>
      <c r="H51" s="787">
        <f>IFERROR('ANALYSE - ERP =&gt; SOUS-SEGMENT'!$HZ$54/'ANALYSE - ERP =&gt; SOUS-SEGMENT'!$HY$54,"")</f>
        <v>0</v>
      </c>
      <c r="I51" s="787">
        <f>IFERROR('ANALYSE - ERP =&gt; SOUS-SEGMENT'!$IA$54/'ANALYSE - ERP =&gt; SOUS-SEGMENT'!$HY$54,"")</f>
        <v>0.1169</v>
      </c>
      <c r="J51" s="787">
        <f>IFERROR('ANALYSE - ERP =&gt; SOUS-SEGMENT'!$IB$54/'ANALYSE - ERP =&gt; SOUS-SEGMENT'!$HY$54,"")</f>
        <v>0.54956153846153855</v>
      </c>
      <c r="K51" s="787">
        <f>IFERROR('ANALYSE - ERP =&gt; SOUS-SEGMENT'!$IC$54/'ANALYSE - ERP =&gt; SOUS-SEGMENT'!$HY$54,"")</f>
        <v>0.30783076923076924</v>
      </c>
      <c r="L51" s="787">
        <f>IFERROR('ANALYSE - ERP =&gt; SOUS-SEGMENT'!$ID$54/'ANALYSE - ERP =&gt; SOUS-SEGMENT'!$HY$54,"")</f>
        <v>2.5707692307692306E-2</v>
      </c>
      <c r="N51" s="787">
        <f>IFERROR('ANALYSE - ERP =&gt; SOUS-SEGMENT'!$IF$54/'ANALYSE - ERP =&gt; SOUS-SEGMENT'!$IE$54,"")</f>
        <v>0</v>
      </c>
      <c r="O51" s="787">
        <f>IFERROR('ANALYSE - ERP =&gt; SOUS-SEGMENT'!$IG$54/'ANALYSE - ERP =&gt; SOUS-SEGMENT'!$IE$54,"")</f>
        <v>1.026417621898087E-2</v>
      </c>
      <c r="P51" s="787">
        <f>IFERROR('ANALYSE - ERP =&gt; SOUS-SEGMENT'!$IH$54/'ANALYSE - ERP =&gt; SOUS-SEGMENT'!$IE$54,"")</f>
        <v>0.32494133096379019</v>
      </c>
      <c r="Q51" s="787">
        <f>IFERROR('ANALYSE - ERP =&gt; SOUS-SEGMENT'!$II$54/'ANALYSE - ERP =&gt; SOUS-SEGMENT'!$IE$54,"")</f>
        <v>0.57562440840781381</v>
      </c>
      <c r="R51" s="787">
        <f>IFERROR('ANALYSE - ERP =&gt; SOUS-SEGMENT'!$IJ$54/'ANALYSE - ERP =&gt; SOUS-SEGMENT'!$IE$54,"")</f>
        <v>8.9170084409415221E-2</v>
      </c>
      <c r="T51" s="430">
        <f>'ANALYSE - ERP =&gt; SOUS-SEGMENT'!$Q$54</f>
        <v>1</v>
      </c>
    </row>
    <row r="52" spans="1:20" ht="15" customHeight="1">
      <c r="A52" s="26">
        <v>49</v>
      </c>
      <c r="B52" s="26">
        <v>47</v>
      </c>
      <c r="C52" s="422">
        <f>'ANALYSE - ERP =&gt; SOUS-SEGMENT'!$A$60</f>
        <v>53</v>
      </c>
      <c r="D52" s="411" t="str">
        <f>'ANALYSE - ERP =&gt; SOUS-SEGMENT'!$B$60</f>
        <v>Santé &amp; Médico-social</v>
      </c>
      <c r="E52" s="411" t="str">
        <f>'ANALYSE - ERP =&gt; SOUS-SEGMENT'!$C$60</f>
        <v>Médico-social</v>
      </c>
      <c r="F52" s="411" t="str">
        <f>'ANALYSE - ERP =&gt; SOUS-SEGMENT'!$D$60</f>
        <v>Résidences autonomie
Foyers-logements
(Public)</v>
      </c>
      <c r="H52" s="787">
        <f>IFERROR('ANALYSE - ERP =&gt; SOUS-SEGMENT'!$HZ$60/'ANALYSE - ERP =&gt; SOUS-SEGMENT'!$HY$60,"")</f>
        <v>9.4999999999999989E-4</v>
      </c>
      <c r="I52" s="787">
        <f>IFERROR('ANALYSE - ERP =&gt; SOUS-SEGMENT'!$IA$60/'ANALYSE - ERP =&gt; SOUS-SEGMENT'!$HY$60,"")</f>
        <v>0.19146249999999998</v>
      </c>
      <c r="J52" s="787">
        <f>IFERROR('ANALYSE - ERP =&gt; SOUS-SEGMENT'!$IB$60/'ANALYSE - ERP =&gt; SOUS-SEGMENT'!$HY$60,"")</f>
        <v>0.55326874999999998</v>
      </c>
      <c r="K52" s="787">
        <f>IFERROR('ANALYSE - ERP =&gt; SOUS-SEGMENT'!$IC$60/'ANALYSE - ERP =&gt; SOUS-SEGMENT'!$HY$60,"")</f>
        <v>0.24116874999999999</v>
      </c>
      <c r="L52" s="787">
        <f>IFERROR('ANALYSE - ERP =&gt; SOUS-SEGMENT'!$ID$60/'ANALYSE - ERP =&gt; SOUS-SEGMENT'!$HY$60,"")</f>
        <v>1.315E-2</v>
      </c>
      <c r="N52" s="787">
        <f>IFERROR('ANALYSE - ERP =&gt; SOUS-SEGMENT'!$IF$60/'ANALYSE - ERP =&gt; SOUS-SEGMENT'!$IE$60,"")</f>
        <v>0</v>
      </c>
      <c r="O52" s="787">
        <f>IFERROR('ANALYSE - ERP =&gt; SOUS-SEGMENT'!$IG$60/'ANALYSE - ERP =&gt; SOUS-SEGMENT'!$IE$60,"")</f>
        <v>0.11395743406984665</v>
      </c>
      <c r="P52" s="787">
        <f>IFERROR('ANALYSE - ERP =&gt; SOUS-SEGMENT'!$IH$60/'ANALYSE - ERP =&gt; SOUS-SEGMENT'!$IE$60,"")</f>
        <v>0.52531752215674477</v>
      </c>
      <c r="Q52" s="787">
        <f>IFERROR('ANALYSE - ERP =&gt; SOUS-SEGMENT'!$II$60/'ANALYSE - ERP =&gt; SOUS-SEGMENT'!$IE$60,"")</f>
        <v>0.33251393289180614</v>
      </c>
      <c r="R52" s="787">
        <f>IFERROR('ANALYSE - ERP =&gt; SOUS-SEGMENT'!$IJ$60/'ANALYSE - ERP =&gt; SOUS-SEGMENT'!$IE$60,"")</f>
        <v>2.8211110881602611E-2</v>
      </c>
      <c r="T52" s="430">
        <f>'ANALYSE - ERP =&gt; SOUS-SEGMENT'!$Q$60</f>
        <v>1</v>
      </c>
    </row>
    <row r="53" spans="1:20" ht="15" customHeight="1">
      <c r="A53" s="26">
        <v>50</v>
      </c>
      <c r="B53" s="26">
        <v>50</v>
      </c>
      <c r="C53" s="422">
        <f>'ANALYSE - ERP =&gt; SOUS-SEGMENT'!$A$42</f>
        <v>35</v>
      </c>
      <c r="D53" s="411" t="str">
        <f>'ANALYSE - ERP =&gt; SOUS-SEGMENT'!$B$42</f>
        <v>Sports &amp; Loisirs</v>
      </c>
      <c r="E53" s="411" t="str">
        <f>'ANALYSE - ERP =&gt; SOUS-SEGMENT'!$C$42</f>
        <v>Loisirs</v>
      </c>
      <c r="F53" s="411" t="str">
        <f>'ANALYSE - ERP =&gt; SOUS-SEGMENT'!$D$42</f>
        <v>Discothèques / Salles de danse</v>
      </c>
      <c r="H53" s="787">
        <f>IFERROR('ANALYSE - ERP =&gt; SOUS-SEGMENT'!$HZ$42/'ANALYSE - ERP =&gt; SOUS-SEGMENT'!$HY$42,"")</f>
        <v>1.2103703703703705E-2</v>
      </c>
      <c r="I53" s="787">
        <f>IFERROR('ANALYSE - ERP =&gt; SOUS-SEGMENT'!$IA$42/'ANALYSE - ERP =&gt; SOUS-SEGMENT'!$HY$42,"")</f>
        <v>0.3116666666666667</v>
      </c>
      <c r="J53" s="787">
        <f>IFERROR('ANALYSE - ERP =&gt; SOUS-SEGMENT'!$IB$42/'ANALYSE - ERP =&gt; SOUS-SEGMENT'!$HY$42,"")</f>
        <v>0.49452222222222231</v>
      </c>
      <c r="K53" s="787">
        <f>IFERROR('ANALYSE - ERP =&gt; SOUS-SEGMENT'!$IC$42/'ANALYSE - ERP =&gt; SOUS-SEGMENT'!$HY$42,"")</f>
        <v>0.1662703703703704</v>
      </c>
      <c r="L53" s="787">
        <f>IFERROR('ANALYSE - ERP =&gt; SOUS-SEGMENT'!$ID$42/'ANALYSE - ERP =&gt; SOUS-SEGMENT'!$HY$42,"")</f>
        <v>1.5437037037037039E-2</v>
      </c>
      <c r="N53" s="787">
        <f>IFERROR('ANALYSE - ERP =&gt; SOUS-SEGMENT'!$IF$42/'ANALYSE - ERP =&gt; SOUS-SEGMENT'!$IE$42,"")</f>
        <v>0</v>
      </c>
      <c r="O53" s="787">
        <f>IFERROR('ANALYSE - ERP =&gt; SOUS-SEGMENT'!$IG$42/'ANALYSE - ERP =&gt; SOUS-SEGMENT'!$IE$42,"")</f>
        <v>0.27446630578715919</v>
      </c>
      <c r="P53" s="787">
        <f>IFERROR('ANALYSE - ERP =&gt; SOUS-SEGMENT'!$IH$42/'ANALYSE - ERP =&gt; SOUS-SEGMENT'!$IE$42,"")</f>
        <v>0.51386201457313274</v>
      </c>
      <c r="Q53" s="787">
        <f>IFERROR('ANALYSE - ERP =&gt; SOUS-SEGMENT'!$II$42/'ANALYSE - ERP =&gt; SOUS-SEGMENT'!$IE$42,"")</f>
        <v>0.19047664758149097</v>
      </c>
      <c r="R53" s="787">
        <f>IFERROR('ANALYSE - ERP =&gt; SOUS-SEGMENT'!$IJ$42/'ANALYSE - ERP =&gt; SOUS-SEGMENT'!$IE$42,"")</f>
        <v>2.1195032058216996E-2</v>
      </c>
      <c r="T53" s="430">
        <f>'ANALYSE - ERP =&gt; SOUS-SEGMENT'!$Q$42</f>
        <v>1</v>
      </c>
    </row>
    <row r="54" spans="1:20" ht="15" customHeight="1">
      <c r="A54" s="26">
        <v>51</v>
      </c>
      <c r="B54" s="26">
        <v>51</v>
      </c>
      <c r="C54" s="422">
        <f>'ANALYSE - ERP =&gt; SOUS-SEGMENT'!$A$51</f>
        <v>44</v>
      </c>
      <c r="D54" s="417" t="str">
        <f>'ANALYSE - ERP =&gt; SOUS-SEGMENT'!$B$51</f>
        <v>Santé &amp; Médico-social</v>
      </c>
      <c r="E54" s="417" t="str">
        <f>'ANALYSE - ERP =&gt; SOUS-SEGMENT'!$C$51</f>
        <v>Santé spécialisée</v>
      </c>
      <c r="F54" s="417" t="str">
        <f>'ANALYSE - ERP =&gt; SOUS-SEGMENT'!$D$51</f>
        <v>Maternités</v>
      </c>
      <c r="H54" s="787">
        <f>IFERROR('ANALYSE - ERP =&gt; SOUS-SEGMENT'!$HZ$51/'ANALYSE - ERP =&gt; SOUS-SEGMENT'!$HY$51,"")</f>
        <v>0</v>
      </c>
      <c r="I54" s="787">
        <f>IFERROR('ANALYSE - ERP =&gt; SOUS-SEGMENT'!$IA$51/'ANALYSE - ERP =&gt; SOUS-SEGMENT'!$HY$51,"")</f>
        <v>7.0331645569620252E-2</v>
      </c>
      <c r="J54" s="787">
        <f>IFERROR('ANALYSE - ERP =&gt; SOUS-SEGMENT'!$IB$51/'ANALYSE - ERP =&gt; SOUS-SEGMENT'!$HY$51,"")</f>
        <v>0.55879367088607601</v>
      </c>
      <c r="K54" s="787">
        <f>IFERROR('ANALYSE - ERP =&gt; SOUS-SEGMENT'!$IC$51/'ANALYSE - ERP =&gt; SOUS-SEGMENT'!$HY$51,"")</f>
        <v>0.37087468354430381</v>
      </c>
      <c r="L54" s="787">
        <f>IFERROR('ANALYSE - ERP =&gt; SOUS-SEGMENT'!$ID$51/'ANALYSE - ERP =&gt; SOUS-SEGMENT'!$HY$51,"")</f>
        <v>0</v>
      </c>
      <c r="N54" s="787">
        <f>IFERROR('ANALYSE - ERP =&gt; SOUS-SEGMENT'!$IF$51/'ANALYSE - ERP =&gt; SOUS-SEGMENT'!$IE$51,"")</f>
        <v>0</v>
      </c>
      <c r="O54" s="787">
        <f>IFERROR('ANALYSE - ERP =&gt; SOUS-SEGMENT'!$IG$51/'ANALYSE - ERP =&gt; SOUS-SEGMENT'!$IE$51,"")</f>
        <v>9.9335762339228147E-3</v>
      </c>
      <c r="P54" s="787">
        <f>IFERROR('ANALYSE - ERP =&gt; SOUS-SEGMENT'!$IH$51/'ANALYSE - ERP =&gt; SOUS-SEGMENT'!$IE$51,"")</f>
        <v>0.46948470447917007</v>
      </c>
      <c r="Q54" s="787">
        <f>IFERROR('ANALYSE - ERP =&gt; SOUS-SEGMENT'!$II$51/'ANALYSE - ERP =&gt; SOUS-SEGMENT'!$IE$51,"")</f>
        <v>0.49473430702924753</v>
      </c>
      <c r="R54" s="787">
        <f>IFERROR('ANALYSE - ERP =&gt; SOUS-SEGMENT'!$IJ$51/'ANALYSE - ERP =&gt; SOUS-SEGMENT'!$IE$51,"")</f>
        <v>2.5847412257659515E-2</v>
      </c>
      <c r="T54" s="430">
        <f>'ANALYSE - ERP =&gt; SOUS-SEGMENT'!$Q$51</f>
        <v>0</v>
      </c>
    </row>
    <row r="55" spans="1:20" ht="15" customHeight="1">
      <c r="A55" s="26">
        <v>52</v>
      </c>
      <c r="B55" s="26">
        <v>53</v>
      </c>
      <c r="C55" s="422">
        <f>'ANALYSE - ERP =&gt; SOUS-SEGMENT'!$A$30</f>
        <v>23</v>
      </c>
      <c r="D55" s="417" t="str">
        <f>'ANALYSE - ERP =&gt; SOUS-SEGMENT'!$B$30</f>
        <v>Sports &amp; Loisirs</v>
      </c>
      <c r="E55" s="417" t="str">
        <f>'ANALYSE - ERP =&gt; SOUS-SEGMENT'!$C$30</f>
        <v>Sport de plein air</v>
      </c>
      <c r="F55" s="417" t="str">
        <f>'ANALYSE - ERP =&gt; SOUS-SEGMENT'!$D$30</f>
        <v>Hippodromes, Centres équestres &amp; Manèges couverts</v>
      </c>
      <c r="H55" s="787">
        <f>IFERROR('ANALYSE - ERP =&gt; SOUS-SEGMENT'!$HZ$30/'ANALYSE - ERP =&gt; SOUS-SEGMENT'!$HY$30,"")</f>
        <v>0.16947826086956522</v>
      </c>
      <c r="I55" s="787">
        <f>IFERROR('ANALYSE - ERP =&gt; SOUS-SEGMENT'!$IA$30/'ANALYSE - ERP =&gt; SOUS-SEGMENT'!$HY$30,"")</f>
        <v>0.57759565217391307</v>
      </c>
      <c r="J55" s="787">
        <f>IFERROR('ANALYSE - ERP =&gt; SOUS-SEGMENT'!$IB$30/'ANALYSE - ERP =&gt; SOUS-SEGMENT'!$HY$30,"")</f>
        <v>0.23610434782608697</v>
      </c>
      <c r="K55" s="787">
        <f>IFERROR('ANALYSE - ERP =&gt; SOUS-SEGMENT'!$IC$30/'ANALYSE - ERP =&gt; SOUS-SEGMENT'!$HY$30,"")</f>
        <v>1.6821739130434783E-2</v>
      </c>
      <c r="L55" s="787">
        <f>IFERROR('ANALYSE - ERP =&gt; SOUS-SEGMENT'!$ID$30/'ANALYSE - ERP =&gt; SOUS-SEGMENT'!$HY$30,"")</f>
        <v>0</v>
      </c>
      <c r="N55" s="787">
        <f>IFERROR('ANALYSE - ERP =&gt; SOUS-SEGMENT'!$IF$30/'ANALYSE - ERP =&gt; SOUS-SEGMENT'!$IE$30,"")</f>
        <v>0.15191354056642856</v>
      </c>
      <c r="O55" s="787">
        <f>IFERROR('ANALYSE - ERP =&gt; SOUS-SEGMENT'!$IG$30/'ANALYSE - ERP =&gt; SOUS-SEGMENT'!$IE$30,"")</f>
        <v>0.5563215190800368</v>
      </c>
      <c r="P55" s="787">
        <f>IFERROR('ANALYSE - ERP =&gt; SOUS-SEGMENT'!$IH$30/'ANALYSE - ERP =&gt; SOUS-SEGMENT'!$IE$30,"")</f>
        <v>0.25337453072405036</v>
      </c>
      <c r="Q55" s="787">
        <f>IFERROR('ANALYSE - ERP =&gt; SOUS-SEGMENT'!$II$30/'ANALYSE - ERP =&gt; SOUS-SEGMENT'!$IE$30,"")</f>
        <v>3.4390409629484253E-2</v>
      </c>
      <c r="R55" s="787">
        <f>IFERROR('ANALYSE - ERP =&gt; SOUS-SEGMENT'!$IJ$30/'ANALYSE - ERP =&gt; SOUS-SEGMENT'!$IE$30,"")</f>
        <v>3.9999999999999992E-3</v>
      </c>
      <c r="T55" s="430">
        <f>'ANALYSE - ERP =&gt; SOUS-SEGMENT'!$Q$30</f>
        <v>1</v>
      </c>
    </row>
    <row r="56" spans="1:20" ht="15" customHeight="1">
      <c r="A56" s="26">
        <v>53</v>
      </c>
      <c r="B56" s="26">
        <v>54</v>
      </c>
      <c r="C56" s="422">
        <f>'ANALYSE - ERP =&gt; SOUS-SEGMENT'!$A$70</f>
        <v>63</v>
      </c>
      <c r="D56" s="413" t="str">
        <f>'ANALYSE - ERP =&gt; SOUS-SEGMENT'!$B$70</f>
        <v>Culture, Patrimoine &amp; Evénementiel</v>
      </c>
      <c r="E56" s="413" t="str">
        <f>'ANALYSE - ERP =&gt; SOUS-SEGMENT'!$C$70</f>
        <v>Expositions / salons</v>
      </c>
      <c r="F56" s="413" t="str">
        <f>'ANALYSE - ERP =&gt; SOUS-SEGMENT'!$D$70</f>
        <v>Foires / Salons</v>
      </c>
      <c r="H56" s="787">
        <f>IFERROR('ANALYSE - ERP =&gt; SOUS-SEGMENT'!$HZ$70/'ANALYSE - ERP =&gt; SOUS-SEGMENT'!$HY$70,"")</f>
        <v>4.9523809523809525E-4</v>
      </c>
      <c r="I56" s="787">
        <f>IFERROR('ANALYSE - ERP =&gt; SOUS-SEGMENT'!$IA$70/'ANALYSE - ERP =&gt; SOUS-SEGMENT'!$HY$70,"")</f>
        <v>0.15548571428571434</v>
      </c>
      <c r="J56" s="787">
        <f>IFERROR('ANALYSE - ERP =&gt; SOUS-SEGMENT'!$IB$70/'ANALYSE - ERP =&gt; SOUS-SEGMENT'!$HY$70,"")</f>
        <v>0.49028730158730166</v>
      </c>
      <c r="K56" s="787">
        <f>IFERROR('ANALYSE - ERP =&gt; SOUS-SEGMENT'!$IC$70/'ANALYSE - ERP =&gt; SOUS-SEGMENT'!$HY$70,"")</f>
        <v>0.31394285714285713</v>
      </c>
      <c r="L56" s="787">
        <f>IFERROR('ANALYSE - ERP =&gt; SOUS-SEGMENT'!$ID$70/'ANALYSE - ERP =&gt; SOUS-SEGMENT'!$HY$70,"")</f>
        <v>3.9788888888888888E-2</v>
      </c>
      <c r="N56" s="787">
        <f>IFERROR('ANALYSE - ERP =&gt; SOUS-SEGMENT'!$IF$70/'ANALYSE - ERP =&gt; SOUS-SEGMENT'!$IE$70,"")</f>
        <v>0</v>
      </c>
      <c r="O56" s="787">
        <f>IFERROR('ANALYSE - ERP =&gt; SOUS-SEGMENT'!$IG$70/'ANALYSE - ERP =&gt; SOUS-SEGMENT'!$IE$70,"")</f>
        <v>6.8874390942263705E-2</v>
      </c>
      <c r="P56" s="787">
        <f>IFERROR('ANALYSE - ERP =&gt; SOUS-SEGMENT'!$IH$70/'ANALYSE - ERP =&gt; SOUS-SEGMENT'!$IE$70,"")</f>
        <v>0.41403046567903429</v>
      </c>
      <c r="Q56" s="787">
        <f>IFERROR('ANALYSE - ERP =&gt; SOUS-SEGMENT'!$II$70/'ANALYSE - ERP =&gt; SOUS-SEGMENT'!$IE$70,"")</f>
        <v>0.42676045985753103</v>
      </c>
      <c r="R56" s="787">
        <f>IFERROR('ANALYSE - ERP =&gt; SOUS-SEGMENT'!$IJ$70/'ANALYSE - ERP =&gt; SOUS-SEGMENT'!$IE$70,"")</f>
        <v>9.0334683521171105E-2</v>
      </c>
      <c r="T56" s="430">
        <f>'ANALYSE - ERP =&gt; SOUS-SEGMENT'!$Q$70</f>
        <v>1</v>
      </c>
    </row>
    <row r="57" spans="1:20" ht="15" customHeight="1">
      <c r="A57" s="26">
        <v>54</v>
      </c>
      <c r="B57" s="26">
        <v>48</v>
      </c>
      <c r="C57" s="422">
        <f>'ANALYSE - ERP =&gt; SOUS-SEGMENT'!$A$31</f>
        <v>24</v>
      </c>
      <c r="D57" s="417" t="str">
        <f>'ANALYSE - ERP =&gt; SOUS-SEGMENT'!$B$31</f>
        <v>Sports &amp; Loisirs</v>
      </c>
      <c r="E57" s="417" t="str">
        <f>'ANALYSE - ERP =&gt; SOUS-SEGMENT'!$C$31</f>
        <v>Sport de plein air</v>
      </c>
      <c r="F57" s="417" t="str">
        <f>'ANALYSE - ERP =&gt; SOUS-SEGMENT'!$D$31</f>
        <v>Piscines extérieures 
(Hors campings, hôtels, résidences et établissement avec bassin intérieur)</v>
      </c>
      <c r="H57" s="787">
        <f>IFERROR('ANALYSE - ERP =&gt; SOUS-SEGMENT'!$HZ$31/'ANALYSE - ERP =&gt; SOUS-SEGMENT'!$HY$31,"")</f>
        <v>0.20970416666666661</v>
      </c>
      <c r="I57" s="787">
        <f>IFERROR('ANALYSE - ERP =&gt; SOUS-SEGMENT'!$IA$31/'ANALYSE - ERP =&gt; SOUS-SEGMENT'!$HY$31,"")</f>
        <v>0.62236249999999993</v>
      </c>
      <c r="J57" s="787">
        <f>IFERROR('ANALYSE - ERP =&gt; SOUS-SEGMENT'!$IB$31/'ANALYSE - ERP =&gt; SOUS-SEGMENT'!$HY$31,"")</f>
        <v>0.1679333333333333</v>
      </c>
      <c r="K57" s="787">
        <f>IFERROR('ANALYSE - ERP =&gt; SOUS-SEGMENT'!$IC$31/'ANALYSE - ERP =&gt; SOUS-SEGMENT'!$HY$31,"")</f>
        <v>0</v>
      </c>
      <c r="L57" s="787">
        <f>IFERROR('ANALYSE - ERP =&gt; SOUS-SEGMENT'!$ID$31/'ANALYSE - ERP =&gt; SOUS-SEGMENT'!$HY$31,"")</f>
        <v>0</v>
      </c>
      <c r="N57" s="787">
        <f>IFERROR('ANALYSE - ERP =&gt; SOUS-SEGMENT'!$IF$31/'ANALYSE - ERP =&gt; SOUS-SEGMENT'!$IE$31,"")</f>
        <v>0.11034262681067539</v>
      </c>
      <c r="O57" s="787">
        <f>IFERROR('ANALYSE - ERP =&gt; SOUS-SEGMENT'!$IG$31/'ANALYSE - ERP =&gt; SOUS-SEGMENT'!$IE$31,"")</f>
        <v>0.60137785055046145</v>
      </c>
      <c r="P57" s="787">
        <f>IFERROR('ANALYSE - ERP =&gt; SOUS-SEGMENT'!$IH$31/'ANALYSE - ERP =&gt; SOUS-SEGMENT'!$IE$31,"")</f>
        <v>0.28827952263886303</v>
      </c>
      <c r="Q57" s="787">
        <f>IFERROR('ANALYSE - ERP =&gt; SOUS-SEGMENT'!$II$31/'ANALYSE - ERP =&gt; SOUS-SEGMENT'!$IE$31,"")</f>
        <v>0</v>
      </c>
      <c r="R57" s="787">
        <f>IFERROR('ANALYSE - ERP =&gt; SOUS-SEGMENT'!$IJ$31/'ANALYSE - ERP =&gt; SOUS-SEGMENT'!$IE$31,"")</f>
        <v>0</v>
      </c>
      <c r="T57" s="430">
        <f>'ANALYSE - ERP =&gt; SOUS-SEGMENT'!$Q$31</f>
        <v>1</v>
      </c>
    </row>
    <row r="58" spans="1:20" ht="15" customHeight="1">
      <c r="A58" s="26">
        <v>55</v>
      </c>
      <c r="B58" s="26">
        <v>64</v>
      </c>
      <c r="C58" s="422">
        <f>'ANALYSE - ERP =&gt; SOUS-SEGMENT'!$A$61</f>
        <v>54</v>
      </c>
      <c r="D58" s="417" t="str">
        <f>'ANALYSE - ERP =&gt; SOUS-SEGMENT'!$B$61</f>
        <v>Santé &amp; Médico-social</v>
      </c>
      <c r="E58" s="417" t="str">
        <f>'ANALYSE - ERP =&gt; SOUS-SEGMENT'!$C$61</f>
        <v>Médico-social</v>
      </c>
      <c r="F58" s="417" t="str">
        <f>'ANALYSE - ERP =&gt; SOUS-SEGMENT'!$D$61</f>
        <v>Résidences services seniors
(Privé)</v>
      </c>
      <c r="H58" s="787">
        <f>IFERROR('ANALYSE - ERP =&gt; SOUS-SEGMENT'!$HZ$61/'ANALYSE - ERP =&gt; SOUS-SEGMENT'!$HY$61,"")</f>
        <v>0</v>
      </c>
      <c r="I58" s="787">
        <f>IFERROR('ANALYSE - ERP =&gt; SOUS-SEGMENT'!$IA$61/'ANALYSE - ERP =&gt; SOUS-SEGMENT'!$HY$61,"")</f>
        <v>5.2444444444444431E-3</v>
      </c>
      <c r="J58" s="787">
        <f>IFERROR('ANALYSE - ERP =&gt; SOUS-SEGMENT'!$IB$61/'ANALYSE - ERP =&gt; SOUS-SEGMENT'!$HY$61,"")</f>
        <v>0.40443333333333331</v>
      </c>
      <c r="K58" s="787">
        <f>IFERROR('ANALYSE - ERP =&gt; SOUS-SEGMENT'!$IC$61/'ANALYSE - ERP =&gt; SOUS-SEGMENT'!$HY$61,"")</f>
        <v>0.49265555555555551</v>
      </c>
      <c r="L58" s="787">
        <f>IFERROR('ANALYSE - ERP =&gt; SOUS-SEGMENT'!$ID$61/'ANALYSE - ERP =&gt; SOUS-SEGMENT'!$HY$61,"")</f>
        <v>9.7666666666666652E-2</v>
      </c>
      <c r="N58" s="787">
        <f>IFERROR('ANALYSE - ERP =&gt; SOUS-SEGMENT'!$IF$61/'ANALYSE - ERP =&gt; SOUS-SEGMENT'!$IE$61,"")</f>
        <v>0</v>
      </c>
      <c r="O58" s="787">
        <f>IFERROR('ANALYSE - ERP =&gt; SOUS-SEGMENT'!$IG$61/'ANALYSE - ERP =&gt; SOUS-SEGMENT'!$IE$61,"")</f>
        <v>0</v>
      </c>
      <c r="P58" s="787">
        <f>IFERROR('ANALYSE - ERP =&gt; SOUS-SEGMENT'!$IH$61/'ANALYSE - ERP =&gt; SOUS-SEGMENT'!$IE$61,"")</f>
        <v>0.23023926235944234</v>
      </c>
      <c r="Q58" s="787">
        <f>IFERROR('ANALYSE - ERP =&gt; SOUS-SEGMENT'!$II$61/'ANALYSE - ERP =&gt; SOUS-SEGMENT'!$IE$61,"")</f>
        <v>0.62976073764055762</v>
      </c>
      <c r="R58" s="787">
        <f>IFERROR('ANALYSE - ERP =&gt; SOUS-SEGMENT'!$IJ$61/'ANALYSE - ERP =&gt; SOUS-SEGMENT'!$IE$61,"")</f>
        <v>0.14000000000000001</v>
      </c>
      <c r="T58" s="430">
        <f>'ANALYSE - ERP =&gt; SOUS-SEGMENT'!$Q$61</f>
        <v>1</v>
      </c>
    </row>
    <row r="59" spans="1:20" ht="15" customHeight="1">
      <c r="A59" s="26">
        <v>56</v>
      </c>
      <c r="B59" s="26">
        <v>52</v>
      </c>
      <c r="C59" s="422">
        <f>'ANALYSE - ERP =&gt; SOUS-SEGMENT'!$A$16</f>
        <v>9</v>
      </c>
      <c r="D59" s="417" t="str">
        <f>'ANALYSE - ERP =&gt; SOUS-SEGMENT'!$B$16</f>
        <v>Enfance, Enseignement, Jeunesse &amp; Formation</v>
      </c>
      <c r="E59" s="417" t="str">
        <f>'ANALYSE - ERP =&gt; SOUS-SEGMENT'!$C$16</f>
        <v>Enseignement supérieur</v>
      </c>
      <c r="F59" s="417" t="str">
        <f>'ANALYSE - ERP =&gt; SOUS-SEGMENT'!$D$16</f>
        <v>Universités</v>
      </c>
      <c r="H59" s="787">
        <f>IFERROR('ANALYSE - ERP =&gt; SOUS-SEGMENT'!$HZ$16/'ANALYSE - ERP =&gt; SOUS-SEGMENT'!$HY$16,"")</f>
        <v>2.6700000000000002E-2</v>
      </c>
      <c r="I59" s="787">
        <f>IFERROR('ANALYSE - ERP =&gt; SOUS-SEGMENT'!$IA$16/'ANALYSE - ERP =&gt; SOUS-SEGMENT'!$HY$16,"")</f>
        <v>0.38189583952451711</v>
      </c>
      <c r="J59" s="787">
        <f>IFERROR('ANALYSE - ERP =&gt; SOUS-SEGMENT'!$IB$16/'ANALYSE - ERP =&gt; SOUS-SEGMENT'!$HY$16,"")</f>
        <v>0.48421530460624074</v>
      </c>
      <c r="K59" s="787">
        <f>IFERROR('ANALYSE - ERP =&gt; SOUS-SEGMENT'!$IC$16/'ANALYSE - ERP =&gt; SOUS-SEGMENT'!$HY$16,"")</f>
        <v>0.10529346210995542</v>
      </c>
      <c r="L59" s="787">
        <f>IFERROR('ANALYSE - ERP =&gt; SOUS-SEGMENT'!$ID$16/'ANALYSE - ERP =&gt; SOUS-SEGMENT'!$HY$16,"")</f>
        <v>1.8953937592867756E-3</v>
      </c>
      <c r="N59" s="787">
        <f>IFERROR('ANALYSE - ERP =&gt; SOUS-SEGMENT'!$IF$16/'ANALYSE - ERP =&gt; SOUS-SEGMENT'!$IE$16,"")</f>
        <v>0</v>
      </c>
      <c r="O59" s="787">
        <f>IFERROR('ANALYSE - ERP =&gt; SOUS-SEGMENT'!$IG$16/'ANALYSE - ERP =&gt; SOUS-SEGMENT'!$IE$16,"")</f>
        <v>0.1909578008915305</v>
      </c>
      <c r="P59" s="787">
        <f>IFERROR('ANALYSE - ERP =&gt; SOUS-SEGMENT'!$IH$16/'ANALYSE - ERP =&gt; SOUS-SEGMENT'!$IE$16,"")</f>
        <v>0.56169628528974747</v>
      </c>
      <c r="Q59" s="787">
        <f>IFERROR('ANALYSE - ERP =&gt; SOUS-SEGMENT'!$II$16/'ANALYSE - ERP =&gt; SOUS-SEGMENT'!$IE$16,"")</f>
        <v>0.23574442793462111</v>
      </c>
      <c r="R59" s="787">
        <f>IFERROR('ANALYSE - ERP =&gt; SOUS-SEGMENT'!$IJ$16/'ANALYSE - ERP =&gt; SOUS-SEGMENT'!$IE$16,"")</f>
        <v>1.1601485884101041E-2</v>
      </c>
      <c r="T59" s="430">
        <f>'ANALYSE - ERP =&gt; SOUS-SEGMENT'!$Q$16</f>
        <v>1</v>
      </c>
    </row>
    <row r="60" spans="1:20" ht="15" customHeight="1">
      <c r="A60" s="26">
        <v>57</v>
      </c>
      <c r="B60" s="26">
        <v>56</v>
      </c>
      <c r="C60" s="422">
        <f>'ANALYSE - ERP =&gt; SOUS-SEGMENT'!$A$123</f>
        <v>116</v>
      </c>
      <c r="D60" s="417" t="str">
        <f>'ANALYSE - ERP =&gt; SOUS-SEGMENT'!$B$123</f>
        <v>Transport, Mobilité &amp; Stationnement</v>
      </c>
      <c r="E60" s="417" t="str">
        <f>'ANALYSE - ERP =&gt; SOUS-SEGMENT'!$C$123</f>
        <v>Transport / Mobilité</v>
      </c>
      <c r="F60" s="417" t="str">
        <f>'ANALYSE - ERP =&gt; SOUS-SEGMENT'!$D$123</f>
        <v>Parcs de stationnement couverts (dotés de sanitaires)</v>
      </c>
      <c r="H60" s="787">
        <f>IFERROR('ANALYSE - ERP =&gt; SOUS-SEGMENT'!$HZ$123/'ANALYSE - ERP =&gt; SOUS-SEGMENT'!$HY$123,"")</f>
        <v>5.5688888888888885E-2</v>
      </c>
      <c r="I60" s="787">
        <f>IFERROR('ANALYSE - ERP =&gt; SOUS-SEGMENT'!$IA$123/'ANALYSE - ERP =&gt; SOUS-SEGMENT'!$HY$123,"")</f>
        <v>0.491111111111111</v>
      </c>
      <c r="J60" s="787">
        <f>IFERROR('ANALYSE - ERP =&gt; SOUS-SEGMENT'!$IB$123/'ANALYSE - ERP =&gt; SOUS-SEGMENT'!$HY$123,"")</f>
        <v>0.39366666666666661</v>
      </c>
      <c r="K60" s="787">
        <f>IFERROR('ANALYSE - ERP =&gt; SOUS-SEGMENT'!$IC$123/'ANALYSE - ERP =&gt; SOUS-SEGMENT'!$HY$123,"")</f>
        <v>5.1799999999999985E-2</v>
      </c>
      <c r="L60" s="787">
        <f>IFERROR('ANALYSE - ERP =&gt; SOUS-SEGMENT'!$ID$123/'ANALYSE - ERP =&gt; SOUS-SEGMENT'!$HY$123,"")</f>
        <v>7.7333333333333316E-3</v>
      </c>
      <c r="N60" s="787">
        <f>IFERROR('ANALYSE - ERP =&gt; SOUS-SEGMENT'!$IF$123/'ANALYSE - ERP =&gt; SOUS-SEGMENT'!$IE$123,"")</f>
        <v>3.5578478845720359E-2</v>
      </c>
      <c r="O60" s="787">
        <f>IFERROR('ANALYSE - ERP =&gt; SOUS-SEGMENT'!$IG$123/'ANALYSE - ERP =&gt; SOUS-SEGMENT'!$IE$123,"")</f>
        <v>0.46771455531610062</v>
      </c>
      <c r="P60" s="787">
        <f>IFERROR('ANALYSE - ERP =&gt; SOUS-SEGMENT'!$IH$123/'ANALYSE - ERP =&gt; SOUS-SEGMENT'!$IE$123,"")</f>
        <v>0.41262280506896443</v>
      </c>
      <c r="Q60" s="787">
        <f>IFERROR('ANALYSE - ERP =&gt; SOUS-SEGMENT'!$II$123/'ANALYSE - ERP =&gt; SOUS-SEGMENT'!$IE$123,"")</f>
        <v>7.1877022688414893E-2</v>
      </c>
      <c r="R60" s="787">
        <f>IFERROR('ANALYSE - ERP =&gt; SOUS-SEGMENT'!$IJ$123/'ANALYSE - ERP =&gt; SOUS-SEGMENT'!$IE$123,"")</f>
        <v>1.2207138080799675E-2</v>
      </c>
      <c r="T60" s="430">
        <f>'ANALYSE - ERP =&gt; SOUS-SEGMENT'!$Q$123</f>
        <v>1</v>
      </c>
    </row>
    <row r="61" spans="1:20" ht="15" customHeight="1">
      <c r="A61" s="26">
        <v>58</v>
      </c>
      <c r="B61" s="26">
        <v>55</v>
      </c>
      <c r="C61" s="422">
        <f>'ANALYSE - ERP =&gt; SOUS-SEGMENT'!$A$43</f>
        <v>36</v>
      </c>
      <c r="D61" s="417" t="str">
        <f>'ANALYSE - ERP =&gt; SOUS-SEGMENT'!$B$43</f>
        <v>Santé &amp; Médico-social</v>
      </c>
      <c r="E61" s="417" t="str">
        <f>'ANALYSE - ERP =&gt; SOUS-SEGMENT'!$C$43</f>
        <v>Santé hospitalière</v>
      </c>
      <c r="F61" s="417" t="str">
        <f>'ANALYSE - ERP =&gt; SOUS-SEGMENT'!$D$43</f>
        <v>Hôpitaux universitaires / CHU</v>
      </c>
      <c r="H61" s="787">
        <f>IFERROR('ANALYSE - ERP =&gt; SOUS-SEGMENT'!$HZ$43/'ANALYSE - ERP =&gt; SOUS-SEGMENT'!$HY$43,"")</f>
        <v>7.7304964539007099E-5</v>
      </c>
      <c r="I61" s="787">
        <f>IFERROR('ANALYSE - ERP =&gt; SOUS-SEGMENT'!$IA$43/'ANALYSE - ERP =&gt; SOUS-SEGMENT'!$HY$43,"")</f>
        <v>0.2583583924349882</v>
      </c>
      <c r="J61" s="787">
        <f>IFERROR('ANALYSE - ERP =&gt; SOUS-SEGMENT'!$IB$43/'ANALYSE - ERP =&gt; SOUS-SEGMENT'!$HY$43,"")</f>
        <v>0.59739219858156023</v>
      </c>
      <c r="K61" s="787">
        <f>IFERROR('ANALYSE - ERP =&gt; SOUS-SEGMENT'!$IC$43/'ANALYSE - ERP =&gt; SOUS-SEGMENT'!$HY$43,"")</f>
        <v>0.14417210401891253</v>
      </c>
      <c r="L61" s="787">
        <f>IFERROR('ANALYSE - ERP =&gt; SOUS-SEGMENT'!$ID$43/'ANALYSE - ERP =&gt; SOUS-SEGMENT'!$HY$43,"")</f>
        <v>0</v>
      </c>
      <c r="N61" s="787">
        <f>IFERROR('ANALYSE - ERP =&gt; SOUS-SEGMENT'!$IF$43/'ANALYSE - ERP =&gt; SOUS-SEGMENT'!$IE$43,"")</f>
        <v>0</v>
      </c>
      <c r="O61" s="787">
        <f>IFERROR('ANALYSE - ERP =&gt; SOUS-SEGMENT'!$IG$43/'ANALYSE - ERP =&gt; SOUS-SEGMENT'!$IE$43,"")</f>
        <v>0.13470565092804018</v>
      </c>
      <c r="P61" s="787">
        <f>IFERROR('ANALYSE - ERP =&gt; SOUS-SEGMENT'!$IH$43/'ANALYSE - ERP =&gt; SOUS-SEGMENT'!$IE$43,"")</f>
        <v>0.58807350700938432</v>
      </c>
      <c r="Q61" s="787">
        <f>IFERROR('ANALYSE - ERP =&gt; SOUS-SEGMENT'!$II$43/'ANALYSE - ERP =&gt; SOUS-SEGMENT'!$IE$43,"")</f>
        <v>0.27722084206257558</v>
      </c>
      <c r="R61" s="787">
        <f>IFERROR('ANALYSE - ERP =&gt; SOUS-SEGMENT'!$IJ$43/'ANALYSE - ERP =&gt; SOUS-SEGMENT'!$IE$43,"")</f>
        <v>0</v>
      </c>
      <c r="T61" s="430">
        <f>'ANALYSE - ERP =&gt; SOUS-SEGMENT'!$Q$43</f>
        <v>1</v>
      </c>
    </row>
    <row r="62" spans="1:20" s="45" customFormat="1" ht="15" customHeight="1">
      <c r="A62" s="406">
        <v>59</v>
      </c>
      <c r="B62" s="406">
        <v>58</v>
      </c>
      <c r="C62" s="448">
        <f>'ANALYSE - ERP =&gt; SOUS-SEGMENT'!$A$89</f>
        <v>82</v>
      </c>
      <c r="D62" s="449" t="str">
        <f>'ANALYSE - ERP =&gt; SOUS-SEGMENT'!$B$89</f>
        <v>Hébergement Touristique</v>
      </c>
      <c r="E62" s="449" t="str">
        <f>'ANALYSE - ERP =&gt; SOUS-SEGMENT'!$C$89</f>
        <v>Hébergement Touristique</v>
      </c>
      <c r="F62" s="449" t="str">
        <f>'ANALYSE - ERP =&gt; SOUS-SEGMENT'!$D$89</f>
        <v>Résidences de tourisme</v>
      </c>
      <c r="G62" s="685"/>
      <c r="H62" s="788">
        <f>IFERROR('ANALYSE - ERP =&gt; SOUS-SEGMENT'!$HZ$89/'ANALYSE - ERP =&gt; SOUS-SEGMENT'!$HY$89,"")</f>
        <v>0.10711666666666667</v>
      </c>
      <c r="I62" s="788">
        <f>IFERROR('ANALYSE - ERP =&gt; SOUS-SEGMENT'!$IA$89/'ANALYSE - ERP =&gt; SOUS-SEGMENT'!$HY$89,"")</f>
        <v>0.54210833333333341</v>
      </c>
      <c r="J62" s="788">
        <f>IFERROR('ANALYSE - ERP =&gt; SOUS-SEGMENT'!$IB$89/'ANALYSE - ERP =&gt; SOUS-SEGMENT'!$HY$89,"")</f>
        <v>0.32494166666666674</v>
      </c>
      <c r="K62" s="788">
        <f>IFERROR('ANALYSE - ERP =&gt; SOUS-SEGMENT'!$IC$89/'ANALYSE - ERP =&gt; SOUS-SEGMENT'!$HY$89,"")</f>
        <v>2.5833333333333333E-2</v>
      </c>
      <c r="L62" s="788">
        <f>IFERROR('ANALYSE - ERP =&gt; SOUS-SEGMENT'!$ID$89/'ANALYSE - ERP =&gt; SOUS-SEGMENT'!$HY$89,"")</f>
        <v>0</v>
      </c>
      <c r="M62" s="685"/>
      <c r="N62" s="788">
        <f>IFERROR('ANALYSE - ERP =&gt; SOUS-SEGMENT'!$IF$89/'ANALYSE - ERP =&gt; SOUS-SEGMENT'!$IE$89,"")</f>
        <v>8.9294771271605025E-2</v>
      </c>
      <c r="O62" s="788">
        <f>IFERROR('ANALYSE - ERP =&gt; SOUS-SEGMENT'!$IG$89/'ANALYSE - ERP =&gt; SOUS-SEGMENT'!$IE$89,"")</f>
        <v>0.52088319828259377</v>
      </c>
      <c r="P62" s="788">
        <f>IFERROR('ANALYSE - ERP =&gt; SOUS-SEGMENT'!$IH$89/'ANALYSE - ERP =&gt; SOUS-SEGMENT'!$IE$89,"")</f>
        <v>0.3416828828513917</v>
      </c>
      <c r="Q62" s="788">
        <f>IFERROR('ANALYSE - ERP =&gt; SOUS-SEGMENT'!$II$89/'ANALYSE - ERP =&gt; SOUS-SEGMENT'!$IE$89,"")</f>
        <v>4.4017954031422654E-2</v>
      </c>
      <c r="R62" s="788">
        <f>IFERROR('ANALYSE - ERP =&gt; SOUS-SEGMENT'!$IJ$89/'ANALYSE - ERP =&gt; SOUS-SEGMENT'!$IE$89,"")</f>
        <v>4.1211935629866915E-3</v>
      </c>
      <c r="S62" s="685"/>
      <c r="T62" s="450">
        <f>'ANALYSE - ERP =&gt; SOUS-SEGMENT'!$Q$89</f>
        <v>1</v>
      </c>
    </row>
    <row r="63" spans="1:20" ht="15" customHeight="1">
      <c r="A63" s="26">
        <v>60</v>
      </c>
      <c r="B63" s="26">
        <v>59</v>
      </c>
      <c r="C63" s="422">
        <f>'ANALYSE - ERP =&gt; SOUS-SEGMENT'!$A$150</f>
        <v>143</v>
      </c>
      <c r="D63" s="417" t="str">
        <f>'ANALYSE - ERP =&gt; SOUS-SEGMENT'!$B$150</f>
        <v>Sanitaires Publics</v>
      </c>
      <c r="E63" s="417" t="str">
        <f>'ANALYSE - ERP =&gt; SOUS-SEGMENT'!$C$150</f>
        <v>Sanitaires publics</v>
      </c>
      <c r="F63" s="417" t="str">
        <f>'ANALYSE - ERP =&gt; SOUS-SEGMENT'!$D$150</f>
        <v>Toilettes publiques (sur la voie publique)</v>
      </c>
      <c r="H63" s="787">
        <f>IFERROR('ANALYSE - ERP =&gt; SOUS-SEGMENT'!$HZ$150/'ANALYSE - ERP =&gt; SOUS-SEGMENT'!$HY$150,"")</f>
        <v>0.28555000000000003</v>
      </c>
      <c r="I63" s="787">
        <f>IFERROR('ANALYSE - ERP =&gt; SOUS-SEGMENT'!$IA$150/'ANALYSE - ERP =&gt; SOUS-SEGMENT'!$HY$150,"")</f>
        <v>0.59775</v>
      </c>
      <c r="J63" s="787">
        <f>IFERROR('ANALYSE - ERP =&gt; SOUS-SEGMENT'!$IB$150/'ANALYSE - ERP =&gt; SOUS-SEGMENT'!$HY$150,"")</f>
        <v>0.1167</v>
      </c>
      <c r="K63" s="787">
        <f>IFERROR('ANALYSE - ERP =&gt; SOUS-SEGMENT'!$IC$150/'ANALYSE - ERP =&gt; SOUS-SEGMENT'!$HY$150,"")</f>
        <v>0</v>
      </c>
      <c r="L63" s="787">
        <f>IFERROR('ANALYSE - ERP =&gt; SOUS-SEGMENT'!$ID$150/'ANALYSE - ERP =&gt; SOUS-SEGMENT'!$HY$150,"")</f>
        <v>0</v>
      </c>
      <c r="N63" s="787">
        <f>IFERROR('ANALYSE - ERP =&gt; SOUS-SEGMENT'!$IF$150/'ANALYSE - ERP =&gt; SOUS-SEGMENT'!$IE$150,"")</f>
        <v>0.2650757036973197</v>
      </c>
      <c r="O63" s="787">
        <f>IFERROR('ANALYSE - ERP =&gt; SOUS-SEGMENT'!$IG$150/'ANALYSE - ERP =&gt; SOUS-SEGMENT'!$IE$150,"")</f>
        <v>0.57249903904162713</v>
      </c>
      <c r="P63" s="787">
        <f>IFERROR('ANALYSE - ERP =&gt; SOUS-SEGMENT'!$IH$150/'ANALYSE - ERP =&gt; SOUS-SEGMENT'!$IE$150,"")</f>
        <v>0.13722525726105317</v>
      </c>
      <c r="Q63" s="787">
        <f>IFERROR('ANALYSE - ERP =&gt; SOUS-SEGMENT'!$II$150/'ANALYSE - ERP =&gt; SOUS-SEGMENT'!$IE$150,"")</f>
        <v>2.06E-2</v>
      </c>
      <c r="R63" s="787">
        <f>IFERROR('ANALYSE - ERP =&gt; SOUS-SEGMENT'!$IJ$150/'ANALYSE - ERP =&gt; SOUS-SEGMENT'!$IE$150,"")</f>
        <v>4.5999999999999999E-3</v>
      </c>
      <c r="T63" s="430">
        <f>'ANALYSE - ERP =&gt; SOUS-SEGMENT'!$Q$150</f>
        <v>1</v>
      </c>
    </row>
    <row r="64" spans="1:20" ht="15" customHeight="1">
      <c r="A64" s="26">
        <v>61</v>
      </c>
      <c r="B64" s="26">
        <v>57</v>
      </c>
      <c r="C64" s="422">
        <f>'ANALYSE - ERP =&gt; SOUS-SEGMENT'!$A$122</f>
        <v>115</v>
      </c>
      <c r="D64" s="410" t="str">
        <f>'ANALYSE - ERP =&gt; SOUS-SEGMENT'!$B$122</f>
        <v>Transport, Mobilité &amp; Stationnement</v>
      </c>
      <c r="E64" s="410" t="str">
        <f>'ANALYSE - ERP =&gt; SOUS-SEGMENT'!$C$122</f>
        <v>Transport / Mobilité</v>
      </c>
      <c r="F64" s="410" t="str">
        <f>'ANALYSE - ERP =&gt; SOUS-SEGMENT'!$D$122</f>
        <v>Aires de repos - Autoroutes
(Hors Aires de service)</v>
      </c>
      <c r="H64" s="787">
        <f>IFERROR('ANALYSE - ERP =&gt; SOUS-SEGMENT'!$HZ$122/'ANALYSE - ERP =&gt; SOUS-SEGMENT'!$HY$122,"")</f>
        <v>6.9852631578947375E-2</v>
      </c>
      <c r="I64" s="787">
        <f>IFERROR('ANALYSE - ERP =&gt; SOUS-SEGMENT'!$IA$122/'ANALYSE - ERP =&gt; SOUS-SEGMENT'!$HY$122,"")</f>
        <v>0.51654210526315791</v>
      </c>
      <c r="J64" s="787">
        <f>IFERROR('ANALYSE - ERP =&gt; SOUS-SEGMENT'!$IB$122/'ANALYSE - ERP =&gt; SOUS-SEGMENT'!$HY$122,"")</f>
        <v>0.34360526315789469</v>
      </c>
      <c r="K64" s="787">
        <f>IFERROR('ANALYSE - ERP =&gt; SOUS-SEGMENT'!$IC$122/'ANALYSE - ERP =&gt; SOUS-SEGMENT'!$HY$122,"")</f>
        <v>0.04</v>
      </c>
      <c r="L64" s="787">
        <f>IFERROR('ANALYSE - ERP =&gt; SOUS-SEGMENT'!$ID$122/'ANALYSE - ERP =&gt; SOUS-SEGMENT'!$HY$122,"")</f>
        <v>3.0000000000000002E-2</v>
      </c>
      <c r="N64" s="787">
        <f>IFERROR('ANALYSE - ERP =&gt; SOUS-SEGMENT'!$IF$122/'ANALYSE - ERP =&gt; SOUS-SEGMENT'!$IE$122,"")</f>
        <v>2.4749330935969094E-2</v>
      </c>
      <c r="O64" s="787">
        <f>IFERROR('ANALYSE - ERP =&gt; SOUS-SEGMENT'!$IG$122/'ANALYSE - ERP =&gt; SOUS-SEGMENT'!$IE$122,"")</f>
        <v>0.42279947797840534</v>
      </c>
      <c r="P64" s="787">
        <f>IFERROR('ANALYSE - ERP =&gt; SOUS-SEGMENT'!$IH$122/'ANALYSE - ERP =&gt; SOUS-SEGMENT'!$IE$122,"")</f>
        <v>0.46150231761501359</v>
      </c>
      <c r="Q64" s="787">
        <f>IFERROR('ANALYSE - ERP =&gt; SOUS-SEGMENT'!$II$122/'ANALYSE - ERP =&gt; SOUS-SEGMENT'!$IE$122,"")</f>
        <v>6.0948873470612036E-2</v>
      </c>
      <c r="R64" s="787">
        <f>IFERROR('ANALYSE - ERP =&gt; SOUS-SEGMENT'!$IJ$122/'ANALYSE - ERP =&gt; SOUS-SEGMENT'!$IE$122,"")</f>
        <v>0.03</v>
      </c>
      <c r="T64" s="430">
        <f>'ANALYSE - ERP =&gt; SOUS-SEGMENT'!$Q$122</f>
        <v>1</v>
      </c>
    </row>
    <row r="65" spans="1:20" s="45" customFormat="1" ht="15" customHeight="1">
      <c r="A65" s="26">
        <v>62</v>
      </c>
      <c r="B65" s="26">
        <v>61</v>
      </c>
      <c r="C65" s="422">
        <f>'ANALYSE - ERP =&gt; SOUS-SEGMENT'!$A$17</f>
        <v>10</v>
      </c>
      <c r="D65" s="410" t="str">
        <f>'ANALYSE - ERP =&gt; SOUS-SEGMENT'!$B$17</f>
        <v>Enfance, Enseignement, Jeunesse &amp; Formation</v>
      </c>
      <c r="E65" s="410" t="str">
        <f>'ANALYSE - ERP =&gt; SOUS-SEGMENT'!$C$17</f>
        <v>Enseignement supérieur</v>
      </c>
      <c r="F65" s="410" t="str">
        <f>'ANALYSE - ERP =&gt; SOUS-SEGMENT'!$D$17</f>
        <v>Grandes écoles</v>
      </c>
      <c r="G65" s="685"/>
      <c r="H65" s="787">
        <f>IFERROR('ANALYSE - ERP =&gt; SOUS-SEGMENT'!$HZ$17/'ANALYSE - ERP =&gt; SOUS-SEGMENT'!$HY$17,"")</f>
        <v>0</v>
      </c>
      <c r="I65" s="787">
        <f>IFERROR('ANALYSE - ERP =&gt; SOUS-SEGMENT'!$IA$17/'ANALYSE - ERP =&gt; SOUS-SEGMENT'!$HY$17,"")</f>
        <v>0.1360972972972973</v>
      </c>
      <c r="J65" s="787">
        <f>IFERROR('ANALYSE - ERP =&gt; SOUS-SEGMENT'!$IB$17/'ANALYSE - ERP =&gt; SOUS-SEGMENT'!$HY$17,"")</f>
        <v>0.50703063063063059</v>
      </c>
      <c r="K65" s="787">
        <f>IFERROR('ANALYSE - ERP =&gt; SOUS-SEGMENT'!$IC$17/'ANALYSE - ERP =&gt; SOUS-SEGMENT'!$HY$17,"")</f>
        <v>0.31758558558558558</v>
      </c>
      <c r="L65" s="787">
        <f>IFERROR('ANALYSE - ERP =&gt; SOUS-SEGMENT'!$ID$17/'ANALYSE - ERP =&gt; SOUS-SEGMENT'!$HY$17,"")</f>
        <v>3.9286486486486492E-2</v>
      </c>
      <c r="M65" s="685"/>
      <c r="N65" s="787">
        <f>IFERROR('ANALYSE - ERP =&gt; SOUS-SEGMENT'!$IF$17/'ANALYSE - ERP =&gt; SOUS-SEGMENT'!$IE$17,"")</f>
        <v>0</v>
      </c>
      <c r="O65" s="787">
        <f>IFERROR('ANALYSE - ERP =&gt; SOUS-SEGMENT'!$IG$17/'ANALYSE - ERP =&gt; SOUS-SEGMENT'!$IE$17,"")</f>
        <v>3.2214414414414423E-2</v>
      </c>
      <c r="P65" s="787">
        <f>IFERROR('ANALYSE - ERP =&gt; SOUS-SEGMENT'!$IH$17/'ANALYSE - ERP =&gt; SOUS-SEGMENT'!$IE$17,"")</f>
        <v>0.37592162162162163</v>
      </c>
      <c r="Q65" s="787">
        <f>IFERROR('ANALYSE - ERP =&gt; SOUS-SEGMENT'!$II$17/'ANALYSE - ERP =&gt; SOUS-SEGMENT'!$IE$17,"")</f>
        <v>0.4807504504504504</v>
      </c>
      <c r="R65" s="787">
        <f>IFERROR('ANALYSE - ERP =&gt; SOUS-SEGMENT'!$IJ$17/'ANALYSE - ERP =&gt; SOUS-SEGMENT'!$IE$17,"")</f>
        <v>0.11111351351351353</v>
      </c>
      <c r="S65" s="685"/>
      <c r="T65" s="430">
        <f>'ANALYSE - ERP =&gt; SOUS-SEGMENT'!$Q$17</f>
        <v>1</v>
      </c>
    </row>
    <row r="66" spans="1:20" ht="15" customHeight="1">
      <c r="A66" s="26">
        <v>63</v>
      </c>
      <c r="B66" s="26">
        <v>62</v>
      </c>
      <c r="C66" s="422">
        <f>'ANALYSE - ERP =&gt; SOUS-SEGMENT'!$A$41</f>
        <v>34</v>
      </c>
      <c r="D66" s="417" t="str">
        <f>'ANALYSE - ERP =&gt; SOUS-SEGMENT'!$B$41</f>
        <v>Sports &amp; Loisirs</v>
      </c>
      <c r="E66" s="417" t="str">
        <f>'ANALYSE - ERP =&gt; SOUS-SEGMENT'!$C$41</f>
        <v>Loisirs</v>
      </c>
      <c r="F66" s="417" t="str">
        <f>'ANALYSE - ERP =&gt; SOUS-SEGMENT'!$D$41</f>
        <v>Salles de jeux / Bowlings / Billards</v>
      </c>
      <c r="H66" s="787">
        <f>IFERROR('ANALYSE - ERP =&gt; SOUS-SEGMENT'!$HZ$41/'ANALYSE - ERP =&gt; SOUS-SEGMENT'!$HY$41,"")</f>
        <v>1.1776470588235293E-2</v>
      </c>
      <c r="I66" s="787">
        <f>IFERROR('ANALYSE - ERP =&gt; SOUS-SEGMENT'!$IA$41/'ANALYSE - ERP =&gt; SOUS-SEGMENT'!$HY$41,"")</f>
        <v>0.30689411764705887</v>
      </c>
      <c r="J66" s="787">
        <f>IFERROR('ANALYSE - ERP =&gt; SOUS-SEGMENT'!$IB$41/'ANALYSE - ERP =&gt; SOUS-SEGMENT'!$HY$41,"")</f>
        <v>0.49652352941176475</v>
      </c>
      <c r="K66" s="787">
        <f>IFERROR('ANALYSE - ERP =&gt; SOUS-SEGMENT'!$IC$41/'ANALYSE - ERP =&gt; SOUS-SEGMENT'!$HY$41,"")</f>
        <v>0.16892352941176469</v>
      </c>
      <c r="L66" s="787">
        <f>IFERROR('ANALYSE - ERP =&gt; SOUS-SEGMENT'!$ID$41/'ANALYSE - ERP =&gt; SOUS-SEGMENT'!$HY$41,"")</f>
        <v>1.5882352941176472E-2</v>
      </c>
      <c r="N66" s="787">
        <f>IFERROR('ANALYSE - ERP =&gt; SOUS-SEGMENT'!$IF$41/'ANALYSE - ERP =&gt; SOUS-SEGMENT'!$IE$41,"")</f>
        <v>0</v>
      </c>
      <c r="O66" s="787">
        <f>IFERROR('ANALYSE - ERP =&gt; SOUS-SEGMENT'!$IG$41/'ANALYSE - ERP =&gt; SOUS-SEGMENT'!$IE$41,"")</f>
        <v>0.27040491725549376</v>
      </c>
      <c r="P66" s="787">
        <f>IFERROR('ANALYSE - ERP =&gt; SOUS-SEGMENT'!$IH$41/'ANALYSE - ERP =&gt; SOUS-SEGMENT'!$IE$41,"")</f>
        <v>0.51546655936917896</v>
      </c>
      <c r="Q66" s="787">
        <f>IFERROR('ANALYSE - ERP =&gt; SOUS-SEGMENT'!$II$41/'ANALYSE - ERP =&gt; SOUS-SEGMENT'!$IE$41,"")</f>
        <v>0.19258069975675565</v>
      </c>
      <c r="R66" s="787">
        <f>IFERROR('ANALYSE - ERP =&gt; SOUS-SEGMENT'!$IJ$41/'ANALYSE - ERP =&gt; SOUS-SEGMENT'!$IE$41,"")</f>
        <v>2.1547823618571542E-2</v>
      </c>
      <c r="T66" s="430">
        <f>'ANALYSE - ERP =&gt; SOUS-SEGMENT'!$Q$41</f>
        <v>1</v>
      </c>
    </row>
    <row r="67" spans="1:20" ht="15" customHeight="1">
      <c r="A67" s="26">
        <v>64</v>
      </c>
      <c r="B67" s="26">
        <v>60</v>
      </c>
      <c r="C67" s="422">
        <f>'ANALYSE - ERP =&gt; SOUS-SEGMENT'!$A$139</f>
        <v>132</v>
      </c>
      <c r="D67" s="408" t="str">
        <f>'ANALYSE - ERP =&gt; SOUS-SEGMENT'!$B$139</f>
        <v>Sécurité &amp; Justice</v>
      </c>
      <c r="E67" s="408" t="str">
        <f>'ANALYSE - ERP =&gt; SOUS-SEGMENT'!$C$139</f>
        <v>Univers carcéral</v>
      </c>
      <c r="F67" s="408" t="str">
        <f>'ANALYSE - ERP =&gt; SOUS-SEGMENT'!$D$139</f>
        <v>Maisons d’arrêt</v>
      </c>
      <c r="H67" s="787">
        <f>IFERROR('ANALYSE - ERP =&gt; SOUS-SEGMENT'!$HZ$139/'ANALYSE - ERP =&gt; SOUS-SEGMENT'!$HY$139,"")</f>
        <v>0.15066026936026936</v>
      </c>
      <c r="I67" s="787">
        <f>IFERROR('ANALYSE - ERP =&gt; SOUS-SEGMENT'!$IA$139/'ANALYSE - ERP =&gt; SOUS-SEGMENT'!$HY$139,"")</f>
        <v>0.68248787878787887</v>
      </c>
      <c r="J67" s="787">
        <f>IFERROR('ANALYSE - ERP =&gt; SOUS-SEGMENT'!$IB$139/'ANALYSE - ERP =&gt; SOUS-SEGMENT'!$HY$139,"")</f>
        <v>0.16685185185185183</v>
      </c>
      <c r="K67" s="787">
        <f>IFERROR('ANALYSE - ERP =&gt; SOUS-SEGMENT'!$IC$139/'ANALYSE - ERP =&gt; SOUS-SEGMENT'!$HY$139,"")</f>
        <v>0</v>
      </c>
      <c r="L67" s="787">
        <f>IFERROR('ANALYSE - ERP =&gt; SOUS-SEGMENT'!$ID$139/'ANALYSE - ERP =&gt; SOUS-SEGMENT'!$HY$139,"")</f>
        <v>0</v>
      </c>
      <c r="N67" s="787">
        <f>IFERROR('ANALYSE - ERP =&gt; SOUS-SEGMENT'!$IF$139/'ANALYSE - ERP =&gt; SOUS-SEGMENT'!$IE$139,"")</f>
        <v>7.1978556995280843E-2</v>
      </c>
      <c r="O67" s="787">
        <f>IFERROR('ANALYSE - ERP =&gt; SOUS-SEGMENT'!$IG$139/'ANALYSE - ERP =&gt; SOUS-SEGMENT'!$IE$139,"")</f>
        <v>0.63211546167010058</v>
      </c>
      <c r="P67" s="787">
        <f>IFERROR('ANALYSE - ERP =&gt; SOUS-SEGMENT'!$IH$139/'ANALYSE - ERP =&gt; SOUS-SEGMENT'!$IE$139,"")</f>
        <v>0.2959059813346186</v>
      </c>
      <c r="Q67" s="787">
        <f>IFERROR('ANALYSE - ERP =&gt; SOUS-SEGMENT'!$II$139/'ANALYSE - ERP =&gt; SOUS-SEGMENT'!$IE$139,"")</f>
        <v>0</v>
      </c>
      <c r="R67" s="787">
        <f>IFERROR('ANALYSE - ERP =&gt; SOUS-SEGMENT'!$IJ$139/'ANALYSE - ERP =&gt; SOUS-SEGMENT'!$IE$139,"")</f>
        <v>0</v>
      </c>
      <c r="T67" s="430">
        <f>'ANALYSE - ERP =&gt; SOUS-SEGMENT'!$Q$139</f>
        <v>1</v>
      </c>
    </row>
    <row r="68" spans="1:20" ht="15" customHeight="1">
      <c r="A68" s="26">
        <v>65</v>
      </c>
      <c r="B68" s="26">
        <v>65</v>
      </c>
      <c r="C68" s="422">
        <f>'ANALYSE - ERP =&gt; SOUS-SEGMENT'!$A$53</f>
        <v>46</v>
      </c>
      <c r="D68" s="412" t="str">
        <f>'ANALYSE - ERP =&gt; SOUS-SEGMENT'!$B$53</f>
        <v>Santé &amp; Médico-social</v>
      </c>
      <c r="E68" s="412" t="str">
        <f>'ANALYSE - ERP =&gt; SOUS-SEGMENT'!$C$53</f>
        <v>Santé ambulatoire</v>
      </c>
      <c r="F68" s="412" t="str">
        <f>'ANALYSE - ERP =&gt; SOUS-SEGMENT'!$D$53</f>
        <v>Centres de santé / Centres médicaux</v>
      </c>
      <c r="H68" s="787">
        <f>IFERROR('ANALYSE - ERP =&gt; SOUS-SEGMENT'!$HZ$53/'ANALYSE - ERP =&gt; SOUS-SEGMENT'!$HY$53,"")</f>
        <v>2.5571428571428572E-3</v>
      </c>
      <c r="I68" s="787">
        <f>IFERROR('ANALYSE - ERP =&gt; SOUS-SEGMENT'!$IA$53/'ANALYSE - ERP =&gt; SOUS-SEGMENT'!$HY$53,"")</f>
        <v>0.27997142857142854</v>
      </c>
      <c r="J68" s="787">
        <f>IFERROR('ANALYSE - ERP =&gt; SOUS-SEGMENT'!$IB$53/'ANALYSE - ERP =&gt; SOUS-SEGMENT'!$HY$53,"")</f>
        <v>0.57051428571428575</v>
      </c>
      <c r="K68" s="787">
        <f>IFERROR('ANALYSE - ERP =&gt; SOUS-SEGMENT'!$IC$53/'ANALYSE - ERP =&gt; SOUS-SEGMENT'!$HY$53,"")</f>
        <v>0.14695714285714284</v>
      </c>
      <c r="L68" s="787">
        <f>IFERROR('ANALYSE - ERP =&gt; SOUS-SEGMENT'!$ID$53/'ANALYSE - ERP =&gt; SOUS-SEGMENT'!$HY$53,"")</f>
        <v>0</v>
      </c>
      <c r="N68" s="787">
        <f>IFERROR('ANALYSE - ERP =&gt; SOUS-SEGMENT'!$IF$53/'ANALYSE - ERP =&gt; SOUS-SEGMENT'!$IE$53,"")</f>
        <v>0</v>
      </c>
      <c r="O68" s="787">
        <f>IFERROR('ANALYSE - ERP =&gt; SOUS-SEGMENT'!$IG$53/'ANALYSE - ERP =&gt; SOUS-SEGMENT'!$IE$53,"")</f>
        <v>0.13625519695643701</v>
      </c>
      <c r="P68" s="787">
        <f>IFERROR('ANALYSE - ERP =&gt; SOUS-SEGMENT'!$IH$53/'ANALYSE - ERP =&gt; SOUS-SEGMENT'!$IE$53,"")</f>
        <v>0.55885555010451538</v>
      </c>
      <c r="Q68" s="787">
        <f>IFERROR('ANALYSE - ERP =&gt; SOUS-SEGMENT'!$II$53/'ANALYSE - ERP =&gt; SOUS-SEGMENT'!$IE$53,"")</f>
        <v>0.30463321283291567</v>
      </c>
      <c r="R68" s="787">
        <f>IFERROR('ANALYSE - ERP =&gt; SOUS-SEGMENT'!$IJ$53/'ANALYSE - ERP =&gt; SOUS-SEGMENT'!$IE$53,"")</f>
        <v>2.5604010613208876E-4</v>
      </c>
      <c r="T68" s="430">
        <f>'ANALYSE - ERP =&gt; SOUS-SEGMENT'!$Q$53</f>
        <v>1</v>
      </c>
    </row>
    <row r="69" spans="1:20" ht="15" customHeight="1">
      <c r="A69" s="26">
        <v>66</v>
      </c>
      <c r="B69" s="26">
        <v>66</v>
      </c>
      <c r="C69" s="422">
        <f>'ANALYSE - ERP =&gt; SOUS-SEGMENT'!$A$64</f>
        <v>57</v>
      </c>
      <c r="D69" s="415" t="str">
        <f>'ANALYSE - ERP =&gt; SOUS-SEGMENT'!$B$64</f>
        <v>Culture, Patrimoine &amp; Evénementiel</v>
      </c>
      <c r="E69" s="415" t="str">
        <f>'ANALYSE - ERP =&gt; SOUS-SEGMENT'!$C$64</f>
        <v>Culture / spectacle</v>
      </c>
      <c r="F69" s="415" t="str">
        <f>'ANALYSE - ERP =&gt; SOUS-SEGMENT'!$D$64</f>
        <v>Musées</v>
      </c>
      <c r="H69" s="787">
        <f>IFERROR('ANALYSE - ERP =&gt; SOUS-SEGMENT'!$HZ$64/'ANALYSE - ERP =&gt; SOUS-SEGMENT'!$HY$64,"")</f>
        <v>1.3100000000000001E-2</v>
      </c>
      <c r="I69" s="787">
        <f>IFERROR('ANALYSE - ERP =&gt; SOUS-SEGMENT'!$IA$64/'ANALYSE - ERP =&gt; SOUS-SEGMENT'!$HY$64,"")</f>
        <v>0.29498750000000007</v>
      </c>
      <c r="J69" s="787">
        <f>IFERROR('ANALYSE - ERP =&gt; SOUS-SEGMENT'!$IB$64/'ANALYSE - ERP =&gt; SOUS-SEGMENT'!$HY$64,"")</f>
        <v>0.51289375000000015</v>
      </c>
      <c r="K69" s="787">
        <f>IFERROR('ANALYSE - ERP =&gt; SOUS-SEGMENT'!$IC$64/'ANALYSE - ERP =&gt; SOUS-SEGMENT'!$HY$64,"")</f>
        <v>0.17098750000000001</v>
      </c>
      <c r="L69" s="787">
        <f>IFERROR('ANALYSE - ERP =&gt; SOUS-SEGMENT'!$ID$64/'ANALYSE - ERP =&gt; SOUS-SEGMENT'!$HY$64,"")</f>
        <v>8.0312500000000002E-3</v>
      </c>
      <c r="N69" s="787">
        <f>IFERROR('ANALYSE - ERP =&gt; SOUS-SEGMENT'!$IF$64/'ANALYSE - ERP =&gt; SOUS-SEGMENT'!$IE$64,"")</f>
        <v>6.3760488472601451E-4</v>
      </c>
      <c r="O69" s="787">
        <f>IFERROR('ANALYSE - ERP =&gt; SOUS-SEGMENT'!$IG$64/'ANALYSE - ERP =&gt; SOUS-SEGMENT'!$IE$64,"")</f>
        <v>0.19759398522264907</v>
      </c>
      <c r="P69" s="787">
        <f>IFERROR('ANALYSE - ERP =&gt; SOUS-SEGMENT'!$IH$64/'ANALYSE - ERP =&gt; SOUS-SEGMENT'!$IE$64,"")</f>
        <v>0.52846417857232242</v>
      </c>
      <c r="Q69" s="787">
        <f>IFERROR('ANALYSE - ERP =&gt; SOUS-SEGMENT'!$II$64/'ANALYSE - ERP =&gt; SOUS-SEGMENT'!$IE$64,"")</f>
        <v>0.25396511005439248</v>
      </c>
      <c r="R69" s="787">
        <f>IFERROR('ANALYSE - ERP =&gt; SOUS-SEGMENT'!$IJ$64/'ANALYSE - ERP =&gt; SOUS-SEGMENT'!$IE$64,"")</f>
        <v>1.9339121265910097E-2</v>
      </c>
      <c r="T69" s="430">
        <f>'ANALYSE - ERP =&gt; SOUS-SEGMENT'!$Q$64</f>
        <v>1</v>
      </c>
    </row>
    <row r="70" spans="1:20" ht="15" customHeight="1">
      <c r="A70" s="26">
        <v>67</v>
      </c>
      <c r="B70" s="26">
        <v>67</v>
      </c>
      <c r="C70" s="422">
        <f>'ANALYSE - ERP =&gt; SOUS-SEGMENT'!$A$23</f>
        <v>16</v>
      </c>
      <c r="D70" s="411" t="str">
        <f>'ANALYSE - ERP =&gt; SOUS-SEGMENT'!$B$23</f>
        <v>Sports &amp; Loisirs</v>
      </c>
      <c r="E70" s="411" t="str">
        <f>'ANALYSE - ERP =&gt; SOUS-SEGMENT'!$C$23</f>
        <v>Sport couvert / Thermalisme / Bien-être</v>
      </c>
      <c r="F70" s="411" t="str">
        <f>'ANALYSE - ERP =&gt; SOUS-SEGMENT'!$D$23</f>
        <v>Patinoires couvertes</v>
      </c>
      <c r="H70" s="787">
        <f>IFERROR('ANALYSE - ERP =&gt; SOUS-SEGMENT'!$HZ$23/'ANALYSE - ERP =&gt; SOUS-SEGMENT'!$HY$23,"")</f>
        <v>0.21670451127819548</v>
      </c>
      <c r="I70" s="787">
        <f>IFERROR('ANALYSE - ERP =&gt; SOUS-SEGMENT'!$IA$23/'ANALYSE - ERP =&gt; SOUS-SEGMENT'!$HY$23,"")</f>
        <v>0.62085187969924815</v>
      </c>
      <c r="J70" s="787">
        <f>IFERROR('ANALYSE - ERP =&gt; SOUS-SEGMENT'!$IB$23/'ANALYSE - ERP =&gt; SOUS-SEGMENT'!$HY$23,"")</f>
        <v>0.16244360902255639</v>
      </c>
      <c r="K70" s="787">
        <f>IFERROR('ANALYSE - ERP =&gt; SOUS-SEGMENT'!$IC$23/'ANALYSE - ERP =&gt; SOUS-SEGMENT'!$HY$23,"")</f>
        <v>0</v>
      </c>
      <c r="L70" s="787">
        <f>IFERROR('ANALYSE - ERP =&gt; SOUS-SEGMENT'!$ID$23/'ANALYSE - ERP =&gt; SOUS-SEGMENT'!$HY$23,"")</f>
        <v>0</v>
      </c>
      <c r="N70" s="787">
        <f>IFERROR('ANALYSE - ERP =&gt; SOUS-SEGMENT'!$IF$23/'ANALYSE - ERP =&gt; SOUS-SEGMENT'!$IE$23,"")</f>
        <v>0.11564657889332697</v>
      </c>
      <c r="O70" s="787">
        <f>IFERROR('ANALYSE - ERP =&gt; SOUS-SEGMENT'!$IG$23/'ANALYSE - ERP =&gt; SOUS-SEGMENT'!$IE$23,"")</f>
        <v>0.6042938004999755</v>
      </c>
      <c r="P70" s="787">
        <f>IFERROR('ANALYSE - ERP =&gt; SOUS-SEGMENT'!$IH$23/'ANALYSE - ERP =&gt; SOUS-SEGMENT'!$IE$23,"")</f>
        <v>0.28005962060669753</v>
      </c>
      <c r="Q70" s="787">
        <f>IFERROR('ANALYSE - ERP =&gt; SOUS-SEGMENT'!$II$23/'ANALYSE - ERP =&gt; SOUS-SEGMENT'!$IE$23,"")</f>
        <v>0</v>
      </c>
      <c r="R70" s="787">
        <f>IFERROR('ANALYSE - ERP =&gt; SOUS-SEGMENT'!$IJ$23/'ANALYSE - ERP =&gt; SOUS-SEGMENT'!$IE$23,"")</f>
        <v>0</v>
      </c>
      <c r="T70" s="430">
        <f>'ANALYSE - ERP =&gt; SOUS-SEGMENT'!$Q$23</f>
        <v>1</v>
      </c>
    </row>
    <row r="71" spans="1:20" ht="15" customHeight="1">
      <c r="A71" s="26">
        <v>68</v>
      </c>
      <c r="B71" s="26">
        <v>68</v>
      </c>
      <c r="C71" s="422">
        <f>'ANALYSE - ERP =&gt; SOUS-SEGMENT'!$A$119</f>
        <v>112</v>
      </c>
      <c r="D71" s="415" t="str">
        <f>'ANALYSE - ERP =&gt; SOUS-SEGMENT'!$B$119</f>
        <v>Culte, Vie civique &amp; Services publics</v>
      </c>
      <c r="E71" s="415" t="str">
        <f>'ANALYSE - ERP =&gt; SOUS-SEGMENT'!$C$119</f>
        <v>Culte</v>
      </c>
      <c r="F71" s="415" t="str">
        <f>'ANALYSE - ERP =&gt; SOUS-SEGMENT'!$D$119</f>
        <v>Salles du Royaume, centres cultuels pluriconfessionnels et lieux de culte polyvalents</v>
      </c>
      <c r="H71" s="787">
        <f>IFERROR('ANALYSE - ERP =&gt; SOUS-SEGMENT'!$HZ$119/'ANALYSE - ERP =&gt; SOUS-SEGMENT'!$HY$119,"")</f>
        <v>0.10724615384615385</v>
      </c>
      <c r="I71" s="787">
        <f>IFERROR('ANALYSE - ERP =&gt; SOUS-SEGMENT'!$IA$119/'ANALYSE - ERP =&gt; SOUS-SEGMENT'!$HY$119,"")</f>
        <v>0.54076153846153852</v>
      </c>
      <c r="J71" s="787">
        <f>IFERROR('ANALYSE - ERP =&gt; SOUS-SEGMENT'!$IB$119/'ANALYSE - ERP =&gt; SOUS-SEGMENT'!$HY$119,"")</f>
        <v>0.32585384615384616</v>
      </c>
      <c r="K71" s="787">
        <f>IFERROR('ANALYSE - ERP =&gt; SOUS-SEGMENT'!$IC$119/'ANALYSE - ERP =&gt; SOUS-SEGMENT'!$HY$119,"")</f>
        <v>2.6138461538461537E-2</v>
      </c>
      <c r="L71" s="787">
        <f>IFERROR('ANALYSE - ERP =&gt; SOUS-SEGMENT'!$ID$119/'ANALYSE - ERP =&gt; SOUS-SEGMENT'!$HY$119,"")</f>
        <v>0</v>
      </c>
      <c r="N71" s="787">
        <f>IFERROR('ANALYSE - ERP =&gt; SOUS-SEGMENT'!$IF$119/'ANALYSE - ERP =&gt; SOUS-SEGMENT'!$IE$119,"")</f>
        <v>9.367520992669541E-2</v>
      </c>
      <c r="O71" s="787">
        <f>IFERROR('ANALYSE - ERP =&gt; SOUS-SEGMENT'!$IG$119/'ANALYSE - ERP =&gt; SOUS-SEGMENT'!$IE$119,"")</f>
        <v>0.52427400539966085</v>
      </c>
      <c r="P71" s="787">
        <f>IFERROR('ANALYSE - ERP =&gt; SOUS-SEGMENT'!$IH$119/'ANALYSE - ERP =&gt; SOUS-SEGMENT'!$IE$119,"")</f>
        <v>0.33881504366804888</v>
      </c>
      <c r="Q71" s="787">
        <f>IFERROR('ANALYSE - ERP =&gt; SOUS-SEGMENT'!$II$119/'ANALYSE - ERP =&gt; SOUS-SEGMENT'!$IE$119,"")</f>
        <v>4.0035741005594663E-2</v>
      </c>
      <c r="R71" s="787">
        <f>IFERROR('ANALYSE - ERP =&gt; SOUS-SEGMENT'!$IJ$119/'ANALYSE - ERP =&gt; SOUS-SEGMENT'!$IE$119,"")</f>
        <v>3.1999999999999997E-3</v>
      </c>
      <c r="T71" s="430">
        <f>'ANALYSE - ERP =&gt; SOUS-SEGMENT'!$Q$119</f>
        <v>1</v>
      </c>
    </row>
    <row r="72" spans="1:20" ht="15" customHeight="1">
      <c r="A72" s="26">
        <v>69</v>
      </c>
      <c r="B72" s="26">
        <v>70</v>
      </c>
      <c r="C72" s="422">
        <f>'ANALYSE - ERP =&gt; SOUS-SEGMENT'!$A$108</f>
        <v>101</v>
      </c>
      <c r="D72" s="408" t="str">
        <f>'ANALYSE - ERP =&gt; SOUS-SEGMENT'!$B$108</f>
        <v>Culte, Vie civique &amp; Services publics</v>
      </c>
      <c r="E72" s="408" t="str">
        <f>'ANALYSE - ERP =&gt; SOUS-SEGMENT'!$C$108</f>
        <v>Administrations / services publics</v>
      </c>
      <c r="F72" s="408" t="str">
        <f>'ANALYSE - ERP =&gt; SOUS-SEGMENT'!$D$108</f>
        <v>Maisons France Services / Guichets publics autonomes ou dédiés</v>
      </c>
      <c r="H72" s="787">
        <f>IFERROR('ANALYSE - ERP =&gt; SOUS-SEGMENT'!$HZ$108/'ANALYSE - ERP =&gt; SOUS-SEGMENT'!$HY$108,"")</f>
        <v>1.1085714285714286E-2</v>
      </c>
      <c r="I72" s="787">
        <f>IFERROR('ANALYSE - ERP =&gt; SOUS-SEGMENT'!$IA$108/'ANALYSE - ERP =&gt; SOUS-SEGMENT'!$HY$108,"")</f>
        <v>0.35780000000000001</v>
      </c>
      <c r="J72" s="787">
        <f>IFERROR('ANALYSE - ERP =&gt; SOUS-SEGMENT'!$IB$108/'ANALYSE - ERP =&gt; SOUS-SEGMENT'!$HY$108,"")</f>
        <v>0.51789047619047612</v>
      </c>
      <c r="K72" s="787">
        <f>IFERROR('ANALYSE - ERP =&gt; SOUS-SEGMENT'!$IC$108/'ANALYSE - ERP =&gt; SOUS-SEGMENT'!$HY$108,"")</f>
        <v>0.11143809523809524</v>
      </c>
      <c r="L72" s="787">
        <f>IFERROR('ANALYSE - ERP =&gt; SOUS-SEGMENT'!$ID$108/'ANALYSE - ERP =&gt; SOUS-SEGMENT'!$HY$108,"")</f>
        <v>1.7857142857142859E-3</v>
      </c>
      <c r="N72" s="787">
        <f>IFERROR('ANALYSE - ERP =&gt; SOUS-SEGMENT'!$IF$108/'ANALYSE - ERP =&gt; SOUS-SEGMENT'!$IE$108,"")</f>
        <v>0</v>
      </c>
      <c r="O72" s="787">
        <f>IFERROR('ANALYSE - ERP =&gt; SOUS-SEGMENT'!$IG$108/'ANALYSE - ERP =&gt; SOUS-SEGMENT'!$IE$108,"")</f>
        <v>9.1881049064471074E-2</v>
      </c>
      <c r="P72" s="787">
        <f>IFERROR('ANALYSE - ERP =&gt; SOUS-SEGMENT'!$IH$108/'ANALYSE - ERP =&gt; SOUS-SEGMENT'!$IE$108,"")</f>
        <v>0.53955169398111491</v>
      </c>
      <c r="Q72" s="787">
        <f>IFERROR('ANALYSE - ERP =&gt; SOUS-SEGMENT'!$II$108/'ANALYSE - ERP =&gt; SOUS-SEGMENT'!$IE$108,"")</f>
        <v>0.34412124573711889</v>
      </c>
      <c r="R72" s="787">
        <f>IFERROR('ANALYSE - ERP =&gt; SOUS-SEGMENT'!$IJ$108/'ANALYSE - ERP =&gt; SOUS-SEGMENT'!$IE$108,"")</f>
        <v>2.4446011217295161E-2</v>
      </c>
      <c r="T72" s="430">
        <f>'ANALYSE - ERP =&gt; SOUS-SEGMENT'!$Q$108</f>
        <v>1</v>
      </c>
    </row>
    <row r="73" spans="1:20" s="45" customFormat="1" ht="15" customHeight="1">
      <c r="A73" s="26">
        <v>70</v>
      </c>
      <c r="B73" s="26">
        <v>69</v>
      </c>
      <c r="C73" s="422">
        <f>'ANALYSE - ERP =&gt; SOUS-SEGMENT'!$A$114</f>
        <v>107</v>
      </c>
      <c r="D73" s="410" t="str">
        <f>'ANALYSE - ERP =&gt; SOUS-SEGMENT'!$B$114</f>
        <v>Culte, Vie civique &amp; Services publics</v>
      </c>
      <c r="E73" s="410" t="str">
        <f>'ANALYSE - ERP =&gt; SOUS-SEGMENT'!$C$114</f>
        <v>Culte</v>
      </c>
      <c r="F73" s="410" t="str">
        <f>'ANALYSE - ERP =&gt; SOUS-SEGMENT'!$D$114</f>
        <v>Monastères, abbayes et couvents ouverts au public</v>
      </c>
      <c r="G73" s="685"/>
      <c r="H73" s="787">
        <f>IFERROR('ANALYSE - ERP =&gt; SOUS-SEGMENT'!$HZ$114/'ANALYSE - ERP =&gt; SOUS-SEGMENT'!$HY$114,"")</f>
        <v>0.10311666666666666</v>
      </c>
      <c r="I73" s="787">
        <f>IFERROR('ANALYSE - ERP =&gt; SOUS-SEGMENT'!$IA$114/'ANALYSE - ERP =&gt; SOUS-SEGMENT'!$HY$114,"")</f>
        <v>0.53581666666666672</v>
      </c>
      <c r="J73" s="787">
        <f>IFERROR('ANALYSE - ERP =&gt; SOUS-SEGMENT'!$IB$114/'ANALYSE - ERP =&gt; SOUS-SEGMENT'!$HY$114,"")</f>
        <v>0.33414166666666667</v>
      </c>
      <c r="K73" s="787">
        <f>IFERROR('ANALYSE - ERP =&gt; SOUS-SEGMENT'!$IC$114/'ANALYSE - ERP =&gt; SOUS-SEGMENT'!$HY$114,"")</f>
        <v>2.6925000000000001E-2</v>
      </c>
      <c r="L73" s="787">
        <f>IFERROR('ANALYSE - ERP =&gt; SOUS-SEGMENT'!$ID$114/'ANALYSE - ERP =&gt; SOUS-SEGMENT'!$HY$114,"")</f>
        <v>0</v>
      </c>
      <c r="M73" s="685"/>
      <c r="N73" s="787">
        <f>IFERROR('ANALYSE - ERP =&gt; SOUS-SEGMENT'!$IF$114/'ANALYSE - ERP =&gt; SOUS-SEGMENT'!$IE$114,"")</f>
        <v>8.9037655813516747E-2</v>
      </c>
      <c r="O73" s="787">
        <f>IFERROR('ANALYSE - ERP =&gt; SOUS-SEGMENT'!$IG$114/'ANALYSE - ERP =&gt; SOUS-SEGMENT'!$IE$114,"")</f>
        <v>0.51884766778562874</v>
      </c>
      <c r="P73" s="787">
        <f>IFERROR('ANALYSE - ERP =&gt; SOUS-SEGMENT'!$IH$114/'ANALYSE - ERP =&gt; SOUS-SEGMENT'!$IE$114,"")</f>
        <v>0.34802381276555783</v>
      </c>
      <c r="Q73" s="787">
        <f>IFERROR('ANALYSE - ERP =&gt; SOUS-SEGMENT'!$II$114/'ANALYSE - ERP =&gt; SOUS-SEGMENT'!$IE$114,"")</f>
        <v>4.08908636352966E-2</v>
      </c>
      <c r="R73" s="787">
        <f>IFERROR('ANALYSE - ERP =&gt; SOUS-SEGMENT'!$IJ$114/'ANALYSE - ERP =&gt; SOUS-SEGMENT'!$IE$114,"")</f>
        <v>3.2000000000000002E-3</v>
      </c>
      <c r="S73" s="685"/>
      <c r="T73" s="430">
        <f>'ANALYSE - ERP =&gt; SOUS-SEGMENT'!$Q$114</f>
        <v>1</v>
      </c>
    </row>
    <row r="74" spans="1:20" ht="15" customHeight="1">
      <c r="A74" s="26">
        <v>71</v>
      </c>
      <c r="B74" s="26">
        <v>73</v>
      </c>
      <c r="C74" s="422">
        <f>'ANALYSE - ERP =&gt; SOUS-SEGMENT'!$A$81</f>
        <v>74</v>
      </c>
      <c r="D74" s="417" t="str">
        <f>'ANALYSE - ERP =&gt; SOUS-SEGMENT'!$B$81</f>
        <v>Commerce, Restauration &amp; Loisirs</v>
      </c>
      <c r="E74" s="417" t="str">
        <f>'ANALYSE - ERP =&gt; SOUS-SEGMENT'!$C$81</f>
        <v>Commerce</v>
      </c>
      <c r="F74" s="417" t="str">
        <f>'ANALYSE - ERP =&gt; SOUS-SEGMENT'!$D$81</f>
        <v>Marchés couverts</v>
      </c>
      <c r="H74" s="787">
        <f>IFERROR('ANALYSE - ERP =&gt; SOUS-SEGMENT'!$HZ$81/'ANALYSE - ERP =&gt; SOUS-SEGMENT'!$HY$81,"")</f>
        <v>0.20765238095238098</v>
      </c>
      <c r="I74" s="787">
        <f>IFERROR('ANALYSE - ERP =&gt; SOUS-SEGMENT'!$IA$81/'ANALYSE - ERP =&gt; SOUS-SEGMENT'!$HY$81,"")</f>
        <v>0.57035238095238094</v>
      </c>
      <c r="J74" s="787">
        <f>IFERROR('ANALYSE - ERP =&gt; SOUS-SEGMENT'!$IB$81/'ANALYSE - ERP =&gt; SOUS-SEGMENT'!$HY$81,"")</f>
        <v>0.22185714285714284</v>
      </c>
      <c r="K74" s="787">
        <f>IFERROR('ANALYSE - ERP =&gt; SOUS-SEGMENT'!$IC$81/'ANALYSE - ERP =&gt; SOUS-SEGMENT'!$HY$81,"")</f>
        <v>0</v>
      </c>
      <c r="L74" s="787">
        <f>IFERROR('ANALYSE - ERP =&gt; SOUS-SEGMENT'!$ID$81/'ANALYSE - ERP =&gt; SOUS-SEGMENT'!$HY$81,"")</f>
        <v>1.380952380952381E-4</v>
      </c>
      <c r="N74" s="787">
        <f>IFERROR('ANALYSE - ERP =&gt; SOUS-SEGMENT'!$IF$81/'ANALYSE - ERP =&gt; SOUS-SEGMENT'!$IE$81,"")</f>
        <v>0.11677037827694543</v>
      </c>
      <c r="O74" s="787">
        <f>IFERROR('ANALYSE - ERP =&gt; SOUS-SEGMENT'!$IG$81/'ANALYSE - ERP =&gt; SOUS-SEGMENT'!$IE$81,"")</f>
        <v>0.52131706460326366</v>
      </c>
      <c r="P74" s="787">
        <f>IFERROR('ANALYSE - ERP =&gt; SOUS-SEGMENT'!$IH$81/'ANALYSE - ERP =&gt; SOUS-SEGMENT'!$IE$81,"")</f>
        <v>0.34963277379916274</v>
      </c>
      <c r="Q74" s="787">
        <f>IFERROR('ANALYSE - ERP =&gt; SOUS-SEGMENT'!$II$81/'ANALYSE - ERP =&gt; SOUS-SEGMENT'!$IE$81,"")</f>
        <v>1.162284024600051E-2</v>
      </c>
      <c r="R74" s="787">
        <f>IFERROR('ANALYSE - ERP =&gt; SOUS-SEGMENT'!$IJ$81/'ANALYSE - ERP =&gt; SOUS-SEGMENT'!$IE$81,"")</f>
        <v>6.5694307462774398E-4</v>
      </c>
      <c r="T74" s="430">
        <f>'ANALYSE - ERP =&gt; SOUS-SEGMENT'!$Q$81</f>
        <v>1</v>
      </c>
    </row>
    <row r="75" spans="1:20" ht="15" customHeight="1">
      <c r="A75" s="26">
        <v>72</v>
      </c>
      <c r="B75" s="26">
        <v>74</v>
      </c>
      <c r="C75" s="422">
        <f>'ANALYSE - ERP =&gt; SOUS-SEGMENT'!$A$135</f>
        <v>128</v>
      </c>
      <c r="D75" s="410" t="str">
        <f>'ANALYSE - ERP =&gt; SOUS-SEGMENT'!$B$135</f>
        <v>Sécurité &amp; Justice</v>
      </c>
      <c r="E75" s="410" t="str">
        <f>'ANALYSE - ERP =&gt; SOUS-SEGMENT'!$C$135</f>
        <v>Forces armées</v>
      </c>
      <c r="F75" s="410" t="str">
        <f>'ANALYSE - ERP =&gt; SOUS-SEGMENT'!$D$135</f>
        <v>Unités d'hébergement des militaires &amp; réservistes</v>
      </c>
      <c r="H75" s="787">
        <f>IFERROR('ANALYSE - ERP =&gt; SOUS-SEGMENT'!$HZ$135/'ANALYSE - ERP =&gt; SOUS-SEGMENT'!$HY$135,"")</f>
        <v>7.9186486486486476E-2</v>
      </c>
      <c r="I75" s="787">
        <f>IFERROR('ANALYSE - ERP =&gt; SOUS-SEGMENT'!$IA$135/'ANALYSE - ERP =&gt; SOUS-SEGMENT'!$HY$135,"")</f>
        <v>0.58184594594594585</v>
      </c>
      <c r="J75" s="787">
        <f>IFERROR('ANALYSE - ERP =&gt; SOUS-SEGMENT'!$IB$135/'ANALYSE - ERP =&gt; SOUS-SEGMENT'!$HY$135,"")</f>
        <v>0.32526756756756758</v>
      </c>
      <c r="K75" s="787">
        <f>IFERROR('ANALYSE - ERP =&gt; SOUS-SEGMENT'!$IC$135/'ANALYSE - ERP =&gt; SOUS-SEGMENT'!$HY$135,"")</f>
        <v>1.3699999999999999E-2</v>
      </c>
      <c r="L75" s="787">
        <f>IFERROR('ANALYSE - ERP =&gt; SOUS-SEGMENT'!$ID$135/'ANALYSE - ERP =&gt; SOUS-SEGMENT'!$HY$135,"")</f>
        <v>0</v>
      </c>
      <c r="N75" s="787">
        <f>IFERROR('ANALYSE - ERP =&gt; SOUS-SEGMENT'!$IF$135/'ANALYSE - ERP =&gt; SOUS-SEGMENT'!$IE$135,"")</f>
        <v>3.3838603328491298E-2</v>
      </c>
      <c r="O75" s="787">
        <f>IFERROR('ANALYSE - ERP =&gt; SOUS-SEGMENT'!$IG$135/'ANALYSE - ERP =&gt; SOUS-SEGMENT'!$IE$135,"")</f>
        <v>0.45723720552142538</v>
      </c>
      <c r="P75" s="787">
        <f>IFERROR('ANALYSE - ERP =&gt; SOUS-SEGMENT'!$IH$135/'ANALYSE - ERP =&gt; SOUS-SEGMENT'!$IE$135,"")</f>
        <v>0.4718973292994228</v>
      </c>
      <c r="Q75" s="787">
        <f>IFERROR('ANALYSE - ERP =&gt; SOUS-SEGMENT'!$II$135/'ANALYSE - ERP =&gt; SOUS-SEGMENT'!$IE$135,"")</f>
        <v>3.6835106194908554E-2</v>
      </c>
      <c r="R75" s="787">
        <f>IFERROR('ANALYSE - ERP =&gt; SOUS-SEGMENT'!$IJ$135/'ANALYSE - ERP =&gt; SOUS-SEGMENT'!$IE$135,"")</f>
        <v>1.9175565575198106E-4</v>
      </c>
      <c r="T75" s="430">
        <f>'ANALYSE - ERP =&gt; SOUS-SEGMENT'!$Q$135</f>
        <v>1</v>
      </c>
    </row>
    <row r="76" spans="1:20" ht="15" customHeight="1">
      <c r="A76" s="26">
        <v>73</v>
      </c>
      <c r="B76" s="26">
        <v>71</v>
      </c>
      <c r="C76" s="422">
        <f>'ANALYSE - ERP =&gt; SOUS-SEGMENT'!$A$105</f>
        <v>98</v>
      </c>
      <c r="D76" s="410" t="str">
        <f>'ANALYSE - ERP =&gt; SOUS-SEGMENT'!$B$105</f>
        <v>Culte, Vie civique &amp; Services publics</v>
      </c>
      <c r="E76" s="410" t="str">
        <f>'ANALYSE - ERP =&gt; SOUS-SEGMENT'!$C$105</f>
        <v>Administrations / services publics</v>
      </c>
      <c r="F76" s="410" t="str">
        <f>'ANALYSE - ERP =&gt; SOUS-SEGMENT'!$D$105</f>
        <v>Préfectures / services administratifs</v>
      </c>
      <c r="H76" s="787">
        <f>IFERROR('ANALYSE - ERP =&gt; SOUS-SEGMENT'!$HZ$105/'ANALYSE - ERP =&gt; SOUS-SEGMENT'!$HY$105,"")</f>
        <v>2.3594444444444446E-2</v>
      </c>
      <c r="I76" s="787">
        <f>IFERROR('ANALYSE - ERP =&gt; SOUS-SEGMENT'!$IA$105/'ANALYSE - ERP =&gt; SOUS-SEGMENT'!$HY$105,"")</f>
        <v>0.39452222222222216</v>
      </c>
      <c r="J76" s="787">
        <f>IFERROR('ANALYSE - ERP =&gt; SOUS-SEGMENT'!$IB$105/'ANALYSE - ERP =&gt; SOUS-SEGMENT'!$HY$105,"")</f>
        <v>0.48513333333333342</v>
      </c>
      <c r="K76" s="787">
        <f>IFERROR('ANALYSE - ERP =&gt; SOUS-SEGMENT'!$IC$105/'ANALYSE - ERP =&gt; SOUS-SEGMENT'!$HY$105,"")</f>
        <v>9.5466666666666672E-2</v>
      </c>
      <c r="L76" s="787">
        <f>IFERROR('ANALYSE - ERP =&gt; SOUS-SEGMENT'!$ID$105/'ANALYSE - ERP =&gt; SOUS-SEGMENT'!$HY$105,"")</f>
        <v>1.2833333333333334E-3</v>
      </c>
      <c r="N76" s="787">
        <f>IFERROR('ANALYSE - ERP =&gt; SOUS-SEGMENT'!$IF$105/'ANALYSE - ERP =&gt; SOUS-SEGMENT'!$IE$105,"")</f>
        <v>1.6408077083234708E-3</v>
      </c>
      <c r="O76" s="787">
        <f>IFERROR('ANALYSE - ERP =&gt; SOUS-SEGMENT'!$IG$105/'ANALYSE - ERP =&gt; SOUS-SEGMENT'!$IE$105,"")</f>
        <v>0.26475275005610382</v>
      </c>
      <c r="P76" s="787">
        <f>IFERROR('ANALYSE - ERP =&gt; SOUS-SEGMENT'!$IH$105/'ANALYSE - ERP =&gt; SOUS-SEGMENT'!$IE$105,"")</f>
        <v>0.56399746631292746</v>
      </c>
      <c r="Q76" s="787">
        <f>IFERROR('ANALYSE - ERP =&gt; SOUS-SEGMENT'!$II$105/'ANALYSE - ERP =&gt; SOUS-SEGMENT'!$IE$105,"")</f>
        <v>0.16513325388273339</v>
      </c>
      <c r="R76" s="787">
        <f>IFERROR('ANALYSE - ERP =&gt; SOUS-SEGMENT'!$IJ$105/'ANALYSE - ERP =&gt; SOUS-SEGMENT'!$IE$105,"")</f>
        <v>4.4757220399120794E-3</v>
      </c>
      <c r="T76" s="430">
        <f>'ANALYSE - ERP =&gt; SOUS-SEGMENT'!$Q$105</f>
        <v>1</v>
      </c>
    </row>
    <row r="77" spans="1:20" ht="15" customHeight="1">
      <c r="A77" s="26">
        <v>74</v>
      </c>
      <c r="B77" s="26">
        <v>72</v>
      </c>
      <c r="C77" s="422">
        <f>'ANALYSE - ERP =&gt; SOUS-SEGMENT'!$A$124</f>
        <v>117</v>
      </c>
      <c r="D77" s="410" t="str">
        <f>'ANALYSE - ERP =&gt; SOUS-SEGMENT'!$B$124</f>
        <v>Transport, Mobilité &amp; Stationnement</v>
      </c>
      <c r="E77" s="410" t="str">
        <f>'ANALYSE - ERP =&gt; SOUS-SEGMENT'!$C$124</f>
        <v>Transport / Mobilité</v>
      </c>
      <c r="F77" s="410" t="str">
        <f>'ANALYSE - ERP =&gt; SOUS-SEGMENT'!$D$124</f>
        <v>Aéroports / aérogares
(&gt;1 000 passagers/an)</v>
      </c>
      <c r="H77" s="787">
        <f>IFERROR('ANALYSE - ERP =&gt; SOUS-SEGMENT'!$HZ$124/'ANALYSE - ERP =&gt; SOUS-SEGMENT'!$HY$124,"")</f>
        <v>0</v>
      </c>
      <c r="I77" s="787">
        <f>IFERROR('ANALYSE - ERP =&gt; SOUS-SEGMENT'!$IA$124/'ANALYSE - ERP =&gt; SOUS-SEGMENT'!$HY$124,"")</f>
        <v>8.6997790055248617E-2</v>
      </c>
      <c r="J77" s="787">
        <f>IFERROR('ANALYSE - ERP =&gt; SOUS-SEGMENT'!$IB$124/'ANALYSE - ERP =&gt; SOUS-SEGMENT'!$HY$124,"")</f>
        <v>0.4294723756906077</v>
      </c>
      <c r="K77" s="787">
        <f>IFERROR('ANALYSE - ERP =&gt; SOUS-SEGMENT'!$IC$124/'ANALYSE - ERP =&gt; SOUS-SEGMENT'!$HY$124,"")</f>
        <v>0.42460662983425423</v>
      </c>
      <c r="L77" s="787">
        <f>IFERROR('ANALYSE - ERP =&gt; SOUS-SEGMENT'!$ID$124/'ANALYSE - ERP =&gt; SOUS-SEGMENT'!$HY$124,"")</f>
        <v>5.8923204419889505E-2</v>
      </c>
      <c r="N77" s="787">
        <f>IFERROR('ANALYSE - ERP =&gt; SOUS-SEGMENT'!$IF$124/'ANALYSE - ERP =&gt; SOUS-SEGMENT'!$IE$124,"")</f>
        <v>0</v>
      </c>
      <c r="O77" s="787">
        <f>IFERROR('ANALYSE - ERP =&gt; SOUS-SEGMENT'!$IG$124/'ANALYSE - ERP =&gt; SOUS-SEGMENT'!$IE$124,"")</f>
        <v>4.9801896870930305E-2</v>
      </c>
      <c r="P77" s="787">
        <f>IFERROR('ANALYSE - ERP =&gt; SOUS-SEGMENT'!$IH$124/'ANALYSE - ERP =&gt; SOUS-SEGMENT'!$IE$124,"")</f>
        <v>0.2926149276298709</v>
      </c>
      <c r="Q77" s="787">
        <f>IFERROR('ANALYSE - ERP =&gt; SOUS-SEGMENT'!$II$124/'ANALYSE - ERP =&gt; SOUS-SEGMENT'!$IE$124,"")</f>
        <v>0.51793219858089146</v>
      </c>
      <c r="R77" s="787">
        <f>IFERROR('ANALYSE - ERP =&gt; SOUS-SEGMENT'!$IJ$124/'ANALYSE - ERP =&gt; SOUS-SEGMENT'!$IE$124,"")</f>
        <v>0.13965097691830733</v>
      </c>
      <c r="T77" s="430">
        <f>'ANALYSE - ERP =&gt; SOUS-SEGMENT'!$Q$124</f>
        <v>1</v>
      </c>
    </row>
    <row r="78" spans="1:20" ht="15" customHeight="1">
      <c r="A78" s="26">
        <v>75</v>
      </c>
      <c r="B78" s="26">
        <v>76</v>
      </c>
      <c r="C78" s="422">
        <f>'ANALYSE - ERP =&gt; SOUS-SEGMENT'!$A$72</f>
        <v>65</v>
      </c>
      <c r="D78" s="410" t="str">
        <f>'ANALYSE - ERP =&gt; SOUS-SEGMENT'!$B$72</f>
        <v>Culture, Patrimoine &amp; Evénementiel</v>
      </c>
      <c r="E78" s="410" t="str">
        <f>'ANALYSE - ERP =&gt; SOUS-SEGMENT'!$C$72</f>
        <v>Événementiel temporaire</v>
      </c>
      <c r="F78" s="410" t="str">
        <f>'ANALYSE - ERP =&gt; SOUS-SEGMENT'!$D$72</f>
        <v>Chapiteaux / Tentes / Structures</v>
      </c>
      <c r="H78" s="787">
        <f>IFERROR('ANALYSE - ERP =&gt; SOUS-SEGMENT'!$HZ$72/'ANALYSE - ERP =&gt; SOUS-SEGMENT'!$HY$72,"")</f>
        <v>3.4240000000000007E-2</v>
      </c>
      <c r="I78" s="787">
        <f>IFERROR('ANALYSE - ERP =&gt; SOUS-SEGMENT'!$IA$72/'ANALYSE - ERP =&gt; SOUS-SEGMENT'!$HY$72,"")</f>
        <v>0.42454666666666674</v>
      </c>
      <c r="J78" s="787">
        <f>IFERROR('ANALYSE - ERP =&gt; SOUS-SEGMENT'!$IB$72/'ANALYSE - ERP =&gt; SOUS-SEGMENT'!$HY$72,"")</f>
        <v>0.48082666666666674</v>
      </c>
      <c r="K78" s="787">
        <f>IFERROR('ANALYSE - ERP =&gt; SOUS-SEGMENT'!$IC$72/'ANALYSE - ERP =&gt; SOUS-SEGMENT'!$HY$72,"")</f>
        <v>6.0386666666666679E-2</v>
      </c>
      <c r="L78" s="787">
        <f>IFERROR('ANALYSE - ERP =&gt; SOUS-SEGMENT'!$ID$72/'ANALYSE - ERP =&gt; SOUS-SEGMENT'!$HY$72,"")</f>
        <v>0</v>
      </c>
      <c r="N78" s="787">
        <f>IFERROR('ANALYSE - ERP =&gt; SOUS-SEGMENT'!$IF$72/'ANALYSE - ERP =&gt; SOUS-SEGMENT'!$IE$72,"")</f>
        <v>1.7192592293364343E-2</v>
      </c>
      <c r="O78" s="787">
        <f>IFERROR('ANALYSE - ERP =&gt; SOUS-SEGMENT'!$IG$72/'ANALYSE - ERP =&gt; SOUS-SEGMENT'!$IE$72,"")</f>
        <v>0.40540185423351272</v>
      </c>
      <c r="P78" s="787">
        <f>IFERROR('ANALYSE - ERP =&gt; SOUS-SEGMENT'!$IH$72/'ANALYSE - ERP =&gt; SOUS-SEGMENT'!$IE$72,"")</f>
        <v>0.4963254671809762</v>
      </c>
      <c r="Q78" s="787">
        <f>IFERROR('ANALYSE - ERP =&gt; SOUS-SEGMENT'!$II$72/'ANALYSE - ERP =&gt; SOUS-SEGMENT'!$IE$72,"")</f>
        <v>7.7280086292146652E-2</v>
      </c>
      <c r="R78" s="787">
        <f>IFERROR('ANALYSE - ERP =&gt; SOUS-SEGMENT'!$IJ$72/'ANALYSE - ERP =&gt; SOUS-SEGMENT'!$IE$72,"")</f>
        <v>3.8E-3</v>
      </c>
      <c r="T78" s="430">
        <f>'ANALYSE - ERP =&gt; SOUS-SEGMENT'!$Q$72</f>
        <v>1</v>
      </c>
    </row>
    <row r="79" spans="1:20" ht="15" customHeight="1">
      <c r="A79" s="26">
        <v>76</v>
      </c>
      <c r="B79" s="26">
        <v>75</v>
      </c>
      <c r="C79" s="422">
        <f>'ANALYSE - ERP =&gt; SOUS-SEGMENT'!$A$140</f>
        <v>133</v>
      </c>
      <c r="D79" s="410" t="str">
        <f>'ANALYSE - ERP =&gt; SOUS-SEGMENT'!$B$140</f>
        <v>Sécurité &amp; Justice</v>
      </c>
      <c r="E79" s="410" t="str">
        <f>'ANALYSE - ERP =&gt; SOUS-SEGMENT'!$C$140</f>
        <v>Univers carcéral</v>
      </c>
      <c r="F79" s="410" t="str">
        <f>'ANALYSE - ERP =&gt; SOUS-SEGMENT'!$D$140</f>
        <v>Centres de détention</v>
      </c>
      <c r="H79" s="787">
        <f>IFERROR('ANALYSE - ERP =&gt; SOUS-SEGMENT'!$HZ$140/'ANALYSE - ERP =&gt; SOUS-SEGMENT'!$HY$140,"")</f>
        <v>0.15179776119402985</v>
      </c>
      <c r="I79" s="787">
        <f>IFERROR('ANALYSE - ERP =&gt; SOUS-SEGMENT'!$IA$140/'ANALYSE - ERP =&gt; SOUS-SEGMENT'!$HY$140,"")</f>
        <v>0.68234726368159204</v>
      </c>
      <c r="J79" s="787">
        <f>IFERROR('ANALYSE - ERP =&gt; SOUS-SEGMENT'!$IB$140/'ANALYSE - ERP =&gt; SOUS-SEGMENT'!$HY$140,"")</f>
        <v>0.16585497512437811</v>
      </c>
      <c r="K79" s="787">
        <f>IFERROR('ANALYSE - ERP =&gt; SOUS-SEGMENT'!$IC$140/'ANALYSE - ERP =&gt; SOUS-SEGMENT'!$HY$140,"")</f>
        <v>0</v>
      </c>
      <c r="L79" s="787">
        <f>IFERROR('ANALYSE - ERP =&gt; SOUS-SEGMENT'!$ID$140/'ANALYSE - ERP =&gt; SOUS-SEGMENT'!$HY$140,"")</f>
        <v>0</v>
      </c>
      <c r="N79" s="787">
        <f>IFERROR('ANALYSE - ERP =&gt; SOUS-SEGMENT'!$IF$140/'ANALYSE - ERP =&gt; SOUS-SEGMENT'!$IE$140,"")</f>
        <v>7.2557173590743679E-2</v>
      </c>
      <c r="O79" s="787">
        <f>IFERROR('ANALYSE - ERP =&gt; SOUS-SEGMENT'!$IG$140/'ANALYSE - ERP =&gt; SOUS-SEGMENT'!$IE$140,"")</f>
        <v>0.63310560472862676</v>
      </c>
      <c r="P79" s="787">
        <f>IFERROR('ANALYSE - ERP =&gt; SOUS-SEGMENT'!$IH$140/'ANALYSE - ERP =&gt; SOUS-SEGMENT'!$IE$140,"")</f>
        <v>0.29433722168062942</v>
      </c>
      <c r="Q79" s="787">
        <f>IFERROR('ANALYSE - ERP =&gt; SOUS-SEGMENT'!$II$140/'ANALYSE - ERP =&gt; SOUS-SEGMENT'!$IE$140,"")</f>
        <v>0</v>
      </c>
      <c r="R79" s="787">
        <f>IFERROR('ANALYSE - ERP =&gt; SOUS-SEGMENT'!$IJ$140/'ANALYSE - ERP =&gt; SOUS-SEGMENT'!$IE$140,"")</f>
        <v>0</v>
      </c>
      <c r="T79" s="430">
        <f>'ANALYSE - ERP =&gt; SOUS-SEGMENT'!$Q$140</f>
        <v>1</v>
      </c>
    </row>
    <row r="80" spans="1:20" ht="15" customHeight="1">
      <c r="A80" s="26">
        <v>77</v>
      </c>
      <c r="B80" s="26">
        <v>77</v>
      </c>
      <c r="C80" s="422">
        <f>'ANALYSE - ERP =&gt; SOUS-SEGMENT'!$A$146</f>
        <v>139</v>
      </c>
      <c r="D80" s="411" t="str">
        <f>'ANALYSE - ERP =&gt; SOUS-SEGMENT'!$B$146</f>
        <v>Sécurité &amp; Justice</v>
      </c>
      <c r="E80" s="411" t="str">
        <f>'ANALYSE - ERP =&gt; SOUS-SEGMENT'!$C$146</f>
        <v>Tribunaux</v>
      </c>
      <c r="F80" s="411" t="str">
        <f>'ANALYSE - ERP =&gt; SOUS-SEGMENT'!$D$146</f>
        <v>Palais de justice et bâtiments judiciaires multi-usages</v>
      </c>
      <c r="H80" s="787">
        <f>IFERROR('ANALYSE - ERP =&gt; SOUS-SEGMENT'!$HZ$146/'ANALYSE - ERP =&gt; SOUS-SEGMENT'!$HY$146,"")</f>
        <v>3.1937499999999995E-3</v>
      </c>
      <c r="I80" s="787">
        <f>IFERROR('ANALYSE - ERP =&gt; SOUS-SEGMENT'!$IA$146/'ANALYSE - ERP =&gt; SOUS-SEGMENT'!$HY$146,"")</f>
        <v>0.26232499999999997</v>
      </c>
      <c r="J80" s="787">
        <f>IFERROR('ANALYSE - ERP =&gt; SOUS-SEGMENT'!$IB$146/'ANALYSE - ERP =&gt; SOUS-SEGMENT'!$HY$146,"")</f>
        <v>0.54640833333333327</v>
      </c>
      <c r="K80" s="787">
        <f>IFERROR('ANALYSE - ERP =&gt; SOUS-SEGMENT'!$IC$146/'ANALYSE - ERP =&gt; SOUS-SEGMENT'!$HY$146,"")</f>
        <v>0.18109583333333334</v>
      </c>
      <c r="L80" s="787">
        <f>IFERROR('ANALYSE - ERP =&gt; SOUS-SEGMENT'!$ID$146/'ANALYSE - ERP =&gt; SOUS-SEGMENT'!$HY$146,"")</f>
        <v>6.9770833333333343E-3</v>
      </c>
      <c r="N80" s="787">
        <f>IFERROR('ANALYSE - ERP =&gt; SOUS-SEGMENT'!$IF$146/'ANALYSE - ERP =&gt; SOUS-SEGMENT'!$IE$146,"")</f>
        <v>0</v>
      </c>
      <c r="O80" s="787">
        <f>IFERROR('ANALYSE - ERP =&gt; SOUS-SEGMENT'!$IG$146/'ANALYSE - ERP =&gt; SOUS-SEGMENT'!$IE$146,"")</f>
        <v>0.16064568147347347</v>
      </c>
      <c r="P80" s="787">
        <f>IFERROR('ANALYSE - ERP =&gt; SOUS-SEGMENT'!$IH$146/'ANALYSE - ERP =&gt; SOUS-SEGMENT'!$IE$146,"")</f>
        <v>0.54748055909460691</v>
      </c>
      <c r="Q80" s="787">
        <f>IFERROR('ANALYSE - ERP =&gt; SOUS-SEGMENT'!$II$146/'ANALYSE - ERP =&gt; SOUS-SEGMENT'!$IE$146,"")</f>
        <v>0.27403552452504404</v>
      </c>
      <c r="R80" s="787">
        <f>IFERROR('ANALYSE - ERP =&gt; SOUS-SEGMENT'!$IJ$146/'ANALYSE - ERP =&gt; SOUS-SEGMENT'!$IE$146,"")</f>
        <v>1.7838234906875618E-2</v>
      </c>
      <c r="T80" s="430">
        <f>'ANALYSE - ERP =&gt; SOUS-SEGMENT'!$Q$146</f>
        <v>1</v>
      </c>
    </row>
    <row r="81" spans="1:20" ht="15" customHeight="1">
      <c r="A81" s="26">
        <v>78</v>
      </c>
      <c r="B81" s="26">
        <v>78</v>
      </c>
      <c r="C81" s="422">
        <f>'ANALYSE - ERP =&gt; SOUS-SEGMENT'!$A$91</f>
        <v>84</v>
      </c>
      <c r="D81" s="411" t="str">
        <f>'ANALYSE - ERP =&gt; SOUS-SEGMENT'!$B$91</f>
        <v>Hébergement Touristique</v>
      </c>
      <c r="E81" s="411" t="str">
        <f>'ANALYSE - ERP =&gt; SOUS-SEGMENT'!$C$91</f>
        <v>Hébergement Touristique</v>
      </c>
      <c r="F81" s="411" t="str">
        <f>'ANALYSE - ERP =&gt; SOUS-SEGMENT'!$D$91</f>
        <v>Pensions de famille</v>
      </c>
      <c r="H81" s="787">
        <f>IFERROR('ANALYSE - ERP =&gt; SOUS-SEGMENT'!$HZ$91/'ANALYSE - ERP =&gt; SOUS-SEGMENT'!$HY$91,"")</f>
        <v>4.9999999999999996E-2</v>
      </c>
      <c r="I81" s="787">
        <f>IFERROR('ANALYSE - ERP =&gt; SOUS-SEGMENT'!$IA$91/'ANALYSE - ERP =&gt; SOUS-SEGMENT'!$HY$91,"")</f>
        <v>0.39522666666666662</v>
      </c>
      <c r="J81" s="787">
        <f>IFERROR('ANALYSE - ERP =&gt; SOUS-SEGMENT'!$IB$91/'ANALYSE - ERP =&gt; SOUS-SEGMENT'!$HY$91,"")</f>
        <v>0.46255333333333332</v>
      </c>
      <c r="K81" s="787">
        <f>IFERROR('ANALYSE - ERP =&gt; SOUS-SEGMENT'!$IC$91/'ANALYSE - ERP =&gt; SOUS-SEGMENT'!$HY$91,"")</f>
        <v>8.9226666666666662E-2</v>
      </c>
      <c r="L81" s="787">
        <f>IFERROR('ANALYSE - ERP =&gt; SOUS-SEGMENT'!$ID$91/'ANALYSE - ERP =&gt; SOUS-SEGMENT'!$HY$91,"")</f>
        <v>2.9933333333333327E-3</v>
      </c>
      <c r="N81" s="787">
        <f>IFERROR('ANALYSE - ERP =&gt; SOUS-SEGMENT'!$IF$91/'ANALYSE - ERP =&gt; SOUS-SEGMENT'!$IE$91,"")</f>
        <v>1.445461511288927E-2</v>
      </c>
      <c r="O81" s="787">
        <f>IFERROR('ANALYSE - ERP =&gt; SOUS-SEGMENT'!$IG$91/'ANALYSE - ERP =&gt; SOUS-SEGMENT'!$IE$91,"")</f>
        <v>0.26986423066207937</v>
      </c>
      <c r="P81" s="787">
        <f>IFERROR('ANALYSE - ERP =&gt; SOUS-SEGMENT'!$IH$91/'ANALYSE - ERP =&gt; SOUS-SEGMENT'!$IE$91,"")</f>
        <v>0.53134343686693297</v>
      </c>
      <c r="Q81" s="787">
        <f>IFERROR('ANALYSE - ERP =&gt; SOUS-SEGMENT'!$II$91/'ANALYSE - ERP =&gt; SOUS-SEGMENT'!$IE$91,"")</f>
        <v>0.17432949433994241</v>
      </c>
      <c r="R81" s="787">
        <f>IFERROR('ANALYSE - ERP =&gt; SOUS-SEGMENT'!$IJ$91/'ANALYSE - ERP =&gt; SOUS-SEGMENT'!$IE$91,"")</f>
        <v>1.0008223018155998E-2</v>
      </c>
      <c r="T81" s="430">
        <f>'ANALYSE - ERP =&gt; SOUS-SEGMENT'!$Q$91</f>
        <v>1</v>
      </c>
    </row>
    <row r="82" spans="1:20" ht="15" customHeight="1">
      <c r="A82" s="26">
        <v>79</v>
      </c>
      <c r="B82" s="26">
        <v>79</v>
      </c>
      <c r="C82" s="422">
        <f>'ANALYSE - ERP =&gt; SOUS-SEGMENT'!$A$127</f>
        <v>120</v>
      </c>
      <c r="D82" s="411" t="str">
        <f>'ANALYSE - ERP =&gt; SOUS-SEGMENT'!$B$127</f>
        <v>Transport, Mobilité &amp; Stationnement</v>
      </c>
      <c r="E82" s="411" t="str">
        <f>'ANALYSE - ERP =&gt; SOUS-SEGMENT'!$C$127</f>
        <v>Transport / Mobilité</v>
      </c>
      <c r="F82" s="411" t="str">
        <f>'ANALYSE - ERP =&gt; SOUS-SEGMENT'!$D$127</f>
        <v>Terminaux maritimes / fluviaux</v>
      </c>
      <c r="H82" s="787">
        <f>IFERROR('ANALYSE - ERP =&gt; SOUS-SEGMENT'!$HZ$127/'ANALYSE - ERP =&gt; SOUS-SEGMENT'!$HY$127,"")</f>
        <v>0</v>
      </c>
      <c r="I82" s="787">
        <f>IFERROR('ANALYSE - ERP =&gt; SOUS-SEGMENT'!$IA$127/'ANALYSE - ERP =&gt; SOUS-SEGMENT'!$HY$127,"")</f>
        <v>9.7534999999999997E-2</v>
      </c>
      <c r="J82" s="787">
        <f>IFERROR('ANALYSE - ERP =&gt; SOUS-SEGMENT'!$IB$127/'ANALYSE - ERP =&gt; SOUS-SEGMENT'!$HY$127,"")</f>
        <v>0.45919166666666666</v>
      </c>
      <c r="K82" s="787">
        <f>IFERROR('ANALYSE - ERP =&gt; SOUS-SEGMENT'!$IC$127/'ANALYSE - ERP =&gt; SOUS-SEGMENT'!$HY$127,"")</f>
        <v>0.3995149999999999</v>
      </c>
      <c r="L82" s="787">
        <f>IFERROR('ANALYSE - ERP =&gt; SOUS-SEGMENT'!$ID$127/'ANALYSE - ERP =&gt; SOUS-SEGMENT'!$HY$127,"")</f>
        <v>4.3758333333333323E-2</v>
      </c>
      <c r="N82" s="787">
        <f>IFERROR('ANALYSE - ERP =&gt; SOUS-SEGMENT'!$IF$127/'ANALYSE - ERP =&gt; SOUS-SEGMENT'!$IE$127,"")</f>
        <v>0</v>
      </c>
      <c r="O82" s="787">
        <f>IFERROR('ANALYSE - ERP =&gt; SOUS-SEGMENT'!$IG$127/'ANALYSE - ERP =&gt; SOUS-SEGMENT'!$IE$127,"")</f>
        <v>5.0773615343799462E-2</v>
      </c>
      <c r="P82" s="787">
        <f>IFERROR('ANALYSE - ERP =&gt; SOUS-SEGMENT'!$IH$127/'ANALYSE - ERP =&gt; SOUS-SEGMENT'!$IE$127,"")</f>
        <v>0.29889934543623936</v>
      </c>
      <c r="Q82" s="787">
        <f>IFERROR('ANALYSE - ERP =&gt; SOUS-SEGMENT'!$II$127/'ANALYSE - ERP =&gt; SOUS-SEGMENT'!$IE$127,"")</f>
        <v>0.51120414970293093</v>
      </c>
      <c r="R82" s="787">
        <f>IFERROR('ANALYSE - ERP =&gt; SOUS-SEGMENT'!$IJ$127/'ANALYSE - ERP =&gt; SOUS-SEGMENT'!$IE$127,"")</f>
        <v>0.13912288951703036</v>
      </c>
      <c r="T82" s="430">
        <f>'ANALYSE - ERP =&gt; SOUS-SEGMENT'!$Q$127</f>
        <v>1</v>
      </c>
    </row>
    <row r="83" spans="1:20" ht="15" customHeight="1">
      <c r="A83" s="26">
        <v>80</v>
      </c>
      <c r="B83" s="26">
        <v>80</v>
      </c>
      <c r="C83" s="422">
        <f>'ANALYSE - ERP =&gt; SOUS-SEGMENT'!$A$71</f>
        <v>64</v>
      </c>
      <c r="D83" s="415" t="str">
        <f>'ANALYSE - ERP =&gt; SOUS-SEGMENT'!$B$71</f>
        <v>Culture, Patrimoine &amp; Evénementiel</v>
      </c>
      <c r="E83" s="415" t="str">
        <f>'ANALYSE - ERP =&gt; SOUS-SEGMENT'!$C$71</f>
        <v>Expositions / salons</v>
      </c>
      <c r="F83" s="415" t="str">
        <f>'ANALYSE - ERP =&gt; SOUS-SEGMENT'!$D$71</f>
        <v>Halls d’exposition</v>
      </c>
      <c r="H83" s="787">
        <f>IFERROR('ANALYSE - ERP =&gt; SOUS-SEGMENT'!$HZ$71/'ANALYSE - ERP =&gt; SOUS-SEGMENT'!$HY$71,"")</f>
        <v>4.7872340425531919E-5</v>
      </c>
      <c r="I83" s="787">
        <f>IFERROR('ANALYSE - ERP =&gt; SOUS-SEGMENT'!$IA$71/'ANALYSE - ERP =&gt; SOUS-SEGMENT'!$HY$71,"")</f>
        <v>0.14039680851063829</v>
      </c>
      <c r="J83" s="787">
        <f>IFERROR('ANALYSE - ERP =&gt; SOUS-SEGMENT'!$IB$71/'ANALYSE - ERP =&gt; SOUS-SEGMENT'!$HY$71,"")</f>
        <v>0.4824287234042553</v>
      </c>
      <c r="K83" s="787">
        <f>IFERROR('ANALYSE - ERP =&gt; SOUS-SEGMENT'!$IC$71/'ANALYSE - ERP =&gt; SOUS-SEGMENT'!$HY$71,"")</f>
        <v>0.33161489361702129</v>
      </c>
      <c r="L83" s="787">
        <f>IFERROR('ANALYSE - ERP =&gt; SOUS-SEGMENT'!$ID$71/'ANALYSE - ERP =&gt; SOUS-SEGMENT'!$HY$71,"")</f>
        <v>4.5511702127659578E-2</v>
      </c>
      <c r="N83" s="787">
        <f>IFERROR('ANALYSE - ERP =&gt; SOUS-SEGMENT'!$IF$71/'ANALYSE - ERP =&gt; SOUS-SEGMENT'!$IE$71,"")</f>
        <v>0</v>
      </c>
      <c r="O83" s="787">
        <f>IFERROR('ANALYSE - ERP =&gt; SOUS-SEGMENT'!$IG$71/'ANALYSE - ERP =&gt; SOUS-SEGMENT'!$IE$71,"")</f>
        <v>6.0036225411708874E-2</v>
      </c>
      <c r="P83" s="787">
        <f>IFERROR('ANALYSE - ERP =&gt; SOUS-SEGMENT'!$IH$71/'ANALYSE - ERP =&gt; SOUS-SEGMENT'!$IE$71,"")</f>
        <v>0.39979366167379471</v>
      </c>
      <c r="Q83" s="787">
        <f>IFERROR('ANALYSE - ERP =&gt; SOUS-SEGMENT'!$II$71/'ANALYSE - ERP =&gt; SOUS-SEGMENT'!$IE$71,"")</f>
        <v>0.43990278022304641</v>
      </c>
      <c r="R83" s="787">
        <f>IFERROR('ANALYSE - ERP =&gt; SOUS-SEGMENT'!$IJ$71/'ANALYSE - ERP =&gt; SOUS-SEGMENT'!$IE$71,"")</f>
        <v>0.10026733269145004</v>
      </c>
      <c r="T83" s="430">
        <f>'ANALYSE - ERP =&gt; SOUS-SEGMENT'!$Q$71</f>
        <v>1</v>
      </c>
    </row>
    <row r="84" spans="1:20" ht="15" customHeight="1">
      <c r="A84" s="26">
        <v>81</v>
      </c>
      <c r="B84" s="26">
        <v>81</v>
      </c>
      <c r="C84" s="422">
        <f>'ANALYSE - ERP =&gt; SOUS-SEGMENT'!$A$132</f>
        <v>125</v>
      </c>
      <c r="D84" s="417" t="str">
        <f>'ANALYSE - ERP =&gt; SOUS-SEGMENT'!$B$132</f>
        <v>Sécurité &amp; Justice</v>
      </c>
      <c r="E84" s="417" t="str">
        <f>'ANALYSE - ERP =&gt; SOUS-SEGMENT'!$C$132</f>
        <v xml:space="preserve">Commissariats / postes de police </v>
      </c>
      <c r="F84" s="417" t="str">
        <f>'ANALYSE - ERP =&gt; SOUS-SEGMENT'!$D$132</f>
        <v>Locaux de sûreté, garde à vue et zones opérationnelles</v>
      </c>
      <c r="H84" s="787">
        <f>IFERROR('ANALYSE - ERP =&gt; SOUS-SEGMENT'!$HZ$132/'ANALYSE - ERP =&gt; SOUS-SEGMENT'!$HY$132,"")</f>
        <v>9.554E-2</v>
      </c>
      <c r="I84" s="787">
        <f>IFERROR('ANALYSE - ERP =&gt; SOUS-SEGMENT'!$IA$132/'ANALYSE - ERP =&gt; SOUS-SEGMENT'!$HY$132,"")</f>
        <v>0.5985299999999999</v>
      </c>
      <c r="J84" s="787">
        <f>IFERROR('ANALYSE - ERP =&gt; SOUS-SEGMENT'!$IB$132/'ANALYSE - ERP =&gt; SOUS-SEGMENT'!$HY$132,"")</f>
        <v>0.30593000000000004</v>
      </c>
      <c r="K84" s="787">
        <f>IFERROR('ANALYSE - ERP =&gt; SOUS-SEGMENT'!$IC$132/'ANALYSE - ERP =&gt; SOUS-SEGMENT'!$HY$132,"")</f>
        <v>0</v>
      </c>
      <c r="L84" s="787">
        <f>IFERROR('ANALYSE - ERP =&gt; SOUS-SEGMENT'!$ID$132/'ANALYSE - ERP =&gt; SOUS-SEGMENT'!$HY$132,"")</f>
        <v>0</v>
      </c>
      <c r="N84" s="787">
        <f>IFERROR('ANALYSE - ERP =&gt; SOUS-SEGMENT'!$IF$132/'ANALYSE - ERP =&gt; SOUS-SEGMENT'!$IE$132,"")</f>
        <v>5.3150635882523029E-2</v>
      </c>
      <c r="O84" s="787">
        <f>IFERROR('ANALYSE - ERP =&gt; SOUS-SEGMENT'!$IG$132/'ANALYSE - ERP =&gt; SOUS-SEGMENT'!$IE$132,"")</f>
        <v>0.52249669753583128</v>
      </c>
      <c r="P84" s="787">
        <f>IFERROR('ANALYSE - ERP =&gt; SOUS-SEGMENT'!$IH$132/'ANALYSE - ERP =&gt; SOUS-SEGMENT'!$IE$132,"")</f>
        <v>0.42435266658164555</v>
      </c>
      <c r="Q84" s="787">
        <f>IFERROR('ANALYSE - ERP =&gt; SOUS-SEGMENT'!$II$132/'ANALYSE - ERP =&gt; SOUS-SEGMENT'!$IE$132,"")</f>
        <v>0</v>
      </c>
      <c r="R84" s="787">
        <f>IFERROR('ANALYSE - ERP =&gt; SOUS-SEGMENT'!$IJ$132/'ANALYSE - ERP =&gt; SOUS-SEGMENT'!$IE$132,"")</f>
        <v>0</v>
      </c>
      <c r="T84" s="430">
        <f>'ANALYSE - ERP =&gt; SOUS-SEGMENT'!$Q$132</f>
        <v>1</v>
      </c>
    </row>
    <row r="85" spans="1:20" ht="15" customHeight="1">
      <c r="A85" s="26">
        <v>82</v>
      </c>
      <c r="B85" s="26">
        <v>82</v>
      </c>
      <c r="C85" s="422">
        <f>'ANALYSE - ERP =&gt; SOUS-SEGMENT'!$A$118</f>
        <v>111</v>
      </c>
      <c r="D85" s="415" t="str">
        <f>'ANALYSE - ERP =&gt; SOUS-SEGMENT'!$B$118</f>
        <v>Culte, Vie civique &amp; Services publics</v>
      </c>
      <c r="E85" s="415" t="str">
        <f>'ANALYSE - ERP =&gt; SOUS-SEGMENT'!$C$118</f>
        <v>Culte</v>
      </c>
      <c r="F85" s="415" t="str">
        <f>'ANALYSE - ERP =&gt; SOUS-SEGMENT'!$D$118</f>
        <v>Temples bouddhistes, hindous et autres lieux de culte non abrahamiques ouverts au public</v>
      </c>
      <c r="H85" s="787">
        <f>IFERROR('ANALYSE - ERP =&gt; SOUS-SEGMENT'!$HZ$118/'ANALYSE - ERP =&gt; SOUS-SEGMENT'!$HY$118,"")</f>
        <v>0.10724615384615384</v>
      </c>
      <c r="I85" s="787">
        <f>IFERROR('ANALYSE - ERP =&gt; SOUS-SEGMENT'!$IA$118/'ANALYSE - ERP =&gt; SOUS-SEGMENT'!$HY$118,"")</f>
        <v>0.5407615384615384</v>
      </c>
      <c r="J85" s="787">
        <f>IFERROR('ANALYSE - ERP =&gt; SOUS-SEGMENT'!$IB$118/'ANALYSE - ERP =&gt; SOUS-SEGMENT'!$HY$118,"")</f>
        <v>0.32585384615384622</v>
      </c>
      <c r="K85" s="787">
        <f>IFERROR('ANALYSE - ERP =&gt; SOUS-SEGMENT'!$IC$118/'ANALYSE - ERP =&gt; SOUS-SEGMENT'!$HY$118,"")</f>
        <v>2.6138461538461537E-2</v>
      </c>
      <c r="L85" s="787">
        <f>IFERROR('ANALYSE - ERP =&gt; SOUS-SEGMENT'!$ID$118/'ANALYSE - ERP =&gt; SOUS-SEGMENT'!$HY$118,"")</f>
        <v>0</v>
      </c>
      <c r="N85" s="787">
        <f>IFERROR('ANALYSE - ERP =&gt; SOUS-SEGMENT'!$IF$118/'ANALYSE - ERP =&gt; SOUS-SEGMENT'!$IE$118,"")</f>
        <v>9.4201036930646465E-2</v>
      </c>
      <c r="O85" s="787">
        <f>IFERROR('ANALYSE - ERP =&gt; SOUS-SEGMENT'!$IG$118/'ANALYSE - ERP =&gt; SOUS-SEGMENT'!$IE$118,"")</f>
        <v>0.52513440600905437</v>
      </c>
      <c r="P85" s="787">
        <f>IFERROR('ANALYSE - ERP =&gt; SOUS-SEGMENT'!$IH$118/'ANALYSE - ERP =&gt; SOUS-SEGMENT'!$IE$118,"")</f>
        <v>0.33747363663271696</v>
      </c>
      <c r="Q85" s="787">
        <f>IFERROR('ANALYSE - ERP =&gt; SOUS-SEGMENT'!$II$118/'ANALYSE - ERP =&gt; SOUS-SEGMENT'!$IE$118,"")</f>
        <v>3.9990920427582254E-2</v>
      </c>
      <c r="R85" s="787">
        <f>IFERROR('ANALYSE - ERP =&gt; SOUS-SEGMENT'!$IJ$118/'ANALYSE - ERP =&gt; SOUS-SEGMENT'!$IE$118,"")</f>
        <v>3.1999999999999997E-3</v>
      </c>
      <c r="T85" s="430">
        <f>'ANALYSE - ERP =&gt; SOUS-SEGMENT'!$Q$118</f>
        <v>1</v>
      </c>
    </row>
    <row r="86" spans="1:20" ht="15" customHeight="1">
      <c r="A86" s="26">
        <v>83</v>
      </c>
      <c r="B86" s="26">
        <v>83</v>
      </c>
      <c r="C86" s="422">
        <f>'ANALYSE - ERP =&gt; SOUS-SEGMENT'!$A$138</f>
        <v>131</v>
      </c>
      <c r="D86" s="411" t="str">
        <f>'ANALYSE - ERP =&gt; SOUS-SEGMENT'!$B$138</f>
        <v>Sécurité &amp; Justice</v>
      </c>
      <c r="E86" s="411" t="str">
        <f>'ANALYSE - ERP =&gt; SOUS-SEGMENT'!$C$138</f>
        <v>Forces armées</v>
      </c>
      <c r="F86" s="411" t="str">
        <f>'ANALYSE - ERP =&gt; SOUS-SEGMENT'!$D$138</f>
        <v>Salles de conférence, auditoriums et espaces événementiels ouverts au public</v>
      </c>
      <c r="H86" s="787">
        <f>IFERROR('ANALYSE - ERP =&gt; SOUS-SEGMENT'!$HZ$138/'ANALYSE - ERP =&gt; SOUS-SEGMENT'!$HY$138,"")</f>
        <v>7.2076923076923056E-3</v>
      </c>
      <c r="I86" s="787">
        <f>IFERROR('ANALYSE - ERP =&gt; SOUS-SEGMENT'!$IA$138/'ANALYSE - ERP =&gt; SOUS-SEGMENT'!$HY$138,"")</f>
        <v>0.32737307692307688</v>
      </c>
      <c r="J86" s="787">
        <f>IFERROR('ANALYSE - ERP =&gt; SOUS-SEGMENT'!$IB$138/'ANALYSE - ERP =&gt; SOUS-SEGMENT'!$HY$138,"")</f>
        <v>0.5402769230769231</v>
      </c>
      <c r="K86" s="787">
        <f>IFERROR('ANALYSE - ERP =&gt; SOUS-SEGMENT'!$IC$138/'ANALYSE - ERP =&gt; SOUS-SEGMENT'!$HY$138,"")</f>
        <v>0.12305769230769228</v>
      </c>
      <c r="L86" s="787">
        <f>IFERROR('ANALYSE - ERP =&gt; SOUS-SEGMENT'!$ID$138/'ANALYSE - ERP =&gt; SOUS-SEGMENT'!$HY$138,"")</f>
        <v>2.084615384615384E-3</v>
      </c>
      <c r="N86" s="787">
        <f>IFERROR('ANALYSE - ERP =&gt; SOUS-SEGMENT'!$IF$138/'ANALYSE - ERP =&gt; SOUS-SEGMENT'!$IE$138,"")</f>
        <v>0</v>
      </c>
      <c r="O86" s="787">
        <f>IFERROR('ANALYSE - ERP =&gt; SOUS-SEGMENT'!$IG$138/'ANALYSE - ERP =&gt; SOUS-SEGMENT'!$IE$138,"")</f>
        <v>0.20143990682264368</v>
      </c>
      <c r="P86" s="787">
        <f>IFERROR('ANALYSE - ERP =&gt; SOUS-SEGMENT'!$IH$138/'ANALYSE - ERP =&gt; SOUS-SEGMENT'!$IE$138,"")</f>
        <v>0.58324185319876953</v>
      </c>
      <c r="Q86" s="787">
        <f>IFERROR('ANALYSE - ERP =&gt; SOUS-SEGMENT'!$II$138/'ANALYSE - ERP =&gt; SOUS-SEGMENT'!$IE$138,"")</f>
        <v>0.20838455449905841</v>
      </c>
      <c r="R86" s="787">
        <f>IFERROR('ANALYSE - ERP =&gt; SOUS-SEGMENT'!$IJ$138/'ANALYSE - ERP =&gt; SOUS-SEGMENT'!$IE$138,"")</f>
        <v>6.9336854795282749E-3</v>
      </c>
      <c r="T86" s="430">
        <f>'ANALYSE - ERP =&gt; SOUS-SEGMENT'!$Q$138</f>
        <v>1</v>
      </c>
    </row>
    <row r="87" spans="1:20" ht="15" customHeight="1">
      <c r="A87" s="26">
        <v>84</v>
      </c>
      <c r="B87" s="26">
        <v>84</v>
      </c>
      <c r="C87" s="422">
        <f>'ANALYSE - ERP =&gt; SOUS-SEGMENT'!$A$93</f>
        <v>86</v>
      </c>
      <c r="D87" s="415" t="str">
        <f>'ANALYSE - ERP =&gt; SOUS-SEGMENT'!$B$93</f>
        <v>Hébergement Touristique</v>
      </c>
      <c r="E87" s="415" t="str">
        <f>'ANALYSE - ERP =&gt; SOUS-SEGMENT'!$C$93</f>
        <v>Hébergement Montagne</v>
      </c>
      <c r="F87" s="415" t="str">
        <f>'ANALYSE - ERP =&gt; SOUS-SEGMENT'!$D$93</f>
        <v>Refuges de montagne</v>
      </c>
      <c r="H87" s="787">
        <f>IFERROR('ANALYSE - ERP =&gt; SOUS-SEGMENT'!$HZ$93/'ANALYSE - ERP =&gt; SOUS-SEGMENT'!$HY$93,"")</f>
        <v>0.19562000000000002</v>
      </c>
      <c r="I87" s="787">
        <f>IFERROR('ANALYSE - ERP =&gt; SOUS-SEGMENT'!$IA$93/'ANALYSE - ERP =&gt; SOUS-SEGMENT'!$HY$93,"")</f>
        <v>0.64726799999999995</v>
      </c>
      <c r="J87" s="787">
        <f>IFERROR('ANALYSE - ERP =&gt; SOUS-SEGMENT'!$IB$93/'ANALYSE - ERP =&gt; SOUS-SEGMENT'!$HY$93,"")</f>
        <v>0.15711200000000003</v>
      </c>
      <c r="K87" s="787">
        <f>IFERROR('ANALYSE - ERP =&gt; SOUS-SEGMENT'!$IC$93/'ANALYSE - ERP =&gt; SOUS-SEGMENT'!$HY$93,"")</f>
        <v>0</v>
      </c>
      <c r="L87" s="787">
        <f>IFERROR('ANALYSE - ERP =&gt; SOUS-SEGMENT'!$ID$93/'ANALYSE - ERP =&gt; SOUS-SEGMENT'!$HY$93,"")</f>
        <v>0</v>
      </c>
      <c r="N87" s="787">
        <f>IFERROR('ANALYSE - ERP =&gt; SOUS-SEGMENT'!$IF$93/'ANALYSE - ERP =&gt; SOUS-SEGMENT'!$IE$93,"")</f>
        <v>0.11941774373045694</v>
      </c>
      <c r="O87" s="787">
        <f>IFERROR('ANALYSE - ERP =&gt; SOUS-SEGMENT'!$IG$93/'ANALYSE - ERP =&gt; SOUS-SEGMENT'!$IE$93,"")</f>
        <v>0.61931832747445947</v>
      </c>
      <c r="P87" s="787">
        <f>IFERROR('ANALYSE - ERP =&gt; SOUS-SEGMENT'!$IH$93/'ANALYSE - ERP =&gt; SOUS-SEGMENT'!$IE$93,"")</f>
        <v>0.26126392879508364</v>
      </c>
      <c r="Q87" s="787">
        <f>IFERROR('ANALYSE - ERP =&gt; SOUS-SEGMENT'!$II$93/'ANALYSE - ERP =&gt; SOUS-SEGMENT'!$IE$93,"")</f>
        <v>0</v>
      </c>
      <c r="R87" s="787">
        <f>IFERROR('ANALYSE - ERP =&gt; SOUS-SEGMENT'!$IJ$93/'ANALYSE - ERP =&gt; SOUS-SEGMENT'!$IE$93,"")</f>
        <v>0</v>
      </c>
      <c r="T87" s="430">
        <f>'ANALYSE - ERP =&gt; SOUS-SEGMENT'!$Q$93</f>
        <v>1</v>
      </c>
    </row>
    <row r="88" spans="1:20" ht="15" customHeight="1">
      <c r="A88" s="26">
        <v>85</v>
      </c>
      <c r="B88" s="26">
        <v>85</v>
      </c>
      <c r="C88" s="422">
        <f>'ANALYSE - ERP =&gt; SOUS-SEGMENT'!$A$121</f>
        <v>114</v>
      </c>
      <c r="D88" s="417" t="str">
        <f>'ANALYSE - ERP =&gt; SOUS-SEGMENT'!$B$121</f>
        <v>Transport, Mobilité &amp; Stationnement</v>
      </c>
      <c r="E88" s="417" t="str">
        <f>'ANALYSE - ERP =&gt; SOUS-SEGMENT'!$C$121</f>
        <v>Transport / Mobilité</v>
      </c>
      <c r="F88" s="417" t="str">
        <f>'ANALYSE - ERP =&gt; SOUS-SEGMENT'!$D$121</f>
        <v>Aires de service - Autoroutes
(Hors Aires de repos)</v>
      </c>
      <c r="H88" s="787">
        <f>IFERROR('ANALYSE - ERP =&gt; SOUS-SEGMENT'!$HZ$121/'ANALYSE - ERP =&gt; SOUS-SEGMENT'!$HY$121,"")</f>
        <v>5.5233333333333329E-2</v>
      </c>
      <c r="I88" s="787">
        <f>IFERROR('ANALYSE - ERP =&gt; SOUS-SEGMENT'!$IA$121/'ANALYSE - ERP =&gt; SOUS-SEGMENT'!$HY$121,"")</f>
        <v>0.49798333333333322</v>
      </c>
      <c r="J88" s="787">
        <f>IFERROR('ANALYSE - ERP =&gt; SOUS-SEGMENT'!$IB$121/'ANALYSE - ERP =&gt; SOUS-SEGMENT'!$HY$121,"")</f>
        <v>0.37545000000000001</v>
      </c>
      <c r="K88" s="787">
        <f>IFERROR('ANALYSE - ERP =&gt; SOUS-SEGMENT'!$IC$121/'ANALYSE - ERP =&gt; SOUS-SEGMENT'!$HY$121,"")</f>
        <v>4.1333333333333333E-2</v>
      </c>
      <c r="L88" s="787">
        <f>IFERROR('ANALYSE - ERP =&gt; SOUS-SEGMENT'!$ID$121/'ANALYSE - ERP =&gt; SOUS-SEGMENT'!$HY$121,"")</f>
        <v>0.03</v>
      </c>
      <c r="N88" s="787">
        <f>IFERROR('ANALYSE - ERP =&gt; SOUS-SEGMENT'!$IF$121/'ANALYSE - ERP =&gt; SOUS-SEGMENT'!$IE$121,"")</f>
        <v>1.8181095919909743E-2</v>
      </c>
      <c r="O88" s="787">
        <f>IFERROR('ANALYSE - ERP =&gt; SOUS-SEGMENT'!$IG$121/'ANALYSE - ERP =&gt; SOUS-SEGMENT'!$IE$121,"")</f>
        <v>0.39205761381711279</v>
      </c>
      <c r="P88" s="787">
        <f>IFERROR('ANALYSE - ERP =&gt; SOUS-SEGMENT'!$IH$121/'ANALYSE - ERP =&gt; SOUS-SEGMENT'!$IE$121,"")</f>
        <v>0.4899161091153359</v>
      </c>
      <c r="Q88" s="787">
        <f>IFERROR('ANALYSE - ERP =&gt; SOUS-SEGMENT'!$II$121/'ANALYSE - ERP =&gt; SOUS-SEGMENT'!$IE$121,"")</f>
        <v>6.9845181147641558E-2</v>
      </c>
      <c r="R88" s="787">
        <f>IFERROR('ANALYSE - ERP =&gt; SOUS-SEGMENT'!$IJ$121/'ANALYSE - ERP =&gt; SOUS-SEGMENT'!$IE$121,"")</f>
        <v>0.03</v>
      </c>
      <c r="T88" s="430">
        <f>'ANALYSE - ERP =&gt; SOUS-SEGMENT'!$Q$121</f>
        <v>1</v>
      </c>
    </row>
    <row r="89" spans="1:20" ht="15" customHeight="1">
      <c r="A89" s="26">
        <v>86</v>
      </c>
      <c r="B89" s="26">
        <v>86</v>
      </c>
      <c r="C89" s="422">
        <f>'ANALYSE - ERP =&gt; SOUS-SEGMENT'!$A$47</f>
        <v>40</v>
      </c>
      <c r="D89" s="411" t="str">
        <f>'ANALYSE - ERP =&gt; SOUS-SEGMENT'!$B$47</f>
        <v>Santé &amp; Médico-social</v>
      </c>
      <c r="E89" s="411" t="str">
        <f>'ANALYSE - ERP =&gt; SOUS-SEGMENT'!$C$47</f>
        <v>Santé hospitalière</v>
      </c>
      <c r="F89" s="411" t="str">
        <f>'ANALYSE - ERP =&gt; SOUS-SEGMENT'!$D$47</f>
        <v>Hôpitaux d’instruction des armées et centres médicaux recevant du public</v>
      </c>
      <c r="H89" s="787">
        <f>IFERROR('ANALYSE - ERP =&gt; SOUS-SEGMENT'!$HZ$47/'ANALYSE - ERP =&gt; SOUS-SEGMENT'!$HY$47,"")</f>
        <v>1.2872727272727272E-3</v>
      </c>
      <c r="I89" s="787">
        <f>IFERROR('ANALYSE - ERP =&gt; SOUS-SEGMENT'!$IA$47/'ANALYSE - ERP =&gt; SOUS-SEGMENT'!$HY$47,"")</f>
        <v>0.30154060606060606</v>
      </c>
      <c r="J89" s="787">
        <f>IFERROR('ANALYSE - ERP =&gt; SOUS-SEGMENT'!$IB$47/'ANALYSE - ERP =&gt; SOUS-SEGMENT'!$HY$47,"")</f>
        <v>0.55983515151515151</v>
      </c>
      <c r="K89" s="787">
        <f>IFERROR('ANALYSE - ERP =&gt; SOUS-SEGMENT'!$IC$47/'ANALYSE - ERP =&gt; SOUS-SEGMENT'!$HY$47,"")</f>
        <v>0.13484606060606061</v>
      </c>
      <c r="L89" s="787">
        <f>IFERROR('ANALYSE - ERP =&gt; SOUS-SEGMENT'!$ID$47/'ANALYSE - ERP =&gt; SOUS-SEGMENT'!$HY$47,"")</f>
        <v>2.4909090909090909E-3</v>
      </c>
      <c r="N89" s="787">
        <f>IFERROR('ANALYSE - ERP =&gt; SOUS-SEGMENT'!$IF$47/'ANALYSE - ERP =&gt; SOUS-SEGMENT'!$IE$47,"")</f>
        <v>3.4270092541431917E-5</v>
      </c>
      <c r="O89" s="787">
        <f>IFERROR('ANALYSE - ERP =&gt; SOUS-SEGMENT'!$IG$47/'ANALYSE - ERP =&gt; SOUS-SEGMENT'!$IE$47,"")</f>
        <v>0.16483197897267882</v>
      </c>
      <c r="P89" s="787">
        <f>IFERROR('ANALYSE - ERP =&gt; SOUS-SEGMENT'!$IH$47/'ANALYSE - ERP =&gt; SOUS-SEGMENT'!$IE$47,"")</f>
        <v>0.58740726177728553</v>
      </c>
      <c r="Q89" s="787">
        <f>IFERROR('ANALYSE - ERP =&gt; SOUS-SEGMENT'!$II$47/'ANALYSE - ERP =&gt; SOUS-SEGMENT'!$IE$47,"")</f>
        <v>0.2386759692486225</v>
      </c>
      <c r="R89" s="787">
        <f>IFERROR('ANALYSE - ERP =&gt; SOUS-SEGMENT'!$IJ$47/'ANALYSE - ERP =&gt; SOUS-SEGMENT'!$IE$47,"")</f>
        <v>9.0505199088715925E-3</v>
      </c>
      <c r="T89" s="430">
        <f>'ANALYSE - ERP =&gt; SOUS-SEGMENT'!$Q$47</f>
        <v>1</v>
      </c>
    </row>
    <row r="90" spans="1:20" ht="15" customHeight="1">
      <c r="A90" s="26">
        <v>87</v>
      </c>
      <c r="B90" s="26">
        <v>87</v>
      </c>
      <c r="C90" s="422" t="e">
        <f>'ANALYSE - ERP =&gt; SOUS-SEGMENT'!#REF!</f>
        <v>#REF!</v>
      </c>
      <c r="D90" s="415" t="e">
        <f>'ANALYSE - ERP =&gt; SOUS-SEGMENT'!#REF!</f>
        <v>#REF!</v>
      </c>
      <c r="E90" s="415" t="e">
        <f>'ANALYSE - ERP =&gt; SOUS-SEGMENT'!#REF!</f>
        <v>#REF!</v>
      </c>
      <c r="F90" s="415" t="e">
        <f>'ANALYSE - ERP =&gt; SOUS-SEGMENT'!#REF!</f>
        <v>#REF!</v>
      </c>
      <c r="H90" s="787" t="str">
        <f>IFERROR('ANALYSE - ERP =&gt; SOUS-SEGMENT'!#REF!/'ANALYSE - ERP =&gt; SOUS-SEGMENT'!#REF!,"")</f>
        <v/>
      </c>
      <c r="I90" s="787" t="str">
        <f>IFERROR('ANALYSE - ERP =&gt; SOUS-SEGMENT'!#REF!/'ANALYSE - ERP =&gt; SOUS-SEGMENT'!#REF!,"")</f>
        <v/>
      </c>
      <c r="J90" s="787" t="str">
        <f>IFERROR('ANALYSE - ERP =&gt; SOUS-SEGMENT'!#REF!/'ANALYSE - ERP =&gt; SOUS-SEGMENT'!#REF!,"")</f>
        <v/>
      </c>
      <c r="K90" s="787" t="str">
        <f>IFERROR('ANALYSE - ERP =&gt; SOUS-SEGMENT'!#REF!/'ANALYSE - ERP =&gt; SOUS-SEGMENT'!#REF!,"")</f>
        <v/>
      </c>
      <c r="L90" s="787" t="str">
        <f>IFERROR('ANALYSE - ERP =&gt; SOUS-SEGMENT'!#REF!/'ANALYSE - ERP =&gt; SOUS-SEGMENT'!#REF!,"")</f>
        <v/>
      </c>
      <c r="N90" s="787" t="str">
        <f>IFERROR('ANALYSE - ERP =&gt; SOUS-SEGMENT'!#REF!/'ANALYSE - ERP =&gt; SOUS-SEGMENT'!#REF!,"")</f>
        <v/>
      </c>
      <c r="O90" s="787" t="str">
        <f>IFERROR('ANALYSE - ERP =&gt; SOUS-SEGMENT'!#REF!/'ANALYSE - ERP =&gt; SOUS-SEGMENT'!#REF!,"")</f>
        <v/>
      </c>
      <c r="P90" s="787" t="str">
        <f>IFERROR('ANALYSE - ERP =&gt; SOUS-SEGMENT'!#REF!/'ANALYSE - ERP =&gt; SOUS-SEGMENT'!#REF!,"")</f>
        <v/>
      </c>
      <c r="Q90" s="787" t="str">
        <f>IFERROR('ANALYSE - ERP =&gt; SOUS-SEGMENT'!#REF!/'ANALYSE - ERP =&gt; SOUS-SEGMENT'!#REF!,"")</f>
        <v/>
      </c>
      <c r="R90" s="787" t="str">
        <f>IFERROR('ANALYSE - ERP =&gt; SOUS-SEGMENT'!#REF!/'ANALYSE - ERP =&gt; SOUS-SEGMENT'!#REF!,"")</f>
        <v/>
      </c>
      <c r="T90" s="430" t="e">
        <f>'ANALYSE - ERP =&gt; SOUS-SEGMENT'!#REF!</f>
        <v>#REF!</v>
      </c>
    </row>
    <row r="91" spans="1:20" ht="15" customHeight="1">
      <c r="A91" s="26">
        <v>88</v>
      </c>
      <c r="B91" s="26">
        <v>88</v>
      </c>
      <c r="C91" s="422">
        <f>'ANALYSE - ERP =&gt; SOUS-SEGMENT'!$A$92</f>
        <v>85</v>
      </c>
      <c r="D91" s="415" t="str">
        <f>'ANALYSE - ERP =&gt; SOUS-SEGMENT'!$B$92</f>
        <v>Hébergement Touristique</v>
      </c>
      <c r="E91" s="415" t="str">
        <f>'ANALYSE - ERP =&gt; SOUS-SEGMENT'!$C$92</f>
        <v>Hébergement Montagne</v>
      </c>
      <c r="F91" s="415" t="str">
        <f>'ANALYSE - ERP =&gt; SOUS-SEGMENT'!$D$92</f>
        <v>Hôtels-restaurants d’altitude</v>
      </c>
      <c r="H91" s="787">
        <f>IFERROR('ANALYSE - ERP =&gt; SOUS-SEGMENT'!$HZ$92/'ANALYSE - ERP =&gt; SOUS-SEGMENT'!$HY$92,"")</f>
        <v>0</v>
      </c>
      <c r="I91" s="787">
        <f>IFERROR('ANALYSE - ERP =&gt; SOUS-SEGMENT'!$IA$92/'ANALYSE - ERP =&gt; SOUS-SEGMENT'!$HY$92,"")</f>
        <v>1.3600000000000001E-3</v>
      </c>
      <c r="J91" s="787">
        <f>IFERROR('ANALYSE - ERP =&gt; SOUS-SEGMENT'!$IB$92/'ANALYSE - ERP =&gt; SOUS-SEGMENT'!$HY$92,"")</f>
        <v>0.28212666666666669</v>
      </c>
      <c r="K91" s="787">
        <f>IFERROR('ANALYSE - ERP =&gt; SOUS-SEGMENT'!$IC$92/'ANALYSE - ERP =&gt; SOUS-SEGMENT'!$HY$92,"")</f>
        <v>0.54034000000000004</v>
      </c>
      <c r="L91" s="787">
        <f>IFERROR('ANALYSE - ERP =&gt; SOUS-SEGMENT'!$ID$92/'ANALYSE - ERP =&gt; SOUS-SEGMENT'!$HY$92,"")</f>
        <v>0.17617333333333332</v>
      </c>
      <c r="N91" s="787">
        <f>IFERROR('ANALYSE - ERP =&gt; SOUS-SEGMENT'!$IF$92/'ANALYSE - ERP =&gt; SOUS-SEGMENT'!$IE$92,"")</f>
        <v>0</v>
      </c>
      <c r="O91" s="787">
        <f>IFERROR('ANALYSE - ERP =&gt; SOUS-SEGMENT'!$IG$92/'ANALYSE - ERP =&gt; SOUS-SEGMENT'!$IE$92,"")</f>
        <v>0</v>
      </c>
      <c r="P91" s="787">
        <f>IFERROR('ANALYSE - ERP =&gt; SOUS-SEGMENT'!$IH$92/'ANALYSE - ERP =&gt; SOUS-SEGMENT'!$IE$92,"")</f>
        <v>0.19996512678407236</v>
      </c>
      <c r="Q91" s="787">
        <f>IFERROR('ANALYSE - ERP =&gt; SOUS-SEGMENT'!$II$92/'ANALYSE - ERP =&gt; SOUS-SEGMENT'!$IE$92,"")</f>
        <v>0.55350319381966673</v>
      </c>
      <c r="R91" s="787">
        <f>IFERROR('ANALYSE - ERP =&gt; SOUS-SEGMENT'!$IJ$92/'ANALYSE - ERP =&gt; SOUS-SEGMENT'!$IE$92,"")</f>
        <v>0.24653167939626106</v>
      </c>
      <c r="T91" s="430">
        <f>'ANALYSE - ERP =&gt; SOUS-SEGMENT'!$Q$92</f>
        <v>1</v>
      </c>
    </row>
    <row r="92" spans="1:20" ht="15" customHeight="1">
      <c r="A92" s="26">
        <v>89</v>
      </c>
      <c r="B92" s="26">
        <v>89</v>
      </c>
      <c r="C92" s="422">
        <f>'ANALYSE - ERP =&gt; SOUS-SEGMENT'!$A$149</f>
        <v>142</v>
      </c>
      <c r="D92" s="415" t="str">
        <f>'ANALYSE - ERP =&gt; SOUS-SEGMENT'!$B$149</f>
        <v>Sécurité &amp; Justice</v>
      </c>
      <c r="E92" s="415" t="str">
        <f>'ANALYSE - ERP =&gt; SOUS-SEGMENT'!$C$149</f>
        <v>Tribunaux</v>
      </c>
      <c r="F92" s="415" t="str">
        <f>'ANALYSE - ERP =&gt; SOUS-SEGMENT'!$D$149</f>
        <v>Conseils de prud’hommes autonomes</v>
      </c>
      <c r="H92" s="787">
        <f>IFERROR('ANALYSE - ERP =&gt; SOUS-SEGMENT'!$HZ$149/'ANALYSE - ERP =&gt; SOUS-SEGMENT'!$HY$149,"")</f>
        <v>8.7733333333333344E-3</v>
      </c>
      <c r="I92" s="787">
        <f>IFERROR('ANALYSE - ERP =&gt; SOUS-SEGMENT'!$IA$149/'ANALYSE - ERP =&gt; SOUS-SEGMENT'!$HY$149,"")</f>
        <v>0.32001999999999997</v>
      </c>
      <c r="J92" s="787">
        <f>IFERROR('ANALYSE - ERP =&gt; SOUS-SEGMENT'!$IB$149/'ANALYSE - ERP =&gt; SOUS-SEGMENT'!$HY$149,"")</f>
        <v>0.52699333333333331</v>
      </c>
      <c r="K92" s="787">
        <f>IFERROR('ANALYSE - ERP =&gt; SOUS-SEGMENT'!$IC$149/'ANALYSE - ERP =&gt; SOUS-SEGMENT'!$HY$149,"")</f>
        <v>0.14039333333333334</v>
      </c>
      <c r="L92" s="787">
        <f>IFERROR('ANALYSE - ERP =&gt; SOUS-SEGMENT'!$ID$149/'ANALYSE - ERP =&gt; SOUS-SEGMENT'!$HY$149,"")</f>
        <v>3.8199999999999996E-3</v>
      </c>
      <c r="N92" s="787">
        <f>IFERROR('ANALYSE - ERP =&gt; SOUS-SEGMENT'!$IF$149/'ANALYSE - ERP =&gt; SOUS-SEGMENT'!$IE$149,"")</f>
        <v>1.1295710308389187E-3</v>
      </c>
      <c r="O92" s="787">
        <f>IFERROR('ANALYSE - ERP =&gt; SOUS-SEGMENT'!$IG$149/'ANALYSE - ERP =&gt; SOUS-SEGMENT'!$IE$149,"")</f>
        <v>0.21066952752240742</v>
      </c>
      <c r="P92" s="787">
        <f>IFERROR('ANALYSE - ERP =&gt; SOUS-SEGMENT'!$IH$149/'ANALYSE - ERP =&gt; SOUS-SEGMENT'!$IE$149,"")</f>
        <v>0.5559468151097684</v>
      </c>
      <c r="Q92" s="787">
        <f>IFERROR('ANALYSE - ERP =&gt; SOUS-SEGMENT'!$II$149/'ANALYSE - ERP =&gt; SOUS-SEGMENT'!$IE$149,"")</f>
        <v>0.22159841474229733</v>
      </c>
      <c r="R92" s="787">
        <f>IFERROR('ANALYSE - ERP =&gt; SOUS-SEGMENT'!$IJ$149/'ANALYSE - ERP =&gt; SOUS-SEGMENT'!$IE$149,"")</f>
        <v>1.0655671594687964E-2</v>
      </c>
      <c r="T92" s="430">
        <f>'ANALYSE - ERP =&gt; SOUS-SEGMENT'!$Q$149</f>
        <v>1</v>
      </c>
    </row>
    <row r="93" spans="1:20" ht="15" customHeight="1">
      <c r="A93" s="26">
        <v>90</v>
      </c>
      <c r="B93" s="26">
        <v>92</v>
      </c>
      <c r="C93" s="422">
        <f>'ANALYSE - ERP =&gt; SOUS-SEGMENT'!$A$78</f>
        <v>71</v>
      </c>
      <c r="D93" s="416" t="str">
        <f>'ANALYSE - ERP =&gt; SOUS-SEGMENT'!$B$78</f>
        <v>Commerce, Restauration &amp; Loisirs</v>
      </c>
      <c r="E93" s="416" t="str">
        <f>'ANALYSE - ERP =&gt; SOUS-SEGMENT'!$C$78</f>
        <v>Restauration / boissons</v>
      </c>
      <c r="F93" s="416" t="str">
        <f>'ANALYSE - ERP =&gt; SOUS-SEGMENT'!$D$78</f>
        <v>Établissements flottants</v>
      </c>
      <c r="H93" s="787">
        <f>IFERROR('ANALYSE - ERP =&gt; SOUS-SEGMENT'!$HZ$78/'ANALYSE - ERP =&gt; SOUS-SEGMENT'!$HY$78,"")</f>
        <v>2.3700000000000001E-3</v>
      </c>
      <c r="I93" s="787">
        <f>IFERROR('ANALYSE - ERP =&gt; SOUS-SEGMENT'!$IA$78/'ANALYSE - ERP =&gt; SOUS-SEGMENT'!$HY$78,"")</f>
        <v>0.28993000000000002</v>
      </c>
      <c r="J93" s="787">
        <f>IFERROR('ANALYSE - ERP =&gt; SOUS-SEGMENT'!$IB$78/'ANALYSE - ERP =&gt; SOUS-SEGMENT'!$HY$78,"")</f>
        <v>0.50766</v>
      </c>
      <c r="K93" s="787">
        <f>IFERROR('ANALYSE - ERP =&gt; SOUS-SEGMENT'!$IC$78/'ANALYSE - ERP =&gt; SOUS-SEGMENT'!$HY$78,"")</f>
        <v>0.1643</v>
      </c>
      <c r="L93" s="787">
        <f>IFERROR('ANALYSE - ERP =&gt; SOUS-SEGMENT'!$ID$78/'ANALYSE - ERP =&gt; SOUS-SEGMENT'!$HY$78,"")</f>
        <v>3.5739999999999994E-2</v>
      </c>
      <c r="N93" s="787">
        <f>IFERROR('ANALYSE - ERP =&gt; SOUS-SEGMENT'!$IF$78/'ANALYSE - ERP =&gt; SOUS-SEGMENT'!$IE$78,"")</f>
        <v>0</v>
      </c>
      <c r="O93" s="787">
        <f>IFERROR('ANALYSE - ERP =&gt; SOUS-SEGMENT'!$IG$78/'ANALYSE - ERP =&gt; SOUS-SEGMENT'!$IE$78,"")</f>
        <v>0.15202109362940094</v>
      </c>
      <c r="P93" s="787">
        <f>IFERROR('ANALYSE - ERP =&gt; SOUS-SEGMENT'!$IH$78/'ANALYSE - ERP =&gt; SOUS-SEGMENT'!$IE$78,"")</f>
        <v>0.53054769221635101</v>
      </c>
      <c r="Q93" s="787">
        <f>IFERROR('ANALYSE - ERP =&gt; SOUS-SEGMENT'!$II$78/'ANALYSE - ERP =&gt; SOUS-SEGMENT'!$IE$78,"")</f>
        <v>0.26695090185833875</v>
      </c>
      <c r="R93" s="787">
        <f>IFERROR('ANALYSE - ERP =&gt; SOUS-SEGMENT'!$IJ$78/'ANALYSE - ERP =&gt; SOUS-SEGMENT'!$IE$78,"")</f>
        <v>5.0480312295909276E-2</v>
      </c>
      <c r="T93" s="430">
        <f>'ANALYSE - ERP =&gt; SOUS-SEGMENT'!$Q$78</f>
        <v>1</v>
      </c>
    </row>
    <row r="94" spans="1:20" ht="15" customHeight="1">
      <c r="A94" s="26">
        <v>91</v>
      </c>
      <c r="B94" s="26">
        <v>90</v>
      </c>
      <c r="C94" s="422">
        <f>'ANALYSE - ERP =&gt; SOUS-SEGMENT'!$A$90</f>
        <v>83</v>
      </c>
      <c r="D94" s="412" t="str">
        <f>'ANALYSE - ERP =&gt; SOUS-SEGMENT'!$B$90</f>
        <v>Hébergement Touristique</v>
      </c>
      <c r="E94" s="412" t="str">
        <f>'ANALYSE - ERP =&gt; SOUS-SEGMENT'!$C$90</f>
        <v>Hébergement Touristique</v>
      </c>
      <c r="F94" s="412" t="str">
        <f>'ANALYSE - ERP =&gt; SOUS-SEGMENT'!$D$90</f>
        <v>Auberges de jeunesse</v>
      </c>
      <c r="H94" s="787">
        <f>IFERROR('ANALYSE - ERP =&gt; SOUS-SEGMENT'!$HZ$90/'ANALYSE - ERP =&gt; SOUS-SEGMENT'!$HY$90,"")</f>
        <v>9.3374999999999986E-3</v>
      </c>
      <c r="I94" s="787">
        <f>IFERROR('ANALYSE - ERP =&gt; SOUS-SEGMENT'!$IA$90/'ANALYSE - ERP =&gt; SOUS-SEGMENT'!$HY$90,"")</f>
        <v>0.27331249999999996</v>
      </c>
      <c r="J94" s="787">
        <f>IFERROR('ANALYSE - ERP =&gt; SOUS-SEGMENT'!$IB$90/'ANALYSE - ERP =&gt; SOUS-SEGMENT'!$HY$90,"")</f>
        <v>0.49731249999999994</v>
      </c>
      <c r="K94" s="787">
        <f>IFERROR('ANALYSE - ERP =&gt; SOUS-SEGMENT'!$IC$90/'ANALYSE - ERP =&gt; SOUS-SEGMENT'!$HY$90,"")</f>
        <v>0.20144583333333332</v>
      </c>
      <c r="L94" s="787">
        <f>IFERROR('ANALYSE - ERP =&gt; SOUS-SEGMENT'!$ID$90/'ANALYSE - ERP =&gt; SOUS-SEGMENT'!$HY$90,"")</f>
        <v>1.8591666666666663E-2</v>
      </c>
      <c r="N94" s="787">
        <f>IFERROR('ANALYSE - ERP =&gt; SOUS-SEGMENT'!$IF$90/'ANALYSE - ERP =&gt; SOUS-SEGMENT'!$IE$90,"")</f>
        <v>0</v>
      </c>
      <c r="O94" s="787">
        <f>IFERROR('ANALYSE - ERP =&gt; SOUS-SEGMENT'!$IG$90/'ANALYSE - ERP =&gt; SOUS-SEGMENT'!$IE$90,"")</f>
        <v>0.23440655583239181</v>
      </c>
      <c r="P94" s="787">
        <f>IFERROR('ANALYSE - ERP =&gt; SOUS-SEGMENT'!$IH$90/'ANALYSE - ERP =&gt; SOUS-SEGMENT'!$IE$90,"")</f>
        <v>0.51411216698397055</v>
      </c>
      <c r="Q94" s="787">
        <f>IFERROR('ANALYSE - ERP =&gt; SOUS-SEGMENT'!$II$90/'ANALYSE - ERP =&gt; SOUS-SEGMENT'!$IE$90,"")</f>
        <v>0.22718861745526173</v>
      </c>
      <c r="R94" s="787">
        <f>IFERROR('ANALYSE - ERP =&gt; SOUS-SEGMENT'!$IJ$90/'ANALYSE - ERP =&gt; SOUS-SEGMENT'!$IE$90,"")</f>
        <v>2.4292659728376079E-2</v>
      </c>
      <c r="T94" s="430">
        <f>'ANALYSE - ERP =&gt; SOUS-SEGMENT'!$Q$90</f>
        <v>1</v>
      </c>
    </row>
    <row r="95" spans="1:20" ht="15" customHeight="1">
      <c r="A95" s="26">
        <v>92</v>
      </c>
      <c r="B95" s="26">
        <v>91</v>
      </c>
      <c r="C95" s="422">
        <f>'ANALYSE - ERP =&gt; SOUS-SEGMENT'!$A$117</f>
        <v>110</v>
      </c>
      <c r="D95" s="417" t="str">
        <f>'ANALYSE - ERP =&gt; SOUS-SEGMENT'!$B$117</f>
        <v>Culte, Vie civique &amp; Services publics</v>
      </c>
      <c r="E95" s="417" t="str">
        <f>'ANALYSE - ERP =&gt; SOUS-SEGMENT'!$C$117</f>
        <v>Culte</v>
      </c>
      <c r="F95" s="417" t="str">
        <f>'ANALYSE - ERP =&gt; SOUS-SEGMENT'!$D$117</f>
        <v>Synagogues et oratoires juifs ouverts au public</v>
      </c>
      <c r="H95" s="787">
        <f>IFERROR('ANALYSE - ERP =&gt; SOUS-SEGMENT'!$HZ$117/'ANALYSE - ERP =&gt; SOUS-SEGMENT'!$HY$117,"")</f>
        <v>0.10724615384615385</v>
      </c>
      <c r="I95" s="787">
        <f>IFERROR('ANALYSE - ERP =&gt; SOUS-SEGMENT'!$IA$117/'ANALYSE - ERP =&gt; SOUS-SEGMENT'!$HY$117,"")</f>
        <v>0.5407615384615384</v>
      </c>
      <c r="J95" s="787">
        <f>IFERROR('ANALYSE - ERP =&gt; SOUS-SEGMENT'!$IB$117/'ANALYSE - ERP =&gt; SOUS-SEGMENT'!$HY$117,"")</f>
        <v>0.32585384615384616</v>
      </c>
      <c r="K95" s="787">
        <f>IFERROR('ANALYSE - ERP =&gt; SOUS-SEGMENT'!$IC$117/'ANALYSE - ERP =&gt; SOUS-SEGMENT'!$HY$117,"")</f>
        <v>2.6138461538461534E-2</v>
      </c>
      <c r="L95" s="787">
        <f>IFERROR('ANALYSE - ERP =&gt; SOUS-SEGMENT'!$ID$117/'ANALYSE - ERP =&gt; SOUS-SEGMENT'!$HY$117,"")</f>
        <v>0</v>
      </c>
      <c r="N95" s="787">
        <f>IFERROR('ANALYSE - ERP =&gt; SOUS-SEGMENT'!$IF$117/'ANALYSE - ERP =&gt; SOUS-SEGMENT'!$IE$117,"")</f>
        <v>9.3669200603826164E-2</v>
      </c>
      <c r="O95" s="787">
        <f>IFERROR('ANALYSE - ERP =&gt; SOUS-SEGMENT'!$IG$117/'ANALYSE - ERP =&gt; SOUS-SEGMENT'!$IE$117,"")</f>
        <v>0.5242818588453334</v>
      </c>
      <c r="P95" s="787">
        <f>IFERROR('ANALYSE - ERP =&gt; SOUS-SEGMENT'!$IH$117/'ANALYSE - ERP =&gt; SOUS-SEGMENT'!$IE$117,"")</f>
        <v>0.3387603019328973</v>
      </c>
      <c r="Q95" s="787">
        <f>IFERROR('ANALYSE - ERP =&gt; SOUS-SEGMENT'!$II$117/'ANALYSE - ERP =&gt; SOUS-SEGMENT'!$IE$117,"")</f>
        <v>4.0088638617943151E-2</v>
      </c>
      <c r="R95" s="787">
        <f>IFERROR('ANALYSE - ERP =&gt; SOUS-SEGMENT'!$IJ$117/'ANALYSE - ERP =&gt; SOUS-SEGMENT'!$IE$117,"")</f>
        <v>3.2000000000000002E-3</v>
      </c>
      <c r="T95" s="430">
        <f>'ANALYSE - ERP =&gt; SOUS-SEGMENT'!$Q$117</f>
        <v>1</v>
      </c>
    </row>
    <row r="96" spans="1:20" ht="15" customHeight="1">
      <c r="A96" s="26">
        <v>93</v>
      </c>
      <c r="B96" s="26">
        <v>93</v>
      </c>
      <c r="C96" s="422">
        <f>'ANALYSE - ERP =&gt; SOUS-SEGMENT'!$A$148</f>
        <v>141</v>
      </c>
      <c r="D96" s="413" t="str">
        <f>'ANALYSE - ERP =&gt; SOUS-SEGMENT'!$B$148</f>
        <v>Sécurité &amp; Justice</v>
      </c>
      <c r="E96" s="413" t="str">
        <f>'ANALYSE - ERP =&gt; SOUS-SEGMENT'!$C$148</f>
        <v>Tribunaux</v>
      </c>
      <c r="F96" s="413" t="str">
        <f>'ANALYSE - ERP =&gt; SOUS-SEGMENT'!$D$148</f>
        <v>Tribunaux de commerce autonomes</v>
      </c>
      <c r="H96" s="787">
        <f>IFERROR('ANALYSE - ERP =&gt; SOUS-SEGMENT'!$HZ$148/'ANALYSE - ERP =&gt; SOUS-SEGMENT'!$HY$148,"")</f>
        <v>7.0176470588235278E-3</v>
      </c>
      <c r="I96" s="787">
        <f>IFERROR('ANALYSE - ERP =&gt; SOUS-SEGMENT'!$IA$148/'ANALYSE - ERP =&gt; SOUS-SEGMENT'!$HY$148,"")</f>
        <v>0.28921176470588228</v>
      </c>
      <c r="J96" s="787">
        <f>IFERROR('ANALYSE - ERP =&gt; SOUS-SEGMENT'!$IB$148/'ANALYSE - ERP =&gt; SOUS-SEGMENT'!$HY$148,"")</f>
        <v>0.53635882352941178</v>
      </c>
      <c r="K96" s="787">
        <f>IFERROR('ANALYSE - ERP =&gt; SOUS-SEGMENT'!$IC$148/'ANALYSE - ERP =&gt; SOUS-SEGMENT'!$HY$148,"")</f>
        <v>0.16191764705882347</v>
      </c>
      <c r="L96" s="787">
        <f>IFERROR('ANALYSE - ERP =&gt; SOUS-SEGMENT'!$ID$148/'ANALYSE - ERP =&gt; SOUS-SEGMENT'!$HY$148,"")</f>
        <v>5.4941176470588221E-3</v>
      </c>
      <c r="N96" s="787">
        <f>IFERROR('ANALYSE - ERP =&gt; SOUS-SEGMENT'!$IF$148/'ANALYSE - ERP =&gt; SOUS-SEGMENT'!$IE$148,"")</f>
        <v>8.4372832515995969E-4</v>
      </c>
      <c r="O96" s="787">
        <f>IFERROR('ANALYSE - ERP =&gt; SOUS-SEGMENT'!$IG$148/'ANALYSE - ERP =&gt; SOUS-SEGMENT'!$IE$148,"")</f>
        <v>0.1847249896788235</v>
      </c>
      <c r="P96" s="787">
        <f>IFERROR('ANALYSE - ERP =&gt; SOUS-SEGMENT'!$IH$148/'ANALYSE - ERP =&gt; SOUS-SEGMENT'!$IE$148,"")</f>
        <v>0.55084333593821344</v>
      </c>
      <c r="Q96" s="787">
        <f>IFERROR('ANALYSE - ERP =&gt; SOUS-SEGMENT'!$II$148/'ANALYSE - ERP =&gt; SOUS-SEGMENT'!$IE$148,"")</f>
        <v>0.24924369554169507</v>
      </c>
      <c r="R96" s="787">
        <f>IFERROR('ANALYSE - ERP =&gt; SOUS-SEGMENT'!$IJ$148/'ANALYSE - ERP =&gt; SOUS-SEGMENT'!$IE$148,"")</f>
        <v>1.4344250516108079E-2</v>
      </c>
      <c r="T96" s="430">
        <f>'ANALYSE - ERP =&gt; SOUS-SEGMENT'!$Q$148</f>
        <v>1</v>
      </c>
    </row>
    <row r="97" spans="1:20" ht="15" customHeight="1">
      <c r="A97" s="26">
        <v>94</v>
      </c>
      <c r="B97" s="26">
        <v>94</v>
      </c>
      <c r="C97" s="422">
        <f>'ANALYSE - ERP =&gt; SOUS-SEGMENT'!$A$137</f>
        <v>130</v>
      </c>
      <c r="D97" s="417" t="str">
        <f>'ANALYSE - ERP =&gt; SOUS-SEGMENT'!$B$137</f>
        <v>Sécurité &amp; Justice</v>
      </c>
      <c r="E97" s="417" t="str">
        <f>'ANALYSE - ERP =&gt; SOUS-SEGMENT'!$C$137</f>
        <v>Forces armées</v>
      </c>
      <c r="F97" s="417" t="str">
        <f>'ANALYSE - ERP =&gt; SOUS-SEGMENT'!$D$137</f>
        <v>Restaurants ou équipements sportifs ouverts au public sur emprise militaire</v>
      </c>
      <c r="H97" s="787">
        <f>IFERROR('ANALYSE - ERP =&gt; SOUS-SEGMENT'!$HZ$137/'ANALYSE - ERP =&gt; SOUS-SEGMENT'!$HY$137,"")</f>
        <v>7.3875E-3</v>
      </c>
      <c r="I97" s="787">
        <f>IFERROR('ANALYSE - ERP =&gt; SOUS-SEGMENT'!$IA$137/'ANALYSE - ERP =&gt; SOUS-SEGMENT'!$HY$137,"")</f>
        <v>0.35046249999999995</v>
      </c>
      <c r="J97" s="787">
        <f>IFERROR('ANALYSE - ERP =&gt; SOUS-SEGMENT'!$IB$137/'ANALYSE - ERP =&gt; SOUS-SEGMENT'!$HY$137,"")</f>
        <v>0.53088750000000007</v>
      </c>
      <c r="K97" s="787">
        <f>IFERROR('ANALYSE - ERP =&gt; SOUS-SEGMENT'!$IC$137/'ANALYSE - ERP =&gt; SOUS-SEGMENT'!$HY$137,"")</f>
        <v>0.1097625</v>
      </c>
      <c r="L97" s="787">
        <f>IFERROR('ANALYSE - ERP =&gt; SOUS-SEGMENT'!$ID$137/'ANALYSE - ERP =&gt; SOUS-SEGMENT'!$HY$137,"")</f>
        <v>1.4999999999999998E-3</v>
      </c>
      <c r="N97" s="787">
        <f>IFERROR('ANALYSE - ERP =&gt; SOUS-SEGMENT'!$IF$137/'ANALYSE - ERP =&gt; SOUS-SEGMENT'!$IE$137,"")</f>
        <v>0</v>
      </c>
      <c r="O97" s="787">
        <f>IFERROR('ANALYSE - ERP =&gt; SOUS-SEGMENT'!$IG$137/'ANALYSE - ERP =&gt; SOUS-SEGMENT'!$IE$137,"")</f>
        <v>0.22374963784706323</v>
      </c>
      <c r="P97" s="787">
        <f>IFERROR('ANALYSE - ERP =&gt; SOUS-SEGMENT'!$IH$137/'ANALYSE - ERP =&gt; SOUS-SEGMENT'!$IE$137,"")</f>
        <v>0.58622209757315902</v>
      </c>
      <c r="Q97" s="787">
        <f>IFERROR('ANALYSE - ERP =&gt; SOUS-SEGMENT'!$II$137/'ANALYSE - ERP =&gt; SOUS-SEGMENT'!$IE$137,"")</f>
        <v>0.18507256379303166</v>
      </c>
      <c r="R97" s="787">
        <f>IFERROR('ANALYSE - ERP =&gt; SOUS-SEGMENT'!$IJ$137/'ANALYSE - ERP =&gt; SOUS-SEGMENT'!$IE$137,"")</f>
        <v>4.955700786746035E-3</v>
      </c>
      <c r="T97" s="430">
        <f>'ANALYSE - ERP =&gt; SOUS-SEGMENT'!$Q$137</f>
        <v>1</v>
      </c>
    </row>
    <row r="98" spans="1:20" ht="15" customHeight="1">
      <c r="A98" s="26">
        <v>95</v>
      </c>
      <c r="B98" s="26">
        <v>95</v>
      </c>
      <c r="C98" s="422">
        <f>'ANALYSE - ERP =&gt; SOUS-SEGMENT'!$A$141</f>
        <v>134</v>
      </c>
      <c r="D98" s="418" t="str">
        <f>'ANALYSE - ERP =&gt; SOUS-SEGMENT'!$B$141</f>
        <v>Sécurité &amp; Justice</v>
      </c>
      <c r="E98" s="418" t="str">
        <f>'ANALYSE - ERP =&gt; SOUS-SEGMENT'!$C$141</f>
        <v>Univers carcéral</v>
      </c>
      <c r="F98" s="418" t="str">
        <f>'ANALYSE - ERP =&gt; SOUS-SEGMENT'!$D$141</f>
        <v>Maisons centrales</v>
      </c>
      <c r="H98" s="787">
        <f>IFERROR('ANALYSE - ERP =&gt; SOUS-SEGMENT'!$HZ$141/'ANALYSE - ERP =&gt; SOUS-SEGMENT'!$HY$141,"")</f>
        <v>0.21103728813559322</v>
      </c>
      <c r="I98" s="787">
        <f>IFERROR('ANALYSE - ERP =&gt; SOUS-SEGMENT'!$IA$141/'ANALYSE - ERP =&gt; SOUS-SEGMENT'!$HY$141,"")</f>
        <v>0.6728483050847458</v>
      </c>
      <c r="J98" s="787">
        <f>IFERROR('ANALYSE - ERP =&gt; SOUS-SEGMENT'!$IB$141/'ANALYSE - ERP =&gt; SOUS-SEGMENT'!$HY$141,"")</f>
        <v>0.11611440677966102</v>
      </c>
      <c r="K98" s="787">
        <f>IFERROR('ANALYSE - ERP =&gt; SOUS-SEGMENT'!$IC$141/'ANALYSE - ERP =&gt; SOUS-SEGMENT'!$HY$141,"")</f>
        <v>0</v>
      </c>
      <c r="L98" s="787">
        <f>IFERROR('ANALYSE - ERP =&gt; SOUS-SEGMENT'!$ID$141/'ANALYSE - ERP =&gt; SOUS-SEGMENT'!$HY$141,"")</f>
        <v>0</v>
      </c>
      <c r="N98" s="787">
        <f>IFERROR('ANALYSE - ERP =&gt; SOUS-SEGMENT'!$IF$141/'ANALYSE - ERP =&gt; SOUS-SEGMENT'!$IE$141,"")</f>
        <v>0.10729954189151282</v>
      </c>
      <c r="O98" s="787">
        <f>IFERROR('ANALYSE - ERP =&gt; SOUS-SEGMENT'!$IG$141/'ANALYSE - ERP =&gt; SOUS-SEGMENT'!$IE$141,"")</f>
        <v>0.66282705445879597</v>
      </c>
      <c r="P98" s="787">
        <f>IFERROR('ANALYSE - ERP =&gt; SOUS-SEGMENT'!$IH$141/'ANALYSE - ERP =&gt; SOUS-SEGMENT'!$IE$141,"")</f>
        <v>0.22987340364969122</v>
      </c>
      <c r="Q98" s="787">
        <f>IFERROR('ANALYSE - ERP =&gt; SOUS-SEGMENT'!$II$141/'ANALYSE - ERP =&gt; SOUS-SEGMENT'!$IE$141,"")</f>
        <v>0</v>
      </c>
      <c r="R98" s="787">
        <f>IFERROR('ANALYSE - ERP =&gt; SOUS-SEGMENT'!$IJ$141/'ANALYSE - ERP =&gt; SOUS-SEGMENT'!$IE$141,"")</f>
        <v>0</v>
      </c>
      <c r="T98" s="430">
        <f>'ANALYSE - ERP =&gt; SOUS-SEGMENT'!$Q$141</f>
        <v>1</v>
      </c>
    </row>
    <row r="99" spans="1:20" ht="15" customHeight="1">
      <c r="A99" s="26">
        <v>96</v>
      </c>
      <c r="B99" s="26">
        <v>96</v>
      </c>
      <c r="C99" s="422">
        <f>'ANALYSE - ERP =&gt; SOUS-SEGMENT'!$A$147</f>
        <v>140</v>
      </c>
      <c r="D99" s="417" t="str">
        <f>'ANALYSE - ERP =&gt; SOUS-SEGMENT'!$B$147</f>
        <v>Sécurité &amp; Justice</v>
      </c>
      <c r="E99" s="417" t="str">
        <f>'ANALYSE - ERP =&gt; SOUS-SEGMENT'!$C$147</f>
        <v>Tribunaux</v>
      </c>
      <c r="F99" s="417" t="str">
        <f>'ANALYSE - ERP =&gt; SOUS-SEGMENT'!$D$147</f>
        <v>Maisons de justice et du droit</v>
      </c>
      <c r="H99" s="787">
        <f>IFERROR('ANALYSE - ERP =&gt; SOUS-SEGMENT'!$HZ$147/'ANALYSE - ERP =&gt; SOUS-SEGMENT'!$HY$147,"")</f>
        <v>1.3541176470588235E-2</v>
      </c>
      <c r="I99" s="787">
        <f>IFERROR('ANALYSE - ERP =&gt; SOUS-SEGMENT'!$IA$147/'ANALYSE - ERP =&gt; SOUS-SEGMENT'!$HY$147,"")</f>
        <v>0.33707058823529412</v>
      </c>
      <c r="J99" s="787">
        <f>IFERROR('ANALYSE - ERP =&gt; SOUS-SEGMENT'!$IB$147/'ANALYSE - ERP =&gt; SOUS-SEGMENT'!$HY$147,"")</f>
        <v>0.51571176470588243</v>
      </c>
      <c r="K99" s="787">
        <f>IFERROR('ANALYSE - ERP =&gt; SOUS-SEGMENT'!$IC$147/'ANALYSE - ERP =&gt; SOUS-SEGMENT'!$HY$147,"")</f>
        <v>0.13041176470588234</v>
      </c>
      <c r="L99" s="787">
        <f>IFERROR('ANALYSE - ERP =&gt; SOUS-SEGMENT'!$ID$147/'ANALYSE - ERP =&gt; SOUS-SEGMENT'!$HY$147,"")</f>
        <v>3.2647058823529408E-3</v>
      </c>
      <c r="N99" s="787">
        <f>IFERROR('ANALYSE - ERP =&gt; SOUS-SEGMENT'!$IF$147/'ANALYSE - ERP =&gt; SOUS-SEGMENT'!$IE$147,"")</f>
        <v>1.0168162868761197E-3</v>
      </c>
      <c r="O99" s="787">
        <f>IFERROR('ANALYSE - ERP =&gt; SOUS-SEGMENT'!$IG$147/'ANALYSE - ERP =&gt; SOUS-SEGMENT'!$IE$147,"")</f>
        <v>0.21052835009164095</v>
      </c>
      <c r="P99" s="787">
        <f>IFERROR('ANALYSE - ERP =&gt; SOUS-SEGMENT'!$IH$147/'ANALYSE - ERP =&gt; SOUS-SEGMENT'!$IE$147,"")</f>
        <v>0.55626889458518303</v>
      </c>
      <c r="Q99" s="787">
        <f>IFERROR('ANALYSE - ERP =&gt; SOUS-SEGMENT'!$II$147/'ANALYSE - ERP =&gt; SOUS-SEGMENT'!$IE$147,"")</f>
        <v>0.22155633489157775</v>
      </c>
      <c r="R99" s="787">
        <f>IFERROR('ANALYSE - ERP =&gt; SOUS-SEGMENT'!$IJ$147/'ANALYSE - ERP =&gt; SOUS-SEGMENT'!$IE$147,"")</f>
        <v>1.0629604144722167E-2</v>
      </c>
      <c r="T99" s="430">
        <f>'ANALYSE - ERP =&gt; SOUS-SEGMENT'!$Q$147</f>
        <v>1</v>
      </c>
    </row>
    <row r="100" spans="1:20" ht="15" customHeight="1">
      <c r="A100" s="26">
        <v>97</v>
      </c>
      <c r="B100" s="26">
        <v>97</v>
      </c>
      <c r="C100" s="422">
        <f>'ANALYSE - ERP =&gt; SOUS-SEGMENT'!$A$144</f>
        <v>137</v>
      </c>
      <c r="D100" s="417" t="str">
        <f>'ANALYSE - ERP =&gt; SOUS-SEGMENT'!$B$144</f>
        <v>Sécurité &amp; Justice</v>
      </c>
      <c r="E100" s="417" t="str">
        <f>'ANALYSE - ERP =&gt; SOUS-SEGMENT'!$C$144</f>
        <v>Univers carcéral</v>
      </c>
      <c r="F100" s="417" t="str">
        <f>'ANALYSE - ERP =&gt; SOUS-SEGMENT'!$D$144</f>
        <v>Centres éducatifs fermés</v>
      </c>
      <c r="H100" s="787">
        <f>IFERROR('ANALYSE - ERP =&gt; SOUS-SEGMENT'!$HZ$144/'ANALYSE - ERP =&gt; SOUS-SEGMENT'!$HY$144,"")</f>
        <v>6.2729411764705881E-2</v>
      </c>
      <c r="I100" s="787">
        <f>IFERROR('ANALYSE - ERP =&gt; SOUS-SEGMENT'!$IA$144/'ANALYSE - ERP =&gt; SOUS-SEGMENT'!$HY$144,"")</f>
        <v>0.54562941176470581</v>
      </c>
      <c r="J100" s="787">
        <f>IFERROR('ANALYSE - ERP =&gt; SOUS-SEGMENT'!$IB$144/'ANALYSE - ERP =&gt; SOUS-SEGMENT'!$HY$144,"")</f>
        <v>0.37215882352941171</v>
      </c>
      <c r="K100" s="787">
        <f>IFERROR('ANALYSE - ERP =&gt; SOUS-SEGMENT'!$IC$144/'ANALYSE - ERP =&gt; SOUS-SEGMENT'!$HY$144,"")</f>
        <v>1.9411764705882351E-2</v>
      </c>
      <c r="L100" s="787">
        <f>IFERROR('ANALYSE - ERP =&gt; SOUS-SEGMENT'!$ID$144/'ANALYSE - ERP =&gt; SOUS-SEGMENT'!$HY$144,"")</f>
        <v>7.0588235294117641E-5</v>
      </c>
      <c r="N100" s="787">
        <f>IFERROR('ANALYSE - ERP =&gt; SOUS-SEGMENT'!$IF$144/'ANALYSE - ERP =&gt; SOUS-SEGMENT'!$IE$144,"")</f>
        <v>1.1904179657673819E-2</v>
      </c>
      <c r="O100" s="787">
        <f>IFERROR('ANALYSE - ERP =&gt; SOUS-SEGMENT'!$IG$144/'ANALYSE - ERP =&gt; SOUS-SEGMENT'!$IE$144,"")</f>
        <v>0.29725179917475375</v>
      </c>
      <c r="P100" s="787">
        <f>IFERROR('ANALYSE - ERP =&gt; SOUS-SEGMENT'!$IH$144/'ANALYSE - ERP =&gt; SOUS-SEGMENT'!$IE$144,"")</f>
        <v>0.59748435563550573</v>
      </c>
      <c r="Q100" s="787">
        <f>IFERROR('ANALYSE - ERP =&gt; SOUS-SEGMENT'!$II$144/'ANALYSE - ERP =&gt; SOUS-SEGMENT'!$IE$144,"")</f>
        <v>9.2285635657160373E-2</v>
      </c>
      <c r="R100" s="787">
        <f>IFERROR('ANALYSE - ERP =&gt; SOUS-SEGMENT'!$IJ$144/'ANALYSE - ERP =&gt; SOUS-SEGMENT'!$IE$144,"")</f>
        <v>1.0740298749062471E-3</v>
      </c>
      <c r="T100" s="430">
        <f>'ANALYSE - ERP =&gt; SOUS-SEGMENT'!$Q$144</f>
        <v>1</v>
      </c>
    </row>
    <row r="101" spans="1:20" ht="15" customHeight="1">
      <c r="A101" s="26">
        <v>98</v>
      </c>
      <c r="B101" s="26">
        <v>98</v>
      </c>
      <c r="C101" s="422">
        <f>'ANALYSE - ERP =&gt; SOUS-SEGMENT'!$A$48</f>
        <v>41</v>
      </c>
      <c r="D101" s="414" t="str">
        <f>'ANALYSE - ERP =&gt; SOUS-SEGMENT'!$B$48</f>
        <v>Santé &amp; Médico-social</v>
      </c>
      <c r="E101" s="414" t="str">
        <f>'ANALYSE - ERP =&gt; SOUS-SEGMENT'!$C$48</f>
        <v>Santé hospitalière</v>
      </c>
      <c r="F101" s="414" t="str">
        <f>'ANALYSE - ERP =&gt; SOUS-SEGMENT'!$D$48</f>
        <v>Unités hospitalières sécurisées en milieu carcéral</v>
      </c>
      <c r="H101" s="787">
        <f>IFERROR('ANALYSE - ERP =&gt; SOUS-SEGMENT'!$HZ$48/'ANALYSE - ERP =&gt; SOUS-SEGMENT'!$HY$48,"")</f>
        <v>4.8909803921568629E-2</v>
      </c>
      <c r="I101" s="787">
        <f>IFERROR('ANALYSE - ERP =&gt; SOUS-SEGMENT'!$IA$48/'ANALYSE - ERP =&gt; SOUS-SEGMENT'!$HY$48,"")</f>
        <v>0.51256274509803923</v>
      </c>
      <c r="J101" s="787">
        <f>IFERROR('ANALYSE - ERP =&gt; SOUS-SEGMENT'!$IB$48/'ANALYSE - ERP =&gt; SOUS-SEGMENT'!$HY$48,"")</f>
        <v>0.41328235294117655</v>
      </c>
      <c r="K101" s="787">
        <f>IFERROR('ANALYSE - ERP =&gt; SOUS-SEGMENT'!$IC$48/'ANALYSE - ERP =&gt; SOUS-SEGMENT'!$HY$48,"")</f>
        <v>2.5137254901960789E-2</v>
      </c>
      <c r="L101" s="787">
        <f>IFERROR('ANALYSE - ERP =&gt; SOUS-SEGMENT'!$ID$48/'ANALYSE - ERP =&gt; SOUS-SEGMENT'!$HY$48,"")</f>
        <v>1.0784313725490199E-4</v>
      </c>
      <c r="N101" s="787">
        <f>IFERROR('ANALYSE - ERP =&gt; SOUS-SEGMENT'!$IF$48/'ANALYSE - ERP =&gt; SOUS-SEGMENT'!$IE$48,"")</f>
        <v>1.4606253423582094E-2</v>
      </c>
      <c r="O101" s="787">
        <f>IFERROR('ANALYSE - ERP =&gt; SOUS-SEGMENT'!$IG$48/'ANALYSE - ERP =&gt; SOUS-SEGMENT'!$IE$48,"")</f>
        <v>0.32849347408710988</v>
      </c>
      <c r="P101" s="787">
        <f>IFERROR('ANALYSE - ERP =&gt; SOUS-SEGMENT'!$IH$48/'ANALYSE - ERP =&gt; SOUS-SEGMENT'!$IE$48,"")</f>
        <v>0.57919431902657892</v>
      </c>
      <c r="Q101" s="787">
        <f>IFERROR('ANALYSE - ERP =&gt; SOUS-SEGMENT'!$II$48/'ANALYSE - ERP =&gt; SOUS-SEGMENT'!$IE$48,"")</f>
        <v>7.6911454544894772E-2</v>
      </c>
      <c r="R101" s="787">
        <f>IFERROR('ANALYSE - ERP =&gt; SOUS-SEGMENT'!$IJ$48/'ANALYSE - ERP =&gt; SOUS-SEGMENT'!$IE$48,"")</f>
        <v>7.9449891783426652E-4</v>
      </c>
      <c r="T101" s="430">
        <f>'ANALYSE - ERP =&gt; SOUS-SEGMENT'!$Q$48</f>
        <v>1</v>
      </c>
    </row>
    <row r="102" spans="1:20" ht="15" customHeight="1">
      <c r="A102" s="26">
        <v>99</v>
      </c>
      <c r="B102" s="26">
        <v>99</v>
      </c>
      <c r="C102" s="422">
        <f>'ANALYSE - ERP =&gt; SOUS-SEGMENT'!$A$134</f>
        <v>127</v>
      </c>
      <c r="D102" s="414" t="str">
        <f>'ANALYSE - ERP =&gt; SOUS-SEGMENT'!$B$134</f>
        <v>Sécurité &amp; Justice</v>
      </c>
      <c r="E102" s="414" t="str">
        <f>'ANALYSE - ERP =&gt; SOUS-SEGMENT'!$C$134</f>
        <v xml:space="preserve">Commissariats / postes de police </v>
      </c>
      <c r="F102" s="414" t="str">
        <f>'ANALYSE - ERP =&gt; SOUS-SEGMENT'!$D$134</f>
        <v>Salles de réunion, de prévention ou de conférence ouvertes au public</v>
      </c>
      <c r="H102" s="787">
        <f>IFERROR('ANALYSE - ERP =&gt; SOUS-SEGMENT'!$HZ$134/'ANALYSE - ERP =&gt; SOUS-SEGMENT'!$HY$134,"")</f>
        <v>7.3423076923076924E-2</v>
      </c>
      <c r="I102" s="787">
        <f>IFERROR('ANALYSE - ERP =&gt; SOUS-SEGMENT'!$IA$134/'ANALYSE - ERP =&gt; SOUS-SEGMENT'!$HY$134,"")</f>
        <v>0.57136923076923074</v>
      </c>
      <c r="J102" s="787">
        <f>IFERROR('ANALYSE - ERP =&gt; SOUS-SEGMENT'!$IB$134/'ANALYSE - ERP =&gt; SOUS-SEGMENT'!$HY$134,"")</f>
        <v>0.35520769230769228</v>
      </c>
      <c r="K102" s="787">
        <f>IFERROR('ANALYSE - ERP =&gt; SOUS-SEGMENT'!$IC$134/'ANALYSE - ERP =&gt; SOUS-SEGMENT'!$HY$134,"")</f>
        <v>0</v>
      </c>
      <c r="L102" s="787">
        <f>IFERROR('ANALYSE - ERP =&gt; SOUS-SEGMENT'!$ID$134/'ANALYSE - ERP =&gt; SOUS-SEGMENT'!$HY$134,"")</f>
        <v>0</v>
      </c>
      <c r="N102" s="787">
        <f>IFERROR('ANALYSE - ERP =&gt; SOUS-SEGMENT'!$IF$134/'ANALYSE - ERP =&gt; SOUS-SEGMENT'!$IE$134,"")</f>
        <v>4.8568851859986169E-2</v>
      </c>
      <c r="O102" s="787">
        <f>IFERROR('ANALYSE - ERP =&gt; SOUS-SEGMENT'!$IG$134/'ANALYSE - ERP =&gt; SOUS-SEGMENT'!$IE$134,"")</f>
        <v>0.47121841435255635</v>
      </c>
      <c r="P102" s="787">
        <f>IFERROR('ANALYSE - ERP =&gt; SOUS-SEGMENT'!$IH$134/'ANALYSE - ERP =&gt; SOUS-SEGMENT'!$IE$134,"")</f>
        <v>0.48021273378745744</v>
      </c>
      <c r="Q102" s="787">
        <f>IFERROR('ANALYSE - ERP =&gt; SOUS-SEGMENT'!$II$134/'ANALYSE - ERP =&gt; SOUS-SEGMENT'!$IE$134,"")</f>
        <v>0</v>
      </c>
      <c r="R102" s="787">
        <f>IFERROR('ANALYSE - ERP =&gt; SOUS-SEGMENT'!$IJ$134/'ANALYSE - ERP =&gt; SOUS-SEGMENT'!$IE$134,"")</f>
        <v>0</v>
      </c>
      <c r="T102" s="430">
        <f>'ANALYSE - ERP =&gt; SOUS-SEGMENT'!$Q$134</f>
        <v>0</v>
      </c>
    </row>
    <row r="103" spans="1:20" ht="15" customHeight="1">
      <c r="A103" s="26">
        <v>100</v>
      </c>
      <c r="B103" s="26">
        <v>100</v>
      </c>
      <c r="C103" s="422">
        <f>'ANALYSE - ERP =&gt; SOUS-SEGMENT'!$A$136</f>
        <v>129</v>
      </c>
      <c r="D103" s="417" t="str">
        <f>'ANALYSE - ERP =&gt; SOUS-SEGMENT'!$B$136</f>
        <v>Sécurité &amp; Justice</v>
      </c>
      <c r="E103" s="417" t="str">
        <f>'ANALYSE - ERP =&gt; SOUS-SEGMENT'!$C$136</f>
        <v>Forces armées</v>
      </c>
      <c r="F103" s="417" t="str">
        <f>'ANALYSE - ERP =&gt; SOUS-SEGMENT'!$D$136</f>
        <v>Centres de recrutement et bureaux d’information</v>
      </c>
      <c r="H103" s="787">
        <f>IFERROR('ANALYSE - ERP =&gt; SOUS-SEGMENT'!$HZ$136/'ANALYSE - ERP =&gt; SOUS-SEGMENT'!$HY$136,"")</f>
        <v>1.071111111111111E-2</v>
      </c>
      <c r="I103" s="787">
        <f>IFERROR('ANALYSE - ERP =&gt; SOUS-SEGMENT'!$IA$136/'ANALYSE - ERP =&gt; SOUS-SEGMENT'!$HY$136,"")</f>
        <v>0.37271111111111105</v>
      </c>
      <c r="J103" s="787">
        <f>IFERROR('ANALYSE - ERP =&gt; SOUS-SEGMENT'!$IB$136/'ANALYSE - ERP =&gt; SOUS-SEGMENT'!$HY$136,"")</f>
        <v>0.5154333333333333</v>
      </c>
      <c r="K103" s="787">
        <f>IFERROR('ANALYSE - ERP =&gt; SOUS-SEGMENT'!$IC$136/'ANALYSE - ERP =&gt; SOUS-SEGMENT'!$HY$136,"")</f>
        <v>9.9955555555555547E-2</v>
      </c>
      <c r="L103" s="787">
        <f>IFERROR('ANALYSE - ERP =&gt; SOUS-SEGMENT'!$ID$136/'ANALYSE - ERP =&gt; SOUS-SEGMENT'!$HY$136,"")</f>
        <v>1.1888888888888886E-3</v>
      </c>
      <c r="N103" s="787">
        <f>IFERROR('ANALYSE - ERP =&gt; SOUS-SEGMENT'!$IF$136/'ANALYSE - ERP =&gt; SOUS-SEGMENT'!$IE$136,"")</f>
        <v>1.082077096342554E-3</v>
      </c>
      <c r="O103" s="787">
        <f>IFERROR('ANALYSE - ERP =&gt; SOUS-SEGMENT'!$IG$136/'ANALYSE - ERP =&gt; SOUS-SEGMENT'!$IE$136,"")</f>
        <v>0.23136046680382674</v>
      </c>
      <c r="P103" s="787">
        <f>IFERROR('ANALYSE - ERP =&gt; SOUS-SEGMENT'!$IH$136/'ANALYSE - ERP =&gt; SOUS-SEGMENT'!$IE$136,"")</f>
        <v>0.55531768227823697</v>
      </c>
      <c r="Q103" s="787">
        <f>IFERROR('ANALYSE - ERP =&gt; SOUS-SEGMENT'!$II$136/'ANALYSE - ERP =&gt; SOUS-SEGMENT'!$IE$136,"")</f>
        <v>0.20343509964182946</v>
      </c>
      <c r="R103" s="787">
        <f>IFERROR('ANALYSE - ERP =&gt; SOUS-SEGMENT'!$IJ$136/'ANALYSE - ERP =&gt; SOUS-SEGMENT'!$IE$136,"")</f>
        <v>8.8046741797642419E-3</v>
      </c>
      <c r="T103" s="430">
        <f>'ANALYSE - ERP =&gt; SOUS-SEGMENT'!$Q$136</f>
        <v>1</v>
      </c>
    </row>
    <row r="104" spans="1:20" ht="15" customHeight="1">
      <c r="A104" s="26">
        <v>101</v>
      </c>
      <c r="B104" s="26">
        <v>101</v>
      </c>
      <c r="C104" s="422">
        <f>'ANALYSE - ERP =&gt; SOUS-SEGMENT'!$A$143</f>
        <v>136</v>
      </c>
      <c r="D104" s="417" t="str">
        <f>'ANALYSE - ERP =&gt; SOUS-SEGMENT'!$B$143</f>
        <v>Sécurité &amp; Justice</v>
      </c>
      <c r="E104" s="417" t="str">
        <f>'ANALYSE - ERP =&gt; SOUS-SEGMENT'!$C$143</f>
        <v>Univers carcéral</v>
      </c>
      <c r="F104" s="417" t="str">
        <f>'ANALYSE - ERP =&gt; SOUS-SEGMENT'!$D$143</f>
        <v>Centres de semi-liberté</v>
      </c>
      <c r="H104" s="787">
        <f>IFERROR('ANALYSE - ERP =&gt; SOUS-SEGMENT'!$HZ$143/'ANALYSE - ERP =&gt; SOUS-SEGMENT'!$HY$143,"")</f>
        <v>6.0423636363636353E-2</v>
      </c>
      <c r="I104" s="787">
        <f>IFERROR('ANALYSE - ERP =&gt; SOUS-SEGMENT'!$IA$143/'ANALYSE - ERP =&gt; SOUS-SEGMENT'!$HY$143,"")</f>
        <v>0.53188909090909087</v>
      </c>
      <c r="J104" s="787">
        <f>IFERROR('ANALYSE - ERP =&gt; SOUS-SEGMENT'!$IB$143/'ANALYSE - ERP =&gt; SOUS-SEGMENT'!$HY$143,"")</f>
        <v>0.38537636363636363</v>
      </c>
      <c r="K104" s="787">
        <f>IFERROR('ANALYSE - ERP =&gt; SOUS-SEGMENT'!$IC$143/'ANALYSE - ERP =&gt; SOUS-SEGMENT'!$HY$143,"")</f>
        <v>2.2189090909090908E-2</v>
      </c>
      <c r="L104" s="787">
        <f>IFERROR('ANALYSE - ERP =&gt; SOUS-SEGMENT'!$ID$143/'ANALYSE - ERP =&gt; SOUS-SEGMENT'!$HY$143,"")</f>
        <v>1.2181818181818183E-4</v>
      </c>
      <c r="N104" s="787">
        <f>IFERROR('ANALYSE - ERP =&gt; SOUS-SEGMENT'!$IF$143/'ANALYSE - ERP =&gt; SOUS-SEGMENT'!$IE$143,"")</f>
        <v>2.9004644656561582E-2</v>
      </c>
      <c r="O104" s="787">
        <f>IFERROR('ANALYSE - ERP =&gt; SOUS-SEGMENT'!$IG$143/'ANALYSE - ERP =&gt; SOUS-SEGMENT'!$IE$143,"")</f>
        <v>0.41698196007568195</v>
      </c>
      <c r="P104" s="787">
        <f>IFERROR('ANALYSE - ERP =&gt; SOUS-SEGMENT'!$IH$143/'ANALYSE - ERP =&gt; SOUS-SEGMENT'!$IE$143,"")</f>
        <v>0.50497771126086877</v>
      </c>
      <c r="Q104" s="787">
        <f>IFERROR('ANALYSE - ERP =&gt; SOUS-SEGMENT'!$II$143/'ANALYSE - ERP =&gt; SOUS-SEGMENT'!$IE$143,"")</f>
        <v>4.8631680520419225E-2</v>
      </c>
      <c r="R104" s="787">
        <f>IFERROR('ANALYSE - ERP =&gt; SOUS-SEGMENT'!$IJ$143/'ANALYSE - ERP =&gt; SOUS-SEGMENT'!$IE$143,"")</f>
        <v>4.0400348646867502E-4</v>
      </c>
      <c r="T104" s="430">
        <f>'ANALYSE - ERP =&gt; SOUS-SEGMENT'!$Q$143</f>
        <v>1</v>
      </c>
    </row>
    <row r="105" spans="1:20" ht="15" customHeight="1">
      <c r="A105" s="26">
        <v>102</v>
      </c>
      <c r="B105" s="26">
        <v>102</v>
      </c>
      <c r="C105" s="422">
        <f>'ANALYSE - ERP =&gt; SOUS-SEGMENT'!$A$133</f>
        <v>126</v>
      </c>
      <c r="D105" s="417" t="str">
        <f>'ANALYSE - ERP =&gt; SOUS-SEGMENT'!$B$133</f>
        <v>Sécurité &amp; Justice</v>
      </c>
      <c r="E105" s="417" t="str">
        <f>'ANALYSE - ERP =&gt; SOUS-SEGMENT'!$C$133</f>
        <v xml:space="preserve">Commissariats / postes de police </v>
      </c>
      <c r="F105" s="417" t="str">
        <f>'ANALYSE - ERP =&gt; SOUS-SEGMENT'!$D$133</f>
        <v>Postes de proximité et antennes avec accueil public</v>
      </c>
      <c r="H105" s="787">
        <f>IFERROR('ANALYSE - ERP =&gt; SOUS-SEGMENT'!$HZ$133/'ANALYSE - ERP =&gt; SOUS-SEGMENT'!$HY$133,"")</f>
        <v>8.1144444444444463E-2</v>
      </c>
      <c r="I105" s="787">
        <f>IFERROR('ANALYSE - ERP =&gt; SOUS-SEGMENT'!$IA$133/'ANALYSE - ERP =&gt; SOUS-SEGMENT'!$HY$133,"")</f>
        <v>0.57904444444444447</v>
      </c>
      <c r="J105" s="787">
        <f>IFERROR('ANALYSE - ERP =&gt; SOUS-SEGMENT'!$IB$133/'ANALYSE - ERP =&gt; SOUS-SEGMENT'!$HY$133,"")</f>
        <v>0.33981111111111112</v>
      </c>
      <c r="K105" s="787">
        <f>IFERROR('ANALYSE - ERP =&gt; SOUS-SEGMENT'!$IC$133/'ANALYSE - ERP =&gt; SOUS-SEGMENT'!$HY$133,"")</f>
        <v>0</v>
      </c>
      <c r="L105" s="787">
        <f>IFERROR('ANALYSE - ERP =&gt; SOUS-SEGMENT'!$ID$133/'ANALYSE - ERP =&gt; SOUS-SEGMENT'!$HY$133,"")</f>
        <v>0</v>
      </c>
      <c r="N105" s="787">
        <f>IFERROR('ANALYSE - ERP =&gt; SOUS-SEGMENT'!$IF$133/'ANALYSE - ERP =&gt; SOUS-SEGMENT'!$IE$133,"")</f>
        <v>7.1673005517764413E-2</v>
      </c>
      <c r="O105" s="787">
        <f>IFERROR('ANALYSE - ERP =&gt; SOUS-SEGMENT'!$IG$133/'ANALYSE - ERP =&gt; SOUS-SEGMENT'!$IE$133,"")</f>
        <v>0.48111000601046799</v>
      </c>
      <c r="P105" s="787">
        <f>IFERROR('ANALYSE - ERP =&gt; SOUS-SEGMENT'!$IH$133/'ANALYSE - ERP =&gt; SOUS-SEGMENT'!$IE$133,"")</f>
        <v>0.44355801984744248</v>
      </c>
      <c r="Q105" s="787">
        <f>IFERROR('ANALYSE - ERP =&gt; SOUS-SEGMENT'!$II$133/'ANALYSE - ERP =&gt; SOUS-SEGMENT'!$IE$133,"")</f>
        <v>3.6589686243251123E-3</v>
      </c>
      <c r="R105" s="787">
        <f>IFERROR('ANALYSE - ERP =&gt; SOUS-SEGMENT'!$IJ$133/'ANALYSE - ERP =&gt; SOUS-SEGMENT'!$IE$133,"")</f>
        <v>0</v>
      </c>
      <c r="T105" s="430">
        <f>'ANALYSE - ERP =&gt; SOUS-SEGMENT'!$Q$133</f>
        <v>1</v>
      </c>
    </row>
    <row r="106" spans="1:20" s="45" customFormat="1" ht="15" customHeight="1">
      <c r="A106" s="406">
        <v>103</v>
      </c>
      <c r="B106" s="406">
        <v>103</v>
      </c>
      <c r="C106" s="448">
        <f>'ANALYSE - ERP =&gt; SOUS-SEGMENT'!$A$145</f>
        <v>138</v>
      </c>
      <c r="D106" s="423" t="str">
        <f>'ANALYSE - ERP =&gt; SOUS-SEGMENT'!$B$145</f>
        <v>Sécurité &amp; Justice</v>
      </c>
      <c r="E106" s="423" t="str">
        <f>'ANALYSE - ERP =&gt; SOUS-SEGMENT'!$C$145</f>
        <v>Univers carcéral</v>
      </c>
      <c r="F106" s="423" t="str">
        <f>'ANALYSE - ERP =&gt; SOUS-SEGMENT'!$D$145</f>
        <v>Centres pour peines aménagées
(absorbés par autres centres carcéraux)</v>
      </c>
      <c r="G106" s="685"/>
      <c r="H106" s="788" t="str">
        <f>IFERROR('ANALYSE - ERP =&gt; SOUS-SEGMENT'!$HZ$145/'ANALYSE - ERP =&gt; SOUS-SEGMENT'!$HY$145,"")</f>
        <v/>
      </c>
      <c r="I106" s="788" t="str">
        <f>IFERROR('ANALYSE - ERP =&gt; SOUS-SEGMENT'!$IA$145/'ANALYSE - ERP =&gt; SOUS-SEGMENT'!$HY$145,"")</f>
        <v/>
      </c>
      <c r="J106" s="788" t="str">
        <f>IFERROR('ANALYSE - ERP =&gt; SOUS-SEGMENT'!$IB$145/'ANALYSE - ERP =&gt; SOUS-SEGMENT'!$HY$145,"")</f>
        <v/>
      </c>
      <c r="K106" s="788" t="str">
        <f>IFERROR('ANALYSE - ERP =&gt; SOUS-SEGMENT'!$IC$145/'ANALYSE - ERP =&gt; SOUS-SEGMENT'!$HY$145,"")</f>
        <v/>
      </c>
      <c r="L106" s="788" t="str">
        <f>IFERROR('ANALYSE - ERP =&gt; SOUS-SEGMENT'!$ID$145/'ANALYSE - ERP =&gt; SOUS-SEGMENT'!$HY$145,"")</f>
        <v/>
      </c>
      <c r="M106" s="685"/>
      <c r="N106" s="788" t="str">
        <f>IFERROR('ANALYSE - ERP =&gt; SOUS-SEGMENT'!$IF$145/'ANALYSE - ERP =&gt; SOUS-SEGMENT'!$IE$145,"")</f>
        <v/>
      </c>
      <c r="O106" s="788" t="str">
        <f>IFERROR('ANALYSE - ERP =&gt; SOUS-SEGMENT'!$IG$145/'ANALYSE - ERP =&gt; SOUS-SEGMENT'!$IE$145,"")</f>
        <v/>
      </c>
      <c r="P106" s="788" t="str">
        <f>IFERROR('ANALYSE - ERP =&gt; SOUS-SEGMENT'!$IH$145/'ANALYSE - ERP =&gt; SOUS-SEGMENT'!$IE$145,"")</f>
        <v/>
      </c>
      <c r="Q106" s="788" t="str">
        <f>IFERROR('ANALYSE - ERP =&gt; SOUS-SEGMENT'!$II$145/'ANALYSE - ERP =&gt; SOUS-SEGMENT'!$IE$145,"")</f>
        <v/>
      </c>
      <c r="R106" s="788" t="str">
        <f>IFERROR('ANALYSE - ERP =&gt; SOUS-SEGMENT'!$IJ$145/'ANALYSE - ERP =&gt; SOUS-SEGMENT'!$IE$145,"")</f>
        <v/>
      </c>
      <c r="S106" s="685"/>
      <c r="T106" s="450">
        <f>'ANALYSE - ERP =&gt; SOUS-SEGMENT'!$Q$145</f>
        <v>0</v>
      </c>
    </row>
  </sheetData>
  <autoFilter ref="A2:T2" xr:uid="{00000000-0009-0000-0000-00001A000000}"/>
  <conditionalFormatting sqref="H4:L106">
    <cfRule type="colorScale" priority="2">
      <colorScale>
        <cfvo type="min"/>
        <cfvo type="formula" val="MEDIAN($H$4:$L$106)"/>
        <cfvo type="max"/>
        <color rgb="FFF8696B"/>
        <color theme="0"/>
        <color rgb="FF63BE7B"/>
      </colorScale>
    </cfRule>
  </conditionalFormatting>
  <conditionalFormatting sqref="N4:R106">
    <cfRule type="colorScale" priority="1">
      <colorScale>
        <cfvo type="min"/>
        <cfvo type="formula" val="MEDIAN($N$4:$R$106)"/>
        <cfvo type="max"/>
        <color rgb="FFF8696B"/>
        <color theme="0"/>
        <color rgb="FF63BE7B"/>
      </colorScale>
    </cfRule>
  </conditionalFormatting>
  <pageMargins left="3.937007874015748E-2" right="3.937007874015748E-2" top="7.874015748031496E-2" bottom="7.874015748031496E-2" header="0.11811023622047249" footer="0.11811023622047249"/>
  <pageSetup paperSize="8" scale="89" fitToHeight="2"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39997558519241921"/>
    <pageSetUpPr fitToPage="1"/>
  </sheetPr>
  <dimension ref="A1:BZ106"/>
  <sheetViews>
    <sheetView zoomScale="85" zoomScaleNormal="85" workbookViewId="0">
      <pane xSplit="6" ySplit="3" topLeftCell="G4" activePane="bottomRight" state="frozen"/>
      <selection activeCell="F100" sqref="F100"/>
      <selection pane="topRight" activeCell="F100" sqref="F100"/>
      <selection pane="bottomLeft" activeCell="F100" sqref="F100"/>
      <selection pane="bottomRight" activeCell="F35" sqref="F35"/>
    </sheetView>
  </sheetViews>
  <sheetFormatPr baseColWidth="10" defaultColWidth="9.140625" defaultRowHeight="15"/>
  <cols>
    <col min="1" max="2" width="9" style="934" customWidth="1"/>
    <col min="3" max="3" width="6" style="934" customWidth="1"/>
    <col min="4" max="4" width="30.5703125" style="934" customWidth="1"/>
    <col min="5" max="5" width="27.7109375" style="43" customWidth="1"/>
    <col min="6" max="6" width="51.7109375" style="43" customWidth="1"/>
    <col min="7" max="7" width="1.7109375" style="933" customWidth="1"/>
    <col min="8" max="8" width="9.28515625" style="43" customWidth="1"/>
    <col min="9" max="12" width="9.28515625" style="934" customWidth="1"/>
    <col min="13" max="13" width="1.7109375" style="933" customWidth="1"/>
    <col min="14" max="18" width="9.28515625" style="934" customWidth="1"/>
    <col min="19" max="19" width="1.7109375" style="933" customWidth="1"/>
    <col min="20" max="20" width="12" style="934" customWidth="1"/>
    <col min="21" max="78" width="9.140625" style="933" customWidth="1"/>
  </cols>
  <sheetData>
    <row r="1" spans="1:78" s="933" customFormat="1" ht="18.75" customHeight="1">
      <c r="C1" s="477"/>
      <c r="D1" s="479"/>
      <c r="E1" s="478" t="s">
        <v>7970</v>
      </c>
      <c r="F1" s="479"/>
      <c r="H1" s="474"/>
      <c r="I1" s="474"/>
      <c r="J1" s="475" t="s">
        <v>7971</v>
      </c>
      <c r="K1" s="474"/>
      <c r="L1" s="474"/>
      <c r="N1" s="452"/>
      <c r="O1" s="452"/>
      <c r="P1" s="476" t="s">
        <v>7972</v>
      </c>
      <c r="Q1" s="452"/>
      <c r="R1" s="452"/>
      <c r="T1" s="452"/>
    </row>
    <row r="2" spans="1:78"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78">
      <c r="A3" s="405" t="s">
        <v>2535</v>
      </c>
      <c r="B3" s="405" t="s">
        <v>2535</v>
      </c>
      <c r="C3" s="405" t="s">
        <v>2090</v>
      </c>
      <c r="D3" s="405" t="s">
        <v>2086</v>
      </c>
      <c r="E3" s="405" t="s">
        <v>6728</v>
      </c>
      <c r="F3" s="405" t="s">
        <v>6729</v>
      </c>
      <c r="H3" s="426" t="e">
        <f>SUMPRODUCT(($T$4:$T$106),('ANALYSE - ERP =&gt; SOUS-SEGMENT'!$HZ$8:$HZ$150))</f>
        <v>#REF!</v>
      </c>
      <c r="I3" s="426" t="e">
        <f>SUMPRODUCT(($T$4:$T$106),('ANALYSE - ERP =&gt; SOUS-SEGMENT'!$IA$8:$IA$150))</f>
        <v>#REF!</v>
      </c>
      <c r="J3" s="426" t="e">
        <f>SUMPRODUCT(($T$4:$T$106),('ANALYSE - ERP =&gt; SOUS-SEGMENT'!$IB$8:$IB$150))</f>
        <v>#REF!</v>
      </c>
      <c r="K3" s="426" t="e">
        <f>SUMPRODUCT(($T$4:$T$106),('ANALYSE - ERP =&gt; SOUS-SEGMENT'!$IC$8:$IC$150))</f>
        <v>#REF!</v>
      </c>
      <c r="L3" s="426" t="e">
        <f>SUMPRODUCT(($T$4:$T$106),('ANALYSE - ERP =&gt; SOUS-SEGMENT'!$ID$8:$ID$150))</f>
        <v>#REF!</v>
      </c>
      <c r="N3" s="426" t="e">
        <f>SUMPRODUCT(($T$4:$T$106),('ANALYSE - ERP =&gt; SOUS-SEGMENT'!$IF$8:$IF$150))</f>
        <v>#REF!</v>
      </c>
      <c r="O3" s="426" t="e">
        <f>SUMPRODUCT(($T$4:$T$106),('ANALYSE - ERP =&gt; SOUS-SEGMENT'!$IG$8:$IG$150))</f>
        <v>#REF!</v>
      </c>
      <c r="P3" s="426" t="e">
        <f>SUMPRODUCT(($T$4:$T$106),('ANALYSE - ERP =&gt; SOUS-SEGMENT'!$IH$8:$IH$150))</f>
        <v>#REF!</v>
      </c>
      <c r="Q3" s="426" t="e">
        <f>SUMPRODUCT(($T$4:$T$106),('ANALYSE - ERP =&gt; SOUS-SEGMENT'!$II$8:$II$150))</f>
        <v>#REF!</v>
      </c>
      <c r="R3" s="426" t="e">
        <f>SUMPRODUCT(($T$4:$T$106),('ANALYSE - ERP =&gt; SOUS-SEGMENT'!$IJ$8:$IJ$150))</f>
        <v>#REF!</v>
      </c>
      <c r="T3" s="428">
        <f>SUM('ANALYSE - ERP =&gt; SOUS-SEGMENT'!$Q$8:$Q$150)</f>
        <v>137</v>
      </c>
    </row>
    <row r="4" spans="1:78" ht="15" customHeight="1">
      <c r="A4" s="26">
        <v>1</v>
      </c>
      <c r="B4" s="26">
        <v>1</v>
      </c>
      <c r="C4" s="422">
        <f>'ANALYSE - ERP =&gt; SOUS-SEGMENT'!$A$75</f>
        <v>68</v>
      </c>
      <c r="D4" s="412" t="str">
        <f>'ANALYSE - ERP =&gt; SOUS-SEGMENT'!$B$75</f>
        <v>Commerce, Restauration &amp; Loisirs</v>
      </c>
      <c r="E4" s="412" t="str">
        <f>'ANALYSE - ERP =&gt; SOUS-SEGMENT'!$C$75</f>
        <v>Restauration / boissons</v>
      </c>
      <c r="F4" s="412" t="str">
        <f>'ANALYSE - ERP =&gt; SOUS-SEGMENT'!$D$75</f>
        <v>Restaurants
(Hors établissements altitude, flottant, armée)</v>
      </c>
      <c r="H4" s="458">
        <f>'ANALYSE - ERP =&gt; SOUS-SEGMENT'!$HZ$75</f>
        <v>9086.7975000000006</v>
      </c>
      <c r="I4" s="458">
        <f>'ANALYSE - ERP =&gt; SOUS-SEGMENT'!$IA$75</f>
        <v>241692.35750000004</v>
      </c>
      <c r="J4" s="458">
        <f>'ANALYSE - ERP =&gt; SOUS-SEGMENT'!$IB$75</f>
        <v>403262.69500000001</v>
      </c>
      <c r="K4" s="458">
        <f>'ANALYSE - ERP =&gt; SOUS-SEGMENT'!$IC$75</f>
        <v>141064.38500000001</v>
      </c>
      <c r="L4" s="458">
        <f>'ANALYSE - ERP =&gt; SOUS-SEGMENT'!$ID$75</f>
        <v>13668.764999999999</v>
      </c>
      <c r="N4" s="458">
        <f>'ANALYSE - ERP =&gt; SOUS-SEGMENT'!$IF$75</f>
        <v>0</v>
      </c>
      <c r="O4" s="458">
        <f>'ANALYSE - ERP =&gt; SOUS-SEGMENT'!$IG$75</f>
        <v>77994.417205265127</v>
      </c>
      <c r="P4" s="458">
        <f>'ANALYSE - ERP =&gt; SOUS-SEGMENT'!$IH$75</f>
        <v>153432.74316036716</v>
      </c>
      <c r="Q4" s="458">
        <f>'ANALYSE - ERP =&gt; SOUS-SEGMENT'!$II$75</f>
        <v>58697.275145346881</v>
      </c>
      <c r="R4" s="458">
        <f>'ANALYSE - ERP =&gt; SOUS-SEGMENT'!$IJ$75</f>
        <v>6677.7704690803876</v>
      </c>
      <c r="T4" s="430">
        <f>'ANALYSE - ERP =&gt; SOUS-SEGMENT'!$Q$75</f>
        <v>1</v>
      </c>
    </row>
    <row r="5" spans="1:78" ht="15" customHeight="1">
      <c r="A5" s="26">
        <v>2</v>
      </c>
      <c r="B5" s="26">
        <v>2</v>
      </c>
      <c r="C5" s="422">
        <f>'ANALYSE - ERP =&gt; SOUS-SEGMENT'!$A$58</f>
        <v>51</v>
      </c>
      <c r="D5" s="409" t="str">
        <f>'ANALYSE - ERP =&gt; SOUS-SEGMENT'!$B$58</f>
        <v>Santé &amp; Médico-social</v>
      </c>
      <c r="E5" s="409" t="str">
        <f>'ANALYSE - ERP =&gt; SOUS-SEGMENT'!$C$58</f>
        <v>Médico-social</v>
      </c>
      <c r="F5" s="409" t="str">
        <f>'ANALYSE - ERP =&gt; SOUS-SEGMENT'!$D$58</f>
        <v>EHPAD</v>
      </c>
      <c r="H5" s="458">
        <f>'ANALYSE - ERP =&gt; SOUS-SEGMENT'!$HZ$58</f>
        <v>0</v>
      </c>
      <c r="I5" s="458">
        <f>'ANALYSE - ERP =&gt; SOUS-SEGMENT'!$IA$58</f>
        <v>123894.4525</v>
      </c>
      <c r="J5" s="458">
        <f>'ANALYSE - ERP =&gt; SOUS-SEGMENT'!$IB$58</f>
        <v>656550.13199999998</v>
      </c>
      <c r="K5" s="458">
        <f>'ANALYSE - ERP =&gt; SOUS-SEGMENT'!$IC$58</f>
        <v>426998.48450000002</v>
      </c>
      <c r="L5" s="458">
        <f>'ANALYSE - ERP =&gt; SOUS-SEGMENT'!$ID$58</f>
        <v>3696.9309999999996</v>
      </c>
      <c r="N5" s="458">
        <f>'ANALYSE - ERP =&gt; SOUS-SEGMENT'!$IF$58</f>
        <v>0</v>
      </c>
      <c r="O5" s="458">
        <f>'ANALYSE - ERP =&gt; SOUS-SEGMENT'!$IG$58</f>
        <v>21479.574506923193</v>
      </c>
      <c r="P5" s="458">
        <f>'ANALYSE - ERP =&gt; SOUS-SEGMENT'!$IH$58</f>
        <v>198840.47050559882</v>
      </c>
      <c r="Q5" s="458">
        <f>'ANALYSE - ERP =&gt; SOUS-SEGMENT'!$II$58</f>
        <v>188786.07872263697</v>
      </c>
      <c r="R5" s="458">
        <f>'ANALYSE - ERP =&gt; SOUS-SEGMENT'!$IJ$58</f>
        <v>11855.512121230262</v>
      </c>
      <c r="T5" s="430">
        <f>'ANALYSE - ERP =&gt; SOUS-SEGMENT'!$Q$58</f>
        <v>1</v>
      </c>
    </row>
    <row r="6" spans="1:78" ht="15" customHeight="1">
      <c r="A6" s="26">
        <v>3</v>
      </c>
      <c r="B6" s="26">
        <v>3</v>
      </c>
      <c r="C6" s="422">
        <f>'ANALYSE - ERP =&gt; SOUS-SEGMENT'!$A$82</f>
        <v>75</v>
      </c>
      <c r="D6" s="412" t="str">
        <f>'ANALYSE - ERP =&gt; SOUS-SEGMENT'!$B$82</f>
        <v>Tertiaire &amp; Industriel</v>
      </c>
      <c r="E6" s="412" t="str">
        <f>'ANALYSE - ERP =&gt; SOUS-SEGMENT'!$C$82</f>
        <v>Bureaux</v>
      </c>
      <c r="F6" s="412" t="str">
        <f>'ANALYSE - ERP =&gt; SOUS-SEGMENT'!$D$82</f>
        <v>Bureaux Tertiaire Privé (&gt;50 salariés)
(hors usines et logistique )</v>
      </c>
      <c r="H6" s="458">
        <f>'ANALYSE - ERP =&gt; SOUS-SEGMENT'!$HZ$82</f>
        <v>40228.521999999997</v>
      </c>
      <c r="I6" s="458">
        <f>'ANALYSE - ERP =&gt; SOUS-SEGMENT'!$IA$82</f>
        <v>504645.51150000002</v>
      </c>
      <c r="J6" s="458">
        <f>'ANALYSE - ERP =&gt; SOUS-SEGMENT'!$IB$82</f>
        <v>581633.04850000003</v>
      </c>
      <c r="K6" s="458">
        <f>'ANALYSE - ERP =&gt; SOUS-SEGMENT'!$IC$82</f>
        <v>74066.050250000015</v>
      </c>
      <c r="L6" s="458">
        <f>'ANALYSE - ERP =&gt; SOUS-SEGMENT'!$ID$82</f>
        <v>0</v>
      </c>
      <c r="N6" s="458">
        <f>'ANALYSE - ERP =&gt; SOUS-SEGMENT'!$IF$82</f>
        <v>3927.9009982196512</v>
      </c>
      <c r="O6" s="458">
        <f>'ANALYSE - ERP =&gt; SOUS-SEGMENT'!$IG$82</f>
        <v>132921.33286942382</v>
      </c>
      <c r="P6" s="458">
        <f>'ANALYSE - ERP =&gt; SOUS-SEGMENT'!$IH$82</f>
        <v>169639.78779465536</v>
      </c>
      <c r="Q6" s="458">
        <f>'ANALYSE - ERP =&gt; SOUS-SEGMENT'!$II$82</f>
        <v>28054.670965954836</v>
      </c>
      <c r="R6" s="458">
        <f>'ANALYSE - ERP =&gt; SOUS-SEGMENT'!$IJ$82</f>
        <v>1680.9077748652653</v>
      </c>
      <c r="T6" s="430">
        <f>'ANALYSE - ERP =&gt; SOUS-SEGMENT'!$Q$82</f>
        <v>1</v>
      </c>
    </row>
    <row r="7" spans="1:78" ht="15" customHeight="1">
      <c r="A7" s="26">
        <v>4</v>
      </c>
      <c r="B7" s="26">
        <v>4</v>
      </c>
      <c r="C7" s="422">
        <f>'ANALYSE - ERP =&gt; SOUS-SEGMENT'!$A$12</f>
        <v>5</v>
      </c>
      <c r="D7" s="413" t="str">
        <f>'ANALYSE - ERP =&gt; SOUS-SEGMENT'!$B$12</f>
        <v>Enfance, Enseignement, Jeunesse &amp; Formation</v>
      </c>
      <c r="E7" s="413" t="str">
        <f>'ANALYSE - ERP =&gt; SOUS-SEGMENT'!$C$12</f>
        <v>Enseignement scolaire</v>
      </c>
      <c r="F7" s="413" t="str">
        <f>'ANALYSE - ERP =&gt; SOUS-SEGMENT'!$D$12</f>
        <v>Écoles primaires</v>
      </c>
      <c r="H7" s="458">
        <f>'ANALYSE - ERP =&gt; SOUS-SEGMENT'!$HZ$12</f>
        <v>88839.915120000005</v>
      </c>
      <c r="I7" s="458">
        <f>'ANALYSE - ERP =&gt; SOUS-SEGMENT'!$IA$12</f>
        <v>466059.89654400002</v>
      </c>
      <c r="J7" s="458">
        <f>'ANALYSE - ERP =&gt; SOUS-SEGMENT'!$IB$12</f>
        <v>285507.332176</v>
      </c>
      <c r="K7" s="458">
        <f>'ANALYSE - ERP =&gt; SOUS-SEGMENT'!$IC$12</f>
        <v>20314.954527999998</v>
      </c>
      <c r="L7" s="458">
        <f>'ANALYSE - ERP =&gt; SOUS-SEGMENT'!$ID$12</f>
        <v>166.06163200000003</v>
      </c>
      <c r="N7" s="458">
        <f>'ANALYSE - ERP =&gt; SOUS-SEGMENT'!$IF$12</f>
        <v>6976.6849445115186</v>
      </c>
      <c r="O7" s="458">
        <f>'ANALYSE - ERP =&gt; SOUS-SEGMENT'!$IG$12</f>
        <v>72627.137385295689</v>
      </c>
      <c r="P7" s="458">
        <f>'ANALYSE - ERP =&gt; SOUS-SEGMENT'!$IH$12</f>
        <v>88437.309427980072</v>
      </c>
      <c r="Q7" s="458">
        <f>'ANALYSE - ERP =&gt; SOUS-SEGMENT'!$II$12</f>
        <v>12533.616177585931</v>
      </c>
      <c r="R7" s="458">
        <f>'ANALYSE - ERP =&gt; SOUS-SEGMENT'!$IJ$12</f>
        <v>208.04662777561344</v>
      </c>
      <c r="T7" s="430">
        <f>'ANALYSE - ERP =&gt; SOUS-SEGMENT'!$Q$12</f>
        <v>1</v>
      </c>
    </row>
    <row r="8" spans="1:78" ht="15" customHeight="1">
      <c r="A8" s="26">
        <v>5</v>
      </c>
      <c r="B8" s="26">
        <v>5</v>
      </c>
      <c r="C8" s="422">
        <f>'ANALYSE - ERP =&gt; SOUS-SEGMENT'!$A$101</f>
        <v>94</v>
      </c>
      <c r="D8" s="412" t="str">
        <f>'ANALYSE - ERP =&gt; SOUS-SEGMENT'!$B$101</f>
        <v>Culte, Vie civique &amp; Services publics</v>
      </c>
      <c r="E8" s="412" t="str">
        <f>'ANALYSE - ERP =&gt; SOUS-SEGMENT'!$C$101</f>
        <v>Administrations / services publics</v>
      </c>
      <c r="F8" s="412" t="str">
        <f>'ANALYSE - ERP =&gt; SOUS-SEGMENT'!$D$101</f>
        <v>Mairies / hôtels de ville</v>
      </c>
      <c r="H8" s="458">
        <f>'ANALYSE - ERP =&gt; SOUS-SEGMENT'!$HZ$101</f>
        <v>7649.1839999999993</v>
      </c>
      <c r="I8" s="458">
        <f>'ANALYSE - ERP =&gt; SOUS-SEGMENT'!$IA$101</f>
        <v>97726.199760000003</v>
      </c>
      <c r="J8" s="458">
        <f>'ANALYSE - ERP =&gt; SOUS-SEGMENT'!$IB$101</f>
        <v>116006.62463999999</v>
      </c>
      <c r="K8" s="458">
        <f>'ANALYSE - ERP =&gt; SOUS-SEGMENT'!$IC$101</f>
        <v>14842.7916</v>
      </c>
      <c r="L8" s="458">
        <f>'ANALYSE - ERP =&gt; SOUS-SEGMENT'!$ID$101</f>
        <v>0</v>
      </c>
      <c r="N8" s="458">
        <f>'ANALYSE - ERP =&gt; SOUS-SEGMENT'!$IF$101</f>
        <v>871.70795593751018</v>
      </c>
      <c r="O8" s="458">
        <f>'ANALYSE - ERP =&gt; SOUS-SEGMENT'!$IG$101</f>
        <v>27779.983630570954</v>
      </c>
      <c r="P8" s="458">
        <f>'ANALYSE - ERP =&gt; SOUS-SEGMENT'!$IH$101</f>
        <v>36375.941415812289</v>
      </c>
      <c r="Q8" s="458">
        <f>'ANALYSE - ERP =&gt; SOUS-SEGMENT'!$II$101</f>
        <v>5909.0110013164576</v>
      </c>
      <c r="R8" s="458">
        <f>'ANALYSE - ERP =&gt; SOUS-SEGMENT'!$IJ$101</f>
        <v>319.87199958616338</v>
      </c>
      <c r="T8" s="430">
        <f>'ANALYSE - ERP =&gt; SOUS-SEGMENT'!$Q$101</f>
        <v>1</v>
      </c>
    </row>
    <row r="9" spans="1:78" ht="15" customHeight="1">
      <c r="A9" s="26">
        <v>6</v>
      </c>
      <c r="B9" s="26">
        <v>6</v>
      </c>
      <c r="C9" s="422">
        <f>'ANALYSE - ERP =&gt; SOUS-SEGMENT'!$A$67</f>
        <v>60</v>
      </c>
      <c r="D9" s="409" t="str">
        <f>'ANALYSE - ERP =&gt; SOUS-SEGMENT'!$B$67</f>
        <v>Culture, Patrimoine &amp; Evénementiel</v>
      </c>
      <c r="E9" s="409" t="str">
        <f>'ANALYSE - ERP =&gt; SOUS-SEGMENT'!$C$67</f>
        <v>Culture / spectacle</v>
      </c>
      <c r="F9" s="409" t="str">
        <f>'ANALYSE - ERP =&gt; SOUS-SEGMENT'!$D$67</f>
        <v>Salles polyvalentes / Salles des fêtes</v>
      </c>
      <c r="H9" s="458">
        <f>'ANALYSE - ERP =&gt; SOUS-SEGMENT'!$HZ$67</f>
        <v>14167.648000000001</v>
      </c>
      <c r="I9" s="458">
        <f>'ANALYSE - ERP =&gt; SOUS-SEGMENT'!$IA$67</f>
        <v>178988.766</v>
      </c>
      <c r="J9" s="458">
        <f>'ANALYSE - ERP =&gt; SOUS-SEGMENT'!$IB$67</f>
        <v>208548.82400000002</v>
      </c>
      <c r="K9" s="458">
        <f>'ANALYSE - ERP =&gt; SOUS-SEGMENT'!$IC$67</f>
        <v>26635.245999999999</v>
      </c>
      <c r="L9" s="458">
        <f>'ANALYSE - ERP =&gt; SOUS-SEGMENT'!$ID$67</f>
        <v>0</v>
      </c>
      <c r="N9" s="458">
        <f>'ANALYSE - ERP =&gt; SOUS-SEGMENT'!$IF$67</f>
        <v>2073.4171770061271</v>
      </c>
      <c r="O9" s="458">
        <f>'ANALYSE - ERP =&gt; SOUS-SEGMENT'!$IG$67</f>
        <v>51754.458672373512</v>
      </c>
      <c r="P9" s="458">
        <f>'ANALYSE - ERP =&gt; SOUS-SEGMENT'!$IH$67</f>
        <v>65323.898284095718</v>
      </c>
      <c r="Q9" s="458">
        <f>'ANALYSE - ERP =&gt; SOUS-SEGMENT'!$II$67</f>
        <v>10284.823330526289</v>
      </c>
      <c r="R9" s="458">
        <f>'ANALYSE - ERP =&gt; SOUS-SEGMENT'!$IJ$67</f>
        <v>493.90553261258862</v>
      </c>
      <c r="T9" s="430">
        <f>'ANALYSE - ERP =&gt; SOUS-SEGMENT'!$Q$67</f>
        <v>1</v>
      </c>
    </row>
    <row r="10" spans="1:78" ht="15" customHeight="1">
      <c r="A10" s="26">
        <v>7</v>
      </c>
      <c r="B10" s="26">
        <v>7</v>
      </c>
      <c r="C10" s="422">
        <f>'ANALYSE - ERP =&gt; SOUS-SEGMENT'!$A$21</f>
        <v>14</v>
      </c>
      <c r="D10" s="409" t="str">
        <f>'ANALYSE - ERP =&gt; SOUS-SEGMENT'!$B$21</f>
        <v>Sports &amp; Loisirs</v>
      </c>
      <c r="E10" s="409" t="str">
        <f>'ANALYSE - ERP =&gt; SOUS-SEGMENT'!$C$21</f>
        <v>Sport couvert / Thermalisme / Bien-être</v>
      </c>
      <c r="F10" s="409" t="str">
        <f>'ANALYSE - ERP =&gt; SOUS-SEGMENT'!$D$21</f>
        <v>Gymnases / salles multisports
(hors scolaire, mais gymnase municipaux inclus)</v>
      </c>
      <c r="H10" s="458">
        <f>'ANALYSE - ERP =&gt; SOUS-SEGMENT'!$HZ$21</f>
        <v>126453.44</v>
      </c>
      <c r="I10" s="458">
        <f>'ANALYSE - ERP =&gt; SOUS-SEGMENT'!$IA$21</f>
        <v>427009.88000000006</v>
      </c>
      <c r="J10" s="458">
        <f>'ANALYSE - ERP =&gt; SOUS-SEGMENT'!$IB$21</f>
        <v>133586.68000000002</v>
      </c>
      <c r="K10" s="458">
        <f>'ANALYSE - ERP =&gt; SOUS-SEGMENT'!$IC$21</f>
        <v>0</v>
      </c>
      <c r="L10" s="458">
        <f>'ANALYSE - ERP =&gt; SOUS-SEGMENT'!$ID$21</f>
        <v>0</v>
      </c>
      <c r="N10" s="458">
        <f>'ANALYSE - ERP =&gt; SOUS-SEGMENT'!$IF$21</f>
        <v>26944.315979158127</v>
      </c>
      <c r="O10" s="458">
        <f>'ANALYSE - ERP =&gt; SOUS-SEGMENT'!$IG$21</f>
        <v>165936.29799963936</v>
      </c>
      <c r="P10" s="458">
        <f>'ANALYSE - ERP =&gt; SOUS-SEGMENT'!$IH$21</f>
        <v>91011.162152452511</v>
      </c>
      <c r="Q10" s="458">
        <f>'ANALYSE - ERP =&gt; SOUS-SEGMENT'!$II$21</f>
        <v>0</v>
      </c>
      <c r="R10" s="458">
        <f>'ANALYSE - ERP =&gt; SOUS-SEGMENT'!$IJ$21</f>
        <v>0</v>
      </c>
      <c r="T10" s="430">
        <f>'ANALYSE - ERP =&gt; SOUS-SEGMENT'!$Q$21</f>
        <v>1</v>
      </c>
    </row>
    <row r="11" spans="1:78" s="45" customFormat="1" ht="15" customHeight="1">
      <c r="A11" s="26">
        <v>8</v>
      </c>
      <c r="B11" s="26">
        <v>8</v>
      </c>
      <c r="C11" s="422">
        <f>'ANALYSE - ERP =&gt; SOUS-SEGMENT'!$A$77</f>
        <v>70</v>
      </c>
      <c r="D11" s="409" t="str">
        <f>'ANALYSE - ERP =&gt; SOUS-SEGMENT'!$B$77</f>
        <v>Commerce, Restauration &amp; Loisirs</v>
      </c>
      <c r="E11" s="409" t="str">
        <f>'ANALYSE - ERP =&gt; SOUS-SEGMENT'!$C$77</f>
        <v>Restauration / boissons</v>
      </c>
      <c r="F11" s="409" t="str">
        <f>'ANALYSE - ERP =&gt; SOUS-SEGMENT'!$D$77</f>
        <v>Fast-food / Cafétérias / Food courts</v>
      </c>
      <c r="G11" s="685"/>
      <c r="H11" s="458">
        <f>'ANALYSE - ERP =&gt; SOUS-SEGMENT'!$HZ$77</f>
        <v>21799.763999999999</v>
      </c>
      <c r="I11" s="458">
        <f>'ANALYSE - ERP =&gt; SOUS-SEGMENT'!$IA$77</f>
        <v>237240.51749999999</v>
      </c>
      <c r="J11" s="458">
        <f>'ANALYSE - ERP =&gt; SOUS-SEGMENT'!$IB$77</f>
        <v>178480.5435</v>
      </c>
      <c r="K11" s="458">
        <f>'ANALYSE - ERP =&gt; SOUS-SEGMENT'!$IC$77</f>
        <v>18818.099999999999</v>
      </c>
      <c r="L11" s="458">
        <f>'ANALYSE - ERP =&gt; SOUS-SEGMENT'!$ID$77</f>
        <v>14113.575000000001</v>
      </c>
      <c r="M11" s="685"/>
      <c r="N11" s="458">
        <f>'ANALYSE - ERP =&gt; SOUS-SEGMENT'!$IF$77</f>
        <v>1139.0232606506506</v>
      </c>
      <c r="O11" s="458">
        <f>'ANALYSE - ERP =&gt; SOUS-SEGMENT'!$IG$77</f>
        <v>60938.242138458445</v>
      </c>
      <c r="P11" s="458">
        <f>'ANALYSE - ERP =&gt; SOUS-SEGMENT'!$IH$77</f>
        <v>93794.757909570893</v>
      </c>
      <c r="Q11" s="458">
        <f>'ANALYSE - ERP =&gt; SOUS-SEGMENT'!$II$77</f>
        <v>15500.505315830495</v>
      </c>
      <c r="R11" s="458">
        <f>'ANALYSE - ERP =&gt; SOUS-SEGMENT'!$IJ$77</f>
        <v>5300.1812976652727</v>
      </c>
      <c r="S11" s="685"/>
      <c r="T11" s="430">
        <f>'ANALYSE - ERP =&gt; SOUS-SEGMENT'!$Q$77</f>
        <v>1</v>
      </c>
      <c r="U11" s="685"/>
      <c r="V11" s="685"/>
      <c r="W11" s="685"/>
      <c r="X11" s="685"/>
      <c r="Y11" s="685"/>
      <c r="Z11" s="685"/>
      <c r="AA11" s="685"/>
      <c r="AB11" s="685"/>
      <c r="AC11" s="685"/>
      <c r="AD11" s="685"/>
      <c r="AE11" s="685"/>
      <c r="AF11" s="685"/>
      <c r="AG11" s="685"/>
      <c r="AH11" s="685"/>
      <c r="AI11" s="685"/>
      <c r="AJ11" s="685"/>
      <c r="AK11" s="685"/>
      <c r="AL11" s="685"/>
      <c r="AM11" s="685"/>
      <c r="AN11" s="685"/>
      <c r="AO11" s="685"/>
      <c r="AP11" s="685"/>
      <c r="AQ11" s="685"/>
      <c r="AR11" s="685"/>
      <c r="AS11" s="685"/>
      <c r="AT11" s="685"/>
      <c r="AU11" s="685"/>
      <c r="AV11" s="685"/>
      <c r="AW11" s="685"/>
      <c r="AX11" s="685"/>
      <c r="AY11" s="685"/>
      <c r="AZ11" s="685"/>
      <c r="BA11" s="685"/>
      <c r="BB11" s="685"/>
      <c r="BC11" s="685"/>
      <c r="BD11" s="685"/>
      <c r="BE11" s="685"/>
      <c r="BF11" s="685"/>
      <c r="BG11" s="685"/>
      <c r="BH11" s="685"/>
      <c r="BI11" s="685"/>
      <c r="BJ11" s="685"/>
      <c r="BK11" s="685"/>
      <c r="BL11" s="685"/>
      <c r="BM11" s="685"/>
      <c r="BN11" s="685"/>
      <c r="BO11" s="685"/>
      <c r="BP11" s="685"/>
      <c r="BQ11" s="685"/>
      <c r="BR11" s="685"/>
      <c r="BS11" s="685"/>
      <c r="BT11" s="685"/>
      <c r="BU11" s="685"/>
      <c r="BV11" s="685"/>
      <c r="BW11" s="685"/>
      <c r="BX11" s="685"/>
      <c r="BY11" s="685"/>
      <c r="BZ11" s="685"/>
    </row>
    <row r="12" spans="1:78" ht="15" customHeight="1">
      <c r="A12" s="26">
        <v>9</v>
      </c>
      <c r="B12" s="26">
        <v>9</v>
      </c>
      <c r="C12" s="422">
        <f>'ANALYSE - ERP =&gt; SOUS-SEGMENT'!$A$113</f>
        <v>106</v>
      </c>
      <c r="D12" s="413" t="str">
        <f>'ANALYSE - ERP =&gt; SOUS-SEGMENT'!$B$113</f>
        <v>Culte, Vie civique &amp; Services publics</v>
      </c>
      <c r="E12" s="413" t="str">
        <f>'ANALYSE - ERP =&gt; SOUS-SEGMENT'!$C$113</f>
        <v>Culte</v>
      </c>
      <c r="F12" s="413" t="str">
        <f>'ANALYSE - ERP =&gt; SOUS-SEGMENT'!$D$113</f>
        <v>Églises, cathédrales, basiliques et chapelles ouvertes au public</v>
      </c>
      <c r="H12" s="458">
        <f>'ANALYSE - ERP =&gt; SOUS-SEGMENT'!$HZ$113</f>
        <v>2858.1099999999997</v>
      </c>
      <c r="I12" s="458">
        <f>'ANALYSE - ERP =&gt; SOUS-SEGMENT'!$IA$113</f>
        <v>14411.295</v>
      </c>
      <c r="J12" s="458">
        <f>'ANALYSE - ERP =&gt; SOUS-SEGMENT'!$IB$113</f>
        <v>8684.005000000001</v>
      </c>
      <c r="K12" s="458">
        <f>'ANALYSE - ERP =&gt; SOUS-SEGMENT'!$IC$113</f>
        <v>696.58999999999992</v>
      </c>
      <c r="L12" s="458">
        <f>'ANALYSE - ERP =&gt; SOUS-SEGMENT'!$ID$113</f>
        <v>0</v>
      </c>
      <c r="N12" s="458">
        <f>'ANALYSE - ERP =&gt; SOUS-SEGMENT'!$IF$113</f>
        <v>775.97625673791219</v>
      </c>
      <c r="O12" s="458">
        <f>'ANALYSE - ERP =&gt; SOUS-SEGMENT'!$IG$113</f>
        <v>4347.0360348000004</v>
      </c>
      <c r="P12" s="458">
        <f>'ANALYSE - ERP =&gt; SOUS-SEGMENT'!$IH$113</f>
        <v>2811.8804078681324</v>
      </c>
      <c r="Q12" s="458">
        <f>'ANALYSE - ERP =&gt; SOUS-SEGMENT'!$II$113</f>
        <v>332.77350090164839</v>
      </c>
      <c r="R12" s="458">
        <f>'ANALYSE - ERP =&gt; SOUS-SEGMENT'!$IJ$113</f>
        <v>26.541464527472531</v>
      </c>
      <c r="T12" s="430">
        <f>'ANALYSE - ERP =&gt; SOUS-SEGMENT'!$Q$113</f>
        <v>1</v>
      </c>
    </row>
    <row r="13" spans="1:78" s="45" customFormat="1" ht="15" customHeight="1">
      <c r="A13" s="406">
        <v>10</v>
      </c>
      <c r="B13" s="406">
        <v>10</v>
      </c>
      <c r="C13" s="448">
        <f>'ANALYSE - ERP =&gt; SOUS-SEGMENT'!$A$13</f>
        <v>6</v>
      </c>
      <c r="D13" s="449" t="str">
        <f>'ANALYSE - ERP =&gt; SOUS-SEGMENT'!$B$13</f>
        <v>Enfance, Enseignement, Jeunesse &amp; Formation</v>
      </c>
      <c r="E13" s="449" t="str">
        <f>'ANALYSE - ERP =&gt; SOUS-SEGMENT'!$C$13</f>
        <v>Enseignement scolaire</v>
      </c>
      <c r="F13" s="449" t="str">
        <f>'ANALYSE - ERP =&gt; SOUS-SEGMENT'!$D$13</f>
        <v>Collèges
(vestiaires EPS inclus)</v>
      </c>
      <c r="G13" s="685"/>
      <c r="H13" s="459">
        <f>'ANALYSE - ERP =&gt; SOUS-SEGMENT'!$HZ$13</f>
        <v>59074.053899999999</v>
      </c>
      <c r="I13" s="459">
        <f>'ANALYSE - ERP =&gt; SOUS-SEGMENT'!$IA$13</f>
        <v>266448.98054999998</v>
      </c>
      <c r="J13" s="459">
        <f>'ANALYSE - ERP =&gt; SOUS-SEGMENT'!$IB$13</f>
        <v>142313.19614999997</v>
      </c>
      <c r="K13" s="459">
        <f>'ANALYSE - ERP =&gt; SOUS-SEGMENT'!$IC$13</f>
        <v>8919.9411</v>
      </c>
      <c r="L13" s="459">
        <f>'ANALYSE - ERP =&gt; SOUS-SEGMENT'!$ID$13</f>
        <v>65.328300000000013</v>
      </c>
      <c r="M13" s="685"/>
      <c r="N13" s="459">
        <f>'ANALYSE - ERP =&gt; SOUS-SEGMENT'!$IF$13</f>
        <v>5008.148030722411</v>
      </c>
      <c r="O13" s="459">
        <f>'ANALYSE - ERP =&gt; SOUS-SEGMENT'!$IG$13</f>
        <v>45224.270687127391</v>
      </c>
      <c r="P13" s="459">
        <f>'ANALYSE - ERP =&gt; SOUS-SEGMENT'!$IH$13</f>
        <v>48478.575521805498</v>
      </c>
      <c r="Q13" s="459">
        <f>'ANALYSE - ERP =&gt; SOUS-SEGMENT'!$II$13</f>
        <v>6120.5649431882175</v>
      </c>
      <c r="R13" s="459">
        <f>'ANALYSE - ERP =&gt; SOUS-SEGMENT'!$IJ$13</f>
        <v>90.050830641494997</v>
      </c>
      <c r="S13" s="685"/>
      <c r="T13" s="450">
        <f>'ANALYSE - ERP =&gt; SOUS-SEGMENT'!$Q$13</f>
        <v>1</v>
      </c>
      <c r="U13" s="685"/>
      <c r="V13" s="685"/>
      <c r="W13" s="685"/>
      <c r="X13" s="685"/>
      <c r="Y13" s="685"/>
      <c r="Z13" s="685"/>
      <c r="AA13" s="685"/>
      <c r="AB13" s="685"/>
      <c r="AC13" s="685"/>
      <c r="AD13" s="685"/>
      <c r="AE13" s="685"/>
      <c r="AF13" s="685"/>
      <c r="AG13" s="685"/>
      <c r="AH13" s="685"/>
      <c r="AI13" s="685"/>
      <c r="AJ13" s="685"/>
      <c r="AK13" s="685"/>
      <c r="AL13" s="685"/>
      <c r="AM13" s="685"/>
      <c r="AN13" s="685"/>
      <c r="AO13" s="685"/>
      <c r="AP13" s="685"/>
      <c r="AQ13" s="685"/>
      <c r="AR13" s="685"/>
      <c r="AS13" s="685"/>
      <c r="AT13" s="685"/>
      <c r="AU13" s="685"/>
      <c r="AV13" s="685"/>
      <c r="AW13" s="685"/>
      <c r="AX13" s="685"/>
      <c r="AY13" s="685"/>
      <c r="AZ13" s="685"/>
      <c r="BA13" s="685"/>
      <c r="BB13" s="685"/>
      <c r="BC13" s="685"/>
      <c r="BD13" s="685"/>
      <c r="BE13" s="685"/>
      <c r="BF13" s="685"/>
      <c r="BG13" s="685"/>
      <c r="BH13" s="685"/>
      <c r="BI13" s="685"/>
      <c r="BJ13" s="685"/>
      <c r="BK13" s="685"/>
      <c r="BL13" s="685"/>
      <c r="BM13" s="685"/>
      <c r="BN13" s="685"/>
      <c r="BO13" s="685"/>
      <c r="BP13" s="685"/>
      <c r="BQ13" s="685"/>
      <c r="BR13" s="685"/>
      <c r="BS13" s="685"/>
      <c r="BT13" s="685"/>
      <c r="BU13" s="685"/>
      <c r="BV13" s="685"/>
      <c r="BW13" s="685"/>
      <c r="BX13" s="685"/>
      <c r="BY13" s="685"/>
      <c r="BZ13" s="685"/>
    </row>
    <row r="14" spans="1:78" ht="15" customHeight="1">
      <c r="A14" s="26">
        <v>11</v>
      </c>
      <c r="B14" s="26">
        <v>11</v>
      </c>
      <c r="C14" s="422">
        <f>'ANALYSE - ERP =&gt; SOUS-SEGMENT'!$A$14</f>
        <v>7</v>
      </c>
      <c r="D14" s="409" t="str">
        <f>'ANALYSE - ERP =&gt; SOUS-SEGMENT'!$B$14</f>
        <v>Enfance, Enseignement, Jeunesse &amp; Formation</v>
      </c>
      <c r="E14" s="409" t="str">
        <f>'ANALYSE - ERP =&gt; SOUS-SEGMENT'!$C$14</f>
        <v>Enseignement scolaire</v>
      </c>
      <c r="F14" s="409" t="str">
        <f>'ANALYSE - ERP =&gt; SOUS-SEGMENT'!$D$14</f>
        <v>Lycées
(vestiaires EPS inclus)</v>
      </c>
      <c r="H14" s="458">
        <f>'ANALYSE - ERP =&gt; SOUS-SEGMENT'!$HZ$14</f>
        <v>52109.260800000004</v>
      </c>
      <c r="I14" s="458">
        <f>'ANALYSE - ERP =&gt; SOUS-SEGMENT'!$IA$14</f>
        <v>250964.95605000001</v>
      </c>
      <c r="J14" s="458">
        <f>'ANALYSE - ERP =&gt; SOUS-SEGMENT'!$IB$14</f>
        <v>143180.15985</v>
      </c>
      <c r="K14" s="458">
        <f>'ANALYSE - ERP =&gt; SOUS-SEGMENT'!$IC$14</f>
        <v>9593.9964</v>
      </c>
      <c r="L14" s="458">
        <f>'ANALYSE - ERP =&gt; SOUS-SEGMENT'!$ID$14</f>
        <v>84.126900000000006</v>
      </c>
      <c r="N14" s="458">
        <f>'ANALYSE - ERP =&gt; SOUS-SEGMENT'!$IF$14</f>
        <v>4306.9248362092185</v>
      </c>
      <c r="O14" s="458">
        <f>'ANALYSE - ERP =&gt; SOUS-SEGMENT'!$IG$14</f>
        <v>41648.515277906605</v>
      </c>
      <c r="P14" s="458">
        <f>'ANALYSE - ERP =&gt; SOUS-SEGMENT'!$IH$14</f>
        <v>47801.87531651045</v>
      </c>
      <c r="Q14" s="458">
        <f>'ANALYSE - ERP =&gt; SOUS-SEGMENT'!$II$14</f>
        <v>6466.0507688863217</v>
      </c>
      <c r="R14" s="458">
        <f>'ANALYSE - ERP =&gt; SOUS-SEGMENT'!$IJ$14</f>
        <v>101.749084662402</v>
      </c>
      <c r="T14" s="430">
        <f>'ANALYSE - ERP =&gt; SOUS-SEGMENT'!$Q$14</f>
        <v>1</v>
      </c>
    </row>
    <row r="15" spans="1:78" s="45" customFormat="1" ht="15" customHeight="1">
      <c r="A15" s="406">
        <v>12</v>
      </c>
      <c r="B15" s="406">
        <v>12</v>
      </c>
      <c r="C15" s="448">
        <f>'ANALYSE - ERP =&gt; SOUS-SEGMENT'!$A$27</f>
        <v>20</v>
      </c>
      <c r="D15" s="449" t="str">
        <f>'ANALYSE - ERP =&gt; SOUS-SEGMENT'!$B$27</f>
        <v>Sports &amp; Loisirs</v>
      </c>
      <c r="E15" s="449" t="str">
        <f>'ANALYSE - ERP =&gt; SOUS-SEGMENT'!$C$27</f>
        <v>Sport de plein air</v>
      </c>
      <c r="F15" s="449" t="str">
        <f>'ANALYSE - ERP =&gt; SOUS-SEGMENT'!$D$27</f>
        <v>Terrains de sport
(Hors scolaire, sans tribune)</v>
      </c>
      <c r="G15" s="685"/>
      <c r="H15" s="459">
        <f>'ANALYSE - ERP =&gt; SOUS-SEGMENT'!$HZ$27</f>
        <v>113620.98</v>
      </c>
      <c r="I15" s="459">
        <f>'ANALYSE - ERP =&gt; SOUS-SEGMENT'!$IA$27</f>
        <v>387165.24</v>
      </c>
      <c r="J15" s="459">
        <f>'ANALYSE - ERP =&gt; SOUS-SEGMENT'!$IB$27</f>
        <v>157921.5</v>
      </c>
      <c r="K15" s="459">
        <f>'ANALYSE - ERP =&gt; SOUS-SEGMENT'!$IC$27</f>
        <v>11192.28</v>
      </c>
      <c r="L15" s="459">
        <f>'ANALYSE - ERP =&gt; SOUS-SEGMENT'!$ID$27</f>
        <v>0</v>
      </c>
      <c r="M15" s="685"/>
      <c r="N15" s="459">
        <f>'ANALYSE - ERP =&gt; SOUS-SEGMENT'!$IF$27</f>
        <v>42343.732526689608</v>
      </c>
      <c r="O15" s="459">
        <f>'ANALYSE - ERP =&gt; SOUS-SEGMENT'!$IG$27</f>
        <v>155097.9498545886</v>
      </c>
      <c r="P15" s="459">
        <f>'ANALYSE - ERP =&gt; SOUS-SEGMENT'!$IH$27</f>
        <v>70490.33866330779</v>
      </c>
      <c r="Q15" s="459">
        <f>'ANALYSE - ERP =&gt; SOUS-SEGMENT'!$II$27</f>
        <v>9545.2497120833032</v>
      </c>
      <c r="R15" s="459">
        <f>'ANALYSE - ERP =&gt; SOUS-SEGMENT'!$IJ$27</f>
        <v>1114.3665492235716</v>
      </c>
      <c r="S15" s="685"/>
      <c r="T15" s="450">
        <f>'ANALYSE - ERP =&gt; SOUS-SEGMENT'!$Q$27</f>
        <v>1</v>
      </c>
      <c r="U15" s="685"/>
      <c r="V15" s="685"/>
      <c r="W15" s="685"/>
      <c r="X15" s="685"/>
      <c r="Y15" s="685"/>
      <c r="Z15" s="685"/>
      <c r="AA15" s="685"/>
      <c r="AB15" s="685"/>
      <c r="AC15" s="685"/>
      <c r="AD15" s="685"/>
      <c r="AE15" s="685"/>
      <c r="AF15" s="685"/>
      <c r="AG15" s="685"/>
      <c r="AH15" s="685"/>
      <c r="AI15" s="685"/>
      <c r="AJ15" s="685"/>
      <c r="AK15" s="685"/>
      <c r="AL15" s="685"/>
      <c r="AM15" s="685"/>
      <c r="AN15" s="685"/>
      <c r="AO15" s="685"/>
      <c r="AP15" s="685"/>
      <c r="AQ15" s="685"/>
      <c r="AR15" s="685"/>
      <c r="AS15" s="685"/>
      <c r="AT15" s="685"/>
      <c r="AU15" s="685"/>
      <c r="AV15" s="685"/>
      <c r="AW15" s="685"/>
      <c r="AX15" s="685"/>
      <c r="AY15" s="685"/>
      <c r="AZ15" s="685"/>
      <c r="BA15" s="685"/>
      <c r="BB15" s="685"/>
      <c r="BC15" s="685"/>
      <c r="BD15" s="685"/>
      <c r="BE15" s="685"/>
      <c r="BF15" s="685"/>
      <c r="BG15" s="685"/>
      <c r="BH15" s="685"/>
      <c r="BI15" s="685"/>
      <c r="BJ15" s="685"/>
      <c r="BK15" s="685"/>
      <c r="BL15" s="685"/>
      <c r="BM15" s="685"/>
      <c r="BN15" s="685"/>
      <c r="BO15" s="685"/>
      <c r="BP15" s="685"/>
      <c r="BQ15" s="685"/>
      <c r="BR15" s="685"/>
      <c r="BS15" s="685"/>
      <c r="BT15" s="685"/>
      <c r="BU15" s="685"/>
      <c r="BV15" s="685"/>
      <c r="BW15" s="685"/>
      <c r="BX15" s="685"/>
      <c r="BY15" s="685"/>
      <c r="BZ15" s="685"/>
    </row>
    <row r="16" spans="1:78" ht="15" customHeight="1">
      <c r="A16" s="26">
        <v>13</v>
      </c>
      <c r="B16" s="26">
        <v>13</v>
      </c>
      <c r="C16" s="422">
        <f>'ANALYSE - ERP =&gt; SOUS-SEGMENT'!$A$94</f>
        <v>87</v>
      </c>
      <c r="D16" s="408" t="str">
        <f>'ANALYSE - ERP =&gt; SOUS-SEGMENT'!$B$94</f>
        <v>Hébergement Touristique</v>
      </c>
      <c r="E16" s="408" t="str">
        <f>'ANALYSE - ERP =&gt; SOUS-SEGMENT'!$C$94</f>
        <v>Tourisme de plein air</v>
      </c>
      <c r="F16" s="408" t="str">
        <f>'ANALYSE - ERP =&gt; SOUS-SEGMENT'!$D$94</f>
        <v>Campings</v>
      </c>
      <c r="H16" s="458">
        <f>'ANALYSE - ERP =&gt; SOUS-SEGMENT'!$HZ$94</f>
        <v>43427.087249999997</v>
      </c>
      <c r="I16" s="458">
        <f>'ANALYSE - ERP =&gt; SOUS-SEGMENT'!$IA$94</f>
        <v>195767.11125000002</v>
      </c>
      <c r="J16" s="458">
        <f>'ANALYSE - ERP =&gt; SOUS-SEGMENT'!$IB$94</f>
        <v>116977.25700000001</v>
      </c>
      <c r="K16" s="458">
        <f>'ANALYSE - ERP =&gt; SOUS-SEGMENT'!$IC$94</f>
        <v>9204.1837500000001</v>
      </c>
      <c r="L16" s="458">
        <f>'ANALYSE - ERP =&gt; SOUS-SEGMENT'!$ID$94</f>
        <v>91.860749999999996</v>
      </c>
      <c r="N16" s="458">
        <f>'ANALYSE - ERP =&gt; SOUS-SEGMENT'!$IF$94</f>
        <v>7196.8802605665514</v>
      </c>
      <c r="O16" s="458">
        <f>'ANALYSE - ERP =&gt; SOUS-SEGMENT'!$IG$94</f>
        <v>59332.902699615821</v>
      </c>
      <c r="P16" s="458">
        <f>'ANALYSE - ERP =&gt; SOUS-SEGMENT'!$IH$94</f>
        <v>65016.191907903209</v>
      </c>
      <c r="Q16" s="458">
        <f>'ANALYSE - ERP =&gt; SOUS-SEGMENT'!$II$94</f>
        <v>9406.7978223622122</v>
      </c>
      <c r="R16" s="458">
        <f>'ANALYSE - ERP =&gt; SOUS-SEGMENT'!$IJ$94</f>
        <v>177.6037376525947</v>
      </c>
      <c r="T16" s="430">
        <f>'ANALYSE - ERP =&gt; SOUS-SEGMENT'!$Q$94</f>
        <v>1</v>
      </c>
    </row>
    <row r="17" spans="1:20" ht="15" customHeight="1">
      <c r="A17" s="26">
        <v>14</v>
      </c>
      <c r="B17" s="26">
        <v>15</v>
      </c>
      <c r="C17" s="422">
        <f>'ANALYSE - ERP =&gt; SOUS-SEGMENT'!$A$29</f>
        <v>22</v>
      </c>
      <c r="D17" s="411" t="str">
        <f>'ANALYSE - ERP =&gt; SOUS-SEGMENT'!$B$29</f>
        <v>Sports &amp; Loisirs</v>
      </c>
      <c r="E17" s="411" t="str">
        <f>'ANALYSE - ERP =&gt; SOUS-SEGMENT'!$C$29</f>
        <v>Sport de plein air</v>
      </c>
      <c r="F17" s="411" t="str">
        <f>'ANALYSE - ERP =&gt; SOUS-SEGMENT'!$D$29</f>
        <v xml:space="preserve">Grands stades avec tribunes
(Type football/rugby) </v>
      </c>
      <c r="H17" s="458">
        <f>'ANALYSE - ERP =&gt; SOUS-SEGMENT'!$HZ$29</f>
        <v>4304.9790000000003</v>
      </c>
      <c r="I17" s="458">
        <f>'ANALYSE - ERP =&gt; SOUS-SEGMENT'!$IA$29</f>
        <v>40303.521000000001</v>
      </c>
      <c r="J17" s="458">
        <f>'ANALYSE - ERP =&gt; SOUS-SEGMENT'!$IB$29</f>
        <v>33601.735000000001</v>
      </c>
      <c r="K17" s="458">
        <f>'ANALYSE - ERP =&gt; SOUS-SEGMENT'!$IC$29</f>
        <v>2519.7649999999999</v>
      </c>
      <c r="L17" s="458">
        <f>'ANALYSE - ERP =&gt; SOUS-SEGMENT'!$ID$29</f>
        <v>0</v>
      </c>
      <c r="N17" s="458">
        <f>'ANALYSE - ERP =&gt; SOUS-SEGMENT'!$IF$29</f>
        <v>535.54885183154556</v>
      </c>
      <c r="O17" s="458">
        <f>'ANALYSE - ERP =&gt; SOUS-SEGMENT'!$IG$29</f>
        <v>11339.699137639129</v>
      </c>
      <c r="P17" s="458">
        <f>'ANALYSE - ERP =&gt; SOUS-SEGMENT'!$IH$29</f>
        <v>18151.635993814263</v>
      </c>
      <c r="Q17" s="458">
        <f>'ANALYSE - ERP =&gt; SOUS-SEGMENT'!$II$29</f>
        <v>2415.0090786746605</v>
      </c>
      <c r="R17" s="458">
        <f>'ANALYSE - ERP =&gt; SOUS-SEGMENT'!$IJ$29</f>
        <v>0</v>
      </c>
      <c r="T17" s="430">
        <f>'ANALYSE - ERP =&gt; SOUS-SEGMENT'!$Q$29</f>
        <v>1</v>
      </c>
    </row>
    <row r="18" spans="1:20" ht="15" customHeight="1">
      <c r="A18" s="26">
        <v>15</v>
      </c>
      <c r="B18" s="26">
        <v>17</v>
      </c>
      <c r="C18" s="422">
        <f>'ANALYSE - ERP =&gt; SOUS-SEGMENT'!$A$56</f>
        <v>49</v>
      </c>
      <c r="D18" s="409" t="str">
        <f>'ANALYSE - ERP =&gt; SOUS-SEGMENT'!$B$56</f>
        <v>Santé &amp; Médico-social</v>
      </c>
      <c r="E18" s="409" t="str">
        <f>'ANALYSE - ERP =&gt; SOUS-SEGMENT'!$C$56</f>
        <v>Médico-social</v>
      </c>
      <c r="F18" s="409" t="str">
        <f>'ANALYSE - ERP =&gt; SOUS-SEGMENT'!$D$56</f>
        <v>Foyers pour personnes handicapées</v>
      </c>
      <c r="H18" s="458">
        <f>'ANALYSE - ERP =&gt; SOUS-SEGMENT'!$HZ$56</f>
        <v>125.11999999999999</v>
      </c>
      <c r="I18" s="458">
        <f>'ANALYSE - ERP =&gt; SOUS-SEGMENT'!$IA$56</f>
        <v>51217.320000000007</v>
      </c>
      <c r="J18" s="458">
        <f>'ANALYSE - ERP =&gt; SOUS-SEGMENT'!$IB$56</f>
        <v>93526.74</v>
      </c>
      <c r="K18" s="458">
        <f>'ANALYSE - ERP =&gt; SOUS-SEGMENT'!$IC$56</f>
        <v>25330.82</v>
      </c>
      <c r="L18" s="458">
        <f>'ANALYSE - ERP =&gt; SOUS-SEGMENT'!$ID$56</f>
        <v>0</v>
      </c>
      <c r="N18" s="458">
        <f>'ANALYSE - ERP =&gt; SOUS-SEGMENT'!$IF$56</f>
        <v>0</v>
      </c>
      <c r="O18" s="458">
        <f>'ANALYSE - ERP =&gt; SOUS-SEGMENT'!$IG$56</f>
        <v>7942.2779273881879</v>
      </c>
      <c r="P18" s="458">
        <f>'ANALYSE - ERP =&gt; SOUS-SEGMENT'!$IH$56</f>
        <v>30138.798048229673</v>
      </c>
      <c r="Q18" s="458">
        <f>'ANALYSE - ERP =&gt; SOUS-SEGMENT'!$II$56</f>
        <v>15033.650540294566</v>
      </c>
      <c r="R18" s="458">
        <f>'ANALYSE - ERP =&gt; SOUS-SEGMENT'!$IJ$56</f>
        <v>0</v>
      </c>
      <c r="T18" s="430">
        <f>'ANALYSE - ERP =&gt; SOUS-SEGMENT'!$Q$56</f>
        <v>1</v>
      </c>
    </row>
    <row r="19" spans="1:20" ht="15" customHeight="1">
      <c r="A19" s="26">
        <v>16</v>
      </c>
      <c r="B19" s="26">
        <v>14</v>
      </c>
      <c r="C19" s="422">
        <f>'ANALYSE - ERP =&gt; SOUS-SEGMENT'!$A$76</f>
        <v>69</v>
      </c>
      <c r="D19" s="409" t="str">
        <f>'ANALYSE - ERP =&gt; SOUS-SEGMENT'!$B$76</f>
        <v>Commerce, Restauration &amp; Loisirs</v>
      </c>
      <c r="E19" s="409" t="str">
        <f>'ANALYSE - ERP =&gt; SOUS-SEGMENT'!$C$76</f>
        <v>Restauration / boissons</v>
      </c>
      <c r="F19" s="409" t="str">
        <f>'ANALYSE - ERP =&gt; SOUS-SEGMENT'!$D$76</f>
        <v>Cafés / bars / brasseries</v>
      </c>
      <c r="H19" s="458">
        <f>'ANALYSE - ERP =&gt; SOUS-SEGMENT'!$HZ$76</f>
        <v>8093.1905999999999</v>
      </c>
      <c r="I19" s="458">
        <f>'ANALYSE - ERP =&gt; SOUS-SEGMENT'!$IA$76</f>
        <v>99281.4372</v>
      </c>
      <c r="J19" s="458">
        <f>'ANALYSE - ERP =&gt; SOUS-SEGMENT'!$IB$76</f>
        <v>143364.55319999999</v>
      </c>
      <c r="K19" s="458">
        <f>'ANALYSE - ERP =&gt; SOUS-SEGMENT'!$IC$76</f>
        <v>60870.664799999999</v>
      </c>
      <c r="L19" s="458">
        <f>'ANALYSE - ERP =&gt; SOUS-SEGMENT'!$ID$76</f>
        <v>13803.154200000001</v>
      </c>
      <c r="N19" s="458">
        <f>'ANALYSE - ERP =&gt; SOUS-SEGMENT'!$IF$76</f>
        <v>258.29404736328036</v>
      </c>
      <c r="O19" s="458">
        <f>'ANALYSE - ERP =&gt; SOUS-SEGMENT'!$IG$76</f>
        <v>33652.756928589995</v>
      </c>
      <c r="P19" s="458">
        <f>'ANALYSE - ERP =&gt; SOUS-SEGMENT'!$IH$76</f>
        <v>70713.345670560142</v>
      </c>
      <c r="Q19" s="458">
        <f>'ANALYSE - ERP =&gt; SOUS-SEGMENT'!$II$76</f>
        <v>38234.668729850906</v>
      </c>
      <c r="R19" s="458">
        <f>'ANALYSE - ERP =&gt; SOUS-SEGMENT'!$IJ$76</f>
        <v>8497.0896571836565</v>
      </c>
      <c r="T19" s="430">
        <f>'ANALYSE - ERP =&gt; SOUS-SEGMENT'!$Q$76</f>
        <v>1</v>
      </c>
    </row>
    <row r="20" spans="1:20" ht="15" customHeight="1">
      <c r="A20" s="26">
        <v>17</v>
      </c>
      <c r="B20" s="26">
        <v>16</v>
      </c>
      <c r="C20" s="422">
        <f>'ANALYSE - ERP =&gt; SOUS-SEGMENT'!$A$11</f>
        <v>4</v>
      </c>
      <c r="D20" s="416" t="str">
        <f>'ANALYSE - ERP =&gt; SOUS-SEGMENT'!$B$11</f>
        <v>Enfance, Enseignement, Jeunesse &amp; Formation</v>
      </c>
      <c r="E20" s="416" t="str">
        <f>'ANALYSE - ERP =&gt; SOUS-SEGMENT'!$C$11</f>
        <v>Enseignement scolaire</v>
      </c>
      <c r="F20" s="416" t="str">
        <f>'ANALYSE - ERP =&gt; SOUS-SEGMENT'!$D$11</f>
        <v>Écoles maternelles</v>
      </c>
      <c r="H20" s="458">
        <f>'ANALYSE - ERP =&gt; SOUS-SEGMENT'!$HZ$11</f>
        <v>34825.960374999995</v>
      </c>
      <c r="I20" s="458">
        <f>'ANALYSE - ERP =&gt; SOUS-SEGMENT'!$IA$11</f>
        <v>189811.42744999999</v>
      </c>
      <c r="J20" s="458">
        <f>'ANALYSE - ERP =&gt; SOUS-SEGMENT'!$IB$11</f>
        <v>119107.106675</v>
      </c>
      <c r="K20" s="458">
        <f>'ANALYSE - ERP =&gt; SOUS-SEGMENT'!$IC$11</f>
        <v>8596.7731499999991</v>
      </c>
      <c r="L20" s="458">
        <f>'ANALYSE - ERP =&gt; SOUS-SEGMENT'!$ID$11</f>
        <v>70.482349999999997</v>
      </c>
      <c r="N20" s="458">
        <f>'ANALYSE - ERP =&gt; SOUS-SEGMENT'!$IF$11</f>
        <v>2835.2588130517352</v>
      </c>
      <c r="O20" s="458">
        <f>'ANALYSE - ERP =&gt; SOUS-SEGMENT'!$IG$11</f>
        <v>28949.459424307599</v>
      </c>
      <c r="P20" s="458">
        <f>'ANALYSE - ERP =&gt; SOUS-SEGMENT'!$IH$11</f>
        <v>34012.98599791895</v>
      </c>
      <c r="Q20" s="458">
        <f>'ANALYSE - ERP =&gt; SOUS-SEGMENT'!$II$11</f>
        <v>4599.8376154271773</v>
      </c>
      <c r="R20" s="458">
        <f>'ANALYSE - ERP =&gt; SOUS-SEGMENT'!$IJ$11</f>
        <v>70.176013434554022</v>
      </c>
      <c r="T20" s="430">
        <f>'ANALYSE - ERP =&gt; SOUS-SEGMENT'!$Q$11</f>
        <v>1</v>
      </c>
    </row>
    <row r="21" spans="1:20" ht="15" customHeight="1">
      <c r="A21" s="26">
        <v>18</v>
      </c>
      <c r="B21" s="26">
        <v>19</v>
      </c>
      <c r="C21" s="422">
        <f>'ANALYSE - ERP =&gt; SOUS-SEGMENT'!$A$24</f>
        <v>17</v>
      </c>
      <c r="D21" s="417" t="str">
        <f>'ANALYSE - ERP =&gt; SOUS-SEGMENT'!$B$24</f>
        <v>Sports &amp; Loisirs</v>
      </c>
      <c r="E21" s="417" t="str">
        <f>'ANALYSE - ERP =&gt; SOUS-SEGMENT'!$C$24</f>
        <v>Sport couvert / Thermalisme / Bien-être</v>
      </c>
      <c r="F21" s="417" t="str">
        <f>'ANALYSE - ERP =&gt; SOUS-SEGMENT'!$D$24</f>
        <v>Piscines couvertes</v>
      </c>
      <c r="H21" s="458">
        <f>'ANALYSE - ERP =&gt; SOUS-SEGMENT'!$HZ$24</f>
        <v>30675.620000000006</v>
      </c>
      <c r="I21" s="458">
        <f>'ANALYSE - ERP =&gt; SOUS-SEGMENT'!$IA$24</f>
        <v>125931.62999999999</v>
      </c>
      <c r="J21" s="458">
        <f>'ANALYSE - ERP =&gt; SOUS-SEGMENT'!$IB$24</f>
        <v>46392.75</v>
      </c>
      <c r="K21" s="458">
        <f>'ANALYSE - ERP =&gt; SOUS-SEGMENT'!$IC$24</f>
        <v>0</v>
      </c>
      <c r="L21" s="458">
        <f>'ANALYSE - ERP =&gt; SOUS-SEGMENT'!$ID$24</f>
        <v>0</v>
      </c>
      <c r="N21" s="458">
        <f>'ANALYSE - ERP =&gt; SOUS-SEGMENT'!$IF$24</f>
        <v>6300.8082755506102</v>
      </c>
      <c r="O21" s="458">
        <f>'ANALYSE - ERP =&gt; SOUS-SEGMENT'!$IG$24</f>
        <v>48906.800073143568</v>
      </c>
      <c r="P21" s="458">
        <f>'ANALYSE - ERP =&gt; SOUS-SEGMENT'!$IH$24</f>
        <v>33133.115675625522</v>
      </c>
      <c r="Q21" s="458">
        <f>'ANALYSE - ERP =&gt; SOUS-SEGMENT'!$II$24</f>
        <v>0</v>
      </c>
      <c r="R21" s="458">
        <f>'ANALYSE - ERP =&gt; SOUS-SEGMENT'!$IJ$24</f>
        <v>0</v>
      </c>
      <c r="T21" s="430">
        <f>'ANALYSE - ERP =&gt; SOUS-SEGMENT'!$Q$24</f>
        <v>1</v>
      </c>
    </row>
    <row r="22" spans="1:20" ht="15" customHeight="1">
      <c r="A22" s="26">
        <v>19</v>
      </c>
      <c r="B22" s="26">
        <v>18</v>
      </c>
      <c r="C22" s="422">
        <f>'ANALYSE - ERP =&gt; SOUS-SEGMENT'!$A$84</f>
        <v>77</v>
      </c>
      <c r="D22" s="408" t="str">
        <f>'ANALYSE - ERP =&gt; SOUS-SEGMENT'!$B$84</f>
        <v>Tertiaire &amp; Industriel</v>
      </c>
      <c r="E22" s="408" t="str">
        <f>'ANALYSE - ERP =&gt; SOUS-SEGMENT'!$C$84</f>
        <v>Usines &amp; Ateliers</v>
      </c>
      <c r="F22" s="408" t="str">
        <f>'ANALYSE - ERP =&gt; SOUS-SEGMENT'!$D$84</f>
        <v>Usines 
(&gt;50 salariés)
(Hors Ateliers industriels)</v>
      </c>
      <c r="H22" s="458">
        <f>'ANALYSE - ERP =&gt; SOUS-SEGMENT'!$HZ$84</f>
        <v>16101.96</v>
      </c>
      <c r="I22" s="458">
        <f>'ANALYSE - ERP =&gt; SOUS-SEGMENT'!$IA$84</f>
        <v>203085.40499999997</v>
      </c>
      <c r="J22" s="458">
        <f>'ANALYSE - ERP =&gt; SOUS-SEGMENT'!$IB$84</f>
        <v>234141.36</v>
      </c>
      <c r="K22" s="458">
        <f>'ANALYSE - ERP =&gt; SOUS-SEGMENT'!$IC$84</f>
        <v>29528.235000000004</v>
      </c>
      <c r="L22" s="458">
        <f>'ANALYSE - ERP =&gt; SOUS-SEGMENT'!$ID$84</f>
        <v>0</v>
      </c>
      <c r="N22" s="458">
        <f>'ANALYSE - ERP =&gt; SOUS-SEGMENT'!$IF$84</f>
        <v>1753.9687415243659</v>
      </c>
      <c r="O22" s="458">
        <f>'ANALYSE - ERP =&gt; SOUS-SEGMENT'!$IG$84</f>
        <v>61273.356270436838</v>
      </c>
      <c r="P22" s="458">
        <f>'ANALYSE - ERP =&gt; SOUS-SEGMENT'!$IH$84</f>
        <v>78661.496042151004</v>
      </c>
      <c r="Q22" s="458">
        <f>'ANALYSE - ERP =&gt; SOUS-SEGMENT'!$II$84</f>
        <v>12907.30720316905</v>
      </c>
      <c r="R22" s="458">
        <f>'ANALYSE - ERP =&gt; SOUS-SEGMENT'!$IJ$84</f>
        <v>774.34471416923225</v>
      </c>
      <c r="T22" s="430">
        <f>'ANALYSE - ERP =&gt; SOUS-SEGMENT'!$Q$84</f>
        <v>1</v>
      </c>
    </row>
    <row r="23" spans="1:20" ht="15" customHeight="1">
      <c r="A23" s="26">
        <v>20</v>
      </c>
      <c r="B23" s="26">
        <v>20</v>
      </c>
      <c r="C23" s="422">
        <f>'ANALYSE - ERP =&gt; SOUS-SEGMENT'!$A$44</f>
        <v>37</v>
      </c>
      <c r="D23" s="409" t="str">
        <f>'ANALYSE - ERP =&gt; SOUS-SEGMENT'!$B$44</f>
        <v>Santé &amp; Médico-social</v>
      </c>
      <c r="E23" s="409" t="str">
        <f>'ANALYSE - ERP =&gt; SOUS-SEGMENT'!$C$44</f>
        <v>Santé hospitalière</v>
      </c>
      <c r="F23" s="409" t="str">
        <f>'ANALYSE - ERP =&gt; SOUS-SEGMENT'!$D$44</f>
        <v>Hôpitaux publics 
(Hors CHU, Universitaire, Militaire, Carcéral)</v>
      </c>
      <c r="H23" s="458">
        <f>'ANALYSE - ERP =&gt; SOUS-SEGMENT'!$HZ$44</f>
        <v>41.709199999999996</v>
      </c>
      <c r="I23" s="458">
        <f>'ANALYSE - ERP =&gt; SOUS-SEGMENT'!$IA$44</f>
        <v>95110.920199999993</v>
      </c>
      <c r="J23" s="458">
        <f>'ANALYSE - ERP =&gt; SOUS-SEGMENT'!$IB$44</f>
        <v>197930.14480000001</v>
      </c>
      <c r="K23" s="458">
        <f>'ANALYSE - ERP =&gt; SOUS-SEGMENT'!$IC$44</f>
        <v>42565.2258</v>
      </c>
      <c r="L23" s="458">
        <f>'ANALYSE - ERP =&gt; SOUS-SEGMENT'!$ID$44</f>
        <v>0</v>
      </c>
      <c r="N23" s="458">
        <f>'ANALYSE - ERP =&gt; SOUS-SEGMENT'!$IF$44</f>
        <v>0</v>
      </c>
      <c r="O23" s="458">
        <f>'ANALYSE - ERP =&gt; SOUS-SEGMENT'!$IG$44</f>
        <v>23504.500222875002</v>
      </c>
      <c r="P23" s="458">
        <f>'ANALYSE - ERP =&gt; SOUS-SEGMENT'!$IH$44</f>
        <v>87252.975814724996</v>
      </c>
      <c r="Q23" s="458">
        <f>'ANALYSE - ERP =&gt; SOUS-SEGMENT'!$II$44</f>
        <v>34685.412212400006</v>
      </c>
      <c r="R23" s="458">
        <f>'ANALYSE - ERP =&gt; SOUS-SEGMENT'!$IJ$44</f>
        <v>0</v>
      </c>
      <c r="T23" s="430">
        <f>'ANALYSE - ERP =&gt; SOUS-SEGMENT'!$Q$44</f>
        <v>1</v>
      </c>
    </row>
    <row r="24" spans="1:20" ht="15" customHeight="1">
      <c r="A24" s="26">
        <v>21</v>
      </c>
      <c r="B24" s="26">
        <v>21</v>
      </c>
      <c r="C24" s="422">
        <f>'ANALYSE - ERP =&gt; SOUS-SEGMENT'!$A$22</f>
        <v>15</v>
      </c>
      <c r="D24" s="414" t="str">
        <f>'ANALYSE - ERP =&gt; SOUS-SEGMENT'!$B$22</f>
        <v>Sports &amp; Loisirs</v>
      </c>
      <c r="E24" s="414" t="str">
        <f>'ANALYSE - ERP =&gt; SOUS-SEGMENT'!$C$22</f>
        <v>Sport couvert / Thermalisme / Bien-être</v>
      </c>
      <c r="F24" s="414" t="str">
        <f>'ANALYSE - ERP =&gt; SOUS-SEGMENT'!$D$22</f>
        <v>Salles de fitness / dojos</v>
      </c>
      <c r="H24" s="458">
        <f>'ANALYSE - ERP =&gt; SOUS-SEGMENT'!$HZ$22</f>
        <v>12.120000000000001</v>
      </c>
      <c r="I24" s="458">
        <f>'ANALYSE - ERP =&gt; SOUS-SEGMENT'!$IA$22</f>
        <v>52888.043999999994</v>
      </c>
      <c r="J24" s="458">
        <f>'ANALYSE - ERP =&gt; SOUS-SEGMENT'!$IB$22</f>
        <v>135453.12</v>
      </c>
      <c r="K24" s="458">
        <f>'ANALYSE - ERP =&gt; SOUS-SEGMENT'!$IC$22</f>
        <v>55343.556000000004</v>
      </c>
      <c r="L24" s="458">
        <f>'ANALYSE - ERP =&gt; SOUS-SEGMENT'!$ID$22</f>
        <v>10823.16</v>
      </c>
      <c r="N24" s="458">
        <f>'ANALYSE - ERP =&gt; SOUS-SEGMENT'!$IF$22</f>
        <v>0</v>
      </c>
      <c r="O24" s="458">
        <f>'ANALYSE - ERP =&gt; SOUS-SEGMENT'!$IG$22</f>
        <v>9047.93953520797</v>
      </c>
      <c r="P24" s="458">
        <f>'ANALYSE - ERP =&gt; SOUS-SEGMENT'!$IH$22</f>
        <v>50848.180620234314</v>
      </c>
      <c r="Q24" s="458">
        <f>'ANALYSE - ERP =&gt; SOUS-SEGMENT'!$II$22</f>
        <v>36144.527487131207</v>
      </c>
      <c r="R24" s="458">
        <f>'ANALYSE - ERP =&gt; SOUS-SEGMENT'!$IJ$22</f>
        <v>7287.424646505302</v>
      </c>
      <c r="T24" s="430">
        <f>'ANALYSE - ERP =&gt; SOUS-SEGMENT'!$Q$22</f>
        <v>1</v>
      </c>
    </row>
    <row r="25" spans="1:20" ht="15" customHeight="1">
      <c r="A25" s="26">
        <v>22</v>
      </c>
      <c r="B25" s="26">
        <v>22</v>
      </c>
      <c r="C25" s="422">
        <f>'ANALYSE - ERP =&gt; SOUS-SEGMENT'!$A$8</f>
        <v>1</v>
      </c>
      <c r="D25" s="414" t="str">
        <f>'ANALYSE - ERP =&gt; SOUS-SEGMENT'!$B$8</f>
        <v>Enfance, Enseignement, Jeunesse &amp; Formation</v>
      </c>
      <c r="E25" s="414" t="str">
        <f>'ANALYSE - ERP =&gt; SOUS-SEGMENT'!$C$8</f>
        <v>Petite enfance</v>
      </c>
      <c r="F25" s="414" t="str">
        <f>'ANALYSE - ERP =&gt; SOUS-SEGMENT'!$D$8</f>
        <v>Crèches</v>
      </c>
      <c r="H25" s="458">
        <f>'ANALYSE - ERP =&gt; SOUS-SEGMENT'!$HZ$8</f>
        <v>2912.3617275000001</v>
      </c>
      <c r="I25" s="458">
        <f>'ANALYSE - ERP =&gt; SOUS-SEGMENT'!$IA$8</f>
        <v>82101.809414999996</v>
      </c>
      <c r="J25" s="458">
        <f>'ANALYSE - ERP =&gt; SOUS-SEGMENT'!$IB$8</f>
        <v>131387.57489250001</v>
      </c>
      <c r="K25" s="458">
        <f>'ANALYSE - ERP =&gt; SOUS-SEGMENT'!$IC$8</f>
        <v>28437.028964999998</v>
      </c>
      <c r="L25" s="458">
        <f>'ANALYSE - ERP =&gt; SOUS-SEGMENT'!$ID$8</f>
        <v>0</v>
      </c>
      <c r="N25" s="458">
        <f>'ANALYSE - ERP =&gt; SOUS-SEGMENT'!$IF$8</f>
        <v>0</v>
      </c>
      <c r="O25" s="458">
        <f>'ANALYSE - ERP =&gt; SOUS-SEGMENT'!$IG$8</f>
        <v>7453.5990984877435</v>
      </c>
      <c r="P25" s="458">
        <f>'ANALYSE - ERP =&gt; SOUS-SEGMENT'!$IH$8</f>
        <v>24881.866176407988</v>
      </c>
      <c r="Q25" s="458">
        <f>'ANALYSE - ERP =&gt; SOUS-SEGMENT'!$II$8</f>
        <v>11728.502042588272</v>
      </c>
      <c r="R25" s="458">
        <f>'ANALYSE - ERP =&gt; SOUS-SEGMENT'!$IJ$8</f>
        <v>0</v>
      </c>
      <c r="T25" s="430">
        <f>'ANALYSE - ERP =&gt; SOUS-SEGMENT'!$Q$8</f>
        <v>1</v>
      </c>
    </row>
    <row r="26" spans="1:20" ht="15" customHeight="1">
      <c r="A26" s="26">
        <v>23</v>
      </c>
      <c r="B26" s="26">
        <v>23</v>
      </c>
      <c r="C26" s="422">
        <f>'ANALYSE - ERP =&gt; SOUS-SEGMENT'!$A$19</f>
        <v>12</v>
      </c>
      <c r="D26" s="414" t="str">
        <f>'ANALYSE - ERP =&gt; SOUS-SEGMENT'!$B$19</f>
        <v>Enfance, Enseignement, Jeunesse &amp; Formation</v>
      </c>
      <c r="E26" s="414" t="str">
        <f>'ANALYSE - ERP =&gt; SOUS-SEGMENT'!$C$19</f>
        <v>Formation</v>
      </c>
      <c r="F26" s="414" t="str">
        <f>'ANALYSE - ERP =&gt; SOUS-SEGMENT'!$D$19</f>
        <v>Centres de formation / CFA</v>
      </c>
      <c r="H26" s="458">
        <f>'ANALYSE - ERP =&gt; SOUS-SEGMENT'!$HZ$19</f>
        <v>6503.49</v>
      </c>
      <c r="I26" s="458">
        <f>'ANALYSE - ERP =&gt; SOUS-SEGMENT'!$IA$19</f>
        <v>76744.584000000003</v>
      </c>
      <c r="J26" s="458">
        <f>'ANALYSE - ERP =&gt; SOUS-SEGMENT'!$IB$19</f>
        <v>104099.31</v>
      </c>
      <c r="K26" s="458">
        <f>'ANALYSE - ERP =&gt; SOUS-SEGMENT'!$IC$19</f>
        <v>27303.696</v>
      </c>
      <c r="L26" s="458">
        <f>'ANALYSE - ERP =&gt; SOUS-SEGMENT'!$ID$19</f>
        <v>808.92000000000007</v>
      </c>
      <c r="N26" s="458">
        <f>'ANALYSE - ERP =&gt; SOUS-SEGMENT'!$IF$19</f>
        <v>0</v>
      </c>
      <c r="O26" s="458">
        <f>'ANALYSE - ERP =&gt; SOUS-SEGMENT'!$IG$19</f>
        <v>7201.7611064380799</v>
      </c>
      <c r="P26" s="458">
        <f>'ANALYSE - ERP =&gt; SOUS-SEGMENT'!$IH$19</f>
        <v>23971.393684042559</v>
      </c>
      <c r="Q26" s="458">
        <f>'ANALYSE - ERP =&gt; SOUS-SEGMENT'!$II$19</f>
        <v>13018.290329661118</v>
      </c>
      <c r="R26" s="458">
        <f>'ANALYSE - ERP =&gt; SOUS-SEGMENT'!$IJ$19</f>
        <v>1054.2240926582401</v>
      </c>
      <c r="T26" s="430">
        <f>'ANALYSE - ERP =&gt; SOUS-SEGMENT'!$Q$19</f>
        <v>1</v>
      </c>
    </row>
    <row r="27" spans="1:20" ht="15" customHeight="1">
      <c r="A27" s="26">
        <v>24</v>
      </c>
      <c r="B27" s="26">
        <v>24</v>
      </c>
      <c r="C27" s="422">
        <f>'ANALYSE - ERP =&gt; SOUS-SEGMENT'!$A$35</f>
        <v>28</v>
      </c>
      <c r="D27" s="414" t="str">
        <f>'ANALYSE - ERP =&gt; SOUS-SEGMENT'!$B$35</f>
        <v>Sports &amp; Loisirs</v>
      </c>
      <c r="E27" s="414" t="str">
        <f>'ANALYSE - ERP =&gt; SOUS-SEGMENT'!$C$35</f>
        <v>Loisirs de plein air</v>
      </c>
      <c r="F27" s="414" t="str">
        <f>'ANALYSE - ERP =&gt; SOUS-SEGMENT'!$D$35</f>
        <v>Centres de loisirs sans hébergement</v>
      </c>
      <c r="H27" s="458">
        <f>'ANALYSE - ERP =&gt; SOUS-SEGMENT'!$HZ$35</f>
        <v>39695.4</v>
      </c>
      <c r="I27" s="458">
        <f>'ANALYSE - ERP =&gt; SOUS-SEGMENT'!$IA$35</f>
        <v>115312.20000000001</v>
      </c>
      <c r="J27" s="458">
        <f>'ANALYSE - ERP =&gt; SOUS-SEGMENT'!$IB$35</f>
        <v>42974.399999999994</v>
      </c>
      <c r="K27" s="458">
        <f>'ANALYSE - ERP =&gt; SOUS-SEGMENT'!$IC$35</f>
        <v>0</v>
      </c>
      <c r="L27" s="458">
        <f>'ANALYSE - ERP =&gt; SOUS-SEGMENT'!$ID$35</f>
        <v>18</v>
      </c>
      <c r="N27" s="458">
        <f>'ANALYSE - ERP =&gt; SOUS-SEGMENT'!$IF$35</f>
        <v>4125.426256875</v>
      </c>
      <c r="O27" s="458">
        <f>'ANALYSE - ERP =&gt; SOUS-SEGMENT'!$IG$35</f>
        <v>20703.819208102799</v>
      </c>
      <c r="P27" s="458">
        <f>'ANALYSE - ERP =&gt; SOUS-SEGMENT'!$IH$35</f>
        <v>14360.563795531798</v>
      </c>
      <c r="Q27" s="458">
        <f>'ANALYSE - ERP =&gt; SOUS-SEGMENT'!$II$35</f>
        <v>393.64067265599999</v>
      </c>
      <c r="R27" s="458">
        <f>'ANALYSE - ERP =&gt; SOUS-SEGMENT'!$IJ$35</f>
        <v>20.642132834400002</v>
      </c>
      <c r="T27" s="430">
        <f>'ANALYSE - ERP =&gt; SOUS-SEGMENT'!$Q$35</f>
        <v>1</v>
      </c>
    </row>
    <row r="28" spans="1:20" ht="15" customHeight="1">
      <c r="A28" s="26">
        <v>25</v>
      </c>
      <c r="B28" s="26">
        <v>26</v>
      </c>
      <c r="C28" s="422">
        <f>'ANALYSE - ERP =&gt; SOUS-SEGMENT'!$A$87</f>
        <v>80</v>
      </c>
      <c r="D28" s="413" t="str">
        <f>'ANALYSE - ERP =&gt; SOUS-SEGMENT'!$B$87</f>
        <v>Hébergement Touristique</v>
      </c>
      <c r="E28" s="413" t="str">
        <f>'ANALYSE - ERP =&gt; SOUS-SEGMENT'!$C$87</f>
        <v>Hébergement Touristique</v>
      </c>
      <c r="F28" s="413" t="str">
        <f>'ANALYSE - ERP =&gt; SOUS-SEGMENT'!$D$87</f>
        <v>Hôtels 
(hors autres hébérgements touristiques)</v>
      </c>
      <c r="H28" s="458">
        <f>'ANALYSE - ERP =&gt; SOUS-SEGMENT'!$HZ$87</f>
        <v>1397.5430000000001</v>
      </c>
      <c r="I28" s="458">
        <f>'ANALYSE - ERP =&gt; SOUS-SEGMENT'!$IA$87</f>
        <v>37285.171000000002</v>
      </c>
      <c r="J28" s="458">
        <f>'ANALYSE - ERP =&gt; SOUS-SEGMENT'!$IB$87</f>
        <v>62373.069499999998</v>
      </c>
      <c r="K28" s="458">
        <f>'ANALYSE - ERP =&gt; SOUS-SEGMENT'!$IC$87</f>
        <v>21787.1325</v>
      </c>
      <c r="L28" s="458">
        <f>'ANALYSE - ERP =&gt; SOUS-SEGMENT'!$ID$87</f>
        <v>2072.0839999999998</v>
      </c>
      <c r="N28" s="458">
        <f>'ANALYSE - ERP =&gt; SOUS-SEGMENT'!$IF$87</f>
        <v>0</v>
      </c>
      <c r="O28" s="458">
        <f>'ANALYSE - ERP =&gt; SOUS-SEGMENT'!$IG$87</f>
        <v>13416.817527302035</v>
      </c>
      <c r="P28" s="458">
        <f>'ANALYSE - ERP =&gt; SOUS-SEGMENT'!$IH$87</f>
        <v>26416.524546025183</v>
      </c>
      <c r="Q28" s="458">
        <f>'ANALYSE - ERP =&gt; SOUS-SEGMENT'!$II$87</f>
        <v>10104.316801704706</v>
      </c>
      <c r="R28" s="458">
        <f>'ANALYSE - ERP =&gt; SOUS-SEGMENT'!$IJ$87</f>
        <v>1131.6219278661674</v>
      </c>
      <c r="T28" s="430">
        <f>'ANALYSE - ERP =&gt; SOUS-SEGMENT'!$Q$87</f>
        <v>1</v>
      </c>
    </row>
    <row r="29" spans="1:20" ht="15" customHeight="1">
      <c r="A29" s="26">
        <v>26</v>
      </c>
      <c r="B29" s="26">
        <v>25</v>
      </c>
      <c r="C29" s="422">
        <f>'ANALYSE - ERP =&gt; SOUS-SEGMENT'!$A$52</f>
        <v>45</v>
      </c>
      <c r="D29" s="414" t="str">
        <f>'ANALYSE - ERP =&gt; SOUS-SEGMENT'!$B$52</f>
        <v>Santé &amp; Médico-social</v>
      </c>
      <c r="E29" s="414" t="str">
        <f>'ANALYSE - ERP =&gt; SOUS-SEGMENT'!$C$52</f>
        <v>Médico-social</v>
      </c>
      <c r="F29" s="414" t="str">
        <f>'ANALYSE - ERP =&gt; SOUS-SEGMENT'!$D$52</f>
        <v>Établissements Médico-éducatifs</v>
      </c>
      <c r="H29" s="458">
        <f>'ANALYSE - ERP =&gt; SOUS-SEGMENT'!$HZ$52</f>
        <v>136</v>
      </c>
      <c r="I29" s="458">
        <f>'ANALYSE - ERP =&gt; SOUS-SEGMENT'!$IA$52</f>
        <v>29164.000000000004</v>
      </c>
      <c r="J29" s="458">
        <f>'ANALYSE - ERP =&gt; SOUS-SEGMENT'!$IB$52</f>
        <v>51888.5</v>
      </c>
      <c r="K29" s="458">
        <f>'ANALYSE - ERP =&gt; SOUS-SEGMENT'!$IC$52</f>
        <v>13811.5</v>
      </c>
      <c r="L29" s="458">
        <f>'ANALYSE - ERP =&gt; SOUS-SEGMENT'!$ID$52</f>
        <v>0</v>
      </c>
      <c r="N29" s="458">
        <f>'ANALYSE - ERP =&gt; SOUS-SEGMENT'!$IF$52</f>
        <v>0</v>
      </c>
      <c r="O29" s="458">
        <f>'ANALYSE - ERP =&gt; SOUS-SEGMENT'!$IG$52</f>
        <v>6246.2758806341062</v>
      </c>
      <c r="P29" s="458">
        <f>'ANALYSE - ERP =&gt; SOUS-SEGMENT'!$IH$52</f>
        <v>18788.832371323733</v>
      </c>
      <c r="Q29" s="458">
        <f>'ANALYSE - ERP =&gt; SOUS-SEGMENT'!$II$52</f>
        <v>7813.3932793717086</v>
      </c>
      <c r="R29" s="458">
        <f>'ANALYSE - ERP =&gt; SOUS-SEGMENT'!$IJ$52</f>
        <v>0</v>
      </c>
      <c r="T29" s="430">
        <f>'ANALYSE - ERP =&gt; SOUS-SEGMENT'!$Q$52</f>
        <v>1</v>
      </c>
    </row>
    <row r="30" spans="1:20" ht="15" customHeight="1">
      <c r="A30" s="26">
        <v>27</v>
      </c>
      <c r="B30" s="26">
        <v>27</v>
      </c>
      <c r="C30" s="422">
        <f>'ANALYSE - ERP =&gt; SOUS-SEGMENT'!$A$79</f>
        <v>72</v>
      </c>
      <c r="D30" s="409" t="str">
        <f>'ANALYSE - ERP =&gt; SOUS-SEGMENT'!$B$79</f>
        <v>Commerce, Restauration &amp; Loisirs</v>
      </c>
      <c r="E30" s="409" t="str">
        <f>'ANALYSE - ERP =&gt; SOUS-SEGMENT'!$C$79</f>
        <v>Commerce</v>
      </c>
      <c r="F30" s="409" t="str">
        <f>'ANALYSE - ERP =&gt; SOUS-SEGMENT'!$D$79</f>
        <v>Centres commerciaux / Malls
(dotés de sanitaires collectifs clients)</v>
      </c>
      <c r="H30" s="458">
        <f>'ANALYSE - ERP =&gt; SOUS-SEGMENT'!$HZ$79</f>
        <v>1696.1152000000002</v>
      </c>
      <c r="I30" s="458">
        <f>'ANALYSE - ERP =&gt; SOUS-SEGMENT'!$IA$79</f>
        <v>44664.422400000003</v>
      </c>
      <c r="J30" s="458">
        <f>'ANALYSE - ERP =&gt; SOUS-SEGMENT'!$IB$79</f>
        <v>73259.347200000004</v>
      </c>
      <c r="K30" s="458">
        <f>'ANALYSE - ERP =&gt; SOUS-SEGMENT'!$IC$79</f>
        <v>25270.252800000002</v>
      </c>
      <c r="L30" s="458">
        <f>'ANALYSE - ERP =&gt; SOUS-SEGMENT'!$ID$79</f>
        <v>2373.8624</v>
      </c>
      <c r="N30" s="458">
        <f>'ANALYSE - ERP =&gt; SOUS-SEGMENT'!$IF$79</f>
        <v>0</v>
      </c>
      <c r="O30" s="458">
        <f>'ANALYSE - ERP =&gt; SOUS-SEGMENT'!$IG$79</f>
        <v>14774.069684859209</v>
      </c>
      <c r="P30" s="458">
        <f>'ANALYSE - ERP =&gt; SOUS-SEGMENT'!$IH$79</f>
        <v>28564.258274380529</v>
      </c>
      <c r="Q30" s="458">
        <f>'ANALYSE - ERP =&gt; SOUS-SEGMENT'!$II$79</f>
        <v>10842.694221598616</v>
      </c>
      <c r="R30" s="458">
        <f>'ANALYSE - ERP =&gt; SOUS-SEGMENT'!$IJ$79</f>
        <v>1211.2586457931386</v>
      </c>
      <c r="T30" s="430">
        <f>'ANALYSE - ERP =&gt; SOUS-SEGMENT'!$Q$79</f>
        <v>1</v>
      </c>
    </row>
    <row r="31" spans="1:20" ht="15" customHeight="1">
      <c r="A31" s="26">
        <v>28</v>
      </c>
      <c r="B31" s="26">
        <v>28</v>
      </c>
      <c r="C31" s="422">
        <f>'ANALYSE - ERP =&gt; SOUS-SEGMENT'!$A$68</f>
        <v>61</v>
      </c>
      <c r="D31" s="409" t="str">
        <f>'ANALYSE - ERP =&gt; SOUS-SEGMENT'!$B$68</f>
        <v>Culture, Patrimoine &amp; Evénementiel</v>
      </c>
      <c r="E31" s="409" t="str">
        <f>'ANALYSE - ERP =&gt; SOUS-SEGMENT'!$C$68</f>
        <v>Culture / spectacle</v>
      </c>
      <c r="F31" s="409" t="str">
        <f>'ANALYSE - ERP =&gt; SOUS-SEGMENT'!$D$68</f>
        <v>Bibliothèques / Médiathèques</v>
      </c>
      <c r="H31" s="458">
        <f>'ANALYSE - ERP =&gt; SOUS-SEGMENT'!$HZ$68</f>
        <v>4336.8999999999996</v>
      </c>
      <c r="I31" s="458">
        <f>'ANALYSE - ERP =&gt; SOUS-SEGMENT'!$IA$68</f>
        <v>47896.55</v>
      </c>
      <c r="J31" s="458">
        <f>'ANALYSE - ERP =&gt; SOUS-SEGMENT'!$IB$68</f>
        <v>67285.5</v>
      </c>
      <c r="K31" s="458">
        <f>'ANALYSE - ERP =&gt; SOUS-SEGMENT'!$IC$68</f>
        <v>19274.25</v>
      </c>
      <c r="L31" s="458">
        <f>'ANALYSE - ERP =&gt; SOUS-SEGMENT'!$ID$68</f>
        <v>706.8</v>
      </c>
      <c r="N31" s="458">
        <f>'ANALYSE - ERP =&gt; SOUS-SEGMENT'!$IF$68</f>
        <v>172.63874452410258</v>
      </c>
      <c r="O31" s="458">
        <f>'ANALYSE - ERP =&gt; SOUS-SEGMENT'!$IG$68</f>
        <v>12315.981577542705</v>
      </c>
      <c r="P31" s="458">
        <f>'ANALYSE - ERP =&gt; SOUS-SEGMENT'!$IH$68</f>
        <v>26459.742630547553</v>
      </c>
      <c r="Q31" s="458">
        <f>'ANALYSE - ERP =&gt; SOUS-SEGMENT'!$II$68</f>
        <v>10536.622467760186</v>
      </c>
      <c r="R31" s="458">
        <f>'ANALYSE - ERP =&gt; SOUS-SEGMENT'!$IJ$68</f>
        <v>638.72229431076926</v>
      </c>
      <c r="T31" s="430">
        <f>'ANALYSE - ERP =&gt; SOUS-SEGMENT'!$Q$68</f>
        <v>1</v>
      </c>
    </row>
    <row r="32" spans="1:20" ht="15" customHeight="1">
      <c r="A32" s="26">
        <v>29</v>
      </c>
      <c r="B32" s="26">
        <v>29</v>
      </c>
      <c r="C32" s="422">
        <f>'ANALYSE - ERP =&gt; SOUS-SEGMENT'!$A$125</f>
        <v>118</v>
      </c>
      <c r="D32" s="409" t="str">
        <f>'ANALYSE - ERP =&gt; SOUS-SEGMENT'!$B$125</f>
        <v>Transport, Mobilité &amp; Stationnement</v>
      </c>
      <c r="E32" s="409" t="str">
        <f>'ANALYSE - ERP =&gt; SOUS-SEGMENT'!$C$125</f>
        <v>Transport / Mobilité</v>
      </c>
      <c r="F32" s="409" t="str">
        <f>'ANALYSE - ERP =&gt; SOUS-SEGMENT'!$D$125</f>
        <v>Gares ferroviaires et stations
(dotés de sanitaires)</v>
      </c>
      <c r="H32" s="458">
        <f>'ANALYSE - ERP =&gt; SOUS-SEGMENT'!$HZ$125</f>
        <v>3372.3540000000003</v>
      </c>
      <c r="I32" s="458">
        <f>'ANALYSE - ERP =&gt; SOUS-SEGMENT'!$IA$125</f>
        <v>30085.190999999999</v>
      </c>
      <c r="J32" s="458">
        <f>'ANALYSE - ERP =&gt; SOUS-SEGMENT'!$IB$125</f>
        <v>24481.048999999999</v>
      </c>
      <c r="K32" s="458">
        <f>'ANALYSE - ERP =&gt; SOUS-SEGMENT'!$IC$125</f>
        <v>3245.6530000000002</v>
      </c>
      <c r="L32" s="458">
        <f>'ANALYSE - ERP =&gt; SOUS-SEGMENT'!$ID$125</f>
        <v>495.75299999999993</v>
      </c>
      <c r="N32" s="458">
        <f>'ANALYSE - ERP =&gt; SOUS-SEGMENT'!$IF$125</f>
        <v>794.02554701027157</v>
      </c>
      <c r="O32" s="458">
        <f>'ANALYSE - ERP =&gt; SOUS-SEGMENT'!$IG$125</f>
        <v>10704.190966302031</v>
      </c>
      <c r="P32" s="458">
        <f>'ANALYSE - ERP =&gt; SOUS-SEGMENT'!$IH$125</f>
        <v>9606.0459907983823</v>
      </c>
      <c r="Q32" s="458">
        <f>'ANALYSE - ERP =&gt; SOUS-SEGMENT'!$II$125</f>
        <v>1678.9698079686455</v>
      </c>
      <c r="R32" s="458">
        <f>'ANALYSE - ERP =&gt; SOUS-SEGMENT'!$IJ$125</f>
        <v>289.76237865876431</v>
      </c>
      <c r="T32" s="430">
        <f>'ANALYSE - ERP =&gt; SOUS-SEGMENT'!$Q$125</f>
        <v>1</v>
      </c>
    </row>
    <row r="33" spans="1:20" ht="15" customHeight="1">
      <c r="A33" s="26">
        <v>30</v>
      </c>
      <c r="B33" s="26">
        <v>30</v>
      </c>
      <c r="C33" s="422">
        <f>'ANALYSE - ERP =&gt; SOUS-SEGMENT'!$A$46</f>
        <v>39</v>
      </c>
      <c r="D33" s="409" t="str">
        <f>'ANALYSE - ERP =&gt; SOUS-SEGMENT'!$B$46</f>
        <v>Santé &amp; Médico-social</v>
      </c>
      <c r="E33" s="409" t="str">
        <f>'ANALYSE - ERP =&gt; SOUS-SEGMENT'!$C$46</f>
        <v>Santé hospitalière</v>
      </c>
      <c r="F33" s="409" t="str">
        <f>'ANALYSE - ERP =&gt; SOUS-SEGMENT'!$D$46</f>
        <v>Cliniques</v>
      </c>
      <c r="H33" s="458">
        <f>'ANALYSE - ERP =&gt; SOUS-SEGMENT'!$HZ$46</f>
        <v>0</v>
      </c>
      <c r="I33" s="458">
        <f>'ANALYSE - ERP =&gt; SOUS-SEGMENT'!$IA$46</f>
        <v>7649.9475000000002</v>
      </c>
      <c r="J33" s="458">
        <f>'ANALYSE - ERP =&gt; SOUS-SEGMENT'!$IB$46</f>
        <v>78447.232499999998</v>
      </c>
      <c r="K33" s="458">
        <f>'ANALYSE - ERP =&gt; SOUS-SEGMENT'!$IC$46</f>
        <v>59282.535000000003</v>
      </c>
      <c r="L33" s="458">
        <f>'ANALYSE - ERP =&gt; SOUS-SEGMENT'!$ID$46</f>
        <v>5745.2849999999999</v>
      </c>
      <c r="N33" s="458">
        <f>'ANALYSE - ERP =&gt; SOUS-SEGMENT'!$IF$46</f>
        <v>0</v>
      </c>
      <c r="O33" s="458">
        <f>'ANALYSE - ERP =&gt; SOUS-SEGMENT'!$IG$46</f>
        <v>27.095450620616667</v>
      </c>
      <c r="P33" s="458">
        <f>'ANALYSE - ERP =&gt; SOUS-SEGMENT'!$IH$46</f>
        <v>25635.938957016875</v>
      </c>
      <c r="Q33" s="458">
        <f>'ANALYSE - ERP =&gt; SOUS-SEGMENT'!$II$46</f>
        <v>33336.720300218731</v>
      </c>
      <c r="R33" s="458">
        <f>'ANALYSE - ERP =&gt; SOUS-SEGMENT'!$IJ$46</f>
        <v>6189.0472007975695</v>
      </c>
      <c r="T33" s="430">
        <f>'ANALYSE - ERP =&gt; SOUS-SEGMENT'!$Q$46</f>
        <v>1</v>
      </c>
    </row>
    <row r="34" spans="1:20" ht="15" customHeight="1">
      <c r="A34" s="26">
        <v>31</v>
      </c>
      <c r="B34" s="26">
        <v>32</v>
      </c>
      <c r="C34" s="422">
        <f>'ANALYSE - ERP =&gt; SOUS-SEGMENT'!$A$66</f>
        <v>59</v>
      </c>
      <c r="D34" s="410" t="str">
        <f>'ANALYSE - ERP =&gt; SOUS-SEGMENT'!$B$66</f>
        <v>Culture, Patrimoine &amp; Evénementiel</v>
      </c>
      <c r="E34" s="410" t="str">
        <f>'ANALYSE - ERP =&gt; SOUS-SEGMENT'!$C$66</f>
        <v>Culture / spectacle</v>
      </c>
      <c r="F34" s="410" t="str">
        <f>'ANALYSE - ERP =&gt; SOUS-SEGMENT'!$D$66</f>
        <v>Salles de conférence / Réunion</v>
      </c>
      <c r="H34" s="458">
        <f>'ANALYSE - ERP =&gt; SOUS-SEGMENT'!$HZ$66</f>
        <v>1345.2796000000003</v>
      </c>
      <c r="I34" s="458">
        <f>'ANALYSE - ERP =&gt; SOUS-SEGMENT'!$IA$66</f>
        <v>23967.441400000003</v>
      </c>
      <c r="J34" s="458">
        <f>'ANALYSE - ERP =&gt; SOUS-SEGMENT'!$IB$66</f>
        <v>39534.626950000005</v>
      </c>
      <c r="K34" s="458">
        <f>'ANALYSE - ERP =&gt; SOUS-SEGMENT'!$IC$66</f>
        <v>12709.632949999999</v>
      </c>
      <c r="L34" s="458">
        <f>'ANALYSE - ERP =&gt; SOUS-SEGMENT'!$ID$66</f>
        <v>566.51909999999998</v>
      </c>
      <c r="N34" s="458">
        <f>'ANALYSE - ERP =&gt; SOUS-SEGMENT'!$IF$66</f>
        <v>10.216532500239319</v>
      </c>
      <c r="O34" s="458">
        <f>'ANALYSE - ERP =&gt; SOUS-SEGMENT'!$IG$66</f>
        <v>4230.7634410928586</v>
      </c>
      <c r="P34" s="458">
        <f>'ANALYSE - ERP =&gt; SOUS-SEGMENT'!$IH$66</f>
        <v>12293.655859032689</v>
      </c>
      <c r="Q34" s="458">
        <f>'ANALYSE - ERP =&gt; SOUS-SEGMENT'!$II$66</f>
        <v>6374.3742993704691</v>
      </c>
      <c r="R34" s="458">
        <f>'ANALYSE - ERP =&gt; SOUS-SEGMENT'!$IJ$66</f>
        <v>531.78901015931342</v>
      </c>
      <c r="T34" s="430">
        <f>'ANALYSE - ERP =&gt; SOUS-SEGMENT'!$Q$66</f>
        <v>1</v>
      </c>
    </row>
    <row r="35" spans="1:20" ht="15" customHeight="1">
      <c r="A35" s="26">
        <v>32</v>
      </c>
      <c r="B35" s="26">
        <v>31</v>
      </c>
      <c r="C35" s="422">
        <f>'ANALYSE - ERP =&gt; SOUS-SEGMENT'!$A$45</f>
        <v>38</v>
      </c>
      <c r="D35" s="411" t="str">
        <f>'ANALYSE - ERP =&gt; SOUS-SEGMENT'!$B$45</f>
        <v>Santé &amp; Médico-social</v>
      </c>
      <c r="E35" s="411" t="str">
        <f>'ANALYSE - ERP =&gt; SOUS-SEGMENT'!$C$45</f>
        <v>Santé hospitalière</v>
      </c>
      <c r="F35" s="411" t="str">
        <f>'ANALYSE - ERP =&gt; SOUS-SEGMENT'!$D$45</f>
        <v>Hôpitaux privés</v>
      </c>
      <c r="H35" s="458">
        <f>'ANALYSE - ERP =&gt; SOUS-SEGMENT'!$HZ$45</f>
        <v>0</v>
      </c>
      <c r="I35" s="458">
        <f>'ANALYSE - ERP =&gt; SOUS-SEGMENT'!$IA$45</f>
        <v>9242.1702000000005</v>
      </c>
      <c r="J35" s="458">
        <f>'ANALYSE - ERP =&gt; SOUS-SEGMENT'!$IB$45</f>
        <v>66881.631300000008</v>
      </c>
      <c r="K35" s="458">
        <f>'ANALYSE - ERP =&gt; SOUS-SEGMENT'!$IC$45</f>
        <v>43194.252200000003</v>
      </c>
      <c r="L35" s="458">
        <f>'ANALYSE - ERP =&gt; SOUS-SEGMENT'!$ID$45</f>
        <v>3445.9463000000001</v>
      </c>
      <c r="N35" s="458">
        <f>'ANALYSE - ERP =&gt; SOUS-SEGMENT'!$IF$45</f>
        <v>0</v>
      </c>
      <c r="O35" s="458">
        <f>'ANALYSE - ERP =&gt; SOUS-SEGMENT'!$IG$45</f>
        <v>256.82240781257241</v>
      </c>
      <c r="P35" s="458">
        <f>'ANALYSE - ERP =&gt; SOUS-SEGMENT'!$IH$45</f>
        <v>22642.151133120395</v>
      </c>
      <c r="Q35" s="458">
        <f>'ANALYSE - ERP =&gt; SOUS-SEGMENT'!$II$45</f>
        <v>25369.193737952264</v>
      </c>
      <c r="R35" s="458">
        <f>'ANALYSE - ERP =&gt; SOUS-SEGMENT'!$IJ$45</f>
        <v>3842.1880012708261</v>
      </c>
      <c r="T35" s="430">
        <f>'ANALYSE - ERP =&gt; SOUS-SEGMENT'!$Q$45</f>
        <v>1</v>
      </c>
    </row>
    <row r="36" spans="1:20" ht="15" customHeight="1">
      <c r="A36" s="26">
        <v>33</v>
      </c>
      <c r="B36" s="26">
        <v>33</v>
      </c>
      <c r="C36" s="422">
        <f>'ANALYSE - ERP =&gt; SOUS-SEGMENT'!$A$15</f>
        <v>8</v>
      </c>
      <c r="D36" s="411" t="str">
        <f>'ANALYSE - ERP =&gt; SOUS-SEGMENT'!$B$15</f>
        <v>Enfance, Enseignement, Jeunesse &amp; Formation</v>
      </c>
      <c r="E36" s="411" t="str">
        <f>'ANALYSE - ERP =&gt; SOUS-SEGMENT'!$C$15</f>
        <v>Enseignement scolaire</v>
      </c>
      <c r="F36" s="411" t="str">
        <f>'ANALYSE - ERP =&gt; SOUS-SEGMENT'!$D$15</f>
        <v>Internats scolaires</v>
      </c>
      <c r="H36" s="458">
        <f>'ANALYSE - ERP =&gt; SOUS-SEGMENT'!$HZ$15</f>
        <v>136.1799</v>
      </c>
      <c r="I36" s="458">
        <f>'ANALYSE - ERP =&gt; SOUS-SEGMENT'!$IA$15</f>
        <v>16145.697200000002</v>
      </c>
      <c r="J36" s="458">
        <f>'ANALYSE - ERP =&gt; SOUS-SEGMENT'!$IB$15</f>
        <v>42252.213799999998</v>
      </c>
      <c r="K36" s="458">
        <f>'ANALYSE - ERP =&gt; SOUS-SEGMENT'!$IC$15</f>
        <v>18443.1839</v>
      </c>
      <c r="L36" s="458">
        <f>'ANALYSE - ERP =&gt; SOUS-SEGMENT'!$ID$15</f>
        <v>1118.7252000000001</v>
      </c>
      <c r="N36" s="458">
        <f>'ANALYSE - ERP =&gt; SOUS-SEGMENT'!$IF$15</f>
        <v>0</v>
      </c>
      <c r="O36" s="458">
        <f>'ANALYSE - ERP =&gt; SOUS-SEGMENT'!$IG$15</f>
        <v>1572.0164873351639</v>
      </c>
      <c r="P36" s="458">
        <f>'ANALYSE - ERP =&gt; SOUS-SEGMENT'!$IH$15</f>
        <v>8100.0622604026939</v>
      </c>
      <c r="Q36" s="458">
        <f>'ANALYSE - ERP =&gt; SOUS-SEGMENT'!$II$15</f>
        <v>6047.7444200410528</v>
      </c>
      <c r="R36" s="458">
        <f>'ANALYSE - ERP =&gt; SOUS-SEGMENT'!$IJ$15</f>
        <v>682.04432316508792</v>
      </c>
      <c r="T36" s="430">
        <f>'ANALYSE - ERP =&gt; SOUS-SEGMENT'!$Q$15</f>
        <v>1</v>
      </c>
    </row>
    <row r="37" spans="1:20" ht="15" customHeight="1">
      <c r="A37" s="26">
        <v>34</v>
      </c>
      <c r="B37" s="26">
        <v>35</v>
      </c>
      <c r="C37" s="422">
        <f>'ANALYSE - ERP =&gt; SOUS-SEGMENT'!$A$120</f>
        <v>113</v>
      </c>
      <c r="D37" s="408" t="str">
        <f>'ANALYSE - ERP =&gt; SOUS-SEGMENT'!$B$120</f>
        <v>Culte, Vie civique &amp; Services publics</v>
      </c>
      <c r="E37" s="408" t="str">
        <f>'ANALYSE - ERP =&gt; SOUS-SEGMENT'!$C$120</f>
        <v>Vie associative</v>
      </c>
      <c r="F37" s="408" t="str">
        <f>'ANALYSE - ERP =&gt; SOUS-SEGMENT'!$D$120</f>
        <v>Locaux associatifs recevant du public (dotés de sanitaires)</v>
      </c>
      <c r="H37" s="458">
        <f>'ANALYSE - ERP =&gt; SOUS-SEGMENT'!$HZ$120</f>
        <v>3875.8760000000002</v>
      </c>
      <c r="I37" s="458">
        <f>'ANALYSE - ERP =&gt; SOUS-SEGMENT'!$IA$120</f>
        <v>19543.121999999999</v>
      </c>
      <c r="J37" s="458">
        <f>'ANALYSE - ERP =&gt; SOUS-SEGMENT'!$IB$120</f>
        <v>11776.358</v>
      </c>
      <c r="K37" s="458">
        <f>'ANALYSE - ERP =&gt; SOUS-SEGMENT'!$IC$120</f>
        <v>944.64400000000001</v>
      </c>
      <c r="L37" s="458">
        <f>'ANALYSE - ERP =&gt; SOUS-SEGMENT'!$ID$120</f>
        <v>0</v>
      </c>
      <c r="N37" s="458">
        <f>'ANALYSE - ERP =&gt; SOUS-SEGMENT'!$IF$120</f>
        <v>789.7947268503508</v>
      </c>
      <c r="O37" s="458">
        <f>'ANALYSE - ERP =&gt; SOUS-SEGMENT'!$IG$120</f>
        <v>4499.2888579646005</v>
      </c>
      <c r="P37" s="458">
        <f>'ANALYSE - ERP =&gt; SOUS-SEGMENT'!$IH$120</f>
        <v>2936.5142471505005</v>
      </c>
      <c r="Q37" s="458">
        <f>'ANALYSE - ERP =&gt; SOUS-SEGMENT'!$II$120</f>
        <v>364.18755791621106</v>
      </c>
      <c r="R37" s="458">
        <f>'ANALYSE - ERP =&gt; SOUS-SEGMENT'!$IJ$120</f>
        <v>31.03495323522078</v>
      </c>
      <c r="T37" s="430">
        <f>'ANALYSE - ERP =&gt; SOUS-SEGMENT'!$Q$120</f>
        <v>1</v>
      </c>
    </row>
    <row r="38" spans="1:20" ht="15" customHeight="1">
      <c r="A38" s="26">
        <v>35</v>
      </c>
      <c r="B38" s="26">
        <v>34</v>
      </c>
      <c r="C38" s="422">
        <f>'ANALYSE - ERP =&gt; SOUS-SEGMENT'!$A$59</f>
        <v>52</v>
      </c>
      <c r="D38" s="415" t="str">
        <f>'ANALYSE - ERP =&gt; SOUS-SEGMENT'!$B$59</f>
        <v>Santé &amp; Médico-social</v>
      </c>
      <c r="E38" s="415" t="str">
        <f>'ANALYSE - ERP =&gt; SOUS-SEGMENT'!$C$59</f>
        <v>Médico-social</v>
      </c>
      <c r="F38" s="415" t="str">
        <f>'ANALYSE - ERP =&gt; SOUS-SEGMENT'!$D$59</f>
        <v>USLD</v>
      </c>
      <c r="H38" s="458">
        <f>'ANALYSE - ERP =&gt; SOUS-SEGMENT'!$HZ$59</f>
        <v>0</v>
      </c>
      <c r="I38" s="458">
        <f>'ANALYSE - ERP =&gt; SOUS-SEGMENT'!$IA$59</f>
        <v>8835.6892000000007</v>
      </c>
      <c r="J38" s="458">
        <f>'ANALYSE - ERP =&gt; SOUS-SEGMENT'!$IB$59</f>
        <v>42709.518800000005</v>
      </c>
      <c r="K38" s="458">
        <f>'ANALYSE - ERP =&gt; SOUS-SEGMENT'!$IC$59</f>
        <v>26019.637799999997</v>
      </c>
      <c r="L38" s="458">
        <f>'ANALYSE - ERP =&gt; SOUS-SEGMENT'!$ID$59</f>
        <v>175.1542</v>
      </c>
      <c r="N38" s="458">
        <f>'ANALYSE - ERP =&gt; SOUS-SEGMENT'!$IF$59</f>
        <v>0</v>
      </c>
      <c r="O38" s="458">
        <f>'ANALYSE - ERP =&gt; SOUS-SEGMENT'!$IG$59</f>
        <v>1670.4235879458042</v>
      </c>
      <c r="P38" s="458">
        <f>'ANALYSE - ERP =&gt; SOUS-SEGMENT'!$IH$59</f>
        <v>13412.595665723076</v>
      </c>
      <c r="Q38" s="458">
        <f>'ANALYSE - ERP =&gt; SOUS-SEGMENT'!$II$59</f>
        <v>11720.893977271679</v>
      </c>
      <c r="R38" s="458">
        <f>'ANALYSE - ERP =&gt; SOUS-SEGMENT'!$IJ$59</f>
        <v>575.12305926923079</v>
      </c>
      <c r="T38" s="430">
        <f>'ANALYSE - ERP =&gt; SOUS-SEGMENT'!$Q$59</f>
        <v>1</v>
      </c>
    </row>
    <row r="39" spans="1:20" ht="15" customHeight="1">
      <c r="A39" s="26">
        <v>36</v>
      </c>
      <c r="B39" s="26">
        <v>37</v>
      </c>
      <c r="C39" s="422">
        <f>'ANALYSE - ERP =&gt; SOUS-SEGMENT'!$A$28</f>
        <v>21</v>
      </c>
      <c r="D39" s="411" t="str">
        <f>'ANALYSE - ERP =&gt; SOUS-SEGMENT'!$B$28</f>
        <v>Sports &amp; Loisirs</v>
      </c>
      <c r="E39" s="411" t="str">
        <f>'ANALYSE - ERP =&gt; SOUS-SEGMENT'!$C$28</f>
        <v>Sport de plein air</v>
      </c>
      <c r="F39" s="411" t="str">
        <f>'ANALYSE - ERP =&gt; SOUS-SEGMENT'!$D$28</f>
        <v>Stades avec tribunes
(Hors grands stades, hors terrains sport)</v>
      </c>
      <c r="H39" s="458">
        <f>'ANALYSE - ERP =&gt; SOUS-SEGMENT'!$HZ$28</f>
        <v>13439.436</v>
      </c>
      <c r="I39" s="458">
        <f>'ANALYSE - ERP =&gt; SOUS-SEGMENT'!$IA$28</f>
        <v>47067.773999999998</v>
      </c>
      <c r="J39" s="458">
        <f>'ANALYSE - ERP =&gt; SOUS-SEGMENT'!$IB$28</f>
        <v>14972.79</v>
      </c>
      <c r="K39" s="458">
        <f>'ANALYSE - ERP =&gt; SOUS-SEGMENT'!$IC$28</f>
        <v>0</v>
      </c>
      <c r="L39" s="458">
        <f>'ANALYSE - ERP =&gt; SOUS-SEGMENT'!$ID$28</f>
        <v>0</v>
      </c>
      <c r="N39" s="458">
        <f>'ANALYSE - ERP =&gt; SOUS-SEGMENT'!$IF$28</f>
        <v>2297.0157813109454</v>
      </c>
      <c r="O39" s="458">
        <f>'ANALYSE - ERP =&gt; SOUS-SEGMENT'!$IG$28</f>
        <v>16583.128087455723</v>
      </c>
      <c r="P39" s="458">
        <f>'ANALYSE - ERP =&gt; SOUS-SEGMENT'!$IH$28</f>
        <v>10420.473513657576</v>
      </c>
      <c r="Q39" s="458">
        <f>'ANALYSE - ERP =&gt; SOUS-SEGMENT'!$II$28</f>
        <v>0</v>
      </c>
      <c r="R39" s="458">
        <f>'ANALYSE - ERP =&gt; SOUS-SEGMENT'!$IJ$28</f>
        <v>0</v>
      </c>
      <c r="T39" s="430">
        <f>'ANALYSE - ERP =&gt; SOUS-SEGMENT'!$Q$28</f>
        <v>1</v>
      </c>
    </row>
    <row r="40" spans="1:20" ht="15" customHeight="1">
      <c r="A40" s="26">
        <v>37</v>
      </c>
      <c r="B40" s="26">
        <v>36</v>
      </c>
      <c r="C40" s="422" t="e">
        <f>'ANALYSE - ERP =&gt; SOUS-SEGMENT'!#REF!</f>
        <v>#REF!</v>
      </c>
      <c r="D40" s="408" t="e">
        <f>'ANALYSE - ERP =&gt; SOUS-SEGMENT'!#REF!</f>
        <v>#REF!</v>
      </c>
      <c r="E40" s="408" t="e">
        <f>'ANALYSE - ERP =&gt; SOUS-SEGMENT'!#REF!</f>
        <v>#REF!</v>
      </c>
      <c r="F40" s="408" t="e">
        <f>'ANALYSE - ERP =&gt; SOUS-SEGMENT'!#REF!</f>
        <v>#REF!</v>
      </c>
      <c r="H40" s="458" t="e">
        <f>'ANALYSE - ERP =&gt; SOUS-SEGMENT'!#REF!</f>
        <v>#REF!</v>
      </c>
      <c r="I40" s="458" t="e">
        <f>'ANALYSE - ERP =&gt; SOUS-SEGMENT'!#REF!</f>
        <v>#REF!</v>
      </c>
      <c r="J40" s="458" t="e">
        <f>'ANALYSE - ERP =&gt; SOUS-SEGMENT'!#REF!</f>
        <v>#REF!</v>
      </c>
      <c r="K40" s="458" t="e">
        <f>'ANALYSE - ERP =&gt; SOUS-SEGMENT'!#REF!</f>
        <v>#REF!</v>
      </c>
      <c r="L40" s="458" t="e">
        <f>'ANALYSE - ERP =&gt; SOUS-SEGMENT'!#REF!</f>
        <v>#REF!</v>
      </c>
      <c r="N40" s="458" t="e">
        <f>'ANALYSE - ERP =&gt; SOUS-SEGMENT'!#REF!</f>
        <v>#REF!</v>
      </c>
      <c r="O40" s="458" t="e">
        <f>'ANALYSE - ERP =&gt; SOUS-SEGMENT'!#REF!</f>
        <v>#REF!</v>
      </c>
      <c r="P40" s="458" t="e">
        <f>'ANALYSE - ERP =&gt; SOUS-SEGMENT'!#REF!</f>
        <v>#REF!</v>
      </c>
      <c r="Q40" s="458" t="e">
        <f>'ANALYSE - ERP =&gt; SOUS-SEGMENT'!#REF!</f>
        <v>#REF!</v>
      </c>
      <c r="R40" s="458" t="e">
        <f>'ANALYSE - ERP =&gt; SOUS-SEGMENT'!#REF!</f>
        <v>#REF!</v>
      </c>
      <c r="T40" s="430" t="e">
        <f>'ANALYSE - ERP =&gt; SOUS-SEGMENT'!#REF!</f>
        <v>#REF!</v>
      </c>
    </row>
    <row r="41" spans="1:20" ht="15" customHeight="1">
      <c r="A41" s="26">
        <v>38</v>
      </c>
      <c r="B41" s="26">
        <v>39</v>
      </c>
      <c r="C41" s="422">
        <f>'ANALYSE - ERP =&gt; SOUS-SEGMENT'!$A$49</f>
        <v>42</v>
      </c>
      <c r="D41" s="413" t="str">
        <f>'ANALYSE - ERP =&gt; SOUS-SEGMENT'!$B$49</f>
        <v>Santé &amp; Médico-social</v>
      </c>
      <c r="E41" s="413" t="str">
        <f>'ANALYSE - ERP =&gt; SOUS-SEGMENT'!$C$49</f>
        <v>Santé spécialisée</v>
      </c>
      <c r="F41" s="413" t="str">
        <f>'ANALYSE - ERP =&gt; SOUS-SEGMENT'!$D$49</f>
        <v>Centres de psychiatrie</v>
      </c>
      <c r="H41" s="458">
        <f>'ANALYSE - ERP =&gt; SOUS-SEGMENT'!$HZ$49</f>
        <v>2485.67</v>
      </c>
      <c r="I41" s="458">
        <f>'ANALYSE - ERP =&gt; SOUS-SEGMENT'!$IA$49</f>
        <v>35898.137000000002</v>
      </c>
      <c r="J41" s="458">
        <f>'ANALYSE - ERP =&gt; SOUS-SEGMENT'!$IB$49</f>
        <v>28412.453000000001</v>
      </c>
      <c r="K41" s="458">
        <f>'ANALYSE - ERP =&gt; SOUS-SEGMENT'!$IC$49</f>
        <v>1643.74</v>
      </c>
      <c r="L41" s="458">
        <f>'ANALYSE - ERP =&gt; SOUS-SEGMENT'!$ID$49</f>
        <v>0</v>
      </c>
      <c r="N41" s="458">
        <f>'ANALYSE - ERP =&gt; SOUS-SEGMENT'!$IF$49</f>
        <v>4.576262170015454</v>
      </c>
      <c r="O41" s="458">
        <f>'ANALYSE - ERP =&gt; SOUS-SEGMENT'!$IG$49</f>
        <v>8176.0200409758481</v>
      </c>
      <c r="P41" s="458">
        <f>'ANALYSE - ERP =&gt; SOUS-SEGMENT'!$IH$49</f>
        <v>13474.274141898411</v>
      </c>
      <c r="Q41" s="458">
        <f>'ANALYSE - ERP =&gt; SOUS-SEGMENT'!$II$49</f>
        <v>1683.4017282511791</v>
      </c>
      <c r="R41" s="458">
        <f>'ANALYSE - ERP =&gt; SOUS-SEGMENT'!$IJ$49</f>
        <v>0</v>
      </c>
      <c r="T41" s="430">
        <f>'ANALYSE - ERP =&gt; SOUS-SEGMENT'!$Q$49</f>
        <v>0</v>
      </c>
    </row>
    <row r="42" spans="1:20" ht="15" customHeight="1">
      <c r="A42" s="26">
        <v>39</v>
      </c>
      <c r="B42" s="26">
        <v>40</v>
      </c>
      <c r="C42" s="422">
        <f>'ANALYSE - ERP =&gt; SOUS-SEGMENT'!$A$73</f>
        <v>66</v>
      </c>
      <c r="D42" s="412" t="str">
        <f>'ANALYSE - ERP =&gt; SOUS-SEGMENT'!$B$73</f>
        <v>Culture, Patrimoine &amp; Evénementiel</v>
      </c>
      <c r="E42" s="412" t="str">
        <f>'ANALYSE - ERP =&gt; SOUS-SEGMENT'!$C$73</f>
        <v>Événementiel temporaire</v>
      </c>
      <c r="F42" s="412" t="str">
        <f>'ANALYSE - ERP =&gt; SOUS-SEGMENT'!$D$73</f>
        <v>Structures gonflables</v>
      </c>
      <c r="H42" s="458">
        <f>'ANALYSE - ERP =&gt; SOUS-SEGMENT'!$HZ$73</f>
        <v>834.38300000000004</v>
      </c>
      <c r="I42" s="458">
        <f>'ANALYSE - ERP =&gt; SOUS-SEGMENT'!$IA$73</f>
        <v>1594.4994999999999</v>
      </c>
      <c r="J42" s="458">
        <f>'ANALYSE - ERP =&gt; SOUS-SEGMENT'!$IB$73</f>
        <v>156.11750000000001</v>
      </c>
      <c r="K42" s="458">
        <f>'ANALYSE - ERP =&gt; SOUS-SEGMENT'!$IC$73</f>
        <v>0</v>
      </c>
      <c r="L42" s="458">
        <f>'ANALYSE - ERP =&gt; SOUS-SEGMENT'!$ID$73</f>
        <v>0</v>
      </c>
      <c r="N42" s="458">
        <f>'ANALYSE - ERP =&gt; SOUS-SEGMENT'!$IF$73</f>
        <v>148.79007898304548</v>
      </c>
      <c r="O42" s="458">
        <f>'ANALYSE - ERP =&gt; SOUS-SEGMENT'!$IG$73</f>
        <v>568.2008250587819</v>
      </c>
      <c r="P42" s="458">
        <f>'ANALYSE - ERP =&gt; SOUS-SEGMENT'!$IH$73</f>
        <v>139.47682595817275</v>
      </c>
      <c r="Q42" s="458">
        <f>'ANALYSE - ERP =&gt; SOUS-SEGMENT'!$II$73</f>
        <v>0</v>
      </c>
      <c r="R42" s="458">
        <f>'ANALYSE - ERP =&gt; SOUS-SEGMENT'!$IJ$73</f>
        <v>0</v>
      </c>
      <c r="T42" s="430">
        <f>'ANALYSE - ERP =&gt; SOUS-SEGMENT'!$Q$73</f>
        <v>1</v>
      </c>
    </row>
    <row r="43" spans="1:20" ht="15" customHeight="1">
      <c r="A43" s="26">
        <v>40</v>
      </c>
      <c r="B43" s="26">
        <v>38</v>
      </c>
      <c r="C43" s="422">
        <f>'ANALYSE - ERP =&gt; SOUS-SEGMENT'!$A$50</f>
        <v>43</v>
      </c>
      <c r="D43" s="412" t="str">
        <f>'ANALYSE - ERP =&gt; SOUS-SEGMENT'!$B$50</f>
        <v>Santé &amp; Médico-social</v>
      </c>
      <c r="E43" s="412" t="str">
        <f>'ANALYSE - ERP =&gt; SOUS-SEGMENT'!$C$50</f>
        <v>Santé spécialisée</v>
      </c>
      <c r="F43" s="412" t="str">
        <f>'ANALYSE - ERP =&gt; SOUS-SEGMENT'!$D$50</f>
        <v>Centres de rééducation</v>
      </c>
      <c r="H43" s="458">
        <f>'ANALYSE - ERP =&gt; SOUS-SEGMENT'!$HZ$50</f>
        <v>0</v>
      </c>
      <c r="I43" s="458">
        <f>'ANALYSE - ERP =&gt; SOUS-SEGMENT'!$IA$50</f>
        <v>7912.9337999999998</v>
      </c>
      <c r="J43" s="458">
        <f>'ANALYSE - ERP =&gt; SOUS-SEGMENT'!$IB$50</f>
        <v>40531.839</v>
      </c>
      <c r="K43" s="458">
        <f>'ANALYSE - ERP =&gt; SOUS-SEGMENT'!$IC$50</f>
        <v>21389.227199999998</v>
      </c>
      <c r="L43" s="458">
        <f>'ANALYSE - ERP =&gt; SOUS-SEGMENT'!$ID$50</f>
        <v>0</v>
      </c>
      <c r="N43" s="458">
        <f>'ANALYSE - ERP =&gt; SOUS-SEGMENT'!$IF$50</f>
        <v>0</v>
      </c>
      <c r="O43" s="458">
        <f>'ANALYSE - ERP =&gt; SOUS-SEGMENT'!$IG$50</f>
        <v>995.96048386500206</v>
      </c>
      <c r="P43" s="458">
        <f>'ANALYSE - ERP =&gt; SOUS-SEGMENT'!$IH$50</f>
        <v>14638.964154306099</v>
      </c>
      <c r="Q43" s="458">
        <f>'ANALYSE - ERP =&gt; SOUS-SEGMENT'!$II$50</f>
        <v>12252.205669297226</v>
      </c>
      <c r="R43" s="458">
        <f>'ANALYSE - ERP =&gt; SOUS-SEGMENT'!$IJ$50</f>
        <v>206.63997808904588</v>
      </c>
      <c r="T43" s="430">
        <f>'ANALYSE - ERP =&gt; SOUS-SEGMENT'!$Q$50</f>
        <v>0</v>
      </c>
    </row>
    <row r="44" spans="1:20" ht="15" customHeight="1">
      <c r="A44" s="26">
        <v>41</v>
      </c>
      <c r="B44" s="26">
        <v>42</v>
      </c>
      <c r="C44" s="422">
        <f>'ANALYSE - ERP =&gt; SOUS-SEGMENT'!$A$142</f>
        <v>135</v>
      </c>
      <c r="D44" s="408" t="str">
        <f>'ANALYSE - ERP =&gt; SOUS-SEGMENT'!$B$142</f>
        <v>Sécurité &amp; Justice</v>
      </c>
      <c r="E44" s="408" t="str">
        <f>'ANALYSE - ERP =&gt; SOUS-SEGMENT'!$C$142</f>
        <v>Univers carcéral</v>
      </c>
      <c r="F44" s="408" t="str">
        <f>'ANALYSE - ERP =&gt; SOUS-SEGMENT'!$D$142</f>
        <v>Centres pénitentiaires</v>
      </c>
      <c r="H44" s="458">
        <f>'ANALYSE - ERP =&gt; SOUS-SEGMENT'!$HZ$142</f>
        <v>8746.509399999999</v>
      </c>
      <c r="I44" s="458">
        <f>'ANALYSE - ERP =&gt; SOUS-SEGMENT'!$IA$142</f>
        <v>31219.373</v>
      </c>
      <c r="J44" s="458">
        <f>'ANALYSE - ERP =&gt; SOUS-SEGMENT'!$IB$142</f>
        <v>6028.1175999999996</v>
      </c>
      <c r="K44" s="458">
        <f>'ANALYSE - ERP =&gt; SOUS-SEGMENT'!$IC$142</f>
        <v>0</v>
      </c>
      <c r="L44" s="458">
        <f>'ANALYSE - ERP =&gt; SOUS-SEGMENT'!$ID$142</f>
        <v>0</v>
      </c>
      <c r="N44" s="458">
        <f>'ANALYSE - ERP =&gt; SOUS-SEGMENT'!$IF$142</f>
        <v>942.16825307954548</v>
      </c>
      <c r="O44" s="458">
        <f>'ANALYSE - ERP =&gt; SOUS-SEGMENT'!$IG$142</f>
        <v>9325.9960070454545</v>
      </c>
      <c r="P44" s="458">
        <f>'ANALYSE - ERP =&gt; SOUS-SEGMENT'!$IH$142</f>
        <v>4874.1072171477272</v>
      </c>
      <c r="Q44" s="458">
        <f>'ANALYSE - ERP =&gt; SOUS-SEGMENT'!$II$142</f>
        <v>0</v>
      </c>
      <c r="R44" s="458">
        <f>'ANALYSE - ERP =&gt; SOUS-SEGMENT'!$IJ$142</f>
        <v>0</v>
      </c>
      <c r="T44" s="430">
        <f>'ANALYSE - ERP =&gt; SOUS-SEGMENT'!$Q$142</f>
        <v>1</v>
      </c>
    </row>
    <row r="45" spans="1:20" ht="15" customHeight="1">
      <c r="A45" s="26">
        <v>42</v>
      </c>
      <c r="B45" s="26">
        <v>41</v>
      </c>
      <c r="C45" s="422">
        <f>'ANALYSE - ERP =&gt; SOUS-SEGMENT'!$A$116</f>
        <v>109</v>
      </c>
      <c r="D45" s="414" t="str">
        <f>'ANALYSE - ERP =&gt; SOUS-SEGMENT'!$B$116</f>
        <v>Culte, Vie civique &amp; Services publics</v>
      </c>
      <c r="E45" s="414" t="str">
        <f>'ANALYSE - ERP =&gt; SOUS-SEGMENT'!$C$116</f>
        <v>Culte</v>
      </c>
      <c r="F45" s="414" t="str">
        <f>'ANALYSE - ERP =&gt; SOUS-SEGMENT'!$D$116</f>
        <v>Mosquées et salles de prière musulmanes</v>
      </c>
      <c r="H45" s="458">
        <f>'ANALYSE - ERP =&gt; SOUS-SEGMENT'!$HZ$116</f>
        <v>4912.96</v>
      </c>
      <c r="I45" s="458">
        <f>'ANALYSE - ERP =&gt; SOUS-SEGMENT'!$IA$116</f>
        <v>24758.240000000002</v>
      </c>
      <c r="J45" s="458">
        <f>'ANALYSE - ERP =&gt; SOUS-SEGMENT'!$IB$116</f>
        <v>14880.736000000001</v>
      </c>
      <c r="K45" s="458">
        <f>'ANALYSE - ERP =&gt; SOUS-SEGMENT'!$IC$116</f>
        <v>1208.0639999999999</v>
      </c>
      <c r="L45" s="458">
        <f>'ANALYSE - ERP =&gt; SOUS-SEGMENT'!$ID$116</f>
        <v>0</v>
      </c>
      <c r="N45" s="458">
        <f>'ANALYSE - ERP =&gt; SOUS-SEGMENT'!$IF$116</f>
        <v>1345.5945593809524</v>
      </c>
      <c r="O45" s="458">
        <f>'ANALYSE - ERP =&gt; SOUS-SEGMENT'!$IG$116</f>
        <v>7514.3259440952388</v>
      </c>
      <c r="P45" s="458">
        <f>'ANALYSE - ERP =&gt; SOUS-SEGMENT'!$IH$116</f>
        <v>4835.1636718095233</v>
      </c>
      <c r="Q45" s="458">
        <f>'ANALYSE - ERP =&gt; SOUS-SEGMENT'!$II$116</f>
        <v>575.96994204761904</v>
      </c>
      <c r="R45" s="458">
        <f>'ANALYSE - ERP =&gt; SOUS-SEGMENT'!$IJ$116</f>
        <v>45.813977904761906</v>
      </c>
      <c r="T45" s="430">
        <f>'ANALYSE - ERP =&gt; SOUS-SEGMENT'!$Q$116</f>
        <v>1</v>
      </c>
    </row>
    <row r="46" spans="1:20" ht="15" customHeight="1">
      <c r="A46" s="26">
        <v>43</v>
      </c>
      <c r="B46" s="26">
        <v>43</v>
      </c>
      <c r="C46" s="422">
        <f>'ANALYSE - ERP =&gt; SOUS-SEGMENT'!$A$18</f>
        <v>11</v>
      </c>
      <c r="D46" s="414" t="str">
        <f>'ANALYSE - ERP =&gt; SOUS-SEGMENT'!$B$18</f>
        <v>Enfance, Enseignement, Jeunesse &amp; Formation</v>
      </c>
      <c r="E46" s="414" t="str">
        <f>'ANALYSE - ERP =&gt; SOUS-SEGMENT'!$C$18</f>
        <v>Enseignement supérieur</v>
      </c>
      <c r="F46" s="414" t="str">
        <f>'ANALYSE - ERP =&gt; SOUS-SEGMENT'!$D$18</f>
        <v>Résidences étudiantes et dortoirs</v>
      </c>
      <c r="H46" s="458">
        <f>'ANALYSE - ERP =&gt; SOUS-SEGMENT'!$HZ$18</f>
        <v>36.428699999999999</v>
      </c>
      <c r="I46" s="458">
        <f>'ANALYSE - ERP =&gt; SOUS-SEGMENT'!$IA$18</f>
        <v>7514.4465</v>
      </c>
      <c r="J46" s="458">
        <f>'ANALYSE - ERP =&gt; SOUS-SEGMENT'!$IB$18</f>
        <v>23933.290700000001</v>
      </c>
      <c r="K46" s="458">
        <f>'ANALYSE - ERP =&gt; SOUS-SEGMENT'!$IC$18</f>
        <v>12338.738499999999</v>
      </c>
      <c r="L46" s="458">
        <f>'ANALYSE - ERP =&gt; SOUS-SEGMENT'!$ID$18</f>
        <v>914.0956000000001</v>
      </c>
      <c r="N46" s="458">
        <f>'ANALYSE - ERP =&gt; SOUS-SEGMENT'!$IF$18</f>
        <v>0</v>
      </c>
      <c r="O46" s="458">
        <f>'ANALYSE - ERP =&gt; SOUS-SEGMENT'!$IG$18</f>
        <v>365.04723746668316</v>
      </c>
      <c r="P46" s="458">
        <f>'ANALYSE - ERP =&gt; SOUS-SEGMENT'!$IH$18</f>
        <v>3266.7350166902879</v>
      </c>
      <c r="Q46" s="458">
        <f>'ANALYSE - ERP =&gt; SOUS-SEGMENT'!$II$18</f>
        <v>3418.9259979848689</v>
      </c>
      <c r="R46" s="458">
        <f>'ANALYSE - ERP =&gt; SOUS-SEGMENT'!$IJ$18</f>
        <v>555.73614140615996</v>
      </c>
      <c r="T46" s="430">
        <f>'ANALYSE - ERP =&gt; SOUS-SEGMENT'!$Q$18</f>
        <v>1</v>
      </c>
    </row>
    <row r="47" spans="1:20" ht="15" customHeight="1">
      <c r="A47" s="26">
        <v>44</v>
      </c>
      <c r="B47" s="26">
        <v>44</v>
      </c>
      <c r="C47" s="422">
        <f>'ANALYSE - ERP =&gt; SOUS-SEGMENT'!$A$62</f>
        <v>55</v>
      </c>
      <c r="D47" s="414" t="str">
        <f>'ANALYSE - ERP =&gt; SOUS-SEGMENT'!$B$62</f>
        <v>Culture, Patrimoine &amp; Evénementiel</v>
      </c>
      <c r="E47" s="414" t="str">
        <f>'ANALYSE - ERP =&gt; SOUS-SEGMENT'!$C$62</f>
        <v>Culture / spectacle</v>
      </c>
      <c r="F47" s="414" t="str">
        <f>'ANALYSE - ERP =&gt; SOUS-SEGMENT'!$D$62</f>
        <v>Cinémas</v>
      </c>
      <c r="H47" s="458">
        <f>'ANALYSE - ERP =&gt; SOUS-SEGMENT'!$HZ$62</f>
        <v>21.372</v>
      </c>
      <c r="I47" s="458">
        <f>'ANALYSE - ERP =&gt; SOUS-SEGMENT'!$IA$62</f>
        <v>6639.4994999999999</v>
      </c>
      <c r="J47" s="458">
        <f>'ANALYSE - ERP =&gt; SOUS-SEGMENT'!$IB$62</f>
        <v>21116.1525</v>
      </c>
      <c r="K47" s="458">
        <f>'ANALYSE - ERP =&gt; SOUS-SEGMENT'!$IC$62</f>
        <v>13633.486499999999</v>
      </c>
      <c r="L47" s="458">
        <f>'ANALYSE - ERP =&gt; SOUS-SEGMENT'!$ID$62</f>
        <v>1744.4895000000001</v>
      </c>
      <c r="N47" s="458">
        <f>'ANALYSE - ERP =&gt; SOUS-SEGMENT'!$IF$62</f>
        <v>0</v>
      </c>
      <c r="O47" s="458">
        <f>'ANALYSE - ERP =&gt; SOUS-SEGMENT'!$IG$62</f>
        <v>1043.2215493899189</v>
      </c>
      <c r="P47" s="458">
        <f>'ANALYSE - ERP =&gt; SOUS-SEGMENT'!$IH$62</f>
        <v>6055.2153766275096</v>
      </c>
      <c r="Q47" s="458">
        <f>'ANALYSE - ERP =&gt; SOUS-SEGMENT'!$II$62</f>
        <v>6111.6898833678897</v>
      </c>
      <c r="R47" s="458">
        <f>'ANALYSE - ERP =&gt; SOUS-SEGMENT'!$IJ$62</f>
        <v>1265.8533159874082</v>
      </c>
      <c r="T47" s="430">
        <f>'ANALYSE - ERP =&gt; SOUS-SEGMENT'!$Q$62</f>
        <v>1</v>
      </c>
    </row>
    <row r="48" spans="1:20" ht="15" customHeight="1">
      <c r="A48" s="26">
        <v>45</v>
      </c>
      <c r="B48" s="26">
        <v>45</v>
      </c>
      <c r="C48" s="422">
        <f>'ANALYSE - ERP =&gt; SOUS-SEGMENT'!$A$65</f>
        <v>58</v>
      </c>
      <c r="D48" s="414" t="str">
        <f>'ANALYSE - ERP =&gt; SOUS-SEGMENT'!$B$65</f>
        <v>Culture, Patrimoine &amp; Evénementiel</v>
      </c>
      <c r="E48" s="414" t="str">
        <f>'ANALYSE - ERP =&gt; SOUS-SEGMENT'!$C$65</f>
        <v>Culture / spectacle</v>
      </c>
      <c r="F48" s="414" t="str">
        <f>'ANALYSE - ERP =&gt; SOUS-SEGMENT'!$D$65</f>
        <v>Salles de spectacle / Auditoriums</v>
      </c>
      <c r="H48" s="458">
        <f>'ANALYSE - ERP =&gt; SOUS-SEGMENT'!$HZ$65</f>
        <v>78.537599999999998</v>
      </c>
      <c r="I48" s="458">
        <f>'ANALYSE - ERP =&gt; SOUS-SEGMENT'!$IA$65</f>
        <v>7786.1303999999991</v>
      </c>
      <c r="J48" s="458">
        <f>'ANALYSE - ERP =&gt; SOUS-SEGMENT'!$IB$65</f>
        <v>20670.781200000001</v>
      </c>
      <c r="K48" s="458">
        <f>'ANALYSE - ERP =&gt; SOUS-SEGMENT'!$IC$65</f>
        <v>11439.462000000001</v>
      </c>
      <c r="L48" s="458">
        <f>'ANALYSE - ERP =&gt; SOUS-SEGMENT'!$ID$65</f>
        <v>1233.0888</v>
      </c>
      <c r="N48" s="458">
        <f>'ANALYSE - ERP =&gt; SOUS-SEGMENT'!$IF$65</f>
        <v>0</v>
      </c>
      <c r="O48" s="458">
        <f>'ANALYSE - ERP =&gt; SOUS-SEGMENT'!$IG$65</f>
        <v>1003.7329967719508</v>
      </c>
      <c r="P48" s="458">
        <f>'ANALYSE - ERP =&gt; SOUS-SEGMENT'!$IH$65</f>
        <v>5278.0990479830753</v>
      </c>
      <c r="Q48" s="458">
        <f>'ANALYSE - ERP =&gt; SOUS-SEGMENT'!$II$65</f>
        <v>5004.4106218438665</v>
      </c>
      <c r="R48" s="458">
        <f>'ANALYSE - ERP =&gt; SOUS-SEGMENT'!$IJ$65</f>
        <v>973.43668656474665</v>
      </c>
      <c r="T48" s="430">
        <f>'ANALYSE - ERP =&gt; SOUS-SEGMENT'!$Q$65</f>
        <v>1</v>
      </c>
    </row>
    <row r="49" spans="1:20" ht="15" customHeight="1">
      <c r="A49" s="26">
        <v>46</v>
      </c>
      <c r="B49" s="26">
        <v>46</v>
      </c>
      <c r="C49" s="422">
        <f>'ANALYSE - ERP =&gt; SOUS-SEGMENT'!$A$63</f>
        <v>56</v>
      </c>
      <c r="D49" s="415" t="str">
        <f>'ANALYSE - ERP =&gt; SOUS-SEGMENT'!$B$63</f>
        <v>Culture, Patrimoine &amp; Evénementiel</v>
      </c>
      <c r="E49" s="415" t="str">
        <f>'ANALYSE - ERP =&gt; SOUS-SEGMENT'!$C$63</f>
        <v>Culture / spectacle</v>
      </c>
      <c r="F49" s="415" t="str">
        <f>'ANALYSE - ERP =&gt; SOUS-SEGMENT'!$D$63</f>
        <v>Théâtres</v>
      </c>
      <c r="H49" s="458">
        <f>'ANALYSE - ERP =&gt; SOUS-SEGMENT'!$HZ$63</f>
        <v>470.4</v>
      </c>
      <c r="I49" s="458">
        <f>'ANALYSE - ERP =&gt; SOUS-SEGMENT'!$IA$63</f>
        <v>11184.896000000001</v>
      </c>
      <c r="J49" s="458">
        <f>'ANALYSE - ERP =&gt; SOUS-SEGMENT'!$IB$63</f>
        <v>19741.696</v>
      </c>
      <c r="K49" s="458">
        <f>'ANALYSE - ERP =&gt; SOUS-SEGMENT'!$IC$63</f>
        <v>6680.0640000000003</v>
      </c>
      <c r="L49" s="458">
        <f>'ANALYSE - ERP =&gt; SOUS-SEGMENT'!$ID$63</f>
        <v>322.94400000000002</v>
      </c>
      <c r="N49" s="458">
        <f>'ANALYSE - ERP =&gt; SOUS-SEGMENT'!$IF$63</f>
        <v>3.9200005975384609</v>
      </c>
      <c r="O49" s="458">
        <f>'ANALYSE - ERP =&gt; SOUS-SEGMENT'!$IG$63</f>
        <v>2203.1518876863752</v>
      </c>
      <c r="P49" s="458">
        <f>'ANALYSE - ERP =&gt; SOUS-SEGMENT'!$IH$63</f>
        <v>6446.8221954677156</v>
      </c>
      <c r="Q49" s="458">
        <f>'ANALYSE - ERP =&gt; SOUS-SEGMENT'!$II$63</f>
        <v>3362.6658493284062</v>
      </c>
      <c r="R49" s="458">
        <f>'ANALYSE - ERP =&gt; SOUS-SEGMENT'!$IJ$63</f>
        <v>282.96479085842464</v>
      </c>
      <c r="T49" s="430">
        <f>'ANALYSE - ERP =&gt; SOUS-SEGMENT'!$Q$63</f>
        <v>1</v>
      </c>
    </row>
    <row r="50" spans="1:20" ht="15" customHeight="1">
      <c r="A50" s="26">
        <v>47</v>
      </c>
      <c r="B50" s="26">
        <v>49</v>
      </c>
      <c r="C50" s="422">
        <f>'ANALYSE - ERP =&gt; SOUS-SEGMENT'!$A$115</f>
        <v>108</v>
      </c>
      <c r="D50" s="415" t="str">
        <f>'ANALYSE - ERP =&gt; SOUS-SEGMENT'!$B$115</f>
        <v>Culte, Vie civique &amp; Services publics</v>
      </c>
      <c r="E50" s="415" t="str">
        <f>'ANALYSE - ERP =&gt; SOUS-SEGMENT'!$C$115</f>
        <v>Culte</v>
      </c>
      <c r="F50" s="415" t="str">
        <f>'ANALYSE - ERP =&gt; SOUS-SEGMENT'!$D$115</f>
        <v>Temples protestants, évangéliques et salles de culte assimilées</v>
      </c>
      <c r="H50" s="458">
        <f>'ANALYSE - ERP =&gt; SOUS-SEGMENT'!$HZ$115</f>
        <v>1742.75</v>
      </c>
      <c r="I50" s="458">
        <f>'ANALYSE - ERP =&gt; SOUS-SEGMENT'!$IA$115</f>
        <v>8787.375</v>
      </c>
      <c r="J50" s="458">
        <f>'ANALYSE - ERP =&gt; SOUS-SEGMENT'!$IB$115</f>
        <v>5295.125</v>
      </c>
      <c r="K50" s="458">
        <f>'ANALYSE - ERP =&gt; SOUS-SEGMENT'!$IC$115</f>
        <v>424.75</v>
      </c>
      <c r="L50" s="458">
        <f>'ANALYSE - ERP =&gt; SOUS-SEGMENT'!$ID$115</f>
        <v>0</v>
      </c>
      <c r="N50" s="458">
        <f>'ANALYSE - ERP =&gt; SOUS-SEGMENT'!$IF$115</f>
        <v>332.97220988278389</v>
      </c>
      <c r="O50" s="458">
        <f>'ANALYSE - ERP =&gt; SOUS-SEGMENT'!$IG$115</f>
        <v>1860.4811299833336</v>
      </c>
      <c r="P50" s="458">
        <f>'ANALYSE - ERP =&gt; SOUS-SEGMENT'!$IH$115</f>
        <v>1199.5043416091576</v>
      </c>
      <c r="Q50" s="458">
        <f>'ANALYSE - ERP =&gt; SOUS-SEGMENT'!$II$115</f>
        <v>141.93346691446885</v>
      </c>
      <c r="R50" s="458">
        <f>'ANALYSE - ERP =&gt; SOUS-SEGMENT'!$IJ$115</f>
        <v>11.347965163369963</v>
      </c>
      <c r="T50" s="430">
        <f>'ANALYSE - ERP =&gt; SOUS-SEGMENT'!$Q$115</f>
        <v>1</v>
      </c>
    </row>
    <row r="51" spans="1:20" ht="15" customHeight="1">
      <c r="A51" s="26">
        <v>48</v>
      </c>
      <c r="B51" s="26">
        <v>63</v>
      </c>
      <c r="C51" s="422">
        <f>'ANALYSE - ERP =&gt; SOUS-SEGMENT'!$A$54</f>
        <v>47</v>
      </c>
      <c r="D51" s="413" t="str">
        <f>'ANALYSE - ERP =&gt; SOUS-SEGMENT'!$B$54</f>
        <v>Santé &amp; Médico-social</v>
      </c>
      <c r="E51" s="413" t="str">
        <f>'ANALYSE - ERP =&gt; SOUS-SEGMENT'!$C$54</f>
        <v>Santé ambulatoire</v>
      </c>
      <c r="F51" s="413" t="str">
        <f>'ANALYSE - ERP =&gt; SOUS-SEGMENT'!$D$54</f>
        <v>Maisons de santé</v>
      </c>
      <c r="H51" s="458">
        <f>'ANALYSE - ERP =&gt; SOUS-SEGMENT'!$HZ$54</f>
        <v>0</v>
      </c>
      <c r="I51" s="458">
        <f>'ANALYSE - ERP =&gt; SOUS-SEGMENT'!$IA$54</f>
        <v>2279.5500000000002</v>
      </c>
      <c r="J51" s="458">
        <f>'ANALYSE - ERP =&gt; SOUS-SEGMENT'!$IB$54</f>
        <v>10716.45</v>
      </c>
      <c r="K51" s="458">
        <f>'ANALYSE - ERP =&gt; SOUS-SEGMENT'!$IC$54</f>
        <v>6002.7</v>
      </c>
      <c r="L51" s="458">
        <f>'ANALYSE - ERP =&gt; SOUS-SEGMENT'!$ID$54</f>
        <v>501.29999999999995</v>
      </c>
      <c r="N51" s="458">
        <f>'ANALYSE - ERP =&gt; SOUS-SEGMENT'!$IF$54</f>
        <v>0</v>
      </c>
      <c r="O51" s="458">
        <f>'ANALYSE - ERP =&gt; SOUS-SEGMENT'!$IG$54</f>
        <v>48.008539332626356</v>
      </c>
      <c r="P51" s="458">
        <f>'ANALYSE - ERP =&gt; SOUS-SEGMENT'!$IH$54</f>
        <v>1519.8451717462817</v>
      </c>
      <c r="Q51" s="458">
        <f>'ANALYSE - ERP =&gt; SOUS-SEGMENT'!$II$54</f>
        <v>2692.3628805946373</v>
      </c>
      <c r="R51" s="458">
        <f>'ANALYSE - ERP =&gt; SOUS-SEGMENT'!$IJ$54</f>
        <v>417.07443572009095</v>
      </c>
      <c r="T51" s="430">
        <f>'ANALYSE - ERP =&gt; SOUS-SEGMENT'!$Q$54</f>
        <v>1</v>
      </c>
    </row>
    <row r="52" spans="1:20" ht="15" customHeight="1">
      <c r="A52" s="26">
        <v>49</v>
      </c>
      <c r="B52" s="26">
        <v>47</v>
      </c>
      <c r="C52" s="422">
        <f>'ANALYSE - ERP =&gt; SOUS-SEGMENT'!$A$60</f>
        <v>53</v>
      </c>
      <c r="D52" s="411" t="str">
        <f>'ANALYSE - ERP =&gt; SOUS-SEGMENT'!$B$60</f>
        <v>Santé &amp; Médico-social</v>
      </c>
      <c r="E52" s="411" t="str">
        <f>'ANALYSE - ERP =&gt; SOUS-SEGMENT'!$C$60</f>
        <v>Médico-social</v>
      </c>
      <c r="F52" s="411" t="str">
        <f>'ANALYSE - ERP =&gt; SOUS-SEGMENT'!$D$60</f>
        <v>Résidences autonomie
Foyers-logements
(Public)</v>
      </c>
      <c r="H52" s="458">
        <f>'ANALYSE - ERP =&gt; SOUS-SEGMENT'!$HZ$60</f>
        <v>33.272799999999997</v>
      </c>
      <c r="I52" s="458">
        <f>'ANALYSE - ERP =&gt; SOUS-SEGMENT'!$IA$60</f>
        <v>6705.7825999999995</v>
      </c>
      <c r="J52" s="458">
        <f>'ANALYSE - ERP =&gt; SOUS-SEGMENT'!$IB$60</f>
        <v>19377.684699999998</v>
      </c>
      <c r="K52" s="458">
        <f>'ANALYSE - ERP =&gt; SOUS-SEGMENT'!$IC$60</f>
        <v>8446.6942999999992</v>
      </c>
      <c r="L52" s="458">
        <f>'ANALYSE - ERP =&gt; SOUS-SEGMENT'!$ID$60</f>
        <v>460.56560000000002</v>
      </c>
      <c r="N52" s="458">
        <f>'ANALYSE - ERP =&gt; SOUS-SEGMENT'!$IF$60</f>
        <v>0</v>
      </c>
      <c r="O52" s="458">
        <f>'ANALYSE - ERP =&gt; SOUS-SEGMENT'!$IG$60</f>
        <v>1350.3881146461795</v>
      </c>
      <c r="P52" s="458">
        <f>'ANALYSE - ERP =&gt; SOUS-SEGMENT'!$IH$60</f>
        <v>6224.9781607144232</v>
      </c>
      <c r="Q52" s="458">
        <f>'ANALYSE - ERP =&gt; SOUS-SEGMENT'!$II$60</f>
        <v>3940.2682817176965</v>
      </c>
      <c r="R52" s="458">
        <f>'ANALYSE - ERP =&gt; SOUS-SEGMENT'!$IJ$60</f>
        <v>334.299812438142</v>
      </c>
      <c r="T52" s="430">
        <f>'ANALYSE - ERP =&gt; SOUS-SEGMENT'!$Q$60</f>
        <v>1</v>
      </c>
    </row>
    <row r="53" spans="1:20" ht="15" customHeight="1">
      <c r="A53" s="26">
        <v>50</v>
      </c>
      <c r="B53" s="26">
        <v>50</v>
      </c>
      <c r="C53" s="422">
        <f>'ANALYSE - ERP =&gt; SOUS-SEGMENT'!$A$42</f>
        <v>35</v>
      </c>
      <c r="D53" s="411" t="str">
        <f>'ANALYSE - ERP =&gt; SOUS-SEGMENT'!$B$42</f>
        <v>Sports &amp; Loisirs</v>
      </c>
      <c r="E53" s="411" t="str">
        <f>'ANALYSE - ERP =&gt; SOUS-SEGMENT'!$C$42</f>
        <v>Loisirs</v>
      </c>
      <c r="F53" s="411" t="str">
        <f>'ANALYSE - ERP =&gt; SOUS-SEGMENT'!$D$42</f>
        <v>Discothèques / Salles de danse</v>
      </c>
      <c r="H53" s="458">
        <f>'ANALYSE - ERP =&gt; SOUS-SEGMENT'!$HZ$42</f>
        <v>915.04</v>
      </c>
      <c r="I53" s="458">
        <f>'ANALYSE - ERP =&gt; SOUS-SEGMENT'!$IA$42</f>
        <v>23562</v>
      </c>
      <c r="J53" s="458">
        <f>'ANALYSE - ERP =&gt; SOUS-SEGMENT'!$IB$42</f>
        <v>37385.879999999997</v>
      </c>
      <c r="K53" s="458">
        <f>'ANALYSE - ERP =&gt; SOUS-SEGMENT'!$IC$42</f>
        <v>12570.04</v>
      </c>
      <c r="L53" s="458">
        <f>'ANALYSE - ERP =&gt; SOUS-SEGMENT'!$ID$42</f>
        <v>1167.04</v>
      </c>
      <c r="N53" s="458">
        <f>'ANALYSE - ERP =&gt; SOUS-SEGMENT'!$IF$42</f>
        <v>0</v>
      </c>
      <c r="O53" s="458">
        <f>'ANALYSE - ERP =&gt; SOUS-SEGMENT'!$IG$42</f>
        <v>9366.886159413667</v>
      </c>
      <c r="P53" s="458">
        <f>'ANALYSE - ERP =&gt; SOUS-SEGMENT'!$IH$42</f>
        <v>17536.895752464668</v>
      </c>
      <c r="Q53" s="458">
        <f>'ANALYSE - ERP =&gt; SOUS-SEGMENT'!$II$42</f>
        <v>6500.5176821455007</v>
      </c>
      <c r="R53" s="458">
        <f>'ANALYSE - ERP =&gt; SOUS-SEGMENT'!$IJ$42</f>
        <v>723.33633764283331</v>
      </c>
      <c r="T53" s="430">
        <f>'ANALYSE - ERP =&gt; SOUS-SEGMENT'!$Q$42</f>
        <v>1</v>
      </c>
    </row>
    <row r="54" spans="1:20" ht="15" customHeight="1">
      <c r="A54" s="26">
        <v>51</v>
      </c>
      <c r="B54" s="26">
        <v>51</v>
      </c>
      <c r="C54" s="422">
        <f>'ANALYSE - ERP =&gt; SOUS-SEGMENT'!$A$51</f>
        <v>44</v>
      </c>
      <c r="D54" s="417" t="str">
        <f>'ANALYSE - ERP =&gt; SOUS-SEGMENT'!$B$51</f>
        <v>Santé &amp; Médico-social</v>
      </c>
      <c r="E54" s="417" t="str">
        <f>'ANALYSE - ERP =&gt; SOUS-SEGMENT'!$C$51</f>
        <v>Santé spécialisée</v>
      </c>
      <c r="F54" s="417" t="str">
        <f>'ANALYSE - ERP =&gt; SOUS-SEGMENT'!$D$51</f>
        <v>Maternités</v>
      </c>
      <c r="H54" s="458">
        <f>'ANALYSE - ERP =&gt; SOUS-SEGMENT'!$HZ$51</f>
        <v>0</v>
      </c>
      <c r="I54" s="458">
        <f>'ANALYSE - ERP =&gt; SOUS-SEGMENT'!$IA$51</f>
        <v>2472.509</v>
      </c>
      <c r="J54" s="458">
        <f>'ANALYSE - ERP =&gt; SOUS-SEGMENT'!$IB$51</f>
        <v>19644.391500000002</v>
      </c>
      <c r="K54" s="458">
        <f>'ANALYSE - ERP =&gt; SOUS-SEGMENT'!$IC$51</f>
        <v>13038.0995</v>
      </c>
      <c r="L54" s="458">
        <f>'ANALYSE - ERP =&gt; SOUS-SEGMENT'!$ID$51</f>
        <v>0</v>
      </c>
      <c r="N54" s="458">
        <f>'ANALYSE - ERP =&gt; SOUS-SEGMENT'!$IF$51</f>
        <v>0</v>
      </c>
      <c r="O54" s="458">
        <f>'ANALYSE - ERP =&gt; SOUS-SEGMENT'!$IG$51</f>
        <v>163.77763911136364</v>
      </c>
      <c r="P54" s="458">
        <f>'ANALYSE - ERP =&gt; SOUS-SEGMENT'!$IH$51</f>
        <v>7740.5251329238636</v>
      </c>
      <c r="Q54" s="458">
        <f>'ANALYSE - ERP =&gt; SOUS-SEGMENT'!$II$51</f>
        <v>8156.8223653375017</v>
      </c>
      <c r="R54" s="458">
        <f>'ANALYSE - ERP =&gt; SOUS-SEGMENT'!$IJ$51</f>
        <v>426.1534876272728</v>
      </c>
      <c r="T54" s="430">
        <f>'ANALYSE - ERP =&gt; SOUS-SEGMENT'!$Q$51</f>
        <v>0</v>
      </c>
    </row>
    <row r="55" spans="1:20" ht="15" customHeight="1">
      <c r="A55" s="26">
        <v>52</v>
      </c>
      <c r="B55" s="26">
        <v>53</v>
      </c>
      <c r="C55" s="422">
        <f>'ANALYSE - ERP =&gt; SOUS-SEGMENT'!$A$30</f>
        <v>23</v>
      </c>
      <c r="D55" s="417" t="str">
        <f>'ANALYSE - ERP =&gt; SOUS-SEGMENT'!$B$30</f>
        <v>Sports &amp; Loisirs</v>
      </c>
      <c r="E55" s="417" t="str">
        <f>'ANALYSE - ERP =&gt; SOUS-SEGMENT'!$C$30</f>
        <v>Sport de plein air</v>
      </c>
      <c r="F55" s="417" t="str">
        <f>'ANALYSE - ERP =&gt; SOUS-SEGMENT'!$D$30</f>
        <v>Hippodromes, Centres équestres &amp; Manèges couverts</v>
      </c>
      <c r="H55" s="458">
        <f>'ANALYSE - ERP =&gt; SOUS-SEGMENT'!$HZ$30</f>
        <v>15007.3</v>
      </c>
      <c r="I55" s="458">
        <f>'ANALYSE - ERP =&gt; SOUS-SEGMENT'!$IA$30</f>
        <v>51146.095000000001</v>
      </c>
      <c r="J55" s="458">
        <f>'ANALYSE - ERP =&gt; SOUS-SEGMENT'!$IB$30</f>
        <v>20907.04</v>
      </c>
      <c r="K55" s="458">
        <f>'ANALYSE - ERP =&gt; SOUS-SEGMENT'!$IC$30</f>
        <v>1489.5650000000001</v>
      </c>
      <c r="L55" s="458">
        <f>'ANALYSE - ERP =&gt; SOUS-SEGMENT'!$ID$30</f>
        <v>0</v>
      </c>
      <c r="N55" s="458">
        <f>'ANALYSE - ERP =&gt; SOUS-SEGMENT'!$IF$30</f>
        <v>6101.0605670703171</v>
      </c>
      <c r="O55" s="458">
        <f>'ANALYSE - ERP =&gt; SOUS-SEGMENT'!$IG$30</f>
        <v>22342.651418802787</v>
      </c>
      <c r="P55" s="458">
        <f>'ANALYSE - ERP =&gt; SOUS-SEGMENT'!$IH$30</f>
        <v>10175.876043284512</v>
      </c>
      <c r="Q55" s="458">
        <f>'ANALYSE - ERP =&gt; SOUS-SEGMENT'!$II$30</f>
        <v>1381.1670196975811</v>
      </c>
      <c r="R55" s="458">
        <f>'ANALYSE - ERP =&gt; SOUS-SEGMENT'!$IJ$30</f>
        <v>160.64560260584415</v>
      </c>
      <c r="T55" s="430">
        <f>'ANALYSE - ERP =&gt; SOUS-SEGMENT'!$Q$30</f>
        <v>1</v>
      </c>
    </row>
    <row r="56" spans="1:20" ht="15" customHeight="1">
      <c r="A56" s="26">
        <v>53</v>
      </c>
      <c r="B56" s="26">
        <v>54</v>
      </c>
      <c r="C56" s="422">
        <f>'ANALYSE - ERP =&gt; SOUS-SEGMENT'!$A$70</f>
        <v>63</v>
      </c>
      <c r="D56" s="413" t="str">
        <f>'ANALYSE - ERP =&gt; SOUS-SEGMENT'!$B$70</f>
        <v>Culture, Patrimoine &amp; Evénementiel</v>
      </c>
      <c r="E56" s="413" t="str">
        <f>'ANALYSE - ERP =&gt; SOUS-SEGMENT'!$C$70</f>
        <v>Expositions / salons</v>
      </c>
      <c r="F56" s="413" t="str">
        <f>'ANALYSE - ERP =&gt; SOUS-SEGMENT'!$D$70</f>
        <v>Foires / Salons</v>
      </c>
      <c r="H56" s="458">
        <f>'ANALYSE - ERP =&gt; SOUS-SEGMENT'!$HZ$70</f>
        <v>14.351999999999999</v>
      </c>
      <c r="I56" s="458">
        <f>'ANALYSE - ERP =&gt; SOUS-SEGMENT'!$IA$70</f>
        <v>4505.9760000000006</v>
      </c>
      <c r="J56" s="458">
        <f>'ANALYSE - ERP =&gt; SOUS-SEGMENT'!$IB$70</f>
        <v>14208.526</v>
      </c>
      <c r="K56" s="458">
        <f>'ANALYSE - ERP =&gt; SOUS-SEGMENT'!$IC$70</f>
        <v>9098.0639999999985</v>
      </c>
      <c r="L56" s="458">
        <f>'ANALYSE - ERP =&gt; SOUS-SEGMENT'!$ID$70</f>
        <v>1153.0819999999999</v>
      </c>
      <c r="N56" s="458">
        <f>'ANALYSE - ERP =&gt; SOUS-SEGMENT'!$IF$70</f>
        <v>0</v>
      </c>
      <c r="O56" s="458">
        <f>'ANALYSE - ERP =&gt; SOUS-SEGMENT'!$IG$70</f>
        <v>656.67216644631367</v>
      </c>
      <c r="P56" s="458">
        <f>'ANALYSE - ERP =&gt; SOUS-SEGMENT'!$IH$70</f>
        <v>3947.509069084068</v>
      </c>
      <c r="Q56" s="458">
        <f>'ANALYSE - ERP =&gt; SOUS-SEGMENT'!$II$70</f>
        <v>4068.8812183209302</v>
      </c>
      <c r="R56" s="458">
        <f>'ANALYSE - ERP =&gt; SOUS-SEGMENT'!$IJ$70</f>
        <v>861.28198771030543</v>
      </c>
      <c r="T56" s="430">
        <f>'ANALYSE - ERP =&gt; SOUS-SEGMENT'!$Q$70</f>
        <v>1</v>
      </c>
    </row>
    <row r="57" spans="1:20" ht="15" customHeight="1">
      <c r="A57" s="26">
        <v>54</v>
      </c>
      <c r="B57" s="26">
        <v>48</v>
      </c>
      <c r="C57" s="422">
        <f>'ANALYSE - ERP =&gt; SOUS-SEGMENT'!$A$31</f>
        <v>24</v>
      </c>
      <c r="D57" s="417" t="str">
        <f>'ANALYSE - ERP =&gt; SOUS-SEGMENT'!$B$31</f>
        <v>Sports &amp; Loisirs</v>
      </c>
      <c r="E57" s="417" t="str">
        <f>'ANALYSE - ERP =&gt; SOUS-SEGMENT'!$C$31</f>
        <v>Sport de plein air</v>
      </c>
      <c r="F57" s="417" t="str">
        <f>'ANALYSE - ERP =&gt; SOUS-SEGMENT'!$D$31</f>
        <v>Piscines extérieures 
(Hors campings, hôtels, résidences et établissement avec bassin intérieur)</v>
      </c>
      <c r="H57" s="458">
        <f>'ANALYSE - ERP =&gt; SOUS-SEGMENT'!$HZ$31</f>
        <v>7297.7049999999999</v>
      </c>
      <c r="I57" s="458">
        <f>'ANALYSE - ERP =&gt; SOUS-SEGMENT'!$IA$31</f>
        <v>21658.215000000004</v>
      </c>
      <c r="J57" s="458">
        <f>'ANALYSE - ERP =&gt; SOUS-SEGMENT'!$IB$31</f>
        <v>5844.08</v>
      </c>
      <c r="K57" s="458">
        <f>'ANALYSE - ERP =&gt; SOUS-SEGMENT'!$IC$31</f>
        <v>0</v>
      </c>
      <c r="L57" s="458">
        <f>'ANALYSE - ERP =&gt; SOUS-SEGMENT'!$ID$31</f>
        <v>0</v>
      </c>
      <c r="N57" s="458">
        <f>'ANALYSE - ERP =&gt; SOUS-SEGMENT'!$IF$31</f>
        <v>1774.7071785365908</v>
      </c>
      <c r="O57" s="458">
        <f>'ANALYSE - ERP =&gt; SOUS-SEGMENT'!$IG$31</f>
        <v>9672.3235546677533</v>
      </c>
      <c r="P57" s="458">
        <f>'ANALYSE - ERP =&gt; SOUS-SEGMENT'!$IH$31</f>
        <v>4636.5738521895937</v>
      </c>
      <c r="Q57" s="458">
        <f>'ANALYSE - ERP =&gt; SOUS-SEGMENT'!$II$31</f>
        <v>0</v>
      </c>
      <c r="R57" s="458">
        <f>'ANALYSE - ERP =&gt; SOUS-SEGMENT'!$IJ$31</f>
        <v>0</v>
      </c>
      <c r="T57" s="430">
        <f>'ANALYSE - ERP =&gt; SOUS-SEGMENT'!$Q$31</f>
        <v>1</v>
      </c>
    </row>
    <row r="58" spans="1:20" ht="15" customHeight="1">
      <c r="A58" s="26">
        <v>55</v>
      </c>
      <c r="B58" s="26">
        <v>64</v>
      </c>
      <c r="C58" s="422">
        <f>'ANALYSE - ERP =&gt; SOUS-SEGMENT'!$A$61</f>
        <v>54</v>
      </c>
      <c r="D58" s="417" t="str">
        <f>'ANALYSE - ERP =&gt; SOUS-SEGMENT'!$B$61</f>
        <v>Santé &amp; Médico-social</v>
      </c>
      <c r="E58" s="417" t="str">
        <f>'ANALYSE - ERP =&gt; SOUS-SEGMENT'!$C$61</f>
        <v>Médico-social</v>
      </c>
      <c r="F58" s="417" t="str">
        <f>'ANALYSE - ERP =&gt; SOUS-SEGMENT'!$D$61</f>
        <v>Résidences services seniors
(Privé)</v>
      </c>
      <c r="H58" s="458">
        <f>'ANALYSE - ERP =&gt; SOUS-SEGMENT'!$HZ$61</f>
        <v>0</v>
      </c>
      <c r="I58" s="458">
        <f>'ANALYSE - ERP =&gt; SOUS-SEGMENT'!$IA$61</f>
        <v>106.672</v>
      </c>
      <c r="J58" s="458">
        <f>'ANALYSE - ERP =&gt; SOUS-SEGMENT'!$IB$61</f>
        <v>8226.1740000000009</v>
      </c>
      <c r="K58" s="458">
        <f>'ANALYSE - ERP =&gt; SOUS-SEGMENT'!$IC$61</f>
        <v>10020.614000000001</v>
      </c>
      <c r="L58" s="458">
        <f>'ANALYSE - ERP =&gt; SOUS-SEGMENT'!$ID$61</f>
        <v>1986.54</v>
      </c>
      <c r="N58" s="458">
        <f>'ANALYSE - ERP =&gt; SOUS-SEGMENT'!$IF$61</f>
        <v>0</v>
      </c>
      <c r="O58" s="458">
        <f>'ANALYSE - ERP =&gt; SOUS-SEGMENT'!$IG$61</f>
        <v>0</v>
      </c>
      <c r="P58" s="458">
        <f>'ANALYSE - ERP =&gt; SOUS-SEGMENT'!$IH$61</f>
        <v>871.40244371247832</v>
      </c>
      <c r="Q58" s="458">
        <f>'ANALYSE - ERP =&gt; SOUS-SEGMENT'!$II$61</f>
        <v>2383.4989745468538</v>
      </c>
      <c r="R58" s="458">
        <f>'ANALYSE - ERP =&gt; SOUS-SEGMENT'!$IJ$61</f>
        <v>529.8676727398913</v>
      </c>
      <c r="T58" s="430">
        <f>'ANALYSE - ERP =&gt; SOUS-SEGMENT'!$Q$61</f>
        <v>1</v>
      </c>
    </row>
    <row r="59" spans="1:20" ht="15" customHeight="1">
      <c r="A59" s="26">
        <v>56</v>
      </c>
      <c r="B59" s="26">
        <v>52</v>
      </c>
      <c r="C59" s="422">
        <f>'ANALYSE - ERP =&gt; SOUS-SEGMENT'!$A$16</f>
        <v>9</v>
      </c>
      <c r="D59" s="417" t="str">
        <f>'ANALYSE - ERP =&gt; SOUS-SEGMENT'!$B$16</f>
        <v>Enfance, Enseignement, Jeunesse &amp; Formation</v>
      </c>
      <c r="E59" s="417" t="str">
        <f>'ANALYSE - ERP =&gt; SOUS-SEGMENT'!$C$16</f>
        <v>Enseignement supérieur</v>
      </c>
      <c r="F59" s="417" t="str">
        <f>'ANALYSE - ERP =&gt; SOUS-SEGMENT'!$D$16</f>
        <v>Universités</v>
      </c>
      <c r="H59" s="458">
        <f>'ANALYSE - ERP =&gt; SOUS-SEGMENT'!$HZ$16</f>
        <v>808.60950000000003</v>
      </c>
      <c r="I59" s="458">
        <f>'ANALYSE - ERP =&gt; SOUS-SEGMENT'!$IA$16</f>
        <v>11565.7155</v>
      </c>
      <c r="J59" s="458">
        <f>'ANALYSE - ERP =&gt; SOUS-SEGMENT'!$IB$16</f>
        <v>14664.460500000001</v>
      </c>
      <c r="K59" s="458">
        <f>'ANALYSE - ERP =&gt; SOUS-SEGMENT'!$IC$16</f>
        <v>3188.8125</v>
      </c>
      <c r="L59" s="458">
        <f>'ANALYSE - ERP =&gt; SOUS-SEGMENT'!$ID$16</f>
        <v>57.402000000000001</v>
      </c>
      <c r="N59" s="458">
        <f>'ANALYSE - ERP =&gt; SOUS-SEGMENT'!$IF$16</f>
        <v>0</v>
      </c>
      <c r="O59" s="458">
        <f>'ANALYSE - ERP =&gt; SOUS-SEGMENT'!$IG$16</f>
        <v>925.11302665708808</v>
      </c>
      <c r="P59" s="458">
        <f>'ANALYSE - ERP =&gt; SOUS-SEGMENT'!$IH$16</f>
        <v>2721.1904835540481</v>
      </c>
      <c r="Q59" s="458">
        <f>'ANALYSE - ERP =&gt; SOUS-SEGMENT'!$II$16</f>
        <v>1142.0860537036799</v>
      </c>
      <c r="R59" s="458">
        <f>'ANALYSE - ERP =&gt; SOUS-SEGMENT'!$IJ$16</f>
        <v>56.204489525184002</v>
      </c>
      <c r="T59" s="430">
        <f>'ANALYSE - ERP =&gt; SOUS-SEGMENT'!$Q$16</f>
        <v>1</v>
      </c>
    </row>
    <row r="60" spans="1:20" ht="15" customHeight="1">
      <c r="A60" s="26">
        <v>57</v>
      </c>
      <c r="B60" s="26">
        <v>56</v>
      </c>
      <c r="C60" s="422">
        <f>'ANALYSE - ERP =&gt; SOUS-SEGMENT'!$A$123</f>
        <v>116</v>
      </c>
      <c r="D60" s="417" t="str">
        <f>'ANALYSE - ERP =&gt; SOUS-SEGMENT'!$B$123</f>
        <v>Transport, Mobilité &amp; Stationnement</v>
      </c>
      <c r="E60" s="417" t="str">
        <f>'ANALYSE - ERP =&gt; SOUS-SEGMENT'!$C$123</f>
        <v>Transport / Mobilité</v>
      </c>
      <c r="F60" s="417" t="str">
        <f>'ANALYSE - ERP =&gt; SOUS-SEGMENT'!$D$123</f>
        <v>Parcs de stationnement couverts (dotés de sanitaires)</v>
      </c>
      <c r="H60" s="458">
        <f>'ANALYSE - ERP =&gt; SOUS-SEGMENT'!$HZ$123</f>
        <v>128.55780000000001</v>
      </c>
      <c r="I60" s="458">
        <f>'ANALYSE - ERP =&gt; SOUS-SEGMENT'!$IA$123</f>
        <v>1133.73</v>
      </c>
      <c r="J60" s="458">
        <f>'ANALYSE - ERP =&gt; SOUS-SEGMENT'!$IB$123</f>
        <v>908.77949999999998</v>
      </c>
      <c r="K60" s="458">
        <f>'ANALYSE - ERP =&gt; SOUS-SEGMENT'!$IC$123</f>
        <v>119.58029999999999</v>
      </c>
      <c r="L60" s="458">
        <f>'ANALYSE - ERP =&gt; SOUS-SEGMENT'!$ID$123</f>
        <v>17.852399999999999</v>
      </c>
      <c r="N60" s="458">
        <f>'ANALYSE - ERP =&gt; SOUS-SEGMENT'!$IF$123</f>
        <v>30.172661186807016</v>
      </c>
      <c r="O60" s="458">
        <f>'ANALYSE - ERP =&gt; SOUS-SEGMENT'!$IG$123</f>
        <v>396.64969575809539</v>
      </c>
      <c r="P60" s="458">
        <f>'ANALYSE - ERP =&gt; SOUS-SEGMENT'!$IH$123</f>
        <v>349.9286225609207</v>
      </c>
      <c r="Q60" s="458">
        <f>'ANALYSE - ERP =&gt; SOUS-SEGMENT'!$II$123</f>
        <v>60.955980217654897</v>
      </c>
      <c r="R60" s="458">
        <f>'ANALYSE - ERP =&gt; SOUS-SEGMENT'!$IJ$123</f>
        <v>10.352377429335846</v>
      </c>
      <c r="T60" s="430">
        <f>'ANALYSE - ERP =&gt; SOUS-SEGMENT'!$Q$123</f>
        <v>1</v>
      </c>
    </row>
    <row r="61" spans="1:20" ht="15" customHeight="1">
      <c r="A61" s="26">
        <v>58</v>
      </c>
      <c r="B61" s="26">
        <v>55</v>
      </c>
      <c r="C61" s="422">
        <f>'ANALYSE - ERP =&gt; SOUS-SEGMENT'!$A$43</f>
        <v>36</v>
      </c>
      <c r="D61" s="417" t="str">
        <f>'ANALYSE - ERP =&gt; SOUS-SEGMENT'!$B$43</f>
        <v>Santé &amp; Médico-social</v>
      </c>
      <c r="E61" s="417" t="str">
        <f>'ANALYSE - ERP =&gt; SOUS-SEGMENT'!$C$43</f>
        <v>Santé hospitalière</v>
      </c>
      <c r="F61" s="417" t="str">
        <f>'ANALYSE - ERP =&gt; SOUS-SEGMENT'!$D$43</f>
        <v>Hôpitaux universitaires / CHU</v>
      </c>
      <c r="H61" s="458">
        <f>'ANALYSE - ERP =&gt; SOUS-SEGMENT'!$HZ$43</f>
        <v>2.1581999999999999</v>
      </c>
      <c r="I61" s="458">
        <f>'ANALYSE - ERP =&gt; SOUS-SEGMENT'!$IA$43</f>
        <v>7212.8495999999996</v>
      </c>
      <c r="J61" s="458">
        <f>'ANALYSE - ERP =&gt; SOUS-SEGMENT'!$IB$43</f>
        <v>16677.995399999996</v>
      </c>
      <c r="K61" s="458">
        <f>'ANALYSE - ERP =&gt; SOUS-SEGMENT'!$IC$43</f>
        <v>4024.9967999999999</v>
      </c>
      <c r="L61" s="458">
        <f>'ANALYSE - ERP =&gt; SOUS-SEGMENT'!$ID$43</f>
        <v>0</v>
      </c>
      <c r="N61" s="458">
        <f>'ANALYSE - ERP =&gt; SOUS-SEGMENT'!$IF$43</f>
        <v>0</v>
      </c>
      <c r="O61" s="458">
        <f>'ANALYSE - ERP =&gt; SOUS-SEGMENT'!$IG$43</f>
        <v>1426.0350508409092</v>
      </c>
      <c r="P61" s="458">
        <f>'ANALYSE - ERP =&gt; SOUS-SEGMENT'!$IH$43</f>
        <v>6225.5252670454547</v>
      </c>
      <c r="Q61" s="458">
        <f>'ANALYSE - ERP =&gt; SOUS-SEGMENT'!$II$43</f>
        <v>2934.7442730227276</v>
      </c>
      <c r="R61" s="458">
        <f>'ANALYSE - ERP =&gt; SOUS-SEGMENT'!$IJ$43</f>
        <v>0</v>
      </c>
      <c r="T61" s="430">
        <f>'ANALYSE - ERP =&gt; SOUS-SEGMENT'!$Q$43</f>
        <v>1</v>
      </c>
    </row>
    <row r="62" spans="1:20" s="45" customFormat="1" ht="15" customHeight="1">
      <c r="A62" s="406">
        <v>59</v>
      </c>
      <c r="B62" s="406">
        <v>58</v>
      </c>
      <c r="C62" s="448">
        <f>'ANALYSE - ERP =&gt; SOUS-SEGMENT'!$A$89</f>
        <v>82</v>
      </c>
      <c r="D62" s="449" t="str">
        <f>'ANALYSE - ERP =&gt; SOUS-SEGMENT'!$B$89</f>
        <v>Hébergement Touristique</v>
      </c>
      <c r="E62" s="449" t="str">
        <f>'ANALYSE - ERP =&gt; SOUS-SEGMENT'!$C$89</f>
        <v>Hébergement Touristique</v>
      </c>
      <c r="F62" s="449" t="str">
        <f>'ANALYSE - ERP =&gt; SOUS-SEGMENT'!$D$89</f>
        <v>Résidences de tourisme</v>
      </c>
      <c r="G62" s="685"/>
      <c r="H62" s="459">
        <f>'ANALYSE - ERP =&gt; SOUS-SEGMENT'!$HZ$89</f>
        <v>3084.96</v>
      </c>
      <c r="I62" s="459">
        <f>'ANALYSE - ERP =&gt; SOUS-SEGMENT'!$IA$89</f>
        <v>15612.720000000001</v>
      </c>
      <c r="J62" s="459">
        <f>'ANALYSE - ERP =&gt; SOUS-SEGMENT'!$IB$89</f>
        <v>9358.3200000000015</v>
      </c>
      <c r="K62" s="459">
        <f>'ANALYSE - ERP =&gt; SOUS-SEGMENT'!$IC$89</f>
        <v>744</v>
      </c>
      <c r="L62" s="459">
        <f>'ANALYSE - ERP =&gt; SOUS-SEGMENT'!$ID$89</f>
        <v>0</v>
      </c>
      <c r="M62" s="685"/>
      <c r="N62" s="459">
        <f>'ANALYSE - ERP =&gt; SOUS-SEGMENT'!$IF$89</f>
        <v>697.82810762024485</v>
      </c>
      <c r="O62" s="459">
        <f>'ANALYSE - ERP =&gt; SOUS-SEGMENT'!$IG$89</f>
        <v>4070.6407707022031</v>
      </c>
      <c r="P62" s="459">
        <f>'ANALYSE - ERP =&gt; SOUS-SEGMENT'!$IH$89</f>
        <v>2670.2114373659533</v>
      </c>
      <c r="Q62" s="459">
        <f>'ANALYSE - ERP =&gt; SOUS-SEGMENT'!$II$89</f>
        <v>343.99512004607521</v>
      </c>
      <c r="R62" s="459">
        <f>'ANALYSE - ERP =&gt; SOUS-SEGMENT'!$IJ$89</f>
        <v>32.206641713076927</v>
      </c>
      <c r="S62" s="685"/>
      <c r="T62" s="450">
        <f>'ANALYSE - ERP =&gt; SOUS-SEGMENT'!$Q$89</f>
        <v>1</v>
      </c>
    </row>
    <row r="63" spans="1:20" ht="15" customHeight="1">
      <c r="A63" s="26">
        <v>60</v>
      </c>
      <c r="B63" s="26">
        <v>59</v>
      </c>
      <c r="C63" s="422">
        <f>'ANALYSE - ERP =&gt; SOUS-SEGMENT'!$A$150</f>
        <v>143</v>
      </c>
      <c r="D63" s="417" t="str">
        <f>'ANALYSE - ERP =&gt; SOUS-SEGMENT'!$B$150</f>
        <v>Sanitaires Publics</v>
      </c>
      <c r="E63" s="417" t="str">
        <f>'ANALYSE - ERP =&gt; SOUS-SEGMENT'!$C$150</f>
        <v>Sanitaires publics</v>
      </c>
      <c r="F63" s="417" t="str">
        <f>'ANALYSE - ERP =&gt; SOUS-SEGMENT'!$D$150</f>
        <v>Toilettes publiques (sur la voie publique)</v>
      </c>
      <c r="H63" s="458">
        <f>'ANALYSE - ERP =&gt; SOUS-SEGMENT'!$HZ$150</f>
        <v>8566.5</v>
      </c>
      <c r="I63" s="458">
        <f>'ANALYSE - ERP =&gt; SOUS-SEGMENT'!$IA$150</f>
        <v>17932.5</v>
      </c>
      <c r="J63" s="458">
        <f>'ANALYSE - ERP =&gt; SOUS-SEGMENT'!$IB$150</f>
        <v>3501</v>
      </c>
      <c r="K63" s="458">
        <f>'ANALYSE - ERP =&gt; SOUS-SEGMENT'!$IC$150</f>
        <v>0</v>
      </c>
      <c r="L63" s="458">
        <f>'ANALYSE - ERP =&gt; SOUS-SEGMENT'!$ID$150</f>
        <v>0</v>
      </c>
      <c r="N63" s="458">
        <f>'ANALYSE - ERP =&gt; SOUS-SEGMENT'!$IF$150</f>
        <v>3253.9526011417861</v>
      </c>
      <c r="O63" s="458">
        <f>'ANALYSE - ERP =&gt; SOUS-SEGMENT'!$IG$150</f>
        <v>7027.7460787874998</v>
      </c>
      <c r="P63" s="458">
        <f>'ANALYSE - ERP =&gt; SOUS-SEGMENT'!$IH$150</f>
        <v>1684.5168251135715</v>
      </c>
      <c r="Q63" s="458">
        <f>'ANALYSE - ERP =&gt; SOUS-SEGMENT'!$II$150</f>
        <v>252.87652790714287</v>
      </c>
      <c r="R63" s="458">
        <f>'ANALYSE - ERP =&gt; SOUS-SEGMENT'!$IJ$150</f>
        <v>56.467574192857143</v>
      </c>
      <c r="T63" s="430">
        <f>'ANALYSE - ERP =&gt; SOUS-SEGMENT'!$Q$150</f>
        <v>1</v>
      </c>
    </row>
    <row r="64" spans="1:20" ht="15" customHeight="1">
      <c r="A64" s="26">
        <v>61</v>
      </c>
      <c r="B64" s="26">
        <v>57</v>
      </c>
      <c r="C64" s="422">
        <f>'ANALYSE - ERP =&gt; SOUS-SEGMENT'!$A$122</f>
        <v>115</v>
      </c>
      <c r="D64" s="410" t="str">
        <f>'ANALYSE - ERP =&gt; SOUS-SEGMENT'!$B$122</f>
        <v>Transport, Mobilité &amp; Stationnement</v>
      </c>
      <c r="E64" s="410" t="str">
        <f>'ANALYSE - ERP =&gt; SOUS-SEGMENT'!$C$122</f>
        <v>Transport / Mobilité</v>
      </c>
      <c r="F64" s="410" t="str">
        <f>'ANALYSE - ERP =&gt; SOUS-SEGMENT'!$D$122</f>
        <v>Aires de repos - Autoroutes
(Hors Aires de service)</v>
      </c>
      <c r="H64" s="458">
        <f>'ANALYSE - ERP =&gt; SOUS-SEGMENT'!$HZ$122</f>
        <v>1587.3312000000001</v>
      </c>
      <c r="I64" s="458">
        <f>'ANALYSE - ERP =&gt; SOUS-SEGMENT'!$IA$122</f>
        <v>11737.9028</v>
      </c>
      <c r="J64" s="458">
        <f>'ANALYSE - ERP =&gt; SOUS-SEGMENT'!$IB$122</f>
        <v>7808.0859999999993</v>
      </c>
      <c r="K64" s="458">
        <f>'ANALYSE - ERP =&gt; SOUS-SEGMENT'!$IC$122</f>
        <v>908.96</v>
      </c>
      <c r="L64" s="458">
        <f>'ANALYSE - ERP =&gt; SOUS-SEGMENT'!$ID$122</f>
        <v>681.72</v>
      </c>
      <c r="N64" s="458">
        <f>'ANALYSE - ERP =&gt; SOUS-SEGMENT'!$IF$122</f>
        <v>264.26308289584</v>
      </c>
      <c r="O64" s="458">
        <f>'ANALYSE - ERP =&gt; SOUS-SEGMENT'!$IG$122</f>
        <v>4514.4773321909706</v>
      </c>
      <c r="P64" s="458">
        <f>'ANALYSE - ERP =&gt; SOUS-SEGMENT'!$IH$122</f>
        <v>4927.7301892340301</v>
      </c>
      <c r="Q64" s="458">
        <f>'ANALYSE - ERP =&gt; SOUS-SEGMENT'!$II$122</f>
        <v>650.78677254115996</v>
      </c>
      <c r="R64" s="458">
        <f>'ANALYSE - ERP =&gt; SOUS-SEGMENT'!$IJ$122</f>
        <v>320.32754773799996</v>
      </c>
      <c r="T64" s="430">
        <f>'ANALYSE - ERP =&gt; SOUS-SEGMENT'!$Q$122</f>
        <v>1</v>
      </c>
    </row>
    <row r="65" spans="1:20" s="45" customFormat="1" ht="15" customHeight="1">
      <c r="A65" s="26">
        <v>62</v>
      </c>
      <c r="B65" s="26">
        <v>61</v>
      </c>
      <c r="C65" s="422">
        <f>'ANALYSE - ERP =&gt; SOUS-SEGMENT'!$A$17</f>
        <v>10</v>
      </c>
      <c r="D65" s="410" t="str">
        <f>'ANALYSE - ERP =&gt; SOUS-SEGMENT'!$B$17</f>
        <v>Enfance, Enseignement, Jeunesse &amp; Formation</v>
      </c>
      <c r="E65" s="410" t="str">
        <f>'ANALYSE - ERP =&gt; SOUS-SEGMENT'!$C$17</f>
        <v>Enseignement supérieur</v>
      </c>
      <c r="F65" s="410" t="str">
        <f>'ANALYSE - ERP =&gt; SOUS-SEGMENT'!$D$17</f>
        <v>Grandes écoles</v>
      </c>
      <c r="G65" s="685"/>
      <c r="H65" s="458">
        <f>'ANALYSE - ERP =&gt; SOUS-SEGMENT'!$HZ$17</f>
        <v>0</v>
      </c>
      <c r="I65" s="458">
        <f>'ANALYSE - ERP =&gt; SOUS-SEGMENT'!$IA$17</f>
        <v>3504.7775999999999</v>
      </c>
      <c r="J65" s="458">
        <f>'ANALYSE - ERP =&gt; SOUS-SEGMENT'!$IB$17</f>
        <v>13057.052799999999</v>
      </c>
      <c r="K65" s="458">
        <f>'ANALYSE - ERP =&gt; SOUS-SEGMENT'!$IC$17</f>
        <v>8178.4639999999999</v>
      </c>
      <c r="L65" s="458">
        <f>'ANALYSE - ERP =&gt; SOUS-SEGMENT'!$ID$17</f>
        <v>1011.7056000000001</v>
      </c>
      <c r="M65" s="685"/>
      <c r="N65" s="458">
        <f>'ANALYSE - ERP =&gt; SOUS-SEGMENT'!$IF$17</f>
        <v>0</v>
      </c>
      <c r="O65" s="458">
        <f>'ANALYSE - ERP =&gt; SOUS-SEGMENT'!$IG$17</f>
        <v>149.310699447312</v>
      </c>
      <c r="P65" s="458">
        <f>'ANALYSE - ERP =&gt; SOUS-SEGMENT'!$IH$17</f>
        <v>1742.3604085932718</v>
      </c>
      <c r="Q65" s="458">
        <f>'ANALYSE - ERP =&gt; SOUS-SEGMENT'!$II$17</f>
        <v>2228.2319055363114</v>
      </c>
      <c r="R65" s="458">
        <f>'ANALYSE - ERP =&gt; SOUS-SEGMENT'!$IJ$17</f>
        <v>515.00040346310402</v>
      </c>
      <c r="S65" s="685"/>
      <c r="T65" s="430">
        <f>'ANALYSE - ERP =&gt; SOUS-SEGMENT'!$Q$17</f>
        <v>1</v>
      </c>
    </row>
    <row r="66" spans="1:20" ht="15" customHeight="1">
      <c r="A66" s="26">
        <v>63</v>
      </c>
      <c r="B66" s="26">
        <v>62</v>
      </c>
      <c r="C66" s="422">
        <f>'ANALYSE - ERP =&gt; SOUS-SEGMENT'!$A$41</f>
        <v>34</v>
      </c>
      <c r="D66" s="417" t="str">
        <f>'ANALYSE - ERP =&gt; SOUS-SEGMENT'!$B$41</f>
        <v>Sports &amp; Loisirs</v>
      </c>
      <c r="E66" s="417" t="str">
        <f>'ANALYSE - ERP =&gt; SOUS-SEGMENT'!$C$41</f>
        <v>Loisirs</v>
      </c>
      <c r="F66" s="417" t="str">
        <f>'ANALYSE - ERP =&gt; SOUS-SEGMENT'!$D$41</f>
        <v>Salles de jeux / Bowlings / Billards</v>
      </c>
      <c r="H66" s="458">
        <f>'ANALYSE - ERP =&gt; SOUS-SEGMENT'!$HZ$41</f>
        <v>246.24599999999998</v>
      </c>
      <c r="I66" s="458">
        <f>'ANALYSE - ERP =&gt; SOUS-SEGMENT'!$IA$41</f>
        <v>6417.1560000000009</v>
      </c>
      <c r="J66" s="458">
        <f>'ANALYSE - ERP =&gt; SOUS-SEGMENT'!$IB$41</f>
        <v>10382.307000000001</v>
      </c>
      <c r="K66" s="458">
        <f>'ANALYSE - ERP =&gt; SOUS-SEGMENT'!$IC$41</f>
        <v>3532.1909999999998</v>
      </c>
      <c r="L66" s="458">
        <f>'ANALYSE - ERP =&gt; SOUS-SEGMENT'!$ID$41</f>
        <v>332.1</v>
      </c>
      <c r="N66" s="458">
        <f>'ANALYSE - ERP =&gt; SOUS-SEGMENT'!$IF$41</f>
        <v>0</v>
      </c>
      <c r="O66" s="458">
        <f>'ANALYSE - ERP =&gt; SOUS-SEGMENT'!$IG$41</f>
        <v>2069.2758510477706</v>
      </c>
      <c r="P66" s="458">
        <f>'ANALYSE - ERP =&gt; SOUS-SEGMENT'!$IH$41</f>
        <v>3944.6120808428204</v>
      </c>
      <c r="Q66" s="458">
        <f>'ANALYSE - ERP =&gt; SOUS-SEGMENT'!$II$41</f>
        <v>1473.7253872051747</v>
      </c>
      <c r="R66" s="458">
        <f>'ANALYSE - ERP =&gt; SOUS-SEGMENT'!$IJ$41</f>
        <v>164.89489728626961</v>
      </c>
      <c r="T66" s="430">
        <f>'ANALYSE - ERP =&gt; SOUS-SEGMENT'!$Q$41</f>
        <v>1</v>
      </c>
    </row>
    <row r="67" spans="1:20" ht="15" customHeight="1">
      <c r="A67" s="26">
        <v>64</v>
      </c>
      <c r="B67" s="26">
        <v>60</v>
      </c>
      <c r="C67" s="422">
        <f>'ANALYSE - ERP =&gt; SOUS-SEGMENT'!$A$139</f>
        <v>132</v>
      </c>
      <c r="D67" s="408" t="str">
        <f>'ANALYSE - ERP =&gt; SOUS-SEGMENT'!$B$139</f>
        <v>Sécurité &amp; Justice</v>
      </c>
      <c r="E67" s="408" t="str">
        <f>'ANALYSE - ERP =&gt; SOUS-SEGMENT'!$C$139</f>
        <v>Univers carcéral</v>
      </c>
      <c r="F67" s="408" t="str">
        <f>'ANALYSE - ERP =&gt; SOUS-SEGMENT'!$D$139</f>
        <v>Maisons d’arrêt</v>
      </c>
      <c r="H67" s="458">
        <f>'ANALYSE - ERP =&gt; SOUS-SEGMENT'!$HZ$139</f>
        <v>3534.9418999999998</v>
      </c>
      <c r="I67" s="458">
        <f>'ANALYSE - ERP =&gt; SOUS-SEGMENT'!$IA$139</f>
        <v>16013.213100000001</v>
      </c>
      <c r="J67" s="458">
        <f>'ANALYSE - ERP =&gt; SOUS-SEGMENT'!$IB$139</f>
        <v>3914.8449999999998</v>
      </c>
      <c r="K67" s="458">
        <f>'ANALYSE - ERP =&gt; SOUS-SEGMENT'!$IC$139</f>
        <v>0</v>
      </c>
      <c r="L67" s="458">
        <f>'ANALYSE - ERP =&gt; SOUS-SEGMENT'!$ID$139</f>
        <v>0</v>
      </c>
      <c r="N67" s="458">
        <f>'ANALYSE - ERP =&gt; SOUS-SEGMENT'!$IF$139</f>
        <v>800.56844097954558</v>
      </c>
      <c r="O67" s="458">
        <f>'ANALYSE - ERP =&gt; SOUS-SEGMENT'!$IG$139</f>
        <v>7030.5895365681827</v>
      </c>
      <c r="P67" s="458">
        <f>'ANALYSE - ERP =&gt; SOUS-SEGMENT'!$IH$139</f>
        <v>3291.160590634091</v>
      </c>
      <c r="Q67" s="458">
        <f>'ANALYSE - ERP =&gt; SOUS-SEGMENT'!$II$139</f>
        <v>0</v>
      </c>
      <c r="R67" s="458">
        <f>'ANALYSE - ERP =&gt; SOUS-SEGMENT'!$IJ$139</f>
        <v>0</v>
      </c>
      <c r="T67" s="430">
        <f>'ANALYSE - ERP =&gt; SOUS-SEGMENT'!$Q$139</f>
        <v>1</v>
      </c>
    </row>
    <row r="68" spans="1:20" ht="15" customHeight="1">
      <c r="A68" s="26">
        <v>65</v>
      </c>
      <c r="B68" s="26">
        <v>65</v>
      </c>
      <c r="C68" s="422">
        <f>'ANALYSE - ERP =&gt; SOUS-SEGMENT'!$A$53</f>
        <v>46</v>
      </c>
      <c r="D68" s="412" t="str">
        <f>'ANALYSE - ERP =&gt; SOUS-SEGMENT'!$B$53</f>
        <v>Santé &amp; Médico-social</v>
      </c>
      <c r="E68" s="412" t="str">
        <f>'ANALYSE - ERP =&gt; SOUS-SEGMENT'!$C$53</f>
        <v>Santé ambulatoire</v>
      </c>
      <c r="F68" s="412" t="str">
        <f>'ANALYSE - ERP =&gt; SOUS-SEGMENT'!$D$53</f>
        <v>Centres de santé / Centres médicaux</v>
      </c>
      <c r="H68" s="458">
        <f>'ANALYSE - ERP =&gt; SOUS-SEGMENT'!$HZ$53</f>
        <v>50.8718</v>
      </c>
      <c r="I68" s="458">
        <f>'ANALYSE - ERP =&gt; SOUS-SEGMENT'!$IA$53</f>
        <v>5569.7515999999996</v>
      </c>
      <c r="J68" s="458">
        <f>'ANALYSE - ERP =&gt; SOUS-SEGMENT'!$IB$53</f>
        <v>11349.8112</v>
      </c>
      <c r="K68" s="458">
        <f>'ANALYSE - ERP =&gt; SOUS-SEGMENT'!$IC$53</f>
        <v>2923.5654</v>
      </c>
      <c r="L68" s="458">
        <f>'ANALYSE - ERP =&gt; SOUS-SEGMENT'!$ID$53</f>
        <v>0</v>
      </c>
      <c r="N68" s="458">
        <f>'ANALYSE - ERP =&gt; SOUS-SEGMENT'!$IF$53</f>
        <v>0</v>
      </c>
      <c r="O68" s="458">
        <f>'ANALYSE - ERP =&gt; SOUS-SEGMENT'!$IG$53</f>
        <v>901.6908841709178</v>
      </c>
      <c r="P68" s="458">
        <f>'ANALYSE - ERP =&gt; SOUS-SEGMENT'!$IH$53</f>
        <v>3698.3173218609409</v>
      </c>
      <c r="Q68" s="458">
        <f>'ANALYSE - ERP =&gt; SOUS-SEGMENT'!$II$53</f>
        <v>2015.9597370437205</v>
      </c>
      <c r="R68" s="458">
        <f>'ANALYSE - ERP =&gt; SOUS-SEGMENT'!$IJ$53</f>
        <v>1.6943869653299999</v>
      </c>
      <c r="T68" s="430">
        <f>'ANALYSE - ERP =&gt; SOUS-SEGMENT'!$Q$53</f>
        <v>1</v>
      </c>
    </row>
    <row r="69" spans="1:20" ht="15" customHeight="1">
      <c r="A69" s="26">
        <v>66</v>
      </c>
      <c r="B69" s="26">
        <v>66</v>
      </c>
      <c r="C69" s="422">
        <f>'ANALYSE - ERP =&gt; SOUS-SEGMENT'!$A$64</f>
        <v>57</v>
      </c>
      <c r="D69" s="415" t="str">
        <f>'ANALYSE - ERP =&gt; SOUS-SEGMENT'!$B$64</f>
        <v>Culture, Patrimoine &amp; Evénementiel</v>
      </c>
      <c r="E69" s="415" t="str">
        <f>'ANALYSE - ERP =&gt; SOUS-SEGMENT'!$C$64</f>
        <v>Culture / spectacle</v>
      </c>
      <c r="F69" s="415" t="str">
        <f>'ANALYSE - ERP =&gt; SOUS-SEGMENT'!$D$64</f>
        <v>Musées</v>
      </c>
      <c r="H69" s="458">
        <f>'ANALYSE - ERP =&gt; SOUS-SEGMENT'!$HZ$64</f>
        <v>255.2928</v>
      </c>
      <c r="I69" s="458">
        <f>'ANALYSE - ERP =&gt; SOUS-SEGMENT'!$IA$64</f>
        <v>5748.7164000000012</v>
      </c>
      <c r="J69" s="458">
        <f>'ANALYSE - ERP =&gt; SOUS-SEGMENT'!$IB$64</f>
        <v>9995.2734000000019</v>
      </c>
      <c r="K69" s="458">
        <f>'ANALYSE - ERP =&gt; SOUS-SEGMENT'!$IC$64</f>
        <v>3332.2044000000001</v>
      </c>
      <c r="L69" s="458">
        <f>'ANALYSE - ERP =&gt; SOUS-SEGMENT'!$ID$64</f>
        <v>156.51300000000001</v>
      </c>
      <c r="N69" s="458">
        <f>'ANALYSE - ERP =&gt; SOUS-SEGMENT'!$IF$64</f>
        <v>4.2596931470116548</v>
      </c>
      <c r="O69" s="458">
        <f>'ANALYSE - ERP =&gt; SOUS-SEGMENT'!$IG$64</f>
        <v>1320.0804524973539</v>
      </c>
      <c r="P69" s="458">
        <f>'ANALYSE - ERP =&gt; SOUS-SEGMENT'!$IH$64</f>
        <v>3530.5489243122474</v>
      </c>
      <c r="Q69" s="458">
        <f>'ANALYSE - ERP =&gt; SOUS-SEGMENT'!$II$64</f>
        <v>1696.6831101735095</v>
      </c>
      <c r="R69" s="458">
        <f>'ANALYSE - ERP =&gt; SOUS-SEGMENT'!$IJ$64</f>
        <v>129.20026853467974</v>
      </c>
      <c r="T69" s="430">
        <f>'ANALYSE - ERP =&gt; SOUS-SEGMENT'!$Q$64</f>
        <v>1</v>
      </c>
    </row>
    <row r="70" spans="1:20" ht="15" customHeight="1">
      <c r="A70" s="26">
        <v>67</v>
      </c>
      <c r="B70" s="26">
        <v>67</v>
      </c>
      <c r="C70" s="422">
        <f>'ANALYSE - ERP =&gt; SOUS-SEGMENT'!$A$23</f>
        <v>16</v>
      </c>
      <c r="D70" s="411" t="str">
        <f>'ANALYSE - ERP =&gt; SOUS-SEGMENT'!$B$23</f>
        <v>Sports &amp; Loisirs</v>
      </c>
      <c r="E70" s="411" t="str">
        <f>'ANALYSE - ERP =&gt; SOUS-SEGMENT'!$C$23</f>
        <v>Sport couvert / Thermalisme / Bien-être</v>
      </c>
      <c r="F70" s="411" t="str">
        <f>'ANALYSE - ERP =&gt; SOUS-SEGMENT'!$D$23</f>
        <v>Patinoires couvertes</v>
      </c>
      <c r="H70" s="458">
        <f>'ANALYSE - ERP =&gt; SOUS-SEGMENT'!$HZ$23</f>
        <v>4323.2550000000001</v>
      </c>
      <c r="I70" s="458">
        <f>'ANALYSE - ERP =&gt; SOUS-SEGMENT'!$IA$23</f>
        <v>12385.995000000001</v>
      </c>
      <c r="J70" s="458">
        <f>'ANALYSE - ERP =&gt; SOUS-SEGMENT'!$IB$23</f>
        <v>3240.75</v>
      </c>
      <c r="K70" s="458">
        <f>'ANALYSE - ERP =&gt; SOUS-SEGMENT'!$IC$23</f>
        <v>0</v>
      </c>
      <c r="L70" s="458">
        <f>'ANALYSE - ERP =&gt; SOUS-SEGMENT'!$ID$23</f>
        <v>0</v>
      </c>
      <c r="N70" s="458">
        <f>'ANALYSE - ERP =&gt; SOUS-SEGMENT'!$IF$23</f>
        <v>997.66381774697595</v>
      </c>
      <c r="O70" s="458">
        <f>'ANALYSE - ERP =&gt; SOUS-SEGMENT'!$IG$23</f>
        <v>5213.1421942341822</v>
      </c>
      <c r="P70" s="458">
        <f>'ANALYSE - ERP =&gt; SOUS-SEGMENT'!$IH$23</f>
        <v>2416.027806140055</v>
      </c>
      <c r="Q70" s="458">
        <f>'ANALYSE - ERP =&gt; SOUS-SEGMENT'!$II$23</f>
        <v>0</v>
      </c>
      <c r="R70" s="458">
        <f>'ANALYSE - ERP =&gt; SOUS-SEGMENT'!$IJ$23</f>
        <v>0</v>
      </c>
      <c r="T70" s="430">
        <f>'ANALYSE - ERP =&gt; SOUS-SEGMENT'!$Q$23</f>
        <v>1</v>
      </c>
    </row>
    <row r="71" spans="1:20" ht="15" customHeight="1">
      <c r="A71" s="26">
        <v>68</v>
      </c>
      <c r="B71" s="26">
        <v>68</v>
      </c>
      <c r="C71" s="422">
        <f>'ANALYSE - ERP =&gt; SOUS-SEGMENT'!$A$119</f>
        <v>112</v>
      </c>
      <c r="D71" s="415" t="str">
        <f>'ANALYSE - ERP =&gt; SOUS-SEGMENT'!$B$119</f>
        <v>Culte, Vie civique &amp; Services publics</v>
      </c>
      <c r="E71" s="415" t="str">
        <f>'ANALYSE - ERP =&gt; SOUS-SEGMENT'!$C$119</f>
        <v>Culte</v>
      </c>
      <c r="F71" s="415" t="str">
        <f>'ANALYSE - ERP =&gt; SOUS-SEGMENT'!$D$119</f>
        <v>Salles du Royaume, centres cultuels pluriconfessionnels et lieux de culte polyvalents</v>
      </c>
      <c r="H71" s="458">
        <f>'ANALYSE - ERP =&gt; SOUS-SEGMENT'!$HZ$119</f>
        <v>515.85400000000004</v>
      </c>
      <c r="I71" s="458">
        <f>'ANALYSE - ERP =&gt; SOUS-SEGMENT'!$IA$119</f>
        <v>2601.0630000000001</v>
      </c>
      <c r="J71" s="458">
        <f>'ANALYSE - ERP =&gt; SOUS-SEGMENT'!$IB$119</f>
        <v>1567.357</v>
      </c>
      <c r="K71" s="458">
        <f>'ANALYSE - ERP =&gt; SOUS-SEGMENT'!$IC$119</f>
        <v>125.726</v>
      </c>
      <c r="L71" s="458">
        <f>'ANALYSE - ERP =&gt; SOUS-SEGMENT'!$ID$119</f>
        <v>0</v>
      </c>
      <c r="N71" s="458">
        <f>'ANALYSE - ERP =&gt; SOUS-SEGMENT'!$IF$119</f>
        <v>162.78588893179113</v>
      </c>
      <c r="O71" s="458">
        <f>'ANALYSE - ERP =&gt; SOUS-SEGMENT'!$IG$119</f>
        <v>911.06718714161264</v>
      </c>
      <c r="P71" s="458">
        <f>'ANALYSE - ERP =&gt; SOUS-SEGMENT'!$IH$119</f>
        <v>588.78232683041131</v>
      </c>
      <c r="Q71" s="458">
        <f>'ANALYSE - ERP =&gt; SOUS-SEGMENT'!$II$119</f>
        <v>69.572875190124464</v>
      </c>
      <c r="R71" s="458">
        <f>'ANALYSE - ERP =&gt; SOUS-SEGMENT'!$IJ$119</f>
        <v>5.5608612458874465</v>
      </c>
      <c r="T71" s="430">
        <f>'ANALYSE - ERP =&gt; SOUS-SEGMENT'!$Q$119</f>
        <v>1</v>
      </c>
    </row>
    <row r="72" spans="1:20" ht="15" customHeight="1">
      <c r="A72" s="26">
        <v>69</v>
      </c>
      <c r="B72" s="26">
        <v>70</v>
      </c>
      <c r="C72" s="422">
        <f>'ANALYSE - ERP =&gt; SOUS-SEGMENT'!$A$108</f>
        <v>101</v>
      </c>
      <c r="D72" s="408" t="str">
        <f>'ANALYSE - ERP =&gt; SOUS-SEGMENT'!$B$108</f>
        <v>Culte, Vie civique &amp; Services publics</v>
      </c>
      <c r="E72" s="408" t="str">
        <f>'ANALYSE - ERP =&gt; SOUS-SEGMENT'!$C$108</f>
        <v>Administrations / services publics</v>
      </c>
      <c r="F72" s="408" t="str">
        <f>'ANALYSE - ERP =&gt; SOUS-SEGMENT'!$D$108</f>
        <v>Maisons France Services / Guichets publics autonomes ou dédiés</v>
      </c>
      <c r="H72" s="458">
        <f>'ANALYSE - ERP =&gt; SOUS-SEGMENT'!$HZ$108</f>
        <v>60.062399999999997</v>
      </c>
      <c r="I72" s="458">
        <f>'ANALYSE - ERP =&gt; SOUS-SEGMENT'!$IA$108</f>
        <v>1938.5604000000001</v>
      </c>
      <c r="J72" s="458">
        <f>'ANALYSE - ERP =&gt; SOUS-SEGMENT'!$IB$108</f>
        <v>2805.9305999999997</v>
      </c>
      <c r="K72" s="458">
        <f>'ANALYSE - ERP =&gt; SOUS-SEGMENT'!$IC$108</f>
        <v>603.77160000000003</v>
      </c>
      <c r="L72" s="458">
        <f>'ANALYSE - ERP =&gt; SOUS-SEGMENT'!$ID$108</f>
        <v>9.6750000000000007</v>
      </c>
      <c r="N72" s="458">
        <f>'ANALYSE - ERP =&gt; SOUS-SEGMENT'!$IF$108</f>
        <v>0</v>
      </c>
      <c r="O72" s="458">
        <f>'ANALYSE - ERP =&gt; SOUS-SEGMENT'!$IG$108</f>
        <v>25.694875766035743</v>
      </c>
      <c r="P72" s="458">
        <f>'ANALYSE - ERP =&gt; SOUS-SEGMENT'!$IH$108</f>
        <v>150.88763011914455</v>
      </c>
      <c r="Q72" s="458">
        <f>'ANALYSE - ERP =&gt; SOUS-SEGMENT'!$II$108</f>
        <v>96.234781249225477</v>
      </c>
      <c r="R72" s="458">
        <f>'ANALYSE - ERP =&gt; SOUS-SEGMENT'!$IJ$108</f>
        <v>6.8364176029679875</v>
      </c>
      <c r="T72" s="430">
        <f>'ANALYSE - ERP =&gt; SOUS-SEGMENT'!$Q$108</f>
        <v>1</v>
      </c>
    </row>
    <row r="73" spans="1:20" s="45" customFormat="1" ht="15" customHeight="1">
      <c r="A73" s="26">
        <v>70</v>
      </c>
      <c r="B73" s="26">
        <v>69</v>
      </c>
      <c r="C73" s="422">
        <f>'ANALYSE - ERP =&gt; SOUS-SEGMENT'!$A$114</f>
        <v>107</v>
      </c>
      <c r="D73" s="410" t="str">
        <f>'ANALYSE - ERP =&gt; SOUS-SEGMENT'!$B$114</f>
        <v>Culte, Vie civique &amp; Services publics</v>
      </c>
      <c r="E73" s="410" t="str">
        <f>'ANALYSE - ERP =&gt; SOUS-SEGMENT'!$C$114</f>
        <v>Culte</v>
      </c>
      <c r="F73" s="410" t="str">
        <f>'ANALYSE - ERP =&gt; SOUS-SEGMENT'!$D$114</f>
        <v>Monastères, abbayes et couvents ouverts au public</v>
      </c>
      <c r="G73" s="685"/>
      <c r="H73" s="458">
        <f>'ANALYSE - ERP =&gt; SOUS-SEGMENT'!$HZ$114</f>
        <v>494.96</v>
      </c>
      <c r="I73" s="458">
        <f>'ANALYSE - ERP =&gt; SOUS-SEGMENT'!$IA$114</f>
        <v>2571.92</v>
      </c>
      <c r="J73" s="458">
        <f>'ANALYSE - ERP =&gt; SOUS-SEGMENT'!$IB$114</f>
        <v>1603.88</v>
      </c>
      <c r="K73" s="458">
        <f>'ANALYSE - ERP =&gt; SOUS-SEGMENT'!$IC$114</f>
        <v>129.24</v>
      </c>
      <c r="L73" s="458">
        <f>'ANALYSE - ERP =&gt; SOUS-SEGMENT'!$ID$114</f>
        <v>0</v>
      </c>
      <c r="M73" s="685"/>
      <c r="N73" s="458">
        <f>'ANALYSE - ERP =&gt; SOUS-SEGMENT'!$IF$114</f>
        <v>175.42232337500002</v>
      </c>
      <c r="O73" s="458">
        <f>'ANALYSE - ERP =&gt; SOUS-SEGMENT'!$IG$114</f>
        <v>1022.23562075</v>
      </c>
      <c r="P73" s="458">
        <f>'ANALYSE - ERP =&gt; SOUS-SEGMENT'!$IH$114</f>
        <v>685.67782099999999</v>
      </c>
      <c r="Q73" s="458">
        <f>'ANALYSE - ERP =&gt; SOUS-SEGMENT'!$II$114</f>
        <v>80.563332875</v>
      </c>
      <c r="R73" s="458">
        <f>'ANALYSE - ERP =&gt; SOUS-SEGMENT'!$IJ$114</f>
        <v>6.3046520000000008</v>
      </c>
      <c r="S73" s="685"/>
      <c r="T73" s="430">
        <f>'ANALYSE - ERP =&gt; SOUS-SEGMENT'!$Q$114</f>
        <v>1</v>
      </c>
    </row>
    <row r="74" spans="1:20" ht="15" customHeight="1">
      <c r="A74" s="26">
        <v>71</v>
      </c>
      <c r="B74" s="26">
        <v>73</v>
      </c>
      <c r="C74" s="422">
        <f>'ANALYSE - ERP =&gt; SOUS-SEGMENT'!$A$81</f>
        <v>74</v>
      </c>
      <c r="D74" s="417" t="str">
        <f>'ANALYSE - ERP =&gt; SOUS-SEGMENT'!$B$81</f>
        <v>Commerce, Restauration &amp; Loisirs</v>
      </c>
      <c r="E74" s="417" t="str">
        <f>'ANALYSE - ERP =&gt; SOUS-SEGMENT'!$C$81</f>
        <v>Commerce</v>
      </c>
      <c r="F74" s="417" t="str">
        <f>'ANALYSE - ERP =&gt; SOUS-SEGMENT'!$D$81</f>
        <v>Marchés couverts</v>
      </c>
      <c r="H74" s="458">
        <f>'ANALYSE - ERP =&gt; SOUS-SEGMENT'!$HZ$81</f>
        <v>2267.5640000000003</v>
      </c>
      <c r="I74" s="458">
        <f>'ANALYSE - ERP =&gt; SOUS-SEGMENT'!$IA$81</f>
        <v>6228.2479999999996</v>
      </c>
      <c r="J74" s="458">
        <f>'ANALYSE - ERP =&gt; SOUS-SEGMENT'!$IB$81</f>
        <v>2422.6799999999998</v>
      </c>
      <c r="K74" s="458">
        <f>'ANALYSE - ERP =&gt; SOUS-SEGMENT'!$IC$81</f>
        <v>0</v>
      </c>
      <c r="L74" s="458">
        <f>'ANALYSE - ERP =&gt; SOUS-SEGMENT'!$ID$81</f>
        <v>1.508</v>
      </c>
      <c r="N74" s="458">
        <f>'ANALYSE - ERP =&gt; SOUS-SEGMENT'!$IF$81</f>
        <v>514.27176066852576</v>
      </c>
      <c r="O74" s="458">
        <f>'ANALYSE - ERP =&gt; SOUS-SEGMENT'!$IG$81</f>
        <v>2295.9473852539541</v>
      </c>
      <c r="P74" s="458">
        <f>'ANALYSE - ERP =&gt; SOUS-SEGMENT'!$IH$81</f>
        <v>1539.8276927960924</v>
      </c>
      <c r="Q74" s="458">
        <f>'ANALYSE - ERP =&gt; SOUS-SEGMENT'!$II$81</f>
        <v>51.188482948160598</v>
      </c>
      <c r="R74" s="458">
        <f>'ANALYSE - ERP =&gt; SOUS-SEGMENT'!$IJ$81</f>
        <v>2.8932617726606056</v>
      </c>
      <c r="T74" s="430">
        <f>'ANALYSE - ERP =&gt; SOUS-SEGMENT'!$Q$81</f>
        <v>1</v>
      </c>
    </row>
    <row r="75" spans="1:20" ht="15" customHeight="1">
      <c r="A75" s="26">
        <v>72</v>
      </c>
      <c r="B75" s="26">
        <v>74</v>
      </c>
      <c r="C75" s="422">
        <f>'ANALYSE - ERP =&gt; SOUS-SEGMENT'!$A$135</f>
        <v>128</v>
      </c>
      <c r="D75" s="410" t="str">
        <f>'ANALYSE - ERP =&gt; SOUS-SEGMENT'!$B$135</f>
        <v>Sécurité &amp; Justice</v>
      </c>
      <c r="E75" s="410" t="str">
        <f>'ANALYSE - ERP =&gt; SOUS-SEGMENT'!$C$135</f>
        <v>Forces armées</v>
      </c>
      <c r="F75" s="410" t="str">
        <f>'ANALYSE - ERP =&gt; SOUS-SEGMENT'!$D$135</f>
        <v>Unités d'hébergement des militaires &amp; réservistes</v>
      </c>
      <c r="H75" s="458">
        <f>'ANALYSE - ERP =&gt; SOUS-SEGMENT'!$HZ$135</f>
        <v>1007.8856</v>
      </c>
      <c r="I75" s="458">
        <f>'ANALYSE - ERP =&gt; SOUS-SEGMENT'!$IA$135</f>
        <v>7405.7351999999992</v>
      </c>
      <c r="J75" s="458">
        <f>'ANALYSE - ERP =&gt; SOUS-SEGMENT'!$IB$135</f>
        <v>4140.0056000000004</v>
      </c>
      <c r="K75" s="458">
        <f>'ANALYSE - ERP =&gt; SOUS-SEGMENT'!$IC$135</f>
        <v>174.37359999999998</v>
      </c>
      <c r="L75" s="458">
        <f>'ANALYSE - ERP =&gt; SOUS-SEGMENT'!$ID$135</f>
        <v>0</v>
      </c>
      <c r="N75" s="458">
        <f>'ANALYSE - ERP =&gt; SOUS-SEGMENT'!$IF$135</f>
        <v>154.71217377993867</v>
      </c>
      <c r="O75" s="458">
        <f>'ANALYSE - ERP =&gt; SOUS-SEGMENT'!$IG$135</f>
        <v>2090.5166005986648</v>
      </c>
      <c r="P75" s="458">
        <f>'ANALYSE - ERP =&gt; SOUS-SEGMENT'!$IH$135</f>
        <v>2157.5435873675679</v>
      </c>
      <c r="Q75" s="458">
        <f>'ANALYSE - ERP =&gt; SOUS-SEGMENT'!$II$135</f>
        <v>168.41236901851974</v>
      </c>
      <c r="R75" s="458">
        <f>'ANALYSE - ERP =&gt; SOUS-SEGMENT'!$IJ$135</f>
        <v>0.87671864136921207</v>
      </c>
      <c r="T75" s="430">
        <f>'ANALYSE - ERP =&gt; SOUS-SEGMENT'!$Q$135</f>
        <v>1</v>
      </c>
    </row>
    <row r="76" spans="1:20" ht="15" customHeight="1">
      <c r="A76" s="26">
        <v>73</v>
      </c>
      <c r="B76" s="26">
        <v>71</v>
      </c>
      <c r="C76" s="422">
        <f>'ANALYSE - ERP =&gt; SOUS-SEGMENT'!$A$105</f>
        <v>98</v>
      </c>
      <c r="D76" s="410" t="str">
        <f>'ANALYSE - ERP =&gt; SOUS-SEGMENT'!$B$105</f>
        <v>Culte, Vie civique &amp; Services publics</v>
      </c>
      <c r="E76" s="410" t="str">
        <f>'ANALYSE - ERP =&gt; SOUS-SEGMENT'!$C$105</f>
        <v>Administrations / services publics</v>
      </c>
      <c r="F76" s="410" t="str">
        <f>'ANALYSE - ERP =&gt; SOUS-SEGMENT'!$D$105</f>
        <v>Préfectures / services administratifs</v>
      </c>
      <c r="H76" s="458">
        <f>'ANALYSE - ERP =&gt; SOUS-SEGMENT'!$HZ$105</f>
        <v>283.69960000000003</v>
      </c>
      <c r="I76" s="458">
        <f>'ANALYSE - ERP =&gt; SOUS-SEGMENT'!$IA$105</f>
        <v>4743.7351999999992</v>
      </c>
      <c r="J76" s="458">
        <f>'ANALYSE - ERP =&gt; SOUS-SEGMENT'!$IB$105</f>
        <v>5833.2432000000008</v>
      </c>
      <c r="K76" s="458">
        <f>'ANALYSE - ERP =&gt; SOUS-SEGMENT'!$IC$105</f>
        <v>1147.8912</v>
      </c>
      <c r="L76" s="458">
        <f>'ANALYSE - ERP =&gt; SOUS-SEGMENT'!$ID$105</f>
        <v>15.4308</v>
      </c>
      <c r="N76" s="458">
        <f>'ANALYSE - ERP =&gt; SOUS-SEGMENT'!$IF$105</f>
        <v>7.0510084973179499</v>
      </c>
      <c r="O76" s="458">
        <f>'ANALYSE - ERP =&gt; SOUS-SEGMENT'!$IG$105</f>
        <v>1137.7164312820653</v>
      </c>
      <c r="P76" s="458">
        <f>'ANALYSE - ERP =&gt; SOUS-SEGMENT'!$IH$105</f>
        <v>2423.6544643622942</v>
      </c>
      <c r="Q76" s="458">
        <f>'ANALYSE - ERP =&gt; SOUS-SEGMENT'!$II$105</f>
        <v>709.62366303521344</v>
      </c>
      <c r="R76" s="458">
        <f>'ANALYSE - ERP =&gt; SOUS-SEGMENT'!$IJ$105</f>
        <v>19.233426302768105</v>
      </c>
      <c r="T76" s="430">
        <f>'ANALYSE - ERP =&gt; SOUS-SEGMENT'!$Q$105</f>
        <v>1</v>
      </c>
    </row>
    <row r="77" spans="1:20" ht="15" customHeight="1">
      <c r="A77" s="26">
        <v>74</v>
      </c>
      <c r="B77" s="26">
        <v>72</v>
      </c>
      <c r="C77" s="422">
        <f>'ANALYSE - ERP =&gt; SOUS-SEGMENT'!$A$124</f>
        <v>117</v>
      </c>
      <c r="D77" s="410" t="str">
        <f>'ANALYSE - ERP =&gt; SOUS-SEGMENT'!$B$124</f>
        <v>Transport, Mobilité &amp; Stationnement</v>
      </c>
      <c r="E77" s="410" t="str">
        <f>'ANALYSE - ERP =&gt; SOUS-SEGMENT'!$C$124</f>
        <v>Transport / Mobilité</v>
      </c>
      <c r="F77" s="410" t="str">
        <f>'ANALYSE - ERP =&gt; SOUS-SEGMENT'!$D$124</f>
        <v>Aéroports / aérogares
(&gt;1 000 passagers/an)</v>
      </c>
      <c r="H77" s="458">
        <f>'ANALYSE - ERP =&gt; SOUS-SEGMENT'!$HZ$124</f>
        <v>0</v>
      </c>
      <c r="I77" s="458">
        <f>'ANALYSE - ERP =&gt; SOUS-SEGMENT'!$IA$124</f>
        <v>1165.2483999999999</v>
      </c>
      <c r="J77" s="458">
        <f>'ANALYSE - ERP =&gt; SOUS-SEGMENT'!$IB$124</f>
        <v>5752.3529999999992</v>
      </c>
      <c r="K77" s="458">
        <f>'ANALYSE - ERP =&gt; SOUS-SEGMENT'!$IC$124</f>
        <v>5687.1812000000009</v>
      </c>
      <c r="L77" s="458">
        <f>'ANALYSE - ERP =&gt; SOUS-SEGMENT'!$ID$124</f>
        <v>789.2174</v>
      </c>
      <c r="N77" s="458">
        <f>'ANALYSE - ERP =&gt; SOUS-SEGMENT'!$IF$124</f>
        <v>0</v>
      </c>
      <c r="O77" s="458">
        <f>'ANALYSE - ERP =&gt; SOUS-SEGMENT'!$IG$124</f>
        <v>301.91411645515427</v>
      </c>
      <c r="P77" s="458">
        <f>'ANALYSE - ERP =&gt; SOUS-SEGMENT'!$IH$124</f>
        <v>1773.9199285103678</v>
      </c>
      <c r="Q77" s="458">
        <f>'ANALYSE - ERP =&gt; SOUS-SEGMENT'!$II$124</f>
        <v>3139.8611688122301</v>
      </c>
      <c r="R77" s="458">
        <f>'ANALYSE - ERP =&gt; SOUS-SEGMENT'!$IJ$124</f>
        <v>846.60633344270241</v>
      </c>
      <c r="T77" s="430">
        <f>'ANALYSE - ERP =&gt; SOUS-SEGMENT'!$Q$124</f>
        <v>1</v>
      </c>
    </row>
    <row r="78" spans="1:20" ht="15" customHeight="1">
      <c r="A78" s="26">
        <v>75</v>
      </c>
      <c r="B78" s="26">
        <v>76</v>
      </c>
      <c r="C78" s="422">
        <f>'ANALYSE - ERP =&gt; SOUS-SEGMENT'!$A$72</f>
        <v>65</v>
      </c>
      <c r="D78" s="410" t="str">
        <f>'ANALYSE - ERP =&gt; SOUS-SEGMENT'!$B$72</f>
        <v>Culture, Patrimoine &amp; Evénementiel</v>
      </c>
      <c r="E78" s="410" t="str">
        <f>'ANALYSE - ERP =&gt; SOUS-SEGMENT'!$C$72</f>
        <v>Événementiel temporaire</v>
      </c>
      <c r="F78" s="410" t="str">
        <f>'ANALYSE - ERP =&gt; SOUS-SEGMENT'!$D$72</f>
        <v>Chapiteaux / Tentes / Structures</v>
      </c>
      <c r="H78" s="458">
        <f>'ANALYSE - ERP =&gt; SOUS-SEGMENT'!$HZ$72</f>
        <v>231.12</v>
      </c>
      <c r="I78" s="458">
        <f>'ANALYSE - ERP =&gt; SOUS-SEGMENT'!$IA$72</f>
        <v>2865.69</v>
      </c>
      <c r="J78" s="458">
        <f>'ANALYSE - ERP =&gt; SOUS-SEGMENT'!$IB$72</f>
        <v>3245.58</v>
      </c>
      <c r="K78" s="458">
        <f>'ANALYSE - ERP =&gt; SOUS-SEGMENT'!$IC$72</f>
        <v>407.61</v>
      </c>
      <c r="L78" s="458">
        <f>'ANALYSE - ERP =&gt; SOUS-SEGMENT'!$ID$72</f>
        <v>0</v>
      </c>
      <c r="N78" s="458">
        <f>'ANALYSE - ERP =&gt; SOUS-SEGMENT'!$IF$72</f>
        <v>30.385736446474056</v>
      </c>
      <c r="O78" s="458">
        <f>'ANALYSE - ERP =&gt; SOUS-SEGMENT'!$IG$72</f>
        <v>716.49659850340527</v>
      </c>
      <c r="P78" s="458">
        <f>'ANALYSE - ERP =&gt; SOUS-SEGMENT'!$IH$72</f>
        <v>877.19260598385745</v>
      </c>
      <c r="Q78" s="458">
        <f>'ANALYSE - ERP =&gt; SOUS-SEGMENT'!$II$72</f>
        <v>136.58279650708971</v>
      </c>
      <c r="R78" s="458">
        <f>'ANALYSE - ERP =&gt; SOUS-SEGMENT'!$IJ$72</f>
        <v>6.7160202793366199</v>
      </c>
      <c r="T78" s="430">
        <f>'ANALYSE - ERP =&gt; SOUS-SEGMENT'!$Q$72</f>
        <v>1</v>
      </c>
    </row>
    <row r="79" spans="1:20" ht="15" customHeight="1">
      <c r="A79" s="26">
        <v>76</v>
      </c>
      <c r="B79" s="26">
        <v>75</v>
      </c>
      <c r="C79" s="422">
        <f>'ANALYSE - ERP =&gt; SOUS-SEGMENT'!$A$140</f>
        <v>133</v>
      </c>
      <c r="D79" s="410" t="str">
        <f>'ANALYSE - ERP =&gt; SOUS-SEGMENT'!$B$140</f>
        <v>Sécurité &amp; Justice</v>
      </c>
      <c r="E79" s="410" t="str">
        <f>'ANALYSE - ERP =&gt; SOUS-SEGMENT'!$C$140</f>
        <v>Univers carcéral</v>
      </c>
      <c r="F79" s="410" t="str">
        <f>'ANALYSE - ERP =&gt; SOUS-SEGMENT'!$D$140</f>
        <v>Centres de détention</v>
      </c>
      <c r="H79" s="458">
        <f>'ANALYSE - ERP =&gt; SOUS-SEGMENT'!$HZ$140</f>
        <v>1525.5674999999999</v>
      </c>
      <c r="I79" s="458">
        <f>'ANALYSE - ERP =&gt; SOUS-SEGMENT'!$IA$140</f>
        <v>6857.59</v>
      </c>
      <c r="J79" s="458">
        <f>'ANALYSE - ERP =&gt; SOUS-SEGMENT'!$IB$140</f>
        <v>1666.8425</v>
      </c>
      <c r="K79" s="458">
        <f>'ANALYSE - ERP =&gt; SOUS-SEGMENT'!$IC$140</f>
        <v>0</v>
      </c>
      <c r="L79" s="458">
        <f>'ANALYSE - ERP =&gt; SOUS-SEGMENT'!$ID$140</f>
        <v>0</v>
      </c>
      <c r="N79" s="458">
        <f>'ANALYSE - ERP =&gt; SOUS-SEGMENT'!$IF$140</f>
        <v>317.65013215909084</v>
      </c>
      <c r="O79" s="458">
        <f>'ANALYSE - ERP =&gt; SOUS-SEGMENT'!$IG$140</f>
        <v>2771.6911927556821</v>
      </c>
      <c r="P79" s="458">
        <f>'ANALYSE - ERP =&gt; SOUS-SEGMENT'!$IH$140</f>
        <v>1288.5873682670453</v>
      </c>
      <c r="Q79" s="458">
        <f>'ANALYSE - ERP =&gt; SOUS-SEGMENT'!$II$140</f>
        <v>0</v>
      </c>
      <c r="R79" s="458">
        <f>'ANALYSE - ERP =&gt; SOUS-SEGMENT'!$IJ$140</f>
        <v>0</v>
      </c>
      <c r="T79" s="430">
        <f>'ANALYSE - ERP =&gt; SOUS-SEGMENT'!$Q$140</f>
        <v>1</v>
      </c>
    </row>
    <row r="80" spans="1:20" ht="15" customHeight="1">
      <c r="A80" s="26">
        <v>77</v>
      </c>
      <c r="B80" s="26">
        <v>77</v>
      </c>
      <c r="C80" s="422">
        <f>'ANALYSE - ERP =&gt; SOUS-SEGMENT'!$A$146</f>
        <v>139</v>
      </c>
      <c r="D80" s="411" t="str">
        <f>'ANALYSE - ERP =&gt; SOUS-SEGMENT'!$B$146</f>
        <v>Sécurité &amp; Justice</v>
      </c>
      <c r="E80" s="411" t="str">
        <f>'ANALYSE - ERP =&gt; SOUS-SEGMENT'!$C$146</f>
        <v>Tribunaux</v>
      </c>
      <c r="F80" s="411" t="str">
        <f>'ANALYSE - ERP =&gt; SOUS-SEGMENT'!$D$146</f>
        <v>Palais de justice et bâtiments judiciaires multi-usages</v>
      </c>
      <c r="H80" s="458">
        <f>'ANALYSE - ERP =&gt; SOUS-SEGMENT'!$HZ$146</f>
        <v>25.141199999999998</v>
      </c>
      <c r="I80" s="458">
        <f>'ANALYSE - ERP =&gt; SOUS-SEGMENT'!$IA$146</f>
        <v>2065.0223999999998</v>
      </c>
      <c r="J80" s="458">
        <f>'ANALYSE - ERP =&gt; SOUS-SEGMENT'!$IB$146</f>
        <v>4301.3263999999999</v>
      </c>
      <c r="K80" s="458">
        <f>'ANALYSE - ERP =&gt; SOUS-SEGMENT'!$IC$146</f>
        <v>1425.5864000000001</v>
      </c>
      <c r="L80" s="458">
        <f>'ANALYSE - ERP =&gt; SOUS-SEGMENT'!$ID$146</f>
        <v>54.923600000000008</v>
      </c>
      <c r="N80" s="458">
        <f>'ANALYSE - ERP =&gt; SOUS-SEGMENT'!$IF$146</f>
        <v>0</v>
      </c>
      <c r="O80" s="458">
        <f>'ANALYSE - ERP =&gt; SOUS-SEGMENT'!$IG$146</f>
        <v>459.69618830474229</v>
      </c>
      <c r="P80" s="458">
        <f>'ANALYSE - ERP =&gt; SOUS-SEGMENT'!$IH$146</f>
        <v>1566.6448290320063</v>
      </c>
      <c r="Q80" s="458">
        <f>'ANALYSE - ERP =&gt; SOUS-SEGMENT'!$II$146</f>
        <v>784.16727377171787</v>
      </c>
      <c r="R80" s="458">
        <f>'ANALYSE - ERP =&gt; SOUS-SEGMENT'!$IJ$146</f>
        <v>51.045060891533332</v>
      </c>
      <c r="T80" s="430">
        <f>'ANALYSE - ERP =&gt; SOUS-SEGMENT'!$Q$146</f>
        <v>1</v>
      </c>
    </row>
    <row r="81" spans="1:20" ht="15" customHeight="1">
      <c r="A81" s="26">
        <v>78</v>
      </c>
      <c r="B81" s="26">
        <v>78</v>
      </c>
      <c r="C81" s="422">
        <f>'ANALYSE - ERP =&gt; SOUS-SEGMENT'!$A$91</f>
        <v>84</v>
      </c>
      <c r="D81" s="411" t="str">
        <f>'ANALYSE - ERP =&gt; SOUS-SEGMENT'!$B$91</f>
        <v>Hébergement Touristique</v>
      </c>
      <c r="E81" s="411" t="str">
        <f>'ANALYSE - ERP =&gt; SOUS-SEGMENT'!$C$91</f>
        <v>Hébergement Touristique</v>
      </c>
      <c r="F81" s="411" t="str">
        <f>'ANALYSE - ERP =&gt; SOUS-SEGMENT'!$D$91</f>
        <v>Pensions de famille</v>
      </c>
      <c r="H81" s="458">
        <f>'ANALYSE - ERP =&gt; SOUS-SEGMENT'!$HZ$91</f>
        <v>340.875</v>
      </c>
      <c r="I81" s="458">
        <f>'ANALYSE - ERP =&gt; SOUS-SEGMENT'!$IA$91</f>
        <v>2694.4578000000001</v>
      </c>
      <c r="J81" s="458">
        <f>'ANALYSE - ERP =&gt; SOUS-SEGMENT'!$IB$91</f>
        <v>3153.4573500000001</v>
      </c>
      <c r="K81" s="458">
        <f>'ANALYSE - ERP =&gt; SOUS-SEGMENT'!$IC$91</f>
        <v>608.30280000000005</v>
      </c>
      <c r="L81" s="458">
        <f>'ANALYSE - ERP =&gt; SOUS-SEGMENT'!$ID$91</f>
        <v>20.407049999999998</v>
      </c>
      <c r="N81" s="458">
        <f>'ANALYSE - ERP =&gt; SOUS-SEGMENT'!$IF$91</f>
        <v>31.975782674454546</v>
      </c>
      <c r="O81" s="458">
        <f>'ANALYSE - ERP =&gt; SOUS-SEGMENT'!$IG$91</f>
        <v>596.98026712346586</v>
      </c>
      <c r="P81" s="458">
        <f>'ANALYSE - ERP =&gt; SOUS-SEGMENT'!$IH$91</f>
        <v>1175.4115989988977</v>
      </c>
      <c r="Q81" s="458">
        <f>'ANALYSE - ERP =&gt; SOUS-SEGMENT'!$II$91</f>
        <v>385.64306148773863</v>
      </c>
      <c r="R81" s="458">
        <f>'ANALYSE - ERP =&gt; SOUS-SEGMENT'!$IJ$91</f>
        <v>22.139694601806813</v>
      </c>
      <c r="T81" s="430">
        <f>'ANALYSE - ERP =&gt; SOUS-SEGMENT'!$Q$91</f>
        <v>1</v>
      </c>
    </row>
    <row r="82" spans="1:20" ht="15" customHeight="1">
      <c r="A82" s="26">
        <v>79</v>
      </c>
      <c r="B82" s="26">
        <v>79</v>
      </c>
      <c r="C82" s="422">
        <f>'ANALYSE - ERP =&gt; SOUS-SEGMENT'!$A$127</f>
        <v>120</v>
      </c>
      <c r="D82" s="411" t="str">
        <f>'ANALYSE - ERP =&gt; SOUS-SEGMENT'!$B$127</f>
        <v>Transport, Mobilité &amp; Stationnement</v>
      </c>
      <c r="E82" s="411" t="str">
        <f>'ANALYSE - ERP =&gt; SOUS-SEGMENT'!$C$127</f>
        <v>Transport / Mobilité</v>
      </c>
      <c r="F82" s="411" t="str">
        <f>'ANALYSE - ERP =&gt; SOUS-SEGMENT'!$D$127</f>
        <v>Terminaux maritimes / fluviaux</v>
      </c>
      <c r="H82" s="458">
        <f>'ANALYSE - ERP =&gt; SOUS-SEGMENT'!$HZ$127</f>
        <v>0</v>
      </c>
      <c r="I82" s="458">
        <f>'ANALYSE - ERP =&gt; SOUS-SEGMENT'!$IA$127</f>
        <v>690.54780000000005</v>
      </c>
      <c r="J82" s="458">
        <f>'ANALYSE - ERP =&gt; SOUS-SEGMENT'!$IB$127</f>
        <v>3251.0770000000002</v>
      </c>
      <c r="K82" s="458">
        <f>'ANALYSE - ERP =&gt; SOUS-SEGMENT'!$IC$127</f>
        <v>2828.5661999999998</v>
      </c>
      <c r="L82" s="458">
        <f>'ANALYSE - ERP =&gt; SOUS-SEGMENT'!$ID$127</f>
        <v>309.80899999999997</v>
      </c>
      <c r="N82" s="458">
        <f>'ANALYSE - ERP =&gt; SOUS-SEGMENT'!$IF$127</f>
        <v>0</v>
      </c>
      <c r="O82" s="458">
        <f>'ANALYSE - ERP =&gt; SOUS-SEGMENT'!$IG$127</f>
        <v>142.12594431209223</v>
      </c>
      <c r="P82" s="458">
        <f>'ANALYSE - ERP =&gt; SOUS-SEGMENT'!$IH$127</f>
        <v>836.68163940544855</v>
      </c>
      <c r="Q82" s="458">
        <f>'ANALYSE - ERP =&gt; SOUS-SEGMENT'!$II$127</f>
        <v>1430.9670883356148</v>
      </c>
      <c r="R82" s="458">
        <f>'ANALYSE - ERP =&gt; SOUS-SEGMENT'!$IJ$127</f>
        <v>389.43399862601109</v>
      </c>
      <c r="T82" s="430">
        <f>'ANALYSE - ERP =&gt; SOUS-SEGMENT'!$Q$127</f>
        <v>1</v>
      </c>
    </row>
    <row r="83" spans="1:20" ht="15" customHeight="1">
      <c r="A83" s="26">
        <v>80</v>
      </c>
      <c r="B83" s="26">
        <v>80</v>
      </c>
      <c r="C83" s="422">
        <f>'ANALYSE - ERP =&gt; SOUS-SEGMENT'!$A$71</f>
        <v>64</v>
      </c>
      <c r="D83" s="415" t="str">
        <f>'ANALYSE - ERP =&gt; SOUS-SEGMENT'!$B$71</f>
        <v>Culture, Patrimoine &amp; Evénementiel</v>
      </c>
      <c r="E83" s="415" t="str">
        <f>'ANALYSE - ERP =&gt; SOUS-SEGMENT'!$C$71</f>
        <v>Expositions / salons</v>
      </c>
      <c r="F83" s="415" t="str">
        <f>'ANALYSE - ERP =&gt; SOUS-SEGMENT'!$D$71</f>
        <v>Halls d’exposition</v>
      </c>
      <c r="H83" s="458">
        <f>'ANALYSE - ERP =&gt; SOUS-SEGMENT'!$HZ$71</f>
        <v>0.27900000000000003</v>
      </c>
      <c r="I83" s="458">
        <f>'ANALYSE - ERP =&gt; SOUS-SEGMENT'!$IA$71</f>
        <v>818.23260000000005</v>
      </c>
      <c r="J83" s="458">
        <f>'ANALYSE - ERP =&gt; SOUS-SEGMENT'!$IB$71</f>
        <v>2811.5945999999999</v>
      </c>
      <c r="K83" s="458">
        <f>'ANALYSE - ERP =&gt; SOUS-SEGMENT'!$IC$71</f>
        <v>1932.6516000000001</v>
      </c>
      <c r="L83" s="458">
        <f>'ANALYSE - ERP =&gt; SOUS-SEGMENT'!$ID$71</f>
        <v>265.24220000000003</v>
      </c>
      <c r="N83" s="458">
        <f>'ANALYSE - ERP =&gt; SOUS-SEGMENT'!$IF$71</f>
        <v>0</v>
      </c>
      <c r="O83" s="458">
        <f>'ANALYSE - ERP =&gt; SOUS-SEGMENT'!$IG$71</f>
        <v>113.83954526138507</v>
      </c>
      <c r="P83" s="458">
        <f>'ANALYSE - ERP =&gt; SOUS-SEGMENT'!$IH$71</f>
        <v>758.08111404772865</v>
      </c>
      <c r="Q83" s="458">
        <f>'ANALYSE - ERP =&gt; SOUS-SEGMENT'!$II$71</f>
        <v>834.1352594436064</v>
      </c>
      <c r="R83" s="458">
        <f>'ANALYSE - ERP =&gt; SOUS-SEGMENT'!$IJ$71</f>
        <v>190.12500336072981</v>
      </c>
      <c r="T83" s="430">
        <f>'ANALYSE - ERP =&gt; SOUS-SEGMENT'!$Q$71</f>
        <v>1</v>
      </c>
    </row>
    <row r="84" spans="1:20" ht="15" customHeight="1">
      <c r="A84" s="26">
        <v>81</v>
      </c>
      <c r="B84" s="26">
        <v>81</v>
      </c>
      <c r="C84" s="422">
        <f>'ANALYSE - ERP =&gt; SOUS-SEGMENT'!$A$132</f>
        <v>125</v>
      </c>
      <c r="D84" s="417" t="str">
        <f>'ANALYSE - ERP =&gt; SOUS-SEGMENT'!$B$132</f>
        <v>Sécurité &amp; Justice</v>
      </c>
      <c r="E84" s="417" t="str">
        <f>'ANALYSE - ERP =&gt; SOUS-SEGMENT'!$C$132</f>
        <v xml:space="preserve">Commissariats / postes de police </v>
      </c>
      <c r="F84" s="417" t="str">
        <f>'ANALYSE - ERP =&gt; SOUS-SEGMENT'!$D$132</f>
        <v>Locaux de sûreté, garde à vue et zones opérationnelles</v>
      </c>
      <c r="H84" s="458">
        <f>'ANALYSE - ERP =&gt; SOUS-SEGMENT'!$HZ$132</f>
        <v>542.66719999999998</v>
      </c>
      <c r="I84" s="458">
        <f>'ANALYSE - ERP =&gt; SOUS-SEGMENT'!$IA$132</f>
        <v>3399.6503999999995</v>
      </c>
      <c r="J84" s="458">
        <f>'ANALYSE - ERP =&gt; SOUS-SEGMENT'!$IB$132</f>
        <v>1737.6824000000001</v>
      </c>
      <c r="K84" s="458">
        <f>'ANALYSE - ERP =&gt; SOUS-SEGMENT'!$IC$132</f>
        <v>0</v>
      </c>
      <c r="L84" s="458">
        <f>'ANALYSE - ERP =&gt; SOUS-SEGMENT'!$ID$132</f>
        <v>0</v>
      </c>
      <c r="N84" s="458">
        <f>'ANALYSE - ERP =&gt; SOUS-SEGMENT'!$IF$132</f>
        <v>115.09378334581029</v>
      </c>
      <c r="O84" s="458">
        <f>'ANALYSE - ERP =&gt; SOUS-SEGMENT'!$IG$132</f>
        <v>1131.4280761947437</v>
      </c>
      <c r="P84" s="458">
        <f>'ANALYSE - ERP =&gt; SOUS-SEGMENT'!$IH$132</f>
        <v>918.90441306694606</v>
      </c>
      <c r="Q84" s="458">
        <f>'ANALYSE - ERP =&gt; SOUS-SEGMENT'!$II$132</f>
        <v>0</v>
      </c>
      <c r="R84" s="458">
        <f>'ANALYSE - ERP =&gt; SOUS-SEGMENT'!$IJ$132</f>
        <v>0</v>
      </c>
      <c r="T84" s="430">
        <f>'ANALYSE - ERP =&gt; SOUS-SEGMENT'!$Q$132</f>
        <v>1</v>
      </c>
    </row>
    <row r="85" spans="1:20" ht="15" customHeight="1">
      <c r="A85" s="26">
        <v>82</v>
      </c>
      <c r="B85" s="26">
        <v>82</v>
      </c>
      <c r="C85" s="422">
        <f>'ANALYSE - ERP =&gt; SOUS-SEGMENT'!$A$118</f>
        <v>111</v>
      </c>
      <c r="D85" s="415" t="str">
        <f>'ANALYSE - ERP =&gt; SOUS-SEGMENT'!$B$118</f>
        <v>Culte, Vie civique &amp; Services publics</v>
      </c>
      <c r="E85" s="415" t="str">
        <f>'ANALYSE - ERP =&gt; SOUS-SEGMENT'!$C$118</f>
        <v>Culte</v>
      </c>
      <c r="F85" s="415" t="str">
        <f>'ANALYSE - ERP =&gt; SOUS-SEGMENT'!$D$118</f>
        <v>Temples bouddhistes, hindous et autres lieux de culte non abrahamiques ouverts au public</v>
      </c>
      <c r="H85" s="458">
        <f>'ANALYSE - ERP =&gt; SOUS-SEGMENT'!$HZ$118</f>
        <v>313.69499999999999</v>
      </c>
      <c r="I85" s="458">
        <f>'ANALYSE - ERP =&gt; SOUS-SEGMENT'!$IA$118</f>
        <v>1581.7275</v>
      </c>
      <c r="J85" s="458">
        <f>'ANALYSE - ERP =&gt; SOUS-SEGMENT'!$IB$118</f>
        <v>953.12250000000017</v>
      </c>
      <c r="K85" s="458">
        <f>'ANALYSE - ERP =&gt; SOUS-SEGMENT'!$IC$118</f>
        <v>76.454999999999998</v>
      </c>
      <c r="L85" s="458">
        <f>'ANALYSE - ERP =&gt; SOUS-SEGMENT'!$ID$118</f>
        <v>0</v>
      </c>
      <c r="N85" s="458">
        <f>'ANALYSE - ERP =&gt; SOUS-SEGMENT'!$IF$118</f>
        <v>55.254654423076914</v>
      </c>
      <c r="O85" s="458">
        <f>'ANALYSE - ERP =&gt; SOUS-SEGMENT'!$IG$118</f>
        <v>308.02336232307687</v>
      </c>
      <c r="P85" s="458">
        <f>'ANALYSE - ERP =&gt; SOUS-SEGMENT'!$IH$118</f>
        <v>197.94887377692305</v>
      </c>
      <c r="Q85" s="458">
        <f>'ANALYSE - ERP =&gt; SOUS-SEGMENT'!$II$118</f>
        <v>23.457114276923072</v>
      </c>
      <c r="R85" s="458">
        <f>'ANALYSE - ERP =&gt; SOUS-SEGMENT'!$IJ$118</f>
        <v>1.8769951999999996</v>
      </c>
      <c r="T85" s="430">
        <f>'ANALYSE - ERP =&gt; SOUS-SEGMENT'!$Q$118</f>
        <v>1</v>
      </c>
    </row>
    <row r="86" spans="1:20" ht="15" customHeight="1">
      <c r="A86" s="26">
        <v>83</v>
      </c>
      <c r="B86" s="26">
        <v>83</v>
      </c>
      <c r="C86" s="422">
        <f>'ANALYSE - ERP =&gt; SOUS-SEGMENT'!$A$138</f>
        <v>131</v>
      </c>
      <c r="D86" s="411" t="str">
        <f>'ANALYSE - ERP =&gt; SOUS-SEGMENT'!$B$138</f>
        <v>Sécurité &amp; Justice</v>
      </c>
      <c r="E86" s="411" t="str">
        <f>'ANALYSE - ERP =&gt; SOUS-SEGMENT'!$C$138</f>
        <v>Forces armées</v>
      </c>
      <c r="F86" s="411" t="str">
        <f>'ANALYSE - ERP =&gt; SOUS-SEGMENT'!$D$138</f>
        <v>Salles de conférence, auditoriums et espaces événementiels ouverts au public</v>
      </c>
      <c r="H86" s="458">
        <f>'ANALYSE - ERP =&gt; SOUS-SEGMENT'!$HZ$138</f>
        <v>28.11</v>
      </c>
      <c r="I86" s="458">
        <f>'ANALYSE - ERP =&gt; SOUS-SEGMENT'!$IA$138</f>
        <v>1276.7550000000001</v>
      </c>
      <c r="J86" s="458">
        <f>'ANALYSE - ERP =&gt; SOUS-SEGMENT'!$IB$138</f>
        <v>2107.0800000000004</v>
      </c>
      <c r="K86" s="458">
        <f>'ANALYSE - ERP =&gt; SOUS-SEGMENT'!$IC$138</f>
        <v>479.92500000000001</v>
      </c>
      <c r="L86" s="458">
        <f>'ANALYSE - ERP =&gt; SOUS-SEGMENT'!$ID$138</f>
        <v>8.129999999999999</v>
      </c>
      <c r="N86" s="458">
        <f>'ANALYSE - ERP =&gt; SOUS-SEGMENT'!$IF$138</f>
        <v>0</v>
      </c>
      <c r="O86" s="458">
        <f>'ANALYSE - ERP =&gt; SOUS-SEGMENT'!$IG$138</f>
        <v>308.08536546346591</v>
      </c>
      <c r="P86" s="458">
        <f>'ANALYSE - ERP =&gt; SOUS-SEGMENT'!$IH$138</f>
        <v>892.01927428678414</v>
      </c>
      <c r="Q86" s="458">
        <f>'ANALYSE - ERP =&gt; SOUS-SEGMENT'!$II$138</f>
        <v>318.70661897351135</v>
      </c>
      <c r="R86" s="458">
        <f>'ANALYSE - ERP =&gt; SOUS-SEGMENT'!$IJ$138</f>
        <v>10.604487753511364</v>
      </c>
      <c r="T86" s="430">
        <f>'ANALYSE - ERP =&gt; SOUS-SEGMENT'!$Q$138</f>
        <v>1</v>
      </c>
    </row>
    <row r="87" spans="1:20" ht="15" customHeight="1">
      <c r="A87" s="26">
        <v>84</v>
      </c>
      <c r="B87" s="26">
        <v>84</v>
      </c>
      <c r="C87" s="422">
        <f>'ANALYSE - ERP =&gt; SOUS-SEGMENT'!$A$93</f>
        <v>86</v>
      </c>
      <c r="D87" s="415" t="str">
        <f>'ANALYSE - ERP =&gt; SOUS-SEGMENT'!$B$93</f>
        <v>Hébergement Touristique</v>
      </c>
      <c r="E87" s="415" t="str">
        <f>'ANALYSE - ERP =&gt; SOUS-SEGMENT'!$C$93</f>
        <v>Hébergement Montagne</v>
      </c>
      <c r="F87" s="415" t="str">
        <f>'ANALYSE - ERP =&gt; SOUS-SEGMENT'!$D$93</f>
        <v>Refuges de montagne</v>
      </c>
      <c r="H87" s="458">
        <f>'ANALYSE - ERP =&gt; SOUS-SEGMENT'!$HZ$93</f>
        <v>733.57500000000005</v>
      </c>
      <c r="I87" s="458">
        <f>'ANALYSE - ERP =&gt; SOUS-SEGMENT'!$IA$93</f>
        <v>2427.2549999999997</v>
      </c>
      <c r="J87" s="458">
        <f>'ANALYSE - ERP =&gt; SOUS-SEGMENT'!$IB$93</f>
        <v>589.17000000000007</v>
      </c>
      <c r="K87" s="458">
        <f>'ANALYSE - ERP =&gt; SOUS-SEGMENT'!$IC$93</f>
        <v>0</v>
      </c>
      <c r="L87" s="458">
        <f>'ANALYSE - ERP =&gt; SOUS-SEGMENT'!$ID$93</f>
        <v>0</v>
      </c>
      <c r="N87" s="458">
        <f>'ANALYSE - ERP =&gt; SOUS-SEGMENT'!$IF$93</f>
        <v>156.48062784412829</v>
      </c>
      <c r="O87" s="458">
        <f>'ANALYSE - ERP =&gt; SOUS-SEGMENT'!$IG$93</f>
        <v>811.53200262535256</v>
      </c>
      <c r="P87" s="458">
        <f>'ANALYSE - ERP =&gt; SOUS-SEGMENT'!$IH$93</f>
        <v>342.35066191801917</v>
      </c>
      <c r="Q87" s="458">
        <f>'ANALYSE - ERP =&gt; SOUS-SEGMENT'!$II$93</f>
        <v>0</v>
      </c>
      <c r="R87" s="458">
        <f>'ANALYSE - ERP =&gt; SOUS-SEGMENT'!$IJ$93</f>
        <v>0</v>
      </c>
      <c r="T87" s="430">
        <f>'ANALYSE - ERP =&gt; SOUS-SEGMENT'!$Q$93</f>
        <v>1</v>
      </c>
    </row>
    <row r="88" spans="1:20" ht="15" customHeight="1">
      <c r="A88" s="26">
        <v>85</v>
      </c>
      <c r="B88" s="26">
        <v>85</v>
      </c>
      <c r="C88" s="422">
        <f>'ANALYSE - ERP =&gt; SOUS-SEGMENT'!$A$121</f>
        <v>114</v>
      </c>
      <c r="D88" s="417" t="str">
        <f>'ANALYSE - ERP =&gt; SOUS-SEGMENT'!$B$121</f>
        <v>Transport, Mobilité &amp; Stationnement</v>
      </c>
      <c r="E88" s="417" t="str">
        <f>'ANALYSE - ERP =&gt; SOUS-SEGMENT'!$C$121</f>
        <v>Transport / Mobilité</v>
      </c>
      <c r="F88" s="417" t="str">
        <f>'ANALYSE - ERP =&gt; SOUS-SEGMENT'!$D$121</f>
        <v>Aires de service - Autoroutes
(Hors Aires de repos)</v>
      </c>
      <c r="H88" s="458">
        <f>'ANALYSE - ERP =&gt; SOUS-SEGMENT'!$HZ$121</f>
        <v>242.58479999999997</v>
      </c>
      <c r="I88" s="458">
        <f>'ANALYSE - ERP =&gt; SOUS-SEGMENT'!$IA$121</f>
        <v>2187.1427999999996</v>
      </c>
      <c r="J88" s="458">
        <f>'ANALYSE - ERP =&gt; SOUS-SEGMENT'!$IB$121</f>
        <v>1648.9764</v>
      </c>
      <c r="K88" s="458">
        <f>'ANALYSE - ERP =&gt; SOUS-SEGMENT'!$IC$121</f>
        <v>181.536</v>
      </c>
      <c r="L88" s="458">
        <f>'ANALYSE - ERP =&gt; SOUS-SEGMENT'!$ID$121</f>
        <v>131.76</v>
      </c>
      <c r="N88" s="458">
        <f>'ANALYSE - ERP =&gt; SOUS-SEGMENT'!$IF$121</f>
        <v>35.522982923563028</v>
      </c>
      <c r="O88" s="458">
        <f>'ANALYSE - ERP =&gt; SOUS-SEGMENT'!$IG$121</f>
        <v>766.01850526661235</v>
      </c>
      <c r="P88" s="458">
        <f>'ANALYSE - ERP =&gt; SOUS-SEGMENT'!$IH$121</f>
        <v>957.2185117303377</v>
      </c>
      <c r="Q88" s="458">
        <f>'ANALYSE - ERP =&gt; SOUS-SEGMENT'!$II$121</f>
        <v>136.46642579360829</v>
      </c>
      <c r="R88" s="458">
        <f>'ANALYSE - ERP =&gt; SOUS-SEGMENT'!$IJ$121</f>
        <v>58.615250279818184</v>
      </c>
      <c r="T88" s="430">
        <f>'ANALYSE - ERP =&gt; SOUS-SEGMENT'!$Q$121</f>
        <v>1</v>
      </c>
    </row>
    <row r="89" spans="1:20" ht="15" customHeight="1">
      <c r="A89" s="26">
        <v>86</v>
      </c>
      <c r="B89" s="26">
        <v>86</v>
      </c>
      <c r="C89" s="422">
        <f>'ANALYSE - ERP =&gt; SOUS-SEGMENT'!$A$47</f>
        <v>40</v>
      </c>
      <c r="D89" s="411" t="str">
        <f>'ANALYSE - ERP =&gt; SOUS-SEGMENT'!$B$47</f>
        <v>Santé &amp; Médico-social</v>
      </c>
      <c r="E89" s="411" t="str">
        <f>'ANALYSE - ERP =&gt; SOUS-SEGMENT'!$C$47</f>
        <v>Santé hospitalière</v>
      </c>
      <c r="F89" s="411" t="str">
        <f>'ANALYSE - ERP =&gt; SOUS-SEGMENT'!$D$47</f>
        <v>Hôpitaux d’instruction des armées et centres médicaux recevant du public</v>
      </c>
      <c r="H89" s="458">
        <f>'ANALYSE - ERP =&gt; SOUS-SEGMENT'!$HZ$47</f>
        <v>5.0975999999999999</v>
      </c>
      <c r="I89" s="458">
        <f>'ANALYSE - ERP =&gt; SOUS-SEGMENT'!$IA$47</f>
        <v>1194.1007999999999</v>
      </c>
      <c r="J89" s="458">
        <f>'ANALYSE - ERP =&gt; SOUS-SEGMENT'!$IB$47</f>
        <v>2216.9472000000001</v>
      </c>
      <c r="K89" s="458">
        <f>'ANALYSE - ERP =&gt; SOUS-SEGMENT'!$IC$47</f>
        <v>533.99040000000002</v>
      </c>
      <c r="L89" s="458">
        <f>'ANALYSE - ERP =&gt; SOUS-SEGMENT'!$ID$47</f>
        <v>9.8640000000000008</v>
      </c>
      <c r="N89" s="458">
        <f>'ANALYSE - ERP =&gt; SOUS-SEGMENT'!$IF$47</f>
        <v>4.5180230159999994E-2</v>
      </c>
      <c r="O89" s="458">
        <f>'ANALYSE - ERP =&gt; SOUS-SEGMENT'!$IG$47</f>
        <v>217.3074595205847</v>
      </c>
      <c r="P89" s="458">
        <f>'ANALYSE - ERP =&gt; SOUS-SEGMENT'!$IH$47</f>
        <v>774.41271139457024</v>
      </c>
      <c r="Q89" s="458">
        <f>'ANALYSE - ERP =&gt; SOUS-SEGMENT'!$II$47</f>
        <v>314.66023067422037</v>
      </c>
      <c r="R89" s="458">
        <f>'ANALYSE - ERP =&gt; SOUS-SEGMENT'!$IJ$47</f>
        <v>11.931819911373818</v>
      </c>
      <c r="T89" s="430">
        <f>'ANALYSE - ERP =&gt; SOUS-SEGMENT'!$Q$47</f>
        <v>1</v>
      </c>
    </row>
    <row r="90" spans="1:20" ht="15" customHeight="1">
      <c r="A90" s="26">
        <v>87</v>
      </c>
      <c r="B90" s="26">
        <v>87</v>
      </c>
      <c r="C90" s="422" t="e">
        <f>'ANALYSE - ERP =&gt; SOUS-SEGMENT'!#REF!</f>
        <v>#REF!</v>
      </c>
      <c r="D90" s="415" t="e">
        <f>'ANALYSE - ERP =&gt; SOUS-SEGMENT'!#REF!</f>
        <v>#REF!</v>
      </c>
      <c r="E90" s="415" t="e">
        <f>'ANALYSE - ERP =&gt; SOUS-SEGMENT'!#REF!</f>
        <v>#REF!</v>
      </c>
      <c r="F90" s="415" t="e">
        <f>'ANALYSE - ERP =&gt; SOUS-SEGMENT'!#REF!</f>
        <v>#REF!</v>
      </c>
      <c r="H90" s="458" t="e">
        <f>'ANALYSE - ERP =&gt; SOUS-SEGMENT'!#REF!</f>
        <v>#REF!</v>
      </c>
      <c r="I90" s="458" t="e">
        <f>'ANALYSE - ERP =&gt; SOUS-SEGMENT'!#REF!</f>
        <v>#REF!</v>
      </c>
      <c r="J90" s="458" t="e">
        <f>'ANALYSE - ERP =&gt; SOUS-SEGMENT'!#REF!</f>
        <v>#REF!</v>
      </c>
      <c r="K90" s="458" t="e">
        <f>'ANALYSE - ERP =&gt; SOUS-SEGMENT'!#REF!</f>
        <v>#REF!</v>
      </c>
      <c r="L90" s="458" t="e">
        <f>'ANALYSE - ERP =&gt; SOUS-SEGMENT'!#REF!</f>
        <v>#REF!</v>
      </c>
      <c r="N90" s="458" t="e">
        <f>'ANALYSE - ERP =&gt; SOUS-SEGMENT'!#REF!</f>
        <v>#REF!</v>
      </c>
      <c r="O90" s="458" t="e">
        <f>'ANALYSE - ERP =&gt; SOUS-SEGMENT'!#REF!</f>
        <v>#REF!</v>
      </c>
      <c r="P90" s="458" t="e">
        <f>'ANALYSE - ERP =&gt; SOUS-SEGMENT'!#REF!</f>
        <v>#REF!</v>
      </c>
      <c r="Q90" s="458" t="e">
        <f>'ANALYSE - ERP =&gt; SOUS-SEGMENT'!#REF!</f>
        <v>#REF!</v>
      </c>
      <c r="R90" s="458" t="e">
        <f>'ANALYSE - ERP =&gt; SOUS-SEGMENT'!#REF!</f>
        <v>#REF!</v>
      </c>
      <c r="T90" s="430" t="e">
        <f>'ANALYSE - ERP =&gt; SOUS-SEGMENT'!#REF!</f>
        <v>#REF!</v>
      </c>
    </row>
    <row r="91" spans="1:20" ht="15" customHeight="1">
      <c r="A91" s="26">
        <v>88</v>
      </c>
      <c r="B91" s="26">
        <v>88</v>
      </c>
      <c r="C91" s="422">
        <f>'ANALYSE - ERP =&gt; SOUS-SEGMENT'!$A$92</f>
        <v>85</v>
      </c>
      <c r="D91" s="415" t="str">
        <f>'ANALYSE - ERP =&gt; SOUS-SEGMENT'!$B$92</f>
        <v>Hébergement Touristique</v>
      </c>
      <c r="E91" s="415" t="str">
        <f>'ANALYSE - ERP =&gt; SOUS-SEGMENT'!$C$92</f>
        <v>Hébergement Montagne</v>
      </c>
      <c r="F91" s="415" t="str">
        <f>'ANALYSE - ERP =&gt; SOUS-SEGMENT'!$D$92</f>
        <v>Hôtels-restaurants d’altitude</v>
      </c>
      <c r="H91" s="458">
        <f>'ANALYSE - ERP =&gt; SOUS-SEGMENT'!$HZ$92</f>
        <v>0</v>
      </c>
      <c r="I91" s="458">
        <f>'ANALYSE - ERP =&gt; SOUS-SEGMENT'!$IA$92</f>
        <v>8.16</v>
      </c>
      <c r="J91" s="458">
        <f>'ANALYSE - ERP =&gt; SOUS-SEGMENT'!$IB$92</f>
        <v>1692.76</v>
      </c>
      <c r="K91" s="458">
        <f>'ANALYSE - ERP =&gt; SOUS-SEGMENT'!$IC$92</f>
        <v>3242.04</v>
      </c>
      <c r="L91" s="458">
        <f>'ANALYSE - ERP =&gt; SOUS-SEGMENT'!$ID$92</f>
        <v>1057.04</v>
      </c>
      <c r="N91" s="458">
        <f>'ANALYSE - ERP =&gt; SOUS-SEGMENT'!$IF$92</f>
        <v>0</v>
      </c>
      <c r="O91" s="458">
        <f>'ANALYSE - ERP =&gt; SOUS-SEGMENT'!$IG$92</f>
        <v>0</v>
      </c>
      <c r="P91" s="458">
        <f>'ANALYSE - ERP =&gt; SOUS-SEGMENT'!$IH$92</f>
        <v>423.08342631187872</v>
      </c>
      <c r="Q91" s="458">
        <f>'ANALYSE - ERP =&gt; SOUS-SEGMENT'!$II$92</f>
        <v>1171.094337707515</v>
      </c>
      <c r="R91" s="458">
        <f>'ANALYSE - ERP =&gt; SOUS-SEGMENT'!$IJ$92</f>
        <v>521.60828885939384</v>
      </c>
      <c r="T91" s="430">
        <f>'ANALYSE - ERP =&gt; SOUS-SEGMENT'!$Q$92</f>
        <v>1</v>
      </c>
    </row>
    <row r="92" spans="1:20" ht="15" customHeight="1">
      <c r="A92" s="26">
        <v>89</v>
      </c>
      <c r="B92" s="26">
        <v>89</v>
      </c>
      <c r="C92" s="422">
        <f>'ANALYSE - ERP =&gt; SOUS-SEGMENT'!$A$149</f>
        <v>142</v>
      </c>
      <c r="D92" s="415" t="str">
        <f>'ANALYSE - ERP =&gt; SOUS-SEGMENT'!$B$149</f>
        <v>Sécurité &amp; Justice</v>
      </c>
      <c r="E92" s="415" t="str">
        <f>'ANALYSE - ERP =&gt; SOUS-SEGMENT'!$C$149</f>
        <v>Tribunaux</v>
      </c>
      <c r="F92" s="415" t="str">
        <f>'ANALYSE - ERP =&gt; SOUS-SEGMENT'!$D$149</f>
        <v>Conseils de prud’hommes autonomes</v>
      </c>
      <c r="H92" s="458">
        <f>'ANALYSE - ERP =&gt; SOUS-SEGMENT'!$HZ$149</f>
        <v>27.767600000000002</v>
      </c>
      <c r="I92" s="458">
        <f>'ANALYSE - ERP =&gt; SOUS-SEGMENT'!$IA$149</f>
        <v>1012.8633</v>
      </c>
      <c r="J92" s="458">
        <f>'ANALYSE - ERP =&gt; SOUS-SEGMENT'!$IB$149</f>
        <v>1667.9339</v>
      </c>
      <c r="K92" s="458">
        <f>'ANALYSE - ERP =&gt; SOUS-SEGMENT'!$IC$149</f>
        <v>444.3449</v>
      </c>
      <c r="L92" s="458">
        <f>'ANALYSE - ERP =&gt; SOUS-SEGMENT'!$ID$149</f>
        <v>12.090299999999999</v>
      </c>
      <c r="N92" s="458">
        <f>'ANALYSE - ERP =&gt; SOUS-SEGMENT'!$IF$149</f>
        <v>1.2078342744755244</v>
      </c>
      <c r="O92" s="458">
        <f>'ANALYSE - ERP =&gt; SOUS-SEGMENT'!$IG$149</f>
        <v>225.26593634412586</v>
      </c>
      <c r="P92" s="458">
        <f>'ANALYSE - ERP =&gt; SOUS-SEGMENT'!$IH$149</f>
        <v>594.46604041923501</v>
      </c>
      <c r="Q92" s="458">
        <f>'ANALYSE - ERP =&gt; SOUS-SEGMENT'!$II$149</f>
        <v>236.95204036562936</v>
      </c>
      <c r="R92" s="458">
        <f>'ANALYSE - ERP =&gt; SOUS-SEGMENT'!$IJ$149</f>
        <v>11.393958430450173</v>
      </c>
      <c r="T92" s="430">
        <f>'ANALYSE - ERP =&gt; SOUS-SEGMENT'!$Q$149</f>
        <v>1</v>
      </c>
    </row>
    <row r="93" spans="1:20" ht="15" customHeight="1">
      <c r="A93" s="26">
        <v>90</v>
      </c>
      <c r="B93" s="26">
        <v>92</v>
      </c>
      <c r="C93" s="422">
        <f>'ANALYSE - ERP =&gt; SOUS-SEGMENT'!$A$78</f>
        <v>71</v>
      </c>
      <c r="D93" s="416" t="str">
        <f>'ANALYSE - ERP =&gt; SOUS-SEGMENT'!$B$78</f>
        <v>Commerce, Restauration &amp; Loisirs</v>
      </c>
      <c r="E93" s="416" t="str">
        <f>'ANALYSE - ERP =&gt; SOUS-SEGMENT'!$C$78</f>
        <v>Restauration / boissons</v>
      </c>
      <c r="F93" s="416" t="str">
        <f>'ANALYSE - ERP =&gt; SOUS-SEGMENT'!$D$78</f>
        <v>Établissements flottants</v>
      </c>
      <c r="H93" s="458">
        <f>'ANALYSE - ERP =&gt; SOUS-SEGMENT'!$HZ$78</f>
        <v>6.399</v>
      </c>
      <c r="I93" s="458">
        <f>'ANALYSE - ERP =&gt; SOUS-SEGMENT'!$IA$78</f>
        <v>782.81100000000004</v>
      </c>
      <c r="J93" s="458">
        <f>'ANALYSE - ERP =&gt; SOUS-SEGMENT'!$IB$78</f>
        <v>1370.682</v>
      </c>
      <c r="K93" s="458">
        <f>'ANALYSE - ERP =&gt; SOUS-SEGMENT'!$IC$78</f>
        <v>443.61</v>
      </c>
      <c r="L93" s="458">
        <f>'ANALYSE - ERP =&gt; SOUS-SEGMENT'!$ID$78</f>
        <v>96.49799999999999</v>
      </c>
      <c r="N93" s="458">
        <f>'ANALYSE - ERP =&gt; SOUS-SEGMENT'!$IF$78</f>
        <v>0</v>
      </c>
      <c r="O93" s="458">
        <f>'ANALYSE - ERP =&gt; SOUS-SEGMENT'!$IG$78</f>
        <v>134.43699434934999</v>
      </c>
      <c r="P93" s="458">
        <f>'ANALYSE - ERP =&gt; SOUS-SEGMENT'!$IH$78</f>
        <v>469.17987101466247</v>
      </c>
      <c r="Q93" s="458">
        <f>'ANALYSE - ERP =&gt; SOUS-SEGMENT'!$II$78</f>
        <v>236.07300821142496</v>
      </c>
      <c r="R93" s="458">
        <f>'ANALYSE - ERP =&gt; SOUS-SEGMENT'!$IJ$78</f>
        <v>44.641314549562495</v>
      </c>
      <c r="T93" s="430">
        <f>'ANALYSE - ERP =&gt; SOUS-SEGMENT'!$Q$78</f>
        <v>1</v>
      </c>
    </row>
    <row r="94" spans="1:20" ht="15" customHeight="1">
      <c r="A94" s="26">
        <v>91</v>
      </c>
      <c r="B94" s="26">
        <v>90</v>
      </c>
      <c r="C94" s="422">
        <f>'ANALYSE - ERP =&gt; SOUS-SEGMENT'!$A$90</f>
        <v>83</v>
      </c>
      <c r="D94" s="412" t="str">
        <f>'ANALYSE - ERP =&gt; SOUS-SEGMENT'!$B$90</f>
        <v>Hébergement Touristique</v>
      </c>
      <c r="E94" s="412" t="str">
        <f>'ANALYSE - ERP =&gt; SOUS-SEGMENT'!$C$90</f>
        <v>Hébergement Touristique</v>
      </c>
      <c r="F94" s="412" t="str">
        <f>'ANALYSE - ERP =&gt; SOUS-SEGMENT'!$D$90</f>
        <v>Auberges de jeunesse</v>
      </c>
      <c r="H94" s="458">
        <f>'ANALYSE - ERP =&gt; SOUS-SEGMENT'!$HZ$90</f>
        <v>32.494500000000002</v>
      </c>
      <c r="I94" s="458">
        <f>'ANALYSE - ERP =&gt; SOUS-SEGMENT'!$IA$90</f>
        <v>951.12750000000005</v>
      </c>
      <c r="J94" s="458">
        <f>'ANALYSE - ERP =&gt; SOUS-SEGMENT'!$IB$90</f>
        <v>1730.6475</v>
      </c>
      <c r="K94" s="458">
        <f>'ANALYSE - ERP =&gt; SOUS-SEGMENT'!$IC$90</f>
        <v>701.03150000000005</v>
      </c>
      <c r="L94" s="458">
        <f>'ANALYSE - ERP =&gt; SOUS-SEGMENT'!$ID$90</f>
        <v>64.698999999999998</v>
      </c>
      <c r="N94" s="458">
        <f>'ANALYSE - ERP =&gt; SOUS-SEGMENT'!$IF$90</f>
        <v>0</v>
      </c>
      <c r="O94" s="458">
        <f>'ANALYSE - ERP =&gt; SOUS-SEGMENT'!$IG$90</f>
        <v>271.04178329458063</v>
      </c>
      <c r="P94" s="458">
        <f>'ANALYSE - ERP =&gt; SOUS-SEGMENT'!$IH$90</f>
        <v>594.46237780317608</v>
      </c>
      <c r="Q94" s="458">
        <f>'ANALYSE - ERP =&gt; SOUS-SEGMENT'!$II$90</f>
        <v>262.69575866015617</v>
      </c>
      <c r="R94" s="458">
        <f>'ANALYSE - ERP =&gt; SOUS-SEGMENT'!$IJ$90</f>
        <v>28.089341573089357</v>
      </c>
      <c r="T94" s="430">
        <f>'ANALYSE - ERP =&gt; SOUS-SEGMENT'!$Q$90</f>
        <v>1</v>
      </c>
    </row>
    <row r="95" spans="1:20" ht="15" customHeight="1">
      <c r="A95" s="26">
        <v>92</v>
      </c>
      <c r="B95" s="26">
        <v>91</v>
      </c>
      <c r="C95" s="422">
        <f>'ANALYSE - ERP =&gt; SOUS-SEGMENT'!$A$117</f>
        <v>110</v>
      </c>
      <c r="D95" s="417" t="str">
        <f>'ANALYSE - ERP =&gt; SOUS-SEGMENT'!$B$117</f>
        <v>Culte, Vie civique &amp; Services publics</v>
      </c>
      <c r="E95" s="417" t="str">
        <f>'ANALYSE - ERP =&gt; SOUS-SEGMENT'!$C$117</f>
        <v>Culte</v>
      </c>
      <c r="F95" s="417" t="str">
        <f>'ANALYSE - ERP =&gt; SOUS-SEGMENT'!$D$117</f>
        <v>Synagogues et oratoires juifs ouverts au public</v>
      </c>
      <c r="H95" s="458">
        <f>'ANALYSE - ERP =&gt; SOUS-SEGMENT'!$HZ$117</f>
        <v>174.27500000000001</v>
      </c>
      <c r="I95" s="458">
        <f>'ANALYSE - ERP =&gt; SOUS-SEGMENT'!$IA$117</f>
        <v>878.73749999999995</v>
      </c>
      <c r="J95" s="458">
        <f>'ANALYSE - ERP =&gt; SOUS-SEGMENT'!$IB$117</f>
        <v>529.51250000000005</v>
      </c>
      <c r="K95" s="458">
        <f>'ANALYSE - ERP =&gt; SOUS-SEGMENT'!$IC$117</f>
        <v>42.474999999999994</v>
      </c>
      <c r="L95" s="458">
        <f>'ANALYSE - ERP =&gt; SOUS-SEGMENT'!$ID$117</f>
        <v>0</v>
      </c>
      <c r="N95" s="458">
        <f>'ANALYSE - ERP =&gt; SOUS-SEGMENT'!$IF$117</f>
        <v>44.032621657116223</v>
      </c>
      <c r="O95" s="458">
        <f>'ANALYSE - ERP =&gt; SOUS-SEGMENT'!$IG$117</f>
        <v>246.45779598212127</v>
      </c>
      <c r="P95" s="458">
        <f>'ANALYSE - ERP =&gt; SOUS-SEGMENT'!$IH$117</f>
        <v>159.24662654644692</v>
      </c>
      <c r="Q95" s="458">
        <f>'ANALYSE - ERP =&gt; SOUS-SEGMENT'!$II$117</f>
        <v>18.845125672404265</v>
      </c>
      <c r="R95" s="458">
        <f>'ANALYSE - ERP =&gt; SOUS-SEGMENT'!$IJ$117</f>
        <v>1.504276628757909</v>
      </c>
      <c r="T95" s="430">
        <f>'ANALYSE - ERP =&gt; SOUS-SEGMENT'!$Q$117</f>
        <v>1</v>
      </c>
    </row>
    <row r="96" spans="1:20" ht="15" customHeight="1">
      <c r="A96" s="26">
        <v>93</v>
      </c>
      <c r="B96" s="26">
        <v>93</v>
      </c>
      <c r="C96" s="422">
        <f>'ANALYSE - ERP =&gt; SOUS-SEGMENT'!$A$148</f>
        <v>141</v>
      </c>
      <c r="D96" s="413" t="str">
        <f>'ANALYSE - ERP =&gt; SOUS-SEGMENT'!$B$148</f>
        <v>Sécurité &amp; Justice</v>
      </c>
      <c r="E96" s="413" t="str">
        <f>'ANALYSE - ERP =&gt; SOUS-SEGMENT'!$C$148</f>
        <v>Tribunaux</v>
      </c>
      <c r="F96" s="413" t="str">
        <f>'ANALYSE - ERP =&gt; SOUS-SEGMENT'!$D$148</f>
        <v>Tribunaux de commerce autonomes</v>
      </c>
      <c r="H96" s="458">
        <f>'ANALYSE - ERP =&gt; SOUS-SEGMENT'!$HZ$148</f>
        <v>15.9862</v>
      </c>
      <c r="I96" s="458">
        <f>'ANALYSE - ERP =&gt; SOUS-SEGMENT'!$IA$148</f>
        <v>658.82439999999997</v>
      </c>
      <c r="J96" s="458">
        <f>'ANALYSE - ERP =&gt; SOUS-SEGMENT'!$IB$148</f>
        <v>1221.8254000000002</v>
      </c>
      <c r="K96" s="458">
        <f>'ANALYSE - ERP =&gt; SOUS-SEGMENT'!$IC$148</f>
        <v>368.84839999999997</v>
      </c>
      <c r="L96" s="458">
        <f>'ANALYSE - ERP =&gt; SOUS-SEGMENT'!$ID$148</f>
        <v>12.515599999999999</v>
      </c>
      <c r="N96" s="458">
        <f>'ANALYSE - ERP =&gt; SOUS-SEGMENT'!$IF$148</f>
        <v>0.65346120199300683</v>
      </c>
      <c r="O96" s="458">
        <f>'ANALYSE - ERP =&gt; SOUS-SEGMENT'!$IG$148</f>
        <v>143.06810639643354</v>
      </c>
      <c r="P96" s="458">
        <f>'ANALYSE - ERP =&gt; SOUS-SEGMENT'!$IH$148</f>
        <v>426.62399457050344</v>
      </c>
      <c r="Q96" s="458">
        <f>'ANALYSE - ERP =&gt; SOUS-SEGMENT'!$II$148</f>
        <v>193.03735577086013</v>
      </c>
      <c r="R96" s="458">
        <f>'ANALYSE - ERP =&gt; SOUS-SEGMENT'!$IJ$148</f>
        <v>11.109513458811188</v>
      </c>
      <c r="T96" s="430">
        <f>'ANALYSE - ERP =&gt; SOUS-SEGMENT'!$Q$148</f>
        <v>1</v>
      </c>
    </row>
    <row r="97" spans="1:20" ht="15" customHeight="1">
      <c r="A97" s="26">
        <v>94</v>
      </c>
      <c r="B97" s="26">
        <v>94</v>
      </c>
      <c r="C97" s="422">
        <f>'ANALYSE - ERP =&gt; SOUS-SEGMENT'!$A$137</f>
        <v>130</v>
      </c>
      <c r="D97" s="417" t="str">
        <f>'ANALYSE - ERP =&gt; SOUS-SEGMENT'!$B$137</f>
        <v>Sécurité &amp; Justice</v>
      </c>
      <c r="E97" s="417" t="str">
        <f>'ANALYSE - ERP =&gt; SOUS-SEGMENT'!$C$137</f>
        <v>Forces armées</v>
      </c>
      <c r="F97" s="417" t="str">
        <f>'ANALYSE - ERP =&gt; SOUS-SEGMENT'!$D$137</f>
        <v>Restaurants ou équipements sportifs ouverts au public sur emprise militaire</v>
      </c>
      <c r="H97" s="458">
        <f>'ANALYSE - ERP =&gt; SOUS-SEGMENT'!$HZ$137</f>
        <v>17.73</v>
      </c>
      <c r="I97" s="458">
        <f>'ANALYSE - ERP =&gt; SOUS-SEGMENT'!$IA$137</f>
        <v>841.1099999999999</v>
      </c>
      <c r="J97" s="458">
        <f>'ANALYSE - ERP =&gt; SOUS-SEGMENT'!$IB$137</f>
        <v>1274.1300000000001</v>
      </c>
      <c r="K97" s="458">
        <f>'ANALYSE - ERP =&gt; SOUS-SEGMENT'!$IC$137</f>
        <v>263.43</v>
      </c>
      <c r="L97" s="458">
        <f>'ANALYSE - ERP =&gt; SOUS-SEGMENT'!$ID$137</f>
        <v>3.5999999999999996</v>
      </c>
      <c r="N97" s="458">
        <f>'ANALYSE - ERP =&gt; SOUS-SEGMENT'!$IF$137</f>
        <v>0</v>
      </c>
      <c r="O97" s="458">
        <f>'ANALYSE - ERP =&gt; SOUS-SEGMENT'!$IG$137</f>
        <v>213.24636607454545</v>
      </c>
      <c r="P97" s="458">
        <f>'ANALYSE - ERP =&gt; SOUS-SEGMENT'!$IH$137</f>
        <v>558.70361723454539</v>
      </c>
      <c r="Q97" s="458">
        <f>'ANALYSE - ERP =&gt; SOUS-SEGMENT'!$II$137</f>
        <v>176.38487404363636</v>
      </c>
      <c r="R97" s="458">
        <f>'ANALYSE - ERP =&gt; SOUS-SEGMENT'!$IJ$137</f>
        <v>4.7230699200000004</v>
      </c>
      <c r="T97" s="430">
        <f>'ANALYSE - ERP =&gt; SOUS-SEGMENT'!$Q$137</f>
        <v>1</v>
      </c>
    </row>
    <row r="98" spans="1:20" ht="15" customHeight="1">
      <c r="A98" s="26">
        <v>95</v>
      </c>
      <c r="B98" s="26">
        <v>95</v>
      </c>
      <c r="C98" s="422">
        <f>'ANALYSE - ERP =&gt; SOUS-SEGMENT'!$A$141</f>
        <v>134</v>
      </c>
      <c r="D98" s="418" t="str">
        <f>'ANALYSE - ERP =&gt; SOUS-SEGMENT'!$B$141</f>
        <v>Sécurité &amp; Justice</v>
      </c>
      <c r="E98" s="418" t="str">
        <f>'ANALYSE - ERP =&gt; SOUS-SEGMENT'!$C$141</f>
        <v>Univers carcéral</v>
      </c>
      <c r="F98" s="418" t="str">
        <f>'ANALYSE - ERP =&gt; SOUS-SEGMENT'!$D$141</f>
        <v>Maisons centrales</v>
      </c>
      <c r="H98" s="458">
        <f>'ANALYSE - ERP =&gt; SOUS-SEGMENT'!$HZ$141</f>
        <v>298.8288</v>
      </c>
      <c r="I98" s="458">
        <f>'ANALYSE - ERP =&gt; SOUS-SEGMENT'!$IA$141</f>
        <v>952.75319999999999</v>
      </c>
      <c r="J98" s="458">
        <f>'ANALYSE - ERP =&gt; SOUS-SEGMENT'!$IB$141</f>
        <v>164.41800000000001</v>
      </c>
      <c r="K98" s="458">
        <f>'ANALYSE - ERP =&gt; SOUS-SEGMENT'!$IC$141</f>
        <v>0</v>
      </c>
      <c r="L98" s="458">
        <f>'ANALYSE - ERP =&gt; SOUS-SEGMENT'!$ID$141</f>
        <v>0</v>
      </c>
      <c r="N98" s="458">
        <f>'ANALYSE - ERP =&gt; SOUS-SEGMENT'!$IF$141</f>
        <v>66.426173700000021</v>
      </c>
      <c r="O98" s="458">
        <f>'ANALYSE - ERP =&gt; SOUS-SEGMENT'!$IG$141</f>
        <v>410.3378660931819</v>
      </c>
      <c r="P98" s="458">
        <f>'ANALYSE - ERP =&gt; SOUS-SEGMENT'!$IH$141</f>
        <v>142.30825566136366</v>
      </c>
      <c r="Q98" s="458">
        <f>'ANALYSE - ERP =&gt; SOUS-SEGMENT'!$II$141</f>
        <v>0</v>
      </c>
      <c r="R98" s="458">
        <f>'ANALYSE - ERP =&gt; SOUS-SEGMENT'!$IJ$141</f>
        <v>0</v>
      </c>
      <c r="T98" s="430">
        <f>'ANALYSE - ERP =&gt; SOUS-SEGMENT'!$Q$141</f>
        <v>1</v>
      </c>
    </row>
    <row r="99" spans="1:20" ht="15" customHeight="1">
      <c r="A99" s="26">
        <v>96</v>
      </c>
      <c r="B99" s="26">
        <v>96</v>
      </c>
      <c r="C99" s="422">
        <f>'ANALYSE - ERP =&gt; SOUS-SEGMENT'!$A$147</f>
        <v>140</v>
      </c>
      <c r="D99" s="417" t="str">
        <f>'ANALYSE - ERP =&gt; SOUS-SEGMENT'!$B$147</f>
        <v>Sécurité &amp; Justice</v>
      </c>
      <c r="E99" s="417" t="str">
        <f>'ANALYSE - ERP =&gt; SOUS-SEGMENT'!$C$147</f>
        <v>Tribunaux</v>
      </c>
      <c r="F99" s="417" t="str">
        <f>'ANALYSE - ERP =&gt; SOUS-SEGMENT'!$D$147</f>
        <v>Maisons de justice et du droit</v>
      </c>
      <c r="H99" s="458">
        <f>'ANALYSE - ERP =&gt; SOUS-SEGMENT'!$HZ$147</f>
        <v>17.265000000000001</v>
      </c>
      <c r="I99" s="458">
        <f>'ANALYSE - ERP =&gt; SOUS-SEGMENT'!$IA$147</f>
        <v>429.76499999999999</v>
      </c>
      <c r="J99" s="458">
        <f>'ANALYSE - ERP =&gt; SOUS-SEGMENT'!$IB$147</f>
        <v>657.53250000000003</v>
      </c>
      <c r="K99" s="458">
        <f>'ANALYSE - ERP =&gt; SOUS-SEGMENT'!$IC$147</f>
        <v>166.27499999999998</v>
      </c>
      <c r="L99" s="458">
        <f>'ANALYSE - ERP =&gt; SOUS-SEGMENT'!$ID$147</f>
        <v>4.1624999999999996</v>
      </c>
      <c r="N99" s="458">
        <f>'ANALYSE - ERP =&gt; SOUS-SEGMENT'!$IF$147</f>
        <v>0.40191495865384613</v>
      </c>
      <c r="O99" s="458">
        <f>'ANALYSE - ERP =&gt; SOUS-SEGMENT'!$IG$147</f>
        <v>83.215123729477625</v>
      </c>
      <c r="P99" s="458">
        <f>'ANALYSE - ERP =&gt; SOUS-SEGMENT'!$IH$147</f>
        <v>219.87530358555591</v>
      </c>
      <c r="Q99" s="458">
        <f>'ANALYSE - ERP =&gt; SOUS-SEGMENT'!$II$147</f>
        <v>87.574133426813276</v>
      </c>
      <c r="R99" s="458">
        <f>'ANALYSE - ERP =&gt; SOUS-SEGMENT'!$IJ$147</f>
        <v>4.2015425652335656</v>
      </c>
      <c r="T99" s="430">
        <f>'ANALYSE - ERP =&gt; SOUS-SEGMENT'!$Q$147</f>
        <v>1</v>
      </c>
    </row>
    <row r="100" spans="1:20" ht="15" customHeight="1">
      <c r="A100" s="26">
        <v>97</v>
      </c>
      <c r="B100" s="26">
        <v>97</v>
      </c>
      <c r="C100" s="422">
        <f>'ANALYSE - ERP =&gt; SOUS-SEGMENT'!$A$144</f>
        <v>137</v>
      </c>
      <c r="D100" s="417" t="str">
        <f>'ANALYSE - ERP =&gt; SOUS-SEGMENT'!$B$144</f>
        <v>Sécurité &amp; Justice</v>
      </c>
      <c r="E100" s="417" t="str">
        <f>'ANALYSE - ERP =&gt; SOUS-SEGMENT'!$C$144</f>
        <v>Univers carcéral</v>
      </c>
      <c r="F100" s="417" t="str">
        <f>'ANALYSE - ERP =&gt; SOUS-SEGMENT'!$D$144</f>
        <v>Centres éducatifs fermés</v>
      </c>
      <c r="H100" s="458">
        <f>'ANALYSE - ERP =&gt; SOUS-SEGMENT'!$HZ$144</f>
        <v>58.652000000000001</v>
      </c>
      <c r="I100" s="458">
        <f>'ANALYSE - ERP =&gt; SOUS-SEGMENT'!$IA$144</f>
        <v>510.1635</v>
      </c>
      <c r="J100" s="458">
        <f>'ANALYSE - ERP =&gt; SOUS-SEGMENT'!$IB$144</f>
        <v>347.96850000000001</v>
      </c>
      <c r="K100" s="458">
        <f>'ANALYSE - ERP =&gt; SOUS-SEGMENT'!$IC$144</f>
        <v>18.149999999999999</v>
      </c>
      <c r="L100" s="458">
        <f>'ANALYSE - ERP =&gt; SOUS-SEGMENT'!$ID$144</f>
        <v>6.6000000000000003E-2</v>
      </c>
      <c r="N100" s="458">
        <f>'ANALYSE - ERP =&gt; SOUS-SEGMENT'!$IF$144</f>
        <v>4.4879921484090914</v>
      </c>
      <c r="O100" s="458">
        <f>'ANALYSE - ERP =&gt; SOUS-SEGMENT'!$IG$144</f>
        <v>112.06683527636365</v>
      </c>
      <c r="P100" s="458">
        <f>'ANALYSE - ERP =&gt; SOUS-SEGMENT'!$IH$144</f>
        <v>225.25744520000001</v>
      </c>
      <c r="Q100" s="458">
        <f>'ANALYSE - ERP =&gt; SOUS-SEGMENT'!$II$144</f>
        <v>34.792587154318177</v>
      </c>
      <c r="R100" s="458">
        <f>'ANALYSE - ERP =&gt; SOUS-SEGMENT'!$IJ$144</f>
        <v>0.40491976636363636</v>
      </c>
      <c r="T100" s="430">
        <f>'ANALYSE - ERP =&gt; SOUS-SEGMENT'!$Q$144</f>
        <v>1</v>
      </c>
    </row>
    <row r="101" spans="1:20" ht="15" customHeight="1">
      <c r="A101" s="26">
        <v>98</v>
      </c>
      <c r="B101" s="26">
        <v>98</v>
      </c>
      <c r="C101" s="422">
        <f>'ANALYSE - ERP =&gt; SOUS-SEGMENT'!$A$48</f>
        <v>41</v>
      </c>
      <c r="D101" s="414" t="str">
        <f>'ANALYSE - ERP =&gt; SOUS-SEGMENT'!$B$48</f>
        <v>Santé &amp; Médico-social</v>
      </c>
      <c r="E101" s="414" t="str">
        <f>'ANALYSE - ERP =&gt; SOUS-SEGMENT'!$C$48</f>
        <v>Santé hospitalière</v>
      </c>
      <c r="F101" s="414" t="str">
        <f>'ANALYSE - ERP =&gt; SOUS-SEGMENT'!$D$48</f>
        <v>Unités hospitalières sécurisées en milieu carcéral</v>
      </c>
      <c r="H101" s="458">
        <f>'ANALYSE - ERP =&gt; SOUS-SEGMENT'!$HZ$48</f>
        <v>42.404799999999994</v>
      </c>
      <c r="I101" s="458">
        <f>'ANALYSE - ERP =&gt; SOUS-SEGMENT'!$IA$48</f>
        <v>444.39189999999996</v>
      </c>
      <c r="J101" s="458">
        <f>'ANALYSE - ERP =&gt; SOUS-SEGMENT'!$IB$48</f>
        <v>358.31580000000002</v>
      </c>
      <c r="K101" s="458">
        <f>'ANALYSE - ERP =&gt; SOUS-SEGMENT'!$IC$48</f>
        <v>21.794</v>
      </c>
      <c r="L101" s="458">
        <f>'ANALYSE - ERP =&gt; SOUS-SEGMENT'!$ID$48</f>
        <v>9.3500000000000014E-2</v>
      </c>
      <c r="N101" s="458">
        <f>'ANALYSE - ERP =&gt; SOUS-SEGMENT'!$IF$48</f>
        <v>4.6256737500000007</v>
      </c>
      <c r="O101" s="458">
        <f>'ANALYSE - ERP =&gt; SOUS-SEGMENT'!$IG$48</f>
        <v>104.03103356250001</v>
      </c>
      <c r="P101" s="458">
        <f>'ANALYSE - ERP =&gt; SOUS-SEGMENT'!$IH$48</f>
        <v>183.42581632500003</v>
      </c>
      <c r="Q101" s="458">
        <f>'ANALYSE - ERP =&gt; SOUS-SEGMENT'!$II$48</f>
        <v>24.357190447500003</v>
      </c>
      <c r="R101" s="458">
        <f>'ANALYSE - ERP =&gt; SOUS-SEGMENT'!$IJ$48</f>
        <v>0.25161091500000005</v>
      </c>
      <c r="T101" s="430">
        <f>'ANALYSE - ERP =&gt; SOUS-SEGMENT'!$Q$48</f>
        <v>1</v>
      </c>
    </row>
    <row r="102" spans="1:20" ht="15" customHeight="1">
      <c r="A102" s="26">
        <v>99</v>
      </c>
      <c r="B102" s="26">
        <v>99</v>
      </c>
      <c r="C102" s="422">
        <f>'ANALYSE - ERP =&gt; SOUS-SEGMENT'!$A$134</f>
        <v>127</v>
      </c>
      <c r="D102" s="414" t="str">
        <f>'ANALYSE - ERP =&gt; SOUS-SEGMENT'!$B$134</f>
        <v>Sécurité &amp; Justice</v>
      </c>
      <c r="E102" s="414" t="str">
        <f>'ANALYSE - ERP =&gt; SOUS-SEGMENT'!$C$134</f>
        <v xml:space="preserve">Commissariats / postes de police </v>
      </c>
      <c r="F102" s="414" t="str">
        <f>'ANALYSE - ERP =&gt; SOUS-SEGMENT'!$D$134</f>
        <v>Salles de réunion, de prévention ou de conférence ouvertes au public</v>
      </c>
      <c r="H102" s="458">
        <f>'ANALYSE - ERP =&gt; SOUS-SEGMENT'!$HZ$134</f>
        <v>42.952500000000001</v>
      </c>
      <c r="I102" s="458">
        <f>'ANALYSE - ERP =&gt; SOUS-SEGMENT'!$IA$134</f>
        <v>334.25099999999998</v>
      </c>
      <c r="J102" s="458">
        <f>'ANALYSE - ERP =&gt; SOUS-SEGMENT'!$IB$134</f>
        <v>207.79649999999998</v>
      </c>
      <c r="K102" s="458">
        <f>'ANALYSE - ERP =&gt; SOUS-SEGMENT'!$IC$134</f>
        <v>0</v>
      </c>
      <c r="L102" s="458">
        <f>'ANALYSE - ERP =&gt; SOUS-SEGMENT'!$ID$134</f>
        <v>0</v>
      </c>
      <c r="N102" s="458">
        <f>'ANALYSE - ERP =&gt; SOUS-SEGMENT'!$IF$134</f>
        <v>12.14928881137125</v>
      </c>
      <c r="O102" s="458">
        <f>'ANALYSE - ERP =&gt; SOUS-SEGMENT'!$IG$134</f>
        <v>117.87325394698438</v>
      </c>
      <c r="P102" s="458">
        <f>'ANALYSE - ERP =&gt; SOUS-SEGMENT'!$IH$134</f>
        <v>120.12314416039438</v>
      </c>
      <c r="Q102" s="458">
        <f>'ANALYSE - ERP =&gt; SOUS-SEGMENT'!$II$134</f>
        <v>0</v>
      </c>
      <c r="R102" s="458">
        <f>'ANALYSE - ERP =&gt; SOUS-SEGMENT'!$IJ$134</f>
        <v>0</v>
      </c>
      <c r="T102" s="430">
        <f>'ANALYSE - ERP =&gt; SOUS-SEGMENT'!$Q$134</f>
        <v>0</v>
      </c>
    </row>
    <row r="103" spans="1:20" ht="15" customHeight="1">
      <c r="A103" s="26">
        <v>100</v>
      </c>
      <c r="B103" s="26">
        <v>100</v>
      </c>
      <c r="C103" s="422">
        <f>'ANALYSE - ERP =&gt; SOUS-SEGMENT'!$A$136</f>
        <v>129</v>
      </c>
      <c r="D103" s="417" t="str">
        <f>'ANALYSE - ERP =&gt; SOUS-SEGMENT'!$B$136</f>
        <v>Sécurité &amp; Justice</v>
      </c>
      <c r="E103" s="417" t="str">
        <f>'ANALYSE - ERP =&gt; SOUS-SEGMENT'!$C$136</f>
        <v>Forces armées</v>
      </c>
      <c r="F103" s="417" t="str">
        <f>'ANALYSE - ERP =&gt; SOUS-SEGMENT'!$D$136</f>
        <v>Centres de recrutement et bureaux d’information</v>
      </c>
      <c r="H103" s="458">
        <f>'ANALYSE - ERP =&gt; SOUS-SEGMENT'!$HZ$136</f>
        <v>4.82</v>
      </c>
      <c r="I103" s="458">
        <f>'ANALYSE - ERP =&gt; SOUS-SEGMENT'!$IA$136</f>
        <v>167.72</v>
      </c>
      <c r="J103" s="458">
        <f>'ANALYSE - ERP =&gt; SOUS-SEGMENT'!$IB$136</f>
        <v>231.94499999999999</v>
      </c>
      <c r="K103" s="458">
        <f>'ANALYSE - ERP =&gt; SOUS-SEGMENT'!$IC$136</f>
        <v>44.980000000000004</v>
      </c>
      <c r="L103" s="458">
        <f>'ANALYSE - ERP =&gt; SOUS-SEGMENT'!$ID$136</f>
        <v>0.53499999999999992</v>
      </c>
      <c r="N103" s="458">
        <f>'ANALYSE - ERP =&gt; SOUS-SEGMENT'!$IF$136</f>
        <v>0.17191471776</v>
      </c>
      <c r="O103" s="458">
        <f>'ANALYSE - ERP =&gt; SOUS-SEGMENT'!$IG$136</f>
        <v>36.757334099242733</v>
      </c>
      <c r="P103" s="458">
        <f>'ANALYSE - ERP =&gt; SOUS-SEGMENT'!$IH$136</f>
        <v>88.225952604192543</v>
      </c>
      <c r="Q103" s="458">
        <f>'ANALYSE - ERP =&gt; SOUS-SEGMENT'!$II$136</f>
        <v>32.320698641172427</v>
      </c>
      <c r="R103" s="458">
        <f>'ANALYSE - ERP =&gt; SOUS-SEGMENT'!$IJ$136</f>
        <v>1.3988403245010104</v>
      </c>
      <c r="T103" s="430">
        <f>'ANALYSE - ERP =&gt; SOUS-SEGMENT'!$Q$136</f>
        <v>1</v>
      </c>
    </row>
    <row r="104" spans="1:20" ht="15" customHeight="1">
      <c r="A104" s="26">
        <v>101</v>
      </c>
      <c r="B104" s="26">
        <v>101</v>
      </c>
      <c r="C104" s="422">
        <f>'ANALYSE - ERP =&gt; SOUS-SEGMENT'!$A$143</f>
        <v>136</v>
      </c>
      <c r="D104" s="417" t="str">
        <f>'ANALYSE - ERP =&gt; SOUS-SEGMENT'!$B$143</f>
        <v>Sécurité &amp; Justice</v>
      </c>
      <c r="E104" s="417" t="str">
        <f>'ANALYSE - ERP =&gt; SOUS-SEGMENT'!$C$143</f>
        <v>Univers carcéral</v>
      </c>
      <c r="F104" s="417" t="str">
        <f>'ANALYSE - ERP =&gt; SOUS-SEGMENT'!$D$143</f>
        <v>Centres de semi-liberté</v>
      </c>
      <c r="H104" s="458">
        <f>'ANALYSE - ERP =&gt; SOUS-SEGMENT'!$HZ$143</f>
        <v>26.586399999999998</v>
      </c>
      <c r="I104" s="458">
        <f>'ANALYSE - ERP =&gt; SOUS-SEGMENT'!$IA$143</f>
        <v>234.03120000000001</v>
      </c>
      <c r="J104" s="458">
        <f>'ANALYSE - ERP =&gt; SOUS-SEGMENT'!$IB$143</f>
        <v>169.56560000000002</v>
      </c>
      <c r="K104" s="458">
        <f>'ANALYSE - ERP =&gt; SOUS-SEGMENT'!$IC$143</f>
        <v>9.7632000000000012</v>
      </c>
      <c r="L104" s="458">
        <f>'ANALYSE - ERP =&gt; SOUS-SEGMENT'!$ID$143</f>
        <v>5.3600000000000009E-2</v>
      </c>
      <c r="N104" s="458">
        <f>'ANALYSE - ERP =&gt; SOUS-SEGMENT'!$IF$143</f>
        <v>7.6744658250000004</v>
      </c>
      <c r="O104" s="458">
        <f>'ANALYSE - ERP =&gt; SOUS-SEGMENT'!$IG$143</f>
        <v>110.3310811125</v>
      </c>
      <c r="P104" s="458">
        <f>'ANALYSE - ERP =&gt; SOUS-SEGMENT'!$IH$143</f>
        <v>133.6142619</v>
      </c>
      <c r="Q104" s="458">
        <f>'ANALYSE - ERP =&gt; SOUS-SEGMENT'!$II$143</f>
        <v>12.867669112499998</v>
      </c>
      <c r="R104" s="458">
        <f>'ANALYSE - ERP =&gt; SOUS-SEGMENT'!$IJ$143</f>
        <v>0.10689705000000001</v>
      </c>
      <c r="T104" s="430">
        <f>'ANALYSE - ERP =&gt; SOUS-SEGMENT'!$Q$143</f>
        <v>1</v>
      </c>
    </row>
    <row r="105" spans="1:20" ht="15" customHeight="1">
      <c r="A105" s="26">
        <v>102</v>
      </c>
      <c r="B105" s="26">
        <v>102</v>
      </c>
      <c r="C105" s="422">
        <f>'ANALYSE - ERP =&gt; SOUS-SEGMENT'!$A$133</f>
        <v>126</v>
      </c>
      <c r="D105" s="417" t="str">
        <f>'ANALYSE - ERP =&gt; SOUS-SEGMENT'!$B$133</f>
        <v>Sécurité &amp; Justice</v>
      </c>
      <c r="E105" s="417" t="str">
        <f>'ANALYSE - ERP =&gt; SOUS-SEGMENT'!$C$133</f>
        <v xml:space="preserve">Commissariats / postes de police </v>
      </c>
      <c r="F105" s="417" t="str">
        <f>'ANALYSE - ERP =&gt; SOUS-SEGMENT'!$D$133</f>
        <v>Postes de proximité et antennes avec accueil public</v>
      </c>
      <c r="H105" s="458">
        <f>'ANALYSE - ERP =&gt; SOUS-SEGMENT'!$HZ$133</f>
        <v>20.08325</v>
      </c>
      <c r="I105" s="458">
        <f>'ANALYSE - ERP =&gt; SOUS-SEGMENT'!$IA$133</f>
        <v>143.31349999999998</v>
      </c>
      <c r="J105" s="458">
        <f>'ANALYSE - ERP =&gt; SOUS-SEGMENT'!$IB$133</f>
        <v>84.103249999999989</v>
      </c>
      <c r="K105" s="458">
        <f>'ANALYSE - ERP =&gt; SOUS-SEGMENT'!$IC$133</f>
        <v>0</v>
      </c>
      <c r="L105" s="458">
        <f>'ANALYSE - ERP =&gt; SOUS-SEGMENT'!$ID$133</f>
        <v>0</v>
      </c>
      <c r="N105" s="458">
        <f>'ANALYSE - ERP =&gt; SOUS-SEGMENT'!$IF$133</f>
        <v>8.8412728977124999</v>
      </c>
      <c r="O105" s="458">
        <f>'ANALYSE - ERP =&gt; SOUS-SEGMENT'!$IG$133</f>
        <v>59.347655734966665</v>
      </c>
      <c r="P105" s="458">
        <f>'ANALYSE - ERP =&gt; SOUS-SEGMENT'!$IH$133</f>
        <v>54.715404650754166</v>
      </c>
      <c r="Q105" s="458">
        <f>'ANALYSE - ERP =&gt; SOUS-SEGMENT'!$II$133</f>
        <v>0.45135459156666669</v>
      </c>
      <c r="R105" s="458">
        <f>'ANALYSE - ERP =&gt; SOUS-SEGMENT'!$IJ$133</f>
        <v>0</v>
      </c>
      <c r="T105" s="430">
        <f>'ANALYSE - ERP =&gt; SOUS-SEGMENT'!$Q$133</f>
        <v>1</v>
      </c>
    </row>
    <row r="106" spans="1:20" s="45" customFormat="1" ht="15" customHeight="1">
      <c r="A106" s="406">
        <v>103</v>
      </c>
      <c r="B106" s="406">
        <v>103</v>
      </c>
      <c r="C106" s="448">
        <f>'ANALYSE - ERP =&gt; SOUS-SEGMENT'!$A$145</f>
        <v>138</v>
      </c>
      <c r="D106" s="423" t="str">
        <f>'ANALYSE - ERP =&gt; SOUS-SEGMENT'!$B$145</f>
        <v>Sécurité &amp; Justice</v>
      </c>
      <c r="E106" s="423" t="str">
        <f>'ANALYSE - ERP =&gt; SOUS-SEGMENT'!$C$145</f>
        <v>Univers carcéral</v>
      </c>
      <c r="F106" s="423" t="str">
        <f>'ANALYSE - ERP =&gt; SOUS-SEGMENT'!$D$145</f>
        <v>Centres pour peines aménagées
(absorbés par autres centres carcéraux)</v>
      </c>
      <c r="G106" s="685"/>
      <c r="H106" s="459">
        <f>'ANALYSE - ERP =&gt; SOUS-SEGMENT'!$HZ$145</f>
        <v>0</v>
      </c>
      <c r="I106" s="459">
        <f>'ANALYSE - ERP =&gt; SOUS-SEGMENT'!$IA$145</f>
        <v>0</v>
      </c>
      <c r="J106" s="459">
        <f>'ANALYSE - ERP =&gt; SOUS-SEGMENT'!$IB$145</f>
        <v>0</v>
      </c>
      <c r="K106" s="459">
        <f>'ANALYSE - ERP =&gt; SOUS-SEGMENT'!$IC$145</f>
        <v>0</v>
      </c>
      <c r="L106" s="459">
        <f>'ANALYSE - ERP =&gt; SOUS-SEGMENT'!$ID$145</f>
        <v>0</v>
      </c>
      <c r="M106" s="685"/>
      <c r="N106" s="459">
        <f>'ANALYSE - ERP =&gt; SOUS-SEGMENT'!$IF$145</f>
        <v>0</v>
      </c>
      <c r="O106" s="459">
        <f>'ANALYSE - ERP =&gt; SOUS-SEGMENT'!$IG$145</f>
        <v>0</v>
      </c>
      <c r="P106" s="459">
        <f>'ANALYSE - ERP =&gt; SOUS-SEGMENT'!$IH$145</f>
        <v>0</v>
      </c>
      <c r="Q106" s="459">
        <f>'ANALYSE - ERP =&gt; SOUS-SEGMENT'!$II$145</f>
        <v>0</v>
      </c>
      <c r="R106" s="459">
        <f>'ANALYSE - ERP =&gt; SOUS-SEGMENT'!$IJ$145</f>
        <v>0</v>
      </c>
      <c r="S106" s="685"/>
      <c r="T106" s="450">
        <f>'ANALYSE - ERP =&gt; SOUS-SEGMENT'!$Q$145</f>
        <v>0</v>
      </c>
    </row>
  </sheetData>
  <autoFilter ref="A2:T2" xr:uid="{00000000-0009-0000-0000-00001B000000}"/>
  <conditionalFormatting sqref="H4:L106">
    <cfRule type="colorScale" priority="2">
      <colorScale>
        <cfvo type="min"/>
        <cfvo type="formula" val="MEDIAN($H$4:$L$106)"/>
        <cfvo type="max"/>
        <color rgb="FFF8696B"/>
        <color theme="0"/>
        <color rgb="FF63BE7B"/>
      </colorScale>
    </cfRule>
  </conditionalFormatting>
  <conditionalFormatting sqref="N4:R106">
    <cfRule type="colorScale" priority="1">
      <colorScale>
        <cfvo type="min"/>
        <cfvo type="formula" val="MEDIAN($N$4:$R$106)"/>
        <cfvo type="max"/>
        <color rgb="FFF8696B"/>
        <color theme="0"/>
        <color rgb="FF63BE7B"/>
      </colorScale>
    </cfRule>
  </conditionalFormatting>
  <pageMargins left="3.937007874015748E-2" right="3.937007874015748E-2" top="7.874015748031496E-2" bottom="7.874015748031496E-2" header="0.11811023622047249" footer="0.11811023622047249"/>
  <pageSetup paperSize="8" scale="86" fitToHeight="2"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pageSetUpPr fitToPage="1"/>
  </sheetPr>
  <dimension ref="A1:BZ106"/>
  <sheetViews>
    <sheetView zoomScale="85" zoomScaleNormal="85" workbookViewId="0">
      <pane ySplit="3" topLeftCell="A4" activePane="bottomLeft" state="frozen"/>
      <selection activeCell="K28" sqref="K28"/>
      <selection pane="bottomLeft" activeCell="D22" sqref="D22"/>
    </sheetView>
  </sheetViews>
  <sheetFormatPr baseColWidth="10" defaultColWidth="9.140625" defaultRowHeight="15"/>
  <cols>
    <col min="1" max="2" width="9" style="934" customWidth="1"/>
    <col min="3" max="3" width="6" style="934" customWidth="1"/>
    <col min="4" max="4" width="30.5703125" style="934" customWidth="1"/>
    <col min="5" max="5" width="27.7109375" style="43" customWidth="1"/>
    <col min="6" max="6" width="51.7109375" style="43" customWidth="1"/>
    <col min="7" max="7" width="1.7109375" style="933" customWidth="1"/>
    <col min="8" max="8" width="8.7109375" style="43" customWidth="1"/>
    <col min="9" max="12" width="8.7109375" style="934" customWidth="1"/>
    <col min="13" max="13" width="1.7109375" style="933" customWidth="1"/>
    <col min="14" max="18" width="8.710937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7973</v>
      </c>
      <c r="F1" s="479"/>
      <c r="H1" s="474"/>
      <c r="I1" s="474"/>
      <c r="J1" s="475" t="s">
        <v>7968</v>
      </c>
      <c r="K1" s="474"/>
      <c r="L1" s="474"/>
      <c r="N1" s="452"/>
      <c r="O1" s="452"/>
      <c r="P1" s="476" t="s">
        <v>7969</v>
      </c>
      <c r="Q1" s="452"/>
      <c r="R1" s="452"/>
      <c r="T1" s="452"/>
    </row>
    <row r="2" spans="1:20" ht="45" customHeight="1">
      <c r="A2" s="829" t="s">
        <v>6712</v>
      </c>
      <c r="B2" s="829" t="s">
        <v>6713</v>
      </c>
      <c r="C2" s="420"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405" t="s">
        <v>2086</v>
      </c>
      <c r="E3" s="405" t="s">
        <v>6728</v>
      </c>
      <c r="F3" s="405" t="s">
        <v>6729</v>
      </c>
      <c r="H3" s="790">
        <f>'ANALYSE - ERP =&gt; SOUS-SEGMENT'!IO6</f>
        <v>5.0700000000000002E-2</v>
      </c>
      <c r="I3" s="790">
        <f>'ANALYSE - ERP =&gt; SOUS-SEGMENT'!IP6</f>
        <v>0.34889999999999999</v>
      </c>
      <c r="J3" s="790">
        <f>'ANALYSE - ERP =&gt; SOUS-SEGMENT'!IQ6</f>
        <v>0.43190000000000001</v>
      </c>
      <c r="K3" s="790">
        <f>'ANALYSE - ERP =&gt; SOUS-SEGMENT'!IR6</f>
        <v>0.1497</v>
      </c>
      <c r="L3" s="790">
        <f>'ANALYSE - ERP =&gt; SOUS-SEGMENT'!IS6</f>
        <v>1.8800000000000001E-2</v>
      </c>
      <c r="N3" s="790">
        <f>'ANALYSE - ERP =&gt; SOUS-SEGMENT'!IT6</f>
        <v>0.02</v>
      </c>
      <c r="O3" s="790">
        <f>'ANALYSE - ERP =&gt; SOUS-SEGMENT'!IU6</f>
        <v>0.2326</v>
      </c>
      <c r="P3" s="790">
        <f>'ANALYSE - ERP =&gt; SOUS-SEGMENT'!IV6</f>
        <v>0.46829999999999999</v>
      </c>
      <c r="Q3" s="790">
        <f>'ANALYSE - ERP =&gt; SOUS-SEGMENT'!IW6</f>
        <v>0.23760000000000001</v>
      </c>
      <c r="R3" s="790">
        <f>'ANALYSE - ERP =&gt; SOUS-SEGMENT'!IX6</f>
        <v>4.1500000000000002E-2</v>
      </c>
      <c r="T3" s="428">
        <f>SUM('ANALYSE - ERP =&gt; SOUS-SEGMENT'!$Q$8:$Q$150)</f>
        <v>137</v>
      </c>
    </row>
    <row r="4" spans="1:20" ht="15" customHeight="1">
      <c r="A4" s="26">
        <v>1</v>
      </c>
      <c r="B4" s="26">
        <v>1</v>
      </c>
      <c r="C4" s="422">
        <f>'ANALYSE - ERP =&gt; SOUS-SEGMENT'!$A$92</f>
        <v>85</v>
      </c>
      <c r="D4" s="412" t="str">
        <f>'ANALYSE - ERP =&gt; SOUS-SEGMENT'!$B$92</f>
        <v>Hébergement Touristique</v>
      </c>
      <c r="E4" s="412" t="str">
        <f>'ANALYSE - ERP =&gt; SOUS-SEGMENT'!$C$92</f>
        <v>Hébergement Montagne</v>
      </c>
      <c r="F4" s="412" t="str">
        <f>'ANALYSE - ERP =&gt; SOUS-SEGMENT'!$D$92</f>
        <v>Hôtels-restaurants d’altitude</v>
      </c>
      <c r="H4" s="787">
        <f>'ANALYSE - ERP =&gt; SOUS-SEGMENT'!$IO$92</f>
        <v>0</v>
      </c>
      <c r="I4" s="787">
        <f>'ANALYSE - ERP =&gt; SOUS-SEGMENT'!$IP$92</f>
        <v>0</v>
      </c>
      <c r="J4" s="787">
        <f>'ANALYSE - ERP =&gt; SOUS-SEGMENT'!$IQ$92</f>
        <v>0.28039999999999998</v>
      </c>
      <c r="K4" s="787">
        <f>'ANALYSE - ERP =&gt; SOUS-SEGMENT'!$IR$92</f>
        <v>0.53959999999999997</v>
      </c>
      <c r="L4" s="787">
        <f>'ANALYSE - ERP =&gt; SOUS-SEGMENT'!$IS$92</f>
        <v>0.18</v>
      </c>
      <c r="N4" s="787">
        <f>'ANALYSE - ERP =&gt; SOUS-SEGMENT'!$IT$92</f>
        <v>0</v>
      </c>
      <c r="O4" s="787">
        <f>'ANALYSE - ERP =&gt; SOUS-SEGMENT'!$IU$92</f>
        <v>0</v>
      </c>
      <c r="P4" s="787">
        <f>'ANALYSE - ERP =&gt; SOUS-SEGMENT'!$IV$92</f>
        <v>0.19570000000000001</v>
      </c>
      <c r="Q4" s="787">
        <f>'ANALYSE - ERP =&gt; SOUS-SEGMENT'!$IW$92</f>
        <v>0.55430000000000001</v>
      </c>
      <c r="R4" s="787">
        <f>'ANALYSE - ERP =&gt; SOUS-SEGMENT'!$IX$92</f>
        <v>0.25</v>
      </c>
      <c r="T4" s="430">
        <f>'ANALYSE - ERP =&gt; SOUS-SEGMENT'!$Q$92</f>
        <v>1</v>
      </c>
    </row>
    <row r="5" spans="1:20" ht="15" customHeight="1">
      <c r="A5" s="26">
        <v>2</v>
      </c>
      <c r="B5" s="26">
        <v>4</v>
      </c>
      <c r="C5" s="422">
        <f>'ANALYSE - ERP =&gt; SOUS-SEGMENT'!$A$61</f>
        <v>54</v>
      </c>
      <c r="D5" s="409" t="str">
        <f>'ANALYSE - ERP =&gt; SOUS-SEGMENT'!$B$61</f>
        <v>Santé &amp; Médico-social</v>
      </c>
      <c r="E5" s="409" t="str">
        <f>'ANALYSE - ERP =&gt; SOUS-SEGMENT'!$C$61</f>
        <v>Médico-social</v>
      </c>
      <c r="F5" s="409" t="str">
        <f>'ANALYSE - ERP =&gt; SOUS-SEGMENT'!$D$61</f>
        <v>Résidences services seniors
(Privé)</v>
      </c>
      <c r="H5" s="787">
        <f>'ANALYSE - ERP =&gt; SOUS-SEGMENT'!$IO$61</f>
        <v>0</v>
      </c>
      <c r="I5" s="787">
        <f>'ANALYSE - ERP =&gt; SOUS-SEGMENT'!$IP$61</f>
        <v>0</v>
      </c>
      <c r="J5" s="787">
        <f>'ANALYSE - ERP =&gt; SOUS-SEGMENT'!$IQ$61</f>
        <v>0.4032</v>
      </c>
      <c r="K5" s="787">
        <f>'ANALYSE - ERP =&gt; SOUS-SEGMENT'!$IR$61</f>
        <v>0.49680000000000002</v>
      </c>
      <c r="L5" s="787">
        <f>'ANALYSE - ERP =&gt; SOUS-SEGMENT'!$IS$61</f>
        <v>0.1</v>
      </c>
      <c r="N5" s="787">
        <f>'ANALYSE - ERP =&gt; SOUS-SEGMENT'!$IT$61</f>
        <v>0</v>
      </c>
      <c r="O5" s="787">
        <f>'ANALYSE - ERP =&gt; SOUS-SEGMENT'!$IU$61</f>
        <v>0</v>
      </c>
      <c r="P5" s="787">
        <f>'ANALYSE - ERP =&gt; SOUS-SEGMENT'!$IV$61</f>
        <v>0.22489999999999999</v>
      </c>
      <c r="Q5" s="787">
        <f>'ANALYSE - ERP =&gt; SOUS-SEGMENT'!$IW$61</f>
        <v>0.6351</v>
      </c>
      <c r="R5" s="787">
        <f>'ANALYSE - ERP =&gt; SOUS-SEGMENT'!$IX$61</f>
        <v>0.14000000000000001</v>
      </c>
      <c r="T5" s="430">
        <f>'ANALYSE - ERP =&gt; SOUS-SEGMENT'!$Q$61</f>
        <v>1</v>
      </c>
    </row>
    <row r="6" spans="1:20" ht="15" customHeight="1">
      <c r="A6" s="26">
        <v>3</v>
      </c>
      <c r="B6" s="26">
        <v>3</v>
      </c>
      <c r="C6" s="422">
        <f>'ANALYSE - ERP =&gt; SOUS-SEGMENT'!$A$89</f>
        <v>82</v>
      </c>
      <c r="D6" s="412" t="str">
        <f>'ANALYSE - ERP =&gt; SOUS-SEGMENT'!$B$89</f>
        <v>Hébergement Touristique</v>
      </c>
      <c r="E6" s="412" t="str">
        <f>'ANALYSE - ERP =&gt; SOUS-SEGMENT'!$C$89</f>
        <v>Hébergement Touristique</v>
      </c>
      <c r="F6" s="412" t="str">
        <f>'ANALYSE - ERP =&gt; SOUS-SEGMENT'!$D$89</f>
        <v>Résidences de tourisme</v>
      </c>
      <c r="H6" s="787">
        <f>'ANALYSE - ERP =&gt; SOUS-SEGMENT'!$IO$89</f>
        <v>0.1</v>
      </c>
      <c r="I6" s="787">
        <f>'ANALYSE - ERP =&gt; SOUS-SEGMENT'!$IP$89</f>
        <v>0.53</v>
      </c>
      <c r="J6" s="787">
        <f>'ANALYSE - ERP =&gt; SOUS-SEGMENT'!$IQ$89</f>
        <v>0.34</v>
      </c>
      <c r="K6" s="787">
        <f>'ANALYSE - ERP =&gt; SOUS-SEGMENT'!$IR$89</f>
        <v>0.03</v>
      </c>
      <c r="L6" s="787">
        <f>'ANALYSE - ERP =&gt; SOUS-SEGMENT'!$IS$89</f>
        <v>0</v>
      </c>
      <c r="N6" s="787">
        <f>'ANALYSE - ERP =&gt; SOUS-SEGMENT'!$IT$89</f>
        <v>8.1500000000000003E-2</v>
      </c>
      <c r="O6" s="787">
        <f>'ANALYSE - ERP =&gt; SOUS-SEGMENT'!$IU$89</f>
        <v>0.50739999999999996</v>
      </c>
      <c r="P6" s="787">
        <f>'ANALYSE - ERP =&gt; SOUS-SEGMENT'!$IV$89</f>
        <v>0.3584</v>
      </c>
      <c r="Q6" s="787">
        <f>'ANALYSE - ERP =&gt; SOUS-SEGMENT'!$IW$89</f>
        <v>4.8399999999999999E-2</v>
      </c>
      <c r="R6" s="787">
        <f>'ANALYSE - ERP =&gt; SOUS-SEGMENT'!$IX$89</f>
        <v>4.3E-3</v>
      </c>
      <c r="T6" s="430">
        <f>'ANALYSE - ERP =&gt; SOUS-SEGMENT'!$Q$89</f>
        <v>1</v>
      </c>
    </row>
    <row r="7" spans="1:20" ht="15" customHeight="1">
      <c r="A7" s="26">
        <v>4</v>
      </c>
      <c r="B7" s="26">
        <v>5</v>
      </c>
      <c r="C7" s="422">
        <f>'ANALYSE - ERP =&gt; SOUS-SEGMENT'!$A$124</f>
        <v>117</v>
      </c>
      <c r="D7" s="413" t="str">
        <f>'ANALYSE - ERP =&gt; SOUS-SEGMENT'!$B$124</f>
        <v>Transport, Mobilité &amp; Stationnement</v>
      </c>
      <c r="E7" s="413" t="str">
        <f>'ANALYSE - ERP =&gt; SOUS-SEGMENT'!$C$124</f>
        <v>Transport / Mobilité</v>
      </c>
      <c r="F7" s="413" t="str">
        <f>'ANALYSE - ERP =&gt; SOUS-SEGMENT'!$D$124</f>
        <v>Aéroports / aérogares
(&gt;1 000 passagers/an)</v>
      </c>
      <c r="H7" s="787">
        <f>'ANALYSE - ERP =&gt; SOUS-SEGMENT'!$IO$124</f>
        <v>0</v>
      </c>
      <c r="I7" s="787">
        <f>'ANALYSE - ERP =&gt; SOUS-SEGMENT'!$IP$124</f>
        <v>6.2100000000000002E-2</v>
      </c>
      <c r="J7" s="787">
        <f>'ANALYSE - ERP =&gt; SOUS-SEGMENT'!$IQ$124</f>
        <v>0.36299999999999999</v>
      </c>
      <c r="K7" s="787">
        <f>'ANALYSE - ERP =&gt; SOUS-SEGMENT'!$IR$124</f>
        <v>0.48320000000000002</v>
      </c>
      <c r="L7" s="787">
        <f>'ANALYSE - ERP =&gt; SOUS-SEGMENT'!$IS$124</f>
        <v>9.1700000000000004E-2</v>
      </c>
      <c r="N7" s="787">
        <f>'ANALYSE - ERP =&gt; SOUS-SEGMENT'!$IT$124</f>
        <v>0</v>
      </c>
      <c r="O7" s="787">
        <f>'ANALYSE - ERP =&gt; SOUS-SEGMENT'!$IU$124</f>
        <v>3.9399999999999998E-2</v>
      </c>
      <c r="P7" s="787">
        <f>'ANALYSE - ERP =&gt; SOUS-SEGMENT'!$IV$124</f>
        <v>0.23280000000000001</v>
      </c>
      <c r="Q7" s="787">
        <f>'ANALYSE - ERP =&gt; SOUS-SEGMENT'!$IW$124</f>
        <v>0.54779999999999995</v>
      </c>
      <c r="R7" s="787">
        <f>'ANALYSE - ERP =&gt; SOUS-SEGMENT'!$IX$124</f>
        <v>0.18</v>
      </c>
      <c r="T7" s="430">
        <f>'ANALYSE - ERP =&gt; SOUS-SEGMENT'!$Q$124</f>
        <v>1</v>
      </c>
    </row>
    <row r="8" spans="1:20" ht="15" customHeight="1">
      <c r="A8" s="26">
        <v>5</v>
      </c>
      <c r="B8" s="26">
        <v>2</v>
      </c>
      <c r="C8" s="422">
        <f>'ANALYSE - ERP =&gt; SOUS-SEGMENT'!$A$87</f>
        <v>80</v>
      </c>
      <c r="D8" s="412" t="str">
        <f>'ANALYSE - ERP =&gt; SOUS-SEGMENT'!$B$87</f>
        <v>Hébergement Touristique</v>
      </c>
      <c r="E8" s="412" t="str">
        <f>'ANALYSE - ERP =&gt; SOUS-SEGMENT'!$C$87</f>
        <v>Hébergement Touristique</v>
      </c>
      <c r="F8" s="412" t="str">
        <f>'ANALYSE - ERP =&gt; SOUS-SEGMENT'!$D$87</f>
        <v>Hôtels 
(hors autres hébérgements touristiques)</v>
      </c>
      <c r="H8" s="787">
        <f>'ANALYSE - ERP =&gt; SOUS-SEGMENT'!$IO$87</f>
        <v>0.01</v>
      </c>
      <c r="I8" s="787">
        <f>'ANALYSE - ERP =&gt; SOUS-SEGMENT'!$IP$87</f>
        <v>0.28000000000000003</v>
      </c>
      <c r="J8" s="787">
        <f>'ANALYSE - ERP =&gt; SOUS-SEGMENT'!$IQ$87</f>
        <v>0.5</v>
      </c>
      <c r="K8" s="787">
        <f>'ANALYSE - ERP =&gt; SOUS-SEGMENT'!$IR$87</f>
        <v>0.19</v>
      </c>
      <c r="L8" s="787">
        <f>'ANALYSE - ERP =&gt; SOUS-SEGMENT'!$IS$87</f>
        <v>0.02</v>
      </c>
      <c r="N8" s="787">
        <f>'ANALYSE - ERP =&gt; SOUS-SEGMENT'!$IT$87</f>
        <v>0</v>
      </c>
      <c r="O8" s="787">
        <f>'ANALYSE - ERP =&gt; SOUS-SEGMENT'!$IU$87</f>
        <v>0.24310000000000001</v>
      </c>
      <c r="P8" s="787">
        <f>'ANALYSE - ERP =&gt; SOUS-SEGMENT'!$IV$87</f>
        <v>0.5181</v>
      </c>
      <c r="Q8" s="787">
        <f>'ANALYSE - ERP =&gt; SOUS-SEGMENT'!$IW$87</f>
        <v>0.2132</v>
      </c>
      <c r="R8" s="787">
        <f>'ANALYSE - ERP =&gt; SOUS-SEGMENT'!$IX$87</f>
        <v>2.5600000000000001E-2</v>
      </c>
      <c r="T8" s="430">
        <f>'ANALYSE - ERP =&gt; SOUS-SEGMENT'!$Q$87</f>
        <v>1</v>
      </c>
    </row>
    <row r="9" spans="1:20" ht="15" customHeight="1">
      <c r="A9" s="26">
        <v>6</v>
      </c>
      <c r="B9" s="26">
        <v>12</v>
      </c>
      <c r="C9" s="422">
        <f>'ANALYSE - ERP =&gt; SOUS-SEGMENT'!$A$54</f>
        <v>47</v>
      </c>
      <c r="D9" s="409" t="str">
        <f>'ANALYSE - ERP =&gt; SOUS-SEGMENT'!$B$54</f>
        <v>Santé &amp; Médico-social</v>
      </c>
      <c r="E9" s="409" t="str">
        <f>'ANALYSE - ERP =&gt; SOUS-SEGMENT'!$C$54</f>
        <v>Santé ambulatoire</v>
      </c>
      <c r="F9" s="409" t="str">
        <f>'ANALYSE - ERP =&gt; SOUS-SEGMENT'!$D$54</f>
        <v>Maisons de santé</v>
      </c>
      <c r="H9" s="787">
        <f>'ANALYSE - ERP =&gt; SOUS-SEGMENT'!$IO$54</f>
        <v>0</v>
      </c>
      <c r="I9" s="787">
        <f>'ANALYSE - ERP =&gt; SOUS-SEGMENT'!$IP$54</f>
        <v>9.3200000000000005E-2</v>
      </c>
      <c r="J9" s="787">
        <f>'ANALYSE - ERP =&gt; SOUS-SEGMENT'!$IQ$54</f>
        <v>0.53490000000000004</v>
      </c>
      <c r="K9" s="787">
        <f>'ANALYSE - ERP =&gt; SOUS-SEGMENT'!$IR$54</f>
        <v>0.33989999999999998</v>
      </c>
      <c r="L9" s="787">
        <f>'ANALYSE - ERP =&gt; SOUS-SEGMENT'!$IS$54</f>
        <v>3.2000000000000001E-2</v>
      </c>
      <c r="N9" s="787">
        <f>'ANALYSE - ERP =&gt; SOUS-SEGMENT'!$IT$54</f>
        <v>0</v>
      </c>
      <c r="O9" s="787">
        <f>'ANALYSE - ERP =&gt; SOUS-SEGMENT'!$IU$54</f>
        <v>8.9999999999999993E-3</v>
      </c>
      <c r="P9" s="787">
        <f>'ANALYSE - ERP =&gt; SOUS-SEGMENT'!$IV$54</f>
        <v>0.2949</v>
      </c>
      <c r="Q9" s="787">
        <f>'ANALYSE - ERP =&gt; SOUS-SEGMENT'!$IW$54</f>
        <v>0.59609999999999996</v>
      </c>
      <c r="R9" s="787">
        <f>'ANALYSE - ERP =&gt; SOUS-SEGMENT'!$IX$54</f>
        <v>0.1</v>
      </c>
      <c r="T9" s="430">
        <f>'ANALYSE - ERP =&gt; SOUS-SEGMENT'!$Q$54</f>
        <v>1</v>
      </c>
    </row>
    <row r="10" spans="1:20" ht="15" customHeight="1">
      <c r="A10" s="26">
        <v>7</v>
      </c>
      <c r="B10" s="26">
        <v>6</v>
      </c>
      <c r="C10" s="422">
        <f>'ANALYSE - ERP =&gt; SOUS-SEGMENT'!$A$45</f>
        <v>38</v>
      </c>
      <c r="D10" s="409" t="str">
        <f>'ANALYSE - ERP =&gt; SOUS-SEGMENT'!$B$45</f>
        <v>Santé &amp; Médico-social</v>
      </c>
      <c r="E10" s="409" t="str">
        <f>'ANALYSE - ERP =&gt; SOUS-SEGMENT'!$C$45</f>
        <v>Santé hospitalière</v>
      </c>
      <c r="F10" s="409" t="str">
        <f>'ANALYSE - ERP =&gt; SOUS-SEGMENT'!$D$45</f>
        <v>Hôpitaux privés</v>
      </c>
      <c r="H10" s="787">
        <f>'ANALYSE - ERP =&gt; SOUS-SEGMENT'!$IO$45</f>
        <v>0</v>
      </c>
      <c r="I10" s="787">
        <f>'ANALYSE - ERP =&gt; SOUS-SEGMENT'!$IP$45</f>
        <v>7.7799999999999994E-2</v>
      </c>
      <c r="J10" s="787">
        <f>'ANALYSE - ERP =&gt; SOUS-SEGMENT'!$IQ$45</f>
        <v>0.54769999999999996</v>
      </c>
      <c r="K10" s="787">
        <f>'ANALYSE - ERP =&gt; SOUS-SEGMENT'!$IR$45</f>
        <v>0.34749999999999998</v>
      </c>
      <c r="L10" s="787">
        <f>'ANALYSE - ERP =&gt; SOUS-SEGMENT'!$IS$45</f>
        <v>2.7E-2</v>
      </c>
      <c r="N10" s="787">
        <f>'ANALYSE - ERP =&gt; SOUS-SEGMENT'!$IT$45</f>
        <v>0</v>
      </c>
      <c r="O10" s="787">
        <f>'ANALYSE - ERP =&gt; SOUS-SEGMENT'!$IU$45</f>
        <v>5.0000000000000001E-3</v>
      </c>
      <c r="P10" s="787">
        <f>'ANALYSE - ERP =&gt; SOUS-SEGMENT'!$IV$45</f>
        <v>0.43909999999999999</v>
      </c>
      <c r="Q10" s="787">
        <f>'ANALYSE - ERP =&gt; SOUS-SEGMENT'!$IW$45</f>
        <v>0.48449999999999999</v>
      </c>
      <c r="R10" s="787">
        <f>'ANALYSE - ERP =&gt; SOUS-SEGMENT'!$IX$45</f>
        <v>7.1400000000000005E-2</v>
      </c>
      <c r="T10" s="430">
        <f>'ANALYSE - ERP =&gt; SOUS-SEGMENT'!$Q$45</f>
        <v>1</v>
      </c>
    </row>
    <row r="11" spans="1:20" s="45" customFormat="1" ht="15" customHeight="1">
      <c r="A11" s="26">
        <v>8</v>
      </c>
      <c r="B11" s="26">
        <v>7</v>
      </c>
      <c r="C11" s="422">
        <f>'ANALYSE - ERP =&gt; SOUS-SEGMENT'!$A$46</f>
        <v>39</v>
      </c>
      <c r="D11" s="409" t="str">
        <f>'ANALYSE - ERP =&gt; SOUS-SEGMENT'!$B$46</f>
        <v>Santé &amp; Médico-social</v>
      </c>
      <c r="E11" s="409" t="str">
        <f>'ANALYSE - ERP =&gt; SOUS-SEGMENT'!$C$46</f>
        <v>Santé hospitalière</v>
      </c>
      <c r="F11" s="409" t="str">
        <f>'ANALYSE - ERP =&gt; SOUS-SEGMENT'!$D$46</f>
        <v>Cliniques</v>
      </c>
      <c r="G11" s="685"/>
      <c r="H11" s="787">
        <f>'ANALYSE - ERP =&gt; SOUS-SEGMENT'!$IO$46</f>
        <v>0</v>
      </c>
      <c r="I11" s="787">
        <f>'ANALYSE - ERP =&gt; SOUS-SEGMENT'!$IP$46</f>
        <v>3.7400000000000003E-2</v>
      </c>
      <c r="J11" s="787">
        <f>'ANALYSE - ERP =&gt; SOUS-SEGMENT'!$IQ$46</f>
        <v>0.50339999999999996</v>
      </c>
      <c r="K11" s="787">
        <f>'ANALYSE - ERP =&gt; SOUS-SEGMENT'!$IR$46</f>
        <v>0.41510000000000002</v>
      </c>
      <c r="L11" s="787">
        <f>'ANALYSE - ERP =&gt; SOUS-SEGMENT'!$IS$46</f>
        <v>4.41E-2</v>
      </c>
      <c r="M11" s="685"/>
      <c r="N11" s="787">
        <f>'ANALYSE - ERP =&gt; SOUS-SEGMENT'!$IT$46</f>
        <v>0</v>
      </c>
      <c r="O11" s="787">
        <f>'ANALYSE - ERP =&gt; SOUS-SEGMENT'!$IU$46</f>
        <v>0</v>
      </c>
      <c r="P11" s="787">
        <f>'ANALYSE - ERP =&gt; SOUS-SEGMENT'!$IV$46</f>
        <v>0.371</v>
      </c>
      <c r="Q11" s="787">
        <f>'ANALYSE - ERP =&gt; SOUS-SEGMENT'!$IW$46</f>
        <v>0.52210000000000001</v>
      </c>
      <c r="R11" s="787">
        <f>'ANALYSE - ERP =&gt; SOUS-SEGMENT'!$IX$46</f>
        <v>0.1069</v>
      </c>
      <c r="S11" s="685"/>
      <c r="T11" s="430">
        <f>'ANALYSE - ERP =&gt; SOUS-SEGMENT'!$Q$46</f>
        <v>1</v>
      </c>
    </row>
    <row r="12" spans="1:20" ht="15" customHeight="1">
      <c r="A12" s="26">
        <v>9</v>
      </c>
      <c r="B12" s="26">
        <v>10</v>
      </c>
      <c r="C12" s="422">
        <f>'ANALYSE - ERP =&gt; SOUS-SEGMENT'!$A$127</f>
        <v>120</v>
      </c>
      <c r="D12" s="413" t="str">
        <f>'ANALYSE - ERP =&gt; SOUS-SEGMENT'!$B$127</f>
        <v>Transport, Mobilité &amp; Stationnement</v>
      </c>
      <c r="E12" s="413" t="str">
        <f>'ANALYSE - ERP =&gt; SOUS-SEGMENT'!$C$127</f>
        <v>Transport / Mobilité</v>
      </c>
      <c r="F12" s="413" t="str">
        <f>'ANALYSE - ERP =&gt; SOUS-SEGMENT'!$D$127</f>
        <v>Terminaux maritimes / fluviaux</v>
      </c>
      <c r="H12" s="787">
        <f>'ANALYSE - ERP =&gt; SOUS-SEGMENT'!$IO$127</f>
        <v>0</v>
      </c>
      <c r="I12" s="787">
        <f>'ANALYSE - ERP =&gt; SOUS-SEGMENT'!$IP$127</f>
        <v>7.46E-2</v>
      </c>
      <c r="J12" s="787">
        <f>'ANALYSE - ERP =&gt; SOUS-SEGMENT'!$IQ$127</f>
        <v>0.40889999999999999</v>
      </c>
      <c r="K12" s="787">
        <f>'ANALYSE - ERP =&gt; SOUS-SEGMENT'!$IR$127</f>
        <v>0.45029999999999998</v>
      </c>
      <c r="L12" s="787">
        <f>'ANALYSE - ERP =&gt; SOUS-SEGMENT'!$IS$127</f>
        <v>6.6199999999999995E-2</v>
      </c>
      <c r="N12" s="787">
        <f>'ANALYSE - ERP =&gt; SOUS-SEGMENT'!$IT$127</f>
        <v>0</v>
      </c>
      <c r="O12" s="787">
        <f>'ANALYSE - ERP =&gt; SOUS-SEGMENT'!$IU$127</f>
        <v>4.2000000000000003E-2</v>
      </c>
      <c r="P12" s="787">
        <f>'ANALYSE - ERP =&gt; SOUS-SEGMENT'!$IV$127</f>
        <v>0.24610000000000001</v>
      </c>
      <c r="Q12" s="787">
        <f>'ANALYSE - ERP =&gt; SOUS-SEGMENT'!$IW$127</f>
        <v>0.53190000000000004</v>
      </c>
      <c r="R12" s="787">
        <f>'ANALYSE - ERP =&gt; SOUS-SEGMENT'!$IX$127</f>
        <v>0.18</v>
      </c>
      <c r="T12" s="430">
        <f>'ANALYSE - ERP =&gt; SOUS-SEGMENT'!$Q$127</f>
        <v>1</v>
      </c>
    </row>
    <row r="13" spans="1:20" s="45" customFormat="1" ht="15" customHeight="1">
      <c r="A13" s="406">
        <v>10</v>
      </c>
      <c r="B13" s="406">
        <v>8</v>
      </c>
      <c r="C13" s="448">
        <f>'ANALYSE - ERP =&gt; SOUS-SEGMENT'!$A$51</f>
        <v>44</v>
      </c>
      <c r="D13" s="449" t="str">
        <f>'ANALYSE - ERP =&gt; SOUS-SEGMENT'!$B$51</f>
        <v>Santé &amp; Médico-social</v>
      </c>
      <c r="E13" s="449" t="str">
        <f>'ANALYSE - ERP =&gt; SOUS-SEGMENT'!$C$51</f>
        <v>Santé spécialisée</v>
      </c>
      <c r="F13" s="449" t="str">
        <f>'ANALYSE - ERP =&gt; SOUS-SEGMENT'!$D$51</f>
        <v>Maternités</v>
      </c>
      <c r="G13" s="685"/>
      <c r="H13" s="788">
        <f>'ANALYSE - ERP =&gt; SOUS-SEGMENT'!$IO$51</f>
        <v>0</v>
      </c>
      <c r="I13" s="788">
        <f>'ANALYSE - ERP =&gt; SOUS-SEGMENT'!$IP$51</f>
        <v>5.5500000000000001E-2</v>
      </c>
      <c r="J13" s="788">
        <f>'ANALYSE - ERP =&gt; SOUS-SEGMENT'!$IQ$51</f>
        <v>0.54859999999999998</v>
      </c>
      <c r="K13" s="788">
        <f>'ANALYSE - ERP =&gt; SOUS-SEGMENT'!$IR$51</f>
        <v>0.39589999999999997</v>
      </c>
      <c r="L13" s="788">
        <f>'ANALYSE - ERP =&gt; SOUS-SEGMENT'!$IS$51</f>
        <v>0</v>
      </c>
      <c r="M13" s="685"/>
      <c r="N13" s="788">
        <f>'ANALYSE - ERP =&gt; SOUS-SEGMENT'!$IT$51</f>
        <v>0</v>
      </c>
      <c r="O13" s="788">
        <f>'ANALYSE - ERP =&gt; SOUS-SEGMENT'!$IU$51</f>
        <v>5.0000000000000001E-4</v>
      </c>
      <c r="P13" s="788">
        <f>'ANALYSE - ERP =&gt; SOUS-SEGMENT'!$IV$51</f>
        <v>0.44769999999999999</v>
      </c>
      <c r="Q13" s="788">
        <f>'ANALYSE - ERP =&gt; SOUS-SEGMENT'!$IW$51</f>
        <v>0.51780000000000004</v>
      </c>
      <c r="R13" s="788">
        <f>'ANALYSE - ERP =&gt; SOUS-SEGMENT'!$IX$51</f>
        <v>3.4000000000000002E-2</v>
      </c>
      <c r="S13" s="685"/>
      <c r="T13" s="450">
        <f>'ANALYSE - ERP =&gt; SOUS-SEGMENT'!$Q$51</f>
        <v>0</v>
      </c>
    </row>
    <row r="14" spans="1:20" ht="15" customHeight="1">
      <c r="A14" s="26">
        <v>11</v>
      </c>
      <c r="B14" s="26">
        <v>9</v>
      </c>
      <c r="C14" s="422">
        <f>'ANALYSE - ERP =&gt; SOUS-SEGMENT'!$A$58</f>
        <v>51</v>
      </c>
      <c r="D14" s="409" t="str">
        <f>'ANALYSE - ERP =&gt; SOUS-SEGMENT'!$B$58</f>
        <v>Santé &amp; Médico-social</v>
      </c>
      <c r="E14" s="409" t="str">
        <f>'ANALYSE - ERP =&gt; SOUS-SEGMENT'!$C$58</f>
        <v>Médico-social</v>
      </c>
      <c r="F14" s="409" t="str">
        <f>'ANALYSE - ERP =&gt; SOUS-SEGMENT'!$D$58</f>
        <v>EHPAD</v>
      </c>
      <c r="H14" s="787">
        <f>'ANALYSE - ERP =&gt; SOUS-SEGMENT'!$IO$58</f>
        <v>0</v>
      </c>
      <c r="I14" s="787">
        <f>'ANALYSE - ERP =&gt; SOUS-SEGMENT'!$IP$58</f>
        <v>0.1215</v>
      </c>
      <c r="J14" s="787">
        <f>'ANALYSE - ERP =&gt; SOUS-SEGMENT'!$IQ$58</f>
        <v>0.55869999999999997</v>
      </c>
      <c r="K14" s="787">
        <f>'ANALYSE - ERP =&gt; SOUS-SEGMENT'!$IR$58</f>
        <v>0.31979999999999997</v>
      </c>
      <c r="L14" s="787">
        <f>'ANALYSE - ERP =&gt; SOUS-SEGMENT'!$IS$58</f>
        <v>0</v>
      </c>
      <c r="N14" s="787">
        <f>'ANALYSE - ERP =&gt; SOUS-SEGMENT'!$IT$58</f>
        <v>0</v>
      </c>
      <c r="O14" s="787">
        <f>'ANALYSE - ERP =&gt; SOUS-SEGMENT'!$IU$58</f>
        <v>6.4500000000000002E-2</v>
      </c>
      <c r="P14" s="787">
        <f>'ANALYSE - ERP =&gt; SOUS-SEGMENT'!$IV$58</f>
        <v>0.50129999999999997</v>
      </c>
      <c r="Q14" s="787">
        <f>'ANALYSE - ERP =&gt; SOUS-SEGMENT'!$IW$58</f>
        <v>0.41839999999999999</v>
      </c>
      <c r="R14" s="787">
        <f>'ANALYSE - ERP =&gt; SOUS-SEGMENT'!$IX$58</f>
        <v>1.5800000000000002E-2</v>
      </c>
      <c r="T14" s="430">
        <f>'ANALYSE - ERP =&gt; SOUS-SEGMENT'!$Q$58</f>
        <v>1</v>
      </c>
    </row>
    <row r="15" spans="1:20" s="45" customFormat="1" ht="15" customHeight="1">
      <c r="A15" s="406">
        <v>12</v>
      </c>
      <c r="B15" s="406">
        <v>11</v>
      </c>
      <c r="C15" s="448">
        <f>'ANALYSE - ERP =&gt; SOUS-SEGMENT'!$A$50</f>
        <v>43</v>
      </c>
      <c r="D15" s="449" t="str">
        <f>'ANALYSE - ERP =&gt; SOUS-SEGMENT'!$B$50</f>
        <v>Santé &amp; Médico-social</v>
      </c>
      <c r="E15" s="449" t="str">
        <f>'ANALYSE - ERP =&gt; SOUS-SEGMENT'!$C$50</f>
        <v>Santé spécialisée</v>
      </c>
      <c r="F15" s="449" t="str">
        <f>'ANALYSE - ERP =&gt; SOUS-SEGMENT'!$D$50</f>
        <v>Centres de rééducation</v>
      </c>
      <c r="G15" s="685"/>
      <c r="H15" s="788">
        <f>'ANALYSE - ERP =&gt; SOUS-SEGMENT'!$IO$50</f>
        <v>0</v>
      </c>
      <c r="I15" s="788">
        <f>'ANALYSE - ERP =&gt; SOUS-SEGMENT'!$IP$50</f>
        <v>0.1173</v>
      </c>
      <c r="J15" s="788">
        <f>'ANALYSE - ERP =&gt; SOUS-SEGMENT'!$IQ$50</f>
        <v>0.58240000000000003</v>
      </c>
      <c r="K15" s="788">
        <f>'ANALYSE - ERP =&gt; SOUS-SEGMENT'!$IR$50</f>
        <v>0.30030000000000001</v>
      </c>
      <c r="L15" s="788">
        <f>'ANALYSE - ERP =&gt; SOUS-SEGMENT'!$IS$50</f>
        <v>0</v>
      </c>
      <c r="M15" s="685"/>
      <c r="N15" s="788">
        <f>'ANALYSE - ERP =&gt; SOUS-SEGMENT'!$IT$50</f>
        <v>0</v>
      </c>
      <c r="O15" s="788">
        <f>'ANALYSE - ERP =&gt; SOUS-SEGMENT'!$IU$50</f>
        <v>3.7999999999999999E-2</v>
      </c>
      <c r="P15" s="788">
        <f>'ANALYSE - ERP =&gt; SOUS-SEGMENT'!$IV$50</f>
        <v>0.52649999999999997</v>
      </c>
      <c r="Q15" s="788">
        <f>'ANALYSE - ERP =&gt; SOUS-SEGMENT'!$IW$50</f>
        <v>0.43009999999999998</v>
      </c>
      <c r="R15" s="788">
        <f>'ANALYSE - ERP =&gt; SOUS-SEGMENT'!$IX$50</f>
        <v>5.4000000000000003E-3</v>
      </c>
      <c r="S15" s="685"/>
      <c r="T15" s="450">
        <f>'ANALYSE - ERP =&gt; SOUS-SEGMENT'!$Q$50</f>
        <v>0</v>
      </c>
    </row>
    <row r="16" spans="1:20" ht="15" customHeight="1">
      <c r="A16" s="26">
        <v>13</v>
      </c>
      <c r="B16" s="26">
        <v>13</v>
      </c>
      <c r="C16" s="422">
        <f>'ANALYSE - ERP =&gt; SOUS-SEGMENT'!$A$79</f>
        <v>72</v>
      </c>
      <c r="D16" s="408" t="str">
        <f>'ANALYSE - ERP =&gt; SOUS-SEGMENT'!$B$79</f>
        <v>Commerce, Restauration &amp; Loisirs</v>
      </c>
      <c r="E16" s="408" t="str">
        <f>'ANALYSE - ERP =&gt; SOUS-SEGMENT'!$C$79</f>
        <v>Commerce</v>
      </c>
      <c r="F16" s="408" t="str">
        <f>'ANALYSE - ERP =&gt; SOUS-SEGMENT'!$D$79</f>
        <v>Centres commerciaux / Malls
(dotés de sanitaires collectifs clients)</v>
      </c>
      <c r="H16" s="787">
        <f>'ANALYSE - ERP =&gt; SOUS-SEGMENT'!$IO$79</f>
        <v>0.01</v>
      </c>
      <c r="I16" s="787">
        <f>'ANALYSE - ERP =&gt; SOUS-SEGMENT'!$IP$79</f>
        <v>0.28000000000000003</v>
      </c>
      <c r="J16" s="787">
        <f>'ANALYSE - ERP =&gt; SOUS-SEGMENT'!$IQ$79</f>
        <v>0.5</v>
      </c>
      <c r="K16" s="787">
        <f>'ANALYSE - ERP =&gt; SOUS-SEGMENT'!$IR$79</f>
        <v>0.19</v>
      </c>
      <c r="L16" s="787">
        <f>'ANALYSE - ERP =&gt; SOUS-SEGMENT'!$IS$79</f>
        <v>0.02</v>
      </c>
      <c r="N16" s="787">
        <f>'ANALYSE - ERP =&gt; SOUS-SEGMENT'!$IT$79</f>
        <v>0</v>
      </c>
      <c r="O16" s="787">
        <f>'ANALYSE - ERP =&gt; SOUS-SEGMENT'!$IU$79</f>
        <v>0.24129999999999999</v>
      </c>
      <c r="P16" s="787">
        <f>'ANALYSE - ERP =&gt; SOUS-SEGMENT'!$IV$79</f>
        <v>0.51870000000000005</v>
      </c>
      <c r="Q16" s="787">
        <f>'ANALYSE - ERP =&gt; SOUS-SEGMENT'!$IW$79</f>
        <v>0.2142</v>
      </c>
      <c r="R16" s="787">
        <f>'ANALYSE - ERP =&gt; SOUS-SEGMENT'!$IX$79</f>
        <v>2.58E-2</v>
      </c>
      <c r="T16" s="430">
        <f>'ANALYSE - ERP =&gt; SOUS-SEGMENT'!$Q$79</f>
        <v>1</v>
      </c>
    </row>
    <row r="17" spans="1:20" ht="15" customHeight="1">
      <c r="A17" s="26">
        <v>14</v>
      </c>
      <c r="B17" s="26">
        <v>15</v>
      </c>
      <c r="C17" s="422">
        <f>'ANALYSE - ERP =&gt; SOUS-SEGMENT'!$A$17</f>
        <v>10</v>
      </c>
      <c r="D17" s="411" t="str">
        <f>'ANALYSE - ERP =&gt; SOUS-SEGMENT'!$B$17</f>
        <v>Enfance, Enseignement, Jeunesse &amp; Formation</v>
      </c>
      <c r="E17" s="411" t="str">
        <f>'ANALYSE - ERP =&gt; SOUS-SEGMENT'!$C$17</f>
        <v>Enseignement supérieur</v>
      </c>
      <c r="F17" s="411" t="str">
        <f>'ANALYSE - ERP =&gt; SOUS-SEGMENT'!$D$17</f>
        <v>Grandes écoles</v>
      </c>
      <c r="H17" s="787">
        <f>'ANALYSE - ERP =&gt; SOUS-SEGMENT'!$IO$17</f>
        <v>0</v>
      </c>
      <c r="I17" s="787">
        <f>'ANALYSE - ERP =&gt; SOUS-SEGMENT'!$IP$17</f>
        <v>9.8699999999999996E-2</v>
      </c>
      <c r="J17" s="787">
        <f>'ANALYSE - ERP =&gt; SOUS-SEGMENT'!$IQ$17</f>
        <v>0.4894</v>
      </c>
      <c r="K17" s="787">
        <f>'ANALYSE - ERP =&gt; SOUS-SEGMENT'!$IR$17</f>
        <v>0.36009999999999998</v>
      </c>
      <c r="L17" s="787">
        <f>'ANALYSE - ERP =&gt; SOUS-SEGMENT'!$IS$17</f>
        <v>5.1799999999999999E-2</v>
      </c>
      <c r="N17" s="787">
        <f>'ANALYSE - ERP =&gt; SOUS-SEGMENT'!$IT$17</f>
        <v>0</v>
      </c>
      <c r="O17" s="787">
        <f>'ANALYSE - ERP =&gt; SOUS-SEGMENT'!$IU$17</f>
        <v>1.4500000000000001E-2</v>
      </c>
      <c r="P17" s="787">
        <f>'ANALYSE - ERP =&gt; SOUS-SEGMENT'!$IV$17</f>
        <v>0.33200000000000002</v>
      </c>
      <c r="Q17" s="787">
        <f>'ANALYSE - ERP =&gt; SOUS-SEGMENT'!$IW$17</f>
        <v>0.51349999999999996</v>
      </c>
      <c r="R17" s="787">
        <f>'ANALYSE - ERP =&gt; SOUS-SEGMENT'!$IX$17</f>
        <v>0.14000000000000001</v>
      </c>
      <c r="T17" s="430">
        <f>'ANALYSE - ERP =&gt; SOUS-SEGMENT'!$Q$17</f>
        <v>1</v>
      </c>
    </row>
    <row r="18" spans="1:20" ht="15" customHeight="1">
      <c r="A18" s="26">
        <v>15</v>
      </c>
      <c r="B18" s="26">
        <v>14</v>
      </c>
      <c r="C18" s="422">
        <f>'ANALYSE - ERP =&gt; SOUS-SEGMENT'!$A$43</f>
        <v>36</v>
      </c>
      <c r="D18" s="409" t="str">
        <f>'ANALYSE - ERP =&gt; SOUS-SEGMENT'!$B$43</f>
        <v>Santé &amp; Médico-social</v>
      </c>
      <c r="E18" s="409" t="str">
        <f>'ANALYSE - ERP =&gt; SOUS-SEGMENT'!$C$43</f>
        <v>Santé hospitalière</v>
      </c>
      <c r="F18" s="409" t="str">
        <f>'ANALYSE - ERP =&gt; SOUS-SEGMENT'!$D$43</f>
        <v>Hôpitaux universitaires / CHU</v>
      </c>
      <c r="H18" s="787">
        <f>'ANALYSE - ERP =&gt; SOUS-SEGMENT'!$IO$43</f>
        <v>0</v>
      </c>
      <c r="I18" s="787">
        <f>'ANALYSE - ERP =&gt; SOUS-SEGMENT'!$IP$43</f>
        <v>0.22869999999999999</v>
      </c>
      <c r="J18" s="787">
        <f>'ANALYSE - ERP =&gt; SOUS-SEGMENT'!$IQ$43</f>
        <v>0.60499999999999998</v>
      </c>
      <c r="K18" s="787">
        <f>'ANALYSE - ERP =&gt; SOUS-SEGMENT'!$IR$43</f>
        <v>0.1663</v>
      </c>
      <c r="L18" s="787">
        <f>'ANALYSE - ERP =&gt; SOUS-SEGMENT'!$IS$43</f>
        <v>0</v>
      </c>
      <c r="N18" s="787">
        <f>'ANALYSE - ERP =&gt; SOUS-SEGMENT'!$IT$43</f>
        <v>0</v>
      </c>
      <c r="O18" s="787">
        <f>'ANALYSE - ERP =&gt; SOUS-SEGMENT'!$IU$43</f>
        <v>0.11609999999999999</v>
      </c>
      <c r="P18" s="787">
        <f>'ANALYSE - ERP =&gt; SOUS-SEGMENT'!$IV$43</f>
        <v>0.5766</v>
      </c>
      <c r="Q18" s="787">
        <f>'ANALYSE - ERP =&gt; SOUS-SEGMENT'!$IW$43</f>
        <v>0.30730000000000002</v>
      </c>
      <c r="R18" s="787">
        <f>'ANALYSE - ERP =&gt; SOUS-SEGMENT'!$IX$43</f>
        <v>0</v>
      </c>
      <c r="T18" s="430">
        <f>'ANALYSE - ERP =&gt; SOUS-SEGMENT'!$Q$43</f>
        <v>1</v>
      </c>
    </row>
    <row r="19" spans="1:20" ht="15" customHeight="1">
      <c r="A19" s="26">
        <v>16</v>
      </c>
      <c r="B19" s="26">
        <v>16</v>
      </c>
      <c r="C19" s="422">
        <f>'ANALYSE - ERP =&gt; SOUS-SEGMENT'!$A$53</f>
        <v>46</v>
      </c>
      <c r="D19" s="409" t="str">
        <f>'ANALYSE - ERP =&gt; SOUS-SEGMENT'!$B$53</f>
        <v>Santé &amp; Médico-social</v>
      </c>
      <c r="E19" s="409" t="str">
        <f>'ANALYSE - ERP =&gt; SOUS-SEGMENT'!$C$53</f>
        <v>Santé ambulatoire</v>
      </c>
      <c r="F19" s="409" t="str">
        <f>'ANALYSE - ERP =&gt; SOUS-SEGMENT'!$D$53</f>
        <v>Centres de santé / Centres médicaux</v>
      </c>
      <c r="H19" s="787">
        <f>'ANALYSE - ERP =&gt; SOUS-SEGMENT'!$IO$53</f>
        <v>0</v>
      </c>
      <c r="I19" s="787">
        <f>'ANALYSE - ERP =&gt; SOUS-SEGMENT'!$IP$53</f>
        <v>0.23799999999999999</v>
      </c>
      <c r="J19" s="787">
        <f>'ANALYSE - ERP =&gt; SOUS-SEGMENT'!$IQ$53</f>
        <v>0.58479999999999999</v>
      </c>
      <c r="K19" s="787">
        <f>'ANALYSE - ERP =&gt; SOUS-SEGMENT'!$IR$53</f>
        <v>0.1772</v>
      </c>
      <c r="L19" s="787">
        <f>'ANALYSE - ERP =&gt; SOUS-SEGMENT'!$IS$53</f>
        <v>0</v>
      </c>
      <c r="N19" s="787">
        <f>'ANALYSE - ERP =&gt; SOUS-SEGMENT'!$IT$53</f>
        <v>0</v>
      </c>
      <c r="O19" s="787">
        <f>'ANALYSE - ERP =&gt; SOUS-SEGMENT'!$IU$53</f>
        <v>0.1087</v>
      </c>
      <c r="P19" s="787">
        <f>'ANALYSE - ERP =&gt; SOUS-SEGMENT'!$IV$53</f>
        <v>0.54139999999999999</v>
      </c>
      <c r="Q19" s="787">
        <f>'ANALYSE - ERP =&gt; SOUS-SEGMENT'!$IW$53</f>
        <v>0.3493</v>
      </c>
      <c r="R19" s="787">
        <f>'ANALYSE - ERP =&gt; SOUS-SEGMENT'!$IX$53</f>
        <v>5.9999999999999995E-4</v>
      </c>
      <c r="T19" s="430">
        <f>'ANALYSE - ERP =&gt; SOUS-SEGMENT'!$Q$53</f>
        <v>1</v>
      </c>
    </row>
    <row r="20" spans="1:20" ht="15" customHeight="1">
      <c r="A20" s="26">
        <v>17</v>
      </c>
      <c r="B20" s="26">
        <v>17</v>
      </c>
      <c r="C20" s="422">
        <f>'ANALYSE - ERP =&gt; SOUS-SEGMENT'!$A$82</f>
        <v>75</v>
      </c>
      <c r="D20" s="416" t="str">
        <f>'ANALYSE - ERP =&gt; SOUS-SEGMENT'!$B$82</f>
        <v>Tertiaire &amp; Industriel</v>
      </c>
      <c r="E20" s="416" t="str">
        <f>'ANALYSE - ERP =&gt; SOUS-SEGMENT'!$C$82</f>
        <v>Bureaux</v>
      </c>
      <c r="F20" s="416" t="str">
        <f>'ANALYSE - ERP =&gt; SOUS-SEGMENT'!$D$82</f>
        <v>Bureaux Tertiaire Privé (&gt;50 salariés)
(hors usines et logistique )</v>
      </c>
      <c r="H20" s="787">
        <f>'ANALYSE - ERP =&gt; SOUS-SEGMENT'!$IO$82</f>
        <v>0.03</v>
      </c>
      <c r="I20" s="787">
        <f>'ANALYSE - ERP =&gt; SOUS-SEGMENT'!$IP$82</f>
        <v>0.4</v>
      </c>
      <c r="J20" s="787">
        <f>'ANALYSE - ERP =&gt; SOUS-SEGMENT'!$IQ$82</f>
        <v>0.5</v>
      </c>
      <c r="K20" s="787">
        <f>'ANALYSE - ERP =&gt; SOUS-SEGMENT'!$IR$82</f>
        <v>7.0000000000000007E-2</v>
      </c>
      <c r="L20" s="787">
        <f>'ANALYSE - ERP =&gt; SOUS-SEGMENT'!$IS$82</f>
        <v>0</v>
      </c>
      <c r="N20" s="787">
        <f>'ANALYSE - ERP =&gt; SOUS-SEGMENT'!$IT$82</f>
        <v>7.7999999999999996E-3</v>
      </c>
      <c r="O20" s="787">
        <f>'ANALYSE - ERP =&gt; SOUS-SEGMENT'!$IU$82</f>
        <v>0.37280000000000002</v>
      </c>
      <c r="P20" s="787">
        <f>'ANALYSE - ERP =&gt; SOUS-SEGMENT'!$IV$82</f>
        <v>0.5222</v>
      </c>
      <c r="Q20" s="787">
        <f>'ANALYSE - ERP =&gt; SOUS-SEGMENT'!$IW$82</f>
        <v>9.2200000000000004E-2</v>
      </c>
      <c r="R20" s="787">
        <f>'ANALYSE - ERP =&gt; SOUS-SEGMENT'!$IX$82</f>
        <v>5.0000000000000001E-3</v>
      </c>
      <c r="T20" s="430">
        <f>'ANALYSE - ERP =&gt; SOUS-SEGMENT'!$Q$82</f>
        <v>1</v>
      </c>
    </row>
    <row r="21" spans="1:20" ht="15" customHeight="1">
      <c r="A21" s="26">
        <v>18</v>
      </c>
      <c r="B21" s="26">
        <v>20</v>
      </c>
      <c r="C21" s="422">
        <f>'ANALYSE - ERP =&gt; SOUS-SEGMENT'!$A$47</f>
        <v>40</v>
      </c>
      <c r="D21" s="417" t="str">
        <f>'ANALYSE - ERP =&gt; SOUS-SEGMENT'!$B$47</f>
        <v>Santé &amp; Médico-social</v>
      </c>
      <c r="E21" s="417" t="str">
        <f>'ANALYSE - ERP =&gt; SOUS-SEGMENT'!$C$47</f>
        <v>Santé hospitalière</v>
      </c>
      <c r="F21" s="417" t="str">
        <f>'ANALYSE - ERP =&gt; SOUS-SEGMENT'!$D$47</f>
        <v>Hôpitaux d’instruction des armées et centres médicaux recevant du public</v>
      </c>
      <c r="H21" s="787">
        <f>'ANALYSE - ERP =&gt; SOUS-SEGMENT'!$IO$47</f>
        <v>0</v>
      </c>
      <c r="I21" s="787">
        <f>'ANALYSE - ERP =&gt; SOUS-SEGMENT'!$IP$47</f>
        <v>0.23860000000000001</v>
      </c>
      <c r="J21" s="787">
        <f>'ANALYSE - ERP =&gt; SOUS-SEGMENT'!$IQ$47</f>
        <v>0.58699999999999997</v>
      </c>
      <c r="K21" s="787">
        <f>'ANALYSE - ERP =&gt; SOUS-SEGMENT'!$IR$47</f>
        <v>0.1704</v>
      </c>
      <c r="L21" s="787">
        <f>'ANALYSE - ERP =&gt; SOUS-SEGMENT'!$IS$47</f>
        <v>4.0000000000000001E-3</v>
      </c>
      <c r="N21" s="787">
        <f>'ANALYSE - ERP =&gt; SOUS-SEGMENT'!$IT$47</f>
        <v>0</v>
      </c>
      <c r="O21" s="787">
        <f>'ANALYSE - ERP =&gt; SOUS-SEGMENT'!$IU$47</f>
        <v>0.11609999999999999</v>
      </c>
      <c r="P21" s="787">
        <f>'ANALYSE - ERP =&gt; SOUS-SEGMENT'!$IV$47</f>
        <v>0.5796</v>
      </c>
      <c r="Q21" s="787">
        <f>'ANALYSE - ERP =&gt; SOUS-SEGMENT'!$IW$47</f>
        <v>0.29070000000000001</v>
      </c>
      <c r="R21" s="787">
        <f>'ANALYSE - ERP =&gt; SOUS-SEGMENT'!$IX$47</f>
        <v>1.3599999999999999E-2</v>
      </c>
      <c r="T21" s="430">
        <f>'ANALYSE - ERP =&gt; SOUS-SEGMENT'!$Q$47</f>
        <v>1</v>
      </c>
    </row>
    <row r="22" spans="1:20" ht="15" customHeight="1">
      <c r="A22" s="26">
        <v>19</v>
      </c>
      <c r="B22" s="26">
        <v>18</v>
      </c>
      <c r="C22" s="422">
        <f>'ANALYSE - ERP =&gt; SOUS-SEGMENT'!$A$75</f>
        <v>68</v>
      </c>
      <c r="D22" s="408" t="str">
        <f>'ANALYSE - ERP =&gt; SOUS-SEGMENT'!$B$75</f>
        <v>Commerce, Restauration &amp; Loisirs</v>
      </c>
      <c r="E22" s="408" t="str">
        <f>'ANALYSE - ERP =&gt; SOUS-SEGMENT'!$C$75</f>
        <v>Restauration / boissons</v>
      </c>
      <c r="F22" s="408" t="str">
        <f>'ANALYSE - ERP =&gt; SOUS-SEGMENT'!$D$75</f>
        <v>Restaurants
(Hors établissements altitude, flottant, armée)</v>
      </c>
      <c r="H22" s="787">
        <f>'ANALYSE - ERP =&gt; SOUS-SEGMENT'!$IO$75</f>
        <v>0.01</v>
      </c>
      <c r="I22" s="787">
        <f>'ANALYSE - ERP =&gt; SOUS-SEGMENT'!$IP$75</f>
        <v>0.28000000000000003</v>
      </c>
      <c r="J22" s="787">
        <f>'ANALYSE - ERP =&gt; SOUS-SEGMENT'!$IQ$75</f>
        <v>0.5</v>
      </c>
      <c r="K22" s="787">
        <f>'ANALYSE - ERP =&gt; SOUS-SEGMENT'!$IR$75</f>
        <v>0.19</v>
      </c>
      <c r="L22" s="787">
        <f>'ANALYSE - ERP =&gt; SOUS-SEGMENT'!$IS$75</f>
        <v>0.02</v>
      </c>
      <c r="N22" s="787">
        <f>'ANALYSE - ERP =&gt; SOUS-SEGMENT'!$IT$75</f>
        <v>0</v>
      </c>
      <c r="O22" s="787">
        <f>'ANALYSE - ERP =&gt; SOUS-SEGMENT'!$IU$75</f>
        <v>0.2422</v>
      </c>
      <c r="P22" s="787">
        <f>'ANALYSE - ERP =&gt; SOUS-SEGMENT'!$IV$75</f>
        <v>0.51839999999999997</v>
      </c>
      <c r="Q22" s="787">
        <f>'ANALYSE - ERP =&gt; SOUS-SEGMENT'!$IW$75</f>
        <v>0.2137</v>
      </c>
      <c r="R22" s="787">
        <f>'ANALYSE - ERP =&gt; SOUS-SEGMENT'!$IX$75</f>
        <v>2.5700000000000001E-2</v>
      </c>
      <c r="T22" s="430">
        <f>'ANALYSE - ERP =&gt; SOUS-SEGMENT'!$Q$75</f>
        <v>1</v>
      </c>
    </row>
    <row r="23" spans="1:20" ht="15" customHeight="1">
      <c r="A23" s="26">
        <v>20</v>
      </c>
      <c r="B23" s="26">
        <v>24</v>
      </c>
      <c r="C23" s="422">
        <f>'ANALYSE - ERP =&gt; SOUS-SEGMENT'!$A$44</f>
        <v>37</v>
      </c>
      <c r="D23" s="409" t="str">
        <f>'ANALYSE - ERP =&gt; SOUS-SEGMENT'!$B$44</f>
        <v>Santé &amp; Médico-social</v>
      </c>
      <c r="E23" s="409" t="str">
        <f>'ANALYSE - ERP =&gt; SOUS-SEGMENT'!$C$44</f>
        <v>Santé hospitalière</v>
      </c>
      <c r="F23" s="409" t="str">
        <f>'ANALYSE - ERP =&gt; SOUS-SEGMENT'!$D$44</f>
        <v>Hôpitaux publics 
(Hors CHU, Universitaire, Militaire, Carcéral)</v>
      </c>
      <c r="H23" s="787">
        <f>'ANALYSE - ERP =&gt; SOUS-SEGMENT'!$IO$44</f>
        <v>0</v>
      </c>
      <c r="I23" s="787">
        <f>'ANALYSE - ERP =&gt; SOUS-SEGMENT'!$IP$44</f>
        <v>0.2525</v>
      </c>
      <c r="J23" s="787">
        <f>'ANALYSE - ERP =&gt; SOUS-SEGMENT'!$IQ$44</f>
        <v>0.60029999999999994</v>
      </c>
      <c r="K23" s="787">
        <f>'ANALYSE - ERP =&gt; SOUS-SEGMENT'!$IR$44</f>
        <v>0.1472</v>
      </c>
      <c r="L23" s="787">
        <f>'ANALYSE - ERP =&gt; SOUS-SEGMENT'!$IS$44</f>
        <v>0</v>
      </c>
      <c r="N23" s="787">
        <f>'ANALYSE - ERP =&gt; SOUS-SEGMENT'!$IT$44</f>
        <v>0</v>
      </c>
      <c r="O23" s="787">
        <f>'ANALYSE - ERP =&gt; SOUS-SEGMENT'!$IU$44</f>
        <v>0.1399</v>
      </c>
      <c r="P23" s="787">
        <f>'ANALYSE - ERP =&gt; SOUS-SEGMENT'!$IV$44</f>
        <v>0.59309999999999996</v>
      </c>
      <c r="Q23" s="787">
        <f>'ANALYSE - ERP =&gt; SOUS-SEGMENT'!$IW$44</f>
        <v>0.26700000000000002</v>
      </c>
      <c r="R23" s="787">
        <f>'ANALYSE - ERP =&gt; SOUS-SEGMENT'!$IX$44</f>
        <v>0</v>
      </c>
      <c r="T23" s="430">
        <f>'ANALYSE - ERP =&gt; SOUS-SEGMENT'!$Q$44</f>
        <v>1</v>
      </c>
    </row>
    <row r="24" spans="1:20" ht="15" customHeight="1">
      <c r="A24" s="26">
        <v>21</v>
      </c>
      <c r="B24" s="26">
        <v>25</v>
      </c>
      <c r="C24" s="422">
        <f>'ANALYSE - ERP =&gt; SOUS-SEGMENT'!$A$65</f>
        <v>58</v>
      </c>
      <c r="D24" s="414" t="str">
        <f>'ANALYSE - ERP =&gt; SOUS-SEGMENT'!$B$65</f>
        <v>Culture, Patrimoine &amp; Evénementiel</v>
      </c>
      <c r="E24" s="414" t="str">
        <f>'ANALYSE - ERP =&gt; SOUS-SEGMENT'!$C$65</f>
        <v>Culture / spectacle</v>
      </c>
      <c r="F24" s="414" t="str">
        <f>'ANALYSE - ERP =&gt; SOUS-SEGMENT'!$D$65</f>
        <v>Salles de spectacle / Auditoriums</v>
      </c>
      <c r="H24" s="787">
        <f>'ANALYSE - ERP =&gt; SOUS-SEGMENT'!$IO$65</f>
        <v>0</v>
      </c>
      <c r="I24" s="787">
        <f>'ANALYSE - ERP =&gt; SOUS-SEGMENT'!$IP$65</f>
        <v>0.14299999999999999</v>
      </c>
      <c r="J24" s="787">
        <f>'ANALYSE - ERP =&gt; SOUS-SEGMENT'!$IQ$65</f>
        <v>0.4899</v>
      </c>
      <c r="K24" s="787">
        <f>'ANALYSE - ERP =&gt; SOUS-SEGMENT'!$IR$65</f>
        <v>0.3256</v>
      </c>
      <c r="L24" s="787">
        <f>'ANALYSE - ERP =&gt; SOUS-SEGMENT'!$IS$65</f>
        <v>4.1500000000000002E-2</v>
      </c>
      <c r="N24" s="787">
        <f>'ANALYSE - ERP =&gt; SOUS-SEGMENT'!$IT$65</f>
        <v>0</v>
      </c>
      <c r="O24" s="787">
        <f>'ANALYSE - ERP =&gt; SOUS-SEGMENT'!$IU$65</f>
        <v>4.9700000000000001E-2</v>
      </c>
      <c r="P24" s="787">
        <f>'ANALYSE - ERP =&gt; SOUS-SEGMENT'!$IV$65</f>
        <v>0.3906</v>
      </c>
      <c r="Q24" s="787">
        <f>'ANALYSE - ERP =&gt; SOUS-SEGMENT'!$IW$65</f>
        <v>0.45440000000000003</v>
      </c>
      <c r="R24" s="787">
        <f>'ANALYSE - ERP =&gt; SOUS-SEGMENT'!$IX$65</f>
        <v>0.1053</v>
      </c>
      <c r="T24" s="430">
        <f>'ANALYSE - ERP =&gt; SOUS-SEGMENT'!$Q$65</f>
        <v>1</v>
      </c>
    </row>
    <row r="25" spans="1:20" ht="15" customHeight="1">
      <c r="A25" s="26">
        <v>22</v>
      </c>
      <c r="B25" s="26">
        <v>26</v>
      </c>
      <c r="C25" s="422">
        <f>'ANALYSE - ERP =&gt; SOUS-SEGMENT'!$A$66</f>
        <v>59</v>
      </c>
      <c r="D25" s="414" t="str">
        <f>'ANALYSE - ERP =&gt; SOUS-SEGMENT'!$B$66</f>
        <v>Culture, Patrimoine &amp; Evénementiel</v>
      </c>
      <c r="E25" s="414" t="str">
        <f>'ANALYSE - ERP =&gt; SOUS-SEGMENT'!$C$66</f>
        <v>Culture / spectacle</v>
      </c>
      <c r="F25" s="414" t="str">
        <f>'ANALYSE - ERP =&gt; SOUS-SEGMENT'!$D$66</f>
        <v>Salles de conférence / Réunion</v>
      </c>
      <c r="H25" s="787">
        <f>'ANALYSE - ERP =&gt; SOUS-SEGMENT'!$IO$66</f>
        <v>7.9000000000000008E-3</v>
      </c>
      <c r="I25" s="787">
        <f>'ANALYSE - ERP =&gt; SOUS-SEGMENT'!$IP$66</f>
        <v>0.28050000000000003</v>
      </c>
      <c r="J25" s="787">
        <f>'ANALYSE - ERP =&gt; SOUS-SEGMENT'!$IQ$66</f>
        <v>0.52200000000000002</v>
      </c>
      <c r="K25" s="787">
        <f>'ANALYSE - ERP =&gt; SOUS-SEGMENT'!$IR$66</f>
        <v>0.1807</v>
      </c>
      <c r="L25" s="787">
        <f>'ANALYSE - ERP =&gt; SOUS-SEGMENT'!$IS$66</f>
        <v>8.8999999999999999E-3</v>
      </c>
      <c r="N25" s="787">
        <f>'ANALYSE - ERP =&gt; SOUS-SEGMENT'!$IT$66</f>
        <v>0</v>
      </c>
      <c r="O25" s="787">
        <f>'ANALYSE - ERP =&gt; SOUS-SEGMENT'!$IU$66</f>
        <v>0.155</v>
      </c>
      <c r="P25" s="787">
        <f>'ANALYSE - ERP =&gt; SOUS-SEGMENT'!$IV$66</f>
        <v>0.51949999999999996</v>
      </c>
      <c r="Q25" s="787">
        <f>'ANALYSE - ERP =&gt; SOUS-SEGMENT'!$IW$66</f>
        <v>0.29809999999999998</v>
      </c>
      <c r="R25" s="787">
        <f>'ANALYSE - ERP =&gt; SOUS-SEGMENT'!$IX$66</f>
        <v>2.7400000000000001E-2</v>
      </c>
      <c r="T25" s="430">
        <f>'ANALYSE - ERP =&gt; SOUS-SEGMENT'!$Q$66</f>
        <v>1</v>
      </c>
    </row>
    <row r="26" spans="1:20" ht="15" customHeight="1">
      <c r="A26" s="26">
        <v>23</v>
      </c>
      <c r="B26" s="26">
        <v>21</v>
      </c>
      <c r="C26" s="422">
        <f>'ANALYSE - ERP =&gt; SOUS-SEGMENT'!$A$70</f>
        <v>63</v>
      </c>
      <c r="D26" s="414" t="str">
        <f>'ANALYSE - ERP =&gt; SOUS-SEGMENT'!$B$70</f>
        <v>Culture, Patrimoine &amp; Evénementiel</v>
      </c>
      <c r="E26" s="414" t="str">
        <f>'ANALYSE - ERP =&gt; SOUS-SEGMENT'!$C$70</f>
        <v>Expositions / salons</v>
      </c>
      <c r="F26" s="414" t="str">
        <f>'ANALYSE - ERP =&gt; SOUS-SEGMENT'!$D$70</f>
        <v>Foires / Salons</v>
      </c>
      <c r="H26" s="787">
        <f>'ANALYSE - ERP =&gt; SOUS-SEGMENT'!$IO$70</f>
        <v>0</v>
      </c>
      <c r="I26" s="787">
        <f>'ANALYSE - ERP =&gt; SOUS-SEGMENT'!$IP$70</f>
        <v>0.1142</v>
      </c>
      <c r="J26" s="787">
        <f>'ANALYSE - ERP =&gt; SOUS-SEGMENT'!$IQ$70</f>
        <v>0.47020000000000001</v>
      </c>
      <c r="K26" s="787">
        <f>'ANALYSE - ERP =&gt; SOUS-SEGMENT'!$IR$70</f>
        <v>0.36159999999999998</v>
      </c>
      <c r="L26" s="787">
        <f>'ANALYSE - ERP =&gt; SOUS-SEGMENT'!$IS$70</f>
        <v>5.3999999999999999E-2</v>
      </c>
      <c r="N26" s="787">
        <f>'ANALYSE - ERP =&gt; SOUS-SEGMENT'!$IT$70</f>
        <v>0</v>
      </c>
      <c r="O26" s="787">
        <f>'ANALYSE - ERP =&gt; SOUS-SEGMENT'!$IU$70</f>
        <v>4.0500000000000001E-2</v>
      </c>
      <c r="P26" s="787">
        <f>'ANALYSE - ERP =&gt; SOUS-SEGMENT'!$IV$70</f>
        <v>0.37290000000000001</v>
      </c>
      <c r="Q26" s="787">
        <f>'ANALYSE - ERP =&gt; SOUS-SEGMENT'!$IW$70</f>
        <v>0.46889999999999998</v>
      </c>
      <c r="R26" s="787">
        <f>'ANALYSE - ERP =&gt; SOUS-SEGMENT'!$IX$70</f>
        <v>0.1177</v>
      </c>
      <c r="T26" s="430">
        <f>'ANALYSE - ERP =&gt; SOUS-SEGMENT'!$Q$70</f>
        <v>1</v>
      </c>
    </row>
    <row r="27" spans="1:20" ht="15" customHeight="1">
      <c r="A27" s="26">
        <v>24</v>
      </c>
      <c r="B27" s="26">
        <v>22</v>
      </c>
      <c r="C27" s="422">
        <f>'ANALYSE - ERP =&gt; SOUS-SEGMENT'!$A$71</f>
        <v>64</v>
      </c>
      <c r="D27" s="414" t="str">
        <f>'ANALYSE - ERP =&gt; SOUS-SEGMENT'!$B$71</f>
        <v>Culture, Patrimoine &amp; Evénementiel</v>
      </c>
      <c r="E27" s="414" t="str">
        <f>'ANALYSE - ERP =&gt; SOUS-SEGMENT'!$C$71</f>
        <v>Expositions / salons</v>
      </c>
      <c r="F27" s="414" t="str">
        <f>'ANALYSE - ERP =&gt; SOUS-SEGMENT'!$D$71</f>
        <v>Halls d’exposition</v>
      </c>
      <c r="H27" s="787">
        <f>'ANALYSE - ERP =&gt; SOUS-SEGMENT'!$IO$71</f>
        <v>0</v>
      </c>
      <c r="I27" s="787">
        <f>'ANALYSE - ERP =&gt; SOUS-SEGMENT'!$IP$71</f>
        <v>0.1009</v>
      </c>
      <c r="J27" s="787">
        <f>'ANALYSE - ERP =&gt; SOUS-SEGMENT'!$IQ$71</f>
        <v>0.45850000000000002</v>
      </c>
      <c r="K27" s="787">
        <f>'ANALYSE - ERP =&gt; SOUS-SEGMENT'!$IR$71</f>
        <v>0.37930000000000003</v>
      </c>
      <c r="L27" s="787">
        <f>'ANALYSE - ERP =&gt; SOUS-SEGMENT'!$IS$71</f>
        <v>6.13E-2</v>
      </c>
      <c r="N27" s="787">
        <f>'ANALYSE - ERP =&gt; SOUS-SEGMENT'!$IT$71</f>
        <v>0</v>
      </c>
      <c r="O27" s="787">
        <f>'ANALYSE - ERP =&gt; SOUS-SEGMENT'!$IU$71</f>
        <v>3.32E-2</v>
      </c>
      <c r="P27" s="787">
        <f>'ANALYSE - ERP =&gt; SOUS-SEGMENT'!$IV$71</f>
        <v>0.35730000000000001</v>
      </c>
      <c r="Q27" s="787">
        <f>'ANALYSE - ERP =&gt; SOUS-SEGMENT'!$IW$71</f>
        <v>0.4803</v>
      </c>
      <c r="R27" s="787">
        <f>'ANALYSE - ERP =&gt; SOUS-SEGMENT'!$IX$71</f>
        <v>0.12920000000000001</v>
      </c>
      <c r="T27" s="430">
        <f>'ANALYSE - ERP =&gt; SOUS-SEGMENT'!$Q$71</f>
        <v>1</v>
      </c>
    </row>
    <row r="28" spans="1:20" ht="15" customHeight="1">
      <c r="A28" s="26">
        <v>25</v>
      </c>
      <c r="B28" s="26">
        <v>23</v>
      </c>
      <c r="C28" s="422">
        <f>'ANALYSE - ERP =&gt; SOUS-SEGMENT'!$A$78</f>
        <v>71</v>
      </c>
      <c r="D28" s="413" t="str">
        <f>'ANALYSE - ERP =&gt; SOUS-SEGMENT'!$B$78</f>
        <v>Commerce, Restauration &amp; Loisirs</v>
      </c>
      <c r="E28" s="413" t="str">
        <f>'ANALYSE - ERP =&gt; SOUS-SEGMENT'!$C$78</f>
        <v>Restauration / boissons</v>
      </c>
      <c r="F28" s="413" t="str">
        <f>'ANALYSE - ERP =&gt; SOUS-SEGMENT'!$D$78</f>
        <v>Établissements flottants</v>
      </c>
      <c r="H28" s="787">
        <f>'ANALYSE - ERP =&gt; SOUS-SEGMENT'!$IO$78</f>
        <v>0</v>
      </c>
      <c r="I28" s="787">
        <f>'ANALYSE - ERP =&gt; SOUS-SEGMENT'!$IP$78</f>
        <v>0.25750000000000001</v>
      </c>
      <c r="J28" s="787">
        <f>'ANALYSE - ERP =&gt; SOUS-SEGMENT'!$IQ$78</f>
        <v>0.52529999999999999</v>
      </c>
      <c r="K28" s="787">
        <f>'ANALYSE - ERP =&gt; SOUS-SEGMENT'!$IR$78</f>
        <v>0.1799</v>
      </c>
      <c r="L28" s="787">
        <f>'ANALYSE - ERP =&gt; SOUS-SEGMENT'!$IS$78</f>
        <v>3.73E-2</v>
      </c>
      <c r="N28" s="787">
        <f>'ANALYSE - ERP =&gt; SOUS-SEGMENT'!$IT$78</f>
        <v>0</v>
      </c>
      <c r="O28" s="787">
        <f>'ANALYSE - ERP =&gt; SOUS-SEGMENT'!$IU$78</f>
        <v>0.12280000000000001</v>
      </c>
      <c r="P28" s="787">
        <f>'ANALYSE - ERP =&gt; SOUS-SEGMENT'!$IV$78</f>
        <v>0.52449999999999997</v>
      </c>
      <c r="Q28" s="787">
        <f>'ANALYSE - ERP =&gt; SOUS-SEGMENT'!$IW$78</f>
        <v>0.2969</v>
      </c>
      <c r="R28" s="787">
        <f>'ANALYSE - ERP =&gt; SOUS-SEGMENT'!$IX$78</f>
        <v>5.5800000000000002E-2</v>
      </c>
      <c r="T28" s="430">
        <f>'ANALYSE - ERP =&gt; SOUS-SEGMENT'!$Q$78</f>
        <v>1</v>
      </c>
    </row>
    <row r="29" spans="1:20" ht="15" customHeight="1">
      <c r="A29" s="26">
        <v>26</v>
      </c>
      <c r="B29" s="26">
        <v>27</v>
      </c>
      <c r="C29" s="422">
        <f>'ANALYSE - ERP =&gt; SOUS-SEGMENT'!$A$62</f>
        <v>55</v>
      </c>
      <c r="D29" s="414" t="str">
        <f>'ANALYSE - ERP =&gt; SOUS-SEGMENT'!$B$62</f>
        <v>Culture, Patrimoine &amp; Evénementiel</v>
      </c>
      <c r="E29" s="414" t="str">
        <f>'ANALYSE - ERP =&gt; SOUS-SEGMENT'!$C$62</f>
        <v>Culture / spectacle</v>
      </c>
      <c r="F29" s="414" t="str">
        <f>'ANALYSE - ERP =&gt; SOUS-SEGMENT'!$D$62</f>
        <v>Cinémas</v>
      </c>
      <c r="H29" s="787">
        <f>'ANALYSE - ERP =&gt; SOUS-SEGMENT'!$IO$62</f>
        <v>0</v>
      </c>
      <c r="I29" s="787">
        <f>'ANALYSE - ERP =&gt; SOUS-SEGMENT'!$IP$62</f>
        <v>0.1142</v>
      </c>
      <c r="J29" s="787">
        <f>'ANALYSE - ERP =&gt; SOUS-SEGMENT'!$IQ$62</f>
        <v>0.47020000000000001</v>
      </c>
      <c r="K29" s="787">
        <f>'ANALYSE - ERP =&gt; SOUS-SEGMENT'!$IR$62</f>
        <v>0.36159999999999998</v>
      </c>
      <c r="L29" s="787">
        <f>'ANALYSE - ERP =&gt; SOUS-SEGMENT'!$IS$62</f>
        <v>5.3999999999999999E-2</v>
      </c>
      <c r="N29" s="787">
        <f>'ANALYSE - ERP =&gt; SOUS-SEGMENT'!$IT$62</f>
        <v>0</v>
      </c>
      <c r="O29" s="787">
        <f>'ANALYSE - ERP =&gt; SOUS-SEGMENT'!$IU$62</f>
        <v>4.3799999999999999E-2</v>
      </c>
      <c r="P29" s="787">
        <f>'ANALYSE - ERP =&gt; SOUS-SEGMENT'!$IV$62</f>
        <v>0.37959999999999999</v>
      </c>
      <c r="Q29" s="787">
        <f>'ANALYSE - ERP =&gt; SOUS-SEGMENT'!$IW$62</f>
        <v>0.4637</v>
      </c>
      <c r="R29" s="787">
        <f>'ANALYSE - ERP =&gt; SOUS-SEGMENT'!$IX$62</f>
        <v>0.1129</v>
      </c>
      <c r="T29" s="430">
        <f>'ANALYSE - ERP =&gt; SOUS-SEGMENT'!$Q$62</f>
        <v>1</v>
      </c>
    </row>
    <row r="30" spans="1:20" ht="15" customHeight="1">
      <c r="A30" s="26">
        <v>27</v>
      </c>
      <c r="B30" s="26">
        <v>19</v>
      </c>
      <c r="C30" s="422">
        <f>'ANALYSE - ERP =&gt; SOUS-SEGMENT'!$A$60</f>
        <v>53</v>
      </c>
      <c r="D30" s="409" t="str">
        <f>'ANALYSE - ERP =&gt; SOUS-SEGMENT'!$B$60</f>
        <v>Santé &amp; Médico-social</v>
      </c>
      <c r="E30" s="409" t="str">
        <f>'ANALYSE - ERP =&gt; SOUS-SEGMENT'!$C$60</f>
        <v>Médico-social</v>
      </c>
      <c r="F30" s="409" t="str">
        <f>'ANALYSE - ERP =&gt; SOUS-SEGMENT'!$D$60</f>
        <v>Résidences autonomie
Foyers-logements
(Public)</v>
      </c>
      <c r="H30" s="787">
        <f>'ANALYSE - ERP =&gt; SOUS-SEGMENT'!$IO$60</f>
        <v>0</v>
      </c>
      <c r="I30" s="787">
        <f>'ANALYSE - ERP =&gt; SOUS-SEGMENT'!$IP$60</f>
        <v>0.21279999999999999</v>
      </c>
      <c r="J30" s="787">
        <f>'ANALYSE - ERP =&gt; SOUS-SEGMENT'!$IQ$60</f>
        <v>0.56069999999999998</v>
      </c>
      <c r="K30" s="787">
        <f>'ANALYSE - ERP =&gt; SOUS-SEGMENT'!$IR$60</f>
        <v>0.2167</v>
      </c>
      <c r="L30" s="787">
        <f>'ANALYSE - ERP =&gt; SOUS-SEGMENT'!$IS$60</f>
        <v>9.7999999999999997E-3</v>
      </c>
      <c r="N30" s="787">
        <f>'ANALYSE - ERP =&gt; SOUS-SEGMENT'!$IT$60</f>
        <v>0</v>
      </c>
      <c r="O30" s="787">
        <f>'ANALYSE - ERP =&gt; SOUS-SEGMENT'!$IU$60</f>
        <v>0.1285</v>
      </c>
      <c r="P30" s="787">
        <f>'ANALYSE - ERP =&gt; SOUS-SEGMENT'!$IV$60</f>
        <v>0.54259999999999997</v>
      </c>
      <c r="Q30" s="787">
        <f>'ANALYSE - ERP =&gt; SOUS-SEGMENT'!$IW$60</f>
        <v>0.307</v>
      </c>
      <c r="R30" s="787">
        <f>'ANALYSE - ERP =&gt; SOUS-SEGMENT'!$IX$60</f>
        <v>2.1899999999999999E-2</v>
      </c>
      <c r="T30" s="430">
        <f>'ANALYSE - ERP =&gt; SOUS-SEGMENT'!$Q$60</f>
        <v>1</v>
      </c>
    </row>
    <row r="31" spans="1:20" ht="15" customHeight="1">
      <c r="A31" s="26">
        <v>28</v>
      </c>
      <c r="B31" s="26">
        <v>28</v>
      </c>
      <c r="C31" s="422">
        <f>'ANALYSE - ERP =&gt; SOUS-SEGMENT'!$A$56</f>
        <v>49</v>
      </c>
      <c r="D31" s="409" t="str">
        <f>'ANALYSE - ERP =&gt; SOUS-SEGMENT'!$B$56</f>
        <v>Santé &amp; Médico-social</v>
      </c>
      <c r="E31" s="409" t="str">
        <f>'ANALYSE - ERP =&gt; SOUS-SEGMENT'!$C$56</f>
        <v>Médico-social</v>
      </c>
      <c r="F31" s="409" t="str">
        <f>'ANALYSE - ERP =&gt; SOUS-SEGMENT'!$D$56</f>
        <v>Foyers pour personnes handicapées</v>
      </c>
      <c r="H31" s="787">
        <f>'ANALYSE - ERP =&gt; SOUS-SEGMENT'!$IO$56</f>
        <v>0</v>
      </c>
      <c r="I31" s="787">
        <f>'ANALYSE - ERP =&gt; SOUS-SEGMENT'!$IP$56</f>
        <v>0.30270000000000002</v>
      </c>
      <c r="J31" s="787">
        <f>'ANALYSE - ERP =&gt; SOUS-SEGMENT'!$IQ$56</f>
        <v>0.55030000000000001</v>
      </c>
      <c r="K31" s="787">
        <f>'ANALYSE - ERP =&gt; SOUS-SEGMENT'!$IR$56</f>
        <v>0.14699999999999999</v>
      </c>
      <c r="L31" s="787">
        <f>'ANALYSE - ERP =&gt; SOUS-SEGMENT'!$IS$56</f>
        <v>0</v>
      </c>
      <c r="N31" s="787">
        <f>'ANALYSE - ERP =&gt; SOUS-SEGMENT'!$IT$56</f>
        <v>0</v>
      </c>
      <c r="O31" s="787">
        <f>'ANALYSE - ERP =&gt; SOUS-SEGMENT'!$IU$56</f>
        <v>0.14990000000000001</v>
      </c>
      <c r="P31" s="787">
        <f>'ANALYSE - ERP =&gt; SOUS-SEGMENT'!$IV$56</f>
        <v>0.56930000000000003</v>
      </c>
      <c r="Q31" s="787">
        <f>'ANALYSE - ERP =&gt; SOUS-SEGMENT'!$IW$56</f>
        <v>0.28079999999999999</v>
      </c>
      <c r="R31" s="787">
        <f>'ANALYSE - ERP =&gt; SOUS-SEGMENT'!$IX$56</f>
        <v>0</v>
      </c>
      <c r="T31" s="430">
        <f>'ANALYSE - ERP =&gt; SOUS-SEGMENT'!$Q$56</f>
        <v>1</v>
      </c>
    </row>
    <row r="32" spans="1:20" ht="15" customHeight="1">
      <c r="A32" s="26">
        <v>29</v>
      </c>
      <c r="B32" s="26">
        <v>29</v>
      </c>
      <c r="C32" s="422">
        <f>'ANALYSE - ERP =&gt; SOUS-SEGMENT'!$A$52</f>
        <v>45</v>
      </c>
      <c r="D32" s="409" t="str">
        <f>'ANALYSE - ERP =&gt; SOUS-SEGMENT'!$B$52</f>
        <v>Santé &amp; Médico-social</v>
      </c>
      <c r="E32" s="409" t="str">
        <f>'ANALYSE - ERP =&gt; SOUS-SEGMENT'!$C$52</f>
        <v>Médico-social</v>
      </c>
      <c r="F32" s="409" t="str">
        <f>'ANALYSE - ERP =&gt; SOUS-SEGMENT'!$D$52</f>
        <v>Établissements Médico-éducatifs</v>
      </c>
      <c r="H32" s="787">
        <f>'ANALYSE - ERP =&gt; SOUS-SEGMENT'!$IO$52</f>
        <v>0</v>
      </c>
      <c r="I32" s="787">
        <f>'ANALYSE - ERP =&gt; SOUS-SEGMENT'!$IP$52</f>
        <v>0.30270000000000002</v>
      </c>
      <c r="J32" s="787">
        <f>'ANALYSE - ERP =&gt; SOUS-SEGMENT'!$IQ$52</f>
        <v>0.55030000000000001</v>
      </c>
      <c r="K32" s="787">
        <f>'ANALYSE - ERP =&gt; SOUS-SEGMENT'!$IR$52</f>
        <v>0.14699999999999999</v>
      </c>
      <c r="L32" s="787">
        <f>'ANALYSE - ERP =&gt; SOUS-SEGMENT'!$IS$52</f>
        <v>0</v>
      </c>
      <c r="N32" s="787">
        <f>'ANALYSE - ERP =&gt; SOUS-SEGMENT'!$IT$52</f>
        <v>0</v>
      </c>
      <c r="O32" s="787">
        <f>'ANALYSE - ERP =&gt; SOUS-SEGMENT'!$IU$52</f>
        <v>0.18459999999999999</v>
      </c>
      <c r="P32" s="787">
        <f>'ANALYSE - ERP =&gt; SOUS-SEGMENT'!$IV$52</f>
        <v>0.57410000000000005</v>
      </c>
      <c r="Q32" s="787">
        <f>'ANALYSE - ERP =&gt; SOUS-SEGMENT'!$IW$52</f>
        <v>0.24129999999999999</v>
      </c>
      <c r="R32" s="787">
        <f>'ANALYSE - ERP =&gt; SOUS-SEGMENT'!$IX$52</f>
        <v>0</v>
      </c>
      <c r="T32" s="430">
        <f>'ANALYSE - ERP =&gt; SOUS-SEGMENT'!$Q$52</f>
        <v>1</v>
      </c>
    </row>
    <row r="33" spans="1:20" ht="15" customHeight="1">
      <c r="A33" s="26">
        <v>30</v>
      </c>
      <c r="B33" s="26">
        <v>30</v>
      </c>
      <c r="C33" s="422">
        <f>'ANALYSE - ERP =&gt; SOUS-SEGMENT'!$A$59</f>
        <v>52</v>
      </c>
      <c r="D33" s="409" t="str">
        <f>'ANALYSE - ERP =&gt; SOUS-SEGMENT'!$B$59</f>
        <v>Santé &amp; Médico-social</v>
      </c>
      <c r="E33" s="409" t="str">
        <f>'ANALYSE - ERP =&gt; SOUS-SEGMENT'!$C$59</f>
        <v>Médico-social</v>
      </c>
      <c r="F33" s="409" t="str">
        <f>'ANALYSE - ERP =&gt; SOUS-SEGMENT'!$D$59</f>
        <v>USLD</v>
      </c>
      <c r="H33" s="787">
        <f>'ANALYSE - ERP =&gt; SOUS-SEGMENT'!$IO$59</f>
        <v>0</v>
      </c>
      <c r="I33" s="787">
        <f>'ANALYSE - ERP =&gt; SOUS-SEGMENT'!$IP$59</f>
        <v>0.13739999999999999</v>
      </c>
      <c r="J33" s="787">
        <f>'ANALYSE - ERP =&gt; SOUS-SEGMENT'!$IQ$59</f>
        <v>0.5655</v>
      </c>
      <c r="K33" s="787">
        <f>'ANALYSE - ERP =&gt; SOUS-SEGMENT'!$IR$59</f>
        <v>0.29709999999999998</v>
      </c>
      <c r="L33" s="787">
        <f>'ANALYSE - ERP =&gt; SOUS-SEGMENT'!$IS$59</f>
        <v>0</v>
      </c>
      <c r="N33" s="787">
        <f>'ANALYSE - ERP =&gt; SOUS-SEGMENT'!$IT$59</f>
        <v>0</v>
      </c>
      <c r="O33" s="787">
        <f>'ANALYSE - ERP =&gt; SOUS-SEGMENT'!$IU$59</f>
        <v>7.85E-2</v>
      </c>
      <c r="P33" s="787">
        <f>'ANALYSE - ERP =&gt; SOUS-SEGMENT'!$IV$59</f>
        <v>0.52159999999999995</v>
      </c>
      <c r="Q33" s="787">
        <f>'ANALYSE - ERP =&gt; SOUS-SEGMENT'!$IW$59</f>
        <v>0.39169999999999999</v>
      </c>
      <c r="R33" s="787">
        <f>'ANALYSE - ERP =&gt; SOUS-SEGMENT'!$IX$59</f>
        <v>8.2000000000000007E-3</v>
      </c>
      <c r="T33" s="430">
        <f>'ANALYSE - ERP =&gt; SOUS-SEGMENT'!$Q$59</f>
        <v>1</v>
      </c>
    </row>
    <row r="34" spans="1:20" ht="15" customHeight="1">
      <c r="A34" s="26">
        <v>31</v>
      </c>
      <c r="B34" s="26">
        <v>34</v>
      </c>
      <c r="C34" s="422">
        <f>'ANALYSE - ERP =&gt; SOUS-SEGMENT'!$A$22</f>
        <v>15</v>
      </c>
      <c r="D34" s="410" t="str">
        <f>'ANALYSE - ERP =&gt; SOUS-SEGMENT'!$B$22</f>
        <v>Sports &amp; Loisirs</v>
      </c>
      <c r="E34" s="410" t="str">
        <f>'ANALYSE - ERP =&gt; SOUS-SEGMENT'!$C$22</f>
        <v>Sport couvert / Thermalisme / Bien-être</v>
      </c>
      <c r="F34" s="410" t="str">
        <f>'ANALYSE - ERP =&gt; SOUS-SEGMENT'!$D$22</f>
        <v>Salles de fitness / dojos</v>
      </c>
      <c r="H34" s="787">
        <f>'ANALYSE - ERP =&gt; SOUS-SEGMENT'!$IO$22</f>
        <v>0</v>
      </c>
      <c r="I34" s="787">
        <f>'ANALYSE - ERP =&gt; SOUS-SEGMENT'!$IP$22</f>
        <v>0.15590000000000001</v>
      </c>
      <c r="J34" s="787">
        <f>'ANALYSE - ERP =&gt; SOUS-SEGMENT'!$IQ$22</f>
        <v>0.53610000000000002</v>
      </c>
      <c r="K34" s="787">
        <f>'ANALYSE - ERP =&gt; SOUS-SEGMENT'!$IR$22</f>
        <v>0.25940000000000002</v>
      </c>
      <c r="L34" s="787">
        <f>'ANALYSE - ERP =&gt; SOUS-SEGMENT'!$IS$22</f>
        <v>4.8599999999999997E-2</v>
      </c>
      <c r="N34" s="787">
        <f>'ANALYSE - ERP =&gt; SOUS-SEGMENT'!$IT$22</f>
        <v>0</v>
      </c>
      <c r="O34" s="787">
        <f>'ANALYSE - ERP =&gt; SOUS-SEGMENT'!$IU$22</f>
        <v>5.2499999999999998E-2</v>
      </c>
      <c r="P34" s="787">
        <f>'ANALYSE - ERP =&gt; SOUS-SEGMENT'!$IV$22</f>
        <v>0.45450000000000002</v>
      </c>
      <c r="Q34" s="787">
        <f>'ANALYSE - ERP =&gt; SOUS-SEGMENT'!$IW$22</f>
        <v>0.40539999999999998</v>
      </c>
      <c r="R34" s="787">
        <f>'ANALYSE - ERP =&gt; SOUS-SEGMENT'!$IX$22</f>
        <v>8.7599999999999997E-2</v>
      </c>
      <c r="T34" s="430">
        <f>'ANALYSE - ERP =&gt; SOUS-SEGMENT'!$Q$22</f>
        <v>1</v>
      </c>
    </row>
    <row r="35" spans="1:20" ht="15" customHeight="1">
      <c r="A35" s="26">
        <v>32</v>
      </c>
      <c r="B35" s="26">
        <v>35</v>
      </c>
      <c r="C35" s="422">
        <f>'ANALYSE - ERP =&gt; SOUS-SEGMENT'!$A$8</f>
        <v>1</v>
      </c>
      <c r="D35" s="411" t="str">
        <f>'ANALYSE - ERP =&gt; SOUS-SEGMENT'!$B$8</f>
        <v>Enfance, Enseignement, Jeunesse &amp; Formation</v>
      </c>
      <c r="E35" s="411" t="str">
        <f>'ANALYSE - ERP =&gt; SOUS-SEGMENT'!$C$8</f>
        <v>Petite enfance</v>
      </c>
      <c r="F35" s="411" t="str">
        <f>'ANALYSE - ERP =&gt; SOUS-SEGMENT'!$D$8</f>
        <v>Crèches</v>
      </c>
      <c r="H35" s="787">
        <f>'ANALYSE - ERP =&gt; SOUS-SEGMENT'!$IO$8</f>
        <v>6.1000000000000004E-3</v>
      </c>
      <c r="I35" s="787">
        <f>'ANALYSE - ERP =&gt; SOUS-SEGMENT'!$IP$8</f>
        <v>0.30969999999999998</v>
      </c>
      <c r="J35" s="787">
        <f>'ANALYSE - ERP =&gt; SOUS-SEGMENT'!$IQ$8</f>
        <v>0.55230000000000001</v>
      </c>
      <c r="K35" s="787">
        <f>'ANALYSE - ERP =&gt; SOUS-SEGMENT'!$IR$8</f>
        <v>0.13189999999999999</v>
      </c>
      <c r="L35" s="787">
        <f>'ANALYSE - ERP =&gt; SOUS-SEGMENT'!$IS$8</f>
        <v>0</v>
      </c>
      <c r="N35" s="787">
        <f>'ANALYSE - ERP =&gt; SOUS-SEGMENT'!$IT$8</f>
        <v>0</v>
      </c>
      <c r="O35" s="787">
        <f>'ANALYSE - ERP =&gt; SOUS-SEGMENT'!$IU$8</f>
        <v>0.1507</v>
      </c>
      <c r="P35" s="787">
        <f>'ANALYSE - ERP =&gt; SOUS-SEGMENT'!$IV$8</f>
        <v>0.55830000000000002</v>
      </c>
      <c r="Q35" s="787">
        <f>'ANALYSE - ERP =&gt; SOUS-SEGMENT'!$IW$8</f>
        <v>0.29099999999999998</v>
      </c>
      <c r="R35" s="787">
        <f>'ANALYSE - ERP =&gt; SOUS-SEGMENT'!$IX$8</f>
        <v>0</v>
      </c>
      <c r="T35" s="430">
        <f>'ANALYSE - ERP =&gt; SOUS-SEGMENT'!$Q$8</f>
        <v>1</v>
      </c>
    </row>
    <row r="36" spans="1:20" ht="15" customHeight="1">
      <c r="A36" s="26">
        <v>33</v>
      </c>
      <c r="B36" s="26">
        <v>37</v>
      </c>
      <c r="C36" s="422">
        <f>'ANALYSE - ERP =&gt; SOUS-SEGMENT'!$A$18</f>
        <v>11</v>
      </c>
      <c r="D36" s="411" t="str">
        <f>'ANALYSE - ERP =&gt; SOUS-SEGMENT'!$B$18</f>
        <v>Enfance, Enseignement, Jeunesse &amp; Formation</v>
      </c>
      <c r="E36" s="411" t="str">
        <f>'ANALYSE - ERP =&gt; SOUS-SEGMENT'!$C$18</f>
        <v>Enseignement supérieur</v>
      </c>
      <c r="F36" s="411" t="str">
        <f>'ANALYSE - ERP =&gt; SOUS-SEGMENT'!$D$18</f>
        <v>Résidences étudiantes et dortoirs</v>
      </c>
      <c r="H36" s="787">
        <f>'ANALYSE - ERP =&gt; SOUS-SEGMENT'!$IO$18</f>
        <v>0</v>
      </c>
      <c r="I36" s="787">
        <f>'ANALYSE - ERP =&gt; SOUS-SEGMENT'!$IP$18</f>
        <v>0.1966</v>
      </c>
      <c r="J36" s="787">
        <f>'ANALYSE - ERP =&gt; SOUS-SEGMENT'!$IQ$18</f>
        <v>0.54820000000000002</v>
      </c>
      <c r="K36" s="787">
        <f>'ANALYSE - ERP =&gt; SOUS-SEGMENT'!$IR$18</f>
        <v>0.24099999999999999</v>
      </c>
      <c r="L36" s="787">
        <f>'ANALYSE - ERP =&gt; SOUS-SEGMENT'!$IS$18</f>
        <v>1.4200000000000001E-2</v>
      </c>
      <c r="N36" s="787">
        <f>'ANALYSE - ERP =&gt; SOUS-SEGMENT'!$IT$18</f>
        <v>0</v>
      </c>
      <c r="O36" s="787">
        <f>'ANALYSE - ERP =&gt; SOUS-SEGMENT'!$IU$18</f>
        <v>6.1899999999999997E-2</v>
      </c>
      <c r="P36" s="787">
        <f>'ANALYSE - ERP =&gt; SOUS-SEGMENT'!$IV$18</f>
        <v>0.4632</v>
      </c>
      <c r="Q36" s="787">
        <f>'ANALYSE - ERP =&gt; SOUS-SEGMENT'!$IW$18</f>
        <v>0.41920000000000002</v>
      </c>
      <c r="R36" s="787">
        <f>'ANALYSE - ERP =&gt; SOUS-SEGMENT'!$IX$18</f>
        <v>5.57E-2</v>
      </c>
      <c r="T36" s="430">
        <f>'ANALYSE - ERP =&gt; SOUS-SEGMENT'!$Q$18</f>
        <v>1</v>
      </c>
    </row>
    <row r="37" spans="1:20" ht="15" customHeight="1">
      <c r="A37" s="26">
        <v>34</v>
      </c>
      <c r="B37" s="26">
        <v>31</v>
      </c>
      <c r="C37" s="422">
        <f>'ANALYSE - ERP =&gt; SOUS-SEGMENT'!$A$41</f>
        <v>34</v>
      </c>
      <c r="D37" s="408" t="str">
        <f>'ANALYSE - ERP =&gt; SOUS-SEGMENT'!$B$41</f>
        <v>Sports &amp; Loisirs</v>
      </c>
      <c r="E37" s="408" t="str">
        <f>'ANALYSE - ERP =&gt; SOUS-SEGMENT'!$C$41</f>
        <v>Loisirs</v>
      </c>
      <c r="F37" s="408" t="str">
        <f>'ANALYSE - ERP =&gt; SOUS-SEGMENT'!$D$41</f>
        <v>Salles de jeux / Bowlings / Billards</v>
      </c>
      <c r="H37" s="787">
        <f>'ANALYSE - ERP =&gt; SOUS-SEGMENT'!$IO$41</f>
        <v>0.01</v>
      </c>
      <c r="I37" s="787">
        <f>'ANALYSE - ERP =&gt; SOUS-SEGMENT'!$IP$41</f>
        <v>0.28000000000000003</v>
      </c>
      <c r="J37" s="787">
        <f>'ANALYSE - ERP =&gt; SOUS-SEGMENT'!$IQ$41</f>
        <v>0.5</v>
      </c>
      <c r="K37" s="787">
        <f>'ANALYSE - ERP =&gt; SOUS-SEGMENT'!$IR$41</f>
        <v>0.19</v>
      </c>
      <c r="L37" s="787">
        <f>'ANALYSE - ERP =&gt; SOUS-SEGMENT'!$IS$41</f>
        <v>0.02</v>
      </c>
      <c r="N37" s="787">
        <f>'ANALYSE - ERP =&gt; SOUS-SEGMENT'!$IT$41</f>
        <v>0</v>
      </c>
      <c r="O37" s="787">
        <f>'ANALYSE - ERP =&gt; SOUS-SEGMENT'!$IU$41</f>
        <v>0.24129999999999999</v>
      </c>
      <c r="P37" s="787">
        <f>'ANALYSE - ERP =&gt; SOUS-SEGMENT'!$IV$41</f>
        <v>0.51870000000000005</v>
      </c>
      <c r="Q37" s="787">
        <f>'ANALYSE - ERP =&gt; SOUS-SEGMENT'!$IW$41</f>
        <v>0.2142</v>
      </c>
      <c r="R37" s="787">
        <f>'ANALYSE - ERP =&gt; SOUS-SEGMENT'!$IX$41</f>
        <v>2.58E-2</v>
      </c>
      <c r="T37" s="430">
        <f>'ANALYSE - ERP =&gt; SOUS-SEGMENT'!$Q$41</f>
        <v>1</v>
      </c>
    </row>
    <row r="38" spans="1:20" ht="15" customHeight="1">
      <c r="A38" s="26">
        <v>35</v>
      </c>
      <c r="B38" s="26">
        <v>40</v>
      </c>
      <c r="C38" s="422">
        <f>'ANALYSE - ERP =&gt; SOUS-SEGMENT'!$A$108</f>
        <v>101</v>
      </c>
      <c r="D38" s="415" t="str">
        <f>'ANALYSE - ERP =&gt; SOUS-SEGMENT'!$B$108</f>
        <v>Culte, Vie civique &amp; Services publics</v>
      </c>
      <c r="E38" s="415" t="str">
        <f>'ANALYSE - ERP =&gt; SOUS-SEGMENT'!$C$108</f>
        <v>Administrations / services publics</v>
      </c>
      <c r="F38" s="415" t="str">
        <f>'ANALYSE - ERP =&gt; SOUS-SEGMENT'!$D$108</f>
        <v>Maisons France Services / Guichets publics autonomes ou dédiés</v>
      </c>
      <c r="H38" s="787">
        <f>'ANALYSE - ERP =&gt; SOUS-SEGMENT'!$IO$108</f>
        <v>2E-3</v>
      </c>
      <c r="I38" s="787">
        <f>'ANALYSE - ERP =&gt; SOUS-SEGMENT'!$IP$108</f>
        <v>0.32569999999999999</v>
      </c>
      <c r="J38" s="787">
        <f>'ANALYSE - ERP =&gt; SOUS-SEGMENT'!$IQ$108</f>
        <v>0.54369999999999996</v>
      </c>
      <c r="K38" s="787">
        <f>'ANALYSE - ERP =&gt; SOUS-SEGMENT'!$IR$108</f>
        <v>0.1263</v>
      </c>
      <c r="L38" s="787">
        <f>'ANALYSE - ERP =&gt; SOUS-SEGMENT'!$IS$108</f>
        <v>2.3E-3</v>
      </c>
      <c r="N38" s="787">
        <f>'ANALYSE - ERP =&gt; SOUS-SEGMENT'!$IT$108</f>
        <v>0</v>
      </c>
      <c r="O38" s="787">
        <f>'ANALYSE - ERP =&gt; SOUS-SEGMENT'!$IU$108</f>
        <v>6.8699999999999997E-2</v>
      </c>
      <c r="P38" s="787">
        <f>'ANALYSE - ERP =&gt; SOUS-SEGMENT'!$IV$108</f>
        <v>0.51900000000000002</v>
      </c>
      <c r="Q38" s="787">
        <f>'ANALYSE - ERP =&gt; SOUS-SEGMENT'!$IW$108</f>
        <v>0.38129999999999997</v>
      </c>
      <c r="R38" s="787">
        <f>'ANALYSE - ERP =&gt; SOUS-SEGMENT'!$IX$108</f>
        <v>3.1E-2</v>
      </c>
      <c r="T38" s="430">
        <f>'ANALYSE - ERP =&gt; SOUS-SEGMENT'!$Q$108</f>
        <v>1</v>
      </c>
    </row>
    <row r="39" spans="1:20" ht="15" customHeight="1">
      <c r="A39" s="26">
        <v>36</v>
      </c>
      <c r="B39" s="26">
        <v>36</v>
      </c>
      <c r="C39" s="422">
        <f>'ANALYSE - ERP =&gt; SOUS-SEGMENT'!$A$15</f>
        <v>8</v>
      </c>
      <c r="D39" s="411" t="str">
        <f>'ANALYSE - ERP =&gt; SOUS-SEGMENT'!$B$15</f>
        <v>Enfance, Enseignement, Jeunesse &amp; Formation</v>
      </c>
      <c r="E39" s="411" t="str">
        <f>'ANALYSE - ERP =&gt; SOUS-SEGMENT'!$C$15</f>
        <v>Enseignement scolaire</v>
      </c>
      <c r="F39" s="411" t="str">
        <f>'ANALYSE - ERP =&gt; SOUS-SEGMENT'!$D$15</f>
        <v>Internats scolaires</v>
      </c>
      <c r="H39" s="787">
        <f>'ANALYSE - ERP =&gt; SOUS-SEGMENT'!$IO$15</f>
        <v>0</v>
      </c>
      <c r="I39" s="787">
        <f>'ANALYSE - ERP =&gt; SOUS-SEGMENT'!$IP$15</f>
        <v>0.23730000000000001</v>
      </c>
      <c r="J39" s="787">
        <f>'ANALYSE - ERP =&gt; SOUS-SEGMENT'!$IQ$15</f>
        <v>0.5484</v>
      </c>
      <c r="K39" s="787">
        <f>'ANALYSE - ERP =&gt; SOUS-SEGMENT'!$IR$15</f>
        <v>0.20449999999999999</v>
      </c>
      <c r="L39" s="787">
        <f>'ANALYSE - ERP =&gt; SOUS-SEGMENT'!$IS$15</f>
        <v>9.7999999999999997E-3</v>
      </c>
      <c r="N39" s="787">
        <f>'ANALYSE - ERP =&gt; SOUS-SEGMENT'!$IT$15</f>
        <v>0</v>
      </c>
      <c r="O39" s="787">
        <f>'ANALYSE - ERP =&gt; SOUS-SEGMENT'!$IU$15</f>
        <v>0.11559999999999999</v>
      </c>
      <c r="P39" s="787">
        <f>'ANALYSE - ERP =&gt; SOUS-SEGMENT'!$IV$15</f>
        <v>0.51919999999999999</v>
      </c>
      <c r="Q39" s="787">
        <f>'ANALYSE - ERP =&gt; SOUS-SEGMENT'!$IW$15</f>
        <v>0.33460000000000001</v>
      </c>
      <c r="R39" s="787">
        <f>'ANALYSE - ERP =&gt; SOUS-SEGMENT'!$IX$15</f>
        <v>3.0599999999999999E-2</v>
      </c>
      <c r="T39" s="430">
        <f>'ANALYSE - ERP =&gt; SOUS-SEGMENT'!$Q$15</f>
        <v>1</v>
      </c>
    </row>
    <row r="40" spans="1:20" ht="15" customHeight="1">
      <c r="A40" s="26">
        <v>37</v>
      </c>
      <c r="B40" s="26">
        <v>32</v>
      </c>
      <c r="C40" s="422">
        <f>'ANALYSE - ERP =&gt; SOUS-SEGMENT'!$A$42</f>
        <v>35</v>
      </c>
      <c r="D40" s="408" t="str">
        <f>'ANALYSE - ERP =&gt; SOUS-SEGMENT'!$B$42</f>
        <v>Sports &amp; Loisirs</v>
      </c>
      <c r="E40" s="408" t="str">
        <f>'ANALYSE - ERP =&gt; SOUS-SEGMENT'!$C$42</f>
        <v>Loisirs</v>
      </c>
      <c r="F40" s="408" t="str">
        <f>'ANALYSE - ERP =&gt; SOUS-SEGMENT'!$D$42</f>
        <v>Discothèques / Salles de danse</v>
      </c>
      <c r="H40" s="787">
        <f>'ANALYSE - ERP =&gt; SOUS-SEGMENT'!$IO$42</f>
        <v>0.01</v>
      </c>
      <c r="I40" s="787">
        <f>'ANALYSE - ERP =&gt; SOUS-SEGMENT'!$IP$42</f>
        <v>0.28000000000000003</v>
      </c>
      <c r="J40" s="787">
        <f>'ANALYSE - ERP =&gt; SOUS-SEGMENT'!$IQ$42</f>
        <v>0.5</v>
      </c>
      <c r="K40" s="787">
        <f>'ANALYSE - ERP =&gt; SOUS-SEGMENT'!$IR$42</f>
        <v>0.19</v>
      </c>
      <c r="L40" s="787">
        <f>'ANALYSE - ERP =&gt; SOUS-SEGMENT'!$IS$42</f>
        <v>0.02</v>
      </c>
      <c r="N40" s="787">
        <f>'ANALYSE - ERP =&gt; SOUS-SEGMENT'!$IT$42</f>
        <v>0</v>
      </c>
      <c r="O40" s="787">
        <f>'ANALYSE - ERP =&gt; SOUS-SEGMENT'!$IU$42</f>
        <v>0.24129999999999999</v>
      </c>
      <c r="P40" s="787">
        <f>'ANALYSE - ERP =&gt; SOUS-SEGMENT'!$IV$42</f>
        <v>0.51870000000000005</v>
      </c>
      <c r="Q40" s="787">
        <f>'ANALYSE - ERP =&gt; SOUS-SEGMENT'!$IW$42</f>
        <v>0.2142</v>
      </c>
      <c r="R40" s="787">
        <f>'ANALYSE - ERP =&gt; SOUS-SEGMENT'!$IX$42</f>
        <v>2.58E-2</v>
      </c>
      <c r="T40" s="430">
        <f>'ANALYSE - ERP =&gt; SOUS-SEGMENT'!$Q$42</f>
        <v>1</v>
      </c>
    </row>
    <row r="41" spans="1:20" ht="15" customHeight="1">
      <c r="A41" s="26">
        <v>38</v>
      </c>
      <c r="B41" s="26">
        <v>38</v>
      </c>
      <c r="C41" s="422">
        <f>'ANALYSE - ERP =&gt; SOUS-SEGMENT'!$A$125</f>
        <v>118</v>
      </c>
      <c r="D41" s="413" t="str">
        <f>'ANALYSE - ERP =&gt; SOUS-SEGMENT'!$B$125</f>
        <v>Transport, Mobilité &amp; Stationnement</v>
      </c>
      <c r="E41" s="413" t="str">
        <f>'ANALYSE - ERP =&gt; SOUS-SEGMENT'!$C$125</f>
        <v>Transport / Mobilité</v>
      </c>
      <c r="F41" s="413" t="str">
        <f>'ANALYSE - ERP =&gt; SOUS-SEGMENT'!$D$125</f>
        <v>Gares ferroviaires et stations
(dotés de sanitaires)</v>
      </c>
      <c r="H41" s="787">
        <f>'ANALYSE - ERP =&gt; SOUS-SEGMENT'!$IO$125</f>
        <v>0.05</v>
      </c>
      <c r="I41" s="787">
        <f>'ANALYSE - ERP =&gt; SOUS-SEGMENT'!$IP$125</f>
        <v>0.47</v>
      </c>
      <c r="J41" s="787">
        <f>'ANALYSE - ERP =&gt; SOUS-SEGMENT'!$IQ$125</f>
        <v>0.41</v>
      </c>
      <c r="K41" s="787">
        <f>'ANALYSE - ERP =&gt; SOUS-SEGMENT'!$IR$125</f>
        <v>0.06</v>
      </c>
      <c r="L41" s="787">
        <f>'ANALYSE - ERP =&gt; SOUS-SEGMENT'!$IS$125</f>
        <v>0.01</v>
      </c>
      <c r="N41" s="787">
        <f>'ANALYSE - ERP =&gt; SOUS-SEGMENT'!$IT$125</f>
        <v>2.9399999999999999E-2</v>
      </c>
      <c r="O41" s="787">
        <f>'ANALYSE - ERP =&gt; SOUS-SEGMENT'!$IU$125</f>
        <v>0.44479999999999997</v>
      </c>
      <c r="P41" s="787">
        <f>'ANALYSE - ERP =&gt; SOUS-SEGMENT'!$IV$125</f>
        <v>0.43059999999999998</v>
      </c>
      <c r="Q41" s="787">
        <f>'ANALYSE - ERP =&gt; SOUS-SEGMENT'!$IW$125</f>
        <v>8.0600000000000005E-2</v>
      </c>
      <c r="R41" s="787">
        <f>'ANALYSE - ERP =&gt; SOUS-SEGMENT'!$IX$125</f>
        <v>1.46E-2</v>
      </c>
      <c r="T41" s="430">
        <f>'ANALYSE - ERP =&gt; SOUS-SEGMENT'!$Q$125</f>
        <v>1</v>
      </c>
    </row>
    <row r="42" spans="1:20" ht="15" customHeight="1">
      <c r="A42" s="26">
        <v>39</v>
      </c>
      <c r="B42" s="26">
        <v>33</v>
      </c>
      <c r="C42" s="422">
        <f>'ANALYSE - ERP =&gt; SOUS-SEGMENT'!$A$91</f>
        <v>84</v>
      </c>
      <c r="D42" s="412" t="str">
        <f>'ANALYSE - ERP =&gt; SOUS-SEGMENT'!$B$91</f>
        <v>Hébergement Touristique</v>
      </c>
      <c r="E42" s="412" t="str">
        <f>'ANALYSE - ERP =&gt; SOUS-SEGMENT'!$C$91</f>
        <v>Hébergement Touristique</v>
      </c>
      <c r="F42" s="412" t="str">
        <f>'ANALYSE - ERP =&gt; SOUS-SEGMENT'!$D$91</f>
        <v>Pensions de famille</v>
      </c>
      <c r="H42" s="787">
        <f>'ANALYSE - ERP =&gt; SOUS-SEGMENT'!$IO$91</f>
        <v>4.7899999999999998E-2</v>
      </c>
      <c r="I42" s="787">
        <f>'ANALYSE - ERP =&gt; SOUS-SEGMENT'!$IP$91</f>
        <v>0.39500000000000002</v>
      </c>
      <c r="J42" s="787">
        <f>'ANALYSE - ERP =&gt; SOUS-SEGMENT'!$IQ$91</f>
        <v>0.46550000000000002</v>
      </c>
      <c r="K42" s="787">
        <f>'ANALYSE - ERP =&gt; SOUS-SEGMENT'!$IR$91</f>
        <v>8.8700000000000001E-2</v>
      </c>
      <c r="L42" s="787">
        <f>'ANALYSE - ERP =&gt; SOUS-SEGMENT'!$IS$91</f>
        <v>2.8999999999999998E-3</v>
      </c>
      <c r="N42" s="787">
        <f>'ANALYSE - ERP =&gt; SOUS-SEGMENT'!$IT$91</f>
        <v>1.29E-2</v>
      </c>
      <c r="O42" s="787">
        <f>'ANALYSE - ERP =&gt; SOUS-SEGMENT'!$IU$91</f>
        <v>0.26700000000000002</v>
      </c>
      <c r="P42" s="787">
        <f>'ANALYSE - ERP =&gt; SOUS-SEGMENT'!$IV$91</f>
        <v>0.53559999999999997</v>
      </c>
      <c r="Q42" s="787">
        <f>'ANALYSE - ERP =&gt; SOUS-SEGMENT'!$IW$91</f>
        <v>0.17469999999999999</v>
      </c>
      <c r="R42" s="787">
        <f>'ANALYSE - ERP =&gt; SOUS-SEGMENT'!$IX$91</f>
        <v>9.7999999999999997E-3</v>
      </c>
      <c r="T42" s="430">
        <f>'ANALYSE - ERP =&gt; SOUS-SEGMENT'!$Q$91</f>
        <v>1</v>
      </c>
    </row>
    <row r="43" spans="1:20" ht="15" customHeight="1">
      <c r="A43" s="26">
        <v>40</v>
      </c>
      <c r="B43" s="26">
        <v>39</v>
      </c>
      <c r="C43" s="422">
        <f>'ANALYSE - ERP =&gt; SOUS-SEGMENT'!$A$90</f>
        <v>83</v>
      </c>
      <c r="D43" s="412" t="str">
        <f>'ANALYSE - ERP =&gt; SOUS-SEGMENT'!$B$90</f>
        <v>Hébergement Touristique</v>
      </c>
      <c r="E43" s="412" t="str">
        <f>'ANALYSE - ERP =&gt; SOUS-SEGMENT'!$C$90</f>
        <v>Hébergement Touristique</v>
      </c>
      <c r="F43" s="412" t="str">
        <f>'ANALYSE - ERP =&gt; SOUS-SEGMENT'!$D$90</f>
        <v>Auberges de jeunesse</v>
      </c>
      <c r="H43" s="787">
        <f>'ANALYSE - ERP =&gt; SOUS-SEGMENT'!$IO$90</f>
        <v>0.01</v>
      </c>
      <c r="I43" s="787">
        <f>'ANALYSE - ERP =&gt; SOUS-SEGMENT'!$IP$90</f>
        <v>0.28000000000000003</v>
      </c>
      <c r="J43" s="787">
        <f>'ANALYSE - ERP =&gt; SOUS-SEGMENT'!$IQ$90</f>
        <v>0.5</v>
      </c>
      <c r="K43" s="787">
        <f>'ANALYSE - ERP =&gt; SOUS-SEGMENT'!$IR$90</f>
        <v>0.19</v>
      </c>
      <c r="L43" s="787">
        <f>'ANALYSE - ERP =&gt; SOUS-SEGMENT'!$IS$90</f>
        <v>0.02</v>
      </c>
      <c r="N43" s="787">
        <f>'ANALYSE - ERP =&gt; SOUS-SEGMENT'!$IT$90</f>
        <v>0</v>
      </c>
      <c r="O43" s="787">
        <f>'ANALYSE - ERP =&gt; SOUS-SEGMENT'!$IU$90</f>
        <v>0.24310000000000001</v>
      </c>
      <c r="P43" s="787">
        <f>'ANALYSE - ERP =&gt; SOUS-SEGMENT'!$IV$90</f>
        <v>0.5181</v>
      </c>
      <c r="Q43" s="787">
        <f>'ANALYSE - ERP =&gt; SOUS-SEGMENT'!$IW$90</f>
        <v>0.2132</v>
      </c>
      <c r="R43" s="787">
        <f>'ANALYSE - ERP =&gt; SOUS-SEGMENT'!$IX$90</f>
        <v>2.5600000000000001E-2</v>
      </c>
      <c r="T43" s="430">
        <f>'ANALYSE - ERP =&gt; SOUS-SEGMENT'!$Q$90</f>
        <v>1</v>
      </c>
    </row>
    <row r="44" spans="1:20" ht="15" customHeight="1">
      <c r="A44" s="26">
        <v>41</v>
      </c>
      <c r="B44" s="26">
        <v>41</v>
      </c>
      <c r="C44" s="422">
        <f>'ANALYSE - ERP =&gt; SOUS-SEGMENT'!$A$76</f>
        <v>69</v>
      </c>
      <c r="D44" s="408" t="str">
        <f>'ANALYSE - ERP =&gt; SOUS-SEGMENT'!$B$76</f>
        <v>Commerce, Restauration &amp; Loisirs</v>
      </c>
      <c r="E44" s="408" t="str">
        <f>'ANALYSE - ERP =&gt; SOUS-SEGMENT'!$C$76</f>
        <v>Restauration / boissons</v>
      </c>
      <c r="F44" s="408" t="str">
        <f>'ANALYSE - ERP =&gt; SOUS-SEGMENT'!$D$76</f>
        <v>Cafés / bars / brasseries</v>
      </c>
      <c r="H44" s="787">
        <f>'ANALYSE - ERP =&gt; SOUS-SEGMENT'!$IO$76</f>
        <v>1.52E-2</v>
      </c>
      <c r="I44" s="787">
        <f>'ANALYSE - ERP =&gt; SOUS-SEGMENT'!$IP$76</f>
        <v>0.28560000000000002</v>
      </c>
      <c r="J44" s="787">
        <f>'ANALYSE - ERP =&gt; SOUS-SEGMENT'!$IQ$76</f>
        <v>0.45219999999999999</v>
      </c>
      <c r="K44" s="787">
        <f>'ANALYSE - ERP =&gt; SOUS-SEGMENT'!$IR$76</f>
        <v>0.2024</v>
      </c>
      <c r="L44" s="787">
        <f>'ANALYSE - ERP =&gt; SOUS-SEGMENT'!$IS$76</f>
        <v>4.4600000000000001E-2</v>
      </c>
      <c r="N44" s="787">
        <f>'ANALYSE - ERP =&gt; SOUS-SEGMENT'!$IT$76</f>
        <v>0</v>
      </c>
      <c r="O44" s="787">
        <f>'ANALYSE - ERP =&gt; SOUS-SEGMENT'!$IU$76</f>
        <v>0.2021</v>
      </c>
      <c r="P44" s="787">
        <f>'ANALYSE - ERP =&gt; SOUS-SEGMENT'!$IV$76</f>
        <v>0.4703</v>
      </c>
      <c r="Q44" s="787">
        <f>'ANALYSE - ERP =&gt; SOUS-SEGMENT'!$IW$76</f>
        <v>0.26729999999999998</v>
      </c>
      <c r="R44" s="787">
        <f>'ANALYSE - ERP =&gt; SOUS-SEGMENT'!$IX$76</f>
        <v>6.0299999999999999E-2</v>
      </c>
      <c r="T44" s="430">
        <f>'ANALYSE - ERP =&gt; SOUS-SEGMENT'!$Q$76</f>
        <v>1</v>
      </c>
    </row>
    <row r="45" spans="1:20" ht="15" customHeight="1">
      <c r="A45" s="26">
        <v>42</v>
      </c>
      <c r="B45" s="26">
        <v>42</v>
      </c>
      <c r="C45" s="422">
        <f>'ANALYSE - ERP =&gt; SOUS-SEGMENT'!$A$63</f>
        <v>56</v>
      </c>
      <c r="D45" s="414" t="str">
        <f>'ANALYSE - ERP =&gt; SOUS-SEGMENT'!$B$63</f>
        <v>Culture, Patrimoine &amp; Evénementiel</v>
      </c>
      <c r="E45" s="414" t="str">
        <f>'ANALYSE - ERP =&gt; SOUS-SEGMENT'!$C$63</f>
        <v>Culture / spectacle</v>
      </c>
      <c r="F45" s="414" t="str">
        <f>'ANALYSE - ERP =&gt; SOUS-SEGMENT'!$D$63</f>
        <v>Théâtres</v>
      </c>
      <c r="H45" s="787">
        <f>'ANALYSE - ERP =&gt; SOUS-SEGMENT'!$IO$63</f>
        <v>2.7000000000000001E-3</v>
      </c>
      <c r="I45" s="787">
        <f>'ANALYSE - ERP =&gt; SOUS-SEGMENT'!$IP$63</f>
        <v>0.2606</v>
      </c>
      <c r="J45" s="787">
        <f>'ANALYSE - ERP =&gt; SOUS-SEGMENT'!$IQ$63</f>
        <v>0.52980000000000005</v>
      </c>
      <c r="K45" s="787">
        <f>'ANALYSE - ERP =&gt; SOUS-SEGMENT'!$IR$63</f>
        <v>0.19620000000000001</v>
      </c>
      <c r="L45" s="787">
        <f>'ANALYSE - ERP =&gt; SOUS-SEGMENT'!$IS$63</f>
        <v>1.0699999999999999E-2</v>
      </c>
      <c r="N45" s="787">
        <f>'ANALYSE - ERP =&gt; SOUS-SEGMENT'!$IT$63</f>
        <v>0</v>
      </c>
      <c r="O45" s="787">
        <f>'ANALYSE - ERP =&gt; SOUS-SEGMENT'!$IU$63</f>
        <v>0.15040000000000001</v>
      </c>
      <c r="P45" s="787">
        <f>'ANALYSE - ERP =&gt; SOUS-SEGMENT'!$IV$63</f>
        <v>0.51759999999999995</v>
      </c>
      <c r="Q45" s="787">
        <f>'ANALYSE - ERP =&gt; SOUS-SEGMENT'!$IW$63</f>
        <v>0.3034</v>
      </c>
      <c r="R45" s="787">
        <f>'ANALYSE - ERP =&gt; SOUS-SEGMENT'!$IX$63</f>
        <v>2.86E-2</v>
      </c>
      <c r="T45" s="430">
        <f>'ANALYSE - ERP =&gt; SOUS-SEGMENT'!$Q$63</f>
        <v>1</v>
      </c>
    </row>
    <row r="46" spans="1:20" ht="15" customHeight="1">
      <c r="A46" s="26">
        <v>43</v>
      </c>
      <c r="B46" s="26">
        <v>43</v>
      </c>
      <c r="C46" s="422">
        <f>'ANALYSE - ERP =&gt; SOUS-SEGMENT'!$A$64</f>
        <v>57</v>
      </c>
      <c r="D46" s="414" t="str">
        <f>'ANALYSE - ERP =&gt; SOUS-SEGMENT'!$B$64</f>
        <v>Culture, Patrimoine &amp; Evénementiel</v>
      </c>
      <c r="E46" s="414" t="str">
        <f>'ANALYSE - ERP =&gt; SOUS-SEGMENT'!$C$64</f>
        <v>Culture / spectacle</v>
      </c>
      <c r="F46" s="414" t="str">
        <f>'ANALYSE - ERP =&gt; SOUS-SEGMENT'!$D$64</f>
        <v>Musées</v>
      </c>
      <c r="H46" s="787">
        <f>'ANALYSE - ERP =&gt; SOUS-SEGMENT'!$IO$64</f>
        <v>4.7000000000000002E-3</v>
      </c>
      <c r="I46" s="787">
        <f>'ANALYSE - ERP =&gt; SOUS-SEGMENT'!$IP$64</f>
        <v>0.26860000000000001</v>
      </c>
      <c r="J46" s="787">
        <f>'ANALYSE - ERP =&gt; SOUS-SEGMENT'!$IQ$64</f>
        <v>0.52690000000000003</v>
      </c>
      <c r="K46" s="787">
        <f>'ANALYSE - ERP =&gt; SOUS-SEGMENT'!$IR$64</f>
        <v>0.18990000000000001</v>
      </c>
      <c r="L46" s="787">
        <f>'ANALYSE - ERP =&gt; SOUS-SEGMENT'!$IS$64</f>
        <v>9.9000000000000008E-3</v>
      </c>
      <c r="N46" s="787">
        <f>'ANALYSE - ERP =&gt; SOUS-SEGMENT'!$IT$64</f>
        <v>0</v>
      </c>
      <c r="O46" s="787">
        <f>'ANALYSE - ERP =&gt; SOUS-SEGMENT'!$IU$64</f>
        <v>0.17199999999999999</v>
      </c>
      <c r="P46" s="787">
        <f>'ANALYSE - ERP =&gt; SOUS-SEGMENT'!$IV$64</f>
        <v>0.52549999999999997</v>
      </c>
      <c r="Q46" s="787">
        <f>'ANALYSE - ERP =&gt; SOUS-SEGMENT'!$IW$64</f>
        <v>0.27900000000000003</v>
      </c>
      <c r="R46" s="787">
        <f>'ANALYSE - ERP =&gt; SOUS-SEGMENT'!$IX$64</f>
        <v>2.35E-2</v>
      </c>
      <c r="T46" s="430">
        <f>'ANALYSE - ERP =&gt; SOUS-SEGMENT'!$Q$64</f>
        <v>1</v>
      </c>
    </row>
    <row r="47" spans="1:20" ht="15" customHeight="1">
      <c r="A47" s="26">
        <v>44</v>
      </c>
      <c r="B47" s="26">
        <v>45</v>
      </c>
      <c r="C47" s="422">
        <f>'ANALYSE - ERP =&gt; SOUS-SEGMENT'!$A$68</f>
        <v>61</v>
      </c>
      <c r="D47" s="414" t="str">
        <f>'ANALYSE - ERP =&gt; SOUS-SEGMENT'!$B$68</f>
        <v>Culture, Patrimoine &amp; Evénementiel</v>
      </c>
      <c r="E47" s="414" t="str">
        <f>'ANALYSE - ERP =&gt; SOUS-SEGMENT'!$C$68</f>
        <v>Culture / spectacle</v>
      </c>
      <c r="F47" s="414" t="str">
        <f>'ANALYSE - ERP =&gt; SOUS-SEGMENT'!$D$68</f>
        <v>Bibliothèques / Médiathèques</v>
      </c>
      <c r="H47" s="787">
        <f>'ANALYSE - ERP =&gt; SOUS-SEGMENT'!$IO$68</f>
        <v>1.7600000000000001E-2</v>
      </c>
      <c r="I47" s="787">
        <f>'ANALYSE - ERP =&gt; SOUS-SEGMENT'!$IP$68</f>
        <v>0.31240000000000001</v>
      </c>
      <c r="J47" s="787">
        <f>'ANALYSE - ERP =&gt; SOUS-SEGMENT'!$IQ$68</f>
        <v>0.50570000000000004</v>
      </c>
      <c r="K47" s="787">
        <f>'ANALYSE - ERP =&gt; SOUS-SEGMENT'!$IR$68</f>
        <v>0.15770000000000001</v>
      </c>
      <c r="L47" s="787">
        <f>'ANALYSE - ERP =&gt; SOUS-SEGMENT'!$IS$68</f>
        <v>6.6E-3</v>
      </c>
      <c r="N47" s="787">
        <f>'ANALYSE - ERP =&gt; SOUS-SEGMENT'!$IT$68</f>
        <v>0</v>
      </c>
      <c r="O47" s="787">
        <f>'ANALYSE - ERP =&gt; SOUS-SEGMENT'!$IU$68</f>
        <v>0.21260000000000001</v>
      </c>
      <c r="P47" s="787">
        <f>'ANALYSE - ERP =&gt; SOUS-SEGMENT'!$IV$68</f>
        <v>0.53320000000000001</v>
      </c>
      <c r="Q47" s="787">
        <f>'ANALYSE - ERP =&gt; SOUS-SEGMENT'!$IW$68</f>
        <v>0.2379</v>
      </c>
      <c r="R47" s="787">
        <f>'ANALYSE - ERP =&gt; SOUS-SEGMENT'!$IX$68</f>
        <v>1.6299999999999999E-2</v>
      </c>
      <c r="T47" s="430">
        <f>'ANALYSE - ERP =&gt; SOUS-SEGMENT'!$Q$68</f>
        <v>1</v>
      </c>
    </row>
    <row r="48" spans="1:20" ht="15" customHeight="1">
      <c r="A48" s="26">
        <v>45</v>
      </c>
      <c r="B48" s="26">
        <v>44</v>
      </c>
      <c r="C48" s="422">
        <f>'ANALYSE - ERP =&gt; SOUS-SEGMENT'!$A$67</f>
        <v>60</v>
      </c>
      <c r="D48" s="414" t="str">
        <f>'ANALYSE - ERP =&gt; SOUS-SEGMENT'!$B$67</f>
        <v>Culture, Patrimoine &amp; Evénementiel</v>
      </c>
      <c r="E48" s="414" t="str">
        <f>'ANALYSE - ERP =&gt; SOUS-SEGMENT'!$C$67</f>
        <v>Culture / spectacle</v>
      </c>
      <c r="F48" s="414" t="str">
        <f>'ANALYSE - ERP =&gt; SOUS-SEGMENT'!$D$67</f>
        <v>Salles polyvalentes / Salles des fêtes</v>
      </c>
      <c r="H48" s="787">
        <f>'ANALYSE - ERP =&gt; SOUS-SEGMENT'!$IO$67</f>
        <v>0.03</v>
      </c>
      <c r="I48" s="787">
        <f>'ANALYSE - ERP =&gt; SOUS-SEGMENT'!$IP$67</f>
        <v>0.4</v>
      </c>
      <c r="J48" s="787">
        <f>'ANALYSE - ERP =&gt; SOUS-SEGMENT'!$IQ$67</f>
        <v>0.5</v>
      </c>
      <c r="K48" s="787">
        <f>'ANALYSE - ERP =&gt; SOUS-SEGMENT'!$IR$67</f>
        <v>7.0000000000000007E-2</v>
      </c>
      <c r="L48" s="787">
        <f>'ANALYSE - ERP =&gt; SOUS-SEGMENT'!$IS$67</f>
        <v>0</v>
      </c>
      <c r="N48" s="787">
        <f>'ANALYSE - ERP =&gt; SOUS-SEGMENT'!$IT$67</f>
        <v>1.26E-2</v>
      </c>
      <c r="O48" s="787">
        <f>'ANALYSE - ERP =&gt; SOUS-SEGMENT'!$IU$67</f>
        <v>0.37880000000000003</v>
      </c>
      <c r="P48" s="787">
        <f>'ANALYSE - ERP =&gt; SOUS-SEGMENT'!$IV$67</f>
        <v>0.51739999999999997</v>
      </c>
      <c r="Q48" s="787">
        <f>'ANALYSE - ERP =&gt; SOUS-SEGMENT'!$IW$67</f>
        <v>8.7400000000000005E-2</v>
      </c>
      <c r="R48" s="787">
        <f>'ANALYSE - ERP =&gt; SOUS-SEGMENT'!$IX$67</f>
        <v>3.8E-3</v>
      </c>
      <c r="T48" s="430">
        <f>'ANALYSE - ERP =&gt; SOUS-SEGMENT'!$Q$67</f>
        <v>1</v>
      </c>
    </row>
    <row r="49" spans="1:20" ht="15" customHeight="1">
      <c r="A49" s="26">
        <v>46</v>
      </c>
      <c r="B49" s="26">
        <v>47</v>
      </c>
      <c r="C49" s="422">
        <f>'ANALYSE - ERP =&gt; SOUS-SEGMENT'!$A$105</f>
        <v>98</v>
      </c>
      <c r="D49" s="415" t="str">
        <f>'ANALYSE - ERP =&gt; SOUS-SEGMENT'!$B$105</f>
        <v>Culte, Vie civique &amp; Services publics</v>
      </c>
      <c r="E49" s="415" t="str">
        <f>'ANALYSE - ERP =&gt; SOUS-SEGMENT'!$C$105</f>
        <v>Administrations / services publics</v>
      </c>
      <c r="F49" s="415" t="str">
        <f>'ANALYSE - ERP =&gt; SOUS-SEGMENT'!$D$105</f>
        <v>Préfectures / services administratifs</v>
      </c>
      <c r="H49" s="787">
        <f>'ANALYSE - ERP =&gt; SOUS-SEGMENT'!$IO$105</f>
        <v>1.0500000000000001E-2</v>
      </c>
      <c r="I49" s="787">
        <f>'ANALYSE - ERP =&gt; SOUS-SEGMENT'!$IP$105</f>
        <v>0.36009999999999998</v>
      </c>
      <c r="J49" s="787">
        <f>'ANALYSE - ERP =&gt; SOUS-SEGMENT'!$IQ$105</f>
        <v>0.51829999999999998</v>
      </c>
      <c r="K49" s="787">
        <f>'ANALYSE - ERP =&gt; SOUS-SEGMENT'!$IR$105</f>
        <v>0.1094</v>
      </c>
      <c r="L49" s="787">
        <f>'ANALYSE - ERP =&gt; SOUS-SEGMENT'!$IS$105</f>
        <v>1.6999999999999999E-3</v>
      </c>
      <c r="N49" s="787">
        <f>'ANALYSE - ERP =&gt; SOUS-SEGMENT'!$IT$105</f>
        <v>0</v>
      </c>
      <c r="O49" s="787">
        <f>'ANALYSE - ERP =&gt; SOUS-SEGMENT'!$IU$105</f>
        <v>0.22689999999999999</v>
      </c>
      <c r="P49" s="787">
        <f>'ANALYSE - ERP =&gt; SOUS-SEGMENT'!$IV$105</f>
        <v>0.57740000000000002</v>
      </c>
      <c r="Q49" s="787">
        <f>'ANALYSE - ERP =&gt; SOUS-SEGMENT'!$IW$105</f>
        <v>0.1898</v>
      </c>
      <c r="R49" s="787">
        <f>'ANALYSE - ERP =&gt; SOUS-SEGMENT'!$IX$105</f>
        <v>5.8999999999999999E-3</v>
      </c>
      <c r="T49" s="430">
        <f>'ANALYSE - ERP =&gt; SOUS-SEGMENT'!$Q$105</f>
        <v>1</v>
      </c>
    </row>
    <row r="50" spans="1:20" ht="15" customHeight="1">
      <c r="A50" s="26">
        <v>47</v>
      </c>
      <c r="B50" s="26">
        <v>46</v>
      </c>
      <c r="C50" s="422">
        <f>'ANALYSE - ERP =&gt; SOUS-SEGMENT'!$A$101</f>
        <v>94</v>
      </c>
      <c r="D50" s="415" t="str">
        <f>'ANALYSE - ERP =&gt; SOUS-SEGMENT'!$B$101</f>
        <v>Culte, Vie civique &amp; Services publics</v>
      </c>
      <c r="E50" s="415" t="str">
        <f>'ANALYSE - ERP =&gt; SOUS-SEGMENT'!$C$101</f>
        <v>Administrations / services publics</v>
      </c>
      <c r="F50" s="415" t="str">
        <f>'ANALYSE - ERP =&gt; SOUS-SEGMENT'!$D$101</f>
        <v>Mairies / hôtels de ville</v>
      </c>
      <c r="H50" s="787">
        <f>'ANALYSE - ERP =&gt; SOUS-SEGMENT'!$IO$101</f>
        <v>0.03</v>
      </c>
      <c r="I50" s="787">
        <f>'ANALYSE - ERP =&gt; SOUS-SEGMENT'!$IP$101</f>
        <v>0.4</v>
      </c>
      <c r="J50" s="787">
        <f>'ANALYSE - ERP =&gt; SOUS-SEGMENT'!$IQ$101</f>
        <v>0.5</v>
      </c>
      <c r="K50" s="787">
        <f>'ANALYSE - ERP =&gt; SOUS-SEGMENT'!$IR$101</f>
        <v>7.0000000000000007E-2</v>
      </c>
      <c r="L50" s="787">
        <f>'ANALYSE - ERP =&gt; SOUS-SEGMENT'!$IS$101</f>
        <v>0</v>
      </c>
      <c r="N50" s="787">
        <f>'ANALYSE - ERP =&gt; SOUS-SEGMENT'!$IT$101</f>
        <v>9.7000000000000003E-3</v>
      </c>
      <c r="O50" s="787">
        <f>'ANALYSE - ERP =&gt; SOUS-SEGMENT'!$IU$101</f>
        <v>0.37530000000000002</v>
      </c>
      <c r="P50" s="787">
        <f>'ANALYSE - ERP =&gt; SOUS-SEGMENT'!$IV$101</f>
        <v>0.5202</v>
      </c>
      <c r="Q50" s="787">
        <f>'ANALYSE - ERP =&gt; SOUS-SEGMENT'!$IW$101</f>
        <v>9.0300000000000005E-2</v>
      </c>
      <c r="R50" s="787">
        <f>'ANALYSE - ERP =&gt; SOUS-SEGMENT'!$IX$101</f>
        <v>4.4999999999999997E-3</v>
      </c>
      <c r="T50" s="430">
        <f>'ANALYSE - ERP =&gt; SOUS-SEGMENT'!$Q$101</f>
        <v>1</v>
      </c>
    </row>
    <row r="51" spans="1:20" ht="15" customHeight="1">
      <c r="A51" s="26">
        <v>48</v>
      </c>
      <c r="B51" s="26">
        <v>48</v>
      </c>
      <c r="C51" s="422">
        <f>'ANALYSE - ERP =&gt; SOUS-SEGMENT'!$A$121</f>
        <v>114</v>
      </c>
      <c r="D51" s="413" t="str">
        <f>'ANALYSE - ERP =&gt; SOUS-SEGMENT'!$B$121</f>
        <v>Transport, Mobilité &amp; Stationnement</v>
      </c>
      <c r="E51" s="413" t="str">
        <f>'ANALYSE - ERP =&gt; SOUS-SEGMENT'!$C$121</f>
        <v>Transport / Mobilité</v>
      </c>
      <c r="F51" s="413" t="str">
        <f>'ANALYSE - ERP =&gt; SOUS-SEGMENT'!$D$121</f>
        <v>Aires de service - Autoroutes
(Hors Aires de repos)</v>
      </c>
      <c r="H51" s="787">
        <f>'ANALYSE - ERP =&gt; SOUS-SEGMENT'!$IO$121</f>
        <v>2.9899999999999999E-2</v>
      </c>
      <c r="I51" s="787">
        <f>'ANALYSE - ERP =&gt; SOUS-SEGMENT'!$IP$121</f>
        <v>0.44400000000000001</v>
      </c>
      <c r="J51" s="787">
        <f>'ANALYSE - ERP =&gt; SOUS-SEGMENT'!$IQ$121</f>
        <v>0.45290000000000002</v>
      </c>
      <c r="K51" s="787">
        <f>'ANALYSE - ERP =&gt; SOUS-SEGMENT'!$IR$121</f>
        <v>4.3200000000000002E-2</v>
      </c>
      <c r="L51" s="787">
        <f>'ANALYSE - ERP =&gt; SOUS-SEGMENT'!$IS$121</f>
        <v>0.03</v>
      </c>
      <c r="N51" s="787">
        <f>'ANALYSE - ERP =&gt; SOUS-SEGMENT'!$IT$121</f>
        <v>5.9999999999999995E-4</v>
      </c>
      <c r="O51" s="787">
        <f>'ANALYSE - ERP =&gt; SOUS-SEGMENT'!$IU$121</f>
        <v>0.31680000000000003</v>
      </c>
      <c r="P51" s="787">
        <f>'ANALYSE - ERP =&gt; SOUS-SEGMENT'!$IV$121</f>
        <v>0.55130000000000001</v>
      </c>
      <c r="Q51" s="787">
        <f>'ANALYSE - ERP =&gt; SOUS-SEGMENT'!$IW$121</f>
        <v>0.1013</v>
      </c>
      <c r="R51" s="787">
        <f>'ANALYSE - ERP =&gt; SOUS-SEGMENT'!$IX$121</f>
        <v>0.03</v>
      </c>
      <c r="T51" s="430">
        <f>'ANALYSE - ERP =&gt; SOUS-SEGMENT'!$Q$121</f>
        <v>1</v>
      </c>
    </row>
    <row r="52" spans="1:20" ht="15" customHeight="1">
      <c r="A52" s="26">
        <v>49</v>
      </c>
      <c r="B52" s="26">
        <v>51</v>
      </c>
      <c r="C52" s="422">
        <f>'ANALYSE - ERP =&gt; SOUS-SEGMENT'!$A$16</f>
        <v>9</v>
      </c>
      <c r="D52" s="411" t="str">
        <f>'ANALYSE - ERP =&gt; SOUS-SEGMENT'!$B$16</f>
        <v>Enfance, Enseignement, Jeunesse &amp; Formation</v>
      </c>
      <c r="E52" s="411" t="str">
        <f>'ANALYSE - ERP =&gt; SOUS-SEGMENT'!$C$16</f>
        <v>Enseignement supérieur</v>
      </c>
      <c r="F52" s="411" t="str">
        <f>'ANALYSE - ERP =&gt; SOUS-SEGMENT'!$D$16</f>
        <v>Universités</v>
      </c>
      <c r="H52" s="787">
        <f>'ANALYSE - ERP =&gt; SOUS-SEGMENT'!$IO$16</f>
        <v>1.2800000000000001E-2</v>
      </c>
      <c r="I52" s="787">
        <f>'ANALYSE - ERP =&gt; SOUS-SEGMENT'!$IP$16</f>
        <v>0.34810000000000002</v>
      </c>
      <c r="J52" s="787">
        <f>'ANALYSE - ERP =&gt; SOUS-SEGMENT'!$IQ$16</f>
        <v>0.51590000000000003</v>
      </c>
      <c r="K52" s="787">
        <f>'ANALYSE - ERP =&gt; SOUS-SEGMENT'!$IR$16</f>
        <v>0.1207</v>
      </c>
      <c r="L52" s="787">
        <f>'ANALYSE - ERP =&gt; SOUS-SEGMENT'!$IS$16</f>
        <v>2.5000000000000001E-3</v>
      </c>
      <c r="N52" s="787">
        <f>'ANALYSE - ERP =&gt; SOUS-SEGMENT'!$IT$16</f>
        <v>0</v>
      </c>
      <c r="O52" s="787">
        <f>'ANALYSE - ERP =&gt; SOUS-SEGMENT'!$IU$16</f>
        <v>0.1575</v>
      </c>
      <c r="P52" s="787">
        <f>'ANALYSE - ERP =&gt; SOUS-SEGMENT'!$IV$16</f>
        <v>0.5615</v>
      </c>
      <c r="Q52" s="787">
        <f>'ANALYSE - ERP =&gt; SOUS-SEGMENT'!$IW$16</f>
        <v>0.26629999999999998</v>
      </c>
      <c r="R52" s="787">
        <f>'ANALYSE - ERP =&gt; SOUS-SEGMENT'!$IX$16</f>
        <v>1.47E-2</v>
      </c>
      <c r="T52" s="430">
        <f>'ANALYSE - ERP =&gt; SOUS-SEGMENT'!$Q$16</f>
        <v>1</v>
      </c>
    </row>
    <row r="53" spans="1:20" ht="15" customHeight="1">
      <c r="A53" s="26">
        <v>50</v>
      </c>
      <c r="B53" s="26">
        <v>59</v>
      </c>
      <c r="C53" s="422">
        <f>'ANALYSE - ERP =&gt; SOUS-SEGMENT'!$A$19</f>
        <v>12</v>
      </c>
      <c r="D53" s="411" t="str">
        <f>'ANALYSE - ERP =&gt; SOUS-SEGMENT'!$B$19</f>
        <v>Enfance, Enseignement, Jeunesse &amp; Formation</v>
      </c>
      <c r="E53" s="411" t="str">
        <f>'ANALYSE - ERP =&gt; SOUS-SEGMENT'!$C$19</f>
        <v>Formation</v>
      </c>
      <c r="F53" s="411" t="str">
        <f>'ANALYSE - ERP =&gt; SOUS-SEGMENT'!$D$19</f>
        <v>Centres de formation / CFA</v>
      </c>
      <c r="H53" s="787">
        <f>'ANALYSE - ERP =&gt; SOUS-SEGMENT'!$IO$19</f>
        <v>1.5699999999999999E-2</v>
      </c>
      <c r="I53" s="787">
        <f>'ANALYSE - ERP =&gt; SOUS-SEGMENT'!$IP$19</f>
        <v>0.32219999999999999</v>
      </c>
      <c r="J53" s="787">
        <f>'ANALYSE - ERP =&gt; SOUS-SEGMENT'!$IQ$19</f>
        <v>0.51080000000000003</v>
      </c>
      <c r="K53" s="787">
        <f>'ANALYSE - ERP =&gt; SOUS-SEGMENT'!$IR$19</f>
        <v>0.14630000000000001</v>
      </c>
      <c r="L53" s="787">
        <f>'ANALYSE - ERP =&gt; SOUS-SEGMENT'!$IS$19</f>
        <v>5.0000000000000001E-3</v>
      </c>
      <c r="N53" s="787">
        <f>'ANALYSE - ERP =&gt; SOUS-SEGMENT'!$IT$19</f>
        <v>0</v>
      </c>
      <c r="O53" s="787">
        <f>'ANALYSE - ERP =&gt; SOUS-SEGMENT'!$IU$19</f>
        <v>0.1283</v>
      </c>
      <c r="P53" s="787">
        <f>'ANALYSE - ERP =&gt; SOUS-SEGMENT'!$IV$19</f>
        <v>0.51980000000000004</v>
      </c>
      <c r="Q53" s="787">
        <f>'ANALYSE - ERP =&gt; SOUS-SEGMENT'!$IW$19</f>
        <v>0.32229999999999998</v>
      </c>
      <c r="R53" s="787">
        <f>'ANALYSE - ERP =&gt; SOUS-SEGMENT'!$IX$19</f>
        <v>2.9600000000000001E-2</v>
      </c>
      <c r="T53" s="430">
        <f>'ANALYSE - ERP =&gt; SOUS-SEGMENT'!$Q$19</f>
        <v>1</v>
      </c>
    </row>
    <row r="54" spans="1:20" ht="15" customHeight="1">
      <c r="A54" s="26">
        <v>51</v>
      </c>
      <c r="B54" s="26">
        <v>49</v>
      </c>
      <c r="C54" s="422">
        <f>'ANALYSE - ERP =&gt; SOUS-SEGMENT'!$A$136</f>
        <v>129</v>
      </c>
      <c r="D54" s="417" t="str">
        <f>'ANALYSE - ERP =&gt; SOUS-SEGMENT'!$B$136</f>
        <v>Sécurité &amp; Justice</v>
      </c>
      <c r="E54" s="417" t="str">
        <f>'ANALYSE - ERP =&gt; SOUS-SEGMENT'!$C$136</f>
        <v>Forces armées</v>
      </c>
      <c r="F54" s="417" t="str">
        <f>'ANALYSE - ERP =&gt; SOUS-SEGMENT'!$D$136</f>
        <v>Centres de recrutement et bureaux d’information</v>
      </c>
      <c r="H54" s="787">
        <f>'ANALYSE - ERP =&gt; SOUS-SEGMENT'!$IO$136</f>
        <v>0</v>
      </c>
      <c r="I54" s="787">
        <f>'ANALYSE - ERP =&gt; SOUS-SEGMENT'!$IP$136</f>
        <v>0.33119999999999999</v>
      </c>
      <c r="J54" s="787">
        <f>'ANALYSE - ERP =&gt; SOUS-SEGMENT'!$IQ$136</f>
        <v>0.5504</v>
      </c>
      <c r="K54" s="787">
        <f>'ANALYSE - ERP =&gt; SOUS-SEGMENT'!$IR$136</f>
        <v>0.1167</v>
      </c>
      <c r="L54" s="787">
        <f>'ANALYSE - ERP =&gt; SOUS-SEGMENT'!$IS$136</f>
        <v>1.6999999999999999E-3</v>
      </c>
      <c r="N54" s="787">
        <f>'ANALYSE - ERP =&gt; SOUS-SEGMENT'!$IT$136</f>
        <v>0</v>
      </c>
      <c r="O54" s="787">
        <f>'ANALYSE - ERP =&gt; SOUS-SEGMENT'!$IU$136</f>
        <v>0.19500000000000001</v>
      </c>
      <c r="P54" s="787">
        <f>'ANALYSE - ERP =&gt; SOUS-SEGMENT'!$IV$136</f>
        <v>0.56030000000000002</v>
      </c>
      <c r="Q54" s="787">
        <f>'ANALYSE - ERP =&gt; SOUS-SEGMENT'!$IW$136</f>
        <v>0.2331</v>
      </c>
      <c r="R54" s="787">
        <f>'ANALYSE - ERP =&gt; SOUS-SEGMENT'!$IX$136</f>
        <v>1.1599999999999999E-2</v>
      </c>
      <c r="T54" s="430">
        <f>'ANALYSE - ERP =&gt; SOUS-SEGMENT'!$Q$136</f>
        <v>1</v>
      </c>
    </row>
    <row r="55" spans="1:20" ht="15" customHeight="1">
      <c r="A55" s="26">
        <v>52</v>
      </c>
      <c r="B55" s="26">
        <v>50</v>
      </c>
      <c r="C55" s="422">
        <f>'ANALYSE - ERP =&gt; SOUS-SEGMENT'!$A$138</f>
        <v>131</v>
      </c>
      <c r="D55" s="417" t="str">
        <f>'ANALYSE - ERP =&gt; SOUS-SEGMENT'!$B$138</f>
        <v>Sécurité &amp; Justice</v>
      </c>
      <c r="E55" s="417" t="str">
        <f>'ANALYSE - ERP =&gt; SOUS-SEGMENT'!$C$138</f>
        <v>Forces armées</v>
      </c>
      <c r="F55" s="417" t="str">
        <f>'ANALYSE - ERP =&gt; SOUS-SEGMENT'!$D$138</f>
        <v>Salles de conférence, auditoriums et espaces événementiels ouverts au public</v>
      </c>
      <c r="H55" s="787">
        <f>'ANALYSE - ERP =&gt; SOUS-SEGMENT'!$IO$138</f>
        <v>0</v>
      </c>
      <c r="I55" s="787">
        <f>'ANALYSE - ERP =&gt; SOUS-SEGMENT'!$IP$138</f>
        <v>0.2586</v>
      </c>
      <c r="J55" s="787">
        <f>'ANALYSE - ERP =&gt; SOUS-SEGMENT'!$IQ$138</f>
        <v>0.58120000000000005</v>
      </c>
      <c r="K55" s="787">
        <f>'ANALYSE - ERP =&gt; SOUS-SEGMENT'!$IR$138</f>
        <v>0.15690000000000001</v>
      </c>
      <c r="L55" s="787">
        <f>'ANALYSE - ERP =&gt; SOUS-SEGMENT'!$IS$138</f>
        <v>3.3E-3</v>
      </c>
      <c r="N55" s="787">
        <f>'ANALYSE - ERP =&gt; SOUS-SEGMENT'!$IT$138</f>
        <v>0</v>
      </c>
      <c r="O55" s="787">
        <f>'ANALYSE - ERP =&gt; SOUS-SEGMENT'!$IU$138</f>
        <v>0.13850000000000001</v>
      </c>
      <c r="P55" s="787">
        <f>'ANALYSE - ERP =&gt; SOUS-SEGMENT'!$IV$138</f>
        <v>0.58879999999999999</v>
      </c>
      <c r="Q55" s="787">
        <f>'ANALYSE - ERP =&gt; SOUS-SEGMENT'!$IW$138</f>
        <v>0.2621</v>
      </c>
      <c r="R55" s="787">
        <f>'ANALYSE - ERP =&gt; SOUS-SEGMENT'!$IX$138</f>
        <v>1.06E-2</v>
      </c>
      <c r="T55" s="430">
        <f>'ANALYSE - ERP =&gt; SOUS-SEGMENT'!$Q$138</f>
        <v>1</v>
      </c>
    </row>
    <row r="56" spans="1:20" ht="15" customHeight="1">
      <c r="A56" s="26">
        <v>53</v>
      </c>
      <c r="B56" s="26">
        <v>52</v>
      </c>
      <c r="C56" s="422">
        <f>'ANALYSE - ERP =&gt; SOUS-SEGMENT'!$A$122</f>
        <v>115</v>
      </c>
      <c r="D56" s="413" t="str">
        <f>'ANALYSE - ERP =&gt; SOUS-SEGMENT'!$B$122</f>
        <v>Transport, Mobilité &amp; Stationnement</v>
      </c>
      <c r="E56" s="413" t="str">
        <f>'ANALYSE - ERP =&gt; SOUS-SEGMENT'!$C$122</f>
        <v>Transport / Mobilité</v>
      </c>
      <c r="F56" s="413" t="str">
        <f>'ANALYSE - ERP =&gt; SOUS-SEGMENT'!$D$122</f>
        <v>Aires de repos - Autoroutes
(Hors Aires de service)</v>
      </c>
      <c r="H56" s="787">
        <f>'ANALYSE - ERP =&gt; SOUS-SEGMENT'!$IO$122</f>
        <v>3.4200000000000001E-2</v>
      </c>
      <c r="I56" s="787">
        <f>'ANALYSE - ERP =&gt; SOUS-SEGMENT'!$IP$122</f>
        <v>0.4723</v>
      </c>
      <c r="J56" s="787">
        <f>'ANALYSE - ERP =&gt; SOUS-SEGMENT'!$IQ$122</f>
        <v>0.42349999999999999</v>
      </c>
      <c r="K56" s="787">
        <f>'ANALYSE - ERP =&gt; SOUS-SEGMENT'!$IR$122</f>
        <v>0.04</v>
      </c>
      <c r="L56" s="787">
        <f>'ANALYSE - ERP =&gt; SOUS-SEGMENT'!$IS$122</f>
        <v>0.03</v>
      </c>
      <c r="N56" s="787">
        <f>'ANALYSE - ERP =&gt; SOUS-SEGMENT'!$IT$122</f>
        <v>5.7999999999999996E-3</v>
      </c>
      <c r="O56" s="787">
        <f>'ANALYSE - ERP =&gt; SOUS-SEGMENT'!$IU$122</f>
        <v>0.34739999999999999</v>
      </c>
      <c r="P56" s="787">
        <f>'ANALYSE - ERP =&gt; SOUS-SEGMENT'!$IV$122</f>
        <v>0.53239999999999998</v>
      </c>
      <c r="Q56" s="787">
        <f>'ANALYSE - ERP =&gt; SOUS-SEGMENT'!$IW$122</f>
        <v>8.4400000000000003E-2</v>
      </c>
      <c r="R56" s="787">
        <f>'ANALYSE - ERP =&gt; SOUS-SEGMENT'!$IX$122</f>
        <v>0.03</v>
      </c>
      <c r="T56" s="430">
        <f>'ANALYSE - ERP =&gt; SOUS-SEGMENT'!$Q$122</f>
        <v>1</v>
      </c>
    </row>
    <row r="57" spans="1:20" ht="15" customHeight="1">
      <c r="A57" s="26">
        <v>54</v>
      </c>
      <c r="B57" s="26">
        <v>53</v>
      </c>
      <c r="C57" s="422">
        <f>'ANALYSE - ERP =&gt; SOUS-SEGMENT'!$A$137</f>
        <v>130</v>
      </c>
      <c r="D57" s="417" t="str">
        <f>'ANALYSE - ERP =&gt; SOUS-SEGMENT'!$B$137</f>
        <v>Sécurité &amp; Justice</v>
      </c>
      <c r="E57" s="417" t="str">
        <f>'ANALYSE - ERP =&gt; SOUS-SEGMENT'!$C$137</f>
        <v>Forces armées</v>
      </c>
      <c r="F57" s="417" t="str">
        <f>'ANALYSE - ERP =&gt; SOUS-SEGMENT'!$D$137</f>
        <v>Restaurants ou équipements sportifs ouverts au public sur emprise militaire</v>
      </c>
      <c r="H57" s="787">
        <f>'ANALYSE - ERP =&gt; SOUS-SEGMENT'!$IO$137</f>
        <v>0</v>
      </c>
      <c r="I57" s="787">
        <f>'ANALYSE - ERP =&gt; SOUS-SEGMENT'!$IP$137</f>
        <v>0.31019999999999998</v>
      </c>
      <c r="J57" s="787">
        <f>'ANALYSE - ERP =&gt; SOUS-SEGMENT'!$IQ$137</f>
        <v>0.56069999999999998</v>
      </c>
      <c r="K57" s="787">
        <f>'ANALYSE - ERP =&gt; SOUS-SEGMENT'!$IR$137</f>
        <v>0.12709999999999999</v>
      </c>
      <c r="L57" s="787">
        <f>'ANALYSE - ERP =&gt; SOUS-SEGMENT'!$IS$137</f>
        <v>2E-3</v>
      </c>
      <c r="N57" s="787">
        <f>'ANALYSE - ERP =&gt; SOUS-SEGMENT'!$IT$137</f>
        <v>0</v>
      </c>
      <c r="O57" s="787">
        <f>'ANALYSE - ERP =&gt; SOUS-SEGMENT'!$IU$137</f>
        <v>0.18459999999999999</v>
      </c>
      <c r="P57" s="787">
        <f>'ANALYSE - ERP =&gt; SOUS-SEGMENT'!$IV$137</f>
        <v>0.59489999999999998</v>
      </c>
      <c r="Q57" s="787">
        <f>'ANALYSE - ERP =&gt; SOUS-SEGMENT'!$IW$137</f>
        <v>0.21390000000000001</v>
      </c>
      <c r="R57" s="787">
        <f>'ANALYSE - ERP =&gt; SOUS-SEGMENT'!$IX$137</f>
        <v>6.6E-3</v>
      </c>
      <c r="T57" s="430">
        <f>'ANALYSE - ERP =&gt; SOUS-SEGMENT'!$Q$137</f>
        <v>1</v>
      </c>
    </row>
    <row r="58" spans="1:20" ht="15" customHeight="1">
      <c r="A58" s="26">
        <v>55</v>
      </c>
      <c r="B58" s="26">
        <v>55</v>
      </c>
      <c r="C58" s="422">
        <f>'ANALYSE - ERP =&gt; SOUS-SEGMENT'!$A$147</f>
        <v>140</v>
      </c>
      <c r="D58" s="417" t="str">
        <f>'ANALYSE - ERP =&gt; SOUS-SEGMENT'!$B$147</f>
        <v>Sécurité &amp; Justice</v>
      </c>
      <c r="E58" s="417" t="str">
        <f>'ANALYSE - ERP =&gt; SOUS-SEGMENT'!$C$147</f>
        <v>Tribunaux</v>
      </c>
      <c r="F58" s="417" t="str">
        <f>'ANALYSE - ERP =&gt; SOUS-SEGMENT'!$D$147</f>
        <v>Maisons de justice et du droit</v>
      </c>
      <c r="H58" s="787">
        <f>'ANALYSE - ERP =&gt; SOUS-SEGMENT'!$IO$147</f>
        <v>4.1000000000000003E-3</v>
      </c>
      <c r="I58" s="787">
        <f>'ANALYSE - ERP =&gt; SOUS-SEGMENT'!$IP$147</f>
        <v>0.30620000000000003</v>
      </c>
      <c r="J58" s="787">
        <f>'ANALYSE - ERP =&gt; SOUS-SEGMENT'!$IQ$147</f>
        <v>0.53800000000000003</v>
      </c>
      <c r="K58" s="787">
        <f>'ANALYSE - ERP =&gt; SOUS-SEGMENT'!$IR$147</f>
        <v>0.14749999999999999</v>
      </c>
      <c r="L58" s="787">
        <f>'ANALYSE - ERP =&gt; SOUS-SEGMENT'!$IS$147</f>
        <v>4.1999999999999997E-3</v>
      </c>
      <c r="N58" s="787">
        <f>'ANALYSE - ERP =&gt; SOUS-SEGMENT'!$IT$147</f>
        <v>0</v>
      </c>
      <c r="O58" s="787">
        <f>'ANALYSE - ERP =&gt; SOUS-SEGMENT'!$IU$147</f>
        <v>0.1804</v>
      </c>
      <c r="P58" s="787">
        <f>'ANALYSE - ERP =&gt; SOUS-SEGMENT'!$IV$147</f>
        <v>0.55900000000000005</v>
      </c>
      <c r="Q58" s="787">
        <f>'ANALYSE - ERP =&gt; SOUS-SEGMENT'!$IW$147</f>
        <v>0.24740000000000001</v>
      </c>
      <c r="R58" s="787">
        <f>'ANALYSE - ERP =&gt; SOUS-SEGMENT'!$IX$147</f>
        <v>1.32E-2</v>
      </c>
      <c r="T58" s="430">
        <f>'ANALYSE - ERP =&gt; SOUS-SEGMENT'!$Q$147</f>
        <v>1</v>
      </c>
    </row>
    <row r="59" spans="1:20" ht="15" customHeight="1">
      <c r="A59" s="26">
        <v>56</v>
      </c>
      <c r="B59" s="26">
        <v>54</v>
      </c>
      <c r="C59" s="422">
        <f>'ANALYSE - ERP =&gt; SOUS-SEGMENT'!$A$146</f>
        <v>139</v>
      </c>
      <c r="D59" s="417" t="str">
        <f>'ANALYSE - ERP =&gt; SOUS-SEGMENT'!$B$146</f>
        <v>Sécurité &amp; Justice</v>
      </c>
      <c r="E59" s="417" t="str">
        <f>'ANALYSE - ERP =&gt; SOUS-SEGMENT'!$C$146</f>
        <v>Tribunaux</v>
      </c>
      <c r="F59" s="417" t="str">
        <f>'ANALYSE - ERP =&gt; SOUS-SEGMENT'!$D$146</f>
        <v>Palais de justice et bâtiments judiciaires multi-usages</v>
      </c>
      <c r="H59" s="787">
        <f>'ANALYSE - ERP =&gt; SOUS-SEGMENT'!$IO$146</f>
        <v>0</v>
      </c>
      <c r="I59" s="787">
        <f>'ANALYSE - ERP =&gt; SOUS-SEGMENT'!$IP$146</f>
        <v>0.20860000000000001</v>
      </c>
      <c r="J59" s="787">
        <f>'ANALYSE - ERP =&gt; SOUS-SEGMENT'!$IQ$146</f>
        <v>0.56069999999999998</v>
      </c>
      <c r="K59" s="787">
        <f>'ANALYSE - ERP =&gt; SOUS-SEGMENT'!$IR$146</f>
        <v>0.2205</v>
      </c>
      <c r="L59" s="787">
        <f>'ANALYSE - ERP =&gt; SOUS-SEGMENT'!$IS$146</f>
        <v>1.0200000000000001E-2</v>
      </c>
      <c r="N59" s="787">
        <f>'ANALYSE - ERP =&gt; SOUS-SEGMENT'!$IT$146</f>
        <v>0</v>
      </c>
      <c r="O59" s="787">
        <f>'ANALYSE - ERP =&gt; SOUS-SEGMENT'!$IU$146</f>
        <v>0.1142</v>
      </c>
      <c r="P59" s="787">
        <f>'ANALYSE - ERP =&gt; SOUS-SEGMENT'!$IV$146</f>
        <v>0.53420000000000001</v>
      </c>
      <c r="Q59" s="787">
        <f>'ANALYSE - ERP =&gt; SOUS-SEGMENT'!$IW$146</f>
        <v>0.32619999999999999</v>
      </c>
      <c r="R59" s="787">
        <f>'ANALYSE - ERP =&gt; SOUS-SEGMENT'!$IX$146</f>
        <v>2.5399999999999999E-2</v>
      </c>
      <c r="T59" s="430">
        <f>'ANALYSE - ERP =&gt; SOUS-SEGMENT'!$Q$146</f>
        <v>1</v>
      </c>
    </row>
    <row r="60" spans="1:20" ht="15" customHeight="1">
      <c r="A60" s="26">
        <v>57</v>
      </c>
      <c r="B60" s="26">
        <v>56</v>
      </c>
      <c r="C60" s="422">
        <f>'ANALYSE - ERP =&gt; SOUS-SEGMENT'!$A$148</f>
        <v>141</v>
      </c>
      <c r="D60" s="417" t="str">
        <f>'ANALYSE - ERP =&gt; SOUS-SEGMENT'!$B$148</f>
        <v>Sécurité &amp; Justice</v>
      </c>
      <c r="E60" s="417" t="str">
        <f>'ANALYSE - ERP =&gt; SOUS-SEGMENT'!$C$148</f>
        <v>Tribunaux</v>
      </c>
      <c r="F60" s="417" t="str">
        <f>'ANALYSE - ERP =&gt; SOUS-SEGMENT'!$D$148</f>
        <v>Tribunaux de commerce autonomes</v>
      </c>
      <c r="H60" s="787">
        <f>'ANALYSE - ERP =&gt; SOUS-SEGMENT'!$IO$148</f>
        <v>0</v>
      </c>
      <c r="I60" s="787">
        <f>'ANALYSE - ERP =&gt; SOUS-SEGMENT'!$IP$148</f>
        <v>0.23430000000000001</v>
      </c>
      <c r="J60" s="787">
        <f>'ANALYSE - ERP =&gt; SOUS-SEGMENT'!$IQ$148</f>
        <v>0.55910000000000004</v>
      </c>
      <c r="K60" s="787">
        <f>'ANALYSE - ERP =&gt; SOUS-SEGMENT'!$IR$148</f>
        <v>0.19850000000000001</v>
      </c>
      <c r="L60" s="787">
        <f>'ANALYSE - ERP =&gt; SOUS-SEGMENT'!$IS$148</f>
        <v>8.0999999999999996E-3</v>
      </c>
      <c r="N60" s="787">
        <f>'ANALYSE - ERP =&gt; SOUS-SEGMENT'!$IT$148</f>
        <v>0</v>
      </c>
      <c r="O60" s="787">
        <f>'ANALYSE - ERP =&gt; SOUS-SEGMENT'!$IU$148</f>
        <v>0.13500000000000001</v>
      </c>
      <c r="P60" s="787">
        <f>'ANALYSE - ERP =&gt; SOUS-SEGMENT'!$IV$148</f>
        <v>0.54579999999999995</v>
      </c>
      <c r="Q60" s="787">
        <f>'ANALYSE - ERP =&gt; SOUS-SEGMENT'!$IW$148</f>
        <v>0.29870000000000002</v>
      </c>
      <c r="R60" s="787">
        <f>'ANALYSE - ERP =&gt; SOUS-SEGMENT'!$IX$148</f>
        <v>2.0500000000000001E-2</v>
      </c>
      <c r="T60" s="430">
        <f>'ANALYSE - ERP =&gt; SOUS-SEGMENT'!$Q$148</f>
        <v>1</v>
      </c>
    </row>
    <row r="61" spans="1:20" ht="15" customHeight="1">
      <c r="A61" s="26">
        <v>58</v>
      </c>
      <c r="B61" s="26">
        <v>57</v>
      </c>
      <c r="C61" s="422">
        <f>'ANALYSE - ERP =&gt; SOUS-SEGMENT'!$A$149</f>
        <v>142</v>
      </c>
      <c r="D61" s="417" t="str">
        <f>'ANALYSE - ERP =&gt; SOUS-SEGMENT'!$B$149</f>
        <v>Sécurité &amp; Justice</v>
      </c>
      <c r="E61" s="417" t="str">
        <f>'ANALYSE - ERP =&gt; SOUS-SEGMENT'!$C$149</f>
        <v>Tribunaux</v>
      </c>
      <c r="F61" s="417" t="str">
        <f>'ANALYSE - ERP =&gt; SOUS-SEGMENT'!$D$149</f>
        <v>Conseils de prud’hommes autonomes</v>
      </c>
      <c r="H61" s="787">
        <f>'ANALYSE - ERP =&gt; SOUS-SEGMENT'!$IO$149</f>
        <v>0</v>
      </c>
      <c r="I61" s="787">
        <f>'ANALYSE - ERP =&gt; SOUS-SEGMENT'!$IP$149</f>
        <v>0.28799999999999998</v>
      </c>
      <c r="J61" s="787">
        <f>'ANALYSE - ERP =&gt; SOUS-SEGMENT'!$IQ$149</f>
        <v>0.54790000000000005</v>
      </c>
      <c r="K61" s="787">
        <f>'ANALYSE - ERP =&gt; SOUS-SEGMENT'!$IR$149</f>
        <v>0.15920000000000001</v>
      </c>
      <c r="L61" s="787">
        <f>'ANALYSE - ERP =&gt; SOUS-SEGMENT'!$IS$149</f>
        <v>4.8999999999999998E-3</v>
      </c>
      <c r="N61" s="787">
        <f>'ANALYSE - ERP =&gt; SOUS-SEGMENT'!$IT$149</f>
        <v>0</v>
      </c>
      <c r="O61" s="787">
        <f>'ANALYSE - ERP =&gt; SOUS-SEGMENT'!$IU$149</f>
        <v>0.1799</v>
      </c>
      <c r="P61" s="787">
        <f>'ANALYSE - ERP =&gt; SOUS-SEGMENT'!$IV$149</f>
        <v>0.55889999999999995</v>
      </c>
      <c r="Q61" s="787">
        <f>'ANALYSE - ERP =&gt; SOUS-SEGMENT'!$IW$149</f>
        <v>0.24790000000000001</v>
      </c>
      <c r="R61" s="787">
        <f>'ANALYSE - ERP =&gt; SOUS-SEGMENT'!$IX$149</f>
        <v>1.3299999999999999E-2</v>
      </c>
      <c r="T61" s="430">
        <f>'ANALYSE - ERP =&gt; SOUS-SEGMENT'!$Q$149</f>
        <v>1</v>
      </c>
    </row>
    <row r="62" spans="1:20" s="45" customFormat="1" ht="15" customHeight="1">
      <c r="A62" s="406">
        <v>59</v>
      </c>
      <c r="B62" s="406">
        <v>60</v>
      </c>
      <c r="C62" s="448">
        <f>'ANALYSE - ERP =&gt; SOUS-SEGMENT'!$A$49</f>
        <v>42</v>
      </c>
      <c r="D62" s="449" t="str">
        <f>'ANALYSE - ERP =&gt; SOUS-SEGMENT'!$B$49</f>
        <v>Santé &amp; Médico-social</v>
      </c>
      <c r="E62" s="449" t="str">
        <f>'ANALYSE - ERP =&gt; SOUS-SEGMENT'!$C$49</f>
        <v>Santé spécialisée</v>
      </c>
      <c r="F62" s="449" t="str">
        <f>'ANALYSE - ERP =&gt; SOUS-SEGMENT'!$D$49</f>
        <v>Centres de psychiatrie</v>
      </c>
      <c r="G62" s="685"/>
      <c r="H62" s="788">
        <f>'ANALYSE - ERP =&gt; SOUS-SEGMENT'!$IO$49</f>
        <v>3.3700000000000001E-2</v>
      </c>
      <c r="I62" s="788">
        <f>'ANALYSE - ERP =&gt; SOUS-SEGMENT'!$IP$49</f>
        <v>0.51819999999999999</v>
      </c>
      <c r="J62" s="788">
        <f>'ANALYSE - ERP =&gt; SOUS-SEGMENT'!$IQ$49</f>
        <v>0.4229</v>
      </c>
      <c r="K62" s="788">
        <f>'ANALYSE - ERP =&gt; SOUS-SEGMENT'!$IR$49</f>
        <v>2.52E-2</v>
      </c>
      <c r="L62" s="788">
        <f>'ANALYSE - ERP =&gt; SOUS-SEGMENT'!$IS$49</f>
        <v>0</v>
      </c>
      <c r="M62" s="685"/>
      <c r="N62" s="788">
        <f>'ANALYSE - ERP =&gt; SOUS-SEGMENT'!$IT$49</f>
        <v>0</v>
      </c>
      <c r="O62" s="788">
        <f>'ANALYSE - ERP =&gt; SOUS-SEGMENT'!$IU$49</f>
        <v>0.3427</v>
      </c>
      <c r="P62" s="788">
        <f>'ANALYSE - ERP =&gt; SOUS-SEGMENT'!$IV$49</f>
        <v>0.58230000000000004</v>
      </c>
      <c r="Q62" s="788">
        <f>'ANALYSE - ERP =&gt; SOUS-SEGMENT'!$IW$49</f>
        <v>7.4999999999999997E-2</v>
      </c>
      <c r="R62" s="788">
        <f>'ANALYSE - ERP =&gt; SOUS-SEGMENT'!$IX$49</f>
        <v>0</v>
      </c>
      <c r="S62" s="685"/>
      <c r="T62" s="450">
        <f>'ANALYSE - ERP =&gt; SOUS-SEGMENT'!$Q$49</f>
        <v>0</v>
      </c>
    </row>
    <row r="63" spans="1:20" ht="15" customHeight="1">
      <c r="A63" s="26">
        <v>60</v>
      </c>
      <c r="B63" s="26">
        <v>58</v>
      </c>
      <c r="C63" s="422" t="e">
        <f>'ANALYSE - ERP =&gt; SOUS-SEGMENT'!#REF!</f>
        <v>#REF!</v>
      </c>
      <c r="D63" s="417" t="e">
        <f>'ANALYSE - ERP =&gt; SOUS-SEGMENT'!#REF!</f>
        <v>#REF!</v>
      </c>
      <c r="E63" s="417" t="e">
        <f>'ANALYSE - ERP =&gt; SOUS-SEGMENT'!#REF!</f>
        <v>#REF!</v>
      </c>
      <c r="F63" s="417" t="e">
        <f>'ANALYSE - ERP =&gt; SOUS-SEGMENT'!#REF!</f>
        <v>#REF!</v>
      </c>
      <c r="H63" s="787" t="e">
        <f>'ANALYSE - ERP =&gt; SOUS-SEGMENT'!#REF!</f>
        <v>#REF!</v>
      </c>
      <c r="I63" s="787" t="e">
        <f>'ANALYSE - ERP =&gt; SOUS-SEGMENT'!#REF!</f>
        <v>#REF!</v>
      </c>
      <c r="J63" s="787" t="e">
        <f>'ANALYSE - ERP =&gt; SOUS-SEGMENT'!#REF!</f>
        <v>#REF!</v>
      </c>
      <c r="K63" s="787" t="e">
        <f>'ANALYSE - ERP =&gt; SOUS-SEGMENT'!#REF!</f>
        <v>#REF!</v>
      </c>
      <c r="L63" s="787" t="e">
        <f>'ANALYSE - ERP =&gt; SOUS-SEGMENT'!#REF!</f>
        <v>#REF!</v>
      </c>
      <c r="N63" s="787" t="e">
        <f>'ANALYSE - ERP =&gt; SOUS-SEGMENT'!#REF!</f>
        <v>#REF!</v>
      </c>
      <c r="O63" s="787" t="e">
        <f>'ANALYSE - ERP =&gt; SOUS-SEGMENT'!#REF!</f>
        <v>#REF!</v>
      </c>
      <c r="P63" s="787" t="e">
        <f>'ANALYSE - ERP =&gt; SOUS-SEGMENT'!#REF!</f>
        <v>#REF!</v>
      </c>
      <c r="Q63" s="787" t="e">
        <f>'ANALYSE - ERP =&gt; SOUS-SEGMENT'!#REF!</f>
        <v>#REF!</v>
      </c>
      <c r="R63" s="787" t="e">
        <f>'ANALYSE - ERP =&gt; SOUS-SEGMENT'!#REF!</f>
        <v>#REF!</v>
      </c>
      <c r="T63" s="430" t="e">
        <f>'ANALYSE - ERP =&gt; SOUS-SEGMENT'!#REF!</f>
        <v>#REF!</v>
      </c>
    </row>
    <row r="64" spans="1:20" ht="15" customHeight="1">
      <c r="A64" s="26">
        <v>61</v>
      </c>
      <c r="B64" s="26">
        <v>61</v>
      </c>
      <c r="C64" s="422">
        <f>'ANALYSE - ERP =&gt; SOUS-SEGMENT'!$A$29</f>
        <v>22</v>
      </c>
      <c r="D64" s="410" t="str">
        <f>'ANALYSE - ERP =&gt; SOUS-SEGMENT'!$B$29</f>
        <v>Sports &amp; Loisirs</v>
      </c>
      <c r="E64" s="410" t="str">
        <f>'ANALYSE - ERP =&gt; SOUS-SEGMENT'!$C$29</f>
        <v>Sport de plein air</v>
      </c>
      <c r="F64" s="410" t="str">
        <f>'ANALYSE - ERP =&gt; SOUS-SEGMENT'!$D$29</f>
        <v xml:space="preserve">Grands stades avec tribunes
(Type football/rugby) </v>
      </c>
      <c r="H64" s="787">
        <f>'ANALYSE - ERP =&gt; SOUS-SEGMENT'!$IO$29</f>
        <v>3.39E-2</v>
      </c>
      <c r="I64" s="787">
        <f>'ANALYSE - ERP =&gt; SOUS-SEGMENT'!$IP$29</f>
        <v>0.4365</v>
      </c>
      <c r="J64" s="787">
        <f>'ANALYSE - ERP =&gt; SOUS-SEGMENT'!$IQ$29</f>
        <v>0.49590000000000001</v>
      </c>
      <c r="K64" s="787">
        <f>'ANALYSE - ERP =&gt; SOUS-SEGMENT'!$IR$29</f>
        <v>3.3700000000000001E-2</v>
      </c>
      <c r="L64" s="787">
        <f>'ANALYSE - ERP =&gt; SOUS-SEGMENT'!$IS$29</f>
        <v>0</v>
      </c>
      <c r="N64" s="787">
        <f>'ANALYSE - ERP =&gt; SOUS-SEGMENT'!$IT$29</f>
        <v>3.0000000000000001E-3</v>
      </c>
      <c r="O64" s="787">
        <f>'ANALYSE - ERP =&gt; SOUS-SEGMENT'!$IU$29</f>
        <v>0.26850000000000002</v>
      </c>
      <c r="P64" s="787">
        <f>'ANALYSE - ERP =&gt; SOUS-SEGMENT'!$IV$29</f>
        <v>0.61119999999999997</v>
      </c>
      <c r="Q64" s="787">
        <f>'ANALYSE - ERP =&gt; SOUS-SEGMENT'!$IW$29</f>
        <v>0.1173</v>
      </c>
      <c r="R64" s="787">
        <f>'ANALYSE - ERP =&gt; SOUS-SEGMENT'!$IX$29</f>
        <v>0</v>
      </c>
      <c r="T64" s="430">
        <f>'ANALYSE - ERP =&gt; SOUS-SEGMENT'!$Q$29</f>
        <v>1</v>
      </c>
    </row>
    <row r="65" spans="1:20" s="45" customFormat="1" ht="15" customHeight="1">
      <c r="A65" s="26">
        <v>62</v>
      </c>
      <c r="B65" s="26">
        <v>62</v>
      </c>
      <c r="C65" s="422">
        <f>'ANALYSE - ERP =&gt; SOUS-SEGMENT'!$A$30</f>
        <v>23</v>
      </c>
      <c r="D65" s="410" t="str">
        <f>'ANALYSE - ERP =&gt; SOUS-SEGMENT'!$B$30</f>
        <v>Sports &amp; Loisirs</v>
      </c>
      <c r="E65" s="410" t="str">
        <f>'ANALYSE - ERP =&gt; SOUS-SEGMENT'!$C$30</f>
        <v>Sport de plein air</v>
      </c>
      <c r="F65" s="410" t="str">
        <f>'ANALYSE - ERP =&gt; SOUS-SEGMENT'!$D$30</f>
        <v>Hippodromes, Centres équestres &amp; Manèges couverts</v>
      </c>
      <c r="G65" s="685"/>
      <c r="H65" s="787">
        <f>'ANALYSE - ERP =&gt; SOUS-SEGMENT'!$IO$30</f>
        <v>0.16</v>
      </c>
      <c r="I65" s="787">
        <f>'ANALYSE - ERP =&gt; SOUS-SEGMENT'!$IP$30</f>
        <v>0.56999999999999995</v>
      </c>
      <c r="J65" s="787">
        <f>'ANALYSE - ERP =&gt; SOUS-SEGMENT'!$IQ$30</f>
        <v>0.25</v>
      </c>
      <c r="K65" s="787">
        <f>'ANALYSE - ERP =&gt; SOUS-SEGMENT'!$IR$30</f>
        <v>0.02</v>
      </c>
      <c r="L65" s="787">
        <f>'ANALYSE - ERP =&gt; SOUS-SEGMENT'!$IS$30</f>
        <v>0</v>
      </c>
      <c r="M65" s="685"/>
      <c r="N65" s="787">
        <f>'ANALYSE - ERP =&gt; SOUS-SEGMENT'!$IT$30</f>
        <v>0.14230000000000001</v>
      </c>
      <c r="O65" s="787">
        <f>'ANALYSE - ERP =&gt; SOUS-SEGMENT'!$IU$30</f>
        <v>0.54830000000000001</v>
      </c>
      <c r="P65" s="787">
        <f>'ANALYSE - ERP =&gt; SOUS-SEGMENT'!$IV$30</f>
        <v>0.26769999999999999</v>
      </c>
      <c r="Q65" s="787">
        <f>'ANALYSE - ERP =&gt; SOUS-SEGMENT'!$IW$30</f>
        <v>3.7699999999999997E-2</v>
      </c>
      <c r="R65" s="787">
        <f>'ANALYSE - ERP =&gt; SOUS-SEGMENT'!$IX$30</f>
        <v>4.0000000000000001E-3</v>
      </c>
      <c r="S65" s="685"/>
      <c r="T65" s="430">
        <f>'ANALYSE - ERP =&gt; SOUS-SEGMENT'!$Q$30</f>
        <v>1</v>
      </c>
    </row>
    <row r="66" spans="1:20" ht="15" customHeight="1">
      <c r="A66" s="26">
        <v>63</v>
      </c>
      <c r="B66" s="26">
        <v>63</v>
      </c>
      <c r="C66" s="422">
        <f>'ANALYSE - ERP =&gt; SOUS-SEGMENT'!$A$48</f>
        <v>41</v>
      </c>
      <c r="D66" s="417" t="str">
        <f>'ANALYSE - ERP =&gt; SOUS-SEGMENT'!$B$48</f>
        <v>Santé &amp; Médico-social</v>
      </c>
      <c r="E66" s="417" t="str">
        <f>'ANALYSE - ERP =&gt; SOUS-SEGMENT'!$C$48</f>
        <v>Santé hospitalière</v>
      </c>
      <c r="F66" s="417" t="str">
        <f>'ANALYSE - ERP =&gt; SOUS-SEGMENT'!$D$48</f>
        <v>Unités hospitalières sécurisées en milieu carcéral</v>
      </c>
      <c r="H66" s="787">
        <f>'ANALYSE - ERP =&gt; SOUS-SEGMENT'!$IO$48</f>
        <v>4.5100000000000001E-2</v>
      </c>
      <c r="I66" s="787">
        <f>'ANALYSE - ERP =&gt; SOUS-SEGMENT'!$IP$48</f>
        <v>0.50649999999999995</v>
      </c>
      <c r="J66" s="787">
        <f>'ANALYSE - ERP =&gt; SOUS-SEGMENT'!$IQ$48</f>
        <v>0.42220000000000002</v>
      </c>
      <c r="K66" s="787">
        <f>'ANALYSE - ERP =&gt; SOUS-SEGMENT'!$IR$48</f>
        <v>2.6100000000000002E-2</v>
      </c>
      <c r="L66" s="787">
        <f>'ANALYSE - ERP =&gt; SOUS-SEGMENT'!$IS$48</f>
        <v>1E-4</v>
      </c>
      <c r="N66" s="787">
        <f>'ANALYSE - ERP =&gt; SOUS-SEGMENT'!$IT$48</f>
        <v>1.2999999999999999E-2</v>
      </c>
      <c r="O66" s="787">
        <f>'ANALYSE - ERP =&gt; SOUS-SEGMENT'!$IU$48</f>
        <v>0.32100000000000001</v>
      </c>
      <c r="P66" s="787">
        <f>'ANALYSE - ERP =&gt; SOUS-SEGMENT'!$IV$48</f>
        <v>0.58589999999999998</v>
      </c>
      <c r="Q66" s="787">
        <f>'ANALYSE - ERP =&gt; SOUS-SEGMENT'!$IW$48</f>
        <v>7.9299999999999995E-2</v>
      </c>
      <c r="R66" s="787">
        <f>'ANALYSE - ERP =&gt; SOUS-SEGMENT'!$IX$48</f>
        <v>8.0000000000000004E-4</v>
      </c>
      <c r="T66" s="430">
        <f>'ANALYSE - ERP =&gt; SOUS-SEGMENT'!$Q$48</f>
        <v>1</v>
      </c>
    </row>
    <row r="67" spans="1:20" ht="15" customHeight="1">
      <c r="A67" s="26">
        <v>64</v>
      </c>
      <c r="B67" s="26">
        <v>67</v>
      </c>
      <c r="C67" s="422">
        <f>'ANALYSE - ERP =&gt; SOUS-SEGMENT'!$A$77</f>
        <v>70</v>
      </c>
      <c r="D67" s="408" t="str">
        <f>'ANALYSE - ERP =&gt; SOUS-SEGMENT'!$B$77</f>
        <v>Commerce, Restauration &amp; Loisirs</v>
      </c>
      <c r="E67" s="408" t="str">
        <f>'ANALYSE - ERP =&gt; SOUS-SEGMENT'!$C$77</f>
        <v>Restauration / boissons</v>
      </c>
      <c r="F67" s="408" t="str">
        <f>'ANALYSE - ERP =&gt; SOUS-SEGMENT'!$D$77</f>
        <v>Fast-food / Cafétérias / Food courts</v>
      </c>
      <c r="H67" s="787">
        <f>'ANALYSE - ERP =&gt; SOUS-SEGMENT'!$IO$77</f>
        <v>3.5200000000000002E-2</v>
      </c>
      <c r="I67" s="787">
        <f>'ANALYSE - ERP =&gt; SOUS-SEGMENT'!$IP$77</f>
        <v>0.48139999999999999</v>
      </c>
      <c r="J67" s="787">
        <f>'ANALYSE - ERP =&gt; SOUS-SEGMENT'!$IQ$77</f>
        <v>0.41339999999999999</v>
      </c>
      <c r="K67" s="787">
        <f>'ANALYSE - ERP =&gt; SOUS-SEGMENT'!$IR$77</f>
        <v>0.04</v>
      </c>
      <c r="L67" s="787">
        <f>'ANALYSE - ERP =&gt; SOUS-SEGMENT'!$IS$77</f>
        <v>0.03</v>
      </c>
      <c r="N67" s="787">
        <f>'ANALYSE - ERP =&gt; SOUS-SEGMENT'!$IT$77</f>
        <v>0</v>
      </c>
      <c r="O67" s="787">
        <f>'ANALYSE - ERP =&gt; SOUS-SEGMENT'!$IU$77</f>
        <v>0.31080000000000002</v>
      </c>
      <c r="P67" s="787">
        <f>'ANALYSE - ERP =&gt; SOUS-SEGMENT'!$IV$77</f>
        <v>0.55469999999999997</v>
      </c>
      <c r="Q67" s="787">
        <f>'ANALYSE - ERP =&gt; SOUS-SEGMENT'!$IW$77</f>
        <v>0.1045</v>
      </c>
      <c r="R67" s="787">
        <f>'ANALYSE - ERP =&gt; SOUS-SEGMENT'!$IX$77</f>
        <v>0.03</v>
      </c>
      <c r="T67" s="430">
        <f>'ANALYSE - ERP =&gt; SOUS-SEGMENT'!$Q$77</f>
        <v>1</v>
      </c>
    </row>
    <row r="68" spans="1:20" ht="15" customHeight="1">
      <c r="A68" s="26">
        <v>65</v>
      </c>
      <c r="B68" s="26">
        <v>64</v>
      </c>
      <c r="C68" s="422">
        <f>'ANALYSE - ERP =&gt; SOUS-SEGMENT'!$A$94</f>
        <v>87</v>
      </c>
      <c r="D68" s="412" t="str">
        <f>'ANALYSE - ERP =&gt; SOUS-SEGMENT'!$B$94</f>
        <v>Hébergement Touristique</v>
      </c>
      <c r="E68" s="412" t="str">
        <f>'ANALYSE - ERP =&gt; SOUS-SEGMENT'!$C$94</f>
        <v>Tourisme de plein air</v>
      </c>
      <c r="F68" s="412" t="str">
        <f>'ANALYSE - ERP =&gt; SOUS-SEGMENT'!$D$94</f>
        <v>Campings</v>
      </c>
      <c r="H68" s="787">
        <f>'ANALYSE - ERP =&gt; SOUS-SEGMENT'!$IO$94</f>
        <v>0.1222</v>
      </c>
      <c r="I68" s="787">
        <f>'ANALYSE - ERP =&gt; SOUS-SEGMENT'!$IP$94</f>
        <v>0.54190000000000005</v>
      </c>
      <c r="J68" s="787">
        <f>'ANALYSE - ERP =&gt; SOUS-SEGMENT'!$IQ$94</f>
        <v>0.31230000000000002</v>
      </c>
      <c r="K68" s="787">
        <f>'ANALYSE - ERP =&gt; SOUS-SEGMENT'!$IR$94</f>
        <v>2.3400000000000001E-2</v>
      </c>
      <c r="L68" s="787">
        <f>'ANALYSE - ERP =&gt; SOUS-SEGMENT'!$IS$94</f>
        <v>2.0000000000000001E-4</v>
      </c>
      <c r="N68" s="787">
        <f>'ANALYSE - ERP =&gt; SOUS-SEGMENT'!$IT$94</f>
        <v>5.2299999999999999E-2</v>
      </c>
      <c r="O68" s="787">
        <f>'ANALYSE - ERP =&gt; SOUS-SEGMENT'!$IU$94</f>
        <v>0.42830000000000001</v>
      </c>
      <c r="P68" s="787">
        <f>'ANALYSE - ERP =&gt; SOUS-SEGMENT'!$IV$94</f>
        <v>0.45540000000000003</v>
      </c>
      <c r="Q68" s="787">
        <f>'ANALYSE - ERP =&gt; SOUS-SEGMENT'!$IW$94</f>
        <v>6.2899999999999998E-2</v>
      </c>
      <c r="R68" s="787">
        <f>'ANALYSE - ERP =&gt; SOUS-SEGMENT'!$IX$94</f>
        <v>1.1000000000000001E-3</v>
      </c>
      <c r="T68" s="430">
        <f>'ANALYSE - ERP =&gt; SOUS-SEGMENT'!$Q$94</f>
        <v>1</v>
      </c>
    </row>
    <row r="69" spans="1:20" ht="15" customHeight="1">
      <c r="A69" s="26">
        <v>66</v>
      </c>
      <c r="B69" s="26">
        <v>66</v>
      </c>
      <c r="C69" s="422">
        <f>'ANALYSE - ERP =&gt; SOUS-SEGMENT'!$A$120</f>
        <v>113</v>
      </c>
      <c r="D69" s="415" t="str">
        <f>'ANALYSE - ERP =&gt; SOUS-SEGMENT'!$B$120</f>
        <v>Culte, Vie civique &amp; Services publics</v>
      </c>
      <c r="E69" s="415" t="str">
        <f>'ANALYSE - ERP =&gt; SOUS-SEGMENT'!$C$120</f>
        <v>Vie associative</v>
      </c>
      <c r="F69" s="415" t="str">
        <f>'ANALYSE - ERP =&gt; SOUS-SEGMENT'!$D$120</f>
        <v>Locaux associatifs recevant du public (dotés de sanitaires)</v>
      </c>
      <c r="H69" s="787">
        <f>'ANALYSE - ERP =&gt; SOUS-SEGMENT'!$IO$120</f>
        <v>0.1</v>
      </c>
      <c r="I69" s="787">
        <f>'ANALYSE - ERP =&gt; SOUS-SEGMENT'!$IP$120</f>
        <v>0.53</v>
      </c>
      <c r="J69" s="787">
        <f>'ANALYSE - ERP =&gt; SOUS-SEGMENT'!$IQ$120</f>
        <v>0.34</v>
      </c>
      <c r="K69" s="787">
        <f>'ANALYSE - ERP =&gt; SOUS-SEGMENT'!$IR$120</f>
        <v>0.03</v>
      </c>
      <c r="L69" s="787">
        <f>'ANALYSE - ERP =&gt; SOUS-SEGMENT'!$IS$120</f>
        <v>0</v>
      </c>
      <c r="N69" s="787">
        <f>'ANALYSE - ERP =&gt; SOUS-SEGMENT'!$IT$120</f>
        <v>8.3699999999999997E-2</v>
      </c>
      <c r="O69" s="787">
        <f>'ANALYSE - ERP =&gt; SOUS-SEGMENT'!$IU$120</f>
        <v>0.5101</v>
      </c>
      <c r="P69" s="787">
        <f>'ANALYSE - ERP =&gt; SOUS-SEGMENT'!$IV$120</f>
        <v>0.35630000000000001</v>
      </c>
      <c r="Q69" s="787">
        <f>'ANALYSE - ERP =&gt; SOUS-SEGMENT'!$IW$120</f>
        <v>4.6300000000000001E-2</v>
      </c>
      <c r="R69" s="787">
        <f>'ANALYSE - ERP =&gt; SOUS-SEGMENT'!$IX$120</f>
        <v>3.5999999999999999E-3</v>
      </c>
      <c r="T69" s="430">
        <f>'ANALYSE - ERP =&gt; SOUS-SEGMENT'!$Q$120</f>
        <v>1</v>
      </c>
    </row>
    <row r="70" spans="1:20" ht="15" customHeight="1">
      <c r="A70" s="26">
        <v>67</v>
      </c>
      <c r="B70" s="26">
        <v>68</v>
      </c>
      <c r="C70" s="422">
        <f>'ANALYSE - ERP =&gt; SOUS-SEGMENT'!$A$11</f>
        <v>4</v>
      </c>
      <c r="D70" s="411" t="str">
        <f>'ANALYSE - ERP =&gt; SOUS-SEGMENT'!$B$11</f>
        <v>Enfance, Enseignement, Jeunesse &amp; Formation</v>
      </c>
      <c r="E70" s="411" t="str">
        <f>'ANALYSE - ERP =&gt; SOUS-SEGMENT'!$C$11</f>
        <v>Enseignement scolaire</v>
      </c>
      <c r="F70" s="411" t="str">
        <f>'ANALYSE - ERP =&gt; SOUS-SEGMENT'!$D$11</f>
        <v>Écoles maternelles</v>
      </c>
      <c r="H70" s="787">
        <f>'ANALYSE - ERP =&gt; SOUS-SEGMENT'!$IO$11</f>
        <v>9.4500000000000001E-2</v>
      </c>
      <c r="I70" s="787">
        <f>'ANALYSE - ERP =&gt; SOUS-SEGMENT'!$IP$11</f>
        <v>0.53339999999999999</v>
      </c>
      <c r="J70" s="787">
        <f>'ANALYSE - ERP =&gt; SOUS-SEGMENT'!$IQ$11</f>
        <v>0.34610000000000002</v>
      </c>
      <c r="K70" s="787">
        <f>'ANALYSE - ERP =&gt; SOUS-SEGMENT'!$IR$11</f>
        <v>2.58E-2</v>
      </c>
      <c r="L70" s="787">
        <f>'ANALYSE - ERP =&gt; SOUS-SEGMENT'!$IS$11</f>
        <v>2.0000000000000001E-4</v>
      </c>
      <c r="N70" s="787">
        <f>'ANALYSE - ERP =&gt; SOUS-SEGMENT'!$IT$11</f>
        <v>3.8100000000000002E-2</v>
      </c>
      <c r="O70" s="787">
        <f>'ANALYSE - ERP =&gt; SOUS-SEGMENT'!$IU$11</f>
        <v>0.40279999999999999</v>
      </c>
      <c r="P70" s="787">
        <f>'ANALYSE - ERP =&gt; SOUS-SEGMENT'!$IV$11</f>
        <v>0.48959999999999998</v>
      </c>
      <c r="Q70" s="787">
        <f>'ANALYSE - ERP =&gt; SOUS-SEGMENT'!$IW$11</f>
        <v>6.8400000000000002E-2</v>
      </c>
      <c r="R70" s="787">
        <f>'ANALYSE - ERP =&gt; SOUS-SEGMENT'!$IX$11</f>
        <v>1.1000000000000001E-3</v>
      </c>
      <c r="T70" s="430">
        <f>'ANALYSE - ERP =&gt; SOUS-SEGMENT'!$Q$11</f>
        <v>1</v>
      </c>
    </row>
    <row r="71" spans="1:20" ht="15" customHeight="1">
      <c r="A71" s="26">
        <v>68</v>
      </c>
      <c r="B71" s="26">
        <v>65</v>
      </c>
      <c r="C71" s="422">
        <f>'ANALYSE - ERP =&gt; SOUS-SEGMENT'!$A$116</f>
        <v>109</v>
      </c>
      <c r="D71" s="415" t="str">
        <f>'ANALYSE - ERP =&gt; SOUS-SEGMENT'!$B$116</f>
        <v>Culte, Vie civique &amp; Services publics</v>
      </c>
      <c r="E71" s="415" t="str">
        <f>'ANALYSE - ERP =&gt; SOUS-SEGMENT'!$C$116</f>
        <v>Culte</v>
      </c>
      <c r="F71" s="415" t="str">
        <f>'ANALYSE - ERP =&gt; SOUS-SEGMENT'!$D$116</f>
        <v>Mosquées et salles de prière musulmanes</v>
      </c>
      <c r="H71" s="787">
        <f>'ANALYSE - ERP =&gt; SOUS-SEGMENT'!$IO$116</f>
        <v>0.1</v>
      </c>
      <c r="I71" s="787">
        <f>'ANALYSE - ERP =&gt; SOUS-SEGMENT'!$IP$116</f>
        <v>0.53</v>
      </c>
      <c r="J71" s="787">
        <f>'ANALYSE - ERP =&gt; SOUS-SEGMENT'!$IQ$116</f>
        <v>0.34</v>
      </c>
      <c r="K71" s="787">
        <f>'ANALYSE - ERP =&gt; SOUS-SEGMENT'!$IR$116</f>
        <v>0.03</v>
      </c>
      <c r="L71" s="787">
        <f>'ANALYSE - ERP =&gt; SOUS-SEGMENT'!$IS$116</f>
        <v>0</v>
      </c>
      <c r="N71" s="787">
        <f>'ANALYSE - ERP =&gt; SOUS-SEGMENT'!$IT$116</f>
        <v>8.5900000000000004E-2</v>
      </c>
      <c r="O71" s="787">
        <f>'ANALYSE - ERP =&gt; SOUS-SEGMENT'!$IU$116</f>
        <v>0.51270000000000004</v>
      </c>
      <c r="P71" s="787">
        <f>'ANALYSE - ERP =&gt; SOUS-SEGMENT'!$IV$116</f>
        <v>0.35410000000000003</v>
      </c>
      <c r="Q71" s="787">
        <f>'ANALYSE - ERP =&gt; SOUS-SEGMENT'!$IW$116</f>
        <v>4.41E-2</v>
      </c>
      <c r="R71" s="787">
        <f>'ANALYSE - ERP =&gt; SOUS-SEGMENT'!$IX$116</f>
        <v>3.2000000000000002E-3</v>
      </c>
      <c r="T71" s="430">
        <f>'ANALYSE - ERP =&gt; SOUS-SEGMENT'!$Q$116</f>
        <v>1</v>
      </c>
    </row>
    <row r="72" spans="1:20" ht="15" customHeight="1">
      <c r="A72" s="26">
        <v>69</v>
      </c>
      <c r="B72" s="26">
        <v>70</v>
      </c>
      <c r="C72" s="422">
        <f>'ANALYSE - ERP =&gt; SOUS-SEGMENT'!$A$81</f>
        <v>74</v>
      </c>
      <c r="D72" s="408" t="str">
        <f>'ANALYSE - ERP =&gt; SOUS-SEGMENT'!$B$81</f>
        <v>Commerce, Restauration &amp; Loisirs</v>
      </c>
      <c r="E72" s="408" t="str">
        <f>'ANALYSE - ERP =&gt; SOUS-SEGMENT'!$C$81</f>
        <v>Commerce</v>
      </c>
      <c r="F72" s="408" t="str">
        <f>'ANALYSE - ERP =&gt; SOUS-SEGMENT'!$D$81</f>
        <v>Marchés couverts</v>
      </c>
      <c r="H72" s="787">
        <f>'ANALYSE - ERP =&gt; SOUS-SEGMENT'!$IO$81</f>
        <v>0.1938</v>
      </c>
      <c r="I72" s="787">
        <f>'ANALYSE - ERP =&gt; SOUS-SEGMENT'!$IP$81</f>
        <v>0.57030000000000003</v>
      </c>
      <c r="J72" s="787">
        <f>'ANALYSE - ERP =&gt; SOUS-SEGMENT'!$IQ$81</f>
        <v>0.23569999999999999</v>
      </c>
      <c r="K72" s="787">
        <f>'ANALYSE - ERP =&gt; SOUS-SEGMENT'!$IR$81</f>
        <v>0</v>
      </c>
      <c r="L72" s="787">
        <f>'ANALYSE - ERP =&gt; SOUS-SEGMENT'!$IS$81</f>
        <v>2.0000000000000001E-4</v>
      </c>
      <c r="N72" s="787">
        <f>'ANALYSE - ERP =&gt; SOUS-SEGMENT'!$IT$81</f>
        <v>0.1075</v>
      </c>
      <c r="O72" s="787">
        <f>'ANALYSE - ERP =&gt; SOUS-SEGMENT'!$IU$81</f>
        <v>0.51160000000000005</v>
      </c>
      <c r="P72" s="787">
        <f>'ANALYSE - ERP =&gt; SOUS-SEGMENT'!$IV$81</f>
        <v>0.36530000000000001</v>
      </c>
      <c r="Q72" s="787">
        <f>'ANALYSE - ERP =&gt; SOUS-SEGMENT'!$IW$81</f>
        <v>1.4800000000000001E-2</v>
      </c>
      <c r="R72" s="787">
        <f>'ANALYSE - ERP =&gt; SOUS-SEGMENT'!$IX$81</f>
        <v>8.0000000000000004E-4</v>
      </c>
      <c r="T72" s="430">
        <f>'ANALYSE - ERP =&gt; SOUS-SEGMENT'!$Q$81</f>
        <v>1</v>
      </c>
    </row>
    <row r="73" spans="1:20" s="45" customFormat="1" ht="15" customHeight="1">
      <c r="A73" s="26">
        <v>70</v>
      </c>
      <c r="B73" s="26">
        <v>75</v>
      </c>
      <c r="C73" s="422">
        <f>'ANALYSE - ERP =&gt; SOUS-SEGMENT'!$A$24</f>
        <v>17</v>
      </c>
      <c r="D73" s="410" t="str">
        <f>'ANALYSE - ERP =&gt; SOUS-SEGMENT'!$B$24</f>
        <v>Sports &amp; Loisirs</v>
      </c>
      <c r="E73" s="410" t="str">
        <f>'ANALYSE - ERP =&gt; SOUS-SEGMENT'!$C$24</f>
        <v>Sport couvert / Thermalisme / Bien-être</v>
      </c>
      <c r="F73" s="410" t="str">
        <f>'ANALYSE - ERP =&gt; SOUS-SEGMENT'!$D$24</f>
        <v>Piscines couvertes</v>
      </c>
      <c r="G73" s="685"/>
      <c r="H73" s="787">
        <f>'ANALYSE - ERP =&gt; SOUS-SEGMENT'!$IO$24</f>
        <v>9.8500000000000004E-2</v>
      </c>
      <c r="I73" s="787">
        <f>'ANALYSE - ERP =&gt; SOUS-SEGMENT'!$IP$24</f>
        <v>0.5988</v>
      </c>
      <c r="J73" s="787">
        <f>'ANALYSE - ERP =&gt; SOUS-SEGMENT'!$IQ$24</f>
        <v>0.30270000000000002</v>
      </c>
      <c r="K73" s="787">
        <f>'ANALYSE - ERP =&gt; SOUS-SEGMENT'!$IR$24</f>
        <v>0</v>
      </c>
      <c r="L73" s="787">
        <f>'ANALYSE - ERP =&gt; SOUS-SEGMENT'!$IS$24</f>
        <v>0</v>
      </c>
      <c r="M73" s="685"/>
      <c r="N73" s="787">
        <f>'ANALYSE - ERP =&gt; SOUS-SEGMENT'!$IT$24</f>
        <v>0.05</v>
      </c>
      <c r="O73" s="787">
        <f>'ANALYSE - ERP =&gt; SOUS-SEGMENT'!$IU$24</f>
        <v>0.48970000000000002</v>
      </c>
      <c r="P73" s="787">
        <f>'ANALYSE - ERP =&gt; SOUS-SEGMENT'!$IV$24</f>
        <v>0.46029999999999999</v>
      </c>
      <c r="Q73" s="787">
        <f>'ANALYSE - ERP =&gt; SOUS-SEGMENT'!$IW$24</f>
        <v>0</v>
      </c>
      <c r="R73" s="787">
        <f>'ANALYSE - ERP =&gt; SOUS-SEGMENT'!$IX$24</f>
        <v>0</v>
      </c>
      <c r="S73" s="685"/>
      <c r="T73" s="430">
        <f>'ANALYSE - ERP =&gt; SOUS-SEGMENT'!$Q$24</f>
        <v>1</v>
      </c>
    </row>
    <row r="74" spans="1:20" ht="15" customHeight="1">
      <c r="A74" s="26">
        <v>71</v>
      </c>
      <c r="B74" s="26">
        <v>69</v>
      </c>
      <c r="C74" s="422">
        <f>'ANALYSE - ERP =&gt; SOUS-SEGMENT'!$A$135</f>
        <v>128</v>
      </c>
      <c r="D74" s="417" t="str">
        <f>'ANALYSE - ERP =&gt; SOUS-SEGMENT'!$B$135</f>
        <v>Sécurité &amp; Justice</v>
      </c>
      <c r="E74" s="417" t="str">
        <f>'ANALYSE - ERP =&gt; SOUS-SEGMENT'!$C$135</f>
        <v>Forces armées</v>
      </c>
      <c r="F74" s="417" t="str">
        <f>'ANALYSE - ERP =&gt; SOUS-SEGMENT'!$D$135</f>
        <v>Unités d'hébergement des militaires &amp; réservistes</v>
      </c>
      <c r="H74" s="787">
        <f>'ANALYSE - ERP =&gt; SOUS-SEGMENT'!$IO$135</f>
        <v>7.1499999999999994E-2</v>
      </c>
      <c r="I74" s="787">
        <f>'ANALYSE - ERP =&gt; SOUS-SEGMENT'!$IP$135</f>
        <v>0.57299999999999995</v>
      </c>
      <c r="J74" s="787">
        <f>'ANALYSE - ERP =&gt; SOUS-SEGMENT'!$IQ$135</f>
        <v>0.34050000000000002</v>
      </c>
      <c r="K74" s="787">
        <f>'ANALYSE - ERP =&gt; SOUS-SEGMENT'!$IR$135</f>
        <v>1.4999999999999999E-2</v>
      </c>
      <c r="L74" s="787">
        <f>'ANALYSE - ERP =&gt; SOUS-SEGMENT'!$IS$135</f>
        <v>0</v>
      </c>
      <c r="N74" s="787">
        <f>'ANALYSE - ERP =&gt; SOUS-SEGMENT'!$IT$135</f>
        <v>2.9700000000000001E-2</v>
      </c>
      <c r="O74" s="787">
        <f>'ANALYSE - ERP =&gt; SOUS-SEGMENT'!$IU$135</f>
        <v>0.44209999999999999</v>
      </c>
      <c r="P74" s="787">
        <f>'ANALYSE - ERP =&gt; SOUS-SEGMENT'!$IV$135</f>
        <v>0.48799999999999999</v>
      </c>
      <c r="Q74" s="787">
        <f>'ANALYSE - ERP =&gt; SOUS-SEGMENT'!$IW$135</f>
        <v>0.04</v>
      </c>
      <c r="R74" s="787">
        <f>'ANALYSE - ERP =&gt; SOUS-SEGMENT'!$IX$135</f>
        <v>2.0000000000000001E-4</v>
      </c>
      <c r="T74" s="430">
        <f>'ANALYSE - ERP =&gt; SOUS-SEGMENT'!$Q$135</f>
        <v>1</v>
      </c>
    </row>
    <row r="75" spans="1:20" ht="15" customHeight="1">
      <c r="A75" s="26">
        <v>72</v>
      </c>
      <c r="B75" s="26">
        <v>74</v>
      </c>
      <c r="C75" s="422">
        <f>'ANALYSE - ERP =&gt; SOUS-SEGMENT'!$A$21</f>
        <v>14</v>
      </c>
      <c r="D75" s="410" t="str">
        <f>'ANALYSE - ERP =&gt; SOUS-SEGMENT'!$B$21</f>
        <v>Sports &amp; Loisirs</v>
      </c>
      <c r="E75" s="410" t="str">
        <f>'ANALYSE - ERP =&gt; SOUS-SEGMENT'!$C$21</f>
        <v>Sport couvert / Thermalisme / Bien-être</v>
      </c>
      <c r="F75" s="410" t="str">
        <f>'ANALYSE - ERP =&gt; SOUS-SEGMENT'!$D$21</f>
        <v>Gymnases / salles multisports
(hors scolaire, mais gymnase municipaux inclus)</v>
      </c>
      <c r="H75" s="787">
        <f>'ANALYSE - ERP =&gt; SOUS-SEGMENT'!$IO$21</f>
        <v>0.12429999999999999</v>
      </c>
      <c r="I75" s="787">
        <f>'ANALYSE - ERP =&gt; SOUS-SEGMENT'!$IP$21</f>
        <v>0.61719999999999997</v>
      </c>
      <c r="J75" s="787">
        <f>'ANALYSE - ERP =&gt; SOUS-SEGMENT'!$IQ$21</f>
        <v>0.25850000000000001</v>
      </c>
      <c r="K75" s="787">
        <f>'ANALYSE - ERP =&gt; SOUS-SEGMENT'!$IR$21</f>
        <v>0</v>
      </c>
      <c r="L75" s="787">
        <f>'ANALYSE - ERP =&gt; SOUS-SEGMENT'!$IS$21</f>
        <v>0</v>
      </c>
      <c r="N75" s="787">
        <f>'ANALYSE - ERP =&gt; SOUS-SEGMENT'!$IT$21</f>
        <v>5.7000000000000002E-2</v>
      </c>
      <c r="O75" s="787">
        <f>'ANALYSE - ERP =&gt; SOUS-SEGMENT'!$IU$21</f>
        <v>0.54090000000000005</v>
      </c>
      <c r="P75" s="787">
        <f>'ANALYSE - ERP =&gt; SOUS-SEGMENT'!$IV$21</f>
        <v>0.40210000000000001</v>
      </c>
      <c r="Q75" s="787">
        <f>'ANALYSE - ERP =&gt; SOUS-SEGMENT'!$IW$21</f>
        <v>0</v>
      </c>
      <c r="R75" s="787">
        <f>'ANALYSE - ERP =&gt; SOUS-SEGMENT'!$IX$21</f>
        <v>0</v>
      </c>
      <c r="T75" s="430">
        <f>'ANALYSE - ERP =&gt; SOUS-SEGMENT'!$Q$21</f>
        <v>1</v>
      </c>
    </row>
    <row r="76" spans="1:20" ht="15" customHeight="1">
      <c r="A76" s="26">
        <v>73</v>
      </c>
      <c r="B76" s="26">
        <v>76</v>
      </c>
      <c r="C76" s="422">
        <f>'ANALYSE - ERP =&gt; SOUS-SEGMENT'!$A$23</f>
        <v>16</v>
      </c>
      <c r="D76" s="410" t="str">
        <f>'ANALYSE - ERP =&gt; SOUS-SEGMENT'!$B$23</f>
        <v>Sports &amp; Loisirs</v>
      </c>
      <c r="E76" s="410" t="str">
        <f>'ANALYSE - ERP =&gt; SOUS-SEGMENT'!$C$23</f>
        <v>Sport couvert / Thermalisme / Bien-être</v>
      </c>
      <c r="F76" s="410" t="str">
        <f>'ANALYSE - ERP =&gt; SOUS-SEGMENT'!$D$23</f>
        <v>Patinoires couvertes</v>
      </c>
      <c r="H76" s="787">
        <f>'ANALYSE - ERP =&gt; SOUS-SEGMENT'!$IO$23</f>
        <v>0.1545</v>
      </c>
      <c r="I76" s="787">
        <f>'ANALYSE - ERP =&gt; SOUS-SEGMENT'!$IP$23</f>
        <v>0.628</v>
      </c>
      <c r="J76" s="787">
        <f>'ANALYSE - ERP =&gt; SOUS-SEGMENT'!$IQ$23</f>
        <v>0.2175</v>
      </c>
      <c r="K76" s="787">
        <f>'ANALYSE - ERP =&gt; SOUS-SEGMENT'!$IR$23</f>
        <v>0</v>
      </c>
      <c r="L76" s="787">
        <f>'ANALYSE - ERP =&gt; SOUS-SEGMENT'!$IS$23</f>
        <v>0</v>
      </c>
      <c r="N76" s="787">
        <f>'ANALYSE - ERP =&gt; SOUS-SEGMENT'!$IT$23</f>
        <v>7.4399999999999994E-2</v>
      </c>
      <c r="O76" s="787">
        <f>'ANALYSE - ERP =&gt; SOUS-SEGMENT'!$IU$23</f>
        <v>0.57069999999999999</v>
      </c>
      <c r="P76" s="787">
        <f>'ANALYSE - ERP =&gt; SOUS-SEGMENT'!$IV$23</f>
        <v>0.35489999999999999</v>
      </c>
      <c r="Q76" s="787">
        <f>'ANALYSE - ERP =&gt; SOUS-SEGMENT'!$IW$23</f>
        <v>0</v>
      </c>
      <c r="R76" s="787">
        <f>'ANALYSE - ERP =&gt; SOUS-SEGMENT'!$IX$23</f>
        <v>0</v>
      </c>
      <c r="T76" s="430">
        <f>'ANALYSE - ERP =&gt; SOUS-SEGMENT'!$Q$23</f>
        <v>1</v>
      </c>
    </row>
    <row r="77" spans="1:20" ht="15" customHeight="1">
      <c r="A77" s="26">
        <v>74</v>
      </c>
      <c r="B77" s="26">
        <v>77</v>
      </c>
      <c r="C77" s="422">
        <f>'ANALYSE - ERP =&gt; SOUS-SEGMENT'!$A$31</f>
        <v>24</v>
      </c>
      <c r="D77" s="410" t="str">
        <f>'ANALYSE - ERP =&gt; SOUS-SEGMENT'!$B$31</f>
        <v>Sports &amp; Loisirs</v>
      </c>
      <c r="E77" s="410" t="str">
        <f>'ANALYSE - ERP =&gt; SOUS-SEGMENT'!$C$31</f>
        <v>Sport de plein air</v>
      </c>
      <c r="F77" s="410" t="str">
        <f>'ANALYSE - ERP =&gt; SOUS-SEGMENT'!$D$31</f>
        <v>Piscines extérieures 
(Hors campings, hôtels, résidences et établissement avec bassin intérieur)</v>
      </c>
      <c r="H77" s="787">
        <f>'ANALYSE - ERP =&gt; SOUS-SEGMENT'!$IO$31</f>
        <v>0.14269999999999999</v>
      </c>
      <c r="I77" s="787">
        <f>'ANALYSE - ERP =&gt; SOUS-SEGMENT'!$IP$31</f>
        <v>0.62480000000000002</v>
      </c>
      <c r="J77" s="787">
        <f>'ANALYSE - ERP =&gt; SOUS-SEGMENT'!$IQ$31</f>
        <v>0.23250000000000001</v>
      </c>
      <c r="K77" s="787">
        <f>'ANALYSE - ERP =&gt; SOUS-SEGMENT'!$IR$31</f>
        <v>0</v>
      </c>
      <c r="L77" s="787">
        <f>'ANALYSE - ERP =&gt; SOUS-SEGMENT'!$IS$31</f>
        <v>0</v>
      </c>
      <c r="N77" s="787">
        <f>'ANALYSE - ERP =&gt; SOUS-SEGMENT'!$IT$31</f>
        <v>6.7500000000000004E-2</v>
      </c>
      <c r="O77" s="787">
        <f>'ANALYSE - ERP =&gt; SOUS-SEGMENT'!$IU$31</f>
        <v>0.55989999999999995</v>
      </c>
      <c r="P77" s="787">
        <f>'ANALYSE - ERP =&gt; SOUS-SEGMENT'!$IV$31</f>
        <v>0.37259999999999999</v>
      </c>
      <c r="Q77" s="787">
        <f>'ANALYSE - ERP =&gt; SOUS-SEGMENT'!$IW$31</f>
        <v>0</v>
      </c>
      <c r="R77" s="787">
        <f>'ANALYSE - ERP =&gt; SOUS-SEGMENT'!$IX$31</f>
        <v>0</v>
      </c>
      <c r="T77" s="430">
        <f>'ANALYSE - ERP =&gt; SOUS-SEGMENT'!$Q$31</f>
        <v>1</v>
      </c>
    </row>
    <row r="78" spans="1:20" ht="15" customHeight="1">
      <c r="A78" s="26">
        <v>75</v>
      </c>
      <c r="B78" s="26">
        <v>78</v>
      </c>
      <c r="C78" s="422">
        <f>'ANALYSE - ERP =&gt; SOUS-SEGMENT'!$A$28</f>
        <v>21</v>
      </c>
      <c r="D78" s="410" t="str">
        <f>'ANALYSE - ERP =&gt; SOUS-SEGMENT'!$B$28</f>
        <v>Sports &amp; Loisirs</v>
      </c>
      <c r="E78" s="410" t="str">
        <f>'ANALYSE - ERP =&gt; SOUS-SEGMENT'!$C$28</f>
        <v>Sport de plein air</v>
      </c>
      <c r="F78" s="410" t="str">
        <f>'ANALYSE - ERP =&gt; SOUS-SEGMENT'!$D$28</f>
        <v>Stades avec tribunes
(Hors grands stades, hors terrains sport)</v>
      </c>
      <c r="H78" s="787">
        <f>'ANALYSE - ERP =&gt; SOUS-SEGMENT'!$IO$28</f>
        <v>0.12429999999999999</v>
      </c>
      <c r="I78" s="787">
        <f>'ANALYSE - ERP =&gt; SOUS-SEGMENT'!$IP$28</f>
        <v>0.61719999999999997</v>
      </c>
      <c r="J78" s="787">
        <f>'ANALYSE - ERP =&gt; SOUS-SEGMENT'!$IQ$28</f>
        <v>0.25850000000000001</v>
      </c>
      <c r="K78" s="787">
        <f>'ANALYSE - ERP =&gt; SOUS-SEGMENT'!$IR$28</f>
        <v>0</v>
      </c>
      <c r="L78" s="787">
        <f>'ANALYSE - ERP =&gt; SOUS-SEGMENT'!$IS$28</f>
        <v>0</v>
      </c>
      <c r="N78" s="787">
        <f>'ANALYSE - ERP =&gt; SOUS-SEGMENT'!$IT$28</f>
        <v>5.11E-2</v>
      </c>
      <c r="O78" s="787">
        <f>'ANALYSE - ERP =&gt; SOUS-SEGMENT'!$IU$28</f>
        <v>0.51649999999999996</v>
      </c>
      <c r="P78" s="787">
        <f>'ANALYSE - ERP =&gt; SOUS-SEGMENT'!$IV$28</f>
        <v>0.43240000000000001</v>
      </c>
      <c r="Q78" s="787">
        <f>'ANALYSE - ERP =&gt; SOUS-SEGMENT'!$IW$28</f>
        <v>0</v>
      </c>
      <c r="R78" s="787">
        <f>'ANALYSE - ERP =&gt; SOUS-SEGMENT'!$IX$28</f>
        <v>0</v>
      </c>
      <c r="T78" s="430">
        <f>'ANALYSE - ERP =&gt; SOUS-SEGMENT'!$Q$28</f>
        <v>1</v>
      </c>
    </row>
    <row r="79" spans="1:20" ht="15" customHeight="1">
      <c r="A79" s="26">
        <v>76</v>
      </c>
      <c r="B79" s="26">
        <v>79</v>
      </c>
      <c r="C79" s="422">
        <f>'ANALYSE - ERP =&gt; SOUS-SEGMENT'!$A$27</f>
        <v>20</v>
      </c>
      <c r="D79" s="410" t="str">
        <f>'ANALYSE - ERP =&gt; SOUS-SEGMENT'!$B$27</f>
        <v>Sports &amp; Loisirs</v>
      </c>
      <c r="E79" s="410" t="str">
        <f>'ANALYSE - ERP =&gt; SOUS-SEGMENT'!$C$27</f>
        <v>Sport de plein air</v>
      </c>
      <c r="F79" s="410" t="str">
        <f>'ANALYSE - ERP =&gt; SOUS-SEGMENT'!$D$27</f>
        <v>Terrains de sport
(Hors scolaire, sans tribune)</v>
      </c>
      <c r="H79" s="787">
        <f>'ANALYSE - ERP =&gt; SOUS-SEGMENT'!$IO$27</f>
        <v>0.16</v>
      </c>
      <c r="I79" s="787">
        <f>'ANALYSE - ERP =&gt; SOUS-SEGMENT'!$IP$27</f>
        <v>0.56999999999999995</v>
      </c>
      <c r="J79" s="787">
        <f>'ANALYSE - ERP =&gt; SOUS-SEGMENT'!$IQ$27</f>
        <v>0.25</v>
      </c>
      <c r="K79" s="787">
        <f>'ANALYSE - ERP =&gt; SOUS-SEGMENT'!$IR$27</f>
        <v>0.02</v>
      </c>
      <c r="L79" s="787">
        <f>'ANALYSE - ERP =&gt; SOUS-SEGMENT'!$IS$27</f>
        <v>0</v>
      </c>
      <c r="N79" s="787">
        <f>'ANALYSE - ERP =&gt; SOUS-SEGMENT'!$IT$27</f>
        <v>0.14230000000000001</v>
      </c>
      <c r="O79" s="787">
        <f>'ANALYSE - ERP =&gt; SOUS-SEGMENT'!$IU$27</f>
        <v>0.54830000000000001</v>
      </c>
      <c r="P79" s="787">
        <f>'ANALYSE - ERP =&gt; SOUS-SEGMENT'!$IV$27</f>
        <v>0.26769999999999999</v>
      </c>
      <c r="Q79" s="787">
        <f>'ANALYSE - ERP =&gt; SOUS-SEGMENT'!$IW$27</f>
        <v>3.7699999999999997E-2</v>
      </c>
      <c r="R79" s="787">
        <f>'ANALYSE - ERP =&gt; SOUS-SEGMENT'!$IX$27</f>
        <v>4.0000000000000001E-3</v>
      </c>
      <c r="T79" s="430">
        <f>'ANALYSE - ERP =&gt; SOUS-SEGMENT'!$Q$27</f>
        <v>1</v>
      </c>
    </row>
    <row r="80" spans="1:20" ht="15" customHeight="1">
      <c r="A80" s="26">
        <v>77</v>
      </c>
      <c r="B80" s="26">
        <v>80</v>
      </c>
      <c r="C80" s="422">
        <f>'ANALYSE - ERP =&gt; SOUS-SEGMENT'!$A$12</f>
        <v>5</v>
      </c>
      <c r="D80" s="411" t="str">
        <f>'ANALYSE - ERP =&gt; SOUS-SEGMENT'!$B$12</f>
        <v>Enfance, Enseignement, Jeunesse &amp; Formation</v>
      </c>
      <c r="E80" s="411" t="str">
        <f>'ANALYSE - ERP =&gt; SOUS-SEGMENT'!$C$12</f>
        <v>Enseignement scolaire</v>
      </c>
      <c r="F80" s="411" t="str">
        <f>'ANALYSE - ERP =&gt; SOUS-SEGMENT'!$D$12</f>
        <v>Écoles primaires</v>
      </c>
      <c r="H80" s="787">
        <f>'ANALYSE - ERP =&gt; SOUS-SEGMENT'!$IO$12</f>
        <v>9.4500000000000001E-2</v>
      </c>
      <c r="I80" s="787">
        <f>'ANALYSE - ERP =&gt; SOUS-SEGMENT'!$IP$12</f>
        <v>0.53339999999999999</v>
      </c>
      <c r="J80" s="787">
        <f>'ANALYSE - ERP =&gt; SOUS-SEGMENT'!$IQ$12</f>
        <v>0.34610000000000002</v>
      </c>
      <c r="K80" s="787">
        <f>'ANALYSE - ERP =&gt; SOUS-SEGMENT'!$IR$12</f>
        <v>2.58E-2</v>
      </c>
      <c r="L80" s="787">
        <f>'ANALYSE - ERP =&gt; SOUS-SEGMENT'!$IS$12</f>
        <v>2.0000000000000001E-4</v>
      </c>
      <c r="N80" s="787">
        <f>'ANALYSE - ERP =&gt; SOUS-SEGMENT'!$IT$12</f>
        <v>3.44E-2</v>
      </c>
      <c r="O80" s="787">
        <f>'ANALYSE - ERP =&gt; SOUS-SEGMENT'!$IU$12</f>
        <v>0.38750000000000001</v>
      </c>
      <c r="P80" s="787">
        <f>'ANALYSE - ERP =&gt; SOUS-SEGMENT'!$IV$12</f>
        <v>0.502</v>
      </c>
      <c r="Q80" s="787">
        <f>'ANALYSE - ERP =&gt; SOUS-SEGMENT'!$IW$12</f>
        <v>7.4800000000000005E-2</v>
      </c>
      <c r="R80" s="787">
        <f>'ANALYSE - ERP =&gt; SOUS-SEGMENT'!$IX$12</f>
        <v>1.2999999999999999E-3</v>
      </c>
      <c r="T80" s="430">
        <f>'ANALYSE - ERP =&gt; SOUS-SEGMENT'!$Q$12</f>
        <v>1</v>
      </c>
    </row>
    <row r="81" spans="1:20" ht="15" customHeight="1">
      <c r="A81" s="26">
        <v>78</v>
      </c>
      <c r="B81" s="26">
        <v>81</v>
      </c>
      <c r="C81" s="422">
        <f>'ANALYSE - ERP =&gt; SOUS-SEGMENT'!$A$13</f>
        <v>6</v>
      </c>
      <c r="D81" s="411" t="str">
        <f>'ANALYSE - ERP =&gt; SOUS-SEGMENT'!$B$13</f>
        <v>Enfance, Enseignement, Jeunesse &amp; Formation</v>
      </c>
      <c r="E81" s="411" t="str">
        <f>'ANALYSE - ERP =&gt; SOUS-SEGMENT'!$C$13</f>
        <v>Enseignement scolaire</v>
      </c>
      <c r="F81" s="411" t="str">
        <f>'ANALYSE - ERP =&gt; SOUS-SEGMENT'!$D$13</f>
        <v>Collèges
(vestiaires EPS inclus)</v>
      </c>
      <c r="H81" s="787">
        <f>'ANALYSE - ERP =&gt; SOUS-SEGMENT'!$IO$13</f>
        <v>0.1086</v>
      </c>
      <c r="I81" s="787">
        <f>'ANALYSE - ERP =&gt; SOUS-SEGMENT'!$IP$13</f>
        <v>0.54969999999999997</v>
      </c>
      <c r="J81" s="787">
        <f>'ANALYSE - ERP =&gt; SOUS-SEGMENT'!$IQ$13</f>
        <v>0.3201</v>
      </c>
      <c r="K81" s="787">
        <f>'ANALYSE - ERP =&gt; SOUS-SEGMENT'!$IR$13</f>
        <v>2.1399999999999999E-2</v>
      </c>
      <c r="L81" s="787">
        <f>'ANALYSE - ERP =&gt; SOUS-SEGMENT'!$IS$13</f>
        <v>2.0000000000000001E-4</v>
      </c>
      <c r="N81" s="787">
        <f>'ANALYSE - ERP =&gt; SOUS-SEGMENT'!$IT$13</f>
        <v>0.04</v>
      </c>
      <c r="O81" s="787">
        <f>'ANALYSE - ERP =&gt; SOUS-SEGMENT'!$IU$13</f>
        <v>0.41010000000000002</v>
      </c>
      <c r="P81" s="787">
        <f>'ANALYSE - ERP =&gt; SOUS-SEGMENT'!$IV$13</f>
        <v>0.4834</v>
      </c>
      <c r="Q81" s="787">
        <f>'ANALYSE - ERP =&gt; SOUS-SEGMENT'!$IW$13</f>
        <v>6.5500000000000003E-2</v>
      </c>
      <c r="R81" s="787">
        <f>'ANALYSE - ERP =&gt; SOUS-SEGMENT'!$IX$13</f>
        <v>1E-3</v>
      </c>
      <c r="T81" s="430">
        <f>'ANALYSE - ERP =&gt; SOUS-SEGMENT'!$Q$13</f>
        <v>1</v>
      </c>
    </row>
    <row r="82" spans="1:20" ht="15" customHeight="1">
      <c r="A82" s="26">
        <v>79</v>
      </c>
      <c r="B82" s="26">
        <v>82</v>
      </c>
      <c r="C82" s="422">
        <f>'ANALYSE - ERP =&gt; SOUS-SEGMENT'!$A$14</f>
        <v>7</v>
      </c>
      <c r="D82" s="411" t="str">
        <f>'ANALYSE - ERP =&gt; SOUS-SEGMENT'!$B$14</f>
        <v>Enfance, Enseignement, Jeunesse &amp; Formation</v>
      </c>
      <c r="E82" s="411" t="str">
        <f>'ANALYSE - ERP =&gt; SOUS-SEGMENT'!$C$14</f>
        <v>Enseignement scolaire</v>
      </c>
      <c r="F82" s="411" t="str">
        <f>'ANALYSE - ERP =&gt; SOUS-SEGMENT'!$D$14</f>
        <v>Lycées
(vestiaires EPS inclus)</v>
      </c>
      <c r="H82" s="787">
        <f>'ANALYSE - ERP =&gt; SOUS-SEGMENT'!$IO$14</f>
        <v>0.1</v>
      </c>
      <c r="I82" s="787">
        <f>'ANALYSE - ERP =&gt; SOUS-SEGMENT'!$IP$14</f>
        <v>0.54010000000000002</v>
      </c>
      <c r="J82" s="787">
        <f>'ANALYSE - ERP =&gt; SOUS-SEGMENT'!$IQ$14</f>
        <v>0.3357</v>
      </c>
      <c r="K82" s="787">
        <f>'ANALYSE - ERP =&gt; SOUS-SEGMENT'!$IR$14</f>
        <v>2.4E-2</v>
      </c>
      <c r="L82" s="787">
        <f>'ANALYSE - ERP =&gt; SOUS-SEGMENT'!$IS$14</f>
        <v>2.0000000000000001E-4</v>
      </c>
      <c r="N82" s="787">
        <f>'ANALYSE - ERP =&gt; SOUS-SEGMENT'!$IT$14</f>
        <v>3.5900000000000001E-2</v>
      </c>
      <c r="O82" s="787">
        <f>'ANALYSE - ERP =&gt; SOUS-SEGMENT'!$IU$14</f>
        <v>0.39400000000000002</v>
      </c>
      <c r="P82" s="787">
        <f>'ANALYSE - ERP =&gt; SOUS-SEGMENT'!$IV$14</f>
        <v>0.49680000000000002</v>
      </c>
      <c r="Q82" s="787">
        <f>'ANALYSE - ERP =&gt; SOUS-SEGMENT'!$IW$14</f>
        <v>7.2099999999999997E-2</v>
      </c>
      <c r="R82" s="787">
        <f>'ANALYSE - ERP =&gt; SOUS-SEGMENT'!$IX$14</f>
        <v>1.1999999999999999E-3</v>
      </c>
      <c r="T82" s="430">
        <f>'ANALYSE - ERP =&gt; SOUS-SEGMENT'!$Q$14</f>
        <v>1</v>
      </c>
    </row>
    <row r="83" spans="1:20" ht="15" customHeight="1">
      <c r="A83" s="26">
        <v>80</v>
      </c>
      <c r="B83" s="26">
        <v>72</v>
      </c>
      <c r="C83" s="422">
        <f>'ANALYSE - ERP =&gt; SOUS-SEGMENT'!$A$118</f>
        <v>111</v>
      </c>
      <c r="D83" s="415" t="str">
        <f>'ANALYSE - ERP =&gt; SOUS-SEGMENT'!$B$118</f>
        <v>Culte, Vie civique &amp; Services publics</v>
      </c>
      <c r="E83" s="415" t="str">
        <f>'ANALYSE - ERP =&gt; SOUS-SEGMENT'!$C$118</f>
        <v>Culte</v>
      </c>
      <c r="F83" s="415" t="str">
        <f>'ANALYSE - ERP =&gt; SOUS-SEGMENT'!$D$118</f>
        <v>Temples bouddhistes, hindous et autres lieux de culte non abrahamiques ouverts au public</v>
      </c>
      <c r="H83" s="787">
        <f>'ANALYSE - ERP =&gt; SOUS-SEGMENT'!$IO$118</f>
        <v>0.1</v>
      </c>
      <c r="I83" s="787">
        <f>'ANALYSE - ERP =&gt; SOUS-SEGMENT'!$IP$118</f>
        <v>0.53</v>
      </c>
      <c r="J83" s="787">
        <f>'ANALYSE - ERP =&gt; SOUS-SEGMENT'!$IQ$118</f>
        <v>0.34</v>
      </c>
      <c r="K83" s="787">
        <f>'ANALYSE - ERP =&gt; SOUS-SEGMENT'!$IR$118</f>
        <v>0.03</v>
      </c>
      <c r="L83" s="787">
        <f>'ANALYSE - ERP =&gt; SOUS-SEGMENT'!$IS$118</f>
        <v>0</v>
      </c>
      <c r="N83" s="787">
        <f>'ANALYSE - ERP =&gt; SOUS-SEGMENT'!$IT$118</f>
        <v>8.5900000000000004E-2</v>
      </c>
      <c r="O83" s="787">
        <f>'ANALYSE - ERP =&gt; SOUS-SEGMENT'!$IU$118</f>
        <v>0.51270000000000004</v>
      </c>
      <c r="P83" s="787">
        <f>'ANALYSE - ERP =&gt; SOUS-SEGMENT'!$IV$118</f>
        <v>0.35410000000000003</v>
      </c>
      <c r="Q83" s="787">
        <f>'ANALYSE - ERP =&gt; SOUS-SEGMENT'!$IW$118</f>
        <v>4.41E-2</v>
      </c>
      <c r="R83" s="787">
        <f>'ANALYSE - ERP =&gt; SOUS-SEGMENT'!$IX$118</f>
        <v>3.2000000000000002E-3</v>
      </c>
      <c r="T83" s="430">
        <f>'ANALYSE - ERP =&gt; SOUS-SEGMENT'!$Q$118</f>
        <v>1</v>
      </c>
    </row>
    <row r="84" spans="1:20" ht="15" customHeight="1">
      <c r="A84" s="26">
        <v>81</v>
      </c>
      <c r="B84" s="26">
        <v>84</v>
      </c>
      <c r="C84" s="422">
        <f>'ANALYSE - ERP =&gt; SOUS-SEGMENT'!$A$134</f>
        <v>127</v>
      </c>
      <c r="D84" s="417" t="str">
        <f>'ANALYSE - ERP =&gt; SOUS-SEGMENT'!$B$134</f>
        <v>Sécurité &amp; Justice</v>
      </c>
      <c r="E84" s="417" t="str">
        <f>'ANALYSE - ERP =&gt; SOUS-SEGMENT'!$C$134</f>
        <v xml:space="preserve">Commissariats / postes de police </v>
      </c>
      <c r="F84" s="417" t="str">
        <f>'ANALYSE - ERP =&gt; SOUS-SEGMENT'!$D$134</f>
        <v>Salles de réunion, de prévention ou de conférence ouvertes au public</v>
      </c>
      <c r="H84" s="787">
        <f>'ANALYSE - ERP =&gt; SOUS-SEGMENT'!$IO$134</f>
        <v>6.3799999999999996E-2</v>
      </c>
      <c r="I84" s="787">
        <f>'ANALYSE - ERP =&gt; SOUS-SEGMENT'!$IP$134</f>
        <v>0.56389999999999996</v>
      </c>
      <c r="J84" s="787">
        <f>'ANALYSE - ERP =&gt; SOUS-SEGMENT'!$IQ$134</f>
        <v>0.37230000000000002</v>
      </c>
      <c r="K84" s="787">
        <f>'ANALYSE - ERP =&gt; SOUS-SEGMENT'!$IR$134</f>
        <v>0</v>
      </c>
      <c r="L84" s="787">
        <f>'ANALYSE - ERP =&gt; SOUS-SEGMENT'!$IS$134</f>
        <v>0</v>
      </c>
      <c r="N84" s="787">
        <f>'ANALYSE - ERP =&gt; SOUS-SEGMENT'!$IT$134</f>
        <v>4.6199999999999998E-2</v>
      </c>
      <c r="O84" s="787">
        <f>'ANALYSE - ERP =&gt; SOUS-SEGMENT'!$IU$134</f>
        <v>0.45550000000000002</v>
      </c>
      <c r="P84" s="787">
        <f>'ANALYSE - ERP =&gt; SOUS-SEGMENT'!$IV$134</f>
        <v>0.49830000000000002</v>
      </c>
      <c r="Q84" s="787">
        <f>'ANALYSE - ERP =&gt; SOUS-SEGMENT'!$IW$134</f>
        <v>0</v>
      </c>
      <c r="R84" s="787">
        <f>'ANALYSE - ERP =&gt; SOUS-SEGMENT'!$IX$134</f>
        <v>0</v>
      </c>
      <c r="T84" s="430">
        <f>'ANALYSE - ERP =&gt; SOUS-SEGMENT'!$Q$134</f>
        <v>0</v>
      </c>
    </row>
    <row r="85" spans="1:20" ht="15" customHeight="1">
      <c r="A85" s="26">
        <v>82</v>
      </c>
      <c r="B85" s="26">
        <v>71</v>
      </c>
      <c r="C85" s="422">
        <f>'ANALYSE - ERP =&gt; SOUS-SEGMENT'!$A$115</f>
        <v>108</v>
      </c>
      <c r="D85" s="415" t="str">
        <f>'ANALYSE - ERP =&gt; SOUS-SEGMENT'!$B$115</f>
        <v>Culte, Vie civique &amp; Services publics</v>
      </c>
      <c r="E85" s="415" t="str">
        <f>'ANALYSE - ERP =&gt; SOUS-SEGMENT'!$C$115</f>
        <v>Culte</v>
      </c>
      <c r="F85" s="415" t="str">
        <f>'ANALYSE - ERP =&gt; SOUS-SEGMENT'!$D$115</f>
        <v>Temples protestants, évangéliques et salles de culte assimilées</v>
      </c>
      <c r="H85" s="787">
        <f>'ANALYSE - ERP =&gt; SOUS-SEGMENT'!$IO$115</f>
        <v>0.1</v>
      </c>
      <c r="I85" s="787">
        <f>'ANALYSE - ERP =&gt; SOUS-SEGMENT'!$IP$115</f>
        <v>0.53</v>
      </c>
      <c r="J85" s="787">
        <f>'ANALYSE - ERP =&gt; SOUS-SEGMENT'!$IQ$115</f>
        <v>0.34</v>
      </c>
      <c r="K85" s="787">
        <f>'ANALYSE - ERP =&gt; SOUS-SEGMENT'!$IR$115</f>
        <v>0.03</v>
      </c>
      <c r="L85" s="787">
        <f>'ANALYSE - ERP =&gt; SOUS-SEGMENT'!$IS$115</f>
        <v>0</v>
      </c>
      <c r="N85" s="787">
        <f>'ANALYSE - ERP =&gt; SOUS-SEGMENT'!$IT$115</f>
        <v>8.5900000000000004E-2</v>
      </c>
      <c r="O85" s="787">
        <f>'ANALYSE - ERP =&gt; SOUS-SEGMENT'!$IU$115</f>
        <v>0.51270000000000004</v>
      </c>
      <c r="P85" s="787">
        <f>'ANALYSE - ERP =&gt; SOUS-SEGMENT'!$IV$115</f>
        <v>0.35410000000000003</v>
      </c>
      <c r="Q85" s="787">
        <f>'ANALYSE - ERP =&gt; SOUS-SEGMENT'!$IW$115</f>
        <v>4.41E-2</v>
      </c>
      <c r="R85" s="787">
        <f>'ANALYSE - ERP =&gt; SOUS-SEGMENT'!$IX$115</f>
        <v>3.2000000000000002E-3</v>
      </c>
      <c r="T85" s="430">
        <f>'ANALYSE - ERP =&gt; SOUS-SEGMENT'!$Q$115</f>
        <v>1</v>
      </c>
    </row>
    <row r="86" spans="1:20" ht="15" customHeight="1">
      <c r="A86" s="26">
        <v>83</v>
      </c>
      <c r="B86" s="26">
        <v>83</v>
      </c>
      <c r="C86" s="422">
        <f>'ANALYSE - ERP =&gt; SOUS-SEGMENT'!$A$35</f>
        <v>28</v>
      </c>
      <c r="D86" s="411" t="str">
        <f>'ANALYSE - ERP =&gt; SOUS-SEGMENT'!$B$35</f>
        <v>Sports &amp; Loisirs</v>
      </c>
      <c r="E86" s="411" t="str">
        <f>'ANALYSE - ERP =&gt; SOUS-SEGMENT'!$C$35</f>
        <v>Loisirs de plein air</v>
      </c>
      <c r="F86" s="411" t="str">
        <f>'ANALYSE - ERP =&gt; SOUS-SEGMENT'!$D$35</f>
        <v>Centres de loisirs sans hébergement</v>
      </c>
      <c r="H86" s="787">
        <f>'ANALYSE - ERP =&gt; SOUS-SEGMENT'!$IO$35</f>
        <v>0.18679999999999999</v>
      </c>
      <c r="I86" s="787">
        <f>'ANALYSE - ERP =&gt; SOUS-SEGMENT'!$IP$35</f>
        <v>0.58220000000000005</v>
      </c>
      <c r="J86" s="787">
        <f>'ANALYSE - ERP =&gt; SOUS-SEGMENT'!$IQ$35</f>
        <v>0.23089999999999999</v>
      </c>
      <c r="K86" s="787">
        <f>'ANALYSE - ERP =&gt; SOUS-SEGMENT'!$IR$35</f>
        <v>0</v>
      </c>
      <c r="L86" s="787">
        <f>'ANALYSE - ERP =&gt; SOUS-SEGMENT'!$IS$35</f>
        <v>1E-4</v>
      </c>
      <c r="N86" s="787">
        <f>'ANALYSE - ERP =&gt; SOUS-SEGMENT'!$IT$35</f>
        <v>9.5799999999999996E-2</v>
      </c>
      <c r="O86" s="787">
        <f>'ANALYSE - ERP =&gt; SOUS-SEGMENT'!$IU$35</f>
        <v>0.51229999999999998</v>
      </c>
      <c r="P86" s="787">
        <f>'ANALYSE - ERP =&gt; SOUS-SEGMENT'!$IV$35</f>
        <v>0.3785</v>
      </c>
      <c r="Q86" s="787">
        <f>'ANALYSE - ERP =&gt; SOUS-SEGMENT'!$IW$35</f>
        <v>1.2800000000000001E-2</v>
      </c>
      <c r="R86" s="787">
        <f>'ANALYSE - ERP =&gt; SOUS-SEGMENT'!$IX$35</f>
        <v>5.9999999999999995E-4</v>
      </c>
      <c r="T86" s="430">
        <f>'ANALYSE - ERP =&gt; SOUS-SEGMENT'!$Q$35</f>
        <v>1</v>
      </c>
    </row>
    <row r="87" spans="1:20" ht="15" customHeight="1">
      <c r="A87" s="26">
        <v>84</v>
      </c>
      <c r="B87" s="26">
        <v>73</v>
      </c>
      <c r="C87" s="422">
        <f>'ANALYSE - ERP =&gt; SOUS-SEGMENT'!$A$119</f>
        <v>112</v>
      </c>
      <c r="D87" s="415" t="str">
        <f>'ANALYSE - ERP =&gt; SOUS-SEGMENT'!$B$119</f>
        <v>Culte, Vie civique &amp; Services publics</v>
      </c>
      <c r="E87" s="415" t="str">
        <f>'ANALYSE - ERP =&gt; SOUS-SEGMENT'!$C$119</f>
        <v>Culte</v>
      </c>
      <c r="F87" s="415" t="str">
        <f>'ANALYSE - ERP =&gt; SOUS-SEGMENT'!$D$119</f>
        <v>Salles du Royaume, centres cultuels pluriconfessionnels et lieux de culte polyvalents</v>
      </c>
      <c r="H87" s="787">
        <f>'ANALYSE - ERP =&gt; SOUS-SEGMENT'!$IO$119</f>
        <v>0.1</v>
      </c>
      <c r="I87" s="787">
        <f>'ANALYSE - ERP =&gt; SOUS-SEGMENT'!$IP$119</f>
        <v>0.53</v>
      </c>
      <c r="J87" s="787">
        <f>'ANALYSE - ERP =&gt; SOUS-SEGMENT'!$IQ$119</f>
        <v>0.34</v>
      </c>
      <c r="K87" s="787">
        <f>'ANALYSE - ERP =&gt; SOUS-SEGMENT'!$IR$119</f>
        <v>0.03</v>
      </c>
      <c r="L87" s="787">
        <f>'ANALYSE - ERP =&gt; SOUS-SEGMENT'!$IS$119</f>
        <v>0</v>
      </c>
      <c r="N87" s="787">
        <f>'ANALYSE - ERP =&gt; SOUS-SEGMENT'!$IT$119</f>
        <v>8.5900000000000004E-2</v>
      </c>
      <c r="O87" s="787">
        <f>'ANALYSE - ERP =&gt; SOUS-SEGMENT'!$IU$119</f>
        <v>0.51270000000000004</v>
      </c>
      <c r="P87" s="787">
        <f>'ANALYSE - ERP =&gt; SOUS-SEGMENT'!$IV$119</f>
        <v>0.35410000000000003</v>
      </c>
      <c r="Q87" s="787">
        <f>'ANALYSE - ERP =&gt; SOUS-SEGMENT'!$IW$119</f>
        <v>4.41E-2</v>
      </c>
      <c r="R87" s="787">
        <f>'ANALYSE - ERP =&gt; SOUS-SEGMENT'!$IX$119</f>
        <v>3.2000000000000002E-3</v>
      </c>
      <c r="T87" s="430">
        <f>'ANALYSE - ERP =&gt; SOUS-SEGMENT'!$Q$119</f>
        <v>1</v>
      </c>
    </row>
    <row r="88" spans="1:20" ht="15" customHeight="1">
      <c r="A88" s="26">
        <v>85</v>
      </c>
      <c r="B88" s="26">
        <v>85</v>
      </c>
      <c r="C88" s="422">
        <f>'ANALYSE - ERP =&gt; SOUS-SEGMENT'!$A$133</f>
        <v>126</v>
      </c>
      <c r="D88" s="417" t="str">
        <f>'ANALYSE - ERP =&gt; SOUS-SEGMENT'!$B$133</f>
        <v>Sécurité &amp; Justice</v>
      </c>
      <c r="E88" s="417" t="str">
        <f>'ANALYSE - ERP =&gt; SOUS-SEGMENT'!$C$133</f>
        <v xml:space="preserve">Commissariats / postes de police </v>
      </c>
      <c r="F88" s="417" t="str">
        <f>'ANALYSE - ERP =&gt; SOUS-SEGMENT'!$D$133</f>
        <v>Postes de proximité et antennes avec accueil public</v>
      </c>
      <c r="H88" s="787">
        <f>'ANALYSE - ERP =&gt; SOUS-SEGMENT'!$IO$133</f>
        <v>6.83E-2</v>
      </c>
      <c r="I88" s="787">
        <f>'ANALYSE - ERP =&gt; SOUS-SEGMENT'!$IP$133</f>
        <v>0.5716</v>
      </c>
      <c r="J88" s="787">
        <f>'ANALYSE - ERP =&gt; SOUS-SEGMENT'!$IQ$133</f>
        <v>0.36009999999999998</v>
      </c>
      <c r="K88" s="787">
        <f>'ANALYSE - ERP =&gt; SOUS-SEGMENT'!$IR$133</f>
        <v>0</v>
      </c>
      <c r="L88" s="787">
        <f>'ANALYSE - ERP =&gt; SOUS-SEGMENT'!$IS$133</f>
        <v>0</v>
      </c>
      <c r="N88" s="787">
        <f>'ANALYSE - ERP =&gt; SOUS-SEGMENT'!$IT$133</f>
        <v>6.6699999999999995E-2</v>
      </c>
      <c r="O88" s="787">
        <f>'ANALYSE - ERP =&gt; SOUS-SEGMENT'!$IU$133</f>
        <v>0.46410000000000001</v>
      </c>
      <c r="P88" s="787">
        <f>'ANALYSE - ERP =&gt; SOUS-SEGMENT'!$IV$133</f>
        <v>0.46239999999999998</v>
      </c>
      <c r="Q88" s="787">
        <f>'ANALYSE - ERP =&gt; SOUS-SEGMENT'!$IW$133</f>
        <v>6.7999999999999996E-3</v>
      </c>
      <c r="R88" s="787">
        <f>'ANALYSE - ERP =&gt; SOUS-SEGMENT'!$IX$133</f>
        <v>0</v>
      </c>
      <c r="T88" s="430">
        <f>'ANALYSE - ERP =&gt; SOUS-SEGMENT'!$Q$133</f>
        <v>1</v>
      </c>
    </row>
    <row r="89" spans="1:20" ht="15" customHeight="1">
      <c r="A89" s="26">
        <v>86</v>
      </c>
      <c r="B89" s="26">
        <v>86</v>
      </c>
      <c r="C89" s="422" t="e">
        <f>'ANALYSE - ERP =&gt; SOUS-SEGMENT'!#REF!</f>
        <v>#REF!</v>
      </c>
      <c r="D89" s="411" t="e">
        <f>'ANALYSE - ERP =&gt; SOUS-SEGMENT'!#REF!</f>
        <v>#REF!</v>
      </c>
      <c r="E89" s="411" t="e">
        <f>'ANALYSE - ERP =&gt; SOUS-SEGMENT'!#REF!</f>
        <v>#REF!</v>
      </c>
      <c r="F89" s="411" t="e">
        <f>'ANALYSE - ERP =&gt; SOUS-SEGMENT'!#REF!</f>
        <v>#REF!</v>
      </c>
      <c r="H89" s="787" t="e">
        <f>'ANALYSE - ERP =&gt; SOUS-SEGMENT'!#REF!</f>
        <v>#REF!</v>
      </c>
      <c r="I89" s="787" t="e">
        <f>'ANALYSE - ERP =&gt; SOUS-SEGMENT'!#REF!</f>
        <v>#REF!</v>
      </c>
      <c r="J89" s="787" t="e">
        <f>'ANALYSE - ERP =&gt; SOUS-SEGMENT'!#REF!</f>
        <v>#REF!</v>
      </c>
      <c r="K89" s="787" t="e">
        <f>'ANALYSE - ERP =&gt; SOUS-SEGMENT'!#REF!</f>
        <v>#REF!</v>
      </c>
      <c r="L89" s="787" t="e">
        <f>'ANALYSE - ERP =&gt; SOUS-SEGMENT'!#REF!</f>
        <v>#REF!</v>
      </c>
      <c r="N89" s="787" t="e">
        <f>'ANALYSE - ERP =&gt; SOUS-SEGMENT'!#REF!</f>
        <v>#REF!</v>
      </c>
      <c r="O89" s="787" t="e">
        <f>'ANALYSE - ERP =&gt; SOUS-SEGMENT'!#REF!</f>
        <v>#REF!</v>
      </c>
      <c r="P89" s="787" t="e">
        <f>'ANALYSE - ERP =&gt; SOUS-SEGMENT'!#REF!</f>
        <v>#REF!</v>
      </c>
      <c r="Q89" s="787" t="e">
        <f>'ANALYSE - ERP =&gt; SOUS-SEGMENT'!#REF!</f>
        <v>#REF!</v>
      </c>
      <c r="R89" s="787" t="e">
        <f>'ANALYSE - ERP =&gt; SOUS-SEGMENT'!#REF!</f>
        <v>#REF!</v>
      </c>
      <c r="T89" s="430" t="e">
        <f>'ANALYSE - ERP =&gt; SOUS-SEGMENT'!#REF!</f>
        <v>#REF!</v>
      </c>
    </row>
    <row r="90" spans="1:20" ht="15" customHeight="1">
      <c r="A90" s="26">
        <v>87</v>
      </c>
      <c r="B90" s="26">
        <v>87</v>
      </c>
      <c r="C90" s="422">
        <f>'ANALYSE - ERP =&gt; SOUS-SEGMENT'!$A$113</f>
        <v>106</v>
      </c>
      <c r="D90" s="415" t="str">
        <f>'ANALYSE - ERP =&gt; SOUS-SEGMENT'!$B$113</f>
        <v>Culte, Vie civique &amp; Services publics</v>
      </c>
      <c r="E90" s="415" t="str">
        <f>'ANALYSE - ERP =&gt; SOUS-SEGMENT'!$C$113</f>
        <v>Culte</v>
      </c>
      <c r="F90" s="415" t="str">
        <f>'ANALYSE - ERP =&gt; SOUS-SEGMENT'!$D$113</f>
        <v>Églises, cathédrales, basiliques et chapelles ouvertes au public</v>
      </c>
      <c r="H90" s="787">
        <f>'ANALYSE - ERP =&gt; SOUS-SEGMENT'!$IO$113</f>
        <v>0.1</v>
      </c>
      <c r="I90" s="787">
        <f>'ANALYSE - ERP =&gt; SOUS-SEGMENT'!$IP$113</f>
        <v>0.53</v>
      </c>
      <c r="J90" s="787">
        <f>'ANALYSE - ERP =&gt; SOUS-SEGMENT'!$IQ$113</f>
        <v>0.34</v>
      </c>
      <c r="K90" s="787">
        <f>'ANALYSE - ERP =&gt; SOUS-SEGMENT'!$IR$113</f>
        <v>0.03</v>
      </c>
      <c r="L90" s="787">
        <f>'ANALYSE - ERP =&gt; SOUS-SEGMENT'!$IS$113</f>
        <v>0</v>
      </c>
      <c r="N90" s="787">
        <f>'ANALYSE - ERP =&gt; SOUS-SEGMENT'!$IT$113</f>
        <v>8.5900000000000004E-2</v>
      </c>
      <c r="O90" s="787">
        <f>'ANALYSE - ERP =&gt; SOUS-SEGMENT'!$IU$113</f>
        <v>0.51270000000000004</v>
      </c>
      <c r="P90" s="787">
        <f>'ANALYSE - ERP =&gt; SOUS-SEGMENT'!$IV$113</f>
        <v>0.35410000000000003</v>
      </c>
      <c r="Q90" s="787">
        <f>'ANALYSE - ERP =&gt; SOUS-SEGMENT'!$IW$113</f>
        <v>4.41E-2</v>
      </c>
      <c r="R90" s="787">
        <f>'ANALYSE - ERP =&gt; SOUS-SEGMENT'!$IX$113</f>
        <v>3.2000000000000002E-3</v>
      </c>
      <c r="T90" s="430">
        <f>'ANALYSE - ERP =&gt; SOUS-SEGMENT'!$Q$113</f>
        <v>1</v>
      </c>
    </row>
    <row r="91" spans="1:20" ht="15" customHeight="1">
      <c r="A91" s="26">
        <v>88</v>
      </c>
      <c r="B91" s="26">
        <v>88</v>
      </c>
      <c r="C91" s="422">
        <f>'ANALYSE - ERP =&gt; SOUS-SEGMENT'!$A$114</f>
        <v>107</v>
      </c>
      <c r="D91" s="415" t="str">
        <f>'ANALYSE - ERP =&gt; SOUS-SEGMENT'!$B$114</f>
        <v>Culte, Vie civique &amp; Services publics</v>
      </c>
      <c r="E91" s="415" t="str">
        <f>'ANALYSE - ERP =&gt; SOUS-SEGMENT'!$C$114</f>
        <v>Culte</v>
      </c>
      <c r="F91" s="415" t="str">
        <f>'ANALYSE - ERP =&gt; SOUS-SEGMENT'!$D$114</f>
        <v>Monastères, abbayes et couvents ouverts au public</v>
      </c>
      <c r="H91" s="787">
        <f>'ANALYSE - ERP =&gt; SOUS-SEGMENT'!$IO$114</f>
        <v>0.1</v>
      </c>
      <c r="I91" s="787">
        <f>'ANALYSE - ERP =&gt; SOUS-SEGMENT'!$IP$114</f>
        <v>0.53</v>
      </c>
      <c r="J91" s="787">
        <f>'ANALYSE - ERP =&gt; SOUS-SEGMENT'!$IQ$114</f>
        <v>0.34</v>
      </c>
      <c r="K91" s="787">
        <f>'ANALYSE - ERP =&gt; SOUS-SEGMENT'!$IR$114</f>
        <v>0.03</v>
      </c>
      <c r="L91" s="787">
        <f>'ANALYSE - ERP =&gt; SOUS-SEGMENT'!$IS$114</f>
        <v>0</v>
      </c>
      <c r="N91" s="787">
        <f>'ANALYSE - ERP =&gt; SOUS-SEGMENT'!$IT$114</f>
        <v>8.5900000000000004E-2</v>
      </c>
      <c r="O91" s="787">
        <f>'ANALYSE - ERP =&gt; SOUS-SEGMENT'!$IU$114</f>
        <v>0.51270000000000004</v>
      </c>
      <c r="P91" s="787">
        <f>'ANALYSE - ERP =&gt; SOUS-SEGMENT'!$IV$114</f>
        <v>0.35410000000000003</v>
      </c>
      <c r="Q91" s="787">
        <f>'ANALYSE - ERP =&gt; SOUS-SEGMENT'!$IW$114</f>
        <v>4.41E-2</v>
      </c>
      <c r="R91" s="787">
        <f>'ANALYSE - ERP =&gt; SOUS-SEGMENT'!$IX$114</f>
        <v>3.2000000000000002E-3</v>
      </c>
      <c r="T91" s="430">
        <f>'ANALYSE - ERP =&gt; SOUS-SEGMENT'!$Q$114</f>
        <v>1</v>
      </c>
    </row>
    <row r="92" spans="1:20" ht="15" customHeight="1">
      <c r="A92" s="26">
        <v>89</v>
      </c>
      <c r="B92" s="26">
        <v>89</v>
      </c>
      <c r="C92" s="422">
        <f>'ANALYSE - ERP =&gt; SOUS-SEGMENT'!$A$117</f>
        <v>110</v>
      </c>
      <c r="D92" s="415" t="str">
        <f>'ANALYSE - ERP =&gt; SOUS-SEGMENT'!$B$117</f>
        <v>Culte, Vie civique &amp; Services publics</v>
      </c>
      <c r="E92" s="415" t="str">
        <f>'ANALYSE - ERP =&gt; SOUS-SEGMENT'!$C$117</f>
        <v>Culte</v>
      </c>
      <c r="F92" s="415" t="str">
        <f>'ANALYSE - ERP =&gt; SOUS-SEGMENT'!$D$117</f>
        <v>Synagogues et oratoires juifs ouverts au public</v>
      </c>
      <c r="H92" s="787">
        <f>'ANALYSE - ERP =&gt; SOUS-SEGMENT'!$IO$117</f>
        <v>0.1</v>
      </c>
      <c r="I92" s="787">
        <f>'ANALYSE - ERP =&gt; SOUS-SEGMENT'!$IP$117</f>
        <v>0.53</v>
      </c>
      <c r="J92" s="787">
        <f>'ANALYSE - ERP =&gt; SOUS-SEGMENT'!$IQ$117</f>
        <v>0.34</v>
      </c>
      <c r="K92" s="787">
        <f>'ANALYSE - ERP =&gt; SOUS-SEGMENT'!$IR$117</f>
        <v>0.03</v>
      </c>
      <c r="L92" s="787">
        <f>'ANALYSE - ERP =&gt; SOUS-SEGMENT'!$IS$117</f>
        <v>0</v>
      </c>
      <c r="N92" s="787">
        <f>'ANALYSE - ERP =&gt; SOUS-SEGMENT'!$IT$117</f>
        <v>8.5900000000000004E-2</v>
      </c>
      <c r="O92" s="787">
        <f>'ANALYSE - ERP =&gt; SOUS-SEGMENT'!$IU$117</f>
        <v>0.51270000000000004</v>
      </c>
      <c r="P92" s="787">
        <f>'ANALYSE - ERP =&gt; SOUS-SEGMENT'!$IV$117</f>
        <v>0.35410000000000003</v>
      </c>
      <c r="Q92" s="787">
        <f>'ANALYSE - ERP =&gt; SOUS-SEGMENT'!$IW$117</f>
        <v>4.41E-2</v>
      </c>
      <c r="R92" s="787">
        <f>'ANALYSE - ERP =&gt; SOUS-SEGMENT'!$IX$117</f>
        <v>3.2000000000000002E-3</v>
      </c>
      <c r="T92" s="430">
        <f>'ANALYSE - ERP =&gt; SOUS-SEGMENT'!$Q$117</f>
        <v>1</v>
      </c>
    </row>
    <row r="93" spans="1:20" ht="15" customHeight="1">
      <c r="A93" s="26">
        <v>90</v>
      </c>
      <c r="B93" s="26">
        <v>92</v>
      </c>
      <c r="C93" s="422">
        <f>'ANALYSE - ERP =&gt; SOUS-SEGMENT'!$A$84</f>
        <v>77</v>
      </c>
      <c r="D93" s="416" t="str">
        <f>'ANALYSE - ERP =&gt; SOUS-SEGMENT'!$B$84</f>
        <v>Tertiaire &amp; Industriel</v>
      </c>
      <c r="E93" s="416" t="str">
        <f>'ANALYSE - ERP =&gt; SOUS-SEGMENT'!$C$84</f>
        <v>Usines &amp; Ateliers</v>
      </c>
      <c r="F93" s="416" t="str">
        <f>'ANALYSE - ERP =&gt; SOUS-SEGMENT'!$D$84</f>
        <v>Usines 
(&gt;50 salariés)
(Hors Ateliers industriels)</v>
      </c>
      <c r="H93" s="787">
        <f>'ANALYSE - ERP =&gt; SOUS-SEGMENT'!$IO$84</f>
        <v>0.03</v>
      </c>
      <c r="I93" s="787">
        <f>'ANALYSE - ERP =&gt; SOUS-SEGMENT'!$IP$84</f>
        <v>0.4</v>
      </c>
      <c r="J93" s="787">
        <f>'ANALYSE - ERP =&gt; SOUS-SEGMENT'!$IQ$84</f>
        <v>0.5</v>
      </c>
      <c r="K93" s="787">
        <f>'ANALYSE - ERP =&gt; SOUS-SEGMENT'!$IR$84</f>
        <v>7.0000000000000007E-2</v>
      </c>
      <c r="L93" s="787">
        <f>'ANALYSE - ERP =&gt; SOUS-SEGMENT'!$IS$84</f>
        <v>0</v>
      </c>
      <c r="N93" s="787">
        <f>'ANALYSE - ERP =&gt; SOUS-SEGMENT'!$IT$84</f>
        <v>7.7999999999999996E-3</v>
      </c>
      <c r="O93" s="787">
        <f>'ANALYSE - ERP =&gt; SOUS-SEGMENT'!$IU$84</f>
        <v>0.37280000000000002</v>
      </c>
      <c r="P93" s="787">
        <f>'ANALYSE - ERP =&gt; SOUS-SEGMENT'!$IV$84</f>
        <v>0.5222</v>
      </c>
      <c r="Q93" s="787">
        <f>'ANALYSE - ERP =&gt; SOUS-SEGMENT'!$IW$84</f>
        <v>9.2200000000000004E-2</v>
      </c>
      <c r="R93" s="787">
        <f>'ANALYSE - ERP =&gt; SOUS-SEGMENT'!$IX$84</f>
        <v>5.0000000000000001E-3</v>
      </c>
      <c r="T93" s="430">
        <f>'ANALYSE - ERP =&gt; SOUS-SEGMENT'!$Q$84</f>
        <v>1</v>
      </c>
    </row>
    <row r="94" spans="1:20" ht="15" customHeight="1">
      <c r="A94" s="26">
        <v>91</v>
      </c>
      <c r="B94" s="26">
        <v>90</v>
      </c>
      <c r="C94" s="422">
        <f>'ANALYSE - ERP =&gt; SOUS-SEGMENT'!$A$93</f>
        <v>86</v>
      </c>
      <c r="D94" s="412" t="str">
        <f>'ANALYSE - ERP =&gt; SOUS-SEGMENT'!$B$93</f>
        <v>Hébergement Touristique</v>
      </c>
      <c r="E94" s="412" t="str">
        <f>'ANALYSE - ERP =&gt; SOUS-SEGMENT'!$C$93</f>
        <v>Hébergement Montagne</v>
      </c>
      <c r="F94" s="412" t="str">
        <f>'ANALYSE - ERP =&gt; SOUS-SEGMENT'!$D$93</f>
        <v>Refuges de montagne</v>
      </c>
      <c r="H94" s="787">
        <f>'ANALYSE - ERP =&gt; SOUS-SEGMENT'!$IO$93</f>
        <v>0.18659999999999999</v>
      </c>
      <c r="I94" s="787">
        <f>'ANALYSE - ERP =&gt; SOUS-SEGMENT'!$IP$93</f>
        <v>0.64849999999999997</v>
      </c>
      <c r="J94" s="787">
        <f>'ANALYSE - ERP =&gt; SOUS-SEGMENT'!$IQ$93</f>
        <v>0.16489999999999999</v>
      </c>
      <c r="K94" s="787">
        <f>'ANALYSE - ERP =&gt; SOUS-SEGMENT'!$IR$93</f>
        <v>0</v>
      </c>
      <c r="L94" s="787">
        <f>'ANALYSE - ERP =&gt; SOUS-SEGMENT'!$IS$93</f>
        <v>0</v>
      </c>
      <c r="N94" s="787">
        <f>'ANALYSE - ERP =&gt; SOUS-SEGMENT'!$IT$93</f>
        <v>0.1129</v>
      </c>
      <c r="O94" s="787">
        <f>'ANALYSE - ERP =&gt; SOUS-SEGMENT'!$IU$93</f>
        <v>0.61519999999999997</v>
      </c>
      <c r="P94" s="787">
        <f>'ANALYSE - ERP =&gt; SOUS-SEGMENT'!$IV$93</f>
        <v>0.27189999999999998</v>
      </c>
      <c r="Q94" s="787">
        <f>'ANALYSE - ERP =&gt; SOUS-SEGMENT'!$IW$93</f>
        <v>0</v>
      </c>
      <c r="R94" s="787">
        <f>'ANALYSE - ERP =&gt; SOUS-SEGMENT'!$IX$93</f>
        <v>0</v>
      </c>
      <c r="T94" s="430">
        <f>'ANALYSE - ERP =&gt; SOUS-SEGMENT'!$Q$93</f>
        <v>1</v>
      </c>
    </row>
    <row r="95" spans="1:20" ht="15" customHeight="1">
      <c r="A95" s="26">
        <v>92</v>
      </c>
      <c r="B95" s="26">
        <v>91</v>
      </c>
      <c r="C95" s="422">
        <f>'ANALYSE - ERP =&gt; SOUS-SEGMENT'!$A$132</f>
        <v>125</v>
      </c>
      <c r="D95" s="417" t="str">
        <f>'ANALYSE - ERP =&gt; SOUS-SEGMENT'!$B$132</f>
        <v>Sécurité &amp; Justice</v>
      </c>
      <c r="E95" s="417" t="str">
        <f>'ANALYSE - ERP =&gt; SOUS-SEGMENT'!$C$132</f>
        <v xml:space="preserve">Commissariats / postes de police </v>
      </c>
      <c r="F95" s="417" t="str">
        <f>'ANALYSE - ERP =&gt; SOUS-SEGMENT'!$D$132</f>
        <v>Locaux de sûreté, garde à vue et zones opérationnelles</v>
      </c>
      <c r="H95" s="787">
        <f>'ANALYSE - ERP =&gt; SOUS-SEGMENT'!$IO$132</f>
        <v>7.5399999999999995E-2</v>
      </c>
      <c r="I95" s="787">
        <f>'ANALYSE - ERP =&gt; SOUS-SEGMENT'!$IP$132</f>
        <v>0.5827</v>
      </c>
      <c r="J95" s="787">
        <f>'ANALYSE - ERP =&gt; SOUS-SEGMENT'!$IQ$132</f>
        <v>0.34189999999999998</v>
      </c>
      <c r="K95" s="787">
        <f>'ANALYSE - ERP =&gt; SOUS-SEGMENT'!$IR$132</f>
        <v>0</v>
      </c>
      <c r="L95" s="787">
        <f>'ANALYSE - ERP =&gt; SOUS-SEGMENT'!$IS$132</f>
        <v>0</v>
      </c>
      <c r="N95" s="787">
        <f>'ANALYSE - ERP =&gt; SOUS-SEGMENT'!$IT$132</f>
        <v>4.4499999999999998E-2</v>
      </c>
      <c r="O95" s="787">
        <f>'ANALYSE - ERP =&gt; SOUS-SEGMENT'!$IU$132</f>
        <v>0.4929</v>
      </c>
      <c r="P95" s="787">
        <f>'ANALYSE - ERP =&gt; SOUS-SEGMENT'!$IV$132</f>
        <v>0.46260000000000001</v>
      </c>
      <c r="Q95" s="787">
        <f>'ANALYSE - ERP =&gt; SOUS-SEGMENT'!$IW$132</f>
        <v>0</v>
      </c>
      <c r="R95" s="787">
        <f>'ANALYSE - ERP =&gt; SOUS-SEGMENT'!$IX$132</f>
        <v>0</v>
      </c>
      <c r="T95" s="430">
        <f>'ANALYSE - ERP =&gt; SOUS-SEGMENT'!$Q$132</f>
        <v>1</v>
      </c>
    </row>
    <row r="96" spans="1:20" ht="15" customHeight="1">
      <c r="A96" s="26">
        <v>93</v>
      </c>
      <c r="B96" s="26">
        <v>93</v>
      </c>
      <c r="C96" s="422">
        <f>'ANALYSE - ERP =&gt; SOUS-SEGMENT'!$A$123</f>
        <v>116</v>
      </c>
      <c r="D96" s="413" t="str">
        <f>'ANALYSE - ERP =&gt; SOUS-SEGMENT'!$B$123</f>
        <v>Transport, Mobilité &amp; Stationnement</v>
      </c>
      <c r="E96" s="413" t="str">
        <f>'ANALYSE - ERP =&gt; SOUS-SEGMENT'!$C$123</f>
        <v>Transport / Mobilité</v>
      </c>
      <c r="F96" s="413" t="str">
        <f>'ANALYSE - ERP =&gt; SOUS-SEGMENT'!$D$123</f>
        <v>Parcs de stationnement couverts (dotés de sanitaires)</v>
      </c>
      <c r="H96" s="787">
        <f>'ANALYSE - ERP =&gt; SOUS-SEGMENT'!$IO$123</f>
        <v>0.05</v>
      </c>
      <c r="I96" s="787">
        <f>'ANALYSE - ERP =&gt; SOUS-SEGMENT'!$IP$123</f>
        <v>0.47</v>
      </c>
      <c r="J96" s="787">
        <f>'ANALYSE - ERP =&gt; SOUS-SEGMENT'!$IQ$123</f>
        <v>0.41</v>
      </c>
      <c r="K96" s="787">
        <f>'ANALYSE - ERP =&gt; SOUS-SEGMENT'!$IR$123</f>
        <v>0.06</v>
      </c>
      <c r="L96" s="787">
        <f>'ANALYSE - ERP =&gt; SOUS-SEGMENT'!$IS$123</f>
        <v>0.01</v>
      </c>
      <c r="N96" s="787">
        <f>'ANALYSE - ERP =&gt; SOUS-SEGMENT'!$IT$123</f>
        <v>2.9399999999999999E-2</v>
      </c>
      <c r="O96" s="787">
        <f>'ANALYSE - ERP =&gt; SOUS-SEGMENT'!$IU$123</f>
        <v>0.44479999999999997</v>
      </c>
      <c r="P96" s="787">
        <f>'ANALYSE - ERP =&gt; SOUS-SEGMENT'!$IV$123</f>
        <v>0.43059999999999998</v>
      </c>
      <c r="Q96" s="787">
        <f>'ANALYSE - ERP =&gt; SOUS-SEGMENT'!$IW$123</f>
        <v>8.0600000000000005E-2</v>
      </c>
      <c r="R96" s="787">
        <f>'ANALYSE - ERP =&gt; SOUS-SEGMENT'!$IX$123</f>
        <v>1.46E-2</v>
      </c>
      <c r="T96" s="430">
        <f>'ANALYSE - ERP =&gt; SOUS-SEGMENT'!$Q$123</f>
        <v>1</v>
      </c>
    </row>
    <row r="97" spans="1:20" ht="15" customHeight="1">
      <c r="A97" s="26">
        <v>94</v>
      </c>
      <c r="B97" s="26">
        <v>97</v>
      </c>
      <c r="C97" s="422">
        <f>'ANALYSE - ERP =&gt; SOUS-SEGMENT'!$A$144</f>
        <v>137</v>
      </c>
      <c r="D97" s="417" t="str">
        <f>'ANALYSE - ERP =&gt; SOUS-SEGMENT'!$B$144</f>
        <v>Sécurité &amp; Justice</v>
      </c>
      <c r="E97" s="417" t="str">
        <f>'ANALYSE - ERP =&gt; SOUS-SEGMENT'!$C$144</f>
        <v>Univers carcéral</v>
      </c>
      <c r="F97" s="417" t="str">
        <f>'ANALYSE - ERP =&gt; SOUS-SEGMENT'!$D$144</f>
        <v>Centres éducatifs fermés</v>
      </c>
      <c r="H97" s="787">
        <f>'ANALYSE - ERP =&gt; SOUS-SEGMENT'!$IO$144</f>
        <v>5.0299999999999997E-2</v>
      </c>
      <c r="I97" s="787">
        <f>'ANALYSE - ERP =&gt; SOUS-SEGMENT'!$IP$144</f>
        <v>0.5232</v>
      </c>
      <c r="J97" s="787">
        <f>'ANALYSE - ERP =&gt; SOUS-SEGMENT'!$IQ$144</f>
        <v>0.40329999999999999</v>
      </c>
      <c r="K97" s="787">
        <f>'ANALYSE - ERP =&gt; SOUS-SEGMENT'!$IR$144</f>
        <v>2.3099999999999999E-2</v>
      </c>
      <c r="L97" s="787">
        <f>'ANALYSE - ERP =&gt; SOUS-SEGMENT'!$IS$144</f>
        <v>1E-4</v>
      </c>
      <c r="N97" s="787">
        <f>'ANALYSE - ERP =&gt; SOUS-SEGMENT'!$IT$144</f>
        <v>8.6E-3</v>
      </c>
      <c r="O97" s="787">
        <f>'ANALYSE - ERP =&gt; SOUS-SEGMENT'!$IU$144</f>
        <v>0.26679999999999998</v>
      </c>
      <c r="P97" s="787">
        <f>'ANALYSE - ERP =&gt; SOUS-SEGMENT'!$IV$144</f>
        <v>0.61739999999999995</v>
      </c>
      <c r="Q97" s="787">
        <f>'ANALYSE - ERP =&gt; SOUS-SEGMENT'!$IW$144</f>
        <v>0.10589999999999999</v>
      </c>
      <c r="R97" s="787">
        <f>'ANALYSE - ERP =&gt; SOUS-SEGMENT'!$IX$144</f>
        <v>1.2999999999999999E-3</v>
      </c>
      <c r="T97" s="430">
        <f>'ANALYSE - ERP =&gt; SOUS-SEGMENT'!$Q$144</f>
        <v>1</v>
      </c>
    </row>
    <row r="98" spans="1:20" ht="15" customHeight="1">
      <c r="A98" s="26">
        <v>95</v>
      </c>
      <c r="B98" s="26">
        <v>94</v>
      </c>
      <c r="C98" s="422">
        <f>'ANALYSE - ERP =&gt; SOUS-SEGMENT'!$A$150</f>
        <v>143</v>
      </c>
      <c r="D98" s="418" t="str">
        <f>'ANALYSE - ERP =&gt; SOUS-SEGMENT'!$B$150</f>
        <v>Sanitaires Publics</v>
      </c>
      <c r="E98" s="418" t="str">
        <f>'ANALYSE - ERP =&gt; SOUS-SEGMENT'!$C$150</f>
        <v>Sanitaires publics</v>
      </c>
      <c r="F98" s="418" t="str">
        <f>'ANALYSE - ERP =&gt; SOUS-SEGMENT'!$D$150</f>
        <v>Toilettes publiques (sur la voie publique)</v>
      </c>
      <c r="H98" s="787">
        <f>'ANALYSE - ERP =&gt; SOUS-SEGMENT'!$IO$150</f>
        <v>0.28000000000000003</v>
      </c>
      <c r="I98" s="787">
        <f>'ANALYSE - ERP =&gt; SOUS-SEGMENT'!$IP$150</f>
        <v>0.6</v>
      </c>
      <c r="J98" s="787">
        <f>'ANALYSE - ERP =&gt; SOUS-SEGMENT'!$IQ$150</f>
        <v>0.12</v>
      </c>
      <c r="K98" s="787">
        <f>'ANALYSE - ERP =&gt; SOUS-SEGMENT'!$IR$150</f>
        <v>0</v>
      </c>
      <c r="L98" s="787">
        <f>'ANALYSE - ERP =&gt; SOUS-SEGMENT'!$IS$150</f>
        <v>0</v>
      </c>
      <c r="N98" s="787">
        <f>'ANALYSE - ERP =&gt; SOUS-SEGMENT'!$IT$150</f>
        <v>0.25940000000000002</v>
      </c>
      <c r="O98" s="787">
        <f>'ANALYSE - ERP =&gt; SOUS-SEGMENT'!$IU$150</f>
        <v>0.57479999999999998</v>
      </c>
      <c r="P98" s="787">
        <f>'ANALYSE - ERP =&gt; SOUS-SEGMENT'!$IV$150</f>
        <v>0.1406</v>
      </c>
      <c r="Q98" s="787">
        <f>'ANALYSE - ERP =&gt; SOUS-SEGMENT'!$IW$150</f>
        <v>2.06E-2</v>
      </c>
      <c r="R98" s="787">
        <f>'ANALYSE - ERP =&gt; SOUS-SEGMENT'!$IX$150</f>
        <v>4.5999999999999999E-3</v>
      </c>
      <c r="T98" s="430">
        <f>'ANALYSE - ERP =&gt; SOUS-SEGMENT'!$Q$150</f>
        <v>1</v>
      </c>
    </row>
    <row r="99" spans="1:20" ht="15" customHeight="1">
      <c r="A99" s="26">
        <v>96</v>
      </c>
      <c r="B99" s="26">
        <v>95</v>
      </c>
      <c r="C99" s="422">
        <f>'ANALYSE - ERP =&gt; SOUS-SEGMENT'!$A$142</f>
        <v>135</v>
      </c>
      <c r="D99" s="417" t="str">
        <f>'ANALYSE - ERP =&gt; SOUS-SEGMENT'!$B$142</f>
        <v>Sécurité &amp; Justice</v>
      </c>
      <c r="E99" s="417" t="str">
        <f>'ANALYSE - ERP =&gt; SOUS-SEGMENT'!$C$142</f>
        <v>Univers carcéral</v>
      </c>
      <c r="F99" s="417" t="str">
        <f>'ANALYSE - ERP =&gt; SOUS-SEGMENT'!$D$142</f>
        <v>Centres pénitentiaires</v>
      </c>
      <c r="H99" s="787">
        <f>'ANALYSE - ERP =&gt; SOUS-SEGMENT'!$IO$142</f>
        <v>0.1464</v>
      </c>
      <c r="I99" s="787">
        <f>'ANALYSE - ERP =&gt; SOUS-SEGMENT'!$IP$142</f>
        <v>0.68869999999999998</v>
      </c>
      <c r="J99" s="787">
        <f>'ANALYSE - ERP =&gt; SOUS-SEGMENT'!$IQ$142</f>
        <v>0.16489999999999999</v>
      </c>
      <c r="K99" s="787">
        <f>'ANALYSE - ERP =&gt; SOUS-SEGMENT'!$IR$142</f>
        <v>0</v>
      </c>
      <c r="L99" s="787">
        <f>'ANALYSE - ERP =&gt; SOUS-SEGMENT'!$IS$142</f>
        <v>0</v>
      </c>
      <c r="N99" s="787">
        <f>'ANALYSE - ERP =&gt; SOUS-SEGMENT'!$IT$142</f>
        <v>4.3099999999999999E-2</v>
      </c>
      <c r="O99" s="787">
        <f>'ANALYSE - ERP =&gt; SOUS-SEGMENT'!$IU$142</f>
        <v>0.57779999999999998</v>
      </c>
      <c r="P99" s="787">
        <f>'ANALYSE - ERP =&gt; SOUS-SEGMENT'!$IV$142</f>
        <v>0.37909999999999999</v>
      </c>
      <c r="Q99" s="787">
        <f>'ANALYSE - ERP =&gt; SOUS-SEGMENT'!$IW$142</f>
        <v>0</v>
      </c>
      <c r="R99" s="787">
        <f>'ANALYSE - ERP =&gt; SOUS-SEGMENT'!$IX$142</f>
        <v>0</v>
      </c>
      <c r="T99" s="430">
        <f>'ANALYSE - ERP =&gt; SOUS-SEGMENT'!$Q$142</f>
        <v>1</v>
      </c>
    </row>
    <row r="100" spans="1:20" ht="15" customHeight="1">
      <c r="A100" s="26">
        <v>97</v>
      </c>
      <c r="B100" s="26">
        <v>96</v>
      </c>
      <c r="C100" s="422">
        <f>'ANALYSE - ERP =&gt; SOUS-SEGMENT'!$A$143</f>
        <v>136</v>
      </c>
      <c r="D100" s="417" t="str">
        <f>'ANALYSE - ERP =&gt; SOUS-SEGMENT'!$B$143</f>
        <v>Sécurité &amp; Justice</v>
      </c>
      <c r="E100" s="417" t="str">
        <f>'ANALYSE - ERP =&gt; SOUS-SEGMENT'!$C$143</f>
        <v>Univers carcéral</v>
      </c>
      <c r="F100" s="417" t="str">
        <f>'ANALYSE - ERP =&gt; SOUS-SEGMENT'!$D$143</f>
        <v>Centres de semi-liberté</v>
      </c>
      <c r="H100" s="787">
        <f>'ANALYSE - ERP =&gt; SOUS-SEGMENT'!$IO$143</f>
        <v>5.0299999999999997E-2</v>
      </c>
      <c r="I100" s="787">
        <f>'ANALYSE - ERP =&gt; SOUS-SEGMENT'!$IP$143</f>
        <v>0.5232</v>
      </c>
      <c r="J100" s="787">
        <f>'ANALYSE - ERP =&gt; SOUS-SEGMENT'!$IQ$143</f>
        <v>0.40329999999999999</v>
      </c>
      <c r="K100" s="787">
        <f>'ANALYSE - ERP =&gt; SOUS-SEGMENT'!$IR$143</f>
        <v>2.3099999999999999E-2</v>
      </c>
      <c r="L100" s="787">
        <f>'ANALYSE - ERP =&gt; SOUS-SEGMENT'!$IS$143</f>
        <v>1E-4</v>
      </c>
      <c r="N100" s="787">
        <f>'ANALYSE - ERP =&gt; SOUS-SEGMENT'!$IT$143</f>
        <v>2.2700000000000001E-2</v>
      </c>
      <c r="O100" s="787">
        <f>'ANALYSE - ERP =&gt; SOUS-SEGMENT'!$IU$143</f>
        <v>0.40100000000000002</v>
      </c>
      <c r="P100" s="787">
        <f>'ANALYSE - ERP =&gt; SOUS-SEGMENT'!$IV$143</f>
        <v>0.52490000000000003</v>
      </c>
      <c r="Q100" s="787">
        <f>'ANALYSE - ERP =&gt; SOUS-SEGMENT'!$IW$143</f>
        <v>5.0999999999999997E-2</v>
      </c>
      <c r="R100" s="787">
        <f>'ANALYSE - ERP =&gt; SOUS-SEGMENT'!$IX$143</f>
        <v>4.0000000000000002E-4</v>
      </c>
      <c r="T100" s="430">
        <f>'ANALYSE - ERP =&gt; SOUS-SEGMENT'!$Q$143</f>
        <v>1</v>
      </c>
    </row>
    <row r="101" spans="1:20" ht="15" customHeight="1">
      <c r="A101" s="26">
        <v>98</v>
      </c>
      <c r="B101" s="26">
        <v>98</v>
      </c>
      <c r="C101" s="422">
        <f>'ANALYSE - ERP =&gt; SOUS-SEGMENT'!$A$72</f>
        <v>65</v>
      </c>
      <c r="D101" s="414" t="str">
        <f>'ANALYSE - ERP =&gt; SOUS-SEGMENT'!$B$72</f>
        <v>Culture, Patrimoine &amp; Evénementiel</v>
      </c>
      <c r="E101" s="414" t="str">
        <f>'ANALYSE - ERP =&gt; SOUS-SEGMENT'!$C$72</f>
        <v>Événementiel temporaire</v>
      </c>
      <c r="F101" s="414" t="str">
        <f>'ANALYSE - ERP =&gt; SOUS-SEGMENT'!$D$72</f>
        <v>Chapiteaux / Tentes / Structures</v>
      </c>
      <c r="H101" s="787">
        <f>'ANALYSE - ERP =&gt; SOUS-SEGMENT'!$IO$72</f>
        <v>0.03</v>
      </c>
      <c r="I101" s="787">
        <f>'ANALYSE - ERP =&gt; SOUS-SEGMENT'!$IP$72</f>
        <v>0.4</v>
      </c>
      <c r="J101" s="787">
        <f>'ANALYSE - ERP =&gt; SOUS-SEGMENT'!$IQ$72</f>
        <v>0.5</v>
      </c>
      <c r="K101" s="787">
        <f>'ANALYSE - ERP =&gt; SOUS-SEGMENT'!$IR$72</f>
        <v>7.0000000000000007E-2</v>
      </c>
      <c r="L101" s="787">
        <f>'ANALYSE - ERP =&gt; SOUS-SEGMENT'!$IS$72</f>
        <v>0</v>
      </c>
      <c r="N101" s="787">
        <f>'ANALYSE - ERP =&gt; SOUS-SEGMENT'!$IT$72</f>
        <v>1.26E-2</v>
      </c>
      <c r="O101" s="787">
        <f>'ANALYSE - ERP =&gt; SOUS-SEGMENT'!$IU$72</f>
        <v>0.37880000000000003</v>
      </c>
      <c r="P101" s="787">
        <f>'ANALYSE - ERP =&gt; SOUS-SEGMENT'!$IV$72</f>
        <v>0.51739999999999997</v>
      </c>
      <c r="Q101" s="787">
        <f>'ANALYSE - ERP =&gt; SOUS-SEGMENT'!$IW$72</f>
        <v>8.7400000000000005E-2</v>
      </c>
      <c r="R101" s="787">
        <f>'ANALYSE - ERP =&gt; SOUS-SEGMENT'!$IX$72</f>
        <v>3.8E-3</v>
      </c>
      <c r="T101" s="430">
        <f>'ANALYSE - ERP =&gt; SOUS-SEGMENT'!$Q$72</f>
        <v>1</v>
      </c>
    </row>
    <row r="102" spans="1:20" ht="15" customHeight="1">
      <c r="A102" s="26">
        <v>99</v>
      </c>
      <c r="B102" s="26">
        <v>99</v>
      </c>
      <c r="C102" s="422">
        <f>'ANALYSE - ERP =&gt; SOUS-SEGMENT'!$A$73</f>
        <v>66</v>
      </c>
      <c r="D102" s="414" t="str">
        <f>'ANALYSE - ERP =&gt; SOUS-SEGMENT'!$B$73</f>
        <v>Culture, Patrimoine &amp; Evénementiel</v>
      </c>
      <c r="E102" s="414" t="str">
        <f>'ANALYSE - ERP =&gt; SOUS-SEGMENT'!$C$73</f>
        <v>Événementiel temporaire</v>
      </c>
      <c r="F102" s="414" t="str">
        <f>'ANALYSE - ERP =&gt; SOUS-SEGMENT'!$D$73</f>
        <v>Structures gonflables</v>
      </c>
      <c r="H102" s="787">
        <f>'ANALYSE - ERP =&gt; SOUS-SEGMENT'!$IO$73</f>
        <v>0.29520000000000002</v>
      </c>
      <c r="I102" s="787">
        <f>'ANALYSE - ERP =&gt; SOUS-SEGMENT'!$IP$73</f>
        <v>0.63419999999999999</v>
      </c>
      <c r="J102" s="787">
        <f>'ANALYSE - ERP =&gt; SOUS-SEGMENT'!$IQ$73</f>
        <v>7.0599999999999996E-2</v>
      </c>
      <c r="K102" s="787">
        <f>'ANALYSE - ERP =&gt; SOUS-SEGMENT'!$IR$73</f>
        <v>0</v>
      </c>
      <c r="L102" s="787">
        <f>'ANALYSE - ERP =&gt; SOUS-SEGMENT'!$IS$73</f>
        <v>0</v>
      </c>
      <c r="N102" s="787">
        <f>'ANALYSE - ERP =&gt; SOUS-SEGMENT'!$IT$73</f>
        <v>0.15290000000000001</v>
      </c>
      <c r="O102" s="787">
        <f>'ANALYSE - ERP =&gt; SOUS-SEGMENT'!$IU$73</f>
        <v>0.66359999999999997</v>
      </c>
      <c r="P102" s="787">
        <f>'ANALYSE - ERP =&gt; SOUS-SEGMENT'!$IV$73</f>
        <v>0.1835</v>
      </c>
      <c r="Q102" s="787">
        <f>'ANALYSE - ERP =&gt; SOUS-SEGMENT'!$IW$73</f>
        <v>0</v>
      </c>
      <c r="R102" s="787">
        <f>'ANALYSE - ERP =&gt; SOUS-SEGMENT'!$IX$73</f>
        <v>0</v>
      </c>
      <c r="T102" s="430">
        <f>'ANALYSE - ERP =&gt; SOUS-SEGMENT'!$Q$73</f>
        <v>1</v>
      </c>
    </row>
    <row r="103" spans="1:20" ht="15" customHeight="1">
      <c r="A103" s="26">
        <v>100</v>
      </c>
      <c r="B103" s="26">
        <v>100</v>
      </c>
      <c r="C103" s="422">
        <f>'ANALYSE - ERP =&gt; SOUS-SEGMENT'!$A$139</f>
        <v>132</v>
      </c>
      <c r="D103" s="417" t="str">
        <f>'ANALYSE - ERP =&gt; SOUS-SEGMENT'!$B$139</f>
        <v>Sécurité &amp; Justice</v>
      </c>
      <c r="E103" s="417" t="str">
        <f>'ANALYSE - ERP =&gt; SOUS-SEGMENT'!$C$139</f>
        <v>Univers carcéral</v>
      </c>
      <c r="F103" s="417" t="str">
        <f>'ANALYSE - ERP =&gt; SOUS-SEGMENT'!$D$139</f>
        <v>Maisons d’arrêt</v>
      </c>
      <c r="H103" s="787">
        <f>'ANALYSE - ERP =&gt; SOUS-SEGMENT'!$IO$139</f>
        <v>0.1137</v>
      </c>
      <c r="I103" s="787">
        <f>'ANALYSE - ERP =&gt; SOUS-SEGMENT'!$IP$139</f>
        <v>0.68020000000000003</v>
      </c>
      <c r="J103" s="787">
        <f>'ANALYSE - ERP =&gt; SOUS-SEGMENT'!$IQ$139</f>
        <v>0.20610000000000001</v>
      </c>
      <c r="K103" s="787">
        <f>'ANALYSE - ERP =&gt; SOUS-SEGMENT'!$IR$139</f>
        <v>0</v>
      </c>
      <c r="L103" s="787">
        <f>'ANALYSE - ERP =&gt; SOUS-SEGMENT'!$IS$139</f>
        <v>0</v>
      </c>
      <c r="N103" s="787">
        <f>'ANALYSE - ERP =&gt; SOUS-SEGMENT'!$IT$139</f>
        <v>5.0599999999999999E-2</v>
      </c>
      <c r="O103" s="787">
        <f>'ANALYSE - ERP =&gt; SOUS-SEGMENT'!$IU$139</f>
        <v>0.59909999999999997</v>
      </c>
      <c r="P103" s="787">
        <f>'ANALYSE - ERP =&gt; SOUS-SEGMENT'!$IV$139</f>
        <v>0.3503</v>
      </c>
      <c r="Q103" s="787">
        <f>'ANALYSE - ERP =&gt; SOUS-SEGMENT'!$IW$139</f>
        <v>0</v>
      </c>
      <c r="R103" s="787">
        <f>'ANALYSE - ERP =&gt; SOUS-SEGMENT'!$IX$139</f>
        <v>0</v>
      </c>
      <c r="T103" s="430">
        <f>'ANALYSE - ERP =&gt; SOUS-SEGMENT'!$Q$139</f>
        <v>1</v>
      </c>
    </row>
    <row r="104" spans="1:20" ht="15" customHeight="1">
      <c r="A104" s="26">
        <v>101</v>
      </c>
      <c r="B104" s="26">
        <v>101</v>
      </c>
      <c r="C104" s="422">
        <f>'ANALYSE - ERP =&gt; SOUS-SEGMENT'!$A$140</f>
        <v>133</v>
      </c>
      <c r="D104" s="417" t="str">
        <f>'ANALYSE - ERP =&gt; SOUS-SEGMENT'!$B$140</f>
        <v>Sécurité &amp; Justice</v>
      </c>
      <c r="E104" s="417" t="str">
        <f>'ANALYSE - ERP =&gt; SOUS-SEGMENT'!$C$140</f>
        <v>Univers carcéral</v>
      </c>
      <c r="F104" s="417" t="str">
        <f>'ANALYSE - ERP =&gt; SOUS-SEGMENT'!$D$140</f>
        <v>Centres de détention</v>
      </c>
      <c r="H104" s="787">
        <f>'ANALYSE - ERP =&gt; SOUS-SEGMENT'!$IO$140</f>
        <v>0.1137</v>
      </c>
      <c r="I104" s="787">
        <f>'ANALYSE - ERP =&gt; SOUS-SEGMENT'!$IP$140</f>
        <v>0.68020000000000003</v>
      </c>
      <c r="J104" s="787">
        <f>'ANALYSE - ERP =&gt; SOUS-SEGMENT'!$IQ$140</f>
        <v>0.20610000000000001</v>
      </c>
      <c r="K104" s="787">
        <f>'ANALYSE - ERP =&gt; SOUS-SEGMENT'!$IR$140</f>
        <v>0</v>
      </c>
      <c r="L104" s="787">
        <f>'ANALYSE - ERP =&gt; SOUS-SEGMENT'!$IS$140</f>
        <v>0</v>
      </c>
      <c r="N104" s="787">
        <f>'ANALYSE - ERP =&gt; SOUS-SEGMENT'!$IT$140</f>
        <v>5.0599999999999999E-2</v>
      </c>
      <c r="O104" s="787">
        <f>'ANALYSE - ERP =&gt; SOUS-SEGMENT'!$IU$140</f>
        <v>0.59909999999999997</v>
      </c>
      <c r="P104" s="787">
        <f>'ANALYSE - ERP =&gt; SOUS-SEGMENT'!$IV$140</f>
        <v>0.3503</v>
      </c>
      <c r="Q104" s="787">
        <f>'ANALYSE - ERP =&gt; SOUS-SEGMENT'!$IW$140</f>
        <v>0</v>
      </c>
      <c r="R104" s="787">
        <f>'ANALYSE - ERP =&gt; SOUS-SEGMENT'!$IX$140</f>
        <v>0</v>
      </c>
      <c r="T104" s="430">
        <f>'ANALYSE - ERP =&gt; SOUS-SEGMENT'!$Q$140</f>
        <v>1</v>
      </c>
    </row>
    <row r="105" spans="1:20" ht="15" customHeight="1">
      <c r="A105" s="26">
        <v>102</v>
      </c>
      <c r="B105" s="26">
        <v>102</v>
      </c>
      <c r="C105" s="422">
        <f>'ANALYSE - ERP =&gt; SOUS-SEGMENT'!$A$141</f>
        <v>134</v>
      </c>
      <c r="D105" s="417" t="str">
        <f>'ANALYSE - ERP =&gt; SOUS-SEGMENT'!$B$141</f>
        <v>Sécurité &amp; Justice</v>
      </c>
      <c r="E105" s="417" t="str">
        <f>'ANALYSE - ERP =&gt; SOUS-SEGMENT'!$C$141</f>
        <v>Univers carcéral</v>
      </c>
      <c r="F105" s="417" t="str">
        <f>'ANALYSE - ERP =&gt; SOUS-SEGMENT'!$D$141</f>
        <v>Maisons centrales</v>
      </c>
      <c r="H105" s="787">
        <f>'ANALYSE - ERP =&gt; SOUS-SEGMENT'!$IO$141</f>
        <v>0.16489999999999999</v>
      </c>
      <c r="I105" s="787">
        <f>'ANALYSE - ERP =&gt; SOUS-SEGMENT'!$IP$141</f>
        <v>0.68869999999999998</v>
      </c>
      <c r="J105" s="787">
        <f>'ANALYSE - ERP =&gt; SOUS-SEGMENT'!$IQ$141</f>
        <v>0.1464</v>
      </c>
      <c r="K105" s="787">
        <f>'ANALYSE - ERP =&gt; SOUS-SEGMENT'!$IR$141</f>
        <v>0</v>
      </c>
      <c r="L105" s="787">
        <f>'ANALYSE - ERP =&gt; SOUS-SEGMENT'!$IS$141</f>
        <v>0</v>
      </c>
      <c r="N105" s="787">
        <f>'ANALYSE - ERP =&gt; SOUS-SEGMENT'!$IT$141</f>
        <v>7.6499999999999999E-2</v>
      </c>
      <c r="O105" s="787">
        <f>'ANALYSE - ERP =&gt; SOUS-SEGMENT'!$IU$141</f>
        <v>0.64790000000000003</v>
      </c>
      <c r="P105" s="787">
        <f>'ANALYSE - ERP =&gt; SOUS-SEGMENT'!$IV$141</f>
        <v>0.27560000000000001</v>
      </c>
      <c r="Q105" s="787">
        <f>'ANALYSE - ERP =&gt; SOUS-SEGMENT'!$IW$141</f>
        <v>0</v>
      </c>
      <c r="R105" s="787">
        <f>'ANALYSE - ERP =&gt; SOUS-SEGMENT'!$IX$141</f>
        <v>0</v>
      </c>
      <c r="T105" s="430">
        <f>'ANALYSE - ERP =&gt; SOUS-SEGMENT'!$Q$141</f>
        <v>1</v>
      </c>
    </row>
    <row r="106" spans="1:20" s="45" customFormat="1" ht="15" customHeight="1">
      <c r="A106" s="406">
        <v>103</v>
      </c>
      <c r="B106" s="406">
        <v>103</v>
      </c>
      <c r="C106" s="448">
        <f>'ANALYSE - ERP =&gt; SOUS-SEGMENT'!$A$145</f>
        <v>138</v>
      </c>
      <c r="D106" s="423" t="str">
        <f>'ANALYSE - ERP =&gt; SOUS-SEGMENT'!$B$145</f>
        <v>Sécurité &amp; Justice</v>
      </c>
      <c r="E106" s="423" t="str">
        <f>'ANALYSE - ERP =&gt; SOUS-SEGMENT'!$C$145</f>
        <v>Univers carcéral</v>
      </c>
      <c r="F106" s="423" t="str">
        <f>'ANALYSE - ERP =&gt; SOUS-SEGMENT'!$D$145</f>
        <v>Centres pour peines aménagées
(absorbés par autres centres carcéraux)</v>
      </c>
      <c r="G106" s="685"/>
      <c r="H106" s="788">
        <f>'ANALYSE - ERP =&gt; SOUS-SEGMENT'!$IO$145</f>
        <v>0</v>
      </c>
      <c r="I106" s="788">
        <f>'ANALYSE - ERP =&gt; SOUS-SEGMENT'!$IP$145</f>
        <v>0</v>
      </c>
      <c r="J106" s="788">
        <f>'ANALYSE - ERP =&gt; SOUS-SEGMENT'!$IQ$145</f>
        <v>0</v>
      </c>
      <c r="K106" s="788">
        <f>'ANALYSE - ERP =&gt; SOUS-SEGMENT'!$IR$145</f>
        <v>0</v>
      </c>
      <c r="L106" s="788">
        <f>'ANALYSE - ERP =&gt; SOUS-SEGMENT'!$IS$145</f>
        <v>0</v>
      </c>
      <c r="M106" s="685"/>
      <c r="N106" s="788">
        <f>'ANALYSE - ERP =&gt; SOUS-SEGMENT'!$IT$145</f>
        <v>0</v>
      </c>
      <c r="O106" s="788">
        <f>'ANALYSE - ERP =&gt; SOUS-SEGMENT'!$IU$145</f>
        <v>0</v>
      </c>
      <c r="P106" s="788">
        <f>'ANALYSE - ERP =&gt; SOUS-SEGMENT'!$IV$145</f>
        <v>0</v>
      </c>
      <c r="Q106" s="788">
        <f>'ANALYSE - ERP =&gt; SOUS-SEGMENT'!$IW$145</f>
        <v>0</v>
      </c>
      <c r="R106" s="788">
        <f>'ANALYSE - ERP =&gt; SOUS-SEGMENT'!$IX$145</f>
        <v>0</v>
      </c>
      <c r="S106" s="685"/>
      <c r="T106" s="450">
        <f>'ANALYSE - ERP =&gt; SOUS-SEGMENT'!$Q$145</f>
        <v>0</v>
      </c>
    </row>
  </sheetData>
  <autoFilter ref="A2:T106" xr:uid="{00000000-0009-0000-0000-00001C000000}"/>
  <conditionalFormatting sqref="H4:L106">
    <cfRule type="colorScale" priority="2">
      <colorScale>
        <cfvo type="min"/>
        <cfvo type="formula" val="MEDIAN($H$4:$L$106)"/>
        <cfvo type="max"/>
        <color rgb="FFF8696B"/>
        <color theme="0"/>
        <color rgb="FF63BE7B"/>
      </colorScale>
    </cfRule>
  </conditionalFormatting>
  <conditionalFormatting sqref="N4:R106">
    <cfRule type="colorScale" priority="1">
      <colorScale>
        <cfvo type="min"/>
        <cfvo type="formula" val="MEDIAN($N$4:$R$106)"/>
        <cfvo type="max"/>
        <color rgb="FFF8696B"/>
        <color theme="0"/>
        <color rgb="FF63BE7B"/>
      </colorScale>
    </cfRule>
  </conditionalFormatting>
  <pageMargins left="3.937007874015748E-2" right="3.937007874015748E-2" top="7.874015748031496E-2" bottom="7.874015748031496E-2" header="0.11811023622047249" footer="0.11811023622047249"/>
  <pageSetup paperSize="8" scale="88" fitToHeight="2"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39997558519241921"/>
    <pageSetUpPr fitToPage="1"/>
  </sheetPr>
  <dimension ref="A1:BZ106"/>
  <sheetViews>
    <sheetView zoomScale="85" zoomScaleNormal="85" workbookViewId="0">
      <pane xSplit="6" ySplit="2" topLeftCell="G3" activePane="bottomRight" state="frozen"/>
      <selection activeCell="F100" sqref="F100"/>
      <selection pane="topRight" activeCell="F100" sqref="F100"/>
      <selection pane="bottomLeft" activeCell="F100" sqref="F100"/>
      <selection pane="bottomRight" activeCell="P10" sqref="P10"/>
    </sheetView>
  </sheetViews>
  <sheetFormatPr baseColWidth="10" defaultColWidth="9.140625" defaultRowHeight="15"/>
  <cols>
    <col min="1" max="2" width="9" style="934" customWidth="1"/>
    <col min="3" max="3" width="6" style="934" customWidth="1"/>
    <col min="4" max="4" width="30.5703125" style="934" customWidth="1"/>
    <col min="5" max="5" width="27.7109375" style="43" customWidth="1"/>
    <col min="6" max="6" width="50.7109375" style="43" customWidth="1"/>
    <col min="7" max="7" width="1.7109375" style="933" customWidth="1"/>
    <col min="8" max="8" width="9.28515625" style="43" customWidth="1"/>
    <col min="9" max="12" width="9.28515625" style="934" customWidth="1"/>
    <col min="13" max="13" width="1.7109375" style="933" customWidth="1"/>
    <col min="14" max="18" width="9.28515625" style="934" customWidth="1"/>
    <col min="19" max="19" width="1.7109375" style="933" customWidth="1"/>
    <col min="20" max="20" width="12" style="934" customWidth="1"/>
    <col min="21" max="78" width="9.140625" style="933" customWidth="1"/>
  </cols>
  <sheetData>
    <row r="1" spans="1:78" s="933" customFormat="1" ht="18.75" customHeight="1">
      <c r="C1" s="477"/>
      <c r="D1" s="479"/>
      <c r="E1" s="478" t="s">
        <v>7974</v>
      </c>
      <c r="F1" s="479"/>
      <c r="H1" s="474"/>
      <c r="I1" s="474"/>
      <c r="J1" s="475" t="s">
        <v>7971</v>
      </c>
      <c r="K1" s="474"/>
      <c r="L1" s="474"/>
      <c r="N1" s="452"/>
      <c r="O1" s="452"/>
      <c r="P1" s="476" t="s">
        <v>7972</v>
      </c>
      <c r="Q1" s="452"/>
      <c r="R1" s="452"/>
      <c r="T1" s="452"/>
    </row>
    <row r="2" spans="1:78"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78">
      <c r="A3" s="405" t="s">
        <v>2535</v>
      </c>
      <c r="B3" s="405" t="s">
        <v>2535</v>
      </c>
      <c r="C3" s="405" t="s">
        <v>2090</v>
      </c>
      <c r="D3" s="405" t="s">
        <v>2086</v>
      </c>
      <c r="E3" s="405" t="s">
        <v>6728</v>
      </c>
      <c r="F3" s="405" t="s">
        <v>6729</v>
      </c>
      <c r="H3" s="426" t="e">
        <f>SUMPRODUCT(($T$4:$T$106),('ANALYSE - ERP =&gt; SOUS-SEGMENT'!$BE$8:$BE$150),('ANALYSE - ERP =&gt; SOUS-SEGMENT'!$IO$8:$IO$150))</f>
        <v>#REF!</v>
      </c>
      <c r="I3" s="426" t="e">
        <f>SUMPRODUCT(($T$4:$T$106),('ANALYSE - ERP =&gt; SOUS-SEGMENT'!$BE$8:$BE$150),('ANALYSE - ERP =&gt; SOUS-SEGMENT'!$IP$8:$IP$150))</f>
        <v>#REF!</v>
      </c>
      <c r="J3" s="426" t="e">
        <f>SUMPRODUCT(($T$4:$T$106),('ANALYSE - ERP =&gt; SOUS-SEGMENT'!$BE$8:$BE$150),('ANALYSE - ERP =&gt; SOUS-SEGMENT'!$IQ$8:$IQ$150))</f>
        <v>#REF!</v>
      </c>
      <c r="K3" s="426" t="e">
        <f>SUMPRODUCT(($T$4:$T$106),('ANALYSE - ERP =&gt; SOUS-SEGMENT'!$BE$8:$BE$150),('ANALYSE - ERP =&gt; SOUS-SEGMENT'!$IR$8:$IR$150))</f>
        <v>#REF!</v>
      </c>
      <c r="L3" s="426" t="e">
        <f>SUMPRODUCT(($T$4:$T$106),('ANALYSE - ERP =&gt; SOUS-SEGMENT'!$BE$8:$BE$150),('ANALYSE - ERP =&gt; SOUS-SEGMENT'!$IS$8:$IS$150))</f>
        <v>#REF!</v>
      </c>
      <c r="N3" s="426" t="e">
        <f>SUMPRODUCT(($T$4:$T$106),('ANALYSE - ERP =&gt; SOUS-SEGMENT'!$FA$8:$FA$150),('ANALYSE - ERP =&gt; SOUS-SEGMENT'!$IT$8:$IT$150))</f>
        <v>#REF!</v>
      </c>
      <c r="O3" s="426" t="e">
        <f>SUMPRODUCT(($T$4:$T$106),('ANALYSE - ERP =&gt; SOUS-SEGMENT'!$FA$8:$FA$150),('ANALYSE - ERP =&gt; SOUS-SEGMENT'!$IU$8:$IU$150))</f>
        <v>#REF!</v>
      </c>
      <c r="P3" s="426" t="e">
        <f>SUMPRODUCT(($T$4:$T$106),('ANALYSE - ERP =&gt; SOUS-SEGMENT'!$FA$8:$FA$150),('ANALYSE - ERP =&gt; SOUS-SEGMENT'!$IV$8:$IV$150))</f>
        <v>#REF!</v>
      </c>
      <c r="Q3" s="426" t="e">
        <f>SUMPRODUCT(($T$4:$T$106),('ANALYSE - ERP =&gt; SOUS-SEGMENT'!$FA$8:$FA$150),('ANALYSE - ERP =&gt; SOUS-SEGMENT'!$IW$8:$IW$150))</f>
        <v>#REF!</v>
      </c>
      <c r="R3" s="426" t="e">
        <f>SUMPRODUCT(($T$4:$T$106),('ANALYSE - ERP =&gt; SOUS-SEGMENT'!$FA$8:$FA$150),('ANALYSE - ERP =&gt; SOUS-SEGMENT'!$IX$8:$IX$150))</f>
        <v>#REF!</v>
      </c>
      <c r="T3" s="428">
        <f>SUM('ANALYSE - ERP =&gt; SOUS-SEGMENT'!$Q$8:$Q$150)</f>
        <v>137</v>
      </c>
    </row>
    <row r="4" spans="1:78" ht="15" customHeight="1">
      <c r="A4" s="26">
        <v>1</v>
      </c>
      <c r="B4" s="26">
        <v>1</v>
      </c>
      <c r="C4" s="422">
        <f>'ANALYSE - ERP =&gt; SOUS-SEGMENT'!$A$75</f>
        <v>68</v>
      </c>
      <c r="D4" s="412" t="str">
        <f>'ANALYSE - ERP =&gt; SOUS-SEGMENT'!$B$75</f>
        <v>Commerce, Restauration &amp; Loisirs</v>
      </c>
      <c r="E4" s="412" t="str">
        <f>'ANALYSE - ERP =&gt; SOUS-SEGMENT'!$C$75</f>
        <v>Restauration / boissons</v>
      </c>
      <c r="F4" s="412" t="str">
        <f>'ANALYSE - ERP =&gt; SOUS-SEGMENT'!$D$75</f>
        <v>Restaurants
(Hors établissements altitude, flottant, armée)</v>
      </c>
      <c r="H4" s="458">
        <f>'ANALYSE - ERP =&gt; SOUS-SEGMENT'!$BE$75*'ANALYSE - ERP =&gt; SOUS-SEGMENT'!$IO$75</f>
        <v>4675</v>
      </c>
      <c r="I4" s="458">
        <f>'ANALYSE - ERP =&gt; SOUS-SEGMENT'!$BE$75*'ANALYSE - ERP =&gt; SOUS-SEGMENT'!$IP$75</f>
        <v>130900.00000000001</v>
      </c>
      <c r="J4" s="458">
        <f>'ANALYSE - ERP =&gt; SOUS-SEGMENT'!$BE$75*'ANALYSE - ERP =&gt; SOUS-SEGMENT'!$IQ$75</f>
        <v>233750</v>
      </c>
      <c r="K4" s="458">
        <f>'ANALYSE - ERP =&gt; SOUS-SEGMENT'!$BE$75*'ANALYSE - ERP =&gt; SOUS-SEGMENT'!$IR$75</f>
        <v>88825</v>
      </c>
      <c r="L4" s="458">
        <f>'ANALYSE - ERP =&gt; SOUS-SEGMENT'!$BE$75*'ANALYSE - ERP =&gt; SOUS-SEGMENT'!$IS$75</f>
        <v>9350</v>
      </c>
      <c r="N4" s="458">
        <f>'ANALYSE - ERP =&gt; SOUS-SEGMENT'!$FA$75*'ANALYSE - ERP =&gt; SOUS-SEGMENT'!$IT$75</f>
        <v>0</v>
      </c>
      <c r="O4" s="458">
        <f>'ANALYSE - ERP =&gt; SOUS-SEGMENT'!$FA$75*'ANALYSE - ERP =&gt; SOUS-SEGMENT'!$IU$75</f>
        <v>47104.846387812504</v>
      </c>
      <c r="P4" s="458">
        <f>'ANALYSE - ERP =&gt; SOUS-SEGMENT'!$FA$75*'ANALYSE - ERP =&gt; SOUS-SEGMENT'!$IV$75</f>
        <v>100822.26411</v>
      </c>
      <c r="Q4" s="458">
        <f>'ANALYSE - ERP =&gt; SOUS-SEGMENT'!$FA$75*'ANALYSE - ERP =&gt; SOUS-SEGMENT'!$IW$75</f>
        <v>41561.955710468756</v>
      </c>
      <c r="R4" s="458">
        <f>'ANALYSE - ERP =&gt; SOUS-SEGMENT'!$FA$75*'ANALYSE - ERP =&gt; SOUS-SEGMENT'!$IX$75</f>
        <v>4998.3259792187509</v>
      </c>
      <c r="T4" s="430">
        <f>'ANALYSE - ERP =&gt; SOUS-SEGMENT'!$Q$75</f>
        <v>1</v>
      </c>
    </row>
    <row r="5" spans="1:78" ht="15" customHeight="1">
      <c r="A5" s="26">
        <v>2</v>
      </c>
      <c r="B5" s="26">
        <v>2</v>
      </c>
      <c r="C5" s="422">
        <f>'ANALYSE - ERP =&gt; SOUS-SEGMENT'!$A$82</f>
        <v>75</v>
      </c>
      <c r="D5" s="409" t="str">
        <f>'ANALYSE - ERP =&gt; SOUS-SEGMENT'!$B$82</f>
        <v>Tertiaire &amp; Industriel</v>
      </c>
      <c r="E5" s="409" t="str">
        <f>'ANALYSE - ERP =&gt; SOUS-SEGMENT'!$C$82</f>
        <v>Bureaux</v>
      </c>
      <c r="F5" s="409" t="str">
        <f>'ANALYSE - ERP =&gt; SOUS-SEGMENT'!$D$82</f>
        <v>Bureaux Tertiaire Privé (&gt;50 salariés)
(hors usines et logistique )</v>
      </c>
      <c r="H5" s="458">
        <f>'ANALYSE - ERP =&gt; SOUS-SEGMENT'!$BE$82*'ANALYSE - ERP =&gt; SOUS-SEGMENT'!$IO$82</f>
        <v>18546</v>
      </c>
      <c r="I5" s="458">
        <f>'ANALYSE - ERP =&gt; SOUS-SEGMENT'!$BE$82*'ANALYSE - ERP =&gt; SOUS-SEGMENT'!$IP$82</f>
        <v>247280</v>
      </c>
      <c r="J5" s="458">
        <f>'ANALYSE - ERP =&gt; SOUS-SEGMENT'!$BE$82*'ANALYSE - ERP =&gt; SOUS-SEGMENT'!$IQ$82</f>
        <v>309100</v>
      </c>
      <c r="K5" s="458">
        <f>'ANALYSE - ERP =&gt; SOUS-SEGMENT'!$BE$82*'ANALYSE - ERP =&gt; SOUS-SEGMENT'!$IR$82</f>
        <v>43274.000000000007</v>
      </c>
      <c r="L5" s="458">
        <f>'ANALYSE - ERP =&gt; SOUS-SEGMENT'!$BE$82*'ANALYSE - ERP =&gt; SOUS-SEGMENT'!$IS$82</f>
        <v>0</v>
      </c>
      <c r="N5" s="458">
        <f>'ANALYSE - ERP =&gt; SOUS-SEGMENT'!$FA$82*'ANALYSE - ERP =&gt; SOUS-SEGMENT'!$IT$82</f>
        <v>1583.866973722</v>
      </c>
      <c r="O5" s="458">
        <f>'ANALYSE - ERP =&gt; SOUS-SEGMENT'!$FA$82*'ANALYSE - ERP =&gt; SOUS-SEGMENT'!$IU$82</f>
        <v>75700.718949174567</v>
      </c>
      <c r="P5" s="458">
        <f>'ANALYSE - ERP =&gt; SOUS-SEGMENT'!$FA$82*'ANALYSE - ERP =&gt; SOUS-SEGMENT'!$IV$82</f>
        <v>106037.86329200365</v>
      </c>
      <c r="Q5" s="458">
        <f>'ANALYSE - ERP =&gt; SOUS-SEGMENT'!$FA$82*'ANALYSE - ERP =&gt; SOUS-SEGMENT'!$IW$82</f>
        <v>18722.119868867743</v>
      </c>
      <c r="R5" s="458">
        <f>'ANALYSE - ERP =&gt; SOUS-SEGMENT'!$FA$82*'ANALYSE - ERP =&gt; SOUS-SEGMENT'!$IX$82</f>
        <v>1015.2993421294872</v>
      </c>
      <c r="T5" s="430">
        <f>'ANALYSE - ERP =&gt; SOUS-SEGMENT'!$Q$82</f>
        <v>1</v>
      </c>
    </row>
    <row r="6" spans="1:78" ht="15" customHeight="1">
      <c r="A6" s="26">
        <v>3</v>
      </c>
      <c r="B6" s="26">
        <v>3</v>
      </c>
      <c r="C6" s="422">
        <f>'ANALYSE - ERP =&gt; SOUS-SEGMENT'!$A$58</f>
        <v>51</v>
      </c>
      <c r="D6" s="412" t="str">
        <f>'ANALYSE - ERP =&gt; SOUS-SEGMENT'!$B$58</f>
        <v>Santé &amp; Médico-social</v>
      </c>
      <c r="E6" s="412" t="str">
        <f>'ANALYSE - ERP =&gt; SOUS-SEGMENT'!$C$58</f>
        <v>Médico-social</v>
      </c>
      <c r="F6" s="412" t="str">
        <f>'ANALYSE - ERP =&gt; SOUS-SEGMENT'!$D$58</f>
        <v>EHPAD</v>
      </c>
      <c r="H6" s="458">
        <f>'ANALYSE - ERP =&gt; SOUS-SEGMENT'!$BE$58*'ANALYSE - ERP =&gt; SOUS-SEGMENT'!$IO$58</f>
        <v>0</v>
      </c>
      <c r="I6" s="458">
        <f>'ANALYSE - ERP =&gt; SOUS-SEGMENT'!$BE$58*'ANALYSE - ERP =&gt; SOUS-SEGMENT'!$IP$58</f>
        <v>61912.147499999999</v>
      </c>
      <c r="J6" s="458">
        <f>'ANALYSE - ERP =&gt; SOUS-SEGMENT'!$BE$58*'ANALYSE - ERP =&gt; SOUS-SEGMENT'!$IQ$58</f>
        <v>284693.96549999999</v>
      </c>
      <c r="K6" s="458">
        <f>'ANALYSE - ERP =&gt; SOUS-SEGMENT'!$BE$58*'ANALYSE - ERP =&gt; SOUS-SEGMENT'!$IR$58</f>
        <v>162958.88699999999</v>
      </c>
      <c r="L6" s="458">
        <f>'ANALYSE - ERP =&gt; SOUS-SEGMENT'!$BE$58*'ANALYSE - ERP =&gt; SOUS-SEGMENT'!$IS$58</f>
        <v>0</v>
      </c>
      <c r="N6" s="458">
        <f>'ANALYSE - ERP =&gt; SOUS-SEGMENT'!$FA$58*'ANALYSE - ERP =&gt; SOUS-SEGMENT'!$IT$58</f>
        <v>0</v>
      </c>
      <c r="O6" s="458">
        <f>'ANALYSE - ERP =&gt; SOUS-SEGMENT'!$FA$58*'ANALYSE - ERP =&gt; SOUS-SEGMENT'!$IU$58</f>
        <v>14138.363225874848</v>
      </c>
      <c r="P6" s="458">
        <f>'ANALYSE - ERP =&gt; SOUS-SEGMENT'!$FA$58*'ANALYSE - ERP =&gt; SOUS-SEGMENT'!$IV$58</f>
        <v>109884.67418807845</v>
      </c>
      <c r="Q6" s="458">
        <f>'ANALYSE - ERP =&gt; SOUS-SEGMENT'!$FA$58*'ANALYSE - ERP =&gt; SOUS-SEGMENT'!$IW$58</f>
        <v>91713.041452806763</v>
      </c>
      <c r="R6" s="458">
        <f>'ANALYSE - ERP =&gt; SOUS-SEGMENT'!$FA$58*'ANALYSE - ERP =&gt; SOUS-SEGMENT'!$IX$58</f>
        <v>3463.3509917646916</v>
      </c>
      <c r="T6" s="430">
        <f>'ANALYSE - ERP =&gt; SOUS-SEGMENT'!$Q$58</f>
        <v>1</v>
      </c>
    </row>
    <row r="7" spans="1:78" ht="15" customHeight="1">
      <c r="A7" s="26">
        <v>4</v>
      </c>
      <c r="B7" s="26">
        <v>4</v>
      </c>
      <c r="C7" s="422">
        <f>'ANALYSE - ERP =&gt; SOUS-SEGMENT'!$A$12</f>
        <v>5</v>
      </c>
      <c r="D7" s="413" t="str">
        <f>'ANALYSE - ERP =&gt; SOUS-SEGMENT'!$B$12</f>
        <v>Enfance, Enseignement, Jeunesse &amp; Formation</v>
      </c>
      <c r="E7" s="413" t="str">
        <f>'ANALYSE - ERP =&gt; SOUS-SEGMENT'!$C$12</f>
        <v>Enseignement scolaire</v>
      </c>
      <c r="F7" s="413" t="str">
        <f>'ANALYSE - ERP =&gt; SOUS-SEGMENT'!$D$12</f>
        <v>Écoles primaires</v>
      </c>
      <c r="H7" s="458">
        <f>'ANALYSE - ERP =&gt; SOUS-SEGMENT'!$BE$12*'ANALYSE - ERP =&gt; SOUS-SEGMENT'!$IO$12</f>
        <v>40457.340000000004</v>
      </c>
      <c r="I7" s="458">
        <f>'ANALYSE - ERP =&gt; SOUS-SEGMENT'!$BE$12*'ANALYSE - ERP =&gt; SOUS-SEGMENT'!$IP$12</f>
        <v>228359.20799999998</v>
      </c>
      <c r="J7" s="458">
        <f>'ANALYSE - ERP =&gt; SOUS-SEGMENT'!$BE$12*'ANALYSE - ERP =&gt; SOUS-SEGMENT'!$IQ$12</f>
        <v>148172.33199999999</v>
      </c>
      <c r="K7" s="458">
        <f>'ANALYSE - ERP =&gt; SOUS-SEGMENT'!$BE$12*'ANALYSE - ERP =&gt; SOUS-SEGMENT'!$IR$12</f>
        <v>11045.495999999999</v>
      </c>
      <c r="L7" s="458">
        <f>'ANALYSE - ERP =&gt; SOUS-SEGMENT'!$BE$12*'ANALYSE - ERP =&gt; SOUS-SEGMENT'!$IS$12</f>
        <v>85.624000000000009</v>
      </c>
      <c r="N7" s="458">
        <f>'ANALYSE - ERP =&gt; SOUS-SEGMENT'!$FA$12*'ANALYSE - ERP =&gt; SOUS-SEGMENT'!$IT$12</f>
        <v>4163.4992768230404</v>
      </c>
      <c r="O7" s="458">
        <f>'ANALYSE - ERP =&gt; SOUS-SEGMENT'!$FA$12*'ANALYSE - ERP =&gt; SOUS-SEGMENT'!$IU$12</f>
        <v>46899.882842120009</v>
      </c>
      <c r="P7" s="458">
        <f>'ANALYSE - ERP =&gt; SOUS-SEGMENT'!$FA$12*'ANALYSE - ERP =&gt; SOUS-SEGMENT'!$IV$12</f>
        <v>60758.041772243203</v>
      </c>
      <c r="Q7" s="458">
        <f>'ANALYSE - ERP =&gt; SOUS-SEGMENT'!$FA$12*'ANALYSE - ERP =&gt; SOUS-SEGMENT'!$IW$12</f>
        <v>9053.1902879756817</v>
      </c>
      <c r="R7" s="458">
        <f>'ANALYSE - ERP =&gt; SOUS-SEGMENT'!$FA$12*'ANALYSE - ERP =&gt; SOUS-SEGMENT'!$IX$12</f>
        <v>157.34154243808001</v>
      </c>
      <c r="T7" s="430">
        <f>'ANALYSE - ERP =&gt; SOUS-SEGMENT'!$Q$12</f>
        <v>1</v>
      </c>
    </row>
    <row r="8" spans="1:78" ht="15" customHeight="1">
      <c r="A8" s="26">
        <v>5</v>
      </c>
      <c r="B8" s="26">
        <v>5</v>
      </c>
      <c r="C8" s="422">
        <f>'ANALYSE - ERP =&gt; SOUS-SEGMENT'!$A$101</f>
        <v>94</v>
      </c>
      <c r="D8" s="412" t="str">
        <f>'ANALYSE - ERP =&gt; SOUS-SEGMENT'!$B$101</f>
        <v>Culte, Vie civique &amp; Services publics</v>
      </c>
      <c r="E8" s="412" t="str">
        <f>'ANALYSE - ERP =&gt; SOUS-SEGMENT'!$C$101</f>
        <v>Administrations / services publics</v>
      </c>
      <c r="F8" s="412" t="str">
        <f>'ANALYSE - ERP =&gt; SOUS-SEGMENT'!$D$101</f>
        <v>Mairies / hôtels de ville</v>
      </c>
      <c r="H8" s="458">
        <f>'ANALYSE - ERP =&gt; SOUS-SEGMENT'!$BE$101*'ANALYSE - ERP =&gt; SOUS-SEGMENT'!$IO$101</f>
        <v>3374.64</v>
      </c>
      <c r="I8" s="458">
        <f>'ANALYSE - ERP =&gt; SOUS-SEGMENT'!$BE$101*'ANALYSE - ERP =&gt; SOUS-SEGMENT'!$IP$101</f>
        <v>44995.200000000004</v>
      </c>
      <c r="J8" s="458">
        <f>'ANALYSE - ERP =&gt; SOUS-SEGMENT'!$BE$101*'ANALYSE - ERP =&gt; SOUS-SEGMENT'!$IQ$101</f>
        <v>56244</v>
      </c>
      <c r="K8" s="458">
        <f>'ANALYSE - ERP =&gt; SOUS-SEGMENT'!$BE$101*'ANALYSE - ERP =&gt; SOUS-SEGMENT'!$IR$101</f>
        <v>7874.1600000000008</v>
      </c>
      <c r="L8" s="458">
        <f>'ANALYSE - ERP =&gt; SOUS-SEGMENT'!$BE$101*'ANALYSE - ERP =&gt; SOUS-SEGMENT'!$IS$101</f>
        <v>0</v>
      </c>
      <c r="N8" s="458">
        <f>'ANALYSE - ERP =&gt; SOUS-SEGMENT'!$FA$101*'ANALYSE - ERP =&gt; SOUS-SEGMENT'!$IT$101</f>
        <v>378.16761958160146</v>
      </c>
      <c r="O8" s="458">
        <f>'ANALYSE - ERP =&gt; SOUS-SEGMENT'!$FA$101*'ANALYSE - ERP =&gt; SOUS-SEGMENT'!$IU$101</f>
        <v>14631.5781060799</v>
      </c>
      <c r="P8" s="458">
        <f>'ANALYSE - ERP =&gt; SOUS-SEGMENT'!$FA$101*'ANALYSE - ERP =&gt; SOUS-SEGMENT'!$IV$101</f>
        <v>20280.700588283409</v>
      </c>
      <c r="Q8" s="458">
        <f>'ANALYSE - ERP =&gt; SOUS-SEGMENT'!$FA$101*'ANALYSE - ERP =&gt; SOUS-SEGMENT'!$IW$101</f>
        <v>3520.4676338369704</v>
      </c>
      <c r="R8" s="458">
        <f>'ANALYSE - ERP =&gt; SOUS-SEGMENT'!$FA$101*'ANALYSE - ERP =&gt; SOUS-SEGMENT'!$IX$101</f>
        <v>175.4385864038357</v>
      </c>
      <c r="T8" s="430">
        <f>'ANALYSE - ERP =&gt; SOUS-SEGMENT'!$Q$101</f>
        <v>1</v>
      </c>
    </row>
    <row r="9" spans="1:78" ht="15" customHeight="1">
      <c r="A9" s="26">
        <v>6</v>
      </c>
      <c r="B9" s="26">
        <v>6</v>
      </c>
      <c r="C9" s="422">
        <f>'ANALYSE - ERP =&gt; SOUS-SEGMENT'!$A$67</f>
        <v>60</v>
      </c>
      <c r="D9" s="409" t="str">
        <f>'ANALYSE - ERP =&gt; SOUS-SEGMENT'!$B$67</f>
        <v>Culture, Patrimoine &amp; Evénementiel</v>
      </c>
      <c r="E9" s="409" t="str">
        <f>'ANALYSE - ERP =&gt; SOUS-SEGMENT'!$C$67</f>
        <v>Culture / spectacle</v>
      </c>
      <c r="F9" s="409" t="str">
        <f>'ANALYSE - ERP =&gt; SOUS-SEGMENT'!$D$67</f>
        <v>Salles polyvalentes / Salles des fêtes</v>
      </c>
      <c r="H9" s="458">
        <f>'ANALYSE - ERP =&gt; SOUS-SEGMENT'!$BE$67*'ANALYSE - ERP =&gt; SOUS-SEGMENT'!$IO$67</f>
        <v>6534</v>
      </c>
      <c r="I9" s="458">
        <f>'ANALYSE - ERP =&gt; SOUS-SEGMENT'!$BE$67*'ANALYSE - ERP =&gt; SOUS-SEGMENT'!$IP$67</f>
        <v>87120</v>
      </c>
      <c r="J9" s="458">
        <f>'ANALYSE - ERP =&gt; SOUS-SEGMENT'!$BE$67*'ANALYSE - ERP =&gt; SOUS-SEGMENT'!$IQ$67</f>
        <v>108900</v>
      </c>
      <c r="K9" s="458">
        <f>'ANALYSE - ERP =&gt; SOUS-SEGMENT'!$BE$67*'ANALYSE - ERP =&gt; SOUS-SEGMENT'!$IR$67</f>
        <v>15246.000000000002</v>
      </c>
      <c r="L9" s="458">
        <f>'ANALYSE - ERP =&gt; SOUS-SEGMENT'!$BE$67*'ANALYSE - ERP =&gt; SOUS-SEGMENT'!$IS$67</f>
        <v>0</v>
      </c>
      <c r="N9" s="458">
        <f>'ANALYSE - ERP =&gt; SOUS-SEGMENT'!$FA$67*'ANALYSE - ERP =&gt; SOUS-SEGMENT'!$IT$67</f>
        <v>998.9554497520279</v>
      </c>
      <c r="O9" s="458">
        <f>'ANALYSE - ERP =&gt; SOUS-SEGMENT'!$FA$67*'ANALYSE - ERP =&gt; SOUS-SEGMENT'!$IU$67</f>
        <v>30032.08923540224</v>
      </c>
      <c r="P9" s="458">
        <f>'ANALYSE - ERP =&gt; SOUS-SEGMENT'!$FA$67*'ANALYSE - ERP =&gt; SOUS-SEGMENT'!$IV$67</f>
        <v>41020.599182674545</v>
      </c>
      <c r="Q9" s="458">
        <f>'ANALYSE - ERP =&gt; SOUS-SEGMENT'!$FA$67*'ANALYSE - ERP =&gt; SOUS-SEGMENT'!$IW$67</f>
        <v>6929.2624054227972</v>
      </c>
      <c r="R9" s="458">
        <f>'ANALYSE - ERP =&gt; SOUS-SEGMENT'!$FA$67*'ANALYSE - ERP =&gt; SOUS-SEGMENT'!$IX$67</f>
        <v>301.27227849664337</v>
      </c>
      <c r="T9" s="430">
        <f>'ANALYSE - ERP =&gt; SOUS-SEGMENT'!$Q$67</f>
        <v>1</v>
      </c>
    </row>
    <row r="10" spans="1:78" ht="15" customHeight="1">
      <c r="A10" s="26">
        <v>7</v>
      </c>
      <c r="B10" s="26">
        <v>7</v>
      </c>
      <c r="C10" s="422">
        <f>'ANALYSE - ERP =&gt; SOUS-SEGMENT'!$A$77</f>
        <v>70</v>
      </c>
      <c r="D10" s="409" t="str">
        <f>'ANALYSE - ERP =&gt; SOUS-SEGMENT'!$B$77</f>
        <v>Commerce, Restauration &amp; Loisirs</v>
      </c>
      <c r="E10" s="409" t="str">
        <f>'ANALYSE - ERP =&gt; SOUS-SEGMENT'!$C$77</f>
        <v>Restauration / boissons</v>
      </c>
      <c r="F10" s="409" t="str">
        <f>'ANALYSE - ERP =&gt; SOUS-SEGMENT'!$D$77</f>
        <v>Fast-food / Cafétérias / Food courts</v>
      </c>
      <c r="H10" s="458">
        <f>'ANALYSE - ERP =&gt; SOUS-SEGMENT'!$BE$77*'ANALYSE - ERP =&gt; SOUS-SEGMENT'!$IO$77</f>
        <v>8842.68</v>
      </c>
      <c r="I10" s="458">
        <f>'ANALYSE - ERP =&gt; SOUS-SEGMENT'!$BE$77*'ANALYSE - ERP =&gt; SOUS-SEGMENT'!$IP$77</f>
        <v>120933.69749999999</v>
      </c>
      <c r="J10" s="458">
        <f>'ANALYSE - ERP =&gt; SOUS-SEGMENT'!$BE$77*'ANALYSE - ERP =&gt; SOUS-SEGMENT'!$IQ$77</f>
        <v>103851.2475</v>
      </c>
      <c r="K10" s="458">
        <f>'ANALYSE - ERP =&gt; SOUS-SEGMENT'!$BE$77*'ANALYSE - ERP =&gt; SOUS-SEGMENT'!$IR$77</f>
        <v>10048.5</v>
      </c>
      <c r="L10" s="458">
        <f>'ANALYSE - ERP =&gt; SOUS-SEGMENT'!$BE$77*'ANALYSE - ERP =&gt; SOUS-SEGMENT'!$IS$77</f>
        <v>7536.375</v>
      </c>
      <c r="N10" s="458">
        <f>'ANALYSE - ERP =&gt; SOUS-SEGMENT'!$FA$77*'ANALYSE - ERP =&gt; SOUS-SEGMENT'!$IT$77</f>
        <v>0</v>
      </c>
      <c r="O10" s="458">
        <f>'ANALYSE - ERP =&gt; SOUS-SEGMENT'!$FA$77*'ANALYSE - ERP =&gt; SOUS-SEGMENT'!$IU$77</f>
        <v>41372.632062339952</v>
      </c>
      <c r="P10" s="458">
        <f>'ANALYSE - ERP =&gt; SOUS-SEGMENT'!$FA$77*'ANALYSE - ERP =&gt; SOUS-SEGMENT'!$IV$77</f>
        <v>73839.765138288189</v>
      </c>
      <c r="Q10" s="458">
        <f>'ANALYSE - ERP =&gt; SOUS-SEGMENT'!$FA$77*'ANALYSE - ERP =&gt; SOUS-SEGMENT'!$IW$77</f>
        <v>13910.682273212757</v>
      </c>
      <c r="R10" s="458">
        <f>'ANALYSE - ERP =&gt; SOUS-SEGMENT'!$FA$77*'ANALYSE - ERP =&gt; SOUS-SEGMENT'!$IX$77</f>
        <v>3993.4973033146671</v>
      </c>
      <c r="T10" s="430">
        <f>'ANALYSE - ERP =&gt; SOUS-SEGMENT'!$Q$77</f>
        <v>1</v>
      </c>
    </row>
    <row r="11" spans="1:78" s="45" customFormat="1" ht="15" customHeight="1">
      <c r="A11" s="26">
        <v>8</v>
      </c>
      <c r="B11" s="26">
        <v>8</v>
      </c>
      <c r="C11" s="422">
        <f>'ANALYSE - ERP =&gt; SOUS-SEGMENT'!$A$113</f>
        <v>106</v>
      </c>
      <c r="D11" s="409" t="str">
        <f>'ANALYSE - ERP =&gt; SOUS-SEGMENT'!$B$113</f>
        <v>Culte, Vie civique &amp; Services publics</v>
      </c>
      <c r="E11" s="409" t="str">
        <f>'ANALYSE - ERP =&gt; SOUS-SEGMENT'!$C$113</f>
        <v>Culte</v>
      </c>
      <c r="F11" s="409" t="str">
        <f>'ANALYSE - ERP =&gt; SOUS-SEGMENT'!$D$113</f>
        <v>Églises, cathédrales, basiliques et chapelles ouvertes au public</v>
      </c>
      <c r="G11" s="685"/>
      <c r="H11" s="458">
        <f>'ANALYSE - ERP =&gt; SOUS-SEGMENT'!$BE$113*'ANALYSE - ERP =&gt; SOUS-SEGMENT'!$IO$113</f>
        <v>1230</v>
      </c>
      <c r="I11" s="458">
        <f>'ANALYSE - ERP =&gt; SOUS-SEGMENT'!$BE$113*'ANALYSE - ERP =&gt; SOUS-SEGMENT'!$IP$113</f>
        <v>6519</v>
      </c>
      <c r="J11" s="458">
        <f>'ANALYSE - ERP =&gt; SOUS-SEGMENT'!$BE$113*'ANALYSE - ERP =&gt; SOUS-SEGMENT'!$IQ$113</f>
        <v>4182</v>
      </c>
      <c r="K11" s="458">
        <f>'ANALYSE - ERP =&gt; SOUS-SEGMENT'!$BE$113*'ANALYSE - ERP =&gt; SOUS-SEGMENT'!$IR$113</f>
        <v>369</v>
      </c>
      <c r="L11" s="458">
        <f>'ANALYSE - ERP =&gt; SOUS-SEGMENT'!$BE$113*'ANALYSE - ERP =&gt; SOUS-SEGMENT'!$IS$113</f>
        <v>0</v>
      </c>
      <c r="M11" s="685"/>
      <c r="N11" s="458">
        <f>'ANALYSE - ERP =&gt; SOUS-SEGMENT'!$FA$113*'ANALYSE - ERP =&gt; SOUS-SEGMENT'!$IT$113</f>
        <v>368.64247042197803</v>
      </c>
      <c r="O11" s="458">
        <f>'ANALYSE - ERP =&gt; SOUS-SEGMENT'!$FA$113*'ANALYSE - ERP =&gt; SOUS-SEGMENT'!$IU$113</f>
        <v>2200.2676901670334</v>
      </c>
      <c r="P11" s="458">
        <f>'ANALYSE - ERP =&gt; SOUS-SEGMENT'!$FA$113*'ANALYSE - ERP =&gt; SOUS-SEGMENT'!$IV$113</f>
        <v>1519.6309519956046</v>
      </c>
      <c r="Q11" s="458">
        <f>'ANALYSE - ERP =&gt; SOUS-SEGMENT'!$FA$113*'ANALYSE - ERP =&gt; SOUS-SEGMENT'!$IW$113</f>
        <v>189.2564952923077</v>
      </c>
      <c r="R11" s="458">
        <f>'ANALYSE - ERP =&gt; SOUS-SEGMENT'!$FA$113*'ANALYSE - ERP =&gt; SOUS-SEGMENT'!$IX$113</f>
        <v>13.732897617582418</v>
      </c>
      <c r="S11" s="685"/>
      <c r="T11" s="430">
        <f>'ANALYSE - ERP =&gt; SOUS-SEGMENT'!$Q$113</f>
        <v>1</v>
      </c>
      <c r="U11" s="685"/>
      <c r="V11" s="685"/>
      <c r="W11" s="685"/>
      <c r="X11" s="685"/>
      <c r="Y11" s="685"/>
      <c r="Z11" s="685"/>
      <c r="AA11" s="685"/>
      <c r="AB11" s="685"/>
      <c r="AC11" s="685"/>
      <c r="AD11" s="685"/>
      <c r="AE11" s="685"/>
      <c r="AF11" s="685"/>
      <c r="AG11" s="685"/>
      <c r="AH11" s="685"/>
      <c r="AI11" s="685"/>
      <c r="AJ11" s="685"/>
      <c r="AK11" s="685"/>
      <c r="AL11" s="685"/>
      <c r="AM11" s="685"/>
      <c r="AN11" s="685"/>
      <c r="AO11" s="685"/>
      <c r="AP11" s="685"/>
      <c r="AQ11" s="685"/>
      <c r="AR11" s="685"/>
      <c r="AS11" s="685"/>
      <c r="AT11" s="685"/>
      <c r="AU11" s="685"/>
      <c r="AV11" s="685"/>
      <c r="AW11" s="685"/>
      <c r="AX11" s="685"/>
      <c r="AY11" s="685"/>
      <c r="AZ11" s="685"/>
      <c r="BA11" s="685"/>
      <c r="BB11" s="685"/>
      <c r="BC11" s="685"/>
      <c r="BD11" s="685"/>
      <c r="BE11" s="685"/>
      <c r="BF11" s="685"/>
      <c r="BG11" s="685"/>
      <c r="BH11" s="685"/>
      <c r="BI11" s="685"/>
      <c r="BJ11" s="685"/>
      <c r="BK11" s="685"/>
      <c r="BL11" s="685"/>
      <c r="BM11" s="685"/>
      <c r="BN11" s="685"/>
      <c r="BO11" s="685"/>
      <c r="BP11" s="685"/>
      <c r="BQ11" s="685"/>
      <c r="BR11" s="685"/>
      <c r="BS11" s="685"/>
      <c r="BT11" s="685"/>
      <c r="BU11" s="685"/>
      <c r="BV11" s="685"/>
      <c r="BW11" s="685"/>
      <c r="BX11" s="685"/>
      <c r="BY11" s="685"/>
      <c r="BZ11" s="685"/>
    </row>
    <row r="12" spans="1:78" ht="15" customHeight="1">
      <c r="A12" s="26">
        <v>9</v>
      </c>
      <c r="B12" s="26">
        <v>9</v>
      </c>
      <c r="C12" s="422">
        <f>'ANALYSE - ERP =&gt; SOUS-SEGMENT'!$A$21</f>
        <v>14</v>
      </c>
      <c r="D12" s="413" t="str">
        <f>'ANALYSE - ERP =&gt; SOUS-SEGMENT'!$B$21</f>
        <v>Sports &amp; Loisirs</v>
      </c>
      <c r="E12" s="413" t="str">
        <f>'ANALYSE - ERP =&gt; SOUS-SEGMENT'!$C$21</f>
        <v>Sport couvert / Thermalisme / Bien-être</v>
      </c>
      <c r="F12" s="413" t="str">
        <f>'ANALYSE - ERP =&gt; SOUS-SEGMENT'!$D$21</f>
        <v>Gymnases / salles multisports
(hors scolaire, mais gymnase municipaux inclus)</v>
      </c>
      <c r="H12" s="458">
        <f>'ANALYSE - ERP =&gt; SOUS-SEGMENT'!$BE$21*'ANALYSE - ERP =&gt; SOUS-SEGMENT'!$IO$21</f>
        <v>30030.879999999997</v>
      </c>
      <c r="I12" s="458">
        <f>'ANALYSE - ERP =&gt; SOUS-SEGMENT'!$BE$21*'ANALYSE - ERP =&gt; SOUS-SEGMENT'!$IP$21</f>
        <v>149115.51999999999</v>
      </c>
      <c r="J12" s="458">
        <f>'ANALYSE - ERP =&gt; SOUS-SEGMENT'!$BE$21*'ANALYSE - ERP =&gt; SOUS-SEGMENT'!$IQ$21</f>
        <v>62453.599999999999</v>
      </c>
      <c r="K12" s="458">
        <f>'ANALYSE - ERP =&gt; SOUS-SEGMENT'!$BE$21*'ANALYSE - ERP =&gt; SOUS-SEGMENT'!$IR$21</f>
        <v>0</v>
      </c>
      <c r="L12" s="458">
        <f>'ANALYSE - ERP =&gt; SOUS-SEGMENT'!$BE$21*'ANALYSE - ERP =&gt; SOUS-SEGMENT'!$IS$21</f>
        <v>0</v>
      </c>
      <c r="N12" s="458">
        <f>'ANALYSE - ERP =&gt; SOUS-SEGMENT'!$FA$21*'ANALYSE - ERP =&gt; SOUS-SEGMENT'!$IT$21</f>
        <v>6943.2077796000003</v>
      </c>
      <c r="O12" s="458">
        <f>'ANALYSE - ERP =&gt; SOUS-SEGMENT'!$FA$21*'ANALYSE - ERP =&gt; SOUS-SEGMENT'!$IU$21</f>
        <v>65887.387508520012</v>
      </c>
      <c r="P12" s="458">
        <f>'ANALYSE - ERP =&gt; SOUS-SEGMENT'!$FA$21*'ANALYSE - ERP =&gt; SOUS-SEGMENT'!$IV$21</f>
        <v>48980.067511880006</v>
      </c>
      <c r="Q12" s="458">
        <f>'ANALYSE - ERP =&gt; SOUS-SEGMENT'!$FA$21*'ANALYSE - ERP =&gt; SOUS-SEGMENT'!$IW$21</f>
        <v>0</v>
      </c>
      <c r="R12" s="458">
        <f>'ANALYSE - ERP =&gt; SOUS-SEGMENT'!$FA$21*'ANALYSE - ERP =&gt; SOUS-SEGMENT'!$IX$21</f>
        <v>0</v>
      </c>
      <c r="T12" s="430">
        <f>'ANALYSE - ERP =&gt; SOUS-SEGMENT'!$Q$21</f>
        <v>1</v>
      </c>
    </row>
    <row r="13" spans="1:78" s="45" customFormat="1" ht="15" customHeight="1">
      <c r="A13" s="406">
        <v>10</v>
      </c>
      <c r="B13" s="406">
        <v>11</v>
      </c>
      <c r="C13" s="448">
        <f>'ANALYSE - ERP =&gt; SOUS-SEGMENT'!$A$13</f>
        <v>6</v>
      </c>
      <c r="D13" s="449" t="str">
        <f>'ANALYSE - ERP =&gt; SOUS-SEGMENT'!$B$13</f>
        <v>Enfance, Enseignement, Jeunesse &amp; Formation</v>
      </c>
      <c r="E13" s="449" t="str">
        <f>'ANALYSE - ERP =&gt; SOUS-SEGMENT'!$C$13</f>
        <v>Enseignement scolaire</v>
      </c>
      <c r="F13" s="449" t="str">
        <f>'ANALYSE - ERP =&gt; SOUS-SEGMENT'!$D$13</f>
        <v>Collèges
(vestiaires EPS inclus)</v>
      </c>
      <c r="G13" s="685"/>
      <c r="H13" s="459">
        <f>'ANALYSE - ERP =&gt; SOUS-SEGMENT'!$BE$13*'ANALYSE - ERP =&gt; SOUS-SEGMENT'!$IO$13</f>
        <v>21202.412400000001</v>
      </c>
      <c r="I13" s="459">
        <f>'ANALYSE - ERP =&gt; SOUS-SEGMENT'!$BE$13*'ANALYSE - ERP =&gt; SOUS-SEGMENT'!$IP$13</f>
        <v>107320.1298</v>
      </c>
      <c r="J13" s="459">
        <f>'ANALYSE - ERP =&gt; SOUS-SEGMENT'!$BE$13*'ANALYSE - ERP =&gt; SOUS-SEGMENT'!$IQ$13</f>
        <v>62494.403399999996</v>
      </c>
      <c r="K13" s="459">
        <f>'ANALYSE - ERP =&gt; SOUS-SEGMENT'!$BE$13*'ANALYSE - ERP =&gt; SOUS-SEGMENT'!$IR$13</f>
        <v>4178.0075999999999</v>
      </c>
      <c r="L13" s="459">
        <f>'ANALYSE - ERP =&gt; SOUS-SEGMENT'!$BE$13*'ANALYSE - ERP =&gt; SOUS-SEGMENT'!$IS$13</f>
        <v>39.046800000000005</v>
      </c>
      <c r="M13" s="685"/>
      <c r="N13" s="459">
        <f>'ANALYSE - ERP =&gt; SOUS-SEGMENT'!$FA$13*'ANALYSE - ERP =&gt; SOUS-SEGMENT'!$IT$13</f>
        <v>2343.8528142743999</v>
      </c>
      <c r="O13" s="459">
        <f>'ANALYSE - ERP =&gt; SOUS-SEGMENT'!$FA$13*'ANALYSE - ERP =&gt; SOUS-SEGMENT'!$IU$13</f>
        <v>24030.350978348288</v>
      </c>
      <c r="P13" s="459">
        <f>'ANALYSE - ERP =&gt; SOUS-SEGMENT'!$FA$13*'ANALYSE - ERP =&gt; SOUS-SEGMENT'!$IV$13</f>
        <v>28325.461260506123</v>
      </c>
      <c r="Q13" s="459">
        <f>'ANALYSE - ERP =&gt; SOUS-SEGMENT'!$FA$13*'ANALYSE - ERP =&gt; SOUS-SEGMENT'!$IW$13</f>
        <v>3838.0589833743302</v>
      </c>
      <c r="R13" s="459">
        <f>'ANALYSE - ERP =&gt; SOUS-SEGMENT'!$FA$13*'ANALYSE - ERP =&gt; SOUS-SEGMENT'!$IX$13</f>
        <v>58.596320356859998</v>
      </c>
      <c r="S13" s="685"/>
      <c r="T13" s="450">
        <f>'ANALYSE - ERP =&gt; SOUS-SEGMENT'!$Q$13</f>
        <v>1</v>
      </c>
      <c r="U13" s="685"/>
      <c r="V13" s="685"/>
      <c r="W13" s="685"/>
      <c r="X13" s="685"/>
      <c r="Y13" s="685"/>
      <c r="Z13" s="685"/>
      <c r="AA13" s="685"/>
      <c r="AB13" s="685"/>
      <c r="AC13" s="685"/>
      <c r="AD13" s="685"/>
      <c r="AE13" s="685"/>
      <c r="AF13" s="685"/>
      <c r="AG13" s="685"/>
      <c r="AH13" s="685"/>
      <c r="AI13" s="685"/>
      <c r="AJ13" s="685"/>
      <c r="AK13" s="685"/>
      <c r="AL13" s="685"/>
      <c r="AM13" s="685"/>
      <c r="AN13" s="685"/>
      <c r="AO13" s="685"/>
      <c r="AP13" s="685"/>
      <c r="AQ13" s="685"/>
      <c r="AR13" s="685"/>
      <c r="AS13" s="685"/>
      <c r="AT13" s="685"/>
      <c r="AU13" s="685"/>
      <c r="AV13" s="685"/>
      <c r="AW13" s="685"/>
      <c r="AX13" s="685"/>
      <c r="AY13" s="685"/>
      <c r="AZ13" s="685"/>
      <c r="BA13" s="685"/>
      <c r="BB13" s="685"/>
      <c r="BC13" s="685"/>
      <c r="BD13" s="685"/>
      <c r="BE13" s="685"/>
      <c r="BF13" s="685"/>
      <c r="BG13" s="685"/>
      <c r="BH13" s="685"/>
      <c r="BI13" s="685"/>
      <c r="BJ13" s="685"/>
      <c r="BK13" s="685"/>
      <c r="BL13" s="685"/>
      <c r="BM13" s="685"/>
      <c r="BN13" s="685"/>
      <c r="BO13" s="685"/>
      <c r="BP13" s="685"/>
      <c r="BQ13" s="685"/>
      <c r="BR13" s="685"/>
      <c r="BS13" s="685"/>
      <c r="BT13" s="685"/>
      <c r="BU13" s="685"/>
      <c r="BV13" s="685"/>
      <c r="BW13" s="685"/>
      <c r="BX13" s="685"/>
      <c r="BY13" s="685"/>
      <c r="BZ13" s="685"/>
    </row>
    <row r="14" spans="1:78" ht="15" customHeight="1">
      <c r="A14" s="26">
        <v>11</v>
      </c>
      <c r="B14" s="26">
        <v>10</v>
      </c>
      <c r="C14" s="422">
        <f>'ANALYSE - ERP =&gt; SOUS-SEGMENT'!$A$76</f>
        <v>69</v>
      </c>
      <c r="D14" s="409" t="str">
        <f>'ANALYSE - ERP =&gt; SOUS-SEGMENT'!$B$76</f>
        <v>Commerce, Restauration &amp; Loisirs</v>
      </c>
      <c r="E14" s="409" t="str">
        <f>'ANALYSE - ERP =&gt; SOUS-SEGMENT'!$C$76</f>
        <v>Restauration / boissons</v>
      </c>
      <c r="F14" s="409" t="str">
        <f>'ANALYSE - ERP =&gt; SOUS-SEGMENT'!$D$76</f>
        <v>Cafés / bars / brasseries</v>
      </c>
      <c r="H14" s="458">
        <f>'ANALYSE - ERP =&gt; SOUS-SEGMENT'!$BE$76*'ANALYSE - ERP =&gt; SOUS-SEGMENT'!$IO$76</f>
        <v>2859.12</v>
      </c>
      <c r="I14" s="458">
        <f>'ANALYSE - ERP =&gt; SOUS-SEGMENT'!$BE$76*'ANALYSE - ERP =&gt; SOUS-SEGMENT'!$IP$76</f>
        <v>53721.36</v>
      </c>
      <c r="J14" s="458">
        <f>'ANALYSE - ERP =&gt; SOUS-SEGMENT'!$BE$76*'ANALYSE - ERP =&gt; SOUS-SEGMENT'!$IQ$76</f>
        <v>85058.819999999992</v>
      </c>
      <c r="K14" s="458">
        <f>'ANALYSE - ERP =&gt; SOUS-SEGMENT'!$BE$76*'ANALYSE - ERP =&gt; SOUS-SEGMENT'!$IR$76</f>
        <v>38071.440000000002</v>
      </c>
      <c r="L14" s="458">
        <f>'ANALYSE - ERP =&gt; SOUS-SEGMENT'!$BE$76*'ANALYSE - ERP =&gt; SOUS-SEGMENT'!$IS$76</f>
        <v>8389.26</v>
      </c>
      <c r="N14" s="458">
        <f>'ANALYSE - ERP =&gt; SOUS-SEGMENT'!$FA$76*'ANALYSE - ERP =&gt; SOUS-SEGMENT'!$IT$76</f>
        <v>0</v>
      </c>
      <c r="O14" s="458">
        <f>'ANALYSE - ERP =&gt; SOUS-SEGMENT'!$FA$76*'ANALYSE - ERP =&gt; SOUS-SEGMENT'!$IU$76</f>
        <v>20419.950647266207</v>
      </c>
      <c r="P14" s="458">
        <f>'ANALYSE - ERP =&gt; SOUS-SEGMENT'!$FA$76*'ANALYSE - ERP =&gt; SOUS-SEGMENT'!$IV$76</f>
        <v>47518.568972831752</v>
      </c>
      <c r="Q14" s="458">
        <f>'ANALYSE - ERP =&gt; SOUS-SEGMENT'!$FA$76*'ANALYSE - ERP =&gt; SOUS-SEGMENT'!$IW$76</f>
        <v>27007.683364741497</v>
      </c>
      <c r="R14" s="458">
        <f>'ANALYSE - ERP =&gt; SOUS-SEGMENT'!$FA$76*'ANALYSE - ERP =&gt; SOUS-SEGMENT'!$IX$76</f>
        <v>6092.642375211045</v>
      </c>
      <c r="T14" s="430">
        <f>'ANALYSE - ERP =&gt; SOUS-SEGMENT'!$Q$76</f>
        <v>1</v>
      </c>
    </row>
    <row r="15" spans="1:78" s="45" customFormat="1" ht="15" customHeight="1">
      <c r="A15" s="406">
        <v>12</v>
      </c>
      <c r="B15" s="406">
        <v>12</v>
      </c>
      <c r="C15" s="448">
        <f>'ANALYSE - ERP =&gt; SOUS-SEGMENT'!$A$14</f>
        <v>7</v>
      </c>
      <c r="D15" s="449" t="str">
        <f>'ANALYSE - ERP =&gt; SOUS-SEGMENT'!$B$14</f>
        <v>Enfance, Enseignement, Jeunesse &amp; Formation</v>
      </c>
      <c r="E15" s="449" t="str">
        <f>'ANALYSE - ERP =&gt; SOUS-SEGMENT'!$C$14</f>
        <v>Enseignement scolaire</v>
      </c>
      <c r="F15" s="449" t="str">
        <f>'ANALYSE - ERP =&gt; SOUS-SEGMENT'!$D$14</f>
        <v>Lycées
(vestiaires EPS inclus)</v>
      </c>
      <c r="G15" s="685"/>
      <c r="H15" s="459">
        <f>'ANALYSE - ERP =&gt; SOUS-SEGMENT'!$BE$14*'ANALYSE - ERP =&gt; SOUS-SEGMENT'!$IO$14</f>
        <v>18825.600000000002</v>
      </c>
      <c r="I15" s="459">
        <f>'ANALYSE - ERP =&gt; SOUS-SEGMENT'!$BE$14*'ANALYSE - ERP =&gt; SOUS-SEGMENT'!$IP$14</f>
        <v>101677.0656</v>
      </c>
      <c r="J15" s="459">
        <f>'ANALYSE - ERP =&gt; SOUS-SEGMENT'!$BE$14*'ANALYSE - ERP =&gt; SOUS-SEGMENT'!$IQ$14</f>
        <v>63197.539199999999</v>
      </c>
      <c r="K15" s="459">
        <f>'ANALYSE - ERP =&gt; SOUS-SEGMENT'!$BE$14*'ANALYSE - ERP =&gt; SOUS-SEGMENT'!$IR$14</f>
        <v>4518.1440000000002</v>
      </c>
      <c r="L15" s="459">
        <f>'ANALYSE - ERP =&gt; SOUS-SEGMENT'!$BE$14*'ANALYSE - ERP =&gt; SOUS-SEGMENT'!$IS$14</f>
        <v>37.651200000000003</v>
      </c>
      <c r="M15" s="685"/>
      <c r="N15" s="459">
        <f>'ANALYSE - ERP =&gt; SOUS-SEGMENT'!$FA$14*'ANALYSE - ERP =&gt; SOUS-SEGMENT'!$IT$14</f>
        <v>2033.8956212756161</v>
      </c>
      <c r="O15" s="459">
        <f>'ANALYSE - ERP =&gt; SOUS-SEGMENT'!$FA$14*'ANALYSE - ERP =&gt; SOUS-SEGMENT'!$IU$14</f>
        <v>22321.862807314559</v>
      </c>
      <c r="P15" s="459">
        <f>'ANALYSE - ERP =&gt; SOUS-SEGMENT'!$FA$14*'ANALYSE - ERP =&gt; SOUS-SEGMENT'!$IV$14</f>
        <v>28145.942747903235</v>
      </c>
      <c r="Q15" s="459">
        <f>'ANALYSE - ERP =&gt; SOUS-SEGMENT'!$FA$14*'ANALYSE - ERP =&gt; SOUS-SEGMENT'!$IW$14</f>
        <v>4084.7875847903038</v>
      </c>
      <c r="R15" s="459">
        <f>'ANALYSE - ERP =&gt; SOUS-SEGMENT'!$FA$14*'ANALYSE - ERP =&gt; SOUS-SEGMENT'!$IX$14</f>
        <v>67.985368956287999</v>
      </c>
      <c r="S15" s="685"/>
      <c r="T15" s="450">
        <f>'ANALYSE - ERP =&gt; SOUS-SEGMENT'!$Q$14</f>
        <v>1</v>
      </c>
      <c r="U15" s="685"/>
      <c r="V15" s="685"/>
      <c r="W15" s="685"/>
      <c r="X15" s="685"/>
      <c r="Y15" s="685"/>
      <c r="Z15" s="685"/>
      <c r="AA15" s="685"/>
      <c r="AB15" s="685"/>
      <c r="AC15" s="685"/>
      <c r="AD15" s="685"/>
      <c r="AE15" s="685"/>
      <c r="AF15" s="685"/>
      <c r="AG15" s="685"/>
      <c r="AH15" s="685"/>
      <c r="AI15" s="685"/>
      <c r="AJ15" s="685"/>
      <c r="AK15" s="685"/>
      <c r="AL15" s="685"/>
      <c r="AM15" s="685"/>
      <c r="AN15" s="685"/>
      <c r="AO15" s="685"/>
      <c r="AP15" s="685"/>
      <c r="AQ15" s="685"/>
      <c r="AR15" s="685"/>
      <c r="AS15" s="685"/>
      <c r="AT15" s="685"/>
      <c r="AU15" s="685"/>
      <c r="AV15" s="685"/>
      <c r="AW15" s="685"/>
      <c r="AX15" s="685"/>
      <c r="AY15" s="685"/>
      <c r="AZ15" s="685"/>
      <c r="BA15" s="685"/>
      <c r="BB15" s="685"/>
      <c r="BC15" s="685"/>
      <c r="BD15" s="685"/>
      <c r="BE15" s="685"/>
      <c r="BF15" s="685"/>
      <c r="BG15" s="685"/>
      <c r="BH15" s="685"/>
      <c r="BI15" s="685"/>
      <c r="BJ15" s="685"/>
      <c r="BK15" s="685"/>
      <c r="BL15" s="685"/>
      <c r="BM15" s="685"/>
      <c r="BN15" s="685"/>
      <c r="BO15" s="685"/>
      <c r="BP15" s="685"/>
      <c r="BQ15" s="685"/>
      <c r="BR15" s="685"/>
      <c r="BS15" s="685"/>
      <c r="BT15" s="685"/>
      <c r="BU15" s="685"/>
      <c r="BV15" s="685"/>
      <c r="BW15" s="685"/>
      <c r="BX15" s="685"/>
      <c r="BY15" s="685"/>
      <c r="BZ15" s="685"/>
    </row>
    <row r="16" spans="1:78" ht="15" customHeight="1">
      <c r="A16" s="26">
        <v>13</v>
      </c>
      <c r="B16" s="26">
        <v>13</v>
      </c>
      <c r="C16" s="422">
        <f>'ANALYSE - ERP =&gt; SOUS-SEGMENT'!$A$11</f>
        <v>4</v>
      </c>
      <c r="D16" s="408" t="str">
        <f>'ANALYSE - ERP =&gt; SOUS-SEGMENT'!$B$11</f>
        <v>Enfance, Enseignement, Jeunesse &amp; Formation</v>
      </c>
      <c r="E16" s="408" t="str">
        <f>'ANALYSE - ERP =&gt; SOUS-SEGMENT'!$C$11</f>
        <v>Enseignement scolaire</v>
      </c>
      <c r="F16" s="408" t="str">
        <f>'ANALYSE - ERP =&gt; SOUS-SEGMENT'!$D$11</f>
        <v>Écoles maternelles</v>
      </c>
      <c r="H16" s="458">
        <f>'ANALYSE - ERP =&gt; SOUS-SEGMENT'!$BE$11*'ANALYSE - ERP =&gt; SOUS-SEGMENT'!$IO$11</f>
        <v>15606.674999999999</v>
      </c>
      <c r="I16" s="458">
        <f>'ANALYSE - ERP =&gt; SOUS-SEGMENT'!$BE$11*'ANALYSE - ERP =&gt; SOUS-SEGMENT'!$IP$11</f>
        <v>88091.01</v>
      </c>
      <c r="J16" s="458">
        <f>'ANALYSE - ERP =&gt; SOUS-SEGMENT'!$BE$11*'ANALYSE - ERP =&gt; SOUS-SEGMENT'!$IQ$11</f>
        <v>57158.415000000001</v>
      </c>
      <c r="K16" s="458">
        <f>'ANALYSE - ERP =&gt; SOUS-SEGMENT'!$BE$11*'ANALYSE - ERP =&gt; SOUS-SEGMENT'!$IR$11</f>
        <v>4260.87</v>
      </c>
      <c r="L16" s="458">
        <f>'ANALYSE - ERP =&gt; SOUS-SEGMENT'!$BE$11*'ANALYSE - ERP =&gt; SOUS-SEGMENT'!$IS$11</f>
        <v>33.03</v>
      </c>
      <c r="N16" s="458">
        <f>'ANALYSE - ERP =&gt; SOUS-SEGMENT'!$FA$11*'ANALYSE - ERP =&gt; SOUS-SEGMENT'!$IT$11</f>
        <v>1596.1366148832003</v>
      </c>
      <c r="O16" s="458">
        <f>'ANALYSE - ERP =&gt; SOUS-SEGMENT'!$FA$11*'ANALYSE - ERP =&gt; SOUS-SEGMENT'!$IU$11</f>
        <v>16874.641167321603</v>
      </c>
      <c r="P16" s="458">
        <f>'ANALYSE - ERP =&gt; SOUS-SEGMENT'!$FA$11*'ANALYSE - ERP =&gt; SOUS-SEGMENT'!$IV$11</f>
        <v>20510.983901491203</v>
      </c>
      <c r="Q16" s="458">
        <f>'ANALYSE - ERP =&gt; SOUS-SEGMENT'!$FA$11*'ANALYSE - ERP =&gt; SOUS-SEGMENT'!$IW$11</f>
        <v>2865.5051038848005</v>
      </c>
      <c r="R16" s="458">
        <f>'ANALYSE - ERP =&gt; SOUS-SEGMENT'!$FA$11*'ANALYSE - ERP =&gt; SOUS-SEGMENT'!$IX$11</f>
        <v>46.082684419200014</v>
      </c>
      <c r="T16" s="430">
        <f>'ANALYSE - ERP =&gt; SOUS-SEGMENT'!$Q$11</f>
        <v>1</v>
      </c>
    </row>
    <row r="17" spans="1:20" ht="15" customHeight="1">
      <c r="A17" s="26">
        <v>14</v>
      </c>
      <c r="B17" s="26">
        <v>14</v>
      </c>
      <c r="C17" s="422">
        <f>'ANALYSE - ERP =&gt; SOUS-SEGMENT'!$A$27</f>
        <v>20</v>
      </c>
      <c r="D17" s="411" t="str">
        <f>'ANALYSE - ERP =&gt; SOUS-SEGMENT'!$B$27</f>
        <v>Sports &amp; Loisirs</v>
      </c>
      <c r="E17" s="411" t="str">
        <f>'ANALYSE - ERP =&gt; SOUS-SEGMENT'!$C$27</f>
        <v>Sport de plein air</v>
      </c>
      <c r="F17" s="411" t="str">
        <f>'ANALYSE - ERP =&gt; SOUS-SEGMENT'!$D$27</f>
        <v>Terrains de sport
(Hors scolaire, sans tribune)</v>
      </c>
      <c r="H17" s="458">
        <f>'ANALYSE - ERP =&gt; SOUS-SEGMENT'!$BE$27*'ANALYSE - ERP =&gt; SOUS-SEGMENT'!$IO$27</f>
        <v>34320</v>
      </c>
      <c r="I17" s="458">
        <f>'ANALYSE - ERP =&gt; SOUS-SEGMENT'!$BE$27*'ANALYSE - ERP =&gt; SOUS-SEGMENT'!$IP$27</f>
        <v>122264.99999999999</v>
      </c>
      <c r="J17" s="458">
        <f>'ANALYSE - ERP =&gt; SOUS-SEGMENT'!$BE$27*'ANALYSE - ERP =&gt; SOUS-SEGMENT'!$IQ$27</f>
        <v>53625</v>
      </c>
      <c r="K17" s="458">
        <f>'ANALYSE - ERP =&gt; SOUS-SEGMENT'!$BE$27*'ANALYSE - ERP =&gt; SOUS-SEGMENT'!$IR$27</f>
        <v>4290</v>
      </c>
      <c r="L17" s="458">
        <f>'ANALYSE - ERP =&gt; SOUS-SEGMENT'!$BE$27*'ANALYSE - ERP =&gt; SOUS-SEGMENT'!$IS$27</f>
        <v>0</v>
      </c>
      <c r="N17" s="458">
        <f>'ANALYSE - ERP =&gt; SOUS-SEGMENT'!$FA$27*'ANALYSE - ERP =&gt; SOUS-SEGMENT'!$IT$27</f>
        <v>14197.700843475501</v>
      </c>
      <c r="O17" s="458">
        <f>'ANALYSE - ERP =&gt; SOUS-SEGMENT'!$FA$27*'ANALYSE - ERP =&gt; SOUS-SEGMENT'!$IU$27</f>
        <v>54705.547241585497</v>
      </c>
      <c r="P17" s="458">
        <f>'ANALYSE - ERP =&gt; SOUS-SEGMENT'!$FA$27*'ANALYSE - ERP =&gt; SOUS-SEGMENT'!$IV$27</f>
        <v>26709.237637374499</v>
      </c>
      <c r="Q17" s="458">
        <f>'ANALYSE - ERP =&gt; SOUS-SEGMENT'!$FA$27*'ANALYSE - ERP =&gt; SOUS-SEGMENT'!$IW$27</f>
        <v>3761.4428798244994</v>
      </c>
      <c r="R17" s="458">
        <f>'ANALYSE - ERP =&gt; SOUS-SEGMENT'!$FA$27*'ANALYSE - ERP =&gt; SOUS-SEGMENT'!$IX$27</f>
        <v>399.09208273999997</v>
      </c>
      <c r="T17" s="430">
        <f>'ANALYSE - ERP =&gt; SOUS-SEGMENT'!$Q$27</f>
        <v>1</v>
      </c>
    </row>
    <row r="18" spans="1:20" ht="15" customHeight="1">
      <c r="A18" s="26">
        <v>15</v>
      </c>
      <c r="B18" s="26">
        <v>15</v>
      </c>
      <c r="C18" s="422">
        <f>'ANALYSE - ERP =&gt; SOUS-SEGMENT'!$A$29</f>
        <v>22</v>
      </c>
      <c r="D18" s="409" t="str">
        <f>'ANALYSE - ERP =&gt; SOUS-SEGMENT'!$B$29</f>
        <v>Sports &amp; Loisirs</v>
      </c>
      <c r="E18" s="409" t="str">
        <f>'ANALYSE - ERP =&gt; SOUS-SEGMENT'!$C$29</f>
        <v>Sport de plein air</v>
      </c>
      <c r="F18" s="409" t="str">
        <f>'ANALYSE - ERP =&gt; SOUS-SEGMENT'!$D$29</f>
        <v xml:space="preserve">Grands stades avec tribunes
(Type football/rugby) </v>
      </c>
      <c r="H18" s="458">
        <f>'ANALYSE - ERP =&gt; SOUS-SEGMENT'!$BE$29*'ANALYSE - ERP =&gt; SOUS-SEGMENT'!$IO$29</f>
        <v>896.65499999999997</v>
      </c>
      <c r="I18" s="458">
        <f>'ANALYSE - ERP =&gt; SOUS-SEGMENT'!$BE$29*'ANALYSE - ERP =&gt; SOUS-SEGMENT'!$IP$29</f>
        <v>11545.424999999999</v>
      </c>
      <c r="J18" s="458">
        <f>'ANALYSE - ERP =&gt; SOUS-SEGMENT'!$BE$29*'ANALYSE - ERP =&gt; SOUS-SEGMENT'!$IQ$29</f>
        <v>13116.555</v>
      </c>
      <c r="K18" s="458">
        <f>'ANALYSE - ERP =&gt; SOUS-SEGMENT'!$BE$29*'ANALYSE - ERP =&gt; SOUS-SEGMENT'!$IR$29</f>
        <v>891.36500000000001</v>
      </c>
      <c r="L18" s="458">
        <f>'ANALYSE - ERP =&gt; SOUS-SEGMENT'!$BE$29*'ANALYSE - ERP =&gt; SOUS-SEGMENT'!$IS$29</f>
        <v>0</v>
      </c>
      <c r="N18" s="458">
        <f>'ANALYSE - ERP =&gt; SOUS-SEGMENT'!$FA$29*'ANALYSE - ERP =&gt; SOUS-SEGMENT'!$IT$29</f>
        <v>39.694785118545454</v>
      </c>
      <c r="O18" s="458">
        <f>'ANALYSE - ERP =&gt; SOUS-SEGMENT'!$FA$29*'ANALYSE - ERP =&gt; SOUS-SEGMENT'!$IU$29</f>
        <v>3552.6832681098185</v>
      </c>
      <c r="P18" s="458">
        <f>'ANALYSE - ERP =&gt; SOUS-SEGMENT'!$FA$29*'ANALYSE - ERP =&gt; SOUS-SEGMENT'!$IV$29</f>
        <v>8087.1508881516602</v>
      </c>
      <c r="Q18" s="458">
        <f>'ANALYSE - ERP =&gt; SOUS-SEGMENT'!$FA$29*'ANALYSE - ERP =&gt; SOUS-SEGMENT'!$IW$29</f>
        <v>1552.0660981351273</v>
      </c>
      <c r="R18" s="458">
        <f>'ANALYSE - ERP =&gt; SOUS-SEGMENT'!$FA$29*'ANALYSE - ERP =&gt; SOUS-SEGMENT'!$IX$29</f>
        <v>0</v>
      </c>
      <c r="T18" s="430">
        <f>'ANALYSE - ERP =&gt; SOUS-SEGMENT'!$Q$29</f>
        <v>1</v>
      </c>
    </row>
    <row r="19" spans="1:20" ht="15" customHeight="1">
      <c r="A19" s="26">
        <v>16</v>
      </c>
      <c r="B19" s="26">
        <v>17</v>
      </c>
      <c r="C19" s="422">
        <f>'ANALYSE - ERP =&gt; SOUS-SEGMENT'!$A$56</f>
        <v>49</v>
      </c>
      <c r="D19" s="409" t="str">
        <f>'ANALYSE - ERP =&gt; SOUS-SEGMENT'!$B$56</f>
        <v>Santé &amp; Médico-social</v>
      </c>
      <c r="E19" s="409" t="str">
        <f>'ANALYSE - ERP =&gt; SOUS-SEGMENT'!$C$56</f>
        <v>Médico-social</v>
      </c>
      <c r="F19" s="409" t="str">
        <f>'ANALYSE - ERP =&gt; SOUS-SEGMENT'!$D$56</f>
        <v>Foyers pour personnes handicapées</v>
      </c>
      <c r="H19" s="458">
        <f>'ANALYSE - ERP =&gt; SOUS-SEGMENT'!$BE$56*'ANALYSE - ERP =&gt; SOUS-SEGMENT'!$IO$56</f>
        <v>0</v>
      </c>
      <c r="I19" s="458">
        <f>'ANALYSE - ERP =&gt; SOUS-SEGMENT'!$BE$56*'ANALYSE - ERP =&gt; SOUS-SEGMENT'!$IP$56</f>
        <v>20886.300000000003</v>
      </c>
      <c r="J19" s="458">
        <f>'ANALYSE - ERP =&gt; SOUS-SEGMENT'!$BE$56*'ANALYSE - ERP =&gt; SOUS-SEGMENT'!$IQ$56</f>
        <v>37970.700000000004</v>
      </c>
      <c r="K19" s="458">
        <f>'ANALYSE - ERP =&gt; SOUS-SEGMENT'!$BE$56*'ANALYSE - ERP =&gt; SOUS-SEGMENT'!$IR$56</f>
        <v>10143</v>
      </c>
      <c r="L19" s="458">
        <f>'ANALYSE - ERP =&gt; SOUS-SEGMENT'!$BE$56*'ANALYSE - ERP =&gt; SOUS-SEGMENT'!$IS$56</f>
        <v>0</v>
      </c>
      <c r="N19" s="458">
        <f>'ANALYSE - ERP =&gt; SOUS-SEGMENT'!$FA$56*'ANALYSE - ERP =&gt; SOUS-SEGMENT'!$IT$56</f>
        <v>0</v>
      </c>
      <c r="O19" s="458">
        <f>'ANALYSE - ERP =&gt; SOUS-SEGMENT'!$FA$56*'ANALYSE - ERP =&gt; SOUS-SEGMENT'!$IU$56</f>
        <v>4364.6977587203992</v>
      </c>
      <c r="P19" s="458">
        <f>'ANALYSE - ERP =&gt; SOUS-SEGMENT'!$FA$56*'ANALYSE - ERP =&gt; SOUS-SEGMENT'!$IV$56</f>
        <v>16576.533916207627</v>
      </c>
      <c r="Q19" s="458">
        <f>'ANALYSE - ERP =&gt; SOUS-SEGMENT'!$FA$56*'ANALYSE - ERP =&gt; SOUS-SEGMENT'!$IW$56</f>
        <v>8176.1649809785722</v>
      </c>
      <c r="R19" s="458">
        <f>'ANALYSE - ERP =&gt; SOUS-SEGMENT'!$FA$56*'ANALYSE - ERP =&gt; SOUS-SEGMENT'!$IX$56</f>
        <v>0</v>
      </c>
      <c r="T19" s="430">
        <f>'ANALYSE - ERP =&gt; SOUS-SEGMENT'!$Q$56</f>
        <v>1</v>
      </c>
    </row>
    <row r="20" spans="1:20" ht="15" customHeight="1">
      <c r="A20" s="26">
        <v>17</v>
      </c>
      <c r="B20" s="26">
        <v>16</v>
      </c>
      <c r="C20" s="422">
        <f>'ANALYSE - ERP =&gt; SOUS-SEGMENT'!$A$94</f>
        <v>87</v>
      </c>
      <c r="D20" s="416" t="str">
        <f>'ANALYSE - ERP =&gt; SOUS-SEGMENT'!$B$94</f>
        <v>Hébergement Touristique</v>
      </c>
      <c r="E20" s="416" t="str">
        <f>'ANALYSE - ERP =&gt; SOUS-SEGMENT'!$C$94</f>
        <v>Tourisme de plein air</v>
      </c>
      <c r="F20" s="416" t="str">
        <f>'ANALYSE - ERP =&gt; SOUS-SEGMENT'!$D$94</f>
        <v>Campings</v>
      </c>
      <c r="H20" s="458">
        <f>'ANALYSE - ERP =&gt; SOUS-SEGMENT'!$BE$94*'ANALYSE - ERP =&gt; SOUS-SEGMENT'!$IO$94</f>
        <v>16093.74</v>
      </c>
      <c r="I20" s="458">
        <f>'ANALYSE - ERP =&gt; SOUS-SEGMENT'!$BE$94*'ANALYSE - ERP =&gt; SOUS-SEGMENT'!$IP$94</f>
        <v>71368.23000000001</v>
      </c>
      <c r="J20" s="458">
        <f>'ANALYSE - ERP =&gt; SOUS-SEGMENT'!$BE$94*'ANALYSE - ERP =&gt; SOUS-SEGMENT'!$IQ$94</f>
        <v>41129.910000000003</v>
      </c>
      <c r="K20" s="458">
        <f>'ANALYSE - ERP =&gt; SOUS-SEGMENT'!$BE$94*'ANALYSE - ERP =&gt; SOUS-SEGMENT'!$IR$94</f>
        <v>3081.78</v>
      </c>
      <c r="L20" s="458">
        <f>'ANALYSE - ERP =&gt; SOUS-SEGMENT'!$BE$94*'ANALYSE - ERP =&gt; SOUS-SEGMENT'!$IS$94</f>
        <v>26.34</v>
      </c>
      <c r="N20" s="458">
        <f>'ANALYSE - ERP =&gt; SOUS-SEGMENT'!$FA$94*'ANALYSE - ERP =&gt; SOUS-SEGMENT'!$IT$94</f>
        <v>2877.1684703009455</v>
      </c>
      <c r="O20" s="458">
        <f>'ANALYSE - ERP =&gt; SOUS-SEGMENT'!$FA$94*'ANALYSE - ERP =&gt; SOUS-SEGMENT'!$IU$94</f>
        <v>23561.974298850764</v>
      </c>
      <c r="P20" s="458">
        <f>'ANALYSE - ERP =&gt; SOUS-SEGMENT'!$FA$94*'ANALYSE - ERP =&gt; SOUS-SEGMENT'!$IV$94</f>
        <v>25052.8206763872</v>
      </c>
      <c r="Q20" s="458">
        <f>'ANALYSE - ERP =&gt; SOUS-SEGMENT'!$FA$94*'ANALYSE - ERP =&gt; SOUS-SEGMENT'!$IW$94</f>
        <v>3460.3039537653817</v>
      </c>
      <c r="R20" s="458">
        <f>'ANALYSE - ERP =&gt; SOUS-SEGMENT'!$FA$94*'ANALYSE - ERP =&gt; SOUS-SEGMENT'!$IX$94</f>
        <v>60.514059604800003</v>
      </c>
      <c r="T20" s="430">
        <f>'ANALYSE - ERP =&gt; SOUS-SEGMENT'!$Q$94</f>
        <v>1</v>
      </c>
    </row>
    <row r="21" spans="1:20" ht="15" customHeight="1">
      <c r="A21" s="26">
        <v>18</v>
      </c>
      <c r="B21" s="26">
        <v>20</v>
      </c>
      <c r="C21" s="422">
        <f>'ANALYSE - ERP =&gt; SOUS-SEGMENT'!$A$8</f>
        <v>1</v>
      </c>
      <c r="D21" s="417" t="str">
        <f>'ANALYSE - ERP =&gt; SOUS-SEGMENT'!$B$8</f>
        <v>Enfance, Enseignement, Jeunesse &amp; Formation</v>
      </c>
      <c r="E21" s="417" t="str">
        <f>'ANALYSE - ERP =&gt; SOUS-SEGMENT'!$C$8</f>
        <v>Petite enfance</v>
      </c>
      <c r="F21" s="417" t="str">
        <f>'ANALYSE - ERP =&gt; SOUS-SEGMENT'!$D$8</f>
        <v>Crèches</v>
      </c>
      <c r="H21" s="458">
        <f>'ANALYSE - ERP =&gt; SOUS-SEGMENT'!$BE$8*'ANALYSE - ERP =&gt; SOUS-SEGMENT'!$IO$8</f>
        <v>731.81700000000001</v>
      </c>
      <c r="I21" s="458">
        <f>'ANALYSE - ERP =&gt; SOUS-SEGMENT'!$BE$8*'ANALYSE - ERP =&gt; SOUS-SEGMENT'!$IP$8</f>
        <v>37154.708999999995</v>
      </c>
      <c r="J21" s="458">
        <f>'ANALYSE - ERP =&gt; SOUS-SEGMENT'!$BE$8*'ANALYSE - ERP =&gt; SOUS-SEGMENT'!$IQ$8</f>
        <v>66259.430999999997</v>
      </c>
      <c r="K21" s="458">
        <f>'ANALYSE - ERP =&gt; SOUS-SEGMENT'!$BE$8*'ANALYSE - ERP =&gt; SOUS-SEGMENT'!$IR$8</f>
        <v>15824.042999999998</v>
      </c>
      <c r="L21" s="458">
        <f>'ANALYSE - ERP =&gt; SOUS-SEGMENT'!$BE$8*'ANALYSE - ERP =&gt; SOUS-SEGMENT'!$IS$8</f>
        <v>0</v>
      </c>
      <c r="N21" s="458">
        <f>'ANALYSE - ERP =&gt; SOUS-SEGMENT'!$FA$8*'ANALYSE - ERP =&gt; SOUS-SEGMENT'!$IT$8</f>
        <v>0</v>
      </c>
      <c r="O21" s="458">
        <f>'ANALYSE - ERP =&gt; SOUS-SEGMENT'!$FA$8*'ANALYSE - ERP =&gt; SOUS-SEGMENT'!$IU$8</f>
        <v>4059.8134167914404</v>
      </c>
      <c r="P21" s="458">
        <f>'ANALYSE - ERP =&gt; SOUS-SEGMENT'!$FA$8*'ANALYSE - ERP =&gt; SOUS-SEGMENT'!$IV$8</f>
        <v>15040.436832081361</v>
      </c>
      <c r="Q21" s="458">
        <f>'ANALYSE - ERP =&gt; SOUS-SEGMENT'!$FA$8*'ANALYSE - ERP =&gt; SOUS-SEGMENT'!$IW$8</f>
        <v>7839.4539103272</v>
      </c>
      <c r="R21" s="458">
        <f>'ANALYSE - ERP =&gt; SOUS-SEGMENT'!$FA$8*'ANALYSE - ERP =&gt; SOUS-SEGMENT'!$IX$8</f>
        <v>0</v>
      </c>
      <c r="T21" s="430">
        <f>'ANALYSE - ERP =&gt; SOUS-SEGMENT'!$Q$8</f>
        <v>1</v>
      </c>
    </row>
    <row r="22" spans="1:20" ht="15" customHeight="1">
      <c r="A22" s="26">
        <v>19</v>
      </c>
      <c r="B22" s="26">
        <v>18</v>
      </c>
      <c r="C22" s="422">
        <f>'ANALYSE - ERP =&gt; SOUS-SEGMENT'!$A$84</f>
        <v>77</v>
      </c>
      <c r="D22" s="408" t="str">
        <f>'ANALYSE - ERP =&gt; SOUS-SEGMENT'!$B$84</f>
        <v>Tertiaire &amp; Industriel</v>
      </c>
      <c r="E22" s="408" t="str">
        <f>'ANALYSE - ERP =&gt; SOUS-SEGMENT'!$C$84</f>
        <v>Usines &amp; Ateliers</v>
      </c>
      <c r="F22" s="408" t="str">
        <f>'ANALYSE - ERP =&gt; SOUS-SEGMENT'!$D$84</f>
        <v>Usines 
(&gt;50 salariés)
(Hors Ateliers industriels)</v>
      </c>
      <c r="H22" s="458">
        <f>'ANALYSE - ERP =&gt; SOUS-SEGMENT'!$BE$84*'ANALYSE - ERP =&gt; SOUS-SEGMENT'!$IO$84</f>
        <v>6525</v>
      </c>
      <c r="I22" s="458">
        <f>'ANALYSE - ERP =&gt; SOUS-SEGMENT'!$BE$84*'ANALYSE - ERP =&gt; SOUS-SEGMENT'!$IP$84</f>
        <v>87000</v>
      </c>
      <c r="J22" s="458">
        <f>'ANALYSE - ERP =&gt; SOUS-SEGMENT'!$BE$84*'ANALYSE - ERP =&gt; SOUS-SEGMENT'!$IQ$84</f>
        <v>108750</v>
      </c>
      <c r="K22" s="458">
        <f>'ANALYSE - ERP =&gt; SOUS-SEGMENT'!$BE$84*'ANALYSE - ERP =&gt; SOUS-SEGMENT'!$IR$84</f>
        <v>15225.000000000002</v>
      </c>
      <c r="L22" s="458">
        <f>'ANALYSE - ERP =&gt; SOUS-SEGMENT'!$BE$84*'ANALYSE - ERP =&gt; SOUS-SEGMENT'!$IS$84</f>
        <v>0</v>
      </c>
      <c r="N22" s="458">
        <f>'ANALYSE - ERP =&gt; SOUS-SEGMENT'!$FA$84*'ANALYSE - ERP =&gt; SOUS-SEGMENT'!$IT$84</f>
        <v>682.20331564464288</v>
      </c>
      <c r="O22" s="458">
        <f>'ANALYSE - ERP =&gt; SOUS-SEGMENT'!$FA$84*'ANALYSE - ERP =&gt; SOUS-SEGMENT'!$IU$84</f>
        <v>32605.820009272164</v>
      </c>
      <c r="P22" s="458">
        <f>'ANALYSE - ERP =&gt; SOUS-SEGMENT'!$FA$84*'ANALYSE - ERP =&gt; SOUS-SEGMENT'!$IV$84</f>
        <v>45672.637362773399</v>
      </c>
      <c r="Q22" s="458">
        <f>'ANALYSE - ERP =&gt; SOUS-SEGMENT'!$FA$84*'ANALYSE - ERP =&gt; SOUS-SEGMENT'!$IW$84</f>
        <v>8063.9930387738559</v>
      </c>
      <c r="R22" s="458">
        <f>'ANALYSE - ERP =&gt; SOUS-SEGMENT'!$FA$84*'ANALYSE - ERP =&gt; SOUS-SEGMENT'!$IX$84</f>
        <v>437.30981772092491</v>
      </c>
      <c r="T22" s="430">
        <f>'ANALYSE - ERP =&gt; SOUS-SEGMENT'!$Q$84</f>
        <v>1</v>
      </c>
    </row>
    <row r="23" spans="1:20" ht="15" customHeight="1">
      <c r="A23" s="26">
        <v>20</v>
      </c>
      <c r="B23" s="26">
        <v>19</v>
      </c>
      <c r="C23" s="422">
        <f>'ANALYSE - ERP =&gt; SOUS-SEGMENT'!$A$44</f>
        <v>37</v>
      </c>
      <c r="D23" s="409" t="str">
        <f>'ANALYSE - ERP =&gt; SOUS-SEGMENT'!$B$44</f>
        <v>Santé &amp; Médico-social</v>
      </c>
      <c r="E23" s="409" t="str">
        <f>'ANALYSE - ERP =&gt; SOUS-SEGMENT'!$C$44</f>
        <v>Santé hospitalière</v>
      </c>
      <c r="F23" s="409" t="str">
        <f>'ANALYSE - ERP =&gt; SOUS-SEGMENT'!$D$44</f>
        <v>Hôpitaux publics 
(Hors CHU, Universitaire, Militaire, Carcéral)</v>
      </c>
      <c r="H23" s="458">
        <f>'ANALYSE - ERP =&gt; SOUS-SEGMENT'!$BE$44*'ANALYSE - ERP =&gt; SOUS-SEGMENT'!$IO$44</f>
        <v>0</v>
      </c>
      <c r="I23" s="458">
        <f>'ANALYSE - ERP =&gt; SOUS-SEGMENT'!$BE$44*'ANALYSE - ERP =&gt; SOUS-SEGMENT'!$IP$44</f>
        <v>34274.35</v>
      </c>
      <c r="J23" s="458">
        <f>'ANALYSE - ERP =&gt; SOUS-SEGMENT'!$BE$44*'ANALYSE - ERP =&gt; SOUS-SEGMENT'!$IQ$44</f>
        <v>81484.721999999994</v>
      </c>
      <c r="K23" s="458">
        <f>'ANALYSE - ERP =&gt; SOUS-SEGMENT'!$BE$44*'ANALYSE - ERP =&gt; SOUS-SEGMENT'!$IR$44</f>
        <v>19980.928</v>
      </c>
      <c r="L23" s="458">
        <f>'ANALYSE - ERP =&gt; SOUS-SEGMENT'!$BE$44*'ANALYSE - ERP =&gt; SOUS-SEGMENT'!$IS$44</f>
        <v>0</v>
      </c>
      <c r="N23" s="458">
        <f>'ANALYSE - ERP =&gt; SOUS-SEGMENT'!$FA$44*'ANALYSE - ERP =&gt; SOUS-SEGMENT'!$IT$44</f>
        <v>0</v>
      </c>
      <c r="O23" s="458">
        <f>'ANALYSE - ERP =&gt; SOUS-SEGMENT'!$FA$44*'ANALYSE - ERP =&gt; SOUS-SEGMENT'!$IU$44</f>
        <v>10370.800010700001</v>
      </c>
      <c r="P23" s="458">
        <f>'ANALYSE - ERP =&gt; SOUS-SEGMENT'!$FA$44*'ANALYSE - ERP =&gt; SOUS-SEGMENT'!$IV$44</f>
        <v>43966.558158300002</v>
      </c>
      <c r="Q23" s="458">
        <f>'ANALYSE - ERP =&gt; SOUS-SEGMENT'!$FA$44*'ANALYSE - ERP =&gt; SOUS-SEGMENT'!$IW$44</f>
        <v>19792.734831000002</v>
      </c>
      <c r="R23" s="458">
        <f>'ANALYSE - ERP =&gt; SOUS-SEGMENT'!$FA$44*'ANALYSE - ERP =&gt; SOUS-SEGMENT'!$IX$44</f>
        <v>0</v>
      </c>
      <c r="T23" s="430">
        <f>'ANALYSE - ERP =&gt; SOUS-SEGMENT'!$Q$44</f>
        <v>1</v>
      </c>
    </row>
    <row r="24" spans="1:20" ht="15" customHeight="1">
      <c r="A24" s="26">
        <v>21</v>
      </c>
      <c r="B24" s="26">
        <v>21</v>
      </c>
      <c r="C24" s="422">
        <f>'ANALYSE - ERP =&gt; SOUS-SEGMENT'!$A$35</f>
        <v>28</v>
      </c>
      <c r="D24" s="414" t="str">
        <f>'ANALYSE - ERP =&gt; SOUS-SEGMENT'!$B$35</f>
        <v>Sports &amp; Loisirs</v>
      </c>
      <c r="E24" s="414" t="str">
        <f>'ANALYSE - ERP =&gt; SOUS-SEGMENT'!$C$35</f>
        <v>Loisirs de plein air</v>
      </c>
      <c r="F24" s="414" t="str">
        <f>'ANALYSE - ERP =&gt; SOUS-SEGMENT'!$D$35</f>
        <v>Centres de loisirs sans hébergement</v>
      </c>
      <c r="H24" s="458">
        <f>'ANALYSE - ERP =&gt; SOUS-SEGMENT'!$BE$35*'ANALYSE - ERP =&gt; SOUS-SEGMENT'!$IO$35</f>
        <v>17932.8</v>
      </c>
      <c r="I24" s="458">
        <f>'ANALYSE - ERP =&gt; SOUS-SEGMENT'!$BE$35*'ANALYSE - ERP =&gt; SOUS-SEGMENT'!$IP$35</f>
        <v>55891.200000000004</v>
      </c>
      <c r="J24" s="458">
        <f>'ANALYSE - ERP =&gt; SOUS-SEGMENT'!$BE$35*'ANALYSE - ERP =&gt; SOUS-SEGMENT'!$IQ$35</f>
        <v>22166.399999999998</v>
      </c>
      <c r="K24" s="458">
        <f>'ANALYSE - ERP =&gt; SOUS-SEGMENT'!$BE$35*'ANALYSE - ERP =&gt; SOUS-SEGMENT'!$IR$35</f>
        <v>0</v>
      </c>
      <c r="L24" s="458">
        <f>'ANALYSE - ERP =&gt; SOUS-SEGMENT'!$BE$35*'ANALYSE - ERP =&gt; SOUS-SEGMENT'!$IS$35</f>
        <v>9.6</v>
      </c>
      <c r="N24" s="458">
        <f>'ANALYSE - ERP =&gt; SOUS-SEGMENT'!$FA$35*'ANALYSE - ERP =&gt; SOUS-SEGMENT'!$IT$35</f>
        <v>2410.5793822656001</v>
      </c>
      <c r="O24" s="458">
        <f>'ANALYSE - ERP =&gt; SOUS-SEGMENT'!$FA$35*'ANALYSE - ERP =&gt; SOUS-SEGMENT'!$IU$35</f>
        <v>12890.8122915936</v>
      </c>
      <c r="P24" s="458">
        <f>'ANALYSE - ERP =&gt; SOUS-SEGMENT'!$FA$35*'ANALYSE - ERP =&gt; SOUS-SEGMENT'!$IV$35</f>
        <v>9524.0531961119996</v>
      </c>
      <c r="Q24" s="458">
        <f>'ANALYSE - ERP =&gt; SOUS-SEGMENT'!$FA$35*'ANALYSE - ERP =&gt; SOUS-SEGMENT'!$IW$35</f>
        <v>322.08158760960004</v>
      </c>
      <c r="R24" s="458">
        <f>'ANALYSE - ERP =&gt; SOUS-SEGMENT'!$FA$35*'ANALYSE - ERP =&gt; SOUS-SEGMENT'!$IX$35</f>
        <v>15.097574419199999</v>
      </c>
      <c r="T24" s="430">
        <f>'ANALYSE - ERP =&gt; SOUS-SEGMENT'!$Q$35</f>
        <v>1</v>
      </c>
    </row>
    <row r="25" spans="1:20" ht="15" customHeight="1">
      <c r="A25" s="26">
        <v>22</v>
      </c>
      <c r="B25" s="26">
        <v>23</v>
      </c>
      <c r="C25" s="422">
        <f>'ANALYSE - ERP =&gt; SOUS-SEGMENT'!$A$19</f>
        <v>12</v>
      </c>
      <c r="D25" s="414" t="str">
        <f>'ANALYSE - ERP =&gt; SOUS-SEGMENT'!$B$19</f>
        <v>Enfance, Enseignement, Jeunesse &amp; Formation</v>
      </c>
      <c r="E25" s="414" t="str">
        <f>'ANALYSE - ERP =&gt; SOUS-SEGMENT'!$C$19</f>
        <v>Formation</v>
      </c>
      <c r="F25" s="414" t="str">
        <f>'ANALYSE - ERP =&gt; SOUS-SEGMENT'!$D$19</f>
        <v>Centres de formation / CFA</v>
      </c>
      <c r="H25" s="458">
        <f>'ANALYSE - ERP =&gt; SOUS-SEGMENT'!$BE$19*'ANALYSE - ERP =&gt; SOUS-SEGMENT'!$IO$19</f>
        <v>1424.3039999999999</v>
      </c>
      <c r="I25" s="458">
        <f>'ANALYSE - ERP =&gt; SOUS-SEGMENT'!$BE$19*'ANALYSE - ERP =&gt; SOUS-SEGMENT'!$IP$19</f>
        <v>29229.984</v>
      </c>
      <c r="J25" s="458">
        <f>'ANALYSE - ERP =&gt; SOUS-SEGMENT'!$BE$19*'ANALYSE - ERP =&gt; SOUS-SEGMENT'!$IQ$19</f>
        <v>46339.776000000005</v>
      </c>
      <c r="K25" s="458">
        <f>'ANALYSE - ERP =&gt; SOUS-SEGMENT'!$BE$19*'ANALYSE - ERP =&gt; SOUS-SEGMENT'!$IR$19</f>
        <v>13272.336000000001</v>
      </c>
      <c r="L25" s="458">
        <f>'ANALYSE - ERP =&gt; SOUS-SEGMENT'!$BE$19*'ANALYSE - ERP =&gt; SOUS-SEGMENT'!$IS$19</f>
        <v>453.6</v>
      </c>
      <c r="N25" s="458">
        <f>'ANALYSE - ERP =&gt; SOUS-SEGMENT'!$FA$19*'ANALYSE - ERP =&gt; SOUS-SEGMENT'!$IT$19</f>
        <v>0</v>
      </c>
      <c r="O25" s="458">
        <f>'ANALYSE - ERP =&gt; SOUS-SEGMENT'!$FA$19*'ANALYSE - ERP =&gt; SOUS-SEGMENT'!$IU$19</f>
        <v>4470.6352711756799</v>
      </c>
      <c r="P25" s="458">
        <f>'ANALYSE - ERP =&gt; SOUS-SEGMENT'!$FA$19*'ANALYSE - ERP =&gt; SOUS-SEGMENT'!$IV$19</f>
        <v>18112.51920465408</v>
      </c>
      <c r="Q25" s="458">
        <f>'ANALYSE - ERP =&gt; SOUS-SEGMENT'!$FA$19*'ANALYSE - ERP =&gt; SOUS-SEGMENT'!$IW$19</f>
        <v>11230.598190958079</v>
      </c>
      <c r="R25" s="458">
        <f>'ANALYSE - ERP =&gt; SOUS-SEGMENT'!$FA$19*'ANALYSE - ERP =&gt; SOUS-SEGMENT'!$IX$19</f>
        <v>1031.41702281216</v>
      </c>
      <c r="T25" s="430">
        <f>'ANALYSE - ERP =&gt; SOUS-SEGMENT'!$Q$19</f>
        <v>1</v>
      </c>
    </row>
    <row r="26" spans="1:20" ht="15" customHeight="1">
      <c r="A26" s="26">
        <v>23</v>
      </c>
      <c r="B26" s="26">
        <v>22</v>
      </c>
      <c r="C26" s="422">
        <f>'ANALYSE - ERP =&gt; SOUS-SEGMENT'!$A$22</f>
        <v>15</v>
      </c>
      <c r="D26" s="414" t="str">
        <f>'ANALYSE - ERP =&gt; SOUS-SEGMENT'!$B$22</f>
        <v>Sports &amp; Loisirs</v>
      </c>
      <c r="E26" s="414" t="str">
        <f>'ANALYSE - ERP =&gt; SOUS-SEGMENT'!$C$22</f>
        <v>Sport couvert / Thermalisme / Bien-être</v>
      </c>
      <c r="F26" s="414" t="str">
        <f>'ANALYSE - ERP =&gt; SOUS-SEGMENT'!$D$22</f>
        <v>Salles de fitness / dojos</v>
      </c>
      <c r="H26" s="458">
        <f>'ANALYSE - ERP =&gt; SOUS-SEGMENT'!$BE$22*'ANALYSE - ERP =&gt; SOUS-SEGMENT'!$IO$22</f>
        <v>0</v>
      </c>
      <c r="I26" s="458">
        <f>'ANALYSE - ERP =&gt; SOUS-SEGMENT'!$BE$22*'ANALYSE - ERP =&gt; SOUS-SEGMENT'!$IP$22</f>
        <v>15116.064</v>
      </c>
      <c r="J26" s="458">
        <f>'ANALYSE - ERP =&gt; SOUS-SEGMENT'!$BE$22*'ANALYSE - ERP =&gt; SOUS-SEGMENT'!$IQ$22</f>
        <v>51980.256000000001</v>
      </c>
      <c r="K26" s="458">
        <f>'ANALYSE - ERP =&gt; SOUS-SEGMENT'!$BE$22*'ANALYSE - ERP =&gt; SOUS-SEGMENT'!$IR$22</f>
        <v>25151.424000000003</v>
      </c>
      <c r="L26" s="458">
        <f>'ANALYSE - ERP =&gt; SOUS-SEGMENT'!$BE$22*'ANALYSE - ERP =&gt; SOUS-SEGMENT'!$IS$22</f>
        <v>4712.2559999999994</v>
      </c>
      <c r="N26" s="458">
        <f>'ANALYSE - ERP =&gt; SOUS-SEGMENT'!$FA$22*'ANALYSE - ERP =&gt; SOUS-SEGMENT'!$IT$22</f>
        <v>0</v>
      </c>
      <c r="O26" s="458">
        <f>'ANALYSE - ERP =&gt; SOUS-SEGMENT'!$FA$22*'ANALYSE - ERP =&gt; SOUS-SEGMENT'!$IU$22</f>
        <v>2587.3082087516364</v>
      </c>
      <c r="P26" s="458">
        <f>'ANALYSE - ERP =&gt; SOUS-SEGMENT'!$FA$22*'ANALYSE - ERP =&gt; SOUS-SEGMENT'!$IV$22</f>
        <v>22398.69677862131</v>
      </c>
      <c r="Q26" s="458">
        <f>'ANALYSE - ERP =&gt; SOUS-SEGMENT'!$FA$22*'ANALYSE - ERP =&gt; SOUS-SEGMENT'!$IW$22</f>
        <v>19978.947577674542</v>
      </c>
      <c r="R26" s="458">
        <f>'ANALYSE - ERP =&gt; SOUS-SEGMENT'!$FA$22*'ANALYSE - ERP =&gt; SOUS-SEGMENT'!$IX$22</f>
        <v>4317.1085540313015</v>
      </c>
      <c r="T26" s="430">
        <f>'ANALYSE - ERP =&gt; SOUS-SEGMENT'!$Q$22</f>
        <v>1</v>
      </c>
    </row>
    <row r="27" spans="1:20" ht="15" customHeight="1">
      <c r="A27" s="26">
        <v>24</v>
      </c>
      <c r="B27" s="26">
        <v>24</v>
      </c>
      <c r="C27" s="422">
        <f>'ANALYSE - ERP =&gt; SOUS-SEGMENT'!$A$24</f>
        <v>17</v>
      </c>
      <c r="D27" s="414" t="str">
        <f>'ANALYSE - ERP =&gt; SOUS-SEGMENT'!$B$24</f>
        <v>Sports &amp; Loisirs</v>
      </c>
      <c r="E27" s="414" t="str">
        <f>'ANALYSE - ERP =&gt; SOUS-SEGMENT'!$C$24</f>
        <v>Sport couvert / Thermalisme / Bien-être</v>
      </c>
      <c r="F27" s="414" t="str">
        <f>'ANALYSE - ERP =&gt; SOUS-SEGMENT'!$D$24</f>
        <v>Piscines couvertes</v>
      </c>
      <c r="H27" s="458">
        <f>'ANALYSE - ERP =&gt; SOUS-SEGMENT'!$BE$24*'ANALYSE - ERP =&gt; SOUS-SEGMENT'!$IO$24</f>
        <v>4570.4000000000005</v>
      </c>
      <c r="I27" s="458">
        <f>'ANALYSE - ERP =&gt; SOUS-SEGMENT'!$BE$24*'ANALYSE - ERP =&gt; SOUS-SEGMENT'!$IP$24</f>
        <v>27784.32</v>
      </c>
      <c r="J27" s="458">
        <f>'ANALYSE - ERP =&gt; SOUS-SEGMENT'!$BE$24*'ANALYSE - ERP =&gt; SOUS-SEGMENT'!$IQ$24</f>
        <v>14045.28</v>
      </c>
      <c r="K27" s="458">
        <f>'ANALYSE - ERP =&gt; SOUS-SEGMENT'!$BE$24*'ANALYSE - ERP =&gt; SOUS-SEGMENT'!$IR$24</f>
        <v>0</v>
      </c>
      <c r="L27" s="458">
        <f>'ANALYSE - ERP =&gt; SOUS-SEGMENT'!$BE$24*'ANALYSE - ERP =&gt; SOUS-SEGMENT'!$IS$24</f>
        <v>0</v>
      </c>
      <c r="N27" s="458">
        <f>'ANALYSE - ERP =&gt; SOUS-SEGMENT'!$FA$24*'ANALYSE - ERP =&gt; SOUS-SEGMENT'!$IT$24</f>
        <v>1163.6882077284852</v>
      </c>
      <c r="O27" s="458">
        <f>'ANALYSE - ERP =&gt; SOUS-SEGMENT'!$FA$24*'ANALYSE - ERP =&gt; SOUS-SEGMENT'!$IU$24</f>
        <v>11397.162306492783</v>
      </c>
      <c r="P27" s="458">
        <f>'ANALYSE - ERP =&gt; SOUS-SEGMENT'!$FA$24*'ANALYSE - ERP =&gt; SOUS-SEGMENT'!$IV$24</f>
        <v>10712.913640348434</v>
      </c>
      <c r="Q27" s="458">
        <f>'ANALYSE - ERP =&gt; SOUS-SEGMENT'!$FA$24*'ANALYSE - ERP =&gt; SOUS-SEGMENT'!$IW$24</f>
        <v>0</v>
      </c>
      <c r="R27" s="458">
        <f>'ANALYSE - ERP =&gt; SOUS-SEGMENT'!$FA$24*'ANALYSE - ERP =&gt; SOUS-SEGMENT'!$IX$24</f>
        <v>0</v>
      </c>
      <c r="T27" s="430">
        <f>'ANALYSE - ERP =&gt; SOUS-SEGMENT'!$Q$24</f>
        <v>1</v>
      </c>
    </row>
    <row r="28" spans="1:20" ht="15" customHeight="1">
      <c r="A28" s="26">
        <v>25</v>
      </c>
      <c r="B28" s="26">
        <v>26</v>
      </c>
      <c r="C28" s="422">
        <f>'ANALYSE - ERP =&gt; SOUS-SEGMENT'!$A$87</f>
        <v>80</v>
      </c>
      <c r="D28" s="413" t="str">
        <f>'ANALYSE - ERP =&gt; SOUS-SEGMENT'!$B$87</f>
        <v>Hébergement Touristique</v>
      </c>
      <c r="E28" s="413" t="str">
        <f>'ANALYSE - ERP =&gt; SOUS-SEGMENT'!$C$87</f>
        <v>Hébergement Touristique</v>
      </c>
      <c r="F28" s="413" t="str">
        <f>'ANALYSE - ERP =&gt; SOUS-SEGMENT'!$D$87</f>
        <v>Hôtels 
(hors autres hébérgements touristiques)</v>
      </c>
      <c r="H28" s="458">
        <f>'ANALYSE - ERP =&gt; SOUS-SEGMENT'!$BE$87*'ANALYSE - ERP =&gt; SOUS-SEGMENT'!$IO$87</f>
        <v>602</v>
      </c>
      <c r="I28" s="458">
        <f>'ANALYSE - ERP =&gt; SOUS-SEGMENT'!$BE$87*'ANALYSE - ERP =&gt; SOUS-SEGMENT'!$IP$87</f>
        <v>16856</v>
      </c>
      <c r="J28" s="458">
        <f>'ANALYSE - ERP =&gt; SOUS-SEGMENT'!$BE$87*'ANALYSE - ERP =&gt; SOUS-SEGMENT'!$IQ$87</f>
        <v>30100</v>
      </c>
      <c r="K28" s="458">
        <f>'ANALYSE - ERP =&gt; SOUS-SEGMENT'!$BE$87*'ANALYSE - ERP =&gt; SOUS-SEGMENT'!$IR$87</f>
        <v>11438</v>
      </c>
      <c r="L28" s="458">
        <f>'ANALYSE - ERP =&gt; SOUS-SEGMENT'!$BE$87*'ANALYSE - ERP =&gt; SOUS-SEGMENT'!$IS$87</f>
        <v>1204</v>
      </c>
      <c r="N28" s="458">
        <f>'ANALYSE - ERP =&gt; SOUS-SEGMENT'!$FA$87*'ANALYSE - ERP =&gt; SOUS-SEGMENT'!$IT$87</f>
        <v>0</v>
      </c>
      <c r="O28" s="458">
        <f>'ANALYSE - ERP =&gt; SOUS-SEGMENT'!$FA$87*'ANALYSE - ERP =&gt; SOUS-SEGMENT'!$IU$87</f>
        <v>6929.069166152668</v>
      </c>
      <c r="P28" s="458">
        <f>'ANALYSE - ERP =&gt; SOUS-SEGMENT'!$FA$87*'ANALYSE - ERP =&gt; SOUS-SEGMENT'!$IV$87</f>
        <v>14767.382702524463</v>
      </c>
      <c r="Q28" s="458">
        <f>'ANALYSE - ERP =&gt; SOUS-SEGMENT'!$FA$87*'ANALYSE - ERP =&gt; SOUS-SEGMENT'!$IW$87</f>
        <v>6076.8307125616975</v>
      </c>
      <c r="R28" s="458">
        <f>'ANALYSE - ERP =&gt; SOUS-SEGMENT'!$FA$87*'ANALYSE - ERP =&gt; SOUS-SEGMENT'!$IX$87</f>
        <v>729.67573284042896</v>
      </c>
      <c r="T28" s="430">
        <f>'ANALYSE - ERP =&gt; SOUS-SEGMENT'!$Q$87</f>
        <v>1</v>
      </c>
    </row>
    <row r="29" spans="1:20" ht="15" customHeight="1">
      <c r="A29" s="26">
        <v>26</v>
      </c>
      <c r="B29" s="26">
        <v>27</v>
      </c>
      <c r="C29" s="422">
        <f>'ANALYSE - ERP =&gt; SOUS-SEGMENT'!$A$79</f>
        <v>72</v>
      </c>
      <c r="D29" s="414" t="str">
        <f>'ANALYSE - ERP =&gt; SOUS-SEGMENT'!$B$79</f>
        <v>Commerce, Restauration &amp; Loisirs</v>
      </c>
      <c r="E29" s="414" t="str">
        <f>'ANALYSE - ERP =&gt; SOUS-SEGMENT'!$C$79</f>
        <v>Commerce</v>
      </c>
      <c r="F29" s="414" t="str">
        <f>'ANALYSE - ERP =&gt; SOUS-SEGMENT'!$D$79</f>
        <v>Centres commerciaux / Malls
(dotés de sanitaires collectifs clients)</v>
      </c>
      <c r="H29" s="458">
        <f>'ANALYSE - ERP =&gt; SOUS-SEGMENT'!$BE$79*'ANALYSE - ERP =&gt; SOUS-SEGMENT'!$IO$79</f>
        <v>665.6</v>
      </c>
      <c r="I29" s="458">
        <f>'ANALYSE - ERP =&gt; SOUS-SEGMENT'!$BE$79*'ANALYSE - ERP =&gt; SOUS-SEGMENT'!$IP$79</f>
        <v>18636.800000000003</v>
      </c>
      <c r="J29" s="458">
        <f>'ANALYSE - ERP =&gt; SOUS-SEGMENT'!$BE$79*'ANALYSE - ERP =&gt; SOUS-SEGMENT'!$IQ$79</f>
        <v>33280</v>
      </c>
      <c r="K29" s="458">
        <f>'ANALYSE - ERP =&gt; SOUS-SEGMENT'!$BE$79*'ANALYSE - ERP =&gt; SOUS-SEGMENT'!$IR$79</f>
        <v>12646.4</v>
      </c>
      <c r="L29" s="458">
        <f>'ANALYSE - ERP =&gt; SOUS-SEGMENT'!$BE$79*'ANALYSE - ERP =&gt; SOUS-SEGMENT'!$IS$79</f>
        <v>1331.2</v>
      </c>
      <c r="N29" s="458">
        <f>'ANALYSE - ERP =&gt; SOUS-SEGMENT'!$FA$79*'ANALYSE - ERP =&gt; SOUS-SEGMENT'!$IT$79</f>
        <v>0</v>
      </c>
      <c r="O29" s="458">
        <f>'ANALYSE - ERP =&gt; SOUS-SEGMENT'!$FA$79*'ANALYSE - ERP =&gt; SOUS-SEGMENT'!$IU$79</f>
        <v>7132.8505790990903</v>
      </c>
      <c r="P29" s="458">
        <f>'ANALYSE - ERP =&gt; SOUS-SEGMENT'!$FA$79*'ANALYSE - ERP =&gt; SOUS-SEGMENT'!$IV$79</f>
        <v>15332.820536173638</v>
      </c>
      <c r="Q29" s="458">
        <f>'ANALYSE - ERP =&gt; SOUS-SEGMENT'!$FA$79*'ANALYSE - ERP =&gt; SOUS-SEGMENT'!$IW$79</f>
        <v>6331.7720432781816</v>
      </c>
      <c r="R29" s="458">
        <f>'ANALYSE - ERP =&gt; SOUS-SEGMENT'!$FA$79*'ANALYSE - ERP =&gt; SOUS-SEGMENT'!$IX$79</f>
        <v>762.65041417636371</v>
      </c>
      <c r="T29" s="430">
        <f>'ANALYSE - ERP =&gt; SOUS-SEGMENT'!$Q$79</f>
        <v>1</v>
      </c>
    </row>
    <row r="30" spans="1:20" ht="15" customHeight="1">
      <c r="A30" s="26">
        <v>27</v>
      </c>
      <c r="B30" s="26">
        <v>25</v>
      </c>
      <c r="C30" s="422">
        <f>'ANALYSE - ERP =&gt; SOUS-SEGMENT'!$A$68</f>
        <v>61</v>
      </c>
      <c r="D30" s="409" t="str">
        <f>'ANALYSE - ERP =&gt; SOUS-SEGMENT'!$B$68</f>
        <v>Culture, Patrimoine &amp; Evénementiel</v>
      </c>
      <c r="E30" s="409" t="str">
        <f>'ANALYSE - ERP =&gt; SOUS-SEGMENT'!$C$68</f>
        <v>Culture / spectacle</v>
      </c>
      <c r="F30" s="409" t="str">
        <f>'ANALYSE - ERP =&gt; SOUS-SEGMENT'!$D$68</f>
        <v>Bibliothèques / Médiathèques</v>
      </c>
      <c r="H30" s="458">
        <f>'ANALYSE - ERP =&gt; SOUS-SEGMENT'!$BE$68*'ANALYSE - ERP =&gt; SOUS-SEGMENT'!$IO$68</f>
        <v>1091.2</v>
      </c>
      <c r="I30" s="458">
        <f>'ANALYSE - ERP =&gt; SOUS-SEGMENT'!$BE$68*'ANALYSE - ERP =&gt; SOUS-SEGMENT'!$IP$68</f>
        <v>19368.8</v>
      </c>
      <c r="J30" s="458">
        <f>'ANALYSE - ERP =&gt; SOUS-SEGMENT'!$BE$68*'ANALYSE - ERP =&gt; SOUS-SEGMENT'!$IQ$68</f>
        <v>31353.4</v>
      </c>
      <c r="K30" s="458">
        <f>'ANALYSE - ERP =&gt; SOUS-SEGMENT'!$BE$68*'ANALYSE - ERP =&gt; SOUS-SEGMENT'!$IR$68</f>
        <v>9777.4</v>
      </c>
      <c r="L30" s="458">
        <f>'ANALYSE - ERP =&gt; SOUS-SEGMENT'!$BE$68*'ANALYSE - ERP =&gt; SOUS-SEGMENT'!$IS$68</f>
        <v>409.2</v>
      </c>
      <c r="N30" s="458">
        <f>'ANALYSE - ERP =&gt; SOUS-SEGMENT'!$FA$68*'ANALYSE - ERP =&gt; SOUS-SEGMENT'!$IT$68</f>
        <v>0</v>
      </c>
      <c r="O30" s="458">
        <f>'ANALYSE - ERP =&gt; SOUS-SEGMENT'!$FA$68*'ANALYSE - ERP =&gt; SOUS-SEGMENT'!$IU$68</f>
        <v>5471.5987581651279</v>
      </c>
      <c r="P30" s="458">
        <f>'ANALYSE - ERP =&gt; SOUS-SEGMENT'!$FA$68*'ANALYSE - ERP =&gt; SOUS-SEGMENT'!$IV$68</f>
        <v>13722.749096207177</v>
      </c>
      <c r="Q30" s="458">
        <f>'ANALYSE - ERP =&gt; SOUS-SEGMENT'!$FA$68*'ANALYSE - ERP =&gt; SOUS-SEGMENT'!$IW$68</f>
        <v>6122.7344523399988</v>
      </c>
      <c r="R30" s="458">
        <f>'ANALYSE - ERP =&gt; SOUS-SEGMENT'!$FA$68*'ANALYSE - ERP =&gt; SOUS-SEGMENT'!$IX$68</f>
        <v>419.50639585179476</v>
      </c>
      <c r="T30" s="430">
        <f>'ANALYSE - ERP =&gt; SOUS-SEGMENT'!$Q$68</f>
        <v>1</v>
      </c>
    </row>
    <row r="31" spans="1:20" ht="15" customHeight="1">
      <c r="A31" s="26">
        <v>28</v>
      </c>
      <c r="B31" s="26">
        <v>29</v>
      </c>
      <c r="C31" s="422">
        <f>'ANALYSE - ERP =&gt; SOUS-SEGMENT'!$A$125</f>
        <v>118</v>
      </c>
      <c r="D31" s="409" t="str">
        <f>'ANALYSE - ERP =&gt; SOUS-SEGMENT'!$B$125</f>
        <v>Transport, Mobilité &amp; Stationnement</v>
      </c>
      <c r="E31" s="409" t="str">
        <f>'ANALYSE - ERP =&gt; SOUS-SEGMENT'!$C$125</f>
        <v>Transport / Mobilité</v>
      </c>
      <c r="F31" s="409" t="str">
        <f>'ANALYSE - ERP =&gt; SOUS-SEGMENT'!$D$125</f>
        <v>Gares ferroviaires et stations
(dotés de sanitaires)</v>
      </c>
      <c r="H31" s="458">
        <f>'ANALYSE - ERP =&gt; SOUS-SEGMENT'!$BE$125*'ANALYSE - ERP =&gt; SOUS-SEGMENT'!$IO$125</f>
        <v>1413.5</v>
      </c>
      <c r="I31" s="458">
        <f>'ANALYSE - ERP =&gt; SOUS-SEGMENT'!$BE$125*'ANALYSE - ERP =&gt; SOUS-SEGMENT'!$IP$125</f>
        <v>13286.9</v>
      </c>
      <c r="J31" s="458">
        <f>'ANALYSE - ERP =&gt; SOUS-SEGMENT'!$BE$125*'ANALYSE - ERP =&gt; SOUS-SEGMENT'!$IQ$125</f>
        <v>11590.699999999999</v>
      </c>
      <c r="K31" s="458">
        <f>'ANALYSE - ERP =&gt; SOUS-SEGMENT'!$BE$125*'ANALYSE - ERP =&gt; SOUS-SEGMENT'!$IR$125</f>
        <v>1696.2</v>
      </c>
      <c r="L31" s="458">
        <f>'ANALYSE - ERP =&gt; SOUS-SEGMENT'!$BE$125*'ANALYSE - ERP =&gt; SOUS-SEGMENT'!$IS$125</f>
        <v>282.7</v>
      </c>
      <c r="N31" s="458">
        <f>'ANALYSE - ERP =&gt; SOUS-SEGMENT'!$FA$125*'ANALYSE - ERP =&gt; SOUS-SEGMENT'!$IT$125</f>
        <v>389.57563762319995</v>
      </c>
      <c r="O31" s="458">
        <f>'ANALYSE - ERP =&gt; SOUS-SEGMENT'!$FA$125*'ANALYSE - ERP =&gt; SOUS-SEGMENT'!$IU$125</f>
        <v>5893.9878780543995</v>
      </c>
      <c r="P31" s="458">
        <f>'ANALYSE - ERP =&gt; SOUS-SEGMENT'!$FA$125*'ANALYSE - ERP =&gt; SOUS-SEGMENT'!$IV$125</f>
        <v>5705.8254952567995</v>
      </c>
      <c r="Q31" s="458">
        <f>'ANALYSE - ERP =&gt; SOUS-SEGMENT'!$FA$125*'ANALYSE - ERP =&gt; SOUS-SEGMENT'!$IW$125</f>
        <v>1068.0202854568001</v>
      </c>
      <c r="R31" s="458">
        <f>'ANALYSE - ERP =&gt; SOUS-SEGMENT'!$FA$125*'ANALYSE - ERP =&gt; SOUS-SEGMENT'!$IX$125</f>
        <v>193.4627316088</v>
      </c>
      <c r="T31" s="430">
        <f>'ANALYSE - ERP =&gt; SOUS-SEGMENT'!$Q$125</f>
        <v>1</v>
      </c>
    </row>
    <row r="32" spans="1:20" ht="15" customHeight="1">
      <c r="A32" s="26">
        <v>29</v>
      </c>
      <c r="B32" s="26">
        <v>28</v>
      </c>
      <c r="C32" s="422">
        <f>'ANALYSE - ERP =&gt; SOUS-SEGMENT'!$A$52</f>
        <v>45</v>
      </c>
      <c r="D32" s="409" t="str">
        <f>'ANALYSE - ERP =&gt; SOUS-SEGMENT'!$B$52</f>
        <v>Santé &amp; Médico-social</v>
      </c>
      <c r="E32" s="409" t="str">
        <f>'ANALYSE - ERP =&gt; SOUS-SEGMENT'!$C$52</f>
        <v>Médico-social</v>
      </c>
      <c r="F32" s="409" t="str">
        <f>'ANALYSE - ERP =&gt; SOUS-SEGMENT'!$D$52</f>
        <v>Établissements Médico-éducatifs</v>
      </c>
      <c r="H32" s="458">
        <f>'ANALYSE - ERP =&gt; SOUS-SEGMENT'!$BE$52*'ANALYSE - ERP =&gt; SOUS-SEGMENT'!$IO$52</f>
        <v>0</v>
      </c>
      <c r="I32" s="458">
        <f>'ANALYSE - ERP =&gt; SOUS-SEGMENT'!$BE$52*'ANALYSE - ERP =&gt; SOUS-SEGMENT'!$IP$52</f>
        <v>13621.500000000002</v>
      </c>
      <c r="J32" s="458">
        <f>'ANALYSE - ERP =&gt; SOUS-SEGMENT'!$BE$52*'ANALYSE - ERP =&gt; SOUS-SEGMENT'!$IQ$52</f>
        <v>24763.5</v>
      </c>
      <c r="K32" s="458">
        <f>'ANALYSE - ERP =&gt; SOUS-SEGMENT'!$BE$52*'ANALYSE - ERP =&gt; SOUS-SEGMENT'!$IR$52</f>
        <v>6615</v>
      </c>
      <c r="L32" s="458">
        <f>'ANALYSE - ERP =&gt; SOUS-SEGMENT'!$BE$52*'ANALYSE - ERP =&gt; SOUS-SEGMENT'!$IS$52</f>
        <v>0</v>
      </c>
      <c r="N32" s="458">
        <f>'ANALYSE - ERP =&gt; SOUS-SEGMENT'!$FA$52*'ANALYSE - ERP =&gt; SOUS-SEGMENT'!$IT$52</f>
        <v>0</v>
      </c>
      <c r="O32" s="458">
        <f>'ANALYSE - ERP =&gt; SOUS-SEGMENT'!$FA$52*'ANALYSE - ERP =&gt; SOUS-SEGMENT'!$IU$52</f>
        <v>3775.7953244128003</v>
      </c>
      <c r="P32" s="458">
        <f>'ANALYSE - ERP =&gt; SOUS-SEGMENT'!$FA$52*'ANALYSE - ERP =&gt; SOUS-SEGMENT'!$IV$52</f>
        <v>11742.600735348802</v>
      </c>
      <c r="Q32" s="458">
        <f>'ANALYSE - ERP =&gt; SOUS-SEGMENT'!$FA$52*'ANALYSE - ERP =&gt; SOUS-SEGMENT'!$IW$52</f>
        <v>4935.5331082384</v>
      </c>
      <c r="R32" s="458">
        <f>'ANALYSE - ERP =&gt; SOUS-SEGMENT'!$FA$52*'ANALYSE - ERP =&gt; SOUS-SEGMENT'!$IX$52</f>
        <v>0</v>
      </c>
      <c r="T32" s="430">
        <f>'ANALYSE - ERP =&gt; SOUS-SEGMENT'!$Q$52</f>
        <v>1</v>
      </c>
    </row>
    <row r="33" spans="1:20" ht="15" customHeight="1">
      <c r="A33" s="26">
        <v>30</v>
      </c>
      <c r="B33" s="26">
        <v>30</v>
      </c>
      <c r="C33" s="422">
        <f>'ANALYSE - ERP =&gt; SOUS-SEGMENT'!$A$46</f>
        <v>39</v>
      </c>
      <c r="D33" s="409" t="str">
        <f>'ANALYSE - ERP =&gt; SOUS-SEGMENT'!$B$46</f>
        <v>Santé &amp; Médico-social</v>
      </c>
      <c r="E33" s="409" t="str">
        <f>'ANALYSE - ERP =&gt; SOUS-SEGMENT'!$C$46</f>
        <v>Santé hospitalière</v>
      </c>
      <c r="F33" s="409" t="str">
        <f>'ANALYSE - ERP =&gt; SOUS-SEGMENT'!$D$46</f>
        <v>Cliniques</v>
      </c>
      <c r="H33" s="458">
        <f>'ANALYSE - ERP =&gt; SOUS-SEGMENT'!$BE$46*'ANALYSE - ERP =&gt; SOUS-SEGMENT'!$IO$46</f>
        <v>0</v>
      </c>
      <c r="I33" s="458">
        <f>'ANALYSE - ERP =&gt; SOUS-SEGMENT'!$BE$46*'ANALYSE - ERP =&gt; SOUS-SEGMENT'!$IP$46</f>
        <v>2187.9</v>
      </c>
      <c r="J33" s="458">
        <f>'ANALYSE - ERP =&gt; SOUS-SEGMENT'!$BE$46*'ANALYSE - ERP =&gt; SOUS-SEGMENT'!$IQ$46</f>
        <v>29448.899999999998</v>
      </c>
      <c r="K33" s="458">
        <f>'ANALYSE - ERP =&gt; SOUS-SEGMENT'!$BE$46*'ANALYSE - ERP =&gt; SOUS-SEGMENT'!$IR$46</f>
        <v>24283.350000000002</v>
      </c>
      <c r="L33" s="458">
        <f>'ANALYSE - ERP =&gt; SOUS-SEGMENT'!$BE$46*'ANALYSE - ERP =&gt; SOUS-SEGMENT'!$IS$46</f>
        <v>2579.85</v>
      </c>
      <c r="N33" s="458">
        <f>'ANALYSE - ERP =&gt; SOUS-SEGMENT'!$FA$46*'ANALYSE - ERP =&gt; SOUS-SEGMENT'!$IT$46</f>
        <v>0</v>
      </c>
      <c r="O33" s="458">
        <f>'ANALYSE - ERP =&gt; SOUS-SEGMENT'!$FA$46*'ANALYSE - ERP =&gt; SOUS-SEGMENT'!$IU$46</f>
        <v>0</v>
      </c>
      <c r="P33" s="458">
        <f>'ANALYSE - ERP =&gt; SOUS-SEGMENT'!$FA$46*'ANALYSE - ERP =&gt; SOUS-SEGMENT'!$IV$46</f>
        <v>11601.437101787273</v>
      </c>
      <c r="Q33" s="458">
        <f>'ANALYSE - ERP =&gt; SOUS-SEGMENT'!$FA$46*'ANALYSE - ERP =&gt; SOUS-SEGMENT'!$IW$46</f>
        <v>16326.442886369636</v>
      </c>
      <c r="R33" s="458">
        <f>'ANALYSE - ERP =&gt; SOUS-SEGMENT'!$FA$46*'ANALYSE - ERP =&gt; SOUS-SEGMENT'!$IX$46</f>
        <v>3342.8399627521817</v>
      </c>
      <c r="T33" s="430">
        <f>'ANALYSE - ERP =&gt; SOUS-SEGMENT'!$Q$46</f>
        <v>1</v>
      </c>
    </row>
    <row r="34" spans="1:20" ht="15" customHeight="1">
      <c r="A34" s="26">
        <v>31</v>
      </c>
      <c r="B34" s="26">
        <v>31</v>
      </c>
      <c r="C34" s="422">
        <f>'ANALYSE - ERP =&gt; SOUS-SEGMENT'!$A$66</f>
        <v>59</v>
      </c>
      <c r="D34" s="410" t="str">
        <f>'ANALYSE - ERP =&gt; SOUS-SEGMENT'!$B$66</f>
        <v>Culture, Patrimoine &amp; Evénementiel</v>
      </c>
      <c r="E34" s="410" t="str">
        <f>'ANALYSE - ERP =&gt; SOUS-SEGMENT'!$C$66</f>
        <v>Culture / spectacle</v>
      </c>
      <c r="F34" s="410" t="str">
        <f>'ANALYSE - ERP =&gt; SOUS-SEGMENT'!$D$66</f>
        <v>Salles de conférence / Réunion</v>
      </c>
      <c r="H34" s="458">
        <f>'ANALYSE - ERP =&gt; SOUS-SEGMENT'!$BE$66*'ANALYSE - ERP =&gt; SOUS-SEGMENT'!$IO$66</f>
        <v>335.11800000000005</v>
      </c>
      <c r="I34" s="458">
        <f>'ANALYSE - ERP =&gt; SOUS-SEGMENT'!$BE$66*'ANALYSE - ERP =&gt; SOUS-SEGMENT'!$IP$66</f>
        <v>11898.810000000001</v>
      </c>
      <c r="J34" s="458">
        <f>'ANALYSE - ERP =&gt; SOUS-SEGMENT'!$BE$66*'ANALYSE - ERP =&gt; SOUS-SEGMENT'!$IQ$66</f>
        <v>22143.24</v>
      </c>
      <c r="K34" s="458">
        <f>'ANALYSE - ERP =&gt; SOUS-SEGMENT'!$BE$66*'ANALYSE - ERP =&gt; SOUS-SEGMENT'!$IR$66</f>
        <v>7665.2939999999999</v>
      </c>
      <c r="L34" s="458">
        <f>'ANALYSE - ERP =&gt; SOUS-SEGMENT'!$BE$66*'ANALYSE - ERP =&gt; SOUS-SEGMENT'!$IS$66</f>
        <v>377.53800000000001</v>
      </c>
      <c r="N34" s="458">
        <f>'ANALYSE - ERP =&gt; SOUS-SEGMENT'!$FA$66*'ANALYSE - ERP =&gt; SOUS-SEGMENT'!$IT$66</f>
        <v>0</v>
      </c>
      <c r="O34" s="458">
        <f>'ANALYSE - ERP =&gt; SOUS-SEGMENT'!$FA$66*'ANALYSE - ERP =&gt; SOUS-SEGMENT'!$IU$66</f>
        <v>2690.3605794792611</v>
      </c>
      <c r="P34" s="458">
        <f>'ANALYSE - ERP =&gt; SOUS-SEGMENT'!$FA$66*'ANALYSE - ERP =&gt; SOUS-SEGMENT'!$IV$66</f>
        <v>9017.0472325127503</v>
      </c>
      <c r="Q34" s="458">
        <f>'ANALYSE - ERP =&gt; SOUS-SEGMENT'!$FA$66*'ANALYSE - ERP =&gt; SOUS-SEGMENT'!$IW$66</f>
        <v>5174.1708951146302</v>
      </c>
      <c r="R34" s="458">
        <f>'ANALYSE - ERP =&gt; SOUS-SEGMENT'!$FA$66*'ANALYSE - ERP =&gt; SOUS-SEGMENT'!$IX$66</f>
        <v>475.5863217918178</v>
      </c>
      <c r="T34" s="430">
        <f>'ANALYSE - ERP =&gt; SOUS-SEGMENT'!$Q$66</f>
        <v>1</v>
      </c>
    </row>
    <row r="35" spans="1:20" ht="15" customHeight="1">
      <c r="A35" s="26">
        <v>32</v>
      </c>
      <c r="B35" s="26">
        <v>32</v>
      </c>
      <c r="C35" s="422">
        <f>'ANALYSE - ERP =&gt; SOUS-SEGMENT'!$A$45</f>
        <v>38</v>
      </c>
      <c r="D35" s="411" t="str">
        <f>'ANALYSE - ERP =&gt; SOUS-SEGMENT'!$B$45</f>
        <v>Santé &amp; Médico-social</v>
      </c>
      <c r="E35" s="411" t="str">
        <f>'ANALYSE - ERP =&gt; SOUS-SEGMENT'!$C$45</f>
        <v>Santé hospitalière</v>
      </c>
      <c r="F35" s="411" t="str">
        <f>'ANALYSE - ERP =&gt; SOUS-SEGMENT'!$D$45</f>
        <v>Hôpitaux privés</v>
      </c>
      <c r="H35" s="458">
        <f>'ANALYSE - ERP =&gt; SOUS-SEGMENT'!$BE$45*'ANALYSE - ERP =&gt; SOUS-SEGMENT'!$IO$45</f>
        <v>0</v>
      </c>
      <c r="I35" s="458">
        <f>'ANALYSE - ERP =&gt; SOUS-SEGMENT'!$BE$45*'ANALYSE - ERP =&gt; SOUS-SEGMENT'!$IP$45</f>
        <v>3810.2549999999997</v>
      </c>
      <c r="J35" s="458">
        <f>'ANALYSE - ERP =&gt; SOUS-SEGMENT'!$BE$45*'ANALYSE - ERP =&gt; SOUS-SEGMENT'!$IQ$45</f>
        <v>26823.607499999998</v>
      </c>
      <c r="K35" s="458">
        <f>'ANALYSE - ERP =&gt; SOUS-SEGMENT'!$BE$45*'ANALYSE - ERP =&gt; SOUS-SEGMENT'!$IR$45</f>
        <v>17018.8125</v>
      </c>
      <c r="L35" s="458">
        <f>'ANALYSE - ERP =&gt; SOUS-SEGMENT'!$BE$45*'ANALYSE - ERP =&gt; SOUS-SEGMENT'!$IS$45</f>
        <v>1322.325</v>
      </c>
      <c r="N35" s="458">
        <f>'ANALYSE - ERP =&gt; SOUS-SEGMENT'!$FA$45*'ANALYSE - ERP =&gt; SOUS-SEGMENT'!$IT$45</f>
        <v>0</v>
      </c>
      <c r="O35" s="458">
        <f>'ANALYSE - ERP =&gt; SOUS-SEGMENT'!$FA$45*'ANALYSE - ERP =&gt; SOUS-SEGMENT'!$IU$45</f>
        <v>128.85082292840909</v>
      </c>
      <c r="P35" s="458">
        <f>'ANALYSE - ERP =&gt; SOUS-SEGMENT'!$FA$45*'ANALYSE - ERP =&gt; SOUS-SEGMENT'!$IV$45</f>
        <v>11315.679269572885</v>
      </c>
      <c r="Q35" s="458">
        <f>'ANALYSE - ERP =&gt; SOUS-SEGMENT'!$FA$45*'ANALYSE - ERP =&gt; SOUS-SEGMENT'!$IW$45</f>
        <v>12485.644741762841</v>
      </c>
      <c r="R35" s="458">
        <f>'ANALYSE - ERP =&gt; SOUS-SEGMENT'!$FA$45*'ANALYSE - ERP =&gt; SOUS-SEGMENT'!$IX$45</f>
        <v>1839.9897514176819</v>
      </c>
      <c r="T35" s="430">
        <f>'ANALYSE - ERP =&gt; SOUS-SEGMENT'!$Q$45</f>
        <v>1</v>
      </c>
    </row>
    <row r="36" spans="1:20" ht="15" customHeight="1">
      <c r="A36" s="26">
        <v>33</v>
      </c>
      <c r="B36" s="26">
        <v>33</v>
      </c>
      <c r="C36" s="422">
        <f>'ANALYSE - ERP =&gt; SOUS-SEGMENT'!$A$120</f>
        <v>113</v>
      </c>
      <c r="D36" s="411" t="str">
        <f>'ANALYSE - ERP =&gt; SOUS-SEGMENT'!$B$120</f>
        <v>Culte, Vie civique &amp; Services publics</v>
      </c>
      <c r="E36" s="411" t="str">
        <f>'ANALYSE - ERP =&gt; SOUS-SEGMENT'!$C$120</f>
        <v>Vie associative</v>
      </c>
      <c r="F36" s="411" t="str">
        <f>'ANALYSE - ERP =&gt; SOUS-SEGMENT'!$D$120</f>
        <v>Locaux associatifs recevant du public (dotés de sanitaires)</v>
      </c>
      <c r="H36" s="458">
        <f>'ANALYSE - ERP =&gt; SOUS-SEGMENT'!$BE$120*'ANALYSE - ERP =&gt; SOUS-SEGMENT'!$IO$120</f>
        <v>1668</v>
      </c>
      <c r="I36" s="458">
        <f>'ANALYSE - ERP =&gt; SOUS-SEGMENT'!$BE$120*'ANALYSE - ERP =&gt; SOUS-SEGMENT'!$IP$120</f>
        <v>8840.4</v>
      </c>
      <c r="J36" s="458">
        <f>'ANALYSE - ERP =&gt; SOUS-SEGMENT'!$BE$120*'ANALYSE - ERP =&gt; SOUS-SEGMENT'!$IQ$120</f>
        <v>5671.2000000000007</v>
      </c>
      <c r="K36" s="458">
        <f>'ANALYSE - ERP =&gt; SOUS-SEGMENT'!$BE$120*'ANALYSE - ERP =&gt; SOUS-SEGMENT'!$IR$120</f>
        <v>500.4</v>
      </c>
      <c r="L36" s="458">
        <f>'ANALYSE - ERP =&gt; SOUS-SEGMENT'!$BE$120*'ANALYSE - ERP =&gt; SOUS-SEGMENT'!$IS$120</f>
        <v>0</v>
      </c>
      <c r="N36" s="458">
        <f>'ANALYSE - ERP =&gt; SOUS-SEGMENT'!$FA$120*'ANALYSE - ERP =&gt; SOUS-SEGMENT'!$IT$120</f>
        <v>433.65067588221433</v>
      </c>
      <c r="O36" s="458">
        <f>'ANALYSE - ERP =&gt; SOUS-SEGMENT'!$FA$120*'ANALYSE - ERP =&gt; SOUS-SEGMENT'!$IU$120</f>
        <v>2642.8340474016431</v>
      </c>
      <c r="P36" s="458">
        <f>'ANALYSE - ERP =&gt; SOUS-SEGMENT'!$FA$120*'ANALYSE - ERP =&gt; SOUS-SEGMENT'!$IV$120</f>
        <v>1845.9944542035003</v>
      </c>
      <c r="Q36" s="458">
        <f>'ANALYSE - ERP =&gt; SOUS-SEGMENT'!$FA$120*'ANALYSE - ERP =&gt; SOUS-SEGMENT'!$IW$120</f>
        <v>239.88083982492861</v>
      </c>
      <c r="R36" s="458">
        <f>'ANALYSE - ERP =&gt; SOUS-SEGMENT'!$FA$120*'ANALYSE - ERP =&gt; SOUS-SEGMENT'!$IX$120</f>
        <v>18.651641973428571</v>
      </c>
      <c r="T36" s="430">
        <f>'ANALYSE - ERP =&gt; SOUS-SEGMENT'!$Q$120</f>
        <v>1</v>
      </c>
    </row>
    <row r="37" spans="1:20" ht="15" customHeight="1">
      <c r="A37" s="26">
        <v>34</v>
      </c>
      <c r="B37" s="26">
        <v>35</v>
      </c>
      <c r="C37" s="422">
        <f>'ANALYSE - ERP =&gt; SOUS-SEGMENT'!$A$73</f>
        <v>66</v>
      </c>
      <c r="D37" s="408" t="str">
        <f>'ANALYSE - ERP =&gt; SOUS-SEGMENT'!$B$73</f>
        <v>Culture, Patrimoine &amp; Evénementiel</v>
      </c>
      <c r="E37" s="408" t="str">
        <f>'ANALYSE - ERP =&gt; SOUS-SEGMENT'!$C$73</f>
        <v>Événementiel temporaire</v>
      </c>
      <c r="F37" s="408" t="str">
        <f>'ANALYSE - ERP =&gt; SOUS-SEGMENT'!$D$73</f>
        <v>Structures gonflables</v>
      </c>
      <c r="H37" s="458">
        <f>'ANALYSE - ERP =&gt; SOUS-SEGMENT'!$BE$73*'ANALYSE - ERP =&gt; SOUS-SEGMENT'!$IO$73</f>
        <v>324.72000000000003</v>
      </c>
      <c r="I37" s="458">
        <f>'ANALYSE - ERP =&gt; SOUS-SEGMENT'!$BE$73*'ANALYSE - ERP =&gt; SOUS-SEGMENT'!$IP$73</f>
        <v>697.62</v>
      </c>
      <c r="J37" s="458">
        <f>'ANALYSE - ERP =&gt; SOUS-SEGMENT'!$BE$73*'ANALYSE - ERP =&gt; SOUS-SEGMENT'!$IQ$73</f>
        <v>77.66</v>
      </c>
      <c r="K37" s="458">
        <f>'ANALYSE - ERP =&gt; SOUS-SEGMENT'!$BE$73*'ANALYSE - ERP =&gt; SOUS-SEGMENT'!$IR$73</f>
        <v>0</v>
      </c>
      <c r="L37" s="458">
        <f>'ANALYSE - ERP =&gt; SOUS-SEGMENT'!$BE$73*'ANALYSE - ERP =&gt; SOUS-SEGMENT'!$IS$73</f>
        <v>0</v>
      </c>
      <c r="N37" s="458">
        <f>'ANALYSE - ERP =&gt; SOUS-SEGMENT'!$FA$73*'ANALYSE - ERP =&gt; SOUS-SEGMENT'!$IT$73</f>
        <v>70.336961144800014</v>
      </c>
      <c r="O37" s="458">
        <f>'ANALYSE - ERP =&gt; SOUS-SEGMENT'!$FA$73*'ANALYSE - ERP =&gt; SOUS-SEGMENT'!$IU$73</f>
        <v>305.26885163956365</v>
      </c>
      <c r="P37" s="458">
        <f>'ANALYSE - ERP =&gt; SOUS-SEGMENT'!$FA$73*'ANALYSE - ERP =&gt; SOUS-SEGMENT'!$IV$73</f>
        <v>84.413553761090924</v>
      </c>
      <c r="Q37" s="458">
        <f>'ANALYSE - ERP =&gt; SOUS-SEGMENT'!$FA$73*'ANALYSE - ERP =&gt; SOUS-SEGMENT'!$IW$73</f>
        <v>0</v>
      </c>
      <c r="R37" s="458">
        <f>'ANALYSE - ERP =&gt; SOUS-SEGMENT'!$FA$73*'ANALYSE - ERP =&gt; SOUS-SEGMENT'!$IX$73</f>
        <v>0</v>
      </c>
      <c r="T37" s="430">
        <f>'ANALYSE - ERP =&gt; SOUS-SEGMENT'!$Q$73</f>
        <v>1</v>
      </c>
    </row>
    <row r="38" spans="1:20" ht="15" customHeight="1">
      <c r="A38" s="26">
        <v>35</v>
      </c>
      <c r="B38" s="26">
        <v>34</v>
      </c>
      <c r="C38" s="422">
        <f>'ANALYSE - ERP =&gt; SOUS-SEGMENT'!$A$59</f>
        <v>52</v>
      </c>
      <c r="D38" s="415" t="str">
        <f>'ANALYSE - ERP =&gt; SOUS-SEGMENT'!$B$59</f>
        <v>Santé &amp; Médico-social</v>
      </c>
      <c r="E38" s="415" t="str">
        <f>'ANALYSE - ERP =&gt; SOUS-SEGMENT'!$C$59</f>
        <v>Médico-social</v>
      </c>
      <c r="F38" s="415" t="str">
        <f>'ANALYSE - ERP =&gt; SOUS-SEGMENT'!$D$59</f>
        <v>USLD</v>
      </c>
      <c r="H38" s="458">
        <f>'ANALYSE - ERP =&gt; SOUS-SEGMENT'!$BE$59*'ANALYSE - ERP =&gt; SOUS-SEGMENT'!$IO$59</f>
        <v>0</v>
      </c>
      <c r="I38" s="458">
        <f>'ANALYSE - ERP =&gt; SOUS-SEGMENT'!$BE$59*'ANALYSE - ERP =&gt; SOUS-SEGMENT'!$IP$59</f>
        <v>4108.26</v>
      </c>
      <c r="J38" s="458">
        <f>'ANALYSE - ERP =&gt; SOUS-SEGMENT'!$BE$59*'ANALYSE - ERP =&gt; SOUS-SEGMENT'!$IQ$59</f>
        <v>16908.45</v>
      </c>
      <c r="K38" s="458">
        <f>'ANALYSE - ERP =&gt; SOUS-SEGMENT'!$BE$59*'ANALYSE - ERP =&gt; SOUS-SEGMENT'!$IR$59</f>
        <v>8883.2899999999991</v>
      </c>
      <c r="L38" s="458">
        <f>'ANALYSE - ERP =&gt; SOUS-SEGMENT'!$BE$59*'ANALYSE - ERP =&gt; SOUS-SEGMENT'!$IS$59</f>
        <v>0</v>
      </c>
      <c r="N38" s="458">
        <f>'ANALYSE - ERP =&gt; SOUS-SEGMENT'!$FA$59*'ANALYSE - ERP =&gt; SOUS-SEGMENT'!$IT$59</f>
        <v>0</v>
      </c>
      <c r="O38" s="458">
        <f>'ANALYSE - ERP =&gt; SOUS-SEGMENT'!$FA$59*'ANALYSE - ERP =&gt; SOUS-SEGMENT'!$IU$59</f>
        <v>1002.2122867500001</v>
      </c>
      <c r="P38" s="458">
        <f>'ANALYSE - ERP =&gt; SOUS-SEGMENT'!$FA$59*'ANALYSE - ERP =&gt; SOUS-SEGMENT'!$IV$59</f>
        <v>6659.2857168</v>
      </c>
      <c r="Q38" s="458">
        <f>'ANALYSE - ERP =&gt; SOUS-SEGMENT'!$FA$59*'ANALYSE - ERP =&gt; SOUS-SEGMENT'!$IW$59</f>
        <v>5000.8478053500003</v>
      </c>
      <c r="R38" s="458">
        <f>'ANALYSE - ERP =&gt; SOUS-SEGMENT'!$FA$59*'ANALYSE - ERP =&gt; SOUS-SEGMENT'!$IX$59</f>
        <v>104.68969110000002</v>
      </c>
      <c r="T38" s="430">
        <f>'ANALYSE - ERP =&gt; SOUS-SEGMENT'!$Q$59</f>
        <v>1</v>
      </c>
    </row>
    <row r="39" spans="1:20" ht="15" customHeight="1">
      <c r="A39" s="26">
        <v>36</v>
      </c>
      <c r="B39" s="26">
        <v>36</v>
      </c>
      <c r="C39" s="422">
        <f>'ANALYSE - ERP =&gt; SOUS-SEGMENT'!$A$116</f>
        <v>109</v>
      </c>
      <c r="D39" s="411" t="str">
        <f>'ANALYSE - ERP =&gt; SOUS-SEGMENT'!$B$116</f>
        <v>Culte, Vie civique &amp; Services publics</v>
      </c>
      <c r="E39" s="411" t="str">
        <f>'ANALYSE - ERP =&gt; SOUS-SEGMENT'!$C$116</f>
        <v>Culte</v>
      </c>
      <c r="F39" s="411" t="str">
        <f>'ANALYSE - ERP =&gt; SOUS-SEGMENT'!$D$116</f>
        <v>Mosquées et salles de prière musulmanes</v>
      </c>
      <c r="H39" s="458">
        <f>'ANALYSE - ERP =&gt; SOUS-SEGMENT'!$BE$116*'ANALYSE - ERP =&gt; SOUS-SEGMENT'!$IO$116</f>
        <v>2496</v>
      </c>
      <c r="I39" s="458">
        <f>'ANALYSE - ERP =&gt; SOUS-SEGMENT'!$BE$116*'ANALYSE - ERP =&gt; SOUS-SEGMENT'!$IP$116</f>
        <v>13228.800000000001</v>
      </c>
      <c r="J39" s="458">
        <f>'ANALYSE - ERP =&gt; SOUS-SEGMENT'!$BE$116*'ANALYSE - ERP =&gt; SOUS-SEGMENT'!$IQ$116</f>
        <v>8486.4000000000015</v>
      </c>
      <c r="K39" s="458">
        <f>'ANALYSE - ERP =&gt; SOUS-SEGMENT'!$BE$116*'ANALYSE - ERP =&gt; SOUS-SEGMENT'!$IR$116</f>
        <v>748.8</v>
      </c>
      <c r="L39" s="458">
        <f>'ANALYSE - ERP =&gt; SOUS-SEGMENT'!$BE$116*'ANALYSE - ERP =&gt; SOUS-SEGMENT'!$IS$116</f>
        <v>0</v>
      </c>
      <c r="N39" s="458">
        <f>'ANALYSE - ERP =&gt; SOUS-SEGMENT'!$FA$116*'ANALYSE - ERP =&gt; SOUS-SEGMENT'!$IT$116</f>
        <v>831.37730880000015</v>
      </c>
      <c r="O39" s="458">
        <f>'ANALYSE - ERP =&gt; SOUS-SEGMENT'!$FA$116*'ANALYSE - ERP =&gt; SOUS-SEGMENT'!$IU$116</f>
        <v>4962.1320864000008</v>
      </c>
      <c r="P39" s="458">
        <f>'ANALYSE - ERP =&gt; SOUS-SEGMENT'!$FA$116*'ANALYSE - ERP =&gt; SOUS-SEGMENT'!$IV$116</f>
        <v>3427.1327712000007</v>
      </c>
      <c r="Q39" s="458">
        <f>'ANALYSE - ERP =&gt; SOUS-SEGMENT'!$FA$116*'ANALYSE - ERP =&gt; SOUS-SEGMENT'!$IW$116</f>
        <v>426.81885120000004</v>
      </c>
      <c r="R39" s="458">
        <f>'ANALYSE - ERP =&gt; SOUS-SEGMENT'!$FA$116*'ANALYSE - ERP =&gt; SOUS-SEGMENT'!$IX$116</f>
        <v>30.970982400000004</v>
      </c>
      <c r="T39" s="430">
        <f>'ANALYSE - ERP =&gt; SOUS-SEGMENT'!$Q$116</f>
        <v>1</v>
      </c>
    </row>
    <row r="40" spans="1:20" ht="15" customHeight="1">
      <c r="A40" s="26">
        <v>37</v>
      </c>
      <c r="B40" s="26">
        <v>38</v>
      </c>
      <c r="C40" s="422">
        <f>'ANALYSE - ERP =&gt; SOUS-SEGMENT'!$A$49</f>
        <v>42</v>
      </c>
      <c r="D40" s="408" t="str">
        <f>'ANALYSE - ERP =&gt; SOUS-SEGMENT'!$B$49</f>
        <v>Santé &amp; Médico-social</v>
      </c>
      <c r="E40" s="408" t="str">
        <f>'ANALYSE - ERP =&gt; SOUS-SEGMENT'!$C$49</f>
        <v>Santé spécialisée</v>
      </c>
      <c r="F40" s="408" t="str">
        <f>'ANALYSE - ERP =&gt; SOUS-SEGMENT'!$D$49</f>
        <v>Centres de psychiatrie</v>
      </c>
      <c r="H40" s="458">
        <f>'ANALYSE - ERP =&gt; SOUS-SEGMENT'!$BE$49*'ANALYSE - ERP =&gt; SOUS-SEGMENT'!$IO$49</f>
        <v>894.73500000000001</v>
      </c>
      <c r="I40" s="458">
        <f>'ANALYSE - ERP =&gt; SOUS-SEGMENT'!$BE$49*'ANALYSE - ERP =&gt; SOUS-SEGMENT'!$IP$49</f>
        <v>13758.21</v>
      </c>
      <c r="J40" s="458">
        <f>'ANALYSE - ERP =&gt; SOUS-SEGMENT'!$BE$49*'ANALYSE - ERP =&gt; SOUS-SEGMENT'!$IQ$49</f>
        <v>11227.995000000001</v>
      </c>
      <c r="K40" s="458">
        <f>'ANALYSE - ERP =&gt; SOUS-SEGMENT'!$BE$49*'ANALYSE - ERP =&gt; SOUS-SEGMENT'!$IR$49</f>
        <v>669.06000000000006</v>
      </c>
      <c r="L40" s="458">
        <f>'ANALYSE - ERP =&gt; SOUS-SEGMENT'!$BE$49*'ANALYSE - ERP =&gt; SOUS-SEGMENT'!$IS$49</f>
        <v>0</v>
      </c>
      <c r="N40" s="458">
        <f>'ANALYSE - ERP =&gt; SOUS-SEGMENT'!$FA$49*'ANALYSE - ERP =&gt; SOUS-SEGMENT'!$IT$49</f>
        <v>0</v>
      </c>
      <c r="O40" s="458">
        <f>'ANALYSE - ERP =&gt; SOUS-SEGMENT'!$FA$49*'ANALYSE - ERP =&gt; SOUS-SEGMENT'!$IU$49</f>
        <v>4508.1669381633446</v>
      </c>
      <c r="P40" s="458">
        <f>'ANALYSE - ERP =&gt; SOUS-SEGMENT'!$FA$49*'ANALYSE - ERP =&gt; SOUS-SEGMENT'!$IV$49</f>
        <v>7660.0688885104046</v>
      </c>
      <c r="Q40" s="458">
        <f>'ANALYSE - ERP =&gt; SOUS-SEGMENT'!$FA$49*'ANALYSE - ERP =&gt; SOUS-SEGMENT'!$IW$49</f>
        <v>986.61371567624985</v>
      </c>
      <c r="R40" s="458">
        <f>'ANALYSE - ERP =&gt; SOUS-SEGMENT'!$FA$49*'ANALYSE - ERP =&gt; SOUS-SEGMENT'!$IX$49</f>
        <v>0</v>
      </c>
      <c r="T40" s="430">
        <f>'ANALYSE - ERP =&gt; SOUS-SEGMENT'!$Q$49</f>
        <v>0</v>
      </c>
    </row>
    <row r="41" spans="1:20" ht="15" customHeight="1">
      <c r="A41" s="26">
        <v>38</v>
      </c>
      <c r="B41" s="26">
        <v>37</v>
      </c>
      <c r="C41" s="422">
        <f>'ANALYSE - ERP =&gt; SOUS-SEGMENT'!$A$15</f>
        <v>8</v>
      </c>
      <c r="D41" s="413" t="str">
        <f>'ANALYSE - ERP =&gt; SOUS-SEGMENT'!$B$15</f>
        <v>Enfance, Enseignement, Jeunesse &amp; Formation</v>
      </c>
      <c r="E41" s="413" t="str">
        <f>'ANALYSE - ERP =&gt; SOUS-SEGMENT'!$C$15</f>
        <v>Enseignement scolaire</v>
      </c>
      <c r="F41" s="413" t="str">
        <f>'ANALYSE - ERP =&gt; SOUS-SEGMENT'!$D$15</f>
        <v>Internats scolaires</v>
      </c>
      <c r="H41" s="458">
        <f>'ANALYSE - ERP =&gt; SOUS-SEGMENT'!$BE$15*'ANALYSE - ERP =&gt; SOUS-SEGMENT'!$IO$15</f>
        <v>0</v>
      </c>
      <c r="I41" s="458">
        <f>'ANALYSE - ERP =&gt; SOUS-SEGMENT'!$BE$15*'ANALYSE - ERP =&gt; SOUS-SEGMENT'!$IP$15</f>
        <v>6177.3936000000003</v>
      </c>
      <c r="J41" s="458">
        <f>'ANALYSE - ERP =&gt; SOUS-SEGMENT'!$BE$15*'ANALYSE - ERP =&gt; SOUS-SEGMENT'!$IQ$15</f>
        <v>14275.9488</v>
      </c>
      <c r="K41" s="458">
        <f>'ANALYSE - ERP =&gt; SOUS-SEGMENT'!$BE$15*'ANALYSE - ERP =&gt; SOUS-SEGMENT'!$IR$15</f>
        <v>5323.5439999999999</v>
      </c>
      <c r="L41" s="458">
        <f>'ANALYSE - ERP =&gt; SOUS-SEGMENT'!$BE$15*'ANALYSE - ERP =&gt; SOUS-SEGMENT'!$IS$15</f>
        <v>255.11359999999999</v>
      </c>
      <c r="N41" s="458">
        <f>'ANALYSE - ERP =&gt; SOUS-SEGMENT'!$FA$15*'ANALYSE - ERP =&gt; SOUS-SEGMENT'!$IT$15</f>
        <v>0</v>
      </c>
      <c r="O41" s="458">
        <f>'ANALYSE - ERP =&gt; SOUS-SEGMENT'!$FA$15*'ANALYSE - ERP =&gt; SOUS-SEGMENT'!$IU$15</f>
        <v>864.93167134970872</v>
      </c>
      <c r="P41" s="458">
        <f>'ANALYSE - ERP =&gt; SOUS-SEGMENT'!$FA$15*'ANALYSE - ERP =&gt; SOUS-SEGMENT'!$IV$15</f>
        <v>3884.7104131900414</v>
      </c>
      <c r="Q41" s="458">
        <f>'ANALYSE - ERP =&gt; SOUS-SEGMENT'!$FA$15*'ANALYSE - ERP =&gt; SOUS-SEGMENT'!$IW$15</f>
        <v>2503.5132978686211</v>
      </c>
      <c r="R41" s="458">
        <f>'ANALYSE - ERP =&gt; SOUS-SEGMENT'!$FA$15*'ANALYSE - ERP =&gt; SOUS-SEGMENT'!$IX$15</f>
        <v>228.95250123962879</v>
      </c>
      <c r="T41" s="430">
        <f>'ANALYSE - ERP =&gt; SOUS-SEGMENT'!$Q$15</f>
        <v>1</v>
      </c>
    </row>
    <row r="42" spans="1:20" ht="15" customHeight="1">
      <c r="A42" s="26">
        <v>39</v>
      </c>
      <c r="B42" s="26">
        <v>39</v>
      </c>
      <c r="C42" s="422">
        <f>'ANALYSE - ERP =&gt; SOUS-SEGMENT'!$A$50</f>
        <v>43</v>
      </c>
      <c r="D42" s="412" t="str">
        <f>'ANALYSE - ERP =&gt; SOUS-SEGMENT'!$B$50</f>
        <v>Santé &amp; Médico-social</v>
      </c>
      <c r="E42" s="412" t="str">
        <f>'ANALYSE - ERP =&gt; SOUS-SEGMENT'!$C$50</f>
        <v>Santé spécialisée</v>
      </c>
      <c r="F42" s="412" t="str">
        <f>'ANALYSE - ERP =&gt; SOUS-SEGMENT'!$D$50</f>
        <v>Centres de rééducation</v>
      </c>
      <c r="H42" s="458">
        <f>'ANALYSE - ERP =&gt; SOUS-SEGMENT'!$BE$50*'ANALYSE - ERP =&gt; SOUS-SEGMENT'!$IO$50</f>
        <v>0</v>
      </c>
      <c r="I42" s="458">
        <f>'ANALYSE - ERP =&gt; SOUS-SEGMENT'!$BE$50*'ANALYSE - ERP =&gt; SOUS-SEGMENT'!$IP$50</f>
        <v>3044.6388000000002</v>
      </c>
      <c r="J42" s="458">
        <f>'ANALYSE - ERP =&gt; SOUS-SEGMENT'!$BE$50*'ANALYSE - ERP =&gt; SOUS-SEGMENT'!$IQ$50</f>
        <v>15116.7744</v>
      </c>
      <c r="K42" s="458">
        <f>'ANALYSE - ERP =&gt; SOUS-SEGMENT'!$BE$50*'ANALYSE - ERP =&gt; SOUS-SEGMENT'!$IR$50</f>
        <v>7794.5868</v>
      </c>
      <c r="L42" s="458">
        <f>'ANALYSE - ERP =&gt; SOUS-SEGMENT'!$BE$50*'ANALYSE - ERP =&gt; SOUS-SEGMENT'!$IS$50</f>
        <v>0</v>
      </c>
      <c r="N42" s="458">
        <f>'ANALYSE - ERP =&gt; SOUS-SEGMENT'!$FA$50*'ANALYSE - ERP =&gt; SOUS-SEGMENT'!$IT$50</f>
        <v>0</v>
      </c>
      <c r="O42" s="458">
        <f>'ANALYSE - ERP =&gt; SOUS-SEGMENT'!$FA$50*'ANALYSE - ERP =&gt; SOUS-SEGMENT'!$IU$50</f>
        <v>491.33832385875996</v>
      </c>
      <c r="P42" s="458">
        <f>'ANALYSE - ERP =&gt; SOUS-SEGMENT'!$FA$50*'ANALYSE - ERP =&gt; SOUS-SEGMENT'!$IV$50</f>
        <v>6807.6217766220288</v>
      </c>
      <c r="Q42" s="458">
        <f>'ANALYSE - ERP =&gt; SOUS-SEGMENT'!$FA$50*'ANALYSE - ERP =&gt; SOUS-SEGMENT'!$IW$50</f>
        <v>5561.1740287277016</v>
      </c>
      <c r="R42" s="458">
        <f>'ANALYSE - ERP =&gt; SOUS-SEGMENT'!$FA$50*'ANALYSE - ERP =&gt; SOUS-SEGMENT'!$IX$50</f>
        <v>69.821761811507997</v>
      </c>
      <c r="T42" s="430">
        <f>'ANALYSE - ERP =&gt; SOUS-SEGMENT'!$Q$50</f>
        <v>0</v>
      </c>
    </row>
    <row r="43" spans="1:20" ht="15" customHeight="1">
      <c r="A43" s="26">
        <v>40</v>
      </c>
      <c r="B43" s="26">
        <v>42</v>
      </c>
      <c r="C43" s="422">
        <f>'ANALYSE - ERP =&gt; SOUS-SEGMENT'!$A$142</f>
        <v>135</v>
      </c>
      <c r="D43" s="412" t="str">
        <f>'ANALYSE - ERP =&gt; SOUS-SEGMENT'!$B$142</f>
        <v>Sécurité &amp; Justice</v>
      </c>
      <c r="E43" s="412" t="str">
        <f>'ANALYSE - ERP =&gt; SOUS-SEGMENT'!$C$142</f>
        <v>Univers carcéral</v>
      </c>
      <c r="F43" s="412" t="str">
        <f>'ANALYSE - ERP =&gt; SOUS-SEGMENT'!$D$142</f>
        <v>Centres pénitentiaires</v>
      </c>
      <c r="H43" s="458">
        <f>'ANALYSE - ERP =&gt; SOUS-SEGMENT'!$BE$142*'ANALYSE - ERP =&gt; SOUS-SEGMENT'!$IO$142</f>
        <v>3125.64</v>
      </c>
      <c r="I43" s="458">
        <f>'ANALYSE - ERP =&gt; SOUS-SEGMENT'!$BE$142*'ANALYSE - ERP =&gt; SOUS-SEGMENT'!$IP$142</f>
        <v>14703.744999999999</v>
      </c>
      <c r="J43" s="458">
        <f>'ANALYSE - ERP =&gt; SOUS-SEGMENT'!$BE$142*'ANALYSE - ERP =&gt; SOUS-SEGMENT'!$IQ$142</f>
        <v>3520.6149999999998</v>
      </c>
      <c r="K43" s="458">
        <f>'ANALYSE - ERP =&gt; SOUS-SEGMENT'!$BE$142*'ANALYSE - ERP =&gt; SOUS-SEGMENT'!$IR$142</f>
        <v>0</v>
      </c>
      <c r="L43" s="458">
        <f>'ANALYSE - ERP =&gt; SOUS-SEGMENT'!$BE$142*'ANALYSE - ERP =&gt; SOUS-SEGMENT'!$IS$142</f>
        <v>0</v>
      </c>
      <c r="N43" s="458">
        <f>'ANALYSE - ERP =&gt; SOUS-SEGMENT'!$FA$142*'ANALYSE - ERP =&gt; SOUS-SEGMENT'!$IT$142</f>
        <v>485.19457768409086</v>
      </c>
      <c r="O43" s="458">
        <f>'ANALYSE - ERP =&gt; SOUS-SEGMENT'!$FA$142*'ANALYSE - ERP =&gt; SOUS-SEGMENT'!$IU$142</f>
        <v>6504.5342688136352</v>
      </c>
      <c r="P43" s="458">
        <f>'ANALYSE - ERP =&gt; SOUS-SEGMENT'!$FA$142*'ANALYSE - ERP =&gt; SOUS-SEGMENT'!$IV$142</f>
        <v>4267.6859489568178</v>
      </c>
      <c r="Q43" s="458">
        <f>'ANALYSE - ERP =&gt; SOUS-SEGMENT'!$FA$142*'ANALYSE - ERP =&gt; SOUS-SEGMENT'!$IW$142</f>
        <v>0</v>
      </c>
      <c r="R43" s="458">
        <f>'ANALYSE - ERP =&gt; SOUS-SEGMENT'!$FA$142*'ANALYSE - ERP =&gt; SOUS-SEGMENT'!$IX$142</f>
        <v>0</v>
      </c>
      <c r="T43" s="430">
        <f>'ANALYSE - ERP =&gt; SOUS-SEGMENT'!$Q$142</f>
        <v>1</v>
      </c>
    </row>
    <row r="44" spans="1:20" ht="15" customHeight="1">
      <c r="A44" s="26">
        <v>41</v>
      </c>
      <c r="B44" s="26">
        <v>40</v>
      </c>
      <c r="C44" s="422" t="e">
        <f>'ANALYSE - ERP =&gt; SOUS-SEGMENT'!#REF!</f>
        <v>#REF!</v>
      </c>
      <c r="D44" s="408" t="e">
        <f>'ANALYSE - ERP =&gt; SOUS-SEGMENT'!#REF!</f>
        <v>#REF!</v>
      </c>
      <c r="E44" s="408" t="e">
        <f>'ANALYSE - ERP =&gt; SOUS-SEGMENT'!#REF!</f>
        <v>#REF!</v>
      </c>
      <c r="F44" s="408" t="e">
        <f>'ANALYSE - ERP =&gt; SOUS-SEGMENT'!#REF!</f>
        <v>#REF!</v>
      </c>
      <c r="H44" s="458" t="e">
        <f>'ANALYSE - ERP =&gt; SOUS-SEGMENT'!#REF!*'ANALYSE - ERP =&gt; SOUS-SEGMENT'!#REF!</f>
        <v>#REF!</v>
      </c>
      <c r="I44" s="458" t="e">
        <f>'ANALYSE - ERP =&gt; SOUS-SEGMENT'!#REF!*'ANALYSE - ERP =&gt; SOUS-SEGMENT'!#REF!</f>
        <v>#REF!</v>
      </c>
      <c r="J44" s="458" t="e">
        <f>'ANALYSE - ERP =&gt; SOUS-SEGMENT'!#REF!*'ANALYSE - ERP =&gt; SOUS-SEGMENT'!#REF!</f>
        <v>#REF!</v>
      </c>
      <c r="K44" s="458" t="e">
        <f>'ANALYSE - ERP =&gt; SOUS-SEGMENT'!#REF!*'ANALYSE - ERP =&gt; SOUS-SEGMENT'!#REF!</f>
        <v>#REF!</v>
      </c>
      <c r="L44" s="458" t="e">
        <f>'ANALYSE - ERP =&gt; SOUS-SEGMENT'!#REF!*'ANALYSE - ERP =&gt; SOUS-SEGMENT'!#REF!</f>
        <v>#REF!</v>
      </c>
      <c r="N44" s="458" t="e">
        <f>'ANALYSE - ERP =&gt; SOUS-SEGMENT'!#REF!*'ANALYSE - ERP =&gt; SOUS-SEGMENT'!#REF!</f>
        <v>#REF!</v>
      </c>
      <c r="O44" s="458" t="e">
        <f>'ANALYSE - ERP =&gt; SOUS-SEGMENT'!#REF!*'ANALYSE - ERP =&gt; SOUS-SEGMENT'!#REF!</f>
        <v>#REF!</v>
      </c>
      <c r="P44" s="458" t="e">
        <f>'ANALYSE - ERP =&gt; SOUS-SEGMENT'!#REF!*'ANALYSE - ERP =&gt; SOUS-SEGMENT'!#REF!</f>
        <v>#REF!</v>
      </c>
      <c r="Q44" s="458" t="e">
        <f>'ANALYSE - ERP =&gt; SOUS-SEGMENT'!#REF!*'ANALYSE - ERP =&gt; SOUS-SEGMENT'!#REF!</f>
        <v>#REF!</v>
      </c>
      <c r="R44" s="458" t="e">
        <f>'ANALYSE - ERP =&gt; SOUS-SEGMENT'!#REF!*'ANALYSE - ERP =&gt; SOUS-SEGMENT'!#REF!</f>
        <v>#REF!</v>
      </c>
      <c r="T44" s="430" t="e">
        <f>'ANALYSE - ERP =&gt; SOUS-SEGMENT'!#REF!</f>
        <v>#REF!</v>
      </c>
    </row>
    <row r="45" spans="1:20" ht="15" customHeight="1">
      <c r="A45" s="26">
        <v>42</v>
      </c>
      <c r="B45" s="26">
        <v>41</v>
      </c>
      <c r="C45" s="422">
        <f>'ANALYSE - ERP =&gt; SOUS-SEGMENT'!$A$28</f>
        <v>21</v>
      </c>
      <c r="D45" s="414" t="str">
        <f>'ANALYSE - ERP =&gt; SOUS-SEGMENT'!$B$28</f>
        <v>Sports &amp; Loisirs</v>
      </c>
      <c r="E45" s="414" t="str">
        <f>'ANALYSE - ERP =&gt; SOUS-SEGMENT'!$C$28</f>
        <v>Sport de plein air</v>
      </c>
      <c r="F45" s="414" t="str">
        <f>'ANALYSE - ERP =&gt; SOUS-SEGMENT'!$D$28</f>
        <v>Stades avec tribunes
(Hors grands stades, hors terrains sport)</v>
      </c>
      <c r="H45" s="458">
        <f>'ANALYSE - ERP =&gt; SOUS-SEGMENT'!$BE$28*'ANALYSE - ERP =&gt; SOUS-SEGMENT'!$IO$28</f>
        <v>2759.46</v>
      </c>
      <c r="I45" s="458">
        <f>'ANALYSE - ERP =&gt; SOUS-SEGMENT'!$BE$28*'ANALYSE - ERP =&gt; SOUS-SEGMENT'!$IP$28</f>
        <v>13701.84</v>
      </c>
      <c r="J45" s="458">
        <f>'ANALYSE - ERP =&gt; SOUS-SEGMENT'!$BE$28*'ANALYSE - ERP =&gt; SOUS-SEGMENT'!$IQ$28</f>
        <v>5738.7</v>
      </c>
      <c r="K45" s="458">
        <f>'ANALYSE - ERP =&gt; SOUS-SEGMENT'!$BE$28*'ANALYSE - ERP =&gt; SOUS-SEGMENT'!$IR$28</f>
        <v>0</v>
      </c>
      <c r="L45" s="458">
        <f>'ANALYSE - ERP =&gt; SOUS-SEGMENT'!$BE$28*'ANALYSE - ERP =&gt; SOUS-SEGMENT'!$IS$28</f>
        <v>0</v>
      </c>
      <c r="N45" s="458">
        <f>'ANALYSE - ERP =&gt; SOUS-SEGMENT'!$FA$28*'ANALYSE - ERP =&gt; SOUS-SEGMENT'!$IT$28</f>
        <v>533.93294510147894</v>
      </c>
      <c r="O45" s="458">
        <f>'ANALYSE - ERP =&gt; SOUS-SEGMENT'!$FA$28*'ANALYSE - ERP =&gt; SOUS-SEGMENT'!$IU$28</f>
        <v>5396.7977719161217</v>
      </c>
      <c r="P45" s="458">
        <f>'ANALYSE - ERP =&gt; SOUS-SEGMENT'!$FA$28*'ANALYSE - ERP =&gt; SOUS-SEGMENT'!$IV$28</f>
        <v>4518.0549014066437</v>
      </c>
      <c r="Q45" s="458">
        <f>'ANALYSE - ERP =&gt; SOUS-SEGMENT'!$FA$28*'ANALYSE - ERP =&gt; SOUS-SEGMENT'!$IW$28</f>
        <v>0</v>
      </c>
      <c r="R45" s="458">
        <f>'ANALYSE - ERP =&gt; SOUS-SEGMENT'!$FA$28*'ANALYSE - ERP =&gt; SOUS-SEGMENT'!$IX$28</f>
        <v>0</v>
      </c>
      <c r="T45" s="430">
        <f>'ANALYSE - ERP =&gt; SOUS-SEGMENT'!$Q$28</f>
        <v>1</v>
      </c>
    </row>
    <row r="46" spans="1:20" ht="15" customHeight="1">
      <c r="A46" s="26">
        <v>43</v>
      </c>
      <c r="B46" s="26">
        <v>43</v>
      </c>
      <c r="C46" s="422">
        <f>'ANALYSE - ERP =&gt; SOUS-SEGMENT'!$A$62</f>
        <v>55</v>
      </c>
      <c r="D46" s="414" t="str">
        <f>'ANALYSE - ERP =&gt; SOUS-SEGMENT'!$B$62</f>
        <v>Culture, Patrimoine &amp; Evénementiel</v>
      </c>
      <c r="E46" s="414" t="str">
        <f>'ANALYSE - ERP =&gt; SOUS-SEGMENT'!$C$62</f>
        <v>Culture / spectacle</v>
      </c>
      <c r="F46" s="414" t="str">
        <f>'ANALYSE - ERP =&gt; SOUS-SEGMENT'!$D$62</f>
        <v>Cinémas</v>
      </c>
      <c r="H46" s="458">
        <f>'ANALYSE - ERP =&gt; SOUS-SEGMENT'!$BE$62*'ANALYSE - ERP =&gt; SOUS-SEGMENT'!$IO$62</f>
        <v>0</v>
      </c>
      <c r="I46" s="458">
        <f>'ANALYSE - ERP =&gt; SOUS-SEGMENT'!$BE$62*'ANALYSE - ERP =&gt; SOUS-SEGMENT'!$IP$62</f>
        <v>2346.81</v>
      </c>
      <c r="J46" s="458">
        <f>'ANALYSE - ERP =&gt; SOUS-SEGMENT'!$BE$62*'ANALYSE - ERP =&gt; SOUS-SEGMENT'!$IQ$62</f>
        <v>9662.61</v>
      </c>
      <c r="K46" s="458">
        <f>'ANALYSE - ERP =&gt; SOUS-SEGMENT'!$BE$62*'ANALYSE - ERP =&gt; SOUS-SEGMENT'!$IR$62</f>
        <v>7430.8799999999992</v>
      </c>
      <c r="L46" s="458">
        <f>'ANALYSE - ERP =&gt; SOUS-SEGMENT'!$BE$62*'ANALYSE - ERP =&gt; SOUS-SEGMENT'!$IS$62</f>
        <v>1109.7</v>
      </c>
      <c r="N46" s="458">
        <f>'ANALYSE - ERP =&gt; SOUS-SEGMENT'!$FA$62*'ANALYSE - ERP =&gt; SOUS-SEGMENT'!$IT$62</f>
        <v>0</v>
      </c>
      <c r="O46" s="458">
        <f>'ANALYSE - ERP =&gt; SOUS-SEGMENT'!$FA$62*'ANALYSE - ERP =&gt; SOUS-SEGMENT'!$IU$62</f>
        <v>359.81592641236</v>
      </c>
      <c r="P46" s="458">
        <f>'ANALYSE - ERP =&gt; SOUS-SEGMENT'!$FA$62*'ANALYSE - ERP =&gt; SOUS-SEGMENT'!$IV$62</f>
        <v>3118.4046955737867</v>
      </c>
      <c r="Q46" s="458">
        <f>'ANALYSE - ERP =&gt; SOUS-SEGMENT'!$FA$62*'ANALYSE - ERP =&gt; SOUS-SEGMENT'!$IW$62</f>
        <v>3809.2841341874732</v>
      </c>
      <c r="R46" s="458">
        <f>'ANALYSE - ERP =&gt; SOUS-SEGMENT'!$FA$62*'ANALYSE - ERP =&gt; SOUS-SEGMENT'!$IX$62</f>
        <v>927.47073269304667</v>
      </c>
      <c r="T46" s="430">
        <f>'ANALYSE - ERP =&gt; SOUS-SEGMENT'!$Q$62</f>
        <v>1</v>
      </c>
    </row>
    <row r="47" spans="1:20" ht="15" customHeight="1">
      <c r="A47" s="26">
        <v>44</v>
      </c>
      <c r="B47" s="26">
        <v>44</v>
      </c>
      <c r="C47" s="422">
        <f>'ANALYSE - ERP =&gt; SOUS-SEGMENT'!$A$65</f>
        <v>58</v>
      </c>
      <c r="D47" s="414" t="str">
        <f>'ANALYSE - ERP =&gt; SOUS-SEGMENT'!$B$65</f>
        <v>Culture, Patrimoine &amp; Evénementiel</v>
      </c>
      <c r="E47" s="414" t="str">
        <f>'ANALYSE - ERP =&gt; SOUS-SEGMENT'!$C$65</f>
        <v>Culture / spectacle</v>
      </c>
      <c r="F47" s="414" t="str">
        <f>'ANALYSE - ERP =&gt; SOUS-SEGMENT'!$D$65</f>
        <v>Salles de spectacle / Auditoriums</v>
      </c>
      <c r="H47" s="458">
        <f>'ANALYSE - ERP =&gt; SOUS-SEGMENT'!$BE$65*'ANALYSE - ERP =&gt; SOUS-SEGMENT'!$IO$65</f>
        <v>0</v>
      </c>
      <c r="I47" s="458">
        <f>'ANALYSE - ERP =&gt; SOUS-SEGMENT'!$BE$65*'ANALYSE - ERP =&gt; SOUS-SEGMENT'!$IP$65</f>
        <v>2599.7399999999998</v>
      </c>
      <c r="J47" s="458">
        <f>'ANALYSE - ERP =&gt; SOUS-SEGMENT'!$BE$65*'ANALYSE - ERP =&gt; SOUS-SEGMENT'!$IQ$65</f>
        <v>8906.3819999999996</v>
      </c>
      <c r="K47" s="458">
        <f>'ANALYSE - ERP =&gt; SOUS-SEGMENT'!$BE$65*'ANALYSE - ERP =&gt; SOUS-SEGMENT'!$IR$65</f>
        <v>5919.4080000000004</v>
      </c>
      <c r="L47" s="458">
        <f>'ANALYSE - ERP =&gt; SOUS-SEGMENT'!$BE$65*'ANALYSE - ERP =&gt; SOUS-SEGMENT'!$IS$65</f>
        <v>754.47</v>
      </c>
      <c r="N47" s="458">
        <f>'ANALYSE - ERP =&gt; SOUS-SEGMENT'!$FA$65*'ANALYSE - ERP =&gt; SOUS-SEGMENT'!$IT$65</f>
        <v>0</v>
      </c>
      <c r="O47" s="458">
        <f>'ANALYSE - ERP =&gt; SOUS-SEGMENT'!$FA$65*'ANALYSE - ERP =&gt; SOUS-SEGMENT'!$IU$65</f>
        <v>366.75709258795928</v>
      </c>
      <c r="P47" s="458">
        <f>'ANALYSE - ERP =&gt; SOUS-SEGMENT'!$FA$65*'ANALYSE - ERP =&gt; SOUS-SEGMENT'!$IV$65</f>
        <v>2882.400812170159</v>
      </c>
      <c r="Q47" s="458">
        <f>'ANALYSE - ERP =&gt; SOUS-SEGMENT'!$FA$65*'ANALYSE - ERP =&gt; SOUS-SEGMENT'!$IW$65</f>
        <v>3353.2077036613423</v>
      </c>
      <c r="R47" s="458">
        <f>'ANALYSE - ERP =&gt; SOUS-SEGMENT'!$FA$65*'ANALYSE - ERP =&gt; SOUS-SEGMENT'!$IX$65</f>
        <v>777.05275351131013</v>
      </c>
      <c r="T47" s="430">
        <f>'ANALYSE - ERP =&gt; SOUS-SEGMENT'!$Q$65</f>
        <v>1</v>
      </c>
    </row>
    <row r="48" spans="1:20" ht="15" customHeight="1">
      <c r="A48" s="26">
        <v>45</v>
      </c>
      <c r="B48" s="26">
        <v>45</v>
      </c>
      <c r="C48" s="422">
        <f>'ANALYSE - ERP =&gt; SOUS-SEGMENT'!$A$63</f>
        <v>56</v>
      </c>
      <c r="D48" s="414" t="str">
        <f>'ANALYSE - ERP =&gt; SOUS-SEGMENT'!$B$63</f>
        <v>Culture, Patrimoine &amp; Evénementiel</v>
      </c>
      <c r="E48" s="414" t="str">
        <f>'ANALYSE - ERP =&gt; SOUS-SEGMENT'!$C$63</f>
        <v>Culture / spectacle</v>
      </c>
      <c r="F48" s="414" t="str">
        <f>'ANALYSE - ERP =&gt; SOUS-SEGMENT'!$D$63</f>
        <v>Théâtres</v>
      </c>
      <c r="H48" s="458">
        <f>'ANALYSE - ERP =&gt; SOUS-SEGMENT'!$BE$63*'ANALYSE - ERP =&gt; SOUS-SEGMENT'!$IO$63</f>
        <v>48.384</v>
      </c>
      <c r="I48" s="458">
        <f>'ANALYSE - ERP =&gt; SOUS-SEGMENT'!$BE$63*'ANALYSE - ERP =&gt; SOUS-SEGMENT'!$IP$63</f>
        <v>4669.9520000000002</v>
      </c>
      <c r="J48" s="458">
        <f>'ANALYSE - ERP =&gt; SOUS-SEGMENT'!$BE$63*'ANALYSE - ERP =&gt; SOUS-SEGMENT'!$IQ$63</f>
        <v>9494.0160000000014</v>
      </c>
      <c r="K48" s="458">
        <f>'ANALYSE - ERP =&gt; SOUS-SEGMENT'!$BE$63*'ANALYSE - ERP =&gt; SOUS-SEGMENT'!$IR$63</f>
        <v>3515.9040000000005</v>
      </c>
      <c r="L48" s="458">
        <f>'ANALYSE - ERP =&gt; SOUS-SEGMENT'!$BE$63*'ANALYSE - ERP =&gt; SOUS-SEGMENT'!$IS$63</f>
        <v>191.744</v>
      </c>
      <c r="N48" s="458">
        <f>'ANALYSE - ERP =&gt; SOUS-SEGMENT'!$FA$63*'ANALYSE - ERP =&gt; SOUS-SEGMENT'!$IT$63</f>
        <v>0</v>
      </c>
      <c r="O48" s="458">
        <f>'ANALYSE - ERP =&gt; SOUS-SEGMENT'!$FA$63*'ANALYSE - ERP =&gt; SOUS-SEGMENT'!$IU$63</f>
        <v>1090.337620410683</v>
      </c>
      <c r="P48" s="458">
        <f>'ANALYSE - ERP =&gt; SOUS-SEGMENT'!$FA$63*'ANALYSE - ERP =&gt; SOUS-SEGMENT'!$IV$63</f>
        <v>3752.3853213069779</v>
      </c>
      <c r="Q48" s="458">
        <f>'ANALYSE - ERP =&gt; SOUS-SEGMENT'!$FA$63*'ANALYSE - ERP =&gt; SOUS-SEGMENT'!$IW$63</f>
        <v>2199.5241624508062</v>
      </c>
      <c r="R48" s="458">
        <f>'ANALYSE - ERP =&gt; SOUS-SEGMENT'!$FA$63*'ANALYSE - ERP =&gt; SOUS-SEGMENT'!$IX$63</f>
        <v>207.33813792384001</v>
      </c>
      <c r="T48" s="430">
        <f>'ANALYSE - ERP =&gt; SOUS-SEGMENT'!$Q$63</f>
        <v>1</v>
      </c>
    </row>
    <row r="49" spans="1:20" ht="15" customHeight="1">
      <c r="A49" s="26">
        <v>46</v>
      </c>
      <c r="B49" s="26">
        <v>47</v>
      </c>
      <c r="C49" s="422">
        <f>'ANALYSE - ERP =&gt; SOUS-SEGMENT'!$A$115</f>
        <v>108</v>
      </c>
      <c r="D49" s="415" t="str">
        <f>'ANALYSE - ERP =&gt; SOUS-SEGMENT'!$B$115</f>
        <v>Culte, Vie civique &amp; Services publics</v>
      </c>
      <c r="E49" s="415" t="str">
        <f>'ANALYSE - ERP =&gt; SOUS-SEGMENT'!$C$115</f>
        <v>Culte</v>
      </c>
      <c r="F49" s="415" t="str">
        <f>'ANALYSE - ERP =&gt; SOUS-SEGMENT'!$D$115</f>
        <v>Temples protestants, évangéliques et salles de culte assimilées</v>
      </c>
      <c r="H49" s="458">
        <f>'ANALYSE - ERP =&gt; SOUS-SEGMENT'!$BE$115*'ANALYSE - ERP =&gt; SOUS-SEGMENT'!$IO$115</f>
        <v>750</v>
      </c>
      <c r="I49" s="458">
        <f>'ANALYSE - ERP =&gt; SOUS-SEGMENT'!$BE$115*'ANALYSE - ERP =&gt; SOUS-SEGMENT'!$IP$115</f>
        <v>3975</v>
      </c>
      <c r="J49" s="458">
        <f>'ANALYSE - ERP =&gt; SOUS-SEGMENT'!$BE$115*'ANALYSE - ERP =&gt; SOUS-SEGMENT'!$IQ$115</f>
        <v>2550</v>
      </c>
      <c r="K49" s="458">
        <f>'ANALYSE - ERP =&gt; SOUS-SEGMENT'!$BE$115*'ANALYSE - ERP =&gt; SOUS-SEGMENT'!$IR$115</f>
        <v>225</v>
      </c>
      <c r="L49" s="458">
        <f>'ANALYSE - ERP =&gt; SOUS-SEGMENT'!$BE$115*'ANALYSE - ERP =&gt; SOUS-SEGMENT'!$IS$115</f>
        <v>0</v>
      </c>
      <c r="N49" s="458">
        <f>'ANALYSE - ERP =&gt; SOUS-SEGMENT'!$FA$115*'ANALYSE - ERP =&gt; SOUS-SEGMENT'!$IT$115</f>
        <v>203.26136113736266</v>
      </c>
      <c r="O49" s="458">
        <f>'ANALYSE - ERP =&gt; SOUS-SEGMENT'!$FA$115*'ANALYSE - ERP =&gt; SOUS-SEGMENT'!$IU$115</f>
        <v>1213.1792765439561</v>
      </c>
      <c r="P49" s="458">
        <f>'ANALYSE - ERP =&gt; SOUS-SEGMENT'!$FA$115*'ANALYSE - ERP =&gt; SOUS-SEGMENT'!$IV$115</f>
        <v>837.89112897252755</v>
      </c>
      <c r="Q49" s="458">
        <f>'ANALYSE - ERP =&gt; SOUS-SEGMENT'!$FA$115*'ANALYSE - ERP =&gt; SOUS-SEGMENT'!$IW$115</f>
        <v>104.35187457692308</v>
      </c>
      <c r="R49" s="458">
        <f>'ANALYSE - ERP =&gt; SOUS-SEGMENT'!$FA$115*'ANALYSE - ERP =&gt; SOUS-SEGMENT'!$IX$115</f>
        <v>7.5720181098901103</v>
      </c>
      <c r="T49" s="430">
        <f>'ANALYSE - ERP =&gt; SOUS-SEGMENT'!$Q$115</f>
        <v>1</v>
      </c>
    </row>
    <row r="50" spans="1:20" ht="15" customHeight="1">
      <c r="A50" s="26">
        <v>47</v>
      </c>
      <c r="B50" s="26">
        <v>46</v>
      </c>
      <c r="C50" s="422">
        <f>'ANALYSE - ERP =&gt; SOUS-SEGMENT'!$A$16</f>
        <v>9</v>
      </c>
      <c r="D50" s="415" t="str">
        <f>'ANALYSE - ERP =&gt; SOUS-SEGMENT'!$B$16</f>
        <v>Enfance, Enseignement, Jeunesse &amp; Formation</v>
      </c>
      <c r="E50" s="415" t="str">
        <f>'ANALYSE - ERP =&gt; SOUS-SEGMENT'!$C$16</f>
        <v>Enseignement supérieur</v>
      </c>
      <c r="F50" s="415" t="str">
        <f>'ANALYSE - ERP =&gt; SOUS-SEGMENT'!$D$16</f>
        <v>Universités</v>
      </c>
      <c r="H50" s="458">
        <f>'ANALYSE - ERP =&gt; SOUS-SEGMENT'!$BE$16*'ANALYSE - ERP =&gt; SOUS-SEGMENT'!$IO$16</f>
        <v>201.60000000000002</v>
      </c>
      <c r="I50" s="458">
        <f>'ANALYSE - ERP =&gt; SOUS-SEGMENT'!$BE$16*'ANALYSE - ERP =&gt; SOUS-SEGMENT'!$IP$16</f>
        <v>5482.5750000000007</v>
      </c>
      <c r="J50" s="458">
        <f>'ANALYSE - ERP =&gt; SOUS-SEGMENT'!$BE$16*'ANALYSE - ERP =&gt; SOUS-SEGMENT'!$IQ$16</f>
        <v>8125.4250000000002</v>
      </c>
      <c r="K50" s="458">
        <f>'ANALYSE - ERP =&gt; SOUS-SEGMENT'!$BE$16*'ANALYSE - ERP =&gt; SOUS-SEGMENT'!$IR$16</f>
        <v>1901.0250000000001</v>
      </c>
      <c r="L50" s="458">
        <f>'ANALYSE - ERP =&gt; SOUS-SEGMENT'!$BE$16*'ANALYSE - ERP =&gt; SOUS-SEGMENT'!$IS$16</f>
        <v>39.375</v>
      </c>
      <c r="N50" s="458">
        <f>'ANALYSE - ERP =&gt; SOUS-SEGMENT'!$FA$16*'ANALYSE - ERP =&gt; SOUS-SEGMENT'!$IT$16</f>
        <v>0</v>
      </c>
      <c r="O50" s="458">
        <f>'ANALYSE - ERP =&gt; SOUS-SEGMENT'!$FA$16*'ANALYSE - ERP =&gt; SOUS-SEGMENT'!$IU$16</f>
        <v>610.37460981000004</v>
      </c>
      <c r="P50" s="458">
        <f>'ANALYSE - ERP =&gt; SOUS-SEGMENT'!$FA$16*'ANALYSE - ERP =&gt; SOUS-SEGMENT'!$IV$16</f>
        <v>2176.0339264020004</v>
      </c>
      <c r="Q50" s="458">
        <f>'ANALYSE - ERP =&gt; SOUS-SEGMENT'!$FA$16*'ANALYSE - ERP =&gt; SOUS-SEGMENT'!$IW$16</f>
        <v>1032.0175148723999</v>
      </c>
      <c r="R50" s="458">
        <f>'ANALYSE - ERP =&gt; SOUS-SEGMENT'!$FA$16*'ANALYSE - ERP =&gt; SOUS-SEGMENT'!$IX$16</f>
        <v>56.9682969156</v>
      </c>
      <c r="T50" s="430">
        <f>'ANALYSE - ERP =&gt; SOUS-SEGMENT'!$Q$16</f>
        <v>1</v>
      </c>
    </row>
    <row r="51" spans="1:20" ht="15" customHeight="1">
      <c r="A51" s="26">
        <v>48</v>
      </c>
      <c r="B51" s="26">
        <v>48</v>
      </c>
      <c r="C51" s="422">
        <f>'ANALYSE - ERP =&gt; SOUS-SEGMENT'!$A$42</f>
        <v>35</v>
      </c>
      <c r="D51" s="413" t="str">
        <f>'ANALYSE - ERP =&gt; SOUS-SEGMENT'!$B$42</f>
        <v>Sports &amp; Loisirs</v>
      </c>
      <c r="E51" s="413" t="str">
        <f>'ANALYSE - ERP =&gt; SOUS-SEGMENT'!$C$42</f>
        <v>Loisirs</v>
      </c>
      <c r="F51" s="413" t="str">
        <f>'ANALYSE - ERP =&gt; SOUS-SEGMENT'!$D$42</f>
        <v>Discothèques / Salles de danse</v>
      </c>
      <c r="H51" s="458">
        <f>'ANALYSE - ERP =&gt; SOUS-SEGMENT'!$BE$42*'ANALYSE - ERP =&gt; SOUS-SEGMENT'!$IO$42</f>
        <v>336</v>
      </c>
      <c r="I51" s="458">
        <f>'ANALYSE - ERP =&gt; SOUS-SEGMENT'!$BE$42*'ANALYSE - ERP =&gt; SOUS-SEGMENT'!$IP$42</f>
        <v>9408</v>
      </c>
      <c r="J51" s="458">
        <f>'ANALYSE - ERP =&gt; SOUS-SEGMENT'!$BE$42*'ANALYSE - ERP =&gt; SOUS-SEGMENT'!$IQ$42</f>
        <v>16800</v>
      </c>
      <c r="K51" s="458">
        <f>'ANALYSE - ERP =&gt; SOUS-SEGMENT'!$BE$42*'ANALYSE - ERP =&gt; SOUS-SEGMENT'!$IR$42</f>
        <v>6384</v>
      </c>
      <c r="L51" s="458">
        <f>'ANALYSE - ERP =&gt; SOUS-SEGMENT'!$BE$42*'ANALYSE - ERP =&gt; SOUS-SEGMENT'!$IS$42</f>
        <v>672</v>
      </c>
      <c r="N51" s="458">
        <f>'ANALYSE - ERP =&gt; SOUS-SEGMENT'!$FA$42*'ANALYSE - ERP =&gt; SOUS-SEGMENT'!$IT$42</f>
        <v>0</v>
      </c>
      <c r="O51" s="458">
        <f>'ANALYSE - ERP =&gt; SOUS-SEGMENT'!$FA$42*'ANALYSE - ERP =&gt; SOUS-SEGMENT'!$IU$42</f>
        <v>4010.7496932419999</v>
      </c>
      <c r="P51" s="458">
        <f>'ANALYSE - ERP =&gt; SOUS-SEGMENT'!$FA$42*'ANALYSE - ERP =&gt; SOUS-SEGMENT'!$IV$42</f>
        <v>8621.5328051580018</v>
      </c>
      <c r="Q51" s="458">
        <f>'ANALYSE - ERP =&gt; SOUS-SEGMENT'!$FA$42*'ANALYSE - ERP =&gt; SOUS-SEGMENT'!$IW$42</f>
        <v>3560.3090936280005</v>
      </c>
      <c r="R51" s="458">
        <f>'ANALYSE - ERP =&gt; SOUS-SEGMENT'!$FA$42*'ANALYSE - ERP =&gt; SOUS-SEGMENT'!$IX$42</f>
        <v>428.83274797200005</v>
      </c>
      <c r="T51" s="430">
        <f>'ANALYSE - ERP =&gt; SOUS-SEGMENT'!$Q$42</f>
        <v>1</v>
      </c>
    </row>
    <row r="52" spans="1:20" ht="15" customHeight="1">
      <c r="A52" s="26">
        <v>49</v>
      </c>
      <c r="B52" s="26">
        <v>49</v>
      </c>
      <c r="C52" s="422">
        <f>'ANALYSE - ERP =&gt; SOUS-SEGMENT'!$A$18</f>
        <v>11</v>
      </c>
      <c r="D52" s="411" t="str">
        <f>'ANALYSE - ERP =&gt; SOUS-SEGMENT'!$B$18</f>
        <v>Enfance, Enseignement, Jeunesse &amp; Formation</v>
      </c>
      <c r="E52" s="411" t="str">
        <f>'ANALYSE - ERP =&gt; SOUS-SEGMENT'!$C$18</f>
        <v>Enseignement supérieur</v>
      </c>
      <c r="F52" s="411" t="str">
        <f>'ANALYSE - ERP =&gt; SOUS-SEGMENT'!$D$18</f>
        <v>Résidences étudiantes et dortoirs</v>
      </c>
      <c r="H52" s="458">
        <f>'ANALYSE - ERP =&gt; SOUS-SEGMENT'!$BE$18*'ANALYSE - ERP =&gt; SOUS-SEGMENT'!$IO$18</f>
        <v>0</v>
      </c>
      <c r="I52" s="458">
        <f>'ANALYSE - ERP =&gt; SOUS-SEGMENT'!$BE$18*'ANALYSE - ERP =&gt; SOUS-SEGMENT'!$IP$18</f>
        <v>2871.9328</v>
      </c>
      <c r="J52" s="458">
        <f>'ANALYSE - ERP =&gt; SOUS-SEGMENT'!$BE$18*'ANALYSE - ERP =&gt; SOUS-SEGMENT'!$IQ$18</f>
        <v>8008.1055999999999</v>
      </c>
      <c r="K52" s="458">
        <f>'ANALYSE - ERP =&gt; SOUS-SEGMENT'!$BE$18*'ANALYSE - ERP =&gt; SOUS-SEGMENT'!$IR$18</f>
        <v>3520.5279999999998</v>
      </c>
      <c r="L52" s="458">
        <f>'ANALYSE - ERP =&gt; SOUS-SEGMENT'!$BE$18*'ANALYSE - ERP =&gt; SOUS-SEGMENT'!$IS$18</f>
        <v>207.43360000000001</v>
      </c>
      <c r="N52" s="458">
        <f>'ANALYSE - ERP =&gt; SOUS-SEGMENT'!$FA$18*'ANALYSE - ERP =&gt; SOUS-SEGMENT'!$IT$18</f>
        <v>0</v>
      </c>
      <c r="O52" s="458">
        <f>'ANALYSE - ERP =&gt; SOUS-SEGMENT'!$FA$18*'ANALYSE - ERP =&gt; SOUS-SEGMENT'!$IU$18</f>
        <v>265.39430787710074</v>
      </c>
      <c r="P52" s="458">
        <f>'ANALYSE - ERP =&gt; SOUS-SEGMENT'!$FA$18*'ANALYSE - ERP =&gt; SOUS-SEGMENT'!$IV$18</f>
        <v>1985.9554670221821</v>
      </c>
      <c r="Q52" s="458">
        <f>'ANALYSE - ERP =&gt; SOUS-SEGMENT'!$FA$18*'ANALYSE - ERP =&gt; SOUS-SEGMENT'!$IW$18</f>
        <v>1797.3068475295743</v>
      </c>
      <c r="R52" s="458">
        <f>'ANALYSE - ERP =&gt; SOUS-SEGMENT'!$FA$18*'ANALYSE - ERP =&gt; SOUS-SEGMENT'!$IX$18</f>
        <v>238.81200240314237</v>
      </c>
      <c r="T52" s="430">
        <f>'ANALYSE - ERP =&gt; SOUS-SEGMENT'!$Q$18</f>
        <v>1</v>
      </c>
    </row>
    <row r="53" spans="1:20" ht="15" customHeight="1">
      <c r="A53" s="26">
        <v>50</v>
      </c>
      <c r="B53" s="26">
        <v>62</v>
      </c>
      <c r="C53" s="422">
        <f>'ANALYSE - ERP =&gt; SOUS-SEGMENT'!$A$54</f>
        <v>47</v>
      </c>
      <c r="D53" s="411" t="str">
        <f>'ANALYSE - ERP =&gt; SOUS-SEGMENT'!$B$54</f>
        <v>Santé &amp; Médico-social</v>
      </c>
      <c r="E53" s="411" t="str">
        <f>'ANALYSE - ERP =&gt; SOUS-SEGMENT'!$C$54</f>
        <v>Santé ambulatoire</v>
      </c>
      <c r="F53" s="411" t="str">
        <f>'ANALYSE - ERP =&gt; SOUS-SEGMENT'!$D$54</f>
        <v>Maisons de santé</v>
      </c>
      <c r="H53" s="458">
        <f>'ANALYSE - ERP =&gt; SOUS-SEGMENT'!$BE$54*'ANALYSE - ERP =&gt; SOUS-SEGMENT'!$IO$54</f>
        <v>0</v>
      </c>
      <c r="I53" s="458">
        <f>'ANALYSE - ERP =&gt; SOUS-SEGMENT'!$BE$54*'ANALYSE - ERP =&gt; SOUS-SEGMENT'!$IP$54</f>
        <v>838.80000000000007</v>
      </c>
      <c r="J53" s="458">
        <f>'ANALYSE - ERP =&gt; SOUS-SEGMENT'!$BE$54*'ANALYSE - ERP =&gt; SOUS-SEGMENT'!$IQ$54</f>
        <v>4814.1000000000004</v>
      </c>
      <c r="K53" s="458">
        <f>'ANALYSE - ERP =&gt; SOUS-SEGMENT'!$BE$54*'ANALYSE - ERP =&gt; SOUS-SEGMENT'!$IR$54</f>
        <v>3059.1</v>
      </c>
      <c r="L53" s="458">
        <f>'ANALYSE - ERP =&gt; SOUS-SEGMENT'!$BE$54*'ANALYSE - ERP =&gt; SOUS-SEGMENT'!$IS$54</f>
        <v>288</v>
      </c>
      <c r="N53" s="458">
        <f>'ANALYSE - ERP =&gt; SOUS-SEGMENT'!$FA$54*'ANALYSE - ERP =&gt; SOUS-SEGMENT'!$IT$54</f>
        <v>0</v>
      </c>
      <c r="O53" s="458">
        <f>'ANALYSE - ERP =&gt; SOUS-SEGMENT'!$FA$54*'ANALYSE - ERP =&gt; SOUS-SEGMENT'!$IU$54</f>
        <v>78.314919087869995</v>
      </c>
      <c r="P53" s="458">
        <f>'ANALYSE - ERP =&gt; SOUS-SEGMENT'!$FA$54*'ANALYSE - ERP =&gt; SOUS-SEGMENT'!$IV$54</f>
        <v>2566.1188487792074</v>
      </c>
      <c r="Q53" s="458">
        <f>'ANALYSE - ERP =&gt; SOUS-SEGMENT'!$FA$54*'ANALYSE - ERP =&gt; SOUS-SEGMENT'!$IW$54</f>
        <v>5187.0581409199231</v>
      </c>
      <c r="R53" s="458">
        <f>'ANALYSE - ERP =&gt; SOUS-SEGMENT'!$FA$54*'ANALYSE - ERP =&gt; SOUS-SEGMENT'!$IX$54</f>
        <v>870.16576764300009</v>
      </c>
      <c r="T53" s="430">
        <f>'ANALYSE - ERP =&gt; SOUS-SEGMENT'!$Q$54</f>
        <v>1</v>
      </c>
    </row>
    <row r="54" spans="1:20" ht="15" customHeight="1">
      <c r="A54" s="26">
        <v>51</v>
      </c>
      <c r="B54" s="26">
        <v>53</v>
      </c>
      <c r="C54" s="422">
        <f>'ANALYSE - ERP =&gt; SOUS-SEGMENT'!$A$123</f>
        <v>116</v>
      </c>
      <c r="D54" s="417" t="str">
        <f>'ANALYSE - ERP =&gt; SOUS-SEGMENT'!$B$123</f>
        <v>Transport, Mobilité &amp; Stationnement</v>
      </c>
      <c r="E54" s="417" t="str">
        <f>'ANALYSE - ERP =&gt; SOUS-SEGMENT'!$C$123</f>
        <v>Transport / Mobilité</v>
      </c>
      <c r="F54" s="417" t="str">
        <f>'ANALYSE - ERP =&gt; SOUS-SEGMENT'!$D$123</f>
        <v>Parcs de stationnement couverts (dotés de sanitaires)</v>
      </c>
      <c r="H54" s="458">
        <f>'ANALYSE - ERP =&gt; SOUS-SEGMENT'!$BE$123*'ANALYSE - ERP =&gt; SOUS-SEGMENT'!$IO$123</f>
        <v>51.300000000000004</v>
      </c>
      <c r="I54" s="458">
        <f>'ANALYSE - ERP =&gt; SOUS-SEGMENT'!$BE$123*'ANALYSE - ERP =&gt; SOUS-SEGMENT'!$IP$123</f>
        <v>482.21999999999997</v>
      </c>
      <c r="J54" s="458">
        <f>'ANALYSE - ERP =&gt; SOUS-SEGMENT'!$BE$123*'ANALYSE - ERP =&gt; SOUS-SEGMENT'!$IQ$123</f>
        <v>420.65999999999997</v>
      </c>
      <c r="K54" s="458">
        <f>'ANALYSE - ERP =&gt; SOUS-SEGMENT'!$BE$123*'ANALYSE - ERP =&gt; SOUS-SEGMENT'!$IR$123</f>
        <v>61.559999999999995</v>
      </c>
      <c r="L54" s="458">
        <f>'ANALYSE - ERP =&gt; SOUS-SEGMENT'!$BE$123*'ANALYSE - ERP =&gt; SOUS-SEGMENT'!$IS$123</f>
        <v>10.26</v>
      </c>
      <c r="N54" s="458">
        <f>'ANALYSE - ERP =&gt; SOUS-SEGMENT'!$FA$123*'ANALYSE - ERP =&gt; SOUS-SEGMENT'!$IT$123</f>
        <v>13.970822196392726</v>
      </c>
      <c r="O54" s="458">
        <f>'ANALYSE - ERP =&gt; SOUS-SEGMENT'!$FA$123*'ANALYSE - ERP =&gt; SOUS-SEGMENT'!$IU$123</f>
        <v>211.36808547467635</v>
      </c>
      <c r="P54" s="458">
        <f>'ANALYSE - ERP =&gt; SOUS-SEGMENT'!$FA$123*'ANALYSE - ERP =&gt; SOUS-SEGMENT'!$IV$123</f>
        <v>204.62027339342544</v>
      </c>
      <c r="Q54" s="458">
        <f>'ANALYSE - ERP =&gt; SOUS-SEGMENT'!$FA$123*'ANALYSE - ERP =&gt; SOUS-SEGMENT'!$IW$123</f>
        <v>38.300961531607271</v>
      </c>
      <c r="R54" s="458">
        <f>'ANALYSE - ERP =&gt; SOUS-SEGMENT'!$FA$123*'ANALYSE - ERP =&gt; SOUS-SEGMENT'!$IX$123</f>
        <v>6.9378912948072724</v>
      </c>
      <c r="T54" s="430">
        <f>'ANALYSE - ERP =&gt; SOUS-SEGMENT'!$Q$123</f>
        <v>1</v>
      </c>
    </row>
    <row r="55" spans="1:20" ht="15" customHeight="1">
      <c r="A55" s="26">
        <v>52</v>
      </c>
      <c r="B55" s="26">
        <v>51</v>
      </c>
      <c r="C55" s="422">
        <f>'ANALYSE - ERP =&gt; SOUS-SEGMENT'!$A$70</f>
        <v>63</v>
      </c>
      <c r="D55" s="417" t="str">
        <f>'ANALYSE - ERP =&gt; SOUS-SEGMENT'!$B$70</f>
        <v>Culture, Patrimoine &amp; Evénementiel</v>
      </c>
      <c r="E55" s="417" t="str">
        <f>'ANALYSE - ERP =&gt; SOUS-SEGMENT'!$C$70</f>
        <v>Expositions / salons</v>
      </c>
      <c r="F55" s="417" t="str">
        <f>'ANALYSE - ERP =&gt; SOUS-SEGMENT'!$D$70</f>
        <v>Foires / Salons</v>
      </c>
      <c r="H55" s="458">
        <f>'ANALYSE - ERP =&gt; SOUS-SEGMENT'!$BE$70*'ANALYSE - ERP =&gt; SOUS-SEGMENT'!$IO$70</f>
        <v>0</v>
      </c>
      <c r="I55" s="458">
        <f>'ANALYSE - ERP =&gt; SOUS-SEGMENT'!$BE$70*'ANALYSE - ERP =&gt; SOUS-SEGMENT'!$IP$70</f>
        <v>1470.896</v>
      </c>
      <c r="J55" s="458">
        <f>'ANALYSE - ERP =&gt; SOUS-SEGMENT'!$BE$70*'ANALYSE - ERP =&gt; SOUS-SEGMENT'!$IQ$70</f>
        <v>6056.1760000000004</v>
      </c>
      <c r="K55" s="458">
        <f>'ANALYSE - ERP =&gt; SOUS-SEGMENT'!$BE$70*'ANALYSE - ERP =&gt; SOUS-SEGMENT'!$IR$70</f>
        <v>4657.4079999999994</v>
      </c>
      <c r="L55" s="458">
        <f>'ANALYSE - ERP =&gt; SOUS-SEGMENT'!$BE$70*'ANALYSE - ERP =&gt; SOUS-SEGMENT'!$IS$70</f>
        <v>695.52</v>
      </c>
      <c r="N55" s="458">
        <f>'ANALYSE - ERP =&gt; SOUS-SEGMENT'!$FA$70*'ANALYSE - ERP =&gt; SOUS-SEGMENT'!$IT$70</f>
        <v>0</v>
      </c>
      <c r="O55" s="458">
        <f>'ANALYSE - ERP =&gt; SOUS-SEGMENT'!$FA$70*'ANALYSE - ERP =&gt; SOUS-SEGMENT'!$IU$70</f>
        <v>213.51094785720002</v>
      </c>
      <c r="P55" s="458">
        <f>'ANALYSE - ERP =&gt; SOUS-SEGMENT'!$FA$70*'ANALYSE - ERP =&gt; SOUS-SEGMENT'!$IV$70</f>
        <v>1965.8822828629602</v>
      </c>
      <c r="Q55" s="458">
        <f>'ANALYSE - ERP =&gt; SOUS-SEGMENT'!$FA$70*'ANALYSE - ERP =&gt; SOUS-SEGMENT'!$IW$70</f>
        <v>2471.9823074133601</v>
      </c>
      <c r="R55" s="458">
        <f>'ANALYSE - ERP =&gt; SOUS-SEGMENT'!$FA$70*'ANALYSE - ERP =&gt; SOUS-SEGMENT'!$IX$70</f>
        <v>620.49971759981338</v>
      </c>
      <c r="T55" s="430">
        <f>'ANALYSE - ERP =&gt; SOUS-SEGMENT'!$Q$70</f>
        <v>1</v>
      </c>
    </row>
    <row r="56" spans="1:20" ht="15" customHeight="1">
      <c r="A56" s="26">
        <v>53</v>
      </c>
      <c r="B56" s="26">
        <v>54</v>
      </c>
      <c r="C56" s="422">
        <f>'ANALYSE - ERP =&gt; SOUS-SEGMENT'!$A$17</f>
        <v>10</v>
      </c>
      <c r="D56" s="413" t="str">
        <f>'ANALYSE - ERP =&gt; SOUS-SEGMENT'!$B$17</f>
        <v>Enfance, Enseignement, Jeunesse &amp; Formation</v>
      </c>
      <c r="E56" s="413" t="str">
        <f>'ANALYSE - ERP =&gt; SOUS-SEGMENT'!$C$17</f>
        <v>Enseignement supérieur</v>
      </c>
      <c r="F56" s="413" t="str">
        <f>'ANALYSE - ERP =&gt; SOUS-SEGMENT'!$D$17</f>
        <v>Grandes écoles</v>
      </c>
      <c r="H56" s="458">
        <f>'ANALYSE - ERP =&gt; SOUS-SEGMENT'!$BE$17*'ANALYSE - ERP =&gt; SOUS-SEGMENT'!$IO$17</f>
        <v>0</v>
      </c>
      <c r="I56" s="458">
        <f>'ANALYSE - ERP =&gt; SOUS-SEGMENT'!$BE$17*'ANALYSE - ERP =&gt; SOUS-SEGMENT'!$IP$17</f>
        <v>1373.904</v>
      </c>
      <c r="J56" s="458">
        <f>'ANALYSE - ERP =&gt; SOUS-SEGMENT'!$BE$17*'ANALYSE - ERP =&gt; SOUS-SEGMENT'!$IQ$17</f>
        <v>6812.4480000000003</v>
      </c>
      <c r="K56" s="458">
        <f>'ANALYSE - ERP =&gt; SOUS-SEGMENT'!$BE$17*'ANALYSE - ERP =&gt; SOUS-SEGMENT'!$IR$17</f>
        <v>5012.5919999999996</v>
      </c>
      <c r="L56" s="458">
        <f>'ANALYSE - ERP =&gt; SOUS-SEGMENT'!$BE$17*'ANALYSE - ERP =&gt; SOUS-SEGMENT'!$IS$17</f>
        <v>721.05600000000004</v>
      </c>
      <c r="N56" s="458">
        <f>'ANALYSE - ERP =&gt; SOUS-SEGMENT'!$FA$17*'ANALYSE - ERP =&gt; SOUS-SEGMENT'!$IT$17</f>
        <v>0</v>
      </c>
      <c r="O56" s="458">
        <f>'ANALYSE - ERP =&gt; SOUS-SEGMENT'!$FA$17*'ANALYSE - ERP =&gt; SOUS-SEGMENT'!$IU$17</f>
        <v>55.301277376799995</v>
      </c>
      <c r="P56" s="458">
        <f>'ANALYSE - ERP =&gt; SOUS-SEGMENT'!$FA$17*'ANALYSE - ERP =&gt; SOUS-SEGMENT'!$IV$17</f>
        <v>1266.2085578688</v>
      </c>
      <c r="Q56" s="458">
        <f>'ANALYSE - ERP =&gt; SOUS-SEGMENT'!$FA$17*'ANALYSE - ERP =&gt; SOUS-SEGMENT'!$IW$17</f>
        <v>1958.4279953783996</v>
      </c>
      <c r="R56" s="458">
        <f>'ANALYSE - ERP =&gt; SOUS-SEGMENT'!$FA$17*'ANALYSE - ERP =&gt; SOUS-SEGMENT'!$IX$17</f>
        <v>533.94336777599995</v>
      </c>
      <c r="T56" s="430">
        <f>'ANALYSE - ERP =&gt; SOUS-SEGMENT'!$Q$17</f>
        <v>1</v>
      </c>
    </row>
    <row r="57" spans="1:20" ht="15" customHeight="1">
      <c r="A57" s="26">
        <v>54</v>
      </c>
      <c r="B57" s="26">
        <v>50</v>
      </c>
      <c r="C57" s="422">
        <f>'ANALYSE - ERP =&gt; SOUS-SEGMENT'!$A$60</f>
        <v>53</v>
      </c>
      <c r="D57" s="417" t="str">
        <f>'ANALYSE - ERP =&gt; SOUS-SEGMENT'!$B$60</f>
        <v>Santé &amp; Médico-social</v>
      </c>
      <c r="E57" s="417" t="str">
        <f>'ANALYSE - ERP =&gt; SOUS-SEGMENT'!$C$60</f>
        <v>Médico-social</v>
      </c>
      <c r="F57" s="417" t="str">
        <f>'ANALYSE - ERP =&gt; SOUS-SEGMENT'!$D$60</f>
        <v>Résidences autonomie
Foyers-logements
(Public)</v>
      </c>
      <c r="H57" s="458">
        <f>'ANALYSE - ERP =&gt; SOUS-SEGMENT'!$BE$60*'ANALYSE - ERP =&gt; SOUS-SEGMENT'!$IO$60</f>
        <v>0</v>
      </c>
      <c r="I57" s="458">
        <f>'ANALYSE - ERP =&gt; SOUS-SEGMENT'!$BE$60*'ANALYSE - ERP =&gt; SOUS-SEGMENT'!$IP$60</f>
        <v>2794.9151999999999</v>
      </c>
      <c r="J57" s="458">
        <f>'ANALYSE - ERP =&gt; SOUS-SEGMENT'!$BE$60*'ANALYSE - ERP =&gt; SOUS-SEGMENT'!$IQ$60</f>
        <v>7364.2338</v>
      </c>
      <c r="K57" s="458">
        <f>'ANALYSE - ERP =&gt; SOUS-SEGMENT'!$BE$60*'ANALYSE - ERP =&gt; SOUS-SEGMENT'!$IR$60</f>
        <v>2846.1378</v>
      </c>
      <c r="L57" s="458">
        <f>'ANALYSE - ERP =&gt; SOUS-SEGMENT'!$BE$60*'ANALYSE - ERP =&gt; SOUS-SEGMENT'!$IS$60</f>
        <v>128.7132</v>
      </c>
      <c r="N57" s="458">
        <f>'ANALYSE - ERP =&gt; SOUS-SEGMENT'!$FA$60*'ANALYSE - ERP =&gt; SOUS-SEGMENT'!$IT$60</f>
        <v>0</v>
      </c>
      <c r="O57" s="458">
        <f>'ANALYSE - ERP =&gt; SOUS-SEGMENT'!$FA$60*'ANALYSE - ERP =&gt; SOUS-SEGMENT'!$IU$60</f>
        <v>698.92809431984335</v>
      </c>
      <c r="P57" s="458">
        <f>'ANALYSE - ERP =&gt; SOUS-SEGMENT'!$FA$60*'ANALYSE - ERP =&gt; SOUS-SEGMENT'!$IV$60</f>
        <v>2951.2714706455017</v>
      </c>
      <c r="Q57" s="458">
        <f>'ANALYSE - ERP =&gt; SOUS-SEGMENT'!$FA$60*'ANALYSE - ERP =&gt; SOUS-SEGMENT'!$IW$60</f>
        <v>1669.812645573478</v>
      </c>
      <c r="R57" s="458">
        <f>'ANALYSE - ERP =&gt; SOUS-SEGMENT'!$FA$60*'ANALYSE - ERP =&gt; SOUS-SEGMENT'!$IX$60</f>
        <v>119.11692813700054</v>
      </c>
      <c r="T57" s="430">
        <f>'ANALYSE - ERP =&gt; SOUS-SEGMENT'!$Q$60</f>
        <v>1</v>
      </c>
    </row>
    <row r="58" spans="1:20" ht="15" customHeight="1">
      <c r="A58" s="26">
        <v>55</v>
      </c>
      <c r="B58" s="26">
        <v>52</v>
      </c>
      <c r="C58" s="422">
        <f>'ANALYSE - ERP =&gt; SOUS-SEGMENT'!$A$30</f>
        <v>23</v>
      </c>
      <c r="D58" s="417" t="str">
        <f>'ANALYSE - ERP =&gt; SOUS-SEGMENT'!$B$30</f>
        <v>Sports &amp; Loisirs</v>
      </c>
      <c r="E58" s="417" t="str">
        <f>'ANALYSE - ERP =&gt; SOUS-SEGMENT'!$C$30</f>
        <v>Sport de plein air</v>
      </c>
      <c r="F58" s="417" t="str">
        <f>'ANALYSE - ERP =&gt; SOUS-SEGMENT'!$D$30</f>
        <v>Hippodromes, Centres équestres &amp; Manèges couverts</v>
      </c>
      <c r="H58" s="458">
        <f>'ANALYSE - ERP =&gt; SOUS-SEGMENT'!$BE$30*'ANALYSE - ERP =&gt; SOUS-SEGMENT'!$IO$30</f>
        <v>4928</v>
      </c>
      <c r="I58" s="458">
        <f>'ANALYSE - ERP =&gt; SOUS-SEGMENT'!$BE$30*'ANALYSE - ERP =&gt; SOUS-SEGMENT'!$IP$30</f>
        <v>17556</v>
      </c>
      <c r="J58" s="458">
        <f>'ANALYSE - ERP =&gt; SOUS-SEGMENT'!$BE$30*'ANALYSE - ERP =&gt; SOUS-SEGMENT'!$IQ$30</f>
        <v>7700</v>
      </c>
      <c r="K58" s="458">
        <f>'ANALYSE - ERP =&gt; SOUS-SEGMENT'!$BE$30*'ANALYSE - ERP =&gt; SOUS-SEGMENT'!$IR$30</f>
        <v>616</v>
      </c>
      <c r="L58" s="458">
        <f>'ANALYSE - ERP =&gt; SOUS-SEGMENT'!$BE$30*'ANALYSE - ERP =&gt; SOUS-SEGMENT'!$IS$30</f>
        <v>0</v>
      </c>
      <c r="N58" s="458">
        <f>'ANALYSE - ERP =&gt; SOUS-SEGMENT'!$FA$30*'ANALYSE - ERP =&gt; SOUS-SEGMENT'!$IT$30</f>
        <v>2099.9771636127275</v>
      </c>
      <c r="O58" s="458">
        <f>'ANALYSE - ERP =&gt; SOUS-SEGMENT'!$FA$30*'ANALYSE - ERP =&gt; SOUS-SEGMENT'!$IU$30</f>
        <v>8091.4791202309098</v>
      </c>
      <c r="P58" s="458">
        <f>'ANALYSE - ERP =&gt; SOUS-SEGMENT'!$FA$30*'ANALYSE - ERP =&gt; SOUS-SEGMENT'!$IV$30</f>
        <v>3950.5543689327274</v>
      </c>
      <c r="Q58" s="458">
        <f>'ANALYSE - ERP =&gt; SOUS-SEGMENT'!$FA$30*'ANALYSE - ERP =&gt; SOUS-SEGMENT'!$IW$30</f>
        <v>556.3537531145455</v>
      </c>
      <c r="R58" s="458">
        <f>'ANALYSE - ERP =&gt; SOUS-SEGMENT'!$FA$30*'ANALYSE - ERP =&gt; SOUS-SEGMENT'!$IX$30</f>
        <v>59.029575927272731</v>
      </c>
      <c r="T58" s="430">
        <f>'ANALYSE - ERP =&gt; SOUS-SEGMENT'!$Q$30</f>
        <v>1</v>
      </c>
    </row>
    <row r="59" spans="1:20" ht="15" customHeight="1">
      <c r="A59" s="26">
        <v>56</v>
      </c>
      <c r="B59" s="26">
        <v>56</v>
      </c>
      <c r="C59" s="422">
        <f>'ANALYSE - ERP =&gt; SOUS-SEGMENT'!$A$122</f>
        <v>115</v>
      </c>
      <c r="D59" s="417" t="str">
        <f>'ANALYSE - ERP =&gt; SOUS-SEGMENT'!$B$122</f>
        <v>Transport, Mobilité &amp; Stationnement</v>
      </c>
      <c r="E59" s="417" t="str">
        <f>'ANALYSE - ERP =&gt; SOUS-SEGMENT'!$C$122</f>
        <v>Transport / Mobilité</v>
      </c>
      <c r="F59" s="417" t="str">
        <f>'ANALYSE - ERP =&gt; SOUS-SEGMENT'!$D$122</f>
        <v>Aires de repos - Autoroutes
(Hors Aires de service)</v>
      </c>
      <c r="H59" s="458">
        <f>'ANALYSE - ERP =&gt; SOUS-SEGMENT'!$BE$122*'ANALYSE - ERP =&gt; SOUS-SEGMENT'!$IO$122</f>
        <v>368.12880000000001</v>
      </c>
      <c r="I59" s="458">
        <f>'ANALYSE - ERP =&gt; SOUS-SEGMENT'!$BE$122*'ANALYSE - ERP =&gt; SOUS-SEGMENT'!$IP$122</f>
        <v>5083.8371999999999</v>
      </c>
      <c r="J59" s="458">
        <f>'ANALYSE - ERP =&gt; SOUS-SEGMENT'!$BE$122*'ANALYSE - ERP =&gt; SOUS-SEGMENT'!$IQ$122</f>
        <v>4558.5540000000001</v>
      </c>
      <c r="K59" s="458">
        <f>'ANALYSE - ERP =&gt; SOUS-SEGMENT'!$BE$122*'ANALYSE - ERP =&gt; SOUS-SEGMENT'!$IR$122</f>
        <v>430.56</v>
      </c>
      <c r="L59" s="458">
        <f>'ANALYSE - ERP =&gt; SOUS-SEGMENT'!$BE$122*'ANALYSE - ERP =&gt; SOUS-SEGMENT'!$IS$122</f>
        <v>322.92</v>
      </c>
      <c r="N59" s="458">
        <f>'ANALYSE - ERP =&gt; SOUS-SEGMENT'!$FA$122*'ANALYSE - ERP =&gt; SOUS-SEGMENT'!$IT$122</f>
        <v>33.727992634620001</v>
      </c>
      <c r="O59" s="458">
        <f>'ANALYSE - ERP =&gt; SOUS-SEGMENT'!$FA$122*'ANALYSE - ERP =&gt; SOUS-SEGMENT'!$IU$122</f>
        <v>2020.1904553908601</v>
      </c>
      <c r="P59" s="458">
        <f>'ANALYSE - ERP =&gt; SOUS-SEGMENT'!$FA$122*'ANALYSE - ERP =&gt; SOUS-SEGMENT'!$IV$122</f>
        <v>3095.9971170123599</v>
      </c>
      <c r="Q59" s="458">
        <f>'ANALYSE - ERP =&gt; SOUS-SEGMENT'!$FA$122*'ANALYSE - ERP =&gt; SOUS-SEGMENT'!$IW$122</f>
        <v>490.80044454516002</v>
      </c>
      <c r="R59" s="458">
        <f>'ANALYSE - ERP =&gt; SOUS-SEGMENT'!$FA$122*'ANALYSE - ERP =&gt; SOUS-SEGMENT'!$IX$122</f>
        <v>174.45513431699999</v>
      </c>
      <c r="T59" s="430">
        <f>'ANALYSE - ERP =&gt; SOUS-SEGMENT'!$Q$122</f>
        <v>1</v>
      </c>
    </row>
    <row r="60" spans="1:20" ht="15" customHeight="1">
      <c r="A60" s="26">
        <v>57</v>
      </c>
      <c r="B60" s="26">
        <v>57</v>
      </c>
      <c r="C60" s="422">
        <f>'ANALYSE - ERP =&gt; SOUS-SEGMENT'!$A$41</f>
        <v>34</v>
      </c>
      <c r="D60" s="417" t="str">
        <f>'ANALYSE - ERP =&gt; SOUS-SEGMENT'!$B$41</f>
        <v>Sports &amp; Loisirs</v>
      </c>
      <c r="E60" s="417" t="str">
        <f>'ANALYSE - ERP =&gt; SOUS-SEGMENT'!$C$41</f>
        <v>Loisirs</v>
      </c>
      <c r="F60" s="417" t="str">
        <f>'ANALYSE - ERP =&gt; SOUS-SEGMENT'!$D$41</f>
        <v>Salles de jeux / Bowlings / Billards</v>
      </c>
      <c r="H60" s="458">
        <f>'ANALYSE - ERP =&gt; SOUS-SEGMENT'!$BE$41*'ANALYSE - ERP =&gt; SOUS-SEGMENT'!$IO$41</f>
        <v>98.4</v>
      </c>
      <c r="I60" s="458">
        <f>'ANALYSE - ERP =&gt; SOUS-SEGMENT'!$BE$41*'ANALYSE - ERP =&gt; SOUS-SEGMENT'!$IP$41</f>
        <v>2755.2000000000003</v>
      </c>
      <c r="J60" s="458">
        <f>'ANALYSE - ERP =&gt; SOUS-SEGMENT'!$BE$41*'ANALYSE - ERP =&gt; SOUS-SEGMENT'!$IQ$41</f>
        <v>4920</v>
      </c>
      <c r="K60" s="458">
        <f>'ANALYSE - ERP =&gt; SOUS-SEGMENT'!$BE$41*'ANALYSE - ERP =&gt; SOUS-SEGMENT'!$IR$41</f>
        <v>1869.6</v>
      </c>
      <c r="L60" s="458">
        <f>'ANALYSE - ERP =&gt; SOUS-SEGMENT'!$BE$41*'ANALYSE - ERP =&gt; SOUS-SEGMENT'!$IS$41</f>
        <v>196.8</v>
      </c>
      <c r="N60" s="458">
        <f>'ANALYSE - ERP =&gt; SOUS-SEGMENT'!$FA$41*'ANALYSE - ERP =&gt; SOUS-SEGMENT'!$IT$41</f>
        <v>0</v>
      </c>
      <c r="O60" s="458">
        <f>'ANALYSE - ERP =&gt; SOUS-SEGMENT'!$FA$41*'ANALYSE - ERP =&gt; SOUS-SEGMENT'!$IU$41</f>
        <v>1059.3242772554909</v>
      </c>
      <c r="P60" s="458">
        <f>'ANALYSE - ERP =&gt; SOUS-SEGMENT'!$FA$41*'ANALYSE - ERP =&gt; SOUS-SEGMENT'!$IV$41</f>
        <v>2277.1301392972368</v>
      </c>
      <c r="Q60" s="458">
        <f>'ANALYSE - ERP =&gt; SOUS-SEGMENT'!$FA$41*'ANALYSE - ERP =&gt; SOUS-SEGMENT'!$IW$41</f>
        <v>940.35333687578191</v>
      </c>
      <c r="R60" s="458">
        <f>'ANALYSE - ERP =&gt; SOUS-SEGMENT'!$FA$41*'ANALYSE - ERP =&gt; SOUS-SEGMENT'!$IX$41</f>
        <v>113.26384729876365</v>
      </c>
      <c r="T60" s="430">
        <f>'ANALYSE - ERP =&gt; SOUS-SEGMENT'!$Q$41</f>
        <v>1</v>
      </c>
    </row>
    <row r="61" spans="1:20" ht="15" customHeight="1">
      <c r="A61" s="26">
        <v>58</v>
      </c>
      <c r="B61" s="26">
        <v>55</v>
      </c>
      <c r="C61" s="422">
        <f>'ANALYSE - ERP =&gt; SOUS-SEGMENT'!$A$51</f>
        <v>44</v>
      </c>
      <c r="D61" s="417" t="str">
        <f>'ANALYSE - ERP =&gt; SOUS-SEGMENT'!$B$51</f>
        <v>Santé &amp; Médico-social</v>
      </c>
      <c r="E61" s="417" t="str">
        <f>'ANALYSE - ERP =&gt; SOUS-SEGMENT'!$C$51</f>
        <v>Santé spécialisée</v>
      </c>
      <c r="F61" s="417" t="str">
        <f>'ANALYSE - ERP =&gt; SOUS-SEGMENT'!$D$51</f>
        <v>Maternités</v>
      </c>
      <c r="H61" s="458">
        <f>'ANALYSE - ERP =&gt; SOUS-SEGMENT'!$BE$51*'ANALYSE - ERP =&gt; SOUS-SEGMENT'!$IO$51</f>
        <v>0</v>
      </c>
      <c r="I61" s="458">
        <f>'ANALYSE - ERP =&gt; SOUS-SEGMENT'!$BE$51*'ANALYSE - ERP =&gt; SOUS-SEGMENT'!$IP$51</f>
        <v>740.92499999999995</v>
      </c>
      <c r="J61" s="458">
        <f>'ANALYSE - ERP =&gt; SOUS-SEGMENT'!$BE$51*'ANALYSE - ERP =&gt; SOUS-SEGMENT'!$IQ$51</f>
        <v>7323.8099999999995</v>
      </c>
      <c r="K61" s="458">
        <f>'ANALYSE - ERP =&gt; SOUS-SEGMENT'!$BE$51*'ANALYSE - ERP =&gt; SOUS-SEGMENT'!$IR$51</f>
        <v>5285.2649999999994</v>
      </c>
      <c r="L61" s="458">
        <f>'ANALYSE - ERP =&gt; SOUS-SEGMENT'!$BE$51*'ANALYSE - ERP =&gt; SOUS-SEGMENT'!$IS$51</f>
        <v>0</v>
      </c>
      <c r="N61" s="458">
        <f>'ANALYSE - ERP =&gt; SOUS-SEGMENT'!$FA$51*'ANALYSE - ERP =&gt; SOUS-SEGMENT'!$IT$51</f>
        <v>0</v>
      </c>
      <c r="O61" s="458">
        <f>'ANALYSE - ERP =&gt; SOUS-SEGMENT'!$FA$51*'ANALYSE - ERP =&gt; SOUS-SEGMENT'!$IU$51</f>
        <v>3.8194313863636364</v>
      </c>
      <c r="P61" s="458">
        <f>'ANALYSE - ERP =&gt; SOUS-SEGMENT'!$FA$51*'ANALYSE - ERP =&gt; SOUS-SEGMENT'!$IV$51</f>
        <v>3419.9188633499998</v>
      </c>
      <c r="Q61" s="458">
        <f>'ANALYSE - ERP =&gt; SOUS-SEGMENT'!$FA$51*'ANALYSE - ERP =&gt; SOUS-SEGMENT'!$IW$51</f>
        <v>3955.403143718182</v>
      </c>
      <c r="R61" s="458">
        <f>'ANALYSE - ERP =&gt; SOUS-SEGMENT'!$FA$51*'ANALYSE - ERP =&gt; SOUS-SEGMENT'!$IX$51</f>
        <v>259.72133427272729</v>
      </c>
      <c r="T61" s="430">
        <f>'ANALYSE - ERP =&gt; SOUS-SEGMENT'!$Q$51</f>
        <v>0</v>
      </c>
    </row>
    <row r="62" spans="1:20" s="45" customFormat="1" ht="15" customHeight="1">
      <c r="A62" s="406">
        <v>59</v>
      </c>
      <c r="B62" s="406">
        <v>67</v>
      </c>
      <c r="C62" s="448">
        <f>'ANALYSE - ERP =&gt; SOUS-SEGMENT'!$A$61</f>
        <v>54</v>
      </c>
      <c r="D62" s="449" t="str">
        <f>'ANALYSE - ERP =&gt; SOUS-SEGMENT'!$B$61</f>
        <v>Santé &amp; Médico-social</v>
      </c>
      <c r="E62" s="449" t="str">
        <f>'ANALYSE - ERP =&gt; SOUS-SEGMENT'!$C$61</f>
        <v>Médico-social</v>
      </c>
      <c r="F62" s="449" t="str">
        <f>'ANALYSE - ERP =&gt; SOUS-SEGMENT'!$D$61</f>
        <v>Résidences services seniors
(Privé)</v>
      </c>
      <c r="G62" s="685"/>
      <c r="H62" s="459">
        <f>'ANALYSE - ERP =&gt; SOUS-SEGMENT'!$BE$61*'ANALYSE - ERP =&gt; SOUS-SEGMENT'!$IO$61</f>
        <v>0</v>
      </c>
      <c r="I62" s="459">
        <f>'ANALYSE - ERP =&gt; SOUS-SEGMENT'!$BE$61*'ANALYSE - ERP =&gt; SOUS-SEGMENT'!$IP$61</f>
        <v>0</v>
      </c>
      <c r="J62" s="459">
        <f>'ANALYSE - ERP =&gt; SOUS-SEGMENT'!$BE$61*'ANALYSE - ERP =&gt; SOUS-SEGMENT'!$IQ$61</f>
        <v>3189.3119999999999</v>
      </c>
      <c r="K62" s="459">
        <f>'ANALYSE - ERP =&gt; SOUS-SEGMENT'!$BE$61*'ANALYSE - ERP =&gt; SOUS-SEGMENT'!$IR$61</f>
        <v>3929.6880000000001</v>
      </c>
      <c r="L62" s="459">
        <f>'ANALYSE - ERP =&gt; SOUS-SEGMENT'!$BE$61*'ANALYSE - ERP =&gt; SOUS-SEGMENT'!$IS$61</f>
        <v>791</v>
      </c>
      <c r="M62" s="685"/>
      <c r="N62" s="459">
        <f>'ANALYSE - ERP =&gt; SOUS-SEGMENT'!$FA$61*'ANALYSE - ERP =&gt; SOUS-SEGMENT'!$IT$61</f>
        <v>0</v>
      </c>
      <c r="O62" s="459">
        <f>'ANALYSE - ERP =&gt; SOUS-SEGMENT'!$FA$61*'ANALYSE - ERP =&gt; SOUS-SEGMENT'!$IU$61</f>
        <v>0</v>
      </c>
      <c r="P62" s="459">
        <f>'ANALYSE - ERP =&gt; SOUS-SEGMENT'!$FA$61*'ANALYSE - ERP =&gt; SOUS-SEGMENT'!$IV$61</f>
        <v>1129.7710098796001</v>
      </c>
      <c r="Q62" s="459">
        <f>'ANALYSE - ERP =&gt; SOUS-SEGMENT'!$FA$61*'ANALYSE - ERP =&gt; SOUS-SEGMENT'!$IW$61</f>
        <v>3190.3849194065542</v>
      </c>
      <c r="R62" s="459">
        <f>'ANALYSE - ERP =&gt; SOUS-SEGMENT'!$FA$61*'ANALYSE - ERP =&gt; SOUS-SEGMENT'!$IX$61</f>
        <v>703.2811977907694</v>
      </c>
      <c r="S62" s="685"/>
      <c r="T62" s="450">
        <f>'ANALYSE - ERP =&gt; SOUS-SEGMENT'!$Q$61</f>
        <v>1</v>
      </c>
    </row>
    <row r="63" spans="1:20" ht="15" customHeight="1">
      <c r="A63" s="26">
        <v>60</v>
      </c>
      <c r="B63" s="26">
        <v>59</v>
      </c>
      <c r="C63" s="422">
        <f>'ANALYSE - ERP =&gt; SOUS-SEGMENT'!$A$43</f>
        <v>36</v>
      </c>
      <c r="D63" s="417" t="str">
        <f>'ANALYSE - ERP =&gt; SOUS-SEGMENT'!$B$43</f>
        <v>Santé &amp; Médico-social</v>
      </c>
      <c r="E63" s="417" t="str">
        <f>'ANALYSE - ERP =&gt; SOUS-SEGMENT'!$C$43</f>
        <v>Santé hospitalière</v>
      </c>
      <c r="F63" s="417" t="str">
        <f>'ANALYSE - ERP =&gt; SOUS-SEGMENT'!$D$43</f>
        <v>Hôpitaux universitaires / CHU</v>
      </c>
      <c r="H63" s="458">
        <f>'ANALYSE - ERP =&gt; SOUS-SEGMENT'!$BE$43*'ANALYSE - ERP =&gt; SOUS-SEGMENT'!$IO$43</f>
        <v>0</v>
      </c>
      <c r="I63" s="458">
        <f>'ANALYSE - ERP =&gt; SOUS-SEGMENT'!$BE$43*'ANALYSE - ERP =&gt; SOUS-SEGMENT'!$IP$43</f>
        <v>2566.0139999999997</v>
      </c>
      <c r="J63" s="458">
        <f>'ANALYSE - ERP =&gt; SOUS-SEGMENT'!$BE$43*'ANALYSE - ERP =&gt; SOUS-SEGMENT'!$IQ$43</f>
        <v>6788.0999999999995</v>
      </c>
      <c r="K63" s="458">
        <f>'ANALYSE - ERP =&gt; SOUS-SEGMENT'!$BE$43*'ANALYSE - ERP =&gt; SOUS-SEGMENT'!$IR$43</f>
        <v>1865.886</v>
      </c>
      <c r="L63" s="458">
        <f>'ANALYSE - ERP =&gt; SOUS-SEGMENT'!$BE$43*'ANALYSE - ERP =&gt; SOUS-SEGMENT'!$IS$43</f>
        <v>0</v>
      </c>
      <c r="N63" s="458">
        <f>'ANALYSE - ERP =&gt; SOUS-SEGMENT'!$FA$43*'ANALYSE - ERP =&gt; SOUS-SEGMENT'!$IT$43</f>
        <v>0</v>
      </c>
      <c r="O63" s="458">
        <f>'ANALYSE - ERP =&gt; SOUS-SEGMENT'!$FA$43*'ANALYSE - ERP =&gt; SOUS-SEGMENT'!$IU$43</f>
        <v>659.10843072</v>
      </c>
      <c r="P63" s="458">
        <f>'ANALYSE - ERP =&gt; SOUS-SEGMENT'!$FA$43*'ANALYSE - ERP =&gt; SOUS-SEGMENT'!$IV$43</f>
        <v>3273.40156032</v>
      </c>
      <c r="Q63" s="458">
        <f>'ANALYSE - ERP =&gt; SOUS-SEGMENT'!$FA$43*'ANALYSE - ERP =&gt; SOUS-SEGMENT'!$IW$43</f>
        <v>1744.5652089600001</v>
      </c>
      <c r="R63" s="458">
        <f>'ANALYSE - ERP =&gt; SOUS-SEGMENT'!$FA$43*'ANALYSE - ERP =&gt; SOUS-SEGMENT'!$IX$43</f>
        <v>0</v>
      </c>
      <c r="T63" s="430">
        <f>'ANALYSE - ERP =&gt; SOUS-SEGMENT'!$Q$43</f>
        <v>1</v>
      </c>
    </row>
    <row r="64" spans="1:20" ht="15" customHeight="1">
      <c r="A64" s="26">
        <v>61</v>
      </c>
      <c r="B64" s="26">
        <v>58</v>
      </c>
      <c r="C64" s="422">
        <f>'ANALYSE - ERP =&gt; SOUS-SEGMENT'!$A$139</f>
        <v>132</v>
      </c>
      <c r="D64" s="410" t="str">
        <f>'ANALYSE - ERP =&gt; SOUS-SEGMENT'!$B$139</f>
        <v>Sécurité &amp; Justice</v>
      </c>
      <c r="E64" s="410" t="str">
        <f>'ANALYSE - ERP =&gt; SOUS-SEGMENT'!$C$139</f>
        <v>Univers carcéral</v>
      </c>
      <c r="F64" s="410" t="str">
        <f>'ANALYSE - ERP =&gt; SOUS-SEGMENT'!$D$139</f>
        <v>Maisons d’arrêt</v>
      </c>
      <c r="H64" s="458">
        <f>'ANALYSE - ERP =&gt; SOUS-SEGMENT'!$BE$139*'ANALYSE - ERP =&gt; SOUS-SEGMENT'!$IO$139</f>
        <v>1257.5219999999999</v>
      </c>
      <c r="I64" s="458">
        <f>'ANALYSE - ERP =&gt; SOUS-SEGMENT'!$BE$139*'ANALYSE - ERP =&gt; SOUS-SEGMENT'!$IP$139</f>
        <v>7523.0120000000006</v>
      </c>
      <c r="J64" s="458">
        <f>'ANALYSE - ERP =&gt; SOUS-SEGMENT'!$BE$139*'ANALYSE - ERP =&gt; SOUS-SEGMENT'!$IQ$139</f>
        <v>2279.4659999999999</v>
      </c>
      <c r="K64" s="458">
        <f>'ANALYSE - ERP =&gt; SOUS-SEGMENT'!$BE$139*'ANALYSE - ERP =&gt; SOUS-SEGMENT'!$IR$139</f>
        <v>0</v>
      </c>
      <c r="L64" s="458">
        <f>'ANALYSE - ERP =&gt; SOUS-SEGMENT'!$BE$139*'ANALYSE - ERP =&gt; SOUS-SEGMENT'!$IS$139</f>
        <v>0</v>
      </c>
      <c r="N64" s="458">
        <f>'ANALYSE - ERP =&gt; SOUS-SEGMENT'!$FA$139*'ANALYSE - ERP =&gt; SOUS-SEGMENT'!$IT$139</f>
        <v>326.87100025999996</v>
      </c>
      <c r="O64" s="458">
        <f>'ANALYSE - ERP =&gt; SOUS-SEGMENT'!$FA$139*'ANALYSE - ERP =&gt; SOUS-SEGMENT'!$IU$139</f>
        <v>3870.1268034736358</v>
      </c>
      <c r="P64" s="458">
        <f>'ANALYSE - ERP =&gt; SOUS-SEGMENT'!$FA$139*'ANALYSE - ERP =&gt; SOUS-SEGMENT'!$IV$139</f>
        <v>2262.9033871754546</v>
      </c>
      <c r="Q64" s="458">
        <f>'ANALYSE - ERP =&gt; SOUS-SEGMENT'!$FA$139*'ANALYSE - ERP =&gt; SOUS-SEGMENT'!$IW$139</f>
        <v>0</v>
      </c>
      <c r="R64" s="458">
        <f>'ANALYSE - ERP =&gt; SOUS-SEGMENT'!$FA$139*'ANALYSE - ERP =&gt; SOUS-SEGMENT'!$IX$139</f>
        <v>0</v>
      </c>
      <c r="T64" s="430">
        <f>'ANALYSE - ERP =&gt; SOUS-SEGMENT'!$Q$139</f>
        <v>1</v>
      </c>
    </row>
    <row r="65" spans="1:20" s="45" customFormat="1" ht="15" customHeight="1">
      <c r="A65" s="26">
        <v>62</v>
      </c>
      <c r="B65" s="26">
        <v>61</v>
      </c>
      <c r="C65" s="422">
        <f>'ANALYSE - ERP =&gt; SOUS-SEGMENT'!$A$89</f>
        <v>82</v>
      </c>
      <c r="D65" s="410" t="str">
        <f>'ANALYSE - ERP =&gt; SOUS-SEGMENT'!$B$89</f>
        <v>Hébergement Touristique</v>
      </c>
      <c r="E65" s="410" t="str">
        <f>'ANALYSE - ERP =&gt; SOUS-SEGMENT'!$C$89</f>
        <v>Hébergement Touristique</v>
      </c>
      <c r="F65" s="410" t="str">
        <f>'ANALYSE - ERP =&gt; SOUS-SEGMENT'!$D$89</f>
        <v>Résidences de tourisme</v>
      </c>
      <c r="G65" s="685"/>
      <c r="H65" s="458">
        <f>'ANALYSE - ERP =&gt; SOUS-SEGMENT'!$BE$89*'ANALYSE - ERP =&gt; SOUS-SEGMENT'!$IO$89</f>
        <v>1200</v>
      </c>
      <c r="I65" s="458">
        <f>'ANALYSE - ERP =&gt; SOUS-SEGMENT'!$BE$89*'ANALYSE - ERP =&gt; SOUS-SEGMENT'!$IP$89</f>
        <v>6360</v>
      </c>
      <c r="J65" s="458">
        <f>'ANALYSE - ERP =&gt; SOUS-SEGMENT'!$BE$89*'ANALYSE - ERP =&gt; SOUS-SEGMENT'!$IQ$89</f>
        <v>4080.0000000000005</v>
      </c>
      <c r="K65" s="458">
        <f>'ANALYSE - ERP =&gt; SOUS-SEGMENT'!$BE$89*'ANALYSE - ERP =&gt; SOUS-SEGMENT'!$IR$89</f>
        <v>360</v>
      </c>
      <c r="L65" s="458">
        <f>'ANALYSE - ERP =&gt; SOUS-SEGMENT'!$BE$89*'ANALYSE - ERP =&gt; SOUS-SEGMENT'!$IS$89</f>
        <v>0</v>
      </c>
      <c r="M65" s="685"/>
      <c r="N65" s="458">
        <f>'ANALYSE - ERP =&gt; SOUS-SEGMENT'!$FA$89*'ANALYSE - ERP =&gt; SOUS-SEGMENT'!$IT$89</f>
        <v>382.63827272180947</v>
      </c>
      <c r="O65" s="458">
        <f>'ANALYSE - ERP =&gt; SOUS-SEGMENT'!$FA$89*'ANALYSE - ERP =&gt; SOUS-SEGMENT'!$IU$89</f>
        <v>2382.216681951486</v>
      </c>
      <c r="P65" s="458">
        <f>'ANALYSE - ERP =&gt; SOUS-SEGMENT'!$FA$89*'ANALYSE - ERP =&gt; SOUS-SEGMENT'!$IV$89</f>
        <v>1682.6694103496504</v>
      </c>
      <c r="Q65" s="458">
        <f>'ANALYSE - ERP =&gt; SOUS-SEGMENT'!$FA$89*'ANALYSE - ERP =&gt; SOUS-SEGMENT'!$IW$89</f>
        <v>227.2354895673077</v>
      </c>
      <c r="R65" s="458">
        <f>'ANALYSE - ERP =&gt; SOUS-SEGMENT'!$FA$89*'ANALYSE - ERP =&gt; SOUS-SEGMENT'!$IX$89</f>
        <v>20.188276965690559</v>
      </c>
      <c r="S65" s="685"/>
      <c r="T65" s="430">
        <f>'ANALYSE - ERP =&gt; SOUS-SEGMENT'!$Q$89</f>
        <v>1</v>
      </c>
    </row>
    <row r="66" spans="1:20" ht="15" customHeight="1">
      <c r="A66" s="26">
        <v>63</v>
      </c>
      <c r="B66" s="26">
        <v>60</v>
      </c>
      <c r="C66" s="422">
        <f>'ANALYSE - ERP =&gt; SOUS-SEGMENT'!$A$64</f>
        <v>57</v>
      </c>
      <c r="D66" s="417" t="str">
        <f>'ANALYSE - ERP =&gt; SOUS-SEGMENT'!$B$64</f>
        <v>Culture, Patrimoine &amp; Evénementiel</v>
      </c>
      <c r="E66" s="417" t="str">
        <f>'ANALYSE - ERP =&gt; SOUS-SEGMENT'!$C$64</f>
        <v>Culture / spectacle</v>
      </c>
      <c r="F66" s="417" t="str">
        <f>'ANALYSE - ERP =&gt; SOUS-SEGMENT'!$D$64</f>
        <v>Musées</v>
      </c>
      <c r="H66" s="458">
        <f>'ANALYSE - ERP =&gt; SOUS-SEGMENT'!$BE$64*'ANALYSE - ERP =&gt; SOUS-SEGMENT'!$IO$64</f>
        <v>45.796800000000005</v>
      </c>
      <c r="I66" s="458">
        <f>'ANALYSE - ERP =&gt; SOUS-SEGMENT'!$BE$64*'ANALYSE - ERP =&gt; SOUS-SEGMENT'!$IP$64</f>
        <v>2617.2384000000002</v>
      </c>
      <c r="J66" s="458">
        <f>'ANALYSE - ERP =&gt; SOUS-SEGMENT'!$BE$64*'ANALYSE - ERP =&gt; SOUS-SEGMENT'!$IQ$64</f>
        <v>5134.1136000000006</v>
      </c>
      <c r="K66" s="458">
        <f>'ANALYSE - ERP =&gt; SOUS-SEGMENT'!$BE$64*'ANALYSE - ERP =&gt; SOUS-SEGMENT'!$IR$64</f>
        <v>1850.3856000000001</v>
      </c>
      <c r="L66" s="458">
        <f>'ANALYSE - ERP =&gt; SOUS-SEGMENT'!$BE$64*'ANALYSE - ERP =&gt; SOUS-SEGMENT'!$IS$64</f>
        <v>96.465600000000009</v>
      </c>
      <c r="N66" s="458">
        <f>'ANALYSE - ERP =&gt; SOUS-SEGMENT'!$FA$64*'ANALYSE - ERP =&gt; SOUS-SEGMENT'!$IT$64</f>
        <v>0</v>
      </c>
      <c r="O66" s="458">
        <f>'ANALYSE - ERP =&gt; SOUS-SEGMENT'!$FA$64*'ANALYSE - ERP =&gt; SOUS-SEGMENT'!$IU$64</f>
        <v>666.6441556662154</v>
      </c>
      <c r="P66" s="458">
        <f>'ANALYSE - ERP =&gt; SOUS-SEGMENT'!$FA$64*'ANALYSE - ERP =&gt; SOUS-SEGMENT'!$IV$64</f>
        <v>2036.7529290848615</v>
      </c>
      <c r="Q66" s="458">
        <f>'ANALYSE - ERP =&gt; SOUS-SEGMENT'!$FA$64*'ANALYSE - ERP =&gt; SOUS-SEGMENT'!$IW$64</f>
        <v>1081.3588339004309</v>
      </c>
      <c r="R66" s="458">
        <f>'ANALYSE - ERP =&gt; SOUS-SEGMENT'!$FA$64*'ANALYSE - ERP =&gt; SOUS-SEGMENT'!$IX$64</f>
        <v>91.082195686953852</v>
      </c>
      <c r="T66" s="430">
        <f>'ANALYSE - ERP =&gt; SOUS-SEGMENT'!$Q$64</f>
        <v>1</v>
      </c>
    </row>
    <row r="67" spans="1:20" ht="15" customHeight="1">
      <c r="A67" s="26">
        <v>64</v>
      </c>
      <c r="B67" s="26">
        <v>65</v>
      </c>
      <c r="C67" s="422">
        <f>'ANALYSE - ERP =&gt; SOUS-SEGMENT'!$A$53</f>
        <v>46</v>
      </c>
      <c r="D67" s="408" t="str">
        <f>'ANALYSE - ERP =&gt; SOUS-SEGMENT'!$B$53</f>
        <v>Santé &amp; Médico-social</v>
      </c>
      <c r="E67" s="408" t="str">
        <f>'ANALYSE - ERP =&gt; SOUS-SEGMENT'!$C$53</f>
        <v>Santé ambulatoire</v>
      </c>
      <c r="F67" s="408" t="str">
        <f>'ANALYSE - ERP =&gt; SOUS-SEGMENT'!$D$53</f>
        <v>Centres de santé / Centres médicaux</v>
      </c>
      <c r="H67" s="458">
        <f>'ANALYSE - ERP =&gt; SOUS-SEGMENT'!$BE$53*'ANALYSE - ERP =&gt; SOUS-SEGMENT'!$IO$53</f>
        <v>0</v>
      </c>
      <c r="I67" s="458">
        <f>'ANALYSE - ERP =&gt; SOUS-SEGMENT'!$BE$53*'ANALYSE - ERP =&gt; SOUS-SEGMENT'!$IP$53</f>
        <v>2029.1879999999999</v>
      </c>
      <c r="J67" s="458">
        <f>'ANALYSE - ERP =&gt; SOUS-SEGMENT'!$BE$53*'ANALYSE - ERP =&gt; SOUS-SEGMENT'!$IQ$53</f>
        <v>4986.0047999999997</v>
      </c>
      <c r="K67" s="458">
        <f>'ANALYSE - ERP =&gt; SOUS-SEGMENT'!$BE$53*'ANALYSE - ERP =&gt; SOUS-SEGMENT'!$IR$53</f>
        <v>1510.8072</v>
      </c>
      <c r="L67" s="458">
        <f>'ANALYSE - ERP =&gt; SOUS-SEGMENT'!$BE$53*'ANALYSE - ERP =&gt; SOUS-SEGMENT'!$IS$53</f>
        <v>0</v>
      </c>
      <c r="N67" s="458">
        <f>'ANALYSE - ERP =&gt; SOUS-SEGMENT'!$FA$53*'ANALYSE - ERP =&gt; SOUS-SEGMENT'!$IT$53</f>
        <v>0</v>
      </c>
      <c r="O67" s="458">
        <f>'ANALYSE - ERP =&gt; SOUS-SEGMENT'!$FA$53*'ANALYSE - ERP =&gt; SOUS-SEGMENT'!$IU$53</f>
        <v>469.79200348828499</v>
      </c>
      <c r="P67" s="458">
        <f>'ANALYSE - ERP =&gt; SOUS-SEGMENT'!$FA$53*'ANALYSE - ERP =&gt; SOUS-SEGMENT'!$IV$53</f>
        <v>2339.8839989747698</v>
      </c>
      <c r="Q67" s="458">
        <f>'ANALYSE - ERP =&gt; SOUS-SEGMENT'!$FA$53*'ANALYSE - ERP =&gt; SOUS-SEGMENT'!$IW$53</f>
        <v>1509.6444049536149</v>
      </c>
      <c r="R67" s="458">
        <f>'ANALYSE - ERP =&gt; SOUS-SEGMENT'!$FA$53*'ANALYSE - ERP =&gt; SOUS-SEGMENT'!$IX$53</f>
        <v>2.5931481333299997</v>
      </c>
      <c r="T67" s="430">
        <f>'ANALYSE - ERP =&gt; SOUS-SEGMENT'!$Q$53</f>
        <v>1</v>
      </c>
    </row>
    <row r="68" spans="1:20" ht="15" customHeight="1">
      <c r="A68" s="26">
        <v>65</v>
      </c>
      <c r="B68" s="26">
        <v>63</v>
      </c>
      <c r="C68" s="422">
        <f>'ANALYSE - ERP =&gt; SOUS-SEGMENT'!$A$119</f>
        <v>112</v>
      </c>
      <c r="D68" s="412" t="str">
        <f>'ANALYSE - ERP =&gt; SOUS-SEGMENT'!$B$119</f>
        <v>Culte, Vie civique &amp; Services publics</v>
      </c>
      <c r="E68" s="412" t="str">
        <f>'ANALYSE - ERP =&gt; SOUS-SEGMENT'!$C$119</f>
        <v>Culte</v>
      </c>
      <c r="F68" s="412" t="str">
        <f>'ANALYSE - ERP =&gt; SOUS-SEGMENT'!$D$119</f>
        <v>Salles du Royaume, centres cultuels pluriconfessionnels et lieux de culte polyvalents</v>
      </c>
      <c r="H68" s="458">
        <f>'ANALYSE - ERP =&gt; SOUS-SEGMENT'!$BE$119*'ANALYSE - ERP =&gt; SOUS-SEGMENT'!$IO$119</f>
        <v>222</v>
      </c>
      <c r="I68" s="458">
        <f>'ANALYSE - ERP =&gt; SOUS-SEGMENT'!$BE$119*'ANALYSE - ERP =&gt; SOUS-SEGMENT'!$IP$119</f>
        <v>1176.6000000000001</v>
      </c>
      <c r="J68" s="458">
        <f>'ANALYSE - ERP =&gt; SOUS-SEGMENT'!$BE$119*'ANALYSE - ERP =&gt; SOUS-SEGMENT'!$IQ$119</f>
        <v>754.80000000000007</v>
      </c>
      <c r="K68" s="458">
        <f>'ANALYSE - ERP =&gt; SOUS-SEGMENT'!$BE$119*'ANALYSE - ERP =&gt; SOUS-SEGMENT'!$IR$119</f>
        <v>66.599999999999994</v>
      </c>
      <c r="L68" s="458">
        <f>'ANALYSE - ERP =&gt; SOUS-SEGMENT'!$BE$119*'ANALYSE - ERP =&gt; SOUS-SEGMENT'!$IS$119</f>
        <v>0</v>
      </c>
      <c r="N68" s="458">
        <f>'ANALYSE - ERP =&gt; SOUS-SEGMENT'!$FA$119*'ANALYSE - ERP =&gt; SOUS-SEGMENT'!$IT$119</f>
        <v>76.364123863636379</v>
      </c>
      <c r="O68" s="458">
        <f>'ANALYSE - ERP =&gt; SOUS-SEGMENT'!$FA$119*'ANALYSE - ERP =&gt; SOUS-SEGMENT'!$IU$119</f>
        <v>455.78447386363649</v>
      </c>
      <c r="P68" s="458">
        <f>'ANALYSE - ERP =&gt; SOUS-SEGMENT'!$FA$119*'ANALYSE - ERP =&gt; SOUS-SEGMENT'!$IV$119</f>
        <v>314.79087613636369</v>
      </c>
      <c r="Q68" s="458">
        <f>'ANALYSE - ERP =&gt; SOUS-SEGMENT'!$FA$119*'ANALYSE - ERP =&gt; SOUS-SEGMENT'!$IW$119</f>
        <v>39.204398863636371</v>
      </c>
      <c r="R68" s="458">
        <f>'ANALYSE - ERP =&gt; SOUS-SEGMENT'!$FA$119*'ANALYSE - ERP =&gt; SOUS-SEGMENT'!$IX$119</f>
        <v>2.8447636363636368</v>
      </c>
      <c r="T68" s="430">
        <f>'ANALYSE - ERP =&gt; SOUS-SEGMENT'!$Q$119</f>
        <v>1</v>
      </c>
    </row>
    <row r="69" spans="1:20" ht="15" customHeight="1">
      <c r="A69" s="26">
        <v>66</v>
      </c>
      <c r="B69" s="26">
        <v>66</v>
      </c>
      <c r="C69" s="422">
        <f>'ANALYSE - ERP =&gt; SOUS-SEGMENT'!$A$150</f>
        <v>143</v>
      </c>
      <c r="D69" s="415" t="str">
        <f>'ANALYSE - ERP =&gt; SOUS-SEGMENT'!$B$150</f>
        <v>Sanitaires Publics</v>
      </c>
      <c r="E69" s="415" t="str">
        <f>'ANALYSE - ERP =&gt; SOUS-SEGMENT'!$C$150</f>
        <v>Sanitaires publics</v>
      </c>
      <c r="F69" s="415" t="str">
        <f>'ANALYSE - ERP =&gt; SOUS-SEGMENT'!$D$150</f>
        <v>Toilettes publiques (sur la voie publique)</v>
      </c>
      <c r="H69" s="458">
        <f>'ANALYSE - ERP =&gt; SOUS-SEGMENT'!$BE$150*'ANALYSE - ERP =&gt; SOUS-SEGMENT'!$IO$150</f>
        <v>4200</v>
      </c>
      <c r="I69" s="458">
        <f>'ANALYSE - ERP =&gt; SOUS-SEGMENT'!$BE$150*'ANALYSE - ERP =&gt; SOUS-SEGMENT'!$IP$150</f>
        <v>9000</v>
      </c>
      <c r="J69" s="458">
        <f>'ANALYSE - ERP =&gt; SOUS-SEGMENT'!$BE$150*'ANALYSE - ERP =&gt; SOUS-SEGMENT'!$IQ$150</f>
        <v>1800</v>
      </c>
      <c r="K69" s="458">
        <f>'ANALYSE - ERP =&gt; SOUS-SEGMENT'!$BE$150*'ANALYSE - ERP =&gt; SOUS-SEGMENT'!$IR$150</f>
        <v>0</v>
      </c>
      <c r="L69" s="458">
        <f>'ANALYSE - ERP =&gt; SOUS-SEGMENT'!$BE$150*'ANALYSE - ERP =&gt; SOUS-SEGMENT'!$IS$150</f>
        <v>0</v>
      </c>
      <c r="N69" s="458">
        <f>'ANALYSE - ERP =&gt; SOUS-SEGMENT'!$FA$150*'ANALYSE - ERP =&gt; SOUS-SEGMENT'!$IT$150</f>
        <v>1969.8221990935715</v>
      </c>
      <c r="O69" s="458">
        <f>'ANALYSE - ERP =&gt; SOUS-SEGMENT'!$FA$150*'ANALYSE - ERP =&gt; SOUS-SEGMENT'!$IU$150</f>
        <v>4364.8951427871425</v>
      </c>
      <c r="P69" s="458">
        <f>'ANALYSE - ERP =&gt; SOUS-SEGMENT'!$FA$150*'ANALYSE - ERP =&gt; SOUS-SEGMENT'!$IV$150</f>
        <v>1067.6831194778572</v>
      </c>
      <c r="Q69" s="458">
        <f>'ANALYSE - ERP =&gt; SOUS-SEGMENT'!$FA$150*'ANALYSE - ERP =&gt; SOUS-SEGMENT'!$IW$150</f>
        <v>156.43152390642857</v>
      </c>
      <c r="R69" s="458">
        <f>'ANALYSE - ERP =&gt; SOUS-SEGMENT'!$FA$150*'ANALYSE - ERP =&gt; SOUS-SEGMENT'!$IX$150</f>
        <v>34.931311163571429</v>
      </c>
      <c r="T69" s="430">
        <f>'ANALYSE - ERP =&gt; SOUS-SEGMENT'!$Q$150</f>
        <v>1</v>
      </c>
    </row>
    <row r="70" spans="1:20" ht="15" customHeight="1">
      <c r="A70" s="26">
        <v>67</v>
      </c>
      <c r="B70" s="26">
        <v>64</v>
      </c>
      <c r="C70" s="422">
        <f>'ANALYSE - ERP =&gt; SOUS-SEGMENT'!$A$31</f>
        <v>24</v>
      </c>
      <c r="D70" s="411" t="str">
        <f>'ANALYSE - ERP =&gt; SOUS-SEGMENT'!$B$31</f>
        <v>Sports &amp; Loisirs</v>
      </c>
      <c r="E70" s="411" t="str">
        <f>'ANALYSE - ERP =&gt; SOUS-SEGMENT'!$C$31</f>
        <v>Sport de plein air</v>
      </c>
      <c r="F70" s="411" t="str">
        <f>'ANALYSE - ERP =&gt; SOUS-SEGMENT'!$D$31</f>
        <v>Piscines extérieures 
(Hors campings, hôtels, résidences et établissement avec bassin intérieur)</v>
      </c>
      <c r="H70" s="458">
        <f>'ANALYSE - ERP =&gt; SOUS-SEGMENT'!$BE$31*'ANALYSE - ERP =&gt; SOUS-SEGMENT'!$IO$31</f>
        <v>1241.49</v>
      </c>
      <c r="I70" s="458">
        <f>'ANALYSE - ERP =&gt; SOUS-SEGMENT'!$BE$31*'ANALYSE - ERP =&gt; SOUS-SEGMENT'!$IP$31</f>
        <v>5435.76</v>
      </c>
      <c r="J70" s="458">
        <f>'ANALYSE - ERP =&gt; SOUS-SEGMENT'!$BE$31*'ANALYSE - ERP =&gt; SOUS-SEGMENT'!$IQ$31</f>
        <v>2022.75</v>
      </c>
      <c r="K70" s="458">
        <f>'ANALYSE - ERP =&gt; SOUS-SEGMENT'!$BE$31*'ANALYSE - ERP =&gt; SOUS-SEGMENT'!$IR$31</f>
        <v>0</v>
      </c>
      <c r="L70" s="458">
        <f>'ANALYSE - ERP =&gt; SOUS-SEGMENT'!$BE$31*'ANALYSE - ERP =&gt; SOUS-SEGMENT'!$IS$31</f>
        <v>0</v>
      </c>
      <c r="N70" s="458">
        <f>'ANALYSE - ERP =&gt; SOUS-SEGMENT'!$FA$31*'ANALYSE - ERP =&gt; SOUS-SEGMENT'!$IT$31</f>
        <v>295.97296446409092</v>
      </c>
      <c r="O70" s="458">
        <f>'ANALYSE - ERP =&gt; SOUS-SEGMENT'!$FA$31*'ANALYSE - ERP =&gt; SOUS-SEGMENT'!$IU$31</f>
        <v>2455.0409304213995</v>
      </c>
      <c r="P70" s="458">
        <f>'ANALYSE - ERP =&gt; SOUS-SEGMENT'!$FA$31*'ANALYSE - ERP =&gt; SOUS-SEGMENT'!$IV$31</f>
        <v>1633.7707638417817</v>
      </c>
      <c r="Q70" s="458">
        <f>'ANALYSE - ERP =&gt; SOUS-SEGMENT'!$FA$31*'ANALYSE - ERP =&gt; SOUS-SEGMENT'!$IW$31</f>
        <v>0</v>
      </c>
      <c r="R70" s="458">
        <f>'ANALYSE - ERP =&gt; SOUS-SEGMENT'!$FA$31*'ANALYSE - ERP =&gt; SOUS-SEGMENT'!$IX$31</f>
        <v>0</v>
      </c>
      <c r="T70" s="430">
        <f>'ANALYSE - ERP =&gt; SOUS-SEGMENT'!$Q$31</f>
        <v>1</v>
      </c>
    </row>
    <row r="71" spans="1:20" ht="15" customHeight="1">
      <c r="A71" s="26">
        <v>68</v>
      </c>
      <c r="B71" s="26">
        <v>68</v>
      </c>
      <c r="C71" s="422">
        <f>'ANALYSE - ERP =&gt; SOUS-SEGMENT'!$A$114</f>
        <v>107</v>
      </c>
      <c r="D71" s="415" t="str">
        <f>'ANALYSE - ERP =&gt; SOUS-SEGMENT'!$B$114</f>
        <v>Culte, Vie civique &amp; Services publics</v>
      </c>
      <c r="E71" s="415" t="str">
        <f>'ANALYSE - ERP =&gt; SOUS-SEGMENT'!$C$114</f>
        <v>Culte</v>
      </c>
      <c r="F71" s="415" t="str">
        <f>'ANALYSE - ERP =&gt; SOUS-SEGMENT'!$D$114</f>
        <v>Monastères, abbayes et couvents ouverts au public</v>
      </c>
      <c r="H71" s="458">
        <f>'ANALYSE - ERP =&gt; SOUS-SEGMENT'!$BE$114*'ANALYSE - ERP =&gt; SOUS-SEGMENT'!$IO$114</f>
        <v>200</v>
      </c>
      <c r="I71" s="458">
        <f>'ANALYSE - ERP =&gt; SOUS-SEGMENT'!$BE$114*'ANALYSE - ERP =&gt; SOUS-SEGMENT'!$IP$114</f>
        <v>1060</v>
      </c>
      <c r="J71" s="458">
        <f>'ANALYSE - ERP =&gt; SOUS-SEGMENT'!$BE$114*'ANALYSE - ERP =&gt; SOUS-SEGMENT'!$IQ$114</f>
        <v>680</v>
      </c>
      <c r="K71" s="458">
        <f>'ANALYSE - ERP =&gt; SOUS-SEGMENT'!$BE$114*'ANALYSE - ERP =&gt; SOUS-SEGMENT'!$IR$114</f>
        <v>60</v>
      </c>
      <c r="L71" s="458">
        <f>'ANALYSE - ERP =&gt; SOUS-SEGMENT'!$BE$114*'ANALYSE - ERP =&gt; SOUS-SEGMENT'!$IS$114</f>
        <v>0</v>
      </c>
      <c r="N71" s="458">
        <f>'ANALYSE - ERP =&gt; SOUS-SEGMENT'!$FA$114*'ANALYSE - ERP =&gt; SOUS-SEGMENT'!$IT$114</f>
        <v>72.773191499999996</v>
      </c>
      <c r="O71" s="458">
        <f>'ANALYSE - ERP =&gt; SOUS-SEGMENT'!$FA$114*'ANALYSE - ERP =&gt; SOUS-SEGMENT'!$IU$114</f>
        <v>434.35174949999998</v>
      </c>
      <c r="P71" s="458">
        <f>'ANALYSE - ERP =&gt; SOUS-SEGMENT'!$FA$114*'ANALYSE - ERP =&gt; SOUS-SEGMENT'!$IV$114</f>
        <v>299.98820849999998</v>
      </c>
      <c r="Q71" s="458">
        <f>'ANALYSE - ERP =&gt; SOUS-SEGMENT'!$FA$114*'ANALYSE - ERP =&gt; SOUS-SEGMENT'!$IW$114</f>
        <v>37.360858499999999</v>
      </c>
      <c r="R71" s="458">
        <f>'ANALYSE - ERP =&gt; SOUS-SEGMENT'!$FA$114*'ANALYSE - ERP =&gt; SOUS-SEGMENT'!$IX$114</f>
        <v>2.7109920000000001</v>
      </c>
      <c r="T71" s="430">
        <f>'ANALYSE - ERP =&gt; SOUS-SEGMENT'!$Q$114</f>
        <v>1</v>
      </c>
    </row>
    <row r="72" spans="1:20" ht="15" customHeight="1">
      <c r="A72" s="26">
        <v>69</v>
      </c>
      <c r="B72" s="26">
        <v>70</v>
      </c>
      <c r="C72" s="422">
        <f>'ANALYSE - ERP =&gt; SOUS-SEGMENT'!$A$81</f>
        <v>74</v>
      </c>
      <c r="D72" s="408" t="str">
        <f>'ANALYSE - ERP =&gt; SOUS-SEGMENT'!$B$81</f>
        <v>Commerce, Restauration &amp; Loisirs</v>
      </c>
      <c r="E72" s="408" t="str">
        <f>'ANALYSE - ERP =&gt; SOUS-SEGMENT'!$C$81</f>
        <v>Commerce</v>
      </c>
      <c r="F72" s="408" t="str">
        <f>'ANALYSE - ERP =&gt; SOUS-SEGMENT'!$D$81</f>
        <v>Marchés couverts</v>
      </c>
      <c r="H72" s="458">
        <f>'ANALYSE - ERP =&gt; SOUS-SEGMENT'!$BE$81*'ANALYSE - ERP =&gt; SOUS-SEGMENT'!$IO$81</f>
        <v>1007.76</v>
      </c>
      <c r="I72" s="458">
        <f>'ANALYSE - ERP =&gt; SOUS-SEGMENT'!$BE$81*'ANALYSE - ERP =&gt; SOUS-SEGMENT'!$IP$81</f>
        <v>2965.56</v>
      </c>
      <c r="J72" s="458">
        <f>'ANALYSE - ERP =&gt; SOUS-SEGMENT'!$BE$81*'ANALYSE - ERP =&gt; SOUS-SEGMENT'!$IQ$81</f>
        <v>1225.6399999999999</v>
      </c>
      <c r="K72" s="458">
        <f>'ANALYSE - ERP =&gt; SOUS-SEGMENT'!$BE$81*'ANALYSE - ERP =&gt; SOUS-SEGMENT'!$IR$81</f>
        <v>0</v>
      </c>
      <c r="L72" s="458">
        <f>'ANALYSE - ERP =&gt; SOUS-SEGMENT'!$BE$81*'ANALYSE - ERP =&gt; SOUS-SEGMENT'!$IS$81</f>
        <v>1.04</v>
      </c>
      <c r="N72" s="458">
        <f>'ANALYSE - ERP =&gt; SOUS-SEGMENT'!$FA$81*'ANALYSE - ERP =&gt; SOUS-SEGMENT'!$IT$81</f>
        <v>311.60350322344692</v>
      </c>
      <c r="O72" s="458">
        <f>'ANALYSE - ERP =&gt; SOUS-SEGMENT'!$FA$81*'ANALYSE - ERP =&gt; SOUS-SEGMENT'!$IU$81</f>
        <v>1482.9428116196787</v>
      </c>
      <c r="P72" s="458">
        <f>'ANALYSE - ERP =&gt; SOUS-SEGMENT'!$FA$81*'ANALYSE - ERP =&gt; SOUS-SEGMENT'!$IV$81</f>
        <v>1058.872183511862</v>
      </c>
      <c r="Q72" s="458">
        <f>'ANALYSE - ERP =&gt; SOUS-SEGMENT'!$FA$81*'ANALYSE - ERP =&gt; SOUS-SEGMENT'!$IW$81</f>
        <v>42.899831141460602</v>
      </c>
      <c r="R72" s="458">
        <f>'ANALYSE - ERP =&gt; SOUS-SEGMENT'!$FA$81*'ANALYSE - ERP =&gt; SOUS-SEGMENT'!$IX$81</f>
        <v>2.3189097914303027</v>
      </c>
      <c r="T72" s="430">
        <f>'ANALYSE - ERP =&gt; SOUS-SEGMENT'!$Q$81</f>
        <v>1</v>
      </c>
    </row>
    <row r="73" spans="1:20" s="45" customFormat="1" ht="15" customHeight="1">
      <c r="A73" s="26">
        <v>70</v>
      </c>
      <c r="B73" s="26">
        <v>69</v>
      </c>
      <c r="C73" s="422">
        <f>'ANALYSE - ERP =&gt; SOUS-SEGMENT'!$A$105</f>
        <v>98</v>
      </c>
      <c r="D73" s="410" t="str">
        <f>'ANALYSE - ERP =&gt; SOUS-SEGMENT'!$B$105</f>
        <v>Culte, Vie civique &amp; Services publics</v>
      </c>
      <c r="E73" s="410" t="str">
        <f>'ANALYSE - ERP =&gt; SOUS-SEGMENT'!$C$105</f>
        <v>Administrations / services publics</v>
      </c>
      <c r="F73" s="410" t="str">
        <f>'ANALYSE - ERP =&gt; SOUS-SEGMENT'!$D$105</f>
        <v>Préfectures / services administratifs</v>
      </c>
      <c r="G73" s="685"/>
      <c r="H73" s="458">
        <f>'ANALYSE - ERP =&gt; SOUS-SEGMENT'!$BE$105*'ANALYSE - ERP =&gt; SOUS-SEGMENT'!$IO$105</f>
        <v>63.126000000000005</v>
      </c>
      <c r="I73" s="458">
        <f>'ANALYSE - ERP =&gt; SOUS-SEGMENT'!$BE$105*'ANALYSE - ERP =&gt; SOUS-SEGMENT'!$IP$105</f>
        <v>2164.9211999999998</v>
      </c>
      <c r="J73" s="458">
        <f>'ANALYSE - ERP =&gt; SOUS-SEGMENT'!$BE$105*'ANALYSE - ERP =&gt; SOUS-SEGMENT'!$IQ$105</f>
        <v>3116.0196000000001</v>
      </c>
      <c r="K73" s="458">
        <f>'ANALYSE - ERP =&gt; SOUS-SEGMENT'!$BE$105*'ANALYSE - ERP =&gt; SOUS-SEGMENT'!$IR$105</f>
        <v>657.71280000000002</v>
      </c>
      <c r="L73" s="458">
        <f>'ANALYSE - ERP =&gt; SOUS-SEGMENT'!$BE$105*'ANALYSE - ERP =&gt; SOUS-SEGMENT'!$IS$105</f>
        <v>10.2204</v>
      </c>
      <c r="M73" s="685"/>
      <c r="N73" s="458">
        <f>'ANALYSE - ERP =&gt; SOUS-SEGMENT'!$FA$105*'ANALYSE - ERP =&gt; SOUS-SEGMENT'!$IT$105</f>
        <v>0</v>
      </c>
      <c r="O73" s="458">
        <f>'ANALYSE - ERP =&gt; SOUS-SEGMENT'!$FA$105*'ANALYSE - ERP =&gt; SOUS-SEGMENT'!$IU$105</f>
        <v>586.57128159664705</v>
      </c>
      <c r="P73" s="458">
        <f>'ANALYSE - ERP =&gt; SOUS-SEGMENT'!$FA$105*'ANALYSE - ERP =&gt; SOUS-SEGMENT'!$IV$105</f>
        <v>1492.6675098893966</v>
      </c>
      <c r="Q73" s="458">
        <f>'ANALYSE - ERP =&gt; SOUS-SEGMENT'!$FA$105*'ANALYSE - ERP =&gt; SOUS-SEGMENT'!$IW$105</f>
        <v>490.66209452200803</v>
      </c>
      <c r="R73" s="458">
        <f>'ANALYSE - ERP =&gt; SOUS-SEGMENT'!$FA$105*'ANALYSE - ERP =&gt; SOUS-SEGMENT'!$IX$105</f>
        <v>15.252404413487078</v>
      </c>
      <c r="S73" s="685"/>
      <c r="T73" s="430">
        <f>'ANALYSE - ERP =&gt; SOUS-SEGMENT'!$Q$105</f>
        <v>1</v>
      </c>
    </row>
    <row r="74" spans="1:20" ht="15" customHeight="1">
      <c r="A74" s="26">
        <v>71</v>
      </c>
      <c r="B74" s="26">
        <v>72</v>
      </c>
      <c r="C74" s="422">
        <f>'ANALYSE - ERP =&gt; SOUS-SEGMENT'!$A$108</f>
        <v>101</v>
      </c>
      <c r="D74" s="417" t="str">
        <f>'ANALYSE - ERP =&gt; SOUS-SEGMENT'!$B$108</f>
        <v>Culte, Vie civique &amp; Services publics</v>
      </c>
      <c r="E74" s="417" t="str">
        <f>'ANALYSE - ERP =&gt; SOUS-SEGMENT'!$C$108</f>
        <v>Administrations / services publics</v>
      </c>
      <c r="F74" s="417" t="str">
        <f>'ANALYSE - ERP =&gt; SOUS-SEGMENT'!$D$108</f>
        <v>Maisons France Services / Guichets publics autonomes ou dédiés</v>
      </c>
      <c r="H74" s="458">
        <f>'ANALYSE - ERP =&gt; SOUS-SEGMENT'!$BE$108*'ANALYSE - ERP =&gt; SOUS-SEGMENT'!$IO$108</f>
        <v>5.16</v>
      </c>
      <c r="I74" s="458">
        <f>'ANALYSE - ERP =&gt; SOUS-SEGMENT'!$BE$108*'ANALYSE - ERP =&gt; SOUS-SEGMENT'!$IP$108</f>
        <v>840.30599999999993</v>
      </c>
      <c r="J74" s="458">
        <f>'ANALYSE - ERP =&gt; SOUS-SEGMENT'!$BE$108*'ANALYSE - ERP =&gt; SOUS-SEGMENT'!$IQ$108</f>
        <v>1402.7459999999999</v>
      </c>
      <c r="K74" s="458">
        <f>'ANALYSE - ERP =&gt; SOUS-SEGMENT'!$BE$108*'ANALYSE - ERP =&gt; SOUS-SEGMENT'!$IR$108</f>
        <v>325.85399999999998</v>
      </c>
      <c r="L74" s="458">
        <f>'ANALYSE - ERP =&gt; SOUS-SEGMENT'!$BE$108*'ANALYSE - ERP =&gt; SOUS-SEGMENT'!$IS$108</f>
        <v>5.9340000000000002</v>
      </c>
      <c r="N74" s="458">
        <f>'ANALYSE - ERP =&gt; SOUS-SEGMENT'!$FA$108*'ANALYSE - ERP =&gt; SOUS-SEGMENT'!$IT$108</f>
        <v>0</v>
      </c>
      <c r="O74" s="458">
        <f>'ANALYSE - ERP =&gt; SOUS-SEGMENT'!$FA$108*'ANALYSE - ERP =&gt; SOUS-SEGMENT'!$IU$108</f>
        <v>29.865727411446152</v>
      </c>
      <c r="P74" s="458">
        <f>'ANALYSE - ERP =&gt; SOUS-SEGMENT'!$FA$108*'ANALYSE - ERP =&gt; SOUS-SEGMENT'!$IV$108</f>
        <v>225.62318088123078</v>
      </c>
      <c r="Q74" s="458">
        <f>'ANALYSE - ERP =&gt; SOUS-SEGMENT'!$FA$108*'ANALYSE - ERP =&gt; SOUS-SEGMENT'!$IW$108</f>
        <v>165.7613080347077</v>
      </c>
      <c r="R74" s="458">
        <f>'ANALYSE - ERP =&gt; SOUS-SEGMENT'!$FA$108*'ANALYSE - ERP =&gt; SOUS-SEGMENT'!$IX$108</f>
        <v>13.476529108512821</v>
      </c>
      <c r="T74" s="430">
        <f>'ANALYSE - ERP =&gt; SOUS-SEGMENT'!$Q$108</f>
        <v>1</v>
      </c>
    </row>
    <row r="75" spans="1:20" ht="15" customHeight="1">
      <c r="A75" s="26">
        <v>72</v>
      </c>
      <c r="B75" s="26">
        <v>71</v>
      </c>
      <c r="C75" s="422">
        <f>'ANALYSE - ERP =&gt; SOUS-SEGMENT'!$A$124</f>
        <v>117</v>
      </c>
      <c r="D75" s="410" t="str">
        <f>'ANALYSE - ERP =&gt; SOUS-SEGMENT'!$B$124</f>
        <v>Transport, Mobilité &amp; Stationnement</v>
      </c>
      <c r="E75" s="410" t="str">
        <f>'ANALYSE - ERP =&gt; SOUS-SEGMENT'!$C$124</f>
        <v>Transport / Mobilité</v>
      </c>
      <c r="F75" s="410" t="str">
        <f>'ANALYSE - ERP =&gt; SOUS-SEGMENT'!$D$124</f>
        <v>Aéroports / aérogares
(&gt;1 000 passagers/an)</v>
      </c>
      <c r="H75" s="458">
        <f>'ANALYSE - ERP =&gt; SOUS-SEGMENT'!$BE$124*'ANALYSE - ERP =&gt; SOUS-SEGMENT'!$IO$124</f>
        <v>0</v>
      </c>
      <c r="I75" s="458">
        <f>'ANALYSE - ERP =&gt; SOUS-SEGMENT'!$BE$124*'ANALYSE - ERP =&gt; SOUS-SEGMENT'!$IP$124</f>
        <v>367.63200000000001</v>
      </c>
      <c r="J75" s="458">
        <f>'ANALYSE - ERP =&gt; SOUS-SEGMENT'!$BE$124*'ANALYSE - ERP =&gt; SOUS-SEGMENT'!$IQ$124</f>
        <v>2148.96</v>
      </c>
      <c r="K75" s="458">
        <f>'ANALYSE - ERP =&gt; SOUS-SEGMENT'!$BE$124*'ANALYSE - ERP =&gt; SOUS-SEGMENT'!$IR$124</f>
        <v>2860.5440000000003</v>
      </c>
      <c r="L75" s="458">
        <f>'ANALYSE - ERP =&gt; SOUS-SEGMENT'!$BE$124*'ANALYSE - ERP =&gt; SOUS-SEGMENT'!$IS$124</f>
        <v>542.86400000000003</v>
      </c>
      <c r="N75" s="458">
        <f>'ANALYSE - ERP =&gt; SOUS-SEGMENT'!$FA$124*'ANALYSE - ERP =&gt; SOUS-SEGMENT'!$IT$124</f>
        <v>0</v>
      </c>
      <c r="O75" s="458">
        <f>'ANALYSE - ERP =&gt; SOUS-SEGMENT'!$FA$124*'ANALYSE - ERP =&gt; SOUS-SEGMENT'!$IU$124</f>
        <v>132.65391256545453</v>
      </c>
      <c r="P75" s="458">
        <f>'ANALYSE - ERP =&gt; SOUS-SEGMENT'!$FA$124*'ANALYSE - ERP =&gt; SOUS-SEGMENT'!$IV$124</f>
        <v>783.80281333090898</v>
      </c>
      <c r="Q75" s="458">
        <f>'ANALYSE - ERP =&gt; SOUS-SEGMENT'!$FA$124*'ANALYSE - ERP =&gt; SOUS-SEGMENT'!$IW$124</f>
        <v>1844.3607437399996</v>
      </c>
      <c r="R75" s="458">
        <f>'ANALYSE - ERP =&gt; SOUS-SEGMENT'!$FA$124*'ANALYSE - ERP =&gt; SOUS-SEGMENT'!$IX$124</f>
        <v>606.03310309090898</v>
      </c>
      <c r="T75" s="430">
        <f>'ANALYSE - ERP =&gt; SOUS-SEGMENT'!$Q$124</f>
        <v>1</v>
      </c>
    </row>
    <row r="76" spans="1:20" ht="15" customHeight="1">
      <c r="A76" s="26">
        <v>73</v>
      </c>
      <c r="B76" s="26">
        <v>73</v>
      </c>
      <c r="C76" s="422">
        <f>'ANALYSE - ERP =&gt; SOUS-SEGMENT'!$A$23</f>
        <v>16</v>
      </c>
      <c r="D76" s="410" t="str">
        <f>'ANALYSE - ERP =&gt; SOUS-SEGMENT'!$B$23</f>
        <v>Sports &amp; Loisirs</v>
      </c>
      <c r="E76" s="410" t="str">
        <f>'ANALYSE - ERP =&gt; SOUS-SEGMENT'!$C$23</f>
        <v>Sport couvert / Thermalisme / Bien-être</v>
      </c>
      <c r="F76" s="410" t="str">
        <f>'ANALYSE - ERP =&gt; SOUS-SEGMENT'!$D$23</f>
        <v>Patinoires couvertes</v>
      </c>
      <c r="H76" s="458">
        <f>'ANALYSE - ERP =&gt; SOUS-SEGMENT'!$BE$23*'ANALYSE - ERP =&gt; SOUS-SEGMENT'!$IO$23</f>
        <v>927</v>
      </c>
      <c r="I76" s="458">
        <f>'ANALYSE - ERP =&gt; SOUS-SEGMENT'!$BE$23*'ANALYSE - ERP =&gt; SOUS-SEGMENT'!$IP$23</f>
        <v>3768</v>
      </c>
      <c r="J76" s="458">
        <f>'ANALYSE - ERP =&gt; SOUS-SEGMENT'!$BE$23*'ANALYSE - ERP =&gt; SOUS-SEGMENT'!$IQ$23</f>
        <v>1305</v>
      </c>
      <c r="K76" s="458">
        <f>'ANALYSE - ERP =&gt; SOUS-SEGMENT'!$BE$23*'ANALYSE - ERP =&gt; SOUS-SEGMENT'!$IR$23</f>
        <v>0</v>
      </c>
      <c r="L76" s="458">
        <f>'ANALYSE - ERP =&gt; SOUS-SEGMENT'!$BE$23*'ANALYSE - ERP =&gt; SOUS-SEGMENT'!$IS$23</f>
        <v>0</v>
      </c>
      <c r="N76" s="458">
        <f>'ANALYSE - ERP =&gt; SOUS-SEGMENT'!$FA$23*'ANALYSE - ERP =&gt; SOUS-SEGMENT'!$IT$23</f>
        <v>216.97972063418183</v>
      </c>
      <c r="O76" s="458">
        <f>'ANALYSE - ERP =&gt; SOUS-SEGMENT'!$FA$23*'ANALYSE - ERP =&gt; SOUS-SEGMENT'!$IU$23</f>
        <v>1664.3861097570912</v>
      </c>
      <c r="P76" s="458">
        <f>'ANALYSE - ERP =&gt; SOUS-SEGMENT'!$FA$23*'ANALYSE - ERP =&gt; SOUS-SEGMENT'!$IV$23</f>
        <v>1035.0282641541819</v>
      </c>
      <c r="Q76" s="458">
        <f>'ANALYSE - ERP =&gt; SOUS-SEGMENT'!$FA$23*'ANALYSE - ERP =&gt; SOUS-SEGMENT'!$IW$23</f>
        <v>0</v>
      </c>
      <c r="R76" s="458">
        <f>'ANALYSE - ERP =&gt; SOUS-SEGMENT'!$FA$23*'ANALYSE - ERP =&gt; SOUS-SEGMENT'!$IX$23</f>
        <v>0</v>
      </c>
      <c r="T76" s="430">
        <f>'ANALYSE - ERP =&gt; SOUS-SEGMENT'!$Q$23</f>
        <v>1</v>
      </c>
    </row>
    <row r="77" spans="1:20" ht="15" customHeight="1">
      <c r="A77" s="26">
        <v>74</v>
      </c>
      <c r="B77" s="26">
        <v>75</v>
      </c>
      <c r="C77" s="422">
        <f>'ANALYSE - ERP =&gt; SOUS-SEGMENT'!$A$72</f>
        <v>65</v>
      </c>
      <c r="D77" s="410" t="str">
        <f>'ANALYSE - ERP =&gt; SOUS-SEGMENT'!$B$72</f>
        <v>Culture, Patrimoine &amp; Evénementiel</v>
      </c>
      <c r="E77" s="410" t="str">
        <f>'ANALYSE - ERP =&gt; SOUS-SEGMENT'!$C$72</f>
        <v>Événementiel temporaire</v>
      </c>
      <c r="F77" s="410" t="str">
        <f>'ANALYSE - ERP =&gt; SOUS-SEGMENT'!$D$72</f>
        <v>Chapiteaux / Tentes / Structures</v>
      </c>
      <c r="H77" s="458">
        <f>'ANALYSE - ERP =&gt; SOUS-SEGMENT'!$BE$72*'ANALYSE - ERP =&gt; SOUS-SEGMENT'!$IO$72</f>
        <v>94.5</v>
      </c>
      <c r="I77" s="458">
        <f>'ANALYSE - ERP =&gt; SOUS-SEGMENT'!$BE$72*'ANALYSE - ERP =&gt; SOUS-SEGMENT'!$IP$72</f>
        <v>1260</v>
      </c>
      <c r="J77" s="458">
        <f>'ANALYSE - ERP =&gt; SOUS-SEGMENT'!$BE$72*'ANALYSE - ERP =&gt; SOUS-SEGMENT'!$IQ$72</f>
        <v>1575</v>
      </c>
      <c r="K77" s="458">
        <f>'ANALYSE - ERP =&gt; SOUS-SEGMENT'!$BE$72*'ANALYSE - ERP =&gt; SOUS-SEGMENT'!$IR$72</f>
        <v>220.50000000000003</v>
      </c>
      <c r="L77" s="458">
        <f>'ANALYSE - ERP =&gt; SOUS-SEGMENT'!$BE$72*'ANALYSE - ERP =&gt; SOUS-SEGMENT'!$IS$72</f>
        <v>0</v>
      </c>
      <c r="N77" s="458">
        <f>'ANALYSE - ERP =&gt; SOUS-SEGMENT'!$FA$72*'ANALYSE - ERP =&gt; SOUS-SEGMENT'!$IT$72</f>
        <v>15.537879373278672</v>
      </c>
      <c r="O77" s="458">
        <f>'ANALYSE - ERP =&gt; SOUS-SEGMENT'!$FA$72*'ANALYSE - ERP =&gt; SOUS-SEGMENT'!$IU$72</f>
        <v>467.12291322206045</v>
      </c>
      <c r="P77" s="458">
        <f>'ANALYSE - ERP =&gt; SOUS-SEGMENT'!$FA$72*'ANALYSE - ERP =&gt; SOUS-SEGMENT'!$IV$72</f>
        <v>638.03958632812578</v>
      </c>
      <c r="Q77" s="458">
        <f>'ANALYSE - ERP =&gt; SOUS-SEGMENT'!$FA$72*'ANALYSE - ERP =&gt; SOUS-SEGMENT'!$IW$72</f>
        <v>107.77862358925049</v>
      </c>
      <c r="R77" s="458">
        <f>'ANALYSE - ERP =&gt; SOUS-SEGMENT'!$FA$72*'ANALYSE - ERP =&gt; SOUS-SEGMENT'!$IX$72</f>
        <v>4.6860271125761077</v>
      </c>
      <c r="T77" s="430">
        <f>'ANALYSE - ERP =&gt; SOUS-SEGMENT'!$Q$72</f>
        <v>1</v>
      </c>
    </row>
    <row r="78" spans="1:20" ht="15" customHeight="1">
      <c r="A78" s="26">
        <v>75</v>
      </c>
      <c r="B78" s="26">
        <v>74</v>
      </c>
      <c r="C78" s="422">
        <f>'ANALYSE - ERP =&gt; SOUS-SEGMENT'!$A$140</f>
        <v>133</v>
      </c>
      <c r="D78" s="410" t="str">
        <f>'ANALYSE - ERP =&gt; SOUS-SEGMENT'!$B$140</f>
        <v>Sécurité &amp; Justice</v>
      </c>
      <c r="E78" s="410" t="str">
        <f>'ANALYSE - ERP =&gt; SOUS-SEGMENT'!$C$140</f>
        <v>Univers carcéral</v>
      </c>
      <c r="F78" s="410" t="str">
        <f>'ANALYSE - ERP =&gt; SOUS-SEGMENT'!$D$140</f>
        <v>Centres de détention</v>
      </c>
      <c r="H78" s="458">
        <f>'ANALYSE - ERP =&gt; SOUS-SEGMENT'!$BE$140*'ANALYSE - ERP =&gt; SOUS-SEGMENT'!$IO$140</f>
        <v>525.86249999999995</v>
      </c>
      <c r="I78" s="458">
        <f>'ANALYSE - ERP =&gt; SOUS-SEGMENT'!$BE$140*'ANALYSE - ERP =&gt; SOUS-SEGMENT'!$IP$140</f>
        <v>3145.9250000000002</v>
      </c>
      <c r="J78" s="458">
        <f>'ANALYSE - ERP =&gt; SOUS-SEGMENT'!$BE$140*'ANALYSE - ERP =&gt; SOUS-SEGMENT'!$IQ$140</f>
        <v>953.21249999999998</v>
      </c>
      <c r="K78" s="458">
        <f>'ANALYSE - ERP =&gt; SOUS-SEGMENT'!$BE$140*'ANALYSE - ERP =&gt; SOUS-SEGMENT'!$IR$140</f>
        <v>0</v>
      </c>
      <c r="L78" s="458">
        <f>'ANALYSE - ERP =&gt; SOUS-SEGMENT'!$BE$140*'ANALYSE - ERP =&gt; SOUS-SEGMENT'!$IS$140</f>
        <v>0</v>
      </c>
      <c r="N78" s="458">
        <f>'ANALYSE - ERP =&gt; SOUS-SEGMENT'!$FA$140*'ANALYSE - ERP =&gt; SOUS-SEGMENT'!$IT$140</f>
        <v>125.823222125</v>
      </c>
      <c r="O78" s="458">
        <f>'ANALYSE - ERP =&gt; SOUS-SEGMENT'!$FA$140*'ANALYSE - ERP =&gt; SOUS-SEGMENT'!$IU$140</f>
        <v>1489.7370034602272</v>
      </c>
      <c r="P78" s="458">
        <f>'ANALYSE - ERP =&gt; SOUS-SEGMENT'!$FA$140*'ANALYSE - ERP =&gt; SOUS-SEGMENT'!$IV$140</f>
        <v>871.06471759659098</v>
      </c>
      <c r="Q78" s="458">
        <f>'ANALYSE - ERP =&gt; SOUS-SEGMENT'!$FA$140*'ANALYSE - ERP =&gt; SOUS-SEGMENT'!$IW$140</f>
        <v>0</v>
      </c>
      <c r="R78" s="458">
        <f>'ANALYSE - ERP =&gt; SOUS-SEGMENT'!$FA$140*'ANALYSE - ERP =&gt; SOUS-SEGMENT'!$IX$140</f>
        <v>0</v>
      </c>
      <c r="T78" s="430">
        <f>'ANALYSE - ERP =&gt; SOUS-SEGMENT'!$Q$140</f>
        <v>1</v>
      </c>
    </row>
    <row r="79" spans="1:20" ht="15" customHeight="1">
      <c r="A79" s="26">
        <v>76</v>
      </c>
      <c r="B79" s="26">
        <v>76</v>
      </c>
      <c r="C79" s="422">
        <f>'ANALYSE - ERP =&gt; SOUS-SEGMENT'!$A$135</f>
        <v>128</v>
      </c>
      <c r="D79" s="410" t="str">
        <f>'ANALYSE - ERP =&gt; SOUS-SEGMENT'!$B$135</f>
        <v>Sécurité &amp; Justice</v>
      </c>
      <c r="E79" s="410" t="str">
        <f>'ANALYSE - ERP =&gt; SOUS-SEGMENT'!$C$135</f>
        <v>Forces armées</v>
      </c>
      <c r="F79" s="410" t="str">
        <f>'ANALYSE - ERP =&gt; SOUS-SEGMENT'!$D$135</f>
        <v>Unités d'hébergement des militaires &amp; réservistes</v>
      </c>
      <c r="H79" s="458">
        <f>'ANALYSE - ERP =&gt; SOUS-SEGMENT'!$BE$135*'ANALYSE - ERP =&gt; SOUS-SEGMENT'!$IO$135</f>
        <v>295.15199999999999</v>
      </c>
      <c r="I79" s="458">
        <f>'ANALYSE - ERP =&gt; SOUS-SEGMENT'!$BE$135*'ANALYSE - ERP =&gt; SOUS-SEGMENT'!$IP$135</f>
        <v>2365.3439999999996</v>
      </c>
      <c r="J79" s="458">
        <f>'ANALYSE - ERP =&gt; SOUS-SEGMENT'!$BE$135*'ANALYSE - ERP =&gt; SOUS-SEGMENT'!$IQ$135</f>
        <v>1405.5840000000001</v>
      </c>
      <c r="K79" s="458">
        <f>'ANALYSE - ERP =&gt; SOUS-SEGMENT'!$BE$135*'ANALYSE - ERP =&gt; SOUS-SEGMENT'!$IR$135</f>
        <v>61.919999999999995</v>
      </c>
      <c r="L79" s="458">
        <f>'ANALYSE - ERP =&gt; SOUS-SEGMENT'!$BE$135*'ANALYSE - ERP =&gt; SOUS-SEGMENT'!$IS$135</f>
        <v>0</v>
      </c>
      <c r="N79" s="458">
        <f>'ANALYSE - ERP =&gt; SOUS-SEGMENT'!$FA$135*'ANALYSE - ERP =&gt; SOUS-SEGMENT'!$IT$135</f>
        <v>60.297337738296001</v>
      </c>
      <c r="O79" s="458">
        <f>'ANALYSE - ERP =&gt; SOUS-SEGMENT'!$FA$135*'ANALYSE - ERP =&gt; SOUS-SEGMENT'!$IU$135</f>
        <v>897.55734054210973</v>
      </c>
      <c r="P79" s="458">
        <f>'ANALYSE - ERP =&gt; SOUS-SEGMENT'!$FA$135*'ANALYSE - ERP =&gt; SOUS-SEGMENT'!$IV$135</f>
        <v>990.74413522856719</v>
      </c>
      <c r="Q79" s="458">
        <f>'ANALYSE - ERP =&gt; SOUS-SEGMENT'!$FA$135*'ANALYSE - ERP =&gt; SOUS-SEGMENT'!$IW$135</f>
        <v>81.208535674472728</v>
      </c>
      <c r="R79" s="458">
        <f>'ANALYSE - ERP =&gt; SOUS-SEGMENT'!$FA$135*'ANALYSE - ERP =&gt; SOUS-SEGMENT'!$IX$135</f>
        <v>0.40604267837236363</v>
      </c>
      <c r="T79" s="430">
        <f>'ANALYSE - ERP =&gt; SOUS-SEGMENT'!$Q$135</f>
        <v>1</v>
      </c>
    </row>
    <row r="80" spans="1:20" ht="15" customHeight="1">
      <c r="A80" s="26">
        <v>77</v>
      </c>
      <c r="B80" s="26">
        <v>77</v>
      </c>
      <c r="C80" s="422">
        <f>'ANALYSE - ERP =&gt; SOUS-SEGMENT'!$A$146</f>
        <v>139</v>
      </c>
      <c r="D80" s="411" t="str">
        <f>'ANALYSE - ERP =&gt; SOUS-SEGMENT'!$B$146</f>
        <v>Sécurité &amp; Justice</v>
      </c>
      <c r="E80" s="411" t="str">
        <f>'ANALYSE - ERP =&gt; SOUS-SEGMENT'!$C$146</f>
        <v>Tribunaux</v>
      </c>
      <c r="F80" s="411" t="str">
        <f>'ANALYSE - ERP =&gt; SOUS-SEGMENT'!$D$146</f>
        <v>Palais de justice et bâtiments judiciaires multi-usages</v>
      </c>
      <c r="H80" s="458">
        <f>'ANALYSE - ERP =&gt; SOUS-SEGMENT'!$BE$146*'ANALYSE - ERP =&gt; SOUS-SEGMENT'!$IO$146</f>
        <v>0</v>
      </c>
      <c r="I80" s="458">
        <f>'ANALYSE - ERP =&gt; SOUS-SEGMENT'!$BE$146*'ANALYSE - ERP =&gt; SOUS-SEGMENT'!$IP$146</f>
        <v>786.83920000000001</v>
      </c>
      <c r="J80" s="458">
        <f>'ANALYSE - ERP =&gt; SOUS-SEGMENT'!$BE$146*'ANALYSE - ERP =&gt; SOUS-SEGMENT'!$IQ$146</f>
        <v>2114.9603999999999</v>
      </c>
      <c r="K80" s="458">
        <f>'ANALYSE - ERP =&gt; SOUS-SEGMENT'!$BE$146*'ANALYSE - ERP =&gt; SOUS-SEGMENT'!$IR$146</f>
        <v>831.726</v>
      </c>
      <c r="L80" s="458">
        <f>'ANALYSE - ERP =&gt; SOUS-SEGMENT'!$BE$146*'ANALYSE - ERP =&gt; SOUS-SEGMENT'!$IS$146</f>
        <v>38.474400000000003</v>
      </c>
      <c r="N80" s="458">
        <f>'ANALYSE - ERP =&gt; SOUS-SEGMENT'!$FA$146*'ANALYSE - ERP =&gt; SOUS-SEGMENT'!$IT$146</f>
        <v>0</v>
      </c>
      <c r="O80" s="458">
        <f>'ANALYSE - ERP =&gt; SOUS-SEGMENT'!$FA$146*'ANALYSE - ERP =&gt; SOUS-SEGMENT'!$IU$146</f>
        <v>180.68331218470254</v>
      </c>
      <c r="P80" s="458">
        <f>'ANALYSE - ERP =&gt; SOUS-SEGMENT'!$FA$146*'ANALYSE - ERP =&gt; SOUS-SEGMENT'!$IV$146</f>
        <v>845.1928666293179</v>
      </c>
      <c r="Q80" s="458">
        <f>'ANALYSE - ERP =&gt; SOUS-SEGMENT'!$FA$146*'ANALYSE - ERP =&gt; SOUS-SEGMENT'!$IW$146</f>
        <v>516.10242061865119</v>
      </c>
      <c r="R80" s="458">
        <f>'ANALYSE - ERP =&gt; SOUS-SEGMENT'!$FA$146*'ANALYSE - ERP =&gt; SOUS-SEGMENT'!$IX$146</f>
        <v>40.187006387841016</v>
      </c>
      <c r="T80" s="430">
        <f>'ANALYSE - ERP =&gt; SOUS-SEGMENT'!$Q$146</f>
        <v>1</v>
      </c>
    </row>
    <row r="81" spans="1:20" ht="15" customHeight="1">
      <c r="A81" s="26">
        <v>78</v>
      </c>
      <c r="B81" s="26">
        <v>78</v>
      </c>
      <c r="C81" s="422">
        <f>'ANALYSE - ERP =&gt; SOUS-SEGMENT'!$A$127</f>
        <v>120</v>
      </c>
      <c r="D81" s="411" t="str">
        <f>'ANALYSE - ERP =&gt; SOUS-SEGMENT'!$B$127</f>
        <v>Transport, Mobilité &amp; Stationnement</v>
      </c>
      <c r="E81" s="411" t="str">
        <f>'ANALYSE - ERP =&gt; SOUS-SEGMENT'!$C$127</f>
        <v>Transport / Mobilité</v>
      </c>
      <c r="F81" s="411" t="str">
        <f>'ANALYSE - ERP =&gt; SOUS-SEGMENT'!$D$127</f>
        <v>Terminaux maritimes / fluviaux</v>
      </c>
      <c r="H81" s="458">
        <f>'ANALYSE - ERP =&gt; SOUS-SEGMENT'!$BE$127*'ANALYSE - ERP =&gt; SOUS-SEGMENT'!$IO$127</f>
        <v>0</v>
      </c>
      <c r="I81" s="458">
        <f>'ANALYSE - ERP =&gt; SOUS-SEGMENT'!$BE$127*'ANALYSE - ERP =&gt; SOUS-SEGMENT'!$IP$127</f>
        <v>237.6756</v>
      </c>
      <c r="J81" s="458">
        <f>'ANALYSE - ERP =&gt; SOUS-SEGMENT'!$BE$127*'ANALYSE - ERP =&gt; SOUS-SEGMENT'!$IQ$127</f>
        <v>1302.7554</v>
      </c>
      <c r="K81" s="458">
        <f>'ANALYSE - ERP =&gt; SOUS-SEGMENT'!$BE$127*'ANALYSE - ERP =&gt; SOUS-SEGMENT'!$IR$127</f>
        <v>1434.6558</v>
      </c>
      <c r="L81" s="458">
        <f>'ANALYSE - ERP =&gt; SOUS-SEGMENT'!$BE$127*'ANALYSE - ERP =&gt; SOUS-SEGMENT'!$IS$127</f>
        <v>210.91319999999999</v>
      </c>
      <c r="N81" s="458">
        <f>'ANALYSE - ERP =&gt; SOUS-SEGMENT'!$FA$127*'ANALYSE - ERP =&gt; SOUS-SEGMENT'!$IT$127</f>
        <v>0</v>
      </c>
      <c r="O81" s="458">
        <f>'ANALYSE - ERP =&gt; SOUS-SEGMENT'!$FA$127*'ANALYSE - ERP =&gt; SOUS-SEGMENT'!$IU$127</f>
        <v>71.892530487225002</v>
      </c>
      <c r="P81" s="458">
        <f>'ANALYSE - ERP =&gt; SOUS-SEGMENT'!$FA$127*'ANALYSE - ERP =&gt; SOUS-SEGMENT'!$IV$127</f>
        <v>421.25599411681128</v>
      </c>
      <c r="Q81" s="458">
        <f>'ANALYSE - ERP =&gt; SOUS-SEGMENT'!$FA$127*'ANALYSE - ERP =&gt; SOUS-SEGMENT'!$IW$127</f>
        <v>910.46754681321386</v>
      </c>
      <c r="R81" s="458">
        <f>'ANALYSE - ERP =&gt; SOUS-SEGMENT'!$FA$127*'ANALYSE - ERP =&gt; SOUS-SEGMENT'!$IX$127</f>
        <v>308.11084494524999</v>
      </c>
      <c r="T81" s="430">
        <f>'ANALYSE - ERP =&gt; SOUS-SEGMENT'!$Q$127</f>
        <v>1</v>
      </c>
    </row>
    <row r="82" spans="1:20" ht="15" customHeight="1">
      <c r="A82" s="26">
        <v>79</v>
      </c>
      <c r="B82" s="26">
        <v>79</v>
      </c>
      <c r="C82" s="422">
        <f>'ANALYSE - ERP =&gt; SOUS-SEGMENT'!$A$91</f>
        <v>84</v>
      </c>
      <c r="D82" s="411" t="str">
        <f>'ANALYSE - ERP =&gt; SOUS-SEGMENT'!$B$91</f>
        <v>Hébergement Touristique</v>
      </c>
      <c r="E82" s="411" t="str">
        <f>'ANALYSE - ERP =&gt; SOUS-SEGMENT'!$C$91</f>
        <v>Hébergement Touristique</v>
      </c>
      <c r="F82" s="411" t="str">
        <f>'ANALYSE - ERP =&gt; SOUS-SEGMENT'!$D$91</f>
        <v>Pensions de famille</v>
      </c>
      <c r="H82" s="458">
        <f>'ANALYSE - ERP =&gt; SOUS-SEGMENT'!$BE$91*'ANALYSE - ERP =&gt; SOUS-SEGMENT'!$IO$91</f>
        <v>130.6233</v>
      </c>
      <c r="I82" s="458">
        <f>'ANALYSE - ERP =&gt; SOUS-SEGMENT'!$BE$91*'ANALYSE - ERP =&gt; SOUS-SEGMENT'!$IP$91</f>
        <v>1077.165</v>
      </c>
      <c r="J82" s="458">
        <f>'ANALYSE - ERP =&gt; SOUS-SEGMENT'!$BE$91*'ANALYSE - ERP =&gt; SOUS-SEGMENT'!$IQ$91</f>
        <v>1269.4185</v>
      </c>
      <c r="K82" s="458">
        <f>'ANALYSE - ERP =&gt; SOUS-SEGMENT'!$BE$91*'ANALYSE - ERP =&gt; SOUS-SEGMENT'!$IR$91</f>
        <v>241.88490000000002</v>
      </c>
      <c r="L82" s="458">
        <f>'ANALYSE - ERP =&gt; SOUS-SEGMENT'!$BE$91*'ANALYSE - ERP =&gt; SOUS-SEGMENT'!$IS$91</f>
        <v>7.9082999999999997</v>
      </c>
      <c r="N82" s="458">
        <f>'ANALYSE - ERP =&gt; SOUS-SEGMENT'!$FA$91*'ANALYSE - ERP =&gt; SOUS-SEGMENT'!$IT$91</f>
        <v>14.330566955045452</v>
      </c>
      <c r="O82" s="458">
        <f>'ANALYSE - ERP =&gt; SOUS-SEGMENT'!$FA$91*'ANALYSE - ERP =&gt; SOUS-SEGMENT'!$IU$91</f>
        <v>296.60940906954539</v>
      </c>
      <c r="P82" s="458">
        <f>'ANALYSE - ERP =&gt; SOUS-SEGMENT'!$FA$91*'ANALYSE - ERP =&gt; SOUS-SEGMENT'!$IV$91</f>
        <v>594.99625280018165</v>
      </c>
      <c r="Q82" s="458">
        <f>'ANALYSE - ERP =&gt; SOUS-SEGMENT'!$FA$91*'ANALYSE - ERP =&gt; SOUS-SEGMENT'!$IW$91</f>
        <v>194.07364705786358</v>
      </c>
      <c r="R82" s="458">
        <f>'ANALYSE - ERP =&gt; SOUS-SEGMENT'!$FA$91*'ANALYSE - ERP =&gt; SOUS-SEGMENT'!$IX$91</f>
        <v>10.886787299181815</v>
      </c>
      <c r="T82" s="430">
        <f>'ANALYSE - ERP =&gt; SOUS-SEGMENT'!$Q$91</f>
        <v>1</v>
      </c>
    </row>
    <row r="83" spans="1:20" ht="15" customHeight="1">
      <c r="A83" s="26">
        <v>80</v>
      </c>
      <c r="B83" s="26">
        <v>81</v>
      </c>
      <c r="C83" s="422">
        <f>'ANALYSE - ERP =&gt; SOUS-SEGMENT'!$A$118</f>
        <v>111</v>
      </c>
      <c r="D83" s="415" t="str">
        <f>'ANALYSE - ERP =&gt; SOUS-SEGMENT'!$B$118</f>
        <v>Culte, Vie civique &amp; Services publics</v>
      </c>
      <c r="E83" s="415" t="str">
        <f>'ANALYSE - ERP =&gt; SOUS-SEGMENT'!$C$118</f>
        <v>Culte</v>
      </c>
      <c r="F83" s="415" t="str">
        <f>'ANALYSE - ERP =&gt; SOUS-SEGMENT'!$D$118</f>
        <v>Temples bouddhistes, hindous et autres lieux de culte non abrahamiques ouverts au public</v>
      </c>
      <c r="H83" s="458">
        <f>'ANALYSE - ERP =&gt; SOUS-SEGMENT'!$BE$118*'ANALYSE - ERP =&gt; SOUS-SEGMENT'!$IO$118</f>
        <v>135</v>
      </c>
      <c r="I83" s="458">
        <f>'ANALYSE - ERP =&gt; SOUS-SEGMENT'!$BE$118*'ANALYSE - ERP =&gt; SOUS-SEGMENT'!$IP$118</f>
        <v>715.5</v>
      </c>
      <c r="J83" s="458">
        <f>'ANALYSE - ERP =&gt; SOUS-SEGMENT'!$BE$118*'ANALYSE - ERP =&gt; SOUS-SEGMENT'!$IQ$118</f>
        <v>459.00000000000006</v>
      </c>
      <c r="K83" s="458">
        <f>'ANALYSE - ERP =&gt; SOUS-SEGMENT'!$BE$118*'ANALYSE - ERP =&gt; SOUS-SEGMENT'!$IR$118</f>
        <v>40.5</v>
      </c>
      <c r="L83" s="458">
        <f>'ANALYSE - ERP =&gt; SOUS-SEGMENT'!$BE$118*'ANALYSE - ERP =&gt; SOUS-SEGMENT'!$IS$118</f>
        <v>0</v>
      </c>
      <c r="N83" s="458">
        <f>'ANALYSE - ERP =&gt; SOUS-SEGMENT'!$FA$118*'ANALYSE - ERP =&gt; SOUS-SEGMENT'!$IT$118</f>
        <v>41.208873076923076</v>
      </c>
      <c r="O83" s="458">
        <f>'ANALYSE - ERP =&gt; SOUS-SEGMENT'!$FA$118*'ANALYSE - ERP =&gt; SOUS-SEGMENT'!$IU$118</f>
        <v>245.95796538461536</v>
      </c>
      <c r="P83" s="458">
        <f>'ANALYSE - ERP =&gt; SOUS-SEGMENT'!$FA$118*'ANALYSE - ERP =&gt; SOUS-SEGMENT'!$IV$118</f>
        <v>169.87266538461537</v>
      </c>
      <c r="Q83" s="458">
        <f>'ANALYSE - ERP =&gt; SOUS-SEGMENT'!$FA$118*'ANALYSE - ERP =&gt; SOUS-SEGMENT'!$IW$118</f>
        <v>21.156126923076922</v>
      </c>
      <c r="R83" s="458">
        <f>'ANALYSE - ERP =&gt; SOUS-SEGMENT'!$FA$118*'ANALYSE - ERP =&gt; SOUS-SEGMENT'!$IX$118</f>
        <v>1.5351384615384613</v>
      </c>
      <c r="T83" s="430">
        <f>'ANALYSE - ERP =&gt; SOUS-SEGMENT'!$Q$118</f>
        <v>1</v>
      </c>
    </row>
    <row r="84" spans="1:20" ht="15" customHeight="1">
      <c r="A84" s="26">
        <v>81</v>
      </c>
      <c r="B84" s="26">
        <v>80</v>
      </c>
      <c r="C84" s="422">
        <f>'ANALYSE - ERP =&gt; SOUS-SEGMENT'!$A$71</f>
        <v>64</v>
      </c>
      <c r="D84" s="417" t="str">
        <f>'ANALYSE - ERP =&gt; SOUS-SEGMENT'!$B$71</f>
        <v>Culture, Patrimoine &amp; Evénementiel</v>
      </c>
      <c r="E84" s="417" t="str">
        <f>'ANALYSE - ERP =&gt; SOUS-SEGMENT'!$C$71</f>
        <v>Expositions / salons</v>
      </c>
      <c r="F84" s="417" t="str">
        <f>'ANALYSE - ERP =&gt; SOUS-SEGMENT'!$D$71</f>
        <v>Halls d’exposition</v>
      </c>
      <c r="H84" s="458">
        <f>'ANALYSE - ERP =&gt; SOUS-SEGMENT'!$BE$71*'ANALYSE - ERP =&gt; SOUS-SEGMENT'!$IO$71</f>
        <v>0</v>
      </c>
      <c r="I84" s="458">
        <f>'ANALYSE - ERP =&gt; SOUS-SEGMENT'!$BE$71*'ANALYSE - ERP =&gt; SOUS-SEGMENT'!$IP$71</f>
        <v>262.74360000000001</v>
      </c>
      <c r="J84" s="458">
        <f>'ANALYSE - ERP =&gt; SOUS-SEGMENT'!$BE$71*'ANALYSE - ERP =&gt; SOUS-SEGMENT'!$IQ$71</f>
        <v>1193.934</v>
      </c>
      <c r="K84" s="458">
        <f>'ANALYSE - ERP =&gt; SOUS-SEGMENT'!$BE$71*'ANALYSE - ERP =&gt; SOUS-SEGMENT'!$IR$71</f>
        <v>987.69720000000007</v>
      </c>
      <c r="L84" s="458">
        <f>'ANALYSE - ERP =&gt; SOUS-SEGMENT'!$BE$71*'ANALYSE - ERP =&gt; SOUS-SEGMENT'!$IS$71</f>
        <v>159.62520000000001</v>
      </c>
      <c r="N84" s="458">
        <f>'ANALYSE - ERP =&gt; SOUS-SEGMENT'!$FA$71*'ANALYSE - ERP =&gt; SOUS-SEGMENT'!$IT$71</f>
        <v>0</v>
      </c>
      <c r="O84" s="458">
        <f>'ANALYSE - ERP =&gt; SOUS-SEGMENT'!$FA$71*'ANALYSE - ERP =&gt; SOUS-SEGMENT'!$IU$71</f>
        <v>34.688029914043696</v>
      </c>
      <c r="P84" s="458">
        <f>'ANALYSE - ERP =&gt; SOUS-SEGMENT'!$FA$71*'ANALYSE - ERP =&gt; SOUS-SEGMENT'!$IV$71</f>
        <v>373.31424964722322</v>
      </c>
      <c r="Q84" s="458">
        <f>'ANALYSE - ERP =&gt; SOUS-SEGMENT'!$FA$71*'ANALYSE - ERP =&gt; SOUS-SEGMENT'!$IW$71</f>
        <v>501.8271315576863</v>
      </c>
      <c r="R84" s="458">
        <f>'ANALYSE - ERP =&gt; SOUS-SEGMENT'!$FA$71*'ANALYSE - ERP =&gt; SOUS-SEGMENT'!$IX$71</f>
        <v>134.99076701489292</v>
      </c>
      <c r="T84" s="430">
        <f>'ANALYSE - ERP =&gt; SOUS-SEGMENT'!$Q$71</f>
        <v>1</v>
      </c>
    </row>
    <row r="85" spans="1:20" ht="15" customHeight="1">
      <c r="A85" s="26">
        <v>82</v>
      </c>
      <c r="B85" s="26">
        <v>82</v>
      </c>
      <c r="C85" s="422">
        <f>'ANALYSE - ERP =&gt; SOUS-SEGMENT'!$A$132</f>
        <v>125</v>
      </c>
      <c r="D85" s="415" t="str">
        <f>'ANALYSE - ERP =&gt; SOUS-SEGMENT'!$B$132</f>
        <v>Sécurité &amp; Justice</v>
      </c>
      <c r="E85" s="415" t="str">
        <f>'ANALYSE - ERP =&gt; SOUS-SEGMENT'!$C$132</f>
        <v xml:space="preserve">Commissariats / postes de police </v>
      </c>
      <c r="F85" s="415" t="str">
        <f>'ANALYSE - ERP =&gt; SOUS-SEGMENT'!$D$132</f>
        <v>Locaux de sûreté, garde à vue et zones opérationnelles</v>
      </c>
      <c r="H85" s="458">
        <f>'ANALYSE - ERP =&gt; SOUS-SEGMENT'!$BE$132*'ANALYSE - ERP =&gt; SOUS-SEGMENT'!$IO$132</f>
        <v>171.30879999999999</v>
      </c>
      <c r="I85" s="458">
        <f>'ANALYSE - ERP =&gt; SOUS-SEGMENT'!$BE$132*'ANALYSE - ERP =&gt; SOUS-SEGMENT'!$IP$132</f>
        <v>1323.8943999999999</v>
      </c>
      <c r="J85" s="458">
        <f>'ANALYSE - ERP =&gt; SOUS-SEGMENT'!$BE$132*'ANALYSE - ERP =&gt; SOUS-SEGMENT'!$IQ$132</f>
        <v>776.79679999999996</v>
      </c>
      <c r="K85" s="458">
        <f>'ANALYSE - ERP =&gt; SOUS-SEGMENT'!$BE$132*'ANALYSE - ERP =&gt; SOUS-SEGMENT'!$IR$132</f>
        <v>0</v>
      </c>
      <c r="L85" s="458">
        <f>'ANALYSE - ERP =&gt; SOUS-SEGMENT'!$BE$132*'ANALYSE - ERP =&gt; SOUS-SEGMENT'!$IS$132</f>
        <v>0</v>
      </c>
      <c r="N85" s="458">
        <f>'ANALYSE - ERP =&gt; SOUS-SEGMENT'!$FA$132*'ANALYSE - ERP =&gt; SOUS-SEGMENT'!$IT$132</f>
        <v>44.211903755257772</v>
      </c>
      <c r="O85" s="458">
        <f>'ANALYSE - ERP =&gt; SOUS-SEGMENT'!$FA$132*'ANALYSE - ERP =&gt; SOUS-SEGMENT'!$IU$132</f>
        <v>489.70892945992267</v>
      </c>
      <c r="P85" s="458">
        <f>'ANALYSE - ERP =&gt; SOUS-SEGMENT'!$FA$132*'ANALYSE - ERP =&gt; SOUS-SEGMENT'!$IV$132</f>
        <v>459.60509386926401</v>
      </c>
      <c r="Q85" s="458">
        <f>'ANALYSE - ERP =&gt; SOUS-SEGMENT'!$FA$132*'ANALYSE - ERP =&gt; SOUS-SEGMENT'!$IW$132</f>
        <v>0</v>
      </c>
      <c r="R85" s="458">
        <f>'ANALYSE - ERP =&gt; SOUS-SEGMENT'!$FA$132*'ANALYSE - ERP =&gt; SOUS-SEGMENT'!$IX$132</f>
        <v>0</v>
      </c>
      <c r="T85" s="430">
        <f>'ANALYSE - ERP =&gt; SOUS-SEGMENT'!$Q$132</f>
        <v>1</v>
      </c>
    </row>
    <row r="86" spans="1:20" ht="15" customHeight="1">
      <c r="A86" s="26">
        <v>83</v>
      </c>
      <c r="B86" s="26">
        <v>83</v>
      </c>
      <c r="C86" s="422">
        <f>'ANALYSE - ERP =&gt; SOUS-SEGMENT'!$A$138</f>
        <v>131</v>
      </c>
      <c r="D86" s="411" t="str">
        <f>'ANALYSE - ERP =&gt; SOUS-SEGMENT'!$B$138</f>
        <v>Sécurité &amp; Justice</v>
      </c>
      <c r="E86" s="411" t="str">
        <f>'ANALYSE - ERP =&gt; SOUS-SEGMENT'!$C$138</f>
        <v>Forces armées</v>
      </c>
      <c r="F86" s="411" t="str">
        <f>'ANALYSE - ERP =&gt; SOUS-SEGMENT'!$D$138</f>
        <v>Salles de conférence, auditoriums et espaces événementiels ouverts au public</v>
      </c>
      <c r="H86" s="458">
        <f>'ANALYSE - ERP =&gt; SOUS-SEGMENT'!$BE$138*'ANALYSE - ERP =&gt; SOUS-SEGMENT'!$IO$138</f>
        <v>0</v>
      </c>
      <c r="I86" s="458">
        <f>'ANALYSE - ERP =&gt; SOUS-SEGMENT'!$BE$138*'ANALYSE - ERP =&gt; SOUS-SEGMENT'!$IP$138</f>
        <v>465.48</v>
      </c>
      <c r="J86" s="458">
        <f>'ANALYSE - ERP =&gt; SOUS-SEGMENT'!$BE$138*'ANALYSE - ERP =&gt; SOUS-SEGMENT'!$IQ$138</f>
        <v>1046.1600000000001</v>
      </c>
      <c r="K86" s="458">
        <f>'ANALYSE - ERP =&gt; SOUS-SEGMENT'!$BE$138*'ANALYSE - ERP =&gt; SOUS-SEGMENT'!$IR$138</f>
        <v>282.42</v>
      </c>
      <c r="L86" s="458">
        <f>'ANALYSE - ERP =&gt; SOUS-SEGMENT'!$BE$138*'ANALYSE - ERP =&gt; SOUS-SEGMENT'!$IS$138</f>
        <v>5.94</v>
      </c>
      <c r="N86" s="458">
        <f>'ANALYSE - ERP =&gt; SOUS-SEGMENT'!$FA$138*'ANALYSE - ERP =&gt; SOUS-SEGMENT'!$IT$138</f>
        <v>0</v>
      </c>
      <c r="O86" s="458">
        <f>'ANALYSE - ERP =&gt; SOUS-SEGMENT'!$FA$138*'ANALYSE - ERP =&gt; SOUS-SEGMENT'!$IU$138</f>
        <v>114.93741402545456</v>
      </c>
      <c r="P86" s="458">
        <f>'ANALYSE - ERP =&gt; SOUS-SEGMENT'!$FA$138*'ANALYSE - ERP =&gt; SOUS-SEGMENT'!$IV$138</f>
        <v>488.62923738763635</v>
      </c>
      <c r="Q86" s="458">
        <f>'ANALYSE - ERP =&gt; SOUS-SEGMENT'!$FA$138*'ANALYSE - ERP =&gt; SOUS-SEGMENT'!$IW$138</f>
        <v>217.50971997163634</v>
      </c>
      <c r="R86" s="458">
        <f>'ANALYSE - ERP =&gt; SOUS-SEGMENT'!$FA$138*'ANALYSE - ERP =&gt; SOUS-SEGMENT'!$IX$138</f>
        <v>8.7966540698181817</v>
      </c>
      <c r="T86" s="430">
        <f>'ANALYSE - ERP =&gt; SOUS-SEGMENT'!$Q$138</f>
        <v>1</v>
      </c>
    </row>
    <row r="87" spans="1:20" ht="15" customHeight="1">
      <c r="A87" s="26">
        <v>84</v>
      </c>
      <c r="B87" s="26">
        <v>84</v>
      </c>
      <c r="C87" s="422">
        <f>'ANALYSE - ERP =&gt; SOUS-SEGMENT'!$A$121</f>
        <v>114</v>
      </c>
      <c r="D87" s="415" t="str">
        <f>'ANALYSE - ERP =&gt; SOUS-SEGMENT'!$B$121</f>
        <v>Transport, Mobilité &amp; Stationnement</v>
      </c>
      <c r="E87" s="415" t="str">
        <f>'ANALYSE - ERP =&gt; SOUS-SEGMENT'!$C$121</f>
        <v>Transport / Mobilité</v>
      </c>
      <c r="F87" s="415" t="str">
        <f>'ANALYSE - ERP =&gt; SOUS-SEGMENT'!$D$121</f>
        <v>Aires de service - Autoroutes
(Hors Aires de repos)</v>
      </c>
      <c r="H87" s="458">
        <f>'ANALYSE - ERP =&gt; SOUS-SEGMENT'!$BE$121*'ANALYSE - ERP =&gt; SOUS-SEGMENT'!$IO$121</f>
        <v>54.716999999999999</v>
      </c>
      <c r="I87" s="458">
        <f>'ANALYSE - ERP =&gt; SOUS-SEGMENT'!$BE$121*'ANALYSE - ERP =&gt; SOUS-SEGMENT'!$IP$121</f>
        <v>812.52</v>
      </c>
      <c r="J87" s="458">
        <f>'ANALYSE - ERP =&gt; SOUS-SEGMENT'!$BE$121*'ANALYSE - ERP =&gt; SOUS-SEGMENT'!$IQ$121</f>
        <v>828.80700000000002</v>
      </c>
      <c r="K87" s="458">
        <f>'ANALYSE - ERP =&gt; SOUS-SEGMENT'!$BE$121*'ANALYSE - ERP =&gt; SOUS-SEGMENT'!$IR$121</f>
        <v>79.055999999999997</v>
      </c>
      <c r="L87" s="458">
        <f>'ANALYSE - ERP =&gt; SOUS-SEGMENT'!$BE$121*'ANALYSE - ERP =&gt; SOUS-SEGMENT'!$IS$121</f>
        <v>54.9</v>
      </c>
      <c r="N87" s="458">
        <f>'ANALYSE - ERP =&gt; SOUS-SEGMENT'!$FA$121*'ANALYSE - ERP =&gt; SOUS-SEGMENT'!$IT$121</f>
        <v>0.57292797076969704</v>
      </c>
      <c r="O87" s="458">
        <f>'ANALYSE - ERP =&gt; SOUS-SEGMENT'!$FA$121*'ANALYSE - ERP =&gt; SOUS-SEGMENT'!$IU$121</f>
        <v>302.50596856640004</v>
      </c>
      <c r="P87" s="458">
        <f>'ANALYSE - ERP =&gt; SOUS-SEGMENT'!$FA$121*'ANALYSE - ERP =&gt; SOUS-SEGMENT'!$IV$121</f>
        <v>526.42531714222332</v>
      </c>
      <c r="Q87" s="458">
        <f>'ANALYSE - ERP =&gt; SOUS-SEGMENT'!$FA$121*'ANALYSE - ERP =&gt; SOUS-SEGMENT'!$IW$121</f>
        <v>96.729339064950523</v>
      </c>
      <c r="R87" s="458">
        <f>'ANALYSE - ERP =&gt; SOUS-SEGMENT'!$FA$121*'ANALYSE - ERP =&gt; SOUS-SEGMENT'!$IX$121</f>
        <v>28.646398538484853</v>
      </c>
      <c r="T87" s="430">
        <f>'ANALYSE - ERP =&gt; SOUS-SEGMENT'!$Q$121</f>
        <v>1</v>
      </c>
    </row>
    <row r="88" spans="1:20" ht="15" customHeight="1">
      <c r="A88" s="26">
        <v>85</v>
      </c>
      <c r="B88" s="26">
        <v>85</v>
      </c>
      <c r="C88" s="422" t="e">
        <f>'ANALYSE - ERP =&gt; SOUS-SEGMENT'!#REF!</f>
        <v>#REF!</v>
      </c>
      <c r="D88" s="417" t="e">
        <f>'ANALYSE - ERP =&gt; SOUS-SEGMENT'!#REF!</f>
        <v>#REF!</v>
      </c>
      <c r="E88" s="417" t="e">
        <f>'ANALYSE - ERP =&gt; SOUS-SEGMENT'!#REF!</f>
        <v>#REF!</v>
      </c>
      <c r="F88" s="417" t="e">
        <f>'ANALYSE - ERP =&gt; SOUS-SEGMENT'!#REF!</f>
        <v>#REF!</v>
      </c>
      <c r="H88" s="458" t="e">
        <f>'ANALYSE - ERP =&gt; SOUS-SEGMENT'!#REF!*'ANALYSE - ERP =&gt; SOUS-SEGMENT'!#REF!</f>
        <v>#REF!</v>
      </c>
      <c r="I88" s="458" t="e">
        <f>'ANALYSE - ERP =&gt; SOUS-SEGMENT'!#REF!*'ANALYSE - ERP =&gt; SOUS-SEGMENT'!#REF!</f>
        <v>#REF!</v>
      </c>
      <c r="J88" s="458" t="e">
        <f>'ANALYSE - ERP =&gt; SOUS-SEGMENT'!#REF!*'ANALYSE - ERP =&gt; SOUS-SEGMENT'!#REF!</f>
        <v>#REF!</v>
      </c>
      <c r="K88" s="458" t="e">
        <f>'ANALYSE - ERP =&gt; SOUS-SEGMENT'!#REF!*'ANALYSE - ERP =&gt; SOUS-SEGMENT'!#REF!</f>
        <v>#REF!</v>
      </c>
      <c r="L88" s="458" t="e">
        <f>'ANALYSE - ERP =&gt; SOUS-SEGMENT'!#REF!*'ANALYSE - ERP =&gt; SOUS-SEGMENT'!#REF!</f>
        <v>#REF!</v>
      </c>
      <c r="N88" s="458" t="e">
        <f>'ANALYSE - ERP =&gt; SOUS-SEGMENT'!#REF!*'ANALYSE - ERP =&gt; SOUS-SEGMENT'!#REF!</f>
        <v>#REF!</v>
      </c>
      <c r="O88" s="458" t="e">
        <f>'ANALYSE - ERP =&gt; SOUS-SEGMENT'!#REF!*'ANALYSE - ERP =&gt; SOUS-SEGMENT'!#REF!</f>
        <v>#REF!</v>
      </c>
      <c r="P88" s="458" t="e">
        <f>'ANALYSE - ERP =&gt; SOUS-SEGMENT'!#REF!*'ANALYSE - ERP =&gt; SOUS-SEGMENT'!#REF!</f>
        <v>#REF!</v>
      </c>
      <c r="Q88" s="458" t="e">
        <f>'ANALYSE - ERP =&gt; SOUS-SEGMENT'!#REF!*'ANALYSE - ERP =&gt; SOUS-SEGMENT'!#REF!</f>
        <v>#REF!</v>
      </c>
      <c r="R88" s="458" t="e">
        <f>'ANALYSE - ERP =&gt; SOUS-SEGMENT'!#REF!*'ANALYSE - ERP =&gt; SOUS-SEGMENT'!#REF!</f>
        <v>#REF!</v>
      </c>
      <c r="T88" s="430" t="e">
        <f>'ANALYSE - ERP =&gt; SOUS-SEGMENT'!#REF!</f>
        <v>#REF!</v>
      </c>
    </row>
    <row r="89" spans="1:20" ht="15" customHeight="1">
      <c r="A89" s="26">
        <v>86</v>
      </c>
      <c r="B89" s="26">
        <v>86</v>
      </c>
      <c r="C89" s="422">
        <f>'ANALYSE - ERP =&gt; SOUS-SEGMENT'!$A$47</f>
        <v>40</v>
      </c>
      <c r="D89" s="411" t="str">
        <f>'ANALYSE - ERP =&gt; SOUS-SEGMENT'!$B$47</f>
        <v>Santé &amp; Médico-social</v>
      </c>
      <c r="E89" s="411" t="str">
        <f>'ANALYSE - ERP =&gt; SOUS-SEGMENT'!$C$47</f>
        <v>Santé hospitalière</v>
      </c>
      <c r="F89" s="411" t="str">
        <f>'ANALYSE - ERP =&gt; SOUS-SEGMENT'!$D$47</f>
        <v>Hôpitaux d’instruction des armées et centres médicaux recevant du public</v>
      </c>
      <c r="H89" s="458">
        <f>'ANALYSE - ERP =&gt; SOUS-SEGMENT'!$BE$47*'ANALYSE - ERP =&gt; SOUS-SEGMENT'!$IO$47</f>
        <v>0</v>
      </c>
      <c r="I89" s="458">
        <f>'ANALYSE - ERP =&gt; SOUS-SEGMENT'!$BE$47*'ANALYSE - ERP =&gt; SOUS-SEGMENT'!$IP$47</f>
        <v>372.21600000000001</v>
      </c>
      <c r="J89" s="458">
        <f>'ANALYSE - ERP =&gt; SOUS-SEGMENT'!$BE$47*'ANALYSE - ERP =&gt; SOUS-SEGMENT'!$IQ$47</f>
        <v>915.71999999999991</v>
      </c>
      <c r="K89" s="458">
        <f>'ANALYSE - ERP =&gt; SOUS-SEGMENT'!$BE$47*'ANALYSE - ERP =&gt; SOUS-SEGMENT'!$IR$47</f>
        <v>265.82400000000001</v>
      </c>
      <c r="L89" s="458">
        <f>'ANALYSE - ERP =&gt; SOUS-SEGMENT'!$BE$47*'ANALYSE - ERP =&gt; SOUS-SEGMENT'!$IS$47</f>
        <v>6.24</v>
      </c>
      <c r="N89" s="458">
        <f>'ANALYSE - ERP =&gt; SOUS-SEGMENT'!$FA$47*'ANALYSE - ERP =&gt; SOUS-SEGMENT'!$IT$47</f>
        <v>0</v>
      </c>
      <c r="O89" s="458">
        <f>'ANALYSE - ERP =&gt; SOUS-SEGMENT'!$FA$47*'ANALYSE - ERP =&gt; SOUS-SEGMENT'!$IU$47</f>
        <v>78.993260972836353</v>
      </c>
      <c r="P89" s="458">
        <f>'ANALYSE - ERP =&gt; SOUS-SEGMENT'!$FA$47*'ANALYSE - ERP =&gt; SOUS-SEGMENT'!$IV$47</f>
        <v>394.35395400392724</v>
      </c>
      <c r="Q89" s="458">
        <f>'ANALYSE - ERP =&gt; SOUS-SEGMENT'!$FA$47*'ANALYSE - ERP =&gt; SOUS-SEGMENT'!$IW$47</f>
        <v>197.78932786221819</v>
      </c>
      <c r="R89" s="458">
        <f>'ANALYSE - ERP =&gt; SOUS-SEGMENT'!$FA$47*'ANALYSE - ERP =&gt; SOUS-SEGMENT'!$IX$47</f>
        <v>9.2533018882909079</v>
      </c>
      <c r="T89" s="430">
        <f>'ANALYSE - ERP =&gt; SOUS-SEGMENT'!$Q$47</f>
        <v>1</v>
      </c>
    </row>
    <row r="90" spans="1:20" ht="15" customHeight="1">
      <c r="A90" s="26">
        <v>87</v>
      </c>
      <c r="B90" s="26">
        <v>87</v>
      </c>
      <c r="C90" s="422">
        <f>'ANALYSE - ERP =&gt; SOUS-SEGMENT'!$A$149</f>
        <v>142</v>
      </c>
      <c r="D90" s="415" t="str">
        <f>'ANALYSE - ERP =&gt; SOUS-SEGMENT'!$B$149</f>
        <v>Sécurité &amp; Justice</v>
      </c>
      <c r="E90" s="415" t="str">
        <f>'ANALYSE - ERP =&gt; SOUS-SEGMENT'!$C$149</f>
        <v>Tribunaux</v>
      </c>
      <c r="F90" s="415" t="str">
        <f>'ANALYSE - ERP =&gt; SOUS-SEGMENT'!$D$149</f>
        <v>Conseils de prud’hommes autonomes</v>
      </c>
      <c r="H90" s="458">
        <f>'ANALYSE - ERP =&gt; SOUS-SEGMENT'!$BE$149*'ANALYSE - ERP =&gt; SOUS-SEGMENT'!$IO$149</f>
        <v>0</v>
      </c>
      <c r="I90" s="458">
        <f>'ANALYSE - ERP =&gt; SOUS-SEGMENT'!$BE$149*'ANALYSE - ERP =&gt; SOUS-SEGMENT'!$IP$149</f>
        <v>425.37599999999998</v>
      </c>
      <c r="J90" s="458">
        <f>'ANALYSE - ERP =&gt; SOUS-SEGMENT'!$BE$149*'ANALYSE - ERP =&gt; SOUS-SEGMENT'!$IQ$149</f>
        <v>809.24830000000009</v>
      </c>
      <c r="K90" s="458">
        <f>'ANALYSE - ERP =&gt; SOUS-SEGMENT'!$BE$149*'ANALYSE - ERP =&gt; SOUS-SEGMENT'!$IR$149</f>
        <v>235.13840000000002</v>
      </c>
      <c r="L90" s="458">
        <f>'ANALYSE - ERP =&gt; SOUS-SEGMENT'!$BE$149*'ANALYSE - ERP =&gt; SOUS-SEGMENT'!$IS$149</f>
        <v>7.2372999999999994</v>
      </c>
      <c r="N90" s="458">
        <f>'ANALYSE - ERP =&gt; SOUS-SEGMENT'!$FA$149*'ANALYSE - ERP =&gt; SOUS-SEGMENT'!$IT$149</f>
        <v>0</v>
      </c>
      <c r="O90" s="458">
        <f>'ANALYSE - ERP =&gt; SOUS-SEGMENT'!$FA$149*'ANALYSE - ERP =&gt; SOUS-SEGMENT'!$IU$149</f>
        <v>100.05644351123075</v>
      </c>
      <c r="P90" s="458">
        <f>'ANALYSE - ERP =&gt; SOUS-SEGMENT'!$FA$149*'ANALYSE - ERP =&gt; SOUS-SEGMENT'!$IV$149</f>
        <v>310.84795040815374</v>
      </c>
      <c r="Q90" s="458">
        <f>'ANALYSE - ERP =&gt; SOUS-SEGMENT'!$FA$149*'ANALYSE - ERP =&gt; SOUS-SEGMENT'!$IW$149</f>
        <v>137.87655556661537</v>
      </c>
      <c r="R90" s="458">
        <f>'ANALYSE - ERP =&gt; SOUS-SEGMENT'!$FA$149*'ANALYSE - ERP =&gt; SOUS-SEGMENT'!$IX$149</f>
        <v>7.3971689755384595</v>
      </c>
      <c r="T90" s="430">
        <f>'ANALYSE - ERP =&gt; SOUS-SEGMENT'!$Q$149</f>
        <v>1</v>
      </c>
    </row>
    <row r="91" spans="1:20" ht="15" customHeight="1">
      <c r="A91" s="26">
        <v>88</v>
      </c>
      <c r="B91" s="26">
        <v>90</v>
      </c>
      <c r="C91" s="422">
        <f>'ANALYSE - ERP =&gt; SOUS-SEGMENT'!$A$78</f>
        <v>71</v>
      </c>
      <c r="D91" s="415" t="str">
        <f>'ANALYSE - ERP =&gt; SOUS-SEGMENT'!$B$78</f>
        <v>Commerce, Restauration &amp; Loisirs</v>
      </c>
      <c r="E91" s="415" t="str">
        <f>'ANALYSE - ERP =&gt; SOUS-SEGMENT'!$C$78</f>
        <v>Restauration / boissons</v>
      </c>
      <c r="F91" s="415" t="str">
        <f>'ANALYSE - ERP =&gt; SOUS-SEGMENT'!$D$78</f>
        <v>Établissements flottants</v>
      </c>
      <c r="H91" s="458">
        <f>'ANALYSE - ERP =&gt; SOUS-SEGMENT'!$BE$78*'ANALYSE - ERP =&gt; SOUS-SEGMENT'!$IO$78</f>
        <v>0</v>
      </c>
      <c r="I91" s="458">
        <f>'ANALYSE - ERP =&gt; SOUS-SEGMENT'!$BE$78*'ANALYSE - ERP =&gt; SOUS-SEGMENT'!$IP$78</f>
        <v>347.625</v>
      </c>
      <c r="J91" s="458">
        <f>'ANALYSE - ERP =&gt; SOUS-SEGMENT'!$BE$78*'ANALYSE - ERP =&gt; SOUS-SEGMENT'!$IQ$78</f>
        <v>709.15499999999997</v>
      </c>
      <c r="K91" s="458">
        <f>'ANALYSE - ERP =&gt; SOUS-SEGMENT'!$BE$78*'ANALYSE - ERP =&gt; SOUS-SEGMENT'!$IR$78</f>
        <v>242.86500000000001</v>
      </c>
      <c r="L91" s="458">
        <f>'ANALYSE - ERP =&gt; SOUS-SEGMENT'!$BE$78*'ANALYSE - ERP =&gt; SOUS-SEGMENT'!$IS$78</f>
        <v>50.354999999999997</v>
      </c>
      <c r="N91" s="458">
        <f>'ANALYSE - ERP =&gt; SOUS-SEGMENT'!$FA$78*'ANALYSE - ERP =&gt; SOUS-SEGMENT'!$IT$78</f>
        <v>0</v>
      </c>
      <c r="O91" s="458">
        <f>'ANALYSE - ERP =&gt; SOUS-SEGMENT'!$FA$78*'ANALYSE - ERP =&gt; SOUS-SEGMENT'!$IU$78</f>
        <v>74.002312392499988</v>
      </c>
      <c r="P91" s="458">
        <f>'ANALYSE - ERP =&gt; SOUS-SEGMENT'!$FA$78*'ANALYSE - ERP =&gt; SOUS-SEGMENT'!$IV$78</f>
        <v>316.0766518718749</v>
      </c>
      <c r="Q91" s="458">
        <f>'ANALYSE - ERP =&gt; SOUS-SEGMENT'!$FA$78*'ANALYSE - ERP =&gt; SOUS-SEGMENT'!$IW$78</f>
        <v>178.91927157437496</v>
      </c>
      <c r="R91" s="458">
        <f>'ANALYSE - ERP =&gt; SOUS-SEGMENT'!$FA$78*'ANALYSE - ERP =&gt; SOUS-SEGMENT'!$IX$78</f>
        <v>33.626457911249993</v>
      </c>
      <c r="T91" s="430">
        <f>'ANALYSE - ERP =&gt; SOUS-SEGMENT'!$Q$78</f>
        <v>1</v>
      </c>
    </row>
    <row r="92" spans="1:20" ht="15" customHeight="1">
      <c r="A92" s="26">
        <v>89</v>
      </c>
      <c r="B92" s="26">
        <v>88</v>
      </c>
      <c r="C92" s="422">
        <f>'ANALYSE - ERP =&gt; SOUS-SEGMENT'!$A$93</f>
        <v>86</v>
      </c>
      <c r="D92" s="415" t="str">
        <f>'ANALYSE - ERP =&gt; SOUS-SEGMENT'!$B$93</f>
        <v>Hébergement Touristique</v>
      </c>
      <c r="E92" s="415" t="str">
        <f>'ANALYSE - ERP =&gt; SOUS-SEGMENT'!$C$93</f>
        <v>Hébergement Montagne</v>
      </c>
      <c r="F92" s="415" t="str">
        <f>'ANALYSE - ERP =&gt; SOUS-SEGMENT'!$D$93</f>
        <v>Refuges de montagne</v>
      </c>
      <c r="H92" s="458">
        <f>'ANALYSE - ERP =&gt; SOUS-SEGMENT'!$BE$93*'ANALYSE - ERP =&gt; SOUS-SEGMENT'!$IO$93</f>
        <v>223.92</v>
      </c>
      <c r="I92" s="458">
        <f>'ANALYSE - ERP =&gt; SOUS-SEGMENT'!$BE$93*'ANALYSE - ERP =&gt; SOUS-SEGMENT'!$IP$93</f>
        <v>778.19999999999993</v>
      </c>
      <c r="J92" s="458">
        <f>'ANALYSE - ERP =&gt; SOUS-SEGMENT'!$BE$93*'ANALYSE - ERP =&gt; SOUS-SEGMENT'!$IQ$93</f>
        <v>197.88</v>
      </c>
      <c r="K92" s="458">
        <f>'ANALYSE - ERP =&gt; SOUS-SEGMENT'!$BE$93*'ANALYSE - ERP =&gt; SOUS-SEGMENT'!$IR$93</f>
        <v>0</v>
      </c>
      <c r="L92" s="458">
        <f>'ANALYSE - ERP =&gt; SOUS-SEGMENT'!$BE$93*'ANALYSE - ERP =&gt; SOUS-SEGMENT'!$IS$93</f>
        <v>0</v>
      </c>
      <c r="N92" s="458">
        <f>'ANALYSE - ERP =&gt; SOUS-SEGMENT'!$FA$93*'ANALYSE - ERP =&gt; SOUS-SEGMENT'!$IT$93</f>
        <v>52.909519367690905</v>
      </c>
      <c r="O92" s="458">
        <f>'ANALYSE - ERP =&gt; SOUS-SEGMENT'!$FA$93*'ANALYSE - ERP =&gt; SOUS-SEGMENT'!$IU$93</f>
        <v>288.30767329498178</v>
      </c>
      <c r="P92" s="458">
        <f>'ANALYSE - ERP =&gt; SOUS-SEGMENT'!$FA$93*'ANALYSE - ERP =&gt; SOUS-SEGMENT'!$IV$93</f>
        <v>127.42336861005451</v>
      </c>
      <c r="Q92" s="458">
        <f>'ANALYSE - ERP =&gt; SOUS-SEGMENT'!$FA$93*'ANALYSE - ERP =&gt; SOUS-SEGMENT'!$IW$93</f>
        <v>0</v>
      </c>
      <c r="R92" s="458">
        <f>'ANALYSE - ERP =&gt; SOUS-SEGMENT'!$FA$93*'ANALYSE - ERP =&gt; SOUS-SEGMENT'!$IX$93</f>
        <v>0</v>
      </c>
      <c r="T92" s="430">
        <f>'ANALYSE - ERP =&gt; SOUS-SEGMENT'!$Q$93</f>
        <v>1</v>
      </c>
    </row>
    <row r="93" spans="1:20" ht="15" customHeight="1">
      <c r="A93" s="26">
        <v>90</v>
      </c>
      <c r="B93" s="26">
        <v>89</v>
      </c>
      <c r="C93" s="422">
        <f>'ANALYSE - ERP =&gt; SOUS-SEGMENT'!$A$117</f>
        <v>110</v>
      </c>
      <c r="D93" s="416" t="str">
        <f>'ANALYSE - ERP =&gt; SOUS-SEGMENT'!$B$117</f>
        <v>Culte, Vie civique &amp; Services publics</v>
      </c>
      <c r="E93" s="416" t="str">
        <f>'ANALYSE - ERP =&gt; SOUS-SEGMENT'!$C$117</f>
        <v>Culte</v>
      </c>
      <c r="F93" s="416" t="str">
        <f>'ANALYSE - ERP =&gt; SOUS-SEGMENT'!$D$117</f>
        <v>Synagogues et oratoires juifs ouverts au public</v>
      </c>
      <c r="H93" s="458">
        <f>'ANALYSE - ERP =&gt; SOUS-SEGMENT'!$BE$117*'ANALYSE - ERP =&gt; SOUS-SEGMENT'!$IO$117</f>
        <v>75</v>
      </c>
      <c r="I93" s="458">
        <f>'ANALYSE - ERP =&gt; SOUS-SEGMENT'!$BE$117*'ANALYSE - ERP =&gt; SOUS-SEGMENT'!$IP$117</f>
        <v>397.5</v>
      </c>
      <c r="J93" s="458">
        <f>'ANALYSE - ERP =&gt; SOUS-SEGMENT'!$BE$117*'ANALYSE - ERP =&gt; SOUS-SEGMENT'!$IQ$117</f>
        <v>255.00000000000003</v>
      </c>
      <c r="K93" s="458">
        <f>'ANALYSE - ERP =&gt; SOUS-SEGMENT'!$BE$117*'ANALYSE - ERP =&gt; SOUS-SEGMENT'!$IR$117</f>
        <v>22.5</v>
      </c>
      <c r="L93" s="458">
        <f>'ANALYSE - ERP =&gt; SOUS-SEGMENT'!$BE$117*'ANALYSE - ERP =&gt; SOUS-SEGMENT'!$IS$117</f>
        <v>0</v>
      </c>
      <c r="N93" s="458">
        <f>'ANALYSE - ERP =&gt; SOUS-SEGMENT'!$FA$117*'ANALYSE - ERP =&gt; SOUS-SEGMENT'!$IT$117</f>
        <v>21.0487147367033</v>
      </c>
      <c r="O93" s="458">
        <f>'ANALYSE - ERP =&gt; SOUS-SEGMENT'!$FA$117*'ANALYSE - ERP =&gt; SOUS-SEGMENT'!$IU$117</f>
        <v>125.63068737494507</v>
      </c>
      <c r="P93" s="458">
        <f>'ANALYSE - ERP =&gt; SOUS-SEGMENT'!$FA$117*'ANALYSE - ERP =&gt; SOUS-SEGMENT'!$IV$117</f>
        <v>86.767751900659349</v>
      </c>
      <c r="Q93" s="458">
        <f>'ANALYSE - ERP =&gt; SOUS-SEGMENT'!$FA$117*'ANALYSE - ERP =&gt; SOUS-SEGMENT'!$IW$117</f>
        <v>10.806150406153847</v>
      </c>
      <c r="R93" s="458">
        <f>'ANALYSE - ERP =&gt; SOUS-SEGMENT'!$FA$117*'ANALYSE - ERP =&gt; SOUS-SEGMENT'!$IX$117</f>
        <v>0.78411975736263739</v>
      </c>
      <c r="T93" s="430">
        <f>'ANALYSE - ERP =&gt; SOUS-SEGMENT'!$Q$117</f>
        <v>1</v>
      </c>
    </row>
    <row r="94" spans="1:20" ht="15" customHeight="1">
      <c r="A94" s="26">
        <v>91</v>
      </c>
      <c r="B94" s="26">
        <v>91</v>
      </c>
      <c r="C94" s="422">
        <f>'ANALYSE - ERP =&gt; SOUS-SEGMENT'!$A$148</f>
        <v>141</v>
      </c>
      <c r="D94" s="412" t="str">
        <f>'ANALYSE - ERP =&gt; SOUS-SEGMENT'!$B$148</f>
        <v>Sécurité &amp; Justice</v>
      </c>
      <c r="E94" s="412" t="str">
        <f>'ANALYSE - ERP =&gt; SOUS-SEGMENT'!$C$148</f>
        <v>Tribunaux</v>
      </c>
      <c r="F94" s="412" t="str">
        <f>'ANALYSE - ERP =&gt; SOUS-SEGMENT'!$D$148</f>
        <v>Tribunaux de commerce autonomes</v>
      </c>
      <c r="H94" s="458">
        <f>'ANALYSE - ERP =&gt; SOUS-SEGMENT'!$BE$148*'ANALYSE - ERP =&gt; SOUS-SEGMENT'!$IO$148</f>
        <v>0</v>
      </c>
      <c r="I94" s="458">
        <f>'ANALYSE - ERP =&gt; SOUS-SEGMENT'!$BE$148*'ANALYSE - ERP =&gt; SOUS-SEGMENT'!$IP$148</f>
        <v>251.1696</v>
      </c>
      <c r="J94" s="458">
        <f>'ANALYSE - ERP =&gt; SOUS-SEGMENT'!$BE$148*'ANALYSE - ERP =&gt; SOUS-SEGMENT'!$IQ$148</f>
        <v>599.35520000000008</v>
      </c>
      <c r="K94" s="458">
        <f>'ANALYSE - ERP =&gt; SOUS-SEGMENT'!$BE$148*'ANALYSE - ERP =&gt; SOUS-SEGMENT'!$IR$148</f>
        <v>212.792</v>
      </c>
      <c r="L94" s="458">
        <f>'ANALYSE - ERP =&gt; SOUS-SEGMENT'!$BE$148*'ANALYSE - ERP =&gt; SOUS-SEGMENT'!$IS$148</f>
        <v>8.6831999999999994</v>
      </c>
      <c r="N94" s="458">
        <f>'ANALYSE - ERP =&gt; SOUS-SEGMENT'!$FA$148*'ANALYSE - ERP =&gt; SOUS-SEGMENT'!$IT$148</f>
        <v>0</v>
      </c>
      <c r="O94" s="458">
        <f>'ANALYSE - ERP =&gt; SOUS-SEGMENT'!$FA$148*'ANALYSE - ERP =&gt; SOUS-SEGMENT'!$IU$148</f>
        <v>54.835732869230775</v>
      </c>
      <c r="P94" s="458">
        <f>'ANALYSE - ERP =&gt; SOUS-SEGMENT'!$FA$148*'ANALYSE - ERP =&gt; SOUS-SEGMENT'!$IV$148</f>
        <v>221.69883703723073</v>
      </c>
      <c r="Q94" s="458">
        <f>'ANALYSE - ERP =&gt; SOUS-SEGMENT'!$FA$148*'ANALYSE - ERP =&gt; SOUS-SEGMENT'!$IW$148</f>
        <v>121.32913635584616</v>
      </c>
      <c r="R94" s="458">
        <f>'ANALYSE - ERP =&gt; SOUS-SEGMENT'!$FA$148*'ANALYSE - ERP =&gt; SOUS-SEGMENT'!$IX$148</f>
        <v>8.3269075838461539</v>
      </c>
      <c r="T94" s="430">
        <f>'ANALYSE - ERP =&gt; SOUS-SEGMENT'!$Q$148</f>
        <v>1</v>
      </c>
    </row>
    <row r="95" spans="1:20" ht="15" customHeight="1">
      <c r="A95" s="26">
        <v>92</v>
      </c>
      <c r="B95" s="26">
        <v>92</v>
      </c>
      <c r="C95" s="422">
        <f>'ANALYSE - ERP =&gt; SOUS-SEGMENT'!$A$137</f>
        <v>130</v>
      </c>
      <c r="D95" s="417" t="str">
        <f>'ANALYSE - ERP =&gt; SOUS-SEGMENT'!$B$137</f>
        <v>Sécurité &amp; Justice</v>
      </c>
      <c r="E95" s="417" t="str">
        <f>'ANALYSE - ERP =&gt; SOUS-SEGMENT'!$C$137</f>
        <v>Forces armées</v>
      </c>
      <c r="F95" s="417" t="str">
        <f>'ANALYSE - ERP =&gt; SOUS-SEGMENT'!$D$137</f>
        <v>Restaurants ou équipements sportifs ouverts au public sur emprise militaire</v>
      </c>
      <c r="H95" s="458">
        <f>'ANALYSE - ERP =&gt; SOUS-SEGMENT'!$BE$137*'ANALYSE - ERP =&gt; SOUS-SEGMENT'!$IO$137</f>
        <v>0</v>
      </c>
      <c r="I95" s="458">
        <f>'ANALYSE - ERP =&gt; SOUS-SEGMENT'!$BE$137*'ANALYSE - ERP =&gt; SOUS-SEGMENT'!$IP$137</f>
        <v>372.23999999999995</v>
      </c>
      <c r="J95" s="458">
        <f>'ANALYSE - ERP =&gt; SOUS-SEGMENT'!$BE$137*'ANALYSE - ERP =&gt; SOUS-SEGMENT'!$IQ$137</f>
        <v>672.83999999999992</v>
      </c>
      <c r="K95" s="458">
        <f>'ANALYSE - ERP =&gt; SOUS-SEGMENT'!$BE$137*'ANALYSE - ERP =&gt; SOUS-SEGMENT'!$IR$137</f>
        <v>152.51999999999998</v>
      </c>
      <c r="L95" s="458">
        <f>'ANALYSE - ERP =&gt; SOUS-SEGMENT'!$BE$137*'ANALYSE - ERP =&gt; SOUS-SEGMENT'!$IS$137</f>
        <v>2.4</v>
      </c>
      <c r="N95" s="458">
        <f>'ANALYSE - ERP =&gt; SOUS-SEGMENT'!$FA$137*'ANALYSE - ERP =&gt; SOUS-SEGMENT'!$IT$137</f>
        <v>0</v>
      </c>
      <c r="O95" s="458">
        <f>'ANALYSE - ERP =&gt; SOUS-SEGMENT'!$FA$137*'ANALYSE - ERP =&gt; SOUS-SEGMENT'!$IU$137</f>
        <v>101.63336257454544</v>
      </c>
      <c r="P95" s="458">
        <f>'ANALYSE - ERP =&gt; SOUS-SEGMENT'!$FA$137*'ANALYSE - ERP =&gt; SOUS-SEGMENT'!$IV$137</f>
        <v>327.52810073454543</v>
      </c>
      <c r="Q95" s="458">
        <f>'ANALYSE - ERP =&gt; SOUS-SEGMENT'!$FA$137*'ANALYSE - ERP =&gt; SOUS-SEGMENT'!$IW$137</f>
        <v>117.76476844363636</v>
      </c>
      <c r="R95" s="458">
        <f>'ANALYSE - ERP =&gt; SOUS-SEGMENT'!$FA$137*'ANALYSE - ERP =&gt; SOUS-SEGMENT'!$IX$137</f>
        <v>3.6336955199999998</v>
      </c>
      <c r="T95" s="430">
        <f>'ANALYSE - ERP =&gt; SOUS-SEGMENT'!$Q$137</f>
        <v>1</v>
      </c>
    </row>
    <row r="96" spans="1:20" ht="15" customHeight="1">
      <c r="A96" s="26">
        <v>93</v>
      </c>
      <c r="B96" s="26">
        <v>93</v>
      </c>
      <c r="C96" s="422">
        <f>'ANALYSE - ERP =&gt; SOUS-SEGMENT'!$A$92</f>
        <v>85</v>
      </c>
      <c r="D96" s="413" t="str">
        <f>'ANALYSE - ERP =&gt; SOUS-SEGMENT'!$B$92</f>
        <v>Hébergement Touristique</v>
      </c>
      <c r="E96" s="413" t="str">
        <f>'ANALYSE - ERP =&gt; SOUS-SEGMENT'!$C$92</f>
        <v>Hébergement Montagne</v>
      </c>
      <c r="F96" s="413" t="str">
        <f>'ANALYSE - ERP =&gt; SOUS-SEGMENT'!$D$92</f>
        <v>Hôtels-restaurants d’altitude</v>
      </c>
      <c r="H96" s="458">
        <f>'ANALYSE - ERP =&gt; SOUS-SEGMENT'!$BE$92*'ANALYSE - ERP =&gt; SOUS-SEGMENT'!$IO$92</f>
        <v>0</v>
      </c>
      <c r="I96" s="458">
        <f>'ANALYSE - ERP =&gt; SOUS-SEGMENT'!$BE$92*'ANALYSE - ERP =&gt; SOUS-SEGMENT'!$IP$92</f>
        <v>0</v>
      </c>
      <c r="J96" s="458">
        <f>'ANALYSE - ERP =&gt; SOUS-SEGMENT'!$BE$92*'ANALYSE - ERP =&gt; SOUS-SEGMENT'!$IQ$92</f>
        <v>560.79999999999995</v>
      </c>
      <c r="K96" s="458">
        <f>'ANALYSE - ERP =&gt; SOUS-SEGMENT'!$BE$92*'ANALYSE - ERP =&gt; SOUS-SEGMENT'!$IR$92</f>
        <v>1079.2</v>
      </c>
      <c r="L96" s="458">
        <f>'ANALYSE - ERP =&gt; SOUS-SEGMENT'!$BE$92*'ANALYSE - ERP =&gt; SOUS-SEGMENT'!$IS$92</f>
        <v>360</v>
      </c>
      <c r="N96" s="458">
        <f>'ANALYSE - ERP =&gt; SOUS-SEGMENT'!$FA$92*'ANALYSE - ERP =&gt; SOUS-SEGMENT'!$IT$92</f>
        <v>0</v>
      </c>
      <c r="O96" s="458">
        <f>'ANALYSE - ERP =&gt; SOUS-SEGMENT'!$FA$92*'ANALYSE - ERP =&gt; SOUS-SEGMENT'!$IU$92</f>
        <v>0</v>
      </c>
      <c r="P96" s="458">
        <f>'ANALYSE - ERP =&gt; SOUS-SEGMENT'!$FA$92*'ANALYSE - ERP =&gt; SOUS-SEGMENT'!$IV$92</f>
        <v>160.98976823954547</v>
      </c>
      <c r="Q96" s="458">
        <f>'ANALYSE - ERP =&gt; SOUS-SEGMENT'!$FA$92*'ANALYSE - ERP =&gt; SOUS-SEGMENT'!$IW$92</f>
        <v>455.98686016954548</v>
      </c>
      <c r="R96" s="458">
        <f>'ANALYSE - ERP =&gt; SOUS-SEGMENT'!$FA$92*'ANALYSE - ERP =&gt; SOUS-SEGMENT'!$IX$92</f>
        <v>205.65887613636363</v>
      </c>
      <c r="T96" s="430">
        <f>'ANALYSE - ERP =&gt; SOUS-SEGMENT'!$Q$92</f>
        <v>1</v>
      </c>
    </row>
    <row r="97" spans="1:20" ht="15" customHeight="1">
      <c r="A97" s="26">
        <v>94</v>
      </c>
      <c r="B97" s="26">
        <v>94</v>
      </c>
      <c r="C97" s="422">
        <f>'ANALYSE - ERP =&gt; SOUS-SEGMENT'!$A$90</f>
        <v>83</v>
      </c>
      <c r="D97" s="417" t="str">
        <f>'ANALYSE - ERP =&gt; SOUS-SEGMENT'!$B$90</f>
        <v>Hébergement Touristique</v>
      </c>
      <c r="E97" s="417" t="str">
        <f>'ANALYSE - ERP =&gt; SOUS-SEGMENT'!$C$90</f>
        <v>Hébergement Touristique</v>
      </c>
      <c r="F97" s="417" t="str">
        <f>'ANALYSE - ERP =&gt; SOUS-SEGMENT'!$D$90</f>
        <v>Auberges de jeunesse</v>
      </c>
      <c r="H97" s="458">
        <f>'ANALYSE - ERP =&gt; SOUS-SEGMENT'!$BE$90*'ANALYSE - ERP =&gt; SOUS-SEGMENT'!$IO$90</f>
        <v>11.6</v>
      </c>
      <c r="I97" s="458">
        <f>'ANALYSE - ERP =&gt; SOUS-SEGMENT'!$BE$90*'ANALYSE - ERP =&gt; SOUS-SEGMENT'!$IP$90</f>
        <v>324.8</v>
      </c>
      <c r="J97" s="458">
        <f>'ANALYSE - ERP =&gt; SOUS-SEGMENT'!$BE$90*'ANALYSE - ERP =&gt; SOUS-SEGMENT'!$IQ$90</f>
        <v>580</v>
      </c>
      <c r="K97" s="458">
        <f>'ANALYSE - ERP =&gt; SOUS-SEGMENT'!$BE$90*'ANALYSE - ERP =&gt; SOUS-SEGMENT'!$IR$90</f>
        <v>220.4</v>
      </c>
      <c r="L97" s="458">
        <f>'ANALYSE - ERP =&gt; SOUS-SEGMENT'!$BE$90*'ANALYSE - ERP =&gt; SOUS-SEGMENT'!$IS$90</f>
        <v>23.2</v>
      </c>
      <c r="N97" s="458">
        <f>'ANALYSE - ERP =&gt; SOUS-SEGMENT'!$FA$90*'ANALYSE - ERP =&gt; SOUS-SEGMENT'!$IT$90</f>
        <v>0</v>
      </c>
      <c r="O97" s="458">
        <f>'ANALYSE - ERP =&gt; SOUS-SEGMENT'!$FA$90*'ANALYSE - ERP =&gt; SOUS-SEGMENT'!$IU$90</f>
        <v>116.41314290444446</v>
      </c>
      <c r="P97" s="458">
        <f>'ANALYSE - ERP =&gt; SOUS-SEGMENT'!$FA$90*'ANALYSE - ERP =&gt; SOUS-SEGMENT'!$IV$90</f>
        <v>248.10221858820515</v>
      </c>
      <c r="Q97" s="458">
        <f>'ANALYSE - ERP =&gt; SOUS-SEGMENT'!$FA$90*'ANALYSE - ERP =&gt; SOUS-SEGMENT'!$IW$90</f>
        <v>102.09494885737375</v>
      </c>
      <c r="R97" s="458">
        <f>'ANALYSE - ERP =&gt; SOUS-SEGMENT'!$FA$90*'ANALYSE - ERP =&gt; SOUS-SEGMENT'!$IX$90</f>
        <v>12.259055772742814</v>
      </c>
      <c r="T97" s="430">
        <f>'ANALYSE - ERP =&gt; SOUS-SEGMENT'!$Q$90</f>
        <v>1</v>
      </c>
    </row>
    <row r="98" spans="1:20" ht="15" customHeight="1">
      <c r="A98" s="26">
        <v>95</v>
      </c>
      <c r="B98" s="26">
        <v>95</v>
      </c>
      <c r="C98" s="422">
        <f>'ANALYSE - ERP =&gt; SOUS-SEGMENT'!$A$141</f>
        <v>134</v>
      </c>
      <c r="D98" s="418" t="str">
        <f>'ANALYSE - ERP =&gt; SOUS-SEGMENT'!$B$141</f>
        <v>Sécurité &amp; Justice</v>
      </c>
      <c r="E98" s="418" t="str">
        <f>'ANALYSE - ERP =&gt; SOUS-SEGMENT'!$C$141</f>
        <v>Univers carcéral</v>
      </c>
      <c r="F98" s="418" t="str">
        <f>'ANALYSE - ERP =&gt; SOUS-SEGMENT'!$D$141</f>
        <v>Maisons centrales</v>
      </c>
      <c r="H98" s="458">
        <f>'ANALYSE - ERP =&gt; SOUS-SEGMENT'!$BE$141*'ANALYSE - ERP =&gt; SOUS-SEGMENT'!$IO$141</f>
        <v>108.83399999999999</v>
      </c>
      <c r="I98" s="458">
        <f>'ANALYSE - ERP =&gt; SOUS-SEGMENT'!$BE$141*'ANALYSE - ERP =&gt; SOUS-SEGMENT'!$IP$141</f>
        <v>454.54199999999997</v>
      </c>
      <c r="J98" s="458">
        <f>'ANALYSE - ERP =&gt; SOUS-SEGMENT'!$BE$141*'ANALYSE - ERP =&gt; SOUS-SEGMENT'!$IQ$141</f>
        <v>96.623999999999995</v>
      </c>
      <c r="K98" s="458">
        <f>'ANALYSE - ERP =&gt; SOUS-SEGMENT'!$BE$141*'ANALYSE - ERP =&gt; SOUS-SEGMENT'!$IR$141</f>
        <v>0</v>
      </c>
      <c r="L98" s="458">
        <f>'ANALYSE - ERP =&gt; SOUS-SEGMENT'!$BE$141*'ANALYSE - ERP =&gt; SOUS-SEGMENT'!$IS$141</f>
        <v>0</v>
      </c>
      <c r="N98" s="458">
        <f>'ANALYSE - ERP =&gt; SOUS-SEGMENT'!$FA$141*'ANALYSE - ERP =&gt; SOUS-SEGMENT'!$IT$141</f>
        <v>27.698240250000005</v>
      </c>
      <c r="O98" s="458">
        <f>'ANALYSE - ERP =&gt; SOUS-SEGMENT'!$FA$141*'ANALYSE - ERP =&gt; SOUS-SEGMENT'!$IU$141</f>
        <v>234.58418115000006</v>
      </c>
      <c r="P98" s="458">
        <f>'ANALYSE - ERP =&gt; SOUS-SEGMENT'!$FA$141*'ANALYSE - ERP =&gt; SOUS-SEGMENT'!$IV$141</f>
        <v>99.786078600000025</v>
      </c>
      <c r="Q98" s="458">
        <f>'ANALYSE - ERP =&gt; SOUS-SEGMENT'!$FA$141*'ANALYSE - ERP =&gt; SOUS-SEGMENT'!$IW$141</f>
        <v>0</v>
      </c>
      <c r="R98" s="458">
        <f>'ANALYSE - ERP =&gt; SOUS-SEGMENT'!$FA$141*'ANALYSE - ERP =&gt; SOUS-SEGMENT'!$IX$141</f>
        <v>0</v>
      </c>
      <c r="T98" s="430">
        <f>'ANALYSE - ERP =&gt; SOUS-SEGMENT'!$Q$141</f>
        <v>1</v>
      </c>
    </row>
    <row r="99" spans="1:20" ht="15" customHeight="1">
      <c r="A99" s="26">
        <v>96</v>
      </c>
      <c r="B99" s="26">
        <v>96</v>
      </c>
      <c r="C99" s="422">
        <f>'ANALYSE - ERP =&gt; SOUS-SEGMENT'!$A$147</f>
        <v>140</v>
      </c>
      <c r="D99" s="417" t="str">
        <f>'ANALYSE - ERP =&gt; SOUS-SEGMENT'!$B$147</f>
        <v>Sécurité &amp; Justice</v>
      </c>
      <c r="E99" s="417" t="str">
        <f>'ANALYSE - ERP =&gt; SOUS-SEGMENT'!$C$147</f>
        <v>Tribunaux</v>
      </c>
      <c r="F99" s="417" t="str">
        <f>'ANALYSE - ERP =&gt; SOUS-SEGMENT'!$D$147</f>
        <v>Maisons de justice et du droit</v>
      </c>
      <c r="H99" s="458">
        <f>'ANALYSE - ERP =&gt; SOUS-SEGMENT'!$BE$147*'ANALYSE - ERP =&gt; SOUS-SEGMENT'!$IO$147</f>
        <v>2.4600000000000004</v>
      </c>
      <c r="I99" s="458">
        <f>'ANALYSE - ERP =&gt; SOUS-SEGMENT'!$BE$147*'ANALYSE - ERP =&gt; SOUS-SEGMENT'!$IP$147</f>
        <v>183.72000000000003</v>
      </c>
      <c r="J99" s="458">
        <f>'ANALYSE - ERP =&gt; SOUS-SEGMENT'!$BE$147*'ANALYSE - ERP =&gt; SOUS-SEGMENT'!$IQ$147</f>
        <v>322.8</v>
      </c>
      <c r="K99" s="458">
        <f>'ANALYSE - ERP =&gt; SOUS-SEGMENT'!$BE$147*'ANALYSE - ERP =&gt; SOUS-SEGMENT'!$IR$147</f>
        <v>88.5</v>
      </c>
      <c r="L99" s="458">
        <f>'ANALYSE - ERP =&gt; SOUS-SEGMENT'!$BE$147*'ANALYSE - ERP =&gt; SOUS-SEGMENT'!$IS$147</f>
        <v>2.52</v>
      </c>
      <c r="N99" s="458">
        <f>'ANALYSE - ERP =&gt; SOUS-SEGMENT'!$FA$147*'ANALYSE - ERP =&gt; SOUS-SEGMENT'!$IT$147</f>
        <v>0</v>
      </c>
      <c r="O99" s="458">
        <f>'ANALYSE - ERP =&gt; SOUS-SEGMENT'!$FA$147*'ANALYSE - ERP =&gt; SOUS-SEGMENT'!$IU$147</f>
        <v>41.260850454830766</v>
      </c>
      <c r="P99" s="458">
        <f>'ANALYSE - ERP =&gt; SOUS-SEGMENT'!$FA$147*'ANALYSE - ERP =&gt; SOUS-SEGMENT'!$IV$147</f>
        <v>127.85374392600001</v>
      </c>
      <c r="Q99" s="458">
        <f>'ANALYSE - ERP =&gt; SOUS-SEGMENT'!$FA$147*'ANALYSE - ERP =&gt; SOUS-SEGMENT'!$IW$147</f>
        <v>56.585002231292307</v>
      </c>
      <c r="R99" s="458">
        <f>'ANALYSE - ERP =&gt; SOUS-SEGMENT'!$FA$147*'ANALYSE - ERP =&gt; SOUS-SEGMENT'!$IX$147</f>
        <v>3.0190866186461536</v>
      </c>
      <c r="T99" s="430">
        <f>'ANALYSE - ERP =&gt; SOUS-SEGMENT'!$Q$147</f>
        <v>1</v>
      </c>
    </row>
    <row r="100" spans="1:20" ht="15" customHeight="1">
      <c r="A100" s="26">
        <v>97</v>
      </c>
      <c r="B100" s="26">
        <v>97</v>
      </c>
      <c r="C100" s="422">
        <f>'ANALYSE - ERP =&gt; SOUS-SEGMENT'!$A$144</f>
        <v>137</v>
      </c>
      <c r="D100" s="417" t="str">
        <f>'ANALYSE - ERP =&gt; SOUS-SEGMENT'!$B$144</f>
        <v>Sécurité &amp; Justice</v>
      </c>
      <c r="E100" s="417" t="str">
        <f>'ANALYSE - ERP =&gt; SOUS-SEGMENT'!$C$144</f>
        <v>Univers carcéral</v>
      </c>
      <c r="F100" s="417" t="str">
        <f>'ANALYSE - ERP =&gt; SOUS-SEGMENT'!$D$144</f>
        <v>Centres éducatifs fermés</v>
      </c>
      <c r="H100" s="458">
        <f>'ANALYSE - ERP =&gt; SOUS-SEGMENT'!$BE$144*'ANALYSE - ERP =&gt; SOUS-SEGMENT'!$IO$144</f>
        <v>16.599</v>
      </c>
      <c r="I100" s="458">
        <f>'ANALYSE - ERP =&gt; SOUS-SEGMENT'!$BE$144*'ANALYSE - ERP =&gt; SOUS-SEGMENT'!$IP$144</f>
        <v>172.65600000000001</v>
      </c>
      <c r="J100" s="458">
        <f>'ANALYSE - ERP =&gt; SOUS-SEGMENT'!$BE$144*'ANALYSE - ERP =&gt; SOUS-SEGMENT'!$IQ$144</f>
        <v>133.089</v>
      </c>
      <c r="K100" s="458">
        <f>'ANALYSE - ERP =&gt; SOUS-SEGMENT'!$BE$144*'ANALYSE - ERP =&gt; SOUS-SEGMENT'!$IR$144</f>
        <v>7.6229999999999993</v>
      </c>
      <c r="L100" s="458">
        <f>'ANALYSE - ERP =&gt; SOUS-SEGMENT'!$BE$144*'ANALYSE - ERP =&gt; SOUS-SEGMENT'!$IS$144</f>
        <v>3.3000000000000002E-2</v>
      </c>
      <c r="N100" s="458">
        <f>'ANALYSE - ERP =&gt; SOUS-SEGMENT'!$FA$144*'ANALYSE - ERP =&gt; SOUS-SEGMENT'!$IT$144</f>
        <v>2.2435798445454544</v>
      </c>
      <c r="O100" s="458">
        <f>'ANALYSE - ERP =&gt; SOUS-SEGMENT'!$FA$144*'ANALYSE - ERP =&gt; SOUS-SEGMENT'!$IU$144</f>
        <v>69.603151456363634</v>
      </c>
      <c r="P100" s="458">
        <f>'ANALYSE - ERP =&gt; SOUS-SEGMENT'!$FA$144*'ANALYSE - ERP =&gt; SOUS-SEGMENT'!$IV$144</f>
        <v>161.06816232818181</v>
      </c>
      <c r="Q100" s="458">
        <f>'ANALYSE - ERP =&gt; SOUS-SEGMENT'!$FA$144*'ANALYSE - ERP =&gt; SOUS-SEGMENT'!$IW$144</f>
        <v>27.627337853181817</v>
      </c>
      <c r="R100" s="458">
        <f>'ANALYSE - ERP =&gt; SOUS-SEGMENT'!$FA$144*'ANALYSE - ERP =&gt; SOUS-SEGMENT'!$IX$144</f>
        <v>0.3391457904545454</v>
      </c>
      <c r="T100" s="430">
        <f>'ANALYSE - ERP =&gt; SOUS-SEGMENT'!$Q$144</f>
        <v>1</v>
      </c>
    </row>
    <row r="101" spans="1:20" ht="15" customHeight="1">
      <c r="A101" s="26">
        <v>98</v>
      </c>
      <c r="B101" s="26">
        <v>98</v>
      </c>
      <c r="C101" s="422">
        <f>'ANALYSE - ERP =&gt; SOUS-SEGMENT'!$A$48</f>
        <v>41</v>
      </c>
      <c r="D101" s="414" t="str">
        <f>'ANALYSE - ERP =&gt; SOUS-SEGMENT'!$B$48</f>
        <v>Santé &amp; Médico-social</v>
      </c>
      <c r="E101" s="414" t="str">
        <f>'ANALYSE - ERP =&gt; SOUS-SEGMENT'!$C$48</f>
        <v>Santé hospitalière</v>
      </c>
      <c r="F101" s="414" t="str">
        <f>'ANALYSE - ERP =&gt; SOUS-SEGMENT'!$D$48</f>
        <v>Unités hospitalières sécurisées en milieu carcéral</v>
      </c>
      <c r="H101" s="458">
        <f>'ANALYSE - ERP =&gt; SOUS-SEGMENT'!$BE$48*'ANALYSE - ERP =&gt; SOUS-SEGMENT'!$IO$48</f>
        <v>15.334</v>
      </c>
      <c r="I101" s="458">
        <f>'ANALYSE - ERP =&gt; SOUS-SEGMENT'!$BE$48*'ANALYSE - ERP =&gt; SOUS-SEGMENT'!$IP$48</f>
        <v>172.20999999999998</v>
      </c>
      <c r="J101" s="458">
        <f>'ANALYSE - ERP =&gt; SOUS-SEGMENT'!$BE$48*'ANALYSE - ERP =&gt; SOUS-SEGMENT'!$IQ$48</f>
        <v>143.548</v>
      </c>
      <c r="K101" s="458">
        <f>'ANALYSE - ERP =&gt; SOUS-SEGMENT'!$BE$48*'ANALYSE - ERP =&gt; SOUS-SEGMENT'!$IR$48</f>
        <v>8.8740000000000006</v>
      </c>
      <c r="L101" s="458">
        <f>'ANALYSE - ERP =&gt; SOUS-SEGMENT'!$BE$48*'ANALYSE - ERP =&gt; SOUS-SEGMENT'!$IS$48</f>
        <v>3.4000000000000002E-2</v>
      </c>
      <c r="N101" s="458">
        <f>'ANALYSE - ERP =&gt; SOUS-SEGMENT'!$FA$48*'ANALYSE - ERP =&gt; SOUS-SEGMENT'!$IT$48</f>
        <v>2.4110567000000005</v>
      </c>
      <c r="O101" s="458">
        <f>'ANALYSE - ERP =&gt; SOUS-SEGMENT'!$FA$48*'ANALYSE - ERP =&gt; SOUS-SEGMENT'!$IU$48</f>
        <v>59.534553900000013</v>
      </c>
      <c r="P101" s="458">
        <f>'ANALYSE - ERP =&gt; SOUS-SEGMENT'!$FA$48*'ANALYSE - ERP =&gt; SOUS-SEGMENT'!$IV$48</f>
        <v>108.66447081000001</v>
      </c>
      <c r="Q101" s="458">
        <f>'ANALYSE - ERP =&gt; SOUS-SEGMENT'!$FA$48*'ANALYSE - ERP =&gt; SOUS-SEGMENT'!$IW$48</f>
        <v>14.707445870000003</v>
      </c>
      <c r="R101" s="458">
        <f>'ANALYSE - ERP =&gt; SOUS-SEGMENT'!$FA$48*'ANALYSE - ERP =&gt; SOUS-SEGMENT'!$IX$48</f>
        <v>0.14837272000000004</v>
      </c>
      <c r="T101" s="430">
        <f>'ANALYSE - ERP =&gt; SOUS-SEGMENT'!$Q$48</f>
        <v>1</v>
      </c>
    </row>
    <row r="102" spans="1:20" ht="15" customHeight="1">
      <c r="A102" s="26">
        <v>99</v>
      </c>
      <c r="B102" s="26">
        <v>99</v>
      </c>
      <c r="C102" s="422">
        <f>'ANALYSE - ERP =&gt; SOUS-SEGMENT'!$A$134</f>
        <v>127</v>
      </c>
      <c r="D102" s="414" t="str">
        <f>'ANALYSE - ERP =&gt; SOUS-SEGMENT'!$B$134</f>
        <v>Sécurité &amp; Justice</v>
      </c>
      <c r="E102" s="414" t="str">
        <f>'ANALYSE - ERP =&gt; SOUS-SEGMENT'!$C$134</f>
        <v xml:space="preserve">Commissariats / postes de police </v>
      </c>
      <c r="F102" s="414" t="str">
        <f>'ANALYSE - ERP =&gt; SOUS-SEGMENT'!$D$134</f>
        <v>Salles de réunion, de prévention ou de conférence ouvertes au public</v>
      </c>
      <c r="H102" s="458">
        <f>'ANALYSE - ERP =&gt; SOUS-SEGMENT'!$BE$134*'ANALYSE - ERP =&gt; SOUS-SEGMENT'!$IO$134</f>
        <v>17.225999999999999</v>
      </c>
      <c r="I102" s="458">
        <f>'ANALYSE - ERP =&gt; SOUS-SEGMENT'!$BE$134*'ANALYSE - ERP =&gt; SOUS-SEGMENT'!$IP$134</f>
        <v>152.25299999999999</v>
      </c>
      <c r="J102" s="458">
        <f>'ANALYSE - ERP =&gt; SOUS-SEGMENT'!$BE$134*'ANALYSE - ERP =&gt; SOUS-SEGMENT'!$IQ$134</f>
        <v>100.521</v>
      </c>
      <c r="K102" s="458">
        <f>'ANALYSE - ERP =&gt; SOUS-SEGMENT'!$BE$134*'ANALYSE - ERP =&gt; SOUS-SEGMENT'!$IR$134</f>
        <v>0</v>
      </c>
      <c r="L102" s="458">
        <f>'ANALYSE - ERP =&gt; SOUS-SEGMENT'!$BE$134*'ANALYSE - ERP =&gt; SOUS-SEGMENT'!$IS$134</f>
        <v>0</v>
      </c>
      <c r="N102" s="458">
        <f>'ANALYSE - ERP =&gt; SOUS-SEGMENT'!$FA$134*'ANALYSE - ERP =&gt; SOUS-SEGMENT'!$IT$134</f>
        <v>6.2530740056400012</v>
      </c>
      <c r="O102" s="458">
        <f>'ANALYSE - ERP =&gt; SOUS-SEGMENT'!$FA$134*'ANALYSE - ERP =&gt; SOUS-SEGMENT'!$IU$134</f>
        <v>61.650978562100015</v>
      </c>
      <c r="P102" s="458">
        <f>'ANALYSE - ERP =&gt; SOUS-SEGMENT'!$FA$134*'ANALYSE - ERP =&gt; SOUS-SEGMENT'!$IV$134</f>
        <v>67.443869632260018</v>
      </c>
      <c r="Q102" s="458">
        <f>'ANALYSE - ERP =&gt; SOUS-SEGMENT'!$FA$134*'ANALYSE - ERP =&gt; SOUS-SEGMENT'!$IW$134</f>
        <v>0</v>
      </c>
      <c r="R102" s="458">
        <f>'ANALYSE - ERP =&gt; SOUS-SEGMENT'!$FA$134*'ANALYSE - ERP =&gt; SOUS-SEGMENT'!$IX$134</f>
        <v>0</v>
      </c>
      <c r="T102" s="430">
        <f>'ANALYSE - ERP =&gt; SOUS-SEGMENT'!$Q$134</f>
        <v>0</v>
      </c>
    </row>
    <row r="103" spans="1:20" ht="15" customHeight="1">
      <c r="A103" s="26">
        <v>100</v>
      </c>
      <c r="B103" s="26">
        <v>100</v>
      </c>
      <c r="C103" s="422">
        <f>'ANALYSE - ERP =&gt; SOUS-SEGMENT'!$A$136</f>
        <v>129</v>
      </c>
      <c r="D103" s="417" t="str">
        <f>'ANALYSE - ERP =&gt; SOUS-SEGMENT'!$B$136</f>
        <v>Sécurité &amp; Justice</v>
      </c>
      <c r="E103" s="417" t="str">
        <f>'ANALYSE - ERP =&gt; SOUS-SEGMENT'!$C$136</f>
        <v>Forces armées</v>
      </c>
      <c r="F103" s="417" t="str">
        <f>'ANALYSE - ERP =&gt; SOUS-SEGMENT'!$D$136</f>
        <v>Centres de recrutement et bureaux d’information</v>
      </c>
      <c r="H103" s="458">
        <f>'ANALYSE - ERP =&gt; SOUS-SEGMENT'!$BE$136*'ANALYSE - ERP =&gt; SOUS-SEGMENT'!$IO$136</f>
        <v>0</v>
      </c>
      <c r="I103" s="458">
        <f>'ANALYSE - ERP =&gt; SOUS-SEGMENT'!$BE$136*'ANALYSE - ERP =&gt; SOUS-SEGMENT'!$IP$136</f>
        <v>66.239999999999995</v>
      </c>
      <c r="J103" s="458">
        <f>'ANALYSE - ERP =&gt; SOUS-SEGMENT'!$BE$136*'ANALYSE - ERP =&gt; SOUS-SEGMENT'!$IQ$136</f>
        <v>110.08</v>
      </c>
      <c r="K103" s="458">
        <f>'ANALYSE - ERP =&gt; SOUS-SEGMENT'!$BE$136*'ANALYSE - ERP =&gt; SOUS-SEGMENT'!$IR$136</f>
        <v>23.34</v>
      </c>
      <c r="L103" s="458">
        <f>'ANALYSE - ERP =&gt; SOUS-SEGMENT'!$BE$136*'ANALYSE - ERP =&gt; SOUS-SEGMENT'!$IS$136</f>
        <v>0.33999999999999997</v>
      </c>
      <c r="N103" s="458">
        <f>'ANALYSE - ERP =&gt; SOUS-SEGMENT'!$FA$136*'ANALYSE - ERP =&gt; SOUS-SEGMENT'!$IT$136</f>
        <v>0</v>
      </c>
      <c r="O103" s="458">
        <f>'ANALYSE - ERP =&gt; SOUS-SEGMENT'!$FA$136*'ANALYSE - ERP =&gt; SOUS-SEGMENT'!$IU$136</f>
        <v>17.495365865939398</v>
      </c>
      <c r="P103" s="458">
        <f>'ANALYSE - ERP =&gt; SOUS-SEGMENT'!$FA$136*'ANALYSE - ERP =&gt; SOUS-SEGMENT'!$IV$136</f>
        <v>50.270017921465865</v>
      </c>
      <c r="Q103" s="458">
        <f>'ANALYSE - ERP =&gt; SOUS-SEGMENT'!$FA$136*'ANALYSE - ERP =&gt; SOUS-SEGMENT'!$IW$136</f>
        <v>20.913691196669095</v>
      </c>
      <c r="R103" s="458">
        <f>'ANALYSE - ERP =&gt; SOUS-SEGMENT'!$FA$136*'ANALYSE - ERP =&gt; SOUS-SEGMENT'!$IX$136</f>
        <v>1.0407499694610101</v>
      </c>
      <c r="T103" s="430">
        <f>'ANALYSE - ERP =&gt; SOUS-SEGMENT'!$Q$136</f>
        <v>1</v>
      </c>
    </row>
    <row r="104" spans="1:20" ht="15" customHeight="1">
      <c r="A104" s="26">
        <v>101</v>
      </c>
      <c r="B104" s="26">
        <v>101</v>
      </c>
      <c r="C104" s="422">
        <f>'ANALYSE - ERP =&gt; SOUS-SEGMENT'!$A$143</f>
        <v>136</v>
      </c>
      <c r="D104" s="417" t="str">
        <f>'ANALYSE - ERP =&gt; SOUS-SEGMENT'!$B$143</f>
        <v>Sécurité &amp; Justice</v>
      </c>
      <c r="E104" s="417" t="str">
        <f>'ANALYSE - ERP =&gt; SOUS-SEGMENT'!$C$143</f>
        <v>Univers carcéral</v>
      </c>
      <c r="F104" s="417" t="str">
        <f>'ANALYSE - ERP =&gt; SOUS-SEGMENT'!$D$143</f>
        <v>Centres de semi-liberté</v>
      </c>
      <c r="H104" s="458">
        <f>'ANALYSE - ERP =&gt; SOUS-SEGMENT'!$BE$143*'ANALYSE - ERP =&gt; SOUS-SEGMENT'!$IO$143</f>
        <v>9.6575999999999986</v>
      </c>
      <c r="I104" s="458">
        <f>'ANALYSE - ERP =&gt; SOUS-SEGMENT'!$BE$143*'ANALYSE - ERP =&gt; SOUS-SEGMENT'!$IP$143</f>
        <v>100.45439999999999</v>
      </c>
      <c r="J104" s="458">
        <f>'ANALYSE - ERP =&gt; SOUS-SEGMENT'!$BE$143*'ANALYSE - ERP =&gt; SOUS-SEGMENT'!$IQ$143</f>
        <v>77.433599999999998</v>
      </c>
      <c r="K104" s="458">
        <f>'ANALYSE - ERP =&gt; SOUS-SEGMENT'!$BE$143*'ANALYSE - ERP =&gt; SOUS-SEGMENT'!$IR$143</f>
        <v>4.4352</v>
      </c>
      <c r="L104" s="458">
        <f>'ANALYSE - ERP =&gt; SOUS-SEGMENT'!$BE$143*'ANALYSE - ERP =&gt; SOUS-SEGMENT'!$IS$143</f>
        <v>1.9200000000000002E-2</v>
      </c>
      <c r="N104" s="458">
        <f>'ANALYSE - ERP =&gt; SOUS-SEGMENT'!$FA$143*'ANALYSE - ERP =&gt; SOUS-SEGMENT'!$IT$143</f>
        <v>3.0791578439999996</v>
      </c>
      <c r="O104" s="458">
        <f>'ANALYSE - ERP =&gt; SOUS-SEGMENT'!$FA$143*'ANALYSE - ERP =&gt; SOUS-SEGMENT'!$IU$143</f>
        <v>54.39393372</v>
      </c>
      <c r="P104" s="458">
        <f>'ANALYSE - ERP =&gt; SOUS-SEGMENT'!$FA$143*'ANALYSE - ERP =&gt; SOUS-SEGMENT'!$IV$143</f>
        <v>71.200438427999998</v>
      </c>
      <c r="Q104" s="458">
        <f>'ANALYSE - ERP =&gt; SOUS-SEGMENT'!$FA$143*'ANALYSE - ERP =&gt; SOUS-SEGMENT'!$IW$143</f>
        <v>6.9179317199999986</v>
      </c>
      <c r="R104" s="458">
        <f>'ANALYSE - ERP =&gt; SOUS-SEGMENT'!$FA$143*'ANALYSE - ERP =&gt; SOUS-SEGMENT'!$IX$143</f>
        <v>5.4258287999999995E-2</v>
      </c>
      <c r="T104" s="430">
        <f>'ANALYSE - ERP =&gt; SOUS-SEGMENT'!$Q$143</f>
        <v>1</v>
      </c>
    </row>
    <row r="105" spans="1:20" ht="15" customHeight="1">
      <c r="A105" s="26">
        <v>102</v>
      </c>
      <c r="B105" s="26">
        <v>102</v>
      </c>
      <c r="C105" s="422">
        <f>'ANALYSE - ERP =&gt; SOUS-SEGMENT'!$A$133</f>
        <v>126</v>
      </c>
      <c r="D105" s="417" t="str">
        <f>'ANALYSE - ERP =&gt; SOUS-SEGMENT'!$B$133</f>
        <v>Sécurité &amp; Justice</v>
      </c>
      <c r="E105" s="417" t="str">
        <f>'ANALYSE - ERP =&gt; SOUS-SEGMENT'!$C$133</f>
        <v xml:space="preserve">Commissariats / postes de police </v>
      </c>
      <c r="F105" s="417" t="str">
        <f>'ANALYSE - ERP =&gt; SOUS-SEGMENT'!$D$133</f>
        <v>Postes de proximité et antennes avec accueil public</v>
      </c>
      <c r="H105" s="458">
        <f>'ANALYSE - ERP =&gt; SOUS-SEGMENT'!$BE$133*'ANALYSE - ERP =&gt; SOUS-SEGMENT'!$IO$133</f>
        <v>7.5129999999999999</v>
      </c>
      <c r="I105" s="458">
        <f>'ANALYSE - ERP =&gt; SOUS-SEGMENT'!$BE$133*'ANALYSE - ERP =&gt; SOUS-SEGMENT'!$IP$133</f>
        <v>62.875999999999998</v>
      </c>
      <c r="J105" s="458">
        <f>'ANALYSE - ERP =&gt; SOUS-SEGMENT'!$BE$133*'ANALYSE - ERP =&gt; SOUS-SEGMENT'!$IQ$133</f>
        <v>39.610999999999997</v>
      </c>
      <c r="K105" s="458">
        <f>'ANALYSE - ERP =&gt; SOUS-SEGMENT'!$BE$133*'ANALYSE - ERP =&gt; SOUS-SEGMENT'!$IR$133</f>
        <v>0</v>
      </c>
      <c r="L105" s="458">
        <f>'ANALYSE - ERP =&gt; SOUS-SEGMENT'!$BE$133*'ANALYSE - ERP =&gt; SOUS-SEGMENT'!$IS$133</f>
        <v>0</v>
      </c>
      <c r="N105" s="458">
        <f>'ANALYSE - ERP =&gt; SOUS-SEGMENT'!$FA$133*'ANALYSE - ERP =&gt; SOUS-SEGMENT'!$IT$133</f>
        <v>4.0926200429333326</v>
      </c>
      <c r="O105" s="458">
        <f>'ANALYSE - ERP =&gt; SOUS-SEGMENT'!$FA$133*'ANALYSE - ERP =&gt; SOUS-SEGMENT'!$IU$133</f>
        <v>28.476536160799998</v>
      </c>
      <c r="P105" s="458">
        <f>'ANALYSE - ERP =&gt; SOUS-SEGMENT'!$FA$133*'ANALYSE - ERP =&gt; SOUS-SEGMENT'!$IV$133</f>
        <v>28.37222650453333</v>
      </c>
      <c r="Q105" s="458">
        <f>'ANALYSE - ERP =&gt; SOUS-SEGMENT'!$FA$133*'ANALYSE - ERP =&gt; SOUS-SEGMENT'!$IW$133</f>
        <v>0.41723862506666665</v>
      </c>
      <c r="R105" s="458">
        <f>'ANALYSE - ERP =&gt; SOUS-SEGMENT'!$FA$133*'ANALYSE - ERP =&gt; SOUS-SEGMENT'!$IX$133</f>
        <v>0</v>
      </c>
      <c r="T105" s="430">
        <f>'ANALYSE - ERP =&gt; SOUS-SEGMENT'!$Q$133</f>
        <v>1</v>
      </c>
    </row>
    <row r="106" spans="1:20" s="45" customFormat="1" ht="15" customHeight="1">
      <c r="A106" s="406">
        <v>103</v>
      </c>
      <c r="B106" s="406">
        <v>103</v>
      </c>
      <c r="C106" s="448">
        <f>'ANALYSE - ERP =&gt; SOUS-SEGMENT'!$A$145</f>
        <v>138</v>
      </c>
      <c r="D106" s="423" t="str">
        <f>'ANALYSE - ERP =&gt; SOUS-SEGMENT'!$B$145</f>
        <v>Sécurité &amp; Justice</v>
      </c>
      <c r="E106" s="423" t="str">
        <f>'ANALYSE - ERP =&gt; SOUS-SEGMENT'!$C$145</f>
        <v>Univers carcéral</v>
      </c>
      <c r="F106" s="423" t="str">
        <f>'ANALYSE - ERP =&gt; SOUS-SEGMENT'!$D$145</f>
        <v>Centres pour peines aménagées
(absorbés par autres centres carcéraux)</v>
      </c>
      <c r="G106" s="685"/>
      <c r="H106" s="459">
        <f>'ANALYSE - ERP =&gt; SOUS-SEGMENT'!$BE$145*'ANALYSE - ERP =&gt; SOUS-SEGMENT'!$IO$145</f>
        <v>0</v>
      </c>
      <c r="I106" s="459">
        <f>'ANALYSE - ERP =&gt; SOUS-SEGMENT'!$BE$145*'ANALYSE - ERP =&gt; SOUS-SEGMENT'!$IP$145</f>
        <v>0</v>
      </c>
      <c r="J106" s="459">
        <f>'ANALYSE - ERP =&gt; SOUS-SEGMENT'!$BE$145*'ANALYSE - ERP =&gt; SOUS-SEGMENT'!$IQ$145</f>
        <v>0</v>
      </c>
      <c r="K106" s="459">
        <f>'ANALYSE - ERP =&gt; SOUS-SEGMENT'!$BE$145*'ANALYSE - ERP =&gt; SOUS-SEGMENT'!$IR$145</f>
        <v>0</v>
      </c>
      <c r="L106" s="459">
        <f>'ANALYSE - ERP =&gt; SOUS-SEGMENT'!$BE$145*'ANALYSE - ERP =&gt; SOUS-SEGMENT'!$IS$145</f>
        <v>0</v>
      </c>
      <c r="M106" s="685"/>
      <c r="N106" s="459">
        <f>'ANALYSE - ERP =&gt; SOUS-SEGMENT'!$FA$145*'ANALYSE - ERP =&gt; SOUS-SEGMENT'!$IT$145</f>
        <v>0</v>
      </c>
      <c r="O106" s="459">
        <f>'ANALYSE - ERP =&gt; SOUS-SEGMENT'!$FA$145*'ANALYSE - ERP =&gt; SOUS-SEGMENT'!$IU$145</f>
        <v>0</v>
      </c>
      <c r="P106" s="459">
        <f>'ANALYSE - ERP =&gt; SOUS-SEGMENT'!$FA$145*'ANALYSE - ERP =&gt; SOUS-SEGMENT'!$IV$145</f>
        <v>0</v>
      </c>
      <c r="Q106" s="459">
        <f>'ANALYSE - ERP =&gt; SOUS-SEGMENT'!$FA$145*'ANALYSE - ERP =&gt; SOUS-SEGMENT'!$IW$145</f>
        <v>0</v>
      </c>
      <c r="R106" s="459">
        <f>'ANALYSE - ERP =&gt; SOUS-SEGMENT'!$FA$145*'ANALYSE - ERP =&gt; SOUS-SEGMENT'!$IX$145</f>
        <v>0</v>
      </c>
      <c r="S106" s="685"/>
      <c r="T106" s="450">
        <f>'ANALYSE - ERP =&gt; SOUS-SEGMENT'!$Q$145</f>
        <v>0</v>
      </c>
    </row>
  </sheetData>
  <autoFilter ref="A2:T2" xr:uid="{00000000-0009-0000-0000-00001D000000}"/>
  <conditionalFormatting sqref="H4:L106">
    <cfRule type="colorScale" priority="2">
      <colorScale>
        <cfvo type="min"/>
        <cfvo type="formula" val="MEDIAN($H$4:$L$106)"/>
        <cfvo type="max"/>
        <color rgb="FFF8696B"/>
        <color theme="0"/>
        <color rgb="FF63BE7B"/>
      </colorScale>
    </cfRule>
  </conditionalFormatting>
  <conditionalFormatting sqref="N4:R106">
    <cfRule type="colorScale" priority="1">
      <colorScale>
        <cfvo type="min"/>
        <cfvo type="formula" val="MEDIAN($N$4:$R$106)"/>
        <cfvo type="max"/>
        <color rgb="FFF8696B"/>
        <color theme="0"/>
        <color rgb="FF63BE7B"/>
      </colorScale>
    </cfRule>
  </conditionalFormatting>
  <pageMargins left="3.937007874015748E-2" right="3.937007874015748E-2" top="7.874015748031496E-2" bottom="7.874015748031496E-2" header="0.11811023622047249" footer="0.11811023622047249"/>
  <pageSetup paperSize="8" scale="86" fitToHeight="2"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pageSetUpPr fitToPage="1"/>
  </sheetPr>
  <dimension ref="A1:BZ106"/>
  <sheetViews>
    <sheetView zoomScale="85" zoomScaleNormal="85" workbookViewId="0">
      <pane xSplit="6" ySplit="3" topLeftCell="G4" activePane="bottomRight" state="frozen"/>
      <selection pane="topRight" activeCell="G1" sqref="G1"/>
      <selection pane="bottomLeft" activeCell="A4" sqref="A4"/>
      <selection pane="bottomRight" activeCell="M3" sqref="M3"/>
    </sheetView>
  </sheetViews>
  <sheetFormatPr baseColWidth="10" defaultColWidth="9.140625" defaultRowHeight="15"/>
  <cols>
    <col min="1" max="2" width="9" style="934" customWidth="1"/>
    <col min="3" max="3" width="6" style="934" customWidth="1"/>
    <col min="4" max="4" width="30.5703125" style="934" customWidth="1"/>
    <col min="5" max="5" width="27.7109375" style="43" customWidth="1"/>
    <col min="6" max="6" width="42" style="43" customWidth="1"/>
    <col min="7" max="7" width="1.7109375" style="933" customWidth="1"/>
    <col min="8" max="8" width="8.7109375" style="43" customWidth="1"/>
    <col min="9" max="12" width="8.7109375" style="934" customWidth="1"/>
    <col min="13" max="13" width="1.7109375" style="933" customWidth="1"/>
    <col min="14" max="18" width="8.7109375" style="934" customWidth="1"/>
    <col min="19" max="19" width="1.7109375" style="933" customWidth="1"/>
    <col min="20" max="20" width="12" style="934" customWidth="1"/>
    <col min="21" max="78" width="9.140625" style="933" customWidth="1"/>
  </cols>
  <sheetData>
    <row r="1" spans="1:78" s="933" customFormat="1" ht="18.75" customHeight="1">
      <c r="C1" s="477"/>
      <c r="D1" s="479"/>
      <c r="E1" s="478" t="s">
        <v>7975</v>
      </c>
      <c r="F1" s="479"/>
      <c r="H1" s="474"/>
      <c r="I1" s="474"/>
      <c r="J1" s="475" t="s">
        <v>7968</v>
      </c>
      <c r="K1" s="474"/>
      <c r="L1" s="474"/>
      <c r="N1" s="452"/>
      <c r="O1" s="452"/>
      <c r="P1" s="476" t="s">
        <v>7969</v>
      </c>
      <c r="Q1" s="452"/>
      <c r="R1" s="452"/>
      <c r="T1" s="452"/>
    </row>
    <row r="2" spans="1:78"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78">
      <c r="A3" s="405" t="s">
        <v>2535</v>
      </c>
      <c r="B3" s="405" t="s">
        <v>2535</v>
      </c>
      <c r="C3" s="405" t="s">
        <v>2090</v>
      </c>
      <c r="D3" s="405" t="s">
        <v>2086</v>
      </c>
      <c r="E3" s="405" t="s">
        <v>6728</v>
      </c>
      <c r="F3" s="405" t="s">
        <v>6729</v>
      </c>
      <c r="H3" s="793">
        <f>'ANALYSE - ERP =&gt; SOUS-SEGMENT'!IY6</f>
        <v>7.1999999999999995E-2</v>
      </c>
      <c r="I3" s="793">
        <f>'ANALYSE - ERP =&gt; SOUS-SEGMENT'!IZ6</f>
        <v>0.35189999999999999</v>
      </c>
      <c r="J3" s="793">
        <f>'ANALYSE - ERP =&gt; SOUS-SEGMENT'!JA6</f>
        <v>0.38400000000000001</v>
      </c>
      <c r="K3" s="793">
        <f>'ANALYSE - ERP =&gt; SOUS-SEGMENT'!JB6</f>
        <v>0.16789999999999999</v>
      </c>
      <c r="L3" s="793">
        <f>'ANALYSE - ERP =&gt; SOUS-SEGMENT'!JC6</f>
        <v>2.4199999999999999E-2</v>
      </c>
      <c r="N3" s="793">
        <f>'ANALYSE - ERP =&gt; SOUS-SEGMENT'!JD6</f>
        <v>3.5499999999999997E-2</v>
      </c>
      <c r="O3" s="793">
        <f>'ANALYSE - ERP =&gt; SOUS-SEGMENT'!JE6</f>
        <v>0.2767</v>
      </c>
      <c r="P3" s="793">
        <f>'ANALYSE - ERP =&gt; SOUS-SEGMENT'!JF6</f>
        <v>0.40949999999999998</v>
      </c>
      <c r="Q3" s="793">
        <f>'ANALYSE - ERP =&gt; SOUS-SEGMENT'!JG6</f>
        <v>0.23169999999999999</v>
      </c>
      <c r="R3" s="793">
        <f>'ANALYSE - ERP =&gt; SOUS-SEGMENT'!JH6</f>
        <v>4.6600000000000003E-2</v>
      </c>
      <c r="T3" s="428">
        <f>SUM('ANALYSE - ERP =&gt; SOUS-SEGMENT'!$Q$8:$Q$150)</f>
        <v>137</v>
      </c>
    </row>
    <row r="4" spans="1:78" ht="15" customHeight="1">
      <c r="A4" s="26">
        <v>1</v>
      </c>
      <c r="B4" s="26">
        <v>1</v>
      </c>
      <c r="C4" s="422">
        <f>'ANALYSE - ERP =&gt; SOUS-SEGMENT'!$A$75</f>
        <v>68</v>
      </c>
      <c r="D4" s="412" t="str">
        <f>'ANALYSE - ERP =&gt; SOUS-SEGMENT'!$B$75</f>
        <v>Commerce, Restauration &amp; Loisirs</v>
      </c>
      <c r="E4" s="412" t="str">
        <f>'ANALYSE - ERP =&gt; SOUS-SEGMENT'!$C$75</f>
        <v>Restauration / boissons</v>
      </c>
      <c r="F4" s="412" t="str">
        <f>'ANALYSE - ERP =&gt; SOUS-SEGMENT'!$D$75</f>
        <v>Restaurants
(Hors établissements altitude, flottant, armée)</v>
      </c>
      <c r="H4" s="787">
        <f>'ANALYSE - ERP =&gt; SOUS-SEGMENT'!$IY$75</f>
        <v>0</v>
      </c>
      <c r="I4" s="787">
        <f>'ANALYSE - ERP =&gt; SOUS-SEGMENT'!$IZ$75</f>
        <v>0</v>
      </c>
      <c r="J4" s="787">
        <f>'ANALYSE - ERP =&gt; SOUS-SEGMENT'!$JA$75</f>
        <v>0</v>
      </c>
      <c r="K4" s="787">
        <f>'ANALYSE - ERP =&gt; SOUS-SEGMENT'!$JB$75</f>
        <v>0</v>
      </c>
      <c r="L4" s="787">
        <f>'ANALYSE - ERP =&gt; SOUS-SEGMENT'!$JC$75</f>
        <v>0</v>
      </c>
      <c r="N4" s="787">
        <f>'ANALYSE - ERP =&gt; SOUS-SEGMENT'!$JD$75</f>
        <v>0</v>
      </c>
      <c r="O4" s="787">
        <f>'ANALYSE - ERP =&gt; SOUS-SEGMENT'!$JE$75</f>
        <v>0</v>
      </c>
      <c r="P4" s="787">
        <f>'ANALYSE - ERP =&gt; SOUS-SEGMENT'!$JF$75</f>
        <v>0</v>
      </c>
      <c r="Q4" s="787">
        <f>'ANALYSE - ERP =&gt; SOUS-SEGMENT'!$JG$75</f>
        <v>0</v>
      </c>
      <c r="R4" s="787">
        <f>'ANALYSE - ERP =&gt; SOUS-SEGMENT'!$JH$75</f>
        <v>0</v>
      </c>
      <c r="T4" s="430">
        <f>'ANALYSE - ERP =&gt; SOUS-SEGMENT'!$Q$75</f>
        <v>1</v>
      </c>
    </row>
    <row r="5" spans="1:78" ht="15" customHeight="1">
      <c r="A5" s="26">
        <v>2</v>
      </c>
      <c r="B5" s="26">
        <v>2</v>
      </c>
      <c r="C5" s="422">
        <f>'ANALYSE - ERP =&gt; SOUS-SEGMENT'!$A$21</f>
        <v>14</v>
      </c>
      <c r="D5" s="409" t="str">
        <f>'ANALYSE - ERP =&gt; SOUS-SEGMENT'!$B$21</f>
        <v>Sports &amp; Loisirs</v>
      </c>
      <c r="E5" s="409" t="str">
        <f>'ANALYSE - ERP =&gt; SOUS-SEGMENT'!$C$21</f>
        <v>Sport couvert / Thermalisme / Bien-être</v>
      </c>
      <c r="F5" s="409" t="str">
        <f>'ANALYSE - ERP =&gt; SOUS-SEGMENT'!$D$21</f>
        <v>Gymnases / salles multisports
(hors scolaire, mais gymnase municipaux inclus)</v>
      </c>
      <c r="H5" s="787">
        <f>'ANALYSE - ERP =&gt; SOUS-SEGMENT'!$IY$21</f>
        <v>0.21820000000000001</v>
      </c>
      <c r="I5" s="787">
        <f>'ANALYSE - ERP =&gt; SOUS-SEGMENT'!$IZ$21</f>
        <v>0.62680000000000002</v>
      </c>
      <c r="J5" s="787">
        <f>'ANALYSE - ERP =&gt; SOUS-SEGMENT'!$JA$21</f>
        <v>0.155</v>
      </c>
      <c r="K5" s="787">
        <f>'ANALYSE - ERP =&gt; SOUS-SEGMENT'!$JB$21</f>
        <v>0</v>
      </c>
      <c r="L5" s="787">
        <f>'ANALYSE - ERP =&gt; SOUS-SEGMENT'!$JC$21</f>
        <v>0</v>
      </c>
      <c r="N5" s="787">
        <f>'ANALYSE - ERP =&gt; SOUS-SEGMENT'!$JD$21</f>
        <v>0.11409999999999999</v>
      </c>
      <c r="O5" s="787">
        <f>'ANALYSE - ERP =&gt; SOUS-SEGMENT'!$JE$21</f>
        <v>0.61109999999999998</v>
      </c>
      <c r="P5" s="787">
        <f>'ANALYSE - ERP =&gt; SOUS-SEGMENT'!$JF$21</f>
        <v>0.27479999999999999</v>
      </c>
      <c r="Q5" s="787">
        <f>'ANALYSE - ERP =&gt; SOUS-SEGMENT'!$JG$21</f>
        <v>0</v>
      </c>
      <c r="R5" s="787">
        <f>'ANALYSE - ERP =&gt; SOUS-SEGMENT'!$JH$21</f>
        <v>0</v>
      </c>
      <c r="T5" s="430">
        <f>'ANALYSE - ERP =&gt; SOUS-SEGMENT'!$Q$21</f>
        <v>1</v>
      </c>
    </row>
    <row r="6" spans="1:78" ht="15" customHeight="1">
      <c r="A6" s="26">
        <v>3</v>
      </c>
      <c r="B6" s="26">
        <v>3</v>
      </c>
      <c r="C6" s="422">
        <f>'ANALYSE - ERP =&gt; SOUS-SEGMENT'!$A$58</f>
        <v>51</v>
      </c>
      <c r="D6" s="412" t="str">
        <f>'ANALYSE - ERP =&gt; SOUS-SEGMENT'!$B$58</f>
        <v>Santé &amp; Médico-social</v>
      </c>
      <c r="E6" s="412" t="str">
        <f>'ANALYSE - ERP =&gt; SOUS-SEGMENT'!$C$58</f>
        <v>Médico-social</v>
      </c>
      <c r="F6" s="412" t="str">
        <f>'ANALYSE - ERP =&gt; SOUS-SEGMENT'!$D$58</f>
        <v>EHPAD</v>
      </c>
      <c r="H6" s="787">
        <f>'ANALYSE - ERP =&gt; SOUS-SEGMENT'!$IY$58</f>
        <v>0</v>
      </c>
      <c r="I6" s="787">
        <f>'ANALYSE - ERP =&gt; SOUS-SEGMENT'!$IZ$58</f>
        <v>6.2700000000000006E-2</v>
      </c>
      <c r="J6" s="787">
        <f>'ANALYSE - ERP =&gt; SOUS-SEGMENT'!$JA$58</f>
        <v>0.4985</v>
      </c>
      <c r="K6" s="787">
        <f>'ANALYSE - ERP =&gt; SOUS-SEGMENT'!$JB$58</f>
        <v>0.4219</v>
      </c>
      <c r="L6" s="787">
        <f>'ANALYSE - ERP =&gt; SOUS-SEGMENT'!$JC$58</f>
        <v>1.6899999999999998E-2</v>
      </c>
      <c r="N6" s="787">
        <f>'ANALYSE - ERP =&gt; SOUS-SEGMENT'!$JD$58</f>
        <v>0</v>
      </c>
      <c r="O6" s="787">
        <f>'ANALYSE - ERP =&gt; SOUS-SEGMENT'!$JE$58</f>
        <v>2.4299999999999999E-2</v>
      </c>
      <c r="P6" s="787">
        <f>'ANALYSE - ERP =&gt; SOUS-SEGMENT'!$JF$58</f>
        <v>0.40860000000000002</v>
      </c>
      <c r="Q6" s="787">
        <f>'ANALYSE - ERP =&gt; SOUS-SEGMENT'!$JG$58</f>
        <v>0.51039999999999996</v>
      </c>
      <c r="R6" s="787">
        <f>'ANALYSE - ERP =&gt; SOUS-SEGMENT'!$JH$58</f>
        <v>5.67E-2</v>
      </c>
      <c r="T6" s="430">
        <f>'ANALYSE - ERP =&gt; SOUS-SEGMENT'!$Q$58</f>
        <v>1</v>
      </c>
    </row>
    <row r="7" spans="1:78" ht="15" customHeight="1">
      <c r="A7" s="26">
        <v>4</v>
      </c>
      <c r="B7" s="26">
        <v>4</v>
      </c>
      <c r="C7" s="422">
        <f>'ANALYSE - ERP =&gt; SOUS-SEGMENT'!$A$24</f>
        <v>17</v>
      </c>
      <c r="D7" s="413" t="str">
        <f>'ANALYSE - ERP =&gt; SOUS-SEGMENT'!$B$24</f>
        <v>Sports &amp; Loisirs</v>
      </c>
      <c r="E7" s="413" t="str">
        <f>'ANALYSE - ERP =&gt; SOUS-SEGMENT'!$C$24</f>
        <v>Sport couvert / Thermalisme / Bien-être</v>
      </c>
      <c r="F7" s="413" t="str">
        <f>'ANALYSE - ERP =&gt; SOUS-SEGMENT'!$D$24</f>
        <v>Piscines couvertes</v>
      </c>
      <c r="H7" s="787">
        <f>'ANALYSE - ERP =&gt; SOUS-SEGMENT'!$IY$24</f>
        <v>0.18010000000000001</v>
      </c>
      <c r="I7" s="787">
        <f>'ANALYSE - ERP =&gt; SOUS-SEGMENT'!$IZ$24</f>
        <v>0.63070000000000004</v>
      </c>
      <c r="J7" s="787">
        <f>'ANALYSE - ERP =&gt; SOUS-SEGMENT'!$JA$24</f>
        <v>0.18920000000000001</v>
      </c>
      <c r="K7" s="787">
        <f>'ANALYSE - ERP =&gt; SOUS-SEGMENT'!$JB$24</f>
        <v>0</v>
      </c>
      <c r="L7" s="787">
        <f>'ANALYSE - ERP =&gt; SOUS-SEGMENT'!$JC$24</f>
        <v>0</v>
      </c>
      <c r="N7" s="787">
        <f>'ANALYSE - ERP =&gt; SOUS-SEGMENT'!$JD$24</f>
        <v>8.4199999999999997E-2</v>
      </c>
      <c r="O7" s="787">
        <f>'ANALYSE - ERP =&gt; SOUS-SEGMENT'!$JE$24</f>
        <v>0.58389999999999997</v>
      </c>
      <c r="P7" s="787">
        <f>'ANALYSE - ERP =&gt; SOUS-SEGMENT'!$JF$24</f>
        <v>0.33189999999999997</v>
      </c>
      <c r="Q7" s="787">
        <f>'ANALYSE - ERP =&gt; SOUS-SEGMENT'!$JG$24</f>
        <v>0</v>
      </c>
      <c r="R7" s="787">
        <f>'ANALYSE - ERP =&gt; SOUS-SEGMENT'!$JH$24</f>
        <v>0</v>
      </c>
      <c r="T7" s="430">
        <f>'ANALYSE - ERP =&gt; SOUS-SEGMENT'!$Q$24</f>
        <v>1</v>
      </c>
    </row>
    <row r="8" spans="1:78" ht="15" customHeight="1">
      <c r="A8" s="26">
        <v>5</v>
      </c>
      <c r="B8" s="26">
        <v>5</v>
      </c>
      <c r="C8" s="422">
        <f>'ANALYSE - ERP =&gt; SOUS-SEGMENT'!$A$94</f>
        <v>87</v>
      </c>
      <c r="D8" s="412" t="str">
        <f>'ANALYSE - ERP =&gt; SOUS-SEGMENT'!$B$94</f>
        <v>Hébergement Touristique</v>
      </c>
      <c r="E8" s="412" t="str">
        <f>'ANALYSE - ERP =&gt; SOUS-SEGMENT'!$C$94</f>
        <v>Tourisme de plein air</v>
      </c>
      <c r="F8" s="412" t="str">
        <f>'ANALYSE - ERP =&gt; SOUS-SEGMENT'!$D$94</f>
        <v>Campings</v>
      </c>
      <c r="H8" s="787">
        <f>'ANALYSE - ERP =&gt; SOUS-SEGMENT'!$IY$94</f>
        <v>0.11310000000000001</v>
      </c>
      <c r="I8" s="787">
        <f>'ANALYSE - ERP =&gt; SOUS-SEGMENT'!$IZ$94</f>
        <v>0.53359999999999996</v>
      </c>
      <c r="J8" s="787">
        <f>'ANALYSE - ERP =&gt; SOUS-SEGMENT'!$JA$94</f>
        <v>0.32700000000000001</v>
      </c>
      <c r="K8" s="787">
        <f>'ANALYSE - ERP =&gt; SOUS-SEGMENT'!$JB$94</f>
        <v>2.5999999999999999E-2</v>
      </c>
      <c r="L8" s="787">
        <f>'ANALYSE - ERP =&gt; SOUS-SEGMENT'!$JC$94</f>
        <v>2.9999999999999997E-4</v>
      </c>
      <c r="N8" s="787">
        <f>'ANALYSE - ERP =&gt; SOUS-SEGMENT'!$JD$94</f>
        <v>4.7600000000000003E-2</v>
      </c>
      <c r="O8" s="787">
        <f>'ANALYSE - ERP =&gt; SOUS-SEGMENT'!$JE$94</f>
        <v>0.41420000000000001</v>
      </c>
      <c r="P8" s="787">
        <f>'ANALYSE - ERP =&gt; SOUS-SEGMENT'!$JF$94</f>
        <v>0.46820000000000001</v>
      </c>
      <c r="Q8" s="787">
        <f>'ANALYSE - ERP =&gt; SOUS-SEGMENT'!$JG$94</f>
        <v>6.8699999999999997E-2</v>
      </c>
      <c r="R8" s="787">
        <f>'ANALYSE - ERP =&gt; SOUS-SEGMENT'!$JH$94</f>
        <v>1.2999999999999999E-3</v>
      </c>
      <c r="T8" s="430">
        <f>'ANALYSE - ERP =&gt; SOUS-SEGMENT'!$Q$94</f>
        <v>1</v>
      </c>
    </row>
    <row r="9" spans="1:78" ht="15" customHeight="1">
      <c r="A9" s="26">
        <v>6</v>
      </c>
      <c r="B9" s="26">
        <v>6</v>
      </c>
      <c r="C9" s="422">
        <f>'ANALYSE - ERP =&gt; SOUS-SEGMENT'!$A$22</f>
        <v>15</v>
      </c>
      <c r="D9" s="409" t="str">
        <f>'ANALYSE - ERP =&gt; SOUS-SEGMENT'!$B$22</f>
        <v>Sports &amp; Loisirs</v>
      </c>
      <c r="E9" s="409" t="str">
        <f>'ANALYSE - ERP =&gt; SOUS-SEGMENT'!$C$22</f>
        <v>Sport couvert / Thermalisme / Bien-être</v>
      </c>
      <c r="F9" s="409" t="str">
        <f>'ANALYSE - ERP =&gt; SOUS-SEGMENT'!$D$22</f>
        <v>Salles de fitness / dojos</v>
      </c>
      <c r="H9" s="787">
        <f>'ANALYSE - ERP =&gt; SOUS-SEGMENT'!$IY$22</f>
        <v>0</v>
      </c>
      <c r="I9" s="787">
        <f>'ANALYSE - ERP =&gt; SOUS-SEGMENT'!$IZ$22</f>
        <v>0.22739999999999999</v>
      </c>
      <c r="J9" s="787">
        <f>'ANALYSE - ERP =&gt; SOUS-SEGMENT'!$JA$22</f>
        <v>0.53439999999999999</v>
      </c>
      <c r="K9" s="787">
        <f>'ANALYSE - ERP =&gt; SOUS-SEGMENT'!$JB$22</f>
        <v>0.1986</v>
      </c>
      <c r="L9" s="787">
        <f>'ANALYSE - ERP =&gt; SOUS-SEGMENT'!$JC$22</f>
        <v>3.9600000000000003E-2</v>
      </c>
      <c r="N9" s="787">
        <f>'ANALYSE - ERP =&gt; SOUS-SEGMENT'!$JD$22</f>
        <v>0</v>
      </c>
      <c r="O9" s="787">
        <f>'ANALYSE - ERP =&gt; SOUS-SEGMENT'!$JE$22</f>
        <v>9.8299999999999998E-2</v>
      </c>
      <c r="P9" s="787">
        <f>'ANALYSE - ERP =&gt; SOUS-SEGMENT'!$JF$22</f>
        <v>0.50849999999999995</v>
      </c>
      <c r="Q9" s="787">
        <f>'ANALYSE - ERP =&gt; SOUS-SEGMENT'!$JG$22</f>
        <v>0.32979999999999998</v>
      </c>
      <c r="R9" s="787">
        <f>'ANALYSE - ERP =&gt; SOUS-SEGMENT'!$JH$22</f>
        <v>6.3399999999999998E-2</v>
      </c>
      <c r="T9" s="430">
        <f>'ANALYSE - ERP =&gt; SOUS-SEGMENT'!$Q$22</f>
        <v>1</v>
      </c>
    </row>
    <row r="10" spans="1:78" ht="15" customHeight="1">
      <c r="A10" s="26">
        <v>7</v>
      </c>
      <c r="B10" s="26">
        <v>7</v>
      </c>
      <c r="C10" s="422">
        <f>'ANALYSE - ERP =&gt; SOUS-SEGMENT'!$A$27</f>
        <v>20</v>
      </c>
      <c r="D10" s="409" t="str">
        <f>'ANALYSE - ERP =&gt; SOUS-SEGMENT'!$B$27</f>
        <v>Sports &amp; Loisirs</v>
      </c>
      <c r="E10" s="409" t="str">
        <f>'ANALYSE - ERP =&gt; SOUS-SEGMENT'!$C$27</f>
        <v>Sport de plein air</v>
      </c>
      <c r="F10" s="409" t="str">
        <f>'ANALYSE - ERP =&gt; SOUS-SEGMENT'!$D$27</f>
        <v>Terrains de sport
(Hors scolaire, sans tribune)</v>
      </c>
      <c r="H10" s="787">
        <f>'ANALYSE - ERP =&gt; SOUS-SEGMENT'!$IY$27</f>
        <v>0.16259999999999999</v>
      </c>
      <c r="I10" s="787">
        <f>'ANALYSE - ERP =&gt; SOUS-SEGMENT'!$IZ$27</f>
        <v>0.57909999999999995</v>
      </c>
      <c r="J10" s="787">
        <f>'ANALYSE - ERP =&gt; SOUS-SEGMENT'!$JA$27</f>
        <v>0.2419</v>
      </c>
      <c r="K10" s="787">
        <f>'ANALYSE - ERP =&gt; SOUS-SEGMENT'!$JB$27</f>
        <v>1.6400000000000001E-2</v>
      </c>
      <c r="L10" s="787">
        <f>'ANALYSE - ERP =&gt; SOUS-SEGMENT'!$JC$27</f>
        <v>0</v>
      </c>
      <c r="N10" s="787">
        <f>'ANALYSE - ERP =&gt; SOUS-SEGMENT'!$JD$27</f>
        <v>0.1449</v>
      </c>
      <c r="O10" s="787">
        <f>'ANALYSE - ERP =&gt; SOUS-SEGMENT'!$JE$27</f>
        <v>0.55740000000000001</v>
      </c>
      <c r="P10" s="787">
        <f>'ANALYSE - ERP =&gt; SOUS-SEGMENT'!$JF$27</f>
        <v>0.2596</v>
      </c>
      <c r="Q10" s="787">
        <f>'ANALYSE - ERP =&gt; SOUS-SEGMENT'!$JG$27</f>
        <v>3.4099999999999998E-2</v>
      </c>
      <c r="R10" s="787">
        <f>'ANALYSE - ERP =&gt; SOUS-SEGMENT'!$JH$27</f>
        <v>4.0000000000000001E-3</v>
      </c>
      <c r="T10" s="430">
        <f>'ANALYSE - ERP =&gt; SOUS-SEGMENT'!$Q$27</f>
        <v>1</v>
      </c>
    </row>
    <row r="11" spans="1:78" s="45" customFormat="1" ht="15" customHeight="1">
      <c r="A11" s="26">
        <v>8</v>
      </c>
      <c r="B11" s="26">
        <v>8</v>
      </c>
      <c r="C11" s="422">
        <f>'ANALYSE - ERP =&gt; SOUS-SEGMENT'!$A$56</f>
        <v>49</v>
      </c>
      <c r="D11" s="409" t="str">
        <f>'ANALYSE - ERP =&gt; SOUS-SEGMENT'!$B$56</f>
        <v>Santé &amp; Médico-social</v>
      </c>
      <c r="E11" s="409" t="str">
        <f>'ANALYSE - ERP =&gt; SOUS-SEGMENT'!$C$56</f>
        <v>Médico-social</v>
      </c>
      <c r="F11" s="409" t="str">
        <f>'ANALYSE - ERP =&gt; SOUS-SEGMENT'!$D$56</f>
        <v>Foyers pour personnes handicapées</v>
      </c>
      <c r="G11" s="685"/>
      <c r="H11" s="787">
        <f>'ANALYSE - ERP =&gt; SOUS-SEGMENT'!$IY$56</f>
        <v>0</v>
      </c>
      <c r="I11" s="787">
        <f>'ANALYSE - ERP =&gt; SOUS-SEGMENT'!$IZ$56</f>
        <v>0.27050000000000002</v>
      </c>
      <c r="J11" s="787">
        <f>'ANALYSE - ERP =&gt; SOUS-SEGMENT'!$JA$56</f>
        <v>0.56130000000000002</v>
      </c>
      <c r="K11" s="787">
        <f>'ANALYSE - ERP =&gt; SOUS-SEGMENT'!$JB$56</f>
        <v>0.16819999999999999</v>
      </c>
      <c r="L11" s="787">
        <f>'ANALYSE - ERP =&gt; SOUS-SEGMENT'!$JC$56</f>
        <v>0</v>
      </c>
      <c r="M11" s="685"/>
      <c r="N11" s="787">
        <f>'ANALYSE - ERP =&gt; SOUS-SEGMENT'!$JD$56</f>
        <v>0</v>
      </c>
      <c r="O11" s="787">
        <f>'ANALYSE - ERP =&gt; SOUS-SEGMENT'!$JE$56</f>
        <v>0.12659999999999999</v>
      </c>
      <c r="P11" s="787">
        <f>'ANALYSE - ERP =&gt; SOUS-SEGMENT'!$JF$56</f>
        <v>0.56120000000000003</v>
      </c>
      <c r="Q11" s="787">
        <f>'ANALYSE - ERP =&gt; SOUS-SEGMENT'!$JG$56</f>
        <v>0.31219999999999998</v>
      </c>
      <c r="R11" s="787">
        <f>'ANALYSE - ERP =&gt; SOUS-SEGMENT'!$JH$56</f>
        <v>0</v>
      </c>
      <c r="S11" s="685"/>
      <c r="T11" s="430">
        <f>'ANALYSE - ERP =&gt; SOUS-SEGMENT'!$Q$56</f>
        <v>1</v>
      </c>
      <c r="U11" s="685"/>
      <c r="V11" s="685"/>
      <c r="W11" s="685"/>
      <c r="X11" s="685"/>
      <c r="Y11" s="685"/>
      <c r="Z11" s="685"/>
      <c r="AA11" s="685"/>
      <c r="AB11" s="685"/>
      <c r="AC11" s="685"/>
      <c r="AD11" s="685"/>
      <c r="AE11" s="685"/>
      <c r="AF11" s="685"/>
      <c r="AG11" s="685"/>
      <c r="AH11" s="685"/>
      <c r="AI11" s="685"/>
      <c r="AJ11" s="685"/>
      <c r="AK11" s="685"/>
      <c r="AL11" s="685"/>
      <c r="AM11" s="685"/>
      <c r="AN11" s="685"/>
      <c r="AO11" s="685"/>
      <c r="AP11" s="685"/>
      <c r="AQ11" s="685"/>
      <c r="AR11" s="685"/>
      <c r="AS11" s="685"/>
      <c r="AT11" s="685"/>
      <c r="AU11" s="685"/>
      <c r="AV11" s="685"/>
      <c r="AW11" s="685"/>
      <c r="AX11" s="685"/>
      <c r="AY11" s="685"/>
      <c r="AZ11" s="685"/>
      <c r="BA11" s="685"/>
      <c r="BB11" s="685"/>
      <c r="BC11" s="685"/>
      <c r="BD11" s="685"/>
      <c r="BE11" s="685"/>
      <c r="BF11" s="685"/>
      <c r="BG11" s="685"/>
      <c r="BH11" s="685"/>
      <c r="BI11" s="685"/>
      <c r="BJ11" s="685"/>
      <c r="BK11" s="685"/>
      <c r="BL11" s="685"/>
      <c r="BM11" s="685"/>
      <c r="BN11" s="685"/>
      <c r="BO11" s="685"/>
      <c r="BP11" s="685"/>
      <c r="BQ11" s="685"/>
      <c r="BR11" s="685"/>
      <c r="BS11" s="685"/>
      <c r="BT11" s="685"/>
      <c r="BU11" s="685"/>
      <c r="BV11" s="685"/>
      <c r="BW11" s="685"/>
      <c r="BX11" s="685"/>
      <c r="BY11" s="685"/>
      <c r="BZ11" s="685"/>
    </row>
    <row r="12" spans="1:78" ht="15" customHeight="1">
      <c r="A12" s="26">
        <v>9</v>
      </c>
      <c r="B12" s="26">
        <v>9</v>
      </c>
      <c r="C12" s="422">
        <f>'ANALYSE - ERP =&gt; SOUS-SEGMENT'!$A$29</f>
        <v>22</v>
      </c>
      <c r="D12" s="413" t="str">
        <f>'ANALYSE - ERP =&gt; SOUS-SEGMENT'!$B$29</f>
        <v>Sports &amp; Loisirs</v>
      </c>
      <c r="E12" s="413" t="str">
        <f>'ANALYSE - ERP =&gt; SOUS-SEGMENT'!$C$29</f>
        <v>Sport de plein air</v>
      </c>
      <c r="F12" s="413" t="str">
        <f>'ANALYSE - ERP =&gt; SOUS-SEGMENT'!$D$29</f>
        <v xml:space="preserve">Grands stades avec tribunes
(Type football/rugby) </v>
      </c>
      <c r="H12" s="787">
        <f>'ANALYSE - ERP =&gt; SOUS-SEGMENT'!$IY$29</f>
        <v>4.8300000000000003E-2</v>
      </c>
      <c r="I12" s="787">
        <f>'ANALYSE - ERP =&gt; SOUS-SEGMENT'!$IZ$29</f>
        <v>0.51919999999999999</v>
      </c>
      <c r="J12" s="787">
        <f>'ANALYSE - ERP =&gt; SOUS-SEGMENT'!$JA$29</f>
        <v>0.40250000000000002</v>
      </c>
      <c r="K12" s="787">
        <f>'ANALYSE - ERP =&gt; SOUS-SEGMENT'!$JB$29</f>
        <v>0.03</v>
      </c>
      <c r="L12" s="787">
        <f>'ANALYSE - ERP =&gt; SOUS-SEGMENT'!$JC$29</f>
        <v>0</v>
      </c>
      <c r="N12" s="787">
        <f>'ANALYSE - ERP =&gt; SOUS-SEGMENT'!$JD$29</f>
        <v>1.6400000000000001E-2</v>
      </c>
      <c r="O12" s="787">
        <f>'ANALYSE - ERP =&gt; SOUS-SEGMENT'!$JE$29</f>
        <v>0.3614</v>
      </c>
      <c r="P12" s="787">
        <f>'ANALYSE - ERP =&gt; SOUS-SEGMENT'!$JF$29</f>
        <v>0.55859999999999999</v>
      </c>
      <c r="Q12" s="787">
        <f>'ANALYSE - ERP =&gt; SOUS-SEGMENT'!$JG$29</f>
        <v>6.3600000000000004E-2</v>
      </c>
      <c r="R12" s="787">
        <f>'ANALYSE - ERP =&gt; SOUS-SEGMENT'!$JH$29</f>
        <v>0</v>
      </c>
      <c r="T12" s="430">
        <f>'ANALYSE - ERP =&gt; SOUS-SEGMENT'!$Q$29</f>
        <v>1</v>
      </c>
    </row>
    <row r="13" spans="1:78" s="45" customFormat="1" ht="15" customHeight="1">
      <c r="A13" s="406">
        <v>10</v>
      </c>
      <c r="B13" s="406">
        <v>10</v>
      </c>
      <c r="C13" s="448">
        <f>'ANALYSE - ERP =&gt; SOUS-SEGMENT'!$A$44</f>
        <v>37</v>
      </c>
      <c r="D13" s="449" t="str">
        <f>'ANALYSE - ERP =&gt; SOUS-SEGMENT'!$B$44</f>
        <v>Santé &amp; Médico-social</v>
      </c>
      <c r="E13" s="449" t="str">
        <f>'ANALYSE - ERP =&gt; SOUS-SEGMENT'!$C$44</f>
        <v>Santé hospitalière</v>
      </c>
      <c r="F13" s="449" t="str">
        <f>'ANALYSE - ERP =&gt; SOUS-SEGMENT'!$D$44</f>
        <v>Hôpitaux publics 
(Hors CHU, Universitaire, Militaire, Carcéral)</v>
      </c>
      <c r="G13" s="685"/>
      <c r="H13" s="788">
        <f>'ANALYSE - ERP =&gt; SOUS-SEGMENT'!$IY$44</f>
        <v>0</v>
      </c>
      <c r="I13" s="788">
        <f>'ANALYSE - ERP =&gt; SOUS-SEGMENT'!$IZ$44</f>
        <v>0.29270000000000002</v>
      </c>
      <c r="J13" s="788">
        <f>'ANALYSE - ERP =&gt; SOUS-SEGMENT'!$JA$44</f>
        <v>0.58760000000000001</v>
      </c>
      <c r="K13" s="788">
        <f>'ANALYSE - ERP =&gt; SOUS-SEGMENT'!$JB$44</f>
        <v>0.1197</v>
      </c>
      <c r="L13" s="788">
        <f>'ANALYSE - ERP =&gt; SOUS-SEGMENT'!$JC$44</f>
        <v>0</v>
      </c>
      <c r="M13" s="685"/>
      <c r="N13" s="788">
        <f>'ANALYSE - ERP =&gt; SOUS-SEGMENT'!$JD$44</f>
        <v>0</v>
      </c>
      <c r="O13" s="788">
        <f>'ANALYSE - ERP =&gt; SOUS-SEGMENT'!$JE$44</f>
        <v>0.16850000000000001</v>
      </c>
      <c r="P13" s="788">
        <f>'ANALYSE - ERP =&gt; SOUS-SEGMENT'!$JF$44</f>
        <v>0.60360000000000003</v>
      </c>
      <c r="Q13" s="788">
        <f>'ANALYSE - ERP =&gt; SOUS-SEGMENT'!$JG$44</f>
        <v>0.22789999999999999</v>
      </c>
      <c r="R13" s="788">
        <f>'ANALYSE - ERP =&gt; SOUS-SEGMENT'!$JH$44</f>
        <v>0</v>
      </c>
      <c r="S13" s="685"/>
      <c r="T13" s="450">
        <f>'ANALYSE - ERP =&gt; SOUS-SEGMENT'!$Q$44</f>
        <v>1</v>
      </c>
      <c r="U13" s="685"/>
      <c r="V13" s="685"/>
      <c r="W13" s="685"/>
      <c r="X13" s="685"/>
      <c r="Y13" s="685"/>
      <c r="Z13" s="685"/>
      <c r="AA13" s="685"/>
      <c r="AB13" s="685"/>
      <c r="AC13" s="685"/>
      <c r="AD13" s="685"/>
      <c r="AE13" s="685"/>
      <c r="AF13" s="685"/>
      <c r="AG13" s="685"/>
      <c r="AH13" s="685"/>
      <c r="AI13" s="685"/>
      <c r="AJ13" s="685"/>
      <c r="AK13" s="685"/>
      <c r="AL13" s="685"/>
      <c r="AM13" s="685"/>
      <c r="AN13" s="685"/>
      <c r="AO13" s="685"/>
      <c r="AP13" s="685"/>
      <c r="AQ13" s="685"/>
      <c r="AR13" s="685"/>
      <c r="AS13" s="685"/>
      <c r="AT13" s="685"/>
      <c r="AU13" s="685"/>
      <c r="AV13" s="685"/>
      <c r="AW13" s="685"/>
      <c r="AX13" s="685"/>
      <c r="AY13" s="685"/>
      <c r="AZ13" s="685"/>
      <c r="BA13" s="685"/>
      <c r="BB13" s="685"/>
      <c r="BC13" s="685"/>
      <c r="BD13" s="685"/>
      <c r="BE13" s="685"/>
      <c r="BF13" s="685"/>
      <c r="BG13" s="685"/>
      <c r="BH13" s="685"/>
      <c r="BI13" s="685"/>
      <c r="BJ13" s="685"/>
      <c r="BK13" s="685"/>
      <c r="BL13" s="685"/>
      <c r="BM13" s="685"/>
      <c r="BN13" s="685"/>
      <c r="BO13" s="685"/>
      <c r="BP13" s="685"/>
      <c r="BQ13" s="685"/>
      <c r="BR13" s="685"/>
      <c r="BS13" s="685"/>
      <c r="BT13" s="685"/>
      <c r="BU13" s="685"/>
      <c r="BV13" s="685"/>
      <c r="BW13" s="685"/>
      <c r="BX13" s="685"/>
      <c r="BY13" s="685"/>
      <c r="BZ13" s="685"/>
    </row>
    <row r="14" spans="1:78" ht="15" customHeight="1">
      <c r="A14" s="26">
        <v>11</v>
      </c>
      <c r="B14" s="26">
        <v>11</v>
      </c>
      <c r="C14" s="422">
        <f>'ANALYSE - ERP =&gt; SOUS-SEGMENT'!$A$84</f>
        <v>77</v>
      </c>
      <c r="D14" s="409" t="str">
        <f>'ANALYSE - ERP =&gt; SOUS-SEGMENT'!$B$84</f>
        <v>Tertiaire &amp; Industriel</v>
      </c>
      <c r="E14" s="409" t="str">
        <f>'ANALYSE - ERP =&gt; SOUS-SEGMENT'!$C$84</f>
        <v>Usines &amp; Ateliers</v>
      </c>
      <c r="F14" s="409" t="str">
        <f>'ANALYSE - ERP =&gt; SOUS-SEGMENT'!$D$84</f>
        <v>Usines 
(&gt;50 salariés)
(Hors Ateliers industriels)</v>
      </c>
      <c r="H14" s="787">
        <f>'ANALYSE - ERP =&gt; SOUS-SEGMENT'!$IY$84</f>
        <v>3.1199999999999999E-2</v>
      </c>
      <c r="I14" s="787">
        <f>'ANALYSE - ERP =&gt; SOUS-SEGMENT'!$IZ$84</f>
        <v>0.41539999999999999</v>
      </c>
      <c r="J14" s="787">
        <f>'ANALYSE - ERP =&gt; SOUS-SEGMENT'!$JA$84</f>
        <v>0.49459999999999998</v>
      </c>
      <c r="K14" s="787">
        <f>'ANALYSE - ERP =&gt; SOUS-SEGMENT'!$JB$84</f>
        <v>5.8900000000000001E-2</v>
      </c>
      <c r="L14" s="787">
        <f>'ANALYSE - ERP =&gt; SOUS-SEGMENT'!$JC$84</f>
        <v>0</v>
      </c>
      <c r="N14" s="787">
        <f>'ANALYSE - ERP =&gt; SOUS-SEGMENT'!$JD$84</f>
        <v>8.9999999999999993E-3</v>
      </c>
      <c r="O14" s="787">
        <f>'ANALYSE - ERP =&gt; SOUS-SEGMENT'!$JE$84</f>
        <v>0.38819999999999999</v>
      </c>
      <c r="P14" s="787">
        <f>'ANALYSE - ERP =&gt; SOUS-SEGMENT'!$JF$84</f>
        <v>0.51680000000000004</v>
      </c>
      <c r="Q14" s="787">
        <f>'ANALYSE - ERP =&gt; SOUS-SEGMENT'!$JG$84</f>
        <v>8.1100000000000005E-2</v>
      </c>
      <c r="R14" s="787">
        <f>'ANALYSE - ERP =&gt; SOUS-SEGMENT'!$JH$84</f>
        <v>4.8999999999999998E-3</v>
      </c>
      <c r="T14" s="430">
        <f>'ANALYSE - ERP =&gt; SOUS-SEGMENT'!$Q$84</f>
        <v>1</v>
      </c>
    </row>
    <row r="15" spans="1:78" s="45" customFormat="1" ht="15" customHeight="1">
      <c r="A15" s="406">
        <v>12</v>
      </c>
      <c r="B15" s="406">
        <v>12</v>
      </c>
      <c r="C15" s="448">
        <f>'ANALYSE - ERP =&gt; SOUS-SEGMENT'!$A$13</f>
        <v>6</v>
      </c>
      <c r="D15" s="449" t="str">
        <f>'ANALYSE - ERP =&gt; SOUS-SEGMENT'!$B$13</f>
        <v>Enfance, Enseignement, Jeunesse &amp; Formation</v>
      </c>
      <c r="E15" s="449" t="str">
        <f>'ANALYSE - ERP =&gt; SOUS-SEGMENT'!$C$13</f>
        <v>Enseignement scolaire</v>
      </c>
      <c r="F15" s="449" t="str">
        <f>'ANALYSE - ERP =&gt; SOUS-SEGMENT'!$D$13</f>
        <v>Collèges
(vestiaires EPS inclus)</v>
      </c>
      <c r="G15" s="685"/>
      <c r="H15" s="788">
        <f>'ANALYSE - ERP =&gt; SOUS-SEGMENT'!$IY$13</f>
        <v>0.1086</v>
      </c>
      <c r="I15" s="788">
        <f>'ANALYSE - ERP =&gt; SOUS-SEGMENT'!$IZ$13</f>
        <v>0.54969999999999997</v>
      </c>
      <c r="J15" s="788">
        <f>'ANALYSE - ERP =&gt; SOUS-SEGMENT'!$JA$13</f>
        <v>0.3201</v>
      </c>
      <c r="K15" s="788">
        <f>'ANALYSE - ERP =&gt; SOUS-SEGMENT'!$JB$13</f>
        <v>2.1399999999999999E-2</v>
      </c>
      <c r="L15" s="788">
        <f>'ANALYSE - ERP =&gt; SOUS-SEGMENT'!$JC$13</f>
        <v>2.0000000000000001E-4</v>
      </c>
      <c r="M15" s="685"/>
      <c r="N15" s="788">
        <f>'ANALYSE - ERP =&gt; SOUS-SEGMENT'!$JD$13</f>
        <v>0.04</v>
      </c>
      <c r="O15" s="788">
        <f>'ANALYSE - ERP =&gt; SOUS-SEGMENT'!$JE$13</f>
        <v>0.41010000000000002</v>
      </c>
      <c r="P15" s="788">
        <f>'ANALYSE - ERP =&gt; SOUS-SEGMENT'!$JF$13</f>
        <v>0.4834</v>
      </c>
      <c r="Q15" s="788">
        <f>'ANALYSE - ERP =&gt; SOUS-SEGMENT'!$JG$13</f>
        <v>6.5500000000000003E-2</v>
      </c>
      <c r="R15" s="788">
        <f>'ANALYSE - ERP =&gt; SOUS-SEGMENT'!$JH$13</f>
        <v>1E-3</v>
      </c>
      <c r="S15" s="685"/>
      <c r="T15" s="450">
        <f>'ANALYSE - ERP =&gt; SOUS-SEGMENT'!$Q$13</f>
        <v>1</v>
      </c>
      <c r="U15" s="685"/>
      <c r="V15" s="685"/>
      <c r="W15" s="685"/>
      <c r="X15" s="685"/>
      <c r="Y15" s="685"/>
      <c r="Z15" s="685"/>
      <c r="AA15" s="685"/>
      <c r="AB15" s="685"/>
      <c r="AC15" s="685"/>
      <c r="AD15" s="685"/>
      <c r="AE15" s="685"/>
      <c r="AF15" s="685"/>
      <c r="AG15" s="685"/>
      <c r="AH15" s="685"/>
      <c r="AI15" s="685"/>
      <c r="AJ15" s="685"/>
      <c r="AK15" s="685"/>
      <c r="AL15" s="685"/>
      <c r="AM15" s="685"/>
      <c r="AN15" s="685"/>
      <c r="AO15" s="685"/>
      <c r="AP15" s="685"/>
      <c r="AQ15" s="685"/>
      <c r="AR15" s="685"/>
      <c r="AS15" s="685"/>
      <c r="AT15" s="685"/>
      <c r="AU15" s="685"/>
      <c r="AV15" s="685"/>
      <c r="AW15" s="685"/>
      <c r="AX15" s="685"/>
      <c r="AY15" s="685"/>
      <c r="AZ15" s="685"/>
      <c r="BA15" s="685"/>
      <c r="BB15" s="685"/>
      <c r="BC15" s="685"/>
      <c r="BD15" s="685"/>
      <c r="BE15" s="685"/>
      <c r="BF15" s="685"/>
      <c r="BG15" s="685"/>
      <c r="BH15" s="685"/>
      <c r="BI15" s="685"/>
      <c r="BJ15" s="685"/>
      <c r="BK15" s="685"/>
      <c r="BL15" s="685"/>
      <c r="BM15" s="685"/>
      <c r="BN15" s="685"/>
      <c r="BO15" s="685"/>
      <c r="BP15" s="685"/>
      <c r="BQ15" s="685"/>
      <c r="BR15" s="685"/>
      <c r="BS15" s="685"/>
      <c r="BT15" s="685"/>
      <c r="BU15" s="685"/>
      <c r="BV15" s="685"/>
      <c r="BW15" s="685"/>
      <c r="BX15" s="685"/>
      <c r="BY15" s="685"/>
      <c r="BZ15" s="685"/>
    </row>
    <row r="16" spans="1:78" ht="15" customHeight="1">
      <c r="A16" s="26">
        <v>13</v>
      </c>
      <c r="B16" s="26">
        <v>13</v>
      </c>
      <c r="C16" s="422">
        <f>'ANALYSE - ERP =&gt; SOUS-SEGMENT'!$A$14</f>
        <v>7</v>
      </c>
      <c r="D16" s="408" t="str">
        <f>'ANALYSE - ERP =&gt; SOUS-SEGMENT'!$B$14</f>
        <v>Enfance, Enseignement, Jeunesse &amp; Formation</v>
      </c>
      <c r="E16" s="408" t="str">
        <f>'ANALYSE - ERP =&gt; SOUS-SEGMENT'!$C$14</f>
        <v>Enseignement scolaire</v>
      </c>
      <c r="F16" s="408" t="str">
        <f>'ANALYSE - ERP =&gt; SOUS-SEGMENT'!$D$14</f>
        <v>Lycées
(vestiaires EPS inclus)</v>
      </c>
      <c r="H16" s="787">
        <f>'ANALYSE - ERP =&gt; SOUS-SEGMENT'!$IY$14</f>
        <v>0.1</v>
      </c>
      <c r="I16" s="787">
        <f>'ANALYSE - ERP =&gt; SOUS-SEGMENT'!$IZ$14</f>
        <v>0.54010000000000002</v>
      </c>
      <c r="J16" s="787">
        <f>'ANALYSE - ERP =&gt; SOUS-SEGMENT'!$JA$14</f>
        <v>0.3357</v>
      </c>
      <c r="K16" s="787">
        <f>'ANALYSE - ERP =&gt; SOUS-SEGMENT'!$JB$14</f>
        <v>2.4E-2</v>
      </c>
      <c r="L16" s="787">
        <f>'ANALYSE - ERP =&gt; SOUS-SEGMENT'!$JC$14</f>
        <v>2.0000000000000001E-4</v>
      </c>
      <c r="N16" s="787">
        <f>'ANALYSE - ERP =&gt; SOUS-SEGMENT'!$JD$14</f>
        <v>3.5900000000000001E-2</v>
      </c>
      <c r="O16" s="787">
        <f>'ANALYSE - ERP =&gt; SOUS-SEGMENT'!$JE$14</f>
        <v>0.39400000000000002</v>
      </c>
      <c r="P16" s="787">
        <f>'ANALYSE - ERP =&gt; SOUS-SEGMENT'!$JF$14</f>
        <v>0.49680000000000002</v>
      </c>
      <c r="Q16" s="787">
        <f>'ANALYSE - ERP =&gt; SOUS-SEGMENT'!$JG$14</f>
        <v>7.2099999999999997E-2</v>
      </c>
      <c r="R16" s="787">
        <f>'ANALYSE - ERP =&gt; SOUS-SEGMENT'!$JH$14</f>
        <v>1.1999999999999999E-3</v>
      </c>
      <c r="T16" s="430">
        <f>'ANALYSE - ERP =&gt; SOUS-SEGMENT'!$Q$14</f>
        <v>1</v>
      </c>
    </row>
    <row r="17" spans="1:20" ht="15" customHeight="1">
      <c r="A17" s="26">
        <v>14</v>
      </c>
      <c r="B17" s="26">
        <v>14</v>
      </c>
      <c r="C17" s="422">
        <f>'ANALYSE - ERP =&gt; SOUS-SEGMENT'!$A$52</f>
        <v>45</v>
      </c>
      <c r="D17" s="411" t="str">
        <f>'ANALYSE - ERP =&gt; SOUS-SEGMENT'!$B$52</f>
        <v>Santé &amp; Médico-social</v>
      </c>
      <c r="E17" s="411" t="str">
        <f>'ANALYSE - ERP =&gt; SOUS-SEGMENT'!$C$52</f>
        <v>Médico-social</v>
      </c>
      <c r="F17" s="411" t="str">
        <f>'ANALYSE - ERP =&gt; SOUS-SEGMENT'!$D$52</f>
        <v>Établissements Médico-éducatifs</v>
      </c>
      <c r="H17" s="787">
        <f>'ANALYSE - ERP =&gt; SOUS-SEGMENT'!$IY$52</f>
        <v>0</v>
      </c>
      <c r="I17" s="787">
        <f>'ANALYSE - ERP =&gt; SOUS-SEGMENT'!$IZ$52</f>
        <v>0.27050000000000002</v>
      </c>
      <c r="J17" s="787">
        <f>'ANALYSE - ERP =&gt; SOUS-SEGMENT'!$JA$52</f>
        <v>0.56130000000000002</v>
      </c>
      <c r="K17" s="787">
        <f>'ANALYSE - ERP =&gt; SOUS-SEGMENT'!$JB$52</f>
        <v>0.16819999999999999</v>
      </c>
      <c r="L17" s="787">
        <f>'ANALYSE - ERP =&gt; SOUS-SEGMENT'!$JC$52</f>
        <v>0</v>
      </c>
      <c r="N17" s="787">
        <f>'ANALYSE - ERP =&gt; SOUS-SEGMENT'!$JD$52</f>
        <v>0</v>
      </c>
      <c r="O17" s="787">
        <f>'ANALYSE - ERP =&gt; SOUS-SEGMENT'!$JE$52</f>
        <v>0.15820000000000001</v>
      </c>
      <c r="P17" s="787">
        <f>'ANALYSE - ERP =&gt; SOUS-SEGMENT'!$JF$52</f>
        <v>0.57110000000000005</v>
      </c>
      <c r="Q17" s="787">
        <f>'ANALYSE - ERP =&gt; SOUS-SEGMENT'!$JG$52</f>
        <v>0.2707</v>
      </c>
      <c r="R17" s="787">
        <f>'ANALYSE - ERP =&gt; SOUS-SEGMENT'!$JH$52</f>
        <v>0</v>
      </c>
      <c r="T17" s="430">
        <f>'ANALYSE - ERP =&gt; SOUS-SEGMENT'!$Q$52</f>
        <v>1</v>
      </c>
    </row>
    <row r="18" spans="1:20" ht="15" customHeight="1">
      <c r="A18" s="26">
        <v>15</v>
      </c>
      <c r="B18" s="26">
        <v>15</v>
      </c>
      <c r="C18" s="422">
        <f>'ANALYSE - ERP =&gt; SOUS-SEGMENT'!$A$46</f>
        <v>39</v>
      </c>
      <c r="D18" s="409" t="str">
        <f>'ANALYSE - ERP =&gt; SOUS-SEGMENT'!$B$46</f>
        <v>Santé &amp; Médico-social</v>
      </c>
      <c r="E18" s="409" t="str">
        <f>'ANALYSE - ERP =&gt; SOUS-SEGMENT'!$C$46</f>
        <v>Santé hospitalière</v>
      </c>
      <c r="F18" s="409" t="str">
        <f>'ANALYSE - ERP =&gt; SOUS-SEGMENT'!$D$46</f>
        <v>Cliniques</v>
      </c>
      <c r="H18" s="787">
        <f>'ANALYSE - ERP =&gt; SOUS-SEGMENT'!$IY$46</f>
        <v>0</v>
      </c>
      <c r="I18" s="787">
        <f>'ANALYSE - ERP =&gt; SOUS-SEGMENT'!$IZ$46</f>
        <v>4.4600000000000001E-2</v>
      </c>
      <c r="J18" s="787">
        <f>'ANALYSE - ERP =&gt; SOUS-SEGMENT'!$JA$46</f>
        <v>0.51370000000000005</v>
      </c>
      <c r="K18" s="787">
        <f>'ANALYSE - ERP =&gt; SOUS-SEGMENT'!$JB$46</f>
        <v>0.40160000000000001</v>
      </c>
      <c r="L18" s="787">
        <f>'ANALYSE - ERP =&gt; SOUS-SEGMENT'!$JC$46</f>
        <v>4.0099999999999997E-2</v>
      </c>
      <c r="N18" s="787">
        <f>'ANALYSE - ERP =&gt; SOUS-SEGMENT'!$JD$46</f>
        <v>0</v>
      </c>
      <c r="O18" s="787">
        <f>'ANALYSE - ERP =&gt; SOUS-SEGMENT'!$JE$46</f>
        <v>0</v>
      </c>
      <c r="P18" s="787">
        <f>'ANALYSE - ERP =&gt; SOUS-SEGMENT'!$JF$46</f>
        <v>0.38479999999999998</v>
      </c>
      <c r="Q18" s="787">
        <f>'ANALYSE - ERP =&gt; SOUS-SEGMENT'!$JG$46</f>
        <v>0.51619999999999999</v>
      </c>
      <c r="R18" s="787">
        <f>'ANALYSE - ERP =&gt; SOUS-SEGMENT'!$JH$46</f>
        <v>9.9000000000000005E-2</v>
      </c>
      <c r="T18" s="430">
        <f>'ANALYSE - ERP =&gt; SOUS-SEGMENT'!$Q$46</f>
        <v>1</v>
      </c>
    </row>
    <row r="19" spans="1:20" ht="15" customHeight="1">
      <c r="A19" s="26">
        <v>16</v>
      </c>
      <c r="B19" s="26">
        <v>16</v>
      </c>
      <c r="C19" s="422">
        <f>'ANALYSE - ERP =&gt; SOUS-SEGMENT'!$A$28</f>
        <v>21</v>
      </c>
      <c r="D19" s="409" t="str">
        <f>'ANALYSE - ERP =&gt; SOUS-SEGMENT'!$B$28</f>
        <v>Sports &amp; Loisirs</v>
      </c>
      <c r="E19" s="409" t="str">
        <f>'ANALYSE - ERP =&gt; SOUS-SEGMENT'!$C$28</f>
        <v>Sport de plein air</v>
      </c>
      <c r="F19" s="409" t="str">
        <f>'ANALYSE - ERP =&gt; SOUS-SEGMENT'!$D$28</f>
        <v>Stades avec tribunes
(Hors grands stades, hors terrains sport)</v>
      </c>
      <c r="H19" s="787">
        <f>'ANALYSE - ERP =&gt; SOUS-SEGMENT'!$IY$28</f>
        <v>0.21820000000000001</v>
      </c>
      <c r="I19" s="787">
        <f>'ANALYSE - ERP =&gt; SOUS-SEGMENT'!$IZ$28</f>
        <v>0.62680000000000002</v>
      </c>
      <c r="J19" s="787">
        <f>'ANALYSE - ERP =&gt; SOUS-SEGMENT'!$JA$28</f>
        <v>0.155</v>
      </c>
      <c r="K19" s="787">
        <f>'ANALYSE - ERP =&gt; SOUS-SEGMENT'!$JB$28</f>
        <v>0</v>
      </c>
      <c r="L19" s="787">
        <f>'ANALYSE - ERP =&gt; SOUS-SEGMENT'!$JC$28</f>
        <v>0</v>
      </c>
      <c r="N19" s="787">
        <f>'ANALYSE - ERP =&gt; SOUS-SEGMENT'!$JD$28</f>
        <v>9.7900000000000001E-2</v>
      </c>
      <c r="O19" s="787">
        <f>'ANALYSE - ERP =&gt; SOUS-SEGMENT'!$JE$28</f>
        <v>0.59840000000000004</v>
      </c>
      <c r="P19" s="787">
        <f>'ANALYSE - ERP =&gt; SOUS-SEGMENT'!$JF$28</f>
        <v>0.30370000000000003</v>
      </c>
      <c r="Q19" s="787">
        <f>'ANALYSE - ERP =&gt; SOUS-SEGMENT'!$JG$28</f>
        <v>0</v>
      </c>
      <c r="R19" s="787">
        <f>'ANALYSE - ERP =&gt; SOUS-SEGMENT'!$JH$28</f>
        <v>0</v>
      </c>
      <c r="T19" s="430">
        <f>'ANALYSE - ERP =&gt; SOUS-SEGMENT'!$Q$28</f>
        <v>1</v>
      </c>
    </row>
    <row r="20" spans="1:20" ht="15" customHeight="1">
      <c r="A20" s="26">
        <v>17</v>
      </c>
      <c r="B20" s="26">
        <v>17</v>
      </c>
      <c r="C20" s="422">
        <f>'ANALYSE - ERP =&gt; SOUS-SEGMENT'!$A$67</f>
        <v>60</v>
      </c>
      <c r="D20" s="416" t="str">
        <f>'ANALYSE - ERP =&gt; SOUS-SEGMENT'!$B$67</f>
        <v>Culture, Patrimoine &amp; Evénementiel</v>
      </c>
      <c r="E20" s="416" t="str">
        <f>'ANALYSE - ERP =&gt; SOUS-SEGMENT'!$C$67</f>
        <v>Culture / spectacle</v>
      </c>
      <c r="F20" s="416" t="str">
        <f>'ANALYSE - ERP =&gt; SOUS-SEGMENT'!$D$67</f>
        <v>Salles polyvalentes / Salles des fêtes</v>
      </c>
      <c r="H20" s="787">
        <f>'ANALYSE - ERP =&gt; SOUS-SEGMENT'!$IY$67</f>
        <v>3.1199999999999999E-2</v>
      </c>
      <c r="I20" s="787">
        <f>'ANALYSE - ERP =&gt; SOUS-SEGMENT'!$IZ$67</f>
        <v>0.41539999999999999</v>
      </c>
      <c r="J20" s="787">
        <f>'ANALYSE - ERP =&gt; SOUS-SEGMENT'!$JA$67</f>
        <v>0.49459999999999998</v>
      </c>
      <c r="K20" s="787">
        <f>'ANALYSE - ERP =&gt; SOUS-SEGMENT'!$JB$67</f>
        <v>5.8900000000000001E-2</v>
      </c>
      <c r="L20" s="787">
        <f>'ANALYSE - ERP =&gt; SOUS-SEGMENT'!$JC$67</f>
        <v>0</v>
      </c>
      <c r="N20" s="787">
        <f>'ANALYSE - ERP =&gt; SOUS-SEGMENT'!$JD$67</f>
        <v>1.38E-2</v>
      </c>
      <c r="O20" s="787">
        <f>'ANALYSE - ERP =&gt; SOUS-SEGMENT'!$JE$67</f>
        <v>0.39410000000000001</v>
      </c>
      <c r="P20" s="787">
        <f>'ANALYSE - ERP =&gt; SOUS-SEGMENT'!$JF$67</f>
        <v>0.51190000000000002</v>
      </c>
      <c r="Q20" s="787">
        <f>'ANALYSE - ERP =&gt; SOUS-SEGMENT'!$JG$67</f>
        <v>7.6300000000000007E-2</v>
      </c>
      <c r="R20" s="787">
        <f>'ANALYSE - ERP =&gt; SOUS-SEGMENT'!$JH$67</f>
        <v>3.8999999999999998E-3</v>
      </c>
      <c r="T20" s="430">
        <f>'ANALYSE - ERP =&gt; SOUS-SEGMENT'!$Q$67</f>
        <v>1</v>
      </c>
    </row>
    <row r="21" spans="1:20" ht="15" customHeight="1">
      <c r="A21" s="26">
        <v>18</v>
      </c>
      <c r="B21" s="26">
        <v>18</v>
      </c>
      <c r="C21" s="422">
        <f>'ANALYSE - ERP =&gt; SOUS-SEGMENT'!$A$15</f>
        <v>8</v>
      </c>
      <c r="D21" s="417" t="str">
        <f>'ANALYSE - ERP =&gt; SOUS-SEGMENT'!$B$15</f>
        <v>Enfance, Enseignement, Jeunesse &amp; Formation</v>
      </c>
      <c r="E21" s="417" t="str">
        <f>'ANALYSE - ERP =&gt; SOUS-SEGMENT'!$C$15</f>
        <v>Enseignement scolaire</v>
      </c>
      <c r="F21" s="417" t="str">
        <f>'ANALYSE - ERP =&gt; SOUS-SEGMENT'!$D$15</f>
        <v>Internats scolaires</v>
      </c>
      <c r="H21" s="787">
        <f>'ANALYSE - ERP =&gt; SOUS-SEGMENT'!$IY$15</f>
        <v>0</v>
      </c>
      <c r="I21" s="787">
        <f>'ANALYSE - ERP =&gt; SOUS-SEGMENT'!$IZ$15</f>
        <v>0.1515</v>
      </c>
      <c r="J21" s="787">
        <f>'ANALYSE - ERP =&gt; SOUS-SEGMENT'!$JA$15</f>
        <v>0.53800000000000003</v>
      </c>
      <c r="K21" s="787">
        <f>'ANALYSE - ERP =&gt; SOUS-SEGMENT'!$JB$15</f>
        <v>0.28899999999999998</v>
      </c>
      <c r="L21" s="787">
        <f>'ANALYSE - ERP =&gt; SOUS-SEGMENT'!$JC$15</f>
        <v>2.1499999999999998E-2</v>
      </c>
      <c r="N21" s="787">
        <f>'ANALYSE - ERP =&gt; SOUS-SEGMENT'!$JD$15</f>
        <v>0</v>
      </c>
      <c r="O21" s="787">
        <f>'ANALYSE - ERP =&gt; SOUS-SEGMENT'!$JE$15</f>
        <v>5.7099999999999998E-2</v>
      </c>
      <c r="P21" s="787">
        <f>'ANALYSE - ERP =&gt; SOUS-SEGMENT'!$JF$15</f>
        <v>0.4556</v>
      </c>
      <c r="Q21" s="787">
        <f>'ANALYSE - ERP =&gt; SOUS-SEGMENT'!$JG$15</f>
        <v>0.42809999999999998</v>
      </c>
      <c r="R21" s="787">
        <f>'ANALYSE - ERP =&gt; SOUS-SEGMENT'!$JH$15</f>
        <v>5.9200000000000003E-2</v>
      </c>
      <c r="T21" s="430">
        <f>'ANALYSE - ERP =&gt; SOUS-SEGMENT'!$Q$15</f>
        <v>1</v>
      </c>
    </row>
    <row r="22" spans="1:20" ht="15" customHeight="1">
      <c r="A22" s="26">
        <v>19</v>
      </c>
      <c r="B22" s="26">
        <v>19</v>
      </c>
      <c r="C22" s="422">
        <f>'ANALYSE - ERP =&gt; SOUS-SEGMENT'!$A$45</f>
        <v>38</v>
      </c>
      <c r="D22" s="408" t="str">
        <f>'ANALYSE - ERP =&gt; SOUS-SEGMENT'!$B$45</f>
        <v>Santé &amp; Médico-social</v>
      </c>
      <c r="E22" s="408" t="str">
        <f>'ANALYSE - ERP =&gt; SOUS-SEGMENT'!$C$45</f>
        <v>Santé hospitalière</v>
      </c>
      <c r="F22" s="408" t="str">
        <f>'ANALYSE - ERP =&gt; SOUS-SEGMENT'!$D$45</f>
        <v>Hôpitaux privés</v>
      </c>
      <c r="H22" s="787">
        <f>'ANALYSE - ERP =&gt; SOUS-SEGMENT'!$IY$45</f>
        <v>0</v>
      </c>
      <c r="I22" s="787">
        <f>'ANALYSE - ERP =&gt; SOUS-SEGMENT'!$IZ$45</f>
        <v>5.7599999999999998E-2</v>
      </c>
      <c r="J22" s="787">
        <f>'ANALYSE - ERP =&gt; SOUS-SEGMENT'!$JA$45</f>
        <v>0.52929999999999999</v>
      </c>
      <c r="K22" s="787">
        <f>'ANALYSE - ERP =&gt; SOUS-SEGMENT'!$JB$45</f>
        <v>0.379</v>
      </c>
      <c r="L22" s="787">
        <f>'ANALYSE - ERP =&gt; SOUS-SEGMENT'!$JC$45</f>
        <v>3.4099999999999998E-2</v>
      </c>
      <c r="N22" s="787">
        <f>'ANALYSE - ERP =&gt; SOUS-SEGMENT'!$JD$45</f>
        <v>0</v>
      </c>
      <c r="O22" s="787">
        <f>'ANALYSE - ERP =&gt; SOUS-SEGMENT'!$JE$45</f>
        <v>0</v>
      </c>
      <c r="P22" s="787">
        <f>'ANALYSE - ERP =&gt; SOUS-SEGMENT'!$JF$45</f>
        <v>0.40799999999999997</v>
      </c>
      <c r="Q22" s="787">
        <f>'ANALYSE - ERP =&gt; SOUS-SEGMENT'!$JG$45</f>
        <v>0.50539999999999996</v>
      </c>
      <c r="R22" s="787">
        <f>'ANALYSE - ERP =&gt; SOUS-SEGMENT'!$JH$45</f>
        <v>8.6599999999999996E-2</v>
      </c>
      <c r="T22" s="430">
        <f>'ANALYSE - ERP =&gt; SOUS-SEGMENT'!$Q$45</f>
        <v>1</v>
      </c>
    </row>
    <row r="23" spans="1:20" ht="15" customHeight="1">
      <c r="A23" s="26">
        <v>20</v>
      </c>
      <c r="B23" s="26">
        <v>21</v>
      </c>
      <c r="C23" s="422">
        <f>'ANALYSE - ERP =&gt; SOUS-SEGMENT'!$A$19</f>
        <v>12</v>
      </c>
      <c r="D23" s="409" t="str">
        <f>'ANALYSE - ERP =&gt; SOUS-SEGMENT'!$B$19</f>
        <v>Enfance, Enseignement, Jeunesse &amp; Formation</v>
      </c>
      <c r="E23" s="409" t="str">
        <f>'ANALYSE - ERP =&gt; SOUS-SEGMENT'!$C$19</f>
        <v>Formation</v>
      </c>
      <c r="F23" s="409" t="str">
        <f>'ANALYSE - ERP =&gt; SOUS-SEGMENT'!$D$19</f>
        <v>Centres de formation / CFA</v>
      </c>
      <c r="H23" s="787">
        <f>'ANALYSE - ERP =&gt; SOUS-SEGMENT'!$IY$19</f>
        <v>2.7300000000000001E-2</v>
      </c>
      <c r="I23" s="787">
        <f>'ANALYSE - ERP =&gt; SOUS-SEGMENT'!$IZ$19</f>
        <v>0.35499999999999998</v>
      </c>
      <c r="J23" s="787">
        <f>'ANALYSE - ERP =&gt; SOUS-SEGMENT'!$JA$19</f>
        <v>0.48770000000000002</v>
      </c>
      <c r="K23" s="787">
        <f>'ANALYSE - ERP =&gt; SOUS-SEGMENT'!$JB$19</f>
        <v>0.12640000000000001</v>
      </c>
      <c r="L23" s="787">
        <f>'ANALYSE - ERP =&gt; SOUS-SEGMENT'!$JC$19</f>
        <v>3.5999999999999999E-3</v>
      </c>
      <c r="N23" s="787">
        <f>'ANALYSE - ERP =&gt; SOUS-SEGMENT'!$JD$19</f>
        <v>0</v>
      </c>
      <c r="O23" s="787">
        <f>'ANALYSE - ERP =&gt; SOUS-SEGMENT'!$JE$19</f>
        <v>0.15529999999999999</v>
      </c>
      <c r="P23" s="787">
        <f>'ANALYSE - ERP =&gt; SOUS-SEGMENT'!$JF$19</f>
        <v>0.53249999999999997</v>
      </c>
      <c r="Q23" s="787">
        <f>'ANALYSE - ERP =&gt; SOUS-SEGMENT'!$JG$19</f>
        <v>0.2893</v>
      </c>
      <c r="R23" s="787">
        <f>'ANALYSE - ERP =&gt; SOUS-SEGMENT'!$JH$19</f>
        <v>2.29E-2</v>
      </c>
      <c r="T23" s="430">
        <f>'ANALYSE - ERP =&gt; SOUS-SEGMENT'!$Q$19</f>
        <v>1</v>
      </c>
    </row>
    <row r="24" spans="1:20" ht="15" customHeight="1">
      <c r="A24" s="26">
        <v>21</v>
      </c>
      <c r="B24" s="26">
        <v>20</v>
      </c>
      <c r="C24" s="422" t="e">
        <f>'ANALYSE - ERP =&gt; SOUS-SEGMENT'!#REF!</f>
        <v>#REF!</v>
      </c>
      <c r="D24" s="414" t="e">
        <f>'ANALYSE - ERP =&gt; SOUS-SEGMENT'!#REF!</f>
        <v>#REF!</v>
      </c>
      <c r="E24" s="414" t="e">
        <f>'ANALYSE - ERP =&gt; SOUS-SEGMENT'!#REF!</f>
        <v>#REF!</v>
      </c>
      <c r="F24" s="414" t="e">
        <f>'ANALYSE - ERP =&gt; SOUS-SEGMENT'!#REF!</f>
        <v>#REF!</v>
      </c>
      <c r="H24" s="787" t="e">
        <f>'ANALYSE - ERP =&gt; SOUS-SEGMENT'!#REF!</f>
        <v>#REF!</v>
      </c>
      <c r="I24" s="787" t="e">
        <f>'ANALYSE - ERP =&gt; SOUS-SEGMENT'!#REF!</f>
        <v>#REF!</v>
      </c>
      <c r="J24" s="787" t="e">
        <f>'ANALYSE - ERP =&gt; SOUS-SEGMENT'!#REF!</f>
        <v>#REF!</v>
      </c>
      <c r="K24" s="787" t="e">
        <f>'ANALYSE - ERP =&gt; SOUS-SEGMENT'!#REF!</f>
        <v>#REF!</v>
      </c>
      <c r="L24" s="787" t="e">
        <f>'ANALYSE - ERP =&gt; SOUS-SEGMENT'!#REF!</f>
        <v>#REF!</v>
      </c>
      <c r="N24" s="787" t="e">
        <f>'ANALYSE - ERP =&gt; SOUS-SEGMENT'!#REF!</f>
        <v>#REF!</v>
      </c>
      <c r="O24" s="787" t="e">
        <f>'ANALYSE - ERP =&gt; SOUS-SEGMENT'!#REF!</f>
        <v>#REF!</v>
      </c>
      <c r="P24" s="787" t="e">
        <f>'ANALYSE - ERP =&gt; SOUS-SEGMENT'!#REF!</f>
        <v>#REF!</v>
      </c>
      <c r="Q24" s="787" t="e">
        <f>'ANALYSE - ERP =&gt; SOUS-SEGMENT'!#REF!</f>
        <v>#REF!</v>
      </c>
      <c r="R24" s="787" t="e">
        <f>'ANALYSE - ERP =&gt; SOUS-SEGMENT'!#REF!</f>
        <v>#REF!</v>
      </c>
      <c r="T24" s="430" t="e">
        <f>'ANALYSE - ERP =&gt; SOUS-SEGMENT'!#REF!</f>
        <v>#REF!</v>
      </c>
    </row>
    <row r="25" spans="1:20" ht="15" customHeight="1">
      <c r="A25" s="26">
        <v>22</v>
      </c>
      <c r="B25" s="26">
        <v>23</v>
      </c>
      <c r="C25" s="422">
        <f>'ANALYSE - ERP =&gt; SOUS-SEGMENT'!$A$59</f>
        <v>52</v>
      </c>
      <c r="D25" s="414" t="str">
        <f>'ANALYSE - ERP =&gt; SOUS-SEGMENT'!$B$59</f>
        <v>Santé &amp; Médico-social</v>
      </c>
      <c r="E25" s="414" t="str">
        <f>'ANALYSE - ERP =&gt; SOUS-SEGMENT'!$C$59</f>
        <v>Médico-social</v>
      </c>
      <c r="F25" s="414" t="str">
        <f>'ANALYSE - ERP =&gt; SOUS-SEGMENT'!$D$59</f>
        <v>USLD</v>
      </c>
      <c r="H25" s="787">
        <f>'ANALYSE - ERP =&gt; SOUS-SEGMENT'!$IY$59</f>
        <v>0</v>
      </c>
      <c r="I25" s="787">
        <f>'ANALYSE - ERP =&gt; SOUS-SEGMENT'!$IZ$59</f>
        <v>7.46E-2</v>
      </c>
      <c r="J25" s="787">
        <f>'ANALYSE - ERP =&gt; SOUS-SEGMENT'!$JA$59</f>
        <v>0.51639999999999997</v>
      </c>
      <c r="K25" s="787">
        <f>'ANALYSE - ERP =&gt; SOUS-SEGMENT'!$JB$59</f>
        <v>0.39889999999999998</v>
      </c>
      <c r="L25" s="787">
        <f>'ANALYSE - ERP =&gt; SOUS-SEGMENT'!$JC$59</f>
        <v>1.01E-2</v>
      </c>
      <c r="N25" s="787">
        <f>'ANALYSE - ERP =&gt; SOUS-SEGMENT'!$JD$59</f>
        <v>0</v>
      </c>
      <c r="O25" s="787">
        <f>'ANALYSE - ERP =&gt; SOUS-SEGMENT'!$JE$59</f>
        <v>3.3000000000000002E-2</v>
      </c>
      <c r="P25" s="787">
        <f>'ANALYSE - ERP =&gt; SOUS-SEGMENT'!$JF$59</f>
        <v>0.43469999999999998</v>
      </c>
      <c r="Q25" s="787">
        <f>'ANALYSE - ERP =&gt; SOUS-SEGMENT'!$JG$59</f>
        <v>0.48830000000000001</v>
      </c>
      <c r="R25" s="787">
        <f>'ANALYSE - ERP =&gt; SOUS-SEGMENT'!$JH$59</f>
        <v>4.3999999999999997E-2</v>
      </c>
      <c r="T25" s="430">
        <f>'ANALYSE - ERP =&gt; SOUS-SEGMENT'!$Q$59</f>
        <v>1</v>
      </c>
    </row>
    <row r="26" spans="1:20" ht="15" customHeight="1">
      <c r="A26" s="26">
        <v>23</v>
      </c>
      <c r="B26" s="26">
        <v>24</v>
      </c>
      <c r="C26" s="422">
        <f>'ANALYSE - ERP =&gt; SOUS-SEGMENT'!$A$50</f>
        <v>43</v>
      </c>
      <c r="D26" s="414" t="str">
        <f>'ANALYSE - ERP =&gt; SOUS-SEGMENT'!$B$50</f>
        <v>Santé &amp; Médico-social</v>
      </c>
      <c r="E26" s="414" t="str">
        <f>'ANALYSE - ERP =&gt; SOUS-SEGMENT'!$C$50</f>
        <v>Santé spécialisée</v>
      </c>
      <c r="F26" s="414" t="str">
        <f>'ANALYSE - ERP =&gt; SOUS-SEGMENT'!$D$50</f>
        <v>Centres de rééducation</v>
      </c>
      <c r="H26" s="787">
        <f>'ANALYSE - ERP =&gt; SOUS-SEGMENT'!$IY$50</f>
        <v>0</v>
      </c>
      <c r="I26" s="787">
        <f>'ANALYSE - ERP =&gt; SOUS-SEGMENT'!$IZ$50</f>
        <v>9.2999999999999999E-2</v>
      </c>
      <c r="J26" s="787">
        <f>'ANALYSE - ERP =&gt; SOUS-SEGMENT'!$JA$50</f>
        <v>0.57430000000000003</v>
      </c>
      <c r="K26" s="787">
        <f>'ANALYSE - ERP =&gt; SOUS-SEGMENT'!$JB$50</f>
        <v>0.3327</v>
      </c>
      <c r="L26" s="787">
        <f>'ANALYSE - ERP =&gt; SOUS-SEGMENT'!$JC$50</f>
        <v>0</v>
      </c>
      <c r="N26" s="787">
        <f>'ANALYSE - ERP =&gt; SOUS-SEGMENT'!$JD$50</f>
        <v>0</v>
      </c>
      <c r="O26" s="787">
        <f>'ANALYSE - ERP =&gt; SOUS-SEGMENT'!$JE$50</f>
        <v>2.1999999999999999E-2</v>
      </c>
      <c r="P26" s="787">
        <f>'ANALYSE - ERP =&gt; SOUS-SEGMENT'!$JF$50</f>
        <v>0.49919999999999998</v>
      </c>
      <c r="Q26" s="787">
        <f>'ANALYSE - ERP =&gt; SOUS-SEGMENT'!$JG$50</f>
        <v>0.46429999999999999</v>
      </c>
      <c r="R26" s="787">
        <f>'ANALYSE - ERP =&gt; SOUS-SEGMENT'!$JH$50</f>
        <v>1.4500000000000001E-2</v>
      </c>
      <c r="T26" s="430">
        <f>'ANALYSE - ERP =&gt; SOUS-SEGMENT'!$Q$50</f>
        <v>0</v>
      </c>
    </row>
    <row r="27" spans="1:20" ht="15" customHeight="1">
      <c r="A27" s="26">
        <v>24</v>
      </c>
      <c r="B27" s="26">
        <v>25</v>
      </c>
      <c r="C27" s="422">
        <f>'ANALYSE - ERP =&gt; SOUS-SEGMENT'!$A$18</f>
        <v>11</v>
      </c>
      <c r="D27" s="414" t="str">
        <f>'ANALYSE - ERP =&gt; SOUS-SEGMENT'!$B$18</f>
        <v>Enfance, Enseignement, Jeunesse &amp; Formation</v>
      </c>
      <c r="E27" s="414" t="str">
        <f>'ANALYSE - ERP =&gt; SOUS-SEGMENT'!$C$18</f>
        <v>Enseignement supérieur</v>
      </c>
      <c r="F27" s="414" t="str">
        <f>'ANALYSE - ERP =&gt; SOUS-SEGMENT'!$D$18</f>
        <v>Résidences étudiantes et dortoirs</v>
      </c>
      <c r="H27" s="787">
        <f>'ANALYSE - ERP =&gt; SOUS-SEGMENT'!$IY$18</f>
        <v>0</v>
      </c>
      <c r="I27" s="787">
        <f>'ANALYSE - ERP =&gt; SOUS-SEGMENT'!$IZ$18</f>
        <v>0.11799999999999999</v>
      </c>
      <c r="J27" s="787">
        <f>'ANALYSE - ERP =&gt; SOUS-SEGMENT'!$JA$18</f>
        <v>0.52080000000000004</v>
      </c>
      <c r="K27" s="787">
        <f>'ANALYSE - ERP =&gt; SOUS-SEGMENT'!$JB$18</f>
        <v>0.33129999999999998</v>
      </c>
      <c r="L27" s="787">
        <f>'ANALYSE - ERP =&gt; SOUS-SEGMENT'!$JC$18</f>
        <v>2.9899999999999999E-2</v>
      </c>
      <c r="N27" s="787">
        <f>'ANALYSE - ERP =&gt; SOUS-SEGMENT'!$JD$18</f>
        <v>0</v>
      </c>
      <c r="O27" s="787">
        <f>'ANALYSE - ERP =&gt; SOUS-SEGMENT'!$JE$18</f>
        <v>2.0899999999999998E-2</v>
      </c>
      <c r="P27" s="787">
        <f>'ANALYSE - ERP =&gt; SOUS-SEGMENT'!$JF$18</f>
        <v>0.378</v>
      </c>
      <c r="Q27" s="787">
        <f>'ANALYSE - ERP =&gt; SOUS-SEGMENT'!$JG$18</f>
        <v>0.50139999999999996</v>
      </c>
      <c r="R27" s="787">
        <f>'ANALYSE - ERP =&gt; SOUS-SEGMENT'!$JH$18</f>
        <v>9.9699999999999997E-2</v>
      </c>
      <c r="T27" s="430">
        <f>'ANALYSE - ERP =&gt; SOUS-SEGMENT'!$Q$18</f>
        <v>1</v>
      </c>
    </row>
    <row r="28" spans="1:20" ht="15" customHeight="1">
      <c r="A28" s="26">
        <v>25</v>
      </c>
      <c r="B28" s="26">
        <v>26</v>
      </c>
      <c r="C28" s="422">
        <f>'ANALYSE - ERP =&gt; SOUS-SEGMENT'!$A$49</f>
        <v>42</v>
      </c>
      <c r="D28" s="413" t="str">
        <f>'ANALYSE - ERP =&gt; SOUS-SEGMENT'!$B$49</f>
        <v>Santé &amp; Médico-social</v>
      </c>
      <c r="E28" s="413" t="str">
        <f>'ANALYSE - ERP =&gt; SOUS-SEGMENT'!$C$49</f>
        <v>Santé spécialisée</v>
      </c>
      <c r="F28" s="413" t="str">
        <f>'ANALYSE - ERP =&gt; SOUS-SEGMENT'!$D$49</f>
        <v>Centres de psychiatrie</v>
      </c>
      <c r="H28" s="787">
        <f>'ANALYSE - ERP =&gt; SOUS-SEGMENT'!$IY$49</f>
        <v>3.3700000000000001E-2</v>
      </c>
      <c r="I28" s="787">
        <f>'ANALYSE - ERP =&gt; SOUS-SEGMENT'!$IZ$49</f>
        <v>0.51819999999999999</v>
      </c>
      <c r="J28" s="787">
        <f>'ANALYSE - ERP =&gt; SOUS-SEGMENT'!$JA$49</f>
        <v>0.4229</v>
      </c>
      <c r="K28" s="787">
        <f>'ANALYSE - ERP =&gt; SOUS-SEGMENT'!$JB$49</f>
        <v>2.52E-2</v>
      </c>
      <c r="L28" s="787">
        <f>'ANALYSE - ERP =&gt; SOUS-SEGMENT'!$JC$49</f>
        <v>0</v>
      </c>
      <c r="N28" s="787">
        <f>'ANALYSE - ERP =&gt; SOUS-SEGMENT'!$JD$49</f>
        <v>0</v>
      </c>
      <c r="O28" s="787">
        <f>'ANALYSE - ERP =&gt; SOUS-SEGMENT'!$JE$49</f>
        <v>0.3427</v>
      </c>
      <c r="P28" s="787">
        <f>'ANALYSE - ERP =&gt; SOUS-SEGMENT'!$JF$49</f>
        <v>0.58230000000000004</v>
      </c>
      <c r="Q28" s="787">
        <f>'ANALYSE - ERP =&gt; SOUS-SEGMENT'!$JG$49</f>
        <v>7.4999999999999997E-2</v>
      </c>
      <c r="R28" s="787">
        <f>'ANALYSE - ERP =&gt; SOUS-SEGMENT'!$JH$49</f>
        <v>0</v>
      </c>
      <c r="T28" s="430">
        <f>'ANALYSE - ERP =&gt; SOUS-SEGMENT'!$Q$49</f>
        <v>0</v>
      </c>
    </row>
    <row r="29" spans="1:20" ht="15" customHeight="1">
      <c r="A29" s="26">
        <v>26</v>
      </c>
      <c r="B29" s="26">
        <v>22</v>
      </c>
      <c r="C29" s="422">
        <f>'ANALYSE - ERP =&gt; SOUS-SEGMENT'!$A$31</f>
        <v>24</v>
      </c>
      <c r="D29" s="414" t="str">
        <f>'ANALYSE - ERP =&gt; SOUS-SEGMENT'!$B$31</f>
        <v>Sports &amp; Loisirs</v>
      </c>
      <c r="E29" s="414" t="str">
        <f>'ANALYSE - ERP =&gt; SOUS-SEGMENT'!$C$31</f>
        <v>Sport de plein air</v>
      </c>
      <c r="F29" s="414" t="str">
        <f>'ANALYSE - ERP =&gt; SOUS-SEGMENT'!$D$31</f>
        <v>Piscines extérieures 
(Hors campings, hôtels, résidences et établissement avec bassin intérieur)</v>
      </c>
      <c r="H29" s="787">
        <f>'ANALYSE - ERP =&gt; SOUS-SEGMENT'!$IY$31</f>
        <v>0.24410000000000001</v>
      </c>
      <c r="I29" s="787">
        <f>'ANALYSE - ERP =&gt; SOUS-SEGMENT'!$IZ$31</f>
        <v>0.62</v>
      </c>
      <c r="J29" s="787">
        <f>'ANALYSE - ERP =&gt; SOUS-SEGMENT'!$JA$31</f>
        <v>0.13589999999999999</v>
      </c>
      <c r="K29" s="787">
        <f>'ANALYSE - ERP =&gt; SOUS-SEGMENT'!$JB$31</f>
        <v>0</v>
      </c>
      <c r="L29" s="787">
        <f>'ANALYSE - ERP =&gt; SOUS-SEGMENT'!$JC$31</f>
        <v>0</v>
      </c>
      <c r="N29" s="787">
        <f>'ANALYSE - ERP =&gt; SOUS-SEGMENT'!$JD$31</f>
        <v>0.13139999999999999</v>
      </c>
      <c r="O29" s="787">
        <f>'ANALYSE - ERP =&gt; SOUS-SEGMENT'!$JE$31</f>
        <v>0.62070000000000003</v>
      </c>
      <c r="P29" s="787">
        <f>'ANALYSE - ERP =&gt; SOUS-SEGMENT'!$JF$31</f>
        <v>0.24790000000000001</v>
      </c>
      <c r="Q29" s="787">
        <f>'ANALYSE - ERP =&gt; SOUS-SEGMENT'!$JG$31</f>
        <v>0</v>
      </c>
      <c r="R29" s="787">
        <f>'ANALYSE - ERP =&gt; SOUS-SEGMENT'!$JH$31</f>
        <v>0</v>
      </c>
      <c r="T29" s="430">
        <f>'ANALYSE - ERP =&gt; SOUS-SEGMENT'!$Q$31</f>
        <v>1</v>
      </c>
    </row>
    <row r="30" spans="1:20" ht="15" customHeight="1">
      <c r="A30" s="26">
        <v>27</v>
      </c>
      <c r="B30" s="26">
        <v>27</v>
      </c>
      <c r="C30" s="422">
        <f>'ANALYSE - ERP =&gt; SOUS-SEGMENT'!$A$87</f>
        <v>80</v>
      </c>
      <c r="D30" s="409" t="str">
        <f>'ANALYSE - ERP =&gt; SOUS-SEGMENT'!$B$87</f>
        <v>Hébergement Touristique</v>
      </c>
      <c r="E30" s="409" t="str">
        <f>'ANALYSE - ERP =&gt; SOUS-SEGMENT'!$C$87</f>
        <v>Hébergement Touristique</v>
      </c>
      <c r="F30" s="409" t="str">
        <f>'ANALYSE - ERP =&gt; SOUS-SEGMENT'!$D$87</f>
        <v>Hôtels 
(hors autres hébérgements touristiques)</v>
      </c>
      <c r="H30" s="787">
        <f>'ANALYSE - ERP =&gt; SOUS-SEGMENT'!$IY$87</f>
        <v>5.5999999999999999E-3</v>
      </c>
      <c r="I30" s="787">
        <f>'ANALYSE - ERP =&gt; SOUS-SEGMENT'!$IZ$87</f>
        <v>0.22270000000000001</v>
      </c>
      <c r="J30" s="787">
        <f>'ANALYSE - ERP =&gt; SOUS-SEGMENT'!$JA$87</f>
        <v>0.49130000000000001</v>
      </c>
      <c r="K30" s="787">
        <f>'ANALYSE - ERP =&gt; SOUS-SEGMENT'!$JB$87</f>
        <v>0.25779999999999997</v>
      </c>
      <c r="L30" s="787">
        <f>'ANALYSE - ERP =&gt; SOUS-SEGMENT'!$JC$87</f>
        <v>2.2599999999999999E-2</v>
      </c>
      <c r="N30" s="787">
        <f>'ANALYSE - ERP =&gt; SOUS-SEGMENT'!$JD$87</f>
        <v>0</v>
      </c>
      <c r="O30" s="787">
        <f>'ANALYSE - ERP =&gt; SOUS-SEGMENT'!$JE$87</f>
        <v>0.186</v>
      </c>
      <c r="P30" s="787">
        <f>'ANALYSE - ERP =&gt; SOUS-SEGMENT'!$JF$87</f>
        <v>0.50739999999999996</v>
      </c>
      <c r="Q30" s="787">
        <f>'ANALYSE - ERP =&gt; SOUS-SEGMENT'!$JG$87</f>
        <v>0.2787</v>
      </c>
      <c r="R30" s="787">
        <f>'ANALYSE - ERP =&gt; SOUS-SEGMENT'!$JH$87</f>
        <v>2.7900000000000001E-2</v>
      </c>
      <c r="T30" s="430">
        <f>'ANALYSE - ERP =&gt; SOUS-SEGMENT'!$Q$87</f>
        <v>1</v>
      </c>
    </row>
    <row r="31" spans="1:20" ht="15" customHeight="1">
      <c r="A31" s="26">
        <v>28</v>
      </c>
      <c r="B31" s="26">
        <v>28</v>
      </c>
      <c r="C31" s="422">
        <f>'ANALYSE - ERP =&gt; SOUS-SEGMENT'!$A$125</f>
        <v>118</v>
      </c>
      <c r="D31" s="409" t="str">
        <f>'ANALYSE - ERP =&gt; SOUS-SEGMENT'!$B$125</f>
        <v>Transport, Mobilité &amp; Stationnement</v>
      </c>
      <c r="E31" s="409" t="str">
        <f>'ANALYSE - ERP =&gt; SOUS-SEGMENT'!$C$125</f>
        <v>Transport / Mobilité</v>
      </c>
      <c r="F31" s="409" t="str">
        <f>'ANALYSE - ERP =&gt; SOUS-SEGMENT'!$D$125</f>
        <v>Gares ferroviaires et stations
(dotés de sanitaires)</v>
      </c>
      <c r="H31" s="787">
        <f>'ANALYSE - ERP =&gt; SOUS-SEGMENT'!$IY$125</f>
        <v>5.16E-2</v>
      </c>
      <c r="I31" s="787">
        <f>'ANALYSE - ERP =&gt; SOUS-SEGMENT'!$IZ$125</f>
        <v>0.48530000000000001</v>
      </c>
      <c r="J31" s="787">
        <f>'ANALYSE - ERP =&gt; SOUS-SEGMENT'!$JA$125</f>
        <v>0.40310000000000001</v>
      </c>
      <c r="K31" s="787">
        <f>'ANALYSE - ERP =&gt; SOUS-SEGMENT'!$JB$125</f>
        <v>5.0099999999999999E-2</v>
      </c>
      <c r="L31" s="787">
        <f>'ANALYSE - ERP =&gt; SOUS-SEGMENT'!$JC$125</f>
        <v>9.9000000000000008E-3</v>
      </c>
      <c r="N31" s="787">
        <f>'ANALYSE - ERP =&gt; SOUS-SEGMENT'!$JD$125</f>
        <v>3.1E-2</v>
      </c>
      <c r="O31" s="787">
        <f>'ANALYSE - ERP =&gt; SOUS-SEGMENT'!$JE$125</f>
        <v>0.46010000000000001</v>
      </c>
      <c r="P31" s="787">
        <f>'ANALYSE - ERP =&gt; SOUS-SEGMENT'!$JF$125</f>
        <v>0.42370000000000002</v>
      </c>
      <c r="Q31" s="787">
        <f>'ANALYSE - ERP =&gt; SOUS-SEGMENT'!$JG$125</f>
        <v>7.0699999999999999E-2</v>
      </c>
      <c r="R31" s="787">
        <f>'ANALYSE - ERP =&gt; SOUS-SEGMENT'!$JH$125</f>
        <v>1.4500000000000001E-2</v>
      </c>
      <c r="T31" s="430">
        <f>'ANALYSE - ERP =&gt; SOUS-SEGMENT'!$Q$125</f>
        <v>1</v>
      </c>
    </row>
    <row r="32" spans="1:20" ht="15" customHeight="1">
      <c r="A32" s="26">
        <v>29</v>
      </c>
      <c r="B32" s="26">
        <v>29</v>
      </c>
      <c r="C32" s="422">
        <f>'ANALYSE - ERP =&gt; SOUS-SEGMENT'!$A$23</f>
        <v>16</v>
      </c>
      <c r="D32" s="409" t="str">
        <f>'ANALYSE - ERP =&gt; SOUS-SEGMENT'!$B$23</f>
        <v>Sports &amp; Loisirs</v>
      </c>
      <c r="E32" s="409" t="str">
        <f>'ANALYSE - ERP =&gt; SOUS-SEGMENT'!$C$23</f>
        <v>Sport couvert / Thermalisme / Bien-être</v>
      </c>
      <c r="F32" s="409" t="str">
        <f>'ANALYSE - ERP =&gt; SOUS-SEGMENT'!$D$23</f>
        <v>Patinoires couvertes</v>
      </c>
      <c r="H32" s="787">
        <f>'ANALYSE - ERP =&gt; SOUS-SEGMENT'!$IY$23</f>
        <v>0.26050000000000001</v>
      </c>
      <c r="I32" s="787">
        <f>'ANALYSE - ERP =&gt; SOUS-SEGMENT'!$IZ$23</f>
        <v>0.61429999999999996</v>
      </c>
      <c r="J32" s="787">
        <f>'ANALYSE - ERP =&gt; SOUS-SEGMENT'!$JA$23</f>
        <v>0.12520000000000001</v>
      </c>
      <c r="K32" s="787">
        <f>'ANALYSE - ERP =&gt; SOUS-SEGMENT'!$JB$23</f>
        <v>0</v>
      </c>
      <c r="L32" s="787">
        <f>'ANALYSE - ERP =&gt; SOUS-SEGMENT'!$JC$23</f>
        <v>0</v>
      </c>
      <c r="N32" s="787">
        <f>'ANALYSE - ERP =&gt; SOUS-SEGMENT'!$JD$23</f>
        <v>0.14269999999999999</v>
      </c>
      <c r="O32" s="787">
        <f>'ANALYSE - ERP =&gt; SOUS-SEGMENT'!$JE$23</f>
        <v>0.62480000000000002</v>
      </c>
      <c r="P32" s="787">
        <f>'ANALYSE - ERP =&gt; SOUS-SEGMENT'!$JF$23</f>
        <v>0.23250000000000001</v>
      </c>
      <c r="Q32" s="787">
        <f>'ANALYSE - ERP =&gt; SOUS-SEGMENT'!$JG$23</f>
        <v>0</v>
      </c>
      <c r="R32" s="787">
        <f>'ANALYSE - ERP =&gt; SOUS-SEGMENT'!$JH$23</f>
        <v>0</v>
      </c>
      <c r="T32" s="430">
        <f>'ANALYSE - ERP =&gt; SOUS-SEGMENT'!$Q$23</f>
        <v>1</v>
      </c>
    </row>
    <row r="33" spans="1:20" ht="15" customHeight="1">
      <c r="A33" s="26">
        <v>30</v>
      </c>
      <c r="B33" s="26">
        <v>30</v>
      </c>
      <c r="C33" s="422">
        <f>'ANALYSE - ERP =&gt; SOUS-SEGMENT'!$A$51</f>
        <v>44</v>
      </c>
      <c r="D33" s="409" t="str">
        <f>'ANALYSE - ERP =&gt; SOUS-SEGMENT'!$B$51</f>
        <v>Santé &amp; Médico-social</v>
      </c>
      <c r="E33" s="409" t="str">
        <f>'ANALYSE - ERP =&gt; SOUS-SEGMENT'!$C$51</f>
        <v>Santé spécialisée</v>
      </c>
      <c r="F33" s="409" t="str">
        <f>'ANALYSE - ERP =&gt; SOUS-SEGMENT'!$D$51</f>
        <v>Maternités</v>
      </c>
      <c r="H33" s="787">
        <f>'ANALYSE - ERP =&gt; SOUS-SEGMENT'!$IY$51</f>
        <v>0</v>
      </c>
      <c r="I33" s="787">
        <f>'ANALYSE - ERP =&gt; SOUS-SEGMENT'!$IZ$51</f>
        <v>6.3299999999999995E-2</v>
      </c>
      <c r="J33" s="787">
        <f>'ANALYSE - ERP =&gt; SOUS-SEGMENT'!$JA$51</f>
        <v>0.55559999999999998</v>
      </c>
      <c r="K33" s="787">
        <f>'ANALYSE - ERP =&gt; SOUS-SEGMENT'!$JB$51</f>
        <v>0.38109999999999999</v>
      </c>
      <c r="L33" s="787">
        <f>'ANALYSE - ERP =&gt; SOUS-SEGMENT'!$JC$51</f>
        <v>0</v>
      </c>
      <c r="N33" s="787">
        <f>'ANALYSE - ERP =&gt; SOUS-SEGMENT'!$JD$51</f>
        <v>0</v>
      </c>
      <c r="O33" s="787">
        <f>'ANALYSE - ERP =&gt; SOUS-SEGMENT'!$JE$51</f>
        <v>5.4999999999999997E-3</v>
      </c>
      <c r="P33" s="787">
        <f>'ANALYSE - ERP =&gt; SOUS-SEGMENT'!$JF$51</f>
        <v>0.46150000000000002</v>
      </c>
      <c r="Q33" s="787">
        <f>'ANALYSE - ERP =&gt; SOUS-SEGMENT'!$JG$51</f>
        <v>0.50460000000000005</v>
      </c>
      <c r="R33" s="787">
        <f>'ANALYSE - ERP =&gt; SOUS-SEGMENT'!$JH$51</f>
        <v>2.8400000000000002E-2</v>
      </c>
      <c r="T33" s="430">
        <f>'ANALYSE - ERP =&gt; SOUS-SEGMENT'!$Q$51</f>
        <v>0</v>
      </c>
    </row>
    <row r="34" spans="1:20" ht="15" customHeight="1">
      <c r="A34" s="26">
        <v>31</v>
      </c>
      <c r="B34" s="26">
        <v>31</v>
      </c>
      <c r="C34" s="422">
        <f>'ANALYSE - ERP =&gt; SOUS-SEGMENT'!$A$60</f>
        <v>53</v>
      </c>
      <c r="D34" s="410" t="str">
        <f>'ANALYSE - ERP =&gt; SOUS-SEGMENT'!$B$60</f>
        <v>Santé &amp; Médico-social</v>
      </c>
      <c r="E34" s="410" t="str">
        <f>'ANALYSE - ERP =&gt; SOUS-SEGMENT'!$C$60</f>
        <v>Médico-social</v>
      </c>
      <c r="F34" s="410" t="str">
        <f>'ANALYSE - ERP =&gt; SOUS-SEGMENT'!$D$60</f>
        <v>Résidences autonomie
Foyers-logements
(Public)</v>
      </c>
      <c r="H34" s="787">
        <f>'ANALYSE - ERP =&gt; SOUS-SEGMENT'!$IY$60</f>
        <v>0</v>
      </c>
      <c r="I34" s="787">
        <f>'ANALYSE - ERP =&gt; SOUS-SEGMENT'!$IZ$60</f>
        <v>0.12809999999999999</v>
      </c>
      <c r="J34" s="787">
        <f>'ANALYSE - ERP =&gt; SOUS-SEGMENT'!$JA$60</f>
        <v>0.54239999999999999</v>
      </c>
      <c r="K34" s="787">
        <f>'ANALYSE - ERP =&gt; SOUS-SEGMENT'!$JB$60</f>
        <v>0.3075</v>
      </c>
      <c r="L34" s="787">
        <f>'ANALYSE - ERP =&gt; SOUS-SEGMENT'!$JC$60</f>
        <v>2.1999999999999999E-2</v>
      </c>
      <c r="N34" s="787">
        <f>'ANALYSE - ERP =&gt; SOUS-SEGMENT'!$JD$60</f>
        <v>0</v>
      </c>
      <c r="O34" s="787">
        <f>'ANALYSE - ERP =&gt; SOUS-SEGMENT'!$JE$60</f>
        <v>6.4299999999999996E-2</v>
      </c>
      <c r="P34" s="787">
        <f>'ANALYSE - ERP =&gt; SOUS-SEGMENT'!$JF$60</f>
        <v>0.48420000000000002</v>
      </c>
      <c r="Q34" s="787">
        <f>'ANALYSE - ERP =&gt; SOUS-SEGMENT'!$JG$60</f>
        <v>0.40639999999999998</v>
      </c>
      <c r="R34" s="787">
        <f>'ANALYSE - ERP =&gt; SOUS-SEGMENT'!$JH$60</f>
        <v>4.5100000000000001E-2</v>
      </c>
      <c r="T34" s="430">
        <f>'ANALYSE - ERP =&gt; SOUS-SEGMENT'!$Q$60</f>
        <v>1</v>
      </c>
    </row>
    <row r="35" spans="1:20" ht="15" customHeight="1">
      <c r="A35" s="26">
        <v>32</v>
      </c>
      <c r="B35" s="26">
        <v>32</v>
      </c>
      <c r="C35" s="422">
        <f>'ANALYSE - ERP =&gt; SOUS-SEGMENT'!$A$43</f>
        <v>36</v>
      </c>
      <c r="D35" s="411" t="str">
        <f>'ANALYSE - ERP =&gt; SOUS-SEGMENT'!$B$43</f>
        <v>Santé &amp; Médico-social</v>
      </c>
      <c r="E35" s="411" t="str">
        <f>'ANALYSE - ERP =&gt; SOUS-SEGMENT'!$C$43</f>
        <v>Santé hospitalière</v>
      </c>
      <c r="F35" s="411" t="str">
        <f>'ANALYSE - ERP =&gt; SOUS-SEGMENT'!$D$43</f>
        <v>Hôpitaux universitaires / CHU</v>
      </c>
      <c r="H35" s="787">
        <f>'ANALYSE - ERP =&gt; SOUS-SEGMENT'!$IY$43</f>
        <v>0</v>
      </c>
      <c r="I35" s="787">
        <f>'ANALYSE - ERP =&gt; SOUS-SEGMENT'!$IZ$43</f>
        <v>0.26729999999999998</v>
      </c>
      <c r="J35" s="787">
        <f>'ANALYSE - ERP =&gt; SOUS-SEGMENT'!$JA$43</f>
        <v>0.59619999999999995</v>
      </c>
      <c r="K35" s="787">
        <f>'ANALYSE - ERP =&gt; SOUS-SEGMENT'!$JB$43</f>
        <v>0.13650000000000001</v>
      </c>
      <c r="L35" s="787">
        <f>'ANALYSE - ERP =&gt; SOUS-SEGMENT'!$JC$43</f>
        <v>0</v>
      </c>
      <c r="N35" s="787">
        <f>'ANALYSE - ERP =&gt; SOUS-SEGMENT'!$JD$43</f>
        <v>0</v>
      </c>
      <c r="O35" s="787">
        <f>'ANALYSE - ERP =&gt; SOUS-SEGMENT'!$JE$43</f>
        <v>0.14069999999999999</v>
      </c>
      <c r="P35" s="787">
        <f>'ANALYSE - ERP =&gt; SOUS-SEGMENT'!$JF$43</f>
        <v>0.59340000000000004</v>
      </c>
      <c r="Q35" s="787">
        <f>'ANALYSE - ERP =&gt; SOUS-SEGMENT'!$JG$43</f>
        <v>0.26590000000000003</v>
      </c>
      <c r="R35" s="787">
        <f>'ANALYSE - ERP =&gt; SOUS-SEGMENT'!$JH$43</f>
        <v>0</v>
      </c>
      <c r="T35" s="430">
        <f>'ANALYSE - ERP =&gt; SOUS-SEGMENT'!$Q$43</f>
        <v>1</v>
      </c>
    </row>
    <row r="36" spans="1:20" ht="15" customHeight="1">
      <c r="A36" s="26">
        <v>33</v>
      </c>
      <c r="B36" s="26">
        <v>39</v>
      </c>
      <c r="C36" s="422">
        <f>'ANALYSE - ERP =&gt; SOUS-SEGMENT'!$A$61</f>
        <v>54</v>
      </c>
      <c r="D36" s="411" t="str">
        <f>'ANALYSE - ERP =&gt; SOUS-SEGMENT'!$B$61</f>
        <v>Santé &amp; Médico-social</v>
      </c>
      <c r="E36" s="411" t="str">
        <f>'ANALYSE - ERP =&gt; SOUS-SEGMENT'!$C$61</f>
        <v>Médico-social</v>
      </c>
      <c r="F36" s="411" t="str">
        <f>'ANALYSE - ERP =&gt; SOUS-SEGMENT'!$D$61</f>
        <v>Résidences services seniors
(Privé)</v>
      </c>
      <c r="H36" s="787">
        <f>'ANALYSE - ERP =&gt; SOUS-SEGMENT'!$IY$61</f>
        <v>0</v>
      </c>
      <c r="I36" s="787">
        <f>'ANALYSE - ERP =&gt; SOUS-SEGMENT'!$IZ$61</f>
        <v>0</v>
      </c>
      <c r="J36" s="787">
        <f>'ANALYSE - ERP =&gt; SOUS-SEGMENT'!$JA$61</f>
        <v>0.3654</v>
      </c>
      <c r="K36" s="787">
        <f>'ANALYSE - ERP =&gt; SOUS-SEGMENT'!$JB$61</f>
        <v>0.53459999999999996</v>
      </c>
      <c r="L36" s="787">
        <f>'ANALYSE - ERP =&gt; SOUS-SEGMENT'!$JC$61</f>
        <v>0.1</v>
      </c>
      <c r="N36" s="787">
        <f>'ANALYSE - ERP =&gt; SOUS-SEGMENT'!$JD$61</f>
        <v>0</v>
      </c>
      <c r="O36" s="787">
        <f>'ANALYSE - ERP =&gt; SOUS-SEGMENT'!$JE$61</f>
        <v>0</v>
      </c>
      <c r="P36" s="787">
        <f>'ANALYSE - ERP =&gt; SOUS-SEGMENT'!$JF$61</f>
        <v>0.21229999999999999</v>
      </c>
      <c r="Q36" s="787">
        <f>'ANALYSE - ERP =&gt; SOUS-SEGMENT'!$JG$61</f>
        <v>0.64770000000000005</v>
      </c>
      <c r="R36" s="787">
        <f>'ANALYSE - ERP =&gt; SOUS-SEGMENT'!$JH$61</f>
        <v>0.14000000000000001</v>
      </c>
      <c r="T36" s="430">
        <f>'ANALYSE - ERP =&gt; SOUS-SEGMENT'!$Q$61</f>
        <v>1</v>
      </c>
    </row>
    <row r="37" spans="1:20" ht="15" customHeight="1">
      <c r="A37" s="26">
        <v>34</v>
      </c>
      <c r="B37" s="26">
        <v>33</v>
      </c>
      <c r="C37" s="422">
        <f>'ANALYSE - ERP =&gt; SOUS-SEGMENT'!$A$142</f>
        <v>135</v>
      </c>
      <c r="D37" s="408" t="str">
        <f>'ANALYSE - ERP =&gt; SOUS-SEGMENT'!$B$142</f>
        <v>Sécurité &amp; Justice</v>
      </c>
      <c r="E37" s="408" t="str">
        <f>'ANALYSE - ERP =&gt; SOUS-SEGMENT'!$C$142</f>
        <v>Univers carcéral</v>
      </c>
      <c r="F37" s="408" t="str">
        <f>'ANALYSE - ERP =&gt; SOUS-SEGMENT'!$D$142</f>
        <v>Centres pénitentiaires</v>
      </c>
      <c r="H37" s="787">
        <f>'ANALYSE - ERP =&gt; SOUS-SEGMENT'!$IY$142</f>
        <v>0.26700000000000002</v>
      </c>
      <c r="I37" s="787">
        <f>'ANALYSE - ERP =&gt; SOUS-SEGMENT'!$IZ$142</f>
        <v>0.65169999999999995</v>
      </c>
      <c r="J37" s="787">
        <f>'ANALYSE - ERP =&gt; SOUS-SEGMENT'!$JA$142</f>
        <v>8.1299999999999997E-2</v>
      </c>
      <c r="K37" s="787">
        <f>'ANALYSE - ERP =&gt; SOUS-SEGMENT'!$JB$142</f>
        <v>0</v>
      </c>
      <c r="L37" s="787">
        <f>'ANALYSE - ERP =&gt; SOUS-SEGMENT'!$JC$142</f>
        <v>0</v>
      </c>
      <c r="N37" s="787">
        <f>'ANALYSE - ERP =&gt; SOUS-SEGMENT'!$JD$142</f>
        <v>9.7600000000000006E-2</v>
      </c>
      <c r="O37" s="787">
        <f>'ANALYSE - ERP =&gt; SOUS-SEGMENT'!$JE$142</f>
        <v>0.67</v>
      </c>
      <c r="P37" s="787">
        <f>'ANALYSE - ERP =&gt; SOUS-SEGMENT'!$JF$142</f>
        <v>0.2324</v>
      </c>
      <c r="Q37" s="787">
        <f>'ANALYSE - ERP =&gt; SOUS-SEGMENT'!$JG$142</f>
        <v>0</v>
      </c>
      <c r="R37" s="787">
        <f>'ANALYSE - ERP =&gt; SOUS-SEGMENT'!$JH$142</f>
        <v>0</v>
      </c>
      <c r="T37" s="430">
        <f>'ANALYSE - ERP =&gt; SOUS-SEGMENT'!$Q$142</f>
        <v>1</v>
      </c>
    </row>
    <row r="38" spans="1:20" ht="15" customHeight="1">
      <c r="A38" s="26">
        <v>35</v>
      </c>
      <c r="B38" s="26">
        <v>34</v>
      </c>
      <c r="C38" s="422">
        <f>'ANALYSE - ERP =&gt; SOUS-SEGMENT'!$A$135</f>
        <v>128</v>
      </c>
      <c r="D38" s="415" t="str">
        <f>'ANALYSE - ERP =&gt; SOUS-SEGMENT'!$B$135</f>
        <v>Sécurité &amp; Justice</v>
      </c>
      <c r="E38" s="415" t="str">
        <f>'ANALYSE - ERP =&gt; SOUS-SEGMENT'!$C$135</f>
        <v>Forces armées</v>
      </c>
      <c r="F38" s="415" t="str">
        <f>'ANALYSE - ERP =&gt; SOUS-SEGMENT'!$D$135</f>
        <v>Unités d'hébergement des militaires &amp; réservistes</v>
      </c>
      <c r="H38" s="787">
        <f>'ANALYSE - ERP =&gt; SOUS-SEGMENT'!$IY$135</f>
        <v>7.1499999999999994E-2</v>
      </c>
      <c r="I38" s="787">
        <f>'ANALYSE - ERP =&gt; SOUS-SEGMENT'!$IZ$135</f>
        <v>0.57299999999999995</v>
      </c>
      <c r="J38" s="787">
        <f>'ANALYSE - ERP =&gt; SOUS-SEGMENT'!$JA$135</f>
        <v>0.34050000000000002</v>
      </c>
      <c r="K38" s="787">
        <f>'ANALYSE - ERP =&gt; SOUS-SEGMENT'!$JB$135</f>
        <v>1.4999999999999999E-2</v>
      </c>
      <c r="L38" s="787">
        <f>'ANALYSE - ERP =&gt; SOUS-SEGMENT'!$JC$135</f>
        <v>0</v>
      </c>
      <c r="N38" s="787">
        <f>'ANALYSE - ERP =&gt; SOUS-SEGMENT'!$JD$135</f>
        <v>2.9700000000000001E-2</v>
      </c>
      <c r="O38" s="787">
        <f>'ANALYSE - ERP =&gt; SOUS-SEGMENT'!$JE$135</f>
        <v>0.44209999999999999</v>
      </c>
      <c r="P38" s="787">
        <f>'ANALYSE - ERP =&gt; SOUS-SEGMENT'!$JF$135</f>
        <v>0.48799999999999999</v>
      </c>
      <c r="Q38" s="787">
        <f>'ANALYSE - ERP =&gt; SOUS-SEGMENT'!$JG$135</f>
        <v>0.04</v>
      </c>
      <c r="R38" s="787">
        <f>'ANALYSE - ERP =&gt; SOUS-SEGMENT'!$JH$135</f>
        <v>2.0000000000000001E-4</v>
      </c>
      <c r="T38" s="430">
        <f>'ANALYSE - ERP =&gt; SOUS-SEGMENT'!$Q$135</f>
        <v>1</v>
      </c>
    </row>
    <row r="39" spans="1:20" ht="15" customHeight="1">
      <c r="A39" s="26">
        <v>36</v>
      </c>
      <c r="B39" s="26">
        <v>35</v>
      </c>
      <c r="C39" s="422">
        <f>'ANALYSE - ERP =&gt; SOUS-SEGMENT'!$A$89</f>
        <v>82</v>
      </c>
      <c r="D39" s="411" t="str">
        <f>'ANALYSE - ERP =&gt; SOUS-SEGMENT'!$B$89</f>
        <v>Hébergement Touristique</v>
      </c>
      <c r="E39" s="411" t="str">
        <f>'ANALYSE - ERP =&gt; SOUS-SEGMENT'!$C$89</f>
        <v>Hébergement Touristique</v>
      </c>
      <c r="F39" s="411" t="str">
        <f>'ANALYSE - ERP =&gt; SOUS-SEGMENT'!$D$89</f>
        <v>Résidences de tourisme</v>
      </c>
      <c r="H39" s="787">
        <f>'ANALYSE - ERP =&gt; SOUS-SEGMENT'!$IY$89</f>
        <v>0.1022</v>
      </c>
      <c r="I39" s="787">
        <f>'ANALYSE - ERP =&gt; SOUS-SEGMENT'!$IZ$89</f>
        <v>0.54190000000000005</v>
      </c>
      <c r="J39" s="787">
        <f>'ANALYSE - ERP =&gt; SOUS-SEGMENT'!$JA$89</f>
        <v>0.33110000000000001</v>
      </c>
      <c r="K39" s="787">
        <f>'ANALYSE - ERP =&gt; SOUS-SEGMENT'!$JB$89</f>
        <v>2.4799999999999999E-2</v>
      </c>
      <c r="L39" s="787">
        <f>'ANALYSE - ERP =&gt; SOUS-SEGMENT'!$JC$89</f>
        <v>0</v>
      </c>
      <c r="N39" s="787">
        <f>'ANALYSE - ERP =&gt; SOUS-SEGMENT'!$JD$89</f>
        <v>8.3699999999999997E-2</v>
      </c>
      <c r="O39" s="787">
        <f>'ANALYSE - ERP =&gt; SOUS-SEGMENT'!$JE$89</f>
        <v>0.51939999999999997</v>
      </c>
      <c r="P39" s="787">
        <f>'ANALYSE - ERP =&gt; SOUS-SEGMENT'!$JF$89</f>
        <v>0.34960000000000002</v>
      </c>
      <c r="Q39" s="787">
        <f>'ANALYSE - ERP =&gt; SOUS-SEGMENT'!$JG$89</f>
        <v>4.3200000000000002E-2</v>
      </c>
      <c r="R39" s="787">
        <f>'ANALYSE - ERP =&gt; SOUS-SEGMENT'!$JH$89</f>
        <v>4.1000000000000003E-3</v>
      </c>
      <c r="T39" s="430">
        <f>'ANALYSE - ERP =&gt; SOUS-SEGMENT'!$Q$89</f>
        <v>1</v>
      </c>
    </row>
    <row r="40" spans="1:20" ht="15" customHeight="1">
      <c r="A40" s="26">
        <v>37</v>
      </c>
      <c r="B40" s="26">
        <v>37</v>
      </c>
      <c r="C40" s="422">
        <f>'ANALYSE - ERP =&gt; SOUS-SEGMENT'!$A$66</f>
        <v>59</v>
      </c>
      <c r="D40" s="408" t="str">
        <f>'ANALYSE - ERP =&gt; SOUS-SEGMENT'!$B$66</f>
        <v>Culture, Patrimoine &amp; Evénementiel</v>
      </c>
      <c r="E40" s="408" t="str">
        <f>'ANALYSE - ERP =&gt; SOUS-SEGMENT'!$C$66</f>
        <v>Culture / spectacle</v>
      </c>
      <c r="F40" s="408" t="str">
        <f>'ANALYSE - ERP =&gt; SOUS-SEGMENT'!$D$66</f>
        <v>Salles de conférence / Réunion</v>
      </c>
      <c r="H40" s="787">
        <f>'ANALYSE - ERP =&gt; SOUS-SEGMENT'!$IY$66</f>
        <v>1.7600000000000001E-2</v>
      </c>
      <c r="I40" s="787">
        <f>'ANALYSE - ERP =&gt; SOUS-SEGMENT'!$IZ$66</f>
        <v>0.31240000000000001</v>
      </c>
      <c r="J40" s="787">
        <f>'ANALYSE - ERP =&gt; SOUS-SEGMENT'!$JA$66</f>
        <v>0.50570000000000004</v>
      </c>
      <c r="K40" s="787">
        <f>'ANALYSE - ERP =&gt; SOUS-SEGMENT'!$JB$66</f>
        <v>0.15770000000000001</v>
      </c>
      <c r="L40" s="787">
        <f>'ANALYSE - ERP =&gt; SOUS-SEGMENT'!$JC$66</f>
        <v>6.6E-3</v>
      </c>
      <c r="N40" s="787">
        <f>'ANALYSE - ERP =&gt; SOUS-SEGMENT'!$JD$66</f>
        <v>0</v>
      </c>
      <c r="O40" s="787">
        <f>'ANALYSE - ERP =&gt; SOUS-SEGMENT'!$JE$66</f>
        <v>0.183</v>
      </c>
      <c r="P40" s="787">
        <f>'ANALYSE - ERP =&gt; SOUS-SEGMENT'!$JF$66</f>
        <v>0.52839999999999998</v>
      </c>
      <c r="Q40" s="787">
        <f>'ANALYSE - ERP =&gt; SOUS-SEGMENT'!$JG$66</f>
        <v>0.26729999999999998</v>
      </c>
      <c r="R40" s="787">
        <f>'ANALYSE - ERP =&gt; SOUS-SEGMENT'!$JH$66</f>
        <v>2.1299999999999999E-2</v>
      </c>
      <c r="T40" s="430">
        <f>'ANALYSE - ERP =&gt; SOUS-SEGMENT'!$Q$66</f>
        <v>1</v>
      </c>
    </row>
    <row r="41" spans="1:20" ht="15" customHeight="1">
      <c r="A41" s="26">
        <v>38</v>
      </c>
      <c r="B41" s="26">
        <v>36</v>
      </c>
      <c r="C41" s="422">
        <f>'ANALYSE - ERP =&gt; SOUS-SEGMENT'!$A$79</f>
        <v>72</v>
      </c>
      <c r="D41" s="413" t="str">
        <f>'ANALYSE - ERP =&gt; SOUS-SEGMENT'!$B$79</f>
        <v>Commerce, Restauration &amp; Loisirs</v>
      </c>
      <c r="E41" s="413" t="str">
        <f>'ANALYSE - ERP =&gt; SOUS-SEGMENT'!$C$79</f>
        <v>Commerce</v>
      </c>
      <c r="F41" s="413" t="str">
        <f>'ANALYSE - ERP =&gt; SOUS-SEGMENT'!$D$79</f>
        <v>Centres commerciaux / Malls
(dotés de sanitaires collectifs clients)</v>
      </c>
      <c r="H41" s="787">
        <f>'ANALYSE - ERP =&gt; SOUS-SEGMENT'!$IY$79</f>
        <v>5.5999999999999999E-3</v>
      </c>
      <c r="I41" s="787">
        <f>'ANALYSE - ERP =&gt; SOUS-SEGMENT'!$IZ$79</f>
        <v>0.22270000000000001</v>
      </c>
      <c r="J41" s="787">
        <f>'ANALYSE - ERP =&gt; SOUS-SEGMENT'!$JA$79</f>
        <v>0.49130000000000001</v>
      </c>
      <c r="K41" s="787">
        <f>'ANALYSE - ERP =&gt; SOUS-SEGMENT'!$JB$79</f>
        <v>0.25779999999999997</v>
      </c>
      <c r="L41" s="787">
        <f>'ANALYSE - ERP =&gt; SOUS-SEGMENT'!$JC$79</f>
        <v>2.2599999999999999E-2</v>
      </c>
      <c r="N41" s="787">
        <f>'ANALYSE - ERP =&gt; SOUS-SEGMENT'!$JD$79</f>
        <v>0</v>
      </c>
      <c r="O41" s="787">
        <f>'ANALYSE - ERP =&gt; SOUS-SEGMENT'!$JE$79</f>
        <v>0.1842</v>
      </c>
      <c r="P41" s="787">
        <f>'ANALYSE - ERP =&gt; SOUS-SEGMENT'!$JF$79</f>
        <v>0.50800000000000001</v>
      </c>
      <c r="Q41" s="787">
        <f>'ANALYSE - ERP =&gt; SOUS-SEGMENT'!$JG$79</f>
        <v>0.27960000000000002</v>
      </c>
      <c r="R41" s="787">
        <f>'ANALYSE - ERP =&gt; SOUS-SEGMENT'!$JH$79</f>
        <v>2.8199999999999999E-2</v>
      </c>
      <c r="T41" s="430">
        <f>'ANALYSE - ERP =&gt; SOUS-SEGMENT'!$Q$79</f>
        <v>1</v>
      </c>
    </row>
    <row r="42" spans="1:20" ht="15" customHeight="1">
      <c r="A42" s="26">
        <v>39</v>
      </c>
      <c r="B42" s="26">
        <v>38</v>
      </c>
      <c r="C42" s="422">
        <f>'ANALYSE - ERP =&gt; SOUS-SEGMENT'!$A$30</f>
        <v>23</v>
      </c>
      <c r="D42" s="412" t="str">
        <f>'ANALYSE - ERP =&gt; SOUS-SEGMENT'!$B$30</f>
        <v>Sports &amp; Loisirs</v>
      </c>
      <c r="E42" s="412" t="str">
        <f>'ANALYSE - ERP =&gt; SOUS-SEGMENT'!$C$30</f>
        <v>Sport de plein air</v>
      </c>
      <c r="F42" s="412" t="str">
        <f>'ANALYSE - ERP =&gt; SOUS-SEGMENT'!$D$30</f>
        <v>Hippodromes, Centres équestres &amp; Manèges couverts</v>
      </c>
      <c r="H42" s="787">
        <f>'ANALYSE - ERP =&gt; SOUS-SEGMENT'!$IY$30</f>
        <v>0.16259999999999999</v>
      </c>
      <c r="I42" s="787">
        <f>'ANALYSE - ERP =&gt; SOUS-SEGMENT'!$IZ$30</f>
        <v>0.57909999999999995</v>
      </c>
      <c r="J42" s="787">
        <f>'ANALYSE - ERP =&gt; SOUS-SEGMENT'!$JA$30</f>
        <v>0.2419</v>
      </c>
      <c r="K42" s="787">
        <f>'ANALYSE - ERP =&gt; SOUS-SEGMENT'!$JB$30</f>
        <v>1.6400000000000001E-2</v>
      </c>
      <c r="L42" s="787">
        <f>'ANALYSE - ERP =&gt; SOUS-SEGMENT'!$JC$30</f>
        <v>0</v>
      </c>
      <c r="N42" s="787">
        <f>'ANALYSE - ERP =&gt; SOUS-SEGMENT'!$JD$30</f>
        <v>0.1449</v>
      </c>
      <c r="O42" s="787">
        <f>'ANALYSE - ERP =&gt; SOUS-SEGMENT'!$JE$30</f>
        <v>0.55740000000000001</v>
      </c>
      <c r="P42" s="787">
        <f>'ANALYSE - ERP =&gt; SOUS-SEGMENT'!$JF$30</f>
        <v>0.2596</v>
      </c>
      <c r="Q42" s="787">
        <f>'ANALYSE - ERP =&gt; SOUS-SEGMENT'!$JG$30</f>
        <v>3.4099999999999998E-2</v>
      </c>
      <c r="R42" s="787">
        <f>'ANALYSE - ERP =&gt; SOUS-SEGMENT'!$JH$30</f>
        <v>4.0000000000000001E-3</v>
      </c>
      <c r="T42" s="430">
        <f>'ANALYSE - ERP =&gt; SOUS-SEGMENT'!$Q$30</f>
        <v>1</v>
      </c>
    </row>
    <row r="43" spans="1:20" ht="15" customHeight="1">
      <c r="A43" s="26">
        <v>40</v>
      </c>
      <c r="B43" s="26">
        <v>40</v>
      </c>
      <c r="C43" s="422">
        <f>'ANALYSE - ERP =&gt; SOUS-SEGMENT'!$A$8</f>
        <v>1</v>
      </c>
      <c r="D43" s="412" t="str">
        <f>'ANALYSE - ERP =&gt; SOUS-SEGMENT'!$B$8</f>
        <v>Enfance, Enseignement, Jeunesse &amp; Formation</v>
      </c>
      <c r="E43" s="412" t="str">
        <f>'ANALYSE - ERP =&gt; SOUS-SEGMENT'!$C$8</f>
        <v>Petite enfance</v>
      </c>
      <c r="F43" s="412" t="str">
        <f>'ANALYSE - ERP =&gt; SOUS-SEGMENT'!$D$8</f>
        <v>Crèches</v>
      </c>
      <c r="H43" s="787">
        <f>'ANALYSE - ERP =&gt; SOUS-SEGMENT'!$IY$8</f>
        <v>1.41E-2</v>
      </c>
      <c r="I43" s="787">
        <f>'ANALYSE - ERP =&gt; SOUS-SEGMENT'!$IZ$8</f>
        <v>0.34660000000000002</v>
      </c>
      <c r="J43" s="787">
        <f>'ANALYSE - ERP =&gt; SOUS-SEGMENT'!$JA$8</f>
        <v>0.53069999999999995</v>
      </c>
      <c r="K43" s="787">
        <f>'ANALYSE - ERP =&gt; SOUS-SEGMENT'!$JB$8</f>
        <v>0.1086</v>
      </c>
      <c r="L43" s="787">
        <f>'ANALYSE - ERP =&gt; SOUS-SEGMENT'!$JC$8</f>
        <v>0</v>
      </c>
      <c r="N43" s="787">
        <f>'ANALYSE - ERP =&gt; SOUS-SEGMENT'!$JD$8</f>
        <v>0</v>
      </c>
      <c r="O43" s="787">
        <f>'ANALYSE - ERP =&gt; SOUS-SEGMENT'!$JE$8</f>
        <v>0.1767</v>
      </c>
      <c r="P43" s="787">
        <f>'ANALYSE - ERP =&gt; SOUS-SEGMENT'!$JF$8</f>
        <v>0.56840000000000002</v>
      </c>
      <c r="Q43" s="787">
        <f>'ANALYSE - ERP =&gt; SOUS-SEGMENT'!$JG$8</f>
        <v>0.25490000000000002</v>
      </c>
      <c r="R43" s="787">
        <f>'ANALYSE - ERP =&gt; SOUS-SEGMENT'!$JH$8</f>
        <v>0</v>
      </c>
      <c r="T43" s="430">
        <f>'ANALYSE - ERP =&gt; SOUS-SEGMENT'!$Q$8</f>
        <v>1</v>
      </c>
    </row>
    <row r="44" spans="1:20" ht="15" customHeight="1">
      <c r="A44" s="26">
        <v>41</v>
      </c>
      <c r="B44" s="26">
        <v>41</v>
      </c>
      <c r="C44" s="422">
        <f>'ANALYSE - ERP =&gt; SOUS-SEGMENT'!$A$65</f>
        <v>58</v>
      </c>
      <c r="D44" s="408" t="str">
        <f>'ANALYSE - ERP =&gt; SOUS-SEGMENT'!$B$65</f>
        <v>Culture, Patrimoine &amp; Evénementiel</v>
      </c>
      <c r="E44" s="408" t="str">
        <f>'ANALYSE - ERP =&gt; SOUS-SEGMENT'!$C$65</f>
        <v>Culture / spectacle</v>
      </c>
      <c r="F44" s="408" t="str">
        <f>'ANALYSE - ERP =&gt; SOUS-SEGMENT'!$D$65</f>
        <v>Salles de spectacle / Auditoriums</v>
      </c>
      <c r="H44" s="787">
        <f>'ANALYSE - ERP =&gt; SOUS-SEGMENT'!$IY$65</f>
        <v>0</v>
      </c>
      <c r="I44" s="787">
        <f>'ANALYSE - ERP =&gt; SOUS-SEGMENT'!$IZ$65</f>
        <v>0.2016</v>
      </c>
      <c r="J44" s="787">
        <f>'ANALYSE - ERP =&gt; SOUS-SEGMENT'!$JA$65</f>
        <v>0.51190000000000002</v>
      </c>
      <c r="K44" s="787">
        <f>'ANALYSE - ERP =&gt; SOUS-SEGMENT'!$JB$65</f>
        <v>0.2616</v>
      </c>
      <c r="L44" s="787">
        <f>'ANALYSE - ERP =&gt; SOUS-SEGMENT'!$JC$65</f>
        <v>2.4899999999999999E-2</v>
      </c>
      <c r="N44" s="787">
        <f>'ANALYSE - ERP =&gt; SOUS-SEGMENT'!$JD$65</f>
        <v>0</v>
      </c>
      <c r="O44" s="787">
        <f>'ANALYSE - ERP =&gt; SOUS-SEGMENT'!$JE$65</f>
        <v>8.7800000000000003E-2</v>
      </c>
      <c r="P44" s="787">
        <f>'ANALYSE - ERP =&gt; SOUS-SEGMENT'!$JF$65</f>
        <v>0.44500000000000001</v>
      </c>
      <c r="Q44" s="787">
        <f>'ANALYSE - ERP =&gt; SOUS-SEGMENT'!$JG$65</f>
        <v>0.39750000000000002</v>
      </c>
      <c r="R44" s="787">
        <f>'ANALYSE - ERP =&gt; SOUS-SEGMENT'!$JH$65</f>
        <v>6.9699999999999998E-2</v>
      </c>
      <c r="T44" s="430">
        <f>'ANALYSE - ERP =&gt; SOUS-SEGMENT'!$Q$65</f>
        <v>1</v>
      </c>
    </row>
    <row r="45" spans="1:20" ht="15" customHeight="1">
      <c r="A45" s="26">
        <v>42</v>
      </c>
      <c r="B45" s="26">
        <v>42</v>
      </c>
      <c r="C45" s="422">
        <f>'ANALYSE - ERP =&gt; SOUS-SEGMENT'!$A$73</f>
        <v>66</v>
      </c>
      <c r="D45" s="414" t="str">
        <f>'ANALYSE - ERP =&gt; SOUS-SEGMENT'!$B$73</f>
        <v>Culture, Patrimoine &amp; Evénementiel</v>
      </c>
      <c r="E45" s="414" t="str">
        <f>'ANALYSE - ERP =&gt; SOUS-SEGMENT'!$C$73</f>
        <v>Événementiel temporaire</v>
      </c>
      <c r="F45" s="414" t="str">
        <f>'ANALYSE - ERP =&gt; SOUS-SEGMENT'!$D$73</f>
        <v>Structures gonflables</v>
      </c>
      <c r="H45" s="787">
        <f>'ANALYSE - ERP =&gt; SOUS-SEGMENT'!$IY$73</f>
        <v>0.37480000000000002</v>
      </c>
      <c r="I45" s="787">
        <f>'ANALYSE - ERP =&gt; SOUS-SEGMENT'!$IZ$73</f>
        <v>0.58520000000000005</v>
      </c>
      <c r="J45" s="787">
        <f>'ANALYSE - ERP =&gt; SOUS-SEGMENT'!$JA$73</f>
        <v>0.04</v>
      </c>
      <c r="K45" s="787">
        <f>'ANALYSE - ERP =&gt; SOUS-SEGMENT'!$JB$73</f>
        <v>0</v>
      </c>
      <c r="L45" s="787">
        <f>'ANALYSE - ERP =&gt; SOUS-SEGMENT'!$JC$73</f>
        <v>0</v>
      </c>
      <c r="N45" s="787">
        <f>'ANALYSE - ERP =&gt; SOUS-SEGMENT'!$JD$73</f>
        <v>0.20680000000000001</v>
      </c>
      <c r="O45" s="787">
        <f>'ANALYSE - ERP =&gt; SOUS-SEGMENT'!$JE$73</f>
        <v>0.6663</v>
      </c>
      <c r="P45" s="787">
        <f>'ANALYSE - ERP =&gt; SOUS-SEGMENT'!$JF$73</f>
        <v>0.12690000000000001</v>
      </c>
      <c r="Q45" s="787">
        <f>'ANALYSE - ERP =&gt; SOUS-SEGMENT'!$JG$73</f>
        <v>0</v>
      </c>
      <c r="R45" s="787">
        <f>'ANALYSE - ERP =&gt; SOUS-SEGMENT'!$JH$73</f>
        <v>0</v>
      </c>
      <c r="T45" s="430">
        <f>'ANALYSE - ERP =&gt; SOUS-SEGMENT'!$Q$73</f>
        <v>1</v>
      </c>
    </row>
    <row r="46" spans="1:20" ht="15" customHeight="1">
      <c r="A46" s="26">
        <v>43</v>
      </c>
      <c r="B46" s="26">
        <v>44</v>
      </c>
      <c r="C46" s="422">
        <f>'ANALYSE - ERP =&gt; SOUS-SEGMENT'!$A$11</f>
        <v>4</v>
      </c>
      <c r="D46" s="414" t="str">
        <f>'ANALYSE - ERP =&gt; SOUS-SEGMENT'!$B$11</f>
        <v>Enfance, Enseignement, Jeunesse &amp; Formation</v>
      </c>
      <c r="E46" s="414" t="str">
        <f>'ANALYSE - ERP =&gt; SOUS-SEGMENT'!$C$11</f>
        <v>Enseignement scolaire</v>
      </c>
      <c r="F46" s="414" t="str">
        <f>'ANALYSE - ERP =&gt; SOUS-SEGMENT'!$D$11</f>
        <v>Écoles maternelles</v>
      </c>
      <c r="H46" s="787">
        <f>'ANALYSE - ERP =&gt; SOUS-SEGMENT'!$IY$11</f>
        <v>9.4500000000000001E-2</v>
      </c>
      <c r="I46" s="787">
        <f>'ANALYSE - ERP =&gt; SOUS-SEGMENT'!$IZ$11</f>
        <v>0.53339999999999999</v>
      </c>
      <c r="J46" s="787">
        <f>'ANALYSE - ERP =&gt; SOUS-SEGMENT'!$JA$11</f>
        <v>0.34610000000000002</v>
      </c>
      <c r="K46" s="787">
        <f>'ANALYSE - ERP =&gt; SOUS-SEGMENT'!$JB$11</f>
        <v>2.58E-2</v>
      </c>
      <c r="L46" s="787">
        <f>'ANALYSE - ERP =&gt; SOUS-SEGMENT'!$JC$11</f>
        <v>2.0000000000000001E-4</v>
      </c>
      <c r="N46" s="787">
        <f>'ANALYSE - ERP =&gt; SOUS-SEGMENT'!$JD$11</f>
        <v>3.8100000000000002E-2</v>
      </c>
      <c r="O46" s="787">
        <f>'ANALYSE - ERP =&gt; SOUS-SEGMENT'!$JE$11</f>
        <v>0.40279999999999999</v>
      </c>
      <c r="P46" s="787">
        <f>'ANALYSE - ERP =&gt; SOUS-SEGMENT'!$JF$11</f>
        <v>0.48959999999999998</v>
      </c>
      <c r="Q46" s="787">
        <f>'ANALYSE - ERP =&gt; SOUS-SEGMENT'!$JG$11</f>
        <v>6.8400000000000002E-2</v>
      </c>
      <c r="R46" s="787">
        <f>'ANALYSE - ERP =&gt; SOUS-SEGMENT'!$JH$11</f>
        <v>1.1000000000000001E-3</v>
      </c>
      <c r="T46" s="430">
        <f>'ANALYSE - ERP =&gt; SOUS-SEGMENT'!$Q$11</f>
        <v>1</v>
      </c>
    </row>
    <row r="47" spans="1:20" ht="15" customHeight="1">
      <c r="A47" s="26">
        <v>44</v>
      </c>
      <c r="B47" s="26">
        <v>45</v>
      </c>
      <c r="C47" s="422">
        <f>'ANALYSE - ERP =&gt; SOUS-SEGMENT'!$A$91</f>
        <v>84</v>
      </c>
      <c r="D47" s="414" t="str">
        <f>'ANALYSE - ERP =&gt; SOUS-SEGMENT'!$B$91</f>
        <v>Hébergement Touristique</v>
      </c>
      <c r="E47" s="414" t="str">
        <f>'ANALYSE - ERP =&gt; SOUS-SEGMENT'!$C$91</f>
        <v>Hébergement Touristique</v>
      </c>
      <c r="F47" s="414" t="str">
        <f>'ANALYSE - ERP =&gt; SOUS-SEGMENT'!$D$91</f>
        <v>Pensions de famille</v>
      </c>
      <c r="H47" s="787">
        <f>'ANALYSE - ERP =&gt; SOUS-SEGMENT'!$IY$91</f>
        <v>3.7400000000000003E-2</v>
      </c>
      <c r="I47" s="787">
        <f>'ANALYSE - ERP =&gt; SOUS-SEGMENT'!$IZ$91</f>
        <v>0.36580000000000001</v>
      </c>
      <c r="J47" s="787">
        <f>'ANALYSE - ERP =&gt; SOUS-SEGMENT'!$JA$91</f>
        <v>0.48749999999999999</v>
      </c>
      <c r="K47" s="787">
        <f>'ANALYSE - ERP =&gt; SOUS-SEGMENT'!$JB$91</f>
        <v>0.10539999999999999</v>
      </c>
      <c r="L47" s="787">
        <f>'ANALYSE - ERP =&gt; SOUS-SEGMENT'!$JC$91</f>
        <v>3.8999999999999998E-3</v>
      </c>
      <c r="N47" s="787">
        <f>'ANALYSE - ERP =&gt; SOUS-SEGMENT'!$JD$91</f>
        <v>8.0999999999999996E-3</v>
      </c>
      <c r="O47" s="787">
        <f>'ANALYSE - ERP =&gt; SOUS-SEGMENT'!$JE$91</f>
        <v>0.23830000000000001</v>
      </c>
      <c r="P47" s="787">
        <f>'ANALYSE - ERP =&gt; SOUS-SEGMENT'!$JF$91</f>
        <v>0.54090000000000005</v>
      </c>
      <c r="Q47" s="787">
        <f>'ANALYSE - ERP =&gt; SOUS-SEGMENT'!$JG$91</f>
        <v>0.2</v>
      </c>
      <c r="R47" s="787">
        <f>'ANALYSE - ERP =&gt; SOUS-SEGMENT'!$JH$91</f>
        <v>1.2699999999999999E-2</v>
      </c>
      <c r="T47" s="430">
        <f>'ANALYSE - ERP =&gt; SOUS-SEGMENT'!$Q$91</f>
        <v>1</v>
      </c>
    </row>
    <row r="48" spans="1:20" ht="15" customHeight="1">
      <c r="A48" s="26">
        <v>45</v>
      </c>
      <c r="B48" s="26">
        <v>43</v>
      </c>
      <c r="C48" s="422">
        <f>'ANALYSE - ERP =&gt; SOUS-SEGMENT'!$A$139</f>
        <v>132</v>
      </c>
      <c r="D48" s="414" t="str">
        <f>'ANALYSE - ERP =&gt; SOUS-SEGMENT'!$B$139</f>
        <v>Sécurité &amp; Justice</v>
      </c>
      <c r="E48" s="414" t="str">
        <f>'ANALYSE - ERP =&gt; SOUS-SEGMENT'!$C$139</f>
        <v>Univers carcéral</v>
      </c>
      <c r="F48" s="414" t="str">
        <f>'ANALYSE - ERP =&gt; SOUS-SEGMENT'!$D$139</f>
        <v>Maisons d’arrêt</v>
      </c>
      <c r="H48" s="787">
        <f>'ANALYSE - ERP =&gt; SOUS-SEGMENT'!$IY$139</f>
        <v>0.21790000000000001</v>
      </c>
      <c r="I48" s="787">
        <f>'ANALYSE - ERP =&gt; SOUS-SEGMENT'!$IZ$139</f>
        <v>0.67530000000000001</v>
      </c>
      <c r="J48" s="787">
        <f>'ANALYSE - ERP =&gt; SOUS-SEGMENT'!$JA$139</f>
        <v>0.10680000000000001</v>
      </c>
      <c r="K48" s="787">
        <f>'ANALYSE - ERP =&gt; SOUS-SEGMENT'!$JB$139</f>
        <v>0</v>
      </c>
      <c r="L48" s="787">
        <f>'ANALYSE - ERP =&gt; SOUS-SEGMENT'!$JC$139</f>
        <v>0</v>
      </c>
      <c r="N48" s="787">
        <f>'ANALYSE - ERP =&gt; SOUS-SEGMENT'!$JD$139</f>
        <v>0.11169999999999999</v>
      </c>
      <c r="O48" s="787">
        <f>'ANALYSE - ERP =&gt; SOUS-SEGMENT'!$JE$139</f>
        <v>0.67910000000000004</v>
      </c>
      <c r="P48" s="787">
        <f>'ANALYSE - ERP =&gt; SOUS-SEGMENT'!$JF$139</f>
        <v>0.2092</v>
      </c>
      <c r="Q48" s="787">
        <f>'ANALYSE - ERP =&gt; SOUS-SEGMENT'!$JG$139</f>
        <v>0</v>
      </c>
      <c r="R48" s="787">
        <f>'ANALYSE - ERP =&gt; SOUS-SEGMENT'!$JH$139</f>
        <v>0</v>
      </c>
      <c r="T48" s="430">
        <f>'ANALYSE - ERP =&gt; SOUS-SEGMENT'!$Q$139</f>
        <v>1</v>
      </c>
    </row>
    <row r="49" spans="1:20" ht="15" customHeight="1">
      <c r="A49" s="26">
        <v>46</v>
      </c>
      <c r="B49" s="26">
        <v>46</v>
      </c>
      <c r="C49" s="422">
        <f>'ANALYSE - ERP =&gt; SOUS-SEGMENT'!$A$12</f>
        <v>5</v>
      </c>
      <c r="D49" s="415" t="str">
        <f>'ANALYSE - ERP =&gt; SOUS-SEGMENT'!$B$12</f>
        <v>Enfance, Enseignement, Jeunesse &amp; Formation</v>
      </c>
      <c r="E49" s="415" t="str">
        <f>'ANALYSE - ERP =&gt; SOUS-SEGMENT'!$C$12</f>
        <v>Enseignement scolaire</v>
      </c>
      <c r="F49" s="415" t="str">
        <f>'ANALYSE - ERP =&gt; SOUS-SEGMENT'!$D$12</f>
        <v>Écoles primaires</v>
      </c>
      <c r="H49" s="787">
        <f>'ANALYSE - ERP =&gt; SOUS-SEGMENT'!$IY$12</f>
        <v>9.4500000000000001E-2</v>
      </c>
      <c r="I49" s="787">
        <f>'ANALYSE - ERP =&gt; SOUS-SEGMENT'!$IZ$12</f>
        <v>0.53339999999999999</v>
      </c>
      <c r="J49" s="787">
        <f>'ANALYSE - ERP =&gt; SOUS-SEGMENT'!$JA$12</f>
        <v>0.34610000000000002</v>
      </c>
      <c r="K49" s="787">
        <f>'ANALYSE - ERP =&gt; SOUS-SEGMENT'!$JB$12</f>
        <v>2.58E-2</v>
      </c>
      <c r="L49" s="787">
        <f>'ANALYSE - ERP =&gt; SOUS-SEGMENT'!$JC$12</f>
        <v>2.0000000000000001E-4</v>
      </c>
      <c r="N49" s="787">
        <f>'ANALYSE - ERP =&gt; SOUS-SEGMENT'!$JD$12</f>
        <v>3.44E-2</v>
      </c>
      <c r="O49" s="787">
        <f>'ANALYSE - ERP =&gt; SOUS-SEGMENT'!$JE$12</f>
        <v>0.38750000000000001</v>
      </c>
      <c r="P49" s="787">
        <f>'ANALYSE - ERP =&gt; SOUS-SEGMENT'!$JF$12</f>
        <v>0.502</v>
      </c>
      <c r="Q49" s="787">
        <f>'ANALYSE - ERP =&gt; SOUS-SEGMENT'!$JG$12</f>
        <v>7.4800000000000005E-2</v>
      </c>
      <c r="R49" s="787">
        <f>'ANALYSE - ERP =&gt; SOUS-SEGMENT'!$JH$12</f>
        <v>1.2999999999999999E-3</v>
      </c>
      <c r="T49" s="430">
        <f>'ANALYSE - ERP =&gt; SOUS-SEGMENT'!$Q$12</f>
        <v>1</v>
      </c>
    </row>
    <row r="50" spans="1:20" ht="15" customHeight="1">
      <c r="A50" s="26">
        <v>47</v>
      </c>
      <c r="B50" s="26">
        <v>47</v>
      </c>
      <c r="C50" s="422">
        <f>'ANALYSE - ERP =&gt; SOUS-SEGMENT'!$A$93</f>
        <v>86</v>
      </c>
      <c r="D50" s="415" t="str">
        <f>'ANALYSE - ERP =&gt; SOUS-SEGMENT'!$B$93</f>
        <v>Hébergement Touristique</v>
      </c>
      <c r="E50" s="415" t="str">
        <f>'ANALYSE - ERP =&gt; SOUS-SEGMENT'!$C$93</f>
        <v>Hébergement Montagne</v>
      </c>
      <c r="F50" s="415" t="str">
        <f>'ANALYSE - ERP =&gt; SOUS-SEGMENT'!$D$93</f>
        <v>Refuges de montagne</v>
      </c>
      <c r="H50" s="787">
        <f>'ANALYSE - ERP =&gt; SOUS-SEGMENT'!$IY$93</f>
        <v>0.18659999999999999</v>
      </c>
      <c r="I50" s="787">
        <f>'ANALYSE - ERP =&gt; SOUS-SEGMENT'!$IZ$93</f>
        <v>0.64849999999999997</v>
      </c>
      <c r="J50" s="787">
        <f>'ANALYSE - ERP =&gt; SOUS-SEGMENT'!$JA$93</f>
        <v>0.16489999999999999</v>
      </c>
      <c r="K50" s="787">
        <f>'ANALYSE - ERP =&gt; SOUS-SEGMENT'!$JB$93</f>
        <v>0</v>
      </c>
      <c r="L50" s="787">
        <f>'ANALYSE - ERP =&gt; SOUS-SEGMENT'!$JC$93</f>
        <v>0</v>
      </c>
      <c r="N50" s="787">
        <f>'ANALYSE - ERP =&gt; SOUS-SEGMENT'!$JD$93</f>
        <v>0.1129</v>
      </c>
      <c r="O50" s="787">
        <f>'ANALYSE - ERP =&gt; SOUS-SEGMENT'!$JE$93</f>
        <v>0.61519999999999997</v>
      </c>
      <c r="P50" s="787">
        <f>'ANALYSE - ERP =&gt; SOUS-SEGMENT'!$JF$93</f>
        <v>0.27189999999999998</v>
      </c>
      <c r="Q50" s="787">
        <f>'ANALYSE - ERP =&gt; SOUS-SEGMENT'!$JG$93</f>
        <v>0</v>
      </c>
      <c r="R50" s="787">
        <f>'ANALYSE - ERP =&gt; SOUS-SEGMENT'!$JH$93</f>
        <v>0</v>
      </c>
      <c r="T50" s="430">
        <f>'ANALYSE - ERP =&gt; SOUS-SEGMENT'!$Q$93</f>
        <v>1</v>
      </c>
    </row>
    <row r="51" spans="1:20" ht="15" customHeight="1">
      <c r="A51" s="26">
        <v>48</v>
      </c>
      <c r="B51" s="26">
        <v>48</v>
      </c>
      <c r="C51" s="422">
        <f>'ANALYSE - ERP =&gt; SOUS-SEGMENT'!$A$70</f>
        <v>63</v>
      </c>
      <c r="D51" s="413" t="str">
        <f>'ANALYSE - ERP =&gt; SOUS-SEGMENT'!$B$70</f>
        <v>Culture, Patrimoine &amp; Evénementiel</v>
      </c>
      <c r="E51" s="413" t="str">
        <f>'ANALYSE - ERP =&gt; SOUS-SEGMENT'!$C$70</f>
        <v>Expositions / salons</v>
      </c>
      <c r="F51" s="413" t="str">
        <f>'ANALYSE - ERP =&gt; SOUS-SEGMENT'!$D$70</f>
        <v>Foires / Salons</v>
      </c>
      <c r="H51" s="787">
        <f>'ANALYSE - ERP =&gt; SOUS-SEGMENT'!$IY$70</f>
        <v>0</v>
      </c>
      <c r="I51" s="787">
        <f>'ANALYSE - ERP =&gt; SOUS-SEGMENT'!$IZ$70</f>
        <v>0.1681</v>
      </c>
      <c r="J51" s="787">
        <f>'ANALYSE - ERP =&gt; SOUS-SEGMENT'!$JA$70</f>
        <v>0.50190000000000001</v>
      </c>
      <c r="K51" s="787">
        <f>'ANALYSE - ERP =&gt; SOUS-SEGMENT'!$JB$70</f>
        <v>0.29670000000000002</v>
      </c>
      <c r="L51" s="787">
        <f>'ANALYSE - ERP =&gt; SOUS-SEGMENT'!$JC$70</f>
        <v>3.3300000000000003E-2</v>
      </c>
      <c r="N51" s="787">
        <f>'ANALYSE - ERP =&gt; SOUS-SEGMENT'!$JD$70</f>
        <v>0</v>
      </c>
      <c r="O51" s="787">
        <f>'ANALYSE - ERP =&gt; SOUS-SEGMENT'!$JE$70</f>
        <v>7.5600000000000001E-2</v>
      </c>
      <c r="P51" s="787">
        <f>'ANALYSE - ERP =&gt; SOUS-SEGMENT'!$JF$70</f>
        <v>0.43020000000000003</v>
      </c>
      <c r="Q51" s="787">
        <f>'ANALYSE - ERP =&gt; SOUS-SEGMENT'!$JG$70</f>
        <v>0.41520000000000001</v>
      </c>
      <c r="R51" s="787">
        <f>'ANALYSE - ERP =&gt; SOUS-SEGMENT'!$JH$70</f>
        <v>7.9000000000000001E-2</v>
      </c>
      <c r="T51" s="430">
        <f>'ANALYSE - ERP =&gt; SOUS-SEGMENT'!$Q$70</f>
        <v>1</v>
      </c>
    </row>
    <row r="52" spans="1:20" ht="15" customHeight="1">
      <c r="A52" s="26">
        <v>49</v>
      </c>
      <c r="B52" s="26">
        <v>49</v>
      </c>
      <c r="C52" s="422">
        <f>'ANALYSE - ERP =&gt; SOUS-SEGMENT'!$A$140</f>
        <v>133</v>
      </c>
      <c r="D52" s="411" t="str">
        <f>'ANALYSE - ERP =&gt; SOUS-SEGMENT'!$B$140</f>
        <v>Sécurité &amp; Justice</v>
      </c>
      <c r="E52" s="411" t="str">
        <f>'ANALYSE - ERP =&gt; SOUS-SEGMENT'!$C$140</f>
        <v>Univers carcéral</v>
      </c>
      <c r="F52" s="411" t="str">
        <f>'ANALYSE - ERP =&gt; SOUS-SEGMENT'!$D$140</f>
        <v>Centres de détention</v>
      </c>
      <c r="H52" s="787">
        <f>'ANALYSE - ERP =&gt; SOUS-SEGMENT'!$IY$140</f>
        <v>0.21790000000000001</v>
      </c>
      <c r="I52" s="787">
        <f>'ANALYSE - ERP =&gt; SOUS-SEGMENT'!$IZ$140</f>
        <v>0.67530000000000001</v>
      </c>
      <c r="J52" s="787">
        <f>'ANALYSE - ERP =&gt; SOUS-SEGMENT'!$JA$140</f>
        <v>0.10680000000000001</v>
      </c>
      <c r="K52" s="787">
        <f>'ANALYSE - ERP =&gt; SOUS-SEGMENT'!$JB$140</f>
        <v>0</v>
      </c>
      <c r="L52" s="787">
        <f>'ANALYSE - ERP =&gt; SOUS-SEGMENT'!$JC$140</f>
        <v>0</v>
      </c>
      <c r="N52" s="787">
        <f>'ANALYSE - ERP =&gt; SOUS-SEGMENT'!$JD$140</f>
        <v>0.11169999999999999</v>
      </c>
      <c r="O52" s="787">
        <f>'ANALYSE - ERP =&gt; SOUS-SEGMENT'!$JE$140</f>
        <v>0.67910000000000004</v>
      </c>
      <c r="P52" s="787">
        <f>'ANALYSE - ERP =&gt; SOUS-SEGMENT'!$JF$140</f>
        <v>0.2092</v>
      </c>
      <c r="Q52" s="787">
        <f>'ANALYSE - ERP =&gt; SOUS-SEGMENT'!$JG$140</f>
        <v>0</v>
      </c>
      <c r="R52" s="787">
        <f>'ANALYSE - ERP =&gt; SOUS-SEGMENT'!$JH$140</f>
        <v>0</v>
      </c>
      <c r="T52" s="430">
        <f>'ANALYSE - ERP =&gt; SOUS-SEGMENT'!$Q$140</f>
        <v>1</v>
      </c>
    </row>
    <row r="53" spans="1:20" ht="15" customHeight="1">
      <c r="A53" s="26">
        <v>50</v>
      </c>
      <c r="B53" s="26">
        <v>50</v>
      </c>
      <c r="C53" s="422">
        <f>'ANALYSE - ERP =&gt; SOUS-SEGMENT'!$A$90</f>
        <v>83</v>
      </c>
      <c r="D53" s="411" t="str">
        <f>'ANALYSE - ERP =&gt; SOUS-SEGMENT'!$B$90</f>
        <v>Hébergement Touristique</v>
      </c>
      <c r="E53" s="411" t="str">
        <f>'ANALYSE - ERP =&gt; SOUS-SEGMENT'!$C$90</f>
        <v>Hébergement Touristique</v>
      </c>
      <c r="F53" s="411" t="str">
        <f>'ANALYSE - ERP =&gt; SOUS-SEGMENT'!$D$90</f>
        <v>Auberges de jeunesse</v>
      </c>
      <c r="H53" s="787">
        <f>'ANALYSE - ERP =&gt; SOUS-SEGMENT'!$IY$90</f>
        <v>5.5999999999999999E-3</v>
      </c>
      <c r="I53" s="787">
        <f>'ANALYSE - ERP =&gt; SOUS-SEGMENT'!$IZ$90</f>
        <v>0.22270000000000001</v>
      </c>
      <c r="J53" s="787">
        <f>'ANALYSE - ERP =&gt; SOUS-SEGMENT'!$JA$90</f>
        <v>0.49130000000000001</v>
      </c>
      <c r="K53" s="787">
        <f>'ANALYSE - ERP =&gt; SOUS-SEGMENT'!$JB$90</f>
        <v>0.25779999999999997</v>
      </c>
      <c r="L53" s="787">
        <f>'ANALYSE - ERP =&gt; SOUS-SEGMENT'!$JC$90</f>
        <v>2.2599999999999999E-2</v>
      </c>
      <c r="N53" s="787">
        <f>'ANALYSE - ERP =&gt; SOUS-SEGMENT'!$JD$90</f>
        <v>0</v>
      </c>
      <c r="O53" s="787">
        <f>'ANALYSE - ERP =&gt; SOUS-SEGMENT'!$JE$90</f>
        <v>0.186</v>
      </c>
      <c r="P53" s="787">
        <f>'ANALYSE - ERP =&gt; SOUS-SEGMENT'!$JF$90</f>
        <v>0.50739999999999996</v>
      </c>
      <c r="Q53" s="787">
        <f>'ANALYSE - ERP =&gt; SOUS-SEGMENT'!$JG$90</f>
        <v>0.2787</v>
      </c>
      <c r="R53" s="787">
        <f>'ANALYSE - ERP =&gt; SOUS-SEGMENT'!$JH$90</f>
        <v>2.7900000000000001E-2</v>
      </c>
      <c r="T53" s="430">
        <f>'ANALYSE - ERP =&gt; SOUS-SEGMENT'!$Q$90</f>
        <v>1</v>
      </c>
    </row>
    <row r="54" spans="1:20" ht="15" customHeight="1">
      <c r="A54" s="26">
        <v>51</v>
      </c>
      <c r="B54" s="26">
        <v>51</v>
      </c>
      <c r="C54" s="422">
        <f>'ANALYSE - ERP =&gt; SOUS-SEGMENT'!$A$92</f>
        <v>85</v>
      </c>
      <c r="D54" s="417" t="str">
        <f>'ANALYSE - ERP =&gt; SOUS-SEGMENT'!$B$92</f>
        <v>Hébergement Touristique</v>
      </c>
      <c r="E54" s="417" t="str">
        <f>'ANALYSE - ERP =&gt; SOUS-SEGMENT'!$C$92</f>
        <v>Hébergement Montagne</v>
      </c>
      <c r="F54" s="417" t="str">
        <f>'ANALYSE - ERP =&gt; SOUS-SEGMENT'!$D$92</f>
        <v>Hôtels-restaurants d’altitude</v>
      </c>
      <c r="H54" s="787">
        <f>'ANALYSE - ERP =&gt; SOUS-SEGMENT'!$IY$92</f>
        <v>0</v>
      </c>
      <c r="I54" s="787">
        <f>'ANALYSE - ERP =&gt; SOUS-SEGMENT'!$IZ$92</f>
        <v>0</v>
      </c>
      <c r="J54" s="787">
        <f>'ANALYSE - ERP =&gt; SOUS-SEGMENT'!$JA$92</f>
        <v>0.25330000000000003</v>
      </c>
      <c r="K54" s="787">
        <f>'ANALYSE - ERP =&gt; SOUS-SEGMENT'!$JB$92</f>
        <v>0.56669999999999998</v>
      </c>
      <c r="L54" s="787">
        <f>'ANALYSE - ERP =&gt; SOUS-SEGMENT'!$JC$92</f>
        <v>0.18</v>
      </c>
      <c r="N54" s="787">
        <f>'ANALYSE - ERP =&gt; SOUS-SEGMENT'!$JD$92</f>
        <v>0</v>
      </c>
      <c r="O54" s="787">
        <f>'ANALYSE - ERP =&gt; SOUS-SEGMENT'!$JE$92</f>
        <v>0</v>
      </c>
      <c r="P54" s="787">
        <f>'ANALYSE - ERP =&gt; SOUS-SEGMENT'!$JF$92</f>
        <v>0.18360000000000001</v>
      </c>
      <c r="Q54" s="787">
        <f>'ANALYSE - ERP =&gt; SOUS-SEGMENT'!$JG$92</f>
        <v>0.56640000000000001</v>
      </c>
      <c r="R54" s="787">
        <f>'ANALYSE - ERP =&gt; SOUS-SEGMENT'!$JH$92</f>
        <v>0.25</v>
      </c>
      <c r="T54" s="430">
        <f>'ANALYSE - ERP =&gt; SOUS-SEGMENT'!$Q$92</f>
        <v>1</v>
      </c>
    </row>
    <row r="55" spans="1:20" ht="15" customHeight="1">
      <c r="A55" s="26">
        <v>52</v>
      </c>
      <c r="B55" s="26">
        <v>52</v>
      </c>
      <c r="C55" s="422">
        <f>'ANALYSE - ERP =&gt; SOUS-SEGMENT'!$A$124</f>
        <v>117</v>
      </c>
      <c r="D55" s="417" t="str">
        <f>'ANALYSE - ERP =&gt; SOUS-SEGMENT'!$B$124</f>
        <v>Transport, Mobilité &amp; Stationnement</v>
      </c>
      <c r="E55" s="417" t="str">
        <f>'ANALYSE - ERP =&gt; SOUS-SEGMENT'!$C$124</f>
        <v>Transport / Mobilité</v>
      </c>
      <c r="F55" s="417" t="str">
        <f>'ANALYSE - ERP =&gt; SOUS-SEGMENT'!$D$124</f>
        <v>Aéroports / aérogares
(&gt;1 000 passagers/an)</v>
      </c>
      <c r="H55" s="787">
        <f>'ANALYSE - ERP =&gt; SOUS-SEGMENT'!$IY$124</f>
        <v>0</v>
      </c>
      <c r="I55" s="787">
        <f>'ANALYSE - ERP =&gt; SOUS-SEGMENT'!$IZ$124</f>
        <v>8.6999999999999994E-2</v>
      </c>
      <c r="J55" s="787">
        <f>'ANALYSE - ERP =&gt; SOUS-SEGMENT'!$JA$124</f>
        <v>0.44440000000000002</v>
      </c>
      <c r="K55" s="787">
        <f>'ANALYSE - ERP =&gt; SOUS-SEGMENT'!$JB$124</f>
        <v>0.41959999999999997</v>
      </c>
      <c r="L55" s="787">
        <f>'ANALYSE - ERP =&gt; SOUS-SEGMENT'!$JC$124</f>
        <v>4.9000000000000002E-2</v>
      </c>
      <c r="N55" s="787">
        <f>'ANALYSE - ERP =&gt; SOUS-SEGMENT'!$JD$124</f>
        <v>0</v>
      </c>
      <c r="O55" s="787">
        <f>'ANALYSE - ERP =&gt; SOUS-SEGMENT'!$JE$124</f>
        <v>4.9299999999999997E-2</v>
      </c>
      <c r="P55" s="787">
        <f>'ANALYSE - ERP =&gt; SOUS-SEGMENT'!$JF$124</f>
        <v>0.29749999999999999</v>
      </c>
      <c r="Q55" s="787">
        <f>'ANALYSE - ERP =&gt; SOUS-SEGMENT'!$JG$124</f>
        <v>0.51649999999999996</v>
      </c>
      <c r="R55" s="787">
        <f>'ANALYSE - ERP =&gt; SOUS-SEGMENT'!$JH$124</f>
        <v>0.13669999999999999</v>
      </c>
      <c r="T55" s="430">
        <f>'ANALYSE - ERP =&gt; SOUS-SEGMENT'!$Q$124</f>
        <v>1</v>
      </c>
    </row>
    <row r="56" spans="1:20" ht="15" customHeight="1">
      <c r="A56" s="26">
        <v>53</v>
      </c>
      <c r="B56" s="26">
        <v>53</v>
      </c>
      <c r="C56" s="422">
        <f>'ANALYSE - ERP =&gt; SOUS-SEGMENT'!$A$47</f>
        <v>40</v>
      </c>
      <c r="D56" s="413" t="str">
        <f>'ANALYSE - ERP =&gt; SOUS-SEGMENT'!$B$47</f>
        <v>Santé &amp; Médico-social</v>
      </c>
      <c r="E56" s="413" t="str">
        <f>'ANALYSE - ERP =&gt; SOUS-SEGMENT'!$C$47</f>
        <v>Santé hospitalière</v>
      </c>
      <c r="F56" s="413" t="str">
        <f>'ANALYSE - ERP =&gt; SOUS-SEGMENT'!$D$47</f>
        <v>Hôpitaux d’instruction des armées et centres médicaux recevant du public</v>
      </c>
      <c r="H56" s="787">
        <f>'ANALYSE - ERP =&gt; SOUS-SEGMENT'!$IY$47</f>
        <v>0</v>
      </c>
      <c r="I56" s="787">
        <f>'ANALYSE - ERP =&gt; SOUS-SEGMENT'!$IZ$47</f>
        <v>0.33119999999999999</v>
      </c>
      <c r="J56" s="787">
        <f>'ANALYSE - ERP =&gt; SOUS-SEGMENT'!$JA$47</f>
        <v>0.5504</v>
      </c>
      <c r="K56" s="787">
        <f>'ANALYSE - ERP =&gt; SOUS-SEGMENT'!$JB$47</f>
        <v>0.1167</v>
      </c>
      <c r="L56" s="787">
        <f>'ANALYSE - ERP =&gt; SOUS-SEGMENT'!$JC$47</f>
        <v>1.6999999999999999E-3</v>
      </c>
      <c r="N56" s="787">
        <f>'ANALYSE - ERP =&gt; SOUS-SEGMENT'!$JD$47</f>
        <v>0</v>
      </c>
      <c r="O56" s="787">
        <f>'ANALYSE - ERP =&gt; SOUS-SEGMENT'!$JE$47</f>
        <v>0.1893</v>
      </c>
      <c r="P56" s="787">
        <f>'ANALYSE - ERP =&gt; SOUS-SEGMENT'!$JF$47</f>
        <v>0.5948</v>
      </c>
      <c r="Q56" s="787">
        <f>'ANALYSE - ERP =&gt; SOUS-SEGMENT'!$JG$47</f>
        <v>0.20960000000000001</v>
      </c>
      <c r="R56" s="787">
        <f>'ANALYSE - ERP =&gt; SOUS-SEGMENT'!$JH$47</f>
        <v>6.3E-3</v>
      </c>
      <c r="T56" s="430">
        <f>'ANALYSE - ERP =&gt; SOUS-SEGMENT'!$Q$47</f>
        <v>1</v>
      </c>
    </row>
    <row r="57" spans="1:20" ht="15" customHeight="1">
      <c r="A57" s="26">
        <v>54</v>
      </c>
      <c r="B57" s="26">
        <v>54</v>
      </c>
      <c r="C57" s="422">
        <f>'ANALYSE - ERP =&gt; SOUS-SEGMENT'!$A$132</f>
        <v>125</v>
      </c>
      <c r="D57" s="417" t="str">
        <f>'ANALYSE - ERP =&gt; SOUS-SEGMENT'!$B$132</f>
        <v>Sécurité &amp; Justice</v>
      </c>
      <c r="E57" s="417" t="str">
        <f>'ANALYSE - ERP =&gt; SOUS-SEGMENT'!$C$132</f>
        <v xml:space="preserve">Commissariats / postes de police </v>
      </c>
      <c r="F57" s="417" t="str">
        <f>'ANALYSE - ERP =&gt; SOUS-SEGMENT'!$D$132</f>
        <v>Locaux de sûreté, garde à vue et zones opérationnelles</v>
      </c>
      <c r="H57" s="787">
        <f>'ANALYSE - ERP =&gt; SOUS-SEGMENT'!$IY$132</f>
        <v>7.5399999999999995E-2</v>
      </c>
      <c r="I57" s="787">
        <f>'ANALYSE - ERP =&gt; SOUS-SEGMENT'!$IZ$132</f>
        <v>0.5827</v>
      </c>
      <c r="J57" s="787">
        <f>'ANALYSE - ERP =&gt; SOUS-SEGMENT'!$JA$132</f>
        <v>0.34189999999999998</v>
      </c>
      <c r="K57" s="787">
        <f>'ANALYSE - ERP =&gt; SOUS-SEGMENT'!$JB$132</f>
        <v>0</v>
      </c>
      <c r="L57" s="787">
        <f>'ANALYSE - ERP =&gt; SOUS-SEGMENT'!$JC$132</f>
        <v>0</v>
      </c>
      <c r="N57" s="787">
        <f>'ANALYSE - ERP =&gt; SOUS-SEGMENT'!$JD$132</f>
        <v>4.4499999999999998E-2</v>
      </c>
      <c r="O57" s="787">
        <f>'ANALYSE - ERP =&gt; SOUS-SEGMENT'!$JE$132</f>
        <v>0.4929</v>
      </c>
      <c r="P57" s="787">
        <f>'ANALYSE - ERP =&gt; SOUS-SEGMENT'!$JF$132</f>
        <v>0.46260000000000001</v>
      </c>
      <c r="Q57" s="787">
        <f>'ANALYSE - ERP =&gt; SOUS-SEGMENT'!$JG$132</f>
        <v>0</v>
      </c>
      <c r="R57" s="787">
        <f>'ANALYSE - ERP =&gt; SOUS-SEGMENT'!$JH$132</f>
        <v>0</v>
      </c>
      <c r="T57" s="430">
        <f>'ANALYSE - ERP =&gt; SOUS-SEGMENT'!$Q$132</f>
        <v>1</v>
      </c>
    </row>
    <row r="58" spans="1:20" ht="15" customHeight="1">
      <c r="A58" s="26">
        <v>55</v>
      </c>
      <c r="B58" s="26">
        <v>55</v>
      </c>
      <c r="C58" s="422">
        <f>'ANALYSE - ERP =&gt; SOUS-SEGMENT'!$A$127</f>
        <v>120</v>
      </c>
      <c r="D58" s="417" t="str">
        <f>'ANALYSE - ERP =&gt; SOUS-SEGMENT'!$B$127</f>
        <v>Transport, Mobilité &amp; Stationnement</v>
      </c>
      <c r="E58" s="417" t="str">
        <f>'ANALYSE - ERP =&gt; SOUS-SEGMENT'!$C$127</f>
        <v>Transport / Mobilité</v>
      </c>
      <c r="F58" s="417" t="str">
        <f>'ANALYSE - ERP =&gt; SOUS-SEGMENT'!$D$127</f>
        <v>Terminaux maritimes / fluviaux</v>
      </c>
      <c r="H58" s="787">
        <f>'ANALYSE - ERP =&gt; SOUS-SEGMENT'!$IY$127</f>
        <v>0</v>
      </c>
      <c r="I58" s="787">
        <f>'ANALYSE - ERP =&gt; SOUS-SEGMENT'!$IZ$127</f>
        <v>0.1062</v>
      </c>
      <c r="J58" s="787">
        <f>'ANALYSE - ERP =&gt; SOUS-SEGMENT'!$JA$127</f>
        <v>0.48499999999999999</v>
      </c>
      <c r="K58" s="787">
        <f>'ANALYSE - ERP =&gt; SOUS-SEGMENT'!$JB$127</f>
        <v>0.37730000000000002</v>
      </c>
      <c r="L58" s="787">
        <f>'ANALYSE - ERP =&gt; SOUS-SEGMENT'!$JC$127</f>
        <v>3.15E-2</v>
      </c>
      <c r="N58" s="787">
        <f>'ANALYSE - ERP =&gt; SOUS-SEGMENT'!$JD$127</f>
        <v>0</v>
      </c>
      <c r="O58" s="787">
        <f>'ANALYSE - ERP =&gt; SOUS-SEGMENT'!$JE$127</f>
        <v>5.3900000000000003E-2</v>
      </c>
      <c r="P58" s="787">
        <f>'ANALYSE - ERP =&gt; SOUS-SEGMENT'!$JF$127</f>
        <v>0.32350000000000001</v>
      </c>
      <c r="Q58" s="787">
        <f>'ANALYSE - ERP =&gt; SOUS-SEGMENT'!$JG$127</f>
        <v>0.50519999999999998</v>
      </c>
      <c r="R58" s="787">
        <f>'ANALYSE - ERP =&gt; SOUS-SEGMENT'!$JH$127</f>
        <v>0.1174</v>
      </c>
      <c r="T58" s="430">
        <f>'ANALYSE - ERP =&gt; SOUS-SEGMENT'!$Q$127</f>
        <v>1</v>
      </c>
    </row>
    <row r="59" spans="1:20" ht="15" customHeight="1">
      <c r="A59" s="26">
        <v>56</v>
      </c>
      <c r="B59" s="26">
        <v>56</v>
      </c>
      <c r="C59" s="422">
        <f>'ANALYSE - ERP =&gt; SOUS-SEGMENT'!$A$121</f>
        <v>114</v>
      </c>
      <c r="D59" s="417" t="str">
        <f>'ANALYSE - ERP =&gt; SOUS-SEGMENT'!$B$121</f>
        <v>Transport, Mobilité &amp; Stationnement</v>
      </c>
      <c r="E59" s="417" t="str">
        <f>'ANALYSE - ERP =&gt; SOUS-SEGMENT'!$C$121</f>
        <v>Transport / Mobilité</v>
      </c>
      <c r="F59" s="417" t="str">
        <f>'ANALYSE - ERP =&gt; SOUS-SEGMENT'!$D$121</f>
        <v>Aires de service - Autoroutes
(Hors Aires de repos)</v>
      </c>
      <c r="H59" s="787">
        <f>'ANALYSE - ERP =&gt; SOUS-SEGMENT'!$IY$121</f>
        <v>3.5200000000000002E-2</v>
      </c>
      <c r="I59" s="787">
        <f>'ANALYSE - ERP =&gt; SOUS-SEGMENT'!$IZ$121</f>
        <v>0.48139999999999999</v>
      </c>
      <c r="J59" s="787">
        <f>'ANALYSE - ERP =&gt; SOUS-SEGMENT'!$JA$121</f>
        <v>0.41339999999999999</v>
      </c>
      <c r="K59" s="787">
        <f>'ANALYSE - ERP =&gt; SOUS-SEGMENT'!$JB$121</f>
        <v>0.04</v>
      </c>
      <c r="L59" s="787">
        <f>'ANALYSE - ERP =&gt; SOUS-SEGMENT'!$JC$121</f>
        <v>0.03</v>
      </c>
      <c r="N59" s="787">
        <f>'ANALYSE - ERP =&gt; SOUS-SEGMENT'!$JD$121</f>
        <v>7.7000000000000002E-3</v>
      </c>
      <c r="O59" s="787">
        <f>'ANALYSE - ERP =&gt; SOUS-SEGMENT'!$JE$121</f>
        <v>0.35770000000000002</v>
      </c>
      <c r="P59" s="787">
        <f>'ANALYSE - ERP =&gt; SOUS-SEGMENT'!$JF$121</f>
        <v>0.52539999999999998</v>
      </c>
      <c r="Q59" s="787">
        <f>'ANALYSE - ERP =&gt; SOUS-SEGMENT'!$JG$121</f>
        <v>7.9200000000000007E-2</v>
      </c>
      <c r="R59" s="787">
        <f>'ANALYSE - ERP =&gt; SOUS-SEGMENT'!$JH$121</f>
        <v>0.03</v>
      </c>
      <c r="T59" s="430">
        <f>'ANALYSE - ERP =&gt; SOUS-SEGMENT'!$Q$121</f>
        <v>1</v>
      </c>
    </row>
    <row r="60" spans="1:20" ht="15" customHeight="1">
      <c r="A60" s="26">
        <v>57</v>
      </c>
      <c r="B60" s="26">
        <v>59</v>
      </c>
      <c r="C60" s="422">
        <f>'ANALYSE - ERP =&gt; SOUS-SEGMENT'!$A$144</f>
        <v>137</v>
      </c>
      <c r="D60" s="417" t="str">
        <f>'ANALYSE - ERP =&gt; SOUS-SEGMENT'!$B$144</f>
        <v>Sécurité &amp; Justice</v>
      </c>
      <c r="E60" s="417" t="str">
        <f>'ANALYSE - ERP =&gt; SOUS-SEGMENT'!$C$144</f>
        <v>Univers carcéral</v>
      </c>
      <c r="F60" s="417" t="str">
        <f>'ANALYSE - ERP =&gt; SOUS-SEGMENT'!$D$144</f>
        <v>Centres éducatifs fermés</v>
      </c>
      <c r="H60" s="787">
        <f>'ANALYSE - ERP =&gt; SOUS-SEGMENT'!$IY$144</f>
        <v>7.1499999999999994E-2</v>
      </c>
      <c r="I60" s="787">
        <f>'ANALYSE - ERP =&gt; SOUS-SEGMENT'!$IZ$144</f>
        <v>0.57299999999999995</v>
      </c>
      <c r="J60" s="787">
        <f>'ANALYSE - ERP =&gt; SOUS-SEGMENT'!$JA$144</f>
        <v>0.34050000000000002</v>
      </c>
      <c r="K60" s="787">
        <f>'ANALYSE - ERP =&gt; SOUS-SEGMENT'!$JB$144</f>
        <v>1.4999999999999999E-2</v>
      </c>
      <c r="L60" s="787">
        <f>'ANALYSE - ERP =&gt; SOUS-SEGMENT'!$JC$144</f>
        <v>0</v>
      </c>
      <c r="N60" s="787">
        <f>'ANALYSE - ERP =&gt; SOUS-SEGMENT'!$JD$144</f>
        <v>1.3599999999999999E-2</v>
      </c>
      <c r="O60" s="787">
        <f>'ANALYSE - ERP =&gt; SOUS-SEGMENT'!$JE$144</f>
        <v>0.32640000000000002</v>
      </c>
      <c r="P60" s="787">
        <f>'ANALYSE - ERP =&gt; SOUS-SEGMENT'!$JF$144</f>
        <v>0.58220000000000005</v>
      </c>
      <c r="Q60" s="787">
        <f>'ANALYSE - ERP =&gt; SOUS-SEGMENT'!$JG$144</f>
        <v>7.6999999999999999E-2</v>
      </c>
      <c r="R60" s="787">
        <f>'ANALYSE - ERP =&gt; SOUS-SEGMENT'!$JH$144</f>
        <v>8.0000000000000004E-4</v>
      </c>
      <c r="T60" s="430">
        <f>'ANALYSE - ERP =&gt; SOUS-SEGMENT'!$Q$144</f>
        <v>1</v>
      </c>
    </row>
    <row r="61" spans="1:20" ht="15" customHeight="1">
      <c r="A61" s="26">
        <v>58</v>
      </c>
      <c r="B61" s="26">
        <v>58</v>
      </c>
      <c r="C61" s="422">
        <f>'ANALYSE - ERP =&gt; SOUS-SEGMENT'!$A$72</f>
        <v>65</v>
      </c>
      <c r="D61" s="417" t="str">
        <f>'ANALYSE - ERP =&gt; SOUS-SEGMENT'!$B$72</f>
        <v>Culture, Patrimoine &amp; Evénementiel</v>
      </c>
      <c r="E61" s="417" t="str">
        <f>'ANALYSE - ERP =&gt; SOUS-SEGMENT'!$C$72</f>
        <v>Événementiel temporaire</v>
      </c>
      <c r="F61" s="417" t="str">
        <f>'ANALYSE - ERP =&gt; SOUS-SEGMENT'!$D$72</f>
        <v>Chapiteaux / Tentes / Structures</v>
      </c>
      <c r="H61" s="787">
        <f>'ANALYSE - ERP =&gt; SOUS-SEGMENT'!$IY$72</f>
        <v>0</v>
      </c>
      <c r="I61" s="787">
        <f>'ANALYSE - ERP =&gt; SOUS-SEGMENT'!$IZ$72</f>
        <v>0</v>
      </c>
      <c r="J61" s="787">
        <f>'ANALYSE - ERP =&gt; SOUS-SEGMENT'!$JA$72</f>
        <v>0</v>
      </c>
      <c r="K61" s="787">
        <f>'ANALYSE - ERP =&gt; SOUS-SEGMENT'!$JB$72</f>
        <v>0</v>
      </c>
      <c r="L61" s="787">
        <f>'ANALYSE - ERP =&gt; SOUS-SEGMENT'!$JC$72</f>
        <v>0</v>
      </c>
      <c r="N61" s="787">
        <f>'ANALYSE - ERP =&gt; SOUS-SEGMENT'!$JD$72</f>
        <v>0</v>
      </c>
      <c r="O61" s="787">
        <f>'ANALYSE - ERP =&gt; SOUS-SEGMENT'!$JE$72</f>
        <v>0</v>
      </c>
      <c r="P61" s="787">
        <f>'ANALYSE - ERP =&gt; SOUS-SEGMENT'!$JF$72</f>
        <v>0</v>
      </c>
      <c r="Q61" s="787">
        <f>'ANALYSE - ERP =&gt; SOUS-SEGMENT'!$JG$72</f>
        <v>0</v>
      </c>
      <c r="R61" s="787">
        <f>'ANALYSE - ERP =&gt; SOUS-SEGMENT'!$JH$72</f>
        <v>0</v>
      </c>
      <c r="T61" s="430">
        <f>'ANALYSE - ERP =&gt; SOUS-SEGMENT'!$Q$72</f>
        <v>1</v>
      </c>
    </row>
    <row r="62" spans="1:20" s="45" customFormat="1" ht="15" customHeight="1">
      <c r="A62" s="406">
        <v>59</v>
      </c>
      <c r="B62" s="406">
        <v>57</v>
      </c>
      <c r="C62" s="448">
        <f>'ANALYSE - ERP =&gt; SOUS-SEGMENT'!$A$16</f>
        <v>9</v>
      </c>
      <c r="D62" s="449" t="str">
        <f>'ANALYSE - ERP =&gt; SOUS-SEGMENT'!$B$16</f>
        <v>Enfance, Enseignement, Jeunesse &amp; Formation</v>
      </c>
      <c r="E62" s="449" t="str">
        <f>'ANALYSE - ERP =&gt; SOUS-SEGMENT'!$C$16</f>
        <v>Enseignement supérieur</v>
      </c>
      <c r="F62" s="449" t="str">
        <f>'ANALYSE - ERP =&gt; SOUS-SEGMENT'!$D$16</f>
        <v>Universités</v>
      </c>
      <c r="G62" s="685"/>
      <c r="H62" s="788">
        <f>'ANALYSE - ERP =&gt; SOUS-SEGMENT'!$IY$16</f>
        <v>2.47E-2</v>
      </c>
      <c r="I62" s="788">
        <f>'ANALYSE - ERP =&gt; SOUS-SEGMENT'!$IZ$16</f>
        <v>0.38429999999999997</v>
      </c>
      <c r="J62" s="788">
        <f>'ANALYSE - ERP =&gt; SOUS-SEGMENT'!$JA$16</f>
        <v>0.48630000000000001</v>
      </c>
      <c r="K62" s="788">
        <f>'ANALYSE - ERP =&gt; SOUS-SEGMENT'!$JB$16</f>
        <v>0.10299999999999999</v>
      </c>
      <c r="L62" s="788">
        <f>'ANALYSE - ERP =&gt; SOUS-SEGMENT'!$JC$16</f>
        <v>1.6999999999999999E-3</v>
      </c>
      <c r="M62" s="685"/>
      <c r="N62" s="788">
        <f>'ANALYSE - ERP =&gt; SOUS-SEGMENT'!$JD$16</f>
        <v>0</v>
      </c>
      <c r="O62" s="788">
        <f>'ANALYSE - ERP =&gt; SOUS-SEGMENT'!$JE$16</f>
        <v>0.20069999999999999</v>
      </c>
      <c r="P62" s="788">
        <f>'ANALYSE - ERP =&gt; SOUS-SEGMENT'!$JF$16</f>
        <v>0.53720000000000001</v>
      </c>
      <c r="Q62" s="788">
        <f>'ANALYSE - ERP =&gt; SOUS-SEGMENT'!$JG$16</f>
        <v>0.2455</v>
      </c>
      <c r="R62" s="788">
        <f>'ANALYSE - ERP =&gt; SOUS-SEGMENT'!$JH$16</f>
        <v>1.66E-2</v>
      </c>
      <c r="S62" s="685"/>
      <c r="T62" s="450">
        <f>'ANALYSE - ERP =&gt; SOUS-SEGMENT'!$Q$16</f>
        <v>1</v>
      </c>
    </row>
    <row r="63" spans="1:20" ht="15" customHeight="1">
      <c r="A63" s="26">
        <v>60</v>
      </c>
      <c r="B63" s="26">
        <v>60</v>
      </c>
      <c r="C63" s="422">
        <f>'ANALYSE - ERP =&gt; SOUS-SEGMENT'!$A$17</f>
        <v>10</v>
      </c>
      <c r="D63" s="417" t="str">
        <f>'ANALYSE - ERP =&gt; SOUS-SEGMENT'!$B$17</f>
        <v>Enfance, Enseignement, Jeunesse &amp; Formation</v>
      </c>
      <c r="E63" s="417" t="str">
        <f>'ANALYSE - ERP =&gt; SOUS-SEGMENT'!$C$17</f>
        <v>Enseignement supérieur</v>
      </c>
      <c r="F63" s="417" t="str">
        <f>'ANALYSE - ERP =&gt; SOUS-SEGMENT'!$D$17</f>
        <v>Grandes écoles</v>
      </c>
      <c r="H63" s="787">
        <f>'ANALYSE - ERP =&gt; SOUS-SEGMENT'!$IY$17</f>
        <v>0</v>
      </c>
      <c r="I63" s="787">
        <f>'ANALYSE - ERP =&gt; SOUS-SEGMENT'!$IZ$17</f>
        <v>0.15160000000000001</v>
      </c>
      <c r="J63" s="787">
        <f>'ANALYSE - ERP =&gt; SOUS-SEGMENT'!$JA$17</f>
        <v>0.52359999999999995</v>
      </c>
      <c r="K63" s="787">
        <f>'ANALYSE - ERP =&gt; SOUS-SEGMENT'!$JB$17</f>
        <v>0.29409999999999997</v>
      </c>
      <c r="L63" s="787">
        <f>'ANALYSE - ERP =&gt; SOUS-SEGMENT'!$JC$17</f>
        <v>3.0700000000000002E-2</v>
      </c>
      <c r="N63" s="787">
        <f>'ANALYSE - ERP =&gt; SOUS-SEGMENT'!$JD$17</f>
        <v>0</v>
      </c>
      <c r="O63" s="787">
        <f>'ANALYSE - ERP =&gt; SOUS-SEGMENT'!$JE$17</f>
        <v>5.0200000000000002E-2</v>
      </c>
      <c r="P63" s="787">
        <f>'ANALYSE - ERP =&gt; SOUS-SEGMENT'!$JF$17</f>
        <v>0.38579999999999998</v>
      </c>
      <c r="Q63" s="787">
        <f>'ANALYSE - ERP =&gt; SOUS-SEGMENT'!$JG$17</f>
        <v>0.441</v>
      </c>
      <c r="R63" s="787">
        <f>'ANALYSE - ERP =&gt; SOUS-SEGMENT'!$JH$17</f>
        <v>0.123</v>
      </c>
      <c r="T63" s="430">
        <f>'ANALYSE - ERP =&gt; SOUS-SEGMENT'!$Q$17</f>
        <v>1</v>
      </c>
    </row>
    <row r="64" spans="1:20" ht="15" customHeight="1">
      <c r="A64" s="26">
        <v>61</v>
      </c>
      <c r="B64" s="26">
        <v>61</v>
      </c>
      <c r="C64" s="422">
        <f>'ANALYSE - ERP =&gt; SOUS-SEGMENT'!$A$48</f>
        <v>41</v>
      </c>
      <c r="D64" s="410" t="str">
        <f>'ANALYSE - ERP =&gt; SOUS-SEGMENT'!$B$48</f>
        <v>Santé &amp; Médico-social</v>
      </c>
      <c r="E64" s="410" t="str">
        <f>'ANALYSE - ERP =&gt; SOUS-SEGMENT'!$C$48</f>
        <v>Santé hospitalière</v>
      </c>
      <c r="F64" s="410" t="str">
        <f>'ANALYSE - ERP =&gt; SOUS-SEGMENT'!$D$48</f>
        <v>Unités hospitalières sécurisées en milieu carcéral</v>
      </c>
      <c r="H64" s="787">
        <f>'ANALYSE - ERP =&gt; SOUS-SEGMENT'!$IY$48</f>
        <v>4.5100000000000001E-2</v>
      </c>
      <c r="I64" s="787">
        <f>'ANALYSE - ERP =&gt; SOUS-SEGMENT'!$IZ$48</f>
        <v>0.50649999999999995</v>
      </c>
      <c r="J64" s="787">
        <f>'ANALYSE - ERP =&gt; SOUS-SEGMENT'!$JA$48</f>
        <v>0.42220000000000002</v>
      </c>
      <c r="K64" s="787">
        <f>'ANALYSE - ERP =&gt; SOUS-SEGMENT'!$JB$48</f>
        <v>2.6100000000000002E-2</v>
      </c>
      <c r="L64" s="787">
        <f>'ANALYSE - ERP =&gt; SOUS-SEGMENT'!$JC$48</f>
        <v>1E-4</v>
      </c>
      <c r="N64" s="787">
        <f>'ANALYSE - ERP =&gt; SOUS-SEGMENT'!$JD$48</f>
        <v>1.2999999999999999E-2</v>
      </c>
      <c r="O64" s="787">
        <f>'ANALYSE - ERP =&gt; SOUS-SEGMENT'!$JE$48</f>
        <v>0.32100000000000001</v>
      </c>
      <c r="P64" s="787">
        <f>'ANALYSE - ERP =&gt; SOUS-SEGMENT'!$JF$48</f>
        <v>0.58589999999999998</v>
      </c>
      <c r="Q64" s="787">
        <f>'ANALYSE - ERP =&gt; SOUS-SEGMENT'!$JG$48</f>
        <v>7.9299999999999995E-2</v>
      </c>
      <c r="R64" s="787">
        <f>'ANALYSE - ERP =&gt; SOUS-SEGMENT'!$JH$48</f>
        <v>8.0000000000000004E-4</v>
      </c>
      <c r="T64" s="430">
        <f>'ANALYSE - ERP =&gt; SOUS-SEGMENT'!$Q$48</f>
        <v>1</v>
      </c>
    </row>
    <row r="65" spans="1:20" s="45" customFormat="1" ht="15" customHeight="1">
      <c r="A65" s="26">
        <v>62</v>
      </c>
      <c r="B65" s="26">
        <v>62</v>
      </c>
      <c r="C65" s="422">
        <f>'ANALYSE - ERP =&gt; SOUS-SEGMENT'!$A$71</f>
        <v>64</v>
      </c>
      <c r="D65" s="410" t="str">
        <f>'ANALYSE - ERP =&gt; SOUS-SEGMENT'!$B$71</f>
        <v>Culture, Patrimoine &amp; Evénementiel</v>
      </c>
      <c r="E65" s="410" t="str">
        <f>'ANALYSE - ERP =&gt; SOUS-SEGMENT'!$C$71</f>
        <v>Expositions / salons</v>
      </c>
      <c r="F65" s="410" t="str">
        <f>'ANALYSE - ERP =&gt; SOUS-SEGMENT'!$D$71</f>
        <v>Halls d’exposition</v>
      </c>
      <c r="G65" s="685"/>
      <c r="H65" s="787">
        <f>'ANALYSE - ERP =&gt; SOUS-SEGMENT'!$IY$71</f>
        <v>0</v>
      </c>
      <c r="I65" s="787">
        <f>'ANALYSE - ERP =&gt; SOUS-SEGMENT'!$IZ$71</f>
        <v>0.1522</v>
      </c>
      <c r="J65" s="787">
        <f>'ANALYSE - ERP =&gt; SOUS-SEGMENT'!$JA$71</f>
        <v>0.49490000000000001</v>
      </c>
      <c r="K65" s="787">
        <f>'ANALYSE - ERP =&gt; SOUS-SEGMENT'!$JB$71</f>
        <v>0.31469999999999998</v>
      </c>
      <c r="L65" s="787">
        <f>'ANALYSE - ERP =&gt; SOUS-SEGMENT'!$JC$71</f>
        <v>3.8199999999999998E-2</v>
      </c>
      <c r="M65" s="685"/>
      <c r="N65" s="787">
        <f>'ANALYSE - ERP =&gt; SOUS-SEGMENT'!$JD$71</f>
        <v>0</v>
      </c>
      <c r="O65" s="787">
        <f>'ANALYSE - ERP =&gt; SOUS-SEGMENT'!$JE$71</f>
        <v>7.8600000000000003E-2</v>
      </c>
      <c r="P65" s="787">
        <f>'ANALYSE - ERP =&gt; SOUS-SEGMENT'!$JF$71</f>
        <v>0.40450000000000003</v>
      </c>
      <c r="Q65" s="787">
        <f>'ANALYSE - ERP =&gt; SOUS-SEGMENT'!$JG$71</f>
        <v>0.41639999999999999</v>
      </c>
      <c r="R65" s="787">
        <f>'ANALYSE - ERP =&gt; SOUS-SEGMENT'!$JH$71</f>
        <v>0.10050000000000001</v>
      </c>
      <c r="S65" s="685"/>
      <c r="T65" s="430">
        <f>'ANALYSE - ERP =&gt; SOUS-SEGMENT'!$Q$71</f>
        <v>1</v>
      </c>
    </row>
    <row r="66" spans="1:20" ht="15" customHeight="1">
      <c r="A66" s="26">
        <v>63</v>
      </c>
      <c r="B66" s="26">
        <v>63</v>
      </c>
      <c r="C66" s="422">
        <f>'ANALYSE - ERP =&gt; SOUS-SEGMENT'!$A$138</f>
        <v>131</v>
      </c>
      <c r="D66" s="417" t="str">
        <f>'ANALYSE - ERP =&gt; SOUS-SEGMENT'!$B$138</f>
        <v>Sécurité &amp; Justice</v>
      </c>
      <c r="E66" s="417" t="str">
        <f>'ANALYSE - ERP =&gt; SOUS-SEGMENT'!$C$138</f>
        <v>Forces armées</v>
      </c>
      <c r="F66" s="417" t="str">
        <f>'ANALYSE - ERP =&gt; SOUS-SEGMENT'!$D$138</f>
        <v>Salles de conférence, auditoriums et espaces événementiels ouverts au public</v>
      </c>
      <c r="H66" s="787">
        <f>'ANALYSE - ERP =&gt; SOUS-SEGMENT'!$IY$138</f>
        <v>3.2000000000000002E-3</v>
      </c>
      <c r="I66" s="787">
        <f>'ANALYSE - ERP =&gt; SOUS-SEGMENT'!$IZ$138</f>
        <v>0.35210000000000002</v>
      </c>
      <c r="J66" s="787">
        <f>'ANALYSE - ERP =&gt; SOUS-SEGMENT'!$JA$138</f>
        <v>0.53620000000000001</v>
      </c>
      <c r="K66" s="787">
        <f>'ANALYSE - ERP =&gt; SOUS-SEGMENT'!$JB$138</f>
        <v>0.1071</v>
      </c>
      <c r="L66" s="787">
        <f>'ANALYSE - ERP =&gt; SOUS-SEGMENT'!$JC$138</f>
        <v>1.4E-3</v>
      </c>
      <c r="N66" s="787">
        <f>'ANALYSE - ERP =&gt; SOUS-SEGMENT'!$JD$138</f>
        <v>0</v>
      </c>
      <c r="O66" s="787">
        <f>'ANALYSE - ERP =&gt; SOUS-SEGMENT'!$JE$138</f>
        <v>0.22819999999999999</v>
      </c>
      <c r="P66" s="787">
        <f>'ANALYSE - ERP =&gt; SOUS-SEGMENT'!$JF$138</f>
        <v>0.55979999999999996</v>
      </c>
      <c r="Q66" s="787">
        <f>'ANALYSE - ERP =&gt; SOUS-SEGMENT'!$JG$138</f>
        <v>0.20349999999999999</v>
      </c>
      <c r="R66" s="787">
        <f>'ANALYSE - ERP =&gt; SOUS-SEGMENT'!$JH$138</f>
        <v>8.5000000000000006E-3</v>
      </c>
      <c r="T66" s="430">
        <f>'ANALYSE - ERP =&gt; SOUS-SEGMENT'!$Q$138</f>
        <v>1</v>
      </c>
    </row>
    <row r="67" spans="1:20" ht="15" customHeight="1">
      <c r="A67" s="26">
        <v>64</v>
      </c>
      <c r="B67" s="26">
        <v>64</v>
      </c>
      <c r="C67" s="422">
        <f>'ANALYSE - ERP =&gt; SOUS-SEGMENT'!$A$141</f>
        <v>134</v>
      </c>
      <c r="D67" s="408" t="str">
        <f>'ANALYSE - ERP =&gt; SOUS-SEGMENT'!$B$141</f>
        <v>Sécurité &amp; Justice</v>
      </c>
      <c r="E67" s="408" t="str">
        <f>'ANALYSE - ERP =&gt; SOUS-SEGMENT'!$C$141</f>
        <v>Univers carcéral</v>
      </c>
      <c r="F67" s="408" t="str">
        <f>'ANALYSE - ERP =&gt; SOUS-SEGMENT'!$D$141</f>
        <v>Maisons centrales</v>
      </c>
      <c r="H67" s="787">
        <f>'ANALYSE - ERP =&gt; SOUS-SEGMENT'!$IY$141</f>
        <v>0.29349999999999998</v>
      </c>
      <c r="I67" s="787">
        <f>'ANALYSE - ERP =&gt; SOUS-SEGMENT'!$IZ$141</f>
        <v>0.63600000000000001</v>
      </c>
      <c r="J67" s="787">
        <f>'ANALYSE - ERP =&gt; SOUS-SEGMENT'!$JA$141</f>
        <v>7.0499999999999993E-2</v>
      </c>
      <c r="K67" s="787">
        <f>'ANALYSE - ERP =&gt; SOUS-SEGMENT'!$JB$141</f>
        <v>0</v>
      </c>
      <c r="L67" s="787">
        <f>'ANALYSE - ERP =&gt; SOUS-SEGMENT'!$JC$141</f>
        <v>0</v>
      </c>
      <c r="N67" s="787">
        <f>'ANALYSE - ERP =&gt; SOUS-SEGMENT'!$JD$141</f>
        <v>0.18229999999999999</v>
      </c>
      <c r="O67" s="787">
        <f>'ANALYSE - ERP =&gt; SOUS-SEGMENT'!$JE$141</f>
        <v>0.63939999999999997</v>
      </c>
      <c r="P67" s="787">
        <f>'ANALYSE - ERP =&gt; SOUS-SEGMENT'!$JF$141</f>
        <v>0.17829999999999999</v>
      </c>
      <c r="Q67" s="787">
        <f>'ANALYSE - ERP =&gt; SOUS-SEGMENT'!$JG$141</f>
        <v>0</v>
      </c>
      <c r="R67" s="787">
        <f>'ANALYSE - ERP =&gt; SOUS-SEGMENT'!$JH$141</f>
        <v>0</v>
      </c>
      <c r="T67" s="430">
        <f>'ANALYSE - ERP =&gt; SOUS-SEGMENT'!$Q$141</f>
        <v>1</v>
      </c>
    </row>
    <row r="68" spans="1:20" ht="15" customHeight="1">
      <c r="A68" s="26">
        <v>65</v>
      </c>
      <c r="B68" s="26">
        <v>65</v>
      </c>
      <c r="C68" s="422">
        <f>'ANALYSE - ERP =&gt; SOUS-SEGMENT'!$A$143</f>
        <v>136</v>
      </c>
      <c r="D68" s="412" t="str">
        <f>'ANALYSE - ERP =&gt; SOUS-SEGMENT'!$B$143</f>
        <v>Sécurité &amp; Justice</v>
      </c>
      <c r="E68" s="412" t="str">
        <f>'ANALYSE - ERP =&gt; SOUS-SEGMENT'!$C$143</f>
        <v>Univers carcéral</v>
      </c>
      <c r="F68" s="412" t="str">
        <f>'ANALYSE - ERP =&gt; SOUS-SEGMENT'!$D$143</f>
        <v>Centres de semi-liberté</v>
      </c>
      <c r="H68" s="787">
        <f>'ANALYSE - ERP =&gt; SOUS-SEGMENT'!$IY$143</f>
        <v>9.0800000000000006E-2</v>
      </c>
      <c r="I68" s="787">
        <f>'ANALYSE - ERP =&gt; SOUS-SEGMENT'!$IZ$143</f>
        <v>0.53949999999999998</v>
      </c>
      <c r="J68" s="787">
        <f>'ANALYSE - ERP =&gt; SOUS-SEGMENT'!$JA$143</f>
        <v>0.34560000000000002</v>
      </c>
      <c r="K68" s="787">
        <f>'ANALYSE - ERP =&gt; SOUS-SEGMENT'!$JB$143</f>
        <v>2.3900000000000001E-2</v>
      </c>
      <c r="L68" s="787">
        <f>'ANALYSE - ERP =&gt; SOUS-SEGMENT'!$JC$143</f>
        <v>2.0000000000000001E-4</v>
      </c>
      <c r="N68" s="787">
        <f>'ANALYSE - ERP =&gt; SOUS-SEGMENT'!$JD$143</f>
        <v>4.8000000000000001E-2</v>
      </c>
      <c r="O68" s="787">
        <f>'ANALYSE - ERP =&gt; SOUS-SEGMENT'!$JE$143</f>
        <v>0.44929999999999998</v>
      </c>
      <c r="P68" s="787">
        <f>'ANALYSE - ERP =&gt; SOUS-SEGMENT'!$JF$143</f>
        <v>0.45290000000000002</v>
      </c>
      <c r="Q68" s="787">
        <f>'ANALYSE - ERP =&gt; SOUS-SEGMENT'!$JG$143</f>
        <v>4.9200000000000001E-2</v>
      </c>
      <c r="R68" s="787">
        <f>'ANALYSE - ERP =&gt; SOUS-SEGMENT'!$JH$143</f>
        <v>5.9999999999999995E-4</v>
      </c>
      <c r="T68" s="430">
        <f>'ANALYSE - ERP =&gt; SOUS-SEGMENT'!$Q$143</f>
        <v>1</v>
      </c>
    </row>
    <row r="69" spans="1:20" ht="15" customHeight="1">
      <c r="A69" s="26">
        <v>66</v>
      </c>
      <c r="B69" s="26">
        <v>66</v>
      </c>
      <c r="C69" s="422">
        <f>'ANALYSE - ERP =&gt; SOUS-SEGMENT'!$A$35</f>
        <v>28</v>
      </c>
      <c r="D69" s="415" t="str">
        <f>'ANALYSE - ERP =&gt; SOUS-SEGMENT'!$B$35</f>
        <v>Sports &amp; Loisirs</v>
      </c>
      <c r="E69" s="415" t="str">
        <f>'ANALYSE - ERP =&gt; SOUS-SEGMENT'!$C$35</f>
        <v>Loisirs de plein air</v>
      </c>
      <c r="F69" s="415" t="str">
        <f>'ANALYSE - ERP =&gt; SOUS-SEGMENT'!$D$35</f>
        <v>Centres de loisirs sans hébergement</v>
      </c>
      <c r="H69" s="787">
        <f>'ANALYSE - ERP =&gt; SOUS-SEGMENT'!$IY$35</f>
        <v>0</v>
      </c>
      <c r="I69" s="787">
        <f>'ANALYSE - ERP =&gt; SOUS-SEGMENT'!$IZ$35</f>
        <v>0</v>
      </c>
      <c r="J69" s="787">
        <f>'ANALYSE - ERP =&gt; SOUS-SEGMENT'!$JA$35</f>
        <v>0</v>
      </c>
      <c r="K69" s="787">
        <f>'ANALYSE - ERP =&gt; SOUS-SEGMENT'!$JB$35</f>
        <v>0</v>
      </c>
      <c r="L69" s="787">
        <f>'ANALYSE - ERP =&gt; SOUS-SEGMENT'!$JC$35</f>
        <v>0</v>
      </c>
      <c r="N69" s="787">
        <f>'ANALYSE - ERP =&gt; SOUS-SEGMENT'!$JD$35</f>
        <v>0</v>
      </c>
      <c r="O69" s="787">
        <f>'ANALYSE - ERP =&gt; SOUS-SEGMENT'!$JE$35</f>
        <v>0</v>
      </c>
      <c r="P69" s="787">
        <f>'ANALYSE - ERP =&gt; SOUS-SEGMENT'!$JF$35</f>
        <v>0</v>
      </c>
      <c r="Q69" s="787">
        <f>'ANALYSE - ERP =&gt; SOUS-SEGMENT'!$JG$35</f>
        <v>0</v>
      </c>
      <c r="R69" s="787">
        <f>'ANALYSE - ERP =&gt; SOUS-SEGMENT'!$JH$35</f>
        <v>0</v>
      </c>
      <c r="T69" s="430">
        <f>'ANALYSE - ERP =&gt; SOUS-SEGMENT'!$Q$35</f>
        <v>1</v>
      </c>
    </row>
    <row r="70" spans="1:20" ht="15" customHeight="1">
      <c r="A70" s="26">
        <v>67</v>
      </c>
      <c r="B70" s="26">
        <v>67</v>
      </c>
      <c r="C70" s="422">
        <f>'ANALYSE - ERP =&gt; SOUS-SEGMENT'!$A$53</f>
        <v>46</v>
      </c>
      <c r="D70" s="411" t="str">
        <f>'ANALYSE - ERP =&gt; SOUS-SEGMENT'!$B$53</f>
        <v>Santé &amp; Médico-social</v>
      </c>
      <c r="E70" s="411" t="str">
        <f>'ANALYSE - ERP =&gt; SOUS-SEGMENT'!$C$53</f>
        <v>Santé ambulatoire</v>
      </c>
      <c r="F70" s="411" t="str">
        <f>'ANALYSE - ERP =&gt; SOUS-SEGMENT'!$D$53</f>
        <v>Centres de santé / Centres médicaux</v>
      </c>
      <c r="H70" s="787">
        <f>'ANALYSE - ERP =&gt; SOUS-SEGMENT'!$IY$53</f>
        <v>0</v>
      </c>
      <c r="I70" s="787">
        <f>'ANALYSE - ERP =&gt; SOUS-SEGMENT'!$IZ$53</f>
        <v>0</v>
      </c>
      <c r="J70" s="787">
        <f>'ANALYSE - ERP =&gt; SOUS-SEGMENT'!$JA$53</f>
        <v>0</v>
      </c>
      <c r="K70" s="787">
        <f>'ANALYSE - ERP =&gt; SOUS-SEGMENT'!$JB$53</f>
        <v>0</v>
      </c>
      <c r="L70" s="787">
        <f>'ANALYSE - ERP =&gt; SOUS-SEGMENT'!$JC$53</f>
        <v>0</v>
      </c>
      <c r="N70" s="787">
        <f>'ANALYSE - ERP =&gt; SOUS-SEGMENT'!$JD$53</f>
        <v>0</v>
      </c>
      <c r="O70" s="787">
        <f>'ANALYSE - ERP =&gt; SOUS-SEGMENT'!$JE$53</f>
        <v>0</v>
      </c>
      <c r="P70" s="787">
        <f>'ANALYSE - ERP =&gt; SOUS-SEGMENT'!$JF$53</f>
        <v>0</v>
      </c>
      <c r="Q70" s="787">
        <f>'ANALYSE - ERP =&gt; SOUS-SEGMENT'!$JG$53</f>
        <v>0</v>
      </c>
      <c r="R70" s="787">
        <f>'ANALYSE - ERP =&gt; SOUS-SEGMENT'!$JH$53</f>
        <v>0</v>
      </c>
      <c r="T70" s="430">
        <f>'ANALYSE - ERP =&gt; SOUS-SEGMENT'!$Q$53</f>
        <v>1</v>
      </c>
    </row>
    <row r="71" spans="1:20" ht="15" customHeight="1">
      <c r="A71" s="26">
        <v>68</v>
      </c>
      <c r="B71" s="26">
        <v>68</v>
      </c>
      <c r="C71" s="422">
        <f>'ANALYSE - ERP =&gt; SOUS-SEGMENT'!$A$54</f>
        <v>47</v>
      </c>
      <c r="D71" s="415" t="str">
        <f>'ANALYSE - ERP =&gt; SOUS-SEGMENT'!$B$54</f>
        <v>Santé &amp; Médico-social</v>
      </c>
      <c r="E71" s="415" t="str">
        <f>'ANALYSE - ERP =&gt; SOUS-SEGMENT'!$C$54</f>
        <v>Santé ambulatoire</v>
      </c>
      <c r="F71" s="415" t="str">
        <f>'ANALYSE - ERP =&gt; SOUS-SEGMENT'!$D$54</f>
        <v>Maisons de santé</v>
      </c>
      <c r="H71" s="787">
        <f>'ANALYSE - ERP =&gt; SOUS-SEGMENT'!$IY$54</f>
        <v>0</v>
      </c>
      <c r="I71" s="787">
        <f>'ANALYSE - ERP =&gt; SOUS-SEGMENT'!$IZ$54</f>
        <v>0</v>
      </c>
      <c r="J71" s="787">
        <f>'ANALYSE - ERP =&gt; SOUS-SEGMENT'!$JA$54</f>
        <v>0</v>
      </c>
      <c r="K71" s="787">
        <f>'ANALYSE - ERP =&gt; SOUS-SEGMENT'!$JB$54</f>
        <v>0</v>
      </c>
      <c r="L71" s="787">
        <f>'ANALYSE - ERP =&gt; SOUS-SEGMENT'!$JC$54</f>
        <v>0</v>
      </c>
      <c r="N71" s="787">
        <f>'ANALYSE - ERP =&gt; SOUS-SEGMENT'!$JD$54</f>
        <v>0</v>
      </c>
      <c r="O71" s="787">
        <f>'ANALYSE - ERP =&gt; SOUS-SEGMENT'!$JE$54</f>
        <v>0</v>
      </c>
      <c r="P71" s="787">
        <f>'ANALYSE - ERP =&gt; SOUS-SEGMENT'!$JF$54</f>
        <v>0</v>
      </c>
      <c r="Q71" s="787">
        <f>'ANALYSE - ERP =&gt; SOUS-SEGMENT'!$JG$54</f>
        <v>0</v>
      </c>
      <c r="R71" s="787">
        <f>'ANALYSE - ERP =&gt; SOUS-SEGMENT'!$JH$54</f>
        <v>0</v>
      </c>
      <c r="T71" s="430">
        <f>'ANALYSE - ERP =&gt; SOUS-SEGMENT'!$Q$54</f>
        <v>1</v>
      </c>
    </row>
    <row r="72" spans="1:20" ht="15" customHeight="1">
      <c r="A72" s="26">
        <v>69</v>
      </c>
      <c r="B72" s="26">
        <v>69</v>
      </c>
      <c r="C72" s="422">
        <f>'ANALYSE - ERP =&gt; SOUS-SEGMENT'!$A$62</f>
        <v>55</v>
      </c>
      <c r="D72" s="408" t="str">
        <f>'ANALYSE - ERP =&gt; SOUS-SEGMENT'!$B$62</f>
        <v>Culture, Patrimoine &amp; Evénementiel</v>
      </c>
      <c r="E72" s="408" t="str">
        <f>'ANALYSE - ERP =&gt; SOUS-SEGMENT'!$C$62</f>
        <v>Culture / spectacle</v>
      </c>
      <c r="F72" s="408" t="str">
        <f>'ANALYSE - ERP =&gt; SOUS-SEGMENT'!$D$62</f>
        <v>Cinémas</v>
      </c>
      <c r="H72" s="787">
        <f>'ANALYSE - ERP =&gt; SOUS-SEGMENT'!$IY$62</f>
        <v>0</v>
      </c>
      <c r="I72" s="787">
        <f>'ANALYSE - ERP =&gt; SOUS-SEGMENT'!$IZ$62</f>
        <v>0</v>
      </c>
      <c r="J72" s="787">
        <f>'ANALYSE - ERP =&gt; SOUS-SEGMENT'!$JA$62</f>
        <v>0</v>
      </c>
      <c r="K72" s="787">
        <f>'ANALYSE - ERP =&gt; SOUS-SEGMENT'!$JB$62</f>
        <v>0</v>
      </c>
      <c r="L72" s="787">
        <f>'ANALYSE - ERP =&gt; SOUS-SEGMENT'!$JC$62</f>
        <v>0</v>
      </c>
      <c r="N72" s="787">
        <f>'ANALYSE - ERP =&gt; SOUS-SEGMENT'!$JD$62</f>
        <v>0</v>
      </c>
      <c r="O72" s="787">
        <f>'ANALYSE - ERP =&gt; SOUS-SEGMENT'!$JE$62</f>
        <v>0</v>
      </c>
      <c r="P72" s="787">
        <f>'ANALYSE - ERP =&gt; SOUS-SEGMENT'!$JF$62</f>
        <v>0</v>
      </c>
      <c r="Q72" s="787">
        <f>'ANALYSE - ERP =&gt; SOUS-SEGMENT'!$JG$62</f>
        <v>0</v>
      </c>
      <c r="R72" s="787">
        <f>'ANALYSE - ERP =&gt; SOUS-SEGMENT'!$JH$62</f>
        <v>0</v>
      </c>
      <c r="T72" s="430">
        <f>'ANALYSE - ERP =&gt; SOUS-SEGMENT'!$Q$62</f>
        <v>1</v>
      </c>
    </row>
    <row r="73" spans="1:20" s="45" customFormat="1" ht="15" customHeight="1">
      <c r="A73" s="26">
        <v>70</v>
      </c>
      <c r="B73" s="26">
        <v>70</v>
      </c>
      <c r="C73" s="422">
        <f>'ANALYSE - ERP =&gt; SOUS-SEGMENT'!$A$63</f>
        <v>56</v>
      </c>
      <c r="D73" s="410" t="str">
        <f>'ANALYSE - ERP =&gt; SOUS-SEGMENT'!$B$63</f>
        <v>Culture, Patrimoine &amp; Evénementiel</v>
      </c>
      <c r="E73" s="410" t="str">
        <f>'ANALYSE - ERP =&gt; SOUS-SEGMENT'!$C$63</f>
        <v>Culture / spectacle</v>
      </c>
      <c r="F73" s="410" t="str">
        <f>'ANALYSE - ERP =&gt; SOUS-SEGMENT'!$D$63</f>
        <v>Théâtres</v>
      </c>
      <c r="G73" s="685"/>
      <c r="H73" s="787">
        <f>'ANALYSE - ERP =&gt; SOUS-SEGMENT'!$IY$63</f>
        <v>0</v>
      </c>
      <c r="I73" s="787">
        <f>'ANALYSE - ERP =&gt; SOUS-SEGMENT'!$IZ$63</f>
        <v>0</v>
      </c>
      <c r="J73" s="787">
        <f>'ANALYSE - ERP =&gt; SOUS-SEGMENT'!$JA$63</f>
        <v>0</v>
      </c>
      <c r="K73" s="787">
        <f>'ANALYSE - ERP =&gt; SOUS-SEGMENT'!$JB$63</f>
        <v>0</v>
      </c>
      <c r="L73" s="787">
        <f>'ANALYSE - ERP =&gt; SOUS-SEGMENT'!$JC$63</f>
        <v>0</v>
      </c>
      <c r="M73" s="685"/>
      <c r="N73" s="787">
        <f>'ANALYSE - ERP =&gt; SOUS-SEGMENT'!$JD$63</f>
        <v>0</v>
      </c>
      <c r="O73" s="787">
        <f>'ANALYSE - ERP =&gt; SOUS-SEGMENT'!$JE$63</f>
        <v>0</v>
      </c>
      <c r="P73" s="787">
        <f>'ANALYSE - ERP =&gt; SOUS-SEGMENT'!$JF$63</f>
        <v>0</v>
      </c>
      <c r="Q73" s="787">
        <f>'ANALYSE - ERP =&gt; SOUS-SEGMENT'!$JG$63</f>
        <v>0</v>
      </c>
      <c r="R73" s="787">
        <f>'ANALYSE - ERP =&gt; SOUS-SEGMENT'!$JH$63</f>
        <v>0</v>
      </c>
      <c r="S73" s="685"/>
      <c r="T73" s="430">
        <f>'ANALYSE - ERP =&gt; SOUS-SEGMENT'!$Q$63</f>
        <v>1</v>
      </c>
    </row>
    <row r="74" spans="1:20" ht="15" customHeight="1">
      <c r="A74" s="26">
        <v>71</v>
      </c>
      <c r="B74" s="26">
        <v>71</v>
      </c>
      <c r="C74" s="422">
        <f>'ANALYSE - ERP =&gt; SOUS-SEGMENT'!$A$64</f>
        <v>57</v>
      </c>
      <c r="D74" s="417" t="str">
        <f>'ANALYSE - ERP =&gt; SOUS-SEGMENT'!$B$64</f>
        <v>Culture, Patrimoine &amp; Evénementiel</v>
      </c>
      <c r="E74" s="417" t="str">
        <f>'ANALYSE - ERP =&gt; SOUS-SEGMENT'!$C$64</f>
        <v>Culture / spectacle</v>
      </c>
      <c r="F74" s="417" t="str">
        <f>'ANALYSE - ERP =&gt; SOUS-SEGMENT'!$D$64</f>
        <v>Musées</v>
      </c>
      <c r="H74" s="787">
        <f>'ANALYSE - ERP =&gt; SOUS-SEGMENT'!$IY$64</f>
        <v>0</v>
      </c>
      <c r="I74" s="787">
        <f>'ANALYSE - ERP =&gt; SOUS-SEGMENT'!$IZ$64</f>
        <v>0</v>
      </c>
      <c r="J74" s="787">
        <f>'ANALYSE - ERP =&gt; SOUS-SEGMENT'!$JA$64</f>
        <v>0</v>
      </c>
      <c r="K74" s="787">
        <f>'ANALYSE - ERP =&gt; SOUS-SEGMENT'!$JB$64</f>
        <v>0</v>
      </c>
      <c r="L74" s="787">
        <f>'ANALYSE - ERP =&gt; SOUS-SEGMENT'!$JC$64</f>
        <v>0</v>
      </c>
      <c r="N74" s="787">
        <f>'ANALYSE - ERP =&gt; SOUS-SEGMENT'!$JD$64</f>
        <v>0</v>
      </c>
      <c r="O74" s="787">
        <f>'ANALYSE - ERP =&gt; SOUS-SEGMENT'!$JE$64</f>
        <v>0</v>
      </c>
      <c r="P74" s="787">
        <f>'ANALYSE - ERP =&gt; SOUS-SEGMENT'!$JF$64</f>
        <v>0</v>
      </c>
      <c r="Q74" s="787">
        <f>'ANALYSE - ERP =&gt; SOUS-SEGMENT'!$JG$64</f>
        <v>0</v>
      </c>
      <c r="R74" s="787">
        <f>'ANALYSE - ERP =&gt; SOUS-SEGMENT'!$JH$64</f>
        <v>0</v>
      </c>
      <c r="T74" s="430">
        <f>'ANALYSE - ERP =&gt; SOUS-SEGMENT'!$Q$64</f>
        <v>1</v>
      </c>
    </row>
    <row r="75" spans="1:20" ht="15" customHeight="1">
      <c r="A75" s="26">
        <v>72</v>
      </c>
      <c r="B75" s="26">
        <v>72</v>
      </c>
      <c r="C75" s="422">
        <f>'ANALYSE - ERP =&gt; SOUS-SEGMENT'!$A$68</f>
        <v>61</v>
      </c>
      <c r="D75" s="410" t="str">
        <f>'ANALYSE - ERP =&gt; SOUS-SEGMENT'!$B$68</f>
        <v>Culture, Patrimoine &amp; Evénementiel</v>
      </c>
      <c r="E75" s="410" t="str">
        <f>'ANALYSE - ERP =&gt; SOUS-SEGMENT'!$C$68</f>
        <v>Culture / spectacle</v>
      </c>
      <c r="F75" s="410" t="str">
        <f>'ANALYSE - ERP =&gt; SOUS-SEGMENT'!$D$68</f>
        <v>Bibliothèques / Médiathèques</v>
      </c>
      <c r="H75" s="787">
        <f>'ANALYSE - ERP =&gt; SOUS-SEGMENT'!$IY$68</f>
        <v>0</v>
      </c>
      <c r="I75" s="787">
        <f>'ANALYSE - ERP =&gt; SOUS-SEGMENT'!$IZ$68</f>
        <v>0</v>
      </c>
      <c r="J75" s="787">
        <f>'ANALYSE - ERP =&gt; SOUS-SEGMENT'!$JA$68</f>
        <v>0</v>
      </c>
      <c r="K75" s="787">
        <f>'ANALYSE - ERP =&gt; SOUS-SEGMENT'!$JB$68</f>
        <v>0</v>
      </c>
      <c r="L75" s="787">
        <f>'ANALYSE - ERP =&gt; SOUS-SEGMENT'!$JC$68</f>
        <v>0</v>
      </c>
      <c r="N75" s="787">
        <f>'ANALYSE - ERP =&gt; SOUS-SEGMENT'!$JD$68</f>
        <v>0</v>
      </c>
      <c r="O75" s="787">
        <f>'ANALYSE - ERP =&gt; SOUS-SEGMENT'!$JE$68</f>
        <v>0</v>
      </c>
      <c r="P75" s="787">
        <f>'ANALYSE - ERP =&gt; SOUS-SEGMENT'!$JF$68</f>
        <v>0</v>
      </c>
      <c r="Q75" s="787">
        <f>'ANALYSE - ERP =&gt; SOUS-SEGMENT'!$JG$68</f>
        <v>0</v>
      </c>
      <c r="R75" s="787">
        <f>'ANALYSE - ERP =&gt; SOUS-SEGMENT'!$JH$68</f>
        <v>0</v>
      </c>
      <c r="T75" s="430">
        <f>'ANALYSE - ERP =&gt; SOUS-SEGMENT'!$Q$68</f>
        <v>1</v>
      </c>
    </row>
    <row r="76" spans="1:20" ht="15" customHeight="1">
      <c r="A76" s="26">
        <v>73</v>
      </c>
      <c r="B76" s="26">
        <v>73</v>
      </c>
      <c r="C76" s="422">
        <f>'ANALYSE - ERP =&gt; SOUS-SEGMENT'!$A$76</f>
        <v>69</v>
      </c>
      <c r="D76" s="410" t="str">
        <f>'ANALYSE - ERP =&gt; SOUS-SEGMENT'!$B$76</f>
        <v>Commerce, Restauration &amp; Loisirs</v>
      </c>
      <c r="E76" s="410" t="str">
        <f>'ANALYSE - ERP =&gt; SOUS-SEGMENT'!$C$76</f>
        <v>Restauration / boissons</v>
      </c>
      <c r="F76" s="410" t="str">
        <f>'ANALYSE - ERP =&gt; SOUS-SEGMENT'!$D$76</f>
        <v>Cafés / bars / brasseries</v>
      </c>
      <c r="H76" s="787">
        <f>'ANALYSE - ERP =&gt; SOUS-SEGMENT'!$IY$76</f>
        <v>0</v>
      </c>
      <c r="I76" s="787">
        <f>'ANALYSE - ERP =&gt; SOUS-SEGMENT'!$IZ$76</f>
        <v>0</v>
      </c>
      <c r="J76" s="787">
        <f>'ANALYSE - ERP =&gt; SOUS-SEGMENT'!$JA$76</f>
        <v>0</v>
      </c>
      <c r="K76" s="787">
        <f>'ANALYSE - ERP =&gt; SOUS-SEGMENT'!$JB$76</f>
        <v>0</v>
      </c>
      <c r="L76" s="787">
        <f>'ANALYSE - ERP =&gt; SOUS-SEGMENT'!$JC$76</f>
        <v>0</v>
      </c>
      <c r="N76" s="787">
        <f>'ANALYSE - ERP =&gt; SOUS-SEGMENT'!$JD$76</f>
        <v>0</v>
      </c>
      <c r="O76" s="787">
        <f>'ANALYSE - ERP =&gt; SOUS-SEGMENT'!$JE$76</f>
        <v>0</v>
      </c>
      <c r="P76" s="787">
        <f>'ANALYSE - ERP =&gt; SOUS-SEGMENT'!$JF$76</f>
        <v>0</v>
      </c>
      <c r="Q76" s="787">
        <f>'ANALYSE - ERP =&gt; SOUS-SEGMENT'!$JG$76</f>
        <v>0</v>
      </c>
      <c r="R76" s="787">
        <f>'ANALYSE - ERP =&gt; SOUS-SEGMENT'!$JH$76</f>
        <v>0</v>
      </c>
      <c r="T76" s="430">
        <f>'ANALYSE - ERP =&gt; SOUS-SEGMENT'!$Q$76</f>
        <v>1</v>
      </c>
    </row>
    <row r="77" spans="1:20" ht="15" customHeight="1">
      <c r="A77" s="26">
        <v>74</v>
      </c>
      <c r="B77" s="26">
        <v>74</v>
      </c>
      <c r="C77" s="422">
        <f>'ANALYSE - ERP =&gt; SOUS-SEGMENT'!$A$77</f>
        <v>70</v>
      </c>
      <c r="D77" s="410" t="str">
        <f>'ANALYSE - ERP =&gt; SOUS-SEGMENT'!$B$77</f>
        <v>Commerce, Restauration &amp; Loisirs</v>
      </c>
      <c r="E77" s="410" t="str">
        <f>'ANALYSE - ERP =&gt; SOUS-SEGMENT'!$C$77</f>
        <v>Restauration / boissons</v>
      </c>
      <c r="F77" s="410" t="str">
        <f>'ANALYSE - ERP =&gt; SOUS-SEGMENT'!$D$77</f>
        <v>Fast-food / Cafétérias / Food courts</v>
      </c>
      <c r="H77" s="787">
        <f>'ANALYSE - ERP =&gt; SOUS-SEGMENT'!$IY$77</f>
        <v>0</v>
      </c>
      <c r="I77" s="787">
        <f>'ANALYSE - ERP =&gt; SOUS-SEGMENT'!$IZ$77</f>
        <v>0</v>
      </c>
      <c r="J77" s="787">
        <f>'ANALYSE - ERP =&gt; SOUS-SEGMENT'!$JA$77</f>
        <v>0</v>
      </c>
      <c r="K77" s="787">
        <f>'ANALYSE - ERP =&gt; SOUS-SEGMENT'!$JB$77</f>
        <v>0</v>
      </c>
      <c r="L77" s="787">
        <f>'ANALYSE - ERP =&gt; SOUS-SEGMENT'!$JC$77</f>
        <v>0</v>
      </c>
      <c r="N77" s="787">
        <f>'ANALYSE - ERP =&gt; SOUS-SEGMENT'!$JD$77</f>
        <v>0</v>
      </c>
      <c r="O77" s="787">
        <f>'ANALYSE - ERP =&gt; SOUS-SEGMENT'!$JE$77</f>
        <v>0</v>
      </c>
      <c r="P77" s="787">
        <f>'ANALYSE - ERP =&gt; SOUS-SEGMENT'!$JF$77</f>
        <v>0</v>
      </c>
      <c r="Q77" s="787">
        <f>'ANALYSE - ERP =&gt; SOUS-SEGMENT'!$JG$77</f>
        <v>0</v>
      </c>
      <c r="R77" s="787">
        <f>'ANALYSE - ERP =&gt; SOUS-SEGMENT'!$JH$77</f>
        <v>0</v>
      </c>
      <c r="T77" s="430">
        <f>'ANALYSE - ERP =&gt; SOUS-SEGMENT'!$Q$77</f>
        <v>1</v>
      </c>
    </row>
    <row r="78" spans="1:20" ht="15" customHeight="1">
      <c r="A78" s="26">
        <v>75</v>
      </c>
      <c r="B78" s="26">
        <v>75</v>
      </c>
      <c r="C78" s="422">
        <f>'ANALYSE - ERP =&gt; SOUS-SEGMENT'!$A$41</f>
        <v>34</v>
      </c>
      <c r="D78" s="410" t="str">
        <f>'ANALYSE - ERP =&gt; SOUS-SEGMENT'!$B$41</f>
        <v>Sports &amp; Loisirs</v>
      </c>
      <c r="E78" s="410" t="str">
        <f>'ANALYSE - ERP =&gt; SOUS-SEGMENT'!$C$41</f>
        <v>Loisirs</v>
      </c>
      <c r="F78" s="410" t="str">
        <f>'ANALYSE - ERP =&gt; SOUS-SEGMENT'!$D$41</f>
        <v>Salles de jeux / Bowlings / Billards</v>
      </c>
      <c r="H78" s="787">
        <f>'ANALYSE - ERP =&gt; SOUS-SEGMENT'!$IY$41</f>
        <v>0</v>
      </c>
      <c r="I78" s="787">
        <f>'ANALYSE - ERP =&gt; SOUS-SEGMENT'!$IZ$41</f>
        <v>0</v>
      </c>
      <c r="J78" s="787">
        <f>'ANALYSE - ERP =&gt; SOUS-SEGMENT'!$JA$41</f>
        <v>0</v>
      </c>
      <c r="K78" s="787">
        <f>'ANALYSE - ERP =&gt; SOUS-SEGMENT'!$JB$41</f>
        <v>0</v>
      </c>
      <c r="L78" s="787">
        <f>'ANALYSE - ERP =&gt; SOUS-SEGMENT'!$JC$41</f>
        <v>0</v>
      </c>
      <c r="N78" s="787">
        <f>'ANALYSE - ERP =&gt; SOUS-SEGMENT'!$JD$41</f>
        <v>0</v>
      </c>
      <c r="O78" s="787">
        <f>'ANALYSE - ERP =&gt; SOUS-SEGMENT'!$JE$41</f>
        <v>0</v>
      </c>
      <c r="P78" s="787">
        <f>'ANALYSE - ERP =&gt; SOUS-SEGMENT'!$JF$41</f>
        <v>0</v>
      </c>
      <c r="Q78" s="787">
        <f>'ANALYSE - ERP =&gt; SOUS-SEGMENT'!$JG$41</f>
        <v>0</v>
      </c>
      <c r="R78" s="787">
        <f>'ANALYSE - ERP =&gt; SOUS-SEGMENT'!$JH$41</f>
        <v>0</v>
      </c>
      <c r="T78" s="430">
        <f>'ANALYSE - ERP =&gt; SOUS-SEGMENT'!$Q$41</f>
        <v>1</v>
      </c>
    </row>
    <row r="79" spans="1:20" ht="15" customHeight="1">
      <c r="A79" s="26">
        <v>76</v>
      </c>
      <c r="B79" s="26">
        <v>76</v>
      </c>
      <c r="C79" s="422">
        <f>'ANALYSE - ERP =&gt; SOUS-SEGMENT'!$A$42</f>
        <v>35</v>
      </c>
      <c r="D79" s="410" t="str">
        <f>'ANALYSE - ERP =&gt; SOUS-SEGMENT'!$B$42</f>
        <v>Sports &amp; Loisirs</v>
      </c>
      <c r="E79" s="410" t="str">
        <f>'ANALYSE - ERP =&gt; SOUS-SEGMENT'!$C$42</f>
        <v>Loisirs</v>
      </c>
      <c r="F79" s="410" t="str">
        <f>'ANALYSE - ERP =&gt; SOUS-SEGMENT'!$D$42</f>
        <v>Discothèques / Salles de danse</v>
      </c>
      <c r="H79" s="787">
        <f>'ANALYSE - ERP =&gt; SOUS-SEGMENT'!$IY$42</f>
        <v>0</v>
      </c>
      <c r="I79" s="787">
        <f>'ANALYSE - ERP =&gt; SOUS-SEGMENT'!$IZ$42</f>
        <v>0</v>
      </c>
      <c r="J79" s="787">
        <f>'ANALYSE - ERP =&gt; SOUS-SEGMENT'!$JA$42</f>
        <v>0</v>
      </c>
      <c r="K79" s="787">
        <f>'ANALYSE - ERP =&gt; SOUS-SEGMENT'!$JB$42</f>
        <v>0</v>
      </c>
      <c r="L79" s="787">
        <f>'ANALYSE - ERP =&gt; SOUS-SEGMENT'!$JC$42</f>
        <v>0</v>
      </c>
      <c r="N79" s="787">
        <f>'ANALYSE - ERP =&gt; SOUS-SEGMENT'!$JD$42</f>
        <v>0</v>
      </c>
      <c r="O79" s="787">
        <f>'ANALYSE - ERP =&gt; SOUS-SEGMENT'!$JE$42</f>
        <v>0</v>
      </c>
      <c r="P79" s="787">
        <f>'ANALYSE - ERP =&gt; SOUS-SEGMENT'!$JF$42</f>
        <v>0</v>
      </c>
      <c r="Q79" s="787">
        <f>'ANALYSE - ERP =&gt; SOUS-SEGMENT'!$JG$42</f>
        <v>0</v>
      </c>
      <c r="R79" s="787">
        <f>'ANALYSE - ERP =&gt; SOUS-SEGMENT'!$JH$42</f>
        <v>0</v>
      </c>
      <c r="T79" s="430">
        <f>'ANALYSE - ERP =&gt; SOUS-SEGMENT'!$Q$42</f>
        <v>1</v>
      </c>
    </row>
    <row r="80" spans="1:20" ht="15" customHeight="1">
      <c r="A80" s="26">
        <v>77</v>
      </c>
      <c r="B80" s="26">
        <v>77</v>
      </c>
      <c r="C80" s="422">
        <f>'ANALYSE - ERP =&gt; SOUS-SEGMENT'!$A$81</f>
        <v>74</v>
      </c>
      <c r="D80" s="411" t="str">
        <f>'ANALYSE - ERP =&gt; SOUS-SEGMENT'!$B$81</f>
        <v>Commerce, Restauration &amp; Loisirs</v>
      </c>
      <c r="E80" s="411" t="str">
        <f>'ANALYSE - ERP =&gt; SOUS-SEGMENT'!$C$81</f>
        <v>Commerce</v>
      </c>
      <c r="F80" s="411" t="str">
        <f>'ANALYSE - ERP =&gt; SOUS-SEGMENT'!$D$81</f>
        <v>Marchés couverts</v>
      </c>
      <c r="H80" s="787">
        <f>'ANALYSE - ERP =&gt; SOUS-SEGMENT'!$IY$81</f>
        <v>0</v>
      </c>
      <c r="I80" s="787">
        <f>'ANALYSE - ERP =&gt; SOUS-SEGMENT'!$IZ$81</f>
        <v>0</v>
      </c>
      <c r="J80" s="787">
        <f>'ANALYSE - ERP =&gt; SOUS-SEGMENT'!$JA$81</f>
        <v>0</v>
      </c>
      <c r="K80" s="787">
        <f>'ANALYSE - ERP =&gt; SOUS-SEGMENT'!$JB$81</f>
        <v>0</v>
      </c>
      <c r="L80" s="787">
        <f>'ANALYSE - ERP =&gt; SOUS-SEGMENT'!$JC$81</f>
        <v>0</v>
      </c>
      <c r="N80" s="787">
        <f>'ANALYSE - ERP =&gt; SOUS-SEGMENT'!$JD$81</f>
        <v>0</v>
      </c>
      <c r="O80" s="787">
        <f>'ANALYSE - ERP =&gt; SOUS-SEGMENT'!$JE$81</f>
        <v>0</v>
      </c>
      <c r="P80" s="787">
        <f>'ANALYSE - ERP =&gt; SOUS-SEGMENT'!$JF$81</f>
        <v>0</v>
      </c>
      <c r="Q80" s="787">
        <f>'ANALYSE - ERP =&gt; SOUS-SEGMENT'!$JG$81</f>
        <v>0</v>
      </c>
      <c r="R80" s="787">
        <f>'ANALYSE - ERP =&gt; SOUS-SEGMENT'!$JH$81</f>
        <v>0</v>
      </c>
      <c r="T80" s="430">
        <f>'ANALYSE - ERP =&gt; SOUS-SEGMENT'!$Q$81</f>
        <v>1</v>
      </c>
    </row>
    <row r="81" spans="1:20" ht="15" customHeight="1">
      <c r="A81" s="26">
        <v>78</v>
      </c>
      <c r="B81" s="26">
        <v>78</v>
      </c>
      <c r="C81" s="422">
        <f>'ANALYSE - ERP =&gt; SOUS-SEGMENT'!$A$82</f>
        <v>75</v>
      </c>
      <c r="D81" s="411" t="str">
        <f>'ANALYSE - ERP =&gt; SOUS-SEGMENT'!$B$82</f>
        <v>Tertiaire &amp; Industriel</v>
      </c>
      <c r="E81" s="411" t="str">
        <f>'ANALYSE - ERP =&gt; SOUS-SEGMENT'!$C$82</f>
        <v>Bureaux</v>
      </c>
      <c r="F81" s="411" t="str">
        <f>'ANALYSE - ERP =&gt; SOUS-SEGMENT'!$D$82</f>
        <v>Bureaux Tertiaire Privé (&gt;50 salariés)
(hors usines et logistique )</v>
      </c>
      <c r="H81" s="787">
        <f>'ANALYSE - ERP =&gt; SOUS-SEGMENT'!$IY$82</f>
        <v>3.1199999999999999E-2</v>
      </c>
      <c r="I81" s="787">
        <f>'ANALYSE - ERP =&gt; SOUS-SEGMENT'!$IZ$82</f>
        <v>0.41539999999999999</v>
      </c>
      <c r="J81" s="787">
        <f>'ANALYSE - ERP =&gt; SOUS-SEGMENT'!$JA$82</f>
        <v>0.49459999999999998</v>
      </c>
      <c r="K81" s="787">
        <f>'ANALYSE - ERP =&gt; SOUS-SEGMENT'!$JB$82</f>
        <v>5.8900000000000001E-2</v>
      </c>
      <c r="L81" s="787">
        <f>'ANALYSE - ERP =&gt; SOUS-SEGMENT'!$JC$82</f>
        <v>0</v>
      </c>
      <c r="N81" s="787">
        <f>'ANALYSE - ERP =&gt; SOUS-SEGMENT'!$JD$82</f>
        <v>8.9999999999999993E-3</v>
      </c>
      <c r="O81" s="787">
        <f>'ANALYSE - ERP =&gt; SOUS-SEGMENT'!$JE$82</f>
        <v>0.38819999999999999</v>
      </c>
      <c r="P81" s="787">
        <f>'ANALYSE - ERP =&gt; SOUS-SEGMENT'!$JF$82</f>
        <v>0.51680000000000004</v>
      </c>
      <c r="Q81" s="787">
        <f>'ANALYSE - ERP =&gt; SOUS-SEGMENT'!$JG$82</f>
        <v>8.1100000000000005E-2</v>
      </c>
      <c r="R81" s="787">
        <f>'ANALYSE - ERP =&gt; SOUS-SEGMENT'!$JH$82</f>
        <v>4.8999999999999998E-3</v>
      </c>
      <c r="T81" s="430">
        <f>'ANALYSE - ERP =&gt; SOUS-SEGMENT'!$Q$82</f>
        <v>1</v>
      </c>
    </row>
    <row r="82" spans="1:20" ht="15" customHeight="1">
      <c r="A82" s="26">
        <v>79</v>
      </c>
      <c r="B82" s="26">
        <v>79</v>
      </c>
      <c r="C82" s="422">
        <f>'ANALYSE - ERP =&gt; SOUS-SEGMENT'!$A$101</f>
        <v>94</v>
      </c>
      <c r="D82" s="411" t="str">
        <f>'ANALYSE - ERP =&gt; SOUS-SEGMENT'!$B$101</f>
        <v>Culte, Vie civique &amp; Services publics</v>
      </c>
      <c r="E82" s="411" t="str">
        <f>'ANALYSE - ERP =&gt; SOUS-SEGMENT'!$C$101</f>
        <v>Administrations / services publics</v>
      </c>
      <c r="F82" s="411" t="str">
        <f>'ANALYSE - ERP =&gt; SOUS-SEGMENT'!$D$101</f>
        <v>Mairies / hôtels de ville</v>
      </c>
      <c r="H82" s="787">
        <f>'ANALYSE - ERP =&gt; SOUS-SEGMENT'!$IY$101</f>
        <v>0</v>
      </c>
      <c r="I82" s="787">
        <f>'ANALYSE - ERP =&gt; SOUS-SEGMENT'!$IZ$101</f>
        <v>0</v>
      </c>
      <c r="J82" s="787">
        <f>'ANALYSE - ERP =&gt; SOUS-SEGMENT'!$JA$101</f>
        <v>0</v>
      </c>
      <c r="K82" s="787">
        <f>'ANALYSE - ERP =&gt; SOUS-SEGMENT'!$JB$101</f>
        <v>0</v>
      </c>
      <c r="L82" s="787">
        <f>'ANALYSE - ERP =&gt; SOUS-SEGMENT'!$JC$101</f>
        <v>0</v>
      </c>
      <c r="N82" s="787">
        <f>'ANALYSE - ERP =&gt; SOUS-SEGMENT'!$JD$101</f>
        <v>0</v>
      </c>
      <c r="O82" s="787">
        <f>'ANALYSE - ERP =&gt; SOUS-SEGMENT'!$JE$101</f>
        <v>0</v>
      </c>
      <c r="P82" s="787">
        <f>'ANALYSE - ERP =&gt; SOUS-SEGMENT'!$JF$101</f>
        <v>0</v>
      </c>
      <c r="Q82" s="787">
        <f>'ANALYSE - ERP =&gt; SOUS-SEGMENT'!$JG$101</f>
        <v>0</v>
      </c>
      <c r="R82" s="787">
        <f>'ANALYSE - ERP =&gt; SOUS-SEGMENT'!$JH$101</f>
        <v>0</v>
      </c>
      <c r="T82" s="430">
        <f>'ANALYSE - ERP =&gt; SOUS-SEGMENT'!$Q$101</f>
        <v>1</v>
      </c>
    </row>
    <row r="83" spans="1:20" ht="15" customHeight="1">
      <c r="A83" s="26">
        <v>80</v>
      </c>
      <c r="B83" s="26">
        <v>80</v>
      </c>
      <c r="C83" s="422">
        <f>'ANALYSE - ERP =&gt; SOUS-SEGMENT'!$A$105</f>
        <v>98</v>
      </c>
      <c r="D83" s="415" t="str">
        <f>'ANALYSE - ERP =&gt; SOUS-SEGMENT'!$B$105</f>
        <v>Culte, Vie civique &amp; Services publics</v>
      </c>
      <c r="E83" s="415" t="str">
        <f>'ANALYSE - ERP =&gt; SOUS-SEGMENT'!$C$105</f>
        <v>Administrations / services publics</v>
      </c>
      <c r="F83" s="415" t="str">
        <f>'ANALYSE - ERP =&gt; SOUS-SEGMENT'!$D$105</f>
        <v>Préfectures / services administratifs</v>
      </c>
      <c r="H83" s="787">
        <f>'ANALYSE - ERP =&gt; SOUS-SEGMENT'!$IY$105</f>
        <v>0</v>
      </c>
      <c r="I83" s="787">
        <f>'ANALYSE - ERP =&gt; SOUS-SEGMENT'!$IZ$105</f>
        <v>0</v>
      </c>
      <c r="J83" s="787">
        <f>'ANALYSE - ERP =&gt; SOUS-SEGMENT'!$JA$105</f>
        <v>0</v>
      </c>
      <c r="K83" s="787">
        <f>'ANALYSE - ERP =&gt; SOUS-SEGMENT'!$JB$105</f>
        <v>0</v>
      </c>
      <c r="L83" s="787">
        <f>'ANALYSE - ERP =&gt; SOUS-SEGMENT'!$JC$105</f>
        <v>0</v>
      </c>
      <c r="N83" s="787">
        <f>'ANALYSE - ERP =&gt; SOUS-SEGMENT'!$JD$105</f>
        <v>0</v>
      </c>
      <c r="O83" s="787">
        <f>'ANALYSE - ERP =&gt; SOUS-SEGMENT'!$JE$105</f>
        <v>0</v>
      </c>
      <c r="P83" s="787">
        <f>'ANALYSE - ERP =&gt; SOUS-SEGMENT'!$JF$105</f>
        <v>0</v>
      </c>
      <c r="Q83" s="787">
        <f>'ANALYSE - ERP =&gt; SOUS-SEGMENT'!$JG$105</f>
        <v>0</v>
      </c>
      <c r="R83" s="787">
        <f>'ANALYSE - ERP =&gt; SOUS-SEGMENT'!$JH$105</f>
        <v>0</v>
      </c>
      <c r="T83" s="430">
        <f>'ANALYSE - ERP =&gt; SOUS-SEGMENT'!$Q$105</f>
        <v>1</v>
      </c>
    </row>
    <row r="84" spans="1:20" ht="15" customHeight="1">
      <c r="A84" s="26">
        <v>81</v>
      </c>
      <c r="B84" s="26">
        <v>81</v>
      </c>
      <c r="C84" s="422">
        <f>'ANALYSE - ERP =&gt; SOUS-SEGMENT'!$A$108</f>
        <v>101</v>
      </c>
      <c r="D84" s="417" t="str">
        <f>'ANALYSE - ERP =&gt; SOUS-SEGMENT'!$B$108</f>
        <v>Culte, Vie civique &amp; Services publics</v>
      </c>
      <c r="E84" s="417" t="str">
        <f>'ANALYSE - ERP =&gt; SOUS-SEGMENT'!$C$108</f>
        <v>Administrations / services publics</v>
      </c>
      <c r="F84" s="417" t="str">
        <f>'ANALYSE - ERP =&gt; SOUS-SEGMENT'!$D$108</f>
        <v>Maisons France Services / Guichets publics autonomes ou dédiés</v>
      </c>
      <c r="H84" s="787">
        <f>'ANALYSE - ERP =&gt; SOUS-SEGMENT'!$IY$108</f>
        <v>0</v>
      </c>
      <c r="I84" s="787">
        <f>'ANALYSE - ERP =&gt; SOUS-SEGMENT'!$IZ$108</f>
        <v>0</v>
      </c>
      <c r="J84" s="787">
        <f>'ANALYSE - ERP =&gt; SOUS-SEGMENT'!$JA$108</f>
        <v>0</v>
      </c>
      <c r="K84" s="787">
        <f>'ANALYSE - ERP =&gt; SOUS-SEGMENT'!$JB$108</f>
        <v>0</v>
      </c>
      <c r="L84" s="787">
        <f>'ANALYSE - ERP =&gt; SOUS-SEGMENT'!$JC$108</f>
        <v>0</v>
      </c>
      <c r="N84" s="787">
        <f>'ANALYSE - ERP =&gt; SOUS-SEGMENT'!$JD$108</f>
        <v>0</v>
      </c>
      <c r="O84" s="787">
        <f>'ANALYSE - ERP =&gt; SOUS-SEGMENT'!$JE$108</f>
        <v>0</v>
      </c>
      <c r="P84" s="787">
        <f>'ANALYSE - ERP =&gt; SOUS-SEGMENT'!$JF$108</f>
        <v>0</v>
      </c>
      <c r="Q84" s="787">
        <f>'ANALYSE - ERP =&gt; SOUS-SEGMENT'!$JG$108</f>
        <v>0</v>
      </c>
      <c r="R84" s="787">
        <f>'ANALYSE - ERP =&gt; SOUS-SEGMENT'!$JH$108</f>
        <v>0</v>
      </c>
      <c r="T84" s="430">
        <f>'ANALYSE - ERP =&gt; SOUS-SEGMENT'!$Q$108</f>
        <v>1</v>
      </c>
    </row>
    <row r="85" spans="1:20" ht="15" customHeight="1">
      <c r="A85" s="26">
        <v>82</v>
      </c>
      <c r="B85" s="26">
        <v>82</v>
      </c>
      <c r="C85" s="422">
        <f>'ANALYSE - ERP =&gt; SOUS-SEGMENT'!$A$113</f>
        <v>106</v>
      </c>
      <c r="D85" s="415" t="str">
        <f>'ANALYSE - ERP =&gt; SOUS-SEGMENT'!$B$113</f>
        <v>Culte, Vie civique &amp; Services publics</v>
      </c>
      <c r="E85" s="415" t="str">
        <f>'ANALYSE - ERP =&gt; SOUS-SEGMENT'!$C$113</f>
        <v>Culte</v>
      </c>
      <c r="F85" s="415" t="str">
        <f>'ANALYSE - ERP =&gt; SOUS-SEGMENT'!$D$113</f>
        <v>Églises, cathédrales, basiliques et chapelles ouvertes au public</v>
      </c>
      <c r="H85" s="787">
        <f>'ANALYSE - ERP =&gt; SOUS-SEGMENT'!$IY$113</f>
        <v>0</v>
      </c>
      <c r="I85" s="787">
        <f>'ANALYSE - ERP =&gt; SOUS-SEGMENT'!$IZ$113</f>
        <v>0</v>
      </c>
      <c r="J85" s="787">
        <f>'ANALYSE - ERP =&gt; SOUS-SEGMENT'!$JA$113</f>
        <v>0</v>
      </c>
      <c r="K85" s="787">
        <f>'ANALYSE - ERP =&gt; SOUS-SEGMENT'!$JB$113</f>
        <v>0</v>
      </c>
      <c r="L85" s="787">
        <f>'ANALYSE - ERP =&gt; SOUS-SEGMENT'!$JC$113</f>
        <v>0</v>
      </c>
      <c r="N85" s="787">
        <f>'ANALYSE - ERP =&gt; SOUS-SEGMENT'!$JD$113</f>
        <v>0</v>
      </c>
      <c r="O85" s="787">
        <f>'ANALYSE - ERP =&gt; SOUS-SEGMENT'!$JE$113</f>
        <v>0</v>
      </c>
      <c r="P85" s="787">
        <f>'ANALYSE - ERP =&gt; SOUS-SEGMENT'!$JF$113</f>
        <v>0</v>
      </c>
      <c r="Q85" s="787">
        <f>'ANALYSE - ERP =&gt; SOUS-SEGMENT'!$JG$113</f>
        <v>0</v>
      </c>
      <c r="R85" s="787">
        <f>'ANALYSE - ERP =&gt; SOUS-SEGMENT'!$JH$113</f>
        <v>0</v>
      </c>
      <c r="T85" s="430">
        <f>'ANALYSE - ERP =&gt; SOUS-SEGMENT'!$Q$113</f>
        <v>1</v>
      </c>
    </row>
    <row r="86" spans="1:20" ht="15" customHeight="1">
      <c r="A86" s="26">
        <v>83</v>
      </c>
      <c r="B86" s="26">
        <v>83</v>
      </c>
      <c r="C86" s="422">
        <f>'ANALYSE - ERP =&gt; SOUS-SEGMENT'!$A$114</f>
        <v>107</v>
      </c>
      <c r="D86" s="411" t="str">
        <f>'ANALYSE - ERP =&gt; SOUS-SEGMENT'!$B$114</f>
        <v>Culte, Vie civique &amp; Services publics</v>
      </c>
      <c r="E86" s="411" t="str">
        <f>'ANALYSE - ERP =&gt; SOUS-SEGMENT'!$C$114</f>
        <v>Culte</v>
      </c>
      <c r="F86" s="411" t="str">
        <f>'ANALYSE - ERP =&gt; SOUS-SEGMENT'!$D$114</f>
        <v>Monastères, abbayes et couvents ouverts au public</v>
      </c>
      <c r="H86" s="787">
        <f>'ANALYSE - ERP =&gt; SOUS-SEGMENT'!$IY$114</f>
        <v>0.1022</v>
      </c>
      <c r="I86" s="787">
        <f>'ANALYSE - ERP =&gt; SOUS-SEGMENT'!$IZ$114</f>
        <v>0.54190000000000005</v>
      </c>
      <c r="J86" s="787">
        <f>'ANALYSE - ERP =&gt; SOUS-SEGMENT'!$JA$114</f>
        <v>0.33110000000000001</v>
      </c>
      <c r="K86" s="787">
        <f>'ANALYSE - ERP =&gt; SOUS-SEGMENT'!$JB$114</f>
        <v>2.4799999999999999E-2</v>
      </c>
      <c r="L86" s="787">
        <f>'ANALYSE - ERP =&gt; SOUS-SEGMENT'!$JC$114</f>
        <v>0</v>
      </c>
      <c r="N86" s="787">
        <f>'ANALYSE - ERP =&gt; SOUS-SEGMENT'!$JD$114</f>
        <v>8.8099999999999998E-2</v>
      </c>
      <c r="O86" s="787">
        <f>'ANALYSE - ERP =&gt; SOUS-SEGMENT'!$JE$114</f>
        <v>0.52459999999999996</v>
      </c>
      <c r="P86" s="787">
        <f>'ANALYSE - ERP =&gt; SOUS-SEGMENT'!$JF$114</f>
        <v>0.34520000000000001</v>
      </c>
      <c r="Q86" s="787">
        <f>'ANALYSE - ERP =&gt; SOUS-SEGMENT'!$JG$114</f>
        <v>3.8899999999999997E-2</v>
      </c>
      <c r="R86" s="787">
        <f>'ANALYSE - ERP =&gt; SOUS-SEGMENT'!$JH$114</f>
        <v>3.2000000000000002E-3</v>
      </c>
      <c r="T86" s="430">
        <f>'ANALYSE - ERP =&gt; SOUS-SEGMENT'!$Q$114</f>
        <v>1</v>
      </c>
    </row>
    <row r="87" spans="1:20" ht="15" customHeight="1">
      <c r="A87" s="26">
        <v>84</v>
      </c>
      <c r="B87" s="26">
        <v>84</v>
      </c>
      <c r="C87" s="422">
        <f>'ANALYSE - ERP =&gt; SOUS-SEGMENT'!$A$115</f>
        <v>108</v>
      </c>
      <c r="D87" s="415" t="str">
        <f>'ANALYSE - ERP =&gt; SOUS-SEGMENT'!$B$115</f>
        <v>Culte, Vie civique &amp; Services publics</v>
      </c>
      <c r="E87" s="415" t="str">
        <f>'ANALYSE - ERP =&gt; SOUS-SEGMENT'!$C$115</f>
        <v>Culte</v>
      </c>
      <c r="F87" s="415" t="str">
        <f>'ANALYSE - ERP =&gt; SOUS-SEGMENT'!$D$115</f>
        <v>Temples protestants, évangéliques et salles de culte assimilées</v>
      </c>
      <c r="H87" s="787">
        <f>'ANALYSE - ERP =&gt; SOUS-SEGMENT'!$IY$115</f>
        <v>0</v>
      </c>
      <c r="I87" s="787">
        <f>'ANALYSE - ERP =&gt; SOUS-SEGMENT'!$IZ$115</f>
        <v>0</v>
      </c>
      <c r="J87" s="787">
        <f>'ANALYSE - ERP =&gt; SOUS-SEGMENT'!$JA$115</f>
        <v>0</v>
      </c>
      <c r="K87" s="787">
        <f>'ANALYSE - ERP =&gt; SOUS-SEGMENT'!$JB$115</f>
        <v>0</v>
      </c>
      <c r="L87" s="787">
        <f>'ANALYSE - ERP =&gt; SOUS-SEGMENT'!$JC$115</f>
        <v>0</v>
      </c>
      <c r="N87" s="787">
        <f>'ANALYSE - ERP =&gt; SOUS-SEGMENT'!$JD$115</f>
        <v>0</v>
      </c>
      <c r="O87" s="787">
        <f>'ANALYSE - ERP =&gt; SOUS-SEGMENT'!$JE$115</f>
        <v>0</v>
      </c>
      <c r="P87" s="787">
        <f>'ANALYSE - ERP =&gt; SOUS-SEGMENT'!$JF$115</f>
        <v>0</v>
      </c>
      <c r="Q87" s="787">
        <f>'ANALYSE - ERP =&gt; SOUS-SEGMENT'!$JG$115</f>
        <v>0</v>
      </c>
      <c r="R87" s="787">
        <f>'ANALYSE - ERP =&gt; SOUS-SEGMENT'!$JH$115</f>
        <v>0</v>
      </c>
      <c r="T87" s="430">
        <f>'ANALYSE - ERP =&gt; SOUS-SEGMENT'!$Q$115</f>
        <v>1</v>
      </c>
    </row>
    <row r="88" spans="1:20" ht="15" customHeight="1">
      <c r="A88" s="26">
        <v>85</v>
      </c>
      <c r="B88" s="26">
        <v>85</v>
      </c>
      <c r="C88" s="422">
        <f>'ANALYSE - ERP =&gt; SOUS-SEGMENT'!$A$116</f>
        <v>109</v>
      </c>
      <c r="D88" s="417" t="str">
        <f>'ANALYSE - ERP =&gt; SOUS-SEGMENT'!$B$116</f>
        <v>Culte, Vie civique &amp; Services publics</v>
      </c>
      <c r="E88" s="417" t="str">
        <f>'ANALYSE - ERP =&gt; SOUS-SEGMENT'!$C$116</f>
        <v>Culte</v>
      </c>
      <c r="F88" s="417" t="str">
        <f>'ANALYSE - ERP =&gt; SOUS-SEGMENT'!$D$116</f>
        <v>Mosquées et salles de prière musulmanes</v>
      </c>
      <c r="H88" s="787">
        <f>'ANALYSE - ERP =&gt; SOUS-SEGMENT'!$IY$116</f>
        <v>0</v>
      </c>
      <c r="I88" s="787">
        <f>'ANALYSE - ERP =&gt; SOUS-SEGMENT'!$IZ$116</f>
        <v>0</v>
      </c>
      <c r="J88" s="787">
        <f>'ANALYSE - ERP =&gt; SOUS-SEGMENT'!$JA$116</f>
        <v>0</v>
      </c>
      <c r="K88" s="787">
        <f>'ANALYSE - ERP =&gt; SOUS-SEGMENT'!$JB$116</f>
        <v>0</v>
      </c>
      <c r="L88" s="787">
        <f>'ANALYSE - ERP =&gt; SOUS-SEGMENT'!$JC$116</f>
        <v>0</v>
      </c>
      <c r="N88" s="787">
        <f>'ANALYSE - ERP =&gt; SOUS-SEGMENT'!$JD$116</f>
        <v>0</v>
      </c>
      <c r="O88" s="787">
        <f>'ANALYSE - ERP =&gt; SOUS-SEGMENT'!$JE$116</f>
        <v>0</v>
      </c>
      <c r="P88" s="787">
        <f>'ANALYSE - ERP =&gt; SOUS-SEGMENT'!$JF$116</f>
        <v>0</v>
      </c>
      <c r="Q88" s="787">
        <f>'ANALYSE - ERP =&gt; SOUS-SEGMENT'!$JG$116</f>
        <v>0</v>
      </c>
      <c r="R88" s="787">
        <f>'ANALYSE - ERP =&gt; SOUS-SEGMENT'!$JH$116</f>
        <v>0</v>
      </c>
      <c r="T88" s="430">
        <f>'ANALYSE - ERP =&gt; SOUS-SEGMENT'!$Q$116</f>
        <v>1</v>
      </c>
    </row>
    <row r="89" spans="1:20" ht="15" customHeight="1">
      <c r="A89" s="26">
        <v>86</v>
      </c>
      <c r="B89" s="26">
        <v>86</v>
      </c>
      <c r="C89" s="422">
        <f>'ANALYSE - ERP =&gt; SOUS-SEGMENT'!$A$117</f>
        <v>110</v>
      </c>
      <c r="D89" s="411" t="str">
        <f>'ANALYSE - ERP =&gt; SOUS-SEGMENT'!$B$117</f>
        <v>Culte, Vie civique &amp; Services publics</v>
      </c>
      <c r="E89" s="411" t="str">
        <f>'ANALYSE - ERP =&gt; SOUS-SEGMENT'!$C$117</f>
        <v>Culte</v>
      </c>
      <c r="F89" s="411" t="str">
        <f>'ANALYSE - ERP =&gt; SOUS-SEGMENT'!$D$117</f>
        <v>Synagogues et oratoires juifs ouverts au public</v>
      </c>
      <c r="H89" s="787">
        <f>'ANALYSE - ERP =&gt; SOUS-SEGMENT'!$IY$117</f>
        <v>0</v>
      </c>
      <c r="I89" s="787">
        <f>'ANALYSE - ERP =&gt; SOUS-SEGMENT'!$IZ$117</f>
        <v>0</v>
      </c>
      <c r="J89" s="787">
        <f>'ANALYSE - ERP =&gt; SOUS-SEGMENT'!$JA$117</f>
        <v>0</v>
      </c>
      <c r="K89" s="787">
        <f>'ANALYSE - ERP =&gt; SOUS-SEGMENT'!$JB$117</f>
        <v>0</v>
      </c>
      <c r="L89" s="787">
        <f>'ANALYSE - ERP =&gt; SOUS-SEGMENT'!$JC$117</f>
        <v>0</v>
      </c>
      <c r="N89" s="787">
        <f>'ANALYSE - ERP =&gt; SOUS-SEGMENT'!$JD$117</f>
        <v>0</v>
      </c>
      <c r="O89" s="787">
        <f>'ANALYSE - ERP =&gt; SOUS-SEGMENT'!$JE$117</f>
        <v>0</v>
      </c>
      <c r="P89" s="787">
        <f>'ANALYSE - ERP =&gt; SOUS-SEGMENT'!$JF$117</f>
        <v>0</v>
      </c>
      <c r="Q89" s="787">
        <f>'ANALYSE - ERP =&gt; SOUS-SEGMENT'!$JG$117</f>
        <v>0</v>
      </c>
      <c r="R89" s="787">
        <f>'ANALYSE - ERP =&gt; SOUS-SEGMENT'!$JH$117</f>
        <v>0</v>
      </c>
      <c r="T89" s="430">
        <f>'ANALYSE - ERP =&gt; SOUS-SEGMENT'!$Q$117</f>
        <v>1</v>
      </c>
    </row>
    <row r="90" spans="1:20" ht="15" customHeight="1">
      <c r="A90" s="26">
        <v>87</v>
      </c>
      <c r="B90" s="26">
        <v>87</v>
      </c>
      <c r="C90" s="422">
        <f>'ANALYSE - ERP =&gt; SOUS-SEGMENT'!$A$118</f>
        <v>111</v>
      </c>
      <c r="D90" s="415" t="str">
        <f>'ANALYSE - ERP =&gt; SOUS-SEGMENT'!$B$118</f>
        <v>Culte, Vie civique &amp; Services publics</v>
      </c>
      <c r="E90" s="415" t="str">
        <f>'ANALYSE - ERP =&gt; SOUS-SEGMENT'!$C$118</f>
        <v>Culte</v>
      </c>
      <c r="F90" s="415" t="str">
        <f>'ANALYSE - ERP =&gt; SOUS-SEGMENT'!$D$118</f>
        <v>Temples bouddhistes, hindous et autres lieux de culte non abrahamiques ouverts au public</v>
      </c>
      <c r="H90" s="787">
        <f>'ANALYSE - ERP =&gt; SOUS-SEGMENT'!$IY$118</f>
        <v>0</v>
      </c>
      <c r="I90" s="787">
        <f>'ANALYSE - ERP =&gt; SOUS-SEGMENT'!$IZ$118</f>
        <v>0</v>
      </c>
      <c r="J90" s="787">
        <f>'ANALYSE - ERP =&gt; SOUS-SEGMENT'!$JA$118</f>
        <v>0</v>
      </c>
      <c r="K90" s="787">
        <f>'ANALYSE - ERP =&gt; SOUS-SEGMENT'!$JB$118</f>
        <v>0</v>
      </c>
      <c r="L90" s="787">
        <f>'ANALYSE - ERP =&gt; SOUS-SEGMENT'!$JC$118</f>
        <v>0</v>
      </c>
      <c r="N90" s="787">
        <f>'ANALYSE - ERP =&gt; SOUS-SEGMENT'!$JD$118</f>
        <v>0</v>
      </c>
      <c r="O90" s="787">
        <f>'ANALYSE - ERP =&gt; SOUS-SEGMENT'!$JE$118</f>
        <v>0</v>
      </c>
      <c r="P90" s="787">
        <f>'ANALYSE - ERP =&gt; SOUS-SEGMENT'!$JF$118</f>
        <v>0</v>
      </c>
      <c r="Q90" s="787">
        <f>'ANALYSE - ERP =&gt; SOUS-SEGMENT'!$JG$118</f>
        <v>0</v>
      </c>
      <c r="R90" s="787">
        <f>'ANALYSE - ERP =&gt; SOUS-SEGMENT'!$JH$118</f>
        <v>0</v>
      </c>
      <c r="T90" s="430">
        <f>'ANALYSE - ERP =&gt; SOUS-SEGMENT'!$Q$118</f>
        <v>1</v>
      </c>
    </row>
    <row r="91" spans="1:20" ht="15" customHeight="1">
      <c r="A91" s="26">
        <v>88</v>
      </c>
      <c r="B91" s="26">
        <v>88</v>
      </c>
      <c r="C91" s="422">
        <f>'ANALYSE - ERP =&gt; SOUS-SEGMENT'!$A$119</f>
        <v>112</v>
      </c>
      <c r="D91" s="415" t="str">
        <f>'ANALYSE - ERP =&gt; SOUS-SEGMENT'!$B$119</f>
        <v>Culte, Vie civique &amp; Services publics</v>
      </c>
      <c r="E91" s="415" t="str">
        <f>'ANALYSE - ERP =&gt; SOUS-SEGMENT'!$C$119</f>
        <v>Culte</v>
      </c>
      <c r="F91" s="415" t="str">
        <f>'ANALYSE - ERP =&gt; SOUS-SEGMENT'!$D$119</f>
        <v>Salles du Royaume, centres cultuels pluriconfessionnels et lieux de culte polyvalents</v>
      </c>
      <c r="H91" s="787">
        <f>'ANALYSE - ERP =&gt; SOUS-SEGMENT'!$IY$119</f>
        <v>0</v>
      </c>
      <c r="I91" s="787">
        <f>'ANALYSE - ERP =&gt; SOUS-SEGMENT'!$IZ$119</f>
        <v>0</v>
      </c>
      <c r="J91" s="787">
        <f>'ANALYSE - ERP =&gt; SOUS-SEGMENT'!$JA$119</f>
        <v>0</v>
      </c>
      <c r="K91" s="787">
        <f>'ANALYSE - ERP =&gt; SOUS-SEGMENT'!$JB$119</f>
        <v>0</v>
      </c>
      <c r="L91" s="787">
        <f>'ANALYSE - ERP =&gt; SOUS-SEGMENT'!$JC$119</f>
        <v>0</v>
      </c>
      <c r="N91" s="787">
        <f>'ANALYSE - ERP =&gt; SOUS-SEGMENT'!$JD$119</f>
        <v>0</v>
      </c>
      <c r="O91" s="787">
        <f>'ANALYSE - ERP =&gt; SOUS-SEGMENT'!$JE$119</f>
        <v>0</v>
      </c>
      <c r="P91" s="787">
        <f>'ANALYSE - ERP =&gt; SOUS-SEGMENT'!$JF$119</f>
        <v>0</v>
      </c>
      <c r="Q91" s="787">
        <f>'ANALYSE - ERP =&gt; SOUS-SEGMENT'!$JG$119</f>
        <v>0</v>
      </c>
      <c r="R91" s="787">
        <f>'ANALYSE - ERP =&gt; SOUS-SEGMENT'!$JH$119</f>
        <v>0</v>
      </c>
      <c r="T91" s="430">
        <f>'ANALYSE - ERP =&gt; SOUS-SEGMENT'!$Q$119</f>
        <v>1</v>
      </c>
    </row>
    <row r="92" spans="1:20" ht="15" customHeight="1">
      <c r="A92" s="26">
        <v>89</v>
      </c>
      <c r="B92" s="26">
        <v>89</v>
      </c>
      <c r="C92" s="422">
        <f>'ANALYSE - ERP =&gt; SOUS-SEGMENT'!$A$120</f>
        <v>113</v>
      </c>
      <c r="D92" s="415" t="str">
        <f>'ANALYSE - ERP =&gt; SOUS-SEGMENT'!$B$120</f>
        <v>Culte, Vie civique &amp; Services publics</v>
      </c>
      <c r="E92" s="415" t="str">
        <f>'ANALYSE - ERP =&gt; SOUS-SEGMENT'!$C$120</f>
        <v>Vie associative</v>
      </c>
      <c r="F92" s="415" t="str">
        <f>'ANALYSE - ERP =&gt; SOUS-SEGMENT'!$D$120</f>
        <v>Locaux associatifs recevant du public (dotés de sanitaires)</v>
      </c>
      <c r="H92" s="787">
        <f>'ANALYSE - ERP =&gt; SOUS-SEGMENT'!$IY$120</f>
        <v>0</v>
      </c>
      <c r="I92" s="787">
        <f>'ANALYSE - ERP =&gt; SOUS-SEGMENT'!$IZ$120</f>
        <v>0</v>
      </c>
      <c r="J92" s="787">
        <f>'ANALYSE - ERP =&gt; SOUS-SEGMENT'!$JA$120</f>
        <v>0</v>
      </c>
      <c r="K92" s="787">
        <f>'ANALYSE - ERP =&gt; SOUS-SEGMENT'!$JB$120</f>
        <v>0</v>
      </c>
      <c r="L92" s="787">
        <f>'ANALYSE - ERP =&gt; SOUS-SEGMENT'!$JC$120</f>
        <v>0</v>
      </c>
      <c r="N92" s="787">
        <f>'ANALYSE - ERP =&gt; SOUS-SEGMENT'!$JD$120</f>
        <v>0</v>
      </c>
      <c r="O92" s="787">
        <f>'ANALYSE - ERP =&gt; SOUS-SEGMENT'!$JE$120</f>
        <v>0</v>
      </c>
      <c r="P92" s="787">
        <f>'ANALYSE - ERP =&gt; SOUS-SEGMENT'!$JF$120</f>
        <v>0</v>
      </c>
      <c r="Q92" s="787">
        <f>'ANALYSE - ERP =&gt; SOUS-SEGMENT'!$JG$120</f>
        <v>0</v>
      </c>
      <c r="R92" s="787">
        <f>'ANALYSE - ERP =&gt; SOUS-SEGMENT'!$JH$120</f>
        <v>0</v>
      </c>
      <c r="T92" s="430">
        <f>'ANALYSE - ERP =&gt; SOUS-SEGMENT'!$Q$120</f>
        <v>1</v>
      </c>
    </row>
    <row r="93" spans="1:20" ht="15" customHeight="1">
      <c r="A93" s="26">
        <v>90</v>
      </c>
      <c r="B93" s="26">
        <v>90</v>
      </c>
      <c r="C93" s="422">
        <f>'ANALYSE - ERP =&gt; SOUS-SEGMENT'!$A$122</f>
        <v>115</v>
      </c>
      <c r="D93" s="416" t="str">
        <f>'ANALYSE - ERP =&gt; SOUS-SEGMENT'!$B$122</f>
        <v>Transport, Mobilité &amp; Stationnement</v>
      </c>
      <c r="E93" s="416" t="str">
        <f>'ANALYSE - ERP =&gt; SOUS-SEGMENT'!$C$122</f>
        <v>Transport / Mobilité</v>
      </c>
      <c r="F93" s="416" t="str">
        <f>'ANALYSE - ERP =&gt; SOUS-SEGMENT'!$D$122</f>
        <v>Aires de repos - Autoroutes
(Hors Aires de service)</v>
      </c>
      <c r="H93" s="787">
        <f>'ANALYSE - ERP =&gt; SOUS-SEGMENT'!$IY$122</f>
        <v>0</v>
      </c>
      <c r="I93" s="787">
        <f>'ANALYSE - ERP =&gt; SOUS-SEGMENT'!$IZ$122</f>
        <v>0</v>
      </c>
      <c r="J93" s="787">
        <f>'ANALYSE - ERP =&gt; SOUS-SEGMENT'!$JA$122</f>
        <v>0</v>
      </c>
      <c r="K93" s="787">
        <f>'ANALYSE - ERP =&gt; SOUS-SEGMENT'!$JB$122</f>
        <v>0</v>
      </c>
      <c r="L93" s="787">
        <f>'ANALYSE - ERP =&gt; SOUS-SEGMENT'!$JC$122</f>
        <v>0</v>
      </c>
      <c r="N93" s="787">
        <f>'ANALYSE - ERP =&gt; SOUS-SEGMENT'!$JD$122</f>
        <v>0</v>
      </c>
      <c r="O93" s="787">
        <f>'ANALYSE - ERP =&gt; SOUS-SEGMENT'!$JE$122</f>
        <v>0</v>
      </c>
      <c r="P93" s="787">
        <f>'ANALYSE - ERP =&gt; SOUS-SEGMENT'!$JF$122</f>
        <v>0</v>
      </c>
      <c r="Q93" s="787">
        <f>'ANALYSE - ERP =&gt; SOUS-SEGMENT'!$JG$122</f>
        <v>0</v>
      </c>
      <c r="R93" s="787">
        <f>'ANALYSE - ERP =&gt; SOUS-SEGMENT'!$JH$122</f>
        <v>0</v>
      </c>
      <c r="T93" s="430">
        <f>'ANALYSE - ERP =&gt; SOUS-SEGMENT'!$Q$122</f>
        <v>1</v>
      </c>
    </row>
    <row r="94" spans="1:20" ht="15" customHeight="1">
      <c r="A94" s="26">
        <v>91</v>
      </c>
      <c r="B94" s="26">
        <v>91</v>
      </c>
      <c r="C94" s="422">
        <f>'ANALYSE - ERP =&gt; SOUS-SEGMENT'!$A$78</f>
        <v>71</v>
      </c>
      <c r="D94" s="412" t="str">
        <f>'ANALYSE - ERP =&gt; SOUS-SEGMENT'!$B$78</f>
        <v>Commerce, Restauration &amp; Loisirs</v>
      </c>
      <c r="E94" s="412" t="str">
        <f>'ANALYSE - ERP =&gt; SOUS-SEGMENT'!$C$78</f>
        <v>Restauration / boissons</v>
      </c>
      <c r="F94" s="412" t="str">
        <f>'ANALYSE - ERP =&gt; SOUS-SEGMENT'!$D$78</f>
        <v>Établissements flottants</v>
      </c>
      <c r="H94" s="787">
        <f>'ANALYSE - ERP =&gt; SOUS-SEGMENT'!$IY$78</f>
        <v>0</v>
      </c>
      <c r="I94" s="787">
        <f>'ANALYSE - ERP =&gt; SOUS-SEGMENT'!$IZ$78</f>
        <v>0</v>
      </c>
      <c r="J94" s="787">
        <f>'ANALYSE - ERP =&gt; SOUS-SEGMENT'!$JA$78</f>
        <v>0</v>
      </c>
      <c r="K94" s="787">
        <f>'ANALYSE - ERP =&gt; SOUS-SEGMENT'!$JB$78</f>
        <v>0</v>
      </c>
      <c r="L94" s="787">
        <f>'ANALYSE - ERP =&gt; SOUS-SEGMENT'!$JC$78</f>
        <v>0</v>
      </c>
      <c r="N94" s="787">
        <f>'ANALYSE - ERP =&gt; SOUS-SEGMENT'!$JD$78</f>
        <v>0</v>
      </c>
      <c r="O94" s="787">
        <f>'ANALYSE - ERP =&gt; SOUS-SEGMENT'!$JE$78</f>
        <v>0</v>
      </c>
      <c r="P94" s="787">
        <f>'ANALYSE - ERP =&gt; SOUS-SEGMENT'!$JF$78</f>
        <v>0</v>
      </c>
      <c r="Q94" s="787">
        <f>'ANALYSE - ERP =&gt; SOUS-SEGMENT'!$JG$78</f>
        <v>0</v>
      </c>
      <c r="R94" s="787">
        <f>'ANALYSE - ERP =&gt; SOUS-SEGMENT'!$JH$78</f>
        <v>0</v>
      </c>
      <c r="T94" s="430">
        <f>'ANALYSE - ERP =&gt; SOUS-SEGMENT'!$Q$78</f>
        <v>1</v>
      </c>
    </row>
    <row r="95" spans="1:20" ht="15" customHeight="1">
      <c r="A95" s="26">
        <v>92</v>
      </c>
      <c r="B95" s="26">
        <v>92</v>
      </c>
      <c r="C95" s="422">
        <f>'ANALYSE - ERP =&gt; SOUS-SEGMENT'!$A$123</f>
        <v>116</v>
      </c>
      <c r="D95" s="417" t="str">
        <f>'ANALYSE - ERP =&gt; SOUS-SEGMENT'!$B$123</f>
        <v>Transport, Mobilité &amp; Stationnement</v>
      </c>
      <c r="E95" s="417" t="str">
        <f>'ANALYSE - ERP =&gt; SOUS-SEGMENT'!$C$123</f>
        <v>Transport / Mobilité</v>
      </c>
      <c r="F95" s="417" t="str">
        <f>'ANALYSE - ERP =&gt; SOUS-SEGMENT'!$D$123</f>
        <v>Parcs de stationnement couverts (dotés de sanitaires)</v>
      </c>
      <c r="H95" s="787">
        <f>'ANALYSE - ERP =&gt; SOUS-SEGMENT'!$IY$123</f>
        <v>0</v>
      </c>
      <c r="I95" s="787">
        <f>'ANALYSE - ERP =&gt; SOUS-SEGMENT'!$IZ$123</f>
        <v>0</v>
      </c>
      <c r="J95" s="787">
        <f>'ANALYSE - ERP =&gt; SOUS-SEGMENT'!$JA$123</f>
        <v>0</v>
      </c>
      <c r="K95" s="787">
        <f>'ANALYSE - ERP =&gt; SOUS-SEGMENT'!$JB$123</f>
        <v>0</v>
      </c>
      <c r="L95" s="787">
        <f>'ANALYSE - ERP =&gt; SOUS-SEGMENT'!$JC$123</f>
        <v>0</v>
      </c>
      <c r="N95" s="787">
        <f>'ANALYSE - ERP =&gt; SOUS-SEGMENT'!$JD$123</f>
        <v>0</v>
      </c>
      <c r="O95" s="787">
        <f>'ANALYSE - ERP =&gt; SOUS-SEGMENT'!$JE$123</f>
        <v>0</v>
      </c>
      <c r="P95" s="787">
        <f>'ANALYSE - ERP =&gt; SOUS-SEGMENT'!$JF$123</f>
        <v>0</v>
      </c>
      <c r="Q95" s="787">
        <f>'ANALYSE - ERP =&gt; SOUS-SEGMENT'!$JG$123</f>
        <v>0</v>
      </c>
      <c r="R95" s="787">
        <f>'ANALYSE - ERP =&gt; SOUS-SEGMENT'!$JH$123</f>
        <v>0</v>
      </c>
      <c r="T95" s="430">
        <f>'ANALYSE - ERP =&gt; SOUS-SEGMENT'!$Q$123</f>
        <v>1</v>
      </c>
    </row>
    <row r="96" spans="1:20" ht="15" customHeight="1">
      <c r="A96" s="26">
        <v>93</v>
      </c>
      <c r="B96" s="26">
        <v>93</v>
      </c>
      <c r="C96" s="422">
        <f>'ANALYSE - ERP =&gt; SOUS-SEGMENT'!$A$133</f>
        <v>126</v>
      </c>
      <c r="D96" s="413" t="str">
        <f>'ANALYSE - ERP =&gt; SOUS-SEGMENT'!$B$133</f>
        <v>Sécurité &amp; Justice</v>
      </c>
      <c r="E96" s="413" t="str">
        <f>'ANALYSE - ERP =&gt; SOUS-SEGMENT'!$C$133</f>
        <v xml:space="preserve">Commissariats / postes de police </v>
      </c>
      <c r="F96" s="413" t="str">
        <f>'ANALYSE - ERP =&gt; SOUS-SEGMENT'!$D$133</f>
        <v>Postes de proximité et antennes avec accueil public</v>
      </c>
      <c r="H96" s="787">
        <f>'ANALYSE - ERP =&gt; SOUS-SEGMENT'!$IY$133</f>
        <v>0</v>
      </c>
      <c r="I96" s="787">
        <f>'ANALYSE - ERP =&gt; SOUS-SEGMENT'!$IZ$133</f>
        <v>0</v>
      </c>
      <c r="J96" s="787">
        <f>'ANALYSE - ERP =&gt; SOUS-SEGMENT'!$JA$133</f>
        <v>0</v>
      </c>
      <c r="K96" s="787">
        <f>'ANALYSE - ERP =&gt; SOUS-SEGMENT'!$JB$133</f>
        <v>0</v>
      </c>
      <c r="L96" s="787">
        <f>'ANALYSE - ERP =&gt; SOUS-SEGMENT'!$JC$133</f>
        <v>0</v>
      </c>
      <c r="N96" s="787">
        <f>'ANALYSE - ERP =&gt; SOUS-SEGMENT'!$JD$133</f>
        <v>0</v>
      </c>
      <c r="O96" s="787">
        <f>'ANALYSE - ERP =&gt; SOUS-SEGMENT'!$JE$133</f>
        <v>0</v>
      </c>
      <c r="P96" s="787">
        <f>'ANALYSE - ERP =&gt; SOUS-SEGMENT'!$JF$133</f>
        <v>0</v>
      </c>
      <c r="Q96" s="787">
        <f>'ANALYSE - ERP =&gt; SOUS-SEGMENT'!$JG$133</f>
        <v>0</v>
      </c>
      <c r="R96" s="787">
        <f>'ANALYSE - ERP =&gt; SOUS-SEGMENT'!$JH$133</f>
        <v>0</v>
      </c>
      <c r="T96" s="430">
        <f>'ANALYSE - ERP =&gt; SOUS-SEGMENT'!$Q$133</f>
        <v>1</v>
      </c>
    </row>
    <row r="97" spans="1:20" ht="15" customHeight="1">
      <c r="A97" s="26">
        <v>94</v>
      </c>
      <c r="B97" s="26">
        <v>94</v>
      </c>
      <c r="C97" s="422">
        <f>'ANALYSE - ERP =&gt; SOUS-SEGMENT'!$A$134</f>
        <v>127</v>
      </c>
      <c r="D97" s="417" t="str">
        <f>'ANALYSE - ERP =&gt; SOUS-SEGMENT'!$B$134</f>
        <v>Sécurité &amp; Justice</v>
      </c>
      <c r="E97" s="417" t="str">
        <f>'ANALYSE - ERP =&gt; SOUS-SEGMENT'!$C$134</f>
        <v xml:space="preserve">Commissariats / postes de police </v>
      </c>
      <c r="F97" s="417" t="str">
        <f>'ANALYSE - ERP =&gt; SOUS-SEGMENT'!$D$134</f>
        <v>Salles de réunion, de prévention ou de conférence ouvertes au public</v>
      </c>
      <c r="H97" s="787">
        <f>'ANALYSE - ERP =&gt; SOUS-SEGMENT'!$IY$134</f>
        <v>0</v>
      </c>
      <c r="I97" s="787">
        <f>'ANALYSE - ERP =&gt; SOUS-SEGMENT'!$IZ$134</f>
        <v>0</v>
      </c>
      <c r="J97" s="787">
        <f>'ANALYSE - ERP =&gt; SOUS-SEGMENT'!$JA$134</f>
        <v>0</v>
      </c>
      <c r="K97" s="787">
        <f>'ANALYSE - ERP =&gt; SOUS-SEGMENT'!$JB$134</f>
        <v>0</v>
      </c>
      <c r="L97" s="787">
        <f>'ANALYSE - ERP =&gt; SOUS-SEGMENT'!$JC$134</f>
        <v>0</v>
      </c>
      <c r="N97" s="787">
        <f>'ANALYSE - ERP =&gt; SOUS-SEGMENT'!$JD$134</f>
        <v>0</v>
      </c>
      <c r="O97" s="787">
        <f>'ANALYSE - ERP =&gt; SOUS-SEGMENT'!$JE$134</f>
        <v>0</v>
      </c>
      <c r="P97" s="787">
        <f>'ANALYSE - ERP =&gt; SOUS-SEGMENT'!$JF$134</f>
        <v>0</v>
      </c>
      <c r="Q97" s="787">
        <f>'ANALYSE - ERP =&gt; SOUS-SEGMENT'!$JG$134</f>
        <v>0</v>
      </c>
      <c r="R97" s="787">
        <f>'ANALYSE - ERP =&gt; SOUS-SEGMENT'!$JH$134</f>
        <v>0</v>
      </c>
      <c r="T97" s="430">
        <f>'ANALYSE - ERP =&gt; SOUS-SEGMENT'!$Q$134</f>
        <v>0</v>
      </c>
    </row>
    <row r="98" spans="1:20" ht="15" customHeight="1">
      <c r="A98" s="26">
        <v>95</v>
      </c>
      <c r="B98" s="26">
        <v>95</v>
      </c>
      <c r="C98" s="422">
        <f>'ANALYSE - ERP =&gt; SOUS-SEGMENT'!$A$136</f>
        <v>129</v>
      </c>
      <c r="D98" s="418" t="str">
        <f>'ANALYSE - ERP =&gt; SOUS-SEGMENT'!$B$136</f>
        <v>Sécurité &amp; Justice</v>
      </c>
      <c r="E98" s="418" t="str">
        <f>'ANALYSE - ERP =&gt; SOUS-SEGMENT'!$C$136</f>
        <v>Forces armées</v>
      </c>
      <c r="F98" s="418" t="str">
        <f>'ANALYSE - ERP =&gt; SOUS-SEGMENT'!$D$136</f>
        <v>Centres de recrutement et bureaux d’information</v>
      </c>
      <c r="H98" s="787">
        <f>'ANALYSE - ERP =&gt; SOUS-SEGMENT'!$IY$136</f>
        <v>0</v>
      </c>
      <c r="I98" s="787">
        <f>'ANALYSE - ERP =&gt; SOUS-SEGMENT'!$IZ$136</f>
        <v>0</v>
      </c>
      <c r="J98" s="787">
        <f>'ANALYSE - ERP =&gt; SOUS-SEGMENT'!$JA$136</f>
        <v>0</v>
      </c>
      <c r="K98" s="787">
        <f>'ANALYSE - ERP =&gt; SOUS-SEGMENT'!$JB$136</f>
        <v>0</v>
      </c>
      <c r="L98" s="787">
        <f>'ANALYSE - ERP =&gt; SOUS-SEGMENT'!$JC$136</f>
        <v>0</v>
      </c>
      <c r="N98" s="787">
        <f>'ANALYSE - ERP =&gt; SOUS-SEGMENT'!$JD$136</f>
        <v>0</v>
      </c>
      <c r="O98" s="787">
        <f>'ANALYSE - ERP =&gt; SOUS-SEGMENT'!$JE$136</f>
        <v>0</v>
      </c>
      <c r="P98" s="787">
        <f>'ANALYSE - ERP =&gt; SOUS-SEGMENT'!$JF$136</f>
        <v>0</v>
      </c>
      <c r="Q98" s="787">
        <f>'ANALYSE - ERP =&gt; SOUS-SEGMENT'!$JG$136</f>
        <v>0</v>
      </c>
      <c r="R98" s="787">
        <f>'ANALYSE - ERP =&gt; SOUS-SEGMENT'!$JH$136</f>
        <v>0</v>
      </c>
      <c r="T98" s="430">
        <f>'ANALYSE - ERP =&gt; SOUS-SEGMENT'!$Q$136</f>
        <v>1</v>
      </c>
    </row>
    <row r="99" spans="1:20" ht="15" customHeight="1">
      <c r="A99" s="26">
        <v>96</v>
      </c>
      <c r="B99" s="26">
        <v>96</v>
      </c>
      <c r="C99" s="422">
        <f>'ANALYSE - ERP =&gt; SOUS-SEGMENT'!$A$137</f>
        <v>130</v>
      </c>
      <c r="D99" s="417" t="str">
        <f>'ANALYSE - ERP =&gt; SOUS-SEGMENT'!$B$137</f>
        <v>Sécurité &amp; Justice</v>
      </c>
      <c r="E99" s="417" t="str">
        <f>'ANALYSE - ERP =&gt; SOUS-SEGMENT'!$C$137</f>
        <v>Forces armées</v>
      </c>
      <c r="F99" s="417" t="str">
        <f>'ANALYSE - ERP =&gt; SOUS-SEGMENT'!$D$137</f>
        <v>Restaurants ou équipements sportifs ouverts au public sur emprise militaire</v>
      </c>
      <c r="H99" s="787">
        <f>'ANALYSE - ERP =&gt; SOUS-SEGMENT'!$IY$137</f>
        <v>0</v>
      </c>
      <c r="I99" s="787">
        <f>'ANALYSE - ERP =&gt; SOUS-SEGMENT'!$IZ$137</f>
        <v>0</v>
      </c>
      <c r="J99" s="787">
        <f>'ANALYSE - ERP =&gt; SOUS-SEGMENT'!$JA$137</f>
        <v>0</v>
      </c>
      <c r="K99" s="787">
        <f>'ANALYSE - ERP =&gt; SOUS-SEGMENT'!$JB$137</f>
        <v>0</v>
      </c>
      <c r="L99" s="787">
        <f>'ANALYSE - ERP =&gt; SOUS-SEGMENT'!$JC$137</f>
        <v>0</v>
      </c>
      <c r="N99" s="787">
        <f>'ANALYSE - ERP =&gt; SOUS-SEGMENT'!$JD$137</f>
        <v>0</v>
      </c>
      <c r="O99" s="787">
        <f>'ANALYSE - ERP =&gt; SOUS-SEGMENT'!$JE$137</f>
        <v>0</v>
      </c>
      <c r="P99" s="787">
        <f>'ANALYSE - ERP =&gt; SOUS-SEGMENT'!$JF$137</f>
        <v>0</v>
      </c>
      <c r="Q99" s="787">
        <f>'ANALYSE - ERP =&gt; SOUS-SEGMENT'!$JG$137</f>
        <v>0</v>
      </c>
      <c r="R99" s="787">
        <f>'ANALYSE - ERP =&gt; SOUS-SEGMENT'!$JH$137</f>
        <v>0</v>
      </c>
      <c r="T99" s="430">
        <f>'ANALYSE - ERP =&gt; SOUS-SEGMENT'!$Q$137</f>
        <v>1</v>
      </c>
    </row>
    <row r="100" spans="1:20" ht="15" customHeight="1">
      <c r="A100" s="26">
        <v>97</v>
      </c>
      <c r="B100" s="26">
        <v>97</v>
      </c>
      <c r="C100" s="422">
        <f>'ANALYSE - ERP =&gt; SOUS-SEGMENT'!$A$145</f>
        <v>138</v>
      </c>
      <c r="D100" s="417" t="str">
        <f>'ANALYSE - ERP =&gt; SOUS-SEGMENT'!$B$145</f>
        <v>Sécurité &amp; Justice</v>
      </c>
      <c r="E100" s="417" t="str">
        <f>'ANALYSE - ERP =&gt; SOUS-SEGMENT'!$C$145</f>
        <v>Univers carcéral</v>
      </c>
      <c r="F100" s="417" t="str">
        <f>'ANALYSE - ERP =&gt; SOUS-SEGMENT'!$D$145</f>
        <v>Centres pour peines aménagées
(absorbés par autres centres carcéraux)</v>
      </c>
      <c r="H100" s="787">
        <f>'ANALYSE - ERP =&gt; SOUS-SEGMENT'!$IY$145</f>
        <v>0</v>
      </c>
      <c r="I100" s="787">
        <f>'ANALYSE - ERP =&gt; SOUS-SEGMENT'!$IZ$145</f>
        <v>0</v>
      </c>
      <c r="J100" s="787">
        <f>'ANALYSE - ERP =&gt; SOUS-SEGMENT'!$JA$145</f>
        <v>0</v>
      </c>
      <c r="K100" s="787">
        <f>'ANALYSE - ERP =&gt; SOUS-SEGMENT'!$JB$145</f>
        <v>0</v>
      </c>
      <c r="L100" s="787">
        <f>'ANALYSE - ERP =&gt; SOUS-SEGMENT'!$JC$145</f>
        <v>0</v>
      </c>
      <c r="N100" s="787">
        <f>'ANALYSE - ERP =&gt; SOUS-SEGMENT'!$JD$145</f>
        <v>0</v>
      </c>
      <c r="O100" s="787">
        <f>'ANALYSE - ERP =&gt; SOUS-SEGMENT'!$JE$145</f>
        <v>0</v>
      </c>
      <c r="P100" s="787">
        <f>'ANALYSE - ERP =&gt; SOUS-SEGMENT'!$JF$145</f>
        <v>0</v>
      </c>
      <c r="Q100" s="787">
        <f>'ANALYSE - ERP =&gt; SOUS-SEGMENT'!$JG$145</f>
        <v>0</v>
      </c>
      <c r="R100" s="787">
        <f>'ANALYSE - ERP =&gt; SOUS-SEGMENT'!$JH$145</f>
        <v>0</v>
      </c>
      <c r="T100" s="430">
        <f>'ANALYSE - ERP =&gt; SOUS-SEGMENT'!$Q$145</f>
        <v>0</v>
      </c>
    </row>
    <row r="101" spans="1:20" ht="15" customHeight="1">
      <c r="A101" s="26">
        <v>98</v>
      </c>
      <c r="B101" s="26">
        <v>98</v>
      </c>
      <c r="C101" s="422">
        <f>'ANALYSE - ERP =&gt; SOUS-SEGMENT'!$A$146</f>
        <v>139</v>
      </c>
      <c r="D101" s="414" t="str">
        <f>'ANALYSE - ERP =&gt; SOUS-SEGMENT'!$B$146</f>
        <v>Sécurité &amp; Justice</v>
      </c>
      <c r="E101" s="414" t="str">
        <f>'ANALYSE - ERP =&gt; SOUS-SEGMENT'!$C$146</f>
        <v>Tribunaux</v>
      </c>
      <c r="F101" s="414" t="str">
        <f>'ANALYSE - ERP =&gt; SOUS-SEGMENT'!$D$146</f>
        <v>Palais de justice et bâtiments judiciaires multi-usages</v>
      </c>
      <c r="H101" s="787">
        <f>'ANALYSE - ERP =&gt; SOUS-SEGMENT'!$IY$146</f>
        <v>0</v>
      </c>
      <c r="I101" s="787">
        <f>'ANALYSE - ERP =&gt; SOUS-SEGMENT'!$IZ$146</f>
        <v>0</v>
      </c>
      <c r="J101" s="787">
        <f>'ANALYSE - ERP =&gt; SOUS-SEGMENT'!$JA$146</f>
        <v>0</v>
      </c>
      <c r="K101" s="787">
        <f>'ANALYSE - ERP =&gt; SOUS-SEGMENT'!$JB$146</f>
        <v>0</v>
      </c>
      <c r="L101" s="787">
        <f>'ANALYSE - ERP =&gt; SOUS-SEGMENT'!$JC$146</f>
        <v>0</v>
      </c>
      <c r="N101" s="787">
        <f>'ANALYSE - ERP =&gt; SOUS-SEGMENT'!$JD$146</f>
        <v>0</v>
      </c>
      <c r="O101" s="787">
        <f>'ANALYSE - ERP =&gt; SOUS-SEGMENT'!$JE$146</f>
        <v>0</v>
      </c>
      <c r="P101" s="787">
        <f>'ANALYSE - ERP =&gt; SOUS-SEGMENT'!$JF$146</f>
        <v>0</v>
      </c>
      <c r="Q101" s="787">
        <f>'ANALYSE - ERP =&gt; SOUS-SEGMENT'!$JG$146</f>
        <v>0</v>
      </c>
      <c r="R101" s="787">
        <f>'ANALYSE - ERP =&gt; SOUS-SEGMENT'!$JH$146</f>
        <v>0</v>
      </c>
      <c r="T101" s="430">
        <f>'ANALYSE - ERP =&gt; SOUS-SEGMENT'!$Q$146</f>
        <v>1</v>
      </c>
    </row>
    <row r="102" spans="1:20" ht="15" customHeight="1">
      <c r="A102" s="26">
        <v>99</v>
      </c>
      <c r="B102" s="26">
        <v>99</v>
      </c>
      <c r="C102" s="422">
        <f>'ANALYSE - ERP =&gt; SOUS-SEGMENT'!$A$147</f>
        <v>140</v>
      </c>
      <c r="D102" s="414" t="str">
        <f>'ANALYSE - ERP =&gt; SOUS-SEGMENT'!$B$147</f>
        <v>Sécurité &amp; Justice</v>
      </c>
      <c r="E102" s="414" t="str">
        <f>'ANALYSE - ERP =&gt; SOUS-SEGMENT'!$C$147</f>
        <v>Tribunaux</v>
      </c>
      <c r="F102" s="414" t="str">
        <f>'ANALYSE - ERP =&gt; SOUS-SEGMENT'!$D$147</f>
        <v>Maisons de justice et du droit</v>
      </c>
      <c r="H102" s="787">
        <f>'ANALYSE - ERP =&gt; SOUS-SEGMENT'!$IY$147</f>
        <v>0</v>
      </c>
      <c r="I102" s="787">
        <f>'ANALYSE - ERP =&gt; SOUS-SEGMENT'!$IZ$147</f>
        <v>0</v>
      </c>
      <c r="J102" s="787">
        <f>'ANALYSE - ERP =&gt; SOUS-SEGMENT'!$JA$147</f>
        <v>0</v>
      </c>
      <c r="K102" s="787">
        <f>'ANALYSE - ERP =&gt; SOUS-SEGMENT'!$JB$147</f>
        <v>0</v>
      </c>
      <c r="L102" s="787">
        <f>'ANALYSE - ERP =&gt; SOUS-SEGMENT'!$JC$147</f>
        <v>0</v>
      </c>
      <c r="N102" s="787">
        <f>'ANALYSE - ERP =&gt; SOUS-SEGMENT'!$JD$147</f>
        <v>0</v>
      </c>
      <c r="O102" s="787">
        <f>'ANALYSE - ERP =&gt; SOUS-SEGMENT'!$JE$147</f>
        <v>0</v>
      </c>
      <c r="P102" s="787">
        <f>'ANALYSE - ERP =&gt; SOUS-SEGMENT'!$JF$147</f>
        <v>0</v>
      </c>
      <c r="Q102" s="787">
        <f>'ANALYSE - ERP =&gt; SOUS-SEGMENT'!$JG$147</f>
        <v>0</v>
      </c>
      <c r="R102" s="787">
        <f>'ANALYSE - ERP =&gt; SOUS-SEGMENT'!$JH$147</f>
        <v>0</v>
      </c>
      <c r="T102" s="430">
        <f>'ANALYSE - ERP =&gt; SOUS-SEGMENT'!$Q$147</f>
        <v>1</v>
      </c>
    </row>
    <row r="103" spans="1:20" ht="15" customHeight="1">
      <c r="A103" s="26">
        <v>100</v>
      </c>
      <c r="B103" s="26">
        <v>100</v>
      </c>
      <c r="C103" s="422">
        <f>'ANALYSE - ERP =&gt; SOUS-SEGMENT'!$A$148</f>
        <v>141</v>
      </c>
      <c r="D103" s="417" t="str">
        <f>'ANALYSE - ERP =&gt; SOUS-SEGMENT'!$B$148</f>
        <v>Sécurité &amp; Justice</v>
      </c>
      <c r="E103" s="417" t="str">
        <f>'ANALYSE - ERP =&gt; SOUS-SEGMENT'!$C$148</f>
        <v>Tribunaux</v>
      </c>
      <c r="F103" s="417" t="str">
        <f>'ANALYSE - ERP =&gt; SOUS-SEGMENT'!$D$148</f>
        <v>Tribunaux de commerce autonomes</v>
      </c>
      <c r="H103" s="787">
        <f>'ANALYSE - ERP =&gt; SOUS-SEGMENT'!$IY$148</f>
        <v>0</v>
      </c>
      <c r="I103" s="787">
        <f>'ANALYSE - ERP =&gt; SOUS-SEGMENT'!$IZ$148</f>
        <v>0</v>
      </c>
      <c r="J103" s="787">
        <f>'ANALYSE - ERP =&gt; SOUS-SEGMENT'!$JA$148</f>
        <v>0</v>
      </c>
      <c r="K103" s="787">
        <f>'ANALYSE - ERP =&gt; SOUS-SEGMENT'!$JB$148</f>
        <v>0</v>
      </c>
      <c r="L103" s="787">
        <f>'ANALYSE - ERP =&gt; SOUS-SEGMENT'!$JC$148</f>
        <v>0</v>
      </c>
      <c r="N103" s="787">
        <f>'ANALYSE - ERP =&gt; SOUS-SEGMENT'!$JD$148</f>
        <v>0</v>
      </c>
      <c r="O103" s="787">
        <f>'ANALYSE - ERP =&gt; SOUS-SEGMENT'!$JE$148</f>
        <v>0</v>
      </c>
      <c r="P103" s="787">
        <f>'ANALYSE - ERP =&gt; SOUS-SEGMENT'!$JF$148</f>
        <v>0</v>
      </c>
      <c r="Q103" s="787">
        <f>'ANALYSE - ERP =&gt; SOUS-SEGMENT'!$JG$148</f>
        <v>0</v>
      </c>
      <c r="R103" s="787">
        <f>'ANALYSE - ERP =&gt; SOUS-SEGMENT'!$JH$148</f>
        <v>0</v>
      </c>
      <c r="T103" s="430">
        <f>'ANALYSE - ERP =&gt; SOUS-SEGMENT'!$Q$148</f>
        <v>1</v>
      </c>
    </row>
    <row r="104" spans="1:20" ht="15" customHeight="1">
      <c r="A104" s="26">
        <v>101</v>
      </c>
      <c r="B104" s="26">
        <v>101</v>
      </c>
      <c r="C104" s="422">
        <f>'ANALYSE - ERP =&gt; SOUS-SEGMENT'!$A$149</f>
        <v>142</v>
      </c>
      <c r="D104" s="417" t="str">
        <f>'ANALYSE - ERP =&gt; SOUS-SEGMENT'!$B$149</f>
        <v>Sécurité &amp; Justice</v>
      </c>
      <c r="E104" s="417" t="str">
        <f>'ANALYSE - ERP =&gt; SOUS-SEGMENT'!$C$149</f>
        <v>Tribunaux</v>
      </c>
      <c r="F104" s="417" t="str">
        <f>'ANALYSE - ERP =&gt; SOUS-SEGMENT'!$D$149</f>
        <v>Conseils de prud’hommes autonomes</v>
      </c>
      <c r="H104" s="787">
        <f>'ANALYSE - ERP =&gt; SOUS-SEGMENT'!$IY$149</f>
        <v>0</v>
      </c>
      <c r="I104" s="787">
        <f>'ANALYSE - ERP =&gt; SOUS-SEGMENT'!$IZ$149</f>
        <v>0</v>
      </c>
      <c r="J104" s="787">
        <f>'ANALYSE - ERP =&gt; SOUS-SEGMENT'!$JA$149</f>
        <v>0</v>
      </c>
      <c r="K104" s="787">
        <f>'ANALYSE - ERP =&gt; SOUS-SEGMENT'!$JB$149</f>
        <v>0</v>
      </c>
      <c r="L104" s="787">
        <f>'ANALYSE - ERP =&gt; SOUS-SEGMENT'!$JC$149</f>
        <v>0</v>
      </c>
      <c r="N104" s="787">
        <f>'ANALYSE - ERP =&gt; SOUS-SEGMENT'!$JD$149</f>
        <v>0</v>
      </c>
      <c r="O104" s="787">
        <f>'ANALYSE - ERP =&gt; SOUS-SEGMENT'!$JE$149</f>
        <v>0</v>
      </c>
      <c r="P104" s="787">
        <f>'ANALYSE - ERP =&gt; SOUS-SEGMENT'!$JF$149</f>
        <v>0</v>
      </c>
      <c r="Q104" s="787">
        <f>'ANALYSE - ERP =&gt; SOUS-SEGMENT'!$JG$149</f>
        <v>0</v>
      </c>
      <c r="R104" s="787">
        <f>'ANALYSE - ERP =&gt; SOUS-SEGMENT'!$JH$149</f>
        <v>0</v>
      </c>
      <c r="T104" s="430">
        <f>'ANALYSE - ERP =&gt; SOUS-SEGMENT'!$Q$149</f>
        <v>1</v>
      </c>
    </row>
    <row r="105" spans="1:20" ht="15" customHeight="1">
      <c r="A105" s="26">
        <v>102</v>
      </c>
      <c r="B105" s="26">
        <v>102</v>
      </c>
      <c r="C105" s="422" t="e">
        <f>'ANALYSE - ERP =&gt; SOUS-SEGMENT'!#REF!</f>
        <v>#REF!</v>
      </c>
      <c r="D105" s="417" t="e">
        <f>'ANALYSE - ERP =&gt; SOUS-SEGMENT'!#REF!</f>
        <v>#REF!</v>
      </c>
      <c r="E105" s="417" t="e">
        <f>'ANALYSE - ERP =&gt; SOUS-SEGMENT'!#REF!</f>
        <v>#REF!</v>
      </c>
      <c r="F105" s="417" t="e">
        <f>'ANALYSE - ERP =&gt; SOUS-SEGMENT'!#REF!</f>
        <v>#REF!</v>
      </c>
      <c r="H105" s="787" t="e">
        <f>'ANALYSE - ERP =&gt; SOUS-SEGMENT'!#REF!</f>
        <v>#REF!</v>
      </c>
      <c r="I105" s="787" t="e">
        <f>'ANALYSE - ERP =&gt; SOUS-SEGMENT'!#REF!</f>
        <v>#REF!</v>
      </c>
      <c r="J105" s="787" t="e">
        <f>'ANALYSE - ERP =&gt; SOUS-SEGMENT'!#REF!</f>
        <v>#REF!</v>
      </c>
      <c r="K105" s="787" t="e">
        <f>'ANALYSE - ERP =&gt; SOUS-SEGMENT'!#REF!</f>
        <v>#REF!</v>
      </c>
      <c r="L105" s="787" t="e">
        <f>'ANALYSE - ERP =&gt; SOUS-SEGMENT'!#REF!</f>
        <v>#REF!</v>
      </c>
      <c r="N105" s="787" t="e">
        <f>'ANALYSE - ERP =&gt; SOUS-SEGMENT'!#REF!</f>
        <v>#REF!</v>
      </c>
      <c r="O105" s="787" t="e">
        <f>'ANALYSE - ERP =&gt; SOUS-SEGMENT'!#REF!</f>
        <v>#REF!</v>
      </c>
      <c r="P105" s="787" t="e">
        <f>'ANALYSE - ERP =&gt; SOUS-SEGMENT'!#REF!</f>
        <v>#REF!</v>
      </c>
      <c r="Q105" s="787" t="e">
        <f>'ANALYSE - ERP =&gt; SOUS-SEGMENT'!#REF!</f>
        <v>#REF!</v>
      </c>
      <c r="R105" s="787" t="e">
        <f>'ANALYSE - ERP =&gt; SOUS-SEGMENT'!#REF!</f>
        <v>#REF!</v>
      </c>
      <c r="T105" s="430" t="e">
        <f>'ANALYSE - ERP =&gt; SOUS-SEGMENT'!#REF!</f>
        <v>#REF!</v>
      </c>
    </row>
    <row r="106" spans="1:20" s="45" customFormat="1" ht="15" customHeight="1">
      <c r="A106" s="406">
        <v>103</v>
      </c>
      <c r="B106" s="406">
        <v>103</v>
      </c>
      <c r="C106" s="448">
        <f>'ANALYSE - ERP =&gt; SOUS-SEGMENT'!$A$150</f>
        <v>143</v>
      </c>
      <c r="D106" s="423" t="str">
        <f>'ANALYSE - ERP =&gt; SOUS-SEGMENT'!$B$150</f>
        <v>Sanitaires Publics</v>
      </c>
      <c r="E106" s="423" t="str">
        <f>'ANALYSE - ERP =&gt; SOUS-SEGMENT'!$C$150</f>
        <v>Sanitaires publics</v>
      </c>
      <c r="F106" s="423" t="str">
        <f>'ANALYSE - ERP =&gt; SOUS-SEGMENT'!$D$150</f>
        <v>Toilettes publiques (sur la voie publique)</v>
      </c>
      <c r="G106" s="685"/>
      <c r="H106" s="788">
        <f>'ANALYSE - ERP =&gt; SOUS-SEGMENT'!$IY$150</f>
        <v>0</v>
      </c>
      <c r="I106" s="788">
        <f>'ANALYSE - ERP =&gt; SOUS-SEGMENT'!$IZ$150</f>
        <v>0</v>
      </c>
      <c r="J106" s="788">
        <f>'ANALYSE - ERP =&gt; SOUS-SEGMENT'!$JA$150</f>
        <v>0</v>
      </c>
      <c r="K106" s="788">
        <f>'ANALYSE - ERP =&gt; SOUS-SEGMENT'!$JB$150</f>
        <v>0</v>
      </c>
      <c r="L106" s="788">
        <f>'ANALYSE - ERP =&gt; SOUS-SEGMENT'!$JC$150</f>
        <v>0</v>
      </c>
      <c r="M106" s="685"/>
      <c r="N106" s="788">
        <f>'ANALYSE - ERP =&gt; SOUS-SEGMENT'!$JD$150</f>
        <v>0</v>
      </c>
      <c r="O106" s="788">
        <f>'ANALYSE - ERP =&gt; SOUS-SEGMENT'!$JE$150</f>
        <v>0</v>
      </c>
      <c r="P106" s="788">
        <f>'ANALYSE - ERP =&gt; SOUS-SEGMENT'!$JF$150</f>
        <v>0</v>
      </c>
      <c r="Q106" s="788">
        <f>'ANALYSE - ERP =&gt; SOUS-SEGMENT'!$JG$150</f>
        <v>0</v>
      </c>
      <c r="R106" s="788">
        <f>'ANALYSE - ERP =&gt; SOUS-SEGMENT'!$JH$150</f>
        <v>0</v>
      </c>
      <c r="S106" s="685"/>
      <c r="T106" s="450">
        <f>'ANALYSE - ERP =&gt; SOUS-SEGMENT'!$Q$150</f>
        <v>1</v>
      </c>
    </row>
  </sheetData>
  <autoFilter ref="A2:T2" xr:uid="{00000000-0009-0000-0000-00001E000000}"/>
  <conditionalFormatting sqref="H4:L106">
    <cfRule type="colorScale" priority="2">
      <colorScale>
        <cfvo type="min"/>
        <cfvo type="formula" val="MEDIAN($H$4:$L$106)"/>
        <cfvo type="max"/>
        <color rgb="FFF8696B"/>
        <color theme="0"/>
        <color rgb="FF63BE7B"/>
      </colorScale>
    </cfRule>
  </conditionalFormatting>
  <conditionalFormatting sqref="N4:R106">
    <cfRule type="colorScale" priority="1">
      <colorScale>
        <cfvo type="min"/>
        <cfvo type="formula" val="MEDIAN($N$4:$R$106)"/>
        <cfvo type="max"/>
        <color rgb="FFF8696B"/>
        <color theme="0"/>
        <color rgb="FF63BE7B"/>
      </colorScale>
    </cfRule>
  </conditionalFormatting>
  <pageMargins left="3.937007874015748E-2" right="3.937007874015748E-2" top="7.874015748031496E-2" bottom="7.874015748031496E-2" header="0.11811023622047249" footer="0.11811023622047249"/>
  <pageSetup paperSize="8" scale="91" fitToHeight="2"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39997558519241921"/>
    <pageSetUpPr fitToPage="1"/>
  </sheetPr>
  <dimension ref="A1:BZ106"/>
  <sheetViews>
    <sheetView zoomScale="85" zoomScaleNormal="85" workbookViewId="0">
      <pane xSplit="6" ySplit="3" topLeftCell="G4" activePane="bottomRight" state="frozen"/>
      <selection activeCell="F100" sqref="F100"/>
      <selection pane="topRight" activeCell="F100" sqref="F100"/>
      <selection pane="bottomLeft" activeCell="F100" sqref="F100"/>
      <selection pane="bottomRight" activeCell="H7" sqref="H7"/>
    </sheetView>
  </sheetViews>
  <sheetFormatPr baseColWidth="10" defaultColWidth="9.140625" defaultRowHeight="15"/>
  <cols>
    <col min="1" max="2" width="9" style="934" customWidth="1"/>
    <col min="3" max="3" width="6" style="934" customWidth="1"/>
    <col min="4" max="4" width="30.5703125" style="934" customWidth="1"/>
    <col min="5" max="5" width="27.7109375" style="43" customWidth="1"/>
    <col min="6" max="6" width="51.5703125" style="43" customWidth="1"/>
    <col min="7" max="7" width="1.7109375" style="933" customWidth="1"/>
    <col min="8" max="8" width="8.7109375" style="43" customWidth="1"/>
    <col min="9" max="12" width="8.7109375" style="934" customWidth="1"/>
    <col min="13" max="13" width="1.7109375" style="933" customWidth="1"/>
    <col min="14" max="18" width="8.710937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7976</v>
      </c>
      <c r="F1" s="479"/>
      <c r="H1" s="474"/>
      <c r="I1" s="474"/>
      <c r="J1" s="475" t="s">
        <v>7971</v>
      </c>
      <c r="K1" s="474"/>
      <c r="L1" s="474"/>
      <c r="N1" s="452"/>
      <c r="O1" s="452"/>
      <c r="P1" s="476" t="s">
        <v>7972</v>
      </c>
      <c r="Q1" s="452"/>
      <c r="R1" s="452"/>
      <c r="T1" s="452"/>
    </row>
    <row r="2" spans="1:20"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405" t="s">
        <v>2086</v>
      </c>
      <c r="E3" s="405" t="s">
        <v>6728</v>
      </c>
      <c r="F3" s="405" t="s">
        <v>6729</v>
      </c>
      <c r="H3" s="426" t="e">
        <f>SUMPRODUCT(($T$4:$T$106),('ANALYSE - ERP =&gt; SOUS-SEGMENT'!$BF$8:$BF$150),('ANALYSE - ERP =&gt; SOUS-SEGMENT'!$IY$8:$IY$150))</f>
        <v>#REF!</v>
      </c>
      <c r="I3" s="426" t="e">
        <f>SUMPRODUCT(($T$4:$T$106),('ANALYSE - ERP =&gt; SOUS-SEGMENT'!$BF$8:$BF$150),('ANALYSE - ERP =&gt; SOUS-SEGMENT'!$IZ$8:$IZ$150))</f>
        <v>#REF!</v>
      </c>
      <c r="J3" s="426" t="e">
        <f>SUMPRODUCT(($T$4:$T$106),('ANALYSE - ERP =&gt; SOUS-SEGMENT'!$BF$8:$BF$150),('ANALYSE - ERP =&gt; SOUS-SEGMENT'!$JA$8:$JA$150))</f>
        <v>#REF!</v>
      </c>
      <c r="K3" s="426" t="e">
        <f>SUMPRODUCT(($T$4:$T$106),('ANALYSE - ERP =&gt; SOUS-SEGMENT'!$BF$8:$BF$150),('ANALYSE - ERP =&gt; SOUS-SEGMENT'!$JB$8:$JB$150))</f>
        <v>#REF!</v>
      </c>
      <c r="L3" s="426" t="e">
        <f>SUMPRODUCT(($T$4:$T$106),('ANALYSE - ERP =&gt; SOUS-SEGMENT'!$BF$8:$BF$150),('ANALYSE - ERP =&gt; SOUS-SEGMENT'!$JC$8:$JC$150))</f>
        <v>#REF!</v>
      </c>
      <c r="N3" s="426" t="e">
        <f>SUMPRODUCT(($T$4:$T$106),('ANALYSE - ERP =&gt; SOUS-SEGMENT'!$FD$8:$FD$150),('ANALYSE - ERP =&gt; SOUS-SEGMENT'!$JD$8:$JD$150))</f>
        <v>#REF!</v>
      </c>
      <c r="O3" s="426" t="e">
        <f>SUMPRODUCT(($T$4:$T$106),('ANALYSE - ERP =&gt; SOUS-SEGMENT'!$FD$8:$FD$150),('ANALYSE - ERP =&gt; SOUS-SEGMENT'!$JE$8:$JE$150))</f>
        <v>#REF!</v>
      </c>
      <c r="P3" s="426" t="e">
        <f>SUMPRODUCT(($T$4:$T$106),('ANALYSE - ERP =&gt; SOUS-SEGMENT'!$FD$8:$FD$150),('ANALYSE - ERP =&gt; SOUS-SEGMENT'!$JF$8:$JF$150))</f>
        <v>#REF!</v>
      </c>
      <c r="Q3" s="426" t="e">
        <f>SUMPRODUCT(($T$4:$T$106),('ANALYSE - ERP =&gt; SOUS-SEGMENT'!$FD$8:$FD$150),('ANALYSE - ERP =&gt; SOUS-SEGMENT'!$JG$8:$JG$150))</f>
        <v>#REF!</v>
      </c>
      <c r="R3" s="426" t="e">
        <f>SUMPRODUCT(($T$4:$T$106),('ANALYSE - ERP =&gt; SOUS-SEGMENT'!$FD$8:$FD$150),('ANALYSE - ERP =&gt; SOUS-SEGMENT'!$JH$8:$JH$150))</f>
        <v>#REF!</v>
      </c>
      <c r="T3" s="428">
        <f>SUM('ANALYSE - ERP =&gt; SOUS-SEGMENT'!$Q$8:$Q$150)</f>
        <v>137</v>
      </c>
    </row>
    <row r="4" spans="1:20" ht="15" customHeight="1">
      <c r="A4" s="26">
        <v>1</v>
      </c>
      <c r="B4" s="26">
        <v>1</v>
      </c>
      <c r="C4" s="422">
        <f>'ANALYSE - ERP =&gt; SOUS-SEGMENT'!$A$75</f>
        <v>68</v>
      </c>
      <c r="D4" s="412" t="str">
        <f>'ANALYSE - ERP =&gt; SOUS-SEGMENT'!$B$75</f>
        <v>Commerce, Restauration &amp; Loisirs</v>
      </c>
      <c r="E4" s="412" t="str">
        <f>'ANALYSE - ERP =&gt; SOUS-SEGMENT'!$C$75</f>
        <v>Restauration / boissons</v>
      </c>
      <c r="F4" s="412" t="str">
        <f>'ANALYSE - ERP =&gt; SOUS-SEGMENT'!$D$75</f>
        <v>Restaurants
(Hors établissements altitude, flottant, armée)</v>
      </c>
      <c r="H4" s="458">
        <f>'ANALYSE - ERP =&gt; SOUS-SEGMENT'!$BF$75*'ANALYSE - ERP =&gt; SOUS-SEGMENT'!$IY$75</f>
        <v>0</v>
      </c>
      <c r="I4" s="458">
        <f>'ANALYSE - ERP =&gt; SOUS-SEGMENT'!$BF$75*'ANALYSE - ERP =&gt; SOUS-SEGMENT'!$IZ$75</f>
        <v>0</v>
      </c>
      <c r="J4" s="458">
        <f>'ANALYSE - ERP =&gt; SOUS-SEGMENT'!$BF$75*'ANALYSE - ERP =&gt; SOUS-SEGMENT'!$JA$75</f>
        <v>0</v>
      </c>
      <c r="K4" s="458">
        <f>'ANALYSE - ERP =&gt; SOUS-SEGMENT'!$BF$75*'ANALYSE - ERP =&gt; SOUS-SEGMENT'!$JB$75</f>
        <v>0</v>
      </c>
      <c r="L4" s="458">
        <f>'ANALYSE - ERP =&gt; SOUS-SEGMENT'!$BF$75*'ANALYSE - ERP =&gt; SOUS-SEGMENT'!$JC$75</f>
        <v>0</v>
      </c>
      <c r="N4" s="458">
        <f>'ANALYSE - ERP =&gt; SOUS-SEGMENT'!$FD$75*'ANALYSE - ERP =&gt; SOUS-SEGMENT'!$JD$75</f>
        <v>0</v>
      </c>
      <c r="O4" s="458">
        <f>'ANALYSE - ERP =&gt; SOUS-SEGMENT'!$FD$75*'ANALYSE - ERP =&gt; SOUS-SEGMENT'!$JE$75</f>
        <v>0</v>
      </c>
      <c r="P4" s="458">
        <f>'ANALYSE - ERP =&gt; SOUS-SEGMENT'!$FD$75*'ANALYSE - ERP =&gt; SOUS-SEGMENT'!$JF$75</f>
        <v>0</v>
      </c>
      <c r="Q4" s="458">
        <f>'ANALYSE - ERP =&gt; SOUS-SEGMENT'!$FD$75*'ANALYSE - ERP =&gt; SOUS-SEGMENT'!$JG$75</f>
        <v>0</v>
      </c>
      <c r="R4" s="458">
        <f>'ANALYSE - ERP =&gt; SOUS-SEGMENT'!$FD$75*'ANALYSE - ERP =&gt; SOUS-SEGMENT'!$JH$75</f>
        <v>0</v>
      </c>
      <c r="T4" s="430">
        <f>'ANALYSE - ERP =&gt; SOUS-SEGMENT'!$Q$75</f>
        <v>1</v>
      </c>
    </row>
    <row r="5" spans="1:20" ht="15" customHeight="1">
      <c r="A5" s="26">
        <v>2</v>
      </c>
      <c r="B5" s="26">
        <v>2</v>
      </c>
      <c r="C5" s="422">
        <f>'ANALYSE - ERP =&gt; SOUS-SEGMENT'!$A$21</f>
        <v>14</v>
      </c>
      <c r="D5" s="409" t="str">
        <f>'ANALYSE - ERP =&gt; SOUS-SEGMENT'!$B$21</f>
        <v>Sports &amp; Loisirs</v>
      </c>
      <c r="E5" s="409" t="str">
        <f>'ANALYSE - ERP =&gt; SOUS-SEGMENT'!$C$21</f>
        <v>Sport couvert / Thermalisme / Bien-être</v>
      </c>
      <c r="F5" s="409" t="str">
        <f>'ANALYSE - ERP =&gt; SOUS-SEGMENT'!$D$21</f>
        <v>Gymnases / salles multisports
(hors scolaire, mais gymnase municipaux inclus)</v>
      </c>
      <c r="H5" s="458">
        <f>'ANALYSE - ERP =&gt; SOUS-SEGMENT'!$BF$21*'ANALYSE - ERP =&gt; SOUS-SEGMENT'!$IY$21</f>
        <v>52717.120000000003</v>
      </c>
      <c r="I5" s="458">
        <f>'ANALYSE - ERP =&gt; SOUS-SEGMENT'!$BF$21*'ANALYSE - ERP =&gt; SOUS-SEGMENT'!$IZ$21</f>
        <v>151434.88</v>
      </c>
      <c r="J5" s="458">
        <f>'ANALYSE - ERP =&gt; SOUS-SEGMENT'!$BF$21*'ANALYSE - ERP =&gt; SOUS-SEGMENT'!$JA$21</f>
        <v>37448</v>
      </c>
      <c r="K5" s="458">
        <f>'ANALYSE - ERP =&gt; SOUS-SEGMENT'!$BF$21*'ANALYSE - ERP =&gt; SOUS-SEGMENT'!$JB$21</f>
        <v>0</v>
      </c>
      <c r="L5" s="458">
        <f>'ANALYSE - ERP =&gt; SOUS-SEGMENT'!$BF$21*'ANALYSE - ERP =&gt; SOUS-SEGMENT'!$JC$21</f>
        <v>0</v>
      </c>
      <c r="N5" s="458">
        <f>'ANALYSE - ERP =&gt; SOUS-SEGMENT'!$FD$21*'ANALYSE - ERP =&gt; SOUS-SEGMENT'!$JD$21</f>
        <v>14991.8321063</v>
      </c>
      <c r="O5" s="458">
        <f>'ANALYSE - ERP =&gt; SOUS-SEGMENT'!$FD$21*'ANALYSE - ERP =&gt; SOUS-SEGMENT'!$JE$21</f>
        <v>80293.677477300007</v>
      </c>
      <c r="P5" s="458">
        <f>'ANALYSE - ERP =&gt; SOUS-SEGMENT'!$FD$21*'ANALYSE - ERP =&gt; SOUS-SEGMENT'!$JF$21</f>
        <v>36106.533416400001</v>
      </c>
      <c r="Q5" s="458">
        <f>'ANALYSE - ERP =&gt; SOUS-SEGMENT'!$FD$21*'ANALYSE - ERP =&gt; SOUS-SEGMENT'!$JG$21</f>
        <v>0</v>
      </c>
      <c r="R5" s="458">
        <f>'ANALYSE - ERP =&gt; SOUS-SEGMENT'!$FD$21*'ANALYSE - ERP =&gt; SOUS-SEGMENT'!$JH$21</f>
        <v>0</v>
      </c>
      <c r="T5" s="430">
        <f>'ANALYSE - ERP =&gt; SOUS-SEGMENT'!$Q$21</f>
        <v>1</v>
      </c>
    </row>
    <row r="6" spans="1:20" ht="15" customHeight="1">
      <c r="A6" s="26">
        <v>3</v>
      </c>
      <c r="B6" s="26">
        <v>3</v>
      </c>
      <c r="C6" s="422">
        <f>'ANALYSE - ERP =&gt; SOUS-SEGMENT'!$A$58</f>
        <v>51</v>
      </c>
      <c r="D6" s="412" t="str">
        <f>'ANALYSE - ERP =&gt; SOUS-SEGMENT'!$B$58</f>
        <v>Santé &amp; Médico-social</v>
      </c>
      <c r="E6" s="412" t="str">
        <f>'ANALYSE - ERP =&gt; SOUS-SEGMENT'!$C$58</f>
        <v>Médico-social</v>
      </c>
      <c r="F6" s="412" t="str">
        <f>'ANALYSE - ERP =&gt; SOUS-SEGMENT'!$D$58</f>
        <v>EHPAD</v>
      </c>
      <c r="H6" s="458">
        <f>'ANALYSE - ERP =&gt; SOUS-SEGMENT'!$BF$58*'ANALYSE - ERP =&gt; SOUS-SEGMENT'!$IY$58</f>
        <v>0</v>
      </c>
      <c r="I6" s="458">
        <f>'ANALYSE - ERP =&gt; SOUS-SEGMENT'!$BF$58*'ANALYSE - ERP =&gt; SOUS-SEGMENT'!$IZ$58</f>
        <v>12039.027000000002</v>
      </c>
      <c r="J6" s="458">
        <f>'ANALYSE - ERP =&gt; SOUS-SEGMENT'!$BF$58*'ANALYSE - ERP =&gt; SOUS-SEGMENT'!$JA$58</f>
        <v>95716.985000000001</v>
      </c>
      <c r="K6" s="458">
        <f>'ANALYSE - ERP =&gt; SOUS-SEGMENT'!$BF$58*'ANALYSE - ERP =&gt; SOUS-SEGMENT'!$JB$58</f>
        <v>81009.019</v>
      </c>
      <c r="L6" s="458">
        <f>'ANALYSE - ERP =&gt; SOUS-SEGMENT'!$BF$58*'ANALYSE - ERP =&gt; SOUS-SEGMENT'!$JC$58</f>
        <v>3244.9689999999996</v>
      </c>
      <c r="N6" s="458">
        <f>'ANALYSE - ERP =&gt; SOUS-SEGMENT'!$FD$58*'ANALYSE - ERP =&gt; SOUS-SEGMENT'!$JD$58</f>
        <v>0</v>
      </c>
      <c r="O6" s="458">
        <f>'ANALYSE - ERP =&gt; SOUS-SEGMENT'!$FD$58*'ANALYSE - ERP =&gt; SOUS-SEGMENT'!$JE$58</f>
        <v>2043.5630244404404</v>
      </c>
      <c r="P6" s="458">
        <f>'ANALYSE - ERP =&gt; SOUS-SEGMENT'!$FD$58*'ANALYSE - ERP =&gt; SOUS-SEGMENT'!$JF$58</f>
        <v>34362.133818368886</v>
      </c>
      <c r="Q6" s="458">
        <f>'ANALYSE - ERP =&gt; SOUS-SEGMENT'!$FD$58*'ANALYSE - ERP =&gt; SOUS-SEGMENT'!$JG$58</f>
        <v>42923.233237629662</v>
      </c>
      <c r="R6" s="458">
        <f>'ANALYSE - ERP =&gt; SOUS-SEGMENT'!$FD$58*'ANALYSE - ERP =&gt; SOUS-SEGMENT'!$JH$58</f>
        <v>4768.3137236943612</v>
      </c>
      <c r="T6" s="430">
        <f>'ANALYSE - ERP =&gt; SOUS-SEGMENT'!$Q$58</f>
        <v>1</v>
      </c>
    </row>
    <row r="7" spans="1:20" ht="15" customHeight="1">
      <c r="A7" s="26">
        <v>4</v>
      </c>
      <c r="B7" s="26">
        <v>4</v>
      </c>
      <c r="C7" s="422">
        <f>'ANALYSE - ERP =&gt; SOUS-SEGMENT'!$A$24</f>
        <v>17</v>
      </c>
      <c r="D7" s="413" t="str">
        <f>'ANALYSE - ERP =&gt; SOUS-SEGMENT'!$B$24</f>
        <v>Sports &amp; Loisirs</v>
      </c>
      <c r="E7" s="413" t="str">
        <f>'ANALYSE - ERP =&gt; SOUS-SEGMENT'!$C$24</f>
        <v>Sport couvert / Thermalisme / Bien-être</v>
      </c>
      <c r="F7" s="413" t="str">
        <f>'ANALYSE - ERP =&gt; SOUS-SEGMENT'!$D$24</f>
        <v>Piscines couvertes</v>
      </c>
      <c r="H7" s="458">
        <f>'ANALYSE - ERP =&gt; SOUS-SEGMENT'!$BF$24*'ANALYSE - ERP =&gt; SOUS-SEGMENT'!$IY$24</f>
        <v>16713.280000000002</v>
      </c>
      <c r="I7" s="458">
        <f>'ANALYSE - ERP =&gt; SOUS-SEGMENT'!$BF$24*'ANALYSE - ERP =&gt; SOUS-SEGMENT'!$IZ$24</f>
        <v>58528.960000000006</v>
      </c>
      <c r="J7" s="458">
        <f>'ANALYSE - ERP =&gt; SOUS-SEGMENT'!$BF$24*'ANALYSE - ERP =&gt; SOUS-SEGMENT'!$JA$24</f>
        <v>17557.760000000002</v>
      </c>
      <c r="K7" s="458">
        <f>'ANALYSE - ERP =&gt; SOUS-SEGMENT'!$BF$24*'ANALYSE - ERP =&gt; SOUS-SEGMENT'!$JB$24</f>
        <v>0</v>
      </c>
      <c r="L7" s="458">
        <f>'ANALYSE - ERP =&gt; SOUS-SEGMENT'!$BF$24*'ANALYSE - ERP =&gt; SOUS-SEGMENT'!$JC$24</f>
        <v>0</v>
      </c>
      <c r="N7" s="458">
        <f>'ANALYSE - ERP =&gt; SOUS-SEGMENT'!$FD$24*'ANALYSE - ERP =&gt; SOUS-SEGMENT'!$JD$24</f>
        <v>4169.3398754597338</v>
      </c>
      <c r="O7" s="458">
        <f>'ANALYSE - ERP =&gt; SOUS-SEGMENT'!$FD$24*'ANALYSE - ERP =&gt; SOUS-SEGMENT'!$JE$24</f>
        <v>28913.035074595467</v>
      </c>
      <c r="P7" s="458">
        <f>'ANALYSE - ERP =&gt; SOUS-SEGMENT'!$FD$24*'ANALYSE - ERP =&gt; SOUS-SEGMENT'!$JF$24</f>
        <v>16434.725708611466</v>
      </c>
      <c r="Q7" s="458">
        <f>'ANALYSE - ERP =&gt; SOUS-SEGMENT'!$FD$24*'ANALYSE - ERP =&gt; SOUS-SEGMENT'!$JG$24</f>
        <v>0</v>
      </c>
      <c r="R7" s="458">
        <f>'ANALYSE - ERP =&gt; SOUS-SEGMENT'!$FD$24*'ANALYSE - ERP =&gt; SOUS-SEGMENT'!$JH$24</f>
        <v>0</v>
      </c>
      <c r="T7" s="430">
        <f>'ANALYSE - ERP =&gt; SOUS-SEGMENT'!$Q$24</f>
        <v>1</v>
      </c>
    </row>
    <row r="8" spans="1:20" ht="15" customHeight="1">
      <c r="A8" s="26">
        <v>5</v>
      </c>
      <c r="B8" s="26">
        <v>5</v>
      </c>
      <c r="C8" s="422">
        <f>'ANALYSE - ERP =&gt; SOUS-SEGMENT'!$A$94</f>
        <v>87</v>
      </c>
      <c r="D8" s="412" t="str">
        <f>'ANALYSE - ERP =&gt; SOUS-SEGMENT'!$B$94</f>
        <v>Hébergement Touristique</v>
      </c>
      <c r="E8" s="412" t="str">
        <f>'ANALYSE - ERP =&gt; SOUS-SEGMENT'!$C$94</f>
        <v>Tourisme de plein air</v>
      </c>
      <c r="F8" s="412" t="str">
        <f>'ANALYSE - ERP =&gt; SOUS-SEGMENT'!$D$94</f>
        <v>Campings</v>
      </c>
      <c r="H8" s="458">
        <f>'ANALYSE - ERP =&gt; SOUS-SEGMENT'!$BF$94*'ANALYSE - ERP =&gt; SOUS-SEGMENT'!$IY$94</f>
        <v>11916.216</v>
      </c>
      <c r="I8" s="458">
        <f>'ANALYSE - ERP =&gt; SOUS-SEGMENT'!$BF$94*'ANALYSE - ERP =&gt; SOUS-SEGMENT'!$IZ$94</f>
        <v>56220.095999999998</v>
      </c>
      <c r="J8" s="458">
        <f>'ANALYSE - ERP =&gt; SOUS-SEGMENT'!$BF$94*'ANALYSE - ERP =&gt; SOUS-SEGMENT'!$JA$94</f>
        <v>34452.720000000001</v>
      </c>
      <c r="K8" s="458">
        <f>'ANALYSE - ERP =&gt; SOUS-SEGMENT'!$BF$94*'ANALYSE - ERP =&gt; SOUS-SEGMENT'!$JB$94</f>
        <v>2739.3599999999997</v>
      </c>
      <c r="L8" s="458">
        <f>'ANALYSE - ERP =&gt; SOUS-SEGMENT'!$BF$94*'ANALYSE - ERP =&gt; SOUS-SEGMENT'!$JC$94</f>
        <v>31.607999999999997</v>
      </c>
      <c r="N8" s="458">
        <f>'ANALYSE - ERP =&gt; SOUS-SEGMENT'!$FD$94*'ANALYSE - ERP =&gt; SOUS-SEGMENT'!$JD$94</f>
        <v>2355.0911545252002</v>
      </c>
      <c r="O8" s="458">
        <f>'ANALYSE - ERP =&gt; SOUS-SEGMENT'!$FD$94*'ANALYSE - ERP =&gt; SOUS-SEGMENT'!$JE$94</f>
        <v>20493.2511807634</v>
      </c>
      <c r="P8" s="458">
        <f>'ANALYSE - ERP =&gt; SOUS-SEGMENT'!$FD$94*'ANALYSE - ERP =&gt; SOUS-SEGMENT'!$JF$94</f>
        <v>23164.993246821399</v>
      </c>
      <c r="Q8" s="458">
        <f>'ANALYSE - ERP =&gt; SOUS-SEGMENT'!$FD$94*'ANALYSE - ERP =&gt; SOUS-SEGMENT'!$JG$94</f>
        <v>3399.0496284848996</v>
      </c>
      <c r="R8" s="458">
        <f>'ANALYSE - ERP =&gt; SOUS-SEGMENT'!$FD$94*'ANALYSE - ERP =&gt; SOUS-SEGMENT'!$JH$94</f>
        <v>64.319716405099996</v>
      </c>
      <c r="T8" s="430">
        <f>'ANALYSE - ERP =&gt; SOUS-SEGMENT'!$Q$94</f>
        <v>1</v>
      </c>
    </row>
    <row r="9" spans="1:20" ht="15" customHeight="1">
      <c r="A9" s="26">
        <v>6</v>
      </c>
      <c r="B9" s="26">
        <v>6</v>
      </c>
      <c r="C9" s="422">
        <f>'ANALYSE - ERP =&gt; SOUS-SEGMENT'!$A$22</f>
        <v>15</v>
      </c>
      <c r="D9" s="409" t="str">
        <f>'ANALYSE - ERP =&gt; SOUS-SEGMENT'!$B$22</f>
        <v>Sports &amp; Loisirs</v>
      </c>
      <c r="E9" s="409" t="str">
        <f>'ANALYSE - ERP =&gt; SOUS-SEGMENT'!$C$22</f>
        <v>Sport couvert / Thermalisme / Bien-être</v>
      </c>
      <c r="F9" s="409" t="str">
        <f>'ANALYSE - ERP =&gt; SOUS-SEGMENT'!$D$22</f>
        <v>Salles de fitness / dojos</v>
      </c>
      <c r="H9" s="458">
        <f>'ANALYSE - ERP =&gt; SOUS-SEGMENT'!$BF$22*'ANALYSE - ERP =&gt; SOUS-SEGMENT'!$IY$22</f>
        <v>0</v>
      </c>
      <c r="I9" s="458">
        <f>'ANALYSE - ERP =&gt; SOUS-SEGMENT'!$BF$22*'ANALYSE - ERP =&gt; SOUS-SEGMENT'!$IZ$22</f>
        <v>19292.615999999998</v>
      </c>
      <c r="J9" s="458">
        <f>'ANALYSE - ERP =&gt; SOUS-SEGMENT'!$BF$22*'ANALYSE - ERP =&gt; SOUS-SEGMENT'!$JA$22</f>
        <v>45338.495999999999</v>
      </c>
      <c r="K9" s="458">
        <f>'ANALYSE - ERP =&gt; SOUS-SEGMENT'!$BF$22*'ANALYSE - ERP =&gt; SOUS-SEGMENT'!$JB$22</f>
        <v>16849.223999999998</v>
      </c>
      <c r="L9" s="458">
        <f>'ANALYSE - ERP =&gt; SOUS-SEGMENT'!$BF$22*'ANALYSE - ERP =&gt; SOUS-SEGMENT'!$JC$22</f>
        <v>3359.6640000000002</v>
      </c>
      <c r="N9" s="458">
        <f>'ANALYSE - ERP =&gt; SOUS-SEGMENT'!$FD$22*'ANALYSE - ERP =&gt; SOUS-SEGMENT'!$JD$22</f>
        <v>0</v>
      </c>
      <c r="O9" s="458">
        <f>'ANALYSE - ERP =&gt; SOUS-SEGMENT'!$FD$22*'ANALYSE - ERP =&gt; SOUS-SEGMENT'!$JE$22</f>
        <v>4665.2258106556665</v>
      </c>
      <c r="P9" s="458">
        <f>'ANALYSE - ERP =&gt; SOUS-SEGMENT'!$FD$22*'ANALYSE - ERP =&gt; SOUS-SEGMENT'!$JF$22</f>
        <v>24132.933110055001</v>
      </c>
      <c r="Q9" s="458">
        <f>'ANALYSE - ERP =&gt; SOUS-SEGMENT'!$FD$22*'ANALYSE - ERP =&gt; SOUS-SEGMENT'!$JG$22</f>
        <v>15651.998701467333</v>
      </c>
      <c r="R9" s="458">
        <f>'ANALYSE - ERP =&gt; SOUS-SEGMENT'!$FD$22*'ANALYSE - ERP =&gt; SOUS-SEGMENT'!$JH$22</f>
        <v>3008.9045411553334</v>
      </c>
      <c r="T9" s="430">
        <f>'ANALYSE - ERP =&gt; SOUS-SEGMENT'!$Q$22</f>
        <v>1</v>
      </c>
    </row>
    <row r="10" spans="1:20" ht="15" customHeight="1">
      <c r="A10" s="26">
        <v>7</v>
      </c>
      <c r="B10" s="26">
        <v>7</v>
      </c>
      <c r="C10" s="422">
        <f>'ANALYSE - ERP =&gt; SOUS-SEGMENT'!$A$27</f>
        <v>20</v>
      </c>
      <c r="D10" s="409" t="str">
        <f>'ANALYSE - ERP =&gt; SOUS-SEGMENT'!$B$27</f>
        <v>Sports &amp; Loisirs</v>
      </c>
      <c r="E10" s="409" t="str">
        <f>'ANALYSE - ERP =&gt; SOUS-SEGMENT'!$C$27</f>
        <v>Sport de plein air</v>
      </c>
      <c r="F10" s="409" t="str">
        <f>'ANALYSE - ERP =&gt; SOUS-SEGMENT'!$D$27</f>
        <v>Terrains de sport
(Hors scolaire, sans tribune)</v>
      </c>
      <c r="H10" s="458">
        <f>'ANALYSE - ERP =&gt; SOUS-SEGMENT'!$BF$27*'ANALYSE - ERP =&gt; SOUS-SEGMENT'!$IY$27</f>
        <v>32194.799999999999</v>
      </c>
      <c r="I10" s="458">
        <f>'ANALYSE - ERP =&gt; SOUS-SEGMENT'!$BF$27*'ANALYSE - ERP =&gt; SOUS-SEGMENT'!$IZ$27</f>
        <v>114661.79999999999</v>
      </c>
      <c r="J10" s="458">
        <f>'ANALYSE - ERP =&gt; SOUS-SEGMENT'!$BF$27*'ANALYSE - ERP =&gt; SOUS-SEGMENT'!$JA$27</f>
        <v>47896.200000000004</v>
      </c>
      <c r="K10" s="458">
        <f>'ANALYSE - ERP =&gt; SOUS-SEGMENT'!$BF$27*'ANALYSE - ERP =&gt; SOUS-SEGMENT'!$JB$27</f>
        <v>3247.2000000000003</v>
      </c>
      <c r="L10" s="458">
        <f>'ANALYSE - ERP =&gt; SOUS-SEGMENT'!$BF$27*'ANALYSE - ERP =&gt; SOUS-SEGMENT'!$JC$27</f>
        <v>0</v>
      </c>
      <c r="N10" s="458">
        <f>'ANALYSE - ERP =&gt; SOUS-SEGMENT'!$FD$27*'ANALYSE - ERP =&gt; SOUS-SEGMENT'!$JD$27</f>
        <v>16897.725546401249</v>
      </c>
      <c r="O10" s="458">
        <f>'ANALYSE - ERP =&gt; SOUS-SEGMENT'!$FD$27*'ANALYSE - ERP =&gt; SOUS-SEGMENT'!$JE$27</f>
        <v>65002.01669816464</v>
      </c>
      <c r="P10" s="458">
        <f>'ANALYSE - ERP =&gt; SOUS-SEGMENT'!$FD$27*'ANALYSE - ERP =&gt; SOUS-SEGMENT'!$JF$27</f>
        <v>30273.633898176427</v>
      </c>
      <c r="Q10" s="458">
        <f>'ANALYSE - ERP =&gt; SOUS-SEGMENT'!$FD$27*'ANALYSE - ERP =&gt; SOUS-SEGMENT'!$JG$27</f>
        <v>3976.621401879107</v>
      </c>
      <c r="R10" s="458">
        <f>'ANALYSE - ERP =&gt; SOUS-SEGMENT'!$FD$27*'ANALYSE - ERP =&gt; SOUS-SEGMENT'!$JH$27</f>
        <v>466.46585359285717</v>
      </c>
      <c r="T10" s="430">
        <f>'ANALYSE - ERP =&gt; SOUS-SEGMENT'!$Q$27</f>
        <v>1</v>
      </c>
    </row>
    <row r="11" spans="1:20" s="45" customFormat="1" ht="15" customHeight="1">
      <c r="A11" s="26">
        <v>8</v>
      </c>
      <c r="B11" s="26">
        <v>8</v>
      </c>
      <c r="C11" s="422">
        <f>'ANALYSE - ERP =&gt; SOUS-SEGMENT'!$A$56</f>
        <v>49</v>
      </c>
      <c r="D11" s="409" t="str">
        <f>'ANALYSE - ERP =&gt; SOUS-SEGMENT'!$B$56</f>
        <v>Santé &amp; Médico-social</v>
      </c>
      <c r="E11" s="409" t="str">
        <f>'ANALYSE - ERP =&gt; SOUS-SEGMENT'!$C$56</f>
        <v>Médico-social</v>
      </c>
      <c r="F11" s="409" t="str">
        <f>'ANALYSE - ERP =&gt; SOUS-SEGMENT'!$D$56</f>
        <v>Foyers pour personnes handicapées</v>
      </c>
      <c r="G11" s="685"/>
      <c r="H11" s="458">
        <f>'ANALYSE - ERP =&gt; SOUS-SEGMENT'!$BF$56*'ANALYSE - ERP =&gt; SOUS-SEGMENT'!$IY$56</f>
        <v>0</v>
      </c>
      <c r="I11" s="458">
        <f>'ANALYSE - ERP =&gt; SOUS-SEGMENT'!$BF$56*'ANALYSE - ERP =&gt; SOUS-SEGMENT'!$IZ$56</f>
        <v>9954.4000000000015</v>
      </c>
      <c r="J11" s="458">
        <f>'ANALYSE - ERP =&gt; SOUS-SEGMENT'!$BF$56*'ANALYSE - ERP =&gt; SOUS-SEGMENT'!$JA$56</f>
        <v>20655.84</v>
      </c>
      <c r="K11" s="458">
        <f>'ANALYSE - ERP =&gt; SOUS-SEGMENT'!$BF$56*'ANALYSE - ERP =&gt; SOUS-SEGMENT'!$JB$56</f>
        <v>6189.7599999999993</v>
      </c>
      <c r="L11" s="458">
        <f>'ANALYSE - ERP =&gt; SOUS-SEGMENT'!$BF$56*'ANALYSE - ERP =&gt; SOUS-SEGMENT'!$JC$56</f>
        <v>0</v>
      </c>
      <c r="M11" s="685"/>
      <c r="N11" s="458">
        <f>'ANALYSE - ERP =&gt; SOUS-SEGMENT'!$FD$56*'ANALYSE - ERP =&gt; SOUS-SEGMENT'!$JD$56</f>
        <v>0</v>
      </c>
      <c r="O11" s="458">
        <f>'ANALYSE - ERP =&gt; SOUS-SEGMENT'!$FD$56*'ANALYSE - ERP =&gt; SOUS-SEGMENT'!$JE$56</f>
        <v>2024.3519847743589</v>
      </c>
      <c r="P11" s="458">
        <f>'ANALYSE - ERP =&gt; SOUS-SEGMENT'!$FD$56*'ANALYSE - ERP =&gt; SOUS-SEGMENT'!$JF$56</f>
        <v>8973.6677239760702</v>
      </c>
      <c r="Q11" s="458">
        <f>'ANALYSE - ERP =&gt; SOUS-SEGMENT'!$FD$56*'ANALYSE - ERP =&gt; SOUS-SEGMENT'!$JG$56</f>
        <v>4992.1223510786322</v>
      </c>
      <c r="R11" s="458">
        <f>'ANALYSE - ERP =&gt; SOUS-SEGMENT'!$FD$56*'ANALYSE - ERP =&gt; SOUS-SEGMENT'!$JH$56</f>
        <v>0</v>
      </c>
      <c r="S11" s="685"/>
      <c r="T11" s="430">
        <f>'ANALYSE - ERP =&gt; SOUS-SEGMENT'!$Q$56</f>
        <v>1</v>
      </c>
    </row>
    <row r="12" spans="1:20" ht="15" customHeight="1">
      <c r="A12" s="26">
        <v>9</v>
      </c>
      <c r="B12" s="26">
        <v>9</v>
      </c>
      <c r="C12" s="422">
        <f>'ANALYSE - ERP =&gt; SOUS-SEGMENT'!$A$29</f>
        <v>22</v>
      </c>
      <c r="D12" s="413" t="str">
        <f>'ANALYSE - ERP =&gt; SOUS-SEGMENT'!$B$29</f>
        <v>Sports &amp; Loisirs</v>
      </c>
      <c r="E12" s="413" t="str">
        <f>'ANALYSE - ERP =&gt; SOUS-SEGMENT'!$C$29</f>
        <v>Sport de plein air</v>
      </c>
      <c r="F12" s="413" t="str">
        <f>'ANALYSE - ERP =&gt; SOUS-SEGMENT'!$D$29</f>
        <v xml:space="preserve">Grands stades avec tribunes
(Type football/rugby) </v>
      </c>
      <c r="H12" s="458">
        <f>'ANALYSE - ERP =&gt; SOUS-SEGMENT'!$BF$29*'ANALYSE - ERP =&gt; SOUS-SEGMENT'!$IY$29</f>
        <v>399.92400000000004</v>
      </c>
      <c r="I12" s="458">
        <f>'ANALYSE - ERP =&gt; SOUS-SEGMENT'!$BF$29*'ANALYSE - ERP =&gt; SOUS-SEGMENT'!$IZ$29</f>
        <v>4298.9759999999997</v>
      </c>
      <c r="J12" s="458">
        <f>'ANALYSE - ERP =&gt; SOUS-SEGMENT'!$BF$29*'ANALYSE - ERP =&gt; SOUS-SEGMENT'!$JA$29</f>
        <v>3332.7000000000003</v>
      </c>
      <c r="K12" s="458">
        <f>'ANALYSE - ERP =&gt; SOUS-SEGMENT'!$BF$29*'ANALYSE - ERP =&gt; SOUS-SEGMENT'!$JB$29</f>
        <v>248.39999999999998</v>
      </c>
      <c r="L12" s="458">
        <f>'ANALYSE - ERP =&gt; SOUS-SEGMENT'!$BF$29*'ANALYSE - ERP =&gt; SOUS-SEGMENT'!$JC$29</f>
        <v>0</v>
      </c>
      <c r="N12" s="458">
        <f>'ANALYSE - ERP =&gt; SOUS-SEGMENT'!$FD$29*'ANALYSE - ERP =&gt; SOUS-SEGMENT'!$JD$29</f>
        <v>74.469375708800001</v>
      </c>
      <c r="O12" s="458">
        <f>'ANALYSE - ERP =&gt; SOUS-SEGMENT'!$FD$29*'ANALYSE - ERP =&gt; SOUS-SEGMENT'!$JE$29</f>
        <v>1641.0507549488</v>
      </c>
      <c r="P12" s="458">
        <f>'ANALYSE - ERP =&gt; SOUS-SEGMENT'!$FD$29*'ANALYSE - ERP =&gt; SOUS-SEGMENT'!$JF$29</f>
        <v>2536.4995896912001</v>
      </c>
      <c r="Q12" s="458">
        <f>'ANALYSE - ERP =&gt; SOUS-SEGMENT'!$FD$29*'ANALYSE - ERP =&gt; SOUS-SEGMENT'!$JG$29</f>
        <v>288.7958716512</v>
      </c>
      <c r="R12" s="458">
        <f>'ANALYSE - ERP =&gt; SOUS-SEGMENT'!$FD$29*'ANALYSE - ERP =&gt; SOUS-SEGMENT'!$JH$29</f>
        <v>0</v>
      </c>
      <c r="T12" s="430">
        <f>'ANALYSE - ERP =&gt; SOUS-SEGMENT'!$Q$29</f>
        <v>1</v>
      </c>
    </row>
    <row r="13" spans="1:20" s="45" customFormat="1" ht="15" customHeight="1">
      <c r="A13" s="406">
        <v>10</v>
      </c>
      <c r="B13" s="406">
        <v>10</v>
      </c>
      <c r="C13" s="448">
        <f>'ANALYSE - ERP =&gt; SOUS-SEGMENT'!$A$44</f>
        <v>37</v>
      </c>
      <c r="D13" s="449" t="str">
        <f>'ANALYSE - ERP =&gt; SOUS-SEGMENT'!$B$44</f>
        <v>Santé &amp; Médico-social</v>
      </c>
      <c r="E13" s="449" t="str">
        <f>'ANALYSE - ERP =&gt; SOUS-SEGMENT'!$C$44</f>
        <v>Santé hospitalière</v>
      </c>
      <c r="F13" s="449" t="str">
        <f>'ANALYSE - ERP =&gt; SOUS-SEGMENT'!$D$44</f>
        <v>Hôpitaux publics 
(Hors CHU, Universitaire, Militaire, Carcéral)</v>
      </c>
      <c r="G13" s="685"/>
      <c r="H13" s="459">
        <f>'ANALYSE - ERP =&gt; SOUS-SEGMENT'!$BF$44*'ANALYSE - ERP =&gt; SOUS-SEGMENT'!$IY$44</f>
        <v>0</v>
      </c>
      <c r="I13" s="459">
        <f>'ANALYSE - ERP =&gt; SOUS-SEGMENT'!$BF$44*'ANALYSE - ERP =&gt; SOUS-SEGMENT'!$IZ$44</f>
        <v>19865.549000000003</v>
      </c>
      <c r="J13" s="459">
        <f>'ANALYSE - ERP =&gt; SOUS-SEGMENT'!$BF$44*'ANALYSE - ERP =&gt; SOUS-SEGMENT'!$JA$44</f>
        <v>39880.412000000004</v>
      </c>
      <c r="K13" s="459">
        <f>'ANALYSE - ERP =&gt; SOUS-SEGMENT'!$BF$44*'ANALYSE - ERP =&gt; SOUS-SEGMENT'!$JB$44</f>
        <v>8124.0389999999998</v>
      </c>
      <c r="L13" s="459">
        <f>'ANALYSE - ERP =&gt; SOUS-SEGMENT'!$BF$44*'ANALYSE - ERP =&gt; SOUS-SEGMENT'!$JC$44</f>
        <v>0</v>
      </c>
      <c r="M13" s="685"/>
      <c r="N13" s="459">
        <f>'ANALYSE - ERP =&gt; SOUS-SEGMENT'!$FD$44*'ANALYSE - ERP =&gt; SOUS-SEGMENT'!$JD$44</f>
        <v>0</v>
      </c>
      <c r="O13" s="459">
        <f>'ANALYSE - ERP =&gt; SOUS-SEGMENT'!$FD$44*'ANALYSE - ERP =&gt; SOUS-SEGMENT'!$JE$44</f>
        <v>6198.5193525000013</v>
      </c>
      <c r="P13" s="459">
        <f>'ANALYSE - ERP =&gt; SOUS-SEGMENT'!$FD$44*'ANALYSE - ERP =&gt; SOUS-SEGMENT'!$JF$44</f>
        <v>22204.310274000003</v>
      </c>
      <c r="Q13" s="459">
        <f>'ANALYSE - ERP =&gt; SOUS-SEGMENT'!$FD$44*'ANALYSE - ERP =&gt; SOUS-SEGMENT'!$JG$44</f>
        <v>8383.6353735000012</v>
      </c>
      <c r="R13" s="459">
        <f>'ANALYSE - ERP =&gt; SOUS-SEGMENT'!$FD$44*'ANALYSE - ERP =&gt; SOUS-SEGMENT'!$JH$44</f>
        <v>0</v>
      </c>
      <c r="S13" s="685"/>
      <c r="T13" s="450">
        <f>'ANALYSE - ERP =&gt; SOUS-SEGMENT'!$Q$44</f>
        <v>1</v>
      </c>
    </row>
    <row r="14" spans="1:20" ht="15" customHeight="1">
      <c r="A14" s="26">
        <v>11</v>
      </c>
      <c r="B14" s="26">
        <v>11</v>
      </c>
      <c r="C14" s="422">
        <f>'ANALYSE - ERP =&gt; SOUS-SEGMENT'!$A$84</f>
        <v>77</v>
      </c>
      <c r="D14" s="409" t="str">
        <f>'ANALYSE - ERP =&gt; SOUS-SEGMENT'!$B$84</f>
        <v>Tertiaire &amp; Industriel</v>
      </c>
      <c r="E14" s="409" t="str">
        <f>'ANALYSE - ERP =&gt; SOUS-SEGMENT'!$C$84</f>
        <v>Usines &amp; Ateliers</v>
      </c>
      <c r="F14" s="409" t="str">
        <f>'ANALYSE - ERP =&gt; SOUS-SEGMENT'!$D$84</f>
        <v>Usines 
(&gt;50 salariés)
(Hors Ateliers industriels)</v>
      </c>
      <c r="H14" s="458">
        <f>'ANALYSE - ERP =&gt; SOUS-SEGMENT'!$BF$84*'ANALYSE - ERP =&gt; SOUS-SEGMENT'!$IY$84</f>
        <v>2171.52</v>
      </c>
      <c r="I14" s="458">
        <f>'ANALYSE - ERP =&gt; SOUS-SEGMENT'!$BF$84*'ANALYSE - ERP =&gt; SOUS-SEGMENT'!$IZ$84</f>
        <v>28911.84</v>
      </c>
      <c r="J14" s="458">
        <f>'ANALYSE - ERP =&gt; SOUS-SEGMENT'!$BF$84*'ANALYSE - ERP =&gt; SOUS-SEGMENT'!$JA$84</f>
        <v>34424.159999999996</v>
      </c>
      <c r="K14" s="458">
        <f>'ANALYSE - ERP =&gt; SOUS-SEGMENT'!$BF$84*'ANALYSE - ERP =&gt; SOUS-SEGMENT'!$JB$84</f>
        <v>4099.4400000000005</v>
      </c>
      <c r="L14" s="458">
        <f>'ANALYSE - ERP =&gt; SOUS-SEGMENT'!$BF$84*'ANALYSE - ERP =&gt; SOUS-SEGMENT'!$JC$84</f>
        <v>0</v>
      </c>
      <c r="N14" s="458">
        <f>'ANALYSE - ERP =&gt; SOUS-SEGMENT'!$FD$84*'ANALYSE - ERP =&gt; SOUS-SEGMENT'!$JD$84</f>
        <v>280.01616192181814</v>
      </c>
      <c r="O14" s="458">
        <f>'ANALYSE - ERP =&gt; SOUS-SEGMENT'!$FD$84*'ANALYSE - ERP =&gt; SOUS-SEGMENT'!$JE$84</f>
        <v>12078.030450894423</v>
      </c>
      <c r="P14" s="458">
        <f>'ANALYSE - ERP =&gt; SOUS-SEGMENT'!$FD$84*'ANALYSE - ERP =&gt; SOUS-SEGMENT'!$JF$84</f>
        <v>16079.150275688406</v>
      </c>
      <c r="Q14" s="458">
        <f>'ANALYSE - ERP =&gt; SOUS-SEGMENT'!$FD$84*'ANALYSE - ERP =&gt; SOUS-SEGMENT'!$JG$84</f>
        <v>2523.2567479843838</v>
      </c>
      <c r="R14" s="458">
        <f>'ANALYSE - ERP =&gt; SOUS-SEGMENT'!$FD$84*'ANALYSE - ERP =&gt; SOUS-SEGMENT'!$JH$84</f>
        <v>152.45324371298989</v>
      </c>
      <c r="T14" s="430">
        <f>'ANALYSE - ERP =&gt; SOUS-SEGMENT'!$Q$84</f>
        <v>1</v>
      </c>
    </row>
    <row r="15" spans="1:20" s="45" customFormat="1" ht="15" customHeight="1">
      <c r="A15" s="406">
        <v>12</v>
      </c>
      <c r="B15" s="406">
        <v>12</v>
      </c>
      <c r="C15" s="448">
        <f>'ANALYSE - ERP =&gt; SOUS-SEGMENT'!$A$13</f>
        <v>6</v>
      </c>
      <c r="D15" s="449" t="str">
        <f>'ANALYSE - ERP =&gt; SOUS-SEGMENT'!$B$13</f>
        <v>Enfance, Enseignement, Jeunesse &amp; Formation</v>
      </c>
      <c r="E15" s="449" t="str">
        <f>'ANALYSE - ERP =&gt; SOUS-SEGMENT'!$C$13</f>
        <v>Enseignement scolaire</v>
      </c>
      <c r="F15" s="449" t="str">
        <f>'ANALYSE - ERP =&gt; SOUS-SEGMENT'!$D$13</f>
        <v>Collèges
(vestiaires EPS inclus)</v>
      </c>
      <c r="G15" s="685"/>
      <c r="H15" s="459">
        <f>'ANALYSE - ERP =&gt; SOUS-SEGMENT'!$BF$13*'ANALYSE - ERP =&gt; SOUS-SEGMENT'!$IY$13</f>
        <v>6116.0805</v>
      </c>
      <c r="I15" s="459">
        <f>'ANALYSE - ERP =&gt; SOUS-SEGMENT'!$BF$13*'ANALYSE - ERP =&gt; SOUS-SEGMENT'!$IZ$13</f>
        <v>30957.729749999999</v>
      </c>
      <c r="J15" s="459">
        <f>'ANALYSE - ERP =&gt; SOUS-SEGMENT'!$BF$13*'ANALYSE - ERP =&gt; SOUS-SEGMENT'!$JA$13</f>
        <v>18027.231749999999</v>
      </c>
      <c r="K15" s="459">
        <f>'ANALYSE - ERP =&gt; SOUS-SEGMENT'!$BF$13*'ANALYSE - ERP =&gt; SOUS-SEGMENT'!$JB$13</f>
        <v>1205.1944999999998</v>
      </c>
      <c r="L15" s="459">
        <f>'ANALYSE - ERP =&gt; SOUS-SEGMENT'!$BF$13*'ANALYSE - ERP =&gt; SOUS-SEGMENT'!$JC$13</f>
        <v>11.263500000000001</v>
      </c>
      <c r="M15" s="685"/>
      <c r="N15" s="459">
        <f>'ANALYSE - ERP =&gt; SOUS-SEGMENT'!$FD$13*'ANALYSE - ERP =&gt; SOUS-SEGMENT'!$JD$13</f>
        <v>676.11138873300013</v>
      </c>
      <c r="O15" s="459">
        <f>'ANALYSE - ERP =&gt; SOUS-SEGMENT'!$FD$13*'ANALYSE - ERP =&gt; SOUS-SEGMENT'!$JE$13</f>
        <v>6931.8320129850836</v>
      </c>
      <c r="P15" s="459">
        <f>'ANALYSE - ERP =&gt; SOUS-SEGMENT'!$FD$13*'ANALYSE - ERP =&gt; SOUS-SEGMENT'!$JF$13</f>
        <v>8170.8061328383055</v>
      </c>
      <c r="Q15" s="459">
        <f>'ANALYSE - ERP =&gt; SOUS-SEGMENT'!$FD$13*'ANALYSE - ERP =&gt; SOUS-SEGMENT'!$JG$13</f>
        <v>1107.1323990502876</v>
      </c>
      <c r="R15" s="459">
        <f>'ANALYSE - ERP =&gt; SOUS-SEGMENT'!$FD$13*'ANALYSE - ERP =&gt; SOUS-SEGMENT'!$JH$13</f>
        <v>16.902784718325002</v>
      </c>
      <c r="S15" s="685"/>
      <c r="T15" s="450">
        <f>'ANALYSE - ERP =&gt; SOUS-SEGMENT'!$Q$13</f>
        <v>1</v>
      </c>
    </row>
    <row r="16" spans="1:20" ht="15" customHeight="1">
      <c r="A16" s="26">
        <v>13</v>
      </c>
      <c r="B16" s="26">
        <v>13</v>
      </c>
      <c r="C16" s="422">
        <f>'ANALYSE - ERP =&gt; SOUS-SEGMENT'!$A$14</f>
        <v>7</v>
      </c>
      <c r="D16" s="408" t="str">
        <f>'ANALYSE - ERP =&gt; SOUS-SEGMENT'!$B$14</f>
        <v>Enfance, Enseignement, Jeunesse &amp; Formation</v>
      </c>
      <c r="E16" s="408" t="str">
        <f>'ANALYSE - ERP =&gt; SOUS-SEGMENT'!$C$14</f>
        <v>Enseignement scolaire</v>
      </c>
      <c r="F16" s="408" t="str">
        <f>'ANALYSE - ERP =&gt; SOUS-SEGMENT'!$D$14</f>
        <v>Lycées
(vestiaires EPS inclus)</v>
      </c>
      <c r="H16" s="458">
        <f>'ANALYSE - ERP =&gt; SOUS-SEGMENT'!$BF$14*'ANALYSE - ERP =&gt; SOUS-SEGMENT'!$IY$14</f>
        <v>5588.85</v>
      </c>
      <c r="I16" s="458">
        <f>'ANALYSE - ERP =&gt; SOUS-SEGMENT'!$BF$14*'ANALYSE - ERP =&gt; SOUS-SEGMENT'!$IZ$14</f>
        <v>30185.378850000001</v>
      </c>
      <c r="J16" s="458">
        <f>'ANALYSE - ERP =&gt; SOUS-SEGMENT'!$BF$14*'ANALYSE - ERP =&gt; SOUS-SEGMENT'!$JA$14</f>
        <v>18761.76945</v>
      </c>
      <c r="K16" s="458">
        <f>'ANALYSE - ERP =&gt; SOUS-SEGMENT'!$BF$14*'ANALYSE - ERP =&gt; SOUS-SEGMENT'!$JB$14</f>
        <v>1341.3240000000001</v>
      </c>
      <c r="L16" s="458">
        <f>'ANALYSE - ERP =&gt; SOUS-SEGMENT'!$BF$14*'ANALYSE - ERP =&gt; SOUS-SEGMENT'!$JC$14</f>
        <v>11.1777</v>
      </c>
      <c r="N16" s="458">
        <f>'ANALYSE - ERP =&gt; SOUS-SEGMENT'!$FD$14*'ANALYSE - ERP =&gt; SOUS-SEGMENT'!$JD$14</f>
        <v>603.81276256619856</v>
      </c>
      <c r="O16" s="458">
        <f>'ANALYSE - ERP =&gt; SOUS-SEGMENT'!$FD$14*'ANALYSE - ERP =&gt; SOUS-SEGMENT'!$JE$14</f>
        <v>6626.8030209215103</v>
      </c>
      <c r="P16" s="458">
        <f>'ANALYSE - ERP =&gt; SOUS-SEGMENT'!$FD$14*'ANALYSE - ERP =&gt; SOUS-SEGMENT'!$JF$14</f>
        <v>8355.8267532837726</v>
      </c>
      <c r="Q16" s="458">
        <f>'ANALYSE - ERP =&gt; SOUS-SEGMENT'!$FD$14*'ANALYSE - ERP =&gt; SOUS-SEGMENT'!$JG$14</f>
        <v>1212.6713142346214</v>
      </c>
      <c r="R16" s="458">
        <f>'ANALYSE - ERP =&gt; SOUS-SEGMENT'!$FD$14*'ANALYSE - ERP =&gt; SOUS-SEGMENT'!$JH$14</f>
        <v>20.183156408897997</v>
      </c>
      <c r="T16" s="430">
        <f>'ANALYSE - ERP =&gt; SOUS-SEGMENT'!$Q$14</f>
        <v>1</v>
      </c>
    </row>
    <row r="17" spans="1:20" ht="15" customHeight="1">
      <c r="A17" s="26">
        <v>14</v>
      </c>
      <c r="B17" s="26">
        <v>14</v>
      </c>
      <c r="C17" s="422">
        <f>'ANALYSE - ERP =&gt; SOUS-SEGMENT'!$A$52</f>
        <v>45</v>
      </c>
      <c r="D17" s="411" t="str">
        <f>'ANALYSE - ERP =&gt; SOUS-SEGMENT'!$B$52</f>
        <v>Santé &amp; Médico-social</v>
      </c>
      <c r="E17" s="411" t="str">
        <f>'ANALYSE - ERP =&gt; SOUS-SEGMENT'!$C$52</f>
        <v>Médico-social</v>
      </c>
      <c r="F17" s="411" t="str">
        <f>'ANALYSE - ERP =&gt; SOUS-SEGMENT'!$D$52</f>
        <v>Établissements Médico-éducatifs</v>
      </c>
      <c r="H17" s="458">
        <f>'ANALYSE - ERP =&gt; SOUS-SEGMENT'!$BF$52*'ANALYSE - ERP =&gt; SOUS-SEGMENT'!$IY$52</f>
        <v>0</v>
      </c>
      <c r="I17" s="458">
        <f>'ANALYSE - ERP =&gt; SOUS-SEGMENT'!$BF$52*'ANALYSE - ERP =&gt; SOUS-SEGMENT'!$IZ$52</f>
        <v>3381.2500000000005</v>
      </c>
      <c r="J17" s="458">
        <f>'ANALYSE - ERP =&gt; SOUS-SEGMENT'!$BF$52*'ANALYSE - ERP =&gt; SOUS-SEGMENT'!$JA$52</f>
        <v>7016.25</v>
      </c>
      <c r="K17" s="458">
        <f>'ANALYSE - ERP =&gt; SOUS-SEGMENT'!$BF$52*'ANALYSE - ERP =&gt; SOUS-SEGMENT'!$JB$52</f>
        <v>2102.5</v>
      </c>
      <c r="L17" s="458">
        <f>'ANALYSE - ERP =&gt; SOUS-SEGMENT'!$BF$52*'ANALYSE - ERP =&gt; SOUS-SEGMENT'!$JC$52</f>
        <v>0</v>
      </c>
      <c r="N17" s="458">
        <f>'ANALYSE - ERP =&gt; SOUS-SEGMENT'!$FD$52*'ANALYSE - ERP =&gt; SOUS-SEGMENT'!$JD$52</f>
        <v>0</v>
      </c>
      <c r="O17" s="458">
        <f>'ANALYSE - ERP =&gt; SOUS-SEGMENT'!$FD$52*'ANALYSE - ERP =&gt; SOUS-SEGMENT'!$JE$52</f>
        <v>888.29250721598862</v>
      </c>
      <c r="P17" s="458">
        <f>'ANALYSE - ERP =&gt; SOUS-SEGMENT'!$FD$52*'ANALYSE - ERP =&gt; SOUS-SEGMENT'!$JF$52</f>
        <v>3206.724721055949</v>
      </c>
      <c r="Q17" s="458">
        <f>'ANALYSE - ERP =&gt; SOUS-SEGMENT'!$FD$52*'ANALYSE - ERP =&gt; SOUS-SEGMENT'!$JG$52</f>
        <v>1519.9796567848805</v>
      </c>
      <c r="R17" s="458">
        <f>'ANALYSE - ERP =&gt; SOUS-SEGMENT'!$FD$52*'ANALYSE - ERP =&gt; SOUS-SEGMENT'!$JH$52</f>
        <v>0</v>
      </c>
      <c r="T17" s="430">
        <f>'ANALYSE - ERP =&gt; SOUS-SEGMENT'!$Q$52</f>
        <v>1</v>
      </c>
    </row>
    <row r="18" spans="1:20" ht="15" customHeight="1">
      <c r="A18" s="26">
        <v>15</v>
      </c>
      <c r="B18" s="26">
        <v>15</v>
      </c>
      <c r="C18" s="422">
        <f>'ANALYSE - ERP =&gt; SOUS-SEGMENT'!$A$46</f>
        <v>39</v>
      </c>
      <c r="D18" s="409" t="str">
        <f>'ANALYSE - ERP =&gt; SOUS-SEGMENT'!$B$46</f>
        <v>Santé &amp; Médico-social</v>
      </c>
      <c r="E18" s="409" t="str">
        <f>'ANALYSE - ERP =&gt; SOUS-SEGMENT'!$C$46</f>
        <v>Santé hospitalière</v>
      </c>
      <c r="F18" s="409" t="str">
        <f>'ANALYSE - ERP =&gt; SOUS-SEGMENT'!$D$46</f>
        <v>Cliniques</v>
      </c>
      <c r="H18" s="458">
        <f>'ANALYSE - ERP =&gt; SOUS-SEGMENT'!$BF$46*'ANALYSE - ERP =&gt; SOUS-SEGMENT'!$IY$46</f>
        <v>0</v>
      </c>
      <c r="I18" s="458">
        <f>'ANALYSE - ERP =&gt; SOUS-SEGMENT'!$BF$46*'ANALYSE - ERP =&gt; SOUS-SEGMENT'!$IZ$46</f>
        <v>1565.46</v>
      </c>
      <c r="J18" s="458">
        <f>'ANALYSE - ERP =&gt; SOUS-SEGMENT'!$BF$46*'ANALYSE - ERP =&gt; SOUS-SEGMENT'!$JA$46</f>
        <v>18030.870000000003</v>
      </c>
      <c r="K18" s="458">
        <f>'ANALYSE - ERP =&gt; SOUS-SEGMENT'!$BF$46*'ANALYSE - ERP =&gt; SOUS-SEGMENT'!$JB$46</f>
        <v>14096.16</v>
      </c>
      <c r="L18" s="458">
        <f>'ANALYSE - ERP =&gt; SOUS-SEGMENT'!$BF$46*'ANALYSE - ERP =&gt; SOUS-SEGMENT'!$JC$46</f>
        <v>1407.51</v>
      </c>
      <c r="N18" s="458">
        <f>'ANALYSE - ERP =&gt; SOUS-SEGMENT'!$FD$46*'ANALYSE - ERP =&gt; SOUS-SEGMENT'!$JD$46</f>
        <v>0</v>
      </c>
      <c r="O18" s="458">
        <f>'ANALYSE - ERP =&gt; SOUS-SEGMENT'!$FD$46*'ANALYSE - ERP =&gt; SOUS-SEGMENT'!$JE$46</f>
        <v>0</v>
      </c>
      <c r="P18" s="458">
        <f>'ANALYSE - ERP =&gt; SOUS-SEGMENT'!$FD$46*'ANALYSE - ERP =&gt; SOUS-SEGMENT'!$JF$46</f>
        <v>7115.9962702539924</v>
      </c>
      <c r="Q18" s="458">
        <f>'ANALYSE - ERP =&gt; SOUS-SEGMENT'!$FD$46*'ANALYSE - ERP =&gt; SOUS-SEGMENT'!$JG$46</f>
        <v>9545.9388635787709</v>
      </c>
      <c r="R18" s="458">
        <f>'ANALYSE - ERP =&gt; SOUS-SEGMENT'!$FD$46*'ANALYSE - ERP =&gt; SOUS-SEGMENT'!$JH$46</f>
        <v>1830.7786662036001</v>
      </c>
      <c r="T18" s="430">
        <f>'ANALYSE - ERP =&gt; SOUS-SEGMENT'!$Q$46</f>
        <v>1</v>
      </c>
    </row>
    <row r="19" spans="1:20" ht="15" customHeight="1">
      <c r="A19" s="26">
        <v>16</v>
      </c>
      <c r="B19" s="26">
        <v>16</v>
      </c>
      <c r="C19" s="422">
        <f>'ANALYSE - ERP =&gt; SOUS-SEGMENT'!$A$28</f>
        <v>21</v>
      </c>
      <c r="D19" s="409" t="str">
        <f>'ANALYSE - ERP =&gt; SOUS-SEGMENT'!$B$28</f>
        <v>Sports &amp; Loisirs</v>
      </c>
      <c r="E19" s="409" t="str">
        <f>'ANALYSE - ERP =&gt; SOUS-SEGMENT'!$C$28</f>
        <v>Sport de plein air</v>
      </c>
      <c r="F19" s="409" t="str">
        <f>'ANALYSE - ERP =&gt; SOUS-SEGMENT'!$D$28</f>
        <v>Stades avec tribunes
(Hors grands stades, hors terrains sport)</v>
      </c>
      <c r="H19" s="458">
        <f>'ANALYSE - ERP =&gt; SOUS-SEGMENT'!$BF$28*'ANALYSE - ERP =&gt; SOUS-SEGMENT'!$IY$28</f>
        <v>5812.848</v>
      </c>
      <c r="I19" s="458">
        <f>'ANALYSE - ERP =&gt; SOUS-SEGMENT'!$BF$28*'ANALYSE - ERP =&gt; SOUS-SEGMENT'!$IZ$28</f>
        <v>16697.952000000001</v>
      </c>
      <c r="J19" s="458">
        <f>'ANALYSE - ERP =&gt; SOUS-SEGMENT'!$BF$28*'ANALYSE - ERP =&gt; SOUS-SEGMENT'!$JA$28</f>
        <v>4129.2</v>
      </c>
      <c r="K19" s="458">
        <f>'ANALYSE - ERP =&gt; SOUS-SEGMENT'!$BF$28*'ANALYSE - ERP =&gt; SOUS-SEGMENT'!$JB$28</f>
        <v>0</v>
      </c>
      <c r="L19" s="458">
        <f>'ANALYSE - ERP =&gt; SOUS-SEGMENT'!$BF$28*'ANALYSE - ERP =&gt; SOUS-SEGMENT'!$JC$28</f>
        <v>0</v>
      </c>
      <c r="N19" s="458">
        <f>'ANALYSE - ERP =&gt; SOUS-SEGMENT'!$FD$28*'ANALYSE - ERP =&gt; SOUS-SEGMENT'!$JD$28</f>
        <v>1329.6324305293335</v>
      </c>
      <c r="O19" s="458">
        <f>'ANALYSE - ERP =&gt; SOUS-SEGMENT'!$FD$28*'ANALYSE - ERP =&gt; SOUS-SEGMENT'!$JE$28</f>
        <v>8127.1914854826682</v>
      </c>
      <c r="P19" s="458">
        <f>'ANALYSE - ERP =&gt; SOUS-SEGMENT'!$FD$28*'ANALYSE - ERP =&gt; SOUS-SEGMENT'!$JF$28</f>
        <v>4124.7126573213345</v>
      </c>
      <c r="Q19" s="458">
        <f>'ANALYSE - ERP =&gt; SOUS-SEGMENT'!$FD$28*'ANALYSE - ERP =&gt; SOUS-SEGMENT'!$JG$28</f>
        <v>0</v>
      </c>
      <c r="R19" s="458">
        <f>'ANALYSE - ERP =&gt; SOUS-SEGMENT'!$FD$28*'ANALYSE - ERP =&gt; SOUS-SEGMENT'!$JH$28</f>
        <v>0</v>
      </c>
      <c r="T19" s="430">
        <f>'ANALYSE - ERP =&gt; SOUS-SEGMENT'!$Q$28</f>
        <v>1</v>
      </c>
    </row>
    <row r="20" spans="1:20" ht="15" customHeight="1">
      <c r="A20" s="26">
        <v>17</v>
      </c>
      <c r="B20" s="26">
        <v>17</v>
      </c>
      <c r="C20" s="422">
        <f>'ANALYSE - ERP =&gt; SOUS-SEGMENT'!$A$67</f>
        <v>60</v>
      </c>
      <c r="D20" s="416" t="str">
        <f>'ANALYSE - ERP =&gt; SOUS-SEGMENT'!$B$67</f>
        <v>Culture, Patrimoine &amp; Evénementiel</v>
      </c>
      <c r="E20" s="416" t="str">
        <f>'ANALYSE - ERP =&gt; SOUS-SEGMENT'!$C$67</f>
        <v>Culture / spectacle</v>
      </c>
      <c r="F20" s="416" t="str">
        <f>'ANALYSE - ERP =&gt; SOUS-SEGMENT'!$D$67</f>
        <v>Salles polyvalentes / Salles des fêtes</v>
      </c>
      <c r="H20" s="458">
        <f>'ANALYSE - ERP =&gt; SOUS-SEGMENT'!$BF$67*'ANALYSE - ERP =&gt; SOUS-SEGMENT'!$IY$67</f>
        <v>151.00799999999998</v>
      </c>
      <c r="I20" s="458">
        <f>'ANALYSE - ERP =&gt; SOUS-SEGMENT'!$BF$67*'ANALYSE - ERP =&gt; SOUS-SEGMENT'!$IZ$67</f>
        <v>2010.5360000000001</v>
      </c>
      <c r="J20" s="458">
        <f>'ANALYSE - ERP =&gt; SOUS-SEGMENT'!$BF$67*'ANALYSE - ERP =&gt; SOUS-SEGMENT'!$JA$67</f>
        <v>2393.864</v>
      </c>
      <c r="K20" s="458">
        <f>'ANALYSE - ERP =&gt; SOUS-SEGMENT'!$BF$67*'ANALYSE - ERP =&gt; SOUS-SEGMENT'!$JB$67</f>
        <v>285.07600000000002</v>
      </c>
      <c r="L20" s="458">
        <f>'ANALYSE - ERP =&gt; SOUS-SEGMENT'!$BF$67*'ANALYSE - ERP =&gt; SOUS-SEGMENT'!$JC$67</f>
        <v>0</v>
      </c>
      <c r="N20" s="458">
        <f>'ANALYSE - ERP =&gt; SOUS-SEGMENT'!$FD$67*'ANALYSE - ERP =&gt; SOUS-SEGMENT'!$JD$67</f>
        <v>27.780010712727268</v>
      </c>
      <c r="O20" s="458">
        <f>'ANALYSE - ERP =&gt; SOUS-SEGMENT'!$FD$67*'ANALYSE - ERP =&gt; SOUS-SEGMENT'!$JE$67</f>
        <v>793.3407407163636</v>
      </c>
      <c r="P20" s="458">
        <f>'ANALYSE - ERP =&gt; SOUS-SEGMENT'!$FD$67*'ANALYSE - ERP =&gt; SOUS-SEGMENT'!$JF$67</f>
        <v>1030.4773539018181</v>
      </c>
      <c r="Q20" s="458">
        <f>'ANALYSE - ERP =&gt; SOUS-SEGMENT'!$FD$67*'ANALYSE - ERP =&gt; SOUS-SEGMENT'!$JG$67</f>
        <v>153.59527662181819</v>
      </c>
      <c r="R20" s="458">
        <f>'ANALYSE - ERP =&gt; SOUS-SEGMENT'!$FD$67*'ANALYSE - ERP =&gt; SOUS-SEGMENT'!$JH$67</f>
        <v>7.8508725927272716</v>
      </c>
      <c r="T20" s="430">
        <f>'ANALYSE - ERP =&gt; SOUS-SEGMENT'!$Q$67</f>
        <v>1</v>
      </c>
    </row>
    <row r="21" spans="1:20" ht="15" customHeight="1">
      <c r="A21" s="26">
        <v>18</v>
      </c>
      <c r="B21" s="26">
        <v>18</v>
      </c>
      <c r="C21" s="422">
        <f>'ANALYSE - ERP =&gt; SOUS-SEGMENT'!$A$15</f>
        <v>8</v>
      </c>
      <c r="D21" s="417" t="str">
        <f>'ANALYSE - ERP =&gt; SOUS-SEGMENT'!$B$15</f>
        <v>Enfance, Enseignement, Jeunesse &amp; Formation</v>
      </c>
      <c r="E21" s="417" t="str">
        <f>'ANALYSE - ERP =&gt; SOUS-SEGMENT'!$C$15</f>
        <v>Enseignement scolaire</v>
      </c>
      <c r="F21" s="417" t="str">
        <f>'ANALYSE - ERP =&gt; SOUS-SEGMENT'!$D$15</f>
        <v>Internats scolaires</v>
      </c>
      <c r="H21" s="458">
        <f>'ANALYSE - ERP =&gt; SOUS-SEGMENT'!$BF$15*'ANALYSE - ERP =&gt; SOUS-SEGMENT'!$IY$15</f>
        <v>0</v>
      </c>
      <c r="I21" s="458">
        <f>'ANALYSE - ERP =&gt; SOUS-SEGMENT'!$BF$15*'ANALYSE - ERP =&gt; SOUS-SEGMENT'!$IZ$15</f>
        <v>3943.848</v>
      </c>
      <c r="J21" s="458">
        <f>'ANALYSE - ERP =&gt; SOUS-SEGMENT'!$BF$15*'ANALYSE - ERP =&gt; SOUS-SEGMENT'!$JA$15</f>
        <v>14005.216</v>
      </c>
      <c r="K21" s="458">
        <f>'ANALYSE - ERP =&gt; SOUS-SEGMENT'!$BF$15*'ANALYSE - ERP =&gt; SOUS-SEGMENT'!$JB$15</f>
        <v>7523.2479999999996</v>
      </c>
      <c r="L21" s="458">
        <f>'ANALYSE - ERP =&gt; SOUS-SEGMENT'!$BF$15*'ANALYSE - ERP =&gt; SOUS-SEGMENT'!$JC$15</f>
        <v>559.68799999999999</v>
      </c>
      <c r="N21" s="458">
        <f>'ANALYSE - ERP =&gt; SOUS-SEGMENT'!$FD$15*'ANALYSE - ERP =&gt; SOUS-SEGMENT'!$JD$15</f>
        <v>0</v>
      </c>
      <c r="O21" s="458">
        <f>'ANALYSE - ERP =&gt; SOUS-SEGMENT'!$FD$15*'ANALYSE - ERP =&gt; SOUS-SEGMENT'!$JE$15</f>
        <v>427.22836015630077</v>
      </c>
      <c r="P21" s="458">
        <f>'ANALYSE - ERP =&gt; SOUS-SEGMENT'!$FD$15*'ANALYSE - ERP =&gt; SOUS-SEGMENT'!$JF$15</f>
        <v>3408.8483517900286</v>
      </c>
      <c r="Q21" s="458">
        <f>'ANALYSE - ERP =&gt; SOUS-SEGMENT'!$FD$15*'ANALYSE - ERP =&gt; SOUS-SEGMENT'!$JG$15</f>
        <v>3203.0903849897081</v>
      </c>
      <c r="R21" s="458">
        <f>'ANALYSE - ERP =&gt; SOUS-SEGMENT'!$FD$15*'ANALYSE - ERP =&gt; SOUS-SEGMENT'!$JH$15</f>
        <v>442.94078671196155</v>
      </c>
      <c r="T21" s="430">
        <f>'ANALYSE - ERP =&gt; SOUS-SEGMENT'!$Q$15</f>
        <v>1</v>
      </c>
    </row>
    <row r="22" spans="1:20" ht="15" customHeight="1">
      <c r="A22" s="26">
        <v>19</v>
      </c>
      <c r="B22" s="26">
        <v>19</v>
      </c>
      <c r="C22" s="422">
        <f>'ANALYSE - ERP =&gt; SOUS-SEGMENT'!$A$45</f>
        <v>38</v>
      </c>
      <c r="D22" s="408" t="str">
        <f>'ANALYSE - ERP =&gt; SOUS-SEGMENT'!$B$45</f>
        <v>Santé &amp; Médico-social</v>
      </c>
      <c r="E22" s="408" t="str">
        <f>'ANALYSE - ERP =&gt; SOUS-SEGMENT'!$C$45</f>
        <v>Santé hospitalière</v>
      </c>
      <c r="F22" s="408" t="str">
        <f>'ANALYSE - ERP =&gt; SOUS-SEGMENT'!$D$45</f>
        <v>Hôpitaux privés</v>
      </c>
      <c r="H22" s="458">
        <f>'ANALYSE - ERP =&gt; SOUS-SEGMENT'!$BF$45*'ANALYSE - ERP =&gt; SOUS-SEGMENT'!$IY$45</f>
        <v>0</v>
      </c>
      <c r="I22" s="458">
        <f>'ANALYSE - ERP =&gt; SOUS-SEGMENT'!$BF$45*'ANALYSE - ERP =&gt; SOUS-SEGMENT'!$IZ$45</f>
        <v>1504.5119999999999</v>
      </c>
      <c r="J22" s="458">
        <f>'ANALYSE - ERP =&gt; SOUS-SEGMENT'!$BF$45*'ANALYSE - ERP =&gt; SOUS-SEGMENT'!$JA$45</f>
        <v>13825.316000000001</v>
      </c>
      <c r="K22" s="458">
        <f>'ANALYSE - ERP =&gt; SOUS-SEGMENT'!$BF$45*'ANALYSE - ERP =&gt; SOUS-SEGMENT'!$JB$45</f>
        <v>9899.48</v>
      </c>
      <c r="L22" s="458">
        <f>'ANALYSE - ERP =&gt; SOUS-SEGMENT'!$BF$45*'ANALYSE - ERP =&gt; SOUS-SEGMENT'!$JC$45</f>
        <v>890.69200000000001</v>
      </c>
      <c r="N22" s="458">
        <f>'ANALYSE - ERP =&gt; SOUS-SEGMENT'!$FD$45*'ANALYSE - ERP =&gt; SOUS-SEGMENT'!$JD$45</f>
        <v>0</v>
      </c>
      <c r="O22" s="458">
        <f>'ANALYSE - ERP =&gt; SOUS-SEGMENT'!$FD$45*'ANALYSE - ERP =&gt; SOUS-SEGMENT'!$JE$45</f>
        <v>0</v>
      </c>
      <c r="P22" s="458">
        <f>'ANALYSE - ERP =&gt; SOUS-SEGMENT'!$FD$45*'ANALYSE - ERP =&gt; SOUS-SEGMENT'!$JF$45</f>
        <v>5544.0455382562905</v>
      </c>
      <c r="Q22" s="458">
        <f>'ANALYSE - ERP =&gt; SOUS-SEGMENT'!$FD$45*'ANALYSE - ERP =&gt; SOUS-SEGMENT'!$JG$45</f>
        <v>6867.5505270459043</v>
      </c>
      <c r="R22" s="458">
        <f>'ANALYSE - ERP =&gt; SOUS-SEGMENT'!$FD$45*'ANALYSE - ERP =&gt; SOUS-SEGMENT'!$JH$45</f>
        <v>1176.7508421887126</v>
      </c>
      <c r="T22" s="430">
        <f>'ANALYSE - ERP =&gt; SOUS-SEGMENT'!$Q$45</f>
        <v>1</v>
      </c>
    </row>
    <row r="23" spans="1:20" ht="15" customHeight="1">
      <c r="A23" s="26">
        <v>20</v>
      </c>
      <c r="B23" s="26">
        <v>21</v>
      </c>
      <c r="C23" s="422">
        <f>'ANALYSE - ERP =&gt; SOUS-SEGMENT'!$A$19</f>
        <v>12</v>
      </c>
      <c r="D23" s="409" t="str">
        <f>'ANALYSE - ERP =&gt; SOUS-SEGMENT'!$B$19</f>
        <v>Enfance, Enseignement, Jeunesse &amp; Formation</v>
      </c>
      <c r="E23" s="409" t="str">
        <f>'ANALYSE - ERP =&gt; SOUS-SEGMENT'!$C$19</f>
        <v>Formation</v>
      </c>
      <c r="F23" s="409" t="str">
        <f>'ANALYSE - ERP =&gt; SOUS-SEGMENT'!$D$19</f>
        <v>Centres de formation / CFA</v>
      </c>
      <c r="H23" s="458">
        <f>'ANALYSE - ERP =&gt; SOUS-SEGMENT'!$BF$19*'ANALYSE - ERP =&gt; SOUS-SEGMENT'!$IY$19</f>
        <v>722.35800000000006</v>
      </c>
      <c r="I23" s="458">
        <f>'ANALYSE - ERP =&gt; SOUS-SEGMENT'!$BF$19*'ANALYSE - ERP =&gt; SOUS-SEGMENT'!$IZ$19</f>
        <v>9393.2999999999993</v>
      </c>
      <c r="J23" s="458">
        <f>'ANALYSE - ERP =&gt; SOUS-SEGMENT'!$BF$19*'ANALYSE - ERP =&gt; SOUS-SEGMENT'!$JA$19</f>
        <v>12904.542000000001</v>
      </c>
      <c r="K23" s="458">
        <f>'ANALYSE - ERP =&gt; SOUS-SEGMENT'!$BF$19*'ANALYSE - ERP =&gt; SOUS-SEGMENT'!$JB$19</f>
        <v>3344.5440000000003</v>
      </c>
      <c r="L23" s="458">
        <f>'ANALYSE - ERP =&gt; SOUS-SEGMENT'!$BF$19*'ANALYSE - ERP =&gt; SOUS-SEGMENT'!$JC$19</f>
        <v>95.256</v>
      </c>
      <c r="N23" s="458">
        <f>'ANALYSE - ERP =&gt; SOUS-SEGMENT'!$FD$19*'ANALYSE - ERP =&gt; SOUS-SEGMENT'!$JD$19</f>
        <v>0</v>
      </c>
      <c r="O23" s="458">
        <f>'ANALYSE - ERP =&gt; SOUS-SEGMENT'!$FD$19*'ANALYSE - ERP =&gt; SOUS-SEGMENT'!$JE$19</f>
        <v>1578.34099873184</v>
      </c>
      <c r="P23" s="458">
        <f>'ANALYSE - ERP =&gt; SOUS-SEGMENT'!$FD$19*'ANALYSE - ERP =&gt; SOUS-SEGMENT'!$JF$19</f>
        <v>5411.8904174159998</v>
      </c>
      <c r="Q23" s="458">
        <f>'ANALYSE - ERP =&gt; SOUS-SEGMENT'!$FD$19*'ANALYSE - ERP =&gt; SOUS-SEGMENT'!$JG$19</f>
        <v>2940.2063807670402</v>
      </c>
      <c r="R23" s="458">
        <f>'ANALYSE - ERP =&gt; SOUS-SEGMENT'!$FD$19*'ANALYSE - ERP =&gt; SOUS-SEGMENT'!$JH$19</f>
        <v>232.73669588512001</v>
      </c>
      <c r="T23" s="430">
        <f>'ANALYSE - ERP =&gt; SOUS-SEGMENT'!$Q$19</f>
        <v>1</v>
      </c>
    </row>
    <row r="24" spans="1:20" ht="15" customHeight="1">
      <c r="A24" s="26">
        <v>21</v>
      </c>
      <c r="B24" s="26">
        <v>20</v>
      </c>
      <c r="C24" s="422" t="e">
        <f>'ANALYSE - ERP =&gt; SOUS-SEGMENT'!#REF!</f>
        <v>#REF!</v>
      </c>
      <c r="D24" s="414" t="e">
        <f>'ANALYSE - ERP =&gt; SOUS-SEGMENT'!#REF!</f>
        <v>#REF!</v>
      </c>
      <c r="E24" s="414" t="e">
        <f>'ANALYSE - ERP =&gt; SOUS-SEGMENT'!#REF!</f>
        <v>#REF!</v>
      </c>
      <c r="F24" s="414" t="e">
        <f>'ANALYSE - ERP =&gt; SOUS-SEGMENT'!#REF!</f>
        <v>#REF!</v>
      </c>
      <c r="H24" s="458" t="e">
        <f>'ANALYSE - ERP =&gt; SOUS-SEGMENT'!#REF!*'ANALYSE - ERP =&gt; SOUS-SEGMENT'!#REF!</f>
        <v>#REF!</v>
      </c>
      <c r="I24" s="458" t="e">
        <f>'ANALYSE - ERP =&gt; SOUS-SEGMENT'!#REF!*'ANALYSE - ERP =&gt; SOUS-SEGMENT'!#REF!</f>
        <v>#REF!</v>
      </c>
      <c r="J24" s="458" t="e">
        <f>'ANALYSE - ERP =&gt; SOUS-SEGMENT'!#REF!*'ANALYSE - ERP =&gt; SOUS-SEGMENT'!#REF!</f>
        <v>#REF!</v>
      </c>
      <c r="K24" s="458" t="e">
        <f>'ANALYSE - ERP =&gt; SOUS-SEGMENT'!#REF!*'ANALYSE - ERP =&gt; SOUS-SEGMENT'!#REF!</f>
        <v>#REF!</v>
      </c>
      <c r="L24" s="458" t="e">
        <f>'ANALYSE - ERP =&gt; SOUS-SEGMENT'!#REF!*'ANALYSE - ERP =&gt; SOUS-SEGMENT'!#REF!</f>
        <v>#REF!</v>
      </c>
      <c r="N24" s="458" t="e">
        <f>'ANALYSE - ERP =&gt; SOUS-SEGMENT'!#REF!*'ANALYSE - ERP =&gt; SOUS-SEGMENT'!#REF!</f>
        <v>#REF!</v>
      </c>
      <c r="O24" s="458" t="e">
        <f>'ANALYSE - ERP =&gt; SOUS-SEGMENT'!#REF!*'ANALYSE - ERP =&gt; SOUS-SEGMENT'!#REF!</f>
        <v>#REF!</v>
      </c>
      <c r="P24" s="458" t="e">
        <f>'ANALYSE - ERP =&gt; SOUS-SEGMENT'!#REF!*'ANALYSE - ERP =&gt; SOUS-SEGMENT'!#REF!</f>
        <v>#REF!</v>
      </c>
      <c r="Q24" s="458" t="e">
        <f>'ANALYSE - ERP =&gt; SOUS-SEGMENT'!#REF!*'ANALYSE - ERP =&gt; SOUS-SEGMENT'!#REF!</f>
        <v>#REF!</v>
      </c>
      <c r="R24" s="458" t="e">
        <f>'ANALYSE - ERP =&gt; SOUS-SEGMENT'!#REF!*'ANALYSE - ERP =&gt; SOUS-SEGMENT'!#REF!</f>
        <v>#REF!</v>
      </c>
      <c r="T24" s="430" t="e">
        <f>'ANALYSE - ERP =&gt; SOUS-SEGMENT'!#REF!</f>
        <v>#REF!</v>
      </c>
    </row>
    <row r="25" spans="1:20" ht="15" customHeight="1">
      <c r="A25" s="26">
        <v>22</v>
      </c>
      <c r="B25" s="26">
        <v>23</v>
      </c>
      <c r="C25" s="422">
        <f>'ANALYSE - ERP =&gt; SOUS-SEGMENT'!$A$59</f>
        <v>52</v>
      </c>
      <c r="D25" s="414" t="str">
        <f>'ANALYSE - ERP =&gt; SOUS-SEGMENT'!$B$59</f>
        <v>Santé &amp; Médico-social</v>
      </c>
      <c r="E25" s="414" t="str">
        <f>'ANALYSE - ERP =&gt; SOUS-SEGMENT'!$C$59</f>
        <v>Médico-social</v>
      </c>
      <c r="F25" s="414" t="str">
        <f>'ANALYSE - ERP =&gt; SOUS-SEGMENT'!$D$59</f>
        <v>USLD</v>
      </c>
      <c r="H25" s="458">
        <f>'ANALYSE - ERP =&gt; SOUS-SEGMENT'!$BF$59*'ANALYSE - ERP =&gt; SOUS-SEGMENT'!$IY$59</f>
        <v>0</v>
      </c>
      <c r="I25" s="458">
        <f>'ANALYSE - ERP =&gt; SOUS-SEGMENT'!$BF$59*'ANALYSE - ERP =&gt; SOUS-SEGMENT'!$IZ$59</f>
        <v>1293.7131999999999</v>
      </c>
      <c r="J25" s="458">
        <f>'ANALYSE - ERP =&gt; SOUS-SEGMENT'!$BF$59*'ANALYSE - ERP =&gt; SOUS-SEGMENT'!$JA$59</f>
        <v>8955.4087999999992</v>
      </c>
      <c r="K25" s="458">
        <f>'ANALYSE - ERP =&gt; SOUS-SEGMENT'!$BF$59*'ANALYSE - ERP =&gt; SOUS-SEGMENT'!$JB$59</f>
        <v>6917.7237999999998</v>
      </c>
      <c r="L25" s="458">
        <f>'ANALYSE - ERP =&gt; SOUS-SEGMENT'!$BF$59*'ANALYSE - ERP =&gt; SOUS-SEGMENT'!$JC$59</f>
        <v>175.1542</v>
      </c>
      <c r="N25" s="458">
        <f>'ANALYSE - ERP =&gt; SOUS-SEGMENT'!$FD$59*'ANALYSE - ERP =&gt; SOUS-SEGMENT'!$JD$59</f>
        <v>0</v>
      </c>
      <c r="O25" s="458">
        <f>'ANALYSE - ERP =&gt; SOUS-SEGMENT'!$FD$59*'ANALYSE - ERP =&gt; SOUS-SEGMENT'!$JE$59</f>
        <v>249.12885187384614</v>
      </c>
      <c r="P25" s="458">
        <f>'ANALYSE - ERP =&gt; SOUS-SEGMENT'!$FD$59*'ANALYSE - ERP =&gt; SOUS-SEGMENT'!$JF$59</f>
        <v>3281.7064215018459</v>
      </c>
      <c r="Q25" s="458">
        <f>'ANALYSE - ERP =&gt; SOUS-SEGMENT'!$FD$59*'ANALYSE - ERP =&gt; SOUS-SEGMENT'!$JG$59</f>
        <v>3686.3520718181539</v>
      </c>
      <c r="R25" s="458">
        <f>'ANALYSE - ERP =&gt; SOUS-SEGMENT'!$FD$59*'ANALYSE - ERP =&gt; SOUS-SEGMENT'!$JH$59</f>
        <v>332.17180249846149</v>
      </c>
      <c r="T25" s="430">
        <f>'ANALYSE - ERP =&gt; SOUS-SEGMENT'!$Q$59</f>
        <v>1</v>
      </c>
    </row>
    <row r="26" spans="1:20" ht="15" customHeight="1">
      <c r="A26" s="26">
        <v>23</v>
      </c>
      <c r="B26" s="26">
        <v>24</v>
      </c>
      <c r="C26" s="422">
        <f>'ANALYSE - ERP =&gt; SOUS-SEGMENT'!$A$50</f>
        <v>43</v>
      </c>
      <c r="D26" s="414" t="str">
        <f>'ANALYSE - ERP =&gt; SOUS-SEGMENT'!$B$50</f>
        <v>Santé &amp; Médico-social</v>
      </c>
      <c r="E26" s="414" t="str">
        <f>'ANALYSE - ERP =&gt; SOUS-SEGMENT'!$C$50</f>
        <v>Santé spécialisée</v>
      </c>
      <c r="F26" s="414" t="str">
        <f>'ANALYSE - ERP =&gt; SOUS-SEGMENT'!$D$50</f>
        <v>Centres de rééducation</v>
      </c>
      <c r="H26" s="458">
        <f>'ANALYSE - ERP =&gt; SOUS-SEGMENT'!$BF$50*'ANALYSE - ERP =&gt; SOUS-SEGMENT'!$IY$50</f>
        <v>0</v>
      </c>
      <c r="I26" s="458">
        <f>'ANALYSE - ERP =&gt; SOUS-SEGMENT'!$BF$50*'ANALYSE - ERP =&gt; SOUS-SEGMENT'!$IZ$50</f>
        <v>1724.22</v>
      </c>
      <c r="J26" s="458">
        <f>'ANALYSE - ERP =&gt; SOUS-SEGMENT'!$BF$50*'ANALYSE - ERP =&gt; SOUS-SEGMENT'!$JA$50</f>
        <v>10647.522000000001</v>
      </c>
      <c r="K26" s="458">
        <f>'ANALYSE - ERP =&gt; SOUS-SEGMENT'!$BF$50*'ANALYSE - ERP =&gt; SOUS-SEGMENT'!$JB$50</f>
        <v>6168.2579999999998</v>
      </c>
      <c r="L26" s="458">
        <f>'ANALYSE - ERP =&gt; SOUS-SEGMENT'!$BF$50*'ANALYSE - ERP =&gt; SOUS-SEGMENT'!$JC$50</f>
        <v>0</v>
      </c>
      <c r="N26" s="458">
        <f>'ANALYSE - ERP =&gt; SOUS-SEGMENT'!$FD$50*'ANALYSE - ERP =&gt; SOUS-SEGMENT'!$JD$50</f>
        <v>0</v>
      </c>
      <c r="O26" s="458">
        <f>'ANALYSE - ERP =&gt; SOUS-SEGMENT'!$FD$50*'ANALYSE - ERP =&gt; SOUS-SEGMENT'!$JE$50</f>
        <v>200.43712424499998</v>
      </c>
      <c r="P26" s="458">
        <f>'ANALYSE - ERP =&gt; SOUS-SEGMENT'!$FD$50*'ANALYSE - ERP =&gt; SOUS-SEGMENT'!$JF$50</f>
        <v>4548.1005646865451</v>
      </c>
      <c r="Q26" s="458">
        <f>'ANALYSE - ERP =&gt; SOUS-SEGMENT'!$FD$50*'ANALYSE - ERP =&gt; SOUS-SEGMENT'!$JG$50</f>
        <v>4230.1343994069766</v>
      </c>
      <c r="R26" s="458">
        <f>'ANALYSE - ERP =&gt; SOUS-SEGMENT'!$FD$50*'ANALYSE - ERP =&gt; SOUS-SEGMENT'!$JH$50</f>
        <v>132.10628643420455</v>
      </c>
      <c r="T26" s="430">
        <f>'ANALYSE - ERP =&gt; SOUS-SEGMENT'!$Q$50</f>
        <v>0</v>
      </c>
    </row>
    <row r="27" spans="1:20" ht="15" customHeight="1">
      <c r="A27" s="26">
        <v>24</v>
      </c>
      <c r="B27" s="26">
        <v>25</v>
      </c>
      <c r="C27" s="422">
        <f>'ANALYSE - ERP =&gt; SOUS-SEGMENT'!$A$18</f>
        <v>11</v>
      </c>
      <c r="D27" s="414" t="str">
        <f>'ANALYSE - ERP =&gt; SOUS-SEGMENT'!$B$18</f>
        <v>Enfance, Enseignement, Jeunesse &amp; Formation</v>
      </c>
      <c r="E27" s="414" t="str">
        <f>'ANALYSE - ERP =&gt; SOUS-SEGMENT'!$C$18</f>
        <v>Enseignement supérieur</v>
      </c>
      <c r="F27" s="414" t="str">
        <f>'ANALYSE - ERP =&gt; SOUS-SEGMENT'!$D$18</f>
        <v>Résidences étudiantes et dortoirs</v>
      </c>
      <c r="H27" s="458">
        <f>'ANALYSE - ERP =&gt; SOUS-SEGMENT'!$BF$18*'ANALYSE - ERP =&gt; SOUS-SEGMENT'!$IY$18</f>
        <v>0</v>
      </c>
      <c r="I27" s="458">
        <f>'ANALYSE - ERP =&gt; SOUS-SEGMENT'!$BF$18*'ANALYSE - ERP =&gt; SOUS-SEGMENT'!$IZ$18</f>
        <v>1831.4779999999998</v>
      </c>
      <c r="J27" s="458">
        <f>'ANALYSE - ERP =&gt; SOUS-SEGMENT'!$BF$18*'ANALYSE - ERP =&gt; SOUS-SEGMENT'!$JA$18</f>
        <v>8083.3368000000009</v>
      </c>
      <c r="K27" s="458">
        <f>'ANALYSE - ERP =&gt; SOUS-SEGMENT'!$BF$18*'ANALYSE - ERP =&gt; SOUS-SEGMENT'!$JB$18</f>
        <v>5142.1072999999997</v>
      </c>
      <c r="L27" s="458">
        <f>'ANALYSE - ERP =&gt; SOUS-SEGMENT'!$BF$18*'ANALYSE - ERP =&gt; SOUS-SEGMENT'!$JC$18</f>
        <v>464.0779</v>
      </c>
      <c r="N27" s="458">
        <f>'ANALYSE - ERP =&gt; SOUS-SEGMENT'!$FD$18*'ANALYSE - ERP =&gt; SOUS-SEGMENT'!$JD$18</f>
        <v>0</v>
      </c>
      <c r="O27" s="458">
        <f>'ANALYSE - ERP =&gt; SOUS-SEGMENT'!$FD$18*'ANALYSE - ERP =&gt; SOUS-SEGMENT'!$JE$18</f>
        <v>95.208600150175613</v>
      </c>
      <c r="P27" s="458">
        <f>'ANALYSE - ERP =&gt; SOUS-SEGMENT'!$FD$18*'ANALYSE - ERP =&gt; SOUS-SEGMENT'!$JF$18</f>
        <v>1721.9545864481522</v>
      </c>
      <c r="Q27" s="458">
        <f>'ANALYSE - ERP =&gt; SOUS-SEGMENT'!$FD$18*'ANALYSE - ERP =&gt; SOUS-SEGMENT'!$JG$18</f>
        <v>2284.0953165214378</v>
      </c>
      <c r="R27" s="458">
        <f>'ANALYSE - ERP =&gt; SOUS-SEGMENT'!$FD$18*'ANALYSE - ERP =&gt; SOUS-SEGMENT'!$JH$18</f>
        <v>454.17691076423489</v>
      </c>
      <c r="T27" s="430">
        <f>'ANALYSE - ERP =&gt; SOUS-SEGMENT'!$Q$18</f>
        <v>1</v>
      </c>
    </row>
    <row r="28" spans="1:20" ht="15" customHeight="1">
      <c r="A28" s="26">
        <v>25</v>
      </c>
      <c r="B28" s="26">
        <v>26</v>
      </c>
      <c r="C28" s="422">
        <f>'ANALYSE - ERP =&gt; SOUS-SEGMENT'!$A$49</f>
        <v>42</v>
      </c>
      <c r="D28" s="413" t="str">
        <f>'ANALYSE - ERP =&gt; SOUS-SEGMENT'!$B$49</f>
        <v>Santé &amp; Médico-social</v>
      </c>
      <c r="E28" s="413" t="str">
        <f>'ANALYSE - ERP =&gt; SOUS-SEGMENT'!$C$49</f>
        <v>Santé spécialisée</v>
      </c>
      <c r="F28" s="413" t="str">
        <f>'ANALYSE - ERP =&gt; SOUS-SEGMENT'!$D$49</f>
        <v>Centres de psychiatrie</v>
      </c>
      <c r="H28" s="458">
        <f>'ANALYSE - ERP =&gt; SOUS-SEGMENT'!$BF$49*'ANALYSE - ERP =&gt; SOUS-SEGMENT'!$IY$49</f>
        <v>556.72400000000005</v>
      </c>
      <c r="I28" s="458">
        <f>'ANALYSE - ERP =&gt; SOUS-SEGMENT'!$BF$49*'ANALYSE - ERP =&gt; SOUS-SEGMENT'!$IZ$49</f>
        <v>8560.6640000000007</v>
      </c>
      <c r="J28" s="458">
        <f>'ANALYSE - ERP =&gt; SOUS-SEGMENT'!$BF$49*'ANALYSE - ERP =&gt; SOUS-SEGMENT'!$JA$49</f>
        <v>6986.308</v>
      </c>
      <c r="K28" s="458">
        <f>'ANALYSE - ERP =&gt; SOUS-SEGMENT'!$BF$49*'ANALYSE - ERP =&gt; SOUS-SEGMENT'!$JB$49</f>
        <v>416.30400000000003</v>
      </c>
      <c r="L28" s="458">
        <f>'ANALYSE - ERP =&gt; SOUS-SEGMENT'!$BF$49*'ANALYSE - ERP =&gt; SOUS-SEGMENT'!$JC$49</f>
        <v>0</v>
      </c>
      <c r="N28" s="458">
        <f>'ANALYSE - ERP =&gt; SOUS-SEGMENT'!$FD$49*'ANALYSE - ERP =&gt; SOUS-SEGMENT'!$JD$49</f>
        <v>0</v>
      </c>
      <c r="O28" s="458">
        <f>'ANALYSE - ERP =&gt; SOUS-SEGMENT'!$FD$49*'ANALYSE - ERP =&gt; SOUS-SEGMENT'!$JE$49</f>
        <v>2798.8587294519725</v>
      </c>
      <c r="P28" s="458">
        <f>'ANALYSE - ERP =&gt; SOUS-SEGMENT'!$FD$49*'ANALYSE - ERP =&gt; SOUS-SEGMENT'!$JF$49</f>
        <v>4755.6913865184815</v>
      </c>
      <c r="Q28" s="458">
        <f>'ANALYSE - ERP =&gt; SOUS-SEGMENT'!$FD$49*'ANALYSE - ERP =&gt; SOUS-SEGMENT'!$JG$49</f>
        <v>612.53109048409078</v>
      </c>
      <c r="R28" s="458">
        <f>'ANALYSE - ERP =&gt; SOUS-SEGMENT'!$FD$49*'ANALYSE - ERP =&gt; SOUS-SEGMENT'!$JH$49</f>
        <v>0</v>
      </c>
      <c r="T28" s="430">
        <f>'ANALYSE - ERP =&gt; SOUS-SEGMENT'!$Q$49</f>
        <v>0</v>
      </c>
    </row>
    <row r="29" spans="1:20" ht="15" customHeight="1">
      <c r="A29" s="26">
        <v>26</v>
      </c>
      <c r="B29" s="26">
        <v>22</v>
      </c>
      <c r="C29" s="422">
        <f>'ANALYSE - ERP =&gt; SOUS-SEGMENT'!$A$31</f>
        <v>24</v>
      </c>
      <c r="D29" s="414" t="str">
        <f>'ANALYSE - ERP =&gt; SOUS-SEGMENT'!$B$31</f>
        <v>Sports &amp; Loisirs</v>
      </c>
      <c r="E29" s="414" t="str">
        <f>'ANALYSE - ERP =&gt; SOUS-SEGMENT'!$C$31</f>
        <v>Sport de plein air</v>
      </c>
      <c r="F29" s="414" t="str">
        <f>'ANALYSE - ERP =&gt; SOUS-SEGMENT'!$D$31</f>
        <v>Piscines extérieures 
(Hors campings, hôtels, résidences et établissement avec bassin intérieur)</v>
      </c>
      <c r="H29" s="458">
        <f>'ANALYSE - ERP =&gt; SOUS-SEGMENT'!$BF$31*'ANALYSE - ERP =&gt; SOUS-SEGMENT'!$IY$31</f>
        <v>4601.2849999999999</v>
      </c>
      <c r="I29" s="458">
        <f>'ANALYSE - ERP =&gt; SOUS-SEGMENT'!$BF$31*'ANALYSE - ERP =&gt; SOUS-SEGMENT'!$IZ$31</f>
        <v>11687</v>
      </c>
      <c r="J29" s="458">
        <f>'ANALYSE - ERP =&gt; SOUS-SEGMENT'!$BF$31*'ANALYSE - ERP =&gt; SOUS-SEGMENT'!$JA$31</f>
        <v>2561.7149999999997</v>
      </c>
      <c r="K29" s="458">
        <f>'ANALYSE - ERP =&gt; SOUS-SEGMENT'!$BF$31*'ANALYSE - ERP =&gt; SOUS-SEGMENT'!$JB$31</f>
        <v>0</v>
      </c>
      <c r="L29" s="458">
        <f>'ANALYSE - ERP =&gt; SOUS-SEGMENT'!$BF$31*'ANALYSE - ERP =&gt; SOUS-SEGMENT'!$JC$31</f>
        <v>0</v>
      </c>
      <c r="N29" s="458">
        <f>'ANALYSE - ERP =&gt; SOUS-SEGMENT'!$FD$31*'ANALYSE - ERP =&gt; SOUS-SEGMENT'!$JD$31</f>
        <v>1310.6650692866249</v>
      </c>
      <c r="O29" s="458">
        <f>'ANALYSE - ERP =&gt; SOUS-SEGMENT'!$FD$31*'ANALYSE - ERP =&gt; SOUS-SEGMENT'!$JE$31</f>
        <v>6191.2466400776875</v>
      </c>
      <c r="P29" s="458">
        <f>'ANALYSE - ERP =&gt; SOUS-SEGMENT'!$FD$31*'ANALYSE - ERP =&gt; SOUS-SEGMENT'!$JF$31</f>
        <v>2472.7083004273541</v>
      </c>
      <c r="Q29" s="458">
        <f>'ANALYSE - ERP =&gt; SOUS-SEGMENT'!$FD$31*'ANALYSE - ERP =&gt; SOUS-SEGMENT'!$JG$31</f>
        <v>0</v>
      </c>
      <c r="R29" s="458">
        <f>'ANALYSE - ERP =&gt; SOUS-SEGMENT'!$FD$31*'ANALYSE - ERP =&gt; SOUS-SEGMENT'!$JH$31</f>
        <v>0</v>
      </c>
      <c r="T29" s="430">
        <f>'ANALYSE - ERP =&gt; SOUS-SEGMENT'!$Q$31</f>
        <v>1</v>
      </c>
    </row>
    <row r="30" spans="1:20" ht="15" customHeight="1">
      <c r="A30" s="26">
        <v>27</v>
      </c>
      <c r="B30" s="26">
        <v>27</v>
      </c>
      <c r="C30" s="422">
        <f>'ANALYSE - ERP =&gt; SOUS-SEGMENT'!$A$87</f>
        <v>80</v>
      </c>
      <c r="D30" s="409" t="str">
        <f>'ANALYSE - ERP =&gt; SOUS-SEGMENT'!$B$87</f>
        <v>Hébergement Touristique</v>
      </c>
      <c r="E30" s="409" t="str">
        <f>'ANALYSE - ERP =&gt; SOUS-SEGMENT'!$C$87</f>
        <v>Hébergement Touristique</v>
      </c>
      <c r="F30" s="409" t="str">
        <f>'ANALYSE - ERP =&gt; SOUS-SEGMENT'!$D$87</f>
        <v>Hôtels 
(hors autres hébérgements touristiques)</v>
      </c>
      <c r="H30" s="458">
        <f>'ANALYSE - ERP =&gt; SOUS-SEGMENT'!$BF$87*'ANALYSE - ERP =&gt; SOUS-SEGMENT'!$IY$87</f>
        <v>16.855999999999998</v>
      </c>
      <c r="I30" s="458">
        <f>'ANALYSE - ERP =&gt; SOUS-SEGMENT'!$BF$87*'ANALYSE - ERP =&gt; SOUS-SEGMENT'!$IZ$87</f>
        <v>670.327</v>
      </c>
      <c r="J30" s="458">
        <f>'ANALYSE - ERP =&gt; SOUS-SEGMENT'!$BF$87*'ANALYSE - ERP =&gt; SOUS-SEGMENT'!$JA$87</f>
        <v>1478.8130000000001</v>
      </c>
      <c r="K30" s="458">
        <f>'ANALYSE - ERP =&gt; SOUS-SEGMENT'!$BF$87*'ANALYSE - ERP =&gt; SOUS-SEGMENT'!$JB$87</f>
        <v>775.97799999999995</v>
      </c>
      <c r="L30" s="458">
        <f>'ANALYSE - ERP =&gt; SOUS-SEGMENT'!$BF$87*'ANALYSE - ERP =&gt; SOUS-SEGMENT'!$JC$87</f>
        <v>68.025999999999996</v>
      </c>
      <c r="N30" s="458">
        <f>'ANALYSE - ERP =&gt; SOUS-SEGMENT'!$FD$87*'ANALYSE - ERP =&gt; SOUS-SEGMENT'!$JD$87</f>
        <v>0</v>
      </c>
      <c r="O30" s="458">
        <f>'ANALYSE - ERP =&gt; SOUS-SEGMENT'!$FD$87*'ANALYSE - ERP =&gt; SOUS-SEGMENT'!$JE$87</f>
        <v>294.9589690198909</v>
      </c>
      <c r="P30" s="458">
        <f>'ANALYSE - ERP =&gt; SOUS-SEGMENT'!$FD$87*'ANALYSE - ERP =&gt; SOUS-SEGMENT'!$JF$87</f>
        <v>804.63538107899262</v>
      </c>
      <c r="Q30" s="458">
        <f>'ANALYSE - ERP =&gt; SOUS-SEGMENT'!$FD$87*'ANALYSE - ERP =&gt; SOUS-SEGMENT'!$JG$87</f>
        <v>441.96271325722364</v>
      </c>
      <c r="R30" s="458">
        <f>'ANALYSE - ERP =&gt; SOUS-SEGMENT'!$FD$87*'ANALYSE - ERP =&gt; SOUS-SEGMENT'!$JH$87</f>
        <v>44.243845352983641</v>
      </c>
      <c r="T30" s="430">
        <f>'ANALYSE - ERP =&gt; SOUS-SEGMENT'!$Q$87</f>
        <v>1</v>
      </c>
    </row>
    <row r="31" spans="1:20" ht="15" customHeight="1">
      <c r="A31" s="26">
        <v>28</v>
      </c>
      <c r="B31" s="26">
        <v>28</v>
      </c>
      <c r="C31" s="422">
        <f>'ANALYSE - ERP =&gt; SOUS-SEGMENT'!$A$125</f>
        <v>118</v>
      </c>
      <c r="D31" s="409" t="str">
        <f>'ANALYSE - ERP =&gt; SOUS-SEGMENT'!$B$125</f>
        <v>Transport, Mobilité &amp; Stationnement</v>
      </c>
      <c r="E31" s="409" t="str">
        <f>'ANALYSE - ERP =&gt; SOUS-SEGMENT'!$C$125</f>
        <v>Transport / Mobilité</v>
      </c>
      <c r="F31" s="409" t="str">
        <f>'ANALYSE - ERP =&gt; SOUS-SEGMENT'!$D$125</f>
        <v>Gares ferroviaires et stations
(dotés de sanitaires)</v>
      </c>
      <c r="H31" s="458">
        <f>'ANALYSE - ERP =&gt; SOUS-SEGMENT'!$BF$125*'ANALYSE - ERP =&gt; SOUS-SEGMENT'!$IY$125</f>
        <v>132.61199999999999</v>
      </c>
      <c r="I31" s="458">
        <f>'ANALYSE - ERP =&gt; SOUS-SEGMENT'!$BF$125*'ANALYSE - ERP =&gt; SOUS-SEGMENT'!$IZ$125</f>
        <v>1247.221</v>
      </c>
      <c r="J31" s="458">
        <f>'ANALYSE - ERP =&gt; SOUS-SEGMENT'!$BF$125*'ANALYSE - ERP =&gt; SOUS-SEGMENT'!$JA$125</f>
        <v>1035.9670000000001</v>
      </c>
      <c r="K31" s="458">
        <f>'ANALYSE - ERP =&gt; SOUS-SEGMENT'!$BF$125*'ANALYSE - ERP =&gt; SOUS-SEGMENT'!$JB$125</f>
        <v>128.75700000000001</v>
      </c>
      <c r="L31" s="458">
        <f>'ANALYSE - ERP =&gt; SOUS-SEGMENT'!$BF$125*'ANALYSE - ERP =&gt; SOUS-SEGMENT'!$JC$125</f>
        <v>25.443000000000001</v>
      </c>
      <c r="N31" s="458">
        <f>'ANALYSE - ERP =&gt; SOUS-SEGMENT'!$FD$125*'ANALYSE - ERP =&gt; SOUS-SEGMENT'!$JD$125</f>
        <v>47.865336044642859</v>
      </c>
      <c r="O31" s="458">
        <f>'ANALYSE - ERP =&gt; SOUS-SEGMENT'!$FD$125*'ANALYSE - ERP =&gt; SOUS-SEGMENT'!$JE$125</f>
        <v>710.41422948839283</v>
      </c>
      <c r="P31" s="458">
        <f>'ANALYSE - ERP =&gt; SOUS-SEGMENT'!$FD$125*'ANALYSE - ERP =&gt; SOUS-SEGMENT'!$JF$125</f>
        <v>654.21106071339284</v>
      </c>
      <c r="Q31" s="458">
        <f>'ANALYSE - ERP =&gt; SOUS-SEGMENT'!$FD$125*'ANALYSE - ERP =&gt; SOUS-SEGMENT'!$JG$125</f>
        <v>109.16384704375</v>
      </c>
      <c r="R31" s="458">
        <f>'ANALYSE - ERP =&gt; SOUS-SEGMENT'!$FD$125*'ANALYSE - ERP =&gt; SOUS-SEGMENT'!$JH$125</f>
        <v>22.388624924107145</v>
      </c>
      <c r="T31" s="430">
        <f>'ANALYSE - ERP =&gt; SOUS-SEGMENT'!$Q$125</f>
        <v>1</v>
      </c>
    </row>
    <row r="32" spans="1:20" ht="15" customHeight="1">
      <c r="A32" s="26">
        <v>29</v>
      </c>
      <c r="B32" s="26">
        <v>29</v>
      </c>
      <c r="C32" s="422">
        <f>'ANALYSE - ERP =&gt; SOUS-SEGMENT'!$A$23</f>
        <v>16</v>
      </c>
      <c r="D32" s="409" t="str">
        <f>'ANALYSE - ERP =&gt; SOUS-SEGMENT'!$B$23</f>
        <v>Sports &amp; Loisirs</v>
      </c>
      <c r="E32" s="409" t="str">
        <f>'ANALYSE - ERP =&gt; SOUS-SEGMENT'!$C$23</f>
        <v>Sport couvert / Thermalisme / Bien-être</v>
      </c>
      <c r="F32" s="409" t="str">
        <f>'ANALYSE - ERP =&gt; SOUS-SEGMENT'!$D$23</f>
        <v>Patinoires couvertes</v>
      </c>
      <c r="H32" s="458">
        <f>'ANALYSE - ERP =&gt; SOUS-SEGMENT'!$BF$23*'ANALYSE - ERP =&gt; SOUS-SEGMENT'!$IY$23</f>
        <v>2266.35</v>
      </c>
      <c r="I32" s="458">
        <f>'ANALYSE - ERP =&gt; SOUS-SEGMENT'!$BF$23*'ANALYSE - ERP =&gt; SOUS-SEGMENT'!$IZ$23</f>
        <v>5344.41</v>
      </c>
      <c r="J32" s="458">
        <f>'ANALYSE - ERP =&gt; SOUS-SEGMENT'!$BF$23*'ANALYSE - ERP =&gt; SOUS-SEGMENT'!$JA$23</f>
        <v>1089.24</v>
      </c>
      <c r="K32" s="458">
        <f>'ANALYSE - ERP =&gt; SOUS-SEGMENT'!$BF$23*'ANALYSE - ERP =&gt; SOUS-SEGMENT'!$JB$23</f>
        <v>0</v>
      </c>
      <c r="L32" s="458">
        <f>'ANALYSE - ERP =&gt; SOUS-SEGMENT'!$BF$23*'ANALYSE - ERP =&gt; SOUS-SEGMENT'!$JC$23</f>
        <v>0</v>
      </c>
      <c r="N32" s="458">
        <f>'ANALYSE - ERP =&gt; SOUS-SEGMENT'!$FD$23*'ANALYSE - ERP =&gt; SOUS-SEGMENT'!$JD$23</f>
        <v>653.32449509079993</v>
      </c>
      <c r="O32" s="458">
        <f>'ANALYSE - ERP =&gt; SOUS-SEGMENT'!$FD$23*'ANALYSE - ERP =&gt; SOUS-SEGMENT'!$JE$23</f>
        <v>2860.5265909791997</v>
      </c>
      <c r="P32" s="458">
        <f>'ANALYSE - ERP =&gt; SOUS-SEGMENT'!$FD$23*'ANALYSE - ERP =&gt; SOUS-SEGMENT'!$JF$23</f>
        <v>1064.45651793</v>
      </c>
      <c r="Q32" s="458">
        <f>'ANALYSE - ERP =&gt; SOUS-SEGMENT'!$FD$23*'ANALYSE - ERP =&gt; SOUS-SEGMENT'!$JG$23</f>
        <v>0</v>
      </c>
      <c r="R32" s="458">
        <f>'ANALYSE - ERP =&gt; SOUS-SEGMENT'!$FD$23*'ANALYSE - ERP =&gt; SOUS-SEGMENT'!$JH$23</f>
        <v>0</v>
      </c>
      <c r="T32" s="430">
        <f>'ANALYSE - ERP =&gt; SOUS-SEGMENT'!$Q$23</f>
        <v>1</v>
      </c>
    </row>
    <row r="33" spans="1:20" ht="15" customHeight="1">
      <c r="A33" s="26">
        <v>30</v>
      </c>
      <c r="B33" s="26">
        <v>30</v>
      </c>
      <c r="C33" s="422">
        <f>'ANALYSE - ERP =&gt; SOUS-SEGMENT'!$A$51</f>
        <v>44</v>
      </c>
      <c r="D33" s="409" t="str">
        <f>'ANALYSE - ERP =&gt; SOUS-SEGMENT'!$B$51</f>
        <v>Santé &amp; Médico-social</v>
      </c>
      <c r="E33" s="409" t="str">
        <f>'ANALYSE - ERP =&gt; SOUS-SEGMENT'!$C$51</f>
        <v>Santé spécialisée</v>
      </c>
      <c r="F33" s="409" t="str">
        <f>'ANALYSE - ERP =&gt; SOUS-SEGMENT'!$D$51</f>
        <v>Maternités</v>
      </c>
      <c r="H33" s="458">
        <f>'ANALYSE - ERP =&gt; SOUS-SEGMENT'!$BF$51*'ANALYSE - ERP =&gt; SOUS-SEGMENT'!$IY$51</f>
        <v>0</v>
      </c>
      <c r="I33" s="458">
        <f>'ANALYSE - ERP =&gt; SOUS-SEGMENT'!$BF$51*'ANALYSE - ERP =&gt; SOUS-SEGMENT'!$IZ$51</f>
        <v>563.37</v>
      </c>
      <c r="J33" s="458">
        <f>'ANALYSE - ERP =&gt; SOUS-SEGMENT'!$BF$51*'ANALYSE - ERP =&gt; SOUS-SEGMENT'!$JA$51</f>
        <v>4944.84</v>
      </c>
      <c r="K33" s="458">
        <f>'ANALYSE - ERP =&gt; SOUS-SEGMENT'!$BF$51*'ANALYSE - ERP =&gt; SOUS-SEGMENT'!$JB$51</f>
        <v>3391.79</v>
      </c>
      <c r="L33" s="458">
        <f>'ANALYSE - ERP =&gt; SOUS-SEGMENT'!$BF$51*'ANALYSE - ERP =&gt; SOUS-SEGMENT'!$JC$51</f>
        <v>0</v>
      </c>
      <c r="N33" s="458">
        <f>'ANALYSE - ERP =&gt; SOUS-SEGMENT'!$FD$51*'ANALYSE - ERP =&gt; SOUS-SEGMENT'!$JD$51</f>
        <v>0</v>
      </c>
      <c r="O33" s="458">
        <f>'ANALYSE - ERP =&gt; SOUS-SEGMENT'!$FD$51*'ANALYSE - ERP =&gt; SOUS-SEGMENT'!$JE$51</f>
        <v>27.582229000000002</v>
      </c>
      <c r="P33" s="458">
        <f>'ANALYSE - ERP =&gt; SOUS-SEGMENT'!$FD$51*'ANALYSE - ERP =&gt; SOUS-SEGMENT'!$JF$51</f>
        <v>2314.3997606363641</v>
      </c>
      <c r="Q33" s="458">
        <f>'ANALYSE - ERP =&gt; SOUS-SEGMENT'!$FD$51*'ANALYSE - ERP =&gt; SOUS-SEGMENT'!$JG$51</f>
        <v>2530.5441369818186</v>
      </c>
      <c r="R33" s="458">
        <f>'ANALYSE - ERP =&gt; SOUS-SEGMENT'!$FD$51*'ANALYSE - ERP =&gt; SOUS-SEGMENT'!$JH$51</f>
        <v>142.42460065454549</v>
      </c>
      <c r="T33" s="430">
        <f>'ANALYSE - ERP =&gt; SOUS-SEGMENT'!$Q$51</f>
        <v>0</v>
      </c>
    </row>
    <row r="34" spans="1:20" ht="15" customHeight="1">
      <c r="A34" s="26">
        <v>31</v>
      </c>
      <c r="B34" s="26">
        <v>31</v>
      </c>
      <c r="C34" s="422">
        <f>'ANALYSE - ERP =&gt; SOUS-SEGMENT'!$A$60</f>
        <v>53</v>
      </c>
      <c r="D34" s="410" t="str">
        <f>'ANALYSE - ERP =&gt; SOUS-SEGMENT'!$B$60</f>
        <v>Santé &amp; Médico-social</v>
      </c>
      <c r="E34" s="410" t="str">
        <f>'ANALYSE - ERP =&gt; SOUS-SEGMENT'!$C$60</f>
        <v>Médico-social</v>
      </c>
      <c r="F34" s="410" t="str">
        <f>'ANALYSE - ERP =&gt; SOUS-SEGMENT'!$D$60</f>
        <v>Résidences autonomie
Foyers-logements
(Public)</v>
      </c>
      <c r="H34" s="458">
        <f>'ANALYSE - ERP =&gt; SOUS-SEGMENT'!$BF$60*'ANALYSE - ERP =&gt; SOUS-SEGMENT'!$IY$60</f>
        <v>0</v>
      </c>
      <c r="I34" s="458">
        <f>'ANALYSE - ERP =&gt; SOUS-SEGMENT'!$BF$60*'ANALYSE - ERP =&gt; SOUS-SEGMENT'!$IZ$60</f>
        <v>841.23269999999991</v>
      </c>
      <c r="J34" s="458">
        <f>'ANALYSE - ERP =&gt; SOUS-SEGMENT'!$BF$60*'ANALYSE - ERP =&gt; SOUS-SEGMENT'!$JA$60</f>
        <v>3561.9407999999999</v>
      </c>
      <c r="K34" s="458">
        <f>'ANALYSE - ERP =&gt; SOUS-SEGMENT'!$BF$60*'ANALYSE - ERP =&gt; SOUS-SEGMENT'!$JB$60</f>
        <v>2019.3525</v>
      </c>
      <c r="L34" s="458">
        <f>'ANALYSE - ERP =&gt; SOUS-SEGMENT'!$BF$60*'ANALYSE - ERP =&gt; SOUS-SEGMENT'!$JC$60</f>
        <v>144.47399999999999</v>
      </c>
      <c r="N34" s="458">
        <f>'ANALYSE - ERP =&gt; SOUS-SEGMENT'!$FD$60*'ANALYSE - ERP =&gt; SOUS-SEGMENT'!$JD$60</f>
        <v>0</v>
      </c>
      <c r="O34" s="458">
        <f>'ANALYSE - ERP =&gt; SOUS-SEGMENT'!$FD$60*'ANALYSE - ERP =&gt; SOUS-SEGMENT'!$JE$60</f>
        <v>178.81428099341824</v>
      </c>
      <c r="P34" s="458">
        <f>'ANALYSE - ERP =&gt; SOUS-SEGMENT'!$FD$60*'ANALYSE - ERP =&gt; SOUS-SEGMENT'!$JF$60</f>
        <v>1346.5299355678558</v>
      </c>
      <c r="Q34" s="458">
        <f>'ANALYSE - ERP =&gt; SOUS-SEGMENT'!$FD$60*'ANALYSE - ERP =&gt; SOUS-SEGMENT'!$JG$60</f>
        <v>1130.1729983783075</v>
      </c>
      <c r="R34" s="458">
        <f>'ANALYSE - ERP =&gt; SOUS-SEGMENT'!$FD$60*'ANALYSE - ERP =&gt; SOUS-SEGMENT'!$JH$60</f>
        <v>125.42028107003365</v>
      </c>
      <c r="T34" s="430">
        <f>'ANALYSE - ERP =&gt; SOUS-SEGMENT'!$Q$60</f>
        <v>1</v>
      </c>
    </row>
    <row r="35" spans="1:20" ht="15" customHeight="1">
      <c r="A35" s="26">
        <v>32</v>
      </c>
      <c r="B35" s="26">
        <v>32</v>
      </c>
      <c r="C35" s="422">
        <f>'ANALYSE - ERP =&gt; SOUS-SEGMENT'!$A$43</f>
        <v>36</v>
      </c>
      <c r="D35" s="411" t="str">
        <f>'ANALYSE - ERP =&gt; SOUS-SEGMENT'!$B$43</f>
        <v>Santé &amp; Médico-social</v>
      </c>
      <c r="E35" s="411" t="str">
        <f>'ANALYSE - ERP =&gt; SOUS-SEGMENT'!$C$43</f>
        <v>Santé hospitalière</v>
      </c>
      <c r="F35" s="411" t="str">
        <f>'ANALYSE - ERP =&gt; SOUS-SEGMENT'!$D$43</f>
        <v>Hôpitaux universitaires / CHU</v>
      </c>
      <c r="H35" s="458">
        <f>'ANALYSE - ERP =&gt; SOUS-SEGMENT'!$BF$43*'ANALYSE - ERP =&gt; SOUS-SEGMENT'!$IY$43</f>
        <v>0</v>
      </c>
      <c r="I35" s="458">
        <f>'ANALYSE - ERP =&gt; SOUS-SEGMENT'!$BF$43*'ANALYSE - ERP =&gt; SOUS-SEGMENT'!$IZ$43</f>
        <v>1587.7619999999999</v>
      </c>
      <c r="J35" s="458">
        <f>'ANALYSE - ERP =&gt; SOUS-SEGMENT'!$BF$43*'ANALYSE - ERP =&gt; SOUS-SEGMENT'!$JA$43</f>
        <v>3541.4279999999999</v>
      </c>
      <c r="K35" s="458">
        <f>'ANALYSE - ERP =&gt; SOUS-SEGMENT'!$BF$43*'ANALYSE - ERP =&gt; SOUS-SEGMENT'!$JB$43</f>
        <v>810.81000000000006</v>
      </c>
      <c r="L35" s="458">
        <f>'ANALYSE - ERP =&gt; SOUS-SEGMENT'!$BF$43*'ANALYSE - ERP =&gt; SOUS-SEGMENT'!$JC$43</f>
        <v>0</v>
      </c>
      <c r="N35" s="458">
        <f>'ANALYSE - ERP =&gt; SOUS-SEGMENT'!$FD$43*'ANALYSE - ERP =&gt; SOUS-SEGMENT'!$JD$43</f>
        <v>0</v>
      </c>
      <c r="O35" s="458">
        <f>'ANALYSE - ERP =&gt; SOUS-SEGMENT'!$FD$43*'ANALYSE - ERP =&gt; SOUS-SEGMENT'!$JE$43</f>
        <v>420.82131712090916</v>
      </c>
      <c r="P35" s="458">
        <f>'ANALYSE - ERP =&gt; SOUS-SEGMENT'!$FD$43*'ANALYSE - ERP =&gt; SOUS-SEGMENT'!$JF$43</f>
        <v>1774.8071754054549</v>
      </c>
      <c r="Q35" s="458">
        <f>'ANALYSE - ERP =&gt; SOUS-SEGMENT'!$FD$43*'ANALYSE - ERP =&gt; SOUS-SEGMENT'!$JG$43</f>
        <v>795.28349838272743</v>
      </c>
      <c r="R35" s="458">
        <f>'ANALYSE - ERP =&gt; SOUS-SEGMENT'!$FD$43*'ANALYSE - ERP =&gt; SOUS-SEGMENT'!$JH$43</f>
        <v>0</v>
      </c>
      <c r="T35" s="430">
        <f>'ANALYSE - ERP =&gt; SOUS-SEGMENT'!$Q$43</f>
        <v>1</v>
      </c>
    </row>
    <row r="36" spans="1:20" ht="15" customHeight="1">
      <c r="A36" s="26">
        <v>33</v>
      </c>
      <c r="B36" s="26">
        <v>39</v>
      </c>
      <c r="C36" s="422">
        <f>'ANALYSE - ERP =&gt; SOUS-SEGMENT'!$A$61</f>
        <v>54</v>
      </c>
      <c r="D36" s="411" t="str">
        <f>'ANALYSE - ERP =&gt; SOUS-SEGMENT'!$B$61</f>
        <v>Santé &amp; Médico-social</v>
      </c>
      <c r="E36" s="411" t="str">
        <f>'ANALYSE - ERP =&gt; SOUS-SEGMENT'!$C$61</f>
        <v>Médico-social</v>
      </c>
      <c r="F36" s="411" t="str">
        <f>'ANALYSE - ERP =&gt; SOUS-SEGMENT'!$D$61</f>
        <v>Résidences services seniors
(Privé)</v>
      </c>
      <c r="H36" s="458">
        <f>'ANALYSE - ERP =&gt; SOUS-SEGMENT'!$BF$61*'ANALYSE - ERP =&gt; SOUS-SEGMENT'!$IY$61</f>
        <v>0</v>
      </c>
      <c r="I36" s="458">
        <f>'ANALYSE - ERP =&gt; SOUS-SEGMENT'!$BF$61*'ANALYSE - ERP =&gt; SOUS-SEGMENT'!$IZ$61</f>
        <v>0</v>
      </c>
      <c r="J36" s="458">
        <f>'ANALYSE - ERP =&gt; SOUS-SEGMENT'!$BF$61*'ANALYSE - ERP =&gt; SOUS-SEGMENT'!$JA$61</f>
        <v>1238.7059999999999</v>
      </c>
      <c r="K36" s="458">
        <f>'ANALYSE - ERP =&gt; SOUS-SEGMENT'!$BF$61*'ANALYSE - ERP =&gt; SOUS-SEGMENT'!$JB$61</f>
        <v>1812.2939999999999</v>
      </c>
      <c r="L36" s="458">
        <f>'ANALYSE - ERP =&gt; SOUS-SEGMENT'!$BF$61*'ANALYSE - ERP =&gt; SOUS-SEGMENT'!$JC$61</f>
        <v>339</v>
      </c>
      <c r="N36" s="458">
        <f>'ANALYSE - ERP =&gt; SOUS-SEGMENT'!$FD$61*'ANALYSE - ERP =&gt; SOUS-SEGMENT'!$JD$61</f>
        <v>0</v>
      </c>
      <c r="O36" s="458">
        <f>'ANALYSE - ERP =&gt; SOUS-SEGMENT'!$FD$61*'ANALYSE - ERP =&gt; SOUS-SEGMENT'!$JE$61</f>
        <v>0</v>
      </c>
      <c r="P36" s="458">
        <f>'ANALYSE - ERP =&gt; SOUS-SEGMENT'!$FD$61*'ANALYSE - ERP =&gt; SOUS-SEGMENT'!$JF$61</f>
        <v>465.09386775144611</v>
      </c>
      <c r="Q36" s="458">
        <f>'ANALYSE - ERP =&gt; SOUS-SEGMENT'!$FD$61*'ANALYSE - ERP =&gt; SOUS-SEGMENT'!$JG$61</f>
        <v>1418.9415833377846</v>
      </c>
      <c r="R36" s="458">
        <f>'ANALYSE - ERP =&gt; SOUS-SEGMENT'!$FD$61*'ANALYSE - ERP =&gt; SOUS-SEGMENT'!$JH$61</f>
        <v>306.70344552615387</v>
      </c>
      <c r="T36" s="430">
        <f>'ANALYSE - ERP =&gt; SOUS-SEGMENT'!$Q$61</f>
        <v>1</v>
      </c>
    </row>
    <row r="37" spans="1:20" ht="15" customHeight="1">
      <c r="A37" s="26">
        <v>34</v>
      </c>
      <c r="B37" s="26">
        <v>33</v>
      </c>
      <c r="C37" s="422">
        <f>'ANALYSE - ERP =&gt; SOUS-SEGMENT'!$A$142</f>
        <v>135</v>
      </c>
      <c r="D37" s="408" t="str">
        <f>'ANALYSE - ERP =&gt; SOUS-SEGMENT'!$B$142</f>
        <v>Sécurité &amp; Justice</v>
      </c>
      <c r="E37" s="408" t="str">
        <f>'ANALYSE - ERP =&gt; SOUS-SEGMENT'!$C$142</f>
        <v>Univers carcéral</v>
      </c>
      <c r="F37" s="408" t="str">
        <f>'ANALYSE - ERP =&gt; SOUS-SEGMENT'!$D$142</f>
        <v>Centres pénitentiaires</v>
      </c>
      <c r="H37" s="458">
        <f>'ANALYSE - ERP =&gt; SOUS-SEGMENT'!$BF$142*'ANALYSE - ERP =&gt; SOUS-SEGMENT'!$IY$142</f>
        <v>1140.0900000000001</v>
      </c>
      <c r="I37" s="458">
        <f>'ANALYSE - ERP =&gt; SOUS-SEGMENT'!$BF$142*'ANALYSE - ERP =&gt; SOUS-SEGMENT'!$IZ$142</f>
        <v>2782.7589999999996</v>
      </c>
      <c r="J37" s="458">
        <f>'ANALYSE - ERP =&gt; SOUS-SEGMENT'!$BF$142*'ANALYSE - ERP =&gt; SOUS-SEGMENT'!$JA$142</f>
        <v>347.15100000000001</v>
      </c>
      <c r="K37" s="458">
        <f>'ANALYSE - ERP =&gt; SOUS-SEGMENT'!$BF$142*'ANALYSE - ERP =&gt; SOUS-SEGMENT'!$JB$142</f>
        <v>0</v>
      </c>
      <c r="L37" s="458">
        <f>'ANALYSE - ERP =&gt; SOUS-SEGMENT'!$BF$142*'ANALYSE - ERP =&gt; SOUS-SEGMENT'!$JC$142</f>
        <v>0</v>
      </c>
      <c r="N37" s="458">
        <f>'ANALYSE - ERP =&gt; SOUS-SEGMENT'!$FD$142*'ANALYSE - ERP =&gt; SOUS-SEGMENT'!$JD$142</f>
        <v>223.52555008000002</v>
      </c>
      <c r="O37" s="458">
        <f>'ANALYSE - ERP =&gt; SOUS-SEGMENT'!$FD$142*'ANALYSE - ERP =&gt; SOUS-SEGMENT'!$JE$142</f>
        <v>1534.447936</v>
      </c>
      <c r="P37" s="458">
        <f>'ANALYSE - ERP =&gt; SOUS-SEGMENT'!$FD$142*'ANALYSE - ERP =&gt; SOUS-SEGMENT'!$JF$142</f>
        <v>532.24731392000001</v>
      </c>
      <c r="Q37" s="458">
        <f>'ANALYSE - ERP =&gt; SOUS-SEGMENT'!$FD$142*'ANALYSE - ERP =&gt; SOUS-SEGMENT'!$JG$142</f>
        <v>0</v>
      </c>
      <c r="R37" s="458">
        <f>'ANALYSE - ERP =&gt; SOUS-SEGMENT'!$FD$142*'ANALYSE - ERP =&gt; SOUS-SEGMENT'!$JH$142</f>
        <v>0</v>
      </c>
      <c r="T37" s="430">
        <f>'ANALYSE - ERP =&gt; SOUS-SEGMENT'!$Q$142</f>
        <v>1</v>
      </c>
    </row>
    <row r="38" spans="1:20" ht="15" customHeight="1">
      <c r="A38" s="26">
        <v>35</v>
      </c>
      <c r="B38" s="26">
        <v>34</v>
      </c>
      <c r="C38" s="422">
        <f>'ANALYSE - ERP =&gt; SOUS-SEGMENT'!$A$135</f>
        <v>128</v>
      </c>
      <c r="D38" s="415" t="str">
        <f>'ANALYSE - ERP =&gt; SOUS-SEGMENT'!$B$135</f>
        <v>Sécurité &amp; Justice</v>
      </c>
      <c r="E38" s="415" t="str">
        <f>'ANALYSE - ERP =&gt; SOUS-SEGMENT'!$C$135</f>
        <v>Forces armées</v>
      </c>
      <c r="F38" s="415" t="str">
        <f>'ANALYSE - ERP =&gt; SOUS-SEGMENT'!$D$135</f>
        <v>Unités d'hébergement des militaires &amp; réservistes</v>
      </c>
      <c r="H38" s="458">
        <f>'ANALYSE - ERP =&gt; SOUS-SEGMENT'!$BF$135*'ANALYSE - ERP =&gt; SOUS-SEGMENT'!$IY$135</f>
        <v>295.15199999999999</v>
      </c>
      <c r="I38" s="458">
        <f>'ANALYSE - ERP =&gt; SOUS-SEGMENT'!$BF$135*'ANALYSE - ERP =&gt; SOUS-SEGMENT'!$IZ$135</f>
        <v>2365.3439999999996</v>
      </c>
      <c r="J38" s="458">
        <f>'ANALYSE - ERP =&gt; SOUS-SEGMENT'!$BF$135*'ANALYSE - ERP =&gt; SOUS-SEGMENT'!$JA$135</f>
        <v>1405.5840000000001</v>
      </c>
      <c r="K38" s="458">
        <f>'ANALYSE - ERP =&gt; SOUS-SEGMENT'!$BF$135*'ANALYSE - ERP =&gt; SOUS-SEGMENT'!$JB$135</f>
        <v>61.919999999999995</v>
      </c>
      <c r="L38" s="458">
        <f>'ANALYSE - ERP =&gt; SOUS-SEGMENT'!$BF$135*'ANALYSE - ERP =&gt; SOUS-SEGMENT'!$JC$135</f>
        <v>0</v>
      </c>
      <c r="N38" s="458">
        <f>'ANALYSE - ERP =&gt; SOUS-SEGMENT'!$FD$135*'ANALYSE - ERP =&gt; SOUS-SEGMENT'!$JD$135</f>
        <v>62.346548466900003</v>
      </c>
      <c r="O38" s="458">
        <f>'ANALYSE - ERP =&gt; SOUS-SEGMENT'!$FD$135*'ANALYSE - ERP =&gt; SOUS-SEGMENT'!$JE$135</f>
        <v>928.06091169079093</v>
      </c>
      <c r="P38" s="458">
        <f>'ANALYSE - ERP =&gt; SOUS-SEGMENT'!$FD$135*'ANALYSE - ERP =&gt; SOUS-SEGMENT'!$JF$135</f>
        <v>1024.4146684123637</v>
      </c>
      <c r="Q38" s="458">
        <f>'ANALYSE - ERP =&gt; SOUS-SEGMENT'!$FD$135*'ANALYSE - ERP =&gt; SOUS-SEGMENT'!$JG$135</f>
        <v>83.968415443636374</v>
      </c>
      <c r="R38" s="458">
        <f>'ANALYSE - ERP =&gt; SOUS-SEGMENT'!$FD$135*'ANALYSE - ERP =&gt; SOUS-SEGMENT'!$JH$135</f>
        <v>0.41984207721818184</v>
      </c>
      <c r="T38" s="430">
        <f>'ANALYSE - ERP =&gt; SOUS-SEGMENT'!$Q$135</f>
        <v>1</v>
      </c>
    </row>
    <row r="39" spans="1:20" ht="15" customHeight="1">
      <c r="A39" s="26">
        <v>36</v>
      </c>
      <c r="B39" s="26">
        <v>35</v>
      </c>
      <c r="C39" s="422">
        <f>'ANALYSE - ERP =&gt; SOUS-SEGMENT'!$A$89</f>
        <v>82</v>
      </c>
      <c r="D39" s="411" t="str">
        <f>'ANALYSE - ERP =&gt; SOUS-SEGMENT'!$B$89</f>
        <v>Hébergement Touristique</v>
      </c>
      <c r="E39" s="411" t="str">
        <f>'ANALYSE - ERP =&gt; SOUS-SEGMENT'!$C$89</f>
        <v>Hébergement Touristique</v>
      </c>
      <c r="F39" s="411" t="str">
        <f>'ANALYSE - ERP =&gt; SOUS-SEGMENT'!$D$89</f>
        <v>Résidences de tourisme</v>
      </c>
      <c r="H39" s="458">
        <f>'ANALYSE - ERP =&gt; SOUS-SEGMENT'!$BF$89*'ANALYSE - ERP =&gt; SOUS-SEGMENT'!$IY$89</f>
        <v>490.56</v>
      </c>
      <c r="I39" s="458">
        <f>'ANALYSE - ERP =&gt; SOUS-SEGMENT'!$BF$89*'ANALYSE - ERP =&gt; SOUS-SEGMENT'!$IZ$89</f>
        <v>2601.1200000000003</v>
      </c>
      <c r="J39" s="458">
        <f>'ANALYSE - ERP =&gt; SOUS-SEGMENT'!$BF$89*'ANALYSE - ERP =&gt; SOUS-SEGMENT'!$JA$89</f>
        <v>1589.28</v>
      </c>
      <c r="K39" s="458">
        <f>'ANALYSE - ERP =&gt; SOUS-SEGMENT'!$BF$89*'ANALYSE - ERP =&gt; SOUS-SEGMENT'!$JB$89</f>
        <v>119.03999999999999</v>
      </c>
      <c r="L39" s="458">
        <f>'ANALYSE - ERP =&gt; SOUS-SEGMENT'!$BF$89*'ANALYSE - ERP =&gt; SOUS-SEGMENT'!$JC$89</f>
        <v>0</v>
      </c>
      <c r="N39" s="458">
        <f>'ANALYSE - ERP =&gt; SOUS-SEGMENT'!$FD$89*'ANALYSE - ERP =&gt; SOUS-SEGMENT'!$JD$89</f>
        <v>181.45654280795455</v>
      </c>
      <c r="O39" s="458">
        <f>'ANALYSE - ERP =&gt; SOUS-SEGMENT'!$FD$89*'ANALYSE - ERP =&gt; SOUS-SEGMENT'!$JE$89</f>
        <v>1126.027817615909</v>
      </c>
      <c r="P39" s="458">
        <f>'ANALYSE - ERP =&gt; SOUS-SEGMENT'!$FD$89*'ANALYSE - ERP =&gt; SOUS-SEGMENT'!$JF$89</f>
        <v>757.91167700909102</v>
      </c>
      <c r="Q39" s="458">
        <f>'ANALYSE - ERP =&gt; SOUS-SEGMENT'!$FD$89*'ANALYSE - ERP =&gt; SOUS-SEGMENT'!$JG$89</f>
        <v>93.654989836363654</v>
      </c>
      <c r="R39" s="458">
        <f>'ANALYSE - ERP =&gt; SOUS-SEGMENT'!$FD$89*'ANALYSE - ERP =&gt; SOUS-SEGMENT'!$JH$89</f>
        <v>8.888552276136366</v>
      </c>
      <c r="T39" s="430">
        <f>'ANALYSE - ERP =&gt; SOUS-SEGMENT'!$Q$89</f>
        <v>1</v>
      </c>
    </row>
    <row r="40" spans="1:20" ht="15" customHeight="1">
      <c r="A40" s="26">
        <v>37</v>
      </c>
      <c r="B40" s="26">
        <v>37</v>
      </c>
      <c r="C40" s="422">
        <f>'ANALYSE - ERP =&gt; SOUS-SEGMENT'!$A$66</f>
        <v>59</v>
      </c>
      <c r="D40" s="408" t="str">
        <f>'ANALYSE - ERP =&gt; SOUS-SEGMENT'!$B$66</f>
        <v>Culture, Patrimoine &amp; Evénementiel</v>
      </c>
      <c r="E40" s="408" t="str">
        <f>'ANALYSE - ERP =&gt; SOUS-SEGMENT'!$C$66</f>
        <v>Culture / spectacle</v>
      </c>
      <c r="F40" s="408" t="str">
        <f>'ANALYSE - ERP =&gt; SOUS-SEGMENT'!$D$66</f>
        <v>Salles de conférence / Réunion</v>
      </c>
      <c r="H40" s="458">
        <f>'ANALYSE - ERP =&gt; SOUS-SEGMENT'!$BF$66*'ANALYSE - ERP =&gt; SOUS-SEGMENT'!$IY$66</f>
        <v>6.2216000000000005</v>
      </c>
      <c r="I40" s="458">
        <f>'ANALYSE - ERP =&gt; SOUS-SEGMENT'!$BF$66*'ANALYSE - ERP =&gt; SOUS-SEGMENT'!$IZ$66</f>
        <v>110.43340000000001</v>
      </c>
      <c r="J40" s="458">
        <f>'ANALYSE - ERP =&gt; SOUS-SEGMENT'!$BF$66*'ANALYSE - ERP =&gt; SOUS-SEGMENT'!$JA$66</f>
        <v>178.76495000000003</v>
      </c>
      <c r="K40" s="458">
        <f>'ANALYSE - ERP =&gt; SOUS-SEGMENT'!$BF$66*'ANALYSE - ERP =&gt; SOUS-SEGMENT'!$JB$66</f>
        <v>55.746950000000005</v>
      </c>
      <c r="L40" s="458">
        <f>'ANALYSE - ERP =&gt; SOUS-SEGMENT'!$BF$66*'ANALYSE - ERP =&gt; SOUS-SEGMENT'!$JC$66</f>
        <v>2.3331</v>
      </c>
      <c r="N40" s="458">
        <f>'ANALYSE - ERP =&gt; SOUS-SEGMENT'!$FD$66*'ANALYSE - ERP =&gt; SOUS-SEGMENT'!$JD$66</f>
        <v>0</v>
      </c>
      <c r="O40" s="458">
        <f>'ANALYSE - ERP =&gt; SOUS-SEGMENT'!$FD$66*'ANALYSE - ERP =&gt; SOUS-SEGMENT'!$JE$66</f>
        <v>26.962266973694874</v>
      </c>
      <c r="P40" s="458">
        <f>'ANALYSE - ERP =&gt; SOUS-SEGMENT'!$FD$66*'ANALYSE - ERP =&gt; SOUS-SEGMENT'!$JF$66</f>
        <v>77.851704201641368</v>
      </c>
      <c r="Q40" s="458">
        <f>'ANALYSE - ERP =&gt; SOUS-SEGMENT'!$FD$66*'ANALYSE - ERP =&gt; SOUS-SEGMENT'!$JG$66</f>
        <v>39.382589956659231</v>
      </c>
      <c r="R40" s="458">
        <f>'ANALYSE - ERP =&gt; SOUS-SEGMENT'!$FD$66*'ANALYSE - ERP =&gt; SOUS-SEGMENT'!$JH$66</f>
        <v>3.1382310739874359</v>
      </c>
      <c r="T40" s="430">
        <f>'ANALYSE - ERP =&gt; SOUS-SEGMENT'!$Q$66</f>
        <v>1</v>
      </c>
    </row>
    <row r="41" spans="1:20" ht="15" customHeight="1">
      <c r="A41" s="26">
        <v>38</v>
      </c>
      <c r="B41" s="26">
        <v>36</v>
      </c>
      <c r="C41" s="422">
        <f>'ANALYSE - ERP =&gt; SOUS-SEGMENT'!$A$79</f>
        <v>72</v>
      </c>
      <c r="D41" s="413" t="str">
        <f>'ANALYSE - ERP =&gt; SOUS-SEGMENT'!$B$79</f>
        <v>Commerce, Restauration &amp; Loisirs</v>
      </c>
      <c r="E41" s="413" t="str">
        <f>'ANALYSE - ERP =&gt; SOUS-SEGMENT'!$C$79</f>
        <v>Commerce</v>
      </c>
      <c r="F41" s="413" t="str">
        <f>'ANALYSE - ERP =&gt; SOUS-SEGMENT'!$D$79</f>
        <v>Centres commerciaux / Malls
(dotés de sanitaires collectifs clients)</v>
      </c>
      <c r="H41" s="458">
        <f>'ANALYSE - ERP =&gt; SOUS-SEGMENT'!$BF$79*'ANALYSE - ERP =&gt; SOUS-SEGMENT'!$IY$79</f>
        <v>18.636800000000001</v>
      </c>
      <c r="I41" s="458">
        <f>'ANALYSE - ERP =&gt; SOUS-SEGMENT'!$BF$79*'ANALYSE - ERP =&gt; SOUS-SEGMENT'!$IZ$79</f>
        <v>741.14560000000006</v>
      </c>
      <c r="J41" s="458">
        <f>'ANALYSE - ERP =&gt; SOUS-SEGMENT'!$BF$79*'ANALYSE - ERP =&gt; SOUS-SEGMENT'!$JA$79</f>
        <v>1635.0463999999999</v>
      </c>
      <c r="K41" s="458">
        <f>'ANALYSE - ERP =&gt; SOUS-SEGMENT'!$BF$79*'ANALYSE - ERP =&gt; SOUS-SEGMENT'!$JB$79</f>
        <v>857.95839999999987</v>
      </c>
      <c r="L41" s="458">
        <f>'ANALYSE - ERP =&gt; SOUS-SEGMENT'!$BF$79*'ANALYSE - ERP =&gt; SOUS-SEGMENT'!$JC$79</f>
        <v>75.212800000000001</v>
      </c>
      <c r="N41" s="458">
        <f>'ANALYSE - ERP =&gt; SOUS-SEGMENT'!$FD$79*'ANALYSE - ERP =&gt; SOUS-SEGMENT'!$JD$79</f>
        <v>0</v>
      </c>
      <c r="O41" s="458">
        <f>'ANALYSE - ERP =&gt; SOUS-SEGMENT'!$FD$79*'ANALYSE - ERP =&gt; SOUS-SEGMENT'!$JE$79</f>
        <v>323.50734070457145</v>
      </c>
      <c r="P41" s="458">
        <f>'ANALYSE - ERP =&gt; SOUS-SEGMENT'!$FD$79*'ANALYSE - ERP =&gt; SOUS-SEGMENT'!$JF$79</f>
        <v>892.1917973828572</v>
      </c>
      <c r="Q41" s="458">
        <f>'ANALYSE - ERP =&gt; SOUS-SEGMENT'!$FD$79*'ANALYSE - ERP =&gt; SOUS-SEGMENT'!$JG$79</f>
        <v>491.05674517371438</v>
      </c>
      <c r="R41" s="458">
        <f>'ANALYSE - ERP =&gt; SOUS-SEGMENT'!$FD$79*'ANALYSE - ERP =&gt; SOUS-SEGMENT'!$JH$79</f>
        <v>49.527182453142856</v>
      </c>
      <c r="T41" s="430">
        <f>'ANALYSE - ERP =&gt; SOUS-SEGMENT'!$Q$79</f>
        <v>1</v>
      </c>
    </row>
    <row r="42" spans="1:20" ht="15" customHeight="1">
      <c r="A42" s="26">
        <v>39</v>
      </c>
      <c r="B42" s="26">
        <v>38</v>
      </c>
      <c r="C42" s="422">
        <f>'ANALYSE - ERP =&gt; SOUS-SEGMENT'!$A$30</f>
        <v>23</v>
      </c>
      <c r="D42" s="412" t="str">
        <f>'ANALYSE - ERP =&gt; SOUS-SEGMENT'!$B$30</f>
        <v>Sports &amp; Loisirs</v>
      </c>
      <c r="E42" s="412" t="str">
        <f>'ANALYSE - ERP =&gt; SOUS-SEGMENT'!$C$30</f>
        <v>Sport de plein air</v>
      </c>
      <c r="F42" s="412" t="str">
        <f>'ANALYSE - ERP =&gt; SOUS-SEGMENT'!$D$30</f>
        <v>Hippodromes, Centres équestres &amp; Manèges couverts</v>
      </c>
      <c r="H42" s="458">
        <f>'ANALYSE - ERP =&gt; SOUS-SEGMENT'!$BF$30*'ANALYSE - ERP =&gt; SOUS-SEGMENT'!$IY$30</f>
        <v>3756.06</v>
      </c>
      <c r="I42" s="458">
        <f>'ANALYSE - ERP =&gt; SOUS-SEGMENT'!$BF$30*'ANALYSE - ERP =&gt; SOUS-SEGMENT'!$IZ$30</f>
        <v>13377.21</v>
      </c>
      <c r="J42" s="458">
        <f>'ANALYSE - ERP =&gt; SOUS-SEGMENT'!$BF$30*'ANALYSE - ERP =&gt; SOUS-SEGMENT'!$JA$30</f>
        <v>5587.89</v>
      </c>
      <c r="K42" s="458">
        <f>'ANALYSE - ERP =&gt; SOUS-SEGMENT'!$BF$30*'ANALYSE - ERP =&gt; SOUS-SEGMENT'!$JB$30</f>
        <v>378.84000000000003</v>
      </c>
      <c r="L42" s="458">
        <f>'ANALYSE - ERP =&gt; SOUS-SEGMENT'!$BF$30*'ANALYSE - ERP =&gt; SOUS-SEGMENT'!$JC$30</f>
        <v>0</v>
      </c>
      <c r="N42" s="458">
        <f>'ANALYSE - ERP =&gt; SOUS-SEGMENT'!$FD$30*'ANALYSE - ERP =&gt; SOUS-SEGMENT'!$JD$30</f>
        <v>1995.0051064218753</v>
      </c>
      <c r="O42" s="458">
        <f>'ANALYSE - ERP =&gt; SOUS-SEGMENT'!$FD$30*'ANALYSE - ERP =&gt; SOUS-SEGMENT'!$JE$30</f>
        <v>7674.3674694241081</v>
      </c>
      <c r="P42" s="458">
        <f>'ANALYSE - ERP =&gt; SOUS-SEGMENT'!$FD$30*'ANALYSE - ERP =&gt; SOUS-SEGMENT'!$JF$30</f>
        <v>3574.212047116072</v>
      </c>
      <c r="Q42" s="458">
        <f>'ANALYSE - ERP =&gt; SOUS-SEGMENT'!$FD$30*'ANALYSE - ERP =&gt; SOUS-SEGMENT'!$JG$30</f>
        <v>469.4939553415179</v>
      </c>
      <c r="R42" s="458">
        <f>'ANALYSE - ERP =&gt; SOUS-SEGMENT'!$FD$30*'ANALYSE - ERP =&gt; SOUS-SEGMENT'!$JH$30</f>
        <v>55.072604732142864</v>
      </c>
      <c r="T42" s="430">
        <f>'ANALYSE - ERP =&gt; SOUS-SEGMENT'!$Q$30</f>
        <v>1</v>
      </c>
    </row>
    <row r="43" spans="1:20" ht="15" customHeight="1">
      <c r="A43" s="26">
        <v>40</v>
      </c>
      <c r="B43" s="26">
        <v>40</v>
      </c>
      <c r="C43" s="422">
        <f>'ANALYSE - ERP =&gt; SOUS-SEGMENT'!$A$8</f>
        <v>1</v>
      </c>
      <c r="D43" s="412" t="str">
        <f>'ANALYSE - ERP =&gt; SOUS-SEGMENT'!$B$8</f>
        <v>Enfance, Enseignement, Jeunesse &amp; Formation</v>
      </c>
      <c r="E43" s="412" t="str">
        <f>'ANALYSE - ERP =&gt; SOUS-SEGMENT'!$C$8</f>
        <v>Petite enfance</v>
      </c>
      <c r="F43" s="412" t="str">
        <f>'ANALYSE - ERP =&gt; SOUS-SEGMENT'!$D$8</f>
        <v>Crèches</v>
      </c>
      <c r="H43" s="458">
        <f>'ANALYSE - ERP =&gt; SOUS-SEGMENT'!$BF$8*'ANALYSE - ERP =&gt; SOUS-SEGMENT'!$IY$8</f>
        <v>69.072727499999999</v>
      </c>
      <c r="I43" s="458">
        <f>'ANALYSE - ERP =&gt; SOUS-SEGMENT'!$BF$8*'ANALYSE - ERP =&gt; SOUS-SEGMENT'!$IZ$8</f>
        <v>1697.9154149999999</v>
      </c>
      <c r="J43" s="458">
        <f>'ANALYSE - ERP =&gt; SOUS-SEGMENT'!$BF$8*'ANALYSE - ERP =&gt; SOUS-SEGMENT'!$JA$8</f>
        <v>2599.7798924999997</v>
      </c>
      <c r="K43" s="458">
        <f>'ANALYSE - ERP =&gt; SOUS-SEGMENT'!$BF$8*'ANALYSE - ERP =&gt; SOUS-SEGMENT'!$JB$8</f>
        <v>532.00696499999992</v>
      </c>
      <c r="L43" s="458">
        <f>'ANALYSE - ERP =&gt; SOUS-SEGMENT'!$BF$8*'ANALYSE - ERP =&gt; SOUS-SEGMENT'!$JC$8</f>
        <v>0</v>
      </c>
      <c r="N43" s="458">
        <f>'ANALYSE - ERP =&gt; SOUS-SEGMENT'!$FD$8*'ANALYSE - ERP =&gt; SOUS-SEGMENT'!$JD$8</f>
        <v>0</v>
      </c>
      <c r="O43" s="458">
        <f>'ANALYSE - ERP =&gt; SOUS-SEGMENT'!$FD$8*'ANALYSE - ERP =&gt; SOUS-SEGMENT'!$JE$8</f>
        <v>194.3767004346679</v>
      </c>
      <c r="P43" s="458">
        <f>'ANALYSE - ERP =&gt; SOUS-SEGMENT'!$FD$8*'ANALYSE - ERP =&gt; SOUS-SEGMENT'!$JF$8</f>
        <v>625.26155363364592</v>
      </c>
      <c r="Q43" s="458">
        <f>'ANALYSE - ERP =&gt; SOUS-SEGMENT'!$FD$8*'ANALYSE - ERP =&gt; SOUS-SEGMENT'!$JG$8</f>
        <v>280.39966576568679</v>
      </c>
      <c r="R43" s="458">
        <f>'ANALYSE - ERP =&gt; SOUS-SEGMENT'!$FD$8*'ANALYSE - ERP =&gt; SOUS-SEGMENT'!$JH$8</f>
        <v>0</v>
      </c>
      <c r="T43" s="430">
        <f>'ANALYSE - ERP =&gt; SOUS-SEGMENT'!$Q$8</f>
        <v>1</v>
      </c>
    </row>
    <row r="44" spans="1:20" ht="15" customHeight="1">
      <c r="A44" s="26">
        <v>41</v>
      </c>
      <c r="B44" s="26">
        <v>41</v>
      </c>
      <c r="C44" s="422">
        <f>'ANALYSE - ERP =&gt; SOUS-SEGMENT'!$A$65</f>
        <v>58</v>
      </c>
      <c r="D44" s="408" t="str">
        <f>'ANALYSE - ERP =&gt; SOUS-SEGMENT'!$B$65</f>
        <v>Culture, Patrimoine &amp; Evénementiel</v>
      </c>
      <c r="E44" s="408" t="str">
        <f>'ANALYSE - ERP =&gt; SOUS-SEGMENT'!$C$65</f>
        <v>Culture / spectacle</v>
      </c>
      <c r="F44" s="408" t="str">
        <f>'ANALYSE - ERP =&gt; SOUS-SEGMENT'!$D$65</f>
        <v>Salles de spectacle / Auditoriums</v>
      </c>
      <c r="H44" s="458">
        <f>'ANALYSE - ERP =&gt; SOUS-SEGMENT'!$BF$65*'ANALYSE - ERP =&gt; SOUS-SEGMENT'!$IY$65</f>
        <v>0</v>
      </c>
      <c r="I44" s="458">
        <f>'ANALYSE - ERP =&gt; SOUS-SEGMENT'!$BF$65*'ANALYSE - ERP =&gt; SOUS-SEGMENT'!$IZ$65</f>
        <v>488.67840000000001</v>
      </c>
      <c r="J44" s="458">
        <f>'ANALYSE - ERP =&gt; SOUS-SEGMENT'!$BF$65*'ANALYSE - ERP =&gt; SOUS-SEGMENT'!$JA$65</f>
        <v>1240.8456000000001</v>
      </c>
      <c r="K44" s="458">
        <f>'ANALYSE - ERP =&gt; SOUS-SEGMENT'!$BF$65*'ANALYSE - ERP =&gt; SOUS-SEGMENT'!$JB$65</f>
        <v>634.11839999999995</v>
      </c>
      <c r="L44" s="458">
        <f>'ANALYSE - ERP =&gt; SOUS-SEGMENT'!$BF$65*'ANALYSE - ERP =&gt; SOUS-SEGMENT'!$JC$65</f>
        <v>60.357599999999998</v>
      </c>
      <c r="N44" s="458">
        <f>'ANALYSE - ERP =&gt; SOUS-SEGMENT'!$FD$65*'ANALYSE - ERP =&gt; SOUS-SEGMENT'!$JD$65</f>
        <v>0</v>
      </c>
      <c r="O44" s="458">
        <f>'ANALYSE - ERP =&gt; SOUS-SEGMENT'!$FD$65*'ANALYSE - ERP =&gt; SOUS-SEGMENT'!$JE$65</f>
        <v>87.905633992282048</v>
      </c>
      <c r="P44" s="458">
        <f>'ANALYSE - ERP =&gt; SOUS-SEGMENT'!$FD$65*'ANALYSE - ERP =&gt; SOUS-SEGMENT'!$JF$65</f>
        <v>445.53538868525641</v>
      </c>
      <c r="Q44" s="458">
        <f>'ANALYSE - ERP =&gt; SOUS-SEGMENT'!$FD$65*'ANALYSE - ERP =&gt; SOUS-SEGMENT'!$JG$65</f>
        <v>397.97824045480769</v>
      </c>
      <c r="R44" s="458">
        <f>'ANALYSE - ERP =&gt; SOUS-SEGMENT'!$FD$65*'ANALYSE - ERP =&gt; SOUS-SEGMENT'!$JH$65</f>
        <v>69.783857508679489</v>
      </c>
      <c r="T44" s="430">
        <f>'ANALYSE - ERP =&gt; SOUS-SEGMENT'!$Q$65</f>
        <v>1</v>
      </c>
    </row>
    <row r="45" spans="1:20" ht="15" customHeight="1">
      <c r="A45" s="26">
        <v>42</v>
      </c>
      <c r="B45" s="26">
        <v>42</v>
      </c>
      <c r="C45" s="422">
        <f>'ANALYSE - ERP =&gt; SOUS-SEGMENT'!$A$73</f>
        <v>66</v>
      </c>
      <c r="D45" s="414" t="str">
        <f>'ANALYSE - ERP =&gt; SOUS-SEGMENT'!$B$73</f>
        <v>Culture, Patrimoine &amp; Evénementiel</v>
      </c>
      <c r="E45" s="414" t="str">
        <f>'ANALYSE - ERP =&gt; SOUS-SEGMENT'!$C$73</f>
        <v>Événementiel temporaire</v>
      </c>
      <c r="F45" s="414" t="str">
        <f>'ANALYSE - ERP =&gt; SOUS-SEGMENT'!$D$73</f>
        <v>Structures gonflables</v>
      </c>
      <c r="H45" s="458">
        <f>'ANALYSE - ERP =&gt; SOUS-SEGMENT'!$BF$73*'ANALYSE - ERP =&gt; SOUS-SEGMENT'!$IY$73</f>
        <v>41.228000000000002</v>
      </c>
      <c r="I45" s="458">
        <f>'ANALYSE - ERP =&gt; SOUS-SEGMENT'!$BF$73*'ANALYSE - ERP =&gt; SOUS-SEGMENT'!$IZ$73</f>
        <v>64.372</v>
      </c>
      <c r="J45" s="458">
        <f>'ANALYSE - ERP =&gt; SOUS-SEGMENT'!$BF$73*'ANALYSE - ERP =&gt; SOUS-SEGMENT'!$JA$73</f>
        <v>4.4000000000000004</v>
      </c>
      <c r="K45" s="458">
        <f>'ANALYSE - ERP =&gt; SOUS-SEGMENT'!$BF$73*'ANALYSE - ERP =&gt; SOUS-SEGMENT'!$JB$73</f>
        <v>0</v>
      </c>
      <c r="L45" s="458">
        <f>'ANALYSE - ERP =&gt; SOUS-SEGMENT'!$BF$73*'ANALYSE - ERP =&gt; SOUS-SEGMENT'!$JC$73</f>
        <v>0</v>
      </c>
      <c r="N45" s="458">
        <f>'ANALYSE - ERP =&gt; SOUS-SEGMENT'!$FD$73*'ANALYSE - ERP =&gt; SOUS-SEGMENT'!$JD$73</f>
        <v>11.080252284200002</v>
      </c>
      <c r="O45" s="458">
        <f>'ANALYSE - ERP =&gt; SOUS-SEGMENT'!$FD$73*'ANALYSE - ERP =&gt; SOUS-SEGMENT'!$JE$73</f>
        <v>35.700058495950003</v>
      </c>
      <c r="P45" s="458">
        <f>'ANALYSE - ERP =&gt; SOUS-SEGMENT'!$FD$73*'ANALYSE - ERP =&gt; SOUS-SEGMENT'!$JF$73</f>
        <v>6.7992457198500009</v>
      </c>
      <c r="Q45" s="458">
        <f>'ANALYSE - ERP =&gt; SOUS-SEGMENT'!$FD$73*'ANALYSE - ERP =&gt; SOUS-SEGMENT'!$JG$73</f>
        <v>0</v>
      </c>
      <c r="R45" s="458">
        <f>'ANALYSE - ERP =&gt; SOUS-SEGMENT'!$FD$73*'ANALYSE - ERP =&gt; SOUS-SEGMENT'!$JH$73</f>
        <v>0</v>
      </c>
      <c r="T45" s="430">
        <f>'ANALYSE - ERP =&gt; SOUS-SEGMENT'!$Q$73</f>
        <v>1</v>
      </c>
    </row>
    <row r="46" spans="1:20" ht="15" customHeight="1">
      <c r="A46" s="26">
        <v>43</v>
      </c>
      <c r="B46" s="26">
        <v>44</v>
      </c>
      <c r="C46" s="422">
        <f>'ANALYSE - ERP =&gt; SOUS-SEGMENT'!$A$11</f>
        <v>4</v>
      </c>
      <c r="D46" s="414" t="str">
        <f>'ANALYSE - ERP =&gt; SOUS-SEGMENT'!$B$11</f>
        <v>Enfance, Enseignement, Jeunesse &amp; Formation</v>
      </c>
      <c r="E46" s="414" t="str">
        <f>'ANALYSE - ERP =&gt; SOUS-SEGMENT'!$C$11</f>
        <v>Enseignement scolaire</v>
      </c>
      <c r="F46" s="414" t="str">
        <f>'ANALYSE - ERP =&gt; SOUS-SEGMENT'!$D$11</f>
        <v>Écoles maternelles</v>
      </c>
      <c r="H46" s="458">
        <f>'ANALYSE - ERP =&gt; SOUS-SEGMENT'!$BF$11*'ANALYSE - ERP =&gt; SOUS-SEGMENT'!$IY$11</f>
        <v>355.48537499999998</v>
      </c>
      <c r="I46" s="458">
        <f>'ANALYSE - ERP =&gt; SOUS-SEGMENT'!$BF$11*'ANALYSE - ERP =&gt; SOUS-SEGMENT'!$IZ$11</f>
        <v>2006.5174500000001</v>
      </c>
      <c r="J46" s="458">
        <f>'ANALYSE - ERP =&gt; SOUS-SEGMENT'!$BF$11*'ANALYSE - ERP =&gt; SOUS-SEGMENT'!$JA$11</f>
        <v>1301.941675</v>
      </c>
      <c r="K46" s="458">
        <f>'ANALYSE - ERP =&gt; SOUS-SEGMENT'!$BF$11*'ANALYSE - ERP =&gt; SOUS-SEGMENT'!$JB$11</f>
        <v>97.053150000000002</v>
      </c>
      <c r="L46" s="458">
        <f>'ANALYSE - ERP =&gt; SOUS-SEGMENT'!$BF$11*'ANALYSE - ERP =&gt; SOUS-SEGMENT'!$JC$11</f>
        <v>0.75235000000000007</v>
      </c>
      <c r="N46" s="458">
        <f>'ANALYSE - ERP =&gt; SOUS-SEGMENT'!$FD$11*'ANALYSE - ERP =&gt; SOUS-SEGMENT'!$JD$11</f>
        <v>36.356445116784009</v>
      </c>
      <c r="O46" s="458">
        <f>'ANALYSE - ERP =&gt; SOUS-SEGMENT'!$FD$11*'ANALYSE - ERP =&gt; SOUS-SEGMENT'!$JE$11</f>
        <v>384.36682658899207</v>
      </c>
      <c r="P46" s="458">
        <f>'ANALYSE - ERP =&gt; SOUS-SEGMENT'!$FD$11*'ANALYSE - ERP =&gt; SOUS-SEGMENT'!$JF$11</f>
        <v>467.19463331174404</v>
      </c>
      <c r="Q46" s="458">
        <f>'ANALYSE - ERP =&gt; SOUS-SEGMENT'!$FD$11*'ANALYSE - ERP =&gt; SOUS-SEGMENT'!$JG$11</f>
        <v>65.269838477376013</v>
      </c>
      <c r="R46" s="458">
        <f>'ANALYSE - ERP =&gt; SOUS-SEGMENT'!$FD$11*'ANALYSE - ERP =&gt; SOUS-SEGMENT'!$JH$11</f>
        <v>1.0496611451040001</v>
      </c>
      <c r="T46" s="430">
        <f>'ANALYSE - ERP =&gt; SOUS-SEGMENT'!$Q$11</f>
        <v>1</v>
      </c>
    </row>
    <row r="47" spans="1:20" ht="15" customHeight="1">
      <c r="A47" s="26">
        <v>44</v>
      </c>
      <c r="B47" s="26">
        <v>45</v>
      </c>
      <c r="C47" s="422">
        <f>'ANALYSE - ERP =&gt; SOUS-SEGMENT'!$A$91</f>
        <v>84</v>
      </c>
      <c r="D47" s="414" t="str">
        <f>'ANALYSE - ERP =&gt; SOUS-SEGMENT'!$B$91</f>
        <v>Hébergement Touristique</v>
      </c>
      <c r="E47" s="414" t="str">
        <f>'ANALYSE - ERP =&gt; SOUS-SEGMENT'!$C$91</f>
        <v>Hébergement Touristique</v>
      </c>
      <c r="F47" s="414" t="str">
        <f>'ANALYSE - ERP =&gt; SOUS-SEGMENT'!$D$91</f>
        <v>Pensions de famille</v>
      </c>
      <c r="H47" s="458">
        <f>'ANALYSE - ERP =&gt; SOUS-SEGMENT'!$BF$91*'ANALYSE - ERP =&gt; SOUS-SEGMENT'!$IY$91</f>
        <v>67.993200000000002</v>
      </c>
      <c r="I47" s="458">
        <f>'ANALYSE - ERP =&gt; SOUS-SEGMENT'!$BF$91*'ANALYSE - ERP =&gt; SOUS-SEGMENT'!$IZ$91</f>
        <v>665.02440000000001</v>
      </c>
      <c r="J47" s="458">
        <f>'ANALYSE - ERP =&gt; SOUS-SEGMENT'!$BF$91*'ANALYSE - ERP =&gt; SOUS-SEGMENT'!$JA$91</f>
        <v>886.27499999999998</v>
      </c>
      <c r="K47" s="458">
        <f>'ANALYSE - ERP =&gt; SOUS-SEGMENT'!$BF$91*'ANALYSE - ERP =&gt; SOUS-SEGMENT'!$JB$91</f>
        <v>191.6172</v>
      </c>
      <c r="L47" s="458">
        <f>'ANALYSE - ERP =&gt; SOUS-SEGMENT'!$BF$91*'ANALYSE - ERP =&gt; SOUS-SEGMENT'!$JC$91</f>
        <v>7.0901999999999994</v>
      </c>
      <c r="N47" s="458">
        <f>'ANALYSE - ERP =&gt; SOUS-SEGMENT'!$FD$91*'ANALYSE - ERP =&gt; SOUS-SEGMENT'!$JD$91</f>
        <v>6.4955653300227256</v>
      </c>
      <c r="O47" s="458">
        <f>'ANALYSE - ERP =&gt; SOUS-SEGMENT'!$FD$91*'ANALYSE - ERP =&gt; SOUS-SEGMENT'!$JE$91</f>
        <v>191.09792816597727</v>
      </c>
      <c r="P47" s="458">
        <f>'ANALYSE - ERP =&gt; SOUS-SEGMENT'!$FD$91*'ANALYSE - ERP =&gt; SOUS-SEGMENT'!$JF$91</f>
        <v>433.75941814929541</v>
      </c>
      <c r="Q47" s="458">
        <f>'ANALYSE - ERP =&gt; SOUS-SEGMENT'!$FD$91*'ANALYSE - ERP =&gt; SOUS-SEGMENT'!$JG$91</f>
        <v>160.38432913636362</v>
      </c>
      <c r="R47" s="458">
        <f>'ANALYSE - ERP =&gt; SOUS-SEGMENT'!$FD$91*'ANALYSE - ERP =&gt; SOUS-SEGMENT'!$JH$91</f>
        <v>10.184404900159089</v>
      </c>
      <c r="T47" s="430">
        <f>'ANALYSE - ERP =&gt; SOUS-SEGMENT'!$Q$91</f>
        <v>1</v>
      </c>
    </row>
    <row r="48" spans="1:20" ht="15" customHeight="1">
      <c r="A48" s="26">
        <v>45</v>
      </c>
      <c r="B48" s="26">
        <v>43</v>
      </c>
      <c r="C48" s="422">
        <f>'ANALYSE - ERP =&gt; SOUS-SEGMENT'!$A$139</f>
        <v>132</v>
      </c>
      <c r="D48" s="414" t="str">
        <f>'ANALYSE - ERP =&gt; SOUS-SEGMENT'!$B$139</f>
        <v>Sécurité &amp; Justice</v>
      </c>
      <c r="E48" s="414" t="str">
        <f>'ANALYSE - ERP =&gt; SOUS-SEGMENT'!$C$139</f>
        <v>Univers carcéral</v>
      </c>
      <c r="F48" s="414" t="str">
        <f>'ANALYSE - ERP =&gt; SOUS-SEGMENT'!$D$139</f>
        <v>Maisons d’arrêt</v>
      </c>
      <c r="H48" s="458">
        <f>'ANALYSE - ERP =&gt; SOUS-SEGMENT'!$BF$139*'ANALYSE - ERP =&gt; SOUS-SEGMENT'!$IY$139</f>
        <v>430.35250000000002</v>
      </c>
      <c r="I48" s="458">
        <f>'ANALYSE - ERP =&gt; SOUS-SEGMENT'!$BF$139*'ANALYSE - ERP =&gt; SOUS-SEGMENT'!$IZ$139</f>
        <v>1333.7175</v>
      </c>
      <c r="J48" s="458">
        <f>'ANALYSE - ERP =&gt; SOUS-SEGMENT'!$BF$139*'ANALYSE - ERP =&gt; SOUS-SEGMENT'!$JA$139</f>
        <v>210.93</v>
      </c>
      <c r="K48" s="458">
        <f>'ANALYSE - ERP =&gt; SOUS-SEGMENT'!$BF$139*'ANALYSE - ERP =&gt; SOUS-SEGMENT'!$JB$139</f>
        <v>0</v>
      </c>
      <c r="L48" s="458">
        <f>'ANALYSE - ERP =&gt; SOUS-SEGMENT'!$BF$139*'ANALYSE - ERP =&gt; SOUS-SEGMENT'!$JC$139</f>
        <v>0</v>
      </c>
      <c r="N48" s="458">
        <f>'ANALYSE - ERP =&gt; SOUS-SEGMENT'!$FD$139*'ANALYSE - ERP =&gt; SOUS-SEGMENT'!$JD$139</f>
        <v>131.22555094999998</v>
      </c>
      <c r="O48" s="458">
        <f>'ANALYSE - ERP =&gt; SOUS-SEGMENT'!$FD$139*'ANALYSE - ERP =&gt; SOUS-SEGMENT'!$JE$139</f>
        <v>797.80905685000005</v>
      </c>
      <c r="P48" s="458">
        <f>'ANALYSE - ERP =&gt; SOUS-SEGMENT'!$FD$139*'ANALYSE - ERP =&gt; SOUS-SEGMENT'!$JF$139</f>
        <v>245.76889219999998</v>
      </c>
      <c r="Q48" s="458">
        <f>'ANALYSE - ERP =&gt; SOUS-SEGMENT'!$FD$139*'ANALYSE - ERP =&gt; SOUS-SEGMENT'!$JG$139</f>
        <v>0</v>
      </c>
      <c r="R48" s="458">
        <f>'ANALYSE - ERP =&gt; SOUS-SEGMENT'!$FD$139*'ANALYSE - ERP =&gt; SOUS-SEGMENT'!$JH$139</f>
        <v>0</v>
      </c>
      <c r="T48" s="430">
        <f>'ANALYSE - ERP =&gt; SOUS-SEGMENT'!$Q$139</f>
        <v>1</v>
      </c>
    </row>
    <row r="49" spans="1:20" ht="15" customHeight="1">
      <c r="A49" s="26">
        <v>46</v>
      </c>
      <c r="B49" s="26">
        <v>46</v>
      </c>
      <c r="C49" s="422">
        <f>'ANALYSE - ERP =&gt; SOUS-SEGMENT'!$A$12</f>
        <v>5</v>
      </c>
      <c r="D49" s="415" t="str">
        <f>'ANALYSE - ERP =&gt; SOUS-SEGMENT'!$B$12</f>
        <v>Enfance, Enseignement, Jeunesse &amp; Formation</v>
      </c>
      <c r="E49" s="415" t="str">
        <f>'ANALYSE - ERP =&gt; SOUS-SEGMENT'!$C$12</f>
        <v>Enseignement scolaire</v>
      </c>
      <c r="F49" s="415" t="str">
        <f>'ANALYSE - ERP =&gt; SOUS-SEGMENT'!$D$12</f>
        <v>Écoles primaires</v>
      </c>
      <c r="H49" s="458">
        <f>'ANALYSE - ERP =&gt; SOUS-SEGMENT'!$BF$12*'ANALYSE - ERP =&gt; SOUS-SEGMENT'!$IY$12</f>
        <v>439.25112000000001</v>
      </c>
      <c r="I49" s="458">
        <f>'ANALYSE - ERP =&gt; SOUS-SEGMENT'!$BF$12*'ANALYSE - ERP =&gt; SOUS-SEGMENT'!$IZ$12</f>
        <v>2479.328544</v>
      </c>
      <c r="J49" s="458">
        <f>'ANALYSE - ERP =&gt; SOUS-SEGMENT'!$BF$12*'ANALYSE - ERP =&gt; SOUS-SEGMENT'!$JA$12</f>
        <v>1608.7281760000001</v>
      </c>
      <c r="K49" s="458">
        <f>'ANALYSE - ERP =&gt; SOUS-SEGMENT'!$BF$12*'ANALYSE - ERP =&gt; SOUS-SEGMENT'!$JB$12</f>
        <v>119.922528</v>
      </c>
      <c r="L49" s="458">
        <f>'ANALYSE - ERP =&gt; SOUS-SEGMENT'!$BF$12*'ANALYSE - ERP =&gt; SOUS-SEGMENT'!$JC$12</f>
        <v>0.92963200000000001</v>
      </c>
      <c r="N49" s="458">
        <f>'ANALYSE - ERP =&gt; SOUS-SEGMENT'!$FD$12*'ANALYSE - ERP =&gt; SOUS-SEGMENT'!$JD$12</f>
        <v>45.203706434078718</v>
      </c>
      <c r="O49" s="458">
        <f>'ANALYSE - ERP =&gt; SOUS-SEGMENT'!$FD$12*'ANALYSE - ERP =&gt; SOUS-SEGMENT'!$JE$12</f>
        <v>509.19872800015997</v>
      </c>
      <c r="P49" s="458">
        <f>'ANALYSE - ERP =&gt; SOUS-SEGMENT'!$FD$12*'ANALYSE - ERP =&gt; SOUS-SEGMENT'!$JF$12</f>
        <v>659.65873924149753</v>
      </c>
      <c r="Q49" s="458">
        <f>'ANALYSE - ERP =&gt; SOUS-SEGMENT'!$FD$12*'ANALYSE - ERP =&gt; SOUS-SEGMENT'!$JG$12</f>
        <v>98.291780269450243</v>
      </c>
      <c r="R49" s="458">
        <f>'ANALYSE - ERP =&gt; SOUS-SEGMENT'!$FD$12*'ANALYSE - ERP =&gt; SOUS-SEGMENT'!$JH$12</f>
        <v>1.7082796036134398</v>
      </c>
      <c r="T49" s="430">
        <f>'ANALYSE - ERP =&gt; SOUS-SEGMENT'!$Q$12</f>
        <v>1</v>
      </c>
    </row>
    <row r="50" spans="1:20" ht="15" customHeight="1">
      <c r="A50" s="26">
        <v>47</v>
      </c>
      <c r="B50" s="26">
        <v>47</v>
      </c>
      <c r="C50" s="422">
        <f>'ANALYSE - ERP =&gt; SOUS-SEGMENT'!$A$93</f>
        <v>86</v>
      </c>
      <c r="D50" s="415" t="str">
        <f>'ANALYSE - ERP =&gt; SOUS-SEGMENT'!$B$93</f>
        <v>Hébergement Touristique</v>
      </c>
      <c r="E50" s="415" t="str">
        <f>'ANALYSE - ERP =&gt; SOUS-SEGMENT'!$C$93</f>
        <v>Hébergement Montagne</v>
      </c>
      <c r="F50" s="415" t="str">
        <f>'ANALYSE - ERP =&gt; SOUS-SEGMENT'!$D$93</f>
        <v>Refuges de montagne</v>
      </c>
      <c r="H50" s="458">
        <f>'ANALYSE - ERP =&gt; SOUS-SEGMENT'!$BF$93*'ANALYSE - ERP =&gt; SOUS-SEGMENT'!$IY$93</f>
        <v>223.92</v>
      </c>
      <c r="I50" s="458">
        <f>'ANALYSE - ERP =&gt; SOUS-SEGMENT'!$BF$93*'ANALYSE - ERP =&gt; SOUS-SEGMENT'!$IZ$93</f>
        <v>778.19999999999993</v>
      </c>
      <c r="J50" s="458">
        <f>'ANALYSE - ERP =&gt; SOUS-SEGMENT'!$BF$93*'ANALYSE - ERP =&gt; SOUS-SEGMENT'!$JA$93</f>
        <v>197.88</v>
      </c>
      <c r="K50" s="458">
        <f>'ANALYSE - ERP =&gt; SOUS-SEGMENT'!$BF$93*'ANALYSE - ERP =&gt; SOUS-SEGMENT'!$JB$93</f>
        <v>0</v>
      </c>
      <c r="L50" s="458">
        <f>'ANALYSE - ERP =&gt; SOUS-SEGMENT'!$BF$93*'ANALYSE - ERP =&gt; SOUS-SEGMENT'!$JC$93</f>
        <v>0</v>
      </c>
      <c r="N50" s="458">
        <f>'ANALYSE - ERP =&gt; SOUS-SEGMENT'!$FD$93*'ANALYSE - ERP =&gt; SOUS-SEGMENT'!$JD$93</f>
        <v>62.070339670730007</v>
      </c>
      <c r="O50" s="458">
        <f>'ANALYSE - ERP =&gt; SOUS-SEGMENT'!$FD$93*'ANALYSE - ERP =&gt; SOUS-SEGMENT'!$JE$93</f>
        <v>338.22562414024003</v>
      </c>
      <c r="P50" s="458">
        <f>'ANALYSE - ERP =&gt; SOUS-SEGMENT'!$FD$93*'ANALYSE - ERP =&gt; SOUS-SEGMENT'!$JF$93</f>
        <v>149.48560988903</v>
      </c>
      <c r="Q50" s="458">
        <f>'ANALYSE - ERP =&gt; SOUS-SEGMENT'!$FD$93*'ANALYSE - ERP =&gt; SOUS-SEGMENT'!$JG$93</f>
        <v>0</v>
      </c>
      <c r="R50" s="458">
        <f>'ANALYSE - ERP =&gt; SOUS-SEGMENT'!$FD$93*'ANALYSE - ERP =&gt; SOUS-SEGMENT'!$JH$93</f>
        <v>0</v>
      </c>
      <c r="T50" s="430">
        <f>'ANALYSE - ERP =&gt; SOUS-SEGMENT'!$Q$93</f>
        <v>1</v>
      </c>
    </row>
    <row r="51" spans="1:20" ht="15" customHeight="1">
      <c r="A51" s="26">
        <v>48</v>
      </c>
      <c r="B51" s="26">
        <v>48</v>
      </c>
      <c r="C51" s="422">
        <f>'ANALYSE - ERP =&gt; SOUS-SEGMENT'!$A$70</f>
        <v>63</v>
      </c>
      <c r="D51" s="413" t="str">
        <f>'ANALYSE - ERP =&gt; SOUS-SEGMENT'!$B$70</f>
        <v>Culture, Patrimoine &amp; Evénementiel</v>
      </c>
      <c r="E51" s="413" t="str">
        <f>'ANALYSE - ERP =&gt; SOUS-SEGMENT'!$C$70</f>
        <v>Expositions / salons</v>
      </c>
      <c r="F51" s="413" t="str">
        <f>'ANALYSE - ERP =&gt; SOUS-SEGMENT'!$D$70</f>
        <v>Foires / Salons</v>
      </c>
      <c r="H51" s="458">
        <f>'ANALYSE - ERP =&gt; SOUS-SEGMENT'!$BF$70*'ANALYSE - ERP =&gt; SOUS-SEGMENT'!$IY$70</f>
        <v>0</v>
      </c>
      <c r="I51" s="458">
        <f>'ANALYSE - ERP =&gt; SOUS-SEGMENT'!$BF$70*'ANALYSE - ERP =&gt; SOUS-SEGMENT'!$IZ$70</f>
        <v>193.315</v>
      </c>
      <c r="J51" s="458">
        <f>'ANALYSE - ERP =&gt; SOUS-SEGMENT'!$BF$70*'ANALYSE - ERP =&gt; SOUS-SEGMENT'!$JA$70</f>
        <v>577.18500000000006</v>
      </c>
      <c r="K51" s="458">
        <f>'ANALYSE - ERP =&gt; SOUS-SEGMENT'!$BF$70*'ANALYSE - ERP =&gt; SOUS-SEGMENT'!$JB$70</f>
        <v>341.20500000000004</v>
      </c>
      <c r="L51" s="458">
        <f>'ANALYSE - ERP =&gt; SOUS-SEGMENT'!$BF$70*'ANALYSE - ERP =&gt; SOUS-SEGMENT'!$JC$70</f>
        <v>38.295000000000002</v>
      </c>
      <c r="N51" s="458">
        <f>'ANALYSE - ERP =&gt; SOUS-SEGMENT'!$FD$70*'ANALYSE - ERP =&gt; SOUS-SEGMENT'!$JD$70</f>
        <v>0</v>
      </c>
      <c r="O51" s="458">
        <f>'ANALYSE - ERP =&gt; SOUS-SEGMENT'!$FD$70*'ANALYSE - ERP =&gt; SOUS-SEGMENT'!$JE$70</f>
        <v>36.317915907</v>
      </c>
      <c r="P51" s="458">
        <f>'ANALYSE - ERP =&gt; SOUS-SEGMENT'!$FD$70*'ANALYSE - ERP =&gt; SOUS-SEGMENT'!$JF$70</f>
        <v>206.66623575650001</v>
      </c>
      <c r="Q51" s="458">
        <f>'ANALYSE - ERP =&gt; SOUS-SEGMENT'!$FD$70*'ANALYSE - ERP =&gt; SOUS-SEGMENT'!$JG$70</f>
        <v>199.46030006066667</v>
      </c>
      <c r="R51" s="458">
        <f>'ANALYSE - ERP =&gt; SOUS-SEGMENT'!$FD$70*'ANALYSE - ERP =&gt; SOUS-SEGMENT'!$JH$70</f>
        <v>37.951261331388892</v>
      </c>
      <c r="T51" s="430">
        <f>'ANALYSE - ERP =&gt; SOUS-SEGMENT'!$Q$70</f>
        <v>1</v>
      </c>
    </row>
    <row r="52" spans="1:20" ht="15" customHeight="1">
      <c r="A52" s="26">
        <v>49</v>
      </c>
      <c r="B52" s="26">
        <v>49</v>
      </c>
      <c r="C52" s="422">
        <f>'ANALYSE - ERP =&gt; SOUS-SEGMENT'!$A$140</f>
        <v>133</v>
      </c>
      <c r="D52" s="411" t="str">
        <f>'ANALYSE - ERP =&gt; SOUS-SEGMENT'!$B$140</f>
        <v>Sécurité &amp; Justice</v>
      </c>
      <c r="E52" s="411" t="str">
        <f>'ANALYSE - ERP =&gt; SOUS-SEGMENT'!$C$140</f>
        <v>Univers carcéral</v>
      </c>
      <c r="F52" s="411" t="str">
        <f>'ANALYSE - ERP =&gt; SOUS-SEGMENT'!$D$140</f>
        <v>Centres de détention</v>
      </c>
      <c r="H52" s="458">
        <f>'ANALYSE - ERP =&gt; SOUS-SEGMENT'!$BF$140*'ANALYSE - ERP =&gt; SOUS-SEGMENT'!$IY$140</f>
        <v>217.9</v>
      </c>
      <c r="I52" s="458">
        <f>'ANALYSE - ERP =&gt; SOUS-SEGMENT'!$BF$140*'ANALYSE - ERP =&gt; SOUS-SEGMENT'!$IZ$140</f>
        <v>675.3</v>
      </c>
      <c r="J52" s="458">
        <f>'ANALYSE - ERP =&gt; SOUS-SEGMENT'!$BF$140*'ANALYSE - ERP =&gt; SOUS-SEGMENT'!$JA$140</f>
        <v>106.80000000000001</v>
      </c>
      <c r="K52" s="458">
        <f>'ANALYSE - ERP =&gt; SOUS-SEGMENT'!$BF$140*'ANALYSE - ERP =&gt; SOUS-SEGMENT'!$JB$140</f>
        <v>0</v>
      </c>
      <c r="L52" s="458">
        <f>'ANALYSE - ERP =&gt; SOUS-SEGMENT'!$BF$140*'ANALYSE - ERP =&gt; SOUS-SEGMENT'!$JC$140</f>
        <v>0</v>
      </c>
      <c r="N52" s="458">
        <f>'ANALYSE - ERP =&gt; SOUS-SEGMENT'!$FD$140*'ANALYSE - ERP =&gt; SOUS-SEGMENT'!$JD$140</f>
        <v>61.620421999999991</v>
      </c>
      <c r="O52" s="458">
        <f>'ANALYSE - ERP =&gt; SOUS-SEGMENT'!$FD$140*'ANALYSE - ERP =&gt; SOUS-SEGMENT'!$JE$140</f>
        <v>374.63230599999997</v>
      </c>
      <c r="P52" s="458">
        <f>'ANALYSE - ERP =&gt; SOUS-SEGMENT'!$FD$140*'ANALYSE - ERP =&gt; SOUS-SEGMENT'!$JF$140</f>
        <v>115.40727199999999</v>
      </c>
      <c r="Q52" s="458">
        <f>'ANALYSE - ERP =&gt; SOUS-SEGMENT'!$FD$140*'ANALYSE - ERP =&gt; SOUS-SEGMENT'!$JG$140</f>
        <v>0</v>
      </c>
      <c r="R52" s="458">
        <f>'ANALYSE - ERP =&gt; SOUS-SEGMENT'!$FD$140*'ANALYSE - ERP =&gt; SOUS-SEGMENT'!$JH$140</f>
        <v>0</v>
      </c>
      <c r="T52" s="430">
        <f>'ANALYSE - ERP =&gt; SOUS-SEGMENT'!$Q$140</f>
        <v>1</v>
      </c>
    </row>
    <row r="53" spans="1:20" ht="15" customHeight="1">
      <c r="A53" s="26">
        <v>50</v>
      </c>
      <c r="B53" s="26">
        <v>50</v>
      </c>
      <c r="C53" s="422">
        <f>'ANALYSE - ERP =&gt; SOUS-SEGMENT'!$A$90</f>
        <v>83</v>
      </c>
      <c r="D53" s="411" t="str">
        <f>'ANALYSE - ERP =&gt; SOUS-SEGMENT'!$B$90</f>
        <v>Hébergement Touristique</v>
      </c>
      <c r="E53" s="411" t="str">
        <f>'ANALYSE - ERP =&gt; SOUS-SEGMENT'!$C$90</f>
        <v>Hébergement Touristique</v>
      </c>
      <c r="F53" s="411" t="str">
        <f>'ANALYSE - ERP =&gt; SOUS-SEGMENT'!$D$90</f>
        <v>Auberges de jeunesse</v>
      </c>
      <c r="H53" s="458">
        <f>'ANALYSE - ERP =&gt; SOUS-SEGMENT'!$BF$90*'ANALYSE - ERP =&gt; SOUS-SEGMENT'!$IY$90</f>
        <v>6.4959999999999996</v>
      </c>
      <c r="I53" s="458">
        <f>'ANALYSE - ERP =&gt; SOUS-SEGMENT'!$BF$90*'ANALYSE - ERP =&gt; SOUS-SEGMENT'!$IZ$90</f>
        <v>258.33199999999999</v>
      </c>
      <c r="J53" s="458">
        <f>'ANALYSE - ERP =&gt; SOUS-SEGMENT'!$BF$90*'ANALYSE - ERP =&gt; SOUS-SEGMENT'!$JA$90</f>
        <v>569.90800000000002</v>
      </c>
      <c r="K53" s="458">
        <f>'ANALYSE - ERP =&gt; SOUS-SEGMENT'!$BF$90*'ANALYSE - ERP =&gt; SOUS-SEGMENT'!$JB$90</f>
        <v>299.04799999999994</v>
      </c>
      <c r="L53" s="458">
        <f>'ANALYSE - ERP =&gt; SOUS-SEGMENT'!$BF$90*'ANALYSE - ERP =&gt; SOUS-SEGMENT'!$JC$90</f>
        <v>26.215999999999998</v>
      </c>
      <c r="N53" s="458">
        <f>'ANALYSE - ERP =&gt; SOUS-SEGMENT'!$FD$90*'ANALYSE - ERP =&gt; SOUS-SEGMENT'!$JD$90</f>
        <v>0</v>
      </c>
      <c r="O53" s="458">
        <f>'ANALYSE - ERP =&gt; SOUS-SEGMENT'!$FD$90*'ANALYSE - ERP =&gt; SOUS-SEGMENT'!$JE$90</f>
        <v>101.21570014909088</v>
      </c>
      <c r="P53" s="458">
        <f>'ANALYSE - ERP =&gt; SOUS-SEGMENT'!$FD$90*'ANALYSE - ERP =&gt; SOUS-SEGMENT'!$JF$90</f>
        <v>276.11207664327264</v>
      </c>
      <c r="Q53" s="458">
        <f>'ANALYSE - ERP =&gt; SOUS-SEGMENT'!$FD$90*'ANALYSE - ERP =&gt; SOUS-SEGMENT'!$JG$90</f>
        <v>151.66029909436361</v>
      </c>
      <c r="R53" s="458">
        <f>'ANALYSE - ERP =&gt; SOUS-SEGMENT'!$FD$90*'ANALYSE - ERP =&gt; SOUS-SEGMENT'!$JH$90</f>
        <v>15.182355022363634</v>
      </c>
      <c r="T53" s="430">
        <f>'ANALYSE - ERP =&gt; SOUS-SEGMENT'!$Q$90</f>
        <v>1</v>
      </c>
    </row>
    <row r="54" spans="1:20" ht="15" customHeight="1">
      <c r="A54" s="26">
        <v>51</v>
      </c>
      <c r="B54" s="26">
        <v>51</v>
      </c>
      <c r="C54" s="422">
        <f>'ANALYSE - ERP =&gt; SOUS-SEGMENT'!$A$92</f>
        <v>85</v>
      </c>
      <c r="D54" s="417" t="str">
        <f>'ANALYSE - ERP =&gt; SOUS-SEGMENT'!$B$92</f>
        <v>Hébergement Touristique</v>
      </c>
      <c r="E54" s="417" t="str">
        <f>'ANALYSE - ERP =&gt; SOUS-SEGMENT'!$C$92</f>
        <v>Hébergement Montagne</v>
      </c>
      <c r="F54" s="417" t="str">
        <f>'ANALYSE - ERP =&gt; SOUS-SEGMENT'!$D$92</f>
        <v>Hôtels-restaurants d’altitude</v>
      </c>
      <c r="H54" s="458">
        <f>'ANALYSE - ERP =&gt; SOUS-SEGMENT'!$BF$92*'ANALYSE - ERP =&gt; SOUS-SEGMENT'!$IY$92</f>
        <v>0</v>
      </c>
      <c r="I54" s="458">
        <f>'ANALYSE - ERP =&gt; SOUS-SEGMENT'!$BF$92*'ANALYSE - ERP =&gt; SOUS-SEGMENT'!$IZ$92</f>
        <v>0</v>
      </c>
      <c r="J54" s="458">
        <f>'ANALYSE - ERP =&gt; SOUS-SEGMENT'!$BF$92*'ANALYSE - ERP =&gt; SOUS-SEGMENT'!$JA$92</f>
        <v>405.28000000000003</v>
      </c>
      <c r="K54" s="458">
        <f>'ANALYSE - ERP =&gt; SOUS-SEGMENT'!$BF$92*'ANALYSE - ERP =&gt; SOUS-SEGMENT'!$JB$92</f>
        <v>906.72</v>
      </c>
      <c r="L54" s="458">
        <f>'ANALYSE - ERP =&gt; SOUS-SEGMENT'!$BF$92*'ANALYSE - ERP =&gt; SOUS-SEGMENT'!$JC$92</f>
        <v>288</v>
      </c>
      <c r="N54" s="458">
        <f>'ANALYSE - ERP =&gt; SOUS-SEGMENT'!$FD$92*'ANALYSE - ERP =&gt; SOUS-SEGMENT'!$JD$92</f>
        <v>0</v>
      </c>
      <c r="O54" s="458">
        <f>'ANALYSE - ERP =&gt; SOUS-SEGMENT'!$FD$92*'ANALYSE - ERP =&gt; SOUS-SEGMENT'!$JE$92</f>
        <v>0</v>
      </c>
      <c r="P54" s="458">
        <f>'ANALYSE - ERP =&gt; SOUS-SEGMENT'!$FD$92*'ANALYSE - ERP =&gt; SOUS-SEGMENT'!$JF$92</f>
        <v>141.29877389399999</v>
      </c>
      <c r="Q54" s="458">
        <f>'ANALYSE - ERP =&gt; SOUS-SEGMENT'!$FD$92*'ANALYSE - ERP =&gt; SOUS-SEGMENT'!$JG$92</f>
        <v>435.90209985599995</v>
      </c>
      <c r="R54" s="458">
        <f>'ANALYSE - ERP =&gt; SOUS-SEGMENT'!$FD$92*'ANALYSE - ERP =&gt; SOUS-SEGMENT'!$JH$92</f>
        <v>192.40029124999998</v>
      </c>
      <c r="T54" s="430">
        <f>'ANALYSE - ERP =&gt; SOUS-SEGMENT'!$Q$92</f>
        <v>1</v>
      </c>
    </row>
    <row r="55" spans="1:20" ht="15" customHeight="1">
      <c r="A55" s="26">
        <v>52</v>
      </c>
      <c r="B55" s="26">
        <v>52</v>
      </c>
      <c r="C55" s="422">
        <f>'ANALYSE - ERP =&gt; SOUS-SEGMENT'!$A$124</f>
        <v>117</v>
      </c>
      <c r="D55" s="417" t="str">
        <f>'ANALYSE - ERP =&gt; SOUS-SEGMENT'!$B$124</f>
        <v>Transport, Mobilité &amp; Stationnement</v>
      </c>
      <c r="E55" s="417" t="str">
        <f>'ANALYSE - ERP =&gt; SOUS-SEGMENT'!$C$124</f>
        <v>Transport / Mobilité</v>
      </c>
      <c r="F55" s="417" t="str">
        <f>'ANALYSE - ERP =&gt; SOUS-SEGMENT'!$D$124</f>
        <v>Aéroports / aérogares
(&gt;1 000 passagers/an)</v>
      </c>
      <c r="H55" s="458">
        <f>'ANALYSE - ERP =&gt; SOUS-SEGMENT'!$BF$124*'ANALYSE - ERP =&gt; SOUS-SEGMENT'!$IY$124</f>
        <v>0</v>
      </c>
      <c r="I55" s="458">
        <f>'ANALYSE - ERP =&gt; SOUS-SEGMENT'!$BF$124*'ANALYSE - ERP =&gt; SOUS-SEGMENT'!$IZ$124</f>
        <v>77.256</v>
      </c>
      <c r="J55" s="458">
        <f>'ANALYSE - ERP =&gt; SOUS-SEGMENT'!$BF$124*'ANALYSE - ERP =&gt; SOUS-SEGMENT'!$JA$124</f>
        <v>394.62720000000002</v>
      </c>
      <c r="K55" s="458">
        <f>'ANALYSE - ERP =&gt; SOUS-SEGMENT'!$BF$124*'ANALYSE - ERP =&gt; SOUS-SEGMENT'!$JB$124</f>
        <v>372.60479999999995</v>
      </c>
      <c r="L55" s="458">
        <f>'ANALYSE - ERP =&gt; SOUS-SEGMENT'!$BF$124*'ANALYSE - ERP =&gt; SOUS-SEGMENT'!$JC$124</f>
        <v>43.512</v>
      </c>
      <c r="N55" s="458">
        <f>'ANALYSE - ERP =&gt; SOUS-SEGMENT'!$FD$124*'ANALYSE - ERP =&gt; SOUS-SEGMENT'!$JD$124</f>
        <v>0</v>
      </c>
      <c r="O55" s="458">
        <f>'ANALYSE - ERP =&gt; SOUS-SEGMENT'!$FD$124*'ANALYSE - ERP =&gt; SOUS-SEGMENT'!$JE$124</f>
        <v>24.315528917309997</v>
      </c>
      <c r="P55" s="458">
        <f>'ANALYSE - ERP =&gt; SOUS-SEGMENT'!$FD$124*'ANALYSE - ERP =&gt; SOUS-SEGMENT'!$JF$124</f>
        <v>146.73164001825</v>
      </c>
      <c r="Q55" s="458">
        <f>'ANALYSE - ERP =&gt; SOUS-SEGMENT'!$FD$124*'ANALYSE - ERP =&gt; SOUS-SEGMENT'!$JG$124</f>
        <v>254.74585569554998</v>
      </c>
      <c r="R55" s="458">
        <f>'ANALYSE - ERP =&gt; SOUS-SEGMENT'!$FD$124*'ANALYSE - ERP =&gt; SOUS-SEGMENT'!$JH$124</f>
        <v>67.422572068889991</v>
      </c>
      <c r="T55" s="430">
        <f>'ANALYSE - ERP =&gt; SOUS-SEGMENT'!$Q$124</f>
        <v>1</v>
      </c>
    </row>
    <row r="56" spans="1:20" ht="15" customHeight="1">
      <c r="A56" s="26">
        <v>53</v>
      </c>
      <c r="B56" s="26">
        <v>53</v>
      </c>
      <c r="C56" s="422">
        <f>'ANALYSE - ERP =&gt; SOUS-SEGMENT'!$A$47</f>
        <v>40</v>
      </c>
      <c r="D56" s="413" t="str">
        <f>'ANALYSE - ERP =&gt; SOUS-SEGMENT'!$B$47</f>
        <v>Santé &amp; Médico-social</v>
      </c>
      <c r="E56" s="413" t="str">
        <f>'ANALYSE - ERP =&gt; SOUS-SEGMENT'!$C$47</f>
        <v>Santé hospitalière</v>
      </c>
      <c r="F56" s="413" t="str">
        <f>'ANALYSE - ERP =&gt; SOUS-SEGMENT'!$D$47</f>
        <v>Hôpitaux d’instruction des armées et centres médicaux recevant du public</v>
      </c>
      <c r="H56" s="458">
        <f>'ANALYSE - ERP =&gt; SOUS-SEGMENT'!$BF$47*'ANALYSE - ERP =&gt; SOUS-SEGMENT'!$IY$47</f>
        <v>0</v>
      </c>
      <c r="I56" s="458">
        <f>'ANALYSE - ERP =&gt; SOUS-SEGMENT'!$BF$47*'ANALYSE - ERP =&gt; SOUS-SEGMENT'!$IZ$47</f>
        <v>302.05439999999999</v>
      </c>
      <c r="J56" s="458">
        <f>'ANALYSE - ERP =&gt; SOUS-SEGMENT'!$BF$47*'ANALYSE - ERP =&gt; SOUS-SEGMENT'!$JA$47</f>
        <v>501.96480000000003</v>
      </c>
      <c r="K56" s="458">
        <f>'ANALYSE - ERP =&gt; SOUS-SEGMENT'!$BF$47*'ANALYSE - ERP =&gt; SOUS-SEGMENT'!$JB$47</f>
        <v>106.43039999999999</v>
      </c>
      <c r="L56" s="458">
        <f>'ANALYSE - ERP =&gt; SOUS-SEGMENT'!$BF$47*'ANALYSE - ERP =&gt; SOUS-SEGMENT'!$JC$47</f>
        <v>1.5504</v>
      </c>
      <c r="N56" s="458">
        <f>'ANALYSE - ERP =&gt; SOUS-SEGMENT'!$FD$47*'ANALYSE - ERP =&gt; SOUS-SEGMENT'!$JD$47</f>
        <v>0</v>
      </c>
      <c r="O56" s="458">
        <f>'ANALYSE - ERP =&gt; SOUS-SEGMENT'!$FD$47*'ANALYSE - ERP =&gt; SOUS-SEGMENT'!$JE$47</f>
        <v>74.599329878908364</v>
      </c>
      <c r="P56" s="458">
        <f>'ANALYSE - ERP =&gt; SOUS-SEGMENT'!$FD$47*'ANALYSE - ERP =&gt; SOUS-SEGMENT'!$JF$47</f>
        <v>234.3987396300829</v>
      </c>
      <c r="Q56" s="458">
        <f>'ANALYSE - ERP =&gt; SOUS-SEGMENT'!$FD$47*'ANALYSE - ERP =&gt; SOUS-SEGMENT'!$JG$47</f>
        <v>82.59915236460219</v>
      </c>
      <c r="R56" s="458">
        <f>'ANALYSE - ERP =&gt; SOUS-SEGMENT'!$FD$47*'ANALYSE - ERP =&gt; SOUS-SEGMENT'!$JH$47</f>
        <v>2.482703530042909</v>
      </c>
      <c r="T56" s="430">
        <f>'ANALYSE - ERP =&gt; SOUS-SEGMENT'!$Q$47</f>
        <v>1</v>
      </c>
    </row>
    <row r="57" spans="1:20" ht="15" customHeight="1">
      <c r="A57" s="26">
        <v>54</v>
      </c>
      <c r="B57" s="26">
        <v>54</v>
      </c>
      <c r="C57" s="422">
        <f>'ANALYSE - ERP =&gt; SOUS-SEGMENT'!$A$132</f>
        <v>125</v>
      </c>
      <c r="D57" s="417" t="str">
        <f>'ANALYSE - ERP =&gt; SOUS-SEGMENT'!$B$132</f>
        <v>Sécurité &amp; Justice</v>
      </c>
      <c r="E57" s="417" t="str">
        <f>'ANALYSE - ERP =&gt; SOUS-SEGMENT'!$C$132</f>
        <v xml:space="preserve">Commissariats / postes de police </v>
      </c>
      <c r="F57" s="417" t="str">
        <f>'ANALYSE - ERP =&gt; SOUS-SEGMENT'!$D$132</f>
        <v>Locaux de sûreté, garde à vue et zones opérationnelles</v>
      </c>
      <c r="H57" s="458">
        <f>'ANALYSE - ERP =&gt; SOUS-SEGMENT'!$BF$132*'ANALYSE - ERP =&gt; SOUS-SEGMENT'!$IY$132</f>
        <v>42.827199999999998</v>
      </c>
      <c r="I57" s="458">
        <f>'ANALYSE - ERP =&gt; SOUS-SEGMENT'!$BF$132*'ANALYSE - ERP =&gt; SOUS-SEGMENT'!$IZ$132</f>
        <v>330.97359999999998</v>
      </c>
      <c r="J57" s="458">
        <f>'ANALYSE - ERP =&gt; SOUS-SEGMENT'!$BF$132*'ANALYSE - ERP =&gt; SOUS-SEGMENT'!$JA$132</f>
        <v>194.19919999999999</v>
      </c>
      <c r="K57" s="458">
        <f>'ANALYSE - ERP =&gt; SOUS-SEGMENT'!$BF$132*'ANALYSE - ERP =&gt; SOUS-SEGMENT'!$JB$132</f>
        <v>0</v>
      </c>
      <c r="L57" s="458">
        <f>'ANALYSE - ERP =&gt; SOUS-SEGMENT'!$BF$132*'ANALYSE - ERP =&gt; SOUS-SEGMENT'!$JC$132</f>
        <v>0</v>
      </c>
      <c r="N57" s="458">
        <f>'ANALYSE - ERP =&gt; SOUS-SEGMENT'!$FD$132*'ANALYSE - ERP =&gt; SOUS-SEGMENT'!$JD$132</f>
        <v>11.426670394999997</v>
      </c>
      <c r="O57" s="458">
        <f>'ANALYSE - ERP =&gt; SOUS-SEGMENT'!$FD$132*'ANALYSE - ERP =&gt; SOUS-SEGMENT'!$JE$132</f>
        <v>126.56642331899998</v>
      </c>
      <c r="P57" s="458">
        <f>'ANALYSE - ERP =&gt; SOUS-SEGMENT'!$FD$132*'ANALYSE - ERP =&gt; SOUS-SEGMENT'!$JF$132</f>
        <v>118.78601628599998</v>
      </c>
      <c r="Q57" s="458">
        <f>'ANALYSE - ERP =&gt; SOUS-SEGMENT'!$FD$132*'ANALYSE - ERP =&gt; SOUS-SEGMENT'!$JG$132</f>
        <v>0</v>
      </c>
      <c r="R57" s="458">
        <f>'ANALYSE - ERP =&gt; SOUS-SEGMENT'!$FD$132*'ANALYSE - ERP =&gt; SOUS-SEGMENT'!$JH$132</f>
        <v>0</v>
      </c>
      <c r="T57" s="430">
        <f>'ANALYSE - ERP =&gt; SOUS-SEGMENT'!$Q$132</f>
        <v>1</v>
      </c>
    </row>
    <row r="58" spans="1:20" ht="15" customHeight="1">
      <c r="A58" s="26">
        <v>55</v>
      </c>
      <c r="B58" s="26">
        <v>55</v>
      </c>
      <c r="C58" s="422">
        <f>'ANALYSE - ERP =&gt; SOUS-SEGMENT'!$A$127</f>
        <v>120</v>
      </c>
      <c r="D58" s="417" t="str">
        <f>'ANALYSE - ERP =&gt; SOUS-SEGMENT'!$B$127</f>
        <v>Transport, Mobilité &amp; Stationnement</v>
      </c>
      <c r="E58" s="417" t="str">
        <f>'ANALYSE - ERP =&gt; SOUS-SEGMENT'!$C$127</f>
        <v>Transport / Mobilité</v>
      </c>
      <c r="F58" s="417" t="str">
        <f>'ANALYSE - ERP =&gt; SOUS-SEGMENT'!$D$127</f>
        <v>Terminaux maritimes / fluviaux</v>
      </c>
      <c r="H58" s="458">
        <f>'ANALYSE - ERP =&gt; SOUS-SEGMENT'!$BF$127*'ANALYSE - ERP =&gt; SOUS-SEGMENT'!$IY$127</f>
        <v>0</v>
      </c>
      <c r="I58" s="458">
        <f>'ANALYSE - ERP =&gt; SOUS-SEGMENT'!$BF$127*'ANALYSE - ERP =&gt; SOUS-SEGMENT'!$IZ$127</f>
        <v>50.126400000000004</v>
      </c>
      <c r="J58" s="458">
        <f>'ANALYSE - ERP =&gt; SOUS-SEGMENT'!$BF$127*'ANALYSE - ERP =&gt; SOUS-SEGMENT'!$JA$127</f>
        <v>228.92</v>
      </c>
      <c r="K58" s="458">
        <f>'ANALYSE - ERP =&gt; SOUS-SEGMENT'!$BF$127*'ANALYSE - ERP =&gt; SOUS-SEGMENT'!$JB$127</f>
        <v>178.0856</v>
      </c>
      <c r="L58" s="458">
        <f>'ANALYSE - ERP =&gt; SOUS-SEGMENT'!$BF$127*'ANALYSE - ERP =&gt; SOUS-SEGMENT'!$JC$127</f>
        <v>14.868</v>
      </c>
      <c r="N58" s="458">
        <f>'ANALYSE - ERP =&gt; SOUS-SEGMENT'!$FD$127*'ANALYSE - ERP =&gt; SOUS-SEGMENT'!$JD$127</f>
        <v>0</v>
      </c>
      <c r="O58" s="458">
        <f>'ANALYSE - ERP =&gt; SOUS-SEGMENT'!$FD$127*'ANALYSE - ERP =&gt; SOUS-SEGMENT'!$JE$127</f>
        <v>13.664529879770003</v>
      </c>
      <c r="P58" s="458">
        <f>'ANALYSE - ERP =&gt; SOUS-SEGMENT'!$FD$127*'ANALYSE - ERP =&gt; SOUS-SEGMENT'!$JF$127</f>
        <v>82.012530911050021</v>
      </c>
      <c r="Q58" s="458">
        <f>'ANALYSE - ERP =&gt; SOUS-SEGMENT'!$FD$127*'ANALYSE - ERP =&gt; SOUS-SEGMENT'!$JG$127</f>
        <v>128.07644703636001</v>
      </c>
      <c r="R58" s="458">
        <f>'ANALYSE - ERP =&gt; SOUS-SEGMENT'!$FD$127*'ANALYSE - ERP =&gt; SOUS-SEGMENT'!$JH$127</f>
        <v>29.762816472820006</v>
      </c>
      <c r="T58" s="430">
        <f>'ANALYSE - ERP =&gt; SOUS-SEGMENT'!$Q$127</f>
        <v>1</v>
      </c>
    </row>
    <row r="59" spans="1:20" ht="15" customHeight="1">
      <c r="A59" s="26">
        <v>56</v>
      </c>
      <c r="B59" s="26">
        <v>56</v>
      </c>
      <c r="C59" s="422">
        <f>'ANALYSE - ERP =&gt; SOUS-SEGMENT'!$A$121</f>
        <v>114</v>
      </c>
      <c r="D59" s="417" t="str">
        <f>'ANALYSE - ERP =&gt; SOUS-SEGMENT'!$B$121</f>
        <v>Transport, Mobilité &amp; Stationnement</v>
      </c>
      <c r="E59" s="417" t="str">
        <f>'ANALYSE - ERP =&gt; SOUS-SEGMENT'!$C$121</f>
        <v>Transport / Mobilité</v>
      </c>
      <c r="F59" s="417" t="str">
        <f>'ANALYSE - ERP =&gt; SOUS-SEGMENT'!$D$121</f>
        <v>Aires de service - Autoroutes
(Hors Aires de repos)</v>
      </c>
      <c r="H59" s="458">
        <f>'ANALYSE - ERP =&gt; SOUS-SEGMENT'!$BF$121*'ANALYSE - ERP =&gt; SOUS-SEGMENT'!$IY$121</f>
        <v>12.8832</v>
      </c>
      <c r="I59" s="458">
        <f>'ANALYSE - ERP =&gt; SOUS-SEGMENT'!$BF$121*'ANALYSE - ERP =&gt; SOUS-SEGMENT'!$IZ$121</f>
        <v>176.19239999999999</v>
      </c>
      <c r="J59" s="458">
        <f>'ANALYSE - ERP =&gt; SOUS-SEGMENT'!$BF$121*'ANALYSE - ERP =&gt; SOUS-SEGMENT'!$JA$121</f>
        <v>151.30439999999999</v>
      </c>
      <c r="K59" s="458">
        <f>'ANALYSE - ERP =&gt; SOUS-SEGMENT'!$BF$121*'ANALYSE - ERP =&gt; SOUS-SEGMENT'!$JB$121</f>
        <v>14.64</v>
      </c>
      <c r="L59" s="458">
        <f>'ANALYSE - ERP =&gt; SOUS-SEGMENT'!$BF$121*'ANALYSE - ERP =&gt; SOUS-SEGMENT'!$JC$121</f>
        <v>10.98</v>
      </c>
      <c r="N59" s="458">
        <f>'ANALYSE - ERP =&gt; SOUS-SEGMENT'!$FD$121*'ANALYSE - ERP =&gt; SOUS-SEGMENT'!$JD$121</f>
        <v>1.4871440730299998</v>
      </c>
      <c r="O59" s="458">
        <f>'ANALYSE - ERP =&gt; SOUS-SEGMENT'!$FD$121*'ANALYSE - ERP =&gt; SOUS-SEGMENT'!$JE$121</f>
        <v>69.084601938029991</v>
      </c>
      <c r="P59" s="458">
        <f>'ANALYSE - ERP =&gt; SOUS-SEGMENT'!$FD$121*'ANALYSE - ERP =&gt; SOUS-SEGMENT'!$JF$121</f>
        <v>101.47344103505998</v>
      </c>
      <c r="Q59" s="458">
        <f>'ANALYSE - ERP =&gt; SOUS-SEGMENT'!$FD$121*'ANALYSE - ERP =&gt; SOUS-SEGMENT'!$JG$121</f>
        <v>15.296339036879999</v>
      </c>
      <c r="R59" s="458">
        <f>'ANALYSE - ERP =&gt; SOUS-SEGMENT'!$FD$121*'ANALYSE - ERP =&gt; SOUS-SEGMENT'!$JH$121</f>
        <v>5.7940678169999993</v>
      </c>
      <c r="T59" s="430">
        <f>'ANALYSE - ERP =&gt; SOUS-SEGMENT'!$Q$121</f>
        <v>1</v>
      </c>
    </row>
    <row r="60" spans="1:20" ht="15" customHeight="1">
      <c r="A60" s="26">
        <v>57</v>
      </c>
      <c r="B60" s="26">
        <v>59</v>
      </c>
      <c r="C60" s="422">
        <f>'ANALYSE - ERP =&gt; SOUS-SEGMENT'!$A$144</f>
        <v>137</v>
      </c>
      <c r="D60" s="417" t="str">
        <f>'ANALYSE - ERP =&gt; SOUS-SEGMENT'!$B$144</f>
        <v>Sécurité &amp; Justice</v>
      </c>
      <c r="E60" s="417" t="str">
        <f>'ANALYSE - ERP =&gt; SOUS-SEGMENT'!$C$144</f>
        <v>Univers carcéral</v>
      </c>
      <c r="F60" s="417" t="str">
        <f>'ANALYSE - ERP =&gt; SOUS-SEGMENT'!$D$144</f>
        <v>Centres éducatifs fermés</v>
      </c>
      <c r="H60" s="458">
        <f>'ANALYSE - ERP =&gt; SOUS-SEGMENT'!$BF$144*'ANALYSE - ERP =&gt; SOUS-SEGMENT'!$IY$144</f>
        <v>19.662499999999998</v>
      </c>
      <c r="I60" s="458">
        <f>'ANALYSE - ERP =&gt; SOUS-SEGMENT'!$BF$144*'ANALYSE - ERP =&gt; SOUS-SEGMENT'!$IZ$144</f>
        <v>157.57499999999999</v>
      </c>
      <c r="J60" s="458">
        <f>'ANALYSE - ERP =&gt; SOUS-SEGMENT'!$BF$144*'ANALYSE - ERP =&gt; SOUS-SEGMENT'!$JA$144</f>
        <v>93.637500000000003</v>
      </c>
      <c r="K60" s="458">
        <f>'ANALYSE - ERP =&gt; SOUS-SEGMENT'!$BF$144*'ANALYSE - ERP =&gt; SOUS-SEGMENT'!$JB$144</f>
        <v>4.125</v>
      </c>
      <c r="L60" s="458">
        <f>'ANALYSE - ERP =&gt; SOUS-SEGMENT'!$BF$144*'ANALYSE - ERP =&gt; SOUS-SEGMENT'!$JC$144</f>
        <v>0</v>
      </c>
      <c r="N60" s="458">
        <f>'ANALYSE - ERP =&gt; SOUS-SEGMENT'!$FD$144*'ANALYSE - ERP =&gt; SOUS-SEGMENT'!$JD$144</f>
        <v>3.0045153999999998</v>
      </c>
      <c r="O60" s="458">
        <f>'ANALYSE - ERP =&gt; SOUS-SEGMENT'!$FD$144*'ANALYSE - ERP =&gt; SOUS-SEGMENT'!$JE$144</f>
        <v>72.108369600000003</v>
      </c>
      <c r="P60" s="458">
        <f>'ANALYSE - ERP =&gt; SOUS-SEGMENT'!$FD$144*'ANALYSE - ERP =&gt; SOUS-SEGMENT'!$JF$144</f>
        <v>128.61976955000003</v>
      </c>
      <c r="Q60" s="458">
        <f>'ANALYSE - ERP =&gt; SOUS-SEGMENT'!$FD$144*'ANALYSE - ERP =&gt; SOUS-SEGMENT'!$JG$144</f>
        <v>17.010859249999999</v>
      </c>
      <c r="R60" s="458">
        <f>'ANALYSE - ERP =&gt; SOUS-SEGMENT'!$FD$144*'ANALYSE - ERP =&gt; SOUS-SEGMENT'!$JH$144</f>
        <v>0.17673620000000001</v>
      </c>
      <c r="T60" s="430">
        <f>'ANALYSE - ERP =&gt; SOUS-SEGMENT'!$Q$144</f>
        <v>1</v>
      </c>
    </row>
    <row r="61" spans="1:20" ht="15" customHeight="1">
      <c r="A61" s="26">
        <v>58</v>
      </c>
      <c r="B61" s="26">
        <v>58</v>
      </c>
      <c r="C61" s="422">
        <f>'ANALYSE - ERP =&gt; SOUS-SEGMENT'!$A$72</f>
        <v>65</v>
      </c>
      <c r="D61" s="417" t="str">
        <f>'ANALYSE - ERP =&gt; SOUS-SEGMENT'!$B$72</f>
        <v>Culture, Patrimoine &amp; Evénementiel</v>
      </c>
      <c r="E61" s="417" t="str">
        <f>'ANALYSE - ERP =&gt; SOUS-SEGMENT'!$C$72</f>
        <v>Événementiel temporaire</v>
      </c>
      <c r="F61" s="417" t="str">
        <f>'ANALYSE - ERP =&gt; SOUS-SEGMENT'!$D$72</f>
        <v>Chapiteaux / Tentes / Structures</v>
      </c>
      <c r="H61" s="458">
        <f>'ANALYSE - ERP =&gt; SOUS-SEGMENT'!$BF$72*'ANALYSE - ERP =&gt; SOUS-SEGMENT'!$IY$72</f>
        <v>0</v>
      </c>
      <c r="I61" s="458">
        <f>'ANALYSE - ERP =&gt; SOUS-SEGMENT'!$BF$72*'ANALYSE - ERP =&gt; SOUS-SEGMENT'!$IZ$72</f>
        <v>0</v>
      </c>
      <c r="J61" s="458">
        <f>'ANALYSE - ERP =&gt; SOUS-SEGMENT'!$BF$72*'ANALYSE - ERP =&gt; SOUS-SEGMENT'!$JA$72</f>
        <v>0</v>
      </c>
      <c r="K61" s="458">
        <f>'ANALYSE - ERP =&gt; SOUS-SEGMENT'!$BF$72*'ANALYSE - ERP =&gt; SOUS-SEGMENT'!$JB$72</f>
        <v>0</v>
      </c>
      <c r="L61" s="458">
        <f>'ANALYSE - ERP =&gt; SOUS-SEGMENT'!$BF$72*'ANALYSE - ERP =&gt; SOUS-SEGMENT'!$JC$72</f>
        <v>0</v>
      </c>
      <c r="N61" s="458">
        <f>'ANALYSE - ERP =&gt; SOUS-SEGMENT'!$FD$72*'ANALYSE - ERP =&gt; SOUS-SEGMENT'!$JD$72</f>
        <v>0</v>
      </c>
      <c r="O61" s="458">
        <f>'ANALYSE - ERP =&gt; SOUS-SEGMENT'!$FD$72*'ANALYSE - ERP =&gt; SOUS-SEGMENT'!$JE$72</f>
        <v>0</v>
      </c>
      <c r="P61" s="458">
        <f>'ANALYSE - ERP =&gt; SOUS-SEGMENT'!$FD$72*'ANALYSE - ERP =&gt; SOUS-SEGMENT'!$JF$72</f>
        <v>0</v>
      </c>
      <c r="Q61" s="458">
        <f>'ANALYSE - ERP =&gt; SOUS-SEGMENT'!$FD$72*'ANALYSE - ERP =&gt; SOUS-SEGMENT'!$JG$72</f>
        <v>0</v>
      </c>
      <c r="R61" s="458">
        <f>'ANALYSE - ERP =&gt; SOUS-SEGMENT'!$FD$72*'ANALYSE - ERP =&gt; SOUS-SEGMENT'!$JH$72</f>
        <v>0</v>
      </c>
      <c r="T61" s="430">
        <f>'ANALYSE - ERP =&gt; SOUS-SEGMENT'!$Q$72</f>
        <v>1</v>
      </c>
    </row>
    <row r="62" spans="1:20" s="45" customFormat="1" ht="15" customHeight="1">
      <c r="A62" s="406">
        <v>59</v>
      </c>
      <c r="B62" s="406">
        <v>57</v>
      </c>
      <c r="C62" s="448">
        <f>'ANALYSE - ERP =&gt; SOUS-SEGMENT'!$A$16</f>
        <v>9</v>
      </c>
      <c r="D62" s="449" t="str">
        <f>'ANALYSE - ERP =&gt; SOUS-SEGMENT'!$B$16</f>
        <v>Enfance, Enseignement, Jeunesse &amp; Formation</v>
      </c>
      <c r="E62" s="449" t="str">
        <f>'ANALYSE - ERP =&gt; SOUS-SEGMENT'!$C$16</f>
        <v>Enseignement supérieur</v>
      </c>
      <c r="F62" s="449" t="str">
        <f>'ANALYSE - ERP =&gt; SOUS-SEGMENT'!$D$16</f>
        <v>Universités</v>
      </c>
      <c r="G62" s="685"/>
      <c r="H62" s="459">
        <f>'ANALYSE - ERP =&gt; SOUS-SEGMENT'!$BF$16*'ANALYSE - ERP =&gt; SOUS-SEGMENT'!$IY$16</f>
        <v>8.8919999999999995</v>
      </c>
      <c r="I62" s="459">
        <f>'ANALYSE - ERP =&gt; SOUS-SEGMENT'!$BF$16*'ANALYSE - ERP =&gt; SOUS-SEGMENT'!$IZ$16</f>
        <v>138.34799999999998</v>
      </c>
      <c r="J62" s="459">
        <f>'ANALYSE - ERP =&gt; SOUS-SEGMENT'!$BF$16*'ANALYSE - ERP =&gt; SOUS-SEGMENT'!$JA$16</f>
        <v>175.06800000000001</v>
      </c>
      <c r="K62" s="459">
        <f>'ANALYSE - ERP =&gt; SOUS-SEGMENT'!$BF$16*'ANALYSE - ERP =&gt; SOUS-SEGMENT'!$JB$16</f>
        <v>37.08</v>
      </c>
      <c r="L62" s="459">
        <f>'ANALYSE - ERP =&gt; SOUS-SEGMENT'!$BF$16*'ANALYSE - ERP =&gt; SOUS-SEGMENT'!$JC$16</f>
        <v>0.61199999999999999</v>
      </c>
      <c r="M62" s="685"/>
      <c r="N62" s="459">
        <f>'ANALYSE - ERP =&gt; SOUS-SEGMENT'!$FD$16*'ANALYSE - ERP =&gt; SOUS-SEGMENT'!$JD$16</f>
        <v>0</v>
      </c>
      <c r="O62" s="459">
        <f>'ANALYSE - ERP =&gt; SOUS-SEGMENT'!$FD$16*'ANALYSE - ERP =&gt; SOUS-SEGMENT'!$JE$16</f>
        <v>17.778094757568002</v>
      </c>
      <c r="P62" s="459">
        <f>'ANALYSE - ERP =&gt; SOUS-SEGMENT'!$FD$16*'ANALYSE - ERP =&gt; SOUS-SEGMENT'!$JF$16</f>
        <v>47.585413571328004</v>
      </c>
      <c r="Q62" s="459">
        <f>'ANALYSE - ERP =&gt; SOUS-SEGMENT'!$FD$16*'ANALYSE - ERP =&gt; SOUS-SEGMENT'!$JG$16</f>
        <v>21.746498569920004</v>
      </c>
      <c r="R62" s="459">
        <f>'ANALYSE - ERP =&gt; SOUS-SEGMENT'!$FD$16*'ANALYSE - ERP =&gt; SOUS-SEGMENT'!$JH$16</f>
        <v>1.4704353411840001</v>
      </c>
      <c r="S62" s="685"/>
      <c r="T62" s="450">
        <f>'ANALYSE - ERP =&gt; SOUS-SEGMENT'!$Q$16</f>
        <v>1</v>
      </c>
    </row>
    <row r="63" spans="1:20" ht="15" customHeight="1">
      <c r="A63" s="26">
        <v>60</v>
      </c>
      <c r="B63" s="26">
        <v>60</v>
      </c>
      <c r="C63" s="422">
        <f>'ANALYSE - ERP =&gt; SOUS-SEGMENT'!$A$17</f>
        <v>10</v>
      </c>
      <c r="D63" s="417" t="str">
        <f>'ANALYSE - ERP =&gt; SOUS-SEGMENT'!$B$17</f>
        <v>Enfance, Enseignement, Jeunesse &amp; Formation</v>
      </c>
      <c r="E63" s="417" t="str">
        <f>'ANALYSE - ERP =&gt; SOUS-SEGMENT'!$C$17</f>
        <v>Enseignement supérieur</v>
      </c>
      <c r="F63" s="417" t="str">
        <f>'ANALYSE - ERP =&gt; SOUS-SEGMENT'!$D$17</f>
        <v>Grandes écoles</v>
      </c>
      <c r="H63" s="458">
        <f>'ANALYSE - ERP =&gt; SOUS-SEGMENT'!$BF$17*'ANALYSE - ERP =&gt; SOUS-SEGMENT'!$IY$17</f>
        <v>0</v>
      </c>
      <c r="I63" s="458">
        <f>'ANALYSE - ERP =&gt; SOUS-SEGMENT'!$BF$17*'ANALYSE - ERP =&gt; SOUS-SEGMENT'!$IZ$17</f>
        <v>70.342400000000012</v>
      </c>
      <c r="J63" s="458">
        <f>'ANALYSE - ERP =&gt; SOUS-SEGMENT'!$BF$17*'ANALYSE - ERP =&gt; SOUS-SEGMENT'!$JA$17</f>
        <v>242.95039999999997</v>
      </c>
      <c r="K63" s="458">
        <f>'ANALYSE - ERP =&gt; SOUS-SEGMENT'!$BF$17*'ANALYSE - ERP =&gt; SOUS-SEGMENT'!$JB$17</f>
        <v>136.46239999999997</v>
      </c>
      <c r="L63" s="458">
        <f>'ANALYSE - ERP =&gt; SOUS-SEGMENT'!$BF$17*'ANALYSE - ERP =&gt; SOUS-SEGMENT'!$JC$17</f>
        <v>14.244800000000001</v>
      </c>
      <c r="N63" s="458">
        <f>'ANALYSE - ERP =&gt; SOUS-SEGMENT'!$FD$17*'ANALYSE - ERP =&gt; SOUS-SEGMENT'!$JD$17</f>
        <v>0</v>
      </c>
      <c r="O63" s="458">
        <f>'ANALYSE - ERP =&gt; SOUS-SEGMENT'!$FD$17*'ANALYSE - ERP =&gt; SOUS-SEGMENT'!$JE$17</f>
        <v>6.3818945386559998</v>
      </c>
      <c r="P63" s="458">
        <f>'ANALYSE - ERP =&gt; SOUS-SEGMENT'!$FD$17*'ANALYSE - ERP =&gt; SOUS-SEGMENT'!$JF$17</f>
        <v>49.046512211423995</v>
      </c>
      <c r="Q63" s="458">
        <f>'ANALYSE - ERP =&gt; SOUS-SEGMENT'!$FD$17*'ANALYSE - ERP =&gt; SOUS-SEGMENT'!$JG$17</f>
        <v>56.064053616479995</v>
      </c>
      <c r="R63" s="458">
        <f>'ANALYSE - ERP =&gt; SOUS-SEGMENT'!$FD$17*'ANALYSE - ERP =&gt; SOUS-SEGMENT'!$JH$17</f>
        <v>15.63691291344</v>
      </c>
      <c r="T63" s="430">
        <f>'ANALYSE - ERP =&gt; SOUS-SEGMENT'!$Q$17</f>
        <v>1</v>
      </c>
    </row>
    <row r="64" spans="1:20" ht="15" customHeight="1">
      <c r="A64" s="26">
        <v>61</v>
      </c>
      <c r="B64" s="26">
        <v>61</v>
      </c>
      <c r="C64" s="422">
        <f>'ANALYSE - ERP =&gt; SOUS-SEGMENT'!$A$48</f>
        <v>41</v>
      </c>
      <c r="D64" s="410" t="str">
        <f>'ANALYSE - ERP =&gt; SOUS-SEGMENT'!$B$48</f>
        <v>Santé &amp; Médico-social</v>
      </c>
      <c r="E64" s="410" t="str">
        <f>'ANALYSE - ERP =&gt; SOUS-SEGMENT'!$C$48</f>
        <v>Santé hospitalière</v>
      </c>
      <c r="F64" s="410" t="str">
        <f>'ANALYSE - ERP =&gt; SOUS-SEGMENT'!$D$48</f>
        <v>Unités hospitalières sécurisées en milieu carcéral</v>
      </c>
      <c r="H64" s="458">
        <f>'ANALYSE - ERP =&gt; SOUS-SEGMENT'!$BF$48*'ANALYSE - ERP =&gt; SOUS-SEGMENT'!$IY$48</f>
        <v>9.2004000000000001</v>
      </c>
      <c r="I64" s="458">
        <f>'ANALYSE - ERP =&gt; SOUS-SEGMENT'!$BF$48*'ANALYSE - ERP =&gt; SOUS-SEGMENT'!$IZ$48</f>
        <v>103.32599999999999</v>
      </c>
      <c r="J64" s="458">
        <f>'ANALYSE - ERP =&gt; SOUS-SEGMENT'!$BF$48*'ANALYSE - ERP =&gt; SOUS-SEGMENT'!$JA$48</f>
        <v>86.128799999999998</v>
      </c>
      <c r="K64" s="458">
        <f>'ANALYSE - ERP =&gt; SOUS-SEGMENT'!$BF$48*'ANALYSE - ERP =&gt; SOUS-SEGMENT'!$JB$48</f>
        <v>5.3244000000000007</v>
      </c>
      <c r="L64" s="458">
        <f>'ANALYSE - ERP =&gt; SOUS-SEGMENT'!$BF$48*'ANALYSE - ERP =&gt; SOUS-SEGMENT'!$JC$48</f>
        <v>2.0400000000000001E-2</v>
      </c>
      <c r="N64" s="458">
        <f>'ANALYSE - ERP =&gt; SOUS-SEGMENT'!$FD$48*'ANALYSE - ERP =&gt; SOUS-SEGMENT'!$JD$48</f>
        <v>1.5121423199999999</v>
      </c>
      <c r="O64" s="458">
        <f>'ANALYSE - ERP =&gt; SOUS-SEGMENT'!$FD$48*'ANALYSE - ERP =&gt; SOUS-SEGMENT'!$JE$48</f>
        <v>37.338283440000005</v>
      </c>
      <c r="P64" s="458">
        <f>'ANALYSE - ERP =&gt; SOUS-SEGMENT'!$FD$48*'ANALYSE - ERP =&gt; SOUS-SEGMENT'!$JF$48</f>
        <v>68.151091175999994</v>
      </c>
      <c r="Q64" s="458">
        <f>'ANALYSE - ERP =&gt; SOUS-SEGMENT'!$FD$48*'ANALYSE - ERP =&gt; SOUS-SEGMENT'!$JG$48</f>
        <v>9.2240681519999992</v>
      </c>
      <c r="R64" s="458">
        <f>'ANALYSE - ERP =&gt; SOUS-SEGMENT'!$FD$48*'ANALYSE - ERP =&gt; SOUS-SEGMENT'!$JH$48</f>
        <v>9.3054912000000004E-2</v>
      </c>
      <c r="T64" s="430">
        <f>'ANALYSE - ERP =&gt; SOUS-SEGMENT'!$Q$48</f>
        <v>1</v>
      </c>
    </row>
    <row r="65" spans="1:20" s="45" customFormat="1" ht="15" customHeight="1">
      <c r="A65" s="26">
        <v>62</v>
      </c>
      <c r="B65" s="26">
        <v>62</v>
      </c>
      <c r="C65" s="422">
        <f>'ANALYSE - ERP =&gt; SOUS-SEGMENT'!$A$71</f>
        <v>64</v>
      </c>
      <c r="D65" s="410" t="str">
        <f>'ANALYSE - ERP =&gt; SOUS-SEGMENT'!$B$71</f>
        <v>Culture, Patrimoine &amp; Evénementiel</v>
      </c>
      <c r="E65" s="410" t="str">
        <f>'ANALYSE - ERP =&gt; SOUS-SEGMENT'!$C$71</f>
        <v>Expositions / salons</v>
      </c>
      <c r="F65" s="410" t="str">
        <f>'ANALYSE - ERP =&gt; SOUS-SEGMENT'!$D$71</f>
        <v>Halls d’exposition</v>
      </c>
      <c r="G65" s="685"/>
      <c r="H65" s="458">
        <f>'ANALYSE - ERP =&gt; SOUS-SEGMENT'!$BF$71*'ANALYSE - ERP =&gt; SOUS-SEGMENT'!$IY$71</f>
        <v>0</v>
      </c>
      <c r="I65" s="458">
        <f>'ANALYSE - ERP =&gt; SOUS-SEGMENT'!$BF$71*'ANALYSE - ERP =&gt; SOUS-SEGMENT'!$IZ$71</f>
        <v>28.309200000000001</v>
      </c>
      <c r="J65" s="458">
        <f>'ANALYSE - ERP =&gt; SOUS-SEGMENT'!$BF$71*'ANALYSE - ERP =&gt; SOUS-SEGMENT'!$JA$71</f>
        <v>92.051400000000001</v>
      </c>
      <c r="K65" s="458">
        <f>'ANALYSE - ERP =&gt; SOUS-SEGMENT'!$BF$71*'ANALYSE - ERP =&gt; SOUS-SEGMENT'!$JB$71</f>
        <v>58.534199999999998</v>
      </c>
      <c r="L65" s="458">
        <f>'ANALYSE - ERP =&gt; SOUS-SEGMENT'!$BF$71*'ANALYSE - ERP =&gt; SOUS-SEGMENT'!$JC$71</f>
        <v>7.1052</v>
      </c>
      <c r="M65" s="685"/>
      <c r="N65" s="458">
        <f>'ANALYSE - ERP =&gt; SOUS-SEGMENT'!$FD$71*'ANALYSE - ERP =&gt; SOUS-SEGMENT'!$JD$71</f>
        <v>0</v>
      </c>
      <c r="O65" s="458">
        <f>'ANALYSE - ERP =&gt; SOUS-SEGMENT'!$FD$71*'ANALYSE - ERP =&gt; SOUS-SEGMENT'!$JE$71</f>
        <v>5.9795361818653845</v>
      </c>
      <c r="P65" s="458">
        <f>'ANALYSE - ERP =&gt; SOUS-SEGMENT'!$FD$71*'ANALYSE - ERP =&gt; SOUS-SEGMENT'!$JF$71</f>
        <v>30.77254943466346</v>
      </c>
      <c r="Q65" s="458">
        <f>'ANALYSE - ERP =&gt; SOUS-SEGMENT'!$FD$71*'ANALYSE - ERP =&gt; SOUS-SEGMENT'!$JG$71</f>
        <v>31.677848169576919</v>
      </c>
      <c r="R65" s="458">
        <f>'ANALYSE - ERP =&gt; SOUS-SEGMENT'!$FD$71*'ANALYSE - ERP =&gt; SOUS-SEGMENT'!$JH$71</f>
        <v>7.6455901562019228</v>
      </c>
      <c r="S65" s="685"/>
      <c r="T65" s="430">
        <f>'ANALYSE - ERP =&gt; SOUS-SEGMENT'!$Q$71</f>
        <v>1</v>
      </c>
    </row>
    <row r="66" spans="1:20" ht="15" customHeight="1">
      <c r="A66" s="26">
        <v>63</v>
      </c>
      <c r="B66" s="26">
        <v>63</v>
      </c>
      <c r="C66" s="422">
        <f>'ANALYSE - ERP =&gt; SOUS-SEGMENT'!$A$138</f>
        <v>131</v>
      </c>
      <c r="D66" s="417" t="str">
        <f>'ANALYSE - ERP =&gt; SOUS-SEGMENT'!$B$138</f>
        <v>Sécurité &amp; Justice</v>
      </c>
      <c r="E66" s="417" t="str">
        <f>'ANALYSE - ERP =&gt; SOUS-SEGMENT'!$C$138</f>
        <v>Forces armées</v>
      </c>
      <c r="F66" s="417" t="str">
        <f>'ANALYSE - ERP =&gt; SOUS-SEGMENT'!$D$138</f>
        <v>Salles de conférence, auditoriums et espaces événementiels ouverts au public</v>
      </c>
      <c r="H66" s="458">
        <f>'ANALYSE - ERP =&gt; SOUS-SEGMENT'!$BF$138*'ANALYSE - ERP =&gt; SOUS-SEGMENT'!$IY$138</f>
        <v>0.48000000000000004</v>
      </c>
      <c r="I66" s="458">
        <f>'ANALYSE - ERP =&gt; SOUS-SEGMENT'!$BF$138*'ANALYSE - ERP =&gt; SOUS-SEGMENT'!$IZ$138</f>
        <v>52.815000000000005</v>
      </c>
      <c r="J66" s="458">
        <f>'ANALYSE - ERP =&gt; SOUS-SEGMENT'!$BF$138*'ANALYSE - ERP =&gt; SOUS-SEGMENT'!$JA$138</f>
        <v>80.430000000000007</v>
      </c>
      <c r="K66" s="458">
        <f>'ANALYSE - ERP =&gt; SOUS-SEGMENT'!$BF$138*'ANALYSE - ERP =&gt; SOUS-SEGMENT'!$JB$138</f>
        <v>16.065000000000001</v>
      </c>
      <c r="L66" s="458">
        <f>'ANALYSE - ERP =&gt; SOUS-SEGMENT'!$BF$138*'ANALYSE - ERP =&gt; SOUS-SEGMENT'!$JC$138</f>
        <v>0.21</v>
      </c>
      <c r="N66" s="458">
        <f>'ANALYSE - ERP =&gt; SOUS-SEGMENT'!$FD$138*'ANALYSE - ERP =&gt; SOUS-SEGMENT'!$JD$138</f>
        <v>0</v>
      </c>
      <c r="O66" s="458">
        <f>'ANALYSE - ERP =&gt; SOUS-SEGMENT'!$FD$138*'ANALYSE - ERP =&gt; SOUS-SEGMENT'!$JE$138</f>
        <v>16.519207401136363</v>
      </c>
      <c r="P66" s="458">
        <f>'ANALYSE - ERP =&gt; SOUS-SEGMENT'!$FD$138*'ANALYSE - ERP =&gt; SOUS-SEGMENT'!$JF$138</f>
        <v>40.523454439772721</v>
      </c>
      <c r="Q66" s="458">
        <f>'ANALYSE - ERP =&gt; SOUS-SEGMENT'!$FD$138*'ANALYSE - ERP =&gt; SOUS-SEGMENT'!$JG$138</f>
        <v>14.731195031249998</v>
      </c>
      <c r="R66" s="458">
        <f>'ANALYSE - ERP =&gt; SOUS-SEGMENT'!$FD$138*'ANALYSE - ERP =&gt; SOUS-SEGMENT'!$JH$138</f>
        <v>0.61530790056818185</v>
      </c>
      <c r="T66" s="430">
        <f>'ANALYSE - ERP =&gt; SOUS-SEGMENT'!$Q$138</f>
        <v>1</v>
      </c>
    </row>
    <row r="67" spans="1:20" ht="15" customHeight="1">
      <c r="A67" s="26">
        <v>64</v>
      </c>
      <c r="B67" s="26">
        <v>64</v>
      </c>
      <c r="C67" s="422">
        <f>'ANALYSE - ERP =&gt; SOUS-SEGMENT'!$A$141</f>
        <v>134</v>
      </c>
      <c r="D67" s="408" t="str">
        <f>'ANALYSE - ERP =&gt; SOUS-SEGMENT'!$B$141</f>
        <v>Sécurité &amp; Justice</v>
      </c>
      <c r="E67" s="408" t="str">
        <f>'ANALYSE - ERP =&gt; SOUS-SEGMENT'!$C$141</f>
        <v>Univers carcéral</v>
      </c>
      <c r="F67" s="408" t="str">
        <f>'ANALYSE - ERP =&gt; SOUS-SEGMENT'!$D$141</f>
        <v>Maisons centrales</v>
      </c>
      <c r="H67" s="458">
        <f>'ANALYSE - ERP =&gt; SOUS-SEGMENT'!$BF$141*'ANALYSE - ERP =&gt; SOUS-SEGMENT'!$IY$141</f>
        <v>35.22</v>
      </c>
      <c r="I67" s="458">
        <f>'ANALYSE - ERP =&gt; SOUS-SEGMENT'!$BF$141*'ANALYSE - ERP =&gt; SOUS-SEGMENT'!$IZ$141</f>
        <v>76.320000000000007</v>
      </c>
      <c r="J67" s="458">
        <f>'ANALYSE - ERP =&gt; SOUS-SEGMENT'!$BF$141*'ANALYSE - ERP =&gt; SOUS-SEGMENT'!$JA$141</f>
        <v>8.4599999999999991</v>
      </c>
      <c r="K67" s="458">
        <f>'ANALYSE - ERP =&gt; SOUS-SEGMENT'!$BF$141*'ANALYSE - ERP =&gt; SOUS-SEGMENT'!$JB$141</f>
        <v>0</v>
      </c>
      <c r="L67" s="458">
        <f>'ANALYSE - ERP =&gt; SOUS-SEGMENT'!$BF$141*'ANALYSE - ERP =&gt; SOUS-SEGMENT'!$JC$141</f>
        <v>0</v>
      </c>
      <c r="N67" s="458">
        <f>'ANALYSE - ERP =&gt; SOUS-SEGMENT'!$FD$141*'ANALYSE - ERP =&gt; SOUS-SEGMENT'!$JD$141</f>
        <v>12.307437600000002</v>
      </c>
      <c r="O67" s="458">
        <f>'ANALYSE - ERP =&gt; SOUS-SEGMENT'!$FD$141*'ANALYSE - ERP =&gt; SOUS-SEGMENT'!$JE$141</f>
        <v>43.16717280000001</v>
      </c>
      <c r="P67" s="458">
        <f>'ANALYSE - ERP =&gt; SOUS-SEGMENT'!$FD$141*'ANALYSE - ERP =&gt; SOUS-SEGMENT'!$JF$141</f>
        <v>12.037389600000001</v>
      </c>
      <c r="Q67" s="458">
        <f>'ANALYSE - ERP =&gt; SOUS-SEGMENT'!$FD$141*'ANALYSE - ERP =&gt; SOUS-SEGMENT'!$JG$141</f>
        <v>0</v>
      </c>
      <c r="R67" s="458">
        <f>'ANALYSE - ERP =&gt; SOUS-SEGMENT'!$FD$141*'ANALYSE - ERP =&gt; SOUS-SEGMENT'!$JH$141</f>
        <v>0</v>
      </c>
      <c r="T67" s="430">
        <f>'ANALYSE - ERP =&gt; SOUS-SEGMENT'!$Q$141</f>
        <v>1</v>
      </c>
    </row>
    <row r="68" spans="1:20" ht="15" customHeight="1">
      <c r="A68" s="26">
        <v>65</v>
      </c>
      <c r="B68" s="26">
        <v>65</v>
      </c>
      <c r="C68" s="422">
        <f>'ANALYSE - ERP =&gt; SOUS-SEGMENT'!$A$143</f>
        <v>136</v>
      </c>
      <c r="D68" s="412" t="str">
        <f>'ANALYSE - ERP =&gt; SOUS-SEGMENT'!$B$143</f>
        <v>Sécurité &amp; Justice</v>
      </c>
      <c r="E68" s="412" t="str">
        <f>'ANALYSE - ERP =&gt; SOUS-SEGMENT'!$C$143</f>
        <v>Univers carcéral</v>
      </c>
      <c r="F68" s="412" t="str">
        <f>'ANALYSE - ERP =&gt; SOUS-SEGMENT'!$D$143</f>
        <v>Centres de semi-liberté</v>
      </c>
      <c r="H68" s="458">
        <f>'ANALYSE - ERP =&gt; SOUS-SEGMENT'!$BF$143*'ANALYSE - ERP =&gt; SOUS-SEGMENT'!$IY$143</f>
        <v>5.8112000000000004</v>
      </c>
      <c r="I68" s="458">
        <f>'ANALYSE - ERP =&gt; SOUS-SEGMENT'!$BF$143*'ANALYSE - ERP =&gt; SOUS-SEGMENT'!$IZ$143</f>
        <v>34.527999999999999</v>
      </c>
      <c r="J68" s="458">
        <f>'ANALYSE - ERP =&gt; SOUS-SEGMENT'!$BF$143*'ANALYSE - ERP =&gt; SOUS-SEGMENT'!$JA$143</f>
        <v>22.118400000000001</v>
      </c>
      <c r="K68" s="458">
        <f>'ANALYSE - ERP =&gt; SOUS-SEGMENT'!$BF$143*'ANALYSE - ERP =&gt; SOUS-SEGMENT'!$JB$143</f>
        <v>1.5296000000000001</v>
      </c>
      <c r="L68" s="458">
        <f>'ANALYSE - ERP =&gt; SOUS-SEGMENT'!$BF$143*'ANALYSE - ERP =&gt; SOUS-SEGMENT'!$JC$143</f>
        <v>1.2800000000000001E-2</v>
      </c>
      <c r="N68" s="458">
        <f>'ANALYSE - ERP =&gt; SOUS-SEGMENT'!$FD$143*'ANALYSE - ERP =&gt; SOUS-SEGMENT'!$JD$143</f>
        <v>2.2407475200000002</v>
      </c>
      <c r="O68" s="458">
        <f>'ANALYSE - ERP =&gt; SOUS-SEGMENT'!$FD$143*'ANALYSE - ERP =&gt; SOUS-SEGMENT'!$JE$143</f>
        <v>20.974330431999999</v>
      </c>
      <c r="P68" s="458">
        <f>'ANALYSE - ERP =&gt; SOUS-SEGMENT'!$FD$143*'ANALYSE - ERP =&gt; SOUS-SEGMENT'!$JF$143</f>
        <v>21.142386496</v>
      </c>
      <c r="Q68" s="458">
        <f>'ANALYSE - ERP =&gt; SOUS-SEGMENT'!$FD$143*'ANALYSE - ERP =&gt; SOUS-SEGMENT'!$JG$143</f>
        <v>2.2967662080000002</v>
      </c>
      <c r="R68" s="458">
        <f>'ANALYSE - ERP =&gt; SOUS-SEGMENT'!$FD$143*'ANALYSE - ERP =&gt; SOUS-SEGMENT'!$JH$143</f>
        <v>2.8009343999999999E-2</v>
      </c>
      <c r="T68" s="430">
        <f>'ANALYSE - ERP =&gt; SOUS-SEGMENT'!$Q$143</f>
        <v>1</v>
      </c>
    </row>
    <row r="69" spans="1:20" ht="15" customHeight="1">
      <c r="A69" s="26">
        <v>66</v>
      </c>
      <c r="B69" s="26">
        <v>66</v>
      </c>
      <c r="C69" s="422">
        <f>'ANALYSE - ERP =&gt; SOUS-SEGMENT'!$A$35</f>
        <v>28</v>
      </c>
      <c r="D69" s="415" t="str">
        <f>'ANALYSE - ERP =&gt; SOUS-SEGMENT'!$B$35</f>
        <v>Sports &amp; Loisirs</v>
      </c>
      <c r="E69" s="415" t="str">
        <f>'ANALYSE - ERP =&gt; SOUS-SEGMENT'!$C$35</f>
        <v>Loisirs de plein air</v>
      </c>
      <c r="F69" s="415" t="str">
        <f>'ANALYSE - ERP =&gt; SOUS-SEGMENT'!$D$35</f>
        <v>Centres de loisirs sans hébergement</v>
      </c>
      <c r="H69" s="458">
        <f>'ANALYSE - ERP =&gt; SOUS-SEGMENT'!$BF$35*'ANALYSE - ERP =&gt; SOUS-SEGMENT'!$IY$35</f>
        <v>0</v>
      </c>
      <c r="I69" s="458">
        <f>'ANALYSE - ERP =&gt; SOUS-SEGMENT'!$BF$35*'ANALYSE - ERP =&gt; SOUS-SEGMENT'!$IZ$35</f>
        <v>0</v>
      </c>
      <c r="J69" s="458">
        <f>'ANALYSE - ERP =&gt; SOUS-SEGMENT'!$BF$35*'ANALYSE - ERP =&gt; SOUS-SEGMENT'!$JA$35</f>
        <v>0</v>
      </c>
      <c r="K69" s="458">
        <f>'ANALYSE - ERP =&gt; SOUS-SEGMENT'!$BF$35*'ANALYSE - ERP =&gt; SOUS-SEGMENT'!$JB$35</f>
        <v>0</v>
      </c>
      <c r="L69" s="458">
        <f>'ANALYSE - ERP =&gt; SOUS-SEGMENT'!$BF$35*'ANALYSE - ERP =&gt; SOUS-SEGMENT'!$JC$35</f>
        <v>0</v>
      </c>
      <c r="N69" s="458">
        <f>'ANALYSE - ERP =&gt; SOUS-SEGMENT'!$FD$35*'ANALYSE - ERP =&gt; SOUS-SEGMENT'!$JD$35</f>
        <v>0</v>
      </c>
      <c r="O69" s="458">
        <f>'ANALYSE - ERP =&gt; SOUS-SEGMENT'!$FD$35*'ANALYSE - ERP =&gt; SOUS-SEGMENT'!$JE$35</f>
        <v>0</v>
      </c>
      <c r="P69" s="458">
        <f>'ANALYSE - ERP =&gt; SOUS-SEGMENT'!$FD$35*'ANALYSE - ERP =&gt; SOUS-SEGMENT'!$JF$35</f>
        <v>0</v>
      </c>
      <c r="Q69" s="458">
        <f>'ANALYSE - ERP =&gt; SOUS-SEGMENT'!$FD$35*'ANALYSE - ERP =&gt; SOUS-SEGMENT'!$JG$35</f>
        <v>0</v>
      </c>
      <c r="R69" s="458">
        <f>'ANALYSE - ERP =&gt; SOUS-SEGMENT'!$FD$35*'ANALYSE - ERP =&gt; SOUS-SEGMENT'!$JH$35</f>
        <v>0</v>
      </c>
      <c r="T69" s="430">
        <f>'ANALYSE - ERP =&gt; SOUS-SEGMENT'!$Q$35</f>
        <v>1</v>
      </c>
    </row>
    <row r="70" spans="1:20" ht="15" customHeight="1">
      <c r="A70" s="26">
        <v>67</v>
      </c>
      <c r="B70" s="26">
        <v>67</v>
      </c>
      <c r="C70" s="422">
        <f>'ANALYSE - ERP =&gt; SOUS-SEGMENT'!$A$53</f>
        <v>46</v>
      </c>
      <c r="D70" s="411" t="str">
        <f>'ANALYSE - ERP =&gt; SOUS-SEGMENT'!$B$53</f>
        <v>Santé &amp; Médico-social</v>
      </c>
      <c r="E70" s="411" t="str">
        <f>'ANALYSE - ERP =&gt; SOUS-SEGMENT'!$C$53</f>
        <v>Santé ambulatoire</v>
      </c>
      <c r="F70" s="411" t="str">
        <f>'ANALYSE - ERP =&gt; SOUS-SEGMENT'!$D$53</f>
        <v>Centres de santé / Centres médicaux</v>
      </c>
      <c r="H70" s="458">
        <f>'ANALYSE - ERP =&gt; SOUS-SEGMENT'!$BF$53*'ANALYSE - ERP =&gt; SOUS-SEGMENT'!$IY$53</f>
        <v>0</v>
      </c>
      <c r="I70" s="458">
        <f>'ANALYSE - ERP =&gt; SOUS-SEGMENT'!$BF$53*'ANALYSE - ERP =&gt; SOUS-SEGMENT'!$IZ$53</f>
        <v>0</v>
      </c>
      <c r="J70" s="458">
        <f>'ANALYSE - ERP =&gt; SOUS-SEGMENT'!$BF$53*'ANALYSE - ERP =&gt; SOUS-SEGMENT'!$JA$53</f>
        <v>0</v>
      </c>
      <c r="K70" s="458">
        <f>'ANALYSE - ERP =&gt; SOUS-SEGMENT'!$BF$53*'ANALYSE - ERP =&gt; SOUS-SEGMENT'!$JB$53</f>
        <v>0</v>
      </c>
      <c r="L70" s="458">
        <f>'ANALYSE - ERP =&gt; SOUS-SEGMENT'!$BF$53*'ANALYSE - ERP =&gt; SOUS-SEGMENT'!$JC$53</f>
        <v>0</v>
      </c>
      <c r="N70" s="458">
        <f>'ANALYSE - ERP =&gt; SOUS-SEGMENT'!$FD$53*'ANALYSE - ERP =&gt; SOUS-SEGMENT'!$JD$53</f>
        <v>0</v>
      </c>
      <c r="O70" s="458">
        <f>'ANALYSE - ERP =&gt; SOUS-SEGMENT'!$FD$53*'ANALYSE - ERP =&gt; SOUS-SEGMENT'!$JE$53</f>
        <v>0</v>
      </c>
      <c r="P70" s="458">
        <f>'ANALYSE - ERP =&gt; SOUS-SEGMENT'!$FD$53*'ANALYSE - ERP =&gt; SOUS-SEGMENT'!$JF$53</f>
        <v>0</v>
      </c>
      <c r="Q70" s="458">
        <f>'ANALYSE - ERP =&gt; SOUS-SEGMENT'!$FD$53*'ANALYSE - ERP =&gt; SOUS-SEGMENT'!$JG$53</f>
        <v>0</v>
      </c>
      <c r="R70" s="458">
        <f>'ANALYSE - ERP =&gt; SOUS-SEGMENT'!$FD$53*'ANALYSE - ERP =&gt; SOUS-SEGMENT'!$JH$53</f>
        <v>0</v>
      </c>
      <c r="T70" s="430">
        <f>'ANALYSE - ERP =&gt; SOUS-SEGMENT'!$Q$53</f>
        <v>1</v>
      </c>
    </row>
    <row r="71" spans="1:20" ht="15" customHeight="1">
      <c r="A71" s="26">
        <v>68</v>
      </c>
      <c r="B71" s="26">
        <v>68</v>
      </c>
      <c r="C71" s="422">
        <f>'ANALYSE - ERP =&gt; SOUS-SEGMENT'!$A$54</f>
        <v>47</v>
      </c>
      <c r="D71" s="415" t="str">
        <f>'ANALYSE - ERP =&gt; SOUS-SEGMENT'!$B$54</f>
        <v>Santé &amp; Médico-social</v>
      </c>
      <c r="E71" s="415" t="str">
        <f>'ANALYSE - ERP =&gt; SOUS-SEGMENT'!$C$54</f>
        <v>Santé ambulatoire</v>
      </c>
      <c r="F71" s="415" t="str">
        <f>'ANALYSE - ERP =&gt; SOUS-SEGMENT'!$D$54</f>
        <v>Maisons de santé</v>
      </c>
      <c r="H71" s="458">
        <f>'ANALYSE - ERP =&gt; SOUS-SEGMENT'!$BF$54*'ANALYSE - ERP =&gt; SOUS-SEGMENT'!$IY$54</f>
        <v>0</v>
      </c>
      <c r="I71" s="458">
        <f>'ANALYSE - ERP =&gt; SOUS-SEGMENT'!$BF$54*'ANALYSE - ERP =&gt; SOUS-SEGMENT'!$IZ$54</f>
        <v>0</v>
      </c>
      <c r="J71" s="458">
        <f>'ANALYSE - ERP =&gt; SOUS-SEGMENT'!$BF$54*'ANALYSE - ERP =&gt; SOUS-SEGMENT'!$JA$54</f>
        <v>0</v>
      </c>
      <c r="K71" s="458">
        <f>'ANALYSE - ERP =&gt; SOUS-SEGMENT'!$BF$54*'ANALYSE - ERP =&gt; SOUS-SEGMENT'!$JB$54</f>
        <v>0</v>
      </c>
      <c r="L71" s="458">
        <f>'ANALYSE - ERP =&gt; SOUS-SEGMENT'!$BF$54*'ANALYSE - ERP =&gt; SOUS-SEGMENT'!$JC$54</f>
        <v>0</v>
      </c>
      <c r="N71" s="458">
        <f>'ANALYSE - ERP =&gt; SOUS-SEGMENT'!$FD$54*'ANALYSE - ERP =&gt; SOUS-SEGMENT'!$JD$54</f>
        <v>0</v>
      </c>
      <c r="O71" s="458">
        <f>'ANALYSE - ERP =&gt; SOUS-SEGMENT'!$FD$54*'ANALYSE - ERP =&gt; SOUS-SEGMENT'!$JE$54</f>
        <v>0</v>
      </c>
      <c r="P71" s="458">
        <f>'ANALYSE - ERP =&gt; SOUS-SEGMENT'!$FD$54*'ANALYSE - ERP =&gt; SOUS-SEGMENT'!$JF$54</f>
        <v>0</v>
      </c>
      <c r="Q71" s="458">
        <f>'ANALYSE - ERP =&gt; SOUS-SEGMENT'!$FD$54*'ANALYSE - ERP =&gt; SOUS-SEGMENT'!$JG$54</f>
        <v>0</v>
      </c>
      <c r="R71" s="458">
        <f>'ANALYSE - ERP =&gt; SOUS-SEGMENT'!$FD$54*'ANALYSE - ERP =&gt; SOUS-SEGMENT'!$JH$54</f>
        <v>0</v>
      </c>
      <c r="T71" s="430">
        <f>'ANALYSE - ERP =&gt; SOUS-SEGMENT'!$Q$54</f>
        <v>1</v>
      </c>
    </row>
    <row r="72" spans="1:20" ht="15" customHeight="1">
      <c r="A72" s="26">
        <v>69</v>
      </c>
      <c r="B72" s="26">
        <v>69</v>
      </c>
      <c r="C72" s="422">
        <f>'ANALYSE - ERP =&gt; SOUS-SEGMENT'!$A$62</f>
        <v>55</v>
      </c>
      <c r="D72" s="408" t="str">
        <f>'ANALYSE - ERP =&gt; SOUS-SEGMENT'!$B$62</f>
        <v>Culture, Patrimoine &amp; Evénementiel</v>
      </c>
      <c r="E72" s="408" t="str">
        <f>'ANALYSE - ERP =&gt; SOUS-SEGMENT'!$C$62</f>
        <v>Culture / spectacle</v>
      </c>
      <c r="F72" s="408" t="str">
        <f>'ANALYSE - ERP =&gt; SOUS-SEGMENT'!$D$62</f>
        <v>Cinémas</v>
      </c>
      <c r="H72" s="458">
        <f>'ANALYSE - ERP =&gt; SOUS-SEGMENT'!$BF$62*'ANALYSE - ERP =&gt; SOUS-SEGMENT'!$IY$62</f>
        <v>0</v>
      </c>
      <c r="I72" s="458">
        <f>'ANALYSE - ERP =&gt; SOUS-SEGMENT'!$BF$62*'ANALYSE - ERP =&gt; SOUS-SEGMENT'!$IZ$62</f>
        <v>0</v>
      </c>
      <c r="J72" s="458">
        <f>'ANALYSE - ERP =&gt; SOUS-SEGMENT'!$BF$62*'ANALYSE - ERP =&gt; SOUS-SEGMENT'!$JA$62</f>
        <v>0</v>
      </c>
      <c r="K72" s="458">
        <f>'ANALYSE - ERP =&gt; SOUS-SEGMENT'!$BF$62*'ANALYSE - ERP =&gt; SOUS-SEGMENT'!$JB$62</f>
        <v>0</v>
      </c>
      <c r="L72" s="458">
        <f>'ANALYSE - ERP =&gt; SOUS-SEGMENT'!$BF$62*'ANALYSE - ERP =&gt; SOUS-SEGMENT'!$JC$62</f>
        <v>0</v>
      </c>
      <c r="N72" s="458">
        <f>'ANALYSE - ERP =&gt; SOUS-SEGMENT'!$FD$62*'ANALYSE - ERP =&gt; SOUS-SEGMENT'!$JD$62</f>
        <v>0</v>
      </c>
      <c r="O72" s="458">
        <f>'ANALYSE - ERP =&gt; SOUS-SEGMENT'!$FD$62*'ANALYSE - ERP =&gt; SOUS-SEGMENT'!$JE$62</f>
        <v>0</v>
      </c>
      <c r="P72" s="458">
        <f>'ANALYSE - ERP =&gt; SOUS-SEGMENT'!$FD$62*'ANALYSE - ERP =&gt; SOUS-SEGMENT'!$JF$62</f>
        <v>0</v>
      </c>
      <c r="Q72" s="458">
        <f>'ANALYSE - ERP =&gt; SOUS-SEGMENT'!$FD$62*'ANALYSE - ERP =&gt; SOUS-SEGMENT'!$JG$62</f>
        <v>0</v>
      </c>
      <c r="R72" s="458">
        <f>'ANALYSE - ERP =&gt; SOUS-SEGMENT'!$FD$62*'ANALYSE - ERP =&gt; SOUS-SEGMENT'!$JH$62</f>
        <v>0</v>
      </c>
      <c r="T72" s="430">
        <f>'ANALYSE - ERP =&gt; SOUS-SEGMENT'!$Q$62</f>
        <v>1</v>
      </c>
    </row>
    <row r="73" spans="1:20" s="45" customFormat="1" ht="15" customHeight="1">
      <c r="A73" s="26">
        <v>70</v>
      </c>
      <c r="B73" s="26">
        <v>70</v>
      </c>
      <c r="C73" s="422">
        <f>'ANALYSE - ERP =&gt; SOUS-SEGMENT'!$A$63</f>
        <v>56</v>
      </c>
      <c r="D73" s="410" t="str">
        <f>'ANALYSE - ERP =&gt; SOUS-SEGMENT'!$B$63</f>
        <v>Culture, Patrimoine &amp; Evénementiel</v>
      </c>
      <c r="E73" s="410" t="str">
        <f>'ANALYSE - ERP =&gt; SOUS-SEGMENT'!$C$63</f>
        <v>Culture / spectacle</v>
      </c>
      <c r="F73" s="410" t="str">
        <f>'ANALYSE - ERP =&gt; SOUS-SEGMENT'!$D$63</f>
        <v>Théâtres</v>
      </c>
      <c r="G73" s="685"/>
      <c r="H73" s="458">
        <f>'ANALYSE - ERP =&gt; SOUS-SEGMENT'!$BF$63*'ANALYSE - ERP =&gt; SOUS-SEGMENT'!$IY$63</f>
        <v>0</v>
      </c>
      <c r="I73" s="458">
        <f>'ANALYSE - ERP =&gt; SOUS-SEGMENT'!$BF$63*'ANALYSE - ERP =&gt; SOUS-SEGMENT'!$IZ$63</f>
        <v>0</v>
      </c>
      <c r="J73" s="458">
        <f>'ANALYSE - ERP =&gt; SOUS-SEGMENT'!$BF$63*'ANALYSE - ERP =&gt; SOUS-SEGMENT'!$JA$63</f>
        <v>0</v>
      </c>
      <c r="K73" s="458">
        <f>'ANALYSE - ERP =&gt; SOUS-SEGMENT'!$BF$63*'ANALYSE - ERP =&gt; SOUS-SEGMENT'!$JB$63</f>
        <v>0</v>
      </c>
      <c r="L73" s="458">
        <f>'ANALYSE - ERP =&gt; SOUS-SEGMENT'!$BF$63*'ANALYSE - ERP =&gt; SOUS-SEGMENT'!$JC$63</f>
        <v>0</v>
      </c>
      <c r="M73" s="685"/>
      <c r="N73" s="458">
        <f>'ANALYSE - ERP =&gt; SOUS-SEGMENT'!$FD$63*'ANALYSE - ERP =&gt; SOUS-SEGMENT'!$JD$63</f>
        <v>0</v>
      </c>
      <c r="O73" s="458">
        <f>'ANALYSE - ERP =&gt; SOUS-SEGMENT'!$FD$63*'ANALYSE - ERP =&gt; SOUS-SEGMENT'!$JE$63</f>
        <v>0</v>
      </c>
      <c r="P73" s="458">
        <f>'ANALYSE - ERP =&gt; SOUS-SEGMENT'!$FD$63*'ANALYSE - ERP =&gt; SOUS-SEGMENT'!$JF$63</f>
        <v>0</v>
      </c>
      <c r="Q73" s="458">
        <f>'ANALYSE - ERP =&gt; SOUS-SEGMENT'!$FD$63*'ANALYSE - ERP =&gt; SOUS-SEGMENT'!$JG$63</f>
        <v>0</v>
      </c>
      <c r="R73" s="458">
        <f>'ANALYSE - ERP =&gt; SOUS-SEGMENT'!$FD$63*'ANALYSE - ERP =&gt; SOUS-SEGMENT'!$JH$63</f>
        <v>0</v>
      </c>
      <c r="S73" s="685"/>
      <c r="T73" s="430">
        <f>'ANALYSE - ERP =&gt; SOUS-SEGMENT'!$Q$63</f>
        <v>1</v>
      </c>
    </row>
    <row r="74" spans="1:20" ht="15" customHeight="1">
      <c r="A74" s="26">
        <v>71</v>
      </c>
      <c r="B74" s="26">
        <v>71</v>
      </c>
      <c r="C74" s="422">
        <f>'ANALYSE - ERP =&gt; SOUS-SEGMENT'!$A$64</f>
        <v>57</v>
      </c>
      <c r="D74" s="417" t="str">
        <f>'ANALYSE - ERP =&gt; SOUS-SEGMENT'!$B$64</f>
        <v>Culture, Patrimoine &amp; Evénementiel</v>
      </c>
      <c r="E74" s="417" t="str">
        <f>'ANALYSE - ERP =&gt; SOUS-SEGMENT'!$C$64</f>
        <v>Culture / spectacle</v>
      </c>
      <c r="F74" s="417" t="str">
        <f>'ANALYSE - ERP =&gt; SOUS-SEGMENT'!$D$64</f>
        <v>Musées</v>
      </c>
      <c r="H74" s="458">
        <f>'ANALYSE - ERP =&gt; SOUS-SEGMENT'!$BF$64*'ANALYSE - ERP =&gt; SOUS-SEGMENT'!$IY$64</f>
        <v>0</v>
      </c>
      <c r="I74" s="458">
        <f>'ANALYSE - ERP =&gt; SOUS-SEGMENT'!$BF$64*'ANALYSE - ERP =&gt; SOUS-SEGMENT'!$IZ$64</f>
        <v>0</v>
      </c>
      <c r="J74" s="458">
        <f>'ANALYSE - ERP =&gt; SOUS-SEGMENT'!$BF$64*'ANALYSE - ERP =&gt; SOUS-SEGMENT'!$JA$64</f>
        <v>0</v>
      </c>
      <c r="K74" s="458">
        <f>'ANALYSE - ERP =&gt; SOUS-SEGMENT'!$BF$64*'ANALYSE - ERP =&gt; SOUS-SEGMENT'!$JB$64</f>
        <v>0</v>
      </c>
      <c r="L74" s="458">
        <f>'ANALYSE - ERP =&gt; SOUS-SEGMENT'!$BF$64*'ANALYSE - ERP =&gt; SOUS-SEGMENT'!$JC$64</f>
        <v>0</v>
      </c>
      <c r="N74" s="458">
        <f>'ANALYSE - ERP =&gt; SOUS-SEGMENT'!$FD$64*'ANALYSE - ERP =&gt; SOUS-SEGMENT'!$JD$64</f>
        <v>0</v>
      </c>
      <c r="O74" s="458">
        <f>'ANALYSE - ERP =&gt; SOUS-SEGMENT'!$FD$64*'ANALYSE - ERP =&gt; SOUS-SEGMENT'!$JE$64</f>
        <v>0</v>
      </c>
      <c r="P74" s="458">
        <f>'ANALYSE - ERP =&gt; SOUS-SEGMENT'!$FD$64*'ANALYSE - ERP =&gt; SOUS-SEGMENT'!$JF$64</f>
        <v>0</v>
      </c>
      <c r="Q74" s="458">
        <f>'ANALYSE - ERP =&gt; SOUS-SEGMENT'!$FD$64*'ANALYSE - ERP =&gt; SOUS-SEGMENT'!$JG$64</f>
        <v>0</v>
      </c>
      <c r="R74" s="458">
        <f>'ANALYSE - ERP =&gt; SOUS-SEGMENT'!$FD$64*'ANALYSE - ERP =&gt; SOUS-SEGMENT'!$JH$64</f>
        <v>0</v>
      </c>
      <c r="T74" s="430">
        <f>'ANALYSE - ERP =&gt; SOUS-SEGMENT'!$Q$64</f>
        <v>1</v>
      </c>
    </row>
    <row r="75" spans="1:20" ht="15" customHeight="1">
      <c r="A75" s="26">
        <v>72</v>
      </c>
      <c r="B75" s="26">
        <v>72</v>
      </c>
      <c r="C75" s="422">
        <f>'ANALYSE - ERP =&gt; SOUS-SEGMENT'!$A$68</f>
        <v>61</v>
      </c>
      <c r="D75" s="410" t="str">
        <f>'ANALYSE - ERP =&gt; SOUS-SEGMENT'!$B$68</f>
        <v>Culture, Patrimoine &amp; Evénementiel</v>
      </c>
      <c r="E75" s="410" t="str">
        <f>'ANALYSE - ERP =&gt; SOUS-SEGMENT'!$C$68</f>
        <v>Culture / spectacle</v>
      </c>
      <c r="F75" s="410" t="str">
        <f>'ANALYSE - ERP =&gt; SOUS-SEGMENT'!$D$68</f>
        <v>Bibliothèques / Médiathèques</v>
      </c>
      <c r="H75" s="458">
        <f>'ANALYSE - ERP =&gt; SOUS-SEGMENT'!$BF$68*'ANALYSE - ERP =&gt; SOUS-SEGMENT'!$IY$68</f>
        <v>0</v>
      </c>
      <c r="I75" s="458">
        <f>'ANALYSE - ERP =&gt; SOUS-SEGMENT'!$BF$68*'ANALYSE - ERP =&gt; SOUS-SEGMENT'!$IZ$68</f>
        <v>0</v>
      </c>
      <c r="J75" s="458">
        <f>'ANALYSE - ERP =&gt; SOUS-SEGMENT'!$BF$68*'ANALYSE - ERP =&gt; SOUS-SEGMENT'!$JA$68</f>
        <v>0</v>
      </c>
      <c r="K75" s="458">
        <f>'ANALYSE - ERP =&gt; SOUS-SEGMENT'!$BF$68*'ANALYSE - ERP =&gt; SOUS-SEGMENT'!$JB$68</f>
        <v>0</v>
      </c>
      <c r="L75" s="458">
        <f>'ANALYSE - ERP =&gt; SOUS-SEGMENT'!$BF$68*'ANALYSE - ERP =&gt; SOUS-SEGMENT'!$JC$68</f>
        <v>0</v>
      </c>
      <c r="N75" s="458">
        <f>'ANALYSE - ERP =&gt; SOUS-SEGMENT'!$FD$68*'ANALYSE - ERP =&gt; SOUS-SEGMENT'!$JD$68</f>
        <v>0</v>
      </c>
      <c r="O75" s="458">
        <f>'ANALYSE - ERP =&gt; SOUS-SEGMENT'!$FD$68*'ANALYSE - ERP =&gt; SOUS-SEGMENT'!$JE$68</f>
        <v>0</v>
      </c>
      <c r="P75" s="458">
        <f>'ANALYSE - ERP =&gt; SOUS-SEGMENT'!$FD$68*'ANALYSE - ERP =&gt; SOUS-SEGMENT'!$JF$68</f>
        <v>0</v>
      </c>
      <c r="Q75" s="458">
        <f>'ANALYSE - ERP =&gt; SOUS-SEGMENT'!$FD$68*'ANALYSE - ERP =&gt; SOUS-SEGMENT'!$JG$68</f>
        <v>0</v>
      </c>
      <c r="R75" s="458">
        <f>'ANALYSE - ERP =&gt; SOUS-SEGMENT'!$FD$68*'ANALYSE - ERP =&gt; SOUS-SEGMENT'!$JH$68</f>
        <v>0</v>
      </c>
      <c r="T75" s="430">
        <f>'ANALYSE - ERP =&gt; SOUS-SEGMENT'!$Q$68</f>
        <v>1</v>
      </c>
    </row>
    <row r="76" spans="1:20" ht="15" customHeight="1">
      <c r="A76" s="26">
        <v>73</v>
      </c>
      <c r="B76" s="26">
        <v>73</v>
      </c>
      <c r="C76" s="422">
        <f>'ANALYSE - ERP =&gt; SOUS-SEGMENT'!$A$76</f>
        <v>69</v>
      </c>
      <c r="D76" s="410" t="str">
        <f>'ANALYSE - ERP =&gt; SOUS-SEGMENT'!$B$76</f>
        <v>Commerce, Restauration &amp; Loisirs</v>
      </c>
      <c r="E76" s="410" t="str">
        <f>'ANALYSE - ERP =&gt; SOUS-SEGMENT'!$C$76</f>
        <v>Restauration / boissons</v>
      </c>
      <c r="F76" s="410" t="str">
        <f>'ANALYSE - ERP =&gt; SOUS-SEGMENT'!$D$76</f>
        <v>Cafés / bars / brasseries</v>
      </c>
      <c r="H76" s="458">
        <f>'ANALYSE - ERP =&gt; SOUS-SEGMENT'!$BF$76*'ANALYSE - ERP =&gt; SOUS-SEGMENT'!$IY$76</f>
        <v>0</v>
      </c>
      <c r="I76" s="458">
        <f>'ANALYSE - ERP =&gt; SOUS-SEGMENT'!$BF$76*'ANALYSE - ERP =&gt; SOUS-SEGMENT'!$IZ$76</f>
        <v>0</v>
      </c>
      <c r="J76" s="458">
        <f>'ANALYSE - ERP =&gt; SOUS-SEGMENT'!$BF$76*'ANALYSE - ERP =&gt; SOUS-SEGMENT'!$JA$76</f>
        <v>0</v>
      </c>
      <c r="K76" s="458">
        <f>'ANALYSE - ERP =&gt; SOUS-SEGMENT'!$BF$76*'ANALYSE - ERP =&gt; SOUS-SEGMENT'!$JB$76</f>
        <v>0</v>
      </c>
      <c r="L76" s="458">
        <f>'ANALYSE - ERP =&gt; SOUS-SEGMENT'!$BF$76*'ANALYSE - ERP =&gt; SOUS-SEGMENT'!$JC$76</f>
        <v>0</v>
      </c>
      <c r="N76" s="458">
        <f>'ANALYSE - ERP =&gt; SOUS-SEGMENT'!$FD$76*'ANALYSE - ERP =&gt; SOUS-SEGMENT'!$JD$76</f>
        <v>0</v>
      </c>
      <c r="O76" s="458">
        <f>'ANALYSE - ERP =&gt; SOUS-SEGMENT'!$FD$76*'ANALYSE - ERP =&gt; SOUS-SEGMENT'!$JE$76</f>
        <v>0</v>
      </c>
      <c r="P76" s="458">
        <f>'ANALYSE - ERP =&gt; SOUS-SEGMENT'!$FD$76*'ANALYSE - ERP =&gt; SOUS-SEGMENT'!$JF$76</f>
        <v>0</v>
      </c>
      <c r="Q76" s="458">
        <f>'ANALYSE - ERP =&gt; SOUS-SEGMENT'!$FD$76*'ANALYSE - ERP =&gt; SOUS-SEGMENT'!$JG$76</f>
        <v>0</v>
      </c>
      <c r="R76" s="458">
        <f>'ANALYSE - ERP =&gt; SOUS-SEGMENT'!$FD$76*'ANALYSE - ERP =&gt; SOUS-SEGMENT'!$JH$76</f>
        <v>0</v>
      </c>
      <c r="T76" s="430">
        <f>'ANALYSE - ERP =&gt; SOUS-SEGMENT'!$Q$76</f>
        <v>1</v>
      </c>
    </row>
    <row r="77" spans="1:20" ht="15" customHeight="1">
      <c r="A77" s="26">
        <v>74</v>
      </c>
      <c r="B77" s="26">
        <v>74</v>
      </c>
      <c r="C77" s="422">
        <f>'ANALYSE - ERP =&gt; SOUS-SEGMENT'!$A$77</f>
        <v>70</v>
      </c>
      <c r="D77" s="410" t="str">
        <f>'ANALYSE - ERP =&gt; SOUS-SEGMENT'!$B$77</f>
        <v>Commerce, Restauration &amp; Loisirs</v>
      </c>
      <c r="E77" s="410" t="str">
        <f>'ANALYSE - ERP =&gt; SOUS-SEGMENT'!$C$77</f>
        <v>Restauration / boissons</v>
      </c>
      <c r="F77" s="410" t="str">
        <f>'ANALYSE - ERP =&gt; SOUS-SEGMENT'!$D$77</f>
        <v>Fast-food / Cafétérias / Food courts</v>
      </c>
      <c r="H77" s="458">
        <f>'ANALYSE - ERP =&gt; SOUS-SEGMENT'!$BF$77*'ANALYSE - ERP =&gt; SOUS-SEGMENT'!$IY$77</f>
        <v>0</v>
      </c>
      <c r="I77" s="458">
        <f>'ANALYSE - ERP =&gt; SOUS-SEGMENT'!$BF$77*'ANALYSE - ERP =&gt; SOUS-SEGMENT'!$IZ$77</f>
        <v>0</v>
      </c>
      <c r="J77" s="458">
        <f>'ANALYSE - ERP =&gt; SOUS-SEGMENT'!$BF$77*'ANALYSE - ERP =&gt; SOUS-SEGMENT'!$JA$77</f>
        <v>0</v>
      </c>
      <c r="K77" s="458">
        <f>'ANALYSE - ERP =&gt; SOUS-SEGMENT'!$BF$77*'ANALYSE - ERP =&gt; SOUS-SEGMENT'!$JB$77</f>
        <v>0</v>
      </c>
      <c r="L77" s="458">
        <f>'ANALYSE - ERP =&gt; SOUS-SEGMENT'!$BF$77*'ANALYSE - ERP =&gt; SOUS-SEGMENT'!$JC$77</f>
        <v>0</v>
      </c>
      <c r="N77" s="458">
        <f>'ANALYSE - ERP =&gt; SOUS-SEGMENT'!$FD$77*'ANALYSE - ERP =&gt; SOUS-SEGMENT'!$JD$77</f>
        <v>0</v>
      </c>
      <c r="O77" s="458">
        <f>'ANALYSE - ERP =&gt; SOUS-SEGMENT'!$FD$77*'ANALYSE - ERP =&gt; SOUS-SEGMENT'!$JE$77</f>
        <v>0</v>
      </c>
      <c r="P77" s="458">
        <f>'ANALYSE - ERP =&gt; SOUS-SEGMENT'!$FD$77*'ANALYSE - ERP =&gt; SOUS-SEGMENT'!$JF$77</f>
        <v>0</v>
      </c>
      <c r="Q77" s="458">
        <f>'ANALYSE - ERP =&gt; SOUS-SEGMENT'!$FD$77*'ANALYSE - ERP =&gt; SOUS-SEGMENT'!$JG$77</f>
        <v>0</v>
      </c>
      <c r="R77" s="458">
        <f>'ANALYSE - ERP =&gt; SOUS-SEGMENT'!$FD$77*'ANALYSE - ERP =&gt; SOUS-SEGMENT'!$JH$77</f>
        <v>0</v>
      </c>
      <c r="T77" s="430">
        <f>'ANALYSE - ERP =&gt; SOUS-SEGMENT'!$Q$77</f>
        <v>1</v>
      </c>
    </row>
    <row r="78" spans="1:20" ht="15" customHeight="1">
      <c r="A78" s="26">
        <v>75</v>
      </c>
      <c r="B78" s="26">
        <v>75</v>
      </c>
      <c r="C78" s="422">
        <f>'ANALYSE - ERP =&gt; SOUS-SEGMENT'!$A$41</f>
        <v>34</v>
      </c>
      <c r="D78" s="410" t="str">
        <f>'ANALYSE - ERP =&gt; SOUS-SEGMENT'!$B$41</f>
        <v>Sports &amp; Loisirs</v>
      </c>
      <c r="E78" s="410" t="str">
        <f>'ANALYSE - ERP =&gt; SOUS-SEGMENT'!$C$41</f>
        <v>Loisirs</v>
      </c>
      <c r="F78" s="410" t="str">
        <f>'ANALYSE - ERP =&gt; SOUS-SEGMENT'!$D$41</f>
        <v>Salles de jeux / Bowlings / Billards</v>
      </c>
      <c r="H78" s="458">
        <f>'ANALYSE - ERP =&gt; SOUS-SEGMENT'!$BF$41*'ANALYSE - ERP =&gt; SOUS-SEGMENT'!$IY$41</f>
        <v>0</v>
      </c>
      <c r="I78" s="458">
        <f>'ANALYSE - ERP =&gt; SOUS-SEGMENT'!$BF$41*'ANALYSE - ERP =&gt; SOUS-SEGMENT'!$IZ$41</f>
        <v>0</v>
      </c>
      <c r="J78" s="458">
        <f>'ANALYSE - ERP =&gt; SOUS-SEGMENT'!$BF$41*'ANALYSE - ERP =&gt; SOUS-SEGMENT'!$JA$41</f>
        <v>0</v>
      </c>
      <c r="K78" s="458">
        <f>'ANALYSE - ERP =&gt; SOUS-SEGMENT'!$BF$41*'ANALYSE - ERP =&gt; SOUS-SEGMENT'!$JB$41</f>
        <v>0</v>
      </c>
      <c r="L78" s="458">
        <f>'ANALYSE - ERP =&gt; SOUS-SEGMENT'!$BF$41*'ANALYSE - ERP =&gt; SOUS-SEGMENT'!$JC$41</f>
        <v>0</v>
      </c>
      <c r="N78" s="458">
        <f>'ANALYSE - ERP =&gt; SOUS-SEGMENT'!$FD$41*'ANALYSE - ERP =&gt; SOUS-SEGMENT'!$JD$41</f>
        <v>0</v>
      </c>
      <c r="O78" s="458">
        <f>'ANALYSE - ERP =&gt; SOUS-SEGMENT'!$FD$41*'ANALYSE - ERP =&gt; SOUS-SEGMENT'!$JE$41</f>
        <v>0</v>
      </c>
      <c r="P78" s="458">
        <f>'ANALYSE - ERP =&gt; SOUS-SEGMENT'!$FD$41*'ANALYSE - ERP =&gt; SOUS-SEGMENT'!$JF$41</f>
        <v>0</v>
      </c>
      <c r="Q78" s="458">
        <f>'ANALYSE - ERP =&gt; SOUS-SEGMENT'!$FD$41*'ANALYSE - ERP =&gt; SOUS-SEGMENT'!$JG$41</f>
        <v>0</v>
      </c>
      <c r="R78" s="458">
        <f>'ANALYSE - ERP =&gt; SOUS-SEGMENT'!$FD$41*'ANALYSE - ERP =&gt; SOUS-SEGMENT'!$JH$41</f>
        <v>0</v>
      </c>
      <c r="T78" s="430">
        <f>'ANALYSE - ERP =&gt; SOUS-SEGMENT'!$Q$41</f>
        <v>1</v>
      </c>
    </row>
    <row r="79" spans="1:20" ht="15" customHeight="1">
      <c r="A79" s="26">
        <v>76</v>
      </c>
      <c r="B79" s="26">
        <v>76</v>
      </c>
      <c r="C79" s="422">
        <f>'ANALYSE - ERP =&gt; SOUS-SEGMENT'!$A$42</f>
        <v>35</v>
      </c>
      <c r="D79" s="410" t="str">
        <f>'ANALYSE - ERP =&gt; SOUS-SEGMENT'!$B$42</f>
        <v>Sports &amp; Loisirs</v>
      </c>
      <c r="E79" s="410" t="str">
        <f>'ANALYSE - ERP =&gt; SOUS-SEGMENT'!$C$42</f>
        <v>Loisirs</v>
      </c>
      <c r="F79" s="410" t="str">
        <f>'ANALYSE - ERP =&gt; SOUS-SEGMENT'!$D$42</f>
        <v>Discothèques / Salles de danse</v>
      </c>
      <c r="H79" s="458">
        <f>'ANALYSE - ERP =&gt; SOUS-SEGMENT'!$BF$42*'ANALYSE - ERP =&gt; SOUS-SEGMENT'!$IY$42</f>
        <v>0</v>
      </c>
      <c r="I79" s="458">
        <f>'ANALYSE - ERP =&gt; SOUS-SEGMENT'!$BF$42*'ANALYSE - ERP =&gt; SOUS-SEGMENT'!$IZ$42</f>
        <v>0</v>
      </c>
      <c r="J79" s="458">
        <f>'ANALYSE - ERP =&gt; SOUS-SEGMENT'!$BF$42*'ANALYSE - ERP =&gt; SOUS-SEGMENT'!$JA$42</f>
        <v>0</v>
      </c>
      <c r="K79" s="458">
        <f>'ANALYSE - ERP =&gt; SOUS-SEGMENT'!$BF$42*'ANALYSE - ERP =&gt; SOUS-SEGMENT'!$JB$42</f>
        <v>0</v>
      </c>
      <c r="L79" s="458">
        <f>'ANALYSE - ERP =&gt; SOUS-SEGMENT'!$BF$42*'ANALYSE - ERP =&gt; SOUS-SEGMENT'!$JC$42</f>
        <v>0</v>
      </c>
      <c r="N79" s="458">
        <f>'ANALYSE - ERP =&gt; SOUS-SEGMENT'!$FD$42*'ANALYSE - ERP =&gt; SOUS-SEGMENT'!$JD$42</f>
        <v>0</v>
      </c>
      <c r="O79" s="458">
        <f>'ANALYSE - ERP =&gt; SOUS-SEGMENT'!$FD$42*'ANALYSE - ERP =&gt; SOUS-SEGMENT'!$JE$42</f>
        <v>0</v>
      </c>
      <c r="P79" s="458">
        <f>'ANALYSE - ERP =&gt; SOUS-SEGMENT'!$FD$42*'ANALYSE - ERP =&gt; SOUS-SEGMENT'!$JF$42</f>
        <v>0</v>
      </c>
      <c r="Q79" s="458">
        <f>'ANALYSE - ERP =&gt; SOUS-SEGMENT'!$FD$42*'ANALYSE - ERP =&gt; SOUS-SEGMENT'!$JG$42</f>
        <v>0</v>
      </c>
      <c r="R79" s="458">
        <f>'ANALYSE - ERP =&gt; SOUS-SEGMENT'!$FD$42*'ANALYSE - ERP =&gt; SOUS-SEGMENT'!$JH$42</f>
        <v>0</v>
      </c>
      <c r="T79" s="430">
        <f>'ANALYSE - ERP =&gt; SOUS-SEGMENT'!$Q$42</f>
        <v>1</v>
      </c>
    </row>
    <row r="80" spans="1:20" ht="15" customHeight="1">
      <c r="A80" s="26">
        <v>77</v>
      </c>
      <c r="B80" s="26">
        <v>77</v>
      </c>
      <c r="C80" s="422">
        <f>'ANALYSE - ERP =&gt; SOUS-SEGMENT'!$A$81</f>
        <v>74</v>
      </c>
      <c r="D80" s="411" t="str">
        <f>'ANALYSE - ERP =&gt; SOUS-SEGMENT'!$B$81</f>
        <v>Commerce, Restauration &amp; Loisirs</v>
      </c>
      <c r="E80" s="411" t="str">
        <f>'ANALYSE - ERP =&gt; SOUS-SEGMENT'!$C$81</f>
        <v>Commerce</v>
      </c>
      <c r="F80" s="411" t="str">
        <f>'ANALYSE - ERP =&gt; SOUS-SEGMENT'!$D$81</f>
        <v>Marchés couverts</v>
      </c>
      <c r="H80" s="458">
        <f>'ANALYSE - ERP =&gt; SOUS-SEGMENT'!$BF$81*'ANALYSE - ERP =&gt; SOUS-SEGMENT'!$IY$81</f>
        <v>0</v>
      </c>
      <c r="I80" s="458">
        <f>'ANALYSE - ERP =&gt; SOUS-SEGMENT'!$BF$81*'ANALYSE - ERP =&gt; SOUS-SEGMENT'!$IZ$81</f>
        <v>0</v>
      </c>
      <c r="J80" s="458">
        <f>'ANALYSE - ERP =&gt; SOUS-SEGMENT'!$BF$81*'ANALYSE - ERP =&gt; SOUS-SEGMENT'!$JA$81</f>
        <v>0</v>
      </c>
      <c r="K80" s="458">
        <f>'ANALYSE - ERP =&gt; SOUS-SEGMENT'!$BF$81*'ANALYSE - ERP =&gt; SOUS-SEGMENT'!$JB$81</f>
        <v>0</v>
      </c>
      <c r="L80" s="458">
        <f>'ANALYSE - ERP =&gt; SOUS-SEGMENT'!$BF$81*'ANALYSE - ERP =&gt; SOUS-SEGMENT'!$JC$81</f>
        <v>0</v>
      </c>
      <c r="N80" s="458">
        <f>'ANALYSE - ERP =&gt; SOUS-SEGMENT'!$FD$81*'ANALYSE - ERP =&gt; SOUS-SEGMENT'!$JD$81</f>
        <v>0</v>
      </c>
      <c r="O80" s="458">
        <f>'ANALYSE - ERP =&gt; SOUS-SEGMENT'!$FD$81*'ANALYSE - ERP =&gt; SOUS-SEGMENT'!$JE$81</f>
        <v>0</v>
      </c>
      <c r="P80" s="458">
        <f>'ANALYSE - ERP =&gt; SOUS-SEGMENT'!$FD$81*'ANALYSE - ERP =&gt; SOUS-SEGMENT'!$JF$81</f>
        <v>0</v>
      </c>
      <c r="Q80" s="458">
        <f>'ANALYSE - ERP =&gt; SOUS-SEGMENT'!$FD$81*'ANALYSE - ERP =&gt; SOUS-SEGMENT'!$JG$81</f>
        <v>0</v>
      </c>
      <c r="R80" s="458">
        <f>'ANALYSE - ERP =&gt; SOUS-SEGMENT'!$FD$81*'ANALYSE - ERP =&gt; SOUS-SEGMENT'!$JH$81</f>
        <v>0</v>
      </c>
      <c r="T80" s="430">
        <f>'ANALYSE - ERP =&gt; SOUS-SEGMENT'!$Q$81</f>
        <v>1</v>
      </c>
    </row>
    <row r="81" spans="1:20" ht="15" customHeight="1">
      <c r="A81" s="26">
        <v>78</v>
      </c>
      <c r="B81" s="26">
        <v>78</v>
      </c>
      <c r="C81" s="422">
        <f>'ANALYSE - ERP =&gt; SOUS-SEGMENT'!$A$82</f>
        <v>75</v>
      </c>
      <c r="D81" s="411" t="str">
        <f>'ANALYSE - ERP =&gt; SOUS-SEGMENT'!$B$82</f>
        <v>Tertiaire &amp; Industriel</v>
      </c>
      <c r="E81" s="411" t="str">
        <f>'ANALYSE - ERP =&gt; SOUS-SEGMENT'!$C$82</f>
        <v>Bureaux</v>
      </c>
      <c r="F81" s="411" t="str">
        <f>'ANALYSE - ERP =&gt; SOUS-SEGMENT'!$D$82</f>
        <v>Bureaux Tertiaire Privé (&gt;50 salariés)
(hors usines et logistique )</v>
      </c>
      <c r="H81" s="458">
        <f>'ANALYSE - ERP =&gt; SOUS-SEGMENT'!$BF$82*'ANALYSE - ERP =&gt; SOUS-SEGMENT'!$IY$82</f>
        <v>197.262</v>
      </c>
      <c r="I81" s="458">
        <f>'ANALYSE - ERP =&gt; SOUS-SEGMENT'!$BF$82*'ANALYSE - ERP =&gt; SOUS-SEGMENT'!$IZ$82</f>
        <v>2626.3665000000001</v>
      </c>
      <c r="J81" s="458">
        <f>'ANALYSE - ERP =&gt; SOUS-SEGMENT'!$BF$82*'ANALYSE - ERP =&gt; SOUS-SEGMENT'!$JA$82</f>
        <v>3127.1084999999998</v>
      </c>
      <c r="K81" s="458">
        <f>'ANALYSE - ERP =&gt; SOUS-SEGMENT'!$BF$82*'ANALYSE - ERP =&gt; SOUS-SEGMENT'!$JB$82</f>
        <v>372.39525000000003</v>
      </c>
      <c r="L81" s="458">
        <f>'ANALYSE - ERP =&gt; SOUS-SEGMENT'!$BF$82*'ANALYSE - ERP =&gt; SOUS-SEGMENT'!$JC$82</f>
        <v>0</v>
      </c>
      <c r="N81" s="458">
        <f>'ANALYSE - ERP =&gt; SOUS-SEGMENT'!$FD$82*'ANALYSE - ERP =&gt; SOUS-SEGMENT'!$JD$82</f>
        <v>22.016409779659089</v>
      </c>
      <c r="O81" s="458">
        <f>'ANALYSE - ERP =&gt; SOUS-SEGMENT'!$FD$82*'ANALYSE - ERP =&gt; SOUS-SEGMENT'!$JE$82</f>
        <v>949.64114182929541</v>
      </c>
      <c r="P81" s="458">
        <f>'ANALYSE - ERP =&gt; SOUS-SEGMENT'!$FD$82*'ANALYSE - ERP =&gt; SOUS-SEGMENT'!$JF$82</f>
        <v>1264.231174903091</v>
      </c>
      <c r="Q81" s="458">
        <f>'ANALYSE - ERP =&gt; SOUS-SEGMENT'!$FD$82*'ANALYSE - ERP =&gt; SOUS-SEGMENT'!$JG$82</f>
        <v>198.39231479226137</v>
      </c>
      <c r="R81" s="458">
        <f>'ANALYSE - ERP =&gt; SOUS-SEGMENT'!$FD$82*'ANALYSE - ERP =&gt; SOUS-SEGMENT'!$JH$82</f>
        <v>11.986711991147727</v>
      </c>
      <c r="T81" s="430">
        <f>'ANALYSE - ERP =&gt; SOUS-SEGMENT'!$Q$82</f>
        <v>1</v>
      </c>
    </row>
    <row r="82" spans="1:20" ht="15" customHeight="1">
      <c r="A82" s="26">
        <v>79</v>
      </c>
      <c r="B82" s="26">
        <v>79</v>
      </c>
      <c r="C82" s="422">
        <f>'ANALYSE - ERP =&gt; SOUS-SEGMENT'!$A$101</f>
        <v>94</v>
      </c>
      <c r="D82" s="411" t="str">
        <f>'ANALYSE - ERP =&gt; SOUS-SEGMENT'!$B$101</f>
        <v>Culte, Vie civique &amp; Services publics</v>
      </c>
      <c r="E82" s="411" t="str">
        <f>'ANALYSE - ERP =&gt; SOUS-SEGMENT'!$C$101</f>
        <v>Administrations / services publics</v>
      </c>
      <c r="F82" s="411" t="str">
        <f>'ANALYSE - ERP =&gt; SOUS-SEGMENT'!$D$101</f>
        <v>Mairies / hôtels de ville</v>
      </c>
      <c r="H82" s="458">
        <f>'ANALYSE - ERP =&gt; SOUS-SEGMENT'!$BF$101*'ANALYSE - ERP =&gt; SOUS-SEGMENT'!$IY$101</f>
        <v>0</v>
      </c>
      <c r="I82" s="458">
        <f>'ANALYSE - ERP =&gt; SOUS-SEGMENT'!$BF$101*'ANALYSE - ERP =&gt; SOUS-SEGMENT'!$IZ$101</f>
        <v>0</v>
      </c>
      <c r="J82" s="458">
        <f>'ANALYSE - ERP =&gt; SOUS-SEGMENT'!$BF$101*'ANALYSE - ERP =&gt; SOUS-SEGMENT'!$JA$101</f>
        <v>0</v>
      </c>
      <c r="K82" s="458">
        <f>'ANALYSE - ERP =&gt; SOUS-SEGMENT'!$BF$101*'ANALYSE - ERP =&gt; SOUS-SEGMENT'!$JB$101</f>
        <v>0</v>
      </c>
      <c r="L82" s="458">
        <f>'ANALYSE - ERP =&gt; SOUS-SEGMENT'!$BF$101*'ANALYSE - ERP =&gt; SOUS-SEGMENT'!$JC$101</f>
        <v>0</v>
      </c>
      <c r="N82" s="458">
        <f>'ANALYSE - ERP =&gt; SOUS-SEGMENT'!$FD$101*'ANALYSE - ERP =&gt; SOUS-SEGMENT'!$JD$101</f>
        <v>0</v>
      </c>
      <c r="O82" s="458">
        <f>'ANALYSE - ERP =&gt; SOUS-SEGMENT'!$FD$101*'ANALYSE - ERP =&gt; SOUS-SEGMENT'!$JE$101</f>
        <v>0</v>
      </c>
      <c r="P82" s="458">
        <f>'ANALYSE - ERP =&gt; SOUS-SEGMENT'!$FD$101*'ANALYSE - ERP =&gt; SOUS-SEGMENT'!$JF$101</f>
        <v>0</v>
      </c>
      <c r="Q82" s="458">
        <f>'ANALYSE - ERP =&gt; SOUS-SEGMENT'!$FD$101*'ANALYSE - ERP =&gt; SOUS-SEGMENT'!$JG$101</f>
        <v>0</v>
      </c>
      <c r="R82" s="458">
        <f>'ANALYSE - ERP =&gt; SOUS-SEGMENT'!$FD$101*'ANALYSE - ERP =&gt; SOUS-SEGMENT'!$JH$101</f>
        <v>0</v>
      </c>
      <c r="T82" s="430">
        <f>'ANALYSE - ERP =&gt; SOUS-SEGMENT'!$Q$101</f>
        <v>1</v>
      </c>
    </row>
    <row r="83" spans="1:20" ht="15" customHeight="1">
      <c r="A83" s="26">
        <v>80</v>
      </c>
      <c r="B83" s="26">
        <v>80</v>
      </c>
      <c r="C83" s="422">
        <f>'ANALYSE - ERP =&gt; SOUS-SEGMENT'!$A$105</f>
        <v>98</v>
      </c>
      <c r="D83" s="415" t="str">
        <f>'ANALYSE - ERP =&gt; SOUS-SEGMENT'!$B$105</f>
        <v>Culte, Vie civique &amp; Services publics</v>
      </c>
      <c r="E83" s="415" t="str">
        <f>'ANALYSE - ERP =&gt; SOUS-SEGMENT'!$C$105</f>
        <v>Administrations / services publics</v>
      </c>
      <c r="F83" s="415" t="str">
        <f>'ANALYSE - ERP =&gt; SOUS-SEGMENT'!$D$105</f>
        <v>Préfectures / services administratifs</v>
      </c>
      <c r="H83" s="458">
        <f>'ANALYSE - ERP =&gt; SOUS-SEGMENT'!$BF$105*'ANALYSE - ERP =&gt; SOUS-SEGMENT'!$IY$105</f>
        <v>0</v>
      </c>
      <c r="I83" s="458">
        <f>'ANALYSE - ERP =&gt; SOUS-SEGMENT'!$BF$105*'ANALYSE - ERP =&gt; SOUS-SEGMENT'!$IZ$105</f>
        <v>0</v>
      </c>
      <c r="J83" s="458">
        <f>'ANALYSE - ERP =&gt; SOUS-SEGMENT'!$BF$105*'ANALYSE - ERP =&gt; SOUS-SEGMENT'!$JA$105</f>
        <v>0</v>
      </c>
      <c r="K83" s="458">
        <f>'ANALYSE - ERP =&gt; SOUS-SEGMENT'!$BF$105*'ANALYSE - ERP =&gt; SOUS-SEGMENT'!$JB$105</f>
        <v>0</v>
      </c>
      <c r="L83" s="458">
        <f>'ANALYSE - ERP =&gt; SOUS-SEGMENT'!$BF$105*'ANALYSE - ERP =&gt; SOUS-SEGMENT'!$JC$105</f>
        <v>0</v>
      </c>
      <c r="N83" s="458">
        <f>'ANALYSE - ERP =&gt; SOUS-SEGMENT'!$FD$105*'ANALYSE - ERP =&gt; SOUS-SEGMENT'!$JD$105</f>
        <v>0</v>
      </c>
      <c r="O83" s="458">
        <f>'ANALYSE - ERP =&gt; SOUS-SEGMENT'!$FD$105*'ANALYSE - ERP =&gt; SOUS-SEGMENT'!$JE$105</f>
        <v>0</v>
      </c>
      <c r="P83" s="458">
        <f>'ANALYSE - ERP =&gt; SOUS-SEGMENT'!$FD$105*'ANALYSE - ERP =&gt; SOUS-SEGMENT'!$JF$105</f>
        <v>0</v>
      </c>
      <c r="Q83" s="458">
        <f>'ANALYSE - ERP =&gt; SOUS-SEGMENT'!$FD$105*'ANALYSE - ERP =&gt; SOUS-SEGMENT'!$JG$105</f>
        <v>0</v>
      </c>
      <c r="R83" s="458">
        <f>'ANALYSE - ERP =&gt; SOUS-SEGMENT'!$FD$105*'ANALYSE - ERP =&gt; SOUS-SEGMENT'!$JH$105</f>
        <v>0</v>
      </c>
      <c r="T83" s="430">
        <f>'ANALYSE - ERP =&gt; SOUS-SEGMENT'!$Q$105</f>
        <v>1</v>
      </c>
    </row>
    <row r="84" spans="1:20" ht="15" customHeight="1">
      <c r="A84" s="26">
        <v>81</v>
      </c>
      <c r="B84" s="26">
        <v>81</v>
      </c>
      <c r="C84" s="422">
        <f>'ANALYSE - ERP =&gt; SOUS-SEGMENT'!$A$108</f>
        <v>101</v>
      </c>
      <c r="D84" s="417" t="str">
        <f>'ANALYSE - ERP =&gt; SOUS-SEGMENT'!$B$108</f>
        <v>Culte, Vie civique &amp; Services publics</v>
      </c>
      <c r="E84" s="417" t="str">
        <f>'ANALYSE - ERP =&gt; SOUS-SEGMENT'!$C$108</f>
        <v>Administrations / services publics</v>
      </c>
      <c r="F84" s="417" t="str">
        <f>'ANALYSE - ERP =&gt; SOUS-SEGMENT'!$D$108</f>
        <v>Maisons France Services / Guichets publics autonomes ou dédiés</v>
      </c>
      <c r="H84" s="458">
        <f>'ANALYSE - ERP =&gt; SOUS-SEGMENT'!$BF$108*'ANALYSE - ERP =&gt; SOUS-SEGMENT'!$IY$108</f>
        <v>0</v>
      </c>
      <c r="I84" s="458">
        <f>'ANALYSE - ERP =&gt; SOUS-SEGMENT'!$BF$108*'ANALYSE - ERP =&gt; SOUS-SEGMENT'!$IZ$108</f>
        <v>0</v>
      </c>
      <c r="J84" s="458">
        <f>'ANALYSE - ERP =&gt; SOUS-SEGMENT'!$BF$108*'ANALYSE - ERP =&gt; SOUS-SEGMENT'!$JA$108</f>
        <v>0</v>
      </c>
      <c r="K84" s="458">
        <f>'ANALYSE - ERP =&gt; SOUS-SEGMENT'!$BF$108*'ANALYSE - ERP =&gt; SOUS-SEGMENT'!$JB$108</f>
        <v>0</v>
      </c>
      <c r="L84" s="458">
        <f>'ANALYSE - ERP =&gt; SOUS-SEGMENT'!$BF$108*'ANALYSE - ERP =&gt; SOUS-SEGMENT'!$JC$108</f>
        <v>0</v>
      </c>
      <c r="N84" s="458">
        <f>'ANALYSE - ERP =&gt; SOUS-SEGMENT'!$FD$108*'ANALYSE - ERP =&gt; SOUS-SEGMENT'!$JD$108</f>
        <v>0</v>
      </c>
      <c r="O84" s="458">
        <f>'ANALYSE - ERP =&gt; SOUS-SEGMENT'!$FD$108*'ANALYSE - ERP =&gt; SOUS-SEGMENT'!$JE$108</f>
        <v>0</v>
      </c>
      <c r="P84" s="458">
        <f>'ANALYSE - ERP =&gt; SOUS-SEGMENT'!$FD$108*'ANALYSE - ERP =&gt; SOUS-SEGMENT'!$JF$108</f>
        <v>0</v>
      </c>
      <c r="Q84" s="458">
        <f>'ANALYSE - ERP =&gt; SOUS-SEGMENT'!$FD$108*'ANALYSE - ERP =&gt; SOUS-SEGMENT'!$JG$108</f>
        <v>0</v>
      </c>
      <c r="R84" s="458">
        <f>'ANALYSE - ERP =&gt; SOUS-SEGMENT'!$FD$108*'ANALYSE - ERP =&gt; SOUS-SEGMENT'!$JH$108</f>
        <v>0</v>
      </c>
      <c r="T84" s="430">
        <f>'ANALYSE - ERP =&gt; SOUS-SEGMENT'!$Q$108</f>
        <v>1</v>
      </c>
    </row>
    <row r="85" spans="1:20" ht="15" customHeight="1">
      <c r="A85" s="26">
        <v>82</v>
      </c>
      <c r="B85" s="26">
        <v>82</v>
      </c>
      <c r="C85" s="422">
        <f>'ANALYSE - ERP =&gt; SOUS-SEGMENT'!$A$113</f>
        <v>106</v>
      </c>
      <c r="D85" s="415" t="str">
        <f>'ANALYSE - ERP =&gt; SOUS-SEGMENT'!$B$113</f>
        <v>Culte, Vie civique &amp; Services publics</v>
      </c>
      <c r="E85" s="415" t="str">
        <f>'ANALYSE - ERP =&gt; SOUS-SEGMENT'!$C$113</f>
        <v>Culte</v>
      </c>
      <c r="F85" s="415" t="str">
        <f>'ANALYSE - ERP =&gt; SOUS-SEGMENT'!$D$113</f>
        <v>Églises, cathédrales, basiliques et chapelles ouvertes au public</v>
      </c>
      <c r="H85" s="458">
        <f>'ANALYSE - ERP =&gt; SOUS-SEGMENT'!$BF$113*'ANALYSE - ERP =&gt; SOUS-SEGMENT'!$IY$113</f>
        <v>0</v>
      </c>
      <c r="I85" s="458">
        <f>'ANALYSE - ERP =&gt; SOUS-SEGMENT'!$BF$113*'ANALYSE - ERP =&gt; SOUS-SEGMENT'!$IZ$113</f>
        <v>0</v>
      </c>
      <c r="J85" s="458">
        <f>'ANALYSE - ERP =&gt; SOUS-SEGMENT'!$BF$113*'ANALYSE - ERP =&gt; SOUS-SEGMENT'!$JA$113</f>
        <v>0</v>
      </c>
      <c r="K85" s="458">
        <f>'ANALYSE - ERP =&gt; SOUS-SEGMENT'!$BF$113*'ANALYSE - ERP =&gt; SOUS-SEGMENT'!$JB$113</f>
        <v>0</v>
      </c>
      <c r="L85" s="458">
        <f>'ANALYSE - ERP =&gt; SOUS-SEGMENT'!$BF$113*'ANALYSE - ERP =&gt; SOUS-SEGMENT'!$JC$113</f>
        <v>0</v>
      </c>
      <c r="N85" s="458">
        <f>'ANALYSE - ERP =&gt; SOUS-SEGMENT'!$FD$113*'ANALYSE - ERP =&gt; SOUS-SEGMENT'!$JD$113</f>
        <v>0</v>
      </c>
      <c r="O85" s="458">
        <f>'ANALYSE - ERP =&gt; SOUS-SEGMENT'!$FD$113*'ANALYSE - ERP =&gt; SOUS-SEGMENT'!$JE$113</f>
        <v>0</v>
      </c>
      <c r="P85" s="458">
        <f>'ANALYSE - ERP =&gt; SOUS-SEGMENT'!$FD$113*'ANALYSE - ERP =&gt; SOUS-SEGMENT'!$JF$113</f>
        <v>0</v>
      </c>
      <c r="Q85" s="458">
        <f>'ANALYSE - ERP =&gt; SOUS-SEGMENT'!$FD$113*'ANALYSE - ERP =&gt; SOUS-SEGMENT'!$JG$113</f>
        <v>0</v>
      </c>
      <c r="R85" s="458">
        <f>'ANALYSE - ERP =&gt; SOUS-SEGMENT'!$FD$113*'ANALYSE - ERP =&gt; SOUS-SEGMENT'!$JH$113</f>
        <v>0</v>
      </c>
      <c r="T85" s="430">
        <f>'ANALYSE - ERP =&gt; SOUS-SEGMENT'!$Q$113</f>
        <v>1</v>
      </c>
    </row>
    <row r="86" spans="1:20" ht="15" customHeight="1">
      <c r="A86" s="26">
        <v>83</v>
      </c>
      <c r="B86" s="26">
        <v>83</v>
      </c>
      <c r="C86" s="422">
        <f>'ANALYSE - ERP =&gt; SOUS-SEGMENT'!$A$114</f>
        <v>107</v>
      </c>
      <c r="D86" s="411" t="str">
        <f>'ANALYSE - ERP =&gt; SOUS-SEGMENT'!$B$114</f>
        <v>Culte, Vie civique &amp; Services publics</v>
      </c>
      <c r="E86" s="411" t="str">
        <f>'ANALYSE - ERP =&gt; SOUS-SEGMENT'!$C$114</f>
        <v>Culte</v>
      </c>
      <c r="F86" s="411" t="str">
        <f>'ANALYSE - ERP =&gt; SOUS-SEGMENT'!$D$114</f>
        <v>Monastères, abbayes et couvents ouverts au public</v>
      </c>
      <c r="H86" s="458">
        <f>'ANALYSE - ERP =&gt; SOUS-SEGMENT'!$BF$114*'ANALYSE - ERP =&gt; SOUS-SEGMENT'!$IY$114</f>
        <v>81.760000000000005</v>
      </c>
      <c r="I86" s="458">
        <f>'ANALYSE - ERP =&gt; SOUS-SEGMENT'!$BF$114*'ANALYSE - ERP =&gt; SOUS-SEGMENT'!$IZ$114</f>
        <v>433.52000000000004</v>
      </c>
      <c r="J86" s="458">
        <f>'ANALYSE - ERP =&gt; SOUS-SEGMENT'!$BF$114*'ANALYSE - ERP =&gt; SOUS-SEGMENT'!$JA$114</f>
        <v>264.88</v>
      </c>
      <c r="K86" s="458">
        <f>'ANALYSE - ERP =&gt; SOUS-SEGMENT'!$BF$114*'ANALYSE - ERP =&gt; SOUS-SEGMENT'!$JB$114</f>
        <v>19.84</v>
      </c>
      <c r="L86" s="458">
        <f>'ANALYSE - ERP =&gt; SOUS-SEGMENT'!$BF$114*'ANALYSE - ERP =&gt; SOUS-SEGMENT'!$JC$114</f>
        <v>0</v>
      </c>
      <c r="N86" s="458">
        <f>'ANALYSE - ERP =&gt; SOUS-SEGMENT'!$FD$114*'ANALYSE - ERP =&gt; SOUS-SEGMENT'!$JD$114</f>
        <v>37.585992874999995</v>
      </c>
      <c r="O86" s="458">
        <f>'ANALYSE - ERP =&gt; SOUS-SEGMENT'!$FD$114*'ANALYSE - ERP =&gt; SOUS-SEGMENT'!$JE$114</f>
        <v>223.80944224999996</v>
      </c>
      <c r="P86" s="458">
        <f>'ANALYSE - ERP =&gt; SOUS-SEGMENT'!$FD$114*'ANALYSE - ERP =&gt; SOUS-SEGMENT'!$JF$114</f>
        <v>147.2722445</v>
      </c>
      <c r="Q86" s="458">
        <f>'ANALYSE - ERP =&gt; SOUS-SEGMENT'!$FD$114*'ANALYSE - ERP =&gt; SOUS-SEGMENT'!$JG$114</f>
        <v>16.595858374999999</v>
      </c>
      <c r="R86" s="458">
        <f>'ANALYSE - ERP =&gt; SOUS-SEGMENT'!$FD$114*'ANALYSE - ERP =&gt; SOUS-SEGMENT'!$JH$114</f>
        <v>1.3652119999999999</v>
      </c>
      <c r="T86" s="430">
        <f>'ANALYSE - ERP =&gt; SOUS-SEGMENT'!$Q$114</f>
        <v>1</v>
      </c>
    </row>
    <row r="87" spans="1:20" ht="15" customHeight="1">
      <c r="A87" s="26">
        <v>84</v>
      </c>
      <c r="B87" s="26">
        <v>84</v>
      </c>
      <c r="C87" s="422">
        <f>'ANALYSE - ERP =&gt; SOUS-SEGMENT'!$A$115</f>
        <v>108</v>
      </c>
      <c r="D87" s="415" t="str">
        <f>'ANALYSE - ERP =&gt; SOUS-SEGMENT'!$B$115</f>
        <v>Culte, Vie civique &amp; Services publics</v>
      </c>
      <c r="E87" s="415" t="str">
        <f>'ANALYSE - ERP =&gt; SOUS-SEGMENT'!$C$115</f>
        <v>Culte</v>
      </c>
      <c r="F87" s="415" t="str">
        <f>'ANALYSE - ERP =&gt; SOUS-SEGMENT'!$D$115</f>
        <v>Temples protestants, évangéliques et salles de culte assimilées</v>
      </c>
      <c r="H87" s="458">
        <f>'ANALYSE - ERP =&gt; SOUS-SEGMENT'!$BF$115*'ANALYSE - ERP =&gt; SOUS-SEGMENT'!$IY$115</f>
        <v>0</v>
      </c>
      <c r="I87" s="458">
        <f>'ANALYSE - ERP =&gt; SOUS-SEGMENT'!$BF$115*'ANALYSE - ERP =&gt; SOUS-SEGMENT'!$IZ$115</f>
        <v>0</v>
      </c>
      <c r="J87" s="458">
        <f>'ANALYSE - ERP =&gt; SOUS-SEGMENT'!$BF$115*'ANALYSE - ERP =&gt; SOUS-SEGMENT'!$JA$115</f>
        <v>0</v>
      </c>
      <c r="K87" s="458">
        <f>'ANALYSE - ERP =&gt; SOUS-SEGMENT'!$BF$115*'ANALYSE - ERP =&gt; SOUS-SEGMENT'!$JB$115</f>
        <v>0</v>
      </c>
      <c r="L87" s="458">
        <f>'ANALYSE - ERP =&gt; SOUS-SEGMENT'!$BF$115*'ANALYSE - ERP =&gt; SOUS-SEGMENT'!$JC$115</f>
        <v>0</v>
      </c>
      <c r="N87" s="458">
        <f>'ANALYSE - ERP =&gt; SOUS-SEGMENT'!$FD$115*'ANALYSE - ERP =&gt; SOUS-SEGMENT'!$JD$115</f>
        <v>0</v>
      </c>
      <c r="O87" s="458">
        <f>'ANALYSE - ERP =&gt; SOUS-SEGMENT'!$FD$115*'ANALYSE - ERP =&gt; SOUS-SEGMENT'!$JE$115</f>
        <v>0</v>
      </c>
      <c r="P87" s="458">
        <f>'ANALYSE - ERP =&gt; SOUS-SEGMENT'!$FD$115*'ANALYSE - ERP =&gt; SOUS-SEGMENT'!$JF$115</f>
        <v>0</v>
      </c>
      <c r="Q87" s="458">
        <f>'ANALYSE - ERP =&gt; SOUS-SEGMENT'!$FD$115*'ANALYSE - ERP =&gt; SOUS-SEGMENT'!$JG$115</f>
        <v>0</v>
      </c>
      <c r="R87" s="458">
        <f>'ANALYSE - ERP =&gt; SOUS-SEGMENT'!$FD$115*'ANALYSE - ERP =&gt; SOUS-SEGMENT'!$JH$115</f>
        <v>0</v>
      </c>
      <c r="T87" s="430">
        <f>'ANALYSE - ERP =&gt; SOUS-SEGMENT'!$Q$115</f>
        <v>1</v>
      </c>
    </row>
    <row r="88" spans="1:20" ht="15" customHeight="1">
      <c r="A88" s="26">
        <v>85</v>
      </c>
      <c r="B88" s="26">
        <v>85</v>
      </c>
      <c r="C88" s="422">
        <f>'ANALYSE - ERP =&gt; SOUS-SEGMENT'!$A$116</f>
        <v>109</v>
      </c>
      <c r="D88" s="417" t="str">
        <f>'ANALYSE - ERP =&gt; SOUS-SEGMENT'!$B$116</f>
        <v>Culte, Vie civique &amp; Services publics</v>
      </c>
      <c r="E88" s="417" t="str">
        <f>'ANALYSE - ERP =&gt; SOUS-SEGMENT'!$C$116</f>
        <v>Culte</v>
      </c>
      <c r="F88" s="417" t="str">
        <f>'ANALYSE - ERP =&gt; SOUS-SEGMENT'!$D$116</f>
        <v>Mosquées et salles de prière musulmanes</v>
      </c>
      <c r="H88" s="458">
        <f>'ANALYSE - ERP =&gt; SOUS-SEGMENT'!$BF$116*'ANALYSE - ERP =&gt; SOUS-SEGMENT'!$IY$116</f>
        <v>0</v>
      </c>
      <c r="I88" s="458">
        <f>'ANALYSE - ERP =&gt; SOUS-SEGMENT'!$BF$116*'ANALYSE - ERP =&gt; SOUS-SEGMENT'!$IZ$116</f>
        <v>0</v>
      </c>
      <c r="J88" s="458">
        <f>'ANALYSE - ERP =&gt; SOUS-SEGMENT'!$BF$116*'ANALYSE - ERP =&gt; SOUS-SEGMENT'!$JA$116</f>
        <v>0</v>
      </c>
      <c r="K88" s="458">
        <f>'ANALYSE - ERP =&gt; SOUS-SEGMENT'!$BF$116*'ANALYSE - ERP =&gt; SOUS-SEGMENT'!$JB$116</f>
        <v>0</v>
      </c>
      <c r="L88" s="458">
        <f>'ANALYSE - ERP =&gt; SOUS-SEGMENT'!$BF$116*'ANALYSE - ERP =&gt; SOUS-SEGMENT'!$JC$116</f>
        <v>0</v>
      </c>
      <c r="N88" s="458">
        <f>'ANALYSE - ERP =&gt; SOUS-SEGMENT'!$FD$116*'ANALYSE - ERP =&gt; SOUS-SEGMENT'!$JD$116</f>
        <v>0</v>
      </c>
      <c r="O88" s="458">
        <f>'ANALYSE - ERP =&gt; SOUS-SEGMENT'!$FD$116*'ANALYSE - ERP =&gt; SOUS-SEGMENT'!$JE$116</f>
        <v>0</v>
      </c>
      <c r="P88" s="458">
        <f>'ANALYSE - ERP =&gt; SOUS-SEGMENT'!$FD$116*'ANALYSE - ERP =&gt; SOUS-SEGMENT'!$JF$116</f>
        <v>0</v>
      </c>
      <c r="Q88" s="458">
        <f>'ANALYSE - ERP =&gt; SOUS-SEGMENT'!$FD$116*'ANALYSE - ERP =&gt; SOUS-SEGMENT'!$JG$116</f>
        <v>0</v>
      </c>
      <c r="R88" s="458">
        <f>'ANALYSE - ERP =&gt; SOUS-SEGMENT'!$FD$116*'ANALYSE - ERP =&gt; SOUS-SEGMENT'!$JH$116</f>
        <v>0</v>
      </c>
      <c r="T88" s="430">
        <f>'ANALYSE - ERP =&gt; SOUS-SEGMENT'!$Q$116</f>
        <v>1</v>
      </c>
    </row>
    <row r="89" spans="1:20" ht="15" customHeight="1">
      <c r="A89" s="26">
        <v>86</v>
      </c>
      <c r="B89" s="26">
        <v>86</v>
      </c>
      <c r="C89" s="422">
        <f>'ANALYSE - ERP =&gt; SOUS-SEGMENT'!$A$117</f>
        <v>110</v>
      </c>
      <c r="D89" s="411" t="str">
        <f>'ANALYSE - ERP =&gt; SOUS-SEGMENT'!$B$117</f>
        <v>Culte, Vie civique &amp; Services publics</v>
      </c>
      <c r="E89" s="411" t="str">
        <f>'ANALYSE - ERP =&gt; SOUS-SEGMENT'!$C$117</f>
        <v>Culte</v>
      </c>
      <c r="F89" s="411" t="str">
        <f>'ANALYSE - ERP =&gt; SOUS-SEGMENT'!$D$117</f>
        <v>Synagogues et oratoires juifs ouverts au public</v>
      </c>
      <c r="H89" s="458">
        <f>'ANALYSE - ERP =&gt; SOUS-SEGMENT'!$BF$117*'ANALYSE - ERP =&gt; SOUS-SEGMENT'!$IY$117</f>
        <v>0</v>
      </c>
      <c r="I89" s="458">
        <f>'ANALYSE - ERP =&gt; SOUS-SEGMENT'!$BF$117*'ANALYSE - ERP =&gt; SOUS-SEGMENT'!$IZ$117</f>
        <v>0</v>
      </c>
      <c r="J89" s="458">
        <f>'ANALYSE - ERP =&gt; SOUS-SEGMENT'!$BF$117*'ANALYSE - ERP =&gt; SOUS-SEGMENT'!$JA$117</f>
        <v>0</v>
      </c>
      <c r="K89" s="458">
        <f>'ANALYSE - ERP =&gt; SOUS-SEGMENT'!$BF$117*'ANALYSE - ERP =&gt; SOUS-SEGMENT'!$JB$117</f>
        <v>0</v>
      </c>
      <c r="L89" s="458">
        <f>'ANALYSE - ERP =&gt; SOUS-SEGMENT'!$BF$117*'ANALYSE - ERP =&gt; SOUS-SEGMENT'!$JC$117</f>
        <v>0</v>
      </c>
      <c r="N89" s="458">
        <f>'ANALYSE - ERP =&gt; SOUS-SEGMENT'!$FD$117*'ANALYSE - ERP =&gt; SOUS-SEGMENT'!$JD$117</f>
        <v>0</v>
      </c>
      <c r="O89" s="458">
        <f>'ANALYSE - ERP =&gt; SOUS-SEGMENT'!$FD$117*'ANALYSE - ERP =&gt; SOUS-SEGMENT'!$JE$117</f>
        <v>0</v>
      </c>
      <c r="P89" s="458">
        <f>'ANALYSE - ERP =&gt; SOUS-SEGMENT'!$FD$117*'ANALYSE - ERP =&gt; SOUS-SEGMENT'!$JF$117</f>
        <v>0</v>
      </c>
      <c r="Q89" s="458">
        <f>'ANALYSE - ERP =&gt; SOUS-SEGMENT'!$FD$117*'ANALYSE - ERP =&gt; SOUS-SEGMENT'!$JG$117</f>
        <v>0</v>
      </c>
      <c r="R89" s="458">
        <f>'ANALYSE - ERP =&gt; SOUS-SEGMENT'!$FD$117*'ANALYSE - ERP =&gt; SOUS-SEGMENT'!$JH$117</f>
        <v>0</v>
      </c>
      <c r="T89" s="430">
        <f>'ANALYSE - ERP =&gt; SOUS-SEGMENT'!$Q$117</f>
        <v>1</v>
      </c>
    </row>
    <row r="90" spans="1:20" ht="15" customHeight="1">
      <c r="A90" s="26">
        <v>87</v>
      </c>
      <c r="B90" s="26">
        <v>87</v>
      </c>
      <c r="C90" s="422">
        <f>'ANALYSE - ERP =&gt; SOUS-SEGMENT'!$A$118</f>
        <v>111</v>
      </c>
      <c r="D90" s="415" t="str">
        <f>'ANALYSE - ERP =&gt; SOUS-SEGMENT'!$B$118</f>
        <v>Culte, Vie civique &amp; Services publics</v>
      </c>
      <c r="E90" s="415" t="str">
        <f>'ANALYSE - ERP =&gt; SOUS-SEGMENT'!$C$118</f>
        <v>Culte</v>
      </c>
      <c r="F90" s="415" t="str">
        <f>'ANALYSE - ERP =&gt; SOUS-SEGMENT'!$D$118</f>
        <v>Temples bouddhistes, hindous et autres lieux de culte non abrahamiques ouverts au public</v>
      </c>
      <c r="H90" s="458">
        <f>'ANALYSE - ERP =&gt; SOUS-SEGMENT'!$BF$118*'ANALYSE - ERP =&gt; SOUS-SEGMENT'!$IY$118</f>
        <v>0</v>
      </c>
      <c r="I90" s="458">
        <f>'ANALYSE - ERP =&gt; SOUS-SEGMENT'!$BF$118*'ANALYSE - ERP =&gt; SOUS-SEGMENT'!$IZ$118</f>
        <v>0</v>
      </c>
      <c r="J90" s="458">
        <f>'ANALYSE - ERP =&gt; SOUS-SEGMENT'!$BF$118*'ANALYSE - ERP =&gt; SOUS-SEGMENT'!$JA$118</f>
        <v>0</v>
      </c>
      <c r="K90" s="458">
        <f>'ANALYSE - ERP =&gt; SOUS-SEGMENT'!$BF$118*'ANALYSE - ERP =&gt; SOUS-SEGMENT'!$JB$118</f>
        <v>0</v>
      </c>
      <c r="L90" s="458">
        <f>'ANALYSE - ERP =&gt; SOUS-SEGMENT'!$BF$118*'ANALYSE - ERP =&gt; SOUS-SEGMENT'!$JC$118</f>
        <v>0</v>
      </c>
      <c r="N90" s="458">
        <f>'ANALYSE - ERP =&gt; SOUS-SEGMENT'!$FD$118*'ANALYSE - ERP =&gt; SOUS-SEGMENT'!$JD$118</f>
        <v>0</v>
      </c>
      <c r="O90" s="458">
        <f>'ANALYSE - ERP =&gt; SOUS-SEGMENT'!$FD$118*'ANALYSE - ERP =&gt; SOUS-SEGMENT'!$JE$118</f>
        <v>0</v>
      </c>
      <c r="P90" s="458">
        <f>'ANALYSE - ERP =&gt; SOUS-SEGMENT'!$FD$118*'ANALYSE - ERP =&gt; SOUS-SEGMENT'!$JF$118</f>
        <v>0</v>
      </c>
      <c r="Q90" s="458">
        <f>'ANALYSE - ERP =&gt; SOUS-SEGMENT'!$FD$118*'ANALYSE - ERP =&gt; SOUS-SEGMENT'!$JG$118</f>
        <v>0</v>
      </c>
      <c r="R90" s="458">
        <f>'ANALYSE - ERP =&gt; SOUS-SEGMENT'!$FD$118*'ANALYSE - ERP =&gt; SOUS-SEGMENT'!$JH$118</f>
        <v>0</v>
      </c>
      <c r="T90" s="430">
        <f>'ANALYSE - ERP =&gt; SOUS-SEGMENT'!$Q$118</f>
        <v>1</v>
      </c>
    </row>
    <row r="91" spans="1:20" ht="15" customHeight="1">
      <c r="A91" s="26">
        <v>88</v>
      </c>
      <c r="B91" s="26">
        <v>88</v>
      </c>
      <c r="C91" s="422">
        <f>'ANALYSE - ERP =&gt; SOUS-SEGMENT'!$A$119</f>
        <v>112</v>
      </c>
      <c r="D91" s="415" t="str">
        <f>'ANALYSE - ERP =&gt; SOUS-SEGMENT'!$B$119</f>
        <v>Culte, Vie civique &amp; Services publics</v>
      </c>
      <c r="E91" s="415" t="str">
        <f>'ANALYSE - ERP =&gt; SOUS-SEGMENT'!$C$119</f>
        <v>Culte</v>
      </c>
      <c r="F91" s="415" t="str">
        <f>'ANALYSE - ERP =&gt; SOUS-SEGMENT'!$D$119</f>
        <v>Salles du Royaume, centres cultuels pluriconfessionnels et lieux de culte polyvalents</v>
      </c>
      <c r="H91" s="458">
        <f>'ANALYSE - ERP =&gt; SOUS-SEGMENT'!$BF$119*'ANALYSE - ERP =&gt; SOUS-SEGMENT'!$IY$119</f>
        <v>0</v>
      </c>
      <c r="I91" s="458">
        <f>'ANALYSE - ERP =&gt; SOUS-SEGMENT'!$BF$119*'ANALYSE - ERP =&gt; SOUS-SEGMENT'!$IZ$119</f>
        <v>0</v>
      </c>
      <c r="J91" s="458">
        <f>'ANALYSE - ERP =&gt; SOUS-SEGMENT'!$BF$119*'ANALYSE - ERP =&gt; SOUS-SEGMENT'!$JA$119</f>
        <v>0</v>
      </c>
      <c r="K91" s="458">
        <f>'ANALYSE - ERP =&gt; SOUS-SEGMENT'!$BF$119*'ANALYSE - ERP =&gt; SOUS-SEGMENT'!$JB$119</f>
        <v>0</v>
      </c>
      <c r="L91" s="458">
        <f>'ANALYSE - ERP =&gt; SOUS-SEGMENT'!$BF$119*'ANALYSE - ERP =&gt; SOUS-SEGMENT'!$JC$119</f>
        <v>0</v>
      </c>
      <c r="N91" s="458">
        <f>'ANALYSE - ERP =&gt; SOUS-SEGMENT'!$FD$119*'ANALYSE - ERP =&gt; SOUS-SEGMENT'!$JD$119</f>
        <v>0</v>
      </c>
      <c r="O91" s="458">
        <f>'ANALYSE - ERP =&gt; SOUS-SEGMENT'!$FD$119*'ANALYSE - ERP =&gt; SOUS-SEGMENT'!$JE$119</f>
        <v>0</v>
      </c>
      <c r="P91" s="458">
        <f>'ANALYSE - ERP =&gt; SOUS-SEGMENT'!$FD$119*'ANALYSE - ERP =&gt; SOUS-SEGMENT'!$JF$119</f>
        <v>0</v>
      </c>
      <c r="Q91" s="458">
        <f>'ANALYSE - ERP =&gt; SOUS-SEGMENT'!$FD$119*'ANALYSE - ERP =&gt; SOUS-SEGMENT'!$JG$119</f>
        <v>0</v>
      </c>
      <c r="R91" s="458">
        <f>'ANALYSE - ERP =&gt; SOUS-SEGMENT'!$FD$119*'ANALYSE - ERP =&gt; SOUS-SEGMENT'!$JH$119</f>
        <v>0</v>
      </c>
      <c r="T91" s="430">
        <f>'ANALYSE - ERP =&gt; SOUS-SEGMENT'!$Q$119</f>
        <v>1</v>
      </c>
    </row>
    <row r="92" spans="1:20" ht="15" customHeight="1">
      <c r="A92" s="26">
        <v>89</v>
      </c>
      <c r="B92" s="26">
        <v>89</v>
      </c>
      <c r="C92" s="422">
        <f>'ANALYSE - ERP =&gt; SOUS-SEGMENT'!$A$120</f>
        <v>113</v>
      </c>
      <c r="D92" s="415" t="str">
        <f>'ANALYSE - ERP =&gt; SOUS-SEGMENT'!$B$120</f>
        <v>Culte, Vie civique &amp; Services publics</v>
      </c>
      <c r="E92" s="415" t="str">
        <f>'ANALYSE - ERP =&gt; SOUS-SEGMENT'!$C$120</f>
        <v>Vie associative</v>
      </c>
      <c r="F92" s="415" t="str">
        <f>'ANALYSE - ERP =&gt; SOUS-SEGMENT'!$D$120</f>
        <v>Locaux associatifs recevant du public (dotés de sanitaires)</v>
      </c>
      <c r="H92" s="458">
        <f>'ANALYSE - ERP =&gt; SOUS-SEGMENT'!$BF$120*'ANALYSE - ERP =&gt; SOUS-SEGMENT'!$IY$120</f>
        <v>0</v>
      </c>
      <c r="I92" s="458">
        <f>'ANALYSE - ERP =&gt; SOUS-SEGMENT'!$BF$120*'ANALYSE - ERP =&gt; SOUS-SEGMENT'!$IZ$120</f>
        <v>0</v>
      </c>
      <c r="J92" s="458">
        <f>'ANALYSE - ERP =&gt; SOUS-SEGMENT'!$BF$120*'ANALYSE - ERP =&gt; SOUS-SEGMENT'!$JA$120</f>
        <v>0</v>
      </c>
      <c r="K92" s="458">
        <f>'ANALYSE - ERP =&gt; SOUS-SEGMENT'!$BF$120*'ANALYSE - ERP =&gt; SOUS-SEGMENT'!$JB$120</f>
        <v>0</v>
      </c>
      <c r="L92" s="458">
        <f>'ANALYSE - ERP =&gt; SOUS-SEGMENT'!$BF$120*'ANALYSE - ERP =&gt; SOUS-SEGMENT'!$JC$120</f>
        <v>0</v>
      </c>
      <c r="N92" s="458">
        <f>'ANALYSE - ERP =&gt; SOUS-SEGMENT'!$FD$120*'ANALYSE - ERP =&gt; SOUS-SEGMENT'!$JD$120</f>
        <v>0</v>
      </c>
      <c r="O92" s="458">
        <f>'ANALYSE - ERP =&gt; SOUS-SEGMENT'!$FD$120*'ANALYSE - ERP =&gt; SOUS-SEGMENT'!$JE$120</f>
        <v>0</v>
      </c>
      <c r="P92" s="458">
        <f>'ANALYSE - ERP =&gt; SOUS-SEGMENT'!$FD$120*'ANALYSE - ERP =&gt; SOUS-SEGMENT'!$JF$120</f>
        <v>0</v>
      </c>
      <c r="Q92" s="458">
        <f>'ANALYSE - ERP =&gt; SOUS-SEGMENT'!$FD$120*'ANALYSE - ERP =&gt; SOUS-SEGMENT'!$JG$120</f>
        <v>0</v>
      </c>
      <c r="R92" s="458">
        <f>'ANALYSE - ERP =&gt; SOUS-SEGMENT'!$FD$120*'ANALYSE - ERP =&gt; SOUS-SEGMENT'!$JH$120</f>
        <v>0</v>
      </c>
      <c r="T92" s="430">
        <f>'ANALYSE - ERP =&gt; SOUS-SEGMENT'!$Q$120</f>
        <v>1</v>
      </c>
    </row>
    <row r="93" spans="1:20" ht="15" customHeight="1">
      <c r="A93" s="26">
        <v>90</v>
      </c>
      <c r="B93" s="26">
        <v>90</v>
      </c>
      <c r="C93" s="422">
        <f>'ANALYSE - ERP =&gt; SOUS-SEGMENT'!$A$122</f>
        <v>115</v>
      </c>
      <c r="D93" s="416" t="str">
        <f>'ANALYSE - ERP =&gt; SOUS-SEGMENT'!$B$122</f>
        <v>Transport, Mobilité &amp; Stationnement</v>
      </c>
      <c r="E93" s="416" t="str">
        <f>'ANALYSE - ERP =&gt; SOUS-SEGMENT'!$C$122</f>
        <v>Transport / Mobilité</v>
      </c>
      <c r="F93" s="416" t="str">
        <f>'ANALYSE - ERP =&gt; SOUS-SEGMENT'!$D$122</f>
        <v>Aires de repos - Autoroutes
(Hors Aires de service)</v>
      </c>
      <c r="H93" s="458">
        <f>'ANALYSE - ERP =&gt; SOUS-SEGMENT'!$BF$122*'ANALYSE - ERP =&gt; SOUS-SEGMENT'!$IY$122</f>
        <v>0</v>
      </c>
      <c r="I93" s="458">
        <f>'ANALYSE - ERP =&gt; SOUS-SEGMENT'!$BF$122*'ANALYSE - ERP =&gt; SOUS-SEGMENT'!$IZ$122</f>
        <v>0</v>
      </c>
      <c r="J93" s="458">
        <f>'ANALYSE - ERP =&gt; SOUS-SEGMENT'!$BF$122*'ANALYSE - ERP =&gt; SOUS-SEGMENT'!$JA$122</f>
        <v>0</v>
      </c>
      <c r="K93" s="458">
        <f>'ANALYSE - ERP =&gt; SOUS-SEGMENT'!$BF$122*'ANALYSE - ERP =&gt; SOUS-SEGMENT'!$JB$122</f>
        <v>0</v>
      </c>
      <c r="L93" s="458">
        <f>'ANALYSE - ERP =&gt; SOUS-SEGMENT'!$BF$122*'ANALYSE - ERP =&gt; SOUS-SEGMENT'!$JC$122</f>
        <v>0</v>
      </c>
      <c r="N93" s="458">
        <f>'ANALYSE - ERP =&gt; SOUS-SEGMENT'!$FD$122*'ANALYSE - ERP =&gt; SOUS-SEGMENT'!$JD$122</f>
        <v>0</v>
      </c>
      <c r="O93" s="458">
        <f>'ANALYSE - ERP =&gt; SOUS-SEGMENT'!$FD$122*'ANALYSE - ERP =&gt; SOUS-SEGMENT'!$JE$122</f>
        <v>0</v>
      </c>
      <c r="P93" s="458">
        <f>'ANALYSE - ERP =&gt; SOUS-SEGMENT'!$FD$122*'ANALYSE - ERP =&gt; SOUS-SEGMENT'!$JF$122</f>
        <v>0</v>
      </c>
      <c r="Q93" s="458">
        <f>'ANALYSE - ERP =&gt; SOUS-SEGMENT'!$FD$122*'ANALYSE - ERP =&gt; SOUS-SEGMENT'!$JG$122</f>
        <v>0</v>
      </c>
      <c r="R93" s="458">
        <f>'ANALYSE - ERP =&gt; SOUS-SEGMENT'!$FD$122*'ANALYSE - ERP =&gt; SOUS-SEGMENT'!$JH$122</f>
        <v>0</v>
      </c>
      <c r="T93" s="430">
        <f>'ANALYSE - ERP =&gt; SOUS-SEGMENT'!$Q$122</f>
        <v>1</v>
      </c>
    </row>
    <row r="94" spans="1:20" ht="15" customHeight="1">
      <c r="A94" s="26">
        <v>91</v>
      </c>
      <c r="B94" s="26">
        <v>91</v>
      </c>
      <c r="C94" s="422">
        <f>'ANALYSE - ERP =&gt; SOUS-SEGMENT'!$A$78</f>
        <v>71</v>
      </c>
      <c r="D94" s="412" t="str">
        <f>'ANALYSE - ERP =&gt; SOUS-SEGMENT'!$B$78</f>
        <v>Commerce, Restauration &amp; Loisirs</v>
      </c>
      <c r="E94" s="412" t="str">
        <f>'ANALYSE - ERP =&gt; SOUS-SEGMENT'!$C$78</f>
        <v>Restauration / boissons</v>
      </c>
      <c r="F94" s="412" t="str">
        <f>'ANALYSE - ERP =&gt; SOUS-SEGMENT'!$D$78</f>
        <v>Établissements flottants</v>
      </c>
      <c r="H94" s="458">
        <f>'ANALYSE - ERP =&gt; SOUS-SEGMENT'!$BF$78*'ANALYSE - ERP =&gt; SOUS-SEGMENT'!$IY$78</f>
        <v>0</v>
      </c>
      <c r="I94" s="458">
        <f>'ANALYSE - ERP =&gt; SOUS-SEGMENT'!$BF$78*'ANALYSE - ERP =&gt; SOUS-SEGMENT'!$IZ$78</f>
        <v>0</v>
      </c>
      <c r="J94" s="458">
        <f>'ANALYSE - ERP =&gt; SOUS-SEGMENT'!$BF$78*'ANALYSE - ERP =&gt; SOUS-SEGMENT'!$JA$78</f>
        <v>0</v>
      </c>
      <c r="K94" s="458">
        <f>'ANALYSE - ERP =&gt; SOUS-SEGMENT'!$BF$78*'ANALYSE - ERP =&gt; SOUS-SEGMENT'!$JB$78</f>
        <v>0</v>
      </c>
      <c r="L94" s="458">
        <f>'ANALYSE - ERP =&gt; SOUS-SEGMENT'!$BF$78*'ANALYSE - ERP =&gt; SOUS-SEGMENT'!$JC$78</f>
        <v>0</v>
      </c>
      <c r="N94" s="458">
        <f>'ANALYSE - ERP =&gt; SOUS-SEGMENT'!$FD$78*'ANALYSE - ERP =&gt; SOUS-SEGMENT'!$JD$78</f>
        <v>0</v>
      </c>
      <c r="O94" s="458">
        <f>'ANALYSE - ERP =&gt; SOUS-SEGMENT'!$FD$78*'ANALYSE - ERP =&gt; SOUS-SEGMENT'!$JE$78</f>
        <v>0</v>
      </c>
      <c r="P94" s="458">
        <f>'ANALYSE - ERP =&gt; SOUS-SEGMENT'!$FD$78*'ANALYSE - ERP =&gt; SOUS-SEGMENT'!$JF$78</f>
        <v>0</v>
      </c>
      <c r="Q94" s="458">
        <f>'ANALYSE - ERP =&gt; SOUS-SEGMENT'!$FD$78*'ANALYSE - ERP =&gt; SOUS-SEGMENT'!$JG$78</f>
        <v>0</v>
      </c>
      <c r="R94" s="458">
        <f>'ANALYSE - ERP =&gt; SOUS-SEGMENT'!$FD$78*'ANALYSE - ERP =&gt; SOUS-SEGMENT'!$JH$78</f>
        <v>0</v>
      </c>
      <c r="T94" s="430">
        <f>'ANALYSE - ERP =&gt; SOUS-SEGMENT'!$Q$78</f>
        <v>1</v>
      </c>
    </row>
    <row r="95" spans="1:20" ht="15" customHeight="1">
      <c r="A95" s="26">
        <v>92</v>
      </c>
      <c r="B95" s="26">
        <v>92</v>
      </c>
      <c r="C95" s="422">
        <f>'ANALYSE - ERP =&gt; SOUS-SEGMENT'!$A$123</f>
        <v>116</v>
      </c>
      <c r="D95" s="417" t="str">
        <f>'ANALYSE - ERP =&gt; SOUS-SEGMENT'!$B$123</f>
        <v>Transport, Mobilité &amp; Stationnement</v>
      </c>
      <c r="E95" s="417" t="str">
        <f>'ANALYSE - ERP =&gt; SOUS-SEGMENT'!$C$123</f>
        <v>Transport / Mobilité</v>
      </c>
      <c r="F95" s="417" t="str">
        <f>'ANALYSE - ERP =&gt; SOUS-SEGMENT'!$D$123</f>
        <v>Parcs de stationnement couverts (dotés de sanitaires)</v>
      </c>
      <c r="H95" s="458">
        <f>'ANALYSE - ERP =&gt; SOUS-SEGMENT'!$BF$123*'ANALYSE - ERP =&gt; SOUS-SEGMENT'!$IY$123</f>
        <v>0</v>
      </c>
      <c r="I95" s="458">
        <f>'ANALYSE - ERP =&gt; SOUS-SEGMENT'!$BF$123*'ANALYSE - ERP =&gt; SOUS-SEGMENT'!$IZ$123</f>
        <v>0</v>
      </c>
      <c r="J95" s="458">
        <f>'ANALYSE - ERP =&gt; SOUS-SEGMENT'!$BF$123*'ANALYSE - ERP =&gt; SOUS-SEGMENT'!$JA$123</f>
        <v>0</v>
      </c>
      <c r="K95" s="458">
        <f>'ANALYSE - ERP =&gt; SOUS-SEGMENT'!$BF$123*'ANALYSE - ERP =&gt; SOUS-SEGMENT'!$JB$123</f>
        <v>0</v>
      </c>
      <c r="L95" s="458">
        <f>'ANALYSE - ERP =&gt; SOUS-SEGMENT'!$BF$123*'ANALYSE - ERP =&gt; SOUS-SEGMENT'!$JC$123</f>
        <v>0</v>
      </c>
      <c r="N95" s="458">
        <f>'ANALYSE - ERP =&gt; SOUS-SEGMENT'!$FD$123*'ANALYSE - ERP =&gt; SOUS-SEGMENT'!$JD$123</f>
        <v>0</v>
      </c>
      <c r="O95" s="458">
        <f>'ANALYSE - ERP =&gt; SOUS-SEGMENT'!$FD$123*'ANALYSE - ERP =&gt; SOUS-SEGMENT'!$JE$123</f>
        <v>0</v>
      </c>
      <c r="P95" s="458">
        <f>'ANALYSE - ERP =&gt; SOUS-SEGMENT'!$FD$123*'ANALYSE - ERP =&gt; SOUS-SEGMENT'!$JF$123</f>
        <v>0</v>
      </c>
      <c r="Q95" s="458">
        <f>'ANALYSE - ERP =&gt; SOUS-SEGMENT'!$FD$123*'ANALYSE - ERP =&gt; SOUS-SEGMENT'!$JG$123</f>
        <v>0</v>
      </c>
      <c r="R95" s="458">
        <f>'ANALYSE - ERP =&gt; SOUS-SEGMENT'!$FD$123*'ANALYSE - ERP =&gt; SOUS-SEGMENT'!$JH$123</f>
        <v>0</v>
      </c>
      <c r="T95" s="430">
        <f>'ANALYSE - ERP =&gt; SOUS-SEGMENT'!$Q$123</f>
        <v>1</v>
      </c>
    </row>
    <row r="96" spans="1:20" ht="15" customHeight="1">
      <c r="A96" s="26">
        <v>93</v>
      </c>
      <c r="B96" s="26">
        <v>93</v>
      </c>
      <c r="C96" s="422">
        <f>'ANALYSE - ERP =&gt; SOUS-SEGMENT'!$A$133</f>
        <v>126</v>
      </c>
      <c r="D96" s="413" t="str">
        <f>'ANALYSE - ERP =&gt; SOUS-SEGMENT'!$B$133</f>
        <v>Sécurité &amp; Justice</v>
      </c>
      <c r="E96" s="413" t="str">
        <f>'ANALYSE - ERP =&gt; SOUS-SEGMENT'!$C$133</f>
        <v xml:space="preserve">Commissariats / postes de police </v>
      </c>
      <c r="F96" s="413" t="str">
        <f>'ANALYSE - ERP =&gt; SOUS-SEGMENT'!$D$133</f>
        <v>Postes de proximité et antennes avec accueil public</v>
      </c>
      <c r="H96" s="458">
        <f>'ANALYSE - ERP =&gt; SOUS-SEGMENT'!$BF$133*'ANALYSE - ERP =&gt; SOUS-SEGMENT'!$IY$133</f>
        <v>0</v>
      </c>
      <c r="I96" s="458">
        <f>'ANALYSE - ERP =&gt; SOUS-SEGMENT'!$BF$133*'ANALYSE - ERP =&gt; SOUS-SEGMENT'!$IZ$133</f>
        <v>0</v>
      </c>
      <c r="J96" s="458">
        <f>'ANALYSE - ERP =&gt; SOUS-SEGMENT'!$BF$133*'ANALYSE - ERP =&gt; SOUS-SEGMENT'!$JA$133</f>
        <v>0</v>
      </c>
      <c r="K96" s="458">
        <f>'ANALYSE - ERP =&gt; SOUS-SEGMENT'!$BF$133*'ANALYSE - ERP =&gt; SOUS-SEGMENT'!$JB$133</f>
        <v>0</v>
      </c>
      <c r="L96" s="458">
        <f>'ANALYSE - ERP =&gt; SOUS-SEGMENT'!$BF$133*'ANALYSE - ERP =&gt; SOUS-SEGMENT'!$JC$133</f>
        <v>0</v>
      </c>
      <c r="N96" s="458">
        <f>'ANALYSE - ERP =&gt; SOUS-SEGMENT'!$FD$133*'ANALYSE - ERP =&gt; SOUS-SEGMENT'!$JD$133</f>
        <v>0</v>
      </c>
      <c r="O96" s="458">
        <f>'ANALYSE - ERP =&gt; SOUS-SEGMENT'!$FD$133*'ANALYSE - ERP =&gt; SOUS-SEGMENT'!$JE$133</f>
        <v>0</v>
      </c>
      <c r="P96" s="458">
        <f>'ANALYSE - ERP =&gt; SOUS-SEGMENT'!$FD$133*'ANALYSE - ERP =&gt; SOUS-SEGMENT'!$JF$133</f>
        <v>0</v>
      </c>
      <c r="Q96" s="458">
        <f>'ANALYSE - ERP =&gt; SOUS-SEGMENT'!$FD$133*'ANALYSE - ERP =&gt; SOUS-SEGMENT'!$JG$133</f>
        <v>0</v>
      </c>
      <c r="R96" s="458">
        <f>'ANALYSE - ERP =&gt; SOUS-SEGMENT'!$FD$133*'ANALYSE - ERP =&gt; SOUS-SEGMENT'!$JH$133</f>
        <v>0</v>
      </c>
      <c r="T96" s="430">
        <f>'ANALYSE - ERP =&gt; SOUS-SEGMENT'!$Q$133</f>
        <v>1</v>
      </c>
    </row>
    <row r="97" spans="1:20" ht="15" customHeight="1">
      <c r="A97" s="26">
        <v>94</v>
      </c>
      <c r="B97" s="26">
        <v>94</v>
      </c>
      <c r="C97" s="422">
        <f>'ANALYSE - ERP =&gt; SOUS-SEGMENT'!$A$134</f>
        <v>127</v>
      </c>
      <c r="D97" s="417" t="str">
        <f>'ANALYSE - ERP =&gt; SOUS-SEGMENT'!$B$134</f>
        <v>Sécurité &amp; Justice</v>
      </c>
      <c r="E97" s="417" t="str">
        <f>'ANALYSE - ERP =&gt; SOUS-SEGMENT'!$C$134</f>
        <v xml:space="preserve">Commissariats / postes de police </v>
      </c>
      <c r="F97" s="417" t="str">
        <f>'ANALYSE - ERP =&gt; SOUS-SEGMENT'!$D$134</f>
        <v>Salles de réunion, de prévention ou de conférence ouvertes au public</v>
      </c>
      <c r="H97" s="458">
        <f>'ANALYSE - ERP =&gt; SOUS-SEGMENT'!$BF$134*'ANALYSE - ERP =&gt; SOUS-SEGMENT'!$IY$134</f>
        <v>0</v>
      </c>
      <c r="I97" s="458">
        <f>'ANALYSE - ERP =&gt; SOUS-SEGMENT'!$BF$134*'ANALYSE - ERP =&gt; SOUS-SEGMENT'!$IZ$134</f>
        <v>0</v>
      </c>
      <c r="J97" s="458">
        <f>'ANALYSE - ERP =&gt; SOUS-SEGMENT'!$BF$134*'ANALYSE - ERP =&gt; SOUS-SEGMENT'!$JA$134</f>
        <v>0</v>
      </c>
      <c r="K97" s="458">
        <f>'ANALYSE - ERP =&gt; SOUS-SEGMENT'!$BF$134*'ANALYSE - ERP =&gt; SOUS-SEGMENT'!$JB$134</f>
        <v>0</v>
      </c>
      <c r="L97" s="458">
        <f>'ANALYSE - ERP =&gt; SOUS-SEGMENT'!$BF$134*'ANALYSE - ERP =&gt; SOUS-SEGMENT'!$JC$134</f>
        <v>0</v>
      </c>
      <c r="N97" s="458">
        <f>'ANALYSE - ERP =&gt; SOUS-SEGMENT'!$FD$134*'ANALYSE - ERP =&gt; SOUS-SEGMENT'!$JD$134</f>
        <v>0</v>
      </c>
      <c r="O97" s="458">
        <f>'ANALYSE - ERP =&gt; SOUS-SEGMENT'!$FD$134*'ANALYSE - ERP =&gt; SOUS-SEGMENT'!$JE$134</f>
        <v>0</v>
      </c>
      <c r="P97" s="458">
        <f>'ANALYSE - ERP =&gt; SOUS-SEGMENT'!$FD$134*'ANALYSE - ERP =&gt; SOUS-SEGMENT'!$JF$134</f>
        <v>0</v>
      </c>
      <c r="Q97" s="458">
        <f>'ANALYSE - ERP =&gt; SOUS-SEGMENT'!$FD$134*'ANALYSE - ERP =&gt; SOUS-SEGMENT'!$JG$134</f>
        <v>0</v>
      </c>
      <c r="R97" s="458">
        <f>'ANALYSE - ERP =&gt; SOUS-SEGMENT'!$FD$134*'ANALYSE - ERP =&gt; SOUS-SEGMENT'!$JH$134</f>
        <v>0</v>
      </c>
      <c r="T97" s="430">
        <f>'ANALYSE - ERP =&gt; SOUS-SEGMENT'!$Q$134</f>
        <v>0</v>
      </c>
    </row>
    <row r="98" spans="1:20" ht="15" customHeight="1">
      <c r="A98" s="26">
        <v>95</v>
      </c>
      <c r="B98" s="26">
        <v>95</v>
      </c>
      <c r="C98" s="422">
        <f>'ANALYSE - ERP =&gt; SOUS-SEGMENT'!$A$136</f>
        <v>129</v>
      </c>
      <c r="D98" s="418" t="str">
        <f>'ANALYSE - ERP =&gt; SOUS-SEGMENT'!$B$136</f>
        <v>Sécurité &amp; Justice</v>
      </c>
      <c r="E98" s="418" t="str">
        <f>'ANALYSE - ERP =&gt; SOUS-SEGMENT'!$C$136</f>
        <v>Forces armées</v>
      </c>
      <c r="F98" s="418" t="str">
        <f>'ANALYSE - ERP =&gt; SOUS-SEGMENT'!$D$136</f>
        <v>Centres de recrutement et bureaux d’information</v>
      </c>
      <c r="H98" s="458">
        <f>'ANALYSE - ERP =&gt; SOUS-SEGMENT'!$BF$136*'ANALYSE - ERP =&gt; SOUS-SEGMENT'!$IY$136</f>
        <v>0</v>
      </c>
      <c r="I98" s="458">
        <f>'ANALYSE - ERP =&gt; SOUS-SEGMENT'!$BF$136*'ANALYSE - ERP =&gt; SOUS-SEGMENT'!$IZ$136</f>
        <v>0</v>
      </c>
      <c r="J98" s="458">
        <f>'ANALYSE - ERP =&gt; SOUS-SEGMENT'!$BF$136*'ANALYSE - ERP =&gt; SOUS-SEGMENT'!$JA$136</f>
        <v>0</v>
      </c>
      <c r="K98" s="458">
        <f>'ANALYSE - ERP =&gt; SOUS-SEGMENT'!$BF$136*'ANALYSE - ERP =&gt; SOUS-SEGMENT'!$JB$136</f>
        <v>0</v>
      </c>
      <c r="L98" s="458">
        <f>'ANALYSE - ERP =&gt; SOUS-SEGMENT'!$BF$136*'ANALYSE - ERP =&gt; SOUS-SEGMENT'!$JC$136</f>
        <v>0</v>
      </c>
      <c r="N98" s="458">
        <f>'ANALYSE - ERP =&gt; SOUS-SEGMENT'!$FD$136*'ANALYSE - ERP =&gt; SOUS-SEGMENT'!$JD$136</f>
        <v>0</v>
      </c>
      <c r="O98" s="458">
        <f>'ANALYSE - ERP =&gt; SOUS-SEGMENT'!$FD$136*'ANALYSE - ERP =&gt; SOUS-SEGMENT'!$JE$136</f>
        <v>0</v>
      </c>
      <c r="P98" s="458">
        <f>'ANALYSE - ERP =&gt; SOUS-SEGMENT'!$FD$136*'ANALYSE - ERP =&gt; SOUS-SEGMENT'!$JF$136</f>
        <v>0</v>
      </c>
      <c r="Q98" s="458">
        <f>'ANALYSE - ERP =&gt; SOUS-SEGMENT'!$FD$136*'ANALYSE - ERP =&gt; SOUS-SEGMENT'!$JG$136</f>
        <v>0</v>
      </c>
      <c r="R98" s="458">
        <f>'ANALYSE - ERP =&gt; SOUS-SEGMENT'!$FD$136*'ANALYSE - ERP =&gt; SOUS-SEGMENT'!$JH$136</f>
        <v>0</v>
      </c>
      <c r="T98" s="430">
        <f>'ANALYSE - ERP =&gt; SOUS-SEGMENT'!$Q$136</f>
        <v>1</v>
      </c>
    </row>
    <row r="99" spans="1:20" ht="15" customHeight="1">
      <c r="A99" s="26">
        <v>96</v>
      </c>
      <c r="B99" s="26">
        <v>96</v>
      </c>
      <c r="C99" s="422">
        <f>'ANALYSE - ERP =&gt; SOUS-SEGMENT'!$A$137</f>
        <v>130</v>
      </c>
      <c r="D99" s="417" t="str">
        <f>'ANALYSE - ERP =&gt; SOUS-SEGMENT'!$B$137</f>
        <v>Sécurité &amp; Justice</v>
      </c>
      <c r="E99" s="417" t="str">
        <f>'ANALYSE - ERP =&gt; SOUS-SEGMENT'!$C$137</f>
        <v>Forces armées</v>
      </c>
      <c r="F99" s="417" t="str">
        <f>'ANALYSE - ERP =&gt; SOUS-SEGMENT'!$D$137</f>
        <v>Restaurants ou équipements sportifs ouverts au public sur emprise militaire</v>
      </c>
      <c r="H99" s="458">
        <f>'ANALYSE - ERP =&gt; SOUS-SEGMENT'!$BF$137*'ANALYSE - ERP =&gt; SOUS-SEGMENT'!$IY$137</f>
        <v>0</v>
      </c>
      <c r="I99" s="458">
        <f>'ANALYSE - ERP =&gt; SOUS-SEGMENT'!$BF$137*'ANALYSE - ERP =&gt; SOUS-SEGMENT'!$IZ$137</f>
        <v>0</v>
      </c>
      <c r="J99" s="458">
        <f>'ANALYSE - ERP =&gt; SOUS-SEGMENT'!$BF$137*'ANALYSE - ERP =&gt; SOUS-SEGMENT'!$JA$137</f>
        <v>0</v>
      </c>
      <c r="K99" s="458">
        <f>'ANALYSE - ERP =&gt; SOUS-SEGMENT'!$BF$137*'ANALYSE - ERP =&gt; SOUS-SEGMENT'!$JB$137</f>
        <v>0</v>
      </c>
      <c r="L99" s="458">
        <f>'ANALYSE - ERP =&gt; SOUS-SEGMENT'!$BF$137*'ANALYSE - ERP =&gt; SOUS-SEGMENT'!$JC$137</f>
        <v>0</v>
      </c>
      <c r="N99" s="458">
        <f>'ANALYSE - ERP =&gt; SOUS-SEGMENT'!$FD$137*'ANALYSE - ERP =&gt; SOUS-SEGMENT'!$JD$137</f>
        <v>0</v>
      </c>
      <c r="O99" s="458">
        <f>'ANALYSE - ERP =&gt; SOUS-SEGMENT'!$FD$137*'ANALYSE - ERP =&gt; SOUS-SEGMENT'!$JE$137</f>
        <v>0</v>
      </c>
      <c r="P99" s="458">
        <f>'ANALYSE - ERP =&gt; SOUS-SEGMENT'!$FD$137*'ANALYSE - ERP =&gt; SOUS-SEGMENT'!$JF$137</f>
        <v>0</v>
      </c>
      <c r="Q99" s="458">
        <f>'ANALYSE - ERP =&gt; SOUS-SEGMENT'!$FD$137*'ANALYSE - ERP =&gt; SOUS-SEGMENT'!$JG$137</f>
        <v>0</v>
      </c>
      <c r="R99" s="458">
        <f>'ANALYSE - ERP =&gt; SOUS-SEGMENT'!$FD$137*'ANALYSE - ERP =&gt; SOUS-SEGMENT'!$JH$137</f>
        <v>0</v>
      </c>
      <c r="T99" s="430">
        <f>'ANALYSE - ERP =&gt; SOUS-SEGMENT'!$Q$137</f>
        <v>1</v>
      </c>
    </row>
    <row r="100" spans="1:20" ht="15" customHeight="1">
      <c r="A100" s="26">
        <v>97</v>
      </c>
      <c r="B100" s="26">
        <v>97</v>
      </c>
      <c r="C100" s="422">
        <f>'ANALYSE - ERP =&gt; SOUS-SEGMENT'!$A$145</f>
        <v>138</v>
      </c>
      <c r="D100" s="417" t="str">
        <f>'ANALYSE - ERP =&gt; SOUS-SEGMENT'!$B$145</f>
        <v>Sécurité &amp; Justice</v>
      </c>
      <c r="E100" s="417" t="str">
        <f>'ANALYSE - ERP =&gt; SOUS-SEGMENT'!$C$145</f>
        <v>Univers carcéral</v>
      </c>
      <c r="F100" s="417" t="str">
        <f>'ANALYSE - ERP =&gt; SOUS-SEGMENT'!$D$145</f>
        <v>Centres pour peines aménagées
(absorbés par autres centres carcéraux)</v>
      </c>
      <c r="H100" s="458">
        <f>'ANALYSE - ERP =&gt; SOUS-SEGMENT'!$BF$145*'ANALYSE - ERP =&gt; SOUS-SEGMENT'!$IY$145</f>
        <v>0</v>
      </c>
      <c r="I100" s="458">
        <f>'ANALYSE - ERP =&gt; SOUS-SEGMENT'!$BF$145*'ANALYSE - ERP =&gt; SOUS-SEGMENT'!$IZ$145</f>
        <v>0</v>
      </c>
      <c r="J100" s="458">
        <f>'ANALYSE - ERP =&gt; SOUS-SEGMENT'!$BF$145*'ANALYSE - ERP =&gt; SOUS-SEGMENT'!$JA$145</f>
        <v>0</v>
      </c>
      <c r="K100" s="458">
        <f>'ANALYSE - ERP =&gt; SOUS-SEGMENT'!$BF$145*'ANALYSE - ERP =&gt; SOUS-SEGMENT'!$JB$145</f>
        <v>0</v>
      </c>
      <c r="L100" s="458">
        <f>'ANALYSE - ERP =&gt; SOUS-SEGMENT'!$BF$145*'ANALYSE - ERP =&gt; SOUS-SEGMENT'!$JC$145</f>
        <v>0</v>
      </c>
      <c r="N100" s="458">
        <f>'ANALYSE - ERP =&gt; SOUS-SEGMENT'!$FD$145*'ANALYSE - ERP =&gt; SOUS-SEGMENT'!$JD$145</f>
        <v>0</v>
      </c>
      <c r="O100" s="458">
        <f>'ANALYSE - ERP =&gt; SOUS-SEGMENT'!$FD$145*'ANALYSE - ERP =&gt; SOUS-SEGMENT'!$JE$145</f>
        <v>0</v>
      </c>
      <c r="P100" s="458">
        <f>'ANALYSE - ERP =&gt; SOUS-SEGMENT'!$FD$145*'ANALYSE - ERP =&gt; SOUS-SEGMENT'!$JF$145</f>
        <v>0</v>
      </c>
      <c r="Q100" s="458">
        <f>'ANALYSE - ERP =&gt; SOUS-SEGMENT'!$FD$145*'ANALYSE - ERP =&gt; SOUS-SEGMENT'!$JG$145</f>
        <v>0</v>
      </c>
      <c r="R100" s="458">
        <f>'ANALYSE - ERP =&gt; SOUS-SEGMENT'!$FD$145*'ANALYSE - ERP =&gt; SOUS-SEGMENT'!$JH$145</f>
        <v>0</v>
      </c>
      <c r="T100" s="430">
        <f>'ANALYSE - ERP =&gt; SOUS-SEGMENT'!$Q$145</f>
        <v>0</v>
      </c>
    </row>
    <row r="101" spans="1:20" ht="15" customHeight="1">
      <c r="A101" s="26">
        <v>98</v>
      </c>
      <c r="B101" s="26">
        <v>98</v>
      </c>
      <c r="C101" s="422">
        <f>'ANALYSE - ERP =&gt; SOUS-SEGMENT'!$A$146</f>
        <v>139</v>
      </c>
      <c r="D101" s="414" t="str">
        <f>'ANALYSE - ERP =&gt; SOUS-SEGMENT'!$B$146</f>
        <v>Sécurité &amp; Justice</v>
      </c>
      <c r="E101" s="414" t="str">
        <f>'ANALYSE - ERP =&gt; SOUS-SEGMENT'!$C$146</f>
        <v>Tribunaux</v>
      </c>
      <c r="F101" s="414" t="str">
        <f>'ANALYSE - ERP =&gt; SOUS-SEGMENT'!$D$146</f>
        <v>Palais de justice et bâtiments judiciaires multi-usages</v>
      </c>
      <c r="H101" s="458">
        <f>'ANALYSE - ERP =&gt; SOUS-SEGMENT'!$BF$146*'ANALYSE - ERP =&gt; SOUS-SEGMENT'!$IY$146</f>
        <v>0</v>
      </c>
      <c r="I101" s="458">
        <f>'ANALYSE - ERP =&gt; SOUS-SEGMENT'!$BF$146*'ANALYSE - ERP =&gt; SOUS-SEGMENT'!$IZ$146</f>
        <v>0</v>
      </c>
      <c r="J101" s="458">
        <f>'ANALYSE - ERP =&gt; SOUS-SEGMENT'!$BF$146*'ANALYSE - ERP =&gt; SOUS-SEGMENT'!$JA$146</f>
        <v>0</v>
      </c>
      <c r="K101" s="458">
        <f>'ANALYSE - ERP =&gt; SOUS-SEGMENT'!$BF$146*'ANALYSE - ERP =&gt; SOUS-SEGMENT'!$JB$146</f>
        <v>0</v>
      </c>
      <c r="L101" s="458">
        <f>'ANALYSE - ERP =&gt; SOUS-SEGMENT'!$BF$146*'ANALYSE - ERP =&gt; SOUS-SEGMENT'!$JC$146</f>
        <v>0</v>
      </c>
      <c r="N101" s="458">
        <f>'ANALYSE - ERP =&gt; SOUS-SEGMENT'!$FD$146*'ANALYSE - ERP =&gt; SOUS-SEGMENT'!$JD$146</f>
        <v>0</v>
      </c>
      <c r="O101" s="458">
        <f>'ANALYSE - ERP =&gt; SOUS-SEGMENT'!$FD$146*'ANALYSE - ERP =&gt; SOUS-SEGMENT'!$JE$146</f>
        <v>0</v>
      </c>
      <c r="P101" s="458">
        <f>'ANALYSE - ERP =&gt; SOUS-SEGMENT'!$FD$146*'ANALYSE - ERP =&gt; SOUS-SEGMENT'!$JF$146</f>
        <v>0</v>
      </c>
      <c r="Q101" s="458">
        <f>'ANALYSE - ERP =&gt; SOUS-SEGMENT'!$FD$146*'ANALYSE - ERP =&gt; SOUS-SEGMENT'!$JG$146</f>
        <v>0</v>
      </c>
      <c r="R101" s="458">
        <f>'ANALYSE - ERP =&gt; SOUS-SEGMENT'!$FD$146*'ANALYSE - ERP =&gt; SOUS-SEGMENT'!$JH$146</f>
        <v>0</v>
      </c>
      <c r="T101" s="430">
        <f>'ANALYSE - ERP =&gt; SOUS-SEGMENT'!$Q$146</f>
        <v>1</v>
      </c>
    </row>
    <row r="102" spans="1:20" ht="15" customHeight="1">
      <c r="A102" s="26">
        <v>99</v>
      </c>
      <c r="B102" s="26">
        <v>99</v>
      </c>
      <c r="C102" s="422">
        <f>'ANALYSE - ERP =&gt; SOUS-SEGMENT'!$A$147</f>
        <v>140</v>
      </c>
      <c r="D102" s="414" t="str">
        <f>'ANALYSE - ERP =&gt; SOUS-SEGMENT'!$B$147</f>
        <v>Sécurité &amp; Justice</v>
      </c>
      <c r="E102" s="414" t="str">
        <f>'ANALYSE - ERP =&gt; SOUS-SEGMENT'!$C$147</f>
        <v>Tribunaux</v>
      </c>
      <c r="F102" s="414" t="str">
        <f>'ANALYSE - ERP =&gt; SOUS-SEGMENT'!$D$147</f>
        <v>Maisons de justice et du droit</v>
      </c>
      <c r="H102" s="458">
        <f>'ANALYSE - ERP =&gt; SOUS-SEGMENT'!$BF$147*'ANALYSE - ERP =&gt; SOUS-SEGMENT'!$IY$147</f>
        <v>0</v>
      </c>
      <c r="I102" s="458">
        <f>'ANALYSE - ERP =&gt; SOUS-SEGMENT'!$BF$147*'ANALYSE - ERP =&gt; SOUS-SEGMENT'!$IZ$147</f>
        <v>0</v>
      </c>
      <c r="J102" s="458">
        <f>'ANALYSE - ERP =&gt; SOUS-SEGMENT'!$BF$147*'ANALYSE - ERP =&gt; SOUS-SEGMENT'!$JA$147</f>
        <v>0</v>
      </c>
      <c r="K102" s="458">
        <f>'ANALYSE - ERP =&gt; SOUS-SEGMENT'!$BF$147*'ANALYSE - ERP =&gt; SOUS-SEGMENT'!$JB$147</f>
        <v>0</v>
      </c>
      <c r="L102" s="458">
        <f>'ANALYSE - ERP =&gt; SOUS-SEGMENT'!$BF$147*'ANALYSE - ERP =&gt; SOUS-SEGMENT'!$JC$147</f>
        <v>0</v>
      </c>
      <c r="N102" s="458">
        <f>'ANALYSE - ERP =&gt; SOUS-SEGMENT'!$FD$147*'ANALYSE - ERP =&gt; SOUS-SEGMENT'!$JD$147</f>
        <v>0</v>
      </c>
      <c r="O102" s="458">
        <f>'ANALYSE - ERP =&gt; SOUS-SEGMENT'!$FD$147*'ANALYSE - ERP =&gt; SOUS-SEGMENT'!$JE$147</f>
        <v>0</v>
      </c>
      <c r="P102" s="458">
        <f>'ANALYSE - ERP =&gt; SOUS-SEGMENT'!$FD$147*'ANALYSE - ERP =&gt; SOUS-SEGMENT'!$JF$147</f>
        <v>0</v>
      </c>
      <c r="Q102" s="458">
        <f>'ANALYSE - ERP =&gt; SOUS-SEGMENT'!$FD$147*'ANALYSE - ERP =&gt; SOUS-SEGMENT'!$JG$147</f>
        <v>0</v>
      </c>
      <c r="R102" s="458">
        <f>'ANALYSE - ERP =&gt; SOUS-SEGMENT'!$FD$147*'ANALYSE - ERP =&gt; SOUS-SEGMENT'!$JH$147</f>
        <v>0</v>
      </c>
      <c r="T102" s="430">
        <f>'ANALYSE - ERP =&gt; SOUS-SEGMENT'!$Q$147</f>
        <v>1</v>
      </c>
    </row>
    <row r="103" spans="1:20" ht="15" customHeight="1">
      <c r="A103" s="26">
        <v>100</v>
      </c>
      <c r="B103" s="26">
        <v>100</v>
      </c>
      <c r="C103" s="422">
        <f>'ANALYSE - ERP =&gt; SOUS-SEGMENT'!$A$148</f>
        <v>141</v>
      </c>
      <c r="D103" s="417" t="str">
        <f>'ANALYSE - ERP =&gt; SOUS-SEGMENT'!$B$148</f>
        <v>Sécurité &amp; Justice</v>
      </c>
      <c r="E103" s="417" t="str">
        <f>'ANALYSE - ERP =&gt; SOUS-SEGMENT'!$C$148</f>
        <v>Tribunaux</v>
      </c>
      <c r="F103" s="417" t="str">
        <f>'ANALYSE - ERP =&gt; SOUS-SEGMENT'!$D$148</f>
        <v>Tribunaux de commerce autonomes</v>
      </c>
      <c r="H103" s="458">
        <f>'ANALYSE - ERP =&gt; SOUS-SEGMENT'!$BF$148*'ANALYSE - ERP =&gt; SOUS-SEGMENT'!$IY$148</f>
        <v>0</v>
      </c>
      <c r="I103" s="458">
        <f>'ANALYSE - ERP =&gt; SOUS-SEGMENT'!$BF$148*'ANALYSE - ERP =&gt; SOUS-SEGMENT'!$IZ$148</f>
        <v>0</v>
      </c>
      <c r="J103" s="458">
        <f>'ANALYSE - ERP =&gt; SOUS-SEGMENT'!$BF$148*'ANALYSE - ERP =&gt; SOUS-SEGMENT'!$JA$148</f>
        <v>0</v>
      </c>
      <c r="K103" s="458">
        <f>'ANALYSE - ERP =&gt; SOUS-SEGMENT'!$BF$148*'ANALYSE - ERP =&gt; SOUS-SEGMENT'!$JB$148</f>
        <v>0</v>
      </c>
      <c r="L103" s="458">
        <f>'ANALYSE - ERP =&gt; SOUS-SEGMENT'!$BF$148*'ANALYSE - ERP =&gt; SOUS-SEGMENT'!$JC$148</f>
        <v>0</v>
      </c>
      <c r="N103" s="458">
        <f>'ANALYSE - ERP =&gt; SOUS-SEGMENT'!$FD$148*'ANALYSE - ERP =&gt; SOUS-SEGMENT'!$JD$148</f>
        <v>0</v>
      </c>
      <c r="O103" s="458">
        <f>'ANALYSE - ERP =&gt; SOUS-SEGMENT'!$FD$148*'ANALYSE - ERP =&gt; SOUS-SEGMENT'!$JE$148</f>
        <v>0</v>
      </c>
      <c r="P103" s="458">
        <f>'ANALYSE - ERP =&gt; SOUS-SEGMENT'!$FD$148*'ANALYSE - ERP =&gt; SOUS-SEGMENT'!$JF$148</f>
        <v>0</v>
      </c>
      <c r="Q103" s="458">
        <f>'ANALYSE - ERP =&gt; SOUS-SEGMENT'!$FD$148*'ANALYSE - ERP =&gt; SOUS-SEGMENT'!$JG$148</f>
        <v>0</v>
      </c>
      <c r="R103" s="458">
        <f>'ANALYSE - ERP =&gt; SOUS-SEGMENT'!$FD$148*'ANALYSE - ERP =&gt; SOUS-SEGMENT'!$JH$148</f>
        <v>0</v>
      </c>
      <c r="T103" s="430">
        <f>'ANALYSE - ERP =&gt; SOUS-SEGMENT'!$Q$148</f>
        <v>1</v>
      </c>
    </row>
    <row r="104" spans="1:20" ht="15" customHeight="1">
      <c r="A104" s="26">
        <v>101</v>
      </c>
      <c r="B104" s="26">
        <v>101</v>
      </c>
      <c r="C104" s="422">
        <f>'ANALYSE - ERP =&gt; SOUS-SEGMENT'!$A$149</f>
        <v>142</v>
      </c>
      <c r="D104" s="417" t="str">
        <f>'ANALYSE - ERP =&gt; SOUS-SEGMENT'!$B$149</f>
        <v>Sécurité &amp; Justice</v>
      </c>
      <c r="E104" s="417" t="str">
        <f>'ANALYSE - ERP =&gt; SOUS-SEGMENT'!$C$149</f>
        <v>Tribunaux</v>
      </c>
      <c r="F104" s="417" t="str">
        <f>'ANALYSE - ERP =&gt; SOUS-SEGMENT'!$D$149</f>
        <v>Conseils de prud’hommes autonomes</v>
      </c>
      <c r="H104" s="458">
        <f>'ANALYSE - ERP =&gt; SOUS-SEGMENT'!$BF$149*'ANALYSE - ERP =&gt; SOUS-SEGMENT'!$IY$149</f>
        <v>0</v>
      </c>
      <c r="I104" s="458">
        <f>'ANALYSE - ERP =&gt; SOUS-SEGMENT'!$BF$149*'ANALYSE - ERP =&gt; SOUS-SEGMENT'!$IZ$149</f>
        <v>0</v>
      </c>
      <c r="J104" s="458">
        <f>'ANALYSE - ERP =&gt; SOUS-SEGMENT'!$BF$149*'ANALYSE - ERP =&gt; SOUS-SEGMENT'!$JA$149</f>
        <v>0</v>
      </c>
      <c r="K104" s="458">
        <f>'ANALYSE - ERP =&gt; SOUS-SEGMENT'!$BF$149*'ANALYSE - ERP =&gt; SOUS-SEGMENT'!$JB$149</f>
        <v>0</v>
      </c>
      <c r="L104" s="458">
        <f>'ANALYSE - ERP =&gt; SOUS-SEGMENT'!$BF$149*'ANALYSE - ERP =&gt; SOUS-SEGMENT'!$JC$149</f>
        <v>0</v>
      </c>
      <c r="N104" s="458">
        <f>'ANALYSE - ERP =&gt; SOUS-SEGMENT'!$FD$149*'ANALYSE - ERP =&gt; SOUS-SEGMENT'!$JD$149</f>
        <v>0</v>
      </c>
      <c r="O104" s="458">
        <f>'ANALYSE - ERP =&gt; SOUS-SEGMENT'!$FD$149*'ANALYSE - ERP =&gt; SOUS-SEGMENT'!$JE$149</f>
        <v>0</v>
      </c>
      <c r="P104" s="458">
        <f>'ANALYSE - ERP =&gt; SOUS-SEGMENT'!$FD$149*'ANALYSE - ERP =&gt; SOUS-SEGMENT'!$JF$149</f>
        <v>0</v>
      </c>
      <c r="Q104" s="458">
        <f>'ANALYSE - ERP =&gt; SOUS-SEGMENT'!$FD$149*'ANALYSE - ERP =&gt; SOUS-SEGMENT'!$JG$149</f>
        <v>0</v>
      </c>
      <c r="R104" s="458">
        <f>'ANALYSE - ERP =&gt; SOUS-SEGMENT'!$FD$149*'ANALYSE - ERP =&gt; SOUS-SEGMENT'!$JH$149</f>
        <v>0</v>
      </c>
      <c r="T104" s="430">
        <f>'ANALYSE - ERP =&gt; SOUS-SEGMENT'!$Q$149</f>
        <v>1</v>
      </c>
    </row>
    <row r="105" spans="1:20" ht="15" customHeight="1">
      <c r="A105" s="26">
        <v>102</v>
      </c>
      <c r="B105" s="26">
        <v>102</v>
      </c>
      <c r="C105" s="422" t="e">
        <f>'ANALYSE - ERP =&gt; SOUS-SEGMENT'!#REF!</f>
        <v>#REF!</v>
      </c>
      <c r="D105" s="417" t="e">
        <f>'ANALYSE - ERP =&gt; SOUS-SEGMENT'!#REF!</f>
        <v>#REF!</v>
      </c>
      <c r="E105" s="417" t="e">
        <f>'ANALYSE - ERP =&gt; SOUS-SEGMENT'!#REF!</f>
        <v>#REF!</v>
      </c>
      <c r="F105" s="417" t="e">
        <f>'ANALYSE - ERP =&gt; SOUS-SEGMENT'!#REF!</f>
        <v>#REF!</v>
      </c>
      <c r="H105" s="458" t="e">
        <f>'ANALYSE - ERP =&gt; SOUS-SEGMENT'!#REF!*'ANALYSE - ERP =&gt; SOUS-SEGMENT'!#REF!</f>
        <v>#REF!</v>
      </c>
      <c r="I105" s="458" t="e">
        <f>'ANALYSE - ERP =&gt; SOUS-SEGMENT'!#REF!*'ANALYSE - ERP =&gt; SOUS-SEGMENT'!#REF!</f>
        <v>#REF!</v>
      </c>
      <c r="J105" s="458" t="e">
        <f>'ANALYSE - ERP =&gt; SOUS-SEGMENT'!#REF!*'ANALYSE - ERP =&gt; SOUS-SEGMENT'!#REF!</f>
        <v>#REF!</v>
      </c>
      <c r="K105" s="458" t="e">
        <f>'ANALYSE - ERP =&gt; SOUS-SEGMENT'!#REF!*'ANALYSE - ERP =&gt; SOUS-SEGMENT'!#REF!</f>
        <v>#REF!</v>
      </c>
      <c r="L105" s="458" t="e">
        <f>'ANALYSE - ERP =&gt; SOUS-SEGMENT'!#REF!*'ANALYSE - ERP =&gt; SOUS-SEGMENT'!#REF!</f>
        <v>#REF!</v>
      </c>
      <c r="N105" s="458" t="e">
        <f>'ANALYSE - ERP =&gt; SOUS-SEGMENT'!#REF!*'ANALYSE - ERP =&gt; SOUS-SEGMENT'!#REF!</f>
        <v>#REF!</v>
      </c>
      <c r="O105" s="458" t="e">
        <f>'ANALYSE - ERP =&gt; SOUS-SEGMENT'!#REF!*'ANALYSE - ERP =&gt; SOUS-SEGMENT'!#REF!</f>
        <v>#REF!</v>
      </c>
      <c r="P105" s="458" t="e">
        <f>'ANALYSE - ERP =&gt; SOUS-SEGMENT'!#REF!*'ANALYSE - ERP =&gt; SOUS-SEGMENT'!#REF!</f>
        <v>#REF!</v>
      </c>
      <c r="Q105" s="458" t="e">
        <f>'ANALYSE - ERP =&gt; SOUS-SEGMENT'!#REF!*'ANALYSE - ERP =&gt; SOUS-SEGMENT'!#REF!</f>
        <v>#REF!</v>
      </c>
      <c r="R105" s="458" t="e">
        <f>'ANALYSE - ERP =&gt; SOUS-SEGMENT'!#REF!*'ANALYSE - ERP =&gt; SOUS-SEGMENT'!#REF!</f>
        <v>#REF!</v>
      </c>
      <c r="T105" s="430" t="e">
        <f>'ANALYSE - ERP =&gt; SOUS-SEGMENT'!#REF!</f>
        <v>#REF!</v>
      </c>
    </row>
    <row r="106" spans="1:20" s="45" customFormat="1" ht="15" customHeight="1">
      <c r="A106" s="406">
        <v>103</v>
      </c>
      <c r="B106" s="406">
        <v>103</v>
      </c>
      <c r="C106" s="448">
        <f>'ANALYSE - ERP =&gt; SOUS-SEGMENT'!$A$150</f>
        <v>143</v>
      </c>
      <c r="D106" s="423" t="str">
        <f>'ANALYSE - ERP =&gt; SOUS-SEGMENT'!$B$150</f>
        <v>Sanitaires Publics</v>
      </c>
      <c r="E106" s="423" t="str">
        <f>'ANALYSE - ERP =&gt; SOUS-SEGMENT'!$C$150</f>
        <v>Sanitaires publics</v>
      </c>
      <c r="F106" s="423" t="str">
        <f>'ANALYSE - ERP =&gt; SOUS-SEGMENT'!$D$150</f>
        <v>Toilettes publiques (sur la voie publique)</v>
      </c>
      <c r="G106" s="685"/>
      <c r="H106" s="459">
        <f>'ANALYSE - ERP =&gt; SOUS-SEGMENT'!$BF$150*'ANALYSE - ERP =&gt; SOUS-SEGMENT'!$IY$150</f>
        <v>0</v>
      </c>
      <c r="I106" s="459">
        <f>'ANALYSE - ERP =&gt; SOUS-SEGMENT'!$BF$150*'ANALYSE - ERP =&gt; SOUS-SEGMENT'!$IZ$150</f>
        <v>0</v>
      </c>
      <c r="J106" s="459">
        <f>'ANALYSE - ERP =&gt; SOUS-SEGMENT'!$BF$150*'ANALYSE - ERP =&gt; SOUS-SEGMENT'!$JA$150</f>
        <v>0</v>
      </c>
      <c r="K106" s="459">
        <f>'ANALYSE - ERP =&gt; SOUS-SEGMENT'!$BF$150*'ANALYSE - ERP =&gt; SOUS-SEGMENT'!$JB$150</f>
        <v>0</v>
      </c>
      <c r="L106" s="459">
        <f>'ANALYSE - ERP =&gt; SOUS-SEGMENT'!$BF$150*'ANALYSE - ERP =&gt; SOUS-SEGMENT'!$JC$150</f>
        <v>0</v>
      </c>
      <c r="M106" s="685"/>
      <c r="N106" s="459">
        <f>'ANALYSE - ERP =&gt; SOUS-SEGMENT'!$FD$150*'ANALYSE - ERP =&gt; SOUS-SEGMENT'!$JD$150</f>
        <v>0</v>
      </c>
      <c r="O106" s="459">
        <f>'ANALYSE - ERP =&gt; SOUS-SEGMENT'!$FD$150*'ANALYSE - ERP =&gt; SOUS-SEGMENT'!$JE$150</f>
        <v>0</v>
      </c>
      <c r="P106" s="459">
        <f>'ANALYSE - ERP =&gt; SOUS-SEGMENT'!$FD$150*'ANALYSE - ERP =&gt; SOUS-SEGMENT'!$JF$150</f>
        <v>0</v>
      </c>
      <c r="Q106" s="459">
        <f>'ANALYSE - ERP =&gt; SOUS-SEGMENT'!$FD$150*'ANALYSE - ERP =&gt; SOUS-SEGMENT'!$JG$150</f>
        <v>0</v>
      </c>
      <c r="R106" s="459">
        <f>'ANALYSE - ERP =&gt; SOUS-SEGMENT'!$FD$150*'ANALYSE - ERP =&gt; SOUS-SEGMENT'!$JH$150</f>
        <v>0</v>
      </c>
      <c r="S106" s="685"/>
      <c r="T106" s="450">
        <f>'ANALYSE - ERP =&gt; SOUS-SEGMENT'!$Q$150</f>
        <v>1</v>
      </c>
    </row>
  </sheetData>
  <autoFilter ref="A2:T2" xr:uid="{00000000-0009-0000-0000-00001F000000}"/>
  <conditionalFormatting sqref="H4:L106">
    <cfRule type="colorScale" priority="2">
      <colorScale>
        <cfvo type="min"/>
        <cfvo type="formula" val="MEDIAN($H$4:$L$106)"/>
        <cfvo type="max"/>
        <color rgb="FFF8696B"/>
        <color theme="0"/>
        <color rgb="FF63BE7B"/>
      </colorScale>
    </cfRule>
  </conditionalFormatting>
  <conditionalFormatting sqref="N4:R106">
    <cfRule type="colorScale" priority="1">
      <colorScale>
        <cfvo type="min"/>
        <cfvo type="formula" val="MEDIAN($N$4:$R$106)"/>
        <cfvo type="max"/>
        <color rgb="FFF8696B"/>
        <color theme="0"/>
        <color rgb="FF63BE7B"/>
      </colorScale>
    </cfRule>
  </conditionalFormatting>
  <pageMargins left="3.937007874015748E-2" right="3.937007874015748E-2" top="7.874015748031496E-2" bottom="7.874015748031496E-2" header="0.11811023622047249" footer="0.11811023622047249"/>
  <pageSetup paperSize="8" scale="88" fitToHeight="2"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pageSetUpPr fitToPage="1"/>
  </sheetPr>
  <dimension ref="A1:BZ106"/>
  <sheetViews>
    <sheetView zoomScale="85" zoomScaleNormal="85" workbookViewId="0">
      <pane xSplit="6" ySplit="3" topLeftCell="G4" activePane="bottomRight" state="frozen"/>
      <selection pane="topRight" activeCell="G1" sqref="G1"/>
      <selection pane="bottomLeft" activeCell="A4" sqref="A4"/>
      <selection pane="bottomRight" activeCell="Q19" sqref="Q19"/>
    </sheetView>
  </sheetViews>
  <sheetFormatPr baseColWidth="10" defaultColWidth="9.140625" defaultRowHeight="15"/>
  <cols>
    <col min="1" max="2" width="9" style="934" customWidth="1"/>
    <col min="3" max="3" width="6" style="934" customWidth="1"/>
    <col min="4" max="4" width="32.5703125" style="934" customWidth="1"/>
    <col min="5" max="5" width="28.85546875" style="43" customWidth="1"/>
    <col min="6" max="6" width="51" style="43" customWidth="1"/>
    <col min="7" max="7" width="1.7109375" style="933" customWidth="1"/>
    <col min="8" max="8" width="8.7109375" style="43" customWidth="1"/>
    <col min="9" max="12" width="8.7109375" style="934" customWidth="1"/>
    <col min="13" max="13" width="1.7109375" style="933" customWidth="1"/>
    <col min="14" max="18" width="8.7109375" style="934" customWidth="1"/>
    <col min="19" max="19" width="1.7109375" style="933" customWidth="1"/>
    <col min="20" max="20" width="12" style="934" customWidth="1"/>
    <col min="21" max="78" width="9.140625" style="933" customWidth="1"/>
  </cols>
  <sheetData>
    <row r="1" spans="1:78" s="933" customFormat="1" ht="18.75" customHeight="1">
      <c r="C1" s="477"/>
      <c r="D1" s="479"/>
      <c r="E1" s="478" t="s">
        <v>7977</v>
      </c>
      <c r="F1" s="479"/>
      <c r="H1" s="474"/>
      <c r="I1" s="474"/>
      <c r="J1" s="475" t="s">
        <v>7968</v>
      </c>
      <c r="K1" s="474"/>
      <c r="L1" s="474"/>
      <c r="N1" s="452"/>
      <c r="O1" s="452"/>
      <c r="P1" s="476" t="s">
        <v>7969</v>
      </c>
      <c r="Q1" s="452"/>
      <c r="R1" s="452"/>
      <c r="T1" s="452"/>
    </row>
    <row r="2" spans="1:78"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78">
      <c r="A3" s="405" t="s">
        <v>2535</v>
      </c>
      <c r="B3" s="405" t="s">
        <v>2535</v>
      </c>
      <c r="C3" s="405" t="s">
        <v>2090</v>
      </c>
      <c r="D3" s="405" t="s">
        <v>2086</v>
      </c>
      <c r="E3" s="405" t="s">
        <v>6728</v>
      </c>
      <c r="F3" s="405" t="s">
        <v>6729</v>
      </c>
      <c r="H3" s="790">
        <f>'ANALYSE - ERP =&gt; SOUS-SEGMENT'!JI6</f>
        <v>0.1234</v>
      </c>
      <c r="I3" s="790">
        <f>'ANALYSE - ERP =&gt; SOUS-SEGMENT'!JJ6</f>
        <v>0.47060000000000002</v>
      </c>
      <c r="J3" s="790">
        <f>'ANALYSE - ERP =&gt; SOUS-SEGMENT'!JK6</f>
        <v>0.31990000000000002</v>
      </c>
      <c r="K3" s="790">
        <f>'ANALYSE - ERP =&gt; SOUS-SEGMENT'!JL6</f>
        <v>7.5899999999999995E-2</v>
      </c>
      <c r="L3" s="790">
        <f>'ANALYSE - ERP =&gt; SOUS-SEGMENT'!JM6</f>
        <v>1.0200000000000001E-2</v>
      </c>
      <c r="N3" s="790">
        <f>'ANALYSE - ERP =&gt; SOUS-SEGMENT'!JN6</f>
        <v>5.6000000000000001E-2</v>
      </c>
      <c r="O3" s="790">
        <f>'ANALYSE - ERP =&gt; SOUS-SEGMENT'!JO6</f>
        <v>0.37409999999999999</v>
      </c>
      <c r="P3" s="790">
        <f>'ANALYSE - ERP =&gt; SOUS-SEGMENT'!JP6</f>
        <v>0.41660000000000003</v>
      </c>
      <c r="Q3" s="790">
        <f>'ANALYSE - ERP =&gt; SOUS-SEGMENT'!JQ6</f>
        <v>0.13270000000000001</v>
      </c>
      <c r="R3" s="790">
        <f>'ANALYSE - ERP =&gt; SOUS-SEGMENT'!JR6</f>
        <v>2.06E-2</v>
      </c>
      <c r="T3" s="428">
        <f>SUM('ANALYSE - ERP =&gt; SOUS-SEGMENT'!$Q$8:$Q$150)</f>
        <v>137</v>
      </c>
    </row>
    <row r="4" spans="1:78" ht="15" customHeight="1">
      <c r="A4" s="26">
        <v>1</v>
      </c>
      <c r="B4" s="26">
        <v>2</v>
      </c>
      <c r="C4" s="422">
        <f>'ANALYSE - ERP =&gt; SOUS-SEGMENT'!$A$75</f>
        <v>68</v>
      </c>
      <c r="D4" s="412" t="str">
        <f>'ANALYSE - ERP =&gt; SOUS-SEGMENT'!$B$75</f>
        <v>Commerce, Restauration &amp; Loisirs</v>
      </c>
      <c r="E4" s="412" t="str">
        <f>'ANALYSE - ERP =&gt; SOUS-SEGMENT'!$C$75</f>
        <v>Restauration / boissons</v>
      </c>
      <c r="F4" s="412" t="str">
        <f>'ANALYSE - ERP =&gt; SOUS-SEGMENT'!$D$75</f>
        <v>Restaurants
(Hors établissements altitude, flottant, armée)</v>
      </c>
      <c r="H4" s="787">
        <f>'ANALYSE - ERP =&gt; SOUS-SEGMENT'!$JI$75</f>
        <v>2.0899999999999998E-2</v>
      </c>
      <c r="I4" s="787">
        <f>'ANALYSE - ERP =&gt; SOUS-SEGMENT'!$JJ$75</f>
        <v>0.43930000000000002</v>
      </c>
      <c r="J4" s="787">
        <f>'ANALYSE - ERP =&gt; SOUS-SEGMENT'!$JK$75</f>
        <v>0.43580000000000002</v>
      </c>
      <c r="K4" s="787">
        <f>'ANALYSE - ERP =&gt; SOUS-SEGMENT'!$JL$75</f>
        <v>9.9400000000000002E-2</v>
      </c>
      <c r="L4" s="787">
        <f>'ANALYSE - ERP =&gt; SOUS-SEGMENT'!$JM$75</f>
        <v>4.5999999999999999E-3</v>
      </c>
      <c r="N4" s="787">
        <f>'ANALYSE - ERP =&gt; SOUS-SEGMENT'!$JN$75</f>
        <v>0</v>
      </c>
      <c r="O4" s="787">
        <f>'ANALYSE - ERP =&gt; SOUS-SEGMENT'!$JO$75</f>
        <v>0.40310000000000001</v>
      </c>
      <c r="P4" s="787">
        <f>'ANALYSE - ERP =&gt; SOUS-SEGMENT'!$JP$75</f>
        <v>0.4602</v>
      </c>
      <c r="Q4" s="787">
        <f>'ANALYSE - ERP =&gt; SOUS-SEGMENT'!$JQ$75</f>
        <v>0.126</v>
      </c>
      <c r="R4" s="787">
        <f>'ANALYSE - ERP =&gt; SOUS-SEGMENT'!$JR$75</f>
        <v>1.0699999999999999E-2</v>
      </c>
      <c r="T4" s="430">
        <f>'ANALYSE - ERP =&gt; SOUS-SEGMENT'!$Q$75</f>
        <v>1</v>
      </c>
    </row>
    <row r="5" spans="1:78" ht="15" customHeight="1">
      <c r="A5" s="26">
        <v>2</v>
      </c>
      <c r="B5" s="26">
        <v>1</v>
      </c>
      <c r="C5" s="422">
        <f>'ANALYSE - ERP =&gt; SOUS-SEGMENT'!$A$12</f>
        <v>5</v>
      </c>
      <c r="D5" s="409" t="str">
        <f>'ANALYSE - ERP =&gt; SOUS-SEGMENT'!$B$12</f>
        <v>Enfance, Enseignement, Jeunesse &amp; Formation</v>
      </c>
      <c r="E5" s="409" t="str">
        <f>'ANALYSE - ERP =&gt; SOUS-SEGMENT'!$C$12</f>
        <v>Enseignement scolaire</v>
      </c>
      <c r="F5" s="409" t="str">
        <f>'ANALYSE - ERP =&gt; SOUS-SEGMENT'!$D$12</f>
        <v>Écoles primaires</v>
      </c>
      <c r="H5" s="787">
        <f>'ANALYSE - ERP =&gt; SOUS-SEGMENT'!$JI$12</f>
        <v>0.1671</v>
      </c>
      <c r="I5" s="787">
        <f>'ANALYSE - ERP =&gt; SOUS-SEGMENT'!$JJ$12</f>
        <v>0.58560000000000001</v>
      </c>
      <c r="J5" s="787">
        <f>'ANALYSE - ERP =&gt; SOUS-SEGMENT'!$JK$12</f>
        <v>0.23619999999999999</v>
      </c>
      <c r="K5" s="787">
        <f>'ANALYSE - ERP =&gt; SOUS-SEGMENT'!$JL$12</f>
        <v>1.0999999999999999E-2</v>
      </c>
      <c r="L5" s="787">
        <f>'ANALYSE - ERP =&gt; SOUS-SEGMENT'!$JM$12</f>
        <v>1E-4</v>
      </c>
      <c r="N5" s="787">
        <f>'ANALYSE - ERP =&gt; SOUS-SEGMENT'!$JN$12</f>
        <v>7.0599999999999996E-2</v>
      </c>
      <c r="O5" s="787">
        <f>'ANALYSE - ERP =&gt; SOUS-SEGMENT'!$JO$12</f>
        <v>0.49430000000000002</v>
      </c>
      <c r="P5" s="787">
        <f>'ANALYSE - ERP =&gt; SOUS-SEGMENT'!$JP$12</f>
        <v>0.39789999999999998</v>
      </c>
      <c r="Q5" s="787">
        <f>'ANALYSE - ERP =&gt; SOUS-SEGMENT'!$JQ$12</f>
        <v>3.6799999999999999E-2</v>
      </c>
      <c r="R5" s="787">
        <f>'ANALYSE - ERP =&gt; SOUS-SEGMENT'!$JR$12</f>
        <v>4.0000000000000002E-4</v>
      </c>
      <c r="T5" s="430">
        <f>'ANALYSE - ERP =&gt; SOUS-SEGMENT'!$Q$12</f>
        <v>1</v>
      </c>
    </row>
    <row r="6" spans="1:78" ht="15" customHeight="1">
      <c r="A6" s="26">
        <v>3</v>
      </c>
      <c r="B6" s="26">
        <v>3</v>
      </c>
      <c r="C6" s="422">
        <f>'ANALYSE - ERP =&gt; SOUS-SEGMENT'!$A$82</f>
        <v>75</v>
      </c>
      <c r="D6" s="412" t="str">
        <f>'ANALYSE - ERP =&gt; SOUS-SEGMENT'!$B$82</f>
        <v>Tertiaire &amp; Industriel</v>
      </c>
      <c r="E6" s="412" t="str">
        <f>'ANALYSE - ERP =&gt; SOUS-SEGMENT'!$C$82</f>
        <v>Bureaux</v>
      </c>
      <c r="F6" s="412" t="str">
        <f>'ANALYSE - ERP =&gt; SOUS-SEGMENT'!$D$82</f>
        <v>Bureaux Tertiaire Privé (&gt;50 salariés)
(hors usines et logistique )</v>
      </c>
      <c r="H6" s="787">
        <f>'ANALYSE - ERP =&gt; SOUS-SEGMENT'!$JI$82</f>
        <v>5.3999999999999999E-2</v>
      </c>
      <c r="I6" s="787">
        <f>'ANALYSE - ERP =&gt; SOUS-SEGMENT'!$JJ$82</f>
        <v>0.53969999999999996</v>
      </c>
      <c r="J6" s="787">
        <f>'ANALYSE - ERP =&gt; SOUS-SEGMENT'!$JK$82</f>
        <v>0.37480000000000002</v>
      </c>
      <c r="K6" s="787">
        <f>'ANALYSE - ERP =&gt; SOUS-SEGMENT'!$JL$82</f>
        <v>3.15E-2</v>
      </c>
      <c r="L6" s="787">
        <f>'ANALYSE - ERP =&gt; SOUS-SEGMENT'!$JM$82</f>
        <v>0</v>
      </c>
      <c r="N6" s="787">
        <f>'ANALYSE - ERP =&gt; SOUS-SEGMENT'!$JN$82</f>
        <v>3.1800000000000002E-2</v>
      </c>
      <c r="O6" s="787">
        <f>'ANALYSE - ERP =&gt; SOUS-SEGMENT'!$JO$82</f>
        <v>0.51249999999999996</v>
      </c>
      <c r="P6" s="787">
        <f>'ANALYSE - ERP =&gt; SOUS-SEGMENT'!$JP$82</f>
        <v>0.39700000000000002</v>
      </c>
      <c r="Q6" s="787">
        <f>'ANALYSE - ERP =&gt; SOUS-SEGMENT'!$JQ$82</f>
        <v>5.3699999999999998E-2</v>
      </c>
      <c r="R6" s="787">
        <f>'ANALYSE - ERP =&gt; SOUS-SEGMENT'!$JR$82</f>
        <v>5.0000000000000001E-3</v>
      </c>
      <c r="T6" s="430">
        <f>'ANALYSE - ERP =&gt; SOUS-SEGMENT'!$Q$82</f>
        <v>1</v>
      </c>
    </row>
    <row r="7" spans="1:78" ht="15" customHeight="1">
      <c r="A7" s="26">
        <v>4</v>
      </c>
      <c r="B7" s="26">
        <v>4</v>
      </c>
      <c r="C7" s="422">
        <f>'ANALYSE - ERP =&gt; SOUS-SEGMENT'!$A$67</f>
        <v>60</v>
      </c>
      <c r="D7" s="413" t="str">
        <f>'ANALYSE - ERP =&gt; SOUS-SEGMENT'!$B$67</f>
        <v>Culture, Patrimoine &amp; Evénementiel</v>
      </c>
      <c r="E7" s="413" t="str">
        <f>'ANALYSE - ERP =&gt; SOUS-SEGMENT'!$C$67</f>
        <v>Culture / spectacle</v>
      </c>
      <c r="F7" s="413" t="str">
        <f>'ANALYSE - ERP =&gt; SOUS-SEGMENT'!$D$67</f>
        <v>Salles polyvalentes / Salles des fêtes</v>
      </c>
      <c r="H7" s="787">
        <f>'ANALYSE - ERP =&gt; SOUS-SEGMENT'!$JI$67</f>
        <v>5.3999999999999999E-2</v>
      </c>
      <c r="I7" s="787">
        <f>'ANALYSE - ERP =&gt; SOUS-SEGMENT'!$JJ$67</f>
        <v>0.53969999999999996</v>
      </c>
      <c r="J7" s="787">
        <f>'ANALYSE - ERP =&gt; SOUS-SEGMENT'!$JK$67</f>
        <v>0.37480000000000002</v>
      </c>
      <c r="K7" s="787">
        <f>'ANALYSE - ERP =&gt; SOUS-SEGMENT'!$JL$67</f>
        <v>3.15E-2</v>
      </c>
      <c r="L7" s="787">
        <f>'ANALYSE - ERP =&gt; SOUS-SEGMENT'!$JM$67</f>
        <v>0</v>
      </c>
      <c r="N7" s="787">
        <f>'ANALYSE - ERP =&gt; SOUS-SEGMENT'!$JN$67</f>
        <v>3.6600000000000001E-2</v>
      </c>
      <c r="O7" s="787">
        <f>'ANALYSE - ERP =&gt; SOUS-SEGMENT'!$JO$67</f>
        <v>0.51849999999999996</v>
      </c>
      <c r="P7" s="787">
        <f>'ANALYSE - ERP =&gt; SOUS-SEGMENT'!$JP$67</f>
        <v>0.39219999999999999</v>
      </c>
      <c r="Q7" s="787">
        <f>'ANALYSE - ERP =&gt; SOUS-SEGMENT'!$JQ$67</f>
        <v>4.8899999999999999E-2</v>
      </c>
      <c r="R7" s="787">
        <f>'ANALYSE - ERP =&gt; SOUS-SEGMENT'!$JR$67</f>
        <v>3.8E-3</v>
      </c>
      <c r="T7" s="430">
        <f>'ANALYSE - ERP =&gt; SOUS-SEGMENT'!$Q$67</f>
        <v>1</v>
      </c>
    </row>
    <row r="8" spans="1:78" ht="15" customHeight="1">
      <c r="A8" s="26">
        <v>5</v>
      </c>
      <c r="B8" s="26">
        <v>5</v>
      </c>
      <c r="C8" s="422">
        <f>'ANALYSE - ERP =&gt; SOUS-SEGMENT'!$A$101</f>
        <v>94</v>
      </c>
      <c r="D8" s="412" t="str">
        <f>'ANALYSE - ERP =&gt; SOUS-SEGMENT'!$B$101</f>
        <v>Culte, Vie civique &amp; Services publics</v>
      </c>
      <c r="E8" s="412" t="str">
        <f>'ANALYSE - ERP =&gt; SOUS-SEGMENT'!$C$101</f>
        <v>Administrations / services publics</v>
      </c>
      <c r="F8" s="412" t="str">
        <f>'ANALYSE - ERP =&gt; SOUS-SEGMENT'!$D$101</f>
        <v>Mairies / hôtels de ville</v>
      </c>
      <c r="H8" s="787">
        <f>'ANALYSE - ERP =&gt; SOUS-SEGMENT'!$JI$101</f>
        <v>5.3999999999999999E-2</v>
      </c>
      <c r="I8" s="787">
        <f>'ANALYSE - ERP =&gt; SOUS-SEGMENT'!$JJ$101</f>
        <v>0.53969999999999996</v>
      </c>
      <c r="J8" s="787">
        <f>'ANALYSE - ERP =&gt; SOUS-SEGMENT'!$JK$101</f>
        <v>0.37480000000000002</v>
      </c>
      <c r="K8" s="787">
        <f>'ANALYSE - ERP =&gt; SOUS-SEGMENT'!$JL$101</f>
        <v>3.15E-2</v>
      </c>
      <c r="L8" s="787">
        <f>'ANALYSE - ERP =&gt; SOUS-SEGMENT'!$JM$101</f>
        <v>0</v>
      </c>
      <c r="N8" s="787">
        <f>'ANALYSE - ERP =&gt; SOUS-SEGMENT'!$JN$101</f>
        <v>3.3799999999999997E-2</v>
      </c>
      <c r="O8" s="787">
        <f>'ANALYSE - ERP =&gt; SOUS-SEGMENT'!$JO$101</f>
        <v>0.51500000000000001</v>
      </c>
      <c r="P8" s="787">
        <f>'ANALYSE - ERP =&gt; SOUS-SEGMENT'!$JP$101</f>
        <v>0.39510000000000001</v>
      </c>
      <c r="Q8" s="787">
        <f>'ANALYSE - ERP =&gt; SOUS-SEGMENT'!$JQ$101</f>
        <v>5.1799999999999999E-2</v>
      </c>
      <c r="R8" s="787">
        <f>'ANALYSE - ERP =&gt; SOUS-SEGMENT'!$JR$101</f>
        <v>4.3E-3</v>
      </c>
      <c r="T8" s="430">
        <f>'ANALYSE - ERP =&gt; SOUS-SEGMENT'!$Q$101</f>
        <v>1</v>
      </c>
    </row>
    <row r="9" spans="1:78" ht="15" customHeight="1">
      <c r="A9" s="26">
        <v>6</v>
      </c>
      <c r="B9" s="26">
        <v>6</v>
      </c>
      <c r="C9" s="422">
        <f>'ANALYSE - ERP =&gt; SOUS-SEGMENT'!$A$13</f>
        <v>6</v>
      </c>
      <c r="D9" s="409" t="str">
        <f>'ANALYSE - ERP =&gt; SOUS-SEGMENT'!$B$13</f>
        <v>Enfance, Enseignement, Jeunesse &amp; Formation</v>
      </c>
      <c r="E9" s="409" t="str">
        <f>'ANALYSE - ERP =&gt; SOUS-SEGMENT'!$C$13</f>
        <v>Enseignement scolaire</v>
      </c>
      <c r="F9" s="409" t="str">
        <f>'ANALYSE - ERP =&gt; SOUS-SEGMENT'!$D$13</f>
        <v>Collèges
(vestiaires EPS inclus)</v>
      </c>
      <c r="H9" s="787">
        <f>'ANALYSE - ERP =&gt; SOUS-SEGMENT'!$JI$13</f>
        <v>0.1875</v>
      </c>
      <c r="I9" s="787">
        <f>'ANALYSE - ERP =&gt; SOUS-SEGMENT'!$JJ$13</f>
        <v>0.59009999999999996</v>
      </c>
      <c r="J9" s="787">
        <f>'ANALYSE - ERP =&gt; SOUS-SEGMENT'!$JK$13</f>
        <v>0.2135</v>
      </c>
      <c r="K9" s="787">
        <f>'ANALYSE - ERP =&gt; SOUS-SEGMENT'!$JL$13</f>
        <v>8.8999999999999999E-3</v>
      </c>
      <c r="L9" s="787">
        <f>'ANALYSE - ERP =&gt; SOUS-SEGMENT'!$JM$13</f>
        <v>0</v>
      </c>
      <c r="N9" s="787">
        <f>'ANALYSE - ERP =&gt; SOUS-SEGMENT'!$JN$13</f>
        <v>8.0500000000000002E-2</v>
      </c>
      <c r="O9" s="787">
        <f>'ANALYSE - ERP =&gt; SOUS-SEGMENT'!$JO$13</f>
        <v>0.51239999999999997</v>
      </c>
      <c r="P9" s="787">
        <f>'ANALYSE - ERP =&gt; SOUS-SEGMENT'!$JP$13</f>
        <v>0.37519999999999998</v>
      </c>
      <c r="Q9" s="787">
        <f>'ANALYSE - ERP =&gt; SOUS-SEGMENT'!$JQ$13</f>
        <v>3.1600000000000003E-2</v>
      </c>
      <c r="R9" s="787">
        <f>'ANALYSE - ERP =&gt; SOUS-SEGMENT'!$JR$13</f>
        <v>2.9999999999999997E-4</v>
      </c>
      <c r="T9" s="430">
        <f>'ANALYSE - ERP =&gt; SOUS-SEGMENT'!$Q$13</f>
        <v>1</v>
      </c>
    </row>
    <row r="10" spans="1:78" ht="15" customHeight="1">
      <c r="A10" s="26">
        <v>7</v>
      </c>
      <c r="B10" s="26">
        <v>7</v>
      </c>
      <c r="C10" s="422">
        <f>'ANALYSE - ERP =&gt; SOUS-SEGMENT'!$A$14</f>
        <v>7</v>
      </c>
      <c r="D10" s="409" t="str">
        <f>'ANALYSE - ERP =&gt; SOUS-SEGMENT'!$B$14</f>
        <v>Enfance, Enseignement, Jeunesse &amp; Formation</v>
      </c>
      <c r="E10" s="409" t="str">
        <f>'ANALYSE - ERP =&gt; SOUS-SEGMENT'!$C$14</f>
        <v>Enseignement scolaire</v>
      </c>
      <c r="F10" s="409" t="str">
        <f>'ANALYSE - ERP =&gt; SOUS-SEGMENT'!$D$14</f>
        <v>Lycées
(vestiaires EPS inclus)</v>
      </c>
      <c r="H10" s="787">
        <f>'ANALYSE - ERP =&gt; SOUS-SEGMENT'!$JI$14</f>
        <v>0.17510000000000001</v>
      </c>
      <c r="I10" s="787">
        <f>'ANALYSE - ERP =&gt; SOUS-SEGMENT'!$JJ$14</f>
        <v>0.5877</v>
      </c>
      <c r="J10" s="787">
        <f>'ANALYSE - ERP =&gt; SOUS-SEGMENT'!$JK$14</f>
        <v>0.22700000000000001</v>
      </c>
      <c r="K10" s="787">
        <f>'ANALYSE - ERP =&gt; SOUS-SEGMENT'!$JL$14</f>
        <v>1.01E-2</v>
      </c>
      <c r="L10" s="787">
        <f>'ANALYSE - ERP =&gt; SOUS-SEGMENT'!$JM$14</f>
        <v>1E-4</v>
      </c>
      <c r="N10" s="787">
        <f>'ANALYSE - ERP =&gt; SOUS-SEGMENT'!$JN$14</f>
        <v>7.3300000000000004E-2</v>
      </c>
      <c r="O10" s="787">
        <f>'ANALYSE - ERP =&gt; SOUS-SEGMENT'!$JO$14</f>
        <v>0.4995</v>
      </c>
      <c r="P10" s="787">
        <f>'ANALYSE - ERP =&gt; SOUS-SEGMENT'!$JP$14</f>
        <v>0.39150000000000001</v>
      </c>
      <c r="Q10" s="787">
        <f>'ANALYSE - ERP =&gt; SOUS-SEGMENT'!$JQ$14</f>
        <v>3.5299999999999998E-2</v>
      </c>
      <c r="R10" s="787">
        <f>'ANALYSE - ERP =&gt; SOUS-SEGMENT'!$JR$14</f>
        <v>4.0000000000000002E-4</v>
      </c>
      <c r="T10" s="430">
        <f>'ANALYSE - ERP =&gt; SOUS-SEGMENT'!$Q$14</f>
        <v>1</v>
      </c>
    </row>
    <row r="11" spans="1:78" s="45" customFormat="1" ht="15" customHeight="1">
      <c r="A11" s="26">
        <v>8</v>
      </c>
      <c r="B11" s="26">
        <v>9</v>
      </c>
      <c r="C11" s="422">
        <f>'ANALYSE - ERP =&gt; SOUS-SEGMENT'!$A$27</f>
        <v>20</v>
      </c>
      <c r="D11" s="409" t="str">
        <f>'ANALYSE - ERP =&gt; SOUS-SEGMENT'!$B$27</f>
        <v>Sports &amp; Loisirs</v>
      </c>
      <c r="E11" s="409" t="str">
        <f>'ANALYSE - ERP =&gt; SOUS-SEGMENT'!$C$27</f>
        <v>Sport de plein air</v>
      </c>
      <c r="F11" s="409" t="str">
        <f>'ANALYSE - ERP =&gt; SOUS-SEGMENT'!$D$27</f>
        <v>Terrains de sport
(Hors scolaire, sans tribune)</v>
      </c>
      <c r="G11" s="685"/>
      <c r="H11" s="787">
        <f>'ANALYSE - ERP =&gt; SOUS-SEGMENT'!$JI$27</f>
        <v>0.22969999999999999</v>
      </c>
      <c r="I11" s="787">
        <f>'ANALYSE - ERP =&gt; SOUS-SEGMENT'!$JJ$27</f>
        <v>0.61360000000000003</v>
      </c>
      <c r="J11" s="787">
        <f>'ANALYSE - ERP =&gt; SOUS-SEGMENT'!$JK$27</f>
        <v>0.14949999999999999</v>
      </c>
      <c r="K11" s="787">
        <f>'ANALYSE - ERP =&gt; SOUS-SEGMENT'!$JL$27</f>
        <v>7.1999999999999998E-3</v>
      </c>
      <c r="L11" s="787">
        <f>'ANALYSE - ERP =&gt; SOUS-SEGMENT'!$JM$27</f>
        <v>0</v>
      </c>
      <c r="M11" s="685"/>
      <c r="N11" s="787">
        <f>'ANALYSE - ERP =&gt; SOUS-SEGMENT'!$JN$27</f>
        <v>0.21199999999999999</v>
      </c>
      <c r="O11" s="787">
        <f>'ANALYSE - ERP =&gt; SOUS-SEGMENT'!$JO$27</f>
        <v>0.59189999999999998</v>
      </c>
      <c r="P11" s="787">
        <f>'ANALYSE - ERP =&gt; SOUS-SEGMENT'!$JP$27</f>
        <v>0.16719999999999999</v>
      </c>
      <c r="Q11" s="787">
        <f>'ANALYSE - ERP =&gt; SOUS-SEGMENT'!$JQ$27</f>
        <v>2.4899999999999999E-2</v>
      </c>
      <c r="R11" s="787">
        <f>'ANALYSE - ERP =&gt; SOUS-SEGMENT'!$JR$27</f>
        <v>4.0000000000000001E-3</v>
      </c>
      <c r="S11" s="685"/>
      <c r="T11" s="430">
        <f>'ANALYSE - ERP =&gt; SOUS-SEGMENT'!$Q$27</f>
        <v>1</v>
      </c>
      <c r="U11" s="685"/>
      <c r="V11" s="685"/>
      <c r="W11" s="685"/>
      <c r="X11" s="685"/>
      <c r="Y11" s="685"/>
      <c r="Z11" s="685"/>
      <c r="AA11" s="685"/>
      <c r="AB11" s="685"/>
      <c r="AC11" s="685"/>
      <c r="AD11" s="685"/>
      <c r="AE11" s="685"/>
      <c r="AF11" s="685"/>
      <c r="AG11" s="685"/>
      <c r="AH11" s="685"/>
      <c r="AI11" s="685"/>
      <c r="AJ11" s="685"/>
      <c r="AK11" s="685"/>
      <c r="AL11" s="685"/>
      <c r="AM11" s="685"/>
      <c r="AN11" s="685"/>
      <c r="AO11" s="685"/>
      <c r="AP11" s="685"/>
      <c r="AQ11" s="685"/>
      <c r="AR11" s="685"/>
      <c r="AS11" s="685"/>
      <c r="AT11" s="685"/>
      <c r="AU11" s="685"/>
      <c r="AV11" s="685"/>
      <c r="AW11" s="685"/>
      <c r="AX11" s="685"/>
      <c r="AY11" s="685"/>
      <c r="AZ11" s="685"/>
      <c r="BA11" s="685"/>
      <c r="BB11" s="685"/>
      <c r="BC11" s="685"/>
      <c r="BD11" s="685"/>
      <c r="BE11" s="685"/>
      <c r="BF11" s="685"/>
      <c r="BG11" s="685"/>
      <c r="BH11" s="685"/>
      <c r="BI11" s="685"/>
      <c r="BJ11" s="685"/>
      <c r="BK11" s="685"/>
      <c r="BL11" s="685"/>
      <c r="BM11" s="685"/>
      <c r="BN11" s="685"/>
      <c r="BO11" s="685"/>
      <c r="BP11" s="685"/>
      <c r="BQ11" s="685"/>
      <c r="BR11" s="685"/>
      <c r="BS11" s="685"/>
      <c r="BT11" s="685"/>
      <c r="BU11" s="685"/>
      <c r="BV11" s="685"/>
      <c r="BW11" s="685"/>
      <c r="BX11" s="685"/>
      <c r="BY11" s="685"/>
      <c r="BZ11" s="685"/>
    </row>
    <row r="12" spans="1:78" ht="15" customHeight="1">
      <c r="A12" s="26">
        <v>9</v>
      </c>
      <c r="B12" s="26">
        <v>8</v>
      </c>
      <c r="C12" s="422">
        <f>'ANALYSE - ERP =&gt; SOUS-SEGMENT'!$A$21</f>
        <v>14</v>
      </c>
      <c r="D12" s="413" t="str">
        <f>'ANALYSE - ERP =&gt; SOUS-SEGMENT'!$B$21</f>
        <v>Sports &amp; Loisirs</v>
      </c>
      <c r="E12" s="413" t="str">
        <f>'ANALYSE - ERP =&gt; SOUS-SEGMENT'!$C$21</f>
        <v>Sport couvert / Thermalisme / Bien-être</v>
      </c>
      <c r="F12" s="413" t="str">
        <f>'ANALYSE - ERP =&gt; SOUS-SEGMENT'!$D$21</f>
        <v>Gymnases / salles multisports
(hors scolaire, mais gymnase municipaux inclus)</v>
      </c>
      <c r="H12" s="787">
        <f>'ANALYSE - ERP =&gt; SOUS-SEGMENT'!$JI$21</f>
        <v>0.31240000000000001</v>
      </c>
      <c r="I12" s="787">
        <f>'ANALYSE - ERP =&gt; SOUS-SEGMENT'!$JJ$21</f>
        <v>0.59079999999999999</v>
      </c>
      <c r="J12" s="787">
        <f>'ANALYSE - ERP =&gt; SOUS-SEGMENT'!$JK$21</f>
        <v>9.6799999999999997E-2</v>
      </c>
      <c r="K12" s="787">
        <f>'ANALYSE - ERP =&gt; SOUS-SEGMENT'!$JL$21</f>
        <v>0</v>
      </c>
      <c r="L12" s="787">
        <f>'ANALYSE - ERP =&gt; SOUS-SEGMENT'!$JM$21</f>
        <v>0</v>
      </c>
      <c r="N12" s="787">
        <f>'ANALYSE - ERP =&gt; SOUS-SEGMENT'!$JN$21</f>
        <v>0.18010000000000001</v>
      </c>
      <c r="O12" s="787">
        <f>'ANALYSE - ERP =&gt; SOUS-SEGMENT'!$JO$21</f>
        <v>0.63070000000000004</v>
      </c>
      <c r="P12" s="787">
        <f>'ANALYSE - ERP =&gt; SOUS-SEGMENT'!$JP$21</f>
        <v>0.18920000000000001</v>
      </c>
      <c r="Q12" s="787">
        <f>'ANALYSE - ERP =&gt; SOUS-SEGMENT'!$JQ$21</f>
        <v>0</v>
      </c>
      <c r="R12" s="787">
        <f>'ANALYSE - ERP =&gt; SOUS-SEGMENT'!$JR$21</f>
        <v>0</v>
      </c>
      <c r="T12" s="430">
        <f>'ANALYSE - ERP =&gt; SOUS-SEGMENT'!$Q$21</f>
        <v>1</v>
      </c>
    </row>
    <row r="13" spans="1:78" s="45" customFormat="1" ht="15" customHeight="1">
      <c r="A13" s="406">
        <v>10</v>
      </c>
      <c r="B13" s="406">
        <v>11</v>
      </c>
      <c r="C13" s="448">
        <f>'ANALYSE - ERP =&gt; SOUS-SEGMENT'!$A$77</f>
        <v>70</v>
      </c>
      <c r="D13" s="449" t="str">
        <f>'ANALYSE - ERP =&gt; SOUS-SEGMENT'!$B$77</f>
        <v>Commerce, Restauration &amp; Loisirs</v>
      </c>
      <c r="E13" s="449" t="str">
        <f>'ANALYSE - ERP =&gt; SOUS-SEGMENT'!$C$77</f>
        <v>Restauration / boissons</v>
      </c>
      <c r="F13" s="449" t="str">
        <f>'ANALYSE - ERP =&gt; SOUS-SEGMENT'!$D$77</f>
        <v>Fast-food / Cafétérias / Food courts</v>
      </c>
      <c r="G13" s="685"/>
      <c r="H13" s="788">
        <f>'ANALYSE - ERP =&gt; SOUS-SEGMENT'!$JI$77</f>
        <v>0.1081</v>
      </c>
      <c r="I13" s="788">
        <f>'ANALYSE - ERP =&gt; SOUS-SEGMENT'!$JJ$77</f>
        <v>0.56200000000000006</v>
      </c>
      <c r="J13" s="788">
        <f>'ANALYSE - ERP =&gt; SOUS-SEGMENT'!$JK$77</f>
        <v>0.25990000000000002</v>
      </c>
      <c r="K13" s="788">
        <f>'ANALYSE - ERP =&gt; SOUS-SEGMENT'!$JL$77</f>
        <v>0.04</v>
      </c>
      <c r="L13" s="788">
        <f>'ANALYSE - ERP =&gt; SOUS-SEGMENT'!$JM$77</f>
        <v>0.03</v>
      </c>
      <c r="M13" s="685"/>
      <c r="N13" s="788">
        <f>'ANALYSE - ERP =&gt; SOUS-SEGMENT'!$JN$77</f>
        <v>3.3399999999999999E-2</v>
      </c>
      <c r="O13" s="788">
        <f>'ANALYSE - ERP =&gt; SOUS-SEGMENT'!$JO$77</f>
        <v>0.4622</v>
      </c>
      <c r="P13" s="788">
        <f>'ANALYSE - ERP =&gt; SOUS-SEGMENT'!$JP$77</f>
        <v>0.43440000000000001</v>
      </c>
      <c r="Q13" s="788">
        <f>'ANALYSE - ERP =&gt; SOUS-SEGMENT'!$JQ$77</f>
        <v>0.04</v>
      </c>
      <c r="R13" s="788">
        <f>'ANALYSE - ERP =&gt; SOUS-SEGMENT'!$JR$77</f>
        <v>0.03</v>
      </c>
      <c r="S13" s="685"/>
      <c r="T13" s="450">
        <f>'ANALYSE - ERP =&gt; SOUS-SEGMENT'!$Q$77</f>
        <v>1</v>
      </c>
      <c r="U13" s="685"/>
      <c r="V13" s="685"/>
      <c r="W13" s="685"/>
      <c r="X13" s="685"/>
      <c r="Y13" s="685"/>
      <c r="Z13" s="685"/>
      <c r="AA13" s="685"/>
      <c r="AB13" s="685"/>
      <c r="AC13" s="685"/>
      <c r="AD13" s="685"/>
      <c r="AE13" s="685"/>
      <c r="AF13" s="685"/>
      <c r="AG13" s="685"/>
      <c r="AH13" s="685"/>
      <c r="AI13" s="685"/>
      <c r="AJ13" s="685"/>
      <c r="AK13" s="685"/>
      <c r="AL13" s="685"/>
      <c r="AM13" s="685"/>
      <c r="AN13" s="685"/>
      <c r="AO13" s="685"/>
      <c r="AP13" s="685"/>
      <c r="AQ13" s="685"/>
      <c r="AR13" s="685"/>
      <c r="AS13" s="685"/>
      <c r="AT13" s="685"/>
      <c r="AU13" s="685"/>
      <c r="AV13" s="685"/>
      <c r="AW13" s="685"/>
      <c r="AX13" s="685"/>
      <c r="AY13" s="685"/>
      <c r="AZ13" s="685"/>
      <c r="BA13" s="685"/>
      <c r="BB13" s="685"/>
      <c r="BC13" s="685"/>
      <c r="BD13" s="685"/>
      <c r="BE13" s="685"/>
      <c r="BF13" s="685"/>
      <c r="BG13" s="685"/>
      <c r="BH13" s="685"/>
      <c r="BI13" s="685"/>
      <c r="BJ13" s="685"/>
      <c r="BK13" s="685"/>
      <c r="BL13" s="685"/>
      <c r="BM13" s="685"/>
      <c r="BN13" s="685"/>
      <c r="BO13" s="685"/>
      <c r="BP13" s="685"/>
      <c r="BQ13" s="685"/>
      <c r="BR13" s="685"/>
      <c r="BS13" s="685"/>
      <c r="BT13" s="685"/>
      <c r="BU13" s="685"/>
      <c r="BV13" s="685"/>
      <c r="BW13" s="685"/>
      <c r="BX13" s="685"/>
      <c r="BY13" s="685"/>
      <c r="BZ13" s="685"/>
    </row>
    <row r="14" spans="1:78" ht="15" customHeight="1">
      <c r="A14" s="26">
        <v>11</v>
      </c>
      <c r="B14" s="26">
        <v>10</v>
      </c>
      <c r="C14" s="422">
        <f>'ANALYSE - ERP =&gt; SOUS-SEGMENT'!$A$84</f>
        <v>77</v>
      </c>
      <c r="D14" s="409" t="str">
        <f>'ANALYSE - ERP =&gt; SOUS-SEGMENT'!$B$84</f>
        <v>Tertiaire &amp; Industriel</v>
      </c>
      <c r="E14" s="409" t="str">
        <f>'ANALYSE - ERP =&gt; SOUS-SEGMENT'!$C$84</f>
        <v>Usines &amp; Ateliers</v>
      </c>
      <c r="F14" s="409" t="str">
        <f>'ANALYSE - ERP =&gt; SOUS-SEGMENT'!$D$84</f>
        <v>Usines 
(&gt;50 salariés)
(Hors Ateliers industriels)</v>
      </c>
      <c r="H14" s="787">
        <f>'ANALYSE - ERP =&gt; SOUS-SEGMENT'!$JI$84</f>
        <v>5.3999999999999999E-2</v>
      </c>
      <c r="I14" s="787">
        <f>'ANALYSE - ERP =&gt; SOUS-SEGMENT'!$JJ$84</f>
        <v>0.53969999999999996</v>
      </c>
      <c r="J14" s="787">
        <f>'ANALYSE - ERP =&gt; SOUS-SEGMENT'!$JK$84</f>
        <v>0.37480000000000002</v>
      </c>
      <c r="K14" s="787">
        <f>'ANALYSE - ERP =&gt; SOUS-SEGMENT'!$JL$84</f>
        <v>3.15E-2</v>
      </c>
      <c r="L14" s="787">
        <f>'ANALYSE - ERP =&gt; SOUS-SEGMENT'!$JM$84</f>
        <v>0</v>
      </c>
      <c r="N14" s="787">
        <f>'ANALYSE - ERP =&gt; SOUS-SEGMENT'!$JN$84</f>
        <v>3.1800000000000002E-2</v>
      </c>
      <c r="O14" s="787">
        <f>'ANALYSE - ERP =&gt; SOUS-SEGMENT'!$JO$84</f>
        <v>0.51249999999999996</v>
      </c>
      <c r="P14" s="787">
        <f>'ANALYSE - ERP =&gt; SOUS-SEGMENT'!$JP$84</f>
        <v>0.39700000000000002</v>
      </c>
      <c r="Q14" s="787">
        <f>'ANALYSE - ERP =&gt; SOUS-SEGMENT'!$JQ$84</f>
        <v>5.3699999999999998E-2</v>
      </c>
      <c r="R14" s="787">
        <f>'ANALYSE - ERP =&gt; SOUS-SEGMENT'!$JR$84</f>
        <v>5.0000000000000001E-3</v>
      </c>
      <c r="T14" s="430">
        <f>'ANALYSE - ERP =&gt; SOUS-SEGMENT'!$Q$84</f>
        <v>1</v>
      </c>
    </row>
    <row r="15" spans="1:78" s="45" customFormat="1" ht="15" customHeight="1">
      <c r="A15" s="406">
        <v>12</v>
      </c>
      <c r="B15" s="406">
        <v>12</v>
      </c>
      <c r="C15" s="448">
        <f>'ANALYSE - ERP =&gt; SOUS-SEGMENT'!$A$113</f>
        <v>106</v>
      </c>
      <c r="D15" s="449" t="str">
        <f>'ANALYSE - ERP =&gt; SOUS-SEGMENT'!$B$113</f>
        <v>Culte, Vie civique &amp; Services publics</v>
      </c>
      <c r="E15" s="449" t="str">
        <f>'ANALYSE - ERP =&gt; SOUS-SEGMENT'!$C$113</f>
        <v>Culte</v>
      </c>
      <c r="F15" s="449" t="str">
        <f>'ANALYSE - ERP =&gt; SOUS-SEGMENT'!$D$113</f>
        <v>Églises, cathédrales, basiliques et chapelles ouvertes au public</v>
      </c>
      <c r="G15" s="685"/>
      <c r="H15" s="788">
        <f>'ANALYSE - ERP =&gt; SOUS-SEGMENT'!$JI$113</f>
        <v>0.15459999999999999</v>
      </c>
      <c r="I15" s="788">
        <f>'ANALYSE - ERP =&gt; SOUS-SEGMENT'!$JJ$113</f>
        <v>0.61470000000000002</v>
      </c>
      <c r="J15" s="788">
        <f>'ANALYSE - ERP =&gt; SOUS-SEGMENT'!$JK$113</f>
        <v>0.21909999999999999</v>
      </c>
      <c r="K15" s="788">
        <f>'ANALYSE - ERP =&gt; SOUS-SEGMENT'!$JL$113</f>
        <v>1.1599999999999999E-2</v>
      </c>
      <c r="L15" s="788">
        <f>'ANALYSE - ERP =&gt; SOUS-SEGMENT'!$JM$113</f>
        <v>0</v>
      </c>
      <c r="M15" s="685"/>
      <c r="N15" s="788">
        <f>'ANALYSE - ERP =&gt; SOUS-SEGMENT'!$JN$113</f>
        <v>0.14050000000000001</v>
      </c>
      <c r="O15" s="788">
        <f>'ANALYSE - ERP =&gt; SOUS-SEGMENT'!$JO$113</f>
        <v>0.59740000000000004</v>
      </c>
      <c r="P15" s="788">
        <f>'ANALYSE - ERP =&gt; SOUS-SEGMENT'!$JP$113</f>
        <v>0.23319999999999999</v>
      </c>
      <c r="Q15" s="788">
        <f>'ANALYSE - ERP =&gt; SOUS-SEGMENT'!$JQ$113</f>
        <v>2.5700000000000001E-2</v>
      </c>
      <c r="R15" s="788">
        <f>'ANALYSE - ERP =&gt; SOUS-SEGMENT'!$JR$113</f>
        <v>3.2000000000000002E-3</v>
      </c>
      <c r="S15" s="685"/>
      <c r="T15" s="450">
        <f>'ANALYSE - ERP =&gt; SOUS-SEGMENT'!$Q$113</f>
        <v>1</v>
      </c>
      <c r="U15" s="685"/>
      <c r="V15" s="685"/>
      <c r="W15" s="685"/>
      <c r="X15" s="685"/>
      <c r="Y15" s="685"/>
      <c r="Z15" s="685"/>
      <c r="AA15" s="685"/>
      <c r="AB15" s="685"/>
      <c r="AC15" s="685"/>
      <c r="AD15" s="685"/>
      <c r="AE15" s="685"/>
      <c r="AF15" s="685"/>
      <c r="AG15" s="685"/>
      <c r="AH15" s="685"/>
      <c r="AI15" s="685"/>
      <c r="AJ15" s="685"/>
      <c r="AK15" s="685"/>
      <c r="AL15" s="685"/>
      <c r="AM15" s="685"/>
      <c r="AN15" s="685"/>
      <c r="AO15" s="685"/>
      <c r="AP15" s="685"/>
      <c r="AQ15" s="685"/>
      <c r="AR15" s="685"/>
      <c r="AS15" s="685"/>
      <c r="AT15" s="685"/>
      <c r="AU15" s="685"/>
      <c r="AV15" s="685"/>
      <c r="AW15" s="685"/>
      <c r="AX15" s="685"/>
      <c r="AY15" s="685"/>
      <c r="AZ15" s="685"/>
      <c r="BA15" s="685"/>
      <c r="BB15" s="685"/>
      <c r="BC15" s="685"/>
      <c r="BD15" s="685"/>
      <c r="BE15" s="685"/>
      <c r="BF15" s="685"/>
      <c r="BG15" s="685"/>
      <c r="BH15" s="685"/>
      <c r="BI15" s="685"/>
      <c r="BJ15" s="685"/>
      <c r="BK15" s="685"/>
      <c r="BL15" s="685"/>
      <c r="BM15" s="685"/>
      <c r="BN15" s="685"/>
      <c r="BO15" s="685"/>
      <c r="BP15" s="685"/>
      <c r="BQ15" s="685"/>
      <c r="BR15" s="685"/>
      <c r="BS15" s="685"/>
      <c r="BT15" s="685"/>
      <c r="BU15" s="685"/>
      <c r="BV15" s="685"/>
      <c r="BW15" s="685"/>
      <c r="BX15" s="685"/>
      <c r="BY15" s="685"/>
      <c r="BZ15" s="685"/>
    </row>
    <row r="16" spans="1:78" ht="15" customHeight="1">
      <c r="A16" s="26">
        <v>13</v>
      </c>
      <c r="B16" s="26">
        <v>14</v>
      </c>
      <c r="C16" s="422">
        <f>'ANALYSE - ERP =&gt; SOUS-SEGMENT'!$A$19</f>
        <v>12</v>
      </c>
      <c r="D16" s="408" t="str">
        <f>'ANALYSE - ERP =&gt; SOUS-SEGMENT'!$B$19</f>
        <v>Enfance, Enseignement, Jeunesse &amp; Formation</v>
      </c>
      <c r="E16" s="408" t="str">
        <f>'ANALYSE - ERP =&gt; SOUS-SEGMENT'!$C$19</f>
        <v>Formation</v>
      </c>
      <c r="F16" s="408" t="str">
        <f>'ANALYSE - ERP =&gt; SOUS-SEGMENT'!$D$19</f>
        <v>Centres de formation / CFA</v>
      </c>
      <c r="H16" s="787">
        <f>'ANALYSE - ERP =&gt; SOUS-SEGMENT'!$JI$19</f>
        <v>7.1400000000000005E-2</v>
      </c>
      <c r="I16" s="787">
        <f>'ANALYSE - ERP =&gt; SOUS-SEGMENT'!$JJ$19</f>
        <v>0.43509999999999999</v>
      </c>
      <c r="J16" s="787">
        <f>'ANALYSE - ERP =&gt; SOUS-SEGMENT'!$JK$19</f>
        <v>0.4078</v>
      </c>
      <c r="K16" s="787">
        <f>'ANALYSE - ERP =&gt; SOUS-SEGMENT'!$JL$19</f>
        <v>8.43E-2</v>
      </c>
      <c r="L16" s="787">
        <f>'ANALYSE - ERP =&gt; SOUS-SEGMENT'!$JM$19</f>
        <v>1.4E-3</v>
      </c>
      <c r="N16" s="787">
        <f>'ANALYSE - ERP =&gt; SOUS-SEGMENT'!$JN$19</f>
        <v>0</v>
      </c>
      <c r="O16" s="787">
        <f>'ANALYSE - ERP =&gt; SOUS-SEGMENT'!$JO$19</f>
        <v>0.23980000000000001</v>
      </c>
      <c r="P16" s="787">
        <f>'ANALYSE - ERP =&gt; SOUS-SEGMENT'!$JP$19</f>
        <v>0.54330000000000001</v>
      </c>
      <c r="Q16" s="787">
        <f>'ANALYSE - ERP =&gt; SOUS-SEGMENT'!$JQ$19</f>
        <v>0.20630000000000001</v>
      </c>
      <c r="R16" s="787">
        <f>'ANALYSE - ERP =&gt; SOUS-SEGMENT'!$JR$19</f>
        <v>1.06E-2</v>
      </c>
      <c r="T16" s="430">
        <f>'ANALYSE - ERP =&gt; SOUS-SEGMENT'!$Q$19</f>
        <v>1</v>
      </c>
    </row>
    <row r="17" spans="1:20" ht="15" customHeight="1">
      <c r="A17" s="26">
        <v>14</v>
      </c>
      <c r="B17" s="26">
        <v>13</v>
      </c>
      <c r="C17" s="422">
        <f>'ANALYSE - ERP =&gt; SOUS-SEGMENT'!$A$76</f>
        <v>69</v>
      </c>
      <c r="D17" s="411" t="str">
        <f>'ANALYSE - ERP =&gt; SOUS-SEGMENT'!$B$76</f>
        <v>Commerce, Restauration &amp; Loisirs</v>
      </c>
      <c r="E17" s="411" t="str">
        <f>'ANALYSE - ERP =&gt; SOUS-SEGMENT'!$C$76</f>
        <v>Restauration / boissons</v>
      </c>
      <c r="F17" s="411" t="str">
        <f>'ANALYSE - ERP =&gt; SOUS-SEGMENT'!$D$76</f>
        <v>Cafés / bars / brasseries</v>
      </c>
      <c r="H17" s="787">
        <f>'ANALYSE - ERP =&gt; SOUS-SEGMENT'!$JI$76</f>
        <v>6.8199999999999997E-2</v>
      </c>
      <c r="I17" s="787">
        <f>'ANALYSE - ERP =&gt; SOUS-SEGMENT'!$JJ$76</f>
        <v>0.37840000000000001</v>
      </c>
      <c r="J17" s="787">
        <f>'ANALYSE - ERP =&gt; SOUS-SEGMENT'!$JK$76</f>
        <v>0.38640000000000002</v>
      </c>
      <c r="K17" s="787">
        <f>'ANALYSE - ERP =&gt; SOUS-SEGMENT'!$JL$76</f>
        <v>0.13159999999999999</v>
      </c>
      <c r="L17" s="787">
        <f>'ANALYSE - ERP =&gt; SOUS-SEGMENT'!$JM$76</f>
        <v>3.5400000000000001E-2</v>
      </c>
      <c r="N17" s="787">
        <f>'ANALYSE - ERP =&gt; SOUS-SEGMENT'!$JN$76</f>
        <v>2.2200000000000001E-2</v>
      </c>
      <c r="O17" s="787">
        <f>'ANALYSE - ERP =&gt; SOUS-SEGMENT'!$JO$76</f>
        <v>0.30220000000000002</v>
      </c>
      <c r="P17" s="787">
        <f>'ANALYSE - ERP =&gt; SOUS-SEGMENT'!$JP$76</f>
        <v>0.44429999999999997</v>
      </c>
      <c r="Q17" s="787">
        <f>'ANALYSE - ERP =&gt; SOUS-SEGMENT'!$JQ$76</f>
        <v>0.1888</v>
      </c>
      <c r="R17" s="787">
        <f>'ANALYSE - ERP =&gt; SOUS-SEGMENT'!$JR$76</f>
        <v>4.2500000000000003E-2</v>
      </c>
      <c r="T17" s="430">
        <f>'ANALYSE - ERP =&gt; SOUS-SEGMENT'!$Q$76</f>
        <v>1</v>
      </c>
    </row>
    <row r="18" spans="1:20" ht="15" customHeight="1">
      <c r="A18" s="26">
        <v>15</v>
      </c>
      <c r="B18" s="26">
        <v>15</v>
      </c>
      <c r="C18" s="422">
        <f>'ANALYSE - ERP =&gt; SOUS-SEGMENT'!$A$29</f>
        <v>22</v>
      </c>
      <c r="D18" s="409" t="str">
        <f>'ANALYSE - ERP =&gt; SOUS-SEGMENT'!$B$29</f>
        <v>Sports &amp; Loisirs</v>
      </c>
      <c r="E18" s="409" t="str">
        <f>'ANALYSE - ERP =&gt; SOUS-SEGMENT'!$C$29</f>
        <v>Sport de plein air</v>
      </c>
      <c r="F18" s="409" t="str">
        <f>'ANALYSE - ERP =&gt; SOUS-SEGMENT'!$D$29</f>
        <v xml:space="preserve">Grands stades avec tribunes
(Type football/rugby) </v>
      </c>
      <c r="H18" s="787">
        <f>'ANALYSE - ERP =&gt; SOUS-SEGMENT'!$JI$29</f>
        <v>9.6600000000000005E-2</v>
      </c>
      <c r="I18" s="787">
        <f>'ANALYSE - ERP =&gt; SOUS-SEGMENT'!$JJ$29</f>
        <v>0.56100000000000005</v>
      </c>
      <c r="J18" s="787">
        <f>'ANALYSE - ERP =&gt; SOUS-SEGMENT'!$JK$29</f>
        <v>0.31240000000000001</v>
      </c>
      <c r="K18" s="787">
        <f>'ANALYSE - ERP =&gt; SOUS-SEGMENT'!$JL$29</f>
        <v>0.03</v>
      </c>
      <c r="L18" s="787">
        <f>'ANALYSE - ERP =&gt; SOUS-SEGMENT'!$JM$29</f>
        <v>0</v>
      </c>
      <c r="N18" s="787">
        <f>'ANALYSE - ERP =&gt; SOUS-SEGMENT'!$JN$29</f>
        <v>3.7199999999999997E-2</v>
      </c>
      <c r="O18" s="787">
        <f>'ANALYSE - ERP =&gt; SOUS-SEGMENT'!$JO$29</f>
        <v>0.45040000000000002</v>
      </c>
      <c r="P18" s="787">
        <f>'ANALYSE - ERP =&gt; SOUS-SEGMENT'!$JP$29</f>
        <v>0.4824</v>
      </c>
      <c r="Q18" s="787">
        <f>'ANALYSE - ERP =&gt; SOUS-SEGMENT'!$JQ$29</f>
        <v>0.03</v>
      </c>
      <c r="R18" s="787">
        <f>'ANALYSE - ERP =&gt; SOUS-SEGMENT'!$JR$29</f>
        <v>0</v>
      </c>
      <c r="T18" s="430">
        <f>'ANALYSE - ERP =&gt; SOUS-SEGMENT'!$Q$29</f>
        <v>1</v>
      </c>
    </row>
    <row r="19" spans="1:20" ht="15" customHeight="1">
      <c r="A19" s="26">
        <v>16</v>
      </c>
      <c r="B19" s="26">
        <v>16</v>
      </c>
      <c r="C19" s="422">
        <f>'ANALYSE - ERP =&gt; SOUS-SEGMENT'!$A$94</f>
        <v>87</v>
      </c>
      <c r="D19" s="409" t="str">
        <f>'ANALYSE - ERP =&gt; SOUS-SEGMENT'!$B$94</f>
        <v>Hébergement Touristique</v>
      </c>
      <c r="E19" s="409" t="str">
        <f>'ANALYSE - ERP =&gt; SOUS-SEGMENT'!$C$94</f>
        <v>Tourisme de plein air</v>
      </c>
      <c r="F19" s="409" t="str">
        <f>'ANALYSE - ERP =&gt; SOUS-SEGMENT'!$D$94</f>
        <v>Campings</v>
      </c>
      <c r="H19" s="787">
        <f>'ANALYSE - ERP =&gt; SOUS-SEGMENT'!$JI$94</f>
        <v>0.2031</v>
      </c>
      <c r="I19" s="787">
        <f>'ANALYSE - ERP =&gt; SOUS-SEGMENT'!$JJ$94</f>
        <v>0.57509999999999994</v>
      </c>
      <c r="J19" s="787">
        <f>'ANALYSE - ERP =&gt; SOUS-SEGMENT'!$JK$94</f>
        <v>0.21160000000000001</v>
      </c>
      <c r="K19" s="787">
        <f>'ANALYSE - ERP =&gt; SOUS-SEGMENT'!$JL$94</f>
        <v>1.01E-2</v>
      </c>
      <c r="L19" s="787">
        <f>'ANALYSE - ERP =&gt; SOUS-SEGMENT'!$JM$94</f>
        <v>1E-4</v>
      </c>
      <c r="N19" s="787">
        <f>'ANALYSE - ERP =&gt; SOUS-SEGMENT'!$JN$94</f>
        <v>9.9199999999999997E-2</v>
      </c>
      <c r="O19" s="787">
        <f>'ANALYSE - ERP =&gt; SOUS-SEGMENT'!$JO$94</f>
        <v>0.51790000000000003</v>
      </c>
      <c r="P19" s="787">
        <f>'ANALYSE - ERP =&gt; SOUS-SEGMENT'!$JP$94</f>
        <v>0.35149999999999998</v>
      </c>
      <c r="Q19" s="787">
        <f>'ANALYSE - ERP =&gt; SOUS-SEGMENT'!$JQ$94</f>
        <v>3.1E-2</v>
      </c>
      <c r="R19" s="787">
        <f>'ANALYSE - ERP =&gt; SOUS-SEGMENT'!$JR$94</f>
        <v>4.0000000000000002E-4</v>
      </c>
      <c r="T19" s="430">
        <f>'ANALYSE - ERP =&gt; SOUS-SEGMENT'!$Q$94</f>
        <v>1</v>
      </c>
    </row>
    <row r="20" spans="1:20" ht="15" customHeight="1">
      <c r="A20" s="26">
        <v>17</v>
      </c>
      <c r="B20" s="26">
        <v>17</v>
      </c>
      <c r="C20" s="422">
        <f>'ANALYSE - ERP =&gt; SOUS-SEGMENT'!$A$35</f>
        <v>28</v>
      </c>
      <c r="D20" s="416" t="str">
        <f>'ANALYSE - ERP =&gt; SOUS-SEGMENT'!$B$35</f>
        <v>Sports &amp; Loisirs</v>
      </c>
      <c r="E20" s="416" t="str">
        <f>'ANALYSE - ERP =&gt; SOUS-SEGMENT'!$C$35</f>
        <v>Loisirs de plein air</v>
      </c>
      <c r="F20" s="416" t="str">
        <f>'ANALYSE - ERP =&gt; SOUS-SEGMENT'!$D$35</f>
        <v>Centres de loisirs sans hébergement</v>
      </c>
      <c r="H20" s="787">
        <f>'ANALYSE - ERP =&gt; SOUS-SEGMENT'!$JI$35</f>
        <v>0.28270000000000001</v>
      </c>
      <c r="I20" s="787">
        <f>'ANALYSE - ERP =&gt; SOUS-SEGMENT'!$JJ$35</f>
        <v>0.57630000000000003</v>
      </c>
      <c r="J20" s="787">
        <f>'ANALYSE - ERP =&gt; SOUS-SEGMENT'!$JK$35</f>
        <v>0.14099999999999999</v>
      </c>
      <c r="K20" s="787">
        <f>'ANALYSE - ERP =&gt; SOUS-SEGMENT'!$JL$35</f>
        <v>0</v>
      </c>
      <c r="L20" s="787">
        <f>'ANALYSE - ERP =&gt; SOUS-SEGMENT'!$JM$35</f>
        <v>0</v>
      </c>
      <c r="N20" s="787">
        <f>'ANALYSE - ERP =&gt; SOUS-SEGMENT'!$JN$35</f>
        <v>0.15609999999999999</v>
      </c>
      <c r="O20" s="787">
        <f>'ANALYSE - ERP =&gt; SOUS-SEGMENT'!$JO$35</f>
        <v>0.57240000000000002</v>
      </c>
      <c r="P20" s="787">
        <f>'ANALYSE - ERP =&gt; SOUS-SEGMENT'!$JP$35</f>
        <v>0.27129999999999999</v>
      </c>
      <c r="Q20" s="787">
        <f>'ANALYSE - ERP =&gt; SOUS-SEGMENT'!$JQ$35</f>
        <v>0</v>
      </c>
      <c r="R20" s="787">
        <f>'ANALYSE - ERP =&gt; SOUS-SEGMENT'!$JR$35</f>
        <v>2.0000000000000001E-4</v>
      </c>
      <c r="T20" s="430">
        <f>'ANALYSE - ERP =&gt; SOUS-SEGMENT'!$Q$35</f>
        <v>1</v>
      </c>
    </row>
    <row r="21" spans="1:20" ht="15" customHeight="1">
      <c r="A21" s="26">
        <v>18</v>
      </c>
      <c r="B21" s="26">
        <v>19</v>
      </c>
      <c r="C21" s="422">
        <f>'ANALYSE - ERP =&gt; SOUS-SEGMENT'!$A$87</f>
        <v>80</v>
      </c>
      <c r="D21" s="417" t="str">
        <f>'ANALYSE - ERP =&gt; SOUS-SEGMENT'!$B$87</f>
        <v>Hébergement Touristique</v>
      </c>
      <c r="E21" s="417" t="str">
        <f>'ANALYSE - ERP =&gt; SOUS-SEGMENT'!$C$87</f>
        <v>Hébergement Touristique</v>
      </c>
      <c r="F21" s="417" t="str">
        <f>'ANALYSE - ERP =&gt; SOUS-SEGMENT'!$D$87</f>
        <v>Hôtels 
(hors autres hébérgements touristiques)</v>
      </c>
      <c r="H21" s="787">
        <f>'ANALYSE - ERP =&gt; SOUS-SEGMENT'!$JI$87</f>
        <v>2.0899999999999998E-2</v>
      </c>
      <c r="I21" s="787">
        <f>'ANALYSE - ERP =&gt; SOUS-SEGMENT'!$JJ$87</f>
        <v>0.43930000000000002</v>
      </c>
      <c r="J21" s="787">
        <f>'ANALYSE - ERP =&gt; SOUS-SEGMENT'!$JK$87</f>
        <v>0.43580000000000002</v>
      </c>
      <c r="K21" s="787">
        <f>'ANALYSE - ERP =&gt; SOUS-SEGMENT'!$JL$87</f>
        <v>9.9400000000000002E-2</v>
      </c>
      <c r="L21" s="787">
        <f>'ANALYSE - ERP =&gt; SOUS-SEGMENT'!$JM$87</f>
        <v>4.5999999999999999E-3</v>
      </c>
      <c r="N21" s="787">
        <f>'ANALYSE - ERP =&gt; SOUS-SEGMENT'!$JN$87</f>
        <v>0</v>
      </c>
      <c r="O21" s="787">
        <f>'ANALYSE - ERP =&gt; SOUS-SEGMENT'!$JO$87</f>
        <v>0.40410000000000001</v>
      </c>
      <c r="P21" s="787">
        <f>'ANALYSE - ERP =&gt; SOUS-SEGMENT'!$JP$87</f>
        <v>0.45989999999999998</v>
      </c>
      <c r="Q21" s="787">
        <f>'ANALYSE - ERP =&gt; SOUS-SEGMENT'!$JQ$87</f>
        <v>0.1255</v>
      </c>
      <c r="R21" s="787">
        <f>'ANALYSE - ERP =&gt; SOUS-SEGMENT'!$JR$87</f>
        <v>1.0500000000000001E-2</v>
      </c>
      <c r="T21" s="430">
        <f>'ANALYSE - ERP =&gt; SOUS-SEGMENT'!$Q$87</f>
        <v>1</v>
      </c>
    </row>
    <row r="22" spans="1:20" ht="15" customHeight="1">
      <c r="A22" s="26">
        <v>19</v>
      </c>
      <c r="B22" s="26">
        <v>18</v>
      </c>
      <c r="C22" s="422">
        <f>'ANALYSE - ERP =&gt; SOUS-SEGMENT'!$A$68</f>
        <v>61</v>
      </c>
      <c r="D22" s="408" t="str">
        <f>'ANALYSE - ERP =&gt; SOUS-SEGMENT'!$B$68</f>
        <v>Culture, Patrimoine &amp; Evénementiel</v>
      </c>
      <c r="E22" s="408" t="str">
        <f>'ANALYSE - ERP =&gt; SOUS-SEGMENT'!$C$68</f>
        <v>Culture / spectacle</v>
      </c>
      <c r="F22" s="408" t="str">
        <f>'ANALYSE - ERP =&gt; SOUS-SEGMENT'!$D$68</f>
        <v>Bibliothèques / Médiathèques</v>
      </c>
      <c r="H22" s="787">
        <f>'ANALYSE - ERP =&gt; SOUS-SEGMENT'!$JI$68</f>
        <v>7.2599999999999998E-2</v>
      </c>
      <c r="I22" s="787">
        <f>'ANALYSE - ERP =&gt; SOUS-SEGMENT'!$JJ$68</f>
        <v>0.42049999999999998</v>
      </c>
      <c r="J22" s="787">
        <f>'ANALYSE - ERP =&gt; SOUS-SEGMENT'!$JK$68</f>
        <v>0.41220000000000001</v>
      </c>
      <c r="K22" s="787">
        <f>'ANALYSE - ERP =&gt; SOUS-SEGMENT'!$JL$68</f>
        <v>9.2700000000000005E-2</v>
      </c>
      <c r="L22" s="787">
        <f>'ANALYSE - ERP =&gt; SOUS-SEGMENT'!$JM$68</f>
        <v>2E-3</v>
      </c>
      <c r="N22" s="787">
        <f>'ANALYSE - ERP =&gt; SOUS-SEGMENT'!$JN$68</f>
        <v>2.4199999999999999E-2</v>
      </c>
      <c r="O22" s="787">
        <f>'ANALYSE - ERP =&gt; SOUS-SEGMENT'!$JO$68</f>
        <v>0.33090000000000003</v>
      </c>
      <c r="P22" s="787">
        <f>'ANALYSE - ERP =&gt; SOUS-SEGMENT'!$JP$68</f>
        <v>0.49409999999999998</v>
      </c>
      <c r="Q22" s="787">
        <f>'ANALYSE - ERP =&gt; SOUS-SEGMENT'!$JQ$68</f>
        <v>0.14530000000000001</v>
      </c>
      <c r="R22" s="787">
        <f>'ANALYSE - ERP =&gt; SOUS-SEGMENT'!$JR$68</f>
        <v>5.4999999999999997E-3</v>
      </c>
      <c r="T22" s="430">
        <f>'ANALYSE - ERP =&gt; SOUS-SEGMENT'!$Q$68</f>
        <v>1</v>
      </c>
    </row>
    <row r="23" spans="1:20" ht="15" customHeight="1">
      <c r="A23" s="26">
        <v>20</v>
      </c>
      <c r="B23" s="26">
        <v>21</v>
      </c>
      <c r="C23" s="422">
        <f>'ANALYSE - ERP =&gt; SOUS-SEGMENT'!$A$66</f>
        <v>59</v>
      </c>
      <c r="D23" s="409" t="str">
        <f>'ANALYSE - ERP =&gt; SOUS-SEGMENT'!$B$66</f>
        <v>Culture, Patrimoine &amp; Evénementiel</v>
      </c>
      <c r="E23" s="409" t="str">
        <f>'ANALYSE - ERP =&gt; SOUS-SEGMENT'!$C$66</f>
        <v>Culture / spectacle</v>
      </c>
      <c r="F23" s="409" t="str">
        <f>'ANALYSE - ERP =&gt; SOUS-SEGMENT'!$D$66</f>
        <v>Salles de conférence / Réunion</v>
      </c>
      <c r="H23" s="787">
        <f>'ANALYSE - ERP =&gt; SOUS-SEGMENT'!$JI$66</f>
        <v>5.4800000000000001E-2</v>
      </c>
      <c r="I23" s="787">
        <f>'ANALYSE - ERP =&gt; SOUS-SEGMENT'!$JJ$66</f>
        <v>0.39460000000000001</v>
      </c>
      <c r="J23" s="787">
        <f>'ANALYSE - ERP =&gt; SOUS-SEGMENT'!$JK$66</f>
        <v>0.441</v>
      </c>
      <c r="K23" s="787">
        <f>'ANALYSE - ERP =&gt; SOUS-SEGMENT'!$JL$66</f>
        <v>0.10680000000000001</v>
      </c>
      <c r="L23" s="787">
        <f>'ANALYSE - ERP =&gt; SOUS-SEGMENT'!$JM$66</f>
        <v>2.8E-3</v>
      </c>
      <c r="N23" s="787">
        <f>'ANALYSE - ERP =&gt; SOUS-SEGMENT'!$JN$66</f>
        <v>4.4000000000000003E-3</v>
      </c>
      <c r="O23" s="787">
        <f>'ANALYSE - ERP =&gt; SOUS-SEGMENT'!$JO$66</f>
        <v>0.26740000000000003</v>
      </c>
      <c r="P23" s="787">
        <f>'ANALYSE - ERP =&gt; SOUS-SEGMENT'!$JP$66</f>
        <v>0.52739999999999998</v>
      </c>
      <c r="Q23" s="787">
        <f>'ANALYSE - ERP =&gt; SOUS-SEGMENT'!$JQ$66</f>
        <v>0.1908</v>
      </c>
      <c r="R23" s="787">
        <f>'ANALYSE - ERP =&gt; SOUS-SEGMENT'!$JR$66</f>
        <v>0.01</v>
      </c>
      <c r="T23" s="430">
        <f>'ANALYSE - ERP =&gt; SOUS-SEGMENT'!$Q$66</f>
        <v>1</v>
      </c>
    </row>
    <row r="24" spans="1:20" ht="15" customHeight="1">
      <c r="A24" s="26">
        <v>21</v>
      </c>
      <c r="B24" s="26">
        <v>20</v>
      </c>
      <c r="C24" s="422">
        <f>'ANALYSE - ERP =&gt; SOUS-SEGMENT'!$A$79</f>
        <v>72</v>
      </c>
      <c r="D24" s="414" t="str">
        <f>'ANALYSE - ERP =&gt; SOUS-SEGMENT'!$B$79</f>
        <v>Commerce, Restauration &amp; Loisirs</v>
      </c>
      <c r="E24" s="414" t="str">
        <f>'ANALYSE - ERP =&gt; SOUS-SEGMENT'!$C$79</f>
        <v>Commerce</v>
      </c>
      <c r="F24" s="414" t="str">
        <f>'ANALYSE - ERP =&gt; SOUS-SEGMENT'!$D$79</f>
        <v>Centres commerciaux / Malls
(dotés de sanitaires collectifs clients)</v>
      </c>
      <c r="H24" s="787">
        <f>'ANALYSE - ERP =&gt; SOUS-SEGMENT'!$JI$79</f>
        <v>2.0899999999999998E-2</v>
      </c>
      <c r="I24" s="787">
        <f>'ANALYSE - ERP =&gt; SOUS-SEGMENT'!$JJ$79</f>
        <v>0.43930000000000002</v>
      </c>
      <c r="J24" s="787">
        <f>'ANALYSE - ERP =&gt; SOUS-SEGMENT'!$JK$79</f>
        <v>0.43580000000000002</v>
      </c>
      <c r="K24" s="787">
        <f>'ANALYSE - ERP =&gt; SOUS-SEGMENT'!$JL$79</f>
        <v>9.9400000000000002E-2</v>
      </c>
      <c r="L24" s="787">
        <f>'ANALYSE - ERP =&gt; SOUS-SEGMENT'!$JM$79</f>
        <v>4.5999999999999999E-3</v>
      </c>
      <c r="N24" s="787">
        <f>'ANALYSE - ERP =&gt; SOUS-SEGMENT'!$JN$79</f>
        <v>0</v>
      </c>
      <c r="O24" s="787">
        <f>'ANALYSE - ERP =&gt; SOUS-SEGMENT'!$JO$79</f>
        <v>0.40210000000000001</v>
      </c>
      <c r="P24" s="787">
        <f>'ANALYSE - ERP =&gt; SOUS-SEGMENT'!$JP$79</f>
        <v>0.46060000000000001</v>
      </c>
      <c r="Q24" s="787">
        <f>'ANALYSE - ERP =&gt; SOUS-SEGMENT'!$JQ$79</f>
        <v>0.12659999999999999</v>
      </c>
      <c r="R24" s="787">
        <f>'ANALYSE - ERP =&gt; SOUS-SEGMENT'!$JR$79</f>
        <v>1.0699999999999999E-2</v>
      </c>
      <c r="T24" s="430">
        <f>'ANALYSE - ERP =&gt; SOUS-SEGMENT'!$Q$79</f>
        <v>1</v>
      </c>
    </row>
    <row r="25" spans="1:20" ht="15" customHeight="1">
      <c r="A25" s="26">
        <v>22</v>
      </c>
      <c r="B25" s="26">
        <v>22</v>
      </c>
      <c r="C25" s="422">
        <f>'ANALYSE - ERP =&gt; SOUS-SEGMENT'!$A$24</f>
        <v>17</v>
      </c>
      <c r="D25" s="414" t="str">
        <f>'ANALYSE - ERP =&gt; SOUS-SEGMENT'!$B$24</f>
        <v>Sports &amp; Loisirs</v>
      </c>
      <c r="E25" s="414" t="str">
        <f>'ANALYSE - ERP =&gt; SOUS-SEGMENT'!$C$24</f>
        <v>Sport couvert / Thermalisme / Bien-être</v>
      </c>
      <c r="F25" s="414" t="str">
        <f>'ANALYSE - ERP =&gt; SOUS-SEGMENT'!$D$24</f>
        <v>Piscines couvertes</v>
      </c>
      <c r="H25" s="787">
        <f>'ANALYSE - ERP =&gt; SOUS-SEGMENT'!$JI$24</f>
        <v>0.2132</v>
      </c>
      <c r="I25" s="787">
        <f>'ANALYSE - ERP =&gt; SOUS-SEGMENT'!$JJ$24</f>
        <v>0.62770000000000004</v>
      </c>
      <c r="J25" s="787">
        <f>'ANALYSE - ERP =&gt; SOUS-SEGMENT'!$JK$24</f>
        <v>0.15909999999999999</v>
      </c>
      <c r="K25" s="787">
        <f>'ANALYSE - ERP =&gt; SOUS-SEGMENT'!$JL$24</f>
        <v>0</v>
      </c>
      <c r="L25" s="787">
        <f>'ANALYSE - ERP =&gt; SOUS-SEGMENT'!$JM$24</f>
        <v>0</v>
      </c>
      <c r="N25" s="787">
        <f>'ANALYSE - ERP =&gt; SOUS-SEGMENT'!$JN$24</f>
        <v>0.1043</v>
      </c>
      <c r="O25" s="787">
        <f>'ANALYSE - ERP =&gt; SOUS-SEGMENT'!$JO$24</f>
        <v>0.6038</v>
      </c>
      <c r="P25" s="787">
        <f>'ANALYSE - ERP =&gt; SOUS-SEGMENT'!$JP$24</f>
        <v>0.29189999999999999</v>
      </c>
      <c r="Q25" s="787">
        <f>'ANALYSE - ERP =&gt; SOUS-SEGMENT'!$JQ$24</f>
        <v>0</v>
      </c>
      <c r="R25" s="787">
        <f>'ANALYSE - ERP =&gt; SOUS-SEGMENT'!$JR$24</f>
        <v>0</v>
      </c>
      <c r="T25" s="430">
        <f>'ANALYSE - ERP =&gt; SOUS-SEGMENT'!$Q$24</f>
        <v>1</v>
      </c>
    </row>
    <row r="26" spans="1:20" ht="15" customHeight="1">
      <c r="A26" s="26">
        <v>23</v>
      </c>
      <c r="B26" s="26">
        <v>23</v>
      </c>
      <c r="C26" s="422">
        <f>'ANALYSE - ERP =&gt; SOUS-SEGMENT'!$A$22</f>
        <v>15</v>
      </c>
      <c r="D26" s="414" t="str">
        <f>'ANALYSE - ERP =&gt; SOUS-SEGMENT'!$B$22</f>
        <v>Sports &amp; Loisirs</v>
      </c>
      <c r="E26" s="414" t="str">
        <f>'ANALYSE - ERP =&gt; SOUS-SEGMENT'!$C$22</f>
        <v>Sport couvert / Thermalisme / Bien-être</v>
      </c>
      <c r="F26" s="414" t="str">
        <f>'ANALYSE - ERP =&gt; SOUS-SEGMENT'!$D$22</f>
        <v>Salles de fitness / dojos</v>
      </c>
      <c r="H26" s="787">
        <f>'ANALYSE - ERP =&gt; SOUS-SEGMENT'!$JI$22</f>
        <v>1E-3</v>
      </c>
      <c r="I26" s="787">
        <f>'ANALYSE - ERP =&gt; SOUS-SEGMENT'!$JJ$22</f>
        <v>0.32369999999999999</v>
      </c>
      <c r="J26" s="787">
        <f>'ANALYSE - ERP =&gt; SOUS-SEGMENT'!$JK$22</f>
        <v>0.4914</v>
      </c>
      <c r="K26" s="787">
        <f>'ANALYSE - ERP =&gt; SOUS-SEGMENT'!$JL$22</f>
        <v>0.14990000000000001</v>
      </c>
      <c r="L26" s="787">
        <f>'ANALYSE - ERP =&gt; SOUS-SEGMENT'!$JM$22</f>
        <v>3.4000000000000002E-2</v>
      </c>
      <c r="N26" s="787">
        <f>'ANALYSE - ERP =&gt; SOUS-SEGMENT'!$JN$22</f>
        <v>0</v>
      </c>
      <c r="O26" s="787">
        <f>'ANALYSE - ERP =&gt; SOUS-SEGMENT'!$JO$22</f>
        <v>0.1731</v>
      </c>
      <c r="P26" s="787">
        <f>'ANALYSE - ERP =&gt; SOUS-SEGMENT'!$JP$22</f>
        <v>0.53869999999999996</v>
      </c>
      <c r="Q26" s="787">
        <f>'ANALYSE - ERP =&gt; SOUS-SEGMENT'!$JQ$22</f>
        <v>0.2424</v>
      </c>
      <c r="R26" s="787">
        <f>'ANALYSE - ERP =&gt; SOUS-SEGMENT'!$JR$22</f>
        <v>4.58E-2</v>
      </c>
      <c r="T26" s="430">
        <f>'ANALYSE - ERP =&gt; SOUS-SEGMENT'!$Q$22</f>
        <v>1</v>
      </c>
    </row>
    <row r="27" spans="1:20" ht="15" customHeight="1">
      <c r="A27" s="26">
        <v>24</v>
      </c>
      <c r="B27" s="26">
        <v>24</v>
      </c>
      <c r="C27" s="422">
        <f>'ANALYSE - ERP =&gt; SOUS-SEGMENT'!$A$125</f>
        <v>118</v>
      </c>
      <c r="D27" s="414" t="str">
        <f>'ANALYSE - ERP =&gt; SOUS-SEGMENT'!$B$125</f>
        <v>Transport, Mobilité &amp; Stationnement</v>
      </c>
      <c r="E27" s="414" t="str">
        <f>'ANALYSE - ERP =&gt; SOUS-SEGMENT'!$C$125</f>
        <v>Transport / Mobilité</v>
      </c>
      <c r="F27" s="414" t="str">
        <f>'ANALYSE - ERP =&gt; SOUS-SEGMENT'!$D$125</f>
        <v>Gares ferroviaires et stations
(dotés de sanitaires)</v>
      </c>
      <c r="H27" s="787">
        <f>'ANALYSE - ERP =&gt; SOUS-SEGMENT'!$JI$125</f>
        <v>8.48E-2</v>
      </c>
      <c r="I27" s="787">
        <f>'ANALYSE - ERP =&gt; SOUS-SEGMENT'!$JJ$125</f>
        <v>0.59799999999999998</v>
      </c>
      <c r="J27" s="787">
        <f>'ANALYSE - ERP =&gt; SOUS-SEGMENT'!$JK$125</f>
        <v>0.2898</v>
      </c>
      <c r="K27" s="787">
        <f>'ANALYSE - ERP =&gt; SOUS-SEGMENT'!$JL$125</f>
        <v>2.5399999999999999E-2</v>
      </c>
      <c r="L27" s="787">
        <f>'ANALYSE - ERP =&gt; SOUS-SEGMENT'!$JM$125</f>
        <v>2E-3</v>
      </c>
      <c r="N27" s="787">
        <f>'ANALYSE - ERP =&gt; SOUS-SEGMENT'!$JN$125</f>
        <v>6.4199999999999993E-2</v>
      </c>
      <c r="O27" s="787">
        <f>'ANALYSE - ERP =&gt; SOUS-SEGMENT'!$JO$125</f>
        <v>0.57279999999999998</v>
      </c>
      <c r="P27" s="787">
        <f>'ANALYSE - ERP =&gt; SOUS-SEGMENT'!$JP$125</f>
        <v>0.31040000000000001</v>
      </c>
      <c r="Q27" s="787">
        <f>'ANALYSE - ERP =&gt; SOUS-SEGMENT'!$JQ$125</f>
        <v>4.5999999999999999E-2</v>
      </c>
      <c r="R27" s="787">
        <f>'ANALYSE - ERP =&gt; SOUS-SEGMENT'!$JR$125</f>
        <v>6.6E-3</v>
      </c>
      <c r="T27" s="430">
        <f>'ANALYSE - ERP =&gt; SOUS-SEGMENT'!$Q$125</f>
        <v>1</v>
      </c>
    </row>
    <row r="28" spans="1:20" ht="15" customHeight="1">
      <c r="A28" s="26">
        <v>25</v>
      </c>
      <c r="B28" s="26">
        <v>25</v>
      </c>
      <c r="C28" s="422">
        <f>'ANALYSE - ERP =&gt; SOUS-SEGMENT'!$A$120</f>
        <v>113</v>
      </c>
      <c r="D28" s="413" t="str">
        <f>'ANALYSE - ERP =&gt; SOUS-SEGMENT'!$B$120</f>
        <v>Culte, Vie civique &amp; Services publics</v>
      </c>
      <c r="E28" s="413" t="str">
        <f>'ANALYSE - ERP =&gt; SOUS-SEGMENT'!$C$120</f>
        <v>Vie associative</v>
      </c>
      <c r="F28" s="413" t="str">
        <f>'ANALYSE - ERP =&gt; SOUS-SEGMENT'!$D$120</f>
        <v>Locaux associatifs recevant du public (dotés de sanitaires)</v>
      </c>
      <c r="H28" s="787">
        <f>'ANALYSE - ERP =&gt; SOUS-SEGMENT'!$JI$120</f>
        <v>0.15459999999999999</v>
      </c>
      <c r="I28" s="787">
        <f>'ANALYSE - ERP =&gt; SOUS-SEGMENT'!$JJ$120</f>
        <v>0.61470000000000002</v>
      </c>
      <c r="J28" s="787">
        <f>'ANALYSE - ERP =&gt; SOUS-SEGMENT'!$JK$120</f>
        <v>0.21909999999999999</v>
      </c>
      <c r="K28" s="787">
        <f>'ANALYSE - ERP =&gt; SOUS-SEGMENT'!$JL$120</f>
        <v>1.1599999999999999E-2</v>
      </c>
      <c r="L28" s="787">
        <f>'ANALYSE - ERP =&gt; SOUS-SEGMENT'!$JM$120</f>
        <v>0</v>
      </c>
      <c r="N28" s="787">
        <f>'ANALYSE - ERP =&gt; SOUS-SEGMENT'!$JN$120</f>
        <v>0.13830000000000001</v>
      </c>
      <c r="O28" s="787">
        <f>'ANALYSE - ERP =&gt; SOUS-SEGMENT'!$JO$120</f>
        <v>0.5948</v>
      </c>
      <c r="P28" s="787">
        <f>'ANALYSE - ERP =&gt; SOUS-SEGMENT'!$JP$120</f>
        <v>0.2354</v>
      </c>
      <c r="Q28" s="787">
        <f>'ANALYSE - ERP =&gt; SOUS-SEGMENT'!$JQ$120</f>
        <v>2.7900000000000001E-2</v>
      </c>
      <c r="R28" s="787">
        <f>'ANALYSE - ERP =&gt; SOUS-SEGMENT'!$JR$120</f>
        <v>3.5999999999999999E-3</v>
      </c>
      <c r="T28" s="430">
        <f>'ANALYSE - ERP =&gt; SOUS-SEGMENT'!$Q$120</f>
        <v>1</v>
      </c>
    </row>
    <row r="29" spans="1:20" ht="15" customHeight="1">
      <c r="A29" s="26">
        <v>26</v>
      </c>
      <c r="B29" s="26">
        <v>26</v>
      </c>
      <c r="C29" s="422">
        <f>'ANALYSE - ERP =&gt; SOUS-SEGMENT'!$A$73</f>
        <v>66</v>
      </c>
      <c r="D29" s="414" t="str">
        <f>'ANALYSE - ERP =&gt; SOUS-SEGMENT'!$B$73</f>
        <v>Culture, Patrimoine &amp; Evénementiel</v>
      </c>
      <c r="E29" s="414" t="str">
        <f>'ANALYSE - ERP =&gt; SOUS-SEGMENT'!$C$73</f>
        <v>Événementiel temporaire</v>
      </c>
      <c r="F29" s="414" t="str">
        <f>'ANALYSE - ERP =&gt; SOUS-SEGMENT'!$D$73</f>
        <v>Structures gonflables</v>
      </c>
      <c r="H29" s="787">
        <f>'ANALYSE - ERP =&gt; SOUS-SEGMENT'!$JI$73</f>
        <v>0.44619999999999999</v>
      </c>
      <c r="I29" s="787">
        <f>'ANALYSE - ERP =&gt; SOUS-SEGMENT'!$JJ$73</f>
        <v>0.53249999999999997</v>
      </c>
      <c r="J29" s="787">
        <f>'ANALYSE - ERP =&gt; SOUS-SEGMENT'!$JK$73</f>
        <v>2.1299999999999999E-2</v>
      </c>
      <c r="K29" s="787">
        <f>'ANALYSE - ERP =&gt; SOUS-SEGMENT'!$JL$73</f>
        <v>0</v>
      </c>
      <c r="L29" s="787">
        <f>'ANALYSE - ERP =&gt; SOUS-SEGMENT'!$JM$73</f>
        <v>0</v>
      </c>
      <c r="N29" s="787">
        <f>'ANALYSE - ERP =&gt; SOUS-SEGMENT'!$JN$73</f>
        <v>0.26100000000000001</v>
      </c>
      <c r="O29" s="787">
        <f>'ANALYSE - ERP =&gt; SOUS-SEGMENT'!$JO$73</f>
        <v>0.65029999999999999</v>
      </c>
      <c r="P29" s="787">
        <f>'ANALYSE - ERP =&gt; SOUS-SEGMENT'!$JP$73</f>
        <v>8.8700000000000001E-2</v>
      </c>
      <c r="Q29" s="787">
        <f>'ANALYSE - ERP =&gt; SOUS-SEGMENT'!$JQ$73</f>
        <v>0</v>
      </c>
      <c r="R29" s="787">
        <f>'ANALYSE - ERP =&gt; SOUS-SEGMENT'!$JR$73</f>
        <v>0</v>
      </c>
      <c r="T29" s="430">
        <f>'ANALYSE - ERP =&gt; SOUS-SEGMENT'!$Q$73</f>
        <v>1</v>
      </c>
    </row>
    <row r="30" spans="1:20" ht="15" customHeight="1">
      <c r="A30" s="26">
        <v>27</v>
      </c>
      <c r="B30" s="26">
        <v>28</v>
      </c>
      <c r="C30" s="422">
        <f>'ANALYSE - ERP =&gt; SOUS-SEGMENT'!$A$28</f>
        <v>21</v>
      </c>
      <c r="D30" s="409" t="str">
        <f>'ANALYSE - ERP =&gt; SOUS-SEGMENT'!$B$28</f>
        <v>Sports &amp; Loisirs</v>
      </c>
      <c r="E30" s="409" t="str">
        <f>'ANALYSE - ERP =&gt; SOUS-SEGMENT'!$C$28</f>
        <v>Sport de plein air</v>
      </c>
      <c r="F30" s="409" t="str">
        <f>'ANALYSE - ERP =&gt; SOUS-SEGMENT'!$D$28</f>
        <v>Stades avec tribunes
(Hors grands stades, hors terrains sport)</v>
      </c>
      <c r="H30" s="787">
        <f>'ANALYSE - ERP =&gt; SOUS-SEGMENT'!$JI$28</f>
        <v>0.255</v>
      </c>
      <c r="I30" s="787">
        <f>'ANALYSE - ERP =&gt; SOUS-SEGMENT'!$JJ$28</f>
        <v>0.61629999999999996</v>
      </c>
      <c r="J30" s="787">
        <f>'ANALYSE - ERP =&gt; SOUS-SEGMENT'!$JK$28</f>
        <v>0.12870000000000001</v>
      </c>
      <c r="K30" s="787">
        <f>'ANALYSE - ERP =&gt; SOUS-SEGMENT'!$JL$28</f>
        <v>0</v>
      </c>
      <c r="L30" s="787">
        <f>'ANALYSE - ERP =&gt; SOUS-SEGMENT'!$JM$28</f>
        <v>0</v>
      </c>
      <c r="N30" s="787">
        <f>'ANALYSE - ERP =&gt; SOUS-SEGMENT'!$JN$28</f>
        <v>0.1202</v>
      </c>
      <c r="O30" s="787">
        <f>'ANALYSE - ERP =&gt; SOUS-SEGMENT'!$JO$28</f>
        <v>0.6149</v>
      </c>
      <c r="P30" s="787">
        <f>'ANALYSE - ERP =&gt; SOUS-SEGMENT'!$JP$28</f>
        <v>0.26490000000000002</v>
      </c>
      <c r="Q30" s="787">
        <f>'ANALYSE - ERP =&gt; SOUS-SEGMENT'!$JQ$28</f>
        <v>0</v>
      </c>
      <c r="R30" s="787">
        <f>'ANALYSE - ERP =&gt; SOUS-SEGMENT'!$JR$28</f>
        <v>0</v>
      </c>
      <c r="T30" s="430">
        <f>'ANALYSE - ERP =&gt; SOUS-SEGMENT'!$Q$28</f>
        <v>1</v>
      </c>
    </row>
    <row r="31" spans="1:20" ht="15" customHeight="1">
      <c r="A31" s="26">
        <v>28</v>
      </c>
      <c r="B31" s="26">
        <v>27</v>
      </c>
      <c r="C31" s="422">
        <f>'ANALYSE - ERP =&gt; SOUS-SEGMENT'!$A$58</f>
        <v>51</v>
      </c>
      <c r="D31" s="409" t="str">
        <f>'ANALYSE - ERP =&gt; SOUS-SEGMENT'!$B$58</f>
        <v>Santé &amp; Médico-social</v>
      </c>
      <c r="E31" s="409" t="str">
        <f>'ANALYSE - ERP =&gt; SOUS-SEGMENT'!$C$58</f>
        <v>Médico-social</v>
      </c>
      <c r="F31" s="409" t="str">
        <f>'ANALYSE - ERP =&gt; SOUS-SEGMENT'!$D$58</f>
        <v>EHPAD</v>
      </c>
      <c r="H31" s="787">
        <f>'ANALYSE - ERP =&gt; SOUS-SEGMENT'!$JI$58</f>
        <v>0</v>
      </c>
      <c r="I31" s="787">
        <f>'ANALYSE - ERP =&gt; SOUS-SEGMENT'!$JJ$58</f>
        <v>0.23480000000000001</v>
      </c>
      <c r="J31" s="787">
        <f>'ANALYSE - ERP =&gt; SOUS-SEGMENT'!$JK$58</f>
        <v>0.56989999999999996</v>
      </c>
      <c r="K31" s="787">
        <f>'ANALYSE - ERP =&gt; SOUS-SEGMENT'!$JL$58</f>
        <v>0.1953</v>
      </c>
      <c r="L31" s="787">
        <f>'ANALYSE - ERP =&gt; SOUS-SEGMENT'!$JM$58</f>
        <v>0</v>
      </c>
      <c r="N31" s="787">
        <f>'ANALYSE - ERP =&gt; SOUS-SEGMENT'!$JN$58</f>
        <v>0</v>
      </c>
      <c r="O31" s="787">
        <f>'ANALYSE - ERP =&gt; SOUS-SEGMENT'!$JO$58</f>
        <v>0.15029999999999999</v>
      </c>
      <c r="P31" s="787">
        <f>'ANALYSE - ERP =&gt; SOUS-SEGMENT'!$JP$58</f>
        <v>0.56940000000000002</v>
      </c>
      <c r="Q31" s="787">
        <f>'ANALYSE - ERP =&gt; SOUS-SEGMENT'!$JQ$58</f>
        <v>0.28029999999999999</v>
      </c>
      <c r="R31" s="787">
        <f>'ANALYSE - ERP =&gt; SOUS-SEGMENT'!$JR$58</f>
        <v>0</v>
      </c>
      <c r="T31" s="430">
        <f>'ANALYSE - ERP =&gt; SOUS-SEGMENT'!$Q$58</f>
        <v>1</v>
      </c>
    </row>
    <row r="32" spans="1:20" ht="15" customHeight="1">
      <c r="A32" s="26">
        <v>29</v>
      </c>
      <c r="B32" s="26">
        <v>29</v>
      </c>
      <c r="C32" s="422">
        <f>'ANALYSE - ERP =&gt; SOUS-SEGMENT'!$A$56</f>
        <v>49</v>
      </c>
      <c r="D32" s="409" t="str">
        <f>'ANALYSE - ERP =&gt; SOUS-SEGMENT'!$B$56</f>
        <v>Santé &amp; Médico-social</v>
      </c>
      <c r="E32" s="409" t="str">
        <f>'ANALYSE - ERP =&gt; SOUS-SEGMENT'!$C$56</f>
        <v>Médico-social</v>
      </c>
      <c r="F32" s="409" t="str">
        <f>'ANALYSE - ERP =&gt; SOUS-SEGMENT'!$D$56</f>
        <v>Foyers pour personnes handicapées</v>
      </c>
      <c r="H32" s="787">
        <f>'ANALYSE - ERP =&gt; SOUS-SEGMENT'!$JI$56</f>
        <v>2.7199999999999998E-2</v>
      </c>
      <c r="I32" s="787">
        <f>'ANALYSE - ERP =&gt; SOUS-SEGMENT'!$JJ$56</f>
        <v>0.43480000000000002</v>
      </c>
      <c r="J32" s="787">
        <f>'ANALYSE - ERP =&gt; SOUS-SEGMENT'!$JK$56</f>
        <v>0.45650000000000002</v>
      </c>
      <c r="K32" s="787">
        <f>'ANALYSE - ERP =&gt; SOUS-SEGMENT'!$JL$56</f>
        <v>8.1500000000000003E-2</v>
      </c>
      <c r="L32" s="787">
        <f>'ANALYSE - ERP =&gt; SOUS-SEGMENT'!$JM$56</f>
        <v>0</v>
      </c>
      <c r="N32" s="787">
        <f>'ANALYSE - ERP =&gt; SOUS-SEGMENT'!$JN$56</f>
        <v>0</v>
      </c>
      <c r="O32" s="787">
        <f>'ANALYSE - ERP =&gt; SOUS-SEGMENT'!$JO$56</f>
        <v>0.27350000000000002</v>
      </c>
      <c r="P32" s="787">
        <f>'ANALYSE - ERP =&gt; SOUS-SEGMENT'!$JP$56</f>
        <v>0.56040000000000001</v>
      </c>
      <c r="Q32" s="787">
        <f>'ANALYSE - ERP =&gt; SOUS-SEGMENT'!$JQ$56</f>
        <v>0.1661</v>
      </c>
      <c r="R32" s="787">
        <f>'ANALYSE - ERP =&gt; SOUS-SEGMENT'!$JR$56</f>
        <v>0</v>
      </c>
      <c r="T32" s="430">
        <f>'ANALYSE - ERP =&gt; SOUS-SEGMENT'!$Q$56</f>
        <v>1</v>
      </c>
    </row>
    <row r="33" spans="1:20" ht="15" customHeight="1">
      <c r="A33" s="26">
        <v>30</v>
      </c>
      <c r="B33" s="26">
        <v>30</v>
      </c>
      <c r="C33" s="422">
        <f>'ANALYSE - ERP =&gt; SOUS-SEGMENT'!$A$116</f>
        <v>109</v>
      </c>
      <c r="D33" s="409" t="str">
        <f>'ANALYSE - ERP =&gt; SOUS-SEGMENT'!$B$116</f>
        <v>Culte, Vie civique &amp; Services publics</v>
      </c>
      <c r="E33" s="409" t="str">
        <f>'ANALYSE - ERP =&gt; SOUS-SEGMENT'!$C$116</f>
        <v>Culte</v>
      </c>
      <c r="F33" s="409" t="str">
        <f>'ANALYSE - ERP =&gt; SOUS-SEGMENT'!$D$116</f>
        <v>Mosquées et salles de prière musulmanes</v>
      </c>
      <c r="H33" s="787">
        <f>'ANALYSE - ERP =&gt; SOUS-SEGMENT'!$JI$116</f>
        <v>0.15459999999999999</v>
      </c>
      <c r="I33" s="787">
        <f>'ANALYSE - ERP =&gt; SOUS-SEGMENT'!$JJ$116</f>
        <v>0.61470000000000002</v>
      </c>
      <c r="J33" s="787">
        <f>'ANALYSE - ERP =&gt; SOUS-SEGMENT'!$JK$116</f>
        <v>0.21909999999999999</v>
      </c>
      <c r="K33" s="787">
        <f>'ANALYSE - ERP =&gt; SOUS-SEGMENT'!$JL$116</f>
        <v>1.1599999999999999E-2</v>
      </c>
      <c r="L33" s="787">
        <f>'ANALYSE - ERP =&gt; SOUS-SEGMENT'!$JM$116</f>
        <v>0</v>
      </c>
      <c r="N33" s="787">
        <f>'ANALYSE - ERP =&gt; SOUS-SEGMENT'!$JN$116</f>
        <v>0.14050000000000001</v>
      </c>
      <c r="O33" s="787">
        <f>'ANALYSE - ERP =&gt; SOUS-SEGMENT'!$JO$116</f>
        <v>0.59740000000000004</v>
      </c>
      <c r="P33" s="787">
        <f>'ANALYSE - ERP =&gt; SOUS-SEGMENT'!$JP$116</f>
        <v>0.23319999999999999</v>
      </c>
      <c r="Q33" s="787">
        <f>'ANALYSE - ERP =&gt; SOUS-SEGMENT'!$JQ$116</f>
        <v>2.5700000000000001E-2</v>
      </c>
      <c r="R33" s="787">
        <f>'ANALYSE - ERP =&gt; SOUS-SEGMENT'!$JR$116</f>
        <v>3.2000000000000002E-3</v>
      </c>
      <c r="T33" s="430">
        <f>'ANALYSE - ERP =&gt; SOUS-SEGMENT'!$Q$116</f>
        <v>1</v>
      </c>
    </row>
    <row r="34" spans="1:20" ht="15" customHeight="1">
      <c r="A34" s="26">
        <v>31</v>
      </c>
      <c r="B34" s="26">
        <v>32</v>
      </c>
      <c r="C34" s="422">
        <f>'ANALYSE - ERP =&gt; SOUS-SEGMENT'!$A$65</f>
        <v>58</v>
      </c>
      <c r="D34" s="410" t="str">
        <f>'ANALYSE - ERP =&gt; SOUS-SEGMENT'!$B$65</f>
        <v>Culture, Patrimoine &amp; Evénementiel</v>
      </c>
      <c r="E34" s="410" t="str">
        <f>'ANALYSE - ERP =&gt; SOUS-SEGMENT'!$C$65</f>
        <v>Culture / spectacle</v>
      </c>
      <c r="F34" s="410" t="str">
        <f>'ANALYSE - ERP =&gt; SOUS-SEGMENT'!$D$65</f>
        <v>Salles de spectacle / Auditoriums</v>
      </c>
      <c r="H34" s="787">
        <f>'ANALYSE - ERP =&gt; SOUS-SEGMENT'!$JI$65</f>
        <v>1.6199999999999999E-2</v>
      </c>
      <c r="I34" s="787">
        <f>'ANALYSE - ERP =&gt; SOUS-SEGMENT'!$JJ$65</f>
        <v>0.28000000000000003</v>
      </c>
      <c r="J34" s="787">
        <f>'ANALYSE - ERP =&gt; SOUS-SEGMENT'!$JK$65</f>
        <v>0.50019999999999998</v>
      </c>
      <c r="K34" s="787">
        <f>'ANALYSE - ERP =&gt; SOUS-SEGMENT'!$JL$65</f>
        <v>0.19109999999999999</v>
      </c>
      <c r="L34" s="787">
        <f>'ANALYSE - ERP =&gt; SOUS-SEGMENT'!$JM$65</f>
        <v>1.2500000000000001E-2</v>
      </c>
      <c r="N34" s="787">
        <f>'ANALYSE - ERP =&gt; SOUS-SEGMENT'!$JN$65</f>
        <v>0</v>
      </c>
      <c r="O34" s="787">
        <f>'ANALYSE - ERP =&gt; SOUS-SEGMENT'!$JO$65</f>
        <v>0.1484</v>
      </c>
      <c r="P34" s="787">
        <f>'ANALYSE - ERP =&gt; SOUS-SEGMENT'!$JP$65</f>
        <v>0.49280000000000002</v>
      </c>
      <c r="Q34" s="787">
        <f>'ANALYSE - ERP =&gt; SOUS-SEGMENT'!$JQ$65</f>
        <v>0.31919999999999998</v>
      </c>
      <c r="R34" s="787">
        <f>'ANALYSE - ERP =&gt; SOUS-SEGMENT'!$JR$65</f>
        <v>3.9600000000000003E-2</v>
      </c>
      <c r="T34" s="430">
        <f>'ANALYSE - ERP =&gt; SOUS-SEGMENT'!$Q$65</f>
        <v>1</v>
      </c>
    </row>
    <row r="35" spans="1:20" ht="15" customHeight="1">
      <c r="A35" s="26">
        <v>32</v>
      </c>
      <c r="B35" s="26">
        <v>41</v>
      </c>
      <c r="C35" s="422">
        <f>'ANALYSE - ERP =&gt; SOUS-SEGMENT'!$A$54</f>
        <v>47</v>
      </c>
      <c r="D35" s="411" t="str">
        <f>'ANALYSE - ERP =&gt; SOUS-SEGMENT'!$B$54</f>
        <v>Santé &amp; Médico-social</v>
      </c>
      <c r="E35" s="411" t="str">
        <f>'ANALYSE - ERP =&gt; SOUS-SEGMENT'!$C$54</f>
        <v>Santé ambulatoire</v>
      </c>
      <c r="F35" s="411" t="str">
        <f>'ANALYSE - ERP =&gt; SOUS-SEGMENT'!$D$54</f>
        <v>Maisons de santé</v>
      </c>
      <c r="H35" s="787">
        <f>'ANALYSE - ERP =&gt; SOUS-SEGMENT'!$JI$54</f>
        <v>0</v>
      </c>
      <c r="I35" s="787">
        <f>'ANALYSE - ERP =&gt; SOUS-SEGMENT'!$JJ$54</f>
        <v>0.19850000000000001</v>
      </c>
      <c r="J35" s="787">
        <f>'ANALYSE - ERP =&gt; SOUS-SEGMENT'!$JK$54</f>
        <v>0.57489999999999997</v>
      </c>
      <c r="K35" s="787">
        <f>'ANALYSE - ERP =&gt; SOUS-SEGMENT'!$JL$54</f>
        <v>0.21579999999999999</v>
      </c>
      <c r="L35" s="787">
        <f>'ANALYSE - ERP =&gt; SOUS-SEGMENT'!$JM$54</f>
        <v>1.0800000000000001E-2</v>
      </c>
      <c r="N35" s="787">
        <f>'ANALYSE - ERP =&gt; SOUS-SEGMENT'!$JN$54</f>
        <v>0</v>
      </c>
      <c r="O35" s="787">
        <f>'ANALYSE - ERP =&gt; SOUS-SEGMENT'!$JO$54</f>
        <v>2.3199999999999998E-2</v>
      </c>
      <c r="P35" s="787">
        <f>'ANALYSE - ERP =&gt; SOUS-SEGMENT'!$JP$54</f>
        <v>0.40770000000000001</v>
      </c>
      <c r="Q35" s="787">
        <f>'ANALYSE - ERP =&gt; SOUS-SEGMENT'!$JQ$54</f>
        <v>0.48909999999999998</v>
      </c>
      <c r="R35" s="787">
        <f>'ANALYSE - ERP =&gt; SOUS-SEGMENT'!$JR$54</f>
        <v>0.08</v>
      </c>
      <c r="T35" s="430">
        <f>'ANALYSE - ERP =&gt; SOUS-SEGMENT'!$Q$54</f>
        <v>1</v>
      </c>
    </row>
    <row r="36" spans="1:20" ht="15" customHeight="1">
      <c r="A36" s="26">
        <v>33</v>
      </c>
      <c r="B36" s="26">
        <v>31</v>
      </c>
      <c r="C36" s="422">
        <f>'ANALYSE - ERP =&gt; SOUS-SEGMENT'!$A$15</f>
        <v>8</v>
      </c>
      <c r="D36" s="411" t="str">
        <f>'ANALYSE - ERP =&gt; SOUS-SEGMENT'!$B$15</f>
        <v>Enfance, Enseignement, Jeunesse &amp; Formation</v>
      </c>
      <c r="E36" s="411" t="str">
        <f>'ANALYSE - ERP =&gt; SOUS-SEGMENT'!$C$15</f>
        <v>Enseignement scolaire</v>
      </c>
      <c r="F36" s="411" t="str">
        <f>'ANALYSE - ERP =&gt; SOUS-SEGMENT'!$D$15</f>
        <v>Internats scolaires</v>
      </c>
      <c r="H36" s="787">
        <f>'ANALYSE - ERP =&gt; SOUS-SEGMENT'!$JI$15</f>
        <v>2.7900000000000001E-2</v>
      </c>
      <c r="I36" s="787">
        <f>'ANALYSE - ERP =&gt; SOUS-SEGMENT'!$JJ$15</f>
        <v>0.36499999999999999</v>
      </c>
      <c r="J36" s="787">
        <f>'ANALYSE - ERP =&gt; SOUS-SEGMENT'!$JK$15</f>
        <v>0.48549999999999999</v>
      </c>
      <c r="K36" s="787">
        <f>'ANALYSE - ERP =&gt; SOUS-SEGMENT'!$JL$15</f>
        <v>0.1187</v>
      </c>
      <c r="L36" s="787">
        <f>'ANALYSE - ERP =&gt; SOUS-SEGMENT'!$JM$15</f>
        <v>2.8999999999999998E-3</v>
      </c>
      <c r="N36" s="787">
        <f>'ANALYSE - ERP =&gt; SOUS-SEGMENT'!$JN$15</f>
        <v>0</v>
      </c>
      <c r="O36" s="787">
        <f>'ANALYSE - ERP =&gt; SOUS-SEGMENT'!$JO$15</f>
        <v>0.22589999999999999</v>
      </c>
      <c r="P36" s="787">
        <f>'ANALYSE - ERP =&gt; SOUS-SEGMENT'!$JP$15</f>
        <v>0.54900000000000004</v>
      </c>
      <c r="Q36" s="787">
        <f>'ANALYSE - ERP =&gt; SOUS-SEGMENT'!$JQ$15</f>
        <v>0.2142</v>
      </c>
      <c r="R36" s="787">
        <f>'ANALYSE - ERP =&gt; SOUS-SEGMENT'!$JR$15</f>
        <v>1.09E-2</v>
      </c>
      <c r="T36" s="430">
        <f>'ANALYSE - ERP =&gt; SOUS-SEGMENT'!$Q$15</f>
        <v>1</v>
      </c>
    </row>
    <row r="37" spans="1:20" ht="15" customHeight="1">
      <c r="A37" s="26">
        <v>34</v>
      </c>
      <c r="B37" s="26">
        <v>33</v>
      </c>
      <c r="C37" s="422" t="e">
        <f>'ANALYSE - ERP =&gt; SOUS-SEGMENT'!#REF!</f>
        <v>#REF!</v>
      </c>
      <c r="D37" s="408" t="e">
        <f>'ANALYSE - ERP =&gt; SOUS-SEGMENT'!#REF!</f>
        <v>#REF!</v>
      </c>
      <c r="E37" s="408" t="e">
        <f>'ANALYSE - ERP =&gt; SOUS-SEGMENT'!#REF!</f>
        <v>#REF!</v>
      </c>
      <c r="F37" s="408" t="e">
        <f>'ANALYSE - ERP =&gt; SOUS-SEGMENT'!#REF!</f>
        <v>#REF!</v>
      </c>
      <c r="H37" s="787" t="e">
        <f>'ANALYSE - ERP =&gt; SOUS-SEGMENT'!#REF!</f>
        <v>#REF!</v>
      </c>
      <c r="I37" s="787" t="e">
        <f>'ANALYSE - ERP =&gt; SOUS-SEGMENT'!#REF!</f>
        <v>#REF!</v>
      </c>
      <c r="J37" s="787" t="e">
        <f>'ANALYSE - ERP =&gt; SOUS-SEGMENT'!#REF!</f>
        <v>#REF!</v>
      </c>
      <c r="K37" s="787" t="e">
        <f>'ANALYSE - ERP =&gt; SOUS-SEGMENT'!#REF!</f>
        <v>#REF!</v>
      </c>
      <c r="L37" s="787" t="e">
        <f>'ANALYSE - ERP =&gt; SOUS-SEGMENT'!#REF!</f>
        <v>#REF!</v>
      </c>
      <c r="N37" s="787" t="e">
        <f>'ANALYSE - ERP =&gt; SOUS-SEGMENT'!#REF!</f>
        <v>#REF!</v>
      </c>
      <c r="O37" s="787" t="e">
        <f>'ANALYSE - ERP =&gt; SOUS-SEGMENT'!#REF!</f>
        <v>#REF!</v>
      </c>
      <c r="P37" s="787" t="e">
        <f>'ANALYSE - ERP =&gt; SOUS-SEGMENT'!#REF!</f>
        <v>#REF!</v>
      </c>
      <c r="Q37" s="787" t="e">
        <f>'ANALYSE - ERP =&gt; SOUS-SEGMENT'!#REF!</f>
        <v>#REF!</v>
      </c>
      <c r="R37" s="787" t="e">
        <f>'ANALYSE - ERP =&gt; SOUS-SEGMENT'!#REF!</f>
        <v>#REF!</v>
      </c>
      <c r="T37" s="430" t="e">
        <f>'ANALYSE - ERP =&gt; SOUS-SEGMENT'!#REF!</f>
        <v>#REF!</v>
      </c>
    </row>
    <row r="38" spans="1:20" ht="15" customHeight="1">
      <c r="A38" s="26">
        <v>35</v>
      </c>
      <c r="B38" s="26">
        <v>34</v>
      </c>
      <c r="C38" s="422">
        <f>'ANALYSE - ERP =&gt; SOUS-SEGMENT'!$A$62</f>
        <v>55</v>
      </c>
      <c r="D38" s="415" t="str">
        <f>'ANALYSE - ERP =&gt; SOUS-SEGMENT'!$B$62</f>
        <v>Culture, Patrimoine &amp; Evénementiel</v>
      </c>
      <c r="E38" s="415" t="str">
        <f>'ANALYSE - ERP =&gt; SOUS-SEGMENT'!$C$62</f>
        <v>Culture / spectacle</v>
      </c>
      <c r="F38" s="415" t="str">
        <f>'ANALYSE - ERP =&gt; SOUS-SEGMENT'!$D$62</f>
        <v>Cinémas</v>
      </c>
      <c r="H38" s="787">
        <f>'ANALYSE - ERP =&gt; SOUS-SEGMENT'!$JI$62</f>
        <v>5.1999999999999998E-3</v>
      </c>
      <c r="I38" s="787">
        <f>'ANALYSE - ERP =&gt; SOUS-SEGMENT'!$JJ$62</f>
        <v>0.24390000000000001</v>
      </c>
      <c r="J38" s="787">
        <f>'ANALYSE - ERP =&gt; SOUS-SEGMENT'!$JK$62</f>
        <v>0.51200000000000001</v>
      </c>
      <c r="K38" s="787">
        <f>'ANALYSE - ERP =&gt; SOUS-SEGMENT'!$JL$62</f>
        <v>0.22170000000000001</v>
      </c>
      <c r="L38" s="787">
        <f>'ANALYSE - ERP =&gt; SOUS-SEGMENT'!$JM$62</f>
        <v>1.72E-2</v>
      </c>
      <c r="N38" s="787">
        <f>'ANALYSE - ERP =&gt; SOUS-SEGMENT'!$JN$62</f>
        <v>0</v>
      </c>
      <c r="O38" s="787">
        <f>'ANALYSE - ERP =&gt; SOUS-SEGMENT'!$JO$62</f>
        <v>0.1384</v>
      </c>
      <c r="P38" s="787">
        <f>'ANALYSE - ERP =&gt; SOUS-SEGMENT'!$JP$62</f>
        <v>0.48730000000000001</v>
      </c>
      <c r="Q38" s="787">
        <f>'ANALYSE - ERP =&gt; SOUS-SEGMENT'!$JQ$62</f>
        <v>0.33110000000000001</v>
      </c>
      <c r="R38" s="787">
        <f>'ANALYSE - ERP =&gt; SOUS-SEGMENT'!$JR$62</f>
        <v>4.3200000000000002E-2</v>
      </c>
      <c r="T38" s="430">
        <f>'ANALYSE - ERP =&gt; SOUS-SEGMENT'!$Q$62</f>
        <v>1</v>
      </c>
    </row>
    <row r="39" spans="1:20" ht="15" customHeight="1">
      <c r="A39" s="26">
        <v>36</v>
      </c>
      <c r="B39" s="26">
        <v>37</v>
      </c>
      <c r="C39" s="422">
        <f>'ANALYSE - ERP =&gt; SOUS-SEGMENT'!$A$63</f>
        <v>56</v>
      </c>
      <c r="D39" s="411" t="str">
        <f>'ANALYSE - ERP =&gt; SOUS-SEGMENT'!$B$63</f>
        <v>Culture, Patrimoine &amp; Evénementiel</v>
      </c>
      <c r="E39" s="411" t="str">
        <f>'ANALYSE - ERP =&gt; SOUS-SEGMENT'!$C$63</f>
        <v>Culture / spectacle</v>
      </c>
      <c r="F39" s="411" t="str">
        <f>'ANALYSE - ERP =&gt; SOUS-SEGMENT'!$D$63</f>
        <v>Théâtres</v>
      </c>
      <c r="H39" s="787">
        <f>'ANALYSE - ERP =&gt; SOUS-SEGMENT'!$JI$63</f>
        <v>4.4900000000000002E-2</v>
      </c>
      <c r="I39" s="787">
        <f>'ANALYSE - ERP =&gt; SOUS-SEGMENT'!$JJ$63</f>
        <v>0.37709999999999999</v>
      </c>
      <c r="J39" s="787">
        <f>'ANALYSE - ERP =&gt; SOUS-SEGMENT'!$JK$63</f>
        <v>0.45779999999999998</v>
      </c>
      <c r="K39" s="787">
        <f>'ANALYSE - ERP =&gt; SOUS-SEGMENT'!$JL$63</f>
        <v>0.1168</v>
      </c>
      <c r="L39" s="787">
        <f>'ANALYSE - ERP =&gt; SOUS-SEGMENT'!$JM$63</f>
        <v>3.3999999999999998E-3</v>
      </c>
      <c r="N39" s="787">
        <f>'ANALYSE - ERP =&gt; SOUS-SEGMENT'!$JN$63</f>
        <v>3.0000000000000001E-3</v>
      </c>
      <c r="O39" s="787">
        <f>'ANALYSE - ERP =&gt; SOUS-SEGMENT'!$JO$63</f>
        <v>0.26200000000000001</v>
      </c>
      <c r="P39" s="787">
        <f>'ANALYSE - ERP =&gt; SOUS-SEGMENT'!$JP$63</f>
        <v>0.52949999999999997</v>
      </c>
      <c r="Q39" s="787">
        <f>'ANALYSE - ERP =&gt; SOUS-SEGMENT'!$JQ$63</f>
        <v>0.19500000000000001</v>
      </c>
      <c r="R39" s="787">
        <f>'ANALYSE - ERP =&gt; SOUS-SEGMENT'!$JR$63</f>
        <v>1.0500000000000001E-2</v>
      </c>
      <c r="T39" s="430">
        <f>'ANALYSE - ERP =&gt; SOUS-SEGMENT'!$Q$63</f>
        <v>1</v>
      </c>
    </row>
    <row r="40" spans="1:20" ht="15" customHeight="1">
      <c r="A40" s="26">
        <v>37</v>
      </c>
      <c r="B40" s="26">
        <v>36</v>
      </c>
      <c r="C40" s="422">
        <f>'ANALYSE - ERP =&gt; SOUS-SEGMENT'!$A$52</f>
        <v>45</v>
      </c>
      <c r="D40" s="408" t="str">
        <f>'ANALYSE - ERP =&gt; SOUS-SEGMENT'!$B$52</f>
        <v>Santé &amp; Médico-social</v>
      </c>
      <c r="E40" s="408" t="str">
        <f>'ANALYSE - ERP =&gt; SOUS-SEGMENT'!$C$52</f>
        <v>Médico-social</v>
      </c>
      <c r="F40" s="408" t="str">
        <f>'ANALYSE - ERP =&gt; SOUS-SEGMENT'!$D$52</f>
        <v>Établissements Médico-éducatifs</v>
      </c>
      <c r="H40" s="787">
        <f>'ANALYSE - ERP =&gt; SOUS-SEGMENT'!$JI$52</f>
        <v>2.7199999999999998E-2</v>
      </c>
      <c r="I40" s="787">
        <f>'ANALYSE - ERP =&gt; SOUS-SEGMENT'!$JJ$52</f>
        <v>0.43480000000000002</v>
      </c>
      <c r="J40" s="787">
        <f>'ANALYSE - ERP =&gt; SOUS-SEGMENT'!$JK$52</f>
        <v>0.45650000000000002</v>
      </c>
      <c r="K40" s="787">
        <f>'ANALYSE - ERP =&gt; SOUS-SEGMENT'!$JL$52</f>
        <v>8.1500000000000003E-2</v>
      </c>
      <c r="L40" s="787">
        <f>'ANALYSE - ERP =&gt; SOUS-SEGMENT'!$JM$52</f>
        <v>0</v>
      </c>
      <c r="N40" s="787">
        <f>'ANALYSE - ERP =&gt; SOUS-SEGMENT'!$JN$52</f>
        <v>0</v>
      </c>
      <c r="O40" s="787">
        <f>'ANALYSE - ERP =&gt; SOUS-SEGMENT'!$JO$52</f>
        <v>0.3165</v>
      </c>
      <c r="P40" s="787">
        <f>'ANALYSE - ERP =&gt; SOUS-SEGMENT'!$JP$52</f>
        <v>0.54479999999999995</v>
      </c>
      <c r="Q40" s="787">
        <f>'ANALYSE - ERP =&gt; SOUS-SEGMENT'!$JQ$52</f>
        <v>0.13869999999999999</v>
      </c>
      <c r="R40" s="787">
        <f>'ANALYSE - ERP =&gt; SOUS-SEGMENT'!$JR$52</f>
        <v>0</v>
      </c>
      <c r="T40" s="430">
        <f>'ANALYSE - ERP =&gt; SOUS-SEGMENT'!$Q$52</f>
        <v>1</v>
      </c>
    </row>
    <row r="41" spans="1:20" ht="15" customHeight="1">
      <c r="A41" s="26">
        <v>38</v>
      </c>
      <c r="B41" s="26">
        <v>35</v>
      </c>
      <c r="C41" s="422">
        <f>'ANALYSE - ERP =&gt; SOUS-SEGMENT'!$A$16</f>
        <v>9</v>
      </c>
      <c r="D41" s="413" t="str">
        <f>'ANALYSE - ERP =&gt; SOUS-SEGMENT'!$B$16</f>
        <v>Enfance, Enseignement, Jeunesse &amp; Formation</v>
      </c>
      <c r="E41" s="413" t="str">
        <f>'ANALYSE - ERP =&gt; SOUS-SEGMENT'!$C$16</f>
        <v>Enseignement supérieur</v>
      </c>
      <c r="F41" s="413" t="str">
        <f>'ANALYSE - ERP =&gt; SOUS-SEGMENT'!$D$16</f>
        <v>Universités</v>
      </c>
      <c r="H41" s="787">
        <f>'ANALYSE - ERP =&gt; SOUS-SEGMENT'!$JI$16</f>
        <v>7.0900000000000005E-2</v>
      </c>
      <c r="I41" s="787">
        <f>'ANALYSE - ERP =&gt; SOUS-SEGMENT'!$JJ$16</f>
        <v>0.4703</v>
      </c>
      <c r="J41" s="787">
        <f>'ANALYSE - ERP =&gt; SOUS-SEGMENT'!$JK$16</f>
        <v>0.39050000000000001</v>
      </c>
      <c r="K41" s="787">
        <f>'ANALYSE - ERP =&gt; SOUS-SEGMENT'!$JL$16</f>
        <v>6.7699999999999996E-2</v>
      </c>
      <c r="L41" s="787">
        <f>'ANALYSE - ERP =&gt; SOUS-SEGMENT'!$JM$16</f>
        <v>5.9999999999999995E-4</v>
      </c>
      <c r="N41" s="787">
        <f>'ANALYSE - ERP =&gt; SOUS-SEGMENT'!$JN$16</f>
        <v>0</v>
      </c>
      <c r="O41" s="787">
        <f>'ANALYSE - ERP =&gt; SOUS-SEGMENT'!$JO$16</f>
        <v>0.28760000000000002</v>
      </c>
      <c r="P41" s="787">
        <f>'ANALYSE - ERP =&gt; SOUS-SEGMENT'!$JP$16</f>
        <v>0.55220000000000002</v>
      </c>
      <c r="Q41" s="787">
        <f>'ANALYSE - ERP =&gt; SOUS-SEGMENT'!$JQ$16</f>
        <v>0.15579999999999999</v>
      </c>
      <c r="R41" s="787">
        <f>'ANALYSE - ERP =&gt; SOUS-SEGMENT'!$JR$16</f>
        <v>4.4000000000000003E-3</v>
      </c>
      <c r="T41" s="430">
        <f>'ANALYSE - ERP =&gt; SOUS-SEGMENT'!$Q$16</f>
        <v>1</v>
      </c>
    </row>
    <row r="42" spans="1:20" ht="15" customHeight="1">
      <c r="A42" s="26">
        <v>39</v>
      </c>
      <c r="B42" s="26">
        <v>39</v>
      </c>
      <c r="C42" s="422">
        <f>'ANALYSE - ERP =&gt; SOUS-SEGMENT'!$A$115</f>
        <v>108</v>
      </c>
      <c r="D42" s="412" t="str">
        <f>'ANALYSE - ERP =&gt; SOUS-SEGMENT'!$B$115</f>
        <v>Culte, Vie civique &amp; Services publics</v>
      </c>
      <c r="E42" s="412" t="str">
        <f>'ANALYSE - ERP =&gt; SOUS-SEGMENT'!$C$115</f>
        <v>Culte</v>
      </c>
      <c r="F42" s="412" t="str">
        <f>'ANALYSE - ERP =&gt; SOUS-SEGMENT'!$D$115</f>
        <v>Temples protestants, évangéliques et salles de culte assimilées</v>
      </c>
      <c r="H42" s="787">
        <f>'ANALYSE - ERP =&gt; SOUS-SEGMENT'!$JI$115</f>
        <v>0.15459999999999999</v>
      </c>
      <c r="I42" s="787">
        <f>'ANALYSE - ERP =&gt; SOUS-SEGMENT'!$JJ$115</f>
        <v>0.61470000000000002</v>
      </c>
      <c r="J42" s="787">
        <f>'ANALYSE - ERP =&gt; SOUS-SEGMENT'!$JK$115</f>
        <v>0.21909999999999999</v>
      </c>
      <c r="K42" s="787">
        <f>'ANALYSE - ERP =&gt; SOUS-SEGMENT'!$JL$115</f>
        <v>1.1599999999999999E-2</v>
      </c>
      <c r="L42" s="787">
        <f>'ANALYSE - ERP =&gt; SOUS-SEGMENT'!$JM$115</f>
        <v>0</v>
      </c>
      <c r="N42" s="787">
        <f>'ANALYSE - ERP =&gt; SOUS-SEGMENT'!$JN$115</f>
        <v>0.14050000000000001</v>
      </c>
      <c r="O42" s="787">
        <f>'ANALYSE - ERP =&gt; SOUS-SEGMENT'!$JO$115</f>
        <v>0.59740000000000004</v>
      </c>
      <c r="P42" s="787">
        <f>'ANALYSE - ERP =&gt; SOUS-SEGMENT'!$JP$115</f>
        <v>0.23319999999999999</v>
      </c>
      <c r="Q42" s="787">
        <f>'ANALYSE - ERP =&gt; SOUS-SEGMENT'!$JQ$115</f>
        <v>2.5700000000000001E-2</v>
      </c>
      <c r="R42" s="787">
        <f>'ANALYSE - ERP =&gt; SOUS-SEGMENT'!$JR$115</f>
        <v>3.2000000000000002E-3</v>
      </c>
      <c r="T42" s="430">
        <f>'ANALYSE - ERP =&gt; SOUS-SEGMENT'!$Q$115</f>
        <v>1</v>
      </c>
    </row>
    <row r="43" spans="1:20" ht="15" customHeight="1">
      <c r="A43" s="26">
        <v>40</v>
      </c>
      <c r="B43" s="26">
        <v>38</v>
      </c>
      <c r="C43" s="422">
        <f>'ANALYSE - ERP =&gt; SOUS-SEGMENT'!$A$42</f>
        <v>35</v>
      </c>
      <c r="D43" s="412" t="str">
        <f>'ANALYSE - ERP =&gt; SOUS-SEGMENT'!$B$42</f>
        <v>Sports &amp; Loisirs</v>
      </c>
      <c r="E43" s="412" t="str">
        <f>'ANALYSE - ERP =&gt; SOUS-SEGMENT'!$C$42</f>
        <v>Loisirs</v>
      </c>
      <c r="F43" s="412" t="str">
        <f>'ANALYSE - ERP =&gt; SOUS-SEGMENT'!$D$42</f>
        <v>Discothèques / Salles de danse</v>
      </c>
      <c r="H43" s="787">
        <f>'ANALYSE - ERP =&gt; SOUS-SEGMENT'!$JI$42</f>
        <v>2.0899999999999998E-2</v>
      </c>
      <c r="I43" s="787">
        <f>'ANALYSE - ERP =&gt; SOUS-SEGMENT'!$JJ$42</f>
        <v>0.43930000000000002</v>
      </c>
      <c r="J43" s="787">
        <f>'ANALYSE - ERP =&gt; SOUS-SEGMENT'!$JK$42</f>
        <v>0.43580000000000002</v>
      </c>
      <c r="K43" s="787">
        <f>'ANALYSE - ERP =&gt; SOUS-SEGMENT'!$JL$42</f>
        <v>9.9400000000000002E-2</v>
      </c>
      <c r="L43" s="787">
        <f>'ANALYSE - ERP =&gt; SOUS-SEGMENT'!$JM$42</f>
        <v>4.5999999999999999E-3</v>
      </c>
      <c r="N43" s="787">
        <f>'ANALYSE - ERP =&gt; SOUS-SEGMENT'!$JN$42</f>
        <v>0</v>
      </c>
      <c r="O43" s="787">
        <f>'ANALYSE - ERP =&gt; SOUS-SEGMENT'!$JO$42</f>
        <v>0.40210000000000001</v>
      </c>
      <c r="P43" s="787">
        <f>'ANALYSE - ERP =&gt; SOUS-SEGMENT'!$JP$42</f>
        <v>0.46060000000000001</v>
      </c>
      <c r="Q43" s="787">
        <f>'ANALYSE - ERP =&gt; SOUS-SEGMENT'!$JQ$42</f>
        <v>0.12659999999999999</v>
      </c>
      <c r="R43" s="787">
        <f>'ANALYSE - ERP =&gt; SOUS-SEGMENT'!$JR$42</f>
        <v>1.0699999999999999E-2</v>
      </c>
      <c r="T43" s="430">
        <f>'ANALYSE - ERP =&gt; SOUS-SEGMENT'!$Q$42</f>
        <v>1</v>
      </c>
    </row>
    <row r="44" spans="1:20" ht="15" customHeight="1">
      <c r="A44" s="26">
        <v>41</v>
      </c>
      <c r="B44" s="26">
        <v>40</v>
      </c>
      <c r="C44" s="422">
        <f>'ANALYSE - ERP =&gt; SOUS-SEGMENT'!$A$17</f>
        <v>10</v>
      </c>
      <c r="D44" s="408" t="str">
        <f>'ANALYSE - ERP =&gt; SOUS-SEGMENT'!$B$17</f>
        <v>Enfance, Enseignement, Jeunesse &amp; Formation</v>
      </c>
      <c r="E44" s="408" t="str">
        <f>'ANALYSE - ERP =&gt; SOUS-SEGMENT'!$C$17</f>
        <v>Enseignement supérieur</v>
      </c>
      <c r="F44" s="408" t="str">
        <f>'ANALYSE - ERP =&gt; SOUS-SEGMENT'!$D$17</f>
        <v>Grandes écoles</v>
      </c>
      <c r="H44" s="787">
        <f>'ANALYSE - ERP =&gt; SOUS-SEGMENT'!$JI$17</f>
        <v>0</v>
      </c>
      <c r="I44" s="787">
        <f>'ANALYSE - ERP =&gt; SOUS-SEGMENT'!$JJ$17</f>
        <v>0.23039999999999999</v>
      </c>
      <c r="J44" s="787">
        <f>'ANALYSE - ERP =&gt; SOUS-SEGMENT'!$JK$17</f>
        <v>0.53080000000000005</v>
      </c>
      <c r="K44" s="787">
        <f>'ANALYSE - ERP =&gt; SOUS-SEGMENT'!$JL$17</f>
        <v>0.22370000000000001</v>
      </c>
      <c r="L44" s="787">
        <f>'ANALYSE - ERP =&gt; SOUS-SEGMENT'!$JM$17</f>
        <v>1.5100000000000001E-2</v>
      </c>
      <c r="N44" s="787">
        <f>'ANALYSE - ERP =&gt; SOUS-SEGMENT'!$JN$17</f>
        <v>0</v>
      </c>
      <c r="O44" s="787">
        <f>'ANALYSE - ERP =&gt; SOUS-SEGMENT'!$JO$17</f>
        <v>8.0100000000000005E-2</v>
      </c>
      <c r="P44" s="787">
        <f>'ANALYSE - ERP =&gt; SOUS-SEGMENT'!$JP$17</f>
        <v>0.46879999999999999</v>
      </c>
      <c r="Q44" s="787">
        <f>'ANALYSE - ERP =&gt; SOUS-SEGMENT'!$JQ$17</f>
        <v>0.38769999999999999</v>
      </c>
      <c r="R44" s="787">
        <f>'ANALYSE - ERP =&gt; SOUS-SEGMENT'!$JR$17</f>
        <v>6.3399999999999998E-2</v>
      </c>
      <c r="T44" s="430">
        <f>'ANALYSE - ERP =&gt; SOUS-SEGMENT'!$Q$17</f>
        <v>1</v>
      </c>
    </row>
    <row r="45" spans="1:20" ht="15" customHeight="1">
      <c r="A45" s="26">
        <v>42</v>
      </c>
      <c r="B45" s="26">
        <v>43</v>
      </c>
      <c r="C45" s="422">
        <f>'ANALYSE - ERP =&gt; SOUS-SEGMENT'!$A$108</f>
        <v>101</v>
      </c>
      <c r="D45" s="414" t="str">
        <f>'ANALYSE - ERP =&gt; SOUS-SEGMENT'!$B$108</f>
        <v>Culte, Vie civique &amp; Services publics</v>
      </c>
      <c r="E45" s="414" t="str">
        <f>'ANALYSE - ERP =&gt; SOUS-SEGMENT'!$C$108</f>
        <v>Administrations / services publics</v>
      </c>
      <c r="F45" s="414" t="str">
        <f>'ANALYSE - ERP =&gt; SOUS-SEGMENT'!$D$108</f>
        <v>Maisons France Services / Guichets publics autonomes ou dédiés</v>
      </c>
      <c r="H45" s="787">
        <f>'ANALYSE - ERP =&gt; SOUS-SEGMENT'!$JI$108</f>
        <v>5.1799999999999999E-2</v>
      </c>
      <c r="I45" s="787">
        <f>'ANALYSE - ERP =&gt; SOUS-SEGMENT'!$JJ$108</f>
        <v>0.46279999999999999</v>
      </c>
      <c r="J45" s="787">
        <f>'ANALYSE - ERP =&gt; SOUS-SEGMENT'!$JK$108</f>
        <v>0.41570000000000001</v>
      </c>
      <c r="K45" s="787">
        <f>'ANALYSE - ERP =&gt; SOUS-SEGMENT'!$JL$108</f>
        <v>6.9199999999999998E-2</v>
      </c>
      <c r="L45" s="787">
        <f>'ANALYSE - ERP =&gt; SOUS-SEGMENT'!$JM$108</f>
        <v>5.0000000000000001E-4</v>
      </c>
      <c r="N45" s="787">
        <f>'ANALYSE - ERP =&gt; SOUS-SEGMENT'!$JN$108</f>
        <v>0</v>
      </c>
      <c r="O45" s="787">
        <f>'ANALYSE - ERP =&gt; SOUS-SEGMENT'!$JO$108</f>
        <v>0.17080000000000001</v>
      </c>
      <c r="P45" s="787">
        <f>'ANALYSE - ERP =&gt; SOUS-SEGMENT'!$JP$108</f>
        <v>0.57899999999999996</v>
      </c>
      <c r="Q45" s="787">
        <f>'ANALYSE - ERP =&gt; SOUS-SEGMENT'!$JQ$108</f>
        <v>0.24010000000000001</v>
      </c>
      <c r="R45" s="787">
        <f>'ANALYSE - ERP =&gt; SOUS-SEGMENT'!$JR$108</f>
        <v>1.01E-2</v>
      </c>
      <c r="T45" s="430">
        <f>'ANALYSE - ERP =&gt; SOUS-SEGMENT'!$Q$108</f>
        <v>1</v>
      </c>
    </row>
    <row r="46" spans="1:20" ht="15" customHeight="1">
      <c r="A46" s="26">
        <v>43</v>
      </c>
      <c r="B46" s="26">
        <v>44</v>
      </c>
      <c r="C46" s="422">
        <f>'ANALYSE - ERP =&gt; SOUS-SEGMENT'!$A$53</f>
        <v>46</v>
      </c>
      <c r="D46" s="414" t="str">
        <f>'ANALYSE - ERP =&gt; SOUS-SEGMENT'!$B$53</f>
        <v>Santé &amp; Médico-social</v>
      </c>
      <c r="E46" s="414" t="str">
        <f>'ANALYSE - ERP =&gt; SOUS-SEGMENT'!$C$53</f>
        <v>Santé ambulatoire</v>
      </c>
      <c r="F46" s="414" t="str">
        <f>'ANALYSE - ERP =&gt; SOUS-SEGMENT'!$D$53</f>
        <v>Centres de santé / Centres médicaux</v>
      </c>
      <c r="H46" s="787">
        <f>'ANALYSE - ERP =&gt; SOUS-SEGMENT'!$JI$53</f>
        <v>1.7899999999999999E-2</v>
      </c>
      <c r="I46" s="787">
        <f>'ANALYSE - ERP =&gt; SOUS-SEGMENT'!$JJ$53</f>
        <v>0.38090000000000002</v>
      </c>
      <c r="J46" s="787">
        <f>'ANALYSE - ERP =&gt; SOUS-SEGMENT'!$JK$53</f>
        <v>0.51719999999999999</v>
      </c>
      <c r="K46" s="787">
        <f>'ANALYSE - ERP =&gt; SOUS-SEGMENT'!$JL$53</f>
        <v>8.4000000000000005E-2</v>
      </c>
      <c r="L46" s="787">
        <f>'ANALYSE - ERP =&gt; SOUS-SEGMENT'!$JM$53</f>
        <v>0</v>
      </c>
      <c r="N46" s="787">
        <f>'ANALYSE - ERP =&gt; SOUS-SEGMENT'!$JN$53</f>
        <v>0</v>
      </c>
      <c r="O46" s="787">
        <f>'ANALYSE - ERP =&gt; SOUS-SEGMENT'!$JO$53</f>
        <v>0.2054</v>
      </c>
      <c r="P46" s="787">
        <f>'ANALYSE - ERP =&gt; SOUS-SEGMENT'!$JP$53</f>
        <v>0.58620000000000005</v>
      </c>
      <c r="Q46" s="787">
        <f>'ANALYSE - ERP =&gt; SOUS-SEGMENT'!$JQ$53</f>
        <v>0.2084</v>
      </c>
      <c r="R46" s="787">
        <f>'ANALYSE - ERP =&gt; SOUS-SEGMENT'!$JR$53</f>
        <v>0</v>
      </c>
      <c r="T46" s="430">
        <f>'ANALYSE - ERP =&gt; SOUS-SEGMENT'!$Q$53</f>
        <v>1</v>
      </c>
    </row>
    <row r="47" spans="1:20" ht="15" customHeight="1">
      <c r="A47" s="26">
        <v>44</v>
      </c>
      <c r="B47" s="26">
        <v>42</v>
      </c>
      <c r="C47" s="422">
        <f>'ANALYSE - ERP =&gt; SOUS-SEGMENT'!$A$122</f>
        <v>115</v>
      </c>
      <c r="D47" s="414" t="str">
        <f>'ANALYSE - ERP =&gt; SOUS-SEGMENT'!$B$122</f>
        <v>Transport, Mobilité &amp; Stationnement</v>
      </c>
      <c r="E47" s="414" t="str">
        <f>'ANALYSE - ERP =&gt; SOUS-SEGMENT'!$C$122</f>
        <v>Transport / Mobilité</v>
      </c>
      <c r="F47" s="414" t="str">
        <f>'ANALYSE - ERP =&gt; SOUS-SEGMENT'!$D$122</f>
        <v>Aires de repos - Autoroutes
(Hors Aires de service)</v>
      </c>
      <c r="H47" s="787">
        <f>'ANALYSE - ERP =&gt; SOUS-SEGMENT'!$JI$122</f>
        <v>0.1605</v>
      </c>
      <c r="I47" s="787">
        <f>'ANALYSE - ERP =&gt; SOUS-SEGMENT'!$JJ$122</f>
        <v>0.56899999999999995</v>
      </c>
      <c r="J47" s="787">
        <f>'ANALYSE - ERP =&gt; SOUS-SEGMENT'!$JK$122</f>
        <v>0.20050000000000001</v>
      </c>
      <c r="K47" s="787">
        <f>'ANALYSE - ERP =&gt; SOUS-SEGMENT'!$JL$122</f>
        <v>0.04</v>
      </c>
      <c r="L47" s="787">
        <f>'ANALYSE - ERP =&gt; SOUS-SEGMENT'!$JM$122</f>
        <v>0.03</v>
      </c>
      <c r="N47" s="787">
        <f>'ANALYSE - ERP =&gt; SOUS-SEGMENT'!$JN$122</f>
        <v>6.8599999999999994E-2</v>
      </c>
      <c r="O47" s="787">
        <f>'ANALYSE - ERP =&gt; SOUS-SEGMENT'!$JO$122</f>
        <v>0.5413</v>
      </c>
      <c r="P47" s="787">
        <f>'ANALYSE - ERP =&gt; SOUS-SEGMENT'!$JP$122</f>
        <v>0.3201</v>
      </c>
      <c r="Q47" s="787">
        <f>'ANALYSE - ERP =&gt; SOUS-SEGMENT'!$JQ$122</f>
        <v>0.04</v>
      </c>
      <c r="R47" s="787">
        <f>'ANALYSE - ERP =&gt; SOUS-SEGMENT'!$JR$122</f>
        <v>0.03</v>
      </c>
      <c r="T47" s="430">
        <f>'ANALYSE - ERP =&gt; SOUS-SEGMENT'!$Q$122</f>
        <v>1</v>
      </c>
    </row>
    <row r="48" spans="1:20" ht="15" customHeight="1">
      <c r="A48" s="26">
        <v>45</v>
      </c>
      <c r="B48" s="26">
        <v>46</v>
      </c>
      <c r="C48" s="422">
        <f>'ANALYSE - ERP =&gt; SOUS-SEGMENT'!$A$18</f>
        <v>11</v>
      </c>
      <c r="D48" s="414" t="str">
        <f>'ANALYSE - ERP =&gt; SOUS-SEGMENT'!$B$18</f>
        <v>Enfance, Enseignement, Jeunesse &amp; Formation</v>
      </c>
      <c r="E48" s="414" t="str">
        <f>'ANALYSE - ERP =&gt; SOUS-SEGMENT'!$C$18</f>
        <v>Enseignement supérieur</v>
      </c>
      <c r="F48" s="414" t="str">
        <f>'ANALYSE - ERP =&gt; SOUS-SEGMENT'!$D$18</f>
        <v>Résidences étudiantes et dortoirs</v>
      </c>
      <c r="H48" s="787">
        <f>'ANALYSE - ERP =&gt; SOUS-SEGMENT'!$JI$18</f>
        <v>1.3299999999999999E-2</v>
      </c>
      <c r="I48" s="787">
        <f>'ANALYSE - ERP =&gt; SOUS-SEGMENT'!$JJ$18</f>
        <v>0.32300000000000001</v>
      </c>
      <c r="J48" s="787">
        <f>'ANALYSE - ERP =&gt; SOUS-SEGMENT'!$JK$18</f>
        <v>0.5161</v>
      </c>
      <c r="K48" s="787">
        <f>'ANALYSE - ERP =&gt; SOUS-SEGMENT'!$JL$18</f>
        <v>0.1431</v>
      </c>
      <c r="L48" s="787">
        <f>'ANALYSE - ERP =&gt; SOUS-SEGMENT'!$JM$18</f>
        <v>4.4999999999999997E-3</v>
      </c>
      <c r="N48" s="787">
        <f>'ANALYSE - ERP =&gt; SOUS-SEGMENT'!$JN$18</f>
        <v>0</v>
      </c>
      <c r="O48" s="787">
        <f>'ANALYSE - ERP =&gt; SOUS-SEGMENT'!$JO$18</f>
        <v>0.14940000000000001</v>
      </c>
      <c r="P48" s="787">
        <f>'ANALYSE - ERP =&gt; SOUS-SEGMENT'!$JP$18</f>
        <v>0.53720000000000001</v>
      </c>
      <c r="Q48" s="787">
        <f>'ANALYSE - ERP =&gt; SOUS-SEGMENT'!$JQ$18</f>
        <v>0.29149999999999998</v>
      </c>
      <c r="R48" s="787">
        <f>'ANALYSE - ERP =&gt; SOUS-SEGMENT'!$JR$18</f>
        <v>2.1899999999999999E-2</v>
      </c>
      <c r="T48" s="430">
        <f>'ANALYSE - ERP =&gt; SOUS-SEGMENT'!$Q$18</f>
        <v>1</v>
      </c>
    </row>
    <row r="49" spans="1:20" ht="15" customHeight="1">
      <c r="A49" s="26">
        <v>46</v>
      </c>
      <c r="B49" s="26">
        <v>45</v>
      </c>
      <c r="C49" s="422">
        <f>'ANALYSE - ERP =&gt; SOUS-SEGMENT'!$A$70</f>
        <v>63</v>
      </c>
      <c r="D49" s="415" t="str">
        <f>'ANALYSE - ERP =&gt; SOUS-SEGMENT'!$B$70</f>
        <v>Culture, Patrimoine &amp; Evénementiel</v>
      </c>
      <c r="E49" s="415" t="str">
        <f>'ANALYSE - ERP =&gt; SOUS-SEGMENT'!$C$70</f>
        <v>Expositions / salons</v>
      </c>
      <c r="F49" s="415" t="str">
        <f>'ANALYSE - ERP =&gt; SOUS-SEGMENT'!$D$70</f>
        <v>Foires / Salons</v>
      </c>
      <c r="H49" s="787">
        <f>'ANALYSE - ERP =&gt; SOUS-SEGMENT'!$JI$70</f>
        <v>5.1999999999999998E-3</v>
      </c>
      <c r="I49" s="787">
        <f>'ANALYSE - ERP =&gt; SOUS-SEGMENT'!$JJ$70</f>
        <v>0.24390000000000001</v>
      </c>
      <c r="J49" s="787">
        <f>'ANALYSE - ERP =&gt; SOUS-SEGMENT'!$JK$70</f>
        <v>0.51200000000000001</v>
      </c>
      <c r="K49" s="787">
        <f>'ANALYSE - ERP =&gt; SOUS-SEGMENT'!$JL$70</f>
        <v>0.22170000000000001</v>
      </c>
      <c r="L49" s="787">
        <f>'ANALYSE - ERP =&gt; SOUS-SEGMENT'!$JM$70</f>
        <v>1.72E-2</v>
      </c>
      <c r="N49" s="787">
        <f>'ANALYSE - ERP =&gt; SOUS-SEGMENT'!$JN$70</f>
        <v>0</v>
      </c>
      <c r="O49" s="787">
        <f>'ANALYSE - ERP =&gt; SOUS-SEGMENT'!$JO$70</f>
        <v>0.1326</v>
      </c>
      <c r="P49" s="787">
        <f>'ANALYSE - ERP =&gt; SOUS-SEGMENT'!$JP$70</f>
        <v>0.48359999999999997</v>
      </c>
      <c r="Q49" s="787">
        <f>'ANALYSE - ERP =&gt; SOUS-SEGMENT'!$JQ$70</f>
        <v>0.3382</v>
      </c>
      <c r="R49" s="787">
        <f>'ANALYSE - ERP =&gt; SOUS-SEGMENT'!$JR$70</f>
        <v>4.5600000000000002E-2</v>
      </c>
      <c r="T49" s="430">
        <f>'ANALYSE - ERP =&gt; SOUS-SEGMENT'!$Q$70</f>
        <v>1</v>
      </c>
    </row>
    <row r="50" spans="1:20" ht="15" customHeight="1">
      <c r="A50" s="26">
        <v>47</v>
      </c>
      <c r="B50" s="26">
        <v>48</v>
      </c>
      <c r="C50" s="422">
        <f>'ANALYSE - ERP =&gt; SOUS-SEGMENT'!$A$123</f>
        <v>116</v>
      </c>
      <c r="D50" s="415" t="str">
        <f>'ANALYSE - ERP =&gt; SOUS-SEGMENT'!$B$123</f>
        <v>Transport, Mobilité &amp; Stationnement</v>
      </c>
      <c r="E50" s="415" t="str">
        <f>'ANALYSE - ERP =&gt; SOUS-SEGMENT'!$C$123</f>
        <v>Transport / Mobilité</v>
      </c>
      <c r="F50" s="415" t="str">
        <f>'ANALYSE - ERP =&gt; SOUS-SEGMENT'!$D$123</f>
        <v>Parcs de stationnement couverts (dotés de sanitaires)</v>
      </c>
      <c r="H50" s="787">
        <f>'ANALYSE - ERP =&gt; SOUS-SEGMENT'!$JI$123</f>
        <v>8.48E-2</v>
      </c>
      <c r="I50" s="787">
        <f>'ANALYSE - ERP =&gt; SOUS-SEGMENT'!$JJ$123</f>
        <v>0.59799999999999998</v>
      </c>
      <c r="J50" s="787">
        <f>'ANALYSE - ERP =&gt; SOUS-SEGMENT'!$JK$123</f>
        <v>0.2898</v>
      </c>
      <c r="K50" s="787">
        <f>'ANALYSE - ERP =&gt; SOUS-SEGMENT'!$JL$123</f>
        <v>2.5399999999999999E-2</v>
      </c>
      <c r="L50" s="787">
        <f>'ANALYSE - ERP =&gt; SOUS-SEGMENT'!$JM$123</f>
        <v>2E-3</v>
      </c>
      <c r="N50" s="787">
        <f>'ANALYSE - ERP =&gt; SOUS-SEGMENT'!$JN$123</f>
        <v>6.4199999999999993E-2</v>
      </c>
      <c r="O50" s="787">
        <f>'ANALYSE - ERP =&gt; SOUS-SEGMENT'!$JO$123</f>
        <v>0.57279999999999998</v>
      </c>
      <c r="P50" s="787">
        <f>'ANALYSE - ERP =&gt; SOUS-SEGMENT'!$JP$123</f>
        <v>0.31040000000000001</v>
      </c>
      <c r="Q50" s="787">
        <f>'ANALYSE - ERP =&gt; SOUS-SEGMENT'!$JQ$123</f>
        <v>4.5999999999999999E-2</v>
      </c>
      <c r="R50" s="787">
        <f>'ANALYSE - ERP =&gt; SOUS-SEGMENT'!$JR$123</f>
        <v>6.6E-3</v>
      </c>
      <c r="T50" s="430">
        <f>'ANALYSE - ERP =&gt; SOUS-SEGMENT'!$Q$123</f>
        <v>1</v>
      </c>
    </row>
    <row r="51" spans="1:20" ht="15" customHeight="1">
      <c r="A51" s="26">
        <v>48</v>
      </c>
      <c r="B51" s="26">
        <v>49</v>
      </c>
      <c r="C51" s="422">
        <f>'ANALYSE - ERP =&gt; SOUS-SEGMENT'!$A$41</f>
        <v>34</v>
      </c>
      <c r="D51" s="413" t="str">
        <f>'ANALYSE - ERP =&gt; SOUS-SEGMENT'!$B$41</f>
        <v>Sports &amp; Loisirs</v>
      </c>
      <c r="E51" s="413" t="str">
        <f>'ANALYSE - ERP =&gt; SOUS-SEGMENT'!$C$41</f>
        <v>Loisirs</v>
      </c>
      <c r="F51" s="413" t="str">
        <f>'ANALYSE - ERP =&gt; SOUS-SEGMENT'!$D$41</f>
        <v>Salles de jeux / Bowlings / Billards</v>
      </c>
      <c r="H51" s="787">
        <f>'ANALYSE - ERP =&gt; SOUS-SEGMENT'!$JI$41</f>
        <v>2.0899999999999998E-2</v>
      </c>
      <c r="I51" s="787">
        <f>'ANALYSE - ERP =&gt; SOUS-SEGMENT'!$JJ$41</f>
        <v>0.43930000000000002</v>
      </c>
      <c r="J51" s="787">
        <f>'ANALYSE - ERP =&gt; SOUS-SEGMENT'!$JK$41</f>
        <v>0.43580000000000002</v>
      </c>
      <c r="K51" s="787">
        <f>'ANALYSE - ERP =&gt; SOUS-SEGMENT'!$JL$41</f>
        <v>9.9400000000000002E-2</v>
      </c>
      <c r="L51" s="787">
        <f>'ANALYSE - ERP =&gt; SOUS-SEGMENT'!$JM$41</f>
        <v>4.5999999999999999E-3</v>
      </c>
      <c r="N51" s="787">
        <f>'ANALYSE - ERP =&gt; SOUS-SEGMENT'!$JN$41</f>
        <v>0</v>
      </c>
      <c r="O51" s="787">
        <f>'ANALYSE - ERP =&gt; SOUS-SEGMENT'!$JO$41</f>
        <v>0.40210000000000001</v>
      </c>
      <c r="P51" s="787">
        <f>'ANALYSE - ERP =&gt; SOUS-SEGMENT'!$JP$41</f>
        <v>0.46060000000000001</v>
      </c>
      <c r="Q51" s="787">
        <f>'ANALYSE - ERP =&gt; SOUS-SEGMENT'!$JQ$41</f>
        <v>0.12659999999999999</v>
      </c>
      <c r="R51" s="787">
        <f>'ANALYSE - ERP =&gt; SOUS-SEGMENT'!$JR$41</f>
        <v>1.0699999999999999E-2</v>
      </c>
      <c r="T51" s="430">
        <f>'ANALYSE - ERP =&gt; SOUS-SEGMENT'!$Q$41</f>
        <v>1</v>
      </c>
    </row>
    <row r="52" spans="1:20" ht="15" customHeight="1">
      <c r="A52" s="26">
        <v>49</v>
      </c>
      <c r="B52" s="26">
        <v>47</v>
      </c>
      <c r="C52" s="422">
        <f>'ANALYSE - ERP =&gt; SOUS-SEGMENT'!$A$30</f>
        <v>23</v>
      </c>
      <c r="D52" s="411" t="str">
        <f>'ANALYSE - ERP =&gt; SOUS-SEGMENT'!$B$30</f>
        <v>Sports &amp; Loisirs</v>
      </c>
      <c r="E52" s="411" t="str">
        <f>'ANALYSE - ERP =&gt; SOUS-SEGMENT'!$C$30</f>
        <v>Sport de plein air</v>
      </c>
      <c r="F52" s="411" t="str">
        <f>'ANALYSE - ERP =&gt; SOUS-SEGMENT'!$D$30</f>
        <v>Hippodromes, Centres équestres &amp; Manèges couverts</v>
      </c>
      <c r="H52" s="787">
        <f>'ANALYSE - ERP =&gt; SOUS-SEGMENT'!$JI$30</f>
        <v>0.22969999999999999</v>
      </c>
      <c r="I52" s="787">
        <f>'ANALYSE - ERP =&gt; SOUS-SEGMENT'!$JJ$30</f>
        <v>0.61360000000000003</v>
      </c>
      <c r="J52" s="787">
        <f>'ANALYSE - ERP =&gt; SOUS-SEGMENT'!$JK$30</f>
        <v>0.14949999999999999</v>
      </c>
      <c r="K52" s="787">
        <f>'ANALYSE - ERP =&gt; SOUS-SEGMENT'!$JL$30</f>
        <v>7.1999999999999998E-3</v>
      </c>
      <c r="L52" s="787">
        <f>'ANALYSE - ERP =&gt; SOUS-SEGMENT'!$JM$30</f>
        <v>0</v>
      </c>
      <c r="N52" s="787">
        <f>'ANALYSE - ERP =&gt; SOUS-SEGMENT'!$JN$30</f>
        <v>0.21199999999999999</v>
      </c>
      <c r="O52" s="787">
        <f>'ANALYSE - ERP =&gt; SOUS-SEGMENT'!$JO$30</f>
        <v>0.59189999999999998</v>
      </c>
      <c r="P52" s="787">
        <f>'ANALYSE - ERP =&gt; SOUS-SEGMENT'!$JP$30</f>
        <v>0.16719999999999999</v>
      </c>
      <c r="Q52" s="787">
        <f>'ANALYSE - ERP =&gt; SOUS-SEGMENT'!$JQ$30</f>
        <v>2.4899999999999999E-2</v>
      </c>
      <c r="R52" s="787">
        <f>'ANALYSE - ERP =&gt; SOUS-SEGMENT'!$JR$30</f>
        <v>4.0000000000000001E-3</v>
      </c>
      <c r="T52" s="430">
        <f>'ANALYSE - ERP =&gt; SOUS-SEGMENT'!$Q$30</f>
        <v>1</v>
      </c>
    </row>
    <row r="53" spans="1:20" ht="15" customHeight="1">
      <c r="A53" s="26">
        <v>50</v>
      </c>
      <c r="B53" s="26">
        <v>50</v>
      </c>
      <c r="C53" s="422">
        <f>'ANALYSE - ERP =&gt; SOUS-SEGMENT'!$A$44</f>
        <v>37</v>
      </c>
      <c r="D53" s="411" t="str">
        <f>'ANALYSE - ERP =&gt; SOUS-SEGMENT'!$B$44</f>
        <v>Santé &amp; Médico-social</v>
      </c>
      <c r="E53" s="411" t="str">
        <f>'ANALYSE - ERP =&gt; SOUS-SEGMENT'!$C$44</f>
        <v>Santé hospitalière</v>
      </c>
      <c r="F53" s="411" t="str">
        <f>'ANALYSE - ERP =&gt; SOUS-SEGMENT'!$D$44</f>
        <v>Hôpitaux publics 
(Hors CHU, Universitaire, Militaire, Carcéral)</v>
      </c>
      <c r="H53" s="787">
        <f>'ANALYSE - ERP =&gt; SOUS-SEGMENT'!$JI$44</f>
        <v>1.6899999999999998E-2</v>
      </c>
      <c r="I53" s="787">
        <f>'ANALYSE - ERP =&gt; SOUS-SEGMENT'!$JJ$44</f>
        <v>0.40989999999999999</v>
      </c>
      <c r="J53" s="787">
        <f>'ANALYSE - ERP =&gt; SOUS-SEGMENT'!$JK$44</f>
        <v>0.5101</v>
      </c>
      <c r="K53" s="787">
        <f>'ANALYSE - ERP =&gt; SOUS-SEGMENT'!$JL$44</f>
        <v>6.3100000000000003E-2</v>
      </c>
      <c r="L53" s="787">
        <f>'ANALYSE - ERP =&gt; SOUS-SEGMENT'!$JM$44</f>
        <v>0</v>
      </c>
      <c r="N53" s="787">
        <f>'ANALYSE - ERP =&gt; SOUS-SEGMENT'!$JN$44</f>
        <v>0</v>
      </c>
      <c r="O53" s="787">
        <f>'ANALYSE - ERP =&gt; SOUS-SEGMENT'!$JO$44</f>
        <v>0.26650000000000001</v>
      </c>
      <c r="P53" s="787">
        <f>'ANALYSE - ERP =&gt; SOUS-SEGMENT'!$JP$44</f>
        <v>0.59650000000000003</v>
      </c>
      <c r="Q53" s="787">
        <f>'ANALYSE - ERP =&gt; SOUS-SEGMENT'!$JQ$44</f>
        <v>0.13700000000000001</v>
      </c>
      <c r="R53" s="787">
        <f>'ANALYSE - ERP =&gt; SOUS-SEGMENT'!$JR$44</f>
        <v>0</v>
      </c>
      <c r="T53" s="430">
        <f>'ANALYSE - ERP =&gt; SOUS-SEGMENT'!$Q$44</f>
        <v>1</v>
      </c>
    </row>
    <row r="54" spans="1:20" ht="15" customHeight="1">
      <c r="A54" s="26">
        <v>51</v>
      </c>
      <c r="B54" s="26">
        <v>51</v>
      </c>
      <c r="C54" s="422">
        <f>'ANALYSE - ERP =&gt; SOUS-SEGMENT'!$A$119</f>
        <v>112</v>
      </c>
      <c r="D54" s="417" t="str">
        <f>'ANALYSE - ERP =&gt; SOUS-SEGMENT'!$B$119</f>
        <v>Culte, Vie civique &amp; Services publics</v>
      </c>
      <c r="E54" s="417" t="str">
        <f>'ANALYSE - ERP =&gt; SOUS-SEGMENT'!$C$119</f>
        <v>Culte</v>
      </c>
      <c r="F54" s="417" t="str">
        <f>'ANALYSE - ERP =&gt; SOUS-SEGMENT'!$D$119</f>
        <v>Salles du Royaume, centres cultuels pluriconfessionnels et lieux de culte polyvalents</v>
      </c>
      <c r="H54" s="787">
        <f>'ANALYSE - ERP =&gt; SOUS-SEGMENT'!$JI$119</f>
        <v>0.15459999999999999</v>
      </c>
      <c r="I54" s="787">
        <f>'ANALYSE - ERP =&gt; SOUS-SEGMENT'!$JJ$119</f>
        <v>0.61470000000000002</v>
      </c>
      <c r="J54" s="787">
        <f>'ANALYSE - ERP =&gt; SOUS-SEGMENT'!$JK$119</f>
        <v>0.21909999999999999</v>
      </c>
      <c r="K54" s="787">
        <f>'ANALYSE - ERP =&gt; SOUS-SEGMENT'!$JL$119</f>
        <v>1.1599999999999999E-2</v>
      </c>
      <c r="L54" s="787">
        <f>'ANALYSE - ERP =&gt; SOUS-SEGMENT'!$JM$119</f>
        <v>0</v>
      </c>
      <c r="N54" s="787">
        <f>'ANALYSE - ERP =&gt; SOUS-SEGMENT'!$JN$119</f>
        <v>0.14050000000000001</v>
      </c>
      <c r="O54" s="787">
        <f>'ANALYSE - ERP =&gt; SOUS-SEGMENT'!$JO$119</f>
        <v>0.59740000000000004</v>
      </c>
      <c r="P54" s="787">
        <f>'ANALYSE - ERP =&gt; SOUS-SEGMENT'!$JP$119</f>
        <v>0.23319999999999999</v>
      </c>
      <c r="Q54" s="787">
        <f>'ANALYSE - ERP =&gt; SOUS-SEGMENT'!$JQ$119</f>
        <v>2.5700000000000001E-2</v>
      </c>
      <c r="R54" s="787">
        <f>'ANALYSE - ERP =&gt; SOUS-SEGMENT'!$JR$119</f>
        <v>3.2000000000000002E-3</v>
      </c>
      <c r="T54" s="430">
        <f>'ANALYSE - ERP =&gt; SOUS-SEGMENT'!$Q$119</f>
        <v>1</v>
      </c>
    </row>
    <row r="55" spans="1:20" ht="15" customHeight="1">
      <c r="A55" s="26">
        <v>52</v>
      </c>
      <c r="B55" s="26">
        <v>52</v>
      </c>
      <c r="C55" s="422">
        <f>'ANALYSE - ERP =&gt; SOUS-SEGMENT'!$A$60</f>
        <v>53</v>
      </c>
      <c r="D55" s="417" t="str">
        <f>'ANALYSE - ERP =&gt; SOUS-SEGMENT'!$B$60</f>
        <v>Santé &amp; Médico-social</v>
      </c>
      <c r="E55" s="417" t="str">
        <f>'ANALYSE - ERP =&gt; SOUS-SEGMENT'!$C$60</f>
        <v>Médico-social</v>
      </c>
      <c r="F55" s="417" t="str">
        <f>'ANALYSE - ERP =&gt; SOUS-SEGMENT'!$D$60</f>
        <v>Résidences autonomie
Foyers-logements
(Public)</v>
      </c>
      <c r="H55" s="787">
        <f>'ANALYSE - ERP =&gt; SOUS-SEGMENT'!$JI$60</f>
        <v>1.52E-2</v>
      </c>
      <c r="I55" s="787">
        <f>'ANALYSE - ERP =&gt; SOUS-SEGMENT'!$JJ$60</f>
        <v>0.34689999999999999</v>
      </c>
      <c r="J55" s="787">
        <f>'ANALYSE - ERP =&gt; SOUS-SEGMENT'!$JK$60</f>
        <v>0.5111</v>
      </c>
      <c r="K55" s="787">
        <f>'ANALYSE - ERP =&gt; SOUS-SEGMENT'!$JL$60</f>
        <v>0.124</v>
      </c>
      <c r="L55" s="787">
        <f>'ANALYSE - ERP =&gt; SOUS-SEGMENT'!$JM$60</f>
        <v>2.8E-3</v>
      </c>
      <c r="N55" s="787">
        <f>'ANALYSE - ERP =&gt; SOUS-SEGMENT'!$JN$60</f>
        <v>0</v>
      </c>
      <c r="O55" s="787">
        <f>'ANALYSE - ERP =&gt; SOUS-SEGMENT'!$JO$60</f>
        <v>0.24809999999999999</v>
      </c>
      <c r="P55" s="787">
        <f>'ANALYSE - ERP =&gt; SOUS-SEGMENT'!$JP$60</f>
        <v>0.55720000000000003</v>
      </c>
      <c r="Q55" s="787">
        <f>'ANALYSE - ERP =&gt; SOUS-SEGMENT'!$JQ$60</f>
        <v>0.18759999999999999</v>
      </c>
      <c r="R55" s="787">
        <f>'ANALYSE - ERP =&gt; SOUS-SEGMENT'!$JR$60</f>
        <v>7.1000000000000004E-3</v>
      </c>
      <c r="T55" s="430">
        <f>'ANALYSE - ERP =&gt; SOUS-SEGMENT'!$Q$60</f>
        <v>1</v>
      </c>
    </row>
    <row r="56" spans="1:20" ht="15" customHeight="1">
      <c r="A56" s="26">
        <v>53</v>
      </c>
      <c r="B56" s="26">
        <v>53</v>
      </c>
      <c r="C56" s="422">
        <f>'ANALYSE - ERP =&gt; SOUS-SEGMENT'!$A$89</f>
        <v>82</v>
      </c>
      <c r="D56" s="413" t="str">
        <f>'ANALYSE - ERP =&gt; SOUS-SEGMENT'!$B$89</f>
        <v>Hébergement Touristique</v>
      </c>
      <c r="E56" s="413" t="str">
        <f>'ANALYSE - ERP =&gt; SOUS-SEGMENT'!$C$89</f>
        <v>Hébergement Touristique</v>
      </c>
      <c r="F56" s="413" t="str">
        <f>'ANALYSE - ERP =&gt; SOUS-SEGMENT'!$D$89</f>
        <v>Résidences de tourisme</v>
      </c>
      <c r="H56" s="787">
        <f>'ANALYSE - ERP =&gt; SOUS-SEGMENT'!$JI$89</f>
        <v>0.15459999999999999</v>
      </c>
      <c r="I56" s="787">
        <f>'ANALYSE - ERP =&gt; SOUS-SEGMENT'!$JJ$89</f>
        <v>0.61470000000000002</v>
      </c>
      <c r="J56" s="787">
        <f>'ANALYSE - ERP =&gt; SOUS-SEGMENT'!$JK$89</f>
        <v>0.21909999999999999</v>
      </c>
      <c r="K56" s="787">
        <f>'ANALYSE - ERP =&gt; SOUS-SEGMENT'!$JL$89</f>
        <v>1.1599999999999999E-2</v>
      </c>
      <c r="L56" s="787">
        <f>'ANALYSE - ERP =&gt; SOUS-SEGMENT'!$JM$89</f>
        <v>0</v>
      </c>
      <c r="N56" s="787">
        <f>'ANALYSE - ERP =&gt; SOUS-SEGMENT'!$JN$89</f>
        <v>0.1361</v>
      </c>
      <c r="O56" s="787">
        <f>'ANALYSE - ERP =&gt; SOUS-SEGMENT'!$JO$89</f>
        <v>0.59219999999999995</v>
      </c>
      <c r="P56" s="787">
        <f>'ANALYSE - ERP =&gt; SOUS-SEGMENT'!$JP$89</f>
        <v>0.23749999999999999</v>
      </c>
      <c r="Q56" s="787">
        <f>'ANALYSE - ERP =&gt; SOUS-SEGMENT'!$JQ$89</f>
        <v>3.0099999999999998E-2</v>
      </c>
      <c r="R56" s="787">
        <f>'ANALYSE - ERP =&gt; SOUS-SEGMENT'!$JR$89</f>
        <v>4.1000000000000003E-3</v>
      </c>
      <c r="T56" s="430">
        <f>'ANALYSE - ERP =&gt; SOUS-SEGMENT'!$Q$89</f>
        <v>1</v>
      </c>
    </row>
    <row r="57" spans="1:20" ht="15" customHeight="1">
      <c r="A57" s="26">
        <v>54</v>
      </c>
      <c r="B57" s="26">
        <v>54</v>
      </c>
      <c r="C57" s="422">
        <f>'ANALYSE - ERP =&gt; SOUS-SEGMENT'!$A$105</f>
        <v>98</v>
      </c>
      <c r="D57" s="417" t="str">
        <f>'ANALYSE - ERP =&gt; SOUS-SEGMENT'!$B$105</f>
        <v>Culte, Vie civique &amp; Services publics</v>
      </c>
      <c r="E57" s="417" t="str">
        <f>'ANALYSE - ERP =&gt; SOUS-SEGMENT'!$C$105</f>
        <v>Administrations / services publics</v>
      </c>
      <c r="F57" s="417" t="str">
        <f>'ANALYSE - ERP =&gt; SOUS-SEGMENT'!$D$105</f>
        <v>Préfectures / services administratifs</v>
      </c>
      <c r="H57" s="787">
        <f>'ANALYSE - ERP =&gt; SOUS-SEGMENT'!$JI$105</f>
        <v>6.9199999999999998E-2</v>
      </c>
      <c r="I57" s="787">
        <f>'ANALYSE - ERP =&gt; SOUS-SEGMENT'!$JJ$105</f>
        <v>0.4879</v>
      </c>
      <c r="J57" s="787">
        <f>'ANALYSE - ERP =&gt; SOUS-SEGMENT'!$JK$105</f>
        <v>0.38150000000000001</v>
      </c>
      <c r="K57" s="787">
        <f>'ANALYSE - ERP =&gt; SOUS-SEGMENT'!$JL$105</f>
        <v>6.0999999999999999E-2</v>
      </c>
      <c r="L57" s="787">
        <f>'ANALYSE - ERP =&gt; SOUS-SEGMENT'!$JM$105</f>
        <v>4.0000000000000002E-4</v>
      </c>
      <c r="N57" s="787">
        <f>'ANALYSE - ERP =&gt; SOUS-SEGMENT'!$JN$105</f>
        <v>1.41E-2</v>
      </c>
      <c r="O57" s="787">
        <f>'ANALYSE - ERP =&gt; SOUS-SEGMENT'!$JO$105</f>
        <v>0.37290000000000001</v>
      </c>
      <c r="P57" s="787">
        <f>'ANALYSE - ERP =&gt; SOUS-SEGMENT'!$JP$105</f>
        <v>0.50790000000000002</v>
      </c>
      <c r="Q57" s="787">
        <f>'ANALYSE - ERP =&gt; SOUS-SEGMENT'!$JQ$105</f>
        <v>0.1036</v>
      </c>
      <c r="R57" s="787">
        <f>'ANALYSE - ERP =&gt; SOUS-SEGMENT'!$JR$105</f>
        <v>1.5E-3</v>
      </c>
      <c r="T57" s="430">
        <f>'ANALYSE - ERP =&gt; SOUS-SEGMENT'!$Q$105</f>
        <v>1</v>
      </c>
    </row>
    <row r="58" spans="1:20" ht="15" customHeight="1">
      <c r="A58" s="26">
        <v>55</v>
      </c>
      <c r="B58" s="26">
        <v>59</v>
      </c>
      <c r="C58" s="422">
        <f>'ANALYSE - ERP =&gt; SOUS-SEGMENT'!$A$61</f>
        <v>54</v>
      </c>
      <c r="D58" s="417" t="str">
        <f>'ANALYSE - ERP =&gt; SOUS-SEGMENT'!$B$61</f>
        <v>Santé &amp; Médico-social</v>
      </c>
      <c r="E58" s="417" t="str">
        <f>'ANALYSE - ERP =&gt; SOUS-SEGMENT'!$C$61</f>
        <v>Médico-social</v>
      </c>
      <c r="F58" s="417" t="str">
        <f>'ANALYSE - ERP =&gt; SOUS-SEGMENT'!$D$61</f>
        <v>Résidences services seniors
(Privé)</v>
      </c>
      <c r="H58" s="787">
        <f>'ANALYSE - ERP =&gt; SOUS-SEGMENT'!$JI$61</f>
        <v>0</v>
      </c>
      <c r="I58" s="787">
        <f>'ANALYSE - ERP =&gt; SOUS-SEGMENT'!$JJ$61</f>
        <v>9.4399999999999998E-2</v>
      </c>
      <c r="J58" s="787">
        <f>'ANALYSE - ERP =&gt; SOUS-SEGMENT'!$JK$61</f>
        <v>0.5171</v>
      </c>
      <c r="K58" s="787">
        <f>'ANALYSE - ERP =&gt; SOUS-SEGMENT'!$JL$61</f>
        <v>0.33050000000000002</v>
      </c>
      <c r="L58" s="787">
        <f>'ANALYSE - ERP =&gt; SOUS-SEGMENT'!$JM$61</f>
        <v>5.8000000000000003E-2</v>
      </c>
      <c r="N58" s="787">
        <f>'ANALYSE - ERP =&gt; SOUS-SEGMENT'!$JN$61</f>
        <v>0</v>
      </c>
      <c r="O58" s="787">
        <f>'ANALYSE - ERP =&gt; SOUS-SEGMENT'!$JO$61</f>
        <v>0</v>
      </c>
      <c r="P58" s="787">
        <f>'ANALYSE - ERP =&gt; SOUS-SEGMENT'!$JP$61</f>
        <v>0.3216</v>
      </c>
      <c r="Q58" s="787">
        <f>'ANALYSE - ERP =&gt; SOUS-SEGMENT'!$JQ$61</f>
        <v>0.53839999999999999</v>
      </c>
      <c r="R58" s="787">
        <f>'ANALYSE - ERP =&gt; SOUS-SEGMENT'!$JR$61</f>
        <v>0.14000000000000001</v>
      </c>
      <c r="T58" s="430">
        <f>'ANALYSE - ERP =&gt; SOUS-SEGMENT'!$Q$61</f>
        <v>1</v>
      </c>
    </row>
    <row r="59" spans="1:20" ht="15" customHeight="1">
      <c r="A59" s="26">
        <v>56</v>
      </c>
      <c r="B59" s="26">
        <v>55</v>
      </c>
      <c r="C59" s="422">
        <f>'ANALYSE - ERP =&gt; SOUS-SEGMENT'!$A$114</f>
        <v>107</v>
      </c>
      <c r="D59" s="417" t="str">
        <f>'ANALYSE - ERP =&gt; SOUS-SEGMENT'!$B$114</f>
        <v>Culte, Vie civique &amp; Services publics</v>
      </c>
      <c r="E59" s="417" t="str">
        <f>'ANALYSE - ERP =&gt; SOUS-SEGMENT'!$C$114</f>
        <v>Culte</v>
      </c>
      <c r="F59" s="417" t="str">
        <f>'ANALYSE - ERP =&gt; SOUS-SEGMENT'!$D$114</f>
        <v>Monastères, abbayes et couvents ouverts au public</v>
      </c>
      <c r="H59" s="787">
        <f>'ANALYSE - ERP =&gt; SOUS-SEGMENT'!$JI$114</f>
        <v>0</v>
      </c>
      <c r="I59" s="787">
        <f>'ANALYSE - ERP =&gt; SOUS-SEGMENT'!$JJ$114</f>
        <v>0</v>
      </c>
      <c r="J59" s="787">
        <f>'ANALYSE - ERP =&gt; SOUS-SEGMENT'!$JK$114</f>
        <v>0</v>
      </c>
      <c r="K59" s="787">
        <f>'ANALYSE - ERP =&gt; SOUS-SEGMENT'!$JL$114</f>
        <v>0</v>
      </c>
      <c r="L59" s="787">
        <f>'ANALYSE - ERP =&gt; SOUS-SEGMENT'!$JM$114</f>
        <v>0</v>
      </c>
      <c r="N59" s="787">
        <f>'ANALYSE - ERP =&gt; SOUS-SEGMENT'!$JN$114</f>
        <v>0</v>
      </c>
      <c r="O59" s="787">
        <f>'ANALYSE - ERP =&gt; SOUS-SEGMENT'!$JO$114</f>
        <v>0</v>
      </c>
      <c r="P59" s="787">
        <f>'ANALYSE - ERP =&gt; SOUS-SEGMENT'!$JP$114</f>
        <v>0</v>
      </c>
      <c r="Q59" s="787">
        <f>'ANALYSE - ERP =&gt; SOUS-SEGMENT'!$JQ$114</f>
        <v>0</v>
      </c>
      <c r="R59" s="787">
        <f>'ANALYSE - ERP =&gt; SOUS-SEGMENT'!$JR$114</f>
        <v>0</v>
      </c>
      <c r="T59" s="430">
        <f>'ANALYSE - ERP =&gt; SOUS-SEGMENT'!$Q$114</f>
        <v>1</v>
      </c>
    </row>
    <row r="60" spans="1:20" ht="15" customHeight="1">
      <c r="A60" s="26">
        <v>57</v>
      </c>
      <c r="B60" s="26">
        <v>57</v>
      </c>
      <c r="C60" s="422">
        <f>'ANALYSE - ERP =&gt; SOUS-SEGMENT'!$A$72</f>
        <v>65</v>
      </c>
      <c r="D60" s="417" t="str">
        <f>'ANALYSE - ERP =&gt; SOUS-SEGMENT'!$B$72</f>
        <v>Culture, Patrimoine &amp; Evénementiel</v>
      </c>
      <c r="E60" s="417" t="str">
        <f>'ANALYSE - ERP =&gt; SOUS-SEGMENT'!$C$72</f>
        <v>Événementiel temporaire</v>
      </c>
      <c r="F60" s="417" t="str">
        <f>'ANALYSE - ERP =&gt; SOUS-SEGMENT'!$D$72</f>
        <v>Chapiteaux / Tentes / Structures</v>
      </c>
      <c r="H60" s="787">
        <f>'ANALYSE - ERP =&gt; SOUS-SEGMENT'!$JI$72</f>
        <v>5.3999999999999999E-2</v>
      </c>
      <c r="I60" s="787">
        <f>'ANALYSE - ERP =&gt; SOUS-SEGMENT'!$JJ$72</f>
        <v>0.53969999999999996</v>
      </c>
      <c r="J60" s="787">
        <f>'ANALYSE - ERP =&gt; SOUS-SEGMENT'!$JK$72</f>
        <v>0.37480000000000002</v>
      </c>
      <c r="K60" s="787">
        <f>'ANALYSE - ERP =&gt; SOUS-SEGMENT'!$JL$72</f>
        <v>3.15E-2</v>
      </c>
      <c r="L60" s="787">
        <f>'ANALYSE - ERP =&gt; SOUS-SEGMENT'!$JM$72</f>
        <v>0</v>
      </c>
      <c r="N60" s="787">
        <f>'ANALYSE - ERP =&gt; SOUS-SEGMENT'!$JN$72</f>
        <v>3.6600000000000001E-2</v>
      </c>
      <c r="O60" s="787">
        <f>'ANALYSE - ERP =&gt; SOUS-SEGMENT'!$JO$72</f>
        <v>0.51849999999999996</v>
      </c>
      <c r="P60" s="787">
        <f>'ANALYSE - ERP =&gt; SOUS-SEGMENT'!$JP$72</f>
        <v>0.39219999999999999</v>
      </c>
      <c r="Q60" s="787">
        <f>'ANALYSE - ERP =&gt; SOUS-SEGMENT'!$JQ$72</f>
        <v>4.8899999999999999E-2</v>
      </c>
      <c r="R60" s="787">
        <f>'ANALYSE - ERP =&gt; SOUS-SEGMENT'!$JR$72</f>
        <v>3.8E-3</v>
      </c>
      <c r="T60" s="430">
        <f>'ANALYSE - ERP =&gt; SOUS-SEGMENT'!$Q$72</f>
        <v>1</v>
      </c>
    </row>
    <row r="61" spans="1:20" ht="15" customHeight="1">
      <c r="A61" s="26">
        <v>58</v>
      </c>
      <c r="B61" s="26">
        <v>56</v>
      </c>
      <c r="C61" s="422">
        <f>'ANALYSE - ERP =&gt; SOUS-SEGMENT'!$A$31</f>
        <v>24</v>
      </c>
      <c r="D61" s="417" t="str">
        <f>'ANALYSE - ERP =&gt; SOUS-SEGMENT'!$B$31</f>
        <v>Sports &amp; Loisirs</v>
      </c>
      <c r="E61" s="417" t="str">
        <f>'ANALYSE - ERP =&gt; SOUS-SEGMENT'!$C$31</f>
        <v>Sport de plein air</v>
      </c>
      <c r="F61" s="417" t="str">
        <f>'ANALYSE - ERP =&gt; SOUS-SEGMENT'!$D$31</f>
        <v>Piscines extérieures 
(Hors campings, hôtels, résidences et établissement avec bassin intérieur)</v>
      </c>
      <c r="H61" s="787">
        <f>'ANALYSE - ERP =&gt; SOUS-SEGMENT'!$JI$31</f>
        <v>0.28299999999999997</v>
      </c>
      <c r="I61" s="787">
        <f>'ANALYSE - ERP =&gt; SOUS-SEGMENT'!$JJ$31</f>
        <v>0.60509999999999997</v>
      </c>
      <c r="J61" s="787">
        <f>'ANALYSE - ERP =&gt; SOUS-SEGMENT'!$JK$31</f>
        <v>0.1119</v>
      </c>
      <c r="K61" s="787">
        <f>'ANALYSE - ERP =&gt; SOUS-SEGMENT'!$JL$31</f>
        <v>0</v>
      </c>
      <c r="L61" s="787">
        <f>'ANALYSE - ERP =&gt; SOUS-SEGMENT'!$JM$31</f>
        <v>0</v>
      </c>
      <c r="N61" s="787">
        <f>'ANALYSE - ERP =&gt; SOUS-SEGMENT'!$JN$31</f>
        <v>0.15859999999999999</v>
      </c>
      <c r="O61" s="787">
        <f>'ANALYSE - ERP =&gt; SOUS-SEGMENT'!$JO$31</f>
        <v>0.62880000000000003</v>
      </c>
      <c r="P61" s="787">
        <f>'ANALYSE - ERP =&gt; SOUS-SEGMENT'!$JP$31</f>
        <v>0.21260000000000001</v>
      </c>
      <c r="Q61" s="787">
        <f>'ANALYSE - ERP =&gt; SOUS-SEGMENT'!$JQ$31</f>
        <v>0</v>
      </c>
      <c r="R61" s="787">
        <f>'ANALYSE - ERP =&gt; SOUS-SEGMENT'!$JR$31</f>
        <v>0</v>
      </c>
      <c r="T61" s="430">
        <f>'ANALYSE - ERP =&gt; SOUS-SEGMENT'!$Q$31</f>
        <v>1</v>
      </c>
    </row>
    <row r="62" spans="1:20" s="45" customFormat="1" ht="15" customHeight="1">
      <c r="A62" s="406">
        <v>59</v>
      </c>
      <c r="B62" s="406">
        <v>58</v>
      </c>
      <c r="C62" s="448">
        <f>'ANALYSE - ERP =&gt; SOUS-SEGMENT'!$A$64</f>
        <v>57</v>
      </c>
      <c r="D62" s="449" t="str">
        <f>'ANALYSE - ERP =&gt; SOUS-SEGMENT'!$B$64</f>
        <v>Culture, Patrimoine &amp; Evénementiel</v>
      </c>
      <c r="E62" s="449" t="str">
        <f>'ANALYSE - ERP =&gt; SOUS-SEGMENT'!$C$64</f>
        <v>Culture / spectacle</v>
      </c>
      <c r="F62" s="449" t="str">
        <f>'ANALYSE - ERP =&gt; SOUS-SEGMENT'!$D$64</f>
        <v>Musées</v>
      </c>
      <c r="G62" s="685"/>
      <c r="H62" s="788">
        <f>'ANALYSE - ERP =&gt; SOUS-SEGMENT'!$JI$64</f>
        <v>4.8800000000000003E-2</v>
      </c>
      <c r="I62" s="788">
        <f>'ANALYSE - ERP =&gt; SOUS-SEGMENT'!$JJ$64</f>
        <v>0.38419999999999999</v>
      </c>
      <c r="J62" s="788">
        <f>'ANALYSE - ERP =&gt; SOUS-SEGMENT'!$JK$64</f>
        <v>0.45119999999999999</v>
      </c>
      <c r="K62" s="788">
        <f>'ANALYSE - ERP =&gt; SOUS-SEGMENT'!$JL$64</f>
        <v>0.11269999999999999</v>
      </c>
      <c r="L62" s="788">
        <f>'ANALYSE - ERP =&gt; SOUS-SEGMENT'!$JM$64</f>
        <v>3.0999999999999999E-3</v>
      </c>
      <c r="M62" s="685"/>
      <c r="N62" s="788">
        <f>'ANALYSE - ERP =&gt; SOUS-SEGMENT'!$JN$64</f>
        <v>9.7000000000000003E-3</v>
      </c>
      <c r="O62" s="788">
        <f>'ANALYSE - ERP =&gt; SOUS-SEGMENT'!$JO$64</f>
        <v>0.28710000000000002</v>
      </c>
      <c r="P62" s="788">
        <f>'ANALYSE - ERP =&gt; SOUS-SEGMENT'!$JP$64</f>
        <v>0.51900000000000002</v>
      </c>
      <c r="Q62" s="788">
        <f>'ANALYSE - ERP =&gt; SOUS-SEGMENT'!$JQ$64</f>
        <v>0.17580000000000001</v>
      </c>
      <c r="R62" s="788">
        <f>'ANALYSE - ERP =&gt; SOUS-SEGMENT'!$JR$64</f>
        <v>8.3999999999999995E-3</v>
      </c>
      <c r="S62" s="685"/>
      <c r="T62" s="450">
        <f>'ANALYSE - ERP =&gt; SOUS-SEGMENT'!$Q$64</f>
        <v>1</v>
      </c>
    </row>
    <row r="63" spans="1:20" ht="15" customHeight="1">
      <c r="A63" s="26">
        <v>60</v>
      </c>
      <c r="B63" s="26">
        <v>61</v>
      </c>
      <c r="C63" s="422">
        <f>'ANALYSE - ERP =&gt; SOUS-SEGMENT'!$A$81</f>
        <v>74</v>
      </c>
      <c r="D63" s="417" t="str">
        <f>'ANALYSE - ERP =&gt; SOUS-SEGMENT'!$B$81</f>
        <v>Commerce, Restauration &amp; Loisirs</v>
      </c>
      <c r="E63" s="417" t="str">
        <f>'ANALYSE - ERP =&gt; SOUS-SEGMENT'!$C$81</f>
        <v>Commerce</v>
      </c>
      <c r="F63" s="417" t="str">
        <f>'ANALYSE - ERP =&gt; SOUS-SEGMENT'!$D$81</f>
        <v>Marchés couverts</v>
      </c>
      <c r="H63" s="787">
        <f>'ANALYSE - ERP =&gt; SOUS-SEGMENT'!$JI$81</f>
        <v>0.28749999999999998</v>
      </c>
      <c r="I63" s="787">
        <f>'ANALYSE - ERP =&gt; SOUS-SEGMENT'!$JJ$81</f>
        <v>0.56410000000000005</v>
      </c>
      <c r="J63" s="787">
        <f>'ANALYSE - ERP =&gt; SOUS-SEGMENT'!$JK$81</f>
        <v>0.1484</v>
      </c>
      <c r="K63" s="787">
        <f>'ANALYSE - ERP =&gt; SOUS-SEGMENT'!$JL$81</f>
        <v>0</v>
      </c>
      <c r="L63" s="787">
        <f>'ANALYSE - ERP =&gt; SOUS-SEGMENT'!$JM$81</f>
        <v>0</v>
      </c>
      <c r="N63" s="787">
        <f>'ANALYSE - ERP =&gt; SOUS-SEGMENT'!$JN$81</f>
        <v>0.17080000000000001</v>
      </c>
      <c r="O63" s="787">
        <f>'ANALYSE - ERP =&gt; SOUS-SEGMENT'!$JO$81</f>
        <v>0.56479999999999997</v>
      </c>
      <c r="P63" s="787">
        <f>'ANALYSE - ERP =&gt; SOUS-SEGMENT'!$JP$81</f>
        <v>0.26419999999999999</v>
      </c>
      <c r="Q63" s="787">
        <f>'ANALYSE - ERP =&gt; SOUS-SEGMENT'!$JQ$81</f>
        <v>0</v>
      </c>
      <c r="R63" s="787">
        <f>'ANALYSE - ERP =&gt; SOUS-SEGMENT'!$JR$81</f>
        <v>2.0000000000000001E-4</v>
      </c>
      <c r="T63" s="430">
        <f>'ANALYSE - ERP =&gt; SOUS-SEGMENT'!$Q$81</f>
        <v>1</v>
      </c>
    </row>
    <row r="64" spans="1:20" ht="15" customHeight="1">
      <c r="A64" s="26">
        <v>61</v>
      </c>
      <c r="B64" s="26">
        <v>63</v>
      </c>
      <c r="C64" s="422">
        <f>'ANALYSE - ERP =&gt; SOUS-SEGMENT'!$A$135</f>
        <v>128</v>
      </c>
      <c r="D64" s="410" t="str">
        <f>'ANALYSE - ERP =&gt; SOUS-SEGMENT'!$B$135</f>
        <v>Sécurité &amp; Justice</v>
      </c>
      <c r="E64" s="410" t="str">
        <f>'ANALYSE - ERP =&gt; SOUS-SEGMENT'!$C$135</f>
        <v>Forces armées</v>
      </c>
      <c r="F64" s="410" t="str">
        <f>'ANALYSE - ERP =&gt; SOUS-SEGMENT'!$D$135</f>
        <v>Unités d'hébergement des militaires &amp; réservistes</v>
      </c>
      <c r="H64" s="787">
        <f>'ANALYSE - ERP =&gt; SOUS-SEGMENT'!$JI$135</f>
        <v>0.14130000000000001</v>
      </c>
      <c r="I64" s="787">
        <f>'ANALYSE - ERP =&gt; SOUS-SEGMENT'!$JJ$135</f>
        <v>0.6391</v>
      </c>
      <c r="J64" s="787">
        <f>'ANALYSE - ERP =&gt; SOUS-SEGMENT'!$JK$135</f>
        <v>0.21429999999999999</v>
      </c>
      <c r="K64" s="787">
        <f>'ANALYSE - ERP =&gt; SOUS-SEGMENT'!$JL$135</f>
        <v>5.3E-3</v>
      </c>
      <c r="L64" s="787">
        <f>'ANALYSE - ERP =&gt; SOUS-SEGMENT'!$JM$135</f>
        <v>0</v>
      </c>
      <c r="N64" s="787">
        <f>'ANALYSE - ERP =&gt; SOUS-SEGMENT'!$JN$135</f>
        <v>6.7299999999999999E-2</v>
      </c>
      <c r="O64" s="787">
        <f>'ANALYSE - ERP =&gt; SOUS-SEGMENT'!$JO$135</f>
        <v>0.56469999999999998</v>
      </c>
      <c r="P64" s="787">
        <f>'ANALYSE - ERP =&gt; SOUS-SEGMENT'!$JP$135</f>
        <v>0.35170000000000001</v>
      </c>
      <c r="Q64" s="787">
        <f>'ANALYSE - ERP =&gt; SOUS-SEGMENT'!$JQ$135</f>
        <v>1.6199999999999999E-2</v>
      </c>
      <c r="R64" s="787">
        <f>'ANALYSE - ERP =&gt; SOUS-SEGMENT'!$JR$135</f>
        <v>1E-4</v>
      </c>
      <c r="T64" s="430">
        <f>'ANALYSE - ERP =&gt; SOUS-SEGMENT'!$Q$135</f>
        <v>1</v>
      </c>
    </row>
    <row r="65" spans="1:20" s="45" customFormat="1" ht="15" customHeight="1">
      <c r="A65" s="26">
        <v>62</v>
      </c>
      <c r="B65" s="26">
        <v>60</v>
      </c>
      <c r="C65" s="422">
        <f>'ANALYSE - ERP =&gt; SOUS-SEGMENT'!$A$23</f>
        <v>16</v>
      </c>
      <c r="D65" s="410" t="str">
        <f>'ANALYSE - ERP =&gt; SOUS-SEGMENT'!$B$23</f>
        <v>Sports &amp; Loisirs</v>
      </c>
      <c r="E65" s="410" t="str">
        <f>'ANALYSE - ERP =&gt; SOUS-SEGMENT'!$C$23</f>
        <v>Sport couvert / Thermalisme / Bien-être</v>
      </c>
      <c r="F65" s="410" t="str">
        <f>'ANALYSE - ERP =&gt; SOUS-SEGMENT'!$D$23</f>
        <v>Patinoires couvertes</v>
      </c>
      <c r="G65" s="685"/>
      <c r="H65" s="787">
        <f>'ANALYSE - ERP =&gt; SOUS-SEGMENT'!$JI$23</f>
        <v>0.30049999999999999</v>
      </c>
      <c r="I65" s="787">
        <f>'ANALYSE - ERP =&gt; SOUS-SEGMENT'!$JJ$23</f>
        <v>0.59689999999999999</v>
      </c>
      <c r="J65" s="787">
        <f>'ANALYSE - ERP =&gt; SOUS-SEGMENT'!$JK$23</f>
        <v>0.1026</v>
      </c>
      <c r="K65" s="787">
        <f>'ANALYSE - ERP =&gt; SOUS-SEGMENT'!$JL$23</f>
        <v>0</v>
      </c>
      <c r="L65" s="787">
        <f>'ANALYSE - ERP =&gt; SOUS-SEGMENT'!$JM$23</f>
        <v>0</v>
      </c>
      <c r="M65" s="685"/>
      <c r="N65" s="787">
        <f>'ANALYSE - ERP =&gt; SOUS-SEGMENT'!$JN$23</f>
        <v>0.17130000000000001</v>
      </c>
      <c r="O65" s="787">
        <f>'ANALYSE - ERP =&gt; SOUS-SEGMENT'!$JO$23</f>
        <v>0.63039999999999996</v>
      </c>
      <c r="P65" s="787">
        <f>'ANALYSE - ERP =&gt; SOUS-SEGMENT'!$JP$23</f>
        <v>0.1983</v>
      </c>
      <c r="Q65" s="787">
        <f>'ANALYSE - ERP =&gt; SOUS-SEGMENT'!$JQ$23</f>
        <v>0</v>
      </c>
      <c r="R65" s="787">
        <f>'ANALYSE - ERP =&gt; SOUS-SEGMENT'!$JR$23</f>
        <v>0</v>
      </c>
      <c r="S65" s="685"/>
      <c r="T65" s="430">
        <f>'ANALYSE - ERP =&gt; SOUS-SEGMENT'!$Q$23</f>
        <v>1</v>
      </c>
    </row>
    <row r="66" spans="1:20" ht="15" customHeight="1">
      <c r="A66" s="26">
        <v>63</v>
      </c>
      <c r="B66" s="26">
        <v>62</v>
      </c>
      <c r="C66" s="422">
        <f>'ANALYSE - ERP =&gt; SOUS-SEGMENT'!$A$124</f>
        <v>117</v>
      </c>
      <c r="D66" s="417" t="str">
        <f>'ANALYSE - ERP =&gt; SOUS-SEGMENT'!$B$124</f>
        <v>Transport, Mobilité &amp; Stationnement</v>
      </c>
      <c r="E66" s="417" t="str">
        <f>'ANALYSE - ERP =&gt; SOUS-SEGMENT'!$C$124</f>
        <v>Transport / Mobilité</v>
      </c>
      <c r="F66" s="417" t="str">
        <f>'ANALYSE - ERP =&gt; SOUS-SEGMENT'!$D$124</f>
        <v>Aéroports / aérogares
(&gt;1 000 passagers/an)</v>
      </c>
      <c r="H66" s="787">
        <f>'ANALYSE - ERP =&gt; SOUS-SEGMENT'!$JI$124</f>
        <v>0</v>
      </c>
      <c r="I66" s="787">
        <f>'ANALYSE - ERP =&gt; SOUS-SEGMENT'!$JJ$124</f>
        <v>0.1489</v>
      </c>
      <c r="J66" s="787">
        <f>'ANALYSE - ERP =&gt; SOUS-SEGMENT'!$JK$124</f>
        <v>0.5403</v>
      </c>
      <c r="K66" s="787">
        <f>'ANALYSE - ERP =&gt; SOUS-SEGMENT'!$JL$124</f>
        <v>0.3009</v>
      </c>
      <c r="L66" s="787">
        <f>'ANALYSE - ERP =&gt; SOUS-SEGMENT'!$JM$124</f>
        <v>9.9000000000000008E-3</v>
      </c>
      <c r="N66" s="787">
        <f>'ANALYSE - ERP =&gt; SOUS-SEGMENT'!$JN$124</f>
        <v>0</v>
      </c>
      <c r="O66" s="787">
        <f>'ANALYSE - ERP =&gt; SOUS-SEGMENT'!$JO$124</f>
        <v>7.85E-2</v>
      </c>
      <c r="P66" s="787">
        <f>'ANALYSE - ERP =&gt; SOUS-SEGMENT'!$JP$124</f>
        <v>0.42109999999999997</v>
      </c>
      <c r="Q66" s="787">
        <f>'ANALYSE - ERP =&gt; SOUS-SEGMENT'!$JQ$124</f>
        <v>0.44040000000000001</v>
      </c>
      <c r="R66" s="787">
        <f>'ANALYSE - ERP =&gt; SOUS-SEGMENT'!$JR$124</f>
        <v>0.06</v>
      </c>
      <c r="T66" s="430">
        <f>'ANALYSE - ERP =&gt; SOUS-SEGMENT'!$Q$124</f>
        <v>1</v>
      </c>
    </row>
    <row r="67" spans="1:20" ht="15" customHeight="1">
      <c r="A67" s="26">
        <v>64</v>
      </c>
      <c r="B67" s="26">
        <v>65</v>
      </c>
      <c r="C67" s="422">
        <f>'ANALYSE - ERP =&gt; SOUS-SEGMENT'!$A$91</f>
        <v>84</v>
      </c>
      <c r="D67" s="408" t="str">
        <f>'ANALYSE - ERP =&gt; SOUS-SEGMENT'!$B$91</f>
        <v>Hébergement Touristique</v>
      </c>
      <c r="E67" s="408" t="str">
        <f>'ANALYSE - ERP =&gt; SOUS-SEGMENT'!$C$91</f>
        <v>Hébergement Touristique</v>
      </c>
      <c r="F67" s="408" t="str">
        <f>'ANALYSE - ERP =&gt; SOUS-SEGMENT'!$D$91</f>
        <v>Pensions de famille</v>
      </c>
      <c r="H67" s="787">
        <f>'ANALYSE - ERP =&gt; SOUS-SEGMENT'!$JI$91</f>
        <v>0.11459999999999999</v>
      </c>
      <c r="I67" s="787">
        <f>'ANALYSE - ERP =&gt; SOUS-SEGMENT'!$JJ$91</f>
        <v>0.49880000000000002</v>
      </c>
      <c r="J67" s="787">
        <f>'ANALYSE - ERP =&gt; SOUS-SEGMENT'!$JK$91</f>
        <v>0.3473</v>
      </c>
      <c r="K67" s="787">
        <f>'ANALYSE - ERP =&gt; SOUS-SEGMENT'!$JL$91</f>
        <v>3.8600000000000002E-2</v>
      </c>
      <c r="L67" s="787">
        <f>'ANALYSE - ERP =&gt; SOUS-SEGMENT'!$JM$91</f>
        <v>6.9999999999999999E-4</v>
      </c>
      <c r="N67" s="787">
        <f>'ANALYSE - ERP =&gt; SOUS-SEGMENT'!$JN$91</f>
        <v>4.7800000000000002E-2</v>
      </c>
      <c r="O67" s="787">
        <f>'ANALYSE - ERP =&gt; SOUS-SEGMENT'!$JO$91</f>
        <v>0.3947</v>
      </c>
      <c r="P67" s="787">
        <f>'ANALYSE - ERP =&gt; SOUS-SEGMENT'!$JP$91</f>
        <v>0.4657</v>
      </c>
      <c r="Q67" s="787">
        <f>'ANALYSE - ERP =&gt; SOUS-SEGMENT'!$JQ$91</f>
        <v>8.8900000000000007E-2</v>
      </c>
      <c r="R67" s="787">
        <f>'ANALYSE - ERP =&gt; SOUS-SEGMENT'!$JR$91</f>
        <v>2.8999999999999998E-3</v>
      </c>
      <c r="T67" s="430">
        <f>'ANALYSE - ERP =&gt; SOUS-SEGMENT'!$Q$91</f>
        <v>1</v>
      </c>
    </row>
    <row r="68" spans="1:20" ht="15" customHeight="1">
      <c r="A68" s="26">
        <v>65</v>
      </c>
      <c r="B68" s="26">
        <v>64</v>
      </c>
      <c r="C68" s="422">
        <f>'ANALYSE - ERP =&gt; SOUS-SEGMENT'!$A$46</f>
        <v>39</v>
      </c>
      <c r="D68" s="412" t="str">
        <f>'ANALYSE - ERP =&gt; SOUS-SEGMENT'!$B$46</f>
        <v>Santé &amp; Médico-social</v>
      </c>
      <c r="E68" s="412" t="str">
        <f>'ANALYSE - ERP =&gt; SOUS-SEGMENT'!$C$46</f>
        <v>Santé hospitalière</v>
      </c>
      <c r="F68" s="412" t="str">
        <f>'ANALYSE - ERP =&gt; SOUS-SEGMENT'!$D$46</f>
        <v>Cliniques</v>
      </c>
      <c r="H68" s="787">
        <f>'ANALYSE - ERP =&gt; SOUS-SEGMENT'!$JI$46</f>
        <v>0</v>
      </c>
      <c r="I68" s="787">
        <f>'ANALYSE - ERP =&gt; SOUS-SEGMENT'!$JJ$46</f>
        <v>0.16850000000000001</v>
      </c>
      <c r="J68" s="787">
        <f>'ANALYSE - ERP =&gt; SOUS-SEGMENT'!$JK$46</f>
        <v>0.57489999999999997</v>
      </c>
      <c r="K68" s="787">
        <f>'ANALYSE - ERP =&gt; SOUS-SEGMENT'!$JL$46</f>
        <v>0.24579999999999999</v>
      </c>
      <c r="L68" s="787">
        <f>'ANALYSE - ERP =&gt; SOUS-SEGMENT'!$JM$46</f>
        <v>1.0800000000000001E-2</v>
      </c>
      <c r="N68" s="787">
        <f>'ANALYSE - ERP =&gt; SOUS-SEGMENT'!$JN$46</f>
        <v>0</v>
      </c>
      <c r="O68" s="787">
        <f>'ANALYSE - ERP =&gt; SOUS-SEGMENT'!$JO$46</f>
        <v>5.96E-2</v>
      </c>
      <c r="P68" s="787">
        <f>'ANALYSE - ERP =&gt; SOUS-SEGMENT'!$JP$46</f>
        <v>0.53139999999999998</v>
      </c>
      <c r="Q68" s="787">
        <f>'ANALYSE - ERP =&gt; SOUS-SEGMENT'!$JQ$46</f>
        <v>0.37569999999999998</v>
      </c>
      <c r="R68" s="787">
        <f>'ANALYSE - ERP =&gt; SOUS-SEGMENT'!$JR$46</f>
        <v>3.3300000000000003E-2</v>
      </c>
      <c r="T68" s="430">
        <f>'ANALYSE - ERP =&gt; SOUS-SEGMENT'!$Q$46</f>
        <v>1</v>
      </c>
    </row>
    <row r="69" spans="1:20" ht="15" customHeight="1">
      <c r="A69" s="26">
        <v>66</v>
      </c>
      <c r="B69" s="26">
        <v>68</v>
      </c>
      <c r="C69" s="422">
        <f>'ANALYSE - ERP =&gt; SOUS-SEGMENT'!$A$118</f>
        <v>111</v>
      </c>
      <c r="D69" s="415" t="str">
        <f>'ANALYSE - ERP =&gt; SOUS-SEGMENT'!$B$118</f>
        <v>Culte, Vie civique &amp; Services publics</v>
      </c>
      <c r="E69" s="415" t="str">
        <f>'ANALYSE - ERP =&gt; SOUS-SEGMENT'!$C$118</f>
        <v>Culte</v>
      </c>
      <c r="F69" s="415" t="str">
        <f>'ANALYSE - ERP =&gt; SOUS-SEGMENT'!$D$118</f>
        <v>Temples bouddhistes, hindous et autres lieux de culte non abrahamiques ouverts au public</v>
      </c>
      <c r="H69" s="787">
        <f>'ANALYSE - ERP =&gt; SOUS-SEGMENT'!$JI$118</f>
        <v>0.15459999999999999</v>
      </c>
      <c r="I69" s="787">
        <f>'ANALYSE - ERP =&gt; SOUS-SEGMENT'!$JJ$118</f>
        <v>0.61470000000000002</v>
      </c>
      <c r="J69" s="787">
        <f>'ANALYSE - ERP =&gt; SOUS-SEGMENT'!$JK$118</f>
        <v>0.21909999999999999</v>
      </c>
      <c r="K69" s="787">
        <f>'ANALYSE - ERP =&gt; SOUS-SEGMENT'!$JL$118</f>
        <v>1.1599999999999999E-2</v>
      </c>
      <c r="L69" s="787">
        <f>'ANALYSE - ERP =&gt; SOUS-SEGMENT'!$JM$118</f>
        <v>0</v>
      </c>
      <c r="N69" s="787">
        <f>'ANALYSE - ERP =&gt; SOUS-SEGMENT'!$JN$118</f>
        <v>0.14050000000000001</v>
      </c>
      <c r="O69" s="787">
        <f>'ANALYSE - ERP =&gt; SOUS-SEGMENT'!$JO$118</f>
        <v>0.59740000000000004</v>
      </c>
      <c r="P69" s="787">
        <f>'ANALYSE - ERP =&gt; SOUS-SEGMENT'!$JP$118</f>
        <v>0.23319999999999999</v>
      </c>
      <c r="Q69" s="787">
        <f>'ANALYSE - ERP =&gt; SOUS-SEGMENT'!$JQ$118</f>
        <v>2.5700000000000001E-2</v>
      </c>
      <c r="R69" s="787">
        <f>'ANALYSE - ERP =&gt; SOUS-SEGMENT'!$JR$118</f>
        <v>3.2000000000000002E-3</v>
      </c>
      <c r="T69" s="430">
        <f>'ANALYSE - ERP =&gt; SOUS-SEGMENT'!$Q$118</f>
        <v>1</v>
      </c>
    </row>
    <row r="70" spans="1:20" ht="15" customHeight="1">
      <c r="A70" s="26">
        <v>67</v>
      </c>
      <c r="B70" s="26">
        <v>66</v>
      </c>
      <c r="C70" s="422">
        <f>'ANALYSE - ERP =&gt; SOUS-SEGMENT'!$A$45</f>
        <v>38</v>
      </c>
      <c r="D70" s="411" t="str">
        <f>'ANALYSE - ERP =&gt; SOUS-SEGMENT'!$B$45</f>
        <v>Santé &amp; Médico-social</v>
      </c>
      <c r="E70" s="411" t="str">
        <f>'ANALYSE - ERP =&gt; SOUS-SEGMENT'!$C$45</f>
        <v>Santé hospitalière</v>
      </c>
      <c r="F70" s="411" t="str">
        <f>'ANALYSE - ERP =&gt; SOUS-SEGMENT'!$D$45</f>
        <v>Hôpitaux privés</v>
      </c>
      <c r="H70" s="787">
        <f>'ANALYSE - ERP =&gt; SOUS-SEGMENT'!$JI$45</f>
        <v>0</v>
      </c>
      <c r="I70" s="787">
        <f>'ANALYSE - ERP =&gt; SOUS-SEGMENT'!$JJ$45</f>
        <v>0.18959999999999999</v>
      </c>
      <c r="J70" s="787">
        <f>'ANALYSE - ERP =&gt; SOUS-SEGMENT'!$JK$45</f>
        <v>0.5726</v>
      </c>
      <c r="K70" s="787">
        <f>'ANALYSE - ERP =&gt; SOUS-SEGMENT'!$JL$45</f>
        <v>0.22889999999999999</v>
      </c>
      <c r="L70" s="787">
        <f>'ANALYSE - ERP =&gt; SOUS-SEGMENT'!$JM$45</f>
        <v>8.8999999999999999E-3</v>
      </c>
      <c r="N70" s="787">
        <f>'ANALYSE - ERP =&gt; SOUS-SEGMENT'!$JN$45</f>
        <v>0</v>
      </c>
      <c r="O70" s="787">
        <f>'ANALYSE - ERP =&gt; SOUS-SEGMENT'!$JO$45</f>
        <v>7.4200000000000002E-2</v>
      </c>
      <c r="P70" s="787">
        <f>'ANALYSE - ERP =&gt; SOUS-SEGMENT'!$JP$45</f>
        <v>0.54490000000000005</v>
      </c>
      <c r="Q70" s="787">
        <f>'ANALYSE - ERP =&gt; SOUS-SEGMENT'!$JQ$45</f>
        <v>0.3528</v>
      </c>
      <c r="R70" s="787">
        <f>'ANALYSE - ERP =&gt; SOUS-SEGMENT'!$JR$45</f>
        <v>2.81E-2</v>
      </c>
      <c r="T70" s="430">
        <f>'ANALYSE - ERP =&gt; SOUS-SEGMENT'!$Q$45</f>
        <v>1</v>
      </c>
    </row>
    <row r="71" spans="1:20" ht="15" customHeight="1">
      <c r="A71" s="26">
        <v>68</v>
      </c>
      <c r="B71" s="26">
        <v>71</v>
      </c>
      <c r="C71" s="422">
        <f>'ANALYSE - ERP =&gt; SOUS-SEGMENT'!$A$49</f>
        <v>42</v>
      </c>
      <c r="D71" s="415" t="str">
        <f>'ANALYSE - ERP =&gt; SOUS-SEGMENT'!$B$49</f>
        <v>Santé &amp; Médico-social</v>
      </c>
      <c r="E71" s="415" t="str">
        <f>'ANALYSE - ERP =&gt; SOUS-SEGMENT'!$C$49</f>
        <v>Santé spécialisée</v>
      </c>
      <c r="F71" s="415" t="str">
        <f>'ANALYSE - ERP =&gt; SOUS-SEGMENT'!$D$49</f>
        <v>Centres de psychiatrie</v>
      </c>
      <c r="H71" s="787">
        <f>'ANALYSE - ERP =&gt; SOUS-SEGMENT'!$JI$49</f>
        <v>8.9700000000000002E-2</v>
      </c>
      <c r="I71" s="787">
        <f>'ANALYSE - ERP =&gt; SOUS-SEGMENT'!$JJ$49</f>
        <v>0.60870000000000002</v>
      </c>
      <c r="J71" s="787">
        <f>'ANALYSE - ERP =&gt; SOUS-SEGMENT'!$JK$49</f>
        <v>0.2918</v>
      </c>
      <c r="K71" s="787">
        <f>'ANALYSE - ERP =&gt; SOUS-SEGMENT'!$JL$49</f>
        <v>9.7999999999999997E-3</v>
      </c>
      <c r="L71" s="787">
        <f>'ANALYSE - ERP =&gt; SOUS-SEGMENT'!$JM$49</f>
        <v>0</v>
      </c>
      <c r="N71" s="787">
        <f>'ANALYSE - ERP =&gt; SOUS-SEGMENT'!$JN$49</f>
        <v>2.0299999999999999E-2</v>
      </c>
      <c r="O71" s="787">
        <f>'ANALYSE - ERP =&gt; SOUS-SEGMENT'!$JO$49</f>
        <v>0.47510000000000002</v>
      </c>
      <c r="P71" s="787">
        <f>'ANALYSE - ERP =&gt; SOUS-SEGMENT'!$JP$49</f>
        <v>0.4703</v>
      </c>
      <c r="Q71" s="787">
        <f>'ANALYSE - ERP =&gt; SOUS-SEGMENT'!$JQ$49</f>
        <v>3.4299999999999997E-2</v>
      </c>
      <c r="R71" s="787">
        <f>'ANALYSE - ERP =&gt; SOUS-SEGMENT'!$JR$49</f>
        <v>0</v>
      </c>
      <c r="T71" s="430">
        <f>'ANALYSE - ERP =&gt; SOUS-SEGMENT'!$Q$49</f>
        <v>0</v>
      </c>
    </row>
    <row r="72" spans="1:20" ht="15" customHeight="1">
      <c r="A72" s="26">
        <v>69</v>
      </c>
      <c r="B72" s="26">
        <v>67</v>
      </c>
      <c r="C72" s="422">
        <f>'ANALYSE - ERP =&gt; SOUS-SEGMENT'!$A$50</f>
        <v>43</v>
      </c>
      <c r="D72" s="408" t="str">
        <f>'ANALYSE - ERP =&gt; SOUS-SEGMENT'!$B$50</f>
        <v>Santé &amp; Médico-social</v>
      </c>
      <c r="E72" s="408" t="str">
        <f>'ANALYSE - ERP =&gt; SOUS-SEGMENT'!$C$50</f>
        <v>Santé spécialisée</v>
      </c>
      <c r="F72" s="408" t="str">
        <f>'ANALYSE - ERP =&gt; SOUS-SEGMENT'!$D$50</f>
        <v>Centres de rééducation</v>
      </c>
      <c r="H72" s="787">
        <f>'ANALYSE - ERP =&gt; SOUS-SEGMENT'!$JI$50</f>
        <v>0</v>
      </c>
      <c r="I72" s="787">
        <f>'ANALYSE - ERP =&gt; SOUS-SEGMENT'!$JJ$50</f>
        <v>0.2475</v>
      </c>
      <c r="J72" s="787">
        <f>'ANALYSE - ERP =&gt; SOUS-SEGMENT'!$JK$50</f>
        <v>0.56769999999999998</v>
      </c>
      <c r="K72" s="787">
        <f>'ANALYSE - ERP =&gt; SOUS-SEGMENT'!$JL$50</f>
        <v>0.18479999999999999</v>
      </c>
      <c r="L72" s="787">
        <f>'ANALYSE - ERP =&gt; SOUS-SEGMENT'!$JM$50</f>
        <v>0</v>
      </c>
      <c r="N72" s="787">
        <f>'ANALYSE - ERP =&gt; SOUS-SEGMENT'!$JN$50</f>
        <v>0</v>
      </c>
      <c r="O72" s="787">
        <f>'ANALYSE - ERP =&gt; SOUS-SEGMENT'!$JO$50</f>
        <v>0.1288</v>
      </c>
      <c r="P72" s="787">
        <f>'ANALYSE - ERP =&gt; SOUS-SEGMENT'!$JP$50</f>
        <v>0.58460000000000001</v>
      </c>
      <c r="Q72" s="787">
        <f>'ANALYSE - ERP =&gt; SOUS-SEGMENT'!$JQ$50</f>
        <v>0.28660000000000002</v>
      </c>
      <c r="R72" s="787">
        <f>'ANALYSE - ERP =&gt; SOUS-SEGMENT'!$JR$50</f>
        <v>0</v>
      </c>
      <c r="T72" s="430">
        <f>'ANALYSE - ERP =&gt; SOUS-SEGMENT'!$Q$50</f>
        <v>0</v>
      </c>
    </row>
    <row r="73" spans="1:20" s="45" customFormat="1" ht="15" customHeight="1">
      <c r="A73" s="26">
        <v>70</v>
      </c>
      <c r="B73" s="26">
        <v>69</v>
      </c>
      <c r="C73" s="422">
        <f>'ANALYSE - ERP =&gt; SOUS-SEGMENT'!$A$138</f>
        <v>131</v>
      </c>
      <c r="D73" s="410" t="str">
        <f>'ANALYSE - ERP =&gt; SOUS-SEGMENT'!$B$138</f>
        <v>Sécurité &amp; Justice</v>
      </c>
      <c r="E73" s="410" t="str">
        <f>'ANALYSE - ERP =&gt; SOUS-SEGMENT'!$C$138</f>
        <v>Forces armées</v>
      </c>
      <c r="F73" s="410" t="str">
        <f>'ANALYSE - ERP =&gt; SOUS-SEGMENT'!$D$138</f>
        <v>Salles de conférence, auditoriums et espaces événementiels ouverts au public</v>
      </c>
      <c r="G73" s="685"/>
      <c r="H73" s="787">
        <f>'ANALYSE - ERP =&gt; SOUS-SEGMENT'!$JI$138</f>
        <v>3.8399999999999997E-2</v>
      </c>
      <c r="I73" s="787">
        <f>'ANALYSE - ERP =&gt; SOUS-SEGMENT'!$JJ$138</f>
        <v>0.45979999999999999</v>
      </c>
      <c r="J73" s="787">
        <f>'ANALYSE - ERP =&gt; SOUS-SEGMENT'!$JK$138</f>
        <v>0.43319999999999997</v>
      </c>
      <c r="K73" s="787">
        <f>'ANALYSE - ERP =&gt; SOUS-SEGMENT'!$JL$138</f>
        <v>6.8199999999999997E-2</v>
      </c>
      <c r="L73" s="787">
        <f>'ANALYSE - ERP =&gt; SOUS-SEGMENT'!$JM$138</f>
        <v>4.0000000000000002E-4</v>
      </c>
      <c r="M73" s="685"/>
      <c r="N73" s="787">
        <f>'ANALYSE - ERP =&gt; SOUS-SEGMENT'!$JN$138</f>
        <v>0</v>
      </c>
      <c r="O73" s="787">
        <f>'ANALYSE - ERP =&gt; SOUS-SEGMENT'!$JO$138</f>
        <v>0.3291</v>
      </c>
      <c r="P73" s="787">
        <f>'ANALYSE - ERP =&gt; SOUS-SEGMENT'!$JP$138</f>
        <v>0.55149999999999999</v>
      </c>
      <c r="Q73" s="787">
        <f>'ANALYSE - ERP =&gt; SOUS-SEGMENT'!$JQ$138</f>
        <v>0.1177</v>
      </c>
      <c r="R73" s="787">
        <f>'ANALYSE - ERP =&gt; SOUS-SEGMENT'!$JR$138</f>
        <v>1.6999999999999999E-3</v>
      </c>
      <c r="S73" s="685"/>
      <c r="T73" s="430">
        <f>'ANALYSE - ERP =&gt; SOUS-SEGMENT'!$Q$138</f>
        <v>1</v>
      </c>
    </row>
    <row r="74" spans="1:20" ht="15" customHeight="1">
      <c r="A74" s="26">
        <v>71</v>
      </c>
      <c r="B74" s="26">
        <v>70</v>
      </c>
      <c r="C74" s="422">
        <f>'ANALYSE - ERP =&gt; SOUS-SEGMENT'!$A$59</f>
        <v>52</v>
      </c>
      <c r="D74" s="417" t="str">
        <f>'ANALYSE - ERP =&gt; SOUS-SEGMENT'!$B$59</f>
        <v>Santé &amp; Médico-social</v>
      </c>
      <c r="E74" s="417" t="str">
        <f>'ANALYSE - ERP =&gt; SOUS-SEGMENT'!$C$59</f>
        <v>Médico-social</v>
      </c>
      <c r="F74" s="417" t="str">
        <f>'ANALYSE - ERP =&gt; SOUS-SEGMENT'!$D$59</f>
        <v>USLD</v>
      </c>
      <c r="H74" s="787">
        <f>'ANALYSE - ERP =&gt; SOUS-SEGMENT'!$JI$59</f>
        <v>0</v>
      </c>
      <c r="I74" s="787">
        <f>'ANALYSE - ERP =&gt; SOUS-SEGMENT'!$JJ$59</f>
        <v>0.25700000000000001</v>
      </c>
      <c r="J74" s="787">
        <f>'ANALYSE - ERP =&gt; SOUS-SEGMENT'!$JK$59</f>
        <v>0.56499999999999995</v>
      </c>
      <c r="K74" s="787">
        <f>'ANALYSE - ERP =&gt; SOUS-SEGMENT'!$JL$59</f>
        <v>0.17799999999999999</v>
      </c>
      <c r="L74" s="787">
        <f>'ANALYSE - ERP =&gt; SOUS-SEGMENT'!$JM$59</f>
        <v>0</v>
      </c>
      <c r="N74" s="787">
        <f>'ANALYSE - ERP =&gt; SOUS-SEGMENT'!$JN$59</f>
        <v>0</v>
      </c>
      <c r="O74" s="787">
        <f>'ANALYSE - ERP =&gt; SOUS-SEGMENT'!$JO$59</f>
        <v>0.1714</v>
      </c>
      <c r="P74" s="787">
        <f>'ANALYSE - ERP =&gt; SOUS-SEGMENT'!$JP$59</f>
        <v>0.57310000000000005</v>
      </c>
      <c r="Q74" s="787">
        <f>'ANALYSE - ERP =&gt; SOUS-SEGMENT'!$JQ$59</f>
        <v>0.2555</v>
      </c>
      <c r="R74" s="787">
        <f>'ANALYSE - ERP =&gt; SOUS-SEGMENT'!$JR$59</f>
        <v>0</v>
      </c>
      <c r="T74" s="430">
        <f>'ANALYSE - ERP =&gt; SOUS-SEGMENT'!$Q$59</f>
        <v>1</v>
      </c>
    </row>
    <row r="75" spans="1:20" ht="15" customHeight="1">
      <c r="A75" s="26">
        <v>72</v>
      </c>
      <c r="B75" s="26">
        <v>73</v>
      </c>
      <c r="C75" s="422">
        <f>'ANALYSE - ERP =&gt; SOUS-SEGMENT'!$A$71</f>
        <v>64</v>
      </c>
      <c r="D75" s="410" t="str">
        <f>'ANALYSE - ERP =&gt; SOUS-SEGMENT'!$B$71</f>
        <v>Culture, Patrimoine &amp; Evénementiel</v>
      </c>
      <c r="E75" s="410" t="str">
        <f>'ANALYSE - ERP =&gt; SOUS-SEGMENT'!$C$71</f>
        <v>Expositions / salons</v>
      </c>
      <c r="F75" s="410" t="str">
        <f>'ANALYSE - ERP =&gt; SOUS-SEGMENT'!$D$71</f>
        <v>Halls d’exposition</v>
      </c>
      <c r="H75" s="787">
        <f>'ANALYSE - ERP =&gt; SOUS-SEGMENT'!$JI$71</f>
        <v>5.0000000000000001E-4</v>
      </c>
      <c r="I75" s="787">
        <f>'ANALYSE - ERP =&gt; SOUS-SEGMENT'!$JJ$71</f>
        <v>0.2261</v>
      </c>
      <c r="J75" s="787">
        <f>'ANALYSE - ERP =&gt; SOUS-SEGMENT'!$JK$71</f>
        <v>0.51539999999999997</v>
      </c>
      <c r="K75" s="787">
        <f>'ANALYSE - ERP =&gt; SOUS-SEGMENT'!$JL$71</f>
        <v>0.2379</v>
      </c>
      <c r="L75" s="787">
        <f>'ANALYSE - ERP =&gt; SOUS-SEGMENT'!$JM$71</f>
        <v>2.01E-2</v>
      </c>
      <c r="N75" s="787">
        <f>'ANALYSE - ERP =&gt; SOUS-SEGMENT'!$JN$71</f>
        <v>0</v>
      </c>
      <c r="O75" s="787">
        <f>'ANALYSE - ERP =&gt; SOUS-SEGMENT'!$JO$71</f>
        <v>0.1196</v>
      </c>
      <c r="P75" s="787">
        <f>'ANALYSE - ERP =&gt; SOUS-SEGMENT'!$JP$71</f>
        <v>0.47439999999999999</v>
      </c>
      <c r="Q75" s="787">
        <f>'ANALYSE - ERP =&gt; SOUS-SEGMENT'!$JQ$71</f>
        <v>0.35460000000000003</v>
      </c>
      <c r="R75" s="787">
        <f>'ANALYSE - ERP =&gt; SOUS-SEGMENT'!$JR$71</f>
        <v>5.1400000000000001E-2</v>
      </c>
      <c r="T75" s="430">
        <f>'ANALYSE - ERP =&gt; SOUS-SEGMENT'!$Q$71</f>
        <v>1</v>
      </c>
    </row>
    <row r="76" spans="1:20" ht="15" customHeight="1">
      <c r="A76" s="26">
        <v>73</v>
      </c>
      <c r="B76" s="26">
        <v>72</v>
      </c>
      <c r="C76" s="422">
        <f>'ANALYSE - ERP =&gt; SOUS-SEGMENT'!$A$132</f>
        <v>125</v>
      </c>
      <c r="D76" s="410" t="str">
        <f>'ANALYSE - ERP =&gt; SOUS-SEGMENT'!$B$132</f>
        <v>Sécurité &amp; Justice</v>
      </c>
      <c r="E76" s="410" t="str">
        <f>'ANALYSE - ERP =&gt; SOUS-SEGMENT'!$C$132</f>
        <v xml:space="preserve">Commissariats / postes de police </v>
      </c>
      <c r="F76" s="410" t="str">
        <f>'ANALYSE - ERP =&gt; SOUS-SEGMENT'!$D$132</f>
        <v>Locaux de sûreté, garde à vue et zones opérationnelles</v>
      </c>
      <c r="H76" s="787">
        <f>'ANALYSE - ERP =&gt; SOUS-SEGMENT'!$JI$132</f>
        <v>0.18959999999999999</v>
      </c>
      <c r="I76" s="787">
        <f>'ANALYSE - ERP =&gt; SOUS-SEGMENT'!$JJ$132</f>
        <v>0.63900000000000001</v>
      </c>
      <c r="J76" s="787">
        <f>'ANALYSE - ERP =&gt; SOUS-SEGMENT'!$JK$132</f>
        <v>0.1714</v>
      </c>
      <c r="K76" s="787">
        <f>'ANALYSE - ERP =&gt; SOUS-SEGMENT'!$JL$132</f>
        <v>0</v>
      </c>
      <c r="L76" s="787">
        <f>'ANALYSE - ERP =&gt; SOUS-SEGMENT'!$JM$132</f>
        <v>0</v>
      </c>
      <c r="N76" s="787">
        <f>'ANALYSE - ERP =&gt; SOUS-SEGMENT'!$JN$132</f>
        <v>0.10970000000000001</v>
      </c>
      <c r="O76" s="787">
        <f>'ANALYSE - ERP =&gt; SOUS-SEGMENT'!$JO$132</f>
        <v>0.61850000000000005</v>
      </c>
      <c r="P76" s="787">
        <f>'ANALYSE - ERP =&gt; SOUS-SEGMENT'!$JP$132</f>
        <v>0.27179999999999999</v>
      </c>
      <c r="Q76" s="787">
        <f>'ANALYSE - ERP =&gt; SOUS-SEGMENT'!$JQ$132</f>
        <v>0</v>
      </c>
      <c r="R76" s="787">
        <f>'ANALYSE - ERP =&gt; SOUS-SEGMENT'!$JR$132</f>
        <v>0</v>
      </c>
      <c r="T76" s="430">
        <f>'ANALYSE - ERP =&gt; SOUS-SEGMENT'!$Q$132</f>
        <v>1</v>
      </c>
    </row>
    <row r="77" spans="1:20" ht="15" customHeight="1">
      <c r="A77" s="26">
        <v>74</v>
      </c>
      <c r="B77" s="26">
        <v>75</v>
      </c>
      <c r="C77" s="422">
        <f>'ANALYSE - ERP =&gt; SOUS-SEGMENT'!$A$127</f>
        <v>120</v>
      </c>
      <c r="D77" s="410" t="str">
        <f>'ANALYSE - ERP =&gt; SOUS-SEGMENT'!$B$127</f>
        <v>Transport, Mobilité &amp; Stationnement</v>
      </c>
      <c r="E77" s="410" t="str">
        <f>'ANALYSE - ERP =&gt; SOUS-SEGMENT'!$C$127</f>
        <v>Transport / Mobilité</v>
      </c>
      <c r="F77" s="410" t="str">
        <f>'ANALYSE - ERP =&gt; SOUS-SEGMENT'!$D$127</f>
        <v>Terminaux maritimes / fluviaux</v>
      </c>
      <c r="H77" s="787">
        <f>'ANALYSE - ERP =&gt; SOUS-SEGMENT'!$JI$127</f>
        <v>0</v>
      </c>
      <c r="I77" s="787">
        <f>'ANALYSE - ERP =&gt; SOUS-SEGMENT'!$JJ$127</f>
        <v>0.1489</v>
      </c>
      <c r="J77" s="787">
        <f>'ANALYSE - ERP =&gt; SOUS-SEGMENT'!$JK$127</f>
        <v>0.5403</v>
      </c>
      <c r="K77" s="787">
        <f>'ANALYSE - ERP =&gt; SOUS-SEGMENT'!$JL$127</f>
        <v>0.3009</v>
      </c>
      <c r="L77" s="787">
        <f>'ANALYSE - ERP =&gt; SOUS-SEGMENT'!$JM$127</f>
        <v>9.9000000000000008E-3</v>
      </c>
      <c r="N77" s="787">
        <f>'ANALYSE - ERP =&gt; SOUS-SEGMENT'!$JN$127</f>
        <v>0</v>
      </c>
      <c r="O77" s="787">
        <f>'ANALYSE - ERP =&gt; SOUS-SEGMENT'!$JO$127</f>
        <v>7.2499999999999995E-2</v>
      </c>
      <c r="P77" s="787">
        <f>'ANALYSE - ERP =&gt; SOUS-SEGMENT'!$JP$127</f>
        <v>0.40189999999999998</v>
      </c>
      <c r="Q77" s="787">
        <f>'ANALYSE - ERP =&gt; SOUS-SEGMENT'!$JQ$127</f>
        <v>0.45579999999999998</v>
      </c>
      <c r="R77" s="787">
        <f>'ANALYSE - ERP =&gt; SOUS-SEGMENT'!$JR$127</f>
        <v>6.9800000000000001E-2</v>
      </c>
      <c r="T77" s="430">
        <f>'ANALYSE - ERP =&gt; SOUS-SEGMENT'!$Q$127</f>
        <v>1</v>
      </c>
    </row>
    <row r="78" spans="1:20" ht="15" customHeight="1">
      <c r="A78" s="26">
        <v>75</v>
      </c>
      <c r="B78" s="26">
        <v>74</v>
      </c>
      <c r="C78" s="422">
        <f>'ANALYSE - ERP =&gt; SOUS-SEGMENT'!$A$146</f>
        <v>139</v>
      </c>
      <c r="D78" s="410" t="str">
        <f>'ANALYSE - ERP =&gt; SOUS-SEGMENT'!$B$146</f>
        <v>Sécurité &amp; Justice</v>
      </c>
      <c r="E78" s="410" t="str">
        <f>'ANALYSE - ERP =&gt; SOUS-SEGMENT'!$C$146</f>
        <v>Tribunaux</v>
      </c>
      <c r="F78" s="410" t="str">
        <f>'ANALYSE - ERP =&gt; SOUS-SEGMENT'!$D$146</f>
        <v>Palais de justice et bâtiments judiciaires multi-usages</v>
      </c>
      <c r="H78" s="787">
        <f>'ANALYSE - ERP =&gt; SOUS-SEGMENT'!$JI$146</f>
        <v>2.9100000000000001E-2</v>
      </c>
      <c r="I78" s="787">
        <f>'ANALYSE - ERP =&gt; SOUS-SEGMENT'!$JJ$146</f>
        <v>0.38619999999999999</v>
      </c>
      <c r="J78" s="787">
        <f>'ANALYSE - ERP =&gt; SOUS-SEGMENT'!$JK$146</f>
        <v>0.47870000000000001</v>
      </c>
      <c r="K78" s="787">
        <f>'ANALYSE - ERP =&gt; SOUS-SEGMENT'!$JL$146</f>
        <v>0.1041</v>
      </c>
      <c r="L78" s="787">
        <f>'ANALYSE - ERP =&gt; SOUS-SEGMENT'!$JM$146</f>
        <v>1.9E-3</v>
      </c>
      <c r="N78" s="787">
        <f>'ANALYSE - ERP =&gt; SOUS-SEGMENT'!$JN$146</f>
        <v>0</v>
      </c>
      <c r="O78" s="787">
        <f>'ANALYSE - ERP =&gt; SOUS-SEGMENT'!$JO$146</f>
        <v>0.27360000000000001</v>
      </c>
      <c r="P78" s="787">
        <f>'ANALYSE - ERP =&gt; SOUS-SEGMENT'!$JP$146</f>
        <v>0.55179999999999996</v>
      </c>
      <c r="Q78" s="787">
        <f>'ANALYSE - ERP =&gt; SOUS-SEGMENT'!$JQ$146</f>
        <v>0.16900000000000001</v>
      </c>
      <c r="R78" s="787">
        <f>'ANALYSE - ERP =&gt; SOUS-SEGMENT'!$JR$146</f>
        <v>5.5999999999999999E-3</v>
      </c>
      <c r="T78" s="430">
        <f>'ANALYSE - ERP =&gt; SOUS-SEGMENT'!$Q$146</f>
        <v>1</v>
      </c>
    </row>
    <row r="79" spans="1:20" ht="15" customHeight="1">
      <c r="A79" s="26">
        <v>76</v>
      </c>
      <c r="B79" s="26">
        <v>76</v>
      </c>
      <c r="C79" s="422">
        <f>'ANALYSE - ERP =&gt; SOUS-SEGMENT'!$A$51</f>
        <v>44</v>
      </c>
      <c r="D79" s="410" t="str">
        <f>'ANALYSE - ERP =&gt; SOUS-SEGMENT'!$B$51</f>
        <v>Santé &amp; Médico-social</v>
      </c>
      <c r="E79" s="410" t="str">
        <f>'ANALYSE - ERP =&gt; SOUS-SEGMENT'!$C$51</f>
        <v>Santé spécialisée</v>
      </c>
      <c r="F79" s="410" t="str">
        <f>'ANALYSE - ERP =&gt; SOUS-SEGMENT'!$D$51</f>
        <v>Maternités</v>
      </c>
      <c r="H79" s="787">
        <f>'ANALYSE - ERP =&gt; SOUS-SEGMENT'!$JI$51</f>
        <v>0</v>
      </c>
      <c r="I79" s="787">
        <f>'ANALYSE - ERP =&gt; SOUS-SEGMENT'!$JJ$51</f>
        <v>0.20039999999999999</v>
      </c>
      <c r="J79" s="787">
        <f>'ANALYSE - ERP =&gt; SOUS-SEGMENT'!$JK$51</f>
        <v>0.58109999999999995</v>
      </c>
      <c r="K79" s="787">
        <f>'ANALYSE - ERP =&gt; SOUS-SEGMENT'!$JL$51</f>
        <v>0.2185</v>
      </c>
      <c r="L79" s="787">
        <f>'ANALYSE - ERP =&gt; SOUS-SEGMENT'!$JM$51</f>
        <v>0</v>
      </c>
      <c r="N79" s="787">
        <f>'ANALYSE - ERP =&gt; SOUS-SEGMENT'!$JN$51</f>
        <v>0</v>
      </c>
      <c r="O79" s="787">
        <f>'ANALYSE - ERP =&gt; SOUS-SEGMENT'!$JO$51</f>
        <v>9.7799999999999998E-2</v>
      </c>
      <c r="P79" s="787">
        <f>'ANALYSE - ERP =&gt; SOUS-SEGMENT'!$JP$51</f>
        <v>0.57630000000000003</v>
      </c>
      <c r="Q79" s="787">
        <f>'ANALYSE - ERP =&gt; SOUS-SEGMENT'!$JQ$51</f>
        <v>0.32590000000000002</v>
      </c>
      <c r="R79" s="787">
        <f>'ANALYSE - ERP =&gt; SOUS-SEGMENT'!$JR$51</f>
        <v>0</v>
      </c>
      <c r="T79" s="430">
        <f>'ANALYSE - ERP =&gt; SOUS-SEGMENT'!$Q$51</f>
        <v>0</v>
      </c>
    </row>
    <row r="80" spans="1:20" ht="15" customHeight="1">
      <c r="A80" s="26">
        <v>77</v>
      </c>
      <c r="B80" s="26">
        <v>77</v>
      </c>
      <c r="C80" s="422">
        <f>'ANALYSE - ERP =&gt; SOUS-SEGMENT'!$A$121</f>
        <v>114</v>
      </c>
      <c r="D80" s="411" t="str">
        <f>'ANALYSE - ERP =&gt; SOUS-SEGMENT'!$B$121</f>
        <v>Transport, Mobilité &amp; Stationnement</v>
      </c>
      <c r="E80" s="411" t="str">
        <f>'ANALYSE - ERP =&gt; SOUS-SEGMENT'!$C$121</f>
        <v>Transport / Mobilité</v>
      </c>
      <c r="F80" s="411" t="str">
        <f>'ANALYSE - ERP =&gt; SOUS-SEGMENT'!$D$121</f>
        <v>Aires de service - Autoroutes
(Hors Aires de repos)</v>
      </c>
      <c r="H80" s="787">
        <f>'ANALYSE - ERP =&gt; SOUS-SEGMENT'!$JI$121</f>
        <v>0.1351</v>
      </c>
      <c r="I80" s="787">
        <f>'ANALYSE - ERP =&gt; SOUS-SEGMENT'!$JJ$121</f>
        <v>0.56789999999999996</v>
      </c>
      <c r="J80" s="787">
        <f>'ANALYSE - ERP =&gt; SOUS-SEGMENT'!$JK$121</f>
        <v>0.22700000000000001</v>
      </c>
      <c r="K80" s="787">
        <f>'ANALYSE - ERP =&gt; SOUS-SEGMENT'!$JL$121</f>
        <v>0.04</v>
      </c>
      <c r="L80" s="787">
        <f>'ANALYSE - ERP =&gt; SOUS-SEGMENT'!$JM$121</f>
        <v>0.03</v>
      </c>
      <c r="N80" s="787">
        <f>'ANALYSE - ERP =&gt; SOUS-SEGMENT'!$JN$121</f>
        <v>5.1900000000000002E-2</v>
      </c>
      <c r="O80" s="787">
        <f>'ANALYSE - ERP =&gt; SOUS-SEGMENT'!$JO$121</f>
        <v>0.52680000000000005</v>
      </c>
      <c r="P80" s="787">
        <f>'ANALYSE - ERP =&gt; SOUS-SEGMENT'!$JP$121</f>
        <v>0.3513</v>
      </c>
      <c r="Q80" s="787">
        <f>'ANALYSE - ERP =&gt; SOUS-SEGMENT'!$JQ$121</f>
        <v>0.04</v>
      </c>
      <c r="R80" s="787">
        <f>'ANALYSE - ERP =&gt; SOUS-SEGMENT'!$JR$121</f>
        <v>0.03</v>
      </c>
      <c r="T80" s="430">
        <f>'ANALYSE - ERP =&gt; SOUS-SEGMENT'!$Q$121</f>
        <v>1</v>
      </c>
    </row>
    <row r="81" spans="1:20" ht="15" customHeight="1">
      <c r="A81" s="26">
        <v>78</v>
      </c>
      <c r="B81" s="26">
        <v>78</v>
      </c>
      <c r="C81" s="422">
        <f>'ANALYSE - ERP =&gt; SOUS-SEGMENT'!$A$93</f>
        <v>86</v>
      </c>
      <c r="D81" s="411" t="str">
        <f>'ANALYSE - ERP =&gt; SOUS-SEGMENT'!$B$93</f>
        <v>Hébergement Touristique</v>
      </c>
      <c r="E81" s="411" t="str">
        <f>'ANALYSE - ERP =&gt; SOUS-SEGMENT'!$C$93</f>
        <v>Hébergement Montagne</v>
      </c>
      <c r="F81" s="411" t="str">
        <f>'ANALYSE - ERP =&gt; SOUS-SEGMENT'!$D$93</f>
        <v>Refuges de montagne</v>
      </c>
      <c r="H81" s="787">
        <f>'ANALYSE - ERP =&gt; SOUS-SEGMENT'!$JI$93</f>
        <v>0.30249999999999999</v>
      </c>
      <c r="I81" s="787">
        <f>'ANALYSE - ERP =&gt; SOUS-SEGMENT'!$JJ$93</f>
        <v>0.61770000000000003</v>
      </c>
      <c r="J81" s="787">
        <f>'ANALYSE - ERP =&gt; SOUS-SEGMENT'!$JK$93</f>
        <v>7.9799999999999996E-2</v>
      </c>
      <c r="K81" s="787">
        <f>'ANALYSE - ERP =&gt; SOUS-SEGMENT'!$JL$93</f>
        <v>0</v>
      </c>
      <c r="L81" s="787">
        <f>'ANALYSE - ERP =&gt; SOUS-SEGMENT'!$JM$93</f>
        <v>0</v>
      </c>
      <c r="N81" s="787">
        <f>'ANALYSE - ERP =&gt; SOUS-SEGMENT'!$JN$93</f>
        <v>0.19570000000000001</v>
      </c>
      <c r="O81" s="787">
        <f>'ANALYSE - ERP =&gt; SOUS-SEGMENT'!$JO$93</f>
        <v>0.64859999999999995</v>
      </c>
      <c r="P81" s="787">
        <f>'ANALYSE - ERP =&gt; SOUS-SEGMENT'!$JP$93</f>
        <v>0.15570000000000001</v>
      </c>
      <c r="Q81" s="787">
        <f>'ANALYSE - ERP =&gt; SOUS-SEGMENT'!$JQ$93</f>
        <v>0</v>
      </c>
      <c r="R81" s="787">
        <f>'ANALYSE - ERP =&gt; SOUS-SEGMENT'!$JR$93</f>
        <v>0</v>
      </c>
      <c r="T81" s="430">
        <f>'ANALYSE - ERP =&gt; SOUS-SEGMENT'!$Q$93</f>
        <v>1</v>
      </c>
    </row>
    <row r="82" spans="1:20" ht="15" customHeight="1">
      <c r="A82" s="26">
        <v>79</v>
      </c>
      <c r="B82" s="26">
        <v>79</v>
      </c>
      <c r="C82" s="422">
        <f>'ANALYSE - ERP =&gt; SOUS-SEGMENT'!$A$117</f>
        <v>110</v>
      </c>
      <c r="D82" s="411" t="str">
        <f>'ANALYSE - ERP =&gt; SOUS-SEGMENT'!$B$117</f>
        <v>Culte, Vie civique &amp; Services publics</v>
      </c>
      <c r="E82" s="411" t="str">
        <f>'ANALYSE - ERP =&gt; SOUS-SEGMENT'!$C$117</f>
        <v>Culte</v>
      </c>
      <c r="F82" s="411" t="str">
        <f>'ANALYSE - ERP =&gt; SOUS-SEGMENT'!$D$117</f>
        <v>Synagogues et oratoires juifs ouverts au public</v>
      </c>
      <c r="H82" s="787">
        <f>'ANALYSE - ERP =&gt; SOUS-SEGMENT'!$JI$117</f>
        <v>0.15459999999999999</v>
      </c>
      <c r="I82" s="787">
        <f>'ANALYSE - ERP =&gt; SOUS-SEGMENT'!$JJ$117</f>
        <v>0.61470000000000002</v>
      </c>
      <c r="J82" s="787">
        <f>'ANALYSE - ERP =&gt; SOUS-SEGMENT'!$JK$117</f>
        <v>0.21909999999999999</v>
      </c>
      <c r="K82" s="787">
        <f>'ANALYSE - ERP =&gt; SOUS-SEGMENT'!$JL$117</f>
        <v>1.1599999999999999E-2</v>
      </c>
      <c r="L82" s="787">
        <f>'ANALYSE - ERP =&gt; SOUS-SEGMENT'!$JM$117</f>
        <v>0</v>
      </c>
      <c r="N82" s="787">
        <f>'ANALYSE - ERP =&gt; SOUS-SEGMENT'!$JN$117</f>
        <v>0.14050000000000001</v>
      </c>
      <c r="O82" s="787">
        <f>'ANALYSE - ERP =&gt; SOUS-SEGMENT'!$JO$117</f>
        <v>0.59740000000000004</v>
      </c>
      <c r="P82" s="787">
        <f>'ANALYSE - ERP =&gt; SOUS-SEGMENT'!$JP$117</f>
        <v>0.23319999999999999</v>
      </c>
      <c r="Q82" s="787">
        <f>'ANALYSE - ERP =&gt; SOUS-SEGMENT'!$JQ$117</f>
        <v>2.5700000000000001E-2</v>
      </c>
      <c r="R82" s="787">
        <f>'ANALYSE - ERP =&gt; SOUS-SEGMENT'!$JR$117</f>
        <v>3.2000000000000002E-3</v>
      </c>
      <c r="T82" s="430">
        <f>'ANALYSE - ERP =&gt; SOUS-SEGMENT'!$Q$117</f>
        <v>1</v>
      </c>
    </row>
    <row r="83" spans="1:20" ht="15" customHeight="1">
      <c r="A83" s="26">
        <v>80</v>
      </c>
      <c r="B83" s="26">
        <v>80</v>
      </c>
      <c r="C83" s="422">
        <f>'ANALYSE - ERP =&gt; SOUS-SEGMENT'!$A$137</f>
        <v>130</v>
      </c>
      <c r="D83" s="415" t="str">
        <f>'ANALYSE - ERP =&gt; SOUS-SEGMENT'!$B$137</f>
        <v>Sécurité &amp; Justice</v>
      </c>
      <c r="E83" s="415" t="str">
        <f>'ANALYSE - ERP =&gt; SOUS-SEGMENT'!$C$137</f>
        <v>Forces armées</v>
      </c>
      <c r="F83" s="415" t="str">
        <f>'ANALYSE - ERP =&gt; SOUS-SEGMENT'!$D$137</f>
        <v>Restaurants ou équipements sportifs ouverts au public sur emprise militaire</v>
      </c>
      <c r="H83" s="787">
        <f>'ANALYSE - ERP =&gt; SOUS-SEGMENT'!$JI$137</f>
        <v>3.8399999999999997E-2</v>
      </c>
      <c r="I83" s="787">
        <f>'ANALYSE - ERP =&gt; SOUS-SEGMENT'!$JJ$137</f>
        <v>0.45979999999999999</v>
      </c>
      <c r="J83" s="787">
        <f>'ANALYSE - ERP =&gt; SOUS-SEGMENT'!$JK$137</f>
        <v>0.43319999999999997</v>
      </c>
      <c r="K83" s="787">
        <f>'ANALYSE - ERP =&gt; SOUS-SEGMENT'!$JL$137</f>
        <v>6.8199999999999997E-2</v>
      </c>
      <c r="L83" s="787">
        <f>'ANALYSE - ERP =&gt; SOUS-SEGMENT'!$JM$137</f>
        <v>4.0000000000000002E-4</v>
      </c>
      <c r="N83" s="787">
        <f>'ANALYSE - ERP =&gt; SOUS-SEGMENT'!$JN$137</f>
        <v>0</v>
      </c>
      <c r="O83" s="787">
        <f>'ANALYSE - ERP =&gt; SOUS-SEGMENT'!$JO$137</f>
        <v>0.3342</v>
      </c>
      <c r="P83" s="787">
        <f>'ANALYSE - ERP =&gt; SOUS-SEGMENT'!$JP$137</f>
        <v>0.54890000000000005</v>
      </c>
      <c r="Q83" s="787">
        <f>'ANALYSE - ERP =&gt; SOUS-SEGMENT'!$JQ$137</f>
        <v>0.1153</v>
      </c>
      <c r="R83" s="787">
        <f>'ANALYSE - ERP =&gt; SOUS-SEGMENT'!$JR$137</f>
        <v>1.6000000000000001E-3</v>
      </c>
      <c r="T83" s="430">
        <f>'ANALYSE - ERP =&gt; SOUS-SEGMENT'!$Q$137</f>
        <v>1</v>
      </c>
    </row>
    <row r="84" spans="1:20" ht="15" customHeight="1">
      <c r="A84" s="26">
        <v>81</v>
      </c>
      <c r="B84" s="26">
        <v>81</v>
      </c>
      <c r="C84" s="422">
        <f>'ANALYSE - ERP =&gt; SOUS-SEGMENT'!$A$78</f>
        <v>71</v>
      </c>
      <c r="D84" s="417" t="str">
        <f>'ANALYSE - ERP =&gt; SOUS-SEGMENT'!$B$78</f>
        <v>Commerce, Restauration &amp; Loisirs</v>
      </c>
      <c r="E84" s="417" t="str">
        <f>'ANALYSE - ERP =&gt; SOUS-SEGMENT'!$C$78</f>
        <v>Restauration / boissons</v>
      </c>
      <c r="F84" s="417" t="str">
        <f>'ANALYSE - ERP =&gt; SOUS-SEGMENT'!$D$78</f>
        <v>Établissements flottants</v>
      </c>
      <c r="H84" s="787">
        <f>'ANALYSE - ERP =&gt; SOUS-SEGMENT'!$JI$78</f>
        <v>2.3699999999999999E-2</v>
      </c>
      <c r="I84" s="787">
        <f>'ANALYSE - ERP =&gt; SOUS-SEGMENT'!$JJ$78</f>
        <v>0.38779999999999998</v>
      </c>
      <c r="J84" s="787">
        <f>'ANALYSE - ERP =&gt; SOUS-SEGMENT'!$JK$78</f>
        <v>0.44130000000000003</v>
      </c>
      <c r="K84" s="787">
        <f>'ANALYSE - ERP =&gt; SOUS-SEGMENT'!$JL$78</f>
        <v>0.11509999999999999</v>
      </c>
      <c r="L84" s="787">
        <f>'ANALYSE - ERP =&gt; SOUS-SEGMENT'!$JM$78</f>
        <v>3.2099999999999997E-2</v>
      </c>
      <c r="N84" s="787">
        <f>'ANALYSE - ERP =&gt; SOUS-SEGMENT'!$JN$78</f>
        <v>0</v>
      </c>
      <c r="O84" s="787">
        <f>'ANALYSE - ERP =&gt; SOUS-SEGMENT'!$JO$78</f>
        <v>0.23799999999999999</v>
      </c>
      <c r="P84" s="787">
        <f>'ANALYSE - ERP =&gt; SOUS-SEGMENT'!$JP$78</f>
        <v>0.53169999999999995</v>
      </c>
      <c r="Q84" s="787">
        <f>'ANALYSE - ERP =&gt; SOUS-SEGMENT'!$JQ$78</f>
        <v>0.19159999999999999</v>
      </c>
      <c r="R84" s="787">
        <f>'ANALYSE - ERP =&gt; SOUS-SEGMENT'!$JR$78</f>
        <v>3.8699999999999998E-2</v>
      </c>
      <c r="T84" s="430">
        <f>'ANALYSE - ERP =&gt; SOUS-SEGMENT'!$Q$78</f>
        <v>1</v>
      </c>
    </row>
    <row r="85" spans="1:20" ht="15" customHeight="1">
      <c r="A85" s="26">
        <v>82</v>
      </c>
      <c r="B85" s="26">
        <v>82</v>
      </c>
      <c r="C85" s="422">
        <f>'ANALYSE - ERP =&gt; SOUS-SEGMENT'!$A$142</f>
        <v>135</v>
      </c>
      <c r="D85" s="415" t="str">
        <f>'ANALYSE - ERP =&gt; SOUS-SEGMENT'!$B$142</f>
        <v>Sécurité &amp; Justice</v>
      </c>
      <c r="E85" s="415" t="str">
        <f>'ANALYSE - ERP =&gt; SOUS-SEGMENT'!$C$142</f>
        <v>Univers carcéral</v>
      </c>
      <c r="F85" s="415" t="str">
        <f>'ANALYSE - ERP =&gt; SOUS-SEGMENT'!$D$142</f>
        <v>Centres pénitentiaires</v>
      </c>
      <c r="H85" s="787">
        <f>'ANALYSE - ERP =&gt; SOUS-SEGMENT'!$JI$142</f>
        <v>0.3871</v>
      </c>
      <c r="I85" s="787">
        <f>'ANALYSE - ERP =&gt; SOUS-SEGMENT'!$JJ$142</f>
        <v>0.56999999999999995</v>
      </c>
      <c r="J85" s="787">
        <f>'ANALYSE - ERP =&gt; SOUS-SEGMENT'!$JK$142</f>
        <v>4.2900000000000001E-2</v>
      </c>
      <c r="K85" s="787">
        <f>'ANALYSE - ERP =&gt; SOUS-SEGMENT'!$JL$142</f>
        <v>0</v>
      </c>
      <c r="L85" s="787">
        <f>'ANALYSE - ERP =&gt; SOUS-SEGMENT'!$JM$142</f>
        <v>0</v>
      </c>
      <c r="N85" s="787">
        <f>'ANALYSE - ERP =&gt; SOUS-SEGMENT'!$JN$142</f>
        <v>0.16689999999999999</v>
      </c>
      <c r="O85" s="787">
        <f>'ANALYSE - ERP =&gt; SOUS-SEGMENT'!$JO$142</f>
        <v>0.6885</v>
      </c>
      <c r="P85" s="787">
        <f>'ANALYSE - ERP =&gt; SOUS-SEGMENT'!$JP$142</f>
        <v>0.14460000000000001</v>
      </c>
      <c r="Q85" s="787">
        <f>'ANALYSE - ERP =&gt; SOUS-SEGMENT'!$JQ$142</f>
        <v>0</v>
      </c>
      <c r="R85" s="787">
        <f>'ANALYSE - ERP =&gt; SOUS-SEGMENT'!$JR$142</f>
        <v>0</v>
      </c>
      <c r="T85" s="430">
        <f>'ANALYSE - ERP =&gt; SOUS-SEGMENT'!$Q$142</f>
        <v>1</v>
      </c>
    </row>
    <row r="86" spans="1:20" ht="15" customHeight="1">
      <c r="A86" s="26">
        <v>83</v>
      </c>
      <c r="B86" s="26">
        <v>83</v>
      </c>
      <c r="C86" s="422">
        <f>'ANALYSE - ERP =&gt; SOUS-SEGMENT'!$A$90</f>
        <v>83</v>
      </c>
      <c r="D86" s="411" t="str">
        <f>'ANALYSE - ERP =&gt; SOUS-SEGMENT'!$B$90</f>
        <v>Hébergement Touristique</v>
      </c>
      <c r="E86" s="411" t="str">
        <f>'ANALYSE - ERP =&gt; SOUS-SEGMENT'!$C$90</f>
        <v>Hébergement Touristique</v>
      </c>
      <c r="F86" s="411" t="str">
        <f>'ANALYSE - ERP =&gt; SOUS-SEGMENT'!$D$90</f>
        <v>Auberges de jeunesse</v>
      </c>
      <c r="H86" s="787">
        <f>'ANALYSE - ERP =&gt; SOUS-SEGMENT'!$JI$90</f>
        <v>2.0899999999999998E-2</v>
      </c>
      <c r="I86" s="787">
        <f>'ANALYSE - ERP =&gt; SOUS-SEGMENT'!$JJ$90</f>
        <v>0.43930000000000002</v>
      </c>
      <c r="J86" s="787">
        <f>'ANALYSE - ERP =&gt; SOUS-SEGMENT'!$JK$90</f>
        <v>0.43580000000000002</v>
      </c>
      <c r="K86" s="787">
        <f>'ANALYSE - ERP =&gt; SOUS-SEGMENT'!$JL$90</f>
        <v>9.9400000000000002E-2</v>
      </c>
      <c r="L86" s="787">
        <f>'ANALYSE - ERP =&gt; SOUS-SEGMENT'!$JM$90</f>
        <v>4.5999999999999999E-3</v>
      </c>
      <c r="N86" s="787">
        <f>'ANALYSE - ERP =&gt; SOUS-SEGMENT'!$JN$90</f>
        <v>0</v>
      </c>
      <c r="O86" s="787">
        <f>'ANALYSE - ERP =&gt; SOUS-SEGMENT'!$JO$90</f>
        <v>0.40410000000000001</v>
      </c>
      <c r="P86" s="787">
        <f>'ANALYSE - ERP =&gt; SOUS-SEGMENT'!$JP$90</f>
        <v>0.45989999999999998</v>
      </c>
      <c r="Q86" s="787">
        <f>'ANALYSE - ERP =&gt; SOUS-SEGMENT'!$JQ$90</f>
        <v>0.1255</v>
      </c>
      <c r="R86" s="787">
        <f>'ANALYSE - ERP =&gt; SOUS-SEGMENT'!$JR$90</f>
        <v>1.0500000000000001E-2</v>
      </c>
      <c r="T86" s="430">
        <f>'ANALYSE - ERP =&gt; SOUS-SEGMENT'!$Q$90</f>
        <v>1</v>
      </c>
    </row>
    <row r="87" spans="1:20" ht="15" customHeight="1">
      <c r="A87" s="26">
        <v>84</v>
      </c>
      <c r="B87" s="26">
        <v>84</v>
      </c>
      <c r="C87" s="422">
        <f>'ANALYSE - ERP =&gt; SOUS-SEGMENT'!$A$92</f>
        <v>85</v>
      </c>
      <c r="D87" s="415" t="str">
        <f>'ANALYSE - ERP =&gt; SOUS-SEGMENT'!$B$92</f>
        <v>Hébergement Touristique</v>
      </c>
      <c r="E87" s="415" t="str">
        <f>'ANALYSE - ERP =&gt; SOUS-SEGMENT'!$C$92</f>
        <v>Hébergement Montagne</v>
      </c>
      <c r="F87" s="415" t="str">
        <f>'ANALYSE - ERP =&gt; SOUS-SEGMENT'!$D$92</f>
        <v>Hôtels-restaurants d’altitude</v>
      </c>
      <c r="H87" s="787">
        <f>'ANALYSE - ERP =&gt; SOUS-SEGMENT'!$JI$92</f>
        <v>0</v>
      </c>
      <c r="I87" s="787">
        <f>'ANALYSE - ERP =&gt; SOUS-SEGMENT'!$JJ$92</f>
        <v>2.0400000000000001E-2</v>
      </c>
      <c r="J87" s="787">
        <f>'ANALYSE - ERP =&gt; SOUS-SEGMENT'!$JK$92</f>
        <v>0.4022</v>
      </c>
      <c r="K87" s="787">
        <f>'ANALYSE - ERP =&gt; SOUS-SEGMENT'!$JL$92</f>
        <v>0.45479999999999998</v>
      </c>
      <c r="L87" s="787">
        <f>'ANALYSE - ERP =&gt; SOUS-SEGMENT'!$JM$92</f>
        <v>0.1226</v>
      </c>
      <c r="N87" s="787">
        <f>'ANALYSE - ERP =&gt; SOUS-SEGMENT'!$JN$92</f>
        <v>0</v>
      </c>
      <c r="O87" s="787">
        <f>'ANALYSE - ERP =&gt; SOUS-SEGMENT'!$JO$92</f>
        <v>0</v>
      </c>
      <c r="P87" s="787">
        <f>'ANALYSE - ERP =&gt; SOUS-SEGMENT'!$JP$92</f>
        <v>0.2949</v>
      </c>
      <c r="Q87" s="787">
        <f>'ANALYSE - ERP =&gt; SOUS-SEGMENT'!$JQ$92</f>
        <v>0.50170000000000003</v>
      </c>
      <c r="R87" s="787">
        <f>'ANALYSE - ERP =&gt; SOUS-SEGMENT'!$JR$92</f>
        <v>0.2034</v>
      </c>
      <c r="T87" s="430">
        <f>'ANALYSE - ERP =&gt; SOUS-SEGMENT'!$Q$92</f>
        <v>1</v>
      </c>
    </row>
    <row r="88" spans="1:20" ht="15" customHeight="1">
      <c r="A88" s="26">
        <v>85</v>
      </c>
      <c r="B88" s="26">
        <v>85</v>
      </c>
      <c r="C88" s="422">
        <f>'ANALYSE - ERP =&gt; SOUS-SEGMENT'!$A$149</f>
        <v>142</v>
      </c>
      <c r="D88" s="417" t="str">
        <f>'ANALYSE - ERP =&gt; SOUS-SEGMENT'!$B$149</f>
        <v>Sécurité &amp; Justice</v>
      </c>
      <c r="E88" s="417" t="str">
        <f>'ANALYSE - ERP =&gt; SOUS-SEGMENT'!$C$149</f>
        <v>Tribunaux</v>
      </c>
      <c r="F88" s="417" t="str">
        <f>'ANALYSE - ERP =&gt; SOUS-SEGMENT'!$D$149</f>
        <v>Conseils de prud’hommes autonomes</v>
      </c>
      <c r="H88" s="787">
        <f>'ANALYSE - ERP =&gt; SOUS-SEGMENT'!$JI$149</f>
        <v>4.41E-2</v>
      </c>
      <c r="I88" s="787">
        <f>'ANALYSE - ERP =&gt; SOUS-SEGMENT'!$JJ$149</f>
        <v>0.41899999999999998</v>
      </c>
      <c r="J88" s="787">
        <f>'ANALYSE - ERP =&gt; SOUS-SEGMENT'!$JK$149</f>
        <v>0.44640000000000002</v>
      </c>
      <c r="K88" s="787">
        <f>'ANALYSE - ERP =&gt; SOUS-SEGMENT'!$JL$149</f>
        <v>8.9200000000000002E-2</v>
      </c>
      <c r="L88" s="787">
        <f>'ANALYSE - ERP =&gt; SOUS-SEGMENT'!$JM$149</f>
        <v>1.2999999999999999E-3</v>
      </c>
      <c r="N88" s="787">
        <f>'ANALYSE - ERP =&gt; SOUS-SEGMENT'!$JN$149</f>
        <v>1.6299999999999999E-2</v>
      </c>
      <c r="O88" s="787">
        <f>'ANALYSE - ERP =&gt; SOUS-SEGMENT'!$JO$149</f>
        <v>0.30840000000000001</v>
      </c>
      <c r="P88" s="787">
        <f>'ANALYSE - ERP =&gt; SOUS-SEGMENT'!$JP$149</f>
        <v>0.50800000000000001</v>
      </c>
      <c r="Q88" s="787">
        <f>'ANALYSE - ERP =&gt; SOUS-SEGMENT'!$JQ$149</f>
        <v>0.16039999999999999</v>
      </c>
      <c r="R88" s="787">
        <f>'ANALYSE - ERP =&gt; SOUS-SEGMENT'!$JR$149</f>
        <v>6.8999999999999999E-3</v>
      </c>
      <c r="T88" s="430">
        <f>'ANALYSE - ERP =&gt; SOUS-SEGMENT'!$Q$149</f>
        <v>1</v>
      </c>
    </row>
    <row r="89" spans="1:20" ht="15" customHeight="1">
      <c r="A89" s="26">
        <v>86</v>
      </c>
      <c r="B89" s="26">
        <v>86</v>
      </c>
      <c r="C89" s="422">
        <f>'ANALYSE - ERP =&gt; SOUS-SEGMENT'!$A$43</f>
        <v>36</v>
      </c>
      <c r="D89" s="411" t="str">
        <f>'ANALYSE - ERP =&gt; SOUS-SEGMENT'!$B$43</f>
        <v>Santé &amp; Médico-social</v>
      </c>
      <c r="E89" s="411" t="str">
        <f>'ANALYSE - ERP =&gt; SOUS-SEGMENT'!$C$43</f>
        <v>Santé hospitalière</v>
      </c>
      <c r="F89" s="411" t="str">
        <f>'ANALYSE - ERP =&gt; SOUS-SEGMENT'!$D$43</f>
        <v>Hôpitaux universitaires / CHU</v>
      </c>
      <c r="H89" s="787">
        <f>'ANALYSE - ERP =&gt; SOUS-SEGMENT'!$JI$43</f>
        <v>1.09E-2</v>
      </c>
      <c r="I89" s="787">
        <f>'ANALYSE - ERP =&gt; SOUS-SEGMENT'!$JJ$43</f>
        <v>0.38319999999999999</v>
      </c>
      <c r="J89" s="787">
        <f>'ANALYSE - ERP =&gt; SOUS-SEGMENT'!$JK$43</f>
        <v>0.5323</v>
      </c>
      <c r="K89" s="787">
        <f>'ANALYSE - ERP =&gt; SOUS-SEGMENT'!$JL$43</f>
        <v>7.3599999999999999E-2</v>
      </c>
      <c r="L89" s="787">
        <f>'ANALYSE - ERP =&gt; SOUS-SEGMENT'!$JM$43</f>
        <v>0</v>
      </c>
      <c r="N89" s="787">
        <f>'ANALYSE - ERP =&gt; SOUS-SEGMENT'!$JN$43</f>
        <v>0</v>
      </c>
      <c r="O89" s="787">
        <f>'ANALYSE - ERP =&gt; SOUS-SEGMENT'!$JO$43</f>
        <v>0.22900000000000001</v>
      </c>
      <c r="P89" s="787">
        <f>'ANALYSE - ERP =&gt; SOUS-SEGMENT'!$JP$43</f>
        <v>0.60499999999999998</v>
      </c>
      <c r="Q89" s="787">
        <f>'ANALYSE - ERP =&gt; SOUS-SEGMENT'!$JQ$43</f>
        <v>0.16600000000000001</v>
      </c>
      <c r="R89" s="787">
        <f>'ANALYSE - ERP =&gt; SOUS-SEGMENT'!$JR$43</f>
        <v>0</v>
      </c>
      <c r="T89" s="430">
        <f>'ANALYSE - ERP =&gt; SOUS-SEGMENT'!$Q$43</f>
        <v>1</v>
      </c>
    </row>
    <row r="90" spans="1:20" ht="15" customHeight="1">
      <c r="A90" s="26">
        <v>87</v>
      </c>
      <c r="B90" s="26">
        <v>87</v>
      </c>
      <c r="C90" s="422" t="e">
        <f>'ANALYSE - ERP =&gt; SOUS-SEGMENT'!#REF!</f>
        <v>#REF!</v>
      </c>
      <c r="D90" s="415" t="e">
        <f>'ANALYSE - ERP =&gt; SOUS-SEGMENT'!#REF!</f>
        <v>#REF!</v>
      </c>
      <c r="E90" s="415" t="e">
        <f>'ANALYSE - ERP =&gt; SOUS-SEGMENT'!#REF!</f>
        <v>#REF!</v>
      </c>
      <c r="F90" s="415" t="e">
        <f>'ANALYSE - ERP =&gt; SOUS-SEGMENT'!#REF!</f>
        <v>#REF!</v>
      </c>
      <c r="H90" s="787" t="e">
        <f>'ANALYSE - ERP =&gt; SOUS-SEGMENT'!#REF!</f>
        <v>#REF!</v>
      </c>
      <c r="I90" s="787" t="e">
        <f>'ANALYSE - ERP =&gt; SOUS-SEGMENT'!#REF!</f>
        <v>#REF!</v>
      </c>
      <c r="J90" s="787" t="e">
        <f>'ANALYSE - ERP =&gt; SOUS-SEGMENT'!#REF!</f>
        <v>#REF!</v>
      </c>
      <c r="K90" s="787" t="e">
        <f>'ANALYSE - ERP =&gt; SOUS-SEGMENT'!#REF!</f>
        <v>#REF!</v>
      </c>
      <c r="L90" s="787" t="e">
        <f>'ANALYSE - ERP =&gt; SOUS-SEGMENT'!#REF!</f>
        <v>#REF!</v>
      </c>
      <c r="N90" s="787" t="e">
        <f>'ANALYSE - ERP =&gt; SOUS-SEGMENT'!#REF!</f>
        <v>#REF!</v>
      </c>
      <c r="O90" s="787" t="e">
        <f>'ANALYSE - ERP =&gt; SOUS-SEGMENT'!#REF!</f>
        <v>#REF!</v>
      </c>
      <c r="P90" s="787" t="e">
        <f>'ANALYSE - ERP =&gt; SOUS-SEGMENT'!#REF!</f>
        <v>#REF!</v>
      </c>
      <c r="Q90" s="787" t="e">
        <f>'ANALYSE - ERP =&gt; SOUS-SEGMENT'!#REF!</f>
        <v>#REF!</v>
      </c>
      <c r="R90" s="787" t="e">
        <f>'ANALYSE - ERP =&gt; SOUS-SEGMENT'!#REF!</f>
        <v>#REF!</v>
      </c>
      <c r="T90" s="430" t="e">
        <f>'ANALYSE - ERP =&gt; SOUS-SEGMENT'!#REF!</f>
        <v>#REF!</v>
      </c>
    </row>
    <row r="91" spans="1:20" ht="15" customHeight="1">
      <c r="A91" s="26">
        <v>88</v>
      </c>
      <c r="B91" s="26">
        <v>89</v>
      </c>
      <c r="C91" s="422">
        <f>'ANALYSE - ERP =&gt; SOUS-SEGMENT'!$A$147</f>
        <v>140</v>
      </c>
      <c r="D91" s="415" t="str">
        <f>'ANALYSE - ERP =&gt; SOUS-SEGMENT'!$B$147</f>
        <v>Sécurité &amp; Justice</v>
      </c>
      <c r="E91" s="415" t="str">
        <f>'ANALYSE - ERP =&gt; SOUS-SEGMENT'!$C$147</f>
        <v>Tribunaux</v>
      </c>
      <c r="F91" s="415" t="str">
        <f>'ANALYSE - ERP =&gt; SOUS-SEGMENT'!$D$147</f>
        <v>Maisons de justice et du droit</v>
      </c>
      <c r="H91" s="787">
        <f>'ANALYSE - ERP =&gt; SOUS-SEGMENT'!$JI$147</f>
        <v>5.2600000000000001E-2</v>
      </c>
      <c r="I91" s="787">
        <f>'ANALYSE - ERP =&gt; SOUS-SEGMENT'!$JJ$147</f>
        <v>0.43419999999999997</v>
      </c>
      <c r="J91" s="787">
        <f>'ANALYSE - ERP =&gt; SOUS-SEGMENT'!$JK$147</f>
        <v>0.42949999999999999</v>
      </c>
      <c r="K91" s="787">
        <f>'ANALYSE - ERP =&gt; SOUS-SEGMENT'!$JL$147</f>
        <v>8.2600000000000007E-2</v>
      </c>
      <c r="L91" s="787">
        <f>'ANALYSE - ERP =&gt; SOUS-SEGMENT'!$JM$147</f>
        <v>1.1000000000000001E-3</v>
      </c>
      <c r="N91" s="787">
        <f>'ANALYSE - ERP =&gt; SOUS-SEGMENT'!$JN$147</f>
        <v>1.6500000000000001E-2</v>
      </c>
      <c r="O91" s="787">
        <f>'ANALYSE - ERP =&gt; SOUS-SEGMENT'!$JO$147</f>
        <v>0.30890000000000001</v>
      </c>
      <c r="P91" s="787">
        <f>'ANALYSE - ERP =&gt; SOUS-SEGMENT'!$JP$147</f>
        <v>0.50760000000000005</v>
      </c>
      <c r="Q91" s="787">
        <f>'ANALYSE - ERP =&gt; SOUS-SEGMENT'!$JQ$147</f>
        <v>0.16009999999999999</v>
      </c>
      <c r="R91" s="787">
        <f>'ANALYSE - ERP =&gt; SOUS-SEGMENT'!$JR$147</f>
        <v>6.8999999999999999E-3</v>
      </c>
      <c r="T91" s="430">
        <f>'ANALYSE - ERP =&gt; SOUS-SEGMENT'!$Q$147</f>
        <v>1</v>
      </c>
    </row>
    <row r="92" spans="1:20" ht="15" customHeight="1">
      <c r="A92" s="26">
        <v>89</v>
      </c>
      <c r="B92" s="26">
        <v>88</v>
      </c>
      <c r="C92" s="422">
        <f>'ANALYSE - ERP =&gt; SOUS-SEGMENT'!$A$139</f>
        <v>132</v>
      </c>
      <c r="D92" s="415" t="str">
        <f>'ANALYSE - ERP =&gt; SOUS-SEGMENT'!$B$139</f>
        <v>Sécurité &amp; Justice</v>
      </c>
      <c r="E92" s="415" t="str">
        <f>'ANALYSE - ERP =&gt; SOUS-SEGMENT'!$C$139</f>
        <v>Univers carcéral</v>
      </c>
      <c r="F92" s="415" t="str">
        <f>'ANALYSE - ERP =&gt; SOUS-SEGMENT'!$D$139</f>
        <v>Maisons d’arrêt</v>
      </c>
      <c r="H92" s="787">
        <f>'ANALYSE - ERP =&gt; SOUS-SEGMENT'!$JI$139</f>
        <v>0.32829999999999998</v>
      </c>
      <c r="I92" s="787">
        <f>'ANALYSE - ERP =&gt; SOUS-SEGMENT'!$JJ$139</f>
        <v>0.61319999999999997</v>
      </c>
      <c r="J92" s="787">
        <f>'ANALYSE - ERP =&gt; SOUS-SEGMENT'!$JK$139</f>
        <v>5.8500000000000003E-2</v>
      </c>
      <c r="K92" s="787">
        <f>'ANALYSE - ERP =&gt; SOUS-SEGMENT'!$JL$139</f>
        <v>0</v>
      </c>
      <c r="L92" s="787">
        <f>'ANALYSE - ERP =&gt; SOUS-SEGMENT'!$JM$139</f>
        <v>0</v>
      </c>
      <c r="N92" s="787">
        <f>'ANALYSE - ERP =&gt; SOUS-SEGMENT'!$JN$139</f>
        <v>0.21129999999999999</v>
      </c>
      <c r="O92" s="787">
        <f>'ANALYSE - ERP =&gt; SOUS-SEGMENT'!$JO$139</f>
        <v>0.63600000000000001</v>
      </c>
      <c r="P92" s="787">
        <f>'ANALYSE - ERP =&gt; SOUS-SEGMENT'!$JP$139</f>
        <v>0.1527</v>
      </c>
      <c r="Q92" s="787">
        <f>'ANALYSE - ERP =&gt; SOUS-SEGMENT'!$JQ$139</f>
        <v>0</v>
      </c>
      <c r="R92" s="787">
        <f>'ANALYSE - ERP =&gt; SOUS-SEGMENT'!$JR$139</f>
        <v>0</v>
      </c>
      <c r="T92" s="430">
        <f>'ANALYSE - ERP =&gt; SOUS-SEGMENT'!$Q$139</f>
        <v>1</v>
      </c>
    </row>
    <row r="93" spans="1:20" ht="15" customHeight="1">
      <c r="A93" s="26">
        <v>90</v>
      </c>
      <c r="B93" s="26">
        <v>90</v>
      </c>
      <c r="C93" s="422">
        <f>'ANALYSE - ERP =&gt; SOUS-SEGMENT'!$A$148</f>
        <v>141</v>
      </c>
      <c r="D93" s="416" t="str">
        <f>'ANALYSE - ERP =&gt; SOUS-SEGMENT'!$B$148</f>
        <v>Sécurité &amp; Justice</v>
      </c>
      <c r="E93" s="416" t="str">
        <f>'ANALYSE - ERP =&gt; SOUS-SEGMENT'!$C$148</f>
        <v>Tribunaux</v>
      </c>
      <c r="F93" s="416" t="str">
        <f>'ANALYSE - ERP =&gt; SOUS-SEGMENT'!$D$148</f>
        <v>Tribunaux de commerce autonomes</v>
      </c>
      <c r="H93" s="787">
        <f>'ANALYSE - ERP =&gt; SOUS-SEGMENT'!$JI$148</f>
        <v>4.0099999999999997E-2</v>
      </c>
      <c r="I93" s="787">
        <f>'ANALYSE - ERP =&gt; SOUS-SEGMENT'!$JJ$148</f>
        <v>0.41099999999999998</v>
      </c>
      <c r="J93" s="787">
        <f>'ANALYSE - ERP =&gt; SOUS-SEGMENT'!$JK$148</f>
        <v>0.45490000000000003</v>
      </c>
      <c r="K93" s="787">
        <f>'ANALYSE - ERP =&gt; SOUS-SEGMENT'!$JL$148</f>
        <v>9.2600000000000002E-2</v>
      </c>
      <c r="L93" s="787">
        <f>'ANALYSE - ERP =&gt; SOUS-SEGMENT'!$JM$148</f>
        <v>1.4E-3</v>
      </c>
      <c r="N93" s="787">
        <f>'ANALYSE - ERP =&gt; SOUS-SEGMENT'!$JN$148</f>
        <v>1.38E-2</v>
      </c>
      <c r="O93" s="787">
        <f>'ANALYSE - ERP =&gt; SOUS-SEGMENT'!$JO$148</f>
        <v>0.30049999999999999</v>
      </c>
      <c r="P93" s="787">
        <f>'ANALYSE - ERP =&gt; SOUS-SEGMENT'!$JP$148</f>
        <v>0.51229999999999998</v>
      </c>
      <c r="Q93" s="787">
        <f>'ANALYSE - ERP =&gt; SOUS-SEGMENT'!$JQ$148</f>
        <v>0.16600000000000001</v>
      </c>
      <c r="R93" s="787">
        <f>'ANALYSE - ERP =&gt; SOUS-SEGMENT'!$JR$148</f>
        <v>7.4000000000000003E-3</v>
      </c>
      <c r="T93" s="430">
        <f>'ANALYSE - ERP =&gt; SOUS-SEGMENT'!$Q$148</f>
        <v>1</v>
      </c>
    </row>
    <row r="94" spans="1:20" ht="15" customHeight="1">
      <c r="A94" s="26">
        <v>91</v>
      </c>
      <c r="B94" s="26">
        <v>91</v>
      </c>
      <c r="C94" s="422">
        <f>'ANALYSE - ERP =&gt; SOUS-SEGMENT'!$A$136</f>
        <v>129</v>
      </c>
      <c r="D94" s="412" t="str">
        <f>'ANALYSE - ERP =&gt; SOUS-SEGMENT'!$B$136</f>
        <v>Sécurité &amp; Justice</v>
      </c>
      <c r="E94" s="412" t="str">
        <f>'ANALYSE - ERP =&gt; SOUS-SEGMENT'!$C$136</f>
        <v>Forces armées</v>
      </c>
      <c r="F94" s="412" t="str">
        <f>'ANALYSE - ERP =&gt; SOUS-SEGMENT'!$D$136</f>
        <v>Centres de recrutement et bureaux d’information</v>
      </c>
      <c r="H94" s="787">
        <f>'ANALYSE - ERP =&gt; SOUS-SEGMENT'!$JI$136</f>
        <v>4.7199999999999999E-2</v>
      </c>
      <c r="I94" s="787">
        <f>'ANALYSE - ERP =&gt; SOUS-SEGMENT'!$JJ$136</f>
        <v>0.4768</v>
      </c>
      <c r="J94" s="787">
        <f>'ANALYSE - ERP =&gt; SOUS-SEGMENT'!$JK$136</f>
        <v>0.41249999999999998</v>
      </c>
      <c r="K94" s="787">
        <f>'ANALYSE - ERP =&gt; SOUS-SEGMENT'!$JL$136</f>
        <v>6.3200000000000006E-2</v>
      </c>
      <c r="L94" s="787">
        <f>'ANALYSE - ERP =&gt; SOUS-SEGMENT'!$JM$136</f>
        <v>2.9999999999999997E-4</v>
      </c>
      <c r="N94" s="787">
        <f>'ANALYSE - ERP =&gt; SOUS-SEGMENT'!$JN$136</f>
        <v>9.5999999999999992E-3</v>
      </c>
      <c r="O94" s="787">
        <f>'ANALYSE - ERP =&gt; SOUS-SEGMENT'!$JO$136</f>
        <v>0.32769999999999999</v>
      </c>
      <c r="P94" s="787">
        <f>'ANALYSE - ERP =&gt; SOUS-SEGMENT'!$JP$136</f>
        <v>0.52459999999999996</v>
      </c>
      <c r="Q94" s="787">
        <f>'ANALYSE - ERP =&gt; SOUS-SEGMENT'!$JQ$136</f>
        <v>0.13469999999999999</v>
      </c>
      <c r="R94" s="787">
        <f>'ANALYSE - ERP =&gt; SOUS-SEGMENT'!$JR$136</f>
        <v>3.3999999999999998E-3</v>
      </c>
      <c r="T94" s="430">
        <f>'ANALYSE - ERP =&gt; SOUS-SEGMENT'!$Q$136</f>
        <v>1</v>
      </c>
    </row>
    <row r="95" spans="1:20" ht="15" customHeight="1">
      <c r="A95" s="26">
        <v>92</v>
      </c>
      <c r="B95" s="26">
        <v>92</v>
      </c>
      <c r="C95" s="422">
        <f>'ANALYSE - ERP =&gt; SOUS-SEGMENT'!$A$134</f>
        <v>127</v>
      </c>
      <c r="D95" s="417" t="str">
        <f>'ANALYSE - ERP =&gt; SOUS-SEGMENT'!$B$134</f>
        <v>Sécurité &amp; Justice</v>
      </c>
      <c r="E95" s="417" t="str">
        <f>'ANALYSE - ERP =&gt; SOUS-SEGMENT'!$C$134</f>
        <v xml:space="preserve">Commissariats / postes de police </v>
      </c>
      <c r="F95" s="417" t="str">
        <f>'ANALYSE - ERP =&gt; SOUS-SEGMENT'!$D$134</f>
        <v>Salles de réunion, de prévention ou de conférence ouvertes au public</v>
      </c>
      <c r="H95" s="787">
        <f>'ANALYSE - ERP =&gt; SOUS-SEGMENT'!$JI$134</f>
        <v>0.14810000000000001</v>
      </c>
      <c r="I95" s="787">
        <f>'ANALYSE - ERP =&gt; SOUS-SEGMENT'!$JJ$134</f>
        <v>0.59199999999999997</v>
      </c>
      <c r="J95" s="787">
        <f>'ANALYSE - ERP =&gt; SOUS-SEGMENT'!$JK$134</f>
        <v>0.25990000000000002</v>
      </c>
      <c r="K95" s="787">
        <f>'ANALYSE - ERP =&gt; SOUS-SEGMENT'!$JL$134</f>
        <v>0</v>
      </c>
      <c r="L95" s="787">
        <f>'ANALYSE - ERP =&gt; SOUS-SEGMENT'!$JM$134</f>
        <v>0</v>
      </c>
      <c r="N95" s="787">
        <f>'ANALYSE - ERP =&gt; SOUS-SEGMENT'!$JN$134</f>
        <v>8.3799999999999999E-2</v>
      </c>
      <c r="O95" s="787">
        <f>'ANALYSE - ERP =&gt; SOUS-SEGMENT'!$JO$134</f>
        <v>0.54769999999999996</v>
      </c>
      <c r="P95" s="787">
        <f>'ANALYSE - ERP =&gt; SOUS-SEGMENT'!$JP$134</f>
        <v>0.36849999999999999</v>
      </c>
      <c r="Q95" s="787">
        <f>'ANALYSE - ERP =&gt; SOUS-SEGMENT'!$JQ$134</f>
        <v>0</v>
      </c>
      <c r="R95" s="787">
        <f>'ANALYSE - ERP =&gt; SOUS-SEGMENT'!$JR$134</f>
        <v>0</v>
      </c>
      <c r="T95" s="430">
        <f>'ANALYSE - ERP =&gt; SOUS-SEGMENT'!$Q$134</f>
        <v>0</v>
      </c>
    </row>
    <row r="96" spans="1:20" ht="15" customHeight="1">
      <c r="A96" s="26">
        <v>93</v>
      </c>
      <c r="B96" s="26">
        <v>94</v>
      </c>
      <c r="C96" s="422">
        <f>'ANALYSE - ERP =&gt; SOUS-SEGMENT'!$A$144</f>
        <v>137</v>
      </c>
      <c r="D96" s="413" t="str">
        <f>'ANALYSE - ERP =&gt; SOUS-SEGMENT'!$B$144</f>
        <v>Sécurité &amp; Justice</v>
      </c>
      <c r="E96" s="413" t="str">
        <f>'ANALYSE - ERP =&gt; SOUS-SEGMENT'!$C$144</f>
        <v>Univers carcéral</v>
      </c>
      <c r="F96" s="413" t="str">
        <f>'ANALYSE - ERP =&gt; SOUS-SEGMENT'!$D$144</f>
        <v>Centres éducatifs fermés</v>
      </c>
      <c r="H96" s="787">
        <f>'ANALYSE - ERP =&gt; SOUS-SEGMENT'!$JI$144</f>
        <v>0.12659999999999999</v>
      </c>
      <c r="I96" s="787">
        <f>'ANALYSE - ERP =&gt; SOUS-SEGMENT'!$JJ$144</f>
        <v>0.57599999999999996</v>
      </c>
      <c r="J96" s="787">
        <f>'ANALYSE - ERP =&gt; SOUS-SEGMENT'!$JK$144</f>
        <v>0.28239999999999998</v>
      </c>
      <c r="K96" s="787">
        <f>'ANALYSE - ERP =&gt; SOUS-SEGMENT'!$JL$144</f>
        <v>1.49E-2</v>
      </c>
      <c r="L96" s="787">
        <f>'ANALYSE - ERP =&gt; SOUS-SEGMENT'!$JM$144</f>
        <v>1E-4</v>
      </c>
      <c r="N96" s="787">
        <f>'ANALYSE - ERP =&gt; SOUS-SEGMENT'!$JN$144</f>
        <v>3.4099999999999998E-2</v>
      </c>
      <c r="O96" s="787">
        <f>'ANALYSE - ERP =&gt; SOUS-SEGMENT'!$JO$144</f>
        <v>0.39760000000000001</v>
      </c>
      <c r="P96" s="787">
        <f>'ANALYSE - ERP =&gt; SOUS-SEGMENT'!$JP$144</f>
        <v>0.49959999999999999</v>
      </c>
      <c r="Q96" s="787">
        <f>'ANALYSE - ERP =&gt; SOUS-SEGMENT'!$JQ$144</f>
        <v>6.7699999999999996E-2</v>
      </c>
      <c r="R96" s="787">
        <f>'ANALYSE - ERP =&gt; SOUS-SEGMENT'!$JR$144</f>
        <v>1E-3</v>
      </c>
      <c r="T96" s="430">
        <f>'ANALYSE - ERP =&gt; SOUS-SEGMENT'!$Q$144</f>
        <v>1</v>
      </c>
    </row>
    <row r="97" spans="1:20" ht="15" customHeight="1">
      <c r="A97" s="26">
        <v>94</v>
      </c>
      <c r="B97" s="26">
        <v>93</v>
      </c>
      <c r="C97" s="422">
        <f>'ANALYSE - ERP =&gt; SOUS-SEGMENT'!$A$133</f>
        <v>126</v>
      </c>
      <c r="D97" s="417" t="str">
        <f>'ANALYSE - ERP =&gt; SOUS-SEGMENT'!$B$133</f>
        <v>Sécurité &amp; Justice</v>
      </c>
      <c r="E97" s="417" t="str">
        <f>'ANALYSE - ERP =&gt; SOUS-SEGMENT'!$C$133</f>
        <v xml:space="preserve">Commissariats / postes de police </v>
      </c>
      <c r="F97" s="417" t="str">
        <f>'ANALYSE - ERP =&gt; SOUS-SEGMENT'!$D$133</f>
        <v>Postes de proximité et antennes avec accueil public</v>
      </c>
      <c r="H97" s="787">
        <f>'ANALYSE - ERP =&gt; SOUS-SEGMENT'!$JI$133</f>
        <v>0.1555</v>
      </c>
      <c r="I97" s="787">
        <f>'ANALYSE - ERP =&gt; SOUS-SEGMENT'!$JJ$133</f>
        <v>0.59419999999999995</v>
      </c>
      <c r="J97" s="787">
        <f>'ANALYSE - ERP =&gt; SOUS-SEGMENT'!$JK$133</f>
        <v>0.25030000000000002</v>
      </c>
      <c r="K97" s="787">
        <f>'ANALYSE - ERP =&gt; SOUS-SEGMENT'!$JL$133</f>
        <v>0</v>
      </c>
      <c r="L97" s="787">
        <f>'ANALYSE - ERP =&gt; SOUS-SEGMENT'!$JM$133</f>
        <v>0</v>
      </c>
      <c r="N97" s="787">
        <f>'ANALYSE - ERP =&gt; SOUS-SEGMENT'!$JN$133</f>
        <v>9.1899999999999996E-2</v>
      </c>
      <c r="O97" s="787">
        <f>'ANALYSE - ERP =&gt; SOUS-SEGMENT'!$JO$133</f>
        <v>0.55679999999999996</v>
      </c>
      <c r="P97" s="787">
        <f>'ANALYSE - ERP =&gt; SOUS-SEGMENT'!$JP$133</f>
        <v>0.3513</v>
      </c>
      <c r="Q97" s="787">
        <f>'ANALYSE - ERP =&gt; SOUS-SEGMENT'!$JQ$133</f>
        <v>0</v>
      </c>
      <c r="R97" s="787">
        <f>'ANALYSE - ERP =&gt; SOUS-SEGMENT'!$JR$133</f>
        <v>0</v>
      </c>
      <c r="T97" s="430">
        <f>'ANALYSE - ERP =&gt; SOUS-SEGMENT'!$Q$133</f>
        <v>1</v>
      </c>
    </row>
    <row r="98" spans="1:20" ht="15" customHeight="1">
      <c r="A98" s="26">
        <v>95</v>
      </c>
      <c r="B98" s="26">
        <v>96</v>
      </c>
      <c r="C98" s="422">
        <f>'ANALYSE - ERP =&gt; SOUS-SEGMENT'!$A$47</f>
        <v>40</v>
      </c>
      <c r="D98" s="418" t="str">
        <f>'ANALYSE - ERP =&gt; SOUS-SEGMENT'!$B$47</f>
        <v>Santé &amp; Médico-social</v>
      </c>
      <c r="E98" s="418" t="str">
        <f>'ANALYSE - ERP =&gt; SOUS-SEGMENT'!$C$47</f>
        <v>Santé hospitalière</v>
      </c>
      <c r="F98" s="418" t="str">
        <f>'ANALYSE - ERP =&gt; SOUS-SEGMENT'!$D$47</f>
        <v>Hôpitaux d’instruction des armées et centres médicaux recevant du public</v>
      </c>
      <c r="H98" s="787">
        <f>'ANALYSE - ERP =&gt; SOUS-SEGMENT'!$JI$47</f>
        <v>4.6199999999999998E-2</v>
      </c>
      <c r="I98" s="787">
        <f>'ANALYSE - ERP =&gt; SOUS-SEGMENT'!$JJ$47</f>
        <v>0.42280000000000001</v>
      </c>
      <c r="J98" s="787">
        <f>'ANALYSE - ERP =&gt; SOUS-SEGMENT'!$JK$47</f>
        <v>0.44230000000000003</v>
      </c>
      <c r="K98" s="787">
        <f>'ANALYSE - ERP =&gt; SOUS-SEGMENT'!$JL$47</f>
        <v>8.7499999999999994E-2</v>
      </c>
      <c r="L98" s="787">
        <f>'ANALYSE - ERP =&gt; SOUS-SEGMENT'!$JM$47</f>
        <v>1.1999999999999999E-3</v>
      </c>
      <c r="N98" s="787">
        <f>'ANALYSE - ERP =&gt; SOUS-SEGMENT'!$JN$47</f>
        <v>2.5999999999999999E-3</v>
      </c>
      <c r="O98" s="787">
        <f>'ANALYSE - ERP =&gt; SOUS-SEGMENT'!$JO$47</f>
        <v>0.2999</v>
      </c>
      <c r="P98" s="787">
        <f>'ANALYSE - ERP =&gt; SOUS-SEGMENT'!$JP$47</f>
        <v>0.54159999999999997</v>
      </c>
      <c r="Q98" s="787">
        <f>'ANALYSE - ERP =&gt; SOUS-SEGMENT'!$JQ$47</f>
        <v>0.1515</v>
      </c>
      <c r="R98" s="787">
        <f>'ANALYSE - ERP =&gt; SOUS-SEGMENT'!$JR$47</f>
        <v>4.4000000000000003E-3</v>
      </c>
      <c r="T98" s="430">
        <f>'ANALYSE - ERP =&gt; SOUS-SEGMENT'!$Q$47</f>
        <v>1</v>
      </c>
    </row>
    <row r="99" spans="1:20" ht="15" customHeight="1">
      <c r="A99" s="26">
        <v>96</v>
      </c>
      <c r="B99" s="26">
        <v>95</v>
      </c>
      <c r="C99" s="422">
        <f>'ANALYSE - ERP =&gt; SOUS-SEGMENT'!$A$140</f>
        <v>133</v>
      </c>
      <c r="D99" s="417" t="str">
        <f>'ANALYSE - ERP =&gt; SOUS-SEGMENT'!$B$140</f>
        <v>Sécurité &amp; Justice</v>
      </c>
      <c r="E99" s="417" t="str">
        <f>'ANALYSE - ERP =&gt; SOUS-SEGMENT'!$C$140</f>
        <v>Univers carcéral</v>
      </c>
      <c r="F99" s="417" t="str">
        <f>'ANALYSE - ERP =&gt; SOUS-SEGMENT'!$D$140</f>
        <v>Centres de détention</v>
      </c>
      <c r="H99" s="787">
        <f>'ANALYSE - ERP =&gt; SOUS-SEGMENT'!$JI$140</f>
        <v>0.34110000000000001</v>
      </c>
      <c r="I99" s="787">
        <f>'ANALYSE - ERP =&gt; SOUS-SEGMENT'!$JJ$140</f>
        <v>0.57979999999999998</v>
      </c>
      <c r="J99" s="787">
        <f>'ANALYSE - ERP =&gt; SOUS-SEGMENT'!$JK$140</f>
        <v>7.9100000000000004E-2</v>
      </c>
      <c r="K99" s="787">
        <f>'ANALYSE - ERP =&gt; SOUS-SEGMENT'!$JL$140</f>
        <v>0</v>
      </c>
      <c r="L99" s="787">
        <f>'ANALYSE - ERP =&gt; SOUS-SEGMENT'!$JM$140</f>
        <v>0</v>
      </c>
      <c r="N99" s="787">
        <f>'ANALYSE - ERP =&gt; SOUS-SEGMENT'!$JN$140</f>
        <v>0.21129999999999999</v>
      </c>
      <c r="O99" s="787">
        <f>'ANALYSE - ERP =&gt; SOUS-SEGMENT'!$JO$140</f>
        <v>0.63600000000000001</v>
      </c>
      <c r="P99" s="787">
        <f>'ANALYSE - ERP =&gt; SOUS-SEGMENT'!$JP$140</f>
        <v>0.1527</v>
      </c>
      <c r="Q99" s="787">
        <f>'ANALYSE - ERP =&gt; SOUS-SEGMENT'!$JQ$140</f>
        <v>0</v>
      </c>
      <c r="R99" s="787">
        <f>'ANALYSE - ERP =&gt; SOUS-SEGMENT'!$JR$140</f>
        <v>0</v>
      </c>
      <c r="T99" s="430">
        <f>'ANALYSE - ERP =&gt; SOUS-SEGMENT'!$Q$140</f>
        <v>1</v>
      </c>
    </row>
    <row r="100" spans="1:20" ht="15" customHeight="1">
      <c r="A100" s="26">
        <v>97</v>
      </c>
      <c r="B100" s="26">
        <v>97</v>
      </c>
      <c r="C100" s="422">
        <f>'ANALYSE - ERP =&gt; SOUS-SEGMENT'!$A$48</f>
        <v>41</v>
      </c>
      <c r="D100" s="417" t="str">
        <f>'ANALYSE - ERP =&gt; SOUS-SEGMENT'!$B$48</f>
        <v>Santé &amp; Médico-social</v>
      </c>
      <c r="E100" s="417" t="str">
        <f>'ANALYSE - ERP =&gt; SOUS-SEGMENT'!$C$48</f>
        <v>Santé hospitalière</v>
      </c>
      <c r="F100" s="417" t="str">
        <f>'ANALYSE - ERP =&gt; SOUS-SEGMENT'!$D$48</f>
        <v>Unités hospitalières sécurisées en milieu carcéral</v>
      </c>
      <c r="H100" s="787">
        <f>'ANALYSE - ERP =&gt; SOUS-SEGMENT'!$JI$48</f>
        <v>0.14580000000000001</v>
      </c>
      <c r="I100" s="787">
        <f>'ANALYSE - ERP =&gt; SOUS-SEGMENT'!$JJ$48</f>
        <v>0.5151</v>
      </c>
      <c r="J100" s="787">
        <f>'ANALYSE - ERP =&gt; SOUS-SEGMENT'!$JK$48</f>
        <v>0.30759999999999998</v>
      </c>
      <c r="K100" s="787">
        <f>'ANALYSE - ERP =&gt; SOUS-SEGMENT'!$JL$48</f>
        <v>3.1E-2</v>
      </c>
      <c r="L100" s="787">
        <f>'ANALYSE - ERP =&gt; SOUS-SEGMENT'!$JM$48</f>
        <v>5.0000000000000001E-4</v>
      </c>
      <c r="N100" s="787">
        <f>'ANALYSE - ERP =&gt; SOUS-SEGMENT'!$JN$48</f>
        <v>7.0000000000000007E-2</v>
      </c>
      <c r="O100" s="787">
        <f>'ANALYSE - ERP =&gt; SOUS-SEGMENT'!$JO$48</f>
        <v>0.42249999999999999</v>
      </c>
      <c r="P100" s="787">
        <f>'ANALYSE - ERP =&gt; SOUS-SEGMENT'!$JP$48</f>
        <v>0.43099999999999999</v>
      </c>
      <c r="Q100" s="787">
        <f>'ANALYSE - ERP =&gt; SOUS-SEGMENT'!$JQ$48</f>
        <v>7.4300000000000005E-2</v>
      </c>
      <c r="R100" s="787">
        <f>'ANALYSE - ERP =&gt; SOUS-SEGMENT'!$JR$48</f>
        <v>2.2000000000000001E-3</v>
      </c>
      <c r="T100" s="430">
        <f>'ANALYSE - ERP =&gt; SOUS-SEGMENT'!$Q$48</f>
        <v>1</v>
      </c>
    </row>
    <row r="101" spans="1:20" ht="15" customHeight="1">
      <c r="A101" s="26">
        <v>98</v>
      </c>
      <c r="B101" s="26">
        <v>99</v>
      </c>
      <c r="C101" s="422">
        <f>'ANALYSE - ERP =&gt; SOUS-SEGMENT'!$A$141</f>
        <v>134</v>
      </c>
      <c r="D101" s="414" t="str">
        <f>'ANALYSE - ERP =&gt; SOUS-SEGMENT'!$B$141</f>
        <v>Sécurité &amp; Justice</v>
      </c>
      <c r="E101" s="414" t="str">
        <f>'ANALYSE - ERP =&gt; SOUS-SEGMENT'!$C$141</f>
        <v>Univers carcéral</v>
      </c>
      <c r="F101" s="414" t="str">
        <f>'ANALYSE - ERP =&gt; SOUS-SEGMENT'!$D$141</f>
        <v>Maisons centrales</v>
      </c>
      <c r="H101" s="787">
        <f>'ANALYSE - ERP =&gt; SOUS-SEGMENT'!$JI$141</f>
        <v>0.4173</v>
      </c>
      <c r="I101" s="787">
        <f>'ANALYSE - ERP =&gt; SOUS-SEGMENT'!$JJ$141</f>
        <v>0.50070000000000003</v>
      </c>
      <c r="J101" s="787">
        <f>'ANALYSE - ERP =&gt; SOUS-SEGMENT'!$JK$141</f>
        <v>8.2000000000000003E-2</v>
      </c>
      <c r="K101" s="787">
        <f>'ANALYSE - ERP =&gt; SOUS-SEGMENT'!$JL$141</f>
        <v>0</v>
      </c>
      <c r="L101" s="787">
        <f>'ANALYSE - ERP =&gt; SOUS-SEGMENT'!$JM$141</f>
        <v>0</v>
      </c>
      <c r="N101" s="787">
        <f>'ANALYSE - ERP =&gt; SOUS-SEGMENT'!$JN$141</f>
        <v>0.2918</v>
      </c>
      <c r="O101" s="787">
        <f>'ANALYSE - ERP =&gt; SOUS-SEGMENT'!$JO$141</f>
        <v>0.56210000000000004</v>
      </c>
      <c r="P101" s="787">
        <f>'ANALYSE - ERP =&gt; SOUS-SEGMENT'!$JP$141</f>
        <v>0.14610000000000001</v>
      </c>
      <c r="Q101" s="787">
        <f>'ANALYSE - ERP =&gt; SOUS-SEGMENT'!$JQ$141</f>
        <v>0</v>
      </c>
      <c r="R101" s="787">
        <f>'ANALYSE - ERP =&gt; SOUS-SEGMENT'!$JR$141</f>
        <v>0</v>
      </c>
      <c r="T101" s="430">
        <f>'ANALYSE - ERP =&gt; SOUS-SEGMENT'!$Q$141</f>
        <v>1</v>
      </c>
    </row>
    <row r="102" spans="1:20" ht="15" customHeight="1">
      <c r="A102" s="26">
        <v>99</v>
      </c>
      <c r="B102" s="26">
        <v>98</v>
      </c>
      <c r="C102" s="422">
        <f>'ANALYSE - ERP =&gt; SOUS-SEGMENT'!$A$143</f>
        <v>136</v>
      </c>
      <c r="D102" s="414" t="str">
        <f>'ANALYSE - ERP =&gt; SOUS-SEGMENT'!$B$143</f>
        <v>Sécurité &amp; Justice</v>
      </c>
      <c r="E102" s="414" t="str">
        <f>'ANALYSE - ERP =&gt; SOUS-SEGMENT'!$C$143</f>
        <v>Univers carcéral</v>
      </c>
      <c r="F102" s="414" t="str">
        <f>'ANALYSE - ERP =&gt; SOUS-SEGMENT'!$D$143</f>
        <v>Centres de semi-liberté</v>
      </c>
      <c r="H102" s="787">
        <f>'ANALYSE - ERP =&gt; SOUS-SEGMENT'!$JI$143</f>
        <v>0.1555</v>
      </c>
      <c r="I102" s="787">
        <f>'ANALYSE - ERP =&gt; SOUS-SEGMENT'!$JJ$143</f>
        <v>0.52090000000000003</v>
      </c>
      <c r="J102" s="787">
        <f>'ANALYSE - ERP =&gt; SOUS-SEGMENT'!$JK$143</f>
        <v>0.2949</v>
      </c>
      <c r="K102" s="787">
        <f>'ANALYSE - ERP =&gt; SOUS-SEGMENT'!$JL$143</f>
        <v>2.8199999999999999E-2</v>
      </c>
      <c r="L102" s="787">
        <f>'ANALYSE - ERP =&gt; SOUS-SEGMENT'!$JM$143</f>
        <v>5.0000000000000001E-4</v>
      </c>
      <c r="N102" s="787">
        <f>'ANALYSE - ERP =&gt; SOUS-SEGMENT'!$JN$143</f>
        <v>9.74E-2</v>
      </c>
      <c r="O102" s="787">
        <f>'ANALYSE - ERP =&gt; SOUS-SEGMENT'!$JO$143</f>
        <v>0.46829999999999999</v>
      </c>
      <c r="P102" s="787">
        <f>'ANALYSE - ERP =&gt; SOUS-SEGMENT'!$JP$143</f>
        <v>0.38080000000000003</v>
      </c>
      <c r="Q102" s="787">
        <f>'ANALYSE - ERP =&gt; SOUS-SEGMENT'!$JQ$143</f>
        <v>5.2299999999999999E-2</v>
      </c>
      <c r="R102" s="787">
        <f>'ANALYSE - ERP =&gt; SOUS-SEGMENT'!$JR$143</f>
        <v>1.1999999999999999E-3</v>
      </c>
      <c r="T102" s="430">
        <f>'ANALYSE - ERP =&gt; SOUS-SEGMENT'!$Q$143</f>
        <v>1</v>
      </c>
    </row>
    <row r="103" spans="1:20" ht="15" customHeight="1">
      <c r="A103" s="26">
        <v>100</v>
      </c>
      <c r="B103" s="26">
        <v>100</v>
      </c>
      <c r="C103" s="422">
        <f>'ANALYSE - ERP =&gt; SOUS-SEGMENT'!$A$8</f>
        <v>1</v>
      </c>
      <c r="D103" s="417" t="str">
        <f>'ANALYSE - ERP =&gt; SOUS-SEGMENT'!$B$8</f>
        <v>Enfance, Enseignement, Jeunesse &amp; Formation</v>
      </c>
      <c r="E103" s="417" t="str">
        <f>'ANALYSE - ERP =&gt; SOUS-SEGMENT'!$C$8</f>
        <v>Petite enfance</v>
      </c>
      <c r="F103" s="417" t="str">
        <f>'ANALYSE - ERP =&gt; SOUS-SEGMENT'!$D$8</f>
        <v>Crèches</v>
      </c>
      <c r="H103" s="787">
        <f>'ANALYSE - ERP =&gt; SOUS-SEGMENT'!$JI$8</f>
        <v>0</v>
      </c>
      <c r="I103" s="787">
        <f>'ANALYSE - ERP =&gt; SOUS-SEGMENT'!$JJ$8</f>
        <v>0</v>
      </c>
      <c r="J103" s="787">
        <f>'ANALYSE - ERP =&gt; SOUS-SEGMENT'!$JK$8</f>
        <v>0</v>
      </c>
      <c r="K103" s="787">
        <f>'ANALYSE - ERP =&gt; SOUS-SEGMENT'!$JL$8</f>
        <v>0</v>
      </c>
      <c r="L103" s="787">
        <f>'ANALYSE - ERP =&gt; SOUS-SEGMENT'!$JM$8</f>
        <v>0</v>
      </c>
      <c r="N103" s="787">
        <f>'ANALYSE - ERP =&gt; SOUS-SEGMENT'!$JN$8</f>
        <v>0</v>
      </c>
      <c r="O103" s="787">
        <f>'ANALYSE - ERP =&gt; SOUS-SEGMENT'!$JO$8</f>
        <v>0</v>
      </c>
      <c r="P103" s="787">
        <f>'ANALYSE - ERP =&gt; SOUS-SEGMENT'!$JP$8</f>
        <v>0</v>
      </c>
      <c r="Q103" s="787">
        <f>'ANALYSE - ERP =&gt; SOUS-SEGMENT'!$JQ$8</f>
        <v>0</v>
      </c>
      <c r="R103" s="787">
        <f>'ANALYSE - ERP =&gt; SOUS-SEGMENT'!$JR$8</f>
        <v>0</v>
      </c>
      <c r="T103" s="430">
        <f>'ANALYSE - ERP =&gt; SOUS-SEGMENT'!$Q$8</f>
        <v>1</v>
      </c>
    </row>
    <row r="104" spans="1:20" ht="15" customHeight="1">
      <c r="A104" s="26">
        <v>101</v>
      </c>
      <c r="B104" s="26">
        <v>101</v>
      </c>
      <c r="C104" s="422">
        <f>'ANALYSE - ERP =&gt; SOUS-SEGMENT'!$A$11</f>
        <v>4</v>
      </c>
      <c r="D104" s="417" t="str">
        <f>'ANALYSE - ERP =&gt; SOUS-SEGMENT'!$B$11</f>
        <v>Enfance, Enseignement, Jeunesse &amp; Formation</v>
      </c>
      <c r="E104" s="417" t="str">
        <f>'ANALYSE - ERP =&gt; SOUS-SEGMENT'!$C$11</f>
        <v>Enseignement scolaire</v>
      </c>
      <c r="F104" s="417" t="str">
        <f>'ANALYSE - ERP =&gt; SOUS-SEGMENT'!$D$11</f>
        <v>Écoles maternelles</v>
      </c>
      <c r="H104" s="787">
        <f>'ANALYSE - ERP =&gt; SOUS-SEGMENT'!$JI$11</f>
        <v>0</v>
      </c>
      <c r="I104" s="787">
        <f>'ANALYSE - ERP =&gt; SOUS-SEGMENT'!$JJ$11</f>
        <v>0</v>
      </c>
      <c r="J104" s="787">
        <f>'ANALYSE - ERP =&gt; SOUS-SEGMENT'!$JK$11</f>
        <v>0</v>
      </c>
      <c r="K104" s="787">
        <f>'ANALYSE - ERP =&gt; SOUS-SEGMENT'!$JL$11</f>
        <v>0</v>
      </c>
      <c r="L104" s="787">
        <f>'ANALYSE - ERP =&gt; SOUS-SEGMENT'!$JM$11</f>
        <v>0</v>
      </c>
      <c r="N104" s="787">
        <f>'ANALYSE - ERP =&gt; SOUS-SEGMENT'!$JN$11</f>
        <v>0</v>
      </c>
      <c r="O104" s="787">
        <f>'ANALYSE - ERP =&gt; SOUS-SEGMENT'!$JO$11</f>
        <v>0</v>
      </c>
      <c r="P104" s="787">
        <f>'ANALYSE - ERP =&gt; SOUS-SEGMENT'!$JP$11</f>
        <v>0</v>
      </c>
      <c r="Q104" s="787">
        <f>'ANALYSE - ERP =&gt; SOUS-SEGMENT'!$JQ$11</f>
        <v>0</v>
      </c>
      <c r="R104" s="787">
        <f>'ANALYSE - ERP =&gt; SOUS-SEGMENT'!$JR$11</f>
        <v>0</v>
      </c>
      <c r="T104" s="430">
        <f>'ANALYSE - ERP =&gt; SOUS-SEGMENT'!$Q$11</f>
        <v>1</v>
      </c>
    </row>
    <row r="105" spans="1:20" ht="15" customHeight="1">
      <c r="A105" s="26">
        <v>102</v>
      </c>
      <c r="B105" s="26">
        <v>102</v>
      </c>
      <c r="C105" s="422">
        <f>'ANALYSE - ERP =&gt; SOUS-SEGMENT'!$A$145</f>
        <v>138</v>
      </c>
      <c r="D105" s="417" t="str">
        <f>'ANALYSE - ERP =&gt; SOUS-SEGMENT'!$B$145</f>
        <v>Sécurité &amp; Justice</v>
      </c>
      <c r="E105" s="417" t="str">
        <f>'ANALYSE - ERP =&gt; SOUS-SEGMENT'!$C$145</f>
        <v>Univers carcéral</v>
      </c>
      <c r="F105" s="417" t="str">
        <f>'ANALYSE - ERP =&gt; SOUS-SEGMENT'!$D$145</f>
        <v>Centres pour peines aménagées
(absorbés par autres centres carcéraux)</v>
      </c>
      <c r="H105" s="787">
        <f>'ANALYSE - ERP =&gt; SOUS-SEGMENT'!$JI$145</f>
        <v>0</v>
      </c>
      <c r="I105" s="787">
        <f>'ANALYSE - ERP =&gt; SOUS-SEGMENT'!$JJ$145</f>
        <v>0</v>
      </c>
      <c r="J105" s="787">
        <f>'ANALYSE - ERP =&gt; SOUS-SEGMENT'!$JK$145</f>
        <v>0</v>
      </c>
      <c r="K105" s="787">
        <f>'ANALYSE - ERP =&gt; SOUS-SEGMENT'!$JL$145</f>
        <v>0</v>
      </c>
      <c r="L105" s="787">
        <f>'ANALYSE - ERP =&gt; SOUS-SEGMENT'!$JM$145</f>
        <v>0</v>
      </c>
      <c r="N105" s="787">
        <f>'ANALYSE - ERP =&gt; SOUS-SEGMENT'!$JN$145</f>
        <v>0</v>
      </c>
      <c r="O105" s="787">
        <f>'ANALYSE - ERP =&gt; SOUS-SEGMENT'!$JO$145</f>
        <v>0</v>
      </c>
      <c r="P105" s="787">
        <f>'ANALYSE - ERP =&gt; SOUS-SEGMENT'!$JP$145</f>
        <v>0</v>
      </c>
      <c r="Q105" s="787">
        <f>'ANALYSE - ERP =&gt; SOUS-SEGMENT'!$JQ$145</f>
        <v>0</v>
      </c>
      <c r="R105" s="787">
        <f>'ANALYSE - ERP =&gt; SOUS-SEGMENT'!$JR$145</f>
        <v>0</v>
      </c>
      <c r="T105" s="430">
        <f>'ANALYSE - ERP =&gt; SOUS-SEGMENT'!$Q$145</f>
        <v>0</v>
      </c>
    </row>
    <row r="106" spans="1:20" s="45" customFormat="1" ht="15" customHeight="1">
      <c r="A106" s="406">
        <v>103</v>
      </c>
      <c r="B106" s="406">
        <v>103</v>
      </c>
      <c r="C106" s="448">
        <f>'ANALYSE - ERP =&gt; SOUS-SEGMENT'!$A$150</f>
        <v>143</v>
      </c>
      <c r="D106" s="423" t="str">
        <f>'ANALYSE - ERP =&gt; SOUS-SEGMENT'!$B$150</f>
        <v>Sanitaires Publics</v>
      </c>
      <c r="E106" s="423" t="str">
        <f>'ANALYSE - ERP =&gt; SOUS-SEGMENT'!$C$150</f>
        <v>Sanitaires publics</v>
      </c>
      <c r="F106" s="423" t="str">
        <f>'ANALYSE - ERP =&gt; SOUS-SEGMENT'!$D$150</f>
        <v>Toilettes publiques (sur la voie publique)</v>
      </c>
      <c r="G106" s="685"/>
      <c r="H106" s="788">
        <f>'ANALYSE - ERP =&gt; SOUS-SEGMENT'!$JI$150</f>
        <v>0</v>
      </c>
      <c r="I106" s="788">
        <f>'ANALYSE - ERP =&gt; SOUS-SEGMENT'!$JJ$150</f>
        <v>0</v>
      </c>
      <c r="J106" s="788">
        <f>'ANALYSE - ERP =&gt; SOUS-SEGMENT'!$JK$150</f>
        <v>0</v>
      </c>
      <c r="K106" s="788">
        <f>'ANALYSE - ERP =&gt; SOUS-SEGMENT'!$JL$150</f>
        <v>0</v>
      </c>
      <c r="L106" s="788">
        <f>'ANALYSE - ERP =&gt; SOUS-SEGMENT'!$JM$150</f>
        <v>0</v>
      </c>
      <c r="M106" s="685"/>
      <c r="N106" s="788">
        <f>'ANALYSE - ERP =&gt; SOUS-SEGMENT'!$JN$150</f>
        <v>0</v>
      </c>
      <c r="O106" s="788">
        <f>'ANALYSE - ERP =&gt; SOUS-SEGMENT'!$JO$150</f>
        <v>0</v>
      </c>
      <c r="P106" s="788">
        <f>'ANALYSE - ERP =&gt; SOUS-SEGMENT'!$JP$150</f>
        <v>0</v>
      </c>
      <c r="Q106" s="788">
        <f>'ANALYSE - ERP =&gt; SOUS-SEGMENT'!$JQ$150</f>
        <v>0</v>
      </c>
      <c r="R106" s="788">
        <f>'ANALYSE - ERP =&gt; SOUS-SEGMENT'!$JR$150</f>
        <v>0</v>
      </c>
      <c r="S106" s="685"/>
      <c r="T106" s="450">
        <f>'ANALYSE - ERP =&gt; SOUS-SEGMENT'!$Q$150</f>
        <v>1</v>
      </c>
    </row>
  </sheetData>
  <autoFilter ref="A2:T2" xr:uid="{00000000-0009-0000-0000-000020000000}"/>
  <conditionalFormatting sqref="H4:L106">
    <cfRule type="colorScale" priority="2">
      <colorScale>
        <cfvo type="min"/>
        <cfvo type="formula" val="MEDIAN($H$4:$L$106)"/>
        <cfvo type="max"/>
        <color rgb="FFF8696B"/>
        <color theme="0"/>
        <color rgb="FF63BE7B"/>
      </colorScale>
    </cfRule>
  </conditionalFormatting>
  <conditionalFormatting sqref="N4:R106">
    <cfRule type="colorScale" priority="1">
      <colorScale>
        <cfvo type="min"/>
        <cfvo type="formula" val="MEDIAN($N$4:$R$106)"/>
        <cfvo type="max"/>
        <color rgb="FFF8696B"/>
        <color theme="0"/>
        <color rgb="FF63BE7B"/>
      </colorScale>
    </cfRule>
  </conditionalFormatting>
  <pageMargins left="3.937007874015748E-2" right="3.937007874015748E-2" top="7.874015748031496E-2" bottom="7.874015748031496E-2" header="0.11811023622047249" footer="0.11811023622047249"/>
  <pageSetup paperSize="8" scale="87" fitToHeight="2"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39997558519241921"/>
    <pageSetUpPr fitToPage="1"/>
  </sheetPr>
  <dimension ref="A1:BZ106"/>
  <sheetViews>
    <sheetView zoomScale="85" zoomScaleNormal="85" workbookViewId="0">
      <pane xSplit="6" ySplit="3" topLeftCell="G4" activePane="bottomRight" state="frozen"/>
      <selection activeCell="F17" sqref="F17"/>
      <selection pane="topRight" activeCell="F17" sqref="F17"/>
      <selection pane="bottomLeft" activeCell="F17" sqref="F17"/>
      <selection pane="bottomRight" activeCell="J4" sqref="J4"/>
    </sheetView>
  </sheetViews>
  <sheetFormatPr baseColWidth="10" defaultColWidth="9.140625" defaultRowHeight="15"/>
  <cols>
    <col min="1" max="2" width="9" style="934" customWidth="1"/>
    <col min="3" max="3" width="6" style="934" customWidth="1"/>
    <col min="4" max="4" width="30.5703125" style="934" customWidth="1"/>
    <col min="5" max="5" width="27.7109375" style="43" customWidth="1"/>
    <col min="6" max="6" width="60.85546875" style="43" customWidth="1"/>
    <col min="7" max="7" width="1.7109375" style="933" customWidth="1"/>
    <col min="8" max="8" width="8.7109375" style="43" customWidth="1"/>
    <col min="9" max="12" width="8.7109375" style="934" customWidth="1"/>
    <col min="13" max="13" width="1.7109375" style="933" customWidth="1"/>
    <col min="14" max="18" width="8.7109375" style="934" customWidth="1"/>
    <col min="19" max="19" width="1.7109375" style="933" customWidth="1"/>
    <col min="20" max="20" width="12" style="934" customWidth="1"/>
    <col min="21" max="78" width="9.140625" style="933" customWidth="1"/>
  </cols>
  <sheetData>
    <row r="1" spans="1:78" s="933" customFormat="1" ht="18.75" customHeight="1">
      <c r="C1" s="477"/>
      <c r="D1" s="479"/>
      <c r="E1" s="478" t="s">
        <v>7978</v>
      </c>
      <c r="F1" s="479"/>
      <c r="H1" s="474"/>
      <c r="I1" s="474"/>
      <c r="J1" s="475" t="s">
        <v>7971</v>
      </c>
      <c r="K1" s="474"/>
      <c r="L1" s="474"/>
      <c r="N1" s="452"/>
      <c r="O1" s="452"/>
      <c r="P1" s="476" t="s">
        <v>7972</v>
      </c>
      <c r="Q1" s="452"/>
      <c r="R1" s="452"/>
      <c r="T1" s="452"/>
    </row>
    <row r="2" spans="1:78"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78">
      <c r="A3" s="405" t="s">
        <v>2535</v>
      </c>
      <c r="B3" s="405" t="s">
        <v>2535</v>
      </c>
      <c r="C3" s="405" t="s">
        <v>2090</v>
      </c>
      <c r="D3" s="405" t="s">
        <v>2086</v>
      </c>
      <c r="E3" s="405" t="s">
        <v>6728</v>
      </c>
      <c r="F3" s="405" t="s">
        <v>6729</v>
      </c>
      <c r="H3" s="426" t="e">
        <f>SUMPRODUCT(($T$4:$T$106),('ANALYSE - ERP =&gt; SOUS-SEGMENT'!$BG$8:$BG$150),('ANALYSE - ERP =&gt; SOUS-SEGMENT'!$JI$8:$JI$150))</f>
        <v>#REF!</v>
      </c>
      <c r="I3" s="426" t="e">
        <f>SUMPRODUCT(($T$4:$T$106),('ANALYSE - ERP =&gt; SOUS-SEGMENT'!$BG$8:$BG$150),('ANALYSE - ERP =&gt; SOUS-SEGMENT'!$JJ$8:$JJ$150))</f>
        <v>#REF!</v>
      </c>
      <c r="J3" s="426" t="e">
        <f>SUMPRODUCT(($T$4:$T$106),('ANALYSE - ERP =&gt; SOUS-SEGMENT'!$BG$8:$BG$150),('ANALYSE - ERP =&gt; SOUS-SEGMENT'!$JK$8:$JK$150))</f>
        <v>#REF!</v>
      </c>
      <c r="K3" s="426" t="e">
        <f>SUMPRODUCT(($T$4:$T$106),('ANALYSE - ERP =&gt; SOUS-SEGMENT'!$BG$8:$BG$150),('ANALYSE - ERP =&gt; SOUS-SEGMENT'!$JL$8:$JL$150))</f>
        <v>#REF!</v>
      </c>
      <c r="L3" s="426" t="e">
        <f>SUMPRODUCT(($T$4:$T$106),('ANALYSE - ERP =&gt; SOUS-SEGMENT'!$BG$8:$BG$150),('ANALYSE - ERP =&gt; SOUS-SEGMENT'!$JM$8:$JM$150))</f>
        <v>#REF!</v>
      </c>
      <c r="N3" s="426" t="e">
        <f>SUMPRODUCT(($T$4:$T$106),('ANALYSE - ERP =&gt; SOUS-SEGMENT'!$FG$8:$FG$150),('ANALYSE - ERP =&gt; SOUS-SEGMENT'!$JN$8:$JN$150))</f>
        <v>#REF!</v>
      </c>
      <c r="O3" s="426" t="e">
        <f>SUMPRODUCT(($T$4:$T$106),('ANALYSE - ERP =&gt; SOUS-SEGMENT'!$FG$8:$FG$150),('ANALYSE - ERP =&gt; SOUS-SEGMENT'!$JO$8:$JO$150))</f>
        <v>#REF!</v>
      </c>
      <c r="P3" s="426" t="e">
        <f>SUMPRODUCT(($T$4:$T$106),('ANALYSE - ERP =&gt; SOUS-SEGMENT'!$FG$8:$FG$150),('ANALYSE - ERP =&gt; SOUS-SEGMENT'!$JP$8:$JP$150))</f>
        <v>#REF!</v>
      </c>
      <c r="Q3" s="426" t="e">
        <f>SUMPRODUCT(($T$4:$T$106),('ANALYSE - ERP =&gt; SOUS-SEGMENT'!$FG$8:$FG$150),('ANALYSE - ERP =&gt; SOUS-SEGMENT'!$JQ$8:$JQ$150))</f>
        <v>#REF!</v>
      </c>
      <c r="R3" s="426" t="e">
        <f>SUMPRODUCT(($T$4:$T$106),('ANALYSE - ERP =&gt; SOUS-SEGMENT'!$FG$8:$FG$150),('ANALYSE - ERP =&gt; SOUS-SEGMENT'!$JR$8:$JR$150))</f>
        <v>#REF!</v>
      </c>
      <c r="T3" s="428">
        <f>SUM('ANALYSE - ERP =&gt; SOUS-SEGMENT'!$Q$8:$Q$150)</f>
        <v>137</v>
      </c>
    </row>
    <row r="4" spans="1:78" ht="15" customHeight="1">
      <c r="A4" s="26">
        <v>1</v>
      </c>
      <c r="B4" s="26">
        <v>2</v>
      </c>
      <c r="C4" s="422">
        <f>'ANALYSE - ERP =&gt; SOUS-SEGMENT'!$A$75</f>
        <v>68</v>
      </c>
      <c r="D4" s="412" t="str">
        <f>'ANALYSE - ERP =&gt; SOUS-SEGMENT'!$B$75</f>
        <v>Commerce, Restauration &amp; Loisirs</v>
      </c>
      <c r="E4" s="412" t="str">
        <f>'ANALYSE - ERP =&gt; SOUS-SEGMENT'!$C$75</f>
        <v>Restauration / boissons</v>
      </c>
      <c r="F4" s="412" t="str">
        <f>'ANALYSE - ERP =&gt; SOUS-SEGMENT'!$D$75</f>
        <v>Restaurants
(Hors établissements altitude, flottant, armée)</v>
      </c>
      <c r="H4" s="458">
        <f>'ANALYSE - ERP =&gt; SOUS-SEGMENT'!$BG$75*'ANALYSE - ERP =&gt; SOUS-SEGMENT'!$JI$75</f>
        <v>1270.1975</v>
      </c>
      <c r="I4" s="458">
        <f>'ANALYSE - ERP =&gt; SOUS-SEGMENT'!$BG$75*'ANALYSE - ERP =&gt; SOUS-SEGMENT'!$JJ$75</f>
        <v>26698.4575</v>
      </c>
      <c r="J4" s="458">
        <f>'ANALYSE - ERP =&gt; SOUS-SEGMENT'!$BG$75*'ANALYSE - ERP =&gt; SOUS-SEGMENT'!$JK$75</f>
        <v>26485.745000000003</v>
      </c>
      <c r="K4" s="458">
        <f>'ANALYSE - ERP =&gt; SOUS-SEGMENT'!$BG$75*'ANALYSE - ERP =&gt; SOUS-SEGMENT'!$JL$75</f>
        <v>6041.0349999999999</v>
      </c>
      <c r="L4" s="458">
        <f>'ANALYSE - ERP =&gt; SOUS-SEGMENT'!$BG$75*'ANALYSE - ERP =&gt; SOUS-SEGMENT'!$JM$75</f>
        <v>279.565</v>
      </c>
      <c r="N4" s="458">
        <f>'ANALYSE - ERP =&gt; SOUS-SEGMENT'!$FG$75*'ANALYSE - ERP =&gt; SOUS-SEGMENT'!$JN$75</f>
        <v>0</v>
      </c>
      <c r="O4" s="458">
        <f>'ANALYSE - ERP =&gt; SOUS-SEGMENT'!$FG$75*'ANALYSE - ERP =&gt; SOUS-SEGMENT'!$JO$75</f>
        <v>11562.568852140117</v>
      </c>
      <c r="P4" s="458">
        <f>'ANALYSE - ERP =&gt; SOUS-SEGMENT'!$FG$75*'ANALYSE - ERP =&gt; SOUS-SEGMENT'!$JP$75</f>
        <v>13200.432115492142</v>
      </c>
      <c r="Q4" s="458">
        <f>'ANALYSE - ERP =&gt; SOUS-SEGMENT'!$FG$75*'ANALYSE - ERP =&gt; SOUS-SEGMENT'!$JQ$75</f>
        <v>3614.1991450499995</v>
      </c>
      <c r="R4" s="458">
        <f>'ANALYSE - ERP =&gt; SOUS-SEGMENT'!$FG$75*'ANALYSE - ERP =&gt; SOUS-SEGMENT'!$JR$75</f>
        <v>306.92008612726187</v>
      </c>
      <c r="T4" s="430">
        <f>'ANALYSE - ERP =&gt; SOUS-SEGMENT'!$Q$75</f>
        <v>1</v>
      </c>
    </row>
    <row r="5" spans="1:78" ht="15" customHeight="1">
      <c r="A5" s="26">
        <v>2</v>
      </c>
      <c r="B5" s="26">
        <v>1</v>
      </c>
      <c r="C5" s="422">
        <f>'ANALYSE - ERP =&gt; SOUS-SEGMENT'!$A$12</f>
        <v>5</v>
      </c>
      <c r="D5" s="409" t="str">
        <f>'ANALYSE - ERP =&gt; SOUS-SEGMENT'!$B$12</f>
        <v>Enfance, Enseignement, Jeunesse &amp; Formation</v>
      </c>
      <c r="E5" s="409" t="str">
        <f>'ANALYSE - ERP =&gt; SOUS-SEGMENT'!$C$12</f>
        <v>Enseignement scolaire</v>
      </c>
      <c r="F5" s="409" t="str">
        <f>'ANALYSE - ERP =&gt; SOUS-SEGMENT'!$D$12</f>
        <v>Écoles primaires</v>
      </c>
      <c r="H5" s="458">
        <f>'ANALYSE - ERP =&gt; SOUS-SEGMENT'!$BG$12*'ANALYSE - ERP =&gt; SOUS-SEGMENT'!$JI$12</f>
        <v>10219.835999999999</v>
      </c>
      <c r="I5" s="458">
        <f>'ANALYSE - ERP =&gt; SOUS-SEGMENT'!$BG$12*'ANALYSE - ERP =&gt; SOUS-SEGMENT'!$JJ$12</f>
        <v>35815.296000000002</v>
      </c>
      <c r="J5" s="458">
        <f>'ANALYSE - ERP =&gt; SOUS-SEGMENT'!$BG$12*'ANALYSE - ERP =&gt; SOUS-SEGMENT'!$JK$12</f>
        <v>14445.992</v>
      </c>
      <c r="K5" s="458">
        <f>'ANALYSE - ERP =&gt; SOUS-SEGMENT'!$BG$12*'ANALYSE - ERP =&gt; SOUS-SEGMENT'!$JL$12</f>
        <v>672.76</v>
      </c>
      <c r="L5" s="458">
        <f>'ANALYSE - ERP =&gt; SOUS-SEGMENT'!$BG$12*'ANALYSE - ERP =&gt; SOUS-SEGMENT'!$JM$12</f>
        <v>6.1160000000000005</v>
      </c>
      <c r="N5" s="458">
        <f>'ANALYSE - ERP =&gt; SOUS-SEGMENT'!$FG$12*'ANALYSE - ERP =&gt; SOUS-SEGMENT'!$JN$12</f>
        <v>1220.69372484928</v>
      </c>
      <c r="O5" s="458">
        <f>'ANALYSE - ERP =&gt; SOUS-SEGMENT'!$FG$12*'ANALYSE - ERP =&gt; SOUS-SEGMENT'!$JO$12</f>
        <v>8546.5851018838403</v>
      </c>
      <c r="P5" s="458">
        <f>'ANALYSE - ERP =&gt; SOUS-SEGMENT'!$FG$12*'ANALYSE - ERP =&gt; SOUS-SEGMENT'!$JP$12</f>
        <v>6879.8021688035205</v>
      </c>
      <c r="Q5" s="458">
        <f>'ANALYSE - ERP =&gt; SOUS-SEGMENT'!$FG$12*'ANALYSE - ERP =&gt; SOUS-SEGMENT'!$JQ$12</f>
        <v>636.28228150784003</v>
      </c>
      <c r="R5" s="458">
        <f>'ANALYSE - ERP =&gt; SOUS-SEGMENT'!$FG$12*'ANALYSE - ERP =&gt; SOUS-SEGMENT'!$JR$12</f>
        <v>6.9161117555200011</v>
      </c>
      <c r="T5" s="430">
        <f>'ANALYSE - ERP =&gt; SOUS-SEGMENT'!$Q$12</f>
        <v>1</v>
      </c>
    </row>
    <row r="6" spans="1:78" ht="15" customHeight="1">
      <c r="A6" s="26">
        <v>3</v>
      </c>
      <c r="B6" s="26">
        <v>3</v>
      </c>
      <c r="C6" s="422">
        <f>'ANALYSE - ERP =&gt; SOUS-SEGMENT'!$A$82</f>
        <v>75</v>
      </c>
      <c r="D6" s="412" t="str">
        <f>'ANALYSE - ERP =&gt; SOUS-SEGMENT'!$B$82</f>
        <v>Tertiaire &amp; Industriel</v>
      </c>
      <c r="E6" s="412" t="str">
        <f>'ANALYSE - ERP =&gt; SOUS-SEGMENT'!$C$82</f>
        <v>Bureaux</v>
      </c>
      <c r="F6" s="412" t="str">
        <f>'ANALYSE - ERP =&gt; SOUS-SEGMENT'!$D$82</f>
        <v>Bureaux Tertiaire Privé (&gt;50 salariés)
(hors usines et logistique )</v>
      </c>
      <c r="H6" s="458">
        <f>'ANALYSE - ERP =&gt; SOUS-SEGMENT'!$BG$82*'ANALYSE - ERP =&gt; SOUS-SEGMENT'!$JI$82</f>
        <v>6828.3</v>
      </c>
      <c r="I6" s="458">
        <f>'ANALYSE - ERP =&gt; SOUS-SEGMENT'!$BG$82*'ANALYSE - ERP =&gt; SOUS-SEGMENT'!$JJ$82</f>
        <v>68245.064999999988</v>
      </c>
      <c r="J6" s="458">
        <f>'ANALYSE - ERP =&gt; SOUS-SEGMENT'!$BG$82*'ANALYSE - ERP =&gt; SOUS-SEGMENT'!$JK$82</f>
        <v>47393.460000000006</v>
      </c>
      <c r="K6" s="458">
        <f>'ANALYSE - ERP =&gt; SOUS-SEGMENT'!$BG$82*'ANALYSE - ERP =&gt; SOUS-SEGMENT'!$JL$82</f>
        <v>3983.1750000000002</v>
      </c>
      <c r="L6" s="458">
        <f>'ANALYSE - ERP =&gt; SOUS-SEGMENT'!$BG$82*'ANALYSE - ERP =&gt; SOUS-SEGMENT'!$JM$82</f>
        <v>0</v>
      </c>
      <c r="N6" s="458">
        <f>'ANALYSE - ERP =&gt; SOUS-SEGMENT'!$FG$82*'ANALYSE - ERP =&gt; SOUS-SEGMENT'!$JN$82</f>
        <v>1505.6319356937063</v>
      </c>
      <c r="O6" s="458">
        <f>'ANALYSE - ERP =&gt; SOUS-SEGMENT'!$FG$82*'ANALYSE - ERP =&gt; SOUS-SEGMENT'!$JO$82</f>
        <v>24265.294561101393</v>
      </c>
      <c r="P6" s="458">
        <f>'ANALYSE - ERP =&gt; SOUS-SEGMENT'!$FG$82*'ANALYSE - ERP =&gt; SOUS-SEGMENT'!$JP$82</f>
        <v>18796.725738062934</v>
      </c>
      <c r="Q6" s="458">
        <f>'ANALYSE - ERP =&gt; SOUS-SEGMENT'!$FG$82*'ANALYSE - ERP =&gt; SOUS-SEGMENT'!$JQ$82</f>
        <v>2542.5294008412584</v>
      </c>
      <c r="R6" s="458">
        <f>'ANALYSE - ERP =&gt; SOUS-SEGMENT'!$FG$82*'ANALYSE - ERP =&gt; SOUS-SEGMENT'!$JR$82</f>
        <v>236.73458108391605</v>
      </c>
      <c r="T6" s="430">
        <f>'ANALYSE - ERP =&gt; SOUS-SEGMENT'!$Q$82</f>
        <v>1</v>
      </c>
    </row>
    <row r="7" spans="1:78" ht="15" customHeight="1">
      <c r="A7" s="26">
        <v>4</v>
      </c>
      <c r="B7" s="26">
        <v>4</v>
      </c>
      <c r="C7" s="422">
        <f>'ANALYSE - ERP =&gt; SOUS-SEGMENT'!$A$67</f>
        <v>60</v>
      </c>
      <c r="D7" s="413" t="str">
        <f>'ANALYSE - ERP =&gt; SOUS-SEGMENT'!$B$67</f>
        <v>Culture, Patrimoine &amp; Evénementiel</v>
      </c>
      <c r="E7" s="413" t="str">
        <f>'ANALYSE - ERP =&gt; SOUS-SEGMENT'!$C$67</f>
        <v>Culture / spectacle</v>
      </c>
      <c r="F7" s="413" t="str">
        <f>'ANALYSE - ERP =&gt; SOUS-SEGMENT'!$D$67</f>
        <v>Salles polyvalentes / Salles des fêtes</v>
      </c>
      <c r="H7" s="458">
        <f>'ANALYSE - ERP =&gt; SOUS-SEGMENT'!$BG$67*'ANALYSE - ERP =&gt; SOUS-SEGMENT'!$JI$67</f>
        <v>1960.2</v>
      </c>
      <c r="I7" s="458">
        <f>'ANALYSE - ERP =&gt; SOUS-SEGMENT'!$BG$67*'ANALYSE - ERP =&gt; SOUS-SEGMENT'!$JJ$67</f>
        <v>19591.109999999997</v>
      </c>
      <c r="J7" s="458">
        <f>'ANALYSE - ERP =&gt; SOUS-SEGMENT'!$BG$67*'ANALYSE - ERP =&gt; SOUS-SEGMENT'!$JK$67</f>
        <v>13605.240000000002</v>
      </c>
      <c r="K7" s="458">
        <f>'ANALYSE - ERP =&gt; SOUS-SEGMENT'!$BG$67*'ANALYSE - ERP =&gt; SOUS-SEGMENT'!$JL$67</f>
        <v>1143.45</v>
      </c>
      <c r="L7" s="458">
        <f>'ANALYSE - ERP =&gt; SOUS-SEGMENT'!$BG$67*'ANALYSE - ERP =&gt; SOUS-SEGMENT'!$JM$67</f>
        <v>0</v>
      </c>
      <c r="N7" s="458">
        <f>'ANALYSE - ERP =&gt; SOUS-SEGMENT'!$FG$67*'ANALYSE - ERP =&gt; SOUS-SEGMENT'!$JN$67</f>
        <v>548.59651894649994</v>
      </c>
      <c r="O7" s="458">
        <f>'ANALYSE - ERP =&gt; SOUS-SEGMENT'!$FG$67*'ANALYSE - ERP =&gt; SOUS-SEGMENT'!$JO$67</f>
        <v>7771.784018408749</v>
      </c>
      <c r="P7" s="458">
        <f>'ANALYSE - ERP =&gt; SOUS-SEGMENT'!$FG$67*'ANALYSE - ERP =&gt; SOUS-SEGMENT'!$JP$67</f>
        <v>5878.6763587654996</v>
      </c>
      <c r="Q7" s="458">
        <f>'ANALYSE - ERP =&gt; SOUS-SEGMENT'!$FG$67*'ANALYSE - ERP =&gt; SOUS-SEGMENT'!$JQ$67</f>
        <v>732.96092285474992</v>
      </c>
      <c r="R7" s="458">
        <f>'ANALYSE - ERP =&gt; SOUS-SEGMENT'!$FG$67*'ANALYSE - ERP =&gt; SOUS-SEGMENT'!$JR$67</f>
        <v>56.958108524499998</v>
      </c>
      <c r="T7" s="430">
        <f>'ANALYSE - ERP =&gt; SOUS-SEGMENT'!$Q$67</f>
        <v>1</v>
      </c>
    </row>
    <row r="8" spans="1:78" ht="15" customHeight="1">
      <c r="A8" s="26">
        <v>5</v>
      </c>
      <c r="B8" s="26">
        <v>5</v>
      </c>
      <c r="C8" s="422">
        <f>'ANALYSE - ERP =&gt; SOUS-SEGMENT'!$A$101</f>
        <v>94</v>
      </c>
      <c r="D8" s="412" t="str">
        <f>'ANALYSE - ERP =&gt; SOUS-SEGMENT'!$B$101</f>
        <v>Culte, Vie civique &amp; Services publics</v>
      </c>
      <c r="E8" s="412" t="str">
        <f>'ANALYSE - ERP =&gt; SOUS-SEGMENT'!$C$101</f>
        <v>Administrations / services publics</v>
      </c>
      <c r="F8" s="412" t="str">
        <f>'ANALYSE - ERP =&gt; SOUS-SEGMENT'!$D$101</f>
        <v>Mairies / hôtels de ville</v>
      </c>
      <c r="H8" s="458">
        <f>'ANALYSE - ERP =&gt; SOUS-SEGMENT'!$BG$101*'ANALYSE - ERP =&gt; SOUS-SEGMENT'!$JI$101</f>
        <v>607.43520000000001</v>
      </c>
      <c r="I8" s="458">
        <f>'ANALYSE - ERP =&gt; SOUS-SEGMENT'!$BG$101*'ANALYSE - ERP =&gt; SOUS-SEGMENT'!$JJ$101</f>
        <v>6070.977359999999</v>
      </c>
      <c r="J8" s="458">
        <f>'ANALYSE - ERP =&gt; SOUS-SEGMENT'!$BG$101*'ANALYSE - ERP =&gt; SOUS-SEGMENT'!$JK$101</f>
        <v>4216.0502399999996</v>
      </c>
      <c r="K8" s="458">
        <f>'ANALYSE - ERP =&gt; SOUS-SEGMENT'!$BG$101*'ANALYSE - ERP =&gt; SOUS-SEGMENT'!$JL$101</f>
        <v>354.3372</v>
      </c>
      <c r="L8" s="458">
        <f>'ANALYSE - ERP =&gt; SOUS-SEGMENT'!$BG$101*'ANALYSE - ERP =&gt; SOUS-SEGMENT'!$JM$101</f>
        <v>0</v>
      </c>
      <c r="N8" s="458">
        <f>'ANALYSE - ERP =&gt; SOUS-SEGMENT'!$FG$101*'ANALYSE - ERP =&gt; SOUS-SEGMENT'!$JN$101</f>
        <v>148.48545442176723</v>
      </c>
      <c r="O8" s="458">
        <f>'ANALYSE - ERP =&gt; SOUS-SEGMENT'!$FG$101*'ANALYSE - ERP =&gt; SOUS-SEGMENT'!$JO$101</f>
        <v>2262.4263025801815</v>
      </c>
      <c r="P8" s="458">
        <f>'ANALYSE - ERP =&gt; SOUS-SEGMENT'!$FG$101*'ANALYSE - ERP =&gt; SOUS-SEGMENT'!$JP$101</f>
        <v>1735.6983148532615</v>
      </c>
      <c r="Q8" s="458">
        <f>'ANALYSE - ERP =&gt; SOUS-SEGMENT'!$FG$101*'ANALYSE - ERP =&gt; SOUS-SEGMENT'!$JQ$101</f>
        <v>227.56054849253087</v>
      </c>
      <c r="R8" s="458">
        <f>'ANALYSE - ERP =&gt; SOUS-SEGMENT'!$FG$101*'ANALYSE - ERP =&gt; SOUS-SEGMENT'!$JR$101</f>
        <v>18.89016136134909</v>
      </c>
      <c r="T8" s="430">
        <f>'ANALYSE - ERP =&gt; SOUS-SEGMENT'!$Q$101</f>
        <v>1</v>
      </c>
    </row>
    <row r="9" spans="1:78" ht="15" customHeight="1">
      <c r="A9" s="26">
        <v>6</v>
      </c>
      <c r="B9" s="26">
        <v>6</v>
      </c>
      <c r="C9" s="422">
        <f>'ANALYSE - ERP =&gt; SOUS-SEGMENT'!$A$13</f>
        <v>6</v>
      </c>
      <c r="D9" s="409" t="str">
        <f>'ANALYSE - ERP =&gt; SOUS-SEGMENT'!$B$13</f>
        <v>Enfance, Enseignement, Jeunesse &amp; Formation</v>
      </c>
      <c r="E9" s="409" t="str">
        <f>'ANALYSE - ERP =&gt; SOUS-SEGMENT'!$C$13</f>
        <v>Enseignement scolaire</v>
      </c>
      <c r="F9" s="409" t="str">
        <f>'ANALYSE - ERP =&gt; SOUS-SEGMENT'!$D$13</f>
        <v>Collèges
(vestiaires EPS inclus)</v>
      </c>
      <c r="H9" s="458">
        <f>'ANALYSE - ERP =&gt; SOUS-SEGMENT'!$BG$13*'ANALYSE - ERP =&gt; SOUS-SEGMENT'!$JI$13</f>
        <v>14079.375</v>
      </c>
      <c r="I9" s="458">
        <f>'ANALYSE - ERP =&gt; SOUS-SEGMENT'!$BG$13*'ANALYSE - ERP =&gt; SOUS-SEGMENT'!$JJ$13</f>
        <v>44310.608999999997</v>
      </c>
      <c r="J9" s="458">
        <f>'ANALYSE - ERP =&gt; SOUS-SEGMENT'!$BG$13*'ANALYSE - ERP =&gt; SOUS-SEGMENT'!$JK$13</f>
        <v>16031.715</v>
      </c>
      <c r="K9" s="458">
        <f>'ANALYSE - ERP =&gt; SOUS-SEGMENT'!$BG$13*'ANALYSE - ERP =&gt; SOUS-SEGMENT'!$JL$13</f>
        <v>668.30100000000004</v>
      </c>
      <c r="L9" s="458">
        <f>'ANALYSE - ERP =&gt; SOUS-SEGMENT'!$BG$13*'ANALYSE - ERP =&gt; SOUS-SEGMENT'!$JM$13</f>
        <v>0</v>
      </c>
      <c r="N9" s="458">
        <f>'ANALYSE - ERP =&gt; SOUS-SEGMENT'!$FG$13*'ANALYSE - ERP =&gt; SOUS-SEGMENT'!$JN$13</f>
        <v>1814.2322264335503</v>
      </c>
      <c r="O9" s="458">
        <f>'ANALYSE - ERP =&gt; SOUS-SEGMENT'!$FG$13*'ANALYSE - ERP =&gt; SOUS-SEGMENT'!$JO$13</f>
        <v>11547.98251955964</v>
      </c>
      <c r="P9" s="458">
        <f>'ANALYSE - ERP =&gt; SOUS-SEGMENT'!$FG$13*'ANALYSE - ERP =&gt; SOUS-SEGMENT'!$JP$13</f>
        <v>8455.8997684207206</v>
      </c>
      <c r="Q9" s="458">
        <f>'ANALYSE - ERP =&gt; SOUS-SEGMENT'!$FG$13*'ANALYSE - ERP =&gt; SOUS-SEGMENT'!$JQ$13</f>
        <v>712.17066279876019</v>
      </c>
      <c r="R9" s="458">
        <f>'ANALYSE - ERP =&gt; SOUS-SEGMENT'!$FG$13*'ANALYSE - ERP =&gt; SOUS-SEGMENT'!$JR$13</f>
        <v>6.7611138873300005</v>
      </c>
      <c r="T9" s="430">
        <f>'ANALYSE - ERP =&gt; SOUS-SEGMENT'!$Q$13</f>
        <v>1</v>
      </c>
    </row>
    <row r="10" spans="1:78" ht="15" customHeight="1">
      <c r="A10" s="26">
        <v>7</v>
      </c>
      <c r="B10" s="26">
        <v>7</v>
      </c>
      <c r="C10" s="422">
        <f>'ANALYSE - ERP =&gt; SOUS-SEGMENT'!$A$14</f>
        <v>7</v>
      </c>
      <c r="D10" s="409" t="str">
        <f>'ANALYSE - ERP =&gt; SOUS-SEGMENT'!$B$14</f>
        <v>Enfance, Enseignement, Jeunesse &amp; Formation</v>
      </c>
      <c r="E10" s="409" t="str">
        <f>'ANALYSE - ERP =&gt; SOUS-SEGMENT'!$C$14</f>
        <v>Enseignement scolaire</v>
      </c>
      <c r="F10" s="409" t="str">
        <f>'ANALYSE - ERP =&gt; SOUS-SEGMENT'!$D$14</f>
        <v>Lycées
(vestiaires EPS inclus)</v>
      </c>
      <c r="H10" s="458">
        <f>'ANALYSE - ERP =&gt; SOUS-SEGMENT'!$BG$14*'ANALYSE - ERP =&gt; SOUS-SEGMENT'!$JI$14</f>
        <v>12361.3596</v>
      </c>
      <c r="I10" s="458">
        <f>'ANALYSE - ERP =&gt; SOUS-SEGMENT'!$BG$14*'ANALYSE - ERP =&gt; SOUS-SEGMENT'!$JJ$14</f>
        <v>41489.269200000002</v>
      </c>
      <c r="J10" s="458">
        <f>'ANALYSE - ERP =&gt; SOUS-SEGMENT'!$BG$14*'ANALYSE - ERP =&gt; SOUS-SEGMENT'!$JK$14</f>
        <v>16025.292000000001</v>
      </c>
      <c r="K10" s="458">
        <f>'ANALYSE - ERP =&gt; SOUS-SEGMENT'!$BG$14*'ANALYSE - ERP =&gt; SOUS-SEGMENT'!$JL$14</f>
        <v>713.01959999999997</v>
      </c>
      <c r="L10" s="458">
        <f>'ANALYSE - ERP =&gt; SOUS-SEGMENT'!$BG$14*'ANALYSE - ERP =&gt; SOUS-SEGMENT'!$JM$14</f>
        <v>7.0596000000000005</v>
      </c>
      <c r="N10" s="458">
        <f>'ANALYSE - ERP =&gt; SOUS-SEGMENT'!$FG$14*'ANALYSE - ERP =&gt; SOUS-SEGMENT'!$JN$14</f>
        <v>1557.2898576549719</v>
      </c>
      <c r="O10" s="458">
        <f>'ANALYSE - ERP =&gt; SOUS-SEGMENT'!$FG$14*'ANALYSE - ERP =&gt; SOUS-SEGMENT'!$JO$14</f>
        <v>10612.09118552058</v>
      </c>
      <c r="P10" s="458">
        <f>'ANALYSE - ERP =&gt; SOUS-SEGMENT'!$FG$14*'ANALYSE - ERP =&gt; SOUS-SEGMENT'!$JP$14</f>
        <v>8317.5849832458607</v>
      </c>
      <c r="Q10" s="458">
        <f>'ANALYSE - ERP =&gt; SOUS-SEGMENT'!$FG$14*'ANALYSE - ERP =&gt; SOUS-SEGMENT'!$JQ$14</f>
        <v>749.9636012990519</v>
      </c>
      <c r="R10" s="458">
        <f>'ANALYSE - ERP =&gt; SOUS-SEGMENT'!$FG$14*'ANALYSE - ERP =&gt; SOUS-SEGMENT'!$JR$14</f>
        <v>8.4981711195359999</v>
      </c>
      <c r="T10" s="430">
        <f>'ANALYSE - ERP =&gt; SOUS-SEGMENT'!$Q$14</f>
        <v>1</v>
      </c>
    </row>
    <row r="11" spans="1:78" s="45" customFormat="1" ht="15" customHeight="1">
      <c r="A11" s="26">
        <v>8</v>
      </c>
      <c r="B11" s="26">
        <v>9</v>
      </c>
      <c r="C11" s="422">
        <f>'ANALYSE - ERP =&gt; SOUS-SEGMENT'!$A$27</f>
        <v>20</v>
      </c>
      <c r="D11" s="409" t="str">
        <f>'ANALYSE - ERP =&gt; SOUS-SEGMENT'!$B$27</f>
        <v>Sports &amp; Loisirs</v>
      </c>
      <c r="E11" s="409" t="str">
        <f>'ANALYSE - ERP =&gt; SOUS-SEGMENT'!$C$27</f>
        <v>Sport de plein air</v>
      </c>
      <c r="F11" s="409" t="str">
        <f>'ANALYSE - ERP =&gt; SOUS-SEGMENT'!$D$27</f>
        <v>Terrains de sport
(Hors scolaire, sans tribune)</v>
      </c>
      <c r="G11" s="685"/>
      <c r="H11" s="458">
        <f>'ANALYSE - ERP =&gt; SOUS-SEGMENT'!$BG$27*'ANALYSE - ERP =&gt; SOUS-SEGMENT'!$JI$27</f>
        <v>13644.179999999998</v>
      </c>
      <c r="I11" s="458">
        <f>'ANALYSE - ERP =&gt; SOUS-SEGMENT'!$BG$27*'ANALYSE - ERP =&gt; SOUS-SEGMENT'!$JJ$27</f>
        <v>36447.840000000004</v>
      </c>
      <c r="J11" s="458">
        <f>'ANALYSE - ERP =&gt; SOUS-SEGMENT'!$BG$27*'ANALYSE - ERP =&gt; SOUS-SEGMENT'!$JK$27</f>
        <v>8880.2999999999993</v>
      </c>
      <c r="K11" s="458">
        <f>'ANALYSE - ERP =&gt; SOUS-SEGMENT'!$BG$27*'ANALYSE - ERP =&gt; SOUS-SEGMENT'!$JL$27</f>
        <v>427.68</v>
      </c>
      <c r="L11" s="458">
        <f>'ANALYSE - ERP =&gt; SOUS-SEGMENT'!$BG$27*'ANALYSE - ERP =&gt; SOUS-SEGMENT'!$JM$27</f>
        <v>0</v>
      </c>
      <c r="M11" s="685"/>
      <c r="N11" s="458">
        <f>'ANALYSE - ERP =&gt; SOUS-SEGMENT'!$FG$27*'ANALYSE - ERP =&gt; SOUS-SEGMENT'!$JN$27</f>
        <v>6553.9181750078569</v>
      </c>
      <c r="O11" s="458">
        <f>'ANALYSE - ERP =&gt; SOUS-SEGMENT'!$FG$27*'ANALYSE - ERP =&gt; SOUS-SEGMENT'!$JO$27</f>
        <v>18298.415885788447</v>
      </c>
      <c r="P11" s="458">
        <f>'ANALYSE - ERP =&gt; SOUS-SEGMENT'!$FG$27*'ANALYSE - ERP =&gt; SOUS-SEGMENT'!$JP$27</f>
        <v>5168.9392399118569</v>
      </c>
      <c r="Q11" s="458">
        <f>'ANALYSE - ERP =&gt; SOUS-SEGMENT'!$FG$27*'ANALYSE - ERP =&gt; SOUS-SEGMENT'!$JQ$27</f>
        <v>769.77623847969642</v>
      </c>
      <c r="R11" s="458">
        <f>'ANALYSE - ERP =&gt; SOUS-SEGMENT'!$FG$27*'ANALYSE - ERP =&gt; SOUS-SEGMENT'!$JR$27</f>
        <v>123.65883349071429</v>
      </c>
      <c r="S11" s="685"/>
      <c r="T11" s="430">
        <f>'ANALYSE - ERP =&gt; SOUS-SEGMENT'!$Q$27</f>
        <v>1</v>
      </c>
      <c r="U11" s="685"/>
      <c r="V11" s="685"/>
      <c r="W11" s="685"/>
      <c r="X11" s="685"/>
      <c r="Y11" s="685"/>
      <c r="Z11" s="685"/>
      <c r="AA11" s="685"/>
      <c r="AB11" s="685"/>
      <c r="AC11" s="685"/>
      <c r="AD11" s="685"/>
      <c r="AE11" s="685"/>
      <c r="AF11" s="685"/>
      <c r="AG11" s="685"/>
      <c r="AH11" s="685"/>
      <c r="AI11" s="685"/>
      <c r="AJ11" s="685"/>
      <c r="AK11" s="685"/>
      <c r="AL11" s="685"/>
      <c r="AM11" s="685"/>
      <c r="AN11" s="685"/>
      <c r="AO11" s="685"/>
      <c r="AP11" s="685"/>
      <c r="AQ11" s="685"/>
      <c r="AR11" s="685"/>
      <c r="AS11" s="685"/>
      <c r="AT11" s="685"/>
      <c r="AU11" s="685"/>
      <c r="AV11" s="685"/>
      <c r="AW11" s="685"/>
      <c r="AX11" s="685"/>
      <c r="AY11" s="685"/>
      <c r="AZ11" s="685"/>
      <c r="BA11" s="685"/>
      <c r="BB11" s="685"/>
      <c r="BC11" s="685"/>
      <c r="BD11" s="685"/>
      <c r="BE11" s="685"/>
      <c r="BF11" s="685"/>
      <c r="BG11" s="685"/>
      <c r="BH11" s="685"/>
      <c r="BI11" s="685"/>
      <c r="BJ11" s="685"/>
      <c r="BK11" s="685"/>
      <c r="BL11" s="685"/>
      <c r="BM11" s="685"/>
      <c r="BN11" s="685"/>
      <c r="BO11" s="685"/>
      <c r="BP11" s="685"/>
      <c r="BQ11" s="685"/>
      <c r="BR11" s="685"/>
      <c r="BS11" s="685"/>
      <c r="BT11" s="685"/>
      <c r="BU11" s="685"/>
      <c r="BV11" s="685"/>
      <c r="BW11" s="685"/>
      <c r="BX11" s="685"/>
      <c r="BY11" s="685"/>
      <c r="BZ11" s="685"/>
    </row>
    <row r="12" spans="1:78" ht="15" customHeight="1">
      <c r="A12" s="26">
        <v>9</v>
      </c>
      <c r="B12" s="26">
        <v>8</v>
      </c>
      <c r="C12" s="422">
        <f>'ANALYSE - ERP =&gt; SOUS-SEGMENT'!$A$21</f>
        <v>14</v>
      </c>
      <c r="D12" s="413" t="str">
        <f>'ANALYSE - ERP =&gt; SOUS-SEGMENT'!$B$21</f>
        <v>Sports &amp; Loisirs</v>
      </c>
      <c r="E12" s="413" t="str">
        <f>'ANALYSE - ERP =&gt; SOUS-SEGMENT'!$C$21</f>
        <v>Sport couvert / Thermalisme / Bien-être</v>
      </c>
      <c r="F12" s="413" t="str">
        <f>'ANALYSE - ERP =&gt; SOUS-SEGMENT'!$D$21</f>
        <v>Gymnases / salles multisports
(hors scolaire, mais gymnase municipaux inclus)</v>
      </c>
      <c r="H12" s="458">
        <f>'ANALYSE - ERP =&gt; SOUS-SEGMENT'!$BG$21*'ANALYSE - ERP =&gt; SOUS-SEGMENT'!$JI$21</f>
        <v>16510.34</v>
      </c>
      <c r="I12" s="458">
        <f>'ANALYSE - ERP =&gt; SOUS-SEGMENT'!$BG$21*'ANALYSE - ERP =&gt; SOUS-SEGMENT'!$JJ$21</f>
        <v>31223.78</v>
      </c>
      <c r="J12" s="458">
        <f>'ANALYSE - ERP =&gt; SOUS-SEGMENT'!$BG$21*'ANALYSE - ERP =&gt; SOUS-SEGMENT'!$JK$21</f>
        <v>5115.88</v>
      </c>
      <c r="K12" s="458">
        <f>'ANALYSE - ERP =&gt; SOUS-SEGMENT'!$BG$21*'ANALYSE - ERP =&gt; SOUS-SEGMENT'!$JL$21</f>
        <v>0</v>
      </c>
      <c r="L12" s="458">
        <f>'ANALYSE - ERP =&gt; SOUS-SEGMENT'!$BG$21*'ANALYSE - ERP =&gt; SOUS-SEGMENT'!$JM$21</f>
        <v>0</v>
      </c>
      <c r="N12" s="458">
        <f>'ANALYSE - ERP =&gt; SOUS-SEGMENT'!$FG$21*'ANALYSE - ERP =&gt; SOUS-SEGMENT'!$JN$21</f>
        <v>5061.6224007081255</v>
      </c>
      <c r="O12" s="458">
        <f>'ANALYSE - ERP =&gt; SOUS-SEGMENT'!$FG$21*'ANALYSE - ERP =&gt; SOUS-SEGMENT'!$JO$21</f>
        <v>17725.514981269378</v>
      </c>
      <c r="P12" s="458">
        <f>'ANALYSE - ERP =&gt; SOUS-SEGMENT'!$FG$21*'ANALYSE - ERP =&gt; SOUS-SEGMENT'!$JP$21</f>
        <v>5317.3734492725007</v>
      </c>
      <c r="Q12" s="458">
        <f>'ANALYSE - ERP =&gt; SOUS-SEGMENT'!$FG$21*'ANALYSE - ERP =&gt; SOUS-SEGMENT'!$JQ$21</f>
        <v>0</v>
      </c>
      <c r="R12" s="458">
        <f>'ANALYSE - ERP =&gt; SOUS-SEGMENT'!$FG$21*'ANALYSE - ERP =&gt; SOUS-SEGMENT'!$JR$21</f>
        <v>0</v>
      </c>
      <c r="T12" s="430">
        <f>'ANALYSE - ERP =&gt; SOUS-SEGMENT'!$Q$21</f>
        <v>1</v>
      </c>
    </row>
    <row r="13" spans="1:78" s="45" customFormat="1" ht="15" customHeight="1">
      <c r="A13" s="406">
        <v>10</v>
      </c>
      <c r="B13" s="406">
        <v>11</v>
      </c>
      <c r="C13" s="448">
        <f>'ANALYSE - ERP =&gt; SOUS-SEGMENT'!$A$77</f>
        <v>70</v>
      </c>
      <c r="D13" s="449" t="str">
        <f>'ANALYSE - ERP =&gt; SOUS-SEGMENT'!$B$77</f>
        <v>Commerce, Restauration &amp; Loisirs</v>
      </c>
      <c r="E13" s="449" t="str">
        <f>'ANALYSE - ERP =&gt; SOUS-SEGMENT'!$C$77</f>
        <v>Restauration / boissons</v>
      </c>
      <c r="F13" s="449" t="str">
        <f>'ANALYSE - ERP =&gt; SOUS-SEGMENT'!$D$77</f>
        <v>Fast-food / Cafétérias / Food courts</v>
      </c>
      <c r="G13" s="685"/>
      <c r="H13" s="459">
        <f>'ANALYSE - ERP =&gt; SOUS-SEGMENT'!$BG$77*'ANALYSE - ERP =&gt; SOUS-SEGMENT'!$JI$77</f>
        <v>3949.9740000000002</v>
      </c>
      <c r="I13" s="459">
        <f>'ANALYSE - ERP =&gt; SOUS-SEGMENT'!$BG$77*'ANALYSE - ERP =&gt; SOUS-SEGMENT'!$JJ$77</f>
        <v>20535.480000000003</v>
      </c>
      <c r="J13" s="459">
        <f>'ANALYSE - ERP =&gt; SOUS-SEGMENT'!$BG$77*'ANALYSE - ERP =&gt; SOUS-SEGMENT'!$JK$77</f>
        <v>9496.746000000001</v>
      </c>
      <c r="K13" s="459">
        <f>'ANALYSE - ERP =&gt; SOUS-SEGMENT'!$BG$77*'ANALYSE - ERP =&gt; SOUS-SEGMENT'!$JL$77</f>
        <v>1461.6000000000001</v>
      </c>
      <c r="L13" s="459">
        <f>'ANALYSE - ERP =&gt; SOUS-SEGMENT'!$BG$77*'ANALYSE - ERP =&gt; SOUS-SEGMENT'!$JM$77</f>
        <v>1096.2</v>
      </c>
      <c r="M13" s="685"/>
      <c r="N13" s="459">
        <f>'ANALYSE - ERP =&gt; SOUS-SEGMENT'!$FG$77*'ANALYSE - ERP =&gt; SOUS-SEGMENT'!$JN$77</f>
        <v>677.64598671363262</v>
      </c>
      <c r="O13" s="459">
        <f>'ANALYSE - ERP =&gt; SOUS-SEGMENT'!$FG$77*'ANALYSE - ERP =&gt; SOUS-SEGMENT'!$JO$77</f>
        <v>9377.4842832048198</v>
      </c>
      <c r="P13" s="459">
        <f>'ANALYSE - ERP =&gt; SOUS-SEGMENT'!$FG$77*'ANALYSE - ERP =&gt; SOUS-SEGMENT'!$JP$77</f>
        <v>8813.4555876767063</v>
      </c>
      <c r="Q13" s="459">
        <f>'ANALYSE - ERP =&gt; SOUS-SEGMENT'!$FG$77*'ANALYSE - ERP =&gt; SOUS-SEGMENT'!$JQ$77</f>
        <v>811.55207989656606</v>
      </c>
      <c r="R13" s="459">
        <f>'ANALYSE - ERP =&gt; SOUS-SEGMENT'!$FG$77*'ANALYSE - ERP =&gt; SOUS-SEGMENT'!$JR$77</f>
        <v>608.66405992242449</v>
      </c>
      <c r="S13" s="685"/>
      <c r="T13" s="450">
        <f>'ANALYSE - ERP =&gt; SOUS-SEGMENT'!$Q$77</f>
        <v>1</v>
      </c>
      <c r="U13" s="685"/>
      <c r="V13" s="685"/>
      <c r="W13" s="685"/>
      <c r="X13" s="685"/>
      <c r="Y13" s="685"/>
      <c r="Z13" s="685"/>
      <c r="AA13" s="685"/>
      <c r="AB13" s="685"/>
      <c r="AC13" s="685"/>
      <c r="AD13" s="685"/>
      <c r="AE13" s="685"/>
      <c r="AF13" s="685"/>
      <c r="AG13" s="685"/>
      <c r="AH13" s="685"/>
      <c r="AI13" s="685"/>
      <c r="AJ13" s="685"/>
      <c r="AK13" s="685"/>
      <c r="AL13" s="685"/>
      <c r="AM13" s="685"/>
      <c r="AN13" s="685"/>
      <c r="AO13" s="685"/>
      <c r="AP13" s="685"/>
      <c r="AQ13" s="685"/>
      <c r="AR13" s="685"/>
      <c r="AS13" s="685"/>
      <c r="AT13" s="685"/>
      <c r="AU13" s="685"/>
      <c r="AV13" s="685"/>
      <c r="AW13" s="685"/>
      <c r="AX13" s="685"/>
      <c r="AY13" s="685"/>
      <c r="AZ13" s="685"/>
      <c r="BA13" s="685"/>
      <c r="BB13" s="685"/>
      <c r="BC13" s="685"/>
      <c r="BD13" s="685"/>
      <c r="BE13" s="685"/>
      <c r="BF13" s="685"/>
      <c r="BG13" s="685"/>
      <c r="BH13" s="685"/>
      <c r="BI13" s="685"/>
      <c r="BJ13" s="685"/>
      <c r="BK13" s="685"/>
      <c r="BL13" s="685"/>
      <c r="BM13" s="685"/>
      <c r="BN13" s="685"/>
      <c r="BO13" s="685"/>
      <c r="BP13" s="685"/>
      <c r="BQ13" s="685"/>
      <c r="BR13" s="685"/>
      <c r="BS13" s="685"/>
      <c r="BT13" s="685"/>
      <c r="BU13" s="685"/>
      <c r="BV13" s="685"/>
      <c r="BW13" s="685"/>
      <c r="BX13" s="685"/>
      <c r="BY13" s="685"/>
      <c r="BZ13" s="685"/>
    </row>
    <row r="14" spans="1:78" ht="15" customHeight="1">
      <c r="A14" s="26">
        <v>11</v>
      </c>
      <c r="B14" s="26">
        <v>10</v>
      </c>
      <c r="C14" s="422">
        <f>'ANALYSE - ERP =&gt; SOUS-SEGMENT'!$A$84</f>
        <v>77</v>
      </c>
      <c r="D14" s="409" t="str">
        <f>'ANALYSE - ERP =&gt; SOUS-SEGMENT'!$B$84</f>
        <v>Tertiaire &amp; Industriel</v>
      </c>
      <c r="E14" s="409" t="str">
        <f>'ANALYSE - ERP =&gt; SOUS-SEGMENT'!$C$84</f>
        <v>Usines &amp; Ateliers</v>
      </c>
      <c r="F14" s="409" t="str">
        <f>'ANALYSE - ERP =&gt; SOUS-SEGMENT'!$D$84</f>
        <v>Usines 
(&gt;50 salariés)
(Hors Ateliers industriels)</v>
      </c>
      <c r="H14" s="458">
        <f>'ANALYSE - ERP =&gt; SOUS-SEGMENT'!$BG$84*'ANALYSE - ERP =&gt; SOUS-SEGMENT'!$JI$84</f>
        <v>2583.9</v>
      </c>
      <c r="I14" s="458">
        <f>'ANALYSE - ERP =&gt; SOUS-SEGMENT'!$BG$84*'ANALYSE - ERP =&gt; SOUS-SEGMENT'!$JJ$84</f>
        <v>25824.644999999997</v>
      </c>
      <c r="J14" s="458">
        <f>'ANALYSE - ERP =&gt; SOUS-SEGMENT'!$BG$84*'ANALYSE - ERP =&gt; SOUS-SEGMENT'!$JK$84</f>
        <v>17934.18</v>
      </c>
      <c r="K14" s="458">
        <f>'ANALYSE - ERP =&gt; SOUS-SEGMENT'!$BG$84*'ANALYSE - ERP =&gt; SOUS-SEGMENT'!$JL$84</f>
        <v>1507.2750000000001</v>
      </c>
      <c r="L14" s="458">
        <f>'ANALYSE - ERP =&gt; SOUS-SEGMENT'!$BG$84*'ANALYSE - ERP =&gt; SOUS-SEGMENT'!$JM$84</f>
        <v>0</v>
      </c>
      <c r="N14" s="458">
        <f>'ANALYSE - ERP =&gt; SOUS-SEGMENT'!$FG$84*'ANALYSE - ERP =&gt; SOUS-SEGMENT'!$JN$84</f>
        <v>654.40955862133342</v>
      </c>
      <c r="O14" s="458">
        <f>'ANALYSE - ERP =&gt; SOUS-SEGMENT'!$FG$84*'ANALYSE - ERP =&gt; SOUS-SEGMENT'!$JO$84</f>
        <v>10546.694930611111</v>
      </c>
      <c r="P14" s="458">
        <f>'ANALYSE - ERP =&gt; SOUS-SEGMENT'!$FG$84*'ANALYSE - ERP =&gt; SOUS-SEGMENT'!$JP$84</f>
        <v>8169.8300242977793</v>
      </c>
      <c r="Q14" s="458">
        <f>'ANALYSE - ERP =&gt; SOUS-SEGMENT'!$FG$84*'ANALYSE - ERP =&gt; SOUS-SEGMENT'!$JQ$84</f>
        <v>1105.0878395586667</v>
      </c>
      <c r="R14" s="458">
        <f>'ANALYSE - ERP =&gt; SOUS-SEGMENT'!$FG$84*'ANALYSE - ERP =&gt; SOUS-SEGMENT'!$JR$84</f>
        <v>102.8945846888889</v>
      </c>
      <c r="T14" s="430">
        <f>'ANALYSE - ERP =&gt; SOUS-SEGMENT'!$Q$84</f>
        <v>1</v>
      </c>
    </row>
    <row r="15" spans="1:78" s="45" customFormat="1" ht="15" customHeight="1">
      <c r="A15" s="406">
        <v>12</v>
      </c>
      <c r="B15" s="406">
        <v>12</v>
      </c>
      <c r="C15" s="448">
        <f>'ANALYSE - ERP =&gt; SOUS-SEGMENT'!$A$113</f>
        <v>106</v>
      </c>
      <c r="D15" s="449" t="str">
        <f>'ANALYSE - ERP =&gt; SOUS-SEGMENT'!$B$113</f>
        <v>Culte, Vie civique &amp; Services publics</v>
      </c>
      <c r="E15" s="449" t="str">
        <f>'ANALYSE - ERP =&gt; SOUS-SEGMENT'!$C$113</f>
        <v>Culte</v>
      </c>
      <c r="F15" s="449" t="str">
        <f>'ANALYSE - ERP =&gt; SOUS-SEGMENT'!$D$113</f>
        <v>Églises, cathédrales, basiliques et chapelles ouvertes au public</v>
      </c>
      <c r="G15" s="685"/>
      <c r="H15" s="459">
        <f>'ANALYSE - ERP =&gt; SOUS-SEGMENT'!$BG$113*'ANALYSE - ERP =&gt; SOUS-SEGMENT'!$JI$113</f>
        <v>316.92999999999995</v>
      </c>
      <c r="I15" s="459">
        <f>'ANALYSE - ERP =&gt; SOUS-SEGMENT'!$BG$113*'ANALYSE - ERP =&gt; SOUS-SEGMENT'!$JJ$113</f>
        <v>1260.135</v>
      </c>
      <c r="J15" s="459">
        <f>'ANALYSE - ERP =&gt; SOUS-SEGMENT'!$BG$113*'ANALYSE - ERP =&gt; SOUS-SEGMENT'!$JK$113</f>
        <v>449.15499999999997</v>
      </c>
      <c r="K15" s="459">
        <f>'ANALYSE - ERP =&gt; SOUS-SEGMENT'!$BG$113*'ANALYSE - ERP =&gt; SOUS-SEGMENT'!$JL$113</f>
        <v>23.779999999999998</v>
      </c>
      <c r="L15" s="459">
        <f>'ANALYSE - ERP =&gt; SOUS-SEGMENT'!$BG$113*'ANALYSE - ERP =&gt; SOUS-SEGMENT'!$JM$113</f>
        <v>0</v>
      </c>
      <c r="M15" s="685"/>
      <c r="N15" s="459">
        <f>'ANALYSE - ERP =&gt; SOUS-SEGMENT'!$FG$113*'ANALYSE - ERP =&gt; SOUS-SEGMENT'!$JN$113</f>
        <v>110.50489817307694</v>
      </c>
      <c r="O15" s="459">
        <f>'ANALYSE - ERP =&gt; SOUS-SEGMENT'!$FG$113*'ANALYSE - ERP =&gt; SOUS-SEGMENT'!$JO$113</f>
        <v>469.86210796153853</v>
      </c>
      <c r="P15" s="459">
        <f>'ANALYSE - ERP =&gt; SOUS-SEGMENT'!$FG$113*'ANALYSE - ERP =&gt; SOUS-SEGMENT'!$JP$113</f>
        <v>183.41453561538461</v>
      </c>
      <c r="Q15" s="459">
        <f>'ANALYSE - ERP =&gt; SOUS-SEGMENT'!$FG$113*'ANALYSE - ERP =&gt; SOUS-SEGMENT'!$JQ$113</f>
        <v>20.21335148076923</v>
      </c>
      <c r="R15" s="459">
        <f>'ANALYSE - ERP =&gt; SOUS-SEGMENT'!$FG$113*'ANALYSE - ERP =&gt; SOUS-SEGMENT'!$JR$113</f>
        <v>2.5168375384615387</v>
      </c>
      <c r="S15" s="685"/>
      <c r="T15" s="450">
        <f>'ANALYSE - ERP =&gt; SOUS-SEGMENT'!$Q$113</f>
        <v>1</v>
      </c>
      <c r="U15" s="685"/>
      <c r="V15" s="685"/>
      <c r="W15" s="685"/>
      <c r="X15" s="685"/>
      <c r="Y15" s="685"/>
      <c r="Z15" s="685"/>
      <c r="AA15" s="685"/>
      <c r="AB15" s="685"/>
      <c r="AC15" s="685"/>
      <c r="AD15" s="685"/>
      <c r="AE15" s="685"/>
      <c r="AF15" s="685"/>
      <c r="AG15" s="685"/>
      <c r="AH15" s="685"/>
      <c r="AI15" s="685"/>
      <c r="AJ15" s="685"/>
      <c r="AK15" s="685"/>
      <c r="AL15" s="685"/>
      <c r="AM15" s="685"/>
      <c r="AN15" s="685"/>
      <c r="AO15" s="685"/>
      <c r="AP15" s="685"/>
      <c r="AQ15" s="685"/>
      <c r="AR15" s="685"/>
      <c r="AS15" s="685"/>
      <c r="AT15" s="685"/>
      <c r="AU15" s="685"/>
      <c r="AV15" s="685"/>
      <c r="AW15" s="685"/>
      <c r="AX15" s="685"/>
      <c r="AY15" s="685"/>
      <c r="AZ15" s="685"/>
      <c r="BA15" s="685"/>
      <c r="BB15" s="685"/>
      <c r="BC15" s="685"/>
      <c r="BD15" s="685"/>
      <c r="BE15" s="685"/>
      <c r="BF15" s="685"/>
      <c r="BG15" s="685"/>
      <c r="BH15" s="685"/>
      <c r="BI15" s="685"/>
      <c r="BJ15" s="685"/>
      <c r="BK15" s="685"/>
      <c r="BL15" s="685"/>
      <c r="BM15" s="685"/>
      <c r="BN15" s="685"/>
      <c r="BO15" s="685"/>
      <c r="BP15" s="685"/>
      <c r="BQ15" s="685"/>
      <c r="BR15" s="685"/>
      <c r="BS15" s="685"/>
      <c r="BT15" s="685"/>
      <c r="BU15" s="685"/>
      <c r="BV15" s="685"/>
      <c r="BW15" s="685"/>
      <c r="BX15" s="685"/>
      <c r="BY15" s="685"/>
      <c r="BZ15" s="685"/>
    </row>
    <row r="16" spans="1:78" ht="15" customHeight="1">
      <c r="A16" s="26">
        <v>13</v>
      </c>
      <c r="B16" s="26">
        <v>14</v>
      </c>
      <c r="C16" s="422">
        <f>'ANALYSE - ERP =&gt; SOUS-SEGMENT'!$A$19</f>
        <v>12</v>
      </c>
      <c r="D16" s="408" t="str">
        <f>'ANALYSE - ERP =&gt; SOUS-SEGMENT'!$B$19</f>
        <v>Enfance, Enseignement, Jeunesse &amp; Formation</v>
      </c>
      <c r="E16" s="408" t="str">
        <f>'ANALYSE - ERP =&gt; SOUS-SEGMENT'!$C$19</f>
        <v>Formation</v>
      </c>
      <c r="F16" s="408" t="str">
        <f>'ANALYSE - ERP =&gt; SOUS-SEGMENT'!$D$19</f>
        <v>Centres de formation / CFA</v>
      </c>
      <c r="H16" s="458">
        <f>'ANALYSE - ERP =&gt; SOUS-SEGMENT'!$BG$19*'ANALYSE - ERP =&gt; SOUS-SEGMENT'!$JI$19</f>
        <v>2159.136</v>
      </c>
      <c r="I16" s="458">
        <f>'ANALYSE - ERP =&gt; SOUS-SEGMENT'!$BG$19*'ANALYSE - ERP =&gt; SOUS-SEGMENT'!$JJ$19</f>
        <v>13157.423999999999</v>
      </c>
      <c r="J16" s="458">
        <f>'ANALYSE - ERP =&gt; SOUS-SEGMENT'!$BG$19*'ANALYSE - ERP =&gt; SOUS-SEGMENT'!$JK$19</f>
        <v>12331.871999999999</v>
      </c>
      <c r="K16" s="458">
        <f>'ANALYSE - ERP =&gt; SOUS-SEGMENT'!$BG$19*'ANALYSE - ERP =&gt; SOUS-SEGMENT'!$JL$19</f>
        <v>2549.232</v>
      </c>
      <c r="L16" s="458">
        <f>'ANALYSE - ERP =&gt; SOUS-SEGMENT'!$BG$19*'ANALYSE - ERP =&gt; SOUS-SEGMENT'!$JM$19</f>
        <v>42.335999999999999</v>
      </c>
      <c r="N16" s="458">
        <f>'ANALYSE - ERP =&gt; SOUS-SEGMENT'!$FG$19*'ANALYSE - ERP =&gt; SOUS-SEGMENT'!$JN$19</f>
        <v>0</v>
      </c>
      <c r="O16" s="458">
        <f>'ANALYSE - ERP =&gt; SOUS-SEGMENT'!$FG$19*'ANALYSE - ERP =&gt; SOUS-SEGMENT'!$JO$19</f>
        <v>2785.2905638553602</v>
      </c>
      <c r="P16" s="458">
        <f>'ANALYSE - ERP =&gt; SOUS-SEGMENT'!$FG$19*'ANALYSE - ERP =&gt; SOUS-SEGMENT'!$JP$19</f>
        <v>6310.4602307865598</v>
      </c>
      <c r="Q16" s="458">
        <f>'ANALYSE - ERP =&gt; SOUS-SEGMENT'!$FG$19*'ANALYSE - ERP =&gt; SOUS-SEGMENT'!$JQ$19</f>
        <v>2396.1861689881603</v>
      </c>
      <c r="R16" s="458">
        <f>'ANALYSE - ERP =&gt; SOUS-SEGMENT'!$FG$19*'ANALYSE - ERP =&gt; SOUS-SEGMENT'!$JR$19</f>
        <v>123.11959956992</v>
      </c>
      <c r="T16" s="430">
        <f>'ANALYSE - ERP =&gt; SOUS-SEGMENT'!$Q$19</f>
        <v>1</v>
      </c>
    </row>
    <row r="17" spans="1:20" ht="15" customHeight="1">
      <c r="A17" s="26">
        <v>14</v>
      </c>
      <c r="B17" s="26">
        <v>13</v>
      </c>
      <c r="C17" s="422">
        <f>'ANALYSE - ERP =&gt; SOUS-SEGMENT'!$A$76</f>
        <v>69</v>
      </c>
      <c r="D17" s="411" t="str">
        <f>'ANALYSE - ERP =&gt; SOUS-SEGMENT'!$B$76</f>
        <v>Commerce, Restauration &amp; Loisirs</v>
      </c>
      <c r="E17" s="411" t="str">
        <f>'ANALYSE - ERP =&gt; SOUS-SEGMENT'!$C$76</f>
        <v>Restauration / boissons</v>
      </c>
      <c r="F17" s="411" t="str">
        <f>'ANALYSE - ERP =&gt; SOUS-SEGMENT'!$D$76</f>
        <v>Cafés / bars / brasseries</v>
      </c>
      <c r="H17" s="458">
        <f>'ANALYSE - ERP =&gt; SOUS-SEGMENT'!$BG$76*'ANALYSE - ERP =&gt; SOUS-SEGMENT'!$JI$76</f>
        <v>1667.6945999999998</v>
      </c>
      <c r="I17" s="458">
        <f>'ANALYSE - ERP =&gt; SOUS-SEGMENT'!$BG$76*'ANALYSE - ERP =&gt; SOUS-SEGMENT'!$JJ$76</f>
        <v>9253.0151999999998</v>
      </c>
      <c r="J17" s="458">
        <f>'ANALYSE - ERP =&gt; SOUS-SEGMENT'!$BG$76*'ANALYSE - ERP =&gt; SOUS-SEGMENT'!$JK$76</f>
        <v>9448.6391999999996</v>
      </c>
      <c r="K17" s="458">
        <f>'ANALYSE - ERP =&gt; SOUS-SEGMENT'!$BG$76*'ANALYSE - ERP =&gt; SOUS-SEGMENT'!$JL$76</f>
        <v>3218.0147999999999</v>
      </c>
      <c r="L17" s="458">
        <f>'ANALYSE - ERP =&gt; SOUS-SEGMENT'!$BG$76*'ANALYSE - ERP =&gt; SOUS-SEGMENT'!$JM$76</f>
        <v>865.63620000000003</v>
      </c>
      <c r="N17" s="458">
        <f>'ANALYSE - ERP =&gt; SOUS-SEGMENT'!$FG$76*'ANALYSE - ERP =&gt; SOUS-SEGMENT'!$JN$76</f>
        <v>297.22229414928034</v>
      </c>
      <c r="O17" s="458">
        <f>'ANALYSE - ERP =&gt; SOUS-SEGMENT'!$FG$76*'ANALYSE - ERP =&gt; SOUS-SEGMENT'!$JO$76</f>
        <v>4045.9719500861497</v>
      </c>
      <c r="P17" s="458">
        <f>'ANALYSE - ERP =&gt; SOUS-SEGMENT'!$FG$76*'ANALYSE - ERP =&gt; SOUS-SEGMENT'!$JP$76</f>
        <v>5948.4624004741099</v>
      </c>
      <c r="Q17" s="458">
        <f>'ANALYSE - ERP =&gt; SOUS-SEGMENT'!$FG$76*'ANALYSE - ERP =&gt; SOUS-SEGMENT'!$JQ$76</f>
        <v>2527.7283394317174</v>
      </c>
      <c r="R17" s="458">
        <f>'ANALYSE - ERP =&gt; SOUS-SEGMENT'!$FG$76*'ANALYSE - ERP =&gt; SOUS-SEGMENT'!$JR$76</f>
        <v>569.00664420470332</v>
      </c>
      <c r="T17" s="430">
        <f>'ANALYSE - ERP =&gt; SOUS-SEGMENT'!$Q$76</f>
        <v>1</v>
      </c>
    </row>
    <row r="18" spans="1:20" ht="15" customHeight="1">
      <c r="A18" s="26">
        <v>15</v>
      </c>
      <c r="B18" s="26">
        <v>15</v>
      </c>
      <c r="C18" s="422">
        <f>'ANALYSE - ERP =&gt; SOUS-SEGMENT'!$A$29</f>
        <v>22</v>
      </c>
      <c r="D18" s="409" t="str">
        <f>'ANALYSE - ERP =&gt; SOUS-SEGMENT'!$B$29</f>
        <v>Sports &amp; Loisirs</v>
      </c>
      <c r="E18" s="409" t="str">
        <f>'ANALYSE - ERP =&gt; SOUS-SEGMENT'!$C$29</f>
        <v>Sport de plein air</v>
      </c>
      <c r="F18" s="409" t="str">
        <f>'ANALYSE - ERP =&gt; SOUS-SEGMENT'!$D$29</f>
        <v xml:space="preserve">Grands stades avec tribunes
(Type football/rugby) </v>
      </c>
      <c r="H18" s="458">
        <f>'ANALYSE - ERP =&gt; SOUS-SEGMENT'!$BG$29*'ANALYSE - ERP =&gt; SOUS-SEGMENT'!$JI$29</f>
        <v>1777.44</v>
      </c>
      <c r="I18" s="458">
        <f>'ANALYSE - ERP =&gt; SOUS-SEGMENT'!$BG$29*'ANALYSE - ERP =&gt; SOUS-SEGMENT'!$JJ$29</f>
        <v>10322.400000000001</v>
      </c>
      <c r="J18" s="458">
        <f>'ANALYSE - ERP =&gt; SOUS-SEGMENT'!$BG$29*'ANALYSE - ERP =&gt; SOUS-SEGMENT'!$JK$29</f>
        <v>5748.16</v>
      </c>
      <c r="K18" s="458">
        <f>'ANALYSE - ERP =&gt; SOUS-SEGMENT'!$BG$29*'ANALYSE - ERP =&gt; SOUS-SEGMENT'!$JL$29</f>
        <v>552</v>
      </c>
      <c r="L18" s="458">
        <f>'ANALYSE - ERP =&gt; SOUS-SEGMENT'!$BG$29*'ANALYSE - ERP =&gt; SOUS-SEGMENT'!$JM$29</f>
        <v>0</v>
      </c>
      <c r="N18" s="458">
        <f>'ANALYSE - ERP =&gt; SOUS-SEGMENT'!$FG$29*'ANALYSE - ERP =&gt; SOUS-SEGMENT'!$JN$29</f>
        <v>363.92285751253331</v>
      </c>
      <c r="O18" s="458">
        <f>'ANALYSE - ERP =&gt; SOUS-SEGMENT'!$FG$29*'ANALYSE - ERP =&gt; SOUS-SEGMENT'!$JO$29</f>
        <v>4406.2057802055115</v>
      </c>
      <c r="P18" s="458">
        <f>'ANALYSE - ERP =&gt; SOUS-SEGMENT'!$FG$29*'ANALYSE - ERP =&gt; SOUS-SEGMENT'!$JP$29</f>
        <v>4719.2577006463998</v>
      </c>
      <c r="Q18" s="458">
        <f>'ANALYSE - ERP =&gt; SOUS-SEGMENT'!$FG$29*'ANALYSE - ERP =&gt; SOUS-SEGMENT'!$JQ$29</f>
        <v>293.48617541333334</v>
      </c>
      <c r="R18" s="458">
        <f>'ANALYSE - ERP =&gt; SOUS-SEGMENT'!$FG$29*'ANALYSE - ERP =&gt; SOUS-SEGMENT'!$JR$29</f>
        <v>0</v>
      </c>
      <c r="T18" s="430">
        <f>'ANALYSE - ERP =&gt; SOUS-SEGMENT'!$Q$29</f>
        <v>1</v>
      </c>
    </row>
    <row r="19" spans="1:20" ht="15" customHeight="1">
      <c r="A19" s="26">
        <v>16</v>
      </c>
      <c r="B19" s="26">
        <v>16</v>
      </c>
      <c r="C19" s="422">
        <f>'ANALYSE - ERP =&gt; SOUS-SEGMENT'!$A$94</f>
        <v>87</v>
      </c>
      <c r="D19" s="409" t="str">
        <f>'ANALYSE - ERP =&gt; SOUS-SEGMENT'!$B$94</f>
        <v>Hébergement Touristique</v>
      </c>
      <c r="E19" s="409" t="str">
        <f>'ANALYSE - ERP =&gt; SOUS-SEGMENT'!$C$94</f>
        <v>Tourisme de plein air</v>
      </c>
      <c r="F19" s="409" t="str">
        <f>'ANALYSE - ERP =&gt; SOUS-SEGMENT'!$D$94</f>
        <v>Campings</v>
      </c>
      <c r="H19" s="458">
        <f>'ANALYSE - ERP =&gt; SOUS-SEGMENT'!$BG$94*'ANALYSE - ERP =&gt; SOUS-SEGMENT'!$JI$94</f>
        <v>4680.9472500000002</v>
      </c>
      <c r="I19" s="458">
        <f>'ANALYSE - ERP =&gt; SOUS-SEGMENT'!$BG$94*'ANALYSE - ERP =&gt; SOUS-SEGMENT'!$JJ$94</f>
        <v>13254.617249999999</v>
      </c>
      <c r="J19" s="458">
        <f>'ANALYSE - ERP =&gt; SOUS-SEGMENT'!$BG$94*'ANALYSE - ERP =&gt; SOUS-SEGMENT'!$JK$94</f>
        <v>4876.8510000000006</v>
      </c>
      <c r="K19" s="458">
        <f>'ANALYSE - ERP =&gt; SOUS-SEGMENT'!$BG$94*'ANALYSE - ERP =&gt; SOUS-SEGMENT'!$JL$94</f>
        <v>232.77974999999998</v>
      </c>
      <c r="L19" s="458">
        <f>'ANALYSE - ERP =&gt; SOUS-SEGMENT'!$BG$94*'ANALYSE - ERP =&gt; SOUS-SEGMENT'!$JM$94</f>
        <v>2.3047500000000003</v>
      </c>
      <c r="N19" s="458">
        <f>'ANALYSE - ERP =&gt; SOUS-SEGMENT'!$FG$94*'ANALYSE - ERP =&gt; SOUS-SEGMENT'!$JN$94</f>
        <v>1077.0065776510726</v>
      </c>
      <c r="O19" s="458">
        <f>'ANALYSE - ERP =&gt; SOUS-SEGMENT'!$FG$94*'ANALYSE - ERP =&gt; SOUS-SEGMENT'!$JO$94</f>
        <v>5622.7994613456704</v>
      </c>
      <c r="P19" s="458">
        <f>'ANALYSE - ERP =&gt; SOUS-SEGMENT'!$FG$94*'ANALYSE - ERP =&gt; SOUS-SEGMENT'!$JP$94</f>
        <v>3816.2077827051612</v>
      </c>
      <c r="Q19" s="458">
        <f>'ANALYSE - ERP =&gt; SOUS-SEGMENT'!$FG$94*'ANALYSE - ERP =&gt; SOUS-SEGMENT'!$JQ$94</f>
        <v>336.56455551596019</v>
      </c>
      <c r="R19" s="458">
        <f>'ANALYSE - ERP =&gt; SOUS-SEGMENT'!$FG$94*'ANALYSE - ERP =&gt; SOUS-SEGMENT'!$JR$94</f>
        <v>4.342768458270454</v>
      </c>
      <c r="T19" s="430">
        <f>'ANALYSE - ERP =&gt; SOUS-SEGMENT'!$Q$94</f>
        <v>1</v>
      </c>
    </row>
    <row r="20" spans="1:20" ht="15" customHeight="1">
      <c r="A20" s="26">
        <v>17</v>
      </c>
      <c r="B20" s="26">
        <v>17</v>
      </c>
      <c r="C20" s="422">
        <f>'ANALYSE - ERP =&gt; SOUS-SEGMENT'!$A$35</f>
        <v>28</v>
      </c>
      <c r="D20" s="416" t="str">
        <f>'ANALYSE - ERP =&gt; SOUS-SEGMENT'!$B$35</f>
        <v>Sports &amp; Loisirs</v>
      </c>
      <c r="E20" s="416" t="str">
        <f>'ANALYSE - ERP =&gt; SOUS-SEGMENT'!$C$35</f>
        <v>Loisirs de plein air</v>
      </c>
      <c r="F20" s="416" t="str">
        <f>'ANALYSE - ERP =&gt; SOUS-SEGMENT'!$D$35</f>
        <v>Centres de loisirs sans hébergement</v>
      </c>
      <c r="H20" s="458">
        <f>'ANALYSE - ERP =&gt; SOUS-SEGMENT'!$BG$35*'ANALYSE - ERP =&gt; SOUS-SEGMENT'!$JI$35</f>
        <v>5088.6000000000004</v>
      </c>
      <c r="I20" s="458">
        <f>'ANALYSE - ERP =&gt; SOUS-SEGMENT'!$BG$35*'ANALYSE - ERP =&gt; SOUS-SEGMENT'!$JJ$35</f>
        <v>10373.400000000001</v>
      </c>
      <c r="J20" s="458">
        <f>'ANALYSE - ERP =&gt; SOUS-SEGMENT'!$BG$35*'ANALYSE - ERP =&gt; SOUS-SEGMENT'!$JK$35</f>
        <v>2537.9999999999995</v>
      </c>
      <c r="K20" s="458">
        <f>'ANALYSE - ERP =&gt; SOUS-SEGMENT'!$BG$35*'ANALYSE - ERP =&gt; SOUS-SEGMENT'!$JL$35</f>
        <v>0</v>
      </c>
      <c r="L20" s="458">
        <f>'ANALYSE - ERP =&gt; SOUS-SEGMENT'!$BG$35*'ANALYSE - ERP =&gt; SOUS-SEGMENT'!$JM$35</f>
        <v>0</v>
      </c>
      <c r="N20" s="458">
        <f>'ANALYSE - ERP =&gt; SOUS-SEGMENT'!$FG$35*'ANALYSE - ERP =&gt; SOUS-SEGMENT'!$JN$35</f>
        <v>736.47855213659989</v>
      </c>
      <c r="O20" s="458">
        <f>'ANALYSE - ERP =&gt; SOUS-SEGMENT'!$FG$35*'ANALYSE - ERP =&gt; SOUS-SEGMENT'!$JO$35</f>
        <v>2700.5786242343997</v>
      </c>
      <c r="P20" s="458">
        <f>'ANALYSE - ERP =&gt; SOUS-SEGMENT'!$FG$35*'ANALYSE - ERP =&gt; SOUS-SEGMENT'!$JP$35</f>
        <v>1279.9912312277997</v>
      </c>
      <c r="Q20" s="458">
        <f>'ANALYSE - ERP =&gt; SOUS-SEGMENT'!$FG$35*'ANALYSE - ERP =&gt; SOUS-SEGMENT'!$JQ$35</f>
        <v>0</v>
      </c>
      <c r="R20" s="458">
        <f>'ANALYSE - ERP =&gt; SOUS-SEGMENT'!$FG$35*'ANALYSE - ERP =&gt; SOUS-SEGMENT'!$JR$35</f>
        <v>0.94359840119999994</v>
      </c>
      <c r="T20" s="430">
        <f>'ANALYSE - ERP =&gt; SOUS-SEGMENT'!$Q$35</f>
        <v>1</v>
      </c>
    </row>
    <row r="21" spans="1:20" ht="15" customHeight="1">
      <c r="A21" s="26">
        <v>18</v>
      </c>
      <c r="B21" s="26">
        <v>19</v>
      </c>
      <c r="C21" s="422">
        <f>'ANALYSE - ERP =&gt; SOUS-SEGMENT'!$A$87</f>
        <v>80</v>
      </c>
      <c r="D21" s="417" t="str">
        <f>'ANALYSE - ERP =&gt; SOUS-SEGMENT'!$B$87</f>
        <v>Hébergement Touristique</v>
      </c>
      <c r="E21" s="417" t="str">
        <f>'ANALYSE - ERP =&gt; SOUS-SEGMENT'!$C$87</f>
        <v>Hébergement Touristique</v>
      </c>
      <c r="F21" s="417" t="str">
        <f>'ANALYSE - ERP =&gt; SOUS-SEGMENT'!$D$87</f>
        <v>Hôtels 
(hors autres hébérgements touristiques)</v>
      </c>
      <c r="H21" s="458">
        <f>'ANALYSE - ERP =&gt; SOUS-SEGMENT'!$BG$87*'ANALYSE - ERP =&gt; SOUS-SEGMENT'!$JI$87</f>
        <v>188.72699999999998</v>
      </c>
      <c r="I21" s="458">
        <f>'ANALYSE - ERP =&gt; SOUS-SEGMENT'!$BG$87*'ANALYSE - ERP =&gt; SOUS-SEGMENT'!$JJ$87</f>
        <v>3966.8790000000004</v>
      </c>
      <c r="J21" s="458">
        <f>'ANALYSE - ERP =&gt; SOUS-SEGMENT'!$BG$87*'ANALYSE - ERP =&gt; SOUS-SEGMENT'!$JK$87</f>
        <v>3935.2740000000003</v>
      </c>
      <c r="K21" s="458">
        <f>'ANALYSE - ERP =&gt; SOUS-SEGMENT'!$BG$87*'ANALYSE - ERP =&gt; SOUS-SEGMENT'!$JL$87</f>
        <v>897.58199999999999</v>
      </c>
      <c r="L21" s="458">
        <f>'ANALYSE - ERP =&gt; SOUS-SEGMENT'!$BG$87*'ANALYSE - ERP =&gt; SOUS-SEGMENT'!$JM$87</f>
        <v>41.537999999999997</v>
      </c>
      <c r="N21" s="458">
        <f>'ANALYSE - ERP =&gt; SOUS-SEGMENT'!$FG$87*'ANALYSE - ERP =&gt; SOUS-SEGMENT'!$JN$87</f>
        <v>0</v>
      </c>
      <c r="O21" s="458">
        <f>'ANALYSE - ERP =&gt; SOUS-SEGMENT'!$FG$87*'ANALYSE - ERP =&gt; SOUS-SEGMENT'!$JO$87</f>
        <v>1911.3312420112318</v>
      </c>
      <c r="P21" s="458">
        <f>'ANALYSE - ERP =&gt; SOUS-SEGMENT'!$FG$87*'ANALYSE - ERP =&gt; SOUS-SEGMENT'!$JP$87</f>
        <v>2175.2567141820477</v>
      </c>
      <c r="Q21" s="458">
        <f>'ANALYSE - ERP =&gt; SOUS-SEGMENT'!$FG$87*'ANALYSE - ERP =&gt; SOUS-SEGMENT'!$JQ$87</f>
        <v>593.59582002575996</v>
      </c>
      <c r="R21" s="458">
        <f>'ANALYSE - ERP =&gt; SOUS-SEGMENT'!$FG$87*'ANALYSE - ERP =&gt; SOUS-SEGMENT'!$JR$87</f>
        <v>49.663395300959998</v>
      </c>
      <c r="T21" s="430">
        <f>'ANALYSE - ERP =&gt; SOUS-SEGMENT'!$Q$87</f>
        <v>1</v>
      </c>
    </row>
    <row r="22" spans="1:20" ht="15" customHeight="1">
      <c r="A22" s="26">
        <v>19</v>
      </c>
      <c r="B22" s="26">
        <v>18</v>
      </c>
      <c r="C22" s="422">
        <f>'ANALYSE - ERP =&gt; SOUS-SEGMENT'!$A$68</f>
        <v>61</v>
      </c>
      <c r="D22" s="408" t="str">
        <f>'ANALYSE - ERP =&gt; SOUS-SEGMENT'!$B$68</f>
        <v>Culture, Patrimoine &amp; Evénementiel</v>
      </c>
      <c r="E22" s="408" t="str">
        <f>'ANALYSE - ERP =&gt; SOUS-SEGMENT'!$C$68</f>
        <v>Culture / spectacle</v>
      </c>
      <c r="F22" s="408" t="str">
        <f>'ANALYSE - ERP =&gt; SOUS-SEGMENT'!$D$68</f>
        <v>Bibliothèques / Médiathèques</v>
      </c>
      <c r="H22" s="458">
        <f>'ANALYSE - ERP =&gt; SOUS-SEGMENT'!$BG$68*'ANALYSE - ERP =&gt; SOUS-SEGMENT'!$JI$68</f>
        <v>1125.3</v>
      </c>
      <c r="I22" s="458">
        <f>'ANALYSE - ERP =&gt; SOUS-SEGMENT'!$BG$68*'ANALYSE - ERP =&gt; SOUS-SEGMENT'!$JJ$68</f>
        <v>6517.75</v>
      </c>
      <c r="J22" s="458">
        <f>'ANALYSE - ERP =&gt; SOUS-SEGMENT'!$BG$68*'ANALYSE - ERP =&gt; SOUS-SEGMENT'!$JK$68</f>
        <v>6389.1</v>
      </c>
      <c r="K22" s="458">
        <f>'ANALYSE - ERP =&gt; SOUS-SEGMENT'!$BG$68*'ANALYSE - ERP =&gt; SOUS-SEGMENT'!$JL$68</f>
        <v>1436.8500000000001</v>
      </c>
      <c r="L22" s="458">
        <f>'ANALYSE - ERP =&gt; SOUS-SEGMENT'!$BG$68*'ANALYSE - ERP =&gt; SOUS-SEGMENT'!$JM$68</f>
        <v>31</v>
      </c>
      <c r="N22" s="458">
        <f>'ANALYSE - ERP =&gt; SOUS-SEGMENT'!$FG$68*'ANALYSE - ERP =&gt; SOUS-SEGMENT'!$JN$68</f>
        <v>165.54117191897436</v>
      </c>
      <c r="O22" s="458">
        <f>'ANALYSE - ERP =&gt; SOUS-SEGMENT'!$FG$68*'ANALYSE - ERP =&gt; SOUS-SEGMENT'!$JO$68</f>
        <v>2263.5361069416786</v>
      </c>
      <c r="P22" s="458">
        <f>'ANALYSE - ERP =&gt; SOUS-SEGMENT'!$FG$68*'ANALYSE - ERP =&gt; SOUS-SEGMENT'!$JP$68</f>
        <v>3379.9129357506295</v>
      </c>
      <c r="Q22" s="458">
        <f>'ANALYSE - ERP =&gt; SOUS-SEGMENT'!$FG$68*'ANALYSE - ERP =&gt; SOUS-SEGMENT'!$JQ$68</f>
        <v>993.9310859432635</v>
      </c>
      <c r="R22" s="458">
        <f>'ANALYSE - ERP =&gt; SOUS-SEGMENT'!$FG$68*'ANALYSE - ERP =&gt; SOUS-SEGMENT'!$JR$68</f>
        <v>37.622993617948715</v>
      </c>
      <c r="T22" s="430">
        <f>'ANALYSE - ERP =&gt; SOUS-SEGMENT'!$Q$68</f>
        <v>1</v>
      </c>
    </row>
    <row r="23" spans="1:20" ht="15" customHeight="1">
      <c r="A23" s="26">
        <v>20</v>
      </c>
      <c r="B23" s="26">
        <v>21</v>
      </c>
      <c r="C23" s="422">
        <f>'ANALYSE - ERP =&gt; SOUS-SEGMENT'!$A$66</f>
        <v>59</v>
      </c>
      <c r="D23" s="409" t="str">
        <f>'ANALYSE - ERP =&gt; SOUS-SEGMENT'!$B$66</f>
        <v>Culture, Patrimoine &amp; Evénementiel</v>
      </c>
      <c r="E23" s="409" t="str">
        <f>'ANALYSE - ERP =&gt; SOUS-SEGMENT'!$C$66</f>
        <v>Culture / spectacle</v>
      </c>
      <c r="F23" s="409" t="str">
        <f>'ANALYSE - ERP =&gt; SOUS-SEGMENT'!$D$66</f>
        <v>Salles de conférence / Réunion</v>
      </c>
      <c r="H23" s="458">
        <f>'ANALYSE - ERP =&gt; SOUS-SEGMENT'!$BG$66*'ANALYSE - ERP =&gt; SOUS-SEGMENT'!$JI$66</f>
        <v>387.43600000000004</v>
      </c>
      <c r="I23" s="458">
        <f>'ANALYSE - ERP =&gt; SOUS-SEGMENT'!$BG$66*'ANALYSE - ERP =&gt; SOUS-SEGMENT'!$JJ$66</f>
        <v>2789.8220000000001</v>
      </c>
      <c r="J23" s="458">
        <f>'ANALYSE - ERP =&gt; SOUS-SEGMENT'!$BG$66*'ANALYSE - ERP =&gt; SOUS-SEGMENT'!$JK$66</f>
        <v>3117.87</v>
      </c>
      <c r="K23" s="458">
        <f>'ANALYSE - ERP =&gt; SOUS-SEGMENT'!$BG$66*'ANALYSE - ERP =&gt; SOUS-SEGMENT'!$JL$66</f>
        <v>755.07600000000002</v>
      </c>
      <c r="L23" s="458">
        <f>'ANALYSE - ERP =&gt; SOUS-SEGMENT'!$BG$66*'ANALYSE - ERP =&gt; SOUS-SEGMENT'!$JM$66</f>
        <v>19.795999999999999</v>
      </c>
      <c r="N23" s="458">
        <f>'ANALYSE - ERP =&gt; SOUS-SEGMENT'!$FG$66*'ANALYSE - ERP =&gt; SOUS-SEGMENT'!$JN$66</f>
        <v>13.822552500239318</v>
      </c>
      <c r="O23" s="458">
        <f>'ANALYSE - ERP =&gt; SOUS-SEGMENT'!$FG$66*'ANALYSE - ERP =&gt; SOUS-SEGMENT'!$JO$66</f>
        <v>840.03421330999856</v>
      </c>
      <c r="P23" s="458">
        <f>'ANALYSE - ERP =&gt; SOUS-SEGMENT'!$FG$66*'ANALYSE - ERP =&gt; SOUS-SEGMENT'!$JP$66</f>
        <v>1656.8214065059581</v>
      </c>
      <c r="Q23" s="458">
        <f>'ANALYSE - ERP =&gt; SOUS-SEGMENT'!$FG$66*'ANALYSE - ERP =&gt; SOUS-SEGMENT'!$JQ$66</f>
        <v>599.39614023765046</v>
      </c>
      <c r="R23" s="458">
        <f>'ANALYSE - ERP =&gt; SOUS-SEGMENT'!$FG$66*'ANALYSE - ERP =&gt; SOUS-SEGMENT'!$JR$66</f>
        <v>31.41489204599845</v>
      </c>
      <c r="T23" s="430">
        <f>'ANALYSE - ERP =&gt; SOUS-SEGMENT'!$Q$66</f>
        <v>1</v>
      </c>
    </row>
    <row r="24" spans="1:20" ht="15" customHeight="1">
      <c r="A24" s="26">
        <v>21</v>
      </c>
      <c r="B24" s="26">
        <v>20</v>
      </c>
      <c r="C24" s="422">
        <f>'ANALYSE - ERP =&gt; SOUS-SEGMENT'!$A$79</f>
        <v>72</v>
      </c>
      <c r="D24" s="414" t="str">
        <f>'ANALYSE - ERP =&gt; SOUS-SEGMENT'!$B$79</f>
        <v>Commerce, Restauration &amp; Loisirs</v>
      </c>
      <c r="E24" s="414" t="str">
        <f>'ANALYSE - ERP =&gt; SOUS-SEGMENT'!$C$79</f>
        <v>Commerce</v>
      </c>
      <c r="F24" s="414" t="str">
        <f>'ANALYSE - ERP =&gt; SOUS-SEGMENT'!$D$79</f>
        <v>Centres commerciaux / Malls
(dotés de sanitaires collectifs clients)</v>
      </c>
      <c r="H24" s="458">
        <f>'ANALYSE - ERP =&gt; SOUS-SEGMENT'!$BG$79*'ANALYSE - ERP =&gt; SOUS-SEGMENT'!$JI$79</f>
        <v>312.9984</v>
      </c>
      <c r="I24" s="458">
        <f>'ANALYSE - ERP =&gt; SOUS-SEGMENT'!$BG$79*'ANALYSE - ERP =&gt; SOUS-SEGMENT'!$JJ$79</f>
        <v>6578.9567999999999</v>
      </c>
      <c r="J24" s="458">
        <f>'ANALYSE - ERP =&gt; SOUS-SEGMENT'!$BG$79*'ANALYSE - ERP =&gt; SOUS-SEGMENT'!$JK$79</f>
        <v>6526.5408000000007</v>
      </c>
      <c r="K24" s="458">
        <f>'ANALYSE - ERP =&gt; SOUS-SEGMENT'!$BG$79*'ANALYSE - ERP =&gt; SOUS-SEGMENT'!$JL$79</f>
        <v>1488.6143999999999</v>
      </c>
      <c r="L24" s="458">
        <f>'ANALYSE - ERP =&gt; SOUS-SEGMENT'!$BG$79*'ANALYSE - ERP =&gt; SOUS-SEGMENT'!$JM$79</f>
        <v>68.889600000000002</v>
      </c>
      <c r="N24" s="458">
        <f>'ANALYSE - ERP =&gt; SOUS-SEGMENT'!$FG$79*'ANALYSE - ERP =&gt; SOUS-SEGMENT'!$JN$79</f>
        <v>0</v>
      </c>
      <c r="O24" s="458">
        <f>'ANALYSE - ERP =&gt; SOUS-SEGMENT'!$FG$79*'ANALYSE - ERP =&gt; SOUS-SEGMENT'!$JO$79</f>
        <v>3046.0675800571103</v>
      </c>
      <c r="P24" s="458">
        <f>'ANALYSE - ERP =&gt; SOUS-SEGMENT'!$FG$79*'ANALYSE - ERP =&gt; SOUS-SEGMENT'!$JP$79</f>
        <v>3489.2283694959087</v>
      </c>
      <c r="Q24" s="458">
        <f>'ANALYSE - ERP =&gt; SOUS-SEGMENT'!$FG$79*'ANALYSE - ERP =&gt; SOUS-SEGMENT'!$JQ$79</f>
        <v>959.04540073422061</v>
      </c>
      <c r="R24" s="458">
        <f>'ANALYSE - ERP =&gt; SOUS-SEGMENT'!$FG$79*'ANALYSE - ERP =&gt; SOUS-SEGMENT'!$JR$79</f>
        <v>81.056759777694793</v>
      </c>
      <c r="T24" s="430">
        <f>'ANALYSE - ERP =&gt; SOUS-SEGMENT'!$Q$79</f>
        <v>1</v>
      </c>
    </row>
    <row r="25" spans="1:20" ht="15" customHeight="1">
      <c r="A25" s="26">
        <v>22</v>
      </c>
      <c r="B25" s="26">
        <v>22</v>
      </c>
      <c r="C25" s="422">
        <f>'ANALYSE - ERP =&gt; SOUS-SEGMENT'!$A$24</f>
        <v>17</v>
      </c>
      <c r="D25" s="414" t="str">
        <f>'ANALYSE - ERP =&gt; SOUS-SEGMENT'!$B$24</f>
        <v>Sports &amp; Loisirs</v>
      </c>
      <c r="E25" s="414" t="str">
        <f>'ANALYSE - ERP =&gt; SOUS-SEGMENT'!$C$24</f>
        <v>Sport couvert / Thermalisme / Bien-être</v>
      </c>
      <c r="F25" s="414" t="str">
        <f>'ANALYSE - ERP =&gt; SOUS-SEGMENT'!$D$24</f>
        <v>Piscines couvertes</v>
      </c>
      <c r="H25" s="458">
        <f>'ANALYSE - ERP =&gt; SOUS-SEGMENT'!$BG$24*'ANALYSE - ERP =&gt; SOUS-SEGMENT'!$JI$24</f>
        <v>3091.4</v>
      </c>
      <c r="I25" s="458">
        <f>'ANALYSE - ERP =&gt; SOUS-SEGMENT'!$BG$24*'ANALYSE - ERP =&gt; SOUS-SEGMENT'!$JJ$24</f>
        <v>9101.65</v>
      </c>
      <c r="J25" s="458">
        <f>'ANALYSE - ERP =&gt; SOUS-SEGMENT'!$BG$24*'ANALYSE - ERP =&gt; SOUS-SEGMENT'!$JK$24</f>
        <v>2306.9499999999998</v>
      </c>
      <c r="K25" s="458">
        <f>'ANALYSE - ERP =&gt; SOUS-SEGMENT'!$BG$24*'ANALYSE - ERP =&gt; SOUS-SEGMENT'!$JL$24</f>
        <v>0</v>
      </c>
      <c r="L25" s="458">
        <f>'ANALYSE - ERP =&gt; SOUS-SEGMENT'!$BG$24*'ANALYSE - ERP =&gt; SOUS-SEGMENT'!$JM$24</f>
        <v>0</v>
      </c>
      <c r="N25" s="458">
        <f>'ANALYSE - ERP =&gt; SOUS-SEGMENT'!$FG$24*'ANALYSE - ERP =&gt; SOUS-SEGMENT'!$JN$24</f>
        <v>801.44156161679166</v>
      </c>
      <c r="O25" s="458">
        <f>'ANALYSE - ERP =&gt; SOUS-SEGMENT'!$FG$24*'ANALYSE - ERP =&gt; SOUS-SEGMENT'!$JO$24</f>
        <v>4639.6012934249165</v>
      </c>
      <c r="P25" s="458">
        <f>'ANALYSE - ERP =&gt; SOUS-SEGMENT'!$FG$24*'ANALYSE - ERP =&gt; SOUS-SEGMENT'!$JP$24</f>
        <v>2242.9606120416247</v>
      </c>
      <c r="Q25" s="458">
        <f>'ANALYSE - ERP =&gt; SOUS-SEGMENT'!$FG$24*'ANALYSE - ERP =&gt; SOUS-SEGMENT'!$JQ$24</f>
        <v>0</v>
      </c>
      <c r="R25" s="458">
        <f>'ANALYSE - ERP =&gt; SOUS-SEGMENT'!$FG$24*'ANALYSE - ERP =&gt; SOUS-SEGMENT'!$JR$24</f>
        <v>0</v>
      </c>
      <c r="T25" s="430">
        <f>'ANALYSE - ERP =&gt; SOUS-SEGMENT'!$Q$24</f>
        <v>1</v>
      </c>
    </row>
    <row r="26" spans="1:20" ht="15" customHeight="1">
      <c r="A26" s="26">
        <v>23</v>
      </c>
      <c r="B26" s="26">
        <v>23</v>
      </c>
      <c r="C26" s="422">
        <f>'ANALYSE - ERP =&gt; SOUS-SEGMENT'!$A$22</f>
        <v>15</v>
      </c>
      <c r="D26" s="414" t="str">
        <f>'ANALYSE - ERP =&gt; SOUS-SEGMENT'!$B$22</f>
        <v>Sports &amp; Loisirs</v>
      </c>
      <c r="E26" s="414" t="str">
        <f>'ANALYSE - ERP =&gt; SOUS-SEGMENT'!$C$22</f>
        <v>Sport couvert / Thermalisme / Bien-être</v>
      </c>
      <c r="F26" s="414" t="str">
        <f>'ANALYSE - ERP =&gt; SOUS-SEGMENT'!$D$22</f>
        <v>Salles de fitness / dojos</v>
      </c>
      <c r="H26" s="458">
        <f>'ANALYSE - ERP =&gt; SOUS-SEGMENT'!$BG$22*'ANALYSE - ERP =&gt; SOUS-SEGMENT'!$JI$22</f>
        <v>12.120000000000001</v>
      </c>
      <c r="I26" s="458">
        <f>'ANALYSE - ERP =&gt; SOUS-SEGMENT'!$BG$22*'ANALYSE - ERP =&gt; SOUS-SEGMENT'!$JJ$22</f>
        <v>3923.2439999999997</v>
      </c>
      <c r="J26" s="458">
        <f>'ANALYSE - ERP =&gt; SOUS-SEGMENT'!$BG$22*'ANALYSE - ERP =&gt; SOUS-SEGMENT'!$JK$22</f>
        <v>5955.768</v>
      </c>
      <c r="K26" s="458">
        <f>'ANALYSE - ERP =&gt; SOUS-SEGMENT'!$BG$22*'ANALYSE - ERP =&gt; SOUS-SEGMENT'!$JL$22</f>
        <v>1816.788</v>
      </c>
      <c r="L26" s="458">
        <f>'ANALYSE - ERP =&gt; SOUS-SEGMENT'!$BG$22*'ANALYSE - ERP =&gt; SOUS-SEGMENT'!$JM$22</f>
        <v>412.08000000000004</v>
      </c>
      <c r="N26" s="458">
        <f>'ANALYSE - ERP =&gt; SOUS-SEGMENT'!$FG$22*'ANALYSE - ERP =&gt; SOUS-SEGMENT'!$JN$22</f>
        <v>0</v>
      </c>
      <c r="O26" s="458">
        <f>'ANALYSE - ERP =&gt; SOUS-SEGMENT'!$FG$22*'ANALYSE - ERP =&gt; SOUS-SEGMENT'!$JO$22</f>
        <v>1131.9245927740001</v>
      </c>
      <c r="P26" s="458">
        <f>'ANALYSE - ERP =&gt; SOUS-SEGMENT'!$FG$22*'ANALYSE - ERP =&gt; SOUS-SEGMENT'!$JP$22</f>
        <v>3522.6330336646665</v>
      </c>
      <c r="Q26" s="458">
        <f>'ANALYSE - ERP =&gt; SOUS-SEGMENT'!$FG$22*'ANALYSE - ERP =&gt; SOUS-SEGMENT'!$JQ$22</f>
        <v>1585.0867780960002</v>
      </c>
      <c r="R26" s="458">
        <f>'ANALYSE - ERP =&gt; SOUS-SEGMENT'!$FG$22*'ANALYSE - ERP =&gt; SOUS-SEGMENT'!$JR$22</f>
        <v>299.49246879866666</v>
      </c>
      <c r="T26" s="430">
        <f>'ANALYSE - ERP =&gt; SOUS-SEGMENT'!$Q$22</f>
        <v>1</v>
      </c>
    </row>
    <row r="27" spans="1:20" ht="15" customHeight="1">
      <c r="A27" s="26">
        <v>24</v>
      </c>
      <c r="B27" s="26">
        <v>24</v>
      </c>
      <c r="C27" s="422">
        <f>'ANALYSE - ERP =&gt; SOUS-SEGMENT'!$A$125</f>
        <v>118</v>
      </c>
      <c r="D27" s="414" t="str">
        <f>'ANALYSE - ERP =&gt; SOUS-SEGMENT'!$B$125</f>
        <v>Transport, Mobilité &amp; Stationnement</v>
      </c>
      <c r="E27" s="414" t="str">
        <f>'ANALYSE - ERP =&gt; SOUS-SEGMENT'!$C$125</f>
        <v>Transport / Mobilité</v>
      </c>
      <c r="F27" s="414" t="str">
        <f>'ANALYSE - ERP =&gt; SOUS-SEGMENT'!$D$125</f>
        <v>Gares ferroviaires et stations
(dotés de sanitaires)</v>
      </c>
      <c r="H27" s="458">
        <f>'ANALYSE - ERP =&gt; SOUS-SEGMENT'!$BG$125*'ANALYSE - ERP =&gt; SOUS-SEGMENT'!$JI$125</f>
        <v>435.87200000000001</v>
      </c>
      <c r="I27" s="458">
        <f>'ANALYSE - ERP =&gt; SOUS-SEGMENT'!$BG$125*'ANALYSE - ERP =&gt; SOUS-SEGMENT'!$JJ$125</f>
        <v>3073.72</v>
      </c>
      <c r="J27" s="458">
        <f>'ANALYSE - ERP =&gt; SOUS-SEGMENT'!$BG$125*'ANALYSE - ERP =&gt; SOUS-SEGMENT'!$JK$125</f>
        <v>1489.5720000000001</v>
      </c>
      <c r="K27" s="458">
        <f>'ANALYSE - ERP =&gt; SOUS-SEGMENT'!$BG$125*'ANALYSE - ERP =&gt; SOUS-SEGMENT'!$JL$125</f>
        <v>130.55599999999998</v>
      </c>
      <c r="L27" s="458">
        <f>'ANALYSE - ERP =&gt; SOUS-SEGMENT'!$BG$125*'ANALYSE - ERP =&gt; SOUS-SEGMENT'!$JM$125</f>
        <v>10.28</v>
      </c>
      <c r="N27" s="458">
        <f>'ANALYSE - ERP =&gt; SOUS-SEGMENT'!$FG$125*'ANALYSE - ERP =&gt; SOUS-SEGMENT'!$JN$125</f>
        <v>174.21392664242856</v>
      </c>
      <c r="O27" s="458">
        <f>'ANALYSE - ERP =&gt; SOUS-SEGMENT'!$FG$125*'ANALYSE - ERP =&gt; SOUS-SEGMENT'!$JO$125</f>
        <v>1554.3572769592381</v>
      </c>
      <c r="P27" s="458">
        <f>'ANALYSE - ERP =&gt; SOUS-SEGMENT'!$FG$125*'ANALYSE - ERP =&gt; SOUS-SEGMENT'!$JP$125</f>
        <v>842.30534002819059</v>
      </c>
      <c r="Q27" s="458">
        <f>'ANALYSE - ERP =&gt; SOUS-SEGMENT'!$FG$125*'ANALYSE - ERP =&gt; SOUS-SEGMENT'!$JQ$125</f>
        <v>124.82617796809525</v>
      </c>
      <c r="R27" s="458">
        <f>'ANALYSE - ERP =&gt; SOUS-SEGMENT'!$FG$125*'ANALYSE - ERP =&gt; SOUS-SEGMENT'!$JR$125</f>
        <v>17.909842925857145</v>
      </c>
      <c r="T27" s="430">
        <f>'ANALYSE - ERP =&gt; SOUS-SEGMENT'!$Q$125</f>
        <v>1</v>
      </c>
    </row>
    <row r="28" spans="1:20" ht="15" customHeight="1">
      <c r="A28" s="26">
        <v>25</v>
      </c>
      <c r="B28" s="26">
        <v>25</v>
      </c>
      <c r="C28" s="422">
        <f>'ANALYSE - ERP =&gt; SOUS-SEGMENT'!$A$120</f>
        <v>113</v>
      </c>
      <c r="D28" s="413" t="str">
        <f>'ANALYSE - ERP =&gt; SOUS-SEGMENT'!$B$120</f>
        <v>Culte, Vie civique &amp; Services publics</v>
      </c>
      <c r="E28" s="413" t="str">
        <f>'ANALYSE - ERP =&gt; SOUS-SEGMENT'!$C$120</f>
        <v>Vie associative</v>
      </c>
      <c r="F28" s="413" t="str">
        <f>'ANALYSE - ERP =&gt; SOUS-SEGMENT'!$D$120</f>
        <v>Locaux associatifs recevant du public (dotés de sanitaires)</v>
      </c>
      <c r="H28" s="458">
        <f>'ANALYSE - ERP =&gt; SOUS-SEGMENT'!$BG$120*'ANALYSE - ERP =&gt; SOUS-SEGMENT'!$JI$120</f>
        <v>429.78799999999995</v>
      </c>
      <c r="I28" s="458">
        <f>'ANALYSE - ERP =&gt; SOUS-SEGMENT'!$BG$120*'ANALYSE - ERP =&gt; SOUS-SEGMENT'!$JJ$120</f>
        <v>1708.866</v>
      </c>
      <c r="J28" s="458">
        <f>'ANALYSE - ERP =&gt; SOUS-SEGMENT'!$BG$120*'ANALYSE - ERP =&gt; SOUS-SEGMENT'!$JK$120</f>
        <v>609.09799999999996</v>
      </c>
      <c r="K28" s="458">
        <f>'ANALYSE - ERP =&gt; SOUS-SEGMENT'!$BG$120*'ANALYSE - ERP =&gt; SOUS-SEGMENT'!$JL$120</f>
        <v>32.247999999999998</v>
      </c>
      <c r="L28" s="458">
        <f>'ANALYSE - ERP =&gt; SOUS-SEGMENT'!$BG$120*'ANALYSE - ERP =&gt; SOUS-SEGMENT'!$JM$120</f>
        <v>0</v>
      </c>
      <c r="N28" s="458">
        <f>'ANALYSE - ERP =&gt; SOUS-SEGMENT'!$FG$120*'ANALYSE - ERP =&gt; SOUS-SEGMENT'!$JN$120</f>
        <v>136.13857734988639</v>
      </c>
      <c r="O28" s="458">
        <f>'ANALYSE - ERP =&gt; SOUS-SEGMENT'!$FG$120*'ANALYSE - ERP =&gt; SOUS-SEGMENT'!$JO$120</f>
        <v>585.50416346863642</v>
      </c>
      <c r="P28" s="458">
        <f>'ANALYSE - ERP =&gt; SOUS-SEGMENT'!$FG$120*'ANALYSE - ERP =&gt; SOUS-SEGMENT'!$JP$120</f>
        <v>231.7210492275</v>
      </c>
      <c r="Q28" s="458">
        <f>'ANALYSE - ERP =&gt; SOUS-SEGMENT'!$FG$120*'ANALYSE - ERP =&gt; SOUS-SEGMENT'!$JQ$120</f>
        <v>27.463964628068183</v>
      </c>
      <c r="R28" s="458">
        <f>'ANALYSE - ERP =&gt; SOUS-SEGMENT'!$FG$120*'ANALYSE - ERP =&gt; SOUS-SEGMENT'!$JR$120</f>
        <v>3.5437373713636364</v>
      </c>
      <c r="T28" s="430">
        <f>'ANALYSE - ERP =&gt; SOUS-SEGMENT'!$Q$120</f>
        <v>1</v>
      </c>
    </row>
    <row r="29" spans="1:20" ht="15" customHeight="1">
      <c r="A29" s="26">
        <v>26</v>
      </c>
      <c r="B29" s="26">
        <v>26</v>
      </c>
      <c r="C29" s="422">
        <f>'ANALYSE - ERP =&gt; SOUS-SEGMENT'!$A$73</f>
        <v>66</v>
      </c>
      <c r="D29" s="414" t="str">
        <f>'ANALYSE - ERP =&gt; SOUS-SEGMENT'!$B$73</f>
        <v>Culture, Patrimoine &amp; Evénementiel</v>
      </c>
      <c r="E29" s="414" t="str">
        <f>'ANALYSE - ERP =&gt; SOUS-SEGMENT'!$C$73</f>
        <v>Événementiel temporaire</v>
      </c>
      <c r="F29" s="414" t="str">
        <f>'ANALYSE - ERP =&gt; SOUS-SEGMENT'!$D$73</f>
        <v>Structures gonflables</v>
      </c>
      <c r="H29" s="458">
        <f>'ANALYSE - ERP =&gt; SOUS-SEGMENT'!$BG$73*'ANALYSE - ERP =&gt; SOUS-SEGMENT'!$JI$73</f>
        <v>122.705</v>
      </c>
      <c r="I29" s="458">
        <f>'ANALYSE - ERP =&gt; SOUS-SEGMENT'!$BG$73*'ANALYSE - ERP =&gt; SOUS-SEGMENT'!$JJ$73</f>
        <v>146.4375</v>
      </c>
      <c r="J29" s="458">
        <f>'ANALYSE - ERP =&gt; SOUS-SEGMENT'!$BG$73*'ANALYSE - ERP =&gt; SOUS-SEGMENT'!$JK$73</f>
        <v>5.8574999999999999</v>
      </c>
      <c r="K29" s="458">
        <f>'ANALYSE - ERP =&gt; SOUS-SEGMENT'!$BG$73*'ANALYSE - ERP =&gt; SOUS-SEGMENT'!$JL$73</f>
        <v>0</v>
      </c>
      <c r="L29" s="458">
        <f>'ANALYSE - ERP =&gt; SOUS-SEGMENT'!$BG$73*'ANALYSE - ERP =&gt; SOUS-SEGMENT'!$JM$73</f>
        <v>0</v>
      </c>
      <c r="N29" s="458">
        <f>'ANALYSE - ERP =&gt; SOUS-SEGMENT'!$FG$73*'ANALYSE - ERP =&gt; SOUS-SEGMENT'!$JN$73</f>
        <v>34.493675447863637</v>
      </c>
      <c r="O29" s="458">
        <f>'ANALYSE - ERP =&gt; SOUS-SEGMENT'!$FG$73*'ANALYSE - ERP =&gt; SOUS-SEGMENT'!$JO$73</f>
        <v>85.943437332359096</v>
      </c>
      <c r="P29" s="458">
        <f>'ANALYSE - ERP =&gt; SOUS-SEGMENT'!$FG$73*'ANALYSE - ERP =&gt; SOUS-SEGMENT'!$JP$73</f>
        <v>11.722563265231818</v>
      </c>
      <c r="Q29" s="458">
        <f>'ANALYSE - ERP =&gt; SOUS-SEGMENT'!$FG$73*'ANALYSE - ERP =&gt; SOUS-SEGMENT'!$JQ$73</f>
        <v>0</v>
      </c>
      <c r="R29" s="458">
        <f>'ANALYSE - ERP =&gt; SOUS-SEGMENT'!$FG$73*'ANALYSE - ERP =&gt; SOUS-SEGMENT'!$JR$73</f>
        <v>0</v>
      </c>
      <c r="T29" s="430">
        <f>'ANALYSE - ERP =&gt; SOUS-SEGMENT'!$Q$73</f>
        <v>1</v>
      </c>
    </row>
    <row r="30" spans="1:20" ht="15" customHeight="1">
      <c r="A30" s="26">
        <v>27</v>
      </c>
      <c r="B30" s="26">
        <v>28</v>
      </c>
      <c r="C30" s="422">
        <f>'ANALYSE - ERP =&gt; SOUS-SEGMENT'!$A$28</f>
        <v>21</v>
      </c>
      <c r="D30" s="409" t="str">
        <f>'ANALYSE - ERP =&gt; SOUS-SEGMENT'!$B$28</f>
        <v>Sports &amp; Loisirs</v>
      </c>
      <c r="E30" s="409" t="str">
        <f>'ANALYSE - ERP =&gt; SOUS-SEGMENT'!$C$28</f>
        <v>Sport de plein air</v>
      </c>
      <c r="F30" s="409" t="str">
        <f>'ANALYSE - ERP =&gt; SOUS-SEGMENT'!$D$28</f>
        <v>Stades avec tribunes
(Hors grands stades, hors terrains sport)</v>
      </c>
      <c r="H30" s="458">
        <f>'ANALYSE - ERP =&gt; SOUS-SEGMENT'!$BG$28*'ANALYSE - ERP =&gt; SOUS-SEGMENT'!$JI$28</f>
        <v>1698.3</v>
      </c>
      <c r="I30" s="458">
        <f>'ANALYSE - ERP =&gt; SOUS-SEGMENT'!$BG$28*'ANALYSE - ERP =&gt; SOUS-SEGMENT'!$JJ$28</f>
        <v>4104.558</v>
      </c>
      <c r="J30" s="458">
        <f>'ANALYSE - ERP =&gt; SOUS-SEGMENT'!$BG$28*'ANALYSE - ERP =&gt; SOUS-SEGMENT'!$JK$28</f>
        <v>857.14200000000005</v>
      </c>
      <c r="K30" s="458">
        <f>'ANALYSE - ERP =&gt; SOUS-SEGMENT'!$BG$28*'ANALYSE - ERP =&gt; SOUS-SEGMENT'!$JL$28</f>
        <v>0</v>
      </c>
      <c r="L30" s="458">
        <f>'ANALYSE - ERP =&gt; SOUS-SEGMENT'!$BG$28*'ANALYSE - ERP =&gt; SOUS-SEGMENT'!$JM$28</f>
        <v>0</v>
      </c>
      <c r="N30" s="458">
        <f>'ANALYSE - ERP =&gt; SOUS-SEGMENT'!$FG$28*'ANALYSE - ERP =&gt; SOUS-SEGMENT'!$JN$28</f>
        <v>400.13369954613341</v>
      </c>
      <c r="O30" s="458">
        <f>'ANALYSE - ERP =&gt; SOUS-SEGMENT'!$FG$28*'ANALYSE - ERP =&gt; SOUS-SEGMENT'!$JO$28</f>
        <v>2046.9401984269336</v>
      </c>
      <c r="P30" s="458">
        <f>'ANALYSE - ERP =&gt; SOUS-SEGMENT'!$FG$28*'ANALYSE - ERP =&gt; SOUS-SEGMENT'!$JP$28</f>
        <v>881.82543269360019</v>
      </c>
      <c r="Q30" s="458">
        <f>'ANALYSE - ERP =&gt; SOUS-SEGMENT'!$FG$28*'ANALYSE - ERP =&gt; SOUS-SEGMENT'!$JQ$28</f>
        <v>0</v>
      </c>
      <c r="R30" s="458">
        <f>'ANALYSE - ERP =&gt; SOUS-SEGMENT'!$FG$28*'ANALYSE - ERP =&gt; SOUS-SEGMENT'!$JR$28</f>
        <v>0</v>
      </c>
      <c r="T30" s="430">
        <f>'ANALYSE - ERP =&gt; SOUS-SEGMENT'!$Q$28</f>
        <v>1</v>
      </c>
    </row>
    <row r="31" spans="1:20" ht="15" customHeight="1">
      <c r="A31" s="26">
        <v>28</v>
      </c>
      <c r="B31" s="26">
        <v>27</v>
      </c>
      <c r="C31" s="422">
        <f>'ANALYSE - ERP =&gt; SOUS-SEGMENT'!$A$58</f>
        <v>51</v>
      </c>
      <c r="D31" s="409" t="str">
        <f>'ANALYSE - ERP =&gt; SOUS-SEGMENT'!$B$58</f>
        <v>Santé &amp; Médico-social</v>
      </c>
      <c r="E31" s="409" t="str">
        <f>'ANALYSE - ERP =&gt; SOUS-SEGMENT'!$C$58</f>
        <v>Médico-social</v>
      </c>
      <c r="F31" s="409" t="str">
        <f>'ANALYSE - ERP =&gt; SOUS-SEGMENT'!$D$58</f>
        <v>EHPAD</v>
      </c>
      <c r="H31" s="458">
        <f>'ANALYSE - ERP =&gt; SOUS-SEGMENT'!$BG$58*'ANALYSE - ERP =&gt; SOUS-SEGMENT'!$JI$58</f>
        <v>0</v>
      </c>
      <c r="I31" s="458">
        <f>'ANALYSE - ERP =&gt; SOUS-SEGMENT'!$BG$58*'ANALYSE - ERP =&gt; SOUS-SEGMENT'!$JJ$58</f>
        <v>1733.998</v>
      </c>
      <c r="J31" s="458">
        <f>'ANALYSE - ERP =&gt; SOUS-SEGMENT'!$BG$58*'ANALYSE - ERP =&gt; SOUS-SEGMENT'!$JK$58</f>
        <v>4208.7114999999994</v>
      </c>
      <c r="K31" s="458">
        <f>'ANALYSE - ERP =&gt; SOUS-SEGMENT'!$BG$58*'ANALYSE - ERP =&gt; SOUS-SEGMENT'!$JL$58</f>
        <v>1442.2905000000001</v>
      </c>
      <c r="L31" s="458">
        <f>'ANALYSE - ERP =&gt; SOUS-SEGMENT'!$BG$58*'ANALYSE - ERP =&gt; SOUS-SEGMENT'!$JM$58</f>
        <v>0</v>
      </c>
      <c r="N31" s="458">
        <f>'ANALYSE - ERP =&gt; SOUS-SEGMENT'!$FG$58*'ANALYSE - ERP =&gt; SOUS-SEGMENT'!$JN$58</f>
        <v>0</v>
      </c>
      <c r="O31" s="458">
        <f>'ANALYSE - ERP =&gt; SOUS-SEGMENT'!$FG$58*'ANALYSE - ERP =&gt; SOUS-SEGMENT'!$JO$58</f>
        <v>519.90256108405447</v>
      </c>
      <c r="P31" s="458">
        <f>'ANALYSE - ERP =&gt; SOUS-SEGMENT'!$FG$58*'ANALYSE - ERP =&gt; SOUS-SEGMENT'!$JP$58</f>
        <v>1969.6109000749213</v>
      </c>
      <c r="Q31" s="458">
        <f>'ANALYSE - ERP =&gt; SOUS-SEGMENT'!$FG$58*'ANALYSE - ERP =&gt; SOUS-SEGMENT'!$JQ$58</f>
        <v>969.58541498243835</v>
      </c>
      <c r="R31" s="458">
        <f>'ANALYSE - ERP =&gt; SOUS-SEGMENT'!$FG$58*'ANALYSE - ERP =&gt; SOUS-SEGMENT'!$JR$58</f>
        <v>0</v>
      </c>
      <c r="T31" s="430">
        <f>'ANALYSE - ERP =&gt; SOUS-SEGMENT'!$Q$58</f>
        <v>1</v>
      </c>
    </row>
    <row r="32" spans="1:20" ht="15" customHeight="1">
      <c r="A32" s="26">
        <v>29</v>
      </c>
      <c r="B32" s="26">
        <v>29</v>
      </c>
      <c r="C32" s="422">
        <f>'ANALYSE - ERP =&gt; SOUS-SEGMENT'!$A$56</f>
        <v>49</v>
      </c>
      <c r="D32" s="409" t="str">
        <f>'ANALYSE - ERP =&gt; SOUS-SEGMENT'!$B$56</f>
        <v>Santé &amp; Médico-social</v>
      </c>
      <c r="E32" s="409" t="str">
        <f>'ANALYSE - ERP =&gt; SOUS-SEGMENT'!$C$56</f>
        <v>Médico-social</v>
      </c>
      <c r="F32" s="409" t="str">
        <f>'ANALYSE - ERP =&gt; SOUS-SEGMENT'!$D$56</f>
        <v>Foyers pour personnes handicapées</v>
      </c>
      <c r="H32" s="458">
        <f>'ANALYSE - ERP =&gt; SOUS-SEGMENT'!$BG$56*'ANALYSE - ERP =&gt; SOUS-SEGMENT'!$JI$56</f>
        <v>125.11999999999999</v>
      </c>
      <c r="I32" s="458">
        <f>'ANALYSE - ERP =&gt; SOUS-SEGMENT'!$BG$56*'ANALYSE - ERP =&gt; SOUS-SEGMENT'!$JJ$56</f>
        <v>2000.0800000000002</v>
      </c>
      <c r="J32" s="458">
        <f>'ANALYSE - ERP =&gt; SOUS-SEGMENT'!$BG$56*'ANALYSE - ERP =&gt; SOUS-SEGMENT'!$JK$56</f>
        <v>2099.9</v>
      </c>
      <c r="K32" s="458">
        <f>'ANALYSE - ERP =&gt; SOUS-SEGMENT'!$BG$56*'ANALYSE - ERP =&gt; SOUS-SEGMENT'!$JL$56</f>
        <v>374.90000000000003</v>
      </c>
      <c r="L32" s="458">
        <f>'ANALYSE - ERP =&gt; SOUS-SEGMENT'!$BG$56*'ANALYSE - ERP =&gt; SOUS-SEGMENT'!$JM$56</f>
        <v>0</v>
      </c>
      <c r="N32" s="458">
        <f>'ANALYSE - ERP =&gt; SOUS-SEGMENT'!$FG$56*'ANALYSE - ERP =&gt; SOUS-SEGMENT'!$JN$56</f>
        <v>0</v>
      </c>
      <c r="O32" s="458">
        <f>'ANALYSE - ERP =&gt; SOUS-SEGMENT'!$FG$56*'ANALYSE - ERP =&gt; SOUS-SEGMENT'!$JO$56</f>
        <v>580.56727065126267</v>
      </c>
      <c r="P32" s="458">
        <f>'ANALYSE - ERP =&gt; SOUS-SEGMENT'!$FG$56*'ANALYSE - ERP =&gt; SOUS-SEGMENT'!$JP$56</f>
        <v>1189.5791534660607</v>
      </c>
      <c r="Q32" s="458">
        <f>'ANALYSE - ERP =&gt; SOUS-SEGMENT'!$FG$56*'ANALYSE - ERP =&gt; SOUS-SEGMENT'!$JQ$56</f>
        <v>352.58582689277779</v>
      </c>
      <c r="R32" s="458">
        <f>'ANALYSE - ERP =&gt; SOUS-SEGMENT'!$FG$56*'ANALYSE - ERP =&gt; SOUS-SEGMENT'!$JR$56</f>
        <v>0</v>
      </c>
      <c r="T32" s="430">
        <f>'ANALYSE - ERP =&gt; SOUS-SEGMENT'!$Q$56</f>
        <v>1</v>
      </c>
    </row>
    <row r="33" spans="1:20" ht="15" customHeight="1">
      <c r="A33" s="26">
        <v>30</v>
      </c>
      <c r="B33" s="26">
        <v>30</v>
      </c>
      <c r="C33" s="422">
        <f>'ANALYSE - ERP =&gt; SOUS-SEGMENT'!$A$116</f>
        <v>109</v>
      </c>
      <c r="D33" s="409" t="str">
        <f>'ANALYSE - ERP =&gt; SOUS-SEGMENT'!$B$116</f>
        <v>Culte, Vie civique &amp; Services publics</v>
      </c>
      <c r="E33" s="409" t="str">
        <f>'ANALYSE - ERP =&gt; SOUS-SEGMENT'!$C$116</f>
        <v>Culte</v>
      </c>
      <c r="F33" s="409" t="str">
        <f>'ANALYSE - ERP =&gt; SOUS-SEGMENT'!$D$116</f>
        <v>Mosquées et salles de prière musulmanes</v>
      </c>
      <c r="H33" s="458">
        <f>'ANALYSE - ERP =&gt; SOUS-SEGMENT'!$BG$116*'ANALYSE - ERP =&gt; SOUS-SEGMENT'!$JI$116</f>
        <v>643.13599999999997</v>
      </c>
      <c r="I33" s="458">
        <f>'ANALYSE - ERP =&gt; SOUS-SEGMENT'!$BG$116*'ANALYSE - ERP =&gt; SOUS-SEGMENT'!$JJ$116</f>
        <v>2557.152</v>
      </c>
      <c r="J33" s="458">
        <f>'ANALYSE - ERP =&gt; SOUS-SEGMENT'!$BG$116*'ANALYSE - ERP =&gt; SOUS-SEGMENT'!$JK$116</f>
        <v>911.4559999999999</v>
      </c>
      <c r="K33" s="458">
        <f>'ANALYSE - ERP =&gt; SOUS-SEGMENT'!$BG$116*'ANALYSE - ERP =&gt; SOUS-SEGMENT'!$JL$116</f>
        <v>48.256</v>
      </c>
      <c r="L33" s="458">
        <f>'ANALYSE - ERP =&gt; SOUS-SEGMENT'!$BG$116*'ANALYSE - ERP =&gt; SOUS-SEGMENT'!$JM$116</f>
        <v>0</v>
      </c>
      <c r="N33" s="458">
        <f>'ANALYSE - ERP =&gt; SOUS-SEGMENT'!$FG$116*'ANALYSE - ERP =&gt; SOUS-SEGMENT'!$JN$116</f>
        <v>258.15190338095238</v>
      </c>
      <c r="O33" s="458">
        <f>'ANALYSE - ERP =&gt; SOUS-SEGMENT'!$FG$116*'ANALYSE - ERP =&gt; SOUS-SEGMENT'!$JO$116</f>
        <v>1097.6508688952381</v>
      </c>
      <c r="P33" s="458">
        <f>'ANALYSE - ERP =&gt; SOUS-SEGMENT'!$FG$116*'ANALYSE - ERP =&gt; SOUS-SEGMENT'!$JP$116</f>
        <v>428.47703820952376</v>
      </c>
      <c r="Q33" s="458">
        <f>'ANALYSE - ERP =&gt; SOUS-SEGMENT'!$FG$116*'ANALYSE - ERP =&gt; SOUS-SEGMENT'!$JQ$116</f>
        <v>47.22066844761904</v>
      </c>
      <c r="R33" s="458">
        <f>'ANALYSE - ERP =&gt; SOUS-SEGMENT'!$FG$116*'ANALYSE - ERP =&gt; SOUS-SEGMENT'!$JR$116</f>
        <v>5.8796163047619041</v>
      </c>
      <c r="T33" s="430">
        <f>'ANALYSE - ERP =&gt; SOUS-SEGMENT'!$Q$116</f>
        <v>1</v>
      </c>
    </row>
    <row r="34" spans="1:20" ht="15" customHeight="1">
      <c r="A34" s="26">
        <v>31</v>
      </c>
      <c r="B34" s="26">
        <v>32</v>
      </c>
      <c r="C34" s="422">
        <f>'ANALYSE - ERP =&gt; SOUS-SEGMENT'!$A$65</f>
        <v>58</v>
      </c>
      <c r="D34" s="410" t="str">
        <f>'ANALYSE - ERP =&gt; SOUS-SEGMENT'!$B$65</f>
        <v>Culture, Patrimoine &amp; Evénementiel</v>
      </c>
      <c r="E34" s="410" t="str">
        <f>'ANALYSE - ERP =&gt; SOUS-SEGMENT'!$C$65</f>
        <v>Culture / spectacle</v>
      </c>
      <c r="F34" s="410" t="str">
        <f>'ANALYSE - ERP =&gt; SOUS-SEGMENT'!$D$65</f>
        <v>Salles de spectacle / Auditoriums</v>
      </c>
      <c r="H34" s="458">
        <f>'ANALYSE - ERP =&gt; SOUS-SEGMENT'!$BG$65*'ANALYSE - ERP =&gt; SOUS-SEGMENT'!$JI$65</f>
        <v>78.537599999999998</v>
      </c>
      <c r="I34" s="458">
        <f>'ANALYSE - ERP =&gt; SOUS-SEGMENT'!$BG$65*'ANALYSE - ERP =&gt; SOUS-SEGMENT'!$JJ$65</f>
        <v>1357.44</v>
      </c>
      <c r="J34" s="458">
        <f>'ANALYSE - ERP =&gt; SOUS-SEGMENT'!$BG$65*'ANALYSE - ERP =&gt; SOUS-SEGMENT'!$JK$65</f>
        <v>2424.9695999999999</v>
      </c>
      <c r="K34" s="458">
        <f>'ANALYSE - ERP =&gt; SOUS-SEGMENT'!$BG$65*'ANALYSE - ERP =&gt; SOUS-SEGMENT'!$JL$65</f>
        <v>926.45279999999991</v>
      </c>
      <c r="L34" s="458">
        <f>'ANALYSE - ERP =&gt; SOUS-SEGMENT'!$BG$65*'ANALYSE - ERP =&gt; SOUS-SEGMENT'!$JM$65</f>
        <v>60.6</v>
      </c>
      <c r="N34" s="458">
        <f>'ANALYSE - ERP =&gt; SOUS-SEGMENT'!$FG$65*'ANALYSE - ERP =&gt; SOUS-SEGMENT'!$JN$65</f>
        <v>0</v>
      </c>
      <c r="O34" s="458">
        <f>'ANALYSE - ERP =&gt; SOUS-SEGMENT'!$FG$65*'ANALYSE - ERP =&gt; SOUS-SEGMENT'!$JO$65</f>
        <v>315.01422444538929</v>
      </c>
      <c r="P34" s="458">
        <f>'ANALYSE - ERP =&gt; SOUS-SEGMENT'!$FG$65*'ANALYSE - ERP =&gt; SOUS-SEGMENT'!$JP$65</f>
        <v>1046.0849717431795</v>
      </c>
      <c r="Q34" s="458">
        <f>'ANALYSE - ERP =&gt; SOUS-SEGMENT'!$FG$65*'ANALYSE - ERP =&gt; SOUS-SEGMENT'!$JQ$65</f>
        <v>677.57776578819573</v>
      </c>
      <c r="R34" s="458">
        <f>'ANALYSE - ERP =&gt; SOUS-SEGMENT'!$FG$65*'ANALYSE - ERP =&gt; SOUS-SEGMENT'!$JR$65</f>
        <v>84.060399515076938</v>
      </c>
      <c r="T34" s="430">
        <f>'ANALYSE - ERP =&gt; SOUS-SEGMENT'!$Q$65</f>
        <v>1</v>
      </c>
    </row>
    <row r="35" spans="1:20" ht="15" customHeight="1">
      <c r="A35" s="26">
        <v>32</v>
      </c>
      <c r="B35" s="26">
        <v>41</v>
      </c>
      <c r="C35" s="422">
        <f>'ANALYSE - ERP =&gt; SOUS-SEGMENT'!$A$54</f>
        <v>47</v>
      </c>
      <c r="D35" s="411" t="str">
        <f>'ANALYSE - ERP =&gt; SOUS-SEGMENT'!$B$54</f>
        <v>Santé &amp; Médico-social</v>
      </c>
      <c r="E35" s="411" t="str">
        <f>'ANALYSE - ERP =&gt; SOUS-SEGMENT'!$C$54</f>
        <v>Santé ambulatoire</v>
      </c>
      <c r="F35" s="411" t="str">
        <f>'ANALYSE - ERP =&gt; SOUS-SEGMENT'!$D$54</f>
        <v>Maisons de santé</v>
      </c>
      <c r="H35" s="458">
        <f>'ANALYSE - ERP =&gt; SOUS-SEGMENT'!$BG$54*'ANALYSE - ERP =&gt; SOUS-SEGMENT'!$JI$54</f>
        <v>0</v>
      </c>
      <c r="I35" s="458">
        <f>'ANALYSE - ERP =&gt; SOUS-SEGMENT'!$BG$54*'ANALYSE - ERP =&gt; SOUS-SEGMENT'!$JJ$54</f>
        <v>297.75</v>
      </c>
      <c r="J35" s="458">
        <f>'ANALYSE - ERP =&gt; SOUS-SEGMENT'!$BG$54*'ANALYSE - ERP =&gt; SOUS-SEGMENT'!$JK$54</f>
        <v>862.34999999999991</v>
      </c>
      <c r="K35" s="458">
        <f>'ANALYSE - ERP =&gt; SOUS-SEGMENT'!$BG$54*'ANALYSE - ERP =&gt; SOUS-SEGMENT'!$JL$54</f>
        <v>323.7</v>
      </c>
      <c r="L35" s="458">
        <f>'ANALYSE - ERP =&gt; SOUS-SEGMENT'!$BG$54*'ANALYSE - ERP =&gt; SOUS-SEGMENT'!$JM$54</f>
        <v>16.2</v>
      </c>
      <c r="N35" s="458">
        <f>'ANALYSE - ERP =&gt; SOUS-SEGMENT'!$FG$54*'ANALYSE - ERP =&gt; SOUS-SEGMENT'!$JN$54</f>
        <v>0</v>
      </c>
      <c r="O35" s="458">
        <f>'ANALYSE - ERP =&gt; SOUS-SEGMENT'!$FG$54*'ANALYSE - ERP =&gt; SOUS-SEGMENT'!$JO$54</f>
        <v>35.014665492756365</v>
      </c>
      <c r="P35" s="458">
        <f>'ANALYSE - ERP =&gt; SOUS-SEGMENT'!$FG$54*'ANALYSE - ERP =&gt; SOUS-SEGMENT'!$JP$54</f>
        <v>615.32237592227455</v>
      </c>
      <c r="Q35" s="458">
        <f>'ANALYSE - ERP =&gt; SOUS-SEGMENT'!$FG$54*'ANALYSE - ERP =&gt; SOUS-SEGMENT'!$JQ$54</f>
        <v>738.17555571151456</v>
      </c>
      <c r="R35" s="458">
        <f>'ANALYSE - ERP =&gt; SOUS-SEGMENT'!$FG$54*'ANALYSE - ERP =&gt; SOUS-SEGMENT'!$JR$54</f>
        <v>120.74022583709092</v>
      </c>
      <c r="T35" s="430">
        <f>'ANALYSE - ERP =&gt; SOUS-SEGMENT'!$Q$54</f>
        <v>1</v>
      </c>
    </row>
    <row r="36" spans="1:20" ht="15" customHeight="1">
      <c r="A36" s="26">
        <v>33</v>
      </c>
      <c r="B36" s="26">
        <v>31</v>
      </c>
      <c r="C36" s="422">
        <f>'ANALYSE - ERP =&gt; SOUS-SEGMENT'!$A$15</f>
        <v>8</v>
      </c>
      <c r="D36" s="411" t="str">
        <f>'ANALYSE - ERP =&gt; SOUS-SEGMENT'!$B$15</f>
        <v>Enfance, Enseignement, Jeunesse &amp; Formation</v>
      </c>
      <c r="E36" s="411" t="str">
        <f>'ANALYSE - ERP =&gt; SOUS-SEGMENT'!$C$15</f>
        <v>Enseignement scolaire</v>
      </c>
      <c r="F36" s="411" t="str">
        <f>'ANALYSE - ERP =&gt; SOUS-SEGMENT'!$D$15</f>
        <v>Internats scolaires</v>
      </c>
      <c r="H36" s="458">
        <f>'ANALYSE - ERP =&gt; SOUS-SEGMENT'!$BG$15*'ANALYSE - ERP =&gt; SOUS-SEGMENT'!$JI$15</f>
        <v>136.1799</v>
      </c>
      <c r="I36" s="458">
        <f>'ANALYSE - ERP =&gt; SOUS-SEGMENT'!$BG$15*'ANALYSE - ERP =&gt; SOUS-SEGMENT'!$JJ$15</f>
        <v>1781.5650000000001</v>
      </c>
      <c r="J36" s="458">
        <f>'ANALYSE - ERP =&gt; SOUS-SEGMENT'!$BG$15*'ANALYSE - ERP =&gt; SOUS-SEGMENT'!$JK$15</f>
        <v>2369.7255</v>
      </c>
      <c r="K36" s="458">
        <f>'ANALYSE - ERP =&gt; SOUS-SEGMENT'!$BG$15*'ANALYSE - ERP =&gt; SOUS-SEGMENT'!$JL$15</f>
        <v>579.37469999999996</v>
      </c>
      <c r="L36" s="458">
        <f>'ANALYSE - ERP =&gt; SOUS-SEGMENT'!$BG$15*'ANALYSE - ERP =&gt; SOUS-SEGMENT'!$JM$15</f>
        <v>14.1549</v>
      </c>
      <c r="N36" s="458">
        <f>'ANALYSE - ERP =&gt; SOUS-SEGMENT'!$FG$15*'ANALYSE - ERP =&gt; SOUS-SEGMENT'!$JN$15</f>
        <v>0</v>
      </c>
      <c r="O36" s="458">
        <f>'ANALYSE - ERP =&gt; SOUS-SEGMENT'!$FG$15*'ANALYSE - ERP =&gt; SOUS-SEGMENT'!$JO$15</f>
        <v>316.91403204676561</v>
      </c>
      <c r="P36" s="458">
        <f>'ANALYSE - ERP =&gt; SOUS-SEGMENT'!$FG$15*'ANALYSE - ERP =&gt; SOUS-SEGMENT'!$JP$15</f>
        <v>770.18948027301622</v>
      </c>
      <c r="Q36" s="458">
        <f>'ANALYSE - ERP =&gt; SOUS-SEGMENT'!$FG$15*'ANALYSE - ERP =&gt; SOUS-SEGMENT'!$JQ$15</f>
        <v>300.50015787701284</v>
      </c>
      <c r="R36" s="458">
        <f>'ANALYSE - ERP =&gt; SOUS-SEGMENT'!$FG$15*'ANALYSE - ERP =&gt; SOUS-SEGMENT'!$JR$15</f>
        <v>15.291557987205602</v>
      </c>
      <c r="T36" s="430">
        <f>'ANALYSE - ERP =&gt; SOUS-SEGMENT'!$Q$15</f>
        <v>1</v>
      </c>
    </row>
    <row r="37" spans="1:20" ht="15" customHeight="1">
      <c r="A37" s="26">
        <v>34</v>
      </c>
      <c r="B37" s="26">
        <v>33</v>
      </c>
      <c r="C37" s="422" t="e">
        <f>'ANALYSE - ERP =&gt; SOUS-SEGMENT'!#REF!</f>
        <v>#REF!</v>
      </c>
      <c r="D37" s="408" t="e">
        <f>'ANALYSE - ERP =&gt; SOUS-SEGMENT'!#REF!</f>
        <v>#REF!</v>
      </c>
      <c r="E37" s="408" t="e">
        <f>'ANALYSE - ERP =&gt; SOUS-SEGMENT'!#REF!</f>
        <v>#REF!</v>
      </c>
      <c r="F37" s="408" t="e">
        <f>'ANALYSE - ERP =&gt; SOUS-SEGMENT'!#REF!</f>
        <v>#REF!</v>
      </c>
      <c r="H37" s="458" t="e">
        <f>'ANALYSE - ERP =&gt; SOUS-SEGMENT'!#REF!*'ANALYSE - ERP =&gt; SOUS-SEGMENT'!#REF!</f>
        <v>#REF!</v>
      </c>
      <c r="I37" s="458" t="e">
        <f>'ANALYSE - ERP =&gt; SOUS-SEGMENT'!#REF!*'ANALYSE - ERP =&gt; SOUS-SEGMENT'!#REF!</f>
        <v>#REF!</v>
      </c>
      <c r="J37" s="458" t="e">
        <f>'ANALYSE - ERP =&gt; SOUS-SEGMENT'!#REF!*'ANALYSE - ERP =&gt; SOUS-SEGMENT'!#REF!</f>
        <v>#REF!</v>
      </c>
      <c r="K37" s="458" t="e">
        <f>'ANALYSE - ERP =&gt; SOUS-SEGMENT'!#REF!*'ANALYSE - ERP =&gt; SOUS-SEGMENT'!#REF!</f>
        <v>#REF!</v>
      </c>
      <c r="L37" s="458" t="e">
        <f>'ANALYSE - ERP =&gt; SOUS-SEGMENT'!#REF!*'ANALYSE - ERP =&gt; SOUS-SEGMENT'!#REF!</f>
        <v>#REF!</v>
      </c>
      <c r="N37" s="458" t="e">
        <f>'ANALYSE - ERP =&gt; SOUS-SEGMENT'!#REF!*'ANALYSE - ERP =&gt; SOUS-SEGMENT'!#REF!</f>
        <v>#REF!</v>
      </c>
      <c r="O37" s="458" t="e">
        <f>'ANALYSE - ERP =&gt; SOUS-SEGMENT'!#REF!*'ANALYSE - ERP =&gt; SOUS-SEGMENT'!#REF!</f>
        <v>#REF!</v>
      </c>
      <c r="P37" s="458" t="e">
        <f>'ANALYSE - ERP =&gt; SOUS-SEGMENT'!#REF!*'ANALYSE - ERP =&gt; SOUS-SEGMENT'!#REF!</f>
        <v>#REF!</v>
      </c>
      <c r="Q37" s="458" t="e">
        <f>'ANALYSE - ERP =&gt; SOUS-SEGMENT'!#REF!*'ANALYSE - ERP =&gt; SOUS-SEGMENT'!#REF!</f>
        <v>#REF!</v>
      </c>
      <c r="R37" s="458" t="e">
        <f>'ANALYSE - ERP =&gt; SOUS-SEGMENT'!#REF!*'ANALYSE - ERP =&gt; SOUS-SEGMENT'!#REF!</f>
        <v>#REF!</v>
      </c>
      <c r="T37" s="430" t="e">
        <f>'ANALYSE - ERP =&gt; SOUS-SEGMENT'!#REF!</f>
        <v>#REF!</v>
      </c>
    </row>
    <row r="38" spans="1:20" ht="15" customHeight="1">
      <c r="A38" s="26">
        <v>35</v>
      </c>
      <c r="B38" s="26">
        <v>34</v>
      </c>
      <c r="C38" s="422">
        <f>'ANALYSE - ERP =&gt; SOUS-SEGMENT'!$A$62</f>
        <v>55</v>
      </c>
      <c r="D38" s="415" t="str">
        <f>'ANALYSE - ERP =&gt; SOUS-SEGMENT'!$B$62</f>
        <v>Culture, Patrimoine &amp; Evénementiel</v>
      </c>
      <c r="E38" s="415" t="str">
        <f>'ANALYSE - ERP =&gt; SOUS-SEGMENT'!$C$62</f>
        <v>Culture / spectacle</v>
      </c>
      <c r="F38" s="415" t="str">
        <f>'ANALYSE - ERP =&gt; SOUS-SEGMENT'!$D$62</f>
        <v>Cinémas</v>
      </c>
      <c r="H38" s="458">
        <f>'ANALYSE - ERP =&gt; SOUS-SEGMENT'!$BG$62*'ANALYSE - ERP =&gt; SOUS-SEGMENT'!$JI$62</f>
        <v>21.372</v>
      </c>
      <c r="I38" s="458">
        <f>'ANALYSE - ERP =&gt; SOUS-SEGMENT'!$BG$62*'ANALYSE - ERP =&gt; SOUS-SEGMENT'!$JJ$62</f>
        <v>1002.429</v>
      </c>
      <c r="J38" s="458">
        <f>'ANALYSE - ERP =&gt; SOUS-SEGMENT'!$BG$62*'ANALYSE - ERP =&gt; SOUS-SEGMENT'!$JK$62</f>
        <v>2104.3200000000002</v>
      </c>
      <c r="K38" s="458">
        <f>'ANALYSE - ERP =&gt; SOUS-SEGMENT'!$BG$62*'ANALYSE - ERP =&gt; SOUS-SEGMENT'!$JL$62</f>
        <v>911.18700000000001</v>
      </c>
      <c r="L38" s="458">
        <f>'ANALYSE - ERP =&gt; SOUS-SEGMENT'!$BG$62*'ANALYSE - ERP =&gt; SOUS-SEGMENT'!$JM$62</f>
        <v>70.691999999999993</v>
      </c>
      <c r="N38" s="458">
        <f>'ANALYSE - ERP =&gt; SOUS-SEGMENT'!$FG$62*'ANALYSE - ERP =&gt; SOUS-SEGMENT'!$JN$62</f>
        <v>0</v>
      </c>
      <c r="O38" s="458">
        <f>'ANALYSE - ERP =&gt; SOUS-SEGMENT'!$FG$62*'ANALYSE - ERP =&gt; SOUS-SEGMENT'!$JO$62</f>
        <v>241.88157434627877</v>
      </c>
      <c r="P38" s="458">
        <f>'ANALYSE - ERP =&gt; SOUS-SEGMENT'!$FG$62*'ANALYSE - ERP =&gt; SOUS-SEGMENT'!$JP$62</f>
        <v>851.65383799813333</v>
      </c>
      <c r="Q38" s="458">
        <f>'ANALYSE - ERP =&gt; SOUS-SEGMENT'!$FG$62*'ANALYSE - ERP =&gt; SOUS-SEGMENT'!$JQ$62</f>
        <v>578.6632172402667</v>
      </c>
      <c r="R38" s="458">
        <f>'ANALYSE - ERP =&gt; SOUS-SEGMENT'!$FG$62*'ANALYSE - ERP =&gt; SOUS-SEGMENT'!$JR$62</f>
        <v>75.500607021381825</v>
      </c>
      <c r="T38" s="430">
        <f>'ANALYSE - ERP =&gt; SOUS-SEGMENT'!$Q$62</f>
        <v>1</v>
      </c>
    </row>
    <row r="39" spans="1:20" ht="15" customHeight="1">
      <c r="A39" s="26">
        <v>36</v>
      </c>
      <c r="B39" s="26">
        <v>37</v>
      </c>
      <c r="C39" s="422">
        <f>'ANALYSE - ERP =&gt; SOUS-SEGMENT'!$A$63</f>
        <v>56</v>
      </c>
      <c r="D39" s="411" t="str">
        <f>'ANALYSE - ERP =&gt; SOUS-SEGMENT'!$B$63</f>
        <v>Culture, Patrimoine &amp; Evénementiel</v>
      </c>
      <c r="E39" s="411" t="str">
        <f>'ANALYSE - ERP =&gt; SOUS-SEGMENT'!$C$63</f>
        <v>Culture / spectacle</v>
      </c>
      <c r="F39" s="411" t="str">
        <f>'ANALYSE - ERP =&gt; SOUS-SEGMENT'!$D$63</f>
        <v>Théâtres</v>
      </c>
      <c r="H39" s="458">
        <f>'ANALYSE - ERP =&gt; SOUS-SEGMENT'!$BG$63*'ANALYSE - ERP =&gt; SOUS-SEGMENT'!$JI$63</f>
        <v>172.416</v>
      </c>
      <c r="I39" s="458">
        <f>'ANALYSE - ERP =&gt; SOUS-SEGMENT'!$BG$63*'ANALYSE - ERP =&gt; SOUS-SEGMENT'!$JJ$63</f>
        <v>1448.0639999999999</v>
      </c>
      <c r="J39" s="458">
        <f>'ANALYSE - ERP =&gt; SOUS-SEGMENT'!$BG$63*'ANALYSE - ERP =&gt; SOUS-SEGMENT'!$JK$63</f>
        <v>1757.952</v>
      </c>
      <c r="K39" s="458">
        <f>'ANALYSE - ERP =&gt; SOUS-SEGMENT'!$BG$63*'ANALYSE - ERP =&gt; SOUS-SEGMENT'!$JL$63</f>
        <v>448.512</v>
      </c>
      <c r="L39" s="458">
        <f>'ANALYSE - ERP =&gt; SOUS-SEGMENT'!$BG$63*'ANALYSE - ERP =&gt; SOUS-SEGMENT'!$JM$63</f>
        <v>13.055999999999999</v>
      </c>
      <c r="N39" s="458">
        <f>'ANALYSE - ERP =&gt; SOUS-SEGMENT'!$FG$63*'ANALYSE - ERP =&gt; SOUS-SEGMENT'!$JN$63</f>
        <v>4.9690405975384602</v>
      </c>
      <c r="O39" s="458">
        <f>'ANALYSE - ERP =&gt; SOUS-SEGMENT'!$FG$63*'ANALYSE - ERP =&gt; SOUS-SEGMENT'!$JO$63</f>
        <v>433.96287885169221</v>
      </c>
      <c r="P39" s="458">
        <f>'ANALYSE - ERP =&gt; SOUS-SEGMENT'!$FG$63*'ANALYSE - ERP =&gt; SOUS-SEGMENT'!$JP$63</f>
        <v>877.03566546553816</v>
      </c>
      <c r="Q39" s="458">
        <f>'ANALYSE - ERP =&gt; SOUS-SEGMENT'!$FG$63*'ANALYSE - ERP =&gt; SOUS-SEGMENT'!$JQ$63</f>
        <v>322.98763883999993</v>
      </c>
      <c r="R39" s="458">
        <f>'ANALYSE - ERP =&gt; SOUS-SEGMENT'!$FG$63*'ANALYSE - ERP =&gt; SOUS-SEGMENT'!$JR$63</f>
        <v>17.391642091384611</v>
      </c>
      <c r="T39" s="430">
        <f>'ANALYSE - ERP =&gt; SOUS-SEGMENT'!$Q$63</f>
        <v>1</v>
      </c>
    </row>
    <row r="40" spans="1:20" ht="15" customHeight="1">
      <c r="A40" s="26">
        <v>37</v>
      </c>
      <c r="B40" s="26">
        <v>36</v>
      </c>
      <c r="C40" s="422">
        <f>'ANALYSE - ERP =&gt; SOUS-SEGMENT'!$A$52</f>
        <v>45</v>
      </c>
      <c r="D40" s="408" t="str">
        <f>'ANALYSE - ERP =&gt; SOUS-SEGMENT'!$B$52</f>
        <v>Santé &amp; Médico-social</v>
      </c>
      <c r="E40" s="408" t="str">
        <f>'ANALYSE - ERP =&gt; SOUS-SEGMENT'!$C$52</f>
        <v>Médico-social</v>
      </c>
      <c r="F40" s="408" t="str">
        <f>'ANALYSE - ERP =&gt; SOUS-SEGMENT'!$D$52</f>
        <v>Établissements Médico-éducatifs</v>
      </c>
      <c r="H40" s="458">
        <f>'ANALYSE - ERP =&gt; SOUS-SEGMENT'!$BG$52*'ANALYSE - ERP =&gt; SOUS-SEGMENT'!$JI$52</f>
        <v>136</v>
      </c>
      <c r="I40" s="458">
        <f>'ANALYSE - ERP =&gt; SOUS-SEGMENT'!$BG$52*'ANALYSE - ERP =&gt; SOUS-SEGMENT'!$JJ$52</f>
        <v>2174</v>
      </c>
      <c r="J40" s="458">
        <f>'ANALYSE - ERP =&gt; SOUS-SEGMENT'!$BG$52*'ANALYSE - ERP =&gt; SOUS-SEGMENT'!$JK$52</f>
        <v>2282.5</v>
      </c>
      <c r="K40" s="458">
        <f>'ANALYSE - ERP =&gt; SOUS-SEGMENT'!$BG$52*'ANALYSE - ERP =&gt; SOUS-SEGMENT'!$JL$52</f>
        <v>407.5</v>
      </c>
      <c r="L40" s="458">
        <f>'ANALYSE - ERP =&gt; SOUS-SEGMENT'!$BG$52*'ANALYSE - ERP =&gt; SOUS-SEGMENT'!$JM$52</f>
        <v>0</v>
      </c>
      <c r="N40" s="458">
        <f>'ANALYSE - ERP =&gt; SOUS-SEGMENT'!$FG$52*'ANALYSE - ERP =&gt; SOUS-SEGMENT'!$JN$52</f>
        <v>0</v>
      </c>
      <c r="O40" s="458">
        <f>'ANALYSE - ERP =&gt; SOUS-SEGMENT'!$FG$52*'ANALYSE - ERP =&gt; SOUS-SEGMENT'!$JO$52</f>
        <v>771.23345069331822</v>
      </c>
      <c r="P40" s="458">
        <f>'ANALYSE - ERP =&gt; SOUS-SEGMENT'!$FG$52*'ANALYSE - ERP =&gt; SOUS-SEGMENT'!$JP$52</f>
        <v>1327.5449729469817</v>
      </c>
      <c r="Q40" s="458">
        <f>'ANALYSE - ERP =&gt; SOUS-SEGMENT'!$FG$52*'ANALYSE - ERP =&gt; SOUS-SEGMENT'!$JQ$52</f>
        <v>337.97813463242727</v>
      </c>
      <c r="R40" s="458">
        <f>'ANALYSE - ERP =&gt; SOUS-SEGMENT'!$FG$52*'ANALYSE - ERP =&gt; SOUS-SEGMENT'!$JR$52</f>
        <v>0</v>
      </c>
      <c r="T40" s="430">
        <f>'ANALYSE - ERP =&gt; SOUS-SEGMENT'!$Q$52</f>
        <v>1</v>
      </c>
    </row>
    <row r="41" spans="1:20" ht="15" customHeight="1">
      <c r="A41" s="26">
        <v>38</v>
      </c>
      <c r="B41" s="26">
        <v>35</v>
      </c>
      <c r="C41" s="422">
        <f>'ANALYSE - ERP =&gt; SOUS-SEGMENT'!$A$16</f>
        <v>9</v>
      </c>
      <c r="D41" s="413" t="str">
        <f>'ANALYSE - ERP =&gt; SOUS-SEGMENT'!$B$16</f>
        <v>Enfance, Enseignement, Jeunesse &amp; Formation</v>
      </c>
      <c r="E41" s="413" t="str">
        <f>'ANALYSE - ERP =&gt; SOUS-SEGMENT'!$C$16</f>
        <v>Enseignement supérieur</v>
      </c>
      <c r="F41" s="413" t="str">
        <f>'ANALYSE - ERP =&gt; SOUS-SEGMENT'!$D$16</f>
        <v>Universités</v>
      </c>
      <c r="H41" s="458">
        <f>'ANALYSE - ERP =&gt; SOUS-SEGMENT'!$BG$16*'ANALYSE - ERP =&gt; SOUS-SEGMENT'!$JI$16</f>
        <v>303.09750000000003</v>
      </c>
      <c r="I41" s="458">
        <f>'ANALYSE - ERP =&gt; SOUS-SEGMENT'!$BG$16*'ANALYSE - ERP =&gt; SOUS-SEGMENT'!$JJ$16</f>
        <v>2010.5325</v>
      </c>
      <c r="J41" s="458">
        <f>'ANALYSE - ERP =&gt; SOUS-SEGMENT'!$BG$16*'ANALYSE - ERP =&gt; SOUS-SEGMENT'!$JK$16</f>
        <v>1669.3875</v>
      </c>
      <c r="K41" s="458">
        <f>'ANALYSE - ERP =&gt; SOUS-SEGMENT'!$BG$16*'ANALYSE - ERP =&gt; SOUS-SEGMENT'!$JL$16</f>
        <v>289.41749999999996</v>
      </c>
      <c r="L41" s="458">
        <f>'ANALYSE - ERP =&gt; SOUS-SEGMENT'!$BG$16*'ANALYSE - ERP =&gt; SOUS-SEGMENT'!$JM$16</f>
        <v>2.5649999999999999</v>
      </c>
      <c r="N41" s="458">
        <f>'ANALYSE - ERP =&gt; SOUS-SEGMENT'!$FG$16*'ANALYSE - ERP =&gt; SOUS-SEGMENT'!$JN$16</f>
        <v>0</v>
      </c>
      <c r="O41" s="458">
        <f>'ANALYSE - ERP =&gt; SOUS-SEGMENT'!$FG$16*'ANALYSE - ERP =&gt; SOUS-SEGMENT'!$JO$16</f>
        <v>302.52435536015997</v>
      </c>
      <c r="P41" s="458">
        <f>'ANALYSE - ERP =&gt; SOUS-SEGMENT'!$FG$16*'ANALYSE - ERP =&gt; SOUS-SEGMENT'!$JP$16</f>
        <v>580.85517743352</v>
      </c>
      <c r="Q41" s="458">
        <f>'ANALYSE - ERP =&gt; SOUS-SEGMENT'!$FG$16*'ANALYSE - ERP =&gt; SOUS-SEGMENT'!$JQ$16</f>
        <v>163.88489069927996</v>
      </c>
      <c r="R41" s="458">
        <f>'ANALYSE - ERP =&gt; SOUS-SEGMENT'!$FG$16*'ANALYSE - ERP =&gt; SOUS-SEGMENT'!$JR$16</f>
        <v>4.6283281070399998</v>
      </c>
      <c r="T41" s="430">
        <f>'ANALYSE - ERP =&gt; SOUS-SEGMENT'!$Q$16</f>
        <v>1</v>
      </c>
    </row>
    <row r="42" spans="1:20" ht="15" customHeight="1">
      <c r="A42" s="26">
        <v>39</v>
      </c>
      <c r="B42" s="26">
        <v>39</v>
      </c>
      <c r="C42" s="422">
        <f>'ANALYSE - ERP =&gt; SOUS-SEGMENT'!$A$115</f>
        <v>108</v>
      </c>
      <c r="D42" s="412" t="str">
        <f>'ANALYSE - ERP =&gt; SOUS-SEGMENT'!$B$115</f>
        <v>Culte, Vie civique &amp; Services publics</v>
      </c>
      <c r="E42" s="412" t="str">
        <f>'ANALYSE - ERP =&gt; SOUS-SEGMENT'!$C$115</f>
        <v>Culte</v>
      </c>
      <c r="F42" s="412" t="str">
        <f>'ANALYSE - ERP =&gt; SOUS-SEGMENT'!$D$115</f>
        <v>Temples protestants, évangéliques et salles de culte assimilées</v>
      </c>
      <c r="H42" s="458">
        <f>'ANALYSE - ERP =&gt; SOUS-SEGMENT'!$BG$115*'ANALYSE - ERP =&gt; SOUS-SEGMENT'!$JI$115</f>
        <v>193.24999999999997</v>
      </c>
      <c r="I42" s="458">
        <f>'ANALYSE - ERP =&gt; SOUS-SEGMENT'!$BG$115*'ANALYSE - ERP =&gt; SOUS-SEGMENT'!$JJ$115</f>
        <v>768.375</v>
      </c>
      <c r="J42" s="458">
        <f>'ANALYSE - ERP =&gt; SOUS-SEGMENT'!$BG$115*'ANALYSE - ERP =&gt; SOUS-SEGMENT'!$JK$115</f>
        <v>273.875</v>
      </c>
      <c r="K42" s="458">
        <f>'ANALYSE - ERP =&gt; SOUS-SEGMENT'!$BG$115*'ANALYSE - ERP =&gt; SOUS-SEGMENT'!$JL$115</f>
        <v>14.499999999999998</v>
      </c>
      <c r="L42" s="458">
        <f>'ANALYSE - ERP =&gt; SOUS-SEGMENT'!$BG$115*'ANALYSE - ERP =&gt; SOUS-SEGMENT'!$JM$115</f>
        <v>0</v>
      </c>
      <c r="N42" s="458">
        <f>'ANALYSE - ERP =&gt; SOUS-SEGMENT'!$FG$115*'ANALYSE - ERP =&gt; SOUS-SEGMENT'!$JN$115</f>
        <v>63.221280352564108</v>
      </c>
      <c r="O42" s="458">
        <f>'ANALYSE - ERP =&gt; SOUS-SEGMENT'!$FG$115*'ANALYSE - ERP =&gt; SOUS-SEGMENT'!$JO$115</f>
        <v>268.81418421794871</v>
      </c>
      <c r="P42" s="458">
        <f>'ANALYSE - ERP =&gt; SOUS-SEGMENT'!$FG$115*'ANALYSE - ERP =&gt; SOUS-SEGMENT'!$JP$115</f>
        <v>104.93382617948717</v>
      </c>
      <c r="Q42" s="458">
        <f>'ANALYSE - ERP =&gt; SOUS-SEGMENT'!$FG$115*'ANALYSE - ERP =&gt; SOUS-SEGMENT'!$JQ$115</f>
        <v>11.564319608974358</v>
      </c>
      <c r="R42" s="458">
        <f>'ANALYSE - ERP =&gt; SOUS-SEGMENT'!$FG$115*'ANALYSE - ERP =&gt; SOUS-SEGMENT'!$JR$115</f>
        <v>1.4399152820512819</v>
      </c>
      <c r="T42" s="430">
        <f>'ANALYSE - ERP =&gt; SOUS-SEGMENT'!$Q$115</f>
        <v>1</v>
      </c>
    </row>
    <row r="43" spans="1:20" ht="15" customHeight="1">
      <c r="A43" s="26">
        <v>40</v>
      </c>
      <c r="B43" s="26">
        <v>38</v>
      </c>
      <c r="C43" s="422">
        <f>'ANALYSE - ERP =&gt; SOUS-SEGMENT'!$A$42</f>
        <v>35</v>
      </c>
      <c r="D43" s="412" t="str">
        <f>'ANALYSE - ERP =&gt; SOUS-SEGMENT'!$B$42</f>
        <v>Sports &amp; Loisirs</v>
      </c>
      <c r="E43" s="412" t="str">
        <f>'ANALYSE - ERP =&gt; SOUS-SEGMENT'!$C$42</f>
        <v>Loisirs</v>
      </c>
      <c r="F43" s="412" t="str">
        <f>'ANALYSE - ERP =&gt; SOUS-SEGMENT'!$D$42</f>
        <v>Discothèques / Salles de danse</v>
      </c>
      <c r="H43" s="458">
        <f>'ANALYSE - ERP =&gt; SOUS-SEGMENT'!$BG$42*'ANALYSE - ERP =&gt; SOUS-SEGMENT'!$JI$42</f>
        <v>234.07999999999998</v>
      </c>
      <c r="I43" s="458">
        <f>'ANALYSE - ERP =&gt; SOUS-SEGMENT'!$BG$42*'ANALYSE - ERP =&gt; SOUS-SEGMENT'!$JJ$42</f>
        <v>4920.16</v>
      </c>
      <c r="J43" s="458">
        <f>'ANALYSE - ERP =&gt; SOUS-SEGMENT'!$BG$42*'ANALYSE - ERP =&gt; SOUS-SEGMENT'!$JK$42</f>
        <v>4880.96</v>
      </c>
      <c r="K43" s="458">
        <f>'ANALYSE - ERP =&gt; SOUS-SEGMENT'!$BG$42*'ANALYSE - ERP =&gt; SOUS-SEGMENT'!$JL$42</f>
        <v>1113.28</v>
      </c>
      <c r="L43" s="458">
        <f>'ANALYSE - ERP =&gt; SOUS-SEGMENT'!$BG$42*'ANALYSE - ERP =&gt; SOUS-SEGMENT'!$JM$42</f>
        <v>51.519999999999996</v>
      </c>
      <c r="N43" s="458">
        <f>'ANALYSE - ERP =&gt; SOUS-SEGMENT'!$FG$42*'ANALYSE - ERP =&gt; SOUS-SEGMENT'!$JN$42</f>
        <v>0</v>
      </c>
      <c r="O43" s="458">
        <f>'ANALYSE - ERP =&gt; SOUS-SEGMENT'!$FG$42*'ANALYSE - ERP =&gt; SOUS-SEGMENT'!$JO$42</f>
        <v>2377.790606775417</v>
      </c>
      <c r="P43" s="458">
        <f>'ANALYSE - ERP =&gt; SOUS-SEGMENT'!$FG$42*'ANALYSE - ERP =&gt; SOUS-SEGMENT'!$JP$42</f>
        <v>2723.7263205191671</v>
      </c>
      <c r="Q43" s="458">
        <f>'ANALYSE - ERP =&gt; SOUS-SEGMENT'!$FG$42*'ANALYSE - ERP =&gt; SOUS-SEGMENT'!$JQ$42</f>
        <v>748.6403651275001</v>
      </c>
      <c r="R43" s="458">
        <f>'ANALYSE - ERP =&gt; SOUS-SEGMENT'!$FG$42*'ANALYSE - ERP =&gt; SOUS-SEGMENT'!$JR$42</f>
        <v>63.273711744583338</v>
      </c>
      <c r="T43" s="430">
        <f>'ANALYSE - ERP =&gt; SOUS-SEGMENT'!$Q$42</f>
        <v>1</v>
      </c>
    </row>
    <row r="44" spans="1:20" ht="15" customHeight="1">
      <c r="A44" s="26">
        <v>41</v>
      </c>
      <c r="B44" s="26">
        <v>40</v>
      </c>
      <c r="C44" s="422">
        <f>'ANALYSE - ERP =&gt; SOUS-SEGMENT'!$A$17</f>
        <v>10</v>
      </c>
      <c r="D44" s="408" t="str">
        <f>'ANALYSE - ERP =&gt; SOUS-SEGMENT'!$B$17</f>
        <v>Enfance, Enseignement, Jeunesse &amp; Formation</v>
      </c>
      <c r="E44" s="408" t="str">
        <f>'ANALYSE - ERP =&gt; SOUS-SEGMENT'!$C$17</f>
        <v>Enseignement supérieur</v>
      </c>
      <c r="F44" s="408" t="str">
        <f>'ANALYSE - ERP =&gt; SOUS-SEGMENT'!$D$17</f>
        <v>Grandes écoles</v>
      </c>
      <c r="H44" s="458">
        <f>'ANALYSE - ERP =&gt; SOUS-SEGMENT'!$BG$17*'ANALYSE - ERP =&gt; SOUS-SEGMENT'!$JI$17</f>
        <v>0</v>
      </c>
      <c r="I44" s="458">
        <f>'ANALYSE - ERP =&gt; SOUS-SEGMENT'!$BG$17*'ANALYSE - ERP =&gt; SOUS-SEGMENT'!$JJ$17</f>
        <v>748.33920000000001</v>
      </c>
      <c r="J44" s="458">
        <f>'ANALYSE - ERP =&gt; SOUS-SEGMENT'!$BG$17*'ANALYSE - ERP =&gt; SOUS-SEGMENT'!$JK$17</f>
        <v>1724.0384000000001</v>
      </c>
      <c r="K44" s="458">
        <f>'ANALYSE - ERP =&gt; SOUS-SEGMENT'!$BG$17*'ANALYSE - ERP =&gt; SOUS-SEGMENT'!$JL$17</f>
        <v>726.57760000000007</v>
      </c>
      <c r="L44" s="458">
        <f>'ANALYSE - ERP =&gt; SOUS-SEGMENT'!$BG$17*'ANALYSE - ERP =&gt; SOUS-SEGMENT'!$JM$17</f>
        <v>49.044800000000002</v>
      </c>
      <c r="N44" s="458">
        <f>'ANALYSE - ERP =&gt; SOUS-SEGMENT'!$FG$17*'ANALYSE - ERP =&gt; SOUS-SEGMENT'!$JN$17</f>
        <v>0</v>
      </c>
      <c r="O44" s="458">
        <f>'ANALYSE - ERP =&gt; SOUS-SEGMENT'!$FG$17*'ANALYSE - ERP =&gt; SOUS-SEGMENT'!$JO$17</f>
        <v>71.281439598096</v>
      </c>
      <c r="P44" s="458">
        <f>'ANALYSE - ERP =&gt; SOUS-SEGMENT'!$FG$17*'ANALYSE - ERP =&gt; SOUS-SEGMENT'!$JP$17</f>
        <v>417.187751355648</v>
      </c>
      <c r="Q44" s="458">
        <f>'ANALYSE - ERP =&gt; SOUS-SEGMENT'!$FG$17*'ANALYSE - ERP =&gt; SOUS-SEGMENT'!$JQ$17</f>
        <v>345.016406144592</v>
      </c>
      <c r="R44" s="458">
        <f>'ANALYSE - ERP =&gt; SOUS-SEGMENT'!$FG$17*'ANALYSE - ERP =&gt; SOUS-SEGMENT'!$JR$17</f>
        <v>56.420015861663998</v>
      </c>
      <c r="T44" s="430">
        <f>'ANALYSE - ERP =&gt; SOUS-SEGMENT'!$Q$17</f>
        <v>1</v>
      </c>
    </row>
    <row r="45" spans="1:20" ht="15" customHeight="1">
      <c r="A45" s="26">
        <v>42</v>
      </c>
      <c r="B45" s="26">
        <v>43</v>
      </c>
      <c r="C45" s="422">
        <f>'ANALYSE - ERP =&gt; SOUS-SEGMENT'!$A$108</f>
        <v>101</v>
      </c>
      <c r="D45" s="414" t="str">
        <f>'ANALYSE - ERP =&gt; SOUS-SEGMENT'!$B$108</f>
        <v>Culte, Vie civique &amp; Services publics</v>
      </c>
      <c r="E45" s="414" t="str">
        <f>'ANALYSE - ERP =&gt; SOUS-SEGMENT'!$C$108</f>
        <v>Administrations / services publics</v>
      </c>
      <c r="F45" s="414" t="str">
        <f>'ANALYSE - ERP =&gt; SOUS-SEGMENT'!$D$108</f>
        <v>Maisons France Services / Guichets publics autonomes ou dédiés</v>
      </c>
      <c r="H45" s="458">
        <f>'ANALYSE - ERP =&gt; SOUS-SEGMENT'!$BG$108*'ANALYSE - ERP =&gt; SOUS-SEGMENT'!$JI$108</f>
        <v>13.3644</v>
      </c>
      <c r="I45" s="458">
        <f>'ANALYSE - ERP =&gt; SOUS-SEGMENT'!$BG$108*'ANALYSE - ERP =&gt; SOUS-SEGMENT'!$JJ$108</f>
        <v>119.4024</v>
      </c>
      <c r="J45" s="458">
        <f>'ANALYSE - ERP =&gt; SOUS-SEGMENT'!$BG$108*'ANALYSE - ERP =&gt; SOUS-SEGMENT'!$JK$108</f>
        <v>107.25060000000001</v>
      </c>
      <c r="K45" s="458">
        <f>'ANALYSE - ERP =&gt; SOUS-SEGMENT'!$BG$108*'ANALYSE - ERP =&gt; SOUS-SEGMENT'!$JL$108</f>
        <v>17.8536</v>
      </c>
      <c r="L45" s="458">
        <f>'ANALYSE - ERP =&gt; SOUS-SEGMENT'!$BG$108*'ANALYSE - ERP =&gt; SOUS-SEGMENT'!$JM$108</f>
        <v>0.129</v>
      </c>
      <c r="N45" s="458">
        <f>'ANALYSE - ERP =&gt; SOUS-SEGMENT'!$FG$108*'ANALYSE - ERP =&gt; SOUS-SEGMENT'!$JN$108</f>
        <v>0</v>
      </c>
      <c r="O45" s="458">
        <f>'ANALYSE - ERP =&gt; SOUS-SEGMENT'!$FG$108*'ANALYSE - ERP =&gt; SOUS-SEGMENT'!$JO$108</f>
        <v>8.3838172030818949</v>
      </c>
      <c r="P45" s="458">
        <f>'ANALYSE - ERP =&gt; SOUS-SEGMENT'!$FG$108*'ANALYSE - ERP =&gt; SOUS-SEGMENT'!$JP$108</f>
        <v>28.420551291477853</v>
      </c>
      <c r="Q45" s="458">
        <f>'ANALYSE - ERP =&gt; SOUS-SEGMENT'!$FG$108*'ANALYSE - ERP =&gt; SOUS-SEGMENT'!$JQ$108</f>
        <v>11.785447953512666</v>
      </c>
      <c r="R45" s="458">
        <f>'ANALYSE - ERP =&gt; SOUS-SEGMENT'!$FG$108*'ANALYSE - ERP =&gt; SOUS-SEGMENT'!$JR$108</f>
        <v>0.49576436622439779</v>
      </c>
      <c r="T45" s="430">
        <f>'ANALYSE - ERP =&gt; SOUS-SEGMENT'!$Q$108</f>
        <v>1</v>
      </c>
    </row>
    <row r="46" spans="1:20" ht="15" customHeight="1">
      <c r="A46" s="26">
        <v>43</v>
      </c>
      <c r="B46" s="26">
        <v>44</v>
      </c>
      <c r="C46" s="422">
        <f>'ANALYSE - ERP =&gt; SOUS-SEGMENT'!$A$53</f>
        <v>46</v>
      </c>
      <c r="D46" s="414" t="str">
        <f>'ANALYSE - ERP =&gt; SOUS-SEGMENT'!$B$53</f>
        <v>Santé &amp; Médico-social</v>
      </c>
      <c r="E46" s="414" t="str">
        <f>'ANALYSE - ERP =&gt; SOUS-SEGMENT'!$C$53</f>
        <v>Santé ambulatoire</v>
      </c>
      <c r="F46" s="414" t="str">
        <f>'ANALYSE - ERP =&gt; SOUS-SEGMENT'!$D$53</f>
        <v>Centres de santé / Centres médicaux</v>
      </c>
      <c r="H46" s="458">
        <f>'ANALYSE - ERP =&gt; SOUS-SEGMENT'!$BG$53*'ANALYSE - ERP =&gt; SOUS-SEGMENT'!$JI$53</f>
        <v>50.8718</v>
      </c>
      <c r="I46" s="458">
        <f>'ANALYSE - ERP =&gt; SOUS-SEGMENT'!$BG$53*'ANALYSE - ERP =&gt; SOUS-SEGMENT'!$JJ$53</f>
        <v>1082.5178000000001</v>
      </c>
      <c r="J46" s="458">
        <f>'ANALYSE - ERP =&gt; SOUS-SEGMENT'!$BG$53*'ANALYSE - ERP =&gt; SOUS-SEGMENT'!$JK$53</f>
        <v>1469.8824</v>
      </c>
      <c r="K46" s="458">
        <f>'ANALYSE - ERP =&gt; SOUS-SEGMENT'!$BG$53*'ANALYSE - ERP =&gt; SOUS-SEGMENT'!$JL$53</f>
        <v>238.72800000000001</v>
      </c>
      <c r="L46" s="458">
        <f>'ANALYSE - ERP =&gt; SOUS-SEGMENT'!$BG$53*'ANALYSE - ERP =&gt; SOUS-SEGMENT'!$JM$53</f>
        <v>0</v>
      </c>
      <c r="N46" s="458">
        <f>'ANALYSE - ERP =&gt; SOUS-SEGMENT'!$FG$53*'ANALYSE - ERP =&gt; SOUS-SEGMENT'!$JN$53</f>
        <v>0</v>
      </c>
      <c r="O46" s="458">
        <f>'ANALYSE - ERP =&gt; SOUS-SEGMENT'!$FG$53*'ANALYSE - ERP =&gt; SOUS-SEGMENT'!$JO$53</f>
        <v>317.01319671523277</v>
      </c>
      <c r="P46" s="458">
        <f>'ANALYSE - ERP =&gt; SOUS-SEGMENT'!$FG$53*'ANALYSE - ERP =&gt; SOUS-SEGMENT'!$JP$53</f>
        <v>904.73776005097102</v>
      </c>
      <c r="Q46" s="458">
        <f>'ANALYSE - ERP =&gt; SOUS-SEGMENT'!$FG$53*'ANALYSE - ERP =&gt; SOUS-SEGMENT'!$JQ$53</f>
        <v>321.64337972470548</v>
      </c>
      <c r="R46" s="458">
        <f>'ANALYSE - ERP =&gt; SOUS-SEGMENT'!$FG$53*'ANALYSE - ERP =&gt; SOUS-SEGMENT'!$JR$53</f>
        <v>0</v>
      </c>
      <c r="T46" s="430">
        <f>'ANALYSE - ERP =&gt; SOUS-SEGMENT'!$Q$53</f>
        <v>1</v>
      </c>
    </row>
    <row r="47" spans="1:20" ht="15" customHeight="1">
      <c r="A47" s="26">
        <v>44</v>
      </c>
      <c r="B47" s="26">
        <v>42</v>
      </c>
      <c r="C47" s="422">
        <f>'ANALYSE - ERP =&gt; SOUS-SEGMENT'!$A$122</f>
        <v>115</v>
      </c>
      <c r="D47" s="414" t="str">
        <f>'ANALYSE - ERP =&gt; SOUS-SEGMENT'!$B$122</f>
        <v>Transport, Mobilité &amp; Stationnement</v>
      </c>
      <c r="E47" s="414" t="str">
        <f>'ANALYSE - ERP =&gt; SOUS-SEGMENT'!$C$122</f>
        <v>Transport / Mobilité</v>
      </c>
      <c r="F47" s="414" t="str">
        <f>'ANALYSE - ERP =&gt; SOUS-SEGMENT'!$D$122</f>
        <v>Aires de repos - Autoroutes
(Hors Aires de service)</v>
      </c>
      <c r="H47" s="458">
        <f>'ANALYSE - ERP =&gt; SOUS-SEGMENT'!$BG$122*'ANALYSE - ERP =&gt; SOUS-SEGMENT'!$JI$122</f>
        <v>383.916</v>
      </c>
      <c r="I47" s="458">
        <f>'ANALYSE - ERP =&gt; SOUS-SEGMENT'!$BG$122*'ANALYSE - ERP =&gt; SOUS-SEGMENT'!$JJ$122</f>
        <v>1361.0479999999998</v>
      </c>
      <c r="J47" s="458">
        <f>'ANALYSE - ERP =&gt; SOUS-SEGMENT'!$BG$122*'ANALYSE - ERP =&gt; SOUS-SEGMENT'!$JK$122</f>
        <v>479.596</v>
      </c>
      <c r="K47" s="458">
        <f>'ANALYSE - ERP =&gt; SOUS-SEGMENT'!$BG$122*'ANALYSE - ERP =&gt; SOUS-SEGMENT'!$JL$122</f>
        <v>95.68</v>
      </c>
      <c r="L47" s="458">
        <f>'ANALYSE - ERP =&gt; SOUS-SEGMENT'!$BG$122*'ANALYSE - ERP =&gt; SOUS-SEGMENT'!$JM$122</f>
        <v>71.759999999999991</v>
      </c>
      <c r="N47" s="458">
        <f>'ANALYSE - ERP =&gt; SOUS-SEGMENT'!$FG$122*'ANALYSE - ERP =&gt; SOUS-SEGMENT'!$JN$122</f>
        <v>91.470582036819991</v>
      </c>
      <c r="O47" s="458">
        <f>'ANALYSE - ERP =&gt; SOUS-SEGMENT'!$FG$122*'ANALYSE - ERP =&gt; SOUS-SEGMENT'!$JO$122</f>
        <v>721.76422822930999</v>
      </c>
      <c r="P47" s="458">
        <f>'ANALYSE - ERP =&gt; SOUS-SEGMENT'!$FG$122*'ANALYSE - ERP =&gt; SOUS-SEGMENT'!$JP$122</f>
        <v>426.81826982487001</v>
      </c>
      <c r="Q47" s="458">
        <f>'ANALYSE - ERP =&gt; SOUS-SEGMENT'!$FG$122*'ANALYSE - ERP =&gt; SOUS-SEGMENT'!$JQ$122</f>
        <v>53.335616348000002</v>
      </c>
      <c r="R47" s="458">
        <f>'ANALYSE - ERP =&gt; SOUS-SEGMENT'!$FG$122*'ANALYSE - ERP =&gt; SOUS-SEGMENT'!$JR$122</f>
        <v>40.001712261000002</v>
      </c>
      <c r="T47" s="430">
        <f>'ANALYSE - ERP =&gt; SOUS-SEGMENT'!$Q$122</f>
        <v>1</v>
      </c>
    </row>
    <row r="48" spans="1:20" ht="15" customHeight="1">
      <c r="A48" s="26">
        <v>45</v>
      </c>
      <c r="B48" s="26">
        <v>46</v>
      </c>
      <c r="C48" s="422">
        <f>'ANALYSE - ERP =&gt; SOUS-SEGMENT'!$A$18</f>
        <v>11</v>
      </c>
      <c r="D48" s="414" t="str">
        <f>'ANALYSE - ERP =&gt; SOUS-SEGMENT'!$B$18</f>
        <v>Enfance, Enseignement, Jeunesse &amp; Formation</v>
      </c>
      <c r="E48" s="414" t="str">
        <f>'ANALYSE - ERP =&gt; SOUS-SEGMENT'!$C$18</f>
        <v>Enseignement supérieur</v>
      </c>
      <c r="F48" s="414" t="str">
        <f>'ANALYSE - ERP =&gt; SOUS-SEGMENT'!$D$18</f>
        <v>Résidences étudiantes et dortoirs</v>
      </c>
      <c r="H48" s="458">
        <f>'ANALYSE - ERP =&gt; SOUS-SEGMENT'!$BG$18*'ANALYSE - ERP =&gt; SOUS-SEGMENT'!$JI$18</f>
        <v>36.428699999999999</v>
      </c>
      <c r="I48" s="458">
        <f>'ANALYSE - ERP =&gt; SOUS-SEGMENT'!$BG$18*'ANALYSE - ERP =&gt; SOUS-SEGMENT'!$JJ$18</f>
        <v>884.697</v>
      </c>
      <c r="J48" s="458">
        <f>'ANALYSE - ERP =&gt; SOUS-SEGMENT'!$BG$18*'ANALYSE - ERP =&gt; SOUS-SEGMENT'!$JK$18</f>
        <v>1413.5979</v>
      </c>
      <c r="K48" s="458">
        <f>'ANALYSE - ERP =&gt; SOUS-SEGMENT'!$BG$18*'ANALYSE - ERP =&gt; SOUS-SEGMENT'!$JL$18</f>
        <v>391.95089999999999</v>
      </c>
      <c r="L48" s="458">
        <f>'ANALYSE - ERP =&gt; SOUS-SEGMENT'!$BG$18*'ANALYSE - ERP =&gt; SOUS-SEGMENT'!$JM$18</f>
        <v>12.3255</v>
      </c>
      <c r="N48" s="458">
        <f>'ANALYSE - ERP =&gt; SOUS-SEGMENT'!$FG$18*'ANALYSE - ERP =&gt; SOUS-SEGMENT'!$JN$18</f>
        <v>0</v>
      </c>
      <c r="O48" s="458">
        <f>'ANALYSE - ERP =&gt; SOUS-SEGMENT'!$FG$18*'ANALYSE - ERP =&gt; SOUS-SEGMENT'!$JO$18</f>
        <v>120.10271485310642</v>
      </c>
      <c r="P48" s="458">
        <f>'ANALYSE - ERP =&gt; SOUS-SEGMENT'!$FG$18*'ANALYSE - ERP =&gt; SOUS-SEGMENT'!$JP$18</f>
        <v>431.85527723620328</v>
      </c>
      <c r="Q48" s="458">
        <f>'ANALYSE - ERP =&gt; SOUS-SEGMENT'!$FG$18*'ANALYSE - ERP =&gt; SOUS-SEGMENT'!$JQ$18</f>
        <v>234.33695702597402</v>
      </c>
      <c r="R48" s="458">
        <f>'ANALYSE - ERP =&gt; SOUS-SEGMENT'!$FG$18*'ANALYSE - ERP =&gt; SOUS-SEGMENT'!$JR$18</f>
        <v>17.605418040716401</v>
      </c>
      <c r="T48" s="430">
        <f>'ANALYSE - ERP =&gt; SOUS-SEGMENT'!$Q$18</f>
        <v>1</v>
      </c>
    </row>
    <row r="49" spans="1:20" ht="15" customHeight="1">
      <c r="A49" s="26">
        <v>46</v>
      </c>
      <c r="B49" s="26">
        <v>45</v>
      </c>
      <c r="C49" s="422">
        <f>'ANALYSE - ERP =&gt; SOUS-SEGMENT'!$A$70</f>
        <v>63</v>
      </c>
      <c r="D49" s="415" t="str">
        <f>'ANALYSE - ERP =&gt; SOUS-SEGMENT'!$B$70</f>
        <v>Culture, Patrimoine &amp; Evénementiel</v>
      </c>
      <c r="E49" s="415" t="str">
        <f>'ANALYSE - ERP =&gt; SOUS-SEGMENT'!$C$70</f>
        <v>Expositions / salons</v>
      </c>
      <c r="F49" s="415" t="str">
        <f>'ANALYSE - ERP =&gt; SOUS-SEGMENT'!$D$70</f>
        <v>Foires / Salons</v>
      </c>
      <c r="H49" s="458">
        <f>'ANALYSE - ERP =&gt; SOUS-SEGMENT'!$BG$70*'ANALYSE - ERP =&gt; SOUS-SEGMENT'!$JI$70</f>
        <v>14.351999999999999</v>
      </c>
      <c r="I49" s="458">
        <f>'ANALYSE - ERP =&gt; SOUS-SEGMENT'!$BG$70*'ANALYSE - ERP =&gt; SOUS-SEGMENT'!$JJ$70</f>
        <v>673.16399999999999</v>
      </c>
      <c r="J49" s="458">
        <f>'ANALYSE - ERP =&gt; SOUS-SEGMENT'!$BG$70*'ANALYSE - ERP =&gt; SOUS-SEGMENT'!$JK$70</f>
        <v>1413.1200000000001</v>
      </c>
      <c r="K49" s="458">
        <f>'ANALYSE - ERP =&gt; SOUS-SEGMENT'!$BG$70*'ANALYSE - ERP =&gt; SOUS-SEGMENT'!$JL$70</f>
        <v>611.89200000000005</v>
      </c>
      <c r="L49" s="458">
        <f>'ANALYSE - ERP =&gt; SOUS-SEGMENT'!$BG$70*'ANALYSE - ERP =&gt; SOUS-SEGMENT'!$JM$70</f>
        <v>47.472000000000001</v>
      </c>
      <c r="N49" s="458">
        <f>'ANALYSE - ERP =&gt; SOUS-SEGMENT'!$FG$70*'ANALYSE - ERP =&gt; SOUS-SEGMENT'!$JN$70</f>
        <v>0</v>
      </c>
      <c r="O49" s="458">
        <f>'ANALYSE - ERP =&gt; SOUS-SEGMENT'!$FG$70*'ANALYSE - ERP =&gt; SOUS-SEGMENT'!$JO$70</f>
        <v>159.39483744836363</v>
      </c>
      <c r="P49" s="458">
        <f>'ANALYSE - ERP =&gt; SOUS-SEGMENT'!$FG$70*'ANALYSE - ERP =&gt; SOUS-SEGMENT'!$JP$70</f>
        <v>581.3223483410909</v>
      </c>
      <c r="Q49" s="458">
        <f>'ANALYSE - ERP =&gt; SOUS-SEGMENT'!$FG$70*'ANALYSE - ERP =&gt; SOUS-SEGMENT'!$JQ$70</f>
        <v>406.54098058096969</v>
      </c>
      <c r="R49" s="458">
        <f>'ANALYSE - ERP =&gt; SOUS-SEGMENT'!$FG$70*'ANALYSE - ERP =&gt; SOUS-SEGMENT'!$JR$70</f>
        <v>54.814514235636366</v>
      </c>
      <c r="T49" s="430">
        <f>'ANALYSE - ERP =&gt; SOUS-SEGMENT'!$Q$70</f>
        <v>1</v>
      </c>
    </row>
    <row r="50" spans="1:20" ht="15" customHeight="1">
      <c r="A50" s="26">
        <v>47</v>
      </c>
      <c r="B50" s="26">
        <v>48</v>
      </c>
      <c r="C50" s="422">
        <f>'ANALYSE - ERP =&gt; SOUS-SEGMENT'!$A$123</f>
        <v>116</v>
      </c>
      <c r="D50" s="415" t="str">
        <f>'ANALYSE - ERP =&gt; SOUS-SEGMENT'!$B$123</f>
        <v>Transport, Mobilité &amp; Stationnement</v>
      </c>
      <c r="E50" s="415" t="str">
        <f>'ANALYSE - ERP =&gt; SOUS-SEGMENT'!$C$123</f>
        <v>Transport / Mobilité</v>
      </c>
      <c r="F50" s="415" t="str">
        <f>'ANALYSE - ERP =&gt; SOUS-SEGMENT'!$D$123</f>
        <v>Parcs de stationnement couverts (dotés de sanitaires)</v>
      </c>
      <c r="H50" s="458">
        <f>'ANALYSE - ERP =&gt; SOUS-SEGMENT'!$BG$123*'ANALYSE - ERP =&gt; SOUS-SEGMENT'!$JI$123</f>
        <v>21.751200000000001</v>
      </c>
      <c r="I50" s="458">
        <f>'ANALYSE - ERP =&gt; SOUS-SEGMENT'!$BG$123*'ANALYSE - ERP =&gt; SOUS-SEGMENT'!$JJ$123</f>
        <v>153.387</v>
      </c>
      <c r="J50" s="458">
        <f>'ANALYSE - ERP =&gt; SOUS-SEGMENT'!$BG$123*'ANALYSE - ERP =&gt; SOUS-SEGMENT'!$JK$123</f>
        <v>74.333700000000007</v>
      </c>
      <c r="K50" s="458">
        <f>'ANALYSE - ERP =&gt; SOUS-SEGMENT'!$BG$123*'ANALYSE - ERP =&gt; SOUS-SEGMENT'!$JL$123</f>
        <v>6.5150999999999994</v>
      </c>
      <c r="L50" s="458">
        <f>'ANALYSE - ERP =&gt; SOUS-SEGMENT'!$BG$123*'ANALYSE - ERP =&gt; SOUS-SEGMENT'!$JM$123</f>
        <v>0.51300000000000001</v>
      </c>
      <c r="N50" s="458">
        <f>'ANALYSE - ERP =&gt; SOUS-SEGMENT'!$FG$123*'ANALYSE - ERP =&gt; SOUS-SEGMENT'!$JN$123</f>
        <v>8.6197734054142838</v>
      </c>
      <c r="O50" s="458">
        <f>'ANALYSE - ERP =&gt; SOUS-SEGMENT'!$FG$123*'ANALYSE - ERP =&gt; SOUS-SEGMENT'!$JO$123</f>
        <v>76.90663873241904</v>
      </c>
      <c r="P50" s="458">
        <f>'ANALYSE - ERP =&gt; SOUS-SEGMENT'!$FG$123*'ANALYSE - ERP =&gt; SOUS-SEGMENT'!$JP$123</f>
        <v>41.675664564495236</v>
      </c>
      <c r="Q50" s="458">
        <f>'ANALYSE - ERP =&gt; SOUS-SEGMENT'!$FG$123*'ANALYSE - ERP =&gt; SOUS-SEGMENT'!$JQ$123</f>
        <v>6.176161630047619</v>
      </c>
      <c r="R50" s="458">
        <f>'ANALYSE - ERP =&gt; SOUS-SEGMENT'!$FG$123*'ANALYSE - ERP =&gt; SOUS-SEGMENT'!$JR$123</f>
        <v>0.88614492952857138</v>
      </c>
      <c r="T50" s="430">
        <f>'ANALYSE - ERP =&gt; SOUS-SEGMENT'!$Q$123</f>
        <v>1</v>
      </c>
    </row>
    <row r="51" spans="1:20" ht="15" customHeight="1">
      <c r="A51" s="26">
        <v>48</v>
      </c>
      <c r="B51" s="26">
        <v>49</v>
      </c>
      <c r="C51" s="422">
        <f>'ANALYSE - ERP =&gt; SOUS-SEGMENT'!$A$41</f>
        <v>34</v>
      </c>
      <c r="D51" s="413" t="str">
        <f>'ANALYSE - ERP =&gt; SOUS-SEGMENT'!$B$41</f>
        <v>Sports &amp; Loisirs</v>
      </c>
      <c r="E51" s="413" t="str">
        <f>'ANALYSE - ERP =&gt; SOUS-SEGMENT'!$C$41</f>
        <v>Loisirs</v>
      </c>
      <c r="F51" s="413" t="str">
        <f>'ANALYSE - ERP =&gt; SOUS-SEGMENT'!$D$41</f>
        <v>Salles de jeux / Bowlings / Billards</v>
      </c>
      <c r="H51" s="458">
        <f>'ANALYSE - ERP =&gt; SOUS-SEGMENT'!$BG$41*'ANALYSE - ERP =&gt; SOUS-SEGMENT'!$JI$41</f>
        <v>51.413999999999994</v>
      </c>
      <c r="I51" s="458">
        <f>'ANALYSE - ERP =&gt; SOUS-SEGMENT'!$BG$41*'ANALYSE - ERP =&gt; SOUS-SEGMENT'!$JJ$41</f>
        <v>1080.6780000000001</v>
      </c>
      <c r="J51" s="458">
        <f>'ANALYSE - ERP =&gt; SOUS-SEGMENT'!$BG$41*'ANALYSE - ERP =&gt; SOUS-SEGMENT'!$JK$41</f>
        <v>1072.068</v>
      </c>
      <c r="K51" s="458">
        <f>'ANALYSE - ERP =&gt; SOUS-SEGMENT'!$BG$41*'ANALYSE - ERP =&gt; SOUS-SEGMENT'!$JL$41</f>
        <v>244.524</v>
      </c>
      <c r="L51" s="458">
        <f>'ANALYSE - ERP =&gt; SOUS-SEGMENT'!$BG$41*'ANALYSE - ERP =&gt; SOUS-SEGMENT'!$JM$41</f>
        <v>11.315999999999999</v>
      </c>
      <c r="N51" s="458">
        <f>'ANALYSE - ERP =&gt; SOUS-SEGMENT'!$FG$41*'ANALYSE - ERP =&gt; SOUS-SEGMENT'!$JN$41</f>
        <v>0</v>
      </c>
      <c r="O51" s="458">
        <f>'ANALYSE - ERP =&gt; SOUS-SEGMENT'!$FG$41*'ANALYSE - ERP =&gt; SOUS-SEGMENT'!$JO$41</f>
        <v>491.59451364852981</v>
      </c>
      <c r="P51" s="458">
        <f>'ANALYSE - ERP =&gt; SOUS-SEGMENT'!$FG$41*'ANALYSE - ERP =&gt; SOUS-SEGMENT'!$JP$41</f>
        <v>563.11473013308341</v>
      </c>
      <c r="Q51" s="458">
        <f>'ANALYSE - ERP =&gt; SOUS-SEGMENT'!$FG$41*'ANALYSE - ERP =&gt; SOUS-SEGMENT'!$JQ$41</f>
        <v>154.77708387939285</v>
      </c>
      <c r="R51" s="458">
        <f>'ANALYSE - ERP =&gt; SOUS-SEGMENT'!$FG$41*'ANALYSE - ERP =&gt; SOUS-SEGMENT'!$JR$41</f>
        <v>13.081475493755953</v>
      </c>
      <c r="T51" s="430">
        <f>'ANALYSE - ERP =&gt; SOUS-SEGMENT'!$Q$41</f>
        <v>1</v>
      </c>
    </row>
    <row r="52" spans="1:20" ht="15" customHeight="1">
      <c r="A52" s="26">
        <v>49</v>
      </c>
      <c r="B52" s="26">
        <v>47</v>
      </c>
      <c r="C52" s="422">
        <f>'ANALYSE - ERP =&gt; SOUS-SEGMENT'!$A$30</f>
        <v>23</v>
      </c>
      <c r="D52" s="411" t="str">
        <f>'ANALYSE - ERP =&gt; SOUS-SEGMENT'!$B$30</f>
        <v>Sports &amp; Loisirs</v>
      </c>
      <c r="E52" s="411" t="str">
        <f>'ANALYSE - ERP =&gt; SOUS-SEGMENT'!$C$30</f>
        <v>Sport de plein air</v>
      </c>
      <c r="F52" s="411" t="str">
        <f>'ANALYSE - ERP =&gt; SOUS-SEGMENT'!$D$30</f>
        <v>Hippodromes, Centres équestres &amp; Manèges couverts</v>
      </c>
      <c r="H52" s="458">
        <f>'ANALYSE - ERP =&gt; SOUS-SEGMENT'!$BG$30*'ANALYSE - ERP =&gt; SOUS-SEGMENT'!$JI$30</f>
        <v>1768.6899999999998</v>
      </c>
      <c r="I52" s="458">
        <f>'ANALYSE - ERP =&gt; SOUS-SEGMENT'!$BG$30*'ANALYSE - ERP =&gt; SOUS-SEGMENT'!$JJ$30</f>
        <v>4724.72</v>
      </c>
      <c r="J52" s="458">
        <f>'ANALYSE - ERP =&gt; SOUS-SEGMENT'!$BG$30*'ANALYSE - ERP =&gt; SOUS-SEGMENT'!$JK$30</f>
        <v>1151.1499999999999</v>
      </c>
      <c r="K52" s="458">
        <f>'ANALYSE - ERP =&gt; SOUS-SEGMENT'!$BG$30*'ANALYSE - ERP =&gt; SOUS-SEGMENT'!$JL$30</f>
        <v>55.44</v>
      </c>
      <c r="L52" s="458">
        <f>'ANALYSE - ERP =&gt; SOUS-SEGMENT'!$BG$30*'ANALYSE - ERP =&gt; SOUS-SEGMENT'!$JM$30</f>
        <v>0</v>
      </c>
      <c r="N52" s="458">
        <f>'ANALYSE - ERP =&gt; SOUS-SEGMENT'!$FG$30*'ANALYSE - ERP =&gt; SOUS-SEGMENT'!$JN$30</f>
        <v>867.4927081607143</v>
      </c>
      <c r="O52" s="458">
        <f>'ANALYSE - ERP =&gt; SOUS-SEGMENT'!$FG$30*'ANALYSE - ERP =&gt; SOUS-SEGMENT'!$JO$30</f>
        <v>2422.0232733977678</v>
      </c>
      <c r="P52" s="458">
        <f>'ANALYSE - ERP =&gt; SOUS-SEGMENT'!$FG$30*'ANALYSE - ERP =&gt; SOUS-SEGMENT'!$JP$30</f>
        <v>684.17349436071424</v>
      </c>
      <c r="Q52" s="458">
        <f>'ANALYSE - ERP =&gt; SOUS-SEGMENT'!$FG$30*'ANALYSE - ERP =&gt; SOUS-SEGMENT'!$JQ$30</f>
        <v>101.88947374151786</v>
      </c>
      <c r="R52" s="458">
        <f>'ANALYSE - ERP =&gt; SOUS-SEGMENT'!$FG$30*'ANALYSE - ERP =&gt; SOUS-SEGMENT'!$JR$30</f>
        <v>16.367786946428573</v>
      </c>
      <c r="T52" s="430">
        <f>'ANALYSE - ERP =&gt; SOUS-SEGMENT'!$Q$30</f>
        <v>1</v>
      </c>
    </row>
    <row r="53" spans="1:20" ht="15" customHeight="1">
      <c r="A53" s="26">
        <v>50</v>
      </c>
      <c r="B53" s="26">
        <v>50</v>
      </c>
      <c r="C53" s="422">
        <f>'ANALYSE - ERP =&gt; SOUS-SEGMENT'!$A$44</f>
        <v>37</v>
      </c>
      <c r="D53" s="411" t="str">
        <f>'ANALYSE - ERP =&gt; SOUS-SEGMENT'!$B$44</f>
        <v>Santé &amp; Médico-social</v>
      </c>
      <c r="E53" s="411" t="str">
        <f>'ANALYSE - ERP =&gt; SOUS-SEGMENT'!$C$44</f>
        <v>Santé hospitalière</v>
      </c>
      <c r="F53" s="411" t="str">
        <f>'ANALYSE - ERP =&gt; SOUS-SEGMENT'!$D$44</f>
        <v>Hôpitaux publics 
(Hors CHU, Universitaire, Militaire, Carcéral)</v>
      </c>
      <c r="H53" s="458">
        <f>'ANALYSE - ERP =&gt; SOUS-SEGMENT'!$BG$44*'ANALYSE - ERP =&gt; SOUS-SEGMENT'!$JI$44</f>
        <v>41.709199999999996</v>
      </c>
      <c r="I53" s="458">
        <f>'ANALYSE - ERP =&gt; SOUS-SEGMENT'!$BG$44*'ANALYSE - ERP =&gt; SOUS-SEGMENT'!$JJ$44</f>
        <v>1011.6332</v>
      </c>
      <c r="J53" s="458">
        <f>'ANALYSE - ERP =&gt; SOUS-SEGMENT'!$BG$44*'ANALYSE - ERP =&gt; SOUS-SEGMENT'!$JK$44</f>
        <v>1258.9268</v>
      </c>
      <c r="K53" s="458">
        <f>'ANALYSE - ERP =&gt; SOUS-SEGMENT'!$BG$44*'ANALYSE - ERP =&gt; SOUS-SEGMENT'!$JL$44</f>
        <v>155.73080000000002</v>
      </c>
      <c r="L53" s="458">
        <f>'ANALYSE - ERP =&gt; SOUS-SEGMENT'!$BG$44*'ANALYSE - ERP =&gt; SOUS-SEGMENT'!$JM$44</f>
        <v>0</v>
      </c>
      <c r="N53" s="458">
        <f>'ANALYSE - ERP =&gt; SOUS-SEGMENT'!$FG$44*'ANALYSE - ERP =&gt; SOUS-SEGMENT'!$JN$44</f>
        <v>0</v>
      </c>
      <c r="O53" s="458">
        <f>'ANALYSE - ERP =&gt; SOUS-SEGMENT'!$FG$44*'ANALYSE - ERP =&gt; SOUS-SEGMENT'!$JO$44</f>
        <v>370.6363674000001</v>
      </c>
      <c r="P53" s="458">
        <f>'ANALYSE - ERP =&gt; SOUS-SEGMENT'!$FG$44*'ANALYSE - ERP =&gt; SOUS-SEGMENT'!$JP$44</f>
        <v>829.58571540000014</v>
      </c>
      <c r="Q53" s="458">
        <f>'ANALYSE - ERP =&gt; SOUS-SEGMENT'!$FG$44*'ANALYSE - ERP =&gt; SOUS-SEGMENT'!$JQ$44</f>
        <v>190.53351720000003</v>
      </c>
      <c r="R53" s="458">
        <f>'ANALYSE - ERP =&gt; SOUS-SEGMENT'!$FG$44*'ANALYSE - ERP =&gt; SOUS-SEGMENT'!$JR$44</f>
        <v>0</v>
      </c>
      <c r="T53" s="430">
        <f>'ANALYSE - ERP =&gt; SOUS-SEGMENT'!$Q$44</f>
        <v>1</v>
      </c>
    </row>
    <row r="54" spans="1:20" ht="15" customHeight="1">
      <c r="A54" s="26">
        <v>51</v>
      </c>
      <c r="B54" s="26">
        <v>51</v>
      </c>
      <c r="C54" s="422">
        <f>'ANALYSE - ERP =&gt; SOUS-SEGMENT'!$A$119</f>
        <v>112</v>
      </c>
      <c r="D54" s="417" t="str">
        <f>'ANALYSE - ERP =&gt; SOUS-SEGMENT'!$B$119</f>
        <v>Culte, Vie civique &amp; Services publics</v>
      </c>
      <c r="E54" s="417" t="str">
        <f>'ANALYSE - ERP =&gt; SOUS-SEGMENT'!$C$119</f>
        <v>Culte</v>
      </c>
      <c r="F54" s="417" t="str">
        <f>'ANALYSE - ERP =&gt; SOUS-SEGMENT'!$D$119</f>
        <v>Salles du Royaume, centres cultuels pluriconfessionnels et lieux de culte polyvalents</v>
      </c>
      <c r="H54" s="458">
        <f>'ANALYSE - ERP =&gt; SOUS-SEGMENT'!$BG$119*'ANALYSE - ERP =&gt; SOUS-SEGMENT'!$JI$119</f>
        <v>57.201999999999998</v>
      </c>
      <c r="I54" s="458">
        <f>'ANALYSE - ERP =&gt; SOUS-SEGMENT'!$BG$119*'ANALYSE - ERP =&gt; SOUS-SEGMENT'!$JJ$119</f>
        <v>227.43900000000002</v>
      </c>
      <c r="J54" s="458">
        <f>'ANALYSE - ERP =&gt; SOUS-SEGMENT'!$BG$119*'ANALYSE - ERP =&gt; SOUS-SEGMENT'!$JK$119</f>
        <v>81.066999999999993</v>
      </c>
      <c r="K54" s="458">
        <f>'ANALYSE - ERP =&gt; SOUS-SEGMENT'!$BG$119*'ANALYSE - ERP =&gt; SOUS-SEGMENT'!$JL$119</f>
        <v>4.2919999999999998</v>
      </c>
      <c r="L54" s="458">
        <f>'ANALYSE - ERP =&gt; SOUS-SEGMENT'!$BG$119*'ANALYSE - ERP =&gt; SOUS-SEGMENT'!$JM$119</f>
        <v>0</v>
      </c>
      <c r="N54" s="458">
        <f>'ANALYSE - ERP =&gt; SOUS-SEGMENT'!$FG$119*'ANALYSE - ERP =&gt; SOUS-SEGMENT'!$JN$119</f>
        <v>23.626972168154765</v>
      </c>
      <c r="O54" s="458">
        <f>'ANALYSE - ERP =&gt; SOUS-SEGMENT'!$FG$119*'ANALYSE - ERP =&gt; SOUS-SEGMENT'!$JO$119</f>
        <v>100.46087667797619</v>
      </c>
      <c r="P54" s="458">
        <f>'ANALYSE - ERP =&gt; SOUS-SEGMENT'!$FG$119*'ANALYSE - ERP =&gt; SOUS-SEGMENT'!$JP$119</f>
        <v>39.215728894047615</v>
      </c>
      <c r="Q54" s="458">
        <f>'ANALYSE - ERP =&gt; SOUS-SEGMENT'!$FG$119*'ANALYSE - ERP =&gt; SOUS-SEGMENT'!$JQ$119</f>
        <v>4.3218020264880952</v>
      </c>
      <c r="R54" s="458">
        <f>'ANALYSE - ERP =&gt; SOUS-SEGMENT'!$FG$119*'ANALYSE - ERP =&gt; SOUS-SEGMENT'!$JR$119</f>
        <v>0.53812320952380954</v>
      </c>
      <c r="T54" s="430">
        <f>'ANALYSE - ERP =&gt; SOUS-SEGMENT'!$Q$119</f>
        <v>1</v>
      </c>
    </row>
    <row r="55" spans="1:20" ht="15" customHeight="1">
      <c r="A55" s="26">
        <v>52</v>
      </c>
      <c r="B55" s="26">
        <v>52</v>
      </c>
      <c r="C55" s="422">
        <f>'ANALYSE - ERP =&gt; SOUS-SEGMENT'!$A$60</f>
        <v>53</v>
      </c>
      <c r="D55" s="417" t="str">
        <f>'ANALYSE - ERP =&gt; SOUS-SEGMENT'!$B$60</f>
        <v>Santé &amp; Médico-social</v>
      </c>
      <c r="E55" s="417" t="str">
        <f>'ANALYSE - ERP =&gt; SOUS-SEGMENT'!$C$60</f>
        <v>Médico-social</v>
      </c>
      <c r="F55" s="417" t="str">
        <f>'ANALYSE - ERP =&gt; SOUS-SEGMENT'!$D$60</f>
        <v>Résidences autonomie
Foyers-logements
(Public)</v>
      </c>
      <c r="H55" s="458">
        <f>'ANALYSE - ERP =&gt; SOUS-SEGMENT'!$BG$60*'ANALYSE - ERP =&gt; SOUS-SEGMENT'!$JI$60</f>
        <v>33.272799999999997</v>
      </c>
      <c r="I55" s="458">
        <f>'ANALYSE - ERP =&gt; SOUS-SEGMENT'!$BG$60*'ANALYSE - ERP =&gt; SOUS-SEGMENT'!$JJ$60</f>
        <v>759.36410000000001</v>
      </c>
      <c r="J55" s="458">
        <f>'ANALYSE - ERP =&gt; SOUS-SEGMENT'!$BG$60*'ANALYSE - ERP =&gt; SOUS-SEGMENT'!$JK$60</f>
        <v>1118.7979</v>
      </c>
      <c r="K55" s="458">
        <f>'ANALYSE - ERP =&gt; SOUS-SEGMENT'!$BG$60*'ANALYSE - ERP =&gt; SOUS-SEGMENT'!$JL$60</f>
        <v>271.43599999999998</v>
      </c>
      <c r="L55" s="458">
        <f>'ANALYSE - ERP =&gt; SOUS-SEGMENT'!$BG$60*'ANALYSE - ERP =&gt; SOUS-SEGMENT'!$JM$60</f>
        <v>6.1292</v>
      </c>
      <c r="N55" s="458">
        <f>'ANALYSE - ERP =&gt; SOUS-SEGMENT'!$FG$60*'ANALYSE - ERP =&gt; SOUS-SEGMENT'!$JN$60</f>
        <v>0</v>
      </c>
      <c r="O55" s="458">
        <f>'ANALYSE - ERP =&gt; SOUS-SEGMENT'!$FG$60*'ANALYSE - ERP =&gt; SOUS-SEGMENT'!$JO$60</f>
        <v>243.86103187184088</v>
      </c>
      <c r="P55" s="458">
        <f>'ANALYSE - ERP =&gt; SOUS-SEGMENT'!$FG$60*'ANALYSE - ERP =&gt; SOUS-SEGMENT'!$JP$60</f>
        <v>547.67983457875755</v>
      </c>
      <c r="Q55" s="458">
        <f>'ANALYSE - ERP =&gt; SOUS-SEGMENT'!$FG$60*'ANALYSE - ERP =&gt; SOUS-SEGMENT'!$JQ$60</f>
        <v>184.39471817475754</v>
      </c>
      <c r="R55" s="458">
        <f>'ANALYSE - ERP =&gt; SOUS-SEGMENT'!$FG$60*'ANALYSE - ERP =&gt; SOUS-SEGMENT'!$JR$60</f>
        <v>6.9786913594924238</v>
      </c>
      <c r="T55" s="430">
        <f>'ANALYSE - ERP =&gt; SOUS-SEGMENT'!$Q$60</f>
        <v>1</v>
      </c>
    </row>
    <row r="56" spans="1:20" ht="15" customHeight="1">
      <c r="A56" s="26">
        <v>53</v>
      </c>
      <c r="B56" s="26">
        <v>53</v>
      </c>
      <c r="C56" s="422">
        <f>'ANALYSE - ERP =&gt; SOUS-SEGMENT'!$A$89</f>
        <v>82</v>
      </c>
      <c r="D56" s="413" t="str">
        <f>'ANALYSE - ERP =&gt; SOUS-SEGMENT'!$B$89</f>
        <v>Hébergement Touristique</v>
      </c>
      <c r="E56" s="413" t="str">
        <f>'ANALYSE - ERP =&gt; SOUS-SEGMENT'!$C$89</f>
        <v>Hébergement Touristique</v>
      </c>
      <c r="F56" s="413" t="str">
        <f>'ANALYSE - ERP =&gt; SOUS-SEGMENT'!$D$89</f>
        <v>Résidences de tourisme</v>
      </c>
      <c r="H56" s="458">
        <f>'ANALYSE - ERP =&gt; SOUS-SEGMENT'!$BG$89*'ANALYSE - ERP =&gt; SOUS-SEGMENT'!$JI$89</f>
        <v>371.03999999999996</v>
      </c>
      <c r="I56" s="458">
        <f>'ANALYSE - ERP =&gt; SOUS-SEGMENT'!$BG$89*'ANALYSE - ERP =&gt; SOUS-SEGMENT'!$JJ$89</f>
        <v>1475.28</v>
      </c>
      <c r="J56" s="458">
        <f>'ANALYSE - ERP =&gt; SOUS-SEGMENT'!$BG$89*'ANALYSE - ERP =&gt; SOUS-SEGMENT'!$JK$89</f>
        <v>525.83999999999992</v>
      </c>
      <c r="K56" s="458">
        <f>'ANALYSE - ERP =&gt; SOUS-SEGMENT'!$BG$89*'ANALYSE - ERP =&gt; SOUS-SEGMENT'!$JL$89</f>
        <v>27.839999999999996</v>
      </c>
      <c r="L56" s="458">
        <f>'ANALYSE - ERP =&gt; SOUS-SEGMENT'!$BG$89*'ANALYSE - ERP =&gt; SOUS-SEGMENT'!$JM$89</f>
        <v>0</v>
      </c>
      <c r="N56" s="458">
        <f>'ANALYSE - ERP =&gt; SOUS-SEGMENT'!$FG$89*'ANALYSE - ERP =&gt; SOUS-SEGMENT'!$JN$89</f>
        <v>146.11317812125</v>
      </c>
      <c r="O56" s="458">
        <f>'ANALYSE - ERP =&gt; SOUS-SEGMENT'!$FG$89*'ANALYSE - ERP =&gt; SOUS-SEGMENT'!$JO$89</f>
        <v>635.76946424249991</v>
      </c>
      <c r="P56" s="458">
        <f>'ANALYSE - ERP =&gt; SOUS-SEGMENT'!$FG$89*'ANALYSE - ERP =&gt; SOUS-SEGMENT'!$JP$89</f>
        <v>254.97340046874999</v>
      </c>
      <c r="Q56" s="458">
        <f>'ANALYSE - ERP =&gt; SOUS-SEGMENT'!$FG$89*'ANALYSE - ERP =&gt; SOUS-SEGMENT'!$JQ$89</f>
        <v>32.314523596249998</v>
      </c>
      <c r="R56" s="458">
        <f>'ANALYSE - ERP =&gt; SOUS-SEGMENT'!$FG$89*'ANALYSE - ERP =&gt; SOUS-SEGMENT'!$JR$89</f>
        <v>4.4016460712500001</v>
      </c>
      <c r="T56" s="430">
        <f>'ANALYSE - ERP =&gt; SOUS-SEGMENT'!$Q$89</f>
        <v>1</v>
      </c>
    </row>
    <row r="57" spans="1:20" ht="15" customHeight="1">
      <c r="A57" s="26">
        <v>54</v>
      </c>
      <c r="B57" s="26">
        <v>54</v>
      </c>
      <c r="C57" s="422">
        <f>'ANALYSE - ERP =&gt; SOUS-SEGMENT'!$A$105</f>
        <v>98</v>
      </c>
      <c r="D57" s="417" t="str">
        <f>'ANALYSE - ERP =&gt; SOUS-SEGMENT'!$B$105</f>
        <v>Culte, Vie civique &amp; Services publics</v>
      </c>
      <c r="E57" s="417" t="str">
        <f>'ANALYSE - ERP =&gt; SOUS-SEGMENT'!$C$105</f>
        <v>Administrations / services publics</v>
      </c>
      <c r="F57" s="417" t="str">
        <f>'ANALYSE - ERP =&gt; SOUS-SEGMENT'!$D$105</f>
        <v>Préfectures / services administratifs</v>
      </c>
      <c r="H57" s="458">
        <f>'ANALYSE - ERP =&gt; SOUS-SEGMENT'!$BG$105*'ANALYSE - ERP =&gt; SOUS-SEGMENT'!$JI$105</f>
        <v>92.4512</v>
      </c>
      <c r="I57" s="458">
        <f>'ANALYSE - ERP =&gt; SOUS-SEGMENT'!$BG$105*'ANALYSE - ERP =&gt; SOUS-SEGMENT'!$JJ$105</f>
        <v>651.83439999999996</v>
      </c>
      <c r="J57" s="458">
        <f>'ANALYSE - ERP =&gt; SOUS-SEGMENT'!$BG$105*'ANALYSE - ERP =&gt; SOUS-SEGMENT'!$JK$105</f>
        <v>509.68400000000003</v>
      </c>
      <c r="K57" s="458">
        <f>'ANALYSE - ERP =&gt; SOUS-SEGMENT'!$BG$105*'ANALYSE - ERP =&gt; SOUS-SEGMENT'!$JL$105</f>
        <v>81.495999999999995</v>
      </c>
      <c r="L57" s="458">
        <f>'ANALYSE - ERP =&gt; SOUS-SEGMENT'!$BG$105*'ANALYSE - ERP =&gt; SOUS-SEGMENT'!$JM$105</f>
        <v>0.53439999999999999</v>
      </c>
      <c r="N57" s="458">
        <f>'ANALYSE - ERP =&gt; SOUS-SEGMENT'!$FG$105*'ANALYSE - ERP =&gt; SOUS-SEGMENT'!$JN$105</f>
        <v>8.5938079373179495</v>
      </c>
      <c r="O57" s="458">
        <f>'ANALYSE - ERP =&gt; SOUS-SEGMENT'!$FG$105*'ANALYSE - ERP =&gt; SOUS-SEGMENT'!$JO$105</f>
        <v>227.27879289545132</v>
      </c>
      <c r="P57" s="458">
        <f>'ANALYSE - ERP =&gt; SOUS-SEGMENT'!$FG$105*'ANALYSE - ERP =&gt; SOUS-SEGMENT'!$JP$105</f>
        <v>309.55993272083595</v>
      </c>
      <c r="Q57" s="458">
        <f>'ANALYSE - ERP =&gt; SOUS-SEGMENT'!$FG$105*'ANALYSE - ERP =&gt; SOUS-SEGMENT'!$JQ$105</f>
        <v>63.143156191924795</v>
      </c>
      <c r="R57" s="458">
        <f>'ANALYSE - ERP =&gt; SOUS-SEGMENT'!$FG$105*'ANALYSE - ERP =&gt; SOUS-SEGMENT'!$JR$105</f>
        <v>0.91423488694871813</v>
      </c>
      <c r="T57" s="430">
        <f>'ANALYSE - ERP =&gt; SOUS-SEGMENT'!$Q$105</f>
        <v>1</v>
      </c>
    </row>
    <row r="58" spans="1:20" ht="15" customHeight="1">
      <c r="A58" s="26">
        <v>55</v>
      </c>
      <c r="B58" s="26">
        <v>59</v>
      </c>
      <c r="C58" s="422">
        <f>'ANALYSE - ERP =&gt; SOUS-SEGMENT'!$A$61</f>
        <v>54</v>
      </c>
      <c r="D58" s="417" t="str">
        <f>'ANALYSE - ERP =&gt; SOUS-SEGMENT'!$B$61</f>
        <v>Santé &amp; Médico-social</v>
      </c>
      <c r="E58" s="417" t="str">
        <f>'ANALYSE - ERP =&gt; SOUS-SEGMENT'!$C$61</f>
        <v>Médico-social</v>
      </c>
      <c r="F58" s="417" t="str">
        <f>'ANALYSE - ERP =&gt; SOUS-SEGMENT'!$D$61</f>
        <v>Résidences services seniors
(Privé)</v>
      </c>
      <c r="H58" s="458">
        <f>'ANALYSE - ERP =&gt; SOUS-SEGMENT'!$BG$61*'ANALYSE - ERP =&gt; SOUS-SEGMENT'!$JI$61</f>
        <v>0</v>
      </c>
      <c r="I58" s="458">
        <f>'ANALYSE - ERP =&gt; SOUS-SEGMENT'!$BG$61*'ANALYSE - ERP =&gt; SOUS-SEGMENT'!$JJ$61</f>
        <v>106.672</v>
      </c>
      <c r="J58" s="458">
        <f>'ANALYSE - ERP =&gt; SOUS-SEGMENT'!$BG$61*'ANALYSE - ERP =&gt; SOUS-SEGMENT'!$JK$61</f>
        <v>584.32299999999998</v>
      </c>
      <c r="K58" s="458">
        <f>'ANALYSE - ERP =&gt; SOUS-SEGMENT'!$BG$61*'ANALYSE - ERP =&gt; SOUS-SEGMENT'!$JL$61</f>
        <v>373.46500000000003</v>
      </c>
      <c r="L58" s="458">
        <f>'ANALYSE - ERP =&gt; SOUS-SEGMENT'!$BG$61*'ANALYSE - ERP =&gt; SOUS-SEGMENT'!$JM$61</f>
        <v>65.540000000000006</v>
      </c>
      <c r="N58" s="458">
        <f>'ANALYSE - ERP =&gt; SOUS-SEGMENT'!$FG$61*'ANALYSE - ERP =&gt; SOUS-SEGMENT'!$JN$61</f>
        <v>0</v>
      </c>
      <c r="O58" s="458">
        <f>'ANALYSE - ERP =&gt; SOUS-SEGMENT'!$FG$61*'ANALYSE - ERP =&gt; SOUS-SEGMENT'!$JO$61</f>
        <v>0</v>
      </c>
      <c r="P58" s="458">
        <f>'ANALYSE - ERP =&gt; SOUS-SEGMENT'!$FG$61*'ANALYSE - ERP =&gt; SOUS-SEGMENT'!$JP$61</f>
        <v>251.45496043778087</v>
      </c>
      <c r="Q58" s="458">
        <f>'ANALYSE - ERP =&gt; SOUS-SEGMENT'!$FG$61*'ANALYSE - ERP =&gt; SOUS-SEGMENT'!$JQ$61</f>
        <v>420.9681302851406</v>
      </c>
      <c r="R58" s="458">
        <f>'ANALYSE - ERP =&gt; SOUS-SEGMENT'!$FG$61*'ANALYSE - ERP =&gt; SOUS-SEGMENT'!$JR$61</f>
        <v>109.46422407117328</v>
      </c>
      <c r="T58" s="430">
        <f>'ANALYSE - ERP =&gt; SOUS-SEGMENT'!$Q$61</f>
        <v>1</v>
      </c>
    </row>
    <row r="59" spans="1:20" ht="15" customHeight="1">
      <c r="A59" s="26">
        <v>56</v>
      </c>
      <c r="B59" s="26">
        <v>55</v>
      </c>
      <c r="C59" s="422">
        <f>'ANALYSE - ERP =&gt; SOUS-SEGMENT'!$A$114</f>
        <v>107</v>
      </c>
      <c r="D59" s="417" t="str">
        <f>'ANALYSE - ERP =&gt; SOUS-SEGMENT'!$B$114</f>
        <v>Culte, Vie civique &amp; Services publics</v>
      </c>
      <c r="E59" s="417" t="str">
        <f>'ANALYSE - ERP =&gt; SOUS-SEGMENT'!$C$114</f>
        <v>Culte</v>
      </c>
      <c r="F59" s="417" t="str">
        <f>'ANALYSE - ERP =&gt; SOUS-SEGMENT'!$D$114</f>
        <v>Monastères, abbayes et couvents ouverts au public</v>
      </c>
      <c r="H59" s="458">
        <f>'ANALYSE - ERP =&gt; SOUS-SEGMENT'!$BG$114*'ANALYSE - ERP =&gt; SOUS-SEGMENT'!$JI$114</f>
        <v>0</v>
      </c>
      <c r="I59" s="458">
        <f>'ANALYSE - ERP =&gt; SOUS-SEGMENT'!$BG$114*'ANALYSE - ERP =&gt; SOUS-SEGMENT'!$JJ$114</f>
        <v>0</v>
      </c>
      <c r="J59" s="458">
        <f>'ANALYSE - ERP =&gt; SOUS-SEGMENT'!$BG$114*'ANALYSE - ERP =&gt; SOUS-SEGMENT'!$JK$114</f>
        <v>0</v>
      </c>
      <c r="K59" s="458">
        <f>'ANALYSE - ERP =&gt; SOUS-SEGMENT'!$BG$114*'ANALYSE - ERP =&gt; SOUS-SEGMENT'!$JL$114</f>
        <v>0</v>
      </c>
      <c r="L59" s="458">
        <f>'ANALYSE - ERP =&gt; SOUS-SEGMENT'!$BG$114*'ANALYSE - ERP =&gt; SOUS-SEGMENT'!$JM$114</f>
        <v>0</v>
      </c>
      <c r="N59" s="458">
        <f>'ANALYSE - ERP =&gt; SOUS-SEGMENT'!$FG$114*'ANALYSE - ERP =&gt; SOUS-SEGMENT'!$JN$114</f>
        <v>0</v>
      </c>
      <c r="O59" s="458">
        <f>'ANALYSE - ERP =&gt; SOUS-SEGMENT'!$FG$114*'ANALYSE - ERP =&gt; SOUS-SEGMENT'!$JO$114</f>
        <v>0</v>
      </c>
      <c r="P59" s="458">
        <f>'ANALYSE - ERP =&gt; SOUS-SEGMENT'!$FG$114*'ANALYSE - ERP =&gt; SOUS-SEGMENT'!$JP$114</f>
        <v>0</v>
      </c>
      <c r="Q59" s="458">
        <f>'ANALYSE - ERP =&gt; SOUS-SEGMENT'!$FG$114*'ANALYSE - ERP =&gt; SOUS-SEGMENT'!$JQ$114</f>
        <v>0</v>
      </c>
      <c r="R59" s="458">
        <f>'ANALYSE - ERP =&gt; SOUS-SEGMENT'!$FG$114*'ANALYSE - ERP =&gt; SOUS-SEGMENT'!$JR$114</f>
        <v>0</v>
      </c>
      <c r="T59" s="430">
        <f>'ANALYSE - ERP =&gt; SOUS-SEGMENT'!$Q$114</f>
        <v>1</v>
      </c>
    </row>
    <row r="60" spans="1:20" ht="15" customHeight="1">
      <c r="A60" s="26">
        <v>57</v>
      </c>
      <c r="B60" s="26">
        <v>57</v>
      </c>
      <c r="C60" s="422">
        <f>'ANALYSE - ERP =&gt; SOUS-SEGMENT'!$A$72</f>
        <v>65</v>
      </c>
      <c r="D60" s="417" t="str">
        <f>'ANALYSE - ERP =&gt; SOUS-SEGMENT'!$B$72</f>
        <v>Culture, Patrimoine &amp; Evénementiel</v>
      </c>
      <c r="E60" s="417" t="str">
        <f>'ANALYSE - ERP =&gt; SOUS-SEGMENT'!$C$72</f>
        <v>Événementiel temporaire</v>
      </c>
      <c r="F60" s="417" t="str">
        <f>'ANALYSE - ERP =&gt; SOUS-SEGMENT'!$D$72</f>
        <v>Chapiteaux / Tentes / Structures</v>
      </c>
      <c r="H60" s="458">
        <f>'ANALYSE - ERP =&gt; SOUS-SEGMENT'!$BG$72*'ANALYSE - ERP =&gt; SOUS-SEGMENT'!$JI$72</f>
        <v>48.6</v>
      </c>
      <c r="I60" s="458">
        <f>'ANALYSE - ERP =&gt; SOUS-SEGMENT'!$BG$72*'ANALYSE - ERP =&gt; SOUS-SEGMENT'!$JJ$72</f>
        <v>485.72999999999996</v>
      </c>
      <c r="J60" s="458">
        <f>'ANALYSE - ERP =&gt; SOUS-SEGMENT'!$BG$72*'ANALYSE - ERP =&gt; SOUS-SEGMENT'!$JK$72</f>
        <v>337.32</v>
      </c>
      <c r="K60" s="458">
        <f>'ANALYSE - ERP =&gt; SOUS-SEGMENT'!$BG$72*'ANALYSE - ERP =&gt; SOUS-SEGMENT'!$JL$72</f>
        <v>28.35</v>
      </c>
      <c r="L60" s="458">
        <f>'ANALYSE - ERP =&gt; SOUS-SEGMENT'!$BG$72*'ANALYSE - ERP =&gt; SOUS-SEGMENT'!$JM$72</f>
        <v>0</v>
      </c>
      <c r="N60" s="458">
        <f>'ANALYSE - ERP =&gt; SOUS-SEGMENT'!$FG$72*'ANALYSE - ERP =&gt; SOUS-SEGMENT'!$JN$72</f>
        <v>14.037674152579999</v>
      </c>
      <c r="O60" s="458">
        <f>'ANALYSE - ERP =&gt; SOUS-SEGMENT'!$FG$72*'ANALYSE - ERP =&gt; SOUS-SEGMENT'!$JO$72</f>
        <v>198.8670504948833</v>
      </c>
      <c r="P60" s="458">
        <f>'ANALYSE - ERP =&gt; SOUS-SEGMENT'!$FG$72*'ANALYSE - ERP =&gt; SOUS-SEGMENT'!$JP$72</f>
        <v>150.42556837819333</v>
      </c>
      <c r="Q60" s="458">
        <f>'ANALYSE - ERP =&gt; SOUS-SEGMENT'!$FG$72*'ANALYSE - ERP =&gt; SOUS-SEGMENT'!$JQ$72</f>
        <v>18.755253171069999</v>
      </c>
      <c r="R60" s="458">
        <f>'ANALYSE - ERP =&gt; SOUS-SEGMENT'!$FG$72*'ANALYSE - ERP =&gt; SOUS-SEGMENT'!$JR$72</f>
        <v>1.4574634366066666</v>
      </c>
      <c r="T60" s="430">
        <f>'ANALYSE - ERP =&gt; SOUS-SEGMENT'!$Q$72</f>
        <v>1</v>
      </c>
    </row>
    <row r="61" spans="1:20" ht="15" customHeight="1">
      <c r="A61" s="26">
        <v>58</v>
      </c>
      <c r="B61" s="26">
        <v>56</v>
      </c>
      <c r="C61" s="422">
        <f>'ANALYSE - ERP =&gt; SOUS-SEGMENT'!$A$31</f>
        <v>24</v>
      </c>
      <c r="D61" s="417" t="str">
        <f>'ANALYSE - ERP =&gt; SOUS-SEGMENT'!$B$31</f>
        <v>Sports &amp; Loisirs</v>
      </c>
      <c r="E61" s="417" t="str">
        <f>'ANALYSE - ERP =&gt; SOUS-SEGMENT'!$C$31</f>
        <v>Sport de plein air</v>
      </c>
      <c r="F61" s="417" t="str">
        <f>'ANALYSE - ERP =&gt; SOUS-SEGMENT'!$D$31</f>
        <v>Piscines extérieures 
(Hors campings, hôtels, résidences et établissement avec bassin intérieur)</v>
      </c>
      <c r="H61" s="458">
        <f>'ANALYSE - ERP =&gt; SOUS-SEGMENT'!$BG$31*'ANALYSE - ERP =&gt; SOUS-SEGMENT'!$JI$31</f>
        <v>410.34999999999997</v>
      </c>
      <c r="I61" s="458">
        <f>'ANALYSE - ERP =&gt; SOUS-SEGMENT'!$BG$31*'ANALYSE - ERP =&gt; SOUS-SEGMENT'!$JJ$31</f>
        <v>877.39499999999998</v>
      </c>
      <c r="J61" s="458">
        <f>'ANALYSE - ERP =&gt; SOUS-SEGMENT'!$BG$31*'ANALYSE - ERP =&gt; SOUS-SEGMENT'!$JK$31</f>
        <v>162.255</v>
      </c>
      <c r="K61" s="458">
        <f>'ANALYSE - ERP =&gt; SOUS-SEGMENT'!$BG$31*'ANALYSE - ERP =&gt; SOUS-SEGMENT'!$JL$31</f>
        <v>0</v>
      </c>
      <c r="L61" s="458">
        <f>'ANALYSE - ERP =&gt; SOUS-SEGMENT'!$BG$31*'ANALYSE - ERP =&gt; SOUS-SEGMENT'!$JM$31</f>
        <v>0</v>
      </c>
      <c r="N61" s="458">
        <f>'ANALYSE - ERP =&gt; SOUS-SEGMENT'!$FG$31*'ANALYSE - ERP =&gt; SOUS-SEGMENT'!$JN$31</f>
        <v>121.08511050404167</v>
      </c>
      <c r="O61" s="458">
        <f>'ANALYSE - ERP =&gt; SOUS-SEGMENT'!$FG$31*'ANALYSE - ERP =&gt; SOUS-SEGMENT'!$JO$31</f>
        <v>480.06505349900004</v>
      </c>
      <c r="P61" s="458">
        <f>'ANALYSE - ERP =&gt; SOUS-SEGMENT'!$FG$31*'ANALYSE - ERP =&gt; SOUS-SEGMENT'!$JP$31</f>
        <v>162.31207120529169</v>
      </c>
      <c r="Q61" s="458">
        <f>'ANALYSE - ERP =&gt; SOUS-SEGMENT'!$FG$31*'ANALYSE - ERP =&gt; SOUS-SEGMENT'!$JQ$31</f>
        <v>0</v>
      </c>
      <c r="R61" s="458">
        <f>'ANALYSE - ERP =&gt; SOUS-SEGMENT'!$FG$31*'ANALYSE - ERP =&gt; SOUS-SEGMENT'!$JR$31</f>
        <v>0</v>
      </c>
      <c r="T61" s="430">
        <f>'ANALYSE - ERP =&gt; SOUS-SEGMENT'!$Q$31</f>
        <v>1</v>
      </c>
    </row>
    <row r="62" spans="1:20" s="45" customFormat="1" ht="15" customHeight="1">
      <c r="A62" s="406">
        <v>59</v>
      </c>
      <c r="B62" s="406">
        <v>58</v>
      </c>
      <c r="C62" s="448">
        <f>'ANALYSE - ERP =&gt; SOUS-SEGMENT'!$A$64</f>
        <v>57</v>
      </c>
      <c r="D62" s="449" t="str">
        <f>'ANALYSE - ERP =&gt; SOUS-SEGMENT'!$B$64</f>
        <v>Culture, Patrimoine &amp; Evénementiel</v>
      </c>
      <c r="E62" s="449" t="str">
        <f>'ANALYSE - ERP =&gt; SOUS-SEGMENT'!$C$64</f>
        <v>Culture / spectacle</v>
      </c>
      <c r="F62" s="449" t="str">
        <f>'ANALYSE - ERP =&gt; SOUS-SEGMENT'!$D$64</f>
        <v>Musées</v>
      </c>
      <c r="G62" s="685"/>
      <c r="H62" s="459">
        <f>'ANALYSE - ERP =&gt; SOUS-SEGMENT'!$BG$64*'ANALYSE - ERP =&gt; SOUS-SEGMENT'!$JI$64</f>
        <v>59.438400000000001</v>
      </c>
      <c r="I62" s="459">
        <f>'ANALYSE - ERP =&gt; SOUS-SEGMENT'!$BG$64*'ANALYSE - ERP =&gt; SOUS-SEGMENT'!$JJ$64</f>
        <v>467.9556</v>
      </c>
      <c r="J62" s="459">
        <f>'ANALYSE - ERP =&gt; SOUS-SEGMENT'!$BG$64*'ANALYSE - ERP =&gt; SOUS-SEGMENT'!$JK$64</f>
        <v>549.5616</v>
      </c>
      <c r="K62" s="459">
        <f>'ANALYSE - ERP =&gt; SOUS-SEGMENT'!$BG$64*'ANALYSE - ERP =&gt; SOUS-SEGMENT'!$JL$64</f>
        <v>137.26859999999999</v>
      </c>
      <c r="L62" s="459">
        <f>'ANALYSE - ERP =&gt; SOUS-SEGMENT'!$BG$64*'ANALYSE - ERP =&gt; SOUS-SEGMENT'!$JM$64</f>
        <v>3.7757999999999998</v>
      </c>
      <c r="M62" s="685"/>
      <c r="N62" s="459">
        <f>'ANALYSE - ERP =&gt; SOUS-SEGMENT'!$FG$64*'ANALYSE - ERP =&gt; SOUS-SEGMENT'!$JN$64</f>
        <v>5.0059273390116559</v>
      </c>
      <c r="O62" s="459">
        <f>'ANALYSE - ERP =&gt; SOUS-SEGMENT'!$FG$64*'ANALYSE - ERP =&gt; SOUS-SEGMENT'!$JO$64</f>
        <v>148.16512773507694</v>
      </c>
      <c r="P62" s="459">
        <f>'ANALYSE - ERP =&gt; SOUS-SEGMENT'!$FG$64*'ANALYSE - ERP =&gt; SOUS-SEGMENT'!$JP$64</f>
        <v>267.84291638629372</v>
      </c>
      <c r="Q62" s="459">
        <f>'ANALYSE - ERP =&gt; SOUS-SEGMENT'!$FG$64*'ANALYSE - ERP =&gt; SOUS-SEGMENT'!$JQ$64</f>
        <v>90.725982082293726</v>
      </c>
      <c r="R62" s="459">
        <f>'ANALYSE - ERP =&gt; SOUS-SEGMENT'!$FG$64*'ANALYSE - ERP =&gt; SOUS-SEGMENT'!$JR$64</f>
        <v>4.3350298605874125</v>
      </c>
      <c r="S62" s="685"/>
      <c r="T62" s="450">
        <f>'ANALYSE - ERP =&gt; SOUS-SEGMENT'!$Q$64</f>
        <v>1</v>
      </c>
    </row>
    <row r="63" spans="1:20" ht="15" customHeight="1">
      <c r="A63" s="26">
        <v>60</v>
      </c>
      <c r="B63" s="26">
        <v>61</v>
      </c>
      <c r="C63" s="422">
        <f>'ANALYSE - ERP =&gt; SOUS-SEGMENT'!$A$81</f>
        <v>74</v>
      </c>
      <c r="D63" s="417" t="str">
        <f>'ANALYSE - ERP =&gt; SOUS-SEGMENT'!$B$81</f>
        <v>Commerce, Restauration &amp; Loisirs</v>
      </c>
      <c r="E63" s="417" t="str">
        <f>'ANALYSE - ERP =&gt; SOUS-SEGMENT'!$C$81</f>
        <v>Commerce</v>
      </c>
      <c r="F63" s="417" t="str">
        <f>'ANALYSE - ERP =&gt; SOUS-SEGMENT'!$D$81</f>
        <v>Marchés couverts</v>
      </c>
      <c r="H63" s="458">
        <f>'ANALYSE - ERP =&gt; SOUS-SEGMENT'!$BG$81*'ANALYSE - ERP =&gt; SOUS-SEGMENT'!$JI$81</f>
        <v>299</v>
      </c>
      <c r="I63" s="458">
        <f>'ANALYSE - ERP =&gt; SOUS-SEGMENT'!$BG$81*'ANALYSE - ERP =&gt; SOUS-SEGMENT'!$JJ$81</f>
        <v>586.6640000000001</v>
      </c>
      <c r="J63" s="458">
        <f>'ANALYSE - ERP =&gt; SOUS-SEGMENT'!$BG$81*'ANALYSE - ERP =&gt; SOUS-SEGMENT'!$JK$81</f>
        <v>154.33600000000001</v>
      </c>
      <c r="K63" s="458">
        <f>'ANALYSE - ERP =&gt; SOUS-SEGMENT'!$BG$81*'ANALYSE - ERP =&gt; SOUS-SEGMENT'!$JL$81</f>
        <v>0</v>
      </c>
      <c r="L63" s="458">
        <f>'ANALYSE - ERP =&gt; SOUS-SEGMENT'!$BG$81*'ANALYSE - ERP =&gt; SOUS-SEGMENT'!$JM$81</f>
        <v>0</v>
      </c>
      <c r="N63" s="458">
        <f>'ANALYSE - ERP =&gt; SOUS-SEGMENT'!$FG$81*'ANALYSE - ERP =&gt; SOUS-SEGMENT'!$JN$81</f>
        <v>100.32270430627878</v>
      </c>
      <c r="O63" s="458">
        <f>'ANALYSE - ERP =&gt; SOUS-SEGMENT'!$FG$81*'ANALYSE - ERP =&gt; SOUS-SEGMENT'!$JO$81</f>
        <v>331.74627278797573</v>
      </c>
      <c r="P63" s="458">
        <f>'ANALYSE - ERP =&gt; SOUS-SEGMENT'!$FG$81*'ANALYSE - ERP =&gt; SOUS-SEGMENT'!$JP$81</f>
        <v>155.1830121646303</v>
      </c>
      <c r="Q63" s="458">
        <f>'ANALYSE - ERP =&gt; SOUS-SEGMENT'!$FG$81*'ANALYSE - ERP =&gt; SOUS-SEGMENT'!$JQ$81</f>
        <v>0</v>
      </c>
      <c r="R63" s="458">
        <f>'ANALYSE - ERP =&gt; SOUS-SEGMENT'!$FG$81*'ANALYSE - ERP =&gt; SOUS-SEGMENT'!$JR$81</f>
        <v>0.11747389263030303</v>
      </c>
      <c r="T63" s="430">
        <f>'ANALYSE - ERP =&gt; SOUS-SEGMENT'!$Q$81</f>
        <v>1</v>
      </c>
    </row>
    <row r="64" spans="1:20" ht="15" customHeight="1">
      <c r="A64" s="26">
        <v>61</v>
      </c>
      <c r="B64" s="26">
        <v>63</v>
      </c>
      <c r="C64" s="422">
        <f>'ANALYSE - ERP =&gt; SOUS-SEGMENT'!$A$135</f>
        <v>128</v>
      </c>
      <c r="D64" s="410" t="str">
        <f>'ANALYSE - ERP =&gt; SOUS-SEGMENT'!$B$135</f>
        <v>Sécurité &amp; Justice</v>
      </c>
      <c r="E64" s="410" t="str">
        <f>'ANALYSE - ERP =&gt; SOUS-SEGMENT'!$C$135</f>
        <v>Forces armées</v>
      </c>
      <c r="F64" s="410" t="str">
        <f>'ANALYSE - ERP =&gt; SOUS-SEGMENT'!$D$135</f>
        <v>Unités d'hébergement des militaires &amp; réservistes</v>
      </c>
      <c r="H64" s="458">
        <f>'ANALYSE - ERP =&gt; SOUS-SEGMENT'!$BG$135*'ANALYSE - ERP =&gt; SOUS-SEGMENT'!$JI$135</f>
        <v>145.82160000000002</v>
      </c>
      <c r="I64" s="458">
        <f>'ANALYSE - ERP =&gt; SOUS-SEGMENT'!$BG$135*'ANALYSE - ERP =&gt; SOUS-SEGMENT'!$JJ$135</f>
        <v>659.55119999999999</v>
      </c>
      <c r="J64" s="458">
        <f>'ANALYSE - ERP =&gt; SOUS-SEGMENT'!$BG$135*'ANALYSE - ERP =&gt; SOUS-SEGMENT'!$JK$135</f>
        <v>221.1576</v>
      </c>
      <c r="K64" s="458">
        <f>'ANALYSE - ERP =&gt; SOUS-SEGMENT'!$BG$135*'ANALYSE - ERP =&gt; SOUS-SEGMENT'!$JL$135</f>
        <v>5.4695999999999998</v>
      </c>
      <c r="L64" s="458">
        <f>'ANALYSE - ERP =&gt; SOUS-SEGMENT'!$BG$135*'ANALYSE - ERP =&gt; SOUS-SEGMENT'!$JM$135</f>
        <v>0</v>
      </c>
      <c r="N64" s="458">
        <f>'ANALYSE - ERP =&gt; SOUS-SEGMENT'!$FG$135*'ANALYSE - ERP =&gt; SOUS-SEGMENT'!$JN$135</f>
        <v>35.328828456576005</v>
      </c>
      <c r="O64" s="458">
        <f>'ANALYSE - ERP =&gt; SOUS-SEGMENT'!$FG$135*'ANALYSE - ERP =&gt; SOUS-SEGMENT'!$JO$135</f>
        <v>296.43669285926404</v>
      </c>
      <c r="P64" s="458">
        <f>'ANALYSE - ERP =&gt; SOUS-SEGMENT'!$FG$135*'ANALYSE - ERP =&gt; SOUS-SEGMENT'!$JP$135</f>
        <v>184.62331304870403</v>
      </c>
      <c r="Q64" s="458">
        <f>'ANALYSE - ERP =&gt; SOUS-SEGMENT'!$FG$135*'ANALYSE - ERP =&gt; SOUS-SEGMENT'!$JQ$135</f>
        <v>8.5041162109439998</v>
      </c>
      <c r="R64" s="458">
        <f>'ANALYSE - ERP =&gt; SOUS-SEGMENT'!$FG$135*'ANALYSE - ERP =&gt; SOUS-SEGMENT'!$JR$135</f>
        <v>5.2494544512000009E-2</v>
      </c>
      <c r="T64" s="430">
        <f>'ANALYSE - ERP =&gt; SOUS-SEGMENT'!$Q$135</f>
        <v>1</v>
      </c>
    </row>
    <row r="65" spans="1:20" s="45" customFormat="1" ht="15" customHeight="1">
      <c r="A65" s="26">
        <v>62</v>
      </c>
      <c r="B65" s="26">
        <v>60</v>
      </c>
      <c r="C65" s="422">
        <f>'ANALYSE - ERP =&gt; SOUS-SEGMENT'!$A$23</f>
        <v>16</v>
      </c>
      <c r="D65" s="410" t="str">
        <f>'ANALYSE - ERP =&gt; SOUS-SEGMENT'!$B$23</f>
        <v>Sports &amp; Loisirs</v>
      </c>
      <c r="E65" s="410" t="str">
        <f>'ANALYSE - ERP =&gt; SOUS-SEGMENT'!$C$23</f>
        <v>Sport couvert / Thermalisme / Bien-être</v>
      </c>
      <c r="F65" s="410" t="str">
        <f>'ANALYSE - ERP =&gt; SOUS-SEGMENT'!$D$23</f>
        <v>Patinoires couvertes</v>
      </c>
      <c r="G65" s="685"/>
      <c r="H65" s="458">
        <f>'ANALYSE - ERP =&gt; SOUS-SEGMENT'!$BG$23*'ANALYSE - ERP =&gt; SOUS-SEGMENT'!$JI$23</f>
        <v>315.52499999999998</v>
      </c>
      <c r="I65" s="458">
        <f>'ANALYSE - ERP =&gt; SOUS-SEGMENT'!$BG$23*'ANALYSE - ERP =&gt; SOUS-SEGMENT'!$JJ$23</f>
        <v>626.745</v>
      </c>
      <c r="J65" s="458">
        <f>'ANALYSE - ERP =&gt; SOUS-SEGMENT'!$BG$23*'ANALYSE - ERP =&gt; SOUS-SEGMENT'!$JK$23</f>
        <v>107.72999999999999</v>
      </c>
      <c r="K65" s="458">
        <f>'ANALYSE - ERP =&gt; SOUS-SEGMENT'!$BG$23*'ANALYSE - ERP =&gt; SOUS-SEGMENT'!$JL$23</f>
        <v>0</v>
      </c>
      <c r="L65" s="458">
        <f>'ANALYSE - ERP =&gt; SOUS-SEGMENT'!$BG$23*'ANALYSE - ERP =&gt; SOUS-SEGMENT'!$JM$23</f>
        <v>0</v>
      </c>
      <c r="M65" s="685"/>
      <c r="N65" s="458">
        <f>'ANALYSE - ERP =&gt; SOUS-SEGMENT'!$FG$23*'ANALYSE - ERP =&gt; SOUS-SEGMENT'!$JN$23</f>
        <v>92.156007045327286</v>
      </c>
      <c r="O65" s="458">
        <f>'ANALYSE - ERP =&gt; SOUS-SEGMENT'!$FG$23*'ANALYSE - ERP =&gt; SOUS-SEGMENT'!$JO$23</f>
        <v>339.14271360989096</v>
      </c>
      <c r="P65" s="458">
        <f>'ANALYSE - ERP =&gt; SOUS-SEGMENT'!$FG$23*'ANALYSE - ERP =&gt; SOUS-SEGMENT'!$JP$23</f>
        <v>106.68147225387274</v>
      </c>
      <c r="Q65" s="458">
        <f>'ANALYSE - ERP =&gt; SOUS-SEGMENT'!$FG$23*'ANALYSE - ERP =&gt; SOUS-SEGMENT'!$JQ$23</f>
        <v>0</v>
      </c>
      <c r="R65" s="458">
        <f>'ANALYSE - ERP =&gt; SOUS-SEGMENT'!$FG$23*'ANALYSE - ERP =&gt; SOUS-SEGMENT'!$JR$23</f>
        <v>0</v>
      </c>
      <c r="S65" s="685"/>
      <c r="T65" s="430">
        <f>'ANALYSE - ERP =&gt; SOUS-SEGMENT'!$Q$23</f>
        <v>1</v>
      </c>
    </row>
    <row r="66" spans="1:20" ht="15" customHeight="1">
      <c r="A66" s="26">
        <v>63</v>
      </c>
      <c r="B66" s="26">
        <v>62</v>
      </c>
      <c r="C66" s="422">
        <f>'ANALYSE - ERP =&gt; SOUS-SEGMENT'!$A$124</f>
        <v>117</v>
      </c>
      <c r="D66" s="417" t="str">
        <f>'ANALYSE - ERP =&gt; SOUS-SEGMENT'!$B$124</f>
        <v>Transport, Mobilité &amp; Stationnement</v>
      </c>
      <c r="E66" s="417" t="str">
        <f>'ANALYSE - ERP =&gt; SOUS-SEGMENT'!$C$124</f>
        <v>Transport / Mobilité</v>
      </c>
      <c r="F66" s="417" t="str">
        <f>'ANALYSE - ERP =&gt; SOUS-SEGMENT'!$D$124</f>
        <v>Aéroports / aérogares
(&gt;1 000 passagers/an)</v>
      </c>
      <c r="H66" s="458">
        <f>'ANALYSE - ERP =&gt; SOUS-SEGMENT'!$BG$124*'ANALYSE - ERP =&gt; SOUS-SEGMENT'!$JI$124</f>
        <v>0</v>
      </c>
      <c r="I66" s="458">
        <f>'ANALYSE - ERP =&gt; SOUS-SEGMENT'!$BG$124*'ANALYSE - ERP =&gt; SOUS-SEGMENT'!$JJ$124</f>
        <v>154.2604</v>
      </c>
      <c r="J66" s="458">
        <f>'ANALYSE - ERP =&gt; SOUS-SEGMENT'!$BG$124*'ANALYSE - ERP =&gt; SOUS-SEGMENT'!$JK$124</f>
        <v>559.75080000000003</v>
      </c>
      <c r="K66" s="458">
        <f>'ANALYSE - ERP =&gt; SOUS-SEGMENT'!$BG$124*'ANALYSE - ERP =&gt; SOUS-SEGMENT'!$JL$124</f>
        <v>311.73239999999998</v>
      </c>
      <c r="L66" s="458">
        <f>'ANALYSE - ERP =&gt; SOUS-SEGMENT'!$BG$124*'ANALYSE - ERP =&gt; SOUS-SEGMENT'!$JM$124</f>
        <v>10.256400000000001</v>
      </c>
      <c r="N66" s="458">
        <f>'ANALYSE - ERP =&gt; SOUS-SEGMENT'!$FG$124*'ANALYSE - ERP =&gt; SOUS-SEGMENT'!$JN$124</f>
        <v>0</v>
      </c>
      <c r="O66" s="458">
        <f>'ANALYSE - ERP =&gt; SOUS-SEGMENT'!$FG$124*'ANALYSE - ERP =&gt; SOUS-SEGMENT'!$JO$124</f>
        <v>47.234196214577281</v>
      </c>
      <c r="P66" s="458">
        <f>'ANALYSE - ERP =&gt; SOUS-SEGMENT'!$FG$124*'ANALYSE - ERP =&gt; SOUS-SEGMENT'!$JP$124</f>
        <v>253.37987294214639</v>
      </c>
      <c r="Q66" s="458">
        <f>'ANALYSE - ERP =&gt; SOUS-SEGMENT'!$FG$124*'ANALYSE - ERP =&gt; SOUS-SEGMENT'!$JQ$124</f>
        <v>264.99286640636728</v>
      </c>
      <c r="R66" s="458">
        <f>'ANALYSE - ERP =&gt; SOUS-SEGMENT'!$FG$124*'ANALYSE - ERP =&gt; SOUS-SEGMENT'!$JR$124</f>
        <v>36.102570355090911</v>
      </c>
      <c r="T66" s="430">
        <f>'ANALYSE - ERP =&gt; SOUS-SEGMENT'!$Q$124</f>
        <v>1</v>
      </c>
    </row>
    <row r="67" spans="1:20" ht="15" customHeight="1">
      <c r="A67" s="26">
        <v>64</v>
      </c>
      <c r="B67" s="26">
        <v>65</v>
      </c>
      <c r="C67" s="422">
        <f>'ANALYSE - ERP =&gt; SOUS-SEGMENT'!$A$91</f>
        <v>84</v>
      </c>
      <c r="D67" s="408" t="str">
        <f>'ANALYSE - ERP =&gt; SOUS-SEGMENT'!$B$91</f>
        <v>Hébergement Touristique</v>
      </c>
      <c r="E67" s="408" t="str">
        <f>'ANALYSE - ERP =&gt; SOUS-SEGMENT'!$C$91</f>
        <v>Hébergement Touristique</v>
      </c>
      <c r="F67" s="408" t="str">
        <f>'ANALYSE - ERP =&gt; SOUS-SEGMENT'!$D$91</f>
        <v>Pensions de famille</v>
      </c>
      <c r="H67" s="458">
        <f>'ANALYSE - ERP =&gt; SOUS-SEGMENT'!$BG$91*'ANALYSE - ERP =&gt; SOUS-SEGMENT'!$JI$91</f>
        <v>52.085699999999996</v>
      </c>
      <c r="I67" s="458">
        <f>'ANALYSE - ERP =&gt; SOUS-SEGMENT'!$BG$91*'ANALYSE - ERP =&gt; SOUS-SEGMENT'!$JJ$91</f>
        <v>226.7046</v>
      </c>
      <c r="J67" s="458">
        <f>'ANALYSE - ERP =&gt; SOUS-SEGMENT'!$BG$91*'ANALYSE - ERP =&gt; SOUS-SEGMENT'!$JK$91</f>
        <v>157.84784999999999</v>
      </c>
      <c r="K67" s="458">
        <f>'ANALYSE - ERP =&gt; SOUS-SEGMENT'!$BG$91*'ANALYSE - ERP =&gt; SOUS-SEGMENT'!$JL$91</f>
        <v>17.543700000000001</v>
      </c>
      <c r="L67" s="458">
        <f>'ANALYSE - ERP =&gt; SOUS-SEGMENT'!$BG$91*'ANALYSE - ERP =&gt; SOUS-SEGMENT'!$JM$91</f>
        <v>0.31814999999999999</v>
      </c>
      <c r="N67" s="458">
        <f>'ANALYSE - ERP =&gt; SOUS-SEGMENT'!$FG$91*'ANALYSE - ERP =&gt; SOUS-SEGMENT'!$JN$91</f>
        <v>10.30640880334091</v>
      </c>
      <c r="O67" s="458">
        <f>'ANALYSE - ERP =&gt; SOUS-SEGMENT'!$FG$91*'ANALYSE - ERP =&gt; SOUS-SEGMENT'!$JO$91</f>
        <v>85.103337963988636</v>
      </c>
      <c r="P67" s="458">
        <f>'ANALYSE - ERP =&gt; SOUS-SEGMENT'!$FG$91*'ANALYSE - ERP =&gt; SOUS-SEGMENT'!$JP$91</f>
        <v>100.41202049614773</v>
      </c>
      <c r="Q67" s="458">
        <f>'ANALYSE - ERP =&gt; SOUS-SEGMENT'!$FG$91*'ANALYSE - ERP =&gt; SOUS-SEGMENT'!$JQ$91</f>
        <v>19.168195452238638</v>
      </c>
      <c r="R67" s="458">
        <f>'ANALYSE - ERP =&gt; SOUS-SEGMENT'!$FG$91*'ANALYSE - ERP =&gt; SOUS-SEGMENT'!$JR$91</f>
        <v>0.62528421610227269</v>
      </c>
      <c r="T67" s="430">
        <f>'ANALYSE - ERP =&gt; SOUS-SEGMENT'!$Q$91</f>
        <v>1</v>
      </c>
    </row>
    <row r="68" spans="1:20" ht="15" customHeight="1">
      <c r="A68" s="26">
        <v>65</v>
      </c>
      <c r="B68" s="26">
        <v>64</v>
      </c>
      <c r="C68" s="422">
        <f>'ANALYSE - ERP =&gt; SOUS-SEGMENT'!$A$46</f>
        <v>39</v>
      </c>
      <c r="D68" s="412" t="str">
        <f>'ANALYSE - ERP =&gt; SOUS-SEGMENT'!$B$46</f>
        <v>Santé &amp; Médico-social</v>
      </c>
      <c r="E68" s="412" t="str">
        <f>'ANALYSE - ERP =&gt; SOUS-SEGMENT'!$C$46</f>
        <v>Santé hospitalière</v>
      </c>
      <c r="F68" s="412" t="str">
        <f>'ANALYSE - ERP =&gt; SOUS-SEGMENT'!$D$46</f>
        <v>Cliniques</v>
      </c>
      <c r="H68" s="458">
        <f>'ANALYSE - ERP =&gt; SOUS-SEGMENT'!$BG$46*'ANALYSE - ERP =&gt; SOUS-SEGMENT'!$JI$46</f>
        <v>0</v>
      </c>
      <c r="I68" s="458">
        <f>'ANALYSE - ERP =&gt; SOUS-SEGMENT'!$BG$46*'ANALYSE - ERP =&gt; SOUS-SEGMENT'!$JJ$46</f>
        <v>164.28750000000002</v>
      </c>
      <c r="J68" s="458">
        <f>'ANALYSE - ERP =&gt; SOUS-SEGMENT'!$BG$46*'ANALYSE - ERP =&gt; SOUS-SEGMENT'!$JK$46</f>
        <v>560.52749999999992</v>
      </c>
      <c r="K68" s="458">
        <f>'ANALYSE - ERP =&gt; SOUS-SEGMENT'!$BG$46*'ANALYSE - ERP =&gt; SOUS-SEGMENT'!$JL$46</f>
        <v>239.655</v>
      </c>
      <c r="L68" s="458">
        <f>'ANALYSE - ERP =&gt; SOUS-SEGMENT'!$BG$46*'ANALYSE - ERP =&gt; SOUS-SEGMENT'!$JM$46</f>
        <v>10.530000000000001</v>
      </c>
      <c r="N68" s="458">
        <f>'ANALYSE - ERP =&gt; SOUS-SEGMENT'!$FG$46*'ANALYSE - ERP =&gt; SOUS-SEGMENT'!$JN$46</f>
        <v>0</v>
      </c>
      <c r="O68" s="458">
        <f>'ANALYSE - ERP =&gt; SOUS-SEGMENT'!$FG$46*'ANALYSE - ERP =&gt; SOUS-SEGMENT'!$JO$46</f>
        <v>32.214360520616665</v>
      </c>
      <c r="P68" s="458">
        <f>'ANALYSE - ERP =&gt; SOUS-SEGMENT'!$FG$46*'ANALYSE - ERP =&gt; SOUS-SEGMENT'!$JP$46</f>
        <v>287.22669766200835</v>
      </c>
      <c r="Q68" s="458">
        <f>'ANALYSE - ERP =&gt; SOUS-SEGMENT'!$FG$46*'ANALYSE - ERP =&gt; SOUS-SEGMENT'!$JQ$46</f>
        <v>203.06938334892084</v>
      </c>
      <c r="R68" s="458">
        <f>'ANALYSE - ERP =&gt; SOUS-SEGMENT'!$FG$46*'ANALYSE - ERP =&gt; SOUS-SEGMENT'!$JR$46</f>
        <v>17.998963176787502</v>
      </c>
      <c r="T68" s="430">
        <f>'ANALYSE - ERP =&gt; SOUS-SEGMENT'!$Q$46</f>
        <v>1</v>
      </c>
    </row>
    <row r="69" spans="1:20" ht="15" customHeight="1">
      <c r="A69" s="26">
        <v>66</v>
      </c>
      <c r="B69" s="26">
        <v>68</v>
      </c>
      <c r="C69" s="422">
        <f>'ANALYSE - ERP =&gt; SOUS-SEGMENT'!$A$118</f>
        <v>111</v>
      </c>
      <c r="D69" s="415" t="str">
        <f>'ANALYSE - ERP =&gt; SOUS-SEGMENT'!$B$118</f>
        <v>Culte, Vie civique &amp; Services publics</v>
      </c>
      <c r="E69" s="415" t="str">
        <f>'ANALYSE - ERP =&gt; SOUS-SEGMENT'!$C$118</f>
        <v>Culte</v>
      </c>
      <c r="F69" s="415" t="str">
        <f>'ANALYSE - ERP =&gt; SOUS-SEGMENT'!$D$118</f>
        <v>Temples bouddhistes, hindous et autres lieux de culte non abrahamiques ouverts au public</v>
      </c>
      <c r="H69" s="458">
        <f>'ANALYSE - ERP =&gt; SOUS-SEGMENT'!$BG$118*'ANALYSE - ERP =&gt; SOUS-SEGMENT'!$JI$118</f>
        <v>34.784999999999997</v>
      </c>
      <c r="I69" s="458">
        <f>'ANALYSE - ERP =&gt; SOUS-SEGMENT'!$BG$118*'ANALYSE - ERP =&gt; SOUS-SEGMENT'!$JJ$118</f>
        <v>138.3075</v>
      </c>
      <c r="J69" s="458">
        <f>'ANALYSE - ERP =&gt; SOUS-SEGMENT'!$BG$118*'ANALYSE - ERP =&gt; SOUS-SEGMENT'!$JK$118</f>
        <v>49.297499999999999</v>
      </c>
      <c r="K69" s="458">
        <f>'ANALYSE - ERP =&gt; SOUS-SEGMENT'!$BG$118*'ANALYSE - ERP =&gt; SOUS-SEGMENT'!$JL$118</f>
        <v>2.61</v>
      </c>
      <c r="L69" s="458">
        <f>'ANALYSE - ERP =&gt; SOUS-SEGMENT'!$BG$118*'ANALYSE - ERP =&gt; SOUS-SEGMENT'!$JM$118</f>
        <v>0</v>
      </c>
      <c r="N69" s="458">
        <f>'ANALYSE - ERP =&gt; SOUS-SEGMENT'!$FG$118*'ANALYSE - ERP =&gt; SOUS-SEGMENT'!$JN$118</f>
        <v>13.017114250000001</v>
      </c>
      <c r="O69" s="458">
        <f>'ANALYSE - ERP =&gt; SOUS-SEGMENT'!$FG$118*'ANALYSE - ERP =&gt; SOUS-SEGMENT'!$JO$118</f>
        <v>55.348213900000005</v>
      </c>
      <c r="P69" s="458">
        <f>'ANALYSE - ERP =&gt; SOUS-SEGMENT'!$FG$118*'ANALYSE - ERP =&gt; SOUS-SEGMENT'!$JP$118</f>
        <v>21.6056302</v>
      </c>
      <c r="Q69" s="458">
        <f>'ANALYSE - ERP =&gt; SOUS-SEGMENT'!$FG$118*'ANALYSE - ERP =&gt; SOUS-SEGMENT'!$JQ$118</f>
        <v>2.3810664500000001</v>
      </c>
      <c r="R69" s="458">
        <f>'ANALYSE - ERP =&gt; SOUS-SEGMENT'!$FG$118*'ANALYSE - ERP =&gt; SOUS-SEGMENT'!$JR$118</f>
        <v>0.29647519999999999</v>
      </c>
      <c r="T69" s="430">
        <f>'ANALYSE - ERP =&gt; SOUS-SEGMENT'!$Q$118</f>
        <v>1</v>
      </c>
    </row>
    <row r="70" spans="1:20" ht="15" customHeight="1">
      <c r="A70" s="26">
        <v>67</v>
      </c>
      <c r="B70" s="26">
        <v>66</v>
      </c>
      <c r="C70" s="422">
        <f>'ANALYSE - ERP =&gt; SOUS-SEGMENT'!$A$45</f>
        <v>38</v>
      </c>
      <c r="D70" s="411" t="str">
        <f>'ANALYSE - ERP =&gt; SOUS-SEGMENT'!$B$45</f>
        <v>Santé &amp; Médico-social</v>
      </c>
      <c r="E70" s="411" t="str">
        <f>'ANALYSE - ERP =&gt; SOUS-SEGMENT'!$C$45</f>
        <v>Santé hospitalière</v>
      </c>
      <c r="F70" s="411" t="str">
        <f>'ANALYSE - ERP =&gt; SOUS-SEGMENT'!$D$45</f>
        <v>Hôpitaux privés</v>
      </c>
      <c r="H70" s="458">
        <f>'ANALYSE - ERP =&gt; SOUS-SEGMENT'!$BG$45*'ANALYSE - ERP =&gt; SOUS-SEGMENT'!$JI$45</f>
        <v>0</v>
      </c>
      <c r="I70" s="458">
        <f>'ANALYSE - ERP =&gt; SOUS-SEGMENT'!$BG$45*'ANALYSE - ERP =&gt; SOUS-SEGMENT'!$JJ$45</f>
        <v>123.80879999999999</v>
      </c>
      <c r="J70" s="458">
        <f>'ANALYSE - ERP =&gt; SOUS-SEGMENT'!$BG$45*'ANALYSE - ERP =&gt; SOUS-SEGMENT'!$JK$45</f>
        <v>373.90780000000001</v>
      </c>
      <c r="K70" s="458">
        <f>'ANALYSE - ERP =&gt; SOUS-SEGMENT'!$BG$45*'ANALYSE - ERP =&gt; SOUS-SEGMENT'!$JL$45</f>
        <v>149.4717</v>
      </c>
      <c r="L70" s="458">
        <f>'ANALYSE - ERP =&gt; SOUS-SEGMENT'!$BG$45*'ANALYSE - ERP =&gt; SOUS-SEGMENT'!$JM$45</f>
        <v>5.8117000000000001</v>
      </c>
      <c r="N70" s="458">
        <f>'ANALYSE - ERP =&gt; SOUS-SEGMENT'!$FG$45*'ANALYSE - ERP =&gt; SOUS-SEGMENT'!$JN$45</f>
        <v>0</v>
      </c>
      <c r="O70" s="458">
        <f>'ANALYSE - ERP =&gt; SOUS-SEGMENT'!$FG$45*'ANALYSE - ERP =&gt; SOUS-SEGMENT'!$JO$45</f>
        <v>26.486795801363336</v>
      </c>
      <c r="P70" s="458">
        <f>'ANALYSE - ERP =&gt; SOUS-SEGMENT'!$FG$45*'ANALYSE - ERP =&gt; SOUS-SEGMENT'!$JP$45</f>
        <v>194.51017563561834</v>
      </c>
      <c r="Q70" s="458">
        <f>'ANALYSE - ERP =&gt; SOUS-SEGMENT'!$FG$45*'ANALYSE - ERP =&gt; SOUS-SEGMENT'!$JQ$45</f>
        <v>125.93721777252</v>
      </c>
      <c r="R70" s="458">
        <f>'ANALYSE - ERP =&gt; SOUS-SEGMENT'!$FG$45*'ANALYSE - ERP =&gt; SOUS-SEGMENT'!$JR$45</f>
        <v>10.030713773831666</v>
      </c>
      <c r="T70" s="430">
        <f>'ANALYSE - ERP =&gt; SOUS-SEGMENT'!$Q$45</f>
        <v>1</v>
      </c>
    </row>
    <row r="71" spans="1:20" ht="15" customHeight="1">
      <c r="A71" s="26">
        <v>68</v>
      </c>
      <c r="B71" s="26">
        <v>71</v>
      </c>
      <c r="C71" s="422">
        <f>'ANALYSE - ERP =&gt; SOUS-SEGMENT'!$A$49</f>
        <v>42</v>
      </c>
      <c r="D71" s="415" t="str">
        <f>'ANALYSE - ERP =&gt; SOUS-SEGMENT'!$B$49</f>
        <v>Santé &amp; Médico-social</v>
      </c>
      <c r="E71" s="415" t="str">
        <f>'ANALYSE - ERP =&gt; SOUS-SEGMENT'!$C$49</f>
        <v>Santé spécialisée</v>
      </c>
      <c r="F71" s="415" t="str">
        <f>'ANALYSE - ERP =&gt; SOUS-SEGMENT'!$D$49</f>
        <v>Centres de psychiatrie</v>
      </c>
      <c r="H71" s="458">
        <f>'ANALYSE - ERP =&gt; SOUS-SEGMENT'!$BG$49*'ANALYSE - ERP =&gt; SOUS-SEGMENT'!$JI$49</f>
        <v>52.923000000000002</v>
      </c>
      <c r="I71" s="458">
        <f>'ANALYSE - ERP =&gt; SOUS-SEGMENT'!$BG$49*'ANALYSE - ERP =&gt; SOUS-SEGMENT'!$JJ$49</f>
        <v>359.13300000000004</v>
      </c>
      <c r="J71" s="458">
        <f>'ANALYSE - ERP =&gt; SOUS-SEGMENT'!$BG$49*'ANALYSE - ERP =&gt; SOUS-SEGMENT'!$JK$49</f>
        <v>172.16200000000001</v>
      </c>
      <c r="K71" s="458">
        <f>'ANALYSE - ERP =&gt; SOUS-SEGMENT'!$BG$49*'ANALYSE - ERP =&gt; SOUS-SEGMENT'!$JL$49</f>
        <v>5.782</v>
      </c>
      <c r="L71" s="458">
        <f>'ANALYSE - ERP =&gt; SOUS-SEGMENT'!$BG$49*'ANALYSE - ERP =&gt; SOUS-SEGMENT'!$JM$49</f>
        <v>0</v>
      </c>
      <c r="N71" s="458">
        <f>'ANALYSE - ERP =&gt; SOUS-SEGMENT'!$FG$49*'ANALYSE - ERP =&gt; SOUS-SEGMENT'!$JN$49</f>
        <v>6.3418161000154534</v>
      </c>
      <c r="O71" s="458">
        <f>'ANALYSE - ERP =&gt; SOUS-SEGMENT'!$FG$49*'ANALYSE - ERP =&gt; SOUS-SEGMENT'!$JO$49</f>
        <v>148.4234891190809</v>
      </c>
      <c r="P71" s="458">
        <f>'ANALYSE - ERP =&gt; SOUS-SEGMENT'!$FG$49*'ANALYSE - ERP =&gt; SOUS-SEGMENT'!$JP$49</f>
        <v>146.92394639592453</v>
      </c>
      <c r="Q71" s="458">
        <f>'ANALYSE - ERP =&gt; SOUS-SEGMENT'!$FG$49*'ANALYSE - ERP =&gt; SOUS-SEGMENT'!$JQ$49</f>
        <v>10.715482375888179</v>
      </c>
      <c r="R71" s="458">
        <f>'ANALYSE - ERP =&gt; SOUS-SEGMENT'!$FG$49*'ANALYSE - ERP =&gt; SOUS-SEGMENT'!$JR$49</f>
        <v>0</v>
      </c>
      <c r="T71" s="430">
        <f>'ANALYSE - ERP =&gt; SOUS-SEGMENT'!$Q$49</f>
        <v>0</v>
      </c>
    </row>
    <row r="72" spans="1:20" ht="15" customHeight="1">
      <c r="A72" s="26">
        <v>69</v>
      </c>
      <c r="B72" s="26">
        <v>67</v>
      </c>
      <c r="C72" s="422">
        <f>'ANALYSE - ERP =&gt; SOUS-SEGMENT'!$A$50</f>
        <v>43</v>
      </c>
      <c r="D72" s="408" t="str">
        <f>'ANALYSE - ERP =&gt; SOUS-SEGMENT'!$B$50</f>
        <v>Santé &amp; Médico-social</v>
      </c>
      <c r="E72" s="408" t="str">
        <f>'ANALYSE - ERP =&gt; SOUS-SEGMENT'!$C$50</f>
        <v>Santé spécialisée</v>
      </c>
      <c r="F72" s="408" t="str">
        <f>'ANALYSE - ERP =&gt; SOUS-SEGMENT'!$D$50</f>
        <v>Centres de rééducation</v>
      </c>
      <c r="H72" s="458">
        <f>'ANALYSE - ERP =&gt; SOUS-SEGMENT'!$BG$50*'ANALYSE - ERP =&gt; SOUS-SEGMENT'!$JI$50</f>
        <v>0</v>
      </c>
      <c r="I72" s="458">
        <f>'ANALYSE - ERP =&gt; SOUS-SEGMENT'!$BG$50*'ANALYSE - ERP =&gt; SOUS-SEGMENT'!$JJ$50</f>
        <v>152.95500000000001</v>
      </c>
      <c r="J72" s="458">
        <f>'ANALYSE - ERP =&gt; SOUS-SEGMENT'!$BG$50*'ANALYSE - ERP =&gt; SOUS-SEGMENT'!$JK$50</f>
        <v>350.83859999999999</v>
      </c>
      <c r="K72" s="458">
        <f>'ANALYSE - ERP =&gt; SOUS-SEGMENT'!$BG$50*'ANALYSE - ERP =&gt; SOUS-SEGMENT'!$JL$50</f>
        <v>114.2064</v>
      </c>
      <c r="L72" s="458">
        <f>'ANALYSE - ERP =&gt; SOUS-SEGMENT'!$BG$50*'ANALYSE - ERP =&gt; SOUS-SEGMENT'!$JM$50</f>
        <v>0</v>
      </c>
      <c r="N72" s="458">
        <f>'ANALYSE - ERP =&gt; SOUS-SEGMENT'!$FG$50*'ANALYSE - ERP =&gt; SOUS-SEGMENT'!$JN$50</f>
        <v>0</v>
      </c>
      <c r="O72" s="458">
        <f>'ANALYSE - ERP =&gt; SOUS-SEGMENT'!$FG$50*'ANALYSE - ERP =&gt; SOUS-SEGMENT'!$JO$50</f>
        <v>42.131964747464245</v>
      </c>
      <c r="P72" s="458">
        <f>'ANALYSE - ERP =&gt; SOUS-SEGMENT'!$FG$50*'ANALYSE - ERP =&gt; SOUS-SEGMENT'!$JP$50</f>
        <v>191.22939900130123</v>
      </c>
      <c r="Q72" s="458">
        <f>'ANALYSE - ERP =&gt; SOUS-SEGMENT'!$FG$50*'ANALYSE - ERP =&gt; SOUS-SEGMENT'!$JQ$50</f>
        <v>93.7501637936588</v>
      </c>
      <c r="R72" s="458">
        <f>'ANALYSE - ERP =&gt; SOUS-SEGMENT'!$FG$50*'ANALYSE - ERP =&gt; SOUS-SEGMENT'!$JR$50</f>
        <v>0</v>
      </c>
      <c r="T72" s="430">
        <f>'ANALYSE - ERP =&gt; SOUS-SEGMENT'!$Q$50</f>
        <v>0</v>
      </c>
    </row>
    <row r="73" spans="1:20" s="45" customFormat="1" ht="15" customHeight="1">
      <c r="A73" s="26">
        <v>70</v>
      </c>
      <c r="B73" s="26">
        <v>69</v>
      </c>
      <c r="C73" s="422">
        <f>'ANALYSE - ERP =&gt; SOUS-SEGMENT'!$A$138</f>
        <v>131</v>
      </c>
      <c r="D73" s="410" t="str">
        <f>'ANALYSE - ERP =&gt; SOUS-SEGMENT'!$B$138</f>
        <v>Sécurité &amp; Justice</v>
      </c>
      <c r="E73" s="410" t="str">
        <f>'ANALYSE - ERP =&gt; SOUS-SEGMENT'!$C$138</f>
        <v>Forces armées</v>
      </c>
      <c r="F73" s="410" t="str">
        <f>'ANALYSE - ERP =&gt; SOUS-SEGMENT'!$D$138</f>
        <v>Salles de conférence, auditoriums et espaces événementiels ouverts au public</v>
      </c>
      <c r="G73" s="685"/>
      <c r="H73" s="458">
        <f>'ANALYSE - ERP =&gt; SOUS-SEGMENT'!$BG$138*'ANALYSE - ERP =&gt; SOUS-SEGMENT'!$JI$138</f>
        <v>17.279999999999998</v>
      </c>
      <c r="I73" s="458">
        <f>'ANALYSE - ERP =&gt; SOUS-SEGMENT'!$BG$138*'ANALYSE - ERP =&gt; SOUS-SEGMENT'!$JJ$138</f>
        <v>206.91</v>
      </c>
      <c r="J73" s="458">
        <f>'ANALYSE - ERP =&gt; SOUS-SEGMENT'!$BG$138*'ANALYSE - ERP =&gt; SOUS-SEGMENT'!$JK$138</f>
        <v>194.94</v>
      </c>
      <c r="K73" s="458">
        <f>'ANALYSE - ERP =&gt; SOUS-SEGMENT'!$BG$138*'ANALYSE - ERP =&gt; SOUS-SEGMENT'!$JL$138</f>
        <v>30.689999999999998</v>
      </c>
      <c r="L73" s="458">
        <f>'ANALYSE - ERP =&gt; SOUS-SEGMENT'!$BG$138*'ANALYSE - ERP =&gt; SOUS-SEGMENT'!$JM$138</f>
        <v>0.18000000000000002</v>
      </c>
      <c r="M73" s="685"/>
      <c r="N73" s="458">
        <f>'ANALYSE - ERP =&gt; SOUS-SEGMENT'!$FG$138*'ANALYSE - ERP =&gt; SOUS-SEGMENT'!$JN$138</f>
        <v>0</v>
      </c>
      <c r="O73" s="458">
        <f>'ANALYSE - ERP =&gt; SOUS-SEGMENT'!$FG$138*'ANALYSE - ERP =&gt; SOUS-SEGMENT'!$JO$138</f>
        <v>71.636902149375018</v>
      </c>
      <c r="P73" s="458">
        <f>'ANALYSE - ERP =&gt; SOUS-SEGMENT'!$FG$138*'ANALYSE - ERP =&gt; SOUS-SEGMENT'!$JP$138</f>
        <v>120.04786245937501</v>
      </c>
      <c r="Q73" s="458">
        <f>'ANALYSE - ERP =&gt; SOUS-SEGMENT'!$FG$138*'ANALYSE - ERP =&gt; SOUS-SEGMENT'!$JQ$138</f>
        <v>25.620368833125003</v>
      </c>
      <c r="R73" s="458">
        <f>'ANALYSE - ERP =&gt; SOUS-SEGMENT'!$FG$138*'ANALYSE - ERP =&gt; SOUS-SEGMENT'!$JR$138</f>
        <v>0.37004780812500004</v>
      </c>
      <c r="S73" s="685"/>
      <c r="T73" s="430">
        <f>'ANALYSE - ERP =&gt; SOUS-SEGMENT'!$Q$138</f>
        <v>1</v>
      </c>
    </row>
    <row r="74" spans="1:20" ht="15" customHeight="1">
      <c r="A74" s="26">
        <v>71</v>
      </c>
      <c r="B74" s="26">
        <v>70</v>
      </c>
      <c r="C74" s="422">
        <f>'ANALYSE - ERP =&gt; SOUS-SEGMENT'!$A$59</f>
        <v>52</v>
      </c>
      <c r="D74" s="417" t="str">
        <f>'ANALYSE - ERP =&gt; SOUS-SEGMENT'!$B$59</f>
        <v>Santé &amp; Médico-social</v>
      </c>
      <c r="E74" s="417" t="str">
        <f>'ANALYSE - ERP =&gt; SOUS-SEGMENT'!$C$59</f>
        <v>Médico-social</v>
      </c>
      <c r="F74" s="417" t="str">
        <f>'ANALYSE - ERP =&gt; SOUS-SEGMENT'!$D$59</f>
        <v>USLD</v>
      </c>
      <c r="H74" s="458">
        <f>'ANALYSE - ERP =&gt; SOUS-SEGMENT'!$BG$59*'ANALYSE - ERP =&gt; SOUS-SEGMENT'!$JI$59</f>
        <v>0</v>
      </c>
      <c r="I74" s="458">
        <f>'ANALYSE - ERP =&gt; SOUS-SEGMENT'!$BG$59*'ANALYSE - ERP =&gt; SOUS-SEGMENT'!$JJ$59</f>
        <v>153.68600000000001</v>
      </c>
      <c r="J74" s="458">
        <f>'ANALYSE - ERP =&gt; SOUS-SEGMENT'!$BG$59*'ANALYSE - ERP =&gt; SOUS-SEGMENT'!$JK$59</f>
        <v>337.86999999999995</v>
      </c>
      <c r="K74" s="458">
        <f>'ANALYSE - ERP =&gt; SOUS-SEGMENT'!$BG$59*'ANALYSE - ERP =&gt; SOUS-SEGMENT'!$JL$59</f>
        <v>106.44399999999999</v>
      </c>
      <c r="L74" s="458">
        <f>'ANALYSE - ERP =&gt; SOUS-SEGMENT'!$BG$59*'ANALYSE - ERP =&gt; SOUS-SEGMENT'!$JM$59</f>
        <v>0</v>
      </c>
      <c r="N74" s="458">
        <f>'ANALYSE - ERP =&gt; SOUS-SEGMENT'!$FG$59*'ANALYSE - ERP =&gt; SOUS-SEGMENT'!$JN$59</f>
        <v>0</v>
      </c>
      <c r="O74" s="458">
        <f>'ANALYSE - ERP =&gt; SOUS-SEGMENT'!$FG$59*'ANALYSE - ERP =&gt; SOUS-SEGMENT'!$JO$59</f>
        <v>47.758826816727286</v>
      </c>
      <c r="P74" s="458">
        <f>'ANALYSE - ERP =&gt; SOUS-SEGMENT'!$FG$59*'ANALYSE - ERP =&gt; SOUS-SEGMENT'!$JP$59</f>
        <v>159.68835267600005</v>
      </c>
      <c r="Q74" s="458">
        <f>'ANALYSE - ERP =&gt; SOUS-SEGMENT'!$FG$59*'ANALYSE - ERP =&gt; SOUS-SEGMENT'!$JQ$59</f>
        <v>71.192416870909113</v>
      </c>
      <c r="R74" s="458">
        <f>'ANALYSE - ERP =&gt; SOUS-SEGMENT'!$FG$59*'ANALYSE - ERP =&gt; SOUS-SEGMENT'!$JR$59</f>
        <v>0</v>
      </c>
      <c r="T74" s="430">
        <f>'ANALYSE - ERP =&gt; SOUS-SEGMENT'!$Q$59</f>
        <v>1</v>
      </c>
    </row>
    <row r="75" spans="1:20" ht="15" customHeight="1">
      <c r="A75" s="26">
        <v>72</v>
      </c>
      <c r="B75" s="26">
        <v>73</v>
      </c>
      <c r="C75" s="422">
        <f>'ANALYSE - ERP =&gt; SOUS-SEGMENT'!$A$71</f>
        <v>64</v>
      </c>
      <c r="D75" s="410" t="str">
        <f>'ANALYSE - ERP =&gt; SOUS-SEGMENT'!$B$71</f>
        <v>Culture, Patrimoine &amp; Evénementiel</v>
      </c>
      <c r="E75" s="410" t="str">
        <f>'ANALYSE - ERP =&gt; SOUS-SEGMENT'!$C$71</f>
        <v>Expositions / salons</v>
      </c>
      <c r="F75" s="410" t="str">
        <f>'ANALYSE - ERP =&gt; SOUS-SEGMENT'!$D$71</f>
        <v>Halls d’exposition</v>
      </c>
      <c r="H75" s="458">
        <f>'ANALYSE - ERP =&gt; SOUS-SEGMENT'!$BG$71*'ANALYSE - ERP =&gt; SOUS-SEGMENT'!$JI$71</f>
        <v>0.27900000000000003</v>
      </c>
      <c r="I75" s="458">
        <f>'ANALYSE - ERP =&gt; SOUS-SEGMENT'!$BG$71*'ANALYSE - ERP =&gt; SOUS-SEGMENT'!$JJ$71</f>
        <v>126.16379999999999</v>
      </c>
      <c r="J75" s="458">
        <f>'ANALYSE - ERP =&gt; SOUS-SEGMENT'!$BG$71*'ANALYSE - ERP =&gt; SOUS-SEGMENT'!$JK$71</f>
        <v>287.59319999999997</v>
      </c>
      <c r="K75" s="458">
        <f>'ANALYSE - ERP =&gt; SOUS-SEGMENT'!$BG$71*'ANALYSE - ERP =&gt; SOUS-SEGMENT'!$JL$71</f>
        <v>132.7482</v>
      </c>
      <c r="L75" s="458">
        <f>'ANALYSE - ERP =&gt; SOUS-SEGMENT'!$BG$71*'ANALYSE - ERP =&gt; SOUS-SEGMENT'!$JM$71</f>
        <v>11.2158</v>
      </c>
      <c r="N75" s="458">
        <f>'ANALYSE - ERP =&gt; SOUS-SEGMENT'!$FG$71*'ANALYSE - ERP =&gt; SOUS-SEGMENT'!$JN$71</f>
        <v>0</v>
      </c>
      <c r="O75" s="458">
        <f>'ANALYSE - ERP =&gt; SOUS-SEGMENT'!$FG$71*'ANALYSE - ERP =&gt; SOUS-SEGMENT'!$JO$71</f>
        <v>28.534986908727273</v>
      </c>
      <c r="P75" s="458">
        <f>'ANALYSE - ERP =&gt; SOUS-SEGMENT'!$FG$71*'ANALYSE - ERP =&gt; SOUS-SEGMENT'!$JP$71</f>
        <v>113.18560024665734</v>
      </c>
      <c r="Q75" s="458">
        <f>'ANALYSE - ERP =&gt; SOUS-SEGMENT'!$FG$71*'ANALYSE - ERP =&gt; SOUS-SEGMENT'!$JQ$71</f>
        <v>84.602895968517487</v>
      </c>
      <c r="R75" s="458">
        <f>'ANALYSE - ERP =&gt; SOUS-SEGMENT'!$FG$71*'ANALYSE - ERP =&gt; SOUS-SEGMENT'!$JR$71</f>
        <v>12.263363939034965</v>
      </c>
      <c r="T75" s="430">
        <f>'ANALYSE - ERP =&gt; SOUS-SEGMENT'!$Q$71</f>
        <v>1</v>
      </c>
    </row>
    <row r="76" spans="1:20" ht="15" customHeight="1">
      <c r="A76" s="26">
        <v>73</v>
      </c>
      <c r="B76" s="26">
        <v>72</v>
      </c>
      <c r="C76" s="422">
        <f>'ANALYSE - ERP =&gt; SOUS-SEGMENT'!$A$132</f>
        <v>125</v>
      </c>
      <c r="D76" s="410" t="str">
        <f>'ANALYSE - ERP =&gt; SOUS-SEGMENT'!$B$132</f>
        <v>Sécurité &amp; Justice</v>
      </c>
      <c r="E76" s="410" t="str">
        <f>'ANALYSE - ERP =&gt; SOUS-SEGMENT'!$C$132</f>
        <v xml:space="preserve">Commissariats / postes de police </v>
      </c>
      <c r="F76" s="410" t="str">
        <f>'ANALYSE - ERP =&gt; SOUS-SEGMENT'!$D$132</f>
        <v>Locaux de sûreté, garde à vue et zones opérationnelles</v>
      </c>
      <c r="H76" s="458">
        <f>'ANALYSE - ERP =&gt; SOUS-SEGMENT'!$BG$132*'ANALYSE - ERP =&gt; SOUS-SEGMENT'!$JI$132</f>
        <v>107.69279999999999</v>
      </c>
      <c r="I76" s="458">
        <f>'ANALYSE - ERP =&gt; SOUS-SEGMENT'!$BG$132*'ANALYSE - ERP =&gt; SOUS-SEGMENT'!$JJ$132</f>
        <v>362.952</v>
      </c>
      <c r="J76" s="458">
        <f>'ANALYSE - ERP =&gt; SOUS-SEGMENT'!$BG$132*'ANALYSE - ERP =&gt; SOUS-SEGMENT'!$JK$132</f>
        <v>97.355199999999996</v>
      </c>
      <c r="K76" s="458">
        <f>'ANALYSE - ERP =&gt; SOUS-SEGMENT'!$BG$132*'ANALYSE - ERP =&gt; SOUS-SEGMENT'!$JL$132</f>
        <v>0</v>
      </c>
      <c r="L76" s="458">
        <f>'ANALYSE - ERP =&gt; SOUS-SEGMENT'!$BG$132*'ANALYSE - ERP =&gt; SOUS-SEGMENT'!$JM$132</f>
        <v>0</v>
      </c>
      <c r="N76" s="458">
        <f>'ANALYSE - ERP =&gt; SOUS-SEGMENT'!$FG$132*'ANALYSE - ERP =&gt; SOUS-SEGMENT'!$JN$132</f>
        <v>27.374435119774752</v>
      </c>
      <c r="O76" s="458">
        <f>'ANALYSE - ERP =&gt; SOUS-SEGMENT'!$FG$132*'ANALYSE - ERP =&gt; SOUS-SEGMENT'!$JO$132</f>
        <v>154.33990995059875</v>
      </c>
      <c r="P76" s="458">
        <f>'ANALYSE - ERP =&gt; SOUS-SEGMENT'!$FG$132*'ANALYSE - ERP =&gt; SOUS-SEGMENT'!$JP$132</f>
        <v>67.824717097126495</v>
      </c>
      <c r="Q76" s="458">
        <f>'ANALYSE - ERP =&gt; SOUS-SEGMENT'!$FG$132*'ANALYSE - ERP =&gt; SOUS-SEGMENT'!$JQ$132</f>
        <v>0</v>
      </c>
      <c r="R76" s="458">
        <f>'ANALYSE - ERP =&gt; SOUS-SEGMENT'!$FG$132*'ANALYSE - ERP =&gt; SOUS-SEGMENT'!$JR$132</f>
        <v>0</v>
      </c>
      <c r="T76" s="430">
        <f>'ANALYSE - ERP =&gt; SOUS-SEGMENT'!$Q$132</f>
        <v>1</v>
      </c>
    </row>
    <row r="77" spans="1:20" ht="15" customHeight="1">
      <c r="A77" s="26">
        <v>74</v>
      </c>
      <c r="B77" s="26">
        <v>75</v>
      </c>
      <c r="C77" s="422">
        <f>'ANALYSE - ERP =&gt; SOUS-SEGMENT'!$A$127</f>
        <v>120</v>
      </c>
      <c r="D77" s="410" t="str">
        <f>'ANALYSE - ERP =&gt; SOUS-SEGMENT'!$B$127</f>
        <v>Transport, Mobilité &amp; Stationnement</v>
      </c>
      <c r="E77" s="410" t="str">
        <f>'ANALYSE - ERP =&gt; SOUS-SEGMENT'!$C$127</f>
        <v>Transport / Mobilité</v>
      </c>
      <c r="F77" s="410" t="str">
        <f>'ANALYSE - ERP =&gt; SOUS-SEGMENT'!$D$127</f>
        <v>Terminaux maritimes / fluviaux</v>
      </c>
      <c r="H77" s="458">
        <f>'ANALYSE - ERP =&gt; SOUS-SEGMENT'!$BG$127*'ANALYSE - ERP =&gt; SOUS-SEGMENT'!$JI$127</f>
        <v>0</v>
      </c>
      <c r="I77" s="458">
        <f>'ANALYSE - ERP =&gt; SOUS-SEGMENT'!$BG$127*'ANALYSE - ERP =&gt; SOUS-SEGMENT'!$JJ$127</f>
        <v>70.280799999999999</v>
      </c>
      <c r="J77" s="458">
        <f>'ANALYSE - ERP =&gt; SOUS-SEGMENT'!$BG$127*'ANALYSE - ERP =&gt; SOUS-SEGMENT'!$JK$127</f>
        <v>255.02160000000001</v>
      </c>
      <c r="K77" s="458">
        <f>'ANALYSE - ERP =&gt; SOUS-SEGMENT'!$BG$127*'ANALYSE - ERP =&gt; SOUS-SEGMENT'!$JL$127</f>
        <v>142.0248</v>
      </c>
      <c r="L77" s="458">
        <f>'ANALYSE - ERP =&gt; SOUS-SEGMENT'!$BG$127*'ANALYSE - ERP =&gt; SOUS-SEGMENT'!$JM$127</f>
        <v>4.6728000000000005</v>
      </c>
      <c r="N77" s="458">
        <f>'ANALYSE - ERP =&gt; SOUS-SEGMENT'!$FG$127*'ANALYSE - ERP =&gt; SOUS-SEGMENT'!$JN$127</f>
        <v>0</v>
      </c>
      <c r="O77" s="458">
        <f>'ANALYSE - ERP =&gt; SOUS-SEGMENT'!$FG$127*'ANALYSE - ERP =&gt; SOUS-SEGMENT'!$JO$127</f>
        <v>18.93089989148611</v>
      </c>
      <c r="P77" s="458">
        <f>'ANALYSE - ERP =&gt; SOUS-SEGMENT'!$FG$127*'ANALYSE - ERP =&gt; SOUS-SEGMENT'!$JP$127</f>
        <v>104.94246436397611</v>
      </c>
      <c r="Q77" s="458">
        <f>'ANALYSE - ERP =&gt; SOUS-SEGMENT'!$FG$127*'ANALYSE - ERP =&gt; SOUS-SEGMENT'!$JQ$127</f>
        <v>119.0166092488189</v>
      </c>
      <c r="R77" s="458">
        <f>'ANALYSE - ERP =&gt; SOUS-SEGMENT'!$FG$127*'ANALYSE - ERP =&gt; SOUS-SEGMENT'!$JR$127</f>
        <v>18.225887067941112</v>
      </c>
      <c r="T77" s="430">
        <f>'ANALYSE - ERP =&gt; SOUS-SEGMENT'!$Q$127</f>
        <v>1</v>
      </c>
    </row>
    <row r="78" spans="1:20" ht="15" customHeight="1">
      <c r="A78" s="26">
        <v>75</v>
      </c>
      <c r="B78" s="26">
        <v>74</v>
      </c>
      <c r="C78" s="422">
        <f>'ANALYSE - ERP =&gt; SOUS-SEGMENT'!$A$146</f>
        <v>139</v>
      </c>
      <c r="D78" s="410" t="str">
        <f>'ANALYSE - ERP =&gt; SOUS-SEGMENT'!$B$146</f>
        <v>Sécurité &amp; Justice</v>
      </c>
      <c r="E78" s="410" t="str">
        <f>'ANALYSE - ERP =&gt; SOUS-SEGMENT'!$C$146</f>
        <v>Tribunaux</v>
      </c>
      <c r="F78" s="410" t="str">
        <f>'ANALYSE - ERP =&gt; SOUS-SEGMENT'!$D$146</f>
        <v>Palais de justice et bâtiments judiciaires multi-usages</v>
      </c>
      <c r="H78" s="458">
        <f>'ANALYSE - ERP =&gt; SOUS-SEGMENT'!$BG$146*'ANALYSE - ERP =&gt; SOUS-SEGMENT'!$JI$146</f>
        <v>14.3172</v>
      </c>
      <c r="I78" s="458">
        <f>'ANALYSE - ERP =&gt; SOUS-SEGMENT'!$BG$146*'ANALYSE - ERP =&gt; SOUS-SEGMENT'!$JJ$146</f>
        <v>190.0104</v>
      </c>
      <c r="J78" s="458">
        <f>'ANALYSE - ERP =&gt; SOUS-SEGMENT'!$BG$146*'ANALYSE - ERP =&gt; SOUS-SEGMENT'!$JK$146</f>
        <v>235.5204</v>
      </c>
      <c r="K78" s="458">
        <f>'ANALYSE - ERP =&gt; SOUS-SEGMENT'!$BG$146*'ANALYSE - ERP =&gt; SOUS-SEGMENT'!$JL$146</f>
        <v>51.217199999999998</v>
      </c>
      <c r="L78" s="458">
        <f>'ANALYSE - ERP =&gt; SOUS-SEGMENT'!$BG$146*'ANALYSE - ERP =&gt; SOUS-SEGMENT'!$JM$146</f>
        <v>0.93479999999999996</v>
      </c>
      <c r="N78" s="458">
        <f>'ANALYSE - ERP =&gt; SOUS-SEGMENT'!$FG$146*'ANALYSE - ERP =&gt; SOUS-SEGMENT'!$JN$146</f>
        <v>0</v>
      </c>
      <c r="O78" s="458">
        <f>'ANALYSE - ERP =&gt; SOUS-SEGMENT'!$FG$146*'ANALYSE - ERP =&gt; SOUS-SEGMENT'!$JO$146</f>
        <v>59.388835677230766</v>
      </c>
      <c r="P78" s="458">
        <f>'ANALYSE - ERP =&gt; SOUS-SEGMENT'!$FG$146*'ANALYSE - ERP =&gt; SOUS-SEGMENT'!$JP$146</f>
        <v>119.77616786073075</v>
      </c>
      <c r="Q78" s="458">
        <f>'ANALYSE - ERP =&gt; SOUS-SEGMENT'!$FG$146*'ANALYSE - ERP =&gt; SOUS-SEGMENT'!$JQ$146</f>
        <v>36.683893382500003</v>
      </c>
      <c r="R78" s="458">
        <f>'ANALYSE - ERP =&gt; SOUS-SEGMENT'!$FG$146*'ANALYSE - ERP =&gt; SOUS-SEGMENT'!$JR$146</f>
        <v>1.2155609641538461</v>
      </c>
      <c r="T78" s="430">
        <f>'ANALYSE - ERP =&gt; SOUS-SEGMENT'!$Q$146</f>
        <v>1</v>
      </c>
    </row>
    <row r="79" spans="1:20" ht="15" customHeight="1">
      <c r="A79" s="26">
        <v>76</v>
      </c>
      <c r="B79" s="26">
        <v>76</v>
      </c>
      <c r="C79" s="422">
        <f>'ANALYSE - ERP =&gt; SOUS-SEGMENT'!$A$51</f>
        <v>44</v>
      </c>
      <c r="D79" s="410" t="str">
        <f>'ANALYSE - ERP =&gt; SOUS-SEGMENT'!$B$51</f>
        <v>Santé &amp; Médico-social</v>
      </c>
      <c r="E79" s="410" t="str">
        <f>'ANALYSE - ERP =&gt; SOUS-SEGMENT'!$C$51</f>
        <v>Santé spécialisée</v>
      </c>
      <c r="F79" s="410" t="str">
        <f>'ANALYSE - ERP =&gt; SOUS-SEGMENT'!$D$51</f>
        <v>Maternités</v>
      </c>
      <c r="H79" s="458">
        <f>'ANALYSE - ERP =&gt; SOUS-SEGMENT'!$BG$51*'ANALYSE - ERP =&gt; SOUS-SEGMENT'!$JI$51</f>
        <v>0</v>
      </c>
      <c r="I79" s="458">
        <f>'ANALYSE - ERP =&gt; SOUS-SEGMENT'!$BG$51*'ANALYSE - ERP =&gt; SOUS-SEGMENT'!$JJ$51</f>
        <v>89.177999999999997</v>
      </c>
      <c r="J79" s="458">
        <f>'ANALYSE - ERP =&gt; SOUS-SEGMENT'!$BG$51*'ANALYSE - ERP =&gt; SOUS-SEGMENT'!$JK$51</f>
        <v>258.58949999999999</v>
      </c>
      <c r="K79" s="458">
        <f>'ANALYSE - ERP =&gt; SOUS-SEGMENT'!$BG$51*'ANALYSE - ERP =&gt; SOUS-SEGMENT'!$JL$51</f>
        <v>97.232500000000002</v>
      </c>
      <c r="L79" s="458">
        <f>'ANALYSE - ERP =&gt; SOUS-SEGMENT'!$BG$51*'ANALYSE - ERP =&gt; SOUS-SEGMENT'!$JM$51</f>
        <v>0</v>
      </c>
      <c r="N79" s="458">
        <f>'ANALYSE - ERP =&gt; SOUS-SEGMENT'!$FG$51*'ANALYSE - ERP =&gt; SOUS-SEGMENT'!$JN$51</f>
        <v>0</v>
      </c>
      <c r="O79" s="458">
        <f>'ANALYSE - ERP =&gt; SOUS-SEGMENT'!$FG$51*'ANALYSE - ERP =&gt; SOUS-SEGMENT'!$JO$51</f>
        <v>25.754136104999997</v>
      </c>
      <c r="P79" s="458">
        <f>'ANALYSE - ERP =&gt; SOUS-SEGMENT'!$FG$51*'ANALYSE - ERP =&gt; SOUS-SEGMENT'!$JP$51</f>
        <v>151.75980201749999</v>
      </c>
      <c r="Q79" s="458">
        <f>'ANALYSE - ERP =&gt; SOUS-SEGMENT'!$FG$51*'ANALYSE - ERP =&gt; SOUS-SEGMENT'!$JQ$51</f>
        <v>85.820786877499998</v>
      </c>
      <c r="R79" s="458">
        <f>'ANALYSE - ERP =&gt; SOUS-SEGMENT'!$FG$51*'ANALYSE - ERP =&gt; SOUS-SEGMENT'!$JR$51</f>
        <v>0</v>
      </c>
      <c r="T79" s="430">
        <f>'ANALYSE - ERP =&gt; SOUS-SEGMENT'!$Q$51</f>
        <v>0</v>
      </c>
    </row>
    <row r="80" spans="1:20" ht="15" customHeight="1">
      <c r="A80" s="26">
        <v>77</v>
      </c>
      <c r="B80" s="26">
        <v>77</v>
      </c>
      <c r="C80" s="422">
        <f>'ANALYSE - ERP =&gt; SOUS-SEGMENT'!$A$121</f>
        <v>114</v>
      </c>
      <c r="D80" s="411" t="str">
        <f>'ANALYSE - ERP =&gt; SOUS-SEGMENT'!$B$121</f>
        <v>Transport, Mobilité &amp; Stationnement</v>
      </c>
      <c r="E80" s="411" t="str">
        <f>'ANALYSE - ERP =&gt; SOUS-SEGMENT'!$C$121</f>
        <v>Transport / Mobilité</v>
      </c>
      <c r="F80" s="411" t="str">
        <f>'ANALYSE - ERP =&gt; SOUS-SEGMENT'!$D$121</f>
        <v>Aires de service - Autoroutes
(Hors Aires de repos)</v>
      </c>
      <c r="H80" s="458">
        <f>'ANALYSE - ERP =&gt; SOUS-SEGMENT'!$BG$121*'ANALYSE - ERP =&gt; SOUS-SEGMENT'!$JI$121</f>
        <v>49.446599999999997</v>
      </c>
      <c r="I80" s="458">
        <f>'ANALYSE - ERP =&gt; SOUS-SEGMENT'!$BG$121*'ANALYSE - ERP =&gt; SOUS-SEGMENT'!$JJ$121</f>
        <v>207.85139999999998</v>
      </c>
      <c r="J80" s="458">
        <f>'ANALYSE - ERP =&gt; SOUS-SEGMENT'!$BG$121*'ANALYSE - ERP =&gt; SOUS-SEGMENT'!$JK$121</f>
        <v>83.082000000000008</v>
      </c>
      <c r="K80" s="458">
        <f>'ANALYSE - ERP =&gt; SOUS-SEGMENT'!$BG$121*'ANALYSE - ERP =&gt; SOUS-SEGMENT'!$JL$121</f>
        <v>14.64</v>
      </c>
      <c r="L80" s="458">
        <f>'ANALYSE - ERP =&gt; SOUS-SEGMENT'!$BG$121*'ANALYSE - ERP =&gt; SOUS-SEGMENT'!$JM$121</f>
        <v>10.98</v>
      </c>
      <c r="N80" s="458">
        <f>'ANALYSE - ERP =&gt; SOUS-SEGMENT'!$FG$121*'ANALYSE - ERP =&gt; SOUS-SEGMENT'!$JN$121</f>
        <v>10.118198161763333</v>
      </c>
      <c r="O80" s="458">
        <f>'ANALYSE - ERP =&gt; SOUS-SEGMENT'!$FG$121*'ANALYSE - ERP =&gt; SOUS-SEGMENT'!$JO$121</f>
        <v>102.70263567662667</v>
      </c>
      <c r="P80" s="458">
        <f>'ANALYSE - ERP =&gt; SOUS-SEGMENT'!$FG$121*'ANALYSE - ERP =&gt; SOUS-SEGMENT'!$JP$121</f>
        <v>68.487919349276666</v>
      </c>
      <c r="Q80" s="458">
        <f>'ANALYSE - ERP =&gt; SOUS-SEGMENT'!$FG$121*'ANALYSE - ERP =&gt; SOUS-SEGMENT'!$JQ$121</f>
        <v>7.7982259435555559</v>
      </c>
      <c r="R80" s="458">
        <f>'ANALYSE - ERP =&gt; SOUS-SEGMENT'!$FG$121*'ANALYSE - ERP =&gt; SOUS-SEGMENT'!$JR$121</f>
        <v>5.8486694576666665</v>
      </c>
      <c r="T80" s="430">
        <f>'ANALYSE - ERP =&gt; SOUS-SEGMENT'!$Q$121</f>
        <v>1</v>
      </c>
    </row>
    <row r="81" spans="1:20" ht="15" customHeight="1">
      <c r="A81" s="26">
        <v>78</v>
      </c>
      <c r="B81" s="26">
        <v>78</v>
      </c>
      <c r="C81" s="422">
        <f>'ANALYSE - ERP =&gt; SOUS-SEGMENT'!$A$93</f>
        <v>86</v>
      </c>
      <c r="D81" s="411" t="str">
        <f>'ANALYSE - ERP =&gt; SOUS-SEGMENT'!$B$93</f>
        <v>Hébergement Touristique</v>
      </c>
      <c r="E81" s="411" t="str">
        <f>'ANALYSE - ERP =&gt; SOUS-SEGMENT'!$C$93</f>
        <v>Hébergement Montagne</v>
      </c>
      <c r="F81" s="411" t="str">
        <f>'ANALYSE - ERP =&gt; SOUS-SEGMENT'!$D$93</f>
        <v>Refuges de montagne</v>
      </c>
      <c r="H81" s="458">
        <f>'ANALYSE - ERP =&gt; SOUS-SEGMENT'!$BG$93*'ANALYSE - ERP =&gt; SOUS-SEGMENT'!$JI$93</f>
        <v>45.375</v>
      </c>
      <c r="I81" s="458">
        <f>'ANALYSE - ERP =&gt; SOUS-SEGMENT'!$BG$93*'ANALYSE - ERP =&gt; SOUS-SEGMENT'!$JJ$93</f>
        <v>92.655000000000001</v>
      </c>
      <c r="J81" s="458">
        <f>'ANALYSE - ERP =&gt; SOUS-SEGMENT'!$BG$93*'ANALYSE - ERP =&gt; SOUS-SEGMENT'!$JK$93</f>
        <v>11.969999999999999</v>
      </c>
      <c r="K81" s="458">
        <f>'ANALYSE - ERP =&gt; SOUS-SEGMENT'!$BG$93*'ANALYSE - ERP =&gt; SOUS-SEGMENT'!$JL$93</f>
        <v>0</v>
      </c>
      <c r="L81" s="458">
        <f>'ANALYSE - ERP =&gt; SOUS-SEGMENT'!$BG$93*'ANALYSE - ERP =&gt; SOUS-SEGMENT'!$JM$93</f>
        <v>0</v>
      </c>
      <c r="N81" s="458">
        <f>'ANALYSE - ERP =&gt; SOUS-SEGMENT'!$FG$93*'ANALYSE - ERP =&gt; SOUS-SEGMENT'!$JN$93</f>
        <v>13.352078901707387</v>
      </c>
      <c r="O81" s="458">
        <f>'ANALYSE - ERP =&gt; SOUS-SEGMENT'!$FG$93*'ANALYSE - ERP =&gt; SOUS-SEGMENT'!$JO$93</f>
        <v>44.252214489767042</v>
      </c>
      <c r="P81" s="458">
        <f>'ANALYSE - ERP =&gt; SOUS-SEGMENT'!$FG$93*'ANALYSE - ERP =&gt; SOUS-SEGMENT'!$JP$93</f>
        <v>10.622987659661931</v>
      </c>
      <c r="Q81" s="458">
        <f>'ANALYSE - ERP =&gt; SOUS-SEGMENT'!$FG$93*'ANALYSE - ERP =&gt; SOUS-SEGMENT'!$JQ$93</f>
        <v>0</v>
      </c>
      <c r="R81" s="458">
        <f>'ANALYSE - ERP =&gt; SOUS-SEGMENT'!$FG$93*'ANALYSE - ERP =&gt; SOUS-SEGMENT'!$JR$93</f>
        <v>0</v>
      </c>
      <c r="T81" s="430">
        <f>'ANALYSE - ERP =&gt; SOUS-SEGMENT'!$Q$93</f>
        <v>1</v>
      </c>
    </row>
    <row r="82" spans="1:20" ht="15" customHeight="1">
      <c r="A82" s="26">
        <v>79</v>
      </c>
      <c r="B82" s="26">
        <v>79</v>
      </c>
      <c r="C82" s="422">
        <f>'ANALYSE - ERP =&gt; SOUS-SEGMENT'!$A$117</f>
        <v>110</v>
      </c>
      <c r="D82" s="411" t="str">
        <f>'ANALYSE - ERP =&gt; SOUS-SEGMENT'!$B$117</f>
        <v>Culte, Vie civique &amp; Services publics</v>
      </c>
      <c r="E82" s="411" t="str">
        <f>'ANALYSE - ERP =&gt; SOUS-SEGMENT'!$C$117</f>
        <v>Culte</v>
      </c>
      <c r="F82" s="411" t="str">
        <f>'ANALYSE - ERP =&gt; SOUS-SEGMENT'!$D$117</f>
        <v>Synagogues et oratoires juifs ouverts au public</v>
      </c>
      <c r="H82" s="458">
        <f>'ANALYSE - ERP =&gt; SOUS-SEGMENT'!$BG$117*'ANALYSE - ERP =&gt; SOUS-SEGMENT'!$JI$117</f>
        <v>19.324999999999999</v>
      </c>
      <c r="I82" s="458">
        <f>'ANALYSE - ERP =&gt; SOUS-SEGMENT'!$BG$117*'ANALYSE - ERP =&gt; SOUS-SEGMENT'!$JJ$117</f>
        <v>76.837500000000006</v>
      </c>
      <c r="J82" s="458">
        <f>'ANALYSE - ERP =&gt; SOUS-SEGMENT'!$BG$117*'ANALYSE - ERP =&gt; SOUS-SEGMENT'!$JK$117</f>
        <v>27.387499999999999</v>
      </c>
      <c r="K82" s="458">
        <f>'ANALYSE - ERP =&gt; SOUS-SEGMENT'!$BG$117*'ANALYSE - ERP =&gt; SOUS-SEGMENT'!$JL$117</f>
        <v>1.45</v>
      </c>
      <c r="L82" s="458">
        <f>'ANALYSE - ERP =&gt; SOUS-SEGMENT'!$BG$117*'ANALYSE - ERP =&gt; SOUS-SEGMENT'!$JM$117</f>
        <v>0</v>
      </c>
      <c r="N82" s="458">
        <f>'ANALYSE - ERP =&gt; SOUS-SEGMENT'!$FG$117*'ANALYSE - ERP =&gt; SOUS-SEGMENT'!$JN$117</f>
        <v>6.4615579918414916</v>
      </c>
      <c r="O82" s="458">
        <f>'ANALYSE - ERP =&gt; SOUS-SEGMENT'!$FG$117*'ANALYSE - ERP =&gt; SOUS-SEGMENT'!$JO$117</f>
        <v>27.47426864289044</v>
      </c>
      <c r="P82" s="458">
        <f>'ANALYSE - ERP =&gt; SOUS-SEGMENT'!$FG$117*'ANALYSE - ERP =&gt; SOUS-SEGMENT'!$JP$117</f>
        <v>10.724806574358972</v>
      </c>
      <c r="Q82" s="458">
        <f>'ANALYSE - ERP =&gt; SOUS-SEGMENT'!$FG$117*'ANALYSE - ERP =&gt; SOUS-SEGMENT'!$JQ$117</f>
        <v>1.1819362305361305</v>
      </c>
      <c r="R82" s="458">
        <f>'ANALYSE - ERP =&gt; SOUS-SEGMENT'!$FG$117*'ANALYSE - ERP =&gt; SOUS-SEGMENT'!$JR$117</f>
        <v>0.14716715710955711</v>
      </c>
      <c r="T82" s="430">
        <f>'ANALYSE - ERP =&gt; SOUS-SEGMENT'!$Q$117</f>
        <v>1</v>
      </c>
    </row>
    <row r="83" spans="1:20" ht="15" customHeight="1">
      <c r="A83" s="26">
        <v>80</v>
      </c>
      <c r="B83" s="26">
        <v>80</v>
      </c>
      <c r="C83" s="422">
        <f>'ANALYSE - ERP =&gt; SOUS-SEGMENT'!$A$137</f>
        <v>130</v>
      </c>
      <c r="D83" s="415" t="str">
        <f>'ANALYSE - ERP =&gt; SOUS-SEGMENT'!$B$137</f>
        <v>Sécurité &amp; Justice</v>
      </c>
      <c r="E83" s="415" t="str">
        <f>'ANALYSE - ERP =&gt; SOUS-SEGMENT'!$C$137</f>
        <v>Forces armées</v>
      </c>
      <c r="F83" s="415" t="str">
        <f>'ANALYSE - ERP =&gt; SOUS-SEGMENT'!$D$137</f>
        <v>Restaurants ou équipements sportifs ouverts au public sur emprise militaire</v>
      </c>
      <c r="H83" s="458">
        <f>'ANALYSE - ERP =&gt; SOUS-SEGMENT'!$BG$137*'ANALYSE - ERP =&gt; SOUS-SEGMENT'!$JI$137</f>
        <v>11.52</v>
      </c>
      <c r="I83" s="458">
        <f>'ANALYSE - ERP =&gt; SOUS-SEGMENT'!$BG$137*'ANALYSE - ERP =&gt; SOUS-SEGMENT'!$JJ$137</f>
        <v>137.94</v>
      </c>
      <c r="J83" s="458">
        <f>'ANALYSE - ERP =&gt; SOUS-SEGMENT'!$BG$137*'ANALYSE - ERP =&gt; SOUS-SEGMENT'!$JK$137</f>
        <v>129.95999999999998</v>
      </c>
      <c r="K83" s="458">
        <f>'ANALYSE - ERP =&gt; SOUS-SEGMENT'!$BG$137*'ANALYSE - ERP =&gt; SOUS-SEGMENT'!$JL$137</f>
        <v>20.459999999999997</v>
      </c>
      <c r="L83" s="458">
        <f>'ANALYSE - ERP =&gt; SOUS-SEGMENT'!$BG$137*'ANALYSE - ERP =&gt; SOUS-SEGMENT'!$JM$137</f>
        <v>0.12000000000000001</v>
      </c>
      <c r="N83" s="458">
        <f>'ANALYSE - ERP =&gt; SOUS-SEGMENT'!$FG$137*'ANALYSE - ERP =&gt; SOUS-SEGMENT'!$JN$137</f>
        <v>0</v>
      </c>
      <c r="O83" s="458">
        <f>'ANALYSE - ERP =&gt; SOUS-SEGMENT'!$FG$137*'ANALYSE - ERP =&gt; SOUS-SEGMENT'!$JO$137</f>
        <v>47.862118799999998</v>
      </c>
      <c r="P83" s="458">
        <f>'ANALYSE - ERP =&gt; SOUS-SEGMENT'!$FG$137*'ANALYSE - ERP =&gt; SOUS-SEGMENT'!$JP$137</f>
        <v>78.610164600000004</v>
      </c>
      <c r="Q83" s="458">
        <f>'ANALYSE - ERP =&gt; SOUS-SEGMENT'!$FG$137*'ANALYSE - ERP =&gt; SOUS-SEGMENT'!$JQ$137</f>
        <v>16.5125742</v>
      </c>
      <c r="R83" s="458">
        <f>'ANALYSE - ERP =&gt; SOUS-SEGMENT'!$FG$137*'ANALYSE - ERP =&gt; SOUS-SEGMENT'!$JR$137</f>
        <v>0.2291424</v>
      </c>
      <c r="T83" s="430">
        <f>'ANALYSE - ERP =&gt; SOUS-SEGMENT'!$Q$137</f>
        <v>1</v>
      </c>
    </row>
    <row r="84" spans="1:20" ht="15" customHeight="1">
      <c r="A84" s="26">
        <v>81</v>
      </c>
      <c r="B84" s="26">
        <v>81</v>
      </c>
      <c r="C84" s="422">
        <f>'ANALYSE - ERP =&gt; SOUS-SEGMENT'!$A$78</f>
        <v>71</v>
      </c>
      <c r="D84" s="417" t="str">
        <f>'ANALYSE - ERP =&gt; SOUS-SEGMENT'!$B$78</f>
        <v>Commerce, Restauration &amp; Loisirs</v>
      </c>
      <c r="E84" s="417" t="str">
        <f>'ANALYSE - ERP =&gt; SOUS-SEGMENT'!$C$78</f>
        <v>Restauration / boissons</v>
      </c>
      <c r="F84" s="417" t="str">
        <f>'ANALYSE - ERP =&gt; SOUS-SEGMENT'!$D$78</f>
        <v>Établissements flottants</v>
      </c>
      <c r="H84" s="458">
        <f>'ANALYSE - ERP =&gt; SOUS-SEGMENT'!$BG$78*'ANALYSE - ERP =&gt; SOUS-SEGMENT'!$JI$78</f>
        <v>6.399</v>
      </c>
      <c r="I84" s="458">
        <f>'ANALYSE - ERP =&gt; SOUS-SEGMENT'!$BG$78*'ANALYSE - ERP =&gt; SOUS-SEGMENT'!$JJ$78</f>
        <v>104.70599999999999</v>
      </c>
      <c r="J84" s="458">
        <f>'ANALYSE - ERP =&gt; SOUS-SEGMENT'!$BG$78*'ANALYSE - ERP =&gt; SOUS-SEGMENT'!$JK$78</f>
        <v>119.15100000000001</v>
      </c>
      <c r="K84" s="458">
        <f>'ANALYSE - ERP =&gt; SOUS-SEGMENT'!$BG$78*'ANALYSE - ERP =&gt; SOUS-SEGMENT'!$JL$78</f>
        <v>31.076999999999998</v>
      </c>
      <c r="L84" s="458">
        <f>'ANALYSE - ERP =&gt; SOUS-SEGMENT'!$BG$78*'ANALYSE - ERP =&gt; SOUS-SEGMENT'!$JM$78</f>
        <v>8.6669999999999998</v>
      </c>
      <c r="N84" s="458">
        <f>'ANALYSE - ERP =&gt; SOUS-SEGMENT'!$FG$78*'ANALYSE - ERP =&gt; SOUS-SEGMENT'!$JN$78</f>
        <v>0</v>
      </c>
      <c r="O84" s="458">
        <f>'ANALYSE - ERP =&gt; SOUS-SEGMENT'!$FG$78*'ANALYSE - ERP =&gt; SOUS-SEGMENT'!$JO$78</f>
        <v>33.03105856925</v>
      </c>
      <c r="P84" s="458">
        <f>'ANALYSE - ERP =&gt; SOUS-SEGMENT'!$FG$78*'ANALYSE - ERP =&gt; SOUS-SEGMENT'!$JP$78</f>
        <v>73.792495131387497</v>
      </c>
      <c r="Q84" s="458">
        <f>'ANALYSE - ERP =&gt; SOUS-SEGMENT'!$FG$78*'ANALYSE - ERP =&gt; SOUS-SEGMENT'!$JQ$78</f>
        <v>26.591390007849999</v>
      </c>
      <c r="R84" s="458">
        <f>'ANALYSE - ERP =&gt; SOUS-SEGMENT'!$FG$78*'ANALYSE - ERP =&gt; SOUS-SEGMENT'!$JR$78</f>
        <v>5.3710166665124994</v>
      </c>
      <c r="T84" s="430">
        <f>'ANALYSE - ERP =&gt; SOUS-SEGMENT'!$Q$78</f>
        <v>1</v>
      </c>
    </row>
    <row r="85" spans="1:20" ht="15" customHeight="1">
      <c r="A85" s="26">
        <v>82</v>
      </c>
      <c r="B85" s="26">
        <v>82</v>
      </c>
      <c r="C85" s="422">
        <f>'ANALYSE - ERP =&gt; SOUS-SEGMENT'!$A$142</f>
        <v>135</v>
      </c>
      <c r="D85" s="415" t="str">
        <f>'ANALYSE - ERP =&gt; SOUS-SEGMENT'!$B$142</f>
        <v>Sécurité &amp; Justice</v>
      </c>
      <c r="E85" s="415" t="str">
        <f>'ANALYSE - ERP =&gt; SOUS-SEGMENT'!$C$142</f>
        <v>Univers carcéral</v>
      </c>
      <c r="F85" s="415" t="str">
        <f>'ANALYSE - ERP =&gt; SOUS-SEGMENT'!$D$142</f>
        <v>Centres pénitentiaires</v>
      </c>
      <c r="H85" s="458">
        <f>'ANALYSE - ERP =&gt; SOUS-SEGMENT'!$BG$142*'ANALYSE - ERP =&gt; SOUS-SEGMENT'!$JI$142</f>
        <v>94.452399999999997</v>
      </c>
      <c r="I85" s="458">
        <f>'ANALYSE - ERP =&gt; SOUS-SEGMENT'!$BG$142*'ANALYSE - ERP =&gt; SOUS-SEGMENT'!$JJ$142</f>
        <v>139.07999999999998</v>
      </c>
      <c r="J85" s="458">
        <f>'ANALYSE - ERP =&gt; SOUS-SEGMENT'!$BG$142*'ANALYSE - ERP =&gt; SOUS-SEGMENT'!$JK$142</f>
        <v>10.467600000000001</v>
      </c>
      <c r="K85" s="458">
        <f>'ANALYSE - ERP =&gt; SOUS-SEGMENT'!$BG$142*'ANALYSE - ERP =&gt; SOUS-SEGMENT'!$JL$142</f>
        <v>0</v>
      </c>
      <c r="L85" s="458">
        <f>'ANALYSE - ERP =&gt; SOUS-SEGMENT'!$BG$142*'ANALYSE - ERP =&gt; SOUS-SEGMENT'!$JM$142</f>
        <v>0</v>
      </c>
      <c r="N85" s="458">
        <f>'ANALYSE - ERP =&gt; SOUS-SEGMENT'!$FG$142*'ANALYSE - ERP =&gt; SOUS-SEGMENT'!$JN$142</f>
        <v>21.134620739454544</v>
      </c>
      <c r="O85" s="458">
        <f>'ANALYSE - ERP =&gt; SOUS-SEGMENT'!$FG$142*'ANALYSE - ERP =&gt; SOUS-SEGMENT'!$JO$142</f>
        <v>87.185059191818183</v>
      </c>
      <c r="P85" s="458">
        <f>'ANALYSE - ERP =&gt; SOUS-SEGMENT'!$FG$142*'ANALYSE - ERP =&gt; SOUS-SEGMENT'!$JP$142</f>
        <v>18.310761886909091</v>
      </c>
      <c r="Q85" s="458">
        <f>'ANALYSE - ERP =&gt; SOUS-SEGMENT'!$FG$142*'ANALYSE - ERP =&gt; SOUS-SEGMENT'!$JQ$142</f>
        <v>0</v>
      </c>
      <c r="R85" s="458">
        <f>'ANALYSE - ERP =&gt; SOUS-SEGMENT'!$FG$142*'ANALYSE - ERP =&gt; SOUS-SEGMENT'!$JR$142</f>
        <v>0</v>
      </c>
      <c r="T85" s="430">
        <f>'ANALYSE - ERP =&gt; SOUS-SEGMENT'!$Q$142</f>
        <v>1</v>
      </c>
    </row>
    <row r="86" spans="1:20" ht="15" customHeight="1">
      <c r="A86" s="26">
        <v>83</v>
      </c>
      <c r="B86" s="26">
        <v>83</v>
      </c>
      <c r="C86" s="422">
        <f>'ANALYSE - ERP =&gt; SOUS-SEGMENT'!$A$90</f>
        <v>83</v>
      </c>
      <c r="D86" s="411" t="str">
        <f>'ANALYSE - ERP =&gt; SOUS-SEGMENT'!$B$90</f>
        <v>Hébergement Touristique</v>
      </c>
      <c r="E86" s="411" t="str">
        <f>'ANALYSE - ERP =&gt; SOUS-SEGMENT'!$C$90</f>
        <v>Hébergement Touristique</v>
      </c>
      <c r="F86" s="411" t="str">
        <f>'ANALYSE - ERP =&gt; SOUS-SEGMENT'!$D$90</f>
        <v>Auberges de jeunesse</v>
      </c>
      <c r="H86" s="458">
        <f>'ANALYSE - ERP =&gt; SOUS-SEGMENT'!$BG$90*'ANALYSE - ERP =&gt; SOUS-SEGMENT'!$JI$90</f>
        <v>3.0305</v>
      </c>
      <c r="I86" s="458">
        <f>'ANALYSE - ERP =&gt; SOUS-SEGMENT'!$BG$90*'ANALYSE - ERP =&gt; SOUS-SEGMENT'!$JJ$90</f>
        <v>63.698500000000003</v>
      </c>
      <c r="J86" s="458">
        <f>'ANALYSE - ERP =&gt; SOUS-SEGMENT'!$BG$90*'ANALYSE - ERP =&gt; SOUS-SEGMENT'!$JK$90</f>
        <v>63.191000000000003</v>
      </c>
      <c r="K86" s="458">
        <f>'ANALYSE - ERP =&gt; SOUS-SEGMENT'!$BG$90*'ANALYSE - ERP =&gt; SOUS-SEGMENT'!$JL$90</f>
        <v>14.413</v>
      </c>
      <c r="L86" s="458">
        <f>'ANALYSE - ERP =&gt; SOUS-SEGMENT'!$BG$90*'ANALYSE - ERP =&gt; SOUS-SEGMENT'!$JM$90</f>
        <v>0.66700000000000004</v>
      </c>
      <c r="N86" s="458">
        <f>'ANALYSE - ERP =&gt; SOUS-SEGMENT'!$FG$90*'ANALYSE - ERP =&gt; SOUS-SEGMENT'!$JN$90</f>
        <v>0</v>
      </c>
      <c r="O86" s="458">
        <f>'ANALYSE - ERP =&gt; SOUS-SEGMENT'!$FG$90*'ANALYSE - ERP =&gt; SOUS-SEGMENT'!$JO$90</f>
        <v>27.3651525324</v>
      </c>
      <c r="P86" s="458">
        <f>'ANALYSE - ERP =&gt; SOUS-SEGMENT'!$FG$90*'ANALYSE - ERP =&gt; SOUS-SEGMENT'!$JP$90</f>
        <v>31.143859563599996</v>
      </c>
      <c r="Q86" s="458">
        <f>'ANALYSE - ERP =&gt; SOUS-SEGMENT'!$FG$90*'ANALYSE - ERP =&gt; SOUS-SEGMENT'!$JQ$90</f>
        <v>8.4987048819999984</v>
      </c>
      <c r="R86" s="458">
        <f>'ANALYSE - ERP =&gt; SOUS-SEGMENT'!$FG$90*'ANALYSE - ERP =&gt; SOUS-SEGMENT'!$JR$90</f>
        <v>0.71104702199999992</v>
      </c>
      <c r="T86" s="430">
        <f>'ANALYSE - ERP =&gt; SOUS-SEGMENT'!$Q$90</f>
        <v>1</v>
      </c>
    </row>
    <row r="87" spans="1:20" ht="15" customHeight="1">
      <c r="A87" s="26">
        <v>84</v>
      </c>
      <c r="B87" s="26">
        <v>84</v>
      </c>
      <c r="C87" s="422">
        <f>'ANALYSE - ERP =&gt; SOUS-SEGMENT'!$A$92</f>
        <v>85</v>
      </c>
      <c r="D87" s="415" t="str">
        <f>'ANALYSE - ERP =&gt; SOUS-SEGMENT'!$B$92</f>
        <v>Hébergement Touristique</v>
      </c>
      <c r="E87" s="415" t="str">
        <f>'ANALYSE - ERP =&gt; SOUS-SEGMENT'!$C$92</f>
        <v>Hébergement Montagne</v>
      </c>
      <c r="F87" s="415" t="str">
        <f>'ANALYSE - ERP =&gt; SOUS-SEGMENT'!$D$92</f>
        <v>Hôtels-restaurants d’altitude</v>
      </c>
      <c r="H87" s="458">
        <f>'ANALYSE - ERP =&gt; SOUS-SEGMENT'!$BG$92*'ANALYSE - ERP =&gt; SOUS-SEGMENT'!$JI$92</f>
        <v>0</v>
      </c>
      <c r="I87" s="458">
        <f>'ANALYSE - ERP =&gt; SOUS-SEGMENT'!$BG$92*'ANALYSE - ERP =&gt; SOUS-SEGMENT'!$JJ$92</f>
        <v>8.16</v>
      </c>
      <c r="J87" s="458">
        <f>'ANALYSE - ERP =&gt; SOUS-SEGMENT'!$BG$92*'ANALYSE - ERP =&gt; SOUS-SEGMENT'!$JK$92</f>
        <v>160.88</v>
      </c>
      <c r="K87" s="458">
        <f>'ANALYSE - ERP =&gt; SOUS-SEGMENT'!$BG$92*'ANALYSE - ERP =&gt; SOUS-SEGMENT'!$JL$92</f>
        <v>181.92</v>
      </c>
      <c r="L87" s="458">
        <f>'ANALYSE - ERP =&gt; SOUS-SEGMENT'!$BG$92*'ANALYSE - ERP =&gt; SOUS-SEGMENT'!$JM$92</f>
        <v>49.04</v>
      </c>
      <c r="N87" s="458">
        <f>'ANALYSE - ERP =&gt; SOUS-SEGMENT'!$FG$92*'ANALYSE - ERP =&gt; SOUS-SEGMENT'!$JN$92</f>
        <v>0</v>
      </c>
      <c r="O87" s="458">
        <f>'ANALYSE - ERP =&gt; SOUS-SEGMENT'!$FG$92*'ANALYSE - ERP =&gt; SOUS-SEGMENT'!$JO$92</f>
        <v>0</v>
      </c>
      <c r="P87" s="458">
        <f>'ANALYSE - ERP =&gt; SOUS-SEGMENT'!$FG$92*'ANALYSE - ERP =&gt; SOUS-SEGMENT'!$JP$92</f>
        <v>57.425471735909085</v>
      </c>
      <c r="Q87" s="458">
        <f>'ANALYSE - ERP =&gt; SOUS-SEGMENT'!$FG$92*'ANALYSE - ERP =&gt; SOUS-SEGMENT'!$JQ$92</f>
        <v>97.69535154257575</v>
      </c>
      <c r="R87" s="458">
        <f>'ANALYSE - ERP =&gt; SOUS-SEGMENT'!$FG$92*'ANALYSE - ERP =&gt; SOUS-SEGMENT'!$JR$92</f>
        <v>39.607802479090907</v>
      </c>
      <c r="T87" s="430">
        <f>'ANALYSE - ERP =&gt; SOUS-SEGMENT'!$Q$92</f>
        <v>1</v>
      </c>
    </row>
    <row r="88" spans="1:20" ht="15" customHeight="1">
      <c r="A88" s="26">
        <v>85</v>
      </c>
      <c r="B88" s="26">
        <v>85</v>
      </c>
      <c r="C88" s="422">
        <f>'ANALYSE - ERP =&gt; SOUS-SEGMENT'!$A$149</f>
        <v>142</v>
      </c>
      <c r="D88" s="417" t="str">
        <f>'ANALYSE - ERP =&gt; SOUS-SEGMENT'!$B$149</f>
        <v>Sécurité &amp; Justice</v>
      </c>
      <c r="E88" s="417" t="str">
        <f>'ANALYSE - ERP =&gt; SOUS-SEGMENT'!$C$149</f>
        <v>Tribunaux</v>
      </c>
      <c r="F88" s="417" t="str">
        <f>'ANALYSE - ERP =&gt; SOUS-SEGMENT'!$D$149</f>
        <v>Conseils de prud’hommes autonomes</v>
      </c>
      <c r="H88" s="458">
        <f>'ANALYSE - ERP =&gt; SOUS-SEGMENT'!$BG$149*'ANALYSE - ERP =&gt; SOUS-SEGMENT'!$JI$149</f>
        <v>9.3050999999999995</v>
      </c>
      <c r="I88" s="458">
        <f>'ANALYSE - ERP =&gt; SOUS-SEGMENT'!$BG$149*'ANALYSE - ERP =&gt; SOUS-SEGMENT'!$JJ$149</f>
        <v>88.408999999999992</v>
      </c>
      <c r="J88" s="458">
        <f>'ANALYSE - ERP =&gt; SOUS-SEGMENT'!$BG$149*'ANALYSE - ERP =&gt; SOUS-SEGMENT'!$JK$149</f>
        <v>94.190400000000011</v>
      </c>
      <c r="K88" s="458">
        <f>'ANALYSE - ERP =&gt; SOUS-SEGMENT'!$BG$149*'ANALYSE - ERP =&gt; SOUS-SEGMENT'!$JL$149</f>
        <v>18.821200000000001</v>
      </c>
      <c r="L88" s="458">
        <f>'ANALYSE - ERP =&gt; SOUS-SEGMENT'!$BG$149*'ANALYSE - ERP =&gt; SOUS-SEGMENT'!$JM$149</f>
        <v>0.27429999999999999</v>
      </c>
      <c r="N88" s="458">
        <f>'ANALYSE - ERP =&gt; SOUS-SEGMENT'!$FG$149*'ANALYSE - ERP =&gt; SOUS-SEGMENT'!$JN$149</f>
        <v>1.3768414764755244</v>
      </c>
      <c r="O88" s="458">
        <f>'ANALYSE - ERP =&gt; SOUS-SEGMENT'!$FG$149*'ANALYSE - ERP =&gt; SOUS-SEGMENT'!$JO$149</f>
        <v>26.050178610125872</v>
      </c>
      <c r="P88" s="458">
        <f>'ANALYSE - ERP =&gt; SOUS-SEGMENT'!$FG$149*'ANALYSE - ERP =&gt; SOUS-SEGMENT'!$JP$149</f>
        <v>42.910151536783218</v>
      </c>
      <c r="Q88" s="458">
        <f>'ANALYSE - ERP =&gt; SOUS-SEGMENT'!$FG$149*'ANALYSE - ERP =&gt; SOUS-SEGMENT'!$JQ$149</f>
        <v>13.548795878937062</v>
      </c>
      <c r="R88" s="458">
        <f>'ANALYSE - ERP =&gt; SOUS-SEGMENT'!$FG$149*'ANALYSE - ERP =&gt; SOUS-SEGMENT'!$JR$149</f>
        <v>0.58283473544055941</v>
      </c>
      <c r="T88" s="430">
        <f>'ANALYSE - ERP =&gt; SOUS-SEGMENT'!$Q$149</f>
        <v>1</v>
      </c>
    </row>
    <row r="89" spans="1:20" ht="15" customHeight="1">
      <c r="A89" s="26">
        <v>86</v>
      </c>
      <c r="B89" s="26">
        <v>86</v>
      </c>
      <c r="C89" s="422">
        <f>'ANALYSE - ERP =&gt; SOUS-SEGMENT'!$A$43</f>
        <v>36</v>
      </c>
      <c r="D89" s="411" t="str">
        <f>'ANALYSE - ERP =&gt; SOUS-SEGMENT'!$B$43</f>
        <v>Santé &amp; Médico-social</v>
      </c>
      <c r="E89" s="411" t="str">
        <f>'ANALYSE - ERP =&gt; SOUS-SEGMENT'!$C$43</f>
        <v>Santé hospitalière</v>
      </c>
      <c r="F89" s="411" t="str">
        <f>'ANALYSE - ERP =&gt; SOUS-SEGMENT'!$D$43</f>
        <v>Hôpitaux universitaires / CHU</v>
      </c>
      <c r="H89" s="458">
        <f>'ANALYSE - ERP =&gt; SOUS-SEGMENT'!$BG$43*'ANALYSE - ERP =&gt; SOUS-SEGMENT'!$JI$43</f>
        <v>2.1581999999999999</v>
      </c>
      <c r="I89" s="458">
        <f>'ANALYSE - ERP =&gt; SOUS-SEGMENT'!$BG$43*'ANALYSE - ERP =&gt; SOUS-SEGMENT'!$JJ$43</f>
        <v>75.873599999999996</v>
      </c>
      <c r="J89" s="458">
        <f>'ANALYSE - ERP =&gt; SOUS-SEGMENT'!$BG$43*'ANALYSE - ERP =&gt; SOUS-SEGMENT'!$JK$43</f>
        <v>105.3954</v>
      </c>
      <c r="K89" s="458">
        <f>'ANALYSE - ERP =&gt; SOUS-SEGMENT'!$BG$43*'ANALYSE - ERP =&gt; SOUS-SEGMENT'!$JL$43</f>
        <v>14.572799999999999</v>
      </c>
      <c r="L89" s="458">
        <f>'ANALYSE - ERP =&gt; SOUS-SEGMENT'!$BG$43*'ANALYSE - ERP =&gt; SOUS-SEGMENT'!$JM$43</f>
        <v>0</v>
      </c>
      <c r="N89" s="458">
        <f>'ANALYSE - ERP =&gt; SOUS-SEGMENT'!$FG$43*'ANALYSE - ERP =&gt; SOUS-SEGMENT'!$JN$43</f>
        <v>0</v>
      </c>
      <c r="O89" s="458">
        <f>'ANALYSE - ERP =&gt; SOUS-SEGMENT'!$FG$43*'ANALYSE - ERP =&gt; SOUS-SEGMENT'!$JO$43</f>
        <v>23.622192720000001</v>
      </c>
      <c r="P89" s="458">
        <f>'ANALYSE - ERP =&gt; SOUS-SEGMENT'!$FG$43*'ANALYSE - ERP =&gt; SOUS-SEGMENT'!$JP$43</f>
        <v>62.407976399999995</v>
      </c>
      <c r="Q89" s="458">
        <f>'ANALYSE - ERP =&gt; SOUS-SEGMENT'!$FG$43*'ANALYSE - ERP =&gt; SOUS-SEGMENT'!$JQ$43</f>
        <v>17.123510880000001</v>
      </c>
      <c r="R89" s="458">
        <f>'ANALYSE - ERP =&gt; SOUS-SEGMENT'!$FG$43*'ANALYSE - ERP =&gt; SOUS-SEGMENT'!$JR$43</f>
        <v>0</v>
      </c>
      <c r="T89" s="430">
        <f>'ANALYSE - ERP =&gt; SOUS-SEGMENT'!$Q$43</f>
        <v>1</v>
      </c>
    </row>
    <row r="90" spans="1:20" ht="15" customHeight="1">
      <c r="A90" s="26">
        <v>87</v>
      </c>
      <c r="B90" s="26">
        <v>87</v>
      </c>
      <c r="C90" s="422" t="e">
        <f>'ANALYSE - ERP =&gt; SOUS-SEGMENT'!#REF!</f>
        <v>#REF!</v>
      </c>
      <c r="D90" s="415" t="e">
        <f>'ANALYSE - ERP =&gt; SOUS-SEGMENT'!#REF!</f>
        <v>#REF!</v>
      </c>
      <c r="E90" s="415" t="e">
        <f>'ANALYSE - ERP =&gt; SOUS-SEGMENT'!#REF!</f>
        <v>#REF!</v>
      </c>
      <c r="F90" s="415" t="e">
        <f>'ANALYSE - ERP =&gt; SOUS-SEGMENT'!#REF!</f>
        <v>#REF!</v>
      </c>
      <c r="H90" s="458" t="e">
        <f>'ANALYSE - ERP =&gt; SOUS-SEGMENT'!#REF!*'ANALYSE - ERP =&gt; SOUS-SEGMENT'!#REF!</f>
        <v>#REF!</v>
      </c>
      <c r="I90" s="458" t="e">
        <f>'ANALYSE - ERP =&gt; SOUS-SEGMENT'!#REF!*'ANALYSE - ERP =&gt; SOUS-SEGMENT'!#REF!</f>
        <v>#REF!</v>
      </c>
      <c r="J90" s="458" t="e">
        <f>'ANALYSE - ERP =&gt; SOUS-SEGMENT'!#REF!*'ANALYSE - ERP =&gt; SOUS-SEGMENT'!#REF!</f>
        <v>#REF!</v>
      </c>
      <c r="K90" s="458" t="e">
        <f>'ANALYSE - ERP =&gt; SOUS-SEGMENT'!#REF!*'ANALYSE - ERP =&gt; SOUS-SEGMENT'!#REF!</f>
        <v>#REF!</v>
      </c>
      <c r="L90" s="458" t="e">
        <f>'ANALYSE - ERP =&gt; SOUS-SEGMENT'!#REF!*'ANALYSE - ERP =&gt; SOUS-SEGMENT'!#REF!</f>
        <v>#REF!</v>
      </c>
      <c r="N90" s="458" t="e">
        <f>'ANALYSE - ERP =&gt; SOUS-SEGMENT'!#REF!*'ANALYSE - ERP =&gt; SOUS-SEGMENT'!#REF!</f>
        <v>#REF!</v>
      </c>
      <c r="O90" s="458" t="e">
        <f>'ANALYSE - ERP =&gt; SOUS-SEGMENT'!#REF!*'ANALYSE - ERP =&gt; SOUS-SEGMENT'!#REF!</f>
        <v>#REF!</v>
      </c>
      <c r="P90" s="458" t="e">
        <f>'ANALYSE - ERP =&gt; SOUS-SEGMENT'!#REF!*'ANALYSE - ERP =&gt; SOUS-SEGMENT'!#REF!</f>
        <v>#REF!</v>
      </c>
      <c r="Q90" s="458" t="e">
        <f>'ANALYSE - ERP =&gt; SOUS-SEGMENT'!#REF!*'ANALYSE - ERP =&gt; SOUS-SEGMENT'!#REF!</f>
        <v>#REF!</v>
      </c>
      <c r="R90" s="458" t="e">
        <f>'ANALYSE - ERP =&gt; SOUS-SEGMENT'!#REF!*'ANALYSE - ERP =&gt; SOUS-SEGMENT'!#REF!</f>
        <v>#REF!</v>
      </c>
      <c r="T90" s="430" t="e">
        <f>'ANALYSE - ERP =&gt; SOUS-SEGMENT'!#REF!</f>
        <v>#REF!</v>
      </c>
    </row>
    <row r="91" spans="1:20" ht="15" customHeight="1">
      <c r="A91" s="26">
        <v>88</v>
      </c>
      <c r="B91" s="26">
        <v>89</v>
      </c>
      <c r="C91" s="422">
        <f>'ANALYSE - ERP =&gt; SOUS-SEGMENT'!$A$147</f>
        <v>140</v>
      </c>
      <c r="D91" s="415" t="str">
        <f>'ANALYSE - ERP =&gt; SOUS-SEGMENT'!$B$147</f>
        <v>Sécurité &amp; Justice</v>
      </c>
      <c r="E91" s="415" t="str">
        <f>'ANALYSE - ERP =&gt; SOUS-SEGMENT'!$C$147</f>
        <v>Tribunaux</v>
      </c>
      <c r="F91" s="415" t="str">
        <f>'ANALYSE - ERP =&gt; SOUS-SEGMENT'!$D$147</f>
        <v>Maisons de justice et du droit</v>
      </c>
      <c r="H91" s="458">
        <f>'ANALYSE - ERP =&gt; SOUS-SEGMENT'!$BG$147*'ANALYSE - ERP =&gt; SOUS-SEGMENT'!$JI$147</f>
        <v>3.9450000000000003</v>
      </c>
      <c r="I91" s="458">
        <f>'ANALYSE - ERP =&gt; SOUS-SEGMENT'!$BG$147*'ANALYSE - ERP =&gt; SOUS-SEGMENT'!$JJ$147</f>
        <v>32.564999999999998</v>
      </c>
      <c r="J91" s="458">
        <f>'ANALYSE - ERP =&gt; SOUS-SEGMENT'!$BG$147*'ANALYSE - ERP =&gt; SOUS-SEGMENT'!$JK$147</f>
        <v>32.212499999999999</v>
      </c>
      <c r="K91" s="458">
        <f>'ANALYSE - ERP =&gt; SOUS-SEGMENT'!$BG$147*'ANALYSE - ERP =&gt; SOUS-SEGMENT'!$JL$147</f>
        <v>6.1950000000000003</v>
      </c>
      <c r="L91" s="458">
        <f>'ANALYSE - ERP =&gt; SOUS-SEGMENT'!$BG$147*'ANALYSE - ERP =&gt; SOUS-SEGMENT'!$JM$147</f>
        <v>8.2500000000000004E-2</v>
      </c>
      <c r="N91" s="458">
        <f>'ANALYSE - ERP =&gt; SOUS-SEGMENT'!$FG$147*'ANALYSE - ERP =&gt; SOUS-SEGMENT'!$JN$147</f>
        <v>0.50397570865384611</v>
      </c>
      <c r="O91" s="458">
        <f>'ANALYSE - ERP =&gt; SOUS-SEGMENT'!$FG$147*'ANALYSE - ERP =&gt; SOUS-SEGMENT'!$JO$147</f>
        <v>9.435036145646853</v>
      </c>
      <c r="P91" s="458">
        <f>'ANALYSE - ERP =&gt; SOUS-SEGMENT'!$FG$147*'ANALYSE - ERP =&gt; SOUS-SEGMENT'!$JP$147</f>
        <v>15.504125437132867</v>
      </c>
      <c r="Q91" s="458">
        <f>'ANALYSE - ERP =&gt; SOUS-SEGMENT'!$FG$147*'ANALYSE - ERP =&gt; SOUS-SEGMENT'!$JQ$147</f>
        <v>4.8900915730594399</v>
      </c>
      <c r="R91" s="458">
        <f>'ANALYSE - ERP =&gt; SOUS-SEGMENT'!$FG$147*'ANALYSE - ERP =&gt; SOUS-SEGMENT'!$JR$147</f>
        <v>0.21075347816433565</v>
      </c>
      <c r="T91" s="430">
        <f>'ANALYSE - ERP =&gt; SOUS-SEGMENT'!$Q$147</f>
        <v>1</v>
      </c>
    </row>
    <row r="92" spans="1:20" ht="15" customHeight="1">
      <c r="A92" s="26">
        <v>89</v>
      </c>
      <c r="B92" s="26">
        <v>88</v>
      </c>
      <c r="C92" s="422">
        <f>'ANALYSE - ERP =&gt; SOUS-SEGMENT'!$A$139</f>
        <v>132</v>
      </c>
      <c r="D92" s="415" t="str">
        <f>'ANALYSE - ERP =&gt; SOUS-SEGMENT'!$B$139</f>
        <v>Sécurité &amp; Justice</v>
      </c>
      <c r="E92" s="415" t="str">
        <f>'ANALYSE - ERP =&gt; SOUS-SEGMENT'!$C$139</f>
        <v>Univers carcéral</v>
      </c>
      <c r="F92" s="415" t="str">
        <f>'ANALYSE - ERP =&gt; SOUS-SEGMENT'!$D$139</f>
        <v>Maisons d’arrêt</v>
      </c>
      <c r="H92" s="458">
        <f>'ANALYSE - ERP =&gt; SOUS-SEGMENT'!$BG$139*'ANALYSE - ERP =&gt; SOUS-SEGMENT'!$JI$139</f>
        <v>51.871399999999994</v>
      </c>
      <c r="I92" s="458">
        <f>'ANALYSE - ERP =&gt; SOUS-SEGMENT'!$BG$139*'ANALYSE - ERP =&gt; SOUS-SEGMENT'!$JJ$139</f>
        <v>96.885599999999997</v>
      </c>
      <c r="J92" s="458">
        <f>'ANALYSE - ERP =&gt; SOUS-SEGMENT'!$BG$139*'ANALYSE - ERP =&gt; SOUS-SEGMENT'!$JK$139</f>
        <v>9.2430000000000003</v>
      </c>
      <c r="K92" s="458">
        <f>'ANALYSE - ERP =&gt; SOUS-SEGMENT'!$BG$139*'ANALYSE - ERP =&gt; SOUS-SEGMENT'!$JL$139</f>
        <v>0</v>
      </c>
      <c r="L92" s="458">
        <f>'ANALYSE - ERP =&gt; SOUS-SEGMENT'!$BG$139*'ANALYSE - ERP =&gt; SOUS-SEGMENT'!$JM$139</f>
        <v>0</v>
      </c>
      <c r="N92" s="458">
        <f>'ANALYSE - ERP =&gt; SOUS-SEGMENT'!$FG$139*'ANALYSE - ERP =&gt; SOUS-SEGMENT'!$JN$139</f>
        <v>19.206955434454546</v>
      </c>
      <c r="O92" s="458">
        <f>'ANALYSE - ERP =&gt; SOUS-SEGMENT'!$FG$139*'ANALYSE - ERP =&gt; SOUS-SEGMENT'!$JO$139</f>
        <v>57.811754170909097</v>
      </c>
      <c r="P92" s="458">
        <f>'ANALYSE - ERP =&gt; SOUS-SEGMENT'!$FG$139*'ANALYSE - ERP =&gt; SOUS-SEGMENT'!$JP$139</f>
        <v>13.88027494009091</v>
      </c>
      <c r="Q92" s="458">
        <f>'ANALYSE - ERP =&gt; SOUS-SEGMENT'!$FG$139*'ANALYSE - ERP =&gt; SOUS-SEGMENT'!$JQ$139</f>
        <v>0</v>
      </c>
      <c r="R92" s="458">
        <f>'ANALYSE - ERP =&gt; SOUS-SEGMENT'!$FG$139*'ANALYSE - ERP =&gt; SOUS-SEGMENT'!$JR$139</f>
        <v>0</v>
      </c>
      <c r="T92" s="430">
        <f>'ANALYSE - ERP =&gt; SOUS-SEGMENT'!$Q$139</f>
        <v>1</v>
      </c>
    </row>
    <row r="93" spans="1:20" ht="15" customHeight="1">
      <c r="A93" s="26">
        <v>90</v>
      </c>
      <c r="B93" s="26">
        <v>90</v>
      </c>
      <c r="C93" s="422">
        <f>'ANALYSE - ERP =&gt; SOUS-SEGMENT'!$A$148</f>
        <v>141</v>
      </c>
      <c r="D93" s="416" t="str">
        <f>'ANALYSE - ERP =&gt; SOUS-SEGMENT'!$B$148</f>
        <v>Sécurité &amp; Justice</v>
      </c>
      <c r="E93" s="416" t="str">
        <f>'ANALYSE - ERP =&gt; SOUS-SEGMENT'!$C$148</f>
        <v>Tribunaux</v>
      </c>
      <c r="F93" s="416" t="str">
        <f>'ANALYSE - ERP =&gt; SOUS-SEGMENT'!$D$148</f>
        <v>Tribunaux de commerce autonomes</v>
      </c>
      <c r="H93" s="458">
        <f>'ANALYSE - ERP =&gt; SOUS-SEGMENT'!$BG$148*'ANALYSE - ERP =&gt; SOUS-SEGMENT'!$JI$148</f>
        <v>5.3733999999999993</v>
      </c>
      <c r="I93" s="458">
        <f>'ANALYSE - ERP =&gt; SOUS-SEGMENT'!$BG$148*'ANALYSE - ERP =&gt; SOUS-SEGMENT'!$JJ$148</f>
        <v>55.073999999999998</v>
      </c>
      <c r="J93" s="458">
        <f>'ANALYSE - ERP =&gt; SOUS-SEGMENT'!$BG$148*'ANALYSE - ERP =&gt; SOUS-SEGMENT'!$JK$148</f>
        <v>60.956600000000002</v>
      </c>
      <c r="K93" s="458">
        <f>'ANALYSE - ERP =&gt; SOUS-SEGMENT'!$BG$148*'ANALYSE - ERP =&gt; SOUS-SEGMENT'!$JL$148</f>
        <v>12.4084</v>
      </c>
      <c r="L93" s="458">
        <f>'ANALYSE - ERP =&gt; SOUS-SEGMENT'!$BG$148*'ANALYSE - ERP =&gt; SOUS-SEGMENT'!$JM$148</f>
        <v>0.18759999999999999</v>
      </c>
      <c r="N93" s="458">
        <f>'ANALYSE - ERP =&gt; SOUS-SEGMENT'!$FG$148*'ANALYSE - ERP =&gt; SOUS-SEGMENT'!$JN$148</f>
        <v>0.74433088999300689</v>
      </c>
      <c r="O93" s="458">
        <f>'ANALYSE - ERP =&gt; SOUS-SEGMENT'!$FG$148*'ANALYSE - ERP =&gt; SOUS-SEGMENT'!$JO$148</f>
        <v>16.208074814702794</v>
      </c>
      <c r="P93" s="458">
        <f>'ANALYSE - ERP =&gt; SOUS-SEGMENT'!$FG$148*'ANALYSE - ERP =&gt; SOUS-SEGMENT'!$JP$148</f>
        <v>27.631935865465028</v>
      </c>
      <c r="Q93" s="458">
        <f>'ANALYSE - ERP =&gt; SOUS-SEGMENT'!$FG$148*'ANALYSE - ERP =&gt; SOUS-SEGMENT'!$JQ$148</f>
        <v>8.9535454883216765</v>
      </c>
      <c r="R93" s="458">
        <f>'ANALYSE - ERP =&gt; SOUS-SEGMENT'!$FG$148*'ANALYSE - ERP =&gt; SOUS-SEGMENT'!$JR$148</f>
        <v>0.39913395550349645</v>
      </c>
      <c r="T93" s="430">
        <f>'ANALYSE - ERP =&gt; SOUS-SEGMENT'!$Q$148</f>
        <v>1</v>
      </c>
    </row>
    <row r="94" spans="1:20" ht="15" customHeight="1">
      <c r="A94" s="26">
        <v>91</v>
      </c>
      <c r="B94" s="26">
        <v>91</v>
      </c>
      <c r="C94" s="422">
        <f>'ANALYSE - ERP =&gt; SOUS-SEGMENT'!$A$136</f>
        <v>129</v>
      </c>
      <c r="D94" s="412" t="str">
        <f>'ANALYSE - ERP =&gt; SOUS-SEGMENT'!$B$136</f>
        <v>Sécurité &amp; Justice</v>
      </c>
      <c r="E94" s="412" t="str">
        <f>'ANALYSE - ERP =&gt; SOUS-SEGMENT'!$C$136</f>
        <v>Forces armées</v>
      </c>
      <c r="F94" s="412" t="str">
        <f>'ANALYSE - ERP =&gt; SOUS-SEGMENT'!$D$136</f>
        <v>Centres de recrutement et bureaux d’information</v>
      </c>
      <c r="H94" s="458">
        <f>'ANALYSE - ERP =&gt; SOUS-SEGMENT'!$BG$136*'ANALYSE - ERP =&gt; SOUS-SEGMENT'!$JI$136</f>
        <v>2.36</v>
      </c>
      <c r="I94" s="458">
        <f>'ANALYSE - ERP =&gt; SOUS-SEGMENT'!$BG$136*'ANALYSE - ERP =&gt; SOUS-SEGMENT'!$JJ$136</f>
        <v>23.84</v>
      </c>
      <c r="J94" s="458">
        <f>'ANALYSE - ERP =&gt; SOUS-SEGMENT'!$BG$136*'ANALYSE - ERP =&gt; SOUS-SEGMENT'!$JK$136</f>
        <v>20.625</v>
      </c>
      <c r="K94" s="458">
        <f>'ANALYSE - ERP =&gt; SOUS-SEGMENT'!$BG$136*'ANALYSE - ERP =&gt; SOUS-SEGMENT'!$JL$136</f>
        <v>3.16</v>
      </c>
      <c r="L94" s="458">
        <f>'ANALYSE - ERP =&gt; SOUS-SEGMENT'!$BG$136*'ANALYSE - ERP =&gt; SOUS-SEGMENT'!$JM$136</f>
        <v>1.4999999999999999E-2</v>
      </c>
      <c r="N94" s="458">
        <f>'ANALYSE - ERP =&gt; SOUS-SEGMENT'!$FG$136*'ANALYSE - ERP =&gt; SOUS-SEGMENT'!$JN$136</f>
        <v>0.22292911776000002</v>
      </c>
      <c r="O94" s="458">
        <f>'ANALYSE - ERP =&gt; SOUS-SEGMENT'!$FG$136*'ANALYSE - ERP =&gt; SOUS-SEGMENT'!$JO$136</f>
        <v>7.6097783218700012</v>
      </c>
      <c r="P94" s="458">
        <f>'ANALYSE - ERP =&gt; SOUS-SEGMENT'!$FG$136*'ANALYSE - ERP =&gt; SOUS-SEGMENT'!$JP$136</f>
        <v>12.182147414260001</v>
      </c>
      <c r="Q94" s="458">
        <f>'ANALYSE - ERP =&gt; SOUS-SEGMENT'!$FG$136*'ANALYSE - ERP =&gt; SOUS-SEGMENT'!$JQ$136</f>
        <v>3.1279741835700001</v>
      </c>
      <c r="R94" s="458">
        <f>'ANALYSE - ERP =&gt; SOUS-SEGMENT'!$FG$136*'ANALYSE - ERP =&gt; SOUS-SEGMENT'!$JR$136</f>
        <v>7.8954062540000008E-2</v>
      </c>
      <c r="T94" s="430">
        <f>'ANALYSE - ERP =&gt; SOUS-SEGMENT'!$Q$136</f>
        <v>1</v>
      </c>
    </row>
    <row r="95" spans="1:20" ht="15" customHeight="1">
      <c r="A95" s="26">
        <v>92</v>
      </c>
      <c r="B95" s="26">
        <v>92</v>
      </c>
      <c r="C95" s="422">
        <f>'ANALYSE - ERP =&gt; SOUS-SEGMENT'!$A$134</f>
        <v>127</v>
      </c>
      <c r="D95" s="417" t="str">
        <f>'ANALYSE - ERP =&gt; SOUS-SEGMENT'!$B$134</f>
        <v>Sécurité &amp; Justice</v>
      </c>
      <c r="E95" s="417" t="str">
        <f>'ANALYSE - ERP =&gt; SOUS-SEGMENT'!$C$134</f>
        <v xml:space="preserve">Commissariats / postes de police </v>
      </c>
      <c r="F95" s="417" t="str">
        <f>'ANALYSE - ERP =&gt; SOUS-SEGMENT'!$D$134</f>
        <v>Salles de réunion, de prévention ou de conférence ouvertes au public</v>
      </c>
      <c r="H95" s="458">
        <f>'ANALYSE - ERP =&gt; SOUS-SEGMENT'!$BG$134*'ANALYSE - ERP =&gt; SOUS-SEGMENT'!$JI$134</f>
        <v>6.6645000000000003</v>
      </c>
      <c r="I95" s="458">
        <f>'ANALYSE - ERP =&gt; SOUS-SEGMENT'!$BG$134*'ANALYSE - ERP =&gt; SOUS-SEGMENT'!$JJ$134</f>
        <v>26.639999999999997</v>
      </c>
      <c r="J95" s="458">
        <f>'ANALYSE - ERP =&gt; SOUS-SEGMENT'!$BG$134*'ANALYSE - ERP =&gt; SOUS-SEGMENT'!$JK$134</f>
        <v>11.695500000000001</v>
      </c>
      <c r="K95" s="458">
        <f>'ANALYSE - ERP =&gt; SOUS-SEGMENT'!$BG$134*'ANALYSE - ERP =&gt; SOUS-SEGMENT'!$JL$134</f>
        <v>0</v>
      </c>
      <c r="L95" s="458">
        <f>'ANALYSE - ERP =&gt; SOUS-SEGMENT'!$BG$134*'ANALYSE - ERP =&gt; SOUS-SEGMENT'!$JM$134</f>
        <v>0</v>
      </c>
      <c r="N95" s="458">
        <f>'ANALYSE - ERP =&gt; SOUS-SEGMENT'!$FG$134*'ANALYSE - ERP =&gt; SOUS-SEGMENT'!$JN$134</f>
        <v>1.9696062444812499</v>
      </c>
      <c r="O95" s="458">
        <f>'ANALYSE - ERP =&gt; SOUS-SEGMENT'!$FG$134*'ANALYSE - ERP =&gt; SOUS-SEGMENT'!$JO$134</f>
        <v>12.872951552534374</v>
      </c>
      <c r="P95" s="458">
        <f>'ANALYSE - ERP =&gt; SOUS-SEGMENT'!$FG$134*'ANALYSE - ERP =&gt; SOUS-SEGMENT'!$JP$134</f>
        <v>8.6610966717343754</v>
      </c>
      <c r="Q95" s="458">
        <f>'ANALYSE - ERP =&gt; SOUS-SEGMENT'!$FG$134*'ANALYSE - ERP =&gt; SOUS-SEGMENT'!$JQ$134</f>
        <v>0</v>
      </c>
      <c r="R95" s="458">
        <f>'ANALYSE - ERP =&gt; SOUS-SEGMENT'!$FG$134*'ANALYSE - ERP =&gt; SOUS-SEGMENT'!$JR$134</f>
        <v>0</v>
      </c>
      <c r="T95" s="430">
        <f>'ANALYSE - ERP =&gt; SOUS-SEGMENT'!$Q$134</f>
        <v>0</v>
      </c>
    </row>
    <row r="96" spans="1:20" ht="15" customHeight="1">
      <c r="A96" s="26">
        <v>93</v>
      </c>
      <c r="B96" s="26">
        <v>94</v>
      </c>
      <c r="C96" s="422">
        <f>'ANALYSE - ERP =&gt; SOUS-SEGMENT'!$A$144</f>
        <v>137</v>
      </c>
      <c r="D96" s="413" t="str">
        <f>'ANALYSE - ERP =&gt; SOUS-SEGMENT'!$B$144</f>
        <v>Sécurité &amp; Justice</v>
      </c>
      <c r="E96" s="413" t="str">
        <f>'ANALYSE - ERP =&gt; SOUS-SEGMENT'!$C$144</f>
        <v>Univers carcéral</v>
      </c>
      <c r="F96" s="413" t="str">
        <f>'ANALYSE - ERP =&gt; SOUS-SEGMENT'!$D$144</f>
        <v>Centres éducatifs fermés</v>
      </c>
      <c r="H96" s="458">
        <f>'ANALYSE - ERP =&gt; SOUS-SEGMENT'!$BG$144*'ANALYSE - ERP =&gt; SOUS-SEGMENT'!$JI$144</f>
        <v>6.9629999999999992</v>
      </c>
      <c r="I96" s="458">
        <f>'ANALYSE - ERP =&gt; SOUS-SEGMENT'!$BG$144*'ANALYSE - ERP =&gt; SOUS-SEGMENT'!$JJ$144</f>
        <v>31.679999999999996</v>
      </c>
      <c r="J96" s="458">
        <f>'ANALYSE - ERP =&gt; SOUS-SEGMENT'!$BG$144*'ANALYSE - ERP =&gt; SOUS-SEGMENT'!$JK$144</f>
        <v>15.532</v>
      </c>
      <c r="K96" s="458">
        <f>'ANALYSE - ERP =&gt; SOUS-SEGMENT'!$BG$144*'ANALYSE - ERP =&gt; SOUS-SEGMENT'!$JL$144</f>
        <v>0.81950000000000001</v>
      </c>
      <c r="L96" s="458">
        <f>'ANALYSE - ERP =&gt; SOUS-SEGMENT'!$BG$144*'ANALYSE - ERP =&gt; SOUS-SEGMENT'!$JM$144</f>
        <v>5.5000000000000005E-3</v>
      </c>
      <c r="N96" s="458">
        <f>'ANALYSE - ERP =&gt; SOUS-SEGMENT'!$FG$144*'ANALYSE - ERP =&gt; SOUS-SEGMENT'!$JN$144</f>
        <v>1.4638487524999999</v>
      </c>
      <c r="O96" s="458">
        <f>'ANALYSE - ERP =&gt; SOUS-SEGMENT'!$FG$144*'ANALYSE - ERP =&gt; SOUS-SEGMENT'!$JO$144</f>
        <v>17.068218885454545</v>
      </c>
      <c r="P96" s="458">
        <f>'ANALYSE - ERP =&gt; SOUS-SEGMENT'!$FG$144*'ANALYSE - ERP =&gt; SOUS-SEGMENT'!$JP$144</f>
        <v>21.446886708181815</v>
      </c>
      <c r="Q96" s="458">
        <f>'ANALYSE - ERP =&gt; SOUS-SEGMENT'!$FG$144*'ANALYSE - ERP =&gt; SOUS-SEGMENT'!$JQ$144</f>
        <v>2.9062334470454543</v>
      </c>
      <c r="R96" s="458">
        <f>'ANALYSE - ERP =&gt; SOUS-SEGMENT'!$FG$144*'ANALYSE - ERP =&gt; SOUS-SEGMENT'!$JR$144</f>
        <v>4.292811590909091E-2</v>
      </c>
      <c r="T96" s="430">
        <f>'ANALYSE - ERP =&gt; SOUS-SEGMENT'!$Q$144</f>
        <v>1</v>
      </c>
    </row>
    <row r="97" spans="1:20" ht="15" customHeight="1">
      <c r="A97" s="26">
        <v>94</v>
      </c>
      <c r="B97" s="26">
        <v>93</v>
      </c>
      <c r="C97" s="422">
        <f>'ANALYSE - ERP =&gt; SOUS-SEGMENT'!$A$133</f>
        <v>126</v>
      </c>
      <c r="D97" s="417" t="str">
        <f>'ANALYSE - ERP =&gt; SOUS-SEGMENT'!$B$133</f>
        <v>Sécurité &amp; Justice</v>
      </c>
      <c r="E97" s="417" t="str">
        <f>'ANALYSE - ERP =&gt; SOUS-SEGMENT'!$C$133</f>
        <v xml:space="preserve">Commissariats / postes de police </v>
      </c>
      <c r="F97" s="417" t="str">
        <f>'ANALYSE - ERP =&gt; SOUS-SEGMENT'!$D$133</f>
        <v>Postes de proximité et antennes avec accueil public</v>
      </c>
      <c r="H97" s="458">
        <f>'ANALYSE - ERP =&gt; SOUS-SEGMENT'!$BG$133*'ANALYSE - ERP =&gt; SOUS-SEGMENT'!$JI$133</f>
        <v>4.2762500000000001</v>
      </c>
      <c r="I97" s="458">
        <f>'ANALYSE - ERP =&gt; SOUS-SEGMENT'!$BG$133*'ANALYSE - ERP =&gt; SOUS-SEGMENT'!$JJ$133</f>
        <v>16.340499999999999</v>
      </c>
      <c r="J97" s="458">
        <f>'ANALYSE - ERP =&gt; SOUS-SEGMENT'!$BG$133*'ANALYSE - ERP =&gt; SOUS-SEGMENT'!$JK$133</f>
        <v>6.8832500000000003</v>
      </c>
      <c r="K97" s="458">
        <f>'ANALYSE - ERP =&gt; SOUS-SEGMENT'!$BG$133*'ANALYSE - ERP =&gt; SOUS-SEGMENT'!$JL$133</f>
        <v>0</v>
      </c>
      <c r="L97" s="458">
        <f>'ANALYSE - ERP =&gt; SOUS-SEGMENT'!$BG$133*'ANALYSE - ERP =&gt; SOUS-SEGMENT'!$JM$133</f>
        <v>0</v>
      </c>
      <c r="N97" s="458">
        <f>'ANALYSE - ERP =&gt; SOUS-SEGMENT'!$FG$133*'ANALYSE - ERP =&gt; SOUS-SEGMENT'!$JN$133</f>
        <v>1.4326703516124999</v>
      </c>
      <c r="O97" s="458">
        <f>'ANALYSE - ERP =&gt; SOUS-SEGMENT'!$FG$133*'ANALYSE - ERP =&gt; SOUS-SEGMENT'!$JO$133</f>
        <v>8.6802051335999995</v>
      </c>
      <c r="P97" s="458">
        <f>'ANALYSE - ERP =&gt; SOUS-SEGMENT'!$FG$133*'ANALYSE - ERP =&gt; SOUS-SEGMENT'!$JP$133</f>
        <v>5.4765733897875002</v>
      </c>
      <c r="Q97" s="458">
        <f>'ANALYSE - ERP =&gt; SOUS-SEGMENT'!$FG$133*'ANALYSE - ERP =&gt; SOUS-SEGMENT'!$JQ$133</f>
        <v>0</v>
      </c>
      <c r="R97" s="458">
        <f>'ANALYSE - ERP =&gt; SOUS-SEGMENT'!$FG$133*'ANALYSE - ERP =&gt; SOUS-SEGMENT'!$JR$133</f>
        <v>0</v>
      </c>
      <c r="T97" s="430">
        <f>'ANALYSE - ERP =&gt; SOUS-SEGMENT'!$Q$133</f>
        <v>1</v>
      </c>
    </row>
    <row r="98" spans="1:20" ht="15" customHeight="1">
      <c r="A98" s="26">
        <v>95</v>
      </c>
      <c r="B98" s="26">
        <v>96</v>
      </c>
      <c r="C98" s="422">
        <f>'ANALYSE - ERP =&gt; SOUS-SEGMENT'!$A$47</f>
        <v>40</v>
      </c>
      <c r="D98" s="418" t="str">
        <f>'ANALYSE - ERP =&gt; SOUS-SEGMENT'!$B$47</f>
        <v>Santé &amp; Médico-social</v>
      </c>
      <c r="E98" s="418" t="str">
        <f>'ANALYSE - ERP =&gt; SOUS-SEGMENT'!$C$47</f>
        <v>Santé hospitalière</v>
      </c>
      <c r="F98" s="418" t="str">
        <f>'ANALYSE - ERP =&gt; SOUS-SEGMENT'!$D$47</f>
        <v>Hôpitaux d’instruction des armées et centres médicaux recevant du public</v>
      </c>
      <c r="H98" s="458">
        <f>'ANALYSE - ERP =&gt; SOUS-SEGMENT'!$BG$47*'ANALYSE - ERP =&gt; SOUS-SEGMENT'!$JI$47</f>
        <v>2.2176</v>
      </c>
      <c r="I98" s="458">
        <f>'ANALYSE - ERP =&gt; SOUS-SEGMENT'!$BG$47*'ANALYSE - ERP =&gt; SOUS-SEGMENT'!$JJ$47</f>
        <v>20.2944</v>
      </c>
      <c r="J98" s="458">
        <f>'ANALYSE - ERP =&gt; SOUS-SEGMENT'!$BG$47*'ANALYSE - ERP =&gt; SOUS-SEGMENT'!$JK$47</f>
        <v>21.230400000000003</v>
      </c>
      <c r="K98" s="458">
        <f>'ANALYSE - ERP =&gt; SOUS-SEGMENT'!$BG$47*'ANALYSE - ERP =&gt; SOUS-SEGMENT'!$JL$47</f>
        <v>4.1999999999999993</v>
      </c>
      <c r="L98" s="458">
        <f>'ANALYSE - ERP =&gt; SOUS-SEGMENT'!$BG$47*'ANALYSE - ERP =&gt; SOUS-SEGMENT'!$JM$47</f>
        <v>5.7599999999999998E-2</v>
      </c>
      <c r="N98" s="458">
        <f>'ANALYSE - ERP =&gt; SOUS-SEGMENT'!$FG$47*'ANALYSE - ERP =&gt; SOUS-SEGMENT'!$JN$47</f>
        <v>5.5698374159999994E-2</v>
      </c>
      <c r="O98" s="458">
        <f>'ANALYSE - ERP =&gt; SOUS-SEGMENT'!$FG$47*'ANALYSE - ERP =&gt; SOUS-SEGMENT'!$JO$47</f>
        <v>6.4245932348399997</v>
      </c>
      <c r="P98" s="458">
        <f>'ANALYSE - ERP =&gt; SOUS-SEGMENT'!$FG$47*'ANALYSE - ERP =&gt; SOUS-SEGMENT'!$JP$47</f>
        <v>11.602399786559999</v>
      </c>
      <c r="Q98" s="458">
        <f>'ANALYSE - ERP =&gt; SOUS-SEGMENT'!$FG$47*'ANALYSE - ERP =&gt; SOUS-SEGMENT'!$JQ$47</f>
        <v>3.2455014173999999</v>
      </c>
      <c r="R98" s="458">
        <f>'ANALYSE - ERP =&gt; SOUS-SEGMENT'!$FG$47*'ANALYSE - ERP =&gt; SOUS-SEGMENT'!$JR$47</f>
        <v>9.425878704E-2</v>
      </c>
      <c r="T98" s="430">
        <f>'ANALYSE - ERP =&gt; SOUS-SEGMENT'!$Q$47</f>
        <v>1</v>
      </c>
    </row>
    <row r="99" spans="1:20" ht="15" customHeight="1">
      <c r="A99" s="26">
        <v>96</v>
      </c>
      <c r="B99" s="26">
        <v>95</v>
      </c>
      <c r="C99" s="422">
        <f>'ANALYSE - ERP =&gt; SOUS-SEGMENT'!$A$140</f>
        <v>133</v>
      </c>
      <c r="D99" s="417" t="str">
        <f>'ANALYSE - ERP =&gt; SOUS-SEGMENT'!$B$140</f>
        <v>Sécurité &amp; Justice</v>
      </c>
      <c r="E99" s="417" t="str">
        <f>'ANALYSE - ERP =&gt; SOUS-SEGMENT'!$C$140</f>
        <v>Univers carcéral</v>
      </c>
      <c r="F99" s="417" t="str">
        <f>'ANALYSE - ERP =&gt; SOUS-SEGMENT'!$D$140</f>
        <v>Centres de détention</v>
      </c>
      <c r="H99" s="458">
        <f>'ANALYSE - ERP =&gt; SOUS-SEGMENT'!$BG$140*'ANALYSE - ERP =&gt; SOUS-SEGMENT'!$JI$140</f>
        <v>17.055</v>
      </c>
      <c r="I99" s="458">
        <f>'ANALYSE - ERP =&gt; SOUS-SEGMENT'!$BG$140*'ANALYSE - ERP =&gt; SOUS-SEGMENT'!$JJ$140</f>
        <v>28.99</v>
      </c>
      <c r="J99" s="458">
        <f>'ANALYSE - ERP =&gt; SOUS-SEGMENT'!$BG$140*'ANALYSE - ERP =&gt; SOUS-SEGMENT'!$JK$140</f>
        <v>3.9550000000000001</v>
      </c>
      <c r="K99" s="458">
        <f>'ANALYSE - ERP =&gt; SOUS-SEGMENT'!$BG$140*'ANALYSE - ERP =&gt; SOUS-SEGMENT'!$JL$140</f>
        <v>0</v>
      </c>
      <c r="L99" s="458">
        <f>'ANALYSE - ERP =&gt; SOUS-SEGMENT'!$BG$140*'ANALYSE - ERP =&gt; SOUS-SEGMENT'!$JM$140</f>
        <v>0</v>
      </c>
      <c r="N99" s="458">
        <f>'ANALYSE - ERP =&gt; SOUS-SEGMENT'!$FG$140*'ANALYSE - ERP =&gt; SOUS-SEGMENT'!$JN$140</f>
        <v>5.5710061386363625</v>
      </c>
      <c r="O99" s="458">
        <f>'ANALYSE - ERP =&gt; SOUS-SEGMENT'!$FG$140*'ANALYSE - ERP =&gt; SOUS-SEGMENT'!$JO$140</f>
        <v>16.768385727272726</v>
      </c>
      <c r="P99" s="458">
        <f>'ANALYSE - ERP =&gt; SOUS-SEGMENT'!$FG$140*'ANALYSE - ERP =&gt; SOUS-SEGMENT'!$JP$140</f>
        <v>4.0259944977272726</v>
      </c>
      <c r="Q99" s="458">
        <f>'ANALYSE - ERP =&gt; SOUS-SEGMENT'!$FG$140*'ANALYSE - ERP =&gt; SOUS-SEGMENT'!$JQ$140</f>
        <v>0</v>
      </c>
      <c r="R99" s="458">
        <f>'ANALYSE - ERP =&gt; SOUS-SEGMENT'!$FG$140*'ANALYSE - ERP =&gt; SOUS-SEGMENT'!$JR$140</f>
        <v>0</v>
      </c>
      <c r="T99" s="430">
        <f>'ANALYSE - ERP =&gt; SOUS-SEGMENT'!$Q$140</f>
        <v>1</v>
      </c>
    </row>
    <row r="100" spans="1:20" ht="15" customHeight="1">
      <c r="A100" s="26">
        <v>97</v>
      </c>
      <c r="B100" s="26">
        <v>97</v>
      </c>
      <c r="C100" s="422">
        <f>'ANALYSE - ERP =&gt; SOUS-SEGMENT'!$A$48</f>
        <v>41</v>
      </c>
      <c r="D100" s="417" t="str">
        <f>'ANALYSE - ERP =&gt; SOUS-SEGMENT'!$B$48</f>
        <v>Santé &amp; Médico-social</v>
      </c>
      <c r="E100" s="417" t="str">
        <f>'ANALYSE - ERP =&gt; SOUS-SEGMENT'!$C$48</f>
        <v>Santé hospitalière</v>
      </c>
      <c r="F100" s="417" t="str">
        <f>'ANALYSE - ERP =&gt; SOUS-SEGMENT'!$D$48</f>
        <v>Unités hospitalières sécurisées en milieu carcéral</v>
      </c>
      <c r="H100" s="458">
        <f>'ANALYSE - ERP =&gt; SOUS-SEGMENT'!$BG$48*'ANALYSE - ERP =&gt; SOUS-SEGMENT'!$JI$48</f>
        <v>2.4786000000000001</v>
      </c>
      <c r="I100" s="458">
        <f>'ANALYSE - ERP =&gt; SOUS-SEGMENT'!$BG$48*'ANALYSE - ERP =&gt; SOUS-SEGMENT'!$JJ$48</f>
        <v>8.7567000000000004</v>
      </c>
      <c r="J100" s="458">
        <f>'ANALYSE - ERP =&gt; SOUS-SEGMENT'!$BG$48*'ANALYSE - ERP =&gt; SOUS-SEGMENT'!$JK$48</f>
        <v>5.2291999999999996</v>
      </c>
      <c r="K100" s="458">
        <f>'ANALYSE - ERP =&gt; SOUS-SEGMENT'!$BG$48*'ANALYSE - ERP =&gt; SOUS-SEGMENT'!$JL$48</f>
        <v>0.52700000000000002</v>
      </c>
      <c r="L100" s="458">
        <f>'ANALYSE - ERP =&gt; SOUS-SEGMENT'!$BG$48*'ANALYSE - ERP =&gt; SOUS-SEGMENT'!$JM$48</f>
        <v>8.5000000000000006E-3</v>
      </c>
      <c r="N100" s="458">
        <f>'ANALYSE - ERP =&gt; SOUS-SEGMENT'!$FG$48*'ANALYSE - ERP =&gt; SOUS-SEGMENT'!$JN$48</f>
        <v>0.59038315000000019</v>
      </c>
      <c r="O100" s="458">
        <f>'ANALYSE - ERP =&gt; SOUS-SEGMENT'!$FG$48*'ANALYSE - ERP =&gt; SOUS-SEGMENT'!$JO$48</f>
        <v>3.5633840125000003</v>
      </c>
      <c r="P100" s="458">
        <f>'ANALYSE - ERP =&gt; SOUS-SEGMENT'!$FG$48*'ANALYSE - ERP =&gt; SOUS-SEGMENT'!$JP$48</f>
        <v>3.6350733950000005</v>
      </c>
      <c r="Q100" s="458">
        <f>'ANALYSE - ERP =&gt; SOUS-SEGMENT'!$FG$48*'ANALYSE - ERP =&gt; SOUS-SEGMENT'!$JQ$48</f>
        <v>0.62664954350000013</v>
      </c>
      <c r="R100" s="458">
        <f>'ANALYSE - ERP =&gt; SOUS-SEGMENT'!$FG$48*'ANALYSE - ERP =&gt; SOUS-SEGMENT'!$JR$48</f>
        <v>1.8554899000000003E-2</v>
      </c>
      <c r="T100" s="430">
        <f>'ANALYSE - ERP =&gt; SOUS-SEGMENT'!$Q$48</f>
        <v>1</v>
      </c>
    </row>
    <row r="101" spans="1:20" ht="15" customHeight="1">
      <c r="A101" s="26">
        <v>98</v>
      </c>
      <c r="B101" s="26">
        <v>99</v>
      </c>
      <c r="C101" s="422">
        <f>'ANALYSE - ERP =&gt; SOUS-SEGMENT'!$A$141</f>
        <v>134</v>
      </c>
      <c r="D101" s="414" t="str">
        <f>'ANALYSE - ERP =&gt; SOUS-SEGMENT'!$B$141</f>
        <v>Sécurité &amp; Justice</v>
      </c>
      <c r="E101" s="414" t="str">
        <f>'ANALYSE - ERP =&gt; SOUS-SEGMENT'!$C$141</f>
        <v>Univers carcéral</v>
      </c>
      <c r="F101" s="414" t="str">
        <f>'ANALYSE - ERP =&gt; SOUS-SEGMENT'!$D$141</f>
        <v>Maisons centrales</v>
      </c>
      <c r="H101" s="458">
        <f>'ANALYSE - ERP =&gt; SOUS-SEGMENT'!$BG$141*'ANALYSE - ERP =&gt; SOUS-SEGMENT'!$JI$141</f>
        <v>2.5038</v>
      </c>
      <c r="I101" s="458">
        <f>'ANALYSE - ERP =&gt; SOUS-SEGMENT'!$BG$141*'ANALYSE - ERP =&gt; SOUS-SEGMENT'!$JJ$141</f>
        <v>3.0042</v>
      </c>
      <c r="J101" s="458">
        <f>'ANALYSE - ERP =&gt; SOUS-SEGMENT'!$BG$141*'ANALYSE - ERP =&gt; SOUS-SEGMENT'!$JK$141</f>
        <v>0.49199999999999999</v>
      </c>
      <c r="K101" s="458">
        <f>'ANALYSE - ERP =&gt; SOUS-SEGMENT'!$BG$141*'ANALYSE - ERP =&gt; SOUS-SEGMENT'!$JL$141</f>
        <v>0</v>
      </c>
      <c r="L101" s="458">
        <f>'ANALYSE - ERP =&gt; SOUS-SEGMENT'!$BG$141*'ANALYSE - ERP =&gt; SOUS-SEGMENT'!$JM$141</f>
        <v>0</v>
      </c>
      <c r="N101" s="458">
        <f>'ANALYSE - ERP =&gt; SOUS-SEGMENT'!$FG$141*'ANALYSE - ERP =&gt; SOUS-SEGMENT'!$JN$141</f>
        <v>0.94236412090909105</v>
      </c>
      <c r="O101" s="458">
        <f>'ANALYSE - ERP =&gt; SOUS-SEGMENT'!$FG$141*'ANALYSE - ERP =&gt; SOUS-SEGMENT'!$JO$141</f>
        <v>1.8152942850000005</v>
      </c>
      <c r="P101" s="458">
        <f>'ANALYSE - ERP =&gt; SOUS-SEGMENT'!$FG$141*'ANALYSE - ERP =&gt; SOUS-SEGMENT'!$JP$141</f>
        <v>0.47182795772727282</v>
      </c>
      <c r="Q101" s="458">
        <f>'ANALYSE - ERP =&gt; SOUS-SEGMENT'!$FG$141*'ANALYSE - ERP =&gt; SOUS-SEGMENT'!$JQ$141</f>
        <v>0</v>
      </c>
      <c r="R101" s="458">
        <f>'ANALYSE - ERP =&gt; SOUS-SEGMENT'!$FG$141*'ANALYSE - ERP =&gt; SOUS-SEGMENT'!$JR$141</f>
        <v>0</v>
      </c>
      <c r="T101" s="430">
        <f>'ANALYSE - ERP =&gt; SOUS-SEGMENT'!$Q$141</f>
        <v>1</v>
      </c>
    </row>
    <row r="102" spans="1:20" ht="15" customHeight="1">
      <c r="A102" s="26">
        <v>99</v>
      </c>
      <c r="B102" s="26">
        <v>98</v>
      </c>
      <c r="C102" s="422">
        <f>'ANALYSE - ERP =&gt; SOUS-SEGMENT'!$A$143</f>
        <v>136</v>
      </c>
      <c r="D102" s="414" t="str">
        <f>'ANALYSE - ERP =&gt; SOUS-SEGMENT'!$B$143</f>
        <v>Sécurité &amp; Justice</v>
      </c>
      <c r="E102" s="414" t="str">
        <f>'ANALYSE - ERP =&gt; SOUS-SEGMENT'!$C$143</f>
        <v>Univers carcéral</v>
      </c>
      <c r="F102" s="414" t="str">
        <f>'ANALYSE - ERP =&gt; SOUS-SEGMENT'!$D$143</f>
        <v>Centres de semi-liberté</v>
      </c>
      <c r="H102" s="458">
        <f>'ANALYSE - ERP =&gt; SOUS-SEGMENT'!$BG$143*'ANALYSE - ERP =&gt; SOUS-SEGMENT'!$JI$143</f>
        <v>1.244</v>
      </c>
      <c r="I102" s="458">
        <f>'ANALYSE - ERP =&gt; SOUS-SEGMENT'!$BG$143*'ANALYSE - ERP =&gt; SOUS-SEGMENT'!$JJ$143</f>
        <v>4.1672000000000002</v>
      </c>
      <c r="J102" s="458">
        <f>'ANALYSE - ERP =&gt; SOUS-SEGMENT'!$BG$143*'ANALYSE - ERP =&gt; SOUS-SEGMENT'!$JK$143</f>
        <v>2.3592</v>
      </c>
      <c r="K102" s="458">
        <f>'ANALYSE - ERP =&gt; SOUS-SEGMENT'!$BG$143*'ANALYSE - ERP =&gt; SOUS-SEGMENT'!$JL$143</f>
        <v>0.22559999999999999</v>
      </c>
      <c r="L102" s="458">
        <f>'ANALYSE - ERP =&gt; SOUS-SEGMENT'!$BG$143*'ANALYSE - ERP =&gt; SOUS-SEGMENT'!$JM$143</f>
        <v>4.0000000000000001E-3</v>
      </c>
      <c r="N102" s="458">
        <f>'ANALYSE - ERP =&gt; SOUS-SEGMENT'!$FG$143*'ANALYSE - ERP =&gt; SOUS-SEGMENT'!$JN$143</f>
        <v>0.54063379700000003</v>
      </c>
      <c r="O102" s="458">
        <f>'ANALYSE - ERP =&gt; SOUS-SEGMENT'!$FG$143*'ANALYSE - ERP =&gt; SOUS-SEGMENT'!$JO$143</f>
        <v>2.5993717364999998</v>
      </c>
      <c r="P102" s="458">
        <f>'ANALYSE - ERP =&gt; SOUS-SEGMENT'!$FG$143*'ANALYSE - ERP =&gt; SOUS-SEGMENT'!$JP$143</f>
        <v>2.1136894239999999</v>
      </c>
      <c r="Q102" s="458">
        <f>'ANALYSE - ERP =&gt; SOUS-SEGMENT'!$FG$143*'ANALYSE - ERP =&gt; SOUS-SEGMENT'!$JQ$143</f>
        <v>0.29029925649999999</v>
      </c>
      <c r="R102" s="458">
        <f>'ANALYSE - ERP =&gt; SOUS-SEGMENT'!$FG$143*'ANALYSE - ERP =&gt; SOUS-SEGMENT'!$JR$143</f>
        <v>6.6607859999999993E-3</v>
      </c>
      <c r="T102" s="430">
        <f>'ANALYSE - ERP =&gt; SOUS-SEGMENT'!$Q$143</f>
        <v>1</v>
      </c>
    </row>
    <row r="103" spans="1:20" ht="15" customHeight="1">
      <c r="A103" s="26">
        <v>100</v>
      </c>
      <c r="B103" s="26">
        <v>100</v>
      </c>
      <c r="C103" s="422">
        <f>'ANALYSE - ERP =&gt; SOUS-SEGMENT'!$A$8</f>
        <v>1</v>
      </c>
      <c r="D103" s="417" t="str">
        <f>'ANALYSE - ERP =&gt; SOUS-SEGMENT'!$B$8</f>
        <v>Enfance, Enseignement, Jeunesse &amp; Formation</v>
      </c>
      <c r="E103" s="417" t="str">
        <f>'ANALYSE - ERP =&gt; SOUS-SEGMENT'!$C$8</f>
        <v>Petite enfance</v>
      </c>
      <c r="F103" s="417" t="str">
        <f>'ANALYSE - ERP =&gt; SOUS-SEGMENT'!$D$8</f>
        <v>Crèches</v>
      </c>
      <c r="H103" s="458">
        <f>'ANALYSE - ERP =&gt; SOUS-SEGMENT'!$BG$8*'ANALYSE - ERP =&gt; SOUS-SEGMENT'!$JI$8</f>
        <v>0</v>
      </c>
      <c r="I103" s="458">
        <f>'ANALYSE - ERP =&gt; SOUS-SEGMENT'!$BG$8*'ANALYSE - ERP =&gt; SOUS-SEGMENT'!$JJ$8</f>
        <v>0</v>
      </c>
      <c r="J103" s="458">
        <f>'ANALYSE - ERP =&gt; SOUS-SEGMENT'!$BG$8*'ANALYSE - ERP =&gt; SOUS-SEGMENT'!$JK$8</f>
        <v>0</v>
      </c>
      <c r="K103" s="458">
        <f>'ANALYSE - ERP =&gt; SOUS-SEGMENT'!$BG$8*'ANALYSE - ERP =&gt; SOUS-SEGMENT'!$JL$8</f>
        <v>0</v>
      </c>
      <c r="L103" s="458">
        <f>'ANALYSE - ERP =&gt; SOUS-SEGMENT'!$BG$8*'ANALYSE - ERP =&gt; SOUS-SEGMENT'!$JM$8</f>
        <v>0</v>
      </c>
      <c r="N103" s="458">
        <f>'ANALYSE - ERP =&gt; SOUS-SEGMENT'!$FG$8*'ANALYSE - ERP =&gt; SOUS-SEGMENT'!$JN$8</f>
        <v>0</v>
      </c>
      <c r="O103" s="458">
        <f>'ANALYSE - ERP =&gt; SOUS-SEGMENT'!$FG$8*'ANALYSE - ERP =&gt; SOUS-SEGMENT'!$JO$8</f>
        <v>0</v>
      </c>
      <c r="P103" s="458">
        <f>'ANALYSE - ERP =&gt; SOUS-SEGMENT'!$FG$8*'ANALYSE - ERP =&gt; SOUS-SEGMENT'!$JP$8</f>
        <v>0</v>
      </c>
      <c r="Q103" s="458">
        <f>'ANALYSE - ERP =&gt; SOUS-SEGMENT'!$FG$8*'ANALYSE - ERP =&gt; SOUS-SEGMENT'!$JQ$8</f>
        <v>0</v>
      </c>
      <c r="R103" s="458">
        <f>'ANALYSE - ERP =&gt; SOUS-SEGMENT'!$FG$8*'ANALYSE - ERP =&gt; SOUS-SEGMENT'!$JR$8</f>
        <v>0</v>
      </c>
      <c r="T103" s="430">
        <f>'ANALYSE - ERP =&gt; SOUS-SEGMENT'!$Q$8</f>
        <v>1</v>
      </c>
    </row>
    <row r="104" spans="1:20" ht="15" customHeight="1">
      <c r="A104" s="26">
        <v>101</v>
      </c>
      <c r="B104" s="26">
        <v>101</v>
      </c>
      <c r="C104" s="422">
        <f>'ANALYSE - ERP =&gt; SOUS-SEGMENT'!$A$11</f>
        <v>4</v>
      </c>
      <c r="D104" s="417" t="str">
        <f>'ANALYSE - ERP =&gt; SOUS-SEGMENT'!$B$11</f>
        <v>Enfance, Enseignement, Jeunesse &amp; Formation</v>
      </c>
      <c r="E104" s="417" t="str">
        <f>'ANALYSE - ERP =&gt; SOUS-SEGMENT'!$C$11</f>
        <v>Enseignement scolaire</v>
      </c>
      <c r="F104" s="417" t="str">
        <f>'ANALYSE - ERP =&gt; SOUS-SEGMENT'!$D$11</f>
        <v>Écoles maternelles</v>
      </c>
      <c r="H104" s="458">
        <f>'ANALYSE - ERP =&gt; SOUS-SEGMENT'!$BG$11*'ANALYSE - ERP =&gt; SOUS-SEGMENT'!$JI$11</f>
        <v>0</v>
      </c>
      <c r="I104" s="458">
        <f>'ANALYSE - ERP =&gt; SOUS-SEGMENT'!$BG$11*'ANALYSE - ERP =&gt; SOUS-SEGMENT'!$JJ$11</f>
        <v>0</v>
      </c>
      <c r="J104" s="458">
        <f>'ANALYSE - ERP =&gt; SOUS-SEGMENT'!$BG$11*'ANALYSE - ERP =&gt; SOUS-SEGMENT'!$JK$11</f>
        <v>0</v>
      </c>
      <c r="K104" s="458">
        <f>'ANALYSE - ERP =&gt; SOUS-SEGMENT'!$BG$11*'ANALYSE - ERP =&gt; SOUS-SEGMENT'!$JL$11</f>
        <v>0</v>
      </c>
      <c r="L104" s="458">
        <f>'ANALYSE - ERP =&gt; SOUS-SEGMENT'!$BG$11*'ANALYSE - ERP =&gt; SOUS-SEGMENT'!$JM$11</f>
        <v>0</v>
      </c>
      <c r="N104" s="458">
        <f>'ANALYSE - ERP =&gt; SOUS-SEGMENT'!$FG$11*'ANALYSE - ERP =&gt; SOUS-SEGMENT'!$JN$11</f>
        <v>0</v>
      </c>
      <c r="O104" s="458">
        <f>'ANALYSE - ERP =&gt; SOUS-SEGMENT'!$FG$11*'ANALYSE - ERP =&gt; SOUS-SEGMENT'!$JO$11</f>
        <v>0</v>
      </c>
      <c r="P104" s="458">
        <f>'ANALYSE - ERP =&gt; SOUS-SEGMENT'!$FG$11*'ANALYSE - ERP =&gt; SOUS-SEGMENT'!$JP$11</f>
        <v>0</v>
      </c>
      <c r="Q104" s="458">
        <f>'ANALYSE - ERP =&gt; SOUS-SEGMENT'!$FG$11*'ANALYSE - ERP =&gt; SOUS-SEGMENT'!$JQ$11</f>
        <v>0</v>
      </c>
      <c r="R104" s="458">
        <f>'ANALYSE - ERP =&gt; SOUS-SEGMENT'!$FG$11*'ANALYSE - ERP =&gt; SOUS-SEGMENT'!$JR$11</f>
        <v>0</v>
      </c>
      <c r="T104" s="430">
        <f>'ANALYSE - ERP =&gt; SOUS-SEGMENT'!$Q$11</f>
        <v>1</v>
      </c>
    </row>
    <row r="105" spans="1:20" ht="15" customHeight="1">
      <c r="A105" s="26">
        <v>102</v>
      </c>
      <c r="B105" s="26">
        <v>102</v>
      </c>
      <c r="C105" s="422">
        <f>'ANALYSE - ERP =&gt; SOUS-SEGMENT'!$A$145</f>
        <v>138</v>
      </c>
      <c r="D105" s="417" t="str">
        <f>'ANALYSE - ERP =&gt; SOUS-SEGMENT'!$B$145</f>
        <v>Sécurité &amp; Justice</v>
      </c>
      <c r="E105" s="417" t="str">
        <f>'ANALYSE - ERP =&gt; SOUS-SEGMENT'!$C$145</f>
        <v>Univers carcéral</v>
      </c>
      <c r="F105" s="417" t="str">
        <f>'ANALYSE - ERP =&gt; SOUS-SEGMENT'!$D$145</f>
        <v>Centres pour peines aménagées
(absorbés par autres centres carcéraux)</v>
      </c>
      <c r="H105" s="458">
        <f>'ANALYSE - ERP =&gt; SOUS-SEGMENT'!$BG$145*'ANALYSE - ERP =&gt; SOUS-SEGMENT'!$JI$145</f>
        <v>0</v>
      </c>
      <c r="I105" s="458">
        <f>'ANALYSE - ERP =&gt; SOUS-SEGMENT'!$BG$145*'ANALYSE - ERP =&gt; SOUS-SEGMENT'!$JJ$145</f>
        <v>0</v>
      </c>
      <c r="J105" s="458">
        <f>'ANALYSE - ERP =&gt; SOUS-SEGMENT'!$BG$145*'ANALYSE - ERP =&gt; SOUS-SEGMENT'!$JK$145</f>
        <v>0</v>
      </c>
      <c r="K105" s="458">
        <f>'ANALYSE - ERP =&gt; SOUS-SEGMENT'!$BG$145*'ANALYSE - ERP =&gt; SOUS-SEGMENT'!$JL$145</f>
        <v>0</v>
      </c>
      <c r="L105" s="458">
        <f>'ANALYSE - ERP =&gt; SOUS-SEGMENT'!$BG$145*'ANALYSE - ERP =&gt; SOUS-SEGMENT'!$JM$145</f>
        <v>0</v>
      </c>
      <c r="N105" s="458">
        <f>'ANALYSE - ERP =&gt; SOUS-SEGMENT'!$FG$145*'ANALYSE - ERP =&gt; SOUS-SEGMENT'!$JN$145</f>
        <v>0</v>
      </c>
      <c r="O105" s="458">
        <f>'ANALYSE - ERP =&gt; SOUS-SEGMENT'!$FG$145*'ANALYSE - ERP =&gt; SOUS-SEGMENT'!$JO$145</f>
        <v>0</v>
      </c>
      <c r="P105" s="458">
        <f>'ANALYSE - ERP =&gt; SOUS-SEGMENT'!$FG$145*'ANALYSE - ERP =&gt; SOUS-SEGMENT'!$JP$145</f>
        <v>0</v>
      </c>
      <c r="Q105" s="458">
        <f>'ANALYSE - ERP =&gt; SOUS-SEGMENT'!$FG$145*'ANALYSE - ERP =&gt; SOUS-SEGMENT'!$JQ$145</f>
        <v>0</v>
      </c>
      <c r="R105" s="458">
        <f>'ANALYSE - ERP =&gt; SOUS-SEGMENT'!$FG$145*'ANALYSE - ERP =&gt; SOUS-SEGMENT'!$JR$145</f>
        <v>0</v>
      </c>
      <c r="T105" s="430">
        <f>'ANALYSE - ERP =&gt; SOUS-SEGMENT'!$Q$145</f>
        <v>0</v>
      </c>
    </row>
    <row r="106" spans="1:20" s="45" customFormat="1" ht="15" customHeight="1">
      <c r="A106" s="406">
        <v>103</v>
      </c>
      <c r="B106" s="406">
        <v>103</v>
      </c>
      <c r="C106" s="448">
        <f>'ANALYSE - ERP =&gt; SOUS-SEGMENT'!$A$150</f>
        <v>143</v>
      </c>
      <c r="D106" s="423" t="str">
        <f>'ANALYSE - ERP =&gt; SOUS-SEGMENT'!$B$150</f>
        <v>Sanitaires Publics</v>
      </c>
      <c r="E106" s="423" t="str">
        <f>'ANALYSE - ERP =&gt; SOUS-SEGMENT'!$C$150</f>
        <v>Sanitaires publics</v>
      </c>
      <c r="F106" s="423" t="str">
        <f>'ANALYSE - ERP =&gt; SOUS-SEGMENT'!$D$150</f>
        <v>Toilettes publiques (sur la voie publique)</v>
      </c>
      <c r="G106" s="685"/>
      <c r="H106" s="459">
        <f>'ANALYSE - ERP =&gt; SOUS-SEGMENT'!$BG$150*'ANALYSE - ERP =&gt; SOUS-SEGMENT'!$JI$150</f>
        <v>0</v>
      </c>
      <c r="I106" s="459">
        <f>'ANALYSE - ERP =&gt; SOUS-SEGMENT'!$BG$150*'ANALYSE - ERP =&gt; SOUS-SEGMENT'!$JJ$150</f>
        <v>0</v>
      </c>
      <c r="J106" s="459">
        <f>'ANALYSE - ERP =&gt; SOUS-SEGMENT'!$BG$150*'ANALYSE - ERP =&gt; SOUS-SEGMENT'!$JK$150</f>
        <v>0</v>
      </c>
      <c r="K106" s="459">
        <f>'ANALYSE - ERP =&gt; SOUS-SEGMENT'!$BG$150*'ANALYSE - ERP =&gt; SOUS-SEGMENT'!$JL$150</f>
        <v>0</v>
      </c>
      <c r="L106" s="459">
        <f>'ANALYSE - ERP =&gt; SOUS-SEGMENT'!$BG$150*'ANALYSE - ERP =&gt; SOUS-SEGMENT'!$JM$150</f>
        <v>0</v>
      </c>
      <c r="M106" s="685"/>
      <c r="N106" s="459">
        <f>'ANALYSE - ERP =&gt; SOUS-SEGMENT'!$FG$150*'ANALYSE - ERP =&gt; SOUS-SEGMENT'!$JN$150</f>
        <v>0</v>
      </c>
      <c r="O106" s="459">
        <f>'ANALYSE - ERP =&gt; SOUS-SEGMENT'!$FG$150*'ANALYSE - ERP =&gt; SOUS-SEGMENT'!$JO$150</f>
        <v>0</v>
      </c>
      <c r="P106" s="459">
        <f>'ANALYSE - ERP =&gt; SOUS-SEGMENT'!$FG$150*'ANALYSE - ERP =&gt; SOUS-SEGMENT'!$JP$150</f>
        <v>0</v>
      </c>
      <c r="Q106" s="459">
        <f>'ANALYSE - ERP =&gt; SOUS-SEGMENT'!$FG$150*'ANALYSE - ERP =&gt; SOUS-SEGMENT'!$JQ$150</f>
        <v>0</v>
      </c>
      <c r="R106" s="459">
        <f>'ANALYSE - ERP =&gt; SOUS-SEGMENT'!$FG$150*'ANALYSE - ERP =&gt; SOUS-SEGMENT'!$JR$150</f>
        <v>0</v>
      </c>
      <c r="S106" s="685"/>
      <c r="T106" s="450">
        <f>'ANALYSE - ERP =&gt; SOUS-SEGMENT'!$Q$150</f>
        <v>1</v>
      </c>
    </row>
  </sheetData>
  <autoFilter ref="A2:T2" xr:uid="{00000000-0009-0000-0000-000021000000}"/>
  <conditionalFormatting sqref="H4:L106">
    <cfRule type="colorScale" priority="2">
      <colorScale>
        <cfvo type="min"/>
        <cfvo type="formula" val="MEDIAN($H$4:$L$106)"/>
        <cfvo type="max"/>
        <color rgb="FFF8696B"/>
        <color theme="0"/>
        <color rgb="FF63BE7B"/>
      </colorScale>
    </cfRule>
  </conditionalFormatting>
  <conditionalFormatting sqref="N4:R106">
    <cfRule type="colorScale" priority="1">
      <colorScale>
        <cfvo type="min"/>
        <cfvo type="formula" val="MEDIAN($N$4:$R$106)"/>
        <cfvo type="max"/>
        <color rgb="FFF8696B"/>
        <color theme="0"/>
        <color rgb="FF63BE7B"/>
      </colorScale>
    </cfRule>
  </conditionalFormatting>
  <pageMargins left="3.937007874015748E-2" right="3.937007874015748E-2" top="7.874015748031496E-2" bottom="7.874015748031496E-2" header="0.11811023622047249" footer="0.11811023622047249"/>
  <pageSetup paperSize="8" scale="84" fitToHeight="2"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pageSetUpPr fitToPage="1"/>
  </sheetPr>
  <dimension ref="A1:BZ106"/>
  <sheetViews>
    <sheetView zoomScale="85" zoomScaleNormal="85" workbookViewId="0">
      <pane xSplit="6" ySplit="3" topLeftCell="G4" activePane="bottomRight" state="frozen"/>
      <selection pane="topRight" activeCell="G1" sqref="G1"/>
      <selection pane="bottomLeft" activeCell="A4" sqref="A4"/>
      <selection pane="bottomRight" activeCell="F25" sqref="F25"/>
    </sheetView>
  </sheetViews>
  <sheetFormatPr baseColWidth="10" defaultColWidth="9.140625" defaultRowHeight="15"/>
  <cols>
    <col min="1" max="2" width="9" style="934" customWidth="1"/>
    <col min="3" max="3" width="6" style="934" customWidth="1"/>
    <col min="4" max="4" width="32.28515625" style="934" customWidth="1"/>
    <col min="5" max="5" width="28.5703125" style="43" customWidth="1"/>
    <col min="6" max="6" width="51.140625" style="43" customWidth="1"/>
    <col min="7" max="7" width="1.7109375" style="933" customWidth="1"/>
    <col min="8" max="8" width="8.7109375" style="43" customWidth="1"/>
    <col min="9" max="12" width="8.7109375" style="934" customWidth="1"/>
    <col min="13" max="13" width="1.7109375" style="933" customWidth="1"/>
    <col min="14" max="18" width="8.7109375" style="934" customWidth="1"/>
    <col min="19" max="19" width="1.7109375" style="933" customWidth="1"/>
    <col min="20" max="20" width="12" style="934" customWidth="1"/>
    <col min="21" max="78" width="9.140625" style="933" customWidth="1"/>
  </cols>
  <sheetData>
    <row r="1" spans="1:78" s="933" customFormat="1" ht="18.75" customHeight="1">
      <c r="C1" s="477"/>
      <c r="D1" s="479"/>
      <c r="E1" s="478" t="s">
        <v>7979</v>
      </c>
      <c r="F1" s="479"/>
      <c r="H1" s="474"/>
      <c r="I1" s="474"/>
      <c r="J1" s="475" t="s">
        <v>7968</v>
      </c>
      <c r="K1" s="474"/>
      <c r="L1" s="474"/>
      <c r="N1" s="452"/>
      <c r="O1" s="452"/>
      <c r="P1" s="476" t="s">
        <v>7969</v>
      </c>
      <c r="Q1" s="452"/>
      <c r="R1" s="452"/>
      <c r="T1" s="452"/>
    </row>
    <row r="2" spans="1:78"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78">
      <c r="A3" s="405" t="s">
        <v>2535</v>
      </c>
      <c r="B3" s="405" t="s">
        <v>2535</v>
      </c>
      <c r="C3" s="405" t="s">
        <v>2090</v>
      </c>
      <c r="D3" s="405" t="s">
        <v>2086</v>
      </c>
      <c r="E3" s="405" t="s">
        <v>6728</v>
      </c>
      <c r="F3" s="405" t="s">
        <v>6729</v>
      </c>
      <c r="H3" s="790">
        <f>'ANALYSE - ERP =&gt; SOUS-SEGMENT'!JS6</f>
        <v>5.74E-2</v>
      </c>
      <c r="I3" s="790">
        <f>'ANALYSE - ERP =&gt; SOUS-SEGMENT'!JT6</f>
        <v>0.3634</v>
      </c>
      <c r="J3" s="790">
        <f>'ANALYSE - ERP =&gt; SOUS-SEGMENT'!JU6</f>
        <v>0.41970000000000002</v>
      </c>
      <c r="K3" s="790">
        <f>'ANALYSE - ERP =&gt; SOUS-SEGMENT'!JV6</f>
        <v>0.14399999999999999</v>
      </c>
      <c r="L3" s="790">
        <f>'ANALYSE - ERP =&gt; SOUS-SEGMENT'!JW6</f>
        <v>1.55E-2</v>
      </c>
      <c r="N3" s="790">
        <f>'ANALYSE - ERP =&gt; SOUS-SEGMENT'!JX6</f>
        <v>2.2800000000000001E-2</v>
      </c>
      <c r="O3" s="790">
        <f>'ANALYSE - ERP =&gt; SOUS-SEGMENT'!JY6</f>
        <v>0.2515</v>
      </c>
      <c r="P3" s="790">
        <f>'ANALYSE - ERP =&gt; SOUS-SEGMENT'!JZ6</f>
        <v>0.46539999999999998</v>
      </c>
      <c r="Q3" s="790">
        <f>'ANALYSE - ERP =&gt; SOUS-SEGMENT'!KA6</f>
        <v>0.22570000000000001</v>
      </c>
      <c r="R3" s="790">
        <f>'ANALYSE - ERP =&gt; SOUS-SEGMENT'!KB6</f>
        <v>3.4599999999999999E-2</v>
      </c>
      <c r="T3" s="428">
        <f>SUM('ANALYSE - ERP =&gt; SOUS-SEGMENT'!$Q$8:$Q$150)</f>
        <v>137</v>
      </c>
    </row>
    <row r="4" spans="1:78" ht="15" customHeight="1">
      <c r="A4" s="26">
        <v>1</v>
      </c>
      <c r="B4" s="26">
        <v>1</v>
      </c>
      <c r="C4" s="422">
        <f>'ANALYSE - ERP =&gt; SOUS-SEGMENT'!$A$75</f>
        <v>68</v>
      </c>
      <c r="D4" s="412" t="str">
        <f>'ANALYSE - ERP =&gt; SOUS-SEGMENT'!$B$75</f>
        <v>Commerce, Restauration &amp; Loisirs</v>
      </c>
      <c r="E4" s="412" t="str">
        <f>'ANALYSE - ERP =&gt; SOUS-SEGMENT'!$C$75</f>
        <v>Restauration / boissons</v>
      </c>
      <c r="F4" s="412" t="str">
        <f>'ANALYSE - ERP =&gt; SOUS-SEGMENT'!$D$75</f>
        <v>Restaurants
(Hors établissements altitude, flottant, armée)</v>
      </c>
      <c r="H4" s="787">
        <f>'ANALYSE - ERP =&gt; SOUS-SEGMENT'!$JS$75</f>
        <v>1.12E-2</v>
      </c>
      <c r="I4" s="787">
        <f>'ANALYSE - ERP =&gt; SOUS-SEGMENT'!$JT$75</f>
        <v>0.29980000000000001</v>
      </c>
      <c r="J4" s="787">
        <f>'ANALYSE - ERP =&gt; SOUS-SEGMENT'!$JU$75</f>
        <v>0.50990000000000002</v>
      </c>
      <c r="K4" s="787">
        <f>'ANALYSE - ERP =&gt; SOUS-SEGMENT'!$JV$75</f>
        <v>0.16470000000000001</v>
      </c>
      <c r="L4" s="787">
        <f>'ANALYSE - ERP =&gt; SOUS-SEGMENT'!$JW$75</f>
        <v>1.44E-2</v>
      </c>
      <c r="N4" s="787">
        <f>'ANALYSE - ERP =&gt; SOUS-SEGMENT'!$JX$75</f>
        <v>0</v>
      </c>
      <c r="O4" s="787">
        <f>'ANALYSE - ERP =&gt; SOUS-SEGMENT'!$JY$75</f>
        <v>0.26200000000000001</v>
      </c>
      <c r="P4" s="787">
        <f>'ANALYSE - ERP =&gt; SOUS-SEGMENT'!$JZ$75</f>
        <v>0.52880000000000005</v>
      </c>
      <c r="Q4" s="787">
        <f>'ANALYSE - ERP =&gt; SOUS-SEGMENT'!$KA$75</f>
        <v>0.18909999999999999</v>
      </c>
      <c r="R4" s="787">
        <f>'ANALYSE - ERP =&gt; SOUS-SEGMENT'!$KB$75</f>
        <v>2.01E-2</v>
      </c>
      <c r="T4" s="430">
        <f>'ANALYSE - ERP =&gt; SOUS-SEGMENT'!$Q$75</f>
        <v>1</v>
      </c>
    </row>
    <row r="5" spans="1:78" ht="15" customHeight="1">
      <c r="A5" s="26">
        <v>2</v>
      </c>
      <c r="B5" s="26">
        <v>2</v>
      </c>
      <c r="C5" s="422">
        <f>'ANALYSE - ERP =&gt; SOUS-SEGMENT'!$A$58</f>
        <v>51</v>
      </c>
      <c r="D5" s="409" t="str">
        <f>'ANALYSE - ERP =&gt; SOUS-SEGMENT'!$B$58</f>
        <v>Santé &amp; Médico-social</v>
      </c>
      <c r="E5" s="409" t="str">
        <f>'ANALYSE - ERP =&gt; SOUS-SEGMENT'!$C$58</f>
        <v>Médico-social</v>
      </c>
      <c r="F5" s="409" t="str">
        <f>'ANALYSE - ERP =&gt; SOUS-SEGMENT'!$D$58</f>
        <v>EHPAD</v>
      </c>
      <c r="H5" s="787">
        <f>'ANALYSE - ERP =&gt; SOUS-SEGMENT'!$JS$58</f>
        <v>0</v>
      </c>
      <c r="I5" s="787">
        <f>'ANALYSE - ERP =&gt; SOUS-SEGMENT'!$JT$58</f>
        <v>9.6000000000000002E-2</v>
      </c>
      <c r="J5" s="787">
        <f>'ANALYSE - ERP =&gt; SOUS-SEGMENT'!$JU$58</f>
        <v>0.54149999999999998</v>
      </c>
      <c r="K5" s="787">
        <f>'ANALYSE - ERP =&gt; SOUS-SEGMENT'!$JV$58</f>
        <v>0.36159999999999998</v>
      </c>
      <c r="L5" s="787">
        <f>'ANALYSE - ERP =&gt; SOUS-SEGMENT'!$JW$58</f>
        <v>8.9999999999999998E-4</v>
      </c>
      <c r="N5" s="787">
        <f>'ANALYSE - ERP =&gt; SOUS-SEGMENT'!$JX$58</f>
        <v>0</v>
      </c>
      <c r="O5" s="787">
        <f>'ANALYSE - ERP =&gt; SOUS-SEGMENT'!$JY$58</f>
        <v>4.5699999999999998E-2</v>
      </c>
      <c r="P5" s="787">
        <f>'ANALYSE - ERP =&gt; SOUS-SEGMENT'!$JZ$58</f>
        <v>0.4657</v>
      </c>
      <c r="Q5" s="787">
        <f>'ANALYSE - ERP =&gt; SOUS-SEGMENT'!$KA$58</f>
        <v>0.45839999999999997</v>
      </c>
      <c r="R5" s="787">
        <f>'ANALYSE - ERP =&gt; SOUS-SEGMENT'!$KB$58</f>
        <v>3.0200000000000001E-2</v>
      </c>
      <c r="T5" s="430">
        <f>'ANALYSE - ERP =&gt; SOUS-SEGMENT'!$Q$58</f>
        <v>1</v>
      </c>
    </row>
    <row r="6" spans="1:78" ht="15" customHeight="1">
      <c r="A6" s="26">
        <v>3</v>
      </c>
      <c r="B6" s="26">
        <v>3</v>
      </c>
      <c r="C6" s="422">
        <f>'ANALYSE - ERP =&gt; SOUS-SEGMENT'!$A$82</f>
        <v>75</v>
      </c>
      <c r="D6" s="412" t="str">
        <f>'ANALYSE - ERP =&gt; SOUS-SEGMENT'!$B$82</f>
        <v>Tertiaire &amp; Industriel</v>
      </c>
      <c r="E6" s="412" t="str">
        <f>'ANALYSE - ERP =&gt; SOUS-SEGMENT'!$C$82</f>
        <v>Bureaux</v>
      </c>
      <c r="F6" s="412" t="str">
        <f>'ANALYSE - ERP =&gt; SOUS-SEGMENT'!$D$82</f>
        <v>Bureaux Tertiaire Privé (&gt;50 salariés)
(hors usines et logistique )</v>
      </c>
      <c r="H6" s="787">
        <f>'ANALYSE - ERP =&gt; SOUS-SEGMENT'!$JS$82</f>
        <v>3.2599999999999997E-2</v>
      </c>
      <c r="I6" s="787">
        <f>'ANALYSE - ERP =&gt; SOUS-SEGMENT'!$JT$82</f>
        <v>0.4148</v>
      </c>
      <c r="J6" s="787">
        <f>'ANALYSE - ERP =&gt; SOUS-SEGMENT'!$JU$82</f>
        <v>0.49380000000000002</v>
      </c>
      <c r="K6" s="787">
        <f>'ANALYSE - ERP =&gt; SOUS-SEGMENT'!$JV$82</f>
        <v>5.8799999999999998E-2</v>
      </c>
      <c r="L6" s="787">
        <f>'ANALYSE - ERP =&gt; SOUS-SEGMENT'!$JW$82</f>
        <v>0</v>
      </c>
      <c r="N6" s="787">
        <f>'ANALYSE - ERP =&gt; SOUS-SEGMENT'!$JX$82</f>
        <v>1.04E-2</v>
      </c>
      <c r="O6" s="787">
        <f>'ANALYSE - ERP =&gt; SOUS-SEGMENT'!$JY$82</f>
        <v>0.3876</v>
      </c>
      <c r="P6" s="787">
        <f>'ANALYSE - ERP =&gt; SOUS-SEGMENT'!$JZ$82</f>
        <v>0.51600000000000001</v>
      </c>
      <c r="Q6" s="787">
        <f>'ANALYSE - ERP =&gt; SOUS-SEGMENT'!$KA$82</f>
        <v>8.1000000000000003E-2</v>
      </c>
      <c r="R6" s="787">
        <f>'ANALYSE - ERP =&gt; SOUS-SEGMENT'!$KB$82</f>
        <v>5.0000000000000001E-3</v>
      </c>
      <c r="T6" s="430">
        <f>'ANALYSE - ERP =&gt; SOUS-SEGMENT'!$Q$82</f>
        <v>1</v>
      </c>
    </row>
    <row r="7" spans="1:78" ht="15" customHeight="1">
      <c r="A7" s="26">
        <v>4</v>
      </c>
      <c r="B7" s="26">
        <v>4</v>
      </c>
      <c r="C7" s="422">
        <f>'ANALYSE - ERP =&gt; SOUS-SEGMENT'!$A$101</f>
        <v>94</v>
      </c>
      <c r="D7" s="413" t="str">
        <f>'ANALYSE - ERP =&gt; SOUS-SEGMENT'!$B$101</f>
        <v>Culte, Vie civique &amp; Services publics</v>
      </c>
      <c r="E7" s="413" t="str">
        <f>'ANALYSE - ERP =&gt; SOUS-SEGMENT'!$C$101</f>
        <v>Administrations / services publics</v>
      </c>
      <c r="F7" s="413" t="str">
        <f>'ANALYSE - ERP =&gt; SOUS-SEGMENT'!$D$101</f>
        <v>Mairies / hôtels de ville</v>
      </c>
      <c r="H7" s="787">
        <f>'ANALYSE - ERP =&gt; SOUS-SEGMENT'!$JS$101</f>
        <v>3.2599999999999997E-2</v>
      </c>
      <c r="I7" s="787">
        <f>'ANALYSE - ERP =&gt; SOUS-SEGMENT'!$JT$101</f>
        <v>0.4148</v>
      </c>
      <c r="J7" s="787">
        <f>'ANALYSE - ERP =&gt; SOUS-SEGMENT'!$JU$101</f>
        <v>0.49380000000000002</v>
      </c>
      <c r="K7" s="787">
        <f>'ANALYSE - ERP =&gt; SOUS-SEGMENT'!$JV$101</f>
        <v>5.8799999999999998E-2</v>
      </c>
      <c r="L7" s="787">
        <f>'ANALYSE - ERP =&gt; SOUS-SEGMENT'!$JW$101</f>
        <v>0</v>
      </c>
      <c r="N7" s="787">
        <f>'ANALYSE - ERP =&gt; SOUS-SEGMENT'!$JX$101</f>
        <v>1.23E-2</v>
      </c>
      <c r="O7" s="787">
        <f>'ANALYSE - ERP =&gt; SOUS-SEGMENT'!$JY$101</f>
        <v>0.3901</v>
      </c>
      <c r="P7" s="787">
        <f>'ANALYSE - ERP =&gt; SOUS-SEGMENT'!$JZ$101</f>
        <v>0.5141</v>
      </c>
      <c r="Q7" s="787">
        <f>'ANALYSE - ERP =&gt; SOUS-SEGMENT'!$KA$101</f>
        <v>7.9000000000000001E-2</v>
      </c>
      <c r="R7" s="787">
        <f>'ANALYSE - ERP =&gt; SOUS-SEGMENT'!$KB$101</f>
        <v>4.4999999999999997E-3</v>
      </c>
      <c r="T7" s="430">
        <f>'ANALYSE - ERP =&gt; SOUS-SEGMENT'!$Q$101</f>
        <v>1</v>
      </c>
    </row>
    <row r="8" spans="1:78" ht="15" customHeight="1">
      <c r="A8" s="26">
        <v>5</v>
      </c>
      <c r="B8" s="26">
        <v>6</v>
      </c>
      <c r="C8" s="422">
        <f>'ANALYSE - ERP =&gt; SOUS-SEGMENT'!$A$67</f>
        <v>60</v>
      </c>
      <c r="D8" s="412" t="str">
        <f>'ANALYSE - ERP =&gt; SOUS-SEGMENT'!$B$67</f>
        <v>Culture, Patrimoine &amp; Evénementiel</v>
      </c>
      <c r="E8" s="412" t="str">
        <f>'ANALYSE - ERP =&gt; SOUS-SEGMENT'!$C$67</f>
        <v>Culture / spectacle</v>
      </c>
      <c r="F8" s="412" t="str">
        <f>'ANALYSE - ERP =&gt; SOUS-SEGMENT'!$D$67</f>
        <v>Salles polyvalentes / Salles des fêtes</v>
      </c>
      <c r="H8" s="787">
        <f>'ANALYSE - ERP =&gt; SOUS-SEGMENT'!$JS$67</f>
        <v>3.2599999999999997E-2</v>
      </c>
      <c r="I8" s="787">
        <f>'ANALYSE - ERP =&gt; SOUS-SEGMENT'!$JT$67</f>
        <v>0.4148</v>
      </c>
      <c r="J8" s="787">
        <f>'ANALYSE - ERP =&gt; SOUS-SEGMENT'!$JU$67</f>
        <v>0.49380000000000002</v>
      </c>
      <c r="K8" s="787">
        <f>'ANALYSE - ERP =&gt; SOUS-SEGMENT'!$JV$67</f>
        <v>5.8799999999999998E-2</v>
      </c>
      <c r="L8" s="787">
        <f>'ANALYSE - ERP =&gt; SOUS-SEGMENT'!$JW$67</f>
        <v>0</v>
      </c>
      <c r="N8" s="787">
        <f>'ANALYSE - ERP =&gt; SOUS-SEGMENT'!$JX$67</f>
        <v>1.52E-2</v>
      </c>
      <c r="O8" s="787">
        <f>'ANALYSE - ERP =&gt; SOUS-SEGMENT'!$JY$67</f>
        <v>0.39360000000000001</v>
      </c>
      <c r="P8" s="787">
        <f>'ANALYSE - ERP =&gt; SOUS-SEGMENT'!$JZ$67</f>
        <v>0.51119999999999999</v>
      </c>
      <c r="Q8" s="787">
        <f>'ANALYSE - ERP =&gt; SOUS-SEGMENT'!$KA$67</f>
        <v>7.6200000000000004E-2</v>
      </c>
      <c r="R8" s="787">
        <f>'ANALYSE - ERP =&gt; SOUS-SEGMENT'!$KB$67</f>
        <v>3.8E-3</v>
      </c>
      <c r="T8" s="430">
        <f>'ANALYSE - ERP =&gt; SOUS-SEGMENT'!$Q$67</f>
        <v>1</v>
      </c>
    </row>
    <row r="9" spans="1:78" ht="15" customHeight="1">
      <c r="A9" s="26">
        <v>6</v>
      </c>
      <c r="B9" s="26">
        <v>5</v>
      </c>
      <c r="C9" s="422">
        <f>'ANALYSE - ERP =&gt; SOUS-SEGMENT'!$A$12</f>
        <v>5</v>
      </c>
      <c r="D9" s="409" t="str">
        <f>'ANALYSE - ERP =&gt; SOUS-SEGMENT'!$B$12</f>
        <v>Enfance, Enseignement, Jeunesse &amp; Formation</v>
      </c>
      <c r="E9" s="409" t="str">
        <f>'ANALYSE - ERP =&gt; SOUS-SEGMENT'!$C$12</f>
        <v>Enseignement scolaire</v>
      </c>
      <c r="F9" s="409" t="str">
        <f>'ANALYSE - ERP =&gt; SOUS-SEGMENT'!$D$12</f>
        <v>Écoles primaires</v>
      </c>
      <c r="H9" s="787">
        <f>'ANALYSE - ERP =&gt; SOUS-SEGMENT'!$JS$12</f>
        <v>0.1028</v>
      </c>
      <c r="I9" s="787">
        <f>'ANALYSE - ERP =&gt; SOUS-SEGMENT'!$JT$12</f>
        <v>0.54339999999999999</v>
      </c>
      <c r="J9" s="787">
        <f>'ANALYSE - ERP =&gt; SOUS-SEGMENT'!$JU$12</f>
        <v>0.33050000000000002</v>
      </c>
      <c r="K9" s="787">
        <f>'ANALYSE - ERP =&gt; SOUS-SEGMENT'!$JV$12</f>
        <v>2.3099999999999999E-2</v>
      </c>
      <c r="L9" s="787">
        <f>'ANALYSE - ERP =&gt; SOUS-SEGMENT'!$JW$12</f>
        <v>2.0000000000000001E-4</v>
      </c>
      <c r="N9" s="787">
        <f>'ANALYSE - ERP =&gt; SOUS-SEGMENT'!$JX$12</f>
        <v>3.8199999999999998E-2</v>
      </c>
      <c r="O9" s="787">
        <f>'ANALYSE - ERP =&gt; SOUS-SEGMENT'!$JY$12</f>
        <v>0.40310000000000001</v>
      </c>
      <c r="P9" s="787">
        <f>'ANALYSE - ERP =&gt; SOUS-SEGMENT'!$JZ$12</f>
        <v>0.48930000000000001</v>
      </c>
      <c r="Q9" s="787">
        <f>'ANALYSE - ERP =&gt; SOUS-SEGMENT'!$KA$12</f>
        <v>6.83E-2</v>
      </c>
      <c r="R9" s="787">
        <f>'ANALYSE - ERP =&gt; SOUS-SEGMENT'!$KB$12</f>
        <v>1.1000000000000001E-3</v>
      </c>
      <c r="T9" s="430">
        <f>'ANALYSE - ERP =&gt; SOUS-SEGMENT'!$Q$12</f>
        <v>1</v>
      </c>
    </row>
    <row r="10" spans="1:78" ht="15" customHeight="1">
      <c r="A10" s="26">
        <v>7</v>
      </c>
      <c r="B10" s="26">
        <v>7</v>
      </c>
      <c r="C10" s="422">
        <f>'ANALYSE - ERP =&gt; SOUS-SEGMENT'!$A$77</f>
        <v>70</v>
      </c>
      <c r="D10" s="409" t="str">
        <f>'ANALYSE - ERP =&gt; SOUS-SEGMENT'!$B$77</f>
        <v>Commerce, Restauration &amp; Loisirs</v>
      </c>
      <c r="E10" s="409" t="str">
        <f>'ANALYSE - ERP =&gt; SOUS-SEGMENT'!$C$77</f>
        <v>Restauration / boissons</v>
      </c>
      <c r="F10" s="409" t="str">
        <f>'ANALYSE - ERP =&gt; SOUS-SEGMENT'!$D$77</f>
        <v>Fast-food / Cafétérias / Food courts</v>
      </c>
      <c r="H10" s="787">
        <f>'ANALYSE - ERP =&gt; SOUS-SEGMENT'!$JS$77</f>
        <v>4.9299999999999997E-2</v>
      </c>
      <c r="I10" s="787">
        <f>'ANALYSE - ERP =&gt; SOUS-SEGMENT'!$JT$77</f>
        <v>0.5242</v>
      </c>
      <c r="J10" s="787">
        <f>'ANALYSE - ERP =&gt; SOUS-SEGMENT'!$JU$77</f>
        <v>0.35649999999999998</v>
      </c>
      <c r="K10" s="787">
        <f>'ANALYSE - ERP =&gt; SOUS-SEGMENT'!$JV$77</f>
        <v>0.04</v>
      </c>
      <c r="L10" s="787">
        <f>'ANALYSE - ERP =&gt; SOUS-SEGMENT'!$JW$77</f>
        <v>0.03</v>
      </c>
      <c r="N10" s="787">
        <f>'ANALYSE - ERP =&gt; SOUS-SEGMENT'!$JX$77</f>
        <v>9.5999999999999992E-3</v>
      </c>
      <c r="O10" s="787">
        <f>'ANALYSE - ERP =&gt; SOUS-SEGMENT'!$JY$77</f>
        <v>0.36709999999999998</v>
      </c>
      <c r="P10" s="787">
        <f>'ANALYSE - ERP =&gt; SOUS-SEGMENT'!$JZ$77</f>
        <v>0.51859999999999995</v>
      </c>
      <c r="Q10" s="787">
        <f>'ANALYSE - ERP =&gt; SOUS-SEGMENT'!$KA$77</f>
        <v>7.4700000000000003E-2</v>
      </c>
      <c r="R10" s="787">
        <f>'ANALYSE - ERP =&gt; SOUS-SEGMENT'!$KB$77</f>
        <v>0.03</v>
      </c>
      <c r="T10" s="430">
        <f>'ANALYSE - ERP =&gt; SOUS-SEGMENT'!$Q$77</f>
        <v>1</v>
      </c>
    </row>
    <row r="11" spans="1:78" s="45" customFormat="1" ht="15" customHeight="1">
      <c r="A11" s="26">
        <v>8</v>
      </c>
      <c r="B11" s="26">
        <v>8</v>
      </c>
      <c r="C11" s="422">
        <f>'ANALYSE - ERP =&gt; SOUS-SEGMENT'!$A$113</f>
        <v>106</v>
      </c>
      <c r="D11" s="409" t="str">
        <f>'ANALYSE - ERP =&gt; SOUS-SEGMENT'!$B$113</f>
        <v>Culte, Vie civique &amp; Services publics</v>
      </c>
      <c r="E11" s="409" t="str">
        <f>'ANALYSE - ERP =&gt; SOUS-SEGMENT'!$C$113</f>
        <v>Culte</v>
      </c>
      <c r="F11" s="409" t="str">
        <f>'ANALYSE - ERP =&gt; SOUS-SEGMENT'!$D$113</f>
        <v>Églises, cathédrales, basiliques et chapelles ouvertes au public</v>
      </c>
      <c r="G11" s="685"/>
      <c r="H11" s="787">
        <f>'ANALYSE - ERP =&gt; SOUS-SEGMENT'!$JS$113</f>
        <v>0.1066</v>
      </c>
      <c r="I11" s="787">
        <f>'ANALYSE - ERP =&gt; SOUS-SEGMENT'!$JT$113</f>
        <v>0.53920000000000001</v>
      </c>
      <c r="J11" s="787">
        <f>'ANALYSE - ERP =&gt; SOUS-SEGMENT'!$JU$113</f>
        <v>0.32950000000000002</v>
      </c>
      <c r="K11" s="787">
        <f>'ANALYSE - ERP =&gt; SOUS-SEGMENT'!$JV$113</f>
        <v>2.47E-2</v>
      </c>
      <c r="L11" s="787">
        <f>'ANALYSE - ERP =&gt; SOUS-SEGMENT'!$JW$113</f>
        <v>0</v>
      </c>
      <c r="M11" s="685"/>
      <c r="N11" s="787">
        <f>'ANALYSE - ERP =&gt; SOUS-SEGMENT'!$JX$113</f>
        <v>9.2499999999999999E-2</v>
      </c>
      <c r="O11" s="787">
        <f>'ANALYSE - ERP =&gt; SOUS-SEGMENT'!$JY$113</f>
        <v>0.52190000000000003</v>
      </c>
      <c r="P11" s="787">
        <f>'ANALYSE - ERP =&gt; SOUS-SEGMENT'!$JZ$113</f>
        <v>0.34360000000000002</v>
      </c>
      <c r="Q11" s="787">
        <f>'ANALYSE - ERP =&gt; SOUS-SEGMENT'!$KA$113</f>
        <v>3.8800000000000001E-2</v>
      </c>
      <c r="R11" s="787">
        <f>'ANALYSE - ERP =&gt; SOUS-SEGMENT'!$KB$113</f>
        <v>3.2000000000000002E-3</v>
      </c>
      <c r="S11" s="685"/>
      <c r="T11" s="430">
        <f>'ANALYSE - ERP =&gt; SOUS-SEGMENT'!$Q$113</f>
        <v>1</v>
      </c>
      <c r="U11" s="685"/>
      <c r="V11" s="685"/>
      <c r="W11" s="685"/>
      <c r="X11" s="685"/>
      <c r="Y11" s="685"/>
      <c r="Z11" s="685"/>
      <c r="AA11" s="685"/>
      <c r="AB11" s="685"/>
      <c r="AC11" s="685"/>
      <c r="AD11" s="685"/>
      <c r="AE11" s="685"/>
      <c r="AF11" s="685"/>
      <c r="AG11" s="685"/>
      <c r="AH11" s="685"/>
      <c r="AI11" s="685"/>
      <c r="AJ11" s="685"/>
      <c r="AK11" s="685"/>
      <c r="AL11" s="685"/>
      <c r="AM11" s="685"/>
      <c r="AN11" s="685"/>
      <c r="AO11" s="685"/>
      <c r="AP11" s="685"/>
      <c r="AQ11" s="685"/>
      <c r="AR11" s="685"/>
      <c r="AS11" s="685"/>
      <c r="AT11" s="685"/>
      <c r="AU11" s="685"/>
      <c r="AV11" s="685"/>
      <c r="AW11" s="685"/>
      <c r="AX11" s="685"/>
      <c r="AY11" s="685"/>
      <c r="AZ11" s="685"/>
      <c r="BA11" s="685"/>
      <c r="BB11" s="685"/>
      <c r="BC11" s="685"/>
      <c r="BD11" s="685"/>
      <c r="BE11" s="685"/>
      <c r="BF11" s="685"/>
      <c r="BG11" s="685"/>
      <c r="BH11" s="685"/>
      <c r="BI11" s="685"/>
      <c r="BJ11" s="685"/>
      <c r="BK11" s="685"/>
      <c r="BL11" s="685"/>
      <c r="BM11" s="685"/>
      <c r="BN11" s="685"/>
      <c r="BO11" s="685"/>
      <c r="BP11" s="685"/>
      <c r="BQ11" s="685"/>
      <c r="BR11" s="685"/>
      <c r="BS11" s="685"/>
      <c r="BT11" s="685"/>
      <c r="BU11" s="685"/>
      <c r="BV11" s="685"/>
      <c r="BW11" s="685"/>
      <c r="BX11" s="685"/>
      <c r="BY11" s="685"/>
      <c r="BZ11" s="685"/>
    </row>
    <row r="12" spans="1:78" ht="15" customHeight="1">
      <c r="A12" s="26">
        <v>9</v>
      </c>
      <c r="B12" s="26">
        <v>9</v>
      </c>
      <c r="C12" s="422">
        <f>'ANALYSE - ERP =&gt; SOUS-SEGMENT'!$A$11</f>
        <v>4</v>
      </c>
      <c r="D12" s="413" t="str">
        <f>'ANALYSE - ERP =&gt; SOUS-SEGMENT'!$B$11</f>
        <v>Enfance, Enseignement, Jeunesse &amp; Formation</v>
      </c>
      <c r="E12" s="413" t="str">
        <f>'ANALYSE - ERP =&gt; SOUS-SEGMENT'!$C$11</f>
        <v>Enseignement scolaire</v>
      </c>
      <c r="F12" s="413" t="str">
        <f>'ANALYSE - ERP =&gt; SOUS-SEGMENT'!$D$11</f>
        <v>Écoles maternelles</v>
      </c>
      <c r="H12" s="787">
        <f>'ANALYSE - ERP =&gt; SOUS-SEGMENT'!$JS$11</f>
        <v>0.1028</v>
      </c>
      <c r="I12" s="787">
        <f>'ANALYSE - ERP =&gt; SOUS-SEGMENT'!$JT$11</f>
        <v>0.54339999999999999</v>
      </c>
      <c r="J12" s="787">
        <f>'ANALYSE - ERP =&gt; SOUS-SEGMENT'!$JU$11</f>
        <v>0.33050000000000002</v>
      </c>
      <c r="K12" s="787">
        <f>'ANALYSE - ERP =&gt; SOUS-SEGMENT'!$JV$11</f>
        <v>2.3099999999999999E-2</v>
      </c>
      <c r="L12" s="787">
        <f>'ANALYSE - ERP =&gt; SOUS-SEGMENT'!$JW$11</f>
        <v>2.0000000000000001E-4</v>
      </c>
      <c r="N12" s="787">
        <f>'ANALYSE - ERP =&gt; SOUS-SEGMENT'!$JX$11</f>
        <v>4.2200000000000001E-2</v>
      </c>
      <c r="O12" s="787">
        <f>'ANALYSE - ERP =&gt; SOUS-SEGMENT'!$JY$11</f>
        <v>0.41820000000000002</v>
      </c>
      <c r="P12" s="787">
        <f>'ANALYSE - ERP =&gt; SOUS-SEGMENT'!$JZ$11</f>
        <v>0.4763</v>
      </c>
      <c r="Q12" s="787">
        <f>'ANALYSE - ERP =&gt; SOUS-SEGMENT'!$KA$11</f>
        <v>6.2399999999999997E-2</v>
      </c>
      <c r="R12" s="787">
        <f>'ANALYSE - ERP =&gt; SOUS-SEGMENT'!$KB$11</f>
        <v>8.9999999999999998E-4</v>
      </c>
      <c r="T12" s="430">
        <f>'ANALYSE - ERP =&gt; SOUS-SEGMENT'!$Q$11</f>
        <v>1</v>
      </c>
    </row>
    <row r="13" spans="1:78" s="45" customFormat="1" ht="15" customHeight="1">
      <c r="A13" s="406">
        <v>10</v>
      </c>
      <c r="B13" s="406">
        <v>10</v>
      </c>
      <c r="C13" s="448">
        <f>'ANALYSE - ERP =&gt; SOUS-SEGMENT'!$A$21</f>
        <v>14</v>
      </c>
      <c r="D13" s="449" t="str">
        <f>'ANALYSE - ERP =&gt; SOUS-SEGMENT'!$B$21</f>
        <v>Sports &amp; Loisirs</v>
      </c>
      <c r="E13" s="449" t="str">
        <f>'ANALYSE - ERP =&gt; SOUS-SEGMENT'!$C$21</f>
        <v>Sport couvert / Thermalisme / Bien-être</v>
      </c>
      <c r="F13" s="449" t="str">
        <f>'ANALYSE - ERP =&gt; SOUS-SEGMENT'!$D$21</f>
        <v>Gymnases / salles multisports
(hors scolaire, mais gymnase municipaux inclus)</v>
      </c>
      <c r="G13" s="685"/>
      <c r="H13" s="788">
        <f>'ANALYSE - ERP =&gt; SOUS-SEGMENT'!$JS$21</f>
        <v>0.18010000000000001</v>
      </c>
      <c r="I13" s="788">
        <f>'ANALYSE - ERP =&gt; SOUS-SEGMENT'!$JT$21</f>
        <v>0.63070000000000004</v>
      </c>
      <c r="J13" s="788">
        <f>'ANALYSE - ERP =&gt; SOUS-SEGMENT'!$JU$21</f>
        <v>0.18920000000000001</v>
      </c>
      <c r="K13" s="788">
        <f>'ANALYSE - ERP =&gt; SOUS-SEGMENT'!$JV$21</f>
        <v>0</v>
      </c>
      <c r="L13" s="788">
        <f>'ANALYSE - ERP =&gt; SOUS-SEGMENT'!$JW$21</f>
        <v>0</v>
      </c>
      <c r="M13" s="685"/>
      <c r="N13" s="788">
        <f>'ANALYSE - ERP =&gt; SOUS-SEGMENT'!$JX$21</f>
        <v>8.9899999999999994E-2</v>
      </c>
      <c r="O13" s="788">
        <f>'ANALYSE - ERP =&gt; SOUS-SEGMENT'!$JY$21</f>
        <v>0.59019999999999995</v>
      </c>
      <c r="P13" s="788">
        <f>'ANALYSE - ERP =&gt; SOUS-SEGMENT'!$JZ$21</f>
        <v>0.31990000000000002</v>
      </c>
      <c r="Q13" s="788">
        <f>'ANALYSE - ERP =&gt; SOUS-SEGMENT'!$KA$21</f>
        <v>0</v>
      </c>
      <c r="R13" s="788">
        <f>'ANALYSE - ERP =&gt; SOUS-SEGMENT'!$KB$21</f>
        <v>0</v>
      </c>
      <c r="S13" s="685"/>
      <c r="T13" s="450">
        <f>'ANALYSE - ERP =&gt; SOUS-SEGMENT'!$Q$21</f>
        <v>1</v>
      </c>
      <c r="U13" s="685"/>
      <c r="V13" s="685"/>
      <c r="W13" s="685"/>
      <c r="X13" s="685"/>
      <c r="Y13" s="685"/>
      <c r="Z13" s="685"/>
      <c r="AA13" s="685"/>
      <c r="AB13" s="685"/>
      <c r="AC13" s="685"/>
      <c r="AD13" s="685"/>
      <c r="AE13" s="685"/>
      <c r="AF13" s="685"/>
      <c r="AG13" s="685"/>
      <c r="AH13" s="685"/>
      <c r="AI13" s="685"/>
      <c r="AJ13" s="685"/>
      <c r="AK13" s="685"/>
      <c r="AL13" s="685"/>
      <c r="AM13" s="685"/>
      <c r="AN13" s="685"/>
      <c r="AO13" s="685"/>
      <c r="AP13" s="685"/>
      <c r="AQ13" s="685"/>
      <c r="AR13" s="685"/>
      <c r="AS13" s="685"/>
      <c r="AT13" s="685"/>
      <c r="AU13" s="685"/>
      <c r="AV13" s="685"/>
      <c r="AW13" s="685"/>
      <c r="AX13" s="685"/>
      <c r="AY13" s="685"/>
      <c r="AZ13" s="685"/>
      <c r="BA13" s="685"/>
      <c r="BB13" s="685"/>
      <c r="BC13" s="685"/>
      <c r="BD13" s="685"/>
      <c r="BE13" s="685"/>
      <c r="BF13" s="685"/>
      <c r="BG13" s="685"/>
      <c r="BH13" s="685"/>
      <c r="BI13" s="685"/>
      <c r="BJ13" s="685"/>
      <c r="BK13" s="685"/>
      <c r="BL13" s="685"/>
      <c r="BM13" s="685"/>
      <c r="BN13" s="685"/>
      <c r="BO13" s="685"/>
      <c r="BP13" s="685"/>
      <c r="BQ13" s="685"/>
      <c r="BR13" s="685"/>
      <c r="BS13" s="685"/>
      <c r="BT13" s="685"/>
      <c r="BU13" s="685"/>
      <c r="BV13" s="685"/>
      <c r="BW13" s="685"/>
      <c r="BX13" s="685"/>
      <c r="BY13" s="685"/>
      <c r="BZ13" s="685"/>
    </row>
    <row r="14" spans="1:78" ht="15" customHeight="1">
      <c r="A14" s="26">
        <v>11</v>
      </c>
      <c r="B14" s="26">
        <v>11</v>
      </c>
      <c r="C14" s="422">
        <f>'ANALYSE - ERP =&gt; SOUS-SEGMENT'!$A$76</f>
        <v>69</v>
      </c>
      <c r="D14" s="409" t="str">
        <f>'ANALYSE - ERP =&gt; SOUS-SEGMENT'!$B$76</f>
        <v>Commerce, Restauration &amp; Loisirs</v>
      </c>
      <c r="E14" s="409" t="str">
        <f>'ANALYSE - ERP =&gt; SOUS-SEGMENT'!$C$76</f>
        <v>Restauration / boissons</v>
      </c>
      <c r="F14" s="409" t="str">
        <f>'ANALYSE - ERP =&gt; SOUS-SEGMENT'!$D$76</f>
        <v>Cafés / bars / brasseries</v>
      </c>
      <c r="H14" s="787">
        <f>'ANALYSE - ERP =&gt; SOUS-SEGMENT'!$JS$76</f>
        <v>3.1600000000000003E-2</v>
      </c>
      <c r="I14" s="787">
        <f>'ANALYSE - ERP =&gt; SOUS-SEGMENT'!$JT$76</f>
        <v>0.32169999999999999</v>
      </c>
      <c r="J14" s="787">
        <f>'ANALYSE - ERP =&gt; SOUS-SEGMENT'!$JU$76</f>
        <v>0.43290000000000001</v>
      </c>
      <c r="K14" s="787">
        <f>'ANALYSE - ERP =&gt; SOUS-SEGMENT'!$JV$76</f>
        <v>0.17349999999999999</v>
      </c>
      <c r="L14" s="787">
        <f>'ANALYSE - ERP =&gt; SOUS-SEGMENT'!$JW$76</f>
        <v>4.0300000000000002E-2</v>
      </c>
      <c r="N14" s="787">
        <f>'ANALYSE - ERP =&gt; SOUS-SEGMENT'!$JX$76</f>
        <v>0</v>
      </c>
      <c r="O14" s="787">
        <f>'ANALYSE - ERP =&gt; SOUS-SEGMENT'!$JY$76</f>
        <v>0.23849999999999999</v>
      </c>
      <c r="P14" s="787">
        <f>'ANALYSE - ERP =&gt; SOUS-SEGMENT'!$JZ$76</f>
        <v>0.46710000000000002</v>
      </c>
      <c r="Q14" s="787">
        <f>'ANALYSE - ERP =&gt; SOUS-SEGMENT'!$KA$76</f>
        <v>0.2422</v>
      </c>
      <c r="R14" s="787">
        <f>'ANALYSE - ERP =&gt; SOUS-SEGMENT'!$KB$76</f>
        <v>5.2200000000000003E-2</v>
      </c>
      <c r="T14" s="430">
        <f>'ANALYSE - ERP =&gt; SOUS-SEGMENT'!$Q$76</f>
        <v>1</v>
      </c>
    </row>
    <row r="15" spans="1:78" s="45" customFormat="1" ht="15" customHeight="1">
      <c r="A15" s="406">
        <v>12</v>
      </c>
      <c r="B15" s="406">
        <v>12</v>
      </c>
      <c r="C15" s="448">
        <f>'ANALYSE - ERP =&gt; SOUS-SEGMENT'!$A$13</f>
        <v>6</v>
      </c>
      <c r="D15" s="449" t="str">
        <f>'ANALYSE - ERP =&gt; SOUS-SEGMENT'!$B$13</f>
        <v>Enfance, Enseignement, Jeunesse &amp; Formation</v>
      </c>
      <c r="E15" s="449" t="str">
        <f>'ANALYSE - ERP =&gt; SOUS-SEGMENT'!$C$13</f>
        <v>Enseignement scolaire</v>
      </c>
      <c r="F15" s="449" t="str">
        <f>'ANALYSE - ERP =&gt; SOUS-SEGMENT'!$D$13</f>
        <v>Collèges
(vestiaires EPS inclus)</v>
      </c>
      <c r="G15" s="685"/>
      <c r="H15" s="788">
        <f>'ANALYSE - ERP =&gt; SOUS-SEGMENT'!$JS$13</f>
        <v>0.1177</v>
      </c>
      <c r="I15" s="788">
        <f>'ANALYSE - ERP =&gt; SOUS-SEGMENT'!$JT$13</f>
        <v>0.55840000000000001</v>
      </c>
      <c r="J15" s="788">
        <f>'ANALYSE - ERP =&gt; SOUS-SEGMENT'!$JU$13</f>
        <v>0.30470000000000003</v>
      </c>
      <c r="K15" s="788">
        <f>'ANALYSE - ERP =&gt; SOUS-SEGMENT'!$JV$13</f>
        <v>1.9099999999999999E-2</v>
      </c>
      <c r="L15" s="788">
        <f>'ANALYSE - ERP =&gt; SOUS-SEGMENT'!$JW$13</f>
        <v>1E-4</v>
      </c>
      <c r="M15" s="685"/>
      <c r="N15" s="788">
        <f>'ANALYSE - ERP =&gt; SOUS-SEGMENT'!$JX$13</f>
        <v>4.4299999999999999E-2</v>
      </c>
      <c r="O15" s="788">
        <f>'ANALYSE - ERP =&gt; SOUS-SEGMENT'!$JY$13</f>
        <v>0.4254</v>
      </c>
      <c r="P15" s="788">
        <f>'ANALYSE - ERP =&gt; SOUS-SEGMENT'!$JZ$13</f>
        <v>0.46970000000000001</v>
      </c>
      <c r="Q15" s="788">
        <f>'ANALYSE - ERP =&gt; SOUS-SEGMENT'!$KA$13</f>
        <v>5.9700000000000003E-2</v>
      </c>
      <c r="R15" s="788">
        <f>'ANALYSE - ERP =&gt; SOUS-SEGMENT'!$KB$13</f>
        <v>8.9999999999999998E-4</v>
      </c>
      <c r="S15" s="685"/>
      <c r="T15" s="450">
        <f>'ANALYSE - ERP =&gt; SOUS-SEGMENT'!$Q$13</f>
        <v>1</v>
      </c>
      <c r="U15" s="685"/>
      <c r="V15" s="685"/>
      <c r="W15" s="685"/>
      <c r="X15" s="685"/>
      <c r="Y15" s="685"/>
      <c r="Z15" s="685"/>
      <c r="AA15" s="685"/>
      <c r="AB15" s="685"/>
      <c r="AC15" s="685"/>
      <c r="AD15" s="685"/>
      <c r="AE15" s="685"/>
      <c r="AF15" s="685"/>
      <c r="AG15" s="685"/>
      <c r="AH15" s="685"/>
      <c r="AI15" s="685"/>
      <c r="AJ15" s="685"/>
      <c r="AK15" s="685"/>
      <c r="AL15" s="685"/>
      <c r="AM15" s="685"/>
      <c r="AN15" s="685"/>
      <c r="AO15" s="685"/>
      <c r="AP15" s="685"/>
      <c r="AQ15" s="685"/>
      <c r="AR15" s="685"/>
      <c r="AS15" s="685"/>
      <c r="AT15" s="685"/>
      <c r="AU15" s="685"/>
      <c r="AV15" s="685"/>
      <c r="AW15" s="685"/>
      <c r="AX15" s="685"/>
      <c r="AY15" s="685"/>
      <c r="AZ15" s="685"/>
      <c r="BA15" s="685"/>
      <c r="BB15" s="685"/>
      <c r="BC15" s="685"/>
      <c r="BD15" s="685"/>
      <c r="BE15" s="685"/>
      <c r="BF15" s="685"/>
      <c r="BG15" s="685"/>
      <c r="BH15" s="685"/>
      <c r="BI15" s="685"/>
      <c r="BJ15" s="685"/>
      <c r="BK15" s="685"/>
      <c r="BL15" s="685"/>
      <c r="BM15" s="685"/>
      <c r="BN15" s="685"/>
      <c r="BO15" s="685"/>
      <c r="BP15" s="685"/>
      <c r="BQ15" s="685"/>
      <c r="BR15" s="685"/>
      <c r="BS15" s="685"/>
      <c r="BT15" s="685"/>
      <c r="BU15" s="685"/>
      <c r="BV15" s="685"/>
      <c r="BW15" s="685"/>
      <c r="BX15" s="685"/>
      <c r="BY15" s="685"/>
      <c r="BZ15" s="685"/>
    </row>
    <row r="16" spans="1:78" ht="15" customHeight="1">
      <c r="A16" s="26">
        <v>13</v>
      </c>
      <c r="B16" s="26">
        <v>15</v>
      </c>
      <c r="C16" s="422">
        <f>'ANALYSE - ERP =&gt; SOUS-SEGMENT'!$A$8</f>
        <v>1</v>
      </c>
      <c r="D16" s="408" t="str">
        <f>'ANALYSE - ERP =&gt; SOUS-SEGMENT'!$B$8</f>
        <v>Enfance, Enseignement, Jeunesse &amp; Formation</v>
      </c>
      <c r="E16" s="408" t="str">
        <f>'ANALYSE - ERP =&gt; SOUS-SEGMENT'!$C$8</f>
        <v>Petite enfance</v>
      </c>
      <c r="F16" s="408" t="str">
        <f>'ANALYSE - ERP =&gt; SOUS-SEGMENT'!$D$8</f>
        <v>Crèches</v>
      </c>
      <c r="H16" s="787">
        <f>'ANALYSE - ERP =&gt; SOUS-SEGMENT'!$JS$8</f>
        <v>1.7600000000000001E-2</v>
      </c>
      <c r="I16" s="787">
        <f>'ANALYSE - ERP =&gt; SOUS-SEGMENT'!$JT$8</f>
        <v>0.36049999999999999</v>
      </c>
      <c r="J16" s="787">
        <f>'ANALYSE - ERP =&gt; SOUS-SEGMENT'!$JU$8</f>
        <v>0.5212</v>
      </c>
      <c r="K16" s="787">
        <f>'ANALYSE - ERP =&gt; SOUS-SEGMENT'!$JV$8</f>
        <v>0.1007</v>
      </c>
      <c r="L16" s="787">
        <f>'ANALYSE - ERP =&gt; SOUS-SEGMENT'!$JW$8</f>
        <v>0</v>
      </c>
      <c r="N16" s="787">
        <f>'ANALYSE - ERP =&gt; SOUS-SEGMENT'!$JX$8</f>
        <v>0</v>
      </c>
      <c r="O16" s="787">
        <f>'ANALYSE - ERP =&gt; SOUS-SEGMENT'!$JY$8</f>
        <v>0.18729999999999999</v>
      </c>
      <c r="P16" s="787">
        <f>'ANALYSE - ERP =&gt; SOUS-SEGMENT'!$JZ$8</f>
        <v>0.57089999999999996</v>
      </c>
      <c r="Q16" s="787">
        <f>'ANALYSE - ERP =&gt; SOUS-SEGMENT'!$KA$8</f>
        <v>0.24179999999999999</v>
      </c>
      <c r="R16" s="787">
        <f>'ANALYSE - ERP =&gt; SOUS-SEGMENT'!$KB$8</f>
        <v>0</v>
      </c>
      <c r="T16" s="430">
        <f>'ANALYSE - ERP =&gt; SOUS-SEGMENT'!$Q$8</f>
        <v>1</v>
      </c>
    </row>
    <row r="17" spans="1:20" ht="15" customHeight="1">
      <c r="A17" s="26">
        <v>14</v>
      </c>
      <c r="B17" s="26">
        <v>13</v>
      </c>
      <c r="C17" s="422">
        <f>'ANALYSE - ERP =&gt; SOUS-SEGMENT'!$A$14</f>
        <v>7</v>
      </c>
      <c r="D17" s="411" t="str">
        <f>'ANALYSE - ERP =&gt; SOUS-SEGMENT'!$B$14</f>
        <v>Enfance, Enseignement, Jeunesse &amp; Formation</v>
      </c>
      <c r="E17" s="411" t="str">
        <f>'ANALYSE - ERP =&gt; SOUS-SEGMENT'!$C$14</f>
        <v>Enseignement scolaire</v>
      </c>
      <c r="F17" s="411" t="str">
        <f>'ANALYSE - ERP =&gt; SOUS-SEGMENT'!$D$14</f>
        <v>Lycées
(vestiaires EPS inclus)</v>
      </c>
      <c r="H17" s="787">
        <f>'ANALYSE - ERP =&gt; SOUS-SEGMENT'!$JS$14</f>
        <v>0.1086</v>
      </c>
      <c r="I17" s="787">
        <f>'ANALYSE - ERP =&gt; SOUS-SEGMENT'!$JT$14</f>
        <v>0.54969999999999997</v>
      </c>
      <c r="J17" s="787">
        <f>'ANALYSE - ERP =&gt; SOUS-SEGMENT'!$JU$14</f>
        <v>0.3201</v>
      </c>
      <c r="K17" s="787">
        <f>'ANALYSE - ERP =&gt; SOUS-SEGMENT'!$JV$14</f>
        <v>2.1399999999999999E-2</v>
      </c>
      <c r="L17" s="787">
        <f>'ANALYSE - ERP =&gt; SOUS-SEGMENT'!$JW$14</f>
        <v>2.0000000000000001E-4</v>
      </c>
      <c r="N17" s="787">
        <f>'ANALYSE - ERP =&gt; SOUS-SEGMENT'!$JX$14</f>
        <v>3.9899999999999998E-2</v>
      </c>
      <c r="O17" s="787">
        <f>'ANALYSE - ERP =&gt; SOUS-SEGMENT'!$JY$14</f>
        <v>0.40949999999999998</v>
      </c>
      <c r="P17" s="787">
        <f>'ANALYSE - ERP =&gt; SOUS-SEGMENT'!$JZ$14</f>
        <v>0.48380000000000001</v>
      </c>
      <c r="Q17" s="787">
        <f>'ANALYSE - ERP =&gt; SOUS-SEGMENT'!$KA$14</f>
        <v>6.5799999999999997E-2</v>
      </c>
      <c r="R17" s="787">
        <f>'ANALYSE - ERP =&gt; SOUS-SEGMENT'!$KB$14</f>
        <v>1E-3</v>
      </c>
      <c r="T17" s="430">
        <f>'ANALYSE - ERP =&gt; SOUS-SEGMENT'!$Q$14</f>
        <v>1</v>
      </c>
    </row>
    <row r="18" spans="1:20" ht="15" customHeight="1">
      <c r="A18" s="26">
        <v>15</v>
      </c>
      <c r="B18" s="26">
        <v>14</v>
      </c>
      <c r="C18" s="422">
        <f>'ANALYSE - ERP =&gt; SOUS-SEGMENT'!$A$29</f>
        <v>22</v>
      </c>
      <c r="D18" s="409" t="str">
        <f>'ANALYSE - ERP =&gt; SOUS-SEGMENT'!$B$29</f>
        <v>Sports &amp; Loisirs</v>
      </c>
      <c r="E18" s="409" t="str">
        <f>'ANALYSE - ERP =&gt; SOUS-SEGMENT'!$C$29</f>
        <v>Sport de plein air</v>
      </c>
      <c r="F18" s="409" t="str">
        <f>'ANALYSE - ERP =&gt; SOUS-SEGMENT'!$D$29</f>
        <v xml:space="preserve">Grands stades avec tribunes
(Type football/rugby) </v>
      </c>
      <c r="H18" s="787">
        <f>'ANALYSE - ERP =&gt; SOUS-SEGMENT'!$JS$29</f>
        <v>4.4600000000000001E-2</v>
      </c>
      <c r="I18" s="787">
        <f>'ANALYSE - ERP =&gt; SOUS-SEGMENT'!$JT$29</f>
        <v>0.51219999999999999</v>
      </c>
      <c r="J18" s="787">
        <f>'ANALYSE - ERP =&gt; SOUS-SEGMENT'!$JU$29</f>
        <v>0.41320000000000001</v>
      </c>
      <c r="K18" s="787">
        <f>'ANALYSE - ERP =&gt; SOUS-SEGMENT'!$JV$29</f>
        <v>0.03</v>
      </c>
      <c r="L18" s="787">
        <f>'ANALYSE - ERP =&gt; SOUS-SEGMENT'!$JW$29</f>
        <v>0</v>
      </c>
      <c r="N18" s="787">
        <f>'ANALYSE - ERP =&gt; SOUS-SEGMENT'!$JX$29</f>
        <v>1.4500000000000001E-2</v>
      </c>
      <c r="O18" s="787">
        <f>'ANALYSE - ERP =&gt; SOUS-SEGMENT'!$JY$29</f>
        <v>0.35070000000000001</v>
      </c>
      <c r="P18" s="787">
        <f>'ANALYSE - ERP =&gt; SOUS-SEGMENT'!$JZ$29</f>
        <v>0.56610000000000005</v>
      </c>
      <c r="Q18" s="787">
        <f>'ANALYSE - ERP =&gt; SOUS-SEGMENT'!$KA$29</f>
        <v>6.8699999999999997E-2</v>
      </c>
      <c r="R18" s="787">
        <f>'ANALYSE - ERP =&gt; SOUS-SEGMENT'!$KB$29</f>
        <v>0</v>
      </c>
      <c r="T18" s="430">
        <f>'ANALYSE - ERP =&gt; SOUS-SEGMENT'!$Q$29</f>
        <v>1</v>
      </c>
    </row>
    <row r="19" spans="1:20" ht="15" customHeight="1">
      <c r="A19" s="26">
        <v>16</v>
      </c>
      <c r="B19" s="26">
        <v>16</v>
      </c>
      <c r="C19" s="422">
        <f>'ANALYSE - ERP =&gt; SOUS-SEGMENT'!$A$56</f>
        <v>49</v>
      </c>
      <c r="D19" s="409" t="str">
        <f>'ANALYSE - ERP =&gt; SOUS-SEGMENT'!$B$56</f>
        <v>Santé &amp; Médico-social</v>
      </c>
      <c r="E19" s="409" t="str">
        <f>'ANALYSE - ERP =&gt; SOUS-SEGMENT'!$C$56</f>
        <v>Médico-social</v>
      </c>
      <c r="F19" s="409" t="str">
        <f>'ANALYSE - ERP =&gt; SOUS-SEGMENT'!$D$56</f>
        <v>Foyers pour personnes handicapées</v>
      </c>
      <c r="H19" s="787">
        <f>'ANALYSE - ERP =&gt; SOUS-SEGMENT'!$JS$56</f>
        <v>0</v>
      </c>
      <c r="I19" s="787">
        <f>'ANALYSE - ERP =&gt; SOUS-SEGMENT'!$JT$56</f>
        <v>0.30730000000000002</v>
      </c>
      <c r="J19" s="787">
        <f>'ANALYSE - ERP =&gt; SOUS-SEGMENT'!$JU$56</f>
        <v>0.54849999999999999</v>
      </c>
      <c r="K19" s="787">
        <f>'ANALYSE - ERP =&gt; SOUS-SEGMENT'!$JV$56</f>
        <v>0.14419999999999999</v>
      </c>
      <c r="L19" s="787">
        <f>'ANALYSE - ERP =&gt; SOUS-SEGMENT'!$JW$56</f>
        <v>0</v>
      </c>
      <c r="N19" s="787">
        <f>'ANALYSE - ERP =&gt; SOUS-SEGMENT'!$JX$56</f>
        <v>0</v>
      </c>
      <c r="O19" s="787">
        <f>'ANALYSE - ERP =&gt; SOUS-SEGMENT'!$JY$56</f>
        <v>0.15340000000000001</v>
      </c>
      <c r="P19" s="787">
        <f>'ANALYSE - ERP =&gt; SOUS-SEGMENT'!$JZ$56</f>
        <v>0.57010000000000005</v>
      </c>
      <c r="Q19" s="787">
        <f>'ANALYSE - ERP =&gt; SOUS-SEGMENT'!$KA$56</f>
        <v>0.27650000000000002</v>
      </c>
      <c r="R19" s="787">
        <f>'ANALYSE - ERP =&gt; SOUS-SEGMENT'!$KB$56</f>
        <v>0</v>
      </c>
      <c r="T19" s="430">
        <f>'ANALYSE - ERP =&gt; SOUS-SEGMENT'!$Q$56</f>
        <v>1</v>
      </c>
    </row>
    <row r="20" spans="1:20" ht="15" customHeight="1">
      <c r="A20" s="26">
        <v>17</v>
      </c>
      <c r="B20" s="26">
        <v>17</v>
      </c>
      <c r="C20" s="422">
        <f>'ANALYSE - ERP =&gt; SOUS-SEGMENT'!$A$44</f>
        <v>37</v>
      </c>
      <c r="D20" s="416" t="str">
        <f>'ANALYSE - ERP =&gt; SOUS-SEGMENT'!$B$44</f>
        <v>Santé &amp; Médico-social</v>
      </c>
      <c r="E20" s="416" t="str">
        <f>'ANALYSE - ERP =&gt; SOUS-SEGMENT'!$C$44</f>
        <v>Santé hospitalière</v>
      </c>
      <c r="F20" s="416" t="str">
        <f>'ANALYSE - ERP =&gt; SOUS-SEGMENT'!$D$44</f>
        <v>Hôpitaux publics 
(Hors CHU, Universitaire, Militaire, Carcéral)</v>
      </c>
      <c r="H20" s="787">
        <f>'ANALYSE - ERP =&gt; SOUS-SEGMENT'!$JS$44</f>
        <v>0</v>
      </c>
      <c r="I20" s="787">
        <f>'ANALYSE - ERP =&gt; SOUS-SEGMENT'!$JT$44</f>
        <v>0.30840000000000001</v>
      </c>
      <c r="J20" s="787">
        <f>'ANALYSE - ERP =&gt; SOUS-SEGMENT'!$JU$44</f>
        <v>0.58120000000000005</v>
      </c>
      <c r="K20" s="787">
        <f>'ANALYSE - ERP =&gt; SOUS-SEGMENT'!$JV$44</f>
        <v>0.1104</v>
      </c>
      <c r="L20" s="787">
        <f>'ANALYSE - ERP =&gt; SOUS-SEGMENT'!$JW$44</f>
        <v>0</v>
      </c>
      <c r="N20" s="787">
        <f>'ANALYSE - ERP =&gt; SOUS-SEGMENT'!$JX$44</f>
        <v>0</v>
      </c>
      <c r="O20" s="787">
        <f>'ANALYSE - ERP =&gt; SOUS-SEGMENT'!$JY$44</f>
        <v>0.18029999999999999</v>
      </c>
      <c r="P20" s="787">
        <f>'ANALYSE - ERP =&gt; SOUS-SEGMENT'!$JZ$44</f>
        <v>0.60570000000000002</v>
      </c>
      <c r="Q20" s="787">
        <f>'ANALYSE - ERP =&gt; SOUS-SEGMENT'!$KA$44</f>
        <v>0.214</v>
      </c>
      <c r="R20" s="787">
        <f>'ANALYSE - ERP =&gt; SOUS-SEGMENT'!$KB$44</f>
        <v>0</v>
      </c>
      <c r="T20" s="430">
        <f>'ANALYSE - ERP =&gt; SOUS-SEGMENT'!$Q$44</f>
        <v>1</v>
      </c>
    </row>
    <row r="21" spans="1:20" ht="15" customHeight="1">
      <c r="A21" s="26">
        <v>18</v>
      </c>
      <c r="B21" s="26">
        <v>18</v>
      </c>
      <c r="C21" s="422">
        <f>'ANALYSE - ERP =&gt; SOUS-SEGMENT'!$A$94</f>
        <v>87</v>
      </c>
      <c r="D21" s="417" t="str">
        <f>'ANALYSE - ERP =&gt; SOUS-SEGMENT'!$B$94</f>
        <v>Hébergement Touristique</v>
      </c>
      <c r="E21" s="417" t="str">
        <f>'ANALYSE - ERP =&gt; SOUS-SEGMENT'!$C$94</f>
        <v>Tourisme de plein air</v>
      </c>
      <c r="F21" s="417" t="str">
        <f>'ANALYSE - ERP =&gt; SOUS-SEGMENT'!$D$94</f>
        <v>Campings</v>
      </c>
      <c r="H21" s="787">
        <f>'ANALYSE - ERP =&gt; SOUS-SEGMENT'!$JS$94</f>
        <v>0.1019</v>
      </c>
      <c r="I21" s="787">
        <f>'ANALYSE - ERP =&gt; SOUS-SEGMENT'!$JT$94</f>
        <v>0.52129999999999999</v>
      </c>
      <c r="J21" s="787">
        <f>'ANALYSE - ERP =&gt; SOUS-SEGMENT'!$JU$94</f>
        <v>0.34660000000000002</v>
      </c>
      <c r="K21" s="787">
        <f>'ANALYSE - ERP =&gt; SOUS-SEGMENT'!$JV$94</f>
        <v>2.9899999999999999E-2</v>
      </c>
      <c r="L21" s="787">
        <f>'ANALYSE - ERP =&gt; SOUS-SEGMENT'!$JW$94</f>
        <v>2.9999999999999997E-4</v>
      </c>
      <c r="N21" s="787">
        <f>'ANALYSE - ERP =&gt; SOUS-SEGMENT'!$JX$94</f>
        <v>4.1799999999999997E-2</v>
      </c>
      <c r="O21" s="787">
        <f>'ANALYSE - ERP =&gt; SOUS-SEGMENT'!$JY$94</f>
        <v>0.39500000000000002</v>
      </c>
      <c r="P21" s="787">
        <f>'ANALYSE - ERP =&gt; SOUS-SEGMENT'!$JZ$94</f>
        <v>0.4844</v>
      </c>
      <c r="Q21" s="787">
        <f>'ANALYSE - ERP =&gt; SOUS-SEGMENT'!$KA$94</f>
        <v>7.7200000000000005E-2</v>
      </c>
      <c r="R21" s="787">
        <f>'ANALYSE - ERP =&gt; SOUS-SEGMENT'!$KB$94</f>
        <v>1.6000000000000001E-3</v>
      </c>
      <c r="T21" s="430">
        <f>'ANALYSE - ERP =&gt; SOUS-SEGMENT'!$Q$94</f>
        <v>1</v>
      </c>
    </row>
    <row r="22" spans="1:20" ht="15" customHeight="1">
      <c r="A22" s="26">
        <v>19</v>
      </c>
      <c r="B22" s="26">
        <v>19</v>
      </c>
      <c r="C22" s="422">
        <f>'ANALYSE - ERP =&gt; SOUS-SEGMENT'!$A$27</f>
        <v>20</v>
      </c>
      <c r="D22" s="408" t="str">
        <f>'ANALYSE - ERP =&gt; SOUS-SEGMENT'!$B$27</f>
        <v>Sports &amp; Loisirs</v>
      </c>
      <c r="E22" s="408" t="str">
        <f>'ANALYSE - ERP =&gt; SOUS-SEGMENT'!$C$27</f>
        <v>Sport de plein air</v>
      </c>
      <c r="F22" s="408" t="str">
        <f>'ANALYSE - ERP =&gt; SOUS-SEGMENT'!$D$27</f>
        <v>Terrains de sport
(Hors scolaire, sans tribune)</v>
      </c>
      <c r="H22" s="787">
        <f>'ANALYSE - ERP =&gt; SOUS-SEGMENT'!$JS$27</f>
        <v>0.16900000000000001</v>
      </c>
      <c r="I22" s="787">
        <f>'ANALYSE - ERP =&gt; SOUS-SEGMENT'!$JT$27</f>
        <v>0.57469999999999999</v>
      </c>
      <c r="J22" s="787">
        <f>'ANALYSE - ERP =&gt; SOUS-SEGMENT'!$JU$27</f>
        <v>0.24</v>
      </c>
      <c r="K22" s="787">
        <f>'ANALYSE - ERP =&gt; SOUS-SEGMENT'!$JV$27</f>
        <v>1.6299999999999999E-2</v>
      </c>
      <c r="L22" s="787">
        <f>'ANALYSE - ERP =&gt; SOUS-SEGMENT'!$JW$27</f>
        <v>0</v>
      </c>
      <c r="N22" s="787">
        <f>'ANALYSE - ERP =&gt; SOUS-SEGMENT'!$JX$27</f>
        <v>0.15129999999999999</v>
      </c>
      <c r="O22" s="787">
        <f>'ANALYSE - ERP =&gt; SOUS-SEGMENT'!$JY$27</f>
        <v>0.55300000000000005</v>
      </c>
      <c r="P22" s="787">
        <f>'ANALYSE - ERP =&gt; SOUS-SEGMENT'!$JZ$27</f>
        <v>0.25769999999999998</v>
      </c>
      <c r="Q22" s="787">
        <f>'ANALYSE - ERP =&gt; SOUS-SEGMENT'!$KA$27</f>
        <v>3.4000000000000002E-2</v>
      </c>
      <c r="R22" s="787">
        <f>'ANALYSE - ERP =&gt; SOUS-SEGMENT'!$KB$27</f>
        <v>4.0000000000000001E-3</v>
      </c>
      <c r="T22" s="430">
        <f>'ANALYSE - ERP =&gt; SOUS-SEGMENT'!$Q$27</f>
        <v>1</v>
      </c>
    </row>
    <row r="23" spans="1:20" ht="15" customHeight="1">
      <c r="A23" s="26">
        <v>20</v>
      </c>
      <c r="B23" s="26">
        <v>20</v>
      </c>
      <c r="C23" s="422">
        <f>'ANALYSE - ERP =&gt; SOUS-SEGMENT'!$A$84</f>
        <v>77</v>
      </c>
      <c r="D23" s="409" t="str">
        <f>'ANALYSE - ERP =&gt; SOUS-SEGMENT'!$B$84</f>
        <v>Tertiaire &amp; Industriel</v>
      </c>
      <c r="E23" s="409" t="str">
        <f>'ANALYSE - ERP =&gt; SOUS-SEGMENT'!$C$84</f>
        <v>Usines &amp; Ateliers</v>
      </c>
      <c r="F23" s="409" t="str">
        <f>'ANALYSE - ERP =&gt; SOUS-SEGMENT'!$D$84</f>
        <v>Usines 
(&gt;50 salariés)
(Hors Ateliers industriels)</v>
      </c>
      <c r="H23" s="787">
        <f>'ANALYSE - ERP =&gt; SOUS-SEGMENT'!$JS$84</f>
        <v>3.2599999999999997E-2</v>
      </c>
      <c r="I23" s="787">
        <f>'ANALYSE - ERP =&gt; SOUS-SEGMENT'!$JT$84</f>
        <v>0.4148</v>
      </c>
      <c r="J23" s="787">
        <f>'ANALYSE - ERP =&gt; SOUS-SEGMENT'!$JU$84</f>
        <v>0.49380000000000002</v>
      </c>
      <c r="K23" s="787">
        <f>'ANALYSE - ERP =&gt; SOUS-SEGMENT'!$JV$84</f>
        <v>5.8799999999999998E-2</v>
      </c>
      <c r="L23" s="787">
        <f>'ANALYSE - ERP =&gt; SOUS-SEGMENT'!$JW$84</f>
        <v>0</v>
      </c>
      <c r="N23" s="787">
        <f>'ANALYSE - ERP =&gt; SOUS-SEGMENT'!$JX$84</f>
        <v>1.04E-2</v>
      </c>
      <c r="O23" s="787">
        <f>'ANALYSE - ERP =&gt; SOUS-SEGMENT'!$JY$84</f>
        <v>0.3876</v>
      </c>
      <c r="P23" s="787">
        <f>'ANALYSE - ERP =&gt; SOUS-SEGMENT'!$JZ$84</f>
        <v>0.51600000000000001</v>
      </c>
      <c r="Q23" s="787">
        <f>'ANALYSE - ERP =&gt; SOUS-SEGMENT'!$KA$84</f>
        <v>8.1000000000000003E-2</v>
      </c>
      <c r="R23" s="787">
        <f>'ANALYSE - ERP =&gt; SOUS-SEGMENT'!$KB$84</f>
        <v>5.0000000000000001E-3</v>
      </c>
      <c r="T23" s="430">
        <f>'ANALYSE - ERP =&gt; SOUS-SEGMENT'!$Q$84</f>
        <v>1</v>
      </c>
    </row>
    <row r="24" spans="1:20" ht="15" customHeight="1">
      <c r="A24" s="26">
        <v>21</v>
      </c>
      <c r="B24" s="26">
        <v>21</v>
      </c>
      <c r="C24" s="422">
        <f>'ANALYSE - ERP =&gt; SOUS-SEGMENT'!$A$35</f>
        <v>28</v>
      </c>
      <c r="D24" s="414" t="str">
        <f>'ANALYSE - ERP =&gt; SOUS-SEGMENT'!$B$35</f>
        <v>Sports &amp; Loisirs</v>
      </c>
      <c r="E24" s="414" t="str">
        <f>'ANALYSE - ERP =&gt; SOUS-SEGMENT'!$C$35</f>
        <v>Loisirs de plein air</v>
      </c>
      <c r="F24" s="414" t="str">
        <f>'ANALYSE - ERP =&gt; SOUS-SEGMENT'!$D$35</f>
        <v>Centres de loisirs sans hébergement</v>
      </c>
      <c r="H24" s="787">
        <f>'ANALYSE - ERP =&gt; SOUS-SEGMENT'!$JS$35</f>
        <v>0.19850000000000001</v>
      </c>
      <c r="I24" s="787">
        <f>'ANALYSE - ERP =&gt; SOUS-SEGMENT'!$JT$35</f>
        <v>0.58389999999999997</v>
      </c>
      <c r="J24" s="787">
        <f>'ANALYSE - ERP =&gt; SOUS-SEGMENT'!$JU$35</f>
        <v>0.2175</v>
      </c>
      <c r="K24" s="787">
        <f>'ANALYSE - ERP =&gt; SOUS-SEGMENT'!$JV$35</f>
        <v>0</v>
      </c>
      <c r="L24" s="787">
        <f>'ANALYSE - ERP =&gt; SOUS-SEGMENT'!$JW$35</f>
        <v>1E-4</v>
      </c>
      <c r="N24" s="787">
        <f>'ANALYSE - ERP =&gt; SOUS-SEGMENT'!$JX$35</f>
        <v>0.1026</v>
      </c>
      <c r="O24" s="787">
        <f>'ANALYSE - ERP =&gt; SOUS-SEGMENT'!$JY$35</f>
        <v>0.52410000000000001</v>
      </c>
      <c r="P24" s="787">
        <f>'ANALYSE - ERP =&gt; SOUS-SEGMENT'!$JZ$35</f>
        <v>0.36399999999999999</v>
      </c>
      <c r="Q24" s="787">
        <f>'ANALYSE - ERP =&gt; SOUS-SEGMENT'!$KA$35</f>
        <v>8.8000000000000005E-3</v>
      </c>
      <c r="R24" s="787">
        <f>'ANALYSE - ERP =&gt; SOUS-SEGMENT'!$KB$35</f>
        <v>5.0000000000000001E-4</v>
      </c>
      <c r="T24" s="430">
        <f>'ANALYSE - ERP =&gt; SOUS-SEGMENT'!$Q$35</f>
        <v>1</v>
      </c>
    </row>
    <row r="25" spans="1:20" ht="15" customHeight="1">
      <c r="A25" s="26">
        <v>22</v>
      </c>
      <c r="B25" s="26">
        <v>22</v>
      </c>
      <c r="C25" s="422">
        <f>'ANALYSE - ERP =&gt; SOUS-SEGMENT'!$A$87</f>
        <v>80</v>
      </c>
      <c r="D25" s="414" t="str">
        <f>'ANALYSE - ERP =&gt; SOUS-SEGMENT'!$B$87</f>
        <v>Hébergement Touristique</v>
      </c>
      <c r="E25" s="414" t="str">
        <f>'ANALYSE - ERP =&gt; SOUS-SEGMENT'!$C$87</f>
        <v>Hébergement Touristique</v>
      </c>
      <c r="F25" s="414" t="str">
        <f>'ANALYSE - ERP =&gt; SOUS-SEGMENT'!$D$87</f>
        <v>Hôtels 
(hors autres hébérgements touristiques)</v>
      </c>
      <c r="H25" s="787">
        <f>'ANALYSE - ERP =&gt; SOUS-SEGMENT'!$JS$87</f>
        <v>1.12E-2</v>
      </c>
      <c r="I25" s="787">
        <f>'ANALYSE - ERP =&gt; SOUS-SEGMENT'!$JT$87</f>
        <v>0.29980000000000001</v>
      </c>
      <c r="J25" s="787">
        <f>'ANALYSE - ERP =&gt; SOUS-SEGMENT'!$JU$87</f>
        <v>0.50990000000000002</v>
      </c>
      <c r="K25" s="787">
        <f>'ANALYSE - ERP =&gt; SOUS-SEGMENT'!$JV$87</f>
        <v>0.16470000000000001</v>
      </c>
      <c r="L25" s="787">
        <f>'ANALYSE - ERP =&gt; SOUS-SEGMENT'!$JW$87</f>
        <v>1.44E-2</v>
      </c>
      <c r="N25" s="787">
        <f>'ANALYSE - ERP =&gt; SOUS-SEGMENT'!$JX$87</f>
        <v>0</v>
      </c>
      <c r="O25" s="787">
        <f>'ANALYSE - ERP =&gt; SOUS-SEGMENT'!$JY$87</f>
        <v>0.26290000000000002</v>
      </c>
      <c r="P25" s="787">
        <f>'ANALYSE - ERP =&gt; SOUS-SEGMENT'!$JZ$87</f>
        <v>0.52849999999999997</v>
      </c>
      <c r="Q25" s="787">
        <f>'ANALYSE - ERP =&gt; SOUS-SEGMENT'!$KA$87</f>
        <v>0.18859999999999999</v>
      </c>
      <c r="R25" s="787">
        <f>'ANALYSE - ERP =&gt; SOUS-SEGMENT'!$KB$87</f>
        <v>0.02</v>
      </c>
      <c r="T25" s="430">
        <f>'ANALYSE - ERP =&gt; SOUS-SEGMENT'!$Q$87</f>
        <v>1</v>
      </c>
    </row>
    <row r="26" spans="1:20" ht="15" customHeight="1">
      <c r="A26" s="26">
        <v>23</v>
      </c>
      <c r="B26" s="26">
        <v>24</v>
      </c>
      <c r="C26" s="422">
        <f>'ANALYSE - ERP =&gt; SOUS-SEGMENT'!$A$19</f>
        <v>12</v>
      </c>
      <c r="D26" s="414" t="str">
        <f>'ANALYSE - ERP =&gt; SOUS-SEGMENT'!$B$19</f>
        <v>Enfance, Enseignement, Jeunesse &amp; Formation</v>
      </c>
      <c r="E26" s="414" t="str">
        <f>'ANALYSE - ERP =&gt; SOUS-SEGMENT'!$C$19</f>
        <v>Formation</v>
      </c>
      <c r="F26" s="414" t="str">
        <f>'ANALYSE - ERP =&gt; SOUS-SEGMENT'!$D$19</f>
        <v>Centres de formation / CFA</v>
      </c>
      <c r="H26" s="787">
        <f>'ANALYSE - ERP =&gt; SOUS-SEGMENT'!$JS$19</f>
        <v>3.2300000000000002E-2</v>
      </c>
      <c r="I26" s="787">
        <f>'ANALYSE - ERP =&gt; SOUS-SEGMENT'!$JT$19</f>
        <v>0.3669</v>
      </c>
      <c r="J26" s="787">
        <f>'ANALYSE - ERP =&gt; SOUS-SEGMENT'!$JU$19</f>
        <v>0.47799999999999998</v>
      </c>
      <c r="K26" s="787">
        <f>'ANALYSE - ERP =&gt; SOUS-SEGMENT'!$JV$19</f>
        <v>0.1196</v>
      </c>
      <c r="L26" s="787">
        <f>'ANALYSE - ERP =&gt; SOUS-SEGMENT'!$JW$19</f>
        <v>3.2000000000000002E-3</v>
      </c>
      <c r="N26" s="787">
        <f>'ANALYSE - ERP =&gt; SOUS-SEGMENT'!$JX$19</f>
        <v>0</v>
      </c>
      <c r="O26" s="787">
        <f>'ANALYSE - ERP =&gt; SOUS-SEGMENT'!$JY$19</f>
        <v>0.16600000000000001</v>
      </c>
      <c r="P26" s="787">
        <f>'ANALYSE - ERP =&gt; SOUS-SEGMENT'!$JZ$19</f>
        <v>0.53610000000000002</v>
      </c>
      <c r="Q26" s="787">
        <f>'ANALYSE - ERP =&gt; SOUS-SEGMENT'!$KA$19</f>
        <v>0.2772</v>
      </c>
      <c r="R26" s="787">
        <f>'ANALYSE - ERP =&gt; SOUS-SEGMENT'!$KB$19</f>
        <v>2.07E-2</v>
      </c>
      <c r="T26" s="430">
        <f>'ANALYSE - ERP =&gt; SOUS-SEGMENT'!$Q$19</f>
        <v>1</v>
      </c>
    </row>
    <row r="27" spans="1:20" ht="15" customHeight="1">
      <c r="A27" s="26">
        <v>24</v>
      </c>
      <c r="B27" s="26">
        <v>23</v>
      </c>
      <c r="C27" s="422">
        <f>'ANALYSE - ERP =&gt; SOUS-SEGMENT'!$A$79</f>
        <v>72</v>
      </c>
      <c r="D27" s="414" t="str">
        <f>'ANALYSE - ERP =&gt; SOUS-SEGMENT'!$B$79</f>
        <v>Commerce, Restauration &amp; Loisirs</v>
      </c>
      <c r="E27" s="414" t="str">
        <f>'ANALYSE - ERP =&gt; SOUS-SEGMENT'!$C$79</f>
        <v>Commerce</v>
      </c>
      <c r="F27" s="414" t="str">
        <f>'ANALYSE - ERP =&gt; SOUS-SEGMENT'!$D$79</f>
        <v>Centres commerciaux / Malls
(dotés de sanitaires collectifs clients)</v>
      </c>
      <c r="H27" s="787">
        <f>'ANALYSE - ERP =&gt; SOUS-SEGMENT'!$JS$79</f>
        <v>1.12E-2</v>
      </c>
      <c r="I27" s="787">
        <f>'ANALYSE - ERP =&gt; SOUS-SEGMENT'!$JT$79</f>
        <v>0.29980000000000001</v>
      </c>
      <c r="J27" s="787">
        <f>'ANALYSE - ERP =&gt; SOUS-SEGMENT'!$JU$79</f>
        <v>0.50990000000000002</v>
      </c>
      <c r="K27" s="787">
        <f>'ANALYSE - ERP =&gt; SOUS-SEGMENT'!$JV$79</f>
        <v>0.16470000000000001</v>
      </c>
      <c r="L27" s="787">
        <f>'ANALYSE - ERP =&gt; SOUS-SEGMENT'!$JW$79</f>
        <v>1.44E-2</v>
      </c>
      <c r="N27" s="787">
        <f>'ANALYSE - ERP =&gt; SOUS-SEGMENT'!$JX$79</f>
        <v>0</v>
      </c>
      <c r="O27" s="787">
        <f>'ANALYSE - ERP =&gt; SOUS-SEGMENT'!$JY$79</f>
        <v>0.2611</v>
      </c>
      <c r="P27" s="787">
        <f>'ANALYSE - ERP =&gt; SOUS-SEGMENT'!$JZ$79</f>
        <v>0.52900000000000003</v>
      </c>
      <c r="Q27" s="787">
        <f>'ANALYSE - ERP =&gt; SOUS-SEGMENT'!$KA$79</f>
        <v>0.18959999999999999</v>
      </c>
      <c r="R27" s="787">
        <f>'ANALYSE - ERP =&gt; SOUS-SEGMENT'!$KB$79</f>
        <v>2.0299999999999999E-2</v>
      </c>
      <c r="T27" s="430">
        <f>'ANALYSE - ERP =&gt; SOUS-SEGMENT'!$Q$79</f>
        <v>1</v>
      </c>
    </row>
    <row r="28" spans="1:20" ht="15" customHeight="1">
      <c r="A28" s="26">
        <v>25</v>
      </c>
      <c r="B28" s="26">
        <v>28</v>
      </c>
      <c r="C28" s="422">
        <f>'ANALYSE - ERP =&gt; SOUS-SEGMENT'!$A$22</f>
        <v>15</v>
      </c>
      <c r="D28" s="413" t="str">
        <f>'ANALYSE - ERP =&gt; SOUS-SEGMENT'!$B$22</f>
        <v>Sports &amp; Loisirs</v>
      </c>
      <c r="E28" s="413" t="str">
        <f>'ANALYSE - ERP =&gt; SOUS-SEGMENT'!$C$22</f>
        <v>Sport couvert / Thermalisme / Bien-être</v>
      </c>
      <c r="F28" s="413" t="str">
        <f>'ANALYSE - ERP =&gt; SOUS-SEGMENT'!$D$22</f>
        <v>Salles de fitness / dojos</v>
      </c>
      <c r="H28" s="787">
        <f>'ANALYSE - ERP =&gt; SOUS-SEGMENT'!$JS$22</f>
        <v>0</v>
      </c>
      <c r="I28" s="787">
        <f>'ANALYSE - ERP =&gt; SOUS-SEGMENT'!$JT$22</f>
        <v>0.2402</v>
      </c>
      <c r="J28" s="787">
        <f>'ANALYSE - ERP =&gt; SOUS-SEGMENT'!$JU$22</f>
        <v>0.53100000000000003</v>
      </c>
      <c r="K28" s="787">
        <f>'ANALYSE - ERP =&gt; SOUS-SEGMENT'!$JV$22</f>
        <v>0.19020000000000001</v>
      </c>
      <c r="L28" s="787">
        <f>'ANALYSE - ERP =&gt; SOUS-SEGMENT'!$JW$22</f>
        <v>3.8600000000000002E-2</v>
      </c>
      <c r="N28" s="787">
        <f>'ANALYSE - ERP =&gt; SOUS-SEGMENT'!$JX$22</f>
        <v>0</v>
      </c>
      <c r="O28" s="787">
        <f>'ANALYSE - ERP =&gt; SOUS-SEGMENT'!$JY$22</f>
        <v>0.10730000000000001</v>
      </c>
      <c r="P28" s="787">
        <f>'ANALYSE - ERP =&gt; SOUS-SEGMENT'!$JZ$22</f>
        <v>0.51519999999999999</v>
      </c>
      <c r="Q28" s="787">
        <f>'ANALYSE - ERP =&gt; SOUS-SEGMENT'!$KA$22</f>
        <v>0.31719999999999998</v>
      </c>
      <c r="R28" s="787">
        <f>'ANALYSE - ERP =&gt; SOUS-SEGMENT'!$KB$22</f>
        <v>6.0299999999999999E-2</v>
      </c>
      <c r="T28" s="430">
        <f>'ANALYSE - ERP =&gt; SOUS-SEGMENT'!$Q$22</f>
        <v>1</v>
      </c>
    </row>
    <row r="29" spans="1:20" ht="15" customHeight="1">
      <c r="A29" s="26">
        <v>26</v>
      </c>
      <c r="B29" s="26">
        <v>26</v>
      </c>
      <c r="C29" s="422">
        <f>'ANALYSE - ERP =&gt; SOUS-SEGMENT'!$A$125</f>
        <v>118</v>
      </c>
      <c r="D29" s="414" t="str">
        <f>'ANALYSE - ERP =&gt; SOUS-SEGMENT'!$B$125</f>
        <v>Transport, Mobilité &amp; Stationnement</v>
      </c>
      <c r="E29" s="414" t="str">
        <f>'ANALYSE - ERP =&gt; SOUS-SEGMENT'!$C$125</f>
        <v>Transport / Mobilité</v>
      </c>
      <c r="F29" s="414" t="str">
        <f>'ANALYSE - ERP =&gt; SOUS-SEGMENT'!$D$125</f>
        <v>Gares ferroviaires et stations
(dotés de sanitaires)</v>
      </c>
      <c r="H29" s="787">
        <f>'ANALYSE - ERP =&gt; SOUS-SEGMENT'!$JS$125</f>
        <v>5.4100000000000002E-2</v>
      </c>
      <c r="I29" s="787">
        <f>'ANALYSE - ERP =&gt; SOUS-SEGMENT'!$JT$125</f>
        <v>0.48549999999999999</v>
      </c>
      <c r="J29" s="787">
        <f>'ANALYSE - ERP =&gt; SOUS-SEGMENT'!$JU$125</f>
        <v>0.40329999999999999</v>
      </c>
      <c r="K29" s="787">
        <f>'ANALYSE - ERP =&gt; SOUS-SEGMENT'!$JV$125</f>
        <v>5.0200000000000002E-2</v>
      </c>
      <c r="L29" s="787">
        <f>'ANALYSE - ERP =&gt; SOUS-SEGMENT'!$JW$125</f>
        <v>6.8999999999999999E-3</v>
      </c>
      <c r="N29" s="787">
        <f>'ANALYSE - ERP =&gt; SOUS-SEGMENT'!$JX$125</f>
        <v>3.3500000000000002E-2</v>
      </c>
      <c r="O29" s="787">
        <f>'ANALYSE - ERP =&gt; SOUS-SEGMENT'!$JY$125</f>
        <v>0.46029999999999999</v>
      </c>
      <c r="P29" s="787">
        <f>'ANALYSE - ERP =&gt; SOUS-SEGMENT'!$JZ$125</f>
        <v>0.4239</v>
      </c>
      <c r="Q29" s="787">
        <f>'ANALYSE - ERP =&gt; SOUS-SEGMENT'!$KA$125</f>
        <v>7.0800000000000002E-2</v>
      </c>
      <c r="R29" s="787">
        <f>'ANALYSE - ERP =&gt; SOUS-SEGMENT'!$KB$125</f>
        <v>1.15E-2</v>
      </c>
      <c r="T29" s="430">
        <f>'ANALYSE - ERP =&gt; SOUS-SEGMENT'!$Q$125</f>
        <v>1</v>
      </c>
    </row>
    <row r="30" spans="1:20" ht="15" customHeight="1">
      <c r="A30" s="26">
        <v>27</v>
      </c>
      <c r="B30" s="26">
        <v>27</v>
      </c>
      <c r="C30" s="422">
        <f>'ANALYSE - ERP =&gt; SOUS-SEGMENT'!$A$68</f>
        <v>61</v>
      </c>
      <c r="D30" s="409" t="str">
        <f>'ANALYSE - ERP =&gt; SOUS-SEGMENT'!$B$68</f>
        <v>Culture, Patrimoine &amp; Evénementiel</v>
      </c>
      <c r="E30" s="409" t="str">
        <f>'ANALYSE - ERP =&gt; SOUS-SEGMENT'!$C$68</f>
        <v>Culture / spectacle</v>
      </c>
      <c r="F30" s="409" t="str">
        <f>'ANALYSE - ERP =&gt; SOUS-SEGMENT'!$D$68</f>
        <v>Bibliothèques / Médiathèques</v>
      </c>
      <c r="H30" s="787">
        <f>'ANALYSE - ERP =&gt; SOUS-SEGMENT'!$JS$68</f>
        <v>3.4200000000000001E-2</v>
      </c>
      <c r="I30" s="787">
        <f>'ANALYSE - ERP =&gt; SOUS-SEGMENT'!$JT$68</f>
        <v>0.35499999999999998</v>
      </c>
      <c r="J30" s="787">
        <f>'ANALYSE - ERP =&gt; SOUS-SEGMENT'!$JU$68</f>
        <v>0.47649999999999998</v>
      </c>
      <c r="K30" s="787">
        <f>'ANALYSE - ERP =&gt; SOUS-SEGMENT'!$JV$68</f>
        <v>0.13</v>
      </c>
      <c r="L30" s="787">
        <f>'ANALYSE - ERP =&gt; SOUS-SEGMENT'!$JW$68</f>
        <v>4.3E-3</v>
      </c>
      <c r="N30" s="787">
        <f>'ANALYSE - ERP =&gt; SOUS-SEGMENT'!$JX$68</f>
        <v>1.4E-3</v>
      </c>
      <c r="O30" s="787">
        <f>'ANALYSE - ERP =&gt; SOUS-SEGMENT'!$JY$68</f>
        <v>0.2555</v>
      </c>
      <c r="P30" s="787">
        <f>'ANALYSE - ERP =&gt; SOUS-SEGMENT'!$JZ$68</f>
        <v>0.53149999999999997</v>
      </c>
      <c r="Q30" s="787">
        <f>'ANALYSE - ERP =&gt; SOUS-SEGMENT'!$KA$68</f>
        <v>0.20039999999999999</v>
      </c>
      <c r="R30" s="787">
        <f>'ANALYSE - ERP =&gt; SOUS-SEGMENT'!$KB$68</f>
        <v>1.12E-2</v>
      </c>
      <c r="T30" s="430">
        <f>'ANALYSE - ERP =&gt; SOUS-SEGMENT'!$Q$68</f>
        <v>1</v>
      </c>
    </row>
    <row r="31" spans="1:20" ht="15" customHeight="1">
      <c r="A31" s="26">
        <v>28</v>
      </c>
      <c r="B31" s="26">
        <v>25</v>
      </c>
      <c r="C31" s="422">
        <f>'ANALYSE - ERP =&gt; SOUS-SEGMENT'!$A$52</f>
        <v>45</v>
      </c>
      <c r="D31" s="409" t="str">
        <f>'ANALYSE - ERP =&gt; SOUS-SEGMENT'!$B$52</f>
        <v>Santé &amp; Médico-social</v>
      </c>
      <c r="E31" s="409" t="str">
        <f>'ANALYSE - ERP =&gt; SOUS-SEGMENT'!$C$52</f>
        <v>Médico-social</v>
      </c>
      <c r="F31" s="409" t="str">
        <f>'ANALYSE - ERP =&gt; SOUS-SEGMENT'!$D$52</f>
        <v>Établissements Médico-éducatifs</v>
      </c>
      <c r="H31" s="787">
        <f>'ANALYSE - ERP =&gt; SOUS-SEGMENT'!$JS$52</f>
        <v>0</v>
      </c>
      <c r="I31" s="787">
        <f>'ANALYSE - ERP =&gt; SOUS-SEGMENT'!$JT$52</f>
        <v>0.30730000000000002</v>
      </c>
      <c r="J31" s="787">
        <f>'ANALYSE - ERP =&gt; SOUS-SEGMENT'!$JU$52</f>
        <v>0.54849999999999999</v>
      </c>
      <c r="K31" s="787">
        <f>'ANALYSE - ERP =&gt; SOUS-SEGMENT'!$JV$52</f>
        <v>0.14419999999999999</v>
      </c>
      <c r="L31" s="787">
        <f>'ANALYSE - ERP =&gt; SOUS-SEGMENT'!$JW$52</f>
        <v>0</v>
      </c>
      <c r="N31" s="787">
        <f>'ANALYSE - ERP =&gt; SOUS-SEGMENT'!$JX$52</f>
        <v>0</v>
      </c>
      <c r="O31" s="787">
        <f>'ANALYSE - ERP =&gt; SOUS-SEGMENT'!$JY$52</f>
        <v>0.18859999999999999</v>
      </c>
      <c r="P31" s="787">
        <f>'ANALYSE - ERP =&gt; SOUS-SEGMENT'!$JZ$52</f>
        <v>0.57410000000000005</v>
      </c>
      <c r="Q31" s="787">
        <f>'ANALYSE - ERP =&gt; SOUS-SEGMENT'!$KA$52</f>
        <v>0.23730000000000001</v>
      </c>
      <c r="R31" s="787">
        <f>'ANALYSE - ERP =&gt; SOUS-SEGMENT'!$KB$52</f>
        <v>0</v>
      </c>
      <c r="T31" s="430">
        <f>'ANALYSE - ERP =&gt; SOUS-SEGMENT'!$Q$52</f>
        <v>1</v>
      </c>
    </row>
    <row r="32" spans="1:20" ht="15" customHeight="1">
      <c r="A32" s="26">
        <v>29</v>
      </c>
      <c r="B32" s="26">
        <v>30</v>
      </c>
      <c r="C32" s="422">
        <f>'ANALYSE - ERP =&gt; SOUS-SEGMENT'!$A$24</f>
        <v>17</v>
      </c>
      <c r="D32" s="409" t="str">
        <f>'ANALYSE - ERP =&gt; SOUS-SEGMENT'!$B$24</f>
        <v>Sports &amp; Loisirs</v>
      </c>
      <c r="E32" s="409" t="str">
        <f>'ANALYSE - ERP =&gt; SOUS-SEGMENT'!$C$24</f>
        <v>Sport couvert / Thermalisme / Bien-être</v>
      </c>
      <c r="F32" s="409" t="str">
        <f>'ANALYSE - ERP =&gt; SOUS-SEGMENT'!$D$24</f>
        <v>Piscines couvertes</v>
      </c>
      <c r="H32" s="787">
        <f>'ANALYSE - ERP =&gt; SOUS-SEGMENT'!$JS$24</f>
        <v>0.1278</v>
      </c>
      <c r="I32" s="787">
        <f>'ANALYSE - ERP =&gt; SOUS-SEGMENT'!$JT$24</f>
        <v>0.61899999999999999</v>
      </c>
      <c r="J32" s="787">
        <f>'ANALYSE - ERP =&gt; SOUS-SEGMENT'!$JU$24</f>
        <v>0.25319999999999998</v>
      </c>
      <c r="K32" s="787">
        <f>'ANALYSE - ERP =&gt; SOUS-SEGMENT'!$JV$24</f>
        <v>0</v>
      </c>
      <c r="L32" s="787">
        <f>'ANALYSE - ERP =&gt; SOUS-SEGMENT'!$JW$24</f>
        <v>0</v>
      </c>
      <c r="N32" s="787">
        <f>'ANALYSE - ERP =&gt; SOUS-SEGMENT'!$JX$24</f>
        <v>5.4899999999999997E-2</v>
      </c>
      <c r="O32" s="787">
        <f>'ANALYSE - ERP =&gt; SOUS-SEGMENT'!$JY$24</f>
        <v>0.53659999999999997</v>
      </c>
      <c r="P32" s="787">
        <f>'ANALYSE - ERP =&gt; SOUS-SEGMENT'!$JZ$24</f>
        <v>0.40849999999999997</v>
      </c>
      <c r="Q32" s="787">
        <f>'ANALYSE - ERP =&gt; SOUS-SEGMENT'!$KA$24</f>
        <v>0</v>
      </c>
      <c r="R32" s="787">
        <f>'ANALYSE - ERP =&gt; SOUS-SEGMENT'!$KB$24</f>
        <v>0</v>
      </c>
      <c r="T32" s="430">
        <f>'ANALYSE - ERP =&gt; SOUS-SEGMENT'!$Q$24</f>
        <v>1</v>
      </c>
    </row>
    <row r="33" spans="1:20" ht="15" customHeight="1">
      <c r="A33" s="26">
        <v>30</v>
      </c>
      <c r="B33" s="26">
        <v>29</v>
      </c>
      <c r="C33" s="422">
        <f>'ANALYSE - ERP =&gt; SOUS-SEGMENT'!$A$46</f>
        <v>39</v>
      </c>
      <c r="D33" s="409" t="str">
        <f>'ANALYSE - ERP =&gt; SOUS-SEGMENT'!$B$46</f>
        <v>Santé &amp; Médico-social</v>
      </c>
      <c r="E33" s="409" t="str">
        <f>'ANALYSE - ERP =&gt; SOUS-SEGMENT'!$C$46</f>
        <v>Santé hospitalière</v>
      </c>
      <c r="F33" s="409" t="str">
        <f>'ANALYSE - ERP =&gt; SOUS-SEGMENT'!$D$46</f>
        <v>Cliniques</v>
      </c>
      <c r="H33" s="787">
        <f>'ANALYSE - ERP =&gt; SOUS-SEGMENT'!$JS$46</f>
        <v>0</v>
      </c>
      <c r="I33" s="787">
        <f>'ANALYSE - ERP =&gt; SOUS-SEGMENT'!$JT$46</f>
        <v>6.6000000000000003E-2</v>
      </c>
      <c r="J33" s="787">
        <f>'ANALYSE - ERP =&gt; SOUS-SEGMENT'!$JU$46</f>
        <v>0.53769999999999996</v>
      </c>
      <c r="K33" s="787">
        <f>'ANALYSE - ERP =&gt; SOUS-SEGMENT'!$JV$46</f>
        <v>0.3654</v>
      </c>
      <c r="L33" s="787">
        <f>'ANALYSE - ERP =&gt; SOUS-SEGMENT'!$JW$46</f>
        <v>3.09E-2</v>
      </c>
      <c r="N33" s="787">
        <f>'ANALYSE - ERP =&gt; SOUS-SEGMENT'!$JX$46</f>
        <v>0</v>
      </c>
      <c r="O33" s="787">
        <f>'ANALYSE - ERP =&gt; SOUS-SEGMENT'!$JY$46</f>
        <v>0</v>
      </c>
      <c r="P33" s="787">
        <f>'ANALYSE - ERP =&gt; SOUS-SEGMENT'!$JZ$46</f>
        <v>0.42120000000000002</v>
      </c>
      <c r="Q33" s="787">
        <f>'ANALYSE - ERP =&gt; SOUS-SEGMENT'!$KA$46</f>
        <v>0.49880000000000002</v>
      </c>
      <c r="R33" s="787">
        <f>'ANALYSE - ERP =&gt; SOUS-SEGMENT'!$KB$46</f>
        <v>0.08</v>
      </c>
      <c r="T33" s="430">
        <f>'ANALYSE - ERP =&gt; SOUS-SEGMENT'!$Q$46</f>
        <v>1</v>
      </c>
    </row>
    <row r="34" spans="1:20" ht="15" customHeight="1">
      <c r="A34" s="26">
        <v>31</v>
      </c>
      <c r="B34" s="26">
        <v>32</v>
      </c>
      <c r="C34" s="422">
        <f>'ANALYSE - ERP =&gt; SOUS-SEGMENT'!$A$66</f>
        <v>59</v>
      </c>
      <c r="D34" s="410" t="str">
        <f>'ANALYSE - ERP =&gt; SOUS-SEGMENT'!$B$66</f>
        <v>Culture, Patrimoine &amp; Evénementiel</v>
      </c>
      <c r="E34" s="410" t="str">
        <f>'ANALYSE - ERP =&gt; SOUS-SEGMENT'!$C$66</f>
        <v>Culture / spectacle</v>
      </c>
      <c r="F34" s="410" t="str">
        <f>'ANALYSE - ERP =&gt; SOUS-SEGMENT'!$D$66</f>
        <v>Salles de conférence / Réunion</v>
      </c>
      <c r="H34" s="787">
        <f>'ANALYSE - ERP =&gt; SOUS-SEGMENT'!$JS$66</f>
        <v>2.18E-2</v>
      </c>
      <c r="I34" s="787">
        <f>'ANALYSE - ERP =&gt; SOUS-SEGMENT'!$JT$66</f>
        <v>0.32419999999999999</v>
      </c>
      <c r="J34" s="787">
        <f>'ANALYSE - ERP =&gt; SOUS-SEGMENT'!$JU$66</f>
        <v>0.49840000000000001</v>
      </c>
      <c r="K34" s="787">
        <f>'ANALYSE - ERP =&gt; SOUS-SEGMENT'!$JV$66</f>
        <v>0.1497</v>
      </c>
      <c r="L34" s="787">
        <f>'ANALYSE - ERP =&gt; SOUS-SEGMENT'!$JW$66</f>
        <v>5.8999999999999999E-3</v>
      </c>
      <c r="N34" s="787">
        <f>'ANALYSE - ERP =&gt; SOUS-SEGMENT'!$JX$66</f>
        <v>0</v>
      </c>
      <c r="O34" s="787">
        <f>'ANALYSE - ERP =&gt; SOUS-SEGMENT'!$JY$66</f>
        <v>0.19389999999999999</v>
      </c>
      <c r="P34" s="787">
        <f>'ANALYSE - ERP =&gt; SOUS-SEGMENT'!$JZ$66</f>
        <v>0.53080000000000005</v>
      </c>
      <c r="Q34" s="787">
        <f>'ANALYSE - ERP =&gt; SOUS-SEGMENT'!$KA$66</f>
        <v>0.25600000000000001</v>
      </c>
      <c r="R34" s="787">
        <f>'ANALYSE - ERP =&gt; SOUS-SEGMENT'!$KB$66</f>
        <v>1.9300000000000001E-2</v>
      </c>
      <c r="T34" s="430">
        <f>'ANALYSE - ERP =&gt; SOUS-SEGMENT'!$Q$66</f>
        <v>1</v>
      </c>
    </row>
    <row r="35" spans="1:20" ht="15" customHeight="1">
      <c r="A35" s="26">
        <v>32</v>
      </c>
      <c r="B35" s="26">
        <v>31</v>
      </c>
      <c r="C35" s="422">
        <f>'ANALYSE - ERP =&gt; SOUS-SEGMENT'!$A$45</f>
        <v>38</v>
      </c>
      <c r="D35" s="411" t="str">
        <f>'ANALYSE - ERP =&gt; SOUS-SEGMENT'!$B$45</f>
        <v>Santé &amp; Médico-social</v>
      </c>
      <c r="E35" s="411" t="str">
        <f>'ANALYSE - ERP =&gt; SOUS-SEGMENT'!$C$45</f>
        <v>Santé hospitalière</v>
      </c>
      <c r="F35" s="411" t="str">
        <f>'ANALYSE - ERP =&gt; SOUS-SEGMENT'!$D$45</f>
        <v>Hôpitaux privés</v>
      </c>
      <c r="H35" s="787">
        <f>'ANALYSE - ERP =&gt; SOUS-SEGMENT'!$JS$45</f>
        <v>0</v>
      </c>
      <c r="I35" s="787">
        <f>'ANALYSE - ERP =&gt; SOUS-SEGMENT'!$JT$45</f>
        <v>8.09E-2</v>
      </c>
      <c r="J35" s="787">
        <f>'ANALYSE - ERP =&gt; SOUS-SEGMENT'!$JU$45</f>
        <v>0.55000000000000004</v>
      </c>
      <c r="K35" s="787">
        <f>'ANALYSE - ERP =&gt; SOUS-SEGMENT'!$JV$45</f>
        <v>0.34300000000000003</v>
      </c>
      <c r="L35" s="787">
        <f>'ANALYSE - ERP =&gt; SOUS-SEGMENT'!$JW$45</f>
        <v>2.6100000000000002E-2</v>
      </c>
      <c r="N35" s="787">
        <f>'ANALYSE - ERP =&gt; SOUS-SEGMENT'!$JX$45</f>
        <v>0</v>
      </c>
      <c r="O35" s="787">
        <f>'ANALYSE - ERP =&gt; SOUS-SEGMENT'!$JY$45</f>
        <v>6.7000000000000002E-3</v>
      </c>
      <c r="P35" s="787">
        <f>'ANALYSE - ERP =&gt; SOUS-SEGMENT'!$JZ$45</f>
        <v>0.44340000000000002</v>
      </c>
      <c r="Q35" s="787">
        <f>'ANALYSE - ERP =&gt; SOUS-SEGMENT'!$KA$45</f>
        <v>0.48049999999999998</v>
      </c>
      <c r="R35" s="787">
        <f>'ANALYSE - ERP =&gt; SOUS-SEGMENT'!$KB$45</f>
        <v>6.9400000000000003E-2</v>
      </c>
      <c r="T35" s="430">
        <f>'ANALYSE - ERP =&gt; SOUS-SEGMENT'!$Q$45</f>
        <v>1</v>
      </c>
    </row>
    <row r="36" spans="1:20" ht="15" customHeight="1">
      <c r="A36" s="26">
        <v>33</v>
      </c>
      <c r="B36" s="26">
        <v>33</v>
      </c>
      <c r="C36" s="422">
        <f>'ANALYSE - ERP =&gt; SOUS-SEGMENT'!$A$120</f>
        <v>113</v>
      </c>
      <c r="D36" s="411" t="str">
        <f>'ANALYSE - ERP =&gt; SOUS-SEGMENT'!$B$120</f>
        <v>Culte, Vie civique &amp; Services publics</v>
      </c>
      <c r="E36" s="411" t="str">
        <f>'ANALYSE - ERP =&gt; SOUS-SEGMENT'!$C$120</f>
        <v>Vie associative</v>
      </c>
      <c r="F36" s="411" t="str">
        <f>'ANALYSE - ERP =&gt; SOUS-SEGMENT'!$D$120</f>
        <v>Locaux associatifs recevant du public (dotés de sanitaires)</v>
      </c>
      <c r="H36" s="787">
        <f>'ANALYSE - ERP =&gt; SOUS-SEGMENT'!$JS$120</f>
        <v>0.1066</v>
      </c>
      <c r="I36" s="787">
        <f>'ANALYSE - ERP =&gt; SOUS-SEGMENT'!$JT$120</f>
        <v>0.53920000000000001</v>
      </c>
      <c r="J36" s="787">
        <f>'ANALYSE - ERP =&gt; SOUS-SEGMENT'!$JU$120</f>
        <v>0.32950000000000002</v>
      </c>
      <c r="K36" s="787">
        <f>'ANALYSE - ERP =&gt; SOUS-SEGMENT'!$JV$120</f>
        <v>2.47E-2</v>
      </c>
      <c r="L36" s="787">
        <f>'ANALYSE - ERP =&gt; SOUS-SEGMENT'!$JW$120</f>
        <v>0</v>
      </c>
      <c r="N36" s="787">
        <f>'ANALYSE - ERP =&gt; SOUS-SEGMENT'!$JX$120</f>
        <v>9.0300000000000005E-2</v>
      </c>
      <c r="O36" s="787">
        <f>'ANALYSE - ERP =&gt; SOUS-SEGMENT'!$JY$120</f>
        <v>0.51929999999999998</v>
      </c>
      <c r="P36" s="787">
        <f>'ANALYSE - ERP =&gt; SOUS-SEGMENT'!$JZ$120</f>
        <v>0.3458</v>
      </c>
      <c r="Q36" s="787">
        <f>'ANALYSE - ERP =&gt; SOUS-SEGMENT'!$KA$120</f>
        <v>4.1000000000000002E-2</v>
      </c>
      <c r="R36" s="787">
        <f>'ANALYSE - ERP =&gt; SOUS-SEGMENT'!$KB$120</f>
        <v>3.5999999999999999E-3</v>
      </c>
      <c r="T36" s="430">
        <f>'ANALYSE - ERP =&gt; SOUS-SEGMENT'!$Q$120</f>
        <v>1</v>
      </c>
    </row>
    <row r="37" spans="1:20" ht="15" customHeight="1">
      <c r="A37" s="26">
        <v>34</v>
      </c>
      <c r="B37" s="26">
        <v>34</v>
      </c>
      <c r="C37" s="422">
        <f>'ANALYSE - ERP =&gt; SOUS-SEGMENT'!$A$59</f>
        <v>52</v>
      </c>
      <c r="D37" s="408" t="str">
        <f>'ANALYSE - ERP =&gt; SOUS-SEGMENT'!$B$59</f>
        <v>Santé &amp; Médico-social</v>
      </c>
      <c r="E37" s="408" t="str">
        <f>'ANALYSE - ERP =&gt; SOUS-SEGMENT'!$C$59</f>
        <v>Médico-social</v>
      </c>
      <c r="F37" s="408" t="str">
        <f>'ANALYSE - ERP =&gt; SOUS-SEGMENT'!$D$59</f>
        <v>USLD</v>
      </c>
      <c r="H37" s="787">
        <f>'ANALYSE - ERP =&gt; SOUS-SEGMENT'!$JS$59</f>
        <v>0</v>
      </c>
      <c r="I37" s="787">
        <f>'ANALYSE - ERP =&gt; SOUS-SEGMENT'!$JT$59</f>
        <v>0.10970000000000001</v>
      </c>
      <c r="J37" s="787">
        <f>'ANALYSE - ERP =&gt; SOUS-SEGMENT'!$JU$59</f>
        <v>0.55210000000000004</v>
      </c>
      <c r="K37" s="787">
        <f>'ANALYSE - ERP =&gt; SOUS-SEGMENT'!$JV$59</f>
        <v>0.3382</v>
      </c>
      <c r="L37" s="787">
        <f>'ANALYSE - ERP =&gt; SOUS-SEGMENT'!$JW$59</f>
        <v>0</v>
      </c>
      <c r="N37" s="787">
        <f>'ANALYSE - ERP =&gt; SOUS-SEGMENT'!$JX$59</f>
        <v>0</v>
      </c>
      <c r="O37" s="787">
        <f>'ANALYSE - ERP =&gt; SOUS-SEGMENT'!$JY$59</f>
        <v>5.74E-2</v>
      </c>
      <c r="P37" s="787">
        <f>'ANALYSE - ERP =&gt; SOUS-SEGMENT'!$JZ$59</f>
        <v>0.48899999999999999</v>
      </c>
      <c r="Q37" s="787">
        <f>'ANALYSE - ERP =&gt; SOUS-SEGMENT'!$KA$59</f>
        <v>0.433</v>
      </c>
      <c r="R37" s="787">
        <f>'ANALYSE - ERP =&gt; SOUS-SEGMENT'!$KB$59</f>
        <v>2.06E-2</v>
      </c>
      <c r="T37" s="430">
        <f>'ANALYSE - ERP =&gt; SOUS-SEGMENT'!$Q$59</f>
        <v>1</v>
      </c>
    </row>
    <row r="38" spans="1:20" ht="15" customHeight="1">
      <c r="A38" s="26">
        <v>35</v>
      </c>
      <c r="B38" s="26">
        <v>35</v>
      </c>
      <c r="C38" s="422">
        <f>'ANALYSE - ERP =&gt; SOUS-SEGMENT'!$A$73</f>
        <v>66</v>
      </c>
      <c r="D38" s="415" t="str">
        <f>'ANALYSE - ERP =&gt; SOUS-SEGMENT'!$B$73</f>
        <v>Culture, Patrimoine &amp; Evénementiel</v>
      </c>
      <c r="E38" s="415" t="str">
        <f>'ANALYSE - ERP =&gt; SOUS-SEGMENT'!$C$73</f>
        <v>Événementiel temporaire</v>
      </c>
      <c r="F38" s="415" t="str">
        <f>'ANALYSE - ERP =&gt; SOUS-SEGMENT'!$D$73</f>
        <v>Structures gonflables</v>
      </c>
      <c r="H38" s="787">
        <f>'ANALYSE - ERP =&gt; SOUS-SEGMENT'!$JS$73</f>
        <v>0.31430000000000002</v>
      </c>
      <c r="I38" s="787">
        <f>'ANALYSE - ERP =&gt; SOUS-SEGMENT'!$JT$73</f>
        <v>0.62370000000000003</v>
      </c>
      <c r="J38" s="787">
        <f>'ANALYSE - ERP =&gt; SOUS-SEGMENT'!$JU$73</f>
        <v>6.2E-2</v>
      </c>
      <c r="K38" s="787">
        <f>'ANALYSE - ERP =&gt; SOUS-SEGMENT'!$JV$73</f>
        <v>0</v>
      </c>
      <c r="L38" s="787">
        <f>'ANALYSE - ERP =&gt; SOUS-SEGMENT'!$JW$73</f>
        <v>0</v>
      </c>
      <c r="N38" s="787">
        <f>'ANALYSE - ERP =&gt; SOUS-SEGMENT'!$JX$73</f>
        <v>0.16520000000000001</v>
      </c>
      <c r="O38" s="787">
        <f>'ANALYSE - ERP =&gt; SOUS-SEGMENT'!$JY$73</f>
        <v>0.66649999999999998</v>
      </c>
      <c r="P38" s="787">
        <f>'ANALYSE - ERP =&gt; SOUS-SEGMENT'!$JZ$73</f>
        <v>0.16830000000000001</v>
      </c>
      <c r="Q38" s="787">
        <f>'ANALYSE - ERP =&gt; SOUS-SEGMENT'!$KA$73</f>
        <v>0</v>
      </c>
      <c r="R38" s="787">
        <f>'ANALYSE - ERP =&gt; SOUS-SEGMENT'!$KB$73</f>
        <v>0</v>
      </c>
      <c r="T38" s="430">
        <f>'ANALYSE - ERP =&gt; SOUS-SEGMENT'!$Q$73</f>
        <v>1</v>
      </c>
    </row>
    <row r="39" spans="1:20" ht="15" customHeight="1">
      <c r="A39" s="26">
        <v>36</v>
      </c>
      <c r="B39" s="26">
        <v>36</v>
      </c>
      <c r="C39" s="422">
        <f>'ANALYSE - ERP =&gt; SOUS-SEGMENT'!$A$49</f>
        <v>42</v>
      </c>
      <c r="D39" s="411" t="str">
        <f>'ANALYSE - ERP =&gt; SOUS-SEGMENT'!$B$49</f>
        <v>Santé &amp; Médico-social</v>
      </c>
      <c r="E39" s="411" t="str">
        <f>'ANALYSE - ERP =&gt; SOUS-SEGMENT'!$C$49</f>
        <v>Santé spécialisée</v>
      </c>
      <c r="F39" s="411" t="str">
        <f>'ANALYSE - ERP =&gt; SOUS-SEGMENT'!$D$49</f>
        <v>Centres de psychiatrie</v>
      </c>
      <c r="H39" s="787">
        <f>'ANALYSE - ERP =&gt; SOUS-SEGMENT'!$JS$49</f>
        <v>3.9600000000000003E-2</v>
      </c>
      <c r="I39" s="787">
        <f>'ANALYSE - ERP =&gt; SOUS-SEGMENT'!$JT$49</f>
        <v>0.53349999999999997</v>
      </c>
      <c r="J39" s="787">
        <f>'ANALYSE - ERP =&gt; SOUS-SEGMENT'!$JU$49</f>
        <v>0.40460000000000002</v>
      </c>
      <c r="K39" s="787">
        <f>'ANALYSE - ERP =&gt; SOUS-SEGMENT'!$JV$49</f>
        <v>2.23E-2</v>
      </c>
      <c r="L39" s="787">
        <f>'ANALYSE - ERP =&gt; SOUS-SEGMENT'!$JW$49</f>
        <v>0</v>
      </c>
      <c r="N39" s="787">
        <f>'ANALYSE - ERP =&gt; SOUS-SEGMENT'!$JX$49</f>
        <v>0</v>
      </c>
      <c r="O39" s="787">
        <f>'ANALYSE - ERP =&gt; SOUS-SEGMENT'!$JY$49</f>
        <v>0.3609</v>
      </c>
      <c r="P39" s="787">
        <f>'ANALYSE - ERP =&gt; SOUS-SEGMENT'!$JZ$49</f>
        <v>0.57120000000000004</v>
      </c>
      <c r="Q39" s="787">
        <f>'ANALYSE - ERP =&gt; SOUS-SEGMENT'!$KA$49</f>
        <v>6.7900000000000002E-2</v>
      </c>
      <c r="R39" s="787">
        <f>'ANALYSE - ERP =&gt; SOUS-SEGMENT'!$KB$49</f>
        <v>0</v>
      </c>
      <c r="T39" s="430">
        <f>'ANALYSE - ERP =&gt; SOUS-SEGMENT'!$Q$49</f>
        <v>0</v>
      </c>
    </row>
    <row r="40" spans="1:20" ht="15" customHeight="1">
      <c r="A40" s="26">
        <v>37</v>
      </c>
      <c r="B40" s="26">
        <v>37</v>
      </c>
      <c r="C40" s="422">
        <f>'ANALYSE - ERP =&gt; SOUS-SEGMENT'!$A$50</f>
        <v>43</v>
      </c>
      <c r="D40" s="408" t="str">
        <f>'ANALYSE - ERP =&gt; SOUS-SEGMENT'!$B$50</f>
        <v>Santé &amp; Médico-social</v>
      </c>
      <c r="E40" s="408" t="str">
        <f>'ANALYSE - ERP =&gt; SOUS-SEGMENT'!$C$50</f>
        <v>Santé spécialisée</v>
      </c>
      <c r="F40" s="408" t="str">
        <f>'ANALYSE - ERP =&gt; SOUS-SEGMENT'!$D$50</f>
        <v>Centres de rééducation</v>
      </c>
      <c r="H40" s="787">
        <f>'ANALYSE - ERP =&gt; SOUS-SEGMENT'!$JS$50</f>
        <v>0</v>
      </c>
      <c r="I40" s="787">
        <f>'ANALYSE - ERP =&gt; SOUS-SEGMENT'!$JT$50</f>
        <v>0.121</v>
      </c>
      <c r="J40" s="787">
        <f>'ANALYSE - ERP =&gt; SOUS-SEGMENT'!$JU$50</f>
        <v>0.58320000000000005</v>
      </c>
      <c r="K40" s="787">
        <f>'ANALYSE - ERP =&gt; SOUS-SEGMENT'!$JV$50</f>
        <v>0.29580000000000001</v>
      </c>
      <c r="L40" s="787">
        <f>'ANALYSE - ERP =&gt; SOUS-SEGMENT'!$JW$50</f>
        <v>0</v>
      </c>
      <c r="N40" s="787">
        <f>'ANALYSE - ERP =&gt; SOUS-SEGMENT'!$JX$50</f>
        <v>0</v>
      </c>
      <c r="O40" s="787">
        <f>'ANALYSE - ERP =&gt; SOUS-SEGMENT'!$JY$50</f>
        <v>4.0399999999999998E-2</v>
      </c>
      <c r="P40" s="787">
        <f>'ANALYSE - ERP =&gt; SOUS-SEGMENT'!$JZ$50</f>
        <v>0.5302</v>
      </c>
      <c r="Q40" s="787">
        <f>'ANALYSE - ERP =&gt; SOUS-SEGMENT'!$KA$50</f>
        <v>0.42520000000000002</v>
      </c>
      <c r="R40" s="787">
        <f>'ANALYSE - ERP =&gt; SOUS-SEGMENT'!$KB$50</f>
        <v>4.1999999999999997E-3</v>
      </c>
      <c r="T40" s="430">
        <f>'ANALYSE - ERP =&gt; SOUS-SEGMENT'!$Q$50</f>
        <v>0</v>
      </c>
    </row>
    <row r="41" spans="1:20" ht="15" customHeight="1">
      <c r="A41" s="26">
        <v>38</v>
      </c>
      <c r="B41" s="26">
        <v>39</v>
      </c>
      <c r="C41" s="422">
        <f>'ANALYSE - ERP =&gt; SOUS-SEGMENT'!$A$142</f>
        <v>135</v>
      </c>
      <c r="D41" s="413" t="str">
        <f>'ANALYSE - ERP =&gt; SOUS-SEGMENT'!$B$142</f>
        <v>Sécurité &amp; Justice</v>
      </c>
      <c r="E41" s="413" t="str">
        <f>'ANALYSE - ERP =&gt; SOUS-SEGMENT'!$C$142</f>
        <v>Univers carcéral</v>
      </c>
      <c r="F41" s="413" t="str">
        <f>'ANALYSE - ERP =&gt; SOUS-SEGMENT'!$D$142</f>
        <v>Centres pénitentiaires</v>
      </c>
      <c r="H41" s="787">
        <f>'ANALYSE - ERP =&gt; SOUS-SEGMENT'!$JS$142</f>
        <v>0.21790000000000001</v>
      </c>
      <c r="I41" s="787">
        <f>'ANALYSE - ERP =&gt; SOUS-SEGMENT'!$JT$142</f>
        <v>0.67530000000000001</v>
      </c>
      <c r="J41" s="787">
        <f>'ANALYSE - ERP =&gt; SOUS-SEGMENT'!$JU$142</f>
        <v>0.10680000000000001</v>
      </c>
      <c r="K41" s="787">
        <f>'ANALYSE - ERP =&gt; SOUS-SEGMENT'!$JV$142</f>
        <v>0</v>
      </c>
      <c r="L41" s="787">
        <f>'ANALYSE - ERP =&gt; SOUS-SEGMENT'!$JW$142</f>
        <v>0</v>
      </c>
      <c r="N41" s="787">
        <f>'ANALYSE - ERP =&gt; SOUS-SEGMENT'!$JX$142</f>
        <v>7.3700000000000002E-2</v>
      </c>
      <c r="O41" s="787">
        <f>'ANALYSE - ERP =&gt; SOUS-SEGMENT'!$JY$142</f>
        <v>0.64400000000000002</v>
      </c>
      <c r="P41" s="787">
        <f>'ANALYSE - ERP =&gt; SOUS-SEGMENT'!$JZ$142</f>
        <v>0.2823</v>
      </c>
      <c r="Q41" s="787">
        <f>'ANALYSE - ERP =&gt; SOUS-SEGMENT'!$KA$142</f>
        <v>0</v>
      </c>
      <c r="R41" s="787">
        <f>'ANALYSE - ERP =&gt; SOUS-SEGMENT'!$KB$142</f>
        <v>0</v>
      </c>
      <c r="T41" s="430">
        <f>'ANALYSE - ERP =&gt; SOUS-SEGMENT'!$Q$142</f>
        <v>1</v>
      </c>
    </row>
    <row r="42" spans="1:20" ht="15" customHeight="1">
      <c r="A42" s="26">
        <v>39</v>
      </c>
      <c r="B42" s="26">
        <v>38</v>
      </c>
      <c r="C42" s="422">
        <f>'ANALYSE - ERP =&gt; SOUS-SEGMENT'!$A$15</f>
        <v>8</v>
      </c>
      <c r="D42" s="412" t="str">
        <f>'ANALYSE - ERP =&gt; SOUS-SEGMENT'!$B$15</f>
        <v>Enfance, Enseignement, Jeunesse &amp; Formation</v>
      </c>
      <c r="E42" s="412" t="str">
        <f>'ANALYSE - ERP =&gt; SOUS-SEGMENT'!$C$15</f>
        <v>Enseignement scolaire</v>
      </c>
      <c r="F42" s="412" t="str">
        <f>'ANALYSE - ERP =&gt; SOUS-SEGMENT'!$D$15</f>
        <v>Internats scolaires</v>
      </c>
      <c r="H42" s="787">
        <f>'ANALYSE - ERP =&gt; SOUS-SEGMENT'!$JS$15</f>
        <v>0</v>
      </c>
      <c r="I42" s="787">
        <f>'ANALYSE - ERP =&gt; SOUS-SEGMENT'!$JT$15</f>
        <v>0.2006</v>
      </c>
      <c r="J42" s="787">
        <f>'ANALYSE - ERP =&gt; SOUS-SEGMENT'!$JU$15</f>
        <v>0.54849999999999999</v>
      </c>
      <c r="K42" s="787">
        <f>'ANALYSE - ERP =&gt; SOUS-SEGMENT'!$JV$15</f>
        <v>0.23719999999999999</v>
      </c>
      <c r="L42" s="787">
        <f>'ANALYSE - ERP =&gt; SOUS-SEGMENT'!$JW$15</f>
        <v>1.37E-2</v>
      </c>
      <c r="N42" s="787">
        <f>'ANALYSE - ERP =&gt; SOUS-SEGMENT'!$JX$15</f>
        <v>0</v>
      </c>
      <c r="O42" s="787">
        <f>'ANALYSE - ERP =&gt; SOUS-SEGMENT'!$JY$15</f>
        <v>8.9200000000000002E-2</v>
      </c>
      <c r="P42" s="787">
        <f>'ANALYSE - ERP =&gt; SOUS-SEGMENT'!$JZ$15</f>
        <v>0.497</v>
      </c>
      <c r="Q42" s="787">
        <f>'ANALYSE - ERP =&gt; SOUS-SEGMENT'!$KA$15</f>
        <v>0.37330000000000002</v>
      </c>
      <c r="R42" s="787">
        <f>'ANALYSE - ERP =&gt; SOUS-SEGMENT'!$KB$15</f>
        <v>4.0500000000000001E-2</v>
      </c>
      <c r="T42" s="430">
        <f>'ANALYSE - ERP =&gt; SOUS-SEGMENT'!$Q$15</f>
        <v>1</v>
      </c>
    </row>
    <row r="43" spans="1:20" ht="15" customHeight="1">
      <c r="A43" s="26">
        <v>40</v>
      </c>
      <c r="B43" s="26">
        <v>41</v>
      </c>
      <c r="C43" s="422">
        <f>'ANALYSE - ERP =&gt; SOUS-SEGMENT'!$A$62</f>
        <v>55</v>
      </c>
      <c r="D43" s="412" t="str">
        <f>'ANALYSE - ERP =&gt; SOUS-SEGMENT'!$B$62</f>
        <v>Culture, Patrimoine &amp; Evénementiel</v>
      </c>
      <c r="E43" s="412" t="str">
        <f>'ANALYSE - ERP =&gt; SOUS-SEGMENT'!$C$62</f>
        <v>Culture / spectacle</v>
      </c>
      <c r="F43" s="412" t="str">
        <f>'ANALYSE - ERP =&gt; SOUS-SEGMENT'!$D$62</f>
        <v>Cinémas</v>
      </c>
      <c r="H43" s="787">
        <f>'ANALYSE - ERP =&gt; SOUS-SEGMENT'!$JS$62</f>
        <v>0</v>
      </c>
      <c r="I43" s="787">
        <f>'ANALYSE - ERP =&gt; SOUS-SEGMENT'!$JT$62</f>
        <v>0.1779</v>
      </c>
      <c r="J43" s="787">
        <f>'ANALYSE - ERP =&gt; SOUS-SEGMENT'!$JU$62</f>
        <v>0.50549999999999995</v>
      </c>
      <c r="K43" s="787">
        <f>'ANALYSE - ERP =&gt; SOUS-SEGMENT'!$JV$62</f>
        <v>0.28610000000000002</v>
      </c>
      <c r="L43" s="787">
        <f>'ANALYSE - ERP =&gt; SOUS-SEGMENT'!$JW$62</f>
        <v>3.0499999999999999E-2</v>
      </c>
      <c r="N43" s="787">
        <f>'ANALYSE - ERP =&gt; SOUS-SEGMENT'!$JX$62</f>
        <v>0</v>
      </c>
      <c r="O43" s="787">
        <f>'ANALYSE - ERP =&gt; SOUS-SEGMENT'!$JY$62</f>
        <v>8.72E-2</v>
      </c>
      <c r="P43" s="787">
        <f>'ANALYSE - ERP =&gt; SOUS-SEGMENT'!$JZ$62</f>
        <v>0.44409999999999999</v>
      </c>
      <c r="Q43" s="787">
        <f>'ANALYSE - ERP =&gt; SOUS-SEGMENT'!$KA$62</f>
        <v>0.39850000000000002</v>
      </c>
      <c r="R43" s="787">
        <f>'ANALYSE - ERP =&gt; SOUS-SEGMENT'!$KB$62</f>
        <v>7.0199999999999999E-2</v>
      </c>
      <c r="T43" s="430">
        <f>'ANALYSE - ERP =&gt; SOUS-SEGMENT'!$Q$62</f>
        <v>1</v>
      </c>
    </row>
    <row r="44" spans="1:20" ht="15" customHeight="1">
      <c r="A44" s="26">
        <v>41</v>
      </c>
      <c r="B44" s="26">
        <v>40</v>
      </c>
      <c r="C44" s="422" t="e">
        <f>'ANALYSE - ERP =&gt; SOUS-SEGMENT'!#REF!</f>
        <v>#REF!</v>
      </c>
      <c r="D44" s="408" t="e">
        <f>'ANALYSE - ERP =&gt; SOUS-SEGMENT'!#REF!</f>
        <v>#REF!</v>
      </c>
      <c r="E44" s="408" t="e">
        <f>'ANALYSE - ERP =&gt; SOUS-SEGMENT'!#REF!</f>
        <v>#REF!</v>
      </c>
      <c r="F44" s="408" t="e">
        <f>'ANALYSE - ERP =&gt; SOUS-SEGMENT'!#REF!</f>
        <v>#REF!</v>
      </c>
      <c r="H44" s="787" t="e">
        <f>'ANALYSE - ERP =&gt; SOUS-SEGMENT'!#REF!</f>
        <v>#REF!</v>
      </c>
      <c r="I44" s="787" t="e">
        <f>'ANALYSE - ERP =&gt; SOUS-SEGMENT'!#REF!</f>
        <v>#REF!</v>
      </c>
      <c r="J44" s="787" t="e">
        <f>'ANALYSE - ERP =&gt; SOUS-SEGMENT'!#REF!</f>
        <v>#REF!</v>
      </c>
      <c r="K44" s="787" t="e">
        <f>'ANALYSE - ERP =&gt; SOUS-SEGMENT'!#REF!</f>
        <v>#REF!</v>
      </c>
      <c r="L44" s="787" t="e">
        <f>'ANALYSE - ERP =&gt; SOUS-SEGMENT'!#REF!</f>
        <v>#REF!</v>
      </c>
      <c r="N44" s="787" t="e">
        <f>'ANALYSE - ERP =&gt; SOUS-SEGMENT'!#REF!</f>
        <v>#REF!</v>
      </c>
      <c r="O44" s="787" t="e">
        <f>'ANALYSE - ERP =&gt; SOUS-SEGMENT'!#REF!</f>
        <v>#REF!</v>
      </c>
      <c r="P44" s="787" t="e">
        <f>'ANALYSE - ERP =&gt; SOUS-SEGMENT'!#REF!</f>
        <v>#REF!</v>
      </c>
      <c r="Q44" s="787" t="e">
        <f>'ANALYSE - ERP =&gt; SOUS-SEGMENT'!#REF!</f>
        <v>#REF!</v>
      </c>
      <c r="R44" s="787" t="e">
        <f>'ANALYSE - ERP =&gt; SOUS-SEGMENT'!#REF!</f>
        <v>#REF!</v>
      </c>
      <c r="T44" s="430" t="e">
        <f>'ANALYSE - ERP =&gt; SOUS-SEGMENT'!#REF!</f>
        <v>#REF!</v>
      </c>
    </row>
    <row r="45" spans="1:20" ht="15" customHeight="1">
      <c r="A45" s="26">
        <v>42</v>
      </c>
      <c r="B45" s="26">
        <v>42</v>
      </c>
      <c r="C45" s="422">
        <f>'ANALYSE - ERP =&gt; SOUS-SEGMENT'!$A$63</f>
        <v>56</v>
      </c>
      <c r="D45" s="414" t="str">
        <f>'ANALYSE - ERP =&gt; SOUS-SEGMENT'!$B$63</f>
        <v>Culture, Patrimoine &amp; Evénementiel</v>
      </c>
      <c r="E45" s="414" t="str">
        <f>'ANALYSE - ERP =&gt; SOUS-SEGMENT'!$C$63</f>
        <v>Culture / spectacle</v>
      </c>
      <c r="F45" s="414" t="str">
        <f>'ANALYSE - ERP =&gt; SOUS-SEGMENT'!$D$63</f>
        <v>Théâtres</v>
      </c>
      <c r="H45" s="787">
        <f>'ANALYSE - ERP =&gt; SOUS-SEGMENT'!$JS$63</f>
        <v>1.4999999999999999E-2</v>
      </c>
      <c r="I45" s="787">
        <f>'ANALYSE - ERP =&gt; SOUS-SEGMENT'!$JT$63</f>
        <v>0.30449999999999999</v>
      </c>
      <c r="J45" s="787">
        <f>'ANALYSE - ERP =&gt; SOUS-SEGMENT'!$JU$63</f>
        <v>0.51019999999999999</v>
      </c>
      <c r="K45" s="787">
        <f>'ANALYSE - ERP =&gt; SOUS-SEGMENT'!$JV$63</f>
        <v>0.16320000000000001</v>
      </c>
      <c r="L45" s="787">
        <f>'ANALYSE - ERP =&gt; SOUS-SEGMENT'!$JW$63</f>
        <v>7.1000000000000004E-3</v>
      </c>
      <c r="N45" s="787">
        <f>'ANALYSE - ERP =&gt; SOUS-SEGMENT'!$JX$63</f>
        <v>0</v>
      </c>
      <c r="O45" s="787">
        <f>'ANALYSE - ERP =&gt; SOUS-SEGMENT'!$JY$63</f>
        <v>0.189</v>
      </c>
      <c r="P45" s="787">
        <f>'ANALYSE - ERP =&gt; SOUS-SEGMENT'!$JZ$63</f>
        <v>0.52969999999999995</v>
      </c>
      <c r="Q45" s="787">
        <f>'ANALYSE - ERP =&gt; SOUS-SEGMENT'!$KA$63</f>
        <v>0.2611</v>
      </c>
      <c r="R45" s="787">
        <f>'ANALYSE - ERP =&gt; SOUS-SEGMENT'!$KB$63</f>
        <v>2.0199999999999999E-2</v>
      </c>
      <c r="T45" s="430">
        <f>'ANALYSE - ERP =&gt; SOUS-SEGMENT'!$Q$63</f>
        <v>1</v>
      </c>
    </row>
    <row r="46" spans="1:20" ht="15" customHeight="1">
      <c r="A46" s="26">
        <v>43</v>
      </c>
      <c r="B46" s="26">
        <v>43</v>
      </c>
      <c r="C46" s="422">
        <f>'ANALYSE - ERP =&gt; SOUS-SEGMENT'!$A$150</f>
        <v>143</v>
      </c>
      <c r="D46" s="414" t="str">
        <f>'ANALYSE - ERP =&gt; SOUS-SEGMENT'!$B$150</f>
        <v>Sanitaires Publics</v>
      </c>
      <c r="E46" s="414" t="str">
        <f>'ANALYSE - ERP =&gt; SOUS-SEGMENT'!$C$150</f>
        <v>Sanitaires publics</v>
      </c>
      <c r="F46" s="414" t="str">
        <f>'ANALYSE - ERP =&gt; SOUS-SEGMENT'!$D$150</f>
        <v>Toilettes publiques (sur la voie publique)</v>
      </c>
      <c r="H46" s="787">
        <f>'ANALYSE - ERP =&gt; SOUS-SEGMENT'!$JS$150</f>
        <v>0.29110000000000003</v>
      </c>
      <c r="I46" s="787">
        <f>'ANALYSE - ERP =&gt; SOUS-SEGMENT'!$JT$150</f>
        <v>0.59550000000000003</v>
      </c>
      <c r="J46" s="787">
        <f>'ANALYSE - ERP =&gt; SOUS-SEGMENT'!$JU$150</f>
        <v>0.1134</v>
      </c>
      <c r="K46" s="787">
        <f>'ANALYSE - ERP =&gt; SOUS-SEGMENT'!$JV$150</f>
        <v>0</v>
      </c>
      <c r="L46" s="787">
        <f>'ANALYSE - ERP =&gt; SOUS-SEGMENT'!$JW$150</f>
        <v>0</v>
      </c>
      <c r="N46" s="787">
        <f>'ANALYSE - ERP =&gt; SOUS-SEGMENT'!$JX$150</f>
        <v>0.27050000000000002</v>
      </c>
      <c r="O46" s="787">
        <f>'ANALYSE - ERP =&gt; SOUS-SEGMENT'!$JY$150</f>
        <v>0.57030000000000003</v>
      </c>
      <c r="P46" s="787">
        <f>'ANALYSE - ERP =&gt; SOUS-SEGMENT'!$JZ$150</f>
        <v>0.13400000000000001</v>
      </c>
      <c r="Q46" s="787">
        <f>'ANALYSE - ERP =&gt; SOUS-SEGMENT'!$KA$150</f>
        <v>2.06E-2</v>
      </c>
      <c r="R46" s="787">
        <f>'ANALYSE - ERP =&gt; SOUS-SEGMENT'!$KB$150</f>
        <v>4.5999999999999999E-3</v>
      </c>
      <c r="T46" s="430">
        <f>'ANALYSE - ERP =&gt; SOUS-SEGMENT'!$Q$150</f>
        <v>1</v>
      </c>
    </row>
    <row r="47" spans="1:20" ht="15" customHeight="1">
      <c r="A47" s="26">
        <v>44</v>
      </c>
      <c r="B47" s="26">
        <v>45</v>
      </c>
      <c r="C47" s="422">
        <f>'ANALYSE - ERP =&gt; SOUS-SEGMENT'!$A$116</f>
        <v>109</v>
      </c>
      <c r="D47" s="414" t="str">
        <f>'ANALYSE - ERP =&gt; SOUS-SEGMENT'!$B$116</f>
        <v>Culte, Vie civique &amp; Services publics</v>
      </c>
      <c r="E47" s="414" t="str">
        <f>'ANALYSE - ERP =&gt; SOUS-SEGMENT'!$C$116</f>
        <v>Culte</v>
      </c>
      <c r="F47" s="414" t="str">
        <f>'ANALYSE - ERP =&gt; SOUS-SEGMENT'!$D$116</f>
        <v>Mosquées et salles de prière musulmanes</v>
      </c>
      <c r="H47" s="787">
        <f>'ANALYSE - ERP =&gt; SOUS-SEGMENT'!$JS$116</f>
        <v>0.1066</v>
      </c>
      <c r="I47" s="787">
        <f>'ANALYSE - ERP =&gt; SOUS-SEGMENT'!$JT$116</f>
        <v>0.53920000000000001</v>
      </c>
      <c r="J47" s="787">
        <f>'ANALYSE - ERP =&gt; SOUS-SEGMENT'!$JU$116</f>
        <v>0.32950000000000002</v>
      </c>
      <c r="K47" s="787">
        <f>'ANALYSE - ERP =&gt; SOUS-SEGMENT'!$JV$116</f>
        <v>2.47E-2</v>
      </c>
      <c r="L47" s="787">
        <f>'ANALYSE - ERP =&gt; SOUS-SEGMENT'!$JW$116</f>
        <v>0</v>
      </c>
      <c r="N47" s="787">
        <f>'ANALYSE - ERP =&gt; SOUS-SEGMENT'!$JX$116</f>
        <v>9.2499999999999999E-2</v>
      </c>
      <c r="O47" s="787">
        <f>'ANALYSE - ERP =&gt; SOUS-SEGMENT'!$JY$116</f>
        <v>0.52190000000000003</v>
      </c>
      <c r="P47" s="787">
        <f>'ANALYSE - ERP =&gt; SOUS-SEGMENT'!$JZ$116</f>
        <v>0.34360000000000002</v>
      </c>
      <c r="Q47" s="787">
        <f>'ANALYSE - ERP =&gt; SOUS-SEGMENT'!$KA$116</f>
        <v>3.8800000000000001E-2</v>
      </c>
      <c r="R47" s="787">
        <f>'ANALYSE - ERP =&gt; SOUS-SEGMENT'!$KB$116</f>
        <v>3.2000000000000002E-3</v>
      </c>
      <c r="T47" s="430">
        <f>'ANALYSE - ERP =&gt; SOUS-SEGMENT'!$Q$116</f>
        <v>1</v>
      </c>
    </row>
    <row r="48" spans="1:20" ht="15" customHeight="1">
      <c r="A48" s="26">
        <v>45</v>
      </c>
      <c r="B48" s="26">
        <v>44</v>
      </c>
      <c r="C48" s="422">
        <f>'ANALYSE - ERP =&gt; SOUS-SEGMENT'!$A$65</f>
        <v>58</v>
      </c>
      <c r="D48" s="414" t="str">
        <f>'ANALYSE - ERP =&gt; SOUS-SEGMENT'!$B$65</f>
        <v>Culture, Patrimoine &amp; Evénementiel</v>
      </c>
      <c r="E48" s="414" t="str">
        <f>'ANALYSE - ERP =&gt; SOUS-SEGMENT'!$C$65</f>
        <v>Culture / spectacle</v>
      </c>
      <c r="F48" s="414" t="str">
        <f>'ANALYSE - ERP =&gt; SOUS-SEGMENT'!$D$65</f>
        <v>Salles de spectacle / Auditoriums</v>
      </c>
      <c r="H48" s="787">
        <f>'ANALYSE - ERP =&gt; SOUS-SEGMENT'!$JS$65</f>
        <v>0</v>
      </c>
      <c r="I48" s="787">
        <f>'ANALYSE - ERP =&gt; SOUS-SEGMENT'!$JT$65</f>
        <v>0.21199999999999999</v>
      </c>
      <c r="J48" s="787">
        <f>'ANALYSE - ERP =&gt; SOUS-SEGMENT'!$JU$65</f>
        <v>0.51400000000000001</v>
      </c>
      <c r="K48" s="787">
        <f>'ANALYSE - ERP =&gt; SOUS-SEGMENT'!$JV$65</f>
        <v>0.25130000000000002</v>
      </c>
      <c r="L48" s="787">
        <f>'ANALYSE - ERP =&gt; SOUS-SEGMENT'!$JW$65</f>
        <v>2.2700000000000001E-2</v>
      </c>
      <c r="N48" s="787">
        <f>'ANALYSE - ERP =&gt; SOUS-SEGMENT'!$JX$65</f>
        <v>0</v>
      </c>
      <c r="O48" s="787">
        <f>'ANALYSE - ERP =&gt; SOUS-SEGMENT'!$JY$65</f>
        <v>9.5200000000000007E-2</v>
      </c>
      <c r="P48" s="787">
        <f>'ANALYSE - ERP =&gt; SOUS-SEGMENT'!$JZ$65</f>
        <v>0.45279999999999998</v>
      </c>
      <c r="Q48" s="787">
        <f>'ANALYSE - ERP =&gt; SOUS-SEGMENT'!$KA$65</f>
        <v>0.38719999999999999</v>
      </c>
      <c r="R48" s="787">
        <f>'ANALYSE - ERP =&gt; SOUS-SEGMENT'!$KB$65</f>
        <v>6.4799999999999996E-2</v>
      </c>
      <c r="T48" s="430">
        <f>'ANALYSE - ERP =&gt; SOUS-SEGMENT'!$Q$65</f>
        <v>1</v>
      </c>
    </row>
    <row r="49" spans="1:20" ht="15" customHeight="1">
      <c r="A49" s="26">
        <v>46</v>
      </c>
      <c r="B49" s="26">
        <v>59</v>
      </c>
      <c r="C49" s="422">
        <f>'ANALYSE - ERP =&gt; SOUS-SEGMENT'!$A$54</f>
        <v>47</v>
      </c>
      <c r="D49" s="415" t="str">
        <f>'ANALYSE - ERP =&gt; SOUS-SEGMENT'!$B$54</f>
        <v>Santé &amp; Médico-social</v>
      </c>
      <c r="E49" s="415" t="str">
        <f>'ANALYSE - ERP =&gt; SOUS-SEGMENT'!$C$54</f>
        <v>Santé ambulatoire</v>
      </c>
      <c r="F49" s="415" t="str">
        <f>'ANALYSE - ERP =&gt; SOUS-SEGMENT'!$D$54</f>
        <v>Maisons de santé</v>
      </c>
      <c r="H49" s="787">
        <f>'ANALYSE - ERP =&gt; SOUS-SEGMENT'!$JS$54</f>
        <v>0</v>
      </c>
      <c r="I49" s="787">
        <f>'ANALYSE - ERP =&gt; SOUS-SEGMENT'!$JT$54</f>
        <v>0.127</v>
      </c>
      <c r="J49" s="787">
        <f>'ANALYSE - ERP =&gt; SOUS-SEGMENT'!$JU$54</f>
        <v>0.56000000000000005</v>
      </c>
      <c r="K49" s="787">
        <f>'ANALYSE - ERP =&gt; SOUS-SEGMENT'!$JV$54</f>
        <v>0.29110000000000003</v>
      </c>
      <c r="L49" s="787">
        <f>'ANALYSE - ERP =&gt; SOUS-SEGMENT'!$JW$54</f>
        <v>2.1899999999999999E-2</v>
      </c>
      <c r="N49" s="787">
        <f>'ANALYSE - ERP =&gt; SOUS-SEGMENT'!$JX$54</f>
        <v>0</v>
      </c>
      <c r="O49" s="787">
        <f>'ANALYSE - ERP =&gt; SOUS-SEGMENT'!$JY$54</f>
        <v>8.9999999999999993E-3</v>
      </c>
      <c r="P49" s="787">
        <f>'ANALYSE - ERP =&gt; SOUS-SEGMENT'!$JZ$54</f>
        <v>0.33910000000000001</v>
      </c>
      <c r="Q49" s="787">
        <f>'ANALYSE - ERP =&gt; SOUS-SEGMENT'!$KA$54</f>
        <v>0.57189999999999996</v>
      </c>
      <c r="R49" s="787">
        <f>'ANALYSE - ERP =&gt; SOUS-SEGMENT'!$KB$54</f>
        <v>0.08</v>
      </c>
      <c r="T49" s="430">
        <f>'ANALYSE - ERP =&gt; SOUS-SEGMENT'!$Q$54</f>
        <v>1</v>
      </c>
    </row>
    <row r="50" spans="1:20" ht="15" customHeight="1">
      <c r="A50" s="26">
        <v>47</v>
      </c>
      <c r="B50" s="26">
        <v>46</v>
      </c>
      <c r="C50" s="422">
        <f>'ANALYSE - ERP =&gt; SOUS-SEGMENT'!$A$28</f>
        <v>21</v>
      </c>
      <c r="D50" s="415" t="str">
        <f>'ANALYSE - ERP =&gt; SOUS-SEGMENT'!$B$28</f>
        <v>Sports &amp; Loisirs</v>
      </c>
      <c r="E50" s="415" t="str">
        <f>'ANALYSE - ERP =&gt; SOUS-SEGMENT'!$C$28</f>
        <v>Sport de plein air</v>
      </c>
      <c r="F50" s="415" t="str">
        <f>'ANALYSE - ERP =&gt; SOUS-SEGMENT'!$D$28</f>
        <v>Stades avec tribunes
(Hors grands stades, hors terrains sport)</v>
      </c>
      <c r="H50" s="787">
        <f>'ANALYSE - ERP =&gt; SOUS-SEGMENT'!$JS$28</f>
        <v>0.15859999999999999</v>
      </c>
      <c r="I50" s="787">
        <f>'ANALYSE - ERP =&gt; SOUS-SEGMENT'!$JT$28</f>
        <v>0.62880000000000003</v>
      </c>
      <c r="J50" s="787">
        <f>'ANALYSE - ERP =&gt; SOUS-SEGMENT'!$JU$28</f>
        <v>0.21260000000000001</v>
      </c>
      <c r="K50" s="787">
        <f>'ANALYSE - ERP =&gt; SOUS-SEGMENT'!$JV$28</f>
        <v>0</v>
      </c>
      <c r="L50" s="787">
        <f>'ANALYSE - ERP =&gt; SOUS-SEGMENT'!$JW$28</f>
        <v>0</v>
      </c>
      <c r="N50" s="787">
        <f>'ANALYSE - ERP =&gt; SOUS-SEGMENT'!$JX$28</f>
        <v>6.4899999999999999E-2</v>
      </c>
      <c r="O50" s="787">
        <f>'ANALYSE - ERP =&gt; SOUS-SEGMENT'!$JY$28</f>
        <v>0.55549999999999999</v>
      </c>
      <c r="P50" s="787">
        <f>'ANALYSE - ERP =&gt; SOUS-SEGMENT'!$JZ$28</f>
        <v>0.37959999999999999</v>
      </c>
      <c r="Q50" s="787">
        <f>'ANALYSE - ERP =&gt; SOUS-SEGMENT'!$KA$28</f>
        <v>0</v>
      </c>
      <c r="R50" s="787">
        <f>'ANALYSE - ERP =&gt; SOUS-SEGMENT'!$KB$28</f>
        <v>0</v>
      </c>
      <c r="T50" s="430">
        <f>'ANALYSE - ERP =&gt; SOUS-SEGMENT'!$Q$28</f>
        <v>1</v>
      </c>
    </row>
    <row r="51" spans="1:20" ht="15" customHeight="1">
      <c r="A51" s="26">
        <v>48</v>
      </c>
      <c r="B51" s="26">
        <v>47</v>
      </c>
      <c r="C51" s="422">
        <f>'ANALYSE - ERP =&gt; SOUS-SEGMENT'!$A$115</f>
        <v>108</v>
      </c>
      <c r="D51" s="413" t="str">
        <f>'ANALYSE - ERP =&gt; SOUS-SEGMENT'!$B$115</f>
        <v>Culte, Vie civique &amp; Services publics</v>
      </c>
      <c r="E51" s="413" t="str">
        <f>'ANALYSE - ERP =&gt; SOUS-SEGMENT'!$C$115</f>
        <v>Culte</v>
      </c>
      <c r="F51" s="413" t="str">
        <f>'ANALYSE - ERP =&gt; SOUS-SEGMENT'!$D$115</f>
        <v>Temples protestants, évangéliques et salles de culte assimilées</v>
      </c>
      <c r="H51" s="787">
        <f>'ANALYSE - ERP =&gt; SOUS-SEGMENT'!$JS$115</f>
        <v>0.1066</v>
      </c>
      <c r="I51" s="787">
        <f>'ANALYSE - ERP =&gt; SOUS-SEGMENT'!$JT$115</f>
        <v>0.53920000000000001</v>
      </c>
      <c r="J51" s="787">
        <f>'ANALYSE - ERP =&gt; SOUS-SEGMENT'!$JU$115</f>
        <v>0.32950000000000002</v>
      </c>
      <c r="K51" s="787">
        <f>'ANALYSE - ERP =&gt; SOUS-SEGMENT'!$JV$115</f>
        <v>2.47E-2</v>
      </c>
      <c r="L51" s="787">
        <f>'ANALYSE - ERP =&gt; SOUS-SEGMENT'!$JW$115</f>
        <v>0</v>
      </c>
      <c r="N51" s="787">
        <f>'ANALYSE - ERP =&gt; SOUS-SEGMENT'!$JX$115</f>
        <v>9.2499999999999999E-2</v>
      </c>
      <c r="O51" s="787">
        <f>'ANALYSE - ERP =&gt; SOUS-SEGMENT'!$JY$115</f>
        <v>0.52190000000000003</v>
      </c>
      <c r="P51" s="787">
        <f>'ANALYSE - ERP =&gt; SOUS-SEGMENT'!$JZ$115</f>
        <v>0.34360000000000002</v>
      </c>
      <c r="Q51" s="787">
        <f>'ANALYSE - ERP =&gt; SOUS-SEGMENT'!$KA$115</f>
        <v>3.8800000000000001E-2</v>
      </c>
      <c r="R51" s="787">
        <f>'ANALYSE - ERP =&gt; SOUS-SEGMENT'!$KB$115</f>
        <v>3.2000000000000002E-3</v>
      </c>
      <c r="T51" s="430">
        <f>'ANALYSE - ERP =&gt; SOUS-SEGMENT'!$Q$115</f>
        <v>1</v>
      </c>
    </row>
    <row r="52" spans="1:20" ht="15" customHeight="1">
      <c r="A52" s="26">
        <v>49</v>
      </c>
      <c r="B52" s="26">
        <v>48</v>
      </c>
      <c r="C52" s="422">
        <f>'ANALYSE - ERP =&gt; SOUS-SEGMENT'!$A$60</f>
        <v>53</v>
      </c>
      <c r="D52" s="411" t="str">
        <f>'ANALYSE - ERP =&gt; SOUS-SEGMENT'!$B$60</f>
        <v>Santé &amp; Médico-social</v>
      </c>
      <c r="E52" s="411" t="str">
        <f>'ANALYSE - ERP =&gt; SOUS-SEGMENT'!$C$60</f>
        <v>Médico-social</v>
      </c>
      <c r="F52" s="411" t="str">
        <f>'ANALYSE - ERP =&gt; SOUS-SEGMENT'!$D$60</f>
        <v>Résidences autonomie
Foyers-logements
(Public)</v>
      </c>
      <c r="H52" s="787">
        <f>'ANALYSE - ERP =&gt; SOUS-SEGMENT'!$JS$60</f>
        <v>0</v>
      </c>
      <c r="I52" s="787">
        <f>'ANALYSE - ERP =&gt; SOUS-SEGMENT'!$JT$60</f>
        <v>0.1759</v>
      </c>
      <c r="J52" s="787">
        <f>'ANALYSE - ERP =&gt; SOUS-SEGMENT'!$JU$60</f>
        <v>0.55830000000000002</v>
      </c>
      <c r="K52" s="787">
        <f>'ANALYSE - ERP =&gt; SOUS-SEGMENT'!$JV$60</f>
        <v>0.252</v>
      </c>
      <c r="L52" s="787">
        <f>'ANALYSE - ERP =&gt; SOUS-SEGMENT'!$JW$60</f>
        <v>1.38E-2</v>
      </c>
      <c r="N52" s="787">
        <f>'ANALYSE - ERP =&gt; SOUS-SEGMENT'!$JX$60</f>
        <v>0</v>
      </c>
      <c r="O52" s="787">
        <f>'ANALYSE - ERP =&gt; SOUS-SEGMENT'!$JY$60</f>
        <v>9.9599999999999994E-2</v>
      </c>
      <c r="P52" s="787">
        <f>'ANALYSE - ERP =&gt; SOUS-SEGMENT'!$JZ$60</f>
        <v>0.5232</v>
      </c>
      <c r="Q52" s="787">
        <f>'ANALYSE - ERP =&gt; SOUS-SEGMENT'!$KA$60</f>
        <v>0.34739999999999999</v>
      </c>
      <c r="R52" s="787">
        <f>'ANALYSE - ERP =&gt; SOUS-SEGMENT'!$KB$60</f>
        <v>2.98E-2</v>
      </c>
      <c r="T52" s="430">
        <f>'ANALYSE - ERP =&gt; SOUS-SEGMENT'!$Q$60</f>
        <v>1</v>
      </c>
    </row>
    <row r="53" spans="1:20" ht="15" customHeight="1">
      <c r="A53" s="26">
        <v>50</v>
      </c>
      <c r="B53" s="26">
        <v>51</v>
      </c>
      <c r="C53" s="422">
        <f>'ANALYSE - ERP =&gt; SOUS-SEGMENT'!$A$18</f>
        <v>11</v>
      </c>
      <c r="D53" s="411" t="str">
        <f>'ANALYSE - ERP =&gt; SOUS-SEGMENT'!$B$18</f>
        <v>Enfance, Enseignement, Jeunesse &amp; Formation</v>
      </c>
      <c r="E53" s="411" t="str">
        <f>'ANALYSE - ERP =&gt; SOUS-SEGMENT'!$C$18</f>
        <v>Enseignement supérieur</v>
      </c>
      <c r="F53" s="411" t="str">
        <f>'ANALYSE - ERP =&gt; SOUS-SEGMENT'!$D$18</f>
        <v>Résidences étudiantes et dortoirs</v>
      </c>
      <c r="H53" s="787">
        <f>'ANALYSE - ERP =&gt; SOUS-SEGMENT'!$JS$18</f>
        <v>0</v>
      </c>
      <c r="I53" s="787">
        <f>'ANALYSE - ERP =&gt; SOUS-SEGMENT'!$JT$18</f>
        <v>0.1623</v>
      </c>
      <c r="J53" s="787">
        <f>'ANALYSE - ERP =&gt; SOUS-SEGMENT'!$JU$18</f>
        <v>0.54159999999999997</v>
      </c>
      <c r="K53" s="787">
        <f>'ANALYSE - ERP =&gt; SOUS-SEGMENT'!$JV$18</f>
        <v>0.2767</v>
      </c>
      <c r="L53" s="787">
        <f>'ANALYSE - ERP =&gt; SOUS-SEGMENT'!$JW$18</f>
        <v>1.9400000000000001E-2</v>
      </c>
      <c r="N53" s="787">
        <f>'ANALYSE - ERP =&gt; SOUS-SEGMENT'!$JX$18</f>
        <v>0</v>
      </c>
      <c r="O53" s="787">
        <f>'ANALYSE - ERP =&gt; SOUS-SEGMENT'!$JY$18</f>
        <v>4.2900000000000001E-2</v>
      </c>
      <c r="P53" s="787">
        <f>'ANALYSE - ERP =&gt; SOUS-SEGMENT'!$JZ$18</f>
        <v>0.4304</v>
      </c>
      <c r="Q53" s="787">
        <f>'ANALYSE - ERP =&gt; SOUS-SEGMENT'!$KA$18</f>
        <v>0.45529999999999998</v>
      </c>
      <c r="R53" s="787">
        <f>'ANALYSE - ERP =&gt; SOUS-SEGMENT'!$KB$18</f>
        <v>7.1400000000000005E-2</v>
      </c>
      <c r="T53" s="430">
        <f>'ANALYSE - ERP =&gt; SOUS-SEGMENT'!$Q$18</f>
        <v>1</v>
      </c>
    </row>
    <row r="54" spans="1:20" ht="15" customHeight="1">
      <c r="A54" s="26">
        <v>51</v>
      </c>
      <c r="B54" s="26">
        <v>50</v>
      </c>
      <c r="C54" s="422">
        <f>'ANALYSE - ERP =&gt; SOUS-SEGMENT'!$A$70</f>
        <v>63</v>
      </c>
      <c r="D54" s="417" t="str">
        <f>'ANALYSE - ERP =&gt; SOUS-SEGMENT'!$B$70</f>
        <v>Culture, Patrimoine &amp; Evénementiel</v>
      </c>
      <c r="E54" s="417" t="str">
        <f>'ANALYSE - ERP =&gt; SOUS-SEGMENT'!$C$70</f>
        <v>Expositions / salons</v>
      </c>
      <c r="F54" s="417" t="str">
        <f>'ANALYSE - ERP =&gt; SOUS-SEGMENT'!$D$70</f>
        <v>Foires / Salons</v>
      </c>
      <c r="H54" s="787">
        <f>'ANALYSE - ERP =&gt; SOUS-SEGMENT'!$JS$70</f>
        <v>0</v>
      </c>
      <c r="I54" s="787">
        <f>'ANALYSE - ERP =&gt; SOUS-SEGMENT'!$JT$70</f>
        <v>0.1779</v>
      </c>
      <c r="J54" s="787">
        <f>'ANALYSE - ERP =&gt; SOUS-SEGMENT'!$JU$70</f>
        <v>0.50549999999999995</v>
      </c>
      <c r="K54" s="787">
        <f>'ANALYSE - ERP =&gt; SOUS-SEGMENT'!$JV$70</f>
        <v>0.28610000000000002</v>
      </c>
      <c r="L54" s="787">
        <f>'ANALYSE - ERP =&gt; SOUS-SEGMENT'!$JW$70</f>
        <v>3.0499999999999999E-2</v>
      </c>
      <c r="N54" s="787">
        <f>'ANALYSE - ERP =&gt; SOUS-SEGMENT'!$JX$70</f>
        <v>0</v>
      </c>
      <c r="O54" s="787">
        <f>'ANALYSE - ERP =&gt; SOUS-SEGMENT'!$JY$70</f>
        <v>8.2500000000000004E-2</v>
      </c>
      <c r="P54" s="787">
        <f>'ANALYSE - ERP =&gt; SOUS-SEGMENT'!$JZ$70</f>
        <v>0.43869999999999998</v>
      </c>
      <c r="Q54" s="787">
        <f>'ANALYSE - ERP =&gt; SOUS-SEGMENT'!$KA$70</f>
        <v>0.4052</v>
      </c>
      <c r="R54" s="787">
        <f>'ANALYSE - ERP =&gt; SOUS-SEGMENT'!$KB$70</f>
        <v>7.3599999999999999E-2</v>
      </c>
      <c r="T54" s="430">
        <f>'ANALYSE - ERP =&gt; SOUS-SEGMENT'!$Q$70</f>
        <v>1</v>
      </c>
    </row>
    <row r="55" spans="1:20" ht="15" customHeight="1">
      <c r="A55" s="26">
        <v>52</v>
      </c>
      <c r="B55" s="26">
        <v>49</v>
      </c>
      <c r="C55" s="422">
        <f>'ANALYSE - ERP =&gt; SOUS-SEGMENT'!$A$42</f>
        <v>35</v>
      </c>
      <c r="D55" s="417" t="str">
        <f>'ANALYSE - ERP =&gt; SOUS-SEGMENT'!$B$42</f>
        <v>Sports &amp; Loisirs</v>
      </c>
      <c r="E55" s="417" t="str">
        <f>'ANALYSE - ERP =&gt; SOUS-SEGMENT'!$C$42</f>
        <v>Loisirs</v>
      </c>
      <c r="F55" s="417" t="str">
        <f>'ANALYSE - ERP =&gt; SOUS-SEGMENT'!$D$42</f>
        <v>Discothèques / Salles de danse</v>
      </c>
      <c r="H55" s="787">
        <f>'ANALYSE - ERP =&gt; SOUS-SEGMENT'!$JS$42</f>
        <v>1.12E-2</v>
      </c>
      <c r="I55" s="787">
        <f>'ANALYSE - ERP =&gt; SOUS-SEGMENT'!$JT$42</f>
        <v>0.29980000000000001</v>
      </c>
      <c r="J55" s="787">
        <f>'ANALYSE - ERP =&gt; SOUS-SEGMENT'!$JU$42</f>
        <v>0.50990000000000002</v>
      </c>
      <c r="K55" s="787">
        <f>'ANALYSE - ERP =&gt; SOUS-SEGMENT'!$JV$42</f>
        <v>0.16470000000000001</v>
      </c>
      <c r="L55" s="787">
        <f>'ANALYSE - ERP =&gt; SOUS-SEGMENT'!$JW$42</f>
        <v>1.44E-2</v>
      </c>
      <c r="N55" s="787">
        <f>'ANALYSE - ERP =&gt; SOUS-SEGMENT'!$JX$42</f>
        <v>0</v>
      </c>
      <c r="O55" s="787">
        <f>'ANALYSE - ERP =&gt; SOUS-SEGMENT'!$JY$42</f>
        <v>0.2611</v>
      </c>
      <c r="P55" s="787">
        <f>'ANALYSE - ERP =&gt; SOUS-SEGMENT'!$JZ$42</f>
        <v>0.52900000000000003</v>
      </c>
      <c r="Q55" s="787">
        <f>'ANALYSE - ERP =&gt; SOUS-SEGMENT'!$KA$42</f>
        <v>0.18959999999999999</v>
      </c>
      <c r="R55" s="787">
        <f>'ANALYSE - ERP =&gt; SOUS-SEGMENT'!$KB$42</f>
        <v>2.0299999999999999E-2</v>
      </c>
      <c r="T55" s="430">
        <f>'ANALYSE - ERP =&gt; SOUS-SEGMENT'!$Q$42</f>
        <v>1</v>
      </c>
    </row>
    <row r="56" spans="1:20" ht="15" customHeight="1">
      <c r="A56" s="26">
        <v>53</v>
      </c>
      <c r="B56" s="26">
        <v>52</v>
      </c>
      <c r="C56" s="422">
        <f>'ANALYSE - ERP =&gt; SOUS-SEGMENT'!$A$30</f>
        <v>23</v>
      </c>
      <c r="D56" s="413" t="str">
        <f>'ANALYSE - ERP =&gt; SOUS-SEGMENT'!$B$30</f>
        <v>Sports &amp; Loisirs</v>
      </c>
      <c r="E56" s="413" t="str">
        <f>'ANALYSE - ERP =&gt; SOUS-SEGMENT'!$C$30</f>
        <v>Sport de plein air</v>
      </c>
      <c r="F56" s="413" t="str">
        <f>'ANALYSE - ERP =&gt; SOUS-SEGMENT'!$D$30</f>
        <v>Hippodromes, Centres équestres &amp; Manèges couverts</v>
      </c>
      <c r="H56" s="787">
        <f>'ANALYSE - ERP =&gt; SOUS-SEGMENT'!$JS$30</f>
        <v>0.16900000000000001</v>
      </c>
      <c r="I56" s="787">
        <f>'ANALYSE - ERP =&gt; SOUS-SEGMENT'!$JT$30</f>
        <v>0.57469999999999999</v>
      </c>
      <c r="J56" s="787">
        <f>'ANALYSE - ERP =&gt; SOUS-SEGMENT'!$JU$30</f>
        <v>0.24</v>
      </c>
      <c r="K56" s="787">
        <f>'ANALYSE - ERP =&gt; SOUS-SEGMENT'!$JV$30</f>
        <v>1.6299999999999999E-2</v>
      </c>
      <c r="L56" s="787">
        <f>'ANALYSE - ERP =&gt; SOUS-SEGMENT'!$JW$30</f>
        <v>0</v>
      </c>
      <c r="N56" s="787">
        <f>'ANALYSE - ERP =&gt; SOUS-SEGMENT'!$JX$30</f>
        <v>0.15129999999999999</v>
      </c>
      <c r="O56" s="787">
        <f>'ANALYSE - ERP =&gt; SOUS-SEGMENT'!$JY$30</f>
        <v>0.55300000000000005</v>
      </c>
      <c r="P56" s="787">
        <f>'ANALYSE - ERP =&gt; SOUS-SEGMENT'!$JZ$30</f>
        <v>0.25769999999999998</v>
      </c>
      <c r="Q56" s="787">
        <f>'ANALYSE - ERP =&gt; SOUS-SEGMENT'!$KA$30</f>
        <v>3.4000000000000002E-2</v>
      </c>
      <c r="R56" s="787">
        <f>'ANALYSE - ERP =&gt; SOUS-SEGMENT'!$KB$30</f>
        <v>4.0000000000000001E-3</v>
      </c>
      <c r="T56" s="430">
        <f>'ANALYSE - ERP =&gt; SOUS-SEGMENT'!$Q$30</f>
        <v>1</v>
      </c>
    </row>
    <row r="57" spans="1:20" ht="15" customHeight="1">
      <c r="A57" s="26">
        <v>54</v>
      </c>
      <c r="B57" s="26">
        <v>64</v>
      </c>
      <c r="C57" s="422">
        <f>'ANALYSE - ERP =&gt; SOUS-SEGMENT'!$A$61</f>
        <v>54</v>
      </c>
      <c r="D57" s="417" t="str">
        <f>'ANALYSE - ERP =&gt; SOUS-SEGMENT'!$B$61</f>
        <v>Santé &amp; Médico-social</v>
      </c>
      <c r="E57" s="417" t="str">
        <f>'ANALYSE - ERP =&gt; SOUS-SEGMENT'!$C$61</f>
        <v>Médico-social</v>
      </c>
      <c r="F57" s="417" t="str">
        <f>'ANALYSE - ERP =&gt; SOUS-SEGMENT'!$D$61</f>
        <v>Résidences services seniors
(Privé)</v>
      </c>
      <c r="H57" s="787">
        <f>'ANALYSE - ERP =&gt; SOUS-SEGMENT'!$JS$61</f>
        <v>0</v>
      </c>
      <c r="I57" s="787">
        <f>'ANALYSE - ERP =&gt; SOUS-SEGMENT'!$JT$61</f>
        <v>0</v>
      </c>
      <c r="J57" s="787">
        <f>'ANALYSE - ERP =&gt; SOUS-SEGMENT'!$JU$61</f>
        <v>0.40629999999999999</v>
      </c>
      <c r="K57" s="787">
        <f>'ANALYSE - ERP =&gt; SOUS-SEGMENT'!$JV$61</f>
        <v>0.49370000000000003</v>
      </c>
      <c r="L57" s="787">
        <f>'ANALYSE - ERP =&gt; SOUS-SEGMENT'!$JW$61</f>
        <v>0.1</v>
      </c>
      <c r="N57" s="787">
        <f>'ANALYSE - ERP =&gt; SOUS-SEGMENT'!$JX$61</f>
        <v>0</v>
      </c>
      <c r="O57" s="787">
        <f>'ANALYSE - ERP =&gt; SOUS-SEGMENT'!$JY$61</f>
        <v>0</v>
      </c>
      <c r="P57" s="787">
        <f>'ANALYSE - ERP =&gt; SOUS-SEGMENT'!$JZ$61</f>
        <v>0.2263</v>
      </c>
      <c r="Q57" s="787">
        <f>'ANALYSE - ERP =&gt; SOUS-SEGMENT'!$KA$61</f>
        <v>0.63370000000000004</v>
      </c>
      <c r="R57" s="787">
        <f>'ANALYSE - ERP =&gt; SOUS-SEGMENT'!$KB$61</f>
        <v>0.14000000000000001</v>
      </c>
      <c r="T57" s="430">
        <f>'ANALYSE - ERP =&gt; SOUS-SEGMENT'!$Q$61</f>
        <v>1</v>
      </c>
    </row>
    <row r="58" spans="1:20" ht="15" customHeight="1">
      <c r="A58" s="26">
        <v>55</v>
      </c>
      <c r="B58" s="26">
        <v>53</v>
      </c>
      <c r="C58" s="422">
        <f>'ANALYSE - ERP =&gt; SOUS-SEGMENT'!$A$51</f>
        <v>44</v>
      </c>
      <c r="D58" s="417" t="str">
        <f>'ANALYSE - ERP =&gt; SOUS-SEGMENT'!$B$51</f>
        <v>Santé &amp; Médico-social</v>
      </c>
      <c r="E58" s="417" t="str">
        <f>'ANALYSE - ERP =&gt; SOUS-SEGMENT'!$C$51</f>
        <v>Santé spécialisée</v>
      </c>
      <c r="F58" s="417" t="str">
        <f>'ANALYSE - ERP =&gt; SOUS-SEGMENT'!$D$51</f>
        <v>Maternités</v>
      </c>
      <c r="H58" s="787">
        <f>'ANALYSE - ERP =&gt; SOUS-SEGMENT'!$JS$51</f>
        <v>0</v>
      </c>
      <c r="I58" s="787">
        <f>'ANALYSE - ERP =&gt; SOUS-SEGMENT'!$JT$51</f>
        <v>8.6599999999999996E-2</v>
      </c>
      <c r="J58" s="787">
        <f>'ANALYSE - ERP =&gt; SOUS-SEGMENT'!$JU$51</f>
        <v>0.57120000000000004</v>
      </c>
      <c r="K58" s="787">
        <f>'ANALYSE - ERP =&gt; SOUS-SEGMENT'!$JV$51</f>
        <v>0.3422</v>
      </c>
      <c r="L58" s="787">
        <f>'ANALYSE - ERP =&gt; SOUS-SEGMENT'!$JW$51</f>
        <v>0</v>
      </c>
      <c r="N58" s="787">
        <f>'ANALYSE - ERP =&gt; SOUS-SEGMENT'!$JX$51</f>
        <v>0</v>
      </c>
      <c r="O58" s="787">
        <f>'ANALYSE - ERP =&gt; SOUS-SEGMENT'!$JY$51</f>
        <v>2.07E-2</v>
      </c>
      <c r="P58" s="787">
        <f>'ANALYSE - ERP =&gt; SOUS-SEGMENT'!$JZ$51</f>
        <v>0.4965</v>
      </c>
      <c r="Q58" s="787">
        <f>'ANALYSE - ERP =&gt; SOUS-SEGMENT'!$KA$51</f>
        <v>0.46729999999999999</v>
      </c>
      <c r="R58" s="787">
        <f>'ANALYSE - ERP =&gt; SOUS-SEGMENT'!$KB$51</f>
        <v>1.55E-2</v>
      </c>
      <c r="T58" s="430">
        <f>'ANALYSE - ERP =&gt; SOUS-SEGMENT'!$Q$51</f>
        <v>0</v>
      </c>
    </row>
    <row r="59" spans="1:20" ht="15" customHeight="1">
      <c r="A59" s="26">
        <v>56</v>
      </c>
      <c r="B59" s="26">
        <v>56</v>
      </c>
      <c r="C59" s="422">
        <f>'ANALYSE - ERP =&gt; SOUS-SEGMENT'!$A$123</f>
        <v>116</v>
      </c>
      <c r="D59" s="417" t="str">
        <f>'ANALYSE - ERP =&gt; SOUS-SEGMENT'!$B$123</f>
        <v>Transport, Mobilité &amp; Stationnement</v>
      </c>
      <c r="E59" s="417" t="str">
        <f>'ANALYSE - ERP =&gt; SOUS-SEGMENT'!$C$123</f>
        <v>Transport / Mobilité</v>
      </c>
      <c r="F59" s="417" t="str">
        <f>'ANALYSE - ERP =&gt; SOUS-SEGMENT'!$D$123</f>
        <v>Parcs de stationnement couverts (dotés de sanitaires)</v>
      </c>
      <c r="H59" s="787">
        <f>'ANALYSE - ERP =&gt; SOUS-SEGMENT'!$JS$123</f>
        <v>5.4100000000000002E-2</v>
      </c>
      <c r="I59" s="787">
        <f>'ANALYSE - ERP =&gt; SOUS-SEGMENT'!$JT$123</f>
        <v>0.48549999999999999</v>
      </c>
      <c r="J59" s="787">
        <f>'ANALYSE - ERP =&gt; SOUS-SEGMENT'!$JU$123</f>
        <v>0.40329999999999999</v>
      </c>
      <c r="K59" s="787">
        <f>'ANALYSE - ERP =&gt; SOUS-SEGMENT'!$JV$123</f>
        <v>5.0200000000000002E-2</v>
      </c>
      <c r="L59" s="787">
        <f>'ANALYSE - ERP =&gt; SOUS-SEGMENT'!$JW$123</f>
        <v>6.8999999999999999E-3</v>
      </c>
      <c r="N59" s="787">
        <f>'ANALYSE - ERP =&gt; SOUS-SEGMENT'!$JX$123</f>
        <v>3.3500000000000002E-2</v>
      </c>
      <c r="O59" s="787">
        <f>'ANALYSE - ERP =&gt; SOUS-SEGMENT'!$JY$123</f>
        <v>0.46029999999999999</v>
      </c>
      <c r="P59" s="787">
        <f>'ANALYSE - ERP =&gt; SOUS-SEGMENT'!$JZ$123</f>
        <v>0.4239</v>
      </c>
      <c r="Q59" s="787">
        <f>'ANALYSE - ERP =&gt; SOUS-SEGMENT'!$KA$123</f>
        <v>7.0800000000000002E-2</v>
      </c>
      <c r="R59" s="787">
        <f>'ANALYSE - ERP =&gt; SOUS-SEGMENT'!$KB$123</f>
        <v>1.15E-2</v>
      </c>
      <c r="T59" s="430">
        <f>'ANALYSE - ERP =&gt; SOUS-SEGMENT'!$Q$123</f>
        <v>1</v>
      </c>
    </row>
    <row r="60" spans="1:20" ht="15" customHeight="1">
      <c r="A60" s="26">
        <v>57</v>
      </c>
      <c r="B60" s="26">
        <v>55</v>
      </c>
      <c r="C60" s="422">
        <f>'ANALYSE - ERP =&gt; SOUS-SEGMENT'!$A$122</f>
        <v>115</v>
      </c>
      <c r="D60" s="417" t="str">
        <f>'ANALYSE - ERP =&gt; SOUS-SEGMENT'!$B$122</f>
        <v>Transport, Mobilité &amp; Stationnement</v>
      </c>
      <c r="E60" s="417" t="str">
        <f>'ANALYSE - ERP =&gt; SOUS-SEGMENT'!$C$122</f>
        <v>Transport / Mobilité</v>
      </c>
      <c r="F60" s="417" t="str">
        <f>'ANALYSE - ERP =&gt; SOUS-SEGMENT'!$D$122</f>
        <v>Aires de repos - Autoroutes
(Hors Aires de service)</v>
      </c>
      <c r="H60" s="787">
        <f>'ANALYSE - ERP =&gt; SOUS-SEGMENT'!$JS$122</f>
        <v>8.7300000000000003E-2</v>
      </c>
      <c r="I60" s="787">
        <f>'ANALYSE - ERP =&gt; SOUS-SEGMENT'!$JT$122</f>
        <v>0.55320000000000003</v>
      </c>
      <c r="J60" s="787">
        <f>'ANALYSE - ERP =&gt; SOUS-SEGMENT'!$JU$122</f>
        <v>0.28949999999999998</v>
      </c>
      <c r="K60" s="787">
        <f>'ANALYSE - ERP =&gt; SOUS-SEGMENT'!$JV$122</f>
        <v>0.04</v>
      </c>
      <c r="L60" s="787">
        <f>'ANALYSE - ERP =&gt; SOUS-SEGMENT'!$JW$122</f>
        <v>0.03</v>
      </c>
      <c r="N60" s="787">
        <f>'ANALYSE - ERP =&gt; SOUS-SEGMENT'!$JX$122</f>
        <v>3.4700000000000002E-2</v>
      </c>
      <c r="O60" s="787">
        <f>'ANALYSE - ERP =&gt; SOUS-SEGMENT'!$JY$122</f>
        <v>0.47689999999999999</v>
      </c>
      <c r="P60" s="787">
        <f>'ANALYSE - ERP =&gt; SOUS-SEGMENT'!$JZ$122</f>
        <v>0.41839999999999999</v>
      </c>
      <c r="Q60" s="787">
        <f>'ANALYSE - ERP =&gt; SOUS-SEGMENT'!$KA$122</f>
        <v>0.04</v>
      </c>
      <c r="R60" s="787">
        <f>'ANALYSE - ERP =&gt; SOUS-SEGMENT'!$KB$122</f>
        <v>0.03</v>
      </c>
      <c r="T60" s="430">
        <f>'ANALYSE - ERP =&gt; SOUS-SEGMENT'!$Q$122</f>
        <v>1</v>
      </c>
    </row>
    <row r="61" spans="1:20" ht="15" customHeight="1">
      <c r="A61" s="26">
        <v>58</v>
      </c>
      <c r="B61" s="26">
        <v>57</v>
      </c>
      <c r="C61" s="422">
        <f>'ANALYSE - ERP =&gt; SOUS-SEGMENT'!$A$43</f>
        <v>36</v>
      </c>
      <c r="D61" s="417" t="str">
        <f>'ANALYSE - ERP =&gt; SOUS-SEGMENT'!$B$43</f>
        <v>Santé &amp; Médico-social</v>
      </c>
      <c r="E61" s="417" t="str">
        <f>'ANALYSE - ERP =&gt; SOUS-SEGMENT'!$C$43</f>
        <v>Santé hospitalière</v>
      </c>
      <c r="F61" s="417" t="str">
        <f>'ANALYSE - ERP =&gt; SOUS-SEGMENT'!$D$43</f>
        <v>Hôpitaux universitaires / CHU</v>
      </c>
      <c r="H61" s="787">
        <f>'ANALYSE - ERP =&gt; SOUS-SEGMENT'!$JS$43</f>
        <v>0</v>
      </c>
      <c r="I61" s="787">
        <f>'ANALYSE - ERP =&gt; SOUS-SEGMENT'!$JT$43</f>
        <v>0.28249999999999997</v>
      </c>
      <c r="J61" s="787">
        <f>'ANALYSE - ERP =&gt; SOUS-SEGMENT'!$JU$43</f>
        <v>0.59119999999999995</v>
      </c>
      <c r="K61" s="787">
        <f>'ANALYSE - ERP =&gt; SOUS-SEGMENT'!$JV$43</f>
        <v>0.1263</v>
      </c>
      <c r="L61" s="787">
        <f>'ANALYSE - ERP =&gt; SOUS-SEGMENT'!$JW$43</f>
        <v>0</v>
      </c>
      <c r="N61" s="787">
        <f>'ANALYSE - ERP =&gt; SOUS-SEGMENT'!$JX$43</f>
        <v>0</v>
      </c>
      <c r="O61" s="787">
        <f>'ANALYSE - ERP =&gt; SOUS-SEGMENT'!$JY$43</f>
        <v>0.151</v>
      </c>
      <c r="P61" s="787">
        <f>'ANALYSE - ERP =&gt; SOUS-SEGMENT'!$JZ$43</f>
        <v>0.59799999999999998</v>
      </c>
      <c r="Q61" s="787">
        <f>'ANALYSE - ERP =&gt; SOUS-SEGMENT'!$KA$43</f>
        <v>0.251</v>
      </c>
      <c r="R61" s="787">
        <f>'ANALYSE - ERP =&gt; SOUS-SEGMENT'!$KB$43</f>
        <v>0</v>
      </c>
      <c r="T61" s="430">
        <f>'ANALYSE - ERP =&gt; SOUS-SEGMENT'!$Q$43</f>
        <v>1</v>
      </c>
    </row>
    <row r="62" spans="1:20" s="45" customFormat="1" ht="15" customHeight="1">
      <c r="A62" s="406">
        <v>59</v>
      </c>
      <c r="B62" s="406">
        <v>58</v>
      </c>
      <c r="C62" s="448">
        <f>'ANALYSE - ERP =&gt; SOUS-SEGMENT'!$A$89</f>
        <v>82</v>
      </c>
      <c r="D62" s="449" t="str">
        <f>'ANALYSE - ERP =&gt; SOUS-SEGMENT'!$B$89</f>
        <v>Hébergement Touristique</v>
      </c>
      <c r="E62" s="449" t="str">
        <f>'ANALYSE - ERP =&gt; SOUS-SEGMENT'!$C$89</f>
        <v>Hébergement Touristique</v>
      </c>
      <c r="F62" s="449" t="str">
        <f>'ANALYSE - ERP =&gt; SOUS-SEGMENT'!$D$89</f>
        <v>Résidences de tourisme</v>
      </c>
      <c r="G62" s="685"/>
      <c r="H62" s="788">
        <f>'ANALYSE - ERP =&gt; SOUS-SEGMENT'!$JS$89</f>
        <v>0.1066</v>
      </c>
      <c r="I62" s="788">
        <f>'ANALYSE - ERP =&gt; SOUS-SEGMENT'!$JT$89</f>
        <v>0.53920000000000001</v>
      </c>
      <c r="J62" s="788">
        <f>'ANALYSE - ERP =&gt; SOUS-SEGMENT'!$JU$89</f>
        <v>0.32950000000000002</v>
      </c>
      <c r="K62" s="788">
        <f>'ANALYSE - ERP =&gt; SOUS-SEGMENT'!$JV$89</f>
        <v>2.47E-2</v>
      </c>
      <c r="L62" s="788">
        <f>'ANALYSE - ERP =&gt; SOUS-SEGMENT'!$JW$89</f>
        <v>0</v>
      </c>
      <c r="M62" s="685"/>
      <c r="N62" s="788">
        <f>'ANALYSE - ERP =&gt; SOUS-SEGMENT'!$JX$89</f>
        <v>8.8200000000000001E-2</v>
      </c>
      <c r="O62" s="788">
        <f>'ANALYSE - ERP =&gt; SOUS-SEGMENT'!$JY$89</f>
        <v>0.51670000000000005</v>
      </c>
      <c r="P62" s="788">
        <f>'ANALYSE - ERP =&gt; SOUS-SEGMENT'!$JZ$89</f>
        <v>0.34799999999999998</v>
      </c>
      <c r="Q62" s="788">
        <f>'ANALYSE - ERP =&gt; SOUS-SEGMENT'!$KA$89</f>
        <v>4.3200000000000002E-2</v>
      </c>
      <c r="R62" s="788">
        <f>'ANALYSE - ERP =&gt; SOUS-SEGMENT'!$KB$89</f>
        <v>3.8999999999999998E-3</v>
      </c>
      <c r="S62" s="685"/>
      <c r="T62" s="450">
        <f>'ANALYSE - ERP =&gt; SOUS-SEGMENT'!$Q$89</f>
        <v>1</v>
      </c>
    </row>
    <row r="63" spans="1:20" ht="15" customHeight="1">
      <c r="A63" s="26">
        <v>60</v>
      </c>
      <c r="B63" s="26">
        <v>54</v>
      </c>
      <c r="C63" s="422">
        <f>'ANALYSE - ERP =&gt; SOUS-SEGMENT'!$A$139</f>
        <v>132</v>
      </c>
      <c r="D63" s="417" t="str">
        <f>'ANALYSE - ERP =&gt; SOUS-SEGMENT'!$B$139</f>
        <v>Sécurité &amp; Justice</v>
      </c>
      <c r="E63" s="417" t="str">
        <f>'ANALYSE - ERP =&gt; SOUS-SEGMENT'!$C$139</f>
        <v>Univers carcéral</v>
      </c>
      <c r="F63" s="417" t="str">
        <f>'ANALYSE - ERP =&gt; SOUS-SEGMENT'!$D$139</f>
        <v>Maisons d’arrêt</v>
      </c>
      <c r="H63" s="787">
        <f>'ANALYSE - ERP =&gt; SOUS-SEGMENT'!$JS$139</f>
        <v>0.17480000000000001</v>
      </c>
      <c r="I63" s="787">
        <f>'ANALYSE - ERP =&gt; SOUS-SEGMENT'!$JT$139</f>
        <v>0.68740000000000001</v>
      </c>
      <c r="J63" s="787">
        <f>'ANALYSE - ERP =&gt; SOUS-SEGMENT'!$JU$139</f>
        <v>0.13780000000000001</v>
      </c>
      <c r="K63" s="787">
        <f>'ANALYSE - ERP =&gt; SOUS-SEGMENT'!$JV$139</f>
        <v>0</v>
      </c>
      <c r="L63" s="787">
        <f>'ANALYSE - ERP =&gt; SOUS-SEGMENT'!$JW$139</f>
        <v>0</v>
      </c>
      <c r="N63" s="787">
        <f>'ANALYSE - ERP =&gt; SOUS-SEGMENT'!$JX$139</f>
        <v>8.5099999999999995E-2</v>
      </c>
      <c r="O63" s="787">
        <f>'ANALYSE - ERP =&gt; SOUS-SEGMENT'!$JY$139</f>
        <v>0.65839999999999999</v>
      </c>
      <c r="P63" s="787">
        <f>'ANALYSE - ERP =&gt; SOUS-SEGMENT'!$JZ$139</f>
        <v>0.25650000000000001</v>
      </c>
      <c r="Q63" s="787">
        <f>'ANALYSE - ERP =&gt; SOUS-SEGMENT'!$KA$139</f>
        <v>0</v>
      </c>
      <c r="R63" s="787">
        <f>'ANALYSE - ERP =&gt; SOUS-SEGMENT'!$KB$139</f>
        <v>0</v>
      </c>
      <c r="T63" s="430">
        <f>'ANALYSE - ERP =&gt; SOUS-SEGMENT'!$Q$139</f>
        <v>1</v>
      </c>
    </row>
    <row r="64" spans="1:20" ht="15" customHeight="1">
      <c r="A64" s="26">
        <v>61</v>
      </c>
      <c r="B64" s="26">
        <v>62</v>
      </c>
      <c r="C64" s="422">
        <f>'ANALYSE - ERP =&gt; SOUS-SEGMENT'!$A$53</f>
        <v>46</v>
      </c>
      <c r="D64" s="410" t="str">
        <f>'ANALYSE - ERP =&gt; SOUS-SEGMENT'!$B$53</f>
        <v>Santé &amp; Médico-social</v>
      </c>
      <c r="E64" s="410" t="str">
        <f>'ANALYSE - ERP =&gt; SOUS-SEGMENT'!$C$53</f>
        <v>Santé ambulatoire</v>
      </c>
      <c r="F64" s="410" t="str">
        <f>'ANALYSE - ERP =&gt; SOUS-SEGMENT'!$D$53</f>
        <v>Centres de santé / Centres médicaux</v>
      </c>
      <c r="H64" s="787">
        <f>'ANALYSE - ERP =&gt; SOUS-SEGMENT'!$JS$53</f>
        <v>0</v>
      </c>
      <c r="I64" s="787">
        <f>'ANALYSE - ERP =&gt; SOUS-SEGMENT'!$JT$53</f>
        <v>0.2883</v>
      </c>
      <c r="J64" s="787">
        <f>'ANALYSE - ERP =&gt; SOUS-SEGMENT'!$JU$53</f>
        <v>0.57399999999999995</v>
      </c>
      <c r="K64" s="787">
        <f>'ANALYSE - ERP =&gt; SOUS-SEGMENT'!$JV$53</f>
        <v>0.13769999999999999</v>
      </c>
      <c r="L64" s="787">
        <f>'ANALYSE - ERP =&gt; SOUS-SEGMENT'!$JW$53</f>
        <v>0</v>
      </c>
      <c r="N64" s="787">
        <f>'ANALYSE - ERP =&gt; SOUS-SEGMENT'!$JX$53</f>
        <v>0</v>
      </c>
      <c r="O64" s="787">
        <f>'ANALYSE - ERP =&gt; SOUS-SEGMENT'!$JY$53</f>
        <v>0.13830000000000001</v>
      </c>
      <c r="P64" s="787">
        <f>'ANALYSE - ERP =&gt; SOUS-SEGMENT'!$JZ$53</f>
        <v>0.56640000000000001</v>
      </c>
      <c r="Q64" s="787">
        <f>'ANALYSE - ERP =&gt; SOUS-SEGMENT'!$KA$53</f>
        <v>0.29530000000000001</v>
      </c>
      <c r="R64" s="787">
        <f>'ANALYSE - ERP =&gt; SOUS-SEGMENT'!$KB$53</f>
        <v>0</v>
      </c>
      <c r="T64" s="430">
        <f>'ANALYSE - ERP =&gt; SOUS-SEGMENT'!$Q$53</f>
        <v>1</v>
      </c>
    </row>
    <row r="65" spans="1:20" s="45" customFormat="1" ht="15" customHeight="1">
      <c r="A65" s="26">
        <v>62</v>
      </c>
      <c r="B65" s="26">
        <v>61</v>
      </c>
      <c r="C65" s="422">
        <f>'ANALYSE - ERP =&gt; SOUS-SEGMENT'!$A$41</f>
        <v>34</v>
      </c>
      <c r="D65" s="410" t="str">
        <f>'ANALYSE - ERP =&gt; SOUS-SEGMENT'!$B$41</f>
        <v>Sports &amp; Loisirs</v>
      </c>
      <c r="E65" s="410" t="str">
        <f>'ANALYSE - ERP =&gt; SOUS-SEGMENT'!$C$41</f>
        <v>Loisirs</v>
      </c>
      <c r="F65" s="410" t="str">
        <f>'ANALYSE - ERP =&gt; SOUS-SEGMENT'!$D$41</f>
        <v>Salles de jeux / Bowlings / Billards</v>
      </c>
      <c r="G65" s="685"/>
      <c r="H65" s="787">
        <f>'ANALYSE - ERP =&gt; SOUS-SEGMENT'!$JS$41</f>
        <v>1.12E-2</v>
      </c>
      <c r="I65" s="787">
        <f>'ANALYSE - ERP =&gt; SOUS-SEGMENT'!$JT$41</f>
        <v>0.29980000000000001</v>
      </c>
      <c r="J65" s="787">
        <f>'ANALYSE - ERP =&gt; SOUS-SEGMENT'!$JU$41</f>
        <v>0.50990000000000002</v>
      </c>
      <c r="K65" s="787">
        <f>'ANALYSE - ERP =&gt; SOUS-SEGMENT'!$JV$41</f>
        <v>0.16470000000000001</v>
      </c>
      <c r="L65" s="787">
        <f>'ANALYSE - ERP =&gt; SOUS-SEGMENT'!$JW$41</f>
        <v>1.44E-2</v>
      </c>
      <c r="M65" s="685"/>
      <c r="N65" s="787">
        <f>'ANALYSE - ERP =&gt; SOUS-SEGMENT'!$JX$41</f>
        <v>0</v>
      </c>
      <c r="O65" s="787">
        <f>'ANALYSE - ERP =&gt; SOUS-SEGMENT'!$JY$41</f>
        <v>0.2611</v>
      </c>
      <c r="P65" s="787">
        <f>'ANALYSE - ERP =&gt; SOUS-SEGMENT'!$JZ$41</f>
        <v>0.52900000000000003</v>
      </c>
      <c r="Q65" s="787">
        <f>'ANALYSE - ERP =&gt; SOUS-SEGMENT'!$KA$41</f>
        <v>0.18959999999999999</v>
      </c>
      <c r="R65" s="787">
        <f>'ANALYSE - ERP =&gt; SOUS-SEGMENT'!$KB$41</f>
        <v>2.0299999999999999E-2</v>
      </c>
      <c r="S65" s="685"/>
      <c r="T65" s="430">
        <f>'ANALYSE - ERP =&gt; SOUS-SEGMENT'!$Q$41</f>
        <v>1</v>
      </c>
    </row>
    <row r="66" spans="1:20" ht="15" customHeight="1">
      <c r="A66" s="26">
        <v>63</v>
      </c>
      <c r="B66" s="26">
        <v>63</v>
      </c>
      <c r="C66" s="422">
        <f>'ANALYSE - ERP =&gt; SOUS-SEGMENT'!$A$64</f>
        <v>57</v>
      </c>
      <c r="D66" s="417" t="str">
        <f>'ANALYSE - ERP =&gt; SOUS-SEGMENT'!$B$64</f>
        <v>Culture, Patrimoine &amp; Evénementiel</v>
      </c>
      <c r="E66" s="417" t="str">
        <f>'ANALYSE - ERP =&gt; SOUS-SEGMENT'!$C$64</f>
        <v>Culture / spectacle</v>
      </c>
      <c r="F66" s="417" t="str">
        <f>'ANALYSE - ERP =&gt; SOUS-SEGMENT'!$D$64</f>
        <v>Musées</v>
      </c>
      <c r="H66" s="787">
        <f>'ANALYSE - ERP =&gt; SOUS-SEGMENT'!$JS$64</f>
        <v>1.7600000000000001E-2</v>
      </c>
      <c r="I66" s="787">
        <f>'ANALYSE - ERP =&gt; SOUS-SEGMENT'!$JT$64</f>
        <v>0.31240000000000001</v>
      </c>
      <c r="J66" s="787">
        <f>'ANALYSE - ERP =&gt; SOUS-SEGMENT'!$JU$64</f>
        <v>0.50570000000000004</v>
      </c>
      <c r="K66" s="787">
        <f>'ANALYSE - ERP =&gt; SOUS-SEGMENT'!$JV$64</f>
        <v>0.15770000000000001</v>
      </c>
      <c r="L66" s="787">
        <f>'ANALYSE - ERP =&gt; SOUS-SEGMENT'!$JW$64</f>
        <v>6.6E-3</v>
      </c>
      <c r="N66" s="787">
        <f>'ANALYSE - ERP =&gt; SOUS-SEGMENT'!$JX$64</f>
        <v>0</v>
      </c>
      <c r="O66" s="787">
        <f>'ANALYSE - ERP =&gt; SOUS-SEGMENT'!$JY$64</f>
        <v>0.21240000000000001</v>
      </c>
      <c r="P66" s="787">
        <f>'ANALYSE - ERP =&gt; SOUS-SEGMENT'!$JZ$64</f>
        <v>0.53310000000000002</v>
      </c>
      <c r="Q66" s="787">
        <f>'ANALYSE - ERP =&gt; SOUS-SEGMENT'!$KA$64</f>
        <v>0.23810000000000001</v>
      </c>
      <c r="R66" s="787">
        <f>'ANALYSE - ERP =&gt; SOUS-SEGMENT'!$KB$64</f>
        <v>1.6400000000000001E-2</v>
      </c>
      <c r="T66" s="430">
        <f>'ANALYSE - ERP =&gt; SOUS-SEGMENT'!$Q$64</f>
        <v>1</v>
      </c>
    </row>
    <row r="67" spans="1:20" ht="15" customHeight="1">
      <c r="A67" s="26">
        <v>64</v>
      </c>
      <c r="B67" s="26">
        <v>60</v>
      </c>
      <c r="C67" s="422">
        <f>'ANALYSE - ERP =&gt; SOUS-SEGMENT'!$A$16</f>
        <v>9</v>
      </c>
      <c r="D67" s="408" t="str">
        <f>'ANALYSE - ERP =&gt; SOUS-SEGMENT'!$B$16</f>
        <v>Enfance, Enseignement, Jeunesse &amp; Formation</v>
      </c>
      <c r="E67" s="408" t="str">
        <f>'ANALYSE - ERP =&gt; SOUS-SEGMENT'!$C$16</f>
        <v>Enseignement supérieur</v>
      </c>
      <c r="F67" s="408" t="str">
        <f>'ANALYSE - ERP =&gt; SOUS-SEGMENT'!$D$16</f>
        <v>Universités</v>
      </c>
      <c r="H67" s="787">
        <f>'ANALYSE - ERP =&gt; SOUS-SEGMENT'!$JS$16</f>
        <v>2.98E-2</v>
      </c>
      <c r="I67" s="787">
        <f>'ANALYSE - ERP =&gt; SOUS-SEGMENT'!$JT$16</f>
        <v>0.39739999999999998</v>
      </c>
      <c r="J67" s="787">
        <f>'ANALYSE - ERP =&gt; SOUS-SEGMENT'!$JU$16</f>
        <v>0.47420000000000001</v>
      </c>
      <c r="K67" s="787">
        <f>'ANALYSE - ERP =&gt; SOUS-SEGMENT'!$JV$16</f>
        <v>9.7100000000000006E-2</v>
      </c>
      <c r="L67" s="787">
        <f>'ANALYSE - ERP =&gt; SOUS-SEGMENT'!$JW$16</f>
        <v>1.5E-3</v>
      </c>
      <c r="N67" s="787">
        <f>'ANALYSE - ERP =&gt; SOUS-SEGMENT'!$JX$16</f>
        <v>0</v>
      </c>
      <c r="O67" s="787">
        <f>'ANALYSE - ERP =&gt; SOUS-SEGMENT'!$JY$16</f>
        <v>0.2021</v>
      </c>
      <c r="P67" s="787">
        <f>'ANALYSE - ERP =&gt; SOUS-SEGMENT'!$JZ$16</f>
        <v>0.56699999999999995</v>
      </c>
      <c r="Q67" s="787">
        <f>'ANALYSE - ERP =&gt; SOUS-SEGMENT'!$KA$16</f>
        <v>0.2213</v>
      </c>
      <c r="R67" s="787">
        <f>'ANALYSE - ERP =&gt; SOUS-SEGMENT'!$KB$16</f>
        <v>9.5999999999999992E-3</v>
      </c>
      <c r="T67" s="430">
        <f>'ANALYSE - ERP =&gt; SOUS-SEGMENT'!$Q$16</f>
        <v>1</v>
      </c>
    </row>
    <row r="68" spans="1:20" ht="15" customHeight="1">
      <c r="A68" s="26">
        <v>65</v>
      </c>
      <c r="B68" s="26">
        <v>65</v>
      </c>
      <c r="C68" s="422">
        <f>'ANALYSE - ERP =&gt; SOUS-SEGMENT'!$A$17</f>
        <v>10</v>
      </c>
      <c r="D68" s="412" t="str">
        <f>'ANALYSE - ERP =&gt; SOUS-SEGMENT'!$B$17</f>
        <v>Enfance, Enseignement, Jeunesse &amp; Formation</v>
      </c>
      <c r="E68" s="412" t="str">
        <f>'ANALYSE - ERP =&gt; SOUS-SEGMENT'!$C$17</f>
        <v>Enseignement supérieur</v>
      </c>
      <c r="F68" s="412" t="str">
        <f>'ANALYSE - ERP =&gt; SOUS-SEGMENT'!$D$17</f>
        <v>Grandes écoles</v>
      </c>
      <c r="H68" s="787">
        <f>'ANALYSE - ERP =&gt; SOUS-SEGMENT'!$JS$17</f>
        <v>0</v>
      </c>
      <c r="I68" s="787">
        <f>'ANALYSE - ERP =&gt; SOUS-SEGMENT'!$JT$17</f>
        <v>0.16159999999999999</v>
      </c>
      <c r="J68" s="787">
        <f>'ANALYSE - ERP =&gt; SOUS-SEGMENT'!$JU$17</f>
        <v>0.52680000000000005</v>
      </c>
      <c r="K68" s="787">
        <f>'ANALYSE - ERP =&gt; SOUS-SEGMENT'!$JV$17</f>
        <v>0.28360000000000002</v>
      </c>
      <c r="L68" s="787">
        <f>'ANALYSE - ERP =&gt; SOUS-SEGMENT'!$JW$17</f>
        <v>2.8000000000000001E-2</v>
      </c>
      <c r="N68" s="787">
        <f>'ANALYSE - ERP =&gt; SOUS-SEGMENT'!$JX$17</f>
        <v>0</v>
      </c>
      <c r="O68" s="787">
        <f>'ANALYSE - ERP =&gt; SOUS-SEGMENT'!$JY$17</f>
        <v>4.24E-2</v>
      </c>
      <c r="P68" s="787">
        <f>'ANALYSE - ERP =&gt; SOUS-SEGMENT'!$JZ$17</f>
        <v>0.41349999999999998</v>
      </c>
      <c r="Q68" s="787">
        <f>'ANALYSE - ERP =&gt; SOUS-SEGMENT'!$KA$17</f>
        <v>0.46410000000000001</v>
      </c>
      <c r="R68" s="787">
        <f>'ANALYSE - ERP =&gt; SOUS-SEGMENT'!$KB$17</f>
        <v>0.08</v>
      </c>
      <c r="T68" s="430">
        <f>'ANALYSE - ERP =&gt; SOUS-SEGMENT'!$Q$17</f>
        <v>1</v>
      </c>
    </row>
    <row r="69" spans="1:20" ht="15" customHeight="1">
      <c r="A69" s="26">
        <v>66</v>
      </c>
      <c r="B69" s="26">
        <v>66</v>
      </c>
      <c r="C69" s="422">
        <f>'ANALYSE - ERP =&gt; SOUS-SEGMENT'!$A$119</f>
        <v>112</v>
      </c>
      <c r="D69" s="415" t="str">
        <f>'ANALYSE - ERP =&gt; SOUS-SEGMENT'!$B$119</f>
        <v>Culte, Vie civique &amp; Services publics</v>
      </c>
      <c r="E69" s="415" t="str">
        <f>'ANALYSE - ERP =&gt; SOUS-SEGMENT'!$C$119</f>
        <v>Culte</v>
      </c>
      <c r="F69" s="415" t="str">
        <f>'ANALYSE - ERP =&gt; SOUS-SEGMENT'!$D$119</f>
        <v>Salles du Royaume, centres cultuels pluriconfessionnels et lieux de culte polyvalents</v>
      </c>
      <c r="H69" s="787">
        <f>'ANALYSE - ERP =&gt; SOUS-SEGMENT'!$JS$119</f>
        <v>0.1066</v>
      </c>
      <c r="I69" s="787">
        <f>'ANALYSE - ERP =&gt; SOUS-SEGMENT'!$JT$119</f>
        <v>0.53920000000000001</v>
      </c>
      <c r="J69" s="787">
        <f>'ANALYSE - ERP =&gt; SOUS-SEGMENT'!$JU$119</f>
        <v>0.32950000000000002</v>
      </c>
      <c r="K69" s="787">
        <f>'ANALYSE - ERP =&gt; SOUS-SEGMENT'!$JV$119</f>
        <v>2.47E-2</v>
      </c>
      <c r="L69" s="787">
        <f>'ANALYSE - ERP =&gt; SOUS-SEGMENT'!$JW$119</f>
        <v>0</v>
      </c>
      <c r="N69" s="787">
        <f>'ANALYSE - ERP =&gt; SOUS-SEGMENT'!$JX$119</f>
        <v>9.2499999999999999E-2</v>
      </c>
      <c r="O69" s="787">
        <f>'ANALYSE - ERP =&gt; SOUS-SEGMENT'!$JY$119</f>
        <v>0.52190000000000003</v>
      </c>
      <c r="P69" s="787">
        <f>'ANALYSE - ERP =&gt; SOUS-SEGMENT'!$JZ$119</f>
        <v>0.34360000000000002</v>
      </c>
      <c r="Q69" s="787">
        <f>'ANALYSE - ERP =&gt; SOUS-SEGMENT'!$KA$119</f>
        <v>3.8800000000000001E-2</v>
      </c>
      <c r="R69" s="787">
        <f>'ANALYSE - ERP =&gt; SOUS-SEGMENT'!$KB$119</f>
        <v>3.2000000000000002E-3</v>
      </c>
      <c r="T69" s="430">
        <f>'ANALYSE - ERP =&gt; SOUS-SEGMENT'!$Q$119</f>
        <v>1</v>
      </c>
    </row>
    <row r="70" spans="1:20" ht="15" customHeight="1">
      <c r="A70" s="26">
        <v>67</v>
      </c>
      <c r="B70" s="26">
        <v>69</v>
      </c>
      <c r="C70" s="422">
        <f>'ANALYSE - ERP =&gt; SOUS-SEGMENT'!$A$81</f>
        <v>74</v>
      </c>
      <c r="D70" s="411" t="str">
        <f>'ANALYSE - ERP =&gt; SOUS-SEGMENT'!$B$81</f>
        <v>Commerce, Restauration &amp; Loisirs</v>
      </c>
      <c r="E70" s="411" t="str">
        <f>'ANALYSE - ERP =&gt; SOUS-SEGMENT'!$C$81</f>
        <v>Commerce</v>
      </c>
      <c r="F70" s="411" t="str">
        <f>'ANALYSE - ERP =&gt; SOUS-SEGMENT'!$D$81</f>
        <v>Marchés couverts</v>
      </c>
      <c r="H70" s="787">
        <f>'ANALYSE - ERP =&gt; SOUS-SEGMENT'!$JS$81</f>
        <v>0.20530000000000001</v>
      </c>
      <c r="I70" s="787">
        <f>'ANALYSE - ERP =&gt; SOUS-SEGMENT'!$JT$81</f>
        <v>0.57179999999999997</v>
      </c>
      <c r="J70" s="787">
        <f>'ANALYSE - ERP =&gt; SOUS-SEGMENT'!$JU$81</f>
        <v>0.2228</v>
      </c>
      <c r="K70" s="787">
        <f>'ANALYSE - ERP =&gt; SOUS-SEGMENT'!$JV$81</f>
        <v>0</v>
      </c>
      <c r="L70" s="787">
        <f>'ANALYSE - ERP =&gt; SOUS-SEGMENT'!$JW$81</f>
        <v>1E-4</v>
      </c>
      <c r="N70" s="787">
        <f>'ANALYSE - ERP =&gt; SOUS-SEGMENT'!$JX$81</f>
        <v>0.1148</v>
      </c>
      <c r="O70" s="787">
        <f>'ANALYSE - ERP =&gt; SOUS-SEGMENT'!$JY$81</f>
        <v>0.52229999999999999</v>
      </c>
      <c r="P70" s="787">
        <f>'ANALYSE - ERP =&gt; SOUS-SEGMENT'!$JZ$81</f>
        <v>0.35160000000000002</v>
      </c>
      <c r="Q70" s="787">
        <f>'ANALYSE - ERP =&gt; SOUS-SEGMENT'!$KA$81</f>
        <v>1.0699999999999999E-2</v>
      </c>
      <c r="R70" s="787">
        <f>'ANALYSE - ERP =&gt; SOUS-SEGMENT'!$KB$81</f>
        <v>5.9999999999999995E-4</v>
      </c>
      <c r="T70" s="430">
        <f>'ANALYSE - ERP =&gt; SOUS-SEGMENT'!$Q$81</f>
        <v>1</v>
      </c>
    </row>
    <row r="71" spans="1:20" ht="15" customHeight="1">
      <c r="A71" s="26">
        <v>68</v>
      </c>
      <c r="B71" s="26">
        <v>68</v>
      </c>
      <c r="C71" s="422">
        <f>'ANALYSE - ERP =&gt; SOUS-SEGMENT'!$A$108</f>
        <v>101</v>
      </c>
      <c r="D71" s="415" t="str">
        <f>'ANALYSE - ERP =&gt; SOUS-SEGMENT'!$B$108</f>
        <v>Culte, Vie civique &amp; Services publics</v>
      </c>
      <c r="E71" s="415" t="str">
        <f>'ANALYSE - ERP =&gt; SOUS-SEGMENT'!$C$108</f>
        <v>Administrations / services publics</v>
      </c>
      <c r="F71" s="415" t="str">
        <f>'ANALYSE - ERP =&gt; SOUS-SEGMENT'!$D$108</f>
        <v>Maisons France Services / Guichets publics autonomes ou dédiés</v>
      </c>
      <c r="H71" s="787">
        <f>'ANALYSE - ERP =&gt; SOUS-SEGMENT'!$JS$108</f>
        <v>1.61E-2</v>
      </c>
      <c r="I71" s="787">
        <f>'ANALYSE - ERP =&gt; SOUS-SEGMENT'!$JT$108</f>
        <v>0.37940000000000002</v>
      </c>
      <c r="J71" s="787">
        <f>'ANALYSE - ERP =&gt; SOUS-SEGMENT'!$JU$108</f>
        <v>0.50229999999999997</v>
      </c>
      <c r="K71" s="787">
        <f>'ANALYSE - ERP =&gt; SOUS-SEGMENT'!$JV$108</f>
        <v>0.1008</v>
      </c>
      <c r="L71" s="787">
        <f>'ANALYSE - ERP =&gt; SOUS-SEGMENT'!$JW$108</f>
        <v>1.4E-3</v>
      </c>
      <c r="N71" s="787">
        <f>'ANALYSE - ERP =&gt; SOUS-SEGMENT'!$JX$108</f>
        <v>0</v>
      </c>
      <c r="O71" s="787">
        <f>'ANALYSE - ERP =&gt; SOUS-SEGMENT'!$JY$108</f>
        <v>0.1008</v>
      </c>
      <c r="P71" s="787">
        <f>'ANALYSE - ERP =&gt; SOUS-SEGMENT'!$JZ$108</f>
        <v>0.55100000000000005</v>
      </c>
      <c r="Q71" s="787">
        <f>'ANALYSE - ERP =&gt; SOUS-SEGMENT'!$KA$108</f>
        <v>0.32719999999999999</v>
      </c>
      <c r="R71" s="787">
        <f>'ANALYSE - ERP =&gt; SOUS-SEGMENT'!$KB$108</f>
        <v>2.1000000000000001E-2</v>
      </c>
      <c r="T71" s="430">
        <f>'ANALYSE - ERP =&gt; SOUS-SEGMENT'!$Q$108</f>
        <v>1</v>
      </c>
    </row>
    <row r="72" spans="1:20" ht="15" customHeight="1">
      <c r="A72" s="26">
        <v>69</v>
      </c>
      <c r="B72" s="26">
        <v>67</v>
      </c>
      <c r="C72" s="422">
        <f>'ANALYSE - ERP =&gt; SOUS-SEGMENT'!$A$114</f>
        <v>107</v>
      </c>
      <c r="D72" s="408" t="str">
        <f>'ANALYSE - ERP =&gt; SOUS-SEGMENT'!$B$114</f>
        <v>Culte, Vie civique &amp; Services publics</v>
      </c>
      <c r="E72" s="408" t="str">
        <f>'ANALYSE - ERP =&gt; SOUS-SEGMENT'!$C$114</f>
        <v>Culte</v>
      </c>
      <c r="F72" s="408" t="str">
        <f>'ANALYSE - ERP =&gt; SOUS-SEGMENT'!$D$114</f>
        <v>Monastères, abbayes et couvents ouverts au public</v>
      </c>
      <c r="H72" s="787">
        <f>'ANALYSE - ERP =&gt; SOUS-SEGMENT'!$JS$114</f>
        <v>0.1066</v>
      </c>
      <c r="I72" s="787">
        <f>'ANALYSE - ERP =&gt; SOUS-SEGMENT'!$JT$114</f>
        <v>0.53920000000000001</v>
      </c>
      <c r="J72" s="787">
        <f>'ANALYSE - ERP =&gt; SOUS-SEGMENT'!$JU$114</f>
        <v>0.32950000000000002</v>
      </c>
      <c r="K72" s="787">
        <f>'ANALYSE - ERP =&gt; SOUS-SEGMENT'!$JV$114</f>
        <v>2.47E-2</v>
      </c>
      <c r="L72" s="787">
        <f>'ANALYSE - ERP =&gt; SOUS-SEGMENT'!$JW$114</f>
        <v>0</v>
      </c>
      <c r="N72" s="787">
        <f>'ANALYSE - ERP =&gt; SOUS-SEGMENT'!$JX$114</f>
        <v>9.2499999999999999E-2</v>
      </c>
      <c r="O72" s="787">
        <f>'ANALYSE - ERP =&gt; SOUS-SEGMENT'!$JY$114</f>
        <v>0.52190000000000003</v>
      </c>
      <c r="P72" s="787">
        <f>'ANALYSE - ERP =&gt; SOUS-SEGMENT'!$JZ$114</f>
        <v>0.34360000000000002</v>
      </c>
      <c r="Q72" s="787">
        <f>'ANALYSE - ERP =&gt; SOUS-SEGMENT'!$KA$114</f>
        <v>3.8800000000000001E-2</v>
      </c>
      <c r="R72" s="787">
        <f>'ANALYSE - ERP =&gt; SOUS-SEGMENT'!$KB$114</f>
        <v>3.2000000000000002E-3</v>
      </c>
      <c r="T72" s="430">
        <f>'ANALYSE - ERP =&gt; SOUS-SEGMENT'!$Q$114</f>
        <v>1</v>
      </c>
    </row>
    <row r="73" spans="1:20" s="45" customFormat="1" ht="15" customHeight="1">
      <c r="A73" s="26">
        <v>70</v>
      </c>
      <c r="B73" s="26">
        <v>71</v>
      </c>
      <c r="C73" s="422">
        <f>'ANALYSE - ERP =&gt; SOUS-SEGMENT'!$A$124</f>
        <v>117</v>
      </c>
      <c r="D73" s="410" t="str">
        <f>'ANALYSE - ERP =&gt; SOUS-SEGMENT'!$B$124</f>
        <v>Transport, Mobilité &amp; Stationnement</v>
      </c>
      <c r="E73" s="410" t="str">
        <f>'ANALYSE - ERP =&gt; SOUS-SEGMENT'!$C$124</f>
        <v>Transport / Mobilité</v>
      </c>
      <c r="F73" s="410" t="str">
        <f>'ANALYSE - ERP =&gt; SOUS-SEGMENT'!$D$124</f>
        <v>Aéroports / aérogares
(&gt;1 000 passagers/an)</v>
      </c>
      <c r="G73" s="685"/>
      <c r="H73" s="787">
        <f>'ANALYSE - ERP =&gt; SOUS-SEGMENT'!$JS$124</f>
        <v>0</v>
      </c>
      <c r="I73" s="787">
        <f>'ANALYSE - ERP =&gt; SOUS-SEGMENT'!$JT$124</f>
        <v>0.10199999999999999</v>
      </c>
      <c r="J73" s="787">
        <f>'ANALYSE - ERP =&gt; SOUS-SEGMENT'!$JU$124</f>
        <v>0.4773</v>
      </c>
      <c r="K73" s="787">
        <f>'ANALYSE - ERP =&gt; SOUS-SEGMENT'!$JV$124</f>
        <v>0.38600000000000001</v>
      </c>
      <c r="L73" s="787">
        <f>'ANALYSE - ERP =&gt; SOUS-SEGMENT'!$JW$124</f>
        <v>3.4700000000000002E-2</v>
      </c>
      <c r="M73" s="685"/>
      <c r="N73" s="787">
        <f>'ANALYSE - ERP =&gt; SOUS-SEGMENT'!$JX$124</f>
        <v>0</v>
      </c>
      <c r="O73" s="787">
        <f>'ANALYSE - ERP =&gt; SOUS-SEGMENT'!$JY$124</f>
        <v>5.5899999999999998E-2</v>
      </c>
      <c r="P73" s="787">
        <f>'ANALYSE - ERP =&gt; SOUS-SEGMENT'!$JZ$124</f>
        <v>0.33389999999999997</v>
      </c>
      <c r="Q73" s="787">
        <f>'ANALYSE - ERP =&gt; SOUS-SEGMENT'!$KA$124</f>
        <v>0.49990000000000001</v>
      </c>
      <c r="R73" s="787">
        <f>'ANALYSE - ERP =&gt; SOUS-SEGMENT'!$KB$124</f>
        <v>0.1103</v>
      </c>
      <c r="S73" s="685"/>
      <c r="T73" s="430">
        <f>'ANALYSE - ERP =&gt; SOUS-SEGMENT'!$Q$124</f>
        <v>1</v>
      </c>
    </row>
    <row r="74" spans="1:20" ht="15" customHeight="1">
      <c r="A74" s="26">
        <v>71</v>
      </c>
      <c r="B74" s="26">
        <v>72</v>
      </c>
      <c r="C74" s="422">
        <f>'ANALYSE - ERP =&gt; SOUS-SEGMENT'!$A$105</f>
        <v>98</v>
      </c>
      <c r="D74" s="417" t="str">
        <f>'ANALYSE - ERP =&gt; SOUS-SEGMENT'!$B$105</f>
        <v>Culte, Vie civique &amp; Services publics</v>
      </c>
      <c r="E74" s="417" t="str">
        <f>'ANALYSE - ERP =&gt; SOUS-SEGMENT'!$C$105</f>
        <v>Administrations / services publics</v>
      </c>
      <c r="F74" s="417" t="str">
        <f>'ANALYSE - ERP =&gt; SOUS-SEGMENT'!$D$105</f>
        <v>Préfectures / services administratifs</v>
      </c>
      <c r="H74" s="787">
        <f>'ANALYSE - ERP =&gt; SOUS-SEGMENT'!$JS$105</f>
        <v>2.7400000000000001E-2</v>
      </c>
      <c r="I74" s="787">
        <f>'ANALYSE - ERP =&gt; SOUS-SEGMENT'!$JT$105</f>
        <v>0.41210000000000002</v>
      </c>
      <c r="J74" s="787">
        <f>'ANALYSE - ERP =&gt; SOUS-SEGMENT'!$JU$105</f>
        <v>0.47210000000000002</v>
      </c>
      <c r="K74" s="787">
        <f>'ANALYSE - ERP =&gt; SOUS-SEGMENT'!$JV$105</f>
        <v>8.7400000000000005E-2</v>
      </c>
      <c r="L74" s="787">
        <f>'ANALYSE - ERP =&gt; SOUS-SEGMENT'!$JW$105</f>
        <v>1E-3</v>
      </c>
      <c r="N74" s="787">
        <f>'ANALYSE - ERP =&gt; SOUS-SEGMENT'!$JX$105</f>
        <v>0</v>
      </c>
      <c r="O74" s="787">
        <f>'ANALYSE - ERP =&gt; SOUS-SEGMENT'!$JY$105</f>
        <v>0.27950000000000003</v>
      </c>
      <c r="P74" s="787">
        <f>'ANALYSE - ERP =&gt; SOUS-SEGMENT'!$JZ$105</f>
        <v>0.56399999999999995</v>
      </c>
      <c r="Q74" s="787">
        <f>'ANALYSE - ERP =&gt; SOUS-SEGMENT'!$KA$105</f>
        <v>0.15290000000000001</v>
      </c>
      <c r="R74" s="787">
        <f>'ANALYSE - ERP =&gt; SOUS-SEGMENT'!$KB$105</f>
        <v>3.5999999999999999E-3</v>
      </c>
      <c r="T74" s="430">
        <f>'ANALYSE - ERP =&gt; SOUS-SEGMENT'!$Q$105</f>
        <v>1</v>
      </c>
    </row>
    <row r="75" spans="1:20" ht="15" customHeight="1">
      <c r="A75" s="26">
        <v>72</v>
      </c>
      <c r="B75" s="26">
        <v>70</v>
      </c>
      <c r="C75" s="422">
        <f>'ANALYSE - ERP =&gt; SOUS-SEGMENT'!$A$31</f>
        <v>24</v>
      </c>
      <c r="D75" s="410" t="str">
        <f>'ANALYSE - ERP =&gt; SOUS-SEGMENT'!$B$31</f>
        <v>Sports &amp; Loisirs</v>
      </c>
      <c r="E75" s="410" t="str">
        <f>'ANALYSE - ERP =&gt; SOUS-SEGMENT'!$C$31</f>
        <v>Sport de plein air</v>
      </c>
      <c r="F75" s="410" t="str">
        <f>'ANALYSE - ERP =&gt; SOUS-SEGMENT'!$D$31</f>
        <v>Piscines extérieures 
(Hors campings, hôtels, résidences et établissement avec bassin intérieur)</v>
      </c>
      <c r="H75" s="787">
        <f>'ANALYSE - ERP =&gt; SOUS-SEGMENT'!$JS$31</f>
        <v>0.18010000000000001</v>
      </c>
      <c r="I75" s="787">
        <f>'ANALYSE - ERP =&gt; SOUS-SEGMENT'!$JT$31</f>
        <v>0.63070000000000004</v>
      </c>
      <c r="J75" s="787">
        <f>'ANALYSE - ERP =&gt; SOUS-SEGMENT'!$JU$31</f>
        <v>0.18920000000000001</v>
      </c>
      <c r="K75" s="787">
        <f>'ANALYSE - ERP =&gt; SOUS-SEGMENT'!$JV$31</f>
        <v>0</v>
      </c>
      <c r="L75" s="787">
        <f>'ANALYSE - ERP =&gt; SOUS-SEGMENT'!$JW$31</f>
        <v>0</v>
      </c>
      <c r="N75" s="787">
        <f>'ANALYSE - ERP =&gt; SOUS-SEGMENT'!$JX$31</f>
        <v>8.9899999999999994E-2</v>
      </c>
      <c r="O75" s="787">
        <f>'ANALYSE - ERP =&gt; SOUS-SEGMENT'!$JY$31</f>
        <v>0.59019999999999995</v>
      </c>
      <c r="P75" s="787">
        <f>'ANALYSE - ERP =&gt; SOUS-SEGMENT'!$JZ$31</f>
        <v>0.31990000000000002</v>
      </c>
      <c r="Q75" s="787">
        <f>'ANALYSE - ERP =&gt; SOUS-SEGMENT'!$KA$31</f>
        <v>0</v>
      </c>
      <c r="R75" s="787">
        <f>'ANALYSE - ERP =&gt; SOUS-SEGMENT'!$KB$31</f>
        <v>0</v>
      </c>
      <c r="T75" s="430">
        <f>'ANALYSE - ERP =&gt; SOUS-SEGMENT'!$Q$31</f>
        <v>1</v>
      </c>
    </row>
    <row r="76" spans="1:20" ht="15" customHeight="1">
      <c r="A76" s="26">
        <v>73</v>
      </c>
      <c r="B76" s="26">
        <v>73</v>
      </c>
      <c r="C76" s="422">
        <f>'ANALYSE - ERP =&gt; SOUS-SEGMENT'!$A$140</f>
        <v>133</v>
      </c>
      <c r="D76" s="410" t="str">
        <f>'ANALYSE - ERP =&gt; SOUS-SEGMENT'!$B$140</f>
        <v>Sécurité &amp; Justice</v>
      </c>
      <c r="E76" s="410" t="str">
        <f>'ANALYSE - ERP =&gt; SOUS-SEGMENT'!$C$140</f>
        <v>Univers carcéral</v>
      </c>
      <c r="F76" s="410" t="str">
        <f>'ANALYSE - ERP =&gt; SOUS-SEGMENT'!$D$140</f>
        <v>Centres de détention</v>
      </c>
      <c r="H76" s="787">
        <f>'ANALYSE - ERP =&gt; SOUS-SEGMENT'!$JS$140</f>
        <v>0.17480000000000001</v>
      </c>
      <c r="I76" s="787">
        <f>'ANALYSE - ERP =&gt; SOUS-SEGMENT'!$JT$140</f>
        <v>0.68740000000000001</v>
      </c>
      <c r="J76" s="787">
        <f>'ANALYSE - ERP =&gt; SOUS-SEGMENT'!$JU$140</f>
        <v>0.13780000000000001</v>
      </c>
      <c r="K76" s="787">
        <f>'ANALYSE - ERP =&gt; SOUS-SEGMENT'!$JV$140</f>
        <v>0</v>
      </c>
      <c r="L76" s="787">
        <f>'ANALYSE - ERP =&gt; SOUS-SEGMENT'!$JW$140</f>
        <v>0</v>
      </c>
      <c r="N76" s="787">
        <f>'ANALYSE - ERP =&gt; SOUS-SEGMENT'!$JX$140</f>
        <v>8.5099999999999995E-2</v>
      </c>
      <c r="O76" s="787">
        <f>'ANALYSE - ERP =&gt; SOUS-SEGMENT'!$JY$140</f>
        <v>0.65839999999999999</v>
      </c>
      <c r="P76" s="787">
        <f>'ANALYSE - ERP =&gt; SOUS-SEGMENT'!$JZ$140</f>
        <v>0.25650000000000001</v>
      </c>
      <c r="Q76" s="787">
        <f>'ANALYSE - ERP =&gt; SOUS-SEGMENT'!$KA$140</f>
        <v>0</v>
      </c>
      <c r="R76" s="787">
        <f>'ANALYSE - ERP =&gt; SOUS-SEGMENT'!$KB$140</f>
        <v>0</v>
      </c>
      <c r="T76" s="430">
        <f>'ANALYSE - ERP =&gt; SOUS-SEGMENT'!$Q$140</f>
        <v>1</v>
      </c>
    </row>
    <row r="77" spans="1:20" ht="15" customHeight="1">
      <c r="A77" s="26">
        <v>74</v>
      </c>
      <c r="B77" s="26">
        <v>75</v>
      </c>
      <c r="C77" s="422">
        <f>'ANALYSE - ERP =&gt; SOUS-SEGMENT'!$A$72</f>
        <v>65</v>
      </c>
      <c r="D77" s="410" t="str">
        <f>'ANALYSE - ERP =&gt; SOUS-SEGMENT'!$B$72</f>
        <v>Culture, Patrimoine &amp; Evénementiel</v>
      </c>
      <c r="E77" s="410" t="str">
        <f>'ANALYSE - ERP =&gt; SOUS-SEGMENT'!$C$72</f>
        <v>Événementiel temporaire</v>
      </c>
      <c r="F77" s="410" t="str">
        <f>'ANALYSE - ERP =&gt; SOUS-SEGMENT'!$D$72</f>
        <v>Chapiteaux / Tentes / Structures</v>
      </c>
      <c r="H77" s="787">
        <f>'ANALYSE - ERP =&gt; SOUS-SEGMENT'!$JS$72</f>
        <v>3.2599999999999997E-2</v>
      </c>
      <c r="I77" s="787">
        <f>'ANALYSE - ERP =&gt; SOUS-SEGMENT'!$JT$72</f>
        <v>0.4148</v>
      </c>
      <c r="J77" s="787">
        <f>'ANALYSE - ERP =&gt; SOUS-SEGMENT'!$JU$72</f>
        <v>0.49380000000000002</v>
      </c>
      <c r="K77" s="787">
        <f>'ANALYSE - ERP =&gt; SOUS-SEGMENT'!$JV$72</f>
        <v>5.8799999999999998E-2</v>
      </c>
      <c r="L77" s="787">
        <f>'ANALYSE - ERP =&gt; SOUS-SEGMENT'!$JW$72</f>
        <v>0</v>
      </c>
      <c r="N77" s="787">
        <f>'ANALYSE - ERP =&gt; SOUS-SEGMENT'!$JX$72</f>
        <v>1.52E-2</v>
      </c>
      <c r="O77" s="787">
        <f>'ANALYSE - ERP =&gt; SOUS-SEGMENT'!$JY$72</f>
        <v>0.39360000000000001</v>
      </c>
      <c r="P77" s="787">
        <f>'ANALYSE - ERP =&gt; SOUS-SEGMENT'!$JZ$72</f>
        <v>0.51119999999999999</v>
      </c>
      <c r="Q77" s="787">
        <f>'ANALYSE - ERP =&gt; SOUS-SEGMENT'!$KA$72</f>
        <v>7.6200000000000004E-2</v>
      </c>
      <c r="R77" s="787">
        <f>'ANALYSE - ERP =&gt; SOUS-SEGMENT'!$KB$72</f>
        <v>3.8E-3</v>
      </c>
      <c r="T77" s="430">
        <f>'ANALYSE - ERP =&gt; SOUS-SEGMENT'!$Q$72</f>
        <v>1</v>
      </c>
    </row>
    <row r="78" spans="1:20" ht="15" customHeight="1">
      <c r="A78" s="26">
        <v>75</v>
      </c>
      <c r="B78" s="26">
        <v>74</v>
      </c>
      <c r="C78" s="422">
        <f>'ANALYSE - ERP =&gt; SOUS-SEGMENT'!$A$23</f>
        <v>16</v>
      </c>
      <c r="D78" s="410" t="str">
        <f>'ANALYSE - ERP =&gt; SOUS-SEGMENT'!$B$23</f>
        <v>Sports &amp; Loisirs</v>
      </c>
      <c r="E78" s="410" t="str">
        <f>'ANALYSE - ERP =&gt; SOUS-SEGMENT'!$C$23</f>
        <v>Sport couvert / Thermalisme / Bien-être</v>
      </c>
      <c r="F78" s="410" t="str">
        <f>'ANALYSE - ERP =&gt; SOUS-SEGMENT'!$D$23</f>
        <v>Patinoires couvertes</v>
      </c>
      <c r="H78" s="787">
        <f>'ANALYSE - ERP =&gt; SOUS-SEGMENT'!$JS$23</f>
        <v>0.19389999999999999</v>
      </c>
      <c r="I78" s="787">
        <f>'ANALYSE - ERP =&gt; SOUS-SEGMENT'!$JT$23</f>
        <v>0.63019999999999998</v>
      </c>
      <c r="J78" s="787">
        <f>'ANALYSE - ERP =&gt; SOUS-SEGMENT'!$JU$23</f>
        <v>0.1759</v>
      </c>
      <c r="K78" s="787">
        <f>'ANALYSE - ERP =&gt; SOUS-SEGMENT'!$JV$23</f>
        <v>0</v>
      </c>
      <c r="L78" s="787">
        <f>'ANALYSE - ERP =&gt; SOUS-SEGMENT'!$JW$23</f>
        <v>0</v>
      </c>
      <c r="N78" s="787">
        <f>'ANALYSE - ERP =&gt; SOUS-SEGMENT'!$JX$23</f>
        <v>9.8500000000000004E-2</v>
      </c>
      <c r="O78" s="787">
        <f>'ANALYSE - ERP =&gt; SOUS-SEGMENT'!$JY$23</f>
        <v>0.5988</v>
      </c>
      <c r="P78" s="787">
        <f>'ANALYSE - ERP =&gt; SOUS-SEGMENT'!$JZ$23</f>
        <v>0.30270000000000002</v>
      </c>
      <c r="Q78" s="787">
        <f>'ANALYSE - ERP =&gt; SOUS-SEGMENT'!$KA$23</f>
        <v>0</v>
      </c>
      <c r="R78" s="787">
        <f>'ANALYSE - ERP =&gt; SOUS-SEGMENT'!$KB$23</f>
        <v>0</v>
      </c>
      <c r="T78" s="430">
        <f>'ANALYSE - ERP =&gt; SOUS-SEGMENT'!$Q$23</f>
        <v>1</v>
      </c>
    </row>
    <row r="79" spans="1:20" ht="15" customHeight="1">
      <c r="A79" s="26">
        <v>76</v>
      </c>
      <c r="B79" s="26">
        <v>77</v>
      </c>
      <c r="C79" s="422">
        <f>'ANALYSE - ERP =&gt; SOUS-SEGMENT'!$A$135</f>
        <v>128</v>
      </c>
      <c r="D79" s="410" t="str">
        <f>'ANALYSE - ERP =&gt; SOUS-SEGMENT'!$B$135</f>
        <v>Sécurité &amp; Justice</v>
      </c>
      <c r="E79" s="410" t="str">
        <f>'ANALYSE - ERP =&gt; SOUS-SEGMENT'!$C$135</f>
        <v>Forces armées</v>
      </c>
      <c r="F79" s="410" t="str">
        <f>'ANALYSE - ERP =&gt; SOUS-SEGMENT'!$D$135</f>
        <v>Unités d'hébergement des militaires &amp; réservistes</v>
      </c>
      <c r="H79" s="787">
        <f>'ANALYSE - ERP =&gt; SOUS-SEGMENT'!$JS$135</f>
        <v>7.9000000000000001E-2</v>
      </c>
      <c r="I79" s="787">
        <f>'ANALYSE - ERP =&gt; SOUS-SEGMENT'!$JT$135</f>
        <v>0.58589999999999998</v>
      </c>
      <c r="J79" s="787">
        <f>'ANALYSE - ERP =&gt; SOUS-SEGMENT'!$JU$135</f>
        <v>0.32200000000000001</v>
      </c>
      <c r="K79" s="787">
        <f>'ANALYSE - ERP =&gt; SOUS-SEGMENT'!$JV$135</f>
        <v>1.3100000000000001E-2</v>
      </c>
      <c r="L79" s="787">
        <f>'ANALYSE - ERP =&gt; SOUS-SEGMENT'!$JW$135</f>
        <v>0</v>
      </c>
      <c r="N79" s="787">
        <f>'ANALYSE - ERP =&gt; SOUS-SEGMENT'!$JX$135</f>
        <v>3.3500000000000002E-2</v>
      </c>
      <c r="O79" s="787">
        <f>'ANALYSE - ERP =&gt; SOUS-SEGMENT'!$JY$135</f>
        <v>0.46050000000000002</v>
      </c>
      <c r="P79" s="787">
        <f>'ANALYSE - ERP =&gt; SOUS-SEGMENT'!$JZ$135</f>
        <v>0.47020000000000001</v>
      </c>
      <c r="Q79" s="787">
        <f>'ANALYSE - ERP =&gt; SOUS-SEGMENT'!$KA$135</f>
        <v>3.56E-2</v>
      </c>
      <c r="R79" s="787">
        <f>'ANALYSE - ERP =&gt; SOUS-SEGMENT'!$KB$135</f>
        <v>2.0000000000000001E-4</v>
      </c>
      <c r="T79" s="430">
        <f>'ANALYSE - ERP =&gt; SOUS-SEGMENT'!$Q$135</f>
        <v>1</v>
      </c>
    </row>
    <row r="80" spans="1:20" ht="15" customHeight="1">
      <c r="A80" s="26">
        <v>77</v>
      </c>
      <c r="B80" s="26">
        <v>76</v>
      </c>
      <c r="C80" s="422">
        <f>'ANALYSE - ERP =&gt; SOUS-SEGMENT'!$A$146</f>
        <v>139</v>
      </c>
      <c r="D80" s="411" t="str">
        <f>'ANALYSE - ERP =&gt; SOUS-SEGMENT'!$B$146</f>
        <v>Sécurité &amp; Justice</v>
      </c>
      <c r="E80" s="411" t="str">
        <f>'ANALYSE - ERP =&gt; SOUS-SEGMENT'!$C$146</f>
        <v>Tribunaux</v>
      </c>
      <c r="F80" s="411" t="str">
        <f>'ANALYSE - ERP =&gt; SOUS-SEGMENT'!$D$146</f>
        <v>Palais de justice et bâtiments judiciaires multi-usages</v>
      </c>
      <c r="H80" s="787">
        <f>'ANALYSE - ERP =&gt; SOUS-SEGMENT'!$JS$146</f>
        <v>3.0000000000000001E-3</v>
      </c>
      <c r="I80" s="787">
        <f>'ANALYSE - ERP =&gt; SOUS-SEGMENT'!$JT$146</f>
        <v>0.30159999999999998</v>
      </c>
      <c r="J80" s="787">
        <f>'ANALYSE - ERP =&gt; SOUS-SEGMENT'!$JU$146</f>
        <v>0.54069999999999996</v>
      </c>
      <c r="K80" s="787">
        <f>'ANALYSE - ERP =&gt; SOUS-SEGMENT'!$JV$146</f>
        <v>0.15040000000000001</v>
      </c>
      <c r="L80" s="787">
        <f>'ANALYSE - ERP =&gt; SOUS-SEGMENT'!$JW$146</f>
        <v>4.3E-3</v>
      </c>
      <c r="N80" s="787">
        <f>'ANALYSE - ERP =&gt; SOUS-SEGMENT'!$JX$146</f>
        <v>0</v>
      </c>
      <c r="O80" s="787">
        <f>'ANALYSE - ERP =&gt; SOUS-SEGMENT'!$JY$146</f>
        <v>0.1913</v>
      </c>
      <c r="P80" s="787">
        <f>'ANALYSE - ERP =&gt; SOUS-SEGMENT'!$JZ$146</f>
        <v>0.56010000000000004</v>
      </c>
      <c r="Q80" s="787">
        <f>'ANALYSE - ERP =&gt; SOUS-SEGMENT'!$KA$146</f>
        <v>0.2366</v>
      </c>
      <c r="R80" s="787">
        <f>'ANALYSE - ERP =&gt; SOUS-SEGMENT'!$KB$146</f>
        <v>1.2E-2</v>
      </c>
      <c r="T80" s="430">
        <f>'ANALYSE - ERP =&gt; SOUS-SEGMENT'!$Q$146</f>
        <v>1</v>
      </c>
    </row>
    <row r="81" spans="1:20" ht="15" customHeight="1">
      <c r="A81" s="26">
        <v>78</v>
      </c>
      <c r="B81" s="26">
        <v>78</v>
      </c>
      <c r="C81" s="422">
        <f>'ANALYSE - ERP =&gt; SOUS-SEGMENT'!$A$127</f>
        <v>120</v>
      </c>
      <c r="D81" s="411" t="str">
        <f>'ANALYSE - ERP =&gt; SOUS-SEGMENT'!$B$127</f>
        <v>Transport, Mobilité &amp; Stationnement</v>
      </c>
      <c r="E81" s="411" t="str">
        <f>'ANALYSE - ERP =&gt; SOUS-SEGMENT'!$C$127</f>
        <v>Transport / Mobilité</v>
      </c>
      <c r="F81" s="411" t="str">
        <f>'ANALYSE - ERP =&gt; SOUS-SEGMENT'!$D$127</f>
        <v>Terminaux maritimes / fluviaux</v>
      </c>
      <c r="H81" s="787">
        <f>'ANALYSE - ERP =&gt; SOUS-SEGMENT'!$JS$127</f>
        <v>0</v>
      </c>
      <c r="I81" s="787">
        <f>'ANALYSE - ERP =&gt; SOUS-SEGMENT'!$JT$127</f>
        <v>0.11269999999999999</v>
      </c>
      <c r="J81" s="787">
        <f>'ANALYSE - ERP =&gt; SOUS-SEGMENT'!$JU$127</f>
        <v>0.49640000000000001</v>
      </c>
      <c r="K81" s="787">
        <f>'ANALYSE - ERP =&gt; SOUS-SEGMENT'!$JV$127</f>
        <v>0.36399999999999999</v>
      </c>
      <c r="L81" s="787">
        <f>'ANALYSE - ERP =&gt; SOUS-SEGMENT'!$JW$127</f>
        <v>2.69E-2</v>
      </c>
      <c r="N81" s="787">
        <f>'ANALYSE - ERP =&gt; SOUS-SEGMENT'!$JX$127</f>
        <v>0</v>
      </c>
      <c r="O81" s="787">
        <f>'ANALYSE - ERP =&gt; SOUS-SEGMENT'!$JY$127</f>
        <v>5.6500000000000002E-2</v>
      </c>
      <c r="P81" s="787">
        <f>'ANALYSE - ERP =&gt; SOUS-SEGMENT'!$JZ$127</f>
        <v>0.33729999999999999</v>
      </c>
      <c r="Q81" s="787">
        <f>'ANALYSE - ERP =&gt; SOUS-SEGMENT'!$KA$127</f>
        <v>0.49819999999999998</v>
      </c>
      <c r="R81" s="787">
        <f>'ANALYSE - ERP =&gt; SOUS-SEGMENT'!$KB$127</f>
        <v>0.108</v>
      </c>
      <c r="T81" s="430">
        <f>'ANALYSE - ERP =&gt; SOUS-SEGMENT'!$Q$127</f>
        <v>1</v>
      </c>
    </row>
    <row r="82" spans="1:20" ht="15" customHeight="1">
      <c r="A82" s="26">
        <v>79</v>
      </c>
      <c r="B82" s="26">
        <v>79</v>
      </c>
      <c r="C82" s="422">
        <f>'ANALYSE - ERP =&gt; SOUS-SEGMENT'!$A$71</f>
        <v>64</v>
      </c>
      <c r="D82" s="411" t="str">
        <f>'ANALYSE - ERP =&gt; SOUS-SEGMENT'!$B$71</f>
        <v>Culture, Patrimoine &amp; Evénementiel</v>
      </c>
      <c r="E82" s="411" t="str">
        <f>'ANALYSE - ERP =&gt; SOUS-SEGMENT'!$C$71</f>
        <v>Expositions / salons</v>
      </c>
      <c r="F82" s="411" t="str">
        <f>'ANALYSE - ERP =&gt; SOUS-SEGMENT'!$D$71</f>
        <v>Halls d’exposition</v>
      </c>
      <c r="H82" s="787">
        <f>'ANALYSE - ERP =&gt; SOUS-SEGMENT'!$JS$71</f>
        <v>0</v>
      </c>
      <c r="I82" s="787">
        <f>'ANALYSE - ERP =&gt; SOUS-SEGMENT'!$JT$71</f>
        <v>0.16170000000000001</v>
      </c>
      <c r="J82" s="787">
        <f>'ANALYSE - ERP =&gt; SOUS-SEGMENT'!$JU$71</f>
        <v>0.49919999999999998</v>
      </c>
      <c r="K82" s="787">
        <f>'ANALYSE - ERP =&gt; SOUS-SEGMENT'!$JV$71</f>
        <v>0.3039</v>
      </c>
      <c r="L82" s="787">
        <f>'ANALYSE - ERP =&gt; SOUS-SEGMENT'!$JW$71</f>
        <v>3.5200000000000002E-2</v>
      </c>
      <c r="N82" s="787">
        <f>'ANALYSE - ERP =&gt; SOUS-SEGMENT'!$JX$71</f>
        <v>0</v>
      </c>
      <c r="O82" s="787">
        <f>'ANALYSE - ERP =&gt; SOUS-SEGMENT'!$JY$71</f>
        <v>7.22E-2</v>
      </c>
      <c r="P82" s="787">
        <f>'ANALYSE - ERP =&gt; SOUS-SEGMENT'!$JZ$71</f>
        <v>0.42570000000000002</v>
      </c>
      <c r="Q82" s="787">
        <f>'ANALYSE - ERP =&gt; SOUS-SEGMENT'!$KA$71</f>
        <v>0.42020000000000002</v>
      </c>
      <c r="R82" s="787">
        <f>'ANALYSE - ERP =&gt; SOUS-SEGMENT'!$KB$71</f>
        <v>8.1900000000000001E-2</v>
      </c>
      <c r="T82" s="430">
        <f>'ANALYSE - ERP =&gt; SOUS-SEGMENT'!$Q$71</f>
        <v>1</v>
      </c>
    </row>
    <row r="83" spans="1:20" ht="15" customHeight="1">
      <c r="A83" s="26">
        <v>80</v>
      </c>
      <c r="B83" s="26">
        <v>80</v>
      </c>
      <c r="C83" s="422">
        <f>'ANALYSE - ERP =&gt; SOUS-SEGMENT'!$A$132</f>
        <v>125</v>
      </c>
      <c r="D83" s="415" t="str">
        <f>'ANALYSE - ERP =&gt; SOUS-SEGMENT'!$B$132</f>
        <v>Sécurité &amp; Justice</v>
      </c>
      <c r="E83" s="415" t="str">
        <f>'ANALYSE - ERP =&gt; SOUS-SEGMENT'!$C$132</f>
        <v xml:space="preserve">Commissariats / postes de police </v>
      </c>
      <c r="F83" s="415" t="str">
        <f>'ANALYSE - ERP =&gt; SOUS-SEGMENT'!$D$132</f>
        <v>Locaux de sûreté, garde à vue et zones opérationnelles</v>
      </c>
      <c r="H83" s="787">
        <f>'ANALYSE - ERP =&gt; SOUS-SEGMENT'!$JS$132</f>
        <v>9.7199999999999995E-2</v>
      </c>
      <c r="I83" s="787">
        <f>'ANALYSE - ERP =&gt; SOUS-SEGMENT'!$JT$132</f>
        <v>0.60819999999999996</v>
      </c>
      <c r="J83" s="787">
        <f>'ANALYSE - ERP =&gt; SOUS-SEGMENT'!$JU$132</f>
        <v>0.29459999999999997</v>
      </c>
      <c r="K83" s="787">
        <f>'ANALYSE - ERP =&gt; SOUS-SEGMENT'!$JV$132</f>
        <v>0</v>
      </c>
      <c r="L83" s="787">
        <f>'ANALYSE - ERP =&gt; SOUS-SEGMENT'!$JW$132</f>
        <v>0</v>
      </c>
      <c r="N83" s="787">
        <f>'ANALYSE - ERP =&gt; SOUS-SEGMENT'!$JX$132</f>
        <v>0.05</v>
      </c>
      <c r="O83" s="787">
        <f>'ANALYSE - ERP =&gt; SOUS-SEGMENT'!$JY$132</f>
        <v>0.53500000000000003</v>
      </c>
      <c r="P83" s="787">
        <f>'ANALYSE - ERP =&gt; SOUS-SEGMENT'!$JZ$132</f>
        <v>0.41499999999999998</v>
      </c>
      <c r="Q83" s="787">
        <f>'ANALYSE - ERP =&gt; SOUS-SEGMENT'!$KA$132</f>
        <v>0</v>
      </c>
      <c r="R83" s="787">
        <f>'ANALYSE - ERP =&gt; SOUS-SEGMENT'!$KB$132</f>
        <v>0</v>
      </c>
      <c r="T83" s="430">
        <f>'ANALYSE - ERP =&gt; SOUS-SEGMENT'!$Q$132</f>
        <v>1</v>
      </c>
    </row>
    <row r="84" spans="1:20" ht="15" customHeight="1">
      <c r="A84" s="26">
        <v>81</v>
      </c>
      <c r="B84" s="26">
        <v>82</v>
      </c>
      <c r="C84" s="422">
        <f>'ANALYSE - ERP =&gt; SOUS-SEGMENT'!$A$118</f>
        <v>111</v>
      </c>
      <c r="D84" s="417" t="str">
        <f>'ANALYSE - ERP =&gt; SOUS-SEGMENT'!$B$118</f>
        <v>Culte, Vie civique &amp; Services publics</v>
      </c>
      <c r="E84" s="417" t="str">
        <f>'ANALYSE - ERP =&gt; SOUS-SEGMENT'!$C$118</f>
        <v>Culte</v>
      </c>
      <c r="F84" s="417" t="str">
        <f>'ANALYSE - ERP =&gt; SOUS-SEGMENT'!$D$118</f>
        <v>Temples bouddhistes, hindous et autres lieux de culte non abrahamiques ouverts au public</v>
      </c>
      <c r="H84" s="787">
        <f>'ANALYSE - ERP =&gt; SOUS-SEGMENT'!$JS$118</f>
        <v>0.1066</v>
      </c>
      <c r="I84" s="787">
        <f>'ANALYSE - ERP =&gt; SOUS-SEGMENT'!$JT$118</f>
        <v>0.53920000000000001</v>
      </c>
      <c r="J84" s="787">
        <f>'ANALYSE - ERP =&gt; SOUS-SEGMENT'!$JU$118</f>
        <v>0.32950000000000002</v>
      </c>
      <c r="K84" s="787">
        <f>'ANALYSE - ERP =&gt; SOUS-SEGMENT'!$JV$118</f>
        <v>2.47E-2</v>
      </c>
      <c r="L84" s="787">
        <f>'ANALYSE - ERP =&gt; SOUS-SEGMENT'!$JW$118</f>
        <v>0</v>
      </c>
      <c r="N84" s="787">
        <f>'ANALYSE - ERP =&gt; SOUS-SEGMENT'!$JX$118</f>
        <v>9.2499999999999999E-2</v>
      </c>
      <c r="O84" s="787">
        <f>'ANALYSE - ERP =&gt; SOUS-SEGMENT'!$JY$118</f>
        <v>0.52190000000000003</v>
      </c>
      <c r="P84" s="787">
        <f>'ANALYSE - ERP =&gt; SOUS-SEGMENT'!$JZ$118</f>
        <v>0.34360000000000002</v>
      </c>
      <c r="Q84" s="787">
        <f>'ANALYSE - ERP =&gt; SOUS-SEGMENT'!$KA$118</f>
        <v>3.8800000000000001E-2</v>
      </c>
      <c r="R84" s="787">
        <f>'ANALYSE - ERP =&gt; SOUS-SEGMENT'!$KB$118</f>
        <v>3.2000000000000002E-3</v>
      </c>
      <c r="T84" s="430">
        <f>'ANALYSE - ERP =&gt; SOUS-SEGMENT'!$Q$118</f>
        <v>1</v>
      </c>
    </row>
    <row r="85" spans="1:20" ht="15" customHeight="1">
      <c r="A85" s="26">
        <v>82</v>
      </c>
      <c r="B85" s="26">
        <v>83</v>
      </c>
      <c r="C85" s="422">
        <f>'ANALYSE - ERP =&gt; SOUS-SEGMENT'!$A$91</f>
        <v>84</v>
      </c>
      <c r="D85" s="415" t="str">
        <f>'ANALYSE - ERP =&gt; SOUS-SEGMENT'!$B$91</f>
        <v>Hébergement Touristique</v>
      </c>
      <c r="E85" s="415" t="str">
        <f>'ANALYSE - ERP =&gt; SOUS-SEGMENT'!$C$91</f>
        <v>Hébergement Touristique</v>
      </c>
      <c r="F85" s="415" t="str">
        <f>'ANALYSE - ERP =&gt; SOUS-SEGMENT'!$D$91</f>
        <v>Pensions de famille</v>
      </c>
      <c r="H85" s="787">
        <f>'ANALYSE - ERP =&gt; SOUS-SEGMENT'!$JS$91</f>
        <v>4.9599999999999998E-2</v>
      </c>
      <c r="I85" s="787">
        <f>'ANALYSE - ERP =&gt; SOUS-SEGMENT'!$JT$91</f>
        <v>0.39910000000000001</v>
      </c>
      <c r="J85" s="787">
        <f>'ANALYSE - ERP =&gt; SOUS-SEGMENT'!$JU$91</f>
        <v>0.46200000000000002</v>
      </c>
      <c r="K85" s="787">
        <f>'ANALYSE - ERP =&gt; SOUS-SEGMENT'!$JV$91</f>
        <v>8.6499999999999994E-2</v>
      </c>
      <c r="L85" s="787">
        <f>'ANALYSE - ERP =&gt; SOUS-SEGMENT'!$JW$91</f>
        <v>2.8E-3</v>
      </c>
      <c r="N85" s="787">
        <f>'ANALYSE - ERP =&gt; SOUS-SEGMENT'!$JX$91</f>
        <v>1.37E-2</v>
      </c>
      <c r="O85" s="787">
        <f>'ANALYSE - ERP =&gt; SOUS-SEGMENT'!$JY$91</f>
        <v>0.2712</v>
      </c>
      <c r="P85" s="787">
        <f>'ANALYSE - ERP =&gt; SOUS-SEGMENT'!$JZ$91</f>
        <v>0.5343</v>
      </c>
      <c r="Q85" s="787">
        <f>'ANALYSE - ERP =&gt; SOUS-SEGMENT'!$KA$91</f>
        <v>0.17130000000000001</v>
      </c>
      <c r="R85" s="787">
        <f>'ANALYSE - ERP =&gt; SOUS-SEGMENT'!$KB$91</f>
        <v>9.4999999999999998E-3</v>
      </c>
      <c r="T85" s="430">
        <f>'ANALYSE - ERP =&gt; SOUS-SEGMENT'!$Q$91</f>
        <v>1</v>
      </c>
    </row>
    <row r="86" spans="1:20" ht="15" customHeight="1">
      <c r="A86" s="26">
        <v>83</v>
      </c>
      <c r="B86" s="26">
        <v>81</v>
      </c>
      <c r="C86" s="422">
        <f>'ANALYSE - ERP =&gt; SOUS-SEGMENT'!$A$121</f>
        <v>114</v>
      </c>
      <c r="D86" s="411" t="str">
        <f>'ANALYSE - ERP =&gt; SOUS-SEGMENT'!$B$121</f>
        <v>Transport, Mobilité &amp; Stationnement</v>
      </c>
      <c r="E86" s="411" t="str">
        <f>'ANALYSE - ERP =&gt; SOUS-SEGMENT'!$C$121</f>
        <v>Transport / Mobilité</v>
      </c>
      <c r="F86" s="411" t="str">
        <f>'ANALYSE - ERP =&gt; SOUS-SEGMENT'!$D$121</f>
        <v>Aires de service - Autoroutes
(Hors Aires de repos)</v>
      </c>
      <c r="H86" s="787">
        <f>'ANALYSE - ERP =&gt; SOUS-SEGMENT'!$JS$121</f>
        <v>6.8599999999999994E-2</v>
      </c>
      <c r="I86" s="787">
        <f>'ANALYSE - ERP =&gt; SOUS-SEGMENT'!$JT$121</f>
        <v>0.5413</v>
      </c>
      <c r="J86" s="787">
        <f>'ANALYSE - ERP =&gt; SOUS-SEGMENT'!$JU$121</f>
        <v>0.3201</v>
      </c>
      <c r="K86" s="787">
        <f>'ANALYSE - ERP =&gt; SOUS-SEGMENT'!$JV$121</f>
        <v>0.04</v>
      </c>
      <c r="L86" s="787">
        <f>'ANALYSE - ERP =&gt; SOUS-SEGMENT'!$JW$121</f>
        <v>0.03</v>
      </c>
      <c r="N86" s="787">
        <f>'ANALYSE - ERP =&gt; SOUS-SEGMENT'!$JX$121</f>
        <v>3.15E-2</v>
      </c>
      <c r="O86" s="787">
        <f>'ANALYSE - ERP =&gt; SOUS-SEGMENT'!$JY$121</f>
        <v>0.44890000000000002</v>
      </c>
      <c r="P86" s="787">
        <f>'ANALYSE - ERP =&gt; SOUS-SEGMENT'!$JZ$121</f>
        <v>0.4481</v>
      </c>
      <c r="Q86" s="787">
        <f>'ANALYSE - ERP =&gt; SOUS-SEGMENT'!$KA$121</f>
        <v>4.1500000000000002E-2</v>
      </c>
      <c r="R86" s="787">
        <f>'ANALYSE - ERP =&gt; SOUS-SEGMENT'!$KB$121</f>
        <v>0.03</v>
      </c>
      <c r="T86" s="430">
        <f>'ANALYSE - ERP =&gt; SOUS-SEGMENT'!$Q$121</f>
        <v>1</v>
      </c>
    </row>
    <row r="87" spans="1:20" ht="15" customHeight="1">
      <c r="A87" s="26">
        <v>84</v>
      </c>
      <c r="B87" s="26">
        <v>84</v>
      </c>
      <c r="C87" s="422">
        <f>'ANALYSE - ERP =&gt; SOUS-SEGMENT'!$A$138</f>
        <v>131</v>
      </c>
      <c r="D87" s="415" t="str">
        <f>'ANALYSE - ERP =&gt; SOUS-SEGMENT'!$B$138</f>
        <v>Sécurité &amp; Justice</v>
      </c>
      <c r="E87" s="415" t="str">
        <f>'ANALYSE - ERP =&gt; SOUS-SEGMENT'!$C$138</f>
        <v>Forces armées</v>
      </c>
      <c r="F87" s="415" t="str">
        <f>'ANALYSE - ERP =&gt; SOUS-SEGMENT'!$D$138</f>
        <v>Salles de conférence, auditoriums et espaces événementiels ouverts au public</v>
      </c>
      <c r="H87" s="787">
        <f>'ANALYSE - ERP =&gt; SOUS-SEGMENT'!$JS$138</f>
        <v>6.8999999999999999E-3</v>
      </c>
      <c r="I87" s="787">
        <f>'ANALYSE - ERP =&gt; SOUS-SEGMENT'!$JT$138</f>
        <v>0.36770000000000003</v>
      </c>
      <c r="J87" s="787">
        <f>'ANALYSE - ERP =&gt; SOUS-SEGMENT'!$JU$138</f>
        <v>0.52370000000000005</v>
      </c>
      <c r="K87" s="787">
        <f>'ANALYSE - ERP =&gt; SOUS-SEGMENT'!$JV$138</f>
        <v>0.10050000000000001</v>
      </c>
      <c r="L87" s="787">
        <f>'ANALYSE - ERP =&gt; SOUS-SEGMENT'!$JW$138</f>
        <v>1.1999999999999999E-3</v>
      </c>
      <c r="N87" s="787">
        <f>'ANALYSE - ERP =&gt; SOUS-SEGMENT'!$JX$138</f>
        <v>0</v>
      </c>
      <c r="O87" s="787">
        <f>'ANALYSE - ERP =&gt; SOUS-SEGMENT'!$JY$138</f>
        <v>0.23169999999999999</v>
      </c>
      <c r="P87" s="787">
        <f>'ANALYSE - ERP =&gt; SOUS-SEGMENT'!$JZ$138</f>
        <v>0.58879999999999999</v>
      </c>
      <c r="Q87" s="787">
        <f>'ANALYSE - ERP =&gt; SOUS-SEGMENT'!$KA$138</f>
        <v>0.17530000000000001</v>
      </c>
      <c r="R87" s="787">
        <f>'ANALYSE - ERP =&gt; SOUS-SEGMENT'!$KB$138</f>
        <v>4.1999999999999997E-3</v>
      </c>
      <c r="T87" s="430">
        <f>'ANALYSE - ERP =&gt; SOUS-SEGMENT'!$Q$138</f>
        <v>1</v>
      </c>
    </row>
    <row r="88" spans="1:20" ht="15" customHeight="1">
      <c r="A88" s="26">
        <v>85</v>
      </c>
      <c r="B88" s="26">
        <v>85</v>
      </c>
      <c r="C88" s="422" t="e">
        <f>'ANALYSE - ERP =&gt; SOUS-SEGMENT'!#REF!</f>
        <v>#REF!</v>
      </c>
      <c r="D88" s="417" t="e">
        <f>'ANALYSE - ERP =&gt; SOUS-SEGMENT'!#REF!</f>
        <v>#REF!</v>
      </c>
      <c r="E88" s="417" t="e">
        <f>'ANALYSE - ERP =&gt; SOUS-SEGMENT'!#REF!</f>
        <v>#REF!</v>
      </c>
      <c r="F88" s="417" t="e">
        <f>'ANALYSE - ERP =&gt; SOUS-SEGMENT'!#REF!</f>
        <v>#REF!</v>
      </c>
      <c r="H88" s="787" t="e">
        <f>'ANALYSE - ERP =&gt; SOUS-SEGMENT'!#REF!</f>
        <v>#REF!</v>
      </c>
      <c r="I88" s="787" t="e">
        <f>'ANALYSE - ERP =&gt; SOUS-SEGMENT'!#REF!</f>
        <v>#REF!</v>
      </c>
      <c r="J88" s="787" t="e">
        <f>'ANALYSE - ERP =&gt; SOUS-SEGMENT'!#REF!</f>
        <v>#REF!</v>
      </c>
      <c r="K88" s="787" t="e">
        <f>'ANALYSE - ERP =&gt; SOUS-SEGMENT'!#REF!</f>
        <v>#REF!</v>
      </c>
      <c r="L88" s="787" t="e">
        <f>'ANALYSE - ERP =&gt; SOUS-SEGMENT'!#REF!</f>
        <v>#REF!</v>
      </c>
      <c r="N88" s="787" t="e">
        <f>'ANALYSE - ERP =&gt; SOUS-SEGMENT'!#REF!</f>
        <v>#REF!</v>
      </c>
      <c r="O88" s="787" t="e">
        <f>'ANALYSE - ERP =&gt; SOUS-SEGMENT'!#REF!</f>
        <v>#REF!</v>
      </c>
      <c r="P88" s="787" t="e">
        <f>'ANALYSE - ERP =&gt; SOUS-SEGMENT'!#REF!</f>
        <v>#REF!</v>
      </c>
      <c r="Q88" s="787" t="e">
        <f>'ANALYSE - ERP =&gt; SOUS-SEGMENT'!#REF!</f>
        <v>#REF!</v>
      </c>
      <c r="R88" s="787" t="e">
        <f>'ANALYSE - ERP =&gt; SOUS-SEGMENT'!#REF!</f>
        <v>#REF!</v>
      </c>
      <c r="T88" s="430" t="e">
        <f>'ANALYSE - ERP =&gt; SOUS-SEGMENT'!#REF!</f>
        <v>#REF!</v>
      </c>
    </row>
    <row r="89" spans="1:20" ht="15" customHeight="1">
      <c r="A89" s="26">
        <v>86</v>
      </c>
      <c r="B89" s="26">
        <v>86</v>
      </c>
      <c r="C89" s="422">
        <f>'ANALYSE - ERP =&gt; SOUS-SEGMENT'!$A$149</f>
        <v>142</v>
      </c>
      <c r="D89" s="411" t="str">
        <f>'ANALYSE - ERP =&gt; SOUS-SEGMENT'!$B$149</f>
        <v>Sécurité &amp; Justice</v>
      </c>
      <c r="E89" s="411" t="str">
        <f>'ANALYSE - ERP =&gt; SOUS-SEGMENT'!$C$149</f>
        <v>Tribunaux</v>
      </c>
      <c r="F89" s="411" t="str">
        <f>'ANALYSE - ERP =&gt; SOUS-SEGMENT'!$D$149</f>
        <v>Conseils de prud’hommes autonomes</v>
      </c>
      <c r="H89" s="787">
        <f>'ANALYSE - ERP =&gt; SOUS-SEGMENT'!$JS$149</f>
        <v>1.2500000000000001E-2</v>
      </c>
      <c r="I89" s="787">
        <f>'ANALYSE - ERP =&gt; SOUS-SEGMENT'!$JT$149</f>
        <v>0.33789999999999998</v>
      </c>
      <c r="J89" s="787">
        <f>'ANALYSE - ERP =&gt; SOUS-SEGMENT'!$JU$149</f>
        <v>0.51759999999999995</v>
      </c>
      <c r="K89" s="787">
        <f>'ANALYSE - ERP =&gt; SOUS-SEGMENT'!$JV$149</f>
        <v>0.12889999999999999</v>
      </c>
      <c r="L89" s="787">
        <f>'ANALYSE - ERP =&gt; SOUS-SEGMENT'!$JW$149</f>
        <v>3.0999999999999999E-3</v>
      </c>
      <c r="N89" s="787">
        <f>'ANALYSE - ERP =&gt; SOUS-SEGMENT'!$JX$149</f>
        <v>0</v>
      </c>
      <c r="O89" s="787">
        <f>'ANALYSE - ERP =&gt; SOUS-SEGMENT'!$JY$149</f>
        <v>0.22559999999999999</v>
      </c>
      <c r="P89" s="787">
        <f>'ANALYSE - ERP =&gt; SOUS-SEGMENT'!$JZ$149</f>
        <v>0.56010000000000004</v>
      </c>
      <c r="Q89" s="787">
        <f>'ANALYSE - ERP =&gt; SOUS-SEGMENT'!$KA$149</f>
        <v>0.2056</v>
      </c>
      <c r="R89" s="787">
        <f>'ANALYSE - ERP =&gt; SOUS-SEGMENT'!$KB$149</f>
        <v>8.6999999999999994E-3</v>
      </c>
      <c r="T89" s="430">
        <f>'ANALYSE - ERP =&gt; SOUS-SEGMENT'!$Q$149</f>
        <v>1</v>
      </c>
    </row>
    <row r="90" spans="1:20" ht="15" customHeight="1">
      <c r="A90" s="26">
        <v>87</v>
      </c>
      <c r="B90" s="26">
        <v>87</v>
      </c>
      <c r="C90" s="422">
        <f>'ANALYSE - ERP =&gt; SOUS-SEGMENT'!$A$93</f>
        <v>86</v>
      </c>
      <c r="D90" s="415" t="str">
        <f>'ANALYSE - ERP =&gt; SOUS-SEGMENT'!$B$93</f>
        <v>Hébergement Touristique</v>
      </c>
      <c r="E90" s="415" t="str">
        <f>'ANALYSE - ERP =&gt; SOUS-SEGMENT'!$C$93</f>
        <v>Hébergement Montagne</v>
      </c>
      <c r="F90" s="415" t="str">
        <f>'ANALYSE - ERP =&gt; SOUS-SEGMENT'!$D$93</f>
        <v>Refuges de montagne</v>
      </c>
      <c r="H90" s="787">
        <f>'ANALYSE - ERP =&gt; SOUS-SEGMENT'!$JS$93</f>
        <v>0.20030000000000001</v>
      </c>
      <c r="I90" s="787">
        <f>'ANALYSE - ERP =&gt; SOUS-SEGMENT'!$JT$93</f>
        <v>0.64849999999999997</v>
      </c>
      <c r="J90" s="787">
        <f>'ANALYSE - ERP =&gt; SOUS-SEGMENT'!$JU$93</f>
        <v>0.1512</v>
      </c>
      <c r="K90" s="787">
        <f>'ANALYSE - ERP =&gt; SOUS-SEGMENT'!$JV$93</f>
        <v>0</v>
      </c>
      <c r="L90" s="787">
        <f>'ANALYSE - ERP =&gt; SOUS-SEGMENT'!$JW$93</f>
        <v>0</v>
      </c>
      <c r="N90" s="787">
        <f>'ANALYSE - ERP =&gt; SOUS-SEGMENT'!$JX$93</f>
        <v>0.1221</v>
      </c>
      <c r="O90" s="787">
        <f>'ANALYSE - ERP =&gt; SOUS-SEGMENT'!$JY$93</f>
        <v>0.62360000000000004</v>
      </c>
      <c r="P90" s="787">
        <f>'ANALYSE - ERP =&gt; SOUS-SEGMENT'!$JZ$93</f>
        <v>0.25430000000000003</v>
      </c>
      <c r="Q90" s="787">
        <f>'ANALYSE - ERP =&gt; SOUS-SEGMENT'!$KA$93</f>
        <v>0</v>
      </c>
      <c r="R90" s="787">
        <f>'ANALYSE - ERP =&gt; SOUS-SEGMENT'!$KB$93</f>
        <v>0</v>
      </c>
      <c r="T90" s="430">
        <f>'ANALYSE - ERP =&gt; SOUS-SEGMENT'!$Q$93</f>
        <v>1</v>
      </c>
    </row>
    <row r="91" spans="1:20" ht="15" customHeight="1">
      <c r="A91" s="26">
        <v>88</v>
      </c>
      <c r="B91" s="26">
        <v>88</v>
      </c>
      <c r="C91" s="422">
        <f>'ANALYSE - ERP =&gt; SOUS-SEGMENT'!$A$47</f>
        <v>40</v>
      </c>
      <c r="D91" s="415" t="str">
        <f>'ANALYSE - ERP =&gt; SOUS-SEGMENT'!$B$47</f>
        <v>Santé &amp; Médico-social</v>
      </c>
      <c r="E91" s="415" t="str">
        <f>'ANALYSE - ERP =&gt; SOUS-SEGMENT'!$C$47</f>
        <v>Santé hospitalière</v>
      </c>
      <c r="F91" s="415" t="str">
        <f>'ANALYSE - ERP =&gt; SOUS-SEGMENT'!$D$47</f>
        <v>Hôpitaux d’instruction des armées et centres médicaux recevant du public</v>
      </c>
      <c r="H91" s="787">
        <f>'ANALYSE - ERP =&gt; SOUS-SEGMENT'!$JS$47</f>
        <v>2E-3</v>
      </c>
      <c r="I91" s="787">
        <f>'ANALYSE - ERP =&gt; SOUS-SEGMENT'!$JT$47</f>
        <v>0.34689999999999999</v>
      </c>
      <c r="J91" s="787">
        <f>'ANALYSE - ERP =&gt; SOUS-SEGMENT'!$JU$47</f>
        <v>0.5403</v>
      </c>
      <c r="K91" s="787">
        <f>'ANALYSE - ERP =&gt; SOUS-SEGMENT'!$JV$47</f>
        <v>0.1094</v>
      </c>
      <c r="L91" s="787">
        <f>'ANALYSE - ERP =&gt; SOUS-SEGMENT'!$JW$47</f>
        <v>1.4E-3</v>
      </c>
      <c r="N91" s="787">
        <f>'ANALYSE - ERP =&gt; SOUS-SEGMENT'!$JX$47</f>
        <v>0</v>
      </c>
      <c r="O91" s="787">
        <f>'ANALYSE - ERP =&gt; SOUS-SEGMENT'!$JY$47</f>
        <v>0.2031</v>
      </c>
      <c r="P91" s="787">
        <f>'ANALYSE - ERP =&gt; SOUS-SEGMENT'!$JZ$47</f>
        <v>0.59370000000000001</v>
      </c>
      <c r="Q91" s="787">
        <f>'ANALYSE - ERP =&gt; SOUS-SEGMENT'!$KA$47</f>
        <v>0.19769999999999999</v>
      </c>
      <c r="R91" s="787">
        <f>'ANALYSE - ERP =&gt; SOUS-SEGMENT'!$KB$47</f>
        <v>5.4999999999999997E-3</v>
      </c>
      <c r="T91" s="430">
        <f>'ANALYSE - ERP =&gt; SOUS-SEGMENT'!$Q$47</f>
        <v>1</v>
      </c>
    </row>
    <row r="92" spans="1:20" ht="15" customHeight="1">
      <c r="A92" s="26">
        <v>89</v>
      </c>
      <c r="B92" s="26">
        <v>89</v>
      </c>
      <c r="C92" s="422">
        <f>'ANALYSE - ERP =&gt; SOUS-SEGMENT'!$A$148</f>
        <v>141</v>
      </c>
      <c r="D92" s="415" t="str">
        <f>'ANALYSE - ERP =&gt; SOUS-SEGMENT'!$B$148</f>
        <v>Sécurité &amp; Justice</v>
      </c>
      <c r="E92" s="415" t="str">
        <f>'ANALYSE - ERP =&gt; SOUS-SEGMENT'!$C$148</f>
        <v>Tribunaux</v>
      </c>
      <c r="F92" s="415" t="str">
        <f>'ANALYSE - ERP =&gt; SOUS-SEGMENT'!$D$148</f>
        <v>Tribunaux de commerce autonomes</v>
      </c>
      <c r="H92" s="787">
        <f>'ANALYSE - ERP =&gt; SOUS-SEGMENT'!$JS$148</f>
        <v>9.9000000000000008E-3</v>
      </c>
      <c r="I92" s="787">
        <f>'ANALYSE - ERP =&gt; SOUS-SEGMENT'!$JT$148</f>
        <v>0.32890000000000003</v>
      </c>
      <c r="J92" s="787">
        <f>'ANALYSE - ERP =&gt; SOUS-SEGMENT'!$JU$148</f>
        <v>0.52380000000000004</v>
      </c>
      <c r="K92" s="787">
        <f>'ANALYSE - ERP =&gt; SOUS-SEGMENT'!$JV$148</f>
        <v>0.13400000000000001</v>
      </c>
      <c r="L92" s="787">
        <f>'ANALYSE - ERP =&gt; SOUS-SEGMENT'!$JW$148</f>
        <v>3.3999999999999998E-3</v>
      </c>
      <c r="N92" s="787">
        <f>'ANALYSE - ERP =&gt; SOUS-SEGMENT'!$JX$148</f>
        <v>0</v>
      </c>
      <c r="O92" s="787">
        <f>'ANALYSE - ERP =&gt; SOUS-SEGMENT'!$JY$148</f>
        <v>0.21709999999999999</v>
      </c>
      <c r="P92" s="787">
        <f>'ANALYSE - ERP =&gt; SOUS-SEGMENT'!$JZ$148</f>
        <v>0.5605</v>
      </c>
      <c r="Q92" s="787">
        <f>'ANALYSE - ERP =&gt; SOUS-SEGMENT'!$KA$148</f>
        <v>0.21299999999999999</v>
      </c>
      <c r="R92" s="787">
        <f>'ANALYSE - ERP =&gt; SOUS-SEGMENT'!$KB$148</f>
        <v>9.4000000000000004E-3</v>
      </c>
      <c r="T92" s="430">
        <f>'ANALYSE - ERP =&gt; SOUS-SEGMENT'!$Q$148</f>
        <v>1</v>
      </c>
    </row>
    <row r="93" spans="1:20" ht="15" customHeight="1">
      <c r="A93" s="26">
        <v>90</v>
      </c>
      <c r="B93" s="26">
        <v>91</v>
      </c>
      <c r="C93" s="422">
        <f>'ANALYSE - ERP =&gt; SOUS-SEGMENT'!$A$78</f>
        <v>71</v>
      </c>
      <c r="D93" s="416" t="str">
        <f>'ANALYSE - ERP =&gt; SOUS-SEGMENT'!$B$78</f>
        <v>Commerce, Restauration &amp; Loisirs</v>
      </c>
      <c r="E93" s="416" t="str">
        <f>'ANALYSE - ERP =&gt; SOUS-SEGMENT'!$C$78</f>
        <v>Restauration / boissons</v>
      </c>
      <c r="F93" s="416" t="str">
        <f>'ANALYSE - ERP =&gt; SOUS-SEGMENT'!$D$78</f>
        <v>Établissements flottants</v>
      </c>
      <c r="H93" s="787">
        <f>'ANALYSE - ERP =&gt; SOUS-SEGMENT'!$JS$78</f>
        <v>0</v>
      </c>
      <c r="I93" s="787">
        <f>'ANALYSE - ERP =&gt; SOUS-SEGMENT'!$JT$78</f>
        <v>0.30599999999999999</v>
      </c>
      <c r="J93" s="787">
        <f>'ANALYSE - ERP =&gt; SOUS-SEGMENT'!$JU$78</f>
        <v>0.50219999999999998</v>
      </c>
      <c r="K93" s="787">
        <f>'ANALYSE - ERP =&gt; SOUS-SEGMENT'!$JV$78</f>
        <v>0.15709999999999999</v>
      </c>
      <c r="L93" s="787">
        <f>'ANALYSE - ERP =&gt; SOUS-SEGMENT'!$JW$78</f>
        <v>3.4700000000000002E-2</v>
      </c>
      <c r="N93" s="787">
        <f>'ANALYSE - ERP =&gt; SOUS-SEGMENT'!$JX$78</f>
        <v>0</v>
      </c>
      <c r="O93" s="787">
        <f>'ANALYSE - ERP =&gt; SOUS-SEGMENT'!$JY$78</f>
        <v>0.16139999999999999</v>
      </c>
      <c r="P93" s="787">
        <f>'ANALYSE - ERP =&gt; SOUS-SEGMENT'!$JZ$78</f>
        <v>0.53710000000000002</v>
      </c>
      <c r="Q93" s="787">
        <f>'ANALYSE - ERP =&gt; SOUS-SEGMENT'!$KA$78</f>
        <v>0.25380000000000003</v>
      </c>
      <c r="R93" s="787">
        <f>'ANALYSE - ERP =&gt; SOUS-SEGMENT'!$KB$78</f>
        <v>4.7699999999999999E-2</v>
      </c>
      <c r="T93" s="430">
        <f>'ANALYSE - ERP =&gt; SOUS-SEGMENT'!$Q$78</f>
        <v>1</v>
      </c>
    </row>
    <row r="94" spans="1:20" ht="15" customHeight="1">
      <c r="A94" s="26">
        <v>91</v>
      </c>
      <c r="B94" s="26">
        <v>90</v>
      </c>
      <c r="C94" s="422">
        <f>'ANALYSE - ERP =&gt; SOUS-SEGMENT'!$A$92</f>
        <v>85</v>
      </c>
      <c r="D94" s="412" t="str">
        <f>'ANALYSE - ERP =&gt; SOUS-SEGMENT'!$B$92</f>
        <v>Hébergement Touristique</v>
      </c>
      <c r="E94" s="412" t="str">
        <f>'ANALYSE - ERP =&gt; SOUS-SEGMENT'!$C$92</f>
        <v>Hébergement Montagne</v>
      </c>
      <c r="F94" s="412" t="str">
        <f>'ANALYSE - ERP =&gt; SOUS-SEGMENT'!$D$92</f>
        <v>Hôtels-restaurants d’altitude</v>
      </c>
      <c r="H94" s="787">
        <f>'ANALYSE - ERP =&gt; SOUS-SEGMENT'!$JS$92</f>
        <v>0</v>
      </c>
      <c r="I94" s="787">
        <f>'ANALYSE - ERP =&gt; SOUS-SEGMENT'!$JT$92</f>
        <v>0</v>
      </c>
      <c r="J94" s="787">
        <f>'ANALYSE - ERP =&gt; SOUS-SEGMENT'!$JU$92</f>
        <v>0.28289999999999998</v>
      </c>
      <c r="K94" s="787">
        <f>'ANALYSE - ERP =&gt; SOUS-SEGMENT'!$JV$92</f>
        <v>0.53710000000000002</v>
      </c>
      <c r="L94" s="787">
        <f>'ANALYSE - ERP =&gt; SOUS-SEGMENT'!$JW$92</f>
        <v>0.18</v>
      </c>
      <c r="N94" s="787">
        <f>'ANALYSE - ERP =&gt; SOUS-SEGMENT'!$JX$92</f>
        <v>0</v>
      </c>
      <c r="O94" s="787">
        <f>'ANALYSE - ERP =&gt; SOUS-SEGMENT'!$JY$92</f>
        <v>0</v>
      </c>
      <c r="P94" s="787">
        <f>'ANALYSE - ERP =&gt; SOUS-SEGMENT'!$JZ$92</f>
        <v>0.19700000000000001</v>
      </c>
      <c r="Q94" s="787">
        <f>'ANALYSE - ERP =&gt; SOUS-SEGMENT'!$KA$92</f>
        <v>0.55300000000000005</v>
      </c>
      <c r="R94" s="787">
        <f>'ANALYSE - ERP =&gt; SOUS-SEGMENT'!$KB$92</f>
        <v>0.25</v>
      </c>
      <c r="T94" s="430">
        <f>'ANALYSE - ERP =&gt; SOUS-SEGMENT'!$Q$92</f>
        <v>1</v>
      </c>
    </row>
    <row r="95" spans="1:20" ht="15" customHeight="1">
      <c r="A95" s="26">
        <v>92</v>
      </c>
      <c r="B95" s="26">
        <v>92</v>
      </c>
      <c r="C95" s="422">
        <f>'ANALYSE - ERP =&gt; SOUS-SEGMENT'!$A$117</f>
        <v>110</v>
      </c>
      <c r="D95" s="417" t="str">
        <f>'ANALYSE - ERP =&gt; SOUS-SEGMENT'!$B$117</f>
        <v>Culte, Vie civique &amp; Services publics</v>
      </c>
      <c r="E95" s="417" t="str">
        <f>'ANALYSE - ERP =&gt; SOUS-SEGMENT'!$C$117</f>
        <v>Culte</v>
      </c>
      <c r="F95" s="417" t="str">
        <f>'ANALYSE - ERP =&gt; SOUS-SEGMENT'!$D$117</f>
        <v>Synagogues et oratoires juifs ouverts au public</v>
      </c>
      <c r="H95" s="787">
        <f>'ANALYSE - ERP =&gt; SOUS-SEGMENT'!$JS$117</f>
        <v>0.1066</v>
      </c>
      <c r="I95" s="787">
        <f>'ANALYSE - ERP =&gt; SOUS-SEGMENT'!$JT$117</f>
        <v>0.53920000000000001</v>
      </c>
      <c r="J95" s="787">
        <f>'ANALYSE - ERP =&gt; SOUS-SEGMENT'!$JU$117</f>
        <v>0.32950000000000002</v>
      </c>
      <c r="K95" s="787">
        <f>'ANALYSE - ERP =&gt; SOUS-SEGMENT'!$JV$117</f>
        <v>2.47E-2</v>
      </c>
      <c r="L95" s="787">
        <f>'ANALYSE - ERP =&gt; SOUS-SEGMENT'!$JW$117</f>
        <v>0</v>
      </c>
      <c r="N95" s="787">
        <f>'ANALYSE - ERP =&gt; SOUS-SEGMENT'!$JX$117</f>
        <v>9.2499999999999999E-2</v>
      </c>
      <c r="O95" s="787">
        <f>'ANALYSE - ERP =&gt; SOUS-SEGMENT'!$JY$117</f>
        <v>0.52190000000000003</v>
      </c>
      <c r="P95" s="787">
        <f>'ANALYSE - ERP =&gt; SOUS-SEGMENT'!$JZ$117</f>
        <v>0.34360000000000002</v>
      </c>
      <c r="Q95" s="787">
        <f>'ANALYSE - ERP =&gt; SOUS-SEGMENT'!$KA$117</f>
        <v>3.8800000000000001E-2</v>
      </c>
      <c r="R95" s="787">
        <f>'ANALYSE - ERP =&gt; SOUS-SEGMENT'!$KB$117</f>
        <v>3.2000000000000002E-3</v>
      </c>
      <c r="T95" s="430">
        <f>'ANALYSE - ERP =&gt; SOUS-SEGMENT'!$Q$117</f>
        <v>1</v>
      </c>
    </row>
    <row r="96" spans="1:20" ht="15" customHeight="1">
      <c r="A96" s="26">
        <v>93</v>
      </c>
      <c r="B96" s="26">
        <v>93</v>
      </c>
      <c r="C96" s="422">
        <f>'ANALYSE - ERP =&gt; SOUS-SEGMENT'!$A$137</f>
        <v>130</v>
      </c>
      <c r="D96" s="413" t="str">
        <f>'ANALYSE - ERP =&gt; SOUS-SEGMENT'!$B$137</f>
        <v>Sécurité &amp; Justice</v>
      </c>
      <c r="E96" s="413" t="str">
        <f>'ANALYSE - ERP =&gt; SOUS-SEGMENT'!$C$137</f>
        <v>Forces armées</v>
      </c>
      <c r="F96" s="413" t="str">
        <f>'ANALYSE - ERP =&gt; SOUS-SEGMENT'!$D$137</f>
        <v>Restaurants ou équipements sportifs ouverts au public sur emprise militaire</v>
      </c>
      <c r="H96" s="787">
        <f>'ANALYSE - ERP =&gt; SOUS-SEGMENT'!$JS$137</f>
        <v>6.8999999999999999E-3</v>
      </c>
      <c r="I96" s="787">
        <f>'ANALYSE - ERP =&gt; SOUS-SEGMENT'!$JT$137</f>
        <v>0.36770000000000003</v>
      </c>
      <c r="J96" s="787">
        <f>'ANALYSE - ERP =&gt; SOUS-SEGMENT'!$JU$137</f>
        <v>0.52370000000000005</v>
      </c>
      <c r="K96" s="787">
        <f>'ANALYSE - ERP =&gt; SOUS-SEGMENT'!$JV$137</f>
        <v>0.10050000000000001</v>
      </c>
      <c r="L96" s="787">
        <f>'ANALYSE - ERP =&gt; SOUS-SEGMENT'!$JW$137</f>
        <v>1.1999999999999999E-3</v>
      </c>
      <c r="N96" s="787">
        <f>'ANALYSE - ERP =&gt; SOUS-SEGMENT'!$JX$137</f>
        <v>0</v>
      </c>
      <c r="O96" s="787">
        <f>'ANALYSE - ERP =&gt; SOUS-SEGMENT'!$JY$137</f>
        <v>0.23649999999999999</v>
      </c>
      <c r="P96" s="787">
        <f>'ANALYSE - ERP =&gt; SOUS-SEGMENT'!$JZ$137</f>
        <v>0.58760000000000001</v>
      </c>
      <c r="Q96" s="787">
        <f>'ANALYSE - ERP =&gt; SOUS-SEGMENT'!$KA$137</f>
        <v>0.1719</v>
      </c>
      <c r="R96" s="787">
        <f>'ANALYSE - ERP =&gt; SOUS-SEGMENT'!$KB$137</f>
        <v>4.0000000000000001E-3</v>
      </c>
      <c r="T96" s="430">
        <f>'ANALYSE - ERP =&gt; SOUS-SEGMENT'!$Q$137</f>
        <v>1</v>
      </c>
    </row>
    <row r="97" spans="1:20" ht="15" customHeight="1">
      <c r="A97" s="26">
        <v>94</v>
      </c>
      <c r="B97" s="26">
        <v>94</v>
      </c>
      <c r="C97" s="422">
        <f>'ANALYSE - ERP =&gt; SOUS-SEGMENT'!$A$90</f>
        <v>83</v>
      </c>
      <c r="D97" s="417" t="str">
        <f>'ANALYSE - ERP =&gt; SOUS-SEGMENT'!$B$90</f>
        <v>Hébergement Touristique</v>
      </c>
      <c r="E97" s="417" t="str">
        <f>'ANALYSE - ERP =&gt; SOUS-SEGMENT'!$C$90</f>
        <v>Hébergement Touristique</v>
      </c>
      <c r="F97" s="417" t="str">
        <f>'ANALYSE - ERP =&gt; SOUS-SEGMENT'!$D$90</f>
        <v>Auberges de jeunesse</v>
      </c>
      <c r="H97" s="787">
        <f>'ANALYSE - ERP =&gt; SOUS-SEGMENT'!$JS$90</f>
        <v>1.12E-2</v>
      </c>
      <c r="I97" s="787">
        <f>'ANALYSE - ERP =&gt; SOUS-SEGMENT'!$JT$90</f>
        <v>0.29980000000000001</v>
      </c>
      <c r="J97" s="787">
        <f>'ANALYSE - ERP =&gt; SOUS-SEGMENT'!$JU$90</f>
        <v>0.50990000000000002</v>
      </c>
      <c r="K97" s="787">
        <f>'ANALYSE - ERP =&gt; SOUS-SEGMENT'!$JV$90</f>
        <v>0.16470000000000001</v>
      </c>
      <c r="L97" s="787">
        <f>'ANALYSE - ERP =&gt; SOUS-SEGMENT'!$JW$90</f>
        <v>1.44E-2</v>
      </c>
      <c r="N97" s="787">
        <f>'ANALYSE - ERP =&gt; SOUS-SEGMENT'!$JX$90</f>
        <v>0</v>
      </c>
      <c r="O97" s="787">
        <f>'ANALYSE - ERP =&gt; SOUS-SEGMENT'!$JY$90</f>
        <v>0.26290000000000002</v>
      </c>
      <c r="P97" s="787">
        <f>'ANALYSE - ERP =&gt; SOUS-SEGMENT'!$JZ$90</f>
        <v>0.52849999999999997</v>
      </c>
      <c r="Q97" s="787">
        <f>'ANALYSE - ERP =&gt; SOUS-SEGMENT'!$KA$90</f>
        <v>0.18859999999999999</v>
      </c>
      <c r="R97" s="787">
        <f>'ANALYSE - ERP =&gt; SOUS-SEGMENT'!$KB$90</f>
        <v>0.02</v>
      </c>
      <c r="T97" s="430">
        <f>'ANALYSE - ERP =&gt; SOUS-SEGMENT'!$Q$90</f>
        <v>1</v>
      </c>
    </row>
    <row r="98" spans="1:20" ht="15" customHeight="1">
      <c r="A98" s="26">
        <v>95</v>
      </c>
      <c r="B98" s="26">
        <v>95</v>
      </c>
      <c r="C98" s="422">
        <f>'ANALYSE - ERP =&gt; SOUS-SEGMENT'!$A$141</f>
        <v>134</v>
      </c>
      <c r="D98" s="418" t="str">
        <f>'ANALYSE - ERP =&gt; SOUS-SEGMENT'!$B$141</f>
        <v>Sécurité &amp; Justice</v>
      </c>
      <c r="E98" s="418" t="str">
        <f>'ANALYSE - ERP =&gt; SOUS-SEGMENT'!$C$141</f>
        <v>Univers carcéral</v>
      </c>
      <c r="F98" s="418" t="str">
        <f>'ANALYSE - ERP =&gt; SOUS-SEGMENT'!$D$141</f>
        <v>Maisons centrales</v>
      </c>
      <c r="H98" s="787">
        <f>'ANALYSE - ERP =&gt; SOUS-SEGMENT'!$JS$141</f>
        <v>0.2417</v>
      </c>
      <c r="I98" s="787">
        <f>'ANALYSE - ERP =&gt; SOUS-SEGMENT'!$JT$141</f>
        <v>0.66490000000000005</v>
      </c>
      <c r="J98" s="787">
        <f>'ANALYSE - ERP =&gt; SOUS-SEGMENT'!$JU$141</f>
        <v>9.3399999999999997E-2</v>
      </c>
      <c r="K98" s="787">
        <f>'ANALYSE - ERP =&gt; SOUS-SEGMENT'!$JV$141</f>
        <v>0</v>
      </c>
      <c r="L98" s="787">
        <f>'ANALYSE - ERP =&gt; SOUS-SEGMENT'!$JW$141</f>
        <v>0</v>
      </c>
      <c r="N98" s="787">
        <f>'ANALYSE - ERP =&gt; SOUS-SEGMENT'!$JX$141</f>
        <v>0.1231</v>
      </c>
      <c r="O98" s="787">
        <f>'ANALYSE - ERP =&gt; SOUS-SEGMENT'!$JY$141</f>
        <v>0.68400000000000005</v>
      </c>
      <c r="P98" s="787">
        <f>'ANALYSE - ERP =&gt; SOUS-SEGMENT'!$JZ$141</f>
        <v>0.19289999999999999</v>
      </c>
      <c r="Q98" s="787">
        <f>'ANALYSE - ERP =&gt; SOUS-SEGMENT'!$KA$141</f>
        <v>0</v>
      </c>
      <c r="R98" s="787">
        <f>'ANALYSE - ERP =&gt; SOUS-SEGMENT'!$KB$141</f>
        <v>0</v>
      </c>
      <c r="T98" s="430">
        <f>'ANALYSE - ERP =&gt; SOUS-SEGMENT'!$Q$141</f>
        <v>1</v>
      </c>
    </row>
    <row r="99" spans="1:20" ht="15" customHeight="1">
      <c r="A99" s="26">
        <v>96</v>
      </c>
      <c r="B99" s="26">
        <v>96</v>
      </c>
      <c r="C99" s="422">
        <f>'ANALYSE - ERP =&gt; SOUS-SEGMENT'!$A$147</f>
        <v>140</v>
      </c>
      <c r="D99" s="417" t="str">
        <f>'ANALYSE - ERP =&gt; SOUS-SEGMENT'!$B$147</f>
        <v>Sécurité &amp; Justice</v>
      </c>
      <c r="E99" s="417" t="str">
        <f>'ANALYSE - ERP =&gt; SOUS-SEGMENT'!$C$147</f>
        <v>Tribunaux</v>
      </c>
      <c r="F99" s="417" t="str">
        <f>'ANALYSE - ERP =&gt; SOUS-SEGMENT'!$D$147</f>
        <v>Maisons de justice et du droit</v>
      </c>
      <c r="H99" s="787">
        <f>'ANALYSE - ERP =&gt; SOUS-SEGMENT'!$JS$147</f>
        <v>1.8100000000000002E-2</v>
      </c>
      <c r="I99" s="787">
        <f>'ANALYSE - ERP =&gt; SOUS-SEGMENT'!$JT$147</f>
        <v>0.35580000000000001</v>
      </c>
      <c r="J99" s="787">
        <f>'ANALYSE - ERP =&gt; SOUS-SEGMENT'!$JU$147</f>
        <v>0.50419999999999998</v>
      </c>
      <c r="K99" s="787">
        <f>'ANALYSE - ERP =&gt; SOUS-SEGMENT'!$JV$147</f>
        <v>0.1193</v>
      </c>
      <c r="L99" s="787">
        <f>'ANALYSE - ERP =&gt; SOUS-SEGMENT'!$JW$147</f>
        <v>2.5999999999999999E-3</v>
      </c>
      <c r="N99" s="787">
        <f>'ANALYSE - ERP =&gt; SOUS-SEGMENT'!$JX$147</f>
        <v>0</v>
      </c>
      <c r="O99" s="787">
        <f>'ANALYSE - ERP =&gt; SOUS-SEGMENT'!$JY$147</f>
        <v>0.22620000000000001</v>
      </c>
      <c r="P99" s="787">
        <f>'ANALYSE - ERP =&gt; SOUS-SEGMENT'!$JZ$147</f>
        <v>0.55989999999999995</v>
      </c>
      <c r="Q99" s="787">
        <f>'ANALYSE - ERP =&gt; SOUS-SEGMENT'!$KA$147</f>
        <v>0.20519999999999999</v>
      </c>
      <c r="R99" s="787">
        <f>'ANALYSE - ERP =&gt; SOUS-SEGMENT'!$KB$147</f>
        <v>8.6999999999999994E-3</v>
      </c>
      <c r="T99" s="430">
        <f>'ANALYSE - ERP =&gt; SOUS-SEGMENT'!$Q$147</f>
        <v>1</v>
      </c>
    </row>
    <row r="100" spans="1:20" ht="15" customHeight="1">
      <c r="A100" s="26">
        <v>97</v>
      </c>
      <c r="B100" s="26">
        <v>97</v>
      </c>
      <c r="C100" s="422">
        <f>'ANALYSE - ERP =&gt; SOUS-SEGMENT'!$A$144</f>
        <v>137</v>
      </c>
      <c r="D100" s="417" t="str">
        <f>'ANALYSE - ERP =&gt; SOUS-SEGMENT'!$B$144</f>
        <v>Sécurité &amp; Justice</v>
      </c>
      <c r="E100" s="417" t="str">
        <f>'ANALYSE - ERP =&gt; SOUS-SEGMENT'!$C$144</f>
        <v>Univers carcéral</v>
      </c>
      <c r="F100" s="417" t="str">
        <f>'ANALYSE - ERP =&gt; SOUS-SEGMENT'!$D$144</f>
        <v>Centres éducatifs fermés</v>
      </c>
      <c r="H100" s="787">
        <f>'ANALYSE - ERP =&gt; SOUS-SEGMENT'!$JS$144</f>
        <v>5.6099999999999997E-2</v>
      </c>
      <c r="I100" s="787">
        <f>'ANALYSE - ERP =&gt; SOUS-SEGMENT'!$JT$144</f>
        <v>0.53910000000000002</v>
      </c>
      <c r="J100" s="787">
        <f>'ANALYSE - ERP =&gt; SOUS-SEGMENT'!$JU$144</f>
        <v>0.38440000000000002</v>
      </c>
      <c r="K100" s="787">
        <f>'ANALYSE - ERP =&gt; SOUS-SEGMENT'!$JV$144</f>
        <v>2.0299999999999999E-2</v>
      </c>
      <c r="L100" s="787">
        <f>'ANALYSE - ERP =&gt; SOUS-SEGMENT'!$JW$144</f>
        <v>1E-4</v>
      </c>
      <c r="N100" s="787">
        <f>'ANALYSE - ERP =&gt; SOUS-SEGMENT'!$JX$144</f>
        <v>9.7999999999999997E-3</v>
      </c>
      <c r="O100" s="787">
        <f>'ANALYSE - ERP =&gt; SOUS-SEGMENT'!$JY$144</f>
        <v>0.28420000000000001</v>
      </c>
      <c r="P100" s="787">
        <f>'ANALYSE - ERP =&gt; SOUS-SEGMENT'!$JZ$144</f>
        <v>0.60840000000000005</v>
      </c>
      <c r="Q100" s="787">
        <f>'ANALYSE - ERP =&gt; SOUS-SEGMENT'!$KA$144</f>
        <v>9.6500000000000002E-2</v>
      </c>
      <c r="R100" s="787">
        <f>'ANALYSE - ERP =&gt; SOUS-SEGMENT'!$KB$144</f>
        <v>1.1000000000000001E-3</v>
      </c>
      <c r="T100" s="430">
        <f>'ANALYSE - ERP =&gt; SOUS-SEGMENT'!$Q$144</f>
        <v>1</v>
      </c>
    </row>
    <row r="101" spans="1:20" ht="15" customHeight="1">
      <c r="A101" s="26">
        <v>98</v>
      </c>
      <c r="B101" s="26">
        <v>98</v>
      </c>
      <c r="C101" s="422">
        <f>'ANALYSE - ERP =&gt; SOUS-SEGMENT'!$A$48</f>
        <v>41</v>
      </c>
      <c r="D101" s="414" t="str">
        <f>'ANALYSE - ERP =&gt; SOUS-SEGMENT'!$B$48</f>
        <v>Santé &amp; Médico-social</v>
      </c>
      <c r="E101" s="414" t="str">
        <f>'ANALYSE - ERP =&gt; SOUS-SEGMENT'!$C$48</f>
        <v>Santé hospitalière</v>
      </c>
      <c r="F101" s="414" t="str">
        <f>'ANALYSE - ERP =&gt; SOUS-SEGMENT'!$D$48</f>
        <v>Unités hospitalières sécurisées en milieu carcéral</v>
      </c>
      <c r="H101" s="787">
        <f>'ANALYSE - ERP =&gt; SOUS-SEGMENT'!$JS$48</f>
        <v>5.0299999999999997E-2</v>
      </c>
      <c r="I101" s="787">
        <f>'ANALYSE - ERP =&gt; SOUS-SEGMENT'!$JT$48</f>
        <v>0.5232</v>
      </c>
      <c r="J101" s="787">
        <f>'ANALYSE - ERP =&gt; SOUS-SEGMENT'!$JU$48</f>
        <v>0.40329999999999999</v>
      </c>
      <c r="K101" s="787">
        <f>'ANALYSE - ERP =&gt; SOUS-SEGMENT'!$JV$48</f>
        <v>2.3099999999999999E-2</v>
      </c>
      <c r="L101" s="787">
        <f>'ANALYSE - ERP =&gt; SOUS-SEGMENT'!$JW$48</f>
        <v>1E-4</v>
      </c>
      <c r="N101" s="787">
        <f>'ANALYSE - ERP =&gt; SOUS-SEGMENT'!$JX$48</f>
        <v>1.49E-2</v>
      </c>
      <c r="O101" s="787">
        <f>'ANALYSE - ERP =&gt; SOUS-SEGMENT'!$JY$48</f>
        <v>0.33950000000000002</v>
      </c>
      <c r="P101" s="787">
        <f>'ANALYSE - ERP =&gt; SOUS-SEGMENT'!$JZ$48</f>
        <v>0.57310000000000005</v>
      </c>
      <c r="Q101" s="787">
        <f>'ANALYSE - ERP =&gt; SOUS-SEGMENT'!$KA$48</f>
        <v>7.1800000000000003E-2</v>
      </c>
      <c r="R101" s="787">
        <f>'ANALYSE - ERP =&gt; SOUS-SEGMENT'!$KB$48</f>
        <v>6.9999999999999999E-4</v>
      </c>
      <c r="T101" s="430">
        <f>'ANALYSE - ERP =&gt; SOUS-SEGMENT'!$Q$48</f>
        <v>1</v>
      </c>
    </row>
    <row r="102" spans="1:20" ht="15" customHeight="1">
      <c r="A102" s="26">
        <v>99</v>
      </c>
      <c r="B102" s="26">
        <v>99</v>
      </c>
      <c r="C102" s="422">
        <f>'ANALYSE - ERP =&gt; SOUS-SEGMENT'!$A$134</f>
        <v>127</v>
      </c>
      <c r="D102" s="414" t="str">
        <f>'ANALYSE - ERP =&gt; SOUS-SEGMENT'!$B$134</f>
        <v>Sécurité &amp; Justice</v>
      </c>
      <c r="E102" s="414" t="str">
        <f>'ANALYSE - ERP =&gt; SOUS-SEGMENT'!$C$134</f>
        <v xml:space="preserve">Commissariats / postes de police </v>
      </c>
      <c r="F102" s="414" t="str">
        <f>'ANALYSE - ERP =&gt; SOUS-SEGMENT'!$D$134</f>
        <v>Salles de réunion, de prévention ou de conférence ouvertes au public</v>
      </c>
      <c r="H102" s="787">
        <f>'ANALYSE - ERP =&gt; SOUS-SEGMENT'!$JS$134</f>
        <v>7.0599999999999996E-2</v>
      </c>
      <c r="I102" s="787">
        <f>'ANALYSE - ERP =&gt; SOUS-SEGMENT'!$JT$134</f>
        <v>0.57540000000000002</v>
      </c>
      <c r="J102" s="787">
        <f>'ANALYSE - ERP =&gt; SOUS-SEGMENT'!$JU$134</f>
        <v>0.35399999999999998</v>
      </c>
      <c r="K102" s="787">
        <f>'ANALYSE - ERP =&gt; SOUS-SEGMENT'!$JV$134</f>
        <v>0</v>
      </c>
      <c r="L102" s="787">
        <f>'ANALYSE - ERP =&gt; SOUS-SEGMENT'!$JW$134</f>
        <v>0</v>
      </c>
      <c r="N102" s="787">
        <f>'ANALYSE - ERP =&gt; SOUS-SEGMENT'!$JX$134</f>
        <v>4.4999999999999998E-2</v>
      </c>
      <c r="O102" s="787">
        <f>'ANALYSE - ERP =&gt; SOUS-SEGMENT'!$JY$134</f>
        <v>0.47339999999999999</v>
      </c>
      <c r="P102" s="787">
        <f>'ANALYSE - ERP =&gt; SOUS-SEGMENT'!$JZ$134</f>
        <v>0.48159999999999997</v>
      </c>
      <c r="Q102" s="787">
        <f>'ANALYSE - ERP =&gt; SOUS-SEGMENT'!$KA$134</f>
        <v>0</v>
      </c>
      <c r="R102" s="787">
        <f>'ANALYSE - ERP =&gt; SOUS-SEGMENT'!$KB$134</f>
        <v>0</v>
      </c>
      <c r="T102" s="430">
        <f>'ANALYSE - ERP =&gt; SOUS-SEGMENT'!$Q$134</f>
        <v>0</v>
      </c>
    </row>
    <row r="103" spans="1:20" ht="15" customHeight="1">
      <c r="A103" s="26">
        <v>100</v>
      </c>
      <c r="B103" s="26">
        <v>100</v>
      </c>
      <c r="C103" s="422">
        <f>'ANALYSE - ERP =&gt; SOUS-SEGMENT'!$A$136</f>
        <v>129</v>
      </c>
      <c r="D103" s="417" t="str">
        <f>'ANALYSE - ERP =&gt; SOUS-SEGMENT'!$B$136</f>
        <v>Sécurité &amp; Justice</v>
      </c>
      <c r="E103" s="417" t="str">
        <f>'ANALYSE - ERP =&gt; SOUS-SEGMENT'!$C$136</f>
        <v>Forces armées</v>
      </c>
      <c r="F103" s="417" t="str">
        <f>'ANALYSE - ERP =&gt; SOUS-SEGMENT'!$D$136</f>
        <v>Centres de recrutement et bureaux d’information</v>
      </c>
      <c r="H103" s="787">
        <f>'ANALYSE - ERP =&gt; SOUS-SEGMENT'!$JS$136</f>
        <v>1.23E-2</v>
      </c>
      <c r="I103" s="787">
        <f>'ANALYSE - ERP =&gt; SOUS-SEGMENT'!$JT$136</f>
        <v>0.38819999999999999</v>
      </c>
      <c r="J103" s="787">
        <f>'ANALYSE - ERP =&gt; SOUS-SEGMENT'!$JU$136</f>
        <v>0.50619999999999998</v>
      </c>
      <c r="K103" s="787">
        <f>'ANALYSE - ERP =&gt; SOUS-SEGMENT'!$JV$136</f>
        <v>9.2399999999999996E-2</v>
      </c>
      <c r="L103" s="787">
        <f>'ANALYSE - ERP =&gt; SOUS-SEGMENT'!$JW$136</f>
        <v>8.9999999999999998E-4</v>
      </c>
      <c r="N103" s="787">
        <f>'ANALYSE - ERP =&gt; SOUS-SEGMENT'!$JX$136</f>
        <v>0</v>
      </c>
      <c r="O103" s="787">
        <f>'ANALYSE - ERP =&gt; SOUS-SEGMENT'!$JY$136</f>
        <v>0.2419</v>
      </c>
      <c r="P103" s="787">
        <f>'ANALYSE - ERP =&gt; SOUS-SEGMENT'!$JZ$136</f>
        <v>0.55820000000000003</v>
      </c>
      <c r="Q103" s="787">
        <f>'ANALYSE - ERP =&gt; SOUS-SEGMENT'!$KA$136</f>
        <v>0.19239999999999999</v>
      </c>
      <c r="R103" s="787">
        <f>'ANALYSE - ERP =&gt; SOUS-SEGMENT'!$KB$136</f>
        <v>7.4999999999999997E-3</v>
      </c>
      <c r="T103" s="430">
        <f>'ANALYSE - ERP =&gt; SOUS-SEGMENT'!$Q$136</f>
        <v>1</v>
      </c>
    </row>
    <row r="104" spans="1:20" ht="15" customHeight="1">
      <c r="A104" s="26">
        <v>101</v>
      </c>
      <c r="B104" s="26">
        <v>101</v>
      </c>
      <c r="C104" s="422">
        <f>'ANALYSE - ERP =&gt; SOUS-SEGMENT'!$A$143</f>
        <v>136</v>
      </c>
      <c r="D104" s="417" t="str">
        <f>'ANALYSE - ERP =&gt; SOUS-SEGMENT'!$B$143</f>
        <v>Sécurité &amp; Justice</v>
      </c>
      <c r="E104" s="417" t="str">
        <f>'ANALYSE - ERP =&gt; SOUS-SEGMENT'!$C$143</f>
        <v>Univers carcéral</v>
      </c>
      <c r="F104" s="417" t="str">
        <f>'ANALYSE - ERP =&gt; SOUS-SEGMENT'!$D$143</f>
        <v>Centres de semi-liberté</v>
      </c>
      <c r="H104" s="787">
        <f>'ANALYSE - ERP =&gt; SOUS-SEGMENT'!$JS$143</f>
        <v>5.6099999999999997E-2</v>
      </c>
      <c r="I104" s="787">
        <f>'ANALYSE - ERP =&gt; SOUS-SEGMENT'!$JT$143</f>
        <v>0.53910000000000002</v>
      </c>
      <c r="J104" s="787">
        <f>'ANALYSE - ERP =&gt; SOUS-SEGMENT'!$JU$143</f>
        <v>0.38440000000000002</v>
      </c>
      <c r="K104" s="787">
        <f>'ANALYSE - ERP =&gt; SOUS-SEGMENT'!$JV$143</f>
        <v>2.0299999999999999E-2</v>
      </c>
      <c r="L104" s="787">
        <f>'ANALYSE - ERP =&gt; SOUS-SEGMENT'!$JW$143</f>
        <v>1E-4</v>
      </c>
      <c r="N104" s="787">
        <f>'ANALYSE - ERP =&gt; SOUS-SEGMENT'!$JX$143</f>
        <v>2.5700000000000001E-2</v>
      </c>
      <c r="O104" s="787">
        <f>'ANALYSE - ERP =&gt; SOUS-SEGMENT'!$JY$143</f>
        <v>0.4199</v>
      </c>
      <c r="P104" s="787">
        <f>'ANALYSE - ERP =&gt; SOUS-SEGMENT'!$JZ$143</f>
        <v>0.50839999999999996</v>
      </c>
      <c r="Q104" s="787">
        <f>'ANALYSE - ERP =&gt; SOUS-SEGMENT'!$KA$143</f>
        <v>4.5699999999999998E-2</v>
      </c>
      <c r="R104" s="787">
        <f>'ANALYSE - ERP =&gt; SOUS-SEGMENT'!$KB$143</f>
        <v>2.9999999999999997E-4</v>
      </c>
      <c r="T104" s="430">
        <f>'ANALYSE - ERP =&gt; SOUS-SEGMENT'!$Q$143</f>
        <v>1</v>
      </c>
    </row>
    <row r="105" spans="1:20" ht="15" customHeight="1">
      <c r="A105" s="26">
        <v>102</v>
      </c>
      <c r="B105" s="26">
        <v>102</v>
      </c>
      <c r="C105" s="422">
        <f>'ANALYSE - ERP =&gt; SOUS-SEGMENT'!$A$133</f>
        <v>126</v>
      </c>
      <c r="D105" s="417" t="str">
        <f>'ANALYSE - ERP =&gt; SOUS-SEGMENT'!$B$133</f>
        <v>Sécurité &amp; Justice</v>
      </c>
      <c r="E105" s="417" t="str">
        <f>'ANALYSE - ERP =&gt; SOUS-SEGMENT'!$C$133</f>
        <v xml:space="preserve">Commissariats / postes de police </v>
      </c>
      <c r="F105" s="417" t="str">
        <f>'ANALYSE - ERP =&gt; SOUS-SEGMENT'!$D$133</f>
        <v>Postes de proximité et antennes avec accueil public</v>
      </c>
      <c r="H105" s="787">
        <f>'ANALYSE - ERP =&gt; SOUS-SEGMENT'!$JS$133</f>
        <v>7.5399999999999995E-2</v>
      </c>
      <c r="I105" s="787">
        <f>'ANALYSE - ERP =&gt; SOUS-SEGMENT'!$JT$133</f>
        <v>0.5827</v>
      </c>
      <c r="J105" s="787">
        <f>'ANALYSE - ERP =&gt; SOUS-SEGMENT'!$JU$133</f>
        <v>0.34189999999999998</v>
      </c>
      <c r="K105" s="787">
        <f>'ANALYSE - ERP =&gt; SOUS-SEGMENT'!$JV$133</f>
        <v>0</v>
      </c>
      <c r="L105" s="787">
        <f>'ANALYSE - ERP =&gt; SOUS-SEGMENT'!$JW$133</f>
        <v>0</v>
      </c>
      <c r="N105" s="787">
        <f>'ANALYSE - ERP =&gt; SOUS-SEGMENT'!$JX$133</f>
        <v>7.1499999999999994E-2</v>
      </c>
      <c r="O105" s="787">
        <f>'ANALYSE - ERP =&gt; SOUS-SEGMENT'!$JY$133</f>
        <v>0.47889999999999999</v>
      </c>
      <c r="P105" s="787">
        <f>'ANALYSE - ERP =&gt; SOUS-SEGMENT'!$JZ$133</f>
        <v>0.4481</v>
      </c>
      <c r="Q105" s="787">
        <f>'ANALYSE - ERP =&gt; SOUS-SEGMENT'!$KA$133</f>
        <v>1.5E-3</v>
      </c>
      <c r="R105" s="787">
        <f>'ANALYSE - ERP =&gt; SOUS-SEGMENT'!$KB$133</f>
        <v>0</v>
      </c>
      <c r="T105" s="430">
        <f>'ANALYSE - ERP =&gt; SOUS-SEGMENT'!$Q$133</f>
        <v>1</v>
      </c>
    </row>
    <row r="106" spans="1:20" s="45" customFormat="1" ht="15" customHeight="1">
      <c r="A106" s="406">
        <v>103</v>
      </c>
      <c r="B106" s="406">
        <v>103</v>
      </c>
      <c r="C106" s="448">
        <f>'ANALYSE - ERP =&gt; SOUS-SEGMENT'!$A$145</f>
        <v>138</v>
      </c>
      <c r="D106" s="423" t="str">
        <f>'ANALYSE - ERP =&gt; SOUS-SEGMENT'!$B$145</f>
        <v>Sécurité &amp; Justice</v>
      </c>
      <c r="E106" s="423" t="str">
        <f>'ANALYSE - ERP =&gt; SOUS-SEGMENT'!$C$145</f>
        <v>Univers carcéral</v>
      </c>
      <c r="F106" s="423" t="str">
        <f>'ANALYSE - ERP =&gt; SOUS-SEGMENT'!$D$145</f>
        <v>Centres pour peines aménagées
(absorbés par autres centres carcéraux)</v>
      </c>
      <c r="G106" s="685"/>
      <c r="H106" s="788">
        <f>'ANALYSE - ERP =&gt; SOUS-SEGMENT'!$JS$145</f>
        <v>0</v>
      </c>
      <c r="I106" s="788">
        <f>'ANALYSE - ERP =&gt; SOUS-SEGMENT'!$JT$145</f>
        <v>0</v>
      </c>
      <c r="J106" s="788">
        <f>'ANALYSE - ERP =&gt; SOUS-SEGMENT'!$JU$145</f>
        <v>0</v>
      </c>
      <c r="K106" s="788">
        <f>'ANALYSE - ERP =&gt; SOUS-SEGMENT'!$JV$145</f>
        <v>0</v>
      </c>
      <c r="L106" s="788">
        <f>'ANALYSE - ERP =&gt; SOUS-SEGMENT'!$JW$145</f>
        <v>0</v>
      </c>
      <c r="M106" s="685"/>
      <c r="N106" s="788">
        <f>'ANALYSE - ERP =&gt; SOUS-SEGMENT'!$JX$145</f>
        <v>0</v>
      </c>
      <c r="O106" s="788">
        <f>'ANALYSE - ERP =&gt; SOUS-SEGMENT'!$JY$145</f>
        <v>0</v>
      </c>
      <c r="P106" s="788">
        <f>'ANALYSE - ERP =&gt; SOUS-SEGMENT'!$JZ$145</f>
        <v>0</v>
      </c>
      <c r="Q106" s="788">
        <f>'ANALYSE - ERP =&gt; SOUS-SEGMENT'!$KA$145</f>
        <v>0</v>
      </c>
      <c r="R106" s="788">
        <f>'ANALYSE - ERP =&gt; SOUS-SEGMENT'!$KB$145</f>
        <v>0</v>
      </c>
      <c r="S106" s="685"/>
      <c r="T106" s="450">
        <f>'ANALYSE - ERP =&gt; SOUS-SEGMENT'!$Q$145</f>
        <v>0</v>
      </c>
    </row>
  </sheetData>
  <autoFilter ref="A2:T2" xr:uid="{00000000-0009-0000-0000-000022000000}"/>
  <conditionalFormatting sqref="H4:L106">
    <cfRule type="colorScale" priority="2">
      <colorScale>
        <cfvo type="min"/>
        <cfvo type="formula" val="MEDIAN($H$4:$L$106)"/>
        <cfvo type="max"/>
        <color rgb="FFF8696B"/>
        <color theme="0"/>
        <color rgb="FF63BE7B"/>
      </colorScale>
    </cfRule>
  </conditionalFormatting>
  <conditionalFormatting sqref="N4:R106">
    <cfRule type="colorScale" priority="1">
      <colorScale>
        <cfvo type="min"/>
        <cfvo type="formula" val="MEDIAN($N$4:$R$106)"/>
        <cfvo type="max"/>
        <color rgb="FFF8696B"/>
        <color theme="0"/>
        <color rgb="FF63BE7B"/>
      </colorScale>
    </cfRule>
  </conditionalFormatting>
  <pageMargins left="3.937007874015748E-2" right="3.937007874015748E-2" top="7.874015748031496E-2" bottom="7.874015748031496E-2" header="0.11811023622047249" footer="0.11811023622047249"/>
  <pageSetup paperSize="8" scale="87" fitToHeight="2"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39997558519241921"/>
    <pageSetUpPr fitToPage="1"/>
  </sheetPr>
  <dimension ref="A1:BZ106"/>
  <sheetViews>
    <sheetView zoomScale="85" zoomScaleNormal="85" workbookViewId="0">
      <selection activeCell="H3" sqref="H3"/>
    </sheetView>
  </sheetViews>
  <sheetFormatPr baseColWidth="10" defaultColWidth="9.140625" defaultRowHeight="15"/>
  <cols>
    <col min="1" max="2" width="9" style="934" customWidth="1"/>
    <col min="3" max="3" width="6" style="934" customWidth="1"/>
    <col min="4" max="4" width="30.5703125" style="934" customWidth="1"/>
    <col min="5" max="5" width="27.7109375" style="43" customWidth="1"/>
    <col min="6" max="6" width="52.85546875" style="43" customWidth="1"/>
    <col min="7" max="7" width="1.7109375" style="933" customWidth="1"/>
    <col min="8" max="8" width="9.28515625" style="43" customWidth="1"/>
    <col min="9" max="12" width="9.28515625" style="934" customWidth="1"/>
    <col min="13" max="13" width="1.7109375" style="933" customWidth="1"/>
    <col min="14" max="18" width="9.2851562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7980</v>
      </c>
      <c r="F1" s="479"/>
      <c r="H1" s="474"/>
      <c r="I1" s="474"/>
      <c r="J1" s="475" t="s">
        <v>7971</v>
      </c>
      <c r="K1" s="474"/>
      <c r="L1" s="474"/>
      <c r="N1" s="452"/>
      <c r="O1" s="452"/>
      <c r="P1" s="476" t="s">
        <v>7972</v>
      </c>
      <c r="Q1" s="452"/>
      <c r="R1" s="452"/>
      <c r="T1" s="452"/>
    </row>
    <row r="2" spans="1:20"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405" t="s">
        <v>2086</v>
      </c>
      <c r="E3" s="405" t="s">
        <v>6728</v>
      </c>
      <c r="F3" s="405" t="s">
        <v>6729</v>
      </c>
      <c r="H3" s="426" t="e">
        <f>SUMPRODUCT(($T$4:$T$106),('ANALYSE - ERP =&gt; SOUS-SEGMENT'!$BH$8:$BH$150),('ANALYSE - ERP =&gt; SOUS-SEGMENT'!$JS$8:$JS$150))</f>
        <v>#REF!</v>
      </c>
      <c r="I3" s="426" t="e">
        <f>SUMPRODUCT(($T$4:$T$106),('ANALYSE - ERP =&gt; SOUS-SEGMENT'!$BH$8:$BH$150),('ANALYSE - ERP =&gt; SOUS-SEGMENT'!$JT$8:$JT$150))</f>
        <v>#REF!</v>
      </c>
      <c r="J3" s="426" t="e">
        <f>SUMPRODUCT(($T$4:$T$106),('ANALYSE - ERP =&gt; SOUS-SEGMENT'!$BH$8:$BH$150),('ANALYSE - ERP =&gt; SOUS-SEGMENT'!$JU$8:$JU$150))</f>
        <v>#REF!</v>
      </c>
      <c r="K3" s="426" t="e">
        <f>SUMPRODUCT(($T$4:$T$106),('ANALYSE - ERP =&gt; SOUS-SEGMENT'!$BH$8:$BH$150),('ANALYSE - ERP =&gt; SOUS-SEGMENT'!$JV$8:$JV$150))</f>
        <v>#REF!</v>
      </c>
      <c r="L3" s="426" t="e">
        <f>SUMPRODUCT(($T$4:$T$106),('ANALYSE - ERP =&gt; SOUS-SEGMENT'!$BH$8:$BH$150),('ANALYSE - ERP =&gt; SOUS-SEGMENT'!$JW$8:$JW$150))</f>
        <v>#REF!</v>
      </c>
      <c r="N3" s="426" t="e">
        <f>SUMPRODUCT(($T$4:$T$106),('ANALYSE - ERP =&gt; SOUS-SEGMENT'!$FJ$8:$FJ$150),('ANALYSE - ERP =&gt; SOUS-SEGMENT'!$JX$8:$JX$150))</f>
        <v>#REF!</v>
      </c>
      <c r="O3" s="426" t="e">
        <f>SUMPRODUCT(($T$4:$T$106),('ANALYSE - ERP =&gt; SOUS-SEGMENT'!$FJ$8:$FJ$150),('ANALYSE - ERP =&gt; SOUS-SEGMENT'!$JY$8:$JY$150))</f>
        <v>#REF!</v>
      </c>
      <c r="P3" s="426" t="e">
        <f>SUMPRODUCT(($T$4:$T$106),('ANALYSE - ERP =&gt; SOUS-SEGMENT'!$FJ$8:$FJ$150),('ANALYSE - ERP =&gt; SOUS-SEGMENT'!$JZ$8:$JZ$150))</f>
        <v>#REF!</v>
      </c>
      <c r="Q3" s="426" t="e">
        <f>SUMPRODUCT(($T$4:$T$106),('ANALYSE - ERP =&gt; SOUS-SEGMENT'!$FJ$8:$FJ$150),('ANALYSE - ERP =&gt; SOUS-SEGMENT'!$KA$8:$KA$150))</f>
        <v>#REF!</v>
      </c>
      <c r="R3" s="426" t="e">
        <f>SUMPRODUCT(($T$4:$T$106),('ANALYSE - ERP =&gt; SOUS-SEGMENT'!$FJ$8:$FJ$150),('ANALYSE - ERP =&gt; SOUS-SEGMENT'!$KB$8:$KB$150))</f>
        <v>#REF!</v>
      </c>
      <c r="T3" s="428">
        <f>SUM('ANALYSE - ERP =&gt; SOUS-SEGMENT'!$Q$8:$Q$150)</f>
        <v>137</v>
      </c>
    </row>
    <row r="4" spans="1:20" ht="15" customHeight="1">
      <c r="A4" s="26">
        <v>1</v>
      </c>
      <c r="B4" s="26">
        <v>1</v>
      </c>
      <c r="C4" s="422">
        <f>'ANALYSE - ERP =&gt; SOUS-SEGMENT'!$A$75</f>
        <v>68</v>
      </c>
      <c r="D4" s="412" t="str">
        <f>'ANALYSE - ERP =&gt; SOUS-SEGMENT'!$B$75</f>
        <v>Commerce, Restauration &amp; Loisirs</v>
      </c>
      <c r="E4" s="412" t="str">
        <f>'ANALYSE - ERP =&gt; SOUS-SEGMENT'!$C$75</f>
        <v>Restauration / boissons</v>
      </c>
      <c r="F4" s="412" t="str">
        <f>'ANALYSE - ERP =&gt; SOUS-SEGMENT'!$D$75</f>
        <v>Restaurants
(Hors établissements altitude, flottant, armée)</v>
      </c>
      <c r="H4" s="458">
        <f>'ANALYSE - ERP =&gt; SOUS-SEGMENT'!$BH$75*'ANALYSE - ERP =&gt; SOUS-SEGMENT'!$JS$75</f>
        <v>3141.6</v>
      </c>
      <c r="I4" s="458">
        <f>'ANALYSE - ERP =&gt; SOUS-SEGMENT'!$BH$75*'ANALYSE - ERP =&gt; SOUS-SEGMENT'!$JT$75</f>
        <v>84093.900000000009</v>
      </c>
      <c r="J4" s="458">
        <f>'ANALYSE - ERP =&gt; SOUS-SEGMENT'!$BH$75*'ANALYSE - ERP =&gt; SOUS-SEGMENT'!$JU$75</f>
        <v>143026.95000000001</v>
      </c>
      <c r="K4" s="458">
        <f>'ANALYSE - ERP =&gt; SOUS-SEGMENT'!$BH$75*'ANALYSE - ERP =&gt; SOUS-SEGMENT'!$JV$75</f>
        <v>46198.350000000006</v>
      </c>
      <c r="L4" s="458">
        <f>'ANALYSE - ERP =&gt; SOUS-SEGMENT'!$BH$75*'ANALYSE - ERP =&gt; SOUS-SEGMENT'!$JW$75</f>
        <v>4039.2</v>
      </c>
      <c r="N4" s="458">
        <f>'ANALYSE - ERP =&gt; SOUS-SEGMENT'!$FJ$75*'ANALYSE - ERP =&gt; SOUS-SEGMENT'!$JX$75</f>
        <v>0</v>
      </c>
      <c r="O4" s="458">
        <f>'ANALYSE - ERP =&gt; SOUS-SEGMENT'!$FJ$75*'ANALYSE - ERP =&gt; SOUS-SEGMENT'!$JY$75</f>
        <v>30415.941846562499</v>
      </c>
      <c r="P4" s="458">
        <f>'ANALYSE - ERP =&gt; SOUS-SEGMENT'!$FJ$75*'ANALYSE - ERP =&gt; SOUS-SEGMENT'!$JZ$75</f>
        <v>61389.122322375006</v>
      </c>
      <c r="Q4" s="458">
        <f>'ANALYSE - ERP =&gt; SOUS-SEGMENT'!$FJ$75*'ANALYSE - ERP =&gt; SOUS-SEGMENT'!$KA$75</f>
        <v>21952.880164828122</v>
      </c>
      <c r="R4" s="458">
        <f>'ANALYSE - ERP =&gt; SOUS-SEGMENT'!$FJ$75*'ANALYSE - ERP =&gt; SOUS-SEGMENT'!$KB$75</f>
        <v>2333.4367599843749</v>
      </c>
      <c r="T4" s="430">
        <f>'ANALYSE - ERP =&gt; SOUS-SEGMENT'!$Q$75</f>
        <v>1</v>
      </c>
    </row>
    <row r="5" spans="1:20" ht="15" customHeight="1">
      <c r="A5" s="26">
        <v>2</v>
      </c>
      <c r="B5" s="26">
        <v>2</v>
      </c>
      <c r="C5" s="422">
        <f>'ANALYSE - ERP =&gt; SOUS-SEGMENT'!$A$58</f>
        <v>51</v>
      </c>
      <c r="D5" s="409" t="str">
        <f>'ANALYSE - ERP =&gt; SOUS-SEGMENT'!$B$58</f>
        <v>Santé &amp; Médico-social</v>
      </c>
      <c r="E5" s="409" t="str">
        <f>'ANALYSE - ERP =&gt; SOUS-SEGMENT'!$C$58</f>
        <v>Médico-social</v>
      </c>
      <c r="F5" s="409" t="str">
        <f>'ANALYSE - ERP =&gt; SOUS-SEGMENT'!$D$58</f>
        <v>EHPAD</v>
      </c>
      <c r="H5" s="458">
        <f>'ANALYSE - ERP =&gt; SOUS-SEGMENT'!$BH$58*'ANALYSE - ERP =&gt; SOUS-SEGMENT'!$JS$58</f>
        <v>0</v>
      </c>
      <c r="I5" s="458">
        <f>'ANALYSE - ERP =&gt; SOUS-SEGMENT'!$BH$58*'ANALYSE - ERP =&gt; SOUS-SEGMENT'!$JT$58</f>
        <v>48209.279999999999</v>
      </c>
      <c r="J5" s="458">
        <f>'ANALYSE - ERP =&gt; SOUS-SEGMENT'!$BH$58*'ANALYSE - ERP =&gt; SOUS-SEGMENT'!$JU$58</f>
        <v>271930.46999999997</v>
      </c>
      <c r="K5" s="458">
        <f>'ANALYSE - ERP =&gt; SOUS-SEGMENT'!$BH$58*'ANALYSE - ERP =&gt; SOUS-SEGMENT'!$JV$58</f>
        <v>181588.288</v>
      </c>
      <c r="L5" s="458">
        <f>'ANALYSE - ERP =&gt; SOUS-SEGMENT'!$BH$58*'ANALYSE - ERP =&gt; SOUS-SEGMENT'!$JW$58</f>
        <v>451.96199999999999</v>
      </c>
      <c r="N5" s="458">
        <f>'ANALYSE - ERP =&gt; SOUS-SEGMENT'!$FJ$58*'ANALYSE - ERP =&gt; SOUS-SEGMENT'!$JX$58</f>
        <v>0</v>
      </c>
      <c r="O5" s="458">
        <f>'ANALYSE - ERP =&gt; SOUS-SEGMENT'!$FJ$58*'ANALYSE - ERP =&gt; SOUS-SEGMENT'!$JY$58</f>
        <v>9132.9426731938511</v>
      </c>
      <c r="P5" s="458">
        <f>'ANALYSE - ERP =&gt; SOUS-SEGMENT'!$FJ$58*'ANALYSE - ERP =&gt; SOUS-SEGMENT'!$JZ$58</f>
        <v>93068.083214581537</v>
      </c>
      <c r="Q5" s="458">
        <f>'ANALYSE - ERP =&gt; SOUS-SEGMENT'!$FJ$58*'ANALYSE - ERP =&gt; SOUS-SEGMENT'!$KA$58</f>
        <v>91609.210533743128</v>
      </c>
      <c r="R5" s="458">
        <f>'ANALYSE - ERP =&gt; SOUS-SEGMENT'!$FJ$58*'ANALYSE - ERP =&gt; SOUS-SEGMENT'!$KB$58</f>
        <v>6035.3362960712102</v>
      </c>
      <c r="T5" s="430">
        <f>'ANALYSE - ERP =&gt; SOUS-SEGMENT'!$Q$58</f>
        <v>1</v>
      </c>
    </row>
    <row r="6" spans="1:20" ht="15" customHeight="1">
      <c r="A6" s="26">
        <v>3</v>
      </c>
      <c r="B6" s="26">
        <v>3</v>
      </c>
      <c r="C6" s="422">
        <f>'ANALYSE - ERP =&gt; SOUS-SEGMENT'!$A$82</f>
        <v>75</v>
      </c>
      <c r="D6" s="412" t="str">
        <f>'ANALYSE - ERP =&gt; SOUS-SEGMENT'!$B$82</f>
        <v>Tertiaire &amp; Industriel</v>
      </c>
      <c r="E6" s="412" t="str">
        <f>'ANALYSE - ERP =&gt; SOUS-SEGMENT'!$C$82</f>
        <v>Bureaux</v>
      </c>
      <c r="F6" s="412" t="str">
        <f>'ANALYSE - ERP =&gt; SOUS-SEGMENT'!$D$82</f>
        <v>Bureaux Tertiaire Privé (&gt;50 salariés)
(hors usines et logistique )</v>
      </c>
      <c r="H6" s="458">
        <f>'ANALYSE - ERP =&gt; SOUS-SEGMENT'!$BH$82*'ANALYSE - ERP =&gt; SOUS-SEGMENT'!$JS$82</f>
        <v>14656.96</v>
      </c>
      <c r="I6" s="458">
        <f>'ANALYSE - ERP =&gt; SOUS-SEGMENT'!$BH$82*'ANALYSE - ERP =&gt; SOUS-SEGMENT'!$JT$82</f>
        <v>186494.07999999999</v>
      </c>
      <c r="J6" s="458">
        <f>'ANALYSE - ERP =&gt; SOUS-SEGMENT'!$BH$82*'ANALYSE - ERP =&gt; SOUS-SEGMENT'!$JU$82</f>
        <v>222012.48</v>
      </c>
      <c r="K6" s="458">
        <f>'ANALYSE - ERP =&gt; SOUS-SEGMENT'!$BH$82*'ANALYSE - ERP =&gt; SOUS-SEGMENT'!$JV$82</f>
        <v>26436.48</v>
      </c>
      <c r="L6" s="458">
        <f>'ANALYSE - ERP =&gt; SOUS-SEGMENT'!$BH$82*'ANALYSE - ERP =&gt; SOUS-SEGMENT'!$JW$82</f>
        <v>0</v>
      </c>
      <c r="N6" s="458">
        <f>'ANALYSE - ERP =&gt; SOUS-SEGMENT'!$FJ$82*'ANALYSE - ERP =&gt; SOUS-SEGMENT'!$JX$82</f>
        <v>1447.6609602742856</v>
      </c>
      <c r="O6" s="458">
        <f>'ANALYSE - ERP =&gt; SOUS-SEGMENT'!$FJ$82*'ANALYSE - ERP =&gt; SOUS-SEGMENT'!$JY$82</f>
        <v>53953.210404068566</v>
      </c>
      <c r="P6" s="458">
        <f>'ANALYSE - ERP =&gt; SOUS-SEGMENT'!$FJ$82*'ANALYSE - ERP =&gt; SOUS-SEGMENT'!$JZ$82</f>
        <v>71826.255336685703</v>
      </c>
      <c r="Q6" s="458">
        <f>'ANALYSE - ERP =&gt; SOUS-SEGMENT'!$FJ$82*'ANALYSE - ERP =&gt; SOUS-SEGMENT'!$KA$82</f>
        <v>11275.051709828571</v>
      </c>
      <c r="R6" s="458">
        <f>'ANALYSE - ERP =&gt; SOUS-SEGMENT'!$FJ$82*'ANALYSE - ERP =&gt; SOUS-SEGMENT'!$KB$82</f>
        <v>695.99084628571427</v>
      </c>
      <c r="T6" s="430">
        <f>'ANALYSE - ERP =&gt; SOUS-SEGMENT'!$Q$82</f>
        <v>1</v>
      </c>
    </row>
    <row r="7" spans="1:20" ht="15" customHeight="1">
      <c r="A7" s="26">
        <v>4</v>
      </c>
      <c r="B7" s="26">
        <v>4</v>
      </c>
      <c r="C7" s="422">
        <f>'ANALYSE - ERP =&gt; SOUS-SEGMENT'!$A$101</f>
        <v>94</v>
      </c>
      <c r="D7" s="413" t="str">
        <f>'ANALYSE - ERP =&gt; SOUS-SEGMENT'!$B$101</f>
        <v>Culte, Vie civique &amp; Services publics</v>
      </c>
      <c r="E7" s="413" t="str">
        <f>'ANALYSE - ERP =&gt; SOUS-SEGMENT'!$C$101</f>
        <v>Administrations / services publics</v>
      </c>
      <c r="F7" s="413" t="str">
        <f>'ANALYSE - ERP =&gt; SOUS-SEGMENT'!$D$101</f>
        <v>Mairies / hôtels de ville</v>
      </c>
      <c r="H7" s="458">
        <f>'ANALYSE - ERP =&gt; SOUS-SEGMENT'!$BH$101*'ANALYSE - ERP =&gt; SOUS-SEGMENT'!$JS$101</f>
        <v>3667.1087999999995</v>
      </c>
      <c r="I7" s="458">
        <f>'ANALYSE - ERP =&gt; SOUS-SEGMENT'!$BH$101*'ANALYSE - ERP =&gt; SOUS-SEGMENT'!$JT$101</f>
        <v>46660.022400000002</v>
      </c>
      <c r="J7" s="458">
        <f>'ANALYSE - ERP =&gt; SOUS-SEGMENT'!$BH$101*'ANALYSE - ERP =&gt; SOUS-SEGMENT'!$JU$101</f>
        <v>55546.574400000005</v>
      </c>
      <c r="K7" s="458">
        <f>'ANALYSE - ERP =&gt; SOUS-SEGMENT'!$BH$101*'ANALYSE - ERP =&gt; SOUS-SEGMENT'!$JV$101</f>
        <v>6614.2943999999998</v>
      </c>
      <c r="L7" s="458">
        <f>'ANALYSE - ERP =&gt; SOUS-SEGMENT'!$BH$101*'ANALYSE - ERP =&gt; SOUS-SEGMENT'!$JW$101</f>
        <v>0</v>
      </c>
      <c r="N7" s="458">
        <f>'ANALYSE - ERP =&gt; SOUS-SEGMENT'!$FJ$101*'ANALYSE - ERP =&gt; SOUS-SEGMENT'!$JX$101</f>
        <v>467.24654676614142</v>
      </c>
      <c r="O7" s="458">
        <f>'ANALYSE - ERP =&gt; SOUS-SEGMENT'!$FJ$101*'ANALYSE - ERP =&gt; SOUS-SEGMENT'!$JY$101</f>
        <v>14818.933162070876</v>
      </c>
      <c r="P7" s="458">
        <f>'ANALYSE - ERP =&gt; SOUS-SEGMENT'!$FJ$101*'ANALYSE - ERP =&gt; SOUS-SEGMENT'!$JZ$101</f>
        <v>19529.386153859617</v>
      </c>
      <c r="Q7" s="458">
        <f>'ANALYSE - ERP =&gt; SOUS-SEGMENT'!$FJ$101*'ANALYSE - ERP =&gt; SOUS-SEGMENT'!$KA$101</f>
        <v>3001.0144060589573</v>
      </c>
      <c r="R7" s="458">
        <f>'ANALYSE - ERP =&gt; SOUS-SEGMENT'!$FJ$101*'ANALYSE - ERP =&gt; SOUS-SEGMENT'!$KB$101</f>
        <v>170.94385857297857</v>
      </c>
      <c r="T7" s="430">
        <f>'ANALYSE - ERP =&gt; SOUS-SEGMENT'!$Q$101</f>
        <v>1</v>
      </c>
    </row>
    <row r="8" spans="1:20" ht="15" customHeight="1">
      <c r="A8" s="26">
        <v>5</v>
      </c>
      <c r="B8" s="26">
        <v>6</v>
      </c>
      <c r="C8" s="422">
        <f>'ANALYSE - ERP =&gt; SOUS-SEGMENT'!$A$67</f>
        <v>60</v>
      </c>
      <c r="D8" s="412" t="str">
        <f>'ANALYSE - ERP =&gt; SOUS-SEGMENT'!$B$67</f>
        <v>Culture, Patrimoine &amp; Evénementiel</v>
      </c>
      <c r="E8" s="412" t="str">
        <f>'ANALYSE - ERP =&gt; SOUS-SEGMENT'!$C$67</f>
        <v>Culture / spectacle</v>
      </c>
      <c r="F8" s="412" t="str">
        <f>'ANALYSE - ERP =&gt; SOUS-SEGMENT'!$D$67</f>
        <v>Salles polyvalentes / Salles des fêtes</v>
      </c>
      <c r="H8" s="458">
        <f>'ANALYSE - ERP =&gt; SOUS-SEGMENT'!$BH$67*'ANALYSE - ERP =&gt; SOUS-SEGMENT'!$JS$67</f>
        <v>5522.44</v>
      </c>
      <c r="I8" s="458">
        <f>'ANALYSE - ERP =&gt; SOUS-SEGMENT'!$BH$67*'ANALYSE - ERP =&gt; SOUS-SEGMENT'!$JT$67</f>
        <v>70267.12</v>
      </c>
      <c r="J8" s="458">
        <f>'ANALYSE - ERP =&gt; SOUS-SEGMENT'!$BH$67*'ANALYSE - ERP =&gt; SOUS-SEGMENT'!$JU$67</f>
        <v>83649.72</v>
      </c>
      <c r="K8" s="458">
        <f>'ANALYSE - ERP =&gt; SOUS-SEGMENT'!$BH$67*'ANALYSE - ERP =&gt; SOUS-SEGMENT'!$JV$67</f>
        <v>9960.7199999999993</v>
      </c>
      <c r="L8" s="458">
        <f>'ANALYSE - ERP =&gt; SOUS-SEGMENT'!$BH$67*'ANALYSE - ERP =&gt; SOUS-SEGMENT'!$JW$67</f>
        <v>0</v>
      </c>
      <c r="N8" s="458">
        <f>'ANALYSE - ERP =&gt; SOUS-SEGMENT'!$FJ$67*'ANALYSE - ERP =&gt; SOUS-SEGMENT'!$JX$67</f>
        <v>937.62623119487182</v>
      </c>
      <c r="O8" s="458">
        <f>'ANALYSE - ERP =&gt; SOUS-SEGMENT'!$FJ$67*'ANALYSE - ERP =&gt; SOUS-SEGMENT'!$JY$67</f>
        <v>24279.584513046153</v>
      </c>
      <c r="P8" s="458">
        <f>'ANALYSE - ERP =&gt; SOUS-SEGMENT'!$FJ$67*'ANALYSE - ERP =&gt; SOUS-SEGMENT'!$JZ$67</f>
        <v>31533.850617553846</v>
      </c>
      <c r="Q8" s="458">
        <f>'ANALYSE - ERP =&gt; SOUS-SEGMENT'!$FJ$67*'ANALYSE - ERP =&gt; SOUS-SEGMENT'!$KA$67</f>
        <v>4700.468343226923</v>
      </c>
      <c r="R8" s="458">
        <f>'ANALYSE - ERP =&gt; SOUS-SEGMENT'!$FJ$67*'ANALYSE - ERP =&gt; SOUS-SEGMENT'!$KB$67</f>
        <v>234.40655779871796</v>
      </c>
      <c r="T8" s="430">
        <f>'ANALYSE - ERP =&gt; SOUS-SEGMENT'!$Q$67</f>
        <v>1</v>
      </c>
    </row>
    <row r="9" spans="1:20" ht="15" customHeight="1">
      <c r="A9" s="26">
        <v>6</v>
      </c>
      <c r="B9" s="26">
        <v>5</v>
      </c>
      <c r="C9" s="422">
        <f>'ANALYSE - ERP =&gt; SOUS-SEGMENT'!$A$12</f>
        <v>5</v>
      </c>
      <c r="D9" s="409" t="str">
        <f>'ANALYSE - ERP =&gt; SOUS-SEGMENT'!$B$12</f>
        <v>Enfance, Enseignement, Jeunesse &amp; Formation</v>
      </c>
      <c r="E9" s="409" t="str">
        <f>'ANALYSE - ERP =&gt; SOUS-SEGMENT'!$C$12</f>
        <v>Enseignement scolaire</v>
      </c>
      <c r="F9" s="409" t="str">
        <f>'ANALYSE - ERP =&gt; SOUS-SEGMENT'!$D$12</f>
        <v>Écoles primaires</v>
      </c>
      <c r="H9" s="458">
        <f>'ANALYSE - ERP =&gt; SOUS-SEGMENT'!$BH$12*'ANALYSE - ERP =&gt; SOUS-SEGMENT'!$JS$12</f>
        <v>37723.487999999998</v>
      </c>
      <c r="I9" s="458">
        <f>'ANALYSE - ERP =&gt; SOUS-SEGMENT'!$BH$12*'ANALYSE - ERP =&gt; SOUS-SEGMENT'!$JT$12</f>
        <v>199406.06399999998</v>
      </c>
      <c r="J9" s="458">
        <f>'ANALYSE - ERP =&gt; SOUS-SEGMENT'!$BH$12*'ANALYSE - ERP =&gt; SOUS-SEGMENT'!$JU$12</f>
        <v>121280.28</v>
      </c>
      <c r="K9" s="458">
        <f>'ANALYSE - ERP =&gt; SOUS-SEGMENT'!$BH$12*'ANALYSE - ERP =&gt; SOUS-SEGMENT'!$JV$12</f>
        <v>8476.7759999999998</v>
      </c>
      <c r="L9" s="458">
        <f>'ANALYSE - ERP =&gt; SOUS-SEGMENT'!$BH$12*'ANALYSE - ERP =&gt; SOUS-SEGMENT'!$JW$12</f>
        <v>73.39200000000001</v>
      </c>
      <c r="N9" s="458">
        <f>'ANALYSE - ERP =&gt; SOUS-SEGMENT'!$FJ$12*'ANALYSE - ERP =&gt; SOUS-SEGMENT'!$JX$12</f>
        <v>3962.9320359129601</v>
      </c>
      <c r="O9" s="458">
        <f>'ANALYSE - ERP =&gt; SOUS-SEGMENT'!$FJ$12*'ANALYSE - ERP =&gt; SOUS-SEGMENT'!$JY$12</f>
        <v>41818.269729751686</v>
      </c>
      <c r="P9" s="458">
        <f>'ANALYSE - ERP =&gt; SOUS-SEGMENT'!$FJ$12*'ANALYSE - ERP =&gt; SOUS-SEGMENT'!$JZ$12</f>
        <v>50760.802229639048</v>
      </c>
      <c r="Q9" s="458">
        <f>'ANALYSE - ERP =&gt; SOUS-SEGMENT'!$FJ$12*'ANALYSE - ERP =&gt; SOUS-SEGMENT'!$KA$12</f>
        <v>7085.5564935302409</v>
      </c>
      <c r="R9" s="458">
        <f>'ANALYSE - ERP =&gt; SOUS-SEGMENT'!$FJ$12*'ANALYSE - ERP =&gt; SOUS-SEGMENT'!$KB$12</f>
        <v>114.11584396608002</v>
      </c>
      <c r="T9" s="430">
        <f>'ANALYSE - ERP =&gt; SOUS-SEGMENT'!$Q$12</f>
        <v>1</v>
      </c>
    </row>
    <row r="10" spans="1:20" ht="15" customHeight="1">
      <c r="A10" s="26">
        <v>7</v>
      </c>
      <c r="B10" s="26">
        <v>7</v>
      </c>
      <c r="C10" s="422">
        <f>'ANALYSE - ERP =&gt; SOUS-SEGMENT'!$A$77</f>
        <v>70</v>
      </c>
      <c r="D10" s="409" t="str">
        <f>'ANALYSE - ERP =&gt; SOUS-SEGMENT'!$B$77</f>
        <v>Commerce, Restauration &amp; Loisirs</v>
      </c>
      <c r="E10" s="409" t="str">
        <f>'ANALYSE - ERP =&gt; SOUS-SEGMENT'!$C$77</f>
        <v>Restauration / boissons</v>
      </c>
      <c r="F10" s="409" t="str">
        <f>'ANALYSE - ERP =&gt; SOUS-SEGMENT'!$D$77</f>
        <v>Fast-food / Cafétérias / Food courts</v>
      </c>
      <c r="H10" s="458">
        <f>'ANALYSE - ERP =&gt; SOUS-SEGMENT'!$BH$77*'ANALYSE - ERP =&gt; SOUS-SEGMENT'!$JS$77</f>
        <v>9007.1099999999988</v>
      </c>
      <c r="I10" s="458">
        <f>'ANALYSE - ERP =&gt; SOUS-SEGMENT'!$BH$77*'ANALYSE - ERP =&gt; SOUS-SEGMENT'!$JT$77</f>
        <v>95771.34</v>
      </c>
      <c r="J10" s="458">
        <f>'ANALYSE - ERP =&gt; SOUS-SEGMENT'!$BH$77*'ANALYSE - ERP =&gt; SOUS-SEGMENT'!$JU$77</f>
        <v>65132.549999999996</v>
      </c>
      <c r="K10" s="458">
        <f>'ANALYSE - ERP =&gt; SOUS-SEGMENT'!$BH$77*'ANALYSE - ERP =&gt; SOUS-SEGMENT'!$JV$77</f>
        <v>7308</v>
      </c>
      <c r="L10" s="458">
        <f>'ANALYSE - ERP =&gt; SOUS-SEGMENT'!$BH$77*'ANALYSE - ERP =&gt; SOUS-SEGMENT'!$JW$77</f>
        <v>5481</v>
      </c>
      <c r="N10" s="458">
        <f>'ANALYSE - ERP =&gt; SOUS-SEGMENT'!$FJ$77*'ANALYSE - ERP =&gt; SOUS-SEGMENT'!$JX$77</f>
        <v>920.47885797701827</v>
      </c>
      <c r="O10" s="458">
        <f>'ANALYSE - ERP =&gt; SOUS-SEGMENT'!$FJ$77*'ANALYSE - ERP =&gt; SOUS-SEGMENT'!$JY$77</f>
        <v>35198.72799618369</v>
      </c>
      <c r="P10" s="458">
        <f>'ANALYSE - ERP =&gt; SOUS-SEGMENT'!$FJ$77*'ANALYSE - ERP =&gt; SOUS-SEGMENT'!$JZ$77</f>
        <v>49725.034973633505</v>
      </c>
      <c r="Q10" s="458">
        <f>'ANALYSE - ERP =&gt; SOUS-SEGMENT'!$FJ$77*'ANALYSE - ERP =&gt; SOUS-SEGMENT'!$KA$77</f>
        <v>7162.4761136336738</v>
      </c>
      <c r="R10" s="458">
        <f>'ANALYSE - ERP =&gt; SOUS-SEGMENT'!$FJ$77*'ANALYSE - ERP =&gt; SOUS-SEGMENT'!$KB$77</f>
        <v>2876.4964311781823</v>
      </c>
      <c r="T10" s="430">
        <f>'ANALYSE - ERP =&gt; SOUS-SEGMENT'!$Q$77</f>
        <v>1</v>
      </c>
    </row>
    <row r="11" spans="1:20" s="45" customFormat="1" ht="15" customHeight="1">
      <c r="A11" s="26">
        <v>8</v>
      </c>
      <c r="B11" s="26">
        <v>8</v>
      </c>
      <c r="C11" s="422">
        <f>'ANALYSE - ERP =&gt; SOUS-SEGMENT'!$A$113</f>
        <v>106</v>
      </c>
      <c r="D11" s="409" t="str">
        <f>'ANALYSE - ERP =&gt; SOUS-SEGMENT'!$B$113</f>
        <v>Culte, Vie civique &amp; Services publics</v>
      </c>
      <c r="E11" s="409" t="str">
        <f>'ANALYSE - ERP =&gt; SOUS-SEGMENT'!$C$113</f>
        <v>Culte</v>
      </c>
      <c r="F11" s="409" t="str">
        <f>'ANALYSE - ERP =&gt; SOUS-SEGMENT'!$D$113</f>
        <v>Églises, cathédrales, basiliques et chapelles ouvertes au public</v>
      </c>
      <c r="G11" s="685"/>
      <c r="H11" s="458">
        <f>'ANALYSE - ERP =&gt; SOUS-SEGMENT'!$BH$113*'ANALYSE - ERP =&gt; SOUS-SEGMENT'!$JS$113</f>
        <v>1311.18</v>
      </c>
      <c r="I11" s="458">
        <f>'ANALYSE - ERP =&gt; SOUS-SEGMENT'!$BH$113*'ANALYSE - ERP =&gt; SOUS-SEGMENT'!$JT$113</f>
        <v>6632.16</v>
      </c>
      <c r="J11" s="458">
        <f>'ANALYSE - ERP =&gt; SOUS-SEGMENT'!$BH$113*'ANALYSE - ERP =&gt; SOUS-SEGMENT'!$JU$113</f>
        <v>4052.8500000000004</v>
      </c>
      <c r="K11" s="458">
        <f>'ANALYSE - ERP =&gt; SOUS-SEGMENT'!$BH$113*'ANALYSE - ERP =&gt; SOUS-SEGMENT'!$JV$113</f>
        <v>303.81</v>
      </c>
      <c r="L11" s="458">
        <f>'ANALYSE - ERP =&gt; SOUS-SEGMENT'!$BH$113*'ANALYSE - ERP =&gt; SOUS-SEGMENT'!$JW$113</f>
        <v>0</v>
      </c>
      <c r="M11" s="685"/>
      <c r="N11" s="458">
        <f>'ANALYSE - ERP =&gt; SOUS-SEGMENT'!$FJ$113*'ANALYSE - ERP =&gt; SOUS-SEGMENT'!$JX$113</f>
        <v>392.89563964285719</v>
      </c>
      <c r="O11" s="458">
        <f>'ANALYSE - ERP =&gt; SOUS-SEGMENT'!$FJ$113*'ANALYSE - ERP =&gt; SOUS-SEGMENT'!$JY$113</f>
        <v>2216.7809116714288</v>
      </c>
      <c r="P11" s="458">
        <f>'ANALYSE - ERP =&gt; SOUS-SEGMENT'!$FJ$113*'ANALYSE - ERP =&gt; SOUS-SEGMENT'!$JZ$113</f>
        <v>1459.448019257143</v>
      </c>
      <c r="Q11" s="458">
        <f>'ANALYSE - ERP =&gt; SOUS-SEGMENT'!$FJ$113*'ANALYSE - ERP =&gt; SOUS-SEGMENT'!$KA$113</f>
        <v>164.80379262857144</v>
      </c>
      <c r="R11" s="458">
        <f>'ANALYSE - ERP =&gt; SOUS-SEGMENT'!$FJ$113*'ANALYSE - ERP =&gt; SOUS-SEGMENT'!$KB$113</f>
        <v>13.592065371428573</v>
      </c>
      <c r="S11" s="685"/>
      <c r="T11" s="430">
        <f>'ANALYSE - ERP =&gt; SOUS-SEGMENT'!$Q$113</f>
        <v>1</v>
      </c>
    </row>
    <row r="12" spans="1:20" ht="15" customHeight="1">
      <c r="A12" s="26">
        <v>9</v>
      </c>
      <c r="B12" s="26">
        <v>9</v>
      </c>
      <c r="C12" s="422">
        <f>'ANALYSE - ERP =&gt; SOUS-SEGMENT'!$A$11</f>
        <v>4</v>
      </c>
      <c r="D12" s="413" t="str">
        <f>'ANALYSE - ERP =&gt; SOUS-SEGMENT'!$B$11</f>
        <v>Enfance, Enseignement, Jeunesse &amp; Formation</v>
      </c>
      <c r="E12" s="413" t="str">
        <f>'ANALYSE - ERP =&gt; SOUS-SEGMENT'!$C$11</f>
        <v>Enseignement scolaire</v>
      </c>
      <c r="F12" s="413" t="str">
        <f>'ANALYSE - ERP =&gt; SOUS-SEGMENT'!$D$11</f>
        <v>Écoles maternelles</v>
      </c>
      <c r="H12" s="458">
        <f>'ANALYSE - ERP =&gt; SOUS-SEGMENT'!$BH$11*'ANALYSE - ERP =&gt; SOUS-SEGMENT'!$JS$11</f>
        <v>18863.8</v>
      </c>
      <c r="I12" s="458">
        <f>'ANALYSE - ERP =&gt; SOUS-SEGMENT'!$BH$11*'ANALYSE - ERP =&gt; SOUS-SEGMENT'!$JT$11</f>
        <v>99713.9</v>
      </c>
      <c r="J12" s="458">
        <f>'ANALYSE - ERP =&gt; SOUS-SEGMENT'!$BH$11*'ANALYSE - ERP =&gt; SOUS-SEGMENT'!$JU$11</f>
        <v>60646.75</v>
      </c>
      <c r="K12" s="458">
        <f>'ANALYSE - ERP =&gt; SOUS-SEGMENT'!$BH$11*'ANALYSE - ERP =&gt; SOUS-SEGMENT'!$JV$11</f>
        <v>4238.8499999999995</v>
      </c>
      <c r="L12" s="458">
        <f>'ANALYSE - ERP =&gt; SOUS-SEGMENT'!$BH$11*'ANALYSE - ERP =&gt; SOUS-SEGMENT'!$JW$11</f>
        <v>36.700000000000003</v>
      </c>
      <c r="N12" s="458">
        <f>'ANALYSE - ERP =&gt; SOUS-SEGMENT'!$FJ$11*'ANALYSE - ERP =&gt; SOUS-SEGMENT'!$JX$11</f>
        <v>1964.3326085760004</v>
      </c>
      <c r="O12" s="458">
        <f>'ANALYSE - ERP =&gt; SOUS-SEGMENT'!$FJ$11*'ANALYSE - ERP =&gt; SOUS-SEGMENT'!$JY$11</f>
        <v>19466.443054656003</v>
      </c>
      <c r="P12" s="458">
        <f>'ANALYSE - ERP =&gt; SOUS-SEGMENT'!$FJ$11*'ANALYSE - ERP =&gt; SOUS-SEGMENT'!$JZ$11</f>
        <v>22170.891503904004</v>
      </c>
      <c r="Q12" s="458">
        <f>'ANALYSE - ERP =&gt; SOUS-SEGMENT'!$FJ$11*'ANALYSE - ERP =&gt; SOUS-SEGMENT'!$KA$11</f>
        <v>2904.6055633920005</v>
      </c>
      <c r="R12" s="458">
        <f>'ANALYSE - ERP =&gt; SOUS-SEGMENT'!$FJ$11*'ANALYSE - ERP =&gt; SOUS-SEGMENT'!$KB$11</f>
        <v>41.893349472000011</v>
      </c>
      <c r="T12" s="430">
        <f>'ANALYSE - ERP =&gt; SOUS-SEGMENT'!$Q$11</f>
        <v>1</v>
      </c>
    </row>
    <row r="13" spans="1:20" s="45" customFormat="1" ht="15" customHeight="1">
      <c r="A13" s="406">
        <v>10</v>
      </c>
      <c r="B13" s="406">
        <v>10</v>
      </c>
      <c r="C13" s="448">
        <f>'ANALYSE - ERP =&gt; SOUS-SEGMENT'!$A$21</f>
        <v>14</v>
      </c>
      <c r="D13" s="449" t="str">
        <f>'ANALYSE - ERP =&gt; SOUS-SEGMENT'!$B$21</f>
        <v>Sports &amp; Loisirs</v>
      </c>
      <c r="E13" s="449" t="str">
        <f>'ANALYSE - ERP =&gt; SOUS-SEGMENT'!$C$21</f>
        <v>Sport couvert / Thermalisme / Bien-être</v>
      </c>
      <c r="F13" s="480" t="str">
        <f>'ANALYSE - ERP =&gt; SOUS-SEGMENT'!$D$21</f>
        <v>Gymnases / salles multisports
(hors scolaire, mais gymnase municipaux inclus)</v>
      </c>
      <c r="G13" s="685"/>
      <c r="H13" s="459">
        <f>'ANALYSE - ERP =&gt; SOUS-SEGMENT'!$BH$21*'ANALYSE - ERP =&gt; SOUS-SEGMENT'!$JS$21</f>
        <v>27195.100000000002</v>
      </c>
      <c r="I13" s="459">
        <f>'ANALYSE - ERP =&gt; SOUS-SEGMENT'!$BH$21*'ANALYSE - ERP =&gt; SOUS-SEGMENT'!$JT$21</f>
        <v>95235.700000000012</v>
      </c>
      <c r="J13" s="459">
        <f>'ANALYSE - ERP =&gt; SOUS-SEGMENT'!$BH$21*'ANALYSE - ERP =&gt; SOUS-SEGMENT'!$JU$21</f>
        <v>28569.200000000001</v>
      </c>
      <c r="K13" s="459">
        <f>'ANALYSE - ERP =&gt; SOUS-SEGMENT'!$BH$21*'ANALYSE - ERP =&gt; SOUS-SEGMENT'!$JV$21</f>
        <v>0</v>
      </c>
      <c r="L13" s="459">
        <f>'ANALYSE - ERP =&gt; SOUS-SEGMENT'!$BH$21*'ANALYSE - ERP =&gt; SOUS-SEGMENT'!$JW$21</f>
        <v>0</v>
      </c>
      <c r="M13" s="685"/>
      <c r="N13" s="459">
        <f>'ANALYSE - ERP =&gt; SOUS-SEGMENT'!$FJ$21*'ANALYSE - ERP =&gt; SOUS-SEGMENT'!$JX$21</f>
        <v>6830.3336485000009</v>
      </c>
      <c r="O13" s="459">
        <f>'ANALYSE - ERP =&gt; SOUS-SEGMENT'!$FJ$21*'ANALYSE - ERP =&gt; SOUS-SEGMENT'!$JY$21</f>
        <v>44841.634253000004</v>
      </c>
      <c r="P13" s="459">
        <f>'ANALYSE - ERP =&gt; SOUS-SEGMENT'!$FJ$21*'ANALYSE - ERP =&gt; SOUS-SEGMENT'!$JZ$21</f>
        <v>24305.047098500007</v>
      </c>
      <c r="Q13" s="459">
        <f>'ANALYSE - ERP =&gt; SOUS-SEGMENT'!$FJ$21*'ANALYSE - ERP =&gt; SOUS-SEGMENT'!$KA$21</f>
        <v>0</v>
      </c>
      <c r="R13" s="459">
        <f>'ANALYSE - ERP =&gt; SOUS-SEGMENT'!$FJ$21*'ANALYSE - ERP =&gt; SOUS-SEGMENT'!$KB$21</f>
        <v>0</v>
      </c>
      <c r="S13" s="685"/>
      <c r="T13" s="450">
        <f>'ANALYSE - ERP =&gt; SOUS-SEGMENT'!$Q$21</f>
        <v>1</v>
      </c>
    </row>
    <row r="14" spans="1:20" ht="15" customHeight="1">
      <c r="A14" s="26">
        <v>11</v>
      </c>
      <c r="B14" s="26">
        <v>11</v>
      </c>
      <c r="C14" s="422">
        <f>'ANALYSE - ERP =&gt; SOUS-SEGMENT'!$A$76</f>
        <v>69</v>
      </c>
      <c r="D14" s="409" t="str">
        <f>'ANALYSE - ERP =&gt; SOUS-SEGMENT'!$B$76</f>
        <v>Commerce, Restauration &amp; Loisirs</v>
      </c>
      <c r="E14" s="409" t="str">
        <f>'ANALYSE - ERP =&gt; SOUS-SEGMENT'!$C$76</f>
        <v>Restauration / boissons</v>
      </c>
      <c r="F14" s="409" t="str">
        <f>'ANALYSE - ERP =&gt; SOUS-SEGMENT'!$D$76</f>
        <v>Cafés / bars / brasseries</v>
      </c>
      <c r="H14" s="458">
        <f>'ANALYSE - ERP =&gt; SOUS-SEGMENT'!$BH$76*'ANALYSE - ERP =&gt; SOUS-SEGMENT'!$JS$76</f>
        <v>3566.3760000000002</v>
      </c>
      <c r="I14" s="458">
        <f>'ANALYSE - ERP =&gt; SOUS-SEGMENT'!$BH$76*'ANALYSE - ERP =&gt; SOUS-SEGMENT'!$JT$76</f>
        <v>36307.061999999998</v>
      </c>
      <c r="J14" s="458">
        <f>'ANALYSE - ERP =&gt; SOUS-SEGMENT'!$BH$76*'ANALYSE - ERP =&gt; SOUS-SEGMENT'!$JU$76</f>
        <v>48857.093999999997</v>
      </c>
      <c r="K14" s="458">
        <f>'ANALYSE - ERP =&gt; SOUS-SEGMENT'!$BH$76*'ANALYSE - ERP =&gt; SOUS-SEGMENT'!$JV$76</f>
        <v>19581.21</v>
      </c>
      <c r="L14" s="458">
        <f>'ANALYSE - ERP =&gt; SOUS-SEGMENT'!$BH$76*'ANALYSE - ERP =&gt; SOUS-SEGMENT'!$JW$76</f>
        <v>4548.2580000000007</v>
      </c>
      <c r="N14" s="458">
        <f>'ANALYSE - ERP =&gt; SOUS-SEGMENT'!$FJ$76*'ANALYSE - ERP =&gt; SOUS-SEGMENT'!$JX$76</f>
        <v>0</v>
      </c>
      <c r="O14" s="458">
        <f>'ANALYSE - ERP =&gt; SOUS-SEGMENT'!$FJ$76*'ANALYSE - ERP =&gt; SOUS-SEGMENT'!$JY$76</f>
        <v>14373.031799623635</v>
      </c>
      <c r="P14" s="458">
        <f>'ANALYSE - ERP =&gt; SOUS-SEGMENT'!$FJ$76*'ANALYSE - ERP =&gt; SOUS-SEGMENT'!$JZ$76</f>
        <v>28149.447184923272</v>
      </c>
      <c r="Q14" s="458">
        <f>'ANALYSE - ERP =&gt; SOUS-SEGMENT'!$FJ$76*'ANALYSE - ERP =&gt; SOUS-SEGMENT'!$KA$76</f>
        <v>14596.009651441696</v>
      </c>
      <c r="R14" s="458">
        <f>'ANALYSE - ERP =&gt; SOUS-SEGMENT'!$FJ$76*'ANALYSE - ERP =&gt; SOUS-SEGMENT'!$KB$76</f>
        <v>3145.7956391629091</v>
      </c>
      <c r="T14" s="430">
        <f>'ANALYSE - ERP =&gt; SOUS-SEGMENT'!$Q$76</f>
        <v>1</v>
      </c>
    </row>
    <row r="15" spans="1:20" s="45" customFormat="1" ht="15" customHeight="1">
      <c r="A15" s="406">
        <v>12</v>
      </c>
      <c r="B15" s="406">
        <v>12</v>
      </c>
      <c r="C15" s="448">
        <f>'ANALYSE - ERP =&gt; SOUS-SEGMENT'!$A$13</f>
        <v>6</v>
      </c>
      <c r="D15" s="449" t="str">
        <f>'ANALYSE - ERP =&gt; SOUS-SEGMENT'!$B$13</f>
        <v>Enfance, Enseignement, Jeunesse &amp; Formation</v>
      </c>
      <c r="E15" s="449" t="str">
        <f>'ANALYSE - ERP =&gt; SOUS-SEGMENT'!$C$13</f>
        <v>Enseignement scolaire</v>
      </c>
      <c r="F15" s="449" t="str">
        <f>'ANALYSE - ERP =&gt; SOUS-SEGMENT'!$D$13</f>
        <v>Collèges
(vestiaires EPS inclus)</v>
      </c>
      <c r="G15" s="685"/>
      <c r="H15" s="459">
        <f>'ANALYSE - ERP =&gt; SOUS-SEGMENT'!$BH$13*'ANALYSE - ERP =&gt; SOUS-SEGMENT'!$JS$13</f>
        <v>17676.186000000002</v>
      </c>
      <c r="I15" s="459">
        <f>'ANALYSE - ERP =&gt; SOUS-SEGMENT'!$BH$13*'ANALYSE - ERP =&gt; SOUS-SEGMENT'!$JT$13</f>
        <v>83860.512000000002</v>
      </c>
      <c r="J15" s="459">
        <f>'ANALYSE - ERP =&gt; SOUS-SEGMENT'!$BH$13*'ANALYSE - ERP =&gt; SOUS-SEGMENT'!$JU$13</f>
        <v>45759.846000000005</v>
      </c>
      <c r="K15" s="459">
        <f>'ANALYSE - ERP =&gt; SOUS-SEGMENT'!$BH$13*'ANALYSE - ERP =&gt; SOUS-SEGMENT'!$JV$13</f>
        <v>2868.4379999999996</v>
      </c>
      <c r="L15" s="459">
        <f>'ANALYSE - ERP =&gt; SOUS-SEGMENT'!$BH$13*'ANALYSE - ERP =&gt; SOUS-SEGMENT'!$JW$13</f>
        <v>15.018000000000001</v>
      </c>
      <c r="M15" s="685"/>
      <c r="N15" s="459">
        <f>'ANALYSE - ERP =&gt; SOUS-SEGMENT'!$FJ$13*'ANALYSE - ERP =&gt; SOUS-SEGMENT'!$JX$13</f>
        <v>1996.7823013914599</v>
      </c>
      <c r="O15" s="459">
        <f>'ANALYSE - ERP =&gt; SOUS-SEGMENT'!$FJ$13*'ANALYSE - ERP =&gt; SOUS-SEGMENT'!$JY$13</f>
        <v>19174.518984467879</v>
      </c>
      <c r="P15" s="459">
        <f>'ANALYSE - ERP =&gt; SOUS-SEGMENT'!$FJ$13*'ANALYSE - ERP =&gt; SOUS-SEGMENT'!$JZ$13</f>
        <v>21171.301285859339</v>
      </c>
      <c r="Q15" s="459">
        <f>'ANALYSE - ERP =&gt; SOUS-SEGMENT'!$FJ$13*'ANALYSE - ERP =&gt; SOUS-SEGMENT'!$KA$13</f>
        <v>2690.9233271573403</v>
      </c>
      <c r="R15" s="459">
        <f>'ANALYSE - ERP =&gt; SOUS-SEGMENT'!$FJ$13*'ANALYSE - ERP =&gt; SOUS-SEGMENT'!$KB$13</f>
        <v>40.566683323980001</v>
      </c>
      <c r="S15" s="685"/>
      <c r="T15" s="450">
        <f>'ANALYSE - ERP =&gt; SOUS-SEGMENT'!$Q$13</f>
        <v>1</v>
      </c>
    </row>
    <row r="16" spans="1:20" ht="15" customHeight="1">
      <c r="A16" s="26">
        <v>13</v>
      </c>
      <c r="B16" s="26">
        <v>15</v>
      </c>
      <c r="C16" s="422">
        <f>'ANALYSE - ERP =&gt; SOUS-SEGMENT'!$A$8</f>
        <v>1</v>
      </c>
      <c r="D16" s="408" t="str">
        <f>'ANALYSE - ERP =&gt; SOUS-SEGMENT'!$B$8</f>
        <v>Enfance, Enseignement, Jeunesse &amp; Formation</v>
      </c>
      <c r="E16" s="408" t="str">
        <f>'ANALYSE - ERP =&gt; SOUS-SEGMENT'!$C$8</f>
        <v>Petite enfance</v>
      </c>
      <c r="F16" s="408" t="str">
        <f>'ANALYSE - ERP =&gt; SOUS-SEGMENT'!$D$8</f>
        <v>Crèches</v>
      </c>
      <c r="H16" s="458">
        <f>'ANALYSE - ERP =&gt; SOUS-SEGMENT'!$BH$8*'ANALYSE - ERP =&gt; SOUS-SEGMENT'!$JS$8</f>
        <v>2111.4720000000002</v>
      </c>
      <c r="I16" s="458">
        <f>'ANALYSE - ERP =&gt; SOUS-SEGMENT'!$BH$8*'ANALYSE - ERP =&gt; SOUS-SEGMENT'!$JT$8</f>
        <v>43249.184999999998</v>
      </c>
      <c r="J16" s="458">
        <f>'ANALYSE - ERP =&gt; SOUS-SEGMENT'!$BH$8*'ANALYSE - ERP =&gt; SOUS-SEGMENT'!$JU$8</f>
        <v>62528.364000000001</v>
      </c>
      <c r="K16" s="458">
        <f>'ANALYSE - ERP =&gt; SOUS-SEGMENT'!$BH$8*'ANALYSE - ERP =&gt; SOUS-SEGMENT'!$JV$8</f>
        <v>12080.978999999999</v>
      </c>
      <c r="L16" s="458">
        <f>'ANALYSE - ERP =&gt; SOUS-SEGMENT'!$BH$8*'ANALYSE - ERP =&gt; SOUS-SEGMENT'!$JW$8</f>
        <v>0</v>
      </c>
      <c r="N16" s="458">
        <f>'ANALYSE - ERP =&gt; SOUS-SEGMENT'!$FJ$8*'ANALYSE - ERP =&gt; SOUS-SEGMENT'!$JX$8</f>
        <v>0</v>
      </c>
      <c r="O16" s="458">
        <f>'ANALYSE - ERP =&gt; SOUS-SEGMENT'!$FJ$8*'ANALYSE - ERP =&gt; SOUS-SEGMENT'!$JY$8</f>
        <v>5045.8065890181606</v>
      </c>
      <c r="P16" s="458">
        <f>'ANALYSE - ERP =&gt; SOUS-SEGMENT'!$FJ$8*'ANALYSE - ERP =&gt; SOUS-SEGMENT'!$JZ$8</f>
        <v>15379.877104487281</v>
      </c>
      <c r="Q16" s="458">
        <f>'ANALYSE - ERP =&gt; SOUS-SEGMENT'!$FJ$8*'ANALYSE - ERP =&gt; SOUS-SEGMENT'!$KA$8</f>
        <v>6514.0204656945598</v>
      </c>
      <c r="R16" s="458">
        <f>'ANALYSE - ERP =&gt; SOUS-SEGMENT'!$FJ$8*'ANALYSE - ERP =&gt; SOUS-SEGMENT'!$KB$8</f>
        <v>0</v>
      </c>
      <c r="T16" s="430">
        <f>'ANALYSE - ERP =&gt; SOUS-SEGMENT'!$Q$8</f>
        <v>1</v>
      </c>
    </row>
    <row r="17" spans="1:20" ht="15" customHeight="1">
      <c r="A17" s="26">
        <v>14</v>
      </c>
      <c r="B17" s="26">
        <v>13</v>
      </c>
      <c r="C17" s="422">
        <f>'ANALYSE - ERP =&gt; SOUS-SEGMENT'!$A$14</f>
        <v>7</v>
      </c>
      <c r="D17" s="411" t="str">
        <f>'ANALYSE - ERP =&gt; SOUS-SEGMENT'!$B$14</f>
        <v>Enfance, Enseignement, Jeunesse &amp; Formation</v>
      </c>
      <c r="E17" s="411" t="str">
        <f>'ANALYSE - ERP =&gt; SOUS-SEGMENT'!$C$14</f>
        <v>Enseignement scolaire</v>
      </c>
      <c r="F17" s="411" t="str">
        <f>'ANALYSE - ERP =&gt; SOUS-SEGMENT'!$D$14</f>
        <v>Lycées
(vestiaires EPS inclus)</v>
      </c>
      <c r="H17" s="458">
        <f>'ANALYSE - ERP =&gt; SOUS-SEGMENT'!$BH$14*'ANALYSE - ERP =&gt; SOUS-SEGMENT'!$JS$14</f>
        <v>15333.4512</v>
      </c>
      <c r="I17" s="458">
        <f>'ANALYSE - ERP =&gt; SOUS-SEGMENT'!$BH$14*'ANALYSE - ERP =&gt; SOUS-SEGMENT'!$JT$14</f>
        <v>77613.242399999988</v>
      </c>
      <c r="J17" s="458">
        <f>'ANALYSE - ERP =&gt; SOUS-SEGMENT'!$BH$14*'ANALYSE - ERP =&gt; SOUS-SEGMENT'!$JU$14</f>
        <v>45195.559199999996</v>
      </c>
      <c r="K17" s="458">
        <f>'ANALYSE - ERP =&gt; SOUS-SEGMENT'!$BH$14*'ANALYSE - ERP =&gt; SOUS-SEGMENT'!$JV$14</f>
        <v>3021.5088000000001</v>
      </c>
      <c r="L17" s="458">
        <f>'ANALYSE - ERP =&gt; SOUS-SEGMENT'!$BH$14*'ANALYSE - ERP =&gt; SOUS-SEGMENT'!$JW$14</f>
        <v>28.238400000000002</v>
      </c>
      <c r="N17" s="458">
        <f>'ANALYSE - ERP =&gt; SOUS-SEGMENT'!$FJ$14*'ANALYSE - ERP =&gt; SOUS-SEGMENT'!$JX$14</f>
        <v>1695.3851383474318</v>
      </c>
      <c r="O17" s="458">
        <f>'ANALYSE - ERP =&gt; SOUS-SEGMENT'!$FJ$14*'ANALYSE - ERP =&gt; SOUS-SEGMENT'!$JY$14</f>
        <v>17400.00536724996</v>
      </c>
      <c r="P17" s="458">
        <f>'ANALYSE - ERP =&gt; SOUS-SEGMENT'!$FJ$14*'ANALYSE - ERP =&gt; SOUS-SEGMENT'!$JZ$14</f>
        <v>20557.075938157584</v>
      </c>
      <c r="Q17" s="458">
        <f>'ANALYSE - ERP =&gt; SOUS-SEGMENT'!$FJ$14*'ANALYSE - ERP =&gt; SOUS-SEGMENT'!$KA$14</f>
        <v>2795.8982983273436</v>
      </c>
      <c r="R17" s="458">
        <f>'ANALYSE - ERP =&gt; SOUS-SEGMENT'!$FJ$14*'ANALYSE - ERP =&gt; SOUS-SEGMENT'!$KB$14</f>
        <v>42.490855597679996</v>
      </c>
      <c r="T17" s="430">
        <f>'ANALYSE - ERP =&gt; SOUS-SEGMENT'!$Q$14</f>
        <v>1</v>
      </c>
    </row>
    <row r="18" spans="1:20" ht="15" customHeight="1">
      <c r="A18" s="26">
        <v>15</v>
      </c>
      <c r="B18" s="26">
        <v>14</v>
      </c>
      <c r="C18" s="422">
        <f>'ANALYSE - ERP =&gt; SOUS-SEGMENT'!$A$29</f>
        <v>22</v>
      </c>
      <c r="D18" s="409" t="str">
        <f>'ANALYSE - ERP =&gt; SOUS-SEGMENT'!$B$29</f>
        <v>Sports &amp; Loisirs</v>
      </c>
      <c r="E18" s="409" t="str">
        <f>'ANALYSE - ERP =&gt; SOUS-SEGMENT'!$C$29</f>
        <v>Sport de plein air</v>
      </c>
      <c r="F18" s="409" t="str">
        <f>'ANALYSE - ERP =&gt; SOUS-SEGMENT'!$D$29</f>
        <v xml:space="preserve">Grands stades avec tribunes
(Type football/rugby) </v>
      </c>
      <c r="H18" s="458">
        <f>'ANALYSE - ERP =&gt; SOUS-SEGMENT'!$BH$29*'ANALYSE - ERP =&gt; SOUS-SEGMENT'!$JS$29</f>
        <v>1230.96</v>
      </c>
      <c r="I18" s="458">
        <f>'ANALYSE - ERP =&gt; SOUS-SEGMENT'!$BH$29*'ANALYSE - ERP =&gt; SOUS-SEGMENT'!$JT$29</f>
        <v>14136.72</v>
      </c>
      <c r="J18" s="458">
        <f>'ANALYSE - ERP =&gt; SOUS-SEGMENT'!$BH$29*'ANALYSE - ERP =&gt; SOUS-SEGMENT'!$JU$29</f>
        <v>11404.32</v>
      </c>
      <c r="K18" s="458">
        <f>'ANALYSE - ERP =&gt; SOUS-SEGMENT'!$BH$29*'ANALYSE - ERP =&gt; SOUS-SEGMENT'!$JV$29</f>
        <v>828</v>
      </c>
      <c r="L18" s="458">
        <f>'ANALYSE - ERP =&gt; SOUS-SEGMENT'!$BH$29*'ANALYSE - ERP =&gt; SOUS-SEGMENT'!$JW$29</f>
        <v>0</v>
      </c>
      <c r="N18" s="458">
        <f>'ANALYSE - ERP =&gt; SOUS-SEGMENT'!$FJ$29*'ANALYSE - ERP =&gt; SOUS-SEGMENT'!$JX$29</f>
        <v>192.17425529166667</v>
      </c>
      <c r="O18" s="458">
        <f>'ANALYSE - ERP =&gt; SOUS-SEGMENT'!$FJ$29*'ANALYSE - ERP =&gt; SOUS-SEGMENT'!$JY$29</f>
        <v>4647.966298675</v>
      </c>
      <c r="P18" s="458">
        <f>'ANALYSE - ERP =&gt; SOUS-SEGMENT'!$FJ$29*'ANALYSE - ERP =&gt; SOUS-SEGMENT'!$JZ$29</f>
        <v>7502.7479945250006</v>
      </c>
      <c r="Q18" s="458">
        <f>'ANALYSE - ERP =&gt; SOUS-SEGMENT'!$FJ$29*'ANALYSE - ERP =&gt; SOUS-SEGMENT'!$KA$29</f>
        <v>910.50836817499999</v>
      </c>
      <c r="R18" s="458">
        <f>'ANALYSE - ERP =&gt; SOUS-SEGMENT'!$FJ$29*'ANALYSE - ERP =&gt; SOUS-SEGMENT'!$KB$29</f>
        <v>0</v>
      </c>
      <c r="T18" s="430">
        <f>'ANALYSE - ERP =&gt; SOUS-SEGMENT'!$Q$29</f>
        <v>1</v>
      </c>
    </row>
    <row r="19" spans="1:20" ht="15" customHeight="1">
      <c r="A19" s="26">
        <v>16</v>
      </c>
      <c r="B19" s="26">
        <v>16</v>
      </c>
      <c r="C19" s="422">
        <f>'ANALYSE - ERP =&gt; SOUS-SEGMENT'!$A$56</f>
        <v>49</v>
      </c>
      <c r="D19" s="409" t="str">
        <f>'ANALYSE - ERP =&gt; SOUS-SEGMENT'!$B$56</f>
        <v>Santé &amp; Médico-social</v>
      </c>
      <c r="E19" s="409" t="str">
        <f>'ANALYSE - ERP =&gt; SOUS-SEGMENT'!$C$56</f>
        <v>Médico-social</v>
      </c>
      <c r="F19" s="409" t="str">
        <f>'ANALYSE - ERP =&gt; SOUS-SEGMENT'!$D$56</f>
        <v>Foyers pour personnes handicapées</v>
      </c>
      <c r="H19" s="458">
        <f>'ANALYSE - ERP =&gt; SOUS-SEGMENT'!$BH$56*'ANALYSE - ERP =&gt; SOUS-SEGMENT'!$JS$56</f>
        <v>0</v>
      </c>
      <c r="I19" s="458">
        <f>'ANALYSE - ERP =&gt; SOUS-SEGMENT'!$BH$56*'ANALYSE - ERP =&gt; SOUS-SEGMENT'!$JT$56</f>
        <v>18376.54</v>
      </c>
      <c r="J19" s="458">
        <f>'ANALYSE - ERP =&gt; SOUS-SEGMENT'!$BH$56*'ANALYSE - ERP =&gt; SOUS-SEGMENT'!$JU$56</f>
        <v>32800.299999999996</v>
      </c>
      <c r="K19" s="458">
        <f>'ANALYSE - ERP =&gt; SOUS-SEGMENT'!$BH$56*'ANALYSE - ERP =&gt; SOUS-SEGMENT'!$JV$56</f>
        <v>8623.16</v>
      </c>
      <c r="L19" s="458">
        <f>'ANALYSE - ERP =&gt; SOUS-SEGMENT'!$BH$56*'ANALYSE - ERP =&gt; SOUS-SEGMENT'!$JW$56</f>
        <v>0</v>
      </c>
      <c r="N19" s="458">
        <f>'ANALYSE - ERP =&gt; SOUS-SEGMENT'!$FJ$56*'ANALYSE - ERP =&gt; SOUS-SEGMENT'!$JX$56</f>
        <v>0</v>
      </c>
      <c r="O19" s="458">
        <f>'ANALYSE - ERP =&gt; SOUS-SEGMENT'!$FJ$56*'ANALYSE - ERP =&gt; SOUS-SEGMENT'!$JY$56</f>
        <v>3608.556373242167</v>
      </c>
      <c r="P19" s="458">
        <f>'ANALYSE - ERP =&gt; SOUS-SEGMENT'!$FJ$56*'ANALYSE - ERP =&gt; SOUS-SEGMENT'!$JZ$56</f>
        <v>13410.938646579918</v>
      </c>
      <c r="Q19" s="458">
        <f>'ANALYSE - ERP =&gt; SOUS-SEGMENT'!$FJ$56*'ANALYSE - ERP =&gt; SOUS-SEGMENT'!$KA$56</f>
        <v>6504.340529344584</v>
      </c>
      <c r="R19" s="458">
        <f>'ANALYSE - ERP =&gt; SOUS-SEGMENT'!$FJ$56*'ANALYSE - ERP =&gt; SOUS-SEGMENT'!$KB$56</f>
        <v>0</v>
      </c>
      <c r="T19" s="430">
        <f>'ANALYSE - ERP =&gt; SOUS-SEGMENT'!$Q$56</f>
        <v>1</v>
      </c>
    </row>
    <row r="20" spans="1:20" ht="15" customHeight="1">
      <c r="A20" s="26">
        <v>17</v>
      </c>
      <c r="B20" s="26">
        <v>17</v>
      </c>
      <c r="C20" s="422">
        <f>'ANALYSE - ERP =&gt; SOUS-SEGMENT'!$A$44</f>
        <v>37</v>
      </c>
      <c r="D20" s="416" t="str">
        <f>'ANALYSE - ERP =&gt; SOUS-SEGMENT'!$B$44</f>
        <v>Santé &amp; Médico-social</v>
      </c>
      <c r="E20" s="416" t="str">
        <f>'ANALYSE - ERP =&gt; SOUS-SEGMENT'!$C$44</f>
        <v>Santé hospitalière</v>
      </c>
      <c r="F20" s="416" t="str">
        <f>'ANALYSE - ERP =&gt; SOUS-SEGMENT'!$D$44</f>
        <v>Hôpitaux publics 
(Hors CHU, Universitaire, Militaire, Carcéral)</v>
      </c>
      <c r="H20" s="458">
        <f>'ANALYSE - ERP =&gt; SOUS-SEGMENT'!$BH$44*'ANALYSE - ERP =&gt; SOUS-SEGMENT'!$JS$44</f>
        <v>0</v>
      </c>
      <c r="I20" s="458">
        <f>'ANALYSE - ERP =&gt; SOUS-SEGMENT'!$BH$44*'ANALYSE - ERP =&gt; SOUS-SEGMENT'!$JT$44</f>
        <v>39959.387999999999</v>
      </c>
      <c r="J20" s="458">
        <f>'ANALYSE - ERP =&gt; SOUS-SEGMENT'!$BH$44*'ANALYSE - ERP =&gt; SOUS-SEGMENT'!$JU$44</f>
        <v>75306.084000000003</v>
      </c>
      <c r="K20" s="458">
        <f>'ANALYSE - ERP =&gt; SOUS-SEGMENT'!$BH$44*'ANALYSE - ERP =&gt; SOUS-SEGMENT'!$JV$44</f>
        <v>14304.528</v>
      </c>
      <c r="L20" s="458">
        <f>'ANALYSE - ERP =&gt; SOUS-SEGMENT'!$BH$44*'ANALYSE - ERP =&gt; SOUS-SEGMENT'!$JW$44</f>
        <v>0</v>
      </c>
      <c r="N20" s="458">
        <f>'ANALYSE - ERP =&gt; SOUS-SEGMENT'!$FJ$44*'ANALYSE - ERP =&gt; SOUS-SEGMENT'!$JX$44</f>
        <v>0</v>
      </c>
      <c r="O20" s="458">
        <f>'ANALYSE - ERP =&gt; SOUS-SEGMENT'!$FJ$44*'ANALYSE - ERP =&gt; SOUS-SEGMENT'!$JY$44</f>
        <v>11856.629013075</v>
      </c>
      <c r="P20" s="458">
        <f>'ANALYSE - ERP =&gt; SOUS-SEGMENT'!$FJ$44*'ANALYSE - ERP =&gt; SOUS-SEGMENT'!$JZ$44</f>
        <v>39831.171343425005</v>
      </c>
      <c r="Q20" s="458">
        <f>'ANALYSE - ERP =&gt; SOUS-SEGMENT'!$FJ$44*'ANALYSE - ERP =&gt; SOUS-SEGMENT'!$KA$44</f>
        <v>14072.759893500002</v>
      </c>
      <c r="R20" s="458">
        <f>'ANALYSE - ERP =&gt; SOUS-SEGMENT'!$FJ$44*'ANALYSE - ERP =&gt; SOUS-SEGMENT'!$KB$44</f>
        <v>0</v>
      </c>
      <c r="T20" s="430">
        <f>'ANALYSE - ERP =&gt; SOUS-SEGMENT'!$Q$44</f>
        <v>1</v>
      </c>
    </row>
    <row r="21" spans="1:20" ht="15" customHeight="1">
      <c r="A21" s="26">
        <v>18</v>
      </c>
      <c r="B21" s="26">
        <v>18</v>
      </c>
      <c r="C21" s="422">
        <f>'ANALYSE - ERP =&gt; SOUS-SEGMENT'!$A$94</f>
        <v>87</v>
      </c>
      <c r="D21" s="417" t="str">
        <f>'ANALYSE - ERP =&gt; SOUS-SEGMENT'!$B$94</f>
        <v>Hébergement Touristique</v>
      </c>
      <c r="E21" s="417" t="str">
        <f>'ANALYSE - ERP =&gt; SOUS-SEGMENT'!$C$94</f>
        <v>Tourisme de plein air</v>
      </c>
      <c r="F21" s="417" t="str">
        <f>'ANALYSE - ERP =&gt; SOUS-SEGMENT'!$D$94</f>
        <v>Campings</v>
      </c>
      <c r="H21" s="458">
        <f>'ANALYSE - ERP =&gt; SOUS-SEGMENT'!$BH$94*'ANALYSE - ERP =&gt; SOUS-SEGMENT'!$JS$94</f>
        <v>10736.184000000001</v>
      </c>
      <c r="I21" s="458">
        <f>'ANALYSE - ERP =&gt; SOUS-SEGMENT'!$BH$94*'ANALYSE - ERP =&gt; SOUS-SEGMENT'!$JT$94</f>
        <v>54924.167999999998</v>
      </c>
      <c r="J21" s="458">
        <f>'ANALYSE - ERP =&gt; SOUS-SEGMENT'!$BH$94*'ANALYSE - ERP =&gt; SOUS-SEGMENT'!$JU$94</f>
        <v>36517.776000000005</v>
      </c>
      <c r="K21" s="458">
        <f>'ANALYSE - ERP =&gt; SOUS-SEGMENT'!$BH$94*'ANALYSE - ERP =&gt; SOUS-SEGMENT'!$JV$94</f>
        <v>3150.2640000000001</v>
      </c>
      <c r="L21" s="458">
        <f>'ANALYSE - ERP =&gt; SOUS-SEGMENT'!$BH$94*'ANALYSE - ERP =&gt; SOUS-SEGMENT'!$JW$94</f>
        <v>31.607999999999997</v>
      </c>
      <c r="N21" s="458">
        <f>'ANALYSE - ERP =&gt; SOUS-SEGMENT'!$FJ$94*'ANALYSE - ERP =&gt; SOUS-SEGMENT'!$JX$94</f>
        <v>1953.5740240693333</v>
      </c>
      <c r="O21" s="458">
        <f>'ANALYSE - ERP =&gt; SOUS-SEGMENT'!$FJ$94*'ANALYSE - ERP =&gt; SOUS-SEGMENT'!$JY$94</f>
        <v>18460.807165248487</v>
      </c>
      <c r="P21" s="458">
        <f>'ANALYSE - ERP =&gt; SOUS-SEGMENT'!$FJ$94*'ANALYSE - ERP =&gt; SOUS-SEGMENT'!$JZ$94</f>
        <v>22639.025293281942</v>
      </c>
      <c r="Q21" s="458">
        <f>'ANALYSE - ERP =&gt; SOUS-SEGMENT'!$FJ$94*'ANALYSE - ERP =&gt; SOUS-SEGMENT'!$KA$94</f>
        <v>3608.0362358409702</v>
      </c>
      <c r="R21" s="458">
        <f>'ANALYSE - ERP =&gt; SOUS-SEGMENT'!$FJ$94*'ANALYSE - ERP =&gt; SOUS-SEGMENT'!$KB$94</f>
        <v>74.777953074424246</v>
      </c>
      <c r="T21" s="430">
        <f>'ANALYSE - ERP =&gt; SOUS-SEGMENT'!$Q$94</f>
        <v>1</v>
      </c>
    </row>
    <row r="22" spans="1:20" ht="15" customHeight="1">
      <c r="A22" s="26">
        <v>19</v>
      </c>
      <c r="B22" s="26">
        <v>19</v>
      </c>
      <c r="C22" s="422">
        <f>'ANALYSE - ERP =&gt; SOUS-SEGMENT'!$A$27</f>
        <v>20</v>
      </c>
      <c r="D22" s="408" t="str">
        <f>'ANALYSE - ERP =&gt; SOUS-SEGMENT'!$B$27</f>
        <v>Sports &amp; Loisirs</v>
      </c>
      <c r="E22" s="408" t="str">
        <f>'ANALYSE - ERP =&gt; SOUS-SEGMENT'!$C$27</f>
        <v>Sport de plein air</v>
      </c>
      <c r="F22" s="408" t="str">
        <f>'ANALYSE - ERP =&gt; SOUS-SEGMENT'!$D$27</f>
        <v>Terrains de sport
(Hors scolaire, sans tribune)</v>
      </c>
      <c r="H22" s="458">
        <f>'ANALYSE - ERP =&gt; SOUS-SEGMENT'!$BH$27*'ANALYSE - ERP =&gt; SOUS-SEGMENT'!$JS$27</f>
        <v>33462</v>
      </c>
      <c r="I22" s="458">
        <f>'ANALYSE - ERP =&gt; SOUS-SEGMENT'!$BH$27*'ANALYSE - ERP =&gt; SOUS-SEGMENT'!$JT$27</f>
        <v>113790.59999999999</v>
      </c>
      <c r="J22" s="458">
        <f>'ANALYSE - ERP =&gt; SOUS-SEGMENT'!$BH$27*'ANALYSE - ERP =&gt; SOUS-SEGMENT'!$JU$27</f>
        <v>47520</v>
      </c>
      <c r="K22" s="458">
        <f>'ANALYSE - ERP =&gt; SOUS-SEGMENT'!$BH$27*'ANALYSE - ERP =&gt; SOUS-SEGMENT'!$JV$27</f>
        <v>3227.3999999999996</v>
      </c>
      <c r="L22" s="458">
        <f>'ANALYSE - ERP =&gt; SOUS-SEGMENT'!$BH$27*'ANALYSE - ERP =&gt; SOUS-SEGMENT'!$JW$27</f>
        <v>0</v>
      </c>
      <c r="N22" s="458">
        <f>'ANALYSE - ERP =&gt; SOUS-SEGMENT'!$FJ$27*'ANALYSE - ERP =&gt; SOUS-SEGMENT'!$JX$27</f>
        <v>14525.074586804998</v>
      </c>
      <c r="O22" s="458">
        <f>'ANALYSE - ERP =&gt; SOUS-SEGMENT'!$FJ$27*'ANALYSE - ERP =&gt; SOUS-SEGMENT'!$JY$27</f>
        <v>53089.003612050001</v>
      </c>
      <c r="P22" s="458">
        <f>'ANALYSE - ERP =&gt; SOUS-SEGMENT'!$FJ$27*'ANALYSE - ERP =&gt; SOUS-SEGMENT'!$JZ$27</f>
        <v>24739.667686844998</v>
      </c>
      <c r="Q22" s="458">
        <f>'ANALYSE - ERP =&gt; SOUS-SEGMENT'!$FJ$27*'ANALYSE - ERP =&gt; SOUS-SEGMENT'!$KA$27</f>
        <v>3264.0617049000002</v>
      </c>
      <c r="R22" s="458">
        <f>'ANALYSE - ERP =&gt; SOUS-SEGMENT'!$FJ$27*'ANALYSE - ERP =&gt; SOUS-SEGMENT'!$KB$27</f>
        <v>384.00725940000001</v>
      </c>
      <c r="T22" s="430">
        <f>'ANALYSE - ERP =&gt; SOUS-SEGMENT'!$Q$27</f>
        <v>1</v>
      </c>
    </row>
    <row r="23" spans="1:20" ht="15" customHeight="1">
      <c r="A23" s="26">
        <v>20</v>
      </c>
      <c r="B23" s="26">
        <v>20</v>
      </c>
      <c r="C23" s="422">
        <f>'ANALYSE - ERP =&gt; SOUS-SEGMENT'!$A$84</f>
        <v>77</v>
      </c>
      <c r="D23" s="409" t="str">
        <f>'ANALYSE - ERP =&gt; SOUS-SEGMENT'!$B$84</f>
        <v>Tertiaire &amp; Industriel</v>
      </c>
      <c r="E23" s="409" t="str">
        <f>'ANALYSE - ERP =&gt; SOUS-SEGMENT'!$C$84</f>
        <v>Usines &amp; Ateliers</v>
      </c>
      <c r="F23" s="409" t="str">
        <f>'ANALYSE - ERP =&gt; SOUS-SEGMENT'!$D$84</f>
        <v>Usines 
(&gt;50 salariés)
(Hors Ateliers industriels)</v>
      </c>
      <c r="H23" s="458">
        <f>'ANALYSE - ERP =&gt; SOUS-SEGMENT'!$BH$84*'ANALYSE - ERP =&gt; SOUS-SEGMENT'!$JS$84</f>
        <v>4821.54</v>
      </c>
      <c r="I23" s="458">
        <f>'ANALYSE - ERP =&gt; SOUS-SEGMENT'!$BH$84*'ANALYSE - ERP =&gt; SOUS-SEGMENT'!$JT$84</f>
        <v>61348.92</v>
      </c>
      <c r="J23" s="458">
        <f>'ANALYSE - ERP =&gt; SOUS-SEGMENT'!$BH$84*'ANALYSE - ERP =&gt; SOUS-SEGMENT'!$JU$84</f>
        <v>73033.02</v>
      </c>
      <c r="K23" s="458">
        <f>'ANALYSE - ERP =&gt; SOUS-SEGMENT'!$BH$84*'ANALYSE - ERP =&gt; SOUS-SEGMENT'!$JV$84</f>
        <v>8696.52</v>
      </c>
      <c r="L23" s="458">
        <f>'ANALYSE - ERP =&gt; SOUS-SEGMENT'!$BH$84*'ANALYSE - ERP =&gt; SOUS-SEGMENT'!$JW$84</f>
        <v>0</v>
      </c>
      <c r="N23" s="458">
        <f>'ANALYSE - ERP =&gt; SOUS-SEGMENT'!$FJ$84*'ANALYSE - ERP =&gt; SOUS-SEGMENT'!$JX$84</f>
        <v>604.17979033657139</v>
      </c>
      <c r="O23" s="458">
        <f>'ANALYSE - ERP =&gt; SOUS-SEGMENT'!$FJ$84*'ANALYSE - ERP =&gt; SOUS-SEGMENT'!$JY$84</f>
        <v>22517.316032159142</v>
      </c>
      <c r="P23" s="458">
        <f>'ANALYSE - ERP =&gt; SOUS-SEGMENT'!$FJ$84*'ANALYSE - ERP =&gt; SOUS-SEGMENT'!$JZ$84</f>
        <v>29976.612674391428</v>
      </c>
      <c r="Q23" s="458">
        <f>'ANALYSE - ERP =&gt; SOUS-SEGMENT'!$FJ$84*'ANALYSE - ERP =&gt; SOUS-SEGMENT'!$KA$84</f>
        <v>4705.631059352143</v>
      </c>
      <c r="R23" s="458">
        <f>'ANALYSE - ERP =&gt; SOUS-SEGMENT'!$FJ$84*'ANALYSE - ERP =&gt; SOUS-SEGMENT'!$KB$84</f>
        <v>290.47105304642855</v>
      </c>
      <c r="T23" s="430">
        <f>'ANALYSE - ERP =&gt; SOUS-SEGMENT'!$Q$84</f>
        <v>1</v>
      </c>
    </row>
    <row r="24" spans="1:20" ht="15" customHeight="1">
      <c r="A24" s="26">
        <v>21</v>
      </c>
      <c r="B24" s="26">
        <v>21</v>
      </c>
      <c r="C24" s="422">
        <f>'ANALYSE - ERP =&gt; SOUS-SEGMENT'!$A$35</f>
        <v>28</v>
      </c>
      <c r="D24" s="414" t="str">
        <f>'ANALYSE - ERP =&gt; SOUS-SEGMENT'!$B$35</f>
        <v>Sports &amp; Loisirs</v>
      </c>
      <c r="E24" s="414" t="str">
        <f>'ANALYSE - ERP =&gt; SOUS-SEGMENT'!$C$35</f>
        <v>Loisirs de plein air</v>
      </c>
      <c r="F24" s="414" t="str">
        <f>'ANALYSE - ERP =&gt; SOUS-SEGMENT'!$D$35</f>
        <v>Centres de loisirs sans hébergement</v>
      </c>
      <c r="H24" s="458">
        <f>'ANALYSE - ERP =&gt; SOUS-SEGMENT'!$BH$35*'ANALYSE - ERP =&gt; SOUS-SEGMENT'!$JS$35</f>
        <v>16674</v>
      </c>
      <c r="I24" s="458">
        <f>'ANALYSE - ERP =&gt; SOUS-SEGMENT'!$BH$35*'ANALYSE - ERP =&gt; SOUS-SEGMENT'!$JT$35</f>
        <v>49047.6</v>
      </c>
      <c r="J24" s="458">
        <f>'ANALYSE - ERP =&gt; SOUS-SEGMENT'!$BH$35*'ANALYSE - ERP =&gt; SOUS-SEGMENT'!$JU$35</f>
        <v>18270</v>
      </c>
      <c r="K24" s="458">
        <f>'ANALYSE - ERP =&gt; SOUS-SEGMENT'!$BH$35*'ANALYSE - ERP =&gt; SOUS-SEGMENT'!$JV$35</f>
        <v>0</v>
      </c>
      <c r="L24" s="458">
        <f>'ANALYSE - ERP =&gt; SOUS-SEGMENT'!$BH$35*'ANALYSE - ERP =&gt; SOUS-SEGMENT'!$JW$35</f>
        <v>8.4</v>
      </c>
      <c r="N24" s="458">
        <f>'ANALYSE - ERP =&gt; SOUS-SEGMENT'!$FJ$35*'ANALYSE - ERP =&gt; SOUS-SEGMENT'!$JX$35</f>
        <v>2258.9745724728</v>
      </c>
      <c r="O24" s="458">
        <f>'ANALYSE - ERP =&gt; SOUS-SEGMENT'!$FJ$35*'ANALYSE - ERP =&gt; SOUS-SEGMENT'!$JY$35</f>
        <v>11539.264848274801</v>
      </c>
      <c r="P24" s="458">
        <f>'ANALYSE - ERP =&gt; SOUS-SEGMENT'!$FJ$35*'ANALYSE - ERP =&gt; SOUS-SEGMENT'!$JZ$35</f>
        <v>8014.2957541920005</v>
      </c>
      <c r="Q24" s="458">
        <f>'ANALYSE - ERP =&gt; SOUS-SEGMENT'!$FJ$35*'ANALYSE - ERP =&gt; SOUS-SEGMENT'!$KA$35</f>
        <v>193.75220504640001</v>
      </c>
      <c r="R24" s="458">
        <f>'ANALYSE - ERP =&gt; SOUS-SEGMENT'!$FJ$35*'ANALYSE - ERP =&gt; SOUS-SEGMENT'!$KB$35</f>
        <v>11.008648014</v>
      </c>
      <c r="T24" s="430">
        <f>'ANALYSE - ERP =&gt; SOUS-SEGMENT'!$Q$35</f>
        <v>1</v>
      </c>
    </row>
    <row r="25" spans="1:20" ht="15" customHeight="1">
      <c r="A25" s="26">
        <v>22</v>
      </c>
      <c r="B25" s="26">
        <v>22</v>
      </c>
      <c r="C25" s="422">
        <f>'ANALYSE - ERP =&gt; SOUS-SEGMENT'!$A$87</f>
        <v>80</v>
      </c>
      <c r="D25" s="414" t="str">
        <f>'ANALYSE - ERP =&gt; SOUS-SEGMENT'!$B$87</f>
        <v>Hébergement Touristique</v>
      </c>
      <c r="E25" s="414" t="str">
        <f>'ANALYSE - ERP =&gt; SOUS-SEGMENT'!$C$87</f>
        <v>Hébergement Touristique</v>
      </c>
      <c r="F25" s="414" t="str">
        <f>'ANALYSE - ERP =&gt; SOUS-SEGMENT'!$D$87</f>
        <v>Hôtels 
(hors autres hébérgements touristiques)</v>
      </c>
      <c r="H25" s="458">
        <f>'ANALYSE - ERP =&gt; SOUS-SEGMENT'!$BH$87*'ANALYSE - ERP =&gt; SOUS-SEGMENT'!$JS$87</f>
        <v>589.96</v>
      </c>
      <c r="I25" s="458">
        <f>'ANALYSE - ERP =&gt; SOUS-SEGMENT'!$BH$87*'ANALYSE - ERP =&gt; SOUS-SEGMENT'!$JT$87</f>
        <v>15791.965</v>
      </c>
      <c r="J25" s="458">
        <f>'ANALYSE - ERP =&gt; SOUS-SEGMENT'!$BH$87*'ANALYSE - ERP =&gt; SOUS-SEGMENT'!$JU$87</f>
        <v>26858.982500000002</v>
      </c>
      <c r="K25" s="458">
        <f>'ANALYSE - ERP =&gt; SOUS-SEGMENT'!$BH$87*'ANALYSE - ERP =&gt; SOUS-SEGMENT'!$JV$87</f>
        <v>8675.5725000000002</v>
      </c>
      <c r="L25" s="458">
        <f>'ANALYSE - ERP =&gt; SOUS-SEGMENT'!$BH$87*'ANALYSE - ERP =&gt; SOUS-SEGMENT'!$JW$87</f>
        <v>758.52</v>
      </c>
      <c r="N25" s="458">
        <f>'ANALYSE - ERP =&gt; SOUS-SEGMENT'!$FJ$87*'ANALYSE - ERP =&gt; SOUS-SEGMENT'!$JX$87</f>
        <v>0</v>
      </c>
      <c r="O25" s="458">
        <f>'ANALYSE - ERP =&gt; SOUS-SEGMENT'!$FJ$87*'ANALYSE - ERP =&gt; SOUS-SEGMENT'!$JY$87</f>
        <v>6298.5397729682445</v>
      </c>
      <c r="P25" s="458">
        <f>'ANALYSE - ERP =&gt; SOUS-SEGMENT'!$FJ$87*'ANALYSE - ERP =&gt; SOUS-SEGMENT'!$JZ$87</f>
        <v>12661.765956689678</v>
      </c>
      <c r="Q25" s="458">
        <f>'ANALYSE - ERP =&gt; SOUS-SEGMENT'!$FJ$87*'ANALYSE - ERP =&gt; SOUS-SEGMENT'!$KA$87</f>
        <v>4518.4655807600257</v>
      </c>
      <c r="R25" s="458">
        <f>'ANALYSE - ERP =&gt; SOUS-SEGMENT'!$FJ$87*'ANALYSE - ERP =&gt; SOUS-SEGMENT'!$KB$87</f>
        <v>479.15859817179489</v>
      </c>
      <c r="T25" s="430">
        <f>'ANALYSE - ERP =&gt; SOUS-SEGMENT'!$Q$87</f>
        <v>1</v>
      </c>
    </row>
    <row r="26" spans="1:20" ht="15" customHeight="1">
      <c r="A26" s="26">
        <v>23</v>
      </c>
      <c r="B26" s="26">
        <v>24</v>
      </c>
      <c r="C26" s="422">
        <f>'ANALYSE - ERP =&gt; SOUS-SEGMENT'!$A$19</f>
        <v>12</v>
      </c>
      <c r="D26" s="414" t="str">
        <f>'ANALYSE - ERP =&gt; SOUS-SEGMENT'!$B$19</f>
        <v>Enfance, Enseignement, Jeunesse &amp; Formation</v>
      </c>
      <c r="E26" s="414" t="str">
        <f>'ANALYSE - ERP =&gt; SOUS-SEGMENT'!$C$19</f>
        <v>Formation</v>
      </c>
      <c r="F26" s="414" t="str">
        <f>'ANALYSE - ERP =&gt; SOUS-SEGMENT'!$D$19</f>
        <v>Centres de formation / CFA</v>
      </c>
      <c r="H26" s="458">
        <f>'ANALYSE - ERP =&gt; SOUS-SEGMENT'!$BH$19*'ANALYSE - ERP =&gt; SOUS-SEGMENT'!$JS$19</f>
        <v>2197.692</v>
      </c>
      <c r="I26" s="458">
        <f>'ANALYSE - ERP =&gt; SOUS-SEGMENT'!$BH$19*'ANALYSE - ERP =&gt; SOUS-SEGMENT'!$JT$19</f>
        <v>24963.876</v>
      </c>
      <c r="J26" s="458">
        <f>'ANALYSE - ERP =&gt; SOUS-SEGMENT'!$BH$19*'ANALYSE - ERP =&gt; SOUS-SEGMENT'!$JU$19</f>
        <v>32523.119999999999</v>
      </c>
      <c r="K26" s="458">
        <f>'ANALYSE - ERP =&gt; SOUS-SEGMENT'!$BH$19*'ANALYSE - ERP =&gt; SOUS-SEGMENT'!$JV$19</f>
        <v>8137.5839999999998</v>
      </c>
      <c r="L26" s="458">
        <f>'ANALYSE - ERP =&gt; SOUS-SEGMENT'!$BH$19*'ANALYSE - ERP =&gt; SOUS-SEGMENT'!$JW$19</f>
        <v>217.72800000000001</v>
      </c>
      <c r="N26" s="458">
        <f>'ANALYSE - ERP =&gt; SOUS-SEGMENT'!$FJ$19*'ANALYSE - ERP =&gt; SOUS-SEGMENT'!$JX$19</f>
        <v>0</v>
      </c>
      <c r="O26" s="458">
        <f>'ANALYSE - ERP =&gt; SOUS-SEGMENT'!$FJ$19*'ANALYSE - ERP =&gt; SOUS-SEGMENT'!$JY$19</f>
        <v>4338.2236263551995</v>
      </c>
      <c r="P26" s="458">
        <f>'ANALYSE - ERP =&gt; SOUS-SEGMENT'!$FJ$19*'ANALYSE - ERP =&gt; SOUS-SEGMENT'!$JZ$19</f>
        <v>14010.371602945919</v>
      </c>
      <c r="Q26" s="458">
        <f>'ANALYSE - ERP =&gt; SOUS-SEGMENT'!$FJ$19*'ANALYSE - ERP =&gt; SOUS-SEGMENT'!$KA$19</f>
        <v>7244.3107784678396</v>
      </c>
      <c r="R26" s="458">
        <f>'ANALYSE - ERP =&gt; SOUS-SEGMENT'!$FJ$19*'ANALYSE - ERP =&gt; SOUS-SEGMENT'!$KB$19</f>
        <v>540.97125943103993</v>
      </c>
      <c r="T26" s="430">
        <f>'ANALYSE - ERP =&gt; SOUS-SEGMENT'!$Q$19</f>
        <v>1</v>
      </c>
    </row>
    <row r="27" spans="1:20" ht="15" customHeight="1">
      <c r="A27" s="26">
        <v>24</v>
      </c>
      <c r="B27" s="26">
        <v>23</v>
      </c>
      <c r="C27" s="422">
        <f>'ANALYSE - ERP =&gt; SOUS-SEGMENT'!$A$79</f>
        <v>72</v>
      </c>
      <c r="D27" s="414" t="str">
        <f>'ANALYSE - ERP =&gt; SOUS-SEGMENT'!$B$79</f>
        <v>Commerce, Restauration &amp; Loisirs</v>
      </c>
      <c r="E27" s="414" t="str">
        <f>'ANALYSE - ERP =&gt; SOUS-SEGMENT'!$C$79</f>
        <v>Commerce</v>
      </c>
      <c r="F27" s="414" t="str">
        <f>'ANALYSE - ERP =&gt; SOUS-SEGMENT'!$D$79</f>
        <v>Centres commerciaux / Malls
(dotés de sanitaires collectifs clients)</v>
      </c>
      <c r="H27" s="458">
        <f>'ANALYSE - ERP =&gt; SOUS-SEGMENT'!$BH$79*'ANALYSE - ERP =&gt; SOUS-SEGMENT'!$JS$79</f>
        <v>698.88</v>
      </c>
      <c r="I27" s="458">
        <f>'ANALYSE - ERP =&gt; SOUS-SEGMENT'!$BH$79*'ANALYSE - ERP =&gt; SOUS-SEGMENT'!$JT$79</f>
        <v>18707.52</v>
      </c>
      <c r="J27" s="458">
        <f>'ANALYSE - ERP =&gt; SOUS-SEGMENT'!$BH$79*'ANALYSE - ERP =&gt; SOUS-SEGMENT'!$JU$79</f>
        <v>31817.760000000002</v>
      </c>
      <c r="K27" s="458">
        <f>'ANALYSE - ERP =&gt; SOUS-SEGMENT'!$BH$79*'ANALYSE - ERP =&gt; SOUS-SEGMENT'!$JV$79</f>
        <v>10277.280000000001</v>
      </c>
      <c r="L27" s="458">
        <f>'ANALYSE - ERP =&gt; SOUS-SEGMENT'!$BH$79*'ANALYSE - ERP =&gt; SOUS-SEGMENT'!$JW$79</f>
        <v>898.56</v>
      </c>
      <c r="N27" s="458">
        <f>'ANALYSE - ERP =&gt; SOUS-SEGMENT'!$FJ$79*'ANALYSE - ERP =&gt; SOUS-SEGMENT'!$JX$79</f>
        <v>0</v>
      </c>
      <c r="O27" s="458">
        <f>'ANALYSE - ERP =&gt; SOUS-SEGMENT'!$FJ$79*'ANALYSE - ERP =&gt; SOUS-SEGMENT'!$JY$79</f>
        <v>6927.7313329984372</v>
      </c>
      <c r="P27" s="458">
        <f>'ANALYSE - ERP =&gt; SOUS-SEGMENT'!$FJ$79*'ANALYSE - ERP =&gt; SOUS-SEGMENT'!$JZ$79</f>
        <v>14035.886155328126</v>
      </c>
      <c r="Q27" s="458">
        <f>'ANALYSE - ERP =&gt; SOUS-SEGMENT'!$FJ$79*'ANALYSE - ERP =&gt; SOUS-SEGMENT'!$KA$79</f>
        <v>5030.6314084124997</v>
      </c>
      <c r="R27" s="458">
        <f>'ANALYSE - ERP =&gt; SOUS-SEGMENT'!$FJ$79*'ANALYSE - ERP =&gt; SOUS-SEGMENT'!$KB$79</f>
        <v>538.61718138593744</v>
      </c>
      <c r="T27" s="430">
        <f>'ANALYSE - ERP =&gt; SOUS-SEGMENT'!$Q$79</f>
        <v>1</v>
      </c>
    </row>
    <row r="28" spans="1:20" ht="15" customHeight="1">
      <c r="A28" s="26">
        <v>25</v>
      </c>
      <c r="B28" s="26">
        <v>28</v>
      </c>
      <c r="C28" s="422">
        <f>'ANALYSE - ERP =&gt; SOUS-SEGMENT'!$A$22</f>
        <v>15</v>
      </c>
      <c r="D28" s="413" t="str">
        <f>'ANALYSE - ERP =&gt; SOUS-SEGMENT'!$B$22</f>
        <v>Sports &amp; Loisirs</v>
      </c>
      <c r="E28" s="413" t="str">
        <f>'ANALYSE - ERP =&gt; SOUS-SEGMENT'!$C$22</f>
        <v>Sport couvert / Thermalisme / Bien-être</v>
      </c>
      <c r="F28" s="413" t="str">
        <f>'ANALYSE - ERP =&gt; SOUS-SEGMENT'!$D$22</f>
        <v>Salles de fitness / dojos</v>
      </c>
      <c r="H28" s="458">
        <f>'ANALYSE - ERP =&gt; SOUS-SEGMENT'!$BH$22*'ANALYSE - ERP =&gt; SOUS-SEGMENT'!$JS$22</f>
        <v>0</v>
      </c>
      <c r="I28" s="458">
        <f>'ANALYSE - ERP =&gt; SOUS-SEGMENT'!$BH$22*'ANALYSE - ERP =&gt; SOUS-SEGMENT'!$JT$22</f>
        <v>14556.119999999999</v>
      </c>
      <c r="J28" s="458">
        <f>'ANALYSE - ERP =&gt; SOUS-SEGMENT'!$BH$22*'ANALYSE - ERP =&gt; SOUS-SEGMENT'!$JU$22</f>
        <v>32178.600000000002</v>
      </c>
      <c r="K28" s="458">
        <f>'ANALYSE - ERP =&gt; SOUS-SEGMENT'!$BH$22*'ANALYSE - ERP =&gt; SOUS-SEGMENT'!$JV$22</f>
        <v>11526.12</v>
      </c>
      <c r="L28" s="458">
        <f>'ANALYSE - ERP =&gt; SOUS-SEGMENT'!$BH$22*'ANALYSE - ERP =&gt; SOUS-SEGMENT'!$JW$22</f>
        <v>2339.1600000000003</v>
      </c>
      <c r="N28" s="458">
        <f>'ANALYSE - ERP =&gt; SOUS-SEGMENT'!$FJ$22*'ANALYSE - ERP =&gt; SOUS-SEGMENT'!$JX$22</f>
        <v>0</v>
      </c>
      <c r="O28" s="458">
        <f>'ANALYSE - ERP =&gt; SOUS-SEGMENT'!$FJ$22*'ANALYSE - ERP =&gt; SOUS-SEGMENT'!$JY$22</f>
        <v>3410.6894470666671</v>
      </c>
      <c r="P28" s="458">
        <f>'ANALYSE - ERP =&gt; SOUS-SEGMENT'!$FJ$22*'ANALYSE - ERP =&gt; SOUS-SEGMENT'!$JZ$22</f>
        <v>16376.395182933335</v>
      </c>
      <c r="Q28" s="458">
        <f>'ANALYSE - ERP =&gt; SOUS-SEGMENT'!$FJ$22*'ANALYSE - ERP =&gt; SOUS-SEGMENT'!$KA$22</f>
        <v>10082.671878933334</v>
      </c>
      <c r="R28" s="458">
        <f>'ANALYSE - ERP =&gt; SOUS-SEGMENT'!$FJ$22*'ANALYSE - ERP =&gt; SOUS-SEGMENT'!$KB$22</f>
        <v>1916.7248244000002</v>
      </c>
      <c r="T28" s="430">
        <f>'ANALYSE - ERP =&gt; SOUS-SEGMENT'!$Q$22</f>
        <v>1</v>
      </c>
    </row>
    <row r="29" spans="1:20" ht="15" customHeight="1">
      <c r="A29" s="26">
        <v>26</v>
      </c>
      <c r="B29" s="26">
        <v>26</v>
      </c>
      <c r="C29" s="422">
        <f>'ANALYSE - ERP =&gt; SOUS-SEGMENT'!$A$125</f>
        <v>118</v>
      </c>
      <c r="D29" s="414" t="str">
        <f>'ANALYSE - ERP =&gt; SOUS-SEGMENT'!$B$125</f>
        <v>Transport, Mobilité &amp; Stationnement</v>
      </c>
      <c r="E29" s="414" t="str">
        <f>'ANALYSE - ERP =&gt; SOUS-SEGMENT'!$C$125</f>
        <v>Transport / Mobilité</v>
      </c>
      <c r="F29" s="414" t="str">
        <f>'ANALYSE - ERP =&gt; SOUS-SEGMENT'!$D$125</f>
        <v>Gares ferroviaires et stations
(dotés de sanitaires)</v>
      </c>
      <c r="H29" s="458">
        <f>'ANALYSE - ERP =&gt; SOUS-SEGMENT'!$BH$125*'ANALYSE - ERP =&gt; SOUS-SEGMENT'!$JS$125</f>
        <v>1390.3700000000001</v>
      </c>
      <c r="I29" s="458">
        <f>'ANALYSE - ERP =&gt; SOUS-SEGMENT'!$BH$125*'ANALYSE - ERP =&gt; SOUS-SEGMENT'!$JT$125</f>
        <v>12477.35</v>
      </c>
      <c r="J29" s="458">
        <f>'ANALYSE - ERP =&gt; SOUS-SEGMENT'!$BH$125*'ANALYSE - ERP =&gt; SOUS-SEGMENT'!$JU$125</f>
        <v>10364.81</v>
      </c>
      <c r="K29" s="458">
        <f>'ANALYSE - ERP =&gt; SOUS-SEGMENT'!$BH$125*'ANALYSE - ERP =&gt; SOUS-SEGMENT'!$JV$125</f>
        <v>1290.1400000000001</v>
      </c>
      <c r="L29" s="458">
        <f>'ANALYSE - ERP =&gt; SOUS-SEGMENT'!$BH$125*'ANALYSE - ERP =&gt; SOUS-SEGMENT'!$JW$125</f>
        <v>177.32999999999998</v>
      </c>
      <c r="N29" s="458">
        <f>'ANALYSE - ERP =&gt; SOUS-SEGMENT'!$FJ$125*'ANALYSE - ERP =&gt; SOUS-SEGMENT'!$JX$125</f>
        <v>421.7251685</v>
      </c>
      <c r="O29" s="458">
        <f>'ANALYSE - ERP =&gt; SOUS-SEGMENT'!$FJ$125*'ANALYSE - ERP =&gt; SOUS-SEGMENT'!$JY$125</f>
        <v>5794.6297033000001</v>
      </c>
      <c r="P29" s="458">
        <f>'ANALYSE - ERP =&gt; SOUS-SEGMENT'!$FJ$125*'ANALYSE - ERP =&gt; SOUS-SEGMENT'!$JZ$125</f>
        <v>5336.3969828999998</v>
      </c>
      <c r="Q29" s="458">
        <f>'ANALYSE - ERP =&gt; SOUS-SEGMENT'!$FJ$125*'ANALYSE - ERP =&gt; SOUS-SEGMENT'!$KA$125</f>
        <v>891.28781879999997</v>
      </c>
      <c r="R29" s="458">
        <f>'ANALYSE - ERP =&gt; SOUS-SEGMENT'!$FJ$125*'ANALYSE - ERP =&gt; SOUS-SEGMENT'!$KB$125</f>
        <v>144.77132649999999</v>
      </c>
      <c r="T29" s="430">
        <f>'ANALYSE - ERP =&gt; SOUS-SEGMENT'!$Q$125</f>
        <v>1</v>
      </c>
    </row>
    <row r="30" spans="1:20" ht="15" customHeight="1">
      <c r="A30" s="26">
        <v>27</v>
      </c>
      <c r="B30" s="26">
        <v>27</v>
      </c>
      <c r="C30" s="422">
        <f>'ANALYSE - ERP =&gt; SOUS-SEGMENT'!$A$68</f>
        <v>61</v>
      </c>
      <c r="D30" s="409" t="str">
        <f>'ANALYSE - ERP =&gt; SOUS-SEGMENT'!$B$68</f>
        <v>Culture, Patrimoine &amp; Evénementiel</v>
      </c>
      <c r="E30" s="409" t="str">
        <f>'ANALYSE - ERP =&gt; SOUS-SEGMENT'!$C$68</f>
        <v>Culture / spectacle</v>
      </c>
      <c r="F30" s="409" t="str">
        <f>'ANALYSE - ERP =&gt; SOUS-SEGMENT'!$D$68</f>
        <v>Bibliothèques / Médiathèques</v>
      </c>
      <c r="H30" s="458">
        <f>'ANALYSE - ERP =&gt; SOUS-SEGMENT'!$BH$68*'ANALYSE - ERP =&gt; SOUS-SEGMENT'!$JS$68</f>
        <v>2120.4</v>
      </c>
      <c r="I30" s="458">
        <f>'ANALYSE - ERP =&gt; SOUS-SEGMENT'!$BH$68*'ANALYSE - ERP =&gt; SOUS-SEGMENT'!$JT$68</f>
        <v>22010</v>
      </c>
      <c r="J30" s="458">
        <f>'ANALYSE - ERP =&gt; SOUS-SEGMENT'!$BH$68*'ANALYSE - ERP =&gt; SOUS-SEGMENT'!$JU$68</f>
        <v>29543</v>
      </c>
      <c r="K30" s="458">
        <f>'ANALYSE - ERP =&gt; SOUS-SEGMENT'!$BH$68*'ANALYSE - ERP =&gt; SOUS-SEGMENT'!$JV$68</f>
        <v>8060</v>
      </c>
      <c r="L30" s="458">
        <f>'ANALYSE - ERP =&gt; SOUS-SEGMENT'!$BH$68*'ANALYSE - ERP =&gt; SOUS-SEGMENT'!$JW$68</f>
        <v>266.60000000000002</v>
      </c>
      <c r="N30" s="458">
        <f>'ANALYSE - ERP =&gt; SOUS-SEGMENT'!$FJ$68*'ANALYSE - ERP =&gt; SOUS-SEGMENT'!$JX$68</f>
        <v>37.361260605128201</v>
      </c>
      <c r="O30" s="458">
        <f>'ANALYSE - ERP =&gt; SOUS-SEGMENT'!$FJ$68*'ANALYSE - ERP =&gt; SOUS-SEGMENT'!$JY$68</f>
        <v>6818.4300604358968</v>
      </c>
      <c r="P30" s="458">
        <f>'ANALYSE - ERP =&gt; SOUS-SEGMENT'!$FJ$68*'ANALYSE - ERP =&gt; SOUS-SEGMENT'!$JZ$68</f>
        <v>14183.935722589742</v>
      </c>
      <c r="Q30" s="458">
        <f>'ANALYSE - ERP =&gt; SOUS-SEGMENT'!$FJ$68*'ANALYSE - ERP =&gt; SOUS-SEGMENT'!$KA$68</f>
        <v>5347.9975894769223</v>
      </c>
      <c r="R30" s="458">
        <f>'ANALYSE - ERP =&gt; SOUS-SEGMENT'!$FJ$68*'ANALYSE - ERP =&gt; SOUS-SEGMENT'!$KB$68</f>
        <v>298.89008484102561</v>
      </c>
      <c r="T30" s="430">
        <f>'ANALYSE - ERP =&gt; SOUS-SEGMENT'!$Q$68</f>
        <v>1</v>
      </c>
    </row>
    <row r="31" spans="1:20" ht="15" customHeight="1">
      <c r="A31" s="26">
        <v>28</v>
      </c>
      <c r="B31" s="26">
        <v>25</v>
      </c>
      <c r="C31" s="422">
        <f>'ANALYSE - ERP =&gt; SOUS-SEGMENT'!$A$52</f>
        <v>45</v>
      </c>
      <c r="D31" s="409" t="str">
        <f>'ANALYSE - ERP =&gt; SOUS-SEGMENT'!$B$52</f>
        <v>Santé &amp; Médico-social</v>
      </c>
      <c r="E31" s="409" t="str">
        <f>'ANALYSE - ERP =&gt; SOUS-SEGMENT'!$C$52</f>
        <v>Médico-social</v>
      </c>
      <c r="F31" s="409" t="str">
        <f>'ANALYSE - ERP =&gt; SOUS-SEGMENT'!$D$52</f>
        <v>Établissements Médico-éducatifs</v>
      </c>
      <c r="H31" s="458">
        <f>'ANALYSE - ERP =&gt; SOUS-SEGMENT'!$BH$52*'ANALYSE - ERP =&gt; SOUS-SEGMENT'!$JS$52</f>
        <v>0</v>
      </c>
      <c r="I31" s="458">
        <f>'ANALYSE - ERP =&gt; SOUS-SEGMENT'!$BH$52*'ANALYSE - ERP =&gt; SOUS-SEGMENT'!$JT$52</f>
        <v>9987.25</v>
      </c>
      <c r="J31" s="458">
        <f>'ANALYSE - ERP =&gt; SOUS-SEGMENT'!$BH$52*'ANALYSE - ERP =&gt; SOUS-SEGMENT'!$JU$52</f>
        <v>17826.25</v>
      </c>
      <c r="K31" s="458">
        <f>'ANALYSE - ERP =&gt; SOUS-SEGMENT'!$BH$52*'ANALYSE - ERP =&gt; SOUS-SEGMENT'!$JV$52</f>
        <v>4686.5</v>
      </c>
      <c r="L31" s="458">
        <f>'ANALYSE - ERP =&gt; SOUS-SEGMENT'!$BH$52*'ANALYSE - ERP =&gt; SOUS-SEGMENT'!$JW$52</f>
        <v>0</v>
      </c>
      <c r="N31" s="458">
        <f>'ANALYSE - ERP =&gt; SOUS-SEGMENT'!$FJ$52*'ANALYSE - ERP =&gt; SOUS-SEGMENT'!$JX$52</f>
        <v>0</v>
      </c>
      <c r="O31" s="458">
        <f>'ANALYSE - ERP =&gt; SOUS-SEGMENT'!$FJ$52*'ANALYSE - ERP =&gt; SOUS-SEGMENT'!$JY$52</f>
        <v>2644.7979483120002</v>
      </c>
      <c r="P31" s="458">
        <f>'ANALYSE - ERP =&gt; SOUS-SEGMENT'!$FJ$52*'ANALYSE - ERP =&gt; SOUS-SEGMENT'!$JZ$52</f>
        <v>8050.7873919720014</v>
      </c>
      <c r="Q31" s="458">
        <f>'ANALYSE - ERP =&gt; SOUS-SEGMENT'!$FJ$52*'ANALYSE - ERP =&gt; SOUS-SEGMENT'!$KA$52</f>
        <v>3327.7335797160003</v>
      </c>
      <c r="R31" s="458">
        <f>'ANALYSE - ERP =&gt; SOUS-SEGMENT'!$FJ$52*'ANALYSE - ERP =&gt; SOUS-SEGMENT'!$KB$52</f>
        <v>0</v>
      </c>
      <c r="T31" s="430">
        <f>'ANALYSE - ERP =&gt; SOUS-SEGMENT'!$Q$52</f>
        <v>1</v>
      </c>
    </row>
    <row r="32" spans="1:20" ht="15" customHeight="1">
      <c r="A32" s="26">
        <v>29</v>
      </c>
      <c r="B32" s="26">
        <v>30</v>
      </c>
      <c r="C32" s="422">
        <f>'ANALYSE - ERP =&gt; SOUS-SEGMENT'!$A$24</f>
        <v>17</v>
      </c>
      <c r="D32" s="409" t="str">
        <f>'ANALYSE - ERP =&gt; SOUS-SEGMENT'!$B$24</f>
        <v>Sports &amp; Loisirs</v>
      </c>
      <c r="E32" s="409" t="str">
        <f>'ANALYSE - ERP =&gt; SOUS-SEGMENT'!$C$24</f>
        <v>Sport couvert / Thermalisme / Bien-être</v>
      </c>
      <c r="F32" s="409" t="str">
        <f>'ANALYSE - ERP =&gt; SOUS-SEGMENT'!$D$24</f>
        <v>Piscines couvertes</v>
      </c>
      <c r="H32" s="458">
        <f>'ANALYSE - ERP =&gt; SOUS-SEGMENT'!$BH$24*'ANALYSE - ERP =&gt; SOUS-SEGMENT'!$JS$24</f>
        <v>6300.54</v>
      </c>
      <c r="I32" s="458">
        <f>'ANALYSE - ERP =&gt; SOUS-SEGMENT'!$BH$24*'ANALYSE - ERP =&gt; SOUS-SEGMENT'!$JT$24</f>
        <v>30516.7</v>
      </c>
      <c r="J32" s="458">
        <f>'ANALYSE - ERP =&gt; SOUS-SEGMENT'!$BH$24*'ANALYSE - ERP =&gt; SOUS-SEGMENT'!$JU$24</f>
        <v>12482.759999999998</v>
      </c>
      <c r="K32" s="458">
        <f>'ANALYSE - ERP =&gt; SOUS-SEGMENT'!$BH$24*'ANALYSE - ERP =&gt; SOUS-SEGMENT'!$JV$24</f>
        <v>0</v>
      </c>
      <c r="L32" s="458">
        <f>'ANALYSE - ERP =&gt; SOUS-SEGMENT'!$BH$24*'ANALYSE - ERP =&gt; SOUS-SEGMENT'!$JW$24</f>
        <v>0</v>
      </c>
      <c r="N32" s="458">
        <f>'ANALYSE - ERP =&gt; SOUS-SEGMENT'!$FJ$24*'ANALYSE - ERP =&gt; SOUS-SEGMENT'!$JX$24</f>
        <v>1354.1862243455998</v>
      </c>
      <c r="O32" s="458">
        <f>'ANALYSE - ERP =&gt; SOUS-SEGMENT'!$FJ$24*'ANALYSE - ERP =&gt; SOUS-SEGMENT'!$JY$24</f>
        <v>13235.998688230398</v>
      </c>
      <c r="P32" s="458">
        <f>'ANALYSE - ERP =&gt; SOUS-SEGMENT'!$FJ$24*'ANALYSE - ERP =&gt; SOUS-SEGMENT'!$JZ$24</f>
        <v>10076.230831423998</v>
      </c>
      <c r="Q32" s="458">
        <f>'ANALYSE - ERP =&gt; SOUS-SEGMENT'!$FJ$24*'ANALYSE - ERP =&gt; SOUS-SEGMENT'!$KA$24</f>
        <v>0</v>
      </c>
      <c r="R32" s="458">
        <f>'ANALYSE - ERP =&gt; SOUS-SEGMENT'!$FJ$24*'ANALYSE - ERP =&gt; SOUS-SEGMENT'!$KB$24</f>
        <v>0</v>
      </c>
      <c r="T32" s="430">
        <f>'ANALYSE - ERP =&gt; SOUS-SEGMENT'!$Q$24</f>
        <v>1</v>
      </c>
    </row>
    <row r="33" spans="1:20" ht="15" customHeight="1">
      <c r="A33" s="26">
        <v>30</v>
      </c>
      <c r="B33" s="26">
        <v>29</v>
      </c>
      <c r="C33" s="422">
        <f>'ANALYSE - ERP =&gt; SOUS-SEGMENT'!$A$46</f>
        <v>39</v>
      </c>
      <c r="D33" s="409" t="str">
        <f>'ANALYSE - ERP =&gt; SOUS-SEGMENT'!$B$46</f>
        <v>Santé &amp; Médico-social</v>
      </c>
      <c r="E33" s="409" t="str">
        <f>'ANALYSE - ERP =&gt; SOUS-SEGMENT'!$C$46</f>
        <v>Santé hospitalière</v>
      </c>
      <c r="F33" s="409" t="str">
        <f>'ANALYSE - ERP =&gt; SOUS-SEGMENT'!$D$46</f>
        <v>Cliniques</v>
      </c>
      <c r="H33" s="458">
        <f>'ANALYSE - ERP =&gt; SOUS-SEGMENT'!$BH$46*'ANALYSE - ERP =&gt; SOUS-SEGMENT'!$JS$46</f>
        <v>0</v>
      </c>
      <c r="I33" s="458">
        <f>'ANALYSE - ERP =&gt; SOUS-SEGMENT'!$BH$46*'ANALYSE - ERP =&gt; SOUS-SEGMENT'!$JT$46</f>
        <v>3732.3</v>
      </c>
      <c r="J33" s="458">
        <f>'ANALYSE - ERP =&gt; SOUS-SEGMENT'!$BH$46*'ANALYSE - ERP =&gt; SOUS-SEGMENT'!$JU$46</f>
        <v>30406.934999999998</v>
      </c>
      <c r="K33" s="458">
        <f>'ANALYSE - ERP =&gt; SOUS-SEGMENT'!$BH$46*'ANALYSE - ERP =&gt; SOUS-SEGMENT'!$JV$46</f>
        <v>20663.37</v>
      </c>
      <c r="L33" s="458">
        <f>'ANALYSE - ERP =&gt; SOUS-SEGMENT'!$BH$46*'ANALYSE - ERP =&gt; SOUS-SEGMENT'!$JW$46</f>
        <v>1747.395</v>
      </c>
      <c r="N33" s="458">
        <f>'ANALYSE - ERP =&gt; SOUS-SEGMENT'!$FJ$46*'ANALYSE - ERP =&gt; SOUS-SEGMENT'!$JX$46</f>
        <v>0</v>
      </c>
      <c r="O33" s="458">
        <f>'ANALYSE - ERP =&gt; SOUS-SEGMENT'!$FJ$46*'ANALYSE - ERP =&gt; SOUS-SEGMENT'!$JY$46</f>
        <v>0</v>
      </c>
      <c r="P33" s="458">
        <f>'ANALYSE - ERP =&gt; SOUS-SEGMENT'!$FJ$46*'ANALYSE - ERP =&gt; SOUS-SEGMENT'!$JZ$46</f>
        <v>11876.7701532636</v>
      </c>
      <c r="Q33" s="458">
        <f>'ANALYSE - ERP =&gt; SOUS-SEGMENT'!$FJ$46*'ANALYSE - ERP =&gt; SOUS-SEGMENT'!$KA$46</f>
        <v>14064.893049496401</v>
      </c>
      <c r="R33" s="458">
        <f>'ANALYSE - ERP =&gt; SOUS-SEGMENT'!$FJ$46*'ANALYSE - ERP =&gt; SOUS-SEGMENT'!$KB$46</f>
        <v>2255.7968002400003</v>
      </c>
      <c r="T33" s="430">
        <f>'ANALYSE - ERP =&gt; SOUS-SEGMENT'!$Q$46</f>
        <v>1</v>
      </c>
    </row>
    <row r="34" spans="1:20" ht="15" customHeight="1">
      <c r="A34" s="26">
        <v>31</v>
      </c>
      <c r="B34" s="26">
        <v>32</v>
      </c>
      <c r="C34" s="422">
        <f>'ANALYSE - ERP =&gt; SOUS-SEGMENT'!$A$66</f>
        <v>59</v>
      </c>
      <c r="D34" s="410" t="str">
        <f>'ANALYSE - ERP =&gt; SOUS-SEGMENT'!$B$66</f>
        <v>Culture, Patrimoine &amp; Evénementiel</v>
      </c>
      <c r="E34" s="410" t="str">
        <f>'ANALYSE - ERP =&gt; SOUS-SEGMENT'!$C$66</f>
        <v>Culture / spectacle</v>
      </c>
      <c r="F34" s="410" t="str">
        <f>'ANALYSE - ERP =&gt; SOUS-SEGMENT'!$D$66</f>
        <v>Salles de conférence / Réunion</v>
      </c>
      <c r="H34" s="458">
        <f>'ANALYSE - ERP =&gt; SOUS-SEGMENT'!$BH$66*'ANALYSE - ERP =&gt; SOUS-SEGMENT'!$JS$66</f>
        <v>616.50400000000002</v>
      </c>
      <c r="I34" s="458">
        <f>'ANALYSE - ERP =&gt; SOUS-SEGMENT'!$BH$66*'ANALYSE - ERP =&gt; SOUS-SEGMENT'!$JT$66</f>
        <v>9168.3760000000002</v>
      </c>
      <c r="J34" s="458">
        <f>'ANALYSE - ERP =&gt; SOUS-SEGMENT'!$BH$66*'ANALYSE - ERP =&gt; SOUS-SEGMENT'!$JU$66</f>
        <v>14094.752</v>
      </c>
      <c r="K34" s="458">
        <f>'ANALYSE - ERP =&gt; SOUS-SEGMENT'!$BH$66*'ANALYSE - ERP =&gt; SOUS-SEGMENT'!$JV$66</f>
        <v>4233.5159999999996</v>
      </c>
      <c r="L34" s="458">
        <f>'ANALYSE - ERP =&gt; SOUS-SEGMENT'!$BH$66*'ANALYSE - ERP =&gt; SOUS-SEGMENT'!$JW$66</f>
        <v>166.852</v>
      </c>
      <c r="N34" s="458">
        <f>'ANALYSE - ERP =&gt; SOUS-SEGMENT'!$FJ$66*'ANALYSE - ERP =&gt; SOUS-SEGMENT'!$JX$66</f>
        <v>0</v>
      </c>
      <c r="O34" s="458">
        <f>'ANALYSE - ERP =&gt; SOUS-SEGMENT'!$FJ$66*'ANALYSE - ERP =&gt; SOUS-SEGMENT'!$JY$66</f>
        <v>2297.8774138299032</v>
      </c>
      <c r="P34" s="458">
        <f>'ANALYSE - ERP =&gt; SOUS-SEGMENT'!$FJ$66*'ANALYSE - ERP =&gt; SOUS-SEGMENT'!$JZ$66</f>
        <v>6290.4246068123402</v>
      </c>
      <c r="Q34" s="458">
        <f>'ANALYSE - ERP =&gt; SOUS-SEGMENT'!$FJ$66*'ANALYSE - ERP =&gt; SOUS-SEGMENT'!$KA$66</f>
        <v>3033.814429811528</v>
      </c>
      <c r="R34" s="458">
        <f>'ANALYSE - ERP =&gt; SOUS-SEGMENT'!$FJ$66*'ANALYSE - ERP =&gt; SOUS-SEGMENT'!$KB$66</f>
        <v>228.72116599750973</v>
      </c>
      <c r="T34" s="430">
        <f>'ANALYSE - ERP =&gt; SOUS-SEGMENT'!$Q$66</f>
        <v>1</v>
      </c>
    </row>
    <row r="35" spans="1:20" ht="15" customHeight="1">
      <c r="A35" s="26">
        <v>32</v>
      </c>
      <c r="B35" s="26">
        <v>31</v>
      </c>
      <c r="C35" s="422">
        <f>'ANALYSE - ERP =&gt; SOUS-SEGMENT'!$A$45</f>
        <v>38</v>
      </c>
      <c r="D35" s="411" t="str">
        <f>'ANALYSE - ERP =&gt; SOUS-SEGMENT'!$B$45</f>
        <v>Santé &amp; Médico-social</v>
      </c>
      <c r="E35" s="411" t="str">
        <f>'ANALYSE - ERP =&gt; SOUS-SEGMENT'!$C$45</f>
        <v>Santé hospitalière</v>
      </c>
      <c r="F35" s="411" t="str">
        <f>'ANALYSE - ERP =&gt; SOUS-SEGMENT'!$D$45</f>
        <v>Hôpitaux privés</v>
      </c>
      <c r="H35" s="458">
        <f>'ANALYSE - ERP =&gt; SOUS-SEGMENT'!$BH$45*'ANALYSE - ERP =&gt; SOUS-SEGMENT'!$JS$45</f>
        <v>0</v>
      </c>
      <c r="I35" s="458">
        <f>'ANALYSE - ERP =&gt; SOUS-SEGMENT'!$BH$45*'ANALYSE - ERP =&gt; SOUS-SEGMENT'!$JT$45</f>
        <v>3803.5944</v>
      </c>
      <c r="J35" s="458">
        <f>'ANALYSE - ERP =&gt; SOUS-SEGMENT'!$BH$45*'ANALYSE - ERP =&gt; SOUS-SEGMENT'!$JU$45</f>
        <v>25858.800000000003</v>
      </c>
      <c r="K35" s="458">
        <f>'ANALYSE - ERP =&gt; SOUS-SEGMENT'!$BH$45*'ANALYSE - ERP =&gt; SOUS-SEGMENT'!$JV$45</f>
        <v>16126.488000000001</v>
      </c>
      <c r="L35" s="458">
        <f>'ANALYSE - ERP =&gt; SOUS-SEGMENT'!$BH$45*'ANALYSE - ERP =&gt; SOUS-SEGMENT'!$JW$45</f>
        <v>1227.1176</v>
      </c>
      <c r="N35" s="458">
        <f>'ANALYSE - ERP =&gt; SOUS-SEGMENT'!$FJ$45*'ANALYSE - ERP =&gt; SOUS-SEGMENT'!$JX$45</f>
        <v>0</v>
      </c>
      <c r="O35" s="458">
        <f>'ANALYSE - ERP =&gt; SOUS-SEGMENT'!$FJ$45*'ANALYSE - ERP =&gt; SOUS-SEGMENT'!$JY$45</f>
        <v>153.85633201479999</v>
      </c>
      <c r="P35" s="458">
        <f>'ANALYSE - ERP =&gt; SOUS-SEGMENT'!$FJ$45*'ANALYSE - ERP =&gt; SOUS-SEGMENT'!$JZ$45</f>
        <v>10182.074270949599</v>
      </c>
      <c r="Q35" s="458">
        <f>'ANALYSE - ERP =&gt; SOUS-SEGMENT'!$FJ$45*'ANALYSE - ERP =&gt; SOUS-SEGMENT'!$KA$45</f>
        <v>11034.025004941999</v>
      </c>
      <c r="R35" s="458">
        <f>'ANALYSE - ERP =&gt; SOUS-SEGMENT'!$FJ$45*'ANALYSE - ERP =&gt; SOUS-SEGMENT'!$KB$45</f>
        <v>1593.6760360935998</v>
      </c>
      <c r="T35" s="430">
        <f>'ANALYSE - ERP =&gt; SOUS-SEGMENT'!$Q$45</f>
        <v>1</v>
      </c>
    </row>
    <row r="36" spans="1:20" ht="15" customHeight="1">
      <c r="A36" s="26">
        <v>33</v>
      </c>
      <c r="B36" s="26">
        <v>33</v>
      </c>
      <c r="C36" s="422">
        <f>'ANALYSE - ERP =&gt; SOUS-SEGMENT'!$A$120</f>
        <v>113</v>
      </c>
      <c r="D36" s="411" t="str">
        <f>'ANALYSE - ERP =&gt; SOUS-SEGMENT'!$B$120</f>
        <v>Culte, Vie civique &amp; Services publics</v>
      </c>
      <c r="E36" s="411" t="str">
        <f>'ANALYSE - ERP =&gt; SOUS-SEGMENT'!$C$120</f>
        <v>Vie associative</v>
      </c>
      <c r="F36" s="411" t="str">
        <f>'ANALYSE - ERP =&gt; SOUS-SEGMENT'!$D$120</f>
        <v>Locaux associatifs recevant du public (dotés de sanitaires)</v>
      </c>
      <c r="H36" s="458">
        <f>'ANALYSE - ERP =&gt; SOUS-SEGMENT'!$BH$120*'ANALYSE - ERP =&gt; SOUS-SEGMENT'!$JS$120</f>
        <v>1778.088</v>
      </c>
      <c r="I36" s="458">
        <f>'ANALYSE - ERP =&gt; SOUS-SEGMENT'!$BH$120*'ANALYSE - ERP =&gt; SOUS-SEGMENT'!$JT$120</f>
        <v>8993.8559999999998</v>
      </c>
      <c r="J36" s="458">
        <f>'ANALYSE - ERP =&gt; SOUS-SEGMENT'!$BH$120*'ANALYSE - ERP =&gt; SOUS-SEGMENT'!$JU$120</f>
        <v>5496.06</v>
      </c>
      <c r="K36" s="458">
        <f>'ANALYSE - ERP =&gt; SOUS-SEGMENT'!$BH$120*'ANALYSE - ERP =&gt; SOUS-SEGMENT'!$JV$120</f>
        <v>411.99599999999998</v>
      </c>
      <c r="L36" s="458">
        <f>'ANALYSE - ERP =&gt; SOUS-SEGMENT'!$BH$120*'ANALYSE - ERP =&gt; SOUS-SEGMENT'!$JW$120</f>
        <v>0</v>
      </c>
      <c r="N36" s="458">
        <f>'ANALYSE - ERP =&gt; SOUS-SEGMENT'!$FJ$120*'ANALYSE - ERP =&gt; SOUS-SEGMENT'!$JX$120</f>
        <v>462.16652421825006</v>
      </c>
      <c r="O36" s="458">
        <f>'ANALYSE - ERP =&gt; SOUS-SEGMENT'!$FJ$120*'ANALYSE - ERP =&gt; SOUS-SEGMENT'!$JY$120</f>
        <v>2657.8413734943215</v>
      </c>
      <c r="P36" s="458">
        <f>'ANALYSE - ERP =&gt; SOUS-SEGMENT'!$FJ$120*'ANALYSE - ERP =&gt; SOUS-SEGMENT'!$JZ$120</f>
        <v>1769.8469997195002</v>
      </c>
      <c r="Q36" s="458">
        <f>'ANALYSE - ERP =&gt; SOUS-SEGMENT'!$FJ$120*'ANALYSE - ERP =&gt; SOUS-SEGMENT'!$KA$120</f>
        <v>209.84305086321433</v>
      </c>
      <c r="R36" s="458">
        <f>'ANALYSE - ERP =&gt; SOUS-SEGMENT'!$FJ$120*'ANALYSE - ERP =&gt; SOUS-SEGMENT'!$KB$120</f>
        <v>18.425243490428574</v>
      </c>
      <c r="T36" s="430">
        <f>'ANALYSE - ERP =&gt; SOUS-SEGMENT'!$Q$120</f>
        <v>1</v>
      </c>
    </row>
    <row r="37" spans="1:20" ht="15" customHeight="1">
      <c r="A37" s="26">
        <v>34</v>
      </c>
      <c r="B37" s="26">
        <v>34</v>
      </c>
      <c r="C37" s="422">
        <f>'ANALYSE - ERP =&gt; SOUS-SEGMENT'!$A$59</f>
        <v>52</v>
      </c>
      <c r="D37" s="408" t="str">
        <f>'ANALYSE - ERP =&gt; SOUS-SEGMENT'!$B$59</f>
        <v>Santé &amp; Médico-social</v>
      </c>
      <c r="E37" s="408" t="str">
        <f>'ANALYSE - ERP =&gt; SOUS-SEGMENT'!$C$59</f>
        <v>Médico-social</v>
      </c>
      <c r="F37" s="408" t="str">
        <f>'ANALYSE - ERP =&gt; SOUS-SEGMENT'!$D$59</f>
        <v>USLD</v>
      </c>
      <c r="H37" s="458">
        <f>'ANALYSE - ERP =&gt; SOUS-SEGMENT'!$BH$59*'ANALYSE - ERP =&gt; SOUS-SEGMENT'!$JS$59</f>
        <v>0</v>
      </c>
      <c r="I37" s="458">
        <f>'ANALYSE - ERP =&gt; SOUS-SEGMENT'!$BH$59*'ANALYSE - ERP =&gt; SOUS-SEGMENT'!$JT$59</f>
        <v>3280.03</v>
      </c>
      <c r="J37" s="458">
        <f>'ANALYSE - ERP =&gt; SOUS-SEGMENT'!$BH$59*'ANALYSE - ERP =&gt; SOUS-SEGMENT'!$JU$59</f>
        <v>16507.79</v>
      </c>
      <c r="K37" s="458">
        <f>'ANALYSE - ERP =&gt; SOUS-SEGMENT'!$BH$59*'ANALYSE - ERP =&gt; SOUS-SEGMENT'!$JV$59</f>
        <v>10112.18</v>
      </c>
      <c r="L37" s="458">
        <f>'ANALYSE - ERP =&gt; SOUS-SEGMENT'!$BH$59*'ANALYSE - ERP =&gt; SOUS-SEGMENT'!$JW$59</f>
        <v>0</v>
      </c>
      <c r="N37" s="458">
        <f>'ANALYSE - ERP =&gt; SOUS-SEGMENT'!$FJ$59*'ANALYSE - ERP =&gt; SOUS-SEGMENT'!$JX$59</f>
        <v>0</v>
      </c>
      <c r="O37" s="458">
        <f>'ANALYSE - ERP =&gt; SOUS-SEGMENT'!$FJ$59*'ANALYSE - ERP =&gt; SOUS-SEGMENT'!$JY$59</f>
        <v>681.77004096923088</v>
      </c>
      <c r="P37" s="458">
        <f>'ANALYSE - ERP =&gt; SOUS-SEGMENT'!$FJ$59*'ANALYSE - ERP =&gt; SOUS-SEGMENT'!$JZ$59</f>
        <v>5808.1106277692315</v>
      </c>
      <c r="Q37" s="458">
        <f>'ANALYSE - ERP =&gt; SOUS-SEGMENT'!$FJ$59*'ANALYSE - ERP =&gt; SOUS-SEGMENT'!$KA$59</f>
        <v>5142.9691243846155</v>
      </c>
      <c r="R37" s="458">
        <f>'ANALYSE - ERP =&gt; SOUS-SEGMENT'!$FJ$59*'ANALYSE - ERP =&gt; SOUS-SEGMENT'!$KB$59</f>
        <v>244.67705303076926</v>
      </c>
      <c r="T37" s="430">
        <f>'ANALYSE - ERP =&gt; SOUS-SEGMENT'!$Q$59</f>
        <v>1</v>
      </c>
    </row>
    <row r="38" spans="1:20" ht="15" customHeight="1">
      <c r="A38" s="26">
        <v>35</v>
      </c>
      <c r="B38" s="26">
        <v>35</v>
      </c>
      <c r="C38" s="422">
        <f>'ANALYSE - ERP =&gt; SOUS-SEGMENT'!$A$73</f>
        <v>66</v>
      </c>
      <c r="D38" s="415" t="str">
        <f>'ANALYSE - ERP =&gt; SOUS-SEGMENT'!$B$73</f>
        <v>Culture, Patrimoine &amp; Evénementiel</v>
      </c>
      <c r="E38" s="415" t="str">
        <f>'ANALYSE - ERP =&gt; SOUS-SEGMENT'!$C$73</f>
        <v>Événementiel temporaire</v>
      </c>
      <c r="F38" s="415" t="str">
        <f>'ANALYSE - ERP =&gt; SOUS-SEGMENT'!$D$73</f>
        <v>Structures gonflables</v>
      </c>
      <c r="H38" s="458">
        <f>'ANALYSE - ERP =&gt; SOUS-SEGMENT'!$BH$73*'ANALYSE - ERP =&gt; SOUS-SEGMENT'!$JS$73</f>
        <v>345.73</v>
      </c>
      <c r="I38" s="458">
        <f>'ANALYSE - ERP =&gt; SOUS-SEGMENT'!$BH$73*'ANALYSE - ERP =&gt; SOUS-SEGMENT'!$JT$73</f>
        <v>686.07</v>
      </c>
      <c r="J38" s="458">
        <f>'ANALYSE - ERP =&gt; SOUS-SEGMENT'!$BH$73*'ANALYSE - ERP =&gt; SOUS-SEGMENT'!$JU$73</f>
        <v>68.2</v>
      </c>
      <c r="K38" s="458">
        <f>'ANALYSE - ERP =&gt; SOUS-SEGMENT'!$BH$73*'ANALYSE - ERP =&gt; SOUS-SEGMENT'!$JV$73</f>
        <v>0</v>
      </c>
      <c r="L38" s="458">
        <f>'ANALYSE - ERP =&gt; SOUS-SEGMENT'!$BH$73*'ANALYSE - ERP =&gt; SOUS-SEGMENT'!$JW$73</f>
        <v>0</v>
      </c>
      <c r="N38" s="458">
        <f>'ANALYSE - ERP =&gt; SOUS-SEGMENT'!$FJ$73*'ANALYSE - ERP =&gt; SOUS-SEGMENT'!$JX$73</f>
        <v>82.199940266181841</v>
      </c>
      <c r="O38" s="458">
        <f>'ANALYSE - ERP =&gt; SOUS-SEGMENT'!$FJ$73*'ANALYSE - ERP =&gt; SOUS-SEGMENT'!$JY$73</f>
        <v>331.63595755090915</v>
      </c>
      <c r="P38" s="458">
        <f>'ANALYSE - ERP =&gt; SOUS-SEGMENT'!$FJ$73*'ANALYSE - ERP =&gt; SOUS-SEGMENT'!$JZ$73</f>
        <v>83.742433092000013</v>
      </c>
      <c r="Q38" s="458">
        <f>'ANALYSE - ERP =&gt; SOUS-SEGMENT'!$FJ$73*'ANALYSE - ERP =&gt; SOUS-SEGMENT'!$KA$73</f>
        <v>0</v>
      </c>
      <c r="R38" s="458">
        <f>'ANALYSE - ERP =&gt; SOUS-SEGMENT'!$FJ$73*'ANALYSE - ERP =&gt; SOUS-SEGMENT'!$KB$73</f>
        <v>0</v>
      </c>
      <c r="T38" s="430">
        <f>'ANALYSE - ERP =&gt; SOUS-SEGMENT'!$Q$73</f>
        <v>1</v>
      </c>
    </row>
    <row r="39" spans="1:20" ht="15" customHeight="1">
      <c r="A39" s="26">
        <v>36</v>
      </c>
      <c r="B39" s="26">
        <v>36</v>
      </c>
      <c r="C39" s="422">
        <f>'ANALYSE - ERP =&gt; SOUS-SEGMENT'!$A$49</f>
        <v>42</v>
      </c>
      <c r="D39" s="411" t="str">
        <f>'ANALYSE - ERP =&gt; SOUS-SEGMENT'!$B$49</f>
        <v>Santé &amp; Médico-social</v>
      </c>
      <c r="E39" s="411" t="str">
        <f>'ANALYSE - ERP =&gt; SOUS-SEGMENT'!$C$49</f>
        <v>Santé spécialisée</v>
      </c>
      <c r="F39" s="411" t="str">
        <f>'ANALYSE - ERP =&gt; SOUS-SEGMENT'!$D$49</f>
        <v>Centres de psychiatrie</v>
      </c>
      <c r="H39" s="458">
        <f>'ANALYSE - ERP =&gt; SOUS-SEGMENT'!$BH$49*'ANALYSE - ERP =&gt; SOUS-SEGMENT'!$JS$49</f>
        <v>981.28800000000012</v>
      </c>
      <c r="I39" s="458">
        <f>'ANALYSE - ERP =&gt; SOUS-SEGMENT'!$BH$49*'ANALYSE - ERP =&gt; SOUS-SEGMENT'!$JT$49</f>
        <v>13220.13</v>
      </c>
      <c r="J39" s="458">
        <f>'ANALYSE - ERP =&gt; SOUS-SEGMENT'!$BH$49*'ANALYSE - ERP =&gt; SOUS-SEGMENT'!$JU$49</f>
        <v>10025.988000000001</v>
      </c>
      <c r="K39" s="458">
        <f>'ANALYSE - ERP =&gt; SOUS-SEGMENT'!$BH$49*'ANALYSE - ERP =&gt; SOUS-SEGMENT'!$JV$49</f>
        <v>552.59400000000005</v>
      </c>
      <c r="L39" s="458">
        <f>'ANALYSE - ERP =&gt; SOUS-SEGMENT'!$BH$49*'ANALYSE - ERP =&gt; SOUS-SEGMENT'!$JW$49</f>
        <v>0</v>
      </c>
      <c r="N39" s="458">
        <f>'ANALYSE - ERP =&gt; SOUS-SEGMENT'!$FJ$49*'ANALYSE - ERP =&gt; SOUS-SEGMENT'!$JX$49</f>
        <v>0</v>
      </c>
      <c r="O39" s="458">
        <f>'ANALYSE - ERP =&gt; SOUS-SEGMENT'!$FJ$49*'ANALYSE - ERP =&gt; SOUS-SEGMENT'!$JY$49</f>
        <v>4256.0273992414495</v>
      </c>
      <c r="P39" s="458">
        <f>'ANALYSE - ERP =&gt; SOUS-SEGMENT'!$FJ$49*'ANALYSE - ERP =&gt; SOUS-SEGMENT'!$JZ$49</f>
        <v>6736.0566651336003</v>
      </c>
      <c r="Q39" s="458">
        <f>'ANALYSE - ERP =&gt; SOUS-SEGMENT'!$FJ$49*'ANALYSE - ERP =&gt; SOUS-SEGMENT'!$KA$49</f>
        <v>800.73222612494999</v>
      </c>
      <c r="R39" s="458">
        <f>'ANALYSE - ERP =&gt; SOUS-SEGMENT'!$FJ$49*'ANALYSE - ERP =&gt; SOUS-SEGMENT'!$KB$49</f>
        <v>0</v>
      </c>
      <c r="T39" s="430">
        <f>'ANALYSE - ERP =&gt; SOUS-SEGMENT'!$Q$49</f>
        <v>0</v>
      </c>
    </row>
    <row r="40" spans="1:20" ht="15" customHeight="1">
      <c r="A40" s="26">
        <v>37</v>
      </c>
      <c r="B40" s="26">
        <v>37</v>
      </c>
      <c r="C40" s="422">
        <f>'ANALYSE - ERP =&gt; SOUS-SEGMENT'!$A$50</f>
        <v>43</v>
      </c>
      <c r="D40" s="408" t="str">
        <f>'ANALYSE - ERP =&gt; SOUS-SEGMENT'!$B$50</f>
        <v>Santé &amp; Médico-social</v>
      </c>
      <c r="E40" s="408" t="str">
        <f>'ANALYSE - ERP =&gt; SOUS-SEGMENT'!$C$50</f>
        <v>Santé spécialisée</v>
      </c>
      <c r="F40" s="408" t="str">
        <f>'ANALYSE - ERP =&gt; SOUS-SEGMENT'!$D$50</f>
        <v>Centres de rééducation</v>
      </c>
      <c r="H40" s="458">
        <f>'ANALYSE - ERP =&gt; SOUS-SEGMENT'!$BH$50*'ANALYSE - ERP =&gt; SOUS-SEGMENT'!$JS$50</f>
        <v>0</v>
      </c>
      <c r="I40" s="458">
        <f>'ANALYSE - ERP =&gt; SOUS-SEGMENT'!$BH$50*'ANALYSE - ERP =&gt; SOUS-SEGMENT'!$JT$50</f>
        <v>2991.12</v>
      </c>
      <c r="J40" s="458">
        <f>'ANALYSE - ERP =&gt; SOUS-SEGMENT'!$BH$50*'ANALYSE - ERP =&gt; SOUS-SEGMENT'!$JU$50</f>
        <v>14416.704000000002</v>
      </c>
      <c r="K40" s="458">
        <f>'ANALYSE - ERP =&gt; SOUS-SEGMENT'!$BH$50*'ANALYSE - ERP =&gt; SOUS-SEGMENT'!$JV$50</f>
        <v>7312.1760000000004</v>
      </c>
      <c r="L40" s="458">
        <f>'ANALYSE - ERP =&gt; SOUS-SEGMENT'!$BH$50*'ANALYSE - ERP =&gt; SOUS-SEGMENT'!$JW$50</f>
        <v>0</v>
      </c>
      <c r="N40" s="458">
        <f>'ANALYSE - ERP =&gt; SOUS-SEGMENT'!$FJ$50*'ANALYSE - ERP =&gt; SOUS-SEGMENT'!$JX$50</f>
        <v>0</v>
      </c>
      <c r="O40" s="458">
        <f>'ANALYSE - ERP =&gt; SOUS-SEGMENT'!$FJ$50*'ANALYSE - ERP =&gt; SOUS-SEGMENT'!$JY$50</f>
        <v>479.85510270977778</v>
      </c>
      <c r="P40" s="458">
        <f>'ANALYSE - ERP =&gt; SOUS-SEGMENT'!$FJ$50*'ANALYSE - ERP =&gt; SOUS-SEGMENT'!$JZ$50</f>
        <v>6297.5043429882226</v>
      </c>
      <c r="Q40" s="458">
        <f>'ANALYSE - ERP =&gt; SOUS-SEGMENT'!$FJ$50*'ANALYSE - ERP =&gt; SOUS-SEGMENT'!$KA$50</f>
        <v>5050.3561800048892</v>
      </c>
      <c r="R40" s="458">
        <f>'ANALYSE - ERP =&gt; SOUS-SEGMENT'!$FJ$50*'ANALYSE - ERP =&gt; SOUS-SEGMENT'!$KB$50</f>
        <v>49.885926519333331</v>
      </c>
      <c r="T40" s="430">
        <f>'ANALYSE - ERP =&gt; SOUS-SEGMENT'!$Q$50</f>
        <v>0</v>
      </c>
    </row>
    <row r="41" spans="1:20" ht="15" customHeight="1">
      <c r="A41" s="26">
        <v>38</v>
      </c>
      <c r="B41" s="26">
        <v>39</v>
      </c>
      <c r="C41" s="422">
        <f>'ANALYSE - ERP =&gt; SOUS-SEGMENT'!$A$142</f>
        <v>135</v>
      </c>
      <c r="D41" s="413" t="str">
        <f>'ANALYSE - ERP =&gt; SOUS-SEGMENT'!$B$142</f>
        <v>Sécurité &amp; Justice</v>
      </c>
      <c r="E41" s="413" t="str">
        <f>'ANALYSE - ERP =&gt; SOUS-SEGMENT'!$C$142</f>
        <v>Univers carcéral</v>
      </c>
      <c r="F41" s="413" t="str">
        <f>'ANALYSE - ERP =&gt; SOUS-SEGMENT'!$D$142</f>
        <v>Centres pénitentiaires</v>
      </c>
      <c r="H41" s="458">
        <f>'ANALYSE - ERP =&gt; SOUS-SEGMENT'!$BH$142*'ANALYSE - ERP =&gt; SOUS-SEGMENT'!$JS$142</f>
        <v>4386.3270000000002</v>
      </c>
      <c r="I41" s="458">
        <f>'ANALYSE - ERP =&gt; SOUS-SEGMENT'!$BH$142*'ANALYSE - ERP =&gt; SOUS-SEGMENT'!$JT$142</f>
        <v>13593.789000000001</v>
      </c>
      <c r="J41" s="458">
        <f>'ANALYSE - ERP =&gt; SOUS-SEGMENT'!$BH$142*'ANALYSE - ERP =&gt; SOUS-SEGMENT'!$JU$142</f>
        <v>2149.884</v>
      </c>
      <c r="K41" s="458">
        <f>'ANALYSE - ERP =&gt; SOUS-SEGMENT'!$BH$142*'ANALYSE - ERP =&gt; SOUS-SEGMENT'!$JV$142</f>
        <v>0</v>
      </c>
      <c r="L41" s="458">
        <f>'ANALYSE - ERP =&gt; SOUS-SEGMENT'!$BH$142*'ANALYSE - ERP =&gt; SOUS-SEGMENT'!$JW$142</f>
        <v>0</v>
      </c>
      <c r="N41" s="458">
        <f>'ANALYSE - ERP =&gt; SOUS-SEGMENT'!$FJ$142*'ANALYSE - ERP =&gt; SOUS-SEGMENT'!$JX$142</f>
        <v>775.99873824000008</v>
      </c>
      <c r="O41" s="458">
        <f>'ANALYSE - ERP =&gt; SOUS-SEGMENT'!$FJ$142*'ANALYSE - ERP =&gt; SOUS-SEGMENT'!$JY$142</f>
        <v>6780.7759488000011</v>
      </c>
      <c r="P41" s="458">
        <f>'ANALYSE - ERP =&gt; SOUS-SEGMENT'!$FJ$142*'ANALYSE - ERP =&gt; SOUS-SEGMENT'!$JZ$142</f>
        <v>2972.38051296</v>
      </c>
      <c r="Q41" s="458">
        <f>'ANALYSE - ERP =&gt; SOUS-SEGMENT'!$FJ$142*'ANALYSE - ERP =&gt; SOUS-SEGMENT'!$KA$142</f>
        <v>0</v>
      </c>
      <c r="R41" s="458">
        <f>'ANALYSE - ERP =&gt; SOUS-SEGMENT'!$FJ$142*'ANALYSE - ERP =&gt; SOUS-SEGMENT'!$KB$142</f>
        <v>0</v>
      </c>
      <c r="T41" s="430">
        <f>'ANALYSE - ERP =&gt; SOUS-SEGMENT'!$Q$142</f>
        <v>1</v>
      </c>
    </row>
    <row r="42" spans="1:20" ht="15" customHeight="1">
      <c r="A42" s="26">
        <v>39</v>
      </c>
      <c r="B42" s="26">
        <v>38</v>
      </c>
      <c r="C42" s="422">
        <f>'ANALYSE - ERP =&gt; SOUS-SEGMENT'!$A$15</f>
        <v>8</v>
      </c>
      <c r="D42" s="412" t="str">
        <f>'ANALYSE - ERP =&gt; SOUS-SEGMENT'!$B$15</f>
        <v>Enfance, Enseignement, Jeunesse &amp; Formation</v>
      </c>
      <c r="E42" s="412" t="str">
        <f>'ANALYSE - ERP =&gt; SOUS-SEGMENT'!$C$15</f>
        <v>Enseignement scolaire</v>
      </c>
      <c r="F42" s="412" t="str">
        <f>'ANALYSE - ERP =&gt; SOUS-SEGMENT'!$D$15</f>
        <v>Internats scolaires</v>
      </c>
      <c r="H42" s="458">
        <f>'ANALYSE - ERP =&gt; SOUS-SEGMENT'!$BH$15*'ANALYSE - ERP =&gt; SOUS-SEGMENT'!$JS$15</f>
        <v>0</v>
      </c>
      <c r="I42" s="458">
        <f>'ANALYSE - ERP =&gt; SOUS-SEGMENT'!$BH$15*'ANALYSE - ERP =&gt; SOUS-SEGMENT'!$JT$15</f>
        <v>4242.8905999999997</v>
      </c>
      <c r="J42" s="458">
        <f>'ANALYSE - ERP =&gt; SOUS-SEGMENT'!$BH$15*'ANALYSE - ERP =&gt; SOUS-SEGMENT'!$JU$15</f>
        <v>11601.3235</v>
      </c>
      <c r="K42" s="458">
        <f>'ANALYSE - ERP =&gt; SOUS-SEGMENT'!$BH$15*'ANALYSE - ERP =&gt; SOUS-SEGMENT'!$JV$15</f>
        <v>5017.0172000000002</v>
      </c>
      <c r="L42" s="458">
        <f>'ANALYSE - ERP =&gt; SOUS-SEGMENT'!$BH$15*'ANALYSE - ERP =&gt; SOUS-SEGMENT'!$JW$15</f>
        <v>289.76870000000002</v>
      </c>
      <c r="N42" s="458">
        <f>'ANALYSE - ERP =&gt; SOUS-SEGMENT'!$FJ$15*'ANALYSE - ERP =&gt; SOUS-SEGMENT'!$JX$15</f>
        <v>0</v>
      </c>
      <c r="O42" s="458">
        <f>'ANALYSE - ERP =&gt; SOUS-SEGMENT'!$FJ$15*'ANALYSE - ERP =&gt; SOUS-SEGMENT'!$JY$15</f>
        <v>542.26576886738883</v>
      </c>
      <c r="P42" s="458">
        <f>'ANALYSE - ERP =&gt; SOUS-SEGMENT'!$FJ$15*'ANALYSE - ERP =&gt; SOUS-SEGMENT'!$JZ$15</f>
        <v>3021.368689765608</v>
      </c>
      <c r="Q42" s="458">
        <f>'ANALYSE - ERP =&gt; SOUS-SEGMENT'!$FJ$15*'ANALYSE - ERP =&gt; SOUS-SEGMENT'!$KA$15</f>
        <v>2269.3700842847111</v>
      </c>
      <c r="R42" s="458">
        <f>'ANALYSE - ERP =&gt; SOUS-SEGMENT'!$FJ$15*'ANALYSE - ERP =&gt; SOUS-SEGMENT'!$KB$15</f>
        <v>246.208112546292</v>
      </c>
      <c r="T42" s="430">
        <f>'ANALYSE - ERP =&gt; SOUS-SEGMENT'!$Q$15</f>
        <v>1</v>
      </c>
    </row>
    <row r="43" spans="1:20" ht="15" customHeight="1">
      <c r="A43" s="26">
        <v>40</v>
      </c>
      <c r="B43" s="26">
        <v>41</v>
      </c>
      <c r="C43" s="422">
        <f>'ANALYSE - ERP =&gt; SOUS-SEGMENT'!$A$62</f>
        <v>55</v>
      </c>
      <c r="D43" s="412" t="str">
        <f>'ANALYSE - ERP =&gt; SOUS-SEGMENT'!$B$62</f>
        <v>Culture, Patrimoine &amp; Evénementiel</v>
      </c>
      <c r="E43" s="412" t="str">
        <f>'ANALYSE - ERP =&gt; SOUS-SEGMENT'!$C$62</f>
        <v>Culture / spectacle</v>
      </c>
      <c r="F43" s="412" t="str">
        <f>'ANALYSE - ERP =&gt; SOUS-SEGMENT'!$D$62</f>
        <v>Cinémas</v>
      </c>
      <c r="H43" s="458">
        <f>'ANALYSE - ERP =&gt; SOUS-SEGMENT'!$BH$62*'ANALYSE - ERP =&gt; SOUS-SEGMENT'!$JS$62</f>
        <v>0</v>
      </c>
      <c r="I43" s="458">
        <f>'ANALYSE - ERP =&gt; SOUS-SEGMENT'!$BH$62*'ANALYSE - ERP =&gt; SOUS-SEGMENT'!$JT$62</f>
        <v>3290.2604999999999</v>
      </c>
      <c r="J43" s="458">
        <f>'ANALYSE - ERP =&gt; SOUS-SEGMENT'!$BH$62*'ANALYSE - ERP =&gt; SOUS-SEGMENT'!$JU$62</f>
        <v>9349.2224999999999</v>
      </c>
      <c r="K43" s="458">
        <f>'ANALYSE - ERP =&gt; SOUS-SEGMENT'!$BH$62*'ANALYSE - ERP =&gt; SOUS-SEGMENT'!$JV$62</f>
        <v>5291.4195</v>
      </c>
      <c r="L43" s="458">
        <f>'ANALYSE - ERP =&gt; SOUS-SEGMENT'!$BH$62*'ANALYSE - ERP =&gt; SOUS-SEGMENT'!$JW$62</f>
        <v>564.09749999999997</v>
      </c>
      <c r="N43" s="458">
        <f>'ANALYSE - ERP =&gt; SOUS-SEGMENT'!$FJ$62*'ANALYSE - ERP =&gt; SOUS-SEGMENT'!$JX$62</f>
        <v>0</v>
      </c>
      <c r="O43" s="458">
        <f>'ANALYSE - ERP =&gt; SOUS-SEGMENT'!$FJ$62*'ANALYSE - ERP =&gt; SOUS-SEGMENT'!$JY$62</f>
        <v>658.43159119127995</v>
      </c>
      <c r="P43" s="458">
        <f>'ANALYSE - ERP =&gt; SOUS-SEGMENT'!$FJ$62*'ANALYSE - ERP =&gt; SOUS-SEGMENT'!$JZ$62</f>
        <v>3353.3196060555897</v>
      </c>
      <c r="Q43" s="458">
        <f>'ANALYSE - ERP =&gt; SOUS-SEGMENT'!$FJ$62*'ANALYSE - ERP =&gt; SOUS-SEGMENT'!$KA$62</f>
        <v>3009.0021684601497</v>
      </c>
      <c r="R43" s="458">
        <f>'ANALYSE - ERP =&gt; SOUS-SEGMENT'!$FJ$62*'ANALYSE - ERP =&gt; SOUS-SEGMENT'!$KB$62</f>
        <v>530.06763419297988</v>
      </c>
      <c r="T43" s="430">
        <f>'ANALYSE - ERP =&gt; SOUS-SEGMENT'!$Q$62</f>
        <v>1</v>
      </c>
    </row>
    <row r="44" spans="1:20" ht="15" customHeight="1">
      <c r="A44" s="26">
        <v>41</v>
      </c>
      <c r="B44" s="26">
        <v>40</v>
      </c>
      <c r="C44" s="422" t="e">
        <f>'ANALYSE - ERP =&gt; SOUS-SEGMENT'!#REF!</f>
        <v>#REF!</v>
      </c>
      <c r="D44" s="408" t="e">
        <f>'ANALYSE - ERP =&gt; SOUS-SEGMENT'!#REF!</f>
        <v>#REF!</v>
      </c>
      <c r="E44" s="408" t="e">
        <f>'ANALYSE - ERP =&gt; SOUS-SEGMENT'!#REF!</f>
        <v>#REF!</v>
      </c>
      <c r="F44" s="408" t="e">
        <f>'ANALYSE - ERP =&gt; SOUS-SEGMENT'!#REF!</f>
        <v>#REF!</v>
      </c>
      <c r="H44" s="458" t="e">
        <f>'ANALYSE - ERP =&gt; SOUS-SEGMENT'!#REF!*'ANALYSE - ERP =&gt; SOUS-SEGMENT'!#REF!</f>
        <v>#REF!</v>
      </c>
      <c r="I44" s="458" t="e">
        <f>'ANALYSE - ERP =&gt; SOUS-SEGMENT'!#REF!*'ANALYSE - ERP =&gt; SOUS-SEGMENT'!#REF!</f>
        <v>#REF!</v>
      </c>
      <c r="J44" s="458" t="e">
        <f>'ANALYSE - ERP =&gt; SOUS-SEGMENT'!#REF!*'ANALYSE - ERP =&gt; SOUS-SEGMENT'!#REF!</f>
        <v>#REF!</v>
      </c>
      <c r="K44" s="458" t="e">
        <f>'ANALYSE - ERP =&gt; SOUS-SEGMENT'!#REF!*'ANALYSE - ERP =&gt; SOUS-SEGMENT'!#REF!</f>
        <v>#REF!</v>
      </c>
      <c r="L44" s="458" t="e">
        <f>'ANALYSE - ERP =&gt; SOUS-SEGMENT'!#REF!*'ANALYSE - ERP =&gt; SOUS-SEGMENT'!#REF!</f>
        <v>#REF!</v>
      </c>
      <c r="N44" s="458" t="e">
        <f>'ANALYSE - ERP =&gt; SOUS-SEGMENT'!#REF!*'ANALYSE - ERP =&gt; SOUS-SEGMENT'!#REF!</f>
        <v>#REF!</v>
      </c>
      <c r="O44" s="458" t="e">
        <f>'ANALYSE - ERP =&gt; SOUS-SEGMENT'!#REF!*'ANALYSE - ERP =&gt; SOUS-SEGMENT'!#REF!</f>
        <v>#REF!</v>
      </c>
      <c r="P44" s="458" t="e">
        <f>'ANALYSE - ERP =&gt; SOUS-SEGMENT'!#REF!*'ANALYSE - ERP =&gt; SOUS-SEGMENT'!#REF!</f>
        <v>#REF!</v>
      </c>
      <c r="Q44" s="458" t="e">
        <f>'ANALYSE - ERP =&gt; SOUS-SEGMENT'!#REF!*'ANALYSE - ERP =&gt; SOUS-SEGMENT'!#REF!</f>
        <v>#REF!</v>
      </c>
      <c r="R44" s="458" t="e">
        <f>'ANALYSE - ERP =&gt; SOUS-SEGMENT'!#REF!*'ANALYSE - ERP =&gt; SOUS-SEGMENT'!#REF!</f>
        <v>#REF!</v>
      </c>
      <c r="T44" s="430" t="e">
        <f>'ANALYSE - ERP =&gt; SOUS-SEGMENT'!#REF!</f>
        <v>#REF!</v>
      </c>
    </row>
    <row r="45" spans="1:20" ht="15" customHeight="1">
      <c r="A45" s="26">
        <v>42</v>
      </c>
      <c r="B45" s="26">
        <v>42</v>
      </c>
      <c r="C45" s="422">
        <f>'ANALYSE - ERP =&gt; SOUS-SEGMENT'!$A$63</f>
        <v>56</v>
      </c>
      <c r="D45" s="414" t="str">
        <f>'ANALYSE - ERP =&gt; SOUS-SEGMENT'!$B$63</f>
        <v>Culture, Patrimoine &amp; Evénementiel</v>
      </c>
      <c r="E45" s="414" t="str">
        <f>'ANALYSE - ERP =&gt; SOUS-SEGMENT'!$C$63</f>
        <v>Culture / spectacle</v>
      </c>
      <c r="F45" s="414" t="str">
        <f>'ANALYSE - ERP =&gt; SOUS-SEGMENT'!$D$63</f>
        <v>Théâtres</v>
      </c>
      <c r="H45" s="458">
        <f>'ANALYSE - ERP =&gt; SOUS-SEGMENT'!$BH$63*'ANALYSE - ERP =&gt; SOUS-SEGMENT'!$JS$63</f>
        <v>249.6</v>
      </c>
      <c r="I45" s="458">
        <f>'ANALYSE - ERP =&gt; SOUS-SEGMENT'!$BH$63*'ANALYSE - ERP =&gt; SOUS-SEGMENT'!$JT$63</f>
        <v>5066.88</v>
      </c>
      <c r="J45" s="458">
        <f>'ANALYSE - ERP =&gt; SOUS-SEGMENT'!$BH$63*'ANALYSE - ERP =&gt; SOUS-SEGMENT'!$JU$63</f>
        <v>8489.7279999999992</v>
      </c>
      <c r="K45" s="458">
        <f>'ANALYSE - ERP =&gt; SOUS-SEGMENT'!$BH$63*'ANALYSE - ERP =&gt; SOUS-SEGMENT'!$JV$63</f>
        <v>2715.6480000000001</v>
      </c>
      <c r="L45" s="458">
        <f>'ANALYSE - ERP =&gt; SOUS-SEGMENT'!$BH$63*'ANALYSE - ERP =&gt; SOUS-SEGMENT'!$JW$63</f>
        <v>118.14400000000001</v>
      </c>
      <c r="N45" s="458">
        <f>'ANALYSE - ERP =&gt; SOUS-SEGMENT'!$FJ$63*'ANALYSE - ERP =&gt; SOUS-SEGMENT'!$JX$63</f>
        <v>0</v>
      </c>
      <c r="O45" s="458">
        <f>'ANALYSE - ERP =&gt; SOUS-SEGMENT'!$FJ$63*'ANALYSE - ERP =&gt; SOUS-SEGMENT'!$JY$63</f>
        <v>1302.2842044240001</v>
      </c>
      <c r="P45" s="458">
        <f>'ANALYSE - ERP =&gt; SOUS-SEGMENT'!$FJ$63*'ANALYSE - ERP =&gt; SOUS-SEGMENT'!$JZ$63</f>
        <v>3649.8409686951995</v>
      </c>
      <c r="Q45" s="458">
        <f>'ANALYSE - ERP =&gt; SOUS-SEGMENT'!$FJ$63*'ANALYSE - ERP =&gt; SOUS-SEGMENT'!$KA$63</f>
        <v>1799.0815120376001</v>
      </c>
      <c r="R45" s="458">
        <f>'ANALYSE - ERP =&gt; SOUS-SEGMENT'!$FJ$63*'ANALYSE - ERP =&gt; SOUS-SEGMENT'!$KB$63</f>
        <v>139.1859308432</v>
      </c>
      <c r="T45" s="430">
        <f>'ANALYSE - ERP =&gt; SOUS-SEGMENT'!$Q$63</f>
        <v>1</v>
      </c>
    </row>
    <row r="46" spans="1:20" ht="15" customHeight="1">
      <c r="A46" s="26">
        <v>43</v>
      </c>
      <c r="B46" s="26">
        <v>43</v>
      </c>
      <c r="C46" s="422">
        <f>'ANALYSE - ERP =&gt; SOUS-SEGMENT'!$A$150</f>
        <v>143</v>
      </c>
      <c r="D46" s="414" t="str">
        <f>'ANALYSE - ERP =&gt; SOUS-SEGMENT'!$B$150</f>
        <v>Sanitaires Publics</v>
      </c>
      <c r="E46" s="414" t="str">
        <f>'ANALYSE - ERP =&gt; SOUS-SEGMENT'!$C$150</f>
        <v>Sanitaires publics</v>
      </c>
      <c r="F46" s="414" t="str">
        <f>'ANALYSE - ERP =&gt; SOUS-SEGMENT'!$D$150</f>
        <v>Toilettes publiques (sur la voie publique)</v>
      </c>
      <c r="H46" s="458">
        <f>'ANALYSE - ERP =&gt; SOUS-SEGMENT'!$BH$150*'ANALYSE - ERP =&gt; SOUS-SEGMENT'!$JS$150</f>
        <v>4366.5</v>
      </c>
      <c r="I46" s="458">
        <f>'ANALYSE - ERP =&gt; SOUS-SEGMENT'!$BH$150*'ANALYSE - ERP =&gt; SOUS-SEGMENT'!$JT$150</f>
        <v>8932.5</v>
      </c>
      <c r="J46" s="458">
        <f>'ANALYSE - ERP =&gt; SOUS-SEGMENT'!$BH$150*'ANALYSE - ERP =&gt; SOUS-SEGMENT'!$JU$150</f>
        <v>1701</v>
      </c>
      <c r="K46" s="458">
        <f>'ANALYSE - ERP =&gt; SOUS-SEGMENT'!$BH$150*'ANALYSE - ERP =&gt; SOUS-SEGMENT'!$JV$150</f>
        <v>0</v>
      </c>
      <c r="L46" s="458">
        <f>'ANALYSE - ERP =&gt; SOUS-SEGMENT'!$BH$150*'ANALYSE - ERP =&gt; SOUS-SEGMENT'!$JW$150</f>
        <v>0</v>
      </c>
      <c r="N46" s="458">
        <f>'ANALYSE - ERP =&gt; SOUS-SEGMENT'!$FJ$150*'ANALYSE - ERP =&gt; SOUS-SEGMENT'!$JX$150</f>
        <v>2129.3209020482145</v>
      </c>
      <c r="O46" s="458">
        <f>'ANALYSE - ERP =&gt; SOUS-SEGMENT'!$FJ$150*'ANALYSE - ERP =&gt; SOUS-SEGMENT'!$JY$150</f>
        <v>4489.2854360003575</v>
      </c>
      <c r="P46" s="458">
        <f>'ANALYSE - ERP =&gt; SOUS-SEGMENT'!$FJ$150*'ANALYSE - ERP =&gt; SOUS-SEGMENT'!$JZ$150</f>
        <v>1054.8207056357144</v>
      </c>
      <c r="Q46" s="458">
        <f>'ANALYSE - ERP =&gt; SOUS-SEGMENT'!$FJ$150*'ANALYSE - ERP =&gt; SOUS-SEGMENT'!$KA$150</f>
        <v>162.1590040007143</v>
      </c>
      <c r="R46" s="458">
        <f>'ANALYSE - ERP =&gt; SOUS-SEGMENT'!$FJ$150*'ANALYSE - ERP =&gt; SOUS-SEGMENT'!$KB$150</f>
        <v>36.210263029285713</v>
      </c>
      <c r="T46" s="430">
        <f>'ANALYSE - ERP =&gt; SOUS-SEGMENT'!$Q$150</f>
        <v>1</v>
      </c>
    </row>
    <row r="47" spans="1:20" ht="15" customHeight="1">
      <c r="A47" s="26">
        <v>44</v>
      </c>
      <c r="B47" s="26">
        <v>45</v>
      </c>
      <c r="C47" s="422">
        <f>'ANALYSE - ERP =&gt; SOUS-SEGMENT'!$A$116</f>
        <v>109</v>
      </c>
      <c r="D47" s="414" t="str">
        <f>'ANALYSE - ERP =&gt; SOUS-SEGMENT'!$B$116</f>
        <v>Culte, Vie civique &amp; Services publics</v>
      </c>
      <c r="E47" s="414" t="str">
        <f>'ANALYSE - ERP =&gt; SOUS-SEGMENT'!$C$116</f>
        <v>Culte</v>
      </c>
      <c r="F47" s="414" t="str">
        <f>'ANALYSE - ERP =&gt; SOUS-SEGMENT'!$D$116</f>
        <v>Mosquées et salles de prière musulmanes</v>
      </c>
      <c r="H47" s="458">
        <f>'ANALYSE - ERP =&gt; SOUS-SEGMENT'!$BH$116*'ANALYSE - ERP =&gt; SOUS-SEGMENT'!$JS$116</f>
        <v>1773.8240000000001</v>
      </c>
      <c r="I47" s="458">
        <f>'ANALYSE - ERP =&gt; SOUS-SEGMENT'!$BH$116*'ANALYSE - ERP =&gt; SOUS-SEGMENT'!$JT$116</f>
        <v>8972.2880000000005</v>
      </c>
      <c r="J47" s="458">
        <f>'ANALYSE - ERP =&gt; SOUS-SEGMENT'!$BH$116*'ANALYSE - ERP =&gt; SOUS-SEGMENT'!$JU$116</f>
        <v>5482.88</v>
      </c>
      <c r="K47" s="458">
        <f>'ANALYSE - ERP =&gt; SOUS-SEGMENT'!$BH$116*'ANALYSE - ERP =&gt; SOUS-SEGMENT'!$JV$116</f>
        <v>411.00799999999998</v>
      </c>
      <c r="L47" s="458">
        <f>'ANALYSE - ERP =&gt; SOUS-SEGMENT'!$BH$116*'ANALYSE - ERP =&gt; SOUS-SEGMENT'!$JW$116</f>
        <v>0</v>
      </c>
      <c r="N47" s="458">
        <f>'ANALYSE - ERP =&gt; SOUS-SEGMENT'!$FJ$116*'ANALYSE - ERP =&gt; SOUS-SEGMENT'!$JX$116</f>
        <v>626.40703999999994</v>
      </c>
      <c r="O47" s="458">
        <f>'ANALYSE - ERP =&gt; SOUS-SEGMENT'!$FJ$116*'ANALYSE - ERP =&gt; SOUS-SEGMENT'!$JY$116</f>
        <v>3534.2900992</v>
      </c>
      <c r="P47" s="458">
        <f>'ANALYSE - ERP =&gt; SOUS-SEGMENT'!$FJ$116*'ANALYSE - ERP =&gt; SOUS-SEGMENT'!$JZ$116</f>
        <v>2326.8482048000001</v>
      </c>
      <c r="Q47" s="458">
        <f>'ANALYSE - ERP =&gt; SOUS-SEGMENT'!$FJ$116*'ANALYSE - ERP =&gt; SOUS-SEGMENT'!$KA$116</f>
        <v>262.75235839999999</v>
      </c>
      <c r="R47" s="458">
        <f>'ANALYSE - ERP =&gt; SOUS-SEGMENT'!$FJ$116*'ANALYSE - ERP =&gt; SOUS-SEGMENT'!$KB$116</f>
        <v>21.670297600000001</v>
      </c>
      <c r="T47" s="430">
        <f>'ANALYSE - ERP =&gt; SOUS-SEGMENT'!$Q$116</f>
        <v>1</v>
      </c>
    </row>
    <row r="48" spans="1:20" ht="15" customHeight="1">
      <c r="A48" s="26">
        <v>45</v>
      </c>
      <c r="B48" s="26">
        <v>44</v>
      </c>
      <c r="C48" s="422">
        <f>'ANALYSE - ERP =&gt; SOUS-SEGMENT'!$A$65</f>
        <v>58</v>
      </c>
      <c r="D48" s="414" t="str">
        <f>'ANALYSE - ERP =&gt; SOUS-SEGMENT'!$B$65</f>
        <v>Culture, Patrimoine &amp; Evénementiel</v>
      </c>
      <c r="E48" s="414" t="str">
        <f>'ANALYSE - ERP =&gt; SOUS-SEGMENT'!$C$65</f>
        <v>Culture / spectacle</v>
      </c>
      <c r="F48" s="414" t="str">
        <f>'ANALYSE - ERP =&gt; SOUS-SEGMENT'!$D$65</f>
        <v>Salles de spectacle / Auditoriums</v>
      </c>
      <c r="H48" s="458">
        <f>'ANALYSE - ERP =&gt; SOUS-SEGMENT'!$BH$65*'ANALYSE - ERP =&gt; SOUS-SEGMENT'!$JS$65</f>
        <v>0</v>
      </c>
      <c r="I48" s="458">
        <f>'ANALYSE - ERP =&gt; SOUS-SEGMENT'!$BH$65*'ANALYSE - ERP =&gt; SOUS-SEGMENT'!$JT$65</f>
        <v>3340.2719999999999</v>
      </c>
      <c r="J48" s="458">
        <f>'ANALYSE - ERP =&gt; SOUS-SEGMENT'!$BH$65*'ANALYSE - ERP =&gt; SOUS-SEGMENT'!$JU$65</f>
        <v>8098.5839999999998</v>
      </c>
      <c r="K48" s="458">
        <f>'ANALYSE - ERP =&gt; SOUS-SEGMENT'!$BH$65*'ANALYSE - ERP =&gt; SOUS-SEGMENT'!$JV$65</f>
        <v>3959.4828000000002</v>
      </c>
      <c r="L48" s="458">
        <f>'ANALYSE - ERP =&gt; SOUS-SEGMENT'!$BH$65*'ANALYSE - ERP =&gt; SOUS-SEGMENT'!$JW$65</f>
        <v>357.66120000000001</v>
      </c>
      <c r="N48" s="458">
        <f>'ANALYSE - ERP =&gt; SOUS-SEGMENT'!$FJ$65*'ANALYSE - ERP =&gt; SOUS-SEGMENT'!$JX$65</f>
        <v>0</v>
      </c>
      <c r="O48" s="458">
        <f>'ANALYSE - ERP =&gt; SOUS-SEGMENT'!$FJ$65*'ANALYSE - ERP =&gt; SOUS-SEGMENT'!$JY$65</f>
        <v>613.83557409831997</v>
      </c>
      <c r="P48" s="458">
        <f>'ANALYSE - ERP =&gt; SOUS-SEGMENT'!$FJ$65*'ANALYSE - ERP =&gt; SOUS-SEGMENT'!$JZ$65</f>
        <v>2919.5876885684797</v>
      </c>
      <c r="Q48" s="458">
        <f>'ANALYSE - ERP =&gt; SOUS-SEGMENT'!$FJ$65*'ANALYSE - ERP =&gt; SOUS-SEGMENT'!$KA$65</f>
        <v>2496.6085534755198</v>
      </c>
      <c r="R48" s="458">
        <f>'ANALYSE - ERP =&gt; SOUS-SEGMENT'!$FJ$65*'ANALYSE - ERP =&gt; SOUS-SEGMENT'!$KB$65</f>
        <v>417.82085295767996</v>
      </c>
      <c r="T48" s="430">
        <f>'ANALYSE - ERP =&gt; SOUS-SEGMENT'!$Q$65</f>
        <v>1</v>
      </c>
    </row>
    <row r="49" spans="1:20" ht="15" customHeight="1">
      <c r="A49" s="26">
        <v>46</v>
      </c>
      <c r="B49" s="26">
        <v>59</v>
      </c>
      <c r="C49" s="422">
        <f>'ANALYSE - ERP =&gt; SOUS-SEGMENT'!$A$54</f>
        <v>47</v>
      </c>
      <c r="D49" s="415" t="str">
        <f>'ANALYSE - ERP =&gt; SOUS-SEGMENT'!$B$54</f>
        <v>Santé &amp; Médico-social</v>
      </c>
      <c r="E49" s="415" t="str">
        <f>'ANALYSE - ERP =&gt; SOUS-SEGMENT'!$C$54</f>
        <v>Santé ambulatoire</v>
      </c>
      <c r="F49" s="415" t="str">
        <f>'ANALYSE - ERP =&gt; SOUS-SEGMENT'!$D$54</f>
        <v>Maisons de santé</v>
      </c>
      <c r="H49" s="458">
        <f>'ANALYSE - ERP =&gt; SOUS-SEGMENT'!$BH$54*'ANALYSE - ERP =&gt; SOUS-SEGMENT'!$JS$54</f>
        <v>0</v>
      </c>
      <c r="I49" s="458">
        <f>'ANALYSE - ERP =&gt; SOUS-SEGMENT'!$BH$54*'ANALYSE - ERP =&gt; SOUS-SEGMENT'!$JT$54</f>
        <v>1143</v>
      </c>
      <c r="J49" s="458">
        <f>'ANALYSE - ERP =&gt; SOUS-SEGMENT'!$BH$54*'ANALYSE - ERP =&gt; SOUS-SEGMENT'!$JU$54</f>
        <v>5040.0000000000009</v>
      </c>
      <c r="K49" s="458">
        <f>'ANALYSE - ERP =&gt; SOUS-SEGMENT'!$BH$54*'ANALYSE - ERP =&gt; SOUS-SEGMENT'!$JV$54</f>
        <v>2619.9</v>
      </c>
      <c r="L49" s="458">
        <f>'ANALYSE - ERP =&gt; SOUS-SEGMENT'!$BH$54*'ANALYSE - ERP =&gt; SOUS-SEGMENT'!$JW$54</f>
        <v>197.1</v>
      </c>
      <c r="N49" s="458">
        <f>'ANALYSE - ERP =&gt; SOUS-SEGMENT'!$FJ$54*'ANALYSE - ERP =&gt; SOUS-SEGMENT'!$JX$54</f>
        <v>0</v>
      </c>
      <c r="O49" s="458">
        <f>'ANALYSE - ERP =&gt; SOUS-SEGMENT'!$FJ$54*'ANALYSE - ERP =&gt; SOUS-SEGMENT'!$JY$54</f>
        <v>78.060874752000004</v>
      </c>
      <c r="P49" s="458">
        <f>'ANALYSE - ERP =&gt; SOUS-SEGMENT'!$FJ$54*'ANALYSE - ERP =&gt; SOUS-SEGMENT'!$JZ$54</f>
        <v>2941.1602920448004</v>
      </c>
      <c r="Q49" s="458">
        <f>'ANALYSE - ERP =&gt; SOUS-SEGMENT'!$FJ$54*'ANALYSE - ERP =&gt; SOUS-SEGMENT'!$KA$54</f>
        <v>4960.3349189631999</v>
      </c>
      <c r="R49" s="458">
        <f>'ANALYSE - ERP =&gt; SOUS-SEGMENT'!$FJ$54*'ANALYSE - ERP =&gt; SOUS-SEGMENT'!$KB$54</f>
        <v>693.87444224000012</v>
      </c>
      <c r="T49" s="430">
        <f>'ANALYSE - ERP =&gt; SOUS-SEGMENT'!$Q$54</f>
        <v>1</v>
      </c>
    </row>
    <row r="50" spans="1:20" ht="15" customHeight="1">
      <c r="A50" s="26">
        <v>47</v>
      </c>
      <c r="B50" s="26">
        <v>46</v>
      </c>
      <c r="C50" s="422">
        <f>'ANALYSE - ERP =&gt; SOUS-SEGMENT'!$A$28</f>
        <v>21</v>
      </c>
      <c r="D50" s="415" t="str">
        <f>'ANALYSE - ERP =&gt; SOUS-SEGMENT'!$B$28</f>
        <v>Sports &amp; Loisirs</v>
      </c>
      <c r="E50" s="415" t="str">
        <f>'ANALYSE - ERP =&gt; SOUS-SEGMENT'!$C$28</f>
        <v>Sport de plein air</v>
      </c>
      <c r="F50" s="415" t="str">
        <f>'ANALYSE - ERP =&gt; SOUS-SEGMENT'!$D$28</f>
        <v>Stades avec tribunes
(Hors grands stades, hors terrains sport)</v>
      </c>
      <c r="H50" s="458">
        <f>'ANALYSE - ERP =&gt; SOUS-SEGMENT'!$BH$28*'ANALYSE - ERP =&gt; SOUS-SEGMENT'!$JS$28</f>
        <v>3168.828</v>
      </c>
      <c r="I50" s="458">
        <f>'ANALYSE - ERP =&gt; SOUS-SEGMENT'!$BH$28*'ANALYSE - ERP =&gt; SOUS-SEGMENT'!$JT$28</f>
        <v>12563.424000000001</v>
      </c>
      <c r="J50" s="458">
        <f>'ANALYSE - ERP =&gt; SOUS-SEGMENT'!$BH$28*'ANALYSE - ERP =&gt; SOUS-SEGMENT'!$JU$28</f>
        <v>4247.7480000000005</v>
      </c>
      <c r="K50" s="458">
        <f>'ANALYSE - ERP =&gt; SOUS-SEGMENT'!$BH$28*'ANALYSE - ERP =&gt; SOUS-SEGMENT'!$JV$28</f>
        <v>0</v>
      </c>
      <c r="L50" s="458">
        <f>'ANALYSE - ERP =&gt; SOUS-SEGMENT'!$BH$28*'ANALYSE - ERP =&gt; SOUS-SEGMENT'!$JW$28</f>
        <v>0</v>
      </c>
      <c r="N50" s="458">
        <f>'ANALYSE - ERP =&gt; SOUS-SEGMENT'!$FJ$28*'ANALYSE - ERP =&gt; SOUS-SEGMENT'!$JX$28</f>
        <v>608.43923023399998</v>
      </c>
      <c r="O50" s="458">
        <f>'ANALYSE - ERP =&gt; SOUS-SEGMENT'!$FJ$28*'ANALYSE - ERP =&gt; SOUS-SEGMENT'!$JY$28</f>
        <v>5207.8273096299999</v>
      </c>
      <c r="P50" s="458">
        <f>'ANALYSE - ERP =&gt; SOUS-SEGMENT'!$FJ$28*'ANALYSE - ERP =&gt; SOUS-SEGMENT'!$JZ$28</f>
        <v>3558.7601201359998</v>
      </c>
      <c r="Q50" s="458">
        <f>'ANALYSE - ERP =&gt; SOUS-SEGMENT'!$FJ$28*'ANALYSE - ERP =&gt; SOUS-SEGMENT'!$KA$28</f>
        <v>0</v>
      </c>
      <c r="R50" s="458">
        <f>'ANALYSE - ERP =&gt; SOUS-SEGMENT'!$FJ$28*'ANALYSE - ERP =&gt; SOUS-SEGMENT'!$KB$28</f>
        <v>0</v>
      </c>
      <c r="T50" s="430">
        <f>'ANALYSE - ERP =&gt; SOUS-SEGMENT'!$Q$28</f>
        <v>1</v>
      </c>
    </row>
    <row r="51" spans="1:20" ht="15" customHeight="1">
      <c r="A51" s="26">
        <v>48</v>
      </c>
      <c r="B51" s="26">
        <v>47</v>
      </c>
      <c r="C51" s="422">
        <f>'ANALYSE - ERP =&gt; SOUS-SEGMENT'!$A$115</f>
        <v>108</v>
      </c>
      <c r="D51" s="413" t="str">
        <f>'ANALYSE - ERP =&gt; SOUS-SEGMENT'!$B$115</f>
        <v>Culte, Vie civique &amp; Services publics</v>
      </c>
      <c r="E51" s="413" t="str">
        <f>'ANALYSE - ERP =&gt; SOUS-SEGMENT'!$C$115</f>
        <v>Culte</v>
      </c>
      <c r="F51" s="413" t="str">
        <f>'ANALYSE - ERP =&gt; SOUS-SEGMENT'!$D$115</f>
        <v>Temples protestants, évangéliques et salles de culte assimilées</v>
      </c>
      <c r="H51" s="458">
        <f>'ANALYSE - ERP =&gt; SOUS-SEGMENT'!$BH$115*'ANALYSE - ERP =&gt; SOUS-SEGMENT'!$JS$115</f>
        <v>799.5</v>
      </c>
      <c r="I51" s="458">
        <f>'ANALYSE - ERP =&gt; SOUS-SEGMENT'!$BH$115*'ANALYSE - ERP =&gt; SOUS-SEGMENT'!$JT$115</f>
        <v>4044</v>
      </c>
      <c r="J51" s="458">
        <f>'ANALYSE - ERP =&gt; SOUS-SEGMENT'!$BH$115*'ANALYSE - ERP =&gt; SOUS-SEGMENT'!$JU$115</f>
        <v>2471.25</v>
      </c>
      <c r="K51" s="458">
        <f>'ANALYSE - ERP =&gt; SOUS-SEGMENT'!$BH$115*'ANALYSE - ERP =&gt; SOUS-SEGMENT'!$JV$115</f>
        <v>185.25</v>
      </c>
      <c r="L51" s="458">
        <f>'ANALYSE - ERP =&gt; SOUS-SEGMENT'!$BH$115*'ANALYSE - ERP =&gt; SOUS-SEGMENT'!$JW$115</f>
        <v>0</v>
      </c>
      <c r="N51" s="458">
        <f>'ANALYSE - ERP =&gt; SOUS-SEGMENT'!$FJ$115*'ANALYSE - ERP =&gt; SOUS-SEGMENT'!$JX$115</f>
        <v>215.88435589285714</v>
      </c>
      <c r="O51" s="458">
        <f>'ANALYSE - ERP =&gt; SOUS-SEGMENT'!$FJ$115*'ANALYSE - ERP =&gt; SOUS-SEGMENT'!$JY$115</f>
        <v>1218.0545442214286</v>
      </c>
      <c r="P51" s="458">
        <f>'ANALYSE - ERP =&gt; SOUS-SEGMENT'!$FJ$115*'ANALYSE - ERP =&gt; SOUS-SEGMENT'!$JZ$115</f>
        <v>801.92286145714297</v>
      </c>
      <c r="Q51" s="458">
        <f>'ANALYSE - ERP =&gt; SOUS-SEGMENT'!$FJ$115*'ANALYSE - ERP =&gt; SOUS-SEGMENT'!$KA$115</f>
        <v>90.554735228571431</v>
      </c>
      <c r="R51" s="458">
        <f>'ANALYSE - ERP =&gt; SOUS-SEGMENT'!$FJ$115*'ANALYSE - ERP =&gt; SOUS-SEGMENT'!$KB$115</f>
        <v>7.4684317714285724</v>
      </c>
      <c r="T51" s="430">
        <f>'ANALYSE - ERP =&gt; SOUS-SEGMENT'!$Q$115</f>
        <v>1</v>
      </c>
    </row>
    <row r="52" spans="1:20" ht="15" customHeight="1">
      <c r="A52" s="26">
        <v>49</v>
      </c>
      <c r="B52" s="26">
        <v>48</v>
      </c>
      <c r="C52" s="422">
        <f>'ANALYSE - ERP =&gt; SOUS-SEGMENT'!$A$60</f>
        <v>53</v>
      </c>
      <c r="D52" s="411" t="str">
        <f>'ANALYSE - ERP =&gt; SOUS-SEGMENT'!$B$60</f>
        <v>Santé &amp; Médico-social</v>
      </c>
      <c r="E52" s="411" t="str">
        <f>'ANALYSE - ERP =&gt; SOUS-SEGMENT'!$C$60</f>
        <v>Médico-social</v>
      </c>
      <c r="F52" s="411" t="str">
        <f>'ANALYSE - ERP =&gt; SOUS-SEGMENT'!$D$60</f>
        <v>Résidences autonomie
Foyers-logements
(Public)</v>
      </c>
      <c r="H52" s="458">
        <f>'ANALYSE - ERP =&gt; SOUS-SEGMENT'!$BH$60*'ANALYSE - ERP =&gt; SOUS-SEGMENT'!$JS$60</f>
        <v>0</v>
      </c>
      <c r="I52" s="458">
        <f>'ANALYSE - ERP =&gt; SOUS-SEGMENT'!$BH$60*'ANALYSE - ERP =&gt; SOUS-SEGMENT'!$JT$60</f>
        <v>2310.2705999999998</v>
      </c>
      <c r="J52" s="458">
        <f>'ANALYSE - ERP =&gt; SOUS-SEGMENT'!$BH$60*'ANALYSE - ERP =&gt; SOUS-SEGMENT'!$JU$60</f>
        <v>7332.7121999999999</v>
      </c>
      <c r="K52" s="458">
        <f>'ANALYSE - ERP =&gt; SOUS-SEGMENT'!$BH$60*'ANALYSE - ERP =&gt; SOUS-SEGMENT'!$JV$60</f>
        <v>3309.768</v>
      </c>
      <c r="L52" s="458">
        <f>'ANALYSE - ERP =&gt; SOUS-SEGMENT'!$BH$60*'ANALYSE - ERP =&gt; SOUS-SEGMENT'!$JW$60</f>
        <v>181.2492</v>
      </c>
      <c r="N52" s="458">
        <f>'ANALYSE - ERP =&gt; SOUS-SEGMENT'!$FJ$60*'ANALYSE - ERP =&gt; SOUS-SEGMENT'!$JX$60</f>
        <v>0</v>
      </c>
      <c r="O52" s="458">
        <f>'ANALYSE - ERP =&gt; SOUS-SEGMENT'!$FJ$60*'ANALYSE - ERP =&gt; SOUS-SEGMENT'!$JY$60</f>
        <v>520.76582088507689</v>
      </c>
      <c r="P52" s="458">
        <f>'ANALYSE - ERP =&gt; SOUS-SEGMENT'!$FJ$60*'ANALYSE - ERP =&gt; SOUS-SEGMENT'!$JZ$60</f>
        <v>2735.5891313963075</v>
      </c>
      <c r="Q52" s="458">
        <f>'ANALYSE - ERP =&gt; SOUS-SEGMENT'!$FJ$60*'ANALYSE - ERP =&gt; SOUS-SEGMENT'!$KA$60</f>
        <v>1816.4060860991535</v>
      </c>
      <c r="R52" s="458">
        <f>'ANALYSE - ERP =&gt; SOUS-SEGMENT'!$FJ$60*'ANALYSE - ERP =&gt; SOUS-SEGMENT'!$KB$60</f>
        <v>155.81146046561537</v>
      </c>
      <c r="T52" s="430">
        <f>'ANALYSE - ERP =&gt; SOUS-SEGMENT'!$Q$60</f>
        <v>1</v>
      </c>
    </row>
    <row r="53" spans="1:20" ht="15" customHeight="1">
      <c r="A53" s="26">
        <v>50</v>
      </c>
      <c r="B53" s="26">
        <v>51</v>
      </c>
      <c r="C53" s="422">
        <f>'ANALYSE - ERP =&gt; SOUS-SEGMENT'!$A$18</f>
        <v>11</v>
      </c>
      <c r="D53" s="411" t="str">
        <f>'ANALYSE - ERP =&gt; SOUS-SEGMENT'!$B$18</f>
        <v>Enfance, Enseignement, Jeunesse &amp; Formation</v>
      </c>
      <c r="E53" s="411" t="str">
        <f>'ANALYSE - ERP =&gt; SOUS-SEGMENT'!$C$18</f>
        <v>Enseignement supérieur</v>
      </c>
      <c r="F53" s="411" t="str">
        <f>'ANALYSE - ERP =&gt; SOUS-SEGMENT'!$D$18</f>
        <v>Résidences étudiantes et dortoirs</v>
      </c>
      <c r="H53" s="458">
        <f>'ANALYSE - ERP =&gt; SOUS-SEGMENT'!$BH$18*'ANALYSE - ERP =&gt; SOUS-SEGMENT'!$JS$18</f>
        <v>0</v>
      </c>
      <c r="I53" s="458">
        <f>'ANALYSE - ERP =&gt; SOUS-SEGMENT'!$BH$18*'ANALYSE - ERP =&gt; SOUS-SEGMENT'!$JT$18</f>
        <v>1926.3387</v>
      </c>
      <c r="J53" s="458">
        <f>'ANALYSE - ERP =&gt; SOUS-SEGMENT'!$BH$18*'ANALYSE - ERP =&gt; SOUS-SEGMENT'!$JU$18</f>
        <v>6428.2503999999999</v>
      </c>
      <c r="K53" s="458">
        <f>'ANALYSE - ERP =&gt; SOUS-SEGMENT'!$BH$18*'ANALYSE - ERP =&gt; SOUS-SEGMENT'!$JV$18</f>
        <v>3284.1523000000002</v>
      </c>
      <c r="L53" s="458">
        <f>'ANALYSE - ERP =&gt; SOUS-SEGMENT'!$BH$18*'ANALYSE - ERP =&gt; SOUS-SEGMENT'!$JW$18</f>
        <v>230.2586</v>
      </c>
      <c r="N53" s="458">
        <f>'ANALYSE - ERP =&gt; SOUS-SEGMENT'!$FJ$18*'ANALYSE - ERP =&gt; SOUS-SEGMENT'!$JX$18</f>
        <v>0</v>
      </c>
      <c r="O53" s="458">
        <f>'ANALYSE - ERP =&gt; SOUS-SEGMENT'!$FJ$18*'ANALYSE - ERP =&gt; SOUS-SEGMENT'!$JY$18</f>
        <v>149.4450782543004</v>
      </c>
      <c r="P53" s="458">
        <f>'ANALYSE - ERP =&gt; SOUS-SEGMENT'!$FJ$18*'ANALYSE - ERP =&gt; SOUS-SEGMENT'!$JZ$18</f>
        <v>1499.3277781037505</v>
      </c>
      <c r="Q53" s="458">
        <f>'ANALYSE - ERP =&gt; SOUS-SEGMENT'!$FJ$18*'ANALYSE - ERP =&gt; SOUS-SEGMENT'!$KA$18</f>
        <v>1586.0686277198827</v>
      </c>
      <c r="R53" s="458">
        <f>'ANALYSE - ERP =&gt; SOUS-SEGMENT'!$FJ$18*'ANALYSE - ERP =&gt; SOUS-SEGMENT'!$KB$18</f>
        <v>248.72677359806642</v>
      </c>
      <c r="T53" s="430">
        <f>'ANALYSE - ERP =&gt; SOUS-SEGMENT'!$Q$18</f>
        <v>1</v>
      </c>
    </row>
    <row r="54" spans="1:20" ht="15" customHeight="1">
      <c r="A54" s="26">
        <v>51</v>
      </c>
      <c r="B54" s="26">
        <v>50</v>
      </c>
      <c r="C54" s="422">
        <f>'ANALYSE - ERP =&gt; SOUS-SEGMENT'!$A$70</f>
        <v>63</v>
      </c>
      <c r="D54" s="417" t="str">
        <f>'ANALYSE - ERP =&gt; SOUS-SEGMENT'!$B$70</f>
        <v>Culture, Patrimoine &amp; Evénementiel</v>
      </c>
      <c r="E54" s="417" t="str">
        <f>'ANALYSE - ERP =&gt; SOUS-SEGMENT'!$C$70</f>
        <v>Expositions / salons</v>
      </c>
      <c r="F54" s="417" t="str">
        <f>'ANALYSE - ERP =&gt; SOUS-SEGMENT'!$D$70</f>
        <v>Foires / Salons</v>
      </c>
      <c r="H54" s="458">
        <f>'ANALYSE - ERP =&gt; SOUS-SEGMENT'!$BH$70*'ANALYSE - ERP =&gt; SOUS-SEGMENT'!$JS$70</f>
        <v>0</v>
      </c>
      <c r="I54" s="458">
        <f>'ANALYSE - ERP =&gt; SOUS-SEGMENT'!$BH$70*'ANALYSE - ERP =&gt; SOUS-SEGMENT'!$JT$70</f>
        <v>2168.6010000000001</v>
      </c>
      <c r="J54" s="458">
        <f>'ANALYSE - ERP =&gt; SOUS-SEGMENT'!$BH$70*'ANALYSE - ERP =&gt; SOUS-SEGMENT'!$JU$70</f>
        <v>6162.0449999999992</v>
      </c>
      <c r="K54" s="458">
        <f>'ANALYSE - ERP =&gt; SOUS-SEGMENT'!$BH$70*'ANALYSE - ERP =&gt; SOUS-SEGMENT'!$JV$70</f>
        <v>3487.5590000000002</v>
      </c>
      <c r="L54" s="458">
        <f>'ANALYSE - ERP =&gt; SOUS-SEGMENT'!$BH$70*'ANALYSE - ERP =&gt; SOUS-SEGMENT'!$JW$70</f>
        <v>371.79500000000002</v>
      </c>
      <c r="N54" s="458">
        <f>'ANALYSE - ERP =&gt; SOUS-SEGMENT'!$FJ$70*'ANALYSE - ERP =&gt; SOUS-SEGMENT'!$JX$70</f>
        <v>0</v>
      </c>
      <c r="O54" s="458">
        <f>'ANALYSE - ERP =&gt; SOUS-SEGMENT'!$FJ$70*'ANALYSE - ERP =&gt; SOUS-SEGMENT'!$JY$70</f>
        <v>414.30100735375009</v>
      </c>
      <c r="P54" s="458">
        <f>'ANALYSE - ERP =&gt; SOUS-SEGMENT'!$FJ$70*'ANALYSE - ERP =&gt; SOUS-SEGMENT'!$JZ$70</f>
        <v>2203.0769930435167</v>
      </c>
      <c r="Q54" s="458">
        <f>'ANALYSE - ERP =&gt; SOUS-SEGMENT'!$FJ$70*'ANALYSE - ERP =&gt; SOUS-SEGMENT'!$KA$70</f>
        <v>2034.8456749059337</v>
      </c>
      <c r="R54" s="458">
        <f>'ANALYSE - ERP =&gt; SOUS-SEGMENT'!$FJ$70*'ANALYSE - ERP =&gt; SOUS-SEGMENT'!$KB$70</f>
        <v>369.60671686346672</v>
      </c>
      <c r="T54" s="430">
        <f>'ANALYSE - ERP =&gt; SOUS-SEGMENT'!$Q$70</f>
        <v>1</v>
      </c>
    </row>
    <row r="55" spans="1:20" ht="15" customHeight="1">
      <c r="A55" s="26">
        <v>52</v>
      </c>
      <c r="B55" s="26">
        <v>49</v>
      </c>
      <c r="C55" s="422">
        <f>'ANALYSE - ERP =&gt; SOUS-SEGMENT'!$A$42</f>
        <v>35</v>
      </c>
      <c r="D55" s="417" t="str">
        <f>'ANALYSE - ERP =&gt; SOUS-SEGMENT'!$B$42</f>
        <v>Sports &amp; Loisirs</v>
      </c>
      <c r="E55" s="417" t="str">
        <f>'ANALYSE - ERP =&gt; SOUS-SEGMENT'!$C$42</f>
        <v>Loisirs</v>
      </c>
      <c r="F55" s="417" t="str">
        <f>'ANALYSE - ERP =&gt; SOUS-SEGMENT'!$D$42</f>
        <v>Discothèques / Salles de danse</v>
      </c>
      <c r="H55" s="458">
        <f>'ANALYSE - ERP =&gt; SOUS-SEGMENT'!$BH$42*'ANALYSE - ERP =&gt; SOUS-SEGMENT'!$JS$42</f>
        <v>344.96</v>
      </c>
      <c r="I55" s="458">
        <f>'ANALYSE - ERP =&gt; SOUS-SEGMENT'!$BH$42*'ANALYSE - ERP =&gt; SOUS-SEGMENT'!$JT$42</f>
        <v>9233.84</v>
      </c>
      <c r="J55" s="458">
        <f>'ANALYSE - ERP =&gt; SOUS-SEGMENT'!$BH$42*'ANALYSE - ERP =&gt; SOUS-SEGMENT'!$JU$42</f>
        <v>15704.92</v>
      </c>
      <c r="K55" s="458">
        <f>'ANALYSE - ERP =&gt; SOUS-SEGMENT'!$BH$42*'ANALYSE - ERP =&gt; SOUS-SEGMENT'!$JV$42</f>
        <v>5072.76</v>
      </c>
      <c r="L55" s="458">
        <f>'ANALYSE - ERP =&gt; SOUS-SEGMENT'!$BH$42*'ANALYSE - ERP =&gt; SOUS-SEGMENT'!$JW$42</f>
        <v>443.52</v>
      </c>
      <c r="N55" s="458">
        <f>'ANALYSE - ERP =&gt; SOUS-SEGMENT'!$FJ$42*'ANALYSE - ERP =&gt; SOUS-SEGMENT'!$JX$42</f>
        <v>0</v>
      </c>
      <c r="O55" s="458">
        <f>'ANALYSE - ERP =&gt; SOUS-SEGMENT'!$FJ$42*'ANALYSE - ERP =&gt; SOUS-SEGMENT'!$JY$42</f>
        <v>4075.0244073962499</v>
      </c>
      <c r="P55" s="458">
        <f>'ANALYSE - ERP =&gt; SOUS-SEGMENT'!$FJ$42*'ANALYSE - ERP =&gt; SOUS-SEGMENT'!$JZ$42</f>
        <v>8256.1773707875</v>
      </c>
      <c r="Q55" s="458">
        <f>'ANALYSE - ERP =&gt; SOUS-SEGMENT'!$FJ$42*'ANALYSE - ERP =&gt; SOUS-SEGMENT'!$KA$42</f>
        <v>2959.11385539</v>
      </c>
      <c r="R55" s="458">
        <f>'ANALYSE - ERP =&gt; SOUS-SEGMENT'!$FJ$42*'ANALYSE - ERP =&gt; SOUS-SEGMENT'!$KB$42</f>
        <v>316.82495392624998</v>
      </c>
      <c r="T55" s="430">
        <f>'ANALYSE - ERP =&gt; SOUS-SEGMENT'!$Q$42</f>
        <v>1</v>
      </c>
    </row>
    <row r="56" spans="1:20" ht="15" customHeight="1">
      <c r="A56" s="26">
        <v>53</v>
      </c>
      <c r="B56" s="26">
        <v>52</v>
      </c>
      <c r="C56" s="422">
        <f>'ANALYSE - ERP =&gt; SOUS-SEGMENT'!$A$30</f>
        <v>23</v>
      </c>
      <c r="D56" s="413" t="str">
        <f>'ANALYSE - ERP =&gt; SOUS-SEGMENT'!$B$30</f>
        <v>Sports &amp; Loisirs</v>
      </c>
      <c r="E56" s="413" t="str">
        <f>'ANALYSE - ERP =&gt; SOUS-SEGMENT'!$C$30</f>
        <v>Sport de plein air</v>
      </c>
      <c r="F56" s="413" t="str">
        <f>'ANALYSE - ERP =&gt; SOUS-SEGMENT'!$D$30</f>
        <v>Hippodromes, Centres équestres &amp; Manèges couverts</v>
      </c>
      <c r="H56" s="458">
        <f>'ANALYSE - ERP =&gt; SOUS-SEGMENT'!$BH$30*'ANALYSE - ERP =&gt; SOUS-SEGMENT'!$JS$30</f>
        <v>4554.55</v>
      </c>
      <c r="I56" s="458">
        <f>'ANALYSE - ERP =&gt; SOUS-SEGMENT'!$BH$30*'ANALYSE - ERP =&gt; SOUS-SEGMENT'!$JT$30</f>
        <v>15488.164999999999</v>
      </c>
      <c r="J56" s="458">
        <f>'ANALYSE - ERP =&gt; SOUS-SEGMENT'!$BH$30*'ANALYSE - ERP =&gt; SOUS-SEGMENT'!$JU$30</f>
        <v>6468</v>
      </c>
      <c r="K56" s="458">
        <f>'ANALYSE - ERP =&gt; SOUS-SEGMENT'!$BH$30*'ANALYSE - ERP =&gt; SOUS-SEGMENT'!$JV$30</f>
        <v>439.28499999999997</v>
      </c>
      <c r="L56" s="458">
        <f>'ANALYSE - ERP =&gt; SOUS-SEGMENT'!$BH$30*'ANALYSE - ERP =&gt; SOUS-SEGMENT'!$JW$30</f>
        <v>0</v>
      </c>
      <c r="N56" s="458">
        <f>'ANALYSE - ERP =&gt; SOUS-SEGMENT'!$FJ$30*'ANALYSE - ERP =&gt; SOUS-SEGMENT'!$JX$30</f>
        <v>2029.6552683749999</v>
      </c>
      <c r="O56" s="458">
        <f>'ANALYSE - ERP =&gt; SOUS-SEGMENT'!$FJ$30*'ANALYSE - ERP =&gt; SOUS-SEGMENT'!$JY$30</f>
        <v>7418.3698837500006</v>
      </c>
      <c r="P56" s="458">
        <f>'ANALYSE - ERP =&gt; SOUS-SEGMENT'!$FJ$30*'ANALYSE - ERP =&gt; SOUS-SEGMENT'!$JZ$30</f>
        <v>3456.9871953749998</v>
      </c>
      <c r="Q56" s="458">
        <f>'ANALYSE - ERP =&gt; SOUS-SEGMENT'!$FJ$30*'ANALYSE - ERP =&gt; SOUS-SEGMENT'!$KA$30</f>
        <v>456.10230750000005</v>
      </c>
      <c r="R56" s="458">
        <f>'ANALYSE - ERP =&gt; SOUS-SEGMENT'!$FJ$30*'ANALYSE - ERP =&gt; SOUS-SEGMENT'!$KB$30</f>
        <v>53.659095000000001</v>
      </c>
      <c r="T56" s="430">
        <f>'ANALYSE - ERP =&gt; SOUS-SEGMENT'!$Q$30</f>
        <v>1</v>
      </c>
    </row>
    <row r="57" spans="1:20" ht="15" customHeight="1">
      <c r="A57" s="26">
        <v>54</v>
      </c>
      <c r="B57" s="26">
        <v>64</v>
      </c>
      <c r="C57" s="422">
        <f>'ANALYSE - ERP =&gt; SOUS-SEGMENT'!$A$61</f>
        <v>54</v>
      </c>
      <c r="D57" s="417" t="str">
        <f>'ANALYSE - ERP =&gt; SOUS-SEGMENT'!$B$61</f>
        <v>Santé &amp; Médico-social</v>
      </c>
      <c r="E57" s="417" t="str">
        <f>'ANALYSE - ERP =&gt; SOUS-SEGMENT'!$C$61</f>
        <v>Médico-social</v>
      </c>
      <c r="F57" s="417" t="str">
        <f>'ANALYSE - ERP =&gt; SOUS-SEGMENT'!$D$61</f>
        <v>Résidences services seniors
(Privé)</v>
      </c>
      <c r="H57" s="458">
        <f>'ANALYSE - ERP =&gt; SOUS-SEGMENT'!$BH$61*'ANALYSE - ERP =&gt; SOUS-SEGMENT'!$JS$61</f>
        <v>0</v>
      </c>
      <c r="I57" s="458">
        <f>'ANALYSE - ERP =&gt; SOUS-SEGMENT'!$BH$61*'ANALYSE - ERP =&gt; SOUS-SEGMENT'!$JT$61</f>
        <v>0</v>
      </c>
      <c r="J57" s="458">
        <f>'ANALYSE - ERP =&gt; SOUS-SEGMENT'!$BH$61*'ANALYSE - ERP =&gt; SOUS-SEGMENT'!$JU$61</f>
        <v>3213.8330000000001</v>
      </c>
      <c r="K57" s="458">
        <f>'ANALYSE - ERP =&gt; SOUS-SEGMENT'!$BH$61*'ANALYSE - ERP =&gt; SOUS-SEGMENT'!$JV$61</f>
        <v>3905.1670000000004</v>
      </c>
      <c r="L57" s="458">
        <f>'ANALYSE - ERP =&gt; SOUS-SEGMENT'!$BH$61*'ANALYSE - ERP =&gt; SOUS-SEGMENT'!$JW$61</f>
        <v>791</v>
      </c>
      <c r="N57" s="458">
        <f>'ANALYSE - ERP =&gt; SOUS-SEGMENT'!$FJ$61*'ANALYSE - ERP =&gt; SOUS-SEGMENT'!$JX$61</f>
        <v>0</v>
      </c>
      <c r="O57" s="458">
        <f>'ANALYSE - ERP =&gt; SOUS-SEGMENT'!$FJ$61*'ANALYSE - ERP =&gt; SOUS-SEGMENT'!$JY$61</f>
        <v>0</v>
      </c>
      <c r="P57" s="458">
        <f>'ANALYSE - ERP =&gt; SOUS-SEGMENT'!$FJ$61*'ANALYSE - ERP =&gt; SOUS-SEGMENT'!$JZ$61</f>
        <v>1097.8713566536512</v>
      </c>
      <c r="Q57" s="458">
        <f>'ANALYSE - ERP =&gt; SOUS-SEGMENT'!$FJ$61*'ANALYSE - ERP =&gt; SOUS-SEGMENT'!$KA$61</f>
        <v>3074.3308825073746</v>
      </c>
      <c r="R57" s="458">
        <f>'ANALYSE - ERP =&gt; SOUS-SEGMENT'!$FJ$61*'ANALYSE - ERP =&gt; SOUS-SEGMENT'!$KB$61</f>
        <v>679.19571335179501</v>
      </c>
      <c r="T57" s="430">
        <f>'ANALYSE - ERP =&gt; SOUS-SEGMENT'!$Q$61</f>
        <v>1</v>
      </c>
    </row>
    <row r="58" spans="1:20" ht="15" customHeight="1">
      <c r="A58" s="26">
        <v>55</v>
      </c>
      <c r="B58" s="26">
        <v>53</v>
      </c>
      <c r="C58" s="422">
        <f>'ANALYSE - ERP =&gt; SOUS-SEGMENT'!$A$51</f>
        <v>44</v>
      </c>
      <c r="D58" s="417" t="str">
        <f>'ANALYSE - ERP =&gt; SOUS-SEGMENT'!$B$51</f>
        <v>Santé &amp; Médico-social</v>
      </c>
      <c r="E58" s="417" t="str">
        <f>'ANALYSE - ERP =&gt; SOUS-SEGMENT'!$C$51</f>
        <v>Santé spécialisée</v>
      </c>
      <c r="F58" s="417" t="str">
        <f>'ANALYSE - ERP =&gt; SOUS-SEGMENT'!$D$51</f>
        <v>Maternités</v>
      </c>
      <c r="H58" s="458">
        <f>'ANALYSE - ERP =&gt; SOUS-SEGMENT'!$BH$51*'ANALYSE - ERP =&gt; SOUS-SEGMENT'!$JS$51</f>
        <v>0</v>
      </c>
      <c r="I58" s="458">
        <f>'ANALYSE - ERP =&gt; SOUS-SEGMENT'!$BH$51*'ANALYSE - ERP =&gt; SOUS-SEGMENT'!$JT$51</f>
        <v>1079.0360000000001</v>
      </c>
      <c r="J58" s="458">
        <f>'ANALYSE - ERP =&gt; SOUS-SEGMENT'!$BH$51*'ANALYSE - ERP =&gt; SOUS-SEGMENT'!$JU$51</f>
        <v>7117.152000000001</v>
      </c>
      <c r="K58" s="458">
        <f>'ANALYSE - ERP =&gt; SOUS-SEGMENT'!$BH$51*'ANALYSE - ERP =&gt; SOUS-SEGMENT'!$JV$51</f>
        <v>4263.8119999999999</v>
      </c>
      <c r="L58" s="458">
        <f>'ANALYSE - ERP =&gt; SOUS-SEGMENT'!$BH$51*'ANALYSE - ERP =&gt; SOUS-SEGMENT'!$JW$51</f>
        <v>0</v>
      </c>
      <c r="N58" s="458">
        <f>'ANALYSE - ERP =&gt; SOUS-SEGMENT'!$FJ$51*'ANALYSE - ERP =&gt; SOUS-SEGMENT'!$JX$51</f>
        <v>0</v>
      </c>
      <c r="O58" s="458">
        <f>'ANALYSE - ERP =&gt; SOUS-SEGMENT'!$FJ$51*'ANALYSE - ERP =&gt; SOUS-SEGMENT'!$JY$51</f>
        <v>138.14380566</v>
      </c>
      <c r="P58" s="458">
        <f>'ANALYSE - ERP =&gt; SOUS-SEGMENT'!$FJ$51*'ANALYSE - ERP =&gt; SOUS-SEGMENT'!$JZ$51</f>
        <v>3313.4492516999999</v>
      </c>
      <c r="Q58" s="458">
        <f>'ANALYSE - ERP =&gt; SOUS-SEGMENT'!$FJ$51*'ANALYSE - ERP =&gt; SOUS-SEGMENT'!$KA$51</f>
        <v>3118.5797287400001</v>
      </c>
      <c r="R58" s="458">
        <f>'ANALYSE - ERP =&gt; SOUS-SEGMENT'!$FJ$51*'ANALYSE - ERP =&gt; SOUS-SEGMENT'!$KB$51</f>
        <v>103.4410139</v>
      </c>
      <c r="T58" s="430">
        <f>'ANALYSE - ERP =&gt; SOUS-SEGMENT'!$Q$51</f>
        <v>0</v>
      </c>
    </row>
    <row r="59" spans="1:20" ht="15" customHeight="1">
      <c r="A59" s="26">
        <v>56</v>
      </c>
      <c r="B59" s="26">
        <v>56</v>
      </c>
      <c r="C59" s="422">
        <f>'ANALYSE - ERP =&gt; SOUS-SEGMENT'!$A$123</f>
        <v>116</v>
      </c>
      <c r="D59" s="417" t="str">
        <f>'ANALYSE - ERP =&gt; SOUS-SEGMENT'!$B$123</f>
        <v>Transport, Mobilité &amp; Stationnement</v>
      </c>
      <c r="E59" s="417" t="str">
        <f>'ANALYSE - ERP =&gt; SOUS-SEGMENT'!$C$123</f>
        <v>Transport / Mobilité</v>
      </c>
      <c r="F59" s="417" t="str">
        <f>'ANALYSE - ERP =&gt; SOUS-SEGMENT'!$D$123</f>
        <v>Parcs de stationnement couverts (dotés de sanitaires)</v>
      </c>
      <c r="H59" s="458">
        <f>'ANALYSE - ERP =&gt; SOUS-SEGMENT'!$BH$123*'ANALYSE - ERP =&gt; SOUS-SEGMENT'!$JS$123</f>
        <v>55.506599999999999</v>
      </c>
      <c r="I59" s="458">
        <f>'ANALYSE - ERP =&gt; SOUS-SEGMENT'!$BH$123*'ANALYSE - ERP =&gt; SOUS-SEGMENT'!$JT$123</f>
        <v>498.12299999999999</v>
      </c>
      <c r="J59" s="458">
        <f>'ANALYSE - ERP =&gt; SOUS-SEGMENT'!$BH$123*'ANALYSE - ERP =&gt; SOUS-SEGMENT'!$JU$123</f>
        <v>413.78579999999999</v>
      </c>
      <c r="K59" s="458">
        <f>'ANALYSE - ERP =&gt; SOUS-SEGMENT'!$BH$123*'ANALYSE - ERP =&gt; SOUS-SEGMENT'!$JV$123</f>
        <v>51.505200000000002</v>
      </c>
      <c r="L59" s="458">
        <f>'ANALYSE - ERP =&gt; SOUS-SEGMENT'!$BH$123*'ANALYSE - ERP =&gt; SOUS-SEGMENT'!$JW$123</f>
        <v>7.0793999999999997</v>
      </c>
      <c r="N59" s="458">
        <f>'ANALYSE - ERP =&gt; SOUS-SEGMENT'!$FJ$123*'ANALYSE - ERP =&gt; SOUS-SEGMENT'!$JX$123</f>
        <v>16.657036495</v>
      </c>
      <c r="O59" s="458">
        <f>'ANALYSE - ERP =&gt; SOUS-SEGMENT'!$FJ$123*'ANALYSE - ERP =&gt; SOUS-SEGMENT'!$JY$123</f>
        <v>228.87265369099998</v>
      </c>
      <c r="P59" s="458">
        <f>'ANALYSE - ERP =&gt; SOUS-SEGMENT'!$FJ$123*'ANALYSE - ERP =&gt; SOUS-SEGMENT'!$JZ$123</f>
        <v>210.77366478299999</v>
      </c>
      <c r="Q59" s="458">
        <f>'ANALYSE - ERP =&gt; SOUS-SEGMENT'!$FJ$123*'ANALYSE - ERP =&gt; SOUS-SEGMENT'!$KA$123</f>
        <v>35.203527876000003</v>
      </c>
      <c r="R59" s="458">
        <f>'ANALYSE - ERP =&gt; SOUS-SEGMENT'!$FJ$123*'ANALYSE - ERP =&gt; SOUS-SEGMENT'!$KB$123</f>
        <v>5.7180871550000001</v>
      </c>
      <c r="T59" s="430">
        <f>'ANALYSE - ERP =&gt; SOUS-SEGMENT'!$Q$123</f>
        <v>1</v>
      </c>
    </row>
    <row r="60" spans="1:20" ht="15" customHeight="1">
      <c r="A60" s="26">
        <v>57</v>
      </c>
      <c r="B60" s="26">
        <v>55</v>
      </c>
      <c r="C60" s="422">
        <f>'ANALYSE - ERP =&gt; SOUS-SEGMENT'!$A$122</f>
        <v>115</v>
      </c>
      <c r="D60" s="417" t="str">
        <f>'ANALYSE - ERP =&gt; SOUS-SEGMENT'!$B$122</f>
        <v>Transport, Mobilité &amp; Stationnement</v>
      </c>
      <c r="E60" s="417" t="str">
        <f>'ANALYSE - ERP =&gt; SOUS-SEGMENT'!$C$122</f>
        <v>Transport / Mobilité</v>
      </c>
      <c r="F60" s="417" t="str">
        <f>'ANALYSE - ERP =&gt; SOUS-SEGMENT'!$D$122</f>
        <v>Aires de repos - Autoroutes
(Hors Aires de service)</v>
      </c>
      <c r="H60" s="458">
        <f>'ANALYSE - ERP =&gt; SOUS-SEGMENT'!$BH$122*'ANALYSE - ERP =&gt; SOUS-SEGMENT'!$JS$122</f>
        <v>835.28640000000007</v>
      </c>
      <c r="I60" s="458">
        <f>'ANALYSE - ERP =&gt; SOUS-SEGMENT'!$BH$122*'ANALYSE - ERP =&gt; SOUS-SEGMENT'!$JT$122</f>
        <v>5293.0176000000001</v>
      </c>
      <c r="J60" s="458">
        <f>'ANALYSE - ERP =&gt; SOUS-SEGMENT'!$BH$122*'ANALYSE - ERP =&gt; SOUS-SEGMENT'!$JU$122</f>
        <v>2769.9359999999997</v>
      </c>
      <c r="K60" s="458">
        <f>'ANALYSE - ERP =&gt; SOUS-SEGMENT'!$BH$122*'ANALYSE - ERP =&gt; SOUS-SEGMENT'!$JV$122</f>
        <v>382.72</v>
      </c>
      <c r="L60" s="458">
        <f>'ANALYSE - ERP =&gt; SOUS-SEGMENT'!$BH$122*'ANALYSE - ERP =&gt; SOUS-SEGMENT'!$JW$122</f>
        <v>287.03999999999996</v>
      </c>
      <c r="N60" s="458">
        <f>'ANALYSE - ERP =&gt; SOUS-SEGMENT'!$FJ$122*'ANALYSE - ERP =&gt; SOUS-SEGMENT'!$JX$122</f>
        <v>179.39552486440002</v>
      </c>
      <c r="O60" s="458">
        <f>'ANALYSE - ERP =&gt; SOUS-SEGMENT'!$FJ$122*'ANALYSE - ERP =&gt; SOUS-SEGMENT'!$JY$122</f>
        <v>2465.5252394188001</v>
      </c>
      <c r="P60" s="458">
        <f>'ANALYSE - ERP =&gt; SOUS-SEGMENT'!$FJ$122*'ANALYSE - ERP =&gt; SOUS-SEGMENT'!$JZ$122</f>
        <v>2163.0860980768002</v>
      </c>
      <c r="Q60" s="458">
        <f>'ANALYSE - ERP =&gt; SOUS-SEGMENT'!$FJ$122*'ANALYSE - ERP =&gt; SOUS-SEGMENT'!$KA$122</f>
        <v>206.79599408000001</v>
      </c>
      <c r="R60" s="458">
        <f>'ANALYSE - ERP =&gt; SOUS-SEGMENT'!$FJ$122*'ANALYSE - ERP =&gt; SOUS-SEGMENT'!$KB$122</f>
        <v>155.09699556000001</v>
      </c>
      <c r="T60" s="430">
        <f>'ANALYSE - ERP =&gt; SOUS-SEGMENT'!$Q$122</f>
        <v>1</v>
      </c>
    </row>
    <row r="61" spans="1:20" ht="15" customHeight="1">
      <c r="A61" s="26">
        <v>58</v>
      </c>
      <c r="B61" s="26">
        <v>57</v>
      </c>
      <c r="C61" s="422">
        <f>'ANALYSE - ERP =&gt; SOUS-SEGMENT'!$A$43</f>
        <v>36</v>
      </c>
      <c r="D61" s="417" t="str">
        <f>'ANALYSE - ERP =&gt; SOUS-SEGMENT'!$B$43</f>
        <v>Santé &amp; Médico-social</v>
      </c>
      <c r="E61" s="417" t="str">
        <f>'ANALYSE - ERP =&gt; SOUS-SEGMENT'!$C$43</f>
        <v>Santé hospitalière</v>
      </c>
      <c r="F61" s="417" t="str">
        <f>'ANALYSE - ERP =&gt; SOUS-SEGMENT'!$D$43</f>
        <v>Hôpitaux universitaires / CHU</v>
      </c>
      <c r="H61" s="458">
        <f>'ANALYSE - ERP =&gt; SOUS-SEGMENT'!$BH$43*'ANALYSE - ERP =&gt; SOUS-SEGMENT'!$JS$43</f>
        <v>0</v>
      </c>
      <c r="I61" s="458">
        <f>'ANALYSE - ERP =&gt; SOUS-SEGMENT'!$BH$43*'ANALYSE - ERP =&gt; SOUS-SEGMENT'!$JT$43</f>
        <v>2983.2</v>
      </c>
      <c r="J61" s="458">
        <f>'ANALYSE - ERP =&gt; SOUS-SEGMENT'!$BH$43*'ANALYSE - ERP =&gt; SOUS-SEGMENT'!$JU$43</f>
        <v>6243.0719999999992</v>
      </c>
      <c r="K61" s="458">
        <f>'ANALYSE - ERP =&gt; SOUS-SEGMENT'!$BH$43*'ANALYSE - ERP =&gt; SOUS-SEGMENT'!$JV$43</f>
        <v>1333.7280000000001</v>
      </c>
      <c r="L61" s="458">
        <f>'ANALYSE - ERP =&gt; SOUS-SEGMENT'!$BH$43*'ANALYSE - ERP =&gt; SOUS-SEGMENT'!$JW$43</f>
        <v>0</v>
      </c>
      <c r="N61" s="458">
        <f>'ANALYSE - ERP =&gt; SOUS-SEGMENT'!$FJ$43*'ANALYSE - ERP =&gt; SOUS-SEGMENT'!$JX$43</f>
        <v>0</v>
      </c>
      <c r="O61" s="458">
        <f>'ANALYSE - ERP =&gt; SOUS-SEGMENT'!$FJ$43*'ANALYSE - ERP =&gt; SOUS-SEGMENT'!$JY$43</f>
        <v>740.59000959999992</v>
      </c>
      <c r="P61" s="458">
        <f>'ANALYSE - ERP =&gt; SOUS-SEGMENT'!$FJ$43*'ANALYSE - ERP =&gt; SOUS-SEGMENT'!$JZ$43</f>
        <v>2932.9326207999998</v>
      </c>
      <c r="Q61" s="458">
        <f>'ANALYSE - ERP =&gt; SOUS-SEGMENT'!$FJ$43*'ANALYSE - ERP =&gt; SOUS-SEGMENT'!$KA$43</f>
        <v>1231.0469696</v>
      </c>
      <c r="R61" s="458">
        <f>'ANALYSE - ERP =&gt; SOUS-SEGMENT'!$FJ$43*'ANALYSE - ERP =&gt; SOUS-SEGMENT'!$KB$43</f>
        <v>0</v>
      </c>
      <c r="T61" s="430">
        <f>'ANALYSE - ERP =&gt; SOUS-SEGMENT'!$Q$43</f>
        <v>1</v>
      </c>
    </row>
    <row r="62" spans="1:20" s="45" customFormat="1" ht="15" customHeight="1">
      <c r="A62" s="406">
        <v>59</v>
      </c>
      <c r="B62" s="406">
        <v>58</v>
      </c>
      <c r="C62" s="448">
        <f>'ANALYSE - ERP =&gt; SOUS-SEGMENT'!$A$89</f>
        <v>82</v>
      </c>
      <c r="D62" s="449" t="str">
        <f>'ANALYSE - ERP =&gt; SOUS-SEGMENT'!$B$89</f>
        <v>Hébergement Touristique</v>
      </c>
      <c r="E62" s="449" t="str">
        <f>'ANALYSE - ERP =&gt; SOUS-SEGMENT'!$C$89</f>
        <v>Hébergement Touristique</v>
      </c>
      <c r="F62" s="449" t="str">
        <f>'ANALYSE - ERP =&gt; SOUS-SEGMENT'!$D$89</f>
        <v>Résidences de tourisme</v>
      </c>
      <c r="G62" s="685"/>
      <c r="H62" s="459">
        <f>'ANALYSE - ERP =&gt; SOUS-SEGMENT'!$BH$89*'ANALYSE - ERP =&gt; SOUS-SEGMENT'!$JS$89</f>
        <v>1023.36</v>
      </c>
      <c r="I62" s="459">
        <f>'ANALYSE - ERP =&gt; SOUS-SEGMENT'!$BH$89*'ANALYSE - ERP =&gt; SOUS-SEGMENT'!$JT$89</f>
        <v>5176.32</v>
      </c>
      <c r="J62" s="459">
        <f>'ANALYSE - ERP =&gt; SOUS-SEGMENT'!$BH$89*'ANALYSE - ERP =&gt; SOUS-SEGMENT'!$JU$89</f>
        <v>3163.2000000000003</v>
      </c>
      <c r="K62" s="459">
        <f>'ANALYSE - ERP =&gt; SOUS-SEGMENT'!$BH$89*'ANALYSE - ERP =&gt; SOUS-SEGMENT'!$JV$89</f>
        <v>237.12</v>
      </c>
      <c r="L62" s="459">
        <f>'ANALYSE - ERP =&gt; SOUS-SEGMENT'!$BH$89*'ANALYSE - ERP =&gt; SOUS-SEGMENT'!$JW$89</f>
        <v>0</v>
      </c>
      <c r="M62" s="685"/>
      <c r="N62" s="459">
        <f>'ANALYSE - ERP =&gt; SOUS-SEGMENT'!$FJ$89*'ANALYSE - ERP =&gt; SOUS-SEGMENT'!$JX$89</f>
        <v>313.99395396923074</v>
      </c>
      <c r="O62" s="459">
        <f>'ANALYSE - ERP =&gt; SOUS-SEGMENT'!$FJ$89*'ANALYSE - ERP =&gt; SOUS-SEGMENT'!$JY$89</f>
        <v>1839.4634468923077</v>
      </c>
      <c r="P62" s="459">
        <f>'ANALYSE - ERP =&gt; SOUS-SEGMENT'!$FJ$89*'ANALYSE - ERP =&gt; SOUS-SEGMENT'!$JZ$89</f>
        <v>1238.8877095384614</v>
      </c>
      <c r="Q62" s="459">
        <f>'ANALYSE - ERP =&gt; SOUS-SEGMENT'!$FJ$89*'ANALYSE - ERP =&gt; SOUS-SEGMENT'!$KA$89</f>
        <v>153.79295704615384</v>
      </c>
      <c r="R62" s="459">
        <f>'ANALYSE - ERP =&gt; SOUS-SEGMENT'!$FJ$89*'ANALYSE - ERP =&gt; SOUS-SEGMENT'!$KB$89</f>
        <v>13.884086399999999</v>
      </c>
      <c r="S62" s="685"/>
      <c r="T62" s="450">
        <f>'ANALYSE - ERP =&gt; SOUS-SEGMENT'!$Q$89</f>
        <v>1</v>
      </c>
    </row>
    <row r="63" spans="1:20" ht="15" customHeight="1">
      <c r="A63" s="26">
        <v>60</v>
      </c>
      <c r="B63" s="26">
        <v>54</v>
      </c>
      <c r="C63" s="422">
        <f>'ANALYSE - ERP =&gt; SOUS-SEGMENT'!$A$139</f>
        <v>132</v>
      </c>
      <c r="D63" s="417" t="str">
        <f>'ANALYSE - ERP =&gt; SOUS-SEGMENT'!$B$139</f>
        <v>Sécurité &amp; Justice</v>
      </c>
      <c r="E63" s="417" t="str">
        <f>'ANALYSE - ERP =&gt; SOUS-SEGMENT'!$C$139</f>
        <v>Univers carcéral</v>
      </c>
      <c r="F63" s="417" t="str">
        <f>'ANALYSE - ERP =&gt; SOUS-SEGMENT'!$D$139</f>
        <v>Maisons d’arrêt</v>
      </c>
      <c r="H63" s="458">
        <f>'ANALYSE - ERP =&gt; SOUS-SEGMENT'!$BH$139*'ANALYSE - ERP =&gt; SOUS-SEGMENT'!$JS$139</f>
        <v>1795.1960000000001</v>
      </c>
      <c r="I63" s="458">
        <f>'ANALYSE - ERP =&gt; SOUS-SEGMENT'!$BH$139*'ANALYSE - ERP =&gt; SOUS-SEGMENT'!$JT$139</f>
        <v>7059.598</v>
      </c>
      <c r="J63" s="458">
        <f>'ANALYSE - ERP =&gt; SOUS-SEGMENT'!$BH$139*'ANALYSE - ERP =&gt; SOUS-SEGMENT'!$JU$139</f>
        <v>1415.2060000000001</v>
      </c>
      <c r="K63" s="458">
        <f>'ANALYSE - ERP =&gt; SOUS-SEGMENT'!$BH$139*'ANALYSE - ERP =&gt; SOUS-SEGMENT'!$JV$139</f>
        <v>0</v>
      </c>
      <c r="L63" s="458">
        <f>'ANALYSE - ERP =&gt; SOUS-SEGMENT'!$BH$139*'ANALYSE - ERP =&gt; SOUS-SEGMENT'!$JW$139</f>
        <v>0</v>
      </c>
      <c r="N63" s="458">
        <f>'ANALYSE - ERP =&gt; SOUS-SEGMENT'!$FJ$139*'ANALYSE - ERP =&gt; SOUS-SEGMENT'!$JX$139</f>
        <v>510.01540322909102</v>
      </c>
      <c r="O63" s="458">
        <f>'ANALYSE - ERP =&gt; SOUS-SEGMENT'!$FJ$139*'ANALYSE - ERP =&gt; SOUS-SEGMENT'!$JY$139</f>
        <v>3945.8771032436375</v>
      </c>
      <c r="P63" s="458">
        <f>'ANALYSE - ERP =&gt; SOUS-SEGMENT'!$FJ$139*'ANALYSE - ERP =&gt; SOUS-SEGMENT'!$JZ$139</f>
        <v>1537.2379662545459</v>
      </c>
      <c r="Q63" s="458">
        <f>'ANALYSE - ERP =&gt; SOUS-SEGMENT'!$FJ$139*'ANALYSE - ERP =&gt; SOUS-SEGMENT'!$KA$139</f>
        <v>0</v>
      </c>
      <c r="R63" s="458">
        <f>'ANALYSE - ERP =&gt; SOUS-SEGMENT'!$FJ$139*'ANALYSE - ERP =&gt; SOUS-SEGMENT'!$KB$139</f>
        <v>0</v>
      </c>
      <c r="T63" s="430">
        <f>'ANALYSE - ERP =&gt; SOUS-SEGMENT'!$Q$139</f>
        <v>1</v>
      </c>
    </row>
    <row r="64" spans="1:20" ht="15" customHeight="1">
      <c r="A64" s="26">
        <v>61</v>
      </c>
      <c r="B64" s="26">
        <v>62</v>
      </c>
      <c r="C64" s="422">
        <f>'ANALYSE - ERP =&gt; SOUS-SEGMENT'!$A$53</f>
        <v>46</v>
      </c>
      <c r="D64" s="410" t="str">
        <f>'ANALYSE - ERP =&gt; SOUS-SEGMENT'!$B$53</f>
        <v>Santé &amp; Médico-social</v>
      </c>
      <c r="E64" s="410" t="str">
        <f>'ANALYSE - ERP =&gt; SOUS-SEGMENT'!$C$53</f>
        <v>Santé ambulatoire</v>
      </c>
      <c r="F64" s="410" t="str">
        <f>'ANALYSE - ERP =&gt; SOUS-SEGMENT'!$D$53</f>
        <v>Centres de santé / Centres médicaux</v>
      </c>
      <c r="H64" s="458">
        <f>'ANALYSE - ERP =&gt; SOUS-SEGMENT'!$BH$53*'ANALYSE - ERP =&gt; SOUS-SEGMENT'!$JS$53</f>
        <v>0</v>
      </c>
      <c r="I64" s="458">
        <f>'ANALYSE - ERP =&gt; SOUS-SEGMENT'!$BH$53*'ANALYSE - ERP =&gt; SOUS-SEGMENT'!$JT$53</f>
        <v>2458.0457999999999</v>
      </c>
      <c r="J64" s="458">
        <f>'ANALYSE - ERP =&gt; SOUS-SEGMENT'!$BH$53*'ANALYSE - ERP =&gt; SOUS-SEGMENT'!$JU$53</f>
        <v>4893.924</v>
      </c>
      <c r="K64" s="458">
        <f>'ANALYSE - ERP =&gt; SOUS-SEGMENT'!$BH$53*'ANALYSE - ERP =&gt; SOUS-SEGMENT'!$JV$53</f>
        <v>1174.0301999999999</v>
      </c>
      <c r="L64" s="458">
        <f>'ANALYSE - ERP =&gt; SOUS-SEGMENT'!$BH$53*'ANALYSE - ERP =&gt; SOUS-SEGMENT'!$JW$53</f>
        <v>0</v>
      </c>
      <c r="N64" s="458">
        <f>'ANALYSE - ERP =&gt; SOUS-SEGMENT'!$FJ$53*'ANALYSE - ERP =&gt; SOUS-SEGMENT'!$JX$53</f>
        <v>0</v>
      </c>
      <c r="O64" s="458">
        <f>'ANALYSE - ERP =&gt; SOUS-SEGMENT'!$FJ$53*'ANALYSE - ERP =&gt; SOUS-SEGMENT'!$JY$53</f>
        <v>587.43433363140002</v>
      </c>
      <c r="P64" s="458">
        <f>'ANALYSE - ERP =&gt; SOUS-SEGMENT'!$FJ$53*'ANALYSE - ERP =&gt; SOUS-SEGMENT'!$JZ$53</f>
        <v>2405.8048197312</v>
      </c>
      <c r="Q64" s="458">
        <f>'ANALYSE - ERP =&gt; SOUS-SEGMENT'!$FJ$53*'ANALYSE - ERP =&gt; SOUS-SEGMENT'!$KA$53</f>
        <v>1254.2976046374001</v>
      </c>
      <c r="R64" s="458">
        <f>'ANALYSE - ERP =&gt; SOUS-SEGMENT'!$FJ$53*'ANALYSE - ERP =&gt; SOUS-SEGMENT'!$KB$53</f>
        <v>0</v>
      </c>
      <c r="T64" s="430">
        <f>'ANALYSE - ERP =&gt; SOUS-SEGMENT'!$Q$53</f>
        <v>1</v>
      </c>
    </row>
    <row r="65" spans="1:20" s="45" customFormat="1" ht="15" customHeight="1">
      <c r="A65" s="26">
        <v>62</v>
      </c>
      <c r="B65" s="26">
        <v>61</v>
      </c>
      <c r="C65" s="422">
        <f>'ANALYSE - ERP =&gt; SOUS-SEGMENT'!$A$41</f>
        <v>34</v>
      </c>
      <c r="D65" s="410" t="str">
        <f>'ANALYSE - ERP =&gt; SOUS-SEGMENT'!$B$41</f>
        <v>Sports &amp; Loisirs</v>
      </c>
      <c r="E65" s="410" t="str">
        <f>'ANALYSE - ERP =&gt; SOUS-SEGMENT'!$C$41</f>
        <v>Loisirs</v>
      </c>
      <c r="F65" s="410" t="str">
        <f>'ANALYSE - ERP =&gt; SOUS-SEGMENT'!$D$41</f>
        <v>Salles de jeux / Bowlings / Billards</v>
      </c>
      <c r="G65" s="685"/>
      <c r="H65" s="458">
        <f>'ANALYSE - ERP =&gt; SOUS-SEGMENT'!$BH$41*'ANALYSE - ERP =&gt; SOUS-SEGMENT'!$JS$41</f>
        <v>96.432000000000002</v>
      </c>
      <c r="I65" s="458">
        <f>'ANALYSE - ERP =&gt; SOUS-SEGMENT'!$BH$41*'ANALYSE - ERP =&gt; SOUS-SEGMENT'!$JT$41</f>
        <v>2581.2780000000002</v>
      </c>
      <c r="J65" s="458">
        <f>'ANALYSE - ERP =&gt; SOUS-SEGMENT'!$BH$41*'ANALYSE - ERP =&gt; SOUS-SEGMENT'!$JU$41</f>
        <v>4390.2390000000005</v>
      </c>
      <c r="K65" s="458">
        <f>'ANALYSE - ERP =&gt; SOUS-SEGMENT'!$BH$41*'ANALYSE - ERP =&gt; SOUS-SEGMENT'!$JV$41</f>
        <v>1418.067</v>
      </c>
      <c r="L65" s="458">
        <f>'ANALYSE - ERP =&gt; SOUS-SEGMENT'!$BH$41*'ANALYSE - ERP =&gt; SOUS-SEGMENT'!$JW$41</f>
        <v>123.98399999999999</v>
      </c>
      <c r="M65" s="685"/>
      <c r="N65" s="458">
        <f>'ANALYSE - ERP =&gt; SOUS-SEGMENT'!$FJ$41*'ANALYSE - ERP =&gt; SOUS-SEGMENT'!$JX$41</f>
        <v>0</v>
      </c>
      <c r="O65" s="458">
        <f>'ANALYSE - ERP =&gt; SOUS-SEGMENT'!$FJ$41*'ANALYSE - ERP =&gt; SOUS-SEGMENT'!$JY$41</f>
        <v>1044.4495600437499</v>
      </c>
      <c r="P65" s="458">
        <f>'ANALYSE - ERP =&gt; SOUS-SEGMENT'!$FJ$41*'ANALYSE - ERP =&gt; SOUS-SEGMENT'!$JZ$41</f>
        <v>2116.1004108124998</v>
      </c>
      <c r="Q65" s="458">
        <f>'ANALYSE - ERP =&gt; SOUS-SEGMENT'!$FJ$41*'ANALYSE - ERP =&gt; SOUS-SEGMENT'!$KA$41</f>
        <v>758.43598844999997</v>
      </c>
      <c r="R65" s="458">
        <f>'ANALYSE - ERP =&gt; SOUS-SEGMENT'!$FJ$41*'ANALYSE - ERP =&gt; SOUS-SEGMENT'!$KB$41</f>
        <v>81.203853193749993</v>
      </c>
      <c r="S65" s="685"/>
      <c r="T65" s="430">
        <f>'ANALYSE - ERP =&gt; SOUS-SEGMENT'!$Q$41</f>
        <v>1</v>
      </c>
    </row>
    <row r="66" spans="1:20" ht="15" customHeight="1">
      <c r="A66" s="26">
        <v>63</v>
      </c>
      <c r="B66" s="26">
        <v>63</v>
      </c>
      <c r="C66" s="422">
        <f>'ANALYSE - ERP =&gt; SOUS-SEGMENT'!$A$64</f>
        <v>57</v>
      </c>
      <c r="D66" s="417" t="str">
        <f>'ANALYSE - ERP =&gt; SOUS-SEGMENT'!$B$64</f>
        <v>Culture, Patrimoine &amp; Evénementiel</v>
      </c>
      <c r="E66" s="417" t="str">
        <f>'ANALYSE - ERP =&gt; SOUS-SEGMENT'!$C$64</f>
        <v>Culture / spectacle</v>
      </c>
      <c r="F66" s="417" t="str">
        <f>'ANALYSE - ERP =&gt; SOUS-SEGMENT'!$D$64</f>
        <v>Musées</v>
      </c>
      <c r="H66" s="458">
        <f>'ANALYSE - ERP =&gt; SOUS-SEGMENT'!$BH$64*'ANALYSE - ERP =&gt; SOUS-SEGMENT'!$JS$64</f>
        <v>150.05760000000001</v>
      </c>
      <c r="I66" s="458">
        <f>'ANALYSE - ERP =&gt; SOUS-SEGMENT'!$BH$64*'ANALYSE - ERP =&gt; SOUS-SEGMENT'!$JT$64</f>
        <v>2663.5224000000003</v>
      </c>
      <c r="J66" s="458">
        <f>'ANALYSE - ERP =&gt; SOUS-SEGMENT'!$BH$64*'ANALYSE - ERP =&gt; SOUS-SEGMENT'!$JU$64</f>
        <v>4311.5982000000004</v>
      </c>
      <c r="K66" s="458">
        <f>'ANALYSE - ERP =&gt; SOUS-SEGMENT'!$BH$64*'ANALYSE - ERP =&gt; SOUS-SEGMENT'!$JV$64</f>
        <v>1344.5502000000001</v>
      </c>
      <c r="L66" s="458">
        <f>'ANALYSE - ERP =&gt; SOUS-SEGMENT'!$BH$64*'ANALYSE - ERP =&gt; SOUS-SEGMENT'!$JW$64</f>
        <v>56.271599999999999</v>
      </c>
      <c r="N66" s="458">
        <f>'ANALYSE - ERP =&gt; SOUS-SEGMENT'!$FJ$64*'ANALYSE - ERP =&gt; SOUS-SEGMENT'!$JX$64</f>
        <v>0</v>
      </c>
      <c r="O66" s="458">
        <f>'ANALYSE - ERP =&gt; SOUS-SEGMENT'!$FJ$64*'ANALYSE - ERP =&gt; SOUS-SEGMENT'!$JY$64</f>
        <v>747.59725996006159</v>
      </c>
      <c r="P66" s="458">
        <f>'ANALYSE - ERP =&gt; SOUS-SEGMENT'!$FJ$64*'ANALYSE - ERP =&gt; SOUS-SEGMENT'!$JZ$64</f>
        <v>1876.3846482330923</v>
      </c>
      <c r="Q66" s="458">
        <f>'ANALYSE - ERP =&gt; SOUS-SEGMENT'!$FJ$64*'ANALYSE - ERP =&gt; SOUS-SEGMENT'!$KA$64</f>
        <v>838.0551205107846</v>
      </c>
      <c r="R66" s="458">
        <f>'ANALYSE - ERP =&gt; SOUS-SEGMENT'!$FJ$64*'ANALYSE - ERP =&gt; SOUS-SEGMENT'!$KB$64</f>
        <v>57.724082219138467</v>
      </c>
      <c r="T66" s="430">
        <f>'ANALYSE - ERP =&gt; SOUS-SEGMENT'!$Q$64</f>
        <v>1</v>
      </c>
    </row>
    <row r="67" spans="1:20" ht="15" customHeight="1">
      <c r="A67" s="26">
        <v>64</v>
      </c>
      <c r="B67" s="26">
        <v>60</v>
      </c>
      <c r="C67" s="422">
        <f>'ANALYSE - ERP =&gt; SOUS-SEGMENT'!$A$16</f>
        <v>9</v>
      </c>
      <c r="D67" s="408" t="str">
        <f>'ANALYSE - ERP =&gt; SOUS-SEGMENT'!$B$16</f>
        <v>Enfance, Enseignement, Jeunesse &amp; Formation</v>
      </c>
      <c r="E67" s="408" t="str">
        <f>'ANALYSE - ERP =&gt; SOUS-SEGMENT'!$C$16</f>
        <v>Enseignement supérieur</v>
      </c>
      <c r="F67" s="408" t="str">
        <f>'ANALYSE - ERP =&gt; SOUS-SEGMENT'!$D$16</f>
        <v>Universités</v>
      </c>
      <c r="H67" s="458">
        <f>'ANALYSE - ERP =&gt; SOUS-SEGMENT'!$BH$16*'ANALYSE - ERP =&gt; SOUS-SEGMENT'!$JS$16</f>
        <v>295.02</v>
      </c>
      <c r="I67" s="458">
        <f>'ANALYSE - ERP =&gt; SOUS-SEGMENT'!$BH$16*'ANALYSE - ERP =&gt; SOUS-SEGMENT'!$JT$16</f>
        <v>3934.2599999999998</v>
      </c>
      <c r="J67" s="458">
        <f>'ANALYSE - ERP =&gt; SOUS-SEGMENT'!$BH$16*'ANALYSE - ERP =&gt; SOUS-SEGMENT'!$JU$16</f>
        <v>4694.58</v>
      </c>
      <c r="K67" s="458">
        <f>'ANALYSE - ERP =&gt; SOUS-SEGMENT'!$BH$16*'ANALYSE - ERP =&gt; SOUS-SEGMENT'!$JV$16</f>
        <v>961.29000000000008</v>
      </c>
      <c r="L67" s="458">
        <f>'ANALYSE - ERP =&gt; SOUS-SEGMENT'!$BH$16*'ANALYSE - ERP =&gt; SOUS-SEGMENT'!$JW$16</f>
        <v>14.85</v>
      </c>
      <c r="N67" s="458">
        <f>'ANALYSE - ERP =&gt; SOUS-SEGMENT'!$FJ$16*'ANALYSE - ERP =&gt; SOUS-SEGMENT'!$JX$16</f>
        <v>0</v>
      </c>
      <c r="O67" s="458">
        <f>'ANALYSE - ERP =&gt; SOUS-SEGMENT'!$FJ$16*'ANALYSE - ERP =&gt; SOUS-SEGMENT'!$JY$16</f>
        <v>492.30795285936</v>
      </c>
      <c r="P67" s="458">
        <f>'ANALYSE - ERP =&gt; SOUS-SEGMENT'!$FJ$16*'ANALYSE - ERP =&gt; SOUS-SEGMENT'!$JZ$16</f>
        <v>1381.1905456271998</v>
      </c>
      <c r="Q67" s="458">
        <f>'ANALYSE - ERP =&gt; SOUS-SEGMENT'!$FJ$16*'ANALYSE - ERP =&gt; SOUS-SEGMENT'!$KA$16</f>
        <v>539.07842636207999</v>
      </c>
      <c r="R67" s="458">
        <f>'ANALYSE - ERP =&gt; SOUS-SEGMENT'!$FJ$16*'ANALYSE - ERP =&gt; SOUS-SEGMENT'!$KB$16</f>
        <v>23.385236751359997</v>
      </c>
      <c r="T67" s="430">
        <f>'ANALYSE - ERP =&gt; SOUS-SEGMENT'!$Q$16</f>
        <v>1</v>
      </c>
    </row>
    <row r="68" spans="1:20" ht="15" customHeight="1">
      <c r="A68" s="26">
        <v>65</v>
      </c>
      <c r="B68" s="26">
        <v>65</v>
      </c>
      <c r="C68" s="422">
        <f>'ANALYSE - ERP =&gt; SOUS-SEGMENT'!$A$17</f>
        <v>10</v>
      </c>
      <c r="D68" s="412" t="str">
        <f>'ANALYSE - ERP =&gt; SOUS-SEGMENT'!$B$17</f>
        <v>Enfance, Enseignement, Jeunesse &amp; Formation</v>
      </c>
      <c r="E68" s="412" t="str">
        <f>'ANALYSE - ERP =&gt; SOUS-SEGMENT'!$C$17</f>
        <v>Enseignement supérieur</v>
      </c>
      <c r="F68" s="412" t="str">
        <f>'ANALYSE - ERP =&gt; SOUS-SEGMENT'!$D$17</f>
        <v>Grandes écoles</v>
      </c>
      <c r="H68" s="458">
        <f>'ANALYSE - ERP =&gt; SOUS-SEGMENT'!$BH$17*'ANALYSE - ERP =&gt; SOUS-SEGMENT'!$JS$17</f>
        <v>0</v>
      </c>
      <c r="I68" s="458">
        <f>'ANALYSE - ERP =&gt; SOUS-SEGMENT'!$BH$17*'ANALYSE - ERP =&gt; SOUS-SEGMENT'!$JT$17</f>
        <v>1312.192</v>
      </c>
      <c r="J68" s="458">
        <f>'ANALYSE - ERP =&gt; SOUS-SEGMENT'!$BH$17*'ANALYSE - ERP =&gt; SOUS-SEGMENT'!$JU$17</f>
        <v>4277.616</v>
      </c>
      <c r="K68" s="458">
        <f>'ANALYSE - ERP =&gt; SOUS-SEGMENT'!$BH$17*'ANALYSE - ERP =&gt; SOUS-SEGMENT'!$JV$17</f>
        <v>2302.8320000000003</v>
      </c>
      <c r="L68" s="458">
        <f>'ANALYSE - ERP =&gt; SOUS-SEGMENT'!$BH$17*'ANALYSE - ERP =&gt; SOUS-SEGMENT'!$JW$17</f>
        <v>227.36</v>
      </c>
      <c r="N68" s="458">
        <f>'ANALYSE - ERP =&gt; SOUS-SEGMENT'!$FJ$17*'ANALYSE - ERP =&gt; SOUS-SEGMENT'!$JX$17</f>
        <v>0</v>
      </c>
      <c r="O68" s="458">
        <f>'ANALYSE - ERP =&gt; SOUS-SEGMENT'!$FJ$17*'ANALYSE - ERP =&gt; SOUS-SEGMENT'!$JY$17</f>
        <v>94.329994973759995</v>
      </c>
      <c r="P68" s="458">
        <f>'ANALYSE - ERP =&gt; SOUS-SEGMENT'!$FJ$17*'ANALYSE - ERP =&gt; SOUS-SEGMENT'!$JZ$17</f>
        <v>919.93992739739997</v>
      </c>
      <c r="Q68" s="458">
        <f>'ANALYSE - ERP =&gt; SOUS-SEGMENT'!$FJ$17*'ANALYSE - ERP =&gt; SOUS-SEGMENT'!$KA$17</f>
        <v>1032.5129874368399</v>
      </c>
      <c r="R68" s="458">
        <f>'ANALYSE - ERP =&gt; SOUS-SEGMENT'!$FJ$17*'ANALYSE - ERP =&gt; SOUS-SEGMENT'!$KB$17</f>
        <v>177.98112259199999</v>
      </c>
      <c r="T68" s="430">
        <f>'ANALYSE - ERP =&gt; SOUS-SEGMENT'!$Q$17</f>
        <v>1</v>
      </c>
    </row>
    <row r="69" spans="1:20" ht="15" customHeight="1">
      <c r="A69" s="26">
        <v>66</v>
      </c>
      <c r="B69" s="26">
        <v>66</v>
      </c>
      <c r="C69" s="422">
        <f>'ANALYSE - ERP =&gt; SOUS-SEGMENT'!$A$119</f>
        <v>112</v>
      </c>
      <c r="D69" s="415" t="str">
        <f>'ANALYSE - ERP =&gt; SOUS-SEGMENT'!$B$119</f>
        <v>Culte, Vie civique &amp; Services publics</v>
      </c>
      <c r="E69" s="415" t="str">
        <f>'ANALYSE - ERP =&gt; SOUS-SEGMENT'!$C$119</f>
        <v>Culte</v>
      </c>
      <c r="F69" s="415" t="str">
        <f>'ANALYSE - ERP =&gt; SOUS-SEGMENT'!$D$119</f>
        <v>Salles du Royaume, centres cultuels pluriconfessionnels et lieux de culte polyvalents</v>
      </c>
      <c r="H69" s="458">
        <f>'ANALYSE - ERP =&gt; SOUS-SEGMENT'!$BH$119*'ANALYSE - ERP =&gt; SOUS-SEGMENT'!$JS$119</f>
        <v>236.65199999999999</v>
      </c>
      <c r="I69" s="458">
        <f>'ANALYSE - ERP =&gt; SOUS-SEGMENT'!$BH$119*'ANALYSE - ERP =&gt; SOUS-SEGMENT'!$JT$119</f>
        <v>1197.0240000000001</v>
      </c>
      <c r="J69" s="458">
        <f>'ANALYSE - ERP =&gt; SOUS-SEGMENT'!$BH$119*'ANALYSE - ERP =&gt; SOUS-SEGMENT'!$JU$119</f>
        <v>731.49</v>
      </c>
      <c r="K69" s="458">
        <f>'ANALYSE - ERP =&gt; SOUS-SEGMENT'!$BH$119*'ANALYSE - ERP =&gt; SOUS-SEGMENT'!$JV$119</f>
        <v>54.833999999999996</v>
      </c>
      <c r="L69" s="458">
        <f>'ANALYSE - ERP =&gt; SOUS-SEGMENT'!$BH$119*'ANALYSE - ERP =&gt; SOUS-SEGMENT'!$JW$119</f>
        <v>0</v>
      </c>
      <c r="N69" s="458">
        <f>'ANALYSE - ERP =&gt; SOUS-SEGMENT'!$FJ$119*'ANALYSE - ERP =&gt; SOUS-SEGMENT'!$JX$119</f>
        <v>86.188169999999985</v>
      </c>
      <c r="O69" s="458">
        <f>'ANALYSE - ERP =&gt; SOUS-SEGMENT'!$FJ$119*'ANALYSE - ERP =&gt; SOUS-SEGMENT'!$JY$119</f>
        <v>486.2876316</v>
      </c>
      <c r="P69" s="458">
        <f>'ANALYSE - ERP =&gt; SOUS-SEGMENT'!$FJ$119*'ANALYSE - ERP =&gt; SOUS-SEGMENT'!$JZ$119</f>
        <v>320.15411039999998</v>
      </c>
      <c r="Q69" s="458">
        <f>'ANALYSE - ERP =&gt; SOUS-SEGMENT'!$FJ$119*'ANALYSE - ERP =&gt; SOUS-SEGMENT'!$KA$119</f>
        <v>36.1524432</v>
      </c>
      <c r="R69" s="458">
        <f>'ANALYSE - ERP =&gt; SOUS-SEGMENT'!$FJ$119*'ANALYSE - ERP =&gt; SOUS-SEGMENT'!$KB$119</f>
        <v>2.9816447999999998</v>
      </c>
      <c r="T69" s="430">
        <f>'ANALYSE - ERP =&gt; SOUS-SEGMENT'!$Q$119</f>
        <v>1</v>
      </c>
    </row>
    <row r="70" spans="1:20" ht="15" customHeight="1">
      <c r="A70" s="26">
        <v>67</v>
      </c>
      <c r="B70" s="26">
        <v>69</v>
      </c>
      <c r="C70" s="422">
        <f>'ANALYSE - ERP =&gt; SOUS-SEGMENT'!$A$81</f>
        <v>74</v>
      </c>
      <c r="D70" s="411" t="str">
        <f>'ANALYSE - ERP =&gt; SOUS-SEGMENT'!$B$81</f>
        <v>Commerce, Restauration &amp; Loisirs</v>
      </c>
      <c r="E70" s="411" t="str">
        <f>'ANALYSE - ERP =&gt; SOUS-SEGMENT'!$C$81</f>
        <v>Commerce</v>
      </c>
      <c r="F70" s="411" t="str">
        <f>'ANALYSE - ERP =&gt; SOUS-SEGMENT'!$D$81</f>
        <v>Marchés couverts</v>
      </c>
      <c r="H70" s="458">
        <f>'ANALYSE - ERP =&gt; SOUS-SEGMENT'!$BH$81*'ANALYSE - ERP =&gt; SOUS-SEGMENT'!$JS$81</f>
        <v>960.80400000000009</v>
      </c>
      <c r="I70" s="458">
        <f>'ANALYSE - ERP =&gt; SOUS-SEGMENT'!$BH$81*'ANALYSE - ERP =&gt; SOUS-SEGMENT'!$JT$81</f>
        <v>2676.0239999999999</v>
      </c>
      <c r="J70" s="458">
        <f>'ANALYSE - ERP =&gt; SOUS-SEGMENT'!$BH$81*'ANALYSE - ERP =&gt; SOUS-SEGMENT'!$JU$81</f>
        <v>1042.704</v>
      </c>
      <c r="K70" s="458">
        <f>'ANALYSE - ERP =&gt; SOUS-SEGMENT'!$BH$81*'ANALYSE - ERP =&gt; SOUS-SEGMENT'!$JV$81</f>
        <v>0</v>
      </c>
      <c r="L70" s="458">
        <f>'ANALYSE - ERP =&gt; SOUS-SEGMENT'!$BH$81*'ANALYSE - ERP =&gt; SOUS-SEGMENT'!$JW$81</f>
        <v>0.46800000000000003</v>
      </c>
      <c r="N70" s="458">
        <f>'ANALYSE - ERP =&gt; SOUS-SEGMENT'!$FJ$81*'ANALYSE - ERP =&gt; SOUS-SEGMENT'!$JX$81</f>
        <v>294.23642729879998</v>
      </c>
      <c r="O70" s="458">
        <f>'ANALYSE - ERP =&gt; SOUS-SEGMENT'!$FJ$81*'ANALYSE - ERP =&gt; SOUS-SEGMENT'!$JY$81</f>
        <v>1338.6732228062999</v>
      </c>
      <c r="P70" s="458">
        <f>'ANALYSE - ERP =&gt; SOUS-SEGMENT'!$FJ$81*'ANALYSE - ERP =&gt; SOUS-SEGMENT'!$JZ$81</f>
        <v>901.1631344796001</v>
      </c>
      <c r="Q70" s="458">
        <f>'ANALYSE - ERP =&gt; SOUS-SEGMENT'!$FJ$81*'ANALYSE - ERP =&gt; SOUS-SEGMENT'!$KA$81</f>
        <v>27.424475366699998</v>
      </c>
      <c r="R70" s="458">
        <f>'ANALYSE - ERP =&gt; SOUS-SEGMENT'!$FJ$81*'ANALYSE - ERP =&gt; SOUS-SEGMENT'!$KB$81</f>
        <v>1.5378210485999999</v>
      </c>
      <c r="T70" s="430">
        <f>'ANALYSE - ERP =&gt; SOUS-SEGMENT'!$Q$81</f>
        <v>1</v>
      </c>
    </row>
    <row r="71" spans="1:20" ht="15" customHeight="1">
      <c r="A71" s="26">
        <v>68</v>
      </c>
      <c r="B71" s="26">
        <v>68</v>
      </c>
      <c r="C71" s="422">
        <f>'ANALYSE - ERP =&gt; SOUS-SEGMENT'!$A$108</f>
        <v>101</v>
      </c>
      <c r="D71" s="415" t="str">
        <f>'ANALYSE - ERP =&gt; SOUS-SEGMENT'!$B$108</f>
        <v>Culte, Vie civique &amp; Services publics</v>
      </c>
      <c r="E71" s="415" t="str">
        <f>'ANALYSE - ERP =&gt; SOUS-SEGMENT'!$C$108</f>
        <v>Administrations / services publics</v>
      </c>
      <c r="F71" s="415" t="str">
        <f>'ANALYSE - ERP =&gt; SOUS-SEGMENT'!$D$108</f>
        <v>Maisons France Services / Guichets publics autonomes ou dédiés</v>
      </c>
      <c r="H71" s="458">
        <f>'ANALYSE - ERP =&gt; SOUS-SEGMENT'!$BH$108*'ANALYSE - ERP =&gt; SOUS-SEGMENT'!$JS$108</f>
        <v>41.537999999999997</v>
      </c>
      <c r="I71" s="458">
        <f>'ANALYSE - ERP =&gt; SOUS-SEGMENT'!$BH$108*'ANALYSE - ERP =&gt; SOUS-SEGMENT'!$JT$108</f>
        <v>978.85200000000009</v>
      </c>
      <c r="J71" s="458">
        <f>'ANALYSE - ERP =&gt; SOUS-SEGMENT'!$BH$108*'ANALYSE - ERP =&gt; SOUS-SEGMENT'!$JU$108</f>
        <v>1295.934</v>
      </c>
      <c r="K71" s="458">
        <f>'ANALYSE - ERP =&gt; SOUS-SEGMENT'!$BH$108*'ANALYSE - ERP =&gt; SOUS-SEGMENT'!$JV$108</f>
        <v>260.06400000000002</v>
      </c>
      <c r="L71" s="458">
        <f>'ANALYSE - ERP =&gt; SOUS-SEGMENT'!$BH$108*'ANALYSE - ERP =&gt; SOUS-SEGMENT'!$JW$108</f>
        <v>3.6120000000000001</v>
      </c>
      <c r="N71" s="458">
        <f>'ANALYSE - ERP =&gt; SOUS-SEGMENT'!$FJ$108*'ANALYSE - ERP =&gt; SOUS-SEGMENT'!$JX$108</f>
        <v>0</v>
      </c>
      <c r="O71" s="458">
        <f>'ANALYSE - ERP =&gt; SOUS-SEGMENT'!$FJ$108*'ANALYSE - ERP =&gt; SOUS-SEGMENT'!$JY$108</f>
        <v>47.095330311507695</v>
      </c>
      <c r="P71" s="458">
        <f>'ANALYSE - ERP =&gt; SOUS-SEGMENT'!$FJ$108*'ANALYSE - ERP =&gt; SOUS-SEGMENT'!$JZ$108</f>
        <v>257.43578374643596</v>
      </c>
      <c r="Q71" s="458">
        <f>'ANALYSE - ERP =&gt; SOUS-SEGMENT'!$FJ$108*'ANALYSE - ERP =&gt; SOUS-SEGMENT'!$KA$108</f>
        <v>152.87293728100514</v>
      </c>
      <c r="R71" s="458">
        <f>'ANALYSE - ERP =&gt; SOUS-SEGMENT'!$FJ$108*'ANALYSE - ERP =&gt; SOUS-SEGMENT'!$KB$108</f>
        <v>9.8115271482307715</v>
      </c>
      <c r="T71" s="430">
        <f>'ANALYSE - ERP =&gt; SOUS-SEGMENT'!$Q$108</f>
        <v>1</v>
      </c>
    </row>
    <row r="72" spans="1:20" ht="15" customHeight="1">
      <c r="A72" s="26">
        <v>69</v>
      </c>
      <c r="B72" s="26">
        <v>67</v>
      </c>
      <c r="C72" s="422">
        <f>'ANALYSE - ERP =&gt; SOUS-SEGMENT'!$A$114</f>
        <v>107</v>
      </c>
      <c r="D72" s="408" t="str">
        <f>'ANALYSE - ERP =&gt; SOUS-SEGMENT'!$B$114</f>
        <v>Culte, Vie civique &amp; Services publics</v>
      </c>
      <c r="E72" s="408" t="str">
        <f>'ANALYSE - ERP =&gt; SOUS-SEGMENT'!$C$114</f>
        <v>Culte</v>
      </c>
      <c r="F72" s="408" t="str">
        <f>'ANALYSE - ERP =&gt; SOUS-SEGMENT'!$D$114</f>
        <v>Monastères, abbayes et couvents ouverts au public</v>
      </c>
      <c r="H72" s="458">
        <f>'ANALYSE - ERP =&gt; SOUS-SEGMENT'!$BH$114*'ANALYSE - ERP =&gt; SOUS-SEGMENT'!$JS$114</f>
        <v>213.2</v>
      </c>
      <c r="I72" s="458">
        <f>'ANALYSE - ERP =&gt; SOUS-SEGMENT'!$BH$114*'ANALYSE - ERP =&gt; SOUS-SEGMENT'!$JT$114</f>
        <v>1078.4000000000001</v>
      </c>
      <c r="J72" s="458">
        <f>'ANALYSE - ERP =&gt; SOUS-SEGMENT'!$BH$114*'ANALYSE - ERP =&gt; SOUS-SEGMENT'!$JU$114</f>
        <v>659</v>
      </c>
      <c r="K72" s="458">
        <f>'ANALYSE - ERP =&gt; SOUS-SEGMENT'!$BH$114*'ANALYSE - ERP =&gt; SOUS-SEGMENT'!$JV$114</f>
        <v>49.4</v>
      </c>
      <c r="L72" s="458">
        <f>'ANALYSE - ERP =&gt; SOUS-SEGMENT'!$BH$114*'ANALYSE - ERP =&gt; SOUS-SEGMENT'!$JW$114</f>
        <v>0</v>
      </c>
      <c r="N72" s="458">
        <f>'ANALYSE - ERP =&gt; SOUS-SEGMENT'!$FJ$114*'ANALYSE - ERP =&gt; SOUS-SEGMENT'!$JX$114</f>
        <v>81.598874999999992</v>
      </c>
      <c r="O72" s="458">
        <f>'ANALYSE - ERP =&gt; SOUS-SEGMENT'!$FJ$114*'ANALYSE - ERP =&gt; SOUS-SEGMENT'!$JY$114</f>
        <v>460.39408500000002</v>
      </c>
      <c r="P72" s="458">
        <f>'ANALYSE - ERP =&gt; SOUS-SEGMENT'!$FJ$114*'ANALYSE - ERP =&gt; SOUS-SEGMENT'!$JZ$114</f>
        <v>303.10674</v>
      </c>
      <c r="Q72" s="458">
        <f>'ANALYSE - ERP =&gt; SOUS-SEGMENT'!$FJ$114*'ANALYSE - ERP =&gt; SOUS-SEGMENT'!$KA$114</f>
        <v>34.227420000000002</v>
      </c>
      <c r="R72" s="458">
        <f>'ANALYSE - ERP =&gt; SOUS-SEGMENT'!$FJ$114*'ANALYSE - ERP =&gt; SOUS-SEGMENT'!$KB$114</f>
        <v>2.8228800000000001</v>
      </c>
      <c r="T72" s="430">
        <f>'ANALYSE - ERP =&gt; SOUS-SEGMENT'!$Q$114</f>
        <v>1</v>
      </c>
    </row>
    <row r="73" spans="1:20" s="45" customFormat="1" ht="15" customHeight="1">
      <c r="A73" s="26">
        <v>70</v>
      </c>
      <c r="B73" s="26">
        <v>71</v>
      </c>
      <c r="C73" s="422">
        <f>'ANALYSE - ERP =&gt; SOUS-SEGMENT'!$A$124</f>
        <v>117</v>
      </c>
      <c r="D73" s="410" t="str">
        <f>'ANALYSE - ERP =&gt; SOUS-SEGMENT'!$B$124</f>
        <v>Transport, Mobilité &amp; Stationnement</v>
      </c>
      <c r="E73" s="410" t="str">
        <f>'ANALYSE - ERP =&gt; SOUS-SEGMENT'!$C$124</f>
        <v>Transport / Mobilité</v>
      </c>
      <c r="F73" s="410" t="str">
        <f>'ANALYSE - ERP =&gt; SOUS-SEGMENT'!$D$124</f>
        <v>Aéroports / aérogares
(&gt;1 000 passagers/an)</v>
      </c>
      <c r="G73" s="685"/>
      <c r="H73" s="458">
        <f>'ANALYSE - ERP =&gt; SOUS-SEGMENT'!$BH$124*'ANALYSE - ERP =&gt; SOUS-SEGMENT'!$JS$124</f>
        <v>0</v>
      </c>
      <c r="I73" s="458">
        <f>'ANALYSE - ERP =&gt; SOUS-SEGMENT'!$BH$124*'ANALYSE - ERP =&gt; SOUS-SEGMENT'!$JT$124</f>
        <v>566.09999999999991</v>
      </c>
      <c r="J73" s="458">
        <f>'ANALYSE - ERP =&gt; SOUS-SEGMENT'!$BH$124*'ANALYSE - ERP =&gt; SOUS-SEGMENT'!$JU$124</f>
        <v>2649.0149999999999</v>
      </c>
      <c r="K73" s="458">
        <f>'ANALYSE - ERP =&gt; SOUS-SEGMENT'!$BH$124*'ANALYSE - ERP =&gt; SOUS-SEGMENT'!$JV$124</f>
        <v>2142.3000000000002</v>
      </c>
      <c r="L73" s="458">
        <f>'ANALYSE - ERP =&gt; SOUS-SEGMENT'!$BH$124*'ANALYSE - ERP =&gt; SOUS-SEGMENT'!$JW$124</f>
        <v>192.58500000000001</v>
      </c>
      <c r="M73" s="685"/>
      <c r="N73" s="458">
        <f>'ANALYSE - ERP =&gt; SOUS-SEGMENT'!$FJ$124*'ANALYSE - ERP =&gt; SOUS-SEGMENT'!$JX$124</f>
        <v>0</v>
      </c>
      <c r="O73" s="458">
        <f>'ANALYSE - ERP =&gt; SOUS-SEGMENT'!$FJ$124*'ANALYSE - ERP =&gt; SOUS-SEGMENT'!$JY$124</f>
        <v>166.47572134781251</v>
      </c>
      <c r="P73" s="458">
        <f>'ANALYSE - ERP =&gt; SOUS-SEGMENT'!$FJ$124*'ANALYSE - ERP =&gt; SOUS-SEGMENT'!$JZ$124</f>
        <v>994.38717992906254</v>
      </c>
      <c r="Q73" s="458">
        <f>'ANALYSE - ERP =&gt; SOUS-SEGMENT'!$FJ$124*'ANALYSE - ERP =&gt; SOUS-SEGMENT'!$KA$124</f>
        <v>1488.7515760603126</v>
      </c>
      <c r="R73" s="458">
        <f>'ANALYSE - ERP =&gt; SOUS-SEGMENT'!$FJ$124*'ANALYSE - ERP =&gt; SOUS-SEGMENT'!$KB$124</f>
        <v>328.4842945378125</v>
      </c>
      <c r="S73" s="685"/>
      <c r="T73" s="430">
        <f>'ANALYSE - ERP =&gt; SOUS-SEGMENT'!$Q$124</f>
        <v>1</v>
      </c>
    </row>
    <row r="74" spans="1:20" ht="15" customHeight="1">
      <c r="A74" s="26">
        <v>71</v>
      </c>
      <c r="B74" s="26">
        <v>72</v>
      </c>
      <c r="C74" s="422">
        <f>'ANALYSE - ERP =&gt; SOUS-SEGMENT'!$A$105</f>
        <v>98</v>
      </c>
      <c r="D74" s="417" t="str">
        <f>'ANALYSE - ERP =&gt; SOUS-SEGMENT'!$B$105</f>
        <v>Culte, Vie civique &amp; Services publics</v>
      </c>
      <c r="E74" s="417" t="str">
        <f>'ANALYSE - ERP =&gt; SOUS-SEGMENT'!$C$105</f>
        <v>Administrations / services publics</v>
      </c>
      <c r="F74" s="417" t="str">
        <f>'ANALYSE - ERP =&gt; SOUS-SEGMENT'!$D$105</f>
        <v>Préfectures / services administratifs</v>
      </c>
      <c r="H74" s="458">
        <f>'ANALYSE - ERP =&gt; SOUS-SEGMENT'!$BH$105*'ANALYSE - ERP =&gt; SOUS-SEGMENT'!$JS$105</f>
        <v>128.1224</v>
      </c>
      <c r="I74" s="458">
        <f>'ANALYSE - ERP =&gt; SOUS-SEGMENT'!$BH$105*'ANALYSE - ERP =&gt; SOUS-SEGMENT'!$JT$105</f>
        <v>1926.9796000000001</v>
      </c>
      <c r="J74" s="458">
        <f>'ANALYSE - ERP =&gt; SOUS-SEGMENT'!$BH$105*'ANALYSE - ERP =&gt; SOUS-SEGMENT'!$JU$105</f>
        <v>2207.5396000000001</v>
      </c>
      <c r="K74" s="458">
        <f>'ANALYSE - ERP =&gt; SOUS-SEGMENT'!$BH$105*'ANALYSE - ERP =&gt; SOUS-SEGMENT'!$JV$105</f>
        <v>408.68240000000003</v>
      </c>
      <c r="L74" s="458">
        <f>'ANALYSE - ERP =&gt; SOUS-SEGMENT'!$BH$105*'ANALYSE - ERP =&gt; SOUS-SEGMENT'!$JW$105</f>
        <v>4.6760000000000002</v>
      </c>
      <c r="N74" s="458">
        <f>'ANALYSE - ERP =&gt; SOUS-SEGMENT'!$FJ$105*'ANALYSE - ERP =&gt; SOUS-SEGMENT'!$JX$105</f>
        <v>0</v>
      </c>
      <c r="O74" s="458">
        <f>'ANALYSE - ERP =&gt; SOUS-SEGMENT'!$FJ$105*'ANALYSE - ERP =&gt; SOUS-SEGMENT'!$JY$105</f>
        <v>583.42868526996676</v>
      </c>
      <c r="P74" s="458">
        <f>'ANALYSE - ERP =&gt; SOUS-SEGMENT'!$FJ$105*'ANALYSE - ERP =&gt; SOUS-SEGMENT'!$JZ$105</f>
        <v>1177.2943774320615</v>
      </c>
      <c r="Q74" s="458">
        <f>'ANALYSE - ERP =&gt; SOUS-SEGMENT'!$FJ$105*'ANALYSE - ERP =&gt; SOUS-SEGMENT'!$KA$105</f>
        <v>319.16367076128057</v>
      </c>
      <c r="R74" s="458">
        <f>'ANALYSE - ERP =&gt; SOUS-SEGMENT'!$FJ$105*'ANALYSE - ERP =&gt; SOUS-SEGMENT'!$KB$105</f>
        <v>7.5146449623323086</v>
      </c>
      <c r="T74" s="430">
        <f>'ANALYSE - ERP =&gt; SOUS-SEGMENT'!$Q$105</f>
        <v>1</v>
      </c>
    </row>
    <row r="75" spans="1:20" ht="15" customHeight="1">
      <c r="A75" s="26">
        <v>72</v>
      </c>
      <c r="B75" s="26">
        <v>70</v>
      </c>
      <c r="C75" s="422">
        <f>'ANALYSE - ERP =&gt; SOUS-SEGMENT'!$A$31</f>
        <v>24</v>
      </c>
      <c r="D75" s="410" t="str">
        <f>'ANALYSE - ERP =&gt; SOUS-SEGMENT'!$B$31</f>
        <v>Sports &amp; Loisirs</v>
      </c>
      <c r="E75" s="410" t="str">
        <f>'ANALYSE - ERP =&gt; SOUS-SEGMENT'!$C$31</f>
        <v>Sport de plein air</v>
      </c>
      <c r="F75" s="410" t="str">
        <f>'ANALYSE - ERP =&gt; SOUS-SEGMENT'!$D$31</f>
        <v>Piscines extérieures 
(Hors campings, hôtels, résidences et établissement avec bassin intérieur)</v>
      </c>
      <c r="H75" s="458">
        <f>'ANALYSE - ERP =&gt; SOUS-SEGMENT'!$BH$31*'ANALYSE - ERP =&gt; SOUS-SEGMENT'!$JS$31</f>
        <v>1044.5800000000002</v>
      </c>
      <c r="I75" s="458">
        <f>'ANALYSE - ERP =&gt; SOUS-SEGMENT'!$BH$31*'ANALYSE - ERP =&gt; SOUS-SEGMENT'!$JT$31</f>
        <v>3658.0600000000004</v>
      </c>
      <c r="J75" s="458">
        <f>'ANALYSE - ERP =&gt; SOUS-SEGMENT'!$BH$31*'ANALYSE - ERP =&gt; SOUS-SEGMENT'!$JU$31</f>
        <v>1097.3600000000001</v>
      </c>
      <c r="K75" s="458">
        <f>'ANALYSE - ERP =&gt; SOUS-SEGMENT'!$BH$31*'ANALYSE - ERP =&gt; SOUS-SEGMENT'!$JV$31</f>
        <v>0</v>
      </c>
      <c r="L75" s="458">
        <f>'ANALYSE - ERP =&gt; SOUS-SEGMENT'!$BH$31*'ANALYSE - ERP =&gt; SOUS-SEGMENT'!$JW$31</f>
        <v>0</v>
      </c>
      <c r="N75" s="458">
        <f>'ANALYSE - ERP =&gt; SOUS-SEGMENT'!$FJ$31*'ANALYSE - ERP =&gt; SOUS-SEGMENT'!$JX$31</f>
        <v>265.72836918183339</v>
      </c>
      <c r="O75" s="458">
        <f>'ANALYSE - ERP =&gt; SOUS-SEGMENT'!$FJ$31*'ANALYSE - ERP =&gt; SOUS-SEGMENT'!$JY$31</f>
        <v>1744.5259565196668</v>
      </c>
      <c r="P75" s="458">
        <f>'ANALYSE - ERP =&gt; SOUS-SEGMENT'!$FJ$31*'ANALYSE - ERP =&gt; SOUS-SEGMENT'!$JZ$31</f>
        <v>945.56735596516694</v>
      </c>
      <c r="Q75" s="458">
        <f>'ANALYSE - ERP =&gt; SOUS-SEGMENT'!$FJ$31*'ANALYSE - ERP =&gt; SOUS-SEGMENT'!$KA$31</f>
        <v>0</v>
      </c>
      <c r="R75" s="458">
        <f>'ANALYSE - ERP =&gt; SOUS-SEGMENT'!$FJ$31*'ANALYSE - ERP =&gt; SOUS-SEGMENT'!$KB$31</f>
        <v>0</v>
      </c>
      <c r="T75" s="430">
        <f>'ANALYSE - ERP =&gt; SOUS-SEGMENT'!$Q$31</f>
        <v>1</v>
      </c>
    </row>
    <row r="76" spans="1:20" ht="15" customHeight="1">
      <c r="A76" s="26">
        <v>73</v>
      </c>
      <c r="B76" s="26">
        <v>73</v>
      </c>
      <c r="C76" s="422">
        <f>'ANALYSE - ERP =&gt; SOUS-SEGMENT'!$A$140</f>
        <v>133</v>
      </c>
      <c r="D76" s="410" t="str">
        <f>'ANALYSE - ERP =&gt; SOUS-SEGMENT'!$B$140</f>
        <v>Sécurité &amp; Justice</v>
      </c>
      <c r="E76" s="410" t="str">
        <f>'ANALYSE - ERP =&gt; SOUS-SEGMENT'!$C$140</f>
        <v>Univers carcéral</v>
      </c>
      <c r="F76" s="410" t="str">
        <f>'ANALYSE - ERP =&gt; SOUS-SEGMENT'!$D$140</f>
        <v>Centres de détention</v>
      </c>
      <c r="H76" s="458">
        <f>'ANALYSE - ERP =&gt; SOUS-SEGMENT'!$BH$140*'ANALYSE - ERP =&gt; SOUS-SEGMENT'!$JS$140</f>
        <v>764.75</v>
      </c>
      <c r="I76" s="458">
        <f>'ANALYSE - ERP =&gt; SOUS-SEGMENT'!$BH$140*'ANALYSE - ERP =&gt; SOUS-SEGMENT'!$JT$140</f>
        <v>3007.375</v>
      </c>
      <c r="J76" s="458">
        <f>'ANALYSE - ERP =&gt; SOUS-SEGMENT'!$BH$140*'ANALYSE - ERP =&gt; SOUS-SEGMENT'!$JU$140</f>
        <v>602.875</v>
      </c>
      <c r="K76" s="458">
        <f>'ANALYSE - ERP =&gt; SOUS-SEGMENT'!$BH$140*'ANALYSE - ERP =&gt; SOUS-SEGMENT'!$JV$140</f>
        <v>0</v>
      </c>
      <c r="L76" s="458">
        <f>'ANALYSE - ERP =&gt; SOUS-SEGMENT'!$BH$140*'ANALYSE - ERP =&gt; SOUS-SEGMENT'!$JW$140</f>
        <v>0</v>
      </c>
      <c r="N76" s="458">
        <f>'ANALYSE - ERP =&gt; SOUS-SEGMENT'!$FJ$140*'ANALYSE - ERP =&gt; SOUS-SEGMENT'!$JX$140</f>
        <v>198.70521204545452</v>
      </c>
      <c r="O76" s="458">
        <f>'ANALYSE - ERP =&gt; SOUS-SEGMENT'!$FJ$140*'ANALYSE - ERP =&gt; SOUS-SEGMENT'!$JY$140</f>
        <v>1537.3385618181817</v>
      </c>
      <c r="P76" s="458">
        <f>'ANALYSE - ERP =&gt; SOUS-SEGMENT'!$FJ$140*'ANALYSE - ERP =&gt; SOUS-SEGMENT'!$JZ$140</f>
        <v>598.91758977272718</v>
      </c>
      <c r="Q76" s="458">
        <f>'ANALYSE - ERP =&gt; SOUS-SEGMENT'!$FJ$140*'ANALYSE - ERP =&gt; SOUS-SEGMENT'!$KA$140</f>
        <v>0</v>
      </c>
      <c r="R76" s="458">
        <f>'ANALYSE - ERP =&gt; SOUS-SEGMENT'!$FJ$140*'ANALYSE - ERP =&gt; SOUS-SEGMENT'!$KB$140</f>
        <v>0</v>
      </c>
      <c r="T76" s="430">
        <f>'ANALYSE - ERP =&gt; SOUS-SEGMENT'!$Q$140</f>
        <v>1</v>
      </c>
    </row>
    <row r="77" spans="1:20" ht="15" customHeight="1">
      <c r="A77" s="26">
        <v>74</v>
      </c>
      <c r="B77" s="26">
        <v>75</v>
      </c>
      <c r="C77" s="422">
        <f>'ANALYSE - ERP =&gt; SOUS-SEGMENT'!$A$72</f>
        <v>65</v>
      </c>
      <c r="D77" s="410" t="str">
        <f>'ANALYSE - ERP =&gt; SOUS-SEGMENT'!$B$72</f>
        <v>Culture, Patrimoine &amp; Evénementiel</v>
      </c>
      <c r="E77" s="410" t="str">
        <f>'ANALYSE - ERP =&gt; SOUS-SEGMENT'!$C$72</f>
        <v>Événementiel temporaire</v>
      </c>
      <c r="F77" s="410" t="str">
        <f>'ANALYSE - ERP =&gt; SOUS-SEGMENT'!$D$72</f>
        <v>Chapiteaux / Tentes / Structures</v>
      </c>
      <c r="H77" s="458">
        <f>'ANALYSE - ERP =&gt; SOUS-SEGMENT'!$BH$72*'ANALYSE - ERP =&gt; SOUS-SEGMENT'!$JS$72</f>
        <v>88.02</v>
      </c>
      <c r="I77" s="458">
        <f>'ANALYSE - ERP =&gt; SOUS-SEGMENT'!$BH$72*'ANALYSE - ERP =&gt; SOUS-SEGMENT'!$JT$72</f>
        <v>1119.96</v>
      </c>
      <c r="J77" s="458">
        <f>'ANALYSE - ERP =&gt; SOUS-SEGMENT'!$BH$72*'ANALYSE - ERP =&gt; SOUS-SEGMENT'!$JU$72</f>
        <v>1333.26</v>
      </c>
      <c r="K77" s="458">
        <f>'ANALYSE - ERP =&gt; SOUS-SEGMENT'!$BH$72*'ANALYSE - ERP =&gt; SOUS-SEGMENT'!$JV$72</f>
        <v>158.76</v>
      </c>
      <c r="L77" s="458">
        <f>'ANALYSE - ERP =&gt; SOUS-SEGMENT'!$BH$72*'ANALYSE - ERP =&gt; SOUS-SEGMENT'!$JW$72</f>
        <v>0</v>
      </c>
      <c r="N77" s="458">
        <f>'ANALYSE - ERP =&gt; SOUS-SEGMENT'!$FJ$72*'ANALYSE - ERP =&gt; SOUS-SEGMENT'!$JX$72</f>
        <v>16.006598920615382</v>
      </c>
      <c r="O77" s="458">
        <f>'ANALYSE - ERP =&gt; SOUS-SEGMENT'!$FJ$72*'ANALYSE - ERP =&gt; SOUS-SEGMENT'!$JY$72</f>
        <v>414.48666678646151</v>
      </c>
      <c r="P77" s="458">
        <f>'ANALYSE - ERP =&gt; SOUS-SEGMENT'!$FJ$72*'ANALYSE - ERP =&gt; SOUS-SEGMENT'!$JZ$72</f>
        <v>538.32719527753841</v>
      </c>
      <c r="Q77" s="458">
        <f>'ANALYSE - ERP =&gt; SOUS-SEGMENT'!$FJ$72*'ANALYSE - ERP =&gt; SOUS-SEGMENT'!$KA$72</f>
        <v>80.243607746769229</v>
      </c>
      <c r="R77" s="458">
        <f>'ANALYSE - ERP =&gt; SOUS-SEGMENT'!$FJ$72*'ANALYSE - ERP =&gt; SOUS-SEGMENT'!$KB$72</f>
        <v>4.0016497301538454</v>
      </c>
      <c r="T77" s="430">
        <f>'ANALYSE - ERP =&gt; SOUS-SEGMENT'!$Q$72</f>
        <v>1</v>
      </c>
    </row>
    <row r="78" spans="1:20" ht="15" customHeight="1">
      <c r="A78" s="26">
        <v>75</v>
      </c>
      <c r="B78" s="26">
        <v>74</v>
      </c>
      <c r="C78" s="422">
        <f>'ANALYSE - ERP =&gt; SOUS-SEGMENT'!$A$23</f>
        <v>16</v>
      </c>
      <c r="D78" s="410" t="str">
        <f>'ANALYSE - ERP =&gt; SOUS-SEGMENT'!$B$23</f>
        <v>Sports &amp; Loisirs</v>
      </c>
      <c r="E78" s="410" t="str">
        <f>'ANALYSE - ERP =&gt; SOUS-SEGMENT'!$C$23</f>
        <v>Sport couvert / Thermalisme / Bien-être</v>
      </c>
      <c r="F78" s="410" t="str">
        <f>'ANALYSE - ERP =&gt; SOUS-SEGMENT'!$D$23</f>
        <v>Patinoires couvertes</v>
      </c>
      <c r="H78" s="458">
        <f>'ANALYSE - ERP =&gt; SOUS-SEGMENT'!$BH$23*'ANALYSE - ERP =&gt; SOUS-SEGMENT'!$JS$23</f>
        <v>814.38</v>
      </c>
      <c r="I78" s="458">
        <f>'ANALYSE - ERP =&gt; SOUS-SEGMENT'!$BH$23*'ANALYSE - ERP =&gt; SOUS-SEGMENT'!$JT$23</f>
        <v>2646.84</v>
      </c>
      <c r="J78" s="458">
        <f>'ANALYSE - ERP =&gt; SOUS-SEGMENT'!$BH$23*'ANALYSE - ERP =&gt; SOUS-SEGMENT'!$JU$23</f>
        <v>738.78</v>
      </c>
      <c r="K78" s="458">
        <f>'ANALYSE - ERP =&gt; SOUS-SEGMENT'!$BH$23*'ANALYSE - ERP =&gt; SOUS-SEGMENT'!$JV$23</f>
        <v>0</v>
      </c>
      <c r="L78" s="458">
        <f>'ANALYSE - ERP =&gt; SOUS-SEGMENT'!$BH$23*'ANALYSE - ERP =&gt; SOUS-SEGMENT'!$JW$23</f>
        <v>0</v>
      </c>
      <c r="N78" s="458">
        <f>'ANALYSE - ERP =&gt; SOUS-SEGMENT'!$FJ$23*'ANALYSE - ERP =&gt; SOUS-SEGMENT'!$JX$23</f>
        <v>203.36964302666667</v>
      </c>
      <c r="O78" s="458">
        <f>'ANALYSE - ERP =&gt; SOUS-SEGMENT'!$FJ$23*'ANALYSE - ERP =&gt; SOUS-SEGMENT'!$JY$23</f>
        <v>1236.3222562880001</v>
      </c>
      <c r="P78" s="458">
        <f>'ANALYSE - ERP =&gt; SOUS-SEGMENT'!$FJ$23*'ANALYSE - ERP =&gt; SOUS-SEGMENT'!$JZ$23</f>
        <v>624.974527352</v>
      </c>
      <c r="Q78" s="458">
        <f>'ANALYSE - ERP =&gt; SOUS-SEGMENT'!$FJ$23*'ANALYSE - ERP =&gt; SOUS-SEGMENT'!$KA$23</f>
        <v>0</v>
      </c>
      <c r="R78" s="458">
        <f>'ANALYSE - ERP =&gt; SOUS-SEGMENT'!$FJ$23*'ANALYSE - ERP =&gt; SOUS-SEGMENT'!$KB$23</f>
        <v>0</v>
      </c>
      <c r="T78" s="430">
        <f>'ANALYSE - ERP =&gt; SOUS-SEGMENT'!$Q$23</f>
        <v>1</v>
      </c>
    </row>
    <row r="79" spans="1:20" ht="15" customHeight="1">
      <c r="A79" s="26">
        <v>76</v>
      </c>
      <c r="B79" s="26">
        <v>77</v>
      </c>
      <c r="C79" s="422">
        <f>'ANALYSE - ERP =&gt; SOUS-SEGMENT'!$A$135</f>
        <v>128</v>
      </c>
      <c r="D79" s="410" t="str">
        <f>'ANALYSE - ERP =&gt; SOUS-SEGMENT'!$B$135</f>
        <v>Sécurité &amp; Justice</v>
      </c>
      <c r="E79" s="410" t="str">
        <f>'ANALYSE - ERP =&gt; SOUS-SEGMENT'!$C$135</f>
        <v>Forces armées</v>
      </c>
      <c r="F79" s="410" t="str">
        <f>'ANALYSE - ERP =&gt; SOUS-SEGMENT'!$D$135</f>
        <v>Unités d'hébergement des militaires &amp; réservistes</v>
      </c>
      <c r="H79" s="458">
        <f>'ANALYSE - ERP =&gt; SOUS-SEGMENT'!$BH$135*'ANALYSE - ERP =&gt; SOUS-SEGMENT'!$JS$135</f>
        <v>271.76</v>
      </c>
      <c r="I79" s="458">
        <f>'ANALYSE - ERP =&gt; SOUS-SEGMENT'!$BH$135*'ANALYSE - ERP =&gt; SOUS-SEGMENT'!$JT$135</f>
        <v>2015.4959999999999</v>
      </c>
      <c r="J79" s="458">
        <f>'ANALYSE - ERP =&gt; SOUS-SEGMENT'!$BH$135*'ANALYSE - ERP =&gt; SOUS-SEGMENT'!$JU$135</f>
        <v>1107.68</v>
      </c>
      <c r="K79" s="458">
        <f>'ANALYSE - ERP =&gt; SOUS-SEGMENT'!$BH$135*'ANALYSE - ERP =&gt; SOUS-SEGMENT'!$JV$135</f>
        <v>45.064</v>
      </c>
      <c r="L79" s="458">
        <f>'ANALYSE - ERP =&gt; SOUS-SEGMENT'!$BH$135*'ANALYSE - ERP =&gt; SOUS-SEGMENT'!$JW$135</f>
        <v>0</v>
      </c>
      <c r="N79" s="458">
        <f>'ANALYSE - ERP =&gt; SOUS-SEGMENT'!$FJ$135*'ANALYSE - ERP =&gt; SOUS-SEGMENT'!$JX$135</f>
        <v>58.395058222166668</v>
      </c>
      <c r="O79" s="458">
        <f>'ANALYSE - ERP =&gt; SOUS-SEGMENT'!$FJ$135*'ANALYSE - ERP =&gt; SOUS-SEGMENT'!$JY$135</f>
        <v>802.71415854650002</v>
      </c>
      <c r="P79" s="458">
        <f>'ANALYSE - ERP =&gt; SOUS-SEGMENT'!$FJ$135*'ANALYSE - ERP =&gt; SOUS-SEGMENT'!$JZ$135</f>
        <v>819.62257838993332</v>
      </c>
      <c r="Q79" s="458">
        <f>'ANALYSE - ERP =&gt; SOUS-SEGMENT'!$FJ$135*'ANALYSE - ERP =&gt; SOUS-SEGMENT'!$KA$135</f>
        <v>62.055643961466664</v>
      </c>
      <c r="R79" s="458">
        <f>'ANALYSE - ERP =&gt; SOUS-SEGMENT'!$FJ$135*'ANALYSE - ERP =&gt; SOUS-SEGMENT'!$KB$135</f>
        <v>0.34862721326666668</v>
      </c>
      <c r="T79" s="430">
        <f>'ANALYSE - ERP =&gt; SOUS-SEGMENT'!$Q$135</f>
        <v>1</v>
      </c>
    </row>
    <row r="80" spans="1:20" ht="15" customHeight="1">
      <c r="A80" s="26">
        <v>77</v>
      </c>
      <c r="B80" s="26">
        <v>76</v>
      </c>
      <c r="C80" s="422">
        <f>'ANALYSE - ERP =&gt; SOUS-SEGMENT'!$A$146</f>
        <v>139</v>
      </c>
      <c r="D80" s="411" t="str">
        <f>'ANALYSE - ERP =&gt; SOUS-SEGMENT'!$B$146</f>
        <v>Sécurité &amp; Justice</v>
      </c>
      <c r="E80" s="411" t="str">
        <f>'ANALYSE - ERP =&gt; SOUS-SEGMENT'!$C$146</f>
        <v>Tribunaux</v>
      </c>
      <c r="F80" s="411" t="str">
        <f>'ANALYSE - ERP =&gt; SOUS-SEGMENT'!$D$146</f>
        <v>Palais de justice et bâtiments judiciaires multi-usages</v>
      </c>
      <c r="H80" s="458">
        <f>'ANALYSE - ERP =&gt; SOUS-SEGMENT'!$BH$146*'ANALYSE - ERP =&gt; SOUS-SEGMENT'!$JS$146</f>
        <v>10.824</v>
      </c>
      <c r="I80" s="458">
        <f>'ANALYSE - ERP =&gt; SOUS-SEGMENT'!$BH$146*'ANALYSE - ERP =&gt; SOUS-SEGMENT'!$JT$146</f>
        <v>1088.1727999999998</v>
      </c>
      <c r="J80" s="458">
        <f>'ANALYSE - ERP =&gt; SOUS-SEGMENT'!$BH$146*'ANALYSE - ERP =&gt; SOUS-SEGMENT'!$JU$146</f>
        <v>1950.8455999999999</v>
      </c>
      <c r="K80" s="458">
        <f>'ANALYSE - ERP =&gt; SOUS-SEGMENT'!$BH$146*'ANALYSE - ERP =&gt; SOUS-SEGMENT'!$JV$146</f>
        <v>542.64319999999998</v>
      </c>
      <c r="L80" s="458">
        <f>'ANALYSE - ERP =&gt; SOUS-SEGMENT'!$BH$146*'ANALYSE - ERP =&gt; SOUS-SEGMENT'!$JW$146</f>
        <v>15.5144</v>
      </c>
      <c r="N80" s="458">
        <f>'ANALYSE - ERP =&gt; SOUS-SEGMENT'!$FJ$146*'ANALYSE - ERP =&gt; SOUS-SEGMENT'!$JX$146</f>
        <v>0</v>
      </c>
      <c r="O80" s="458">
        <f>'ANALYSE - ERP =&gt; SOUS-SEGMENT'!$FJ$146*'ANALYSE - ERP =&gt; SOUS-SEGMENT'!$JY$146</f>
        <v>301.88990412280896</v>
      </c>
      <c r="P80" s="458">
        <f>'ANALYSE - ERP =&gt; SOUS-SEGMENT'!$FJ$146*'ANALYSE - ERP =&gt; SOUS-SEGMENT'!$JZ$146</f>
        <v>883.8919775179578</v>
      </c>
      <c r="Q80" s="458">
        <f>'ANALYSE - ERP =&gt; SOUS-SEGMENT'!$FJ$146*'ANALYSE - ERP =&gt; SOUS-SEGMENT'!$KA$146</f>
        <v>373.37768591456665</v>
      </c>
      <c r="R80" s="458">
        <f>'ANALYSE - ERP =&gt; SOUS-SEGMENT'!$FJ$146*'ANALYSE - ERP =&gt; SOUS-SEGMENT'!$KB$146</f>
        <v>18.937160739538463</v>
      </c>
      <c r="T80" s="430">
        <f>'ANALYSE - ERP =&gt; SOUS-SEGMENT'!$Q$146</f>
        <v>1</v>
      </c>
    </row>
    <row r="81" spans="1:20" ht="15" customHeight="1">
      <c r="A81" s="26">
        <v>78</v>
      </c>
      <c r="B81" s="26">
        <v>78</v>
      </c>
      <c r="C81" s="422">
        <f>'ANALYSE - ERP =&gt; SOUS-SEGMENT'!$A$127</f>
        <v>120</v>
      </c>
      <c r="D81" s="411" t="str">
        <f>'ANALYSE - ERP =&gt; SOUS-SEGMENT'!$B$127</f>
        <v>Transport, Mobilité &amp; Stationnement</v>
      </c>
      <c r="E81" s="411" t="str">
        <f>'ANALYSE - ERP =&gt; SOUS-SEGMENT'!$C$127</f>
        <v>Transport / Mobilité</v>
      </c>
      <c r="F81" s="411" t="str">
        <f>'ANALYSE - ERP =&gt; SOUS-SEGMENT'!$D$127</f>
        <v>Terminaux maritimes / fluviaux</v>
      </c>
      <c r="H81" s="458">
        <f>'ANALYSE - ERP =&gt; SOUS-SEGMENT'!$BH$127*'ANALYSE - ERP =&gt; SOUS-SEGMENT'!$JS$127</f>
        <v>0</v>
      </c>
      <c r="I81" s="458">
        <f>'ANALYSE - ERP =&gt; SOUS-SEGMENT'!$BH$127*'ANALYSE - ERP =&gt; SOUS-SEGMENT'!$JT$127</f>
        <v>332.46499999999997</v>
      </c>
      <c r="J81" s="458">
        <f>'ANALYSE - ERP =&gt; SOUS-SEGMENT'!$BH$127*'ANALYSE - ERP =&gt; SOUS-SEGMENT'!$JU$127</f>
        <v>1464.38</v>
      </c>
      <c r="K81" s="458">
        <f>'ANALYSE - ERP =&gt; SOUS-SEGMENT'!$BH$127*'ANALYSE - ERP =&gt; SOUS-SEGMENT'!$JV$127</f>
        <v>1073.8</v>
      </c>
      <c r="L81" s="458">
        <f>'ANALYSE - ERP =&gt; SOUS-SEGMENT'!$BH$127*'ANALYSE - ERP =&gt; SOUS-SEGMENT'!$JW$127</f>
        <v>79.355000000000004</v>
      </c>
      <c r="N81" s="458">
        <f>'ANALYSE - ERP =&gt; SOUS-SEGMENT'!$FJ$127*'ANALYSE - ERP =&gt; SOUS-SEGMENT'!$JX$127</f>
        <v>0</v>
      </c>
      <c r="O81" s="458">
        <f>'ANALYSE - ERP =&gt; SOUS-SEGMENT'!$FJ$127*'ANALYSE - ERP =&gt; SOUS-SEGMENT'!$JY$127</f>
        <v>85.257458673611112</v>
      </c>
      <c r="P81" s="458">
        <f>'ANALYSE - ERP =&gt; SOUS-SEGMENT'!$FJ$127*'ANALYSE - ERP =&gt; SOUS-SEGMENT'!$JZ$127</f>
        <v>508.97948337361106</v>
      </c>
      <c r="Q81" s="458">
        <f>'ANALYSE - ERP =&gt; SOUS-SEGMENT'!$FJ$127*'ANALYSE - ERP =&gt; SOUS-SEGMENT'!$KA$127</f>
        <v>751.77461789722213</v>
      </c>
      <c r="R81" s="458">
        <f>'ANALYSE - ERP =&gt; SOUS-SEGMENT'!$FJ$127*'ANALYSE - ERP =&gt; SOUS-SEGMENT'!$KB$127</f>
        <v>162.9700095</v>
      </c>
      <c r="T81" s="430">
        <f>'ANALYSE - ERP =&gt; SOUS-SEGMENT'!$Q$127</f>
        <v>1</v>
      </c>
    </row>
    <row r="82" spans="1:20" ht="15" customHeight="1">
      <c r="A82" s="26">
        <v>79</v>
      </c>
      <c r="B82" s="26">
        <v>79</v>
      </c>
      <c r="C82" s="422">
        <f>'ANALYSE - ERP =&gt; SOUS-SEGMENT'!$A$71</f>
        <v>64</v>
      </c>
      <c r="D82" s="411" t="str">
        <f>'ANALYSE - ERP =&gt; SOUS-SEGMENT'!$B$71</f>
        <v>Culture, Patrimoine &amp; Evénementiel</v>
      </c>
      <c r="E82" s="411" t="str">
        <f>'ANALYSE - ERP =&gt; SOUS-SEGMENT'!$C$71</f>
        <v>Expositions / salons</v>
      </c>
      <c r="F82" s="411" t="str">
        <f>'ANALYSE - ERP =&gt; SOUS-SEGMENT'!$D$71</f>
        <v>Halls d’exposition</v>
      </c>
      <c r="H82" s="458">
        <f>'ANALYSE - ERP =&gt; SOUS-SEGMENT'!$BH$71*'ANALYSE - ERP =&gt; SOUS-SEGMENT'!$JS$71</f>
        <v>0</v>
      </c>
      <c r="I82" s="458">
        <f>'ANALYSE - ERP =&gt; SOUS-SEGMENT'!$BH$71*'ANALYSE - ERP =&gt; SOUS-SEGMENT'!$JT$71</f>
        <v>401.01600000000002</v>
      </c>
      <c r="J82" s="458">
        <f>'ANALYSE - ERP =&gt; SOUS-SEGMENT'!$BH$71*'ANALYSE - ERP =&gt; SOUS-SEGMENT'!$JU$71</f>
        <v>1238.0159999999998</v>
      </c>
      <c r="K82" s="458">
        <f>'ANALYSE - ERP =&gt; SOUS-SEGMENT'!$BH$71*'ANALYSE - ERP =&gt; SOUS-SEGMENT'!$JV$71</f>
        <v>753.67200000000003</v>
      </c>
      <c r="L82" s="458">
        <f>'ANALYSE - ERP =&gt; SOUS-SEGMENT'!$BH$71*'ANALYSE - ERP =&gt; SOUS-SEGMENT'!$JW$71</f>
        <v>87.296000000000006</v>
      </c>
      <c r="N82" s="458">
        <f>'ANALYSE - ERP =&gt; SOUS-SEGMENT'!$FJ$71*'ANALYSE - ERP =&gt; SOUS-SEGMENT'!$JX$71</f>
        <v>0</v>
      </c>
      <c r="O82" s="458">
        <f>'ANALYSE - ERP =&gt; SOUS-SEGMENT'!$FJ$71*'ANALYSE - ERP =&gt; SOUS-SEGMENT'!$JY$71</f>
        <v>72.26446976074871</v>
      </c>
      <c r="P82" s="458">
        <f>'ANALYSE - ERP =&gt; SOUS-SEGMENT'!$FJ$71*'ANALYSE - ERP =&gt; SOUS-SEGMENT'!$JZ$71</f>
        <v>426.08012156718456</v>
      </c>
      <c r="Q82" s="458">
        <f>'ANALYSE - ERP =&gt; SOUS-SEGMENT'!$FJ$71*'ANALYSE - ERP =&gt; SOUS-SEGMENT'!$KA$71</f>
        <v>420.57521043582557</v>
      </c>
      <c r="R82" s="458">
        <f>'ANALYSE - ERP =&gt; SOUS-SEGMENT'!$FJ$71*'ANALYSE - ERP =&gt; SOUS-SEGMENT'!$KB$71</f>
        <v>81.973131210599988</v>
      </c>
      <c r="T82" s="430">
        <f>'ANALYSE - ERP =&gt; SOUS-SEGMENT'!$Q$71</f>
        <v>1</v>
      </c>
    </row>
    <row r="83" spans="1:20" ht="15" customHeight="1">
      <c r="A83" s="26">
        <v>80</v>
      </c>
      <c r="B83" s="26">
        <v>80</v>
      </c>
      <c r="C83" s="422">
        <f>'ANALYSE - ERP =&gt; SOUS-SEGMENT'!$A$132</f>
        <v>125</v>
      </c>
      <c r="D83" s="415" t="str">
        <f>'ANALYSE - ERP =&gt; SOUS-SEGMENT'!$B$132</f>
        <v>Sécurité &amp; Justice</v>
      </c>
      <c r="E83" s="415" t="str">
        <f>'ANALYSE - ERP =&gt; SOUS-SEGMENT'!$C$132</f>
        <v xml:space="preserve">Commissariats / postes de police </v>
      </c>
      <c r="F83" s="415" t="str">
        <f>'ANALYSE - ERP =&gt; SOUS-SEGMENT'!$D$132</f>
        <v>Locaux de sûreté, garde à vue et zones opérationnelles</v>
      </c>
      <c r="H83" s="458">
        <f>'ANALYSE - ERP =&gt; SOUS-SEGMENT'!$BH$132*'ANALYSE - ERP =&gt; SOUS-SEGMENT'!$JS$132</f>
        <v>220.83839999999998</v>
      </c>
      <c r="I83" s="458">
        <f>'ANALYSE - ERP =&gt; SOUS-SEGMENT'!$BH$132*'ANALYSE - ERP =&gt; SOUS-SEGMENT'!$JT$132</f>
        <v>1381.8303999999998</v>
      </c>
      <c r="J83" s="458">
        <f>'ANALYSE - ERP =&gt; SOUS-SEGMENT'!$BH$132*'ANALYSE - ERP =&gt; SOUS-SEGMENT'!$JU$132</f>
        <v>669.33119999999997</v>
      </c>
      <c r="K83" s="458">
        <f>'ANALYSE - ERP =&gt; SOUS-SEGMENT'!$BH$132*'ANALYSE - ERP =&gt; SOUS-SEGMENT'!$JV$132</f>
        <v>0</v>
      </c>
      <c r="L83" s="458">
        <f>'ANALYSE - ERP =&gt; SOUS-SEGMENT'!$BH$132*'ANALYSE - ERP =&gt; SOUS-SEGMENT'!$JW$132</f>
        <v>0</v>
      </c>
      <c r="N83" s="458">
        <f>'ANALYSE - ERP =&gt; SOUS-SEGMENT'!$FJ$132*'ANALYSE - ERP =&gt; SOUS-SEGMENT'!$JX$132</f>
        <v>51.886788667777779</v>
      </c>
      <c r="O83" s="458">
        <f>'ANALYSE - ERP =&gt; SOUS-SEGMENT'!$FJ$132*'ANALYSE - ERP =&gt; SOUS-SEGMENT'!$JY$132</f>
        <v>555.18863874522219</v>
      </c>
      <c r="P83" s="458">
        <f>'ANALYSE - ERP =&gt; SOUS-SEGMENT'!$FJ$132*'ANALYSE - ERP =&gt; SOUS-SEGMENT'!$JZ$132</f>
        <v>430.66034594255552</v>
      </c>
      <c r="Q83" s="458">
        <f>'ANALYSE - ERP =&gt; SOUS-SEGMENT'!$FJ$132*'ANALYSE - ERP =&gt; SOUS-SEGMENT'!$KA$132</f>
        <v>0</v>
      </c>
      <c r="R83" s="458">
        <f>'ANALYSE - ERP =&gt; SOUS-SEGMENT'!$FJ$132*'ANALYSE - ERP =&gt; SOUS-SEGMENT'!$KB$132</f>
        <v>0</v>
      </c>
      <c r="T83" s="430">
        <f>'ANALYSE - ERP =&gt; SOUS-SEGMENT'!$Q$132</f>
        <v>1</v>
      </c>
    </row>
    <row r="84" spans="1:20" ht="15" customHeight="1">
      <c r="A84" s="26">
        <v>81</v>
      </c>
      <c r="B84" s="26">
        <v>82</v>
      </c>
      <c r="C84" s="422">
        <f>'ANALYSE - ERP =&gt; SOUS-SEGMENT'!$A$118</f>
        <v>111</v>
      </c>
      <c r="D84" s="417" t="str">
        <f>'ANALYSE - ERP =&gt; SOUS-SEGMENT'!$B$118</f>
        <v>Culte, Vie civique &amp; Services publics</v>
      </c>
      <c r="E84" s="417" t="str">
        <f>'ANALYSE - ERP =&gt; SOUS-SEGMENT'!$C$118</f>
        <v>Culte</v>
      </c>
      <c r="F84" s="417" t="str">
        <f>'ANALYSE - ERP =&gt; SOUS-SEGMENT'!$D$118</f>
        <v>Temples bouddhistes, hindous et autres lieux de culte non abrahamiques ouverts au public</v>
      </c>
      <c r="H84" s="458">
        <f>'ANALYSE - ERP =&gt; SOUS-SEGMENT'!$BH$118*'ANALYSE - ERP =&gt; SOUS-SEGMENT'!$JS$118</f>
        <v>143.91</v>
      </c>
      <c r="I84" s="458">
        <f>'ANALYSE - ERP =&gt; SOUS-SEGMENT'!$BH$118*'ANALYSE - ERP =&gt; SOUS-SEGMENT'!$JT$118</f>
        <v>727.92000000000007</v>
      </c>
      <c r="J84" s="458">
        <f>'ANALYSE - ERP =&gt; SOUS-SEGMENT'!$BH$118*'ANALYSE - ERP =&gt; SOUS-SEGMENT'!$JU$118</f>
        <v>444.82500000000005</v>
      </c>
      <c r="K84" s="458">
        <f>'ANALYSE - ERP =&gt; SOUS-SEGMENT'!$BH$118*'ANALYSE - ERP =&gt; SOUS-SEGMENT'!$JV$118</f>
        <v>33.344999999999999</v>
      </c>
      <c r="L84" s="458">
        <f>'ANALYSE - ERP =&gt; SOUS-SEGMENT'!$BH$118*'ANALYSE - ERP =&gt; SOUS-SEGMENT'!$JW$118</f>
        <v>0</v>
      </c>
      <c r="N84" s="458">
        <f>'ANALYSE - ERP =&gt; SOUS-SEGMENT'!$FJ$118*'ANALYSE - ERP =&gt; SOUS-SEGMENT'!$JX$118</f>
        <v>41.845078846153839</v>
      </c>
      <c r="O84" s="458">
        <f>'ANALYSE - ERP =&gt; SOUS-SEGMENT'!$FJ$118*'ANALYSE - ERP =&gt; SOUS-SEGMENT'!$JY$118</f>
        <v>236.09672053846154</v>
      </c>
      <c r="P84" s="458">
        <f>'ANALYSE - ERP =&gt; SOUS-SEGMENT'!$FJ$118*'ANALYSE - ERP =&gt; SOUS-SEGMENT'!$JZ$118</f>
        <v>155.4375036923077</v>
      </c>
      <c r="Q84" s="458">
        <f>'ANALYSE - ERP =&gt; SOUS-SEGMENT'!$FJ$118*'ANALYSE - ERP =&gt; SOUS-SEGMENT'!$KA$118</f>
        <v>17.552314153846154</v>
      </c>
      <c r="R84" s="458">
        <f>'ANALYSE - ERP =&gt; SOUS-SEGMENT'!$FJ$118*'ANALYSE - ERP =&gt; SOUS-SEGMENT'!$KB$118</f>
        <v>1.4476135384615385</v>
      </c>
      <c r="T84" s="430">
        <f>'ANALYSE - ERP =&gt; SOUS-SEGMENT'!$Q$118</f>
        <v>1</v>
      </c>
    </row>
    <row r="85" spans="1:20" ht="15" customHeight="1">
      <c r="A85" s="26">
        <v>82</v>
      </c>
      <c r="B85" s="26">
        <v>83</v>
      </c>
      <c r="C85" s="422">
        <f>'ANALYSE - ERP =&gt; SOUS-SEGMENT'!$A$91</f>
        <v>84</v>
      </c>
      <c r="D85" s="415" t="str">
        <f>'ANALYSE - ERP =&gt; SOUS-SEGMENT'!$B$91</f>
        <v>Hébergement Touristique</v>
      </c>
      <c r="E85" s="415" t="str">
        <f>'ANALYSE - ERP =&gt; SOUS-SEGMENT'!$C$91</f>
        <v>Hébergement Touristique</v>
      </c>
      <c r="F85" s="415" t="str">
        <f>'ANALYSE - ERP =&gt; SOUS-SEGMENT'!$D$91</f>
        <v>Pensions de famille</v>
      </c>
      <c r="H85" s="458">
        <f>'ANALYSE - ERP =&gt; SOUS-SEGMENT'!$BH$91*'ANALYSE - ERP =&gt; SOUS-SEGMENT'!$JS$91</f>
        <v>90.172799999999995</v>
      </c>
      <c r="I85" s="458">
        <f>'ANALYSE - ERP =&gt; SOUS-SEGMENT'!$BH$91*'ANALYSE - ERP =&gt; SOUS-SEGMENT'!$JT$91</f>
        <v>725.56380000000001</v>
      </c>
      <c r="J85" s="458">
        <f>'ANALYSE - ERP =&gt; SOUS-SEGMENT'!$BH$91*'ANALYSE - ERP =&gt; SOUS-SEGMENT'!$JU$91</f>
        <v>839.91600000000005</v>
      </c>
      <c r="K85" s="458">
        <f>'ANALYSE - ERP =&gt; SOUS-SEGMENT'!$BH$91*'ANALYSE - ERP =&gt; SOUS-SEGMENT'!$JV$91</f>
        <v>157.25699999999998</v>
      </c>
      <c r="L85" s="458">
        <f>'ANALYSE - ERP =&gt; SOUS-SEGMENT'!$BH$91*'ANALYSE - ERP =&gt; SOUS-SEGMENT'!$JW$91</f>
        <v>5.0903999999999998</v>
      </c>
      <c r="N85" s="458">
        <f>'ANALYSE - ERP =&gt; SOUS-SEGMENT'!$FJ$91*'ANALYSE - ERP =&gt; SOUS-SEGMENT'!$JX$91</f>
        <v>10.191281000045453</v>
      </c>
      <c r="O85" s="458">
        <f>'ANALYSE - ERP =&gt; SOUS-SEGMENT'!$FJ$91*'ANALYSE - ERP =&gt; SOUS-SEGMENT'!$JY$91</f>
        <v>201.74273045345453</v>
      </c>
      <c r="P85" s="458">
        <f>'ANALYSE - ERP =&gt; SOUS-SEGMENT'!$FJ$91*'ANALYSE - ERP =&gt; SOUS-SEGMENT'!$JZ$91</f>
        <v>397.45995900177269</v>
      </c>
      <c r="Q85" s="458">
        <f>'ANALYSE - ERP =&gt; SOUS-SEGMENT'!$FJ$91*'ANALYSE - ERP =&gt; SOUS-SEGMENT'!$KA$91</f>
        <v>127.42820695677273</v>
      </c>
      <c r="R85" s="458">
        <f>'ANALYSE - ERP =&gt; SOUS-SEGMENT'!$FJ$91*'ANALYSE - ERP =&gt; SOUS-SEGMENT'!$KB$91</f>
        <v>7.0669466788636353</v>
      </c>
      <c r="T85" s="430">
        <f>'ANALYSE - ERP =&gt; SOUS-SEGMENT'!$Q$91</f>
        <v>1</v>
      </c>
    </row>
    <row r="86" spans="1:20" ht="15" customHeight="1">
      <c r="A86" s="26">
        <v>83</v>
      </c>
      <c r="B86" s="26">
        <v>81</v>
      </c>
      <c r="C86" s="422">
        <f>'ANALYSE - ERP =&gt; SOUS-SEGMENT'!$A$121</f>
        <v>114</v>
      </c>
      <c r="D86" s="411" t="str">
        <f>'ANALYSE - ERP =&gt; SOUS-SEGMENT'!$B$121</f>
        <v>Transport, Mobilité &amp; Stationnement</v>
      </c>
      <c r="E86" s="411" t="str">
        <f>'ANALYSE - ERP =&gt; SOUS-SEGMENT'!$C$121</f>
        <v>Transport / Mobilité</v>
      </c>
      <c r="F86" s="411" t="str">
        <f>'ANALYSE - ERP =&gt; SOUS-SEGMENT'!$D$121</f>
        <v>Aires de service - Autoroutes
(Hors Aires de repos)</v>
      </c>
      <c r="H86" s="458">
        <f>'ANALYSE - ERP =&gt; SOUS-SEGMENT'!$BH$121*'ANALYSE - ERP =&gt; SOUS-SEGMENT'!$JS$121</f>
        <v>125.53799999999998</v>
      </c>
      <c r="I86" s="458">
        <f>'ANALYSE - ERP =&gt; SOUS-SEGMENT'!$BH$121*'ANALYSE - ERP =&gt; SOUS-SEGMENT'!$JT$121</f>
        <v>990.57899999999995</v>
      </c>
      <c r="J86" s="458">
        <f>'ANALYSE - ERP =&gt; SOUS-SEGMENT'!$BH$121*'ANALYSE - ERP =&gt; SOUS-SEGMENT'!$JU$121</f>
        <v>585.78300000000002</v>
      </c>
      <c r="K86" s="458">
        <f>'ANALYSE - ERP =&gt; SOUS-SEGMENT'!$BH$121*'ANALYSE - ERP =&gt; SOUS-SEGMENT'!$JV$121</f>
        <v>73.2</v>
      </c>
      <c r="L86" s="458">
        <f>'ANALYSE - ERP =&gt; SOUS-SEGMENT'!$BH$121*'ANALYSE - ERP =&gt; SOUS-SEGMENT'!$JW$121</f>
        <v>54.9</v>
      </c>
      <c r="N86" s="458">
        <f>'ANALYSE - ERP =&gt; SOUS-SEGMENT'!$FJ$121*'ANALYSE - ERP =&gt; SOUS-SEGMENT'!$JX$121</f>
        <v>29.062981149999999</v>
      </c>
      <c r="O86" s="458">
        <f>'ANALYSE - ERP =&gt; SOUS-SEGMENT'!$FJ$121*'ANALYSE - ERP =&gt; SOUS-SEGMENT'!$JY$121</f>
        <v>414.17054724555555</v>
      </c>
      <c r="P86" s="458">
        <f>'ANALYSE - ERP =&gt; SOUS-SEGMENT'!$FJ$121*'ANALYSE - ERP =&gt; SOUS-SEGMENT'!$JZ$121</f>
        <v>413.43243978777775</v>
      </c>
      <c r="Q86" s="458">
        <f>'ANALYSE - ERP =&gt; SOUS-SEGMENT'!$FJ$121*'ANALYSE - ERP =&gt; SOUS-SEGMENT'!$KA$121</f>
        <v>38.289324372222225</v>
      </c>
      <c r="R86" s="458">
        <f>'ANALYSE - ERP =&gt; SOUS-SEGMENT'!$FJ$121*'ANALYSE - ERP =&gt; SOUS-SEGMENT'!$KB$121</f>
        <v>27.679029666666665</v>
      </c>
      <c r="T86" s="430">
        <f>'ANALYSE - ERP =&gt; SOUS-SEGMENT'!$Q$121</f>
        <v>1</v>
      </c>
    </row>
    <row r="87" spans="1:20" ht="15" customHeight="1">
      <c r="A87" s="26">
        <v>84</v>
      </c>
      <c r="B87" s="26">
        <v>84</v>
      </c>
      <c r="C87" s="422">
        <f>'ANALYSE - ERP =&gt; SOUS-SEGMENT'!$A$138</f>
        <v>131</v>
      </c>
      <c r="D87" s="415" t="str">
        <f>'ANALYSE - ERP =&gt; SOUS-SEGMENT'!$B$138</f>
        <v>Sécurité &amp; Justice</v>
      </c>
      <c r="E87" s="415" t="str">
        <f>'ANALYSE - ERP =&gt; SOUS-SEGMENT'!$C$138</f>
        <v>Forces armées</v>
      </c>
      <c r="F87" s="415" t="str">
        <f>'ANALYSE - ERP =&gt; SOUS-SEGMENT'!$D$138</f>
        <v>Salles de conférence, auditoriums et espaces événementiels ouverts au public</v>
      </c>
      <c r="H87" s="458">
        <f>'ANALYSE - ERP =&gt; SOUS-SEGMENT'!$BH$138*'ANALYSE - ERP =&gt; SOUS-SEGMENT'!$JS$138</f>
        <v>10.35</v>
      </c>
      <c r="I87" s="458">
        <f>'ANALYSE - ERP =&gt; SOUS-SEGMENT'!$BH$138*'ANALYSE - ERP =&gt; SOUS-SEGMENT'!$JT$138</f>
        <v>551.55000000000007</v>
      </c>
      <c r="J87" s="458">
        <f>'ANALYSE - ERP =&gt; SOUS-SEGMENT'!$BH$138*'ANALYSE - ERP =&gt; SOUS-SEGMENT'!$JU$138</f>
        <v>785.55000000000007</v>
      </c>
      <c r="K87" s="458">
        <f>'ANALYSE - ERP =&gt; SOUS-SEGMENT'!$BH$138*'ANALYSE - ERP =&gt; SOUS-SEGMENT'!$JV$138</f>
        <v>150.75</v>
      </c>
      <c r="L87" s="458">
        <f>'ANALYSE - ERP =&gt; SOUS-SEGMENT'!$BH$138*'ANALYSE - ERP =&gt; SOUS-SEGMENT'!$JW$138</f>
        <v>1.7999999999999998</v>
      </c>
      <c r="N87" s="458">
        <f>'ANALYSE - ERP =&gt; SOUS-SEGMENT'!$FJ$138*'ANALYSE - ERP =&gt; SOUS-SEGMENT'!$JX$138</f>
        <v>0</v>
      </c>
      <c r="O87" s="458">
        <f>'ANALYSE - ERP =&gt; SOUS-SEGMENT'!$FJ$138*'ANALYSE - ERP =&gt; SOUS-SEGMENT'!$JY$138</f>
        <v>168.32318588749999</v>
      </c>
      <c r="P87" s="458">
        <f>'ANALYSE - ERP =&gt; SOUS-SEGMENT'!$FJ$138*'ANALYSE - ERP =&gt; SOUS-SEGMENT'!$JZ$138</f>
        <v>427.74575679999998</v>
      </c>
      <c r="Q87" s="458">
        <f>'ANALYSE - ERP =&gt; SOUS-SEGMENT'!$FJ$138*'ANALYSE - ERP =&gt; SOUS-SEGMENT'!$KA$138</f>
        <v>127.3502567375</v>
      </c>
      <c r="R87" s="458">
        <f>'ANALYSE - ERP =&gt; SOUS-SEGMENT'!$FJ$138*'ANALYSE - ERP =&gt; SOUS-SEGMENT'!$KB$138</f>
        <v>3.0511755749999998</v>
      </c>
      <c r="T87" s="430">
        <f>'ANALYSE - ERP =&gt; SOUS-SEGMENT'!$Q$138</f>
        <v>1</v>
      </c>
    </row>
    <row r="88" spans="1:20" ht="15" customHeight="1">
      <c r="A88" s="26">
        <v>85</v>
      </c>
      <c r="B88" s="26">
        <v>85</v>
      </c>
      <c r="C88" s="422" t="e">
        <f>'ANALYSE - ERP =&gt; SOUS-SEGMENT'!#REF!</f>
        <v>#REF!</v>
      </c>
      <c r="D88" s="417" t="e">
        <f>'ANALYSE - ERP =&gt; SOUS-SEGMENT'!#REF!</f>
        <v>#REF!</v>
      </c>
      <c r="E88" s="417" t="e">
        <f>'ANALYSE - ERP =&gt; SOUS-SEGMENT'!#REF!</f>
        <v>#REF!</v>
      </c>
      <c r="F88" s="417" t="e">
        <f>'ANALYSE - ERP =&gt; SOUS-SEGMENT'!#REF!</f>
        <v>#REF!</v>
      </c>
      <c r="H88" s="458" t="e">
        <f>'ANALYSE - ERP =&gt; SOUS-SEGMENT'!#REF!*'ANALYSE - ERP =&gt; SOUS-SEGMENT'!#REF!</f>
        <v>#REF!</v>
      </c>
      <c r="I88" s="458" t="e">
        <f>'ANALYSE - ERP =&gt; SOUS-SEGMENT'!#REF!*'ANALYSE - ERP =&gt; SOUS-SEGMENT'!#REF!</f>
        <v>#REF!</v>
      </c>
      <c r="J88" s="458" t="e">
        <f>'ANALYSE - ERP =&gt; SOUS-SEGMENT'!#REF!*'ANALYSE - ERP =&gt; SOUS-SEGMENT'!#REF!</f>
        <v>#REF!</v>
      </c>
      <c r="K88" s="458" t="e">
        <f>'ANALYSE - ERP =&gt; SOUS-SEGMENT'!#REF!*'ANALYSE - ERP =&gt; SOUS-SEGMENT'!#REF!</f>
        <v>#REF!</v>
      </c>
      <c r="L88" s="458" t="e">
        <f>'ANALYSE - ERP =&gt; SOUS-SEGMENT'!#REF!*'ANALYSE - ERP =&gt; SOUS-SEGMENT'!#REF!</f>
        <v>#REF!</v>
      </c>
      <c r="N88" s="458" t="e">
        <f>'ANALYSE - ERP =&gt; SOUS-SEGMENT'!#REF!*'ANALYSE - ERP =&gt; SOUS-SEGMENT'!#REF!</f>
        <v>#REF!</v>
      </c>
      <c r="O88" s="458" t="e">
        <f>'ANALYSE - ERP =&gt; SOUS-SEGMENT'!#REF!*'ANALYSE - ERP =&gt; SOUS-SEGMENT'!#REF!</f>
        <v>#REF!</v>
      </c>
      <c r="P88" s="458" t="e">
        <f>'ANALYSE - ERP =&gt; SOUS-SEGMENT'!#REF!*'ANALYSE - ERP =&gt; SOUS-SEGMENT'!#REF!</f>
        <v>#REF!</v>
      </c>
      <c r="Q88" s="458" t="e">
        <f>'ANALYSE - ERP =&gt; SOUS-SEGMENT'!#REF!*'ANALYSE - ERP =&gt; SOUS-SEGMENT'!#REF!</f>
        <v>#REF!</v>
      </c>
      <c r="R88" s="458" t="e">
        <f>'ANALYSE - ERP =&gt; SOUS-SEGMENT'!#REF!*'ANALYSE - ERP =&gt; SOUS-SEGMENT'!#REF!</f>
        <v>#REF!</v>
      </c>
      <c r="T88" s="430" t="e">
        <f>'ANALYSE - ERP =&gt; SOUS-SEGMENT'!#REF!</f>
        <v>#REF!</v>
      </c>
    </row>
    <row r="89" spans="1:20" ht="15" customHeight="1">
      <c r="A89" s="26">
        <v>86</v>
      </c>
      <c r="B89" s="26">
        <v>86</v>
      </c>
      <c r="C89" s="422">
        <f>'ANALYSE - ERP =&gt; SOUS-SEGMENT'!$A$149</f>
        <v>142</v>
      </c>
      <c r="D89" s="411" t="str">
        <f>'ANALYSE - ERP =&gt; SOUS-SEGMENT'!$B$149</f>
        <v>Sécurité &amp; Justice</v>
      </c>
      <c r="E89" s="411" t="str">
        <f>'ANALYSE - ERP =&gt; SOUS-SEGMENT'!$C$149</f>
        <v>Tribunaux</v>
      </c>
      <c r="F89" s="411" t="str">
        <f>'ANALYSE - ERP =&gt; SOUS-SEGMENT'!$D$149</f>
        <v>Conseils de prud’hommes autonomes</v>
      </c>
      <c r="H89" s="458">
        <f>'ANALYSE - ERP =&gt; SOUS-SEGMENT'!$BH$149*'ANALYSE - ERP =&gt; SOUS-SEGMENT'!$JS$149</f>
        <v>18.462500000000002</v>
      </c>
      <c r="I89" s="458">
        <f>'ANALYSE - ERP =&gt; SOUS-SEGMENT'!$BH$149*'ANALYSE - ERP =&gt; SOUS-SEGMENT'!$JT$149</f>
        <v>499.07829999999996</v>
      </c>
      <c r="J89" s="458">
        <f>'ANALYSE - ERP =&gt; SOUS-SEGMENT'!$BH$149*'ANALYSE - ERP =&gt; SOUS-SEGMENT'!$JU$149</f>
        <v>764.49519999999995</v>
      </c>
      <c r="K89" s="458">
        <f>'ANALYSE - ERP =&gt; SOUS-SEGMENT'!$BH$149*'ANALYSE - ERP =&gt; SOUS-SEGMENT'!$JV$149</f>
        <v>190.38529999999997</v>
      </c>
      <c r="L89" s="458">
        <f>'ANALYSE - ERP =&gt; SOUS-SEGMENT'!$BH$149*'ANALYSE - ERP =&gt; SOUS-SEGMENT'!$JW$149</f>
        <v>4.5786999999999995</v>
      </c>
      <c r="N89" s="458">
        <f>'ANALYSE - ERP =&gt; SOUS-SEGMENT'!$FJ$149*'ANALYSE - ERP =&gt; SOUS-SEGMENT'!$JX$149</f>
        <v>0</v>
      </c>
      <c r="O89" s="458">
        <f>'ANALYSE - ERP =&gt; SOUS-SEGMENT'!$FJ$149*'ANALYSE - ERP =&gt; SOUS-SEGMENT'!$JY$149</f>
        <v>131.78807274876922</v>
      </c>
      <c r="P89" s="458">
        <f>'ANALYSE - ERP =&gt; SOUS-SEGMENT'!$FJ$149*'ANALYSE - ERP =&gt; SOUS-SEGMENT'!$JZ$149</f>
        <v>327.19193061429809</v>
      </c>
      <c r="Q89" s="458">
        <f>'ANALYSE - ERP =&gt; SOUS-SEGMENT'!$FJ$149*'ANALYSE - ERP =&gt; SOUS-SEGMENT'!$KA$149</f>
        <v>120.10473296607692</v>
      </c>
      <c r="R89" s="458">
        <f>'ANALYSE - ERP =&gt; SOUS-SEGMENT'!$FJ$149*'ANALYSE - ERP =&gt; SOUS-SEGMENT'!$KB$149</f>
        <v>5.0822528054711533</v>
      </c>
      <c r="T89" s="430">
        <f>'ANALYSE - ERP =&gt; SOUS-SEGMENT'!$Q$149</f>
        <v>1</v>
      </c>
    </row>
    <row r="90" spans="1:20" ht="15" customHeight="1">
      <c r="A90" s="26">
        <v>87</v>
      </c>
      <c r="B90" s="26">
        <v>87</v>
      </c>
      <c r="C90" s="422">
        <f>'ANALYSE - ERP =&gt; SOUS-SEGMENT'!$A$93</f>
        <v>86</v>
      </c>
      <c r="D90" s="415" t="str">
        <f>'ANALYSE - ERP =&gt; SOUS-SEGMENT'!$B$93</f>
        <v>Hébergement Touristique</v>
      </c>
      <c r="E90" s="415" t="str">
        <f>'ANALYSE - ERP =&gt; SOUS-SEGMENT'!$C$93</f>
        <v>Hébergement Montagne</v>
      </c>
      <c r="F90" s="415" t="str">
        <f>'ANALYSE - ERP =&gt; SOUS-SEGMENT'!$D$93</f>
        <v>Refuges de montagne</v>
      </c>
      <c r="H90" s="458">
        <f>'ANALYSE - ERP =&gt; SOUS-SEGMENT'!$BH$93*'ANALYSE - ERP =&gt; SOUS-SEGMENT'!$JS$93</f>
        <v>240.36</v>
      </c>
      <c r="I90" s="458">
        <f>'ANALYSE - ERP =&gt; SOUS-SEGMENT'!$BH$93*'ANALYSE - ERP =&gt; SOUS-SEGMENT'!$JT$93</f>
        <v>778.19999999999993</v>
      </c>
      <c r="J90" s="458">
        <f>'ANALYSE - ERP =&gt; SOUS-SEGMENT'!$BH$93*'ANALYSE - ERP =&gt; SOUS-SEGMENT'!$JU$93</f>
        <v>181.44</v>
      </c>
      <c r="K90" s="458">
        <f>'ANALYSE - ERP =&gt; SOUS-SEGMENT'!$BH$93*'ANALYSE - ERP =&gt; SOUS-SEGMENT'!$JV$93</f>
        <v>0</v>
      </c>
      <c r="L90" s="458">
        <f>'ANALYSE - ERP =&gt; SOUS-SEGMENT'!$BH$93*'ANALYSE - ERP =&gt; SOUS-SEGMENT'!$JW$93</f>
        <v>0</v>
      </c>
      <c r="N90" s="458">
        <f>'ANALYSE - ERP =&gt; SOUS-SEGMENT'!$FJ$93*'ANALYSE - ERP =&gt; SOUS-SEGMENT'!$JX$93</f>
        <v>61.872816803999989</v>
      </c>
      <c r="O90" s="458">
        <f>'ANALYSE - ERP =&gt; SOUS-SEGMENT'!$FJ$93*'ANALYSE - ERP =&gt; SOUS-SEGMENT'!$JY$93</f>
        <v>316.00236330036358</v>
      </c>
      <c r="P90" s="458">
        <f>'ANALYSE - ERP =&gt; SOUS-SEGMENT'!$FJ$93*'ANALYSE - ERP =&gt; SOUS-SEGMENT'!$JZ$93</f>
        <v>128.86369625927273</v>
      </c>
      <c r="Q90" s="458">
        <f>'ANALYSE - ERP =&gt; SOUS-SEGMENT'!$FJ$93*'ANALYSE - ERP =&gt; SOUS-SEGMENT'!$KA$93</f>
        <v>0</v>
      </c>
      <c r="R90" s="458">
        <f>'ANALYSE - ERP =&gt; SOUS-SEGMENT'!$FJ$93*'ANALYSE - ERP =&gt; SOUS-SEGMENT'!$KB$93</f>
        <v>0</v>
      </c>
      <c r="T90" s="430">
        <f>'ANALYSE - ERP =&gt; SOUS-SEGMENT'!$Q$93</f>
        <v>1</v>
      </c>
    </row>
    <row r="91" spans="1:20" ht="15" customHeight="1">
      <c r="A91" s="26">
        <v>88</v>
      </c>
      <c r="B91" s="26">
        <v>88</v>
      </c>
      <c r="C91" s="422">
        <f>'ANALYSE - ERP =&gt; SOUS-SEGMENT'!$A$47</f>
        <v>40</v>
      </c>
      <c r="D91" s="415" t="str">
        <f>'ANALYSE - ERP =&gt; SOUS-SEGMENT'!$B$47</f>
        <v>Santé &amp; Médico-social</v>
      </c>
      <c r="E91" s="415" t="str">
        <f>'ANALYSE - ERP =&gt; SOUS-SEGMENT'!$C$47</f>
        <v>Santé hospitalière</v>
      </c>
      <c r="F91" s="415" t="str">
        <f>'ANALYSE - ERP =&gt; SOUS-SEGMENT'!$D$47</f>
        <v>Hôpitaux d’instruction des armées et centres médicaux recevant du public</v>
      </c>
      <c r="H91" s="458">
        <f>'ANALYSE - ERP =&gt; SOUS-SEGMENT'!$BH$47*'ANALYSE - ERP =&gt; SOUS-SEGMENT'!$JS$47</f>
        <v>2.88</v>
      </c>
      <c r="I91" s="458">
        <f>'ANALYSE - ERP =&gt; SOUS-SEGMENT'!$BH$47*'ANALYSE - ERP =&gt; SOUS-SEGMENT'!$JT$47</f>
        <v>499.536</v>
      </c>
      <c r="J91" s="458">
        <f>'ANALYSE - ERP =&gt; SOUS-SEGMENT'!$BH$47*'ANALYSE - ERP =&gt; SOUS-SEGMENT'!$JU$47</f>
        <v>778.03200000000004</v>
      </c>
      <c r="K91" s="458">
        <f>'ANALYSE - ERP =&gt; SOUS-SEGMENT'!$BH$47*'ANALYSE - ERP =&gt; SOUS-SEGMENT'!$JV$47</f>
        <v>157.536</v>
      </c>
      <c r="L91" s="458">
        <f>'ANALYSE - ERP =&gt; SOUS-SEGMENT'!$BH$47*'ANALYSE - ERP =&gt; SOUS-SEGMENT'!$JW$47</f>
        <v>2.016</v>
      </c>
      <c r="N91" s="458">
        <f>'ANALYSE - ERP =&gt; SOUS-SEGMENT'!$FJ$47*'ANALYSE - ERP =&gt; SOUS-SEGMENT'!$JX$47</f>
        <v>0</v>
      </c>
      <c r="O91" s="458">
        <f>'ANALYSE - ERP =&gt; SOUS-SEGMENT'!$FJ$47*'ANALYSE - ERP =&gt; SOUS-SEGMENT'!$JY$47</f>
        <v>112.967059338</v>
      </c>
      <c r="P91" s="458">
        <f>'ANALYSE - ERP =&gt; SOUS-SEGMENT'!$FJ$47*'ANALYSE - ERP =&gt; SOUS-SEGMENT'!$JZ$47</f>
        <v>330.224239926</v>
      </c>
      <c r="Q91" s="458">
        <f>'ANALYSE - ERP =&gt; SOUS-SEGMENT'!$FJ$47*'ANALYSE - ERP =&gt; SOUS-SEGMENT'!$KA$47</f>
        <v>109.96350384599999</v>
      </c>
      <c r="R91" s="458">
        <f>'ANALYSE - ERP =&gt; SOUS-SEGMENT'!$FJ$47*'ANALYSE - ERP =&gt; SOUS-SEGMENT'!$KB$47</f>
        <v>3.0591768899999998</v>
      </c>
      <c r="T91" s="430">
        <f>'ANALYSE - ERP =&gt; SOUS-SEGMENT'!$Q$47</f>
        <v>1</v>
      </c>
    </row>
    <row r="92" spans="1:20" ht="15" customHeight="1">
      <c r="A92" s="26">
        <v>89</v>
      </c>
      <c r="B92" s="26">
        <v>89</v>
      </c>
      <c r="C92" s="422">
        <f>'ANALYSE - ERP =&gt; SOUS-SEGMENT'!$A$148</f>
        <v>141</v>
      </c>
      <c r="D92" s="415" t="str">
        <f>'ANALYSE - ERP =&gt; SOUS-SEGMENT'!$B$148</f>
        <v>Sécurité &amp; Justice</v>
      </c>
      <c r="E92" s="415" t="str">
        <f>'ANALYSE - ERP =&gt; SOUS-SEGMENT'!$C$148</f>
        <v>Tribunaux</v>
      </c>
      <c r="F92" s="415" t="str">
        <f>'ANALYSE - ERP =&gt; SOUS-SEGMENT'!$D$148</f>
        <v>Tribunaux de commerce autonomes</v>
      </c>
      <c r="H92" s="458">
        <f>'ANALYSE - ERP =&gt; SOUS-SEGMENT'!$BH$148*'ANALYSE - ERP =&gt; SOUS-SEGMENT'!$JS$148</f>
        <v>10.6128</v>
      </c>
      <c r="I92" s="458">
        <f>'ANALYSE - ERP =&gt; SOUS-SEGMENT'!$BH$148*'ANALYSE - ERP =&gt; SOUS-SEGMENT'!$JT$148</f>
        <v>352.58080000000001</v>
      </c>
      <c r="J92" s="458">
        <f>'ANALYSE - ERP =&gt; SOUS-SEGMENT'!$BH$148*'ANALYSE - ERP =&gt; SOUS-SEGMENT'!$JU$148</f>
        <v>561.5136</v>
      </c>
      <c r="K92" s="458">
        <f>'ANALYSE - ERP =&gt; SOUS-SEGMENT'!$BH$148*'ANALYSE - ERP =&gt; SOUS-SEGMENT'!$JV$148</f>
        <v>143.648</v>
      </c>
      <c r="L92" s="458">
        <f>'ANALYSE - ERP =&gt; SOUS-SEGMENT'!$BH$148*'ANALYSE - ERP =&gt; SOUS-SEGMENT'!$JW$148</f>
        <v>3.6447999999999996</v>
      </c>
      <c r="N92" s="458">
        <f>'ANALYSE - ERP =&gt; SOUS-SEGMENT'!$FJ$148*'ANALYSE - ERP =&gt; SOUS-SEGMENT'!$JX$148</f>
        <v>0</v>
      </c>
      <c r="O92" s="458">
        <f>'ANALYSE - ERP =&gt; SOUS-SEGMENT'!$FJ$148*'ANALYSE - ERP =&gt; SOUS-SEGMENT'!$JY$148</f>
        <v>92.55097106049999</v>
      </c>
      <c r="P92" s="458">
        <f>'ANALYSE - ERP =&gt; SOUS-SEGMENT'!$FJ$148*'ANALYSE - ERP =&gt; SOUS-SEGMENT'!$JZ$148</f>
        <v>238.94435411980768</v>
      </c>
      <c r="Q92" s="458">
        <f>'ANALYSE - ERP =&gt; SOUS-SEGMENT'!$FJ$148*'ANALYSE - ERP =&gt; SOUS-SEGMENT'!$KA$148</f>
        <v>90.803117622692298</v>
      </c>
      <c r="R92" s="458">
        <f>'ANALYSE - ERP =&gt; SOUS-SEGMENT'!$FJ$148*'ANALYSE - ERP =&gt; SOUS-SEGMENT'!$KB$148</f>
        <v>4.0072737354615384</v>
      </c>
      <c r="T92" s="430">
        <f>'ANALYSE - ERP =&gt; SOUS-SEGMENT'!$Q$148</f>
        <v>1</v>
      </c>
    </row>
    <row r="93" spans="1:20" ht="15" customHeight="1">
      <c r="A93" s="26">
        <v>90</v>
      </c>
      <c r="B93" s="26">
        <v>91</v>
      </c>
      <c r="C93" s="422">
        <f>'ANALYSE - ERP =&gt; SOUS-SEGMENT'!$A$78</f>
        <v>71</v>
      </c>
      <c r="D93" s="416" t="str">
        <f>'ANALYSE - ERP =&gt; SOUS-SEGMENT'!$B$78</f>
        <v>Commerce, Restauration &amp; Loisirs</v>
      </c>
      <c r="E93" s="416" t="str">
        <f>'ANALYSE - ERP =&gt; SOUS-SEGMENT'!$C$78</f>
        <v>Restauration / boissons</v>
      </c>
      <c r="F93" s="416" t="str">
        <f>'ANALYSE - ERP =&gt; SOUS-SEGMENT'!$D$78</f>
        <v>Établissements flottants</v>
      </c>
      <c r="H93" s="458">
        <f>'ANALYSE - ERP =&gt; SOUS-SEGMENT'!$BH$78*'ANALYSE - ERP =&gt; SOUS-SEGMENT'!$JS$78</f>
        <v>0</v>
      </c>
      <c r="I93" s="458">
        <f>'ANALYSE - ERP =&gt; SOUS-SEGMENT'!$BH$78*'ANALYSE - ERP =&gt; SOUS-SEGMENT'!$JT$78</f>
        <v>330.48</v>
      </c>
      <c r="J93" s="458">
        <f>'ANALYSE - ERP =&gt; SOUS-SEGMENT'!$BH$78*'ANALYSE - ERP =&gt; SOUS-SEGMENT'!$JU$78</f>
        <v>542.37599999999998</v>
      </c>
      <c r="K93" s="458">
        <f>'ANALYSE - ERP =&gt; SOUS-SEGMENT'!$BH$78*'ANALYSE - ERP =&gt; SOUS-SEGMENT'!$JV$78</f>
        <v>169.66799999999998</v>
      </c>
      <c r="L93" s="458">
        <f>'ANALYSE - ERP =&gt; SOUS-SEGMENT'!$BH$78*'ANALYSE - ERP =&gt; SOUS-SEGMENT'!$JW$78</f>
        <v>37.475999999999999</v>
      </c>
      <c r="N93" s="458">
        <f>'ANALYSE - ERP =&gt; SOUS-SEGMENT'!$FJ$78*'ANALYSE - ERP =&gt; SOUS-SEGMENT'!$JX$78</f>
        <v>0</v>
      </c>
      <c r="O93" s="458">
        <f>'ANALYSE - ERP =&gt; SOUS-SEGMENT'!$FJ$78*'ANALYSE - ERP =&gt; SOUS-SEGMENT'!$JY$78</f>
        <v>83.193716187600003</v>
      </c>
      <c r="P93" s="458">
        <f>'ANALYSE - ERP =&gt; SOUS-SEGMENT'!$FJ$78*'ANALYSE - ERP =&gt; SOUS-SEGMENT'!$JZ$78</f>
        <v>276.84848181140006</v>
      </c>
      <c r="Q93" s="458">
        <f>'ANALYSE - ERP =&gt; SOUS-SEGMENT'!$FJ$78*'ANALYSE - ERP =&gt; SOUS-SEGMENT'!$KA$78</f>
        <v>130.82134552920002</v>
      </c>
      <c r="R93" s="458">
        <f>'ANALYSE - ERP =&gt; SOUS-SEGMENT'!$FJ$78*'ANALYSE - ERP =&gt; SOUS-SEGMENT'!$KB$78</f>
        <v>24.586990471800004</v>
      </c>
      <c r="T93" s="430">
        <f>'ANALYSE - ERP =&gt; SOUS-SEGMENT'!$Q$78</f>
        <v>1</v>
      </c>
    </row>
    <row r="94" spans="1:20" ht="15" customHeight="1">
      <c r="A94" s="26">
        <v>91</v>
      </c>
      <c r="B94" s="26">
        <v>90</v>
      </c>
      <c r="C94" s="422">
        <f>'ANALYSE - ERP =&gt; SOUS-SEGMENT'!$A$92</f>
        <v>85</v>
      </c>
      <c r="D94" s="412" t="str">
        <f>'ANALYSE - ERP =&gt; SOUS-SEGMENT'!$B$92</f>
        <v>Hébergement Touristique</v>
      </c>
      <c r="E94" s="412" t="str">
        <f>'ANALYSE - ERP =&gt; SOUS-SEGMENT'!$C$92</f>
        <v>Hébergement Montagne</v>
      </c>
      <c r="F94" s="412" t="str">
        <f>'ANALYSE - ERP =&gt; SOUS-SEGMENT'!$D$92</f>
        <v>Hôtels-restaurants d’altitude</v>
      </c>
      <c r="H94" s="458">
        <f>'ANALYSE - ERP =&gt; SOUS-SEGMENT'!$BH$92*'ANALYSE - ERP =&gt; SOUS-SEGMENT'!$JS$92</f>
        <v>0</v>
      </c>
      <c r="I94" s="458">
        <f>'ANALYSE - ERP =&gt; SOUS-SEGMENT'!$BH$92*'ANALYSE - ERP =&gt; SOUS-SEGMENT'!$JT$92</f>
        <v>0</v>
      </c>
      <c r="J94" s="458">
        <f>'ANALYSE - ERP =&gt; SOUS-SEGMENT'!$BH$92*'ANALYSE - ERP =&gt; SOUS-SEGMENT'!$JU$92</f>
        <v>565.79999999999995</v>
      </c>
      <c r="K94" s="458">
        <f>'ANALYSE - ERP =&gt; SOUS-SEGMENT'!$BH$92*'ANALYSE - ERP =&gt; SOUS-SEGMENT'!$JV$92</f>
        <v>1074.2</v>
      </c>
      <c r="L94" s="458">
        <f>'ANALYSE - ERP =&gt; SOUS-SEGMENT'!$BH$92*'ANALYSE - ERP =&gt; SOUS-SEGMENT'!$JW$92</f>
        <v>360</v>
      </c>
      <c r="N94" s="458">
        <f>'ANALYSE - ERP =&gt; SOUS-SEGMENT'!$FJ$92*'ANALYSE - ERP =&gt; SOUS-SEGMENT'!$JX$92</f>
        <v>0</v>
      </c>
      <c r="O94" s="458">
        <f>'ANALYSE - ERP =&gt; SOUS-SEGMENT'!$FJ$92*'ANALYSE - ERP =&gt; SOUS-SEGMENT'!$JY$92</f>
        <v>0</v>
      </c>
      <c r="P94" s="458">
        <f>'ANALYSE - ERP =&gt; SOUS-SEGMENT'!$FJ$92*'ANALYSE - ERP =&gt; SOUS-SEGMENT'!$JZ$92</f>
        <v>174.86916924242419</v>
      </c>
      <c r="Q94" s="458">
        <f>'ANALYSE - ERP =&gt; SOUS-SEGMENT'!$FJ$92*'ANALYSE - ERP =&gt; SOUS-SEGMENT'!$KA$92</f>
        <v>490.87639893939382</v>
      </c>
      <c r="R94" s="458">
        <f>'ANALYSE - ERP =&gt; SOUS-SEGMENT'!$FJ$92*'ANALYSE - ERP =&gt; SOUS-SEGMENT'!$KB$92</f>
        <v>221.91518939393933</v>
      </c>
      <c r="T94" s="430">
        <f>'ANALYSE - ERP =&gt; SOUS-SEGMENT'!$Q$92</f>
        <v>1</v>
      </c>
    </row>
    <row r="95" spans="1:20" ht="15" customHeight="1">
      <c r="A95" s="26">
        <v>92</v>
      </c>
      <c r="B95" s="26">
        <v>92</v>
      </c>
      <c r="C95" s="422">
        <f>'ANALYSE - ERP =&gt; SOUS-SEGMENT'!$A$117</f>
        <v>110</v>
      </c>
      <c r="D95" s="417" t="str">
        <f>'ANALYSE - ERP =&gt; SOUS-SEGMENT'!$B$117</f>
        <v>Culte, Vie civique &amp; Services publics</v>
      </c>
      <c r="E95" s="417" t="str">
        <f>'ANALYSE - ERP =&gt; SOUS-SEGMENT'!$C$117</f>
        <v>Culte</v>
      </c>
      <c r="F95" s="417" t="str">
        <f>'ANALYSE - ERP =&gt; SOUS-SEGMENT'!$D$117</f>
        <v>Synagogues et oratoires juifs ouverts au public</v>
      </c>
      <c r="H95" s="458">
        <f>'ANALYSE - ERP =&gt; SOUS-SEGMENT'!$BH$117*'ANALYSE - ERP =&gt; SOUS-SEGMENT'!$JS$117</f>
        <v>79.95</v>
      </c>
      <c r="I95" s="458">
        <f>'ANALYSE - ERP =&gt; SOUS-SEGMENT'!$BH$117*'ANALYSE - ERP =&gt; SOUS-SEGMENT'!$JT$117</f>
        <v>404.40000000000003</v>
      </c>
      <c r="J95" s="458">
        <f>'ANALYSE - ERP =&gt; SOUS-SEGMENT'!$BH$117*'ANALYSE - ERP =&gt; SOUS-SEGMENT'!$JU$117</f>
        <v>247.125</v>
      </c>
      <c r="K95" s="458">
        <f>'ANALYSE - ERP =&gt; SOUS-SEGMENT'!$BH$117*'ANALYSE - ERP =&gt; SOUS-SEGMENT'!$JV$117</f>
        <v>18.524999999999999</v>
      </c>
      <c r="L95" s="458">
        <f>'ANALYSE - ERP =&gt; SOUS-SEGMENT'!$BH$117*'ANALYSE - ERP =&gt; SOUS-SEGMENT'!$JW$117</f>
        <v>0</v>
      </c>
      <c r="N95" s="458">
        <f>'ANALYSE - ERP =&gt; SOUS-SEGMENT'!$FJ$117*'ANALYSE - ERP =&gt; SOUS-SEGMENT'!$JX$117</f>
        <v>22.380077678571432</v>
      </c>
      <c r="O95" s="458">
        <f>'ANALYSE - ERP =&gt; SOUS-SEGMENT'!$FJ$117*'ANALYSE - ERP =&gt; SOUS-SEGMENT'!$JY$117</f>
        <v>126.27202746428576</v>
      </c>
      <c r="P95" s="458">
        <f>'ANALYSE - ERP =&gt; SOUS-SEGMENT'!$FJ$117*'ANALYSE - ERP =&gt; SOUS-SEGMENT'!$JZ$117</f>
        <v>83.132915571428597</v>
      </c>
      <c r="Q95" s="458">
        <f>'ANALYSE - ERP =&gt; SOUS-SEGMENT'!$FJ$117*'ANALYSE - ERP =&gt; SOUS-SEGMENT'!$KA$117</f>
        <v>9.3875352857142875</v>
      </c>
      <c r="R95" s="458">
        <f>'ANALYSE - ERP =&gt; SOUS-SEGMENT'!$FJ$117*'ANALYSE - ERP =&gt; SOUS-SEGMENT'!$KB$117</f>
        <v>0.77422971428571452</v>
      </c>
      <c r="T95" s="430">
        <f>'ANALYSE - ERP =&gt; SOUS-SEGMENT'!$Q$117</f>
        <v>1</v>
      </c>
    </row>
    <row r="96" spans="1:20" ht="15" customHeight="1">
      <c r="A96" s="26">
        <v>93</v>
      </c>
      <c r="B96" s="26">
        <v>93</v>
      </c>
      <c r="C96" s="422">
        <f>'ANALYSE - ERP =&gt; SOUS-SEGMENT'!$A$137</f>
        <v>130</v>
      </c>
      <c r="D96" s="413" t="str">
        <f>'ANALYSE - ERP =&gt; SOUS-SEGMENT'!$B$137</f>
        <v>Sécurité &amp; Justice</v>
      </c>
      <c r="E96" s="413" t="str">
        <f>'ANALYSE - ERP =&gt; SOUS-SEGMENT'!$C$137</f>
        <v>Forces armées</v>
      </c>
      <c r="F96" s="413" t="str">
        <f>'ANALYSE - ERP =&gt; SOUS-SEGMENT'!$D$137</f>
        <v>Restaurants ou équipements sportifs ouverts au public sur emprise militaire</v>
      </c>
      <c r="H96" s="458">
        <f>'ANALYSE - ERP =&gt; SOUS-SEGMENT'!$BH$137*'ANALYSE - ERP =&gt; SOUS-SEGMENT'!$JS$137</f>
        <v>6.21</v>
      </c>
      <c r="I96" s="458">
        <f>'ANALYSE - ERP =&gt; SOUS-SEGMENT'!$BH$137*'ANALYSE - ERP =&gt; SOUS-SEGMENT'!$JT$137</f>
        <v>330.93</v>
      </c>
      <c r="J96" s="458">
        <f>'ANALYSE - ERP =&gt; SOUS-SEGMENT'!$BH$137*'ANALYSE - ERP =&gt; SOUS-SEGMENT'!$JU$137</f>
        <v>471.33000000000004</v>
      </c>
      <c r="K96" s="458">
        <f>'ANALYSE - ERP =&gt; SOUS-SEGMENT'!$BH$137*'ANALYSE - ERP =&gt; SOUS-SEGMENT'!$JV$137</f>
        <v>90.45</v>
      </c>
      <c r="L96" s="458">
        <f>'ANALYSE - ERP =&gt; SOUS-SEGMENT'!$BH$137*'ANALYSE - ERP =&gt; SOUS-SEGMENT'!$JW$137</f>
        <v>1.0799999999999998</v>
      </c>
      <c r="N96" s="458">
        <f>'ANALYSE - ERP =&gt; SOUS-SEGMENT'!$FJ$137*'ANALYSE - ERP =&gt; SOUS-SEGMENT'!$JX$137</f>
        <v>0</v>
      </c>
      <c r="O96" s="458">
        <f>'ANALYSE - ERP =&gt; SOUS-SEGMENT'!$FJ$137*'ANALYSE - ERP =&gt; SOUS-SEGMENT'!$JY$137</f>
        <v>103.15846199999999</v>
      </c>
      <c r="P96" s="458">
        <f>'ANALYSE - ERP =&gt; SOUS-SEGMENT'!$FJ$137*'ANALYSE - ERP =&gt; SOUS-SEGMENT'!$JZ$137</f>
        <v>256.30406879999998</v>
      </c>
      <c r="Q96" s="458">
        <f>'ANALYSE - ERP =&gt; SOUS-SEGMENT'!$FJ$137*'ANALYSE - ERP =&gt; SOUS-SEGMENT'!$KA$137</f>
        <v>74.980717200000001</v>
      </c>
      <c r="R96" s="458">
        <f>'ANALYSE - ERP =&gt; SOUS-SEGMENT'!$FJ$137*'ANALYSE - ERP =&gt; SOUS-SEGMENT'!$KB$137</f>
        <v>1.7447520000000001</v>
      </c>
      <c r="T96" s="430">
        <f>'ANALYSE - ERP =&gt; SOUS-SEGMENT'!$Q$137</f>
        <v>1</v>
      </c>
    </row>
    <row r="97" spans="1:20" ht="15" customHeight="1">
      <c r="A97" s="26">
        <v>94</v>
      </c>
      <c r="B97" s="26">
        <v>94</v>
      </c>
      <c r="C97" s="422">
        <f>'ANALYSE - ERP =&gt; SOUS-SEGMENT'!$A$90</f>
        <v>83</v>
      </c>
      <c r="D97" s="417" t="str">
        <f>'ANALYSE - ERP =&gt; SOUS-SEGMENT'!$B$90</f>
        <v>Hébergement Touristique</v>
      </c>
      <c r="E97" s="417" t="str">
        <f>'ANALYSE - ERP =&gt; SOUS-SEGMENT'!$C$90</f>
        <v>Hébergement Touristique</v>
      </c>
      <c r="F97" s="417" t="str">
        <f>'ANALYSE - ERP =&gt; SOUS-SEGMENT'!$D$90</f>
        <v>Auberges de jeunesse</v>
      </c>
      <c r="H97" s="458">
        <f>'ANALYSE - ERP =&gt; SOUS-SEGMENT'!$BH$90*'ANALYSE - ERP =&gt; SOUS-SEGMENT'!$JS$90</f>
        <v>11.368</v>
      </c>
      <c r="I97" s="458">
        <f>'ANALYSE - ERP =&gt; SOUS-SEGMENT'!$BH$90*'ANALYSE - ERP =&gt; SOUS-SEGMENT'!$JT$90</f>
        <v>304.29700000000003</v>
      </c>
      <c r="J97" s="458">
        <f>'ANALYSE - ERP =&gt; SOUS-SEGMENT'!$BH$90*'ANALYSE - ERP =&gt; SOUS-SEGMENT'!$JU$90</f>
        <v>517.54849999999999</v>
      </c>
      <c r="K97" s="458">
        <f>'ANALYSE - ERP =&gt; SOUS-SEGMENT'!$BH$90*'ANALYSE - ERP =&gt; SOUS-SEGMENT'!$JV$90</f>
        <v>167.1705</v>
      </c>
      <c r="L97" s="458">
        <f>'ANALYSE - ERP =&gt; SOUS-SEGMENT'!$BH$90*'ANALYSE - ERP =&gt; SOUS-SEGMENT'!$JW$90</f>
        <v>14.616</v>
      </c>
      <c r="N97" s="458">
        <f>'ANALYSE - ERP =&gt; SOUS-SEGMENT'!$FJ$90*'ANALYSE - ERP =&gt; SOUS-SEGMENT'!$JX$90</f>
        <v>0</v>
      </c>
      <c r="O97" s="458">
        <f>'ANALYSE - ERP =&gt; SOUS-SEGMENT'!$FJ$90*'ANALYSE - ERP =&gt; SOUS-SEGMENT'!$JY$90</f>
        <v>105.2248575086453</v>
      </c>
      <c r="P97" s="458">
        <f>'ANALYSE - ERP =&gt; SOUS-SEGMENT'!$FJ$90*'ANALYSE - ERP =&gt; SOUS-SEGMENT'!$JZ$90</f>
        <v>211.53038110809828</v>
      </c>
      <c r="Q97" s="458">
        <f>'ANALYSE - ERP =&gt; SOUS-SEGMENT'!$FJ$90*'ANALYSE - ERP =&gt; SOUS-SEGMENT'!$KA$90</f>
        <v>75.486527676418802</v>
      </c>
      <c r="R97" s="458">
        <f>'ANALYSE - ERP =&gt; SOUS-SEGMENT'!$FJ$90*'ANALYSE - ERP =&gt; SOUS-SEGMENT'!$KB$90</f>
        <v>8.0049340059829053</v>
      </c>
      <c r="T97" s="430">
        <f>'ANALYSE - ERP =&gt; SOUS-SEGMENT'!$Q$90</f>
        <v>1</v>
      </c>
    </row>
    <row r="98" spans="1:20" ht="15" customHeight="1">
      <c r="A98" s="26">
        <v>95</v>
      </c>
      <c r="B98" s="26">
        <v>95</v>
      </c>
      <c r="C98" s="422">
        <f>'ANALYSE - ERP =&gt; SOUS-SEGMENT'!$A$141</f>
        <v>134</v>
      </c>
      <c r="D98" s="418" t="str">
        <f>'ANALYSE - ERP =&gt; SOUS-SEGMENT'!$B$141</f>
        <v>Sécurité &amp; Justice</v>
      </c>
      <c r="E98" s="418" t="str">
        <f>'ANALYSE - ERP =&gt; SOUS-SEGMENT'!$C$141</f>
        <v>Univers carcéral</v>
      </c>
      <c r="F98" s="418" t="str">
        <f>'ANALYSE - ERP =&gt; SOUS-SEGMENT'!$D$141</f>
        <v>Maisons centrales</v>
      </c>
      <c r="H98" s="458">
        <f>'ANALYSE - ERP =&gt; SOUS-SEGMENT'!$BH$141*'ANALYSE - ERP =&gt; SOUS-SEGMENT'!$JS$141</f>
        <v>152.27099999999999</v>
      </c>
      <c r="I98" s="458">
        <f>'ANALYSE - ERP =&gt; SOUS-SEGMENT'!$BH$141*'ANALYSE - ERP =&gt; SOUS-SEGMENT'!$JT$141</f>
        <v>418.88700000000006</v>
      </c>
      <c r="J98" s="458">
        <f>'ANALYSE - ERP =&gt; SOUS-SEGMENT'!$BH$141*'ANALYSE - ERP =&gt; SOUS-SEGMENT'!$JU$141</f>
        <v>58.841999999999999</v>
      </c>
      <c r="K98" s="458">
        <f>'ANALYSE - ERP =&gt; SOUS-SEGMENT'!$BH$141*'ANALYSE - ERP =&gt; SOUS-SEGMENT'!$JV$141</f>
        <v>0</v>
      </c>
      <c r="L98" s="458">
        <f>'ANALYSE - ERP =&gt; SOUS-SEGMENT'!$BH$141*'ANALYSE - ERP =&gt; SOUS-SEGMENT'!$JW$141</f>
        <v>0</v>
      </c>
      <c r="N98" s="458">
        <f>'ANALYSE - ERP =&gt; SOUS-SEGMENT'!$FJ$141*'ANALYSE - ERP =&gt; SOUS-SEGMENT'!$JX$141</f>
        <v>42.556151209090913</v>
      </c>
      <c r="O98" s="458">
        <f>'ANALYSE - ERP =&gt; SOUS-SEGMENT'!$FJ$141*'ANALYSE - ERP =&gt; SOUS-SEGMENT'!$JY$141</f>
        <v>236.46147381818184</v>
      </c>
      <c r="P98" s="458">
        <f>'ANALYSE - ERP =&gt; SOUS-SEGMENT'!$FJ$141*'ANALYSE - ERP =&gt; SOUS-SEGMENT'!$JZ$141</f>
        <v>66.686284063636364</v>
      </c>
      <c r="Q98" s="458">
        <f>'ANALYSE - ERP =&gt; SOUS-SEGMENT'!$FJ$141*'ANALYSE - ERP =&gt; SOUS-SEGMENT'!$KA$141</f>
        <v>0</v>
      </c>
      <c r="R98" s="458">
        <f>'ANALYSE - ERP =&gt; SOUS-SEGMENT'!$FJ$141*'ANALYSE - ERP =&gt; SOUS-SEGMENT'!$KB$141</f>
        <v>0</v>
      </c>
      <c r="T98" s="430">
        <f>'ANALYSE - ERP =&gt; SOUS-SEGMENT'!$Q$141</f>
        <v>1</v>
      </c>
    </row>
    <row r="99" spans="1:20" ht="15" customHeight="1">
      <c r="A99" s="26">
        <v>96</v>
      </c>
      <c r="B99" s="26">
        <v>96</v>
      </c>
      <c r="C99" s="422">
        <f>'ANALYSE - ERP =&gt; SOUS-SEGMENT'!$A$147</f>
        <v>140</v>
      </c>
      <c r="D99" s="417" t="str">
        <f>'ANALYSE - ERP =&gt; SOUS-SEGMENT'!$B$147</f>
        <v>Sécurité &amp; Justice</v>
      </c>
      <c r="E99" s="417" t="str">
        <f>'ANALYSE - ERP =&gt; SOUS-SEGMENT'!$C$147</f>
        <v>Tribunaux</v>
      </c>
      <c r="F99" s="417" t="str">
        <f>'ANALYSE - ERP =&gt; SOUS-SEGMENT'!$D$147</f>
        <v>Maisons de justice et du droit</v>
      </c>
      <c r="H99" s="458">
        <f>'ANALYSE - ERP =&gt; SOUS-SEGMENT'!$BH$147*'ANALYSE - ERP =&gt; SOUS-SEGMENT'!$JS$147</f>
        <v>10.860000000000001</v>
      </c>
      <c r="I99" s="458">
        <f>'ANALYSE - ERP =&gt; SOUS-SEGMENT'!$BH$147*'ANALYSE - ERP =&gt; SOUS-SEGMENT'!$JT$147</f>
        <v>213.48</v>
      </c>
      <c r="J99" s="458">
        <f>'ANALYSE - ERP =&gt; SOUS-SEGMENT'!$BH$147*'ANALYSE - ERP =&gt; SOUS-SEGMENT'!$JU$147</f>
        <v>302.52</v>
      </c>
      <c r="K99" s="458">
        <f>'ANALYSE - ERP =&gt; SOUS-SEGMENT'!$BH$147*'ANALYSE - ERP =&gt; SOUS-SEGMENT'!$JV$147</f>
        <v>71.58</v>
      </c>
      <c r="L99" s="458">
        <f>'ANALYSE - ERP =&gt; SOUS-SEGMENT'!$BH$147*'ANALYSE - ERP =&gt; SOUS-SEGMENT'!$JW$147</f>
        <v>1.5599999999999998</v>
      </c>
      <c r="N99" s="458">
        <f>'ANALYSE - ERP =&gt; SOUS-SEGMENT'!$FJ$147*'ANALYSE - ERP =&gt; SOUS-SEGMENT'!$JX$147</f>
        <v>0</v>
      </c>
      <c r="O99" s="458">
        <f>'ANALYSE - ERP =&gt; SOUS-SEGMENT'!$FJ$147*'ANALYSE - ERP =&gt; SOUS-SEGMENT'!$JY$147</f>
        <v>54.550132478999998</v>
      </c>
      <c r="P99" s="458">
        <f>'ANALYSE - ERP =&gt; SOUS-SEGMENT'!$FJ$147*'ANALYSE - ERP =&gt; SOUS-SEGMENT'!$JZ$147</f>
        <v>135.02484162242305</v>
      </c>
      <c r="Q99" s="458">
        <f>'ANALYSE - ERP =&gt; SOUS-SEGMENT'!$FJ$147*'ANALYSE - ERP =&gt; SOUS-SEGMENT'!$KA$147</f>
        <v>49.485796572461531</v>
      </c>
      <c r="R99" s="458">
        <f>'ANALYSE - ERP =&gt; SOUS-SEGMENT'!$FJ$147*'ANALYSE - ERP =&gt; SOUS-SEGMENT'!$KB$147</f>
        <v>2.0980820184230766</v>
      </c>
      <c r="T99" s="430">
        <f>'ANALYSE - ERP =&gt; SOUS-SEGMENT'!$Q$147</f>
        <v>1</v>
      </c>
    </row>
    <row r="100" spans="1:20" ht="15" customHeight="1">
      <c r="A100" s="26">
        <v>97</v>
      </c>
      <c r="B100" s="26">
        <v>97</v>
      </c>
      <c r="C100" s="422">
        <f>'ANALYSE - ERP =&gt; SOUS-SEGMENT'!$A$144</f>
        <v>137</v>
      </c>
      <c r="D100" s="417" t="str">
        <f>'ANALYSE - ERP =&gt; SOUS-SEGMENT'!$B$144</f>
        <v>Sécurité &amp; Justice</v>
      </c>
      <c r="E100" s="417" t="str">
        <f>'ANALYSE - ERP =&gt; SOUS-SEGMENT'!$C$144</f>
        <v>Univers carcéral</v>
      </c>
      <c r="F100" s="417" t="str">
        <f>'ANALYSE - ERP =&gt; SOUS-SEGMENT'!$D$144</f>
        <v>Centres éducatifs fermés</v>
      </c>
      <c r="H100" s="458">
        <f>'ANALYSE - ERP =&gt; SOUS-SEGMENT'!$BH$144*'ANALYSE - ERP =&gt; SOUS-SEGMENT'!$JS$144</f>
        <v>15.427499999999998</v>
      </c>
      <c r="I100" s="458">
        <f>'ANALYSE - ERP =&gt; SOUS-SEGMENT'!$BH$144*'ANALYSE - ERP =&gt; SOUS-SEGMENT'!$JT$144</f>
        <v>148.2525</v>
      </c>
      <c r="J100" s="458">
        <f>'ANALYSE - ERP =&gt; SOUS-SEGMENT'!$BH$144*'ANALYSE - ERP =&gt; SOUS-SEGMENT'!$JU$144</f>
        <v>105.71000000000001</v>
      </c>
      <c r="K100" s="458">
        <f>'ANALYSE - ERP =&gt; SOUS-SEGMENT'!$BH$144*'ANALYSE - ERP =&gt; SOUS-SEGMENT'!$JV$144</f>
        <v>5.5824999999999996</v>
      </c>
      <c r="L100" s="458">
        <f>'ANALYSE - ERP =&gt; SOUS-SEGMENT'!$BH$144*'ANALYSE - ERP =&gt; SOUS-SEGMENT'!$JW$144</f>
        <v>2.75E-2</v>
      </c>
      <c r="N100" s="458">
        <f>'ANALYSE - ERP =&gt; SOUS-SEGMENT'!$FJ$144*'ANALYSE - ERP =&gt; SOUS-SEGMENT'!$JX$144</f>
        <v>2.1349190863636363</v>
      </c>
      <c r="O100" s="458">
        <f>'ANALYSE - ERP =&gt; SOUS-SEGMENT'!$FJ$144*'ANALYSE - ERP =&gt; SOUS-SEGMENT'!$JY$144</f>
        <v>61.912653504545453</v>
      </c>
      <c r="P100" s="458">
        <f>'ANALYSE - ERP =&gt; SOUS-SEGMENT'!$FJ$144*'ANALYSE - ERP =&gt; SOUS-SEGMENT'!$JZ$144</f>
        <v>132.53926246363636</v>
      </c>
      <c r="Q100" s="458">
        <f>'ANALYSE - ERP =&gt; SOUS-SEGMENT'!$FJ$144*'ANALYSE - ERP =&gt; SOUS-SEGMENT'!$KA$144</f>
        <v>21.022417534090909</v>
      </c>
      <c r="R100" s="458">
        <f>'ANALYSE - ERP =&gt; SOUS-SEGMENT'!$FJ$144*'ANALYSE - ERP =&gt; SOUS-SEGMENT'!$KB$144</f>
        <v>0.23963377499999999</v>
      </c>
      <c r="T100" s="430">
        <f>'ANALYSE - ERP =&gt; SOUS-SEGMENT'!$Q$144</f>
        <v>1</v>
      </c>
    </row>
    <row r="101" spans="1:20" ht="15" customHeight="1">
      <c r="A101" s="26">
        <v>98</v>
      </c>
      <c r="B101" s="26">
        <v>98</v>
      </c>
      <c r="C101" s="422">
        <f>'ANALYSE - ERP =&gt; SOUS-SEGMENT'!$A$48</f>
        <v>41</v>
      </c>
      <c r="D101" s="414" t="str">
        <f>'ANALYSE - ERP =&gt; SOUS-SEGMENT'!$B$48</f>
        <v>Santé &amp; Médico-social</v>
      </c>
      <c r="E101" s="414" t="str">
        <f>'ANALYSE - ERP =&gt; SOUS-SEGMENT'!$C$48</f>
        <v>Santé hospitalière</v>
      </c>
      <c r="F101" s="414" t="str">
        <f>'ANALYSE - ERP =&gt; SOUS-SEGMENT'!$D$48</f>
        <v>Unités hospitalières sécurisées en milieu carcéral</v>
      </c>
      <c r="H101" s="458">
        <f>'ANALYSE - ERP =&gt; SOUS-SEGMENT'!$BH$48*'ANALYSE - ERP =&gt; SOUS-SEGMENT'!$JS$48</f>
        <v>15.3918</v>
      </c>
      <c r="I101" s="458">
        <f>'ANALYSE - ERP =&gt; SOUS-SEGMENT'!$BH$48*'ANALYSE - ERP =&gt; SOUS-SEGMENT'!$JT$48</f>
        <v>160.0992</v>
      </c>
      <c r="J101" s="458">
        <f>'ANALYSE - ERP =&gt; SOUS-SEGMENT'!$BH$48*'ANALYSE - ERP =&gt; SOUS-SEGMENT'!$JU$48</f>
        <v>123.4098</v>
      </c>
      <c r="K101" s="458">
        <f>'ANALYSE - ERP =&gt; SOUS-SEGMENT'!$BH$48*'ANALYSE - ERP =&gt; SOUS-SEGMENT'!$JV$48</f>
        <v>7.0686</v>
      </c>
      <c r="L101" s="458">
        <f>'ANALYSE - ERP =&gt; SOUS-SEGMENT'!$BH$48*'ANALYSE - ERP =&gt; SOUS-SEGMENT'!$JW$48</f>
        <v>3.0600000000000002E-2</v>
      </c>
      <c r="N101" s="458">
        <f>'ANALYSE - ERP =&gt; SOUS-SEGMENT'!$FJ$48*'ANALYSE - ERP =&gt; SOUS-SEGMENT'!$JX$48</f>
        <v>2.1825365040000007</v>
      </c>
      <c r="O101" s="458">
        <f>'ANALYSE - ERP =&gt; SOUS-SEGMENT'!$FJ$48*'ANALYSE - ERP =&gt; SOUS-SEGMENT'!$JY$48</f>
        <v>49.729606920000016</v>
      </c>
      <c r="P101" s="458">
        <f>'ANALYSE - ERP =&gt; SOUS-SEGMENT'!$FJ$48*'ANALYSE - ERP =&gt; SOUS-SEGMENT'!$JZ$48</f>
        <v>83.947091976000024</v>
      </c>
      <c r="Q101" s="458">
        <f>'ANALYSE - ERP =&gt; SOUS-SEGMENT'!$FJ$48*'ANALYSE - ERP =&gt; SOUS-SEGMENT'!$KA$48</f>
        <v>10.517189328000002</v>
      </c>
      <c r="R101" s="458">
        <f>'ANALYSE - ERP =&gt; SOUS-SEGMENT'!$FJ$48*'ANALYSE - ERP =&gt; SOUS-SEGMENT'!$KB$48</f>
        <v>0.10253527200000002</v>
      </c>
      <c r="T101" s="430">
        <f>'ANALYSE - ERP =&gt; SOUS-SEGMENT'!$Q$48</f>
        <v>1</v>
      </c>
    </row>
    <row r="102" spans="1:20" ht="15" customHeight="1">
      <c r="A102" s="26">
        <v>99</v>
      </c>
      <c r="B102" s="26">
        <v>99</v>
      </c>
      <c r="C102" s="422">
        <f>'ANALYSE - ERP =&gt; SOUS-SEGMENT'!$A$134</f>
        <v>127</v>
      </c>
      <c r="D102" s="414" t="str">
        <f>'ANALYSE - ERP =&gt; SOUS-SEGMENT'!$B$134</f>
        <v>Sécurité &amp; Justice</v>
      </c>
      <c r="E102" s="414" t="str">
        <f>'ANALYSE - ERP =&gt; SOUS-SEGMENT'!$C$134</f>
        <v xml:space="preserve">Commissariats / postes de police </v>
      </c>
      <c r="F102" s="414" t="str">
        <f>'ANALYSE - ERP =&gt; SOUS-SEGMENT'!$D$134</f>
        <v>Salles de réunion, de prévention ou de conférence ouvertes au public</v>
      </c>
      <c r="H102" s="458">
        <f>'ANALYSE - ERP =&gt; SOUS-SEGMENT'!$BH$134*'ANALYSE - ERP =&gt; SOUS-SEGMENT'!$JS$134</f>
        <v>19.061999999999998</v>
      </c>
      <c r="I102" s="458">
        <f>'ANALYSE - ERP =&gt; SOUS-SEGMENT'!$BH$134*'ANALYSE - ERP =&gt; SOUS-SEGMENT'!$JT$134</f>
        <v>155.358</v>
      </c>
      <c r="J102" s="458">
        <f>'ANALYSE - ERP =&gt; SOUS-SEGMENT'!$BH$134*'ANALYSE - ERP =&gt; SOUS-SEGMENT'!$JU$134</f>
        <v>95.58</v>
      </c>
      <c r="K102" s="458">
        <f>'ANALYSE - ERP =&gt; SOUS-SEGMENT'!$BH$134*'ANALYSE - ERP =&gt; SOUS-SEGMENT'!$JV$134</f>
        <v>0</v>
      </c>
      <c r="L102" s="458">
        <f>'ANALYSE - ERP =&gt; SOUS-SEGMENT'!$BH$134*'ANALYSE - ERP =&gt; SOUS-SEGMENT'!$JW$134</f>
        <v>0</v>
      </c>
      <c r="N102" s="458">
        <f>'ANALYSE - ERP =&gt; SOUS-SEGMENT'!$FJ$134*'ANALYSE - ERP =&gt; SOUS-SEGMENT'!$JX$134</f>
        <v>6.4180489612500002</v>
      </c>
      <c r="O102" s="458">
        <f>'ANALYSE - ERP =&gt; SOUS-SEGMENT'!$FJ$134*'ANALYSE - ERP =&gt; SOUS-SEGMENT'!$JY$134</f>
        <v>67.517875072349995</v>
      </c>
      <c r="P102" s="458">
        <f>'ANALYSE - ERP =&gt; SOUS-SEGMENT'!$FJ$134*'ANALYSE - ERP =&gt; SOUS-SEGMENT'!$JZ$134</f>
        <v>68.6873862164</v>
      </c>
      <c r="Q102" s="458">
        <f>'ANALYSE - ERP =&gt; SOUS-SEGMENT'!$FJ$134*'ANALYSE - ERP =&gt; SOUS-SEGMENT'!$KA$134</f>
        <v>0</v>
      </c>
      <c r="R102" s="458">
        <f>'ANALYSE - ERP =&gt; SOUS-SEGMENT'!$FJ$134*'ANALYSE - ERP =&gt; SOUS-SEGMENT'!$KB$134</f>
        <v>0</v>
      </c>
      <c r="T102" s="430">
        <f>'ANALYSE - ERP =&gt; SOUS-SEGMENT'!$Q$134</f>
        <v>0</v>
      </c>
    </row>
    <row r="103" spans="1:20" ht="15" customHeight="1">
      <c r="A103" s="26">
        <v>100</v>
      </c>
      <c r="B103" s="26">
        <v>100</v>
      </c>
      <c r="C103" s="422">
        <f>'ANALYSE - ERP =&gt; SOUS-SEGMENT'!$A$136</f>
        <v>129</v>
      </c>
      <c r="D103" s="417" t="str">
        <f>'ANALYSE - ERP =&gt; SOUS-SEGMENT'!$B$136</f>
        <v>Sécurité &amp; Justice</v>
      </c>
      <c r="E103" s="417" t="str">
        <f>'ANALYSE - ERP =&gt; SOUS-SEGMENT'!$C$136</f>
        <v>Forces armées</v>
      </c>
      <c r="F103" s="417" t="str">
        <f>'ANALYSE - ERP =&gt; SOUS-SEGMENT'!$D$136</f>
        <v>Centres de recrutement et bureaux d’information</v>
      </c>
      <c r="H103" s="458">
        <f>'ANALYSE - ERP =&gt; SOUS-SEGMENT'!$BH$136*'ANALYSE - ERP =&gt; SOUS-SEGMENT'!$JS$136</f>
        <v>2.46</v>
      </c>
      <c r="I103" s="458">
        <f>'ANALYSE - ERP =&gt; SOUS-SEGMENT'!$BH$136*'ANALYSE - ERP =&gt; SOUS-SEGMENT'!$JT$136</f>
        <v>77.64</v>
      </c>
      <c r="J103" s="458">
        <f>'ANALYSE - ERP =&gt; SOUS-SEGMENT'!$BH$136*'ANALYSE - ERP =&gt; SOUS-SEGMENT'!$JU$136</f>
        <v>101.24</v>
      </c>
      <c r="K103" s="458">
        <f>'ANALYSE - ERP =&gt; SOUS-SEGMENT'!$BH$136*'ANALYSE - ERP =&gt; SOUS-SEGMENT'!$JV$136</f>
        <v>18.48</v>
      </c>
      <c r="L103" s="458">
        <f>'ANALYSE - ERP =&gt; SOUS-SEGMENT'!$BH$136*'ANALYSE - ERP =&gt; SOUS-SEGMENT'!$JW$136</f>
        <v>0.18</v>
      </c>
      <c r="N103" s="458">
        <f>'ANALYSE - ERP =&gt; SOUS-SEGMENT'!$FJ$136*'ANALYSE - ERP =&gt; SOUS-SEGMENT'!$JX$136</f>
        <v>0</v>
      </c>
      <c r="O103" s="458">
        <f>'ANALYSE - ERP =&gt; SOUS-SEGMENT'!$FJ$136*'ANALYSE - ERP =&gt; SOUS-SEGMENT'!$JY$136</f>
        <v>22.680334111433336</v>
      </c>
      <c r="P103" s="458">
        <f>'ANALYSE - ERP =&gt; SOUS-SEGMENT'!$FJ$136*'ANALYSE - ERP =&gt; SOUS-SEGMENT'!$JZ$136</f>
        <v>52.336347668466672</v>
      </c>
      <c r="Q103" s="458">
        <f>'ANALYSE - ERP =&gt; SOUS-SEGMENT'!$FJ$136*'ANALYSE - ERP =&gt; SOUS-SEGMENT'!$KA$136</f>
        <v>18.039257060933334</v>
      </c>
      <c r="R103" s="458">
        <f>'ANALYSE - ERP =&gt; SOUS-SEGMENT'!$FJ$136*'ANALYSE - ERP =&gt; SOUS-SEGMENT'!$KB$136</f>
        <v>0.70319349250000007</v>
      </c>
      <c r="T103" s="430">
        <f>'ANALYSE - ERP =&gt; SOUS-SEGMENT'!$Q$136</f>
        <v>1</v>
      </c>
    </row>
    <row r="104" spans="1:20" ht="15" customHeight="1">
      <c r="A104" s="26">
        <v>101</v>
      </c>
      <c r="B104" s="26">
        <v>101</v>
      </c>
      <c r="C104" s="422">
        <f>'ANALYSE - ERP =&gt; SOUS-SEGMENT'!$A$143</f>
        <v>136</v>
      </c>
      <c r="D104" s="417" t="str">
        <f>'ANALYSE - ERP =&gt; SOUS-SEGMENT'!$B$143</f>
        <v>Sécurité &amp; Justice</v>
      </c>
      <c r="E104" s="417" t="str">
        <f>'ANALYSE - ERP =&gt; SOUS-SEGMENT'!$C$143</f>
        <v>Univers carcéral</v>
      </c>
      <c r="F104" s="417" t="str">
        <f>'ANALYSE - ERP =&gt; SOUS-SEGMENT'!$D$143</f>
        <v>Centres de semi-liberté</v>
      </c>
      <c r="H104" s="458">
        <f>'ANALYSE - ERP =&gt; SOUS-SEGMENT'!$BH$143*'ANALYSE - ERP =&gt; SOUS-SEGMENT'!$JS$143</f>
        <v>9.8735999999999997</v>
      </c>
      <c r="I104" s="458">
        <f>'ANALYSE - ERP =&gt; SOUS-SEGMENT'!$BH$143*'ANALYSE - ERP =&gt; SOUS-SEGMENT'!$JT$143</f>
        <v>94.881600000000006</v>
      </c>
      <c r="J104" s="458">
        <f>'ANALYSE - ERP =&gt; SOUS-SEGMENT'!$BH$143*'ANALYSE - ERP =&gt; SOUS-SEGMENT'!$JU$143</f>
        <v>67.65440000000001</v>
      </c>
      <c r="K104" s="458">
        <f>'ANALYSE - ERP =&gt; SOUS-SEGMENT'!$BH$143*'ANALYSE - ERP =&gt; SOUS-SEGMENT'!$JV$143</f>
        <v>3.5728</v>
      </c>
      <c r="L104" s="458">
        <f>'ANALYSE - ERP =&gt; SOUS-SEGMENT'!$BH$143*'ANALYSE - ERP =&gt; SOUS-SEGMENT'!$JW$143</f>
        <v>1.7600000000000001E-2</v>
      </c>
      <c r="N104" s="458">
        <f>'ANALYSE - ERP =&gt; SOUS-SEGMENT'!$FJ$143*'ANALYSE - ERP =&gt; SOUS-SEGMENT'!$JX$143</f>
        <v>3.2229383120000001</v>
      </c>
      <c r="O104" s="458">
        <f>'ANALYSE - ERP =&gt; SOUS-SEGMENT'!$FJ$143*'ANALYSE - ERP =&gt; SOUS-SEGMENT'!$JY$143</f>
        <v>52.658046583999997</v>
      </c>
      <c r="P104" s="458">
        <f>'ANALYSE - ERP =&gt; SOUS-SEGMENT'!$FJ$143*'ANALYSE - ERP =&gt; SOUS-SEGMENT'!$JZ$143</f>
        <v>63.756491743999995</v>
      </c>
      <c r="Q104" s="458">
        <f>'ANALYSE - ERP =&gt; SOUS-SEGMENT'!$FJ$143*'ANALYSE - ERP =&gt; SOUS-SEGMENT'!$KA$143</f>
        <v>5.7310615119999992</v>
      </c>
      <c r="R104" s="458">
        <f>'ANALYSE - ERP =&gt; SOUS-SEGMENT'!$FJ$143*'ANALYSE - ERP =&gt; SOUS-SEGMENT'!$KB$143</f>
        <v>3.7621847999999999E-2</v>
      </c>
      <c r="T104" s="430">
        <f>'ANALYSE - ERP =&gt; SOUS-SEGMENT'!$Q$143</f>
        <v>1</v>
      </c>
    </row>
    <row r="105" spans="1:20" ht="15" customHeight="1">
      <c r="A105" s="26">
        <v>102</v>
      </c>
      <c r="B105" s="26">
        <v>102</v>
      </c>
      <c r="C105" s="422">
        <f>'ANALYSE - ERP =&gt; SOUS-SEGMENT'!$A$133</f>
        <v>126</v>
      </c>
      <c r="D105" s="417" t="str">
        <f>'ANALYSE - ERP =&gt; SOUS-SEGMENT'!$B$133</f>
        <v>Sécurité &amp; Justice</v>
      </c>
      <c r="E105" s="417" t="str">
        <f>'ANALYSE - ERP =&gt; SOUS-SEGMENT'!$C$133</f>
        <v xml:space="preserve">Commissariats / postes de police </v>
      </c>
      <c r="F105" s="417" t="str">
        <f>'ANALYSE - ERP =&gt; SOUS-SEGMENT'!$D$133</f>
        <v>Postes de proximité et antennes avec accueil public</v>
      </c>
      <c r="H105" s="458">
        <f>'ANALYSE - ERP =&gt; SOUS-SEGMENT'!$BH$133*'ANALYSE - ERP =&gt; SOUS-SEGMENT'!$JS$133</f>
        <v>8.2939999999999987</v>
      </c>
      <c r="I105" s="458">
        <f>'ANALYSE - ERP =&gt; SOUS-SEGMENT'!$BH$133*'ANALYSE - ERP =&gt; SOUS-SEGMENT'!$JT$133</f>
        <v>64.096999999999994</v>
      </c>
      <c r="J105" s="458">
        <f>'ANALYSE - ERP =&gt; SOUS-SEGMENT'!$BH$133*'ANALYSE - ERP =&gt; SOUS-SEGMENT'!$JU$133</f>
        <v>37.608999999999995</v>
      </c>
      <c r="K105" s="458">
        <f>'ANALYSE - ERP =&gt; SOUS-SEGMENT'!$BH$133*'ANALYSE - ERP =&gt; SOUS-SEGMENT'!$JV$133</f>
        <v>0</v>
      </c>
      <c r="L105" s="458">
        <f>'ANALYSE - ERP =&gt; SOUS-SEGMENT'!$BH$133*'ANALYSE - ERP =&gt; SOUS-SEGMENT'!$JW$133</f>
        <v>0</v>
      </c>
      <c r="N105" s="458">
        <f>'ANALYSE - ERP =&gt; SOUS-SEGMENT'!$FJ$133*'ANALYSE - ERP =&gt; SOUS-SEGMENT'!$JX$133</f>
        <v>4.4776029631666665</v>
      </c>
      <c r="O105" s="458">
        <f>'ANALYSE - ERP =&gt; SOUS-SEGMENT'!$FJ$133*'ANALYSE - ERP =&gt; SOUS-SEGMENT'!$JY$133</f>
        <v>29.990546280566665</v>
      </c>
      <c r="P105" s="458">
        <f>'ANALYSE - ERP =&gt; SOUS-SEGMENT'!$FJ$133*'ANALYSE - ERP =&gt; SOUS-SEGMENT'!$JZ$133</f>
        <v>28.061732696433335</v>
      </c>
      <c r="Q105" s="458">
        <f>'ANALYSE - ERP =&gt; SOUS-SEGMENT'!$FJ$133*'ANALYSE - ERP =&gt; SOUS-SEGMENT'!$KA$133</f>
        <v>9.3935726499999997E-2</v>
      </c>
      <c r="R105" s="458">
        <f>'ANALYSE - ERP =&gt; SOUS-SEGMENT'!$FJ$133*'ANALYSE - ERP =&gt; SOUS-SEGMENT'!$KB$133</f>
        <v>0</v>
      </c>
      <c r="T105" s="430">
        <f>'ANALYSE - ERP =&gt; SOUS-SEGMENT'!$Q$133</f>
        <v>1</v>
      </c>
    </row>
    <row r="106" spans="1:20" s="45" customFormat="1" ht="15" customHeight="1">
      <c r="A106" s="406">
        <v>103</v>
      </c>
      <c r="B106" s="406">
        <v>103</v>
      </c>
      <c r="C106" s="448">
        <f>'ANALYSE - ERP =&gt; SOUS-SEGMENT'!$A$145</f>
        <v>138</v>
      </c>
      <c r="D106" s="423" t="str">
        <f>'ANALYSE - ERP =&gt; SOUS-SEGMENT'!$B$145</f>
        <v>Sécurité &amp; Justice</v>
      </c>
      <c r="E106" s="423" t="str">
        <f>'ANALYSE - ERP =&gt; SOUS-SEGMENT'!$C$145</f>
        <v>Univers carcéral</v>
      </c>
      <c r="F106" s="423" t="str">
        <f>'ANALYSE - ERP =&gt; SOUS-SEGMENT'!$D$145</f>
        <v>Centres pour peines aménagées
(absorbés par autres centres carcéraux)</v>
      </c>
      <c r="G106" s="685"/>
      <c r="H106" s="459">
        <f>'ANALYSE - ERP =&gt; SOUS-SEGMENT'!$BH$145*'ANALYSE - ERP =&gt; SOUS-SEGMENT'!$JS$145</f>
        <v>0</v>
      </c>
      <c r="I106" s="459">
        <f>'ANALYSE - ERP =&gt; SOUS-SEGMENT'!$BH$145*'ANALYSE - ERP =&gt; SOUS-SEGMENT'!$JT$145</f>
        <v>0</v>
      </c>
      <c r="J106" s="459">
        <f>'ANALYSE - ERP =&gt; SOUS-SEGMENT'!$BH$145*'ANALYSE - ERP =&gt; SOUS-SEGMENT'!$JU$145</f>
        <v>0</v>
      </c>
      <c r="K106" s="459">
        <f>'ANALYSE - ERP =&gt; SOUS-SEGMENT'!$BH$145*'ANALYSE - ERP =&gt; SOUS-SEGMENT'!$JV$145</f>
        <v>0</v>
      </c>
      <c r="L106" s="459">
        <f>'ANALYSE - ERP =&gt; SOUS-SEGMENT'!$BH$145*'ANALYSE - ERP =&gt; SOUS-SEGMENT'!$JW$145</f>
        <v>0</v>
      </c>
      <c r="M106" s="685"/>
      <c r="N106" s="459">
        <f>'ANALYSE - ERP =&gt; SOUS-SEGMENT'!$FJ$145*'ANALYSE - ERP =&gt; SOUS-SEGMENT'!$JX$145</f>
        <v>0</v>
      </c>
      <c r="O106" s="459">
        <f>'ANALYSE - ERP =&gt; SOUS-SEGMENT'!$FJ$145*'ANALYSE - ERP =&gt; SOUS-SEGMENT'!$JY$145</f>
        <v>0</v>
      </c>
      <c r="P106" s="459">
        <f>'ANALYSE - ERP =&gt; SOUS-SEGMENT'!$FJ$145*'ANALYSE - ERP =&gt; SOUS-SEGMENT'!$JZ$145</f>
        <v>0</v>
      </c>
      <c r="Q106" s="459">
        <f>'ANALYSE - ERP =&gt; SOUS-SEGMENT'!$FJ$145*'ANALYSE - ERP =&gt; SOUS-SEGMENT'!$KA$145</f>
        <v>0</v>
      </c>
      <c r="R106" s="459">
        <f>'ANALYSE - ERP =&gt; SOUS-SEGMENT'!$FJ$145*'ANALYSE - ERP =&gt; SOUS-SEGMENT'!$KB$145</f>
        <v>0</v>
      </c>
      <c r="S106" s="685"/>
      <c r="T106" s="450">
        <f>'ANALYSE - ERP =&gt; SOUS-SEGMENT'!$Q$145</f>
        <v>0</v>
      </c>
    </row>
  </sheetData>
  <autoFilter ref="A2:T2" xr:uid="{00000000-0009-0000-0000-000023000000}"/>
  <conditionalFormatting sqref="H4:L106">
    <cfRule type="colorScale" priority="2">
      <colorScale>
        <cfvo type="min"/>
        <cfvo type="formula" val="MEDIAN($H$4:$L$106)"/>
        <cfvo type="max"/>
        <color rgb="FFF8696B"/>
        <color theme="0"/>
        <color rgb="FF63BE7B"/>
      </colorScale>
    </cfRule>
  </conditionalFormatting>
  <conditionalFormatting sqref="N4:R106">
    <cfRule type="colorScale" priority="1">
      <colorScale>
        <cfvo type="min"/>
        <cfvo type="formula" val="MEDIAN($N$4:$R$106)"/>
        <cfvo type="max"/>
        <color rgb="FFF8696B"/>
        <color theme="0"/>
        <color rgb="FF63BE7B"/>
      </colorScale>
    </cfRule>
  </conditionalFormatting>
  <pageMargins left="3.937007874015748E-2" right="3.937007874015748E-2" top="7.874015748031496E-2" bottom="7.874015748031496E-2" header="0.11811023622047249" footer="0.11811023622047249"/>
  <pageSetup paperSize="8" scale="85" fitToHeight="2"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7" tint="-0.249977111117893"/>
    <pageSetUpPr fitToPage="1"/>
  </sheetPr>
  <dimension ref="A1:BG35"/>
  <sheetViews>
    <sheetView zoomScale="85" zoomScaleNormal="85" workbookViewId="0">
      <selection activeCell="Q9" sqref="Q9"/>
    </sheetView>
  </sheetViews>
  <sheetFormatPr baseColWidth="10" defaultColWidth="9.140625" defaultRowHeight="15" customHeight="1"/>
  <cols>
    <col min="1" max="1" width="7.28515625" style="934" customWidth="1"/>
    <col min="2" max="2" width="7.140625" style="934" customWidth="1"/>
    <col min="3" max="3" width="6" style="934" customWidth="1"/>
    <col min="4" max="4" width="31.42578125" style="934" customWidth="1"/>
    <col min="5" max="5" width="27.7109375" style="43" customWidth="1"/>
    <col min="6" max="6" width="46.28515625" style="43" customWidth="1"/>
    <col min="7" max="7" width="1.7109375" style="933" customWidth="1"/>
    <col min="8" max="8" width="8.7109375" style="43" customWidth="1"/>
    <col min="9" max="9" width="8.7109375" style="934" customWidth="1"/>
    <col min="10" max="10" width="1.7109375" style="933" customWidth="1"/>
    <col min="11" max="11" width="8" style="934" customWidth="1"/>
    <col min="12" max="12" width="9" style="934" customWidth="1"/>
    <col min="13" max="13" width="1.7109375" style="933" customWidth="1"/>
    <col min="14" max="14" width="10.7109375" style="934" customWidth="1"/>
    <col min="15" max="15" width="12.7109375" style="934" customWidth="1"/>
    <col min="16" max="16" width="1.7109375" style="933" customWidth="1"/>
    <col min="17" max="17" width="10.7109375" style="934" customWidth="1"/>
    <col min="18" max="18" width="12.7109375" style="933" customWidth="1"/>
    <col min="19" max="19" width="1.7109375" style="933" customWidth="1"/>
    <col min="20" max="20" width="10.7109375" style="933" customWidth="1"/>
    <col min="21" max="21" width="12.7109375" style="933" customWidth="1"/>
    <col min="22" max="22" width="1.7109375" style="933" customWidth="1"/>
    <col min="23" max="23" width="10.7109375" style="934" customWidth="1"/>
    <col min="24" max="24" width="12.7109375" style="934" customWidth="1"/>
    <col min="25" max="25" width="1.7109375" style="934" customWidth="1"/>
    <col min="26" max="26" width="10.7109375" style="934" customWidth="1"/>
    <col min="27" max="27" width="12.7109375" style="934" customWidth="1"/>
    <col min="28" max="28" width="1.7109375" style="933" customWidth="1"/>
    <col min="29" max="29" width="11.5703125" style="934" customWidth="1"/>
    <col min="30" max="59" width="13.42578125" style="933" customWidth="1"/>
  </cols>
  <sheetData>
    <row r="1" spans="1:29" s="933" customFormat="1" ht="18" customHeight="1">
      <c r="A1" s="477"/>
      <c r="B1" s="477"/>
      <c r="C1" s="477"/>
      <c r="D1" s="477"/>
      <c r="E1" s="478" t="s">
        <v>6707</v>
      </c>
      <c r="F1" s="479"/>
      <c r="H1" s="451" t="s">
        <v>6708</v>
      </c>
      <c r="I1" s="420"/>
      <c r="K1" s="451" t="s">
        <v>6709</v>
      </c>
      <c r="L1" s="420"/>
      <c r="N1" s="829" t="s">
        <v>6710</v>
      </c>
      <c r="O1" s="829" t="s">
        <v>6710</v>
      </c>
      <c r="P1" s="463"/>
      <c r="Q1" s="464" t="s">
        <v>6710</v>
      </c>
      <c r="R1" s="464" t="s">
        <v>6710</v>
      </c>
      <c r="S1" s="463"/>
      <c r="T1" s="467" t="s">
        <v>6710</v>
      </c>
      <c r="U1" s="467" t="s">
        <v>6710</v>
      </c>
      <c r="V1" s="463"/>
      <c r="W1" s="468" t="s">
        <v>6710</v>
      </c>
      <c r="X1" s="468" t="s">
        <v>6710</v>
      </c>
      <c r="Y1" s="457"/>
      <c r="Z1" s="469" t="s">
        <v>6710</v>
      </c>
      <c r="AA1" s="469" t="s">
        <v>6710</v>
      </c>
      <c r="AB1" s="457"/>
      <c r="AC1" s="829" t="s">
        <v>6711</v>
      </c>
    </row>
    <row r="2" spans="1:29" ht="30" customHeight="1">
      <c r="A2" s="420" t="s">
        <v>6712</v>
      </c>
      <c r="B2" s="420" t="s">
        <v>6713</v>
      </c>
      <c r="C2" s="420" t="s">
        <v>2044</v>
      </c>
      <c r="D2" s="829" t="s">
        <v>6714</v>
      </c>
      <c r="E2" s="829" t="s">
        <v>6715</v>
      </c>
      <c r="F2" s="829" t="s">
        <v>2181</v>
      </c>
      <c r="H2" s="436">
        <v>2025</v>
      </c>
      <c r="I2" s="436">
        <v>2030</v>
      </c>
      <c r="J2" s="113"/>
      <c r="K2" s="436" t="s">
        <v>2428</v>
      </c>
      <c r="L2" s="829" t="s">
        <v>6716</v>
      </c>
      <c r="M2" s="113"/>
      <c r="N2" s="829" t="s">
        <v>6717</v>
      </c>
      <c r="O2" s="829" t="s">
        <v>6718</v>
      </c>
      <c r="P2" s="457"/>
      <c r="Q2" s="464" t="s">
        <v>6719</v>
      </c>
      <c r="R2" s="464" t="s">
        <v>6720</v>
      </c>
      <c r="S2" s="457"/>
      <c r="T2" s="467" t="s">
        <v>6721</v>
      </c>
      <c r="U2" s="467" t="s">
        <v>6722</v>
      </c>
      <c r="V2" s="457"/>
      <c r="W2" s="468" t="s">
        <v>6723</v>
      </c>
      <c r="X2" s="468" t="s">
        <v>6724</v>
      </c>
      <c r="Y2" s="457"/>
      <c r="Z2" s="469" t="s">
        <v>6725</v>
      </c>
      <c r="AA2" s="469" t="s">
        <v>6726</v>
      </c>
      <c r="AB2" s="457"/>
      <c r="AC2" s="829" t="s">
        <v>6727</v>
      </c>
    </row>
    <row r="3" spans="1:29" ht="15" customHeight="1">
      <c r="A3" s="405" t="s">
        <v>2535</v>
      </c>
      <c r="B3" s="405" t="s">
        <v>2535</v>
      </c>
      <c r="C3" s="405" t="s">
        <v>2090</v>
      </c>
      <c r="D3" s="405" t="s">
        <v>2086</v>
      </c>
      <c r="E3" s="405" t="s">
        <v>6728</v>
      </c>
      <c r="F3" s="405" t="s">
        <v>6729</v>
      </c>
      <c r="H3" s="426">
        <f>SUMPRODUCT(($AC$4:$AC$106),('ANALYSE - ERP =&gt; SEGMENT'!$AF$8:$AF$110))</f>
        <v>379534</v>
      </c>
      <c r="I3" s="426">
        <f>SUMPRODUCT(($AC$4:$AC$106),('ANALYSE - ERP =&gt; SEGMENT'!$AK$8:$AK$110))</f>
        <v>386229</v>
      </c>
      <c r="K3" s="426">
        <f t="shared" ref="K3:K35" si="0">I3-H3</f>
        <v>6695</v>
      </c>
      <c r="L3" s="455">
        <f t="shared" ref="L3:L35" si="1">IFERROR((I3/H3)^(1/5)-1,"")</f>
        <v>3.5033772127093243E-3</v>
      </c>
      <c r="N3" s="429">
        <f>SUMPRODUCT(($AC$4:$AC$106),('ANALYSE - ERP =&gt; SEGMENT'!$BG$8:$BG$110))+SUMPRODUCT(($AC$4:$AC$106),('ANALYSE - ERP =&gt; SEGMENT'!$BH$8:$BH$110))+SUMPRODUCT(($AC$4:$AC$106),('ANALYSE - ERP =&gt; SEGMENT'!$BI$8:$BI$110))+SUMPRODUCT(($AC$4:$AC$106),('ANALYSE - ERP =&gt; SEGMENT'!$BJ$8:$BJ$110))</f>
        <v>10697146.060000001</v>
      </c>
      <c r="O3" s="454">
        <f t="shared" ref="O3:O35" si="2">IFERROR(N3/I3,"")</f>
        <v>27.696382353474235</v>
      </c>
      <c r="P3" s="463"/>
      <c r="Q3" s="429">
        <f>SUMPRODUCT(($AC$4:$AC$106),('ANALYSE - ERP =&gt; SEGMENT'!$BG$8:$BG$110))</f>
        <v>4446931</v>
      </c>
      <c r="R3" s="454">
        <f t="shared" ref="R3:R35" si="3">IFERROR(Q3/I3,"")</f>
        <v>11.513715956077871</v>
      </c>
      <c r="S3" s="463"/>
      <c r="T3" s="429">
        <f>SUMPRODUCT(($AC$4:$AC$106),('ANALYSE - ERP =&gt; SEGMENT'!$BH$8:$BH$110))</f>
        <v>1663859.06</v>
      </c>
      <c r="U3" s="454">
        <f t="shared" ref="U3:U35" si="4">IFERROR(T3/I3,"")</f>
        <v>4.3079599408640989</v>
      </c>
      <c r="V3" s="463"/>
      <c r="W3" s="429">
        <f>SUMPRODUCT(($AC$4:$AC$106),('ANALYSE - ERP =&gt; SEGMENT'!$BI$8:$BI$110))</f>
        <v>774867</v>
      </c>
      <c r="X3" s="454">
        <f t="shared" ref="X3:X35" si="5">IFERROR(W3/I3,"")</f>
        <v>2.0062372323155433</v>
      </c>
      <c r="Y3" s="456"/>
      <c r="Z3" s="429">
        <f>SUMPRODUCT(($AC$4:$AC$106),('ANALYSE - ERP =&gt; SEGMENT'!$BJ$8:$BJ$110))</f>
        <v>3811489</v>
      </c>
      <c r="AA3" s="454">
        <f t="shared" ref="AA3:AA35" si="6">IFERROR(Z3/I3,"")</f>
        <v>9.8684692242167209</v>
      </c>
      <c r="AB3" s="463"/>
      <c r="AC3" s="426">
        <f>SUM('ANALYSE - ERP =&gt; SEGMENT'!$Q$8:$Q$110)</f>
        <v>34</v>
      </c>
    </row>
    <row r="4" spans="1:29" ht="15" customHeight="1">
      <c r="A4" s="26">
        <v>1</v>
      </c>
      <c r="B4" s="26">
        <v>1</v>
      </c>
      <c r="C4" s="422">
        <f>'ANALYSE - ERP =&gt; SEGMENT'!$A$20</f>
        <v>16</v>
      </c>
      <c r="D4" s="408" t="str">
        <f>'ANALYSE - ERP =&gt; SEGMENT'!$B$20</f>
        <v>Commerce, Restauration &amp; Loisirs</v>
      </c>
      <c r="E4" s="408" t="str">
        <f>'ANALYSE - ERP =&gt; SEGMENT'!$C$20</f>
        <v>Loisirs</v>
      </c>
      <c r="F4" s="408" t="str">
        <f>'ANALYSE - ERP =&gt; SEGMENT'!$D$20</f>
        <v>Salles de jeux / bowlings / billards
Discothèques / salles de danse
Casinos</v>
      </c>
      <c r="H4" s="427">
        <f>'ANALYSE - ERP =&gt; SEGMENT'!$AF$20</f>
        <v>2865</v>
      </c>
      <c r="I4" s="427">
        <f>'ANALYSE - ERP =&gt; SEGMENT'!$AK$20</f>
        <v>2867</v>
      </c>
      <c r="K4" s="427">
        <f t="shared" si="0"/>
        <v>2</v>
      </c>
      <c r="L4" s="787">
        <f t="shared" si="1"/>
        <v>1.3957708688128179E-4</v>
      </c>
      <c r="N4" s="970">
        <f>'ANALYSE - ERP =&gt; SEGMENT'!$BG$20+'ANALYSE - ERP =&gt; SEGMENT'!$BH$20+'ANALYSE - ERP =&gt; SEGMENT'!$BI$20+'ANALYSE - ERP =&gt; SEGMENT'!$BJ$20</f>
        <v>102059</v>
      </c>
      <c r="O4" s="916">
        <f t="shared" si="2"/>
        <v>35.597837460760374</v>
      </c>
      <c r="P4" s="463"/>
      <c r="Q4" s="970">
        <f>'ANALYSE - ERP =&gt; SEGMENT'!$BG$20</f>
        <v>46094</v>
      </c>
      <c r="R4" s="916">
        <f t="shared" si="3"/>
        <v>16.077432856644577</v>
      </c>
      <c r="S4" s="463"/>
      <c r="T4" s="970">
        <f>'ANALYSE - ERP =&gt; SEGMENT'!$BH$20</f>
        <v>17</v>
      </c>
      <c r="U4" s="916">
        <f t="shared" si="4"/>
        <v>5.9295430763864664E-3</v>
      </c>
      <c r="V4" s="463"/>
      <c r="W4" s="970">
        <f>'ANALYSE - ERP =&gt; SEGMENT'!$BI$20</f>
        <v>14071</v>
      </c>
      <c r="X4" s="916">
        <f t="shared" si="5"/>
        <v>4.9079176839902336</v>
      </c>
      <c r="Y4" s="456"/>
      <c r="Z4" s="970">
        <f>'ANALYSE - ERP =&gt; SEGMENT'!$BJ$20</f>
        <v>41877</v>
      </c>
      <c r="AA4" s="916">
        <f t="shared" si="6"/>
        <v>14.60655737704918</v>
      </c>
      <c r="AB4" s="463"/>
      <c r="AC4" s="465">
        <f>'ANALYSE - ERP =&gt; SEGMENT'!$Q$20</f>
        <v>1</v>
      </c>
    </row>
    <row r="5" spans="1:29" ht="15" customHeight="1">
      <c r="A5" s="26">
        <v>2</v>
      </c>
      <c r="B5" s="26">
        <v>2</v>
      </c>
      <c r="C5" s="422">
        <f>'ANALYSE - ERP =&gt; SEGMENT'!$A$32</f>
        <v>32</v>
      </c>
      <c r="D5" s="410" t="str">
        <f>'ANALYSE - ERP =&gt; SEGMENT'!$B$32</f>
        <v>Transport, Mobilité &amp; Stationnement</v>
      </c>
      <c r="E5" s="410" t="str">
        <f>'ANALYSE - ERP =&gt; SEGMENT'!$C$32</f>
        <v>Transport / mobilité</v>
      </c>
      <c r="F5" s="410" t="str">
        <f>'ANALYSE - ERP =&gt; SEGMENT'!$D$32</f>
        <v>Aires de service - Autoroutes
(Hors Aires de repos)
Aires de repos - Autoroutes
(Hors Aires de service)
Aéroports / aérogares
(&gt;1 000 passagers/an)
Gares ferroviaires et stations
Terminaux maritimes / fluviaux
Établissements flottants
Ports de plaisance / capitaineries
Stations / espaces métro équipés de toilettes publiques (minimum observé RATP)</v>
      </c>
      <c r="H5" s="427">
        <f>'ANALYSE - ERP =&gt; SEGMENT'!$AF$32</f>
        <v>3656</v>
      </c>
      <c r="I5" s="427">
        <f>'ANALYSE - ERP =&gt; SEGMENT'!$AK$32</f>
        <v>3765</v>
      </c>
      <c r="K5" s="427">
        <f t="shared" si="0"/>
        <v>109</v>
      </c>
      <c r="L5" s="787">
        <f t="shared" si="1"/>
        <v>5.8929369710378765E-3</v>
      </c>
      <c r="N5" s="970">
        <f>'ANALYSE - ERP =&gt; SEGMENT'!$BG$32+'ANALYSE - ERP =&gt; SEGMENT'!$BH$32+'ANALYSE - ERP =&gt; SEGMENT'!$BI$32+'ANALYSE - ERP =&gt; SEGMENT'!$BJ$32</f>
        <v>127499</v>
      </c>
      <c r="O5" s="916">
        <f t="shared" si="2"/>
        <v>33.864276228419655</v>
      </c>
      <c r="P5" s="463"/>
      <c r="Q5" s="970">
        <f>'ANALYSE - ERP =&gt; SEGMENT'!$BG$32</f>
        <v>56699</v>
      </c>
      <c r="R5" s="916">
        <f t="shared" si="3"/>
        <v>15.05949535192563</v>
      </c>
      <c r="S5" s="463"/>
      <c r="T5" s="970">
        <f>'ANALYSE - ERP =&gt; SEGMENT'!$BH$32</f>
        <v>8680</v>
      </c>
      <c r="U5" s="916">
        <f t="shared" si="4"/>
        <v>2.3054448871181941</v>
      </c>
      <c r="V5" s="463"/>
      <c r="W5" s="970">
        <f>'ANALYSE - ERP =&gt; SEGMENT'!$BI$32</f>
        <v>10637</v>
      </c>
      <c r="X5" s="916">
        <f t="shared" si="5"/>
        <v>2.8252324037184593</v>
      </c>
      <c r="Y5" s="456"/>
      <c r="Z5" s="970">
        <f>'ANALYSE - ERP =&gt; SEGMENT'!$BJ$32</f>
        <v>51483</v>
      </c>
      <c r="AA5" s="916">
        <f t="shared" si="6"/>
        <v>13.67410358565737</v>
      </c>
      <c r="AB5" s="463"/>
      <c r="AC5" s="465">
        <f>'ANALYSE - ERP =&gt; SEGMENT'!$Q$32</f>
        <v>1</v>
      </c>
    </row>
    <row r="6" spans="1:29" ht="15" customHeight="1">
      <c r="A6" s="26">
        <v>3</v>
      </c>
      <c r="B6" s="26">
        <v>3</v>
      </c>
      <c r="C6" s="422">
        <f>'ANALYSE - ERP =&gt; SEGMENT'!$A$9</f>
        <v>2</v>
      </c>
      <c r="D6" s="408" t="str">
        <f>'ANALYSE - ERP =&gt; SEGMENT'!$B$9</f>
        <v>Enfance, Enseignement &amp; Jeunesse</v>
      </c>
      <c r="E6" s="408" t="str">
        <f>'ANALYSE - ERP =&gt; SEGMENT'!$C$9</f>
        <v>Enseignement scolaire</v>
      </c>
      <c r="F6" s="408" t="str">
        <f>'ANALYSE - ERP =&gt; SEGMENT'!$D$9</f>
        <v>Écoles maternelles
Écoles primaires 
Collèges (vestiaires EPS inclus)
Lycées (vestiaires EPS inclus)
Internats scolaires</v>
      </c>
      <c r="H6" s="427">
        <f>'ANALYSE - ERP =&gt; SEGMENT'!$AF$9</f>
        <v>63949</v>
      </c>
      <c r="I6" s="427">
        <f>'ANALYSE - ERP =&gt; SEGMENT'!$AK$9</f>
        <v>63426</v>
      </c>
      <c r="K6" s="427">
        <f t="shared" si="0"/>
        <v>-523</v>
      </c>
      <c r="L6" s="787">
        <f t="shared" si="1"/>
        <v>-1.6410557273648374E-3</v>
      </c>
      <c r="N6" s="970">
        <f>'ANALYSE - ERP =&gt; SEGMENT'!$BG$9+'ANALYSE - ERP =&gt; SEGMENT'!$BH$9+'ANALYSE - ERP =&gt; SEGMENT'!$BI$9+'ANALYSE - ERP =&gt; SEGMENT'!$BJ$9</f>
        <v>2227852.46</v>
      </c>
      <c r="O6" s="916">
        <f t="shared" si="2"/>
        <v>35.125224040614256</v>
      </c>
      <c r="P6" s="463"/>
      <c r="Q6" s="970">
        <f>'ANALYSE - ERP =&gt; SEGMENT'!$BG$9</f>
        <v>995794</v>
      </c>
      <c r="R6" s="916">
        <f t="shared" si="3"/>
        <v>15.700091445148677</v>
      </c>
      <c r="S6" s="463"/>
      <c r="T6" s="970">
        <f>'ANALYSE - ERP =&gt; SEGMENT'!$BH$9</f>
        <v>146412.46</v>
      </c>
      <c r="U6" s="916">
        <f t="shared" si="4"/>
        <v>2.3083981332576546</v>
      </c>
      <c r="V6" s="463"/>
      <c r="W6" s="970">
        <f>'ANALYSE - ERP =&gt; SEGMENT'!$BI$9</f>
        <v>228925</v>
      </c>
      <c r="X6" s="916">
        <f t="shared" si="5"/>
        <v>3.6093242518840856</v>
      </c>
      <c r="Y6" s="456"/>
      <c r="Z6" s="970">
        <f>'ANALYSE - ERP =&gt; SEGMENT'!$BJ$9</f>
        <v>856721</v>
      </c>
      <c r="AA6" s="916">
        <f t="shared" si="6"/>
        <v>13.507410210323842</v>
      </c>
      <c r="AB6" s="463"/>
      <c r="AC6" s="465">
        <f>'ANALYSE - ERP =&gt; SEGMENT'!$Q$9</f>
        <v>1</v>
      </c>
    </row>
    <row r="7" spans="1:29" ht="15" customHeight="1">
      <c r="A7" s="26">
        <v>4</v>
      </c>
      <c r="B7" s="26">
        <v>4</v>
      </c>
      <c r="C7" s="422">
        <f>'ANALYSE - ERP =&gt; SEGMENT'!$A$29</f>
        <v>28</v>
      </c>
      <c r="D7" s="415" t="str">
        <f>'ANALYSE - ERP =&gt; SEGMENT'!$B$29</f>
        <v>Culte, Vie civique &amp; Services publics</v>
      </c>
      <c r="E7" s="415" t="str">
        <f>'ANALYSE - ERP =&gt; SEGMENT'!$C$29</f>
        <v>Vie associative</v>
      </c>
      <c r="F7" s="415" t="str">
        <f>'ANALYSE - ERP =&gt; SEGMENT'!$D$29</f>
        <v>Locaux associatifs recevant du public</v>
      </c>
      <c r="H7" s="427">
        <f>'ANALYSE - ERP =&gt; SEGMENT'!$AF$29</f>
        <v>5560</v>
      </c>
      <c r="I7" s="427">
        <f>'ANALYSE - ERP =&gt; SEGMENT'!$AK$29</f>
        <v>5720</v>
      </c>
      <c r="K7" s="427">
        <f t="shared" si="0"/>
        <v>160</v>
      </c>
      <c r="L7" s="787">
        <f t="shared" si="1"/>
        <v>5.690267845492869E-3</v>
      </c>
      <c r="N7" s="970">
        <f>'ANALYSE - ERP =&gt; SEGMENT'!$BG$29+'ANALYSE - ERP =&gt; SEGMENT'!$BH$29+'ANALYSE - ERP =&gt; SEGMENT'!$BI$29+'ANALYSE - ERP =&gt; SEGMENT'!$BJ$29</f>
        <v>37180</v>
      </c>
      <c r="O7" s="916">
        <f t="shared" si="2"/>
        <v>6.5</v>
      </c>
      <c r="P7" s="463"/>
      <c r="Q7" s="970">
        <f>'ANALYSE - ERP =&gt; SEGMENT'!$BG$29</f>
        <v>17160</v>
      </c>
      <c r="R7" s="916">
        <f t="shared" si="3"/>
        <v>3</v>
      </c>
      <c r="S7" s="463"/>
      <c r="T7" s="970">
        <f>'ANALYSE - ERP =&gt; SEGMENT'!$BH$29</f>
        <v>0</v>
      </c>
      <c r="U7" s="916">
        <f t="shared" si="4"/>
        <v>0</v>
      </c>
      <c r="V7" s="463"/>
      <c r="W7" s="970">
        <f>'ANALYSE - ERP =&gt; SEGMENT'!$BI$29</f>
        <v>2860</v>
      </c>
      <c r="X7" s="916">
        <f t="shared" si="5"/>
        <v>0.5</v>
      </c>
      <c r="Y7" s="456"/>
      <c r="Z7" s="970">
        <f>'ANALYSE - ERP =&gt; SEGMENT'!$BJ$29</f>
        <v>17160</v>
      </c>
      <c r="AA7" s="916">
        <f t="shared" si="6"/>
        <v>3</v>
      </c>
      <c r="AB7" s="463"/>
      <c r="AC7" s="465">
        <f>'ANALYSE - ERP =&gt; SEGMENT'!$Q$29</f>
        <v>1</v>
      </c>
    </row>
    <row r="8" spans="1:29" ht="15" customHeight="1">
      <c r="A8" s="26">
        <v>5</v>
      </c>
      <c r="B8" s="26">
        <v>5</v>
      </c>
      <c r="C8" s="422">
        <f>'ANALYSE - ERP =&gt; SEGMENT'!$A$17</f>
        <v>11</v>
      </c>
      <c r="D8" s="408" t="str">
        <f>'ANALYSE - ERP =&gt; SEGMENT'!$B$17</f>
        <v>Culture, Patrimoine &amp; Evénementiel</v>
      </c>
      <c r="E8" s="408" t="str">
        <f>'ANALYSE - ERP =&gt; SEGMENT'!$C$17</f>
        <v>Expositions / salons</v>
      </c>
      <c r="F8" s="408" t="str">
        <f>'ANALYSE - ERP =&gt; SEGMENT'!$D$17</f>
        <v>Foires / salons
Halls d’exposition</v>
      </c>
      <c r="H8" s="427">
        <f>'ANALYSE - ERP =&gt; SEGMENT'!$AF$17</f>
        <v>292</v>
      </c>
      <c r="I8" s="427">
        <f>'ANALYSE - ERP =&gt; SEGMENT'!$AK$17</f>
        <v>298</v>
      </c>
      <c r="K8" s="427">
        <f t="shared" si="0"/>
        <v>6</v>
      </c>
      <c r="L8" s="787">
        <f t="shared" si="1"/>
        <v>4.0762221333856541E-3</v>
      </c>
      <c r="N8" s="970">
        <f>'ANALYSE - ERP =&gt; SEGMENT'!$BG$17+'ANALYSE - ERP =&gt; SEGMENT'!$BH$17+'ANALYSE - ERP =&gt; SEGMENT'!$BI$17+'ANALYSE - ERP =&gt; SEGMENT'!$BJ$17</f>
        <v>35532</v>
      </c>
      <c r="O8" s="916">
        <f t="shared" si="2"/>
        <v>119.23489932885906</v>
      </c>
      <c r="P8" s="463"/>
      <c r="Q8" s="970">
        <f>'ANALYSE - ERP =&gt; SEGMENT'!$BG$17</f>
        <v>15806</v>
      </c>
      <c r="R8" s="916">
        <f t="shared" si="3"/>
        <v>53.040268456375841</v>
      </c>
      <c r="S8" s="463"/>
      <c r="T8" s="970">
        <f>'ANALYSE - ERP =&gt; SEGMENT'!$BH$17</f>
        <v>1364</v>
      </c>
      <c r="U8" s="916">
        <f t="shared" si="4"/>
        <v>4.5771812080536911</v>
      </c>
      <c r="V8" s="463"/>
      <c r="W8" s="970">
        <f>'ANALYSE - ERP =&gt; SEGMENT'!$BI$17</f>
        <v>3387</v>
      </c>
      <c r="X8" s="916">
        <f t="shared" si="5"/>
        <v>11.365771812080537</v>
      </c>
      <c r="Y8" s="456"/>
      <c r="Z8" s="970">
        <f>'ANALYSE - ERP =&gt; SEGMENT'!$BJ$17</f>
        <v>14975</v>
      </c>
      <c r="AA8" s="916">
        <f t="shared" si="6"/>
        <v>50.25167785234899</v>
      </c>
      <c r="AB8" s="463"/>
      <c r="AC8" s="465">
        <f>'ANALYSE - ERP =&gt; SEGMENT'!$Q$17</f>
        <v>1</v>
      </c>
    </row>
    <row r="9" spans="1:29" ht="15" customHeight="1">
      <c r="A9" s="26">
        <v>6</v>
      </c>
      <c r="B9" s="26">
        <v>6</v>
      </c>
      <c r="C9" s="422">
        <f>'ANALYSE - ERP =&gt; SEGMENT'!$A$28</f>
        <v>27</v>
      </c>
      <c r="D9" s="415" t="str">
        <f>'ANALYSE - ERP =&gt; SEGMENT'!$B$28</f>
        <v>Culte, Vie civique &amp; Services publics</v>
      </c>
      <c r="E9" s="415" t="str">
        <f>'ANALYSE - ERP =&gt; SEGMENT'!$C$28</f>
        <v>Culte</v>
      </c>
      <c r="F9" s="415" t="str">
        <f>'ANALYSE - ERP =&gt; SEGMENT'!$D$28</f>
        <v>Églises, cathédrales, basiliques et chapelles ouvertes au public
Monastères, abbayes et couvents ouverts au public
Temples protestants, évangéliques et salles de culte assimilées
Mosquées et salles de prière musulmanes
Synagogues et oratoires juifs ouverts au public
Temples bouddhistes, hindous et autres lieux de culte non abrahamiques ouverts au public
Salles du Royaume, centres cultuels pluriconfessionnels et lieux de culte polyvalents</v>
      </c>
      <c r="H9" s="427">
        <f>'ANALYSE - ERP =&gt; SEGMENT'!$AF$28</f>
        <v>10520</v>
      </c>
      <c r="I9" s="427">
        <f>'ANALYSE - ERP =&gt; SEGMENT'!$AK$28</f>
        <v>10647</v>
      </c>
      <c r="K9" s="427">
        <f t="shared" si="0"/>
        <v>127</v>
      </c>
      <c r="L9" s="787">
        <f t="shared" si="1"/>
        <v>2.4028732883492054E-3</v>
      </c>
      <c r="N9" s="970">
        <f>'ANALYSE - ERP =&gt; SEGMENT'!$BG$28+'ANALYSE - ERP =&gt; SEGMENT'!$BH$28+'ANALYSE - ERP =&gt; SEGMENT'!$BI$28+'ANALYSE - ERP =&gt; SEGMENT'!$BJ$28</f>
        <v>105283</v>
      </c>
      <c r="O9" s="916">
        <f t="shared" si="2"/>
        <v>9.8885131962055031</v>
      </c>
      <c r="P9" s="463"/>
      <c r="Q9" s="970">
        <f>'ANALYSE - ERP =&gt; SEGMENT'!$BG$28</f>
        <v>52311</v>
      </c>
      <c r="R9" s="916">
        <f t="shared" si="3"/>
        <v>4.9132149901380666</v>
      </c>
      <c r="S9" s="463"/>
      <c r="T9" s="970">
        <f>'ANALYSE - ERP =&gt; SEGMENT'!$BH$28</f>
        <v>750</v>
      </c>
      <c r="U9" s="916">
        <f t="shared" si="4"/>
        <v>7.0442378134685832E-2</v>
      </c>
      <c r="V9" s="463"/>
      <c r="W9" s="970">
        <f>'ANALYSE - ERP =&gt; SEGMENT'!$BI$28</f>
        <v>8631</v>
      </c>
      <c r="X9" s="916">
        <f t="shared" si="5"/>
        <v>0.81065088757396453</v>
      </c>
      <c r="Y9" s="456"/>
      <c r="Z9" s="970">
        <f>'ANALYSE - ERP =&gt; SEGMENT'!$BJ$28</f>
        <v>43591</v>
      </c>
      <c r="AA9" s="916">
        <f t="shared" si="6"/>
        <v>4.0942049403587868</v>
      </c>
      <c r="AB9" s="463"/>
      <c r="AC9" s="465">
        <f>'ANALYSE - ERP =&gt; SEGMENT'!$Q$28</f>
        <v>1</v>
      </c>
    </row>
    <row r="10" spans="1:29" ht="15" customHeight="1">
      <c r="A10" s="26">
        <v>7</v>
      </c>
      <c r="B10" s="26">
        <v>7</v>
      </c>
      <c r="C10" s="422">
        <f>'ANALYSE - ERP =&gt; SEGMENT'!$A$31</f>
        <v>30</v>
      </c>
      <c r="D10" s="416" t="str">
        <f>'ANALYSE - ERP =&gt; SEGMENT'!$B$31</f>
        <v>Sport</v>
      </c>
      <c r="E10" s="416" t="str">
        <f>'ANALYSE - ERP =&gt; SEGMENT'!$C$31</f>
        <v>Sport de plein air</v>
      </c>
      <c r="F10" s="416" t="str">
        <f>'ANALYSE - ERP =&gt; SEGMENT'!$D$31</f>
        <v>Grands stades avec tribunes
(Type football/rugby) 
Stades 
(Type athlétisme - Hors scolaire)
Terrains de sport
(Hors scolaire)
Hippodromes
Piscines extérieures 
(Hors campings, hôtels, résidences et établissement avec bassin intérieur)
Bases nautiques / centres nautiques avec vestiaires-douches
Bases de loisirs avec plages, douches et sanitaires</v>
      </c>
      <c r="H10" s="427">
        <f>'ANALYSE - ERP =&gt; SEGMENT'!$AF$31</f>
        <v>43261</v>
      </c>
      <c r="I10" s="427">
        <f>'ANALYSE - ERP =&gt; SEGMENT'!$AK$31</f>
        <v>44250</v>
      </c>
      <c r="K10" s="427">
        <f t="shared" si="0"/>
        <v>989</v>
      </c>
      <c r="L10" s="787">
        <f t="shared" si="1"/>
        <v>4.5310011141632689E-3</v>
      </c>
      <c r="N10" s="970">
        <f>'ANALYSE - ERP =&gt; SEGMENT'!$BG$31+'ANALYSE - ERP =&gt; SEGMENT'!$BH$31+'ANALYSE - ERP =&gt; SEGMENT'!$BI$31+'ANALYSE - ERP =&gt; SEGMENT'!$BJ$31</f>
        <v>1086345</v>
      </c>
      <c r="O10" s="916">
        <f t="shared" si="2"/>
        <v>24.550169491525423</v>
      </c>
      <c r="P10" s="463"/>
      <c r="Q10" s="970">
        <f>'ANALYSE - ERP =&gt; SEGMENT'!$BG$31</f>
        <v>344035</v>
      </c>
      <c r="R10" s="916">
        <f t="shared" si="3"/>
        <v>7.7748022598870055</v>
      </c>
      <c r="S10" s="463"/>
      <c r="T10" s="970">
        <f>'ANALYSE - ERP =&gt; SEGMENT'!$BH$31</f>
        <v>330110</v>
      </c>
      <c r="U10" s="916">
        <f t="shared" si="4"/>
        <v>7.4601129943502826</v>
      </c>
      <c r="V10" s="463"/>
      <c r="W10" s="970">
        <f>'ANALYSE - ERP =&gt; SEGMENT'!$BI$31</f>
        <v>100750</v>
      </c>
      <c r="X10" s="916">
        <f t="shared" si="5"/>
        <v>2.2768361581920904</v>
      </c>
      <c r="Y10" s="456"/>
      <c r="Z10" s="970">
        <f>'ANALYSE - ERP =&gt; SEGMENT'!$BJ$31</f>
        <v>311450</v>
      </c>
      <c r="AA10" s="916">
        <f t="shared" si="6"/>
        <v>7.0384180790960453</v>
      </c>
      <c r="AB10" s="463"/>
      <c r="AC10" s="465">
        <f>'ANALYSE - ERP =&gt; SEGMENT'!$Q$31</f>
        <v>1</v>
      </c>
    </row>
    <row r="11" spans="1:29" s="45" customFormat="1" ht="15" customHeight="1">
      <c r="A11" s="26">
        <v>8</v>
      </c>
      <c r="B11" s="26">
        <v>8</v>
      </c>
      <c r="C11" s="422">
        <f>'ANALYSE - ERP =&gt; SEGMENT'!$A$23</f>
        <v>19</v>
      </c>
      <c r="D11" s="411" t="str">
        <f>'ANALYSE - ERP =&gt; SEGMENT'!$B$23</f>
        <v>Tertiaire &amp; Industriel</v>
      </c>
      <c r="E11" s="411" t="str">
        <f>'ANALYSE - ERP =&gt; SEGMENT'!$C$23</f>
        <v>Usines &amp; Ateliers</v>
      </c>
      <c r="F11" s="411" t="str">
        <f>'ANALYSE - ERP =&gt; SEGMENT'!$D$23</f>
        <v>Usines 
(&gt;50 personnes - Hors Ateliers industriels)
Garages / ateliers de réparation automobile recevant du public
Ateliers industriels / de maintenance (&gt;50 personnes)</v>
      </c>
      <c r="G11" s="685"/>
      <c r="H11" s="427">
        <f>'ANALYSE - ERP =&gt; SEGMENT'!$AF$23</f>
        <v>16050</v>
      </c>
      <c r="I11" s="427">
        <f>'ANALYSE - ERP =&gt; SEGMENT'!$AK$23</f>
        <v>16680</v>
      </c>
      <c r="J11" s="685"/>
      <c r="K11" s="427">
        <f t="shared" si="0"/>
        <v>630</v>
      </c>
      <c r="L11" s="787">
        <f t="shared" si="1"/>
        <v>7.7300330986174171E-3</v>
      </c>
      <c r="M11" s="685"/>
      <c r="N11" s="970">
        <f>'ANALYSE - ERP =&gt; SEGMENT'!$BG$23+'ANALYSE - ERP =&gt; SEGMENT'!$BH$23+'ANALYSE - ERP =&gt; SEGMENT'!$BI$23+'ANALYSE - ERP =&gt; SEGMENT'!$BJ$23</f>
        <v>708580</v>
      </c>
      <c r="O11" s="916">
        <f t="shared" si="2"/>
        <v>42.480815347721823</v>
      </c>
      <c r="P11" s="685"/>
      <c r="Q11" s="970">
        <f>'ANALYSE - ERP =&gt; SEGMENT'!$BG$23</f>
        <v>309070</v>
      </c>
      <c r="R11" s="916">
        <f t="shared" si="3"/>
        <v>18.529376498800961</v>
      </c>
      <c r="S11" s="685"/>
      <c r="T11" s="970">
        <f>'ANALYSE - ERP =&gt; SEGMENT'!$BH$23</f>
        <v>110930</v>
      </c>
      <c r="U11" s="916">
        <f t="shared" si="4"/>
        <v>6.6504796163069546</v>
      </c>
      <c r="V11" s="685"/>
      <c r="W11" s="970">
        <f>'ANALYSE - ERP =&gt; SEGMENT'!$BI$23</f>
        <v>75230</v>
      </c>
      <c r="X11" s="916">
        <f t="shared" si="5"/>
        <v>4.5101918465227815</v>
      </c>
      <c r="Y11" s="685"/>
      <c r="Z11" s="970">
        <f>'ANALYSE - ERP =&gt; SEGMENT'!$BJ$23</f>
        <v>213350</v>
      </c>
      <c r="AA11" s="916">
        <f t="shared" si="6"/>
        <v>12.790767386091128</v>
      </c>
      <c r="AB11" s="685"/>
      <c r="AC11" s="465">
        <f>'ANALYSE - ERP =&gt; SEGMENT'!$Q$23</f>
        <v>1</v>
      </c>
    </row>
    <row r="12" spans="1:29" ht="15" customHeight="1">
      <c r="A12" s="26">
        <v>9</v>
      </c>
      <c r="B12" s="26">
        <v>9</v>
      </c>
      <c r="C12" s="422">
        <f>'ANALYSE - ERP =&gt; SEGMENT'!$A$15</f>
        <v>8</v>
      </c>
      <c r="D12" s="414" t="str">
        <f>'ANALYSE - ERP =&gt; SEGMENT'!$B$15</f>
        <v>Santé &amp; Médico-social</v>
      </c>
      <c r="E12" s="414" t="str">
        <f>'ANALYSE - ERP =&gt; SEGMENT'!$C$15</f>
        <v>Santé ambulatoire</v>
      </c>
      <c r="F12" s="414" t="str">
        <f>'ANALYSE - ERP =&gt; SEGMENT'!$D$15</f>
        <v>Centres de santé / centres médicaux
Maisons de santé</v>
      </c>
      <c r="H12" s="427">
        <f>'ANALYSE - ERP =&gt; SEGMENT'!$AF$15</f>
        <v>7126</v>
      </c>
      <c r="I12" s="427">
        <f>'ANALYSE - ERP =&gt; SEGMENT'!$AK$15</f>
        <v>9412</v>
      </c>
      <c r="K12" s="427">
        <f t="shared" si="0"/>
        <v>2286</v>
      </c>
      <c r="L12" s="787">
        <f t="shared" si="1"/>
        <v>5.7224502995979698E-2</v>
      </c>
      <c r="N12" s="970">
        <f>'ANALYSE - ERP =&gt; SEGMENT'!$BG$15+'ANALYSE - ERP =&gt; SEGMENT'!$BH$15+'ANALYSE - ERP =&gt; SEGMENT'!$BI$15+'ANALYSE - ERP =&gt; SEGMENT'!$BJ$15</f>
        <v>60099.5</v>
      </c>
      <c r="O12" s="916">
        <f t="shared" si="2"/>
        <v>6.3854122396940074</v>
      </c>
      <c r="P12" s="463"/>
      <c r="Q12" s="970">
        <f>'ANALYSE - ERP =&gt; SEGMENT'!$BG$15</f>
        <v>26886</v>
      </c>
      <c r="R12" s="916">
        <f t="shared" si="3"/>
        <v>2.8565660858478537</v>
      </c>
      <c r="S12" s="463"/>
      <c r="T12" s="970">
        <f>'ANALYSE - ERP =&gt; SEGMENT'!$BH$15</f>
        <v>765.5</v>
      </c>
      <c r="U12" s="916">
        <f t="shared" si="4"/>
        <v>8.1332341691457713E-2</v>
      </c>
      <c r="V12" s="463"/>
      <c r="W12" s="970">
        <f>'ANALYSE - ERP =&gt; SEGMENT'!$BI$15</f>
        <v>5562</v>
      </c>
      <c r="X12" s="916">
        <f t="shared" si="5"/>
        <v>0.59094772630684234</v>
      </c>
      <c r="Y12" s="456"/>
      <c r="Z12" s="970">
        <f>'ANALYSE - ERP =&gt; SEGMENT'!$BJ$15</f>
        <v>26886</v>
      </c>
      <c r="AA12" s="916">
        <f t="shared" si="6"/>
        <v>2.8565660858478537</v>
      </c>
      <c r="AB12" s="463"/>
      <c r="AC12" s="465">
        <f>'ANALYSE - ERP =&gt; SEGMENT'!$Q$15</f>
        <v>1</v>
      </c>
    </row>
    <row r="13" spans="1:29" ht="15" customHeight="1">
      <c r="A13" s="26">
        <v>10</v>
      </c>
      <c r="B13" s="26">
        <v>10</v>
      </c>
      <c r="C13" s="422">
        <f>'ANALYSE - ERP =&gt; SEGMENT'!$A$8</f>
        <v>1</v>
      </c>
      <c r="D13" s="411" t="str">
        <f>'ANALYSE - ERP =&gt; SEGMENT'!$B$8</f>
        <v>Enfance, Enseignement &amp; Jeunesse</v>
      </c>
      <c r="E13" s="411" t="str">
        <f>'ANALYSE - ERP =&gt; SEGMENT'!$C$8</f>
        <v>Petite enfance</v>
      </c>
      <c r="F13" s="411" t="str">
        <f>'ANALYSE - ERP =&gt; SEGMENT'!$D$8</f>
        <v>Crèches</v>
      </c>
      <c r="H13" s="427">
        <f>'ANALYSE - ERP =&gt; SEGMENT'!$AF$8</f>
        <v>20979</v>
      </c>
      <c r="I13" s="427">
        <f>'ANALYSE - ERP =&gt; SEGMENT'!$AK$8</f>
        <v>20995</v>
      </c>
      <c r="K13" s="427">
        <f t="shared" si="0"/>
        <v>16</v>
      </c>
      <c r="L13" s="787">
        <f t="shared" si="1"/>
        <v>1.5248697422043378E-4</v>
      </c>
      <c r="N13" s="970">
        <f>'ANALYSE - ERP =&gt; SEGMENT'!$BG$8+'ANALYSE - ERP =&gt; SEGMENT'!$BH$8+'ANALYSE - ERP =&gt; SEGMENT'!$BI$8+'ANALYSE - ERP =&gt; SEGMENT'!$BJ$8</f>
        <v>252976.1</v>
      </c>
      <c r="O13" s="916">
        <f t="shared" si="2"/>
        <v>12.049349845201238</v>
      </c>
      <c r="P13" s="463"/>
      <c r="Q13" s="970">
        <f>'ANALYSE - ERP =&gt; SEGMENT'!$BG$8</f>
        <v>123945</v>
      </c>
      <c r="R13" s="916">
        <f t="shared" si="3"/>
        <v>5.9035484639199813</v>
      </c>
      <c r="S13" s="463"/>
      <c r="T13" s="970">
        <f>'ANALYSE - ERP =&gt; SEGMENT'!$BH$8</f>
        <v>5086.1000000000004</v>
      </c>
      <c r="U13" s="916">
        <f t="shared" si="4"/>
        <v>0.24225291736127652</v>
      </c>
      <c r="V13" s="463"/>
      <c r="W13" s="970">
        <f>'ANALYSE - ERP =&gt; SEGMENT'!$BI$8</f>
        <v>0</v>
      </c>
      <c r="X13" s="916">
        <f t="shared" si="5"/>
        <v>0</v>
      </c>
      <c r="Y13" s="456"/>
      <c r="Z13" s="970">
        <f>'ANALYSE - ERP =&gt; SEGMENT'!$BJ$8</f>
        <v>123945</v>
      </c>
      <c r="AA13" s="916">
        <f t="shared" si="6"/>
        <v>5.9035484639199813</v>
      </c>
      <c r="AB13" s="463"/>
      <c r="AC13" s="465">
        <f>'ANALYSE - ERP =&gt; SEGMENT'!$Q$8</f>
        <v>1</v>
      </c>
    </row>
    <row r="14" spans="1:29" ht="15" customHeight="1">
      <c r="A14" s="26">
        <v>11</v>
      </c>
      <c r="B14" s="26">
        <v>11</v>
      </c>
      <c r="C14" s="422">
        <f>'ANALYSE - ERP =&gt; SEGMENT'!$A$25</f>
        <v>22</v>
      </c>
      <c r="D14" s="411" t="str">
        <f>'ANALYSE - ERP =&gt; SEGMENT'!$B$25</f>
        <v>Hébergement &amp; Tourisme</v>
      </c>
      <c r="E14" s="411" t="str">
        <f>'ANALYSE - ERP =&gt; SEGMENT'!$C$25</f>
        <v>Hébergement Montagne</v>
      </c>
      <c r="F14" s="411" t="str">
        <f>'ANALYSE - ERP =&gt; SEGMENT'!$D$25</f>
        <v>Hôtels-restaurants d’altitude
Refuges de montagne</v>
      </c>
      <c r="H14" s="427">
        <f>'ANALYSE - ERP =&gt; SEGMENT'!$AF$25</f>
        <v>700</v>
      </c>
      <c r="I14" s="427">
        <f>'ANALYSE - ERP =&gt; SEGMENT'!$AK$25</f>
        <v>730</v>
      </c>
      <c r="K14" s="427">
        <f t="shared" si="0"/>
        <v>30</v>
      </c>
      <c r="L14" s="787">
        <f t="shared" si="1"/>
        <v>8.4281584386185493E-3</v>
      </c>
      <c r="N14" s="970">
        <f>'ANALYSE - ERP =&gt; SEGMENT'!$BG$25+'ANALYSE - ERP =&gt; SEGMENT'!$BH$25+'ANALYSE - ERP =&gt; SEGMENT'!$BI$25+'ANALYSE - ERP =&gt; SEGMENT'!$BJ$25</f>
        <v>10175</v>
      </c>
      <c r="O14" s="916">
        <f t="shared" si="2"/>
        <v>13.938356164383562</v>
      </c>
      <c r="P14" s="463"/>
      <c r="Q14" s="970">
        <f>'ANALYSE - ERP =&gt; SEGMENT'!$BG$25</f>
        <v>3340</v>
      </c>
      <c r="R14" s="916">
        <f t="shared" si="3"/>
        <v>4.5753424657534243</v>
      </c>
      <c r="S14" s="463"/>
      <c r="T14" s="970">
        <f>'ANALYSE - ERP =&gt; SEGMENT'!$BH$25</f>
        <v>2920</v>
      </c>
      <c r="U14" s="916">
        <f t="shared" si="4"/>
        <v>4</v>
      </c>
      <c r="V14" s="463"/>
      <c r="W14" s="970">
        <f>'ANALYSE - ERP =&gt; SEGMENT'!$BI$25</f>
        <v>575</v>
      </c>
      <c r="X14" s="916">
        <f t="shared" si="5"/>
        <v>0.78767123287671237</v>
      </c>
      <c r="Y14" s="456"/>
      <c r="Z14" s="970">
        <f>'ANALYSE - ERP =&gt; SEGMENT'!$BJ$25</f>
        <v>3340</v>
      </c>
      <c r="AA14" s="916">
        <f t="shared" si="6"/>
        <v>4.5753424657534243</v>
      </c>
      <c r="AB14" s="463"/>
      <c r="AC14" s="465">
        <f>'ANALYSE - ERP =&gt; SEGMENT'!$Q$25</f>
        <v>1</v>
      </c>
    </row>
    <row r="15" spans="1:29" ht="15" customHeight="1">
      <c r="A15" s="26">
        <v>12</v>
      </c>
      <c r="B15" s="26">
        <v>12</v>
      </c>
      <c r="C15" s="422">
        <f>'ANALYSE - ERP =&gt; SEGMENT'!$A$11</f>
        <v>4</v>
      </c>
      <c r="D15" s="410" t="str">
        <f>'ANALYSE - ERP =&gt; SEGMENT'!$B$11</f>
        <v>Enfance, Enseignement &amp; Jeunesse</v>
      </c>
      <c r="E15" s="410" t="str">
        <f>'ANALYSE - ERP =&gt; SEGMENT'!$C$11</f>
        <v>Enfance / jeunesse</v>
      </c>
      <c r="F15" s="410" t="str">
        <f>'ANALYSE - ERP =&gt; SEGMENT'!$D$11</f>
        <v>Centres de loisirs sans hébergement
Centres de vacances / colonies</v>
      </c>
      <c r="H15" s="427">
        <f>'ANALYSE - ERP =&gt; SEGMENT'!$AF$11</f>
        <v>0</v>
      </c>
      <c r="I15" s="427">
        <f>'ANALYSE - ERP =&gt; SEGMENT'!$AK$11</f>
        <v>0</v>
      </c>
      <c r="K15" s="427">
        <f t="shared" si="0"/>
        <v>0</v>
      </c>
      <c r="L15" s="787" t="str">
        <f t="shared" si="1"/>
        <v/>
      </c>
      <c r="N15" s="970">
        <f>'ANALYSE - ERP =&gt; SEGMENT'!$BG$11+'ANALYSE - ERP =&gt; SEGMENT'!$BH$11+'ANALYSE - ERP =&gt; SEGMENT'!$BI$11+'ANALYSE - ERP =&gt; SEGMENT'!$BJ$11</f>
        <v>0</v>
      </c>
      <c r="O15" s="916" t="str">
        <f t="shared" si="2"/>
        <v/>
      </c>
      <c r="P15" s="463"/>
      <c r="Q15" s="970">
        <f>'ANALYSE - ERP =&gt; SEGMENT'!$BG$11</f>
        <v>0</v>
      </c>
      <c r="R15" s="916" t="str">
        <f t="shared" si="3"/>
        <v/>
      </c>
      <c r="S15" s="463"/>
      <c r="T15" s="970">
        <f>'ANALYSE - ERP =&gt; SEGMENT'!$BH$11</f>
        <v>0</v>
      </c>
      <c r="U15" s="916" t="str">
        <f t="shared" si="4"/>
        <v/>
      </c>
      <c r="V15" s="463"/>
      <c r="W15" s="970">
        <f>'ANALYSE - ERP =&gt; SEGMENT'!$BI$11</f>
        <v>0</v>
      </c>
      <c r="X15" s="916" t="str">
        <f t="shared" si="5"/>
        <v/>
      </c>
      <c r="Y15" s="456"/>
      <c r="Z15" s="970">
        <f>'ANALYSE - ERP =&gt; SEGMENT'!$BJ$11</f>
        <v>0</v>
      </c>
      <c r="AA15" s="916" t="str">
        <f t="shared" si="6"/>
        <v/>
      </c>
      <c r="AB15" s="463"/>
      <c r="AC15" s="465">
        <f>'ANALYSE - ERP =&gt; SEGMENT'!$Q$11</f>
        <v>0</v>
      </c>
    </row>
    <row r="16" spans="1:29" ht="51" customHeight="1">
      <c r="A16" s="26">
        <v>13</v>
      </c>
      <c r="B16" s="26">
        <v>13</v>
      </c>
      <c r="C16" s="422">
        <f>'ANALYSE - ERP =&gt; SEGMENT'!$A$30</f>
        <v>29</v>
      </c>
      <c r="D16" s="412" t="str">
        <f>'ANALYSE - ERP =&gt; SEGMENT'!$B$30</f>
        <v>Sport</v>
      </c>
      <c r="E16" s="412" t="str">
        <f>'ANALYSE - ERP =&gt; SEGMENT'!$C$30</f>
        <v>Sport couvert / Thermalisme / bien-être</v>
      </c>
      <c r="F16" s="412" t="str">
        <f>'ANALYSE - ERP =&gt; SEGMENT'!$D$30</f>
        <v>Gymnases / salles multisports
Piscines couvertes
Salles de fitness / dojos
Patinoires couvertes
Établissements thermaux
Centres de thalassothérapie / balnéothérapie / grands spas ouverts au public</v>
      </c>
      <c r="H16" s="427">
        <f>'ANALYSE - ERP =&gt; SEGMENT'!$AF$30</f>
        <v>30690</v>
      </c>
      <c r="I16" s="427">
        <f>'ANALYSE - ERP =&gt; SEGMENT'!$AK$30</f>
        <v>31868</v>
      </c>
      <c r="K16" s="427">
        <f t="shared" si="0"/>
        <v>1178</v>
      </c>
      <c r="L16" s="787">
        <f t="shared" si="1"/>
        <v>7.5615457613984471E-3</v>
      </c>
      <c r="N16" s="970">
        <f>'ANALYSE - ERP =&gt; SEGMENT'!$BG$30+'ANALYSE - ERP =&gt; SEGMENT'!$BH$30+'ANALYSE - ERP =&gt; SEGMENT'!$BI$30+'ANALYSE - ERP =&gt; SEGMENT'!$BJ$30</f>
        <v>1225828</v>
      </c>
      <c r="O16" s="916">
        <f t="shared" si="2"/>
        <v>38.465796410192041</v>
      </c>
      <c r="P16" s="463"/>
      <c r="Q16" s="970">
        <f>'ANALYSE - ERP =&gt; SEGMENT'!$BG$30</f>
        <v>410324</v>
      </c>
      <c r="R16" s="916">
        <f t="shared" si="3"/>
        <v>12.875737416844483</v>
      </c>
      <c r="S16" s="463"/>
      <c r="T16" s="970">
        <f>'ANALYSE - ERP =&gt; SEGMENT'!$BH$30</f>
        <v>454086</v>
      </c>
      <c r="U16" s="916">
        <f t="shared" si="4"/>
        <v>14.248964478473704</v>
      </c>
      <c r="V16" s="463"/>
      <c r="W16" s="970">
        <f>'ANALYSE - ERP =&gt; SEGMENT'!$BI$30</f>
        <v>83638</v>
      </c>
      <c r="X16" s="916">
        <f t="shared" si="5"/>
        <v>2.6245136186770428</v>
      </c>
      <c r="Y16" s="456"/>
      <c r="Z16" s="970">
        <f>'ANALYSE - ERP =&gt; SEGMENT'!$BJ$30</f>
        <v>277780</v>
      </c>
      <c r="AA16" s="916">
        <f t="shared" si="6"/>
        <v>8.7165808961968114</v>
      </c>
      <c r="AB16" s="463"/>
      <c r="AC16" s="465">
        <f>'ANALYSE - ERP =&gt; SEGMENT'!$Q$30</f>
        <v>1</v>
      </c>
    </row>
    <row r="17" spans="1:29" ht="15" customHeight="1">
      <c r="A17" s="26">
        <v>14</v>
      </c>
      <c r="B17" s="26">
        <v>14</v>
      </c>
      <c r="C17" s="422">
        <f>'ANALYSE - ERP =&gt; SEGMENT'!$A$24</f>
        <v>21</v>
      </c>
      <c r="D17" s="414" t="str">
        <f>'ANALYSE - ERP =&gt; SEGMENT'!$B$24</f>
        <v>Hébergement &amp; Tourisme</v>
      </c>
      <c r="E17" s="414" t="str">
        <f>'ANALYSE - ERP =&gt; SEGMENT'!$C$24</f>
        <v>Hébergement Touristique</v>
      </c>
      <c r="F17" s="414" t="str">
        <f>'ANALYSE - ERP =&gt; SEGMENT'!$D$24</f>
        <v>Hôtels
Pensions de famille
Résidences de tourisme
Auberges de jeunesse
Villages de vacances / clubs vacances / centres de vacances familiaux</v>
      </c>
      <c r="H17" s="427">
        <f>'ANALYSE - ERP =&gt; SEGMENT'!$AF$24</f>
        <v>19454</v>
      </c>
      <c r="I17" s="427">
        <f>'ANALYSE - ERP =&gt; SEGMENT'!$AK$24</f>
        <v>19454</v>
      </c>
      <c r="K17" s="427">
        <f t="shared" si="0"/>
        <v>0</v>
      </c>
      <c r="L17" s="787">
        <f t="shared" si="1"/>
        <v>0</v>
      </c>
      <c r="N17" s="970">
        <f>'ANALYSE - ERP =&gt; SEGMENT'!$BG$24+'ANALYSE - ERP =&gt; SEGMENT'!$BH$24+'ANALYSE - ERP =&gt; SEGMENT'!$BI$24+'ANALYSE - ERP =&gt; SEGMENT'!$BJ$24</f>
        <v>186380</v>
      </c>
      <c r="O17" s="916">
        <f t="shared" si="2"/>
        <v>9.5805489873547849</v>
      </c>
      <c r="P17" s="463"/>
      <c r="Q17" s="970">
        <f>'ANALYSE - ERP =&gt; SEGMENT'!$BG$24</f>
        <v>85062</v>
      </c>
      <c r="R17" s="916">
        <f t="shared" si="3"/>
        <v>4.3724683869641208</v>
      </c>
      <c r="S17" s="463"/>
      <c r="T17" s="970">
        <f>'ANALYSE - ERP =&gt; SEGMENT'!$BH$24</f>
        <v>14258</v>
      </c>
      <c r="U17" s="916">
        <f t="shared" si="4"/>
        <v>0.732908399300915</v>
      </c>
      <c r="V17" s="463"/>
      <c r="W17" s="970">
        <f>'ANALYSE - ERP =&gt; SEGMENT'!$BI$24</f>
        <v>14077</v>
      </c>
      <c r="X17" s="916">
        <f t="shared" si="5"/>
        <v>0.72360440012336791</v>
      </c>
      <c r="Y17" s="456"/>
      <c r="Z17" s="970">
        <f>'ANALYSE - ERP =&gt; SEGMENT'!$BJ$24</f>
        <v>72983</v>
      </c>
      <c r="AA17" s="916">
        <f t="shared" si="6"/>
        <v>3.7515678009663822</v>
      </c>
      <c r="AB17" s="463"/>
      <c r="AC17" s="465">
        <f>'ANALYSE - ERP =&gt; SEGMENT'!$Q$24</f>
        <v>1</v>
      </c>
    </row>
    <row r="18" spans="1:29" ht="15" customHeight="1">
      <c r="A18" s="26">
        <v>15</v>
      </c>
      <c r="B18" s="26">
        <v>15</v>
      </c>
      <c r="C18" s="422">
        <f>'ANALYSE - ERP =&gt; SEGMENT'!$A$39</f>
        <v>9</v>
      </c>
      <c r="D18" s="410" t="str">
        <f>'ANALYSE - ERP =&gt; SEGMENT'!$B$39</f>
        <v>Santé &amp; Médico-social</v>
      </c>
      <c r="E18" s="410" t="str">
        <f>'ANALYSE - ERP =&gt; SEGMENT'!$C$39</f>
        <v>Santé spécialisée</v>
      </c>
      <c r="F18" s="410" t="str">
        <f>'ANALYSE - ERP =&gt; SEGMENT'!$D$39</f>
        <v>Centres de psychiatrie
Centres de rééducation
Maternités</v>
      </c>
      <c r="H18" s="427">
        <f>'ANALYSE - ERP =&gt; SEGMENT'!$AF$39</f>
        <v>0</v>
      </c>
      <c r="I18" s="427">
        <f>'ANALYSE - ERP =&gt; SEGMENT'!$AK$39</f>
        <v>0</v>
      </c>
      <c r="K18" s="427">
        <f t="shared" si="0"/>
        <v>0</v>
      </c>
      <c r="L18" s="787" t="str">
        <f t="shared" si="1"/>
        <v/>
      </c>
      <c r="N18" s="970">
        <f>'ANALYSE - ERP =&gt; SEGMENT'!$BG$39+'ANALYSE - ERP =&gt; SEGMENT'!$BH$39+'ANALYSE - ERP =&gt; SEGMENT'!$BI$39+'ANALYSE - ERP =&gt; SEGMENT'!$BJ$39</f>
        <v>0</v>
      </c>
      <c r="O18" s="916" t="str">
        <f t="shared" si="2"/>
        <v/>
      </c>
      <c r="P18" s="463"/>
      <c r="Q18" s="970">
        <f>'ANALYSE - ERP =&gt; SEGMENT'!$BG$39</f>
        <v>0</v>
      </c>
      <c r="R18" s="916" t="str">
        <f t="shared" si="3"/>
        <v/>
      </c>
      <c r="S18" s="463"/>
      <c r="T18" s="970">
        <f>'ANALYSE - ERP =&gt; SEGMENT'!$BH$39</f>
        <v>0</v>
      </c>
      <c r="U18" s="916" t="str">
        <f t="shared" si="4"/>
        <v/>
      </c>
      <c r="V18" s="463"/>
      <c r="W18" s="970">
        <f>'ANALYSE - ERP =&gt; SEGMENT'!$BI$39</f>
        <v>0</v>
      </c>
      <c r="X18" s="916" t="str">
        <f t="shared" si="5"/>
        <v/>
      </c>
      <c r="Y18" s="456"/>
      <c r="Z18" s="970">
        <f>'ANALYSE - ERP =&gt; SEGMENT'!$BJ$39</f>
        <v>0</v>
      </c>
      <c r="AA18" s="916" t="str">
        <f t="shared" si="6"/>
        <v/>
      </c>
      <c r="AB18" s="463"/>
      <c r="AC18" s="465">
        <f>'ANALYSE - ERP =&gt; SEGMENT'!$Q$39</f>
        <v>0</v>
      </c>
    </row>
    <row r="19" spans="1:29" ht="15" customHeight="1">
      <c r="A19" s="26">
        <v>16</v>
      </c>
      <c r="B19" s="26">
        <v>17</v>
      </c>
      <c r="C19" s="422">
        <f>'ANALYSE - ERP =&gt; SEGMENT'!$A$16</f>
        <v>10</v>
      </c>
      <c r="D19" s="411" t="str">
        <f>'ANALYSE - ERP =&gt; SEGMENT'!$B$16</f>
        <v>Culture, Patrimoine &amp; Evénementiel</v>
      </c>
      <c r="E19" s="411" t="str">
        <f>'ANALYSE - ERP =&gt; SEGMENT'!$C$16</f>
        <v>Culture / spectacle</v>
      </c>
      <c r="F19" s="411" t="str">
        <f>'ANALYSE - ERP =&gt; SEGMENT'!$D$16</f>
        <v>Cinémas
Théâtres
Musées
Salles de spectacle / auditoriums
Salles de conférence / réunion
Salles polyvalentes / salles des fêtes
Bibliothèques / médiathèques</v>
      </c>
      <c r="H19" s="427">
        <f>'ANALYSE - ERP =&gt; SEGMENT'!$AF$16</f>
        <v>50207</v>
      </c>
      <c r="I19" s="427">
        <f>'ANALYSE - ERP =&gt; SEGMENT'!$AK$16</f>
        <v>50665</v>
      </c>
      <c r="K19" s="427">
        <f t="shared" si="0"/>
        <v>458</v>
      </c>
      <c r="L19" s="787">
        <f t="shared" si="1"/>
        <v>1.8178257842245138E-3</v>
      </c>
      <c r="N19" s="970">
        <f>'ANALYSE - ERP =&gt; SEGMENT'!$BG$16+'ANALYSE - ERP =&gt; SEGMENT'!$BH$16+'ANALYSE - ERP =&gt; SEGMENT'!$BI$16+'ANALYSE - ERP =&gt; SEGMENT'!$BJ$16</f>
        <v>808132.5</v>
      </c>
      <c r="O19" s="916">
        <f t="shared" si="2"/>
        <v>15.950508240402645</v>
      </c>
      <c r="P19" s="463"/>
      <c r="Q19" s="970">
        <f>'ANALYSE - ERP =&gt; SEGMENT'!$BG$16</f>
        <v>397865</v>
      </c>
      <c r="R19" s="916">
        <f t="shared" si="3"/>
        <v>7.8528570018750621</v>
      </c>
      <c r="S19" s="463"/>
      <c r="T19" s="970">
        <f>'ANALYSE - ERP =&gt; SEGMENT'!$BH$16</f>
        <v>9187.5</v>
      </c>
      <c r="U19" s="916">
        <f t="shared" si="4"/>
        <v>0.18133820191453667</v>
      </c>
      <c r="V19" s="463"/>
      <c r="W19" s="970">
        <f>'ANALYSE - ERP =&gt; SEGMENT'!$BI$16</f>
        <v>74390</v>
      </c>
      <c r="X19" s="916">
        <f t="shared" si="5"/>
        <v>1.4682719826310076</v>
      </c>
      <c r="Y19" s="456"/>
      <c r="Z19" s="970">
        <f>'ANALYSE - ERP =&gt; SEGMENT'!$BJ$16</f>
        <v>326690</v>
      </c>
      <c r="AA19" s="916">
        <f t="shared" si="6"/>
        <v>6.4480410539820392</v>
      </c>
      <c r="AB19" s="463"/>
      <c r="AC19" s="465">
        <f>'ANALYSE - ERP =&gt; SEGMENT'!$Q$16</f>
        <v>1</v>
      </c>
    </row>
    <row r="20" spans="1:29" ht="15" customHeight="1">
      <c r="A20" s="26">
        <v>17</v>
      </c>
      <c r="B20" s="26">
        <v>16</v>
      </c>
      <c r="C20" s="422">
        <f>'ANALYSE - ERP =&gt; SEGMENT'!$A$27</f>
        <v>26</v>
      </c>
      <c r="D20" s="415" t="str">
        <f>'ANALYSE - ERP =&gt; SEGMENT'!$B$27</f>
        <v>Culte, Vie civique &amp; Services publics</v>
      </c>
      <c r="E20" s="415" t="str">
        <f>'ANALYSE - ERP =&gt; SEGMENT'!$C$27</f>
        <v>Administrations / services publics</v>
      </c>
      <c r="F20" s="415" t="str">
        <f>'ANALYSE - ERP =&gt; SEGMENT'!$D$27</f>
        <v>Mairies / hôtels de ville
Préfectures / services administratifs
Maisons France Services
Guichets publics</v>
      </c>
      <c r="H20" s="427">
        <f>'ANALYSE - ERP =&gt; SEGMENT'!$AF$27</f>
        <v>46764</v>
      </c>
      <c r="I20" s="427">
        <f>'ANALYSE - ERP =&gt; SEGMENT'!$AK$27</f>
        <v>46840</v>
      </c>
      <c r="K20" s="427">
        <f t="shared" si="0"/>
        <v>76</v>
      </c>
      <c r="L20" s="787">
        <f t="shared" si="1"/>
        <v>3.2482526129240519E-4</v>
      </c>
      <c r="N20" s="970">
        <f>'ANALYSE - ERP =&gt; SEGMENT'!$BG$27+'ANALYSE - ERP =&gt; SEGMENT'!$BH$27+'ANALYSE - ERP =&gt; SEGMENT'!$BI$27+'ANALYSE - ERP =&gt; SEGMENT'!$BJ$27</f>
        <v>341128</v>
      </c>
      <c r="O20" s="916">
        <f t="shared" si="2"/>
        <v>7.2828351836037575</v>
      </c>
      <c r="P20" s="463"/>
      <c r="Q20" s="970">
        <f>'ANALYSE - ERP =&gt; SEGMENT'!$BG$27</f>
        <v>165301</v>
      </c>
      <c r="R20" s="916">
        <f t="shared" si="3"/>
        <v>3.529056362083689</v>
      </c>
      <c r="S20" s="463"/>
      <c r="T20" s="970">
        <f>'ANALYSE - ERP =&gt; SEGMENT'!$BH$27</f>
        <v>0</v>
      </c>
      <c r="U20" s="916">
        <f t="shared" si="4"/>
        <v>0</v>
      </c>
      <c r="V20" s="463"/>
      <c r="W20" s="970">
        <f>'ANALYSE - ERP =&gt; SEGMENT'!$BI$27</f>
        <v>22262</v>
      </c>
      <c r="X20" s="916">
        <f t="shared" si="5"/>
        <v>0.47527754056362082</v>
      </c>
      <c r="Y20" s="456"/>
      <c r="Z20" s="970">
        <f>'ANALYSE - ERP =&gt; SEGMENT'!$BJ$27</f>
        <v>153565</v>
      </c>
      <c r="AA20" s="916">
        <f t="shared" si="6"/>
        <v>3.2785012809564473</v>
      </c>
      <c r="AB20" s="463"/>
      <c r="AC20" s="465">
        <f>'ANALYSE - ERP =&gt; SEGMENT'!$Q$27</f>
        <v>1</v>
      </c>
    </row>
    <row r="21" spans="1:29" ht="15" customHeight="1">
      <c r="A21" s="26">
        <v>18</v>
      </c>
      <c r="B21" s="26">
        <v>18</v>
      </c>
      <c r="C21" s="422">
        <f>'ANALYSE - ERP =&gt; SEGMENT'!$A$33</f>
        <v>33</v>
      </c>
      <c r="D21" s="416" t="str">
        <f>'ANALYSE - ERP =&gt; SEGMENT'!$B$33</f>
        <v>Transport, Mobilité &amp; Stationnement</v>
      </c>
      <c r="E21" s="416" t="str">
        <f>'ANALYSE - ERP =&gt; SEGMENT'!$C$33</f>
        <v>Stationnement</v>
      </c>
      <c r="F21" s="416" t="str">
        <f>'ANALYSE - ERP =&gt; SEGMENT'!$D$33</f>
        <v>Parcs de stationnement couverts</v>
      </c>
      <c r="H21" s="427">
        <f>'ANALYSE - ERP =&gt; SEGMENT'!$AF$33</f>
        <v>0</v>
      </c>
      <c r="I21" s="427">
        <f>'ANALYSE - ERP =&gt; SEGMENT'!$AK$33</f>
        <v>0</v>
      </c>
      <c r="K21" s="427">
        <f t="shared" si="0"/>
        <v>0</v>
      </c>
      <c r="L21" s="787" t="str">
        <f t="shared" si="1"/>
        <v/>
      </c>
      <c r="N21" s="970">
        <f>'ANALYSE - ERP =&gt; SEGMENT'!$BG$33+'ANALYSE - ERP =&gt; SEGMENT'!$BH$33+'ANALYSE - ERP =&gt; SEGMENT'!$BI$33+'ANALYSE - ERP =&gt; SEGMENT'!$BJ$33</f>
        <v>0</v>
      </c>
      <c r="O21" s="916" t="str">
        <f t="shared" si="2"/>
        <v/>
      </c>
      <c r="P21" s="463"/>
      <c r="Q21" s="970">
        <f>'ANALYSE - ERP =&gt; SEGMENT'!$BG$33</f>
        <v>0</v>
      </c>
      <c r="R21" s="916" t="str">
        <f t="shared" si="3"/>
        <v/>
      </c>
      <c r="S21" s="463"/>
      <c r="T21" s="970">
        <f>'ANALYSE - ERP =&gt; SEGMENT'!$BH$33</f>
        <v>0</v>
      </c>
      <c r="U21" s="916" t="str">
        <f t="shared" si="4"/>
        <v/>
      </c>
      <c r="V21" s="463"/>
      <c r="W21" s="970">
        <f>'ANALYSE - ERP =&gt; SEGMENT'!$BI$33</f>
        <v>0</v>
      </c>
      <c r="X21" s="916" t="str">
        <f t="shared" si="5"/>
        <v/>
      </c>
      <c r="Y21" s="456"/>
      <c r="Z21" s="970">
        <f>'ANALYSE - ERP =&gt; SEGMENT'!$BJ$33</f>
        <v>0</v>
      </c>
      <c r="AA21" s="916" t="str">
        <f t="shared" si="6"/>
        <v/>
      </c>
      <c r="AB21" s="463"/>
      <c r="AC21" s="465">
        <f>'ANALYSE - ERP =&gt; SEGMENT'!$Q$33</f>
        <v>0</v>
      </c>
    </row>
    <row r="22" spans="1:29" ht="15" customHeight="1">
      <c r="A22" s="26">
        <v>19</v>
      </c>
      <c r="B22" s="26">
        <v>19</v>
      </c>
      <c r="C22" s="422">
        <f>'ANALYSE - ERP =&gt; SEGMENT'!$A$12</f>
        <v>5</v>
      </c>
      <c r="D22" s="418" t="str">
        <f>'ANALYSE - ERP =&gt; SEGMENT'!$B$12</f>
        <v>Enfance, Enseignement &amp; Jeunesse</v>
      </c>
      <c r="E22" s="418" t="str">
        <f>'ANALYSE - ERP =&gt; SEGMENT'!$C$12</f>
        <v>Formation</v>
      </c>
      <c r="F22" s="418" t="str">
        <f>'ANALYSE - ERP =&gt; SEGMENT'!$D$12</f>
        <v>Centres de formation / CFA</v>
      </c>
      <c r="H22" s="427">
        <f>'ANALYSE - ERP =&gt; SEGMENT'!$AF$12</f>
        <v>5280</v>
      </c>
      <c r="I22" s="427">
        <f>'ANALYSE - ERP =&gt; SEGMENT'!$AK$12</f>
        <v>5685</v>
      </c>
      <c r="K22" s="427">
        <f t="shared" si="0"/>
        <v>405</v>
      </c>
      <c r="L22" s="787">
        <f t="shared" si="1"/>
        <v>1.489078518038478E-2</v>
      </c>
      <c r="N22" s="970">
        <f>'ANALYSE - ERP =&gt; SEGMENT'!$BG$12+'ANALYSE - ERP =&gt; SEGMENT'!$BH$12+'ANALYSE - ERP =&gt; SEGMENT'!$BI$12+'ANALYSE - ERP =&gt; SEGMENT'!$BJ$12</f>
        <v>253310</v>
      </c>
      <c r="O22" s="916">
        <f t="shared" si="2"/>
        <v>44.557607739665784</v>
      </c>
      <c r="P22" s="463"/>
      <c r="Q22" s="970">
        <f>'ANALYSE - ERP =&gt; SEGMENT'!$BG$12</f>
        <v>107845</v>
      </c>
      <c r="R22" s="916">
        <f t="shared" si="3"/>
        <v>18.970096745822339</v>
      </c>
      <c r="S22" s="463"/>
      <c r="T22" s="970">
        <f>'ANALYSE - ERP =&gt; SEGMENT'!$BH$12</f>
        <v>29260</v>
      </c>
      <c r="U22" s="916">
        <f t="shared" si="4"/>
        <v>5.1468777484608621</v>
      </c>
      <c r="V22" s="463"/>
      <c r="W22" s="970">
        <f>'ANALYSE - ERP =&gt; SEGMENT'!$BI$12</f>
        <v>34945</v>
      </c>
      <c r="X22" s="916">
        <f t="shared" si="5"/>
        <v>6.1468777484608621</v>
      </c>
      <c r="Y22" s="456"/>
      <c r="Z22" s="970">
        <f>'ANALYSE - ERP =&gt; SEGMENT'!$BJ$12</f>
        <v>81260</v>
      </c>
      <c r="AA22" s="916">
        <f t="shared" si="6"/>
        <v>14.293755496921724</v>
      </c>
      <c r="AB22" s="463"/>
      <c r="AC22" s="465">
        <f>'ANALYSE - ERP =&gt; SEGMENT'!$Q$12</f>
        <v>1</v>
      </c>
    </row>
    <row r="23" spans="1:29" ht="15" customHeight="1">
      <c r="A23" s="26">
        <v>20</v>
      </c>
      <c r="B23" s="26">
        <v>20</v>
      </c>
      <c r="C23" s="422">
        <f>'ANALYSE - ERP =&gt; SEGMENT'!$A$13</f>
        <v>6</v>
      </c>
      <c r="D23" s="410" t="str">
        <f>'ANALYSE - ERP =&gt; SEGMENT'!$B$13</f>
        <v>Santé &amp; Médico-social</v>
      </c>
      <c r="E23" s="410" t="str">
        <f>'ANALYSE - ERP =&gt; SEGMENT'!$C$13</f>
        <v>Santé hospitalière</v>
      </c>
      <c r="F23" s="410" t="str">
        <f>'ANALYSE - ERP =&gt; SEGMENT'!$D$13</f>
        <v>Hôpitaux universitaires / CHU
Hôpitaux publics 
(Hors CHU, Universitaire, Militaire, Carcéral)
Hôpitaux privés
Cliniques</v>
      </c>
      <c r="H23" s="427">
        <f>'ANALYSE - ERP =&gt; SEGMENT'!$AF$13</f>
        <v>2936</v>
      </c>
      <c r="I23" s="427">
        <f>'ANALYSE - ERP =&gt; SEGMENT'!$AK$13</f>
        <v>2879</v>
      </c>
      <c r="K23" s="427">
        <f t="shared" si="0"/>
        <v>-57</v>
      </c>
      <c r="L23" s="787">
        <f t="shared" si="1"/>
        <v>-3.913342663592001E-3</v>
      </c>
      <c r="N23" s="970">
        <f>'ANALYSE - ERP =&gt; SEGMENT'!$BG$13+'ANALYSE - ERP =&gt; SEGMENT'!$BH$13+'ANALYSE - ERP =&gt; SEGMENT'!$BI$13+'ANALYSE - ERP =&gt; SEGMENT'!$BJ$13</f>
        <v>630154</v>
      </c>
      <c r="O23" s="916">
        <f t="shared" si="2"/>
        <v>218.87947203890241</v>
      </c>
      <c r="P23" s="463"/>
      <c r="Q23" s="970">
        <f>'ANALYSE - ERP =&gt; SEGMENT'!$BG$13</f>
        <v>251505</v>
      </c>
      <c r="R23" s="916">
        <f t="shared" si="3"/>
        <v>87.358457797846469</v>
      </c>
      <c r="S23" s="463"/>
      <c r="T23" s="970">
        <f>'ANALYSE - ERP =&gt; SEGMENT'!$BH$13</f>
        <v>133563</v>
      </c>
      <c r="U23" s="916">
        <f t="shared" si="4"/>
        <v>46.392150052101421</v>
      </c>
      <c r="V23" s="463"/>
      <c r="W23" s="970">
        <f>'ANALYSE - ERP =&gt; SEGMENT'!$BI$13</f>
        <v>4277</v>
      </c>
      <c r="X23" s="916">
        <f t="shared" si="5"/>
        <v>1.4855852726641194</v>
      </c>
      <c r="Y23" s="456"/>
      <c r="Z23" s="970">
        <f>'ANALYSE - ERP =&gt; SEGMENT'!$BJ$13</f>
        <v>240809</v>
      </c>
      <c r="AA23" s="916">
        <f t="shared" si="6"/>
        <v>83.643278916290384</v>
      </c>
      <c r="AB23" s="463"/>
      <c r="AC23" s="465">
        <f>'ANALYSE - ERP =&gt; SEGMENT'!$Q$13</f>
        <v>1</v>
      </c>
    </row>
    <row r="24" spans="1:29" ht="15" customHeight="1">
      <c r="A24" s="26">
        <v>21</v>
      </c>
      <c r="B24" s="26">
        <v>21</v>
      </c>
      <c r="C24" s="422">
        <f>'ANALYSE - ERP =&gt; SEGMENT'!$A$34</f>
        <v>35</v>
      </c>
      <c r="D24" s="410" t="str">
        <f>'ANALYSE - ERP =&gt; SEGMENT'!$B$34</f>
        <v>Sécurité &amp; Justice</v>
      </c>
      <c r="E24" s="410" t="str">
        <f>'ANALYSE - ERP =&gt; SEGMENT'!$C$34</f>
        <v xml:space="preserve">Commissariats / postes de police </v>
      </c>
      <c r="F24" s="410" t="str">
        <f>'ANALYSE - ERP =&gt; SEGMENT'!$D$34</f>
        <v>Locaux de sûreté, garde à vue et zones opérationnelles
Postes de proximité et antennes avec accueil public
Salles de réunion, de prévention ou de conférence ouvertes au public</v>
      </c>
      <c r="H24" s="427">
        <f>'ANALYSE - ERP =&gt; SEGMENT'!$AF$34</f>
        <v>623</v>
      </c>
      <c r="I24" s="427">
        <f>'ANALYSE - ERP =&gt; SEGMENT'!$AK$34</f>
        <v>609</v>
      </c>
      <c r="K24" s="427">
        <f t="shared" si="0"/>
        <v>-14</v>
      </c>
      <c r="L24" s="787">
        <f t="shared" si="1"/>
        <v>-4.5353343842098326E-3</v>
      </c>
      <c r="N24" s="970">
        <f>'ANALYSE - ERP =&gt; SEGMENT'!$BG$34+'ANALYSE - ERP =&gt; SEGMENT'!$BH$34+'ANALYSE - ERP =&gt; SEGMENT'!$BI$34+'ANALYSE - ERP =&gt; SEGMENT'!$BJ$34</f>
        <v>5815</v>
      </c>
      <c r="O24" s="916">
        <f t="shared" si="2"/>
        <v>9.5484400656814454</v>
      </c>
      <c r="P24" s="463"/>
      <c r="Q24" s="970">
        <f>'ANALYSE - ERP =&gt; SEGMENT'!$BG$34</f>
        <v>2336</v>
      </c>
      <c r="R24" s="916">
        <f t="shared" si="3"/>
        <v>3.8357963875205257</v>
      </c>
      <c r="S24" s="463"/>
      <c r="T24" s="970">
        <f>'ANALYSE - ERP =&gt; SEGMENT'!$BH$34</f>
        <v>559</v>
      </c>
      <c r="U24" s="916">
        <f t="shared" si="4"/>
        <v>0.91789819376026272</v>
      </c>
      <c r="V24" s="463"/>
      <c r="W24" s="970">
        <f>'ANALYSE - ERP =&gt; SEGMENT'!$BI$34</f>
        <v>584</v>
      </c>
      <c r="X24" s="916">
        <f t="shared" si="5"/>
        <v>0.95894909688013141</v>
      </c>
      <c r="Y24" s="456"/>
      <c r="Z24" s="970">
        <f>'ANALYSE - ERP =&gt; SEGMENT'!$BJ$34</f>
        <v>2336</v>
      </c>
      <c r="AA24" s="916">
        <f t="shared" si="6"/>
        <v>3.8357963875205257</v>
      </c>
      <c r="AB24" s="463"/>
      <c r="AC24" s="465">
        <f>'ANALYSE - ERP =&gt; SEGMENT'!$Q$34</f>
        <v>1</v>
      </c>
    </row>
    <row r="25" spans="1:29" ht="15" customHeight="1">
      <c r="A25" s="26">
        <v>22</v>
      </c>
      <c r="B25" s="26">
        <v>23</v>
      </c>
      <c r="C25" s="422">
        <f>'ANALYSE - ERP =&gt; SEGMENT'!$A$19</f>
        <v>15</v>
      </c>
      <c r="D25" s="411" t="str">
        <f>'ANALYSE - ERP =&gt; SEGMENT'!$B$19</f>
        <v>Commerce, Restauration &amp; Loisirs</v>
      </c>
      <c r="E25" s="411" t="str">
        <f>'ANALYSE - ERP =&gt; SEGMENT'!$C$19</f>
        <v>Restauration / boissons</v>
      </c>
      <c r="F25" s="411" t="str">
        <f>'ANALYSE - ERP =&gt; SEGMENT'!$D$19</f>
        <v>Cafés / bars / brasseries
Fast-food / cafétérias / food courts
Restaurants
(Hors établissements altitude, flottant, armée)</v>
      </c>
      <c r="H25" s="427">
        <f>'ANALYSE - ERP =&gt; SEGMENT'!$AF$19</f>
        <v>177065</v>
      </c>
      <c r="I25" s="427">
        <f>'ANALYSE - ERP =&gt; SEGMENT'!$AK$19</f>
        <v>177271</v>
      </c>
      <c r="K25" s="427">
        <f t="shared" si="0"/>
        <v>206</v>
      </c>
      <c r="L25" s="787">
        <f t="shared" si="1"/>
        <v>2.3257470590354323E-4</v>
      </c>
      <c r="N25" s="970">
        <f>'ANALYSE - ERP =&gt; SEGMENT'!$BG$19+'ANALYSE - ERP =&gt; SEGMENT'!$BH$19+'ANALYSE - ERP =&gt; SEGMENT'!$BI$19+'ANALYSE - ERP =&gt; SEGMENT'!$BJ$19</f>
        <v>1614972.25</v>
      </c>
      <c r="O25" s="916">
        <f t="shared" si="2"/>
        <v>9.110188637735444</v>
      </c>
      <c r="P25" s="463"/>
      <c r="Q25" s="970">
        <f>'ANALYSE - ERP =&gt; SEGMENT'!$BG$19</f>
        <v>910957</v>
      </c>
      <c r="R25" s="916">
        <f t="shared" si="3"/>
        <v>5.13878186505407</v>
      </c>
      <c r="S25" s="463"/>
      <c r="T25" s="970">
        <f>'ANALYSE - ERP =&gt; SEGMENT'!$BH$19</f>
        <v>0</v>
      </c>
      <c r="U25" s="916">
        <f t="shared" si="4"/>
        <v>0</v>
      </c>
      <c r="V25" s="463"/>
      <c r="W25" s="970">
        <f>'ANALYSE - ERP =&gt; SEGMENT'!$BI$19</f>
        <v>122708.25</v>
      </c>
      <c r="X25" s="916">
        <f t="shared" si="5"/>
        <v>0.69220712919766914</v>
      </c>
      <c r="Y25" s="456"/>
      <c r="Z25" s="970">
        <f>'ANALYSE - ERP =&gt; SEGMENT'!$BJ$19</f>
        <v>581307</v>
      </c>
      <c r="AA25" s="916">
        <f t="shared" si="6"/>
        <v>3.2791996434837056</v>
      </c>
      <c r="AB25" s="463"/>
      <c r="AC25" s="465">
        <f>'ANALYSE - ERP =&gt; SEGMENT'!$Q$19</f>
        <v>1</v>
      </c>
    </row>
    <row r="26" spans="1:29" ht="15" customHeight="1">
      <c r="A26" s="26">
        <v>23</v>
      </c>
      <c r="B26" s="26">
        <v>22</v>
      </c>
      <c r="C26" s="422">
        <f>'ANALYSE - ERP =&gt; SEGMENT'!$A$21</f>
        <v>17</v>
      </c>
      <c r="D26" s="409" t="str">
        <f>'ANALYSE - ERP =&gt; SEGMENT'!$B$21</f>
        <v>Commerce, Restauration &amp; Loisirs</v>
      </c>
      <c r="E26" s="409" t="str">
        <f>'ANALYSE - ERP =&gt; SEGMENT'!$C$21</f>
        <v>Commerce</v>
      </c>
      <c r="F26" s="409" t="str">
        <f>'ANALYSE - ERP =&gt; SEGMENT'!$D$21</f>
        <v>Centres commerciaux / malls
Marchés couverts</v>
      </c>
      <c r="H26" s="427">
        <f>'ANALYSE - ERP =&gt; SEGMENT'!$AF$21</f>
        <v>3960</v>
      </c>
      <c r="I26" s="427">
        <f>'ANALYSE - ERP =&gt; SEGMENT'!$AK$21</f>
        <v>3815</v>
      </c>
      <c r="K26" s="427">
        <f t="shared" si="0"/>
        <v>-145</v>
      </c>
      <c r="L26" s="787">
        <f t="shared" si="1"/>
        <v>-7.432910375150148E-3</v>
      </c>
      <c r="N26" s="970">
        <f>'ANALYSE - ERP =&gt; SEGMENT'!$BG$21+'ANALYSE - ERP =&gt; SEGMENT'!$BH$21+'ANALYSE - ERP =&gt; SEGMENT'!$BI$21+'ANALYSE - ERP =&gt; SEGMENT'!$BJ$21</f>
        <v>224949</v>
      </c>
      <c r="O26" s="916">
        <f t="shared" si="2"/>
        <v>58.96435124508519</v>
      </c>
      <c r="P26" s="463"/>
      <c r="Q26" s="970">
        <f>'ANALYSE - ERP =&gt; SEGMENT'!$BG$21</f>
        <v>102120</v>
      </c>
      <c r="R26" s="916">
        <f t="shared" si="3"/>
        <v>26.768020969855833</v>
      </c>
      <c r="S26" s="463"/>
      <c r="T26" s="970">
        <f>'ANALYSE - ERP =&gt; SEGMENT'!$BH$21</f>
        <v>4344</v>
      </c>
      <c r="U26" s="916">
        <f t="shared" si="4"/>
        <v>1.1386631716906945</v>
      </c>
      <c r="V26" s="463"/>
      <c r="W26" s="970">
        <f>'ANALYSE - ERP =&gt; SEGMENT'!$BI$21</f>
        <v>23560</v>
      </c>
      <c r="X26" s="916">
        <f t="shared" si="5"/>
        <v>6.1756225425950193</v>
      </c>
      <c r="Y26" s="456"/>
      <c r="Z26" s="970">
        <f>'ANALYSE - ERP =&gt; SEGMENT'!$BJ$21</f>
        <v>94925</v>
      </c>
      <c r="AA26" s="916">
        <f t="shared" si="6"/>
        <v>24.882044560943644</v>
      </c>
      <c r="AB26" s="463"/>
      <c r="AC26" s="465">
        <f>'ANALYSE - ERP =&gt; SEGMENT'!$Q$21</f>
        <v>1</v>
      </c>
    </row>
    <row r="27" spans="1:29" ht="15" customHeight="1">
      <c r="A27" s="26">
        <v>24</v>
      </c>
      <c r="B27" s="26">
        <v>24</v>
      </c>
      <c r="C27" s="422">
        <f>'ANALYSE - ERP =&gt; SEGMENT'!$A$22</f>
        <v>18</v>
      </c>
      <c r="D27" s="409" t="str">
        <f>'ANALYSE - ERP =&gt; SEGMENT'!$B$22</f>
        <v>Tertiaire &amp; Industriel</v>
      </c>
      <c r="E27" s="409" t="str">
        <f>'ANALYSE - ERP =&gt; SEGMENT'!$C$22</f>
        <v>Bureaux</v>
      </c>
      <c r="F27" s="409" t="str">
        <f>'ANALYSE - ERP =&gt; SEGMENT'!$D$22</f>
        <v>Bureaux (&gt;50 personnes, tertiaire privé + logistique hors usines)</v>
      </c>
      <c r="H27" s="427">
        <f>'ANALYSE - ERP =&gt; SEGMENT'!$AF$22</f>
        <v>28100</v>
      </c>
      <c r="I27" s="427">
        <f>'ANALYSE - ERP =&gt; SEGMENT'!$AK$22</f>
        <v>27600</v>
      </c>
      <c r="K27" s="427">
        <f t="shared" si="0"/>
        <v>-500</v>
      </c>
      <c r="L27" s="787">
        <f t="shared" si="1"/>
        <v>-3.5843216513942178E-3</v>
      </c>
      <c r="N27" s="970">
        <f>'ANALYSE - ERP =&gt; SEGMENT'!$BG$22+'ANALYSE - ERP =&gt; SEGMENT'!$BH$22+'ANALYSE - ERP =&gt; SEGMENT'!$BI$22+'ANALYSE - ERP =&gt; SEGMENT'!$BJ$22</f>
        <v>1179210</v>
      </c>
      <c r="O27" s="916">
        <f t="shared" si="2"/>
        <v>42.725000000000001</v>
      </c>
      <c r="P27" s="463"/>
      <c r="Q27" s="970">
        <f>'ANALYSE - ERP =&gt; SEGMENT'!$BG$22</f>
        <v>607200</v>
      </c>
      <c r="R27" s="916">
        <f t="shared" si="3"/>
        <v>22</v>
      </c>
      <c r="S27" s="463"/>
      <c r="T27" s="970">
        <f>'ANALYSE - ERP =&gt; SEGMENT'!$BH$22</f>
        <v>6210</v>
      </c>
      <c r="U27" s="916">
        <f t="shared" si="4"/>
        <v>0.22500000000000001</v>
      </c>
      <c r="V27" s="463"/>
      <c r="W27" s="970">
        <f>'ANALYSE - ERP =&gt; SEGMENT'!$BI$22</f>
        <v>124200</v>
      </c>
      <c r="X27" s="916">
        <f t="shared" si="5"/>
        <v>4.5</v>
      </c>
      <c r="Y27" s="456"/>
      <c r="Z27" s="970">
        <f>'ANALYSE - ERP =&gt; SEGMENT'!$BJ$22</f>
        <v>441600</v>
      </c>
      <c r="AA27" s="916">
        <f t="shared" si="6"/>
        <v>16</v>
      </c>
      <c r="AB27" s="463"/>
      <c r="AC27" s="465">
        <f>'ANALYSE - ERP =&gt; SEGMENT'!$Q$22</f>
        <v>1</v>
      </c>
    </row>
    <row r="28" spans="1:29" ht="15" customHeight="1">
      <c r="A28" s="26">
        <v>25</v>
      </c>
      <c r="B28" s="26">
        <v>25</v>
      </c>
      <c r="C28" s="422">
        <f>'ANALYSE - ERP =&gt; SEGMENT'!$A$10</f>
        <v>3</v>
      </c>
      <c r="D28" s="412" t="str">
        <f>'ANALYSE - ERP =&gt; SEGMENT'!$B$10</f>
        <v>Enfance, Enseignement &amp; Jeunesse</v>
      </c>
      <c r="E28" s="412" t="str">
        <f>'ANALYSE - ERP =&gt; SEGMENT'!$C$10</f>
        <v>Enseignement supérieur</v>
      </c>
      <c r="F28" s="412" t="str">
        <f>'ANALYSE - ERP =&gt; SEGMENT'!$D$10</f>
        <v>Universités
Grandes écoles
Résidences étudiantes et dortoirs</v>
      </c>
      <c r="H28" s="427">
        <f>'ANALYSE - ERP =&gt; SEGMENT'!$AF$10</f>
        <v>1190</v>
      </c>
      <c r="I28" s="427">
        <f>'ANALYSE - ERP =&gt; SEGMENT'!$AK$10</f>
        <v>1268</v>
      </c>
      <c r="K28" s="427">
        <f t="shared" si="0"/>
        <v>78</v>
      </c>
      <c r="L28" s="787">
        <f t="shared" si="1"/>
        <v>1.2778465437829123E-2</v>
      </c>
      <c r="N28" s="970">
        <f>'ANALYSE - ERP =&gt; SEGMENT'!$BG$10+'ANALYSE - ERP =&gt; SEGMENT'!$BH$10+'ANALYSE - ERP =&gt; SEGMENT'!$BI$10+'ANALYSE - ERP =&gt; SEGMENT'!$BJ$10</f>
        <v>103344</v>
      </c>
      <c r="O28" s="916">
        <f t="shared" si="2"/>
        <v>81.50157728706624</v>
      </c>
      <c r="P28" s="463"/>
      <c r="Q28" s="970">
        <f>'ANALYSE - ERP =&gt; SEGMENT'!$BG$10</f>
        <v>44964</v>
      </c>
      <c r="R28" s="916">
        <f t="shared" si="3"/>
        <v>35.460567823343851</v>
      </c>
      <c r="S28" s="463"/>
      <c r="T28" s="970">
        <f>'ANALYSE - ERP =&gt; SEGMENT'!$BH$10</f>
        <v>17548</v>
      </c>
      <c r="U28" s="916">
        <f t="shared" si="4"/>
        <v>13.839116719242902</v>
      </c>
      <c r="V28" s="463"/>
      <c r="W28" s="970">
        <f>'ANALYSE - ERP =&gt; SEGMENT'!$BI$10</f>
        <v>10330</v>
      </c>
      <c r="X28" s="916">
        <f t="shared" si="5"/>
        <v>8.1466876971608837</v>
      </c>
      <c r="Y28" s="456"/>
      <c r="Z28" s="970">
        <f>'ANALYSE - ERP =&gt; SEGMENT'!$BJ$10</f>
        <v>30502</v>
      </c>
      <c r="AA28" s="916">
        <f t="shared" si="6"/>
        <v>24.055205047318612</v>
      </c>
      <c r="AB28" s="463"/>
      <c r="AC28" s="465">
        <f>'ANALYSE - ERP =&gt; SEGMENT'!$Q$10</f>
        <v>1</v>
      </c>
    </row>
    <row r="29" spans="1:29" ht="15" customHeight="1">
      <c r="A29" s="26">
        <v>26</v>
      </c>
      <c r="B29" s="26">
        <v>26</v>
      </c>
      <c r="C29" s="422">
        <f>'ANALYSE - ERP =&gt; SEGMENT'!$A$36</f>
        <v>37</v>
      </c>
      <c r="D29" s="411" t="str">
        <f>'ANALYSE - ERP =&gt; SEGMENT'!$B$36</f>
        <v>Sécurité &amp; Justice</v>
      </c>
      <c r="E29" s="411" t="str">
        <f>'ANALYSE - ERP =&gt; SEGMENT'!$C$36</f>
        <v>Univers carcéral</v>
      </c>
      <c r="F29" s="411" t="str">
        <f>'ANALYSE - ERP =&gt; SEGMENT'!$D$36</f>
        <v>Maisons d’arrêt
Centres de détention
Maisons centrales
Centres pénitentiaires
Centres de semi-liberté
Centres éducatifs fermés
Centres pour peines aménagées
(absorbés par autres centres carcéraux)
Unités hospitalières sécurisées</v>
      </c>
      <c r="H29" s="427">
        <f>'ANALYSE - ERP =&gt; SEGMENT'!$AF$36</f>
        <v>234</v>
      </c>
      <c r="I29" s="427">
        <f>'ANALYSE - ERP =&gt; SEGMENT'!$AK$36</f>
        <v>250</v>
      </c>
      <c r="K29" s="427">
        <f t="shared" si="0"/>
        <v>16</v>
      </c>
      <c r="L29" s="787">
        <f t="shared" si="1"/>
        <v>1.3315837018615273E-2</v>
      </c>
      <c r="N29" s="970">
        <f>'ANALYSE - ERP =&gt; SEGMENT'!$BG$36+'ANALYSE - ERP =&gt; SEGMENT'!$BH$36+'ANALYSE - ERP =&gt; SEGMENT'!$BI$36+'ANALYSE - ERP =&gt; SEGMENT'!$BJ$36</f>
        <v>84674</v>
      </c>
      <c r="O29" s="916">
        <f t="shared" si="2"/>
        <v>338.69600000000003</v>
      </c>
      <c r="P29" s="463"/>
      <c r="Q29" s="970">
        <f>'ANALYSE - ERP =&gt; SEGMENT'!$BG$36</f>
        <v>39282</v>
      </c>
      <c r="R29" s="916">
        <f t="shared" si="3"/>
        <v>157.12799999999999</v>
      </c>
      <c r="S29" s="463"/>
      <c r="T29" s="970">
        <f>'ANALYSE - ERP =&gt; SEGMENT'!$BH$36</f>
        <v>7988</v>
      </c>
      <c r="U29" s="916">
        <f t="shared" si="4"/>
        <v>31.952000000000002</v>
      </c>
      <c r="V29" s="463"/>
      <c r="W29" s="970">
        <f>'ANALYSE - ERP =&gt; SEGMENT'!$BI$36</f>
        <v>547</v>
      </c>
      <c r="X29" s="916">
        <f t="shared" si="5"/>
        <v>2.1880000000000002</v>
      </c>
      <c r="Y29" s="456"/>
      <c r="Z29" s="970">
        <f>'ANALYSE - ERP =&gt; SEGMENT'!$BJ$36</f>
        <v>36857</v>
      </c>
      <c r="AA29" s="916">
        <f t="shared" si="6"/>
        <v>147.428</v>
      </c>
      <c r="AB29" s="463"/>
      <c r="AC29" s="465">
        <f>'ANALYSE - ERP =&gt; SEGMENT'!$Q$36</f>
        <v>1</v>
      </c>
    </row>
    <row r="30" spans="1:29" ht="15" customHeight="1">
      <c r="A30" s="26">
        <v>27</v>
      </c>
      <c r="B30" s="26">
        <v>27</v>
      </c>
      <c r="C30" s="422">
        <f>'ANALYSE - ERP =&gt; SEGMENT'!$A$38</f>
        <v>39</v>
      </c>
      <c r="D30" s="409" t="str">
        <f>'ANALYSE - ERP =&gt; SEGMENT'!$B$38</f>
        <v>Sanitaires publics</v>
      </c>
      <c r="E30" s="409" t="str">
        <f>'ANALYSE - ERP =&gt; SEGMENT'!$C$38</f>
        <v>Sanitaires publics</v>
      </c>
      <c r="F30" s="409" t="str">
        <f>'ANALYSE - ERP =&gt; SEGMENT'!$D$38</f>
        <v>Toilettes publiques (sur la voie publique)
Bains-douches municipaux / douches publiques fixes
Blocs sanitaires de plage / front de mer</v>
      </c>
      <c r="H30" s="427">
        <f>'ANALYSE - ERP =&gt; SEGMENT'!$AF$38</f>
        <v>15170</v>
      </c>
      <c r="I30" s="427">
        <f>'ANALYSE - ERP =&gt; SEGMENT'!$AK$38</f>
        <v>15665</v>
      </c>
      <c r="K30" s="427">
        <f t="shared" si="0"/>
        <v>495</v>
      </c>
      <c r="L30" s="787">
        <f t="shared" si="1"/>
        <v>6.4424903448188076E-3</v>
      </c>
      <c r="N30" s="970">
        <f>'ANALYSE - ERP =&gt; SEGMENT'!$BG$38+'ANALYSE - ERP =&gt; SEGMENT'!$BH$38+'ANALYSE - ERP =&gt; SEGMENT'!$BI$38+'ANALYSE - ERP =&gt; SEGMENT'!$BJ$38</f>
        <v>41472.5</v>
      </c>
      <c r="O30" s="916">
        <f t="shared" si="2"/>
        <v>2.6474624960102138</v>
      </c>
      <c r="P30" s="463"/>
      <c r="Q30" s="970">
        <f>'ANALYSE - ERP =&gt; SEGMENT'!$BG$38</f>
        <v>16160</v>
      </c>
      <c r="R30" s="916">
        <f t="shared" si="3"/>
        <v>1.0315991062879031</v>
      </c>
      <c r="S30" s="463"/>
      <c r="T30" s="970">
        <f>'ANALYSE - ERP =&gt; SEGMENT'!$BH$38</f>
        <v>1320</v>
      </c>
      <c r="U30" s="916">
        <f t="shared" si="4"/>
        <v>8.4264283434407922E-2</v>
      </c>
      <c r="V30" s="463"/>
      <c r="W30" s="970">
        <f>'ANALYSE - ERP =&gt; SEGMENT'!$BI$38</f>
        <v>7997.5</v>
      </c>
      <c r="X30" s="916">
        <f t="shared" si="5"/>
        <v>0.51053303542930095</v>
      </c>
      <c r="Y30" s="456"/>
      <c r="Z30" s="970">
        <f>'ANALYSE - ERP =&gt; SEGMENT'!$BJ$38</f>
        <v>15995</v>
      </c>
      <c r="AA30" s="916">
        <f t="shared" si="6"/>
        <v>1.0210660708586019</v>
      </c>
      <c r="AB30" s="463"/>
      <c r="AC30" s="465">
        <f>'ANALYSE - ERP =&gt; SEGMENT'!$Q$38</f>
        <v>1</v>
      </c>
    </row>
    <row r="31" spans="1:29" ht="15" customHeight="1">
      <c r="A31" s="26">
        <v>28</v>
      </c>
      <c r="B31" s="26">
        <v>28</v>
      </c>
      <c r="C31" s="422">
        <f>'ANALYSE - ERP =&gt; SEGMENT'!$A$35</f>
        <v>36</v>
      </c>
      <c r="D31" s="411" t="str">
        <f>'ANALYSE - ERP =&gt; SEGMENT'!$B$35</f>
        <v>Sécurité &amp; Justice</v>
      </c>
      <c r="E31" s="411" t="str">
        <f>'ANALYSE - ERP =&gt; SEGMENT'!$C$35</f>
        <v>Forces armées</v>
      </c>
      <c r="F31" s="411" t="str">
        <f>'ANALYSE - ERP =&gt; SEGMENT'!$D$35</f>
        <v>Unités d'hébergement des militaires &amp; réservistes
Centres de recrutement et bureaux d’information
Restaurants ou équipements sportifs ouverts au public sur emprise militaire
Hôpitaux d’instruction des armées et centres médicaux recevant du public
Salles de conférence, auditoriums et espaces événementiels ouverts au public</v>
      </c>
      <c r="H31" s="427">
        <f>'ANALYSE - ERP =&gt; SEGMENT'!$AF$35</f>
        <v>894</v>
      </c>
      <c r="I31" s="427">
        <f>'ANALYSE - ERP =&gt; SEGMENT'!$AK$35</f>
        <v>916</v>
      </c>
      <c r="K31" s="427">
        <f t="shared" si="0"/>
        <v>22</v>
      </c>
      <c r="L31" s="787">
        <f t="shared" si="1"/>
        <v>4.8739571755678224E-3</v>
      </c>
      <c r="N31" s="970">
        <f>'ANALYSE - ERP =&gt; SEGMENT'!$BG$35+'ANALYSE - ERP =&gt; SEGMENT'!$BH$35+'ANALYSE - ERP =&gt; SEGMENT'!$BI$35+'ANALYSE - ERP =&gt; SEGMENT'!$BJ$35</f>
        <v>20227</v>
      </c>
      <c r="O31" s="916">
        <f t="shared" si="2"/>
        <v>22.081877729257641</v>
      </c>
      <c r="P31" s="463"/>
      <c r="Q31" s="970">
        <f>'ANALYSE - ERP =&gt; SEGMENT'!$BG$35</f>
        <v>7572</v>
      </c>
      <c r="R31" s="916">
        <f t="shared" si="3"/>
        <v>8.2663755458515276</v>
      </c>
      <c r="S31" s="463"/>
      <c r="T31" s="970">
        <f>'ANALYSE - ERP =&gt; SEGMENT'!$BH$35</f>
        <v>4518</v>
      </c>
      <c r="U31" s="916">
        <f t="shared" si="4"/>
        <v>4.9323144104803491</v>
      </c>
      <c r="V31" s="463"/>
      <c r="W31" s="970">
        <f>'ANALYSE - ERP =&gt; SEGMENT'!$BI$35</f>
        <v>1893</v>
      </c>
      <c r="X31" s="916">
        <f t="shared" si="5"/>
        <v>2.0665938864628819</v>
      </c>
      <c r="Y31" s="456"/>
      <c r="Z31" s="970">
        <f>'ANALYSE - ERP =&gt; SEGMENT'!$BJ$35</f>
        <v>6244</v>
      </c>
      <c r="AA31" s="916">
        <f t="shared" si="6"/>
        <v>6.8165938864628819</v>
      </c>
      <c r="AB31" s="463"/>
      <c r="AC31" s="465">
        <f>'ANALYSE - ERP =&gt; SEGMENT'!$Q$35</f>
        <v>1</v>
      </c>
    </row>
    <row r="32" spans="1:29" ht="15" customHeight="1">
      <c r="A32" s="26">
        <v>29</v>
      </c>
      <c r="B32" s="26">
        <v>29</v>
      </c>
      <c r="C32" s="422">
        <f>'ANALYSE - ERP =&gt; SEGMENT'!$A$26</f>
        <v>23</v>
      </c>
      <c r="D32" s="409" t="str">
        <f>'ANALYSE - ERP =&gt; SEGMENT'!$B$26</f>
        <v>Hébergement &amp; Tourisme</v>
      </c>
      <c r="E32" s="409" t="str">
        <f>'ANALYSE - ERP =&gt; SEGMENT'!$C$26</f>
        <v>Tourisme de plein air</v>
      </c>
      <c r="F32" s="409" t="str">
        <f>'ANALYSE - ERP =&gt; SEGMENT'!$D$26</f>
        <v>Campings
Aires d’accueil des gens du voyage</v>
      </c>
      <c r="H32" s="427">
        <f>'ANALYSE - ERP =&gt; SEGMENT'!$AF$26</f>
        <v>7935</v>
      </c>
      <c r="I32" s="427">
        <f>'ANALYSE - ERP =&gt; SEGMENT'!$AK$26</f>
        <v>7810</v>
      </c>
      <c r="K32" s="427">
        <f t="shared" si="0"/>
        <v>-125</v>
      </c>
      <c r="L32" s="787">
        <f t="shared" si="1"/>
        <v>-3.1706408934090158E-3</v>
      </c>
      <c r="N32" s="970">
        <f>'ANALYSE - ERP =&gt; SEGMENT'!$BG$26+'ANALYSE - ERP =&gt; SEGMENT'!$BH$26+'ANALYSE - ERP =&gt; SEGMENT'!$BI$26+'ANALYSE - ERP =&gt; SEGMENT'!$BJ$26</f>
        <v>394220</v>
      </c>
      <c r="O32" s="916">
        <f t="shared" si="2"/>
        <v>50.476312419974391</v>
      </c>
      <c r="P32" s="463"/>
      <c r="Q32" s="970">
        <f>'ANALYSE - ERP =&gt; SEGMENT'!$BG$26</f>
        <v>142900</v>
      </c>
      <c r="R32" s="916">
        <f t="shared" si="3"/>
        <v>18.297055057618437</v>
      </c>
      <c r="S32" s="463"/>
      <c r="T32" s="970">
        <f>'ANALYSE - ERP =&gt; SEGMENT'!$BH$26</f>
        <v>114320</v>
      </c>
      <c r="U32" s="916">
        <f t="shared" si="4"/>
        <v>14.637644046094751</v>
      </c>
      <c r="V32" s="463"/>
      <c r="W32" s="970">
        <f>'ANALYSE - ERP =&gt; SEGMENT'!$BI$26</f>
        <v>22680</v>
      </c>
      <c r="X32" s="916">
        <f t="shared" si="5"/>
        <v>2.9039692701664532</v>
      </c>
      <c r="Y32" s="456"/>
      <c r="Z32" s="970">
        <f>'ANALYSE - ERP =&gt; SEGMENT'!$BJ$26</f>
        <v>114320</v>
      </c>
      <c r="AA32" s="916">
        <f t="shared" si="6"/>
        <v>14.637644046094751</v>
      </c>
      <c r="AB32" s="463"/>
      <c r="AC32" s="465">
        <f>'ANALYSE - ERP =&gt; SEGMENT'!$Q$26</f>
        <v>1</v>
      </c>
    </row>
    <row r="33" spans="1:29" ht="15" customHeight="1">
      <c r="A33" s="26">
        <v>30</v>
      </c>
      <c r="B33" s="26">
        <v>30</v>
      </c>
      <c r="C33" s="422">
        <f>'ANALYSE - ERP =&gt; SEGMENT'!$A$18</f>
        <v>12</v>
      </c>
      <c r="D33" s="414" t="str">
        <f>'ANALYSE - ERP =&gt; SEGMENT'!$B$18</f>
        <v>Culture, Patrimoine &amp; Evénementiel</v>
      </c>
      <c r="E33" s="414" t="str">
        <f>'ANALYSE - ERP =&gt; SEGMENT'!$C$18</f>
        <v>Événementiel temporaire</v>
      </c>
      <c r="F33" s="414" t="str">
        <f>'ANALYSE - ERP =&gt; SEGMENT'!$D$18</f>
        <v>Chapiteaux / tentes / structures
Structures gonflables</v>
      </c>
      <c r="H33" s="427">
        <f>'ANALYSE - ERP =&gt; SEGMENT'!$AF$18</f>
        <v>775</v>
      </c>
      <c r="I33" s="427">
        <f>'ANALYSE - ERP =&gt; SEGMENT'!$AK$18</f>
        <v>820</v>
      </c>
      <c r="K33" s="427">
        <f t="shared" si="0"/>
        <v>45</v>
      </c>
      <c r="L33" s="787">
        <f t="shared" si="1"/>
        <v>1.1352215024810208E-2</v>
      </c>
      <c r="N33" s="970">
        <f>'ANALYSE - ERP =&gt; SEGMENT'!$BG$18+'ANALYSE - ERP =&gt; SEGMENT'!$BH$18+'ANALYSE - ERP =&gt; SEGMENT'!$BI$18+'ANALYSE - ERP =&gt; SEGMENT'!$BJ$18</f>
        <v>10126</v>
      </c>
      <c r="O33" s="916">
        <f t="shared" si="2"/>
        <v>12.348780487804879</v>
      </c>
      <c r="P33" s="463"/>
      <c r="Q33" s="970">
        <f>'ANALYSE - ERP =&gt; SEGMENT'!$BG$18</f>
        <v>4580</v>
      </c>
      <c r="R33" s="916">
        <f t="shared" si="3"/>
        <v>5.5853658536585362</v>
      </c>
      <c r="S33" s="463"/>
      <c r="T33" s="970">
        <f>'ANALYSE - ERP =&gt; SEGMENT'!$BH$18</f>
        <v>188.5</v>
      </c>
      <c r="U33" s="916">
        <f t="shared" si="4"/>
        <v>0.22987804878048781</v>
      </c>
      <c r="V33" s="463"/>
      <c r="W33" s="970">
        <f>'ANALYSE - ERP =&gt; SEGMENT'!$BI$18</f>
        <v>1267.5</v>
      </c>
      <c r="X33" s="916">
        <f t="shared" si="5"/>
        <v>1.5457317073170731</v>
      </c>
      <c r="Y33" s="456"/>
      <c r="Z33" s="970">
        <f>'ANALYSE - ERP =&gt; SEGMENT'!$BJ$18</f>
        <v>4090</v>
      </c>
      <c r="AA33" s="916">
        <f t="shared" si="6"/>
        <v>4.9878048780487809</v>
      </c>
      <c r="AB33" s="463"/>
      <c r="AC33" s="465">
        <f>'ANALYSE - ERP =&gt; SEGMENT'!$Q$18</f>
        <v>1</v>
      </c>
    </row>
    <row r="34" spans="1:29" ht="15" customHeight="1">
      <c r="A34" s="26">
        <v>31</v>
      </c>
      <c r="B34" s="26">
        <v>31</v>
      </c>
      <c r="C34" s="422">
        <f>'ANALYSE - ERP =&gt; SEGMENT'!$A$37</f>
        <v>38</v>
      </c>
      <c r="D34" s="415" t="str">
        <f>'ANALYSE - ERP =&gt; SEGMENT'!$B$37</f>
        <v>Sécurité &amp; Justice</v>
      </c>
      <c r="E34" s="415" t="str">
        <f>'ANALYSE - ERP =&gt; SEGMENT'!$C$37</f>
        <v>Tribunaux</v>
      </c>
      <c r="F34" s="415" t="str">
        <f>'ANALYSE - ERP =&gt; SEGMENT'!$D$37</f>
        <v>Palais de justice et bâtiments judiciaires multi-usages
Maisons de justice et du droit
Tribunaux de commerce autonomes
Conseils de prud’hommes autonomes
Autres bâtiments judiciaires autonomes recevant du public</v>
      </c>
      <c r="H34" s="427">
        <f>'ANALYSE - ERP =&gt; SEGMENT'!$AF$37</f>
        <v>659</v>
      </c>
      <c r="I34" s="427">
        <f>'ANALYSE - ERP =&gt; SEGMENT'!$AK$37</f>
        <v>660</v>
      </c>
      <c r="K34" s="427">
        <f t="shared" si="0"/>
        <v>1</v>
      </c>
      <c r="L34" s="787">
        <f t="shared" si="1"/>
        <v>3.0330609158668587E-4</v>
      </c>
      <c r="N34" s="970">
        <f>'ANALYSE - ERP =&gt; SEGMENT'!$BG$37+'ANALYSE - ERP =&gt; SEGMENT'!$BH$37+'ANALYSE - ERP =&gt; SEGMENT'!$BI$37+'ANALYSE - ERP =&gt; SEGMENT'!$BJ$37</f>
        <v>14440.5</v>
      </c>
      <c r="O34" s="916">
        <f t="shared" si="2"/>
        <v>21.879545454545454</v>
      </c>
      <c r="P34" s="463"/>
      <c r="Q34" s="970">
        <f>'ANALYSE - ERP =&gt; SEGMENT'!$BG$37</f>
        <v>6849</v>
      </c>
      <c r="R34" s="916">
        <f t="shared" si="3"/>
        <v>10.377272727272727</v>
      </c>
      <c r="S34" s="463"/>
      <c r="T34" s="970">
        <f>'ANALYSE - ERP =&gt; SEGMENT'!$BH$37</f>
        <v>0</v>
      </c>
      <c r="U34" s="916">
        <f t="shared" si="4"/>
        <v>0</v>
      </c>
      <c r="V34" s="463"/>
      <c r="W34" s="970">
        <f>'ANALYSE - ERP =&gt; SEGMENT'!$BI$37</f>
        <v>902.5</v>
      </c>
      <c r="X34" s="916">
        <f t="shared" si="5"/>
        <v>1.3674242424242424</v>
      </c>
      <c r="Y34" s="456"/>
      <c r="Z34" s="970">
        <f>'ANALYSE - ERP =&gt; SEGMENT'!$BJ$37</f>
        <v>6689</v>
      </c>
      <c r="AA34" s="916">
        <f t="shared" si="6"/>
        <v>10.134848484848485</v>
      </c>
      <c r="AB34" s="463"/>
      <c r="AC34" s="465">
        <f>'ANALYSE - ERP =&gt; SEGMENT'!$Q$37</f>
        <v>1</v>
      </c>
    </row>
    <row r="35" spans="1:29" ht="15" customHeight="1">
      <c r="A35" s="26">
        <v>32</v>
      </c>
      <c r="B35" s="26">
        <v>32</v>
      </c>
      <c r="C35" s="422">
        <f>'ANALYSE - ERP =&gt; SEGMENT'!$A$14</f>
        <v>7</v>
      </c>
      <c r="D35" s="410" t="str">
        <f>'ANALYSE - ERP =&gt; SEGMENT'!$B$14</f>
        <v>Santé &amp; Médico-social</v>
      </c>
      <c r="E35" s="410" t="str">
        <f>'ANALYSE - ERP =&gt; SEGMENT'!$C$14</f>
        <v>Médico-social</v>
      </c>
      <c r="F35" s="410" t="str">
        <f>'ANALYSE - ERP =&gt; SEGMENT'!$D$14</f>
        <v>Établissements médico-éducatifs
Foyers pour personnes handicapées
EHPAD
USLD
Résidences autonomie
Foyers-logements
(Public)
Résidences services seniors
(Privé)</v>
      </c>
      <c r="H35" s="427">
        <f>'ANALYSE - ERP =&gt; SEGMENT'!$AF$14</f>
        <v>18505</v>
      </c>
      <c r="I35" s="427">
        <f>'ANALYSE - ERP =&gt; SEGMENT'!$AK$14</f>
        <v>18965</v>
      </c>
      <c r="K35" s="427">
        <f t="shared" si="0"/>
        <v>460</v>
      </c>
      <c r="L35" s="787">
        <f t="shared" si="1"/>
        <v>4.9229198073068581E-3</v>
      </c>
      <c r="N35" s="970">
        <f>'ANALYSE - ERP =&gt; SEGMENT'!$BG$14+'ANALYSE - ERP =&gt; SEGMENT'!$BH$14+'ANALYSE - ERP =&gt; SEGMENT'!$BI$14+'ANALYSE - ERP =&gt; SEGMENT'!$BJ$14</f>
        <v>1609539.5</v>
      </c>
      <c r="O35" s="916">
        <f t="shared" si="2"/>
        <v>84.868942789348807</v>
      </c>
      <c r="P35" s="463"/>
      <c r="Q35" s="970">
        <f>'ANALYSE - ERP =&gt; SEGMENT'!$BG$14</f>
        <v>674466</v>
      </c>
      <c r="R35" s="916">
        <f t="shared" si="3"/>
        <v>35.563722646981283</v>
      </c>
      <c r="S35" s="463"/>
      <c r="T35" s="970">
        <f>'ANALYSE - ERP =&gt; SEGMENT'!$BH$14</f>
        <v>268604</v>
      </c>
      <c r="U35" s="916">
        <f t="shared" si="4"/>
        <v>14.163142631162668</v>
      </c>
      <c r="V35" s="463"/>
      <c r="W35" s="970">
        <f>'ANALYSE - ERP =&gt; SEGMENT'!$BI$14</f>
        <v>21463.5</v>
      </c>
      <c r="X35" s="916">
        <f t="shared" si="5"/>
        <v>1.1317426838913789</v>
      </c>
      <c r="Y35" s="456"/>
      <c r="Z35" s="970">
        <f>'ANALYSE - ERP =&gt; SEGMENT'!$BJ$14</f>
        <v>645006</v>
      </c>
      <c r="AA35" s="916">
        <f t="shared" si="6"/>
        <v>34.010334827313471</v>
      </c>
      <c r="AB35" s="463"/>
      <c r="AC35" s="465">
        <f>'ANALYSE - ERP =&gt; SEGMENT'!$Q$14</f>
        <v>1</v>
      </c>
    </row>
  </sheetData>
  <autoFilter ref="A2:BG2" xr:uid="{00000000-0009-0000-0000-000024000000}"/>
  <pageMargins left="3.937007874015748E-2" right="3.937007874015748E-2" top="7.874015748031496E-2" bottom="7.874015748031496E-2" header="0.11811023622047249" footer="0.11811023622047249"/>
  <pageSetup paperSize="8" scale="69" fitToHeight="2"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4" tint="-0.249977111117893"/>
    <pageSetUpPr fitToPage="1"/>
  </sheetPr>
  <dimension ref="A1:AR35"/>
  <sheetViews>
    <sheetView zoomScale="85" zoomScaleNormal="85" workbookViewId="0">
      <selection activeCell="D20" sqref="D20"/>
    </sheetView>
  </sheetViews>
  <sheetFormatPr baseColWidth="10" defaultColWidth="9.140625" defaultRowHeight="15"/>
  <cols>
    <col min="1" max="2" width="9" style="934" customWidth="1"/>
    <col min="3" max="3" width="6" style="934" customWidth="1"/>
    <col min="4" max="4" width="35" style="934" customWidth="1"/>
    <col min="5" max="5" width="22" style="43" bestFit="1" customWidth="1"/>
    <col min="6" max="6" width="63.42578125" style="43" customWidth="1"/>
    <col min="7" max="7" width="1.7109375" style="933" customWidth="1"/>
    <col min="8" max="8" width="11.28515625" style="43" customWidth="1"/>
    <col min="9" max="9" width="9" style="934" customWidth="1"/>
    <col min="10" max="10" width="10.140625" style="934" customWidth="1"/>
    <col min="11" max="11" width="8.5703125" style="934" customWidth="1"/>
    <col min="12" max="12" width="1.7109375" style="933" customWidth="1"/>
    <col min="13" max="13" width="10.42578125" style="934" customWidth="1"/>
    <col min="14" max="14" width="9.28515625" style="934" customWidth="1"/>
    <col min="15" max="15" width="9.7109375" style="934" customWidth="1"/>
    <col min="16" max="16" width="7.85546875" style="934" customWidth="1"/>
    <col min="17" max="17" width="1.7109375" style="933" customWidth="1"/>
    <col min="18" max="18" width="15" style="934" customWidth="1"/>
    <col min="19" max="19" width="10.42578125" style="934" customWidth="1"/>
    <col min="20" max="20" width="12" style="934" customWidth="1"/>
    <col min="21" max="44" width="9.140625" style="933" customWidth="1"/>
  </cols>
  <sheetData>
    <row r="1" spans="1:20" ht="18.75" customHeight="1">
      <c r="A1" s="933"/>
      <c r="B1" s="933"/>
      <c r="C1" s="477"/>
      <c r="D1" s="479"/>
      <c r="E1" s="478" t="s">
        <v>7718</v>
      </c>
      <c r="F1" s="479"/>
      <c r="H1" s="829" t="s">
        <v>2461</v>
      </c>
      <c r="I1" s="113"/>
      <c r="J1" s="113"/>
      <c r="K1" s="113"/>
      <c r="L1" s="113"/>
      <c r="M1" s="829" t="s">
        <v>6710</v>
      </c>
      <c r="N1" s="933"/>
      <c r="O1" s="933"/>
      <c r="P1" s="933"/>
      <c r="R1" s="933"/>
      <c r="S1" s="933"/>
      <c r="T1" s="933"/>
    </row>
    <row r="2" spans="1:20" ht="55.5" customHeight="1">
      <c r="A2" s="420" t="s">
        <v>6712</v>
      </c>
      <c r="B2" s="420" t="s">
        <v>6713</v>
      </c>
      <c r="C2" s="829" t="s">
        <v>2044</v>
      </c>
      <c r="D2" s="420" t="s">
        <v>2045</v>
      </c>
      <c r="E2" s="420" t="s">
        <v>6715</v>
      </c>
      <c r="F2" s="420" t="s">
        <v>2181</v>
      </c>
      <c r="H2" s="829" t="s">
        <v>2514</v>
      </c>
      <c r="I2" s="829" t="s">
        <v>7719</v>
      </c>
      <c r="J2" s="829" t="s">
        <v>7720</v>
      </c>
      <c r="K2" s="829" t="s">
        <v>2517</v>
      </c>
      <c r="L2" s="113"/>
      <c r="M2" s="829" t="s">
        <v>2514</v>
      </c>
      <c r="N2" s="829" t="s">
        <v>7719</v>
      </c>
      <c r="O2" s="829" t="s">
        <v>7720</v>
      </c>
      <c r="P2" s="829" t="s">
        <v>2517</v>
      </c>
      <c r="R2" s="420" t="s">
        <v>7721</v>
      </c>
      <c r="S2" s="829" t="s">
        <v>7722</v>
      </c>
      <c r="T2" s="829" t="s">
        <v>6711</v>
      </c>
    </row>
    <row r="3" spans="1:20">
      <c r="A3" s="405" t="s">
        <v>2535</v>
      </c>
      <c r="B3" s="405" t="s">
        <v>2535</v>
      </c>
      <c r="C3" s="405" t="s">
        <v>2090</v>
      </c>
      <c r="D3" s="405" t="s">
        <v>2086</v>
      </c>
      <c r="E3" s="405" t="s">
        <v>6728</v>
      </c>
      <c r="F3" s="405" t="s">
        <v>6729</v>
      </c>
      <c r="H3" s="790" t="str">
        <f>IFERROR(SUMPRODUCT(($T$4:$T$106),('ANALYSE - ERP =&gt; SEGMENT'!$BC$8:$BC$110),('ANALYSE - ERP =&gt; SEGMENT'!$BL$8:$BL$110))/SUMPRODUCT(($T$4:$T$106),('ANALYSE - ERP =&gt; SEGMENT'!$BC$8:$BC$110),100),"")</f>
        <v/>
      </c>
      <c r="I3" s="790" t="str">
        <f>IFERROR(SUMPRODUCT(($T$4:$T$106),('ANALYSE - ERP =&gt; SEGMENT'!$BC$8:$BC$110),('ANALYSE - ERP =&gt; SEGMENT'!$BM$8:$BM$110))/SUMPRODUCT(($T$4:$T$106),('ANALYSE - ERP =&gt; SEGMENT'!$BC$8:$BC$110),100),"")</f>
        <v/>
      </c>
      <c r="J3" s="790" t="str">
        <f>IFERROR(SUMPRODUCT(($T$4:$T$106),('ANALYSE - ERP =&gt; SEGMENT'!$BC$8:$BC$110),('ANALYSE - ERP =&gt; SEGMENT'!$BN$8:$BN$110))/SUMPRODUCT(($T$4:$T$106),('ANALYSE - ERP =&gt; SEGMENT'!$BC$8:$BC$110),100),"")</f>
        <v/>
      </c>
      <c r="K3" s="790" t="str">
        <f>IFERROR(SUMPRODUCT(($T$4:$T$106),('ANALYSE - ERP =&gt; SEGMENT'!$BC$8:$BC$110),('ANALYSE - ERP =&gt; SEGMENT'!$BO$8:$BO$110))/SUMPRODUCT(($T$4:$T$106),('ANALYSE - ERP =&gt; SEGMENT'!$BC$8:$BC$110),100),"")</f>
        <v/>
      </c>
      <c r="M3" s="790" t="str">
        <f>IFERROR(SUMPRODUCT(($T$4:$T$106),('ANALYSE - ERP =&gt; SEGMENT'!$BG$8:$BG$110),('ANALYSE - ERP =&gt; SEGMENT'!$BP$8:$BP$110))/SUMPRODUCT(($T$4:$T$106),('ANALYSE - ERP =&gt; SEGMENT'!$BG$8:$BG$110),100),"")</f>
        <v/>
      </c>
      <c r="N3" s="790" t="str">
        <f>IFERROR(SUMPRODUCT(($T$4:$T$106),('ANALYSE - ERP =&gt; SEGMENT'!$BG$8:$BG$110),('ANALYSE - ERP =&gt; SEGMENT'!$BQ$8:$BQ$110))/SUMPRODUCT(($T$4:$T$106),('ANALYSE - ERP =&gt; SEGMENT'!$BG$8:$BG$110),100),"")</f>
        <v/>
      </c>
      <c r="O3" s="790" t="str">
        <f>IFERROR(SUMPRODUCT(($T$4:$T$106),('ANALYSE - ERP =&gt; SEGMENT'!$BG$8:$BG$110),('ANALYSE - ERP =&gt; SEGMENT'!$BR$8:$BR$110))/SUMPRODUCT(($T$4:$T$106),('ANALYSE - ERP =&gt; SEGMENT'!$BG$8:$BG$110),100),"")</f>
        <v/>
      </c>
      <c r="P3" s="790" t="str">
        <f>IFERROR(SUMPRODUCT(($T$4:$T$106),('ANALYSE - ERP =&gt; SEGMENT'!$BG$8:$BG$110),('ANALYSE - ERP =&gt; SEGMENT'!$BS$8:$BS$110))/SUMPRODUCT(($T$4:$T$106),('ANALYSE - ERP =&gt; SEGMENT'!$BG$8:$BG$110),100),"")</f>
        <v/>
      </c>
      <c r="R3" s="790"/>
      <c r="S3" s="984">
        <f>SUMPRODUCT(($T$4:$T$106),('ANALYSE - ERP =&gt; SEGMENT'!$BG$8:$BG$110))</f>
        <v>5219826</v>
      </c>
      <c r="T3" s="428">
        <f>SUM('ANALYSE - ERP =&gt; SEGMENT'!$Q$8:$Q$110)</f>
        <v>34</v>
      </c>
    </row>
    <row r="4" spans="1:20" ht="15" customHeight="1">
      <c r="A4" s="26">
        <v>1</v>
      </c>
      <c r="B4" s="26">
        <v>1</v>
      </c>
      <c r="C4" s="422">
        <f>'ANALYSE - ERP =&gt; SEGMENT'!$A$20</f>
        <v>16</v>
      </c>
      <c r="D4" s="413" t="str">
        <f>'ANALYSE - ERP =&gt; SEGMENT'!$B$20</f>
        <v>Commerce, Restauration &amp; Loisirs</v>
      </c>
      <c r="E4" s="413" t="str">
        <f>'ANALYSE - ERP =&gt; SEGMENT'!$C$20</f>
        <v>Loisirs</v>
      </c>
      <c r="F4" s="413" t="str">
        <f>'ANALYSE - ERP =&gt; SEGMENT'!$D$20</f>
        <v>Salles de jeux / bowlings / billards
Discothèques / salles de danse
Casinos</v>
      </c>
      <c r="H4" s="787">
        <f>'ANALYSE - ERP =&gt; SEGMENT'!$BL$20</f>
        <v>9.9999999999999992E-2</v>
      </c>
      <c r="I4" s="787">
        <f>'ANALYSE - ERP =&gt; SEGMENT'!$BM$20</f>
        <v>0.7599999999999999</v>
      </c>
      <c r="J4" s="787">
        <f>'ANALYSE - ERP =&gt; SEGMENT'!$BN$20</f>
        <v>0.08</v>
      </c>
      <c r="K4" s="787">
        <f>'ANALYSE - ERP =&gt; SEGMENT'!$BO$20</f>
        <v>6.0000000000000005E-2</v>
      </c>
      <c r="M4" s="787">
        <f>'ANALYSE - ERP =&gt; SEGMENT'!$BP$20</f>
        <v>0.08</v>
      </c>
      <c r="N4" s="787">
        <f>'ANALYSE - ERP =&gt; SEGMENT'!$BQ$20</f>
        <v>0.76</v>
      </c>
      <c r="O4" s="787">
        <f>'ANALYSE - ERP =&gt; SEGMENT'!$BR$20</f>
        <v>9.9999999999999992E-2</v>
      </c>
      <c r="P4" s="787">
        <f>'ANALYSE - ERP =&gt; SEGMENT'!$BS$20</f>
        <v>0.06</v>
      </c>
      <c r="R4" s="791" t="s">
        <v>7719</v>
      </c>
      <c r="S4" s="424">
        <f>'ANALYSE - ERP =&gt; SEGMENT'!$BG$20</f>
        <v>46094</v>
      </c>
      <c r="T4" s="430">
        <f>'ANALYSE - ERP =&gt; SEGMENT'!$Q$20</f>
        <v>1</v>
      </c>
    </row>
    <row r="5" spans="1:20" ht="15" customHeight="1">
      <c r="A5" s="26">
        <v>2</v>
      </c>
      <c r="B5" s="26">
        <v>2</v>
      </c>
      <c r="C5" s="422">
        <f>'ANALYSE - ERP =&gt; SEGMENT'!$A$9</f>
        <v>2</v>
      </c>
      <c r="D5" s="408" t="str">
        <f>'ANALYSE - ERP =&gt; SEGMENT'!$B$9</f>
        <v>Enfance, Enseignement &amp; Jeunesse</v>
      </c>
      <c r="E5" s="408" t="str">
        <f>'ANALYSE - ERP =&gt; SEGMENT'!$C$9</f>
        <v>Enseignement scolaire</v>
      </c>
      <c r="F5" s="408" t="str">
        <f>'ANALYSE - ERP =&gt; SEGMENT'!$D$9</f>
        <v>Écoles maternelles
Écoles primaires 
Collèges (vestiaires EPS inclus)
Lycées (vestiaires EPS inclus)
Internats scolaires</v>
      </c>
      <c r="H5" s="787">
        <f>'ANALYSE - ERP =&gt; SEGMENT'!$BL$9</f>
        <v>0.19951678912476362</v>
      </c>
      <c r="I5" s="787">
        <f>'ANALYSE - ERP =&gt; SEGMENT'!$BM$9</f>
        <v>0.71944879895332237</v>
      </c>
      <c r="J5" s="787">
        <f>'ANALYSE - ERP =&gt; SEGMENT'!$BN$9</f>
        <v>4.3289834781290636E-2</v>
      </c>
      <c r="K5" s="787">
        <f>'ANALYSE - ERP =&gt; SEGMENT'!$BO$9</f>
        <v>3.7744577140623375E-2</v>
      </c>
      <c r="M5" s="787">
        <f>'ANALYSE - ERP =&gt; SEGMENT'!$BP$9</f>
        <v>0.17942968123929248</v>
      </c>
      <c r="N5" s="787">
        <f>'ANALYSE - ERP =&gt; SEGMENT'!$BQ$9</f>
        <v>0.72753876805845386</v>
      </c>
      <c r="O5" s="787">
        <f>'ANALYSE - ERP =&gt; SEGMENT'!$BR$9</f>
        <v>6.3626934888139516E-2</v>
      </c>
      <c r="P5" s="787">
        <f>'ANALYSE - ERP =&gt; SEGMENT'!$BS$9</f>
        <v>2.9404615814114164E-2</v>
      </c>
      <c r="R5" s="791" t="s">
        <v>7719</v>
      </c>
      <c r="S5" s="424">
        <f>'ANALYSE - ERP =&gt; SEGMENT'!$BG$9</f>
        <v>995794</v>
      </c>
      <c r="T5" s="430">
        <f>'ANALYSE - ERP =&gt; SEGMENT'!$Q$9</f>
        <v>1</v>
      </c>
    </row>
    <row r="6" spans="1:20" ht="15" customHeight="1">
      <c r="A6" s="26">
        <v>3</v>
      </c>
      <c r="B6" s="26">
        <v>3</v>
      </c>
      <c r="C6" s="422">
        <f>'ANALYSE - ERP =&gt; SEGMENT'!$A$15</f>
        <v>8</v>
      </c>
      <c r="D6" s="413" t="str">
        <f>'ANALYSE - ERP =&gt; SEGMENT'!$B$15</f>
        <v>Santé &amp; Médico-social</v>
      </c>
      <c r="E6" s="413" t="str">
        <f>'ANALYSE - ERP =&gt; SEGMENT'!$C$15</f>
        <v>Santé ambulatoire</v>
      </c>
      <c r="F6" s="413" t="str">
        <f>'ANALYSE - ERP =&gt; SEGMENT'!$D$15</f>
        <v>Centres de santé / centres médicaux
Maisons de santé</v>
      </c>
      <c r="H6" s="787">
        <f>'ANALYSE - ERP =&gt; SEGMENT'!$BL$15</f>
        <v>0.46344879068378625</v>
      </c>
      <c r="I6" s="787">
        <f>'ANALYSE - ERP =&gt; SEGMENT'!$BM$15</f>
        <v>0.27172588832487304</v>
      </c>
      <c r="J6" s="787">
        <f>'ANALYSE - ERP =&gt; SEGMENT'!$BN$15</f>
        <v>0.18081815467303672</v>
      </c>
      <c r="K6" s="787">
        <f>'ANALYSE - ERP =&gt; SEGMENT'!$BO$15</f>
        <v>8.4007166318303975E-2</v>
      </c>
      <c r="M6" s="787">
        <f>'ANALYSE - ERP =&gt; SEGMENT'!$BP$15</f>
        <v>0.43986163802722605</v>
      </c>
      <c r="N6" s="787">
        <f>'ANALYSE - ERP =&gt; SEGMENT'!$BQ$15</f>
        <v>0.2680763222494979</v>
      </c>
      <c r="O6" s="787">
        <f>'ANALYSE - ERP =&gt; SEGMENT'!$BR$15</f>
        <v>0.21739120731979472</v>
      </c>
      <c r="P6" s="787">
        <f>'ANALYSE - ERP =&gt; SEGMENT'!$BS$15</f>
        <v>7.4670832403481366E-2</v>
      </c>
      <c r="R6" s="791" t="s">
        <v>2514</v>
      </c>
      <c r="S6" s="424">
        <f>'ANALYSE - ERP =&gt; SEGMENT'!$BG$15</f>
        <v>26886</v>
      </c>
      <c r="T6" s="430">
        <f>'ANALYSE - ERP =&gt; SEGMENT'!$Q$15</f>
        <v>1</v>
      </c>
    </row>
    <row r="7" spans="1:20" ht="15" customHeight="1">
      <c r="A7" s="26">
        <v>4</v>
      </c>
      <c r="B7" s="26">
        <v>4</v>
      </c>
      <c r="C7" s="422">
        <f>'ANALYSE - ERP =&gt; SEGMENT'!$A$17</f>
        <v>11</v>
      </c>
      <c r="D7" s="413" t="str">
        <f>'ANALYSE - ERP =&gt; SEGMENT'!$B$17</f>
        <v>Culture, Patrimoine &amp; Evénementiel</v>
      </c>
      <c r="E7" s="413" t="str">
        <f>'ANALYSE - ERP =&gt; SEGMENT'!$C$17</f>
        <v>Expositions / salons</v>
      </c>
      <c r="F7" s="413" t="str">
        <f>'ANALYSE - ERP =&gt; SEGMENT'!$D$17</f>
        <v>Foires / salons
Halls d’exposition</v>
      </c>
      <c r="H7" s="787">
        <f>'ANALYSE - ERP =&gt; SEGMENT'!$BL$17</f>
        <v>0.16</v>
      </c>
      <c r="I7" s="787">
        <f>'ANALYSE - ERP =&gt; SEGMENT'!$BM$17</f>
        <v>0.56000000000000005</v>
      </c>
      <c r="J7" s="787">
        <f>'ANALYSE - ERP =&gt; SEGMENT'!$BN$17</f>
        <v>0.23</v>
      </c>
      <c r="K7" s="787">
        <f>'ANALYSE - ERP =&gt; SEGMENT'!$BO$17</f>
        <v>0.05</v>
      </c>
      <c r="M7" s="787">
        <f>'ANALYSE - ERP =&gt; SEGMENT'!$BP$17</f>
        <v>0.14000000000000001</v>
      </c>
      <c r="N7" s="787">
        <f>'ANALYSE - ERP =&gt; SEGMENT'!$BQ$17</f>
        <v>0.56000000000000005</v>
      </c>
      <c r="O7" s="787">
        <f>'ANALYSE - ERP =&gt; SEGMENT'!$BR$17</f>
        <v>0.27000000000000007</v>
      </c>
      <c r="P7" s="787">
        <f>'ANALYSE - ERP =&gt; SEGMENT'!$BS$17</f>
        <v>0.03</v>
      </c>
      <c r="R7" s="791" t="s">
        <v>7719</v>
      </c>
      <c r="S7" s="424">
        <f>'ANALYSE - ERP =&gt; SEGMENT'!$BG$17</f>
        <v>15806</v>
      </c>
      <c r="T7" s="430">
        <f>'ANALYSE - ERP =&gt; SEGMENT'!$Q$17</f>
        <v>1</v>
      </c>
    </row>
    <row r="8" spans="1:20" ht="15" customHeight="1">
      <c r="A8" s="26">
        <v>5</v>
      </c>
      <c r="B8" s="26">
        <v>5</v>
      </c>
      <c r="C8" s="422">
        <f>'ANALYSE - ERP =&gt; SEGMENT'!$A$23</f>
        <v>19</v>
      </c>
      <c r="D8" s="413" t="str">
        <f>'ANALYSE - ERP =&gt; SEGMENT'!$B$23</f>
        <v>Tertiaire &amp; Industriel</v>
      </c>
      <c r="E8" s="413" t="str">
        <f>'ANALYSE - ERP =&gt; SEGMENT'!$C$23</f>
        <v>Usines &amp; Ateliers</v>
      </c>
      <c r="F8" s="413" t="str">
        <f>'ANALYSE - ERP =&gt; SEGMENT'!$D$23</f>
        <v>Usines 
(&gt;50 personnes - Hors Ateliers industriels)
Garages / ateliers de réparation automobile recevant du public
Ateliers industriels / de maintenance (&gt;50 personnes)</v>
      </c>
      <c r="H8" s="787">
        <f>'ANALYSE - ERP =&gt; SEGMENT'!$BL$23</f>
        <v>0.4101983860121049</v>
      </c>
      <c r="I8" s="787">
        <f>'ANALYSE - ERP =&gt; SEGMENT'!$BM$23</f>
        <v>0.40538668459986549</v>
      </c>
      <c r="J8" s="787">
        <f>'ANALYSE - ERP =&gt; SEGMENT'!$BN$23</f>
        <v>0.13710154673839947</v>
      </c>
      <c r="K8" s="787">
        <f>'ANALYSE - ERP =&gt; SEGMENT'!$BO$23</f>
        <v>4.7313382649630129E-2</v>
      </c>
      <c r="M8" s="787">
        <f>'ANALYSE - ERP =&gt; SEGMENT'!$BP$23</f>
        <v>0.38048694470508299</v>
      </c>
      <c r="N8" s="787">
        <f>'ANALYSE - ERP =&gt; SEGMENT'!$BQ$23</f>
        <v>0.41269809428284854</v>
      </c>
      <c r="O8" s="787">
        <f>'ANALYSE - ERP =&gt; SEGMENT'!$BR$23</f>
        <v>0.17444591840036239</v>
      </c>
      <c r="P8" s="787">
        <f>'ANALYSE - ERP =&gt; SEGMENT'!$BS$23</f>
        <v>3.2369042611706082E-2</v>
      </c>
      <c r="R8" s="791" t="s">
        <v>7719</v>
      </c>
      <c r="S8" s="424">
        <f>'ANALYSE - ERP =&gt; SEGMENT'!$BG$23</f>
        <v>309070</v>
      </c>
      <c r="T8" s="430">
        <f>'ANALYSE - ERP =&gt; SEGMENT'!$Q$23</f>
        <v>1</v>
      </c>
    </row>
    <row r="9" spans="1:20" ht="15" customHeight="1">
      <c r="A9" s="26">
        <v>6</v>
      </c>
      <c r="B9" s="26">
        <v>6</v>
      </c>
      <c r="C9" s="422">
        <f>'ANALYSE - ERP =&gt; SEGMENT'!$A$28</f>
        <v>27</v>
      </c>
      <c r="D9" s="414" t="str">
        <f>'ANALYSE - ERP =&gt; SEGMENT'!$B$28</f>
        <v>Culte, Vie civique &amp; Services publics</v>
      </c>
      <c r="E9" s="414" t="str">
        <f>'ANALYSE - ERP =&gt; SEGMENT'!$C$28</f>
        <v>Culte</v>
      </c>
      <c r="F9" s="414" t="str">
        <f>'ANALYSE - ERP =&gt; SEGMENT'!$D$28</f>
        <v>Églises, cathédrales, basiliques et chapelles ouvertes au public
Monastères, abbayes et couvents ouverts au public
Temples protestants, évangéliques et salles de culte assimilées
Mosquées et salles de prière musulmanes
Synagogues et oratoires juifs ouverts au public
Temples bouddhistes, hindous et autres lieux de culte non abrahamiques ouverts au public
Salles du Royaume, centres cultuels pluriconfessionnels et lieux de culte polyvalents</v>
      </c>
      <c r="H9" s="787">
        <f>'ANALYSE - ERP =&gt; SEGMENT'!$BL$28</f>
        <v>0.21649373531714958</v>
      </c>
      <c r="I9" s="787">
        <f>'ANALYSE - ERP =&gt; SEGMENT'!$BM$28</f>
        <v>0.64456342991386051</v>
      </c>
      <c r="J9" s="787">
        <f>'ANALYSE - ERP =&gt; SEGMENT'!$BN$28</f>
        <v>8.7253328112764303E-2</v>
      </c>
      <c r="K9" s="787">
        <f>'ANALYSE - ERP =&gt; SEGMENT'!$BO$28</f>
        <v>5.1689506656225521E-2</v>
      </c>
      <c r="M9" s="787">
        <f>'ANALYSE - ERP =&gt; SEGMENT'!$BP$28</f>
        <v>0.18229167861444054</v>
      </c>
      <c r="N9" s="787">
        <f>'ANALYSE - ERP =&gt; SEGMENT'!$BQ$28</f>
        <v>0.65072088088547342</v>
      </c>
      <c r="O9" s="787">
        <f>'ANALYSE - ERP =&gt; SEGMENT'!$BR$28</f>
        <v>0.11904570740379652</v>
      </c>
      <c r="P9" s="787">
        <f>'ANALYSE - ERP =&gt; SEGMENT'!$BS$28</f>
        <v>4.7941733096289504E-2</v>
      </c>
      <c r="R9" s="791" t="s">
        <v>7719</v>
      </c>
      <c r="S9" s="424">
        <f>'ANALYSE - ERP =&gt; SEGMENT'!$BG$28</f>
        <v>52311</v>
      </c>
      <c r="T9" s="430">
        <f>'ANALYSE - ERP =&gt; SEGMENT'!$Q$28</f>
        <v>1</v>
      </c>
    </row>
    <row r="10" spans="1:20" ht="15" customHeight="1">
      <c r="A10" s="26">
        <v>7</v>
      </c>
      <c r="B10" s="26">
        <v>7</v>
      </c>
      <c r="C10" s="422">
        <f>'ANALYSE - ERP =&gt; SEGMENT'!$A$31</f>
        <v>30</v>
      </c>
      <c r="D10" s="414" t="str">
        <f>'ANALYSE - ERP =&gt; SEGMENT'!$B$31</f>
        <v>Sport</v>
      </c>
      <c r="E10" s="414" t="str">
        <f>'ANALYSE - ERP =&gt; SEGMENT'!$C$31</f>
        <v>Sport de plein air</v>
      </c>
      <c r="F10" s="414" t="str">
        <f>'ANALYSE - ERP =&gt; SEGMENT'!$D$31</f>
        <v>Grands stades avec tribunes
(Type football/rugby) 
Stades 
(Type athlétisme - Hors scolaire)
Terrains de sport
(Hors scolaire)
Hippodromes
Piscines extérieures 
(Hors campings, hôtels, résidences et établissement avec bassin intérieur)
Bases nautiques / centres nautiques avec vestiaires-douches
Bases de loisirs avec plages, douches et sanitaires</v>
      </c>
      <c r="H10" s="787">
        <f>'ANALYSE - ERP =&gt; SEGMENT'!$BL$31</f>
        <v>9.7120909946324066E-2</v>
      </c>
      <c r="I10" s="787">
        <f>'ANALYSE - ERP =&gt; SEGMENT'!$BM$31</f>
        <v>0.7686372701610279</v>
      </c>
      <c r="J10" s="787">
        <f>'ANALYSE - ERP =&gt; SEGMENT'!$BN$31</f>
        <v>7.4241819892648109E-2</v>
      </c>
      <c r="K10" s="787">
        <f>'ANALYSE - ERP =&gt; SEGMENT'!$BO$31</f>
        <v>6.0000000000000005E-2</v>
      </c>
      <c r="M10" s="787">
        <f>'ANALYSE - ERP =&gt; SEGMENT'!$BP$31</f>
        <v>7.855319952911767E-2</v>
      </c>
      <c r="N10" s="787">
        <f>'ANALYSE - ERP =&gt; SEGMENT'!$BQ$31</f>
        <v>0.76868080282529383</v>
      </c>
      <c r="O10" s="787">
        <f>'ANALYSE - ERP =&gt; SEGMENT'!$BR$31</f>
        <v>9.2765997645588391E-2</v>
      </c>
      <c r="P10" s="787">
        <f>'ANALYSE - ERP =&gt; SEGMENT'!$BS$31</f>
        <v>0.06</v>
      </c>
      <c r="R10" s="791" t="s">
        <v>7719</v>
      </c>
      <c r="S10" s="424">
        <f>'ANALYSE - ERP =&gt; SEGMENT'!$BG$31</f>
        <v>344035</v>
      </c>
      <c r="T10" s="430">
        <f>'ANALYSE - ERP =&gt; SEGMENT'!$Q$31</f>
        <v>1</v>
      </c>
    </row>
    <row r="11" spans="1:20" s="45" customFormat="1" ht="15" customHeight="1">
      <c r="A11" s="26">
        <v>8</v>
      </c>
      <c r="B11" s="26">
        <v>9</v>
      </c>
      <c r="C11" s="422">
        <f>'ANALYSE - ERP =&gt; SEGMENT'!$A$32</f>
        <v>32</v>
      </c>
      <c r="D11" s="413" t="str">
        <f>'ANALYSE - ERP =&gt; SEGMENT'!$B$32</f>
        <v>Transport, Mobilité &amp; Stationnement</v>
      </c>
      <c r="E11" s="413" t="str">
        <f>'ANALYSE - ERP =&gt; SEGMENT'!$C$32</f>
        <v>Transport / mobilité</v>
      </c>
      <c r="F11" s="413" t="str">
        <f>'ANALYSE - ERP =&gt; SEGMENT'!$D$32</f>
        <v>Aires de service - Autoroutes
(Hors Aires de repos)
Aires de repos - Autoroutes
(Hors Aires de service)
Aéroports / aérogares
(&gt;1 000 passagers/an)
Gares ferroviaires et stations
Terminaux maritimes / fluviaux
Établissements flottants
Ports de plaisance / capitaineries
Stations / espaces métro équipés de toilettes publiques (minimum observé RATP)</v>
      </c>
      <c r="G11" s="685"/>
      <c r="H11" s="787">
        <f>'ANALYSE - ERP =&gt; SEGMENT'!$BL$32</f>
        <v>0.10181712795247065</v>
      </c>
      <c r="I11" s="787">
        <f>'ANALYSE - ERP =&gt; SEGMENT'!$BM$32</f>
        <v>0.70640740472395303</v>
      </c>
      <c r="J11" s="787">
        <f>'ANALYSE - ERP =&gt; SEGMENT'!$BN$32</f>
        <v>0.1376557745254311</v>
      </c>
      <c r="K11" s="787">
        <f>'ANALYSE - ERP =&gt; SEGMENT'!$BO$32</f>
        <v>5.4119692798145193E-2</v>
      </c>
      <c r="L11" s="685"/>
      <c r="M11" s="787">
        <f>'ANALYSE - ERP =&gt; SEGMENT'!$BP$32</f>
        <v>8.3750683433570255E-2</v>
      </c>
      <c r="N11" s="787">
        <f>'ANALYSE - ERP =&gt; SEGMENT'!$BQ$32</f>
        <v>0.70877969629093995</v>
      </c>
      <c r="O11" s="787">
        <f>'ANALYSE - ERP =&gt; SEGMENT'!$BR$32</f>
        <v>0.15892537787262562</v>
      </c>
      <c r="P11" s="787">
        <f>'ANALYSE - ERP =&gt; SEGMENT'!$BS$32</f>
        <v>4.854424240286425E-2</v>
      </c>
      <c r="Q11" s="685"/>
      <c r="R11" s="791" t="s">
        <v>7719</v>
      </c>
      <c r="S11" s="424">
        <f>'ANALYSE - ERP =&gt; SEGMENT'!$BG$32</f>
        <v>56699</v>
      </c>
      <c r="T11" s="430">
        <f>'ANALYSE - ERP =&gt; SEGMENT'!$Q$32</f>
        <v>1</v>
      </c>
    </row>
    <row r="12" spans="1:20" ht="15" customHeight="1">
      <c r="A12" s="26">
        <v>9</v>
      </c>
      <c r="B12" s="26">
        <v>8</v>
      </c>
      <c r="C12" s="422">
        <f>'ANALYSE - ERP =&gt; SEGMENT'!$A$29</f>
        <v>28</v>
      </c>
      <c r="D12" s="416" t="str">
        <f>'ANALYSE - ERP =&gt; SEGMENT'!$B$29</f>
        <v>Culte, Vie civique &amp; Services publics</v>
      </c>
      <c r="E12" s="416" t="str">
        <f>'ANALYSE - ERP =&gt; SEGMENT'!$C$29</f>
        <v>Vie associative</v>
      </c>
      <c r="F12" s="416" t="str">
        <f>'ANALYSE - ERP =&gt; SEGMENT'!$D$29</f>
        <v>Locaux associatifs recevant du public</v>
      </c>
      <c r="H12" s="787">
        <f>'ANALYSE - ERP =&gt; SEGMENT'!$BL$29</f>
        <v>0.36</v>
      </c>
      <c r="I12" s="787">
        <f>'ANALYSE - ERP =&gt; SEGMENT'!$BM$29</f>
        <v>0.5</v>
      </c>
      <c r="J12" s="787">
        <f>'ANALYSE - ERP =&gt; SEGMENT'!$BN$29</f>
        <v>0.1</v>
      </c>
      <c r="K12" s="787">
        <f>'ANALYSE - ERP =&gt; SEGMENT'!$BO$29</f>
        <v>0.04</v>
      </c>
      <c r="M12" s="787">
        <f>'ANALYSE - ERP =&gt; SEGMENT'!$BP$29</f>
        <v>0.31</v>
      </c>
      <c r="N12" s="787">
        <f>'ANALYSE - ERP =&gt; SEGMENT'!$BQ$29</f>
        <v>0.51</v>
      </c>
      <c r="O12" s="787">
        <f>'ANALYSE - ERP =&gt; SEGMENT'!$BR$29</f>
        <v>0.15</v>
      </c>
      <c r="P12" s="787">
        <f>'ANALYSE - ERP =&gt; SEGMENT'!$BS$29</f>
        <v>0.03</v>
      </c>
      <c r="R12" s="791" t="s">
        <v>7719</v>
      </c>
      <c r="S12" s="424">
        <f>'ANALYSE - ERP =&gt; SEGMENT'!$BG$29</f>
        <v>17160</v>
      </c>
      <c r="T12" s="430">
        <f>'ANALYSE - ERP =&gt; SEGMENT'!$Q$29</f>
        <v>1</v>
      </c>
    </row>
    <row r="13" spans="1:20" ht="15" customHeight="1">
      <c r="A13" s="26">
        <v>10</v>
      </c>
      <c r="B13" s="26">
        <v>10</v>
      </c>
      <c r="C13" s="422">
        <f>'ANALYSE - ERP =&gt; SEGMENT'!$A$13</f>
        <v>6</v>
      </c>
      <c r="D13" s="417" t="str">
        <f>'ANALYSE - ERP =&gt; SEGMENT'!$B$13</f>
        <v>Santé &amp; Médico-social</v>
      </c>
      <c r="E13" s="417" t="str">
        <f>'ANALYSE - ERP =&gt; SEGMENT'!$C$13</f>
        <v>Santé hospitalière</v>
      </c>
      <c r="F13" s="417" t="str">
        <f>'ANALYSE - ERP =&gt; SEGMENT'!$D$13</f>
        <v>Hôpitaux universitaires / CHU
Hôpitaux publics 
(Hors CHU, Universitaire, Militaire, Carcéral)
Hôpitaux privés
Cliniques</v>
      </c>
      <c r="H13" s="787">
        <f>'ANALYSE - ERP =&gt; SEGMENT'!$BL$13</f>
        <v>0.47170655587414911</v>
      </c>
      <c r="I13" s="787">
        <f>'ANALYSE - ERP =&gt; SEGMENT'!$BM$13</f>
        <v>0.24420621452396279</v>
      </c>
      <c r="J13" s="787">
        <f>'ANALYSE - ERP =&gt; SEGMENT'!$BN$13</f>
        <v>0.18386174342169428</v>
      </c>
      <c r="K13" s="787">
        <f>'ANALYSE - ERP =&gt; SEGMENT'!$BO$13</f>
        <v>0.10022548618019389</v>
      </c>
      <c r="M13" s="787">
        <f>'ANALYSE - ERP =&gt; SEGMENT'!$BP$13</f>
        <v>0.44171467764060351</v>
      </c>
      <c r="N13" s="787">
        <f>'ANALYSE - ERP =&gt; SEGMENT'!$BQ$13</f>
        <v>0.24420588059879528</v>
      </c>
      <c r="O13" s="787">
        <f>'ANALYSE - ERP =&gt; SEGMENT'!$BR$13</f>
        <v>0.21383610663803901</v>
      </c>
      <c r="P13" s="787">
        <f>'ANALYSE - ERP =&gt; SEGMENT'!$BS$13</f>
        <v>0.10024333512256219</v>
      </c>
      <c r="R13" s="791" t="s">
        <v>2514</v>
      </c>
      <c r="S13" s="424">
        <f>'ANALYSE - ERP =&gt; SEGMENT'!$BG$13</f>
        <v>251505</v>
      </c>
      <c r="T13" s="430">
        <f>'ANALYSE - ERP =&gt; SEGMENT'!$Q$13</f>
        <v>1</v>
      </c>
    </row>
    <row r="14" spans="1:20" ht="15" customHeight="1">
      <c r="A14" s="26">
        <v>11</v>
      </c>
      <c r="B14" s="26">
        <v>11</v>
      </c>
      <c r="C14" s="422">
        <f>'ANALYSE - ERP =&gt; SEGMENT'!$A$27</f>
        <v>26</v>
      </c>
      <c r="D14" s="417" t="str">
        <f>'ANALYSE - ERP =&gt; SEGMENT'!$B$27</f>
        <v>Culte, Vie civique &amp; Services publics</v>
      </c>
      <c r="E14" s="417" t="str">
        <f>'ANALYSE - ERP =&gt; SEGMENT'!$C$27</f>
        <v>Administrations / services publics</v>
      </c>
      <c r="F14" s="417" t="str">
        <f>'ANALYSE - ERP =&gt; SEGMENT'!$D$27</f>
        <v>Mairies / hôtels de ville
Préfectures / services administratifs
Maisons France Services
Guichets publics</v>
      </c>
      <c r="H14" s="787">
        <f>'ANALYSE - ERP =&gt; SEGMENT'!$BL$27</f>
        <v>0.32992397529953255</v>
      </c>
      <c r="I14" s="787">
        <f>'ANALYSE - ERP =&gt; SEGMENT'!$BM$27</f>
        <v>0.47953417482657057</v>
      </c>
      <c r="J14" s="787">
        <f>'ANALYSE - ERP =&gt; SEGMENT'!$BN$27</f>
        <v>0.15054184987389702</v>
      </c>
      <c r="K14" s="787">
        <f>'ANALYSE - ERP =&gt; SEGMENT'!$BO$27</f>
        <v>3.9999999999999994E-2</v>
      </c>
      <c r="M14" s="787">
        <f>'ANALYSE - ERP =&gt; SEGMENT'!$BP$27</f>
        <v>0.28830956860515061</v>
      </c>
      <c r="N14" s="787">
        <f>'ANALYSE - ERP =&gt; SEGMENT'!$BQ$27</f>
        <v>0.48208522634466827</v>
      </c>
      <c r="O14" s="787">
        <f>'ANALYSE - ERP =&gt; SEGMENT'!$BR$27</f>
        <v>0.1996052050501812</v>
      </c>
      <c r="P14" s="787">
        <f>'ANALYSE - ERP =&gt; SEGMENT'!$BS$27</f>
        <v>0.03</v>
      </c>
      <c r="R14" s="791" t="s">
        <v>7719</v>
      </c>
      <c r="S14" s="424">
        <f>'ANALYSE - ERP =&gt; SEGMENT'!$BG$27</f>
        <v>165301</v>
      </c>
      <c r="T14" s="430">
        <f>'ANALYSE - ERP =&gt; SEGMENT'!$Q$27</f>
        <v>1</v>
      </c>
    </row>
    <row r="15" spans="1:20" ht="15" customHeight="1">
      <c r="A15" s="26">
        <v>12</v>
      </c>
      <c r="B15" s="26">
        <v>13</v>
      </c>
      <c r="C15" s="422">
        <f>'ANALYSE - ERP =&gt; SEGMENT'!$A$8</f>
        <v>1</v>
      </c>
      <c r="D15" s="408" t="str">
        <f>'ANALYSE - ERP =&gt; SEGMENT'!$B$8</f>
        <v>Enfance, Enseignement &amp; Jeunesse</v>
      </c>
      <c r="E15" s="408" t="str">
        <f>'ANALYSE - ERP =&gt; SEGMENT'!$C$8</f>
        <v>Petite enfance</v>
      </c>
      <c r="F15" s="408" t="str">
        <f>'ANALYSE - ERP =&gt; SEGMENT'!$D$8</f>
        <v>Crèches</v>
      </c>
      <c r="H15" s="787">
        <f>'ANALYSE - ERP =&gt; SEGMENT'!$BL$8</f>
        <v>0.5</v>
      </c>
      <c r="I15" s="787">
        <f>'ANALYSE - ERP =&gt; SEGMENT'!$BM$8</f>
        <v>0.42</v>
      </c>
      <c r="J15" s="787">
        <f>'ANALYSE - ERP =&gt; SEGMENT'!$BN$8</f>
        <v>0.04</v>
      </c>
      <c r="K15" s="787">
        <f>'ANALYSE - ERP =&gt; SEGMENT'!$BO$8</f>
        <v>0.04</v>
      </c>
      <c r="M15" s="787">
        <f>'ANALYSE - ERP =&gt; SEGMENT'!$BP$8</f>
        <v>0.48000000000000004</v>
      </c>
      <c r="N15" s="787">
        <f>'ANALYSE - ERP =&gt; SEGMENT'!$BQ$8</f>
        <v>0.41999999999999993</v>
      </c>
      <c r="O15" s="787">
        <f>'ANALYSE - ERP =&gt; SEGMENT'!$BR$8</f>
        <v>6.0000000000000005E-2</v>
      </c>
      <c r="P15" s="787">
        <f>'ANALYSE - ERP =&gt; SEGMENT'!$BS$8</f>
        <v>3.9999999999999994E-2</v>
      </c>
      <c r="R15" s="791" t="s">
        <v>2514</v>
      </c>
      <c r="S15" s="424">
        <f>'ANALYSE - ERP =&gt; SEGMENT'!$BG$8</f>
        <v>123945</v>
      </c>
      <c r="T15" s="430">
        <f>'ANALYSE - ERP =&gt; SEGMENT'!$Q$8</f>
        <v>1</v>
      </c>
    </row>
    <row r="16" spans="1:20" ht="15" customHeight="1">
      <c r="A16" s="26">
        <v>13</v>
      </c>
      <c r="B16" s="26">
        <v>12</v>
      </c>
      <c r="C16" s="422">
        <f>'ANALYSE - ERP =&gt; SEGMENT'!$A$24</f>
        <v>21</v>
      </c>
      <c r="D16" s="413" t="str">
        <f>'ANALYSE - ERP =&gt; SEGMENT'!$B$24</f>
        <v>Hébergement &amp; Tourisme</v>
      </c>
      <c r="E16" s="413" t="str">
        <f>'ANALYSE - ERP =&gt; SEGMENT'!$C$24</f>
        <v>Hébergement Touristique</v>
      </c>
      <c r="F16" s="413" t="str">
        <f>'ANALYSE - ERP =&gt; SEGMENT'!$D$24</f>
        <v>Hôtels
Pensions de famille
Résidences de tourisme
Auberges de jeunesse
Villages de vacances / clubs vacances / centres de vacances familiaux</v>
      </c>
      <c r="H16" s="787">
        <f>'ANALYSE - ERP =&gt; SEGMENT'!$BL$24</f>
        <v>0.55547739168448795</v>
      </c>
      <c r="I16" s="787">
        <f>'ANALYSE - ERP =&gt; SEGMENT'!$BM$24</f>
        <v>0.34194501222869433</v>
      </c>
      <c r="J16" s="787">
        <f>'ANALYSE - ERP =&gt; SEGMENT'!$BN$24</f>
        <v>5.0322199510852227E-2</v>
      </c>
      <c r="K16" s="787">
        <f>'ANALYSE - ERP =&gt; SEGMENT'!$BO$24</f>
        <v>5.225539657596559E-2</v>
      </c>
      <c r="M16" s="787">
        <f>'ANALYSE - ERP =&gt; SEGMENT'!$BP$24</f>
        <v>0.50672920928264087</v>
      </c>
      <c r="N16" s="787">
        <f>'ANALYSE - ERP =&gt; SEGMENT'!$BQ$24</f>
        <v>0.36091556746843478</v>
      </c>
      <c r="O16" s="787">
        <f>'ANALYSE - ERP =&gt; SEGMENT'!$BR$24</f>
        <v>0.08</v>
      </c>
      <c r="P16" s="787">
        <f>'ANALYSE - ERP =&gt; SEGMENT'!$BS$24</f>
        <v>5.2355223248924311E-2</v>
      </c>
      <c r="R16" s="791" t="s">
        <v>7719</v>
      </c>
      <c r="S16" s="424">
        <f>'ANALYSE - ERP =&gt; SEGMENT'!$BG$24</f>
        <v>85062</v>
      </c>
      <c r="T16" s="430">
        <f>'ANALYSE - ERP =&gt; SEGMENT'!$Q$24</f>
        <v>1</v>
      </c>
    </row>
    <row r="17" spans="1:20" ht="15" customHeight="1">
      <c r="A17" s="26">
        <v>14</v>
      </c>
      <c r="B17" s="26">
        <v>14</v>
      </c>
      <c r="C17" s="422">
        <f>'ANALYSE - ERP =&gt; SEGMENT'!$A$11</f>
        <v>4</v>
      </c>
      <c r="D17" s="414" t="str">
        <f>'ANALYSE - ERP =&gt; SEGMENT'!$B$11</f>
        <v>Enfance, Enseignement &amp; Jeunesse</v>
      </c>
      <c r="E17" s="414" t="str">
        <f>'ANALYSE - ERP =&gt; SEGMENT'!$C$11</f>
        <v>Enfance / jeunesse</v>
      </c>
      <c r="F17" s="414" t="str">
        <f>'ANALYSE - ERP =&gt; SEGMENT'!$D$11</f>
        <v>Centres de loisirs sans hébergement
Centres de vacances / colonies</v>
      </c>
      <c r="H17" s="787" t="str">
        <f>'ANALYSE - ERP =&gt; SEGMENT'!$BL$11</f>
        <v/>
      </c>
      <c r="I17" s="787" t="str">
        <f>'ANALYSE - ERP =&gt; SEGMENT'!$BM$11</f>
        <v/>
      </c>
      <c r="J17" s="787" t="str">
        <f>'ANALYSE - ERP =&gt; SEGMENT'!$BN$11</f>
        <v/>
      </c>
      <c r="K17" s="787" t="str">
        <f>'ANALYSE - ERP =&gt; SEGMENT'!$BO$11</f>
        <v/>
      </c>
      <c r="M17" s="787" t="str">
        <f>'ANALYSE - ERP =&gt; SEGMENT'!$BP$11</f>
        <v/>
      </c>
      <c r="N17" s="787" t="str">
        <f>'ANALYSE - ERP =&gt; SEGMENT'!$BQ$11</f>
        <v/>
      </c>
      <c r="O17" s="787" t="str">
        <f>'ANALYSE - ERP =&gt; SEGMENT'!$BR$11</f>
        <v/>
      </c>
      <c r="P17" s="787" t="str">
        <f>'ANALYSE - ERP =&gt; SEGMENT'!$BS$11</f>
        <v/>
      </c>
      <c r="R17" s="791" t="s">
        <v>7719</v>
      </c>
      <c r="S17" s="424">
        <f>'ANALYSE - ERP =&gt; SEGMENT'!$BG$11</f>
        <v>0</v>
      </c>
      <c r="T17" s="430">
        <f>'ANALYSE - ERP =&gt; SEGMENT'!$Q$11</f>
        <v>0</v>
      </c>
    </row>
    <row r="18" spans="1:20" ht="15" customHeight="1">
      <c r="A18" s="26">
        <v>15</v>
      </c>
      <c r="B18" s="26">
        <v>15</v>
      </c>
      <c r="C18" s="422">
        <f>'ANALYSE - ERP =&gt; SEGMENT'!$A$33</f>
        <v>33</v>
      </c>
      <c r="D18" s="414" t="str">
        <f>'ANALYSE - ERP =&gt; SEGMENT'!$B$33</f>
        <v>Transport, Mobilité &amp; Stationnement</v>
      </c>
      <c r="E18" s="414" t="str">
        <f>'ANALYSE - ERP =&gt; SEGMENT'!$C$33</f>
        <v>Stationnement</v>
      </c>
      <c r="F18" s="414" t="str">
        <f>'ANALYSE - ERP =&gt; SEGMENT'!$D$33</f>
        <v>Parcs de stationnement couverts</v>
      </c>
      <c r="H18" s="787" t="str">
        <f>'ANALYSE - ERP =&gt; SEGMENT'!$BL$33</f>
        <v/>
      </c>
      <c r="I18" s="787" t="str">
        <f>'ANALYSE - ERP =&gt; SEGMENT'!$BM$33</f>
        <v/>
      </c>
      <c r="J18" s="787" t="str">
        <f>'ANALYSE - ERP =&gt; SEGMENT'!$BN$33</f>
        <v/>
      </c>
      <c r="K18" s="787" t="str">
        <f>'ANALYSE - ERP =&gt; SEGMENT'!$BO$33</f>
        <v/>
      </c>
      <c r="M18" s="787" t="str">
        <f>'ANALYSE - ERP =&gt; SEGMENT'!$BP$33</f>
        <v/>
      </c>
      <c r="N18" s="787" t="str">
        <f>'ANALYSE - ERP =&gt; SEGMENT'!$BQ$33</f>
        <v/>
      </c>
      <c r="O18" s="787" t="str">
        <f>'ANALYSE - ERP =&gt; SEGMENT'!$BR$33</f>
        <v/>
      </c>
      <c r="P18" s="787" t="str">
        <f>'ANALYSE - ERP =&gt; SEGMENT'!$BS$33</f>
        <v/>
      </c>
      <c r="R18" s="791" t="s">
        <v>7719</v>
      </c>
      <c r="S18" s="424">
        <f>'ANALYSE - ERP =&gt; SEGMENT'!$BG$33</f>
        <v>0</v>
      </c>
      <c r="T18" s="430">
        <f>'ANALYSE - ERP =&gt; SEGMENT'!$Q$33</f>
        <v>0</v>
      </c>
    </row>
    <row r="19" spans="1:20" ht="15" customHeight="1">
      <c r="A19" s="26">
        <v>16</v>
      </c>
      <c r="B19" s="26">
        <v>17</v>
      </c>
      <c r="C19" s="422">
        <f>'ANALYSE - ERP =&gt; SEGMENT'!$A$12</f>
        <v>5</v>
      </c>
      <c r="D19" s="411" t="str">
        <f>'ANALYSE - ERP =&gt; SEGMENT'!$B$12</f>
        <v>Enfance, Enseignement &amp; Jeunesse</v>
      </c>
      <c r="E19" s="411" t="str">
        <f>'ANALYSE - ERP =&gt; SEGMENT'!$C$12</f>
        <v>Formation</v>
      </c>
      <c r="F19" s="411" t="str">
        <f>'ANALYSE - ERP =&gt; SEGMENT'!$D$12</f>
        <v>Centres de formation / CFA</v>
      </c>
      <c r="H19" s="787">
        <f>'ANALYSE - ERP =&gt; SEGMENT'!$BL$12</f>
        <v>0.13832620647525962</v>
      </c>
      <c r="I19" s="787">
        <f>'ANALYSE - ERP =&gt; SEGMENT'!$BM$12</f>
        <v>0.75861942577886388</v>
      </c>
      <c r="J19" s="787">
        <f>'ANALYSE - ERP =&gt; SEGMENT'!$BN$12</f>
        <v>6.3054367745876597E-2</v>
      </c>
      <c r="K19" s="787">
        <f>'ANALYSE - ERP =&gt; SEGMENT'!$BO$12</f>
        <v>0.04</v>
      </c>
      <c r="M19" s="787">
        <f>'ANALYSE - ERP =&gt; SEGMENT'!$BP$12</f>
        <v>0.1146529741759006</v>
      </c>
      <c r="N19" s="787">
        <f>'ANALYSE - ERP =&gt; SEGMENT'!$BQ$12</f>
        <v>0.77046270109879922</v>
      </c>
      <c r="O19" s="787">
        <f>'ANALYSE - ERP =&gt; SEGMENT'!$BR$12</f>
        <v>8.4884324725300206E-2</v>
      </c>
      <c r="P19" s="787">
        <f>'ANALYSE - ERP =&gt; SEGMENT'!$BS$12</f>
        <v>0.03</v>
      </c>
      <c r="R19" s="791" t="s">
        <v>7719</v>
      </c>
      <c r="S19" s="424">
        <f>'ANALYSE - ERP =&gt; SEGMENT'!$BG$12</f>
        <v>107845</v>
      </c>
      <c r="T19" s="430">
        <f>'ANALYSE - ERP =&gt; SEGMENT'!$Q$12</f>
        <v>1</v>
      </c>
    </row>
    <row r="20" spans="1:20" ht="15" customHeight="1">
      <c r="A20" s="26">
        <v>17</v>
      </c>
      <c r="B20" s="26">
        <v>16</v>
      </c>
      <c r="C20" s="422">
        <f>'ANALYSE - ERP =&gt; SEGMENT'!$A$25</f>
        <v>22</v>
      </c>
      <c r="D20" s="411" t="str">
        <f>'ANALYSE - ERP =&gt; SEGMENT'!$B$25</f>
        <v>Hébergement &amp; Tourisme</v>
      </c>
      <c r="E20" s="411" t="str">
        <f>'ANALYSE - ERP =&gt; SEGMENT'!$C$25</f>
        <v>Hébergement Montagne</v>
      </c>
      <c r="F20" s="411" t="str">
        <f>'ANALYSE - ERP =&gt; SEGMENT'!$D$25</f>
        <v>Hôtels-restaurants d’altitude
Refuges de montagne</v>
      </c>
      <c r="H20" s="787">
        <f>'ANALYSE - ERP =&gt; SEGMENT'!$BL$25</f>
        <v>0.72</v>
      </c>
      <c r="I20" s="787">
        <f>'ANALYSE - ERP =&gt; SEGMENT'!$BM$25</f>
        <v>0.14249999999999999</v>
      </c>
      <c r="J20" s="787">
        <f>'ANALYSE - ERP =&gt; SEGMENT'!$BN$25</f>
        <v>4.4999999999999998E-2</v>
      </c>
      <c r="K20" s="787">
        <f>'ANALYSE - ERP =&gt; SEGMENT'!$BO$25</f>
        <v>9.2499999999999999E-2</v>
      </c>
      <c r="M20" s="787">
        <f>'ANALYSE - ERP =&gt; SEGMENT'!$BP$25</f>
        <v>0.7</v>
      </c>
      <c r="N20" s="787">
        <f>'ANALYSE - ERP =&gt; SEGMENT'!$BQ$25</f>
        <v>0.1422754491017964</v>
      </c>
      <c r="O20" s="787">
        <f>'ANALYSE - ERP =&gt; SEGMENT'!$BR$25</f>
        <v>6.5149700598802388E-2</v>
      </c>
      <c r="P20" s="787">
        <f>'ANALYSE - ERP =&gt; SEGMENT'!$BS$25</f>
        <v>9.2574850299401198E-2</v>
      </c>
      <c r="R20" s="791" t="s">
        <v>2514</v>
      </c>
      <c r="S20" s="424">
        <f>'ANALYSE - ERP =&gt; SEGMENT'!$BG$25</f>
        <v>3340</v>
      </c>
      <c r="T20" s="430">
        <f>'ANALYSE - ERP =&gt; SEGMENT'!$Q$25</f>
        <v>1</v>
      </c>
    </row>
    <row r="21" spans="1:20" ht="15" customHeight="1">
      <c r="A21" s="26">
        <v>18</v>
      </c>
      <c r="B21" s="26">
        <v>18</v>
      </c>
      <c r="C21" s="422">
        <f>'ANALYSE - ERP =&gt; SEGMENT'!$A$22</f>
        <v>18</v>
      </c>
      <c r="D21" s="415" t="str">
        <f>'ANALYSE - ERP =&gt; SEGMENT'!$B$22</f>
        <v>Tertiaire &amp; Industriel</v>
      </c>
      <c r="E21" s="415" t="str">
        <f>'ANALYSE - ERP =&gt; SEGMENT'!$C$22</f>
        <v>Bureaux</v>
      </c>
      <c r="F21" s="415" t="str">
        <f>'ANALYSE - ERP =&gt; SEGMENT'!$D$22</f>
        <v>Bureaux (&gt;50 personnes, tertiaire privé + logistique hors usines)</v>
      </c>
      <c r="H21" s="787">
        <f>'ANALYSE - ERP =&gt; SEGMENT'!$BL$22</f>
        <v>0.43</v>
      </c>
      <c r="I21" s="787">
        <f>'ANALYSE - ERP =&gt; SEGMENT'!$BM$22</f>
        <v>0.35</v>
      </c>
      <c r="J21" s="787">
        <f>'ANALYSE - ERP =&gt; SEGMENT'!$BN$22</f>
        <v>0.17</v>
      </c>
      <c r="K21" s="787">
        <f>'ANALYSE - ERP =&gt; SEGMENT'!$BO$22</f>
        <v>0.05</v>
      </c>
      <c r="M21" s="787">
        <f>'ANALYSE - ERP =&gt; SEGMENT'!$BP$22</f>
        <v>0.36</v>
      </c>
      <c r="N21" s="787">
        <f>'ANALYSE - ERP =&gt; SEGMENT'!$BQ$22</f>
        <v>0.36</v>
      </c>
      <c r="O21" s="787">
        <f>'ANALYSE - ERP =&gt; SEGMENT'!$BR$22</f>
        <v>0.24</v>
      </c>
      <c r="P21" s="787">
        <f>'ANALYSE - ERP =&gt; SEGMENT'!$BS$22</f>
        <v>0.04</v>
      </c>
      <c r="R21" s="791" t="s">
        <v>7719</v>
      </c>
      <c r="S21" s="424">
        <f>'ANALYSE - ERP =&gt; SEGMENT'!$BG$22</f>
        <v>607200</v>
      </c>
      <c r="T21" s="430">
        <f>'ANALYSE - ERP =&gt; SEGMENT'!$Q$22</f>
        <v>1</v>
      </c>
    </row>
    <row r="22" spans="1:20" ht="15" customHeight="1">
      <c r="A22" s="26">
        <v>19</v>
      </c>
      <c r="B22" s="26">
        <v>19</v>
      </c>
      <c r="C22" s="422">
        <f>'ANALYSE - ERP =&gt; SEGMENT'!$A$10</f>
        <v>3</v>
      </c>
      <c r="D22" s="415" t="str">
        <f>'ANALYSE - ERP =&gt; SEGMENT'!$B$10</f>
        <v>Enfance, Enseignement &amp; Jeunesse</v>
      </c>
      <c r="E22" s="415" t="str">
        <f>'ANALYSE - ERP =&gt; SEGMENT'!$C$10</f>
        <v>Enseignement supérieur</v>
      </c>
      <c r="F22" s="415" t="str">
        <f>'ANALYSE - ERP =&gt; SEGMENT'!$D$10</f>
        <v>Universités
Grandes écoles
Résidences étudiantes et dortoirs</v>
      </c>
      <c r="H22" s="787">
        <f>'ANALYSE - ERP =&gt; SEGMENT'!$BL$10</f>
        <v>0.27258141740819369</v>
      </c>
      <c r="I22" s="787">
        <f>'ANALYSE - ERP =&gt; SEGMENT'!$BM$10</f>
        <v>0.50051266994895882</v>
      </c>
      <c r="J22" s="787">
        <f>'ANALYSE - ERP =&gt; SEGMENT'!$BN$10</f>
        <v>0.16700844663263925</v>
      </c>
      <c r="K22" s="787">
        <f>'ANALYSE - ERP =&gt; SEGMENT'!$BO$10</f>
        <v>5.989746601020824E-2</v>
      </c>
      <c r="M22" s="787">
        <f>'ANALYSE - ERP =&gt; SEGMENT'!$BP$10</f>
        <v>0.25703229250066723</v>
      </c>
      <c r="N22" s="787">
        <f>'ANALYSE - ERP =&gt; SEGMENT'!$BQ$10</f>
        <v>0.49747798238590879</v>
      </c>
      <c r="O22" s="787">
        <f>'ANALYSE - ERP =&gt; SEGMENT'!$BR$10</f>
        <v>0.1949853215906058</v>
      </c>
      <c r="P22" s="787">
        <f>'ANALYSE - ERP =&gt; SEGMENT'!$BS$10</f>
        <v>5.0504403522818257E-2</v>
      </c>
      <c r="R22" s="791" t="s">
        <v>7719</v>
      </c>
      <c r="S22" s="424">
        <f>'ANALYSE - ERP =&gt; SEGMENT'!$BG$10</f>
        <v>44964</v>
      </c>
      <c r="T22" s="430">
        <f>'ANALYSE - ERP =&gt; SEGMENT'!$Q$10</f>
        <v>1</v>
      </c>
    </row>
    <row r="23" spans="1:20" ht="15" customHeight="1">
      <c r="A23" s="26">
        <v>20</v>
      </c>
      <c r="B23" s="26">
        <v>20</v>
      </c>
      <c r="C23" s="422">
        <f>'ANALYSE - ERP =&gt; SEGMENT'!$A$37</f>
        <v>38</v>
      </c>
      <c r="D23" s="417" t="str">
        <f>'ANALYSE - ERP =&gt; SEGMENT'!$B$37</f>
        <v>Sécurité &amp; Justice</v>
      </c>
      <c r="E23" s="417" t="str">
        <f>'ANALYSE - ERP =&gt; SEGMENT'!$C$37</f>
        <v>Tribunaux</v>
      </c>
      <c r="F23" s="417" t="str">
        <f>'ANALYSE - ERP =&gt; SEGMENT'!$D$37</f>
        <v>Palais de justice et bâtiments judiciaires multi-usages
Maisons de justice et du droit
Tribunaux de commerce autonomes
Conseils de prud’hommes autonomes
Autres bâtiments judiciaires autonomes recevant du public</v>
      </c>
      <c r="H23" s="787">
        <f>'ANALYSE - ERP =&gt; SEGMENT'!$BL$37</f>
        <v>0.17999999999999997</v>
      </c>
      <c r="I23" s="787">
        <f>'ANALYSE - ERP =&gt; SEGMENT'!$BM$37</f>
        <v>0.6399999999999999</v>
      </c>
      <c r="J23" s="787">
        <f>'ANALYSE - ERP =&gt; SEGMENT'!$BN$37</f>
        <v>0.14000000000000001</v>
      </c>
      <c r="K23" s="787">
        <f>'ANALYSE - ERP =&gt; SEGMENT'!$BO$37</f>
        <v>3.9999999999999994E-2</v>
      </c>
      <c r="M23" s="787">
        <f>'ANALYSE - ERP =&gt; SEGMENT'!$BP$37</f>
        <v>0.16000000000000003</v>
      </c>
      <c r="N23" s="787">
        <f>'ANALYSE - ERP =&gt; SEGMENT'!$BQ$37</f>
        <v>0.64000000000000012</v>
      </c>
      <c r="O23" s="787">
        <f>'ANALYSE - ERP =&gt; SEGMENT'!$BR$37</f>
        <v>0.16999999999999998</v>
      </c>
      <c r="P23" s="787">
        <f>'ANALYSE - ERP =&gt; SEGMENT'!$BS$37</f>
        <v>0.03</v>
      </c>
      <c r="R23" s="791" t="s">
        <v>7719</v>
      </c>
      <c r="S23" s="424">
        <f>'ANALYSE - ERP =&gt; SEGMENT'!$BG$37</f>
        <v>6849</v>
      </c>
      <c r="T23" s="430">
        <f>'ANALYSE - ERP =&gt; SEGMENT'!$Q$37</f>
        <v>1</v>
      </c>
    </row>
    <row r="24" spans="1:20" ht="15" customHeight="1">
      <c r="A24" s="26">
        <v>21</v>
      </c>
      <c r="B24" s="26">
        <v>22</v>
      </c>
      <c r="C24" s="422">
        <f>'ANALYSE - ERP =&gt; SEGMENT'!$A$19</f>
        <v>15</v>
      </c>
      <c r="D24" s="417" t="str">
        <f>'ANALYSE - ERP =&gt; SEGMENT'!$B$19</f>
        <v>Commerce, Restauration &amp; Loisirs</v>
      </c>
      <c r="E24" s="417" t="str">
        <f>'ANALYSE - ERP =&gt; SEGMENT'!$C$19</f>
        <v>Restauration / boissons</v>
      </c>
      <c r="F24" s="417" t="str">
        <f>'ANALYSE - ERP =&gt; SEGMENT'!$D$19</f>
        <v>Cafés / bars / brasseries
Fast-food / cafétérias / food courts
Restaurants
(Hors établissements altitude, flottant, armée)</v>
      </c>
      <c r="H24" s="787">
        <f>'ANALYSE - ERP =&gt; SEGMENT'!$BL$19</f>
        <v>0.28131832133566403</v>
      </c>
      <c r="I24" s="787">
        <f>'ANALYSE - ERP =&gt; SEGMENT'!$BM$19</f>
        <v>0.54903500199578825</v>
      </c>
      <c r="J24" s="787">
        <f>'ANALYSE - ERP =&gt; SEGMENT'!$BN$19</f>
        <v>0.12218986139595062</v>
      </c>
      <c r="K24" s="787">
        <f>'ANALYSE - ERP =&gt; SEGMENT'!$BO$19</f>
        <v>4.7456815272597139E-2</v>
      </c>
      <c r="M24" s="787">
        <f>'ANALYSE - ERP =&gt; SEGMENT'!$BP$19</f>
        <v>0.2483580673950582</v>
      </c>
      <c r="N24" s="787">
        <f>'ANALYSE - ERP =&gt; SEGMENT'!$BQ$19</f>
        <v>0.55078944450725997</v>
      </c>
      <c r="O24" s="787">
        <f>'ANALYSE - ERP =&gt; SEGMENT'!$BR$19</f>
        <v>0.15851892021247982</v>
      </c>
      <c r="P24" s="787">
        <f>'ANALYSE - ERP =&gt; SEGMENT'!$BS$19</f>
        <v>4.2333567885202046E-2</v>
      </c>
      <c r="R24" s="791" t="s">
        <v>7719</v>
      </c>
      <c r="S24" s="424">
        <f>'ANALYSE - ERP =&gt; SEGMENT'!$BG$19</f>
        <v>910957</v>
      </c>
      <c r="T24" s="430">
        <f>'ANALYSE - ERP =&gt; SEGMENT'!$Q$19</f>
        <v>1</v>
      </c>
    </row>
    <row r="25" spans="1:20" ht="15" customHeight="1">
      <c r="A25" s="26">
        <v>22</v>
      </c>
      <c r="B25" s="26">
        <v>21</v>
      </c>
      <c r="C25" s="422">
        <f>'ANALYSE - ERP =&gt; SEGMENT'!$A$30</f>
        <v>29</v>
      </c>
      <c r="D25" s="417" t="str">
        <f>'ANALYSE - ERP =&gt; SEGMENT'!$B$30</f>
        <v>Sport</v>
      </c>
      <c r="E25" s="417" t="str">
        <f>'ANALYSE - ERP =&gt; SEGMENT'!$C$30</f>
        <v>Sport couvert / Thermalisme / bien-être</v>
      </c>
      <c r="F25" s="417" t="str">
        <f>'ANALYSE - ERP =&gt; SEGMENT'!$D$30</f>
        <v>Gymnases / salles multisports
Piscines couvertes
Salles de fitness / dojos
Patinoires couvertes
Établissements thermaux
Centres de thalassothérapie / balnéothérapie / grands spas ouverts au public</v>
      </c>
      <c r="H25" s="787">
        <f>'ANALYSE - ERP =&gt; SEGMENT'!$BL$30</f>
        <v>0.1048895612708018</v>
      </c>
      <c r="I25" s="787">
        <f>'ANALYSE - ERP =&gt; SEGMENT'!$BM$30</f>
        <v>0.78008270297529003</v>
      </c>
      <c r="J25" s="787">
        <f>'ANALYSE - ERP =&gt; SEGMENT'!$BN$30</f>
        <v>6.9958648512355018E-2</v>
      </c>
      <c r="K25" s="787">
        <f>'ANALYSE - ERP =&gt; SEGMENT'!$BO$30</f>
        <v>4.5069087241553209E-2</v>
      </c>
      <c r="M25" s="787">
        <f>'ANALYSE - ERP =&gt; SEGMENT'!$BP$30</f>
        <v>8.4967001686472157E-2</v>
      </c>
      <c r="N25" s="787">
        <f>'ANALYSE - ERP =&gt; SEGMENT'!$BQ$30</f>
        <v>0.78615474600559554</v>
      </c>
      <c r="O25" s="787">
        <f>'ANALYSE - ERP =&gt; SEGMENT'!$BR$30</f>
        <v>9.2518302609645053E-2</v>
      </c>
      <c r="P25" s="787">
        <f>'ANALYSE - ERP =&gt; SEGMENT'!$BS$30</f>
        <v>3.6359949698287208E-2</v>
      </c>
      <c r="R25" s="791" t="s">
        <v>7719</v>
      </c>
      <c r="S25" s="424">
        <f>'ANALYSE - ERP =&gt; SEGMENT'!$BG$30</f>
        <v>410324</v>
      </c>
      <c r="T25" s="430">
        <f>'ANALYSE - ERP =&gt; SEGMENT'!$Q$30</f>
        <v>1</v>
      </c>
    </row>
    <row r="26" spans="1:20" ht="15" customHeight="1">
      <c r="A26" s="26">
        <v>23</v>
      </c>
      <c r="B26" s="26">
        <v>23</v>
      </c>
      <c r="C26" s="422">
        <f>'ANALYSE - ERP =&gt; SEGMENT'!$A$21</f>
        <v>17</v>
      </c>
      <c r="D26" s="417" t="str">
        <f>'ANALYSE - ERP =&gt; SEGMENT'!$B$21</f>
        <v>Commerce, Restauration &amp; Loisirs</v>
      </c>
      <c r="E26" s="417" t="str">
        <f>'ANALYSE - ERP =&gt; SEGMENT'!$C$21</f>
        <v>Commerce</v>
      </c>
      <c r="F26" s="417" t="str">
        <f>'ANALYSE - ERP =&gt; SEGMENT'!$D$21</f>
        <v>Centres commerciaux / malls
Marchés couverts</v>
      </c>
      <c r="H26" s="787">
        <f>'ANALYSE - ERP =&gt; SEGMENT'!$BL$21</f>
        <v>0.31061481136469493</v>
      </c>
      <c r="I26" s="787">
        <f>'ANALYSE - ERP =&gt; SEGMENT'!$BM$21</f>
        <v>0.47834963514982148</v>
      </c>
      <c r="J26" s="787">
        <f>'ANALYSE - ERP =&gt; SEGMENT'!$BN$21</f>
        <v>0.16103555348548362</v>
      </c>
      <c r="K26" s="787">
        <f>'ANALYSE - ERP =&gt; SEGMENT'!$BO$21</f>
        <v>0.05</v>
      </c>
      <c r="M26" s="787">
        <f>'ANALYSE - ERP =&gt; SEGMENT'!$BP$21</f>
        <v>0.27114766940853896</v>
      </c>
      <c r="N26" s="787">
        <f>'ANALYSE - ERP =&gt; SEGMENT'!$BQ$21</f>
        <v>0.46840971406188797</v>
      </c>
      <c r="O26" s="787">
        <f>'ANALYSE - ERP =&gt; SEGMENT'!$BR$21</f>
        <v>0.21706227967097533</v>
      </c>
      <c r="P26" s="787">
        <f>'ANALYSE - ERP =&gt; SEGMENT'!$BS$21</f>
        <v>4.3380336858597726E-2</v>
      </c>
      <c r="R26" s="791" t="s">
        <v>7719</v>
      </c>
      <c r="S26" s="424">
        <f>'ANALYSE - ERP =&gt; SEGMENT'!$BG$21</f>
        <v>102120</v>
      </c>
      <c r="T26" s="430">
        <f>'ANALYSE - ERP =&gt; SEGMENT'!$Q$21</f>
        <v>1</v>
      </c>
    </row>
    <row r="27" spans="1:20" ht="15" customHeight="1">
      <c r="A27" s="26">
        <v>24</v>
      </c>
      <c r="B27" s="26">
        <v>24</v>
      </c>
      <c r="C27" s="422">
        <f>'ANALYSE - ERP =&gt; SEGMENT'!$A$16</f>
        <v>10</v>
      </c>
      <c r="D27" s="417" t="str">
        <f>'ANALYSE - ERP =&gt; SEGMENT'!$B$16</f>
        <v>Culture, Patrimoine &amp; Evénementiel</v>
      </c>
      <c r="E27" s="417" t="str">
        <f>'ANALYSE - ERP =&gt; SEGMENT'!$C$16</f>
        <v>Culture / spectacle</v>
      </c>
      <c r="F27" s="417" t="str">
        <f>'ANALYSE - ERP =&gt; SEGMENT'!$D$16</f>
        <v>Cinémas
Théâtres
Musées
Salles de spectacle / auditoriums
Salles de conférence / réunion
Salles polyvalentes / salles des fêtes
Bibliothèques / médiathèques</v>
      </c>
      <c r="H27" s="787">
        <f>'ANALYSE - ERP =&gt; SEGMENT'!$BL$16</f>
        <v>0.21938582072355789</v>
      </c>
      <c r="I27" s="787">
        <f>'ANALYSE - ERP =&gt; SEGMENT'!$BM$16</f>
        <v>0.62225931331131423</v>
      </c>
      <c r="J27" s="787">
        <f>'ANALYSE - ERP =&gt; SEGMENT'!$BN$16</f>
        <v>0.1083548659651279</v>
      </c>
      <c r="K27" s="787">
        <f>'ANALYSE - ERP =&gt; SEGMENT'!$BO$16</f>
        <v>0.05</v>
      </c>
      <c r="M27" s="787">
        <f>'ANALYSE - ERP =&gt; SEGMENT'!$BP$16</f>
        <v>0.19380443115126991</v>
      </c>
      <c r="N27" s="787">
        <f>'ANALYSE - ERP =&gt; SEGMENT'!$BQ$16</f>
        <v>0.62466037475022929</v>
      </c>
      <c r="O27" s="787">
        <f>'ANALYSE - ERP =&gt; SEGMENT'!$BR$16</f>
        <v>0.13866663315446193</v>
      </c>
      <c r="P27" s="787">
        <f>'ANALYSE - ERP =&gt; SEGMENT'!$BS$16</f>
        <v>4.2868560944038812E-2</v>
      </c>
      <c r="R27" s="791" t="s">
        <v>2514</v>
      </c>
      <c r="S27" s="424">
        <f>'ANALYSE - ERP =&gt; SEGMENT'!$BG$16</f>
        <v>397865</v>
      </c>
      <c r="T27" s="430">
        <f>'ANALYSE - ERP =&gt; SEGMENT'!$Q$16</f>
        <v>1</v>
      </c>
    </row>
    <row r="28" spans="1:20" ht="15" customHeight="1">
      <c r="A28" s="26">
        <v>25</v>
      </c>
      <c r="B28" s="26">
        <v>25</v>
      </c>
      <c r="C28" s="422">
        <f>'ANALYSE - ERP =&gt; SEGMENT'!$A$18</f>
        <v>12</v>
      </c>
      <c r="D28" s="417" t="str">
        <f>'ANALYSE - ERP =&gt; SEGMENT'!$B$18</f>
        <v>Culture, Patrimoine &amp; Evénementiel</v>
      </c>
      <c r="E28" s="417" t="str">
        <f>'ANALYSE - ERP =&gt; SEGMENT'!$C$18</f>
        <v>Événementiel temporaire</v>
      </c>
      <c r="F28" s="417" t="str">
        <f>'ANALYSE - ERP =&gt; SEGMENT'!$D$18</f>
        <v>Chapiteaux / tentes / structures
Structures gonflables</v>
      </c>
      <c r="H28" s="787">
        <f>'ANALYSE - ERP =&gt; SEGMENT'!$BL$18</f>
        <v>0.21635294117647058</v>
      </c>
      <c r="I28" s="787">
        <f>'ANALYSE - ERP =&gt; SEGMENT'!$BM$18</f>
        <v>0.64588235294117646</v>
      </c>
      <c r="J28" s="787">
        <f>'ANALYSE - ERP =&gt; SEGMENT'!$BN$18</f>
        <v>6.7058823529411768E-2</v>
      </c>
      <c r="K28" s="787">
        <f>'ANALYSE - ERP =&gt; SEGMENT'!$BO$18</f>
        <v>7.0705882352941174E-2</v>
      </c>
      <c r="M28" s="787">
        <f>'ANALYSE - ERP =&gt; SEGMENT'!$BP$18</f>
        <v>0.19237991266375545</v>
      </c>
      <c r="N28" s="787">
        <f>'ANALYSE - ERP =&gt; SEGMENT'!$BQ$18</f>
        <v>0.64762008733624454</v>
      </c>
      <c r="O28" s="787">
        <f>'ANALYSE - ERP =&gt; SEGMENT'!$BR$18</f>
        <v>9.2423580786026208E-2</v>
      </c>
      <c r="P28" s="787">
        <f>'ANALYSE - ERP =&gt; SEGMENT'!$BS$18</f>
        <v>6.7576419213973796E-2</v>
      </c>
      <c r="R28" s="791" t="s">
        <v>7719</v>
      </c>
      <c r="S28" s="424">
        <f>'ANALYSE - ERP =&gt; SEGMENT'!$BG$18</f>
        <v>4580</v>
      </c>
      <c r="T28" s="430">
        <f>'ANALYSE - ERP =&gt; SEGMENT'!$Q$18</f>
        <v>1</v>
      </c>
    </row>
    <row r="29" spans="1:20" ht="15" customHeight="1">
      <c r="A29" s="26">
        <v>26</v>
      </c>
      <c r="B29" s="26">
        <v>26</v>
      </c>
      <c r="C29" s="422">
        <f>'ANALYSE - ERP =&gt; SEGMENT'!$A$34</f>
        <v>35</v>
      </c>
      <c r="D29" s="417" t="str">
        <f>'ANALYSE - ERP =&gt; SEGMENT'!$B$34</f>
        <v>Sécurité &amp; Justice</v>
      </c>
      <c r="E29" s="417" t="str">
        <f>'ANALYSE - ERP =&gt; SEGMENT'!$C$34</f>
        <v xml:space="preserve">Commissariats / postes de police </v>
      </c>
      <c r="F29" s="417" t="str">
        <f>'ANALYSE - ERP =&gt; SEGMENT'!$D$34</f>
        <v>Locaux de sûreté, garde à vue et zones opérationnelles
Postes de proximité et antennes avec accueil public
Salles de réunion, de prévention ou de conférence ouvertes au public</v>
      </c>
      <c r="H29" s="787">
        <f>'ANALYSE - ERP =&gt; SEGMENT'!$BL$34</f>
        <v>5.3232577665827042E-2</v>
      </c>
      <c r="I29" s="787">
        <f>'ANALYSE - ERP =&gt; SEGMENT'!$BM$34</f>
        <v>0.74861460957178838</v>
      </c>
      <c r="J29" s="787">
        <f>'ANALYSE - ERP =&gt; SEGMENT'!$BN$34</f>
        <v>2.4617968094038625E-2</v>
      </c>
      <c r="K29" s="787">
        <f>'ANALYSE - ERP =&gt; SEGMENT'!$BO$34</f>
        <v>0.1735348446683459</v>
      </c>
      <c r="M29" s="787">
        <f>'ANALYSE - ERP =&gt; SEGMENT'!$BP$34</f>
        <v>5.2140410958904114E-2</v>
      </c>
      <c r="N29" s="787">
        <f>'ANALYSE - ERP =&gt; SEGMENT'!$BQ$34</f>
        <v>0.73914383561643826</v>
      </c>
      <c r="O29" s="787">
        <f>'ANALYSE - ERP =&gt; SEGMENT'!$BR$34</f>
        <v>3.5136986301369862E-2</v>
      </c>
      <c r="P29" s="787">
        <f>'ANALYSE - ERP =&gt; SEGMENT'!$BS$34</f>
        <v>0.17357876712328765</v>
      </c>
      <c r="R29" s="791" t="s">
        <v>7719</v>
      </c>
      <c r="S29" s="424">
        <f>'ANALYSE - ERP =&gt; SEGMENT'!$BG$34</f>
        <v>2336</v>
      </c>
      <c r="T29" s="430">
        <f>'ANALYSE - ERP =&gt; SEGMENT'!$Q$34</f>
        <v>1</v>
      </c>
    </row>
    <row r="30" spans="1:20" ht="15" customHeight="1">
      <c r="A30" s="26">
        <v>27</v>
      </c>
      <c r="B30" s="26">
        <v>27</v>
      </c>
      <c r="C30" s="422">
        <f>'ANALYSE - ERP =&gt; SEGMENT'!$A$36</f>
        <v>37</v>
      </c>
      <c r="D30" s="417" t="str">
        <f>'ANALYSE - ERP =&gt; SEGMENT'!$B$36</f>
        <v>Sécurité &amp; Justice</v>
      </c>
      <c r="E30" s="417" t="str">
        <f>'ANALYSE - ERP =&gt; SEGMENT'!$C$36</f>
        <v>Univers carcéral</v>
      </c>
      <c r="F30" s="417" t="str">
        <f>'ANALYSE - ERP =&gt; SEGMENT'!$D$36</f>
        <v>Maisons d’arrêt
Centres de détention
Maisons centrales
Centres pénitentiaires
Centres de semi-liberté
Centres éducatifs fermés
Centres pour peines aménagées
(absorbés par autres centres carcéraux)
Unités hospitalières sécurisées</v>
      </c>
      <c r="H30" s="787">
        <f>'ANALYSE - ERP =&gt; SEGMENT'!$BL$36</f>
        <v>2.0000000000000004E-2</v>
      </c>
      <c r="I30" s="787">
        <f>'ANALYSE - ERP =&gt; SEGMENT'!$BM$36</f>
        <v>0.70000000000000007</v>
      </c>
      <c r="J30" s="787">
        <f>'ANALYSE - ERP =&gt; SEGMENT'!$BN$36</f>
        <v>1.0000000000000002E-2</v>
      </c>
      <c r="K30" s="787">
        <f>'ANALYSE - ERP =&gt; SEGMENT'!$BO$36</f>
        <v>0.27000000000000007</v>
      </c>
      <c r="M30" s="787">
        <f>'ANALYSE - ERP =&gt; SEGMENT'!$BP$36</f>
        <v>0.02</v>
      </c>
      <c r="N30" s="787">
        <f>'ANALYSE - ERP =&gt; SEGMENT'!$BQ$36</f>
        <v>0.69</v>
      </c>
      <c r="O30" s="787">
        <f>'ANALYSE - ERP =&gt; SEGMENT'!$BR$36</f>
        <v>0.02</v>
      </c>
      <c r="P30" s="787">
        <f>'ANALYSE - ERP =&gt; SEGMENT'!$BS$36</f>
        <v>0.26999999999999996</v>
      </c>
      <c r="R30" s="791" t="s">
        <v>7719</v>
      </c>
      <c r="S30" s="424">
        <f>'ANALYSE - ERP =&gt; SEGMENT'!$BG$36</f>
        <v>39282</v>
      </c>
      <c r="T30" s="430">
        <f>'ANALYSE - ERP =&gt; SEGMENT'!$Q$36</f>
        <v>1</v>
      </c>
    </row>
    <row r="31" spans="1:20" ht="15" customHeight="1">
      <c r="A31" s="26">
        <v>28</v>
      </c>
      <c r="B31" s="26">
        <v>28</v>
      </c>
      <c r="C31" s="422">
        <f>'ANALYSE - ERP =&gt; SEGMENT'!$A$38</f>
        <v>39</v>
      </c>
      <c r="D31" s="410" t="str">
        <f>'ANALYSE - ERP =&gt; SEGMENT'!$B$38</f>
        <v>Sanitaires publics</v>
      </c>
      <c r="E31" s="410" t="str">
        <f>'ANALYSE - ERP =&gt; SEGMENT'!$C$38</f>
        <v>Sanitaires publics</v>
      </c>
      <c r="F31" s="410" t="str">
        <f>'ANALYSE - ERP =&gt; SEGMENT'!$D$38</f>
        <v>Toilettes publiques (sur la voie publique)
Bains-douches municipaux / douches publiques fixes
Blocs sanitaires de plage / front de mer</v>
      </c>
      <c r="H31" s="787">
        <f>'ANALYSE - ERP =&gt; SEGMENT'!$BL$38</f>
        <v>5.303571428571429E-2</v>
      </c>
      <c r="I31" s="787">
        <f>'ANALYSE - ERP =&gt; SEGMENT'!$BM$38</f>
        <v>0.55650510204081638</v>
      </c>
      <c r="J31" s="787">
        <f>'ANALYSE - ERP =&gt; SEGMENT'!$BN$38</f>
        <v>8.0867346938775508E-2</v>
      </c>
      <c r="K31" s="787">
        <f>'ANALYSE - ERP =&gt; SEGMENT'!$BO$38</f>
        <v>0.30959183673469387</v>
      </c>
      <c r="M31" s="787">
        <f>'ANALYSE - ERP =&gt; SEGMENT'!$BP$38</f>
        <v>5.204207920792079E-2</v>
      </c>
      <c r="N31" s="787">
        <f>'ANALYSE - ERP =&gt; SEGMENT'!$BQ$38</f>
        <v>0.5457178217821782</v>
      </c>
      <c r="O31" s="787">
        <f>'ANALYSE - ERP =&gt; SEGMENT'!$BR$38</f>
        <v>9.2450495049504949E-2</v>
      </c>
      <c r="P31" s="787">
        <f>'ANALYSE - ERP =&gt; SEGMENT'!$BS$38</f>
        <v>0.30978960396039601</v>
      </c>
      <c r="R31" s="791" t="s">
        <v>7719</v>
      </c>
      <c r="S31" s="424">
        <f>'ANALYSE - ERP =&gt; SEGMENT'!$BG$38</f>
        <v>16160</v>
      </c>
      <c r="T31" s="430">
        <f>'ANALYSE - ERP =&gt; SEGMENT'!$Q$38</f>
        <v>1</v>
      </c>
    </row>
    <row r="32" spans="1:20" ht="15" customHeight="1">
      <c r="A32" s="26">
        <v>29</v>
      </c>
      <c r="B32" s="26">
        <v>29</v>
      </c>
      <c r="C32" s="422">
        <f>'ANALYSE - ERP =&gt; SEGMENT'!$A$39</f>
        <v>9</v>
      </c>
      <c r="D32" s="410" t="str">
        <f>'ANALYSE - ERP =&gt; SEGMENT'!$B$39</f>
        <v>Santé &amp; Médico-social</v>
      </c>
      <c r="E32" s="410" t="str">
        <f>'ANALYSE - ERP =&gt; SEGMENT'!$C$39</f>
        <v>Santé spécialisée</v>
      </c>
      <c r="F32" s="410" t="str">
        <f>'ANALYSE - ERP =&gt; SEGMENT'!$D$39</f>
        <v>Centres de psychiatrie
Centres de rééducation
Maternités</v>
      </c>
      <c r="H32" s="787" t="str">
        <f>'ANALYSE - ERP =&gt; SEGMENT'!$BL$39</f>
        <v/>
      </c>
      <c r="I32" s="787" t="str">
        <f>'ANALYSE - ERP =&gt; SEGMENT'!$BM$39</f>
        <v/>
      </c>
      <c r="J32" s="787" t="str">
        <f>'ANALYSE - ERP =&gt; SEGMENT'!$BN$39</f>
        <v/>
      </c>
      <c r="K32" s="787" t="str">
        <f>'ANALYSE - ERP =&gt; SEGMENT'!$BO$39</f>
        <v/>
      </c>
      <c r="M32" s="787" t="str">
        <f>'ANALYSE - ERP =&gt; SEGMENT'!$BP$39</f>
        <v/>
      </c>
      <c r="N32" s="787" t="str">
        <f>'ANALYSE - ERP =&gt; SEGMENT'!$BQ$39</f>
        <v/>
      </c>
      <c r="O32" s="787" t="str">
        <f>'ANALYSE - ERP =&gt; SEGMENT'!$BR$39</f>
        <v/>
      </c>
      <c r="P32" s="787" t="str">
        <f>'ANALYSE - ERP =&gt; SEGMENT'!$BS$39</f>
        <v/>
      </c>
      <c r="R32" s="791" t="s">
        <v>7719</v>
      </c>
      <c r="S32" s="424">
        <f>'ANALYSE - ERP =&gt; SEGMENT'!$BG$39</f>
        <v>0</v>
      </c>
      <c r="T32" s="430">
        <f>'ANALYSE - ERP =&gt; SEGMENT'!$Q$39</f>
        <v>0</v>
      </c>
    </row>
    <row r="33" spans="1:20" ht="15" customHeight="1">
      <c r="A33" s="26">
        <v>30</v>
      </c>
      <c r="B33" s="26">
        <v>30</v>
      </c>
      <c r="C33" s="422">
        <f>'ANALYSE - ERP =&gt; SEGMENT'!$A$35</f>
        <v>36</v>
      </c>
      <c r="D33" s="408" t="str">
        <f>'ANALYSE - ERP =&gt; SEGMENT'!$B$35</f>
        <v>Sécurité &amp; Justice</v>
      </c>
      <c r="E33" s="408" t="str">
        <f>'ANALYSE - ERP =&gt; SEGMENT'!$C$35</f>
        <v>Forces armées</v>
      </c>
      <c r="F33" s="408" t="str">
        <f>'ANALYSE - ERP =&gt; SEGMENT'!$D$35</f>
        <v>Unités d'hébergement des militaires &amp; réservistes
Centres de recrutement et bureaux d’information
Restaurants ou équipements sportifs ouverts au public sur emprise militaire
Hôpitaux d’instruction des armées et centres médicaux recevant du public
Salles de conférence, auditoriums et espaces événementiels ouverts au public</v>
      </c>
      <c r="H33" s="787">
        <f>'ANALYSE - ERP =&gt; SEGMENT'!$BL$35</f>
        <v>0.20960698689956331</v>
      </c>
      <c r="I33" s="787">
        <f>'ANALYSE - ERP =&gt; SEGMENT'!$BM$35</f>
        <v>0.61930131004366806</v>
      </c>
      <c r="J33" s="787">
        <f>'ANALYSE - ERP =&gt; SEGMENT'!$BN$35</f>
        <v>9.1659388646288212E-2</v>
      </c>
      <c r="K33" s="787">
        <f>'ANALYSE - ERP =&gt; SEGMENT'!$BO$35</f>
        <v>7.9432314410480334E-2</v>
      </c>
      <c r="M33" s="787">
        <f>'ANALYSE - ERP =&gt; SEGMENT'!$BP$35</f>
        <v>0.19087163232963553</v>
      </c>
      <c r="N33" s="787">
        <f>'ANALYSE - ERP =&gt; SEGMENT'!$BQ$35</f>
        <v>0.62383518225039625</v>
      </c>
      <c r="O33" s="787">
        <f>'ANALYSE - ERP =&gt; SEGMENT'!$BR$35</f>
        <v>0.11491283676703645</v>
      </c>
      <c r="P33" s="787">
        <f>'ANALYSE - ERP =&gt; SEGMENT'!$BS$35</f>
        <v>7.0380348652931871E-2</v>
      </c>
      <c r="R33" s="791" t="s">
        <v>7719</v>
      </c>
      <c r="S33" s="424">
        <f>'ANALYSE - ERP =&gt; SEGMENT'!$BG$35</f>
        <v>7572</v>
      </c>
      <c r="T33" s="430">
        <f>'ANALYSE - ERP =&gt; SEGMENT'!$Q$35</f>
        <v>1</v>
      </c>
    </row>
    <row r="34" spans="1:20" ht="15" customHeight="1">
      <c r="A34" s="26">
        <v>31</v>
      </c>
      <c r="B34" s="26">
        <v>31</v>
      </c>
      <c r="C34" s="422">
        <f>'ANALYSE - ERP =&gt; SEGMENT'!$A$26</f>
        <v>23</v>
      </c>
      <c r="D34" s="408" t="str">
        <f>'ANALYSE - ERP =&gt; SEGMENT'!$B$26</f>
        <v>Hébergement &amp; Tourisme</v>
      </c>
      <c r="E34" s="408" t="str">
        <f>'ANALYSE - ERP =&gt; SEGMENT'!$C$26</f>
        <v>Tourisme de plein air</v>
      </c>
      <c r="F34" s="408" t="str">
        <f>'ANALYSE - ERP =&gt; SEGMENT'!$D$26</f>
        <v>Campings
Aires d’accueil des gens du voyage</v>
      </c>
      <c r="H34" s="787">
        <f>'ANALYSE - ERP =&gt; SEGMENT'!$BL$26</f>
        <v>0.21673553719008265</v>
      </c>
      <c r="I34" s="787">
        <f>'ANALYSE - ERP =&gt; SEGMENT'!$BM$26</f>
        <v>0.65582644628099174</v>
      </c>
      <c r="J34" s="787">
        <f>'ANALYSE - ERP =&gt; SEGMENT'!$BN$26</f>
        <v>4.7438016528925618E-2</v>
      </c>
      <c r="K34" s="787">
        <f>'ANALYSE - ERP =&gt; SEGMENT'!$BO$26</f>
        <v>0.08</v>
      </c>
      <c r="M34" s="787">
        <f>'ANALYSE - ERP =&gt; SEGMENT'!$BP$26</f>
        <v>0.19489153254023792</v>
      </c>
      <c r="N34" s="787">
        <f>'ANALYSE - ERP =&gt; SEGMENT'!$BQ$26</f>
        <v>0.66580125962211334</v>
      </c>
      <c r="O34" s="787">
        <f>'ANALYSE - ERP =&gt; SEGMENT'!$BR$26</f>
        <v>6.930720783764871E-2</v>
      </c>
      <c r="P34" s="787">
        <f>'ANALYSE - ERP =&gt; SEGMENT'!$BS$26</f>
        <v>7.0000000000000007E-2</v>
      </c>
      <c r="R34" s="791" t="s">
        <v>2514</v>
      </c>
      <c r="S34" s="424">
        <f>'ANALYSE - ERP =&gt; SEGMENT'!$BG$26</f>
        <v>142900</v>
      </c>
      <c r="T34" s="430">
        <f>'ANALYSE - ERP =&gt; SEGMENT'!$Q$26</f>
        <v>1</v>
      </c>
    </row>
    <row r="35" spans="1:20" ht="15" customHeight="1">
      <c r="A35" s="26">
        <v>32</v>
      </c>
      <c r="B35" s="26">
        <v>32</v>
      </c>
      <c r="C35" s="422">
        <f>'ANALYSE - ERP =&gt; SEGMENT'!$A$14</f>
        <v>7</v>
      </c>
      <c r="D35" s="410" t="str">
        <f>'ANALYSE - ERP =&gt; SEGMENT'!$B$14</f>
        <v>Santé &amp; Médico-social</v>
      </c>
      <c r="E35" s="410" t="str">
        <f>'ANALYSE - ERP =&gt; SEGMENT'!$C$14</f>
        <v>Médico-social</v>
      </c>
      <c r="F35" s="410" t="str">
        <f>'ANALYSE - ERP =&gt; SEGMENT'!$D$14</f>
        <v>Établissements médico-éducatifs
Foyers pour personnes handicapées
EHPAD
USLD
Résidences autonomie
Foyers-logements
(Public)
Résidences services seniors
(Privé)</v>
      </c>
      <c r="H35" s="787">
        <f>'ANALYSE - ERP =&gt; SEGMENT'!$BL$14</f>
        <v>0.58920697385323617</v>
      </c>
      <c r="I35" s="787">
        <f>'ANALYSE - ERP =&gt; SEGMENT'!$BM$14</f>
        <v>0.16175894660263943</v>
      </c>
      <c r="J35" s="787">
        <f>'ANALYSE - ERP =&gt; SEGMENT'!$BN$14</f>
        <v>9.9623007729793572E-2</v>
      </c>
      <c r="K35" s="787">
        <f>'ANALYSE - ERP =&gt; SEGMENT'!$BO$14</f>
        <v>0.14941107181433083</v>
      </c>
      <c r="M35" s="787">
        <f>'ANALYSE - ERP =&gt; SEGMENT'!$BP$14</f>
        <v>0.56729560867412143</v>
      </c>
      <c r="N35" s="787">
        <f>'ANALYSE - ERP =&gt; SEGMENT'!$BQ$14</f>
        <v>0.16206447767567234</v>
      </c>
      <c r="O35" s="787">
        <f>'ANALYSE - ERP =&gt; SEGMENT'!$BR$14</f>
        <v>0.12137056575127582</v>
      </c>
      <c r="P35" s="787">
        <f>'ANALYSE - ERP =&gt; SEGMENT'!$BS$14</f>
        <v>0.1492693478989304</v>
      </c>
      <c r="R35" s="791" t="s">
        <v>2514</v>
      </c>
      <c r="S35" s="424">
        <f>'ANALYSE - ERP =&gt; SEGMENT'!$BG$14</f>
        <v>674466</v>
      </c>
      <c r="T35" s="430">
        <f>'ANALYSE - ERP =&gt; SEGMENT'!$Q$14</f>
        <v>1</v>
      </c>
    </row>
  </sheetData>
  <pageMargins left="3.937007874015748E-2" right="3.937007874015748E-2" top="7.874015748031496E-2" bottom="7.874015748031496E-2" header="0.11811023622047249" footer="0.11811023622047249"/>
  <pageSetup paperSize="8" scale="79" fitToHeight="2"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8" tint="0.39997558519241921"/>
    <pageSetUpPr fitToPage="1"/>
  </sheetPr>
  <dimension ref="A1:AT90"/>
  <sheetViews>
    <sheetView workbookViewId="0">
      <selection sqref="A1:H1"/>
    </sheetView>
  </sheetViews>
  <sheetFormatPr baseColWidth="10" defaultColWidth="9.140625" defaultRowHeight="15"/>
  <cols>
    <col min="1" max="8" width="18" style="934" customWidth="1"/>
    <col min="9" max="46" width="9.140625" style="933" customWidth="1"/>
  </cols>
  <sheetData>
    <row r="1" spans="1:8" ht="24" customHeight="1">
      <c r="A1" s="1007" t="s">
        <v>7775</v>
      </c>
      <c r="B1" s="1008"/>
      <c r="C1" s="1008"/>
      <c r="D1" s="1008"/>
      <c r="E1" s="1008"/>
      <c r="F1" s="1008"/>
      <c r="G1" s="1008"/>
      <c r="H1" s="1008"/>
    </row>
    <row r="2" spans="1:8" s="933" customFormat="1"/>
    <row r="3" spans="1:8">
      <c r="A3" s="1009" t="s">
        <v>7776</v>
      </c>
      <c r="B3" s="1008"/>
      <c r="C3" s="1008"/>
      <c r="D3" s="1008"/>
      <c r="E3" s="1008"/>
      <c r="F3" s="1008"/>
      <c r="G3" s="1008"/>
      <c r="H3" s="1008"/>
    </row>
    <row r="4" spans="1:8" s="933" customFormat="1" ht="28.5" customHeight="1">
      <c r="A4" s="1010" t="s">
        <v>7777</v>
      </c>
      <c r="B4" s="1005"/>
      <c r="C4" s="1005"/>
      <c r="D4" s="1005"/>
      <c r="E4" s="1005"/>
      <c r="F4" s="1005"/>
      <c r="G4" s="1005"/>
      <c r="H4" s="1005"/>
    </row>
    <row r="5" spans="1:8" s="933" customFormat="1" ht="28.5" customHeight="1">
      <c r="A5" s="1010" t="s">
        <v>7778</v>
      </c>
      <c r="B5" s="1005"/>
      <c r="C5" s="1005"/>
      <c r="D5" s="1005"/>
      <c r="E5" s="1005"/>
      <c r="F5" s="1005"/>
      <c r="G5" s="1005"/>
      <c r="H5" s="1005"/>
    </row>
    <row r="6" spans="1:8" s="933" customFormat="1"/>
    <row r="7" spans="1:8" s="933" customFormat="1">
      <c r="A7" s="1009" t="s">
        <v>7779</v>
      </c>
      <c r="B7" s="1005"/>
      <c r="C7" s="1005"/>
      <c r="D7" s="1005"/>
      <c r="E7" s="1005"/>
      <c r="F7" s="1005"/>
      <c r="G7" s="1005"/>
      <c r="H7" s="1005"/>
    </row>
    <row r="8" spans="1:8" s="933" customFormat="1">
      <c r="A8" s="1004" t="s">
        <v>7780</v>
      </c>
      <c r="B8" s="1005"/>
      <c r="C8" s="1005"/>
      <c r="D8" s="1005"/>
      <c r="E8" s="1005"/>
      <c r="F8" s="1005"/>
      <c r="G8" s="1005"/>
      <c r="H8" s="1005"/>
    </row>
    <row r="9" spans="1:8" s="933" customFormat="1" ht="66" customHeight="1">
      <c r="A9" s="1006" t="s">
        <v>7781</v>
      </c>
      <c r="B9" s="1005"/>
      <c r="C9" s="1005"/>
      <c r="D9" s="1005"/>
      <c r="E9" s="1005"/>
      <c r="F9" s="1005"/>
      <c r="G9" s="1005"/>
      <c r="H9" s="1005"/>
    </row>
    <row r="10" spans="1:8" s="933" customFormat="1">
      <c r="A10" s="1004" t="s">
        <v>7782</v>
      </c>
      <c r="B10" s="1005"/>
      <c r="C10" s="1005"/>
      <c r="D10" s="1005"/>
      <c r="E10" s="1005"/>
      <c r="F10" s="1005"/>
      <c r="G10" s="1005"/>
      <c r="H10" s="1005"/>
    </row>
    <row r="11" spans="1:8" s="933" customFormat="1">
      <c r="A11" s="1006" t="s">
        <v>7783</v>
      </c>
      <c r="B11" s="1005"/>
      <c r="C11" s="1005"/>
      <c r="D11" s="1005"/>
      <c r="E11" s="1005"/>
      <c r="F11" s="1005"/>
      <c r="G11" s="1005"/>
      <c r="H11" s="1005"/>
    </row>
    <row r="12" spans="1:8" s="933" customFormat="1"/>
    <row r="13" spans="1:8" s="933" customFormat="1">
      <c r="A13" s="1009" t="s">
        <v>7784</v>
      </c>
      <c r="B13" s="1005"/>
      <c r="C13" s="1005"/>
      <c r="D13" s="1005"/>
      <c r="E13" s="1005"/>
      <c r="F13" s="1005"/>
      <c r="G13" s="1005"/>
      <c r="H13" s="1005"/>
    </row>
    <row r="14" spans="1:8" s="933" customFormat="1">
      <c r="A14" s="1004" t="s">
        <v>7785</v>
      </c>
      <c r="B14" s="1005"/>
      <c r="C14" s="1005"/>
      <c r="D14" s="1005"/>
      <c r="E14" s="1005"/>
      <c r="F14" s="1005"/>
      <c r="G14" s="1005"/>
      <c r="H14" s="1005"/>
    </row>
    <row r="15" spans="1:8" s="933" customFormat="1" ht="52.5" customHeight="1">
      <c r="A15" s="1006" t="s">
        <v>7786</v>
      </c>
      <c r="B15" s="1005"/>
      <c r="C15" s="1005"/>
      <c r="D15" s="1005"/>
      <c r="E15" s="1005"/>
      <c r="F15" s="1005"/>
      <c r="G15" s="1005"/>
      <c r="H15" s="1005"/>
    </row>
    <row r="16" spans="1:8" s="933" customFormat="1">
      <c r="A16" s="1004" t="s">
        <v>7787</v>
      </c>
      <c r="B16" s="1005"/>
      <c r="C16" s="1005"/>
      <c r="D16" s="1005"/>
      <c r="E16" s="1005"/>
      <c r="F16" s="1005"/>
      <c r="G16" s="1005"/>
      <c r="H16" s="1005"/>
    </row>
    <row r="17" spans="1:8" s="933" customFormat="1" ht="39" customHeight="1">
      <c r="A17" s="1006" t="s">
        <v>7788</v>
      </c>
      <c r="B17" s="1005"/>
      <c r="C17" s="1005"/>
      <c r="D17" s="1005"/>
      <c r="E17" s="1005"/>
      <c r="F17" s="1005"/>
      <c r="G17" s="1005"/>
      <c r="H17" s="1005"/>
    </row>
    <row r="18" spans="1:8" s="933" customFormat="1"/>
    <row r="19" spans="1:8" s="933" customFormat="1">
      <c r="A19" s="1009" t="s">
        <v>7789</v>
      </c>
      <c r="B19" s="1005"/>
      <c r="C19" s="1005"/>
      <c r="D19" s="1005"/>
      <c r="E19" s="1005"/>
      <c r="F19" s="1005"/>
      <c r="G19" s="1005"/>
      <c r="H19" s="1005"/>
    </row>
    <row r="20" spans="1:8" s="933" customFormat="1">
      <c r="A20" s="1004" t="s">
        <v>7790</v>
      </c>
      <c r="B20" s="1005"/>
      <c r="C20" s="1005"/>
      <c r="D20" s="1005"/>
      <c r="E20" s="1005"/>
      <c r="F20" s="1005"/>
      <c r="G20" s="1005"/>
      <c r="H20" s="1005"/>
    </row>
    <row r="21" spans="1:8" s="933" customFormat="1" ht="40.5" customHeight="1">
      <c r="A21" s="1006" t="s">
        <v>7791</v>
      </c>
      <c r="B21" s="1005"/>
      <c r="C21" s="1005"/>
      <c r="D21" s="1005"/>
      <c r="E21" s="1005"/>
      <c r="F21" s="1005"/>
      <c r="G21" s="1005"/>
      <c r="H21" s="1005"/>
    </row>
    <row r="22" spans="1:8" s="933" customFormat="1">
      <c r="A22" s="1004" t="s">
        <v>7792</v>
      </c>
      <c r="B22" s="1005"/>
      <c r="C22" s="1005"/>
      <c r="D22" s="1005"/>
      <c r="E22" s="1005"/>
      <c r="F22" s="1005"/>
      <c r="G22" s="1005"/>
      <c r="H22" s="1005"/>
    </row>
    <row r="23" spans="1:8" s="933" customFormat="1" ht="28.5" customHeight="1">
      <c r="A23" s="1006" t="s">
        <v>7793</v>
      </c>
      <c r="B23" s="1005"/>
      <c r="C23" s="1005"/>
      <c r="D23" s="1005"/>
      <c r="E23" s="1005"/>
      <c r="F23" s="1005"/>
      <c r="G23" s="1005"/>
      <c r="H23" s="1005"/>
    </row>
    <row r="24" spans="1:8" s="933" customFormat="1" ht="36" customHeight="1">
      <c r="A24" s="1004" t="s">
        <v>7794</v>
      </c>
      <c r="B24" s="1005"/>
      <c r="C24" s="1005"/>
      <c r="D24" s="1005"/>
      <c r="E24" s="1005"/>
      <c r="F24" s="1005"/>
      <c r="G24" s="1005"/>
      <c r="H24" s="1005"/>
    </row>
    <row r="25" spans="1:8" s="933" customFormat="1" ht="40.5" customHeight="1">
      <c r="A25" s="1006" t="s">
        <v>7795</v>
      </c>
      <c r="B25" s="1005"/>
      <c r="C25" s="1005"/>
      <c r="D25" s="1005"/>
      <c r="E25" s="1005"/>
      <c r="F25" s="1005"/>
      <c r="G25" s="1005"/>
      <c r="H25" s="1005"/>
    </row>
    <row r="26" spans="1:8" s="933" customFormat="1"/>
    <row r="27" spans="1:8" s="933" customFormat="1">
      <c r="A27" s="1009" t="s">
        <v>7796</v>
      </c>
      <c r="B27" s="1005"/>
      <c r="C27" s="1005"/>
      <c r="D27" s="1005"/>
      <c r="E27" s="1005"/>
      <c r="F27" s="1005"/>
      <c r="G27" s="1005"/>
      <c r="H27" s="1005"/>
    </row>
    <row r="28" spans="1:8" s="933" customFormat="1">
      <c r="A28" s="1004" t="s">
        <v>7797</v>
      </c>
      <c r="B28" s="1005"/>
      <c r="C28" s="1005"/>
      <c r="D28" s="1005"/>
      <c r="E28" s="1005"/>
      <c r="F28" s="1005"/>
      <c r="G28" s="1005"/>
      <c r="H28" s="1005"/>
    </row>
    <row r="29" spans="1:8" s="933" customFormat="1" ht="39.75" customHeight="1">
      <c r="A29" s="1006" t="s">
        <v>7798</v>
      </c>
      <c r="B29" s="1005"/>
      <c r="C29" s="1005"/>
      <c r="D29" s="1005"/>
      <c r="E29" s="1005"/>
      <c r="F29" s="1005"/>
      <c r="G29" s="1005"/>
      <c r="H29" s="1005"/>
    </row>
    <row r="30" spans="1:8" s="933" customFormat="1">
      <c r="A30" s="1004" t="s">
        <v>7799</v>
      </c>
      <c r="B30" s="1005"/>
      <c r="C30" s="1005"/>
      <c r="D30" s="1005"/>
      <c r="E30" s="1005"/>
      <c r="F30" s="1005"/>
      <c r="G30" s="1005"/>
      <c r="H30" s="1005"/>
    </row>
    <row r="31" spans="1:8" s="933" customFormat="1" ht="29.25" customHeight="1">
      <c r="A31" s="1006" t="s">
        <v>7800</v>
      </c>
      <c r="B31" s="1005"/>
      <c r="C31" s="1005"/>
      <c r="D31" s="1005"/>
      <c r="E31" s="1005"/>
      <c r="F31" s="1005"/>
      <c r="G31" s="1005"/>
      <c r="H31" s="1005"/>
    </row>
    <row r="33" spans="1:8" s="933" customFormat="1">
      <c r="A33" s="1009" t="s">
        <v>7801</v>
      </c>
      <c r="B33" s="1005"/>
      <c r="C33" s="1005"/>
      <c r="D33" s="1005"/>
      <c r="E33" s="1005"/>
      <c r="F33" s="1005"/>
      <c r="G33" s="1005"/>
      <c r="H33" s="1005"/>
    </row>
    <row r="34" spans="1:8" s="933" customFormat="1">
      <c r="A34" s="1004" t="s">
        <v>7802</v>
      </c>
      <c r="B34" s="1005"/>
      <c r="C34" s="1005"/>
      <c r="D34" s="1005"/>
      <c r="E34" s="1005"/>
      <c r="F34" s="1005"/>
      <c r="G34" s="1005"/>
      <c r="H34" s="1005"/>
    </row>
    <row r="35" spans="1:8" s="933" customFormat="1" ht="66" customHeight="1">
      <c r="A35" s="1006" t="s">
        <v>7803</v>
      </c>
      <c r="B35" s="1005"/>
      <c r="C35" s="1005"/>
      <c r="D35" s="1005"/>
      <c r="E35" s="1005"/>
      <c r="F35" s="1005"/>
      <c r="G35" s="1005"/>
      <c r="H35" s="1005"/>
    </row>
    <row r="36" spans="1:8" s="933" customFormat="1">
      <c r="A36" s="1004" t="s">
        <v>7804</v>
      </c>
      <c r="B36" s="1005"/>
      <c r="C36" s="1005"/>
      <c r="D36" s="1005"/>
      <c r="E36" s="1005"/>
      <c r="F36" s="1005"/>
      <c r="G36" s="1005"/>
      <c r="H36" s="1005"/>
    </row>
    <row r="37" spans="1:8" s="933" customFormat="1" ht="66" customHeight="1">
      <c r="A37" s="1006" t="s">
        <v>7805</v>
      </c>
      <c r="B37" s="1005"/>
      <c r="C37" s="1005"/>
      <c r="D37" s="1005"/>
      <c r="E37" s="1005"/>
      <c r="F37" s="1005"/>
      <c r="G37" s="1005"/>
      <c r="H37" s="1005"/>
    </row>
    <row r="38" spans="1:8" s="933" customFormat="1">
      <c r="A38" s="1004" t="s">
        <v>7806</v>
      </c>
      <c r="B38" s="1005"/>
      <c r="C38" s="1005"/>
      <c r="D38" s="1005"/>
      <c r="E38" s="1005"/>
      <c r="F38" s="1005"/>
      <c r="G38" s="1005"/>
      <c r="H38" s="1005"/>
    </row>
    <row r="39" spans="1:8" s="933" customFormat="1" ht="66" customHeight="1">
      <c r="A39" s="1006" t="s">
        <v>7807</v>
      </c>
      <c r="B39" s="1005"/>
      <c r="C39" s="1005"/>
      <c r="D39" s="1005"/>
      <c r="E39" s="1005"/>
      <c r="F39" s="1005"/>
      <c r="G39" s="1005"/>
      <c r="H39" s="1005"/>
    </row>
    <row r="40" spans="1:8" s="933" customFormat="1" ht="36" customHeight="1">
      <c r="A40" s="1004" t="s">
        <v>7808</v>
      </c>
      <c r="B40" s="1005"/>
      <c r="C40" s="1005"/>
      <c r="D40" s="1005"/>
      <c r="E40" s="1005"/>
      <c r="F40" s="1005"/>
      <c r="G40" s="1005"/>
      <c r="H40" s="1005"/>
    </row>
    <row r="41" spans="1:8" s="933" customFormat="1" ht="30.75" customHeight="1">
      <c r="A41" s="1010" t="s">
        <v>7809</v>
      </c>
      <c r="B41" s="1005"/>
      <c r="C41" s="1005"/>
      <c r="D41" s="1005"/>
      <c r="E41" s="1005"/>
      <c r="F41" s="1005"/>
      <c r="G41" s="1005"/>
      <c r="H41" s="1005"/>
    </row>
    <row r="42" spans="1:8" s="933" customFormat="1"/>
    <row r="43" spans="1:8" s="933" customFormat="1">
      <c r="A43" s="1009" t="s">
        <v>7810</v>
      </c>
      <c r="B43" s="1005"/>
      <c r="C43" s="1005"/>
      <c r="D43" s="1005"/>
      <c r="E43" s="1005"/>
      <c r="F43" s="1005"/>
      <c r="G43" s="1005"/>
      <c r="H43" s="1005"/>
    </row>
    <row r="44" spans="1:8" s="933" customFormat="1">
      <c r="A44" s="1004" t="s">
        <v>7811</v>
      </c>
      <c r="B44" s="1005"/>
      <c r="C44" s="1005"/>
      <c r="D44" s="1005"/>
      <c r="E44" s="1005"/>
      <c r="F44" s="1005"/>
      <c r="G44" s="1005"/>
      <c r="H44" s="1005"/>
    </row>
    <row r="45" spans="1:8" s="933" customFormat="1" ht="27" customHeight="1">
      <c r="A45" s="1006" t="s">
        <v>7812</v>
      </c>
      <c r="B45" s="1005"/>
      <c r="C45" s="1005"/>
      <c r="D45" s="1005"/>
      <c r="E45" s="1005"/>
      <c r="F45" s="1005"/>
      <c r="G45" s="1005"/>
      <c r="H45" s="1005"/>
    </row>
    <row r="46" spans="1:8" s="933" customFormat="1">
      <c r="A46" s="1004" t="s">
        <v>7813</v>
      </c>
      <c r="B46" s="1005"/>
      <c r="C46" s="1005"/>
      <c r="D46" s="1005"/>
      <c r="E46" s="1005"/>
      <c r="F46" s="1005"/>
      <c r="G46" s="1005"/>
      <c r="H46" s="1005"/>
    </row>
    <row r="47" spans="1:8" s="933" customFormat="1">
      <c r="A47" s="1006" t="s">
        <v>7814</v>
      </c>
      <c r="B47" s="1005"/>
      <c r="C47" s="1005"/>
      <c r="D47" s="1005"/>
      <c r="E47" s="1005"/>
      <c r="F47" s="1005"/>
      <c r="G47" s="1005"/>
      <c r="H47" s="1005"/>
    </row>
    <row r="48" spans="1:8" s="933" customFormat="1">
      <c r="A48" s="1004" t="s">
        <v>7815</v>
      </c>
      <c r="B48" s="1005"/>
      <c r="C48" s="1005"/>
      <c r="D48" s="1005"/>
      <c r="E48" s="1005"/>
      <c r="F48" s="1005"/>
      <c r="G48" s="1005"/>
      <c r="H48" s="1005"/>
    </row>
    <row r="49" spans="1:8" s="933" customFormat="1">
      <c r="A49" s="1006" t="s">
        <v>7816</v>
      </c>
      <c r="B49" s="1005"/>
      <c r="C49" s="1005"/>
      <c r="D49" s="1005"/>
      <c r="E49" s="1005"/>
      <c r="F49" s="1005"/>
      <c r="G49" s="1005"/>
      <c r="H49" s="1005"/>
    </row>
    <row r="50" spans="1:8" s="933" customFormat="1">
      <c r="A50" s="1004" t="s">
        <v>7817</v>
      </c>
      <c r="B50" s="1005"/>
      <c r="C50" s="1005"/>
      <c r="D50" s="1005"/>
      <c r="E50" s="1005"/>
      <c r="F50" s="1005"/>
      <c r="G50" s="1005"/>
      <c r="H50" s="1005"/>
    </row>
    <row r="51" spans="1:8" s="933" customFormat="1">
      <c r="A51" s="1006" t="s">
        <v>7818</v>
      </c>
      <c r="B51" s="1005"/>
      <c r="C51" s="1005"/>
      <c r="D51" s="1005"/>
      <c r="E51" s="1005"/>
      <c r="F51" s="1005"/>
      <c r="G51" s="1005"/>
      <c r="H51" s="1005"/>
    </row>
    <row r="52" spans="1:8" s="933" customFormat="1" ht="17.25" customHeight="1">
      <c r="A52" s="1004" t="s">
        <v>7819</v>
      </c>
      <c r="B52" s="1005"/>
      <c r="C52" s="1005"/>
      <c r="D52" s="1005"/>
      <c r="E52" s="1005"/>
      <c r="F52" s="1005"/>
      <c r="G52" s="1005"/>
      <c r="H52" s="1005"/>
    </row>
    <row r="53" spans="1:8" s="933" customFormat="1" ht="27" customHeight="1">
      <c r="A53" s="1006" t="s">
        <v>7820</v>
      </c>
      <c r="B53" s="1005"/>
      <c r="C53" s="1005"/>
      <c r="D53" s="1005"/>
      <c r="E53" s="1005"/>
      <c r="F53" s="1005"/>
      <c r="G53" s="1005"/>
      <c r="H53" s="1005"/>
    </row>
    <row r="54" spans="1:8" s="933" customFormat="1"/>
    <row r="55" spans="1:8" s="933" customFormat="1">
      <c r="A55" s="1009" t="s">
        <v>7821</v>
      </c>
      <c r="B55" s="1005"/>
      <c r="C55" s="1005"/>
      <c r="D55" s="1005"/>
      <c r="E55" s="1005"/>
      <c r="F55" s="1005"/>
      <c r="G55" s="1005"/>
      <c r="H55" s="1005"/>
    </row>
    <row r="56" spans="1:8" s="933" customFormat="1" ht="28.5" customHeight="1">
      <c r="A56" s="1011" t="s">
        <v>7822</v>
      </c>
      <c r="B56" s="1005"/>
      <c r="C56" s="1005"/>
      <c r="D56" s="1005"/>
      <c r="E56" s="1005"/>
      <c r="F56" s="1005"/>
      <c r="G56" s="1005"/>
      <c r="H56" s="1005"/>
    </row>
    <row r="57" spans="1:8" s="933" customFormat="1"/>
    <row r="58" spans="1:8" s="933" customFormat="1"/>
    <row r="59" spans="1:8" s="933" customFormat="1">
      <c r="A59" s="1009" t="s">
        <v>7823</v>
      </c>
      <c r="B59" s="1005"/>
      <c r="C59" s="1005"/>
      <c r="D59" s="1005"/>
      <c r="E59" s="1005"/>
      <c r="F59" s="1005"/>
      <c r="G59" s="1005"/>
      <c r="H59" s="1005"/>
    </row>
    <row r="60" spans="1:8" s="933" customFormat="1">
      <c r="A60" s="481" t="s">
        <v>7824</v>
      </c>
    </row>
    <row r="61" spans="1:8" s="933" customFormat="1">
      <c r="A61" s="481" t="s">
        <v>7825</v>
      </c>
    </row>
    <row r="62" spans="1:8" s="933" customFormat="1">
      <c r="A62" s="481" t="s">
        <v>7826</v>
      </c>
    </row>
    <row r="63" spans="1:8" s="933" customFormat="1">
      <c r="A63" s="481" t="s">
        <v>7827</v>
      </c>
    </row>
    <row r="64" spans="1:8" s="933" customFormat="1">
      <c r="A64" s="481" t="s">
        <v>7828</v>
      </c>
    </row>
    <row r="66" spans="1:8" s="933" customFormat="1">
      <c r="A66" s="1009" t="s">
        <v>7829</v>
      </c>
      <c r="B66" s="1005"/>
      <c r="C66" s="1005"/>
      <c r="D66" s="1005"/>
      <c r="E66" s="1005"/>
      <c r="F66" s="1005"/>
      <c r="G66" s="1005"/>
      <c r="H66" s="1005"/>
    </row>
    <row r="67" spans="1:8" s="933" customFormat="1">
      <c r="A67" s="481" t="s">
        <v>7830</v>
      </c>
    </row>
    <row r="68" spans="1:8" s="933" customFormat="1">
      <c r="A68" s="481" t="s">
        <v>7831</v>
      </c>
    </row>
    <row r="69" spans="1:8" s="933" customFormat="1">
      <c r="A69" s="481" t="s">
        <v>7832</v>
      </c>
    </row>
    <row r="70" spans="1:8" s="933" customFormat="1">
      <c r="A70" s="453"/>
    </row>
    <row r="71" spans="1:8" s="933" customFormat="1">
      <c r="A71" s="1009" t="s">
        <v>7833</v>
      </c>
      <c r="B71" s="1005"/>
      <c r="C71" s="1005"/>
      <c r="D71" s="1005"/>
      <c r="E71" s="1005"/>
      <c r="F71" s="1005"/>
      <c r="G71" s="1005"/>
      <c r="H71" s="1005"/>
    </row>
    <row r="72" spans="1:8" s="933" customFormat="1">
      <c r="A72" s="481" t="s">
        <v>118</v>
      </c>
    </row>
    <row r="73" spans="1:8" s="933" customFormat="1">
      <c r="A73" s="481" t="s">
        <v>7834</v>
      </c>
    </row>
    <row r="74" spans="1:8" s="933" customFormat="1">
      <c r="A74" s="481" t="s">
        <v>7835</v>
      </c>
    </row>
    <row r="75" spans="1:8" s="933" customFormat="1">
      <c r="A75" s="481" t="s">
        <v>7836</v>
      </c>
    </row>
    <row r="76" spans="1:8" s="933" customFormat="1">
      <c r="A76" s="481" t="s">
        <v>7837</v>
      </c>
    </row>
    <row r="77" spans="1:8" s="933" customFormat="1">
      <c r="A77" s="481" t="s">
        <v>7838</v>
      </c>
    </row>
    <row r="78" spans="1:8" s="933" customFormat="1">
      <c r="A78" s="481" t="s">
        <v>7839</v>
      </c>
    </row>
    <row r="79" spans="1:8" s="933" customFormat="1">
      <c r="A79" s="481" t="s">
        <v>7840</v>
      </c>
    </row>
    <row r="80" spans="1:8" s="933" customFormat="1">
      <c r="A80" s="481" t="s">
        <v>7841</v>
      </c>
    </row>
    <row r="81" spans="1:1" s="933" customFormat="1">
      <c r="A81" s="481" t="s">
        <v>7842</v>
      </c>
    </row>
    <row r="82" spans="1:1" s="933" customFormat="1">
      <c r="A82" s="481" t="s">
        <v>127</v>
      </c>
    </row>
    <row r="83" spans="1:1" s="933" customFormat="1">
      <c r="A83" s="481" t="s">
        <v>7843</v>
      </c>
    </row>
    <row r="84" spans="1:1" s="933" customFormat="1">
      <c r="A84" s="481" t="s">
        <v>7844</v>
      </c>
    </row>
    <row r="85" spans="1:1" s="933" customFormat="1">
      <c r="A85" s="481" t="s">
        <v>7845</v>
      </c>
    </row>
    <row r="86" spans="1:1" s="933" customFormat="1">
      <c r="A86" s="481" t="s">
        <v>7846</v>
      </c>
    </row>
    <row r="87" spans="1:1" s="933" customFormat="1">
      <c r="A87" s="481" t="s">
        <v>7847</v>
      </c>
    </row>
    <row r="88" spans="1:1" s="933" customFormat="1">
      <c r="A88" s="481" t="s">
        <v>7848</v>
      </c>
    </row>
    <row r="89" spans="1:1" s="933" customFormat="1">
      <c r="A89" s="481" t="s">
        <v>7849</v>
      </c>
    </row>
    <row r="90" spans="1:1" s="933" customFormat="1">
      <c r="A90" s="481" t="s">
        <v>7850</v>
      </c>
    </row>
  </sheetData>
  <mergeCells count="51">
    <mergeCell ref="A14:H14"/>
    <mergeCell ref="A47:H47"/>
    <mergeCell ref="A5:H5"/>
    <mergeCell ref="A23:H23"/>
    <mergeCell ref="A8:H8"/>
    <mergeCell ref="A22:H22"/>
    <mergeCell ref="A17:H17"/>
    <mergeCell ref="A40:H40"/>
    <mergeCell ref="A35:H35"/>
    <mergeCell ref="A29:H29"/>
    <mergeCell ref="A20:H20"/>
    <mergeCell ref="A38:H38"/>
    <mergeCell ref="A43:H43"/>
    <mergeCell ref="A51:H51"/>
    <mergeCell ref="A49:H49"/>
    <mergeCell ref="A45:H45"/>
    <mergeCell ref="A71:H71"/>
    <mergeCell ref="A33:H33"/>
    <mergeCell ref="A53:H53"/>
    <mergeCell ref="A36:H36"/>
    <mergeCell ref="A11:H11"/>
    <mergeCell ref="A9:H9"/>
    <mergeCell ref="A66:H66"/>
    <mergeCell ref="A46:H46"/>
    <mergeCell ref="A37:H37"/>
    <mergeCell ref="A27:H27"/>
    <mergeCell ref="A56:H56"/>
    <mergeCell ref="A50:H50"/>
    <mergeCell ref="A55:H55"/>
    <mergeCell ref="A52:H52"/>
    <mergeCell ref="A28:H28"/>
    <mergeCell ref="A44:H44"/>
    <mergeCell ref="A31:H31"/>
    <mergeCell ref="A34:H34"/>
    <mergeCell ref="A59:H59"/>
    <mergeCell ref="A48:H48"/>
    <mergeCell ref="A30:H30"/>
    <mergeCell ref="A39:H39"/>
    <mergeCell ref="A15:H15"/>
    <mergeCell ref="A1:H1"/>
    <mergeCell ref="A7:H7"/>
    <mergeCell ref="A25:H25"/>
    <mergeCell ref="A16:H16"/>
    <mergeCell ref="A41:H41"/>
    <mergeCell ref="A3:H3"/>
    <mergeCell ref="A21:H21"/>
    <mergeCell ref="A4:H4"/>
    <mergeCell ref="A10:H10"/>
    <mergeCell ref="A13:H13"/>
    <mergeCell ref="A19:H19"/>
    <mergeCell ref="A24:H24"/>
  </mergeCells>
  <pageMargins left="7.874015748031496E-2" right="0.15748031496062989" top="0.39370078740157483" bottom="0.39370078740157483" header="0.31496062992125978" footer="0.11811023622047249"/>
  <pageSetup paperSize="9" scale="10" fitToHeight="2"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8" tint="-0.249977111117893"/>
    <pageSetUpPr fitToPage="1"/>
  </sheetPr>
  <dimension ref="A1:AZ34"/>
  <sheetViews>
    <sheetView zoomScale="85" zoomScaleNormal="85" workbookViewId="0">
      <selection activeCell="D28" sqref="D28"/>
    </sheetView>
  </sheetViews>
  <sheetFormatPr baseColWidth="10" defaultColWidth="9.140625" defaultRowHeight="15"/>
  <cols>
    <col min="1" max="1" width="6.28515625" style="934" customWidth="1"/>
    <col min="2" max="3" width="5.7109375" style="934" customWidth="1"/>
    <col min="4" max="4" width="32.85546875" style="934" bestFit="1" customWidth="1"/>
    <col min="5" max="5" width="31.42578125" style="43" customWidth="1"/>
    <col min="6" max="6" width="28" style="43" customWidth="1"/>
    <col min="7" max="7" width="51.140625" style="43" customWidth="1"/>
    <col min="8" max="8" width="10.7109375" style="934" customWidth="1"/>
    <col min="9" max="9" width="11.140625" style="934" customWidth="1"/>
    <col min="10" max="11" width="10.5703125" style="934" customWidth="1"/>
    <col min="12" max="12" width="7.85546875" style="934" customWidth="1"/>
    <col min="13" max="13" width="7" style="934" customWidth="1"/>
    <col min="14" max="14" width="9.42578125" style="934" customWidth="1"/>
    <col min="15" max="15" width="9.85546875" style="934" customWidth="1"/>
    <col min="16" max="16" width="9.7109375" style="934" customWidth="1"/>
    <col min="17" max="17" width="11.85546875" style="934" customWidth="1"/>
    <col min="18" max="18" width="3.42578125" style="933" customWidth="1"/>
    <col min="19" max="46" width="9.140625" style="933" customWidth="1"/>
    <col min="47" max="52" width="9.140625" style="438" customWidth="1"/>
  </cols>
  <sheetData>
    <row r="1" spans="1:26" s="933" customFormat="1" ht="18.75" customHeight="1">
      <c r="D1" s="477"/>
      <c r="E1" s="477"/>
      <c r="F1" s="478" t="s">
        <v>7851</v>
      </c>
      <c r="G1" s="479"/>
      <c r="I1" s="440"/>
      <c r="J1" s="440" t="s">
        <v>7852</v>
      </c>
      <c r="K1" s="440"/>
    </row>
    <row r="2" spans="1:26" ht="55.5" customHeight="1">
      <c r="A2" s="420" t="s">
        <v>7853</v>
      </c>
      <c r="B2" s="419" t="s">
        <v>7854</v>
      </c>
      <c r="C2" s="421" t="s">
        <v>7855</v>
      </c>
      <c r="D2" s="829" t="s">
        <v>2044</v>
      </c>
      <c r="E2" s="829" t="s">
        <v>6714</v>
      </c>
      <c r="F2" s="829" t="s">
        <v>6715</v>
      </c>
      <c r="G2" s="829" t="s">
        <v>2181</v>
      </c>
      <c r="H2" s="829" t="s">
        <v>7856</v>
      </c>
      <c r="I2" s="829" t="s">
        <v>7857</v>
      </c>
      <c r="J2" s="419" t="s">
        <v>7858</v>
      </c>
      <c r="K2" s="421" t="s">
        <v>7859</v>
      </c>
      <c r="L2" s="419" t="s">
        <v>7860</v>
      </c>
      <c r="M2" s="421" t="s">
        <v>2534</v>
      </c>
      <c r="N2" s="419" t="s">
        <v>7861</v>
      </c>
      <c r="O2" s="421" t="s">
        <v>7862</v>
      </c>
      <c r="P2" s="420" t="s">
        <v>7863</v>
      </c>
      <c r="Q2" s="829" t="s">
        <v>6711</v>
      </c>
    </row>
    <row r="3" spans="1:26">
      <c r="A3" s="405" t="s">
        <v>2535</v>
      </c>
      <c r="B3" s="405" t="s">
        <v>2535</v>
      </c>
      <c r="C3" s="405" t="s">
        <v>2535</v>
      </c>
      <c r="D3" s="520" t="s">
        <v>6739</v>
      </c>
      <c r="E3" s="520" t="s">
        <v>2104</v>
      </c>
      <c r="F3" s="520" t="s">
        <v>671</v>
      </c>
      <c r="G3" s="405" t="s">
        <v>6729</v>
      </c>
      <c r="H3" s="429">
        <f>IFERROR(I3/5,"")</f>
        <v>1094588.843723807</v>
      </c>
      <c r="I3" s="429">
        <f>SUMPRODUCT(($Q$4:$Q$106),('ANALYSE - ERP =&gt; SEGMENT'!$EU$8:$EU$110))</f>
        <v>5472944.2186190356</v>
      </c>
      <c r="J3" s="429">
        <f>SUMPRODUCT(($Q$4:$Q$106),('ANALYSE - ERP =&gt; SEGMENT'!$EV$8:$EV$110))</f>
        <v>4383492.4067671839</v>
      </c>
      <c r="K3" s="429">
        <f>SUMPRODUCT(($Q$4:$Q$106),('ANALYSE - ERP =&gt; SEGMENT'!$EW$8:$EW$110))</f>
        <v>1089451.81185185</v>
      </c>
      <c r="L3" s="790">
        <f>IFERROR(J3/I3,"")</f>
        <v>0.80093862310061181</v>
      </c>
      <c r="M3" s="790">
        <f>IFERROR(K3/I3,"")</f>
        <v>0.19906137689938794</v>
      </c>
      <c r="N3" s="918">
        <f>IFERROR(20*SUMPRODUCT(($Q$4:$Q$106),('ANALYSE - ERP =&gt; SEGMENT'!$FR$8:$FR$110),('ANALYSE - ERP =&gt; SEGMENT'!$EV$8:$EV$110))/SUMPRODUCT(($Q$4:$Q$106),('ANALYSE - ERP =&gt; SEGMENT'!$EV$8:$EV$110)),"")</f>
        <v>82.637981945701753</v>
      </c>
      <c r="O3" s="918">
        <f>IFERROR(20*SUMPRODUCT(($Q$4:$Q$106),('ANALYSE - ERP =&gt; SEGMENT'!$FT$8:$FT$110),('ANALYSE - ERP =&gt; SEGMENT'!$EW$8:$EW$110))/SUMPRODUCT(($Q$4:$Q$106),('ANALYSE - ERP =&gt; SEGMENT'!$EW$8:$EW$110)),"")</f>
        <v>48.202763213285536</v>
      </c>
      <c r="P3" s="918">
        <f>IFERROR(20*SUMPRODUCT(($Q$4:$Q$106),('ANALYSE - ERP =&gt; SEGMENT'!$FP$8:$FP$110),('ANALYSE - ERP =&gt; SEGMENT'!$EU$8:$EU$110))/SUMPRODUCT(($Q$4:$Q$106),('ANALYSE - ERP =&gt; SEGMENT'!$EU$8:$EU$110)),"")</f>
        <v>68.005688391121012</v>
      </c>
      <c r="Q3" s="428">
        <f>SUM('ANALYSE - ERP =&gt; SEGMENT'!$Q$8:$Q$110)</f>
        <v>34</v>
      </c>
    </row>
    <row r="4" spans="1:26" ht="15" customHeight="1">
      <c r="A4" s="26">
        <v>1</v>
      </c>
      <c r="B4" s="26">
        <v>1</v>
      </c>
      <c r="C4" s="26">
        <v>1</v>
      </c>
      <c r="D4" s="491" t="s">
        <v>2187</v>
      </c>
      <c r="E4" s="492" t="s">
        <v>3877</v>
      </c>
      <c r="F4" s="492" t="s">
        <v>7981</v>
      </c>
      <c r="G4" s="408" t="str">
        <f>'ANALYSE - ERP =&gt; SEGMENT'!$D$19</f>
        <v>Cafés / bars / brasseries
Fast-food / cafétérias / food courts
Restaurants
(Hors établissements altitude, flottant, armée)</v>
      </c>
      <c r="H4" s="424">
        <f t="shared" ref="H4:H34" si="0">I4/5</f>
        <v>152899.97381578168</v>
      </c>
      <c r="I4" s="447">
        <f>'ANALYSE - ERP =&gt; SEGMENT'!$EU$19</f>
        <v>764499.86907890835</v>
      </c>
      <c r="J4" s="427">
        <f>'ANALYSE - ERP =&gt; SEGMENT'!$EV$19</f>
        <v>625715.40212390828</v>
      </c>
      <c r="K4" s="427">
        <f>'ANALYSE - ERP =&gt; SEGMENT'!$EW$19</f>
        <v>138784.46695500001</v>
      </c>
      <c r="L4" s="787">
        <f>'ANALYSE - ERP =&gt; SEGMENT'!$ES$19</f>
        <v>0.63084358349320213</v>
      </c>
      <c r="M4" s="787">
        <f>'ANALYSE - ERP =&gt; SEGMENT'!$ET$19</f>
        <v>0.27994297863070267</v>
      </c>
      <c r="N4" s="916">
        <f>20*'ANALYSE - ERP =&gt; SEGMENT'!$FR$19</f>
        <v>82.951619761521499</v>
      </c>
      <c r="O4" s="916">
        <f>20*'ANALYSE - ERP =&gt; SEGMENT'!$FT$19</f>
        <v>53.251167666107065</v>
      </c>
      <c r="P4" s="916">
        <f>20*'ANALYSE - ERP =&gt; SEGMENT'!$FP$19</f>
        <v>70.221479840561926</v>
      </c>
      <c r="Q4" s="430">
        <f>'ANALYSE - ERP =&gt; SEGMENT'!$Q$19</f>
        <v>1</v>
      </c>
      <c r="S4" s="443" t="s">
        <v>7864</v>
      </c>
      <c r="Z4" s="443" t="s">
        <v>7865</v>
      </c>
    </row>
    <row r="5" spans="1:26" ht="15" customHeight="1">
      <c r="A5" s="26">
        <v>2</v>
      </c>
      <c r="B5" s="26">
        <v>2</v>
      </c>
      <c r="C5" s="26">
        <v>2</v>
      </c>
      <c r="D5" s="493" t="s">
        <v>2241</v>
      </c>
      <c r="E5" s="494" t="s">
        <v>1032</v>
      </c>
      <c r="F5" s="494" t="s">
        <v>7982</v>
      </c>
      <c r="G5" s="409" t="str">
        <f>'ANALYSE - ERP =&gt; SEGMENT'!$D$14</f>
        <v>Établissements médico-éducatifs
Foyers pour personnes handicapées
EHPAD
USLD
Résidences autonomie
Foyers-logements
(Public)
Résidences services seniors
(Privé)</v>
      </c>
      <c r="H5" s="424">
        <f t="shared" si="0"/>
        <v>135993.85916089511</v>
      </c>
      <c r="I5" s="447">
        <f>'ANALYSE - ERP =&gt; SEGMENT'!$EU$14</f>
        <v>679969.29580447555</v>
      </c>
      <c r="J5" s="427">
        <f>'ANALYSE - ERP =&gt; SEGMENT'!$EV$14</f>
        <v>550228.97086447559</v>
      </c>
      <c r="K5" s="427">
        <f>'ANALYSE - ERP =&gt; SEGMENT'!$EW$14</f>
        <v>129740.32493999999</v>
      </c>
      <c r="L5" s="787">
        <f>'ANALYSE - ERP =&gt; SEGMENT'!$ES$14</f>
        <v>0.66679492223551229</v>
      </c>
      <c r="M5" s="787">
        <f>'ANALYSE - ERP =&gt; SEGMENT'!$ET$14</f>
        <v>0.25085076825097202</v>
      </c>
      <c r="N5" s="916">
        <f>20*'ANALYSE - ERP =&gt; SEGMENT'!$FR$14</f>
        <v>84.46920786953612</v>
      </c>
      <c r="O5" s="916">
        <f>20*'ANALYSE - ERP =&gt; SEGMENT'!$FT$14</f>
        <v>52.668528784524852</v>
      </c>
      <c r="P5" s="916">
        <f>20*'ANALYSE - ERP =&gt; SEGMENT'!$FP$14</f>
        <v>69.959607266703102</v>
      </c>
      <c r="Q5" s="430">
        <f>'ANALYSE - ERP =&gt; SEGMENT'!$Q$14</f>
        <v>1</v>
      </c>
    </row>
    <row r="6" spans="1:26" ht="15" customHeight="1">
      <c r="A6" s="26">
        <v>3</v>
      </c>
      <c r="B6" s="26">
        <v>3</v>
      </c>
      <c r="C6" s="26">
        <v>5</v>
      </c>
      <c r="D6" s="495" t="s">
        <v>1670</v>
      </c>
      <c r="E6" s="496" t="s">
        <v>1671</v>
      </c>
      <c r="F6" s="496" t="s">
        <v>7983</v>
      </c>
      <c r="G6" s="416" t="str">
        <f>'ANALYSE - ERP =&gt; SEGMENT'!$D$30</f>
        <v>Gymnases / salles multisports
Piscines couvertes
Salles de fitness / dojos
Patinoires couvertes
Établissements thermaux
Centres de thalassothérapie / balnéothérapie / grands spas ouverts au public</v>
      </c>
      <c r="H6" s="424">
        <f t="shared" si="0"/>
        <v>124023.60676638487</v>
      </c>
      <c r="I6" s="447">
        <f>'ANALYSE - ERP =&gt; SEGMENT'!$EU$30</f>
        <v>620118.03383192432</v>
      </c>
      <c r="J6" s="427">
        <f>'ANALYSE - ERP =&gt; SEGMENT'!$EV$30</f>
        <v>494346.81463192432</v>
      </c>
      <c r="K6" s="427">
        <f>'ANALYSE - ERP =&gt; SEGMENT'!$EW$30</f>
        <v>125771.21919999999</v>
      </c>
      <c r="L6" s="787">
        <f>'ANALYSE - ERP =&gt; SEGMENT'!$ES$30</f>
        <v>0.77932596326192605</v>
      </c>
      <c r="M6" s="787">
        <f>'ANALYSE - ERP =&gt; SEGMENT'!$ET$30</f>
        <v>0.15772684232358991</v>
      </c>
      <c r="N6" s="916">
        <f>20*'ANALYSE - ERP =&gt; SEGMENT'!$FR$30</f>
        <v>83.97467828035893</v>
      </c>
      <c r="O6" s="916">
        <f>20*'ANALYSE - ERP =&gt; SEGMENT'!$FT$30</f>
        <v>48.573310709704877</v>
      </c>
      <c r="P6" s="916">
        <f>20*'ANALYSE - ERP =&gt; SEGMENT'!$FP$30</f>
        <v>67.958429866063199</v>
      </c>
      <c r="Q6" s="430">
        <f>'ANALYSE - ERP =&gt; SEGMENT'!$Q$30</f>
        <v>1</v>
      </c>
      <c r="S6" s="933" t="s">
        <v>7866</v>
      </c>
      <c r="Z6" s="933" t="s">
        <v>7867</v>
      </c>
    </row>
    <row r="7" spans="1:26" ht="15" customHeight="1">
      <c r="A7" s="26">
        <v>4</v>
      </c>
      <c r="B7" s="26">
        <v>4</v>
      </c>
      <c r="C7" s="26">
        <v>3</v>
      </c>
      <c r="D7" s="497" t="s">
        <v>6739</v>
      </c>
      <c r="E7" s="498" t="s">
        <v>2678</v>
      </c>
      <c r="F7" s="498" t="s">
        <v>7984</v>
      </c>
      <c r="G7" s="410" t="str">
        <f>'ANALYSE - ERP =&gt; SEGMENT'!$D$9</f>
        <v>Écoles maternelles
Écoles primaires 
Collèges (vestiaires EPS inclus)
Lycées (vestiaires EPS inclus)
Internats scolaires</v>
      </c>
      <c r="H7" s="424">
        <f t="shared" si="0"/>
        <v>128039.03287499855</v>
      </c>
      <c r="I7" s="447">
        <f>'ANALYSE - ERP =&gt; SEGMENT'!$EU$9</f>
        <v>640195.16437499272</v>
      </c>
      <c r="J7" s="427">
        <f>'ANALYSE - ERP =&gt; SEGMENT'!$EV$9</f>
        <v>476568.3433238928</v>
      </c>
      <c r="K7" s="427">
        <f>'ANALYSE - ERP =&gt; SEGMENT'!$EW$9</f>
        <v>163626.82105109998</v>
      </c>
      <c r="L7" s="787">
        <f>'ANALYSE - ERP =&gt; SEGMENT'!$ES$9</f>
        <v>0.87261963160244937</v>
      </c>
      <c r="M7" s="787">
        <f>'ANALYSE - ERP =&gt; SEGMENT'!$ET$9</f>
        <v>8.3159760622985676E-2</v>
      </c>
      <c r="N7" s="916">
        <f>20*'ANALYSE - ERP =&gt; SEGMENT'!$FR$9</f>
        <v>82.605942156598246</v>
      </c>
      <c r="O7" s="916">
        <f>20*'ANALYSE - ERP =&gt; SEGMENT'!$FT$9</f>
        <v>41.931551100816407</v>
      </c>
      <c r="P7" s="916">
        <f>20*'ANALYSE - ERP =&gt; SEGMENT'!$FP$9</f>
        <v>64.22885764327664</v>
      </c>
      <c r="Q7" s="430">
        <f>'ANALYSE - ERP =&gt; SEGMENT'!$Q$9</f>
        <v>1</v>
      </c>
    </row>
    <row r="8" spans="1:26" ht="15" customHeight="1">
      <c r="A8" s="26">
        <v>5</v>
      </c>
      <c r="B8" s="26">
        <v>5</v>
      </c>
      <c r="C8" s="26">
        <v>7</v>
      </c>
      <c r="D8" s="499" t="s">
        <v>3662</v>
      </c>
      <c r="E8" s="500" t="s">
        <v>1114</v>
      </c>
      <c r="F8" s="500" t="s">
        <v>7985</v>
      </c>
      <c r="G8" s="414" t="str">
        <f>'ANALYSE - ERP =&gt; SEGMENT'!$D$16</f>
        <v>Cinémas
Théâtres
Musées
Salles de spectacle / auditoriums
Salles de conférence / réunion
Salles polyvalentes / salles des fêtes
Bibliothèques / médiathèques</v>
      </c>
      <c r="H8" s="424">
        <f t="shared" si="0"/>
        <v>62255.199791445339</v>
      </c>
      <c r="I8" s="447">
        <f>'ANALYSE - ERP =&gt; SEGMENT'!$EU$16</f>
        <v>311275.99895722669</v>
      </c>
      <c r="J8" s="427">
        <f>'ANALYSE - ERP =&gt; SEGMENT'!$EV$16</f>
        <v>252204.61653722671</v>
      </c>
      <c r="K8" s="427">
        <f>'ANALYSE - ERP =&gt; SEGMENT'!$EW$16</f>
        <v>59071.382419999994</v>
      </c>
      <c r="L8" s="787">
        <f>'ANALYSE - ERP =&gt; SEGMENT'!$ES$16</f>
        <v>0.90226373695459328</v>
      </c>
      <c r="M8" s="787">
        <f>'ANALYSE - ERP =&gt; SEGMENT'!$ET$16</f>
        <v>6.3905487058600691E-2</v>
      </c>
      <c r="N8" s="916">
        <f>20*'ANALYSE - ERP =&gt; SEGMENT'!$FR$16</f>
        <v>75.247202661167847</v>
      </c>
      <c r="O8" s="916">
        <f>20*'ANALYSE - ERP =&gt; SEGMENT'!$FT$16</f>
        <v>39.663649648170868</v>
      </c>
      <c r="P8" s="916">
        <f>20*'ANALYSE - ERP =&gt; SEGMENT'!$FP$16</f>
        <v>60.661096155948258</v>
      </c>
      <c r="Q8" s="430">
        <f>'ANALYSE - ERP =&gt; SEGMENT'!$Q$16</f>
        <v>1</v>
      </c>
      <c r="S8" s="933" t="s">
        <v>7868</v>
      </c>
      <c r="Z8" s="933" t="s">
        <v>7868</v>
      </c>
    </row>
    <row r="9" spans="1:26" ht="15" customHeight="1">
      <c r="A9" s="26">
        <v>6</v>
      </c>
      <c r="B9" s="26">
        <v>7</v>
      </c>
      <c r="C9" s="26">
        <v>4</v>
      </c>
      <c r="D9" s="501" t="s">
        <v>2264</v>
      </c>
      <c r="E9" s="502" t="s">
        <v>4024</v>
      </c>
      <c r="F9" s="502" t="s">
        <v>679</v>
      </c>
      <c r="G9" s="415" t="str">
        <f>'ANALYSE - ERP =&gt; SEGMENT'!$D$22</f>
        <v>Bureaux (&gt;50 personnes, tertiaire privé + logistique hors usines)</v>
      </c>
      <c r="H9" s="424">
        <f t="shared" si="0"/>
        <v>78410.244330623798</v>
      </c>
      <c r="I9" s="447">
        <f>'ANALYSE - ERP =&gt; SEGMENT'!$EU$22</f>
        <v>392051.22165311902</v>
      </c>
      <c r="J9" s="427">
        <f>'ANALYSE - ERP =&gt; SEGMENT'!$EV$22</f>
        <v>336224.600403119</v>
      </c>
      <c r="K9" s="427">
        <f>'ANALYSE - ERP =&gt; SEGMENT'!$EW$22</f>
        <v>55826.621250000004</v>
      </c>
      <c r="L9" s="787">
        <f>'ANALYSE - ERP =&gt; SEGMENT'!$ES$22</f>
        <v>0.86633663366336644</v>
      </c>
      <c r="M9" s="787">
        <f>'ANALYSE - ERP =&gt; SEGMENT'!$ET$22</f>
        <v>8.7458745874587462E-2</v>
      </c>
      <c r="N9" s="916">
        <f>20*'ANALYSE - ERP =&gt; SEGMENT'!$FR$22</f>
        <v>77.400000000000006</v>
      </c>
      <c r="O9" s="916">
        <f>20*'ANALYSE - ERP =&gt; SEGMENT'!$FT$22</f>
        <v>42.400000000000006</v>
      </c>
      <c r="P9" s="916">
        <f>20*'ANALYSE - ERP =&gt; SEGMENT'!$FP$22</f>
        <v>64.8</v>
      </c>
      <c r="Q9" s="430">
        <f>'ANALYSE - ERP =&gt; SEGMENT'!$Q$22</f>
        <v>1</v>
      </c>
      <c r="S9" s="444"/>
      <c r="Z9" s="444"/>
    </row>
    <row r="10" spans="1:26" ht="15" customHeight="1">
      <c r="A10" s="26">
        <v>7</v>
      </c>
      <c r="B10" s="26">
        <v>6</v>
      </c>
      <c r="C10" s="26">
        <v>6</v>
      </c>
      <c r="D10" s="495" t="s">
        <v>1670</v>
      </c>
      <c r="E10" s="496" t="s">
        <v>1747</v>
      </c>
      <c r="F10" s="496" t="s">
        <v>7986</v>
      </c>
      <c r="G10" s="408" t="str">
        <f>'ANALYSE - ERP =&gt; SEGMENT'!$D$31</f>
        <v>Grands stades avec tribunes
(Type football/rugby) 
Stades 
(Type athlétisme - Hors scolaire)
Terrains de sport
(Hors scolaire)
Hippodromes
Piscines extérieures 
(Hors campings, hôtels, résidences et établissement avec bassin intérieur)
Bases nautiques / centres nautiques avec vestiaires-douches
Bases de loisirs avec plages, douches et sanitaires</v>
      </c>
      <c r="H10" s="424">
        <f t="shared" si="0"/>
        <v>109909.04302606135</v>
      </c>
      <c r="I10" s="447">
        <f>'ANALYSE - ERP =&gt; SEGMENT'!$EU$31</f>
        <v>549545.21513030678</v>
      </c>
      <c r="J10" s="427">
        <f>'ANALYSE - ERP =&gt; SEGMENT'!$EV$31</f>
        <v>449524.59883030673</v>
      </c>
      <c r="K10" s="427">
        <f>'ANALYSE - ERP =&gt; SEGMENT'!$EW$31</f>
        <v>100020.61629999999</v>
      </c>
      <c r="L10" s="787">
        <f>'ANALYSE - ERP =&gt; SEGMENT'!$ES$31</f>
        <v>0.84800920481202735</v>
      </c>
      <c r="M10" s="787">
        <f>'ANALYSE - ERP =&gt; SEGMENT'!$ET$31</f>
        <v>8.9951691752862092E-2</v>
      </c>
      <c r="N10" s="916">
        <f>20*'ANALYSE - ERP =&gt; SEGMENT'!$FR$31</f>
        <v>89.181433112969387</v>
      </c>
      <c r="O10" s="916">
        <f>20*'ANALYSE - ERP =&gt; SEGMENT'!$FT$31</f>
        <v>42.429582717938111</v>
      </c>
      <c r="P10" s="916">
        <f>20*'ANALYSE - ERP =&gt; SEGMENT'!$FP$31</f>
        <v>71.692993106914912</v>
      </c>
      <c r="Q10" s="430">
        <f>'ANALYSE - ERP =&gt; SEGMENT'!$Q$31</f>
        <v>1</v>
      </c>
      <c r="S10" s="444" t="s">
        <v>7869</v>
      </c>
      <c r="Z10" s="444" t="s">
        <v>7870</v>
      </c>
    </row>
    <row r="11" spans="1:26" s="45" customFormat="1" ht="15" customHeight="1">
      <c r="A11" s="26">
        <v>8</v>
      </c>
      <c r="B11" s="26">
        <v>8</v>
      </c>
      <c r="C11" s="26">
        <v>9</v>
      </c>
      <c r="D11" s="503" t="s">
        <v>2278</v>
      </c>
      <c r="E11" s="504" t="s">
        <v>1527</v>
      </c>
      <c r="F11" s="504" t="s">
        <v>7987</v>
      </c>
      <c r="G11" s="411" t="str">
        <f>'ANALYSE - ERP =&gt; SEGMENT'!$D$27</f>
        <v>Mairies / hôtels de ville
Préfectures / services administratifs
Maisons France Services
Guichets publics</v>
      </c>
      <c r="H11" s="424">
        <f t="shared" si="0"/>
        <v>24998.619762521346</v>
      </c>
      <c r="I11" s="447">
        <f>'ANALYSE - ERP =&gt; SEGMENT'!$EU$27</f>
        <v>124993.09881260674</v>
      </c>
      <c r="J11" s="427">
        <f>'ANALYSE - ERP =&gt; SEGMENT'!$EV$27</f>
        <v>108576.91357260675</v>
      </c>
      <c r="K11" s="427">
        <f>'ANALYSE - ERP =&gt; SEGMENT'!$EW$27</f>
        <v>16416.185239999999</v>
      </c>
      <c r="L11" s="787">
        <f>'ANALYSE - ERP =&gt; SEGMENT'!$ES$27</f>
        <v>0.88796265955624476</v>
      </c>
      <c r="M11" s="787">
        <f>'ANALYSE - ERP =&gt; SEGMENT'!$ET$27</f>
        <v>7.6898818532154467E-2</v>
      </c>
      <c r="N11" s="916">
        <f>20*'ANALYSE - ERP =&gt; SEGMENT'!$FR$27</f>
        <v>71.749960692860554</v>
      </c>
      <c r="O11" s="916">
        <f>20*'ANALYSE - ERP =&gt; SEGMENT'!$FT$27</f>
        <v>41.568676901211667</v>
      </c>
      <c r="P11" s="916">
        <f>20*'ANALYSE - ERP =&gt; SEGMENT'!$FP$27</f>
        <v>60.563271252732449</v>
      </c>
      <c r="Q11" s="430">
        <f>'ANALYSE - ERP =&gt; SEGMENT'!$Q$27</f>
        <v>1</v>
      </c>
      <c r="R11" s="685"/>
      <c r="S11" s="444" t="s">
        <v>7871</v>
      </c>
      <c r="T11" s="685"/>
      <c r="U11" s="685"/>
      <c r="V11" s="685"/>
      <c r="W11" s="685"/>
      <c r="X11" s="685"/>
      <c r="Y11" s="685"/>
      <c r="Z11" s="444" t="s">
        <v>7872</v>
      </c>
    </row>
    <row r="12" spans="1:26" ht="15" customHeight="1">
      <c r="A12" s="26">
        <v>9</v>
      </c>
      <c r="B12" s="26">
        <v>9</v>
      </c>
      <c r="C12" s="26">
        <v>8</v>
      </c>
      <c r="D12" s="493" t="s">
        <v>2241</v>
      </c>
      <c r="E12" s="494" t="s">
        <v>1053</v>
      </c>
      <c r="F12" s="494" t="s">
        <v>7988</v>
      </c>
      <c r="G12" s="408" t="str">
        <f>'ANALYSE - ERP =&gt; SEGMENT'!$D$13</f>
        <v>Hôpitaux universitaires / CHU
Hôpitaux publics 
(Hors CHU, Universitaire, Militaire, Carcéral)
Hôpitaux privés
Cliniques</v>
      </c>
      <c r="H12" s="424">
        <f t="shared" si="0"/>
        <v>67006.579853289964</v>
      </c>
      <c r="I12" s="447">
        <f>'ANALYSE - ERP =&gt; SEGMENT'!$EU$13</f>
        <v>335032.89926644985</v>
      </c>
      <c r="J12" s="427">
        <f>'ANALYSE - ERP =&gt; SEGMENT'!$EV$13</f>
        <v>274963.39875644987</v>
      </c>
      <c r="K12" s="427">
        <f>'ANALYSE - ERP =&gt; SEGMENT'!$EW$13</f>
        <v>60069.500509999998</v>
      </c>
      <c r="L12" s="787">
        <f>'ANALYSE - ERP =&gt; SEGMENT'!$ES$13</f>
        <v>0.4493750083639646</v>
      </c>
      <c r="M12" s="787">
        <f>'ANALYSE - ERP =&gt; SEGMENT'!$ET$13</f>
        <v>0.41868766007201863</v>
      </c>
      <c r="N12" s="916">
        <f>20*'ANALYSE - ERP =&gt; SEGMENT'!$FR$13</f>
        <v>87.971329028583057</v>
      </c>
      <c r="O12" s="916">
        <f>20*'ANALYSE - ERP =&gt; SEGMENT'!$FT$13</f>
        <v>55.902662891245008</v>
      </c>
      <c r="P12" s="916">
        <f>20*'ANALYSE - ERP =&gt; SEGMENT'!$FP$13</f>
        <v>73.518773592775986</v>
      </c>
      <c r="Q12" s="430">
        <f>'ANALYSE - ERP =&gt; SEGMENT'!$Q$13</f>
        <v>1</v>
      </c>
      <c r="S12" s="444" t="s">
        <v>7873</v>
      </c>
      <c r="Z12" s="444" t="s">
        <v>7874</v>
      </c>
    </row>
    <row r="13" spans="1:26" ht="15" customHeight="1">
      <c r="A13" s="26">
        <v>10</v>
      </c>
      <c r="B13" s="26">
        <v>10</v>
      </c>
      <c r="C13" s="26">
        <v>13</v>
      </c>
      <c r="D13" s="503" t="s">
        <v>2278</v>
      </c>
      <c r="E13" s="504" t="s">
        <v>4578</v>
      </c>
      <c r="F13" s="504" t="s">
        <v>7989</v>
      </c>
      <c r="G13" s="410" t="str">
        <f>'ANALYSE - ERP =&gt; SEGMENT'!$D$28</f>
        <v>Églises, cathédrales, basiliques et chapelles ouvertes au public
Monastères, abbayes et couvents ouverts au public
Temples protestants, évangéliques et salles de culte assimilées
Mosquées et salles de prière musulmanes
Synagogues et oratoires juifs ouverts au public
Temples bouddhistes, hindous et autres lieux de culte non abrahamiques ouverts au public
Salles du Royaume, centres cultuels pluriconfessionnels et lieux de culte polyvalents</v>
      </c>
      <c r="H13" s="424">
        <f t="shared" si="0"/>
        <v>7715.9015168906099</v>
      </c>
      <c r="I13" s="447">
        <f>'ANALYSE - ERP =&gt; SEGMENT'!$EU$28</f>
        <v>38579.507584453051</v>
      </c>
      <c r="J13" s="427">
        <f>'ANALYSE - ERP =&gt; SEGMENT'!$EV$28</f>
        <v>31026.085584453049</v>
      </c>
      <c r="K13" s="427">
        <f>'ANALYSE - ERP =&gt; SEGMENT'!$EW$28</f>
        <v>7553.4220000000005</v>
      </c>
      <c r="L13" s="787">
        <f>'ANALYSE - ERP =&gt; SEGMENT'!$ES$28</f>
        <v>0.92870800327779301</v>
      </c>
      <c r="M13" s="787">
        <f>'ANALYSE - ERP =&gt; SEGMENT'!$ET$28</f>
        <v>4.1245561322043156E-2</v>
      </c>
      <c r="N13" s="916">
        <f>20*'ANALYSE - ERP =&gt; SEGMENT'!$FR$28</f>
        <v>64.59999999999998</v>
      </c>
      <c r="O13" s="916">
        <f>20*'ANALYSE - ERP =&gt; SEGMENT'!$FT$28</f>
        <v>30.2</v>
      </c>
      <c r="P13" s="916">
        <f>20*'ANALYSE - ERP =&gt; SEGMENT'!$FP$28</f>
        <v>52.199999999999996</v>
      </c>
      <c r="Q13" s="430">
        <f>'ANALYSE - ERP =&gt; SEGMENT'!$Q$28</f>
        <v>1</v>
      </c>
      <c r="S13" s="444" t="s">
        <v>7875</v>
      </c>
      <c r="Z13" s="444" t="s">
        <v>7876</v>
      </c>
    </row>
    <row r="14" spans="1:26" ht="15" customHeight="1">
      <c r="A14" s="26">
        <v>11</v>
      </c>
      <c r="B14" s="26">
        <v>11</v>
      </c>
      <c r="C14" s="26">
        <v>14</v>
      </c>
      <c r="D14" s="505" t="s">
        <v>7117</v>
      </c>
      <c r="E14" s="506" t="s">
        <v>4268</v>
      </c>
      <c r="F14" s="506" t="s">
        <v>4269</v>
      </c>
      <c r="G14" s="410" t="str">
        <f>'ANALYSE - ERP =&gt; SEGMENT'!$D$26</f>
        <v>Campings
Aires d’accueil des gens du voyage</v>
      </c>
      <c r="H14" s="424">
        <f t="shared" si="0"/>
        <v>35153.752343370194</v>
      </c>
      <c r="I14" s="447">
        <f>'ANALYSE - ERP =&gt; SEGMENT'!$EU$26</f>
        <v>175768.76171685098</v>
      </c>
      <c r="J14" s="427">
        <f>'ANALYSE - ERP =&gt; SEGMENT'!$EV$26</f>
        <v>152650.83994185098</v>
      </c>
      <c r="K14" s="427">
        <f>'ANALYSE - ERP =&gt; SEGMENT'!$EW$26</f>
        <v>23117.921774999999</v>
      </c>
      <c r="L14" s="787">
        <f>'ANALYSE - ERP =&gt; SEGMENT'!$ES$26</f>
        <v>0.74415662952812256</v>
      </c>
      <c r="M14" s="787">
        <f>'ANALYSE - ERP =&gt; SEGMENT'!$ET$26</f>
        <v>0.18741072244956622</v>
      </c>
      <c r="N14" s="916">
        <f>20*'ANALYSE - ERP =&gt; SEGMENT'!$FR$26</f>
        <v>83.407534626065299</v>
      </c>
      <c r="O14" s="916">
        <f>20*'ANALYSE - ERP =&gt; SEGMENT'!$FT$26</f>
        <v>50.368622683212621</v>
      </c>
      <c r="P14" s="916">
        <f>20*'ANALYSE - ERP =&gt; SEGMENT'!$FP$26</f>
        <v>68.760623857939805</v>
      </c>
      <c r="Q14" s="430">
        <f>'ANALYSE - ERP =&gt; SEGMENT'!$Q$26</f>
        <v>1</v>
      </c>
      <c r="S14" s="444" t="s">
        <v>7877</v>
      </c>
    </row>
    <row r="15" spans="1:26" ht="15" customHeight="1">
      <c r="A15" s="26">
        <v>12</v>
      </c>
      <c r="B15" s="26">
        <v>12</v>
      </c>
      <c r="C15" s="26">
        <v>11</v>
      </c>
      <c r="D15" s="501" t="s">
        <v>2264</v>
      </c>
      <c r="E15" s="502" t="s">
        <v>7990</v>
      </c>
      <c r="F15" s="502" t="s">
        <v>7991</v>
      </c>
      <c r="G15" s="415" t="str">
        <f>'ANALYSE - ERP =&gt; SEGMENT'!$D$23</f>
        <v>Usines 
(&gt;50 personnes - Hors Ateliers industriels)
Garages / ateliers de réparation automobile recevant du public
Ateliers industriels / de maintenance (&gt;50 personnes)</v>
      </c>
      <c r="H15" s="424">
        <f t="shared" si="0"/>
        <v>59777.994696662936</v>
      </c>
      <c r="I15" s="447">
        <f>'ANALYSE - ERP =&gt; SEGMENT'!$EU$23</f>
        <v>298889.97348331468</v>
      </c>
      <c r="J15" s="427">
        <f>'ANALYSE - ERP =&gt; SEGMENT'!$EV$23</f>
        <v>230741.39083331468</v>
      </c>
      <c r="K15" s="427">
        <f>'ANALYSE - ERP =&gt; SEGMENT'!$EW$23</f>
        <v>68148.582649999997</v>
      </c>
      <c r="L15" s="787">
        <f>'ANALYSE - ERP =&gt; SEGMENT'!$ES$23</f>
        <v>0.8372327755994361</v>
      </c>
      <c r="M15" s="787">
        <f>'ANALYSE - ERP =&gt; SEGMENT'!$ET$23</f>
        <v>0.11445328444840669</v>
      </c>
      <c r="N15" s="916">
        <f>20*'ANALYSE - ERP =&gt; SEGMENT'!$FR$23</f>
        <v>78.660892335847819</v>
      </c>
      <c r="O15" s="916">
        <f>20*'ANALYSE - ERP =&gt; SEGMENT'!$FT$23</f>
        <v>46.479447349151869</v>
      </c>
      <c r="P15" s="916">
        <f>20*'ANALYSE - ERP =&gt; SEGMENT'!$FP$23</f>
        <v>66.09972508131824</v>
      </c>
      <c r="Q15" s="430">
        <f>'ANALYSE - ERP =&gt; SEGMENT'!$Q$23</f>
        <v>1</v>
      </c>
    </row>
    <row r="16" spans="1:26" ht="15" customHeight="1">
      <c r="A16" s="26">
        <v>13</v>
      </c>
      <c r="B16" s="26">
        <v>13</v>
      </c>
      <c r="C16" s="26">
        <v>16</v>
      </c>
      <c r="D16" s="507" t="s">
        <v>2285</v>
      </c>
      <c r="E16" s="508" t="s">
        <v>1793</v>
      </c>
      <c r="F16" s="508" t="s">
        <v>7992</v>
      </c>
      <c r="G16" s="412" t="str">
        <f>'ANALYSE - ERP =&gt; SEGMENT'!$D$32</f>
        <v>Aires de service - Autoroutes
(Hors Aires de repos)
Aires de repos - Autoroutes
(Hors Aires de service)
Aéroports / aérogares
(&gt;1 000 passagers/an)
Gares ferroviaires et stations
Terminaux maritimes / fluviaux
Établissements flottants
Ports de plaisance / capitaineries
Stations / espaces métro équipés de toilettes publiques (minimum observé RATP)</v>
      </c>
      <c r="H16" s="424">
        <f t="shared" si="0"/>
        <v>12675.24098704553</v>
      </c>
      <c r="I16" s="447">
        <f>'ANALYSE - ERP =&gt; SEGMENT'!$EU$32</f>
        <v>63376.204935227652</v>
      </c>
      <c r="J16" s="427">
        <f>'ANALYSE - ERP =&gt; SEGMENT'!$EV$32</f>
        <v>50847.02886522765</v>
      </c>
      <c r="K16" s="427">
        <f>'ANALYSE - ERP =&gt; SEGMENT'!$EW$32</f>
        <v>12529.17607</v>
      </c>
      <c r="L16" s="787">
        <f>'ANALYSE - ERP =&gt; SEGMENT'!$ES$32</f>
        <v>0.81424536507600853</v>
      </c>
      <c r="M16" s="787">
        <f>'ANALYSE - ERP =&gt; SEGMENT'!$ET$32</f>
        <v>0.11847980622643398</v>
      </c>
      <c r="N16" s="916">
        <f>20*'ANALYSE - ERP =&gt; SEGMENT'!$FR$32</f>
        <v>89.752855865353638</v>
      </c>
      <c r="O16" s="916">
        <f>20*'ANALYSE - ERP =&gt; SEGMENT'!$FT$32</f>
        <v>46.56279251760887</v>
      </c>
      <c r="P16" s="916">
        <f>20*'ANALYSE - ERP =&gt; SEGMENT'!$FP$32</f>
        <v>73.001930038777118</v>
      </c>
      <c r="Q16" s="430">
        <f>'ANALYSE - ERP =&gt; SEGMENT'!$Q$32</f>
        <v>1</v>
      </c>
      <c r="S16" s="933" t="s">
        <v>7878</v>
      </c>
      <c r="Z16" s="933" t="s">
        <v>7878</v>
      </c>
    </row>
    <row r="17" spans="1:26" ht="15" customHeight="1">
      <c r="A17" s="26">
        <v>14</v>
      </c>
      <c r="B17" s="26">
        <v>15</v>
      </c>
      <c r="C17" s="26">
        <v>18</v>
      </c>
      <c r="D17" s="491" t="s">
        <v>2187</v>
      </c>
      <c r="E17" s="492" t="s">
        <v>1372</v>
      </c>
      <c r="F17" s="492" t="s">
        <v>7993</v>
      </c>
      <c r="G17" s="416" t="str">
        <f>'ANALYSE - ERP =&gt; SEGMENT'!$D$21</f>
        <v>Centres commerciaux / malls
Marchés couverts</v>
      </c>
      <c r="H17" s="424">
        <f t="shared" si="0"/>
        <v>20618.134204043039</v>
      </c>
      <c r="I17" s="447">
        <f>'ANALYSE - ERP =&gt; SEGMENT'!$EU$21</f>
        <v>103090.67102021519</v>
      </c>
      <c r="J17" s="427">
        <f>'ANALYSE - ERP =&gt; SEGMENT'!$EV$21</f>
        <v>87798.709820215183</v>
      </c>
      <c r="K17" s="427">
        <f>'ANALYSE - ERP =&gt; SEGMENT'!$EW$21</f>
        <v>15291.9612</v>
      </c>
      <c r="L17" s="787">
        <f>'ANALYSE - ERP =&gt; SEGMENT'!$ES$21</f>
        <v>0.78731406494849787</v>
      </c>
      <c r="M17" s="787">
        <f>'ANALYSE - ERP =&gt; SEGMENT'!$ET$21</f>
        <v>0.1455892843368789</v>
      </c>
      <c r="N17" s="916">
        <f>20*'ANALYSE - ERP =&gt; SEGMENT'!$FR$21</f>
        <v>82.6501616549088</v>
      </c>
      <c r="O17" s="916">
        <f>20*'ANALYSE - ERP =&gt; SEGMENT'!$FT$21</f>
        <v>48.078925060312088</v>
      </c>
      <c r="P17" s="916">
        <f>20*'ANALYSE - ERP =&gt; SEGMENT'!$FP$21</f>
        <v>70.236701686521855</v>
      </c>
      <c r="Q17" s="430">
        <f>'ANALYSE - ERP =&gt; SEGMENT'!$Q$21</f>
        <v>1</v>
      </c>
      <c r="S17" s="62" t="s">
        <v>7879</v>
      </c>
      <c r="Z17" s="62" t="s">
        <v>7880</v>
      </c>
    </row>
    <row r="18" spans="1:26" ht="15" customHeight="1">
      <c r="A18" s="26">
        <v>15</v>
      </c>
      <c r="B18" s="26">
        <v>14</v>
      </c>
      <c r="C18" s="26">
        <v>19</v>
      </c>
      <c r="D18" s="505" t="s">
        <v>7117</v>
      </c>
      <c r="E18" s="506" t="s">
        <v>1455</v>
      </c>
      <c r="F18" s="506" t="s">
        <v>7994</v>
      </c>
      <c r="G18" s="410" t="str">
        <f>'ANALYSE - ERP =&gt; SEGMENT'!$D$24</f>
        <v>Hôtels
Pensions de famille
Résidences de tourisme
Auberges de jeunesse
Villages de vacances / clubs vacances / centres de vacances familiaux</v>
      </c>
      <c r="H18" s="424">
        <f t="shared" si="0"/>
        <v>16553.124905055611</v>
      </c>
      <c r="I18" s="447">
        <f>'ANALYSE - ERP =&gt; SEGMENT'!$EU$24</f>
        <v>82765.62452527805</v>
      </c>
      <c r="J18" s="427">
        <f>'ANALYSE - ERP =&gt; SEGMENT'!$EV$24</f>
        <v>68351.830750278052</v>
      </c>
      <c r="K18" s="427">
        <f>'ANALYSE - ERP =&gt; SEGMENT'!$EW$24</f>
        <v>14413.793774999998</v>
      </c>
      <c r="L18" s="787">
        <f>'ANALYSE - ERP =&gt; SEGMENT'!$ES$24</f>
        <v>0.79613381415598738</v>
      </c>
      <c r="M18" s="787">
        <f>'ANALYSE - ERP =&gt; SEGMENT'!$ET$24</f>
        <v>0.13357760138926414</v>
      </c>
      <c r="N18" s="916">
        <f>20*'ANALYSE - ERP =&gt; SEGMENT'!$FR$24</f>
        <v>85.051479726441386</v>
      </c>
      <c r="O18" s="916">
        <f>20*'ANALYSE - ERP =&gt; SEGMENT'!$FT$24</f>
        <v>46.979198375897397</v>
      </c>
      <c r="P18" s="916">
        <f>20*'ANALYSE - ERP =&gt; SEGMENT'!$FP$24</f>
        <v>71.699670358605459</v>
      </c>
      <c r="Q18" s="430">
        <f>'ANALYSE - ERP =&gt; SEGMENT'!$Q$24</f>
        <v>1</v>
      </c>
    </row>
    <row r="19" spans="1:26" ht="15" customHeight="1">
      <c r="A19" s="26">
        <v>16</v>
      </c>
      <c r="B19" s="26">
        <v>18</v>
      </c>
      <c r="C19" s="26">
        <v>10</v>
      </c>
      <c r="D19" s="497" t="s">
        <v>6739</v>
      </c>
      <c r="E19" s="498" t="s">
        <v>2091</v>
      </c>
      <c r="F19" s="498" t="s">
        <v>2836</v>
      </c>
      <c r="G19" s="409" t="str">
        <f>'ANALYSE - ERP =&gt; SEGMENT'!$D$12</f>
        <v>Centres de formation / CFA</v>
      </c>
      <c r="H19" s="424">
        <f t="shared" si="0"/>
        <v>17627.641574262463</v>
      </c>
      <c r="I19" s="447">
        <f>'ANALYSE - ERP =&gt; SEGMENT'!$EU$12</f>
        <v>88138.207871312319</v>
      </c>
      <c r="J19" s="427">
        <f>'ANALYSE - ERP =&gt; SEGMENT'!$EV$12</f>
        <v>49927.099071312317</v>
      </c>
      <c r="K19" s="427">
        <f>'ANALYSE - ERP =&gt; SEGMENT'!$EW$12</f>
        <v>38211.108800000002</v>
      </c>
      <c r="L19" s="787">
        <f>'ANALYSE - ERP =&gt; SEGMENT'!$ES$12</f>
        <v>0.72915010233690281</v>
      </c>
      <c r="M19" s="787">
        <f>'ANALYSE - ERP =&gt; SEGMENT'!$ET$12</f>
        <v>0.20792553009173834</v>
      </c>
      <c r="N19" s="916">
        <f>20*'ANALYSE - ERP =&gt; SEGMENT'!$FR$12</f>
        <v>79.337359159666036</v>
      </c>
      <c r="O19" s="916">
        <f>20*'ANALYSE - ERP =&gt; SEGMENT'!$FT$12</f>
        <v>51.329068317431286</v>
      </c>
      <c r="P19" s="916">
        <f>20*'ANALYSE - ERP =&gt; SEGMENT'!$FP$12</f>
        <v>66.862750787671501</v>
      </c>
      <c r="Q19" s="430">
        <f>'ANALYSE - ERP =&gt; SEGMENT'!$Q$12</f>
        <v>1</v>
      </c>
    </row>
    <row r="20" spans="1:26" ht="15" customHeight="1">
      <c r="A20" s="26">
        <v>17</v>
      </c>
      <c r="B20" s="26">
        <v>16</v>
      </c>
      <c r="C20" s="26">
        <v>17</v>
      </c>
      <c r="D20" s="497" t="s">
        <v>6739</v>
      </c>
      <c r="E20" s="498" t="s">
        <v>991</v>
      </c>
      <c r="F20" s="498" t="s">
        <v>7995</v>
      </c>
      <c r="G20" s="409" t="str">
        <f>'ANALYSE - ERP =&gt; SEGMENT'!$D$11</f>
        <v>Centres de loisirs sans hébergement
Centres de vacances / colonies</v>
      </c>
      <c r="H20" s="424">
        <f t="shared" si="0"/>
        <v>0</v>
      </c>
      <c r="I20" s="447">
        <f>'ANALYSE - ERP =&gt; SEGMENT'!$EU$11</f>
        <v>0</v>
      </c>
      <c r="J20" s="427">
        <f>'ANALYSE - ERP =&gt; SEGMENT'!$EV$11</f>
        <v>0</v>
      </c>
      <c r="K20" s="427">
        <f>'ANALYSE - ERP =&gt; SEGMENT'!$EW$11</f>
        <v>0</v>
      </c>
      <c r="L20" s="787">
        <f>'ANALYSE - ERP =&gt; SEGMENT'!$ES$11</f>
        <v>0</v>
      </c>
      <c r="M20" s="787">
        <f>'ANALYSE - ERP =&gt; SEGMENT'!$ET$11</f>
        <v>0</v>
      </c>
      <c r="N20" s="916" t="e">
        <f>20*'ANALYSE - ERP =&gt; SEGMENT'!$FR$11</f>
        <v>#VALUE!</v>
      </c>
      <c r="O20" s="916" t="e">
        <f>20*'ANALYSE - ERP =&gt; SEGMENT'!$FT$11</f>
        <v>#VALUE!</v>
      </c>
      <c r="P20" s="916" t="e">
        <f>20*'ANALYSE - ERP =&gt; SEGMENT'!$FP$11</f>
        <v>#VALUE!</v>
      </c>
      <c r="Q20" s="430">
        <f>'ANALYSE - ERP =&gt; SEGMENT'!$Q$11</f>
        <v>0</v>
      </c>
    </row>
    <row r="21" spans="1:26" ht="15" customHeight="1">
      <c r="A21" s="26">
        <v>18</v>
      </c>
      <c r="B21" s="26">
        <v>17</v>
      </c>
      <c r="C21" s="26">
        <v>12</v>
      </c>
      <c r="D21" s="497" t="s">
        <v>6739</v>
      </c>
      <c r="E21" s="498" t="s">
        <v>2104</v>
      </c>
      <c r="F21" s="498" t="s">
        <v>671</v>
      </c>
      <c r="G21" s="410" t="str">
        <f>'ANALYSE - ERP =&gt; SEGMENT'!$D$8</f>
        <v>Crèches</v>
      </c>
      <c r="H21" s="424">
        <f t="shared" si="0"/>
        <v>11879.995537701834</v>
      </c>
      <c r="I21" s="447">
        <f>'ANALYSE - ERP =&gt; SEGMENT'!$EU$8</f>
        <v>59399.977688509171</v>
      </c>
      <c r="J21" s="427">
        <f>'ANALYSE - ERP =&gt; SEGMENT'!$EV$8</f>
        <v>48085.658577759168</v>
      </c>
      <c r="K21" s="427">
        <f>'ANALYSE - ERP =&gt; SEGMENT'!$EW$8</f>
        <v>11314.319110750001</v>
      </c>
      <c r="L21" s="787">
        <f>'ANALYSE - ERP =&gt; SEGMENT'!$ES$8</f>
        <v>0.54008227251918295</v>
      </c>
      <c r="M21" s="787">
        <f>'ANALYSE - ERP =&gt; SEGMENT'!$ET$8</f>
        <v>0.37666474644471276</v>
      </c>
      <c r="N21" s="916">
        <f>20*'ANALYSE - ERP =&gt; SEGMENT'!$FR$8</f>
        <v>78.418179908441061</v>
      </c>
      <c r="O21" s="916">
        <f>20*'ANALYSE - ERP =&gt; SEGMENT'!$FT$8</f>
        <v>55.793684127091467</v>
      </c>
      <c r="P21" s="916">
        <f>20*'ANALYSE - ERP =&gt; SEGMENT'!$FP$8</f>
        <v>68.125580250661756</v>
      </c>
      <c r="Q21" s="430">
        <f>'ANALYSE - ERP =&gt; SEGMENT'!$Q$8</f>
        <v>1</v>
      </c>
      <c r="X21" s="445" t="s">
        <v>7881</v>
      </c>
    </row>
    <row r="22" spans="1:26" ht="15" customHeight="1">
      <c r="A22" s="26">
        <v>19</v>
      </c>
      <c r="B22" s="26">
        <v>19</v>
      </c>
      <c r="C22" s="26">
        <v>20</v>
      </c>
      <c r="D22" s="509" t="s">
        <v>4908</v>
      </c>
      <c r="E22" s="510" t="s">
        <v>88</v>
      </c>
      <c r="F22" s="510" t="s">
        <v>7996</v>
      </c>
      <c r="G22" s="411" t="str">
        <f>'ANALYSE - ERP =&gt; SEGMENT'!$D$36</f>
        <v>Maisons d’arrêt
Centres de détention
Maisons centrales
Centres pénitentiaires
Centres de semi-liberté
Centres éducatifs fermés
Centres pour peines aménagées
(absorbés par autres centres carcéraux)
Unités hospitalières sécurisées</v>
      </c>
      <c r="H22" s="424">
        <f t="shared" si="0"/>
        <v>9031.2288757272727</v>
      </c>
      <c r="I22" s="447">
        <f>'ANALYSE - ERP =&gt; SEGMENT'!$EU$36</f>
        <v>45156.144378636367</v>
      </c>
      <c r="J22" s="427">
        <f>'ANALYSE - ERP =&gt; SEGMENT'!$EV$36</f>
        <v>31903.195188636364</v>
      </c>
      <c r="K22" s="427">
        <f>'ANALYSE - ERP =&gt; SEGMENT'!$EW$36</f>
        <v>13252.949189999999</v>
      </c>
      <c r="L22" s="787">
        <f>'ANALYSE - ERP =&gt; SEGMENT'!$ES$36</f>
        <v>0.34011438191548415</v>
      </c>
      <c r="M22" s="787">
        <f>'ANALYSE - ERP =&gt; SEGMENT'!$ET$36</f>
        <v>0.58248131768287637</v>
      </c>
      <c r="N22" s="916">
        <f>20*'ANALYSE - ERP =&gt; SEGMENT'!$FR$36</f>
        <v>86.401206876494228</v>
      </c>
      <c r="O22" s="916">
        <f>20*'ANALYSE - ERP =&gt; SEGMENT'!$FT$36</f>
        <v>68.50416785111058</v>
      </c>
      <c r="P22" s="916">
        <f>20*'ANALYSE - ERP =&gt; SEGMENT'!$FP$36</f>
        <v>77.607493616484874</v>
      </c>
      <c r="Q22" s="430">
        <f>'ANALYSE - ERP =&gt; SEGMENT'!$Q$36</f>
        <v>1</v>
      </c>
      <c r="X22" s="444"/>
    </row>
    <row r="23" spans="1:26" ht="15" customHeight="1">
      <c r="A23" s="26">
        <v>20</v>
      </c>
      <c r="B23" s="26">
        <v>21</v>
      </c>
      <c r="C23" s="26">
        <v>22</v>
      </c>
      <c r="D23" s="499" t="s">
        <v>3662</v>
      </c>
      <c r="E23" s="500" t="s">
        <v>1337</v>
      </c>
      <c r="F23" s="500" t="s">
        <v>7997</v>
      </c>
      <c r="G23" s="411" t="str">
        <f>'ANALYSE - ERP =&gt; SEGMENT'!$D$18</f>
        <v>Chapiteaux / tentes / structures
Structures gonflables</v>
      </c>
      <c r="H23" s="424">
        <f t="shared" si="0"/>
        <v>768.61810542403259</v>
      </c>
      <c r="I23" s="447">
        <f>'ANALYSE - ERP =&gt; SEGMENT'!$EU$18</f>
        <v>3843.0905271201627</v>
      </c>
      <c r="J23" s="427">
        <f>'ANALYSE - ERP =&gt; SEGMENT'!$EV$18</f>
        <v>2644.7973271201631</v>
      </c>
      <c r="K23" s="427">
        <f>'ANALYSE - ERP =&gt; SEGMENT'!$EW$18</f>
        <v>1198.2931999999998</v>
      </c>
      <c r="L23" s="787">
        <f>'ANALYSE - ERP =&gt; SEGMENT'!$ES$18</f>
        <v>0.89439284485724113</v>
      </c>
      <c r="M23" s="787">
        <f>'ANALYSE - ERP =&gt; SEGMENT'!$ET$18</f>
        <v>7.0446495842206691E-2</v>
      </c>
      <c r="N23" s="916">
        <f>20*'ANALYSE - ERP =&gt; SEGMENT'!$FR$18</f>
        <v>74.112428505080061</v>
      </c>
      <c r="O23" s="916">
        <f>20*'ANALYSE - ERP =&gt; SEGMENT'!$FT$18</f>
        <v>40.957592682658969</v>
      </c>
      <c r="P23" s="916">
        <f>20*'ANALYSE - ERP =&gt; SEGMENT'!$FP$18</f>
        <v>61.4</v>
      </c>
      <c r="Q23" s="430">
        <f>'ANALYSE - ERP =&gt; SEGMENT'!$Q$18</f>
        <v>1</v>
      </c>
      <c r="X23" s="446" t="s">
        <v>7882</v>
      </c>
    </row>
    <row r="24" spans="1:26" ht="15" customHeight="1">
      <c r="A24" s="26">
        <v>21</v>
      </c>
      <c r="B24" s="26">
        <v>24</v>
      </c>
      <c r="C24" s="26">
        <v>15</v>
      </c>
      <c r="D24" s="493" t="s">
        <v>2241</v>
      </c>
      <c r="E24" s="494" t="s">
        <v>2242</v>
      </c>
      <c r="F24" s="494" t="s">
        <v>7998</v>
      </c>
      <c r="G24" s="411" t="str">
        <f>'ANALYSE - ERP =&gt; SEGMENT'!$D$15</f>
        <v>Centres de santé / centres médicaux
Maisons de santé</v>
      </c>
      <c r="H24" s="424">
        <f t="shared" si="0"/>
        <v>6161.6937282695744</v>
      </c>
      <c r="I24" s="447">
        <f>'ANALYSE - ERP =&gt; SEGMENT'!$EU$15</f>
        <v>30808.46864134787</v>
      </c>
      <c r="J24" s="427">
        <f>'ANALYSE - ERP =&gt; SEGMENT'!$EV$15</f>
        <v>12465.744381347868</v>
      </c>
      <c r="K24" s="427">
        <f>'ANALYSE - ERP =&gt; SEGMENT'!$EW$15</f>
        <v>18342.724260000003</v>
      </c>
      <c r="L24" s="787">
        <f>'ANALYSE - ERP =&gt; SEGMENT'!$ES$15</f>
        <v>0.20830877640979195</v>
      </c>
      <c r="M24" s="787">
        <f>'ANALYSE - ERP =&gt; SEGMENT'!$ET$15</f>
        <v>0.80768541890127488</v>
      </c>
      <c r="N24" s="916">
        <f>20*'ANALYSE - ERP =&gt; SEGMENT'!$FR$15</f>
        <v>78.502410166864621</v>
      </c>
      <c r="O24" s="916">
        <f>20*'ANALYSE - ERP =&gt; SEGMENT'!$FT$15</f>
        <v>77.546940923158147</v>
      </c>
      <c r="P24" s="916">
        <f>20*'ANALYSE - ERP =&gt; SEGMENT'!$FP$15</f>
        <v>76.01131716435863</v>
      </c>
      <c r="Q24" s="430">
        <f>'ANALYSE - ERP =&gt; SEGMENT'!$Q$15</f>
        <v>1</v>
      </c>
      <c r="X24" s="446" t="s">
        <v>7883</v>
      </c>
    </row>
    <row r="25" spans="1:26" ht="15" customHeight="1">
      <c r="A25" s="26">
        <v>22</v>
      </c>
      <c r="B25" s="26">
        <v>20</v>
      </c>
      <c r="C25" s="26">
        <v>24</v>
      </c>
      <c r="D25" s="491" t="s">
        <v>2187</v>
      </c>
      <c r="E25" s="492" t="s">
        <v>1435</v>
      </c>
      <c r="F25" s="492" t="s">
        <v>7999</v>
      </c>
      <c r="G25" s="409" t="str">
        <f>'ANALYSE - ERP =&gt; SEGMENT'!$D$20</f>
        <v>Salles de jeux / bowlings / billards
Discothèques / salles de danse
Casinos</v>
      </c>
      <c r="H25" s="424">
        <f t="shared" si="0"/>
        <v>10228.451790566283</v>
      </c>
      <c r="I25" s="447">
        <f>'ANALYSE - ERP =&gt; SEGMENT'!$EU$20</f>
        <v>51142.258952831413</v>
      </c>
      <c r="J25" s="427">
        <f>'ANALYSE - ERP =&gt; SEGMENT'!$EV$20</f>
        <v>44709.828402831416</v>
      </c>
      <c r="K25" s="427">
        <f>'ANALYSE - ERP =&gt; SEGMENT'!$EW$20</f>
        <v>6432.43055</v>
      </c>
      <c r="L25" s="787">
        <f>'ANALYSE - ERP =&gt; SEGMENT'!$ES$20</f>
        <v>0.58072009291521487</v>
      </c>
      <c r="M25" s="787">
        <f>'ANALYSE - ERP =&gt; SEGMENT'!$ET$20</f>
        <v>0.31242740998838558</v>
      </c>
      <c r="N25" s="916">
        <f>20*'ANALYSE - ERP =&gt; SEGMENT'!$FR$20</f>
        <v>82.600000000000023</v>
      </c>
      <c r="O25" s="916">
        <f>20*'ANALYSE - ERP =&gt; SEGMENT'!$FT$20</f>
        <v>53.79999999999999</v>
      </c>
      <c r="P25" s="916">
        <f>20*'ANALYSE - ERP =&gt; SEGMENT'!$FP$20</f>
        <v>72.2</v>
      </c>
      <c r="Q25" s="430">
        <f>'ANALYSE - ERP =&gt; SEGMENT'!$Q$20</f>
        <v>1</v>
      </c>
      <c r="X25" s="446" t="s">
        <v>7884</v>
      </c>
    </row>
    <row r="26" spans="1:26" ht="15" customHeight="1">
      <c r="A26" s="26">
        <v>23</v>
      </c>
      <c r="B26" s="26">
        <v>22</v>
      </c>
      <c r="C26" s="26">
        <v>23</v>
      </c>
      <c r="D26" s="503" t="s">
        <v>2278</v>
      </c>
      <c r="E26" s="504" t="s">
        <v>1576</v>
      </c>
      <c r="F26" s="504" t="s">
        <v>1577</v>
      </c>
      <c r="G26" s="413" t="str">
        <f>'ANALYSE - ERP =&gt; SEGMENT'!$D$29</f>
        <v>Locaux associatifs recevant du public</v>
      </c>
      <c r="H26" s="424">
        <f t="shared" si="0"/>
        <v>2256.7012686233766</v>
      </c>
      <c r="I26" s="447">
        <f>'ANALYSE - ERP =&gt; SEGMENT'!$EU$29</f>
        <v>11283.506343116884</v>
      </c>
      <c r="J26" s="427">
        <f>'ANALYSE - ERP =&gt; SEGMENT'!$EV$29</f>
        <v>8620.820343116884</v>
      </c>
      <c r="K26" s="427">
        <f>'ANALYSE - ERP =&gt; SEGMENT'!$EW$29</f>
        <v>2662.6859999999997</v>
      </c>
      <c r="L26" s="787">
        <f>'ANALYSE - ERP =&gt; SEGMENT'!$ES$29</f>
        <v>0.91391509433962259</v>
      </c>
      <c r="M26" s="787">
        <f>'ANALYSE - ERP =&gt; SEGMENT'!$ET$29</f>
        <v>5.129716981132075E-2</v>
      </c>
      <c r="N26" s="916">
        <f>20*'ANALYSE - ERP =&gt; SEGMENT'!$FR$29</f>
        <v>71.8</v>
      </c>
      <c r="O26" s="916">
        <f>20*'ANALYSE - ERP =&gt; SEGMENT'!$FT$29</f>
        <v>34.799999999999997</v>
      </c>
      <c r="P26" s="916">
        <f>20*'ANALYSE - ERP =&gt; SEGMENT'!$FP$29</f>
        <v>58.4</v>
      </c>
      <c r="Q26" s="430">
        <f>'ANALYSE - ERP =&gt; SEGMENT'!$Q$29</f>
        <v>1</v>
      </c>
      <c r="X26" s="446" t="s">
        <v>7885</v>
      </c>
    </row>
    <row r="27" spans="1:26" ht="15" customHeight="1">
      <c r="A27" s="26">
        <v>24</v>
      </c>
      <c r="B27" s="26">
        <v>23</v>
      </c>
      <c r="C27" s="26">
        <v>21</v>
      </c>
      <c r="D27" s="497" t="s">
        <v>6739</v>
      </c>
      <c r="E27" s="498" t="s">
        <v>1014</v>
      </c>
      <c r="F27" s="498" t="s">
        <v>8000</v>
      </c>
      <c r="G27" s="408" t="str">
        <f>'ANALYSE - ERP =&gt; SEGMENT'!$D$10</f>
        <v>Universités
Grandes écoles
Résidences étudiantes et dortoirs</v>
      </c>
      <c r="H27" s="424">
        <f t="shared" si="0"/>
        <v>5527.5765168055996</v>
      </c>
      <c r="I27" s="447">
        <f>'ANALYSE - ERP =&gt; SEGMENT'!$EU$10</f>
        <v>27637.882584027997</v>
      </c>
      <c r="J27" s="427">
        <f>'ANALYSE - ERP =&gt; SEGMENT'!$EV$10</f>
        <v>17085.941864027998</v>
      </c>
      <c r="K27" s="427">
        <f>'ANALYSE - ERP =&gt; SEGMENT'!$EW$10</f>
        <v>10551.940720000001</v>
      </c>
      <c r="L27" s="787">
        <f>'ANALYSE - ERP =&gt; SEGMENT'!$ES$10</f>
        <v>0.70674999916917891</v>
      </c>
      <c r="M27" s="787">
        <f>'ANALYSE - ERP =&gt; SEGMENT'!$ET$10</f>
        <v>0.2291215437676819</v>
      </c>
      <c r="N27" s="916">
        <f>20*'ANALYSE - ERP =&gt; SEGMENT'!$FR$10</f>
        <v>78.334224764715771</v>
      </c>
      <c r="O27" s="916">
        <f>20*'ANALYSE - ERP =&gt; SEGMENT'!$FT$10</f>
        <v>51.870459208948247</v>
      </c>
      <c r="P27" s="916">
        <f>20*'ANALYSE - ERP =&gt; SEGMENT'!$FP$10</f>
        <v>66.388397860754509</v>
      </c>
      <c r="Q27" s="430">
        <f>'ANALYSE - ERP =&gt; SEGMENT'!$Q$10</f>
        <v>1</v>
      </c>
    </row>
    <row r="28" spans="1:26" ht="15" customHeight="1">
      <c r="A28" s="26">
        <v>25</v>
      </c>
      <c r="B28" s="26">
        <v>25</v>
      </c>
      <c r="C28" s="26">
        <v>26</v>
      </c>
      <c r="D28" s="499" t="s">
        <v>3662</v>
      </c>
      <c r="E28" s="500" t="s">
        <v>1240</v>
      </c>
      <c r="F28" s="500" t="s">
        <v>8001</v>
      </c>
      <c r="G28" s="411" t="str">
        <f>'ANALYSE - ERP =&gt; SEGMENT'!$D$17</f>
        <v>Foires / salons
Halls d’exposition</v>
      </c>
      <c r="H28" s="424">
        <f t="shared" si="0"/>
        <v>2867.3099047350138</v>
      </c>
      <c r="I28" s="447">
        <f>'ANALYSE - ERP =&gt; SEGMENT'!$EU$17</f>
        <v>14336.549523675068</v>
      </c>
      <c r="J28" s="427">
        <f>'ANALYSE - ERP =&gt; SEGMENT'!$EV$17</f>
        <v>11430.525363675068</v>
      </c>
      <c r="K28" s="427">
        <f>'ANALYSE - ERP =&gt; SEGMENT'!$EW$17</f>
        <v>2906.0241599999999</v>
      </c>
      <c r="L28" s="787">
        <f>'ANALYSE - ERP =&gt; SEGMENT'!$ES$17</f>
        <v>0.86409379934645769</v>
      </c>
      <c r="M28" s="787">
        <f>'ANALYSE - ERP =&gt; SEGMENT'!$ET$17</f>
        <v>9.679681736979745E-2</v>
      </c>
      <c r="N28" s="916">
        <f>20*'ANALYSE - ERP =&gt; SEGMENT'!$FR$17</f>
        <v>73.8</v>
      </c>
      <c r="O28" s="916">
        <f>20*'ANALYSE - ERP =&gt; SEGMENT'!$FT$17</f>
        <v>42.568052945574955</v>
      </c>
      <c r="P28" s="916">
        <f>20*'ANALYSE - ERP =&gt; SEGMENT'!$FP$17</f>
        <v>59.767071916736789</v>
      </c>
      <c r="Q28" s="430">
        <f>'ANALYSE - ERP =&gt; SEGMENT'!$Q$17</f>
        <v>1</v>
      </c>
    </row>
    <row r="29" spans="1:26" ht="15" customHeight="1">
      <c r="A29" s="26">
        <v>26</v>
      </c>
      <c r="B29" s="26">
        <v>27</v>
      </c>
      <c r="C29" s="26">
        <v>25</v>
      </c>
      <c r="D29" s="507" t="s">
        <v>2285</v>
      </c>
      <c r="E29" s="508" t="s">
        <v>7336</v>
      </c>
      <c r="F29" s="508" t="s">
        <v>7337</v>
      </c>
      <c r="G29" s="409" t="str">
        <f>'ANALYSE - ERP =&gt; SEGMENT'!$D$33</f>
        <v>Parcs de stationnement couverts</v>
      </c>
      <c r="H29" s="424">
        <f t="shared" si="0"/>
        <v>0</v>
      </c>
      <c r="I29" s="447">
        <f>'ANALYSE - ERP =&gt; SEGMENT'!$EU$33</f>
        <v>0</v>
      </c>
      <c r="J29" s="427">
        <f>'ANALYSE - ERP =&gt; SEGMENT'!$EV$33</f>
        <v>0</v>
      </c>
      <c r="K29" s="427">
        <f>'ANALYSE - ERP =&gt; SEGMENT'!$EW$33</f>
        <v>0</v>
      </c>
      <c r="L29" s="787">
        <f>'ANALYSE - ERP =&gt; SEGMENT'!$ES$33</f>
        <v>0</v>
      </c>
      <c r="M29" s="787">
        <f>'ANALYSE - ERP =&gt; SEGMENT'!$ET$33</f>
        <v>0</v>
      </c>
      <c r="N29" s="916" t="e">
        <f>20*'ANALYSE - ERP =&gt; SEGMENT'!$FR$33</f>
        <v>#VALUE!</v>
      </c>
      <c r="O29" s="916" t="e">
        <f>20*'ANALYSE - ERP =&gt; SEGMENT'!$FT$33</f>
        <v>#VALUE!</v>
      </c>
      <c r="P29" s="916" t="e">
        <f>20*'ANALYSE - ERP =&gt; SEGMENT'!$FP$33</f>
        <v>#VALUE!</v>
      </c>
      <c r="Q29" s="430">
        <f>'ANALYSE - ERP =&gt; SEGMENT'!$Q$33</f>
        <v>0</v>
      </c>
    </row>
    <row r="30" spans="1:26" ht="15" customHeight="1">
      <c r="A30" s="26">
        <v>27</v>
      </c>
      <c r="B30" s="26">
        <v>26</v>
      </c>
      <c r="C30" s="26">
        <v>28</v>
      </c>
      <c r="D30" s="501" t="s">
        <v>2163</v>
      </c>
      <c r="E30" s="502" t="s">
        <v>2163</v>
      </c>
      <c r="F30" s="502" t="s">
        <v>2164</v>
      </c>
      <c r="G30" s="412" t="str">
        <f>'ANALYSE - ERP =&gt; SEGMENT'!$D$38</f>
        <v>Toilettes publiques (sur la voie publique)
Bains-douches municipaux / douches publiques fixes
Blocs sanitaires de plage / front de mer</v>
      </c>
      <c r="H30" s="424">
        <f t="shared" si="0"/>
        <v>4259.4958155194809</v>
      </c>
      <c r="I30" s="447">
        <f>'ANALYSE - ERP =&gt; SEGMENT'!$EU$38</f>
        <v>21297.479077597403</v>
      </c>
      <c r="J30" s="427">
        <f>'ANALYSE - ERP =&gt; SEGMENT'!$EV$38</f>
        <v>17172.141377597403</v>
      </c>
      <c r="K30" s="427">
        <f>'ANALYSE - ERP =&gt; SEGMENT'!$EW$38</f>
        <v>4125.3377</v>
      </c>
      <c r="L30" s="787">
        <f>'ANALYSE - ERP =&gt; SEGMENT'!$ES$38</f>
        <v>0.82681683645638449</v>
      </c>
      <c r="M30" s="787">
        <f>'ANALYSE - ERP =&gt; SEGMENT'!$ET$38</f>
        <v>0.10067387774344508</v>
      </c>
      <c r="N30" s="916">
        <f>20*'ANALYSE - ERP =&gt; SEGMENT'!$FR$38</f>
        <v>93.405953178716047</v>
      </c>
      <c r="O30" s="916">
        <f>20*'ANALYSE - ERP =&gt; SEGMENT'!$FT$38</f>
        <v>43.833887252430266</v>
      </c>
      <c r="P30" s="916">
        <f>20*'ANALYSE - ERP =&gt; SEGMENT'!$FP$38</f>
        <v>75.404776640624732</v>
      </c>
      <c r="Q30" s="430">
        <f>'ANALYSE - ERP =&gt; SEGMENT'!$Q$38</f>
        <v>1</v>
      </c>
    </row>
    <row r="31" spans="1:26" ht="15" customHeight="1">
      <c r="A31" s="26">
        <v>28</v>
      </c>
      <c r="B31" s="26">
        <v>28</v>
      </c>
      <c r="C31" s="26">
        <v>27</v>
      </c>
      <c r="D31" s="509" t="s">
        <v>4908</v>
      </c>
      <c r="E31" s="510" t="s">
        <v>1985</v>
      </c>
      <c r="F31" s="510" t="s">
        <v>8002</v>
      </c>
      <c r="G31" s="411" t="str">
        <f>'ANALYSE - ERP =&gt; SEGMENT'!$D$35</f>
        <v>Unités d'hébergement des militaires &amp; réservistes
Centres de recrutement et bureaux d’information
Restaurants ou équipements sportifs ouverts au public sur emprise militaire
Hôpitaux d’instruction des armées et centres médicaux recevant du public
Salles de conférence, auditoriums et espaces événementiels ouverts au public</v>
      </c>
      <c r="H31" s="424">
        <f t="shared" si="0"/>
        <v>1916.1151407085858</v>
      </c>
      <c r="I31" s="447">
        <f>'ANALYSE - ERP =&gt; SEGMENT'!$EU$35</f>
        <v>9580.5757035429287</v>
      </c>
      <c r="J31" s="427">
        <f>'ANALYSE - ERP =&gt; SEGMENT'!$EV$35</f>
        <v>7213.4098635429291</v>
      </c>
      <c r="K31" s="427">
        <f>'ANALYSE - ERP =&gt; SEGMENT'!$EW$35</f>
        <v>2367.1658400000001</v>
      </c>
      <c r="L31" s="787">
        <f>'ANALYSE - ERP =&gt; SEGMENT'!$ES$35</f>
        <v>0.820086257895557</v>
      </c>
      <c r="M31" s="787">
        <f>'ANALYSE - ERP =&gt; SEGMENT'!$ET$35</f>
        <v>0.12779566866603795</v>
      </c>
      <c r="N31" s="916">
        <f>20*'ANALYSE - ERP =&gt; SEGMENT'!$FR$35</f>
        <v>82.446809775648475</v>
      </c>
      <c r="O31" s="916">
        <f>20*'ANALYSE - ERP =&gt; SEGMENT'!$FT$35</f>
        <v>46.749595217207087</v>
      </c>
      <c r="P31" s="916">
        <f>20*'ANALYSE - ERP =&gt; SEGMENT'!$FP$35</f>
        <v>65.815177503202193</v>
      </c>
      <c r="Q31" s="430">
        <f>'ANALYSE - ERP =&gt; SEGMENT'!$Q$35</f>
        <v>1</v>
      </c>
    </row>
    <row r="32" spans="1:26" ht="15" customHeight="1">
      <c r="A32" s="26">
        <v>29</v>
      </c>
      <c r="B32" s="26">
        <v>29</v>
      </c>
      <c r="C32" s="26">
        <v>29</v>
      </c>
      <c r="D32" s="509" t="s">
        <v>4908</v>
      </c>
      <c r="E32" s="510" t="s">
        <v>2027</v>
      </c>
      <c r="F32" s="510" t="s">
        <v>8003</v>
      </c>
      <c r="G32" s="414" t="str">
        <f>'ANALYSE - ERP =&gt; SEGMENT'!$D$37</f>
        <v>Palais de justice et bâtiments judiciaires multi-usages
Maisons de justice et du droit
Tribunaux de commerce autonomes
Conseils de prud’hommes autonomes
Autres bâtiments judiciaires autonomes recevant du public</v>
      </c>
      <c r="H32" s="424">
        <f t="shared" si="0"/>
        <v>1197.7991142996502</v>
      </c>
      <c r="I32" s="447">
        <f>'ANALYSE - ERP =&gt; SEGMENT'!$EU$37</f>
        <v>5988.9955714982516</v>
      </c>
      <c r="J32" s="427">
        <f>'ANALYSE - ERP =&gt; SEGMENT'!$EV$37</f>
        <v>5100.5996114982518</v>
      </c>
      <c r="K32" s="427">
        <f>'ANALYSE - ERP =&gt; SEGMENT'!$EW$37</f>
        <v>888.39595999999995</v>
      </c>
      <c r="L32" s="787">
        <f>'ANALYSE - ERP =&gt; SEGMENT'!$ES$37</f>
        <v>0.90610977767873546</v>
      </c>
      <c r="M32" s="787">
        <f>'ANALYSE - ERP =&gt; SEGMENT'!$ET$37</f>
        <v>6.153977951608737E-2</v>
      </c>
      <c r="N32" s="916">
        <f>20*'ANALYSE - ERP =&gt; SEGMENT'!$FR$37</f>
        <v>77.599999999999994</v>
      </c>
      <c r="O32" s="916">
        <f>20*'ANALYSE - ERP =&gt; SEGMENT'!$FT$37</f>
        <v>39.391553869740704</v>
      </c>
      <c r="P32" s="916">
        <f>20*'ANALYSE - ERP =&gt; SEGMENT'!$FP$37</f>
        <v>60.09904129479682</v>
      </c>
      <c r="Q32" s="430">
        <f>'ANALYSE - ERP =&gt; SEGMENT'!$Q$37</f>
        <v>1</v>
      </c>
    </row>
    <row r="33" spans="1:17" ht="15" customHeight="1">
      <c r="A33" s="26">
        <v>30</v>
      </c>
      <c r="B33" s="26">
        <v>30</v>
      </c>
      <c r="C33" s="26">
        <v>31</v>
      </c>
      <c r="D33" s="505" t="s">
        <v>7117</v>
      </c>
      <c r="E33" s="506" t="s">
        <v>1487</v>
      </c>
      <c r="F33" s="506" t="s">
        <v>8004</v>
      </c>
      <c r="G33" s="409" t="str">
        <f>'ANALYSE - ERP =&gt; SEGMENT'!$D$25</f>
        <v>Hôtels-restaurants d’altitude
Refuges de montagne</v>
      </c>
      <c r="H33" s="424">
        <f t="shared" si="0"/>
        <v>853.60286905325756</v>
      </c>
      <c r="I33" s="447">
        <f>'ANALYSE - ERP =&gt; SEGMENT'!$EU$25</f>
        <v>4268.0143452662878</v>
      </c>
      <c r="J33" s="427">
        <f>'ANALYSE - ERP =&gt; SEGMENT'!$EV$25</f>
        <v>3426.149345266288</v>
      </c>
      <c r="K33" s="427">
        <f>'ANALYSE - ERP =&gt; SEGMENT'!$EW$25</f>
        <v>841.86500000000001</v>
      </c>
      <c r="L33" s="787">
        <f>'ANALYSE - ERP =&gt; SEGMENT'!$ES$25</f>
        <v>0.91674083331708944</v>
      </c>
      <c r="M33" s="787">
        <f>'ANALYSE - ERP =&gt; SEGMENT'!$ET$25</f>
        <v>4.6410004686677664E-2</v>
      </c>
      <c r="N33" s="916">
        <f>20*'ANALYSE - ERP =&gt; SEGMENT'!$FR$25</f>
        <v>79.123508104268836</v>
      </c>
      <c r="O33" s="916">
        <f>20*'ANALYSE - ERP =&gt; SEGMENT'!$FT$25</f>
        <v>32.400000000000006</v>
      </c>
      <c r="P33" s="916">
        <f>20*'ANALYSE - ERP =&gt; SEGMENT'!$FP$25</f>
        <v>58.125333508114622</v>
      </c>
      <c r="Q33" s="430">
        <f>'ANALYSE - ERP =&gt; SEGMENT'!$Q$25</f>
        <v>1</v>
      </c>
    </row>
    <row r="34" spans="1:17" ht="15" customHeight="1">
      <c r="A34" s="26">
        <v>31</v>
      </c>
      <c r="B34" s="26">
        <v>31</v>
      </c>
      <c r="C34" s="26">
        <v>30</v>
      </c>
      <c r="D34" s="509" t="s">
        <v>4908</v>
      </c>
      <c r="E34" s="510" t="s">
        <v>1950</v>
      </c>
      <c r="F34" s="510" t="s">
        <v>8005</v>
      </c>
      <c r="G34" s="411" t="str">
        <f>'ANALYSE - ERP =&gt; SEGMENT'!$D$34</f>
        <v>Locaux de sûreté, garde à vue et zones opérationnelles
Postes de proximité et antennes avec accueil public
Salles de réunion, de prévention ou de conférence ouvertes au public</v>
      </c>
      <c r="H34" s="424">
        <f t="shared" si="0"/>
        <v>535.43035209649997</v>
      </c>
      <c r="I34" s="447">
        <f>'ANALYSE - ERP =&gt; SEGMENT'!$EU$34</f>
        <v>2677.1517604824999</v>
      </c>
      <c r="J34" s="427">
        <f>'ANALYSE - ERP =&gt; SEGMENT'!$EV$34</f>
        <v>2288.7819604824999</v>
      </c>
      <c r="K34" s="427">
        <f>'ANALYSE - ERP =&gt; SEGMENT'!$EW$34</f>
        <v>388.36979999999994</v>
      </c>
      <c r="L34" s="787">
        <f>'ANALYSE - ERP =&gt; SEGMENT'!$ES$34</f>
        <v>0.91932927941178488</v>
      </c>
      <c r="M34" s="787">
        <f>'ANALYSE - ERP =&gt; SEGMENT'!$ET$34</f>
        <v>4.3691845727406767E-2</v>
      </c>
      <c r="N34" s="916">
        <f>20*'ANALYSE - ERP =&gt; SEGMENT'!$FR$34</f>
        <v>79.443116623603231</v>
      </c>
      <c r="O34" s="916">
        <f>20*'ANALYSE - ERP =&gt; SEGMENT'!$FT$34</f>
        <v>31.36701813580768</v>
      </c>
      <c r="P34" s="916">
        <f>20*'ANALYSE - ERP =&gt; SEGMENT'!$FP$34</f>
        <v>57.914695833780328</v>
      </c>
      <c r="Q34" s="430">
        <f>'ANALYSE - ERP =&gt; SEGMENT'!$Q$34</f>
        <v>1</v>
      </c>
    </row>
  </sheetData>
  <pageMargins left="3.937007874015748E-2" right="3.937007874015748E-2" top="7.874015748031496E-2" bottom="7.874015748031496E-2" header="0.11811023622047249" footer="0.11811023622047249"/>
  <pageSetup paperSize="8" scale="54" fitToHeight="2"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8" tint="0.39997558519241921"/>
    <pageSetUpPr fitToPage="1"/>
  </sheetPr>
  <dimension ref="A1:AQ49"/>
  <sheetViews>
    <sheetView workbookViewId="0">
      <selection sqref="A1:H1"/>
    </sheetView>
  </sheetViews>
  <sheetFormatPr baseColWidth="10" defaultColWidth="9.140625" defaultRowHeight="15"/>
  <cols>
    <col min="1" max="7" width="18" style="934" customWidth="1"/>
    <col min="8" max="8" width="9.5703125" style="934" customWidth="1"/>
    <col min="9" max="43" width="9.140625" style="933" customWidth="1"/>
  </cols>
  <sheetData>
    <row r="1" spans="1:8" ht="24" customHeight="1">
      <c r="A1" s="1012" t="s">
        <v>7886</v>
      </c>
      <c r="B1" s="1013"/>
      <c r="C1" s="1013"/>
      <c r="D1" s="1013"/>
      <c r="E1" s="1013"/>
      <c r="F1" s="1013"/>
      <c r="G1" s="1013"/>
      <c r="H1" s="1014"/>
    </row>
    <row r="2" spans="1:8" s="933" customFormat="1"/>
    <row r="3" spans="1:8">
      <c r="A3" s="1009" t="s">
        <v>7776</v>
      </c>
      <c r="B3" s="1008"/>
      <c r="C3" s="1008"/>
      <c r="D3" s="1008"/>
      <c r="E3" s="1008"/>
      <c r="F3" s="1008"/>
      <c r="G3" s="1008"/>
      <c r="H3" s="1008"/>
    </row>
    <row r="4" spans="1:8" s="933" customFormat="1" ht="25.5" customHeight="1">
      <c r="A4" s="1010" t="s">
        <v>7887</v>
      </c>
      <c r="B4" s="1005"/>
      <c r="C4" s="1005"/>
      <c r="D4" s="1005"/>
      <c r="E4" s="1005"/>
      <c r="F4" s="1005"/>
      <c r="G4" s="1005"/>
      <c r="H4" s="1005"/>
    </row>
    <row r="5" spans="1:8" s="933" customFormat="1"/>
    <row r="6" spans="1:8">
      <c r="A6" s="1009" t="s">
        <v>7888</v>
      </c>
      <c r="B6" s="1008"/>
      <c r="C6" s="1008"/>
      <c r="D6" s="1008"/>
      <c r="E6" s="1008"/>
      <c r="F6" s="1008"/>
      <c r="G6" s="1008"/>
      <c r="H6" s="1008"/>
    </row>
    <row r="7" spans="1:8">
      <c r="A7" s="1004" t="s">
        <v>7741</v>
      </c>
      <c r="B7" s="1008"/>
      <c r="C7" s="1008"/>
      <c r="D7" s="1008"/>
      <c r="E7" s="1008"/>
      <c r="F7" s="1008"/>
      <c r="G7" s="1008"/>
      <c r="H7" s="1008"/>
    </row>
    <row r="8" spans="1:8" s="933" customFormat="1">
      <c r="A8" s="1010" t="s">
        <v>7889</v>
      </c>
      <c r="B8" s="1005"/>
      <c r="C8" s="1005"/>
      <c r="D8" s="1005"/>
      <c r="E8" s="1005"/>
      <c r="F8" s="1005"/>
      <c r="G8" s="1005"/>
      <c r="H8" s="1005"/>
    </row>
    <row r="9" spans="1:8">
      <c r="A9" s="1004" t="s">
        <v>7890</v>
      </c>
      <c r="B9" s="1008"/>
      <c r="C9" s="1008"/>
      <c r="D9" s="1008"/>
      <c r="E9" s="1008"/>
      <c r="F9" s="1008"/>
      <c r="G9" s="1008"/>
      <c r="H9" s="1008"/>
    </row>
    <row r="10" spans="1:8" ht="51.75" customHeight="1">
      <c r="A10" s="1006" t="s">
        <v>7891</v>
      </c>
      <c r="B10" s="1008"/>
      <c r="C10" s="1008"/>
      <c r="D10" s="1008"/>
      <c r="E10" s="1008"/>
      <c r="F10" s="1008"/>
      <c r="G10" s="1008"/>
      <c r="H10" s="1008"/>
    </row>
    <row r="11" spans="1:8">
      <c r="A11" s="1004" t="s">
        <v>1307</v>
      </c>
      <c r="B11" s="1008"/>
      <c r="C11" s="1008"/>
      <c r="D11" s="1008"/>
      <c r="E11" s="1008"/>
      <c r="F11" s="1008"/>
      <c r="G11" s="1008"/>
      <c r="H11" s="1008"/>
    </row>
    <row r="12" spans="1:8" s="933" customFormat="1" ht="25.5" customHeight="1">
      <c r="A12" s="1010" t="s">
        <v>7892</v>
      </c>
      <c r="B12" s="1005"/>
      <c r="C12" s="1005"/>
      <c r="D12" s="1005"/>
      <c r="E12" s="1005"/>
      <c r="F12" s="1005"/>
      <c r="G12" s="1005"/>
      <c r="H12" s="1005"/>
    </row>
    <row r="13" spans="1:8" s="933" customFormat="1"/>
    <row r="14" spans="1:8">
      <c r="A14" s="1009" t="s">
        <v>7893</v>
      </c>
      <c r="B14" s="1008"/>
      <c r="C14" s="1008"/>
      <c r="D14" s="1008"/>
      <c r="E14" s="1008"/>
      <c r="F14" s="1008"/>
      <c r="G14" s="1008"/>
      <c r="H14" s="1008"/>
    </row>
    <row r="15" spans="1:8">
      <c r="A15" s="1004" t="s">
        <v>7741</v>
      </c>
      <c r="B15" s="1008"/>
      <c r="C15" s="1008"/>
      <c r="D15" s="1008"/>
      <c r="E15" s="1008"/>
      <c r="F15" s="1008"/>
      <c r="G15" s="1008"/>
      <c r="H15" s="1008"/>
    </row>
    <row r="16" spans="1:8" s="933" customFormat="1" ht="25.5" customHeight="1">
      <c r="A16" s="1010" t="s">
        <v>7894</v>
      </c>
      <c r="B16" s="1005"/>
      <c r="C16" s="1005"/>
      <c r="D16" s="1005"/>
      <c r="E16" s="1005"/>
      <c r="F16" s="1005"/>
      <c r="G16" s="1005"/>
      <c r="H16" s="1005"/>
    </row>
    <row r="17" spans="1:8">
      <c r="A17" s="1004" t="s">
        <v>7890</v>
      </c>
      <c r="B17" s="1008"/>
      <c r="C17" s="1008"/>
      <c r="D17" s="1008"/>
      <c r="E17" s="1008"/>
      <c r="F17" s="1008"/>
      <c r="G17" s="1008"/>
      <c r="H17" s="1008"/>
    </row>
    <row r="18" spans="1:8" s="933" customFormat="1" ht="51" customHeight="1">
      <c r="A18" s="1010" t="s">
        <v>7895</v>
      </c>
      <c r="B18" s="1005"/>
      <c r="C18" s="1005"/>
      <c r="D18" s="1005"/>
      <c r="E18" s="1005"/>
      <c r="F18" s="1005"/>
      <c r="G18" s="1005"/>
      <c r="H18" s="1005"/>
    </row>
    <row r="19" spans="1:8">
      <c r="A19" s="1004" t="s">
        <v>1307</v>
      </c>
      <c r="B19" s="1008"/>
      <c r="C19" s="1008"/>
      <c r="D19" s="1008"/>
      <c r="E19" s="1008"/>
      <c r="F19" s="1008"/>
      <c r="G19" s="1008"/>
      <c r="H19" s="1008"/>
    </row>
    <row r="20" spans="1:8" s="933" customFormat="1">
      <c r="A20" s="1010" t="s">
        <v>7896</v>
      </c>
      <c r="B20" s="1005"/>
      <c r="C20" s="1005"/>
      <c r="D20" s="1005"/>
      <c r="E20" s="1005"/>
      <c r="F20" s="1005"/>
      <c r="G20" s="1005"/>
      <c r="H20" s="1005"/>
    </row>
    <row r="21" spans="1:8" s="933" customFormat="1"/>
    <row r="22" spans="1:8">
      <c r="A22" s="1009" t="s">
        <v>7897</v>
      </c>
      <c r="B22" s="1008"/>
      <c r="C22" s="1008"/>
      <c r="D22" s="1008"/>
      <c r="E22" s="1008"/>
      <c r="F22" s="1008"/>
      <c r="G22" s="1008"/>
      <c r="H22" s="1008"/>
    </row>
    <row r="23" spans="1:8">
      <c r="A23" s="1004" t="s">
        <v>7898</v>
      </c>
      <c r="B23" s="1008"/>
      <c r="C23" s="1008"/>
      <c r="D23" s="1008"/>
      <c r="E23" s="1008"/>
      <c r="F23" s="1008"/>
      <c r="G23" s="1008"/>
      <c r="H23" s="1008"/>
    </row>
    <row r="24" spans="1:8" ht="39" customHeight="1">
      <c r="A24" s="1006" t="s">
        <v>7899</v>
      </c>
      <c r="B24" s="1008"/>
      <c r="C24" s="1008"/>
      <c r="D24" s="1008"/>
      <c r="E24" s="1008"/>
      <c r="F24" s="1008"/>
      <c r="G24" s="1008"/>
      <c r="H24" s="1008"/>
    </row>
    <row r="25" spans="1:8">
      <c r="A25" s="1004" t="s">
        <v>7900</v>
      </c>
      <c r="B25" s="1008"/>
      <c r="C25" s="1008"/>
      <c r="D25" s="1008"/>
      <c r="E25" s="1008"/>
      <c r="F25" s="1008"/>
      <c r="G25" s="1008"/>
      <c r="H25" s="1008"/>
    </row>
    <row r="26" spans="1:8" ht="26.25" customHeight="1">
      <c r="A26" s="1006" t="s">
        <v>7901</v>
      </c>
      <c r="B26" s="1008"/>
      <c r="C26" s="1008"/>
      <c r="D26" s="1008"/>
      <c r="E26" s="1008"/>
      <c r="F26" s="1008"/>
      <c r="G26" s="1008"/>
      <c r="H26" s="1008"/>
    </row>
    <row r="27" spans="1:8" s="933" customFormat="1"/>
    <row r="28" spans="1:8">
      <c r="A28" s="1009" t="s">
        <v>7902</v>
      </c>
      <c r="B28" s="1008"/>
      <c r="C28" s="1008"/>
      <c r="D28" s="1008"/>
      <c r="E28" s="1008"/>
      <c r="F28" s="1008"/>
      <c r="G28" s="1008"/>
      <c r="H28" s="1008"/>
    </row>
    <row r="29" spans="1:8">
      <c r="A29" s="1004" t="s">
        <v>7903</v>
      </c>
      <c r="B29" s="1008"/>
      <c r="C29" s="1008"/>
      <c r="D29" s="1008"/>
      <c r="E29" s="1008"/>
      <c r="F29" s="1008"/>
      <c r="G29" s="1008"/>
      <c r="H29" s="1008"/>
    </row>
    <row r="30" spans="1:8" ht="66" customHeight="1">
      <c r="A30" s="1006" t="s">
        <v>7904</v>
      </c>
      <c r="B30" s="1008"/>
      <c r="C30" s="1008"/>
      <c r="D30" s="1008"/>
      <c r="E30" s="1008"/>
      <c r="F30" s="1008"/>
      <c r="G30" s="1008"/>
      <c r="H30" s="1008"/>
    </row>
    <row r="31" spans="1:8" s="933" customFormat="1"/>
    <row r="32" spans="1:8">
      <c r="A32" s="1009" t="s">
        <v>7801</v>
      </c>
      <c r="B32" s="1008"/>
      <c r="C32" s="1008"/>
      <c r="D32" s="1008"/>
      <c r="E32" s="1008"/>
      <c r="F32" s="1008"/>
      <c r="G32" s="1008"/>
      <c r="H32" s="1008"/>
    </row>
    <row r="33" spans="1:8">
      <c r="A33" s="1004" t="s">
        <v>7905</v>
      </c>
      <c r="B33" s="1008"/>
      <c r="C33" s="1008"/>
      <c r="D33" s="1008"/>
      <c r="E33" s="1008"/>
      <c r="F33" s="1008"/>
      <c r="G33" s="1008"/>
      <c r="H33" s="1008"/>
    </row>
    <row r="34" spans="1:8" ht="78.75" customHeight="1">
      <c r="A34" s="1006" t="s">
        <v>7906</v>
      </c>
      <c r="B34" s="1008"/>
      <c r="C34" s="1008"/>
      <c r="D34" s="1008"/>
      <c r="E34" s="1008"/>
      <c r="F34" s="1008"/>
      <c r="G34" s="1008"/>
      <c r="H34" s="1008"/>
    </row>
    <row r="35" spans="1:8">
      <c r="A35" s="1004" t="s">
        <v>7907</v>
      </c>
      <c r="B35" s="1008"/>
      <c r="C35" s="1008"/>
      <c r="D35" s="1008"/>
      <c r="E35" s="1008"/>
      <c r="F35" s="1008"/>
      <c r="G35" s="1008"/>
      <c r="H35" s="1008"/>
    </row>
    <row r="36" spans="1:8" ht="38.25" customHeight="1">
      <c r="A36" s="1006" t="s">
        <v>7908</v>
      </c>
      <c r="B36" s="1008"/>
      <c r="C36" s="1008"/>
      <c r="D36" s="1008"/>
      <c r="E36" s="1008"/>
      <c r="F36" s="1008"/>
      <c r="G36" s="1008"/>
      <c r="H36" s="1008"/>
    </row>
    <row r="37" spans="1:8">
      <c r="A37" s="1004" t="s">
        <v>7909</v>
      </c>
      <c r="B37" s="1008"/>
      <c r="C37" s="1008"/>
      <c r="D37" s="1008"/>
      <c r="E37" s="1008"/>
      <c r="F37" s="1008"/>
      <c r="G37" s="1008"/>
      <c r="H37" s="1008"/>
    </row>
    <row r="38" spans="1:8" ht="66" customHeight="1">
      <c r="A38" s="1006" t="s">
        <v>7910</v>
      </c>
      <c r="B38" s="1008"/>
      <c r="C38" s="1008"/>
      <c r="D38" s="1008"/>
      <c r="E38" s="1008"/>
      <c r="F38" s="1008"/>
      <c r="G38" s="1008"/>
      <c r="H38" s="1008"/>
    </row>
    <row r="39" spans="1:8">
      <c r="A39" s="1004" t="s">
        <v>7808</v>
      </c>
      <c r="B39" s="1008"/>
      <c r="C39" s="1008"/>
      <c r="D39" s="1008"/>
      <c r="E39" s="1008"/>
      <c r="F39" s="1008"/>
      <c r="G39" s="1008"/>
      <c r="H39" s="1008"/>
    </row>
    <row r="40" spans="1:8" ht="27.75" customHeight="1">
      <c r="A40" s="1006" t="s">
        <v>7911</v>
      </c>
      <c r="B40" s="1008"/>
      <c r="C40" s="1008"/>
      <c r="D40" s="1008"/>
      <c r="E40" s="1008"/>
      <c r="F40" s="1008"/>
      <c r="G40" s="1008"/>
      <c r="H40" s="1008"/>
    </row>
    <row r="41" spans="1:8" s="933" customFormat="1"/>
    <row r="42" spans="1:8">
      <c r="A42" s="1009" t="s">
        <v>7912</v>
      </c>
      <c r="B42" s="1008"/>
      <c r="C42" s="1008"/>
      <c r="D42" s="1008"/>
      <c r="E42" s="1008"/>
      <c r="F42" s="1008"/>
      <c r="G42" s="1008"/>
      <c r="H42" s="1008"/>
    </row>
    <row r="43" spans="1:8">
      <c r="A43" s="1004" t="s">
        <v>7913</v>
      </c>
      <c r="B43" s="1008"/>
      <c r="C43" s="1008"/>
      <c r="D43" s="1008"/>
      <c r="E43" s="1008"/>
      <c r="F43" s="1008"/>
      <c r="G43" s="1008"/>
      <c r="H43" s="1008"/>
    </row>
    <row r="44" spans="1:8">
      <c r="A44" s="1006" t="s">
        <v>7914</v>
      </c>
      <c r="B44" s="1008"/>
      <c r="C44" s="1008"/>
      <c r="D44" s="1008"/>
      <c r="E44" s="1008"/>
      <c r="F44" s="1008"/>
      <c r="G44" s="1008"/>
      <c r="H44" s="1008"/>
    </row>
    <row r="45" spans="1:8">
      <c r="A45" s="1004" t="s">
        <v>7915</v>
      </c>
      <c r="B45" s="1008"/>
      <c r="C45" s="1008"/>
      <c r="D45" s="1008"/>
      <c r="E45" s="1008"/>
      <c r="F45" s="1008"/>
      <c r="G45" s="1008"/>
      <c r="H45" s="1008"/>
    </row>
    <row r="46" spans="1:8" ht="66" customHeight="1">
      <c r="A46" s="1006" t="s">
        <v>7916</v>
      </c>
      <c r="B46" s="1008"/>
      <c r="C46" s="1008"/>
      <c r="D46" s="1008"/>
      <c r="E46" s="1008"/>
      <c r="F46" s="1008"/>
      <c r="G46" s="1008"/>
      <c r="H46" s="1008"/>
    </row>
    <row r="47" spans="1:8" s="933" customFormat="1"/>
    <row r="48" spans="1:8">
      <c r="A48" s="1009" t="s">
        <v>7821</v>
      </c>
      <c r="B48" s="1008"/>
      <c r="C48" s="1008"/>
      <c r="D48" s="1008"/>
      <c r="E48" s="1008"/>
      <c r="F48" s="1008"/>
      <c r="G48" s="1008"/>
      <c r="H48" s="1008"/>
    </row>
    <row r="49" spans="1:8" ht="38.25" customHeight="1">
      <c r="A49" s="1011" t="s">
        <v>7917</v>
      </c>
      <c r="B49" s="1008"/>
      <c r="C49" s="1008"/>
      <c r="D49" s="1008"/>
      <c r="E49" s="1008"/>
      <c r="F49" s="1008"/>
      <c r="G49" s="1008"/>
      <c r="H49" s="1008"/>
    </row>
  </sheetData>
  <mergeCells count="41">
    <mergeCell ref="A8:H8"/>
    <mergeCell ref="A22:H22"/>
    <mergeCell ref="A17:H17"/>
    <mergeCell ref="A4:H4"/>
    <mergeCell ref="A35:H35"/>
    <mergeCell ref="A29:H29"/>
    <mergeCell ref="A34:H34"/>
    <mergeCell ref="A20:H20"/>
    <mergeCell ref="A10:H10"/>
    <mergeCell ref="A28:H28"/>
    <mergeCell ref="A19:H19"/>
    <mergeCell ref="A9:H9"/>
    <mergeCell ref="A14:H14"/>
    <mergeCell ref="A49:H49"/>
    <mergeCell ref="A11:H11"/>
    <mergeCell ref="A45:H45"/>
    <mergeCell ref="A1:H1"/>
    <mergeCell ref="A6:H6"/>
    <mergeCell ref="A7:H7"/>
    <mergeCell ref="A25:H25"/>
    <mergeCell ref="A16:H16"/>
    <mergeCell ref="A37:H37"/>
    <mergeCell ref="A46:H46"/>
    <mergeCell ref="A12:H12"/>
    <mergeCell ref="A18:H18"/>
    <mergeCell ref="A3:H3"/>
    <mergeCell ref="A26:H26"/>
    <mergeCell ref="A42:H42"/>
    <mergeCell ref="A33:H33"/>
    <mergeCell ref="A48:H48"/>
    <mergeCell ref="A30:H30"/>
    <mergeCell ref="A39:H39"/>
    <mergeCell ref="A15:H15"/>
    <mergeCell ref="A24:H24"/>
    <mergeCell ref="A36:H36"/>
    <mergeCell ref="A23:H23"/>
    <mergeCell ref="A32:H32"/>
    <mergeCell ref="A38:H38"/>
    <mergeCell ref="A43:H43"/>
    <mergeCell ref="A44:H44"/>
    <mergeCell ref="A40:H40"/>
  </mergeCells>
  <pageMargins left="3.937007874015748E-2" right="3.937007874015748E-2" top="0" bottom="0" header="0.11811023622047249" footer="0.11811023622047249"/>
  <pageSetup paperSize="9" scale="10"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8" tint="-0.249977111117893"/>
    <pageSetUpPr fitToPage="1"/>
  </sheetPr>
  <dimension ref="A1:BE34"/>
  <sheetViews>
    <sheetView zoomScale="85" zoomScaleNormal="85" workbookViewId="0">
      <selection activeCell="R13" sqref="R13"/>
    </sheetView>
  </sheetViews>
  <sheetFormatPr baseColWidth="10" defaultColWidth="9.140625" defaultRowHeight="15"/>
  <cols>
    <col min="1" max="1" width="6.140625" style="934" customWidth="1"/>
    <col min="2" max="2" width="5.7109375" style="934" customWidth="1"/>
    <col min="3" max="3" width="5.42578125" style="934" customWidth="1"/>
    <col min="4" max="4" width="4.85546875" style="934" customWidth="1"/>
    <col min="5" max="5" width="30.28515625" style="43" customWidth="1"/>
    <col min="6" max="6" width="22" style="43" customWidth="1"/>
    <col min="7" max="7" width="45.140625" style="43" customWidth="1"/>
    <col min="8" max="8" width="1.7109375" style="933" customWidth="1"/>
    <col min="9" max="9" width="9.7109375" style="934" customWidth="1"/>
    <col min="10" max="10" width="1.7109375" style="933" customWidth="1"/>
    <col min="11" max="11" width="9.5703125" style="934" customWidth="1"/>
    <col min="12" max="12" width="9" style="934" customWidth="1"/>
    <col min="13" max="13" width="1.7109375" style="933" customWidth="1"/>
    <col min="14" max="14" width="9.42578125" style="934" customWidth="1"/>
    <col min="15" max="15" width="9" style="934" customWidth="1"/>
    <col min="16" max="16" width="10.42578125" style="934" customWidth="1"/>
    <col min="17" max="17" width="8.7109375" style="934" customWidth="1"/>
    <col min="18" max="18" width="8.85546875" style="934" customWidth="1"/>
    <col min="19" max="19" width="1.7109375" style="933" customWidth="1"/>
    <col min="20" max="20" width="9" style="934" customWidth="1"/>
    <col min="21" max="21" width="8.85546875" style="934" customWidth="1"/>
    <col min="22" max="22" width="9.7109375" style="934" customWidth="1"/>
    <col min="23" max="23" width="10.42578125" style="934" customWidth="1"/>
    <col min="24" max="24" width="9" style="934" customWidth="1"/>
    <col min="25" max="25" width="1.7109375" style="933" customWidth="1"/>
    <col min="26" max="26" width="9.5703125" style="934" customWidth="1"/>
    <col min="27" max="27" width="9.85546875" style="934" customWidth="1"/>
    <col min="28" max="28" width="9" style="934" customWidth="1"/>
    <col min="29" max="29" width="9.42578125" style="934" customWidth="1"/>
    <col min="30" max="30" width="7.85546875" style="934" customWidth="1"/>
    <col min="31" max="31" width="1.7109375" style="933" customWidth="1"/>
    <col min="32" max="32" width="11.5703125" style="934" customWidth="1"/>
    <col min="33" max="57" width="9.140625" style="933" customWidth="1"/>
  </cols>
  <sheetData>
    <row r="1" spans="1:32" s="438" customFormat="1" ht="18.75" customHeight="1">
      <c r="A1" s="933"/>
      <c r="B1" s="933"/>
      <c r="C1" s="933"/>
      <c r="D1" s="477"/>
      <c r="E1" s="477"/>
      <c r="F1" s="478" t="s">
        <v>7918</v>
      </c>
      <c r="G1" s="479"/>
      <c r="H1" s="933"/>
      <c r="I1" s="933"/>
      <c r="J1" s="933"/>
      <c r="K1" s="933"/>
      <c r="L1" s="933"/>
      <c r="M1" s="933"/>
      <c r="N1" s="436"/>
      <c r="O1" s="436"/>
      <c r="P1" s="440" t="s">
        <v>7919</v>
      </c>
      <c r="Q1" s="436"/>
      <c r="R1" s="436"/>
      <c r="S1" s="933"/>
      <c r="T1" s="434"/>
      <c r="U1" s="434"/>
      <c r="V1" s="439" t="s">
        <v>7919</v>
      </c>
      <c r="W1" s="434"/>
      <c r="X1" s="434"/>
      <c r="Y1" s="933"/>
      <c r="Z1" s="435"/>
      <c r="AA1" s="435"/>
      <c r="AB1" s="441" t="s">
        <v>7919</v>
      </c>
      <c r="AC1" s="435"/>
      <c r="AD1" s="435"/>
      <c r="AE1" s="933"/>
      <c r="AF1" s="436"/>
    </row>
    <row r="2" spans="1:32" s="437" customFormat="1" ht="54.75" customHeight="1">
      <c r="A2" s="436" t="s">
        <v>7853</v>
      </c>
      <c r="B2" s="434" t="s">
        <v>7854</v>
      </c>
      <c r="C2" s="435" t="s">
        <v>7855</v>
      </c>
      <c r="D2" s="829" t="s">
        <v>2044</v>
      </c>
      <c r="E2" s="829" t="s">
        <v>6714</v>
      </c>
      <c r="F2" s="829" t="s">
        <v>6715</v>
      </c>
      <c r="G2" s="829" t="s">
        <v>2181</v>
      </c>
      <c r="H2" s="453"/>
      <c r="I2" s="436" t="s">
        <v>7920</v>
      </c>
      <c r="J2" s="453"/>
      <c r="K2" s="434" t="s">
        <v>7860</v>
      </c>
      <c r="L2" s="435" t="s">
        <v>2534</v>
      </c>
      <c r="M2" s="453"/>
      <c r="N2" s="436" t="s">
        <v>7857</v>
      </c>
      <c r="O2" s="436" t="s">
        <v>7921</v>
      </c>
      <c r="P2" s="436" t="s">
        <v>7922</v>
      </c>
      <c r="Q2" s="436" t="s">
        <v>7923</v>
      </c>
      <c r="R2" s="436" t="s">
        <v>7924</v>
      </c>
      <c r="S2" s="453"/>
      <c r="T2" s="434" t="s">
        <v>7925</v>
      </c>
      <c r="U2" s="434" t="s">
        <v>7926</v>
      </c>
      <c r="V2" s="434" t="s">
        <v>7927</v>
      </c>
      <c r="W2" s="434" t="s">
        <v>7928</v>
      </c>
      <c r="X2" s="434" t="s">
        <v>7929</v>
      </c>
      <c r="Y2" s="453"/>
      <c r="Z2" s="435" t="s">
        <v>7930</v>
      </c>
      <c r="AA2" s="435" t="s">
        <v>7931</v>
      </c>
      <c r="AB2" s="435" t="s">
        <v>7932</v>
      </c>
      <c r="AC2" s="435" t="s">
        <v>7933</v>
      </c>
      <c r="AD2" s="435" t="s">
        <v>7934</v>
      </c>
      <c r="AE2" s="453"/>
      <c r="AF2" s="436" t="s">
        <v>6711</v>
      </c>
    </row>
    <row r="3" spans="1:32">
      <c r="A3" s="405" t="s">
        <v>2535</v>
      </c>
      <c r="B3" s="405" t="s">
        <v>2535</v>
      </c>
      <c r="C3" s="405" t="s">
        <v>2535</v>
      </c>
      <c r="D3" s="405" t="s">
        <v>2090</v>
      </c>
      <c r="E3" s="405" t="s">
        <v>2086</v>
      </c>
      <c r="F3" s="405" t="s">
        <v>6728</v>
      </c>
      <c r="G3" s="405" t="s">
        <v>6729</v>
      </c>
      <c r="I3" s="426">
        <f>IFERROR(N3/5,"")</f>
        <v>1094588.843723807</v>
      </c>
      <c r="K3" s="790">
        <f t="shared" ref="K3:K34" si="0">IFERROR(T3/N3,"")</f>
        <v>0.80093862310061181</v>
      </c>
      <c r="L3" s="790">
        <f t="shared" ref="L3:L34" si="1">IFERROR(Z3/N3,"")</f>
        <v>0.19906137689938794</v>
      </c>
      <c r="N3" s="426">
        <f>SUMPRODUCT(($AF$4:$AF$106),('ANALYSE - ERP =&gt; SEGMENT'!$EU$8:$EU$110))</f>
        <v>5472944.2186190356</v>
      </c>
      <c r="O3" s="426">
        <f>SUMPRODUCT(($AF$4:$AF$106),('ANALYSE - ERP =&gt; SEGMENT'!$EX$8:$EX$110))</f>
        <v>2364064.5361613138</v>
      </c>
      <c r="P3" s="426">
        <f>SUMPRODUCT(($AF$4:$AF$106),('ANALYSE - ERP =&gt; SEGMENT'!$FA$8:$FA$110))</f>
        <v>809241.22154342139</v>
      </c>
      <c r="Q3" s="426">
        <f>SUMPRODUCT(($AF$4:$AF$106),('ANALYSE - ERP =&gt; SEGMENT'!$FD$8:$FD$110))</f>
        <v>425444.5636977214</v>
      </c>
      <c r="R3" s="426">
        <f>SUMPRODUCT(($AF$4:$AF$106),('ANALYSE - ERP =&gt; SEGMENT'!$FG$8:$FG$110))</f>
        <v>1874193.8972165799</v>
      </c>
      <c r="T3" s="426">
        <f>SUMPRODUCT(($AF$4:$AF$106),('ANALYSE - ERP =&gt; SEGMENT'!$EV$8:$EV$110))</f>
        <v>4383492.4067671839</v>
      </c>
      <c r="U3" s="426">
        <f>SUMPRODUCT(($AF$4:$AF$106),('ANALYSE - ERP =&gt; SEGMENT'!$EY$8:$EY$110))</f>
        <v>1891602.4868163134</v>
      </c>
      <c r="V3" s="426">
        <f>SUMPRODUCT(($AF$4:$AF$106),('ANALYSE - ERP =&gt; SEGMENT'!$FB$8:$FB$110))</f>
        <v>657756.71151157143</v>
      </c>
      <c r="W3" s="426">
        <f>SUMPRODUCT(($AF$4:$AF$106),('ANALYSE - ERP =&gt; SEGMENT'!$FE$8:$FE$110))</f>
        <v>341641.23186272144</v>
      </c>
      <c r="X3" s="426">
        <f>SUMPRODUCT(($AF$4:$AF$106),('ANALYSE - ERP =&gt; SEGMENT'!$FH$8:$FH$110))</f>
        <v>1492491.9765765802</v>
      </c>
      <c r="Z3" s="426">
        <f>SUMPRODUCT(($AF$4:$AF$106),('ANALYSE - ERP =&gt; SEGMENT'!$EW$8:$EW$110))</f>
        <v>1089451.81185185</v>
      </c>
      <c r="AA3" s="426">
        <f>SUMPRODUCT(($AF$4:$AF$106),('ANALYSE - ERP =&gt; SEGMENT'!$EZ$8:$EZ$110))</f>
        <v>472462.04934499995</v>
      </c>
      <c r="AB3" s="426">
        <f>SUMPRODUCT(($AF$4:$AF$106),('ANALYSE - ERP =&gt; SEGMENT'!$FC$8:$FC$110))</f>
        <v>151484.51003185002</v>
      </c>
      <c r="AC3" s="426">
        <f>SUMPRODUCT(($AF$4:$AF$106),('ANALYSE - ERP =&gt; SEGMENT'!$FF$8:$FF$110))</f>
        <v>83803.331835000005</v>
      </c>
      <c r="AD3" s="426">
        <f>SUMPRODUCT(($AF$4:$AF$106),('ANALYSE - ERP =&gt; SEGMENT'!$FI$8:$FI$110))</f>
        <v>381701.92064000003</v>
      </c>
      <c r="AF3" s="428">
        <f>SUM('ANALYSE - ERP =&gt; SEGMENT'!$Q$8:$Q$110)</f>
        <v>34</v>
      </c>
    </row>
    <row r="4" spans="1:32" ht="15" customHeight="1">
      <c r="A4" s="26">
        <v>1</v>
      </c>
      <c r="B4" s="26">
        <v>1</v>
      </c>
      <c r="C4" s="26">
        <v>1</v>
      </c>
      <c r="D4" s="491" t="s">
        <v>2187</v>
      </c>
      <c r="E4" s="492" t="s">
        <v>3877</v>
      </c>
      <c r="F4" s="492" t="s">
        <v>7981</v>
      </c>
      <c r="G4" s="408" t="str">
        <f>'ANALYSE - ERP =&gt; SEGMENT'!$D$19</f>
        <v>Cafés / bars / brasseries
Fast-food / cafétérias / food courts
Restaurants
(Hors établissements altitude, flottant, armée)</v>
      </c>
      <c r="I4" s="427">
        <f t="shared" ref="I4:I34" si="2">N4/5</f>
        <v>152899.97381578168</v>
      </c>
      <c r="K4" s="787">
        <f t="shared" si="0"/>
        <v>0.8184637139019898</v>
      </c>
      <c r="L4" s="787">
        <f t="shared" si="1"/>
        <v>0.18153628609801015</v>
      </c>
      <c r="N4" s="424">
        <f>'ANALYSE - ERP =&gt; SEGMENT'!$EU$19</f>
        <v>764499.86907890835</v>
      </c>
      <c r="O4" s="427">
        <f>'ANALYSE - ERP =&gt; SEGMENT'!$EX$19</f>
        <v>429245.43901845603</v>
      </c>
      <c r="P4" s="427">
        <f>'ANALYSE - ERP =&gt; SEGMENT'!$FA$19</f>
        <v>0</v>
      </c>
      <c r="Q4" s="427">
        <f>'ANALYSE - ERP =&gt; SEGMENT'!$FD$19</f>
        <v>62500.099784944628</v>
      </c>
      <c r="R4" s="427">
        <f>'ANALYSE - ERP =&gt; SEGMENT'!$FG$19</f>
        <v>272754.33027550753</v>
      </c>
      <c r="T4" s="424">
        <f>'ANALYSE - ERP =&gt; SEGMENT'!$EV$19</f>
        <v>625715.40212390828</v>
      </c>
      <c r="U4" s="427">
        <f>'ANALYSE - ERP =&gt; SEGMENT'!$EY$19</f>
        <v>352251.30139345606</v>
      </c>
      <c r="V4" s="427">
        <f>'ANALYSE - ERP =&gt; SEGMENT'!$FB$19</f>
        <v>0</v>
      </c>
      <c r="W4" s="427">
        <f>'ANALYSE - ERP =&gt; SEGMENT'!$FE$19</f>
        <v>51878.566054944626</v>
      </c>
      <c r="X4" s="427">
        <f>'ANALYSE - ERP =&gt; SEGMENT'!$FH$19</f>
        <v>221585.53467550754</v>
      </c>
      <c r="Z4" s="427">
        <f>'ANALYSE - ERP =&gt; SEGMENT'!$EW$19</f>
        <v>138784.46695500001</v>
      </c>
      <c r="AA4" s="427">
        <f>'ANALYSE - ERP =&gt; SEGMENT'!$EZ$19</f>
        <v>76994.137625000003</v>
      </c>
      <c r="AB4" s="427">
        <f>'ANALYSE - ERP =&gt; SEGMENT'!$FC$19</f>
        <v>0</v>
      </c>
      <c r="AC4" s="427">
        <f>'ANALYSE - ERP =&gt; SEGMENT'!$FF$19</f>
        <v>10621.533730000005</v>
      </c>
      <c r="AD4" s="427">
        <f>'ANALYSE - ERP =&gt; SEGMENT'!$FI$19</f>
        <v>51168.795600000005</v>
      </c>
      <c r="AF4" s="430">
        <f>'ANALYSE - ERP =&gt; SEGMENT'!$Q$19</f>
        <v>1</v>
      </c>
    </row>
    <row r="5" spans="1:32" ht="15" customHeight="1">
      <c r="A5" s="26">
        <v>2</v>
      </c>
      <c r="B5" s="26">
        <v>2</v>
      </c>
      <c r="C5" s="26">
        <v>2</v>
      </c>
      <c r="D5" s="493" t="s">
        <v>2241</v>
      </c>
      <c r="E5" s="494" t="s">
        <v>1032</v>
      </c>
      <c r="F5" s="494" t="s">
        <v>7982</v>
      </c>
      <c r="G5" s="416" t="str">
        <f>'ANALYSE - ERP =&gt; SEGMENT'!$D$14</f>
        <v>Établissements médico-éducatifs
Foyers pour personnes handicapées
EHPAD
USLD
Résidences autonomie
Foyers-logements
(Public)
Résidences services seniors
(Privé)</v>
      </c>
      <c r="I5" s="427">
        <f t="shared" si="2"/>
        <v>135993.85916089511</v>
      </c>
      <c r="K5" s="787">
        <f t="shared" si="0"/>
        <v>0.80919678911898008</v>
      </c>
      <c r="L5" s="787">
        <f t="shared" si="1"/>
        <v>0.19080321088101995</v>
      </c>
      <c r="N5" s="424">
        <f>'ANALYSE - ERP =&gt; SEGMENT'!$EU$14</f>
        <v>679969.29580447555</v>
      </c>
      <c r="O5" s="427">
        <f>'ANALYSE - ERP =&gt; SEGMENT'!$EX$14</f>
        <v>292159.58099822607</v>
      </c>
      <c r="P5" s="427">
        <f>'ANALYSE - ERP =&gt; SEGMENT'!$FA$14</f>
        <v>118223.41828933654</v>
      </c>
      <c r="Q5" s="427">
        <f>'ANALYSE - ERP =&gt; SEGMENT'!$FD$14</f>
        <v>10083.967749566824</v>
      </c>
      <c r="R5" s="427">
        <f>'ANALYSE - ERP =&gt; SEGMENT'!$FG$14</f>
        <v>259502.32876734616</v>
      </c>
      <c r="T5" s="424">
        <f>'ANALYSE - ERP =&gt; SEGMENT'!$EV$14</f>
        <v>550228.97086447559</v>
      </c>
      <c r="U5" s="427">
        <f>'ANALYSE - ERP =&gt; SEGMENT'!$EY$14</f>
        <v>237919.91640822607</v>
      </c>
      <c r="V5" s="427">
        <f>'ANALYSE - ERP =&gt; SEGMENT'!$FB$14</f>
        <v>96427.971079336538</v>
      </c>
      <c r="W5" s="427">
        <f>'ANALYSE - ERP =&gt; SEGMENT'!$FE$14</f>
        <v>7868.9958495668234</v>
      </c>
      <c r="X5" s="427">
        <f>'ANALYSE - ERP =&gt; SEGMENT'!$FH$14</f>
        <v>208012.08752734616</v>
      </c>
      <c r="Z5" s="427">
        <f>'ANALYSE - ERP =&gt; SEGMENT'!$EW$14</f>
        <v>129740.32493999999</v>
      </c>
      <c r="AA5" s="427">
        <f>'ANALYSE - ERP =&gt; SEGMENT'!$EZ$14</f>
        <v>54239.66459</v>
      </c>
      <c r="AB5" s="427">
        <f>'ANALYSE - ERP =&gt; SEGMENT'!$FC$14</f>
        <v>21795.447209999998</v>
      </c>
      <c r="AC5" s="427">
        <f>'ANALYSE - ERP =&gt; SEGMENT'!$FF$14</f>
        <v>2214.9719</v>
      </c>
      <c r="AD5" s="427">
        <f>'ANALYSE - ERP =&gt; SEGMENT'!$FI$14</f>
        <v>51490.241239999996</v>
      </c>
      <c r="AF5" s="430">
        <f>'ANALYSE - ERP =&gt; SEGMENT'!$Q$14</f>
        <v>1</v>
      </c>
    </row>
    <row r="6" spans="1:32" ht="15" customHeight="1">
      <c r="A6" s="26">
        <v>3</v>
      </c>
      <c r="B6" s="26">
        <v>3</v>
      </c>
      <c r="C6" s="26">
        <v>5</v>
      </c>
      <c r="D6" s="495" t="s">
        <v>1670</v>
      </c>
      <c r="E6" s="496" t="s">
        <v>1671</v>
      </c>
      <c r="F6" s="496" t="s">
        <v>7983</v>
      </c>
      <c r="G6" s="409" t="str">
        <f>'ANALYSE - ERP =&gt; SEGMENT'!$D$30</f>
        <v>Gymnases / salles multisports
Piscines couvertes
Salles de fitness / dojos
Patinoires couvertes
Établissements thermaux
Centres de thalassothérapie / balnéothérapie / grands spas ouverts au public</v>
      </c>
      <c r="I6" s="427">
        <f t="shared" si="2"/>
        <v>124023.60676638487</v>
      </c>
      <c r="K6" s="787">
        <f t="shared" si="0"/>
        <v>0.7971818067879497</v>
      </c>
      <c r="L6" s="787">
        <f t="shared" si="1"/>
        <v>0.20281819321205033</v>
      </c>
      <c r="N6" s="424">
        <f>'ANALYSE - ERP =&gt; SEGMENT'!$EU$30</f>
        <v>620118.03383192432</v>
      </c>
      <c r="O6" s="427">
        <f>'ANALYSE - ERP =&gt; SEGMENT'!$EX$30</f>
        <v>200057.01617084848</v>
      </c>
      <c r="P6" s="427">
        <f>'ANALYSE - ERP =&gt; SEGMENT'!$FA$30</f>
        <v>240488.35430975002</v>
      </c>
      <c r="Q6" s="427">
        <f>'ANALYSE - ERP =&gt; SEGMENT'!$FD$30</f>
        <v>43150.489577325759</v>
      </c>
      <c r="R6" s="427">
        <f>'ANALYSE - ERP =&gt; SEGMENT'!$FG$30</f>
        <v>136422.17377400002</v>
      </c>
      <c r="T6" s="424">
        <f>'ANALYSE - ERP =&gt; SEGMENT'!$EV$30</f>
        <v>494346.81463192432</v>
      </c>
      <c r="U6" s="427">
        <f>'ANALYSE - ERP =&gt; SEGMENT'!$EY$30</f>
        <v>157269.55057084849</v>
      </c>
      <c r="V6" s="427">
        <f>'ANALYSE - ERP =&gt; SEGMENT'!$FB$30</f>
        <v>194473.86890975002</v>
      </c>
      <c r="W6" s="427">
        <f>'ANALYSE - ERP =&gt; SEGMENT'!$FE$30</f>
        <v>34661.855377325759</v>
      </c>
      <c r="X6" s="427">
        <f>'ANALYSE - ERP =&gt; SEGMENT'!$FH$30</f>
        <v>107941.53977400002</v>
      </c>
      <c r="Z6" s="427">
        <f>'ANALYSE - ERP =&gt; SEGMENT'!$EW$30</f>
        <v>125771.21919999999</v>
      </c>
      <c r="AA6" s="427">
        <f>'ANALYSE - ERP =&gt; SEGMENT'!$EZ$30</f>
        <v>42787.465599999996</v>
      </c>
      <c r="AB6" s="427">
        <f>'ANALYSE - ERP =&gt; SEGMENT'!$FC$30</f>
        <v>46014.485400000005</v>
      </c>
      <c r="AC6" s="427">
        <f>'ANALYSE - ERP =&gt; SEGMENT'!$FF$30</f>
        <v>8488.6342000000004</v>
      </c>
      <c r="AD6" s="427">
        <f>'ANALYSE - ERP =&gt; SEGMENT'!$FI$30</f>
        <v>28480.633999999995</v>
      </c>
      <c r="AF6" s="430">
        <f>'ANALYSE - ERP =&gt; SEGMENT'!$Q$30</f>
        <v>1</v>
      </c>
    </row>
    <row r="7" spans="1:32" ht="15" customHeight="1">
      <c r="A7" s="26">
        <v>4</v>
      </c>
      <c r="B7" s="26">
        <v>4</v>
      </c>
      <c r="C7" s="26">
        <v>3</v>
      </c>
      <c r="D7" s="497" t="s">
        <v>6739</v>
      </c>
      <c r="E7" s="498" t="s">
        <v>2678</v>
      </c>
      <c r="F7" s="498" t="s">
        <v>7984</v>
      </c>
      <c r="G7" s="415" t="str">
        <f>'ANALYSE - ERP =&gt; SEGMENT'!$D$9</f>
        <v>Écoles maternelles
Écoles primaires 
Collèges (vestiaires EPS inclus)
Lycées (vestiaires EPS inclus)
Internats scolaires</v>
      </c>
      <c r="I7" s="427">
        <f t="shared" si="2"/>
        <v>128039.03287499855</v>
      </c>
      <c r="K7" s="787">
        <f t="shared" si="0"/>
        <v>0.74441103251561591</v>
      </c>
      <c r="L7" s="787">
        <f t="shared" si="1"/>
        <v>0.25558896748438414</v>
      </c>
      <c r="N7" s="424">
        <f>'ANALYSE - ERP =&gt; SEGMENT'!$EU$9</f>
        <v>640195.16437499272</v>
      </c>
      <c r="O7" s="427">
        <f>'ANALYSE - ERP =&gt; SEGMENT'!$EX$9</f>
        <v>285658.20756434801</v>
      </c>
      <c r="P7" s="427">
        <f>'ANALYSE - ERP =&gt; SEGMENT'!$FA$9</f>
        <v>43472.488247576795</v>
      </c>
      <c r="Q7" s="427">
        <f>'ANALYSE - ERP =&gt; SEGMENT'!$FD$9</f>
        <v>67130.465314924004</v>
      </c>
      <c r="R7" s="427">
        <f>'ANALYSE - ERP =&gt; SEGMENT'!$FG$9</f>
        <v>243934.003248144</v>
      </c>
      <c r="T7" s="424">
        <f>'ANALYSE - ERP =&gt; SEGMENT'!$EV$9</f>
        <v>476568.3433238928</v>
      </c>
      <c r="U7" s="427">
        <f>'ANALYSE - ERP =&gt; SEGMENT'!$EY$9</f>
        <v>212778.37568434802</v>
      </c>
      <c r="V7" s="427">
        <f>'ANALYSE - ERP =&gt; SEGMENT'!$FB$9</f>
        <v>31885.809996476801</v>
      </c>
      <c r="W7" s="427">
        <f>'ANALYSE - ERP =&gt; SEGMENT'!$FE$9</f>
        <v>49594.990204924005</v>
      </c>
      <c r="X7" s="427">
        <f>'ANALYSE - ERP =&gt; SEGMENT'!$FH$9</f>
        <v>182309.16743814401</v>
      </c>
      <c r="Z7" s="427">
        <f>'ANALYSE - ERP =&gt; SEGMENT'!$EW$9</f>
        <v>163626.82105109998</v>
      </c>
      <c r="AA7" s="427">
        <f>'ANALYSE - ERP =&gt; SEGMENT'!$EZ$9</f>
        <v>72879.831879999998</v>
      </c>
      <c r="AB7" s="427">
        <f>'ANALYSE - ERP =&gt; SEGMENT'!$FC$9</f>
        <v>11586.678251099998</v>
      </c>
      <c r="AC7" s="427">
        <f>'ANALYSE - ERP =&gt; SEGMENT'!$FF$9</f>
        <v>17535.475109999999</v>
      </c>
      <c r="AD7" s="427">
        <f>'ANALYSE - ERP =&gt; SEGMENT'!$FI$9</f>
        <v>61624.835809999997</v>
      </c>
      <c r="AF7" s="430">
        <f>'ANALYSE - ERP =&gt; SEGMENT'!$Q$9</f>
        <v>1</v>
      </c>
    </row>
    <row r="8" spans="1:32" ht="15" customHeight="1">
      <c r="A8" s="26">
        <v>5</v>
      </c>
      <c r="B8" s="26">
        <v>5</v>
      </c>
      <c r="C8" s="26">
        <v>7</v>
      </c>
      <c r="D8" s="499" t="s">
        <v>3662</v>
      </c>
      <c r="E8" s="500" t="s">
        <v>1114</v>
      </c>
      <c r="F8" s="500" t="s">
        <v>7985</v>
      </c>
      <c r="G8" s="414" t="str">
        <f>'ANALYSE - ERP =&gt; SEGMENT'!$D$16</f>
        <v>Cinémas
Théâtres
Musées
Salles de spectacle / auditoriums
Salles de conférence / réunion
Salles polyvalentes / salles des fêtes
Bibliothèques / médiathèques</v>
      </c>
      <c r="I8" s="427">
        <f t="shared" si="2"/>
        <v>62255.199791445339</v>
      </c>
      <c r="K8" s="787">
        <f t="shared" si="0"/>
        <v>0.81022827774101158</v>
      </c>
      <c r="L8" s="787">
        <f t="shared" si="1"/>
        <v>0.18977172225898842</v>
      </c>
      <c r="N8" s="424">
        <f>'ANALYSE - ERP =&gt; SEGMENT'!$EU$16</f>
        <v>311275.99895722669</v>
      </c>
      <c r="O8" s="427">
        <f>'ANALYSE - ERP =&gt; SEGMENT'!$EX$16</f>
        <v>150331.01981684813</v>
      </c>
      <c r="P8" s="427">
        <f>'ANALYSE - ERP =&gt; SEGMENT'!$FA$16</f>
        <v>3697.2322308454545</v>
      </c>
      <c r="Q8" s="427">
        <f>'ANALYSE - ERP =&gt; SEGMENT'!$FD$16</f>
        <v>31146.87783792799</v>
      </c>
      <c r="R8" s="427">
        <f>'ANALYSE - ERP =&gt; SEGMENT'!$FG$16</f>
        <v>126100.86907160514</v>
      </c>
      <c r="T8" s="424">
        <f>'ANALYSE - ERP =&gt; SEGMENT'!$EV$16</f>
        <v>252204.61653722671</v>
      </c>
      <c r="U8" s="427">
        <f>'ANALYSE - ERP =&gt; SEGMENT'!$EY$16</f>
        <v>121213.22353684813</v>
      </c>
      <c r="V8" s="427">
        <f>'ANALYSE - ERP =&gt; SEGMENT'!$FB$16</f>
        <v>2946.8902508454544</v>
      </c>
      <c r="W8" s="427">
        <f>'ANALYSE - ERP =&gt; SEGMENT'!$FE$16</f>
        <v>25652.25126792799</v>
      </c>
      <c r="X8" s="427">
        <f>'ANALYSE - ERP =&gt; SEGMENT'!$FH$16</f>
        <v>102392.25148160514</v>
      </c>
      <c r="Z8" s="427">
        <f>'ANALYSE - ERP =&gt; SEGMENT'!$EW$16</f>
        <v>59071.382419999994</v>
      </c>
      <c r="AA8" s="427">
        <f>'ANALYSE - ERP =&gt; SEGMENT'!$EZ$16</f>
        <v>29117.796279999995</v>
      </c>
      <c r="AB8" s="427">
        <f>'ANALYSE - ERP =&gt; SEGMENT'!$FC$16</f>
        <v>750.34198000000004</v>
      </c>
      <c r="AC8" s="427">
        <f>'ANALYSE - ERP =&gt; SEGMENT'!$FF$16</f>
        <v>5494.6265699999985</v>
      </c>
      <c r="AD8" s="427">
        <f>'ANALYSE - ERP =&gt; SEGMENT'!$FI$16</f>
        <v>23708.617589999998</v>
      </c>
      <c r="AF8" s="430">
        <f>'ANALYSE - ERP =&gt; SEGMENT'!$Q$16</f>
        <v>1</v>
      </c>
    </row>
    <row r="9" spans="1:32" ht="15" customHeight="1">
      <c r="A9" s="26">
        <v>6</v>
      </c>
      <c r="B9" s="26">
        <v>7</v>
      </c>
      <c r="C9" s="26">
        <v>4</v>
      </c>
      <c r="D9" s="501" t="s">
        <v>2264</v>
      </c>
      <c r="E9" s="502" t="s">
        <v>4024</v>
      </c>
      <c r="F9" s="502" t="s">
        <v>679</v>
      </c>
      <c r="G9" s="408" t="str">
        <f>'ANALYSE - ERP =&gt; SEGMENT'!$D$22</f>
        <v>Bureaux (&gt;50 personnes, tertiaire privé + logistique hors usines)</v>
      </c>
      <c r="I9" s="427">
        <f t="shared" si="2"/>
        <v>78410.244330623798</v>
      </c>
      <c r="K9" s="787">
        <f t="shared" si="0"/>
        <v>0.85760375643110587</v>
      </c>
      <c r="L9" s="787">
        <f t="shared" si="1"/>
        <v>0.14239624356889405</v>
      </c>
      <c r="N9" s="424">
        <f>'ANALYSE - ERP =&gt; SEGMENT'!$EU$22</f>
        <v>392051.22165311902</v>
      </c>
      <c r="O9" s="427">
        <f>'ANALYSE - ERP =&gt; SEGMENT'!$EX$22</f>
        <v>203059.86842589744</v>
      </c>
      <c r="P9" s="427">
        <f>'ANALYSE - ERP =&gt; SEGMENT'!$FA$22</f>
        <v>2446.2677532954544</v>
      </c>
      <c r="Q9" s="427">
        <f>'ANALYSE - ERP =&gt; SEGMENT'!$FD$22</f>
        <v>47346.916216783211</v>
      </c>
      <c r="R9" s="427">
        <f>'ANALYSE - ERP =&gt; SEGMENT'!$FG$22</f>
        <v>139198.16925714284</v>
      </c>
      <c r="T9" s="424">
        <f>'ANALYSE - ERP =&gt; SEGMENT'!$EV$22</f>
        <v>336224.600403119</v>
      </c>
      <c r="U9" s="427">
        <f>'ANALYSE - ERP =&gt; SEGMENT'!$EY$22</f>
        <v>174313.56842589745</v>
      </c>
      <c r="V9" s="427">
        <f>'ANALYSE - ERP =&gt; SEGMENT'!$FB$22</f>
        <v>2152.2715032954543</v>
      </c>
      <c r="W9" s="427">
        <f>'ANALYSE - ERP =&gt; SEGMENT'!$FE$22</f>
        <v>41466.991216783208</v>
      </c>
      <c r="X9" s="427">
        <f>'ANALYSE - ERP =&gt; SEGMENT'!$FH$22</f>
        <v>118291.76925714285</v>
      </c>
      <c r="Z9" s="427">
        <f>'ANALYSE - ERP =&gt; SEGMENT'!$EW$22</f>
        <v>55826.621250000004</v>
      </c>
      <c r="AA9" s="427">
        <f>'ANALYSE - ERP =&gt; SEGMENT'!$EZ$22</f>
        <v>28746.3</v>
      </c>
      <c r="AB9" s="427">
        <f>'ANALYSE - ERP =&gt; SEGMENT'!$FC$22</f>
        <v>293.99624999999997</v>
      </c>
      <c r="AC9" s="427">
        <f>'ANALYSE - ERP =&gt; SEGMENT'!$FF$22</f>
        <v>5879.9250000000002</v>
      </c>
      <c r="AD9" s="427">
        <f>'ANALYSE - ERP =&gt; SEGMENT'!$FI$22</f>
        <v>20906.400000000001</v>
      </c>
      <c r="AF9" s="430">
        <f>'ANALYSE - ERP =&gt; SEGMENT'!$Q$22</f>
        <v>1</v>
      </c>
    </row>
    <row r="10" spans="1:32" ht="15" customHeight="1">
      <c r="A10" s="26">
        <v>7</v>
      </c>
      <c r="B10" s="26">
        <v>6</v>
      </c>
      <c r="C10" s="26">
        <v>6</v>
      </c>
      <c r="D10" s="495" t="s">
        <v>1670</v>
      </c>
      <c r="E10" s="496" t="s">
        <v>1747</v>
      </c>
      <c r="F10" s="496" t="s">
        <v>7986</v>
      </c>
      <c r="G10" s="411" t="str">
        <f>'ANALYSE - ERP =&gt; SEGMENT'!$D$31</f>
        <v>Grands stades avec tribunes
(Type football/rugby) 
Stades 
(Type athlétisme - Hors scolaire)
Terrains de sport
(Hors scolaire)
Hippodromes
Piscines extérieures 
(Hors campings, hôtels, résidences et établissement avec bassin intérieur)
Bases nautiques / centres nautiques avec vestiaires-douches
Bases de loisirs avec plages, douches et sanitaires</v>
      </c>
      <c r="I10" s="427">
        <f t="shared" si="2"/>
        <v>109909.04302606135</v>
      </c>
      <c r="K10" s="787">
        <f t="shared" si="0"/>
        <v>0.81799383645568924</v>
      </c>
      <c r="L10" s="787">
        <f t="shared" si="1"/>
        <v>0.18200616354431065</v>
      </c>
      <c r="N10" s="424">
        <f>'ANALYSE - ERP =&gt; SEGMENT'!$EU$31</f>
        <v>549545.21513030678</v>
      </c>
      <c r="O10" s="427">
        <f>'ANALYSE - ERP =&gt; SEGMENT'!$EX$31</f>
        <v>159716.42421228488</v>
      </c>
      <c r="P10" s="427">
        <f>'ANALYSE - ERP =&gt; SEGMENT'!$FA$31</f>
        <v>189404.87765012501</v>
      </c>
      <c r="Q10" s="427">
        <f>'ANALYSE - ERP =&gt; SEGMENT'!$FD$31</f>
        <v>51674.90840956349</v>
      </c>
      <c r="R10" s="427">
        <f>'ANALYSE - ERP =&gt; SEGMENT'!$FG$31</f>
        <v>148749.00485833333</v>
      </c>
      <c r="T10" s="424">
        <f>'ANALYSE - ERP =&gt; SEGMENT'!$EV$31</f>
        <v>449524.59883030673</v>
      </c>
      <c r="U10" s="427">
        <f>'ANALYSE - ERP =&gt; SEGMENT'!$EY$31</f>
        <v>128061.19421228487</v>
      </c>
      <c r="V10" s="427">
        <f>'ANALYSE - ERP =&gt; SEGMENT'!$FB$31</f>
        <v>159153.395750125</v>
      </c>
      <c r="W10" s="427">
        <f>'ANALYSE - ERP =&gt; SEGMENT'!$FE$31</f>
        <v>42290.978809563494</v>
      </c>
      <c r="X10" s="427">
        <f>'ANALYSE - ERP =&gt; SEGMENT'!$FH$31</f>
        <v>120019.03005833334</v>
      </c>
      <c r="Z10" s="427">
        <f>'ANALYSE - ERP =&gt; SEGMENT'!$EW$31</f>
        <v>100020.61629999999</v>
      </c>
      <c r="AA10" s="427">
        <f>'ANALYSE - ERP =&gt; SEGMENT'!$EZ$31</f>
        <v>31655.230000000003</v>
      </c>
      <c r="AB10" s="427">
        <f>'ANALYSE - ERP =&gt; SEGMENT'!$FC$31</f>
        <v>30251.481899999999</v>
      </c>
      <c r="AC10" s="427">
        <f>'ANALYSE - ERP =&gt; SEGMENT'!$FF$31</f>
        <v>9383.9295999999995</v>
      </c>
      <c r="AD10" s="427">
        <f>'ANALYSE - ERP =&gt; SEGMENT'!$FI$31</f>
        <v>28729.974799999996</v>
      </c>
      <c r="AF10" s="430">
        <f>'ANALYSE - ERP =&gt; SEGMENT'!$Q$31</f>
        <v>1</v>
      </c>
    </row>
    <row r="11" spans="1:32" s="45" customFormat="1" ht="15" customHeight="1">
      <c r="A11" s="26">
        <v>8</v>
      </c>
      <c r="B11" s="26">
        <v>8</v>
      </c>
      <c r="C11" s="26">
        <v>9</v>
      </c>
      <c r="D11" s="503" t="s">
        <v>2278</v>
      </c>
      <c r="E11" s="504" t="s">
        <v>1527</v>
      </c>
      <c r="F11" s="504" t="s">
        <v>7987</v>
      </c>
      <c r="G11" s="410" t="str">
        <f>'ANALYSE - ERP =&gt; SEGMENT'!$D$27</f>
        <v>Mairies / hôtels de ville
Préfectures / services administratifs
Maisons France Services
Guichets publics</v>
      </c>
      <c r="H11" s="685"/>
      <c r="I11" s="427">
        <f t="shared" si="2"/>
        <v>24998.619762521346</v>
      </c>
      <c r="J11" s="685"/>
      <c r="K11" s="787">
        <f t="shared" si="0"/>
        <v>0.86866326704475416</v>
      </c>
      <c r="L11" s="787">
        <f t="shared" si="1"/>
        <v>0.13133673295524592</v>
      </c>
      <c r="M11" s="685"/>
      <c r="N11" s="424">
        <f>'ANALYSE - ERP =&gt; SEGMENT'!$EU$27</f>
        <v>124993.09881260674</v>
      </c>
      <c r="O11" s="427">
        <f>'ANALYSE - ERP =&gt; SEGMENT'!$EX$27</f>
        <v>60811.153781151217</v>
      </c>
      <c r="P11" s="427">
        <f>'ANALYSE - ERP =&gt; SEGMENT'!$FA$27</f>
        <v>0</v>
      </c>
      <c r="Q11" s="427">
        <f>'ANALYSE - ERP =&gt; SEGMENT'!$FD$27</f>
        <v>9458.0374944641426</v>
      </c>
      <c r="R11" s="427">
        <f>'ANALYSE - ERP =&gt; SEGMENT'!$FG$27</f>
        <v>54723.907536991384</v>
      </c>
      <c r="S11" s="685"/>
      <c r="T11" s="424">
        <f>'ANALYSE - ERP =&gt; SEGMENT'!$EV$27</f>
        <v>108576.91357260675</v>
      </c>
      <c r="U11" s="427">
        <f>'ANALYSE - ERP =&gt; SEGMENT'!$EY$27</f>
        <v>52826.961981151217</v>
      </c>
      <c r="V11" s="427">
        <f>'ANALYSE - ERP =&gt; SEGMENT'!$FB$27</f>
        <v>0</v>
      </c>
      <c r="W11" s="427">
        <f>'ANALYSE - ERP =&gt; SEGMENT'!$FE$27</f>
        <v>8352.0352544641428</v>
      </c>
      <c r="X11" s="427">
        <f>'ANALYSE - ERP =&gt; SEGMENT'!$FH$27</f>
        <v>47397.916336991388</v>
      </c>
      <c r="Y11" s="685"/>
      <c r="Z11" s="427">
        <f>'ANALYSE - ERP =&gt; SEGMENT'!$EW$27</f>
        <v>16416.185239999999</v>
      </c>
      <c r="AA11" s="427">
        <f>'ANALYSE - ERP =&gt; SEGMENT'!$EZ$27</f>
        <v>7984.1918000000005</v>
      </c>
      <c r="AB11" s="427">
        <f>'ANALYSE - ERP =&gt; SEGMENT'!$FC$27</f>
        <v>0</v>
      </c>
      <c r="AC11" s="427">
        <f>'ANALYSE - ERP =&gt; SEGMENT'!$FF$27</f>
        <v>1106.0022399999998</v>
      </c>
      <c r="AD11" s="427">
        <f>'ANALYSE - ERP =&gt; SEGMENT'!$FI$27</f>
        <v>7325.9911999999986</v>
      </c>
      <c r="AE11" s="685"/>
      <c r="AF11" s="430">
        <f>'ANALYSE - ERP =&gt; SEGMENT'!$Q$27</f>
        <v>1</v>
      </c>
    </row>
    <row r="12" spans="1:32" ht="15" customHeight="1">
      <c r="A12" s="26">
        <v>9</v>
      </c>
      <c r="B12" s="26">
        <v>9</v>
      </c>
      <c r="C12" s="26">
        <v>8</v>
      </c>
      <c r="D12" s="493" t="s">
        <v>2241</v>
      </c>
      <c r="E12" s="494" t="s">
        <v>1053</v>
      </c>
      <c r="F12" s="494" t="s">
        <v>7988</v>
      </c>
      <c r="G12" s="408" t="str">
        <f>'ANALYSE - ERP =&gt; SEGMENT'!$D$13</f>
        <v>Hôpitaux universitaires / CHU
Hôpitaux publics 
(Hors CHU, Universitaire, Militaire, Carcéral)
Hôpitaux privés
Cliniques</v>
      </c>
      <c r="I12" s="427">
        <f t="shared" si="2"/>
        <v>67006.579853289964</v>
      </c>
      <c r="K12" s="787">
        <f t="shared" si="0"/>
        <v>0.82070566609571372</v>
      </c>
      <c r="L12" s="787">
        <f t="shared" si="1"/>
        <v>0.17929433390428637</v>
      </c>
      <c r="N12" s="424">
        <f>'ANALYSE - ERP =&gt; SEGMENT'!$EU$13</f>
        <v>335032.89926644985</v>
      </c>
      <c r="O12" s="427">
        <f>'ANALYSE - ERP =&gt; SEGMENT'!$EX$13</f>
        <v>137713.90848131818</v>
      </c>
      <c r="P12" s="427">
        <f>'ANALYSE - ERP =&gt; SEGMENT'!$FA$13</f>
        <v>72368.836263839999</v>
      </c>
      <c r="Q12" s="427">
        <f>'ANALYSE - ERP =&gt; SEGMENT'!$FD$13</f>
        <v>2421.2400842916668</v>
      </c>
      <c r="R12" s="427">
        <f>'ANALYSE - ERP =&gt; SEGMENT'!$FG$13</f>
        <v>122528.914437</v>
      </c>
      <c r="T12" s="424">
        <f>'ANALYSE - ERP =&gt; SEGMENT'!$EV$13</f>
        <v>274963.39875644987</v>
      </c>
      <c r="U12" s="427">
        <f>'ANALYSE - ERP =&gt; SEGMENT'!$EY$13</f>
        <v>113722.47133131819</v>
      </c>
      <c r="V12" s="427">
        <f>'ANALYSE - ERP =&gt; SEGMENT'!$FB$13</f>
        <v>59664.116063839996</v>
      </c>
      <c r="W12" s="427">
        <f>'ANALYSE - ERP =&gt; SEGMENT'!$FE$13</f>
        <v>2010.5446242916669</v>
      </c>
      <c r="X12" s="427">
        <f>'ANALYSE - ERP =&gt; SEGMENT'!$FH$13</f>
        <v>99566.266736999998</v>
      </c>
      <c r="Z12" s="427">
        <f>'ANALYSE - ERP =&gt; SEGMENT'!$EW$13</f>
        <v>60069.500509999998</v>
      </c>
      <c r="AA12" s="427">
        <f>'ANALYSE - ERP =&gt; SEGMENT'!$EZ$13</f>
        <v>23991.437149999998</v>
      </c>
      <c r="AB12" s="427">
        <f>'ANALYSE - ERP =&gt; SEGMENT'!$FC$13</f>
        <v>12704.720199999998</v>
      </c>
      <c r="AC12" s="427">
        <f>'ANALYSE - ERP =&gt; SEGMENT'!$FF$13</f>
        <v>410.69545999999997</v>
      </c>
      <c r="AD12" s="427">
        <f>'ANALYSE - ERP =&gt; SEGMENT'!$FI$13</f>
        <v>22962.647700000001</v>
      </c>
      <c r="AF12" s="430">
        <f>'ANALYSE - ERP =&gt; SEGMENT'!$Q$13</f>
        <v>1</v>
      </c>
    </row>
    <row r="13" spans="1:32" ht="15" customHeight="1">
      <c r="A13" s="26">
        <v>10</v>
      </c>
      <c r="B13" s="26">
        <v>10</v>
      </c>
      <c r="C13" s="26">
        <v>13</v>
      </c>
      <c r="D13" s="503" t="s">
        <v>2278</v>
      </c>
      <c r="E13" s="504" t="s">
        <v>4578</v>
      </c>
      <c r="F13" s="504" t="s">
        <v>7989</v>
      </c>
      <c r="G13" s="415" t="str">
        <f>'ANALYSE - ERP =&gt; SEGMENT'!$D$28</f>
        <v>Églises, cathédrales, basiliques et chapelles ouvertes au public
Monastères, abbayes et couvents ouverts au public
Temples protestants, évangéliques et salles de culte assimilées
Mosquées et salles de prière musulmanes
Synagogues et oratoires juifs ouverts au public
Temples bouddhistes, hindous et autres lieux de culte non abrahamiques ouverts au public
Salles du Royaume, centres cultuels pluriconfessionnels et lieux de culte polyvalents</v>
      </c>
      <c r="I13" s="427">
        <f t="shared" si="2"/>
        <v>7715.9015168906099</v>
      </c>
      <c r="K13" s="787">
        <f t="shared" si="0"/>
        <v>0.80421154978546394</v>
      </c>
      <c r="L13" s="787">
        <f t="shared" si="1"/>
        <v>0.195788450214536</v>
      </c>
      <c r="N13" s="424">
        <f>'ANALYSE - ERP =&gt; SEGMENT'!$EU$28</f>
        <v>38579.507584453051</v>
      </c>
      <c r="O13" s="427">
        <f>'ANALYSE - ERP =&gt; SEGMENT'!$EX$28</f>
        <v>18797.159994605394</v>
      </c>
      <c r="P13" s="427">
        <f>'ANALYSE - ERP =&gt; SEGMENT'!$FA$28</f>
        <v>426.62874999999997</v>
      </c>
      <c r="Q13" s="427">
        <f>'ANALYSE - ERP =&gt; SEGMENT'!$FD$28</f>
        <v>3494.1054662212782</v>
      </c>
      <c r="R13" s="427">
        <f>'ANALYSE - ERP =&gt; SEGMENT'!$FG$28</f>
        <v>15861.613373626375</v>
      </c>
      <c r="T13" s="424">
        <f>'ANALYSE - ERP =&gt; SEGMENT'!$EV$28</f>
        <v>31026.085584453049</v>
      </c>
      <c r="U13" s="427">
        <f>'ANALYSE - ERP =&gt; SEGMENT'!$EY$28</f>
        <v>14990.363994605394</v>
      </c>
      <c r="V13" s="427">
        <f>'ANALYSE - ERP =&gt; SEGMENT'!$FB$28</f>
        <v>395.66874999999999</v>
      </c>
      <c r="W13" s="427">
        <f>'ANALYSE - ERP =&gt; SEGMENT'!$FE$28</f>
        <v>2863.2514662212784</v>
      </c>
      <c r="X13" s="427">
        <f>'ANALYSE - ERP =&gt; SEGMENT'!$FH$28</f>
        <v>12776.801373626375</v>
      </c>
      <c r="Z13" s="427">
        <f>'ANALYSE - ERP =&gt; SEGMENT'!$EW$28</f>
        <v>7553.4220000000005</v>
      </c>
      <c r="AA13" s="427">
        <f>'ANALYSE - ERP =&gt; SEGMENT'!$EZ$28</f>
        <v>3806.7960000000003</v>
      </c>
      <c r="AB13" s="427">
        <f>'ANALYSE - ERP =&gt; SEGMENT'!$FC$28</f>
        <v>30.959999999999997</v>
      </c>
      <c r="AC13" s="427">
        <f>'ANALYSE - ERP =&gt; SEGMENT'!$FF$28</f>
        <v>630.85399999999993</v>
      </c>
      <c r="AD13" s="427">
        <f>'ANALYSE - ERP =&gt; SEGMENT'!$FI$28</f>
        <v>3084.8119999999999</v>
      </c>
      <c r="AF13" s="430">
        <f>'ANALYSE - ERP =&gt; SEGMENT'!$Q$28</f>
        <v>1</v>
      </c>
    </row>
    <row r="14" spans="1:32" ht="15" customHeight="1">
      <c r="A14" s="26">
        <v>11</v>
      </c>
      <c r="B14" s="26">
        <v>11</v>
      </c>
      <c r="C14" s="26">
        <v>14</v>
      </c>
      <c r="D14" s="505" t="s">
        <v>7117</v>
      </c>
      <c r="E14" s="506" t="s">
        <v>4268</v>
      </c>
      <c r="F14" s="506" t="s">
        <v>4269</v>
      </c>
      <c r="G14" s="410" t="str">
        <f>'ANALYSE - ERP =&gt; SEGMENT'!$D$26</f>
        <v>Campings
Aires d’accueil des gens du voyage</v>
      </c>
      <c r="I14" s="427">
        <f t="shared" si="2"/>
        <v>35153.752343370194</v>
      </c>
      <c r="K14" s="787">
        <f t="shared" si="0"/>
        <v>0.86847536758413835</v>
      </c>
      <c r="L14" s="787">
        <f t="shared" si="1"/>
        <v>0.13152463241586165</v>
      </c>
      <c r="N14" s="424">
        <f>'ANALYSE - ERP =&gt; SEGMENT'!$EU$26</f>
        <v>175768.76171685098</v>
      </c>
      <c r="O14" s="427">
        <f>'ANALYSE - ERP =&gt; SEGMENT'!$EX$26</f>
        <v>60132.687082976699</v>
      </c>
      <c r="P14" s="427">
        <f>'ANALYSE - ERP =&gt; SEGMENT'!$FA$26</f>
        <v>54176.684560272726</v>
      </c>
      <c r="Q14" s="427">
        <f>'ANALYSE - ERP =&gt; SEGMENT'!$FD$26</f>
        <v>10856.921145676135</v>
      </c>
      <c r="R14" s="427">
        <f>'ANALYSE - ERP =&gt; SEGMENT'!$FG$26</f>
        <v>50602.468927925409</v>
      </c>
      <c r="T14" s="424">
        <f>'ANALYSE - ERP =&gt; SEGMENT'!$EV$26</f>
        <v>152650.83994185098</v>
      </c>
      <c r="U14" s="427">
        <f>'ANALYSE - ERP =&gt; SEGMENT'!$EY$26</f>
        <v>51749.376082976698</v>
      </c>
      <c r="V14" s="427">
        <f>'ANALYSE - ERP =&gt; SEGMENT'!$FB$26</f>
        <v>47470.035760272724</v>
      </c>
      <c r="W14" s="427">
        <f>'ANALYSE - ERP =&gt; SEGMENT'!$FE$26</f>
        <v>9535.6079706761357</v>
      </c>
      <c r="X14" s="427">
        <f>'ANALYSE - ERP =&gt; SEGMENT'!$FH$26</f>
        <v>43895.820127925406</v>
      </c>
      <c r="Z14" s="427">
        <f>'ANALYSE - ERP =&gt; SEGMENT'!$EW$26</f>
        <v>23117.921774999999</v>
      </c>
      <c r="AA14" s="427">
        <f>'ANALYSE - ERP =&gt; SEGMENT'!$EZ$26</f>
        <v>8383.3109999999997</v>
      </c>
      <c r="AB14" s="427">
        <f>'ANALYSE - ERP =&gt; SEGMENT'!$FC$26</f>
        <v>6706.6487999999999</v>
      </c>
      <c r="AC14" s="427">
        <f>'ANALYSE - ERP =&gt; SEGMENT'!$FF$26</f>
        <v>1321.313175</v>
      </c>
      <c r="AD14" s="427">
        <f>'ANALYSE - ERP =&gt; SEGMENT'!$FI$26</f>
        <v>6706.6487999999999</v>
      </c>
      <c r="AF14" s="430">
        <f>'ANALYSE - ERP =&gt; SEGMENT'!$Q$26</f>
        <v>1</v>
      </c>
    </row>
    <row r="15" spans="1:32" ht="15" customHeight="1">
      <c r="A15" s="26">
        <v>12</v>
      </c>
      <c r="B15" s="26">
        <v>12</v>
      </c>
      <c r="C15" s="26">
        <v>11</v>
      </c>
      <c r="D15" s="501" t="s">
        <v>2264</v>
      </c>
      <c r="E15" s="502" t="s">
        <v>7990</v>
      </c>
      <c r="F15" s="502" t="s">
        <v>7991</v>
      </c>
      <c r="G15" s="410" t="str">
        <f>'ANALYSE - ERP =&gt; SEGMENT'!$D$23</f>
        <v>Usines 
(&gt;50 personnes - Hors Ateliers industriels)
Garages / ateliers de réparation automobile recevant du public
Ateliers industriels / de maintenance (&gt;50 personnes)</v>
      </c>
      <c r="I15" s="427">
        <f t="shared" si="2"/>
        <v>59777.994696662936</v>
      </c>
      <c r="K15" s="787">
        <f t="shared" si="0"/>
        <v>0.77199441702314464</v>
      </c>
      <c r="L15" s="787">
        <f t="shared" si="1"/>
        <v>0.22800558297685533</v>
      </c>
      <c r="N15" s="424">
        <f>'ANALYSE - ERP =&gt; SEGMENT'!$EU$23</f>
        <v>298889.97348331468</v>
      </c>
      <c r="O15" s="427">
        <f>'ANALYSE - ERP =&gt; SEGMENT'!$EX$23</f>
        <v>126601.44027594372</v>
      </c>
      <c r="P15" s="427">
        <f>'ANALYSE - ERP =&gt; SEGMENT'!$FA$23</f>
        <v>51206.753438588377</v>
      </c>
      <c r="Q15" s="427">
        <f>'ANALYSE - ERP =&gt; SEGMENT'!$FD$23</f>
        <v>33567.243550753687</v>
      </c>
      <c r="R15" s="427">
        <f>'ANALYSE - ERP =&gt; SEGMENT'!$FG$23</f>
        <v>87514.536218028908</v>
      </c>
      <c r="T15" s="424">
        <f>'ANALYSE - ERP =&gt; SEGMENT'!$EV$23</f>
        <v>230741.39083331468</v>
      </c>
      <c r="U15" s="427">
        <f>'ANALYSE - ERP =&gt; SEGMENT'!$EY$23</f>
        <v>97194.285275943723</v>
      </c>
      <c r="V15" s="427">
        <f>'ANALYSE - ERP =&gt; SEGMENT'!$FB$23</f>
        <v>40259.543738588378</v>
      </c>
      <c r="W15" s="427">
        <f>'ANALYSE - ERP =&gt; SEGMENT'!$FE$23</f>
        <v>26174.342600753684</v>
      </c>
      <c r="X15" s="427">
        <f>'ANALYSE - ERP =&gt; SEGMENT'!$FH$23</f>
        <v>67113.219218028913</v>
      </c>
      <c r="Z15" s="427">
        <f>'ANALYSE - ERP =&gt; SEGMENT'!$EW$23</f>
        <v>68148.582649999997</v>
      </c>
      <c r="AA15" s="427">
        <f>'ANALYSE - ERP =&gt; SEGMENT'!$EZ$23</f>
        <v>29407.154999999999</v>
      </c>
      <c r="AB15" s="427">
        <f>'ANALYSE - ERP =&gt; SEGMENT'!$FC$23</f>
        <v>10947.209699999999</v>
      </c>
      <c r="AC15" s="427">
        <f>'ANALYSE - ERP =&gt; SEGMENT'!$FF$23</f>
        <v>7392.9009499999993</v>
      </c>
      <c r="AD15" s="427">
        <f>'ANALYSE - ERP =&gt; SEGMENT'!$FI$23</f>
        <v>20401.316999999999</v>
      </c>
      <c r="AF15" s="430">
        <f>'ANALYSE - ERP =&gt; SEGMENT'!$Q$23</f>
        <v>1</v>
      </c>
    </row>
    <row r="16" spans="1:32" ht="15" customHeight="1">
      <c r="A16" s="26">
        <v>13</v>
      </c>
      <c r="B16" s="26">
        <v>13</v>
      </c>
      <c r="C16" s="26">
        <v>16</v>
      </c>
      <c r="D16" s="507" t="s">
        <v>2285</v>
      </c>
      <c r="E16" s="508" t="s">
        <v>1793</v>
      </c>
      <c r="F16" s="508" t="s">
        <v>7992</v>
      </c>
      <c r="G16" s="409" t="str">
        <f>'ANALYSE - ERP =&gt; SEGMENT'!$D$32</f>
        <v>Aires de service - Autoroutes
(Hors Aires de repos)
Aires de repos - Autoroutes
(Hors Aires de service)
Aéroports / aérogares
(&gt;1 000 passagers/an)
Gares ferroviaires et stations
Terminaux maritimes / fluviaux
Établissements flottants
Ports de plaisance / capitaineries
Stations / espaces métro équipés de toilettes publiques (minimum observé RATP)</v>
      </c>
      <c r="I16" s="427">
        <f t="shared" si="2"/>
        <v>12675.24098704553</v>
      </c>
      <c r="K16" s="787">
        <f t="shared" si="0"/>
        <v>0.80230472804729802</v>
      </c>
      <c r="L16" s="787">
        <f t="shared" si="1"/>
        <v>0.19769527195270192</v>
      </c>
      <c r="N16" s="424">
        <f>'ANALYSE - ERP =&gt; SEGMENT'!$EU$32</f>
        <v>63376.204935227652</v>
      </c>
      <c r="O16" s="427">
        <f>'ANALYSE - ERP =&gt; SEGMENT'!$EX$32</f>
        <v>27492.132452381691</v>
      </c>
      <c r="P16" s="427">
        <f>'ANALYSE - ERP =&gt; SEGMENT'!$FA$32</f>
        <v>4948.3097118642854</v>
      </c>
      <c r="Q16" s="427">
        <f>'ANALYSE - ERP =&gt; SEGMENT'!$FD$32</f>
        <v>5599.4926104400074</v>
      </c>
      <c r="R16" s="427">
        <f>'ANALYSE - ERP =&gt; SEGMENT'!$FG$32</f>
        <v>25336.270160541666</v>
      </c>
      <c r="T16" s="424">
        <f>'ANALYSE - ERP =&gt; SEGMENT'!$EV$32</f>
        <v>50847.02886522765</v>
      </c>
      <c r="U16" s="427">
        <f>'ANALYSE - ERP =&gt; SEGMENT'!$EY$32</f>
        <v>21893.785772381692</v>
      </c>
      <c r="V16" s="427">
        <f>'ANALYSE - ERP =&gt; SEGMENT'!$FB$32</f>
        <v>4149.2891918642854</v>
      </c>
      <c r="W16" s="427">
        <f>'ANALYSE - ERP =&gt; SEGMENT'!$FE$32</f>
        <v>4563.2920004400075</v>
      </c>
      <c r="X16" s="427">
        <f>'ANALYSE - ERP =&gt; SEGMENT'!$FH$32</f>
        <v>20240.661900541665</v>
      </c>
      <c r="Z16" s="427">
        <f>'ANALYSE - ERP =&gt; SEGMENT'!$EW$32</f>
        <v>12529.17607</v>
      </c>
      <c r="AA16" s="427">
        <f>'ANALYSE - ERP =&gt; SEGMENT'!$EZ$32</f>
        <v>5598.3466799999997</v>
      </c>
      <c r="AB16" s="427">
        <f>'ANALYSE - ERP =&gt; SEGMENT'!$FC$32</f>
        <v>799.02052000000003</v>
      </c>
      <c r="AC16" s="427">
        <f>'ANALYSE - ERP =&gt; SEGMENT'!$FF$32</f>
        <v>1036.2006099999999</v>
      </c>
      <c r="AD16" s="427">
        <f>'ANALYSE - ERP =&gt; SEGMENT'!$FI$32</f>
        <v>5095.60826</v>
      </c>
      <c r="AF16" s="430">
        <f>'ANALYSE - ERP =&gt; SEGMENT'!$Q$32</f>
        <v>1</v>
      </c>
    </row>
    <row r="17" spans="1:32" ht="15" customHeight="1">
      <c r="A17" s="26">
        <v>14</v>
      </c>
      <c r="B17" s="26">
        <v>15</v>
      </c>
      <c r="C17" s="26">
        <v>18</v>
      </c>
      <c r="D17" s="491" t="s">
        <v>2187</v>
      </c>
      <c r="E17" s="492" t="s">
        <v>1372</v>
      </c>
      <c r="F17" s="492" t="s">
        <v>7993</v>
      </c>
      <c r="G17" s="416" t="str">
        <f>'ANALYSE - ERP =&gt; SEGMENT'!$D$21</f>
        <v>Centres commerciaux / malls
Marchés couverts</v>
      </c>
      <c r="I17" s="427">
        <f t="shared" si="2"/>
        <v>20618.134204043039</v>
      </c>
      <c r="K17" s="787">
        <f t="shared" si="0"/>
        <v>0.85166493681080624</v>
      </c>
      <c r="L17" s="787">
        <f t="shared" si="1"/>
        <v>0.14833506318919371</v>
      </c>
      <c r="N17" s="424">
        <f>'ANALYSE - ERP =&gt; SEGMENT'!$EU$21</f>
        <v>103090.67102021519</v>
      </c>
      <c r="O17" s="427">
        <f>'ANALYSE - ERP =&gt; SEGMENT'!$EX$21</f>
        <v>46671.190011106053</v>
      </c>
      <c r="P17" s="427">
        <f>'ANALYSE - ERP =&gt; SEGMENT'!$FA$21</f>
        <v>2227.1270124819625</v>
      </c>
      <c r="Q17" s="427">
        <f>'ANALYSE - ERP =&gt; SEGMENT'!$FD$21</f>
        <v>12159.989233335498</v>
      </c>
      <c r="R17" s="427">
        <f>'ANALYSE - ERP =&gt; SEGMENT'!$FG$21</f>
        <v>42032.364763291669</v>
      </c>
      <c r="T17" s="424">
        <f>'ANALYSE - ERP =&gt; SEGMENT'!$EV$21</f>
        <v>87798.709820215183</v>
      </c>
      <c r="U17" s="427">
        <f>'ANALYSE - ERP =&gt; SEGMENT'!$EY$21</f>
        <v>39710.458011106057</v>
      </c>
      <c r="V17" s="427">
        <f>'ANALYSE - ERP =&gt; SEGMENT'!$FB$21</f>
        <v>1945.6390124819627</v>
      </c>
      <c r="W17" s="427">
        <f>'ANALYSE - ERP =&gt; SEGMENT'!$FE$21</f>
        <v>10572.330833335498</v>
      </c>
      <c r="X17" s="427">
        <f>'ANALYSE - ERP =&gt; SEGMENT'!$FH$21</f>
        <v>35570.281963291665</v>
      </c>
      <c r="Z17" s="427">
        <f>'ANALYSE - ERP =&gt; SEGMENT'!$EW$21</f>
        <v>15291.9612</v>
      </c>
      <c r="AA17" s="427">
        <f>'ANALYSE - ERP =&gt; SEGMENT'!$EZ$21</f>
        <v>6960.732</v>
      </c>
      <c r="AB17" s="427">
        <f>'ANALYSE - ERP =&gt; SEGMENT'!$FC$21</f>
        <v>281.488</v>
      </c>
      <c r="AC17" s="427">
        <f>'ANALYSE - ERP =&gt; SEGMENT'!$FF$21</f>
        <v>1587.6584</v>
      </c>
      <c r="AD17" s="427">
        <f>'ANALYSE - ERP =&gt; SEGMENT'!$FI$21</f>
        <v>6462.0828000000001</v>
      </c>
      <c r="AF17" s="430">
        <f>'ANALYSE - ERP =&gt; SEGMENT'!$Q$21</f>
        <v>1</v>
      </c>
    </row>
    <row r="18" spans="1:32" ht="15" customHeight="1">
      <c r="A18" s="26">
        <v>15</v>
      </c>
      <c r="B18" s="26">
        <v>14</v>
      </c>
      <c r="C18" s="26">
        <v>19</v>
      </c>
      <c r="D18" s="505" t="s">
        <v>7117</v>
      </c>
      <c r="E18" s="506" t="s">
        <v>1455</v>
      </c>
      <c r="F18" s="506" t="s">
        <v>7994</v>
      </c>
      <c r="G18" s="412" t="str">
        <f>'ANALYSE - ERP =&gt; SEGMENT'!$D$24</f>
        <v>Hôtels
Pensions de famille
Résidences de tourisme
Auberges de jeunesse
Villages de vacances / clubs vacances / centres de vacances familiaux</v>
      </c>
      <c r="I18" s="427">
        <f t="shared" si="2"/>
        <v>16553.124905055611</v>
      </c>
      <c r="K18" s="787">
        <f t="shared" si="0"/>
        <v>0.82584806364147256</v>
      </c>
      <c r="L18" s="787">
        <f t="shared" si="1"/>
        <v>0.17415193635852741</v>
      </c>
      <c r="N18" s="424">
        <f>'ANALYSE - ERP =&gt; SEGMENT'!$EU$24</f>
        <v>82765.62452527805</v>
      </c>
      <c r="O18" s="427">
        <f>'ANALYSE - ERP =&gt; SEGMENT'!$EX$24</f>
        <v>38065.019977125099</v>
      </c>
      <c r="P18" s="427">
        <f>'ANALYSE - ERP =&gt; SEGMENT'!$FA$24</f>
        <v>6347.6681529136367</v>
      </c>
      <c r="Q18" s="427">
        <f>'ANALYSE - ERP =&gt; SEGMENT'!$FD$24</f>
        <v>6914.0939699518185</v>
      </c>
      <c r="R18" s="427">
        <f>'ANALYSE - ERP =&gt; SEGMENT'!$FG$24</f>
        <v>31438.842425287494</v>
      </c>
      <c r="T18" s="424">
        <f>'ANALYSE - ERP =&gt; SEGMENT'!$EV$24</f>
        <v>68351.830750278052</v>
      </c>
      <c r="U18" s="427">
        <f>'ANALYSE - ERP =&gt; SEGMENT'!$EY$24</f>
        <v>31610.564067125099</v>
      </c>
      <c r="V18" s="427">
        <f>'ANALYSE - ERP =&gt; SEGMENT'!$FB$24</f>
        <v>4983.9082129136368</v>
      </c>
      <c r="W18" s="427">
        <f>'ANALYSE - ERP =&gt; SEGMENT'!$FE$24</f>
        <v>5807.6349849518183</v>
      </c>
      <c r="X18" s="427">
        <f>'ANALYSE - ERP =&gt; SEGMENT'!$FH$24</f>
        <v>25949.723485287494</v>
      </c>
      <c r="Z18" s="427">
        <f>'ANALYSE - ERP =&gt; SEGMENT'!$EW$24</f>
        <v>14413.793774999998</v>
      </c>
      <c r="AA18" s="427">
        <f>'ANALYSE - ERP =&gt; SEGMENT'!$EZ$24</f>
        <v>6454.4559099999997</v>
      </c>
      <c r="AB18" s="427">
        <f>'ANALYSE - ERP =&gt; SEGMENT'!$FC$24</f>
        <v>1363.7599399999999</v>
      </c>
      <c r="AC18" s="427">
        <f>'ANALYSE - ERP =&gt; SEGMENT'!$FF$24</f>
        <v>1106.458985</v>
      </c>
      <c r="AD18" s="427">
        <f>'ANALYSE - ERP =&gt; SEGMENT'!$FI$24</f>
        <v>5489.1189399999994</v>
      </c>
      <c r="AF18" s="430">
        <f>'ANALYSE - ERP =&gt; SEGMENT'!$Q$24</f>
        <v>1</v>
      </c>
    </row>
    <row r="19" spans="1:32" ht="15" customHeight="1">
      <c r="A19" s="26">
        <v>16</v>
      </c>
      <c r="B19" s="26">
        <v>18</v>
      </c>
      <c r="C19" s="26">
        <v>10</v>
      </c>
      <c r="D19" s="497" t="s">
        <v>6739</v>
      </c>
      <c r="E19" s="498" t="s">
        <v>2091</v>
      </c>
      <c r="F19" s="498" t="s">
        <v>2836</v>
      </c>
      <c r="G19" s="409" t="str">
        <f>'ANALYSE - ERP =&gt; SEGMENT'!$D$12</f>
        <v>Centres de formation / CFA</v>
      </c>
      <c r="I19" s="427">
        <f t="shared" si="2"/>
        <v>17627.641574262463</v>
      </c>
      <c r="K19" s="787">
        <f t="shared" si="0"/>
        <v>0.56646374231036356</v>
      </c>
      <c r="L19" s="787">
        <f t="shared" si="1"/>
        <v>0.43353625768963644</v>
      </c>
      <c r="N19" s="424">
        <f>'ANALYSE - ERP =&gt; SEGMENT'!$EU$12</f>
        <v>88138.207871312319</v>
      </c>
      <c r="O19" s="427">
        <f>'ANALYSE - ERP =&gt; SEGMENT'!$EX$12</f>
        <v>37519.742181816116</v>
      </c>
      <c r="P19" s="427">
        <f>'ANALYSE - ERP =&gt; SEGMENT'!$FA$12</f>
        <v>10163.174492800001</v>
      </c>
      <c r="Q19" s="427">
        <f>'ANALYSE - ERP =&gt; SEGMENT'!$FD$12</f>
        <v>12200.553615210491</v>
      </c>
      <c r="R19" s="427">
        <f>'ANALYSE - ERP =&gt; SEGMENT'!$FG$12</f>
        <v>28254.737581485711</v>
      </c>
      <c r="T19" s="424">
        <f>'ANALYSE - ERP =&gt; SEGMENT'!$EV$12</f>
        <v>49927.099071312317</v>
      </c>
      <c r="U19" s="427">
        <f>'ANALYSE - ERP =&gt; SEGMENT'!$EY$12</f>
        <v>21375.630581816116</v>
      </c>
      <c r="V19" s="427">
        <f>'ANALYSE - ERP =&gt; SEGMENT'!$FB$12</f>
        <v>5556.4856927999999</v>
      </c>
      <c r="W19" s="427">
        <f>'ANALYSE - ERP =&gt; SEGMENT'!$FE$12</f>
        <v>6865.816415210491</v>
      </c>
      <c r="X19" s="427">
        <f>'ANALYSE - ERP =&gt; SEGMENT'!$FH$12</f>
        <v>16129.166381485713</v>
      </c>
      <c r="Z19" s="427">
        <f>'ANALYSE - ERP =&gt; SEGMENT'!$EW$12</f>
        <v>38211.108800000002</v>
      </c>
      <c r="AA19" s="427">
        <f>'ANALYSE - ERP =&gt; SEGMENT'!$EZ$12</f>
        <v>16144.1116</v>
      </c>
      <c r="AB19" s="427">
        <f>'ANALYSE - ERP =&gt; SEGMENT'!$FC$12</f>
        <v>4606.6887999999999</v>
      </c>
      <c r="AC19" s="427">
        <f>'ANALYSE - ERP =&gt; SEGMENT'!$FF$12</f>
        <v>5334.7371999999996</v>
      </c>
      <c r="AD19" s="427">
        <f>'ANALYSE - ERP =&gt; SEGMENT'!$FI$12</f>
        <v>12125.571199999998</v>
      </c>
      <c r="AF19" s="430">
        <f>'ANALYSE - ERP =&gt; SEGMENT'!$Q$12</f>
        <v>1</v>
      </c>
    </row>
    <row r="20" spans="1:32" ht="15" customHeight="1">
      <c r="A20" s="26">
        <v>17</v>
      </c>
      <c r="B20" s="26">
        <v>16</v>
      </c>
      <c r="C20" s="26">
        <v>17</v>
      </c>
      <c r="D20" s="497" t="s">
        <v>6739</v>
      </c>
      <c r="E20" s="498" t="s">
        <v>991</v>
      </c>
      <c r="F20" s="498" t="s">
        <v>7995</v>
      </c>
      <c r="G20" s="411" t="str">
        <f>'ANALYSE - ERP =&gt; SEGMENT'!$D$11</f>
        <v>Centres de loisirs sans hébergement
Centres de vacances / colonies</v>
      </c>
      <c r="I20" s="427">
        <f t="shared" si="2"/>
        <v>0</v>
      </c>
      <c r="K20" s="787" t="str">
        <f t="shared" si="0"/>
        <v/>
      </c>
      <c r="L20" s="787" t="str">
        <f t="shared" si="1"/>
        <v/>
      </c>
      <c r="N20" s="424">
        <f>'ANALYSE - ERP =&gt; SEGMENT'!$EU$11</f>
        <v>0</v>
      </c>
      <c r="O20" s="427">
        <f>'ANALYSE - ERP =&gt; SEGMENT'!$EX$11</f>
        <v>0</v>
      </c>
      <c r="P20" s="427">
        <f>'ANALYSE - ERP =&gt; SEGMENT'!$FA$11</f>
        <v>0</v>
      </c>
      <c r="Q20" s="427">
        <f>'ANALYSE - ERP =&gt; SEGMENT'!$FD$11</f>
        <v>0</v>
      </c>
      <c r="R20" s="427">
        <f>'ANALYSE - ERP =&gt; SEGMENT'!$FG$11</f>
        <v>0</v>
      </c>
      <c r="T20" s="424">
        <f>'ANALYSE - ERP =&gt; SEGMENT'!$EV$11</f>
        <v>0</v>
      </c>
      <c r="U20" s="427">
        <f>'ANALYSE - ERP =&gt; SEGMENT'!$EY$11</f>
        <v>0</v>
      </c>
      <c r="V20" s="427">
        <f>'ANALYSE - ERP =&gt; SEGMENT'!$FB$11</f>
        <v>0</v>
      </c>
      <c r="W20" s="427">
        <f>'ANALYSE - ERP =&gt; SEGMENT'!$FE$11</f>
        <v>0</v>
      </c>
      <c r="X20" s="427">
        <f>'ANALYSE - ERP =&gt; SEGMENT'!$FH$11</f>
        <v>0</v>
      </c>
      <c r="Z20" s="427">
        <f>'ANALYSE - ERP =&gt; SEGMENT'!$EW$11</f>
        <v>0</v>
      </c>
      <c r="AA20" s="427">
        <f>'ANALYSE - ERP =&gt; SEGMENT'!$EZ$11</f>
        <v>0</v>
      </c>
      <c r="AB20" s="427">
        <f>'ANALYSE - ERP =&gt; SEGMENT'!$FC$11</f>
        <v>0</v>
      </c>
      <c r="AC20" s="427">
        <f>'ANALYSE - ERP =&gt; SEGMENT'!$FF$11</f>
        <v>0</v>
      </c>
      <c r="AD20" s="427">
        <f>'ANALYSE - ERP =&gt; SEGMENT'!$FI$11</f>
        <v>0</v>
      </c>
      <c r="AF20" s="430">
        <f>'ANALYSE - ERP =&gt; SEGMENT'!$Q$11</f>
        <v>0</v>
      </c>
    </row>
    <row r="21" spans="1:32" ht="15" customHeight="1">
      <c r="A21" s="26">
        <v>18</v>
      </c>
      <c r="B21" s="26">
        <v>17</v>
      </c>
      <c r="C21" s="26">
        <v>12</v>
      </c>
      <c r="D21" s="497" t="s">
        <v>6739</v>
      </c>
      <c r="E21" s="498" t="s">
        <v>2104</v>
      </c>
      <c r="F21" s="498" t="s">
        <v>671</v>
      </c>
      <c r="G21" s="411" t="str">
        <f>'ANALYSE - ERP =&gt; SEGMENT'!$D$8</f>
        <v>Crèches</v>
      </c>
      <c r="I21" s="427">
        <f t="shared" si="2"/>
        <v>11879.995537701834</v>
      </c>
      <c r="K21" s="787">
        <f t="shared" si="0"/>
        <v>0.80952317574794752</v>
      </c>
      <c r="L21" s="787">
        <f t="shared" si="1"/>
        <v>0.19047682425205251</v>
      </c>
      <c r="N21" s="424">
        <f>'ANALYSE - ERP =&gt; SEGMENT'!$EU$8</f>
        <v>59399.977688509171</v>
      </c>
      <c r="O21" s="427">
        <f>'ANALYSE - ERP =&gt; SEGMENT'!$EX$8</f>
        <v>29085.03141326777</v>
      </c>
      <c r="P21" s="427">
        <f>'ANALYSE - ERP =&gt; SEGMENT'!$FA$8</f>
        <v>1196.7648160414017</v>
      </c>
      <c r="Q21" s="427">
        <f>'ANALYSE - ERP =&gt; SEGMENT'!$FD$8</f>
        <v>0</v>
      </c>
      <c r="R21" s="427">
        <f>'ANALYSE - ERP =&gt; SEGMENT'!$FG$8</f>
        <v>29118.181459200001</v>
      </c>
      <c r="T21" s="424">
        <f>'ANALYSE - ERP =&gt; SEGMENT'!$EV$8</f>
        <v>48085.658577759168</v>
      </c>
      <c r="U21" s="427">
        <f>'ANALYSE - ERP =&gt; SEGMENT'!$EY$8</f>
        <v>23541.724713267769</v>
      </c>
      <c r="V21" s="427">
        <f>'ANALYSE - ERP =&gt; SEGMENT'!$FB$8</f>
        <v>969.05910529140101</v>
      </c>
      <c r="W21" s="427">
        <f>'ANALYSE - ERP =&gt; SEGMENT'!$FE$8</f>
        <v>0</v>
      </c>
      <c r="X21" s="427">
        <f>'ANALYSE - ERP =&gt; SEGMENT'!$FH$8</f>
        <v>23574.8747592</v>
      </c>
      <c r="Z21" s="427">
        <f>'ANALYSE - ERP =&gt; SEGMENT'!$EW$8</f>
        <v>11314.319110750001</v>
      </c>
      <c r="AA21" s="427">
        <f>'ANALYSE - ERP =&gt; SEGMENT'!$EZ$8</f>
        <v>5543.3067000000001</v>
      </c>
      <c r="AB21" s="427">
        <f>'ANALYSE - ERP =&gt; SEGMENT'!$FC$8</f>
        <v>227.70571075000072</v>
      </c>
      <c r="AC21" s="427">
        <f>'ANALYSE - ERP =&gt; SEGMENT'!$FF$8</f>
        <v>0</v>
      </c>
      <c r="AD21" s="427">
        <f>'ANALYSE - ERP =&gt; SEGMENT'!$FI$8</f>
        <v>5543.3067000000001</v>
      </c>
      <c r="AF21" s="430">
        <f>'ANALYSE - ERP =&gt; SEGMENT'!$Q$8</f>
        <v>1</v>
      </c>
    </row>
    <row r="22" spans="1:32" ht="15" customHeight="1">
      <c r="A22" s="26">
        <v>19</v>
      </c>
      <c r="B22" s="26">
        <v>19</v>
      </c>
      <c r="C22" s="26">
        <v>20</v>
      </c>
      <c r="D22" s="509" t="s">
        <v>4908</v>
      </c>
      <c r="E22" s="510" t="s">
        <v>88</v>
      </c>
      <c r="F22" s="510" t="s">
        <v>7996</v>
      </c>
      <c r="G22" s="410" t="str">
        <f>'ANALYSE - ERP =&gt; SEGMENT'!$D$36</f>
        <v>Maisons d’arrêt
Centres de détention
Maisons centrales
Centres pénitentiaires
Centres de semi-liberté
Centres éducatifs fermés
Centres pour peines aménagées
(absorbés par autres centres carcéraux)
Unités hospitalières sécurisées</v>
      </c>
      <c r="I22" s="427">
        <f t="shared" si="2"/>
        <v>9031.2288757272727</v>
      </c>
      <c r="K22" s="787">
        <f t="shared" si="0"/>
        <v>0.70650839719898562</v>
      </c>
      <c r="L22" s="787">
        <f t="shared" si="1"/>
        <v>0.29349160280101433</v>
      </c>
      <c r="N22" s="424">
        <f>'ANALYSE - ERP =&gt; SEGMENT'!$EU$36</f>
        <v>45156.144378636367</v>
      </c>
      <c r="O22" s="427">
        <f>'ANALYSE - ERP =&gt; SEGMENT'!$EX$36</f>
        <v>20962.536526818181</v>
      </c>
      <c r="P22" s="427">
        <f>'ANALYSE - ERP =&gt; SEGMENT'!$FA$36</f>
        <v>4351.7987899999998</v>
      </c>
      <c r="Q22" s="427">
        <f>'ANALYSE - ERP =&gt; SEGMENT'!$FD$36</f>
        <v>295.60307</v>
      </c>
      <c r="R22" s="427">
        <f>'ANALYSE - ERP =&gt; SEGMENT'!$FG$36</f>
        <v>19546.205991818184</v>
      </c>
      <c r="T22" s="424">
        <f>'ANALYSE - ERP =&gt; SEGMENT'!$EV$36</f>
        <v>31903.195188636364</v>
      </c>
      <c r="U22" s="427">
        <f>'ANALYSE - ERP =&gt; SEGMENT'!$EY$36</f>
        <v>14837.768406818181</v>
      </c>
      <c r="V22" s="427">
        <f>'ANALYSE - ERP =&gt; SEGMENT'!$FB$36</f>
        <v>3062.25</v>
      </c>
      <c r="W22" s="427">
        <f>'ANALYSE - ERP =&gt; SEGMENT'!$FE$36</f>
        <v>201.90110000000001</v>
      </c>
      <c r="X22" s="427">
        <f>'ANALYSE - ERP =&gt; SEGMENT'!$FH$36</f>
        <v>13801.275681818184</v>
      </c>
      <c r="Z22" s="427">
        <f>'ANALYSE - ERP =&gt; SEGMENT'!$EW$36</f>
        <v>13252.949189999999</v>
      </c>
      <c r="AA22" s="427">
        <f>'ANALYSE - ERP =&gt; SEGMENT'!$EZ$36</f>
        <v>6124.7681200000006</v>
      </c>
      <c r="AB22" s="427">
        <f>'ANALYSE - ERP =&gt; SEGMENT'!$FC$36</f>
        <v>1289.5487900000001</v>
      </c>
      <c r="AC22" s="427">
        <f>'ANALYSE - ERP =&gt; SEGMENT'!$FF$36</f>
        <v>93.701969999999989</v>
      </c>
      <c r="AD22" s="427">
        <f>'ANALYSE - ERP =&gt; SEGMENT'!$FI$36</f>
        <v>5744.9303099999997</v>
      </c>
      <c r="AF22" s="430">
        <f>'ANALYSE - ERP =&gt; SEGMENT'!$Q$36</f>
        <v>1</v>
      </c>
    </row>
    <row r="23" spans="1:32" ht="15" customHeight="1">
      <c r="A23" s="26">
        <v>20</v>
      </c>
      <c r="B23" s="26">
        <v>21</v>
      </c>
      <c r="C23" s="26">
        <v>22</v>
      </c>
      <c r="D23" s="499" t="s">
        <v>3662</v>
      </c>
      <c r="E23" s="500" t="s">
        <v>1337</v>
      </c>
      <c r="F23" s="500" t="s">
        <v>7997</v>
      </c>
      <c r="G23" s="410" t="str">
        <f>'ANALYSE - ERP =&gt; SEGMENT'!$D$18</f>
        <v>Chapiteaux / tentes / structures
Structures gonflables</v>
      </c>
      <c r="I23" s="427">
        <f t="shared" si="2"/>
        <v>768.61810542403259</v>
      </c>
      <c r="K23" s="787">
        <f t="shared" si="0"/>
        <v>0.68819542721052007</v>
      </c>
      <c r="L23" s="787">
        <f t="shared" si="1"/>
        <v>0.31180457278947998</v>
      </c>
      <c r="N23" s="424">
        <f>'ANALYSE - ERP =&gt; SEGMENT'!$EU$18</f>
        <v>3843.0905271201627</v>
      </c>
      <c r="O23" s="427">
        <f>'ANALYSE - ERP =&gt; SEGMENT'!$EX$18</f>
        <v>1693.1843961707459</v>
      </c>
      <c r="P23" s="427">
        <f>'ANALYSE - ERP =&gt; SEGMENT'!$FA$18</f>
        <v>83.559395899999998</v>
      </c>
      <c r="Q23" s="427">
        <f>'ANALYSE - ERP =&gt; SEGMENT'!$FD$18</f>
        <v>515.70268567878782</v>
      </c>
      <c r="R23" s="427">
        <f>'ANALYSE - ERP =&gt; SEGMENT'!$FG$18</f>
        <v>1550.6440493706293</v>
      </c>
      <c r="T23" s="424">
        <f>'ANALYSE - ERP =&gt; SEGMENT'!$EV$18</f>
        <v>2644.7973271201631</v>
      </c>
      <c r="U23" s="427">
        <f>'ANALYSE - ERP =&gt; SEGMENT'!$EY$18</f>
        <v>1149.9923961707459</v>
      </c>
      <c r="V23" s="427">
        <f>'ANALYSE - ERP =&gt; SEGMENT'!$FB$18</f>
        <v>62.328195899999997</v>
      </c>
      <c r="W23" s="427">
        <f>'ANALYSE - ERP =&gt; SEGMENT'!$FE$18</f>
        <v>364.86468567878785</v>
      </c>
      <c r="X23" s="427">
        <f>'ANALYSE - ERP =&gt; SEGMENT'!$FH$18</f>
        <v>1067.6120493706294</v>
      </c>
      <c r="Z23" s="427">
        <f>'ANALYSE - ERP =&gt; SEGMENT'!$EW$18</f>
        <v>1198.2931999999998</v>
      </c>
      <c r="AA23" s="427">
        <f>'ANALYSE - ERP =&gt; SEGMENT'!$EZ$18</f>
        <v>543.19200000000001</v>
      </c>
      <c r="AB23" s="427">
        <f>'ANALYSE - ERP =&gt; SEGMENT'!$FC$18</f>
        <v>21.231200000000001</v>
      </c>
      <c r="AC23" s="427">
        <f>'ANALYSE - ERP =&gt; SEGMENT'!$FF$18</f>
        <v>150.83799999999999</v>
      </c>
      <c r="AD23" s="427">
        <f>'ANALYSE - ERP =&gt; SEGMENT'!$FI$18</f>
        <v>483.03199999999998</v>
      </c>
      <c r="AF23" s="430">
        <f>'ANALYSE - ERP =&gt; SEGMENT'!$Q$18</f>
        <v>1</v>
      </c>
    </row>
    <row r="24" spans="1:32" ht="15" customHeight="1">
      <c r="A24" s="26">
        <v>21</v>
      </c>
      <c r="B24" s="26">
        <v>24</v>
      </c>
      <c r="C24" s="26">
        <v>15</v>
      </c>
      <c r="D24" s="493" t="s">
        <v>2241</v>
      </c>
      <c r="E24" s="494" t="s">
        <v>2242</v>
      </c>
      <c r="F24" s="494" t="s">
        <v>7998</v>
      </c>
      <c r="G24" s="411" t="str">
        <f>'ANALYSE - ERP =&gt; SEGMENT'!$D$15</f>
        <v>Centres de santé / centres médicaux
Maisons de santé</v>
      </c>
      <c r="I24" s="427">
        <f t="shared" si="2"/>
        <v>6161.6937282695744</v>
      </c>
      <c r="K24" s="787">
        <f t="shared" si="0"/>
        <v>0.40462070758744767</v>
      </c>
      <c r="L24" s="787">
        <f t="shared" si="1"/>
        <v>0.59537929241255239</v>
      </c>
      <c r="N24" s="424">
        <f>'ANALYSE - ERP =&gt; SEGMENT'!$EU$15</f>
        <v>30808.46864134787</v>
      </c>
      <c r="O24" s="427">
        <f>'ANALYSE - ERP =&gt; SEGMENT'!$EX$15</f>
        <v>13764.078267224755</v>
      </c>
      <c r="P24" s="427">
        <f>'ANALYSE - ERP =&gt; SEGMENT'!$FA$15</f>
        <v>373.92014405318184</v>
      </c>
      <c r="Q24" s="427">
        <f>'ANALYSE - ERP =&gt; SEGMENT'!$FD$15</f>
        <v>3052.6471594545455</v>
      </c>
      <c r="R24" s="427">
        <f>'ANALYSE - ERP =&gt; SEGMENT'!$FG$15</f>
        <v>13617.823070615384</v>
      </c>
      <c r="T24" s="424">
        <f>'ANALYSE - ERP =&gt; SEGMENT'!$EV$15</f>
        <v>12465.744381347868</v>
      </c>
      <c r="U24" s="427">
        <f>'ANALYSE - ERP =&gt; SEGMENT'!$EY$15</f>
        <v>5451.2109872247556</v>
      </c>
      <c r="V24" s="427">
        <f>'ANALYSE - ERP =&gt; SEGMENT'!$FB$15</f>
        <v>249.09220405318183</v>
      </c>
      <c r="W24" s="427">
        <f>'ANALYSE - ERP =&gt; SEGMENT'!$FE$15</f>
        <v>1460.4853994545456</v>
      </c>
      <c r="X24" s="427">
        <f>'ANALYSE - ERP =&gt; SEGMENT'!$FH$15</f>
        <v>5304.955790615385</v>
      </c>
      <c r="Z24" s="427">
        <f>'ANALYSE - ERP =&gt; SEGMENT'!$EW$15</f>
        <v>18342.724260000003</v>
      </c>
      <c r="AA24" s="427">
        <f>'ANALYSE - ERP =&gt; SEGMENT'!$EZ$15</f>
        <v>8312.8672800000004</v>
      </c>
      <c r="AB24" s="427">
        <f>'ANALYSE - ERP =&gt; SEGMENT'!$FC$15</f>
        <v>124.82794</v>
      </c>
      <c r="AC24" s="427">
        <f>'ANALYSE - ERP =&gt; SEGMENT'!$FF$15</f>
        <v>1592.16176</v>
      </c>
      <c r="AD24" s="427">
        <f>'ANALYSE - ERP =&gt; SEGMENT'!$FI$15</f>
        <v>8312.8672800000004</v>
      </c>
      <c r="AF24" s="430">
        <f>'ANALYSE - ERP =&gt; SEGMENT'!$Q$15</f>
        <v>1</v>
      </c>
    </row>
    <row r="25" spans="1:32" ht="15" customHeight="1">
      <c r="A25" s="26">
        <v>22</v>
      </c>
      <c r="B25" s="26">
        <v>20</v>
      </c>
      <c r="C25" s="26">
        <v>24</v>
      </c>
      <c r="D25" s="491" t="s">
        <v>2187</v>
      </c>
      <c r="E25" s="492" t="s">
        <v>1435</v>
      </c>
      <c r="F25" s="492" t="s">
        <v>7999</v>
      </c>
      <c r="G25" s="408" t="str">
        <f>'ANALYSE - ERP =&gt; SEGMENT'!$D$20</f>
        <v>Salles de jeux / bowlings / billards
Discothèques / salles de danse
Casinos</v>
      </c>
      <c r="I25" s="427">
        <f t="shared" si="2"/>
        <v>10228.451790566283</v>
      </c>
      <c r="K25" s="787">
        <f t="shared" si="0"/>
        <v>0.87422474717175402</v>
      </c>
      <c r="L25" s="787">
        <f t="shared" si="1"/>
        <v>0.12577525282824603</v>
      </c>
      <c r="N25" s="424">
        <f>'ANALYSE - ERP =&gt; SEGMENT'!$EU$20</f>
        <v>51142.258952831413</v>
      </c>
      <c r="O25" s="427">
        <f>'ANALYSE - ERP =&gt; SEGMENT'!$EX$20</f>
        <v>22544.970978218182</v>
      </c>
      <c r="P25" s="427">
        <f>'ANALYSE - ERP =&gt; SEGMENT'!$FA$20</f>
        <v>8.2174206846590891</v>
      </c>
      <c r="Q25" s="427">
        <f>'ANALYSE - ERP =&gt; SEGMENT'!$FD$20</f>
        <v>7489.9249239285718</v>
      </c>
      <c r="R25" s="427">
        <f>'ANALYSE - ERP =&gt; SEGMENT'!$FG$20</f>
        <v>21099.145629999999</v>
      </c>
      <c r="T25" s="424">
        <f>'ANALYSE - ERP =&gt; SEGMENT'!$EV$20</f>
        <v>44709.828402831416</v>
      </c>
      <c r="U25" s="427">
        <f>'ANALYSE - ERP =&gt; SEGMENT'!$EY$20</f>
        <v>19624.598778218184</v>
      </c>
      <c r="V25" s="427">
        <f>'ANALYSE - ERP =&gt; SEGMENT'!$FB$20</f>
        <v>6.8412706846590901</v>
      </c>
      <c r="W25" s="427">
        <f>'ANALYSE - ERP =&gt; SEGMENT'!$FE$20</f>
        <v>6621.1434239285718</v>
      </c>
      <c r="X25" s="427">
        <f>'ANALYSE - ERP =&gt; SEGMENT'!$FH$20</f>
        <v>18457.244930000001</v>
      </c>
      <c r="Z25" s="427">
        <f>'ANALYSE - ERP =&gt; SEGMENT'!$EW$20</f>
        <v>6432.43055</v>
      </c>
      <c r="AA25" s="427">
        <f>'ANALYSE - ERP =&gt; SEGMENT'!$EZ$20</f>
        <v>2920.3721999999998</v>
      </c>
      <c r="AB25" s="427">
        <f>'ANALYSE - ERP =&gt; SEGMENT'!$FC$20</f>
        <v>1.37615</v>
      </c>
      <c r="AC25" s="427">
        <f>'ANALYSE - ERP =&gt; SEGMENT'!$FF$20</f>
        <v>868.78150000000005</v>
      </c>
      <c r="AD25" s="427">
        <f>'ANALYSE - ERP =&gt; SEGMENT'!$FI$20</f>
        <v>2641.9007000000001</v>
      </c>
      <c r="AF25" s="430">
        <f>'ANALYSE - ERP =&gt; SEGMENT'!$Q$20</f>
        <v>1</v>
      </c>
    </row>
    <row r="26" spans="1:32" ht="15" customHeight="1">
      <c r="A26" s="26">
        <v>23</v>
      </c>
      <c r="B26" s="26">
        <v>22</v>
      </c>
      <c r="C26" s="26">
        <v>23</v>
      </c>
      <c r="D26" s="503" t="s">
        <v>2278</v>
      </c>
      <c r="E26" s="504" t="s">
        <v>1576</v>
      </c>
      <c r="F26" s="504" t="s">
        <v>1577</v>
      </c>
      <c r="G26" s="413" t="str">
        <f>'ANALYSE - ERP =&gt; SEGMENT'!$D$29</f>
        <v>Locaux associatifs recevant du public</v>
      </c>
      <c r="I26" s="427">
        <f t="shared" si="2"/>
        <v>2256.7012686233766</v>
      </c>
      <c r="K26" s="787">
        <f t="shared" si="0"/>
        <v>0.76401963015474528</v>
      </c>
      <c r="L26" s="787">
        <f t="shared" si="1"/>
        <v>0.23598036984525469</v>
      </c>
      <c r="N26" s="424">
        <f>'ANALYSE - ERP =&gt; SEGMENT'!$EU$29</f>
        <v>11283.506343116884</v>
      </c>
      <c r="O26" s="427">
        <f>'ANALYSE - ERP =&gt; SEGMENT'!$EX$29</f>
        <v>5181.0116592857148</v>
      </c>
      <c r="P26" s="427">
        <f>'ANALYSE - ERP =&gt; SEGMENT'!$FA$29</f>
        <v>0</v>
      </c>
      <c r="Q26" s="427">
        <f>'ANALYSE - ERP =&gt; SEGMENT'!$FD$29</f>
        <v>984.3714920454546</v>
      </c>
      <c r="R26" s="427">
        <f>'ANALYSE - ERP =&gt; SEGMENT'!$FG$29</f>
        <v>5118.1231917857149</v>
      </c>
      <c r="T26" s="424">
        <f>'ANALYSE - ERP =&gt; SEGMENT'!$EV$29</f>
        <v>8620.820343116884</v>
      </c>
      <c r="U26" s="427">
        <f>'ANALYSE - ERP =&gt; SEGMENT'!$EY$29</f>
        <v>3952.0796592857146</v>
      </c>
      <c r="V26" s="427">
        <f>'ANALYSE - ERP =&gt; SEGMENT'!$FB$29</f>
        <v>0</v>
      </c>
      <c r="W26" s="427">
        <f>'ANALYSE - ERP =&gt; SEGMENT'!$FE$29</f>
        <v>779.5494920454546</v>
      </c>
      <c r="X26" s="427">
        <f>'ANALYSE - ERP =&gt; SEGMENT'!$FH$29</f>
        <v>3889.1911917857146</v>
      </c>
      <c r="Z26" s="427">
        <f>'ANALYSE - ERP =&gt; SEGMENT'!$EW$29</f>
        <v>2662.6859999999997</v>
      </c>
      <c r="AA26" s="427">
        <f>'ANALYSE - ERP =&gt; SEGMENT'!$EZ$29</f>
        <v>1228.932</v>
      </c>
      <c r="AB26" s="427">
        <f>'ANALYSE - ERP =&gt; SEGMENT'!$FC$29</f>
        <v>0</v>
      </c>
      <c r="AC26" s="427">
        <f>'ANALYSE - ERP =&gt; SEGMENT'!$FF$29</f>
        <v>204.822</v>
      </c>
      <c r="AD26" s="427">
        <f>'ANALYSE - ERP =&gt; SEGMENT'!$FI$29</f>
        <v>1228.932</v>
      </c>
      <c r="AF26" s="430">
        <f>'ANALYSE - ERP =&gt; SEGMENT'!$Q$29</f>
        <v>1</v>
      </c>
    </row>
    <row r="27" spans="1:32" ht="15" customHeight="1">
      <c r="A27" s="26">
        <v>24</v>
      </c>
      <c r="B27" s="26">
        <v>23</v>
      </c>
      <c r="C27" s="26">
        <v>21</v>
      </c>
      <c r="D27" s="497" t="s">
        <v>6739</v>
      </c>
      <c r="E27" s="498" t="s">
        <v>1014</v>
      </c>
      <c r="F27" s="498" t="s">
        <v>8000</v>
      </c>
      <c r="G27" s="411" t="str">
        <f>'ANALYSE - ERP =&gt; SEGMENT'!$D$10</f>
        <v>Universités
Grandes écoles
Résidences étudiantes et dortoirs</v>
      </c>
      <c r="I27" s="427">
        <f t="shared" si="2"/>
        <v>5527.5765168055996</v>
      </c>
      <c r="K27" s="787">
        <f t="shared" si="0"/>
        <v>0.61820733958476282</v>
      </c>
      <c r="L27" s="787">
        <f t="shared" si="1"/>
        <v>0.38179266041523724</v>
      </c>
      <c r="N27" s="424">
        <f>'ANALYSE - ERP =&gt; SEGMENT'!$EU$10</f>
        <v>27637.882584027997</v>
      </c>
      <c r="O27" s="427">
        <f>'ANALYSE - ERP =&gt; SEGMENT'!$EX$10</f>
        <v>11976.744171232</v>
      </c>
      <c r="P27" s="427">
        <f>'ANALYSE - ERP =&gt; SEGMENT'!$FA$10</f>
        <v>4771.145229404</v>
      </c>
      <c r="Q27" s="427">
        <f>'ANALYSE - ERP =&gt; SEGMENT'!$FD$10</f>
        <v>2745.6987317160001</v>
      </c>
      <c r="R27" s="427">
        <f>'ANALYSE - ERP =&gt; SEGMENT'!$FG$10</f>
        <v>8144.2944516759999</v>
      </c>
      <c r="T27" s="424">
        <f>'ANALYSE - ERP =&gt; SEGMENT'!$EV$10</f>
        <v>17085.941864027998</v>
      </c>
      <c r="U27" s="427">
        <f>'ANALYSE - ERP =&gt; SEGMENT'!$EY$10</f>
        <v>7508.566991232</v>
      </c>
      <c r="V27" s="427">
        <f>'ANALYSE - ERP =&gt; SEGMENT'!$FB$10</f>
        <v>2780.0703194040002</v>
      </c>
      <c r="W27" s="427">
        <f>'ANALYSE - ERP =&gt; SEGMENT'!$FE$10</f>
        <v>1734.1410917159999</v>
      </c>
      <c r="X27" s="427">
        <f>'ANALYSE - ERP =&gt; SEGMENT'!$FH$10</f>
        <v>5063.1634616760002</v>
      </c>
      <c r="Z27" s="427">
        <f>'ANALYSE - ERP =&gt; SEGMENT'!$EW$10</f>
        <v>10551.940720000001</v>
      </c>
      <c r="AA27" s="427">
        <f>'ANALYSE - ERP =&gt; SEGMENT'!$EZ$10</f>
        <v>4468.1771799999997</v>
      </c>
      <c r="AB27" s="427">
        <f>'ANALYSE - ERP =&gt; SEGMENT'!$FC$10</f>
        <v>1991.07491</v>
      </c>
      <c r="AC27" s="427">
        <f>'ANALYSE - ERP =&gt; SEGMENT'!$FF$10</f>
        <v>1011.5576400000001</v>
      </c>
      <c r="AD27" s="427">
        <f>'ANALYSE - ERP =&gt; SEGMENT'!$FI$10</f>
        <v>3081.1309900000001</v>
      </c>
      <c r="AF27" s="430">
        <f>'ANALYSE - ERP =&gt; SEGMENT'!$Q$10</f>
        <v>1</v>
      </c>
    </row>
    <row r="28" spans="1:32" ht="15" customHeight="1">
      <c r="A28" s="26">
        <v>25</v>
      </c>
      <c r="B28" s="26">
        <v>25</v>
      </c>
      <c r="C28" s="26">
        <v>26</v>
      </c>
      <c r="D28" s="499" t="s">
        <v>3662</v>
      </c>
      <c r="E28" s="500" t="s">
        <v>1240</v>
      </c>
      <c r="F28" s="500" t="s">
        <v>8001</v>
      </c>
      <c r="G28" s="409" t="str">
        <f>'ANALYSE - ERP =&gt; SEGMENT'!$D$17</f>
        <v>Foires / salons
Halls d’exposition</v>
      </c>
      <c r="I28" s="427">
        <f t="shared" si="2"/>
        <v>2867.3099047350138</v>
      </c>
      <c r="K28" s="787">
        <f t="shared" si="0"/>
        <v>0.79729961137433691</v>
      </c>
      <c r="L28" s="787">
        <f t="shared" si="1"/>
        <v>0.20270038862566297</v>
      </c>
      <c r="N28" s="424">
        <f>'ANALYSE - ERP =&gt; SEGMENT'!$EU$17</f>
        <v>14336.549523675068</v>
      </c>
      <c r="O28" s="427">
        <f>'ANALYSE - ERP =&gt; SEGMENT'!$EX$17</f>
        <v>6316.6954338671794</v>
      </c>
      <c r="P28" s="427">
        <f>'ANALYSE - ERP =&gt; SEGMENT'!$FA$17</f>
        <v>556.47123699786323</v>
      </c>
      <c r="Q28" s="427">
        <f>'ANALYSE - ERP =&gt; SEGMENT'!$FD$17</f>
        <v>1440.6595276689977</v>
      </c>
      <c r="R28" s="427">
        <f>'ANALYSE - ERP =&gt; SEGMENT'!$FG$17</f>
        <v>6022.7233251410262</v>
      </c>
      <c r="T28" s="424">
        <f>'ANALYSE - ERP =&gt; SEGMENT'!$EV$17</f>
        <v>11430.525363675068</v>
      </c>
      <c r="U28" s="427">
        <f>'ANALYSE - ERP =&gt; SEGMENT'!$EY$17</f>
        <v>5024.0317538671798</v>
      </c>
      <c r="V28" s="427">
        <f>'ANALYSE - ERP =&gt; SEGMENT'!$FB$17</f>
        <v>444.75851699786324</v>
      </c>
      <c r="W28" s="427">
        <f>'ANALYSE - ERP =&gt; SEGMENT'!$FE$17</f>
        <v>1163.6601676689977</v>
      </c>
      <c r="X28" s="427">
        <f>'ANALYSE - ERP =&gt; SEGMENT'!$FH$17</f>
        <v>4798.0749251410261</v>
      </c>
      <c r="Z28" s="427">
        <f>'ANALYSE - ERP =&gt; SEGMENT'!$EW$17</f>
        <v>2906.0241599999999</v>
      </c>
      <c r="AA28" s="427">
        <f>'ANALYSE - ERP =&gt; SEGMENT'!$EZ$17</f>
        <v>1292.6636799999999</v>
      </c>
      <c r="AB28" s="427">
        <f>'ANALYSE - ERP =&gt; SEGMENT'!$FC$17</f>
        <v>111.71272</v>
      </c>
      <c r="AC28" s="427">
        <f>'ANALYSE - ERP =&gt; SEGMENT'!$FF$17</f>
        <v>276.99936000000002</v>
      </c>
      <c r="AD28" s="427">
        <f>'ANALYSE - ERP =&gt; SEGMENT'!$FI$17</f>
        <v>1224.6484000000003</v>
      </c>
      <c r="AF28" s="430">
        <f>'ANALYSE - ERP =&gt; SEGMENT'!$Q$17</f>
        <v>1</v>
      </c>
    </row>
    <row r="29" spans="1:32" ht="15" customHeight="1">
      <c r="A29" s="26">
        <v>26</v>
      </c>
      <c r="B29" s="26">
        <v>27</v>
      </c>
      <c r="C29" s="26">
        <v>25</v>
      </c>
      <c r="D29" s="507" t="s">
        <v>2285</v>
      </c>
      <c r="E29" s="508" t="s">
        <v>7336</v>
      </c>
      <c r="F29" s="508" t="s">
        <v>7337</v>
      </c>
      <c r="G29" s="414" t="str">
        <f>'ANALYSE - ERP =&gt; SEGMENT'!$D$33</f>
        <v>Parcs de stationnement couverts</v>
      </c>
      <c r="I29" s="427">
        <f t="shared" si="2"/>
        <v>0</v>
      </c>
      <c r="K29" s="787" t="str">
        <f t="shared" si="0"/>
        <v/>
      </c>
      <c r="L29" s="787" t="str">
        <f t="shared" si="1"/>
        <v/>
      </c>
      <c r="N29" s="424">
        <f>'ANALYSE - ERP =&gt; SEGMENT'!$EU$33</f>
        <v>0</v>
      </c>
      <c r="O29" s="427">
        <f>'ANALYSE - ERP =&gt; SEGMENT'!$EX$33</f>
        <v>0</v>
      </c>
      <c r="P29" s="427">
        <f>'ANALYSE - ERP =&gt; SEGMENT'!$FA$33</f>
        <v>0</v>
      </c>
      <c r="Q29" s="427">
        <f>'ANALYSE - ERP =&gt; SEGMENT'!$FD$33</f>
        <v>0</v>
      </c>
      <c r="R29" s="427">
        <f>'ANALYSE - ERP =&gt; SEGMENT'!$FG$33</f>
        <v>0</v>
      </c>
      <c r="T29" s="424">
        <f>'ANALYSE - ERP =&gt; SEGMENT'!$EV$33</f>
        <v>0</v>
      </c>
      <c r="U29" s="427">
        <f>'ANALYSE - ERP =&gt; SEGMENT'!$EY$33</f>
        <v>0</v>
      </c>
      <c r="V29" s="427">
        <f>'ANALYSE - ERP =&gt; SEGMENT'!$FB$33</f>
        <v>0</v>
      </c>
      <c r="W29" s="427">
        <f>'ANALYSE - ERP =&gt; SEGMENT'!$FE$33</f>
        <v>0</v>
      </c>
      <c r="X29" s="427">
        <f>'ANALYSE - ERP =&gt; SEGMENT'!$FH$33</f>
        <v>0</v>
      </c>
      <c r="Z29" s="427">
        <f>'ANALYSE - ERP =&gt; SEGMENT'!$EW$33</f>
        <v>0</v>
      </c>
      <c r="AA29" s="427">
        <f>'ANALYSE - ERP =&gt; SEGMENT'!$EZ$33</f>
        <v>0</v>
      </c>
      <c r="AB29" s="427">
        <f>'ANALYSE - ERP =&gt; SEGMENT'!$FC$33</f>
        <v>0</v>
      </c>
      <c r="AC29" s="427">
        <f>'ANALYSE - ERP =&gt; SEGMENT'!$FF$33</f>
        <v>0</v>
      </c>
      <c r="AD29" s="427">
        <f>'ANALYSE - ERP =&gt; SEGMENT'!$FI$33</f>
        <v>0</v>
      </c>
      <c r="AF29" s="430">
        <f>'ANALYSE - ERP =&gt; SEGMENT'!$Q$33</f>
        <v>0</v>
      </c>
    </row>
    <row r="30" spans="1:32" ht="15" customHeight="1">
      <c r="A30" s="26">
        <v>27</v>
      </c>
      <c r="B30" s="26">
        <v>26</v>
      </c>
      <c r="C30" s="26">
        <v>28</v>
      </c>
      <c r="D30" s="501" t="s">
        <v>2163</v>
      </c>
      <c r="E30" s="502" t="s">
        <v>2163</v>
      </c>
      <c r="F30" s="502" t="s">
        <v>2164</v>
      </c>
      <c r="G30" s="411" t="str">
        <f>'ANALYSE - ERP =&gt; SEGMENT'!$D$38</f>
        <v>Toilettes publiques (sur la voie publique)
Bains-douches municipaux / douches publiques fixes
Blocs sanitaires de plage / front de mer</v>
      </c>
      <c r="I30" s="427">
        <f t="shared" si="2"/>
        <v>4259.4958155194809</v>
      </c>
      <c r="K30" s="787">
        <f t="shared" si="0"/>
        <v>0.80629924861203883</v>
      </c>
      <c r="L30" s="787">
        <f t="shared" si="1"/>
        <v>0.1937007513879612</v>
      </c>
      <c r="N30" s="424">
        <f>'ANALYSE - ERP =&gt; SEGMENT'!$EU$38</f>
        <v>21297.479077597403</v>
      </c>
      <c r="O30" s="427">
        <f>'ANALYSE - ERP =&gt; SEGMENT'!$EX$38</f>
        <v>7953.5330418831163</v>
      </c>
      <c r="P30" s="427">
        <f>'ANALYSE - ERP =&gt; SEGMENT'!$FA$38</f>
        <v>901.43039999999996</v>
      </c>
      <c r="Q30" s="427">
        <f>'ANALYSE - ERP =&gt; SEGMENT'!$FD$38</f>
        <v>4305.4929249999996</v>
      </c>
      <c r="R30" s="427">
        <f>'ANALYSE - ERP =&gt; SEGMENT'!$FG$38</f>
        <v>8137.0227107142855</v>
      </c>
      <c r="T30" s="424">
        <f>'ANALYSE - ERP =&gt; SEGMENT'!$EV$38</f>
        <v>17172.141377597403</v>
      </c>
      <c r="U30" s="427">
        <f>'ANALYSE - ERP =&gt; SEGMENT'!$EY$38</f>
        <v>6325.1178418831169</v>
      </c>
      <c r="V30" s="427">
        <f>'ANALYSE - ERP =&gt; SEGMENT'!$FB$38</f>
        <v>834.6</v>
      </c>
      <c r="W30" s="427">
        <f>'ANALYSE - ERP =&gt; SEGMENT'!$FE$38</f>
        <v>3495.4622249999998</v>
      </c>
      <c r="X30" s="427">
        <f>'ANALYSE - ERP =&gt; SEGMENT'!$FH$38</f>
        <v>6516.9613107142859</v>
      </c>
      <c r="Z30" s="427">
        <f>'ANALYSE - ERP =&gt; SEGMENT'!$EW$38</f>
        <v>4125.3377</v>
      </c>
      <c r="AA30" s="427">
        <f>'ANALYSE - ERP =&gt; SEGMENT'!$EZ$38</f>
        <v>1628.4151999999999</v>
      </c>
      <c r="AB30" s="427">
        <f>'ANALYSE - ERP =&gt; SEGMENT'!$FC$38</f>
        <v>66.830399999999997</v>
      </c>
      <c r="AC30" s="427">
        <f>'ANALYSE - ERP =&gt; SEGMENT'!$FF$38</f>
        <v>810.03070000000002</v>
      </c>
      <c r="AD30" s="427">
        <f>'ANALYSE - ERP =&gt; SEGMENT'!$FI$38</f>
        <v>1620.0614</v>
      </c>
      <c r="AF30" s="430">
        <f>'ANALYSE - ERP =&gt; SEGMENT'!$Q$38</f>
        <v>1</v>
      </c>
    </row>
    <row r="31" spans="1:32" ht="15" customHeight="1">
      <c r="A31" s="26">
        <v>28</v>
      </c>
      <c r="B31" s="26">
        <v>28</v>
      </c>
      <c r="C31" s="26">
        <v>27</v>
      </c>
      <c r="D31" s="509" t="s">
        <v>4908</v>
      </c>
      <c r="E31" s="510" t="s">
        <v>1985</v>
      </c>
      <c r="F31" s="510" t="s">
        <v>8002</v>
      </c>
      <c r="G31" s="409" t="str">
        <f>'ANALYSE - ERP =&gt; SEGMENT'!$D$35</f>
        <v>Unités d'hébergement des militaires &amp; réservistes
Centres de recrutement et bureaux d’information
Restaurants ou équipements sportifs ouverts au public sur emprise militaire
Hôpitaux d’instruction des armées et centres médicaux recevant du public
Salles de conférence, auditoriums et espaces événementiels ouverts au public</v>
      </c>
      <c r="I31" s="427">
        <f t="shared" si="2"/>
        <v>1916.1151407085858</v>
      </c>
      <c r="K31" s="787">
        <f t="shared" si="0"/>
        <v>0.75292029276230088</v>
      </c>
      <c r="L31" s="787">
        <f t="shared" si="1"/>
        <v>0.24707970723769912</v>
      </c>
      <c r="N31" s="424">
        <f>'ANALYSE - ERP =&gt; SEGMENT'!$EU$35</f>
        <v>9580.5757035429287</v>
      </c>
      <c r="O31" s="427">
        <f>'ANALYSE - ERP =&gt; SEGMENT'!$EX$35</f>
        <v>3500.3661695426263</v>
      </c>
      <c r="P31" s="427">
        <f>'ANALYSE - ERP =&gt; SEGMENT'!$FA$35</f>
        <v>2171.5995508636361</v>
      </c>
      <c r="Q31" s="427">
        <f>'ANALYSE - ERP =&gt; SEGMENT'!$FD$35</f>
        <v>909.05640947000006</v>
      </c>
      <c r="R31" s="427">
        <f>'ANALYSE - ERP =&gt; SEGMENT'!$FG$35</f>
        <v>2999.5535736666666</v>
      </c>
      <c r="T31" s="424">
        <f>'ANALYSE - ERP =&gt; SEGMENT'!$EV$35</f>
        <v>7213.4098635429291</v>
      </c>
      <c r="U31" s="427">
        <f>'ANALYSE - ERP =&gt; SEGMENT'!$EY$35</f>
        <v>2652.3183295426261</v>
      </c>
      <c r="V31" s="427">
        <f>'ANALYSE - ERP =&gt; SEGMENT'!$FB$35</f>
        <v>1567.3717108636363</v>
      </c>
      <c r="W31" s="427">
        <f>'ANALYSE - ERP =&gt; SEGMENT'!$FE$35</f>
        <v>697.04444947000013</v>
      </c>
      <c r="X31" s="427">
        <f>'ANALYSE - ERP =&gt; SEGMENT'!$FH$35</f>
        <v>2296.6753736666665</v>
      </c>
      <c r="Z31" s="427">
        <f>'ANALYSE - ERP =&gt; SEGMENT'!$EW$35</f>
        <v>2367.1658400000001</v>
      </c>
      <c r="AA31" s="427">
        <f>'ANALYSE - ERP =&gt; SEGMENT'!$EZ$35</f>
        <v>848.04783999999995</v>
      </c>
      <c r="AB31" s="427">
        <f>'ANALYSE - ERP =&gt; SEGMENT'!$FC$35</f>
        <v>604.22784000000001</v>
      </c>
      <c r="AC31" s="427">
        <f>'ANALYSE - ERP =&gt; SEGMENT'!$FF$35</f>
        <v>212.01195999999999</v>
      </c>
      <c r="AD31" s="427">
        <f>'ANALYSE - ERP =&gt; SEGMENT'!$FI$35</f>
        <v>702.87819999999999</v>
      </c>
      <c r="AF31" s="430">
        <f>'ANALYSE - ERP =&gt; SEGMENT'!$Q$35</f>
        <v>1</v>
      </c>
    </row>
    <row r="32" spans="1:32" ht="15" customHeight="1">
      <c r="A32" s="26">
        <v>29</v>
      </c>
      <c r="B32" s="26">
        <v>29</v>
      </c>
      <c r="C32" s="26">
        <v>29</v>
      </c>
      <c r="D32" s="509" t="s">
        <v>4908</v>
      </c>
      <c r="E32" s="510" t="s">
        <v>2027</v>
      </c>
      <c r="F32" s="510" t="s">
        <v>8003</v>
      </c>
      <c r="G32" s="412" t="str">
        <f>'ANALYSE - ERP =&gt; SEGMENT'!$D$37</f>
        <v>Palais de justice et bâtiments judiciaires multi-usages
Maisons de justice et du droit
Tribunaux de commerce autonomes
Conseils de prud’hommes autonomes
Autres bâtiments judiciaires autonomes recevant du public</v>
      </c>
      <c r="I32" s="427">
        <f t="shared" si="2"/>
        <v>1197.7991142996502</v>
      </c>
      <c r="K32" s="787">
        <f t="shared" si="0"/>
        <v>0.85166194407825346</v>
      </c>
      <c r="L32" s="787">
        <f t="shared" si="1"/>
        <v>0.14833805592174654</v>
      </c>
      <c r="N32" s="424">
        <f>'ANALYSE - ERP =&gt; SEGMENT'!$EU$37</f>
        <v>5988.9955714982516</v>
      </c>
      <c r="O32" s="427">
        <f>'ANALYSE - ERP =&gt; SEGMENT'!$EX$37</f>
        <v>2773.2530213589739</v>
      </c>
      <c r="P32" s="427">
        <f>'ANALYSE - ERP =&gt; SEGMENT'!$FA$37</f>
        <v>0</v>
      </c>
      <c r="Q32" s="427">
        <f>'ANALYSE - ERP =&gt; SEGMENT'!$FD$37</f>
        <v>386.01426347902094</v>
      </c>
      <c r="R32" s="427">
        <f>'ANALYSE - ERP =&gt; SEGMENT'!$FG$37</f>
        <v>2829.7282866602563</v>
      </c>
      <c r="T32" s="424">
        <f>'ANALYSE - ERP =&gt; SEGMENT'!$EV$37</f>
        <v>5100.5996114982518</v>
      </c>
      <c r="U32" s="427">
        <f>'ANALYSE - ERP =&gt; SEGMENT'!$EY$37</f>
        <v>2351.3697213589739</v>
      </c>
      <c r="V32" s="427">
        <f>'ANALYSE - ERP =&gt; SEGMENT'!$FB$37</f>
        <v>0</v>
      </c>
      <c r="W32" s="427">
        <f>'ANALYSE - ERP =&gt; SEGMENT'!$FE$37</f>
        <v>330.63962347902094</v>
      </c>
      <c r="X32" s="427">
        <f>'ANALYSE - ERP =&gt; SEGMENT'!$FH$37</f>
        <v>2418.5902666602565</v>
      </c>
      <c r="Z32" s="427">
        <f>'ANALYSE - ERP =&gt; SEGMENT'!$EW$37</f>
        <v>888.39595999999995</v>
      </c>
      <c r="AA32" s="427">
        <f>'ANALYSE - ERP =&gt; SEGMENT'!$EZ$37</f>
        <v>421.88329999999996</v>
      </c>
      <c r="AB32" s="427">
        <f>'ANALYSE - ERP =&gt; SEGMENT'!$FC$37</f>
        <v>0</v>
      </c>
      <c r="AC32" s="427">
        <f>'ANALYSE - ERP =&gt; SEGMENT'!$FF$37</f>
        <v>55.374639999999999</v>
      </c>
      <c r="AD32" s="427">
        <f>'ANALYSE - ERP =&gt; SEGMENT'!$FI$37</f>
        <v>411.13801999999998</v>
      </c>
      <c r="AF32" s="430">
        <f>'ANALYSE - ERP =&gt; SEGMENT'!$Q$37</f>
        <v>1</v>
      </c>
    </row>
    <row r="33" spans="1:32" ht="15" customHeight="1">
      <c r="A33" s="26">
        <v>30</v>
      </c>
      <c r="B33" s="26">
        <v>30</v>
      </c>
      <c r="C33" s="26">
        <v>31</v>
      </c>
      <c r="D33" s="505" t="s">
        <v>7117</v>
      </c>
      <c r="E33" s="506" t="s">
        <v>1487</v>
      </c>
      <c r="F33" s="506" t="s">
        <v>8004</v>
      </c>
      <c r="G33" s="411" t="str">
        <f>'ANALYSE - ERP =&gt; SEGMENT'!$D$25</f>
        <v>Hôtels-restaurants d’altitude
Refuges de montagne</v>
      </c>
      <c r="I33" s="427">
        <f t="shared" si="2"/>
        <v>853.60286905325756</v>
      </c>
      <c r="K33" s="787">
        <f t="shared" si="0"/>
        <v>0.80275019437698858</v>
      </c>
      <c r="L33" s="787">
        <f t="shared" si="1"/>
        <v>0.1972498056230115</v>
      </c>
      <c r="N33" s="424">
        <f>'ANALYSE - ERP =&gt; SEGMENT'!$EU$25</f>
        <v>4268.0143452662878</v>
      </c>
      <c r="O33" s="427">
        <f>'ANALYSE - ERP =&gt; SEGMENT'!$EX$25</f>
        <v>1291.2760658181817</v>
      </c>
      <c r="P33" s="427">
        <f>'ANALYSE - ERP =&gt; SEGMENT'!$FA$25</f>
        <v>1319.3827387000001</v>
      </c>
      <c r="Q33" s="427">
        <f>'ANALYSE - ERP =&gt; SEGMENT'!$FD$25</f>
        <v>262.95590680871209</v>
      </c>
      <c r="R33" s="427">
        <f>'ANALYSE - ERP =&gt; SEGMENT'!$FG$25</f>
        <v>1394.3996339393937</v>
      </c>
      <c r="T33" s="424">
        <f>'ANALYSE - ERP =&gt; SEGMENT'!$EV$25</f>
        <v>3426.149345266288</v>
      </c>
      <c r="U33" s="427">
        <f>'ANALYSE - ERP =&gt; SEGMENT'!$EY$25</f>
        <v>1014.4280658181817</v>
      </c>
      <c r="V33" s="427">
        <f>'ANALYSE - ERP =&gt; SEGMENT'!$FB$25</f>
        <v>1079.7907387</v>
      </c>
      <c r="W33" s="427">
        <f>'ANALYSE - ERP =&gt; SEGMENT'!$FE$25</f>
        <v>214.37890680871209</v>
      </c>
      <c r="X33" s="427">
        <f>'ANALYSE - ERP =&gt; SEGMENT'!$FH$25</f>
        <v>1117.5516339393937</v>
      </c>
      <c r="Z33" s="427">
        <f>'ANALYSE - ERP =&gt; SEGMENT'!$EW$25</f>
        <v>841.86500000000001</v>
      </c>
      <c r="AA33" s="427">
        <f>'ANALYSE - ERP =&gt; SEGMENT'!$EZ$25</f>
        <v>276.84800000000001</v>
      </c>
      <c r="AB33" s="427">
        <f>'ANALYSE - ERP =&gt; SEGMENT'!$FC$25</f>
        <v>239.59199999999998</v>
      </c>
      <c r="AC33" s="427">
        <f>'ANALYSE - ERP =&gt; SEGMENT'!$FF$25</f>
        <v>48.576999999999998</v>
      </c>
      <c r="AD33" s="427">
        <f>'ANALYSE - ERP =&gt; SEGMENT'!$FI$25</f>
        <v>276.84800000000001</v>
      </c>
      <c r="AF33" s="430">
        <f>'ANALYSE - ERP =&gt; SEGMENT'!$Q$25</f>
        <v>1</v>
      </c>
    </row>
    <row r="34" spans="1:32" ht="15" customHeight="1">
      <c r="A34" s="26">
        <v>31</v>
      </c>
      <c r="B34" s="26">
        <v>31</v>
      </c>
      <c r="C34" s="26">
        <v>30</v>
      </c>
      <c r="D34" s="509" t="s">
        <v>4908</v>
      </c>
      <c r="E34" s="510" t="s">
        <v>1950</v>
      </c>
      <c r="F34" s="510" t="s">
        <v>8005</v>
      </c>
      <c r="G34" s="409" t="str">
        <f>'ANALYSE - ERP =&gt; SEGMENT'!$D$34</f>
        <v>Locaux de sûreté, garde à vue et zones opérationnelles
Postes de proximité et antennes avec accueil public
Salles de réunion, de prévention ou de conférence ouvertes au public</v>
      </c>
      <c r="I34" s="427">
        <f t="shared" si="2"/>
        <v>535.43035209649997</v>
      </c>
      <c r="K34" s="787">
        <f t="shared" si="0"/>
        <v>0.85493172044531218</v>
      </c>
      <c r="L34" s="787">
        <f t="shared" si="1"/>
        <v>0.14506827955468782</v>
      </c>
      <c r="N34" s="424">
        <f>'ANALYSE - ERP =&gt; SEGMENT'!$EU$34</f>
        <v>2677.1517604824999</v>
      </c>
      <c r="O34" s="427">
        <f>'ANALYSE - ERP =&gt; SEGMENT'!$EX$34</f>
        <v>1054.8845484177778</v>
      </c>
      <c r="P34" s="427">
        <f>'ANALYSE - ERP =&gt; SEGMENT'!$FA$34</f>
        <v>256.77910999999995</v>
      </c>
      <c r="Q34" s="427">
        <f>'ANALYSE - ERP =&gt; SEGMENT'!$FD$34</f>
        <v>265.12851104250001</v>
      </c>
      <c r="R34" s="427">
        <f>'ANALYSE - ERP =&gt; SEGMENT'!$FG$34</f>
        <v>1100.359591022222</v>
      </c>
      <c r="T34" s="424">
        <f>'ANALYSE - ERP =&gt; SEGMENT'!$EV$34</f>
        <v>2288.7819604824999</v>
      </c>
      <c r="U34" s="427">
        <f>'ANALYSE - ERP =&gt; SEGMENT'!$EY$34</f>
        <v>898.81590841777779</v>
      </c>
      <c r="V34" s="427">
        <f>'ANALYSE - ERP =&gt; SEGMENT'!$FB$34</f>
        <v>219.56374999999997</v>
      </c>
      <c r="W34" s="427">
        <f>'ANALYSE - ERP =&gt; SEGMENT'!$FE$34</f>
        <v>226.11135104249999</v>
      </c>
      <c r="X34" s="427">
        <f>'ANALYSE - ERP =&gt; SEGMENT'!$FH$34</f>
        <v>944.29095102222209</v>
      </c>
      <c r="Z34" s="427">
        <f>'ANALYSE - ERP =&gt; SEGMENT'!$EW$34</f>
        <v>388.36979999999994</v>
      </c>
      <c r="AA34" s="427">
        <f>'ANALYSE - ERP =&gt; SEGMENT'!$EZ$34</f>
        <v>156.06863999999999</v>
      </c>
      <c r="AB34" s="427">
        <f>'ANALYSE - ERP =&gt; SEGMENT'!$FC$34</f>
        <v>37.215359999999997</v>
      </c>
      <c r="AC34" s="427">
        <f>'ANALYSE - ERP =&gt; SEGMENT'!$FF$34</f>
        <v>39.017159999999997</v>
      </c>
      <c r="AD34" s="427">
        <f>'ANALYSE - ERP =&gt; SEGMENT'!$FI$34</f>
        <v>156.06863999999999</v>
      </c>
      <c r="AF34" s="430">
        <f>'ANALYSE - ERP =&gt; SEGMENT'!$Q$34</f>
        <v>1</v>
      </c>
    </row>
  </sheetData>
  <pageMargins left="3.937007874015748E-2" right="3.937007874015748E-2" top="7.874015748031496E-2" bottom="7.874015748031496E-2" header="0.11811023622047249" footer="0.11811023622047249"/>
  <pageSetup paperSize="8" scale="67" fitToHeight="2"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8" tint="-0.249977111117893"/>
    <pageSetUpPr fitToPage="1"/>
  </sheetPr>
  <dimension ref="A1:BE34"/>
  <sheetViews>
    <sheetView zoomScale="85" zoomScaleNormal="85" workbookViewId="0">
      <selection activeCell="E19" sqref="E19"/>
    </sheetView>
  </sheetViews>
  <sheetFormatPr baseColWidth="10" defaultColWidth="9.140625" defaultRowHeight="15"/>
  <cols>
    <col min="1" max="1" width="6.140625" style="934" customWidth="1"/>
    <col min="2" max="2" width="5.7109375" style="934" customWidth="1"/>
    <col min="3" max="3" width="5.5703125" style="934" customWidth="1"/>
    <col min="4" max="4" width="6" style="934" customWidth="1"/>
    <col min="5" max="5" width="30.28515625" style="43" customWidth="1"/>
    <col min="6" max="6" width="22" style="43" customWidth="1"/>
    <col min="7" max="7" width="45.140625" style="43" customWidth="1"/>
    <col min="8" max="8" width="1.7109375" style="933" customWidth="1"/>
    <col min="9" max="9" width="9.7109375" style="934" customWidth="1"/>
    <col min="10" max="10" width="1.7109375" style="933" customWidth="1"/>
    <col min="11" max="11" width="9.5703125" style="934" customWidth="1"/>
    <col min="12" max="12" width="9" style="934" customWidth="1"/>
    <col min="13" max="13" width="1.7109375" style="933" customWidth="1"/>
    <col min="14" max="14" width="9.42578125" style="934" customWidth="1"/>
    <col min="15" max="15" width="9" style="934" customWidth="1"/>
    <col min="16" max="16" width="10.42578125" style="934" customWidth="1"/>
    <col min="17" max="17" width="8.7109375" style="934" customWidth="1"/>
    <col min="18" max="18" width="8.140625" style="934" customWidth="1"/>
    <col min="19" max="19" width="1.7109375" style="933" customWidth="1"/>
    <col min="20" max="20" width="9" style="934" customWidth="1"/>
    <col min="21" max="21" width="8.85546875" style="934" customWidth="1"/>
    <col min="22" max="22" width="9.7109375" style="934" customWidth="1"/>
    <col min="23" max="23" width="10.42578125" style="934" customWidth="1"/>
    <col min="24" max="24" width="9" style="934" customWidth="1"/>
    <col min="25" max="25" width="1.7109375" style="933" customWidth="1"/>
    <col min="26" max="26" width="8.140625" style="934" customWidth="1"/>
    <col min="27" max="27" width="9.85546875" style="934" customWidth="1"/>
    <col min="28" max="28" width="9" style="934" customWidth="1"/>
    <col min="29" max="29" width="9.42578125" style="934" customWidth="1"/>
    <col min="30" max="30" width="7.28515625" style="934" customWidth="1"/>
    <col min="31" max="31" width="1.7109375" style="933" customWidth="1"/>
    <col min="32" max="32" width="12.5703125" style="934" customWidth="1"/>
    <col min="33" max="57" width="9.140625" style="933" customWidth="1"/>
  </cols>
  <sheetData>
    <row r="1" spans="1:32" s="438" customFormat="1" ht="18.75" customHeight="1">
      <c r="A1" s="933"/>
      <c r="B1" s="933"/>
      <c r="C1" s="477"/>
      <c r="D1" s="477"/>
      <c r="E1" s="479"/>
      <c r="F1" s="478" t="s">
        <v>7935</v>
      </c>
      <c r="G1" s="479"/>
      <c r="H1" s="933"/>
      <c r="I1" s="933"/>
      <c r="J1" s="933"/>
      <c r="K1" s="933"/>
      <c r="L1" s="933"/>
      <c r="M1" s="933"/>
      <c r="N1" s="436"/>
      <c r="O1" s="436"/>
      <c r="P1" s="440" t="s">
        <v>7919</v>
      </c>
      <c r="Q1" s="436"/>
      <c r="R1" s="436"/>
      <c r="S1" s="933"/>
      <c r="T1" s="434"/>
      <c r="U1" s="434"/>
      <c r="V1" s="439" t="s">
        <v>7919</v>
      </c>
      <c r="W1" s="434"/>
      <c r="X1" s="434"/>
      <c r="Y1" s="933"/>
      <c r="Z1" s="435"/>
      <c r="AA1" s="435"/>
      <c r="AB1" s="441" t="s">
        <v>7919</v>
      </c>
      <c r="AC1" s="435"/>
      <c r="AD1" s="435"/>
      <c r="AE1" s="933"/>
      <c r="AF1" s="436"/>
    </row>
    <row r="2" spans="1:32" s="437" customFormat="1" ht="54.75" customHeight="1">
      <c r="A2" s="431" t="s">
        <v>7853</v>
      </c>
      <c r="B2" s="432" t="s">
        <v>7854</v>
      </c>
      <c r="C2" s="433" t="s">
        <v>7855</v>
      </c>
      <c r="D2" s="829" t="s">
        <v>2044</v>
      </c>
      <c r="E2" s="829" t="s">
        <v>6714</v>
      </c>
      <c r="F2" s="829" t="s">
        <v>6715</v>
      </c>
      <c r="G2" s="829" t="s">
        <v>2181</v>
      </c>
      <c r="H2" s="453"/>
      <c r="I2" s="436" t="s">
        <v>7920</v>
      </c>
      <c r="J2" s="453"/>
      <c r="K2" s="434" t="s">
        <v>7860</v>
      </c>
      <c r="L2" s="435" t="s">
        <v>2534</v>
      </c>
      <c r="M2" s="453"/>
      <c r="N2" s="436" t="s">
        <v>7857</v>
      </c>
      <c r="O2" s="436" t="s">
        <v>7936</v>
      </c>
      <c r="P2" s="436" t="s">
        <v>7937</v>
      </c>
      <c r="Q2" s="436" t="s">
        <v>7938</v>
      </c>
      <c r="R2" s="436" t="s">
        <v>7939</v>
      </c>
      <c r="S2" s="453"/>
      <c r="T2" s="434" t="s">
        <v>7925</v>
      </c>
      <c r="U2" s="434" t="s">
        <v>7940</v>
      </c>
      <c r="V2" s="434" t="s">
        <v>7941</v>
      </c>
      <c r="W2" s="434" t="s">
        <v>7942</v>
      </c>
      <c r="X2" s="434" t="s">
        <v>7943</v>
      </c>
      <c r="Y2" s="453"/>
      <c r="Z2" s="435" t="s">
        <v>7930</v>
      </c>
      <c r="AA2" s="435" t="s">
        <v>7944</v>
      </c>
      <c r="AB2" s="435" t="s">
        <v>7945</v>
      </c>
      <c r="AC2" s="435" t="s">
        <v>7946</v>
      </c>
      <c r="AD2" s="435" t="s">
        <v>7947</v>
      </c>
      <c r="AE2" s="453"/>
      <c r="AF2" s="436" t="s">
        <v>6711</v>
      </c>
    </row>
    <row r="3" spans="1:32">
      <c r="A3" s="405" t="s">
        <v>2535</v>
      </c>
      <c r="B3" s="405" t="s">
        <v>2535</v>
      </c>
      <c r="C3" s="405" t="s">
        <v>2535</v>
      </c>
      <c r="D3" s="405" t="s">
        <v>2090</v>
      </c>
      <c r="E3" s="405" t="s">
        <v>2086</v>
      </c>
      <c r="F3" s="405" t="s">
        <v>6728</v>
      </c>
      <c r="G3" s="405" t="s">
        <v>6729</v>
      </c>
      <c r="I3" s="426">
        <f>IFERROR(N3/5,"")</f>
        <v>480167.65601452411</v>
      </c>
      <c r="K3" s="790">
        <f t="shared" ref="K3:K34" si="0">IFERROR(T3/N3,"")</f>
        <v>0.80063644385055255</v>
      </c>
      <c r="L3" s="790">
        <f t="shared" ref="L3:L34" si="1">IFERROR(Z3/N3,"")</f>
        <v>0.19936355614944712</v>
      </c>
      <c r="N3" s="426">
        <f>SUMPRODUCT(($AF$4:$AF$106),('ANALYSE - ERP =&gt; SEGMENT'!$EX$8:$EX$110))</f>
        <v>2400838.2800726206</v>
      </c>
      <c r="O3" s="426">
        <f>SUMPRODUCT(($AF$4:$AF$106),('ANALYSE - ERP =&gt; SEGMENT'!$GE$8:$GE$110))</f>
        <v>702689.63193822058</v>
      </c>
      <c r="P3" s="426">
        <f>SUMPRODUCT(($AF$4:$AF$106),('ANALYSE - ERP =&gt; SEGMENT'!$GH$8:$GH$110))</f>
        <v>1202075.2338634494</v>
      </c>
      <c r="Q3" s="426">
        <f>SUMPRODUCT(($AF$4:$AF$106),('ANALYSE - ERP =&gt; SEGMENT'!$GK$8:$GK$110))</f>
        <v>328940.95148764708</v>
      </c>
      <c r="R3" s="426">
        <f>SUMPRODUCT(($AF$4:$AF$106),('ANALYSE - ERP =&gt; SEGMENT'!$GN$8:$GN$110))</f>
        <v>167132.46278330302</v>
      </c>
      <c r="T3" s="426">
        <f>SUMPRODUCT(($AF$4:$AF$106),('ANALYSE - ERP =&gt; SEGMENT'!$EY$8:$EY$110))</f>
        <v>1922198.6228176199</v>
      </c>
      <c r="U3" s="426">
        <f>SUMPRODUCT(($AF$4:$AF$106),('ANALYSE - ERP =&gt; SEGMENT'!$GF$8:$GF$110))</f>
        <v>578013.4118281207</v>
      </c>
      <c r="V3" s="426">
        <f>SUMPRODUCT(($AF$4:$AF$106),('ANALYSE - ERP =&gt; SEGMENT'!$GI$8:$GI$110))</f>
        <v>940793.64350314951</v>
      </c>
      <c r="W3" s="426">
        <f>SUMPRODUCT(($AF$4:$AF$106),('ANALYSE - ERP =&gt; SEGMENT'!$GL$8:$GL$110))</f>
        <v>264622.41860169708</v>
      </c>
      <c r="X3" s="426">
        <f>SUMPRODUCT(($AF$4:$AF$106),('ANALYSE - ERP =&gt; SEGMENT'!$GO$8:$GO$110))</f>
        <v>138769.14888465308</v>
      </c>
      <c r="Z3" s="426">
        <f>SUMPRODUCT(($AF$4:$AF$106),('ANALYSE - ERP =&gt; SEGMENT'!$EZ$8:$EZ$110))</f>
        <v>478639.65725499997</v>
      </c>
      <c r="AA3" s="426">
        <f>SUMPRODUCT(($AF$4:$AF$106),('ANALYSE - ERP =&gt; SEGMENT'!$GG$8:$GG$110))</f>
        <v>124676.22011010004</v>
      </c>
      <c r="AB3" s="426">
        <f>SUMPRODUCT(($AF$4:$AF$106),('ANALYSE - ERP =&gt; SEGMENT'!$GJ$8:$GJ$110))</f>
        <v>261281.5903603</v>
      </c>
      <c r="AC3" s="426">
        <f>SUMPRODUCT(($AF$4:$AF$106),('ANALYSE - ERP =&gt; SEGMENT'!$GM$8:$GM$110))</f>
        <v>64318.532885950015</v>
      </c>
      <c r="AD3" s="426">
        <f>SUMPRODUCT(($AF$4:$AF$106),('ANALYSE - ERP =&gt; SEGMENT'!$GP$8:$GP$110))</f>
        <v>28363.313898649998</v>
      </c>
      <c r="AF3" s="428">
        <f>SUM('ANALYSE - ERP =&gt; SEGMENT'!$Q$8:$Q$110)</f>
        <v>34</v>
      </c>
    </row>
    <row r="4" spans="1:32" ht="15" customHeight="1">
      <c r="A4" s="26">
        <v>1</v>
      </c>
      <c r="B4" s="26">
        <v>1</v>
      </c>
      <c r="C4" s="26">
        <v>1</v>
      </c>
      <c r="D4" s="491" t="s">
        <v>2187</v>
      </c>
      <c r="E4" s="492" t="s">
        <v>3877</v>
      </c>
      <c r="F4" s="492" t="s">
        <v>7981</v>
      </c>
      <c r="G4" s="408" t="str">
        <f>'ANALYSE - ERP =&gt; SEGMENT'!$D$19</f>
        <v>Cafés / bars / brasseries
Fast-food / cafétérias / food courts
Restaurants
(Hors établissements altitude, flottant, armée)</v>
      </c>
      <c r="I4" s="427">
        <f t="shared" ref="I4:I34" si="2">N4/5</f>
        <v>85849.087803691204</v>
      </c>
      <c r="K4" s="787">
        <f t="shared" si="0"/>
        <v>0.82062910720481874</v>
      </c>
      <c r="L4" s="787">
        <f t="shared" si="1"/>
        <v>0.17937089279518129</v>
      </c>
      <c r="N4" s="424">
        <f>'ANALYSE - ERP =&gt; SEGMENT'!$EX$19</f>
        <v>429245.43901845603</v>
      </c>
      <c r="O4" s="427">
        <f>'ANALYSE - ERP =&gt; SEGMENT'!$GE$19</f>
        <v>117614.40288947501</v>
      </c>
      <c r="P4" s="427">
        <f>'ANALYSE - ERP =&gt; SEGMENT'!$GH$19</f>
        <v>220457.85697664774</v>
      </c>
      <c r="Q4" s="427">
        <f>'ANALYSE - ERP =&gt; SEGMENT'!$GK$19</f>
        <v>69680.063981250001</v>
      </c>
      <c r="R4" s="427">
        <f>'ANALYSE - ERP =&gt; SEGMENT'!$GN$19</f>
        <v>21493.115171083336</v>
      </c>
      <c r="T4" s="424">
        <f>'ANALYSE - ERP =&gt; SEGMENT'!$EY$19</f>
        <v>352251.30139345606</v>
      </c>
      <c r="U4" s="427">
        <f>'ANALYSE - ERP =&gt; SEGMENT'!$GF$19</f>
        <v>100430.014679475</v>
      </c>
      <c r="V4" s="427">
        <f>'ANALYSE - ERP =&gt; SEGMENT'!$GI$19</f>
        <v>177153.76627164771</v>
      </c>
      <c r="W4" s="427">
        <f>'ANALYSE - ERP =&gt; SEGMENT'!$GL$19</f>
        <v>56141.655960000004</v>
      </c>
      <c r="X4" s="427">
        <f>'ANALYSE - ERP =&gt; SEGMENT'!$GO$19</f>
        <v>18525.864482333334</v>
      </c>
      <c r="Z4" s="427">
        <f>'ANALYSE - ERP =&gt; SEGMENT'!$EZ$19</f>
        <v>76994.137625000003</v>
      </c>
      <c r="AA4" s="427">
        <f>'ANALYSE - ERP =&gt; SEGMENT'!$GG$19</f>
        <v>17184.388210000001</v>
      </c>
      <c r="AB4" s="427">
        <f>'ANALYSE - ERP =&gt; SEGMENT'!$GJ$19</f>
        <v>43304.09070500001</v>
      </c>
      <c r="AC4" s="427">
        <f>'ANALYSE - ERP =&gt; SEGMENT'!$GM$19</f>
        <v>13538.408021250001</v>
      </c>
      <c r="AD4" s="427">
        <f>'ANALYSE - ERP =&gt; SEGMENT'!$GP$19</f>
        <v>2967.2506887500003</v>
      </c>
      <c r="AF4" s="430">
        <f>'ANALYSE - ERP =&gt; SEGMENT'!$Q$19</f>
        <v>1</v>
      </c>
    </row>
    <row r="5" spans="1:32" ht="15" customHeight="1">
      <c r="A5" s="26">
        <v>2</v>
      </c>
      <c r="B5" s="26">
        <v>2</v>
      </c>
      <c r="C5" s="26">
        <v>4</v>
      </c>
      <c r="D5" s="493" t="s">
        <v>2241</v>
      </c>
      <c r="E5" s="494" t="s">
        <v>1032</v>
      </c>
      <c r="F5" s="494" t="s">
        <v>7982</v>
      </c>
      <c r="G5" s="416" t="str">
        <f>'ANALYSE - ERP =&gt; SEGMENT'!$D$14</f>
        <v>Établissements médico-éducatifs
Foyers pour personnes handicapées
EHPAD
USLD
Résidences autonomie
Foyers-logements
(Public)
Résidences services seniors
(Privé)</v>
      </c>
      <c r="I5" s="427">
        <f t="shared" si="2"/>
        <v>58431.916199645217</v>
      </c>
      <c r="K5" s="787">
        <f t="shared" si="0"/>
        <v>0.81434918408399093</v>
      </c>
      <c r="L5" s="787">
        <f t="shared" si="1"/>
        <v>0.18565081591600904</v>
      </c>
      <c r="N5" s="424">
        <f>'ANALYSE - ERP =&gt; SEGMENT'!$EX$14</f>
        <v>292159.58099822607</v>
      </c>
      <c r="O5" s="427">
        <f>'ANALYSE - ERP =&gt; SEGMENT'!$GE$14</f>
        <v>161619.11631005714</v>
      </c>
      <c r="P5" s="427">
        <f>'ANALYSE - ERP =&gt; SEGMENT'!$GH$14</f>
        <v>47069.58790954615</v>
      </c>
      <c r="Q5" s="427">
        <f>'ANALYSE - ERP =&gt; SEGMENT'!$GK$14</f>
        <v>36957.584923999995</v>
      </c>
      <c r="R5" s="427">
        <f>'ANALYSE - ERP =&gt; SEGMENT'!$GN$14</f>
        <v>46513.291854622716</v>
      </c>
      <c r="T5" s="424">
        <f>'ANALYSE - ERP =&gt; SEGMENT'!$EY$14</f>
        <v>237919.91640822607</v>
      </c>
      <c r="U5" s="427">
        <f>'ANALYSE - ERP =&gt; SEGMENT'!$GF$14</f>
        <v>130988.75840185717</v>
      </c>
      <c r="V5" s="427">
        <f>'ANALYSE - ERP =&gt; SEGMENT'!$GI$14</f>
        <v>38086.774523846158</v>
      </c>
      <c r="W5" s="427">
        <f>'ANALYSE - ERP =&gt; SEGMENT'!$GL$14</f>
        <v>30350.013796000003</v>
      </c>
      <c r="X5" s="427">
        <f>'ANALYSE - ERP =&gt; SEGMENT'!$GO$14</f>
        <v>38494.369686522725</v>
      </c>
      <c r="Z5" s="427">
        <f>'ANALYSE - ERP =&gt; SEGMENT'!$EZ$14</f>
        <v>54239.66459</v>
      </c>
      <c r="AA5" s="427">
        <f>'ANALYSE - ERP =&gt; SEGMENT'!$GG$14</f>
        <v>30630.3579082</v>
      </c>
      <c r="AB5" s="427">
        <f>'ANALYSE - ERP =&gt; SEGMENT'!$GJ$14</f>
        <v>8982.8133856999993</v>
      </c>
      <c r="AC5" s="427">
        <f>'ANALYSE - ERP =&gt; SEGMENT'!$GM$14</f>
        <v>6607.5711279999996</v>
      </c>
      <c r="AD5" s="427">
        <f>'ANALYSE - ERP =&gt; SEGMENT'!$GP$14</f>
        <v>8018.9221681000008</v>
      </c>
      <c r="AF5" s="430">
        <f>'ANALYSE - ERP =&gt; SEGMENT'!$Q$14</f>
        <v>1</v>
      </c>
    </row>
    <row r="6" spans="1:32" ht="15" customHeight="1">
      <c r="A6" s="26">
        <v>3</v>
      </c>
      <c r="B6" s="26">
        <v>3</v>
      </c>
      <c r="C6" s="26">
        <v>3</v>
      </c>
      <c r="D6" s="497" t="s">
        <v>6739</v>
      </c>
      <c r="E6" s="498" t="s">
        <v>2678</v>
      </c>
      <c r="F6" s="498" t="s">
        <v>7984</v>
      </c>
      <c r="G6" s="409" t="str">
        <f>'ANALYSE - ERP =&gt; SEGMENT'!$D$9</f>
        <v>Écoles maternelles
Écoles primaires 
Collèges (vestiaires EPS inclus)
Lycées (vestiaires EPS inclus)
Internats scolaires</v>
      </c>
      <c r="I6" s="427">
        <f t="shared" si="2"/>
        <v>57131.641512869603</v>
      </c>
      <c r="K6" s="787">
        <f t="shared" si="0"/>
        <v>0.74487051325636111</v>
      </c>
      <c r="L6" s="787">
        <f t="shared" si="1"/>
        <v>0.255129486743639</v>
      </c>
      <c r="N6" s="424">
        <f>'ANALYSE - ERP =&gt; SEGMENT'!$EX$9</f>
        <v>285658.20756434801</v>
      </c>
      <c r="O6" s="427">
        <f>'ANALYSE - ERP =&gt; SEGMENT'!$GE$9</f>
        <v>54058.075830672155</v>
      </c>
      <c r="P6" s="427">
        <f>'ANALYSE - ERP =&gt; SEGMENT'!$GH$9</f>
        <v>207323.71992079722</v>
      </c>
      <c r="Q6" s="427">
        <f>'ANALYSE - ERP =&gt; SEGMENT'!$GK$9</f>
        <v>14028.762438198799</v>
      </c>
      <c r="R6" s="427">
        <f>'ANALYSE - ERP =&gt; SEGMENT'!$GN$9</f>
        <v>10247.649374679841</v>
      </c>
      <c r="T6" s="424">
        <f>'ANALYSE - ERP =&gt; SEGMENT'!$EY$9</f>
        <v>212778.37568434802</v>
      </c>
      <c r="U6" s="427">
        <f>'ANALYSE - ERP =&gt; SEGMENT'!$GF$9</f>
        <v>41814.272894672169</v>
      </c>
      <c r="V6" s="427">
        <f>'ANALYSE - ERP =&gt; SEGMENT'!$GI$9</f>
        <v>153597.13975239723</v>
      </c>
      <c r="W6" s="427">
        <f>'ANALYSE - ERP =&gt; SEGMENT'!$GL$9</f>
        <v>9297.5993027988006</v>
      </c>
      <c r="X6" s="427">
        <f>'ANALYSE - ERP =&gt; SEGMENT'!$GO$9</f>
        <v>8069.3637344798399</v>
      </c>
      <c r="Z6" s="427">
        <f>'ANALYSE - ERP =&gt; SEGMENT'!$EZ$9</f>
        <v>72879.831879999998</v>
      </c>
      <c r="AA6" s="427">
        <f>'ANALYSE - ERP =&gt; SEGMENT'!$GG$9</f>
        <v>12243.802936</v>
      </c>
      <c r="AB6" s="427">
        <f>'ANALYSE - ERP =&gt; SEGMENT'!$GJ$9</f>
        <v>53726.580168400003</v>
      </c>
      <c r="AC6" s="427">
        <f>'ANALYSE - ERP =&gt; SEGMENT'!$GM$9</f>
        <v>4731.1631354000001</v>
      </c>
      <c r="AD6" s="427">
        <f>'ANALYSE - ERP =&gt; SEGMENT'!$GP$9</f>
        <v>2178.2856401999998</v>
      </c>
      <c r="AF6" s="430">
        <f>'ANALYSE - ERP =&gt; SEGMENT'!$Q$9</f>
        <v>1</v>
      </c>
    </row>
    <row r="7" spans="1:32" ht="15" customHeight="1">
      <c r="A7" s="26">
        <v>4</v>
      </c>
      <c r="B7" s="26">
        <v>4</v>
      </c>
      <c r="C7" s="26">
        <v>7</v>
      </c>
      <c r="D7" s="499" t="s">
        <v>3662</v>
      </c>
      <c r="E7" s="500" t="s">
        <v>1114</v>
      </c>
      <c r="F7" s="500" t="s">
        <v>7985</v>
      </c>
      <c r="G7" s="415" t="str">
        <f>'ANALYSE - ERP =&gt; SEGMENT'!$D$16</f>
        <v>Cinémas
Théâtres
Musées
Salles de spectacle / auditoriums
Salles de conférence / réunion
Salles polyvalentes / salles des fêtes
Bibliothèques / médiathèques</v>
      </c>
      <c r="I7" s="427">
        <f t="shared" si="2"/>
        <v>30066.203963369626</v>
      </c>
      <c r="K7" s="787">
        <f t="shared" si="0"/>
        <v>0.80630879564660107</v>
      </c>
      <c r="L7" s="787">
        <f t="shared" si="1"/>
        <v>0.19369120435339893</v>
      </c>
      <c r="N7" s="424">
        <f>'ANALYSE - ERP =&gt; SEGMENT'!$EX$16</f>
        <v>150331.01981684813</v>
      </c>
      <c r="O7" s="427">
        <f>'ANALYSE - ERP =&gt; SEGMENT'!$GE$16</f>
        <v>31793.75882293846</v>
      </c>
      <c r="P7" s="427">
        <f>'ANALYSE - ERP =&gt; SEGMENT'!$GH$16</f>
        <v>89111.059613276928</v>
      </c>
      <c r="Q7" s="427">
        <f>'ANALYSE - ERP =&gt; SEGMENT'!$GK$16</f>
        <v>21609.839173960001</v>
      </c>
      <c r="R7" s="427">
        <f>'ANALYSE - ERP =&gt; SEGMENT'!$GN$16</f>
        <v>7816.3622066727276</v>
      </c>
      <c r="T7" s="424">
        <f>'ANALYSE - ERP =&gt; SEGMENT'!$EY$16</f>
        <v>121213.22353684813</v>
      </c>
      <c r="U7" s="427">
        <f>'ANALYSE - ERP =&gt; SEGMENT'!$GF$16</f>
        <v>26272.427270138462</v>
      </c>
      <c r="V7" s="427">
        <f>'ANALYSE - ERP =&gt; SEGMENT'!$GI$16</f>
        <v>71027.270988476928</v>
      </c>
      <c r="W7" s="427">
        <f>'ANALYSE - ERP =&gt; SEGMENT'!$GL$16</f>
        <v>17328.062611959998</v>
      </c>
      <c r="X7" s="427">
        <f>'ANALYSE - ERP =&gt; SEGMENT'!$GO$16</f>
        <v>6585.4626662727269</v>
      </c>
      <c r="Z7" s="427">
        <f>'ANALYSE - ERP =&gt; SEGMENT'!$EZ$16</f>
        <v>29117.796279999995</v>
      </c>
      <c r="AA7" s="427">
        <f>'ANALYSE - ERP =&gt; SEGMENT'!$GG$16</f>
        <v>5521.3315527999994</v>
      </c>
      <c r="AB7" s="427">
        <f>'ANALYSE - ERP =&gt; SEGMENT'!$GJ$16</f>
        <v>18083.7886248</v>
      </c>
      <c r="AC7" s="427">
        <f>'ANALYSE - ERP =&gt; SEGMENT'!$GM$16</f>
        <v>4281.7765620000009</v>
      </c>
      <c r="AD7" s="427">
        <f>'ANALYSE - ERP =&gt; SEGMENT'!$GP$16</f>
        <v>1230.8995404</v>
      </c>
      <c r="AF7" s="430">
        <f>'ANALYSE - ERP =&gt; SEGMENT'!$Q$16</f>
        <v>1</v>
      </c>
    </row>
    <row r="8" spans="1:32" ht="15" customHeight="1">
      <c r="A8" s="26">
        <v>5</v>
      </c>
      <c r="B8" s="26">
        <v>6</v>
      </c>
      <c r="C8" s="26">
        <v>2</v>
      </c>
      <c r="D8" s="501" t="s">
        <v>2264</v>
      </c>
      <c r="E8" s="502" t="s">
        <v>4024</v>
      </c>
      <c r="F8" s="502" t="s">
        <v>679</v>
      </c>
      <c r="G8" s="414" t="str">
        <f>'ANALYSE - ERP =&gt; SEGMENT'!$D$22</f>
        <v>Bureaux (&gt;50 personnes, tertiaire privé + logistique hors usines)</v>
      </c>
      <c r="I8" s="427">
        <f t="shared" si="2"/>
        <v>40611.973685179488</v>
      </c>
      <c r="K8" s="787">
        <f t="shared" si="0"/>
        <v>0.85843436114265792</v>
      </c>
      <c r="L8" s="787">
        <f t="shared" si="1"/>
        <v>0.14156563885734208</v>
      </c>
      <c r="N8" s="424">
        <f>'ANALYSE - ERP =&gt; SEGMENT'!$EX$22</f>
        <v>203059.86842589744</v>
      </c>
      <c r="O8" s="427">
        <f>'ANALYSE - ERP =&gt; SEGMENT'!$GE$22</f>
        <v>82046.364569230776</v>
      </c>
      <c r="P8" s="427">
        <f>'ANALYSE - ERP =&gt; SEGMENT'!$GH$22</f>
        <v>62372.950749999996</v>
      </c>
      <c r="Q8" s="427">
        <f>'ANALYSE - ERP =&gt; SEGMENT'!$GK$22</f>
        <v>48046.474190000001</v>
      </c>
      <c r="R8" s="427">
        <f>'ANALYSE - ERP =&gt; SEGMENT'!$GN$22</f>
        <v>10594.078916666667</v>
      </c>
      <c r="T8" s="424">
        <f>'ANALYSE - ERP =&gt; SEGMENT'!$EY$22</f>
        <v>174313.56842589745</v>
      </c>
      <c r="U8" s="427">
        <f>'ANALYSE - ERP =&gt; SEGMENT'!$GF$22</f>
        <v>71697.696569230771</v>
      </c>
      <c r="V8" s="427">
        <f>'ANALYSE - ERP =&gt; SEGMENT'!$GI$22</f>
        <v>52024.282749999998</v>
      </c>
      <c r="W8" s="427">
        <f>'ANALYSE - ERP =&gt; SEGMENT'!$GL$22</f>
        <v>41147.36219</v>
      </c>
      <c r="X8" s="427">
        <f>'ANALYSE - ERP =&gt; SEGMENT'!$GO$22</f>
        <v>9444.2269166666665</v>
      </c>
      <c r="Z8" s="427">
        <f>'ANALYSE - ERP =&gt; SEGMENT'!$EZ$22</f>
        <v>28746.3</v>
      </c>
      <c r="AA8" s="427">
        <f>'ANALYSE - ERP =&gt; SEGMENT'!$GG$22</f>
        <v>10348.668</v>
      </c>
      <c r="AB8" s="427">
        <f>'ANALYSE - ERP =&gt; SEGMENT'!$GJ$22</f>
        <v>10348.668</v>
      </c>
      <c r="AC8" s="427">
        <f>'ANALYSE - ERP =&gt; SEGMENT'!$GM$22</f>
        <v>6899.1119999999992</v>
      </c>
      <c r="AD8" s="427">
        <f>'ANALYSE - ERP =&gt; SEGMENT'!$GP$22</f>
        <v>1149.8520000000001</v>
      </c>
      <c r="AF8" s="430">
        <f>'ANALYSE - ERP =&gt; SEGMENT'!$Q$22</f>
        <v>1</v>
      </c>
    </row>
    <row r="9" spans="1:32" ht="15" customHeight="1">
      <c r="A9" s="26">
        <v>6</v>
      </c>
      <c r="B9" s="26">
        <v>5</v>
      </c>
      <c r="C9" s="26">
        <v>5</v>
      </c>
      <c r="D9" s="495" t="s">
        <v>1670</v>
      </c>
      <c r="E9" s="496" t="s">
        <v>1671</v>
      </c>
      <c r="F9" s="496" t="s">
        <v>7983</v>
      </c>
      <c r="G9" s="408" t="str">
        <f>'ANALYSE - ERP =&gt; SEGMENT'!$D$30</f>
        <v>Gymnases / salles multisports
Piscines couvertes
Salles de fitness / dojos
Patinoires couvertes
Établissements thermaux
Centres de thalassothérapie / balnéothérapie / grands spas ouverts au public</v>
      </c>
      <c r="I9" s="427">
        <f t="shared" si="2"/>
        <v>40011.403234169695</v>
      </c>
      <c r="K9" s="787">
        <f t="shared" si="0"/>
        <v>0.78612364405425528</v>
      </c>
      <c r="L9" s="787">
        <f t="shared" si="1"/>
        <v>0.21387635594574472</v>
      </c>
      <c r="N9" s="424">
        <f>'ANALYSE - ERP =&gt; SEGMENT'!$EX$30</f>
        <v>200057.01617084848</v>
      </c>
      <c r="O9" s="427">
        <f>'ANALYSE - ERP =&gt; SEGMENT'!$GE$30</f>
        <v>21048.169015200005</v>
      </c>
      <c r="P9" s="427">
        <f>'ANALYSE - ERP =&gt; SEGMENT'!$GH$30</f>
        <v>150377.2259381818</v>
      </c>
      <c r="Q9" s="427">
        <f>'ANALYSE - ERP =&gt; SEGMENT'!$GK$30</f>
        <v>18725.212556399998</v>
      </c>
      <c r="R9" s="427">
        <f>'ANALYSE - ERP =&gt; SEGMENT'!$GN$30</f>
        <v>9906.4086610666691</v>
      </c>
      <c r="T9" s="424">
        <f>'ANALYSE - ERP =&gt; SEGMENT'!$EY$30</f>
        <v>157269.55057084849</v>
      </c>
      <c r="U9" s="427">
        <f>'ANALYSE - ERP =&gt; SEGMENT'!$GF$30</f>
        <v>17383.353335200001</v>
      </c>
      <c r="V9" s="427">
        <f>'ANALYSE - ERP =&gt; SEGMENT'!$GI$30</f>
        <v>116788.04071418181</v>
      </c>
      <c r="W9" s="427">
        <f>'ANALYSE - ERP =&gt; SEGMENT'!$GL$30</f>
        <v>14729.659484399999</v>
      </c>
      <c r="X9" s="427">
        <f>'ANALYSE - ERP =&gt; SEGMENT'!$GO$30</f>
        <v>8368.497037066667</v>
      </c>
      <c r="Z9" s="427">
        <f>'ANALYSE - ERP =&gt; SEGMENT'!$EZ$30</f>
        <v>42787.465599999996</v>
      </c>
      <c r="AA9" s="427">
        <f>'ANALYSE - ERP =&gt; SEGMENT'!$GG$30</f>
        <v>3664.8156799999997</v>
      </c>
      <c r="AB9" s="427">
        <f>'ANALYSE - ERP =&gt; SEGMENT'!$GJ$30</f>
        <v>33589.185223999993</v>
      </c>
      <c r="AC9" s="427">
        <f>'ANALYSE - ERP =&gt; SEGMENT'!$GM$30</f>
        <v>3995.5530720000002</v>
      </c>
      <c r="AD9" s="427">
        <f>'ANALYSE - ERP =&gt; SEGMENT'!$GP$30</f>
        <v>1537.9116239999998</v>
      </c>
      <c r="AF9" s="430">
        <f>'ANALYSE - ERP =&gt; SEGMENT'!$Q$30</f>
        <v>1</v>
      </c>
    </row>
    <row r="10" spans="1:32" ht="15" customHeight="1">
      <c r="A10" s="26">
        <v>7</v>
      </c>
      <c r="B10" s="26">
        <v>7</v>
      </c>
      <c r="C10" s="26">
        <v>9</v>
      </c>
      <c r="D10" s="503" t="s">
        <v>2278</v>
      </c>
      <c r="E10" s="504" t="s">
        <v>1527</v>
      </c>
      <c r="F10" s="504" t="s">
        <v>7987</v>
      </c>
      <c r="G10" s="411" t="str">
        <f>'ANALYSE - ERP =&gt; SEGMENT'!$D$27</f>
        <v>Mairies / hôtels de ville
Préfectures / services administratifs
Maisons France Services
Guichets publics</v>
      </c>
      <c r="I10" s="427">
        <f t="shared" si="2"/>
        <v>12162.230756230243</v>
      </c>
      <c r="K10" s="787">
        <f t="shared" si="0"/>
        <v>0.8687051420084263</v>
      </c>
      <c r="L10" s="787">
        <f t="shared" si="1"/>
        <v>0.13129485799157373</v>
      </c>
      <c r="N10" s="424">
        <f>'ANALYSE - ERP =&gt; SEGMENT'!$EX$27</f>
        <v>60811.153781151217</v>
      </c>
      <c r="O10" s="427">
        <f>'ANALYSE - ERP =&gt; SEGMENT'!$GE$27</f>
        <v>19582.336215361542</v>
      </c>
      <c r="P10" s="427">
        <f>'ANALYSE - ERP =&gt; SEGMENT'!$GH$27</f>
        <v>27454.68006052967</v>
      </c>
      <c r="Q10" s="427">
        <f>'ANALYSE - ERP =&gt; SEGMENT'!$GK$27</f>
        <v>11312.020346260002</v>
      </c>
      <c r="R10" s="427">
        <f>'ANALYSE - ERP =&gt; SEGMENT'!$GN$27</f>
        <v>2462.1171589999999</v>
      </c>
      <c r="T10" s="424">
        <f>'ANALYSE - ERP =&gt; SEGMENT'!$EY$27</f>
        <v>52826.961981151217</v>
      </c>
      <c r="U10" s="427">
        <f>'ANALYSE - ERP =&gt; SEGMENT'!$GF$27</f>
        <v>17330.43854536154</v>
      </c>
      <c r="V10" s="427">
        <f>'ANALYSE - ERP =&gt; SEGMENT'!$GI$27</f>
        <v>23511.660418529671</v>
      </c>
      <c r="W10" s="427">
        <f>'ANALYSE - ERP =&gt; SEGMENT'!$GL$27</f>
        <v>9762.2716122599977</v>
      </c>
      <c r="X10" s="427">
        <f>'ANALYSE - ERP =&gt; SEGMENT'!$GO$27</f>
        <v>2222.5914050000001</v>
      </c>
      <c r="Z10" s="427">
        <f>'ANALYSE - ERP =&gt; SEGMENT'!$EZ$27</f>
        <v>7984.1918000000005</v>
      </c>
      <c r="AA10" s="427">
        <f>'ANALYSE - ERP =&gt; SEGMENT'!$GG$27</f>
        <v>2251.8976699999998</v>
      </c>
      <c r="AB10" s="427">
        <f>'ANALYSE - ERP =&gt; SEGMENT'!$GJ$27</f>
        <v>3943.0196420000002</v>
      </c>
      <c r="AC10" s="427">
        <f>'ANALYSE - ERP =&gt; SEGMENT'!$GM$27</f>
        <v>1549.7487339999993</v>
      </c>
      <c r="AD10" s="427">
        <f>'ANALYSE - ERP =&gt; SEGMENT'!$GP$27</f>
        <v>239.52575400000001</v>
      </c>
      <c r="AF10" s="430">
        <f>'ANALYSE - ERP =&gt; SEGMENT'!$Q$27</f>
        <v>1</v>
      </c>
    </row>
    <row r="11" spans="1:32" s="45" customFormat="1" ht="15" customHeight="1">
      <c r="A11" s="26">
        <v>8</v>
      </c>
      <c r="B11" s="26">
        <v>8</v>
      </c>
      <c r="C11" s="26">
        <v>6</v>
      </c>
      <c r="D11" s="495" t="s">
        <v>1670</v>
      </c>
      <c r="E11" s="496" t="s">
        <v>1747</v>
      </c>
      <c r="F11" s="496" t="s">
        <v>7986</v>
      </c>
      <c r="G11" s="410" t="str">
        <f>'ANALYSE - ERP =&gt; SEGMENT'!$D$31</f>
        <v>Grands stades avec tribunes
(Type football/rugby) 
Stades 
(Type athlétisme - Hors scolaire)
Terrains de sport
(Hors scolaire)
Hippodromes
Piscines extérieures 
(Hors campings, hôtels, résidences et établissement avec bassin intérieur)
Bases nautiques / centres nautiques avec vestiaires-douches
Bases de loisirs avec plages, douches et sanitaires</v>
      </c>
      <c r="H11" s="685"/>
      <c r="I11" s="427">
        <f t="shared" si="2"/>
        <v>31943.284842456975</v>
      </c>
      <c r="J11" s="685"/>
      <c r="K11" s="787">
        <f t="shared" si="0"/>
        <v>0.80180353926578085</v>
      </c>
      <c r="L11" s="787">
        <f t="shared" si="1"/>
        <v>0.19819646073421912</v>
      </c>
      <c r="M11" s="685"/>
      <c r="N11" s="424">
        <f>'ANALYSE - ERP =&gt; SEGMENT'!$EX$31</f>
        <v>159716.42421228488</v>
      </c>
      <c r="O11" s="427">
        <f>'ANALYSE - ERP =&gt; SEGMENT'!$GE$31</f>
        <v>15574.671178000001</v>
      </c>
      <c r="P11" s="427">
        <f>'ANALYSE - ERP =&gt; SEGMENT'!$GH$31</f>
        <v>118549.60856581817</v>
      </c>
      <c r="Q11" s="427">
        <f>'ANALYSE - ERP =&gt; SEGMENT'!$GK$31</f>
        <v>15434.606239000001</v>
      </c>
      <c r="R11" s="427">
        <f>'ANALYSE - ERP =&gt; SEGMENT'!$GN$31</f>
        <v>10157.538229466667</v>
      </c>
      <c r="S11" s="685"/>
      <c r="T11" s="424">
        <f>'ANALYSE - ERP =&gt; SEGMENT'!$EY$31</f>
        <v>128061.19421228487</v>
      </c>
      <c r="U11" s="427">
        <f>'ANALYSE - ERP =&gt; SEGMENT'!$GF$31</f>
        <v>13091.528948000001</v>
      </c>
      <c r="V11" s="427">
        <f>'ANALYSE - ERP =&gt; SEGMENT'!$GI$31</f>
        <v>94195.976745818174</v>
      </c>
      <c r="W11" s="427">
        <f>'ANALYSE - ERP =&gt; SEGMENT'!$GL$31</f>
        <v>12515.464089000001</v>
      </c>
      <c r="X11" s="427">
        <f>'ANALYSE - ERP =&gt; SEGMENT'!$GO$31</f>
        <v>8258.2244294666671</v>
      </c>
      <c r="Y11" s="685"/>
      <c r="Z11" s="427">
        <f>'ANALYSE - ERP =&gt; SEGMENT'!$EZ$31</f>
        <v>31655.230000000003</v>
      </c>
      <c r="AA11" s="427">
        <f>'ANALYSE - ERP =&gt; SEGMENT'!$GG$31</f>
        <v>2483.1422299999999</v>
      </c>
      <c r="AB11" s="427">
        <f>'ANALYSE - ERP =&gt; SEGMENT'!$GJ$31</f>
        <v>24353.631819999999</v>
      </c>
      <c r="AC11" s="427">
        <f>'ANALYSE - ERP =&gt; SEGMENT'!$GM$31</f>
        <v>2919.1421500000001</v>
      </c>
      <c r="AD11" s="427">
        <f>'ANALYSE - ERP =&gt; SEGMENT'!$GP$31</f>
        <v>1899.3138000000001</v>
      </c>
      <c r="AE11" s="685"/>
      <c r="AF11" s="430">
        <f>'ANALYSE - ERP =&gt; SEGMENT'!$Q$31</f>
        <v>1</v>
      </c>
    </row>
    <row r="12" spans="1:32" ht="15" customHeight="1">
      <c r="A12" s="26">
        <v>9</v>
      </c>
      <c r="B12" s="26">
        <v>9</v>
      </c>
      <c r="C12" s="26">
        <v>8</v>
      </c>
      <c r="D12" s="493" t="s">
        <v>2241</v>
      </c>
      <c r="E12" s="494" t="s">
        <v>1053</v>
      </c>
      <c r="F12" s="494" t="s">
        <v>7988</v>
      </c>
      <c r="G12" s="408" t="str">
        <f>'ANALYSE - ERP =&gt; SEGMENT'!$D$13</f>
        <v>Hôpitaux universitaires / CHU
Hôpitaux publics 
(Hors CHU, Universitaire, Militaire, Carcéral)
Hôpitaux privés
Cliniques</v>
      </c>
      <c r="I12" s="427">
        <f t="shared" si="2"/>
        <v>27542.781696263635</v>
      </c>
      <c r="K12" s="787">
        <f t="shared" si="0"/>
        <v>0.82578784224067969</v>
      </c>
      <c r="L12" s="787">
        <f t="shared" si="1"/>
        <v>0.17421215775932028</v>
      </c>
      <c r="N12" s="424">
        <f>'ANALYSE - ERP =&gt; SEGMENT'!$EX$13</f>
        <v>137713.90848131818</v>
      </c>
      <c r="O12" s="427">
        <f>'ANALYSE - ERP =&gt; SEGMENT'!$GE$13</f>
        <v>58550.815024000003</v>
      </c>
      <c r="P12" s="427">
        <f>'ANALYSE - ERP =&gt; SEGMENT'!$GH$13</f>
        <v>32651.535351818187</v>
      </c>
      <c r="Q12" s="427">
        <f>'ANALYSE - ERP =&gt; SEGMENT'!$GK$13</f>
        <v>32150.208380500004</v>
      </c>
      <c r="R12" s="427">
        <f>'ANALYSE - ERP =&gt; SEGMENT'!$GN$13</f>
        <v>14361.349725</v>
      </c>
      <c r="T12" s="424">
        <f>'ANALYSE - ERP =&gt; SEGMENT'!$EY$13</f>
        <v>113722.47133131819</v>
      </c>
      <c r="U12" s="427">
        <f>'ANALYSE - ERP =&gt; SEGMENT'!$GF$13</f>
        <v>47990.648887500007</v>
      </c>
      <c r="V12" s="427">
        <f>'ANALYSE - ERP =&gt; SEGMENT'!$GI$13</f>
        <v>26739.424581818184</v>
      </c>
      <c r="W12" s="427">
        <f>'ANALYSE - ERP =&gt; SEGMENT'!$GL$13</f>
        <v>27039.525600000004</v>
      </c>
      <c r="X12" s="427">
        <f>'ANALYSE - ERP =&gt; SEGMENT'!$GO$13</f>
        <v>11952.872262000001</v>
      </c>
      <c r="Z12" s="427">
        <f>'ANALYSE - ERP =&gt; SEGMENT'!$EZ$13</f>
        <v>23991.437149999998</v>
      </c>
      <c r="AA12" s="427">
        <f>'ANALYSE - ERP =&gt; SEGMENT'!$GG$13</f>
        <v>10560.1661365</v>
      </c>
      <c r="AB12" s="427">
        <f>'ANALYSE - ERP =&gt; SEGMENT'!$GJ$13</f>
        <v>5912.1107700000011</v>
      </c>
      <c r="AC12" s="427">
        <f>'ANALYSE - ERP =&gt; SEGMENT'!$GM$13</f>
        <v>5110.6827804999994</v>
      </c>
      <c r="AD12" s="427">
        <f>'ANALYSE - ERP =&gt; SEGMENT'!$GP$13</f>
        <v>2408.4774630000002</v>
      </c>
      <c r="AF12" s="430">
        <f>'ANALYSE - ERP =&gt; SEGMENT'!$Q$13</f>
        <v>1</v>
      </c>
    </row>
    <row r="13" spans="1:32" ht="15" customHeight="1">
      <c r="A13" s="26">
        <v>10</v>
      </c>
      <c r="B13" s="26">
        <v>10</v>
      </c>
      <c r="C13" s="26">
        <v>13</v>
      </c>
      <c r="D13" s="503" t="s">
        <v>2278</v>
      </c>
      <c r="E13" s="504" t="s">
        <v>4578</v>
      </c>
      <c r="F13" s="504" t="s">
        <v>7989</v>
      </c>
      <c r="G13" s="415" t="str">
        <f>'ANALYSE - ERP =&gt; SEGMENT'!$D$28</f>
        <v>Églises, cathédrales, basiliques et chapelles ouvertes au public
Monastères, abbayes et couvents ouverts au public
Temples protestants, évangéliques et salles de culte assimilées
Mosquées et salles de prière musulmanes
Synagogues et oratoires juifs ouverts au public
Temples bouddhistes, hindous et autres lieux de culte non abrahamiques ouverts au public
Salles du Royaume, centres cultuels pluriconfessionnels et lieux de culte polyvalents</v>
      </c>
      <c r="I13" s="427">
        <f t="shared" si="2"/>
        <v>3759.431998921079</v>
      </c>
      <c r="K13" s="787">
        <f t="shared" si="0"/>
        <v>0.79748025759782248</v>
      </c>
      <c r="L13" s="787">
        <f t="shared" si="1"/>
        <v>0.20251974240217749</v>
      </c>
      <c r="N13" s="424">
        <f>'ANALYSE - ERP =&gt; SEGMENT'!$EX$28</f>
        <v>18797.159994605394</v>
      </c>
      <c r="O13" s="427">
        <f>'ANALYSE - ERP =&gt; SEGMENT'!$GE$28</f>
        <v>3833.6551761538458</v>
      </c>
      <c r="P13" s="427">
        <f>'ANALYSE - ERP =&gt; SEGMENT'!$GH$28</f>
        <v>11731.474708451547</v>
      </c>
      <c r="Q13" s="427">
        <f>'ANALYSE - ERP =&gt; SEGMENT'!$GK$28</f>
        <v>2202.8369500000003</v>
      </c>
      <c r="R13" s="427">
        <f>'ANALYSE - ERP =&gt; SEGMENT'!$GN$28</f>
        <v>1029.1931599999998</v>
      </c>
      <c r="T13" s="424">
        <f>'ANALYSE - ERP =&gt; SEGMENT'!$EY$28</f>
        <v>14990.363994605394</v>
      </c>
      <c r="U13" s="427">
        <f>'ANALYSE - ERP =&gt; SEGMENT'!$GF$28</f>
        <v>3157.7530461538458</v>
      </c>
      <c r="V13" s="427">
        <f>'ANALYSE - ERP =&gt; SEGMENT'!$GI$28</f>
        <v>9228.5065484515471</v>
      </c>
      <c r="W13" s="427">
        <f>'ANALYSE - ERP =&gt; SEGMENT'!$GL$28</f>
        <v>1763.9380000000001</v>
      </c>
      <c r="X13" s="427">
        <f>'ANALYSE - ERP =&gt; SEGMENT'!$GO$28</f>
        <v>840.16639999999995</v>
      </c>
      <c r="Z13" s="427">
        <f>'ANALYSE - ERP =&gt; SEGMENT'!$EZ$28</f>
        <v>3806.7960000000003</v>
      </c>
      <c r="AA13" s="427">
        <f>'ANALYSE - ERP =&gt; SEGMENT'!$GG$28</f>
        <v>675.90213000000006</v>
      </c>
      <c r="AB13" s="427">
        <f>'ANALYSE - ERP =&gt; SEGMENT'!$GJ$28</f>
        <v>2502.9681599999999</v>
      </c>
      <c r="AC13" s="427">
        <f>'ANALYSE - ERP =&gt; SEGMENT'!$GM$28</f>
        <v>438.89895000000001</v>
      </c>
      <c r="AD13" s="427">
        <f>'ANALYSE - ERP =&gt; SEGMENT'!$GP$28</f>
        <v>189.02675999999997</v>
      </c>
      <c r="AF13" s="430">
        <f>'ANALYSE - ERP =&gt; SEGMENT'!$Q$28</f>
        <v>1</v>
      </c>
    </row>
    <row r="14" spans="1:32" ht="15" customHeight="1">
      <c r="A14" s="26">
        <v>11</v>
      </c>
      <c r="B14" s="26">
        <v>11</v>
      </c>
      <c r="C14" s="26">
        <v>12</v>
      </c>
      <c r="D14" s="501" t="s">
        <v>2264</v>
      </c>
      <c r="E14" s="502" t="s">
        <v>7990</v>
      </c>
      <c r="F14" s="502" t="s">
        <v>7991</v>
      </c>
      <c r="G14" s="410" t="str">
        <f>'ANALYSE - ERP =&gt; SEGMENT'!$D$23</f>
        <v>Usines 
(&gt;50 personnes - Hors Ateliers industriels)
Garages / ateliers de réparation automobile recevant du public
Ateliers industriels / de maintenance (&gt;50 personnes)</v>
      </c>
      <c r="I14" s="427">
        <f t="shared" si="2"/>
        <v>25320.288055188743</v>
      </c>
      <c r="K14" s="787">
        <f t="shared" si="0"/>
        <v>0.76771863782984284</v>
      </c>
      <c r="L14" s="787">
        <f t="shared" si="1"/>
        <v>0.2322813621701571</v>
      </c>
      <c r="N14" s="424">
        <f>'ANALYSE - ERP =&gt; SEGMENT'!$EX$23</f>
        <v>126601.44027594372</v>
      </c>
      <c r="O14" s="427">
        <f>'ANALYSE - ERP =&gt; SEGMENT'!$GE$23</f>
        <v>50458.179721525637</v>
      </c>
      <c r="P14" s="427">
        <f>'ANALYSE - ERP =&gt; SEGMENT'!$GH$23</f>
        <v>48907.993583736272</v>
      </c>
      <c r="Q14" s="427">
        <f>'ANALYSE - ERP =&gt; SEGMENT'!$GK$23</f>
        <v>21458.898599666667</v>
      </c>
      <c r="R14" s="427">
        <f>'ANALYSE - ERP =&gt; SEGMENT'!$GN$23</f>
        <v>5776.3683710151527</v>
      </c>
      <c r="T14" s="424">
        <f>'ANALYSE - ERP =&gt; SEGMENT'!$EY$23</f>
        <v>97194.285275943723</v>
      </c>
      <c r="U14" s="427">
        <f>'ANALYSE - ERP =&gt; SEGMENT'!$GF$23</f>
        <v>39359.478041525639</v>
      </c>
      <c r="V14" s="427">
        <f>'ANALYSE - ERP =&gt; SEGMENT'!$GI$23</f>
        <v>36648.383033736267</v>
      </c>
      <c r="W14" s="427">
        <f>'ANALYSE - ERP =&gt; SEGMENT'!$GL$23</f>
        <v>16385.674769666664</v>
      </c>
      <c r="X14" s="427">
        <f>'ANALYSE - ERP =&gt; SEGMENT'!$GO$23</f>
        <v>4800.7494310151515</v>
      </c>
      <c r="Z14" s="427">
        <f>'ANALYSE - ERP =&gt; SEGMENT'!$EZ$23</f>
        <v>29407.154999999999</v>
      </c>
      <c r="AA14" s="427">
        <f>'ANALYSE - ERP =&gt; SEGMENT'!$GG$23</f>
        <v>11098.70168</v>
      </c>
      <c r="AB14" s="427">
        <f>'ANALYSE - ERP =&gt; SEGMENT'!$GJ$23</f>
        <v>12259.610550000001</v>
      </c>
      <c r="AC14" s="427">
        <f>'ANALYSE - ERP =&gt; SEGMENT'!$GM$23</f>
        <v>5073.2238299999999</v>
      </c>
      <c r="AD14" s="427">
        <f>'ANALYSE - ERP =&gt; SEGMENT'!$GP$23</f>
        <v>975.61894000000007</v>
      </c>
      <c r="AF14" s="430">
        <f>'ANALYSE - ERP =&gt; SEGMENT'!$Q$23</f>
        <v>1</v>
      </c>
    </row>
    <row r="15" spans="1:32" ht="15" customHeight="1">
      <c r="A15" s="26">
        <v>12</v>
      </c>
      <c r="B15" s="26">
        <v>12</v>
      </c>
      <c r="C15" s="26">
        <v>17</v>
      </c>
      <c r="D15" s="505" t="s">
        <v>7117</v>
      </c>
      <c r="E15" s="506" t="s">
        <v>4268</v>
      </c>
      <c r="F15" s="506" t="s">
        <v>4269</v>
      </c>
      <c r="G15" s="410" t="str">
        <f>'ANALYSE - ERP =&gt; SEGMENT'!$D$26</f>
        <v>Campings
Aires d’accueil des gens du voyage</v>
      </c>
      <c r="I15" s="427">
        <f t="shared" si="2"/>
        <v>12026.53741659534</v>
      </c>
      <c r="K15" s="787">
        <f t="shared" si="0"/>
        <v>0.86058645627407393</v>
      </c>
      <c r="L15" s="787">
        <f t="shared" si="1"/>
        <v>0.13941354372592604</v>
      </c>
      <c r="N15" s="424">
        <f>'ANALYSE - ERP =&gt; SEGMENT'!$EX$26</f>
        <v>60132.687082976699</v>
      </c>
      <c r="O15" s="427">
        <f>'ANALYSE - ERP =&gt; SEGMENT'!$GE$26</f>
        <v>12595.042824999999</v>
      </c>
      <c r="P15" s="427">
        <f>'ANALYSE - ERP =&gt; SEGMENT'!$GH$26</f>
        <v>38940.566143128206</v>
      </c>
      <c r="Q15" s="427">
        <f>'ANALYSE - ERP =&gt; SEGMENT'!$GK$26</f>
        <v>3625.2987666666663</v>
      </c>
      <c r="R15" s="427">
        <f>'ANALYSE - ERP =&gt; SEGMENT'!$GN$26</f>
        <v>4971.7793481818189</v>
      </c>
      <c r="T15" s="424">
        <f>'ANALYSE - ERP =&gt; SEGMENT'!$EY$26</f>
        <v>51749.376082976698</v>
      </c>
      <c r="U15" s="427">
        <f>'ANALYSE - ERP =&gt; SEGMENT'!$GF$26</f>
        <v>10952.774845</v>
      </c>
      <c r="V15" s="427">
        <f>'ANALYSE - ERP =&gt; SEGMENT'!$GI$26</f>
        <v>33372.648553128209</v>
      </c>
      <c r="W15" s="427">
        <f>'ANALYSE - ERP =&gt; SEGMENT'!$GL$26</f>
        <v>3039.0051066666665</v>
      </c>
      <c r="X15" s="427">
        <f>'ANALYSE - ERP =&gt; SEGMENT'!$GO$26</f>
        <v>4384.9475781818182</v>
      </c>
      <c r="Z15" s="427">
        <f>'ANALYSE - ERP =&gt; SEGMENT'!$EZ$26</f>
        <v>8383.3109999999997</v>
      </c>
      <c r="AA15" s="427">
        <f>'ANALYSE - ERP =&gt; SEGMENT'!$GG$26</f>
        <v>1642.2679799999999</v>
      </c>
      <c r="AB15" s="427">
        <f>'ANALYSE - ERP =&gt; SEGMENT'!$GJ$26</f>
        <v>5567.9175899999991</v>
      </c>
      <c r="AC15" s="427">
        <f>'ANALYSE - ERP =&gt; SEGMENT'!$GM$26</f>
        <v>586.29366000000005</v>
      </c>
      <c r="AD15" s="427">
        <f>'ANALYSE - ERP =&gt; SEGMENT'!$GP$26</f>
        <v>586.83177000000012</v>
      </c>
      <c r="AF15" s="430">
        <f>'ANALYSE - ERP =&gt; SEGMENT'!$Q$26</f>
        <v>1</v>
      </c>
    </row>
    <row r="16" spans="1:32" ht="15" customHeight="1">
      <c r="A16" s="26">
        <v>13</v>
      </c>
      <c r="B16" s="26">
        <v>13</v>
      </c>
      <c r="C16" s="26">
        <v>14</v>
      </c>
      <c r="D16" s="507" t="s">
        <v>2285</v>
      </c>
      <c r="E16" s="508" t="s">
        <v>1793</v>
      </c>
      <c r="F16" s="508" t="s">
        <v>7992</v>
      </c>
      <c r="G16" s="409" t="str">
        <f>'ANALYSE - ERP =&gt; SEGMENT'!$D$32</f>
        <v>Aires de service - Autoroutes
(Hors Aires de repos)
Aires de repos - Autoroutes
(Hors Aires de service)
Aéroports / aérogares
(&gt;1 000 passagers/an)
Gares ferroviaires et stations
Terminaux maritimes / fluviaux
Établissements flottants
Ports de plaisance / capitaineries
Stations / espaces métro équipés de toilettes publiques (minimum observé RATP)</v>
      </c>
      <c r="I16" s="427">
        <f t="shared" si="2"/>
        <v>5498.4264904763386</v>
      </c>
      <c r="K16" s="787">
        <f t="shared" si="0"/>
        <v>0.79636549875871832</v>
      </c>
      <c r="L16" s="787">
        <f t="shared" si="1"/>
        <v>0.20363450124128168</v>
      </c>
      <c r="N16" s="424">
        <f>'ANALYSE - ERP =&gt; SEGMENT'!$EX$32</f>
        <v>27492.132452381691</v>
      </c>
      <c r="O16" s="427">
        <f>'ANALYSE - ERP =&gt; SEGMENT'!$GE$32</f>
        <v>2867.231522933334</v>
      </c>
      <c r="P16" s="427">
        <f>'ANALYSE - ERP =&gt; SEGMENT'!$GH$32</f>
        <v>18189.855098163636</v>
      </c>
      <c r="Q16" s="427">
        <f>'ANALYSE - ERP =&gt; SEGMENT'!$GK$32</f>
        <v>4909.9304737624998</v>
      </c>
      <c r="R16" s="427">
        <f>'ANALYSE - ERP =&gt; SEGMENT'!$GN$32</f>
        <v>1525.1153575222222</v>
      </c>
      <c r="T16" s="424">
        <f>'ANALYSE - ERP =&gt; SEGMENT'!$EY$32</f>
        <v>21893.785772381692</v>
      </c>
      <c r="U16" s="427">
        <f>'ANALYSE - ERP =&gt; SEGMENT'!$GF$32</f>
        <v>2400.5679957333336</v>
      </c>
      <c r="V16" s="427">
        <f>'ANALYSE - ERP =&gt; SEGMENT'!$GI$32</f>
        <v>14235.488692563637</v>
      </c>
      <c r="W16" s="427">
        <f>'ANALYSE - ERP =&gt; SEGMENT'!$GL$32</f>
        <v>4010.3958189624996</v>
      </c>
      <c r="X16" s="427">
        <f>'ANALYSE - ERP =&gt; SEGMENT'!$GO$32</f>
        <v>1247.3332651222222</v>
      </c>
      <c r="Z16" s="427">
        <f>'ANALYSE - ERP =&gt; SEGMENT'!$EZ$32</f>
        <v>5598.3466799999997</v>
      </c>
      <c r="AA16" s="427">
        <f>'ANALYSE - ERP =&gt; SEGMENT'!$GG$32</f>
        <v>466.66352720000003</v>
      </c>
      <c r="AB16" s="427">
        <f>'ANALYSE - ERP =&gt; SEGMENT'!$GJ$32</f>
        <v>3954.3664055999998</v>
      </c>
      <c r="AC16" s="427">
        <f>'ANALYSE - ERP =&gt; SEGMENT'!$GM$32</f>
        <v>899.5346548</v>
      </c>
      <c r="AD16" s="427">
        <f>'ANALYSE - ERP =&gt; SEGMENT'!$GP$32</f>
        <v>277.78209240000001</v>
      </c>
      <c r="AF16" s="430">
        <f>'ANALYSE - ERP =&gt; SEGMENT'!$Q$32</f>
        <v>1</v>
      </c>
    </row>
    <row r="17" spans="1:32" ht="15" customHeight="1">
      <c r="A17" s="26">
        <v>14</v>
      </c>
      <c r="B17" s="26">
        <v>14</v>
      </c>
      <c r="C17" s="26">
        <v>16</v>
      </c>
      <c r="D17" s="491" t="s">
        <v>2187</v>
      </c>
      <c r="E17" s="492" t="s">
        <v>1372</v>
      </c>
      <c r="F17" s="492" t="s">
        <v>7993</v>
      </c>
      <c r="G17" s="416" t="str">
        <f>'ANALYSE - ERP =&gt; SEGMENT'!$D$21</f>
        <v>Centres commerciaux / malls
Marchés couverts</v>
      </c>
      <c r="I17" s="427">
        <f t="shared" si="2"/>
        <v>9334.238002221211</v>
      </c>
      <c r="K17" s="787">
        <f t="shared" si="0"/>
        <v>0.85085591350159284</v>
      </c>
      <c r="L17" s="787">
        <f t="shared" si="1"/>
        <v>0.14914408649840721</v>
      </c>
      <c r="N17" s="424">
        <f>'ANALYSE - ERP =&gt; SEGMENT'!$EX$21</f>
        <v>46671.190011106053</v>
      </c>
      <c r="O17" s="427">
        <f>'ANALYSE - ERP =&gt; SEGMENT'!$GE$21</f>
        <v>14113.695069818181</v>
      </c>
      <c r="P17" s="427">
        <f>'ANALYSE - ERP =&gt; SEGMENT'!$GH$21</f>
        <v>20155.075225454548</v>
      </c>
      <c r="Q17" s="427">
        <f>'ANALYSE - ERP =&gt; SEGMENT'!$GK$21</f>
        <v>9960.0118724999993</v>
      </c>
      <c r="R17" s="427">
        <f>'ANALYSE - ERP =&gt; SEGMENT'!$GN$21</f>
        <v>2442.4078433333334</v>
      </c>
      <c r="T17" s="424">
        <f>'ANALYSE - ERP =&gt; SEGMENT'!$EY$21</f>
        <v>39710.458011106057</v>
      </c>
      <c r="U17" s="427">
        <f>'ANALYSE - ERP =&gt; SEGMENT'!$GF$21</f>
        <v>12192.71474981818</v>
      </c>
      <c r="V17" s="427">
        <f>'ANALYSE - ERP =&gt; SEGMENT'!$GI$21</f>
        <v>16950.783345454547</v>
      </c>
      <c r="W17" s="427">
        <f>'ANALYSE - ERP =&gt; SEGMENT'!$GL$21</f>
        <v>8427.2446725000009</v>
      </c>
      <c r="X17" s="427">
        <f>'ANALYSE - ERP =&gt; SEGMENT'!$GO$21</f>
        <v>2139.7152433333331</v>
      </c>
      <c r="Z17" s="427">
        <f>'ANALYSE - ERP =&gt; SEGMENT'!$EZ$21</f>
        <v>6960.732</v>
      </c>
      <c r="AA17" s="427">
        <f>'ANALYSE - ERP =&gt; SEGMENT'!$GG$21</f>
        <v>1920.9803200000001</v>
      </c>
      <c r="AB17" s="427">
        <f>'ANALYSE - ERP =&gt; SEGMENT'!$GJ$21</f>
        <v>3204.2918799999998</v>
      </c>
      <c r="AC17" s="427">
        <f>'ANALYSE - ERP =&gt; SEGMENT'!$GM$21</f>
        <v>1532.7672</v>
      </c>
      <c r="AD17" s="427">
        <f>'ANALYSE - ERP =&gt; SEGMENT'!$GP$21</f>
        <v>302.69259999999997</v>
      </c>
      <c r="AF17" s="430">
        <f>'ANALYSE - ERP =&gt; SEGMENT'!$Q$21</f>
        <v>1</v>
      </c>
    </row>
    <row r="18" spans="1:32" ht="15" customHeight="1">
      <c r="A18" s="26">
        <v>15</v>
      </c>
      <c r="B18" s="26">
        <v>17</v>
      </c>
      <c r="C18" s="26">
        <v>11</v>
      </c>
      <c r="D18" s="497" t="s">
        <v>6739</v>
      </c>
      <c r="E18" s="498" t="s">
        <v>2104</v>
      </c>
      <c r="F18" s="498" t="s">
        <v>671</v>
      </c>
      <c r="G18" s="412" t="str">
        <f>'ANALYSE - ERP =&gt; SEGMENT'!$D$8</f>
        <v>Crèches</v>
      </c>
      <c r="I18" s="427">
        <f t="shared" si="2"/>
        <v>5817.0062826535541</v>
      </c>
      <c r="K18" s="787">
        <f t="shared" si="0"/>
        <v>0.80941032446431183</v>
      </c>
      <c r="L18" s="787">
        <f t="shared" si="1"/>
        <v>0.19058967553568809</v>
      </c>
      <c r="N18" s="424">
        <f>'ANALYSE - ERP =&gt; SEGMENT'!$EX$8</f>
        <v>29085.03141326777</v>
      </c>
      <c r="O18" s="427">
        <f>'ANALYSE - ERP =&gt; SEGMENT'!$GE$8</f>
        <v>14441.202209885714</v>
      </c>
      <c r="P18" s="427">
        <f>'ANALYSE - ERP =&gt; SEGMENT'!$GH$8</f>
        <v>12211.423838479384</v>
      </c>
      <c r="Q18" s="427">
        <f>'ANALYSE - ERP =&gt; SEGMENT'!$GK$8</f>
        <v>1271.5340003679999</v>
      </c>
      <c r="R18" s="427">
        <f>'ANALYSE - ERP =&gt; SEGMENT'!$GN$8</f>
        <v>1160.8713645346666</v>
      </c>
      <c r="T18" s="424">
        <f>'ANALYSE - ERP =&gt; SEGMENT'!$EY$8</f>
        <v>23541.724713267769</v>
      </c>
      <c r="U18" s="427">
        <f>'ANALYSE - ERP =&gt; SEGMENT'!$GF$8</f>
        <v>11780.414993885715</v>
      </c>
      <c r="V18" s="427">
        <f>'ANALYSE - ERP =&gt; SEGMENT'!$GI$8</f>
        <v>9883.2350244793834</v>
      </c>
      <c r="W18" s="427">
        <f>'ANALYSE - ERP =&gt; SEGMENT'!$GL$8</f>
        <v>938.935598368</v>
      </c>
      <c r="X18" s="427">
        <f>'ANALYSE - ERP =&gt; SEGMENT'!$GO$8</f>
        <v>939.13909653466669</v>
      </c>
      <c r="Z18" s="427">
        <f>'ANALYSE - ERP =&gt; SEGMENT'!$EZ$8</f>
        <v>5543.3067000000001</v>
      </c>
      <c r="AA18" s="427">
        <f>'ANALYSE - ERP =&gt; SEGMENT'!$GG$8</f>
        <v>2660.7872159999997</v>
      </c>
      <c r="AB18" s="427">
        <f>'ANALYSE - ERP =&gt; SEGMENT'!$GJ$8</f>
        <v>2328.1888140000001</v>
      </c>
      <c r="AC18" s="427">
        <f>'ANALYSE - ERP =&gt; SEGMENT'!$GM$8</f>
        <v>332.59840199999996</v>
      </c>
      <c r="AD18" s="427">
        <f>'ANALYSE - ERP =&gt; SEGMENT'!$GP$8</f>
        <v>221.73226800000003</v>
      </c>
      <c r="AF18" s="430">
        <f>'ANALYSE - ERP =&gt; SEGMENT'!$Q$8</f>
        <v>1</v>
      </c>
    </row>
    <row r="19" spans="1:32" ht="15" customHeight="1">
      <c r="A19" s="26">
        <v>16</v>
      </c>
      <c r="B19" s="26">
        <v>15</v>
      </c>
      <c r="C19" s="26">
        <v>19</v>
      </c>
      <c r="D19" s="505" t="s">
        <v>7117</v>
      </c>
      <c r="E19" s="506" t="s">
        <v>1455</v>
      </c>
      <c r="F19" s="506" t="s">
        <v>7994</v>
      </c>
      <c r="G19" s="409" t="str">
        <f>'ANALYSE - ERP =&gt; SEGMENT'!$D$24</f>
        <v>Hôtels
Pensions de famille
Résidences de tourisme
Auberges de jeunesse
Villages de vacances / clubs vacances / centres de vacances familiaux</v>
      </c>
      <c r="I19" s="427">
        <f t="shared" si="2"/>
        <v>7613.0039954250196</v>
      </c>
      <c r="K19" s="787">
        <f t="shared" si="0"/>
        <v>0.83043602988048448</v>
      </c>
      <c r="L19" s="787">
        <f t="shared" si="1"/>
        <v>0.16956397011951546</v>
      </c>
      <c r="N19" s="424">
        <f>'ANALYSE - ERP =&gt; SEGMENT'!$EX$24</f>
        <v>38065.019977125099</v>
      </c>
      <c r="O19" s="427">
        <f>'ANALYSE - ERP =&gt; SEGMENT'!$GE$24</f>
        <v>20915.546338666667</v>
      </c>
      <c r="P19" s="427">
        <f>'ANALYSE - ERP =&gt; SEGMENT'!$GH$24</f>
        <v>12427.743697923077</v>
      </c>
      <c r="Q19" s="427">
        <f>'ANALYSE - ERP =&gt; SEGMENT'!$GK$24</f>
        <v>2584.3376972444448</v>
      </c>
      <c r="R19" s="427">
        <f>'ANALYSE - ERP =&gt; SEGMENT'!$GN$24</f>
        <v>2137.3922432909094</v>
      </c>
      <c r="T19" s="424">
        <f>'ANALYSE - ERP =&gt; SEGMENT'!$EY$24</f>
        <v>31610.564067125099</v>
      </c>
      <c r="U19" s="427">
        <f>'ANALYSE - ERP =&gt; SEGMENT'!$GF$24</f>
        <v>17635.504601666667</v>
      </c>
      <c r="V19" s="427">
        <f>'ANALYSE - ERP =&gt; SEGMENT'!$GI$24</f>
        <v>10110.893616923076</v>
      </c>
      <c r="W19" s="427">
        <f>'ANALYSE - ERP =&gt; SEGMENT'!$GL$24</f>
        <v>2067.9812244444447</v>
      </c>
      <c r="X19" s="427">
        <f>'ANALYSE - ERP =&gt; SEGMENT'!$GO$24</f>
        <v>1796.1846240909092</v>
      </c>
      <c r="Z19" s="427">
        <f>'ANALYSE - ERP =&gt; SEGMENT'!$EZ$24</f>
        <v>6454.4559099999997</v>
      </c>
      <c r="AA19" s="427">
        <f>'ANALYSE - ERP =&gt; SEGMENT'!$GG$24</f>
        <v>3280.041737</v>
      </c>
      <c r="AB19" s="427">
        <f>'ANALYSE - ERP =&gt; SEGMENT'!$GJ$24</f>
        <v>2316.850081</v>
      </c>
      <c r="AC19" s="427">
        <f>'ANALYSE - ERP =&gt; SEGMENT'!$GM$24</f>
        <v>516.35647280000001</v>
      </c>
      <c r="AD19" s="427">
        <f>'ANALYSE - ERP =&gt; SEGMENT'!$GP$24</f>
        <v>341.20761919999995</v>
      </c>
      <c r="AF19" s="430">
        <f>'ANALYSE - ERP =&gt; SEGMENT'!$Q$24</f>
        <v>1</v>
      </c>
    </row>
    <row r="20" spans="1:32" ht="15" customHeight="1">
      <c r="A20" s="26">
        <v>17</v>
      </c>
      <c r="B20" s="26">
        <v>18</v>
      </c>
      <c r="C20" s="26">
        <v>10</v>
      </c>
      <c r="D20" s="497" t="s">
        <v>6739</v>
      </c>
      <c r="E20" s="498" t="s">
        <v>2091</v>
      </c>
      <c r="F20" s="498" t="s">
        <v>2836</v>
      </c>
      <c r="G20" s="411" t="str">
        <f>'ANALYSE - ERP =&gt; SEGMENT'!$D$12</f>
        <v>Centres de formation / CFA</v>
      </c>
      <c r="I20" s="427">
        <f t="shared" si="2"/>
        <v>7503.9484363632237</v>
      </c>
      <c r="K20" s="787">
        <f t="shared" si="0"/>
        <v>0.56971688340054161</v>
      </c>
      <c r="L20" s="787">
        <f t="shared" si="1"/>
        <v>0.43028311659945834</v>
      </c>
      <c r="N20" s="424">
        <f>'ANALYSE - ERP =&gt; SEGMENT'!$EX$12</f>
        <v>37519.742181816116</v>
      </c>
      <c r="O20" s="427">
        <f>'ANALYSE - ERP =&gt; SEGMENT'!$GE$12</f>
        <v>4811.5511884443076</v>
      </c>
      <c r="P20" s="427">
        <f>'ANALYSE - ERP =&gt; SEGMENT'!$GH$12</f>
        <v>28612.179054245142</v>
      </c>
      <c r="Q20" s="427">
        <f>'ANALYSE - ERP =&gt; SEGMENT'!$GK$12</f>
        <v>2750.4288508760001</v>
      </c>
      <c r="R20" s="427">
        <f>'ANALYSE - ERP =&gt; SEGMENT'!$GN$12</f>
        <v>1345.5830882506666</v>
      </c>
      <c r="T20" s="424">
        <f>'ANALYSE - ERP =&gt; SEGMENT'!$EY$12</f>
        <v>21375.630581816116</v>
      </c>
      <c r="U20" s="427">
        <f>'ANALYSE - ERP =&gt; SEGMENT'!$GF$12</f>
        <v>3123.6925284443078</v>
      </c>
      <c r="V20" s="427">
        <f>'ANALYSE - ERP =&gt; SEGMENT'!$GI$12</f>
        <v>15956.260890245143</v>
      </c>
      <c r="W20" s="427">
        <f>'ANALYSE - ERP =&gt; SEGMENT'!$GL$12</f>
        <v>1434.4174228759998</v>
      </c>
      <c r="X20" s="427">
        <f>'ANALYSE - ERP =&gt; SEGMENT'!$GO$12</f>
        <v>861.2597402506666</v>
      </c>
      <c r="Z20" s="427">
        <f>'ANALYSE - ERP =&gt; SEGMENT'!$EZ$12</f>
        <v>16144.1116</v>
      </c>
      <c r="AA20" s="427">
        <f>'ANALYSE - ERP =&gt; SEGMENT'!$GG$12</f>
        <v>1687.8586600000001</v>
      </c>
      <c r="AB20" s="427">
        <f>'ANALYSE - ERP =&gt; SEGMENT'!$GJ$12</f>
        <v>12655.918164000001</v>
      </c>
      <c r="AC20" s="427">
        <f>'ANALYSE - ERP =&gt; SEGMENT'!$GM$12</f>
        <v>1316.011428</v>
      </c>
      <c r="AD20" s="427">
        <f>'ANALYSE - ERP =&gt; SEGMENT'!$GP$12</f>
        <v>484.32334800000001</v>
      </c>
      <c r="AF20" s="430">
        <f>'ANALYSE - ERP =&gt; SEGMENT'!$Q$12</f>
        <v>1</v>
      </c>
    </row>
    <row r="21" spans="1:32" ht="15" customHeight="1">
      <c r="A21" s="26">
        <v>18</v>
      </c>
      <c r="B21" s="26">
        <v>16</v>
      </c>
      <c r="C21" s="26">
        <v>18</v>
      </c>
      <c r="D21" s="497" t="s">
        <v>6739</v>
      </c>
      <c r="E21" s="498" t="s">
        <v>991</v>
      </c>
      <c r="F21" s="498" t="s">
        <v>7995</v>
      </c>
      <c r="G21" s="411" t="str">
        <f>'ANALYSE - ERP =&gt; SEGMENT'!$D$11</f>
        <v>Centres de loisirs sans hébergement
Centres de vacances / colonies</v>
      </c>
      <c r="I21" s="427">
        <f t="shared" si="2"/>
        <v>0</v>
      </c>
      <c r="K21" s="787" t="str">
        <f t="shared" si="0"/>
        <v/>
      </c>
      <c r="L21" s="787" t="str">
        <f t="shared" si="1"/>
        <v/>
      </c>
      <c r="N21" s="424">
        <f>'ANALYSE - ERP =&gt; SEGMENT'!$EX$11</f>
        <v>0</v>
      </c>
      <c r="O21" s="427">
        <f>'ANALYSE - ERP =&gt; SEGMENT'!$GE$11</f>
        <v>0</v>
      </c>
      <c r="P21" s="427">
        <f>'ANALYSE - ERP =&gt; SEGMENT'!$GH$11</f>
        <v>0</v>
      </c>
      <c r="Q21" s="427">
        <f>'ANALYSE - ERP =&gt; SEGMENT'!$GK$11</f>
        <v>0</v>
      </c>
      <c r="R21" s="427">
        <f>'ANALYSE - ERP =&gt; SEGMENT'!$GN$11</f>
        <v>0</v>
      </c>
      <c r="T21" s="424">
        <f>'ANALYSE - ERP =&gt; SEGMENT'!$EY$11</f>
        <v>0</v>
      </c>
      <c r="U21" s="427">
        <f>'ANALYSE - ERP =&gt; SEGMENT'!$GF$11</f>
        <v>0</v>
      </c>
      <c r="V21" s="427">
        <f>'ANALYSE - ERP =&gt; SEGMENT'!$GI$11</f>
        <v>0</v>
      </c>
      <c r="W21" s="427">
        <f>'ANALYSE - ERP =&gt; SEGMENT'!$GL$11</f>
        <v>0</v>
      </c>
      <c r="X21" s="427">
        <f>'ANALYSE - ERP =&gt; SEGMENT'!$GO$11</f>
        <v>0</v>
      </c>
      <c r="Z21" s="427">
        <f>'ANALYSE - ERP =&gt; SEGMENT'!$EZ$11</f>
        <v>0</v>
      </c>
      <c r="AA21" s="427">
        <f>'ANALYSE - ERP =&gt; SEGMENT'!$GG$11</f>
        <v>0</v>
      </c>
      <c r="AB21" s="427">
        <f>'ANALYSE - ERP =&gt; SEGMENT'!$GJ$11</f>
        <v>0</v>
      </c>
      <c r="AC21" s="427">
        <f>'ANALYSE - ERP =&gt; SEGMENT'!$GM$11</f>
        <v>0</v>
      </c>
      <c r="AD21" s="427">
        <f>'ANALYSE - ERP =&gt; SEGMENT'!$GP$11</f>
        <v>0</v>
      </c>
      <c r="AF21" s="430">
        <f>'ANALYSE - ERP =&gt; SEGMENT'!$Q$11</f>
        <v>0</v>
      </c>
    </row>
    <row r="22" spans="1:32" ht="15" customHeight="1">
      <c r="A22" s="26">
        <v>19</v>
      </c>
      <c r="B22" s="26">
        <v>19</v>
      </c>
      <c r="C22" s="26">
        <v>20</v>
      </c>
      <c r="D22" s="509" t="s">
        <v>4908</v>
      </c>
      <c r="E22" s="510" t="s">
        <v>88</v>
      </c>
      <c r="F22" s="510" t="s">
        <v>7996</v>
      </c>
      <c r="G22" s="410" t="str">
        <f>'ANALYSE - ERP =&gt; SEGMENT'!$D$36</f>
        <v>Maisons d’arrêt
Centres de détention
Maisons centrales
Centres pénitentiaires
Centres de semi-liberté
Centres éducatifs fermés
Centres pour peines aménagées
(absorbés par autres centres carcéraux)
Unités hospitalières sécurisées</v>
      </c>
      <c r="I22" s="427">
        <f t="shared" si="2"/>
        <v>4192.5073053636361</v>
      </c>
      <c r="K22" s="787">
        <f t="shared" si="0"/>
        <v>0.70782313904787486</v>
      </c>
      <c r="L22" s="787">
        <f t="shared" si="1"/>
        <v>0.29217686095212519</v>
      </c>
      <c r="N22" s="424">
        <f>'ANALYSE - ERP =&gt; SEGMENT'!$EX$36</f>
        <v>20962.536526818181</v>
      </c>
      <c r="O22" s="427">
        <f>'ANALYSE - ERP =&gt; SEGMENT'!$GE$36</f>
        <v>427.15796239999997</v>
      </c>
      <c r="P22" s="427">
        <f>'ANALYSE - ERP =&gt; SEGMENT'!$GH$36</f>
        <v>13999.738184618182</v>
      </c>
      <c r="Q22" s="427">
        <f>'ANALYSE - ERP =&gt; SEGMENT'!$GK$36</f>
        <v>314.22798740000007</v>
      </c>
      <c r="R22" s="427">
        <f>'ANALYSE - ERP =&gt; SEGMENT'!$GN$36</f>
        <v>6221.4123924000014</v>
      </c>
      <c r="T22" s="424">
        <f>'ANALYSE - ERP =&gt; SEGMENT'!$EY$36</f>
        <v>14837.768406818181</v>
      </c>
      <c r="U22" s="427">
        <f>'ANALYSE - ERP =&gt; SEGMENT'!$GF$36</f>
        <v>304.6626</v>
      </c>
      <c r="V22" s="427">
        <f>'ANALYSE - ERP =&gt; SEGMENT'!$GI$36</f>
        <v>9773.6481818181819</v>
      </c>
      <c r="W22" s="427">
        <f>'ANALYSE - ERP =&gt; SEGMENT'!$GL$36</f>
        <v>191.73262500000001</v>
      </c>
      <c r="X22" s="427">
        <f>'ANALYSE - ERP =&gt; SEGMENT'!$GO$36</f>
        <v>4567.7250000000004</v>
      </c>
      <c r="Z22" s="427">
        <f>'ANALYSE - ERP =&gt; SEGMENT'!$EZ$36</f>
        <v>6124.7681200000006</v>
      </c>
      <c r="AA22" s="427">
        <f>'ANALYSE - ERP =&gt; SEGMENT'!$GG$36</f>
        <v>122.4953624</v>
      </c>
      <c r="AB22" s="427">
        <f>'ANALYSE - ERP =&gt; SEGMENT'!$GJ$36</f>
        <v>4226.0900028000005</v>
      </c>
      <c r="AC22" s="427">
        <f>'ANALYSE - ERP =&gt; SEGMENT'!$GM$36</f>
        <v>122.4953624</v>
      </c>
      <c r="AD22" s="427">
        <f>'ANALYSE - ERP =&gt; SEGMENT'!$GP$36</f>
        <v>1653.6873924000004</v>
      </c>
      <c r="AF22" s="430">
        <f>'ANALYSE - ERP =&gt; SEGMENT'!$Q$36</f>
        <v>1</v>
      </c>
    </row>
    <row r="23" spans="1:32" ht="15" customHeight="1">
      <c r="A23" s="26">
        <v>20</v>
      </c>
      <c r="B23" s="26">
        <v>20</v>
      </c>
      <c r="C23" s="26">
        <v>24</v>
      </c>
      <c r="D23" s="491" t="s">
        <v>2187</v>
      </c>
      <c r="E23" s="492" t="s">
        <v>1435</v>
      </c>
      <c r="F23" s="492" t="s">
        <v>7999</v>
      </c>
      <c r="G23" s="410" t="str">
        <f>'ANALYSE - ERP =&gt; SEGMENT'!$D$20</f>
        <v>Salles de jeux / bowlings / billards
Discothèques / salles de danse
Casinos</v>
      </c>
      <c r="I23" s="427">
        <f t="shared" si="2"/>
        <v>4508.994195643636</v>
      </c>
      <c r="K23" s="787">
        <f t="shared" si="0"/>
        <v>0.87046458375033997</v>
      </c>
      <c r="L23" s="787">
        <f t="shared" si="1"/>
        <v>0.12953541624966014</v>
      </c>
      <c r="N23" s="424">
        <f>'ANALYSE - ERP =&gt; SEGMENT'!$EX$20</f>
        <v>22544.970978218182</v>
      </c>
      <c r="O23" s="427">
        <f>'ANALYSE - ERP =&gt; SEGMENT'!$GE$20</f>
        <v>2252.2414100000001</v>
      </c>
      <c r="P23" s="427">
        <f>'ANALYSE - ERP =&gt; SEGMENT'!$GH$20</f>
        <v>16718.586109818181</v>
      </c>
      <c r="Q23" s="427">
        <f>'ANALYSE - ERP =&gt; SEGMENT'!$GK$20</f>
        <v>2187.7541460000002</v>
      </c>
      <c r="R23" s="427">
        <f>'ANALYSE - ERP =&gt; SEGMENT'!$GN$20</f>
        <v>1386.3893124000001</v>
      </c>
      <c r="T23" s="424">
        <f>'ANALYSE - ERP =&gt; SEGMENT'!$EY$20</f>
        <v>19624.598778218184</v>
      </c>
      <c r="U23" s="427">
        <f>'ANALYSE - ERP =&gt; SEGMENT'!$GF$20</f>
        <v>2018.6116340000001</v>
      </c>
      <c r="V23" s="427">
        <f>'ANALYSE - ERP =&gt; SEGMENT'!$GI$20</f>
        <v>14499.103237818181</v>
      </c>
      <c r="W23" s="427">
        <f>'ANALYSE - ERP =&gt; SEGMENT'!$GL$20</f>
        <v>1895.7169260000001</v>
      </c>
      <c r="X23" s="427">
        <f>'ANALYSE - ERP =&gt; SEGMENT'!$GO$20</f>
        <v>1211.1669804000001</v>
      </c>
      <c r="Z23" s="427">
        <f>'ANALYSE - ERP =&gt; SEGMENT'!$EZ$20</f>
        <v>2920.3721999999998</v>
      </c>
      <c r="AA23" s="427">
        <f>'ANALYSE - ERP =&gt; SEGMENT'!$GG$20</f>
        <v>233.62977599999999</v>
      </c>
      <c r="AB23" s="427">
        <f>'ANALYSE - ERP =&gt; SEGMENT'!$GJ$20</f>
        <v>2219.482872</v>
      </c>
      <c r="AC23" s="427">
        <f>'ANALYSE - ERP =&gt; SEGMENT'!$GM$20</f>
        <v>292.03722000000005</v>
      </c>
      <c r="AD23" s="427">
        <f>'ANALYSE - ERP =&gt; SEGMENT'!$GP$20</f>
        <v>175.22233199999999</v>
      </c>
      <c r="AF23" s="430">
        <f>'ANALYSE - ERP =&gt; SEGMENT'!$Q$20</f>
        <v>1</v>
      </c>
    </row>
    <row r="24" spans="1:32" ht="15" customHeight="1">
      <c r="A24" s="26">
        <v>21</v>
      </c>
      <c r="B24" s="26">
        <v>22</v>
      </c>
      <c r="C24" s="26">
        <v>22</v>
      </c>
      <c r="D24" s="499" t="s">
        <v>3662</v>
      </c>
      <c r="E24" s="500" t="s">
        <v>1337</v>
      </c>
      <c r="F24" s="500" t="s">
        <v>7997</v>
      </c>
      <c r="G24" s="411" t="str">
        <f>'ANALYSE - ERP =&gt; SEGMENT'!$D$18</f>
        <v>Chapiteaux / tentes / structures
Structures gonflables</v>
      </c>
      <c r="I24" s="427">
        <f t="shared" si="2"/>
        <v>338.63687923414921</v>
      </c>
      <c r="K24" s="787">
        <f t="shared" si="0"/>
        <v>0.67918910590691339</v>
      </c>
      <c r="L24" s="787">
        <f t="shared" si="1"/>
        <v>0.32081089409308661</v>
      </c>
      <c r="N24" s="424">
        <f>'ANALYSE - ERP =&gt; SEGMENT'!$EX$18</f>
        <v>1693.1843961707459</v>
      </c>
      <c r="O24" s="427">
        <f>'ANALYSE - ERP =&gt; SEGMENT'!$GE$18</f>
        <v>354.06987191666661</v>
      </c>
      <c r="P24" s="427">
        <f>'ANALYSE - ERP =&gt; SEGMENT'!$GH$18</f>
        <v>1060.1238807692307</v>
      </c>
      <c r="Q24" s="427">
        <f>'ANALYSE - ERP =&gt; SEGMENT'!$GK$18</f>
        <v>149.40930666666668</v>
      </c>
      <c r="R24" s="427">
        <f>'ANALYSE - ERP =&gt; SEGMENT'!$GN$18</f>
        <v>129.58133681818182</v>
      </c>
      <c r="T24" s="424">
        <f>'ANALYSE - ERP =&gt; SEGMENT'!$EY$18</f>
        <v>1149.9923961707459</v>
      </c>
      <c r="U24" s="427">
        <f>'ANALYSE - ERP =&gt; SEGMENT'!$GF$18</f>
        <v>247.99555191666667</v>
      </c>
      <c r="V24" s="427">
        <f>'ANALYSE - ERP =&gt; SEGMENT'!$GI$18</f>
        <v>709.91692076923073</v>
      </c>
      <c r="W24" s="427">
        <f>'ANALYSE - ERP =&gt; SEGMENT'!$GL$18</f>
        <v>98.20322666666668</v>
      </c>
      <c r="X24" s="427">
        <f>'ANALYSE - ERP =&gt; SEGMENT'!$GO$18</f>
        <v>93.876696818181827</v>
      </c>
      <c r="Z24" s="427">
        <f>'ANALYSE - ERP =&gt; SEGMENT'!$EZ$18</f>
        <v>543.19200000000001</v>
      </c>
      <c r="AA24" s="427">
        <f>'ANALYSE - ERP =&gt; SEGMENT'!$GG$18</f>
        <v>106.07432</v>
      </c>
      <c r="AB24" s="427">
        <f>'ANALYSE - ERP =&gt; SEGMENT'!$GJ$18</f>
        <v>350.20695999999998</v>
      </c>
      <c r="AC24" s="427">
        <f>'ANALYSE - ERP =&gt; SEGMENT'!$GM$18</f>
        <v>51.20608</v>
      </c>
      <c r="AD24" s="427">
        <f>'ANALYSE - ERP =&gt; SEGMENT'!$GP$18</f>
        <v>35.704639999999998</v>
      </c>
      <c r="AF24" s="430">
        <f>'ANALYSE - ERP =&gt; SEGMENT'!$Q$18</f>
        <v>1</v>
      </c>
    </row>
    <row r="25" spans="1:32" ht="15" customHeight="1">
      <c r="A25" s="26">
        <v>22</v>
      </c>
      <c r="B25" s="26">
        <v>25</v>
      </c>
      <c r="C25" s="26">
        <v>15</v>
      </c>
      <c r="D25" s="493" t="s">
        <v>2241</v>
      </c>
      <c r="E25" s="494" t="s">
        <v>2242</v>
      </c>
      <c r="F25" s="494" t="s">
        <v>7998</v>
      </c>
      <c r="G25" s="408" t="str">
        <f>'ANALYSE - ERP =&gt; SEGMENT'!$D$15</f>
        <v>Centres de santé / centres médicaux
Maisons de santé</v>
      </c>
      <c r="I25" s="427">
        <f t="shared" si="2"/>
        <v>2752.8156534449508</v>
      </c>
      <c r="K25" s="787">
        <f t="shared" si="0"/>
        <v>0.39604620675583246</v>
      </c>
      <c r="L25" s="787">
        <f t="shared" si="1"/>
        <v>0.60395379324416765</v>
      </c>
      <c r="N25" s="424">
        <f>'ANALYSE - ERP =&gt; SEGMENT'!$EX$15</f>
        <v>13764.078267224755</v>
      </c>
      <c r="O25" s="427">
        <f>'ANALYSE - ERP =&gt; SEGMENT'!$GE$15</f>
        <v>6046.2294344750007</v>
      </c>
      <c r="P25" s="427">
        <f>'ANALYSE - ERP =&gt; SEGMENT'!$GH$15</f>
        <v>3391.5406342788465</v>
      </c>
      <c r="Q25" s="427">
        <f>'ANALYSE - ERP =&gt; SEGMENT'!$GK$15</f>
        <v>3212.0201508</v>
      </c>
      <c r="R25" s="427">
        <f>'ANALYSE - ERP =&gt; SEGMENT'!$GN$15</f>
        <v>1114.2880476709092</v>
      </c>
      <c r="T25" s="424">
        <f>'ANALYSE - ERP =&gt; SEGMENT'!$EY$15</f>
        <v>5451.2109872247556</v>
      </c>
      <c r="U25" s="427">
        <f>'ANALYSE - ERP =&gt; SEGMENT'!$GF$15</f>
        <v>2247.5967368750003</v>
      </c>
      <c r="V25" s="427">
        <f>'ANALYSE - ERP =&gt; SEGMENT'!$GI$15</f>
        <v>1266.9140542788462</v>
      </c>
      <c r="W25" s="427">
        <f>'ANALYSE - ERP =&gt; SEGMENT'!$GL$15</f>
        <v>1383.6799163999997</v>
      </c>
      <c r="X25" s="427">
        <f>'ANALYSE - ERP =&gt; SEGMENT'!$GO$15</f>
        <v>553.02027967090908</v>
      </c>
      <c r="Z25" s="427">
        <f>'ANALYSE - ERP =&gt; SEGMENT'!$EZ$15</f>
        <v>8312.8672800000004</v>
      </c>
      <c r="AA25" s="427">
        <f>'ANALYSE - ERP =&gt; SEGMENT'!$GG$15</f>
        <v>3798.6326976</v>
      </c>
      <c r="AB25" s="427">
        <f>'ANALYSE - ERP =&gt; SEGMENT'!$GJ$15</f>
        <v>2124.6265800000001</v>
      </c>
      <c r="AC25" s="427">
        <f>'ANALYSE - ERP =&gt; SEGMENT'!$GM$15</f>
        <v>1828.3402344000003</v>
      </c>
      <c r="AD25" s="427">
        <f>'ANALYSE - ERP =&gt; SEGMENT'!$GP$15</f>
        <v>561.26776799999993</v>
      </c>
      <c r="AF25" s="430">
        <f>'ANALYSE - ERP =&gt; SEGMENT'!$Q$15</f>
        <v>1</v>
      </c>
    </row>
    <row r="26" spans="1:32" ht="15" customHeight="1">
      <c r="A26" s="26">
        <v>23</v>
      </c>
      <c r="B26" s="26">
        <v>23</v>
      </c>
      <c r="C26" s="26">
        <v>21</v>
      </c>
      <c r="D26" s="497" t="s">
        <v>6739</v>
      </c>
      <c r="E26" s="498" t="s">
        <v>1014</v>
      </c>
      <c r="F26" s="498" t="s">
        <v>8000</v>
      </c>
      <c r="G26" s="413" t="str">
        <f>'ANALYSE - ERP =&gt; SEGMENT'!$D$10</f>
        <v>Universités
Grandes écoles
Résidences étudiantes et dortoirs</v>
      </c>
      <c r="I26" s="427">
        <f t="shared" si="2"/>
        <v>2395.3488342463997</v>
      </c>
      <c r="K26" s="787">
        <f t="shared" si="0"/>
        <v>0.62692889518901895</v>
      </c>
      <c r="L26" s="787">
        <f t="shared" si="1"/>
        <v>0.37307110481098105</v>
      </c>
      <c r="N26" s="424">
        <f>'ANALYSE - ERP =&gt; SEGMENT'!$EX$10</f>
        <v>11976.744171232</v>
      </c>
      <c r="O26" s="427">
        <f>'ANALYSE - ERP =&gt; SEGMENT'!$GE$10</f>
        <v>3249.2283881094399</v>
      </c>
      <c r="P26" s="427">
        <f>'ANALYSE - ERP =&gt; SEGMENT'!$GH$10</f>
        <v>5944.0890004528001</v>
      </c>
      <c r="Q26" s="427">
        <f>'ANALYSE - ERP =&gt; SEGMENT'!$GK$10</f>
        <v>2100.6472871632</v>
      </c>
      <c r="R26" s="427">
        <f>'ANALYSE - ERP =&gt; SEGMENT'!$GN$10</f>
        <v>682.7794955065599</v>
      </c>
      <c r="T26" s="424">
        <f>'ANALYSE - ERP =&gt; SEGMENT'!$EY$10</f>
        <v>7508.566991232</v>
      </c>
      <c r="U26" s="427">
        <f>'ANALYSE - ERP =&gt; SEGMENT'!$GF$10</f>
        <v>2048.1355261094395</v>
      </c>
      <c r="V26" s="427">
        <f>'ANALYSE - ERP =&gt; SEGMENT'!$GI$10</f>
        <v>3757.1513034528002</v>
      </c>
      <c r="W26" s="427">
        <f>'ANALYSE - ERP =&gt; SEGMENT'!$GL$10</f>
        <v>1253.3397037631999</v>
      </c>
      <c r="X26" s="427">
        <f>'ANALYSE - ERP =&gt; SEGMENT'!$GO$10</f>
        <v>449.94045790655997</v>
      </c>
      <c r="Z26" s="427">
        <f>'ANALYSE - ERP =&gt; SEGMENT'!$EZ$10</f>
        <v>4468.1771799999997</v>
      </c>
      <c r="AA26" s="427">
        <f>'ANALYSE - ERP =&gt; SEGMENT'!$GG$10</f>
        <v>1201.092862</v>
      </c>
      <c r="AB26" s="427">
        <f>'ANALYSE - ERP =&gt; SEGMENT'!$GJ$10</f>
        <v>2186.9376969999998</v>
      </c>
      <c r="AC26" s="427">
        <f>'ANALYSE - ERP =&gt; SEGMENT'!$GM$10</f>
        <v>847.30758340000011</v>
      </c>
      <c r="AD26" s="427">
        <f>'ANALYSE - ERP =&gt; SEGMENT'!$GP$10</f>
        <v>232.83903760000001</v>
      </c>
      <c r="AF26" s="430">
        <f>'ANALYSE - ERP =&gt; SEGMENT'!$Q$10</f>
        <v>1</v>
      </c>
    </row>
    <row r="27" spans="1:32" ht="15" customHeight="1">
      <c r="A27" s="26">
        <v>24</v>
      </c>
      <c r="B27" s="26">
        <v>21</v>
      </c>
      <c r="C27" s="26">
        <v>23</v>
      </c>
      <c r="D27" s="503" t="s">
        <v>2278</v>
      </c>
      <c r="E27" s="504" t="s">
        <v>1576</v>
      </c>
      <c r="F27" s="504" t="s">
        <v>1577</v>
      </c>
      <c r="G27" s="411" t="str">
        <f>'ANALYSE - ERP =&gt; SEGMENT'!$D$29</f>
        <v>Locaux associatifs recevant du public</v>
      </c>
      <c r="I27" s="427">
        <f t="shared" si="2"/>
        <v>1036.202331857143</v>
      </c>
      <c r="K27" s="787">
        <f t="shared" si="0"/>
        <v>0.76280076540699615</v>
      </c>
      <c r="L27" s="787">
        <f t="shared" si="1"/>
        <v>0.23719923459300377</v>
      </c>
      <c r="N27" s="424">
        <f>'ANALYSE - ERP =&gt; SEGMENT'!$EX$29</f>
        <v>5181.0116592857148</v>
      </c>
      <c r="O27" s="427">
        <f>'ANALYSE - ERP =&gt; SEGMENT'!$GE$29</f>
        <v>1802.8688400000001</v>
      </c>
      <c r="P27" s="427">
        <f>'ANALYSE - ERP =&gt; SEGMENT'!$GH$29</f>
        <v>2418.510034285714</v>
      </c>
      <c r="Q27" s="427">
        <f>'ANALYSE - ERP =&gt; SEGMENT'!$GK$29</f>
        <v>746.47858499999995</v>
      </c>
      <c r="R27" s="427">
        <f>'ANALYSE - ERP =&gt; SEGMENT'!$GN$29</f>
        <v>213.15420000000006</v>
      </c>
      <c r="T27" s="424">
        <f>'ANALYSE - ERP =&gt; SEGMENT'!$EY$29</f>
        <v>3952.0796592857146</v>
      </c>
      <c r="U27" s="427">
        <f>'ANALYSE - ERP =&gt; SEGMENT'!$GF$29</f>
        <v>1421.8999200000001</v>
      </c>
      <c r="V27" s="427">
        <f>'ANALYSE - ERP =&gt; SEGMENT'!$GI$29</f>
        <v>1791.7547142857143</v>
      </c>
      <c r="W27" s="427">
        <f>'ANALYSE - ERP =&gt; SEGMENT'!$GL$29</f>
        <v>562.13878499999998</v>
      </c>
      <c r="X27" s="427">
        <f>'ANALYSE - ERP =&gt; SEGMENT'!$GO$29</f>
        <v>176.28624000000005</v>
      </c>
      <c r="Z27" s="427">
        <f>'ANALYSE - ERP =&gt; SEGMENT'!$EZ$29</f>
        <v>1228.932</v>
      </c>
      <c r="AA27" s="427">
        <f>'ANALYSE - ERP =&gt; SEGMENT'!$GG$29</f>
        <v>380.96892000000003</v>
      </c>
      <c r="AB27" s="427">
        <f>'ANALYSE - ERP =&gt; SEGMENT'!$GJ$29</f>
        <v>626.75531999999998</v>
      </c>
      <c r="AC27" s="427">
        <f>'ANALYSE - ERP =&gt; SEGMENT'!$GM$29</f>
        <v>184.3398</v>
      </c>
      <c r="AD27" s="427">
        <f>'ANALYSE - ERP =&gt; SEGMENT'!$GP$29</f>
        <v>36.867959999999997</v>
      </c>
      <c r="AF27" s="430">
        <f>'ANALYSE - ERP =&gt; SEGMENT'!$Q$29</f>
        <v>1</v>
      </c>
    </row>
    <row r="28" spans="1:32" ht="15" customHeight="1">
      <c r="A28" s="26">
        <v>25</v>
      </c>
      <c r="B28" s="26">
        <v>24</v>
      </c>
      <c r="C28" s="26">
        <v>26</v>
      </c>
      <c r="D28" s="499" t="s">
        <v>3662</v>
      </c>
      <c r="E28" s="500" t="s">
        <v>1240</v>
      </c>
      <c r="F28" s="500" t="s">
        <v>8001</v>
      </c>
      <c r="G28" s="409" t="str">
        <f>'ANALYSE - ERP =&gt; SEGMENT'!$D$17</f>
        <v>Foires / salons
Halls d’exposition</v>
      </c>
      <c r="I28" s="427">
        <f t="shared" si="2"/>
        <v>1263.3390867734358</v>
      </c>
      <c r="K28" s="787">
        <f t="shared" si="0"/>
        <v>0.79535760532804245</v>
      </c>
      <c r="L28" s="787">
        <f t="shared" si="1"/>
        <v>0.20464239467195761</v>
      </c>
      <c r="N28" s="424">
        <f>'ANALYSE - ERP =&gt; SEGMENT'!$EX$17</f>
        <v>6316.6954338671794</v>
      </c>
      <c r="O28" s="427">
        <f>'ANALYSE - ERP =&gt; SEGMENT'!$GE$17</f>
        <v>927.44196332307706</v>
      </c>
      <c r="P28" s="427">
        <f>'ANALYSE - ERP =&gt; SEGMENT'!$GH$17</f>
        <v>3336.5333292307696</v>
      </c>
      <c r="Q28" s="427">
        <f>'ANALYSE - ERP =&gt; SEGMENT'!$GK$17</f>
        <v>1759.5810360799999</v>
      </c>
      <c r="R28" s="427">
        <f>'ANALYSE - ERP =&gt; SEGMENT'!$GN$17</f>
        <v>293.13910523333334</v>
      </c>
      <c r="T28" s="424">
        <f>'ANALYSE - ERP =&gt; SEGMENT'!$EY$17</f>
        <v>5024.0317538671798</v>
      </c>
      <c r="U28" s="427">
        <f>'ANALYSE - ERP =&gt; SEGMENT'!$GF$17</f>
        <v>746.46904812307707</v>
      </c>
      <c r="V28" s="427">
        <f>'ANALYSE - ERP =&gt; SEGMENT'!$GI$17</f>
        <v>2612.6416684307696</v>
      </c>
      <c r="W28" s="427">
        <f>'ANALYSE - ERP =&gt; SEGMENT'!$GL$17</f>
        <v>1410.56184248</v>
      </c>
      <c r="X28" s="427">
        <f>'ANALYSE - ERP =&gt; SEGMENT'!$GO$17</f>
        <v>254.35919483333333</v>
      </c>
      <c r="Z28" s="427">
        <f>'ANALYSE - ERP =&gt; SEGMENT'!$EZ$17</f>
        <v>1292.6636799999999</v>
      </c>
      <c r="AA28" s="427">
        <f>'ANALYSE - ERP =&gt; SEGMENT'!$GG$17</f>
        <v>180.97291520000002</v>
      </c>
      <c r="AB28" s="427">
        <f>'ANALYSE - ERP =&gt; SEGMENT'!$GJ$17</f>
        <v>723.89166080000007</v>
      </c>
      <c r="AC28" s="427">
        <f>'ANALYSE - ERP =&gt; SEGMENT'!$GM$17</f>
        <v>349.01919359999999</v>
      </c>
      <c r="AD28" s="427">
        <f>'ANALYSE - ERP =&gt; SEGMENT'!$GP$17</f>
        <v>38.779910399999999</v>
      </c>
      <c r="AF28" s="430">
        <f>'ANALYSE - ERP =&gt; SEGMENT'!$Q$17</f>
        <v>1</v>
      </c>
    </row>
    <row r="29" spans="1:32" ht="15" customHeight="1">
      <c r="A29" s="26">
        <v>26</v>
      </c>
      <c r="B29" s="26">
        <v>26</v>
      </c>
      <c r="C29" s="26">
        <v>25</v>
      </c>
      <c r="D29" s="507" t="s">
        <v>2285</v>
      </c>
      <c r="E29" s="508" t="s">
        <v>7336</v>
      </c>
      <c r="F29" s="508" t="s">
        <v>7337</v>
      </c>
      <c r="G29" s="414" t="str">
        <f>'ANALYSE - ERP =&gt; SEGMENT'!$D$33</f>
        <v>Parcs de stationnement couverts</v>
      </c>
      <c r="I29" s="427">
        <f t="shared" si="2"/>
        <v>0</v>
      </c>
      <c r="K29" s="787" t="str">
        <f t="shared" si="0"/>
        <v/>
      </c>
      <c r="L29" s="787" t="str">
        <f t="shared" si="1"/>
        <v/>
      </c>
      <c r="N29" s="424">
        <f>'ANALYSE - ERP =&gt; SEGMENT'!$EX$33</f>
        <v>0</v>
      </c>
      <c r="O29" s="427">
        <f>'ANALYSE - ERP =&gt; SEGMENT'!$GE$33</f>
        <v>0</v>
      </c>
      <c r="P29" s="427">
        <f>'ANALYSE - ERP =&gt; SEGMENT'!$GH$33</f>
        <v>0</v>
      </c>
      <c r="Q29" s="427">
        <f>'ANALYSE - ERP =&gt; SEGMENT'!$GK$33</f>
        <v>0</v>
      </c>
      <c r="R29" s="427">
        <f>'ANALYSE - ERP =&gt; SEGMENT'!$GN$33</f>
        <v>0</v>
      </c>
      <c r="T29" s="424">
        <f>'ANALYSE - ERP =&gt; SEGMENT'!$EY$33</f>
        <v>0</v>
      </c>
      <c r="U29" s="427">
        <f>'ANALYSE - ERP =&gt; SEGMENT'!$GF$33</f>
        <v>0</v>
      </c>
      <c r="V29" s="427">
        <f>'ANALYSE - ERP =&gt; SEGMENT'!$GI$33</f>
        <v>0</v>
      </c>
      <c r="W29" s="427">
        <f>'ANALYSE - ERP =&gt; SEGMENT'!$GL$33</f>
        <v>0</v>
      </c>
      <c r="X29" s="427">
        <f>'ANALYSE - ERP =&gt; SEGMENT'!$GO$33</f>
        <v>0</v>
      </c>
      <c r="Z29" s="427">
        <f>'ANALYSE - ERP =&gt; SEGMENT'!$EZ$33</f>
        <v>0</v>
      </c>
      <c r="AA29" s="427">
        <f>'ANALYSE - ERP =&gt; SEGMENT'!$GG$33</f>
        <v>0</v>
      </c>
      <c r="AB29" s="427">
        <f>'ANALYSE - ERP =&gt; SEGMENT'!$GJ$33</f>
        <v>0</v>
      </c>
      <c r="AC29" s="427">
        <f>'ANALYSE - ERP =&gt; SEGMENT'!$GM$33</f>
        <v>0</v>
      </c>
      <c r="AD29" s="427">
        <f>'ANALYSE - ERP =&gt; SEGMENT'!$GP$33</f>
        <v>0</v>
      </c>
      <c r="AF29" s="430">
        <f>'ANALYSE - ERP =&gt; SEGMENT'!$Q$33</f>
        <v>0</v>
      </c>
    </row>
    <row r="30" spans="1:32" ht="15" customHeight="1">
      <c r="A30" s="26">
        <v>27</v>
      </c>
      <c r="B30" s="26">
        <v>28</v>
      </c>
      <c r="C30" s="26">
        <v>27</v>
      </c>
      <c r="D30" s="509" t="s">
        <v>4908</v>
      </c>
      <c r="E30" s="510" t="s">
        <v>1985</v>
      </c>
      <c r="F30" s="510" t="s">
        <v>8002</v>
      </c>
      <c r="G30" s="411" t="str">
        <f>'ANALYSE - ERP =&gt; SEGMENT'!$D$35</f>
        <v>Unités d'hébergement des militaires &amp; réservistes
Centres de recrutement et bureaux d’information
Restaurants ou équipements sportifs ouverts au public sur emprise militaire
Hôpitaux d’instruction des armées et centres médicaux recevant du public
Salles de conférence, auditoriums et espaces événementiels ouverts au public</v>
      </c>
      <c r="I30" s="427">
        <f t="shared" si="2"/>
        <v>700.07323390852525</v>
      </c>
      <c r="K30" s="787">
        <f t="shared" si="0"/>
        <v>0.75772596382086221</v>
      </c>
      <c r="L30" s="787">
        <f t="shared" si="1"/>
        <v>0.24227403617913773</v>
      </c>
      <c r="N30" s="424">
        <f>'ANALYSE - ERP =&gt; SEGMENT'!$EX$35</f>
        <v>3500.3661695426263</v>
      </c>
      <c r="O30" s="427">
        <f>'ANALYSE - ERP =&gt; SEGMENT'!$GE$35</f>
        <v>736.00850101818185</v>
      </c>
      <c r="P30" s="427">
        <f>'ANALYSE - ERP =&gt; SEGMENT'!$GH$35</f>
        <v>2062.5268818666664</v>
      </c>
      <c r="Q30" s="427">
        <f>'ANALYSE - ERP =&gt; SEGMENT'!$GK$35</f>
        <v>400.21592337777781</v>
      </c>
      <c r="R30" s="427">
        <f>'ANALYSE - ERP =&gt; SEGMENT'!$GN$35</f>
        <v>301.61486328000001</v>
      </c>
      <c r="T30" s="424">
        <f>'ANALYSE - ERP =&gt; SEGMENT'!$EY$35</f>
        <v>2652.3183295426261</v>
      </c>
      <c r="U30" s="427">
        <f>'ANALYSE - ERP =&gt; SEGMENT'!$GF$35</f>
        <v>564.18545781818182</v>
      </c>
      <c r="V30" s="427">
        <f>'ANALYSE - ERP =&gt; SEGMENT'!$GI$35</f>
        <v>1542.3018962666663</v>
      </c>
      <c r="W30" s="427">
        <f>'ANALYSE - ERP =&gt; SEGMENT'!$GL$35</f>
        <v>311.10005617777779</v>
      </c>
      <c r="X30" s="427">
        <f>'ANALYSE - ERP =&gt; SEGMENT'!$GO$35</f>
        <v>234.73091927999999</v>
      </c>
      <c r="Z30" s="427">
        <f>'ANALYSE - ERP =&gt; SEGMENT'!$EZ$35</f>
        <v>848.04783999999995</v>
      </c>
      <c r="AA30" s="427">
        <f>'ANALYSE - ERP =&gt; SEGMENT'!$GG$35</f>
        <v>171.8230432</v>
      </c>
      <c r="AB30" s="427">
        <f>'ANALYSE - ERP =&gt; SEGMENT'!$GJ$35</f>
        <v>520.22498559999997</v>
      </c>
      <c r="AC30" s="427">
        <f>'ANALYSE - ERP =&gt; SEGMENT'!$GM$35</f>
        <v>89.115867199999997</v>
      </c>
      <c r="AD30" s="427">
        <f>'ANALYSE - ERP =&gt; SEGMENT'!$GP$35</f>
        <v>66.883944000000014</v>
      </c>
      <c r="AF30" s="430">
        <f>'ANALYSE - ERP =&gt; SEGMENT'!$Q$35</f>
        <v>1</v>
      </c>
    </row>
    <row r="31" spans="1:32" ht="15" customHeight="1">
      <c r="A31" s="26">
        <v>28</v>
      </c>
      <c r="B31" s="26">
        <v>27</v>
      </c>
      <c r="C31" s="26">
        <v>28</v>
      </c>
      <c r="D31" s="501" t="s">
        <v>2163</v>
      </c>
      <c r="E31" s="502" t="s">
        <v>2163</v>
      </c>
      <c r="F31" s="502" t="s">
        <v>2164</v>
      </c>
      <c r="G31" s="409" t="str">
        <f>'ANALYSE - ERP =&gt; SEGMENT'!$D$38</f>
        <v>Toilettes publiques (sur la voie publique)
Bains-douches municipaux / douches publiques fixes
Blocs sanitaires de plage / front de mer</v>
      </c>
      <c r="I31" s="427">
        <f t="shared" si="2"/>
        <v>1590.7066083766233</v>
      </c>
      <c r="K31" s="787">
        <f t="shared" si="0"/>
        <v>0.79525888791499277</v>
      </c>
      <c r="L31" s="787">
        <f t="shared" si="1"/>
        <v>0.20474111208500725</v>
      </c>
      <c r="N31" s="424">
        <f>'ANALYSE - ERP =&gt; SEGMENT'!$EX$38</f>
        <v>7953.5330418831163</v>
      </c>
      <c r="O31" s="427">
        <f>'ANALYSE - ERP =&gt; SEGMENT'!$GE$38</f>
        <v>438.48626999999993</v>
      </c>
      <c r="P31" s="427">
        <f>'ANALYSE - ERP =&gt; SEGMENT'!$GH$38</f>
        <v>4125.2880564545449</v>
      </c>
      <c r="Q31" s="427">
        <f>'ANALYSE - ERP =&gt; SEGMENT'!$GK$38</f>
        <v>852.92525142857141</v>
      </c>
      <c r="R31" s="427">
        <f>'ANALYSE - ERP =&gt; SEGMENT'!$GN$38</f>
        <v>2536.8334639999998</v>
      </c>
      <c r="T31" s="424">
        <f>'ANALYSE - ERP =&gt; SEGMENT'!$EY$38</f>
        <v>6325.1178418831169</v>
      </c>
      <c r="U31" s="427">
        <f>'ANALYSE - ERP =&gt; SEGMENT'!$GF$38</f>
        <v>355.39474999999993</v>
      </c>
      <c r="V31" s="427">
        <f>'ANALYSE - ERP =&gt; SEGMENT'!$GI$38</f>
        <v>3241.2657204545449</v>
      </c>
      <c r="W31" s="427">
        <f>'ANALYSE - ERP =&gt; SEGMENT'!$GL$38</f>
        <v>704.36297142857143</v>
      </c>
      <c r="X31" s="427">
        <f>'ANALYSE - ERP =&gt; SEGMENT'!$GO$38</f>
        <v>2024.0944</v>
      </c>
      <c r="Z31" s="427">
        <f>'ANALYSE - ERP =&gt; SEGMENT'!$EZ$38</f>
        <v>1628.4151999999999</v>
      </c>
      <c r="AA31" s="427">
        <f>'ANALYSE - ERP =&gt; SEGMENT'!$GG$38</f>
        <v>83.091520000000003</v>
      </c>
      <c r="AB31" s="427">
        <f>'ANALYSE - ERP =&gt; SEGMENT'!$GJ$38</f>
        <v>884.02233600000011</v>
      </c>
      <c r="AC31" s="427">
        <f>'ANALYSE - ERP =&gt; SEGMENT'!$GM$38</f>
        <v>148.56227999999999</v>
      </c>
      <c r="AD31" s="427">
        <f>'ANALYSE - ERP =&gt; SEGMENT'!$GP$38</f>
        <v>512.73906399999998</v>
      </c>
      <c r="AF31" s="430">
        <f>'ANALYSE - ERP =&gt; SEGMENT'!$Q$38</f>
        <v>1</v>
      </c>
    </row>
    <row r="32" spans="1:32" ht="15" customHeight="1">
      <c r="A32" s="26">
        <v>29</v>
      </c>
      <c r="B32" s="26">
        <v>29</v>
      </c>
      <c r="C32" s="26">
        <v>29</v>
      </c>
      <c r="D32" s="509" t="s">
        <v>4908</v>
      </c>
      <c r="E32" s="510" t="s">
        <v>2027</v>
      </c>
      <c r="F32" s="510" t="s">
        <v>8003</v>
      </c>
      <c r="G32" s="412" t="str">
        <f>'ANALYSE - ERP =&gt; SEGMENT'!$D$37</f>
        <v>Palais de justice et bâtiments judiciaires multi-usages
Maisons de justice et du droit
Tribunaux de commerce autonomes
Conseils de prud’hommes autonomes
Autres bâtiments judiciaires autonomes recevant du public</v>
      </c>
      <c r="I32" s="427">
        <f t="shared" si="2"/>
        <v>554.6506042717948</v>
      </c>
      <c r="K32" s="787">
        <f t="shared" si="0"/>
        <v>0.8478742124318448</v>
      </c>
      <c r="L32" s="787">
        <f t="shared" si="1"/>
        <v>0.15212578756815526</v>
      </c>
      <c r="N32" s="424">
        <f>'ANALYSE - ERP =&gt; SEGMENT'!$EX$37</f>
        <v>2773.2530213589739</v>
      </c>
      <c r="O32" s="427">
        <f>'ANALYSE - ERP =&gt; SEGMENT'!$GE$37</f>
        <v>473.68541161538451</v>
      </c>
      <c r="P32" s="427">
        <f>'ANALYSE - ERP =&gt; SEGMENT'!$GH$37</f>
        <v>1714.215387076923</v>
      </c>
      <c r="Q32" s="427">
        <f>'ANALYSE - ERP =&gt; SEGMENT'!$GK$37</f>
        <v>475.58534089999995</v>
      </c>
      <c r="R32" s="427">
        <f>'ANALYSE - ERP =&gt; SEGMENT'!$GN$37</f>
        <v>109.76688176666666</v>
      </c>
      <c r="T32" s="424">
        <f>'ANALYSE - ERP =&gt; SEGMENT'!$EY$37</f>
        <v>2351.3697213589739</v>
      </c>
      <c r="U32" s="427">
        <f>'ANALYSE - ERP =&gt; SEGMENT'!$GF$37</f>
        <v>406.18408361538457</v>
      </c>
      <c r="V32" s="427">
        <f>'ANALYSE - ERP =&gt; SEGMENT'!$GI$37</f>
        <v>1444.2100750769232</v>
      </c>
      <c r="W32" s="427">
        <f>'ANALYSE - ERP =&gt; SEGMENT'!$GL$37</f>
        <v>403.86517989999999</v>
      </c>
      <c r="X32" s="427">
        <f>'ANALYSE - ERP =&gt; SEGMENT'!$GO$37</f>
        <v>97.11038276666666</v>
      </c>
      <c r="Z32" s="427">
        <f>'ANALYSE - ERP =&gt; SEGMENT'!$EZ$37</f>
        <v>421.88329999999996</v>
      </c>
      <c r="AA32" s="427">
        <f>'ANALYSE - ERP =&gt; SEGMENT'!$GG$37</f>
        <v>67.501328000000001</v>
      </c>
      <c r="AB32" s="427">
        <f>'ANALYSE - ERP =&gt; SEGMENT'!$GJ$37</f>
        <v>270.005312</v>
      </c>
      <c r="AC32" s="427">
        <f>'ANALYSE - ERP =&gt; SEGMENT'!$GM$37</f>
        <v>71.720161000000004</v>
      </c>
      <c r="AD32" s="427">
        <f>'ANALYSE - ERP =&gt; SEGMENT'!$GP$37</f>
        <v>12.656498999999998</v>
      </c>
      <c r="AF32" s="430">
        <f>'ANALYSE - ERP =&gt; SEGMENT'!$Q$37</f>
        <v>1</v>
      </c>
    </row>
    <row r="33" spans="1:32" ht="15" customHeight="1">
      <c r="A33" s="26">
        <v>30</v>
      </c>
      <c r="B33" s="26">
        <v>30</v>
      </c>
      <c r="C33" s="26">
        <v>30</v>
      </c>
      <c r="D33" s="509" t="s">
        <v>4908</v>
      </c>
      <c r="E33" s="510" t="s">
        <v>1950</v>
      </c>
      <c r="F33" s="510" t="s">
        <v>8005</v>
      </c>
      <c r="G33" s="411" t="str">
        <f>'ANALYSE - ERP =&gt; SEGMENT'!$D$34</f>
        <v>Locaux de sûreté, garde à vue et zones opérationnelles
Postes de proximité et antennes avec accueil public
Salles de réunion, de prévention ou de conférence ouvertes au public</v>
      </c>
      <c r="I33" s="427">
        <f t="shared" si="2"/>
        <v>210.97690968355556</v>
      </c>
      <c r="K33" s="787">
        <f t="shared" si="0"/>
        <v>0.85205144938933131</v>
      </c>
      <c r="L33" s="787">
        <f t="shared" si="1"/>
        <v>0.14794855061066869</v>
      </c>
      <c r="N33" s="424">
        <f>'ANALYSE - ERP =&gt; SEGMENT'!$EX$34</f>
        <v>1054.8845484177778</v>
      </c>
      <c r="O33" s="427">
        <f>'ANALYSE - ERP =&gt; SEGMENT'!$GE$34</f>
        <v>58.399977999999997</v>
      </c>
      <c r="P33" s="427">
        <f>'ANALYSE - ERP =&gt; SEGMENT'!$GH$34</f>
        <v>759.54592839999998</v>
      </c>
      <c r="Q33" s="427">
        <f>'ANALYSE - ERP =&gt; SEGMENT'!$GK$34</f>
        <v>34.057032177777771</v>
      </c>
      <c r="R33" s="427">
        <f>'ANALYSE - ERP =&gt; SEGMENT'!$GN$34</f>
        <v>202.88160983999998</v>
      </c>
      <c r="T33" s="424">
        <f>'ANALYSE - ERP =&gt; SEGMENT'!$EY$34</f>
        <v>898.81590841777779</v>
      </c>
      <c r="U33" s="427">
        <f>'ANALYSE - ERP =&gt; SEGMENT'!$GF$34</f>
        <v>50.236185999999996</v>
      </c>
      <c r="V33" s="427">
        <f>'ANALYSE - ERP =&gt; SEGMENT'!$GI$34</f>
        <v>644.1992788</v>
      </c>
      <c r="W33" s="427">
        <f>'ANALYSE - ERP =&gt; SEGMENT'!$GL$34</f>
        <v>28.510108977777776</v>
      </c>
      <c r="X33" s="427">
        <f>'ANALYSE - ERP =&gt; SEGMENT'!$GO$34</f>
        <v>175.87033463999998</v>
      </c>
      <c r="Z33" s="427">
        <f>'ANALYSE - ERP =&gt; SEGMENT'!$EZ$34</f>
        <v>156.06863999999999</v>
      </c>
      <c r="AA33" s="427">
        <f>'ANALYSE - ERP =&gt; SEGMENT'!$GG$34</f>
        <v>8.1637920000000008</v>
      </c>
      <c r="AB33" s="427">
        <f>'ANALYSE - ERP =&gt; SEGMENT'!$GJ$34</f>
        <v>115.34664959999999</v>
      </c>
      <c r="AC33" s="427">
        <f>'ANALYSE - ERP =&gt; SEGMENT'!$GM$34</f>
        <v>5.5469231999999993</v>
      </c>
      <c r="AD33" s="427">
        <f>'ANALYSE - ERP =&gt; SEGMENT'!$GP$34</f>
        <v>27.011275199999996</v>
      </c>
      <c r="AF33" s="430">
        <f>'ANALYSE - ERP =&gt; SEGMENT'!$Q$34</f>
        <v>1</v>
      </c>
    </row>
    <row r="34" spans="1:32" ht="15" customHeight="1">
      <c r="A34" s="26">
        <v>31</v>
      </c>
      <c r="B34" s="26">
        <v>31</v>
      </c>
      <c r="C34" s="26">
        <v>31</v>
      </c>
      <c r="D34" s="505" t="s">
        <v>7117</v>
      </c>
      <c r="E34" s="506" t="s">
        <v>1487</v>
      </c>
      <c r="F34" s="506" t="s">
        <v>8004</v>
      </c>
      <c r="G34" s="409" t="str">
        <f>'ANALYSE - ERP =&gt; SEGMENT'!$D$25</f>
        <v>Hôtels-restaurants d’altitude
Refuges de montagne</v>
      </c>
      <c r="I34" s="427">
        <f t="shared" si="2"/>
        <v>258.25521316363631</v>
      </c>
      <c r="K34" s="787">
        <f t="shared" si="0"/>
        <v>0.78560123018730099</v>
      </c>
      <c r="L34" s="787">
        <f t="shared" si="1"/>
        <v>0.21439876981269909</v>
      </c>
      <c r="N34" s="424">
        <f>'ANALYSE - ERP =&gt; SEGMENT'!$EX$25</f>
        <v>1291.2760658181817</v>
      </c>
      <c r="O34" s="427">
        <f>'ANALYSE - ERP =&gt; SEGMENT'!$GE$25</f>
        <v>904.61326639999993</v>
      </c>
      <c r="P34" s="427">
        <f>'ANALYSE - ERP =&gt; SEGMENT'!$GH$25</f>
        <v>179.4576816</v>
      </c>
      <c r="Q34" s="427">
        <f>'ANALYSE - ERP =&gt; SEGMENT'!$GK$25</f>
        <v>79.996424000000005</v>
      </c>
      <c r="R34" s="427">
        <f>'ANALYSE - ERP =&gt; SEGMENT'!$GN$25</f>
        <v>127.20869381818181</v>
      </c>
      <c r="T34" s="424">
        <f>'ANALYSE - ERP =&gt; SEGMENT'!$EY$25</f>
        <v>1014.4280658181817</v>
      </c>
      <c r="U34" s="427">
        <f>'ANALYSE - ERP =&gt; SEGMENT'!$GF$25</f>
        <v>710.81966639999996</v>
      </c>
      <c r="V34" s="427">
        <f>'ANALYSE - ERP =&gt; SEGMENT'!$GI$25</f>
        <v>140.80184159999999</v>
      </c>
      <c r="W34" s="427">
        <f>'ANALYSE - ERP =&gt; SEGMENT'!$GL$25</f>
        <v>61.471304000000003</v>
      </c>
      <c r="X34" s="427">
        <f>'ANALYSE - ERP =&gt; SEGMENT'!$GO$25</f>
        <v>101.33525381818183</v>
      </c>
      <c r="Z34" s="427">
        <f>'ANALYSE - ERP =&gt; SEGMENT'!$EZ$25</f>
        <v>276.84800000000001</v>
      </c>
      <c r="AA34" s="427">
        <f>'ANALYSE - ERP =&gt; SEGMENT'!$GG$25</f>
        <v>193.79359999999997</v>
      </c>
      <c r="AB34" s="427">
        <f>'ANALYSE - ERP =&gt; SEGMENT'!$GJ$25</f>
        <v>38.655839999999998</v>
      </c>
      <c r="AC34" s="427">
        <f>'ANALYSE - ERP =&gt; SEGMENT'!$GM$25</f>
        <v>18.525120000000001</v>
      </c>
      <c r="AD34" s="427">
        <f>'ANALYSE - ERP =&gt; SEGMENT'!$GP$25</f>
        <v>25.873440000000002</v>
      </c>
      <c r="AF34" s="430">
        <f>'ANALYSE - ERP =&gt; SEGMENT'!$Q$25</f>
        <v>1</v>
      </c>
    </row>
  </sheetData>
  <pageMargins left="3.937007874015748E-2" right="3.937007874015748E-2" top="7.874015748031496E-2" bottom="7.874015748031496E-2" header="0.11811023622047249" footer="0.11811023622047249"/>
  <pageSetup paperSize="8" scale="68" fitToHeight="2"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theme="8" tint="-0.249977111117893"/>
    <pageSetUpPr fitToPage="1"/>
  </sheetPr>
  <dimension ref="A1:BB34"/>
  <sheetViews>
    <sheetView topLeftCell="A2" zoomScale="85" zoomScaleNormal="85" workbookViewId="0">
      <selection activeCell="U37" sqref="U37"/>
    </sheetView>
  </sheetViews>
  <sheetFormatPr baseColWidth="10" defaultColWidth="9.140625" defaultRowHeight="15"/>
  <cols>
    <col min="1" max="1" width="6.140625" style="934" customWidth="1"/>
    <col min="2" max="2" width="5.7109375" style="934" customWidth="1"/>
    <col min="3" max="3" width="5.5703125" style="934" customWidth="1"/>
    <col min="4" max="4" width="6" style="934" customWidth="1"/>
    <col min="5" max="5" width="30.28515625" style="43" customWidth="1"/>
    <col min="6" max="6" width="22" style="43" customWidth="1"/>
    <col min="7" max="7" width="45.140625" style="43" customWidth="1"/>
    <col min="8" max="8" width="1.7109375" style="933" customWidth="1"/>
    <col min="9" max="9" width="9.7109375" style="934" customWidth="1"/>
    <col min="10" max="10" width="1.7109375" style="933" customWidth="1"/>
    <col min="11" max="11" width="9.5703125" style="934" customWidth="1"/>
    <col min="12" max="12" width="9" style="934" customWidth="1"/>
    <col min="13" max="13" width="1.7109375" style="933" customWidth="1"/>
    <col min="14" max="14" width="9.42578125" style="934" customWidth="1"/>
    <col min="15" max="15" width="9" style="934" customWidth="1"/>
    <col min="16" max="16" width="10.42578125" style="934" customWidth="1"/>
    <col min="17" max="17" width="8.7109375" style="934" customWidth="1"/>
    <col min="18" max="18" width="1.7109375" style="933" customWidth="1"/>
    <col min="19" max="19" width="9" style="934" customWidth="1"/>
    <col min="20" max="20" width="8.85546875" style="934" customWidth="1"/>
    <col min="21" max="21" width="9.7109375" style="934" customWidth="1"/>
    <col min="22" max="22" width="10.42578125" style="934" customWidth="1"/>
    <col min="23" max="23" width="1.7109375" style="933" customWidth="1"/>
    <col min="24" max="24" width="8.140625" style="934" customWidth="1"/>
    <col min="25" max="25" width="9.85546875" style="934" customWidth="1"/>
    <col min="26" max="26" width="9" style="934" customWidth="1"/>
    <col min="27" max="27" width="9.42578125" style="934" customWidth="1"/>
    <col min="28" max="28" width="1.7109375" style="933" customWidth="1"/>
    <col min="29" max="29" width="12.5703125" style="934" customWidth="1"/>
    <col min="30" max="54" width="9.140625" style="933" customWidth="1"/>
  </cols>
  <sheetData>
    <row r="1" spans="1:29" s="438" customFormat="1" ht="18.75" customHeight="1">
      <c r="A1" s="933"/>
      <c r="B1" s="933"/>
      <c r="C1" s="933"/>
      <c r="D1" s="477"/>
      <c r="E1" s="479"/>
      <c r="F1" s="478" t="s">
        <v>7948</v>
      </c>
      <c r="G1" s="479"/>
      <c r="H1" s="933"/>
      <c r="I1" s="933"/>
      <c r="J1" s="933"/>
      <c r="K1" s="933"/>
      <c r="L1" s="933"/>
      <c r="M1" s="933"/>
      <c r="N1" s="460" t="s">
        <v>7949</v>
      </c>
      <c r="O1" s="440"/>
      <c r="P1" s="440"/>
      <c r="Q1" s="436"/>
      <c r="R1" s="933"/>
      <c r="S1" s="461" t="s">
        <v>7949</v>
      </c>
      <c r="T1" s="434"/>
      <c r="U1" s="439"/>
      <c r="V1" s="434"/>
      <c r="W1" s="933"/>
      <c r="X1" s="462" t="s">
        <v>7949</v>
      </c>
      <c r="Y1" s="435"/>
      <c r="Z1" s="441"/>
      <c r="AA1" s="435"/>
      <c r="AB1" s="933"/>
      <c r="AC1" s="436"/>
    </row>
    <row r="2" spans="1:29" s="437" customFormat="1" ht="54.75" customHeight="1">
      <c r="A2" s="431" t="s">
        <v>7853</v>
      </c>
      <c r="B2" s="432" t="s">
        <v>7854</v>
      </c>
      <c r="C2" s="433" t="s">
        <v>7855</v>
      </c>
      <c r="D2" s="829" t="s">
        <v>2044</v>
      </c>
      <c r="E2" s="829" t="s">
        <v>6714</v>
      </c>
      <c r="F2" s="829" t="s">
        <v>6715</v>
      </c>
      <c r="G2" s="829" t="s">
        <v>2181</v>
      </c>
      <c r="H2" s="453"/>
      <c r="I2" s="436" t="s">
        <v>7920</v>
      </c>
      <c r="J2" s="453"/>
      <c r="K2" s="434" t="s">
        <v>7860</v>
      </c>
      <c r="L2" s="435" t="s">
        <v>2534</v>
      </c>
      <c r="M2" s="453"/>
      <c r="N2" s="436" t="s">
        <v>7857</v>
      </c>
      <c r="O2" s="436" t="s">
        <v>7936</v>
      </c>
      <c r="P2" s="436" t="s">
        <v>7937</v>
      </c>
      <c r="Q2" s="436" t="s">
        <v>7938</v>
      </c>
      <c r="R2" s="453"/>
      <c r="S2" s="434" t="s">
        <v>7925</v>
      </c>
      <c r="T2" s="434" t="s">
        <v>7940</v>
      </c>
      <c r="U2" s="434" t="s">
        <v>7941</v>
      </c>
      <c r="V2" s="434" t="s">
        <v>7942</v>
      </c>
      <c r="W2" s="453"/>
      <c r="X2" s="435" t="s">
        <v>7930</v>
      </c>
      <c r="Y2" s="435" t="s">
        <v>7944</v>
      </c>
      <c r="Z2" s="435" t="s">
        <v>7945</v>
      </c>
      <c r="AA2" s="435" t="s">
        <v>7946</v>
      </c>
      <c r="AB2" s="453"/>
      <c r="AC2" s="436" t="s">
        <v>6711</v>
      </c>
    </row>
    <row r="3" spans="1:29">
      <c r="A3" s="405" t="s">
        <v>2535</v>
      </c>
      <c r="B3" s="405" t="s">
        <v>2535</v>
      </c>
      <c r="C3" s="405" t="s">
        <v>2535</v>
      </c>
      <c r="D3" s="405" t="s">
        <v>2090</v>
      </c>
      <c r="E3" s="405" t="s">
        <v>2086</v>
      </c>
      <c r="F3" s="405" t="s">
        <v>6728</v>
      </c>
      <c r="G3" s="405" t="s">
        <v>6729</v>
      </c>
      <c r="I3" s="426">
        <f>IFERROR(N3/5,"")</f>
        <v>162247.41818126701</v>
      </c>
      <c r="K3" s="790">
        <f t="shared" ref="K3:K34" si="0">IFERROR(S3/N3,"")</f>
        <v>0.81317579918279537</v>
      </c>
      <c r="L3" s="790">
        <f t="shared" ref="L3:L34" si="1">IFERROR(X3/N3,"")</f>
        <v>0.18682420081720461</v>
      </c>
      <c r="N3" s="426">
        <f>SUMPRODUCT(($AC$4:$AC$106),('ANALYSE - ERP =&gt; SEGMENT'!$FA$8:$FA$110))</f>
        <v>811237.09090633504</v>
      </c>
      <c r="O3" s="426">
        <f>SUMPRODUCT(($AC$4:$AC$106),('ANALYSE - ERP =&gt; SEGMENT'!$GQ$8:$GQ$110))</f>
        <v>303717.02410178777</v>
      </c>
      <c r="P3" s="426">
        <f>SUMPRODUCT(($AC$4:$AC$106),('ANALYSE - ERP =&gt; SEGMENT'!$GT$8:$GT$110))</f>
        <v>445104.46261680603</v>
      </c>
      <c r="Q3" s="426">
        <f>SUMPRODUCT(($AC$4:$AC$106),('ANALYSE - ERP =&gt; SEGMENT'!$GW$8:$GW$110))</f>
        <v>62415.604187741003</v>
      </c>
      <c r="S3" s="426">
        <f>SUMPRODUCT(($AC$4:$AC$106),('ANALYSE - ERP =&gt; SEGMENT'!$FB$8:$FB$110))</f>
        <v>659678.36972448498</v>
      </c>
      <c r="T3" s="426">
        <f>SUMPRODUCT(($AC$4:$AC$106),('ANALYSE - ERP =&gt; SEGMENT'!$GR$8:$GR$110))</f>
        <v>250978.75313335782</v>
      </c>
      <c r="U3" s="426">
        <f>SUMPRODUCT(($AC$4:$AC$106),('ANALYSE - ERP =&gt; SEGMENT'!$GU$8:$GU$110))</f>
        <v>359192.72359226062</v>
      </c>
      <c r="V3" s="426">
        <f>SUMPRODUCT(($AC$4:$AC$106),('ANALYSE - ERP =&gt; SEGMENT'!$GX$8:$GX$110))</f>
        <v>49506.892998866504</v>
      </c>
      <c r="X3" s="426">
        <f>SUMPRODUCT(($AC$4:$AC$106),('ANALYSE - ERP =&gt; SEGMENT'!$FC$8:$FC$110))</f>
        <v>151558.72118185001</v>
      </c>
      <c r="Y3" s="426">
        <f>SUMPRODUCT(($AC$4:$AC$106),('ANALYSE - ERP =&gt; SEGMENT'!$GS$8:$GS$110))</f>
        <v>52738.270968429999</v>
      </c>
      <c r="Z3" s="426">
        <f>SUMPRODUCT(($AC$4:$AC$106),('ANALYSE - ERP =&gt; SEGMENT'!$GV$8:$GV$110))</f>
        <v>85911.739024545503</v>
      </c>
      <c r="AA3" s="426">
        <f>SUMPRODUCT(($AC$4:$AC$106),('ANALYSE - ERP =&gt; SEGMENT'!$GY$8:$GY$110))</f>
        <v>12908.711188874498</v>
      </c>
      <c r="AC3" s="428">
        <f>SUM('ANALYSE - ERP =&gt; SEGMENT'!$Q$8:$Q$110)</f>
        <v>34</v>
      </c>
    </row>
    <row r="4" spans="1:29" ht="15" customHeight="1">
      <c r="A4" s="26">
        <v>1</v>
      </c>
      <c r="B4" s="26">
        <v>1</v>
      </c>
      <c r="C4" s="26">
        <v>1</v>
      </c>
      <c r="D4" s="491" t="s">
        <v>2187</v>
      </c>
      <c r="E4" s="492" t="s">
        <v>3877</v>
      </c>
      <c r="F4" s="492" t="s">
        <v>7981</v>
      </c>
      <c r="G4" s="408" t="str">
        <f>'ANALYSE - ERP =&gt; SEGMENT'!$D$19</f>
        <v>Cafés / bars / brasseries
Fast-food / cafétérias / food courts
Restaurants
(Hors établissements altitude, flottant, armée)</v>
      </c>
      <c r="I4" s="427">
        <f t="shared" ref="I4:I34" si="2">N4/5</f>
        <v>0</v>
      </c>
      <c r="K4" s="787" t="str">
        <f t="shared" si="0"/>
        <v/>
      </c>
      <c r="L4" s="787" t="str">
        <f t="shared" si="1"/>
        <v/>
      </c>
      <c r="N4" s="424">
        <f>'ANALYSE - ERP =&gt; SEGMENT'!$FA$19</f>
        <v>0</v>
      </c>
      <c r="O4" s="427">
        <f>'ANALYSE - ERP =&gt; SEGMENT'!$GQ$19</f>
        <v>0</v>
      </c>
      <c r="P4" s="427">
        <f>'ANALYSE - ERP =&gt; SEGMENT'!$GT$19</f>
        <v>0</v>
      </c>
      <c r="Q4" s="427">
        <f>'ANALYSE - ERP =&gt; SEGMENT'!$GW$19</f>
        <v>0</v>
      </c>
      <c r="S4" s="424">
        <f>'ANALYSE - ERP =&gt; SEGMENT'!$FB$19</f>
        <v>0</v>
      </c>
      <c r="T4" s="427">
        <f>'ANALYSE - ERP =&gt; SEGMENT'!$GR$19</f>
        <v>0</v>
      </c>
      <c r="U4" s="427">
        <f>'ANALYSE - ERP =&gt; SEGMENT'!$GU$19</f>
        <v>0</v>
      </c>
      <c r="V4" s="427">
        <f>'ANALYSE - ERP =&gt; SEGMENT'!$GX$19</f>
        <v>0</v>
      </c>
      <c r="X4" s="427">
        <f>'ANALYSE - ERP =&gt; SEGMENT'!$FC$19</f>
        <v>0</v>
      </c>
      <c r="Y4" s="427">
        <f>'ANALYSE - ERP =&gt; SEGMENT'!$GS$19</f>
        <v>0</v>
      </c>
      <c r="Z4" s="427">
        <f>'ANALYSE - ERP =&gt; SEGMENT'!$GV$19</f>
        <v>0</v>
      </c>
      <c r="AA4" s="427">
        <f>'ANALYSE - ERP =&gt; SEGMENT'!$GY$19</f>
        <v>0</v>
      </c>
      <c r="AC4" s="430">
        <f>'ANALYSE - ERP =&gt; SEGMENT'!$Q$19</f>
        <v>1</v>
      </c>
    </row>
    <row r="5" spans="1:29" ht="15" customHeight="1">
      <c r="A5" s="26">
        <v>2</v>
      </c>
      <c r="B5" s="26">
        <v>2</v>
      </c>
      <c r="C5" s="26">
        <v>2</v>
      </c>
      <c r="D5" s="495" t="s">
        <v>1670</v>
      </c>
      <c r="E5" s="496" t="s">
        <v>1671</v>
      </c>
      <c r="F5" s="496" t="s">
        <v>7983</v>
      </c>
      <c r="G5" s="416" t="str">
        <f>'ANALYSE - ERP =&gt; SEGMENT'!$D$30</f>
        <v>Gymnases / salles multisports
Piscines couvertes
Salles de fitness / dojos
Patinoires couvertes
Établissements thermaux
Centres de thalassothérapie / balnéothérapie / grands spas ouverts au public</v>
      </c>
      <c r="I5" s="427">
        <f t="shared" si="2"/>
        <v>48097.670861950006</v>
      </c>
      <c r="K5" s="787">
        <f t="shared" si="0"/>
        <v>0.80866231326639149</v>
      </c>
      <c r="L5" s="787">
        <f t="shared" si="1"/>
        <v>0.19133768673360854</v>
      </c>
      <c r="N5" s="424">
        <f>'ANALYSE - ERP =&gt; SEGMENT'!$FA$30</f>
        <v>240488.35430975002</v>
      </c>
      <c r="O5" s="427">
        <f>'ANALYSE - ERP =&gt; SEGMENT'!$GQ$30</f>
        <v>55740.65982975001</v>
      </c>
      <c r="P5" s="427">
        <f>'ANALYSE - ERP =&gt; SEGMENT'!$GT$30</f>
        <v>166992.70434999999</v>
      </c>
      <c r="Q5" s="427">
        <f>'ANALYSE - ERP =&gt; SEGMENT'!$GW$30</f>
        <v>17754.990130000002</v>
      </c>
      <c r="S5" s="424">
        <f>'ANALYSE - ERP =&gt; SEGMENT'!$FB$30</f>
        <v>194473.86890975002</v>
      </c>
      <c r="T5" s="427">
        <f>'ANALYSE - ERP =&gt; SEGMENT'!$GR$30</f>
        <v>46960.071369750003</v>
      </c>
      <c r="U5" s="427">
        <f>'ANALYSE - ERP =&gt; SEGMENT'!$GU$30</f>
        <v>133524.74161200001</v>
      </c>
      <c r="V5" s="427">
        <f>'ANALYSE - ERP =&gt; SEGMENT'!$GX$30</f>
        <v>13989.055927999998</v>
      </c>
      <c r="X5" s="427">
        <f>'ANALYSE - ERP =&gt; SEGMENT'!$FC$30</f>
        <v>46014.485400000005</v>
      </c>
      <c r="Y5" s="427">
        <f>'ANALYSE - ERP =&gt; SEGMENT'!$GS$30</f>
        <v>8780.588459999999</v>
      </c>
      <c r="Z5" s="427">
        <f>'ANALYSE - ERP =&gt; SEGMENT'!$GV$30</f>
        <v>33467.962738000002</v>
      </c>
      <c r="AA5" s="427">
        <f>'ANALYSE - ERP =&gt; SEGMENT'!$GY$30</f>
        <v>3765.9342019999999</v>
      </c>
      <c r="AC5" s="430">
        <f>'ANALYSE - ERP =&gt; SEGMENT'!$Q$30</f>
        <v>1</v>
      </c>
    </row>
    <row r="6" spans="1:29" ht="15" customHeight="1">
      <c r="A6" s="26">
        <v>3</v>
      </c>
      <c r="B6" s="26">
        <v>3</v>
      </c>
      <c r="C6" s="26">
        <v>3</v>
      </c>
      <c r="D6" s="493" t="s">
        <v>2241</v>
      </c>
      <c r="E6" s="494" t="s">
        <v>1032</v>
      </c>
      <c r="F6" s="494" t="s">
        <v>7982</v>
      </c>
      <c r="G6" s="409" t="str">
        <f>'ANALYSE - ERP =&gt; SEGMENT'!$D$14</f>
        <v>Établissements médico-éducatifs
Foyers pour personnes handicapées
EHPAD
USLD
Résidences autonomie
Foyers-logements
(Public)
Résidences services seniors
(Privé)</v>
      </c>
      <c r="I6" s="427">
        <f t="shared" si="2"/>
        <v>23644.683657867306</v>
      </c>
      <c r="K6" s="787">
        <f t="shared" si="0"/>
        <v>0.81564187937233845</v>
      </c>
      <c r="L6" s="787">
        <f t="shared" si="1"/>
        <v>0.18435812062766158</v>
      </c>
      <c r="N6" s="424">
        <f>'ANALYSE - ERP =&gt; SEGMENT'!$FA$14</f>
        <v>118223.41828933654</v>
      </c>
      <c r="O6" s="427">
        <f>'ANALYSE - ERP =&gt; SEGMENT'!$GQ$14</f>
        <v>95218.383887476928</v>
      </c>
      <c r="P6" s="427">
        <f>'ANALYSE - ERP =&gt; SEGMENT'!$GT$14</f>
        <v>17534.118374240152</v>
      </c>
      <c r="Q6" s="427">
        <f>'ANALYSE - ERP =&gt; SEGMENT'!$GW$14</f>
        <v>5470.9160276194443</v>
      </c>
      <c r="S6" s="424">
        <f>'ANALYSE - ERP =&gt; SEGMENT'!$FB$14</f>
        <v>96427.971079336538</v>
      </c>
      <c r="T6" s="427">
        <f>'ANALYSE - ERP =&gt; SEGMENT'!$GR$14</f>
        <v>78049.228466076936</v>
      </c>
      <c r="U6" s="427">
        <f>'ANALYSE - ERP =&gt; SEGMENT'!$GU$14</f>
        <v>13881.397874040151</v>
      </c>
      <c r="V6" s="427">
        <f>'ANALYSE - ERP =&gt; SEGMENT'!$GX$14</f>
        <v>4497.3447392194448</v>
      </c>
      <c r="X6" s="427">
        <f>'ANALYSE - ERP =&gt; SEGMENT'!$FC$14</f>
        <v>21795.447209999998</v>
      </c>
      <c r="Y6" s="427">
        <f>'ANALYSE - ERP =&gt; SEGMENT'!$GS$14</f>
        <v>17169.155421399999</v>
      </c>
      <c r="Z6" s="427">
        <f>'ANALYSE - ERP =&gt; SEGMENT'!$GV$14</f>
        <v>3652.7205002000001</v>
      </c>
      <c r="AA6" s="427">
        <f>'ANALYSE - ERP =&gt; SEGMENT'!$GY$14</f>
        <v>973.57128840000007</v>
      </c>
      <c r="AC6" s="430">
        <f>'ANALYSE - ERP =&gt; SEGMENT'!$Q$14</f>
        <v>1</v>
      </c>
    </row>
    <row r="7" spans="1:29" ht="15" customHeight="1">
      <c r="A7" s="26">
        <v>4</v>
      </c>
      <c r="B7" s="26">
        <v>4</v>
      </c>
      <c r="C7" s="26">
        <v>4</v>
      </c>
      <c r="D7" s="495" t="s">
        <v>1670</v>
      </c>
      <c r="E7" s="496" t="s">
        <v>1747</v>
      </c>
      <c r="F7" s="496" t="s">
        <v>7986</v>
      </c>
      <c r="G7" s="415" t="str">
        <f>'ANALYSE - ERP =&gt; SEGMENT'!$D$31</f>
        <v>Grands stades avec tribunes
(Type football/rugby) 
Stades 
(Type athlétisme - Hors scolaire)
Terrains de sport
(Hors scolaire)
Hippodromes
Piscines extérieures 
(Hors campings, hôtels, résidences et établissement avec bassin intérieur)
Bases nautiques / centres nautiques avec vestiaires-douches
Bases de loisirs avec plages, douches et sanitaires</v>
      </c>
      <c r="I7" s="427">
        <f t="shared" si="2"/>
        <v>37880.975530025004</v>
      </c>
      <c r="K7" s="787">
        <f t="shared" si="0"/>
        <v>0.84028139995485462</v>
      </c>
      <c r="L7" s="787">
        <f t="shared" si="1"/>
        <v>0.15971860004514532</v>
      </c>
      <c r="N7" s="424">
        <f>'ANALYSE - ERP =&gt; SEGMENT'!$FA$31</f>
        <v>189404.87765012501</v>
      </c>
      <c r="O7" s="427">
        <f>'ANALYSE - ERP =&gt; SEGMENT'!$GQ$31</f>
        <v>28495.738656000001</v>
      </c>
      <c r="P7" s="427">
        <f>'ANALYSE - ERP =&gt; SEGMENT'!$GT$31</f>
        <v>149664.86190599998</v>
      </c>
      <c r="Q7" s="427">
        <f>'ANALYSE - ERP =&gt; SEGMENT'!$GW$31</f>
        <v>11244.277088125</v>
      </c>
      <c r="S7" s="424">
        <f>'ANALYSE - ERP =&gt; SEGMENT'!$FB$31</f>
        <v>159153.395750125</v>
      </c>
      <c r="T7" s="427">
        <f>'ANALYSE - ERP =&gt; SEGMENT'!$GR$31</f>
        <v>24761.107835999996</v>
      </c>
      <c r="U7" s="427">
        <f>'ANALYSE - ERP =&gt; SEGMENT'!$GU$31</f>
        <v>125049.40532399999</v>
      </c>
      <c r="V7" s="427">
        <f>'ANALYSE - ERP =&gt; SEGMENT'!$GX$31</f>
        <v>9342.8825901249984</v>
      </c>
      <c r="X7" s="427">
        <f>'ANALYSE - ERP =&gt; SEGMENT'!$FC$31</f>
        <v>30251.481899999999</v>
      </c>
      <c r="Y7" s="427">
        <f>'ANALYSE - ERP =&gt; SEGMENT'!$GS$31</f>
        <v>3734.6308199999994</v>
      </c>
      <c r="Z7" s="427">
        <f>'ANALYSE - ERP =&gt; SEGMENT'!$GV$31</f>
        <v>24615.456581999995</v>
      </c>
      <c r="AA7" s="427">
        <f>'ANALYSE - ERP =&gt; SEGMENT'!$GY$31</f>
        <v>1901.3944980000001</v>
      </c>
      <c r="AC7" s="430">
        <f>'ANALYSE - ERP =&gt; SEGMENT'!$Q$31</f>
        <v>1</v>
      </c>
    </row>
    <row r="8" spans="1:29" ht="15" customHeight="1">
      <c r="A8" s="26">
        <v>5</v>
      </c>
      <c r="B8" s="26">
        <v>5</v>
      </c>
      <c r="C8" s="26">
        <v>5</v>
      </c>
      <c r="D8" s="493" t="s">
        <v>2241</v>
      </c>
      <c r="E8" s="494" t="s">
        <v>1053</v>
      </c>
      <c r="F8" s="494" t="s">
        <v>7988</v>
      </c>
      <c r="G8" s="414" t="str">
        <f>'ANALYSE - ERP =&gt; SEGMENT'!$D$13</f>
        <v>Hôpitaux universitaires / CHU
Hôpitaux publics 
(Hors CHU, Universitaire, Militaire, Carcéral)
Hôpitaux privés
Cliniques</v>
      </c>
      <c r="I8" s="427">
        <f t="shared" si="2"/>
        <v>14473.767252768001</v>
      </c>
      <c r="K8" s="787">
        <f t="shared" si="0"/>
        <v>0.8244448735684855</v>
      </c>
      <c r="L8" s="787">
        <f t="shared" si="1"/>
        <v>0.17555512643151444</v>
      </c>
      <c r="N8" s="424">
        <f>'ANALYSE - ERP =&gt; SEGMENT'!$FA$13</f>
        <v>72368.836263839999</v>
      </c>
      <c r="O8" s="427">
        <f>'ANALYSE - ERP =&gt; SEGMENT'!$GQ$13</f>
        <v>56631.054004400008</v>
      </c>
      <c r="P8" s="427">
        <f>'ANALYSE - ERP =&gt; SEGMENT'!$GT$13</f>
        <v>11944.77142144</v>
      </c>
      <c r="Q8" s="427">
        <f>'ANALYSE - ERP =&gt; SEGMENT'!$GW$13</f>
        <v>3793.0108379999997</v>
      </c>
      <c r="S8" s="424">
        <f>'ANALYSE - ERP =&gt; SEGMENT'!$FB$13</f>
        <v>59664.116063839996</v>
      </c>
      <c r="T8" s="427">
        <f>'ANALYSE - ERP =&gt; SEGMENT'!$GR$13</f>
        <v>46793.909032000003</v>
      </c>
      <c r="U8" s="427">
        <f>'ANALYSE - ERP =&gt; SEGMENT'!$GU$13</f>
        <v>9717.3582758400007</v>
      </c>
      <c r="V8" s="427">
        <f>'ANALYSE - ERP =&gt; SEGMENT'!$GX$13</f>
        <v>3152.8487559999999</v>
      </c>
      <c r="X8" s="427">
        <f>'ANALYSE - ERP =&gt; SEGMENT'!$FC$13</f>
        <v>12704.720199999998</v>
      </c>
      <c r="Y8" s="427">
        <f>'ANALYSE - ERP =&gt; SEGMENT'!$GS$13</f>
        <v>9837.1449723999995</v>
      </c>
      <c r="Z8" s="427">
        <f>'ANALYSE - ERP =&gt; SEGMENT'!$GV$13</f>
        <v>2227.4131456000005</v>
      </c>
      <c r="AA8" s="427">
        <f>'ANALYSE - ERP =&gt; SEGMENT'!$GY$13</f>
        <v>640.16208199999994</v>
      </c>
      <c r="AC8" s="430">
        <f>'ANALYSE - ERP =&gt; SEGMENT'!$Q$13</f>
        <v>1</v>
      </c>
    </row>
    <row r="9" spans="1:29" ht="15" customHeight="1">
      <c r="A9" s="26">
        <v>6</v>
      </c>
      <c r="B9" s="26">
        <v>6</v>
      </c>
      <c r="C9" s="26">
        <v>7</v>
      </c>
      <c r="D9" s="505" t="s">
        <v>7117</v>
      </c>
      <c r="E9" s="506" t="s">
        <v>4268</v>
      </c>
      <c r="F9" s="506" t="s">
        <v>4269</v>
      </c>
      <c r="G9" s="408" t="str">
        <f>'ANALYSE - ERP =&gt; SEGMENT'!$D$26</f>
        <v>Campings
Aires d’accueil des gens du voyage</v>
      </c>
      <c r="I9" s="427">
        <f t="shared" si="2"/>
        <v>10835.336912054545</v>
      </c>
      <c r="K9" s="787">
        <f t="shared" si="0"/>
        <v>0.87620784006192343</v>
      </c>
      <c r="L9" s="787">
        <f t="shared" si="1"/>
        <v>0.12379215993807648</v>
      </c>
      <c r="N9" s="424">
        <f>'ANALYSE - ERP =&gt; SEGMENT'!$FA$26</f>
        <v>54176.684560272726</v>
      </c>
      <c r="O9" s="427">
        <f>'ANALYSE - ERP =&gt; SEGMENT'!$GQ$26</f>
        <v>19735.781167272726</v>
      </c>
      <c r="P9" s="427">
        <f>'ANALYSE - ERP =&gt; SEGMENT'!$GT$26</f>
        <v>31061.516607999998</v>
      </c>
      <c r="Q9" s="427">
        <f>'ANALYSE - ERP =&gt; SEGMENT'!$GW$26</f>
        <v>3379.3867850000001</v>
      </c>
      <c r="S9" s="424">
        <f>'ANALYSE - ERP =&gt; SEGMENT'!$FB$26</f>
        <v>47470.035760272724</v>
      </c>
      <c r="T9" s="427">
        <f>'ANALYSE - ERP =&gt; SEGMENT'!$GR$26</f>
        <v>17523.878527272725</v>
      </c>
      <c r="U9" s="427">
        <f>'ANALYSE - ERP =&gt; SEGMENT'!$GU$26</f>
        <v>26989.160175999998</v>
      </c>
      <c r="V9" s="427">
        <f>'ANALYSE - ERP =&gt; SEGMENT'!$GX$26</f>
        <v>2956.997057</v>
      </c>
      <c r="X9" s="427">
        <f>'ANALYSE - ERP =&gt; SEGMENT'!$FC$26</f>
        <v>6706.6487999999999</v>
      </c>
      <c r="Y9" s="427">
        <f>'ANALYSE - ERP =&gt; SEGMENT'!$GS$26</f>
        <v>2211.9026399999998</v>
      </c>
      <c r="Z9" s="427">
        <f>'ANALYSE - ERP =&gt; SEGMENT'!$GV$26</f>
        <v>4072.3564320000005</v>
      </c>
      <c r="AA9" s="427">
        <f>'ANALYSE - ERP =&gt; SEGMENT'!$GY$26</f>
        <v>422.38972799999999</v>
      </c>
      <c r="AC9" s="430">
        <f>'ANALYSE - ERP =&gt; SEGMENT'!$Q$26</f>
        <v>1</v>
      </c>
    </row>
    <row r="10" spans="1:29" ht="15" customHeight="1">
      <c r="A10" s="26">
        <v>7</v>
      </c>
      <c r="B10" s="26">
        <v>7</v>
      </c>
      <c r="C10" s="26">
        <v>6</v>
      </c>
      <c r="D10" s="497" t="s">
        <v>6739</v>
      </c>
      <c r="E10" s="498" t="s">
        <v>2678</v>
      </c>
      <c r="F10" s="498" t="s">
        <v>7984</v>
      </c>
      <c r="G10" s="411" t="str">
        <f>'ANALYSE - ERP =&gt; SEGMENT'!$D$9</f>
        <v>Écoles maternelles
Écoles primaires 
Collèges (vestiaires EPS inclus)
Lycées (vestiaires EPS inclus)
Internats scolaires</v>
      </c>
      <c r="I10" s="427">
        <f t="shared" si="2"/>
        <v>8694.4976495153587</v>
      </c>
      <c r="K10" s="787">
        <f t="shared" si="0"/>
        <v>0.73347101308962115</v>
      </c>
      <c r="L10" s="787">
        <f t="shared" si="1"/>
        <v>0.26652898691037896</v>
      </c>
      <c r="N10" s="424">
        <f>'ANALYSE - ERP =&gt; SEGMENT'!$FA$9</f>
        <v>43472.488247576795</v>
      </c>
      <c r="O10" s="427">
        <f>'ANALYSE - ERP =&gt; SEGMENT'!$GQ$9</f>
        <v>13767.034445841999</v>
      </c>
      <c r="P10" s="427">
        <f>'ANALYSE - ERP =&gt; SEGMENT'!$GT$9</f>
        <v>25240.843340682361</v>
      </c>
      <c r="Q10" s="427">
        <f>'ANALYSE - ERP =&gt; SEGMENT'!$GW$9</f>
        <v>4464.6104610524399</v>
      </c>
      <c r="S10" s="424">
        <f>'ANALYSE - ERP =&gt; SEGMENT'!$FB$9</f>
        <v>31885.809996476801</v>
      </c>
      <c r="T10" s="427">
        <f>'ANALYSE - ERP =&gt; SEGMENT'!$GR$9</f>
        <v>10551.002295472001</v>
      </c>
      <c r="U10" s="427">
        <f>'ANALYSE - ERP =&gt; SEGMENT'!$GU$9</f>
        <v>18247.68494420436</v>
      </c>
      <c r="V10" s="427">
        <f>'ANALYSE - ERP =&gt; SEGMENT'!$GX$9</f>
        <v>3087.1227568004397</v>
      </c>
      <c r="X10" s="427">
        <f>'ANALYSE - ERP =&gt; SEGMENT'!$FC$9</f>
        <v>11586.678251099998</v>
      </c>
      <c r="Y10" s="427">
        <f>'ANALYSE - ERP =&gt; SEGMENT'!$GS$9</f>
        <v>3216.0321503700002</v>
      </c>
      <c r="Z10" s="427">
        <f>'ANALYSE - ERP =&gt; SEGMENT'!$GV$9</f>
        <v>6993.1583964780002</v>
      </c>
      <c r="AA10" s="427">
        <f>'ANALYSE - ERP =&gt; SEGMENT'!$GY$9</f>
        <v>1377.4877042520002</v>
      </c>
      <c r="AC10" s="430">
        <f>'ANALYSE - ERP =&gt; SEGMENT'!$Q$9</f>
        <v>1</v>
      </c>
    </row>
    <row r="11" spans="1:29" s="45" customFormat="1" ht="15" customHeight="1">
      <c r="A11" s="26">
        <v>8</v>
      </c>
      <c r="B11" s="26">
        <v>8</v>
      </c>
      <c r="C11" s="26">
        <v>8</v>
      </c>
      <c r="D11" s="501" t="s">
        <v>2264</v>
      </c>
      <c r="E11" s="502" t="s">
        <v>7990</v>
      </c>
      <c r="F11" s="502" t="s">
        <v>7991</v>
      </c>
      <c r="G11" s="410" t="str">
        <f>'ANALYSE - ERP =&gt; SEGMENT'!$D$23</f>
        <v>Usines 
(&gt;50 personnes - Hors Ateliers industriels)
Garages / ateliers de réparation automobile recevant du public
Ateliers industriels / de maintenance (&gt;50 personnes)</v>
      </c>
      <c r="H11" s="685"/>
      <c r="I11" s="427">
        <f t="shared" si="2"/>
        <v>10241.350687717675</v>
      </c>
      <c r="J11" s="685"/>
      <c r="K11" s="787">
        <f t="shared" si="0"/>
        <v>0.7862155093833697</v>
      </c>
      <c r="L11" s="787">
        <f t="shared" si="1"/>
        <v>0.21378449061663032</v>
      </c>
      <c r="M11" s="685"/>
      <c r="N11" s="424">
        <f>'ANALYSE - ERP =&gt; SEGMENT'!$FA$23</f>
        <v>51206.753438588377</v>
      </c>
      <c r="O11" s="427">
        <f>'ANALYSE - ERP =&gt; SEGMENT'!$GQ$23</f>
        <v>17695.82940751515</v>
      </c>
      <c r="P11" s="427">
        <f>'ANALYSE - ERP =&gt; SEGMENT'!$GT$23</f>
        <v>21655.775989545458</v>
      </c>
      <c r="Q11" s="427">
        <f>'ANALYSE - ERP =&gt; SEGMENT'!$GW$23</f>
        <v>11855.148041527778</v>
      </c>
      <c r="R11" s="685"/>
      <c r="S11" s="424">
        <f>'ANALYSE - ERP =&gt; SEGMENT'!$FB$23</f>
        <v>40259.543738588378</v>
      </c>
      <c r="T11" s="427">
        <f>'ANALYSE - ERP =&gt; SEGMENT'!$GR$23</f>
        <v>14021.123292515153</v>
      </c>
      <c r="U11" s="427">
        <f>'ANALYSE - ERP =&gt; SEGMENT'!$GU$23</f>
        <v>16920.593451545454</v>
      </c>
      <c r="V11" s="427">
        <f>'ANALYSE - ERP =&gt; SEGMENT'!$GX$23</f>
        <v>9317.8269945277789</v>
      </c>
      <c r="W11" s="685"/>
      <c r="X11" s="427">
        <f>'ANALYSE - ERP =&gt; SEGMENT'!$FC$23</f>
        <v>10947.209699999999</v>
      </c>
      <c r="Y11" s="427">
        <f>'ANALYSE - ERP =&gt; SEGMENT'!$GS$23</f>
        <v>3674.706115</v>
      </c>
      <c r="Z11" s="427">
        <f>'ANALYSE - ERP =&gt; SEGMENT'!$GV$23</f>
        <v>4735.1825379999991</v>
      </c>
      <c r="AA11" s="427">
        <f>'ANALYSE - ERP =&gt; SEGMENT'!$GY$23</f>
        <v>2537.3210469999999</v>
      </c>
      <c r="AB11" s="685"/>
      <c r="AC11" s="430">
        <f>'ANALYSE - ERP =&gt; SEGMENT'!$Q$23</f>
        <v>1</v>
      </c>
    </row>
    <row r="12" spans="1:29" ht="15" customHeight="1">
      <c r="A12" s="26">
        <v>9</v>
      </c>
      <c r="B12" s="26">
        <v>9</v>
      </c>
      <c r="C12" s="26">
        <v>10</v>
      </c>
      <c r="D12" s="499" t="s">
        <v>3662</v>
      </c>
      <c r="E12" s="500" t="s">
        <v>1114</v>
      </c>
      <c r="F12" s="500" t="s">
        <v>7985</v>
      </c>
      <c r="G12" s="408" t="str">
        <f>'ANALYSE - ERP =&gt; SEGMENT'!$D$16</f>
        <v>Cinémas
Théâtres
Musées
Salles de spectacle / auditoriums
Salles de conférence / réunion
Salles polyvalentes / salles des fêtes
Bibliothèques / médiathèques</v>
      </c>
      <c r="I12" s="427">
        <f t="shared" si="2"/>
        <v>739.4464461690909</v>
      </c>
      <c r="K12" s="787">
        <f t="shared" si="0"/>
        <v>0.79705305667845006</v>
      </c>
      <c r="L12" s="787">
        <f t="shared" si="1"/>
        <v>0.20294694332154992</v>
      </c>
      <c r="N12" s="424">
        <f>'ANALYSE - ERP =&gt; SEGMENT'!$FA$16</f>
        <v>3697.2322308454545</v>
      </c>
      <c r="O12" s="427">
        <f>'ANALYSE - ERP =&gt; SEGMENT'!$GQ$16</f>
        <v>1447.6081107090909</v>
      </c>
      <c r="P12" s="427">
        <f>'ANALYSE - ERP =&gt; SEGMENT'!$GT$16</f>
        <v>1751.255912336364</v>
      </c>
      <c r="Q12" s="427">
        <f>'ANALYSE - ERP =&gt; SEGMENT'!$GW$16</f>
        <v>498.36820779999999</v>
      </c>
      <c r="S12" s="424">
        <f>'ANALYSE - ERP =&gt; SEGMENT'!$FB$16</f>
        <v>2946.8902508454544</v>
      </c>
      <c r="T12" s="427">
        <f>'ANALYSE - ERP =&gt; SEGMENT'!$GR$16</f>
        <v>1163.3129187090908</v>
      </c>
      <c r="U12" s="427">
        <f>'ANALYSE - ERP =&gt; SEGMENT'!$GU$16</f>
        <v>1382.7535817363637</v>
      </c>
      <c r="V12" s="427">
        <f>'ANALYSE - ERP =&gt; SEGMENT'!$GX$16</f>
        <v>400.82375039999999</v>
      </c>
      <c r="X12" s="427">
        <f>'ANALYSE - ERP =&gt; SEGMENT'!$FC$16</f>
        <v>750.34198000000004</v>
      </c>
      <c r="Y12" s="427">
        <f>'ANALYSE - ERP =&gt; SEGMENT'!$GS$16</f>
        <v>284.29519200000004</v>
      </c>
      <c r="Z12" s="427">
        <f>'ANALYSE - ERP =&gt; SEGMENT'!$GV$16</f>
        <v>368.50233059999999</v>
      </c>
      <c r="AA12" s="427">
        <f>'ANALYSE - ERP =&gt; SEGMENT'!$GY$16</f>
        <v>97.544457399999999</v>
      </c>
      <c r="AC12" s="430">
        <f>'ANALYSE - ERP =&gt; SEGMENT'!$Q$16</f>
        <v>1</v>
      </c>
    </row>
    <row r="13" spans="1:29" ht="15" customHeight="1">
      <c r="A13" s="26">
        <v>10</v>
      </c>
      <c r="B13" s="26">
        <v>10</v>
      </c>
      <c r="C13" s="26">
        <v>13</v>
      </c>
      <c r="D13" s="505" t="s">
        <v>7117</v>
      </c>
      <c r="E13" s="506" t="s">
        <v>1455</v>
      </c>
      <c r="F13" s="506" t="s">
        <v>7994</v>
      </c>
      <c r="G13" s="415" t="str">
        <f>'ANALYSE - ERP =&gt; SEGMENT'!$D$24</f>
        <v>Hôtels
Pensions de famille
Résidences de tourisme
Auberges de jeunesse
Villages de vacances / clubs vacances / centres de vacances familiaux</v>
      </c>
      <c r="I13" s="427">
        <f t="shared" si="2"/>
        <v>1269.5336305827273</v>
      </c>
      <c r="K13" s="787">
        <f t="shared" si="0"/>
        <v>0.78515576001338039</v>
      </c>
      <c r="L13" s="787">
        <f t="shared" si="1"/>
        <v>0.21484423998661964</v>
      </c>
      <c r="N13" s="424">
        <f>'ANALYSE - ERP =&gt; SEGMENT'!$FA$24</f>
        <v>6347.6681529136367</v>
      </c>
      <c r="O13" s="427">
        <f>'ANALYSE - ERP =&gt; SEGMENT'!$GQ$24</f>
        <v>3675.7841924000004</v>
      </c>
      <c r="P13" s="427">
        <f>'ANALYSE - ERP =&gt; SEGMENT'!$GT$24</f>
        <v>2247.8245353636366</v>
      </c>
      <c r="Q13" s="427">
        <f>'ANALYSE - ERP =&gt; SEGMENT'!$GW$24</f>
        <v>424.05942514999998</v>
      </c>
      <c r="S13" s="424">
        <f>'ANALYSE - ERP =&gt; SEGMENT'!$FB$24</f>
        <v>4983.9082129136368</v>
      </c>
      <c r="T13" s="427">
        <f>'ANALYSE - ERP =&gt; SEGMENT'!$GR$24</f>
        <v>2906.3511720000001</v>
      </c>
      <c r="U13" s="427">
        <f>'ANALYSE - ERP =&gt; SEGMENT'!$GU$24</f>
        <v>1747.2003521636364</v>
      </c>
      <c r="V13" s="427">
        <f>'ANALYSE - ERP =&gt; SEGMENT'!$GX$24</f>
        <v>330.35668874999999</v>
      </c>
      <c r="X13" s="427">
        <f>'ANALYSE - ERP =&gt; SEGMENT'!$FC$24</f>
        <v>1363.7599399999999</v>
      </c>
      <c r="Y13" s="427">
        <f>'ANALYSE - ERP =&gt; SEGMENT'!$GS$24</f>
        <v>769.43302040000003</v>
      </c>
      <c r="Z13" s="427">
        <f>'ANALYSE - ERP =&gt; SEGMENT'!$GV$24</f>
        <v>500.6241832</v>
      </c>
      <c r="AA13" s="427">
        <f>'ANALYSE - ERP =&gt; SEGMENT'!$GY$24</f>
        <v>93.702736400000006</v>
      </c>
      <c r="AC13" s="430">
        <f>'ANALYSE - ERP =&gt; SEGMENT'!$Q$24</f>
        <v>1</v>
      </c>
    </row>
    <row r="14" spans="1:29" ht="15" customHeight="1">
      <c r="A14" s="26">
        <v>11</v>
      </c>
      <c r="B14" s="26">
        <v>12</v>
      </c>
      <c r="C14" s="26">
        <v>9</v>
      </c>
      <c r="D14" s="497" t="s">
        <v>6739</v>
      </c>
      <c r="E14" s="498" t="s">
        <v>2091</v>
      </c>
      <c r="F14" s="498" t="s">
        <v>2836</v>
      </c>
      <c r="G14" s="410" t="str">
        <f>'ANALYSE - ERP =&gt; SEGMENT'!$D$12</f>
        <v>Centres de formation / CFA</v>
      </c>
      <c r="I14" s="427">
        <f t="shared" si="2"/>
        <v>2032.6348985600002</v>
      </c>
      <c r="K14" s="787">
        <f t="shared" si="0"/>
        <v>0.54672737309946184</v>
      </c>
      <c r="L14" s="787">
        <f t="shared" si="1"/>
        <v>0.45327262690053804</v>
      </c>
      <c r="N14" s="424">
        <f>'ANALYSE - ERP =&gt; SEGMENT'!$FA$12</f>
        <v>10163.174492800001</v>
      </c>
      <c r="O14" s="427">
        <f>'ANALYSE - ERP =&gt; SEGMENT'!$GQ$12</f>
        <v>2310.4591832000001</v>
      </c>
      <c r="P14" s="427">
        <f>'ANALYSE - ERP =&gt; SEGMENT'!$GT$12</f>
        <v>6744.2640843200006</v>
      </c>
      <c r="Q14" s="427">
        <f>'ANALYSE - ERP =&gt; SEGMENT'!$GW$12</f>
        <v>1108.45122528</v>
      </c>
      <c r="S14" s="424">
        <f>'ANALYSE - ERP =&gt; SEGMENT'!$FB$12</f>
        <v>5556.4856927999999</v>
      </c>
      <c r="T14" s="427">
        <f>'ANALYSE - ERP =&gt; SEGMENT'!$GR$12</f>
        <v>1389.1214232</v>
      </c>
      <c r="U14" s="427">
        <f>'ANALYSE - ERP =&gt; SEGMENT'!$GU$12</f>
        <v>3611.71570032</v>
      </c>
      <c r="V14" s="427">
        <f>'ANALYSE - ERP =&gt; SEGMENT'!$GX$12</f>
        <v>555.64856928000006</v>
      </c>
      <c r="X14" s="427">
        <f>'ANALYSE - ERP =&gt; SEGMENT'!$FC$12</f>
        <v>4606.6887999999999</v>
      </c>
      <c r="Y14" s="427">
        <f>'ANALYSE - ERP =&gt; SEGMENT'!$GS$12</f>
        <v>921.33776</v>
      </c>
      <c r="Z14" s="427">
        <f>'ANALYSE - ERP =&gt; SEGMENT'!$GV$12</f>
        <v>3132.5483840000002</v>
      </c>
      <c r="AA14" s="427">
        <f>'ANALYSE - ERP =&gt; SEGMENT'!$GY$12</f>
        <v>552.80265599999996</v>
      </c>
      <c r="AC14" s="430">
        <f>'ANALYSE - ERP =&gt; SEGMENT'!$Q$12</f>
        <v>1</v>
      </c>
    </row>
    <row r="15" spans="1:29" ht="15" customHeight="1">
      <c r="A15" s="26">
        <v>12</v>
      </c>
      <c r="B15" s="26">
        <v>11</v>
      </c>
      <c r="C15" s="26">
        <v>12</v>
      </c>
      <c r="D15" s="497" t="s">
        <v>6739</v>
      </c>
      <c r="E15" s="498" t="s">
        <v>991</v>
      </c>
      <c r="F15" s="498" t="s">
        <v>7995</v>
      </c>
      <c r="G15" s="410" t="str">
        <f>'ANALYSE - ERP =&gt; SEGMENT'!$D$11</f>
        <v>Centres de loisirs sans hébergement
Centres de vacances / colonies</v>
      </c>
      <c r="I15" s="427">
        <f t="shared" si="2"/>
        <v>0</v>
      </c>
      <c r="K15" s="787" t="str">
        <f t="shared" si="0"/>
        <v/>
      </c>
      <c r="L15" s="787" t="str">
        <f t="shared" si="1"/>
        <v/>
      </c>
      <c r="N15" s="424">
        <f>'ANALYSE - ERP =&gt; SEGMENT'!$FA$11</f>
        <v>0</v>
      </c>
      <c r="O15" s="427">
        <f>'ANALYSE - ERP =&gt; SEGMENT'!$GQ$11</f>
        <v>0</v>
      </c>
      <c r="P15" s="427">
        <f>'ANALYSE - ERP =&gt; SEGMENT'!$GT$11</f>
        <v>0</v>
      </c>
      <c r="Q15" s="427">
        <f>'ANALYSE - ERP =&gt; SEGMENT'!$GW$11</f>
        <v>0</v>
      </c>
      <c r="S15" s="424">
        <f>'ANALYSE - ERP =&gt; SEGMENT'!$FB$11</f>
        <v>0</v>
      </c>
      <c r="T15" s="427">
        <f>'ANALYSE - ERP =&gt; SEGMENT'!$GR$11</f>
        <v>0</v>
      </c>
      <c r="U15" s="427">
        <f>'ANALYSE - ERP =&gt; SEGMENT'!$GU$11</f>
        <v>0</v>
      </c>
      <c r="V15" s="427">
        <f>'ANALYSE - ERP =&gt; SEGMENT'!$GX$11</f>
        <v>0</v>
      </c>
      <c r="X15" s="427">
        <f>'ANALYSE - ERP =&gt; SEGMENT'!$FC$11</f>
        <v>0</v>
      </c>
      <c r="Y15" s="427">
        <f>'ANALYSE - ERP =&gt; SEGMENT'!$GS$11</f>
        <v>0</v>
      </c>
      <c r="Z15" s="427">
        <f>'ANALYSE - ERP =&gt; SEGMENT'!$GV$11</f>
        <v>0</v>
      </c>
      <c r="AA15" s="427">
        <f>'ANALYSE - ERP =&gt; SEGMENT'!$GY$11</f>
        <v>0</v>
      </c>
      <c r="AC15" s="430">
        <f>'ANALYSE - ERP =&gt; SEGMENT'!$Q$11</f>
        <v>0</v>
      </c>
    </row>
    <row r="16" spans="1:29" ht="15" customHeight="1">
      <c r="A16" s="26">
        <v>13</v>
      </c>
      <c r="B16" s="26">
        <v>13</v>
      </c>
      <c r="C16" s="26">
        <v>15</v>
      </c>
      <c r="D16" s="507" t="s">
        <v>2285</v>
      </c>
      <c r="E16" s="508" t="s">
        <v>1793</v>
      </c>
      <c r="F16" s="508" t="s">
        <v>7992</v>
      </c>
      <c r="G16" s="409" t="str">
        <f>'ANALYSE - ERP =&gt; SEGMENT'!$D$32</f>
        <v>Aires de service - Autoroutes
(Hors Aires de repos)
Aires de repos - Autoroutes
(Hors Aires de service)
Aéroports / aérogares
(&gt;1 000 passagers/an)
Gares ferroviaires et stations
Terminaux maritimes / fluviaux
Établissements flottants
Ports de plaisance / capitaineries
Stations / espaces métro équipés de toilettes publiques (minimum observé RATP)</v>
      </c>
      <c r="I16" s="427">
        <f t="shared" si="2"/>
        <v>989.66194237285708</v>
      </c>
      <c r="K16" s="787">
        <f t="shared" si="0"/>
        <v>0.83852657442111334</v>
      </c>
      <c r="L16" s="787">
        <f t="shared" si="1"/>
        <v>0.16147342557888672</v>
      </c>
      <c r="N16" s="424">
        <f>'ANALYSE - ERP =&gt; SEGMENT'!$FA$32</f>
        <v>4948.3097118642854</v>
      </c>
      <c r="O16" s="427">
        <f>'ANALYSE - ERP =&gt; SEGMENT'!$GQ$32</f>
        <v>814.57468364999988</v>
      </c>
      <c r="P16" s="427">
        <f>'ANALYSE - ERP =&gt; SEGMENT'!$GT$32</f>
        <v>3759.1837834000007</v>
      </c>
      <c r="Q16" s="427">
        <f>'ANALYSE - ERP =&gt; SEGMENT'!$GW$32</f>
        <v>374.55124481428572</v>
      </c>
      <c r="S16" s="424">
        <f>'ANALYSE - ERP =&gt; SEGMENT'!$FB$32</f>
        <v>4149.2891918642854</v>
      </c>
      <c r="T16" s="427">
        <f>'ANALYSE - ERP =&gt; SEGMENT'!$GR$32</f>
        <v>699.37276364999991</v>
      </c>
      <c r="U16" s="427">
        <f>'ANALYSE - ERP =&gt; SEGMENT'!$GU$32</f>
        <v>3140.4533490000003</v>
      </c>
      <c r="V16" s="427">
        <f>'ANALYSE - ERP =&gt; SEGMENT'!$GX$32</f>
        <v>309.46307921428576</v>
      </c>
      <c r="X16" s="427">
        <f>'ANALYSE - ERP =&gt; SEGMENT'!$FC$32</f>
        <v>799.02052000000003</v>
      </c>
      <c r="Y16" s="427">
        <f>'ANALYSE - ERP =&gt; SEGMENT'!$GS$32</f>
        <v>115.20191999999999</v>
      </c>
      <c r="Z16" s="427">
        <f>'ANALYSE - ERP =&gt; SEGMENT'!$GV$32</f>
        <v>618.73043439999992</v>
      </c>
      <c r="AA16" s="427">
        <f>'ANALYSE - ERP =&gt; SEGMENT'!$GY$32</f>
        <v>65.088165599999996</v>
      </c>
      <c r="AC16" s="430">
        <f>'ANALYSE - ERP =&gt; SEGMENT'!$Q$32</f>
        <v>1</v>
      </c>
    </row>
    <row r="17" spans="1:29" ht="15" customHeight="1">
      <c r="A17" s="26">
        <v>14</v>
      </c>
      <c r="B17" s="26">
        <v>15</v>
      </c>
      <c r="C17" s="26">
        <v>11</v>
      </c>
      <c r="D17" s="497" t="s">
        <v>6739</v>
      </c>
      <c r="E17" s="498" t="s">
        <v>1014</v>
      </c>
      <c r="F17" s="498" t="s">
        <v>8000</v>
      </c>
      <c r="G17" s="416" t="str">
        <f>'ANALYSE - ERP =&gt; SEGMENT'!$D$10</f>
        <v>Universités
Grandes écoles
Résidences étudiantes et dortoirs</v>
      </c>
      <c r="I17" s="427">
        <f t="shared" si="2"/>
        <v>954.22904588079996</v>
      </c>
      <c r="K17" s="787">
        <f t="shared" si="0"/>
        <v>0.58268406970107678</v>
      </c>
      <c r="L17" s="787">
        <f t="shared" si="1"/>
        <v>0.41731593029892328</v>
      </c>
      <c r="N17" s="424">
        <f>'ANALYSE - ERP =&gt; SEGMENT'!$FA$10</f>
        <v>4771.145229404</v>
      </c>
      <c r="O17" s="427">
        <f>'ANALYSE - ERP =&gt; SEGMENT'!$GQ$10</f>
        <v>2459.8631860162</v>
      </c>
      <c r="P17" s="427">
        <f>'ANALYSE - ERP =&gt; SEGMENT'!$GT$10</f>
        <v>1774.4352731473998</v>
      </c>
      <c r="Q17" s="427">
        <f>'ANALYSE - ERP =&gt; SEGMENT'!$GW$10</f>
        <v>536.84677024040002</v>
      </c>
      <c r="S17" s="424">
        <f>'ANALYSE - ERP =&gt; SEGMENT'!$FB$10</f>
        <v>2780.0703194040002</v>
      </c>
      <c r="T17" s="427">
        <f>'ANALYSE - ERP =&gt; SEGMENT'!$GR$10</f>
        <v>1486.7087310162001</v>
      </c>
      <c r="U17" s="427">
        <f>'ANALYSE - ERP =&gt; SEGMENT'!$GU$10</f>
        <v>1015.3545564473998</v>
      </c>
      <c r="V17" s="427">
        <f>'ANALYSE - ERP =&gt; SEGMENT'!$GX$10</f>
        <v>278.0070319404</v>
      </c>
      <c r="X17" s="427">
        <f>'ANALYSE - ERP =&gt; SEGMENT'!$FC$10</f>
        <v>1991.07491</v>
      </c>
      <c r="Y17" s="427">
        <f>'ANALYSE - ERP =&gt; SEGMENT'!$GS$10</f>
        <v>973.1544550000001</v>
      </c>
      <c r="Z17" s="427">
        <f>'ANALYSE - ERP =&gt; SEGMENT'!$GV$10</f>
        <v>759.08071670000004</v>
      </c>
      <c r="AA17" s="427">
        <f>'ANALYSE - ERP =&gt; SEGMENT'!$GY$10</f>
        <v>258.83973830000002</v>
      </c>
      <c r="AC17" s="430">
        <f>'ANALYSE - ERP =&gt; SEGMENT'!$Q$10</f>
        <v>1</v>
      </c>
    </row>
    <row r="18" spans="1:29" ht="15" customHeight="1">
      <c r="A18" s="26">
        <v>15</v>
      </c>
      <c r="B18" s="26">
        <v>14</v>
      </c>
      <c r="C18" s="26">
        <v>14</v>
      </c>
      <c r="D18" s="509" t="s">
        <v>4908</v>
      </c>
      <c r="E18" s="510" t="s">
        <v>88</v>
      </c>
      <c r="F18" s="510" t="s">
        <v>7996</v>
      </c>
      <c r="G18" s="412" t="str">
        <f>'ANALYSE - ERP =&gt; SEGMENT'!$D$36</f>
        <v>Maisons d’arrêt
Centres de détention
Maisons centrales
Centres pénitentiaires
Centres de semi-liberté
Centres éducatifs fermés
Centres pour peines aménagées
(absorbés par autres centres carcéraux)
Unités hospitalières sécurisées</v>
      </c>
      <c r="I18" s="427">
        <f t="shared" si="2"/>
        <v>870.35975799999994</v>
      </c>
      <c r="K18" s="787">
        <f t="shared" si="0"/>
        <v>0.70367453730552654</v>
      </c>
      <c r="L18" s="787">
        <f t="shared" si="1"/>
        <v>0.29632546269447352</v>
      </c>
      <c r="N18" s="424">
        <f>'ANALYSE - ERP =&gt; SEGMENT'!$FA$36</f>
        <v>4351.7987899999998</v>
      </c>
      <c r="O18" s="427">
        <f>'ANALYSE - ERP =&gt; SEGMENT'!$GQ$36</f>
        <v>856.80288180000002</v>
      </c>
      <c r="P18" s="427">
        <f>'ANALYSE - ERP =&gt; SEGMENT'!$GT$36</f>
        <v>3494.9959082</v>
      </c>
      <c r="Q18" s="427">
        <f>'ANALYSE - ERP =&gt; SEGMENT'!$GW$36</f>
        <v>0</v>
      </c>
      <c r="S18" s="424">
        <f>'ANALYSE - ERP =&gt; SEGMENT'!$FB$36</f>
        <v>3062.25</v>
      </c>
      <c r="T18" s="427">
        <f>'ANALYSE - ERP =&gt; SEGMENT'!$GR$36</f>
        <v>620.1</v>
      </c>
      <c r="U18" s="427">
        <f>'ANALYSE - ERP =&gt; SEGMENT'!$GU$36</f>
        <v>2442.15</v>
      </c>
      <c r="V18" s="427">
        <f>'ANALYSE - ERP =&gt; SEGMENT'!$GX$36</f>
        <v>0</v>
      </c>
      <c r="X18" s="427">
        <f>'ANALYSE - ERP =&gt; SEGMENT'!$FC$36</f>
        <v>1289.5487900000001</v>
      </c>
      <c r="Y18" s="427">
        <f>'ANALYSE - ERP =&gt; SEGMENT'!$GS$36</f>
        <v>236.70288180000003</v>
      </c>
      <c r="Z18" s="427">
        <f>'ANALYSE - ERP =&gt; SEGMENT'!$GV$36</f>
        <v>1052.8459081999999</v>
      </c>
      <c r="AA18" s="427">
        <f>'ANALYSE - ERP =&gt; SEGMENT'!$GY$36</f>
        <v>0</v>
      </c>
      <c r="AC18" s="430">
        <f>'ANALYSE - ERP =&gt; SEGMENT'!$Q$36</f>
        <v>1</v>
      </c>
    </row>
    <row r="19" spans="1:29" ht="15" customHeight="1">
      <c r="A19" s="26">
        <v>16</v>
      </c>
      <c r="B19" s="26">
        <v>16</v>
      </c>
      <c r="C19" s="26">
        <v>16</v>
      </c>
      <c r="D19" s="509" t="s">
        <v>4908</v>
      </c>
      <c r="E19" s="510" t="s">
        <v>1985</v>
      </c>
      <c r="F19" s="510" t="s">
        <v>8002</v>
      </c>
      <c r="G19" s="409" t="str">
        <f>'ANALYSE - ERP =&gt; SEGMENT'!$D$35</f>
        <v>Unités d'hébergement des militaires &amp; réservistes
Centres de recrutement et bureaux d’information
Restaurants ou équipements sportifs ouverts au public sur emprise militaire
Hôpitaux d’instruction des armées et centres médicaux recevant du public
Salles de conférence, auditoriums et espaces événementiels ouverts au public</v>
      </c>
      <c r="I19" s="427">
        <f t="shared" si="2"/>
        <v>434.31991017272719</v>
      </c>
      <c r="K19" s="787">
        <f t="shared" si="0"/>
        <v>0.72175908778407105</v>
      </c>
      <c r="L19" s="787">
        <f t="shared" si="1"/>
        <v>0.27824091221592911</v>
      </c>
      <c r="N19" s="424">
        <f>'ANALYSE - ERP =&gt; SEGMENT'!$FA$35</f>
        <v>2171.5995508636361</v>
      </c>
      <c r="O19" s="427">
        <f>'ANALYSE - ERP =&gt; SEGMENT'!$GQ$35</f>
        <v>1139.3498416363636</v>
      </c>
      <c r="P19" s="427">
        <f>'ANALYSE - ERP =&gt; SEGMENT'!$GT$35</f>
        <v>877.21199792727271</v>
      </c>
      <c r="Q19" s="427">
        <f>'ANALYSE - ERP =&gt; SEGMENT'!$GW$35</f>
        <v>155.03771129999998</v>
      </c>
      <c r="S19" s="424">
        <f>'ANALYSE - ERP =&gt; SEGMENT'!$FB$35</f>
        <v>1567.3717108636363</v>
      </c>
      <c r="T19" s="427">
        <f>'ANALYSE - ERP =&gt; SEGMENT'!$GR$35</f>
        <v>838.45512163636363</v>
      </c>
      <c r="U19" s="427">
        <f>'ANALYSE - ERP =&gt; SEGMENT'!$GU$35</f>
        <v>616.90634672727276</v>
      </c>
      <c r="V19" s="427">
        <f>'ANALYSE - ERP =&gt; SEGMENT'!$GX$35</f>
        <v>112.01024249999999</v>
      </c>
      <c r="X19" s="427">
        <f>'ANALYSE - ERP =&gt; SEGMENT'!$FC$35</f>
        <v>604.22784000000001</v>
      </c>
      <c r="Y19" s="427">
        <f>'ANALYSE - ERP =&gt; SEGMENT'!$GS$35</f>
        <v>300.89472000000001</v>
      </c>
      <c r="Z19" s="427">
        <f>'ANALYSE - ERP =&gt; SEGMENT'!$GV$35</f>
        <v>260.3056512</v>
      </c>
      <c r="AA19" s="427">
        <f>'ANALYSE - ERP =&gt; SEGMENT'!$GY$35</f>
        <v>43.027468800000008</v>
      </c>
      <c r="AC19" s="430">
        <f>'ANALYSE - ERP =&gt; SEGMENT'!$Q$35</f>
        <v>1</v>
      </c>
    </row>
    <row r="20" spans="1:29" ht="15" customHeight="1">
      <c r="A20" s="26">
        <v>17</v>
      </c>
      <c r="B20" s="26">
        <v>17</v>
      </c>
      <c r="C20" s="26">
        <v>18</v>
      </c>
      <c r="D20" s="491" t="s">
        <v>2187</v>
      </c>
      <c r="E20" s="492" t="s">
        <v>1372</v>
      </c>
      <c r="F20" s="492" t="s">
        <v>7993</v>
      </c>
      <c r="G20" s="411" t="str">
        <f>'ANALYSE - ERP =&gt; SEGMENT'!$D$21</f>
        <v>Centres commerciaux / malls
Marchés couverts</v>
      </c>
      <c r="I20" s="427">
        <f t="shared" si="2"/>
        <v>445.42540249639251</v>
      </c>
      <c r="K20" s="787">
        <f t="shared" si="0"/>
        <v>0.87360936380260457</v>
      </c>
      <c r="L20" s="787">
        <f t="shared" si="1"/>
        <v>0.12639063619739549</v>
      </c>
      <c r="N20" s="424">
        <f>'ANALYSE - ERP =&gt; SEGMENT'!$FA$21</f>
        <v>2227.1270124819625</v>
      </c>
      <c r="O20" s="427">
        <f>'ANALYSE - ERP =&gt; SEGMENT'!$GQ$21</f>
        <v>706.67314266666665</v>
      </c>
      <c r="P20" s="427">
        <f>'ANALYSE - ERP =&gt; SEGMENT'!$GT$21</f>
        <v>963.88549454545455</v>
      </c>
      <c r="Q20" s="427">
        <f>'ANALYSE - ERP =&gt; SEGMENT'!$GW$21</f>
        <v>556.56837526984134</v>
      </c>
      <c r="S20" s="424">
        <f>'ANALYSE - ERP =&gt; SEGMENT'!$FB$21</f>
        <v>1945.6390124819627</v>
      </c>
      <c r="T20" s="427">
        <f>'ANALYSE - ERP =&gt; SEGMENT'!$GR$21</f>
        <v>619.09362266666665</v>
      </c>
      <c r="U20" s="427">
        <f>'ANALYSE - ERP =&gt; SEGMENT'!$GU$21</f>
        <v>836.04405454545463</v>
      </c>
      <c r="V20" s="427">
        <f>'ANALYSE - ERP =&gt; SEGMENT'!$GX$21</f>
        <v>490.50133526984132</v>
      </c>
      <c r="X20" s="427">
        <f>'ANALYSE - ERP =&gt; SEGMENT'!$FC$21</f>
        <v>281.488</v>
      </c>
      <c r="Y20" s="427">
        <f>'ANALYSE - ERP =&gt; SEGMENT'!$GS$21</f>
        <v>87.579520000000002</v>
      </c>
      <c r="Z20" s="427">
        <f>'ANALYSE - ERP =&gt; SEGMENT'!$GV$21</f>
        <v>127.84144000000001</v>
      </c>
      <c r="AA20" s="427">
        <f>'ANALYSE - ERP =&gt; SEGMENT'!$GY$21</f>
        <v>66.067040000000006</v>
      </c>
      <c r="AC20" s="430">
        <f>'ANALYSE - ERP =&gt; SEGMENT'!$Q$21</f>
        <v>1</v>
      </c>
    </row>
    <row r="21" spans="1:29" ht="15" customHeight="1">
      <c r="A21" s="26">
        <v>18</v>
      </c>
      <c r="B21" s="26">
        <v>19</v>
      </c>
      <c r="C21" s="26">
        <v>19</v>
      </c>
      <c r="D21" s="499" t="s">
        <v>3662</v>
      </c>
      <c r="E21" s="500" t="s">
        <v>1337</v>
      </c>
      <c r="F21" s="500" t="s">
        <v>7997</v>
      </c>
      <c r="G21" s="411" t="str">
        <f>'ANALYSE - ERP =&gt; SEGMENT'!$D$18</f>
        <v>Chapiteaux / tentes / structures
Structures gonflables</v>
      </c>
      <c r="I21" s="427">
        <f t="shared" si="2"/>
        <v>16.71187918</v>
      </c>
      <c r="K21" s="787">
        <f t="shared" si="0"/>
        <v>0.74591486964065046</v>
      </c>
      <c r="L21" s="787">
        <f t="shared" si="1"/>
        <v>0.2540851303593496</v>
      </c>
      <c r="N21" s="424">
        <f>'ANALYSE - ERP =&gt; SEGMENT'!$FA$18</f>
        <v>83.559395899999998</v>
      </c>
      <c r="O21" s="427">
        <f>'ANALYSE - ERP =&gt; SEGMENT'!$GQ$18</f>
        <v>54.183014650000004</v>
      </c>
      <c r="P21" s="427">
        <f>'ANALYSE - ERP =&gt; SEGMENT'!$GT$18</f>
        <v>23.499758374999999</v>
      </c>
      <c r="Q21" s="427">
        <f>'ANALYSE - ERP =&gt; SEGMENT'!$GW$18</f>
        <v>5.8766228750000007</v>
      </c>
      <c r="S21" s="424">
        <f>'ANALYSE - ERP =&gt; SEGMENT'!$FB$18</f>
        <v>62.328195899999997</v>
      </c>
      <c r="T21" s="427">
        <f>'ANALYSE - ERP =&gt; SEGMENT'!$GR$18</f>
        <v>43.089934649999996</v>
      </c>
      <c r="U21" s="427">
        <f>'ANALYSE - ERP =&gt; SEGMENT'!$GU$18</f>
        <v>15.389262375000001</v>
      </c>
      <c r="V21" s="427">
        <f>'ANALYSE - ERP =&gt; SEGMENT'!$GX$18</f>
        <v>3.8489988750000004</v>
      </c>
      <c r="X21" s="427">
        <f>'ANALYSE - ERP =&gt; SEGMENT'!$FC$18</f>
        <v>21.231200000000001</v>
      </c>
      <c r="Y21" s="427">
        <f>'ANALYSE - ERP =&gt; SEGMENT'!$GS$18</f>
        <v>11.09308</v>
      </c>
      <c r="Z21" s="427">
        <f>'ANALYSE - ERP =&gt; SEGMENT'!$GV$18</f>
        <v>8.1104960000000013</v>
      </c>
      <c r="AA21" s="427">
        <f>'ANALYSE - ERP =&gt; SEGMENT'!$GY$18</f>
        <v>2.0276240000000003</v>
      </c>
      <c r="AC21" s="430">
        <f>'ANALYSE - ERP =&gt; SEGMENT'!$Q$18</f>
        <v>1</v>
      </c>
    </row>
    <row r="22" spans="1:29" ht="15" customHeight="1">
      <c r="A22" s="26">
        <v>19</v>
      </c>
      <c r="B22" s="26">
        <v>18</v>
      </c>
      <c r="C22" s="26">
        <v>21</v>
      </c>
      <c r="D22" s="505" t="s">
        <v>7117</v>
      </c>
      <c r="E22" s="506" t="s">
        <v>1487</v>
      </c>
      <c r="F22" s="506" t="s">
        <v>8004</v>
      </c>
      <c r="G22" s="410" t="str">
        <f>'ANALYSE - ERP =&gt; SEGMENT'!$D$25</f>
        <v>Hôtels-restaurants d’altitude
Refuges de montagne</v>
      </c>
      <c r="I22" s="427">
        <f t="shared" si="2"/>
        <v>263.87654774000003</v>
      </c>
      <c r="K22" s="787">
        <f t="shared" si="0"/>
        <v>0.81840599170179207</v>
      </c>
      <c r="L22" s="787">
        <f t="shared" si="1"/>
        <v>0.18159400829820782</v>
      </c>
      <c r="N22" s="424">
        <f>'ANALYSE - ERP =&gt; SEGMENT'!$FA$25</f>
        <v>1319.3827387000001</v>
      </c>
      <c r="O22" s="427">
        <f>'ANALYSE - ERP =&gt; SEGMENT'!$GQ$25</f>
        <v>1022.390326</v>
      </c>
      <c r="P22" s="427">
        <f>'ANALYSE - ERP =&gt; SEGMENT'!$GT$25</f>
        <v>208.22155520000001</v>
      </c>
      <c r="Q22" s="427">
        <f>'ANALYSE - ERP =&gt; SEGMENT'!$GW$25</f>
        <v>88.770857500000005</v>
      </c>
      <c r="S22" s="424">
        <f>'ANALYSE - ERP =&gt; SEGMENT'!$FB$25</f>
        <v>1079.7907387</v>
      </c>
      <c r="T22" s="427">
        <f>'ANALYSE - ERP =&gt; SEGMENT'!$GR$25</f>
        <v>843.8077659999999</v>
      </c>
      <c r="U22" s="427">
        <f>'ANALYSE - ERP =&gt; SEGMENT'!$GU$25</f>
        <v>164.24699519999999</v>
      </c>
      <c r="V22" s="427">
        <f>'ANALYSE - ERP =&gt; SEGMENT'!$GX$25</f>
        <v>71.735977500000004</v>
      </c>
      <c r="X22" s="427">
        <f>'ANALYSE - ERP =&gt; SEGMENT'!$FC$25</f>
        <v>239.59199999999998</v>
      </c>
      <c r="Y22" s="427">
        <f>'ANALYSE - ERP =&gt; SEGMENT'!$GS$25</f>
        <v>178.58256</v>
      </c>
      <c r="Z22" s="427">
        <f>'ANALYSE - ERP =&gt; SEGMENT'!$GV$25</f>
        <v>43.974559999999997</v>
      </c>
      <c r="AA22" s="427">
        <f>'ANALYSE - ERP =&gt; SEGMENT'!$GY$25</f>
        <v>17.034880000000001</v>
      </c>
      <c r="AC22" s="430">
        <f>'ANALYSE - ERP =&gt; SEGMENT'!$Q$25</f>
        <v>1</v>
      </c>
    </row>
    <row r="23" spans="1:29" ht="15" customHeight="1">
      <c r="A23" s="26">
        <v>20</v>
      </c>
      <c r="B23" s="26">
        <v>20</v>
      </c>
      <c r="C23" s="26">
        <v>17</v>
      </c>
      <c r="D23" s="497" t="s">
        <v>6739</v>
      </c>
      <c r="E23" s="498" t="s">
        <v>2104</v>
      </c>
      <c r="F23" s="498" t="s">
        <v>671</v>
      </c>
      <c r="G23" s="410" t="str">
        <f>'ANALYSE - ERP =&gt; SEGMENT'!$D$8</f>
        <v>Crèches</v>
      </c>
      <c r="I23" s="427">
        <f t="shared" si="2"/>
        <v>239.35296320828033</v>
      </c>
      <c r="K23" s="787">
        <f t="shared" si="0"/>
        <v>0.80973228181691193</v>
      </c>
      <c r="L23" s="787">
        <f t="shared" si="1"/>
        <v>0.19026771818308813</v>
      </c>
      <c r="N23" s="424">
        <f>'ANALYSE - ERP =&gt; SEGMENT'!$FA$8</f>
        <v>1196.7648160414017</v>
      </c>
      <c r="O23" s="427">
        <f>'ANALYSE - ERP =&gt; SEGMENT'!$GQ$8</f>
        <v>1072.4532439013349</v>
      </c>
      <c r="P23" s="427">
        <f>'ANALYSE - ERP =&gt; SEGMENT'!$GT$8</f>
        <v>97.979530094220053</v>
      </c>
      <c r="Q23" s="427">
        <f>'ANALYSE - ERP =&gt; SEGMENT'!$GW$8</f>
        <v>26.332042045846688</v>
      </c>
      <c r="S23" s="424">
        <f>'ANALYSE - ERP =&gt; SEGMENT'!$FB$8</f>
        <v>969.05910529140101</v>
      </c>
      <c r="T23" s="427">
        <f>'ANALYSE - ERP =&gt; SEGMENT'!$GR$8</f>
        <v>872.07221844133426</v>
      </c>
      <c r="U23" s="427">
        <f>'ANALYSE - ERP =&gt; SEGMENT'!$GU$8</f>
        <v>77.486016126719989</v>
      </c>
      <c r="V23" s="427">
        <f>'ANALYSE - ERP =&gt; SEGMENT'!$GX$8</f>
        <v>19.500870723346665</v>
      </c>
      <c r="X23" s="427">
        <f>'ANALYSE - ERP =&gt; SEGMENT'!$FC$8</f>
        <v>227.70571075000072</v>
      </c>
      <c r="Y23" s="427">
        <f>'ANALYSE - ERP =&gt; SEGMENT'!$GS$8</f>
        <v>200.38102546000061</v>
      </c>
      <c r="Z23" s="427">
        <f>'ANALYSE - ERP =&gt; SEGMENT'!$GV$8</f>
        <v>20.493513967500064</v>
      </c>
      <c r="AA23" s="427">
        <f>'ANALYSE - ERP =&gt; SEGMENT'!$GY$8</f>
        <v>6.8311713225000208</v>
      </c>
      <c r="AC23" s="430">
        <f>'ANALYSE - ERP =&gt; SEGMENT'!$Q$8</f>
        <v>1</v>
      </c>
    </row>
    <row r="24" spans="1:29" ht="15" customHeight="1">
      <c r="A24" s="26">
        <v>21</v>
      </c>
      <c r="B24" s="26">
        <v>21</v>
      </c>
      <c r="C24" s="26">
        <v>20</v>
      </c>
      <c r="D24" s="499" t="s">
        <v>3662</v>
      </c>
      <c r="E24" s="500" t="s">
        <v>1240</v>
      </c>
      <c r="F24" s="500" t="s">
        <v>8001</v>
      </c>
      <c r="G24" s="411" t="str">
        <f>'ANALYSE - ERP =&gt; SEGMENT'!$D$17</f>
        <v>Foires / salons
Halls d’exposition</v>
      </c>
      <c r="I24" s="427">
        <f t="shared" si="2"/>
        <v>111.29424739957264</v>
      </c>
      <c r="K24" s="787">
        <f t="shared" si="0"/>
        <v>0.79924798880408454</v>
      </c>
      <c r="L24" s="787">
        <f t="shared" si="1"/>
        <v>0.20075201119591554</v>
      </c>
      <c r="N24" s="424">
        <f>'ANALYSE - ERP =&gt; SEGMENT'!$FA$17</f>
        <v>556.47123699786323</v>
      </c>
      <c r="O24" s="427">
        <f>'ANALYSE - ERP =&gt; SEGMENT'!$GQ$17</f>
        <v>123.01163169230767</v>
      </c>
      <c r="P24" s="427">
        <f>'ANALYSE - ERP =&gt; SEGMENT'!$GT$17</f>
        <v>361.39634268333327</v>
      </c>
      <c r="Q24" s="427">
        <f>'ANALYSE - ERP =&gt; SEGMENT'!$GW$17</f>
        <v>72.063262622222226</v>
      </c>
      <c r="S24" s="424">
        <f>'ANALYSE - ERP =&gt; SEGMENT'!$FB$17</f>
        <v>444.75851699786324</v>
      </c>
      <c r="T24" s="427">
        <f>'ANALYSE - ERP =&gt; SEGMENT'!$GR$17</f>
        <v>100.66908769230768</v>
      </c>
      <c r="U24" s="427">
        <f>'ANALYSE - ERP =&gt; SEGMENT'!$GU$17</f>
        <v>285.4316930833333</v>
      </c>
      <c r="V24" s="427">
        <f>'ANALYSE - ERP =&gt; SEGMENT'!$GX$17</f>
        <v>58.657736222222219</v>
      </c>
      <c r="X24" s="427">
        <f>'ANALYSE - ERP =&gt; SEGMENT'!$FC$17</f>
        <v>111.71272</v>
      </c>
      <c r="Y24" s="427">
        <f>'ANALYSE - ERP =&gt; SEGMENT'!$GS$17</f>
        <v>22.342544000000004</v>
      </c>
      <c r="Z24" s="427">
        <f>'ANALYSE - ERP =&gt; SEGMENT'!$GV$17</f>
        <v>75.964649600000001</v>
      </c>
      <c r="AA24" s="427">
        <f>'ANALYSE - ERP =&gt; SEGMENT'!$GY$17</f>
        <v>13.405526399999999</v>
      </c>
      <c r="AC24" s="430">
        <f>'ANALYSE - ERP =&gt; SEGMENT'!$Q$17</f>
        <v>1</v>
      </c>
    </row>
    <row r="25" spans="1:29" ht="15" customHeight="1">
      <c r="A25" s="26">
        <v>22</v>
      </c>
      <c r="B25" s="26">
        <v>22</v>
      </c>
      <c r="C25" s="26">
        <v>22</v>
      </c>
      <c r="D25" s="509" t="s">
        <v>4908</v>
      </c>
      <c r="E25" s="510" t="s">
        <v>1950</v>
      </c>
      <c r="F25" s="510" t="s">
        <v>8005</v>
      </c>
      <c r="G25" s="408" t="str">
        <f>'ANALYSE - ERP =&gt; SEGMENT'!$D$34</f>
        <v>Locaux de sûreté, garde à vue et zones opérationnelles
Postes de proximité et antennes avec accueil public
Salles de réunion, de prévention ou de conférence ouvertes au public</v>
      </c>
      <c r="I25" s="427">
        <f t="shared" si="2"/>
        <v>51.355821999999989</v>
      </c>
      <c r="K25" s="787">
        <f t="shared" si="0"/>
        <v>0.85506858404486263</v>
      </c>
      <c r="L25" s="787">
        <f t="shared" si="1"/>
        <v>0.14493141595513748</v>
      </c>
      <c r="N25" s="424">
        <f>'ANALYSE - ERP =&gt; SEGMENT'!$FA$34</f>
        <v>256.77910999999995</v>
      </c>
      <c r="O25" s="427">
        <f>'ANALYSE - ERP =&gt; SEGMENT'!$GQ$34</f>
        <v>76.289425800000004</v>
      </c>
      <c r="P25" s="427">
        <f>'ANALYSE - ERP =&gt; SEGMENT'!$GT$34</f>
        <v>180.48968419999997</v>
      </c>
      <c r="Q25" s="427">
        <f>'ANALYSE - ERP =&gt; SEGMENT'!$GW$34</f>
        <v>0</v>
      </c>
      <c r="S25" s="424">
        <f>'ANALYSE - ERP =&gt; SEGMENT'!$FB$34</f>
        <v>219.56374999999997</v>
      </c>
      <c r="T25" s="427">
        <f>'ANALYSE - ERP =&gt; SEGMENT'!$GR$34</f>
        <v>65.869124999999997</v>
      </c>
      <c r="U25" s="427">
        <f>'ANALYSE - ERP =&gt; SEGMENT'!$GU$34</f>
        <v>153.69462499999997</v>
      </c>
      <c r="V25" s="427">
        <f>'ANALYSE - ERP =&gt; SEGMENT'!$GX$34</f>
        <v>0</v>
      </c>
      <c r="X25" s="427">
        <f>'ANALYSE - ERP =&gt; SEGMENT'!$FC$34</f>
        <v>37.215359999999997</v>
      </c>
      <c r="Y25" s="427">
        <f>'ANALYSE - ERP =&gt; SEGMENT'!$GS$34</f>
        <v>10.4203008</v>
      </c>
      <c r="Z25" s="427">
        <f>'ANALYSE - ERP =&gt; SEGMENT'!$GV$34</f>
        <v>26.795059199999997</v>
      </c>
      <c r="AA25" s="427">
        <f>'ANALYSE - ERP =&gt; SEGMENT'!$GY$34</f>
        <v>0</v>
      </c>
      <c r="AC25" s="430">
        <f>'ANALYSE - ERP =&gt; SEGMENT'!$Q$34</f>
        <v>1</v>
      </c>
    </row>
    <row r="26" spans="1:29" ht="15" customHeight="1">
      <c r="A26" s="26">
        <v>23</v>
      </c>
      <c r="B26" s="26">
        <v>23</v>
      </c>
      <c r="C26" s="26">
        <v>23</v>
      </c>
      <c r="D26" s="493" t="s">
        <v>2241</v>
      </c>
      <c r="E26" s="494" t="s">
        <v>2242</v>
      </c>
      <c r="F26" s="494" t="s">
        <v>7998</v>
      </c>
      <c r="G26" s="413" t="str">
        <f>'ANALYSE - ERP =&gt; SEGMENT'!$D$15</f>
        <v>Centres de santé / centres médicaux
Maisons de santé</v>
      </c>
      <c r="I26" s="427">
        <f t="shared" si="2"/>
        <v>74.784028810636372</v>
      </c>
      <c r="K26" s="787">
        <f t="shared" si="0"/>
        <v>0.66616417439589448</v>
      </c>
      <c r="L26" s="787">
        <f t="shared" si="1"/>
        <v>0.33383582560410546</v>
      </c>
      <c r="N26" s="424">
        <f>'ANALYSE - ERP =&gt; SEGMENT'!$FA$15</f>
        <v>373.92014405318184</v>
      </c>
      <c r="O26" s="427">
        <f>'ANALYSE - ERP =&gt; SEGMENT'!$GQ$15</f>
        <v>295.55632936818182</v>
      </c>
      <c r="P26" s="427">
        <f>'ANALYSE - ERP =&gt; SEGMENT'!$GT$15</f>
        <v>57.948636635000014</v>
      </c>
      <c r="Q26" s="427">
        <f>'ANALYSE - ERP =&gt; SEGMENT'!$GW$15</f>
        <v>20.415178050000002</v>
      </c>
      <c r="S26" s="424">
        <f>'ANALYSE - ERP =&gt; SEGMENT'!$FB$15</f>
        <v>249.09220405318183</v>
      </c>
      <c r="T26" s="427">
        <f>'ANALYSE - ERP =&gt; SEGMENT'!$GR$15</f>
        <v>196.94225676818181</v>
      </c>
      <c r="U26" s="427">
        <f>'ANALYSE - ERP =&gt; SEGMENT'!$GU$15</f>
        <v>37.976166235000015</v>
      </c>
      <c r="V26" s="427">
        <f>'ANALYSE - ERP =&gt; SEGMENT'!$GX$15</f>
        <v>14.173781050000002</v>
      </c>
      <c r="X26" s="427">
        <f>'ANALYSE - ERP =&gt; SEGMENT'!$FC$15</f>
        <v>124.82794</v>
      </c>
      <c r="Y26" s="427">
        <f>'ANALYSE - ERP =&gt; SEGMENT'!$GS$15</f>
        <v>98.6140726</v>
      </c>
      <c r="Z26" s="427">
        <f>'ANALYSE - ERP =&gt; SEGMENT'!$GV$15</f>
        <v>19.972470399999999</v>
      </c>
      <c r="AA26" s="427">
        <f>'ANALYSE - ERP =&gt; SEGMENT'!$GY$15</f>
        <v>6.2413970000000001</v>
      </c>
      <c r="AC26" s="430">
        <f>'ANALYSE - ERP =&gt; SEGMENT'!$Q$15</f>
        <v>1</v>
      </c>
    </row>
    <row r="27" spans="1:29" ht="15" customHeight="1">
      <c r="A27" s="26">
        <v>24</v>
      </c>
      <c r="B27" s="26">
        <v>24</v>
      </c>
      <c r="C27" s="26">
        <v>24</v>
      </c>
      <c r="D27" s="491" t="s">
        <v>2187</v>
      </c>
      <c r="E27" s="492" t="s">
        <v>1435</v>
      </c>
      <c r="F27" s="492" t="s">
        <v>7999</v>
      </c>
      <c r="G27" s="411" t="str">
        <f>'ANALYSE - ERP =&gt; SEGMENT'!$D$20</f>
        <v>Salles de jeux / bowlings / billards
Discothèques / salles de danse
Casinos</v>
      </c>
      <c r="I27" s="427">
        <f t="shared" si="2"/>
        <v>1.6434841369318178</v>
      </c>
      <c r="K27" s="787">
        <f t="shared" si="0"/>
        <v>0.83253260934187034</v>
      </c>
      <c r="L27" s="787">
        <f t="shared" si="1"/>
        <v>0.16746739065812979</v>
      </c>
      <c r="N27" s="424">
        <f>'ANALYSE - ERP =&gt; SEGMENT'!$FA$20</f>
        <v>8.2174206846590891</v>
      </c>
      <c r="O27" s="427">
        <f>'ANALYSE - ERP =&gt; SEGMENT'!$GQ$20</f>
        <v>4.66746159090909</v>
      </c>
      <c r="P27" s="427">
        <f>'ANALYSE - ERP =&gt; SEGMENT'!$GT$20</f>
        <v>3.0181281249999996</v>
      </c>
      <c r="Q27" s="427">
        <f>'ANALYSE - ERP =&gt; SEGMENT'!$GW$20</f>
        <v>0.53183096875000002</v>
      </c>
      <c r="S27" s="424">
        <f>'ANALYSE - ERP =&gt; SEGMENT'!$FB$20</f>
        <v>6.8412706846590901</v>
      </c>
      <c r="T27" s="427">
        <f>'ANALYSE - ERP =&gt; SEGMENT'!$GR$20</f>
        <v>3.9105790909090903</v>
      </c>
      <c r="U27" s="427">
        <f>'ANALYSE - ERP =&gt; SEGMENT'!$GU$20</f>
        <v>2.4951911249999994</v>
      </c>
      <c r="V27" s="427">
        <f>'ANALYSE - ERP =&gt; SEGMENT'!$GX$20</f>
        <v>0.43550046874999998</v>
      </c>
      <c r="X27" s="427">
        <f>'ANALYSE - ERP =&gt; SEGMENT'!$FC$20</f>
        <v>1.37615</v>
      </c>
      <c r="Y27" s="427">
        <f>'ANALYSE - ERP =&gt; SEGMENT'!$GS$20</f>
        <v>0.75688250000000001</v>
      </c>
      <c r="Z27" s="427">
        <f>'ANALYSE - ERP =&gt; SEGMENT'!$GV$20</f>
        <v>0.52293699999999999</v>
      </c>
      <c r="AA27" s="427">
        <f>'ANALYSE - ERP =&gt; SEGMENT'!$GY$20</f>
        <v>9.6330500000000013E-2</v>
      </c>
      <c r="AC27" s="430">
        <f>'ANALYSE - ERP =&gt; SEGMENT'!$Q$20</f>
        <v>1</v>
      </c>
    </row>
    <row r="28" spans="1:29" ht="15" customHeight="1">
      <c r="A28" s="26">
        <v>25</v>
      </c>
      <c r="B28" s="26">
        <v>25</v>
      </c>
      <c r="C28" s="26">
        <v>25</v>
      </c>
      <c r="D28" s="501" t="s">
        <v>2264</v>
      </c>
      <c r="E28" s="502" t="s">
        <v>4024</v>
      </c>
      <c r="F28" s="502" t="s">
        <v>679</v>
      </c>
      <c r="G28" s="409" t="str">
        <f>'ANALYSE - ERP =&gt; SEGMENT'!$D$22</f>
        <v>Bureaux (&gt;50 personnes, tertiaire privé + logistique hors usines)</v>
      </c>
      <c r="I28" s="427">
        <f t="shared" si="2"/>
        <v>489.25355065909088</v>
      </c>
      <c r="K28" s="787">
        <f t="shared" si="0"/>
        <v>0.87981845012511517</v>
      </c>
      <c r="L28" s="787">
        <f t="shared" si="1"/>
        <v>0.12018154987488477</v>
      </c>
      <c r="N28" s="424">
        <f>'ANALYSE - ERP =&gt; SEGMENT'!$FA$22</f>
        <v>2446.2677532954544</v>
      </c>
      <c r="O28" s="427">
        <f>'ANALYSE - ERP =&gt; SEGMENT'!$GQ$22</f>
        <v>1098.1851562500001</v>
      </c>
      <c r="P28" s="427">
        <f>'ANALYSE - ERP =&gt; SEGMENT'!$GT$22</f>
        <v>902.37269454545446</v>
      </c>
      <c r="Q28" s="427">
        <f>'ANALYSE - ERP =&gt; SEGMENT'!$GW$22</f>
        <v>445.7099025</v>
      </c>
      <c r="S28" s="424">
        <f>'ANALYSE - ERP =&gt; SEGMENT'!$FB$22</f>
        <v>2152.2715032954543</v>
      </c>
      <c r="T28" s="427">
        <f>'ANALYSE - ERP =&gt; SEGMENT'!$GR$22</f>
        <v>965.88684375000003</v>
      </c>
      <c r="U28" s="427">
        <f>'ANALYSE - ERP =&gt; SEGMENT'!$GU$22</f>
        <v>796.53404454545444</v>
      </c>
      <c r="V28" s="427">
        <f>'ANALYSE - ERP =&gt; SEGMENT'!$GX$22</f>
        <v>389.850615</v>
      </c>
      <c r="X28" s="427">
        <f>'ANALYSE - ERP =&gt; SEGMENT'!$FC$22</f>
        <v>293.99624999999997</v>
      </c>
      <c r="Y28" s="427">
        <f>'ANALYSE - ERP =&gt; SEGMENT'!$GS$22</f>
        <v>132.29831249999998</v>
      </c>
      <c r="Z28" s="427">
        <f>'ANALYSE - ERP =&gt; SEGMENT'!$GV$22</f>
        <v>105.83864999999999</v>
      </c>
      <c r="AA28" s="427">
        <f>'ANALYSE - ERP =&gt; SEGMENT'!$GY$22</f>
        <v>55.859287499999994</v>
      </c>
      <c r="AC28" s="430">
        <f>'ANALYSE - ERP =&gt; SEGMENT'!$Q$22</f>
        <v>1</v>
      </c>
    </row>
    <row r="29" spans="1:29" ht="15" customHeight="1">
      <c r="A29" s="26">
        <v>26</v>
      </c>
      <c r="B29" s="26">
        <v>26</v>
      </c>
      <c r="C29" s="26">
        <v>26</v>
      </c>
      <c r="D29" s="503" t="s">
        <v>2278</v>
      </c>
      <c r="E29" s="504" t="s">
        <v>1527</v>
      </c>
      <c r="F29" s="504" t="s">
        <v>7987</v>
      </c>
      <c r="G29" s="414" t="str">
        <f>'ANALYSE - ERP =&gt; SEGMENT'!$D$27</f>
        <v>Mairies / hôtels de ville
Préfectures / services administratifs
Maisons France Services
Guichets publics</v>
      </c>
      <c r="I29" s="427">
        <f t="shared" si="2"/>
        <v>0</v>
      </c>
      <c r="K29" s="787" t="str">
        <f t="shared" si="0"/>
        <v/>
      </c>
      <c r="L29" s="787" t="str">
        <f t="shared" si="1"/>
        <v/>
      </c>
      <c r="N29" s="424">
        <f>'ANALYSE - ERP =&gt; SEGMENT'!$FA$27</f>
        <v>0</v>
      </c>
      <c r="O29" s="427">
        <f>'ANALYSE - ERP =&gt; SEGMENT'!$GQ$27</f>
        <v>0</v>
      </c>
      <c r="P29" s="427">
        <f>'ANALYSE - ERP =&gt; SEGMENT'!$GT$27</f>
        <v>0</v>
      </c>
      <c r="Q29" s="427">
        <f>'ANALYSE - ERP =&gt; SEGMENT'!$GW$27</f>
        <v>0</v>
      </c>
      <c r="S29" s="424">
        <f>'ANALYSE - ERP =&gt; SEGMENT'!$FB$27</f>
        <v>0</v>
      </c>
      <c r="T29" s="427">
        <f>'ANALYSE - ERP =&gt; SEGMENT'!$GR$27</f>
        <v>0</v>
      </c>
      <c r="U29" s="427">
        <f>'ANALYSE - ERP =&gt; SEGMENT'!$GU$27</f>
        <v>0</v>
      </c>
      <c r="V29" s="427">
        <f>'ANALYSE - ERP =&gt; SEGMENT'!$GX$27</f>
        <v>0</v>
      </c>
      <c r="X29" s="427">
        <f>'ANALYSE - ERP =&gt; SEGMENT'!$FC$27</f>
        <v>0</v>
      </c>
      <c r="Y29" s="427">
        <f>'ANALYSE - ERP =&gt; SEGMENT'!$GS$27</f>
        <v>0</v>
      </c>
      <c r="Z29" s="427">
        <f>'ANALYSE - ERP =&gt; SEGMENT'!$GV$27</f>
        <v>0</v>
      </c>
      <c r="AA29" s="427">
        <f>'ANALYSE - ERP =&gt; SEGMENT'!$GY$27</f>
        <v>0</v>
      </c>
      <c r="AC29" s="430">
        <f>'ANALYSE - ERP =&gt; SEGMENT'!$Q$27</f>
        <v>1</v>
      </c>
    </row>
    <row r="30" spans="1:29" ht="15" customHeight="1">
      <c r="A30" s="26">
        <v>27</v>
      </c>
      <c r="B30" s="26">
        <v>27</v>
      </c>
      <c r="C30" s="26">
        <v>27</v>
      </c>
      <c r="D30" s="503" t="s">
        <v>2278</v>
      </c>
      <c r="E30" s="504" t="s">
        <v>4578</v>
      </c>
      <c r="F30" s="504" t="s">
        <v>7989</v>
      </c>
      <c r="G30" s="411" t="str">
        <f>'ANALYSE - ERP =&gt; SEGMENT'!$D$28</f>
        <v>Églises, cathédrales, basiliques et chapelles ouvertes au public
Monastères, abbayes et couvents ouverts au public
Temples protestants, évangéliques et salles de culte assimilées
Mosquées et salles de prière musulmanes
Synagogues et oratoires juifs ouverts au public
Temples bouddhistes, hindous et autres lieux de culte non abrahamiques ouverts au public
Salles du Royaume, centres cultuels pluriconfessionnels et lieux de culte polyvalents</v>
      </c>
      <c r="I30" s="427">
        <f t="shared" si="2"/>
        <v>85.325749999999999</v>
      </c>
      <c r="K30" s="787">
        <f t="shared" si="0"/>
        <v>0.92743105100160272</v>
      </c>
      <c r="L30" s="787">
        <f t="shared" si="1"/>
        <v>7.2568948998397317E-2</v>
      </c>
      <c r="N30" s="424">
        <f>'ANALYSE - ERP =&gt; SEGMENT'!$FA$28</f>
        <v>426.62874999999997</v>
      </c>
      <c r="O30" s="427">
        <f>'ANALYSE - ERP =&gt; SEGMENT'!$GQ$28</f>
        <v>62.683949999999996</v>
      </c>
      <c r="P30" s="427">
        <f>'ANALYSE - ERP =&gt; SEGMENT'!$GT$28</f>
        <v>339.88720000000001</v>
      </c>
      <c r="Q30" s="427">
        <f>'ANALYSE - ERP =&gt; SEGMENT'!$GW$28</f>
        <v>24.057600000000001</v>
      </c>
      <c r="S30" s="424">
        <f>'ANALYSE - ERP =&gt; SEGMENT'!$FB$28</f>
        <v>395.66874999999999</v>
      </c>
      <c r="T30" s="427">
        <f>'ANALYSE - ERP =&gt; SEGMENT'!$GR$28</f>
        <v>58.96875</v>
      </c>
      <c r="U30" s="427">
        <f>'ANALYSE - ERP =&gt; SEGMENT'!$GU$28</f>
        <v>314.5</v>
      </c>
      <c r="V30" s="427">
        <f>'ANALYSE - ERP =&gt; SEGMENT'!$GX$28</f>
        <v>22.2</v>
      </c>
      <c r="X30" s="427">
        <f>'ANALYSE - ERP =&gt; SEGMENT'!$FC$28</f>
        <v>30.959999999999997</v>
      </c>
      <c r="Y30" s="427">
        <f>'ANALYSE - ERP =&gt; SEGMENT'!$GS$28</f>
        <v>3.7151999999999994</v>
      </c>
      <c r="Z30" s="427">
        <f>'ANALYSE - ERP =&gt; SEGMENT'!$GV$28</f>
        <v>25.387199999999996</v>
      </c>
      <c r="AA30" s="427">
        <f>'ANALYSE - ERP =&gt; SEGMENT'!$GY$28</f>
        <v>1.8575999999999997</v>
      </c>
      <c r="AC30" s="430">
        <f>'ANALYSE - ERP =&gt; SEGMENT'!$Q$28</f>
        <v>1</v>
      </c>
    </row>
    <row r="31" spans="1:29" ht="15" customHeight="1">
      <c r="A31" s="26">
        <v>28</v>
      </c>
      <c r="B31" s="26">
        <v>28</v>
      </c>
      <c r="C31" s="26">
        <v>28</v>
      </c>
      <c r="D31" s="503" t="s">
        <v>2278</v>
      </c>
      <c r="E31" s="504" t="s">
        <v>1576</v>
      </c>
      <c r="F31" s="504" t="s">
        <v>1577</v>
      </c>
      <c r="G31" s="409" t="str">
        <f>'ANALYSE - ERP =&gt; SEGMENT'!$D$29</f>
        <v>Locaux associatifs recevant du public</v>
      </c>
      <c r="I31" s="427">
        <f t="shared" si="2"/>
        <v>0</v>
      </c>
      <c r="K31" s="787" t="str">
        <f t="shared" si="0"/>
        <v/>
      </c>
      <c r="L31" s="787" t="str">
        <f t="shared" si="1"/>
        <v/>
      </c>
      <c r="N31" s="424">
        <f>'ANALYSE - ERP =&gt; SEGMENT'!$FA$29</f>
        <v>0</v>
      </c>
      <c r="O31" s="427">
        <f>'ANALYSE - ERP =&gt; SEGMENT'!$GQ$29</f>
        <v>0</v>
      </c>
      <c r="P31" s="427">
        <f>'ANALYSE - ERP =&gt; SEGMENT'!$GT$29</f>
        <v>0</v>
      </c>
      <c r="Q31" s="427">
        <f>'ANALYSE - ERP =&gt; SEGMENT'!$GW$29</f>
        <v>0</v>
      </c>
      <c r="S31" s="424">
        <f>'ANALYSE - ERP =&gt; SEGMENT'!$FB$29</f>
        <v>0</v>
      </c>
      <c r="T31" s="427">
        <f>'ANALYSE - ERP =&gt; SEGMENT'!$GR$29</f>
        <v>0</v>
      </c>
      <c r="U31" s="427">
        <f>'ANALYSE - ERP =&gt; SEGMENT'!$GU$29</f>
        <v>0</v>
      </c>
      <c r="V31" s="427">
        <f>'ANALYSE - ERP =&gt; SEGMENT'!$GX$29</f>
        <v>0</v>
      </c>
      <c r="X31" s="427">
        <f>'ANALYSE - ERP =&gt; SEGMENT'!$FC$29</f>
        <v>0</v>
      </c>
      <c r="Y31" s="427">
        <f>'ANALYSE - ERP =&gt; SEGMENT'!$GS$29</f>
        <v>0</v>
      </c>
      <c r="Z31" s="427">
        <f>'ANALYSE - ERP =&gt; SEGMENT'!$GV$29</f>
        <v>0</v>
      </c>
      <c r="AA31" s="427">
        <f>'ANALYSE - ERP =&gt; SEGMENT'!$GY$29</f>
        <v>0</v>
      </c>
      <c r="AC31" s="430">
        <f>'ANALYSE - ERP =&gt; SEGMENT'!$Q$29</f>
        <v>1</v>
      </c>
    </row>
    <row r="32" spans="1:29" ht="15" customHeight="1">
      <c r="A32" s="26">
        <v>29</v>
      </c>
      <c r="B32" s="26">
        <v>29</v>
      </c>
      <c r="C32" s="26">
        <v>29</v>
      </c>
      <c r="D32" s="507" t="s">
        <v>2285</v>
      </c>
      <c r="E32" s="508" t="s">
        <v>7336</v>
      </c>
      <c r="F32" s="508" t="s">
        <v>7337</v>
      </c>
      <c r="G32" s="412" t="str">
        <f>'ANALYSE - ERP =&gt; SEGMENT'!$D$33</f>
        <v>Parcs de stationnement couverts</v>
      </c>
      <c r="I32" s="427">
        <f t="shared" si="2"/>
        <v>0</v>
      </c>
      <c r="K32" s="787" t="str">
        <f t="shared" si="0"/>
        <v/>
      </c>
      <c r="L32" s="787" t="str">
        <f t="shared" si="1"/>
        <v/>
      </c>
      <c r="N32" s="424">
        <f>'ANALYSE - ERP =&gt; SEGMENT'!$FA$33</f>
        <v>0</v>
      </c>
      <c r="O32" s="427">
        <f>'ANALYSE - ERP =&gt; SEGMENT'!$GQ$33</f>
        <v>0</v>
      </c>
      <c r="P32" s="427">
        <f>'ANALYSE - ERP =&gt; SEGMENT'!$GT$33</f>
        <v>0</v>
      </c>
      <c r="Q32" s="427">
        <f>'ANALYSE - ERP =&gt; SEGMENT'!$GW$33</f>
        <v>0</v>
      </c>
      <c r="S32" s="424">
        <f>'ANALYSE - ERP =&gt; SEGMENT'!$FB$33</f>
        <v>0</v>
      </c>
      <c r="T32" s="427">
        <f>'ANALYSE - ERP =&gt; SEGMENT'!$GR$33</f>
        <v>0</v>
      </c>
      <c r="U32" s="427">
        <f>'ANALYSE - ERP =&gt; SEGMENT'!$GU$33</f>
        <v>0</v>
      </c>
      <c r="V32" s="427">
        <f>'ANALYSE - ERP =&gt; SEGMENT'!$GX$33</f>
        <v>0</v>
      </c>
      <c r="X32" s="427">
        <f>'ANALYSE - ERP =&gt; SEGMENT'!$FC$33</f>
        <v>0</v>
      </c>
      <c r="Y32" s="427">
        <f>'ANALYSE - ERP =&gt; SEGMENT'!$GS$33</f>
        <v>0</v>
      </c>
      <c r="Z32" s="427">
        <f>'ANALYSE - ERP =&gt; SEGMENT'!$GV$33</f>
        <v>0</v>
      </c>
      <c r="AA32" s="427">
        <f>'ANALYSE - ERP =&gt; SEGMENT'!$GY$33</f>
        <v>0</v>
      </c>
      <c r="AC32" s="430">
        <f>'ANALYSE - ERP =&gt; SEGMENT'!$Q$33</f>
        <v>0</v>
      </c>
    </row>
    <row r="33" spans="1:29" ht="15" customHeight="1">
      <c r="A33" s="26">
        <v>30</v>
      </c>
      <c r="B33" s="26">
        <v>30</v>
      </c>
      <c r="C33" s="26">
        <v>30</v>
      </c>
      <c r="D33" s="509" t="s">
        <v>4908</v>
      </c>
      <c r="E33" s="510" t="s">
        <v>2027</v>
      </c>
      <c r="F33" s="510" t="s">
        <v>8003</v>
      </c>
      <c r="G33" s="411" t="str">
        <f>'ANALYSE - ERP =&gt; SEGMENT'!$D$37</f>
        <v>Palais de justice et bâtiments judiciaires multi-usages
Maisons de justice et du droit
Tribunaux de commerce autonomes
Conseils de prud’hommes autonomes
Autres bâtiments judiciaires autonomes recevant du public</v>
      </c>
      <c r="I33" s="427">
        <f t="shared" si="2"/>
        <v>0</v>
      </c>
      <c r="K33" s="787" t="str">
        <f t="shared" si="0"/>
        <v/>
      </c>
      <c r="L33" s="787" t="str">
        <f t="shared" si="1"/>
        <v/>
      </c>
      <c r="N33" s="424">
        <f>'ANALYSE - ERP =&gt; SEGMENT'!$FA$37</f>
        <v>0</v>
      </c>
      <c r="O33" s="427">
        <f>'ANALYSE - ERP =&gt; SEGMENT'!$GQ$37</f>
        <v>0</v>
      </c>
      <c r="P33" s="427">
        <f>'ANALYSE - ERP =&gt; SEGMENT'!$GT$37</f>
        <v>0</v>
      </c>
      <c r="Q33" s="427">
        <f>'ANALYSE - ERP =&gt; SEGMENT'!$GW$37</f>
        <v>0</v>
      </c>
      <c r="S33" s="424">
        <f>'ANALYSE - ERP =&gt; SEGMENT'!$FB$37</f>
        <v>0</v>
      </c>
      <c r="T33" s="427">
        <f>'ANALYSE - ERP =&gt; SEGMENT'!$GR$37</f>
        <v>0</v>
      </c>
      <c r="U33" s="427">
        <f>'ANALYSE - ERP =&gt; SEGMENT'!$GU$37</f>
        <v>0</v>
      </c>
      <c r="V33" s="427">
        <f>'ANALYSE - ERP =&gt; SEGMENT'!$GX$37</f>
        <v>0</v>
      </c>
      <c r="X33" s="427">
        <f>'ANALYSE - ERP =&gt; SEGMENT'!$FC$37</f>
        <v>0</v>
      </c>
      <c r="Y33" s="427">
        <f>'ANALYSE - ERP =&gt; SEGMENT'!$GS$37</f>
        <v>0</v>
      </c>
      <c r="Z33" s="427">
        <f>'ANALYSE - ERP =&gt; SEGMENT'!$GV$37</f>
        <v>0</v>
      </c>
      <c r="AA33" s="427">
        <f>'ANALYSE - ERP =&gt; SEGMENT'!$GY$37</f>
        <v>0</v>
      </c>
      <c r="AC33" s="430">
        <f>'ANALYSE - ERP =&gt; SEGMENT'!$Q$37</f>
        <v>1</v>
      </c>
    </row>
    <row r="34" spans="1:29" ht="15" customHeight="1">
      <c r="A34" s="26">
        <v>31</v>
      </c>
      <c r="B34" s="26">
        <v>31</v>
      </c>
      <c r="C34" s="26">
        <v>31</v>
      </c>
      <c r="D34" s="501" t="s">
        <v>2163</v>
      </c>
      <c r="E34" s="502" t="s">
        <v>2163</v>
      </c>
      <c r="F34" s="502" t="s">
        <v>2164</v>
      </c>
      <c r="G34" s="409" t="str">
        <f>'ANALYSE - ERP =&gt; SEGMENT'!$D$38</f>
        <v>Toilettes publiques (sur la voie publique)
Bains-douches municipaux / douches publiques fixes
Blocs sanitaires de plage / front de mer</v>
      </c>
      <c r="I34" s="427">
        <f t="shared" si="2"/>
        <v>180.28608</v>
      </c>
      <c r="K34" s="787">
        <f t="shared" si="0"/>
        <v>0.92586183026443314</v>
      </c>
      <c r="L34" s="787">
        <f t="shared" si="1"/>
        <v>7.4138169735566944E-2</v>
      </c>
      <c r="N34" s="424">
        <f>'ANALYSE - ERP =&gt; SEGMENT'!$FA$38</f>
        <v>901.43039999999996</v>
      </c>
      <c r="O34" s="427">
        <f>'ANALYSE - ERP =&gt; SEGMENT'!$GQ$38</f>
        <v>68.809823999999992</v>
      </c>
      <c r="P34" s="427">
        <f>'ANALYSE - ERP =&gt; SEGMENT'!$GT$38</f>
        <v>716.99601600000005</v>
      </c>
      <c r="Q34" s="427">
        <f>'ANALYSE - ERP =&gt; SEGMENT'!$GW$38</f>
        <v>115.62456000000002</v>
      </c>
      <c r="S34" s="424">
        <f>'ANALYSE - ERP =&gt; SEGMENT'!$FB$38</f>
        <v>834.6</v>
      </c>
      <c r="T34" s="427">
        <f>'ANALYSE - ERP =&gt; SEGMENT'!$GR$38</f>
        <v>64.8</v>
      </c>
      <c r="U34" s="427">
        <f>'ANALYSE - ERP =&gt; SEGMENT'!$GU$38</f>
        <v>664.2</v>
      </c>
      <c r="V34" s="427">
        <f>'ANALYSE - ERP =&gt; SEGMENT'!$GX$38</f>
        <v>105.60000000000002</v>
      </c>
      <c r="X34" s="427">
        <f>'ANALYSE - ERP =&gt; SEGMENT'!$FC$38</f>
        <v>66.830399999999997</v>
      </c>
      <c r="Y34" s="427">
        <f>'ANALYSE - ERP =&gt; SEGMENT'!$GS$38</f>
        <v>4.0098240000000001</v>
      </c>
      <c r="Z34" s="427">
        <f>'ANALYSE - ERP =&gt; SEGMENT'!$GV$38</f>
        <v>52.796016000000002</v>
      </c>
      <c r="AA34" s="427">
        <f>'ANALYSE - ERP =&gt; SEGMENT'!$GY$38</f>
        <v>10.024559999999999</v>
      </c>
      <c r="AC34" s="430">
        <f>'ANALYSE - ERP =&gt; SEGMENT'!$Q$38</f>
        <v>1</v>
      </c>
    </row>
  </sheetData>
  <pageMargins left="3.937007874015748E-2" right="3.937007874015748E-2" top="7.874015748031496E-2" bottom="7.874015748031496E-2" header="0.11811023622047249" footer="0.11811023622047249"/>
  <pageSetup paperSize="8" scale="73" fitToHeight="2"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8" tint="-0.249977111117893"/>
    <pageSetUpPr fitToPage="1"/>
  </sheetPr>
  <dimension ref="A1:BE34"/>
  <sheetViews>
    <sheetView zoomScale="85" zoomScaleNormal="85" workbookViewId="0">
      <selection activeCell="G20" sqref="G20"/>
    </sheetView>
  </sheetViews>
  <sheetFormatPr baseColWidth="10" defaultColWidth="9.140625" defaultRowHeight="15"/>
  <cols>
    <col min="1" max="1" width="6.140625" style="934" customWidth="1"/>
    <col min="2" max="2" width="5.7109375" style="934" customWidth="1"/>
    <col min="3" max="3" width="5.5703125" style="934" customWidth="1"/>
    <col min="4" max="4" width="6" style="934" customWidth="1"/>
    <col min="5" max="5" width="30.28515625" style="43" customWidth="1"/>
    <col min="6" max="6" width="22.7109375" style="43" customWidth="1"/>
    <col min="7" max="7" width="45.140625" style="43" customWidth="1"/>
    <col min="8" max="8" width="1.7109375" style="933" customWidth="1"/>
    <col min="9" max="9" width="9.7109375" style="934" customWidth="1"/>
    <col min="10" max="10" width="1.7109375" style="933" customWidth="1"/>
    <col min="11" max="11" width="9.5703125" style="934" customWidth="1"/>
    <col min="12" max="12" width="9" style="934" customWidth="1"/>
    <col min="13" max="13" width="1.7109375" style="933" customWidth="1"/>
    <col min="14" max="14" width="9.42578125" style="934" customWidth="1"/>
    <col min="15" max="15" width="9" style="934" customWidth="1"/>
    <col min="16" max="16" width="10.42578125" style="934" customWidth="1"/>
    <col min="17" max="17" width="8.7109375" style="934" customWidth="1"/>
    <col min="18" max="18" width="8.140625" style="934" customWidth="1"/>
    <col min="19" max="19" width="1.7109375" style="933" customWidth="1"/>
    <col min="20" max="20" width="9" style="934" customWidth="1"/>
    <col min="21" max="21" width="8.85546875" style="934" customWidth="1"/>
    <col min="22" max="22" width="9.7109375" style="934" customWidth="1"/>
    <col min="23" max="23" width="10.42578125" style="934" customWidth="1"/>
    <col min="24" max="24" width="9" style="934" customWidth="1"/>
    <col min="25" max="25" width="1.7109375" style="933" customWidth="1"/>
    <col min="26" max="26" width="8.140625" style="934" customWidth="1"/>
    <col min="27" max="27" width="9.85546875" style="934" customWidth="1"/>
    <col min="28" max="28" width="9" style="934" customWidth="1"/>
    <col min="29" max="29" width="9.42578125" style="934" customWidth="1"/>
    <col min="30" max="30" width="7.28515625" style="934" customWidth="1"/>
    <col min="31" max="31" width="1.7109375" style="933" customWidth="1"/>
    <col min="32" max="32" width="12.5703125" style="934" customWidth="1"/>
    <col min="33" max="57" width="9.140625" style="933" customWidth="1"/>
  </cols>
  <sheetData>
    <row r="1" spans="1:32" s="438" customFormat="1" ht="18.75" customHeight="1">
      <c r="D1" s="477"/>
      <c r="E1" s="479"/>
      <c r="F1" s="478" t="s">
        <v>7950</v>
      </c>
      <c r="G1" s="479"/>
      <c r="H1" s="933"/>
      <c r="J1" s="933"/>
      <c r="M1" s="933"/>
      <c r="N1" s="436"/>
      <c r="O1" s="436"/>
      <c r="P1" s="440" t="s">
        <v>7919</v>
      </c>
      <c r="Q1" s="436"/>
      <c r="R1" s="436"/>
      <c r="S1" s="933"/>
      <c r="T1" s="434"/>
      <c r="U1" s="434"/>
      <c r="V1" s="439" t="s">
        <v>7919</v>
      </c>
      <c r="W1" s="434"/>
      <c r="X1" s="434"/>
      <c r="Y1" s="933"/>
      <c r="Z1" s="435"/>
      <c r="AA1" s="435"/>
      <c r="AB1" s="441" t="s">
        <v>7919</v>
      </c>
      <c r="AC1" s="435"/>
      <c r="AD1" s="435"/>
      <c r="AE1" s="933"/>
      <c r="AF1" s="436"/>
    </row>
    <row r="2" spans="1:32" s="437" customFormat="1" ht="54.75" customHeight="1">
      <c r="A2" s="431" t="s">
        <v>7853</v>
      </c>
      <c r="B2" s="432" t="s">
        <v>7854</v>
      </c>
      <c r="C2" s="433" t="s">
        <v>7855</v>
      </c>
      <c r="D2" s="829" t="s">
        <v>2044</v>
      </c>
      <c r="E2" s="829" t="s">
        <v>6714</v>
      </c>
      <c r="F2" s="829" t="s">
        <v>6715</v>
      </c>
      <c r="G2" s="829" t="s">
        <v>2181</v>
      </c>
      <c r="H2" s="453"/>
      <c r="I2" s="436" t="s">
        <v>7920</v>
      </c>
      <c r="J2" s="453"/>
      <c r="K2" s="434" t="s">
        <v>7860</v>
      </c>
      <c r="L2" s="435" t="s">
        <v>2534</v>
      </c>
      <c r="M2" s="453"/>
      <c r="N2" s="436" t="s">
        <v>7857</v>
      </c>
      <c r="O2" s="436" t="s">
        <v>7951</v>
      </c>
      <c r="P2" s="436" t="s">
        <v>7952</v>
      </c>
      <c r="Q2" s="436" t="s">
        <v>7953</v>
      </c>
      <c r="R2" s="436" t="s">
        <v>7954</v>
      </c>
      <c r="S2" s="453"/>
      <c r="T2" s="434" t="s">
        <v>7925</v>
      </c>
      <c r="U2" s="434" t="s">
        <v>7955</v>
      </c>
      <c r="V2" s="434" t="s">
        <v>7956</v>
      </c>
      <c r="W2" s="434" t="s">
        <v>7957</v>
      </c>
      <c r="X2" s="434" t="s">
        <v>7958</v>
      </c>
      <c r="Y2" s="453"/>
      <c r="Z2" s="435" t="s">
        <v>7930</v>
      </c>
      <c r="AA2" s="435" t="s">
        <v>7959</v>
      </c>
      <c r="AB2" s="435" t="s">
        <v>7960</v>
      </c>
      <c r="AC2" s="435" t="s">
        <v>7961</v>
      </c>
      <c r="AD2" s="435" t="s">
        <v>7962</v>
      </c>
      <c r="AE2" s="453"/>
      <c r="AF2" s="436" t="s">
        <v>6711</v>
      </c>
    </row>
    <row r="3" spans="1:32">
      <c r="A3" s="405" t="s">
        <v>2535</v>
      </c>
      <c r="B3" s="405" t="s">
        <v>2535</v>
      </c>
      <c r="C3" s="405" t="s">
        <v>2535</v>
      </c>
      <c r="D3" s="405" t="s">
        <v>2090</v>
      </c>
      <c r="E3" s="405" t="s">
        <v>2086</v>
      </c>
      <c r="F3" s="405" t="s">
        <v>6728</v>
      </c>
      <c r="G3" s="405" t="s">
        <v>6729</v>
      </c>
      <c r="I3" s="426">
        <f>IFERROR(N3/5,"")</f>
        <v>69423.301141471209</v>
      </c>
      <c r="K3" s="790">
        <f t="shared" ref="K3:K34" si="0">IFERROR(T3/N3,"")</f>
        <v>0.80371731349634845</v>
      </c>
      <c r="L3" s="790">
        <f t="shared" ref="L3:L34" si="1">IFERROR(Z3/N3,"")</f>
        <v>0.19628268650365172</v>
      </c>
      <c r="N3" s="426">
        <f>SUMPRODUCT(($AF$4:$AF$106),('ANALYSE - ERP =&gt; SEGMENT'!$FD$8:$FD$110))</f>
        <v>347116.50570735603</v>
      </c>
      <c r="O3" s="426">
        <f>SUMPRODUCT(($AF$4:$AF$106),('ANALYSE - ERP =&gt; SEGMENT'!$GZ$8:$GZ$110))</f>
        <v>33355.408405776514</v>
      </c>
      <c r="P3" s="426">
        <f>SUMPRODUCT(($AF$4:$AF$106),('ANALYSE - ERP =&gt; SEGMENT'!$HC$8:$HC$110))</f>
        <v>173870.29451179795</v>
      </c>
      <c r="Q3" s="426">
        <f>SUMPRODUCT(($AF$4:$AF$106),('ANALYSE - ERP =&gt; SEGMENT'!$HF$8:$HF$110))</f>
        <v>59580.892795560663</v>
      </c>
      <c r="R3" s="426">
        <f>SUMPRODUCT(($AF$4:$AF$106),('ANALYSE - ERP =&gt; SEGMENT'!$HI$8:$HI$110))</f>
        <v>80309.909994220958</v>
      </c>
      <c r="T3" s="426">
        <f>SUMPRODUCT(($AF$4:$AF$106),('ANALYSE - ERP =&gt; SEGMENT'!$FE$8:$FE$110))</f>
        <v>278983.54543735611</v>
      </c>
      <c r="U3" s="426">
        <f>SUMPRODUCT(($AF$4:$AF$106),('ANALYSE - ERP =&gt; SEGMENT'!$HA$8:$HA$110))</f>
        <v>28369.868338626511</v>
      </c>
      <c r="V3" s="426">
        <f>SUMPRODUCT(($AF$4:$AF$106),('ANALYSE - ERP =&gt; SEGMENT'!$HD$8:$HD$110))</f>
        <v>136570.78607634795</v>
      </c>
      <c r="W3" s="426">
        <f>SUMPRODUCT(($AF$4:$AF$106),('ANALYSE - ERP =&gt; SEGMENT'!$HG$8:$HG$110))</f>
        <v>48588.891849860658</v>
      </c>
      <c r="X3" s="426">
        <f>SUMPRODUCT(($AF$4:$AF$106),('ANALYSE - ERP =&gt; SEGMENT'!$HJ$8:$HJ$110))</f>
        <v>65453.999172520947</v>
      </c>
      <c r="Z3" s="426">
        <f>SUMPRODUCT(($AF$4:$AF$106),('ANALYSE - ERP =&gt; SEGMENT'!$FF$8:$FF$110))</f>
        <v>68132.960269999996</v>
      </c>
      <c r="AA3" s="426">
        <f>SUMPRODUCT(($AF$4:$AF$106),('ANALYSE - ERP =&gt; SEGMENT'!$HB$8:$HB$110))</f>
        <v>4985.5400671500001</v>
      </c>
      <c r="AB3" s="426">
        <f>SUMPRODUCT(($AF$4:$AF$106),('ANALYSE - ERP =&gt; SEGMENT'!$HE$8:$HE$110))</f>
        <v>37299.508435450007</v>
      </c>
      <c r="AC3" s="426">
        <f>SUMPRODUCT(($AF$4:$AF$106),('ANALYSE - ERP =&gt; SEGMENT'!$HH$8:$HH$110))</f>
        <v>10992.000945700001</v>
      </c>
      <c r="AD3" s="426">
        <f>SUMPRODUCT(($AF$4:$AF$106),('ANALYSE - ERP =&gt; SEGMENT'!$HK$8:$HK$110))</f>
        <v>14855.910821700001</v>
      </c>
      <c r="AF3" s="428">
        <f>SUM('ANALYSE - ERP =&gt; SEGMENT'!$Q$8:$Q$110)</f>
        <v>34</v>
      </c>
    </row>
    <row r="4" spans="1:32" ht="15" customHeight="1">
      <c r="A4" s="26">
        <v>1</v>
      </c>
      <c r="B4" s="26">
        <v>1</v>
      </c>
      <c r="C4" s="26">
        <v>1</v>
      </c>
      <c r="D4" s="491" t="s">
        <v>2187</v>
      </c>
      <c r="E4" s="492" t="s">
        <v>3877</v>
      </c>
      <c r="F4" s="492" t="s">
        <v>7981</v>
      </c>
      <c r="G4" s="408" t="str">
        <f>'ANALYSE - ERP =&gt; SEGMENT'!$D$19</f>
        <v>Cafés / bars / brasseries
Fast-food / cafétérias / food courts
Restaurants
(Hors établissements altitude, flottant, armée)</v>
      </c>
      <c r="I4" s="427">
        <f t="shared" ref="I4:I34" si="2">N4/5</f>
        <v>12500.019956988926</v>
      </c>
      <c r="K4" s="787">
        <f t="shared" si="0"/>
        <v>0.83005573164607049</v>
      </c>
      <c r="L4" s="787">
        <f t="shared" si="1"/>
        <v>0.16994426835392956</v>
      </c>
      <c r="N4" s="424">
        <f>'ANALYSE - ERP =&gt; SEGMENT'!$FD$19</f>
        <v>62500.099784944628</v>
      </c>
      <c r="O4" s="427">
        <f>'ANALYSE - ERP =&gt; SEGMENT'!$GZ$19</f>
        <v>5120.7494316666671</v>
      </c>
      <c r="P4" s="427">
        <f>'ANALYSE - ERP =&gt; SEGMENT'!$HC$19</f>
        <v>28490.049803954545</v>
      </c>
      <c r="Q4" s="427">
        <f>'ANALYSE - ERP =&gt; SEGMENT'!$HF$19</f>
        <v>13365.768834667859</v>
      </c>
      <c r="R4" s="427">
        <f>'ANALYSE - ERP =&gt; SEGMENT'!$HI$19</f>
        <v>15523.531714655559</v>
      </c>
      <c r="T4" s="424">
        <f>'ANALYSE - ERP =&gt; SEGMENT'!$FE$19</f>
        <v>51878.566054944626</v>
      </c>
      <c r="U4" s="427">
        <f>'ANALYSE - ERP =&gt; SEGMENT'!$HA$19</f>
        <v>4512.3020735666669</v>
      </c>
      <c r="V4" s="427">
        <f>'ANALYSE - ERP =&gt; SEGMENT'!$HD$19</f>
        <v>23305.477293954547</v>
      </c>
      <c r="W4" s="427">
        <f>'ANALYSE - ERP =&gt; SEGMENT'!$HG$19</f>
        <v>10769.652028267858</v>
      </c>
      <c r="X4" s="427">
        <f>'ANALYSE - ERP =&gt; SEGMENT'!$HJ$19</f>
        <v>13291.134659155558</v>
      </c>
      <c r="Z4" s="427">
        <f>'ANALYSE - ERP =&gt; SEGMENT'!$FF$19</f>
        <v>10621.533730000005</v>
      </c>
      <c r="AA4" s="427">
        <f>'ANALYSE - ERP =&gt; SEGMENT'!$HB$19</f>
        <v>608.4473581000002</v>
      </c>
      <c r="AB4" s="427">
        <f>'ANALYSE - ERP =&gt; SEGMENT'!$HE$19</f>
        <v>5184.5725100000018</v>
      </c>
      <c r="AC4" s="427">
        <f>'ANALYSE - ERP =&gt; SEGMENT'!$HH$19</f>
        <v>2596.1168064000012</v>
      </c>
      <c r="AD4" s="427">
        <f>'ANALYSE - ERP =&gt; SEGMENT'!$HK$19</f>
        <v>2232.3970555000005</v>
      </c>
      <c r="AF4" s="430">
        <f>'ANALYSE - ERP =&gt; SEGMENT'!$Q$19</f>
        <v>1</v>
      </c>
    </row>
    <row r="5" spans="1:32" ht="15" customHeight="1">
      <c r="A5" s="26">
        <v>2</v>
      </c>
      <c r="B5" s="26">
        <v>2</v>
      </c>
      <c r="C5" s="26">
        <v>2</v>
      </c>
      <c r="D5" s="497" t="s">
        <v>6739</v>
      </c>
      <c r="E5" s="498" t="s">
        <v>2678</v>
      </c>
      <c r="F5" s="498" t="s">
        <v>7984</v>
      </c>
      <c r="G5" s="416" t="str">
        <f>'ANALYSE - ERP =&gt; SEGMENT'!$D$9</f>
        <v>Écoles maternelles
Écoles primaires 
Collèges (vestiaires EPS inclus)
Lycées (vestiaires EPS inclus)
Internats scolaires</v>
      </c>
      <c r="I5" s="427">
        <f t="shared" si="2"/>
        <v>13426.093062984801</v>
      </c>
      <c r="K5" s="787">
        <f t="shared" si="0"/>
        <v>0.7387851398357338</v>
      </c>
      <c r="L5" s="787">
        <f t="shared" si="1"/>
        <v>0.26121486016426626</v>
      </c>
      <c r="N5" s="424">
        <f>'ANALYSE - ERP =&gt; SEGMENT'!$FD$9</f>
        <v>67130.465314924004</v>
      </c>
      <c r="O5" s="427">
        <f>'ANALYSE - ERP =&gt; SEGMENT'!$GZ$9</f>
        <v>4757.4248942950808</v>
      </c>
      <c r="P5" s="427">
        <f>'ANALYSE - ERP =&gt; SEGMENT'!$HC$9</f>
        <v>42695.870529159802</v>
      </c>
      <c r="Q5" s="427">
        <f>'ANALYSE - ERP =&gt; SEGMENT'!$HF$9</f>
        <v>4683.7855217812794</v>
      </c>
      <c r="R5" s="427">
        <f>'ANALYSE - ERP =&gt; SEGMENT'!$HI$9</f>
        <v>14993.384369687839</v>
      </c>
      <c r="T5" s="424">
        <f>'ANALYSE - ERP =&gt; SEGMENT'!$FE$9</f>
        <v>49594.990204924005</v>
      </c>
      <c r="U5" s="427">
        <f>'ANALYSE - ERP =&gt; SEGMENT'!$HA$9</f>
        <v>3707.3878532950798</v>
      </c>
      <c r="V5" s="427">
        <f>'ANALYSE - ERP =&gt; SEGMENT'!$HD$9</f>
        <v>31536.343072659802</v>
      </c>
      <c r="W5" s="427">
        <f>'ANALYSE - ERP =&gt; SEGMENT'!$HG$9</f>
        <v>3182.97519028128</v>
      </c>
      <c r="X5" s="427">
        <f>'ANALYSE - ERP =&gt; SEGMENT'!$HJ$9</f>
        <v>11168.28408868784</v>
      </c>
      <c r="Z5" s="427">
        <f>'ANALYSE - ERP =&gt; SEGMENT'!$FF$9</f>
        <v>17535.475109999999</v>
      </c>
      <c r="AA5" s="427">
        <f>'ANALYSE - ERP =&gt; SEGMENT'!$HB$9</f>
        <v>1050.037041</v>
      </c>
      <c r="AB5" s="427">
        <f>'ANALYSE - ERP =&gt; SEGMENT'!$HE$9</f>
        <v>11159.5274565</v>
      </c>
      <c r="AC5" s="427">
        <f>'ANALYSE - ERP =&gt; SEGMENT'!$HH$9</f>
        <v>1500.8103315000001</v>
      </c>
      <c r="AD5" s="427">
        <f>'ANALYSE - ERP =&gt; SEGMENT'!$HK$9</f>
        <v>3825.1002809999995</v>
      </c>
      <c r="AF5" s="430">
        <f>'ANALYSE - ERP =&gt; SEGMENT'!$Q$9</f>
        <v>1</v>
      </c>
    </row>
    <row r="6" spans="1:32" ht="15" customHeight="1">
      <c r="A6" s="26">
        <v>3</v>
      </c>
      <c r="B6" s="26">
        <v>3</v>
      </c>
      <c r="C6" s="26">
        <v>5</v>
      </c>
      <c r="D6" s="499" t="s">
        <v>3662</v>
      </c>
      <c r="E6" s="500" t="s">
        <v>1114</v>
      </c>
      <c r="F6" s="500" t="s">
        <v>7985</v>
      </c>
      <c r="G6" s="409" t="str">
        <f>'ANALYSE - ERP =&gt; SEGMENT'!$D$16</f>
        <v>Cinémas
Théâtres
Musées
Salles de spectacle / auditoriums
Salles de conférence / réunion
Salles polyvalentes / salles des fêtes
Bibliothèques / médiathèques</v>
      </c>
      <c r="I6" s="427">
        <f t="shared" si="2"/>
        <v>6229.3755675855982</v>
      </c>
      <c r="K6" s="787">
        <f t="shared" si="0"/>
        <v>0.82358981216059102</v>
      </c>
      <c r="L6" s="787">
        <f t="shared" si="1"/>
        <v>0.1764101878394089</v>
      </c>
      <c r="N6" s="424">
        <f>'ANALYSE - ERP =&gt; SEGMENT'!$FD$16</f>
        <v>31146.87783792799</v>
      </c>
      <c r="O6" s="427">
        <f>'ANALYSE - ERP =&gt; SEGMENT'!$GZ$16</f>
        <v>2737.2448801090909</v>
      </c>
      <c r="P6" s="427">
        <f>'ANALYSE - ERP =&gt; SEGMENT'!$HC$16</f>
        <v>15143.382289564104</v>
      </c>
      <c r="Q6" s="427">
        <f>'ANALYSE - ERP =&gt; SEGMENT'!$HF$16</f>
        <v>6126.63029898889</v>
      </c>
      <c r="R6" s="427">
        <f>'ANALYSE - ERP =&gt; SEGMENT'!$HI$16</f>
        <v>7139.6203692659092</v>
      </c>
      <c r="T6" s="424">
        <f>'ANALYSE - ERP =&gt; SEGMENT'!$FE$16</f>
        <v>25652.25126792799</v>
      </c>
      <c r="U6" s="427">
        <f>'ANALYSE - ERP =&gt; SEGMENT'!$HA$16</f>
        <v>2372.9381147090908</v>
      </c>
      <c r="V6" s="427">
        <f>'ANALYSE - ERP =&gt; SEGMENT'!$HD$16</f>
        <v>12189.912424064105</v>
      </c>
      <c r="W6" s="427">
        <f>'ANALYSE - ERP =&gt; SEGMENT'!$HG$16</f>
        <v>5072.19821188889</v>
      </c>
      <c r="X6" s="427">
        <f>'ANALYSE - ERP =&gt; SEGMENT'!$HJ$16</f>
        <v>6017.2025172659087</v>
      </c>
      <c r="Z6" s="427">
        <f>'ANALYSE - ERP =&gt; SEGMENT'!$FF$16</f>
        <v>5494.6265699999985</v>
      </c>
      <c r="AA6" s="427">
        <f>'ANALYSE - ERP =&gt; SEGMENT'!$HB$16</f>
        <v>364.30676540000002</v>
      </c>
      <c r="AB6" s="427">
        <f>'ANALYSE - ERP =&gt; SEGMENT'!$HE$16</f>
        <v>2953.4698654999997</v>
      </c>
      <c r="AC6" s="427">
        <f>'ANALYSE - ERP =&gt; SEGMENT'!$HH$16</f>
        <v>1054.4320871</v>
      </c>
      <c r="AD6" s="427">
        <f>'ANALYSE - ERP =&gt; SEGMENT'!$HK$16</f>
        <v>1122.417852</v>
      </c>
      <c r="AF6" s="430">
        <f>'ANALYSE - ERP =&gt; SEGMENT'!$Q$16</f>
        <v>1</v>
      </c>
    </row>
    <row r="7" spans="1:32" ht="15" customHeight="1">
      <c r="A7" s="26">
        <v>4</v>
      </c>
      <c r="B7" s="26">
        <v>4</v>
      </c>
      <c r="C7" s="26">
        <v>3</v>
      </c>
      <c r="D7" s="501" t="s">
        <v>2264</v>
      </c>
      <c r="E7" s="502" t="s">
        <v>4024</v>
      </c>
      <c r="F7" s="502" t="s">
        <v>679</v>
      </c>
      <c r="G7" s="415" t="str">
        <f>'ANALYSE - ERP =&gt; SEGMENT'!$D$22</f>
        <v>Bureaux (&gt;50 personnes, tertiaire privé + logistique hors usines)</v>
      </c>
      <c r="I7" s="427">
        <f t="shared" si="2"/>
        <v>9469.3832433566422</v>
      </c>
      <c r="K7" s="787">
        <f t="shared" si="0"/>
        <v>0.87581186970914637</v>
      </c>
      <c r="L7" s="787">
        <f t="shared" si="1"/>
        <v>0.12418813029085354</v>
      </c>
      <c r="N7" s="424">
        <f>'ANALYSE - ERP =&gt; SEGMENT'!$FD$22</f>
        <v>47346.916216783211</v>
      </c>
      <c r="O7" s="427">
        <f>'ANALYSE - ERP =&gt; SEGMENT'!$GZ$22</f>
        <v>7343.3747045454547</v>
      </c>
      <c r="P7" s="427">
        <f>'ANALYSE - ERP =&gt; SEGMENT'!$HC$22</f>
        <v>19816.399557692308</v>
      </c>
      <c r="Q7" s="427">
        <f>'ANALYSE - ERP =&gt; SEGMENT'!$HF$22</f>
        <v>12490.971750000001</v>
      </c>
      <c r="R7" s="427">
        <f>'ANALYSE - ERP =&gt; SEGMENT'!$HI$22</f>
        <v>7696.1702045454549</v>
      </c>
      <c r="T7" s="424">
        <f>'ANALYSE - ERP =&gt; SEGMENT'!$FE$22</f>
        <v>41466.991216783208</v>
      </c>
      <c r="U7" s="427">
        <f>'ANALYSE - ERP =&gt; SEGMENT'!$HA$22</f>
        <v>6637.7837045454544</v>
      </c>
      <c r="V7" s="427">
        <f>'ANALYSE - ERP =&gt; SEGMENT'!$HD$22</f>
        <v>17052.834807692307</v>
      </c>
      <c r="W7" s="427">
        <f>'ANALYSE - ERP =&gt; SEGMENT'!$HG$22</f>
        <v>11138.589</v>
      </c>
      <c r="X7" s="427">
        <f>'ANALYSE - ERP =&gt; SEGMENT'!$HJ$22</f>
        <v>6637.7837045454544</v>
      </c>
      <c r="Z7" s="427">
        <f>'ANALYSE - ERP =&gt; SEGMENT'!$FF$22</f>
        <v>5879.9250000000002</v>
      </c>
      <c r="AA7" s="427">
        <f>'ANALYSE - ERP =&gt; SEGMENT'!$HB$22</f>
        <v>705.59100000000001</v>
      </c>
      <c r="AB7" s="427">
        <f>'ANALYSE - ERP =&gt; SEGMENT'!$HE$22</f>
        <v>2763.56475</v>
      </c>
      <c r="AC7" s="427">
        <f>'ANALYSE - ERP =&gt; SEGMENT'!$HH$22</f>
        <v>1352.38275</v>
      </c>
      <c r="AD7" s="427">
        <f>'ANALYSE - ERP =&gt; SEGMENT'!$HK$22</f>
        <v>1058.3865000000001</v>
      </c>
      <c r="AF7" s="430">
        <f>'ANALYSE - ERP =&gt; SEGMENT'!$Q$22</f>
        <v>1</v>
      </c>
    </row>
    <row r="8" spans="1:32" ht="15" customHeight="1">
      <c r="A8" s="26">
        <v>5</v>
      </c>
      <c r="B8" s="26">
        <v>6</v>
      </c>
      <c r="C8" s="26">
        <v>4</v>
      </c>
      <c r="D8" s="495" t="s">
        <v>1670</v>
      </c>
      <c r="E8" s="496" t="s">
        <v>1747</v>
      </c>
      <c r="F8" s="496" t="s">
        <v>7986</v>
      </c>
      <c r="G8" s="414" t="str">
        <f>'ANALYSE - ERP =&gt; SEGMENT'!$D$31</f>
        <v>Grands stades avec tribunes
(Type football/rugby) 
Stades 
(Type athlétisme - Hors scolaire)
Terrains de sport
(Hors scolaire)
Hippodromes
Piscines extérieures 
(Hors campings, hôtels, résidences et établissement avec bassin intérieur)
Bases nautiques / centres nautiques avec vestiaires-douches
Bases de loisirs avec plages, douches et sanitaires</v>
      </c>
      <c r="I8" s="427">
        <f t="shared" si="2"/>
        <v>10334.981681912697</v>
      </c>
      <c r="K8" s="787">
        <f t="shared" si="0"/>
        <v>0.81840452380437489</v>
      </c>
      <c r="L8" s="787">
        <f t="shared" si="1"/>
        <v>0.18159547619562522</v>
      </c>
      <c r="N8" s="424">
        <f>'ANALYSE - ERP =&gt; SEGMENT'!$FD$31</f>
        <v>51674.90840956349</v>
      </c>
      <c r="O8" s="427">
        <f>'ANALYSE - ERP =&gt; SEGMENT'!$GZ$31</f>
        <v>2546.4637942500003</v>
      </c>
      <c r="P8" s="427">
        <f>'ANALYSE - ERP =&gt; SEGMENT'!$HC$31</f>
        <v>26350.598959999999</v>
      </c>
      <c r="Q8" s="427">
        <f>'ANALYSE - ERP =&gt; SEGMENT'!$HF$31</f>
        <v>5828.9353275357144</v>
      </c>
      <c r="R8" s="427">
        <f>'ANALYSE - ERP =&gt; SEGMENT'!$HI$31</f>
        <v>16948.910327777779</v>
      </c>
      <c r="T8" s="424">
        <f>'ANALYSE - ERP =&gt; SEGMENT'!$FE$31</f>
        <v>42290.978809563494</v>
      </c>
      <c r="U8" s="427">
        <f>'ANALYSE - ERP =&gt; SEGMENT'!$HA$31</f>
        <v>2222.3639822499999</v>
      </c>
      <c r="V8" s="427">
        <f>'ANALYSE - ERP =&gt; SEGMENT'!$HD$31</f>
        <v>21189.437680000003</v>
      </c>
      <c r="W8" s="427">
        <f>'ANALYSE - ERP =&gt; SEGMENT'!$HG$31</f>
        <v>4831.007205535715</v>
      </c>
      <c r="X8" s="427">
        <f>'ANALYSE - ERP =&gt; SEGMENT'!$HJ$31</f>
        <v>14048.169941777776</v>
      </c>
      <c r="Z8" s="427">
        <f>'ANALYSE - ERP =&gt; SEGMENT'!$FF$31</f>
        <v>9383.9295999999995</v>
      </c>
      <c r="AA8" s="427">
        <f>'ANALYSE - ERP =&gt; SEGMENT'!$HB$31</f>
        <v>324.09981199999993</v>
      </c>
      <c r="AB8" s="427">
        <f>'ANALYSE - ERP =&gt; SEGMENT'!$HE$31</f>
        <v>5161.1612799999994</v>
      </c>
      <c r="AC8" s="427">
        <f>'ANALYSE - ERP =&gt; SEGMENT'!$HH$31</f>
        <v>997.92812199999992</v>
      </c>
      <c r="AD8" s="427">
        <f>'ANALYSE - ERP =&gt; SEGMENT'!$HK$31</f>
        <v>2900.7403859999995</v>
      </c>
      <c r="AF8" s="430">
        <f>'ANALYSE - ERP =&gt; SEGMENT'!$Q$31</f>
        <v>1</v>
      </c>
    </row>
    <row r="9" spans="1:32" ht="15" customHeight="1">
      <c r="A9" s="26">
        <v>6</v>
      </c>
      <c r="B9" s="26">
        <v>5</v>
      </c>
      <c r="C9" s="26">
        <v>8</v>
      </c>
      <c r="D9" s="503" t="s">
        <v>2278</v>
      </c>
      <c r="E9" s="504" t="s">
        <v>1527</v>
      </c>
      <c r="F9" s="504" t="s">
        <v>7987</v>
      </c>
      <c r="G9" s="408" t="str">
        <f>'ANALYSE - ERP =&gt; SEGMENT'!$D$27</f>
        <v>Mairies / hôtels de ville
Préfectures / services administratifs
Maisons France Services
Guichets publics</v>
      </c>
      <c r="I9" s="427">
        <f t="shared" si="2"/>
        <v>1891.6074988928285</v>
      </c>
      <c r="K9" s="787">
        <f t="shared" si="0"/>
        <v>0.88306218487214172</v>
      </c>
      <c r="L9" s="787">
        <f t="shared" si="1"/>
        <v>0.11693781512785828</v>
      </c>
      <c r="N9" s="424">
        <f>'ANALYSE - ERP =&gt; SEGMENT'!$FD$27</f>
        <v>9458.0374944641426</v>
      </c>
      <c r="O9" s="427">
        <f>'ANALYSE - ERP =&gt; SEGMENT'!$GZ$27</f>
        <v>1110.4221624181816</v>
      </c>
      <c r="P9" s="427">
        <f>'ANALYSE - ERP =&gt; SEGMENT'!$HC$27</f>
        <v>4281.1392239999996</v>
      </c>
      <c r="Q9" s="427">
        <f>'ANALYSE - ERP =&gt; SEGMENT'!$HF$27</f>
        <v>2451.752072927778</v>
      </c>
      <c r="R9" s="427">
        <f>'ANALYSE - ERP =&gt; SEGMENT'!$HI$27</f>
        <v>1614.724035118182</v>
      </c>
      <c r="T9" s="424">
        <f>'ANALYSE - ERP =&gt; SEGMENT'!$FE$27</f>
        <v>8352.0352544641428</v>
      </c>
      <c r="U9" s="427">
        <f>'ANALYSE - ERP =&gt; SEGMENT'!$HA$27</f>
        <v>1001.0512004181817</v>
      </c>
      <c r="V9" s="427">
        <f>'ANALYSE - ERP =&gt; SEGMENT'!$HD$27</f>
        <v>3735.7779912000001</v>
      </c>
      <c r="W9" s="427">
        <f>'ANALYSE - ERP =&gt; SEGMENT'!$HG$27</f>
        <v>2186.6842049277784</v>
      </c>
      <c r="X9" s="427">
        <f>'ANALYSE - ERP =&gt; SEGMENT'!$HJ$27</f>
        <v>1428.5218579181819</v>
      </c>
      <c r="Z9" s="427">
        <f>'ANALYSE - ERP =&gt; SEGMENT'!$FF$27</f>
        <v>1106.0022399999998</v>
      </c>
      <c r="AA9" s="427">
        <f>'ANALYSE - ERP =&gt; SEGMENT'!$HB$27</f>
        <v>109.37096199999999</v>
      </c>
      <c r="AB9" s="427">
        <f>'ANALYSE - ERP =&gt; SEGMENT'!$HE$27</f>
        <v>545.36123279999993</v>
      </c>
      <c r="AC9" s="427">
        <f>'ANALYSE - ERP =&gt; SEGMENT'!$HH$27</f>
        <v>265.06786799999998</v>
      </c>
      <c r="AD9" s="427">
        <f>'ANALYSE - ERP =&gt; SEGMENT'!$HK$27</f>
        <v>186.20217719999997</v>
      </c>
      <c r="AF9" s="430">
        <f>'ANALYSE - ERP =&gt; SEGMENT'!$Q$27</f>
        <v>1</v>
      </c>
    </row>
    <row r="10" spans="1:32" ht="15" customHeight="1">
      <c r="A10" s="26">
        <v>7</v>
      </c>
      <c r="B10" s="26">
        <v>7</v>
      </c>
      <c r="C10" s="26">
        <v>6</v>
      </c>
      <c r="D10" s="495" t="s">
        <v>1670</v>
      </c>
      <c r="E10" s="496" t="s">
        <v>1671</v>
      </c>
      <c r="F10" s="496" t="s">
        <v>7983</v>
      </c>
      <c r="G10" s="411" t="str">
        <f>'ANALYSE - ERP =&gt; SEGMENT'!$D$30</f>
        <v>Gymnases / salles multisports
Piscines couvertes
Salles de fitness / dojos
Patinoires couvertes
Établissements thermaux
Centres de thalassothérapie / balnéothérapie / grands spas ouverts au public</v>
      </c>
      <c r="I10" s="427">
        <f t="shared" si="2"/>
        <v>8630.0979154651523</v>
      </c>
      <c r="K10" s="787">
        <f t="shared" si="0"/>
        <v>0.80327838031157561</v>
      </c>
      <c r="L10" s="787">
        <f t="shared" si="1"/>
        <v>0.19672161968842444</v>
      </c>
      <c r="N10" s="424">
        <f>'ANALYSE - ERP =&gt; SEGMENT'!$FD$30</f>
        <v>43150.489577325759</v>
      </c>
      <c r="O10" s="427">
        <f>'ANALYSE - ERP =&gt; SEGMENT'!$GZ$30</f>
        <v>2505.1808167500003</v>
      </c>
      <c r="P10" s="427">
        <f>'ANALYSE - ERP =&gt; SEGMENT'!$HC$30</f>
        <v>22945.957897409091</v>
      </c>
      <c r="Q10" s="427">
        <f>'ANALYSE - ERP =&gt; SEGMENT'!$HF$30</f>
        <v>5068.0841295</v>
      </c>
      <c r="R10" s="427">
        <f>'ANALYSE - ERP =&gt; SEGMENT'!$HI$30</f>
        <v>12631.266733666667</v>
      </c>
      <c r="T10" s="424">
        <f>'ANALYSE - ERP =&gt; SEGMENT'!$FE$30</f>
        <v>34661.855377325759</v>
      </c>
      <c r="U10" s="427">
        <f>'ANALYSE - ERP =&gt; SEGMENT'!$HA$30</f>
        <v>2165.6354487499998</v>
      </c>
      <c r="V10" s="427">
        <f>'ANALYSE - ERP =&gt; SEGMENT'!$HD$30</f>
        <v>17991.060637409089</v>
      </c>
      <c r="W10" s="427">
        <f>'ANALYSE - ERP =&gt; SEGMENT'!$HG$30</f>
        <v>4073.2254935000005</v>
      </c>
      <c r="X10" s="427">
        <f>'ANALYSE - ERP =&gt; SEGMENT'!$HJ$30</f>
        <v>10431.933797666668</v>
      </c>
      <c r="Z10" s="427">
        <f>'ANALYSE - ERP =&gt; SEGMENT'!$FF$30</f>
        <v>8488.6342000000004</v>
      </c>
      <c r="AA10" s="427">
        <f>'ANALYSE - ERP =&gt; SEGMENT'!$HB$30</f>
        <v>339.545368</v>
      </c>
      <c r="AB10" s="427">
        <f>'ANALYSE - ERP =&gt; SEGMENT'!$HE$30</f>
        <v>4954.8972599999997</v>
      </c>
      <c r="AC10" s="427">
        <f>'ANALYSE - ERP =&gt; SEGMENT'!$HH$30</f>
        <v>994.85863600000005</v>
      </c>
      <c r="AD10" s="427">
        <f>'ANALYSE - ERP =&gt; SEGMENT'!$HK$30</f>
        <v>2199.3329360000002</v>
      </c>
      <c r="AF10" s="430">
        <f>'ANALYSE - ERP =&gt; SEGMENT'!$Q$30</f>
        <v>1</v>
      </c>
    </row>
    <row r="11" spans="1:32" s="45" customFormat="1" ht="15" customHeight="1">
      <c r="A11" s="26">
        <v>8</v>
      </c>
      <c r="B11" s="26">
        <v>8</v>
      </c>
      <c r="C11" s="26">
        <v>9</v>
      </c>
      <c r="D11" s="501" t="s">
        <v>2264</v>
      </c>
      <c r="E11" s="502" t="s">
        <v>7990</v>
      </c>
      <c r="F11" s="502" t="s">
        <v>7991</v>
      </c>
      <c r="G11" s="410" t="str">
        <f>'ANALYSE - ERP =&gt; SEGMENT'!$D$23</f>
        <v>Usines 
(&gt;50 personnes - Hors Ateliers industriels)
Garages / ateliers de réparation automobile recevant du public
Ateliers industriels / de maintenance (&gt;50 personnes)</v>
      </c>
      <c r="H11" s="685"/>
      <c r="I11" s="427">
        <f t="shared" si="2"/>
        <v>6713.4487101507375</v>
      </c>
      <c r="J11" s="685"/>
      <c r="K11" s="787">
        <f t="shared" si="0"/>
        <v>0.77975847379836438</v>
      </c>
      <c r="L11" s="787">
        <f t="shared" si="1"/>
        <v>0.22024152620163553</v>
      </c>
      <c r="M11" s="685"/>
      <c r="N11" s="424">
        <f>'ANALYSE - ERP =&gt; SEGMENT'!$FD$23</f>
        <v>33567.243550753687</v>
      </c>
      <c r="O11" s="427">
        <f>'ANALYSE - ERP =&gt; SEGMENT'!$GZ$23</f>
        <v>5685.2718974090903</v>
      </c>
      <c r="P11" s="427">
        <f>'ANALYSE - ERP =&gt; SEGMENT'!$HC$23</f>
        <v>16760.804124509614</v>
      </c>
      <c r="Q11" s="427">
        <f>'ANALYSE - ERP =&gt; SEGMENT'!$HF$23</f>
        <v>6727.3555887986113</v>
      </c>
      <c r="R11" s="427">
        <f>'ANALYSE - ERP =&gt; SEGMENT'!$HI$23</f>
        <v>4393.811940036363</v>
      </c>
      <c r="S11" s="685"/>
      <c r="T11" s="424">
        <f>'ANALYSE - ERP =&gt; SEGMENT'!$FE$23</f>
        <v>26174.342600753684</v>
      </c>
      <c r="U11" s="427">
        <f>'ANALYSE - ERP =&gt; SEGMENT'!$HA$23</f>
        <v>4692.8706494090911</v>
      </c>
      <c r="V11" s="427">
        <f>'ANALYSE - ERP =&gt; SEGMENT'!$HD$23</f>
        <v>12824.723507009616</v>
      </c>
      <c r="W11" s="427">
        <f>'ANALYSE - ERP =&gt; SEGMENT'!$HG$23</f>
        <v>5277.5436377986107</v>
      </c>
      <c r="X11" s="427">
        <f>'ANALYSE - ERP =&gt; SEGMENT'!$HJ$23</f>
        <v>3379.2048065363633</v>
      </c>
      <c r="Y11" s="685"/>
      <c r="Z11" s="427">
        <f>'ANALYSE - ERP =&gt; SEGMENT'!$FF$23</f>
        <v>7392.9009499999993</v>
      </c>
      <c r="AA11" s="427">
        <f>'ANALYSE - ERP =&gt; SEGMENT'!$HB$23</f>
        <v>992.40124800000001</v>
      </c>
      <c r="AB11" s="427">
        <f>'ANALYSE - ERP =&gt; SEGMENT'!$HE$23</f>
        <v>3936.0806174999993</v>
      </c>
      <c r="AC11" s="427">
        <f>'ANALYSE - ERP =&gt; SEGMENT'!$HH$23</f>
        <v>1449.8119510000001</v>
      </c>
      <c r="AD11" s="427">
        <f>'ANALYSE - ERP =&gt; SEGMENT'!$HK$23</f>
        <v>1014.6071335</v>
      </c>
      <c r="AE11" s="685"/>
      <c r="AF11" s="430">
        <f>'ANALYSE - ERP =&gt; SEGMENT'!$Q$23</f>
        <v>1</v>
      </c>
    </row>
    <row r="12" spans="1:32" ht="15" customHeight="1">
      <c r="A12" s="26">
        <v>9</v>
      </c>
      <c r="B12" s="26">
        <v>9</v>
      </c>
      <c r="C12" s="26">
        <v>12</v>
      </c>
      <c r="D12" s="503" t="s">
        <v>2278</v>
      </c>
      <c r="E12" s="504" t="s">
        <v>4578</v>
      </c>
      <c r="F12" s="504" t="s">
        <v>7989</v>
      </c>
      <c r="G12" s="408" t="str">
        <f>'ANALYSE - ERP =&gt; SEGMENT'!$D$28</f>
        <v>Églises, cathédrales, basiliques et chapelles ouvertes au public
Monastères, abbayes et couvents ouverts au public
Temples protestants, évangéliques et salles de culte assimilées
Mosquées et salles de prière musulmanes
Synagogues et oratoires juifs ouverts au public
Temples bouddhistes, hindous et autres lieux de culte non abrahamiques ouverts au public
Salles du Royaume, centres cultuels pluriconfessionnels et lieux de culte polyvalents</v>
      </c>
      <c r="I12" s="427">
        <f t="shared" si="2"/>
        <v>698.82109324425562</v>
      </c>
      <c r="K12" s="787">
        <f t="shared" si="0"/>
        <v>0.81945192951423962</v>
      </c>
      <c r="L12" s="787">
        <f t="shared" si="1"/>
        <v>0.18054807048576035</v>
      </c>
      <c r="N12" s="424">
        <f>'ANALYSE - ERP =&gt; SEGMENT'!$FD$28</f>
        <v>3494.1054662212782</v>
      </c>
      <c r="O12" s="427">
        <f>'ANALYSE - ERP =&gt; SEGMENT'!$GZ$28</f>
        <v>284.10812477272725</v>
      </c>
      <c r="P12" s="427">
        <f>'ANALYSE - ERP =&gt; SEGMENT'!$HC$28</f>
        <v>1687.4578634615386</v>
      </c>
      <c r="Q12" s="427">
        <f>'ANALYSE - ERP =&gt; SEGMENT'!$HF$28</f>
        <v>543.39309071428568</v>
      </c>
      <c r="R12" s="427">
        <f>'ANALYSE - ERP =&gt; SEGMENT'!$HI$28</f>
        <v>979.14638727272734</v>
      </c>
      <c r="T12" s="424">
        <f>'ANALYSE - ERP =&gt; SEGMENT'!$FE$28</f>
        <v>2863.2514662212784</v>
      </c>
      <c r="U12" s="427">
        <f>'ANALYSE - ERP =&gt; SEGMENT'!$HA$28</f>
        <v>244.39866477272724</v>
      </c>
      <c r="V12" s="427">
        <f>'ANALYSE - ERP =&gt; SEGMENT'!$HD$28</f>
        <v>1354.2362884615384</v>
      </c>
      <c r="W12" s="427">
        <f>'ANALYSE - ERP =&gt; SEGMENT'!$HG$28</f>
        <v>454.22653571428566</v>
      </c>
      <c r="X12" s="427">
        <f>'ANALYSE - ERP =&gt; SEGMENT'!$HJ$28</f>
        <v>810.38997727272726</v>
      </c>
      <c r="Z12" s="427">
        <f>'ANALYSE - ERP =&gt; SEGMENT'!$FF$28</f>
        <v>630.85399999999993</v>
      </c>
      <c r="AA12" s="427">
        <f>'ANALYSE - ERP =&gt; SEGMENT'!$HB$28</f>
        <v>39.70946</v>
      </c>
      <c r="AB12" s="427">
        <f>'ANALYSE - ERP =&gt; SEGMENT'!$HE$28</f>
        <v>333.22157500000003</v>
      </c>
      <c r="AC12" s="427">
        <f>'ANALYSE - ERP =&gt; SEGMENT'!$HH$28</f>
        <v>89.166554999999988</v>
      </c>
      <c r="AD12" s="427">
        <f>'ANALYSE - ERP =&gt; SEGMENT'!$HK$28</f>
        <v>168.75640999999996</v>
      </c>
      <c r="AF12" s="430">
        <f>'ANALYSE - ERP =&gt; SEGMENT'!$Q$28</f>
        <v>1</v>
      </c>
    </row>
    <row r="13" spans="1:32" ht="15" customHeight="1">
      <c r="A13" s="26">
        <v>10</v>
      </c>
      <c r="B13" s="26">
        <v>13</v>
      </c>
      <c r="C13" s="26">
        <v>7</v>
      </c>
      <c r="D13" s="497" t="s">
        <v>6739</v>
      </c>
      <c r="E13" s="498" t="s">
        <v>2091</v>
      </c>
      <c r="F13" s="498" t="s">
        <v>2836</v>
      </c>
      <c r="G13" s="415" t="str">
        <f>'ANALYSE - ERP =&gt; SEGMENT'!$D$12</f>
        <v>Centres de formation / CFA</v>
      </c>
      <c r="I13" s="427">
        <f t="shared" si="2"/>
        <v>2440.110723042098</v>
      </c>
      <c r="K13" s="787">
        <f t="shared" si="0"/>
        <v>0.56274630084415544</v>
      </c>
      <c r="L13" s="787">
        <f t="shared" si="1"/>
        <v>0.43725369915584456</v>
      </c>
      <c r="N13" s="424">
        <f>'ANALYSE - ERP =&gt; SEGMENT'!$FD$12</f>
        <v>12200.553615210491</v>
      </c>
      <c r="O13" s="427">
        <f>'ANALYSE - ERP =&gt; SEGMENT'!$GZ$12</f>
        <v>598.96354706909096</v>
      </c>
      <c r="P13" s="427">
        <f>'ANALYSE - ERP =&gt; SEGMENT'!$HC$12</f>
        <v>7236.6743706123079</v>
      </c>
      <c r="Q13" s="427">
        <f>'ANALYSE - ERP =&gt; SEGMENT'!$HF$12</f>
        <v>1259.8546471879999</v>
      </c>
      <c r="R13" s="427">
        <f>'ANALYSE - ERP =&gt; SEGMENT'!$HI$12</f>
        <v>3105.0610503410908</v>
      </c>
      <c r="T13" s="424">
        <f>'ANALYSE - ERP =&gt; SEGMENT'!$FE$12</f>
        <v>6865.816415210491</v>
      </c>
      <c r="U13" s="427">
        <f>'ANALYSE - ERP =&gt; SEGMENT'!$HA$12</f>
        <v>381.37705906909099</v>
      </c>
      <c r="V13" s="427">
        <f>'ANALYSE - ERP =&gt; SEGMENT'!$HD$12</f>
        <v>4042.8270506123081</v>
      </c>
      <c r="W13" s="427">
        <f>'ANALYSE - ERP =&gt; SEGMENT'!$HG$12</f>
        <v>668.13705518800009</v>
      </c>
      <c r="X13" s="427">
        <f>'ANALYSE - ERP =&gt; SEGMENT'!$HJ$12</f>
        <v>1773.4752503410912</v>
      </c>
      <c r="Z13" s="427">
        <f>'ANALYSE - ERP =&gt; SEGMENT'!$FF$12</f>
        <v>5334.7371999999996</v>
      </c>
      <c r="AA13" s="427">
        <f>'ANALYSE - ERP =&gt; SEGMENT'!$HB$12</f>
        <v>217.586488</v>
      </c>
      <c r="AB13" s="427">
        <f>'ANALYSE - ERP =&gt; SEGMENT'!$HE$12</f>
        <v>3193.8473199999999</v>
      </c>
      <c r="AC13" s="427">
        <f>'ANALYSE - ERP =&gt; SEGMENT'!$HH$12</f>
        <v>591.71759199999997</v>
      </c>
      <c r="AD13" s="427">
        <f>'ANALYSE - ERP =&gt; SEGMENT'!$HK$12</f>
        <v>1331.5857999999998</v>
      </c>
      <c r="AF13" s="430">
        <f>'ANALYSE - ERP =&gt; SEGMENT'!$Q$12</f>
        <v>1</v>
      </c>
    </row>
    <row r="14" spans="1:32" ht="15" customHeight="1">
      <c r="A14" s="26">
        <v>11</v>
      </c>
      <c r="B14" s="26">
        <v>10</v>
      </c>
      <c r="C14" s="26">
        <v>14</v>
      </c>
      <c r="D14" s="505" t="s">
        <v>7117</v>
      </c>
      <c r="E14" s="506" t="s">
        <v>4268</v>
      </c>
      <c r="F14" s="506" t="s">
        <v>4269</v>
      </c>
      <c r="G14" s="410" t="str">
        <f>'ANALYSE - ERP =&gt; SEGMENT'!$D$26</f>
        <v>Campings
Aires d’accueil des gens du voyage</v>
      </c>
      <c r="I14" s="427">
        <f t="shared" si="2"/>
        <v>2171.3842291352271</v>
      </c>
      <c r="K14" s="787">
        <f t="shared" si="0"/>
        <v>0.87829761704346321</v>
      </c>
      <c r="L14" s="787">
        <f t="shared" si="1"/>
        <v>0.12170238295653688</v>
      </c>
      <c r="N14" s="424">
        <f>'ANALYSE - ERP =&gt; SEGMENT'!$FD$26</f>
        <v>10856.921145676135</v>
      </c>
      <c r="O14" s="427">
        <f>'ANALYSE - ERP =&gt; SEGMENT'!$GZ$26</f>
        <v>1582.945119</v>
      </c>
      <c r="P14" s="427">
        <f>'ANALYSE - ERP =&gt; SEGMENT'!$HC$26</f>
        <v>4536.7565226136367</v>
      </c>
      <c r="Q14" s="427">
        <f>'ANALYSE - ERP =&gt; SEGMENT'!$HF$26</f>
        <v>1287.1138240625</v>
      </c>
      <c r="R14" s="427">
        <f>'ANALYSE - ERP =&gt; SEGMENT'!$HI$26</f>
        <v>3450.1056799999997</v>
      </c>
      <c r="T14" s="424">
        <f>'ANALYSE - ERP =&gt; SEGMENT'!$FE$26</f>
        <v>9535.6079706761357</v>
      </c>
      <c r="U14" s="427">
        <f>'ANALYSE - ERP =&gt; SEGMENT'!$HA$26</f>
        <v>1411.1744062499999</v>
      </c>
      <c r="V14" s="427">
        <f>'ANALYSE - ERP =&gt; SEGMENT'!$HD$26</f>
        <v>3942.1655938636363</v>
      </c>
      <c r="W14" s="427">
        <f>'ANALYSE - ERP =&gt; SEGMENT'!$HG$26</f>
        <v>1128.5562430625</v>
      </c>
      <c r="X14" s="427">
        <f>'ANALYSE - ERP =&gt; SEGMENT'!$HJ$26</f>
        <v>3053.7117274999996</v>
      </c>
      <c r="Z14" s="427">
        <f>'ANALYSE - ERP =&gt; SEGMENT'!$FF$26</f>
        <v>1321.313175</v>
      </c>
      <c r="AA14" s="427">
        <f>'ANALYSE - ERP =&gt; SEGMENT'!$HB$26</f>
        <v>171.77071275</v>
      </c>
      <c r="AB14" s="427">
        <f>'ANALYSE - ERP =&gt; SEGMENT'!$HE$26</f>
        <v>594.59092874999999</v>
      </c>
      <c r="AC14" s="427">
        <f>'ANALYSE - ERP =&gt; SEGMENT'!$HH$26</f>
        <v>158.557581</v>
      </c>
      <c r="AD14" s="427">
        <f>'ANALYSE - ERP =&gt; SEGMENT'!$HK$26</f>
        <v>396.39395250000001</v>
      </c>
      <c r="AF14" s="430">
        <f>'ANALYSE - ERP =&gt; SEGMENT'!$Q$26</f>
        <v>1</v>
      </c>
    </row>
    <row r="15" spans="1:32" ht="15" customHeight="1">
      <c r="A15" s="26">
        <v>12</v>
      </c>
      <c r="B15" s="26">
        <v>11</v>
      </c>
      <c r="C15" s="26">
        <v>11</v>
      </c>
      <c r="D15" s="493" t="s">
        <v>2241</v>
      </c>
      <c r="E15" s="494" t="s">
        <v>1032</v>
      </c>
      <c r="F15" s="494" t="s">
        <v>7982</v>
      </c>
      <c r="G15" s="410" t="str">
        <f>'ANALYSE - ERP =&gt; SEGMENT'!$D$14</f>
        <v>Établissements médico-éducatifs
Foyers pour personnes handicapées
EHPAD
USLD
Résidences autonomie
Foyers-logements
(Public)
Résidences services seniors
(Privé)</v>
      </c>
      <c r="I15" s="427">
        <f t="shared" si="2"/>
        <v>2016.7935499133648</v>
      </c>
      <c r="K15" s="787">
        <f t="shared" si="0"/>
        <v>0.7803471852540238</v>
      </c>
      <c r="L15" s="787">
        <f t="shared" si="1"/>
        <v>0.2196528147459762</v>
      </c>
      <c r="N15" s="424">
        <f>'ANALYSE - ERP =&gt; SEGMENT'!$FD$14</f>
        <v>10083.967749566824</v>
      </c>
      <c r="O15" s="427">
        <f>'ANALYSE - ERP =&gt; SEGMENT'!$GZ$14</f>
        <v>2237.9351504650353</v>
      </c>
      <c r="P15" s="427">
        <f>'ANALYSE - ERP =&gt; SEGMENT'!$HC$14</f>
        <v>3672.957745384615</v>
      </c>
      <c r="Q15" s="427">
        <f>'ANALYSE - ERP =&gt; SEGMENT'!$HF$14</f>
        <v>2599.9772224444446</v>
      </c>
      <c r="R15" s="427">
        <f>'ANALYSE - ERP =&gt; SEGMENT'!$HI$14</f>
        <v>1573.0976312727271</v>
      </c>
      <c r="T15" s="424">
        <f>'ANALYSE - ERP =&gt; SEGMENT'!$FE$14</f>
        <v>7868.9958495668234</v>
      </c>
      <c r="U15" s="427">
        <f>'ANALYSE - ERP =&gt; SEGMENT'!$HA$14</f>
        <v>1771.0834684650349</v>
      </c>
      <c r="V15" s="427">
        <f>'ANALYSE - ERP =&gt; SEGMENT'!$HD$14</f>
        <v>2786.6661653846149</v>
      </c>
      <c r="W15" s="427">
        <f>'ANALYSE - ERP =&gt; SEGMENT'!$HG$14</f>
        <v>2065.5614204444446</v>
      </c>
      <c r="X15" s="427">
        <f>'ANALYSE - ERP =&gt; SEGMENT'!$HJ$14</f>
        <v>1245.6847952727271</v>
      </c>
      <c r="Z15" s="427">
        <f>'ANALYSE - ERP =&gt; SEGMENT'!$FF$14</f>
        <v>2214.9719</v>
      </c>
      <c r="AA15" s="427">
        <f>'ANALYSE - ERP =&gt; SEGMENT'!$HB$14</f>
        <v>466.85168199999998</v>
      </c>
      <c r="AB15" s="427">
        <f>'ANALYSE - ERP =&gt; SEGMENT'!$HE$14</f>
        <v>886.29158000000007</v>
      </c>
      <c r="AC15" s="427">
        <f>'ANALYSE - ERP =&gt; SEGMENT'!$HH$14</f>
        <v>534.41580199999999</v>
      </c>
      <c r="AD15" s="427">
        <f>'ANALYSE - ERP =&gt; SEGMENT'!$HK$14</f>
        <v>327.41283599999997</v>
      </c>
      <c r="AF15" s="430">
        <f>'ANALYSE - ERP =&gt; SEGMENT'!$Q$14</f>
        <v>1</v>
      </c>
    </row>
    <row r="16" spans="1:32" ht="15" customHeight="1">
      <c r="A16" s="26">
        <v>13</v>
      </c>
      <c r="B16" s="26">
        <v>12</v>
      </c>
      <c r="C16" s="26">
        <v>15</v>
      </c>
      <c r="D16" s="507" t="s">
        <v>2285</v>
      </c>
      <c r="E16" s="508" t="s">
        <v>1793</v>
      </c>
      <c r="F16" s="508" t="s">
        <v>7992</v>
      </c>
      <c r="G16" s="409" t="str">
        <f>'ANALYSE - ERP =&gt; SEGMENT'!$D$32</f>
        <v>Aires de service - Autoroutes
(Hors Aires de repos)
Aires de repos - Autoroutes
(Hors Aires de service)
Aéroports / aérogares
(&gt;1 000 passagers/an)
Gares ferroviaires et stations
Terminaux maritimes / fluviaux
Établissements flottants
Ports de plaisance / capitaineries
Stations / espaces métro équipés de toilettes publiques (minimum observé RATP)</v>
      </c>
      <c r="I16" s="427">
        <f t="shared" si="2"/>
        <v>1119.8985220880015</v>
      </c>
      <c r="K16" s="787">
        <f t="shared" si="0"/>
        <v>0.8149474100442512</v>
      </c>
      <c r="L16" s="787">
        <f t="shared" si="1"/>
        <v>0.18505258995574875</v>
      </c>
      <c r="N16" s="424">
        <f>'ANALYSE - ERP =&gt; SEGMENT'!$FD$32</f>
        <v>5599.4926104400074</v>
      </c>
      <c r="O16" s="427">
        <f>'ANALYSE - ERP =&gt; SEGMENT'!$GZ$32</f>
        <v>443.74904147500007</v>
      </c>
      <c r="P16" s="427">
        <f>'ANALYSE - ERP =&gt; SEGMENT'!$HC$32</f>
        <v>2743.7641613181818</v>
      </c>
      <c r="Q16" s="427">
        <f>'ANALYSE - ERP =&gt; SEGMENT'!$HF$32</f>
        <v>959.19033023571433</v>
      </c>
      <c r="R16" s="427">
        <f>'ANALYSE - ERP =&gt; SEGMENT'!$HI$32</f>
        <v>1452.7890774111111</v>
      </c>
      <c r="T16" s="424">
        <f>'ANALYSE - ERP =&gt; SEGMENT'!$FE$32</f>
        <v>4563.2920004400075</v>
      </c>
      <c r="U16" s="427">
        <f>'ANALYSE - ERP =&gt; SEGMENT'!$HA$32</f>
        <v>389.50809187500005</v>
      </c>
      <c r="V16" s="427">
        <f>'ANALYSE - ERP =&gt; SEGMENT'!$HD$32</f>
        <v>2192.7690338181819</v>
      </c>
      <c r="W16" s="427">
        <f>'ANALYSE - ERP =&gt; SEGMENT'!$HG$32</f>
        <v>791.62236623571437</v>
      </c>
      <c r="X16" s="427">
        <f>'ANALYSE - ERP =&gt; SEGMENT'!$HJ$32</f>
        <v>1189.3925085111111</v>
      </c>
      <c r="Z16" s="427">
        <f>'ANALYSE - ERP =&gt; SEGMENT'!$FF$32</f>
        <v>1036.2006099999999</v>
      </c>
      <c r="AA16" s="427">
        <f>'ANALYSE - ERP =&gt; SEGMENT'!$HB$32</f>
        <v>54.240949599999993</v>
      </c>
      <c r="AB16" s="427">
        <f>'ANALYSE - ERP =&gt; SEGMENT'!$HE$32</f>
        <v>550.99512749999997</v>
      </c>
      <c r="AC16" s="427">
        <f>'ANALYSE - ERP =&gt; SEGMENT'!$HH$32</f>
        <v>167.56796399999999</v>
      </c>
      <c r="AD16" s="427">
        <f>'ANALYSE - ERP =&gt; SEGMENT'!$HK$32</f>
        <v>263.39656889999998</v>
      </c>
      <c r="AF16" s="430">
        <f>'ANALYSE - ERP =&gt; SEGMENT'!$Q$32</f>
        <v>1</v>
      </c>
    </row>
    <row r="17" spans="1:32" ht="15" customHeight="1">
      <c r="A17" s="26">
        <v>14</v>
      </c>
      <c r="B17" s="26">
        <v>14</v>
      </c>
      <c r="C17" s="26">
        <v>17</v>
      </c>
      <c r="D17" s="505" t="s">
        <v>7117</v>
      </c>
      <c r="E17" s="506" t="s">
        <v>1455</v>
      </c>
      <c r="F17" s="506" t="s">
        <v>7994</v>
      </c>
      <c r="G17" s="416" t="str">
        <f>'ANALYSE - ERP =&gt; SEGMENT'!$D$24</f>
        <v>Hôtels
Pensions de famille
Résidences de tourisme
Auberges de jeunesse
Villages de vacances / clubs vacances / centres de vacances familiaux</v>
      </c>
      <c r="I17" s="427">
        <f t="shared" si="2"/>
        <v>1382.8187939903637</v>
      </c>
      <c r="K17" s="787">
        <f t="shared" si="0"/>
        <v>0.83997050230896553</v>
      </c>
      <c r="L17" s="787">
        <f t="shared" si="1"/>
        <v>0.16002949769103447</v>
      </c>
      <c r="N17" s="424">
        <f>'ANALYSE - ERP =&gt; SEGMENT'!$FD$24</f>
        <v>6914.0939699518185</v>
      </c>
      <c r="O17" s="427">
        <f>'ANALYSE - ERP =&gt; SEGMENT'!$GZ$24</f>
        <v>855.74489198000015</v>
      </c>
      <c r="P17" s="427">
        <f>'ANALYSE - ERP =&gt; SEGMENT'!$HC$24</f>
        <v>2817.0314391818174</v>
      </c>
      <c r="Q17" s="427">
        <f>'ANALYSE - ERP =&gt; SEGMENT'!$HF$24</f>
        <v>1047.9032509499998</v>
      </c>
      <c r="R17" s="427">
        <f>'ANALYSE - ERP =&gt; SEGMENT'!$HI$24</f>
        <v>2193.41438784</v>
      </c>
      <c r="T17" s="424">
        <f>'ANALYSE - ERP =&gt; SEGMENT'!$FE$24</f>
        <v>5807.6349849518183</v>
      </c>
      <c r="U17" s="427">
        <f>'ANALYSE - ERP =&gt; SEGMENT'!$HA$24</f>
        <v>741.57807467999999</v>
      </c>
      <c r="V17" s="427">
        <f>'ANALYSE - ERP =&gt; SEGMENT'!$HD$24</f>
        <v>2316.9243216818181</v>
      </c>
      <c r="W17" s="427">
        <f>'ANALYSE - ERP =&gt; SEGMENT'!$HG$24</f>
        <v>883.25474774999986</v>
      </c>
      <c r="X17" s="427">
        <f>'ANALYSE - ERP =&gt; SEGMENT'!$HJ$24</f>
        <v>1865.8778408400001</v>
      </c>
      <c r="Z17" s="427">
        <f>'ANALYSE - ERP =&gt; SEGMENT'!$FF$24</f>
        <v>1106.458985</v>
      </c>
      <c r="AA17" s="427">
        <f>'ANALYSE - ERP =&gt; SEGMENT'!$HB$24</f>
        <v>114.16681730000001</v>
      </c>
      <c r="AB17" s="427">
        <f>'ANALYSE - ERP =&gt; SEGMENT'!$HE$24</f>
        <v>500.10711749999996</v>
      </c>
      <c r="AC17" s="427">
        <f>'ANALYSE - ERP =&gt; SEGMENT'!$HH$24</f>
        <v>164.64850319999999</v>
      </c>
      <c r="AD17" s="427">
        <f>'ANALYSE - ERP =&gt; SEGMENT'!$HK$24</f>
        <v>327.53654699999998</v>
      </c>
      <c r="AF17" s="430">
        <f>'ANALYSE - ERP =&gt; SEGMENT'!$Q$24</f>
        <v>1</v>
      </c>
    </row>
    <row r="18" spans="1:32" ht="15" customHeight="1">
      <c r="A18" s="26">
        <v>15</v>
      </c>
      <c r="B18" s="26">
        <v>15</v>
      </c>
      <c r="C18" s="26">
        <v>16</v>
      </c>
      <c r="D18" s="491" t="s">
        <v>2187</v>
      </c>
      <c r="E18" s="492" t="s">
        <v>1372</v>
      </c>
      <c r="F18" s="492" t="s">
        <v>7993</v>
      </c>
      <c r="G18" s="412" t="str">
        <f>'ANALYSE - ERP =&gt; SEGMENT'!$D$21</f>
        <v>Centres commerciaux / malls
Marchés couverts</v>
      </c>
      <c r="I18" s="427">
        <f t="shared" si="2"/>
        <v>2431.9978466670996</v>
      </c>
      <c r="K18" s="787">
        <f t="shared" si="0"/>
        <v>0.86943587123847277</v>
      </c>
      <c r="L18" s="787">
        <f t="shared" si="1"/>
        <v>0.13056412876152718</v>
      </c>
      <c r="N18" s="424">
        <f>'ANALYSE - ERP =&gt; SEGMENT'!$FD$21</f>
        <v>12159.989233335498</v>
      </c>
      <c r="O18" s="427">
        <f>'ANALYSE - ERP =&gt; SEGMENT'!$GZ$21</f>
        <v>1291.7236636666667</v>
      </c>
      <c r="P18" s="427">
        <f>'ANALYSE - ERP =&gt; SEGMENT'!$HC$21</f>
        <v>5242.190011454546</v>
      </c>
      <c r="Q18" s="427">
        <f>'ANALYSE - ERP =&gt; SEGMENT'!$HF$21</f>
        <v>3100.1397887142857</v>
      </c>
      <c r="R18" s="427">
        <f>'ANALYSE - ERP =&gt; SEGMENT'!$HI$21</f>
        <v>2525.9357694999994</v>
      </c>
      <c r="T18" s="424">
        <f>'ANALYSE - ERP =&gt; SEGMENT'!$FE$21</f>
        <v>10572.330833335498</v>
      </c>
      <c r="U18" s="427">
        <f>'ANALYSE - ERP =&gt; SEGMENT'!$HA$21</f>
        <v>1153.7449036666667</v>
      </c>
      <c r="V18" s="427">
        <f>'ANALYSE - ERP =&gt; SEGMENT'!$HD$21</f>
        <v>4480.4013954545453</v>
      </c>
      <c r="W18" s="427">
        <f>'ANALYSE - ERP =&gt; SEGMENT'!$HG$21</f>
        <v>2733.6781727142857</v>
      </c>
      <c r="X18" s="427">
        <f>'ANALYSE - ERP =&gt; SEGMENT'!$HJ$21</f>
        <v>2204.5063614999995</v>
      </c>
      <c r="Z18" s="427">
        <f>'ANALYSE - ERP =&gt; SEGMENT'!$FF$21</f>
        <v>1587.6584</v>
      </c>
      <c r="AA18" s="427">
        <f>'ANALYSE - ERP =&gt; SEGMENT'!$HB$21</f>
        <v>137.97875999999999</v>
      </c>
      <c r="AB18" s="427">
        <f>'ANALYSE - ERP =&gt; SEGMENT'!$HE$21</f>
        <v>761.78861600000005</v>
      </c>
      <c r="AC18" s="427">
        <f>'ANALYSE - ERP =&gt; SEGMENT'!$HH$21</f>
        <v>366.46161600000005</v>
      </c>
      <c r="AD18" s="427">
        <f>'ANALYSE - ERP =&gt; SEGMENT'!$HK$21</f>
        <v>321.42940800000002</v>
      </c>
      <c r="AF18" s="430">
        <f>'ANALYSE - ERP =&gt; SEGMENT'!$Q$21</f>
        <v>1</v>
      </c>
    </row>
    <row r="19" spans="1:32" ht="15" customHeight="1">
      <c r="A19" s="26">
        <v>16</v>
      </c>
      <c r="B19" s="26">
        <v>16</v>
      </c>
      <c r="C19" s="26">
        <v>13</v>
      </c>
      <c r="D19" s="497" t="s">
        <v>6739</v>
      </c>
      <c r="E19" s="498" t="s">
        <v>991</v>
      </c>
      <c r="F19" s="498" t="s">
        <v>7995</v>
      </c>
      <c r="G19" s="409" t="str">
        <f>'ANALYSE - ERP =&gt; SEGMENT'!$D$11</f>
        <v>Centres de loisirs sans hébergement
Centres de vacances / colonies</v>
      </c>
      <c r="I19" s="427">
        <f t="shared" si="2"/>
        <v>0</v>
      </c>
      <c r="K19" s="787" t="str">
        <f t="shared" si="0"/>
        <v/>
      </c>
      <c r="L19" s="787" t="str">
        <f t="shared" si="1"/>
        <v/>
      </c>
      <c r="N19" s="424">
        <f>'ANALYSE - ERP =&gt; SEGMENT'!$FD$11</f>
        <v>0</v>
      </c>
      <c r="O19" s="427">
        <f>'ANALYSE - ERP =&gt; SEGMENT'!$GZ$11</f>
        <v>0</v>
      </c>
      <c r="P19" s="427">
        <f>'ANALYSE - ERP =&gt; SEGMENT'!$HC$11</f>
        <v>0</v>
      </c>
      <c r="Q19" s="427">
        <f>'ANALYSE - ERP =&gt; SEGMENT'!$HF$11</f>
        <v>0</v>
      </c>
      <c r="R19" s="427">
        <f>'ANALYSE - ERP =&gt; SEGMENT'!$HI$11</f>
        <v>0</v>
      </c>
      <c r="T19" s="424">
        <f>'ANALYSE - ERP =&gt; SEGMENT'!$FE$11</f>
        <v>0</v>
      </c>
      <c r="U19" s="427">
        <f>'ANALYSE - ERP =&gt; SEGMENT'!$HA$11</f>
        <v>0</v>
      </c>
      <c r="V19" s="427">
        <f>'ANALYSE - ERP =&gt; SEGMENT'!$HD$11</f>
        <v>0</v>
      </c>
      <c r="W19" s="427">
        <f>'ANALYSE - ERP =&gt; SEGMENT'!$HG$11</f>
        <v>0</v>
      </c>
      <c r="X19" s="427">
        <f>'ANALYSE - ERP =&gt; SEGMENT'!$HJ$11</f>
        <v>0</v>
      </c>
      <c r="Z19" s="427">
        <f>'ANALYSE - ERP =&gt; SEGMENT'!$FF$11</f>
        <v>0</v>
      </c>
      <c r="AA19" s="427">
        <f>'ANALYSE - ERP =&gt; SEGMENT'!$HB$11</f>
        <v>0</v>
      </c>
      <c r="AB19" s="427">
        <f>'ANALYSE - ERP =&gt; SEGMENT'!$HE$11</f>
        <v>0</v>
      </c>
      <c r="AC19" s="427">
        <f>'ANALYSE - ERP =&gt; SEGMENT'!$HH$11</f>
        <v>0</v>
      </c>
      <c r="AD19" s="427">
        <f>'ANALYSE - ERP =&gt; SEGMENT'!$HK$11</f>
        <v>0</v>
      </c>
      <c r="AF19" s="430">
        <f>'ANALYSE - ERP =&gt; SEGMENT'!$Q$11</f>
        <v>0</v>
      </c>
    </row>
    <row r="20" spans="1:32" ht="15" customHeight="1">
      <c r="A20" s="26">
        <v>17</v>
      </c>
      <c r="B20" s="26">
        <v>21</v>
      </c>
      <c r="C20" s="26">
        <v>10</v>
      </c>
      <c r="D20" s="493" t="s">
        <v>2241</v>
      </c>
      <c r="E20" s="494" t="s">
        <v>2242</v>
      </c>
      <c r="F20" s="494" t="s">
        <v>7998</v>
      </c>
      <c r="G20" s="411" t="str">
        <f>'ANALYSE - ERP =&gt; SEGMENT'!$D$15</f>
        <v>Centres de santé / centres médicaux
Maisons de santé</v>
      </c>
      <c r="I20" s="427">
        <f t="shared" si="2"/>
        <v>610.52943189090911</v>
      </c>
      <c r="K20" s="787">
        <f t="shared" si="0"/>
        <v>0.47843243033548255</v>
      </c>
      <c r="L20" s="787">
        <f t="shared" si="1"/>
        <v>0.52156756966451745</v>
      </c>
      <c r="N20" s="424">
        <f>'ANALYSE - ERP =&gt; SEGMENT'!$FD$15</f>
        <v>3052.6471594545455</v>
      </c>
      <c r="O20" s="427">
        <f>'ANALYSE - ERP =&gt; SEGMENT'!$GZ$15</f>
        <v>553.97000825454541</v>
      </c>
      <c r="P20" s="427">
        <f>'ANALYSE - ERP =&gt; SEGMENT'!$HC$15</f>
        <v>1097.04414</v>
      </c>
      <c r="Q20" s="427">
        <f>'ANALYSE - ERP =&gt; SEGMENT'!$HF$15</f>
        <v>950.45416154999998</v>
      </c>
      <c r="R20" s="427">
        <f>'ANALYSE - ERP =&gt; SEGMENT'!$HI$15</f>
        <v>451.17884965000002</v>
      </c>
      <c r="T20" s="424">
        <f>'ANALYSE - ERP =&gt; SEGMENT'!$FE$15</f>
        <v>1460.4853994545456</v>
      </c>
      <c r="U20" s="427">
        <f>'ANALYSE - ERP =&gt; SEGMENT'!$HA$15</f>
        <v>267.38089145454546</v>
      </c>
      <c r="V20" s="427">
        <f>'ANALYSE - ERP =&gt; SEGMENT'!$HD$15</f>
        <v>460.17943600000007</v>
      </c>
      <c r="W20" s="427">
        <f>'ANALYSE - ERP =&gt; SEGMENT'!$HG$15</f>
        <v>504.64886875000002</v>
      </c>
      <c r="X20" s="427">
        <f>'ANALYSE - ERP =&gt; SEGMENT'!$HJ$15</f>
        <v>228.27620325000001</v>
      </c>
      <c r="Z20" s="427">
        <f>'ANALYSE - ERP =&gt; SEGMENT'!$FF$15</f>
        <v>1592.16176</v>
      </c>
      <c r="AA20" s="427">
        <f>'ANALYSE - ERP =&gt; SEGMENT'!$HB$15</f>
        <v>286.58911679999994</v>
      </c>
      <c r="AB20" s="427">
        <f>'ANALYSE - ERP =&gt; SEGMENT'!$HE$15</f>
        <v>636.86470399999996</v>
      </c>
      <c r="AC20" s="427">
        <f>'ANALYSE - ERP =&gt; SEGMENT'!$HH$15</f>
        <v>445.80529279999996</v>
      </c>
      <c r="AD20" s="427">
        <f>'ANALYSE - ERP =&gt; SEGMENT'!$HK$15</f>
        <v>222.90264639999998</v>
      </c>
      <c r="AF20" s="430">
        <f>'ANALYSE - ERP =&gt; SEGMENT'!$Q$15</f>
        <v>1</v>
      </c>
    </row>
    <row r="21" spans="1:32" ht="15" customHeight="1">
      <c r="A21" s="26">
        <v>18</v>
      </c>
      <c r="B21" s="26">
        <v>18</v>
      </c>
      <c r="C21" s="26">
        <v>18</v>
      </c>
      <c r="D21" s="499" t="s">
        <v>3662</v>
      </c>
      <c r="E21" s="500" t="s">
        <v>1337</v>
      </c>
      <c r="F21" s="500" t="s">
        <v>7997</v>
      </c>
      <c r="G21" s="411" t="str">
        <f>'ANALYSE - ERP =&gt; SEGMENT'!$D$18</f>
        <v>Chapiteaux / tentes / structures
Structures gonflables</v>
      </c>
      <c r="I21" s="427">
        <f t="shared" si="2"/>
        <v>103.14053713575757</v>
      </c>
      <c r="K21" s="787">
        <f t="shared" si="0"/>
        <v>0.70750976446542801</v>
      </c>
      <c r="L21" s="787">
        <f t="shared" si="1"/>
        <v>0.29249023553457199</v>
      </c>
      <c r="N21" s="424">
        <f>'ANALYSE - ERP =&gt; SEGMENT'!$FD$18</f>
        <v>515.70268567878782</v>
      </c>
      <c r="O21" s="427">
        <f>'ANALYSE - ERP =&gt; SEGMENT'!$GZ$18</f>
        <v>52.5739248</v>
      </c>
      <c r="P21" s="427">
        <f>'ANALYSE - ERP =&gt; SEGMENT'!$HC$18</f>
        <v>261.41553037878788</v>
      </c>
      <c r="Q21" s="427">
        <f>'ANALYSE - ERP =&gt; SEGMENT'!$HF$18</f>
        <v>69.195017500000006</v>
      </c>
      <c r="R21" s="427">
        <f>'ANALYSE - ERP =&gt; SEGMENT'!$HI$18</f>
        <v>132.518213</v>
      </c>
      <c r="T21" s="424">
        <f>'ANALYSE - ERP =&gt; SEGMENT'!$FE$18</f>
        <v>364.86468567878785</v>
      </c>
      <c r="U21" s="427">
        <f>'ANALYSE - ERP =&gt; SEGMENT'!$HA$18</f>
        <v>40.4718448</v>
      </c>
      <c r="V21" s="427">
        <f>'ANALYSE - ERP =&gt; SEGMENT'!$HD$18</f>
        <v>179.37017037878789</v>
      </c>
      <c r="W21" s="427">
        <f>'ANALYSE - ERP =&gt; SEGMENT'!$HG$18</f>
        <v>48.705577500000004</v>
      </c>
      <c r="X21" s="427">
        <f>'ANALYSE - ERP =&gt; SEGMENT'!$HJ$18</f>
        <v>96.317093</v>
      </c>
      <c r="Z21" s="427">
        <f>'ANALYSE - ERP =&gt; SEGMENT'!$FF$18</f>
        <v>150.83799999999999</v>
      </c>
      <c r="AA21" s="427">
        <f>'ANALYSE - ERP =&gt; SEGMENT'!$HB$18</f>
        <v>12.102079999999997</v>
      </c>
      <c r="AB21" s="427">
        <f>'ANALYSE - ERP =&gt; SEGMENT'!$HE$18</f>
        <v>82.045360000000002</v>
      </c>
      <c r="AC21" s="427">
        <f>'ANALYSE - ERP =&gt; SEGMENT'!$HH$18</f>
        <v>20.489439999999998</v>
      </c>
      <c r="AD21" s="427">
        <f>'ANALYSE - ERP =&gt; SEGMENT'!$HK$18</f>
        <v>36.201119999999996</v>
      </c>
      <c r="AF21" s="430">
        <f>'ANALYSE - ERP =&gt; SEGMENT'!$Q$18</f>
        <v>1</v>
      </c>
    </row>
    <row r="22" spans="1:32" ht="15" customHeight="1">
      <c r="A22" s="26">
        <v>19</v>
      </c>
      <c r="B22" s="26">
        <v>17</v>
      </c>
      <c r="C22" s="26">
        <v>20</v>
      </c>
      <c r="D22" s="503" t="s">
        <v>2278</v>
      </c>
      <c r="E22" s="504" t="s">
        <v>1576</v>
      </c>
      <c r="F22" s="504" t="s">
        <v>1577</v>
      </c>
      <c r="G22" s="410" t="str">
        <f>'ANALYSE - ERP =&gt; SEGMENT'!$D$29</f>
        <v>Locaux associatifs recevant du public</v>
      </c>
      <c r="I22" s="427">
        <f t="shared" si="2"/>
        <v>196.87429840909093</v>
      </c>
      <c r="K22" s="787">
        <f t="shared" si="0"/>
        <v>0.79192611564319648</v>
      </c>
      <c r="L22" s="787">
        <f t="shared" si="1"/>
        <v>0.20807388435680346</v>
      </c>
      <c r="N22" s="424">
        <f>'ANALYSE - ERP =&gt; SEGMENT'!$FD$29</f>
        <v>984.3714920454546</v>
      </c>
      <c r="O22" s="427">
        <f>'ANALYSE - ERP =&gt; SEGMENT'!$GZ$29</f>
        <v>120.05483727272728</v>
      </c>
      <c r="P22" s="427">
        <f>'ANALYSE - ERP =&gt; SEGMENT'!$HC$29</f>
        <v>431.55450000000002</v>
      </c>
      <c r="Q22" s="427">
        <f>'ANALYSE - ERP =&gt; SEGMENT'!$HF$29</f>
        <v>196.85376000000002</v>
      </c>
      <c r="R22" s="427">
        <f>'ANALYSE - ERP =&gt; SEGMENT'!$HI$29</f>
        <v>235.90839477272726</v>
      </c>
      <c r="T22" s="424">
        <f>'ANALYSE - ERP =&gt; SEGMENT'!$FE$29</f>
        <v>779.5494920454546</v>
      </c>
      <c r="U22" s="427">
        <f>'ANALYSE - ERP =&gt; SEGMENT'!$HA$29</f>
        <v>99.572637272727277</v>
      </c>
      <c r="V22" s="427">
        <f>'ANALYSE - ERP =&gt; SEGMENT'!$HD$29</f>
        <v>329.14350000000002</v>
      </c>
      <c r="W22" s="427">
        <f>'ANALYSE - ERP =&gt; SEGMENT'!$HG$29</f>
        <v>159.98580000000001</v>
      </c>
      <c r="X22" s="427">
        <f>'ANALYSE - ERP =&gt; SEGMENT'!$HJ$29</f>
        <v>190.84755477272728</v>
      </c>
      <c r="Z22" s="427">
        <f>'ANALYSE - ERP =&gt; SEGMENT'!$FF$29</f>
        <v>204.822</v>
      </c>
      <c r="AA22" s="427">
        <f>'ANALYSE - ERP =&gt; SEGMENT'!$HB$29</f>
        <v>20.482200000000002</v>
      </c>
      <c r="AB22" s="427">
        <f>'ANALYSE - ERP =&gt; SEGMENT'!$HE$29</f>
        <v>102.411</v>
      </c>
      <c r="AC22" s="427">
        <f>'ANALYSE - ERP =&gt; SEGMENT'!$HH$29</f>
        <v>36.867959999999997</v>
      </c>
      <c r="AD22" s="427">
        <f>'ANALYSE - ERP =&gt; SEGMENT'!$HK$29</f>
        <v>45.060839999999999</v>
      </c>
      <c r="AF22" s="430">
        <f>'ANALYSE - ERP =&gt; SEGMENT'!$Q$29</f>
        <v>1</v>
      </c>
    </row>
    <row r="23" spans="1:32" ht="15" customHeight="1">
      <c r="A23" s="26">
        <v>20</v>
      </c>
      <c r="B23" s="26">
        <v>19</v>
      </c>
      <c r="C23" s="26">
        <v>21</v>
      </c>
      <c r="D23" s="491" t="s">
        <v>2187</v>
      </c>
      <c r="E23" s="492" t="s">
        <v>1435</v>
      </c>
      <c r="F23" s="492" t="s">
        <v>7999</v>
      </c>
      <c r="G23" s="410" t="str">
        <f>'ANALYSE - ERP =&gt; SEGMENT'!$D$20</f>
        <v>Salles de jeux / bowlings / billards
Discothèques / salles de danse
Casinos</v>
      </c>
      <c r="I23" s="427">
        <f t="shared" si="2"/>
        <v>1497.9849847857145</v>
      </c>
      <c r="K23" s="787">
        <f t="shared" si="0"/>
        <v>0.88400664775364501</v>
      </c>
      <c r="L23" s="787">
        <f t="shared" si="1"/>
        <v>0.11599335224635494</v>
      </c>
      <c r="N23" s="424">
        <f>'ANALYSE - ERP =&gt; SEGMENT'!$FD$20</f>
        <v>7489.9249239285718</v>
      </c>
      <c r="O23" s="427">
        <f>'ANALYSE - ERP =&gt; SEGMENT'!$GZ$20</f>
        <v>399.4640225</v>
      </c>
      <c r="P23" s="427">
        <f>'ANALYSE - ERP =&gt; SEGMENT'!$HC$20</f>
        <v>3915.0311200000006</v>
      </c>
      <c r="Q23" s="427">
        <f>'ANALYSE - ERP =&gt; SEGMENT'!$HF$20</f>
        <v>919.27474642857146</v>
      </c>
      <c r="R23" s="427">
        <f>'ANALYSE - ERP =&gt; SEGMENT'!$HI$20</f>
        <v>2256.1550350000002</v>
      </c>
      <c r="T23" s="424">
        <f>'ANALYSE - ERP =&gt; SEGMENT'!$FE$20</f>
        <v>6621.1434239285718</v>
      </c>
      <c r="U23" s="427">
        <f>'ANALYSE - ERP =&gt; SEGMENT'!$HA$20</f>
        <v>364.7127625</v>
      </c>
      <c r="V23" s="427">
        <f>'ANALYSE - ERP =&gt; SEGMENT'!$HD$20</f>
        <v>3437.2012950000008</v>
      </c>
      <c r="W23" s="427">
        <f>'ANALYSE - ERP =&gt; SEGMENT'!$HG$20</f>
        <v>815.02096642857146</v>
      </c>
      <c r="X23" s="427">
        <f>'ANALYSE - ERP =&gt; SEGMENT'!$HJ$20</f>
        <v>2004.2084000000002</v>
      </c>
      <c r="Z23" s="427">
        <f>'ANALYSE - ERP =&gt; SEGMENT'!$FF$20</f>
        <v>868.78150000000005</v>
      </c>
      <c r="AA23" s="427">
        <f>'ANALYSE - ERP =&gt; SEGMENT'!$HB$20</f>
        <v>34.751260000000002</v>
      </c>
      <c r="AB23" s="427">
        <f>'ANALYSE - ERP =&gt; SEGMENT'!$HE$20</f>
        <v>477.82982500000008</v>
      </c>
      <c r="AC23" s="427">
        <f>'ANALYSE - ERP =&gt; SEGMENT'!$HH$20</f>
        <v>104.25378000000001</v>
      </c>
      <c r="AD23" s="427">
        <f>'ANALYSE - ERP =&gt; SEGMENT'!$HK$20</f>
        <v>251.94663499999999</v>
      </c>
      <c r="AF23" s="430">
        <f>'ANALYSE - ERP =&gt; SEGMENT'!$Q$20</f>
        <v>1</v>
      </c>
    </row>
    <row r="24" spans="1:32" ht="15" customHeight="1">
      <c r="A24" s="26">
        <v>21</v>
      </c>
      <c r="B24" s="26">
        <v>22</v>
      </c>
      <c r="C24" s="26">
        <v>19</v>
      </c>
      <c r="D24" s="497" t="s">
        <v>6739</v>
      </c>
      <c r="E24" s="498" t="s">
        <v>1014</v>
      </c>
      <c r="F24" s="498" t="s">
        <v>8000</v>
      </c>
      <c r="G24" s="411" t="str">
        <f>'ANALYSE - ERP =&gt; SEGMENT'!$D$10</f>
        <v>Universités
Grandes écoles
Résidences étudiantes et dortoirs</v>
      </c>
      <c r="I24" s="427">
        <f t="shared" si="2"/>
        <v>549.13974634320004</v>
      </c>
      <c r="K24" s="787">
        <f t="shared" si="0"/>
        <v>0.63158462058661502</v>
      </c>
      <c r="L24" s="787">
        <f t="shared" si="1"/>
        <v>0.36841537941338498</v>
      </c>
      <c r="N24" s="424">
        <f>'ANALYSE - ERP =&gt; SEGMENT'!$FD$10</f>
        <v>2745.6987317160001</v>
      </c>
      <c r="O24" s="427">
        <f>'ANALYSE - ERP =&gt; SEGMENT'!$GZ$10</f>
        <v>231.58076042351999</v>
      </c>
      <c r="P24" s="427">
        <f>'ANALYSE - ERP =&gt; SEGMENT'!$HC$10</f>
        <v>1235.5644292722</v>
      </c>
      <c r="Q24" s="427">
        <f>'ANALYSE - ERP =&gt; SEGMENT'!$HF$10</f>
        <v>612.26436439871998</v>
      </c>
      <c r="R24" s="427">
        <f>'ANALYSE - ERP =&gt; SEGMENT'!$HI$10</f>
        <v>666.28917762155993</v>
      </c>
      <c r="T24" s="424">
        <f>'ANALYSE - ERP =&gt; SEGMENT'!$FE$10</f>
        <v>1734.1410917159999</v>
      </c>
      <c r="U24" s="427">
        <f>'ANALYSE - ERP =&gt; SEGMENT'!$HA$10</f>
        <v>157.35931442351998</v>
      </c>
      <c r="V24" s="427">
        <f>'ANALYSE - ERP =&gt; SEGMENT'!$HD$10</f>
        <v>780.36349127220001</v>
      </c>
      <c r="W24" s="427">
        <f>'ANALYSE - ERP =&gt; SEGMENT'!$HG$10</f>
        <v>372.99418489871999</v>
      </c>
      <c r="X24" s="427">
        <f>'ANALYSE - ERP =&gt; SEGMENT'!$HJ$10</f>
        <v>423.42410112156</v>
      </c>
      <c r="Z24" s="427">
        <f>'ANALYSE - ERP =&gt; SEGMENT'!$FF$10</f>
        <v>1011.5576400000001</v>
      </c>
      <c r="AA24" s="427">
        <f>'ANALYSE - ERP =&gt; SEGMENT'!$HB$10</f>
        <v>74.221446000000014</v>
      </c>
      <c r="AB24" s="427">
        <f>'ANALYSE - ERP =&gt; SEGMENT'!$HE$10</f>
        <v>455.20093800000006</v>
      </c>
      <c r="AC24" s="427">
        <f>'ANALYSE - ERP =&gt; SEGMENT'!$HH$10</f>
        <v>239.27017950000001</v>
      </c>
      <c r="AD24" s="427">
        <f>'ANALYSE - ERP =&gt; SEGMENT'!$HK$10</f>
        <v>242.86507649999999</v>
      </c>
      <c r="AF24" s="430">
        <f>'ANALYSE - ERP =&gt; SEGMENT'!$Q$10</f>
        <v>1</v>
      </c>
    </row>
    <row r="25" spans="1:32" ht="15" customHeight="1">
      <c r="A25" s="26">
        <v>22</v>
      </c>
      <c r="B25" s="26">
        <v>20</v>
      </c>
      <c r="C25" s="26">
        <v>22</v>
      </c>
      <c r="D25" s="493" t="s">
        <v>2241</v>
      </c>
      <c r="E25" s="494" t="s">
        <v>1053</v>
      </c>
      <c r="F25" s="494" t="s">
        <v>7988</v>
      </c>
      <c r="G25" s="408" t="str">
        <f>'ANALYSE - ERP =&gt; SEGMENT'!$D$13</f>
        <v>Hôpitaux universitaires / CHU
Hôpitaux publics 
(Hors CHU, Universitaire, Militaire, Carcéral)
Hôpitaux privés
Cliniques</v>
      </c>
      <c r="I25" s="427">
        <f t="shared" si="2"/>
        <v>484.24801685833336</v>
      </c>
      <c r="K25" s="787">
        <f t="shared" si="0"/>
        <v>0.8303780518650431</v>
      </c>
      <c r="L25" s="787">
        <f t="shared" si="1"/>
        <v>0.16962194813495698</v>
      </c>
      <c r="N25" s="424">
        <f>'ANALYSE - ERP =&gt; SEGMENT'!$FD$13</f>
        <v>2421.2400842916668</v>
      </c>
      <c r="O25" s="427">
        <f>'ANALYSE - ERP =&gt; SEGMENT'!$GZ$13</f>
        <v>551.2132964000001</v>
      </c>
      <c r="P25" s="427">
        <f>'ANALYSE - ERP =&gt; SEGMENT'!$HC$13</f>
        <v>860.14436046666663</v>
      </c>
      <c r="Q25" s="427">
        <f>'ANALYSE - ERP =&gt; SEGMENT'!$HF$13</f>
        <v>646.44148562499993</v>
      </c>
      <c r="R25" s="427">
        <f>'ANALYSE - ERP =&gt; SEGMENT'!$HI$13</f>
        <v>363.44094179999996</v>
      </c>
      <c r="T25" s="424">
        <f>'ANALYSE - ERP =&gt; SEGMENT'!$FE$13</f>
        <v>2010.5446242916669</v>
      </c>
      <c r="U25" s="427">
        <f>'ANALYSE - ERP =&gt; SEGMENT'!$HA$13</f>
        <v>467.03572000000003</v>
      </c>
      <c r="V25" s="427">
        <f>'ANALYSE - ERP =&gt; SEGMENT'!$HD$13</f>
        <v>694.59326866666663</v>
      </c>
      <c r="W25" s="427">
        <f>'ANALYSE - ERP =&gt; SEGMENT'!$HG$13</f>
        <v>545.39789562500005</v>
      </c>
      <c r="X25" s="427">
        <f>'ANALYSE - ERP =&gt; SEGMENT'!$HJ$13</f>
        <v>303.51774</v>
      </c>
      <c r="Z25" s="427">
        <f>'ANALYSE - ERP =&gt; SEGMENT'!$FF$13</f>
        <v>410.69545999999997</v>
      </c>
      <c r="AA25" s="427">
        <f>'ANALYSE - ERP =&gt; SEGMENT'!$HB$13</f>
        <v>84.177576399999992</v>
      </c>
      <c r="AB25" s="427">
        <f>'ANALYSE - ERP =&gt; SEGMENT'!$HE$13</f>
        <v>165.55109179999999</v>
      </c>
      <c r="AC25" s="427">
        <f>'ANALYSE - ERP =&gt; SEGMENT'!$HH$13</f>
        <v>101.04358999999998</v>
      </c>
      <c r="AD25" s="427">
        <f>'ANALYSE - ERP =&gt; SEGMENT'!$HK$13</f>
        <v>59.923201799999994</v>
      </c>
      <c r="AF25" s="430">
        <f>'ANALYSE - ERP =&gt; SEGMENT'!$Q$13</f>
        <v>1</v>
      </c>
    </row>
    <row r="26" spans="1:32" ht="15" customHeight="1">
      <c r="A26" s="26">
        <v>23</v>
      </c>
      <c r="B26" s="26">
        <v>23</v>
      </c>
      <c r="C26" s="26">
        <v>24</v>
      </c>
      <c r="D26" s="499" t="s">
        <v>3662</v>
      </c>
      <c r="E26" s="500" t="s">
        <v>1240</v>
      </c>
      <c r="F26" s="500" t="s">
        <v>8001</v>
      </c>
      <c r="G26" s="413" t="str">
        <f>'ANALYSE - ERP =&gt; SEGMENT'!$D$17</f>
        <v>Foires / salons
Halls d’exposition</v>
      </c>
      <c r="I26" s="427">
        <f t="shared" si="2"/>
        <v>288.13190553379957</v>
      </c>
      <c r="K26" s="787">
        <f t="shared" si="0"/>
        <v>0.80772739521031178</v>
      </c>
      <c r="L26" s="787">
        <f t="shared" si="1"/>
        <v>0.19227260478968816</v>
      </c>
      <c r="N26" s="424">
        <f>'ANALYSE - ERP =&gt; SEGMENT'!$FD$17</f>
        <v>1440.6595276689977</v>
      </c>
      <c r="O26" s="427">
        <f>'ANALYSE - ERP =&gt; SEGMENT'!$GZ$17</f>
        <v>112.49672421818181</v>
      </c>
      <c r="P26" s="427">
        <f>'ANALYSE - ERP =&gt; SEGMENT'!$HC$17</f>
        <v>638.36734615384614</v>
      </c>
      <c r="Q26" s="427">
        <f>'ANALYSE - ERP =&gt; SEGMENT'!$HF$17</f>
        <v>441.73743913333328</v>
      </c>
      <c r="R26" s="427">
        <f>'ANALYSE - ERP =&gt; SEGMENT'!$HI$17</f>
        <v>248.05801816363635</v>
      </c>
      <c r="T26" s="424">
        <f>'ANALYSE - ERP =&gt; SEGMENT'!$FE$17</f>
        <v>1163.6601676689977</v>
      </c>
      <c r="U26" s="427">
        <f>'ANALYSE - ERP =&gt; SEGMENT'!$HA$17</f>
        <v>95.876762618181814</v>
      </c>
      <c r="V26" s="427">
        <f>'ANALYSE - ERP =&gt; SEGMENT'!$HD$17</f>
        <v>499.86766615384619</v>
      </c>
      <c r="W26" s="427">
        <f>'ANALYSE - ERP =&gt; SEGMENT'!$HG$17</f>
        <v>364.17761833333327</v>
      </c>
      <c r="X26" s="427">
        <f>'ANALYSE - ERP =&gt; SEGMENT'!$HJ$17</f>
        <v>203.73812056363636</v>
      </c>
      <c r="Z26" s="427">
        <f>'ANALYSE - ERP =&gt; SEGMENT'!$FF$17</f>
        <v>276.99936000000002</v>
      </c>
      <c r="AA26" s="427">
        <f>'ANALYSE - ERP =&gt; SEGMENT'!$HB$17</f>
        <v>16.6199616</v>
      </c>
      <c r="AB26" s="427">
        <f>'ANALYSE - ERP =&gt; SEGMENT'!$HE$17</f>
        <v>138.49968000000001</v>
      </c>
      <c r="AC26" s="427">
        <f>'ANALYSE - ERP =&gt; SEGMENT'!$HH$17</f>
        <v>77.559820800000011</v>
      </c>
      <c r="AD26" s="427">
        <f>'ANALYSE - ERP =&gt; SEGMENT'!$HK$17</f>
        <v>44.319897600000004</v>
      </c>
      <c r="AF26" s="430">
        <f>'ANALYSE - ERP =&gt; SEGMENT'!$Q$17</f>
        <v>1</v>
      </c>
    </row>
    <row r="27" spans="1:32" ht="15" customHeight="1">
      <c r="A27" s="26">
        <v>24</v>
      </c>
      <c r="B27" s="26">
        <v>24</v>
      </c>
      <c r="C27" s="26">
        <v>23</v>
      </c>
      <c r="D27" s="507" t="s">
        <v>2285</v>
      </c>
      <c r="E27" s="508" t="s">
        <v>7336</v>
      </c>
      <c r="F27" s="508" t="s">
        <v>7337</v>
      </c>
      <c r="G27" s="411" t="str">
        <f>'ANALYSE - ERP =&gt; SEGMENT'!$D$33</f>
        <v>Parcs de stationnement couverts</v>
      </c>
      <c r="I27" s="427">
        <f t="shared" si="2"/>
        <v>0</v>
      </c>
      <c r="K27" s="787" t="str">
        <f t="shared" si="0"/>
        <v/>
      </c>
      <c r="L27" s="787" t="str">
        <f t="shared" si="1"/>
        <v/>
      </c>
      <c r="N27" s="424">
        <f>'ANALYSE - ERP =&gt; SEGMENT'!$FD$33</f>
        <v>0</v>
      </c>
      <c r="O27" s="427">
        <f>'ANALYSE - ERP =&gt; SEGMENT'!$GZ$33</f>
        <v>0</v>
      </c>
      <c r="P27" s="427">
        <f>'ANALYSE - ERP =&gt; SEGMENT'!$HC$33</f>
        <v>0</v>
      </c>
      <c r="Q27" s="427">
        <f>'ANALYSE - ERP =&gt; SEGMENT'!$HF$33</f>
        <v>0</v>
      </c>
      <c r="R27" s="427">
        <f>'ANALYSE - ERP =&gt; SEGMENT'!$HI$33</f>
        <v>0</v>
      </c>
      <c r="T27" s="424">
        <f>'ANALYSE - ERP =&gt; SEGMENT'!$FE$33</f>
        <v>0</v>
      </c>
      <c r="U27" s="427">
        <f>'ANALYSE - ERP =&gt; SEGMENT'!$HA$33</f>
        <v>0</v>
      </c>
      <c r="V27" s="427">
        <f>'ANALYSE - ERP =&gt; SEGMENT'!$HD$33</f>
        <v>0</v>
      </c>
      <c r="W27" s="427">
        <f>'ANALYSE - ERP =&gt; SEGMENT'!$HG$33</f>
        <v>0</v>
      </c>
      <c r="X27" s="427">
        <f>'ANALYSE - ERP =&gt; SEGMENT'!$HJ$33</f>
        <v>0</v>
      </c>
      <c r="Z27" s="427">
        <f>'ANALYSE - ERP =&gt; SEGMENT'!$FF$33</f>
        <v>0</v>
      </c>
      <c r="AA27" s="427">
        <f>'ANALYSE - ERP =&gt; SEGMENT'!$HB$33</f>
        <v>0</v>
      </c>
      <c r="AB27" s="427">
        <f>'ANALYSE - ERP =&gt; SEGMENT'!$HE$33</f>
        <v>0</v>
      </c>
      <c r="AC27" s="427">
        <f>'ANALYSE - ERP =&gt; SEGMENT'!$HH$33</f>
        <v>0</v>
      </c>
      <c r="AD27" s="427">
        <f>'ANALYSE - ERP =&gt; SEGMENT'!$HK$33</f>
        <v>0</v>
      </c>
      <c r="AF27" s="430">
        <f>'ANALYSE - ERP =&gt; SEGMENT'!$Q$33</f>
        <v>0</v>
      </c>
    </row>
    <row r="28" spans="1:32" ht="15" customHeight="1">
      <c r="A28" s="26">
        <v>25</v>
      </c>
      <c r="B28" s="26">
        <v>25</v>
      </c>
      <c r="C28" s="26">
        <v>25</v>
      </c>
      <c r="D28" s="509" t="s">
        <v>4908</v>
      </c>
      <c r="E28" s="510" t="s">
        <v>1985</v>
      </c>
      <c r="F28" s="510" t="s">
        <v>8002</v>
      </c>
      <c r="G28" s="409" t="str">
        <f>'ANALYSE - ERP =&gt; SEGMENT'!$D$35</f>
        <v>Unités d'hébergement des militaires &amp; réservistes
Centres de recrutement et bureaux d’information
Restaurants ou équipements sportifs ouverts au public sur emprise militaire
Hôpitaux d’instruction des armées et centres médicaux recevant du public
Salles de conférence, auditoriums et espaces événementiels ouverts au public</v>
      </c>
      <c r="I28" s="427">
        <f t="shared" si="2"/>
        <v>181.81128189400002</v>
      </c>
      <c r="K28" s="787">
        <f t="shared" si="0"/>
        <v>0.76677799332210028</v>
      </c>
      <c r="L28" s="787">
        <f t="shared" si="1"/>
        <v>0.23322200667789983</v>
      </c>
      <c r="N28" s="424">
        <f>'ANALYSE - ERP =&gt; SEGMENT'!$FD$35</f>
        <v>909.05640947000006</v>
      </c>
      <c r="O28" s="427">
        <f>'ANALYSE - ERP =&gt; SEGMENT'!$GZ$35</f>
        <v>100.13567684</v>
      </c>
      <c r="P28" s="427">
        <f>'ANALYSE - ERP =&gt; SEGMENT'!$HC$35</f>
        <v>470.22990070000003</v>
      </c>
      <c r="Q28" s="427">
        <f>'ANALYSE - ERP =&gt; SEGMENT'!$HF$35</f>
        <v>121.66775925000002</v>
      </c>
      <c r="R28" s="427">
        <f>'ANALYSE - ERP =&gt; SEGMENT'!$HI$35</f>
        <v>217.02307267999998</v>
      </c>
      <c r="T28" s="424">
        <f>'ANALYSE - ERP =&gt; SEGMENT'!$FE$35</f>
        <v>697.04444947000013</v>
      </c>
      <c r="U28" s="427">
        <f>'ANALYSE - ERP =&gt; SEGMENT'!$HA$35</f>
        <v>80.656800840000002</v>
      </c>
      <c r="V28" s="427">
        <f>'ANALYSE - ERP =&gt; SEGMENT'!$HD$35</f>
        <v>350.77188310000003</v>
      </c>
      <c r="W28" s="427">
        <f>'ANALYSE - ERP =&gt; SEGMENT'!$HG$35</f>
        <v>96.832523250000008</v>
      </c>
      <c r="X28" s="427">
        <f>'ANALYSE - ERP =&gt; SEGMENT'!$HJ$35</f>
        <v>168.78324228</v>
      </c>
      <c r="Z28" s="427">
        <f>'ANALYSE - ERP =&gt; SEGMENT'!$FF$35</f>
        <v>212.01195999999999</v>
      </c>
      <c r="AA28" s="427">
        <f>'ANALYSE - ERP =&gt; SEGMENT'!$HB$35</f>
        <v>19.478876</v>
      </c>
      <c r="AB28" s="427">
        <f>'ANALYSE - ERP =&gt; SEGMENT'!$HE$35</f>
        <v>119.45801760000001</v>
      </c>
      <c r="AC28" s="427">
        <f>'ANALYSE - ERP =&gt; SEGMENT'!$HH$35</f>
        <v>24.835236000000002</v>
      </c>
      <c r="AD28" s="427">
        <f>'ANALYSE - ERP =&gt; SEGMENT'!$HK$35</f>
        <v>48.239830400000002</v>
      </c>
      <c r="AF28" s="430">
        <f>'ANALYSE - ERP =&gt; SEGMENT'!$Q$35</f>
        <v>1</v>
      </c>
    </row>
    <row r="29" spans="1:32" ht="15" customHeight="1">
      <c r="A29" s="26">
        <v>26</v>
      </c>
      <c r="B29" s="26">
        <v>26</v>
      </c>
      <c r="C29" s="26">
        <v>27</v>
      </c>
      <c r="D29" s="509" t="s">
        <v>4908</v>
      </c>
      <c r="E29" s="510" t="s">
        <v>2027</v>
      </c>
      <c r="F29" s="510" t="s">
        <v>8003</v>
      </c>
      <c r="G29" s="414" t="str">
        <f>'ANALYSE - ERP =&gt; SEGMENT'!$D$37</f>
        <v>Palais de justice et bâtiments judiciaires multi-usages
Maisons de justice et du droit
Tribunaux de commerce autonomes
Conseils de prud’hommes autonomes
Autres bâtiments judiciaires autonomes recevant du public</v>
      </c>
      <c r="I29" s="427">
        <f t="shared" si="2"/>
        <v>77.202852695804182</v>
      </c>
      <c r="K29" s="787">
        <f t="shared" si="0"/>
        <v>0.85654768427226913</v>
      </c>
      <c r="L29" s="787">
        <f t="shared" si="1"/>
        <v>0.14345231572773087</v>
      </c>
      <c r="N29" s="424">
        <f>'ANALYSE - ERP =&gt; SEGMENT'!$FD$37</f>
        <v>386.01426347902094</v>
      </c>
      <c r="O29" s="427">
        <f>'ANALYSE - ERP =&gt; SEGMENT'!$GZ$37</f>
        <v>39.069469154545459</v>
      </c>
      <c r="P29" s="427">
        <f>'ANALYSE - ERP =&gt; SEGMENT'!$HC$37</f>
        <v>193.98237036538461</v>
      </c>
      <c r="Q29" s="427">
        <f>'ANALYSE - ERP =&gt; SEGMENT'!$HF$37</f>
        <v>73.162246449999984</v>
      </c>
      <c r="R29" s="427">
        <f>'ANALYSE - ERP =&gt; SEGMENT'!$HI$37</f>
        <v>79.800177509090915</v>
      </c>
      <c r="T29" s="424">
        <f>'ANALYSE - ERP =&gt; SEGMENT'!$FE$37</f>
        <v>330.63962347902094</v>
      </c>
      <c r="U29" s="427">
        <f>'ANALYSE - ERP =&gt; SEGMENT'!$HA$37</f>
        <v>34.639497954545455</v>
      </c>
      <c r="V29" s="427">
        <f>'ANALYSE - ERP =&gt; SEGMENT'!$HD$37</f>
        <v>163.52631836538461</v>
      </c>
      <c r="W29" s="427">
        <f>'ANALYSE - ERP =&gt; SEGMENT'!$HG$37</f>
        <v>63.194811249999987</v>
      </c>
      <c r="X29" s="427">
        <f>'ANALYSE - ERP =&gt; SEGMENT'!$HJ$37</f>
        <v>69.278995909090909</v>
      </c>
      <c r="Z29" s="427">
        <f>'ANALYSE - ERP =&gt; SEGMENT'!$FF$37</f>
        <v>55.374639999999999</v>
      </c>
      <c r="AA29" s="427">
        <f>'ANALYSE - ERP =&gt; SEGMENT'!$HB$37</f>
        <v>4.4299711999999998</v>
      </c>
      <c r="AB29" s="427">
        <f>'ANALYSE - ERP =&gt; SEGMENT'!$HE$37</f>
        <v>30.456052000000003</v>
      </c>
      <c r="AC29" s="427">
        <f>'ANALYSE - ERP =&gt; SEGMENT'!$HH$37</f>
        <v>9.9674351999999988</v>
      </c>
      <c r="AD29" s="427">
        <f>'ANALYSE - ERP =&gt; SEGMENT'!$HK$37</f>
        <v>10.521181599999998</v>
      </c>
      <c r="AF29" s="430">
        <f>'ANALYSE - ERP =&gt; SEGMENT'!$Q$37</f>
        <v>1</v>
      </c>
    </row>
    <row r="30" spans="1:32" ht="15" customHeight="1">
      <c r="A30" s="26">
        <v>27</v>
      </c>
      <c r="B30" s="26">
        <v>27</v>
      </c>
      <c r="C30" s="26">
        <v>28</v>
      </c>
      <c r="D30" s="509" t="s">
        <v>4908</v>
      </c>
      <c r="E30" s="510" t="s">
        <v>1950</v>
      </c>
      <c r="F30" s="510" t="s">
        <v>8005</v>
      </c>
      <c r="G30" s="411" t="str">
        <f>'ANALYSE - ERP =&gt; SEGMENT'!$D$34</f>
        <v>Locaux de sûreté, garde à vue et zones opérationnelles
Postes de proximité et antennes avec accueil public
Salles de réunion, de prévention ou de conférence ouvertes au public</v>
      </c>
      <c r="I30" s="427">
        <f t="shared" si="2"/>
        <v>53.0257022085</v>
      </c>
      <c r="K30" s="787">
        <f t="shared" si="0"/>
        <v>0.85283680036303011</v>
      </c>
      <c r="L30" s="787">
        <f t="shared" si="1"/>
        <v>0.14716319963696986</v>
      </c>
      <c r="N30" s="424">
        <f>'ANALYSE - ERP =&gt; SEGMENT'!$FD$34</f>
        <v>265.12851104250001</v>
      </c>
      <c r="O30" s="427">
        <f>'ANALYSE - ERP =&gt; SEGMENT'!$GZ$34</f>
        <v>29.370205200000004</v>
      </c>
      <c r="P30" s="427">
        <f>'ANALYSE - ERP =&gt; SEGMENT'!$HC$34</f>
        <v>195.23909789999999</v>
      </c>
      <c r="Q30" s="427">
        <f>'ANALYSE - ERP =&gt; SEGMENT'!$HF$34</f>
        <v>12.330665812499998</v>
      </c>
      <c r="R30" s="427">
        <f>'ANALYSE - ERP =&gt; SEGMENT'!$HI$34</f>
        <v>28.188542129999995</v>
      </c>
      <c r="T30" s="424">
        <f>'ANALYSE - ERP =&gt; SEGMENT'!$FE$34</f>
        <v>226.11135104249999</v>
      </c>
      <c r="U30" s="427">
        <f>'ANALYSE - ERP =&gt; SEGMENT'!$HA$34</f>
        <v>25.504525200000003</v>
      </c>
      <c r="V30" s="427">
        <f>'ANALYSE - ERP =&gt; SEGMENT'!$HD$34</f>
        <v>165.5021907</v>
      </c>
      <c r="W30" s="427">
        <f>'ANALYSE - ERP =&gt; SEGMENT'!$HG$34</f>
        <v>10.625835412499999</v>
      </c>
      <c r="X30" s="427">
        <f>'ANALYSE - ERP =&gt; SEGMENT'!$HJ$34</f>
        <v>24.478799729999999</v>
      </c>
      <c r="Z30" s="427">
        <f>'ANALYSE - ERP =&gt; SEGMENT'!$FF$34</f>
        <v>39.017159999999997</v>
      </c>
      <c r="AA30" s="427">
        <f>'ANALYSE - ERP =&gt; SEGMENT'!$HB$34</f>
        <v>3.8656799999999998</v>
      </c>
      <c r="AB30" s="427">
        <f>'ANALYSE - ERP =&gt; SEGMENT'!$HE$34</f>
        <v>29.736907199999997</v>
      </c>
      <c r="AC30" s="427">
        <f>'ANALYSE - ERP =&gt; SEGMENT'!$HH$34</f>
        <v>1.7048303999999999</v>
      </c>
      <c r="AD30" s="427">
        <f>'ANALYSE - ERP =&gt; SEGMENT'!$HK$34</f>
        <v>3.7097423999999997</v>
      </c>
      <c r="AF30" s="430">
        <f>'ANALYSE - ERP =&gt; SEGMENT'!$Q$34</f>
        <v>1</v>
      </c>
    </row>
    <row r="31" spans="1:32" ht="15" customHeight="1">
      <c r="A31" s="26">
        <v>28</v>
      </c>
      <c r="B31" s="26">
        <v>29</v>
      </c>
      <c r="C31" s="26">
        <v>26</v>
      </c>
      <c r="D31" s="509" t="s">
        <v>4908</v>
      </c>
      <c r="E31" s="510" t="s">
        <v>88</v>
      </c>
      <c r="F31" s="510" t="s">
        <v>7996</v>
      </c>
      <c r="G31" s="409" t="str">
        <f>'ANALYSE - ERP =&gt; SEGMENT'!$D$36</f>
        <v>Maisons d’arrêt
Centres de détention
Maisons centrales
Centres pénitentiaires
Centres de semi-liberté
Centres éducatifs fermés
Centres pour peines aménagées
(absorbés par autres centres carcéraux)
Unités hospitalières sécurisées</v>
      </c>
      <c r="I31" s="427">
        <f t="shared" si="2"/>
        <v>59.120614000000003</v>
      </c>
      <c r="K31" s="787">
        <f t="shared" si="0"/>
        <v>0.68301421903365211</v>
      </c>
      <c r="L31" s="787">
        <f t="shared" si="1"/>
        <v>0.31698578096634783</v>
      </c>
      <c r="N31" s="424">
        <f>'ANALYSE - ERP =&gt; SEGMENT'!$FD$36</f>
        <v>295.60307</v>
      </c>
      <c r="O31" s="427">
        <f>'ANALYSE - ERP =&gt; SEGMENT'!$GZ$36</f>
        <v>32.910197000000004</v>
      </c>
      <c r="P31" s="427">
        <f>'ANALYSE - ERP =&gt; SEGMENT'!$HC$36</f>
        <v>229.54455630000001</v>
      </c>
      <c r="Q31" s="427">
        <f>'ANALYSE - ERP =&gt; SEGMENT'!$HF$36</f>
        <v>11.740078800000001</v>
      </c>
      <c r="R31" s="427">
        <f>'ANALYSE - ERP =&gt; SEGMENT'!$HI$36</f>
        <v>21.4082379</v>
      </c>
      <c r="T31" s="424">
        <f>'ANALYSE - ERP =&gt; SEGMENT'!$FE$36</f>
        <v>201.90110000000001</v>
      </c>
      <c r="U31" s="427">
        <f>'ANALYSE - ERP =&gt; SEGMENT'!$HA$36</f>
        <v>23.54</v>
      </c>
      <c r="V31" s="427">
        <f>'ANALYSE - ERP =&gt; SEGMENT'!$HD$36</f>
        <v>155.52000000000001</v>
      </c>
      <c r="W31" s="427">
        <f>'ANALYSE - ERP =&gt; SEGMENT'!$HG$36</f>
        <v>7.9919999999999982</v>
      </c>
      <c r="X31" s="427">
        <f>'ANALYSE - ERP =&gt; SEGMENT'!$HJ$36</f>
        <v>14.849100000000002</v>
      </c>
      <c r="Z31" s="427">
        <f>'ANALYSE - ERP =&gt; SEGMENT'!$FF$36</f>
        <v>93.701969999999989</v>
      </c>
      <c r="AA31" s="427">
        <f>'ANALYSE - ERP =&gt; SEGMENT'!$HB$36</f>
        <v>9.370197000000001</v>
      </c>
      <c r="AB31" s="427">
        <f>'ANALYSE - ERP =&gt; SEGMENT'!$HE$36</f>
        <v>74.0245563</v>
      </c>
      <c r="AC31" s="427">
        <f>'ANALYSE - ERP =&gt; SEGMENT'!$HH$36</f>
        <v>3.7480788</v>
      </c>
      <c r="AD31" s="427">
        <f>'ANALYSE - ERP =&gt; SEGMENT'!$HK$36</f>
        <v>6.5591379000000014</v>
      </c>
      <c r="AF31" s="430">
        <f>'ANALYSE - ERP =&gt; SEGMENT'!$Q$36</f>
        <v>1</v>
      </c>
    </row>
    <row r="32" spans="1:32" ht="15" customHeight="1">
      <c r="A32" s="26">
        <v>29</v>
      </c>
      <c r="B32" s="26">
        <v>28</v>
      </c>
      <c r="C32" s="26">
        <v>29</v>
      </c>
      <c r="D32" s="505" t="s">
        <v>7117</v>
      </c>
      <c r="E32" s="506" t="s">
        <v>1487</v>
      </c>
      <c r="F32" s="506" t="s">
        <v>8004</v>
      </c>
      <c r="G32" s="412" t="str">
        <f>'ANALYSE - ERP =&gt; SEGMENT'!$D$25</f>
        <v>Hôtels-restaurants d’altitude
Refuges de montagne</v>
      </c>
      <c r="I32" s="427">
        <f t="shared" si="2"/>
        <v>52.591181361742414</v>
      </c>
      <c r="K32" s="787">
        <f t="shared" si="0"/>
        <v>0.81526560635377754</v>
      </c>
      <c r="L32" s="787">
        <f t="shared" si="1"/>
        <v>0.18473439364622243</v>
      </c>
      <c r="N32" s="424">
        <f>'ANALYSE - ERP =&gt; SEGMENT'!$FD$25</f>
        <v>262.95590680871209</v>
      </c>
      <c r="O32" s="427">
        <f>'ANALYSE - ERP =&gt; SEGMENT'!$GZ$25</f>
        <v>44.512471249999997</v>
      </c>
      <c r="P32" s="427">
        <f>'ANALYSE - ERP =&gt; SEGMENT'!$HC$25</f>
        <v>106.69744045454546</v>
      </c>
      <c r="Q32" s="427">
        <f>'ANALYSE - ERP =&gt; SEGMENT'!$HF$25</f>
        <v>51.723838437499992</v>
      </c>
      <c r="R32" s="427">
        <f>'ANALYSE - ERP =&gt; SEGMENT'!$HI$25</f>
        <v>60.02215666666666</v>
      </c>
      <c r="T32" s="424">
        <f>'ANALYSE - ERP =&gt; SEGMENT'!$FE$25</f>
        <v>214.37890680871209</v>
      </c>
      <c r="U32" s="427">
        <f>'ANALYSE - ERP =&gt; SEGMENT'!$HA$25</f>
        <v>37.065361249999995</v>
      </c>
      <c r="V32" s="427">
        <f>'ANALYSE - ERP =&gt; SEGMENT'!$HD$25</f>
        <v>84.724580454545446</v>
      </c>
      <c r="W32" s="427">
        <f>'ANALYSE - ERP =&gt; SEGMENT'!$HG$25</f>
        <v>42.475698437499993</v>
      </c>
      <c r="X32" s="427">
        <f>'ANALYSE - ERP =&gt; SEGMENT'!$HJ$25</f>
        <v>50.113266666666661</v>
      </c>
      <c r="Z32" s="427">
        <f>'ANALYSE - ERP =&gt; SEGMENT'!$FF$25</f>
        <v>48.576999999999998</v>
      </c>
      <c r="AA32" s="427">
        <f>'ANALYSE - ERP =&gt; SEGMENT'!$HB$25</f>
        <v>7.4471100000000003</v>
      </c>
      <c r="AB32" s="427">
        <f>'ANALYSE - ERP =&gt; SEGMENT'!$HE$25</f>
        <v>21.972860000000001</v>
      </c>
      <c r="AC32" s="427">
        <f>'ANALYSE - ERP =&gt; SEGMENT'!$HH$25</f>
        <v>9.2481399999999994</v>
      </c>
      <c r="AD32" s="427">
        <f>'ANALYSE - ERP =&gt; SEGMENT'!$HK$25</f>
        <v>9.9088899999999995</v>
      </c>
      <c r="AF32" s="430">
        <f>'ANALYSE - ERP =&gt; SEGMENT'!$Q$25</f>
        <v>1</v>
      </c>
    </row>
    <row r="33" spans="1:32" ht="15" customHeight="1">
      <c r="A33" s="26">
        <v>30</v>
      </c>
      <c r="B33" s="26">
        <v>30</v>
      </c>
      <c r="C33" s="26">
        <v>30</v>
      </c>
      <c r="D33" s="497" t="s">
        <v>6739</v>
      </c>
      <c r="E33" s="498" t="s">
        <v>2104</v>
      </c>
      <c r="F33" s="498" t="s">
        <v>671</v>
      </c>
      <c r="G33" s="411" t="str">
        <f>'ANALYSE - ERP =&gt; SEGMENT'!$D$8</f>
        <v>Crèches</v>
      </c>
      <c r="I33" s="427">
        <f t="shared" si="2"/>
        <v>0</v>
      </c>
      <c r="K33" s="787" t="str">
        <f t="shared" si="0"/>
        <v/>
      </c>
      <c r="L33" s="787" t="str">
        <f t="shared" si="1"/>
        <v/>
      </c>
      <c r="N33" s="424">
        <f>'ANALYSE - ERP =&gt; SEGMENT'!$FD$8</f>
        <v>0</v>
      </c>
      <c r="O33" s="427">
        <f>'ANALYSE - ERP =&gt; SEGMENT'!$GZ$8</f>
        <v>0</v>
      </c>
      <c r="P33" s="427">
        <f>'ANALYSE - ERP =&gt; SEGMENT'!$HC$8</f>
        <v>0</v>
      </c>
      <c r="Q33" s="427">
        <f>'ANALYSE - ERP =&gt; SEGMENT'!$HF$8</f>
        <v>0</v>
      </c>
      <c r="R33" s="427">
        <f>'ANALYSE - ERP =&gt; SEGMENT'!$HI$8</f>
        <v>0</v>
      </c>
      <c r="T33" s="424">
        <f>'ANALYSE - ERP =&gt; SEGMENT'!$FE$8</f>
        <v>0</v>
      </c>
      <c r="U33" s="427">
        <f>'ANALYSE - ERP =&gt; SEGMENT'!$HA$8</f>
        <v>0</v>
      </c>
      <c r="V33" s="427">
        <f>'ANALYSE - ERP =&gt; SEGMENT'!$HD$8</f>
        <v>0</v>
      </c>
      <c r="W33" s="427">
        <f>'ANALYSE - ERP =&gt; SEGMENT'!$HG$8</f>
        <v>0</v>
      </c>
      <c r="X33" s="427">
        <f>'ANALYSE - ERP =&gt; SEGMENT'!$HJ$8</f>
        <v>0</v>
      </c>
      <c r="Z33" s="427">
        <f>'ANALYSE - ERP =&gt; SEGMENT'!$FF$8</f>
        <v>0</v>
      </c>
      <c r="AA33" s="427">
        <f>'ANALYSE - ERP =&gt; SEGMENT'!$HB$8</f>
        <v>0</v>
      </c>
      <c r="AB33" s="427">
        <f>'ANALYSE - ERP =&gt; SEGMENT'!$HE$8</f>
        <v>0</v>
      </c>
      <c r="AC33" s="427">
        <f>'ANALYSE - ERP =&gt; SEGMENT'!$HH$8</f>
        <v>0</v>
      </c>
      <c r="AD33" s="427">
        <f>'ANALYSE - ERP =&gt; SEGMENT'!$HK$8</f>
        <v>0</v>
      </c>
      <c r="AF33" s="430">
        <f>'ANALYSE - ERP =&gt; SEGMENT'!$Q$8</f>
        <v>1</v>
      </c>
    </row>
    <row r="34" spans="1:32" ht="15" customHeight="1">
      <c r="A34" s="26">
        <v>31</v>
      </c>
      <c r="B34" s="26">
        <v>31</v>
      </c>
      <c r="C34" s="26">
        <v>31</v>
      </c>
      <c r="D34" s="501" t="s">
        <v>2163</v>
      </c>
      <c r="E34" s="502" t="s">
        <v>2163</v>
      </c>
      <c r="F34" s="502" t="s">
        <v>2164</v>
      </c>
      <c r="G34" s="409" t="str">
        <f>'ANALYSE - ERP =&gt; SEGMENT'!$D$38</f>
        <v>Toilettes publiques (sur la voie publique)
Bains-douches municipaux / douches publiques fixes
Blocs sanitaires de plage / front de mer</v>
      </c>
      <c r="I34" s="427">
        <f t="shared" si="2"/>
        <v>861.09858499999996</v>
      </c>
      <c r="K34" s="787">
        <f t="shared" si="0"/>
        <v>0.81186110066595918</v>
      </c>
      <c r="L34" s="787">
        <f t="shared" si="1"/>
        <v>0.18813889933404085</v>
      </c>
      <c r="N34" s="424">
        <f>'ANALYSE - ERP =&gt; SEGMENT'!$FD$38</f>
        <v>4305.4929249999996</v>
      </c>
      <c r="O34" s="427">
        <f>'ANALYSE - ERP =&gt; SEGMENT'!$GZ$38</f>
        <v>218.49038425000001</v>
      </c>
      <c r="P34" s="427">
        <f>'ANALYSE - ERP =&gt; SEGMENT'!$HC$38</f>
        <v>2925.8483039999996</v>
      </c>
      <c r="Q34" s="427">
        <f>'ANALYSE - ERP =&gt; SEGMENT'!$HF$38</f>
        <v>489.48246999999992</v>
      </c>
      <c r="R34" s="427">
        <f>'ANALYSE - ERP =&gt; SEGMENT'!$HI$38</f>
        <v>671.67176674999996</v>
      </c>
      <c r="T34" s="424">
        <f>'ANALYSE - ERP =&gt; SEGMENT'!$FE$38</f>
        <v>3495.4622249999998</v>
      </c>
      <c r="U34" s="427">
        <f>'ANALYSE - ERP =&gt; SEGMENT'!$HA$38</f>
        <v>186.08915625</v>
      </c>
      <c r="V34" s="427">
        <f>'ANALYSE - ERP =&gt; SEGMENT'!$HD$38</f>
        <v>2342.6262000000002</v>
      </c>
      <c r="W34" s="427">
        <f>'ANALYSE - ERP =&gt; SEGMENT'!$HG$38</f>
        <v>408.47939999999994</v>
      </c>
      <c r="X34" s="427">
        <f>'ANALYSE - ERP =&gt; SEGMENT'!$HJ$38</f>
        <v>558.26746874999992</v>
      </c>
      <c r="Z34" s="427">
        <f>'ANALYSE - ERP =&gt; SEGMENT'!$FF$38</f>
        <v>810.03070000000002</v>
      </c>
      <c r="AA34" s="427">
        <f>'ANALYSE - ERP =&gt; SEGMENT'!$HB$38</f>
        <v>32.401228000000003</v>
      </c>
      <c r="AB34" s="427">
        <f>'ANALYSE - ERP =&gt; SEGMENT'!$HE$38</f>
        <v>583.22210399999994</v>
      </c>
      <c r="AC34" s="427">
        <f>'ANALYSE - ERP =&gt; SEGMENT'!$HH$38</f>
        <v>81.003069999999994</v>
      </c>
      <c r="AD34" s="427">
        <f>'ANALYSE - ERP =&gt; SEGMENT'!$HK$38</f>
        <v>113.40429800000001</v>
      </c>
      <c r="AF34" s="430">
        <f>'ANALYSE - ERP =&gt; SEGMENT'!$Q$38</f>
        <v>1</v>
      </c>
    </row>
  </sheetData>
  <pageMargins left="3.937007874015748E-2" right="3.937007874015748E-2" top="7.874015748031496E-2" bottom="7.874015748031496E-2" header="0.11811023622047249" footer="0.11811023622047249"/>
  <pageSetup paperSize="8" scale="67" fitToHeight="2"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8" tint="-0.249977111117893"/>
    <pageSetUpPr fitToPage="1"/>
  </sheetPr>
  <dimension ref="A1:BB34"/>
  <sheetViews>
    <sheetView zoomScale="85" zoomScaleNormal="85" workbookViewId="0">
      <selection activeCell="G20" sqref="G20"/>
    </sheetView>
  </sheetViews>
  <sheetFormatPr baseColWidth="10" defaultColWidth="9.140625" defaultRowHeight="15"/>
  <cols>
    <col min="1" max="1" width="6.140625" style="934" customWidth="1"/>
    <col min="2" max="2" width="5.7109375" style="934" customWidth="1"/>
    <col min="3" max="3" width="5.5703125" style="934" customWidth="1"/>
    <col min="4" max="4" width="6" style="934" customWidth="1"/>
    <col min="5" max="5" width="30.28515625" style="43" customWidth="1"/>
    <col min="6" max="6" width="22" style="43" customWidth="1"/>
    <col min="7" max="7" width="45.140625" style="43" customWidth="1"/>
    <col min="8" max="8" width="1.7109375" style="933" customWidth="1"/>
    <col min="9" max="9" width="9.7109375" style="934" customWidth="1"/>
    <col min="10" max="10" width="1.7109375" style="933" customWidth="1"/>
    <col min="11" max="11" width="9.5703125" style="934" customWidth="1"/>
    <col min="12" max="12" width="9" style="934" customWidth="1"/>
    <col min="13" max="13" width="1.7109375" style="933" customWidth="1"/>
    <col min="14" max="14" width="9.42578125" style="934" customWidth="1"/>
    <col min="15" max="15" width="9" style="934" customWidth="1"/>
    <col min="16" max="16" width="10.42578125" style="934" customWidth="1"/>
    <col min="17" max="17" width="8.7109375" style="934" customWidth="1"/>
    <col min="18" max="18" width="1.7109375" style="933" customWidth="1"/>
    <col min="19" max="19" width="9" style="934" customWidth="1"/>
    <col min="20" max="20" width="8.85546875" style="934" customWidth="1"/>
    <col min="21" max="21" width="9.7109375" style="934" customWidth="1"/>
    <col min="22" max="22" width="10.42578125" style="934" customWidth="1"/>
    <col min="23" max="23" width="1.7109375" style="933" customWidth="1"/>
    <col min="24" max="24" width="8.140625" style="934" customWidth="1"/>
    <col min="25" max="25" width="9.85546875" style="934" customWidth="1"/>
    <col min="26" max="26" width="9" style="934" customWidth="1"/>
    <col min="27" max="27" width="9.42578125" style="934" customWidth="1"/>
    <col min="28" max="28" width="1.7109375" style="933" customWidth="1"/>
    <col min="29" max="29" width="11.42578125" style="934" customWidth="1"/>
    <col min="30" max="54" width="9.140625" style="933" customWidth="1"/>
  </cols>
  <sheetData>
    <row r="1" spans="1:29" s="438" customFormat="1" ht="18.75" customHeight="1">
      <c r="A1" s="933"/>
      <c r="B1" s="933"/>
      <c r="C1" s="933"/>
      <c r="D1" s="477"/>
      <c r="E1" s="479"/>
      <c r="F1" s="478" t="s">
        <v>7963</v>
      </c>
      <c r="G1" s="479"/>
      <c r="H1" s="933"/>
      <c r="I1" s="933"/>
      <c r="J1" s="933"/>
      <c r="K1" s="933"/>
      <c r="L1" s="933"/>
      <c r="M1" s="933"/>
      <c r="N1" s="460" t="s">
        <v>7949</v>
      </c>
      <c r="O1" s="440"/>
      <c r="P1" s="440"/>
      <c r="Q1" s="436"/>
      <c r="R1" s="933"/>
      <c r="S1" s="461" t="s">
        <v>7949</v>
      </c>
      <c r="T1" s="434"/>
      <c r="U1" s="439"/>
      <c r="V1" s="434"/>
      <c r="W1" s="933"/>
      <c r="X1" s="462" t="s">
        <v>7949</v>
      </c>
      <c r="Y1" s="435"/>
      <c r="Z1" s="441"/>
      <c r="AA1" s="435"/>
      <c r="AB1" s="933"/>
      <c r="AC1" s="436"/>
    </row>
    <row r="2" spans="1:29" s="437" customFormat="1" ht="54.75" customHeight="1">
      <c r="A2" s="431" t="s">
        <v>7853</v>
      </c>
      <c r="B2" s="432" t="s">
        <v>7854</v>
      </c>
      <c r="C2" s="433" t="s">
        <v>7855</v>
      </c>
      <c r="D2" s="436" t="s">
        <v>2044</v>
      </c>
      <c r="E2" s="829" t="s">
        <v>6714</v>
      </c>
      <c r="F2" s="829" t="s">
        <v>6715</v>
      </c>
      <c r="G2" s="829" t="s">
        <v>2181</v>
      </c>
      <c r="H2" s="453"/>
      <c r="I2" s="436" t="s">
        <v>7920</v>
      </c>
      <c r="J2" s="453"/>
      <c r="K2" s="434" t="s">
        <v>7860</v>
      </c>
      <c r="L2" s="435" t="s">
        <v>2534</v>
      </c>
      <c r="M2" s="453"/>
      <c r="N2" s="436" t="s">
        <v>7857</v>
      </c>
      <c r="O2" s="436" t="s">
        <v>7951</v>
      </c>
      <c r="P2" s="436" t="s">
        <v>7952</v>
      </c>
      <c r="Q2" s="436" t="s">
        <v>7964</v>
      </c>
      <c r="R2" s="453"/>
      <c r="S2" s="434" t="s">
        <v>7925</v>
      </c>
      <c r="T2" s="434" t="s">
        <v>7955</v>
      </c>
      <c r="U2" s="434" t="s">
        <v>7956</v>
      </c>
      <c r="V2" s="434" t="s">
        <v>7965</v>
      </c>
      <c r="W2" s="453"/>
      <c r="X2" s="435" t="s">
        <v>7930</v>
      </c>
      <c r="Y2" s="435" t="s">
        <v>7959</v>
      </c>
      <c r="Z2" s="435" t="s">
        <v>7960</v>
      </c>
      <c r="AA2" s="435" t="s">
        <v>7966</v>
      </c>
      <c r="AB2" s="453"/>
      <c r="AC2" s="436" t="s">
        <v>6711</v>
      </c>
    </row>
    <row r="3" spans="1:29">
      <c r="A3" s="405" t="s">
        <v>2535</v>
      </c>
      <c r="B3" s="405" t="s">
        <v>2535</v>
      </c>
      <c r="C3" s="405" t="s">
        <v>2535</v>
      </c>
      <c r="D3" s="405" t="s">
        <v>2090</v>
      </c>
      <c r="E3" s="405" t="s">
        <v>2086</v>
      </c>
      <c r="F3" s="405" t="s">
        <v>6728</v>
      </c>
      <c r="G3" s="405" t="s">
        <v>6729</v>
      </c>
      <c r="I3" s="426">
        <f>IFERROR(N3/5,"")</f>
        <v>374618.70752511156</v>
      </c>
      <c r="K3" s="790">
        <f t="shared" ref="K3:K34" si="0">IFERROR(S3/N3,"")</f>
        <v>0.79630176265320451</v>
      </c>
      <c r="L3" s="790">
        <f t="shared" ref="L3:L34" si="1">IFERROR(X3/N3,"")</f>
        <v>0.20369823734679568</v>
      </c>
      <c r="N3" s="426">
        <f>SUMPRODUCT(($AC$4:$AC$106),('ANALYSE - ERP =&gt; SEGMENT'!$FG$8:$FG$110))</f>
        <v>1873093.5376255577</v>
      </c>
      <c r="O3" s="426">
        <f>SUMPRODUCT(($AC$4:$AC$106),('ANALYSE - ERP =&gt; SEGMENT'!$HL$8:$HL$110))</f>
        <v>991327.93155271886</v>
      </c>
      <c r="P3" s="426">
        <f>SUMPRODUCT(($AC$4:$AC$106),('ANALYSE - ERP =&gt; SEGMENT'!$HO$8:$HO$110))</f>
        <v>611605.98486903857</v>
      </c>
      <c r="Q3" s="426">
        <f>SUMPRODUCT(($AC$4:$AC$106),('ANALYSE - ERP =&gt; SEGMENT'!$HR$8:$HR$110))</f>
        <v>270159.62120380026</v>
      </c>
      <c r="S3" s="426">
        <f>SUMPRODUCT(($AC$4:$AC$106),('ANALYSE - ERP =&gt; SEGMENT'!$FH$8:$FH$110))</f>
        <v>1491547.685625558</v>
      </c>
      <c r="T3" s="426">
        <f>SUMPRODUCT(($AC$4:$AC$106),('ANALYSE - ERP =&gt; SEGMENT'!$HM$8:$HM$110))</f>
        <v>811311.14506171877</v>
      </c>
      <c r="U3" s="426">
        <f>SUMPRODUCT(($AC$4:$AC$106),('ANALYSE - ERP =&gt; SEGMENT'!$HP$8:$HP$110))</f>
        <v>467530.78022343863</v>
      </c>
      <c r="V3" s="426">
        <f>SUMPRODUCT(($AC$4:$AC$106),('ANALYSE - ERP =&gt; SEGMENT'!$HS$8:$HS$110))</f>
        <v>212705.76034040033</v>
      </c>
      <c r="X3" s="426">
        <f>SUMPRODUCT(($AC$4:$AC$106),('ANALYSE - ERP =&gt; SEGMENT'!$FI$8:$FI$110))</f>
        <v>381545.85200000001</v>
      </c>
      <c r="Y3" s="426">
        <f>SUMPRODUCT(($AC$4:$AC$106),('ANALYSE - ERP =&gt; SEGMENT'!$HN$8:$HN$110))</f>
        <v>180016.78649100006</v>
      </c>
      <c r="Z3" s="426">
        <f>SUMPRODUCT(($AC$4:$AC$106),('ANALYSE - ERP =&gt; SEGMENT'!$HQ$8:$HQ$110))</f>
        <v>144075.20464560005</v>
      </c>
      <c r="AA3" s="426">
        <f>SUMPRODUCT(($AC$4:$AC$106),('ANALYSE - ERP =&gt; SEGMENT'!$HT$8:$HT$110))</f>
        <v>57453.860863400019</v>
      </c>
      <c r="AC3" s="428">
        <f>SUM('ANALYSE - ERP =&gt; SEGMENT'!$Q$8:$Q$110)</f>
        <v>34</v>
      </c>
    </row>
    <row r="4" spans="1:29" ht="15" customHeight="1">
      <c r="A4" s="26">
        <v>1</v>
      </c>
      <c r="B4" s="26">
        <v>1</v>
      </c>
      <c r="C4" s="26">
        <v>1</v>
      </c>
      <c r="D4" s="491" t="s">
        <v>2187</v>
      </c>
      <c r="E4" s="492" t="s">
        <v>3877</v>
      </c>
      <c r="F4" s="492" t="s">
        <v>7981</v>
      </c>
      <c r="G4" s="408" t="str">
        <f>'ANALYSE - ERP =&gt; SEGMENT'!$D$19</f>
        <v>Cafés / bars / brasseries
Fast-food / cafétérias / food courts
Restaurants
(Hors établissements altitude, flottant, armée)</v>
      </c>
      <c r="I4" s="427">
        <f t="shared" ref="I4:I34" si="2">N4/5</f>
        <v>54550.866055101505</v>
      </c>
      <c r="K4" s="787">
        <f t="shared" si="0"/>
        <v>0.81239969481579011</v>
      </c>
      <c r="L4" s="787">
        <f t="shared" si="1"/>
        <v>0.18760030518420995</v>
      </c>
      <c r="N4" s="424">
        <f>'ANALYSE - ERP =&gt; SEGMENT'!$FG$19</f>
        <v>272754.33027550753</v>
      </c>
      <c r="O4" s="427">
        <f>'ANALYSE - ERP =&gt; SEGMENT'!$HL$19</f>
        <v>135955.535859</v>
      </c>
      <c r="P4" s="427">
        <f>'ANALYSE - ERP =&gt; SEGMENT'!$HO$19</f>
        <v>87737.512794590904</v>
      </c>
      <c r="Q4" s="427">
        <f>'ANALYSE - ERP =&gt; SEGMENT'!$HR$19</f>
        <v>49061.281621916671</v>
      </c>
      <c r="S4" s="424">
        <f>'ANALYSE - ERP =&gt; SEGMENT'!$FH$19</f>
        <v>221585.53467550754</v>
      </c>
      <c r="T4" s="427">
        <f>'ANALYSE - ERP =&gt; SEGMENT'!$HM$19</f>
        <v>115102.631637</v>
      </c>
      <c r="U4" s="427">
        <f>'ANALYSE - ERP =&gt; SEGMENT'!$HP$19</f>
        <v>67822.178466590907</v>
      </c>
      <c r="V4" s="427">
        <f>'ANALYSE - ERP =&gt; SEGMENT'!$HS$19</f>
        <v>38660.72457191666</v>
      </c>
      <c r="X4" s="427">
        <f>'ANALYSE - ERP =&gt; SEGMENT'!$FI$19</f>
        <v>51168.795600000005</v>
      </c>
      <c r="Y4" s="427">
        <f>'ANALYSE - ERP =&gt; SEGMENT'!$HN$19</f>
        <v>20852.904222000001</v>
      </c>
      <c r="Z4" s="427">
        <f>'ANALYSE - ERP =&gt; SEGMENT'!$HQ$19</f>
        <v>19915.334328000001</v>
      </c>
      <c r="AA4" s="427">
        <f>'ANALYSE - ERP =&gt; SEGMENT'!$HT$19</f>
        <v>10400.557049999999</v>
      </c>
      <c r="AC4" s="430">
        <f>'ANALYSE - ERP =&gt; SEGMENT'!$Q$19</f>
        <v>1</v>
      </c>
    </row>
    <row r="5" spans="1:29" ht="15" customHeight="1">
      <c r="A5" s="26">
        <v>2</v>
      </c>
      <c r="B5" s="26">
        <v>2</v>
      </c>
      <c r="C5" s="26">
        <v>2</v>
      </c>
      <c r="D5" s="493" t="s">
        <v>2241</v>
      </c>
      <c r="E5" s="494" t="s">
        <v>1032</v>
      </c>
      <c r="F5" s="494" t="s">
        <v>7982</v>
      </c>
      <c r="G5" s="416" t="str">
        <f>'ANALYSE - ERP =&gt; SEGMENT'!$D$14</f>
        <v>Établissements médico-éducatifs
Foyers pour personnes handicapées
EHPAD
USLD
Résidences autonomie
Foyers-logements
(Public)
Résidences services seniors
(Privé)</v>
      </c>
      <c r="I5" s="427">
        <f t="shared" si="2"/>
        <v>51900.465753469231</v>
      </c>
      <c r="K5" s="787">
        <f t="shared" si="0"/>
        <v>0.80158081245520152</v>
      </c>
      <c r="L5" s="787">
        <f t="shared" si="1"/>
        <v>0.19841918754479843</v>
      </c>
      <c r="N5" s="424">
        <f>'ANALYSE - ERP =&gt; SEGMENT'!$FG$14</f>
        <v>259502.32876734616</v>
      </c>
      <c r="O5" s="427">
        <f>'ANALYSE - ERP =&gt; SEGMENT'!$HL$14</f>
        <v>204876.4287495692</v>
      </c>
      <c r="P5" s="427">
        <f>'ANALYSE - ERP =&gt; SEGMENT'!$HO$14</f>
        <v>36952.360162676916</v>
      </c>
      <c r="Q5" s="427">
        <f>'ANALYSE - ERP =&gt; SEGMENT'!$HR$14</f>
        <v>17673.5398551</v>
      </c>
      <c r="S5" s="424">
        <f>'ANALYSE - ERP =&gt; SEGMENT'!$FH$14</f>
        <v>208012.08752734616</v>
      </c>
      <c r="T5" s="427">
        <f>'ANALYSE - ERP =&gt; SEGMENT'!$HM$14</f>
        <v>164860.13150876923</v>
      </c>
      <c r="U5" s="427">
        <f>'ANALYSE - ERP =&gt; SEGMENT'!$HP$14</f>
        <v>28886.03469607692</v>
      </c>
      <c r="V5" s="427">
        <f>'ANALYSE - ERP =&gt; SEGMENT'!$HS$14</f>
        <v>14265.921322499997</v>
      </c>
      <c r="X5" s="427">
        <f>'ANALYSE - ERP =&gt; SEGMENT'!$FI$14</f>
        <v>51490.241239999996</v>
      </c>
      <c r="Y5" s="427">
        <f>'ANALYSE - ERP =&gt; SEGMENT'!$HN$14</f>
        <v>40016.297240799999</v>
      </c>
      <c r="Z5" s="427">
        <f>'ANALYSE - ERP =&gt; SEGMENT'!$HQ$14</f>
        <v>8066.3254665999993</v>
      </c>
      <c r="AA5" s="427">
        <f>'ANALYSE - ERP =&gt; SEGMENT'!$HT$14</f>
        <v>3407.6185326000004</v>
      </c>
      <c r="AC5" s="430">
        <f>'ANALYSE - ERP =&gt; SEGMENT'!$Q$14</f>
        <v>1</v>
      </c>
    </row>
    <row r="6" spans="1:29" ht="15" customHeight="1">
      <c r="A6" s="26">
        <v>3</v>
      </c>
      <c r="B6" s="26">
        <v>4</v>
      </c>
      <c r="C6" s="26">
        <v>3</v>
      </c>
      <c r="D6" s="497" t="s">
        <v>6739</v>
      </c>
      <c r="E6" s="498" t="s">
        <v>2678</v>
      </c>
      <c r="F6" s="498" t="s">
        <v>7984</v>
      </c>
      <c r="G6" s="409" t="str">
        <f>'ANALYSE - ERP =&gt; SEGMENT'!$D$9</f>
        <v>Écoles maternelles
Écoles primaires 
Collèges (vestiaires EPS inclus)
Lycées (vestiaires EPS inclus)
Internats scolaires</v>
      </c>
      <c r="I6" s="427">
        <f t="shared" si="2"/>
        <v>48786.8006496288</v>
      </c>
      <c r="K6" s="787">
        <f t="shared" si="0"/>
        <v>0.74737086675320297</v>
      </c>
      <c r="L6" s="787">
        <f t="shared" si="1"/>
        <v>0.25262913324679703</v>
      </c>
      <c r="N6" s="424">
        <f>'ANALYSE - ERP =&gt; SEGMENT'!$FG$9</f>
        <v>243934.003248144</v>
      </c>
      <c r="O6" s="427">
        <f>'ANALYSE - ERP =&gt; SEGMENT'!$HL$9</f>
        <v>146019.99259303842</v>
      </c>
      <c r="P6" s="427">
        <f>'ANALYSE - ERP =&gt; SEGMENT'!$HO$9</f>
        <v>90199.672029138397</v>
      </c>
      <c r="Q6" s="427">
        <f>'ANALYSE - ERP =&gt; SEGMENT'!$HR$9</f>
        <v>7714.3386259671997</v>
      </c>
      <c r="S6" s="424">
        <f>'ANALYSE - ERP =&gt; SEGMENT'!$FH$9</f>
        <v>182309.16743814401</v>
      </c>
      <c r="T6" s="427">
        <f>'ANALYSE - ERP =&gt; SEGMENT'!$HM$9</f>
        <v>114165.5174975384</v>
      </c>
      <c r="U6" s="427">
        <f>'ANALYSE - ERP =&gt; SEGMENT'!$HP$9</f>
        <v>64715.81135933839</v>
      </c>
      <c r="V6" s="427">
        <f>'ANALYSE - ERP =&gt; SEGMENT'!$HS$9</f>
        <v>3427.8385812672004</v>
      </c>
      <c r="X6" s="427">
        <f>'ANALYSE - ERP =&gt; SEGMENT'!$FI$9</f>
        <v>61624.835809999997</v>
      </c>
      <c r="Y6" s="427">
        <f>'ANALYSE - ERP =&gt; SEGMENT'!$HN$9</f>
        <v>31854.475095500002</v>
      </c>
      <c r="Z6" s="427">
        <f>'ANALYSE - ERP =&gt; SEGMENT'!$HQ$9</f>
        <v>25483.8606698</v>
      </c>
      <c r="AA6" s="427">
        <f>'ANALYSE - ERP =&gt; SEGMENT'!$HT$9</f>
        <v>4286.5000447000011</v>
      </c>
      <c r="AC6" s="430">
        <f>'ANALYSE - ERP =&gt; SEGMENT'!$Q$9</f>
        <v>1</v>
      </c>
    </row>
    <row r="7" spans="1:29" ht="15" customHeight="1">
      <c r="A7" s="26">
        <v>4</v>
      </c>
      <c r="B7" s="26">
        <v>3</v>
      </c>
      <c r="C7" s="26">
        <v>5</v>
      </c>
      <c r="D7" s="499" t="s">
        <v>3662</v>
      </c>
      <c r="E7" s="500" t="s">
        <v>1114</v>
      </c>
      <c r="F7" s="500" t="s">
        <v>7985</v>
      </c>
      <c r="G7" s="415" t="str">
        <f>'ANALYSE - ERP =&gt; SEGMENT'!$D$16</f>
        <v>Cinémas
Théâtres
Musées
Salles de spectacle / auditoriums
Salles de conférence / réunion
Salles polyvalentes / salles des fêtes
Bibliothèques / médiathèques</v>
      </c>
      <c r="I7" s="427">
        <f t="shared" si="2"/>
        <v>25220.173814321028</v>
      </c>
      <c r="K7" s="787">
        <f t="shared" si="0"/>
        <v>0.81198688189422952</v>
      </c>
      <c r="L7" s="787">
        <f t="shared" si="1"/>
        <v>0.18801311810577048</v>
      </c>
      <c r="N7" s="424">
        <f>'ANALYSE - ERP =&gt; SEGMENT'!$FG$16</f>
        <v>126100.86907160514</v>
      </c>
      <c r="O7" s="427">
        <f>'ANALYSE - ERP =&gt; SEGMENT'!$HL$16</f>
        <v>55225.218781184609</v>
      </c>
      <c r="P7" s="427">
        <f>'ANALYSE - ERP =&gt; SEGMENT'!$HO$16</f>
        <v>47351.551410853848</v>
      </c>
      <c r="Q7" s="427">
        <f>'ANALYSE - ERP =&gt; SEGMENT'!$HR$16</f>
        <v>23524.098879566667</v>
      </c>
      <c r="S7" s="424">
        <f>'ANALYSE - ERP =&gt; SEGMENT'!$FH$16</f>
        <v>102392.25148160514</v>
      </c>
      <c r="T7" s="427">
        <f>'ANALYSE - ERP =&gt; SEGMENT'!$HM$16</f>
        <v>46283.457587884615</v>
      </c>
      <c r="U7" s="427">
        <f>'ANALYSE - ERP =&gt; SEGMENT'!$HP$16</f>
        <v>37095.873856153848</v>
      </c>
      <c r="V7" s="427">
        <f>'ANALYSE - ERP =&gt; SEGMENT'!$HS$16</f>
        <v>19012.920037566666</v>
      </c>
      <c r="X7" s="427">
        <f>'ANALYSE - ERP =&gt; SEGMENT'!$FI$16</f>
        <v>23708.617589999998</v>
      </c>
      <c r="Y7" s="427">
        <f>'ANALYSE - ERP =&gt; SEGMENT'!$HN$16</f>
        <v>8941.7611932999989</v>
      </c>
      <c r="Z7" s="427">
        <f>'ANALYSE - ERP =&gt; SEGMENT'!$HQ$16</f>
        <v>10255.6775547</v>
      </c>
      <c r="AA7" s="427">
        <f>'ANALYSE - ERP =&gt; SEGMENT'!$HT$16</f>
        <v>4511.1788420000003</v>
      </c>
      <c r="AC7" s="430">
        <f>'ANALYSE - ERP =&gt; SEGMENT'!$Q$16</f>
        <v>1</v>
      </c>
    </row>
    <row r="8" spans="1:29" ht="15" customHeight="1">
      <c r="A8" s="26">
        <v>5</v>
      </c>
      <c r="B8" s="26">
        <v>6</v>
      </c>
      <c r="C8" s="26">
        <v>4</v>
      </c>
      <c r="D8" s="501" t="s">
        <v>2264</v>
      </c>
      <c r="E8" s="502" t="s">
        <v>4024</v>
      </c>
      <c r="F8" s="502" t="s">
        <v>679</v>
      </c>
      <c r="G8" s="414" t="str">
        <f>'ANALYSE - ERP =&gt; SEGMENT'!$D$22</f>
        <v>Bureaux (&gt;50 personnes, tertiaire privé + logistique hors usines)</v>
      </c>
      <c r="I8" s="427">
        <f t="shared" si="2"/>
        <v>27839.633851428567</v>
      </c>
      <c r="K8" s="787">
        <f t="shared" si="0"/>
        <v>0.84980836952403238</v>
      </c>
      <c r="L8" s="787">
        <f t="shared" si="1"/>
        <v>0.15019163047596767</v>
      </c>
      <c r="N8" s="424">
        <f>'ANALYSE - ERP =&gt; SEGMENT'!$FG$22</f>
        <v>139198.16925714284</v>
      </c>
      <c r="O8" s="427">
        <f>'ANALYSE - ERP =&gt; SEGMENT'!$HL$22</f>
        <v>70781.483200000002</v>
      </c>
      <c r="P8" s="427">
        <f>'ANALYSE - ERP =&gt; SEGMENT'!$HO$22</f>
        <v>38248.809657142854</v>
      </c>
      <c r="Q8" s="427">
        <f>'ANALYSE - ERP =&gt; SEGMENT'!$HR$22</f>
        <v>30167.876400000001</v>
      </c>
      <c r="S8" s="424">
        <f>'ANALYSE - ERP =&gt; SEGMENT'!$FH$22</f>
        <v>118291.76925714285</v>
      </c>
      <c r="T8" s="427">
        <f>'ANALYSE - ERP =&gt; SEGMENT'!$HM$22</f>
        <v>60537.347200000004</v>
      </c>
      <c r="U8" s="427">
        <f>'ANALYSE - ERP =&gt; SEGMENT'!$HP$22</f>
        <v>31349.697657142853</v>
      </c>
      <c r="V8" s="427">
        <f>'ANALYSE - ERP =&gt; SEGMENT'!$HS$22</f>
        <v>26404.724399999999</v>
      </c>
      <c r="X8" s="427">
        <f>'ANALYSE - ERP =&gt; SEGMENT'!$FI$22</f>
        <v>20906.400000000001</v>
      </c>
      <c r="Y8" s="427">
        <f>'ANALYSE - ERP =&gt; SEGMENT'!$HN$22</f>
        <v>10244.136</v>
      </c>
      <c r="Z8" s="427">
        <f>'ANALYSE - ERP =&gt; SEGMENT'!$HQ$22</f>
        <v>6899.112000000001</v>
      </c>
      <c r="AA8" s="427">
        <f>'ANALYSE - ERP =&gt; SEGMENT'!$HT$22</f>
        <v>3763.152</v>
      </c>
      <c r="AC8" s="430">
        <f>'ANALYSE - ERP =&gt; SEGMENT'!$Q$22</f>
        <v>1</v>
      </c>
    </row>
    <row r="9" spans="1:29" ht="15" customHeight="1">
      <c r="A9" s="26">
        <v>6</v>
      </c>
      <c r="B9" s="26">
        <v>5</v>
      </c>
      <c r="C9" s="26">
        <v>9</v>
      </c>
      <c r="D9" s="503" t="s">
        <v>2278</v>
      </c>
      <c r="E9" s="504" t="s">
        <v>1527</v>
      </c>
      <c r="F9" s="504" t="s">
        <v>7987</v>
      </c>
      <c r="G9" s="408" t="str">
        <f>'ANALYSE - ERP =&gt; SEGMENT'!$D$27</f>
        <v>Mairies / hôtels de ville
Préfectures / services administratifs
Maisons France Services
Guichets publics</v>
      </c>
      <c r="I9" s="427">
        <f t="shared" si="2"/>
        <v>10944.781507398277</v>
      </c>
      <c r="K9" s="787">
        <f t="shared" si="0"/>
        <v>0.86612814161620511</v>
      </c>
      <c r="L9" s="787">
        <f t="shared" si="1"/>
        <v>0.13387185838379492</v>
      </c>
      <c r="N9" s="424">
        <f>'ANALYSE - ERP =&gt; SEGMENT'!$FG$27</f>
        <v>54723.907536991384</v>
      </c>
      <c r="O9" s="427">
        <f>'ANALYSE - ERP =&gt; SEGMENT'!$HL$27</f>
        <v>25580.409448238097</v>
      </c>
      <c r="P9" s="427">
        <f>'ANALYSE - ERP =&gt; SEGMENT'!$HO$27</f>
        <v>17639.243778203298</v>
      </c>
      <c r="Q9" s="427">
        <f>'ANALYSE - ERP =&gt; SEGMENT'!$HR$27</f>
        <v>11504.254310549999</v>
      </c>
      <c r="S9" s="424">
        <f>'ANALYSE - ERP =&gt; SEGMENT'!$FH$27</f>
        <v>47397.916336991388</v>
      </c>
      <c r="T9" s="427">
        <f>'ANALYSE - ERP =&gt; SEGMENT'!$HM$27</f>
        <v>22417.3838282381</v>
      </c>
      <c r="U9" s="427">
        <f>'ANALYSE - ERP =&gt; SEGMENT'!$HP$27</f>
        <v>14998.775326203298</v>
      </c>
      <c r="V9" s="427">
        <f>'ANALYSE - ERP =&gt; SEGMENT'!$HS$27</f>
        <v>9981.7571825499999</v>
      </c>
      <c r="X9" s="427">
        <f>'ANALYSE - ERP =&gt; SEGMENT'!$FI$27</f>
        <v>7325.9911999999986</v>
      </c>
      <c r="Y9" s="427">
        <f>'ANALYSE - ERP =&gt; SEGMENT'!$HN$27</f>
        <v>3163.0256199999994</v>
      </c>
      <c r="Z9" s="427">
        <f>'ANALYSE - ERP =&gt; SEGMENT'!$HQ$27</f>
        <v>2640.4684519999996</v>
      </c>
      <c r="AA9" s="427">
        <f>'ANALYSE - ERP =&gt; SEGMENT'!$HT$27</f>
        <v>1522.4971279999997</v>
      </c>
      <c r="AC9" s="430">
        <f>'ANALYSE - ERP =&gt; SEGMENT'!$Q$27</f>
        <v>1</v>
      </c>
    </row>
    <row r="10" spans="1:29" ht="15" customHeight="1">
      <c r="A10" s="26">
        <v>7</v>
      </c>
      <c r="B10" s="26">
        <v>7</v>
      </c>
      <c r="C10" s="26">
        <v>7</v>
      </c>
      <c r="D10" s="495" t="s">
        <v>1670</v>
      </c>
      <c r="E10" s="496" t="s">
        <v>1671</v>
      </c>
      <c r="F10" s="496" t="s">
        <v>7983</v>
      </c>
      <c r="G10" s="411" t="str">
        <f>'ANALYSE - ERP =&gt; SEGMENT'!$D$30</f>
        <v>Gymnases / salles multisports
Piscines couvertes
Salles de fitness / dojos
Patinoires couvertes
Établissements thermaux
Centres de thalassothérapie / balnéothérapie / grands spas ouverts au public</v>
      </c>
      <c r="I10" s="427">
        <f t="shared" si="2"/>
        <v>27284.434754800004</v>
      </c>
      <c r="K10" s="787">
        <f t="shared" si="0"/>
        <v>0.791231636235458</v>
      </c>
      <c r="L10" s="787">
        <f t="shared" si="1"/>
        <v>0.20876836376454197</v>
      </c>
      <c r="N10" s="424">
        <f>'ANALYSE - ERP =&gt; SEGMENT'!$FG$30</f>
        <v>136422.17377400002</v>
      </c>
      <c r="O10" s="427">
        <f>'ANALYSE - ERP =&gt; SEGMENT'!$HL$30</f>
        <v>47346.850017777782</v>
      </c>
      <c r="P10" s="427">
        <f>'ANALYSE - ERP =&gt; SEGMENT'!$HO$30</f>
        <v>66648.637296000015</v>
      </c>
      <c r="Q10" s="427">
        <f>'ANALYSE - ERP =&gt; SEGMENT'!$HR$30</f>
        <v>22426.686460222223</v>
      </c>
      <c r="S10" s="424">
        <f>'ANALYSE - ERP =&gt; SEGMENT'!$FH$30</f>
        <v>107941.53977400002</v>
      </c>
      <c r="T10" s="427">
        <f>'ANALYSE - ERP =&gt; SEGMENT'!$HM$30</f>
        <v>40741.400117777783</v>
      </c>
      <c r="U10" s="427">
        <f>'ANALYSE - ERP =&gt; SEGMENT'!$HP$30</f>
        <v>50456.882976000008</v>
      </c>
      <c r="V10" s="427">
        <f>'ANALYSE - ERP =&gt; SEGMENT'!$HS$30</f>
        <v>16743.256680222221</v>
      </c>
      <c r="X10" s="427">
        <f>'ANALYSE - ERP =&gt; SEGMENT'!$FI$30</f>
        <v>28480.633999999995</v>
      </c>
      <c r="Y10" s="427">
        <f>'ANALYSE - ERP =&gt; SEGMENT'!$HN$30</f>
        <v>6605.4499000000005</v>
      </c>
      <c r="Z10" s="427">
        <f>'ANALYSE - ERP =&gt; SEGMENT'!$HQ$30</f>
        <v>16191.75432</v>
      </c>
      <c r="AA10" s="427">
        <f>'ANALYSE - ERP =&gt; SEGMENT'!$HT$30</f>
        <v>5683.4297800000013</v>
      </c>
      <c r="AC10" s="430">
        <f>'ANALYSE - ERP =&gt; SEGMENT'!$Q$30</f>
        <v>1</v>
      </c>
    </row>
    <row r="11" spans="1:29" s="45" customFormat="1" ht="15" customHeight="1">
      <c r="A11" s="26">
        <v>8</v>
      </c>
      <c r="B11" s="26">
        <v>8</v>
      </c>
      <c r="C11" s="26">
        <v>6</v>
      </c>
      <c r="D11" s="495" t="s">
        <v>1670</v>
      </c>
      <c r="E11" s="496" t="s">
        <v>1747</v>
      </c>
      <c r="F11" s="496" t="s">
        <v>7986</v>
      </c>
      <c r="G11" s="410" t="str">
        <f>'ANALYSE - ERP =&gt; SEGMENT'!$D$31</f>
        <v>Grands stades avec tribunes
(Type football/rugby) 
Stades 
(Type athlétisme - Hors scolaire)
Terrains de sport
(Hors scolaire)
Hippodromes
Piscines extérieures 
(Hors campings, hôtels, résidences et établissement avec bassin intérieur)
Bases nautiques / centres nautiques avec vestiaires-douches
Bases de loisirs avec plages, douches et sanitaires</v>
      </c>
      <c r="H11" s="685"/>
      <c r="I11" s="427">
        <f t="shared" si="2"/>
        <v>29749.800971666664</v>
      </c>
      <c r="J11" s="685"/>
      <c r="K11" s="787">
        <f t="shared" si="0"/>
        <v>0.80685602013027213</v>
      </c>
      <c r="L11" s="787">
        <f t="shared" si="1"/>
        <v>0.19314397986972795</v>
      </c>
      <c r="M11" s="685"/>
      <c r="N11" s="424">
        <f>'ANALYSE - ERP =&gt; SEGMENT'!$FG$31</f>
        <v>148749.00485833333</v>
      </c>
      <c r="O11" s="427">
        <f>'ANALYSE - ERP =&gt; SEGMENT'!$HL$31</f>
        <v>34361.368201944446</v>
      </c>
      <c r="P11" s="427">
        <f>'ANALYSE - ERP =&gt; SEGMENT'!$HO$31</f>
        <v>79376.579945666672</v>
      </c>
      <c r="Q11" s="427">
        <f>'ANALYSE - ERP =&gt; SEGMENT'!$HR$31</f>
        <v>35011.056710722223</v>
      </c>
      <c r="R11" s="685"/>
      <c r="S11" s="424">
        <f>'ANALYSE - ERP =&gt; SEGMENT'!$FH$31</f>
        <v>120019.03005833334</v>
      </c>
      <c r="T11" s="427">
        <f>'ANALYSE - ERP =&gt; SEGMENT'!$HM$31</f>
        <v>30239.529691944444</v>
      </c>
      <c r="U11" s="427">
        <f>'ANALYSE - ERP =&gt; SEGMENT'!$HP$31</f>
        <v>62042.72027166668</v>
      </c>
      <c r="V11" s="427">
        <f>'ANALYSE - ERP =&gt; SEGMENT'!$HS$31</f>
        <v>27736.78009472222</v>
      </c>
      <c r="W11" s="685"/>
      <c r="X11" s="427">
        <f>'ANALYSE - ERP =&gt; SEGMENT'!$FI$31</f>
        <v>28729.974799999996</v>
      </c>
      <c r="Y11" s="427">
        <f>'ANALYSE - ERP =&gt; SEGMENT'!$HN$31</f>
        <v>4121.8385100000005</v>
      </c>
      <c r="Z11" s="427">
        <f>'ANALYSE - ERP =&gt; SEGMENT'!$HQ$31</f>
        <v>17333.859674000003</v>
      </c>
      <c r="AA11" s="427">
        <f>'ANALYSE - ERP =&gt; SEGMENT'!$HT$31</f>
        <v>7274.2766160000001</v>
      </c>
      <c r="AB11" s="685"/>
      <c r="AC11" s="430">
        <f>'ANALYSE - ERP =&gt; SEGMENT'!$Q$31</f>
        <v>1</v>
      </c>
    </row>
    <row r="12" spans="1:29" ht="15" customHeight="1">
      <c r="A12" s="26">
        <v>9</v>
      </c>
      <c r="B12" s="26">
        <v>9</v>
      </c>
      <c r="C12" s="26">
        <v>8</v>
      </c>
      <c r="D12" s="493" t="s">
        <v>2241</v>
      </c>
      <c r="E12" s="494" t="s">
        <v>1053</v>
      </c>
      <c r="F12" s="494" t="s">
        <v>7988</v>
      </c>
      <c r="G12" s="408" t="str">
        <f>'ANALYSE - ERP =&gt; SEGMENT'!$D$13</f>
        <v>Hôpitaux universitaires / CHU
Hôpitaux publics 
(Hors CHU, Universitaire, Militaire, Carcéral)
Hôpitaux privés
Cliniques</v>
      </c>
      <c r="I12" s="427">
        <f t="shared" si="2"/>
        <v>24505.782887400001</v>
      </c>
      <c r="K12" s="787">
        <f t="shared" si="0"/>
        <v>0.81259404928616608</v>
      </c>
      <c r="L12" s="787">
        <f t="shared" si="1"/>
        <v>0.18740595071383398</v>
      </c>
      <c r="N12" s="424">
        <f>'ANALYSE - ERP =&gt; SEGMENT'!$FG$13</f>
        <v>122528.914437</v>
      </c>
      <c r="O12" s="427">
        <f>'ANALYSE - ERP =&gt; SEGMENT'!$HL$13</f>
        <v>88918.312226499998</v>
      </c>
      <c r="P12" s="427">
        <f>'ANALYSE - ERP =&gt; SEGMENT'!$HO$13</f>
        <v>22063.569946700001</v>
      </c>
      <c r="Q12" s="427">
        <f>'ANALYSE - ERP =&gt; SEGMENT'!$HR$13</f>
        <v>11547.0322638</v>
      </c>
      <c r="S12" s="424">
        <f>'ANALYSE - ERP =&gt; SEGMENT'!$FH$13</f>
        <v>99566.266736999998</v>
      </c>
      <c r="T12" s="427">
        <f>'ANALYSE - ERP =&gt; SEGMENT'!$HM$13</f>
        <v>72907.828712499992</v>
      </c>
      <c r="U12" s="427">
        <f>'ANALYSE - ERP =&gt; SEGMENT'!$HP$13</f>
        <v>17456.098992499999</v>
      </c>
      <c r="V12" s="427">
        <f>'ANALYSE - ERP =&gt; SEGMENT'!$HS$13</f>
        <v>9202.3390320000017</v>
      </c>
      <c r="X12" s="427">
        <f>'ANALYSE - ERP =&gt; SEGMENT'!$FI$13</f>
        <v>22962.647700000001</v>
      </c>
      <c r="Y12" s="427">
        <f>'ANALYSE - ERP =&gt; SEGMENT'!$HN$13</f>
        <v>16010.483513999996</v>
      </c>
      <c r="Z12" s="427">
        <f>'ANALYSE - ERP =&gt; SEGMENT'!$HQ$13</f>
        <v>4607.4709542000001</v>
      </c>
      <c r="AA12" s="427">
        <f>'ANALYSE - ERP =&gt; SEGMENT'!$HT$13</f>
        <v>2344.6932317999999</v>
      </c>
      <c r="AC12" s="430">
        <f>'ANALYSE - ERP =&gt; SEGMENT'!$Q$13</f>
        <v>1</v>
      </c>
    </row>
    <row r="13" spans="1:29" ht="15" customHeight="1">
      <c r="A13" s="26">
        <v>10</v>
      </c>
      <c r="B13" s="26">
        <v>10</v>
      </c>
      <c r="C13" s="26">
        <v>12</v>
      </c>
      <c r="D13" s="503" t="s">
        <v>2278</v>
      </c>
      <c r="E13" s="504" t="s">
        <v>4578</v>
      </c>
      <c r="F13" s="504" t="s">
        <v>7989</v>
      </c>
      <c r="G13" s="415" t="str">
        <f>'ANALYSE - ERP =&gt; SEGMENT'!$D$28</f>
        <v>Églises, cathédrales, basiliques et chapelles ouvertes au public
Monastères, abbayes et couvents ouverts au public
Temples protestants, évangéliques et salles de culte assimilées
Mosquées et salles de prière musulmanes
Synagogues et oratoires juifs ouverts au public
Temples bouddhistes, hindous et autres lieux de culte non abrahamiques ouverts au public
Salles du Royaume, centres cultuels pluriconfessionnels et lieux de culte polyvalents</v>
      </c>
      <c r="I13" s="427">
        <f t="shared" si="2"/>
        <v>3172.3226747252747</v>
      </c>
      <c r="K13" s="787">
        <f t="shared" si="0"/>
        <v>0.8055171357833486</v>
      </c>
      <c r="L13" s="787">
        <f t="shared" si="1"/>
        <v>0.1944828642166514</v>
      </c>
      <c r="N13" s="424">
        <f>'ANALYSE - ERP =&gt; SEGMENT'!$FG$28</f>
        <v>15861.613373626375</v>
      </c>
      <c r="O13" s="427">
        <f>'ANALYSE - ERP =&gt; SEGMENT'!$HL$28</f>
        <v>5708.7913186813184</v>
      </c>
      <c r="P13" s="427">
        <f>'ANALYSE - ERP =&gt; SEGMENT'!$HO$28</f>
        <v>6512.2947649450543</v>
      </c>
      <c r="Q13" s="427">
        <f>'ANALYSE - ERP =&gt; SEGMENT'!$HR$28</f>
        <v>3640.5272899999995</v>
      </c>
      <c r="S13" s="424">
        <f>'ANALYSE - ERP =&gt; SEGMENT'!$FH$28</f>
        <v>12776.801373626375</v>
      </c>
      <c r="T13" s="427">
        <f>'ANALYSE - ERP =&gt; SEGMENT'!$HM$28</f>
        <v>4766.6803186813195</v>
      </c>
      <c r="U13" s="427">
        <f>'ANALYSE - ERP =&gt; SEGMENT'!$HP$28</f>
        <v>5074.8740549450549</v>
      </c>
      <c r="V13" s="427">
        <f>'ANALYSE - ERP =&gt; SEGMENT'!$HS$28</f>
        <v>2935.2469999999998</v>
      </c>
      <c r="X13" s="427">
        <f>'ANALYSE - ERP =&gt; SEGMENT'!$FI$28</f>
        <v>3084.8119999999999</v>
      </c>
      <c r="Y13" s="427">
        <f>'ANALYSE - ERP =&gt; SEGMENT'!$HN$28</f>
        <v>942.11099999999988</v>
      </c>
      <c r="Z13" s="427">
        <f>'ANALYSE - ERP =&gt; SEGMENT'!$HQ$28</f>
        <v>1437.4207099999999</v>
      </c>
      <c r="AA13" s="427">
        <f>'ANALYSE - ERP =&gt; SEGMENT'!$HT$28</f>
        <v>705.28028999999992</v>
      </c>
      <c r="AC13" s="430">
        <f>'ANALYSE - ERP =&gt; SEGMENT'!$Q$28</f>
        <v>1</v>
      </c>
    </row>
    <row r="14" spans="1:29" ht="15" customHeight="1">
      <c r="A14" s="26">
        <v>11</v>
      </c>
      <c r="B14" s="26">
        <v>12</v>
      </c>
      <c r="C14" s="26">
        <v>13</v>
      </c>
      <c r="D14" s="501" t="s">
        <v>2264</v>
      </c>
      <c r="E14" s="502" t="s">
        <v>7990</v>
      </c>
      <c r="F14" s="502" t="s">
        <v>7991</v>
      </c>
      <c r="G14" s="410" t="str">
        <f>'ANALYSE - ERP =&gt; SEGMENT'!$D$23</f>
        <v>Usines 
(&gt;50 personnes - Hors Ateliers industriels)
Garages / ateliers de réparation automobile recevant du public
Ateliers industriels / de maintenance (&gt;50 personnes)</v>
      </c>
      <c r="I14" s="427">
        <f t="shared" si="2"/>
        <v>17502.907243605783</v>
      </c>
      <c r="K14" s="787">
        <f t="shared" si="0"/>
        <v>0.76688081909988903</v>
      </c>
      <c r="L14" s="787">
        <f t="shared" si="1"/>
        <v>0.23311918090011102</v>
      </c>
      <c r="N14" s="424">
        <f>'ANALYSE - ERP =&gt; SEGMENT'!$FG$23</f>
        <v>87514.536218028908</v>
      </c>
      <c r="O14" s="427">
        <f>'ANALYSE - ERP =&gt; SEGMENT'!$HL$23</f>
        <v>45988.961986493501</v>
      </c>
      <c r="P14" s="427">
        <f>'ANALYSE - ERP =&gt; SEGMENT'!$HO$23</f>
        <v>25927.960720979852</v>
      </c>
      <c r="Q14" s="427">
        <f>'ANALYSE - ERP =&gt; SEGMENT'!$HR$23</f>
        <v>15597.613510555559</v>
      </c>
      <c r="S14" s="424">
        <f>'ANALYSE - ERP =&gt; SEGMENT'!$FH$23</f>
        <v>67113.219218028913</v>
      </c>
      <c r="T14" s="427">
        <f>'ANALYSE - ERP =&gt; SEGMENT'!$HM$23</f>
        <v>35988.755546493499</v>
      </c>
      <c r="U14" s="427">
        <f>'ANALYSE - ERP =&gt; SEGMENT'!$HP$23</f>
        <v>19206.148520979852</v>
      </c>
      <c r="V14" s="427">
        <f>'ANALYSE - ERP =&gt; SEGMENT'!$HS$23</f>
        <v>11918.315150555558</v>
      </c>
      <c r="X14" s="427">
        <f>'ANALYSE - ERP =&gt; SEGMENT'!$FI$23</f>
        <v>20401.316999999999</v>
      </c>
      <c r="Y14" s="427">
        <f>'ANALYSE - ERP =&gt; SEGMENT'!$HN$23</f>
        <v>10000.20644</v>
      </c>
      <c r="Z14" s="427">
        <f>'ANALYSE - ERP =&gt; SEGMENT'!$HQ$23</f>
        <v>6721.8122000000012</v>
      </c>
      <c r="AA14" s="427">
        <f>'ANALYSE - ERP =&gt; SEGMENT'!$HT$23</f>
        <v>3679.2983600000002</v>
      </c>
      <c r="AC14" s="430">
        <f>'ANALYSE - ERP =&gt; SEGMENT'!$Q$23</f>
        <v>1</v>
      </c>
    </row>
    <row r="15" spans="1:29" ht="15" customHeight="1">
      <c r="A15" s="26">
        <v>12</v>
      </c>
      <c r="B15" s="26">
        <v>11</v>
      </c>
      <c r="C15" s="26">
        <v>19</v>
      </c>
      <c r="D15" s="505" t="s">
        <v>7117</v>
      </c>
      <c r="E15" s="506" t="s">
        <v>4268</v>
      </c>
      <c r="F15" s="506" t="s">
        <v>4269</v>
      </c>
      <c r="G15" s="410" t="str">
        <f>'ANALYSE - ERP =&gt; SEGMENT'!$D$26</f>
        <v>Campings
Aires d’accueil des gens du voyage</v>
      </c>
      <c r="I15" s="427">
        <f t="shared" si="2"/>
        <v>10120.493785585082</v>
      </c>
      <c r="K15" s="787">
        <f t="shared" si="0"/>
        <v>0.8674640004314319</v>
      </c>
      <c r="L15" s="787">
        <f t="shared" si="1"/>
        <v>0.13253599956856804</v>
      </c>
      <c r="N15" s="424">
        <f>'ANALYSE - ERP =&gt; SEGMENT'!$FG$26</f>
        <v>50602.468927925409</v>
      </c>
      <c r="O15" s="427">
        <f>'ANALYSE - ERP =&gt; SEGMENT'!$HL$26</f>
        <v>33924.490707132871</v>
      </c>
      <c r="P15" s="427">
        <f>'ANALYSE - ERP =&gt; SEGMENT'!$HO$26</f>
        <v>10664.599930125876</v>
      </c>
      <c r="Q15" s="427">
        <f>'ANALYSE - ERP =&gt; SEGMENT'!$HR$26</f>
        <v>6013.3782906666665</v>
      </c>
      <c r="S15" s="424">
        <f>'ANALYSE - ERP =&gt; SEGMENT'!$FH$26</f>
        <v>43895.820127925406</v>
      </c>
      <c r="T15" s="427">
        <f>'ANALYSE - ERP =&gt; SEGMENT'!$HM$26</f>
        <v>29698.440987132868</v>
      </c>
      <c r="U15" s="427">
        <f>'ANALYSE - ERP =&gt; SEGMENT'!$HP$26</f>
        <v>9069.1923941258756</v>
      </c>
      <c r="V15" s="427">
        <f>'ANALYSE - ERP =&gt; SEGMENT'!$HS$26</f>
        <v>5128.1867466666663</v>
      </c>
      <c r="X15" s="427">
        <f>'ANALYSE - ERP =&gt; SEGMENT'!$FI$26</f>
        <v>6706.6487999999999</v>
      </c>
      <c r="Y15" s="427">
        <f>'ANALYSE - ERP =&gt; SEGMENT'!$HN$26</f>
        <v>4226.04972</v>
      </c>
      <c r="Z15" s="427">
        <f>'ANALYSE - ERP =&gt; SEGMENT'!$HQ$26</f>
        <v>1595.4075360000002</v>
      </c>
      <c r="AA15" s="427">
        <f>'ANALYSE - ERP =&gt; SEGMENT'!$HT$26</f>
        <v>885.19154400000002</v>
      </c>
      <c r="AC15" s="430">
        <f>'ANALYSE - ERP =&gt; SEGMENT'!$Q$26</f>
        <v>1</v>
      </c>
    </row>
    <row r="16" spans="1:29" ht="15" customHeight="1">
      <c r="A16" s="26">
        <v>13</v>
      </c>
      <c r="B16" s="26">
        <v>13</v>
      </c>
      <c r="C16" s="26">
        <v>15</v>
      </c>
      <c r="D16" s="507" t="s">
        <v>2285</v>
      </c>
      <c r="E16" s="508" t="s">
        <v>1793</v>
      </c>
      <c r="F16" s="508" t="s">
        <v>7992</v>
      </c>
      <c r="G16" s="409" t="str">
        <f>'ANALYSE - ERP =&gt; SEGMENT'!$D$32</f>
        <v>Aires de service - Autoroutes
(Hors Aires de repos)
Aires de repos - Autoroutes
(Hors Aires de service)
Aéroports / aérogares
(&gt;1 000 passagers/an)
Gares ferroviaires et stations
Terminaux maritimes / fluviaux
Établissements flottants
Ports de plaisance / capitaineries
Stations / espaces métro équipés de toilettes publiques (minimum observé RATP)</v>
      </c>
      <c r="I16" s="427">
        <f t="shared" si="2"/>
        <v>5067.2540321083334</v>
      </c>
      <c r="K16" s="787">
        <f t="shared" si="0"/>
        <v>0.79888088389837952</v>
      </c>
      <c r="L16" s="787">
        <f t="shared" si="1"/>
        <v>0.20111911610162039</v>
      </c>
      <c r="N16" s="424">
        <f>'ANALYSE - ERP =&gt; SEGMENT'!$FG$32</f>
        <v>25336.270160541666</v>
      </c>
      <c r="O16" s="427">
        <f>'ANALYSE - ERP =&gt; SEGMENT'!$HL$32</f>
        <v>6072.9187841666653</v>
      </c>
      <c r="P16" s="427">
        <f>'ANALYSE - ERP =&gt; SEGMENT'!$HO$32</f>
        <v>11839.580432708335</v>
      </c>
      <c r="Q16" s="427">
        <f>'ANALYSE - ERP =&gt; SEGMENT'!$HR$32</f>
        <v>7423.7709436666682</v>
      </c>
      <c r="S16" s="424">
        <f>'ANALYSE - ERP =&gt; SEGMENT'!$FH$32</f>
        <v>20240.661900541665</v>
      </c>
      <c r="T16" s="427">
        <f>'ANALYSE - ERP =&gt; SEGMENT'!$HM$32</f>
        <v>5331.1145271666664</v>
      </c>
      <c r="U16" s="427">
        <f>'ANALYSE - ERP =&gt; SEGMENT'!$HP$32</f>
        <v>9089.7468417083346</v>
      </c>
      <c r="V16" s="427">
        <f>'ANALYSE - ERP =&gt; SEGMENT'!$HS$32</f>
        <v>5819.8005316666668</v>
      </c>
      <c r="X16" s="427">
        <f>'ANALYSE - ERP =&gt; SEGMENT'!$FI$32</f>
        <v>5095.60826</v>
      </c>
      <c r="Y16" s="427">
        <f>'ANALYSE - ERP =&gt; SEGMENT'!$HN$32</f>
        <v>741.80425700000001</v>
      </c>
      <c r="Z16" s="427">
        <f>'ANALYSE - ERP =&gt; SEGMENT'!$HQ$32</f>
        <v>2749.8335910000001</v>
      </c>
      <c r="AA16" s="427">
        <f>'ANALYSE - ERP =&gt; SEGMENT'!$HT$32</f>
        <v>1603.9704120000001</v>
      </c>
      <c r="AC16" s="430">
        <f>'ANALYSE - ERP =&gt; SEGMENT'!$Q$32</f>
        <v>1</v>
      </c>
    </row>
    <row r="17" spans="1:29" ht="15" customHeight="1">
      <c r="A17" s="26">
        <v>14</v>
      </c>
      <c r="B17" s="26">
        <v>14</v>
      </c>
      <c r="C17" s="26">
        <v>16</v>
      </c>
      <c r="D17" s="491" t="s">
        <v>2187</v>
      </c>
      <c r="E17" s="492" t="s">
        <v>1372</v>
      </c>
      <c r="F17" s="492" t="s">
        <v>7993</v>
      </c>
      <c r="G17" s="416" t="str">
        <f>'ANALYSE - ERP =&gt; SEGMENT'!$D$21</f>
        <v>Centres commerciaux / malls
Marchés couverts</v>
      </c>
      <c r="I17" s="427">
        <f t="shared" si="2"/>
        <v>8406.4729526583342</v>
      </c>
      <c r="K17" s="787">
        <f t="shared" si="0"/>
        <v>0.8462593566554798</v>
      </c>
      <c r="L17" s="787">
        <f t="shared" si="1"/>
        <v>0.15374064334452014</v>
      </c>
      <c r="N17" s="424">
        <f>'ANALYSE - ERP =&gt; SEGMENT'!$FG$21</f>
        <v>42032.364763291669</v>
      </c>
      <c r="O17" s="427">
        <f>'ANALYSE - ERP =&gt; SEGMENT'!$HL$21</f>
        <v>18789.203887083331</v>
      </c>
      <c r="P17" s="427">
        <f>'ANALYSE - ERP =&gt; SEGMENT'!$HO$21</f>
        <v>14035.559338333333</v>
      </c>
      <c r="Q17" s="427">
        <f>'ANALYSE - ERP =&gt; SEGMENT'!$HR$21</f>
        <v>9207.6015378749998</v>
      </c>
      <c r="S17" s="424">
        <f>'ANALYSE - ERP =&gt; SEGMENT'!$FH$21</f>
        <v>35570.281963291665</v>
      </c>
      <c r="T17" s="427">
        <f>'ANALYSE - ERP =&gt; SEGMENT'!$HM$21</f>
        <v>16070.003371083334</v>
      </c>
      <c r="U17" s="427">
        <f>'ANALYSE - ERP =&gt; SEGMENT'!$HP$21</f>
        <v>11528.484358333331</v>
      </c>
      <c r="V17" s="427">
        <f>'ANALYSE - ERP =&gt; SEGMENT'!$HS$21</f>
        <v>7971.7942338749999</v>
      </c>
      <c r="X17" s="427">
        <f>'ANALYSE - ERP =&gt; SEGMENT'!$FI$21</f>
        <v>6462.0828000000001</v>
      </c>
      <c r="Y17" s="427">
        <f>'ANALYSE - ERP =&gt; SEGMENT'!$HN$21</f>
        <v>2719.2005159999999</v>
      </c>
      <c r="Z17" s="427">
        <f>'ANALYSE - ERP =&gt; SEGMENT'!$HQ$21</f>
        <v>2507.0749800000003</v>
      </c>
      <c r="AA17" s="427">
        <f>'ANALYSE - ERP =&gt; SEGMENT'!$HT$21</f>
        <v>1235.8073039999999</v>
      </c>
      <c r="AC17" s="430">
        <f>'ANALYSE - ERP =&gt; SEGMENT'!$Q$21</f>
        <v>1</v>
      </c>
    </row>
    <row r="18" spans="1:29" ht="15" customHeight="1">
      <c r="A18" s="26">
        <v>15</v>
      </c>
      <c r="B18" s="26">
        <v>16</v>
      </c>
      <c r="C18" s="26">
        <v>10</v>
      </c>
      <c r="D18" s="497" t="s">
        <v>6739</v>
      </c>
      <c r="E18" s="498" t="s">
        <v>2104</v>
      </c>
      <c r="F18" s="498" t="s">
        <v>671</v>
      </c>
      <c r="G18" s="412" t="str">
        <f>'ANALYSE - ERP =&gt; SEGMENT'!$D$8</f>
        <v>Crèches</v>
      </c>
      <c r="I18" s="427">
        <f t="shared" si="2"/>
        <v>5823.63629184</v>
      </c>
      <c r="K18" s="787">
        <f t="shared" si="0"/>
        <v>0.80962730424057539</v>
      </c>
      <c r="L18" s="787">
        <f t="shared" si="1"/>
        <v>0.19037269575942461</v>
      </c>
      <c r="N18" s="424">
        <f>'ANALYSE - ERP =&gt; SEGMENT'!$FG$8</f>
        <v>29118.181459200001</v>
      </c>
      <c r="O18" s="427">
        <f>'ANALYSE - ERP =&gt; SEGMENT'!$HL$8</f>
        <v>24473.288905320002</v>
      </c>
      <c r="P18" s="427">
        <f>'ANALYSE - ERP =&gt; SEGMENT'!$HO$8</f>
        <v>4534.0264198799996</v>
      </c>
      <c r="Q18" s="427">
        <f>'ANALYSE - ERP =&gt; SEGMENT'!$HR$8</f>
        <v>110.86613400000002</v>
      </c>
      <c r="S18" s="424">
        <f>'ANALYSE - ERP =&gt; SEGMENT'!$FH$8</f>
        <v>23574.8747592</v>
      </c>
      <c r="T18" s="427">
        <f>'ANALYSE - ERP =&gt; SEGMENT'!$HM$8</f>
        <v>20038.643545319999</v>
      </c>
      <c r="U18" s="427">
        <f>'ANALYSE - ERP =&gt; SEGMENT'!$HP$8</f>
        <v>3536.2312138799998</v>
      </c>
      <c r="V18" s="427">
        <f>'ANALYSE - ERP =&gt; SEGMENT'!$HS$8</f>
        <v>0</v>
      </c>
      <c r="X18" s="427">
        <f>'ANALYSE - ERP =&gt; SEGMENT'!$FI$8</f>
        <v>5543.3067000000001</v>
      </c>
      <c r="Y18" s="427">
        <f>'ANALYSE - ERP =&gt; SEGMENT'!$HN$8</f>
        <v>4434.6453599999995</v>
      </c>
      <c r="Z18" s="427">
        <f>'ANALYSE - ERP =&gt; SEGMENT'!$HQ$8</f>
        <v>997.79520600000001</v>
      </c>
      <c r="AA18" s="427">
        <f>'ANALYSE - ERP =&gt; SEGMENT'!$HT$8</f>
        <v>110.86613400000002</v>
      </c>
      <c r="AC18" s="430">
        <f>'ANALYSE - ERP =&gt; SEGMENT'!$Q$8</f>
        <v>1</v>
      </c>
    </row>
    <row r="19" spans="1:29" ht="15" customHeight="1">
      <c r="A19" s="26">
        <v>16</v>
      </c>
      <c r="B19" s="26">
        <v>15</v>
      </c>
      <c r="C19" s="26">
        <v>18</v>
      </c>
      <c r="D19" s="505" t="s">
        <v>7117</v>
      </c>
      <c r="E19" s="506" t="s">
        <v>1455</v>
      </c>
      <c r="F19" s="506" t="s">
        <v>7994</v>
      </c>
      <c r="G19" s="409" t="str">
        <f>'ANALYSE - ERP =&gt; SEGMENT'!$D$24</f>
        <v>Hôtels
Pensions de famille
Résidences de tourisme
Auberges de jeunesse
Villages de vacances / clubs vacances / centres de vacances familiaux</v>
      </c>
      <c r="I19" s="427">
        <f t="shared" si="2"/>
        <v>6287.7684850574988</v>
      </c>
      <c r="K19" s="787">
        <f t="shared" si="0"/>
        <v>0.82540327453071594</v>
      </c>
      <c r="L19" s="787">
        <f t="shared" si="1"/>
        <v>0.17459672546928401</v>
      </c>
      <c r="N19" s="424">
        <f>'ANALYSE - ERP =&gt; SEGMENT'!$FG$24</f>
        <v>31438.842425287494</v>
      </c>
      <c r="O19" s="427">
        <f>'ANALYSE - ERP =&gt; SEGMENT'!$HL$24</f>
        <v>18387.882302615384</v>
      </c>
      <c r="P19" s="427">
        <f>'ANALYSE - ERP =&gt; SEGMENT'!$HO$24</f>
        <v>10892.711573583216</v>
      </c>
      <c r="Q19" s="427">
        <f>'ANALYSE - ERP =&gt; SEGMENT'!$HR$24</f>
        <v>2158.2485490888889</v>
      </c>
      <c r="S19" s="424">
        <f>'ANALYSE - ERP =&gt; SEGMENT'!$FH$24</f>
        <v>25949.723485287494</v>
      </c>
      <c r="T19" s="427">
        <f>'ANALYSE - ERP =&gt; SEGMENT'!$HM$24</f>
        <v>15342.459994615385</v>
      </c>
      <c r="U19" s="427">
        <f>'ANALYSE - ERP =&gt; SEGMENT'!$HP$24</f>
        <v>8835.013726783216</v>
      </c>
      <c r="V19" s="427">
        <f>'ANALYSE - ERP =&gt; SEGMENT'!$HS$24</f>
        <v>1772.249763888889</v>
      </c>
      <c r="X19" s="427">
        <f>'ANALYSE - ERP =&gt; SEGMENT'!$FI$24</f>
        <v>5489.1189399999994</v>
      </c>
      <c r="Y19" s="427">
        <f>'ANALYSE - ERP =&gt; SEGMENT'!$HN$24</f>
        <v>3045.4223079999997</v>
      </c>
      <c r="Z19" s="427">
        <f>'ANALYSE - ERP =&gt; SEGMENT'!$HQ$24</f>
        <v>2057.6978468000002</v>
      </c>
      <c r="AA19" s="427">
        <f>'ANALYSE - ERP =&gt; SEGMENT'!$HT$24</f>
        <v>385.99878519999999</v>
      </c>
      <c r="AC19" s="430">
        <f>'ANALYSE - ERP =&gt; SEGMENT'!$Q$24</f>
        <v>1</v>
      </c>
    </row>
    <row r="20" spans="1:29" ht="15" customHeight="1">
      <c r="A20" s="26">
        <v>17</v>
      </c>
      <c r="B20" s="26">
        <v>17</v>
      </c>
      <c r="C20" s="26">
        <v>17</v>
      </c>
      <c r="D20" s="497" t="s">
        <v>6739</v>
      </c>
      <c r="E20" s="498" t="s">
        <v>991</v>
      </c>
      <c r="F20" s="498" t="s">
        <v>7995</v>
      </c>
      <c r="G20" s="411" t="str">
        <f>'ANALYSE - ERP =&gt; SEGMENT'!$D$11</f>
        <v>Centres de loisirs sans hébergement
Centres de vacances / colonies</v>
      </c>
      <c r="I20" s="427">
        <f t="shared" si="2"/>
        <v>0</v>
      </c>
      <c r="K20" s="787" t="str">
        <f t="shared" si="0"/>
        <v/>
      </c>
      <c r="L20" s="787" t="str">
        <f t="shared" si="1"/>
        <v/>
      </c>
      <c r="N20" s="424">
        <f>'ANALYSE - ERP =&gt; SEGMENT'!$FG$11</f>
        <v>0</v>
      </c>
      <c r="O20" s="427">
        <f>'ANALYSE - ERP =&gt; SEGMENT'!$HL$11</f>
        <v>0</v>
      </c>
      <c r="P20" s="427">
        <f>'ANALYSE - ERP =&gt; SEGMENT'!$HO$11</f>
        <v>0</v>
      </c>
      <c r="Q20" s="427">
        <f>'ANALYSE - ERP =&gt; SEGMENT'!$HR$11</f>
        <v>0</v>
      </c>
      <c r="S20" s="424">
        <f>'ANALYSE - ERP =&gt; SEGMENT'!$FH$11</f>
        <v>0</v>
      </c>
      <c r="T20" s="427">
        <f>'ANALYSE - ERP =&gt; SEGMENT'!$HM$11</f>
        <v>0</v>
      </c>
      <c r="U20" s="427">
        <f>'ANALYSE - ERP =&gt; SEGMENT'!$HP$11</f>
        <v>0</v>
      </c>
      <c r="V20" s="427">
        <f>'ANALYSE - ERP =&gt; SEGMENT'!$HS$11</f>
        <v>0</v>
      </c>
      <c r="X20" s="427">
        <f>'ANALYSE - ERP =&gt; SEGMENT'!$FI$11</f>
        <v>0</v>
      </c>
      <c r="Y20" s="427">
        <f>'ANALYSE - ERP =&gt; SEGMENT'!$HN$11</f>
        <v>0</v>
      </c>
      <c r="Z20" s="427">
        <f>'ANALYSE - ERP =&gt; SEGMENT'!$HQ$11</f>
        <v>0</v>
      </c>
      <c r="AA20" s="427">
        <f>'ANALYSE - ERP =&gt; SEGMENT'!$HT$11</f>
        <v>0</v>
      </c>
      <c r="AC20" s="430">
        <f>'ANALYSE - ERP =&gt; SEGMENT'!$Q$11</f>
        <v>0</v>
      </c>
    </row>
    <row r="21" spans="1:29" ht="15" customHeight="1">
      <c r="A21" s="26">
        <v>18</v>
      </c>
      <c r="B21" s="26">
        <v>19</v>
      </c>
      <c r="C21" s="26">
        <v>11</v>
      </c>
      <c r="D21" s="497" t="s">
        <v>6739</v>
      </c>
      <c r="E21" s="498" t="s">
        <v>2091</v>
      </c>
      <c r="F21" s="498" t="s">
        <v>2836</v>
      </c>
      <c r="G21" s="411" t="str">
        <f>'ANALYSE - ERP =&gt; SEGMENT'!$D$12</f>
        <v>Centres de formation / CFA</v>
      </c>
      <c r="I21" s="427">
        <f t="shared" si="2"/>
        <v>5650.9475162971421</v>
      </c>
      <c r="K21" s="787">
        <f t="shared" si="0"/>
        <v>0.57084821032118027</v>
      </c>
      <c r="L21" s="787">
        <f t="shared" si="1"/>
        <v>0.42915178967881967</v>
      </c>
      <c r="N21" s="424">
        <f>'ANALYSE - ERP =&gt; SEGMENT'!$FG$12</f>
        <v>28254.737581485711</v>
      </c>
      <c r="O21" s="427">
        <f>'ANALYSE - ERP =&gt; SEGMENT'!$HL$12</f>
        <v>12978.902424314287</v>
      </c>
      <c r="P21" s="427">
        <f>'ANALYSE - ERP =&gt; SEGMENT'!$HO$12</f>
        <v>12971.250008811428</v>
      </c>
      <c r="Q21" s="427">
        <f>'ANALYSE - ERP =&gt; SEGMENT'!$HR$12</f>
        <v>2304.5851483599999</v>
      </c>
      <c r="S21" s="424">
        <f>'ANALYSE - ERP =&gt; SEGMENT'!$FH$12</f>
        <v>16129.166381485713</v>
      </c>
      <c r="T21" s="427">
        <f>'ANALYSE - ERP =&gt; SEGMENT'!$HM$12</f>
        <v>8109.0879443142858</v>
      </c>
      <c r="U21" s="427">
        <f>'ANALYSE - ERP =&gt; SEGMENT'!$HP$12</f>
        <v>6956.0304088114281</v>
      </c>
      <c r="V21" s="427">
        <f>'ANALYSE - ERP =&gt; SEGMENT'!$HS$12</f>
        <v>1064.04802836</v>
      </c>
      <c r="X21" s="427">
        <f>'ANALYSE - ERP =&gt; SEGMENT'!$FI$12</f>
        <v>12125.571199999998</v>
      </c>
      <c r="Y21" s="427">
        <f>'ANALYSE - ERP =&gt; SEGMENT'!$HN$12</f>
        <v>4869.81448</v>
      </c>
      <c r="Z21" s="427">
        <f>'ANALYSE - ERP =&gt; SEGMENT'!$HQ$12</f>
        <v>6015.2195999999994</v>
      </c>
      <c r="AA21" s="427">
        <f>'ANALYSE - ERP =&gt; SEGMENT'!$HT$12</f>
        <v>1240.53712</v>
      </c>
      <c r="AC21" s="430">
        <f>'ANALYSE - ERP =&gt; SEGMENT'!$Q$12</f>
        <v>1</v>
      </c>
    </row>
    <row r="22" spans="1:29" ht="15" customHeight="1">
      <c r="A22" s="26">
        <v>19</v>
      </c>
      <c r="B22" s="26">
        <v>18</v>
      </c>
      <c r="C22" s="26">
        <v>20</v>
      </c>
      <c r="D22" s="509" t="s">
        <v>4908</v>
      </c>
      <c r="E22" s="510" t="s">
        <v>88</v>
      </c>
      <c r="F22" s="510" t="s">
        <v>7996</v>
      </c>
      <c r="G22" s="410" t="str">
        <f>'ANALYSE - ERP =&gt; SEGMENT'!$D$36</f>
        <v>Maisons d’arrêt
Centres de détention
Maisons centrales
Centres pénitentiaires
Centres de semi-liberté
Centres éducatifs fermés
Centres pour peines aménagées
(absorbés par autres centres carcéraux)
Unités hospitalières sécurisées</v>
      </c>
      <c r="I22" s="427">
        <f t="shared" si="2"/>
        <v>3909.2411983636366</v>
      </c>
      <c r="K22" s="787">
        <f t="shared" si="0"/>
        <v>0.70608463287428969</v>
      </c>
      <c r="L22" s="787">
        <f t="shared" si="1"/>
        <v>0.29391536712571031</v>
      </c>
      <c r="N22" s="424">
        <f>'ANALYSE - ERP =&gt; SEGMENT'!$FG$36</f>
        <v>19546.205991818184</v>
      </c>
      <c r="O22" s="427">
        <f>'ANALYSE - ERP =&gt; SEGMENT'!$HL$36</f>
        <v>9421.8307055000005</v>
      </c>
      <c r="P22" s="427">
        <f>'ANALYSE - ERP =&gt; SEGMENT'!$HO$36</f>
        <v>8986.7644677181815</v>
      </c>
      <c r="Q22" s="427">
        <f>'ANALYSE - ERP =&gt; SEGMENT'!$HR$36</f>
        <v>1137.6108185999999</v>
      </c>
      <c r="S22" s="424">
        <f>'ANALYSE - ERP =&gt; SEGMENT'!$FH$36</f>
        <v>13801.275681818184</v>
      </c>
      <c r="T22" s="427">
        <f>'ANALYSE - ERP =&gt; SEGMENT'!$HM$36</f>
        <v>6984.067500000001</v>
      </c>
      <c r="U22" s="427">
        <f>'ANALYSE - ERP =&gt; SEGMENT'!$HP$36</f>
        <v>6024.2931818181823</v>
      </c>
      <c r="V22" s="427">
        <f>'ANALYSE - ERP =&gt; SEGMENT'!$HS$36</f>
        <v>792.91500000000008</v>
      </c>
      <c r="X22" s="427">
        <f>'ANALYSE - ERP =&gt; SEGMENT'!$FI$36</f>
        <v>5744.9303099999997</v>
      </c>
      <c r="Y22" s="427">
        <f>'ANALYSE - ERP =&gt; SEGMENT'!$HN$36</f>
        <v>2437.7632054999999</v>
      </c>
      <c r="Z22" s="427">
        <f>'ANALYSE - ERP =&gt; SEGMENT'!$HQ$36</f>
        <v>2962.4712859000001</v>
      </c>
      <c r="AA22" s="427">
        <f>'ANALYSE - ERP =&gt; SEGMENT'!$HT$36</f>
        <v>344.6958186</v>
      </c>
      <c r="AC22" s="430">
        <f>'ANALYSE - ERP =&gt; SEGMENT'!$Q$36</f>
        <v>1</v>
      </c>
    </row>
    <row r="23" spans="1:29" ht="15" customHeight="1">
      <c r="A23" s="26">
        <v>20</v>
      </c>
      <c r="B23" s="26">
        <v>24</v>
      </c>
      <c r="C23" s="26">
        <v>14</v>
      </c>
      <c r="D23" s="493" t="s">
        <v>2241</v>
      </c>
      <c r="E23" s="494" t="s">
        <v>2242</v>
      </c>
      <c r="F23" s="494" t="s">
        <v>7998</v>
      </c>
      <c r="G23" s="410" t="str">
        <f>'ANALYSE - ERP =&gt; SEGMENT'!$D$15</f>
        <v>Centres de santé / centres médicaux
Maisons de santé</v>
      </c>
      <c r="I23" s="427">
        <f t="shared" si="2"/>
        <v>2723.5646141230768</v>
      </c>
      <c r="K23" s="787">
        <f t="shared" si="0"/>
        <v>0.3895597529139917</v>
      </c>
      <c r="L23" s="787">
        <f t="shared" si="1"/>
        <v>0.61044024708600841</v>
      </c>
      <c r="N23" s="424">
        <f>'ANALYSE - ERP =&gt; SEGMENT'!$FG$15</f>
        <v>13617.823070615384</v>
      </c>
      <c r="O23" s="427">
        <f>'ANALYSE - ERP =&gt; SEGMENT'!$HL$15</f>
        <v>7402.5161816538475</v>
      </c>
      <c r="P23" s="427">
        <f>'ANALYSE - ERP =&gt; SEGMENT'!$HO$15</f>
        <v>2894.4076105615381</v>
      </c>
      <c r="Q23" s="427">
        <f>'ANALYSE - ERP =&gt; SEGMENT'!$HR$15</f>
        <v>3320.8992783999997</v>
      </c>
      <c r="S23" s="424">
        <f>'ANALYSE - ERP =&gt; SEGMENT'!$FH$15</f>
        <v>5304.955790615385</v>
      </c>
      <c r="T23" s="427">
        <f>'ANALYSE - ERP =&gt; SEGMENT'!$HM$15</f>
        <v>2856.2223776538458</v>
      </c>
      <c r="U23" s="427">
        <f>'ANALYSE - ERP =&gt; SEGMENT'!$HP$15</f>
        <v>1019.1670489615385</v>
      </c>
      <c r="V23" s="427">
        <f>'ANALYSE - ERP =&gt; SEGMENT'!$HS$15</f>
        <v>1429.566364</v>
      </c>
      <c r="X23" s="427">
        <f>'ANALYSE - ERP =&gt; SEGMENT'!$FI$15</f>
        <v>8312.8672800000004</v>
      </c>
      <c r="Y23" s="427">
        <f>'ANALYSE - ERP =&gt; SEGMENT'!$HN$15</f>
        <v>4546.2938040000008</v>
      </c>
      <c r="Z23" s="427">
        <f>'ANALYSE - ERP =&gt; SEGMENT'!$HQ$15</f>
        <v>1875.2405616000003</v>
      </c>
      <c r="AA23" s="427">
        <f>'ANALYSE - ERP =&gt; SEGMENT'!$HT$15</f>
        <v>1891.3329144000002</v>
      </c>
      <c r="AC23" s="430">
        <f>'ANALYSE - ERP =&gt; SEGMENT'!$Q$15</f>
        <v>1</v>
      </c>
    </row>
    <row r="24" spans="1:29" ht="15" customHeight="1">
      <c r="A24" s="26">
        <v>21</v>
      </c>
      <c r="B24" s="26">
        <v>21</v>
      </c>
      <c r="C24" s="26">
        <v>21</v>
      </c>
      <c r="D24" s="499" t="s">
        <v>3662</v>
      </c>
      <c r="E24" s="500" t="s">
        <v>1337</v>
      </c>
      <c r="F24" s="500" t="s">
        <v>7997</v>
      </c>
      <c r="G24" s="411" t="str">
        <f>'ANALYSE - ERP =&gt; SEGMENT'!$D$18</f>
        <v>Chapiteaux / tentes / structures
Structures gonflables</v>
      </c>
      <c r="I24" s="427">
        <f t="shared" si="2"/>
        <v>310.12880987412586</v>
      </c>
      <c r="K24" s="787">
        <f t="shared" si="0"/>
        <v>0.68849588646985005</v>
      </c>
      <c r="L24" s="787">
        <f t="shared" si="1"/>
        <v>0.31150411353014995</v>
      </c>
      <c r="N24" s="424">
        <f>'ANALYSE - ERP =&gt; SEGMENT'!$FG$18</f>
        <v>1550.6440493706293</v>
      </c>
      <c r="O24" s="427">
        <f>'ANALYSE - ERP =&gt; SEGMENT'!$HL$18</f>
        <v>805.75791335664348</v>
      </c>
      <c r="P24" s="427">
        <f>'ANALYSE - ERP =&gt; SEGMENT'!$HO$18</f>
        <v>501.84830601398596</v>
      </c>
      <c r="Q24" s="427">
        <f>'ANALYSE - ERP =&gt; SEGMENT'!$HR$18</f>
        <v>243.03783000000004</v>
      </c>
      <c r="S24" s="424">
        <f>'ANALYSE - ERP =&gt; SEGMENT'!$FH$18</f>
        <v>1067.6120493706294</v>
      </c>
      <c r="T24" s="427">
        <f>'ANALYSE - ERP =&gt; SEGMENT'!$HM$18</f>
        <v>591.53007335664347</v>
      </c>
      <c r="U24" s="427">
        <f>'ANALYSE - ERP =&gt; SEGMENT'!$HP$18</f>
        <v>317.443346013986</v>
      </c>
      <c r="V24" s="427">
        <f>'ANALYSE - ERP =&gt; SEGMENT'!$HS$18</f>
        <v>158.63863000000001</v>
      </c>
      <c r="X24" s="427">
        <f>'ANALYSE - ERP =&gt; SEGMENT'!$FI$18</f>
        <v>483.03199999999998</v>
      </c>
      <c r="Y24" s="427">
        <f>'ANALYSE - ERP =&gt; SEGMENT'!$HN$18</f>
        <v>214.22783999999996</v>
      </c>
      <c r="Z24" s="427">
        <f>'ANALYSE - ERP =&gt; SEGMENT'!$HQ$18</f>
        <v>184.40495999999999</v>
      </c>
      <c r="AA24" s="427">
        <f>'ANALYSE - ERP =&gt; SEGMENT'!$HT$18</f>
        <v>84.399199999999993</v>
      </c>
      <c r="AC24" s="430">
        <f>'ANALYSE - ERP =&gt; SEGMENT'!$Q$18</f>
        <v>1</v>
      </c>
    </row>
    <row r="25" spans="1:29" ht="15" customHeight="1">
      <c r="A25" s="26">
        <v>22</v>
      </c>
      <c r="B25" s="26">
        <v>20</v>
      </c>
      <c r="C25" s="26">
        <v>23</v>
      </c>
      <c r="D25" s="503" t="s">
        <v>2278</v>
      </c>
      <c r="E25" s="504" t="s">
        <v>1576</v>
      </c>
      <c r="F25" s="504" t="s">
        <v>1577</v>
      </c>
      <c r="G25" s="408" t="str">
        <f>'ANALYSE - ERP =&gt; SEGMENT'!$D$29</f>
        <v>Locaux associatifs recevant du public</v>
      </c>
      <c r="I25" s="427">
        <f t="shared" si="2"/>
        <v>1023.624638357143</v>
      </c>
      <c r="K25" s="787">
        <f t="shared" si="0"/>
        <v>0.75988620165056531</v>
      </c>
      <c r="L25" s="787">
        <f t="shared" si="1"/>
        <v>0.24011379834943467</v>
      </c>
      <c r="N25" s="424">
        <f>'ANALYSE - ERP =&gt; SEGMENT'!$FG$29</f>
        <v>5118.1231917857149</v>
      </c>
      <c r="O25" s="427">
        <f>'ANALYSE - ERP =&gt; SEGMENT'!$HL$29</f>
        <v>2548.5282257142858</v>
      </c>
      <c r="P25" s="427">
        <f>'ANALYSE - ERP =&gt; SEGMENT'!$HO$29</f>
        <v>1480.6003885714288</v>
      </c>
      <c r="Q25" s="427">
        <f>'ANALYSE - ERP =&gt; SEGMENT'!$HR$29</f>
        <v>1088.9945775000001</v>
      </c>
      <c r="S25" s="424">
        <f>'ANALYSE - ERP =&gt; SEGMENT'!$FH$29</f>
        <v>3889.1911917857146</v>
      </c>
      <c r="T25" s="427">
        <f>'ANALYSE - ERP =&gt; SEGMENT'!$HM$29</f>
        <v>1970.9301857142859</v>
      </c>
      <c r="U25" s="427">
        <f>'ANALYSE - ERP =&gt; SEGMENT'!$HP$29</f>
        <v>1075.0528285714288</v>
      </c>
      <c r="V25" s="427">
        <f>'ANALYSE - ERP =&gt; SEGMENT'!$HS$29</f>
        <v>843.20817750000003</v>
      </c>
      <c r="X25" s="427">
        <f>'ANALYSE - ERP =&gt; SEGMENT'!$FI$29</f>
        <v>1228.932</v>
      </c>
      <c r="Y25" s="427">
        <f>'ANALYSE - ERP =&gt; SEGMENT'!$HN$29</f>
        <v>577.59803999999997</v>
      </c>
      <c r="Z25" s="427">
        <f>'ANALYSE - ERP =&gt; SEGMENT'!$HQ$29</f>
        <v>405.54756000000003</v>
      </c>
      <c r="AA25" s="427">
        <f>'ANALYSE - ERP =&gt; SEGMENT'!$HT$29</f>
        <v>245.78640000000001</v>
      </c>
      <c r="AC25" s="430">
        <f>'ANALYSE - ERP =&gt; SEGMENT'!$Q$29</f>
        <v>1</v>
      </c>
    </row>
    <row r="26" spans="1:29" ht="15" customHeight="1">
      <c r="A26" s="26">
        <v>23</v>
      </c>
      <c r="B26" s="26">
        <v>22</v>
      </c>
      <c r="C26" s="26">
        <v>24</v>
      </c>
      <c r="D26" s="491" t="s">
        <v>2187</v>
      </c>
      <c r="E26" s="492" t="s">
        <v>1435</v>
      </c>
      <c r="F26" s="492" t="s">
        <v>7999</v>
      </c>
      <c r="G26" s="413" t="str">
        <f>'ANALYSE - ERP =&gt; SEGMENT'!$D$20</f>
        <v>Salles de jeux / bowlings / billards
Discothèques / salles de danse
Casinos</v>
      </c>
      <c r="I26" s="427">
        <f t="shared" si="2"/>
        <v>4219.8291259999996</v>
      </c>
      <c r="K26" s="787">
        <f t="shared" si="0"/>
        <v>0.87478636593495096</v>
      </c>
      <c r="L26" s="787">
        <f t="shared" si="1"/>
        <v>0.12521363406504912</v>
      </c>
      <c r="N26" s="424">
        <f>'ANALYSE - ERP =&gt; SEGMENT'!$FG$20</f>
        <v>21099.145629999999</v>
      </c>
      <c r="O26" s="427">
        <f>'ANALYSE - ERP =&gt; SEGMENT'!$HL$20</f>
        <v>4989.6923150000002</v>
      </c>
      <c r="P26" s="427">
        <f>'ANALYSE - ERP =&gt; SEGMENT'!$HO$20</f>
        <v>11084.997636</v>
      </c>
      <c r="Q26" s="427">
        <f>'ANALYSE - ERP =&gt; SEGMENT'!$HR$20</f>
        <v>5024.4556789999997</v>
      </c>
      <c r="S26" s="424">
        <f>'ANALYSE - ERP =&gt; SEGMENT'!$FH$20</f>
        <v>18457.244930000001</v>
      </c>
      <c r="T26" s="427">
        <f>'ANALYSE - ERP =&gt; SEGMENT'!$HM$20</f>
        <v>4593.4072100000003</v>
      </c>
      <c r="U26" s="427">
        <f>'ANALYSE - ERP =&gt; SEGMENT'!$HP$20</f>
        <v>9552.6952300000012</v>
      </c>
      <c r="V26" s="427">
        <f>'ANALYSE - ERP =&gt; SEGMENT'!$HS$20</f>
        <v>4311.1424900000002</v>
      </c>
      <c r="X26" s="427">
        <f>'ANALYSE - ERP =&gt; SEGMENT'!$FI$20</f>
        <v>2641.9007000000001</v>
      </c>
      <c r="Y26" s="427">
        <f>'ANALYSE - ERP =&gt; SEGMENT'!$HN$20</f>
        <v>396.28510499999999</v>
      </c>
      <c r="Z26" s="427">
        <f>'ANALYSE - ERP =&gt; SEGMENT'!$HQ$20</f>
        <v>1532.3024059999998</v>
      </c>
      <c r="AA26" s="427">
        <f>'ANALYSE - ERP =&gt; SEGMENT'!$HT$20</f>
        <v>713.31318900000008</v>
      </c>
      <c r="AC26" s="430">
        <f>'ANALYSE - ERP =&gt; SEGMENT'!$Q$20</f>
        <v>1</v>
      </c>
    </row>
    <row r="27" spans="1:29" ht="15" customHeight="1">
      <c r="A27" s="26">
        <v>24</v>
      </c>
      <c r="B27" s="26">
        <v>25</v>
      </c>
      <c r="C27" s="26">
        <v>22</v>
      </c>
      <c r="D27" s="497" t="s">
        <v>6739</v>
      </c>
      <c r="E27" s="498" t="s">
        <v>1014</v>
      </c>
      <c r="F27" s="498" t="s">
        <v>8000</v>
      </c>
      <c r="G27" s="411" t="str">
        <f>'ANALYSE - ERP =&gt; SEGMENT'!$D$10</f>
        <v>Universités
Grandes écoles
Résidences étudiantes et dortoirs</v>
      </c>
      <c r="I27" s="427">
        <f t="shared" si="2"/>
        <v>1628.8588903351999</v>
      </c>
      <c r="K27" s="787">
        <f t="shared" si="0"/>
        <v>0.62168226992751485</v>
      </c>
      <c r="L27" s="787">
        <f t="shared" si="1"/>
        <v>0.37831773007248526</v>
      </c>
      <c r="N27" s="424">
        <f>'ANALYSE - ERP =&gt; SEGMENT'!$FG$10</f>
        <v>8144.2944516759999</v>
      </c>
      <c r="O27" s="427">
        <f>'ANALYSE - ERP =&gt; SEGMENT'!$HL$10</f>
        <v>3486.5586230056001</v>
      </c>
      <c r="P27" s="427">
        <f>'ANALYSE - ERP =&gt; SEGMENT'!$HO$10</f>
        <v>3593.5779468865999</v>
      </c>
      <c r="Q27" s="427">
        <f>'ANALYSE - ERP =&gt; SEGMENT'!$HR$10</f>
        <v>1064.1578817837999</v>
      </c>
      <c r="S27" s="424">
        <f>'ANALYSE - ERP =&gt; SEGMENT'!$FH$10</f>
        <v>5063.1634616760002</v>
      </c>
      <c r="T27" s="427">
        <f>'ANALYSE - ERP =&gt; SEGMENT'!$HM$10</f>
        <v>2276.6162785055999</v>
      </c>
      <c r="U27" s="427">
        <f>'ANALYSE - ERP =&gt; SEGMENT'!$HP$10</f>
        <v>2228.8762906866</v>
      </c>
      <c r="V27" s="427">
        <f>'ANALYSE - ERP =&gt; SEGMENT'!$HS$10</f>
        <v>557.6708924838</v>
      </c>
      <c r="X27" s="427">
        <f>'ANALYSE - ERP =&gt; SEGMENT'!$FI$10</f>
        <v>3081.1309900000001</v>
      </c>
      <c r="Y27" s="427">
        <f>'ANALYSE - ERP =&gt; SEGMENT'!$HN$10</f>
        <v>1209.9423445000002</v>
      </c>
      <c r="Z27" s="427">
        <f>'ANALYSE - ERP =&gt; SEGMENT'!$HQ$10</f>
        <v>1364.7016562000001</v>
      </c>
      <c r="AA27" s="427">
        <f>'ANALYSE - ERP =&gt; SEGMENT'!$HT$10</f>
        <v>506.48698930000006</v>
      </c>
      <c r="AC27" s="430">
        <f>'ANALYSE - ERP =&gt; SEGMENT'!$Q$10</f>
        <v>1</v>
      </c>
    </row>
    <row r="28" spans="1:29" ht="15" customHeight="1">
      <c r="A28" s="26">
        <v>25</v>
      </c>
      <c r="B28" s="26">
        <v>23</v>
      </c>
      <c r="C28" s="26">
        <v>25</v>
      </c>
      <c r="D28" s="501" t="s">
        <v>2163</v>
      </c>
      <c r="E28" s="502" t="s">
        <v>2163</v>
      </c>
      <c r="F28" s="502" t="s">
        <v>2164</v>
      </c>
      <c r="G28" s="409" t="str">
        <f>'ANALYSE - ERP =&gt; SEGMENT'!$D$38</f>
        <v>Toilettes publiques (sur la voie publique)
Bains-douches municipaux / douches publiques fixes
Blocs sanitaires de plage / front de mer</v>
      </c>
      <c r="I28" s="427">
        <f t="shared" si="2"/>
        <v>1627.4045421428571</v>
      </c>
      <c r="K28" s="787">
        <f t="shared" si="0"/>
        <v>0.80090243598966349</v>
      </c>
      <c r="L28" s="787">
        <f t="shared" si="1"/>
        <v>0.1990975640103366</v>
      </c>
      <c r="N28" s="424">
        <f>'ANALYSE - ERP =&gt; SEGMENT'!$FG$38</f>
        <v>8137.0227107142855</v>
      </c>
      <c r="O28" s="427">
        <f>'ANALYSE - ERP =&gt; SEGMENT'!$HL$38</f>
        <v>776.44177999999988</v>
      </c>
      <c r="P28" s="427">
        <f>'ANALYSE - ERP =&gt; SEGMENT'!$HO$38</f>
        <v>4746.8944089999995</v>
      </c>
      <c r="Q28" s="427">
        <f>'ANALYSE - ERP =&gt; SEGMENT'!$HR$38</f>
        <v>2613.6865217142858</v>
      </c>
      <c r="S28" s="424">
        <f>'ANALYSE - ERP =&gt; SEGMENT'!$FH$38</f>
        <v>6516.9613107142859</v>
      </c>
      <c r="T28" s="427">
        <f>'ANALYSE - ERP =&gt; SEGMENT'!$HM$38</f>
        <v>691.67949999999985</v>
      </c>
      <c r="U28" s="427">
        <f>'ANALYSE - ERP =&gt; SEGMENT'!$HP$38</f>
        <v>3696.110025</v>
      </c>
      <c r="V28" s="427">
        <f>'ANALYSE - ERP =&gt; SEGMENT'!$HS$38</f>
        <v>2129.1717857142858</v>
      </c>
      <c r="X28" s="427">
        <f>'ANALYSE - ERP =&gt; SEGMENT'!$FI$38</f>
        <v>1620.0614</v>
      </c>
      <c r="Y28" s="427">
        <f>'ANALYSE - ERP =&gt; SEGMENT'!$HN$38</f>
        <v>84.762280000000004</v>
      </c>
      <c r="Z28" s="427">
        <f>'ANALYSE - ERP =&gt; SEGMENT'!$HQ$38</f>
        <v>1050.784384</v>
      </c>
      <c r="AA28" s="427">
        <f>'ANALYSE - ERP =&gt; SEGMENT'!$HT$38</f>
        <v>484.51473600000003</v>
      </c>
      <c r="AC28" s="430">
        <f>'ANALYSE - ERP =&gt; SEGMENT'!$Q$38</f>
        <v>1</v>
      </c>
    </row>
    <row r="29" spans="1:29" ht="15" customHeight="1">
      <c r="A29" s="26">
        <v>26</v>
      </c>
      <c r="B29" s="26">
        <v>26</v>
      </c>
      <c r="C29" s="26">
        <v>26</v>
      </c>
      <c r="D29" s="499" t="s">
        <v>3662</v>
      </c>
      <c r="E29" s="500" t="s">
        <v>1240</v>
      </c>
      <c r="F29" s="500" t="s">
        <v>8001</v>
      </c>
      <c r="G29" s="414" t="str">
        <f>'ANALYSE - ERP =&gt; SEGMENT'!$D$17</f>
        <v>Foires / salons
Halls d’exposition</v>
      </c>
      <c r="I29" s="427">
        <f t="shared" si="2"/>
        <v>1204.5446650282051</v>
      </c>
      <c r="K29" s="787">
        <f t="shared" si="0"/>
        <v>0.79666201917529988</v>
      </c>
      <c r="L29" s="787">
        <f t="shared" si="1"/>
        <v>0.20333798082470014</v>
      </c>
      <c r="N29" s="424">
        <f>'ANALYSE - ERP =&gt; SEGMENT'!$FG$17</f>
        <v>6022.7233251410262</v>
      </c>
      <c r="O29" s="427">
        <f>'ANALYSE - ERP =&gt; SEGMENT'!$HL$17</f>
        <v>1413.1115388333335</v>
      </c>
      <c r="P29" s="427">
        <f>'ANALYSE - ERP =&gt; SEGMENT'!$HO$17</f>
        <v>3141.364490307692</v>
      </c>
      <c r="Q29" s="427">
        <f>'ANALYSE - ERP =&gt; SEGMENT'!$HR$17</f>
        <v>1468.247296</v>
      </c>
      <c r="S29" s="424">
        <f>'ANALYSE - ERP =&gt; SEGMENT'!$FH$17</f>
        <v>4798.0749251410261</v>
      </c>
      <c r="T29" s="427">
        <f>'ANALYSE - ERP =&gt; SEGMENT'!$HM$17</f>
        <v>1204.9213108333333</v>
      </c>
      <c r="U29" s="427">
        <f>'ANALYSE - ERP =&gt; SEGMENT'!$HP$17</f>
        <v>2431.0684183076924</v>
      </c>
      <c r="V29" s="427">
        <f>'ANALYSE - ERP =&gt; SEGMENT'!$HS$17</f>
        <v>1162.085196</v>
      </c>
      <c r="X29" s="427">
        <f>'ANALYSE - ERP =&gt; SEGMENT'!$FI$17</f>
        <v>1224.6484000000003</v>
      </c>
      <c r="Y29" s="427">
        <f>'ANALYSE - ERP =&gt; SEGMENT'!$HN$17</f>
        <v>208.19022800000005</v>
      </c>
      <c r="Z29" s="427">
        <f>'ANALYSE - ERP =&gt; SEGMENT'!$HQ$17</f>
        <v>710.29607200000009</v>
      </c>
      <c r="AA29" s="427">
        <f>'ANALYSE - ERP =&gt; SEGMENT'!$HT$17</f>
        <v>306.16210000000007</v>
      </c>
      <c r="AC29" s="430">
        <f>'ANALYSE - ERP =&gt; SEGMENT'!$Q$17</f>
        <v>1</v>
      </c>
    </row>
    <row r="30" spans="1:29" ht="15" customHeight="1">
      <c r="A30" s="26">
        <v>27</v>
      </c>
      <c r="B30" s="26">
        <v>27</v>
      </c>
      <c r="C30" s="26">
        <v>27</v>
      </c>
      <c r="D30" s="507" t="s">
        <v>2285</v>
      </c>
      <c r="E30" s="508" t="s">
        <v>7336</v>
      </c>
      <c r="F30" s="508" t="s">
        <v>7337</v>
      </c>
      <c r="G30" s="411" t="str">
        <f>'ANALYSE - ERP =&gt; SEGMENT'!$D$33</f>
        <v>Parcs de stationnement couverts</v>
      </c>
      <c r="I30" s="427">
        <f t="shared" si="2"/>
        <v>0</v>
      </c>
      <c r="K30" s="787" t="str">
        <f t="shared" si="0"/>
        <v/>
      </c>
      <c r="L30" s="787" t="str">
        <f t="shared" si="1"/>
        <v/>
      </c>
      <c r="N30" s="424">
        <f>'ANALYSE - ERP =&gt; SEGMENT'!$FG$33</f>
        <v>0</v>
      </c>
      <c r="O30" s="427">
        <f>'ANALYSE - ERP =&gt; SEGMENT'!$HL$33</f>
        <v>0</v>
      </c>
      <c r="P30" s="427">
        <f>'ANALYSE - ERP =&gt; SEGMENT'!$HO$33</f>
        <v>0</v>
      </c>
      <c r="Q30" s="427">
        <f>'ANALYSE - ERP =&gt; SEGMENT'!$HR$33</f>
        <v>0</v>
      </c>
      <c r="S30" s="424">
        <f>'ANALYSE - ERP =&gt; SEGMENT'!$FH$33</f>
        <v>0</v>
      </c>
      <c r="T30" s="427">
        <f>'ANALYSE - ERP =&gt; SEGMENT'!$HM$33</f>
        <v>0</v>
      </c>
      <c r="U30" s="427">
        <f>'ANALYSE - ERP =&gt; SEGMENT'!$HP$33</f>
        <v>0</v>
      </c>
      <c r="V30" s="427">
        <f>'ANALYSE - ERP =&gt; SEGMENT'!$HS$33</f>
        <v>0</v>
      </c>
      <c r="X30" s="427">
        <f>'ANALYSE - ERP =&gt; SEGMENT'!$FI$33</f>
        <v>0</v>
      </c>
      <c r="Y30" s="427">
        <f>'ANALYSE - ERP =&gt; SEGMENT'!$HN$33</f>
        <v>0</v>
      </c>
      <c r="Z30" s="427">
        <f>'ANALYSE - ERP =&gt; SEGMENT'!$HQ$33</f>
        <v>0</v>
      </c>
      <c r="AA30" s="427">
        <f>'ANALYSE - ERP =&gt; SEGMENT'!$HT$33</f>
        <v>0</v>
      </c>
      <c r="AC30" s="430">
        <f>'ANALYSE - ERP =&gt; SEGMENT'!$Q$33</f>
        <v>0</v>
      </c>
    </row>
    <row r="31" spans="1:29" ht="15" customHeight="1">
      <c r="A31" s="26">
        <v>28</v>
      </c>
      <c r="B31" s="26">
        <v>29</v>
      </c>
      <c r="C31" s="26">
        <v>28</v>
      </c>
      <c r="D31" s="509" t="s">
        <v>4908</v>
      </c>
      <c r="E31" s="510" t="s">
        <v>1985</v>
      </c>
      <c r="F31" s="510" t="s">
        <v>8002</v>
      </c>
      <c r="G31" s="409" t="str">
        <f>'ANALYSE - ERP =&gt; SEGMENT'!$D$35</f>
        <v>Unités d'hébergement des militaires &amp; réservistes
Centres de recrutement et bureaux d’information
Restaurants ou équipements sportifs ouverts au public sur emprise militaire
Hôpitaux d’instruction des armées et centres médicaux recevant du public
Salles de conférence, auditoriums et espaces événementiels ouverts au public</v>
      </c>
      <c r="I31" s="427">
        <f t="shared" si="2"/>
        <v>599.91071473333329</v>
      </c>
      <c r="K31" s="787">
        <f t="shared" si="0"/>
        <v>0.76567239666241438</v>
      </c>
      <c r="L31" s="787">
        <f t="shared" si="1"/>
        <v>0.23432760333758559</v>
      </c>
      <c r="N31" s="424">
        <f>'ANALYSE - ERP =&gt; SEGMENT'!$FG$35</f>
        <v>2999.5535736666666</v>
      </c>
      <c r="O31" s="427">
        <f>'ANALYSE - ERP =&gt; SEGMENT'!$HL$35</f>
        <v>1289.7649550000001</v>
      </c>
      <c r="P31" s="427">
        <f>'ANALYSE - ERP =&gt; SEGMENT'!$HO$35</f>
        <v>1336.8603780000001</v>
      </c>
      <c r="Q31" s="427">
        <f>'ANALYSE - ERP =&gt; SEGMENT'!$HR$35</f>
        <v>372.92824066666668</v>
      </c>
      <c r="S31" s="424">
        <f>'ANALYSE - ERP =&gt; SEGMENT'!$FH$35</f>
        <v>2296.6753736666665</v>
      </c>
      <c r="T31" s="427">
        <f>'ANALYSE - ERP =&gt; SEGMENT'!$HM$35</f>
        <v>1025.1854249999999</v>
      </c>
      <c r="U31" s="427">
        <f>'ANALYSE - ERP =&gt; SEGMENT'!$HP$35</f>
        <v>974.81068200000004</v>
      </c>
      <c r="V31" s="427">
        <f>'ANALYSE - ERP =&gt; SEGMENT'!$HS$35</f>
        <v>296.67926666666665</v>
      </c>
      <c r="X31" s="427">
        <f>'ANALYSE - ERP =&gt; SEGMENT'!$FI$35</f>
        <v>702.87819999999999</v>
      </c>
      <c r="Y31" s="427">
        <f>'ANALYSE - ERP =&gt; SEGMENT'!$HN$35</f>
        <v>264.57953000000003</v>
      </c>
      <c r="Z31" s="427">
        <f>'ANALYSE - ERP =&gt; SEGMENT'!$HQ$35</f>
        <v>362.04969599999998</v>
      </c>
      <c r="AA31" s="427">
        <f>'ANALYSE - ERP =&gt; SEGMENT'!$HT$35</f>
        <v>76.248974000000004</v>
      </c>
      <c r="AC31" s="430">
        <f>'ANALYSE - ERP =&gt; SEGMENT'!$Q$35</f>
        <v>1</v>
      </c>
    </row>
    <row r="32" spans="1:29" ht="15" customHeight="1">
      <c r="A32" s="26">
        <v>29</v>
      </c>
      <c r="B32" s="26">
        <v>28</v>
      </c>
      <c r="C32" s="26">
        <v>29</v>
      </c>
      <c r="D32" s="509" t="s">
        <v>4908</v>
      </c>
      <c r="E32" s="510" t="s">
        <v>2027</v>
      </c>
      <c r="F32" s="510" t="s">
        <v>8003</v>
      </c>
      <c r="G32" s="412" t="str">
        <f>'ANALYSE - ERP =&gt; SEGMENT'!$D$37</f>
        <v>Palais de justice et bâtiments judiciaires multi-usages
Maisons de justice et du droit
Tribunaux de commerce autonomes
Conseils de prud’hommes autonomes
Autres bâtiments judiciaires autonomes recevant du public</v>
      </c>
      <c r="I32" s="427">
        <f t="shared" si="2"/>
        <v>565.94565733205127</v>
      </c>
      <c r="K32" s="787">
        <f t="shared" si="0"/>
        <v>0.85470759792091588</v>
      </c>
      <c r="L32" s="787">
        <f t="shared" si="1"/>
        <v>0.1452924020790842</v>
      </c>
      <c r="N32" s="424">
        <f>'ANALYSE - ERP =&gt; SEGMENT'!$FG$37</f>
        <v>2829.7282866602563</v>
      </c>
      <c r="O32" s="427">
        <f>'ANALYSE - ERP =&gt; SEGMENT'!$HL$37</f>
        <v>1263.1405514833334</v>
      </c>
      <c r="P32" s="427">
        <f>'ANALYSE - ERP =&gt; SEGMENT'!$HO$37</f>
        <v>811.9019046769231</v>
      </c>
      <c r="Q32" s="427">
        <f>'ANALYSE - ERP =&gt; SEGMENT'!$HR$37</f>
        <v>754.68583049999995</v>
      </c>
      <c r="S32" s="424">
        <f>'ANALYSE - ERP =&gt; SEGMENT'!$FH$37</f>
        <v>2418.5902666602565</v>
      </c>
      <c r="T32" s="427">
        <f>'ANALYSE - ERP =&gt; SEGMENT'!$HM$37</f>
        <v>1105.3651060833333</v>
      </c>
      <c r="U32" s="427">
        <f>'ANALYSE - ERP =&gt; SEGMENT'!$HP$37</f>
        <v>673.14364307692301</v>
      </c>
      <c r="V32" s="427">
        <f>'ANALYSE - ERP =&gt; SEGMENT'!$HS$37</f>
        <v>640.0815174999999</v>
      </c>
      <c r="X32" s="427">
        <f>'ANALYSE - ERP =&gt; SEGMENT'!$FI$37</f>
        <v>411.13801999999998</v>
      </c>
      <c r="Y32" s="427">
        <f>'ANALYSE - ERP =&gt; SEGMENT'!$HN$37</f>
        <v>157.77544539999997</v>
      </c>
      <c r="Z32" s="427">
        <f>'ANALYSE - ERP =&gt; SEGMENT'!$HQ$37</f>
        <v>138.7582616</v>
      </c>
      <c r="AA32" s="427">
        <f>'ANALYSE - ERP =&gt; SEGMENT'!$HT$37</f>
        <v>114.60431299999999</v>
      </c>
      <c r="AC32" s="430">
        <f>'ANALYSE - ERP =&gt; SEGMENT'!$Q$37</f>
        <v>1</v>
      </c>
    </row>
    <row r="33" spans="1:29" ht="15" customHeight="1">
      <c r="A33" s="26">
        <v>30</v>
      </c>
      <c r="B33" s="26">
        <v>30</v>
      </c>
      <c r="C33" s="26">
        <v>30</v>
      </c>
      <c r="D33" s="509" t="s">
        <v>4908</v>
      </c>
      <c r="E33" s="510" t="s">
        <v>1950</v>
      </c>
      <c r="F33" s="510" t="s">
        <v>8005</v>
      </c>
      <c r="G33" s="411" t="str">
        <f>'ANALYSE - ERP =&gt; SEGMENT'!$D$34</f>
        <v>Locaux de sûreté, garde à vue et zones opérationnelles
Postes de proximité et antennes avec accueil public
Salles de réunion, de prévention ou de conférence ouvertes au public</v>
      </c>
      <c r="I33" s="427">
        <f t="shared" si="2"/>
        <v>220.07191820444442</v>
      </c>
      <c r="K33" s="787">
        <f t="shared" si="0"/>
        <v>0.85816578391886067</v>
      </c>
      <c r="L33" s="787">
        <f t="shared" si="1"/>
        <v>0.14183421608113936</v>
      </c>
      <c r="N33" s="424">
        <f>'ANALYSE - ERP =&gt; SEGMENT'!$FG$34</f>
        <v>1100.359591022222</v>
      </c>
      <c r="O33" s="427">
        <f>'ANALYSE - ERP =&gt; SEGMENT'!$HL$34</f>
        <v>416.41430879999996</v>
      </c>
      <c r="P33" s="427">
        <f>'ANALYSE - ERP =&gt; SEGMENT'!$HO$34</f>
        <v>548.93635953333342</v>
      </c>
      <c r="Q33" s="427">
        <f>'ANALYSE - ERP =&gt; SEGMENT'!$HR$34</f>
        <v>135.0089226888889</v>
      </c>
      <c r="S33" s="424">
        <f>'ANALYSE - ERP =&gt; SEGMENT'!$FH$34</f>
        <v>944.29095102222209</v>
      </c>
      <c r="T33" s="427">
        <f>'ANALYSE - ERP =&gt; SEGMENT'!$HM$34</f>
        <v>368.15227679999998</v>
      </c>
      <c r="U33" s="427">
        <f>'ANALYSE - ERP =&gt; SEGMENT'!$HP$34</f>
        <v>460.21834833333338</v>
      </c>
      <c r="V33" s="427">
        <f>'ANALYSE - ERP =&gt; SEGMENT'!$HS$34</f>
        <v>115.9203258888889</v>
      </c>
      <c r="X33" s="427">
        <f>'ANALYSE - ERP =&gt; SEGMENT'!$FI$34</f>
        <v>156.06863999999999</v>
      </c>
      <c r="Y33" s="427">
        <f>'ANALYSE - ERP =&gt; SEGMENT'!$HN$34</f>
        <v>48.262031999999998</v>
      </c>
      <c r="Z33" s="427">
        <f>'ANALYSE - ERP =&gt; SEGMENT'!$HQ$34</f>
        <v>88.718011199999992</v>
      </c>
      <c r="AA33" s="427">
        <f>'ANALYSE - ERP =&gt; SEGMENT'!$HT$34</f>
        <v>19.088596799999998</v>
      </c>
      <c r="AC33" s="430">
        <f>'ANALYSE - ERP =&gt; SEGMENT'!$Q$34</f>
        <v>1</v>
      </c>
    </row>
    <row r="34" spans="1:29" ht="15" customHeight="1">
      <c r="A34" s="26">
        <v>31</v>
      </c>
      <c r="B34" s="26">
        <v>31</v>
      </c>
      <c r="C34" s="26">
        <v>31</v>
      </c>
      <c r="D34" s="505" t="s">
        <v>7117</v>
      </c>
      <c r="E34" s="506" t="s">
        <v>1487</v>
      </c>
      <c r="F34" s="506" t="s">
        <v>8004</v>
      </c>
      <c r="G34" s="409" t="str">
        <f>'ANALYSE - ERP =&gt; SEGMENT'!$D$25</f>
        <v>Hôtels-restaurants d’altitude
Refuges de montagne</v>
      </c>
      <c r="I34" s="427">
        <f t="shared" si="2"/>
        <v>278.87992678787873</v>
      </c>
      <c r="K34" s="787">
        <f t="shared" si="0"/>
        <v>0.80145720547999444</v>
      </c>
      <c r="L34" s="787">
        <f t="shared" si="1"/>
        <v>0.19854279452000556</v>
      </c>
      <c r="N34" s="424">
        <f>'ANALYSE - ERP =&gt; SEGMENT'!$FG$25</f>
        <v>1394.3996339393937</v>
      </c>
      <c r="O34" s="427">
        <f>'ANALYSE - ERP =&gt; SEGMENT'!$HL$25</f>
        <v>928.4316727272726</v>
      </c>
      <c r="P34" s="427">
        <f>'ANALYSE - ERP =&gt; SEGMENT'!$HO$25</f>
        <v>323.5586945454545</v>
      </c>
      <c r="Q34" s="427">
        <f>'ANALYSE - ERP =&gt; SEGMENT'!$HR$25</f>
        <v>142.40926666666664</v>
      </c>
      <c r="S34" s="424">
        <f>'ANALYSE - ERP =&gt; SEGMENT'!$FH$25</f>
        <v>1117.5516339393937</v>
      </c>
      <c r="T34" s="427">
        <f>'ANALYSE - ERP =&gt; SEGMENT'!$HM$25</f>
        <v>753.26607272727256</v>
      </c>
      <c r="U34" s="427">
        <f>'ANALYSE - ERP =&gt; SEGMENT'!$HP$25</f>
        <v>253.33813454545447</v>
      </c>
      <c r="V34" s="427">
        <f>'ANALYSE - ERP =&gt; SEGMENT'!$HS$25</f>
        <v>110.94742666666664</v>
      </c>
      <c r="X34" s="427">
        <f>'ANALYSE - ERP =&gt; SEGMENT'!$FI$25</f>
        <v>276.84800000000001</v>
      </c>
      <c r="Y34" s="427">
        <f>'ANALYSE - ERP =&gt; SEGMENT'!$HN$25</f>
        <v>175.16559999999998</v>
      </c>
      <c r="Z34" s="427">
        <f>'ANALYSE - ERP =&gt; SEGMENT'!$HQ$25</f>
        <v>70.220560000000006</v>
      </c>
      <c r="AA34" s="427">
        <f>'ANALYSE - ERP =&gt; SEGMENT'!$HT$25</f>
        <v>31.461840000000002</v>
      </c>
      <c r="AC34" s="430">
        <f>'ANALYSE - ERP =&gt; SEGMENT'!$Q$25</f>
        <v>1</v>
      </c>
    </row>
  </sheetData>
  <pageMargins left="3.937007874015748E-2" right="3.937007874015748E-2" top="7.874015748031496E-2" bottom="7.874015748031496E-2" header="0.11811023622047249" footer="0.11811023622047249"/>
  <pageSetup paperSize="8" scale="74" fitToHeight="2"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5"/>
    <pageSetUpPr fitToPage="1"/>
  </sheetPr>
  <dimension ref="A1:BZ34"/>
  <sheetViews>
    <sheetView zoomScale="85" zoomScaleNormal="85" workbookViewId="0">
      <selection activeCell="F29" sqref="F29"/>
    </sheetView>
  </sheetViews>
  <sheetFormatPr baseColWidth="10" defaultColWidth="9.140625" defaultRowHeight="15"/>
  <cols>
    <col min="1" max="1" width="7.42578125" style="934" customWidth="1"/>
    <col min="2" max="2" width="7.28515625" style="934" customWidth="1"/>
    <col min="3" max="3" width="6" style="934" customWidth="1"/>
    <col min="4" max="4" width="30.5703125" style="934" customWidth="1"/>
    <col min="5" max="5" width="27.7109375" style="43" customWidth="1"/>
    <col min="6" max="6" width="51.7109375" style="43" customWidth="1"/>
    <col min="7" max="7" width="1.7109375" style="933" customWidth="1"/>
    <col min="8" max="8" width="8.7109375" style="43" customWidth="1"/>
    <col min="9" max="12" width="8.7109375" style="934" customWidth="1"/>
    <col min="13" max="13" width="1.7109375" style="933" customWidth="1"/>
    <col min="14" max="18" width="8.710937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7967</v>
      </c>
      <c r="F1" s="479"/>
      <c r="H1" s="474"/>
      <c r="I1" s="474"/>
      <c r="J1" s="475" t="s">
        <v>7968</v>
      </c>
      <c r="K1" s="474"/>
      <c r="L1" s="474"/>
      <c r="N1" s="452"/>
      <c r="O1" s="452"/>
      <c r="P1" s="476" t="s">
        <v>7969</v>
      </c>
      <c r="Q1" s="452"/>
      <c r="R1" s="452"/>
      <c r="T1" s="452"/>
    </row>
    <row r="2" spans="1:20" ht="45" customHeight="1">
      <c r="A2" s="420" t="s">
        <v>6712</v>
      </c>
      <c r="B2" s="420"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520" t="s">
        <v>6739</v>
      </c>
      <c r="E3" s="520" t="s">
        <v>2104</v>
      </c>
      <c r="F3" s="520" t="s">
        <v>671</v>
      </c>
      <c r="H3" s="790">
        <f>IFERROR(SUMPRODUCT(($T$4:$T$106),('ANALYSE - ERP =&gt; SEGMENT'!$HW$8:$HW$110))/SUMPRODUCT(($T$4:$T$106),('ANALYSE - ERP =&gt; SEGMENT'!$HV$8:$HV$110)),"")</f>
        <v>7.012925650837297E-2</v>
      </c>
      <c r="I3" s="790">
        <f>IFERROR(SUMPRODUCT(($T$4:$T$106),('ANALYSE - ERP =&gt; SEGMENT'!$HX$8:$HX$110))/SUMPRODUCT(($T$4:$T$106),('ANALYSE - ERP =&gt; SEGMENT'!$HV$8:$HV$110)),"")</f>
        <v>0.4534299229222008</v>
      </c>
      <c r="J3" s="790">
        <f>IFERROR(SUMPRODUCT(($T$4:$T$106),('ANALYSE - ERP =&gt; SEGMENT'!$HY$8:$HY$110))/SUMPRODUCT(($T$4:$T$106),('ANALYSE - ERP =&gt; SEGMENT'!$HV$8:$HV$110)),"")</f>
        <v>0.46804154436621209</v>
      </c>
      <c r="K3" s="790">
        <f>IFERROR(SUMPRODUCT(($T$4:$T$106),('ANALYSE - ERP =&gt; SEGMENT'!$HZ$8:$HZ$110))/SUMPRODUCT(($T$4:$T$106),('ANALYSE - ERP =&gt; SEGMENT'!$HV$8:$HV$110)),"")</f>
        <v>0.12358836787071464</v>
      </c>
      <c r="L3" s="790">
        <f>IFERROR(SUMPRODUCT(($T$4:$T$106),('ANALYSE - ERP =&gt; SEGMENT'!$IA$8:$IA$110))/SUMPRODUCT(($T$4:$T$106),('ANALYSE - ERP =&gt; SEGMENT'!$HV$8:$HV$110)),"")</f>
        <v>7.5552548496251133E-3</v>
      </c>
      <c r="N3" s="790">
        <f>IFERROR(SUMPRODUCT(($T$4:$T$106),('ANALYSE - ERP =&gt; SEGMENT'!$IC$8:$IC$110))/SUMPRODUCT(($T$4:$T$106),('ANALYSE - ERP =&gt; SEGMENT'!$IB$8:$IB$110)),"")</f>
        <v>3.2991753437521233E-2</v>
      </c>
      <c r="O3" s="790">
        <f>IFERROR(SUMPRODUCT(($T$4:$T$106),('ANALYSE - ERP =&gt; SEGMENT'!$ID$8:$ID$110))/SUMPRODUCT(($T$4:$T$106),('ANALYSE - ERP =&gt; SEGMENT'!$IB$8:$IB$110)),"")</f>
        <v>0.3291268458332644</v>
      </c>
      <c r="P3" s="790">
        <f>IFERROR(SUMPRODUCT(($T$4:$T$106),('ANALYSE - ERP =&gt; SEGMENT'!$IE$8:$IE$110))/SUMPRODUCT(($T$4:$T$106),('ANALYSE - ERP =&gt; SEGMENT'!$IB$8:$IB$110)),"")</f>
        <v>0.45723808140718153</v>
      </c>
      <c r="Q3" s="790">
        <f>IFERROR(SUMPRODUCT(($T$4:$T$106),('ANALYSE - ERP =&gt; SEGMENT'!$IF$8:$IF$110))/SUMPRODUCT(($T$4:$T$106),('ANALYSE - ERP =&gt; SEGMENT'!$IB$8:$IB$110)),"")</f>
        <v>0.1644043572930585</v>
      </c>
      <c r="R3" s="790">
        <f>IFERROR(SUMPRODUCT(($T$4:$T$106),('ANALYSE - ERP =&gt; SEGMENT'!$IG$8:$IG$110))/SUMPRODUCT(($T$4:$T$106),('ANALYSE - ERP =&gt; SEGMENT'!$IB$8:$IB$110)),"")</f>
        <v>1.6238962028974534E-2</v>
      </c>
      <c r="T3" s="428">
        <f>SUM('ANALYSE - ERP =&gt; SEGMENT'!$Q$8:$Q$110)</f>
        <v>34</v>
      </c>
    </row>
    <row r="4" spans="1:20" ht="15" customHeight="1">
      <c r="A4" s="26">
        <v>1</v>
      </c>
      <c r="B4" s="26">
        <v>1</v>
      </c>
      <c r="C4" s="422">
        <f>'ANALYSE - ERP =&gt; SEGMENT'!$A$19</f>
        <v>15</v>
      </c>
      <c r="D4" s="492" t="s">
        <v>2187</v>
      </c>
      <c r="E4" s="492" t="s">
        <v>3877</v>
      </c>
      <c r="F4" s="492" t="s">
        <v>7981</v>
      </c>
      <c r="H4" s="787">
        <f>IFERROR('ANALYSE - ERP =&gt; SEGMENT'!$HW$19/'ANALYSE - ERP =&gt; SEGMENT'!$HV$19,"")</f>
        <v>0.37550230293573733</v>
      </c>
      <c r="I4" s="787">
        <f>IFERROR('ANALYSE - ERP =&gt; SEGMENT'!$HX$19/'ANALYSE - ERP =&gt; SEGMENT'!$HV$19,"")</f>
        <v>5.5767175527816306</v>
      </c>
      <c r="J4" s="787">
        <f>IFERROR('ANALYSE - ERP =&gt; SEGMENT'!$HY$19/'ANALYSE - ERP =&gt; SEGMENT'!$HV$19,"")</f>
        <v>6.9972113740560955</v>
      </c>
      <c r="K4" s="787">
        <f>IFERROR('ANALYSE - ERP =&gt; SEGMENT'!$HZ$19/'ANALYSE - ERP =&gt; SEGMENT'!$HV$19,"")</f>
        <v>2.1304973782555092</v>
      </c>
      <c r="L4" s="787">
        <f>IFERROR('ANALYSE - ERP =&gt; SEGMENT'!$IA$19/'ANALYSE - ERP =&gt; SEGMENT'!$HV$19,"")</f>
        <v>0.40146779357374018</v>
      </c>
      <c r="N4" s="787">
        <f>IFERROR('ANALYSE - ERP =&gt; SEGMENT'!$IC$19/'ANALYSE - ERP =&gt; SEGMENT'!$IB$19,"")</f>
        <v>2.2331515306654144E-3</v>
      </c>
      <c r="O4" s="787">
        <f>IFERROR('ANALYSE - ERP =&gt; SEGMENT'!$ID$19/'ANALYSE - ERP =&gt; SEGMENT'!$IB$19,"")</f>
        <v>0.27603580266745587</v>
      </c>
      <c r="P4" s="787">
        <f>IFERROR('ANALYSE - ERP =&gt; SEGMENT'!$IE$19/'ANALYSE - ERP =&gt; SEGMENT'!$IB$19,"")</f>
        <v>0.50887356381305648</v>
      </c>
      <c r="Q4" s="787">
        <f>IFERROR('ANALYSE - ERP =&gt; SEGMENT'!$IF$19/'ANALYSE - ERP =&gt; SEGMENT'!$IB$19,"")</f>
        <v>0.18006352699134673</v>
      </c>
      <c r="R4" s="787">
        <f>IFERROR('ANALYSE - ERP =&gt; SEGMENT'!$IG$19/'ANALYSE - ERP =&gt; SEGMENT'!$IB$19,"")</f>
        <v>3.2793954997475734E-2</v>
      </c>
      <c r="T4" s="430">
        <f>'ANALYSE - ERP =&gt; SEGMENT'!$Q$19</f>
        <v>1</v>
      </c>
    </row>
    <row r="5" spans="1:20" ht="15" customHeight="1">
      <c r="A5" s="26">
        <v>2</v>
      </c>
      <c r="B5" s="26">
        <v>3</v>
      </c>
      <c r="C5" s="422">
        <f>'ANALYSE - ERP =&gt; SEGMENT'!$A$14</f>
        <v>7</v>
      </c>
      <c r="D5" s="494" t="s">
        <v>2241</v>
      </c>
      <c r="E5" s="494" t="s">
        <v>1032</v>
      </c>
      <c r="F5" s="494" t="s">
        <v>7982</v>
      </c>
      <c r="H5" s="787">
        <f>IFERROR('ANALYSE - ERP =&gt; SEGMENT'!$HW$14/'ANALYSE - ERP =&gt; SEGMENT'!$HV$14,"")</f>
        <v>6.8299258926566367E-3</v>
      </c>
      <c r="I5" s="787">
        <f>IFERROR('ANALYSE - ERP =&gt; SEGMENT'!$HX$14/'ANALYSE - ERP =&gt; SEGMENT'!$HV$14,"")</f>
        <v>4.9446068358410056</v>
      </c>
      <c r="J5" s="787">
        <f>IFERROR('ANALYSE - ERP =&gt; SEGMENT'!$HY$14/'ANALYSE - ERP =&gt; SEGMENT'!$HV$14,"")</f>
        <v>19.599515001122835</v>
      </c>
      <c r="K5" s="787">
        <f>IFERROR('ANALYSE - ERP =&gt; SEGMENT'!$HZ$14/'ANALYSE - ERP =&gt; SEGMENT'!$HV$14,"")</f>
        <v>11.469715409836065</v>
      </c>
      <c r="L5" s="787">
        <f>IFERROR('ANALYSE - ERP =&gt; SEGMENT'!$IA$14/'ANALYSE - ERP =&gt; SEGMENT'!$HV$14,"")</f>
        <v>0.14190861890860093</v>
      </c>
      <c r="N5" s="787">
        <f>IFERROR('ANALYSE - ERP =&gt; SEGMENT'!$IC$14/'ANALYSE - ERP =&gt; SEGMENT'!$IB$14,"")</f>
        <v>0</v>
      </c>
      <c r="O5" s="787">
        <f>IFERROR('ANALYSE - ERP =&gt; SEGMENT'!$ID$14/'ANALYSE - ERP =&gt; SEGMENT'!$IB$14,"")</f>
        <v>7.0456455249338287E-2</v>
      </c>
      <c r="P5" s="787">
        <f>IFERROR('ANALYSE - ERP =&gt; SEGMENT'!$IE$14/'ANALYSE - ERP =&gt; SEGMENT'!$IB$14,"")</f>
        <v>0.4878751035780225</v>
      </c>
      <c r="Q5" s="787">
        <f>IFERROR('ANALYSE - ERP =&gt; SEGMENT'!$IF$14/'ANALYSE - ERP =&gt; SEGMENT'!$IB$14,"")</f>
        <v>0.41750373299876459</v>
      </c>
      <c r="R5" s="787">
        <f>IFERROR('ANALYSE - ERP =&gt; SEGMENT'!$IG$14/'ANALYSE - ERP =&gt; SEGMENT'!$IB$14,"")</f>
        <v>2.416470817387454E-2</v>
      </c>
      <c r="T5" s="430">
        <f>'ANALYSE - ERP =&gt; SEGMENT'!$Q$14</f>
        <v>1</v>
      </c>
    </row>
    <row r="6" spans="1:20" ht="15" customHeight="1">
      <c r="A6" s="26">
        <v>3</v>
      </c>
      <c r="B6" s="26">
        <v>4</v>
      </c>
      <c r="C6" s="422">
        <f>'ANALYSE - ERP =&gt; SEGMENT'!$A$30</f>
        <v>29</v>
      </c>
      <c r="D6" s="496" t="s">
        <v>1670</v>
      </c>
      <c r="E6" s="496" t="s">
        <v>1671</v>
      </c>
      <c r="F6" s="496" t="s">
        <v>7983</v>
      </c>
      <c r="H6" s="787">
        <f>IFERROR('ANALYSE - ERP =&gt; SEGMENT'!$HW$30/'ANALYSE - ERP =&gt; SEGMENT'!$HV$30,"")</f>
        <v>0.1520473139750394</v>
      </c>
      <c r="I6" s="787">
        <f>IFERROR('ANALYSE - ERP =&gt; SEGMENT'!$HX$30/'ANALYSE - ERP =&gt; SEGMENT'!$HV$30,"")</f>
        <v>0.5870807027512992</v>
      </c>
      <c r="J6" s="787">
        <f>IFERROR('ANALYSE - ERP =&gt; SEGMENT'!$HY$30/'ANALYSE - ERP =&gt; SEGMENT'!$HV$30,"")</f>
        <v>0.30778324514898991</v>
      </c>
      <c r="K6" s="787">
        <f>IFERROR('ANALYSE - ERP =&gt; SEGMENT'!$HZ$30/'ANALYSE - ERP =&gt; SEGMENT'!$HV$30,"")</f>
        <v>5.4098524017288291E-2</v>
      </c>
      <c r="L6" s="787">
        <f>IFERROR('ANALYSE - ERP =&gt; SEGMENT'!$IA$30/'ANALYSE - ERP =&gt; SEGMENT'!$HV$30,"")</f>
        <v>1.0135262295109261E-2</v>
      </c>
      <c r="N6" s="787">
        <f>IFERROR('ANALYSE - ERP =&gt; SEGMENT'!$IC$30/'ANALYSE - ERP =&gt; SEGMENT'!$IB$30,"")</f>
        <v>6.9611729943476697E-2</v>
      </c>
      <c r="O6" s="787">
        <f>IFERROR('ANALYSE - ERP =&gt; SEGMENT'!$ID$30/'ANALYSE - ERP =&gt; SEGMENT'!$IB$30,"")</f>
        <v>0.47091545050043548</v>
      </c>
      <c r="P6" s="787">
        <f>IFERROR('ANALYSE - ERP =&gt; SEGMENT'!$IE$30/'ANALYSE - ERP =&gt; SEGMENT'!$IB$30,"")</f>
        <v>0.36871524493710822</v>
      </c>
      <c r="Q6" s="787">
        <f>IFERROR('ANALYSE - ERP =&gt; SEGMENT'!$IF$30/'ANALYSE - ERP =&gt; SEGMENT'!$IB$30,"")</f>
        <v>7.5912988100621887E-2</v>
      </c>
      <c r="R6" s="787">
        <f>IFERROR('ANALYSE - ERP =&gt; SEGMENT'!$IG$30/'ANALYSE - ERP =&gt; SEGMENT'!$IB$30,"")</f>
        <v>1.4844586518357577E-2</v>
      </c>
      <c r="T6" s="430">
        <f>'ANALYSE - ERP =&gt; SEGMENT'!$Q$30</f>
        <v>1</v>
      </c>
    </row>
    <row r="7" spans="1:20" ht="15" customHeight="1">
      <c r="A7" s="26">
        <v>4</v>
      </c>
      <c r="B7" s="26">
        <v>2</v>
      </c>
      <c r="C7" s="422">
        <f>'ANALYSE - ERP =&gt; SEGMENT'!$A$9</f>
        <v>2</v>
      </c>
      <c r="D7" s="498" t="s">
        <v>6739</v>
      </c>
      <c r="E7" s="498" t="s">
        <v>2678</v>
      </c>
      <c r="F7" s="498" t="s">
        <v>7984</v>
      </c>
      <c r="H7" s="787">
        <f>IFERROR('ANALYSE - ERP =&gt; SEGMENT'!$HW$9/'ANALYSE - ERP =&gt; SEGMENT'!$HV$9,"")</f>
        <v>0.10565176791298209</v>
      </c>
      <c r="I7" s="787">
        <f>IFERROR('ANALYSE - ERP =&gt; SEGMENT'!$HX$9/'ANALYSE - ERP =&gt; SEGMENT'!$HV$9,"")</f>
        <v>0.53478003098900828</v>
      </c>
      <c r="J7" s="787">
        <f>IFERROR('ANALYSE - ERP =&gt; SEGMENT'!$HY$9/'ANALYSE - ERP =&gt; SEGMENT'!$HV$9,"")</f>
        <v>0.32927636997768739</v>
      </c>
      <c r="K7" s="787">
        <f>IFERROR('ANALYSE - ERP =&gt; SEGMENT'!$HZ$9/'ANALYSE - ERP =&gt; SEGMENT'!$HV$9,"")</f>
        <v>2.9615292018693114E-2</v>
      </c>
      <c r="L7" s="787">
        <f>IFERROR('ANALYSE - ERP =&gt; SEGMENT'!$IA$9/'ANALYSE - ERP =&gt; SEGMENT'!$HV$9,"")</f>
        <v>6.7653910162917045E-4</v>
      </c>
      <c r="N7" s="787">
        <f>IFERROR('ANALYSE - ERP =&gt; SEGMENT'!$IC$9/'ANALYSE - ERP =&gt; SEGMENT'!$IB$9,"")</f>
        <v>4.0446294809043506E-2</v>
      </c>
      <c r="O7" s="787">
        <f>IFERROR('ANALYSE - ERP =&gt; SEGMENT'!$ID$9/'ANALYSE - ERP =&gt; SEGMENT'!$IB$9,"")</f>
        <v>0.40182228548565746</v>
      </c>
      <c r="P7" s="787">
        <f>IFERROR('ANALYSE - ERP =&gt; SEGMENT'!$IE$9/'ANALYSE - ERP =&gt; SEGMENT'!$IB$9,"")</f>
        <v>0.47966005015184476</v>
      </c>
      <c r="Q7" s="787">
        <f>IFERROR('ANALYSE - ERP =&gt; SEGMENT'!$IF$9/'ANALYSE - ERP =&gt; SEGMENT'!$IB$9,"")</f>
        <v>7.5635190531391686E-2</v>
      </c>
      <c r="R7" s="787">
        <f>IFERROR('ANALYSE - ERP =&gt; SEGMENT'!$IG$9/'ANALYSE - ERP =&gt; SEGMENT'!$IB$9,"")</f>
        <v>2.4361790220626422E-3</v>
      </c>
      <c r="T7" s="430">
        <f>'ANALYSE - ERP =&gt; SEGMENT'!$Q$9</f>
        <v>1</v>
      </c>
    </row>
    <row r="8" spans="1:20" ht="15" customHeight="1">
      <c r="A8" s="26">
        <v>5</v>
      </c>
      <c r="B8" s="26">
        <v>5</v>
      </c>
      <c r="C8" s="422">
        <f>'ANALYSE - ERP =&gt; SEGMENT'!$A$16</f>
        <v>10</v>
      </c>
      <c r="D8" s="500" t="s">
        <v>3662</v>
      </c>
      <c r="E8" s="500" t="s">
        <v>1114</v>
      </c>
      <c r="F8" s="500" t="s">
        <v>7985</v>
      </c>
      <c r="H8" s="787">
        <f>IFERROR('ANALYSE - ERP =&gt; SEGMENT'!$HW$16/'ANALYSE - ERP =&gt; SEGMENT'!$HV$16,"")</f>
        <v>0.60316338485405652</v>
      </c>
      <c r="I8" s="787">
        <f>IFERROR('ANALYSE - ERP =&gt; SEGMENT'!$HX$16/'ANALYSE - ERP =&gt; SEGMENT'!$HV$16,"")</f>
        <v>8.1680607389105955</v>
      </c>
      <c r="J8" s="787">
        <f>IFERROR('ANALYSE - ERP =&gt; SEGMENT'!$HY$16/'ANALYSE - ERP =&gt; SEGMENT'!$HV$16,"")</f>
        <v>11.164704576534131</v>
      </c>
      <c r="K8" s="787">
        <f>IFERROR('ANALYSE - ERP =&gt; SEGMENT'!$HZ$16/'ANALYSE - ERP =&gt; SEGMENT'!$HV$16,"")</f>
        <v>2.6972340668811765</v>
      </c>
      <c r="L8" s="787">
        <f>IFERROR('ANALYSE - ERP =&gt; SEGMENT'!$IA$16/'ANALYSE - ERP =&gt; SEGMENT'!$HV$16,"")</f>
        <v>0.13589848310733166</v>
      </c>
      <c r="N8" s="787">
        <f>IFERROR('ANALYSE - ERP =&gt; SEGMENT'!$IC$16/'ANALYSE - ERP =&gt; SEGMENT'!$IB$16,"")</f>
        <v>9.6953571333506048E-3</v>
      </c>
      <c r="O8" s="787">
        <f>IFERROR('ANALYSE - ERP =&gt; SEGMENT'!$ID$16/'ANALYSE - ERP =&gt; SEGMENT'!$IB$16,"")</f>
        <v>0.29832608921188253</v>
      </c>
      <c r="P8" s="787">
        <f>IFERROR('ANALYSE - ERP =&gt; SEGMENT'!$IE$16/'ANALYSE - ERP =&gt; SEGMENT'!$IB$16,"")</f>
        <v>0.5019658611169644</v>
      </c>
      <c r="Q8" s="787">
        <f>IFERROR('ANALYSE - ERP =&gt; SEGMENT'!$IF$16/'ANALYSE - ERP =&gt; SEGMENT'!$IB$16,"")</f>
        <v>0.17282691550620174</v>
      </c>
      <c r="R8" s="787">
        <f>IFERROR('ANALYSE - ERP =&gt; SEGMENT'!$IG$16/'ANALYSE - ERP =&gt; SEGMENT'!$IB$16,"")</f>
        <v>1.7185777031600579E-2</v>
      </c>
      <c r="T8" s="430">
        <f>'ANALYSE - ERP =&gt; SEGMENT'!$Q$16</f>
        <v>1</v>
      </c>
    </row>
    <row r="9" spans="1:20" ht="15" customHeight="1">
      <c r="A9" s="26">
        <v>6</v>
      </c>
      <c r="B9" s="26">
        <v>6</v>
      </c>
      <c r="C9" s="422">
        <f>'ANALYSE - ERP =&gt; SEGMENT'!$A$22</f>
        <v>18</v>
      </c>
      <c r="D9" s="502" t="s">
        <v>2264</v>
      </c>
      <c r="E9" s="502" t="s">
        <v>4024</v>
      </c>
      <c r="F9" s="502" t="s">
        <v>679</v>
      </c>
      <c r="H9" s="787">
        <f>IFERROR('ANALYSE - ERP =&gt; SEGMENT'!$HW$22/'ANALYSE - ERP =&gt; SEGMENT'!$HV$22,"")</f>
        <v>5.9153331362169381E-2</v>
      </c>
      <c r="I9" s="787">
        <f>IFERROR('ANALYSE - ERP =&gt; SEGMENT'!$HX$22/'ANALYSE - ERP =&gt; SEGMENT'!$HV$22,"")</f>
        <v>0.74204722614942109</v>
      </c>
      <c r="J9" s="787">
        <f>IFERROR('ANALYSE - ERP =&gt; SEGMENT'!$HY$22/'ANALYSE - ERP =&gt; SEGMENT'!$HV$22,"")</f>
        <v>0.8552522125746812</v>
      </c>
      <c r="K9" s="787">
        <f>IFERROR('ANALYSE - ERP =&gt; SEGMENT'!$HZ$22/'ANALYSE - ERP =&gt; SEGMENT'!$HV$22,"")</f>
        <v>0.10890913698309222</v>
      </c>
      <c r="L9" s="787">
        <f>IFERROR('ANALYSE - ERP =&gt; SEGMENT'!$IA$22/'ANALYSE - ERP =&gt; SEGMENT'!$HV$22,"")</f>
        <v>0</v>
      </c>
      <c r="N9" s="787">
        <f>IFERROR('ANALYSE - ERP =&gt; SEGMENT'!$IC$22/'ANALYSE - ERP =&gt; SEGMENT'!$IB$22,"")</f>
        <v>1.1682372418645946E-2</v>
      </c>
      <c r="O9" s="787">
        <f>IFERROR('ANALYSE - ERP =&gt; SEGMENT'!$ID$22/'ANALYSE - ERP =&gt; SEGMENT'!$IB$22,"")</f>
        <v>0.39533494191102259</v>
      </c>
      <c r="P9" s="787">
        <f>IFERROR('ANALYSE - ERP =&gt; SEGMENT'!$IE$22/'ANALYSE - ERP =&gt; SEGMENT'!$IB$22,"")</f>
        <v>0.50454305720421555</v>
      </c>
      <c r="Q9" s="787">
        <f>IFERROR('ANALYSE - ERP =&gt; SEGMENT'!$IF$22/'ANALYSE - ERP =&gt; SEGMENT'!$IB$22,"")</f>
        <v>8.3440268595214279E-2</v>
      </c>
      <c r="R9" s="787">
        <f>IFERROR('ANALYSE - ERP =&gt; SEGMENT'!$IG$22/'ANALYSE - ERP =&gt; SEGMENT'!$IB$22,"")</f>
        <v>4.9993598709015602E-3</v>
      </c>
      <c r="T9" s="430">
        <f>'ANALYSE - ERP =&gt; SEGMENT'!$Q$22</f>
        <v>1</v>
      </c>
    </row>
    <row r="10" spans="1:20" ht="15" customHeight="1">
      <c r="A10" s="26">
        <v>7</v>
      </c>
      <c r="B10" s="26">
        <v>7</v>
      </c>
      <c r="C10" s="422">
        <f>'ANALYSE - ERP =&gt; SEGMENT'!$A$31</f>
        <v>30</v>
      </c>
      <c r="D10" s="496" t="s">
        <v>1670</v>
      </c>
      <c r="E10" s="496" t="s">
        <v>1747</v>
      </c>
      <c r="F10" s="496" t="s">
        <v>7986</v>
      </c>
      <c r="H10" s="787">
        <f>IFERROR('ANALYSE - ERP =&gt; SEGMENT'!$HW$31/'ANALYSE - ERP =&gt; SEGMENT'!$HV$31,"")</f>
        <v>1.2793801206783426</v>
      </c>
      <c r="I10" s="787">
        <f>IFERROR('ANALYSE - ERP =&gt; SEGMENT'!$HX$31/'ANALYSE - ERP =&gt; SEGMENT'!$HV$31,"")</f>
        <v>4.7930086342576752</v>
      </c>
      <c r="J10" s="787">
        <f>IFERROR('ANALYSE - ERP =&gt; SEGMENT'!$HY$31/'ANALYSE - ERP =&gt; SEGMENT'!$HV$31,"")</f>
        <v>2.3040453731247155</v>
      </c>
      <c r="K10" s="787">
        <f>IFERROR('ANALYSE - ERP =&gt; SEGMENT'!$HZ$31/'ANALYSE - ERP =&gt; SEGMENT'!$HV$31,"")</f>
        <v>0.22056317901694247</v>
      </c>
      <c r="L10" s="787">
        <f>IFERROR('ANALYSE - ERP =&gt; SEGMENT'!$IA$31/'ANALYSE - ERP =&gt; SEGMENT'!$HV$31,"")</f>
        <v>0</v>
      </c>
      <c r="N10" s="787">
        <f>IFERROR('ANALYSE - ERP =&gt; SEGMENT'!$IC$31/'ANALYSE - ERP =&gt; SEGMENT'!$IB$31,"")</f>
        <v>0.12039137054405206</v>
      </c>
      <c r="O10" s="787">
        <f>IFERROR('ANALYSE - ERP =&gt; SEGMENT'!$ID$31/'ANALYSE - ERP =&gt; SEGMENT'!$IB$31,"")</f>
        <v>0.52240561741558211</v>
      </c>
      <c r="P10" s="787">
        <f>IFERROR('ANALYSE - ERP =&gt; SEGMENT'!$IE$31/'ANALYSE - ERP =&gt; SEGMENT'!$IB$31,"")</f>
        <v>0.30892514830629686</v>
      </c>
      <c r="Q10" s="787">
        <f>IFERROR('ANALYSE - ERP =&gt; SEGMENT'!$IF$31/'ANALYSE - ERP =&gt; SEGMENT'!$IB$31,"")</f>
        <v>4.4850134325812828E-2</v>
      </c>
      <c r="R10" s="787">
        <f>IFERROR('ANALYSE - ERP =&gt; SEGMENT'!$IG$31/'ANALYSE - ERP =&gt; SEGMENT'!$IB$31,"")</f>
        <v>3.4277294082563745E-3</v>
      </c>
      <c r="T10" s="430">
        <f>'ANALYSE - ERP =&gt; SEGMENT'!$Q$31</f>
        <v>1</v>
      </c>
    </row>
    <row r="11" spans="1:20" s="45" customFormat="1" ht="15" customHeight="1">
      <c r="A11" s="26">
        <v>8</v>
      </c>
      <c r="B11" s="26">
        <v>8</v>
      </c>
      <c r="C11" s="422">
        <f>'ANALYSE - ERP =&gt; SEGMENT'!$A$27</f>
        <v>26</v>
      </c>
      <c r="D11" s="504" t="s">
        <v>2278</v>
      </c>
      <c r="E11" s="504" t="s">
        <v>1527</v>
      </c>
      <c r="F11" s="504" t="s">
        <v>7987</v>
      </c>
      <c r="G11" s="685"/>
      <c r="H11" s="787">
        <f>IFERROR('ANALYSE - ERP =&gt; SEGMENT'!$HW$27/'ANALYSE - ERP =&gt; SEGMENT'!$HV$27,"")</f>
        <v>0.11767241976269203</v>
      </c>
      <c r="I11" s="787">
        <f>IFERROR('ANALYSE - ERP =&gt; SEGMENT'!$HX$27/'ANALYSE - ERP =&gt; SEGMENT'!$HV$27,"")</f>
        <v>1.392417468002334</v>
      </c>
      <c r="J11" s="787">
        <f>IFERROR('ANALYSE - ERP =&gt; SEGMENT'!$HY$27/'ANALYSE - ERP =&gt; SEGMENT'!$HV$27,"")</f>
        <v>1.6000970126434544</v>
      </c>
      <c r="K11" s="787">
        <f>IFERROR('ANALYSE - ERP =&gt; SEGMENT'!$HZ$27/'ANALYSE - ERP =&gt; SEGMENT'!$HV$27,"")</f>
        <v>0.20837655222719315</v>
      </c>
      <c r="L11" s="787">
        <f>IFERROR('ANALYSE - ERP =&gt; SEGMENT'!$IA$27/'ANALYSE - ERP =&gt; SEGMENT'!$HV$27,"")</f>
        <v>2.4417234001167086E-4</v>
      </c>
      <c r="M11" s="685"/>
      <c r="N11" s="787">
        <f>IFERROR('ANALYSE - ERP =&gt; SEGMENT'!$IC$27/'ANALYSE - ERP =&gt; SEGMENT'!$IB$27,"")</f>
        <v>1.5889154404190663E-2</v>
      </c>
      <c r="O11" s="787">
        <f>IFERROR('ANALYSE - ERP =&gt; SEGMENT'!$ID$27/'ANALYSE - ERP =&gt; SEGMENT'!$IB$27,"")</f>
        <v>0.392088020866244</v>
      </c>
      <c r="P11" s="787">
        <f>IFERROR('ANALYSE - ERP =&gt; SEGMENT'!$IE$27/'ANALYSE - ERP =&gt; SEGMENT'!$IB$27,"")</f>
        <v>0.5035527000226816</v>
      </c>
      <c r="Q11" s="787">
        <f>IFERROR('ANALYSE - ERP =&gt; SEGMENT'!$IF$27/'ANALYSE - ERP =&gt; SEGMENT'!$IB$27,"")</f>
        <v>8.4156781708296075E-2</v>
      </c>
      <c r="R11" s="787">
        <f>IFERROR('ANALYSE - ERP =&gt; SEGMENT'!$IG$27/'ANALYSE - ERP =&gt; SEGMENT'!$IB$27,"")</f>
        <v>4.3133429985877979E-3</v>
      </c>
      <c r="S11" s="685"/>
      <c r="T11" s="430">
        <f>'ANALYSE - ERP =&gt; SEGMENT'!$Q$27</f>
        <v>1</v>
      </c>
    </row>
    <row r="12" spans="1:20" ht="15" customHeight="1">
      <c r="A12" s="26">
        <v>9</v>
      </c>
      <c r="B12" s="26">
        <v>10</v>
      </c>
      <c r="C12" s="422">
        <f>'ANALYSE - ERP =&gt; SEGMENT'!$A$13</f>
        <v>6</v>
      </c>
      <c r="D12" s="494" t="s">
        <v>2241</v>
      </c>
      <c r="E12" s="494" t="s">
        <v>1053</v>
      </c>
      <c r="F12" s="494" t="s">
        <v>7988</v>
      </c>
      <c r="H12" s="787">
        <f>IFERROR('ANALYSE - ERP =&gt; SEGMENT'!$HW$13/'ANALYSE - ERP =&gt; SEGMENT'!$HV$13,"")</f>
        <v>1.4225807355647518E-4</v>
      </c>
      <c r="I12" s="787">
        <f>IFERROR('ANALYSE - ERP =&gt; SEGMENT'!$HX$13/'ANALYSE - ERP =&gt; SEGMENT'!$HV$13,"")</f>
        <v>0.18816404663372163</v>
      </c>
      <c r="J12" s="787">
        <f>IFERROR('ANALYSE - ERP =&gt; SEGMENT'!$HY$13/'ANALYSE - ERP =&gt; SEGMENT'!$HV$13,"")</f>
        <v>0.56441293232567624</v>
      </c>
      <c r="K12" s="787">
        <f>IFERROR('ANALYSE - ERP =&gt; SEGMENT'!$HZ$13/'ANALYSE - ERP =&gt; SEGMENT'!$HV$13,"")</f>
        <v>0.23295498581619911</v>
      </c>
      <c r="L12" s="787">
        <f>IFERROR('ANALYSE - ERP =&gt; SEGMENT'!$IA$13/'ANALYSE - ERP =&gt; SEGMENT'!$HV$13,"")</f>
        <v>1.4325777150846512E-2</v>
      </c>
      <c r="N12" s="787">
        <f>IFERROR('ANALYSE - ERP =&gt; SEGMENT'!$IC$13/'ANALYSE - ERP =&gt; SEGMENT'!$IB$13,"")</f>
        <v>1.6987184480859691E-5</v>
      </c>
      <c r="O12" s="787">
        <f>IFERROR('ANALYSE - ERP =&gt; SEGMENT'!$ID$13/'ANALYSE - ERP =&gt; SEGMENT'!$IB$13,"")</f>
        <v>9.286978463577486E-2</v>
      </c>
      <c r="P12" s="787">
        <f>IFERROR('ANALYSE - ERP =&gt; SEGMENT'!$IE$13/'ANALYSE - ERP =&gt; SEGMENT'!$IB$13,"")</f>
        <v>0.5190306431512991</v>
      </c>
      <c r="Q12" s="787">
        <f>IFERROR('ANALYSE - ERP =&gt; SEGMENT'!$IF$13/'ANALYSE - ERP =&gt; SEGMENT'!$IB$13,"")</f>
        <v>0.35155620123221198</v>
      </c>
      <c r="R12" s="787">
        <f>IFERROR('ANALYSE - ERP =&gt; SEGMENT'!$IG$13/'ANALYSE - ERP =&gt; SEGMENT'!$IB$13,"")</f>
        <v>3.6526383796233096E-2</v>
      </c>
      <c r="T12" s="430">
        <f>'ANALYSE - ERP =&gt; SEGMENT'!$Q$13</f>
        <v>1</v>
      </c>
    </row>
    <row r="13" spans="1:20" s="45" customFormat="1" ht="15" customHeight="1">
      <c r="A13" s="406">
        <v>10</v>
      </c>
      <c r="B13" s="406">
        <v>9</v>
      </c>
      <c r="C13" s="448">
        <f>'ANALYSE - ERP =&gt; SEGMENT'!$A$28</f>
        <v>27</v>
      </c>
      <c r="D13" s="511" t="s">
        <v>2278</v>
      </c>
      <c r="E13" s="511" t="s">
        <v>4578</v>
      </c>
      <c r="F13" s="511" t="s">
        <v>7989</v>
      </c>
      <c r="G13" s="685"/>
      <c r="H13" s="788">
        <f>IFERROR('ANALYSE - ERP =&gt; SEGMENT'!$HW$28/'ANALYSE - ERP =&gt; SEGMENT'!$HV$28,"")</f>
        <v>0.30472064194797999</v>
      </c>
      <c r="I13" s="788">
        <f>IFERROR('ANALYSE - ERP =&gt; SEGMENT'!$HX$28/'ANALYSE - ERP =&gt; SEGMENT'!$HV$28,"")</f>
        <v>1.5381947426674047</v>
      </c>
      <c r="J13" s="788">
        <f>IFERROR('ANALYSE - ERP =&gt; SEGMENT'!$HY$28/'ANALYSE - ERP =&gt; SEGMENT'!$HV$28,"")</f>
        <v>0.92733087991145557</v>
      </c>
      <c r="K13" s="788">
        <f>IFERROR('ANALYSE - ERP =&gt; SEGMENT'!$HZ$28/'ANALYSE - ERP =&gt; SEGMENT'!$HV$28,"")</f>
        <v>7.480077476480354E-2</v>
      </c>
      <c r="L13" s="788">
        <f>IFERROR('ANALYSE - ERP =&gt; SEGMENT'!$IA$28/'ANALYSE - ERP =&gt; SEGMENT'!$HV$28,"")</f>
        <v>0</v>
      </c>
      <c r="M13" s="685"/>
      <c r="N13" s="788">
        <f>IFERROR('ANALYSE - ERP =&gt; SEGMENT'!$IC$28/'ANALYSE - ERP =&gt; SEGMENT'!$IB$28,"")</f>
        <v>9.3527086671616744E-2</v>
      </c>
      <c r="O13" s="788">
        <f>IFERROR('ANALYSE - ERP =&gt; SEGMENT'!$ID$28/'ANALYSE - ERP =&gt; SEGMENT'!$IB$28,"")</f>
        <v>0.52421127478851925</v>
      </c>
      <c r="P13" s="788">
        <f>IFERROR('ANALYSE - ERP =&gt; SEGMENT'!$IE$28/'ANALYSE - ERP =&gt; SEGMENT'!$IB$28,"")</f>
        <v>0.3388599063566155</v>
      </c>
      <c r="Q13" s="788">
        <f>IFERROR('ANALYSE - ERP =&gt; SEGMENT'!$IF$28/'ANALYSE - ERP =&gt; SEGMENT'!$IB$28,"")</f>
        <v>4.0201732183248316E-2</v>
      </c>
      <c r="R13" s="788">
        <f>IFERROR('ANALYSE - ERP =&gt; SEGMENT'!$IG$28/'ANALYSE - ERP =&gt; SEGMENT'!$IB$28,"")</f>
        <v>3.2000000000000002E-3</v>
      </c>
      <c r="S13" s="685"/>
      <c r="T13" s="450">
        <f>'ANALYSE - ERP =&gt; SEGMENT'!$Q$28</f>
        <v>1</v>
      </c>
    </row>
    <row r="14" spans="1:20" ht="15" customHeight="1">
      <c r="A14" s="26">
        <v>11</v>
      </c>
      <c r="B14" s="26">
        <v>11</v>
      </c>
      <c r="C14" s="422">
        <f>'ANALYSE - ERP =&gt; SEGMENT'!$A$26</f>
        <v>23</v>
      </c>
      <c r="D14" s="506" t="s">
        <v>7117</v>
      </c>
      <c r="E14" s="506" t="s">
        <v>4268</v>
      </c>
      <c r="F14" s="506" t="s">
        <v>4269</v>
      </c>
      <c r="H14" s="787">
        <f>IFERROR('ANALYSE - ERP =&gt; SEGMENT'!$HW$26/'ANALYSE - ERP =&gt; SEGMENT'!$HV$26,"")</f>
        <v>0.12818999205250969</v>
      </c>
      <c r="I14" s="787">
        <f>IFERROR('ANALYSE - ERP =&gt; SEGMENT'!$HX$26/'ANALYSE - ERP =&gt; SEGMENT'!$HV$26,"")</f>
        <v>0.60130767644923022</v>
      </c>
      <c r="J14" s="787">
        <f>IFERROR('ANALYSE - ERP =&gt; SEGMENT'!$HY$26/'ANALYSE - ERP =&gt; SEGMENT'!$HV$26,"")</f>
        <v>0.39426883089252779</v>
      </c>
      <c r="K14" s="787">
        <f>IFERROR('ANALYSE - ERP =&gt; SEGMENT'!$HZ$26/'ANALYSE - ERP =&gt; SEGMENT'!$HV$26,"")</f>
        <v>4.7861309700685563E-2</v>
      </c>
      <c r="L14" s="787">
        <f>IFERROR('ANALYSE - ERP =&gt; SEGMENT'!$IA$26/'ANALYSE - ERP =&gt; SEGMENT'!$HV$26,"")</f>
        <v>2.2314535115774887E-3</v>
      </c>
      <c r="N14" s="787">
        <f>IFERROR('ANALYSE - ERP =&gt; SEGMENT'!$IC$26/'ANALYSE - ERP =&gt; SEGMENT'!$IB$26,"")</f>
        <v>4.7146024635750752E-2</v>
      </c>
      <c r="O14" s="787">
        <f>IFERROR('ANALYSE - ERP =&gt; SEGMENT'!$ID$26/'ANALYSE - ERP =&gt; SEGMENT'!$IB$26,"")</f>
        <v>0.40593661659398961</v>
      </c>
      <c r="P14" s="787">
        <f>IFERROR('ANALYSE - ERP =&gt; SEGMENT'!$IE$26/'ANALYSE - ERP =&gt; SEGMENT'!$IB$26,"")</f>
        <v>0.46495036115886718</v>
      </c>
      <c r="Q14" s="787">
        <f>IFERROR('ANALYSE - ERP =&gt; SEGMENT'!$IF$26/'ANALYSE - ERP =&gt; SEGMENT'!$IB$26,"")</f>
        <v>7.8928130909434235E-2</v>
      </c>
      <c r="R14" s="787">
        <f>IFERROR('ANALYSE - ERP =&gt; SEGMENT'!$IG$26/'ANALYSE - ERP =&gt; SEGMENT'!$IB$26,"")</f>
        <v>3.038866701958185E-3</v>
      </c>
      <c r="T14" s="430">
        <f>'ANALYSE - ERP =&gt; SEGMENT'!$Q$26</f>
        <v>1</v>
      </c>
    </row>
    <row r="15" spans="1:20" s="45" customFormat="1" ht="15" customHeight="1">
      <c r="A15" s="406">
        <v>12</v>
      </c>
      <c r="B15" s="406">
        <v>12</v>
      </c>
      <c r="C15" s="448">
        <f>'ANALYSE - ERP =&gt; SEGMENT'!$A$23</f>
        <v>19</v>
      </c>
      <c r="D15" s="512" t="s">
        <v>2264</v>
      </c>
      <c r="E15" s="512" t="s">
        <v>7990</v>
      </c>
      <c r="F15" s="512" t="s">
        <v>7991</v>
      </c>
      <c r="G15" s="685"/>
      <c r="H15" s="788">
        <f>IFERROR('ANALYSE - ERP =&gt; SEGMENT'!$HW$23/'ANALYSE - ERP =&gt; SEGMENT'!$HV$23,"")</f>
        <v>0.24651037652943955</v>
      </c>
      <c r="I15" s="788">
        <f>IFERROR('ANALYSE - ERP =&gt; SEGMENT'!$HX$23/'ANALYSE - ERP =&gt; SEGMENT'!$HV$23,"")</f>
        <v>1.7156450915973769</v>
      </c>
      <c r="J15" s="788">
        <f>IFERROR('ANALYSE - ERP =&gt; SEGMENT'!$HY$23/'ANALYSE - ERP =&gt; SEGMENT'!$HV$23,"")</f>
        <v>1.5358719502467382</v>
      </c>
      <c r="K15" s="788">
        <f>IFERROR('ANALYSE - ERP =&gt; SEGMENT'!$HZ$23/'ANALYSE - ERP =&gt; SEGMENT'!$HV$23,"")</f>
        <v>0.1787597755695261</v>
      </c>
      <c r="L15" s="788">
        <f>IFERROR('ANALYSE - ERP =&gt; SEGMENT'!$IA$23/'ANALYSE - ERP =&gt; SEGMENT'!$HV$23,"")</f>
        <v>1.0169566686946527E-3</v>
      </c>
      <c r="M15" s="685"/>
      <c r="N15" s="788">
        <f>IFERROR('ANALYSE - ERP =&gt; SEGMENT'!$IC$23/'ANALYSE - ERP =&gt; SEGMENT'!$IB$23,"")</f>
        <v>3.4598506426476786E-2</v>
      </c>
      <c r="O15" s="788">
        <f>IFERROR('ANALYSE - ERP =&gt; SEGMENT'!$ID$23/'ANALYSE - ERP =&gt; SEGMENT'!$IB$23,"")</f>
        <v>0.4321356739646382</v>
      </c>
      <c r="P15" s="788">
        <f>IFERROR('ANALYSE - ERP =&gt; SEGMENT'!$IE$23/'ANALYSE - ERP =&gt; SEGMENT'!$IB$23,"")</f>
        <v>0.46623386514924964</v>
      </c>
      <c r="Q15" s="788">
        <f>IFERROR('ANALYSE - ERP =&gt; SEGMENT'!$IF$23/'ANALYSE - ERP =&gt; SEGMENT'!$IB$23,"")</f>
        <v>6.292871621898076E-2</v>
      </c>
      <c r="R15" s="788">
        <f>IFERROR('ANALYSE - ERP =&gt; SEGMENT'!$IG$23/'ANALYSE - ERP =&gt; SEGMENT'!$IB$23,"")</f>
        <v>4.1032382406545791E-3</v>
      </c>
      <c r="S15" s="685"/>
      <c r="T15" s="450">
        <f>'ANALYSE - ERP =&gt; SEGMENT'!$Q$23</f>
        <v>1</v>
      </c>
    </row>
    <row r="16" spans="1:20" ht="15" customHeight="1">
      <c r="A16" s="26">
        <v>13</v>
      </c>
      <c r="B16" s="26">
        <v>16</v>
      </c>
      <c r="C16" s="422">
        <f>'ANALYSE - ERP =&gt; SEGMENT'!$A$32</f>
        <v>32</v>
      </c>
      <c r="D16" s="508" t="s">
        <v>2285</v>
      </c>
      <c r="E16" s="508" t="s">
        <v>1793</v>
      </c>
      <c r="F16" s="508" t="s">
        <v>7992</v>
      </c>
      <c r="H16" s="787" t="str">
        <f>IFERROR('ANALYSE - ERP =&gt; SEGMENT'!$HW$32/'ANALYSE - ERP =&gt; SEGMENT'!$HV$32,"")</f>
        <v/>
      </c>
      <c r="I16" s="787" t="str">
        <f>IFERROR('ANALYSE - ERP =&gt; SEGMENT'!$HX$32/'ANALYSE - ERP =&gt; SEGMENT'!$HV$32,"")</f>
        <v/>
      </c>
      <c r="J16" s="787" t="str">
        <f>IFERROR('ANALYSE - ERP =&gt; SEGMENT'!$HY$32/'ANALYSE - ERP =&gt; SEGMENT'!$HV$32,"")</f>
        <v/>
      </c>
      <c r="K16" s="787" t="str">
        <f>IFERROR('ANALYSE - ERP =&gt; SEGMENT'!$HZ$32/'ANALYSE - ERP =&gt; SEGMENT'!$HV$32,"")</f>
        <v/>
      </c>
      <c r="L16" s="787" t="str">
        <f>IFERROR('ANALYSE - ERP =&gt; SEGMENT'!$IA$32/'ANALYSE - ERP =&gt; SEGMENT'!$HV$32,"")</f>
        <v/>
      </c>
      <c r="N16" s="787">
        <f>IFERROR('ANALYSE - ERP =&gt; SEGMENT'!$IC$32/'ANALYSE - ERP =&gt; SEGMENT'!$IB$32,"")</f>
        <v>2.5636083843243944E-2</v>
      </c>
      <c r="O16" s="787">
        <f>IFERROR('ANALYSE - ERP =&gt; SEGMENT'!$ID$32/'ANALYSE - ERP =&gt; SEGMENT'!$IB$32,"")</f>
        <v>0.38026891787296979</v>
      </c>
      <c r="P16" s="787">
        <f>IFERROR('ANALYSE - ERP =&gt; SEGMENT'!$IE$32/'ANALYSE - ERP =&gt; SEGMENT'!$IB$32,"")</f>
        <v>0.40769518285213374</v>
      </c>
      <c r="Q16" s="787">
        <f>IFERROR('ANALYSE - ERP =&gt; SEGMENT'!$IF$32/'ANALYSE - ERP =&gt; SEGMENT'!$IB$32,"")</f>
        <v>0.14731349528964141</v>
      </c>
      <c r="R16" s="787">
        <f>IFERROR('ANALYSE - ERP =&gt; SEGMENT'!$IG$32/'ANALYSE - ERP =&gt; SEGMENT'!$IB$32,"")</f>
        <v>3.9086320142011091E-2</v>
      </c>
      <c r="T16" s="430">
        <f>'ANALYSE - ERP =&gt; SEGMENT'!$Q$32</f>
        <v>1</v>
      </c>
    </row>
    <row r="17" spans="1:20" ht="15" customHeight="1">
      <c r="A17" s="26">
        <v>14</v>
      </c>
      <c r="B17" s="26">
        <v>18</v>
      </c>
      <c r="C17" s="422">
        <f>'ANALYSE - ERP =&gt; SEGMENT'!$A$21</f>
        <v>17</v>
      </c>
      <c r="D17" s="492" t="s">
        <v>2187</v>
      </c>
      <c r="E17" s="492" t="s">
        <v>1372</v>
      </c>
      <c r="F17" s="492" t="s">
        <v>7993</v>
      </c>
      <c r="H17" s="787">
        <f>IFERROR('ANALYSE - ERP =&gt; SEGMENT'!$HW$21/'ANALYSE - ERP =&gt; SEGMENT'!$HV$21,"")</f>
        <v>3.9659944672229275E-3</v>
      </c>
      <c r="I17" s="787">
        <f>IFERROR('ANALYSE - ERP =&gt; SEGMENT'!$HX$21/'ANALYSE - ERP =&gt; SEGMENT'!$HV$21,"")</f>
        <v>5.9715892413516901E-2</v>
      </c>
      <c r="J17" s="787">
        <f>IFERROR('ANALYSE - ERP =&gt; SEGMENT'!$HY$21/'ANALYSE - ERP =&gt; SEGMENT'!$HV$21,"")</f>
        <v>9.1096272823491711E-2</v>
      </c>
      <c r="K17" s="787">
        <f>IFERROR('ANALYSE - ERP =&gt; SEGMENT'!$HZ$21/'ANALYSE - ERP =&gt; SEGMENT'!$HV$21,"")</f>
        <v>3.0584652457767845E-2</v>
      </c>
      <c r="L17" s="787">
        <f>IFERROR('ANALYSE - ERP =&gt; SEGMENT'!$IA$21/'ANALYSE - ERP =&gt; SEGMENT'!$HV$21,"")</f>
        <v>2.8739507051383124E-3</v>
      </c>
      <c r="N17" s="787">
        <f>IFERROR('ANALYSE - ERP =&gt; SEGMENT'!$IC$21/'ANALYSE - ERP =&gt; SEGMENT'!$IB$21,"")</f>
        <v>5.885285643979595E-3</v>
      </c>
      <c r="O17" s="787">
        <f>IFERROR('ANALYSE - ERP =&gt; SEGMENT'!$ID$21/'ANALYSE - ERP =&gt; SEGMENT'!$IB$21,"")</f>
        <v>0.28071478031848685</v>
      </c>
      <c r="P17" s="787">
        <f>IFERROR('ANALYSE - ERP =&gt; SEGMENT'!$IE$21/'ANALYSE - ERP =&gt; SEGMENT'!$IB$21,"")</f>
        <v>0.5072222906120033</v>
      </c>
      <c r="Q17" s="787">
        <f>IFERROR('ANALYSE - ERP =&gt; SEGMENT'!$IF$21/'ANALYSE - ERP =&gt; SEGMENT'!$IB$21,"")</f>
        <v>0.18547725986362151</v>
      </c>
      <c r="R17" s="787">
        <f>IFERROR('ANALYSE - ERP =&gt; SEGMENT'!$IG$21/'ANALYSE - ERP =&gt; SEGMENT'!$IB$21,"")</f>
        <v>2.0700383561908731E-2</v>
      </c>
      <c r="T17" s="430">
        <f>'ANALYSE - ERP =&gt; SEGMENT'!$Q$21</f>
        <v>1</v>
      </c>
    </row>
    <row r="18" spans="1:20" ht="15" customHeight="1">
      <c r="A18" s="26">
        <v>15</v>
      </c>
      <c r="B18" s="26">
        <v>15</v>
      </c>
      <c r="C18" s="422">
        <f>'ANALYSE - ERP =&gt; SEGMENT'!$A$24</f>
        <v>21</v>
      </c>
      <c r="D18" s="506" t="s">
        <v>7117</v>
      </c>
      <c r="E18" s="506" t="s">
        <v>1455</v>
      </c>
      <c r="F18" s="506" t="s">
        <v>7994</v>
      </c>
      <c r="H18" s="787">
        <f>IFERROR('ANALYSE - ERP =&gt; SEGMENT'!$HW$24/'ANALYSE - ERP =&gt; SEGMENT'!$HV$24,"")</f>
        <v>0.72882487179487188</v>
      </c>
      <c r="I18" s="787">
        <f>IFERROR('ANALYSE - ERP =&gt; SEGMENT'!$HX$24/'ANALYSE - ERP =&gt; SEGMENT'!$HV$24,"")</f>
        <v>6.9625888512820522</v>
      </c>
      <c r="J18" s="787">
        <f>IFERROR('ANALYSE - ERP =&gt; SEGMENT'!$HY$24/'ANALYSE - ERP =&gt; SEGMENT'!$HV$24,"")</f>
        <v>8.5524737794871797</v>
      </c>
      <c r="K18" s="787">
        <f>IFERROR('ANALYSE - ERP =&gt; SEGMENT'!$HZ$24/'ANALYSE - ERP =&gt; SEGMENT'!$HV$24,"")</f>
        <v>2.5002468512820513</v>
      </c>
      <c r="L18" s="787">
        <f>IFERROR('ANALYSE - ERP =&gt; SEGMENT'!$IA$24/'ANALYSE - ERP =&gt; SEGMENT'!$HV$24,"")</f>
        <v>0.2212502615384615</v>
      </c>
      <c r="N18" s="787">
        <f>IFERROR('ANALYSE - ERP =&gt; SEGMENT'!$IC$24/'ANALYSE - ERP =&gt; SEGMENT'!$IB$24,"")</f>
        <v>1.8694186812087982E-2</v>
      </c>
      <c r="O18" s="787">
        <f>IFERROR('ANALYSE - ERP =&gt; SEGMENT'!$ID$24/'ANALYSE - ERP =&gt; SEGMENT'!$IB$24,"")</f>
        <v>0.31506614859652765</v>
      </c>
      <c r="P18" s="787">
        <f>IFERROR('ANALYSE - ERP =&gt; SEGMENT'!$IE$24/'ANALYSE - ERP =&gt; SEGMENT'!$IB$24,"")</f>
        <v>0.48184684661688021</v>
      </c>
      <c r="Q18" s="787">
        <f>IFERROR('ANALYSE - ERP =&gt; SEGMENT'!$IF$24/'ANALYSE - ERP =&gt; SEGMENT'!$IB$24,"")</f>
        <v>0.16626387992880209</v>
      </c>
      <c r="R18" s="787">
        <f>IFERROR('ANALYSE - ERP =&gt; SEGMENT'!$IG$24/'ANALYSE - ERP =&gt; SEGMENT'!$IB$24,"")</f>
        <v>1.8128938045702259E-2</v>
      </c>
      <c r="T18" s="430">
        <f>'ANALYSE - ERP =&gt; SEGMENT'!$Q$24</f>
        <v>1</v>
      </c>
    </row>
    <row r="19" spans="1:20" ht="15" customHeight="1">
      <c r="A19" s="26">
        <v>16</v>
      </c>
      <c r="B19" s="26">
        <v>17</v>
      </c>
      <c r="C19" s="422">
        <f>'ANALYSE - ERP =&gt; SEGMENT'!$A$12</f>
        <v>5</v>
      </c>
      <c r="D19" s="498" t="s">
        <v>6739</v>
      </c>
      <c r="E19" s="498" t="s">
        <v>2091</v>
      </c>
      <c r="F19" s="498" t="s">
        <v>2836</v>
      </c>
      <c r="H19" s="787">
        <f>IFERROR('ANALYSE - ERP =&gt; SEGMENT'!$HW$12/'ANALYSE - ERP =&gt; SEGMENT'!$HV$12,"")</f>
        <v>3.039612080187451E-2</v>
      </c>
      <c r="I19" s="787">
        <f>IFERROR('ANALYSE - ERP =&gt; SEGMENT'!$HX$12/'ANALYSE - ERP =&gt; SEGMENT'!$HV$12,"")</f>
        <v>0.36033556365529806</v>
      </c>
      <c r="J19" s="787">
        <f>IFERROR('ANALYSE - ERP =&gt; SEGMENT'!$HY$12/'ANALYSE - ERP =&gt; SEGMENT'!$HV$12,"")</f>
        <v>0.48326959125227797</v>
      </c>
      <c r="K19" s="787">
        <f>IFERROR('ANALYSE - ERP =&gt; SEGMENT'!$HZ$12/'ANALYSE - ERP =&gt; SEGMENT'!$HV$12,"")</f>
        <v>0.12248870085915124</v>
      </c>
      <c r="L19" s="787">
        <f>IFERROR('ANALYSE - ERP =&gt; SEGMENT'!$IA$12/'ANALYSE - ERP =&gt; SEGMENT'!$HV$12,"")</f>
        <v>3.5100234313980732E-3</v>
      </c>
      <c r="N19" s="787">
        <f>IFERROR('ANALYSE - ERP =&gt; SEGMENT'!$IC$12/'ANALYSE - ERP =&gt; SEGMENT'!$IB$12,"")</f>
        <v>1.5626478541166339E-3</v>
      </c>
      <c r="O19" s="787">
        <f>IFERROR('ANALYSE - ERP =&gt; SEGMENT'!$ID$12/'ANALYSE - ERP =&gt; SEGMENT'!$IB$12,"")</f>
        <v>0.1817896311507986</v>
      </c>
      <c r="P19" s="787">
        <f>IFERROR('ANALYSE - ERP =&gt; SEGMENT'!$IE$12/'ANALYSE - ERP =&gt; SEGMENT'!$IB$12,"")</f>
        <v>0.52708313412012231</v>
      </c>
      <c r="Q19" s="787">
        <f>IFERROR('ANALYSE - ERP =&gt; SEGMENT'!$IF$12/'ANALYSE - ERP =&gt; SEGMENT'!$IB$12,"")</f>
        <v>0.26809301039523548</v>
      </c>
      <c r="R19" s="787">
        <f>IFERROR('ANALYSE - ERP =&gt; SEGMENT'!$IG$12/'ANALYSE - ERP =&gt; SEGMENT'!$IB$12,"")</f>
        <v>2.1471576479726952E-2</v>
      </c>
      <c r="T19" s="430">
        <f>'ANALYSE - ERP =&gt; SEGMENT'!$Q$12</f>
        <v>1</v>
      </c>
    </row>
    <row r="20" spans="1:20" ht="15" customHeight="1">
      <c r="A20" s="26">
        <v>17</v>
      </c>
      <c r="B20" s="26">
        <v>13</v>
      </c>
      <c r="C20" s="422">
        <f>'ANALYSE - ERP =&gt; SEGMENT'!$A$11</f>
        <v>4</v>
      </c>
      <c r="D20" s="498" t="s">
        <v>6739</v>
      </c>
      <c r="E20" s="498" t="s">
        <v>991</v>
      </c>
      <c r="F20" s="498" t="s">
        <v>7995</v>
      </c>
      <c r="H20" s="787" t="str">
        <f>IFERROR('ANALYSE - ERP =&gt; SEGMENT'!$HW$11/'ANALYSE - ERP =&gt; SEGMENT'!$HV$11,"")</f>
        <v/>
      </c>
      <c r="I20" s="787" t="str">
        <f>IFERROR('ANALYSE - ERP =&gt; SEGMENT'!$HX$11/'ANALYSE - ERP =&gt; SEGMENT'!$HV$11,"")</f>
        <v/>
      </c>
      <c r="J20" s="787" t="str">
        <f>IFERROR('ANALYSE - ERP =&gt; SEGMENT'!$HY$11/'ANALYSE - ERP =&gt; SEGMENT'!$HV$11,"")</f>
        <v/>
      </c>
      <c r="K20" s="787" t="str">
        <f>IFERROR('ANALYSE - ERP =&gt; SEGMENT'!$HZ$11/'ANALYSE - ERP =&gt; SEGMENT'!$HV$11,"")</f>
        <v/>
      </c>
      <c r="L20" s="787" t="str">
        <f>IFERROR('ANALYSE - ERP =&gt; SEGMENT'!$IA$11/'ANALYSE - ERP =&gt; SEGMENT'!$HV$11,"")</f>
        <v/>
      </c>
      <c r="N20" s="787" t="str">
        <f>IFERROR('ANALYSE - ERP =&gt; SEGMENT'!$IC$11/'ANALYSE - ERP =&gt; SEGMENT'!$IB$11,"")</f>
        <v/>
      </c>
      <c r="O20" s="787" t="str">
        <f>IFERROR('ANALYSE - ERP =&gt; SEGMENT'!$ID$11/'ANALYSE - ERP =&gt; SEGMENT'!$IB$11,"")</f>
        <v/>
      </c>
      <c r="P20" s="787" t="str">
        <f>IFERROR('ANALYSE - ERP =&gt; SEGMENT'!$IE$11/'ANALYSE - ERP =&gt; SEGMENT'!$IB$11,"")</f>
        <v/>
      </c>
      <c r="Q20" s="787" t="str">
        <f>IFERROR('ANALYSE - ERP =&gt; SEGMENT'!$IF$11/'ANALYSE - ERP =&gt; SEGMENT'!$IB$11,"")</f>
        <v/>
      </c>
      <c r="R20" s="787" t="str">
        <f>IFERROR('ANALYSE - ERP =&gt; SEGMENT'!$IG$11/'ANALYSE - ERP =&gt; SEGMENT'!$IB$11,"")</f>
        <v/>
      </c>
      <c r="T20" s="430">
        <f>'ANALYSE - ERP =&gt; SEGMENT'!$Q$11</f>
        <v>0</v>
      </c>
    </row>
    <row r="21" spans="1:20" ht="15" customHeight="1">
      <c r="A21" s="26">
        <v>18</v>
      </c>
      <c r="B21" s="26">
        <v>14</v>
      </c>
      <c r="C21" s="422">
        <f>'ANALYSE - ERP =&gt; SEGMENT'!$A$8</f>
        <v>1</v>
      </c>
      <c r="D21" s="498" t="s">
        <v>6739</v>
      </c>
      <c r="E21" s="498" t="s">
        <v>2104</v>
      </c>
      <c r="F21" s="498" t="s">
        <v>671</v>
      </c>
      <c r="H21" s="787">
        <f>IFERROR('ANALYSE - ERP =&gt; SEGMENT'!$HW$8/'ANALYSE - ERP =&gt; SEGMENT'!$HV$8,"")</f>
        <v>1.4480969985209449E-2</v>
      </c>
      <c r="I21" s="787">
        <f>IFERROR('ANALYSE - ERP =&gt; SEGMENT'!$HX$8/'ANALYSE - ERP =&gt; SEGMENT'!$HV$8,"")</f>
        <v>0.34097095860580068</v>
      </c>
      <c r="J21" s="787">
        <f>IFERROR('ANALYSE - ERP =&gt; SEGMENT'!$HY$8/'ANALYSE - ERP =&gt; SEGMENT'!$HV$8,"")</f>
        <v>0.53091550093955286</v>
      </c>
      <c r="K21" s="787">
        <f>IFERROR('ANALYSE - ERP =&gt; SEGMENT'!$HZ$8/'ANALYSE - ERP =&gt; SEGMENT'!$HV$8,"")</f>
        <v>0.11363257046943706</v>
      </c>
      <c r="L21" s="787">
        <f>IFERROR('ANALYSE - ERP =&gt; SEGMENT'!$IA$8/'ANALYSE - ERP =&gt; SEGMENT'!$HV$8,"")</f>
        <v>0</v>
      </c>
      <c r="N21" s="787">
        <f>IFERROR('ANALYSE - ERP =&gt; SEGMENT'!$IC$8/'ANALYSE - ERP =&gt; SEGMENT'!$IB$8,"")</f>
        <v>7.0488060052378166E-3</v>
      </c>
      <c r="O21" s="787">
        <f>IFERROR('ANALYSE - ERP =&gt; SEGMENT'!$ID$8/'ANALYSE - ERP =&gt; SEGMENT'!$IB$8,"")</f>
        <v>0.19764789516978065</v>
      </c>
      <c r="P21" s="787">
        <f>IFERROR('ANALYSE - ERP =&gt; SEGMENT'!$IE$8/'ANALYSE - ERP =&gt; SEGMENT'!$IB$8,"")</f>
        <v>0.54710238337486705</v>
      </c>
      <c r="Q21" s="787">
        <f>IFERROR('ANALYSE - ERP =&gt; SEGMENT'!$IF$8/'ANALYSE - ERP =&gt; SEGMENT'!$IB$8,"")</f>
        <v>0.24786049646535421</v>
      </c>
      <c r="R21" s="787">
        <f>IFERROR('ANALYSE - ERP =&gt; SEGMENT'!$IG$8/'ANALYSE - ERP =&gt; SEGMENT'!$IB$8,"")</f>
        <v>3.4041898476033094E-4</v>
      </c>
      <c r="T21" s="430">
        <f>'ANALYSE - ERP =&gt; SEGMENT'!$Q$8</f>
        <v>1</v>
      </c>
    </row>
    <row r="22" spans="1:20" ht="15" customHeight="1">
      <c r="A22" s="26">
        <v>19</v>
      </c>
      <c r="B22" s="26">
        <v>20</v>
      </c>
      <c r="C22" s="422">
        <f>'ANALYSE - ERP =&gt; SEGMENT'!$A$36</f>
        <v>37</v>
      </c>
      <c r="D22" s="510" t="s">
        <v>4908</v>
      </c>
      <c r="E22" s="510" t="s">
        <v>88</v>
      </c>
      <c r="F22" s="510" t="s">
        <v>7996</v>
      </c>
      <c r="H22" s="787">
        <f>IFERROR('ANALYSE - ERP =&gt; SEGMENT'!$HW$36/'ANALYSE - ERP =&gt; SEGMENT'!$HV$36,"")</f>
        <v>0.97265839616175453</v>
      </c>
      <c r="I22" s="787">
        <f>IFERROR('ANALYSE - ERP =&gt; SEGMENT'!$HX$36/'ANALYSE - ERP =&gt; SEGMENT'!$HV$36,"")</f>
        <v>3.8236548320767652</v>
      </c>
      <c r="J22" s="787">
        <f>IFERROR('ANALYSE - ERP =&gt; SEGMENT'!$HY$36/'ANALYSE - ERP =&gt; SEGMENT'!$HV$36,"")</f>
        <v>0.8424782179575051</v>
      </c>
      <c r="K22" s="787">
        <f>IFERROR('ANALYSE - ERP =&gt; SEGMENT'!$HZ$36/'ANALYSE - ERP =&gt; SEGMENT'!$HV$36,"")</f>
        <v>1.913173406442769E-3</v>
      </c>
      <c r="L22" s="787">
        <f>IFERROR('ANALYSE - ERP =&gt; SEGMENT'!$IA$36/'ANALYSE - ERP =&gt; SEGMENT'!$HV$36,"")</f>
        <v>8.1973954763536673E-6</v>
      </c>
      <c r="N22" s="787">
        <f>IFERROR('ANALYSE - ERP =&gt; SEGMENT'!$IC$36/'ANALYSE - ERP =&gt; SEGMENT'!$IB$36,"")</f>
        <v>6.7045806705074956E-2</v>
      </c>
      <c r="O22" s="787">
        <f>IFERROR('ANALYSE - ERP =&gt; SEGMENT'!$ID$36/'ANALYSE - ERP =&gt; SEGMENT'!$IB$36,"")</f>
        <v>0.619405435788139</v>
      </c>
      <c r="P22" s="787">
        <f>IFERROR('ANALYSE - ERP =&gt; SEGMENT'!$IE$36/'ANALYSE - ERP =&gt; SEGMENT'!$IB$36,"")</f>
        <v>0.31203881241199699</v>
      </c>
      <c r="Q22" s="787">
        <f>IFERROR('ANALYSE - ERP =&gt; SEGMENT'!$IF$36/'ANALYSE - ERP =&gt; SEGMENT'!$IB$36,"")</f>
        <v>1.4939022873732201E-3</v>
      </c>
      <c r="R22" s="787">
        <f>IFERROR('ANALYSE - ERP =&gt; SEGMENT'!$IG$36/'ANALYSE - ERP =&gt; SEGMENT'!$IB$36,"")</f>
        <v>1.6042807415914913E-5</v>
      </c>
      <c r="T22" s="430">
        <f>'ANALYSE - ERP =&gt; SEGMENT'!$Q$36</f>
        <v>1</v>
      </c>
    </row>
    <row r="23" spans="1:20" ht="15" customHeight="1">
      <c r="A23" s="26">
        <v>20</v>
      </c>
      <c r="B23" s="26">
        <v>22</v>
      </c>
      <c r="C23" s="422">
        <f>'ANALYSE - ERP =&gt; SEGMENT'!$A$18</f>
        <v>12</v>
      </c>
      <c r="D23" s="500" t="s">
        <v>3662</v>
      </c>
      <c r="E23" s="500" t="s">
        <v>1337</v>
      </c>
      <c r="F23" s="500" t="s">
        <v>7997</v>
      </c>
      <c r="H23" s="787">
        <f>IFERROR('ANALYSE - ERP =&gt; SEGMENT'!$HW$18/'ANALYSE - ERP =&gt; SEGMENT'!$HV$18,"")</f>
        <v>6.6289812270642096E-4</v>
      </c>
      <c r="I23" s="787">
        <f>IFERROR('ANALYSE - ERP =&gt; SEGMENT'!$HX$18/'ANALYSE - ERP =&gt; SEGMENT'!$HV$18,"")</f>
        <v>2.7748877726903537E-3</v>
      </c>
      <c r="J23" s="787">
        <f>IFERROR('ANALYSE - ERP =&gt; SEGMENT'!$HY$18/'ANALYSE - ERP =&gt; SEGMENT'!$HV$18,"")</f>
        <v>2.1163515135716416E-3</v>
      </c>
      <c r="K23" s="787">
        <f>IFERROR('ANALYSE - ERP =&gt; SEGMENT'!$HZ$18/'ANALYSE - ERP =&gt; SEGMENT'!$HV$18,"")</f>
        <v>2.5359281371930837E-4</v>
      </c>
      <c r="L23" s="787">
        <f>IFERROR('ANALYSE - ERP =&gt; SEGMENT'!$IA$18/'ANALYSE - ERP =&gt; SEGMENT'!$HV$18,"")</f>
        <v>0</v>
      </c>
      <c r="N23" s="787">
        <f>IFERROR('ANALYSE - ERP =&gt; SEGMENT'!$IC$18/'ANALYSE - ERP =&gt; SEGMENT'!$IB$18,"")</f>
        <v>6.8287591406752265E-2</v>
      </c>
      <c r="O23" s="787">
        <f>IFERROR('ANALYSE - ERP =&gt; SEGMENT'!$ID$18/'ANALYSE - ERP =&gt; SEGMENT'!$IB$18,"")</f>
        <v>0.48962463227092701</v>
      </c>
      <c r="P23" s="787">
        <f>IFERROR('ANALYSE - ERP =&gt; SEGMENT'!$IE$18/'ANALYSE - ERP =&gt; SEGMENT'!$IB$18,"")</f>
        <v>0.38747364758890473</v>
      </c>
      <c r="Q23" s="787">
        <f>IFERROR('ANALYSE - ERP =&gt; SEGMENT'!$IF$18/'ANALYSE - ERP =&gt; SEGMENT'!$IB$18,"")</f>
        <v>5.2054515162714914E-2</v>
      </c>
      <c r="R23" s="787">
        <f>IFERROR('ANALYSE - ERP =&gt; SEGMENT'!$IG$18/'ANALYSE - ERP =&gt; SEGMENT'!$IB$18,"")</f>
        <v>2.5596135707009193E-3</v>
      </c>
      <c r="T23" s="430">
        <f>'ANALYSE - ERP =&gt; SEGMENT'!$Q$18</f>
        <v>1</v>
      </c>
    </row>
    <row r="24" spans="1:20" ht="15" customHeight="1">
      <c r="A24" s="26">
        <v>21</v>
      </c>
      <c r="B24" s="26">
        <v>24</v>
      </c>
      <c r="C24" s="422">
        <f>'ANALYSE - ERP =&gt; SEGMENT'!$A$15</f>
        <v>8</v>
      </c>
      <c r="D24" s="494" t="s">
        <v>2241</v>
      </c>
      <c r="E24" s="494" t="s">
        <v>2242</v>
      </c>
      <c r="F24" s="494" t="s">
        <v>7998</v>
      </c>
      <c r="H24" s="787">
        <f>IFERROR('ANALYSE - ERP =&gt; SEGMENT'!$HW$15/'ANALYSE - ERP =&gt; SEGMENT'!$HV$15,"")</f>
        <v>1.3255592533286078E-4</v>
      </c>
      <c r="I24" s="787">
        <f>IFERROR('ANALYSE - ERP =&gt; SEGMENT'!$HX$15/'ANALYSE - ERP =&gt; SEGMENT'!$HV$15,"")</f>
        <v>1.1770912065407721E-2</v>
      </c>
      <c r="J24" s="787">
        <f>IFERROR('ANALYSE - ERP =&gt; SEGMENT'!$HY$15/'ANALYSE - ERP =&gt; SEGMENT'!$HV$15,"")</f>
        <v>3.1484889263465918E-2</v>
      </c>
      <c r="K24" s="787">
        <f>IFERROR('ANALYSE - ERP =&gt; SEGMENT'!$HZ$15/'ANALYSE - ERP =&gt; SEGMENT'!$HV$15,"")</f>
        <v>1.2165173601569599E-2</v>
      </c>
      <c r="L24" s="787">
        <f>IFERROR('ANALYSE - ERP =&gt; SEGMENT'!$IA$15/'ANALYSE - ERP =&gt; SEGMENT'!$HV$15,"")</f>
        <v>6.3251890285201601E-4</v>
      </c>
      <c r="N24" s="787">
        <f>IFERROR('ANALYSE - ERP =&gt; SEGMENT'!$IC$15/'ANALYSE - ERP =&gt; SEGMENT'!$IB$15,"")</f>
        <v>0</v>
      </c>
      <c r="O24" s="787">
        <f>IFERROR('ANALYSE - ERP =&gt; SEGMENT'!$ID$15/'ANALYSE - ERP =&gt; SEGMENT'!$IB$15,"")</f>
        <v>9.7336291198302394E-2</v>
      </c>
      <c r="P24" s="787">
        <f>IFERROR('ANALYSE - ERP =&gt; SEGMENT'!$IE$15/'ANALYSE - ERP =&gt; SEGMENT'!$IB$15,"")</f>
        <v>0.47065545976441336</v>
      </c>
      <c r="Q24" s="787">
        <f>IFERROR('ANALYSE - ERP =&gt; SEGMENT'!$IF$15/'ANALYSE - ERP =&gt; SEGMENT'!$IB$15,"")</f>
        <v>0.39738662245620288</v>
      </c>
      <c r="R24" s="787">
        <f>IFERROR('ANALYSE - ERP =&gt; SEGMENT'!$IG$15/'ANALYSE - ERP =&gt; SEGMENT'!$IB$15,"")</f>
        <v>3.4621626581081526E-2</v>
      </c>
      <c r="T24" s="430">
        <f>'ANALYSE - ERP =&gt; SEGMENT'!$Q$15</f>
        <v>1</v>
      </c>
    </row>
    <row r="25" spans="1:20" ht="15" customHeight="1">
      <c r="A25" s="26">
        <v>22</v>
      </c>
      <c r="B25" s="26">
        <v>23</v>
      </c>
      <c r="C25" s="422">
        <f>'ANALYSE - ERP =&gt; SEGMENT'!$A$20</f>
        <v>16</v>
      </c>
      <c r="D25" s="492" t="s">
        <v>2187</v>
      </c>
      <c r="E25" s="492" t="s">
        <v>1435</v>
      </c>
      <c r="F25" s="492" t="s">
        <v>7999</v>
      </c>
      <c r="H25" s="787">
        <f>IFERROR('ANALYSE - ERP =&gt; SEGMENT'!$HW$20/'ANALYSE - ERP =&gt; SEGMENT'!$HV$20,"")</f>
        <v>5.5131814400509755E-3</v>
      </c>
      <c r="I25" s="787">
        <f>IFERROR('ANALYSE - ERP =&gt; SEGMENT'!$HX$20/'ANALYSE - ERP =&gt; SEGMENT'!$HV$20,"")</f>
        <v>0.14249391615632412</v>
      </c>
      <c r="J25" s="787">
        <f>IFERROR('ANALYSE - ERP =&gt; SEGMENT'!$HY$20/'ANALYSE - ERP =&gt; SEGMENT'!$HV$20,"")</f>
        <v>0.22749246566250131</v>
      </c>
      <c r="K25" s="787">
        <f>IFERROR('ANALYSE - ERP =&gt; SEGMENT'!$HZ$20/'ANALYSE - ERP =&gt; SEGMENT'!$HV$20,"")</f>
        <v>7.6761066320931715E-2</v>
      </c>
      <c r="L25" s="787">
        <f>IFERROR('ANALYSE - ERP =&gt; SEGMENT'!$IA$20/'ANALYSE - ERP =&gt; SEGMENT'!$HV$20,"")</f>
        <v>7.1538629686006584E-3</v>
      </c>
      <c r="N25" s="787">
        <f>IFERROR('ANALYSE - ERP =&gt; SEGMENT'!$IC$20/'ANALYSE - ERP =&gt; SEGMENT'!$IB$20,"")</f>
        <v>0</v>
      </c>
      <c r="O25" s="787">
        <f>IFERROR('ANALYSE - ERP =&gt; SEGMENT'!$ID$20/'ANALYSE - ERP =&gt; SEGMENT'!$IB$20,"")</f>
        <v>0.27329189593201203</v>
      </c>
      <c r="P25" s="787">
        <f>IFERROR('ANALYSE - ERP =&gt; SEGMENT'!$IE$20/'ANALYSE - ERP =&gt; SEGMENT'!$IB$20,"")</f>
        <v>0.51434729735898732</v>
      </c>
      <c r="Q25" s="787">
        <f>IFERROR('ANALYSE - ERP =&gt; SEGMENT'!$IF$20/'ANALYSE - ERP =&gt; SEGMENT'!$IB$20,"")</f>
        <v>0.19106820376997732</v>
      </c>
      <c r="R25" s="787">
        <f>IFERROR('ANALYSE - ERP =&gt; SEGMENT'!$IG$20/'ANALYSE - ERP =&gt; SEGMENT'!$IB$20,"")</f>
        <v>2.1292602939023211E-2</v>
      </c>
      <c r="T25" s="430">
        <f>'ANALYSE - ERP =&gt; SEGMENT'!$Q$20</f>
        <v>1</v>
      </c>
    </row>
    <row r="26" spans="1:20" ht="15" customHeight="1">
      <c r="A26" s="26">
        <v>23</v>
      </c>
      <c r="B26" s="26">
        <v>21</v>
      </c>
      <c r="C26" s="422">
        <f>'ANALYSE - ERP =&gt; SEGMENT'!$A$29</f>
        <v>28</v>
      </c>
      <c r="D26" s="504" t="s">
        <v>2278</v>
      </c>
      <c r="E26" s="504" t="s">
        <v>1576</v>
      </c>
      <c r="F26" s="504" t="s">
        <v>1577</v>
      </c>
      <c r="H26" s="787">
        <f>IFERROR('ANALYSE - ERP =&gt; SEGMENT'!$HW$29/'ANALYSE - ERP =&gt; SEGMENT'!$HV$29,"")</f>
        <v>3.2664802216520335E-3</v>
      </c>
      <c r="I26" s="787">
        <f>IFERROR('ANALYSE - ERP =&gt; SEGMENT'!$HX$29/'ANALYSE - ERP =&gt; SEGMENT'!$HV$29,"")</f>
        <v>1.6470398300237863E-2</v>
      </c>
      <c r="J26" s="787">
        <f>IFERROR('ANALYSE - ERP =&gt; SEGMENT'!$HY$29/'ANALYSE - ERP =&gt; SEGMENT'!$HV$29,"")</f>
        <v>9.9247861619137703E-3</v>
      </c>
      <c r="K26" s="787">
        <f>IFERROR('ANALYSE - ERP =&gt; SEGMENT'!$HZ$29/'ANALYSE - ERP =&gt; SEGMENT'!$HV$29,"")</f>
        <v>7.9611962366759508E-4</v>
      </c>
      <c r="L26" s="787">
        <f>IFERROR('ANALYSE - ERP =&gt; SEGMENT'!$IA$29/'ANALYSE - ERP =&gt; SEGMENT'!$HV$29,"")</f>
        <v>0</v>
      </c>
      <c r="N26" s="787">
        <f>IFERROR('ANALYSE - ERP =&gt; SEGMENT'!$IC$29/'ANALYSE - ERP =&gt; SEGMENT'!$IB$29,"")</f>
        <v>9.1614799452461163E-2</v>
      </c>
      <c r="O26" s="787">
        <f>IFERROR('ANALYSE - ERP =&gt; SEGMENT'!$ID$29/'ANALYSE - ERP =&gt; SEGMENT'!$IB$29,"")</f>
        <v>0.52190959547799476</v>
      </c>
      <c r="P26" s="787">
        <f>IFERROR('ANALYSE - ERP =&gt; SEGMENT'!$IE$29/'ANALYSE - ERP =&gt; SEGMENT'!$IB$29,"")</f>
        <v>0.34063048877884339</v>
      </c>
      <c r="Q26" s="787">
        <f>IFERROR('ANALYSE - ERP =&gt; SEGMENT'!$IF$29/'ANALYSE - ERP =&gt; SEGMENT'!$IB$29,"")</f>
        <v>4.2245116290700699E-2</v>
      </c>
      <c r="R26" s="787">
        <f>IFERROR('ANALYSE - ERP =&gt; SEGMENT'!$IG$29/'ANALYSE - ERP =&gt; SEGMENT'!$IB$29,"")</f>
        <v>3.5999999999999995E-3</v>
      </c>
      <c r="T26" s="430">
        <f>'ANALYSE - ERP =&gt; SEGMENT'!$Q$29</f>
        <v>1</v>
      </c>
    </row>
    <row r="27" spans="1:20" ht="15" customHeight="1">
      <c r="A27" s="26">
        <v>24</v>
      </c>
      <c r="B27" s="26">
        <v>19</v>
      </c>
      <c r="C27" s="422">
        <f>'ANALYSE - ERP =&gt; SEGMENT'!$A$10</f>
        <v>3</v>
      </c>
      <c r="D27" s="498" t="s">
        <v>6739</v>
      </c>
      <c r="E27" s="498" t="s">
        <v>1014</v>
      </c>
      <c r="F27" s="498" t="s">
        <v>8000</v>
      </c>
      <c r="H27" s="787">
        <f>IFERROR('ANALYSE - ERP =&gt; SEGMENT'!$HW$10/'ANALYSE - ERP =&gt; SEGMENT'!$HV$10,"")</f>
        <v>8.3854783972056295E-3</v>
      </c>
      <c r="I27" s="787">
        <f>IFERROR('ANALYSE - ERP =&gt; SEGMENT'!$HX$10/'ANALYSE - ERP =&gt; SEGMENT'!$HV$10,"")</f>
        <v>0.22411474785162838</v>
      </c>
      <c r="J27" s="787">
        <f>IFERROR('ANALYSE - ERP =&gt; SEGMENT'!$HY$10/'ANALYSE - ERP =&gt; SEGMENT'!$HV$10,"")</f>
        <v>0.5125806656478854</v>
      </c>
      <c r="K27" s="787">
        <f>IFERROR('ANALYSE - ERP =&gt; SEGMENT'!$HZ$10/'ANALYSE - ERP =&gt; SEGMENT'!$HV$10,"")</f>
        <v>0.23523939706670371</v>
      </c>
      <c r="L27" s="787">
        <f>IFERROR('ANALYSE - ERP =&gt; SEGMENT'!$IA$10/'ANALYSE - ERP =&gt; SEGMENT'!$HV$10,"")</f>
        <v>1.9679711036576897E-2</v>
      </c>
      <c r="N27" s="787">
        <f>IFERROR('ANALYSE - ERP =&gt; SEGMENT'!$IC$10/'ANALYSE - ERP =&gt; SEGMENT'!$IB$10,"")</f>
        <v>0</v>
      </c>
      <c r="O27" s="787">
        <f>IFERROR('ANALYSE - ERP =&gt; SEGMENT'!$ID$10/'ANALYSE - ERP =&gt; SEGMENT'!$IB$10,"")</f>
        <v>8.4248850606338702E-2</v>
      </c>
      <c r="P27" s="787">
        <f>IFERROR('ANALYSE - ERP =&gt; SEGMENT'!$IE$10/'ANALYSE - ERP =&gt; SEGMENT'!$IB$10,"")</f>
        <v>0.45243545660848916</v>
      </c>
      <c r="Q27" s="787">
        <f>IFERROR('ANALYSE - ERP =&gt; SEGMENT'!$IF$10/'ANALYSE - ERP =&gt; SEGMENT'!$IB$10,"")</f>
        <v>0.39735848402473151</v>
      </c>
      <c r="R27" s="787">
        <f>IFERROR('ANALYSE - ERP =&gt; SEGMENT'!$IG$10/'ANALYSE - ERP =&gt; SEGMENT'!$IB$10,"")</f>
        <v>6.59572087604407E-2</v>
      </c>
      <c r="T27" s="430">
        <f>'ANALYSE - ERP =&gt; SEGMENT'!$Q$10</f>
        <v>1</v>
      </c>
    </row>
    <row r="28" spans="1:20" ht="15" customHeight="1">
      <c r="A28" s="26">
        <v>25</v>
      </c>
      <c r="B28" s="26">
        <v>25</v>
      </c>
      <c r="C28" s="422">
        <f>'ANALYSE - ERP =&gt; SEGMENT'!$A$17</f>
        <v>11</v>
      </c>
      <c r="D28" s="500" t="s">
        <v>3662</v>
      </c>
      <c r="E28" s="500" t="s">
        <v>1240</v>
      </c>
      <c r="F28" s="500" t="s">
        <v>8001</v>
      </c>
      <c r="H28" s="787">
        <f>IFERROR('ANALYSE - ERP =&gt; SEGMENT'!$HW$17/'ANALYSE - ERP =&gt; SEGMENT'!$HV$17,"")</f>
        <v>1.5673272629887515E-3</v>
      </c>
      <c r="I28" s="787">
        <f>IFERROR('ANALYSE - ERP =&gt; SEGMENT'!$HX$17/'ANALYSE - ERP =&gt; SEGMENT'!$HV$17,"")</f>
        <v>0.5703490733797536</v>
      </c>
      <c r="J28" s="787">
        <f>IFERROR('ANALYSE - ERP =&gt; SEGMENT'!$HY$17/'ANALYSE - ERP =&gt; SEGMENT'!$HV$17,"")</f>
        <v>1.8232587680771286</v>
      </c>
      <c r="K28" s="787">
        <f>IFERROR('ANALYSE - ERP =&gt; SEGMENT'!$HZ$17/'ANALYSE - ERP =&gt; SEGMENT'!$HV$17,"")</f>
        <v>1.1816513765399033</v>
      </c>
      <c r="L28" s="787">
        <f>IFERROR('ANALYSE - ERP =&gt; SEGMENT'!$IA$17/'ANALYSE - ERP =&gt; SEGMENT'!$HV$17,"")</f>
        <v>0.15193617568291373</v>
      </c>
      <c r="N28" s="787">
        <f>IFERROR('ANALYSE - ERP =&gt; SEGMENT'!$IC$17/'ANALYSE - ERP =&gt; SEGMENT'!$IB$17,"")</f>
        <v>0</v>
      </c>
      <c r="O28" s="787">
        <f>IFERROR('ANALYSE - ERP =&gt; SEGMENT'!$ID$17/'ANALYSE - ERP =&gt; SEGMENT'!$IB$17,"")</f>
        <v>6.7408250031647632E-2</v>
      </c>
      <c r="P28" s="787">
        <f>IFERROR('ANALYSE - ERP =&gt; SEGMENT'!$IE$17/'ANALYSE - ERP =&gt; SEGMENT'!$IB$17,"")</f>
        <v>0.41166875829571559</v>
      </c>
      <c r="Q28" s="787">
        <f>IFERROR('ANALYSE - ERP =&gt; SEGMENT'!$IF$17/'ANALYSE - ERP =&gt; SEGMENT'!$IB$17,"")</f>
        <v>0.42894060611997559</v>
      </c>
      <c r="R28" s="787">
        <f>IFERROR('ANALYSE - ERP =&gt; SEGMENT'!$IG$17/'ANALYSE - ERP =&gt; SEGMENT'!$IB$17,"")</f>
        <v>9.1982385552661416E-2</v>
      </c>
      <c r="T28" s="430">
        <f>'ANALYSE - ERP =&gt; SEGMENT'!$Q$17</f>
        <v>1</v>
      </c>
    </row>
    <row r="29" spans="1:20" ht="15" customHeight="1">
      <c r="A29" s="26">
        <v>26</v>
      </c>
      <c r="B29" s="26">
        <v>26</v>
      </c>
      <c r="C29" s="422">
        <f>'ANALYSE - ERP =&gt; SEGMENT'!$A$33</f>
        <v>33</v>
      </c>
      <c r="D29" s="508" t="s">
        <v>2285</v>
      </c>
      <c r="E29" s="508" t="s">
        <v>7336</v>
      </c>
      <c r="F29" s="508" t="s">
        <v>7337</v>
      </c>
      <c r="H29" s="787">
        <f>IFERROR('ANALYSE - ERP =&gt; SEGMENT'!$HW$33/'ANALYSE - ERP =&gt; SEGMENT'!$HV$33,"")</f>
        <v>0</v>
      </c>
      <c r="I29" s="787">
        <f>IFERROR('ANALYSE - ERP =&gt; SEGMENT'!$HX$33/'ANALYSE - ERP =&gt; SEGMENT'!$HV$33,"")</f>
        <v>0</v>
      </c>
      <c r="J29" s="787">
        <f>IFERROR('ANALYSE - ERP =&gt; SEGMENT'!$HY$33/'ANALYSE - ERP =&gt; SEGMENT'!$HV$33,"")</f>
        <v>0</v>
      </c>
      <c r="K29" s="787">
        <f>IFERROR('ANALYSE - ERP =&gt; SEGMENT'!$HZ$33/'ANALYSE - ERP =&gt; SEGMENT'!$HV$33,"")</f>
        <v>0</v>
      </c>
      <c r="L29" s="787">
        <f>IFERROR('ANALYSE - ERP =&gt; SEGMENT'!$IA$33/'ANALYSE - ERP =&gt; SEGMENT'!$HV$33,"")</f>
        <v>0</v>
      </c>
      <c r="N29" s="787" t="str">
        <f>IFERROR('ANALYSE - ERP =&gt; SEGMENT'!$IC$33/'ANALYSE - ERP =&gt; SEGMENT'!$IB$33,"")</f>
        <v/>
      </c>
      <c r="O29" s="787" t="str">
        <f>IFERROR('ANALYSE - ERP =&gt; SEGMENT'!$ID$33/'ANALYSE - ERP =&gt; SEGMENT'!$IB$33,"")</f>
        <v/>
      </c>
      <c r="P29" s="787" t="str">
        <f>IFERROR('ANALYSE - ERP =&gt; SEGMENT'!$IE$33/'ANALYSE - ERP =&gt; SEGMENT'!$IB$33,"")</f>
        <v/>
      </c>
      <c r="Q29" s="787" t="str">
        <f>IFERROR('ANALYSE - ERP =&gt; SEGMENT'!$IF$33/'ANALYSE - ERP =&gt; SEGMENT'!$IB$33,"")</f>
        <v/>
      </c>
      <c r="R29" s="787" t="str">
        <f>IFERROR('ANALYSE - ERP =&gt; SEGMENT'!$IG$33/'ANALYSE - ERP =&gt; SEGMENT'!$IB$33,"")</f>
        <v/>
      </c>
      <c r="T29" s="430">
        <f>'ANALYSE - ERP =&gt; SEGMENT'!$Q$33</f>
        <v>0</v>
      </c>
    </row>
    <row r="30" spans="1:20" ht="15" customHeight="1">
      <c r="A30" s="26">
        <v>27</v>
      </c>
      <c r="B30" s="26">
        <v>27</v>
      </c>
      <c r="C30" s="422">
        <f>'ANALYSE - ERP =&gt; SEGMENT'!$A$38</f>
        <v>39</v>
      </c>
      <c r="D30" s="502" t="s">
        <v>2163</v>
      </c>
      <c r="E30" s="502" t="s">
        <v>2163</v>
      </c>
      <c r="F30" s="502" t="s">
        <v>2164</v>
      </c>
      <c r="H30" s="787" t="str">
        <f>IFERROR('ANALYSE - ERP =&gt; SEGMENT'!$HW$38/'ANALYSE - ERP =&gt; SEGMENT'!$HV$38,"")</f>
        <v/>
      </c>
      <c r="I30" s="787" t="str">
        <f>IFERROR('ANALYSE - ERP =&gt; SEGMENT'!$HX$38/'ANALYSE - ERP =&gt; SEGMENT'!$HV$38,"")</f>
        <v/>
      </c>
      <c r="J30" s="787" t="str">
        <f>IFERROR('ANALYSE - ERP =&gt; SEGMENT'!$HY$38/'ANALYSE - ERP =&gt; SEGMENT'!$HV$38,"")</f>
        <v/>
      </c>
      <c r="K30" s="787" t="str">
        <f>IFERROR('ANALYSE - ERP =&gt; SEGMENT'!$HZ$38/'ANALYSE - ERP =&gt; SEGMENT'!$HV$38,"")</f>
        <v/>
      </c>
      <c r="L30" s="787" t="str">
        <f>IFERROR('ANALYSE - ERP =&gt; SEGMENT'!$IA$38/'ANALYSE - ERP =&gt; SEGMENT'!$HV$38,"")</f>
        <v/>
      </c>
      <c r="N30" s="787">
        <f>IFERROR('ANALYSE - ERP =&gt; SEGMENT'!$IC$38/'ANALYSE - ERP =&gt; SEGMENT'!$IB$38,"")</f>
        <v>0.25748723075169128</v>
      </c>
      <c r="O30" s="787">
        <f>IFERROR('ANALYSE - ERP =&gt; SEGMENT'!$ID$38/'ANALYSE - ERP =&gt; SEGMENT'!$IB$38,"")</f>
        <v>0.57702623239644635</v>
      </c>
      <c r="P30" s="787">
        <f>IFERROR('ANALYSE - ERP =&gt; SEGMENT'!$IE$38/'ANALYSE - ERP =&gt; SEGMENT'!$IB$38,"")</f>
        <v>0.14139821763001487</v>
      </c>
      <c r="Q30" s="787">
        <f>IFERROR('ANALYSE - ERP =&gt; SEGMENT'!$IF$38/'ANALYSE - ERP =&gt; SEGMENT'!$IB$38,"")</f>
        <v>1.9691245078176985E-2</v>
      </c>
      <c r="R30" s="787">
        <f>IFERROR('ANALYSE - ERP =&gt; SEGMENT'!$IG$38/'ANALYSE - ERP =&gt; SEGMENT'!$IB$38,"")</f>
        <v>4.3970741436705893E-3</v>
      </c>
      <c r="T30" s="430">
        <f>'ANALYSE - ERP =&gt; SEGMENT'!$Q$38</f>
        <v>1</v>
      </c>
    </row>
    <row r="31" spans="1:20" ht="15" customHeight="1">
      <c r="A31" s="26">
        <v>28</v>
      </c>
      <c r="B31" s="26">
        <v>28</v>
      </c>
      <c r="C31" s="422">
        <f>'ANALYSE - ERP =&gt; SEGMENT'!$A$35</f>
        <v>36</v>
      </c>
      <c r="D31" s="510" t="s">
        <v>4908</v>
      </c>
      <c r="E31" s="510" t="s">
        <v>1985</v>
      </c>
      <c r="F31" s="510" t="s">
        <v>8002</v>
      </c>
      <c r="H31" s="787">
        <f>IFERROR('ANALYSE - ERP =&gt; SEGMENT'!$HW$35/'ANALYSE - ERP =&gt; SEGMENT'!$HV$35,"")</f>
        <v>1.2862349024277622E-2</v>
      </c>
      <c r="I31" s="787">
        <f>IFERROR('ANALYSE - ERP =&gt; SEGMENT'!$HX$35/'ANALYSE - ERP =&gt; SEGMENT'!$HV$35,"")</f>
        <v>0.11775887870908158</v>
      </c>
      <c r="J31" s="787">
        <f>IFERROR('ANALYSE - ERP =&gt; SEGMENT'!$HY$35/'ANALYSE - ERP =&gt; SEGMENT'!$HV$35,"")</f>
        <v>9.4208372013900699E-2</v>
      </c>
      <c r="K31" s="787">
        <f>IFERROR('ANALYSE - ERP =&gt; SEGMENT'!$HZ$35/'ANALYSE - ERP =&gt; SEGMENT'!$HV$35,"")</f>
        <v>1.1697837128484287E-2</v>
      </c>
      <c r="L31" s="787">
        <f>IFERROR('ANALYSE - ERP =&gt; SEGMENT'!$IA$35/'ANALYSE - ERP =&gt; SEGMENT'!$HV$35,"")</f>
        <v>1.4903156820335849E-4</v>
      </c>
      <c r="N31" s="787">
        <f>IFERROR('ANALYSE - ERP =&gt; SEGMENT'!$IC$35/'ANALYSE - ERP =&gt; SEGMENT'!$IB$35,"")</f>
        <v>2.147168834540978E-2</v>
      </c>
      <c r="O31" s="787">
        <f>IFERROR('ANALYSE - ERP =&gt; SEGMENT'!$ID$35/'ANALYSE - ERP =&gt; SEGMENT'!$IB$35,"")</f>
        <v>0.36717803595524973</v>
      </c>
      <c r="P31" s="787">
        <f>IFERROR('ANALYSE - ERP =&gt; SEGMENT'!$IE$35/'ANALYSE - ERP =&gt; SEGMENT'!$IB$35,"")</f>
        <v>0.51244730320613241</v>
      </c>
      <c r="Q31" s="787">
        <f>IFERROR('ANALYSE - ERP =&gt; SEGMENT'!$IF$35/'ANALYSE - ERP =&gt; SEGMENT'!$IB$35,"")</f>
        <v>9.6462640254726853E-2</v>
      </c>
      <c r="R31" s="787">
        <f>IFERROR('ANALYSE - ERP =&gt; SEGMENT'!$IG$35/'ANALYSE - ERP =&gt; SEGMENT'!$IB$35,"")</f>
        <v>2.440332238481131E-3</v>
      </c>
      <c r="T31" s="430">
        <f>'ANALYSE - ERP =&gt; SEGMENT'!$Q$35</f>
        <v>1</v>
      </c>
    </row>
    <row r="32" spans="1:20" ht="15" customHeight="1">
      <c r="A32" s="26">
        <v>29</v>
      </c>
      <c r="B32" s="26">
        <v>29</v>
      </c>
      <c r="C32" s="422">
        <f>'ANALYSE - ERP =&gt; SEGMENT'!$A$37</f>
        <v>38</v>
      </c>
      <c r="D32" s="510" t="s">
        <v>4908</v>
      </c>
      <c r="E32" s="510" t="s">
        <v>2027</v>
      </c>
      <c r="F32" s="510" t="s">
        <v>8003</v>
      </c>
      <c r="H32" s="787">
        <f>IFERROR('ANALYSE - ERP =&gt; SEGMENT'!$HW$37/'ANALYSE - ERP =&gt; SEGMENT'!$HV$37,"")</f>
        <v>2.7624238537992942E-3</v>
      </c>
      <c r="I32" s="787">
        <f>IFERROR('ANALYSE - ERP =&gt; SEGMENT'!$HX$37/'ANALYSE - ERP =&gt; SEGMENT'!$HV$37,"")</f>
        <v>0.13358368387303621</v>
      </c>
      <c r="J32" s="787">
        <f>IFERROR('ANALYSE - ERP =&gt; SEGMENT'!$HY$37/'ANALYSE - ERP =&gt; SEGMENT'!$HV$37,"")</f>
        <v>0.25163892914395641</v>
      </c>
      <c r="K32" s="787">
        <f>IFERROR('ANALYSE - ERP =&gt; SEGMENT'!$HZ$37/'ANALYSE - ERP =&gt; SEGMENT'!$HV$37,"")</f>
        <v>7.7109801218339213E-2</v>
      </c>
      <c r="L32" s="787">
        <f>IFERROR('ANALYSE - ERP =&gt; SEGMENT'!$IA$37/'ANALYSE - ERP =&gt; SEGMENT'!$HV$37,"")</f>
        <v>2.6832959281821098E-3</v>
      </c>
      <c r="N32" s="787">
        <f>IFERROR('ANALYSE - ERP =&gt; SEGMENT'!$IC$37/'ANALYSE - ERP =&gt; SEGMENT'!$IB$37,"")</f>
        <v>4.4371458406977009E-4</v>
      </c>
      <c r="O32" s="787">
        <f>IFERROR('ANALYSE - ERP =&gt; SEGMENT'!$ID$37/'ANALYSE - ERP =&gt; SEGMENT'!$IB$37,"")</f>
        <v>0.17865455518613232</v>
      </c>
      <c r="P32" s="787">
        <f>IFERROR('ANALYSE - ERP =&gt; SEGMENT'!$IE$37/'ANALYSE - ERP =&gt; SEGMENT'!$IB$37,"")</f>
        <v>0.55044708102124351</v>
      </c>
      <c r="Q32" s="787">
        <f>IFERROR('ANALYSE - ERP =&gt; SEGMENT'!$IF$37/'ANALYSE - ERP =&gt; SEGMENT'!$IB$37,"")</f>
        <v>0.25521132856626044</v>
      </c>
      <c r="R32" s="787">
        <f>IFERROR('ANALYSE - ERP =&gt; SEGMENT'!$IG$37/'ANALYSE - ERP =&gt; SEGMENT'!$IB$37,"")</f>
        <v>1.524332064229404E-2</v>
      </c>
      <c r="T32" s="430">
        <f>'ANALYSE - ERP =&gt; SEGMENT'!$Q$37</f>
        <v>1</v>
      </c>
    </row>
    <row r="33" spans="1:20" ht="15" customHeight="1">
      <c r="A33" s="26">
        <v>30</v>
      </c>
      <c r="B33" s="26">
        <v>30</v>
      </c>
      <c r="C33" s="422">
        <f>'ANALYSE - ERP =&gt; SEGMENT'!$A$25</f>
        <v>22</v>
      </c>
      <c r="D33" s="506" t="s">
        <v>7117</v>
      </c>
      <c r="E33" s="506" t="s">
        <v>1487</v>
      </c>
      <c r="F33" s="506" t="s">
        <v>8004</v>
      </c>
      <c r="H33" s="787">
        <f>IFERROR('ANALYSE - ERP =&gt; SEGMENT'!$HW$25/'ANALYSE - ERP =&gt; SEGMENT'!$HV$25,"")</f>
        <v>1.831339287386021E-3</v>
      </c>
      <c r="I33" s="787">
        <f>IFERROR('ANALYSE - ERP =&gt; SEGMENT'!$HX$25/'ANALYSE - ERP =&gt; SEGMENT'!$HV$25,"")</f>
        <v>6.0799116253814883E-3</v>
      </c>
      <c r="J33" s="787">
        <f>IFERROR('ANALYSE - ERP =&gt; SEGMENT'!$HY$25/'ANALYSE - ERP =&gt; SEGMENT'!$HV$25,"")</f>
        <v>5.6967427462287874E-3</v>
      </c>
      <c r="K33" s="787">
        <f>IFERROR('ANALYSE - ERP =&gt; SEGMENT'!$HZ$25/'ANALYSE - ERP =&gt; SEGMENT'!$HV$25,"")</f>
        <v>8.0936171806249863E-3</v>
      </c>
      <c r="L33" s="787">
        <f>IFERROR('ANALYSE - ERP =&gt; SEGMENT'!$IA$25/'ANALYSE - ERP =&gt; SEGMENT'!$HV$25,"")</f>
        <v>2.6388561228756695E-3</v>
      </c>
      <c r="N33" s="787">
        <f>IFERROR('ANALYSE - ERP =&gt; SEGMENT'!$IC$25/'ANALYSE - ERP =&gt; SEGMENT'!$IB$25,"")</f>
        <v>4.5672448009404072E-2</v>
      </c>
      <c r="O33" s="787">
        <f>IFERROR('ANALYSE - ERP =&gt; SEGMENT'!$ID$25/'ANALYSE - ERP =&gt; SEGMENT'!$IB$25,"")</f>
        <v>0.23686416464787197</v>
      </c>
      <c r="P33" s="787">
        <f>IFERROR('ANALYSE - ERP =&gt; SEGMENT'!$IE$25/'ANALYSE - ERP =&gt; SEGMENT'!$IB$25,"")</f>
        <v>0.22340943464342969</v>
      </c>
      <c r="Q33" s="787">
        <f>IFERROR('ANALYSE - ERP =&gt; SEGMENT'!$IF$25/'ANALYSE - ERP =&gt; SEGMENT'!$IB$25,"")</f>
        <v>0.34181065087706947</v>
      </c>
      <c r="R33" s="787">
        <f>IFERROR('ANALYSE - ERP =&gt; SEGMENT'!$IG$25/'ANALYSE - ERP =&gt; SEGMENT'!$IB$25,"")</f>
        <v>0.15224330182222498</v>
      </c>
      <c r="T33" s="430">
        <f>'ANALYSE - ERP =&gt; SEGMENT'!$Q$25</f>
        <v>1</v>
      </c>
    </row>
    <row r="34" spans="1:20" ht="15" customHeight="1">
      <c r="A34" s="26">
        <v>31</v>
      </c>
      <c r="B34" s="26">
        <v>31</v>
      </c>
      <c r="C34" s="422">
        <f>'ANALYSE - ERP =&gt; SEGMENT'!$A$34</f>
        <v>35</v>
      </c>
      <c r="D34" s="510" t="s">
        <v>4908</v>
      </c>
      <c r="E34" s="510" t="s">
        <v>1950</v>
      </c>
      <c r="F34" s="510" t="s">
        <v>8005</v>
      </c>
      <c r="H34" s="787">
        <f>IFERROR('ANALYSE - ERP =&gt; SEGMENT'!$HW$34/'ANALYSE - ERP =&gt; SEGMENT'!$HV$34,"")</f>
        <v>2.88915930793716E-2</v>
      </c>
      <c r="I34" s="787">
        <f>IFERROR('ANALYSE - ERP =&gt; SEGMENT'!$HX$34/'ANALYSE - ERP =&gt; SEGMENT'!$HV$34,"")</f>
        <v>0.18189567204025053</v>
      </c>
      <c r="J34" s="787">
        <f>IFERROR('ANALYSE - ERP =&gt; SEGMENT'!$HY$34/'ANALYSE - ERP =&gt; SEGMENT'!$HV$34,"")</f>
        <v>9.3530426635178146E-2</v>
      </c>
      <c r="K34" s="787">
        <f>IFERROR('ANALYSE - ERP =&gt; SEGMENT'!$HZ$34/'ANALYSE - ERP =&gt; SEGMENT'!$HV$34,"")</f>
        <v>0</v>
      </c>
      <c r="L34" s="787">
        <f>IFERROR('ANALYSE - ERP =&gt; SEGMENT'!$IA$34/'ANALYSE - ERP =&gt; SEGMENT'!$HV$34,"")</f>
        <v>0</v>
      </c>
      <c r="N34" s="787">
        <f>IFERROR('ANALYSE - ERP =&gt; SEGMENT'!$IC$34/'ANALYSE - ERP =&gt; SEGMENT'!$IB$34,"")</f>
        <v>5.4148913432276409E-2</v>
      </c>
      <c r="O34" s="787">
        <f>IFERROR('ANALYSE - ERP =&gt; SEGMENT'!$ID$34/'ANALYSE - ERP =&gt; SEGMENT'!$IB$34,"")</f>
        <v>0.52026612953497831</v>
      </c>
      <c r="P34" s="787">
        <f>IFERROR('ANALYSE - ERP =&gt; SEGMENT'!$IE$34/'ANALYSE - ERP =&gt; SEGMENT'!$IB$34,"")</f>
        <v>0.42538775406655621</v>
      </c>
      <c r="Q34" s="787">
        <f>IFERROR('ANALYSE - ERP =&gt; SEGMENT'!$IF$34/'ANALYSE - ERP =&gt; SEGMENT'!$IB$34,"")</f>
        <v>1.9720296618884405E-4</v>
      </c>
      <c r="R34" s="787">
        <f>IFERROR('ANALYSE - ERP =&gt; SEGMENT'!$IG$34/'ANALYSE - ERP =&gt; SEGMENT'!$IB$34,"")</f>
        <v>0</v>
      </c>
      <c r="T34" s="430">
        <f>'ANALYSE - ERP =&gt; SEGMENT'!$Q$34</f>
        <v>1</v>
      </c>
    </row>
  </sheetData>
  <pageMargins left="3.937007874015748E-2" right="3.937007874015748E-2" top="7.874015748031496E-2" bottom="7.874015748031496E-2" header="0.11811023622047249" footer="0.11811023622047249"/>
  <pageSetup paperSize="8" scale="89" fitToHeight="2"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5" tint="0.39997558519241921"/>
    <pageSetUpPr fitToPage="1"/>
  </sheetPr>
  <dimension ref="A1:BZ34"/>
  <sheetViews>
    <sheetView zoomScale="85" zoomScaleNormal="85" workbookViewId="0">
      <selection activeCell="F21" sqref="F21"/>
    </sheetView>
  </sheetViews>
  <sheetFormatPr baseColWidth="10" defaultColWidth="9.140625" defaultRowHeight="15"/>
  <cols>
    <col min="1" max="2" width="9" style="934" customWidth="1"/>
    <col min="3" max="3" width="6" style="934" customWidth="1"/>
    <col min="4" max="4" width="30.5703125" style="934" customWidth="1"/>
    <col min="5" max="5" width="27.7109375" style="43" customWidth="1"/>
    <col min="6" max="6" width="51.7109375" style="43" customWidth="1"/>
    <col min="7" max="7" width="1.7109375" style="933" customWidth="1"/>
    <col min="8" max="8" width="9.28515625" style="43" customWidth="1"/>
    <col min="9" max="12" width="9.28515625" style="934" customWidth="1"/>
    <col min="13" max="13" width="1.7109375" style="933" customWidth="1"/>
    <col min="14" max="18" width="9.2851562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7970</v>
      </c>
      <c r="F1" s="479"/>
      <c r="H1" s="474"/>
      <c r="I1" s="474"/>
      <c r="J1" s="475" t="s">
        <v>7971</v>
      </c>
      <c r="K1" s="474"/>
      <c r="L1" s="474"/>
      <c r="N1" s="452"/>
      <c r="O1" s="452"/>
      <c r="P1" s="476" t="s">
        <v>7972</v>
      </c>
      <c r="Q1" s="452"/>
      <c r="R1" s="452"/>
      <c r="T1" s="452"/>
    </row>
    <row r="2" spans="1:20"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520" t="s">
        <v>6739</v>
      </c>
      <c r="E3" s="520" t="s">
        <v>2104</v>
      </c>
      <c r="F3" s="520" t="s">
        <v>671</v>
      </c>
      <c r="H3" s="426">
        <f>SUMPRODUCT(($T$4:$T$106),('ANALYSE - ERP =&gt; SEGMENT'!$HW$8:$HW$110))</f>
        <v>823355.10692249972</v>
      </c>
      <c r="I3" s="426">
        <f>SUMPRODUCT(($T$4:$T$106),('ANALYSE - ERP =&gt; SEGMENT'!$HX$8:$HX$110))</f>
        <v>5323510.6324690012</v>
      </c>
      <c r="J3" s="426">
        <f>SUMPRODUCT(($T$4:$T$106),('ANALYSE - ERP =&gt; SEGMENT'!$HY$8:$HY$110))</f>
        <v>5495058.9096834995</v>
      </c>
      <c r="K3" s="426">
        <f>SUMPRODUCT(($T$4:$T$106),('ANALYSE - ERP =&gt; SEGMENT'!$HZ$8:$HZ$110))</f>
        <v>1450993.7636430005</v>
      </c>
      <c r="L3" s="426">
        <f>SUMPRODUCT(($T$4:$T$106),('ANALYSE - ERP =&gt; SEGMENT'!$IA$8:$IA$110))</f>
        <v>88702.746532000005</v>
      </c>
      <c r="N3" s="426">
        <f>SUMPRODUCT(($T$4:$T$106),('ANALYSE - ERP =&gt; SEGMENT'!$IC$8:$IC$110))</f>
        <v>144291.94267903719</v>
      </c>
      <c r="O3" s="426">
        <f>SUMPRODUCT(($T$4:$T$106),('ANALYSE - ERP =&gt; SEGMENT'!$ID$8:$ID$110))</f>
        <v>1439461.2903203664</v>
      </c>
      <c r="P3" s="426">
        <f>SUMPRODUCT(($T$4:$T$106),('ANALYSE - ERP =&gt; SEGMENT'!$IE$8:$IE$110))</f>
        <v>1999765.5219514435</v>
      </c>
      <c r="Q3" s="426">
        <f>SUMPRODUCT(($T$4:$T$106),('ANALYSE - ERP =&gt; SEGMENT'!$IF$8:$IF$110))</f>
        <v>719034.95955855644</v>
      </c>
      <c r="R3" s="426">
        <f>SUMPRODUCT(($T$4:$T$106),('ANALYSE - ERP =&gt; SEGMENT'!$IG$8:$IG$110))</f>
        <v>71022.335405398888</v>
      </c>
      <c r="T3" s="428">
        <f>SUM('ANALYSE - ERP =&gt; SEGMENT'!$Q$8:$Q$110)</f>
        <v>34</v>
      </c>
    </row>
    <row r="4" spans="1:20" ht="15" customHeight="1">
      <c r="A4" s="26">
        <v>1</v>
      </c>
      <c r="B4" s="26">
        <v>1</v>
      </c>
      <c r="C4" s="422">
        <f>'ANALYSE - ERP =&gt; SEGMENT'!$A$19</f>
        <v>15</v>
      </c>
      <c r="D4" s="492" t="s">
        <v>2187</v>
      </c>
      <c r="E4" s="492" t="s">
        <v>3877</v>
      </c>
      <c r="F4" s="492" t="s">
        <v>7981</v>
      </c>
      <c r="H4" s="458">
        <f>'ANALYSE - ERP =&gt; SEGMENT'!$HW$19</f>
        <v>38986.151099999995</v>
      </c>
      <c r="I4" s="458">
        <f>'ANALYSE - ERP =&gt; SEGMENT'!$HX$19</f>
        <v>578997.12320000003</v>
      </c>
      <c r="J4" s="458">
        <f>'ANALYSE - ERP =&gt; SEGMENT'!$HY$19</f>
        <v>726478.47370000009</v>
      </c>
      <c r="K4" s="458">
        <f>'ANALYSE - ERP =&gt; SEGMENT'!$HZ$19</f>
        <v>221196.7598</v>
      </c>
      <c r="L4" s="458">
        <f>'ANALYSE - ERP =&gt; SEGMENT'!$IA$19</f>
        <v>41681.992200000001</v>
      </c>
      <c r="N4" s="458">
        <f>'ANALYSE - ERP =&gt; SEGMENT'!$IC$19</f>
        <v>1397.3173080139309</v>
      </c>
      <c r="O4" s="458">
        <f>'ANALYSE - ERP =&gt; SEGMENT'!$ID$19</f>
        <v>172719.85326666292</v>
      </c>
      <c r="P4" s="458">
        <f>'ANALYSE - ERP =&gt; SEGMENT'!$IE$19</f>
        <v>318410.02661151288</v>
      </c>
      <c r="Q4" s="458">
        <f>'ANALYSE - ERP =&gt; SEGMENT'!$IF$19</f>
        <v>112668.52219923971</v>
      </c>
      <c r="R4" s="458">
        <f>'ANALYSE - ERP =&gt; SEGMENT'!$IG$19</f>
        <v>20519.682738478878</v>
      </c>
      <c r="T4" s="430">
        <f>'ANALYSE - ERP =&gt; SEGMENT'!$Q$19</f>
        <v>1</v>
      </c>
    </row>
    <row r="5" spans="1:20" ht="15" customHeight="1">
      <c r="A5" s="26">
        <v>2</v>
      </c>
      <c r="B5" s="26">
        <v>3</v>
      </c>
      <c r="C5" s="422">
        <f>'ANALYSE - ERP =&gt; SEGMENT'!$A$14</f>
        <v>7</v>
      </c>
      <c r="D5" s="494" t="s">
        <v>2241</v>
      </c>
      <c r="E5" s="494" t="s">
        <v>1032</v>
      </c>
      <c r="F5" s="494" t="s">
        <v>7982</v>
      </c>
      <c r="H5" s="458">
        <f>'ANALYSE - ERP =&gt; SEGMENT'!$HW$14</f>
        <v>304.13660000000004</v>
      </c>
      <c r="I5" s="458">
        <f>'ANALYSE - ERP =&gt; SEGMENT'!$HX$14</f>
        <v>220183.34239999999</v>
      </c>
      <c r="J5" s="458">
        <f>'ANALYSE - ERP =&gt; SEGMENT'!$HY$14</f>
        <v>872766.40299999993</v>
      </c>
      <c r="K5" s="458">
        <f>'ANALYSE - ERP =&gt; SEGMENT'!$HZ$14</f>
        <v>510746.42719999998</v>
      </c>
      <c r="L5" s="458">
        <f>'ANALYSE - ERP =&gt; SEGMENT'!$IA$14</f>
        <v>6319.1907999999994</v>
      </c>
      <c r="N5" s="458">
        <f>'ANALYSE - ERP =&gt; SEGMENT'!$IC$14</f>
        <v>0</v>
      </c>
      <c r="O5" s="458">
        <f>'ANALYSE - ERP =&gt; SEGMENT'!$ID$14</f>
        <v>38767.182862602385</v>
      </c>
      <c r="P5" s="458">
        <f>'ANALYSE - ERP =&gt; SEGMENT'!$IE$14</f>
        <v>268443.01615213475</v>
      </c>
      <c r="Q5" s="458">
        <f>'ANALYSE - ERP =&gt; SEGMENT'!$IF$14</f>
        <v>229722.64933998702</v>
      </c>
      <c r="R5" s="458">
        <f>'ANALYSE - ERP =&gt; SEGMENT'!$IG$14</f>
        <v>13296.122509751369</v>
      </c>
      <c r="T5" s="430">
        <f>'ANALYSE - ERP =&gt; SEGMENT'!$Q$14</f>
        <v>1</v>
      </c>
    </row>
    <row r="6" spans="1:20" ht="15" customHeight="1">
      <c r="A6" s="26">
        <v>3</v>
      </c>
      <c r="B6" s="26">
        <v>4</v>
      </c>
      <c r="C6" s="422">
        <f>'ANALYSE - ERP =&gt; SEGMENT'!$A$30</f>
        <v>29</v>
      </c>
      <c r="D6" s="496" t="s">
        <v>1670</v>
      </c>
      <c r="E6" s="496" t="s">
        <v>1671</v>
      </c>
      <c r="F6" s="496" t="s">
        <v>7983</v>
      </c>
      <c r="H6" s="458">
        <f>'ANALYSE - ERP =&gt; SEGMENT'!$HW$30</f>
        <v>162367.027</v>
      </c>
      <c r="I6" s="458">
        <f>'ANALYSE - ERP =&gt; SEGMENT'!$HX$30</f>
        <v>626926.88100000005</v>
      </c>
      <c r="J6" s="458">
        <f>'ANALYSE - ERP =&gt; SEGMENT'!$HY$30</f>
        <v>328673.02400000003</v>
      </c>
      <c r="K6" s="458">
        <f>'ANALYSE - ERP =&gt; SEGMENT'!$HZ$30</f>
        <v>57770.284000000007</v>
      </c>
      <c r="L6" s="458">
        <f>'ANALYSE - ERP =&gt; SEGMENT'!$IA$30</f>
        <v>10823.16</v>
      </c>
      <c r="N6" s="458">
        <f>'ANALYSE - ERP =&gt; SEGMENT'!$IC$30</f>
        <v>34412.336958575448</v>
      </c>
      <c r="O6" s="458">
        <f>'ANALYSE - ERP =&gt; SEGMENT'!$ID$30</f>
        <v>232795.55291584789</v>
      </c>
      <c r="P6" s="458">
        <f>'ANALYSE - ERP =&gt; SEGMENT'!$IE$30</f>
        <v>182273.20684088918</v>
      </c>
      <c r="Q6" s="458">
        <f>'ANALYSE - ERP =&gt; SEGMENT'!$IF$30</f>
        <v>37527.343856733598</v>
      </c>
      <c r="R6" s="458">
        <f>'ANALYSE - ERP =&gt; SEGMENT'!$IG$30</f>
        <v>7338.3740598780751</v>
      </c>
      <c r="T6" s="430">
        <f>'ANALYSE - ERP =&gt; SEGMENT'!$Q$30</f>
        <v>1</v>
      </c>
    </row>
    <row r="7" spans="1:20" ht="15" customHeight="1">
      <c r="A7" s="26">
        <v>4</v>
      </c>
      <c r="B7" s="26">
        <v>2</v>
      </c>
      <c r="C7" s="422">
        <f>'ANALYSE - ERP =&gt; SEGMENT'!$A$9</f>
        <v>2</v>
      </c>
      <c r="D7" s="498" t="s">
        <v>6739</v>
      </c>
      <c r="E7" s="498" t="s">
        <v>2678</v>
      </c>
      <c r="F7" s="498" t="s">
        <v>7984</v>
      </c>
      <c r="H7" s="458">
        <f>'ANALYSE - ERP =&gt; SEGMENT'!$HW$9</f>
        <v>234985.37009499996</v>
      </c>
      <c r="I7" s="458">
        <f>'ANALYSE - ERP =&gt; SEGMENT'!$HX$9</f>
        <v>1189430.9577939999</v>
      </c>
      <c r="J7" s="458">
        <f>'ANALYSE - ERP =&gt; SEGMENT'!$HY$9</f>
        <v>732360.00865099998</v>
      </c>
      <c r="K7" s="458">
        <f>'ANALYSE - ERP =&gt; SEGMENT'!$HZ$9</f>
        <v>65868.849077999999</v>
      </c>
      <c r="L7" s="458">
        <f>'ANALYSE - ERP =&gt; SEGMENT'!$IA$9</f>
        <v>1504.7243820000001</v>
      </c>
      <c r="N7" s="458">
        <f>'ANALYSE - ERP =&gt; SEGMENT'!$IC$9</f>
        <v>19127.016624494885</v>
      </c>
      <c r="O7" s="458">
        <f>'ANALYSE - ERP =&gt; SEGMENT'!$ID$9</f>
        <v>190021.39926197246</v>
      </c>
      <c r="P7" s="458">
        <f>'ANALYSE - ERP =&gt; SEGMENT'!$IE$9</f>
        <v>226830.80852461766</v>
      </c>
      <c r="Q7" s="458">
        <f>'ANALYSE - ERP =&gt; SEGMENT'!$IF$9</f>
        <v>35767.813925128699</v>
      </c>
      <c r="R7" s="458">
        <f>'ANALYSE - ERP =&gt; SEGMENT'!$IG$9</f>
        <v>1152.0668796791524</v>
      </c>
      <c r="T7" s="430">
        <f>'ANALYSE - ERP =&gt; SEGMENT'!$Q$9</f>
        <v>1</v>
      </c>
    </row>
    <row r="8" spans="1:20" ht="15" customHeight="1">
      <c r="A8" s="26">
        <v>5</v>
      </c>
      <c r="B8" s="26">
        <v>5</v>
      </c>
      <c r="C8" s="422">
        <f>'ANALYSE - ERP =&gt; SEGMENT'!$A$16</f>
        <v>10</v>
      </c>
      <c r="D8" s="500" t="s">
        <v>3662</v>
      </c>
      <c r="E8" s="500" t="s">
        <v>1114</v>
      </c>
      <c r="F8" s="500" t="s">
        <v>7985</v>
      </c>
      <c r="H8" s="458">
        <f>'ANALYSE - ERP =&gt; SEGMENT'!$HW$16</f>
        <v>20994.911100000001</v>
      </c>
      <c r="I8" s="458">
        <f>'ANALYSE - ERP =&gt; SEGMENT'!$HX$16</f>
        <v>284313.85820000002</v>
      </c>
      <c r="J8" s="458">
        <f>'ANALYSE - ERP =&gt; SEGMENT'!$HY$16</f>
        <v>388621.03690000001</v>
      </c>
      <c r="K8" s="458">
        <f>'ANALYSE - ERP =&gt; SEGMENT'!$HZ$16</f>
        <v>93885.323399999994</v>
      </c>
      <c r="L8" s="458">
        <f>'ANALYSE - ERP =&gt; SEGMENT'!$IA$16</f>
        <v>4730.3544000000002</v>
      </c>
      <c r="N8" s="458">
        <f>'ANALYSE - ERP =&gt; SEGMENT'!$IC$16</f>
        <v>2440.4772721984218</v>
      </c>
      <c r="O8" s="458">
        <f>'ANALYSE - ERP =&gt; SEGMENT'!$ID$16</f>
        <v>75093.473134787928</v>
      </c>
      <c r="P8" s="458">
        <f>'ANALYSE - ERP =&gt; SEGMENT'!$IE$16</f>
        <v>126352.87783897265</v>
      </c>
      <c r="Q8" s="458">
        <f>'ANALYSE - ERP =&gt; SEGMENT'!$IF$16</f>
        <v>43503.313340173983</v>
      </c>
      <c r="R8" s="458">
        <f>'ANALYSE - ERP =&gt; SEGMENT'!$IG$16</f>
        <v>4325.9363913907073</v>
      </c>
      <c r="T8" s="430">
        <f>'ANALYSE - ERP =&gt; SEGMENT'!$Q$16</f>
        <v>1</v>
      </c>
    </row>
    <row r="9" spans="1:20" ht="15" customHeight="1">
      <c r="A9" s="26">
        <v>6</v>
      </c>
      <c r="B9" s="26">
        <v>6</v>
      </c>
      <c r="C9" s="422">
        <f>'ANALYSE - ERP =&gt; SEGMENT'!$A$22</f>
        <v>18</v>
      </c>
      <c r="D9" s="502" t="s">
        <v>2264</v>
      </c>
      <c r="E9" s="502" t="s">
        <v>4024</v>
      </c>
      <c r="F9" s="502" t="s">
        <v>679</v>
      </c>
      <c r="H9" s="458">
        <f>'ANALYSE - ERP =&gt; SEGMENT'!$HW$22</f>
        <v>40228.521999999997</v>
      </c>
      <c r="I9" s="458">
        <f>'ANALYSE - ERP =&gt; SEGMENT'!$HX$22</f>
        <v>504645.51150000002</v>
      </c>
      <c r="J9" s="458">
        <f>'ANALYSE - ERP =&gt; SEGMENT'!$HY$22</f>
        <v>581633.04850000003</v>
      </c>
      <c r="K9" s="458">
        <f>'ANALYSE - ERP =&gt; SEGMENT'!$HZ$22</f>
        <v>74066.050250000015</v>
      </c>
      <c r="L9" s="458">
        <f>'ANALYSE - ERP =&gt; SEGMENT'!$IA$22</f>
        <v>0</v>
      </c>
      <c r="N9" s="458">
        <f>'ANALYSE - ERP =&gt; SEGMENT'!$IC$22</f>
        <v>3927.9009982196512</v>
      </c>
      <c r="O9" s="458">
        <f>'ANALYSE - ERP =&gt; SEGMENT'!$ID$22</f>
        <v>132921.33286942382</v>
      </c>
      <c r="P9" s="458">
        <f>'ANALYSE - ERP =&gt; SEGMENT'!$IE$22</f>
        <v>169639.78779465536</v>
      </c>
      <c r="Q9" s="458">
        <f>'ANALYSE - ERP =&gt; SEGMENT'!$IF$22</f>
        <v>28054.670965954836</v>
      </c>
      <c r="R9" s="458">
        <f>'ANALYSE - ERP =&gt; SEGMENT'!$IG$22</f>
        <v>1680.9077748652653</v>
      </c>
      <c r="T9" s="430">
        <f>'ANALYSE - ERP =&gt; SEGMENT'!$Q$22</f>
        <v>1</v>
      </c>
    </row>
    <row r="10" spans="1:20" ht="15" customHeight="1">
      <c r="A10" s="26">
        <v>7</v>
      </c>
      <c r="B10" s="26">
        <v>7</v>
      </c>
      <c r="C10" s="422">
        <f>'ANALYSE - ERP =&gt; SEGMENT'!$A$31</f>
        <v>30</v>
      </c>
      <c r="D10" s="496" t="s">
        <v>1670</v>
      </c>
      <c r="E10" s="496" t="s">
        <v>1747</v>
      </c>
      <c r="F10" s="496" t="s">
        <v>7986</v>
      </c>
      <c r="H10" s="458">
        <f>'ANALYSE - ERP =&gt; SEGMENT'!$HW$31</f>
        <v>158917.56199999998</v>
      </c>
      <c r="I10" s="458">
        <f>'ANALYSE - ERP =&gt; SEGMENT'!$HX$31</f>
        <v>595361.17099999997</v>
      </c>
      <c r="J10" s="458">
        <f>'ANALYSE - ERP =&gt; SEGMENT'!$HY$31</f>
        <v>286195.84399999998</v>
      </c>
      <c r="K10" s="458">
        <f>'ANALYSE - ERP =&gt; SEGMENT'!$HZ$31</f>
        <v>27397.145</v>
      </c>
      <c r="L10" s="458">
        <f>'ANALYSE - ERP =&gt; SEGMENT'!$IA$31</f>
        <v>0</v>
      </c>
      <c r="N10" s="458">
        <f>'ANALYSE - ERP =&gt; SEGMENT'!$IC$31</f>
        <v>54118.882546445799</v>
      </c>
      <c r="O10" s="458">
        <f>'ANALYSE - ERP =&gt; SEGMENT'!$ID$31</f>
        <v>234834.1755954382</v>
      </c>
      <c r="P10" s="458">
        <f>'ANALYSE - ERP =&gt; SEGMENT'!$IE$31</f>
        <v>138869.45336098108</v>
      </c>
      <c r="Q10" s="458">
        <f>'ANALYSE - ERP =&gt; SEGMENT'!$IF$31</f>
        <v>20161.238640296375</v>
      </c>
      <c r="R10" s="458">
        <f>'ANALYSE - ERP =&gt; SEGMENT'!$IG$31</f>
        <v>1540.848687145291</v>
      </c>
      <c r="T10" s="430">
        <f>'ANALYSE - ERP =&gt; SEGMENT'!$Q$31</f>
        <v>1</v>
      </c>
    </row>
    <row r="11" spans="1:20" s="45" customFormat="1" ht="15" customHeight="1">
      <c r="A11" s="26">
        <v>8</v>
      </c>
      <c r="B11" s="26">
        <v>8</v>
      </c>
      <c r="C11" s="422">
        <f>'ANALYSE - ERP =&gt; SEGMENT'!$A$27</f>
        <v>26</v>
      </c>
      <c r="D11" s="504" t="s">
        <v>2278</v>
      </c>
      <c r="E11" s="504" t="s">
        <v>1527</v>
      </c>
      <c r="F11" s="504" t="s">
        <v>7987</v>
      </c>
      <c r="G11" s="685"/>
      <c r="H11" s="458">
        <f>'ANALYSE - ERP =&gt; SEGMENT'!$HW$27</f>
        <v>12099.078199999996</v>
      </c>
      <c r="I11" s="458">
        <f>'ANALYSE - ERP =&gt; SEGMENT'!$HX$27</f>
        <v>143168.36405999999</v>
      </c>
      <c r="J11" s="458">
        <f>'ANALYSE - ERP =&gt; SEGMENT'!$HY$27</f>
        <v>164521.97484000001</v>
      </c>
      <c r="K11" s="458">
        <f>'ANALYSE - ERP =&gt; SEGMENT'!$HZ$27</f>
        <v>21425.277100000003</v>
      </c>
      <c r="L11" s="458">
        <f>'ANALYSE - ERP =&gt; SEGMENT'!$IA$27</f>
        <v>25.105800000000002</v>
      </c>
      <c r="M11" s="685"/>
      <c r="N11" s="458">
        <f>'ANALYSE - ERP =&gt; SEGMENT'!$IC$27</f>
        <v>1725.1953444856131</v>
      </c>
      <c r="O11" s="458">
        <f>'ANALYSE - ERP =&gt; SEGMENT'!$ID$27</f>
        <v>42571.707154448595</v>
      </c>
      <c r="P11" s="458">
        <f>'ANALYSE - ERP =&gt; SEGMENT'!$IE$27</f>
        <v>54674.197989615452</v>
      </c>
      <c r="Q11" s="458">
        <f>'ANALYSE - ERP =&gt; SEGMENT'!$IF$27</f>
        <v>9137.4836140903935</v>
      </c>
      <c r="R11" s="458">
        <f>'ANALYSE - ERP =&gt; SEGMENT'!$IG$27</f>
        <v>468.32946996667567</v>
      </c>
      <c r="S11" s="685"/>
      <c r="T11" s="430">
        <f>'ANALYSE - ERP =&gt; SEGMENT'!$Q$27</f>
        <v>1</v>
      </c>
    </row>
    <row r="12" spans="1:20" ht="15" customHeight="1">
      <c r="A12" s="26">
        <v>9</v>
      </c>
      <c r="B12" s="26">
        <v>10</v>
      </c>
      <c r="C12" s="422">
        <f>'ANALYSE - ERP =&gt; SEGMENT'!$A$13</f>
        <v>6</v>
      </c>
      <c r="D12" s="494" t="s">
        <v>2241</v>
      </c>
      <c r="E12" s="494" t="s">
        <v>1053</v>
      </c>
      <c r="F12" s="494" t="s">
        <v>7988</v>
      </c>
      <c r="H12" s="458">
        <f>'ANALYSE - ERP =&gt; SEGMENT'!$HW$13</f>
        <v>91.369799999999998</v>
      </c>
      <c r="I12" s="458">
        <f>'ANALYSE - ERP =&gt; SEGMENT'!$HX$13</f>
        <v>120854.3802</v>
      </c>
      <c r="J12" s="458">
        <f>'ANALYSE - ERP =&gt; SEGMENT'!$HY$13</f>
        <v>362512.26699999999</v>
      </c>
      <c r="K12" s="458">
        <f>'ANALYSE - ERP =&gt; SEGMENT'!$HZ$13</f>
        <v>149622.7942</v>
      </c>
      <c r="L12" s="458">
        <f>'ANALYSE - ERP =&gt; SEGMENT'!$IA$13</f>
        <v>9201.1887999999999</v>
      </c>
      <c r="N12" s="458">
        <f>'ANALYSE - ERP =&gt; SEGMENT'!$IC$13</f>
        <v>4.6708539801600004</v>
      </c>
      <c r="O12" s="458">
        <f>'ANALYSE - ERP =&gt; SEGMENT'!$ID$13</f>
        <v>25535.791625232185</v>
      </c>
      <c r="P12" s="458">
        <f>'ANALYSE - ERP =&gt; SEGMENT'!$IE$13</f>
        <v>142714.4296996273</v>
      </c>
      <c r="Q12" s="458">
        <f>'ANALYSE - ERP =&gt; SEGMENT'!$IF$13</f>
        <v>96665.087944715429</v>
      </c>
      <c r="R12" s="458">
        <f>'ANALYSE - ERP =&gt; SEGMENT'!$IG$13</f>
        <v>10043.418632894769</v>
      </c>
      <c r="T12" s="430">
        <f>'ANALYSE - ERP =&gt; SEGMENT'!$Q$13</f>
        <v>1</v>
      </c>
    </row>
    <row r="13" spans="1:20" s="45" customFormat="1" ht="15" customHeight="1">
      <c r="A13" s="406">
        <v>10</v>
      </c>
      <c r="B13" s="406">
        <v>9</v>
      </c>
      <c r="C13" s="448">
        <f>'ANALYSE - ERP =&gt; SEGMENT'!$A$28</f>
        <v>27</v>
      </c>
      <c r="D13" s="511" t="s">
        <v>2278</v>
      </c>
      <c r="E13" s="511" t="s">
        <v>4578</v>
      </c>
      <c r="F13" s="511" t="s">
        <v>7989</v>
      </c>
      <c r="G13" s="685"/>
      <c r="H13" s="459">
        <f>'ANALYSE - ERP =&gt; SEGMENT'!$HW$28</f>
        <v>11012.603999999998</v>
      </c>
      <c r="I13" s="459">
        <f>'ANALYSE - ERP =&gt; SEGMENT'!$HX$28</f>
        <v>55590.358000000007</v>
      </c>
      <c r="J13" s="459">
        <f>'ANALYSE - ERP =&gt; SEGMENT'!$HY$28</f>
        <v>33513.738000000005</v>
      </c>
      <c r="K13" s="459">
        <f>'ANALYSE - ERP =&gt; SEGMENT'!$HZ$28</f>
        <v>2703.2999999999997</v>
      </c>
      <c r="L13" s="459">
        <f>'ANALYSE - ERP =&gt; SEGMENT'!$IA$28</f>
        <v>0</v>
      </c>
      <c r="M13" s="685"/>
      <c r="N13" s="459">
        <f>'ANALYSE - ERP =&gt; SEGMENT'!$IC$28</f>
        <v>2892.0385143886328</v>
      </c>
      <c r="O13" s="459">
        <f>'ANALYSE - ERP =&gt; SEGMENT'!$ID$28</f>
        <v>16209.627075075383</v>
      </c>
      <c r="P13" s="459">
        <f>'ANALYSE - ERP =&gt; SEGMENT'!$IE$28</f>
        <v>10478.204069440593</v>
      </c>
      <c r="Q13" s="459">
        <f>'ANALYSE - ERP =&gt; SEGMENT'!$IF$28</f>
        <v>1243.115357878188</v>
      </c>
      <c r="R13" s="459">
        <f>'ANALYSE - ERP =&gt; SEGMENT'!$IG$28</f>
        <v>98.950192670249763</v>
      </c>
      <c r="S13" s="685"/>
      <c r="T13" s="450">
        <f>'ANALYSE - ERP =&gt; SEGMENT'!$Q$28</f>
        <v>1</v>
      </c>
    </row>
    <row r="14" spans="1:20" ht="15" customHeight="1">
      <c r="A14" s="26">
        <v>11</v>
      </c>
      <c r="B14" s="26">
        <v>11</v>
      </c>
      <c r="C14" s="422">
        <f>'ANALYSE - ERP =&gt; SEGMENT'!$A$26</f>
        <v>23</v>
      </c>
      <c r="D14" s="506" t="s">
        <v>7117</v>
      </c>
      <c r="E14" s="506" t="s">
        <v>4268</v>
      </c>
      <c r="F14" s="506" t="s">
        <v>4269</v>
      </c>
      <c r="H14" s="458">
        <f>'ANALYSE - ERP =&gt; SEGMENT'!$HW$26</f>
        <v>43743.527249999999</v>
      </c>
      <c r="I14" s="458">
        <f>'ANALYSE - ERP =&gt; SEGMENT'!$HX$26</f>
        <v>205190.11125000002</v>
      </c>
      <c r="J14" s="458">
        <f>'ANALYSE - ERP =&gt; SEGMENT'!$HY$26</f>
        <v>134540.217</v>
      </c>
      <c r="K14" s="458">
        <f>'ANALYSE - ERP =&gt; SEGMENT'!$HZ$26</f>
        <v>16332.18375</v>
      </c>
      <c r="L14" s="458">
        <f>'ANALYSE - ERP =&gt; SEGMENT'!$IA$26</f>
        <v>761.46074999999996</v>
      </c>
      <c r="N14" s="458">
        <f>'ANALYSE - ERP =&gt; SEGMENT'!$IC$26</f>
        <v>7196.8802605665514</v>
      </c>
      <c r="O14" s="458">
        <f>'ANALYSE - ERP =&gt; SEGMENT'!$ID$26</f>
        <v>61966.565486225634</v>
      </c>
      <c r="P14" s="458">
        <f>'ANALYSE - ERP =&gt; SEGMENT'!$IE$26</f>
        <v>70975.063162168037</v>
      </c>
      <c r="Q14" s="458">
        <f>'ANALYSE - ERP =&gt; SEGMENT'!$IF$26</f>
        <v>12048.445478365507</v>
      </c>
      <c r="R14" s="458">
        <f>'ANALYSE - ERP =&gt; SEGMENT'!$IG$26</f>
        <v>463.88555452523946</v>
      </c>
      <c r="T14" s="430">
        <f>'ANALYSE - ERP =&gt; SEGMENT'!$Q$26</f>
        <v>1</v>
      </c>
    </row>
    <row r="15" spans="1:20" s="45" customFormat="1" ht="15" customHeight="1">
      <c r="A15" s="406">
        <v>12</v>
      </c>
      <c r="B15" s="406">
        <v>12</v>
      </c>
      <c r="C15" s="448">
        <f>'ANALYSE - ERP =&gt; SEGMENT'!$A$23</f>
        <v>19</v>
      </c>
      <c r="D15" s="512" t="s">
        <v>2264</v>
      </c>
      <c r="E15" s="512" t="s">
        <v>7990</v>
      </c>
      <c r="F15" s="512" t="s">
        <v>7991</v>
      </c>
      <c r="G15" s="685"/>
      <c r="H15" s="459">
        <f>'ANALYSE - ERP =&gt; SEGMENT'!$HW$23</f>
        <v>45582.85</v>
      </c>
      <c r="I15" s="459">
        <f>'ANALYSE - ERP =&gt; SEGMENT'!$HX$23</f>
        <v>317244.223</v>
      </c>
      <c r="J15" s="459">
        <f>'ANALYSE - ERP =&gt; SEGMENT'!$HY$23</f>
        <v>284001.92200000002</v>
      </c>
      <c r="K15" s="459">
        <f>'ANALYSE - ERP =&gt; SEGMENT'!$HZ$23</f>
        <v>33054.917000000001</v>
      </c>
      <c r="L15" s="459">
        <f>'ANALYSE - ERP =&gt; SEGMENT'!$IA$23</f>
        <v>188.048</v>
      </c>
      <c r="M15" s="685"/>
      <c r="N15" s="459">
        <f>'ANALYSE - ERP =&gt; SEGMENT'!$IC$23</f>
        <v>7962.5021321203922</v>
      </c>
      <c r="O15" s="459">
        <f>'ANALYSE - ERP =&gt; SEGMENT'!$ID$23</f>
        <v>99451.727276746024</v>
      </c>
      <c r="P15" s="459">
        <f>'ANALYSE - ERP =&gt; SEGMENT'!$IE$23</f>
        <v>107299.08683216153</v>
      </c>
      <c r="Q15" s="459">
        <f>'ANALYSE - ERP =&gt; SEGMENT'!$IF$23</f>
        <v>14482.418139350244</v>
      </c>
      <c r="R15" s="459">
        <f>'ANALYSE - ERP =&gt; SEGMENT'!$IG$23</f>
        <v>944.31946966379633</v>
      </c>
      <c r="S15" s="685"/>
      <c r="T15" s="450">
        <f>'ANALYSE - ERP =&gt; SEGMENT'!$Q$23</f>
        <v>1</v>
      </c>
    </row>
    <row r="16" spans="1:20" ht="15" customHeight="1">
      <c r="A16" s="26">
        <v>13</v>
      </c>
      <c r="B16" s="26">
        <v>16</v>
      </c>
      <c r="C16" s="422">
        <f>'ANALYSE - ERP =&gt; SEGMENT'!$A$32</f>
        <v>32</v>
      </c>
      <c r="D16" s="508" t="s">
        <v>2285</v>
      </c>
      <c r="E16" s="508" t="s">
        <v>1793</v>
      </c>
      <c r="F16" s="508" t="s">
        <v>7992</v>
      </c>
      <c r="H16" s="458">
        <f>'ANALYSE - ERP =&gt; SEGMENT'!$HW$32</f>
        <v>6008.1876000000011</v>
      </c>
      <c r="I16" s="458">
        <f>'ANALYSE - ERP =&gt; SEGMENT'!$HX$32</f>
        <v>53147.387399999992</v>
      </c>
      <c r="J16" s="458">
        <f>'ANALYSE - ERP =&gt; SEGMENT'!$HY$32</f>
        <v>48894.120699999999</v>
      </c>
      <c r="K16" s="458">
        <f>'ANALYSE - ERP =&gt; SEGMENT'!$HZ$32</f>
        <v>13629.250700000001</v>
      </c>
      <c r="L16" s="458">
        <f>'ANALYSE - ERP =&gt; SEGMENT'!$IA$32</f>
        <v>2535.5536000000002</v>
      </c>
      <c r="N16" s="458">
        <f>'ANALYSE - ERP =&gt; SEGMENT'!$IC$32</f>
        <v>1303.5186951688211</v>
      </c>
      <c r="O16" s="458">
        <f>'ANALYSE - ERP =&gt; SEGMENT'!$ID$32</f>
        <v>19335.544643635778</v>
      </c>
      <c r="P16" s="458">
        <f>'ANALYSE - ERP =&gt; SEGMENT'!$IE$32</f>
        <v>20730.088730696709</v>
      </c>
      <c r="Q16" s="458">
        <f>'ANALYSE - ERP =&gt; SEGMENT'!$IF$32</f>
        <v>7490.453547229974</v>
      </c>
      <c r="R16" s="458">
        <f>'ANALYSE - ERP =&gt; SEGMENT'!$IG$32</f>
        <v>1987.423248496367</v>
      </c>
      <c r="T16" s="430">
        <f>'ANALYSE - ERP =&gt; SEGMENT'!$Q$32</f>
        <v>1</v>
      </c>
    </row>
    <row r="17" spans="1:20" ht="15" customHeight="1">
      <c r="A17" s="26">
        <v>14</v>
      </c>
      <c r="B17" s="26">
        <v>18</v>
      </c>
      <c r="C17" s="422">
        <f>'ANALYSE - ERP =&gt; SEGMENT'!$A$21</f>
        <v>17</v>
      </c>
      <c r="D17" s="492" t="s">
        <v>2187</v>
      </c>
      <c r="E17" s="492" t="s">
        <v>1372</v>
      </c>
      <c r="F17" s="492" t="s">
        <v>7993</v>
      </c>
      <c r="H17" s="458">
        <f>'ANALYSE - ERP =&gt; SEGMENT'!$HW$21</f>
        <v>4761.4664000000002</v>
      </c>
      <c r="I17" s="458">
        <f>'ANALYSE - ERP =&gt; SEGMENT'!$HX$21</f>
        <v>71693.296000000002</v>
      </c>
      <c r="J17" s="458">
        <f>'ANALYSE - ERP =&gt; SEGMENT'!$HY$21</f>
        <v>109367.73759999999</v>
      </c>
      <c r="K17" s="458">
        <f>'ANALYSE - ERP =&gt; SEGMENT'!$HZ$21</f>
        <v>36719.112000000001</v>
      </c>
      <c r="L17" s="458">
        <f>'ANALYSE - ERP =&gt; SEGMENT'!$IA$21</f>
        <v>3450.3879999999999</v>
      </c>
      <c r="N17" s="458">
        <f>'ANALYSE - ERP =&gt; SEGMENT'!$IC$21</f>
        <v>514.27176066852576</v>
      </c>
      <c r="O17" s="458">
        <f>'ANALYSE - ERP =&gt; SEGMENT'!$ID$21</f>
        <v>24529.596871435584</v>
      </c>
      <c r="P17" s="458">
        <f>'ANALYSE - ERP =&gt; SEGMENT'!$IE$21</f>
        <v>44322.419713000076</v>
      </c>
      <c r="Q17" s="458">
        <f>'ANALYSE - ERP =&gt; SEGMENT'!$IF$21</f>
        <v>16207.491490513121</v>
      </c>
      <c r="R17" s="458">
        <f>'ANALYSE - ERP =&gt; SEGMENT'!$IG$21</f>
        <v>1808.8540378302018</v>
      </c>
      <c r="T17" s="430">
        <f>'ANALYSE - ERP =&gt; SEGMENT'!$Q$21</f>
        <v>1</v>
      </c>
    </row>
    <row r="18" spans="1:20" ht="15" customHeight="1">
      <c r="A18" s="26">
        <v>15</v>
      </c>
      <c r="B18" s="26">
        <v>15</v>
      </c>
      <c r="C18" s="422">
        <f>'ANALYSE - ERP =&gt; SEGMENT'!$A$24</f>
        <v>21</v>
      </c>
      <c r="D18" s="506" t="s">
        <v>7117</v>
      </c>
      <c r="E18" s="506" t="s">
        <v>1455</v>
      </c>
      <c r="F18" s="506" t="s">
        <v>7994</v>
      </c>
      <c r="H18" s="458">
        <f>'ANALYSE - ERP =&gt; SEGMENT'!$HW$24</f>
        <v>7106.0425000000005</v>
      </c>
      <c r="I18" s="458">
        <f>'ANALYSE - ERP =&gt; SEGMENT'!$HX$24</f>
        <v>67885.241300000009</v>
      </c>
      <c r="J18" s="458">
        <f>'ANALYSE - ERP =&gt; SEGMENT'!$HY$24</f>
        <v>83386.619350000008</v>
      </c>
      <c r="K18" s="458">
        <f>'ANALYSE - ERP =&gt; SEGMENT'!$HZ$24</f>
        <v>24377.406800000001</v>
      </c>
      <c r="L18" s="458">
        <f>'ANALYSE - ERP =&gt; SEGMENT'!$IA$24</f>
        <v>2157.1900499999997</v>
      </c>
      <c r="N18" s="458">
        <f>'ANALYSE - ERP =&gt; SEGMENT'!$IC$24</f>
        <v>1277.7818929939174</v>
      </c>
      <c r="O18" s="458">
        <f>'ANALYSE - ERP =&gt; SEGMENT'!$ID$24</f>
        <v>21535.348064011807</v>
      </c>
      <c r="P18" s="458">
        <f>'ANALYSE - ERP =&gt; SEGMENT'!$IE$24</f>
        <v>32935.114107512178</v>
      </c>
      <c r="Q18" s="458">
        <f>'ANALYSE - ERP =&gt; SEGMENT'!$IF$24</f>
        <v>11364.440580778029</v>
      </c>
      <c r="R18" s="458">
        <f>'ANALYSE - ERP =&gt; SEGMENT'!$IG$24</f>
        <v>1239.1461049821171</v>
      </c>
      <c r="T18" s="430">
        <f>'ANALYSE - ERP =&gt; SEGMENT'!$Q$24</f>
        <v>1</v>
      </c>
    </row>
    <row r="19" spans="1:20" ht="15" customHeight="1">
      <c r="A19" s="26">
        <v>16</v>
      </c>
      <c r="B19" s="26">
        <v>17</v>
      </c>
      <c r="C19" s="422">
        <f>'ANALYSE - ERP =&gt; SEGMENT'!$A$12</f>
        <v>5</v>
      </c>
      <c r="D19" s="498" t="s">
        <v>6739</v>
      </c>
      <c r="E19" s="498" t="s">
        <v>2091</v>
      </c>
      <c r="F19" s="498" t="s">
        <v>2836</v>
      </c>
      <c r="H19" s="458">
        <f>'ANALYSE - ERP =&gt; SEGMENT'!$HW$12</f>
        <v>7005.09</v>
      </c>
      <c r="I19" s="458">
        <f>'ANALYSE - ERP =&gt; SEGMENT'!$HX$12</f>
        <v>83042.934000000008</v>
      </c>
      <c r="J19" s="458">
        <f>'ANALYSE - ERP =&gt; SEGMENT'!$HY$12</f>
        <v>111374.31</v>
      </c>
      <c r="K19" s="458">
        <f>'ANALYSE - ERP =&gt; SEGMENT'!$HZ$12</f>
        <v>28228.745999999999</v>
      </c>
      <c r="L19" s="458">
        <f>'ANALYSE - ERP =&gt; SEGMENT'!$IA$12</f>
        <v>808.92000000000007</v>
      </c>
      <c r="N19" s="458">
        <f>'ANALYSE - ERP =&gt; SEGMENT'!$IC$12</f>
        <v>78.018474226054778</v>
      </c>
      <c r="O19" s="458">
        <f>'ANALYSE - ERP =&gt; SEGMENT'!$ID$12</f>
        <v>9076.2289246032451</v>
      </c>
      <c r="P19" s="458">
        <f>'ANALYSE - ERP =&gt; SEGMENT'!$IE$12</f>
        <v>26315.731856033144</v>
      </c>
      <c r="Q19" s="458">
        <f>'ANALYSE - ERP =&gt; SEGMENT'!$IF$12</f>
        <v>13385.106290329286</v>
      </c>
      <c r="R19" s="458">
        <f>'ANALYSE - ERP =&gt; SEGMENT'!$IG$12</f>
        <v>1072.0135261205869</v>
      </c>
      <c r="T19" s="430">
        <f>'ANALYSE - ERP =&gt; SEGMENT'!$Q$12</f>
        <v>1</v>
      </c>
    </row>
    <row r="20" spans="1:20" ht="15" customHeight="1">
      <c r="A20" s="26">
        <v>17</v>
      </c>
      <c r="B20" s="26">
        <v>13</v>
      </c>
      <c r="C20" s="422">
        <f>'ANALYSE - ERP =&gt; SEGMENT'!$A$11</f>
        <v>4</v>
      </c>
      <c r="D20" s="498" t="s">
        <v>6739</v>
      </c>
      <c r="E20" s="498" t="s">
        <v>991</v>
      </c>
      <c r="F20" s="498" t="s">
        <v>7995</v>
      </c>
      <c r="H20" s="458">
        <f>'ANALYSE - ERP =&gt; SEGMENT'!$HW$11</f>
        <v>0</v>
      </c>
      <c r="I20" s="458">
        <f>'ANALYSE - ERP =&gt; SEGMENT'!$HX$11</f>
        <v>0</v>
      </c>
      <c r="J20" s="458">
        <f>'ANALYSE - ERP =&gt; SEGMENT'!$HY$11</f>
        <v>0</v>
      </c>
      <c r="K20" s="458">
        <f>'ANALYSE - ERP =&gt; SEGMENT'!$HZ$11</f>
        <v>0</v>
      </c>
      <c r="L20" s="458">
        <f>'ANALYSE - ERP =&gt; SEGMENT'!$IA$11</f>
        <v>0</v>
      </c>
      <c r="N20" s="458">
        <f>'ANALYSE - ERP =&gt; SEGMENT'!$IC$11</f>
        <v>0</v>
      </c>
      <c r="O20" s="458">
        <f>'ANALYSE - ERP =&gt; SEGMENT'!$ID$11</f>
        <v>0</v>
      </c>
      <c r="P20" s="458">
        <f>'ANALYSE - ERP =&gt; SEGMENT'!$IE$11</f>
        <v>0</v>
      </c>
      <c r="Q20" s="458">
        <f>'ANALYSE - ERP =&gt; SEGMENT'!$IF$11</f>
        <v>0</v>
      </c>
      <c r="R20" s="458">
        <f>'ANALYSE - ERP =&gt; SEGMENT'!$IG$11</f>
        <v>0</v>
      </c>
      <c r="T20" s="430">
        <f>'ANALYSE - ERP =&gt; SEGMENT'!$Q$11</f>
        <v>0</v>
      </c>
    </row>
    <row r="21" spans="1:20" ht="15" customHeight="1">
      <c r="A21" s="26">
        <v>18</v>
      </c>
      <c r="B21" s="26">
        <v>14</v>
      </c>
      <c r="C21" s="422">
        <f>'ANALYSE - ERP =&gt; SEGMENT'!$A$8</f>
        <v>1</v>
      </c>
      <c r="D21" s="498" t="s">
        <v>6739</v>
      </c>
      <c r="E21" s="498" t="s">
        <v>2104</v>
      </c>
      <c r="F21" s="498" t="s">
        <v>671</v>
      </c>
      <c r="H21" s="458">
        <f>'ANALYSE - ERP =&gt; SEGMENT'!$HW$8</f>
        <v>3648.7450275000001</v>
      </c>
      <c r="I21" s="458">
        <f>'ANALYSE - ERP =&gt; SEGMENT'!$HX$8</f>
        <v>85913.864264999997</v>
      </c>
      <c r="J21" s="458">
        <f>'ANALYSE - ERP =&gt; SEGMENT'!$HY$8</f>
        <v>133773.86294250001</v>
      </c>
      <c r="K21" s="458">
        <f>'ANALYSE - ERP =&gt; SEGMENT'!$HZ$8</f>
        <v>28631.802764999997</v>
      </c>
      <c r="L21" s="458">
        <f>'ANALYSE - ERP =&gt; SEGMENT'!$IA$8</f>
        <v>0</v>
      </c>
      <c r="N21" s="458">
        <f>'ANALYSE - ERP =&gt; SEGMENT'!$IC$8</f>
        <v>338.73455419604221</v>
      </c>
      <c r="O21" s="458">
        <f>'ANALYSE - ERP =&gt; SEGMENT'!$ID$8</f>
        <v>9498.0868544789701</v>
      </c>
      <c r="P21" s="458">
        <f>'ANALYSE - ERP =&gt; SEGMENT'!$IE$8</f>
        <v>26291.329594596387</v>
      </c>
      <c r="Q21" s="458">
        <f>'ANALYSE - ERP =&gt; SEGMENT'!$IF$8</f>
        <v>11911.083197723612</v>
      </c>
      <c r="R21" s="458">
        <f>'ANALYSE - ERP =&gt; SEGMENT'!$IG$8</f>
        <v>16.359036261882416</v>
      </c>
      <c r="T21" s="430">
        <f>'ANALYSE - ERP =&gt; SEGMENT'!$Q$8</f>
        <v>1</v>
      </c>
    </row>
    <row r="22" spans="1:20" ht="15" customHeight="1">
      <c r="A22" s="26">
        <v>19</v>
      </c>
      <c r="B22" s="26">
        <v>20</v>
      </c>
      <c r="C22" s="422">
        <f>'ANALYSE - ERP =&gt; SEGMENT'!$A$36</f>
        <v>37</v>
      </c>
      <c r="D22" s="510" t="s">
        <v>4908</v>
      </c>
      <c r="E22" s="510" t="s">
        <v>88</v>
      </c>
      <c r="F22" s="510" t="s">
        <v>7996</v>
      </c>
      <c r="H22" s="458">
        <f>'ANALYSE - ERP =&gt; SEGMENT'!$HW$36</f>
        <v>14191.085999999999</v>
      </c>
      <c r="I22" s="458">
        <f>'ANALYSE - ERP =&gt; SEGMENT'!$HX$36</f>
        <v>55787.124000000003</v>
      </c>
      <c r="J22" s="458">
        <f>'ANALYSE - ERP =&gt; SEGMENT'!$HY$36</f>
        <v>12291.7572</v>
      </c>
      <c r="K22" s="458">
        <f>'ANALYSE - ERP =&gt; SEGMENT'!$HZ$36</f>
        <v>27.9132</v>
      </c>
      <c r="L22" s="458">
        <f>'ANALYSE - ERP =&gt; SEGMENT'!$IA$36</f>
        <v>0.11960000000000001</v>
      </c>
      <c r="N22" s="458">
        <f>'ANALYSE - ERP =&gt; SEGMENT'!$IC$36</f>
        <v>2138.9754578915908</v>
      </c>
      <c r="O22" s="458">
        <f>'ANALYSE - ERP =&gt; SEGMENT'!$ID$36</f>
        <v>19761.012518851367</v>
      </c>
      <c r="P22" s="458">
        <f>'ANALYSE - ERP =&gt; SEGMENT'!$IE$36</f>
        <v>9955.0351388102281</v>
      </c>
      <c r="Q22" s="458">
        <f>'ANALYSE - ERP =&gt; SEGMENT'!$IF$36</f>
        <v>47.660256266818173</v>
      </c>
      <c r="R22" s="458">
        <f>'ANALYSE - ERP =&gt; SEGMENT'!$IG$36</f>
        <v>0.51181681636363641</v>
      </c>
      <c r="T22" s="430">
        <f>'ANALYSE - ERP =&gt; SEGMENT'!$Q$36</f>
        <v>1</v>
      </c>
    </row>
    <row r="23" spans="1:20" ht="15" customHeight="1">
      <c r="A23" s="26">
        <v>20</v>
      </c>
      <c r="B23" s="26">
        <v>22</v>
      </c>
      <c r="C23" s="422">
        <f>'ANALYSE - ERP =&gt; SEGMENT'!$A$18</f>
        <v>12</v>
      </c>
      <c r="D23" s="500" t="s">
        <v>3662</v>
      </c>
      <c r="E23" s="500" t="s">
        <v>1337</v>
      </c>
      <c r="F23" s="500" t="s">
        <v>7997</v>
      </c>
      <c r="H23" s="458">
        <f>'ANALYSE - ERP =&gt; SEGMENT'!$HW$18</f>
        <v>1065.5030000000002</v>
      </c>
      <c r="I23" s="458">
        <f>'ANALYSE - ERP =&gt; SEGMENT'!$HX$18</f>
        <v>4460.1895000000004</v>
      </c>
      <c r="J23" s="458">
        <f>'ANALYSE - ERP =&gt; SEGMENT'!$HY$18</f>
        <v>3401.6974999999998</v>
      </c>
      <c r="K23" s="458">
        <f>'ANALYSE - ERP =&gt; SEGMENT'!$HZ$18</f>
        <v>407.61</v>
      </c>
      <c r="L23" s="458">
        <f>'ANALYSE - ERP =&gt; SEGMENT'!$IA$18</f>
        <v>0</v>
      </c>
      <c r="N23" s="458">
        <f>'ANALYSE - ERP =&gt; SEGMENT'!$IC$18</f>
        <v>179.17581542951953</v>
      </c>
      <c r="O23" s="458">
        <f>'ANALYSE - ERP =&gt; SEGMENT'!$ID$18</f>
        <v>1284.6974235621872</v>
      </c>
      <c r="P23" s="458">
        <f>'ANALYSE - ERP =&gt; SEGMENT'!$IE$18</f>
        <v>1016.6694319420302</v>
      </c>
      <c r="Q23" s="458">
        <f>'ANALYSE - ERP =&gt; SEGMENT'!$IF$18</f>
        <v>136.58279650708971</v>
      </c>
      <c r="R23" s="458">
        <f>'ANALYSE - ERP =&gt; SEGMENT'!$IG$18</f>
        <v>6.7160202793366199</v>
      </c>
      <c r="T23" s="430">
        <f>'ANALYSE - ERP =&gt; SEGMENT'!$Q$18</f>
        <v>1</v>
      </c>
    </row>
    <row r="24" spans="1:20" ht="15" customHeight="1">
      <c r="A24" s="26">
        <v>21</v>
      </c>
      <c r="B24" s="26">
        <v>24</v>
      </c>
      <c r="C24" s="422">
        <f>'ANALYSE - ERP =&gt; SEGMENT'!$A$15</f>
        <v>8</v>
      </c>
      <c r="D24" s="494" t="s">
        <v>2241</v>
      </c>
      <c r="E24" s="494" t="s">
        <v>2242</v>
      </c>
      <c r="F24" s="494" t="s">
        <v>7998</v>
      </c>
      <c r="H24" s="458">
        <f>'ANALYSE - ERP =&gt; SEGMENT'!$HW$15</f>
        <v>105.0566</v>
      </c>
      <c r="I24" s="458">
        <f>'ANALYSE - ERP =&gt; SEGMENT'!$HX$15</f>
        <v>9328.9832000000006</v>
      </c>
      <c r="J24" s="458">
        <f>'ANALYSE - ERP =&gt; SEGMENT'!$HY$15</f>
        <v>24953.2068</v>
      </c>
      <c r="K24" s="458">
        <f>'ANALYSE - ERP =&gt; SEGMENT'!$HZ$15</f>
        <v>9641.4534000000003</v>
      </c>
      <c r="L24" s="458">
        <f>'ANALYSE - ERP =&gt; SEGMENT'!$IA$15</f>
        <v>501.29999999999995</v>
      </c>
      <c r="N24" s="458">
        <f>'ANALYSE - ERP =&gt; SEGMENT'!$IC$15</f>
        <v>0</v>
      </c>
      <c r="O24" s="458">
        <f>'ANALYSE - ERP =&gt; SEGMENT'!$ID$15</f>
        <v>1189.1236137975302</v>
      </c>
      <c r="P24" s="458">
        <f>'ANALYSE - ERP =&gt; SEGMENT'!$IE$15</f>
        <v>5749.8340472865511</v>
      </c>
      <c r="Q24" s="458">
        <f>'ANALYSE - ERP =&gt; SEGMENT'!$IF$15</f>
        <v>4854.734146457351</v>
      </c>
      <c r="R24" s="458">
        <f>'ANALYSE - ERP =&gt; SEGMENT'!$IG$15</f>
        <v>422.96036975325313</v>
      </c>
      <c r="T24" s="430">
        <f>'ANALYSE - ERP =&gt; SEGMENT'!$Q$15</f>
        <v>1</v>
      </c>
    </row>
    <row r="25" spans="1:20" ht="15" customHeight="1">
      <c r="A25" s="26">
        <v>22</v>
      </c>
      <c r="B25" s="26">
        <v>23</v>
      </c>
      <c r="C25" s="422">
        <f>'ANALYSE - ERP =&gt; SEGMENT'!$A$20</f>
        <v>16</v>
      </c>
      <c r="D25" s="492" t="s">
        <v>2187</v>
      </c>
      <c r="E25" s="492" t="s">
        <v>1435</v>
      </c>
      <c r="F25" s="492" t="s">
        <v>7999</v>
      </c>
      <c r="H25" s="458">
        <f>'ANALYSE - ERP =&gt; SEGMENT'!$HW$20</f>
        <v>1245.9349</v>
      </c>
      <c r="I25" s="458">
        <f>'ANALYSE - ERP =&gt; SEGMENT'!$HX$20</f>
        <v>32202.485100000002</v>
      </c>
      <c r="J25" s="458">
        <f>'ANALYSE - ERP =&gt; SEGMENT'!$HY$20</f>
        <v>51411.477299999999</v>
      </c>
      <c r="K25" s="458">
        <f>'ANALYSE - ERP =&gt; SEGMENT'!$HZ$20</f>
        <v>17347.386900000001</v>
      </c>
      <c r="L25" s="458">
        <f>'ANALYSE - ERP =&gt; SEGMENT'!$IA$20</f>
        <v>1616.7157999999999</v>
      </c>
      <c r="N25" s="458">
        <f>'ANALYSE - ERP =&gt; SEGMENT'!$IC$20</f>
        <v>0</v>
      </c>
      <c r="O25" s="458">
        <f>'ANALYSE - ERP =&gt; SEGMENT'!$ID$20</f>
        <v>12216.964107168726</v>
      </c>
      <c r="P25" s="458">
        <f>'ANALYSE - ERP =&gt; SEGMENT'!$IE$20</f>
        <v>22992.860615293273</v>
      </c>
      <c r="Q25" s="458">
        <f>'ANALYSE - ERP =&gt; SEGMENT'!$IF$20</f>
        <v>8541.3194544916914</v>
      </c>
      <c r="R25" s="458">
        <f>'ANALYSE - ERP =&gt; SEGMENT'!$IG$20</f>
        <v>951.84295519306488</v>
      </c>
      <c r="T25" s="430">
        <f>'ANALYSE - ERP =&gt; SEGMENT'!$Q$20</f>
        <v>1</v>
      </c>
    </row>
    <row r="26" spans="1:20" ht="15" customHeight="1">
      <c r="A26" s="26">
        <v>23</v>
      </c>
      <c r="B26" s="26">
        <v>21</v>
      </c>
      <c r="C26" s="422">
        <f>'ANALYSE - ERP =&gt; SEGMENT'!$A$29</f>
        <v>28</v>
      </c>
      <c r="D26" s="504" t="s">
        <v>2278</v>
      </c>
      <c r="E26" s="504" t="s">
        <v>1576</v>
      </c>
      <c r="F26" s="504" t="s">
        <v>1577</v>
      </c>
      <c r="H26" s="458">
        <f>'ANALYSE - ERP =&gt; SEGMENT'!$HW$29</f>
        <v>3875.8760000000002</v>
      </c>
      <c r="I26" s="458">
        <f>'ANALYSE - ERP =&gt; SEGMENT'!$HX$29</f>
        <v>19543.121999999999</v>
      </c>
      <c r="J26" s="458">
        <f>'ANALYSE - ERP =&gt; SEGMENT'!$HY$29</f>
        <v>11776.358</v>
      </c>
      <c r="K26" s="458">
        <f>'ANALYSE - ERP =&gt; SEGMENT'!$HZ$29</f>
        <v>944.64400000000001</v>
      </c>
      <c r="L26" s="458">
        <f>'ANALYSE - ERP =&gt; SEGMENT'!$IA$29</f>
        <v>0</v>
      </c>
      <c r="N26" s="458">
        <f>'ANALYSE - ERP =&gt; SEGMENT'!$IC$29</f>
        <v>789.7947268503508</v>
      </c>
      <c r="O26" s="458">
        <f>'ANALYSE - ERP =&gt; SEGMENT'!$ID$29</f>
        <v>4499.2888579646005</v>
      </c>
      <c r="P26" s="458">
        <f>'ANALYSE - ERP =&gt; SEGMENT'!$IE$29</f>
        <v>2936.5142471505005</v>
      </c>
      <c r="Q26" s="458">
        <f>'ANALYSE - ERP =&gt; SEGMENT'!$IF$29</f>
        <v>364.18755791621106</v>
      </c>
      <c r="R26" s="458">
        <f>'ANALYSE - ERP =&gt; SEGMENT'!$IG$29</f>
        <v>31.03495323522078</v>
      </c>
      <c r="T26" s="430">
        <f>'ANALYSE - ERP =&gt; SEGMENT'!$Q$29</f>
        <v>1</v>
      </c>
    </row>
    <row r="27" spans="1:20" ht="15" customHeight="1">
      <c r="A27" s="26">
        <v>24</v>
      </c>
      <c r="B27" s="26">
        <v>19</v>
      </c>
      <c r="C27" s="422">
        <f>'ANALYSE - ERP =&gt; SEGMENT'!$A$10</f>
        <v>3</v>
      </c>
      <c r="D27" s="498" t="s">
        <v>6739</v>
      </c>
      <c r="E27" s="498" t="s">
        <v>1014</v>
      </c>
      <c r="F27" s="498" t="s">
        <v>8000</v>
      </c>
      <c r="H27" s="458">
        <f>'ANALYSE - ERP =&gt; SEGMENT'!$HW$10</f>
        <v>845.03820000000007</v>
      </c>
      <c r="I27" s="458">
        <f>'ANALYSE - ERP =&gt; SEGMENT'!$HX$10</f>
        <v>22584.939599999998</v>
      </c>
      <c r="J27" s="458">
        <f>'ANALYSE - ERP =&gt; SEGMENT'!$HY$10</f>
        <v>51654.804000000004</v>
      </c>
      <c r="K27" s="458">
        <f>'ANALYSE - ERP =&gt; SEGMENT'!$HZ$10</f>
        <v>23706.014999999999</v>
      </c>
      <c r="L27" s="458">
        <f>'ANALYSE - ERP =&gt; SEGMENT'!$IA$10</f>
        <v>1983.2032000000002</v>
      </c>
      <c r="N27" s="458">
        <f>'ANALYSE - ERP =&gt; SEGMENT'!$IC$10</f>
        <v>0</v>
      </c>
      <c r="O27" s="458">
        <f>'ANALYSE - ERP =&gt; SEGMENT'!$ID$10</f>
        <v>1439.4709635710831</v>
      </c>
      <c r="P27" s="458">
        <f>'ANALYSE - ERP =&gt; SEGMENT'!$IE$10</f>
        <v>7730.2859088376081</v>
      </c>
      <c r="Q27" s="458">
        <f>'ANALYSE - ERP =&gt; SEGMENT'!$IF$10</f>
        <v>6789.2439572248604</v>
      </c>
      <c r="R27" s="458">
        <f>'ANALYSE - ERP =&gt; SEGMENT'!$IG$10</f>
        <v>1126.941034394448</v>
      </c>
      <c r="T27" s="430">
        <f>'ANALYSE - ERP =&gt; SEGMENT'!$Q$10</f>
        <v>1</v>
      </c>
    </row>
    <row r="28" spans="1:20" ht="15" customHeight="1">
      <c r="A28" s="26">
        <v>25</v>
      </c>
      <c r="B28" s="26">
        <v>25</v>
      </c>
      <c r="C28" s="422">
        <f>'ANALYSE - ERP =&gt; SEGMENT'!$A$17</f>
        <v>11</v>
      </c>
      <c r="D28" s="500" t="s">
        <v>3662</v>
      </c>
      <c r="E28" s="500" t="s">
        <v>1240</v>
      </c>
      <c r="F28" s="500" t="s">
        <v>8001</v>
      </c>
      <c r="H28" s="458">
        <f>'ANALYSE - ERP =&gt; SEGMENT'!$HW$17</f>
        <v>14.630999999999998</v>
      </c>
      <c r="I28" s="458">
        <f>'ANALYSE - ERP =&gt; SEGMENT'!$HX$17</f>
        <v>5324.2086000000008</v>
      </c>
      <c r="J28" s="458">
        <f>'ANALYSE - ERP =&gt; SEGMENT'!$HY$17</f>
        <v>17020.120599999998</v>
      </c>
      <c r="K28" s="458">
        <f>'ANALYSE - ERP =&gt; SEGMENT'!$HZ$17</f>
        <v>11030.7156</v>
      </c>
      <c r="L28" s="458">
        <f>'ANALYSE - ERP =&gt; SEGMENT'!$IA$17</f>
        <v>1418.3242</v>
      </c>
      <c r="N28" s="458">
        <f>'ANALYSE - ERP =&gt; SEGMENT'!$IC$17</f>
        <v>0</v>
      </c>
      <c r="O28" s="458">
        <f>'ANALYSE - ERP =&gt; SEGMENT'!$ID$17</f>
        <v>770.51171170769874</v>
      </c>
      <c r="P28" s="458">
        <f>'ANALYSE - ERP =&gt; SEGMENT'!$IE$17</f>
        <v>4705.5901831317969</v>
      </c>
      <c r="Q28" s="458">
        <f>'ANALYSE - ERP =&gt; SEGMENT'!$IF$17</f>
        <v>4903.0164777645368</v>
      </c>
      <c r="R28" s="458">
        <f>'ANALYSE - ERP =&gt; SEGMENT'!$IG$17</f>
        <v>1051.4069910710352</v>
      </c>
      <c r="T28" s="430">
        <f>'ANALYSE - ERP =&gt; SEGMENT'!$Q$17</f>
        <v>1</v>
      </c>
    </row>
    <row r="29" spans="1:20" ht="15" customHeight="1">
      <c r="A29" s="26">
        <v>26</v>
      </c>
      <c r="B29" s="26">
        <v>26</v>
      </c>
      <c r="C29" s="422">
        <f>'ANALYSE - ERP =&gt; SEGMENT'!$A$33</f>
        <v>33</v>
      </c>
      <c r="D29" s="508" t="s">
        <v>2285</v>
      </c>
      <c r="E29" s="508" t="s">
        <v>7336</v>
      </c>
      <c r="F29" s="508" t="s">
        <v>7337</v>
      </c>
      <c r="H29" s="458">
        <f>'ANALYSE - ERP =&gt; SEGMENT'!$HW$33</f>
        <v>0</v>
      </c>
      <c r="I29" s="458">
        <f>'ANALYSE - ERP =&gt; SEGMENT'!$HX$33</f>
        <v>0</v>
      </c>
      <c r="J29" s="458">
        <f>'ANALYSE - ERP =&gt; SEGMENT'!$HY$33</f>
        <v>0</v>
      </c>
      <c r="K29" s="458">
        <f>'ANALYSE - ERP =&gt; SEGMENT'!$HZ$33</f>
        <v>0</v>
      </c>
      <c r="L29" s="458">
        <f>'ANALYSE - ERP =&gt; SEGMENT'!$IA$33</f>
        <v>0</v>
      </c>
      <c r="N29" s="458">
        <f>'ANALYSE - ERP =&gt; SEGMENT'!$IC$33</f>
        <v>0</v>
      </c>
      <c r="O29" s="458">
        <f>'ANALYSE - ERP =&gt; SEGMENT'!$ID$33</f>
        <v>0</v>
      </c>
      <c r="P29" s="458">
        <f>'ANALYSE - ERP =&gt; SEGMENT'!$IE$33</f>
        <v>0</v>
      </c>
      <c r="Q29" s="458">
        <f>'ANALYSE - ERP =&gt; SEGMENT'!$IF$33</f>
        <v>0</v>
      </c>
      <c r="R29" s="458">
        <f>'ANALYSE - ERP =&gt; SEGMENT'!$IG$33</f>
        <v>0</v>
      </c>
      <c r="T29" s="430">
        <f>'ANALYSE - ERP =&gt; SEGMENT'!$Q$33</f>
        <v>0</v>
      </c>
    </row>
    <row r="30" spans="1:20" ht="15" customHeight="1">
      <c r="A30" s="26">
        <v>27</v>
      </c>
      <c r="B30" s="26">
        <v>27</v>
      </c>
      <c r="C30" s="422">
        <f>'ANALYSE - ERP =&gt; SEGMENT'!$A$38</f>
        <v>39</v>
      </c>
      <c r="D30" s="502" t="s">
        <v>2163</v>
      </c>
      <c r="E30" s="502" t="s">
        <v>2163</v>
      </c>
      <c r="F30" s="502" t="s">
        <v>2164</v>
      </c>
      <c r="H30" s="458">
        <f>'ANALYSE - ERP =&gt; SEGMENT'!$HW$38</f>
        <v>8834.3520000000008</v>
      </c>
      <c r="I30" s="458">
        <f>'ANALYSE - ERP =&gt; SEGMENT'!$HX$38</f>
        <v>18739.643</v>
      </c>
      <c r="J30" s="458">
        <f>'ANALYSE - ERP =&gt; SEGMENT'!$HY$38</f>
        <v>3616.0050000000001</v>
      </c>
      <c r="K30" s="458">
        <f>'ANALYSE - ERP =&gt; SEGMENT'!$HZ$38</f>
        <v>0</v>
      </c>
      <c r="L30" s="458">
        <f>'ANALYSE - ERP =&gt; SEGMENT'!$IA$38</f>
        <v>0</v>
      </c>
      <c r="N30" s="458">
        <f>'ANALYSE - ERP =&gt; SEGMENT'!$IC$38</f>
        <v>3306.6713980963314</v>
      </c>
      <c r="O30" s="458">
        <f>'ANALYSE - ERP =&gt; SEGMENT'!$ID$38</f>
        <v>7410.2165495602267</v>
      </c>
      <c r="P30" s="458">
        <f>'ANALYSE - ERP =&gt; SEGMENT'!$IE$38</f>
        <v>1815.8471028408442</v>
      </c>
      <c r="Q30" s="458">
        <f>'ANALYSE - ERP =&gt; SEGMENT'!$IF$38</f>
        <v>252.87652790714287</v>
      </c>
      <c r="R30" s="458">
        <f>'ANALYSE - ERP =&gt; SEGMENT'!$IG$38</f>
        <v>56.467574192857143</v>
      </c>
      <c r="T30" s="430">
        <f>'ANALYSE - ERP =&gt; SEGMENT'!$Q$38</f>
        <v>1</v>
      </c>
    </row>
    <row r="31" spans="1:20" ht="15" customHeight="1">
      <c r="A31" s="26">
        <v>28</v>
      </c>
      <c r="B31" s="26">
        <v>28</v>
      </c>
      <c r="C31" s="422">
        <f>'ANALYSE - ERP =&gt; SEGMENT'!$A$35</f>
        <v>36</v>
      </c>
      <c r="D31" s="510" t="s">
        <v>4908</v>
      </c>
      <c r="E31" s="510" t="s">
        <v>1985</v>
      </c>
      <c r="F31" s="510" t="s">
        <v>8002</v>
      </c>
      <c r="H31" s="458">
        <f>'ANALYSE - ERP =&gt; SEGMENT'!$HW$35</f>
        <v>1058.5455999999999</v>
      </c>
      <c r="I31" s="458">
        <f>'ANALYSE - ERP =&gt; SEGMENT'!$HX$35</f>
        <v>9691.3201999999983</v>
      </c>
      <c r="J31" s="458">
        <f>'ANALYSE - ERP =&gt; SEGMENT'!$HY$35</f>
        <v>7753.1606000000011</v>
      </c>
      <c r="K31" s="458">
        <f>'ANALYSE - ERP =&gt; SEGMENT'!$HZ$35</f>
        <v>962.70859999999993</v>
      </c>
      <c r="L31" s="458">
        <f>'ANALYSE - ERP =&gt; SEGMENT'!$IA$35</f>
        <v>12.264999999999999</v>
      </c>
      <c r="N31" s="458">
        <f>'ANALYSE - ERP =&gt; SEGMENT'!$IC$35</f>
        <v>154.88408849769866</v>
      </c>
      <c r="O31" s="458">
        <f>'ANALYSE - ERP =&gt; SEGMENT'!$ID$35</f>
        <v>2648.6056662359188</v>
      </c>
      <c r="P31" s="458">
        <f>'ANALYSE - ERP =&gt; SEGMENT'!$IE$35</f>
        <v>3696.4924314930895</v>
      </c>
      <c r="Q31" s="458">
        <f>'ANALYSE - ERP =&gt; SEGMENT'!$IF$35</f>
        <v>695.82456067683984</v>
      </c>
      <c r="R31" s="458">
        <f>'ANALYSE - ERP =&gt; SEGMENT'!$IG$35</f>
        <v>17.603116639381586</v>
      </c>
      <c r="T31" s="430">
        <f>'ANALYSE - ERP =&gt; SEGMENT'!$Q$35</f>
        <v>1</v>
      </c>
    </row>
    <row r="32" spans="1:20" ht="15" customHeight="1">
      <c r="A32" s="26">
        <v>29</v>
      </c>
      <c r="B32" s="26">
        <v>29</v>
      </c>
      <c r="C32" s="422">
        <f>'ANALYSE - ERP =&gt; SEGMENT'!$A$37</f>
        <v>38</v>
      </c>
      <c r="D32" s="510" t="s">
        <v>4908</v>
      </c>
      <c r="E32" s="510" t="s">
        <v>2027</v>
      </c>
      <c r="F32" s="510" t="s">
        <v>8003</v>
      </c>
      <c r="H32" s="458">
        <f>'ANALYSE - ERP =&gt; SEGMENT'!$HW$37</f>
        <v>86.16</v>
      </c>
      <c r="I32" s="458">
        <f>'ANALYSE - ERP =&gt; SEGMENT'!$HX$37</f>
        <v>4166.4750999999997</v>
      </c>
      <c r="J32" s="458">
        <f>'ANALYSE - ERP =&gt; SEGMENT'!$HY$37</f>
        <v>7848.6182000000008</v>
      </c>
      <c r="K32" s="458">
        <f>'ANALYSE - ERP =&gt; SEGMENT'!$HZ$37</f>
        <v>2405.0547000000001</v>
      </c>
      <c r="L32" s="458">
        <f>'ANALYSE - ERP =&gt; SEGMENT'!$IA$37</f>
        <v>83.692000000000007</v>
      </c>
      <c r="N32" s="458">
        <f>'ANALYSE - ERP =&gt; SEGMENT'!$IC$37</f>
        <v>2.2632104351223772</v>
      </c>
      <c r="O32" s="458">
        <f>'ANALYSE - ERP =&gt; SEGMENT'!$ID$37</f>
        <v>911.24535477477934</v>
      </c>
      <c r="P32" s="458">
        <f>'ANALYSE - ERP =&gt; SEGMENT'!$IE$37</f>
        <v>2807.6101676073008</v>
      </c>
      <c r="Q32" s="458">
        <f>'ANALYSE - ERP =&gt; SEGMENT'!$IF$37</f>
        <v>1301.7308033350205</v>
      </c>
      <c r="R32" s="458">
        <f>'ANALYSE - ERP =&gt; SEGMENT'!$IG$37</f>
        <v>77.750075346028254</v>
      </c>
      <c r="T32" s="430">
        <f>'ANALYSE - ERP =&gt; SEGMENT'!$Q$37</f>
        <v>1</v>
      </c>
    </row>
    <row r="33" spans="1:20" ht="15" customHeight="1">
      <c r="A33" s="26">
        <v>30</v>
      </c>
      <c r="B33" s="26">
        <v>30</v>
      </c>
      <c r="C33" s="422">
        <f>'ANALYSE - ERP =&gt; SEGMENT'!$A$25</f>
        <v>22</v>
      </c>
      <c r="D33" s="506" t="s">
        <v>7117</v>
      </c>
      <c r="E33" s="506" t="s">
        <v>1487</v>
      </c>
      <c r="F33" s="506" t="s">
        <v>8004</v>
      </c>
      <c r="H33" s="458">
        <f>'ANALYSE - ERP =&gt; SEGMENT'!$HW$25</f>
        <v>733.57500000000005</v>
      </c>
      <c r="I33" s="458">
        <f>'ANALYSE - ERP =&gt; SEGMENT'!$HX$25</f>
        <v>2435.4149999999995</v>
      </c>
      <c r="J33" s="458">
        <f>'ANALYSE - ERP =&gt; SEGMENT'!$HY$25</f>
        <v>2281.9300000000003</v>
      </c>
      <c r="K33" s="458">
        <f>'ANALYSE - ERP =&gt; SEGMENT'!$HZ$25</f>
        <v>3242.04</v>
      </c>
      <c r="L33" s="458">
        <f>'ANALYSE - ERP =&gt; SEGMENT'!$IA$25</f>
        <v>1057.04</v>
      </c>
      <c r="N33" s="458">
        <f>'ANALYSE - ERP =&gt; SEGMENT'!$IC$25</f>
        <v>156.48062784412829</v>
      </c>
      <c r="O33" s="458">
        <f>'ANALYSE - ERP =&gt; SEGMENT'!$ID$25</f>
        <v>811.53200262535256</v>
      </c>
      <c r="P33" s="458">
        <f>'ANALYSE - ERP =&gt; SEGMENT'!$IE$25</f>
        <v>765.43408822989795</v>
      </c>
      <c r="Q33" s="458">
        <f>'ANALYSE - ERP =&gt; SEGMENT'!$IF$25</f>
        <v>1171.094337707515</v>
      </c>
      <c r="R33" s="458">
        <f>'ANALYSE - ERP =&gt; SEGMENT'!$IG$25</f>
        <v>521.60828885939384</v>
      </c>
      <c r="T33" s="430">
        <f>'ANALYSE - ERP =&gt; SEGMENT'!$Q$25</f>
        <v>1</v>
      </c>
    </row>
    <row r="34" spans="1:20" ht="15" customHeight="1">
      <c r="A34" s="26">
        <v>31</v>
      </c>
      <c r="B34" s="26">
        <v>31</v>
      </c>
      <c r="C34" s="422">
        <f>'ANALYSE - ERP =&gt; SEGMENT'!$A$34</f>
        <v>35</v>
      </c>
      <c r="D34" s="510" t="s">
        <v>4908</v>
      </c>
      <c r="E34" s="510" t="s">
        <v>1950</v>
      </c>
      <c r="F34" s="510" t="s">
        <v>8005</v>
      </c>
      <c r="H34" s="458">
        <f>'ANALYSE - ERP =&gt; SEGMENT'!$HW$34</f>
        <v>562.75045</v>
      </c>
      <c r="I34" s="458">
        <f>'ANALYSE - ERP =&gt; SEGMENT'!$HX$34</f>
        <v>3542.9638999999997</v>
      </c>
      <c r="J34" s="458">
        <f>'ANALYSE - ERP =&gt; SEGMENT'!$HY$34</f>
        <v>1821.78565</v>
      </c>
      <c r="K34" s="458">
        <f>'ANALYSE - ERP =&gt; SEGMENT'!$HZ$34</f>
        <v>0</v>
      </c>
      <c r="L34" s="458">
        <f>'ANALYSE - ERP =&gt; SEGMENT'!$IA$34</f>
        <v>0</v>
      </c>
      <c r="N34" s="458">
        <f>'ANALYSE - ERP =&gt; SEGMENT'!$IC$34</f>
        <v>123.93505624352279</v>
      </c>
      <c r="O34" s="458">
        <f>'ANALYSE - ERP =&gt; SEGMENT'!$ID$34</f>
        <v>1190.7757319297102</v>
      </c>
      <c r="P34" s="458">
        <f>'ANALYSE - ERP =&gt; SEGMENT'!$IE$34</f>
        <v>973.61981771770024</v>
      </c>
      <c r="Q34" s="458">
        <f>'ANALYSE - ERP =&gt; SEGMENT'!$IF$34</f>
        <v>0.45135459156666669</v>
      </c>
      <c r="R34" s="458">
        <f>'ANALYSE - ERP =&gt; SEGMENT'!$IG$34</f>
        <v>0</v>
      </c>
      <c r="T34" s="430">
        <f>'ANALYSE - ERP =&gt; SEGMENT'!$Q$34</f>
        <v>1</v>
      </c>
    </row>
  </sheetData>
  <pageMargins left="3.937007874015748E-2" right="3.937007874015748E-2" top="7.874015748031496E-2" bottom="7.874015748031496E-2" header="0.11811023622047249" footer="0.11811023622047249"/>
  <pageSetup paperSize="8" scale="86" fitToHeight="2"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5"/>
    <pageSetUpPr fitToPage="1"/>
  </sheetPr>
  <dimension ref="A1:BZ34"/>
  <sheetViews>
    <sheetView zoomScale="85" zoomScaleNormal="85" workbookViewId="0">
      <selection activeCell="F21" sqref="F21"/>
    </sheetView>
  </sheetViews>
  <sheetFormatPr baseColWidth="10" defaultColWidth="9.140625" defaultRowHeight="15"/>
  <cols>
    <col min="1" max="2" width="9" style="934" customWidth="1"/>
    <col min="3" max="3" width="6" style="934" customWidth="1"/>
    <col min="4" max="4" width="30.5703125" style="934" customWidth="1"/>
    <col min="5" max="5" width="27.7109375" style="43" customWidth="1"/>
    <col min="6" max="6" width="51.7109375" style="43" customWidth="1"/>
    <col min="7" max="7" width="1.7109375" style="933" customWidth="1"/>
    <col min="8" max="8" width="8.7109375" style="43" customWidth="1"/>
    <col min="9" max="12" width="8.7109375" style="934" customWidth="1"/>
    <col min="13" max="13" width="1.7109375" style="933" customWidth="1"/>
    <col min="14" max="18" width="8.710937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7973</v>
      </c>
      <c r="F1" s="479"/>
      <c r="H1" s="474"/>
      <c r="I1" s="474"/>
      <c r="J1" s="475" t="s">
        <v>7968</v>
      </c>
      <c r="K1" s="474"/>
      <c r="L1" s="474"/>
      <c r="N1" s="452"/>
      <c r="O1" s="452"/>
      <c r="P1" s="476" t="s">
        <v>7969</v>
      </c>
      <c r="Q1" s="452"/>
      <c r="R1" s="452"/>
      <c r="T1" s="452"/>
    </row>
    <row r="2" spans="1:20" ht="45" customHeight="1">
      <c r="A2" s="829" t="s">
        <v>6712</v>
      </c>
      <c r="B2" s="829" t="s">
        <v>6713</v>
      </c>
      <c r="C2" s="420"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405" t="s">
        <v>2086</v>
      </c>
      <c r="E3" s="405" t="s">
        <v>6728</v>
      </c>
      <c r="F3" s="405" t="s">
        <v>6729</v>
      </c>
      <c r="H3" s="790">
        <f>'ANALYSE - ERP =&gt; SEGMENT'!IL6</f>
        <v>5.0890289136965181E-2</v>
      </c>
      <c r="I3" s="790">
        <f>'ANALYSE - ERP =&gt; SEGMENT'!IM6</f>
        <v>0.38938085659179045</v>
      </c>
      <c r="J3" s="790">
        <f>'ANALYSE - ERP =&gt; SEGMENT'!IN6</f>
        <v>0.4379635921740227</v>
      </c>
      <c r="K3" s="790">
        <f>'ANALYSE - ERP =&gt; SEGMENT'!IO6</f>
        <v>0.1140443159031226</v>
      </c>
      <c r="L3" s="790">
        <f>'ANALYSE - ERP =&gt; SEGMENT'!IP6</f>
        <v>7.7209461940995171E-3</v>
      </c>
      <c r="N3" s="790">
        <f>'ANALYSE - ERP =&gt; SEGMENT'!IQ6</f>
        <v>2.3639239303708044E-2</v>
      </c>
      <c r="O3" s="790">
        <f>'ANALYSE - ERP =&gt; SEGMENT'!IR6</f>
        <v>0.30330948549137865</v>
      </c>
      <c r="P3" s="790">
        <f>'ANALYSE - ERP =&gt; SEGMENT'!IS6</f>
        <v>0.47999011484979454</v>
      </c>
      <c r="Q3" s="790">
        <f>'ANALYSE - ERP =&gt; SEGMENT'!IT6</f>
        <v>0.17535179178419349</v>
      </c>
      <c r="R3" s="790">
        <f>'ANALYSE - ERP =&gt; SEGMENT'!IU6</f>
        <v>1.7709368570924009E-2</v>
      </c>
      <c r="T3" s="428">
        <f>SUM('ANALYSE - ERP =&gt; SEGMENT'!$Q$8:$Q$110)</f>
        <v>34</v>
      </c>
    </row>
    <row r="4" spans="1:20" ht="15" customHeight="1">
      <c r="A4" s="26">
        <v>1</v>
      </c>
      <c r="B4" s="26">
        <v>1</v>
      </c>
      <c r="C4" s="422">
        <f>'ANALYSE - ERP =&gt; SEGMENT'!$A$19</f>
        <v>15</v>
      </c>
      <c r="D4" s="492" t="s">
        <v>2187</v>
      </c>
      <c r="E4" s="492" t="s">
        <v>3877</v>
      </c>
      <c r="F4" s="492" t="s">
        <v>7981</v>
      </c>
      <c r="H4" s="787">
        <f>'ANALYSE - ERP =&gt; SEGMENT'!$IL$19</f>
        <v>1.8032896095137158E-2</v>
      </c>
      <c r="I4" s="787">
        <f>'ANALYSE - ERP =&gt; SEGMENT'!$IM$19</f>
        <v>0.33683694548057203</v>
      </c>
      <c r="J4" s="787">
        <f>'ANALYSE - ERP =&gt; SEGMENT'!$IN$19</f>
        <v>0.46618223335581466</v>
      </c>
      <c r="K4" s="787">
        <f>'ANALYSE - ERP =&gt; SEGMENT'!$IO$19</f>
        <v>0.15106085639959807</v>
      </c>
      <c r="L4" s="787">
        <f>'ANALYSE - ERP =&gt; SEGMENT'!$IP$19</f>
        <v>2.7887068668878093E-2</v>
      </c>
      <c r="N4" s="787">
        <f>'ANALYSE - ERP =&gt; SEGMENT'!$IQ$19</f>
        <v>0</v>
      </c>
      <c r="O4" s="787">
        <f>'ANALYSE - ERP =&gt; SEGMENT'!$IR$19</f>
        <v>0.25046490536911953</v>
      </c>
      <c r="P4" s="787">
        <f>'ANALYSE - ERP =&gt; SEGMENT'!$IS$19</f>
        <v>0.5161741957674485</v>
      </c>
      <c r="Q4" s="787">
        <f>'ANALYSE - ERP =&gt; SEGMENT'!$IT$19</f>
        <v>0.19787403394581116</v>
      </c>
      <c r="R4" s="787">
        <f>'ANALYSE - ERP =&gt; SEGMENT'!$IU$19</f>
        <v>3.548686491762082E-2</v>
      </c>
      <c r="T4" s="430">
        <f>'ANALYSE - ERP =&gt; SEGMENT'!$Q$19</f>
        <v>1</v>
      </c>
    </row>
    <row r="5" spans="1:20" ht="15" customHeight="1">
      <c r="A5" s="26">
        <v>2</v>
      </c>
      <c r="B5" s="26">
        <v>3</v>
      </c>
      <c r="C5" s="422">
        <f>'ANALYSE - ERP =&gt; SEGMENT'!$A$14</f>
        <v>7</v>
      </c>
      <c r="D5" s="494" t="s">
        <v>2241</v>
      </c>
      <c r="E5" s="494" t="s">
        <v>1032</v>
      </c>
      <c r="F5" s="494" t="s">
        <v>7982</v>
      </c>
      <c r="H5" s="787">
        <f>'ANALYSE - ERP =&gt; SEGMENT'!$IL$14</f>
        <v>6.1044181467164305E-6</v>
      </c>
      <c r="I5" s="787">
        <f>'ANALYSE - ERP =&gt; SEGMENT'!$IM$14</f>
        <v>0.15326013370453725</v>
      </c>
      <c r="J5" s="787">
        <f>'ANALYSE - ERP =&gt; SEGMENT'!$IN$14</f>
        <v>0.5557996881116456</v>
      </c>
      <c r="K5" s="787">
        <f>'ANALYSE - ERP =&gt; SEGMENT'!$IO$14</f>
        <v>0.28957137620551143</v>
      </c>
      <c r="L5" s="787">
        <f>'ANALYSE - ERP =&gt; SEGMENT'!$IP$14</f>
        <v>1.3626975601588927E-3</v>
      </c>
      <c r="N5" s="787">
        <f>'ANALYSE - ERP =&gt; SEGMENT'!$IQ$14</f>
        <v>0</v>
      </c>
      <c r="O5" s="787">
        <f>'ANALYSE - ERP =&gt; SEGMENT'!$IR$14</f>
        <v>8.1936780297008585E-2</v>
      </c>
      <c r="P5" s="787">
        <f>'ANALYSE - ERP =&gt; SEGMENT'!$IS$14</f>
        <v>0.51243331414044579</v>
      </c>
      <c r="Q5" s="787">
        <f>'ANALYSE - ERP =&gt; SEGMENT'!$IT$14</f>
        <v>0.39179714054515741</v>
      </c>
      <c r="R5" s="787">
        <f>'ANALYSE - ERP =&gt; SEGMENT'!$IU$14</f>
        <v>1.3832765017388268E-2</v>
      </c>
      <c r="T5" s="430">
        <f>'ANALYSE - ERP =&gt; SEGMENT'!$Q$14</f>
        <v>1</v>
      </c>
    </row>
    <row r="6" spans="1:20" ht="15" customHeight="1">
      <c r="A6" s="26">
        <v>3</v>
      </c>
      <c r="B6" s="26">
        <v>2</v>
      </c>
      <c r="C6" s="422">
        <f>'ANALYSE - ERP =&gt; SEGMENT'!$A$9</f>
        <v>2</v>
      </c>
      <c r="D6" s="498" t="s">
        <v>6739</v>
      </c>
      <c r="E6" s="498" t="s">
        <v>2678</v>
      </c>
      <c r="F6" s="498" t="s">
        <v>7984</v>
      </c>
      <c r="H6" s="787">
        <f>'ANALYSE - ERP =&gt; SEGMENT'!$IL$9</f>
        <v>9.5824485436660847E-2</v>
      </c>
      <c r="I6" s="787">
        <f>'ANALYSE - ERP =&gt; SEGMENT'!$IM$9</f>
        <v>0.53014464315630749</v>
      </c>
      <c r="J6" s="787">
        <f>'ANALYSE - ERP =&gt; SEGMENT'!$IN$9</f>
        <v>0.34433724880134664</v>
      </c>
      <c r="K6" s="787">
        <f>'ANALYSE - ERP =&gt; SEGMENT'!$IO$9</f>
        <v>2.9244411203918661E-2</v>
      </c>
      <c r="L6" s="787">
        <f>'ANALYSE - ERP =&gt; SEGMENT'!$IP$9</f>
        <v>4.4921140176626856E-4</v>
      </c>
      <c r="N6" s="787">
        <f>'ANALYSE - ERP =&gt; SEGMENT'!$IQ$9</f>
        <v>3.5513007328225911E-2</v>
      </c>
      <c r="O6" s="787">
        <f>'ANALYSE - ERP =&gt; SEGMENT'!$IR$9</f>
        <v>0.38871654509956083</v>
      </c>
      <c r="P6" s="787">
        <f>'ANALYSE - ERP =&gt; SEGMENT'!$IS$9</f>
        <v>0.49574976958405864</v>
      </c>
      <c r="Q6" s="787">
        <f>'ANALYSE - ERP =&gt; SEGMENT'!$IT$9</f>
        <v>7.8078899995916398E-2</v>
      </c>
      <c r="R6" s="787">
        <f>'ANALYSE - ERP =&gt; SEGMENT'!$IU$9</f>
        <v>1.9417779922381909E-3</v>
      </c>
      <c r="T6" s="430">
        <f>'ANALYSE - ERP =&gt; SEGMENT'!$Q$9</f>
        <v>1</v>
      </c>
    </row>
    <row r="7" spans="1:20" ht="15" customHeight="1">
      <c r="A7" s="26">
        <v>4</v>
      </c>
      <c r="B7" s="26">
        <v>4</v>
      </c>
      <c r="C7" s="422">
        <f>'ANALYSE - ERP =&gt; SEGMENT'!$A$16</f>
        <v>10</v>
      </c>
      <c r="D7" s="500" t="s">
        <v>3662</v>
      </c>
      <c r="E7" s="500" t="s">
        <v>1114</v>
      </c>
      <c r="F7" s="500" t="s">
        <v>7985</v>
      </c>
      <c r="H7" s="787">
        <f>'ANALYSE - ERP =&gt; SEGMENT'!$IL$16</f>
        <v>2.0971602529636174E-2</v>
      </c>
      <c r="I7" s="787">
        <f>'ANALYSE - ERP =&gt; SEGMENT'!$IM$16</f>
        <v>0.33681043193281618</v>
      </c>
      <c r="J7" s="787">
        <f>'ANALYSE - ERP =&gt; SEGMENT'!$IN$16</f>
        <v>0.50283985354737948</v>
      </c>
      <c r="K7" s="787">
        <f>'ANALYSE - ERP =&gt; SEGMENT'!$IO$16</f>
        <v>0.13185291138592314</v>
      </c>
      <c r="L7" s="787">
        <f>'ANALYSE - ERP =&gt; SEGMENT'!$IP$16</f>
        <v>7.5252006042450777E-3</v>
      </c>
      <c r="N7" s="787">
        <f>'ANALYSE - ERP =&gt; SEGMENT'!$IQ$16</f>
        <v>7.3708980522806996E-3</v>
      </c>
      <c r="O7" s="787">
        <f>'ANALYSE - ERP =&gt; SEGMENT'!$IR$16</f>
        <v>0.27776785320634262</v>
      </c>
      <c r="P7" s="787">
        <f>'ANALYSE - ERP =&gt; SEGMENT'!$IS$16</f>
        <v>0.50627550511973396</v>
      </c>
      <c r="Q7" s="787">
        <f>'ANALYSE - ERP =&gt; SEGMENT'!$IT$16</f>
        <v>0.18790746757391649</v>
      </c>
      <c r="R7" s="787">
        <f>'ANALYSE - ERP =&gt; SEGMENT'!$IU$16</f>
        <v>2.067827604772611E-2</v>
      </c>
      <c r="T7" s="430">
        <f>'ANALYSE - ERP =&gt; SEGMENT'!$Q$16</f>
        <v>1</v>
      </c>
    </row>
    <row r="8" spans="1:20" ht="15" customHeight="1">
      <c r="A8" s="26">
        <v>5</v>
      </c>
      <c r="B8" s="26">
        <v>5</v>
      </c>
      <c r="C8" s="422">
        <f>'ANALYSE - ERP =&gt; SEGMENT'!$A$22</f>
        <v>18</v>
      </c>
      <c r="D8" s="502" t="s">
        <v>2264</v>
      </c>
      <c r="E8" s="502" t="s">
        <v>4024</v>
      </c>
      <c r="F8" s="502" t="s">
        <v>679</v>
      </c>
      <c r="H8" s="787">
        <f>'ANALYSE - ERP =&gt; SEGMENT'!$IL$22</f>
        <v>0.03</v>
      </c>
      <c r="I8" s="787">
        <f>'ANALYSE - ERP =&gt; SEGMENT'!$IM$22</f>
        <v>0.4</v>
      </c>
      <c r="J8" s="787">
        <f>'ANALYSE - ERP =&gt; SEGMENT'!$IN$22</f>
        <v>0.5</v>
      </c>
      <c r="K8" s="787">
        <f>'ANALYSE - ERP =&gt; SEGMENT'!$IO$22</f>
        <v>7.0000000000000007E-2</v>
      </c>
      <c r="L8" s="787">
        <f>'ANALYSE - ERP =&gt; SEGMENT'!$IP$22</f>
        <v>0</v>
      </c>
      <c r="N8" s="787">
        <f>'ANALYSE - ERP =&gt; SEGMENT'!$IQ$22</f>
        <v>7.8000000000000005E-3</v>
      </c>
      <c r="O8" s="787">
        <f>'ANALYSE - ERP =&gt; SEGMENT'!$IR$22</f>
        <v>0.37280000000000002</v>
      </c>
      <c r="P8" s="787">
        <f>'ANALYSE - ERP =&gt; SEGMENT'!$IS$22</f>
        <v>0.5222</v>
      </c>
      <c r="Q8" s="787">
        <f>'ANALYSE - ERP =&gt; SEGMENT'!$IT$22</f>
        <v>9.2200000000000004E-2</v>
      </c>
      <c r="R8" s="787">
        <f>'ANALYSE - ERP =&gt; SEGMENT'!$IU$22</f>
        <v>5.0000000000000001E-3</v>
      </c>
      <c r="T8" s="430">
        <f>'ANALYSE - ERP =&gt; SEGMENT'!$Q$22</f>
        <v>1</v>
      </c>
    </row>
    <row r="9" spans="1:20" ht="15" customHeight="1">
      <c r="A9" s="26">
        <v>6</v>
      </c>
      <c r="B9" s="26">
        <v>7</v>
      </c>
      <c r="C9" s="422">
        <f>'ANALYSE - ERP =&gt; SEGMENT'!$A$30</f>
        <v>29</v>
      </c>
      <c r="D9" s="496" t="s">
        <v>1670</v>
      </c>
      <c r="E9" s="496" t="s">
        <v>1671</v>
      </c>
      <c r="F9" s="496" t="s">
        <v>7983</v>
      </c>
      <c r="H9" s="787">
        <f>'ANALYSE - ERP =&gt; SEGMENT'!$IL$30</f>
        <v>9.0293192133131611E-2</v>
      </c>
      <c r="I9" s="787">
        <f>'ANALYSE - ERP =&gt; SEGMENT'!$IM$30</f>
        <v>0.49962860312657587</v>
      </c>
      <c r="J9" s="787">
        <f>'ANALYSE - ERP =&gt; SEGMENT'!$IN$30</f>
        <v>0.33349908219868885</v>
      </c>
      <c r="K9" s="787">
        <f>'ANALYSE - ERP =&gt; SEGMENT'!$IO$30</f>
        <v>6.4697488653555221E-2</v>
      </c>
      <c r="L9" s="787">
        <f>'ANALYSE - ERP =&gt; SEGMENT'!$IP$30</f>
        <v>1.188163388804841E-2</v>
      </c>
      <c r="N9" s="787">
        <f>'ANALYSE - ERP =&gt; SEGMENT'!$IQ$30</f>
        <v>4.2517138868673317E-2</v>
      </c>
      <c r="O9" s="787">
        <f>'ANALYSE - ERP =&gt; SEGMENT'!$IR$30</f>
        <v>0.41749358999015884</v>
      </c>
      <c r="P9" s="787">
        <f>'ANALYSE - ERP =&gt; SEGMENT'!$IS$30</f>
        <v>0.42177900134425772</v>
      </c>
      <c r="Q9" s="787">
        <f>'ANALYSE - ERP =&gt; SEGMENT'!$IT$30</f>
        <v>9.7425665402609371E-2</v>
      </c>
      <c r="R9" s="787">
        <f>'ANALYSE - ERP =&gt; SEGMENT'!$IU$30</f>
        <v>2.0784604394300833E-2</v>
      </c>
      <c r="T9" s="430">
        <f>'ANALYSE - ERP =&gt; SEGMENT'!$Q$30</f>
        <v>1</v>
      </c>
    </row>
    <row r="10" spans="1:20" ht="15" customHeight="1">
      <c r="A10" s="26">
        <v>7</v>
      </c>
      <c r="B10" s="26">
        <v>6</v>
      </c>
      <c r="C10" s="422">
        <f>'ANALYSE - ERP =&gt; SEGMENT'!$A$27</f>
        <v>26</v>
      </c>
      <c r="D10" s="504" t="s">
        <v>2278</v>
      </c>
      <c r="E10" s="504" t="s">
        <v>1527</v>
      </c>
      <c r="F10" s="504" t="s">
        <v>7987</v>
      </c>
      <c r="H10" s="787">
        <f>'ANALYSE - ERP =&gt; SEGMENT'!$IL$27</f>
        <v>3.2153767063220852E-2</v>
      </c>
      <c r="I10" s="787">
        <f>'ANALYSE - ERP =&gt; SEGMENT'!$IM$27</f>
        <v>0.40351786429258324</v>
      </c>
      <c r="J10" s="787">
        <f>'ANALYSE - ERP =&gt; SEGMENT'!$IN$27</f>
        <v>0.49380507919995648</v>
      </c>
      <c r="K10" s="787">
        <f>'ANALYSE - ERP =&gt; SEGMENT'!$IO$27</f>
        <v>7.0425585910330768E-2</v>
      </c>
      <c r="L10" s="787">
        <f>'ANALYSE - ERP =&gt; SEGMENT'!$IP$27</f>
        <v>9.7703533908709869E-5</v>
      </c>
      <c r="N10" s="787">
        <f>'ANALYSE - ERP =&gt; SEGMENT'!$IQ$27</f>
        <v>1.2886821711665563E-2</v>
      </c>
      <c r="O10" s="787">
        <f>'ANALYSE - ERP =&gt; SEGMENT'!$IR$27</f>
        <v>0.37479557086923737</v>
      </c>
      <c r="P10" s="787">
        <f>'ANALYSE - ERP =&gt; SEGMENT'!$IS$27</f>
        <v>0.51554459955115928</v>
      </c>
      <c r="Q10" s="787">
        <f>'ANALYSE - ERP =&gt; SEGMENT'!$IT$27</f>
        <v>9.239679303409741E-2</v>
      </c>
      <c r="R10" s="787">
        <f>'ANALYSE - ERP =&gt; SEGMENT'!$IU$27</f>
        <v>4.376214833840316E-3</v>
      </c>
      <c r="T10" s="430">
        <f>'ANALYSE - ERP =&gt; SEGMENT'!$Q$27</f>
        <v>1</v>
      </c>
    </row>
    <row r="11" spans="1:20" s="45" customFormat="1" ht="15" customHeight="1">
      <c r="A11" s="26">
        <v>8</v>
      </c>
      <c r="B11" s="26">
        <v>9</v>
      </c>
      <c r="C11" s="422">
        <f>'ANALYSE - ERP =&gt; SEGMENT'!$A$31</f>
        <v>30</v>
      </c>
      <c r="D11" s="496" t="s">
        <v>1670</v>
      </c>
      <c r="E11" s="496" t="s">
        <v>1747</v>
      </c>
      <c r="F11" s="496" t="s">
        <v>7986</v>
      </c>
      <c r="G11" s="685"/>
      <c r="H11" s="787">
        <f>'ANALYSE - ERP =&gt; SEGMENT'!$IL$31</f>
        <v>0.13584927238618272</v>
      </c>
      <c r="I11" s="787">
        <f>'ANALYSE - ERP =&gt; SEGMENT'!$IM$31</f>
        <v>0.54839328725211123</v>
      </c>
      <c r="J11" s="787">
        <f>'ANALYSE - ERP =&gt; SEGMENT'!$IN$31</f>
        <v>0.28920138539564555</v>
      </c>
      <c r="K11" s="787">
        <f>'ANALYSE - ERP =&gt; SEGMENT'!$IO$31</f>
        <v>2.655605496606047E-2</v>
      </c>
      <c r="L11" s="787">
        <f>'ANALYSE - ERP =&gt; SEGMENT'!$IP$31</f>
        <v>0</v>
      </c>
      <c r="M11" s="685"/>
      <c r="N11" s="787">
        <f>'ANALYSE - ERP =&gt; SEGMENT'!$IQ$31</f>
        <v>0.1104510668940486</v>
      </c>
      <c r="O11" s="787">
        <f>'ANALYSE - ERP =&gt; SEGMENT'!$IR$31</f>
        <v>0.50702413376797562</v>
      </c>
      <c r="P11" s="787">
        <f>'ANALYSE - ERP =&gt; SEGMENT'!$IS$31</f>
        <v>0.33046240369948965</v>
      </c>
      <c r="Q11" s="787">
        <f>'ANALYSE - ERP =&gt; SEGMENT'!$IT$31</f>
        <v>4.8662887594779873E-2</v>
      </c>
      <c r="R11" s="787">
        <f>'ANALYSE - ERP =&gt; SEGMENT'!$IU$31</f>
        <v>3.3995080437061098E-3</v>
      </c>
      <c r="S11" s="685"/>
      <c r="T11" s="430">
        <f>'ANALYSE - ERP =&gt; SEGMENT'!$Q$31</f>
        <v>1</v>
      </c>
    </row>
    <row r="12" spans="1:20" ht="15" customHeight="1">
      <c r="A12" s="26">
        <v>9</v>
      </c>
      <c r="B12" s="26">
        <v>10</v>
      </c>
      <c r="C12" s="422">
        <f>'ANALYSE - ERP =&gt; SEGMENT'!$A$13</f>
        <v>6</v>
      </c>
      <c r="D12" s="494" t="s">
        <v>2241</v>
      </c>
      <c r="E12" s="494" t="s">
        <v>1053</v>
      </c>
      <c r="F12" s="494" t="s">
        <v>7988</v>
      </c>
      <c r="H12" s="787">
        <f>'ANALYSE - ERP =&gt; SEGMENT'!$IL$13</f>
        <v>5.9820157216142936E-5</v>
      </c>
      <c r="I12" s="787">
        <f>'ANALYSE - ERP =&gt; SEGMENT'!$IM$13</f>
        <v>0.1692431583669807</v>
      </c>
      <c r="J12" s="787">
        <f>'ANALYSE - ERP =&gt; SEGMENT'!$IN$13</f>
        <v>0.56802464548344944</v>
      </c>
      <c r="K12" s="787">
        <f>'ANALYSE - ERP =&gt; SEGMENT'!$IO$13</f>
        <v>0.24742494977275833</v>
      </c>
      <c r="L12" s="787">
        <f>'ANALYSE - ERP =&gt; SEGMENT'!$IP$13</f>
        <v>1.5247426219595451E-2</v>
      </c>
      <c r="N12" s="787">
        <f>'ANALYSE - ERP =&gt; SEGMENT'!$IQ$13</f>
        <v>1.4924926271212492E-5</v>
      </c>
      <c r="O12" s="787">
        <f>'ANALYSE - ERP =&gt; SEGMENT'!$IR$13</f>
        <v>8.1367701759774855E-2</v>
      </c>
      <c r="P12" s="787">
        <f>'ANALYSE - ERP =&gt; SEGMENT'!$IS$13</f>
        <v>0.5121878995727408</v>
      </c>
      <c r="Q12" s="787">
        <f>'ANALYSE - ERP =&gt; SEGMENT'!$IT$13</f>
        <v>0.3682798055345799</v>
      </c>
      <c r="R12" s="787">
        <f>'ANALYSE - ERP =&gt; SEGMENT'!$IU$13</f>
        <v>3.8149668206633285E-2</v>
      </c>
      <c r="T12" s="430">
        <f>'ANALYSE - ERP =&gt; SEGMENT'!$Q$13</f>
        <v>1</v>
      </c>
    </row>
    <row r="13" spans="1:20" s="45" customFormat="1" ht="15" customHeight="1">
      <c r="A13" s="406">
        <v>10</v>
      </c>
      <c r="B13" s="406">
        <v>8</v>
      </c>
      <c r="C13" s="448">
        <f>'ANALYSE - ERP =&gt; SEGMENT'!$A$28</f>
        <v>27</v>
      </c>
      <c r="D13" s="511" t="s">
        <v>2278</v>
      </c>
      <c r="E13" s="511" t="s">
        <v>4578</v>
      </c>
      <c r="F13" s="511" t="s">
        <v>7989</v>
      </c>
      <c r="G13" s="685"/>
      <c r="H13" s="788">
        <f>'ANALYSE - ERP =&gt; SEGMENT'!$IL$28</f>
        <v>0.1</v>
      </c>
      <c r="I13" s="788">
        <f>'ANALYSE - ERP =&gt; SEGMENT'!$IM$28</f>
        <v>0.53</v>
      </c>
      <c r="J13" s="788">
        <f>'ANALYSE - ERP =&gt; SEGMENT'!$IN$28</f>
        <v>0.34</v>
      </c>
      <c r="K13" s="788">
        <f>'ANALYSE - ERP =&gt; SEGMENT'!$IO$28</f>
        <v>0.03</v>
      </c>
      <c r="L13" s="788">
        <f>'ANALYSE - ERP =&gt; SEGMENT'!$IP$28</f>
        <v>0</v>
      </c>
      <c r="M13" s="685"/>
      <c r="N13" s="788">
        <f>'ANALYSE - ERP =&gt; SEGMENT'!$IQ$28</f>
        <v>8.5900000000000018E-2</v>
      </c>
      <c r="O13" s="788">
        <f>'ANALYSE - ERP =&gt; SEGMENT'!$IR$28</f>
        <v>0.51270000000000016</v>
      </c>
      <c r="P13" s="788">
        <f>'ANALYSE - ERP =&gt; SEGMENT'!$IS$28</f>
        <v>0.35410000000000008</v>
      </c>
      <c r="Q13" s="788">
        <f>'ANALYSE - ERP =&gt; SEGMENT'!$IT$28</f>
        <v>4.41E-2</v>
      </c>
      <c r="R13" s="788">
        <f>'ANALYSE - ERP =&gt; SEGMENT'!$IU$28</f>
        <v>3.2000000000000006E-3</v>
      </c>
      <c r="S13" s="685"/>
      <c r="T13" s="450">
        <f>'ANALYSE - ERP =&gt; SEGMENT'!$Q$28</f>
        <v>1</v>
      </c>
    </row>
    <row r="14" spans="1:20" ht="15" customHeight="1">
      <c r="A14" s="26">
        <v>11</v>
      </c>
      <c r="B14" s="26">
        <v>12</v>
      </c>
      <c r="C14" s="422">
        <f>'ANALYSE - ERP =&gt; SEGMENT'!$A$23</f>
        <v>19</v>
      </c>
      <c r="D14" s="502" t="s">
        <v>2264</v>
      </c>
      <c r="E14" s="502" t="s">
        <v>7990</v>
      </c>
      <c r="F14" s="502" t="s">
        <v>7991</v>
      </c>
      <c r="H14" s="787">
        <f>'ANALYSE - ERP =&gt; SEGMENT'!$IL$23</f>
        <v>5.3296334902488231E-2</v>
      </c>
      <c r="I14" s="787">
        <f>'ANALYSE - ERP =&gt; SEGMENT'!$IM$23</f>
        <v>0.4424523873570948</v>
      </c>
      <c r="J14" s="787">
        <f>'ANALYSE - ERP =&gt; SEGMENT'!$IN$23</f>
        <v>0.4460292199058507</v>
      </c>
      <c r="K14" s="787">
        <f>'ANALYSE - ERP =&gt; SEGMENT'!$IO$23</f>
        <v>5.7819905850706128E-2</v>
      </c>
      <c r="L14" s="787">
        <f>'ANALYSE - ERP =&gt; SEGMENT'!$IP$23</f>
        <v>4.0215198386012104E-4</v>
      </c>
      <c r="N14" s="787">
        <f>'ANALYSE - ERP =&gt; SEGMENT'!$IQ$23</f>
        <v>2.5874421034506382E-2</v>
      </c>
      <c r="O14" s="787">
        <f>'ANALYSE - ERP =&gt; SEGMENT'!$IR$23</f>
        <v>0.40047254462520754</v>
      </c>
      <c r="P14" s="787">
        <f>'ANALYSE - ERP =&gt; SEGMENT'!$IS$23</f>
        <v>0.49527091380383631</v>
      </c>
      <c r="Q14" s="787">
        <f>'ANALYSE - ERP =&gt; SEGMENT'!$IT$23</f>
        <v>7.3800021515659189E-2</v>
      </c>
      <c r="R14" s="787">
        <f>'ANALYSE - ERP =&gt; SEGMENT'!$IU$23</f>
        <v>4.5820990207907208E-3</v>
      </c>
      <c r="T14" s="430">
        <f>'ANALYSE - ERP =&gt; SEGMENT'!$Q$23</f>
        <v>1</v>
      </c>
    </row>
    <row r="15" spans="1:20" s="45" customFormat="1" ht="15" customHeight="1">
      <c r="A15" s="406">
        <v>12</v>
      </c>
      <c r="B15" s="406">
        <v>11</v>
      </c>
      <c r="C15" s="448">
        <f>'ANALYSE - ERP =&gt; SEGMENT'!$A$26</f>
        <v>23</v>
      </c>
      <c r="D15" s="513" t="s">
        <v>7117</v>
      </c>
      <c r="E15" s="513" t="s">
        <v>4268</v>
      </c>
      <c r="F15" s="513" t="s">
        <v>4269</v>
      </c>
      <c r="G15" s="685"/>
      <c r="H15" s="788">
        <f>'ANALYSE - ERP =&gt; SEGMENT'!$IL$26</f>
        <v>0.11176818181818182</v>
      </c>
      <c r="I15" s="788">
        <f>'ANALYSE - ERP =&gt; SEGMENT'!$IM$26</f>
        <v>0.51754979338842988</v>
      </c>
      <c r="J15" s="788">
        <f>'ANALYSE - ERP =&gt; SEGMENT'!$IN$26</f>
        <v>0.32975144628099173</v>
      </c>
      <c r="K15" s="788">
        <f>'ANALYSE - ERP =&gt; SEGMENT'!$IO$26</f>
        <v>3.888966942148761E-2</v>
      </c>
      <c r="L15" s="788">
        <f>'ANALYSE - ERP =&gt; SEGMENT'!$IP$26</f>
        <v>2.0409090909090906E-3</v>
      </c>
      <c r="M15" s="685"/>
      <c r="N15" s="788">
        <f>'ANALYSE - ERP =&gt; SEGMENT'!$IQ$26</f>
        <v>4.7967430293667054E-2</v>
      </c>
      <c r="O15" s="788">
        <f>'ANALYSE - ERP =&gt; SEGMENT'!$IR$26</f>
        <v>0.41295789847776554</v>
      </c>
      <c r="P15" s="788">
        <f>'ANALYSE - ERP =&gt; SEGMENT'!$IS$26</f>
        <v>0.46059411320434174</v>
      </c>
      <c r="Q15" s="788">
        <f>'ANALYSE - ERP =&gt; SEGMENT'!$IT$26</f>
        <v>7.5350960360647048E-2</v>
      </c>
      <c r="R15" s="788">
        <f>'ANALYSE - ERP =&gt; SEGMENT'!$IU$26</f>
        <v>3.1295976635785307E-3</v>
      </c>
      <c r="S15" s="685"/>
      <c r="T15" s="450">
        <f>'ANALYSE - ERP =&gt; SEGMENT'!$Q$26</f>
        <v>1</v>
      </c>
    </row>
    <row r="16" spans="1:20" ht="15" customHeight="1">
      <c r="A16" s="26">
        <v>13</v>
      </c>
      <c r="B16" s="26">
        <v>15</v>
      </c>
      <c r="C16" s="422">
        <f>'ANALYSE - ERP =&gt; SEGMENT'!$A$32</f>
        <v>32</v>
      </c>
      <c r="D16" s="508" t="s">
        <v>2285</v>
      </c>
      <c r="E16" s="508" t="s">
        <v>1793</v>
      </c>
      <c r="F16" s="508" t="s">
        <v>7992</v>
      </c>
      <c r="H16" s="787">
        <f>'ANALYSE - ERP =&gt; SEGMENT'!$IL$32</f>
        <v>3.8006191131720046E-2</v>
      </c>
      <c r="I16" s="787">
        <f>'ANALYSE - ERP =&gt; SEGMENT'!$IM$32</f>
        <v>0.4030289957977104</v>
      </c>
      <c r="J16" s="787">
        <f>'ANALYSE - ERP =&gt; SEGMENT'!$IN$32</f>
        <v>0.40895081147659756</v>
      </c>
      <c r="K16" s="787">
        <f>'ANALYSE - ERP =&gt; SEGMENT'!$IO$32</f>
        <v>0.12344761266483119</v>
      </c>
      <c r="L16" s="787">
        <f>'ANALYSE - ERP =&gt; SEGMENT'!$IP$32</f>
        <v>2.6566388929140702E-2</v>
      </c>
      <c r="N16" s="787">
        <f>'ANALYSE - ERP =&gt; SEGMENT'!$IQ$32</f>
        <v>1.7447820443446387E-2</v>
      </c>
      <c r="O16" s="787">
        <f>'ANALYSE - ERP =&gt; SEGMENT'!$IR$32</f>
        <v>0.34275392667535581</v>
      </c>
      <c r="P16" s="787">
        <f>'ANALYSE - ERP =&gt; SEGMENT'!$IS$32</f>
        <v>0.42278111925049416</v>
      </c>
      <c r="Q16" s="787">
        <f>'ANALYSE - ERP =&gt; SEGMENT'!$IT$32</f>
        <v>0.16770858522571022</v>
      </c>
      <c r="R16" s="787">
        <f>'ANALYSE - ERP =&gt; SEGMENT'!$IU$32</f>
        <v>4.9308548404993317E-2</v>
      </c>
      <c r="T16" s="430">
        <f>'ANALYSE - ERP =&gt; SEGMENT'!$Q$32</f>
        <v>1</v>
      </c>
    </row>
    <row r="17" spans="1:20" ht="15" customHeight="1">
      <c r="A17" s="26">
        <v>14</v>
      </c>
      <c r="B17" s="26">
        <v>18</v>
      </c>
      <c r="C17" s="422">
        <f>'ANALYSE - ERP =&gt; SEGMENT'!$A$21</f>
        <v>17</v>
      </c>
      <c r="D17" s="492" t="s">
        <v>2187</v>
      </c>
      <c r="E17" s="492" t="s">
        <v>1372</v>
      </c>
      <c r="F17" s="492" t="s">
        <v>7993</v>
      </c>
      <c r="H17" s="787">
        <f>'ANALYSE - ERP =&gt; SEGMENT'!$IL$21</f>
        <v>1.9274181027790716E-2</v>
      </c>
      <c r="I17" s="787">
        <f>'ANALYSE - ERP =&gt; SEGMENT'!$IM$21</f>
        <v>0.29464795839155417</v>
      </c>
      <c r="J17" s="787">
        <f>'ANALYSE - ERP =&gt; SEGMENT'!$IN$21</f>
        <v>0.48666394969725196</v>
      </c>
      <c r="K17" s="787">
        <f>'ANALYSE - ERP =&gt; SEGMENT'!$IO$21</f>
        <v>0.18041297935103245</v>
      </c>
      <c r="L17" s="787">
        <f>'ANALYSE - ERP =&gt; SEGMENT'!$IP$21</f>
        <v>1.9000931532370747E-2</v>
      </c>
      <c r="N17" s="787">
        <f>'ANALYSE - ERP =&gt; SEGMENT'!$IQ$21</f>
        <v>5.7264414618398186E-3</v>
      </c>
      <c r="O17" s="787">
        <f>'ANALYSE - ERP =&gt; SEGMENT'!$IR$21</f>
        <v>0.25569867095009585</v>
      </c>
      <c r="P17" s="787">
        <f>'ANALYSE - ERP =&gt; SEGMENT'!$IS$21</f>
        <v>0.51052850120701188</v>
      </c>
      <c r="Q17" s="787">
        <f>'ANALYSE - ERP =&gt; SEGMENT'!$IT$21</f>
        <v>0.20357811695357342</v>
      </c>
      <c r="R17" s="787">
        <f>'ANALYSE - ERP =&gt; SEGMENT'!$IU$21</f>
        <v>2.4468269427479112E-2</v>
      </c>
      <c r="T17" s="430">
        <f>'ANALYSE - ERP =&gt; SEGMENT'!$Q$21</f>
        <v>1</v>
      </c>
    </row>
    <row r="18" spans="1:20" ht="15" customHeight="1">
      <c r="A18" s="26">
        <v>15</v>
      </c>
      <c r="B18" s="26">
        <v>13</v>
      </c>
      <c r="C18" s="422">
        <f>'ANALYSE - ERP =&gt; SEGMENT'!$A$8</f>
        <v>1</v>
      </c>
      <c r="D18" s="498" t="s">
        <v>6739</v>
      </c>
      <c r="E18" s="498" t="s">
        <v>2104</v>
      </c>
      <c r="F18" s="498" t="s">
        <v>671</v>
      </c>
      <c r="H18" s="787">
        <f>'ANALYSE - ERP =&gt; SEGMENT'!$IL$8</f>
        <v>8.7780342046448363E-3</v>
      </c>
      <c r="I18" s="787">
        <f>'ANALYSE - ERP =&gt; SEGMENT'!$IM$8</f>
        <v>0.31598297055679719</v>
      </c>
      <c r="J18" s="787">
        <f>'ANALYSE - ERP =&gt; SEGMENT'!$IN$8</f>
        <v>0.54624518997182003</v>
      </c>
      <c r="K18" s="787">
        <f>'ANALYSE - ERP =&gt; SEGMENT'!$IO$8</f>
        <v>0.1289938052667379</v>
      </c>
      <c r="L18" s="787">
        <f>'ANALYSE - ERP =&gt; SEGMENT'!$IP$8</f>
        <v>0</v>
      </c>
      <c r="N18" s="787">
        <f>'ANALYSE - ERP =&gt; SEGMENT'!$IQ$8</f>
        <v>6.7527207646315467E-3</v>
      </c>
      <c r="O18" s="787">
        <f>'ANALYSE - ERP =&gt; SEGMENT'!$IR$8</f>
        <v>0.18025454597231994</v>
      </c>
      <c r="P18" s="787">
        <f>'ANALYSE - ERP =&gt; SEGMENT'!$IS$8</f>
        <v>0.54173719164601419</v>
      </c>
      <c r="Q18" s="787">
        <f>'ANALYSE - ERP =&gt; SEGMENT'!$IT$8</f>
        <v>0.27089926309816426</v>
      </c>
      <c r="R18" s="787">
        <f>'ANALYSE - ERP =&gt; SEGMENT'!$IU$8</f>
        <v>3.5627851887013069E-4</v>
      </c>
      <c r="T18" s="430">
        <f>'ANALYSE - ERP =&gt; SEGMENT'!$Q$8</f>
        <v>1</v>
      </c>
    </row>
    <row r="19" spans="1:20" ht="15" customHeight="1">
      <c r="A19" s="26">
        <v>16</v>
      </c>
      <c r="B19" s="26">
        <v>16</v>
      </c>
      <c r="C19" s="422">
        <f>'ANALYSE - ERP =&gt; SEGMENT'!$A$24</f>
        <v>21</v>
      </c>
      <c r="D19" s="506" t="s">
        <v>7117</v>
      </c>
      <c r="E19" s="506" t="s">
        <v>1455</v>
      </c>
      <c r="F19" s="506" t="s">
        <v>7994</v>
      </c>
      <c r="H19" s="787">
        <f>'ANALYSE - ERP =&gt; SEGMENT'!$IL$24</f>
        <v>3.3073281189078062E-2</v>
      </c>
      <c r="I19" s="787">
        <f>'ANALYSE - ERP =&gt; SEGMENT'!$IM$24</f>
        <v>0.34440569727187875</v>
      </c>
      <c r="J19" s="787">
        <f>'ANALYSE - ERP =&gt; SEGMENT'!$IN$24</f>
        <v>0.46004015383342983</v>
      </c>
      <c r="K19" s="787">
        <f>'ANALYSE - ERP =&gt; SEGMENT'!$IO$24</f>
        <v>0.14788786110093693</v>
      </c>
      <c r="L19" s="787">
        <f>'ANALYSE - ERP =&gt; SEGMENT'!$IP$24</f>
        <v>1.4593006604676443E-2</v>
      </c>
      <c r="N19" s="787">
        <f>'ANALYSE - ERP =&gt; SEGMENT'!$IQ$24</f>
        <v>1.4803957900663873E-2</v>
      </c>
      <c r="O19" s="787">
        <f>'ANALYSE - ERP =&gt; SEGMENT'!$IR$24</f>
        <v>0.29062797747008057</v>
      </c>
      <c r="P19" s="787">
        <f>'ANALYSE - ERP =&gt; SEGMENT'!$IS$24</f>
        <v>0.49023749594415583</v>
      </c>
      <c r="Q19" s="787">
        <f>'ANALYSE - ERP =&gt; SEGMENT'!$IT$24</f>
        <v>0.18293253286760866</v>
      </c>
      <c r="R19" s="787">
        <f>'ANALYSE - ERP =&gt; SEGMENT'!$IU$24</f>
        <v>2.1398035817491137E-2</v>
      </c>
      <c r="T19" s="430">
        <f>'ANALYSE - ERP =&gt; SEGMENT'!$Q$24</f>
        <v>1</v>
      </c>
    </row>
    <row r="20" spans="1:20" ht="15" customHeight="1">
      <c r="A20" s="26">
        <v>17</v>
      </c>
      <c r="B20" s="26">
        <v>17</v>
      </c>
      <c r="C20" s="422">
        <f>'ANALYSE - ERP =&gt; SEGMENT'!$A$12</f>
        <v>5</v>
      </c>
      <c r="D20" s="498" t="s">
        <v>6739</v>
      </c>
      <c r="E20" s="498" t="s">
        <v>2091</v>
      </c>
      <c r="F20" s="498" t="s">
        <v>2836</v>
      </c>
      <c r="H20" s="787">
        <f>'ANALYSE - ERP =&gt; SEGMENT'!$IL$12</f>
        <v>1.6791936469150885E-2</v>
      </c>
      <c r="I20" s="787">
        <f>'ANALYSE - ERP =&gt; SEGMENT'!$IM$12</f>
        <v>0.32814074526573001</v>
      </c>
      <c r="J20" s="787">
        <f>'ANALYSE - ERP =&gt; SEGMENT'!$IN$12</f>
        <v>0.5099753207086134</v>
      </c>
      <c r="K20" s="787">
        <f>'ANALYSE - ERP =&gt; SEGMENT'!$IO$12</f>
        <v>0.1404737935247404</v>
      </c>
      <c r="L20" s="787">
        <f>'ANALYSE - ERP =&gt; SEGMENT'!$IP$12</f>
        <v>4.6182040317654244E-3</v>
      </c>
      <c r="N20" s="787">
        <f>'ANALYSE - ERP =&gt; SEGMENT'!$IQ$12</f>
        <v>1.4138854188713128E-3</v>
      </c>
      <c r="O20" s="787">
        <f>'ANALYSE - ERP =&gt; SEGMENT'!$IR$12</f>
        <v>0.15558798858421632</v>
      </c>
      <c r="P20" s="787">
        <f>'ANALYSE - ERP =&gt; SEGMENT'!$IS$12</f>
        <v>0.51949547083285852</v>
      </c>
      <c r="Q20" s="787">
        <f>'ANALYSE - ERP =&gt; SEGMENT'!$IT$12</f>
        <v>0.2967086739184292</v>
      </c>
      <c r="R20" s="787">
        <f>'ANALYSE - ERP =&gt; SEGMENT'!$IU$12</f>
        <v>2.679398124562463E-2</v>
      </c>
      <c r="T20" s="430">
        <f>'ANALYSE - ERP =&gt; SEGMENT'!$Q$12</f>
        <v>1</v>
      </c>
    </row>
    <row r="21" spans="1:20" ht="15" customHeight="1">
      <c r="A21" s="26">
        <v>18</v>
      </c>
      <c r="B21" s="26">
        <v>14</v>
      </c>
      <c r="C21" s="422">
        <f>'ANALYSE - ERP =&gt; SEGMENT'!$A$11</f>
        <v>4</v>
      </c>
      <c r="D21" s="498" t="s">
        <v>6739</v>
      </c>
      <c r="E21" s="498" t="s">
        <v>991</v>
      </c>
      <c r="F21" s="498" t="s">
        <v>7995</v>
      </c>
      <c r="H21" s="787">
        <f>'ANALYSE - ERP =&gt; SEGMENT'!$IL$11</f>
        <v>0</v>
      </c>
      <c r="I21" s="787">
        <f>'ANALYSE - ERP =&gt; SEGMENT'!$IM$11</f>
        <v>0</v>
      </c>
      <c r="J21" s="787">
        <f>'ANALYSE - ERP =&gt; SEGMENT'!$IN$11</f>
        <v>0</v>
      </c>
      <c r="K21" s="787">
        <f>'ANALYSE - ERP =&gt; SEGMENT'!$IO$11</f>
        <v>0</v>
      </c>
      <c r="L21" s="787">
        <f>'ANALYSE - ERP =&gt; SEGMENT'!$IP$11</f>
        <v>0</v>
      </c>
      <c r="N21" s="787">
        <f>'ANALYSE - ERP =&gt; SEGMENT'!$IQ$11</f>
        <v>0</v>
      </c>
      <c r="O21" s="787">
        <f>'ANALYSE - ERP =&gt; SEGMENT'!$IR$11</f>
        <v>0</v>
      </c>
      <c r="P21" s="787">
        <f>'ANALYSE - ERP =&gt; SEGMENT'!$IS$11</f>
        <v>0</v>
      </c>
      <c r="Q21" s="787">
        <f>'ANALYSE - ERP =&gt; SEGMENT'!$IT$11</f>
        <v>0</v>
      </c>
      <c r="R21" s="787">
        <f>'ANALYSE - ERP =&gt; SEGMENT'!$IU$11</f>
        <v>0</v>
      </c>
      <c r="T21" s="430">
        <f>'ANALYSE - ERP =&gt; SEGMENT'!$Q$11</f>
        <v>0</v>
      </c>
    </row>
    <row r="22" spans="1:20" ht="15" customHeight="1">
      <c r="A22" s="26">
        <v>19</v>
      </c>
      <c r="B22" s="26">
        <v>20</v>
      </c>
      <c r="C22" s="422">
        <f>'ANALYSE - ERP =&gt; SEGMENT'!$A$36</f>
        <v>37</v>
      </c>
      <c r="D22" s="510" t="s">
        <v>4908</v>
      </c>
      <c r="E22" s="510" t="s">
        <v>88</v>
      </c>
      <c r="F22" s="510" t="s">
        <v>7996</v>
      </c>
      <c r="H22" s="787">
        <f>'ANALYSE - ERP =&gt; SEGMENT'!$IL$36</f>
        <v>0.131986160609153</v>
      </c>
      <c r="I22" s="787">
        <f>'ANALYSE - ERP =&gt; SEGMENT'!$IM$36</f>
        <v>0.68295089619802707</v>
      </c>
      <c r="J22" s="787">
        <f>'ANALYSE - ERP =&gt; SEGMENT'!$IN$36</f>
        <v>0.18474605803699923</v>
      </c>
      <c r="K22" s="787">
        <f>'ANALYSE - ERP =&gt; SEGMENT'!$IO$36</f>
        <v>3.1551927152837742E-4</v>
      </c>
      <c r="L22" s="787">
        <f>'ANALYSE - ERP =&gt; SEGMENT'!$IP$36</f>
        <v>1.3658842923306384E-6</v>
      </c>
      <c r="N22" s="787">
        <f>'ANALYSE - ERP =&gt; SEGMENT'!$IQ$36</f>
        <v>4.6949736087235634E-2</v>
      </c>
      <c r="O22" s="787">
        <f>'ANALYSE - ERP =&gt; SEGMENT'!$IR$36</f>
        <v>0.58544369124350271</v>
      </c>
      <c r="P22" s="787">
        <f>'ANALYSE - ERP =&gt; SEGMENT'!$IS$36</f>
        <v>0.36625763752383639</v>
      </c>
      <c r="Q22" s="787">
        <f>'ANALYSE - ERP =&gt; SEGMENT'!$IT$36</f>
        <v>1.3342985912951928E-3</v>
      </c>
      <c r="R22" s="787">
        <f>'ANALYSE - ERP =&gt; SEGMENT'!$IU$36</f>
        <v>1.4636554129982966E-5</v>
      </c>
      <c r="T22" s="430">
        <f>'ANALYSE - ERP =&gt; SEGMENT'!$Q$36</f>
        <v>1</v>
      </c>
    </row>
    <row r="23" spans="1:20" ht="15" customHeight="1">
      <c r="A23" s="26">
        <v>20</v>
      </c>
      <c r="B23" s="26">
        <v>23</v>
      </c>
      <c r="C23" s="422">
        <f>'ANALYSE - ERP =&gt; SEGMENT'!$A$20</f>
        <v>16</v>
      </c>
      <c r="D23" s="492" t="s">
        <v>2187</v>
      </c>
      <c r="E23" s="492" t="s">
        <v>1435</v>
      </c>
      <c r="F23" s="492" t="s">
        <v>7999</v>
      </c>
      <c r="H23" s="787">
        <f>'ANALYSE - ERP =&gt; SEGMENT'!$IL$20</f>
        <v>0.01</v>
      </c>
      <c r="I23" s="787">
        <f>'ANALYSE - ERP =&gt; SEGMENT'!$IM$20</f>
        <v>0.28000000000000003</v>
      </c>
      <c r="J23" s="787">
        <f>'ANALYSE - ERP =&gt; SEGMENT'!$IN$20</f>
        <v>0.5</v>
      </c>
      <c r="K23" s="787">
        <f>'ANALYSE - ERP =&gt; SEGMENT'!$IO$20</f>
        <v>0.18999999999999997</v>
      </c>
      <c r="L23" s="787">
        <f>'ANALYSE - ERP =&gt; SEGMENT'!$IP$20</f>
        <v>0.02</v>
      </c>
      <c r="N23" s="787">
        <f>'ANALYSE - ERP =&gt; SEGMENT'!$IQ$20</f>
        <v>0</v>
      </c>
      <c r="O23" s="787">
        <f>'ANALYSE - ERP =&gt; SEGMENT'!$IR$20</f>
        <v>0.24129999999999996</v>
      </c>
      <c r="P23" s="787">
        <f>'ANALYSE - ERP =&gt; SEGMENT'!$IS$20</f>
        <v>0.51870000000000005</v>
      </c>
      <c r="Q23" s="787">
        <f>'ANALYSE - ERP =&gt; SEGMENT'!$IT$20</f>
        <v>0.2142</v>
      </c>
      <c r="R23" s="787">
        <f>'ANALYSE - ERP =&gt; SEGMENT'!$IU$20</f>
        <v>2.58E-2</v>
      </c>
      <c r="T23" s="430">
        <f>'ANALYSE - ERP =&gt; SEGMENT'!$Q$20</f>
        <v>1</v>
      </c>
    </row>
    <row r="24" spans="1:20" ht="15" customHeight="1">
      <c r="A24" s="26">
        <v>21</v>
      </c>
      <c r="B24" s="26">
        <v>22</v>
      </c>
      <c r="C24" s="422">
        <f>'ANALYSE - ERP =&gt; SEGMENT'!$A$18</f>
        <v>12</v>
      </c>
      <c r="D24" s="500" t="s">
        <v>3662</v>
      </c>
      <c r="E24" s="500" t="s">
        <v>1337</v>
      </c>
      <c r="F24" s="500" t="s">
        <v>7997</v>
      </c>
      <c r="H24" s="787">
        <f>'ANALYSE - ERP =&gt; SEGMENT'!$IL$18</f>
        <v>9.8640000000000005E-2</v>
      </c>
      <c r="I24" s="787">
        <f>'ANALYSE - ERP =&gt; SEGMENT'!$IM$18</f>
        <v>0.46061647058823529</v>
      </c>
      <c r="J24" s="787">
        <f>'ANALYSE - ERP =&gt; SEGMENT'!$IN$18</f>
        <v>0.38886117647058827</v>
      </c>
      <c r="K24" s="787">
        <f>'ANALYSE - ERP =&gt; SEGMENT'!$IO$18</f>
        <v>5.1882352941176477E-2</v>
      </c>
      <c r="L24" s="787">
        <f>'ANALYSE - ERP =&gt; SEGMENT'!$IP$18</f>
        <v>0</v>
      </c>
      <c r="N24" s="787">
        <f>'ANALYSE - ERP =&gt; SEGMENT'!$IQ$18</f>
        <v>5.382985133137129E-2</v>
      </c>
      <c r="O24" s="787">
        <f>'ANALYSE - ERP =&gt; SEGMENT'!$IR$18</f>
        <v>0.46249395337971877</v>
      </c>
      <c r="P24" s="787">
        <f>'ANALYSE - ERP =&gt; SEGMENT'!$IS$18</f>
        <v>0.41927706800039294</v>
      </c>
      <c r="Q24" s="787">
        <f>'ANALYSE - ERP =&gt; SEGMENT'!$IT$18</f>
        <v>6.1715830318162163E-2</v>
      </c>
      <c r="R24" s="787">
        <f>'ANALYSE - ERP =&gt; SEGMENT'!$IU$18</f>
        <v>2.6832969703548767E-3</v>
      </c>
      <c r="T24" s="430">
        <f>'ANALYSE - ERP =&gt; SEGMENT'!$Q$18</f>
        <v>1</v>
      </c>
    </row>
    <row r="25" spans="1:20" ht="15" customHeight="1">
      <c r="A25" s="26">
        <v>22</v>
      </c>
      <c r="B25" s="26">
        <v>24</v>
      </c>
      <c r="C25" s="422">
        <f>'ANALYSE - ERP =&gt; SEGMENT'!$A$15</f>
        <v>8</v>
      </c>
      <c r="D25" s="494" t="s">
        <v>2241</v>
      </c>
      <c r="E25" s="494" t="s">
        <v>2242</v>
      </c>
      <c r="F25" s="494" t="s">
        <v>7998</v>
      </c>
      <c r="H25" s="787">
        <f>'ANALYSE - ERP =&gt; SEGMENT'!$IL$15</f>
        <v>1.2779934308748879E-3</v>
      </c>
      <c r="I25" s="787">
        <f>'ANALYSE - ERP =&gt; SEGMENT'!$IM$15</f>
        <v>0.17851239175873393</v>
      </c>
      <c r="J25" s="787">
        <f>'ANALYSE - ERP =&gt; SEGMENT'!$IN$15</f>
        <v>0.55928062108091969</v>
      </c>
      <c r="K25" s="787">
        <f>'ANALYSE - ERP =&gt; SEGMENT'!$IO$15</f>
        <v>0.24659635712152878</v>
      </c>
      <c r="L25" s="787">
        <f>'ANALYSE - ERP =&gt; SEGMENT'!$IP$15</f>
        <v>1.4332636607942669E-2</v>
      </c>
      <c r="N25" s="787">
        <f>'ANALYSE - ERP =&gt; SEGMENT'!$IQ$15</f>
        <v>0</v>
      </c>
      <c r="O25" s="787">
        <f>'ANALYSE - ERP =&gt; SEGMENT'!$IR$15</f>
        <v>8.2165516537796426E-2</v>
      </c>
      <c r="P25" s="787">
        <f>'ANALYSE - ERP =&gt; SEGMENT'!$IS$15</f>
        <v>0.44736426055216011</v>
      </c>
      <c r="Q25" s="787">
        <f>'ANALYSE - ERP =&gt; SEGMENT'!$IT$15</f>
        <v>0.43042000420110277</v>
      </c>
      <c r="R25" s="787">
        <f>'ANALYSE - ERP =&gt; SEGMENT'!$IU$15</f>
        <v>4.0050218708940592E-2</v>
      </c>
      <c r="T25" s="430">
        <f>'ANALYSE - ERP =&gt; SEGMENT'!$Q$15</f>
        <v>1</v>
      </c>
    </row>
    <row r="26" spans="1:20" ht="15" customHeight="1">
      <c r="A26" s="26">
        <v>23</v>
      </c>
      <c r="B26" s="26">
        <v>19</v>
      </c>
      <c r="C26" s="422">
        <f>'ANALYSE - ERP =&gt; SEGMENT'!$A$10</f>
        <v>3</v>
      </c>
      <c r="D26" s="498" t="s">
        <v>6739</v>
      </c>
      <c r="E26" s="498" t="s">
        <v>1014</v>
      </c>
      <c r="F26" s="498" t="s">
        <v>8000</v>
      </c>
      <c r="H26" s="787">
        <f>'ANALYSE - ERP =&gt; SEGMENT'!$IL$10</f>
        <v>4.5530511766565798E-3</v>
      </c>
      <c r="I26" s="787">
        <f>'ANALYSE - ERP =&gt; SEGMENT'!$IM$10</f>
        <v>0.21971208726681427</v>
      </c>
      <c r="J26" s="787">
        <f>'ANALYSE - ERP =&gt; SEGMENT'!$IN$10</f>
        <v>0.5182252721441799</v>
      </c>
      <c r="K26" s="787">
        <f>'ANALYSE - ERP =&gt; SEGMENT'!$IO$10</f>
        <v>0.23565077465106826</v>
      </c>
      <c r="L26" s="787">
        <f>'ANALYSE - ERP =&gt; SEGMENT'!$IP$10</f>
        <v>2.1858814761281001E-2</v>
      </c>
      <c r="N26" s="787">
        <f>'ANALYSE - ERP =&gt; SEGMENT'!$IQ$10</f>
        <v>0</v>
      </c>
      <c r="O26" s="787">
        <f>'ANALYSE - ERP =&gt; SEGMENT'!$IR$10</f>
        <v>7.8162523222770716E-2</v>
      </c>
      <c r="P26" s="787">
        <f>'ANALYSE - ERP =&gt; SEGMENT'!$IS$10</f>
        <v>0.45240729274090374</v>
      </c>
      <c r="Q26" s="787">
        <f>'ANALYSE - ERP =&gt; SEGMENT'!$IT$10</f>
        <v>0.39935956924616356</v>
      </c>
      <c r="R26" s="787">
        <f>'ANALYSE - ERP =&gt; SEGMENT'!$IU$10</f>
        <v>7.0070614790161898E-2</v>
      </c>
      <c r="T26" s="430">
        <f>'ANALYSE - ERP =&gt; SEGMENT'!$Q$10</f>
        <v>1</v>
      </c>
    </row>
    <row r="27" spans="1:20" ht="15" customHeight="1">
      <c r="A27" s="26">
        <v>24</v>
      </c>
      <c r="B27" s="26">
        <v>21</v>
      </c>
      <c r="C27" s="422">
        <f>'ANALYSE - ERP =&gt; SEGMENT'!$A$29</f>
        <v>28</v>
      </c>
      <c r="D27" s="504" t="s">
        <v>2278</v>
      </c>
      <c r="E27" s="504" t="s">
        <v>1576</v>
      </c>
      <c r="F27" s="504" t="s">
        <v>1577</v>
      </c>
      <c r="H27" s="787">
        <f>'ANALYSE - ERP =&gt; SEGMENT'!$IL$29</f>
        <v>0.1</v>
      </c>
      <c r="I27" s="787">
        <f>'ANALYSE - ERP =&gt; SEGMENT'!$IM$29</f>
        <v>0.53</v>
      </c>
      <c r="J27" s="787">
        <f>'ANALYSE - ERP =&gt; SEGMENT'!$IN$29</f>
        <v>0.34</v>
      </c>
      <c r="K27" s="787">
        <f>'ANALYSE - ERP =&gt; SEGMENT'!$IO$29</f>
        <v>0.03</v>
      </c>
      <c r="L27" s="787">
        <f>'ANALYSE - ERP =&gt; SEGMENT'!$IP$29</f>
        <v>0</v>
      </c>
      <c r="N27" s="787">
        <f>'ANALYSE - ERP =&gt; SEGMENT'!$IQ$29</f>
        <v>8.3699999999999997E-2</v>
      </c>
      <c r="O27" s="787">
        <f>'ANALYSE - ERP =&gt; SEGMENT'!$IR$29</f>
        <v>0.5101</v>
      </c>
      <c r="P27" s="787">
        <f>'ANALYSE - ERP =&gt; SEGMENT'!$IS$29</f>
        <v>0.35630000000000006</v>
      </c>
      <c r="Q27" s="787">
        <f>'ANALYSE - ERP =&gt; SEGMENT'!$IT$29</f>
        <v>4.6300000000000001E-2</v>
      </c>
      <c r="R27" s="787">
        <f>'ANALYSE - ERP =&gt; SEGMENT'!$IU$29</f>
        <v>3.5999999999999999E-3</v>
      </c>
      <c r="T27" s="430">
        <f>'ANALYSE - ERP =&gt; SEGMENT'!$Q$29</f>
        <v>1</v>
      </c>
    </row>
    <row r="28" spans="1:20" ht="15" customHeight="1">
      <c r="A28" s="26">
        <v>25</v>
      </c>
      <c r="B28" s="26">
        <v>25</v>
      </c>
      <c r="C28" s="422">
        <f>'ANALYSE - ERP =&gt; SEGMENT'!$A$17</f>
        <v>11</v>
      </c>
      <c r="D28" s="500" t="s">
        <v>3662</v>
      </c>
      <c r="E28" s="500" t="s">
        <v>1240</v>
      </c>
      <c r="F28" s="500" t="s">
        <v>8001</v>
      </c>
      <c r="H28" s="787">
        <f>'ANALYSE - ERP =&gt; SEGMENT'!$IL$17</f>
        <v>0</v>
      </c>
      <c r="I28" s="787">
        <f>'ANALYSE - ERP =&gt; SEGMENT'!$IM$17</f>
        <v>0.1119632911392405</v>
      </c>
      <c r="J28" s="787">
        <f>'ANALYSE - ERP =&gt; SEGMENT'!$IN$17</f>
        <v>0.46823236889692588</v>
      </c>
      <c r="K28" s="787">
        <f>'ANALYSE - ERP =&gt; SEGMENT'!$IO$17</f>
        <v>0.3645766726943942</v>
      </c>
      <c r="L28" s="787">
        <f>'ANALYSE - ERP =&gt; SEGMENT'!$IP$17</f>
        <v>5.5227667269439416E-2</v>
      </c>
      <c r="N28" s="787">
        <f>'ANALYSE - ERP =&gt; SEGMENT'!$IQ$17</f>
        <v>0</v>
      </c>
      <c r="O28" s="787">
        <f>'ANALYSE - ERP =&gt; SEGMENT'!$IR$17</f>
        <v>3.9283223670576614E-2</v>
      </c>
      <c r="P28" s="787">
        <f>'ANALYSE - ERP =&gt; SEGMENT'!$IS$17</f>
        <v>0.37029976565219114</v>
      </c>
      <c r="Q28" s="787">
        <f>'ANALYSE - ERP =&gt; SEGMENT'!$IT$17</f>
        <v>0.47080017125416801</v>
      </c>
      <c r="R28" s="787">
        <f>'ANALYSE - ERP =&gt; SEGMENT'!$IU$17</f>
        <v>0.11961683942306427</v>
      </c>
      <c r="T28" s="430">
        <f>'ANALYSE - ERP =&gt; SEGMENT'!$Q$17</f>
        <v>1</v>
      </c>
    </row>
    <row r="29" spans="1:20" ht="15" customHeight="1">
      <c r="A29" s="26">
        <v>26</v>
      </c>
      <c r="B29" s="26">
        <v>26</v>
      </c>
      <c r="C29" s="422">
        <f>'ANALYSE - ERP =&gt; SEGMENT'!$A$33</f>
        <v>33</v>
      </c>
      <c r="D29" s="508" t="s">
        <v>2285</v>
      </c>
      <c r="E29" s="508" t="s">
        <v>7336</v>
      </c>
      <c r="F29" s="508" t="s">
        <v>7337</v>
      </c>
      <c r="H29" s="787">
        <f>'ANALYSE - ERP =&gt; SEGMENT'!$IL$33</f>
        <v>0</v>
      </c>
      <c r="I29" s="787">
        <f>'ANALYSE - ERP =&gt; SEGMENT'!$IM$33</f>
        <v>0</v>
      </c>
      <c r="J29" s="787">
        <f>'ANALYSE - ERP =&gt; SEGMENT'!$IN$33</f>
        <v>0</v>
      </c>
      <c r="K29" s="787">
        <f>'ANALYSE - ERP =&gt; SEGMENT'!$IO$33</f>
        <v>0</v>
      </c>
      <c r="L29" s="787">
        <f>'ANALYSE - ERP =&gt; SEGMENT'!$IP$33</f>
        <v>0</v>
      </c>
      <c r="N29" s="787">
        <f>'ANALYSE - ERP =&gt; SEGMENT'!$IQ$33</f>
        <v>0</v>
      </c>
      <c r="O29" s="787">
        <f>'ANALYSE - ERP =&gt; SEGMENT'!$IR$33</f>
        <v>0</v>
      </c>
      <c r="P29" s="787">
        <f>'ANALYSE - ERP =&gt; SEGMENT'!$IS$33</f>
        <v>0</v>
      </c>
      <c r="Q29" s="787">
        <f>'ANALYSE - ERP =&gt; SEGMENT'!$IT$33</f>
        <v>0</v>
      </c>
      <c r="R29" s="787">
        <f>'ANALYSE - ERP =&gt; SEGMENT'!$IU$33</f>
        <v>0</v>
      </c>
      <c r="T29" s="430">
        <f>'ANALYSE - ERP =&gt; SEGMENT'!$Q$33</f>
        <v>0</v>
      </c>
    </row>
    <row r="30" spans="1:20" ht="15" customHeight="1">
      <c r="A30" s="26">
        <v>27</v>
      </c>
      <c r="B30" s="26">
        <v>27</v>
      </c>
      <c r="C30" s="422">
        <f>'ANALYSE - ERP =&gt; SEGMENT'!$A$35</f>
        <v>36</v>
      </c>
      <c r="D30" s="510" t="s">
        <v>4908</v>
      </c>
      <c r="E30" s="510" t="s">
        <v>1985</v>
      </c>
      <c r="F30" s="510" t="s">
        <v>8002</v>
      </c>
      <c r="H30" s="787">
        <f>'ANALYSE - ERP =&gt; SEGMENT'!$IL$35</f>
        <v>4.027729257641921E-2</v>
      </c>
      <c r="I30" s="787">
        <f>'ANALYSE - ERP =&gt; SEGMENT'!$IM$35</f>
        <v>0.44613864628820948</v>
      </c>
      <c r="J30" s="787">
        <f>'ANALYSE - ERP =&gt; SEGMENT'!$IN$35</f>
        <v>0.44141157205240172</v>
      </c>
      <c r="K30" s="787">
        <f>'ANALYSE - ERP =&gt; SEGMENT'!$IO$35</f>
        <v>7.0987991266375547E-2</v>
      </c>
      <c r="L30" s="787">
        <f>'ANALYSE - ERP =&gt; SEGMENT'!$IP$35</f>
        <v>1.1844978165938863E-3</v>
      </c>
      <c r="N30" s="787">
        <f>'ANALYSE - ERP =&gt; SEGMENT'!$IQ$35</f>
        <v>1.6104353996475872E-2</v>
      </c>
      <c r="O30" s="787">
        <f>'ANALYSE - ERP =&gt; SEGMENT'!$IR$35</f>
        <v>0.31261261731242873</v>
      </c>
      <c r="P30" s="787">
        <f>'ANALYSE - ERP =&gt; SEGMENT'!$IS$35</f>
        <v>0.53446992344869382</v>
      </c>
      <c r="Q30" s="787">
        <f>'ANALYSE - ERP =&gt; SEGMENT'!$IT$35</f>
        <v>0.13252343920083956</v>
      </c>
      <c r="R30" s="787">
        <f>'ANALYSE - ERP =&gt; SEGMENT'!$IU$35</f>
        <v>4.2896660415620387E-3</v>
      </c>
      <c r="T30" s="430">
        <f>'ANALYSE - ERP =&gt; SEGMENT'!$Q$35</f>
        <v>1</v>
      </c>
    </row>
    <row r="31" spans="1:20" ht="15" customHeight="1">
      <c r="A31" s="26">
        <v>28</v>
      </c>
      <c r="B31" s="26">
        <v>29</v>
      </c>
      <c r="C31" s="422">
        <f>'ANALYSE - ERP =&gt; SEGMENT'!$A$38</f>
        <v>39</v>
      </c>
      <c r="D31" s="502" t="s">
        <v>2163</v>
      </c>
      <c r="E31" s="502" t="s">
        <v>2163</v>
      </c>
      <c r="F31" s="502" t="s">
        <v>2164</v>
      </c>
      <c r="H31" s="787">
        <f>'ANALYSE - ERP =&gt; SEGMENT'!$IL$38</f>
        <v>0.27385484693877549</v>
      </c>
      <c r="I31" s="787">
        <f>'ANALYSE - ERP =&gt; SEGMENT'!$IM$38</f>
        <v>0.60535153061224489</v>
      </c>
      <c r="J31" s="787">
        <f>'ANALYSE - ERP =&gt; SEGMENT'!$IN$38</f>
        <v>0.12079362244897959</v>
      </c>
      <c r="K31" s="787">
        <f>'ANALYSE - ERP =&gt; SEGMENT'!$IO$38</f>
        <v>0</v>
      </c>
      <c r="L31" s="787">
        <f>'ANALYSE - ERP =&gt; SEGMENT'!$IP$38</f>
        <v>0</v>
      </c>
      <c r="N31" s="787">
        <f>'ANALYSE - ERP =&gt; SEGMENT'!$IQ$38</f>
        <v>0.24846152179834091</v>
      </c>
      <c r="O31" s="787">
        <f>'ANALYSE - ERP =&gt; SEGMENT'!$IR$38</f>
        <v>0.57820021562966661</v>
      </c>
      <c r="P31" s="787">
        <f>'ANALYSE - ERP =&gt; SEGMENT'!$IS$38</f>
        <v>0.14943849677332174</v>
      </c>
      <c r="Q31" s="787">
        <f>'ANALYSE - ERP =&gt; SEGMENT'!$IT$38</f>
        <v>1.9537110137008595E-2</v>
      </c>
      <c r="R31" s="787">
        <f>'ANALYSE - ERP =&gt; SEGMENT'!$IU$38</f>
        <v>4.3626556616621131E-3</v>
      </c>
      <c r="T31" s="430">
        <f>'ANALYSE - ERP =&gt; SEGMENT'!$Q$38</f>
        <v>1</v>
      </c>
    </row>
    <row r="32" spans="1:20" ht="15" customHeight="1">
      <c r="A32" s="26">
        <v>29</v>
      </c>
      <c r="B32" s="26">
        <v>28</v>
      </c>
      <c r="C32" s="422">
        <f>'ANALYSE - ERP =&gt; SEGMENT'!$A$37</f>
        <v>38</v>
      </c>
      <c r="D32" s="510" t="s">
        <v>4908</v>
      </c>
      <c r="E32" s="510" t="s">
        <v>2027</v>
      </c>
      <c r="F32" s="510" t="s">
        <v>8003</v>
      </c>
      <c r="H32" s="787">
        <f>'ANALYSE - ERP =&gt; SEGMENT'!$IL$37</f>
        <v>3.554399653229303E-4</v>
      </c>
      <c r="I32" s="787">
        <f>'ANALYSE - ERP =&gt; SEGMENT'!$IM$37</f>
        <v>0.23798653373789916</v>
      </c>
      <c r="J32" s="787">
        <f>'ANALYSE - ERP =&gt; SEGMENT'!$IN$37</f>
        <v>0.55575262245340273</v>
      </c>
      <c r="K32" s="787">
        <f>'ANALYSE - ERP =&gt; SEGMENT'!$IO$37</f>
        <v>0.19768189567981506</v>
      </c>
      <c r="L32" s="787">
        <f>'ANALYSE - ERP =&gt; SEGMENT'!$IP$37</f>
        <v>8.2235081635601802E-3</v>
      </c>
      <c r="N32" s="787">
        <f>'ANALYSE - ERP =&gt; SEGMENT'!$IQ$37</f>
        <v>0</v>
      </c>
      <c r="O32" s="787">
        <f>'ANALYSE - ERP =&gt; SEGMENT'!$IR$37</f>
        <v>0.13588557632924264</v>
      </c>
      <c r="P32" s="787">
        <f>'ANALYSE - ERP =&gt; SEGMENT'!$IS$37</f>
        <v>0.54291434394625782</v>
      </c>
      <c r="Q32" s="787">
        <f>'ANALYSE - ERP =&gt; SEGMENT'!$IT$37</f>
        <v>0.29995528099203972</v>
      </c>
      <c r="R32" s="787">
        <f>'ANALYSE - ERP =&gt; SEGMENT'!$IU$37</f>
        <v>2.1244798732459928E-2</v>
      </c>
      <c r="T32" s="430">
        <f>'ANALYSE - ERP =&gt; SEGMENT'!$Q$37</f>
        <v>1</v>
      </c>
    </row>
    <row r="33" spans="1:20" ht="15" customHeight="1">
      <c r="A33" s="26">
        <v>30</v>
      </c>
      <c r="B33" s="26">
        <v>30</v>
      </c>
      <c r="C33" s="422">
        <f>'ANALYSE - ERP =&gt; SEGMENT'!$A$34</f>
        <v>35</v>
      </c>
      <c r="D33" s="510" t="s">
        <v>4908</v>
      </c>
      <c r="E33" s="510" t="s">
        <v>1950</v>
      </c>
      <c r="F33" s="510" t="s">
        <v>8005</v>
      </c>
      <c r="H33" s="787">
        <f>'ANALYSE - ERP =&gt; SEGMENT'!$IL$34</f>
        <v>7.5072124265323253E-2</v>
      </c>
      <c r="I33" s="787">
        <f>'ANALYSE - ERP =&gt; SEGMENT'!$IM$34</f>
        <v>0.58218740554156168</v>
      </c>
      <c r="J33" s="787">
        <f>'ANALYSE - ERP =&gt; SEGMENT'!$IN$34</f>
        <v>0.34274047019311499</v>
      </c>
      <c r="K33" s="787">
        <f>'ANALYSE - ERP =&gt; SEGMENT'!$IO$34</f>
        <v>0</v>
      </c>
      <c r="L33" s="787">
        <f>'ANALYSE - ERP =&gt; SEGMENT'!$IP$34</f>
        <v>0</v>
      </c>
      <c r="N33" s="787">
        <f>'ANALYSE - ERP =&gt; SEGMENT'!$IQ$34</f>
        <v>4.5837494744297762E-2</v>
      </c>
      <c r="O33" s="787">
        <f>'ANALYSE - ERP =&gt; SEGMENT'!$IR$34</f>
        <v>0.49116487168307316</v>
      </c>
      <c r="P33" s="787">
        <f>'ANALYSE - ERP =&gt; SEGMENT'!$IS$34</f>
        <v>0.46258795049779916</v>
      </c>
      <c r="Q33" s="787">
        <f>'ANALYSE - ERP =&gt; SEGMENT'!$IT$34</f>
        <v>4.0968307482994632E-4</v>
      </c>
      <c r="R33" s="787">
        <f>'ANALYSE - ERP =&gt; SEGMENT'!$IU$34</f>
        <v>0</v>
      </c>
      <c r="T33" s="430">
        <f>'ANALYSE - ERP =&gt; SEGMENT'!$Q$34</f>
        <v>1</v>
      </c>
    </row>
    <row r="34" spans="1:20" ht="15" customHeight="1">
      <c r="A34" s="26">
        <v>31</v>
      </c>
      <c r="B34" s="26">
        <v>31</v>
      </c>
      <c r="C34" s="422">
        <f>'ANALYSE - ERP =&gt; SEGMENT'!$A$25</f>
        <v>22</v>
      </c>
      <c r="D34" s="506" t="s">
        <v>7117</v>
      </c>
      <c r="E34" s="506" t="s">
        <v>1487</v>
      </c>
      <c r="F34" s="506" t="s">
        <v>8004</v>
      </c>
      <c r="H34" s="787">
        <f>'ANALYSE - ERP =&gt; SEGMENT'!$IL$25</f>
        <v>6.9974999999999996E-2</v>
      </c>
      <c r="I34" s="787">
        <f>'ANALYSE - ERP =&gt; SEGMENT'!$IM$25</f>
        <v>0.24318749999999997</v>
      </c>
      <c r="J34" s="787">
        <f>'ANALYSE - ERP =&gt; SEGMENT'!$IN$25</f>
        <v>0.23708749999999998</v>
      </c>
      <c r="K34" s="787">
        <f>'ANALYSE - ERP =&gt; SEGMENT'!$IO$25</f>
        <v>0.33724999999999999</v>
      </c>
      <c r="L34" s="787">
        <f>'ANALYSE - ERP =&gt; SEGMENT'!$IP$25</f>
        <v>0.1125</v>
      </c>
      <c r="N34" s="787">
        <f>'ANALYSE - ERP =&gt; SEGMENT'!$IQ$25</f>
        <v>4.2077298140666117E-2</v>
      </c>
      <c r="O34" s="787">
        <f>'ANALYSE - ERP =&gt; SEGMENT'!$IR$25</f>
        <v>0.22928214186127366</v>
      </c>
      <c r="P34" s="787">
        <f>'ANALYSE - ERP =&gt; SEGMENT'!$IS$25</f>
        <v>0.22409938103028129</v>
      </c>
      <c r="Q34" s="787">
        <f>'ANALYSE - ERP =&gt; SEGMENT'!$IT$25</f>
        <v>0.34771500124560478</v>
      </c>
      <c r="R34" s="787">
        <f>'ANALYSE - ERP =&gt; SEGMENT'!$IU$25</f>
        <v>0.15682617772217425</v>
      </c>
      <c r="T34" s="430">
        <f>'ANALYSE - ERP =&gt; SEGMENT'!$Q$25</f>
        <v>1</v>
      </c>
    </row>
  </sheetData>
  <pageMargins left="3.937007874015748E-2" right="3.937007874015748E-2" top="7.874015748031496E-2" bottom="7.874015748031496E-2" header="0.11811023622047249" footer="0.11811023622047249"/>
  <pageSetup paperSize="8" scale="88" fitToHeight="2"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theme="5" tint="0.39997558519241921"/>
    <pageSetUpPr fitToPage="1"/>
  </sheetPr>
  <dimension ref="A1:BZ34"/>
  <sheetViews>
    <sheetView zoomScale="85" zoomScaleNormal="85" workbookViewId="0">
      <selection activeCell="F21" sqref="F21"/>
    </sheetView>
  </sheetViews>
  <sheetFormatPr baseColWidth="10" defaultColWidth="9.140625" defaultRowHeight="15"/>
  <cols>
    <col min="1" max="2" width="9" style="934" customWidth="1"/>
    <col min="3" max="3" width="6" style="934" customWidth="1"/>
    <col min="4" max="4" width="30.5703125" style="934" customWidth="1"/>
    <col min="5" max="5" width="27.7109375" style="43" customWidth="1"/>
    <col min="6" max="6" width="50.7109375" style="43" customWidth="1"/>
    <col min="7" max="7" width="1.7109375" style="933" customWidth="1"/>
    <col min="8" max="8" width="9.28515625" style="43" customWidth="1"/>
    <col min="9" max="12" width="9.28515625" style="934" customWidth="1"/>
    <col min="13" max="13" width="1.7109375" style="933" customWidth="1"/>
    <col min="14" max="18" width="9.2851562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7974</v>
      </c>
      <c r="F1" s="479"/>
      <c r="H1" s="474"/>
      <c r="I1" s="474"/>
      <c r="J1" s="475" t="s">
        <v>7971</v>
      </c>
      <c r="K1" s="474"/>
      <c r="L1" s="474"/>
      <c r="N1" s="452"/>
      <c r="O1" s="452"/>
      <c r="P1" s="476" t="s">
        <v>7972</v>
      </c>
      <c r="Q1" s="452"/>
      <c r="R1" s="452"/>
      <c r="T1" s="452"/>
    </row>
    <row r="2" spans="1:20"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520" t="s">
        <v>6739</v>
      </c>
      <c r="E3" s="520" t="s">
        <v>2104</v>
      </c>
      <c r="F3" s="520" t="s">
        <v>671</v>
      </c>
      <c r="H3" s="426">
        <f>SUMPRODUCT(($T$4:$T$106),('ANALYSE - ERP =&gt; SEGMENT'!$BC$8:$BC$110),('ANALYSE - ERP =&gt; SEGMENT'!$IL$8:$IL$110))</f>
        <v>285664.4742</v>
      </c>
      <c r="I3" s="426">
        <f>SUMPRODUCT(($T$4:$T$106),('ANALYSE - ERP =&gt; SEGMENT'!$BC$8:$BC$110),('ANALYSE - ERP =&gt; SEGMENT'!$IM$8:$IM$110))</f>
        <v>2281065.7615999999</v>
      </c>
      <c r="J3" s="426">
        <f>SUMPRODUCT(($T$4:$T$106),('ANALYSE - ERP =&gt; SEGMENT'!$BC$8:$BC$110),('ANALYSE - ERP =&gt; SEGMENT'!$IN$8:$IN$110))</f>
        <v>2622687.583000001</v>
      </c>
      <c r="K3" s="426">
        <f>SUMPRODUCT(($T$4:$T$106),('ANALYSE - ERP =&gt; SEGMENT'!$BC$8:$BC$110),('ANALYSE - ERP =&gt; SEGMENT'!$IO$8:$IO$110))</f>
        <v>691011.15299999982</v>
      </c>
      <c r="L3" s="426">
        <f>SUMPRODUCT(($T$4:$T$106),('ANALYSE - ERP =&gt; SEGMENT'!$BC$8:$BC$110),('ANALYSE - ERP =&gt; SEGMENT'!$IP$8:$IP$110))</f>
        <v>46915.528199999993</v>
      </c>
      <c r="N3" s="426">
        <f>SUMPRODUCT(($T$4:$T$106),('ANALYSE - ERP =&gt; SEGMENT'!$EX$8:$EX$110),('ANALYSE - ERP =&gt; SEGMENT'!$IQ$8:$IQ$110))</f>
        <v>52693.522077396454</v>
      </c>
      <c r="O3" s="426">
        <f>SUMPRODUCT(($T$4:$T$106),('ANALYSE - ERP =&gt; SEGMENT'!$EX$8:$EX$110),('ANALYSE - ERP =&gt; SEGMENT'!$IR$8:$IR$110))</f>
        <v>717158.70193931705</v>
      </c>
      <c r="P3" s="426">
        <f>SUMPRODUCT(($T$4:$T$106),('ANALYSE - ERP =&gt; SEGMENT'!$EX$8:$EX$110),('ANALYSE - ERP =&gt; SEGMENT'!$IS$8:$IS$110))</f>
        <v>1161395.2111159542</v>
      </c>
      <c r="Q3" s="426">
        <f>SUMPRODUCT(($T$4:$T$106),('ANALYSE - ERP =&gt; SEGMENT'!$EX$8:$EX$110),('ANALYSE - ERP =&gt; SEGMENT'!$IT$8:$IT$110))</f>
        <v>427401.36537690868</v>
      </c>
      <c r="R3" s="426">
        <f>SUMPRODUCT(($T$4:$T$106),('ANALYSE - ERP =&gt; SEGMENT'!$EX$8:$EX$110),('ANALYSE - ERP =&gt; SEGMENT'!$IU$8:$IU$110))</f>
        <v>42189.479563044137</v>
      </c>
      <c r="T3" s="428">
        <f>SUM('ANALYSE - ERP =&gt; SEGMENT'!$Q$8:$Q$110)</f>
        <v>34</v>
      </c>
    </row>
    <row r="4" spans="1:20" ht="15" customHeight="1">
      <c r="A4" s="26">
        <v>1</v>
      </c>
      <c r="B4" s="26">
        <v>1</v>
      </c>
      <c r="C4" s="422">
        <f>'ANALYSE - ERP =&gt; SEGMENT'!$A$19</f>
        <v>15</v>
      </c>
      <c r="D4" s="492" t="s">
        <v>2187</v>
      </c>
      <c r="E4" s="492" t="s">
        <v>3877</v>
      </c>
      <c r="F4" s="492" t="s">
        <v>7981</v>
      </c>
      <c r="H4" s="458">
        <f>'ANALYSE - ERP =&gt; SEGMENT'!$BC$19*'ANALYSE - ERP =&gt; SEGMENT'!$IL$19</f>
        <v>16376.8</v>
      </c>
      <c r="I4" s="458">
        <f>'ANALYSE - ERP =&gt; SEGMENT'!$BC$19*'ANALYSE - ERP =&gt; SEGMENT'!$IM$19</f>
        <v>305902.6825</v>
      </c>
      <c r="J4" s="458">
        <f>'ANALYSE - ERP =&gt; SEGMENT'!$BC$19*'ANALYSE - ERP =&gt; SEGMENT'!$IN$19</f>
        <v>423369.22250000003</v>
      </c>
      <c r="K4" s="458">
        <f>'ANALYSE - ERP =&gt; SEGMENT'!$BC$19*'ANALYSE - ERP =&gt; SEGMENT'!$IO$19</f>
        <v>137187.80499999999</v>
      </c>
      <c r="L4" s="458">
        <f>'ANALYSE - ERP =&gt; SEGMENT'!$BC$19*'ANALYSE - ERP =&gt; SEGMENT'!$IP$19</f>
        <v>25325.99</v>
      </c>
      <c r="N4" s="458">
        <f>'ANALYSE - ERP =&gt; SEGMENT'!$EX$19*'ANALYSE - ERP =&gt; SEGMENT'!$IQ$19</f>
        <v>0</v>
      </c>
      <c r="O4" s="458">
        <f>'ANALYSE - ERP =&gt; SEGMENT'!$EX$19*'ANALYSE - ERP =&gt; SEGMENT'!$IR$19</f>
        <v>107510.91826388375</v>
      </c>
      <c r="P4" s="458">
        <f>'ANALYSE - ERP =&gt; SEGMENT'!$EX$19*'ANALYSE - ERP =&gt; SEGMENT'!$IS$19</f>
        <v>221565.41927219689</v>
      </c>
      <c r="Q4" s="458">
        <f>'ANALYSE - ERP =&gt; SEGMENT'!$EX$19*'ANALYSE - ERP =&gt; SEGMENT'!$IT$19</f>
        <v>84936.526571422582</v>
      </c>
      <c r="R4" s="458">
        <f>'ANALYSE - ERP =&gt; SEGMENT'!$EX$19*'ANALYSE - ERP =&gt; SEGMENT'!$IU$19</f>
        <v>15232.574910952795</v>
      </c>
      <c r="T4" s="430">
        <f>'ANALYSE - ERP =&gt; SEGMENT'!$Q$19</f>
        <v>1</v>
      </c>
    </row>
    <row r="5" spans="1:20" ht="15" customHeight="1">
      <c r="A5" s="26">
        <v>2</v>
      </c>
      <c r="B5" s="26">
        <v>3</v>
      </c>
      <c r="C5" s="422">
        <f>'ANALYSE - ERP =&gt; SEGMENT'!$A$14</f>
        <v>7</v>
      </c>
      <c r="D5" s="494" t="s">
        <v>2241</v>
      </c>
      <c r="E5" s="494" t="s">
        <v>1032</v>
      </c>
      <c r="F5" s="494" t="s">
        <v>7982</v>
      </c>
      <c r="H5" s="458">
        <f>'ANALYSE - ERP =&gt; SEGMENT'!$BC$14*'ANALYSE - ERP =&gt; SEGMENT'!$IL$14</f>
        <v>4.12</v>
      </c>
      <c r="I5" s="458">
        <f>'ANALYSE - ERP =&gt; SEGMENT'!$BC$14*'ANALYSE - ERP =&gt; SEGMENT'!$IM$14</f>
        <v>103438.48269999999</v>
      </c>
      <c r="J5" s="458">
        <f>'ANALYSE - ERP =&gt; SEGMENT'!$BC$14*'ANALYSE - ERP =&gt; SEGMENT'!$IN$14</f>
        <v>375120.88129999995</v>
      </c>
      <c r="K5" s="458">
        <f>'ANALYSE - ERP =&gt; SEGMENT'!$BC$14*'ANALYSE - ERP =&gt; SEGMENT'!$IO$14</f>
        <v>195437.80279999998</v>
      </c>
      <c r="L5" s="458">
        <f>'ANALYSE - ERP =&gt; SEGMENT'!$BC$14*'ANALYSE - ERP =&gt; SEGMENT'!$IP$14</f>
        <v>919.71320000000003</v>
      </c>
      <c r="N5" s="458">
        <f>'ANALYSE - ERP =&gt; SEGMENT'!$EX$14*'ANALYSE - ERP =&gt; SEGMENT'!$IQ$14</f>
        <v>0</v>
      </c>
      <c r="O5" s="458">
        <f>'ANALYSE - ERP =&gt; SEGMENT'!$EX$14*'ANALYSE - ERP =&gt; SEGMENT'!$IR$14</f>
        <v>23938.615399917733</v>
      </c>
      <c r="P5" s="458">
        <f>'ANALYSE - ERP =&gt; SEGMENT'!$EX$14*'ANALYSE - ERP =&gt; SEGMENT'!$IS$14</f>
        <v>149712.30234880501</v>
      </c>
      <c r="Q5" s="458">
        <f>'ANALYSE - ERP =&gt; SEGMENT'!$EX$14*'ANALYSE - ERP =&gt; SEGMENT'!$IT$14</f>
        <v>114467.28841797628</v>
      </c>
      <c r="R5" s="458">
        <f>'ANALYSE - ERP =&gt; SEGMENT'!$EX$14*'ANALYSE - ERP =&gt; SEGMENT'!$IU$14</f>
        <v>4041.3748315270759</v>
      </c>
      <c r="T5" s="430">
        <f>'ANALYSE - ERP =&gt; SEGMENT'!$Q$14</f>
        <v>1</v>
      </c>
    </row>
    <row r="6" spans="1:20" ht="15" customHeight="1">
      <c r="A6" s="26">
        <v>3</v>
      </c>
      <c r="B6" s="26">
        <v>2</v>
      </c>
      <c r="C6" s="422">
        <f>'ANALYSE - ERP =&gt; SEGMENT'!$A$9</f>
        <v>2</v>
      </c>
      <c r="D6" s="498" t="s">
        <v>6739</v>
      </c>
      <c r="E6" s="498" t="s">
        <v>2678</v>
      </c>
      <c r="F6" s="498" t="s">
        <v>7984</v>
      </c>
      <c r="H6" s="458">
        <f>'ANALYSE - ERP =&gt; SEGMENT'!$BC$9*'ANALYSE - ERP =&gt; SEGMENT'!$IL$9</f>
        <v>96092.027400000006</v>
      </c>
      <c r="I6" s="458">
        <f>'ANALYSE - ERP =&gt; SEGMENT'!$BC$9*'ANALYSE - ERP =&gt; SEGMENT'!$IM$9</f>
        <v>531624.80699999991</v>
      </c>
      <c r="J6" s="458">
        <f>'ANALYSE - ERP =&gt; SEGMENT'!$BC$9*'ANALYSE - ERP =&gt; SEGMENT'!$IN$9</f>
        <v>345298.6384</v>
      </c>
      <c r="K6" s="458">
        <f>'ANALYSE - ERP =&gt; SEGMENT'!$BC$9*'ANALYSE - ERP =&gt; SEGMENT'!$IO$9</f>
        <v>29326.061600000001</v>
      </c>
      <c r="L6" s="458">
        <f>'ANALYSE - ERP =&gt; SEGMENT'!$BC$9*'ANALYSE - ERP =&gt; SEGMENT'!$IP$9</f>
        <v>450.46559999999999</v>
      </c>
      <c r="N6" s="458">
        <f>'ANALYSE - ERP =&gt; SEGMENT'!$EX$9*'ANALYSE - ERP =&gt; SEGMENT'!$IQ$9</f>
        <v>10144.582018600569</v>
      </c>
      <c r="O6" s="458">
        <f>'ANALYSE - ERP =&gt; SEGMENT'!$EX$9*'ANALYSE - ERP =&gt; SEGMENT'!$IR$9</f>
        <v>111040.07152374659</v>
      </c>
      <c r="P6" s="458">
        <f>'ANALYSE - ERP =&gt; SEGMENT'!$EX$9*'ANALYSE - ERP =&gt; SEGMENT'!$IS$9</f>
        <v>141614.99057982073</v>
      </c>
      <c r="Q6" s="458">
        <f>'ANALYSE - ERP =&gt; SEGMENT'!$EX$9*'ANALYSE - ERP =&gt; SEGMENT'!$IT$9</f>
        <v>22303.878621429456</v>
      </c>
      <c r="R6" s="458">
        <f>'ANALYSE - ERP =&gt; SEGMENT'!$EX$9*'ANALYSE - ERP =&gt; SEGMENT'!$IU$9</f>
        <v>554.68482075066004</v>
      </c>
      <c r="T6" s="430">
        <f>'ANALYSE - ERP =&gt; SEGMENT'!$Q$9</f>
        <v>1</v>
      </c>
    </row>
    <row r="7" spans="1:20" ht="15" customHeight="1">
      <c r="A7" s="26">
        <v>4</v>
      </c>
      <c r="B7" s="26">
        <v>4</v>
      </c>
      <c r="C7" s="422">
        <f>'ANALYSE - ERP =&gt; SEGMENT'!$A$16</f>
        <v>10</v>
      </c>
      <c r="D7" s="500" t="s">
        <v>3662</v>
      </c>
      <c r="E7" s="500" t="s">
        <v>1114</v>
      </c>
      <c r="F7" s="500" t="s">
        <v>7985</v>
      </c>
      <c r="H7" s="458">
        <f>'ANALYSE - ERP =&gt; SEGMENT'!$BC$16*'ANALYSE - ERP =&gt; SEGMENT'!$IL$16</f>
        <v>8190.8788000000004</v>
      </c>
      <c r="I7" s="458">
        <f>'ANALYSE - ERP =&gt; SEGMENT'!$BC$16*'ANALYSE - ERP =&gt; SEGMENT'!$IM$16</f>
        <v>131548.05040000001</v>
      </c>
      <c r="J7" s="458">
        <f>'ANALYSE - ERP =&gt; SEGMENT'!$BC$16*'ANALYSE - ERP =&gt; SEGMENT'!$IN$16</f>
        <v>196394.16159999999</v>
      </c>
      <c r="K7" s="458">
        <f>'ANALYSE - ERP =&gt; SEGMENT'!$BC$16*'ANALYSE - ERP =&gt; SEGMENT'!$IO$16</f>
        <v>51497.791600000004</v>
      </c>
      <c r="L7" s="458">
        <f>'ANALYSE - ERP =&gt; SEGMENT'!$BC$16*'ANALYSE - ERP =&gt; SEGMENT'!$IP$16</f>
        <v>2939.1176</v>
      </c>
      <c r="N7" s="458">
        <f>'ANALYSE - ERP =&gt; SEGMENT'!$EX$16*'ANALYSE - ERP =&gt; SEGMENT'!$IQ$16</f>
        <v>1108.074621165377</v>
      </c>
      <c r="O7" s="458">
        <f>'ANALYSE - ERP =&gt; SEGMENT'!$EX$16*'ANALYSE - ERP =&gt; SEGMENT'!$IR$16</f>
        <v>41757.124644846052</v>
      </c>
      <c r="P7" s="458">
        <f>'ANALYSE - ERP =&gt; SEGMENT'!$EX$16*'ANALYSE - ERP =&gt; SEGMENT'!$IS$16</f>
        <v>76108.912992939528</v>
      </c>
      <c r="Q7" s="458">
        <f>'ANALYSE - ERP =&gt; SEGMENT'!$EX$16*'ANALYSE - ERP =&gt; SEGMENT'!$IT$16</f>
        <v>28248.321231588186</v>
      </c>
      <c r="R7" s="458">
        <f>'ANALYSE - ERP =&gt; SEGMENT'!$EX$16*'ANALYSE - ERP =&gt; SEGMENT'!$IU$16</f>
        <v>3108.58632630897</v>
      </c>
      <c r="T7" s="430">
        <f>'ANALYSE - ERP =&gt; SEGMENT'!$Q$16</f>
        <v>1</v>
      </c>
    </row>
    <row r="8" spans="1:20" ht="15" customHeight="1">
      <c r="A8" s="26">
        <v>5</v>
      </c>
      <c r="B8" s="26">
        <v>5</v>
      </c>
      <c r="C8" s="422">
        <f>'ANALYSE - ERP =&gt; SEGMENT'!$A$22</f>
        <v>18</v>
      </c>
      <c r="D8" s="502" t="s">
        <v>2264</v>
      </c>
      <c r="E8" s="502" t="s">
        <v>4024</v>
      </c>
      <c r="F8" s="502" t="s">
        <v>679</v>
      </c>
      <c r="H8" s="458">
        <f>'ANALYSE - ERP =&gt; SEGMENT'!$BC$22*'ANALYSE - ERP =&gt; SEGMENT'!$IL$22</f>
        <v>18546</v>
      </c>
      <c r="I8" s="458">
        <f>'ANALYSE - ERP =&gt; SEGMENT'!$BC$22*'ANALYSE - ERP =&gt; SEGMENT'!$IM$22</f>
        <v>247280</v>
      </c>
      <c r="J8" s="458">
        <f>'ANALYSE - ERP =&gt; SEGMENT'!$BC$22*'ANALYSE - ERP =&gt; SEGMENT'!$IN$22</f>
        <v>309100</v>
      </c>
      <c r="K8" s="458">
        <f>'ANALYSE - ERP =&gt; SEGMENT'!$BC$22*'ANALYSE - ERP =&gt; SEGMENT'!$IO$22</f>
        <v>43274.000000000007</v>
      </c>
      <c r="L8" s="458">
        <f>'ANALYSE - ERP =&gt; SEGMENT'!$BC$22*'ANALYSE - ERP =&gt; SEGMENT'!$IP$22</f>
        <v>0</v>
      </c>
      <c r="N8" s="458">
        <f>'ANALYSE - ERP =&gt; SEGMENT'!$EX$22*'ANALYSE - ERP =&gt; SEGMENT'!$IQ$22</f>
        <v>1583.8669737220002</v>
      </c>
      <c r="O8" s="458">
        <f>'ANALYSE - ERP =&gt; SEGMENT'!$EX$22*'ANALYSE - ERP =&gt; SEGMENT'!$IR$22</f>
        <v>75700.718949174567</v>
      </c>
      <c r="P8" s="458">
        <f>'ANALYSE - ERP =&gt; SEGMENT'!$EX$22*'ANALYSE - ERP =&gt; SEGMENT'!$IS$22</f>
        <v>106037.86329200365</v>
      </c>
      <c r="Q8" s="458">
        <f>'ANALYSE - ERP =&gt; SEGMENT'!$EX$22*'ANALYSE - ERP =&gt; SEGMENT'!$IT$22</f>
        <v>18722.119868867743</v>
      </c>
      <c r="R8" s="458">
        <f>'ANALYSE - ERP =&gt; SEGMENT'!$EX$22*'ANALYSE - ERP =&gt; SEGMENT'!$IU$22</f>
        <v>1015.2993421294872</v>
      </c>
      <c r="T8" s="430">
        <f>'ANALYSE - ERP =&gt; SEGMENT'!$Q$22</f>
        <v>1</v>
      </c>
    </row>
    <row r="9" spans="1:20" ht="15" customHeight="1">
      <c r="A9" s="26">
        <v>6</v>
      </c>
      <c r="B9" s="26">
        <v>7</v>
      </c>
      <c r="C9" s="422">
        <f>'ANALYSE - ERP =&gt; SEGMENT'!$A$30</f>
        <v>29</v>
      </c>
      <c r="D9" s="496" t="s">
        <v>1670</v>
      </c>
      <c r="E9" s="496" t="s">
        <v>1671</v>
      </c>
      <c r="F9" s="496" t="s">
        <v>7983</v>
      </c>
      <c r="H9" s="458">
        <f>'ANALYSE - ERP =&gt; SEGMENT'!$BC$30*'ANALYSE - ERP =&gt; SEGMENT'!$IL$30</f>
        <v>35810.28</v>
      </c>
      <c r="I9" s="458">
        <f>'ANALYSE - ERP =&gt; SEGMENT'!$BC$30*'ANALYSE - ERP =&gt; SEGMENT'!$IM$30</f>
        <v>198152.704</v>
      </c>
      <c r="J9" s="458">
        <f>'ANALYSE - ERP =&gt; SEGMENT'!$BC$30*'ANALYSE - ERP =&gt; SEGMENT'!$IN$30</f>
        <v>132265.736</v>
      </c>
      <c r="K9" s="458">
        <f>'ANALYSE - ERP =&gt; SEGMENT'!$BC$30*'ANALYSE - ERP =&gt; SEGMENT'!$IO$30</f>
        <v>25659.024000000001</v>
      </c>
      <c r="L9" s="458">
        <f>'ANALYSE - ERP =&gt; SEGMENT'!$BC$30*'ANALYSE - ERP =&gt; SEGMENT'!$IP$30</f>
        <v>4712.2559999999994</v>
      </c>
      <c r="N9" s="458">
        <f>'ANALYSE - ERP =&gt; SEGMENT'!$EX$30*'ANALYSE - ERP =&gt; SEGMENT'!$IQ$30</f>
        <v>8505.8519381883889</v>
      </c>
      <c r="O9" s="458">
        <f>'ANALYSE - ERP =&gt; SEGMENT'!$EX$30*'ANALYSE - ERP =&gt; SEGMENT'!$IR$30</f>
        <v>83522.521883886788</v>
      </c>
      <c r="P9" s="458">
        <f>'ANALYSE - ERP =&gt; SEGMENT'!$EX$30*'ANALYSE - ERP =&gt; SEGMENT'!$IS$30</f>
        <v>84379.848492452496</v>
      </c>
      <c r="Q9" s="458">
        <f>'ANALYSE - ERP =&gt; SEGMENT'!$EX$30*'ANALYSE - ERP =&gt; SEGMENT'!$IT$30</f>
        <v>19490.687918905496</v>
      </c>
      <c r="R9" s="458">
        <f>'ANALYSE - ERP =&gt; SEGMENT'!$EX$30*'ANALYSE - ERP =&gt; SEGMENT'!$IU$30</f>
        <v>4158.1059374153301</v>
      </c>
      <c r="T9" s="430">
        <f>'ANALYSE - ERP =&gt; SEGMENT'!$Q$30</f>
        <v>1</v>
      </c>
    </row>
    <row r="10" spans="1:20" ht="15" customHeight="1">
      <c r="A10" s="26">
        <v>7</v>
      </c>
      <c r="B10" s="26">
        <v>6</v>
      </c>
      <c r="C10" s="422">
        <f>'ANALYSE - ERP =&gt; SEGMENT'!$A$27</f>
        <v>26</v>
      </c>
      <c r="D10" s="504" t="s">
        <v>2278</v>
      </c>
      <c r="E10" s="504" t="s">
        <v>1527</v>
      </c>
      <c r="F10" s="504" t="s">
        <v>7987</v>
      </c>
      <c r="H10" s="458">
        <f>'ANALYSE - ERP =&gt; SEGMENT'!$BC$27*'ANALYSE - ERP =&gt; SEGMENT'!$IL$27</f>
        <v>5316.3359999999993</v>
      </c>
      <c r="I10" s="458">
        <f>'ANALYSE - ERP =&gt; SEGMENT'!$BC$27*'ANALYSE - ERP =&gt; SEGMENT'!$IM$27</f>
        <v>66718.047200000001</v>
      </c>
      <c r="J10" s="458">
        <f>'ANALYSE - ERP =&gt; SEGMENT'!$BC$27*'ANALYSE - ERP =&gt; SEGMENT'!$IN$27</f>
        <v>81646.225600000005</v>
      </c>
      <c r="K10" s="458">
        <f>'ANALYSE - ERP =&gt; SEGMENT'!$BC$27*'ANALYSE - ERP =&gt; SEGMENT'!$IO$27</f>
        <v>11644.236799999999</v>
      </c>
      <c r="L10" s="458">
        <f>'ANALYSE - ERP =&gt; SEGMENT'!$BC$27*'ANALYSE - ERP =&gt; SEGMENT'!$IP$27</f>
        <v>16.154399999999999</v>
      </c>
      <c r="N10" s="458">
        <f>'ANALYSE - ERP =&gt; SEGMENT'!$EX$27*'ANALYSE - ERP =&gt; SEGMENT'!$IQ$27</f>
        <v>783.66249685837295</v>
      </c>
      <c r="O10" s="458">
        <f>'ANALYSE - ERP =&gt; SEGMENT'!$EX$27*'ANALYSE - ERP =&gt; SEGMENT'!$IR$27</f>
        <v>22791.751096623553</v>
      </c>
      <c r="P10" s="458">
        <f>'ANALYSE - ERP =&gt; SEGMENT'!$EX$27*'ANALYSE - ERP =&gt; SEGMENT'!$IS$27</f>
        <v>31350.86192434757</v>
      </c>
      <c r="Q10" s="458">
        <f>'ANALYSE - ERP =&gt; SEGMENT'!$EX$27*'ANALYSE - ERP =&gt; SEGMENT'!$IT$27</f>
        <v>5618.7555900816988</v>
      </c>
      <c r="R10" s="458">
        <f>'ANALYSE - ERP =&gt; SEGMENT'!$EX$27*'ANALYSE - ERP =&gt; SEGMENT'!$IU$27</f>
        <v>266.12267324001857</v>
      </c>
      <c r="T10" s="430">
        <f>'ANALYSE - ERP =&gt; SEGMENT'!$Q$27</f>
        <v>1</v>
      </c>
    </row>
    <row r="11" spans="1:20" s="45" customFormat="1" ht="15" customHeight="1">
      <c r="A11" s="26">
        <v>8</v>
      </c>
      <c r="B11" s="26">
        <v>9</v>
      </c>
      <c r="C11" s="422">
        <f>'ANALYSE - ERP =&gt; SEGMENT'!$A$31</f>
        <v>30</v>
      </c>
      <c r="D11" s="496" t="s">
        <v>1670</v>
      </c>
      <c r="E11" s="496" t="s">
        <v>1747</v>
      </c>
      <c r="F11" s="496" t="s">
        <v>7986</v>
      </c>
      <c r="G11" s="685"/>
      <c r="H11" s="458">
        <f>'ANALYSE - ERP =&gt; SEGMENT'!$BC$31*'ANALYSE - ERP =&gt; SEGMENT'!$IL$31</f>
        <v>45910.804999999993</v>
      </c>
      <c r="I11" s="458">
        <f>'ANALYSE - ERP =&gt; SEGMENT'!$BC$31*'ANALYSE - ERP =&gt; SEGMENT'!$IM$31</f>
        <v>185331.70499999999</v>
      </c>
      <c r="J11" s="458">
        <f>'ANALYSE - ERP =&gt; SEGMENT'!$BC$31*'ANALYSE - ERP =&gt; SEGMENT'!$IN$31</f>
        <v>97736.764999999999</v>
      </c>
      <c r="K11" s="458">
        <f>'ANALYSE - ERP =&gt; SEGMENT'!$BC$31*'ANALYSE - ERP =&gt; SEGMENT'!$IO$31</f>
        <v>8974.7250000000004</v>
      </c>
      <c r="L11" s="458">
        <f>'ANALYSE - ERP =&gt; SEGMENT'!$BC$31*'ANALYSE - ERP =&gt; SEGMENT'!$IP$31</f>
        <v>0</v>
      </c>
      <c r="M11" s="685"/>
      <c r="N11" s="458">
        <f>'ANALYSE - ERP =&gt; SEGMENT'!$EX$31*'ANALYSE - ERP =&gt; SEGMENT'!$IQ$31</f>
        <v>17640.849454749321</v>
      </c>
      <c r="O11" s="458">
        <f>'ANALYSE - ERP =&gt; SEGMENT'!$EX$31*'ANALYSE - ERP =&gt; SEGMENT'!$IR$31</f>
        <v>80980.081634752263</v>
      </c>
      <c r="P11" s="458">
        <f>'ANALYSE - ERP =&gt; SEGMENT'!$EX$31*'ANALYSE - ERP =&gt; SEGMENT'!$IS$31</f>
        <v>52780.27345547903</v>
      </c>
      <c r="Q11" s="458">
        <f>'ANALYSE - ERP =&gt; SEGMENT'!$EX$31*'ANALYSE - ERP =&gt; SEGMENT'!$IT$31</f>
        <v>7772.2623984825977</v>
      </c>
      <c r="R11" s="458">
        <f>'ANALYSE - ERP =&gt; SEGMENT'!$EX$31*'ANALYSE - ERP =&gt; SEGMENT'!$IU$31</f>
        <v>542.95726882163967</v>
      </c>
      <c r="S11" s="685"/>
      <c r="T11" s="430">
        <f>'ANALYSE - ERP =&gt; SEGMENT'!$Q$31</f>
        <v>1</v>
      </c>
    </row>
    <row r="12" spans="1:20" ht="15" customHeight="1">
      <c r="A12" s="26">
        <v>9</v>
      </c>
      <c r="B12" s="26">
        <v>10</v>
      </c>
      <c r="C12" s="422">
        <f>'ANALYSE - ERP =&gt; SEGMENT'!$A$13</f>
        <v>6</v>
      </c>
      <c r="D12" s="494" t="s">
        <v>2241</v>
      </c>
      <c r="E12" s="494" t="s">
        <v>1053</v>
      </c>
      <c r="F12" s="494" t="s">
        <v>7988</v>
      </c>
      <c r="H12" s="458">
        <f>'ANALYSE - ERP =&gt; SEGMENT'!$BC$13*'ANALYSE - ERP =&gt; SEGMENT'!$IL$13</f>
        <v>15.334</v>
      </c>
      <c r="I12" s="458">
        <f>'ANALYSE - ERP =&gt; SEGMENT'!$BC$13*'ANALYSE - ERP =&gt; SEGMENT'!$IM$13</f>
        <v>43382.945</v>
      </c>
      <c r="J12" s="458">
        <f>'ANALYSE - ERP =&gt; SEGMENT'!$BC$13*'ANALYSE - ERP =&gt; SEGMENT'!$IN$13</f>
        <v>145604.5975</v>
      </c>
      <c r="K12" s="458">
        <f>'ANALYSE - ERP =&gt; SEGMENT'!$BC$13*'ANALYSE - ERP =&gt; SEGMENT'!$IO$13</f>
        <v>63423.674500000008</v>
      </c>
      <c r="L12" s="458">
        <f>'ANALYSE - ERP =&gt; SEGMENT'!$BC$13*'ANALYSE - ERP =&gt; SEGMENT'!$IP$13</f>
        <v>3908.4490000000001</v>
      </c>
      <c r="N12" s="458">
        <f>'ANALYSE - ERP =&gt; SEGMENT'!$EX$13*'ANALYSE - ERP =&gt; SEGMENT'!$IQ$13</f>
        <v>2.0553699306041784</v>
      </c>
      <c r="O12" s="458">
        <f>'ANALYSE - ERP =&gt; SEGMENT'!$EX$13*'ANALYSE - ERP =&gt; SEGMENT'!$IR$13</f>
        <v>11205.464233480827</v>
      </c>
      <c r="P12" s="458">
        <f>'ANALYSE - ERP =&gt; SEGMENT'!$EX$13*'ANALYSE - ERP =&gt; SEGMENT'!$IS$13</f>
        <v>70535.397526999019</v>
      </c>
      <c r="Q12" s="458">
        <f>'ANALYSE - ERP =&gt; SEGMENT'!$EX$13*'ANALYSE - ERP =&gt; SEGMENT'!$IT$13</f>
        <v>50717.251434906793</v>
      </c>
      <c r="R12" s="458">
        <f>'ANALYSE - ERP =&gt; SEGMENT'!$EX$13*'ANALYSE - ERP =&gt; SEGMENT'!$IU$13</f>
        <v>5253.73991600095</v>
      </c>
      <c r="T12" s="430">
        <f>'ANALYSE - ERP =&gt; SEGMENT'!$Q$13</f>
        <v>1</v>
      </c>
    </row>
    <row r="13" spans="1:20" s="45" customFormat="1" ht="15" customHeight="1">
      <c r="A13" s="406">
        <v>10</v>
      </c>
      <c r="B13" s="406">
        <v>8</v>
      </c>
      <c r="C13" s="448">
        <f>'ANALYSE - ERP =&gt; SEGMENT'!$A$28</f>
        <v>27</v>
      </c>
      <c r="D13" s="511" t="s">
        <v>2278</v>
      </c>
      <c r="E13" s="511" t="s">
        <v>4578</v>
      </c>
      <c r="F13" s="511" t="s">
        <v>7989</v>
      </c>
      <c r="G13" s="685"/>
      <c r="H13" s="459">
        <f>'ANALYSE - ERP =&gt; SEGMENT'!$BC$28*'ANALYSE - ERP =&gt; SEGMENT'!$IL$28</f>
        <v>5108</v>
      </c>
      <c r="I13" s="459">
        <f>'ANALYSE - ERP =&gt; SEGMENT'!$BC$28*'ANALYSE - ERP =&gt; SEGMENT'!$IM$28</f>
        <v>27072.400000000001</v>
      </c>
      <c r="J13" s="459">
        <f>'ANALYSE - ERP =&gt; SEGMENT'!$BC$28*'ANALYSE - ERP =&gt; SEGMENT'!$IN$28</f>
        <v>17367.2</v>
      </c>
      <c r="K13" s="459">
        <f>'ANALYSE - ERP =&gt; SEGMENT'!$BC$28*'ANALYSE - ERP =&gt; SEGMENT'!$IO$28</f>
        <v>1532.3999999999999</v>
      </c>
      <c r="L13" s="459">
        <f>'ANALYSE - ERP =&gt; SEGMENT'!$BC$28*'ANALYSE - ERP =&gt; SEGMENT'!$IP$28</f>
        <v>0</v>
      </c>
      <c r="M13" s="685"/>
      <c r="N13" s="459">
        <f>'ANALYSE - ERP =&gt; SEGMENT'!$EX$28*'ANALYSE - ERP =&gt; SEGMENT'!$IQ$28</f>
        <v>1614.6760435366036</v>
      </c>
      <c r="O13" s="459">
        <f>'ANALYSE - ERP =&gt; SEGMENT'!$EX$28*'ANALYSE - ERP =&gt; SEGMENT'!$IR$28</f>
        <v>9637.3039292341891</v>
      </c>
      <c r="P13" s="459">
        <f>'ANALYSE - ERP =&gt; SEGMENT'!$EX$28*'ANALYSE - ERP =&gt; SEGMENT'!$IS$28</f>
        <v>6656.0743540897711</v>
      </c>
      <c r="Q13" s="459">
        <f>'ANALYSE - ERP =&gt; SEGMENT'!$EX$28*'ANALYSE - ERP =&gt; SEGMENT'!$IT$28</f>
        <v>828.95475576209788</v>
      </c>
      <c r="R13" s="459">
        <f>'ANALYSE - ERP =&gt; SEGMENT'!$EX$28*'ANALYSE - ERP =&gt; SEGMENT'!$IU$28</f>
        <v>60.15091198273727</v>
      </c>
      <c r="S13" s="685"/>
      <c r="T13" s="450">
        <f>'ANALYSE - ERP =&gt; SEGMENT'!$Q$28</f>
        <v>1</v>
      </c>
    </row>
    <row r="14" spans="1:20" ht="15" customHeight="1">
      <c r="A14" s="26">
        <v>11</v>
      </c>
      <c r="B14" s="26">
        <v>12</v>
      </c>
      <c r="C14" s="422">
        <f>'ANALYSE - ERP =&gt; SEGMENT'!$A$23</f>
        <v>19</v>
      </c>
      <c r="D14" s="502" t="s">
        <v>2264</v>
      </c>
      <c r="E14" s="502" t="s">
        <v>7990</v>
      </c>
      <c r="F14" s="502" t="s">
        <v>7991</v>
      </c>
      <c r="H14" s="458">
        <f>'ANALYSE - ERP =&gt; SEGMENT'!$BC$23*'ANALYSE - ERP =&gt; SEGMENT'!$IL$23</f>
        <v>15850.33</v>
      </c>
      <c r="I14" s="458">
        <f>'ANALYSE - ERP =&gt; SEGMENT'!$BC$23*'ANALYSE - ERP =&gt; SEGMENT'!$IM$23</f>
        <v>131585.34</v>
      </c>
      <c r="J14" s="458">
        <f>'ANALYSE - ERP =&gt; SEGMENT'!$BC$23*'ANALYSE - ERP =&gt; SEGMENT'!$IN$23</f>
        <v>132649.09</v>
      </c>
      <c r="K14" s="458">
        <f>'ANALYSE - ERP =&gt; SEGMENT'!$BC$23*'ANALYSE - ERP =&gt; SEGMENT'!$IO$23</f>
        <v>17195.640000000003</v>
      </c>
      <c r="L14" s="458">
        <f>'ANALYSE - ERP =&gt; SEGMENT'!$BC$23*'ANALYSE - ERP =&gt; SEGMENT'!$IP$23</f>
        <v>119.6</v>
      </c>
      <c r="N14" s="458">
        <f>'ANALYSE - ERP =&gt; SEGMENT'!$EX$23*'ANALYSE - ERP =&gt; SEGMENT'!$IQ$23</f>
        <v>3275.7389692746815</v>
      </c>
      <c r="O14" s="458">
        <f>'ANALYSE - ERP =&gt; SEGMENT'!$EX$23*'ANALYSE - ERP =&gt; SEGMENT'!$IR$23</f>
        <v>50700.400940523417</v>
      </c>
      <c r="P14" s="458">
        <f>'ANALYSE - ERP =&gt; SEGMENT'!$EX$23*'ANALYSE - ERP =&gt; SEGMENT'!$IS$23</f>
        <v>62702.011014348456</v>
      </c>
      <c r="Q14" s="458">
        <f>'ANALYSE - ERP =&gt; SEGMENT'!$EX$23*'ANALYSE - ERP =&gt; SEGMENT'!$IT$23</f>
        <v>9343.1890162780892</v>
      </c>
      <c r="R14" s="458">
        <f>'ANALYSE - ERP =&gt; SEGMENT'!$EX$23*'ANALYSE - ERP =&gt; SEGMENT'!$IU$23</f>
        <v>580.10033551909669</v>
      </c>
      <c r="T14" s="430">
        <f>'ANALYSE - ERP =&gt; SEGMENT'!$Q$23</f>
        <v>1</v>
      </c>
    </row>
    <row r="15" spans="1:20" s="45" customFormat="1" ht="15" customHeight="1">
      <c r="A15" s="406">
        <v>12</v>
      </c>
      <c r="B15" s="406">
        <v>11</v>
      </c>
      <c r="C15" s="448">
        <f>'ANALYSE - ERP =&gt; SEGMENT'!$A$26</f>
        <v>23</v>
      </c>
      <c r="D15" s="513" t="s">
        <v>7117</v>
      </c>
      <c r="E15" s="513" t="s">
        <v>4268</v>
      </c>
      <c r="F15" s="513" t="s">
        <v>4269</v>
      </c>
      <c r="G15" s="685"/>
      <c r="H15" s="459">
        <f>'ANALYSE - ERP =&gt; SEGMENT'!$BC$26*'ANALYSE - ERP =&gt; SEGMENT'!$IL$26</f>
        <v>16228.74</v>
      </c>
      <c r="I15" s="459">
        <f>'ANALYSE - ERP =&gt; SEGMENT'!$BC$26*'ANALYSE - ERP =&gt; SEGMENT'!$IM$26</f>
        <v>75148.230000000025</v>
      </c>
      <c r="J15" s="459">
        <f>'ANALYSE - ERP =&gt; SEGMENT'!$BC$26*'ANALYSE - ERP =&gt; SEGMENT'!$IN$26</f>
        <v>47879.909999999996</v>
      </c>
      <c r="K15" s="459">
        <f>'ANALYSE - ERP =&gt; SEGMENT'!$BC$26*'ANALYSE - ERP =&gt; SEGMENT'!$IO$26</f>
        <v>5646.7800000000007</v>
      </c>
      <c r="L15" s="459">
        <f>'ANALYSE - ERP =&gt; SEGMENT'!$BC$26*'ANALYSE - ERP =&gt; SEGMENT'!$IP$26</f>
        <v>296.33999999999997</v>
      </c>
      <c r="M15" s="685"/>
      <c r="N15" s="459">
        <f>'ANALYSE - ERP =&gt; SEGMENT'!$EX$26*'ANALYSE - ERP =&gt; SEGMENT'!$IQ$26</f>
        <v>2884.4104760235782</v>
      </c>
      <c r="O15" s="459">
        <f>'ANALYSE - ERP =&gt; SEGMENT'!$EX$26*'ANALYSE - ERP =&gt; SEGMENT'!$IR$26</f>
        <v>24832.268087607135</v>
      </c>
      <c r="P15" s="459">
        <f>'ANALYSE - ERP =&gt; SEGMENT'!$EX$26*'ANALYSE - ERP =&gt; SEGMENT'!$IS$26</f>
        <v>27696.761681577827</v>
      </c>
      <c r="Q15" s="459">
        <f>'ANALYSE - ERP =&gt; SEGMENT'!$EX$26*'ANALYSE - ERP =&gt; SEGMENT'!$IT$26</f>
        <v>4531.0557207685697</v>
      </c>
      <c r="R15" s="459">
        <f>'ANALYSE - ERP =&gt; SEGMENT'!$EX$26*'ANALYSE - ERP =&gt; SEGMENT'!$IU$26</f>
        <v>188.19111699958276</v>
      </c>
      <c r="S15" s="685"/>
      <c r="T15" s="450">
        <f>'ANALYSE - ERP =&gt; SEGMENT'!$Q$26</f>
        <v>1</v>
      </c>
    </row>
    <row r="16" spans="1:20" ht="15" customHeight="1">
      <c r="A16" s="26">
        <v>13</v>
      </c>
      <c r="B16" s="26">
        <v>15</v>
      </c>
      <c r="C16" s="422">
        <f>'ANALYSE - ERP =&gt; SEGMENT'!$A$32</f>
        <v>32</v>
      </c>
      <c r="D16" s="508" t="s">
        <v>2285</v>
      </c>
      <c r="E16" s="508" t="s">
        <v>1793</v>
      </c>
      <c r="F16" s="508" t="s">
        <v>7992</v>
      </c>
      <c r="H16" s="458">
        <f>'ANALYSE - ERP =&gt; SEGMENT'!$BC$32*'ANALYSE - ERP =&gt; SEGMENT'!$IL$32</f>
        <v>2098.2458000000001</v>
      </c>
      <c r="I16" s="458">
        <f>'ANALYSE - ERP =&gt; SEGMENT'!$BC$32*'ANALYSE - ERP =&gt; SEGMENT'!$IM$32</f>
        <v>22250.424799999997</v>
      </c>
      <c r="J16" s="458">
        <f>'ANALYSE - ERP =&gt; SEGMENT'!$BC$32*'ANALYSE - ERP =&gt; SEGMENT'!$IN$32</f>
        <v>22577.356399999997</v>
      </c>
      <c r="K16" s="458">
        <f>'ANALYSE - ERP =&gt; SEGMENT'!$BC$32*'ANALYSE - ERP =&gt; SEGMENT'!$IO$32</f>
        <v>6815.2957999999999</v>
      </c>
      <c r="L16" s="458">
        <f>'ANALYSE - ERP =&gt; SEGMENT'!$BC$32*'ANALYSE - ERP =&gt; SEGMENT'!$IP$32</f>
        <v>1466.6771999999999</v>
      </c>
      <c r="N16" s="458">
        <f>'ANALYSE - ERP =&gt; SEGMENT'!$EX$32*'ANALYSE - ERP =&gt; SEGMENT'!$IQ$32</f>
        <v>479.67779063660112</v>
      </c>
      <c r="O16" s="458">
        <f>'ANALYSE - ERP =&gt; SEGMENT'!$EX$32*'ANALYSE - ERP =&gt; SEGMENT'!$IR$32</f>
        <v>9423.0363507328038</v>
      </c>
      <c r="P16" s="458">
        <f>'ANALYSE - ERP =&gt; SEGMENT'!$EX$32*'ANALYSE - ERP =&gt; SEGMENT'!$IS$32</f>
        <v>11623.154528800764</v>
      </c>
      <c r="Q16" s="458">
        <f>'ANALYSE - ERP =&gt; SEGMENT'!$EX$32*'ANALYSE - ERP =&gt; SEGMENT'!$IT$32</f>
        <v>4610.6666384267683</v>
      </c>
      <c r="R16" s="458">
        <f>'ANALYSE - ERP =&gt; SEGMENT'!$EX$32*'ANALYSE - ERP =&gt; SEGMENT'!$IU$32</f>
        <v>1355.5971437847502</v>
      </c>
      <c r="T16" s="430">
        <f>'ANALYSE - ERP =&gt; SEGMENT'!$Q$32</f>
        <v>1</v>
      </c>
    </row>
    <row r="17" spans="1:20" ht="15" customHeight="1">
      <c r="A17" s="26">
        <v>14</v>
      </c>
      <c r="B17" s="26">
        <v>18</v>
      </c>
      <c r="C17" s="422">
        <f>'ANALYSE - ERP =&gt; SEGMENT'!$A$21</f>
        <v>17</v>
      </c>
      <c r="D17" s="492" t="s">
        <v>2187</v>
      </c>
      <c r="E17" s="492" t="s">
        <v>1372</v>
      </c>
      <c r="F17" s="492" t="s">
        <v>7993</v>
      </c>
      <c r="H17" s="458">
        <f>'ANALYSE - ERP =&gt; SEGMENT'!$BC$21*'ANALYSE - ERP =&gt; SEGMENT'!$IL$21</f>
        <v>1986.32</v>
      </c>
      <c r="I17" s="458">
        <f>'ANALYSE - ERP =&gt; SEGMENT'!$BC$21*'ANALYSE - ERP =&gt; SEGMENT'!$IM$21</f>
        <v>30365.240000000005</v>
      </c>
      <c r="J17" s="458">
        <f>'ANALYSE - ERP =&gt; SEGMENT'!$BC$21*'ANALYSE - ERP =&gt; SEGMENT'!$IN$21</f>
        <v>50153.64</v>
      </c>
      <c r="K17" s="458">
        <f>'ANALYSE - ERP =&gt; SEGMENT'!$BC$21*'ANALYSE - ERP =&gt; SEGMENT'!$IO$21</f>
        <v>18592.64</v>
      </c>
      <c r="L17" s="458">
        <f>'ANALYSE - ERP =&gt; SEGMENT'!$BC$21*'ANALYSE - ERP =&gt; SEGMENT'!$IP$21</f>
        <v>1958.1599999999996</v>
      </c>
      <c r="N17" s="458">
        <f>'ANALYSE - ERP =&gt; SEGMENT'!$EX$21*'ANALYSE - ERP =&gt; SEGMENT'!$IQ$21</f>
        <v>267.25983755300211</v>
      </c>
      <c r="O17" s="458">
        <f>'ANALYSE - ERP =&gt; SEGMENT'!$EX$21*'ANALYSE - ERP =&gt; SEGMENT'!$IR$21</f>
        <v>11933.761257499207</v>
      </c>
      <c r="P17" s="458">
        <f>'ANALYSE - ERP =&gt; SEGMENT'!$EX$21*'ANALYSE - ERP =&gt; SEGMENT'!$IS$21</f>
        <v>23826.972685917637</v>
      </c>
      <c r="Q17" s="458">
        <f>'ANALYSE - ERP =&gt; SEGMENT'!$EX$21*'ANALYSE - ERP =&gt; SEGMENT'!$IT$21</f>
        <v>9501.232978443395</v>
      </c>
      <c r="R17" s="458">
        <f>'ANALYSE - ERP =&gt; SEGMENT'!$EX$21*'ANALYSE - ERP =&gt; SEGMENT'!$IU$21</f>
        <v>1141.9632516928148</v>
      </c>
      <c r="T17" s="430">
        <f>'ANALYSE - ERP =&gt; SEGMENT'!$Q$21</f>
        <v>1</v>
      </c>
    </row>
    <row r="18" spans="1:20" ht="15" customHeight="1">
      <c r="A18" s="26">
        <v>15</v>
      </c>
      <c r="B18" s="26">
        <v>13</v>
      </c>
      <c r="C18" s="422">
        <f>'ANALYSE - ERP =&gt; SEGMENT'!$A$8</f>
        <v>1</v>
      </c>
      <c r="D18" s="498" t="s">
        <v>6739</v>
      </c>
      <c r="E18" s="498" t="s">
        <v>2104</v>
      </c>
      <c r="F18" s="498" t="s">
        <v>671</v>
      </c>
      <c r="H18" s="458">
        <f>'ANALYSE - ERP =&gt; SEGMENT'!$BC$8*'ANALYSE - ERP =&gt; SEGMENT'!$IL$8</f>
        <v>1084.0170000000001</v>
      </c>
      <c r="I18" s="458">
        <f>'ANALYSE - ERP =&gt; SEGMENT'!$BC$8*'ANALYSE - ERP =&gt; SEGMENT'!$IM$8</f>
        <v>39021.368999999999</v>
      </c>
      <c r="J18" s="458">
        <f>'ANALYSE - ERP =&gt; SEGMENT'!$BC$8*'ANALYSE - ERP =&gt; SEGMENT'!$IN$8</f>
        <v>67456.910999999993</v>
      </c>
      <c r="K18" s="458">
        <f>'ANALYSE - ERP =&gt; SEGMENT'!$BC$8*'ANALYSE - ERP =&gt; SEGMENT'!$IO$8</f>
        <v>15929.702999999996</v>
      </c>
      <c r="L18" s="458">
        <f>'ANALYSE - ERP =&gt; SEGMENT'!$BC$8*'ANALYSE - ERP =&gt; SEGMENT'!$IP$8</f>
        <v>0</v>
      </c>
      <c r="N18" s="458">
        <f>'ANALYSE - ERP =&gt; SEGMENT'!$EX$8*'ANALYSE - ERP =&gt; SEGMENT'!$IQ$8</f>
        <v>196.40309556433408</v>
      </c>
      <c r="O18" s="458">
        <f>'ANALYSE - ERP =&gt; SEGMENT'!$EX$8*'ANALYSE - ERP =&gt; SEGMENT'!$IR$8</f>
        <v>5242.7091319892452</v>
      </c>
      <c r="P18" s="458">
        <f>'ANALYSE - ERP =&gt; SEGMENT'!$EX$8*'ANALYSE - ERP =&gt; SEGMENT'!$IS$8</f>
        <v>15756.443236759786</v>
      </c>
      <c r="Q18" s="458">
        <f>'ANALYSE - ERP =&gt; SEGMENT'!$EX$8*'ANALYSE - ERP =&gt; SEGMENT'!$IT$8</f>
        <v>7879.1135770411975</v>
      </c>
      <c r="R18" s="458">
        <f>'ANALYSE - ERP =&gt; SEGMENT'!$EX$8*'ANALYSE - ERP =&gt; SEGMENT'!$IU$8</f>
        <v>10.362371913210266</v>
      </c>
      <c r="T18" s="430">
        <f>'ANALYSE - ERP =&gt; SEGMENT'!$Q$8</f>
        <v>1</v>
      </c>
    </row>
    <row r="19" spans="1:20" ht="15" customHeight="1">
      <c r="A19" s="26">
        <v>16</v>
      </c>
      <c r="B19" s="26">
        <v>16</v>
      </c>
      <c r="C19" s="422">
        <f>'ANALYSE - ERP =&gt; SEGMENT'!$A$24</f>
        <v>21</v>
      </c>
      <c r="D19" s="506" t="s">
        <v>7117</v>
      </c>
      <c r="E19" s="506" t="s">
        <v>1455</v>
      </c>
      <c r="F19" s="506" t="s">
        <v>7994</v>
      </c>
      <c r="H19" s="458">
        <f>'ANALYSE - ERP =&gt; SEGMENT'!$BC$24*'ANALYSE - ERP =&gt; SEGMENT'!$IL$24</f>
        <v>2799.2233000000001</v>
      </c>
      <c r="I19" s="458">
        <f>'ANALYSE - ERP =&gt; SEGMENT'!$BC$24*'ANALYSE - ERP =&gt; SEGMENT'!$IM$24</f>
        <v>29149.465000000004</v>
      </c>
      <c r="J19" s="458">
        <f>'ANALYSE - ERP =&gt; SEGMENT'!$BC$24*'ANALYSE - ERP =&gt; SEGMENT'!$IN$24</f>
        <v>38936.4185</v>
      </c>
      <c r="K19" s="458">
        <f>'ANALYSE - ERP =&gt; SEGMENT'!$BC$24*'ANALYSE - ERP =&gt; SEGMENT'!$IO$24</f>
        <v>12516.784899999999</v>
      </c>
      <c r="L19" s="458">
        <f>'ANALYSE - ERP =&gt; SEGMENT'!$BC$24*'ANALYSE - ERP =&gt; SEGMENT'!$IP$24</f>
        <v>1235.1083000000001</v>
      </c>
      <c r="N19" s="458">
        <f>'ANALYSE - ERP =&gt; SEGMENT'!$EX$24*'ANALYSE - ERP =&gt; SEGMENT'!$IQ$24</f>
        <v>563.51295322928922</v>
      </c>
      <c r="O19" s="458">
        <f>'ANALYSE - ERP =&gt; SEGMENT'!$EX$24*'ANALYSE - ERP =&gt; SEGMENT'!$IR$24</f>
        <v>11062.759768310079</v>
      </c>
      <c r="P19" s="458">
        <f>'ANALYSE - ERP =&gt; SEGMENT'!$EX$24*'ANALYSE - ERP =&gt; SEGMENT'!$IS$24</f>
        <v>18660.900076650076</v>
      </c>
      <c r="Q19" s="458">
        <f>'ANALYSE - ERP =&gt; SEGMENT'!$EX$24*'ANALYSE - ERP =&gt; SEGMENT'!$IT$24</f>
        <v>6963.330518071617</v>
      </c>
      <c r="R19" s="458">
        <f>'ANALYSE - ERP =&gt; SEGMENT'!$EX$24*'ANALYSE - ERP =&gt; SEGMENT'!$IU$24</f>
        <v>814.5166608640385</v>
      </c>
      <c r="T19" s="430">
        <f>'ANALYSE - ERP =&gt; SEGMENT'!$Q$24</f>
        <v>1</v>
      </c>
    </row>
    <row r="20" spans="1:20" ht="15" customHeight="1">
      <c r="A20" s="26">
        <v>17</v>
      </c>
      <c r="B20" s="26">
        <v>17</v>
      </c>
      <c r="C20" s="422">
        <f>'ANALYSE - ERP =&gt; SEGMENT'!$A$12</f>
        <v>5</v>
      </c>
      <c r="D20" s="498" t="s">
        <v>6739</v>
      </c>
      <c r="E20" s="498" t="s">
        <v>2091</v>
      </c>
      <c r="F20" s="498" t="s">
        <v>2836</v>
      </c>
      <c r="H20" s="458">
        <f>'ANALYSE - ERP =&gt; SEGMENT'!$BC$12*'ANALYSE - ERP =&gt; SEGMENT'!$IL$12</f>
        <v>1649.3039999999999</v>
      </c>
      <c r="I20" s="458">
        <f>'ANALYSE - ERP =&gt; SEGMENT'!$BC$12*'ANALYSE - ERP =&gt; SEGMENT'!$IM$12</f>
        <v>32229.984</v>
      </c>
      <c r="J20" s="458">
        <f>'ANALYSE - ERP =&gt; SEGMENT'!$BC$12*'ANALYSE - ERP =&gt; SEGMENT'!$IN$12</f>
        <v>50089.776000000005</v>
      </c>
      <c r="K20" s="458">
        <f>'ANALYSE - ERP =&gt; SEGMENT'!$BC$12*'ANALYSE - ERP =&gt; SEGMENT'!$IO$12</f>
        <v>13797.336000000003</v>
      </c>
      <c r="L20" s="458">
        <f>'ANALYSE - ERP =&gt; SEGMENT'!$BC$12*'ANALYSE - ERP =&gt; SEGMENT'!$IP$12</f>
        <v>453.59999999999997</v>
      </c>
      <c r="N20" s="458">
        <f>'ANALYSE - ERP =&gt; SEGMENT'!$EX$12*'ANALYSE - ERP =&gt; SEGMENT'!$IQ$12</f>
        <v>53.048616390680742</v>
      </c>
      <c r="O20" s="458">
        <f>'ANALYSE - ERP =&gt; SEGMENT'!$EX$12*'ANALYSE - ERP =&gt; SEGMENT'!$IR$12</f>
        <v>5837.6212182671452</v>
      </c>
      <c r="P20" s="458">
        <f>'ANALYSE - ERP =&gt; SEGMENT'!$EX$12*'ANALYSE - ERP =&gt; SEGMENT'!$IS$12</f>
        <v>19491.336130270025</v>
      </c>
      <c r="Q20" s="458">
        <f>'ANALYSE - ERP =&gt; SEGMENT'!$EX$12*'ANALYSE - ERP =&gt; SEGMENT'!$IT$12</f>
        <v>11132.432948528012</v>
      </c>
      <c r="R20" s="458">
        <f>'ANALYSE - ERP =&gt; SEGMENT'!$EX$12*'ANALYSE - ERP =&gt; SEGMENT'!$IU$12</f>
        <v>1005.3032683602523</v>
      </c>
      <c r="T20" s="430">
        <f>'ANALYSE - ERP =&gt; SEGMENT'!$Q$12</f>
        <v>1</v>
      </c>
    </row>
    <row r="21" spans="1:20" ht="15" customHeight="1">
      <c r="A21" s="26">
        <v>18</v>
      </c>
      <c r="B21" s="26">
        <v>14</v>
      </c>
      <c r="C21" s="422">
        <f>'ANALYSE - ERP =&gt; SEGMENT'!$A$11</f>
        <v>4</v>
      </c>
      <c r="D21" s="498" t="s">
        <v>6739</v>
      </c>
      <c r="E21" s="498" t="s">
        <v>991</v>
      </c>
      <c r="F21" s="498" t="s">
        <v>7995</v>
      </c>
      <c r="H21" s="458">
        <f>'ANALYSE - ERP =&gt; SEGMENT'!$BC$11*'ANALYSE - ERP =&gt; SEGMENT'!$IL$11</f>
        <v>0</v>
      </c>
      <c r="I21" s="458">
        <f>'ANALYSE - ERP =&gt; SEGMENT'!$BC$11*'ANALYSE - ERP =&gt; SEGMENT'!$IM$11</f>
        <v>0</v>
      </c>
      <c r="J21" s="458">
        <f>'ANALYSE - ERP =&gt; SEGMENT'!$BC$11*'ANALYSE - ERP =&gt; SEGMENT'!$IN$11</f>
        <v>0</v>
      </c>
      <c r="K21" s="458">
        <f>'ANALYSE - ERP =&gt; SEGMENT'!$BC$11*'ANALYSE - ERP =&gt; SEGMENT'!$IO$11</f>
        <v>0</v>
      </c>
      <c r="L21" s="458">
        <f>'ANALYSE - ERP =&gt; SEGMENT'!$BC$11*'ANALYSE - ERP =&gt; SEGMENT'!$IP$11</f>
        <v>0</v>
      </c>
      <c r="N21" s="458">
        <f>'ANALYSE - ERP =&gt; SEGMENT'!$EX$11*'ANALYSE - ERP =&gt; SEGMENT'!$IQ$11</f>
        <v>0</v>
      </c>
      <c r="O21" s="458">
        <f>'ANALYSE - ERP =&gt; SEGMENT'!$EX$11*'ANALYSE - ERP =&gt; SEGMENT'!$IR$11</f>
        <v>0</v>
      </c>
      <c r="P21" s="458">
        <f>'ANALYSE - ERP =&gt; SEGMENT'!$EX$11*'ANALYSE - ERP =&gt; SEGMENT'!$IS$11</f>
        <v>0</v>
      </c>
      <c r="Q21" s="458">
        <f>'ANALYSE - ERP =&gt; SEGMENT'!$EX$11*'ANALYSE - ERP =&gt; SEGMENT'!$IT$11</f>
        <v>0</v>
      </c>
      <c r="R21" s="458">
        <f>'ANALYSE - ERP =&gt; SEGMENT'!$EX$11*'ANALYSE - ERP =&gt; SEGMENT'!$IU$11</f>
        <v>0</v>
      </c>
      <c r="T21" s="430">
        <f>'ANALYSE - ERP =&gt; SEGMENT'!$Q$11</f>
        <v>0</v>
      </c>
    </row>
    <row r="22" spans="1:20" ht="15" customHeight="1">
      <c r="A22" s="26">
        <v>19</v>
      </c>
      <c r="B22" s="26">
        <v>20</v>
      </c>
      <c r="C22" s="422">
        <f>'ANALYSE - ERP =&gt; SEGMENT'!$A$36</f>
        <v>37</v>
      </c>
      <c r="D22" s="510" t="s">
        <v>4908</v>
      </c>
      <c r="E22" s="510" t="s">
        <v>88</v>
      </c>
      <c r="F22" s="510" t="s">
        <v>7996</v>
      </c>
      <c r="H22" s="458">
        <f>'ANALYSE - ERP =&gt; SEGMENT'!$BC$36*'ANALYSE - ERP =&gt; SEGMENT'!$IL$36</f>
        <v>5044.1151</v>
      </c>
      <c r="I22" s="458">
        <f>'ANALYSE - ERP =&gt; SEGMENT'!$BC$36*'ANALYSE - ERP =&gt; SEGMENT'!$IM$36</f>
        <v>26100.3344</v>
      </c>
      <c r="J22" s="458">
        <f>'ANALYSE - ERP =&gt; SEGMENT'!$BC$36*'ANALYSE - ERP =&gt; SEGMENT'!$IN$36</f>
        <v>7060.4400999999998</v>
      </c>
      <c r="K22" s="458">
        <f>'ANALYSE - ERP =&gt; SEGMENT'!$BC$36*'ANALYSE - ERP =&gt; SEGMENT'!$IO$36</f>
        <v>12.058199999999999</v>
      </c>
      <c r="L22" s="458">
        <f>'ANALYSE - ERP =&gt; SEGMENT'!$BC$36*'ANALYSE - ERP =&gt; SEGMENT'!$IP$36</f>
        <v>5.2200000000000003E-2</v>
      </c>
      <c r="N22" s="458">
        <f>'ANALYSE - ERP =&gt; SEGMENT'!$EX$36*'ANALYSE - ERP =&gt; SEGMENT'!$IQ$36</f>
        <v>984.18555765315068</v>
      </c>
      <c r="O22" s="458">
        <f>'ANALYSE - ERP =&gt; SEGMENT'!$EX$36*'ANALYSE - ERP =&gt; SEGMENT'!$IR$36</f>
        <v>12272.384762087191</v>
      </c>
      <c r="P22" s="458">
        <f>'ANALYSE - ERP =&gt; SEGMENT'!$EX$36*'ANALYSE - ERP =&gt; SEGMENT'!$IS$36</f>
        <v>7677.6891048195539</v>
      </c>
      <c r="Q22" s="458">
        <f>'ANALYSE - ERP =&gt; SEGMENT'!$EX$36*'ANALYSE - ERP =&gt; SEGMENT'!$IT$36</f>
        <v>27.970282957707521</v>
      </c>
      <c r="R22" s="458">
        <f>'ANALYSE - ERP =&gt; SEGMENT'!$EX$36*'ANALYSE - ERP =&gt; SEGMENT'!$IU$36</f>
        <v>0.30681930057651946</v>
      </c>
      <c r="T22" s="430">
        <f>'ANALYSE - ERP =&gt; SEGMENT'!$Q$36</f>
        <v>1</v>
      </c>
    </row>
    <row r="23" spans="1:20" ht="15" customHeight="1">
      <c r="A23" s="26">
        <v>20</v>
      </c>
      <c r="B23" s="26">
        <v>23</v>
      </c>
      <c r="C23" s="422">
        <f>'ANALYSE - ERP =&gt; SEGMENT'!$A$20</f>
        <v>16</v>
      </c>
      <c r="D23" s="492" t="s">
        <v>2187</v>
      </c>
      <c r="E23" s="492" t="s">
        <v>1435</v>
      </c>
      <c r="F23" s="492" t="s">
        <v>7999</v>
      </c>
      <c r="H23" s="458">
        <f>'ANALYSE - ERP =&gt; SEGMENT'!$BC$20*'ANALYSE - ERP =&gt; SEGMENT'!$IL$20</f>
        <v>468.62</v>
      </c>
      <c r="I23" s="458">
        <f>'ANALYSE - ERP =&gt; SEGMENT'!$BC$20*'ANALYSE - ERP =&gt; SEGMENT'!$IM$20</f>
        <v>13121.36</v>
      </c>
      <c r="J23" s="458">
        <f>'ANALYSE - ERP =&gt; SEGMENT'!$BC$20*'ANALYSE - ERP =&gt; SEGMENT'!$IN$20</f>
        <v>23431</v>
      </c>
      <c r="K23" s="458">
        <f>'ANALYSE - ERP =&gt; SEGMENT'!$BC$20*'ANALYSE - ERP =&gt; SEGMENT'!$IO$20</f>
        <v>8903.7799999999988</v>
      </c>
      <c r="L23" s="458">
        <f>'ANALYSE - ERP =&gt; SEGMENT'!$BC$20*'ANALYSE - ERP =&gt; SEGMENT'!$IP$20</f>
        <v>937.24</v>
      </c>
      <c r="N23" s="458">
        <f>'ANALYSE - ERP =&gt; SEGMENT'!$EX$20*'ANALYSE - ERP =&gt; SEGMENT'!$IQ$20</f>
        <v>0</v>
      </c>
      <c r="O23" s="458">
        <f>'ANALYSE - ERP =&gt; SEGMENT'!$EX$20*'ANALYSE - ERP =&gt; SEGMENT'!$IR$20</f>
        <v>5440.1014970440465</v>
      </c>
      <c r="P23" s="458">
        <f>'ANALYSE - ERP =&gt; SEGMENT'!$EX$20*'ANALYSE - ERP =&gt; SEGMENT'!$IS$20</f>
        <v>11694.076446401772</v>
      </c>
      <c r="Q23" s="458">
        <f>'ANALYSE - ERP =&gt; SEGMENT'!$EX$20*'ANALYSE - ERP =&gt; SEGMENT'!$IT$20</f>
        <v>4829.1327835343345</v>
      </c>
      <c r="R23" s="458">
        <f>'ANALYSE - ERP =&gt; SEGMENT'!$EX$20*'ANALYSE - ERP =&gt; SEGMENT'!$IU$20</f>
        <v>581.6602512380291</v>
      </c>
      <c r="T23" s="430">
        <f>'ANALYSE - ERP =&gt; SEGMENT'!$Q$20</f>
        <v>1</v>
      </c>
    </row>
    <row r="24" spans="1:20" ht="15" customHeight="1">
      <c r="A24" s="26">
        <v>21</v>
      </c>
      <c r="B24" s="26">
        <v>22</v>
      </c>
      <c r="C24" s="422">
        <f>'ANALYSE - ERP =&gt; SEGMENT'!$A$18</f>
        <v>12</v>
      </c>
      <c r="D24" s="500" t="s">
        <v>3662</v>
      </c>
      <c r="E24" s="500" t="s">
        <v>1337</v>
      </c>
      <c r="F24" s="500" t="s">
        <v>7997</v>
      </c>
      <c r="H24" s="458">
        <f>'ANALYSE - ERP =&gt; SEGMENT'!$BC$18*'ANALYSE - ERP =&gt; SEGMENT'!$IL$18</f>
        <v>419.22</v>
      </c>
      <c r="I24" s="458">
        <f>'ANALYSE - ERP =&gt; SEGMENT'!$BC$18*'ANALYSE - ERP =&gt; SEGMENT'!$IM$18</f>
        <v>1957.62</v>
      </c>
      <c r="J24" s="458">
        <f>'ANALYSE - ERP =&gt; SEGMENT'!$BC$18*'ANALYSE - ERP =&gt; SEGMENT'!$IN$18</f>
        <v>1652.66</v>
      </c>
      <c r="K24" s="458">
        <f>'ANALYSE - ERP =&gt; SEGMENT'!$BC$18*'ANALYSE - ERP =&gt; SEGMENT'!$IO$18</f>
        <v>220.50000000000003</v>
      </c>
      <c r="L24" s="458">
        <f>'ANALYSE - ERP =&gt; SEGMENT'!$BC$18*'ANALYSE - ERP =&gt; SEGMENT'!$IP$18</f>
        <v>0</v>
      </c>
      <c r="N24" s="458">
        <f>'ANALYSE - ERP =&gt; SEGMENT'!$EX$18*'ANALYSE - ERP =&gt; SEGMENT'!$IQ$18</f>
        <v>91.143864322468914</v>
      </c>
      <c r="O24" s="458">
        <f>'ANALYSE - ERP =&gt; SEGMENT'!$EX$18*'ANALYSE - ERP =&gt; SEGMENT'!$IR$18</f>
        <v>783.08754518586022</v>
      </c>
      <c r="P24" s="458">
        <f>'ANALYSE - ERP =&gt; SEGMENT'!$EX$18*'ANALYSE - ERP =&gt; SEGMENT'!$IS$18</f>
        <v>709.91338921048612</v>
      </c>
      <c r="Q24" s="458">
        <f>'ANALYSE - ERP =&gt; SEGMENT'!$EX$18*'ANALYSE - ERP =&gt; SEGMENT'!$IT$18</f>
        <v>104.49628089143361</v>
      </c>
      <c r="R24" s="458">
        <f>'ANALYSE - ERP =&gt; SEGMENT'!$EX$18*'ANALYSE - ERP =&gt; SEGMENT'!$IU$18</f>
        <v>4.5433165604971135</v>
      </c>
      <c r="T24" s="430">
        <f>'ANALYSE - ERP =&gt; SEGMENT'!$Q$18</f>
        <v>1</v>
      </c>
    </row>
    <row r="25" spans="1:20" ht="15" customHeight="1">
      <c r="A25" s="26">
        <v>22</v>
      </c>
      <c r="B25" s="26">
        <v>24</v>
      </c>
      <c r="C25" s="422">
        <f>'ANALYSE - ERP =&gt; SEGMENT'!$A$15</f>
        <v>8</v>
      </c>
      <c r="D25" s="494" t="s">
        <v>2241</v>
      </c>
      <c r="E25" s="494" t="s">
        <v>2242</v>
      </c>
      <c r="F25" s="494" t="s">
        <v>7998</v>
      </c>
      <c r="H25" s="458">
        <f>'ANALYSE - ERP =&gt; SEGMENT'!$BC$15*'ANALYSE - ERP =&gt; SEGMENT'!$IL$15</f>
        <v>25.679999999999996</v>
      </c>
      <c r="I25" s="458">
        <f>'ANALYSE - ERP =&gt; SEGMENT'!$BC$15*'ANALYSE - ERP =&gt; SEGMENT'!$IM$15</f>
        <v>3587.0279999999998</v>
      </c>
      <c r="J25" s="458">
        <f>'ANALYSE - ERP =&gt; SEGMENT'!$BC$15*'ANALYSE - ERP =&gt; SEGMENT'!$IN$15</f>
        <v>11238.184800000001</v>
      </c>
      <c r="K25" s="458">
        <f>'ANALYSE - ERP =&gt; SEGMENT'!$BC$15*'ANALYSE - ERP =&gt; SEGMENT'!$IO$15</f>
        <v>4955.1071999999995</v>
      </c>
      <c r="L25" s="458">
        <f>'ANALYSE - ERP =&gt; SEGMENT'!$BC$15*'ANALYSE - ERP =&gt; SEGMENT'!$IP$15</f>
        <v>288</v>
      </c>
      <c r="N25" s="458">
        <f>'ANALYSE - ERP =&gt; SEGMENT'!$EX$15*'ANALYSE - ERP =&gt; SEGMENT'!$IQ$15</f>
        <v>0</v>
      </c>
      <c r="O25" s="458">
        <f>'ANALYSE - ERP =&gt; SEGMENT'!$EX$15*'ANALYSE - ERP =&gt; SEGMENT'!$IR$15</f>
        <v>1130.93260049318</v>
      </c>
      <c r="P25" s="458">
        <f>'ANALYSE - ERP =&gt; SEGMENT'!$EX$15*'ANALYSE - ERP =&gt; SEGMENT'!$IS$15</f>
        <v>6157.5566961990598</v>
      </c>
      <c r="Q25" s="458">
        <f>'ANALYSE - ERP =&gt; SEGMENT'!$EX$15*'ANALYSE - ERP =&gt; SEGMENT'!$IT$15</f>
        <v>5924.3346256031864</v>
      </c>
      <c r="R25" s="458">
        <f>'ANALYSE - ERP =&gt; SEGMENT'!$EX$15*'ANALYSE - ERP =&gt; SEGMENT'!$IU$15</f>
        <v>551.25434492932754</v>
      </c>
      <c r="T25" s="430">
        <f>'ANALYSE - ERP =&gt; SEGMENT'!$Q$15</f>
        <v>1</v>
      </c>
    </row>
    <row r="26" spans="1:20" ht="15" customHeight="1">
      <c r="A26" s="26">
        <v>23</v>
      </c>
      <c r="B26" s="26">
        <v>19</v>
      </c>
      <c r="C26" s="422">
        <f>'ANALYSE - ERP =&gt; SEGMENT'!$A$10</f>
        <v>3</v>
      </c>
      <c r="D26" s="498" t="s">
        <v>6739</v>
      </c>
      <c r="E26" s="498" t="s">
        <v>1014</v>
      </c>
      <c r="F26" s="498" t="s">
        <v>8000</v>
      </c>
      <c r="H26" s="458">
        <f>'ANALYSE - ERP =&gt; SEGMENT'!$BC$10*'ANALYSE - ERP =&gt; SEGMENT'!$IL$10</f>
        <v>201.60000000000005</v>
      </c>
      <c r="I26" s="458">
        <f>'ANALYSE - ERP =&gt; SEGMENT'!$BC$10*'ANALYSE - ERP =&gt; SEGMENT'!$IM$10</f>
        <v>9728.4118000000017</v>
      </c>
      <c r="J26" s="458">
        <f>'ANALYSE - ERP =&gt; SEGMENT'!$BC$10*'ANALYSE - ERP =&gt; SEGMENT'!$IN$10</f>
        <v>22945.978599999999</v>
      </c>
      <c r="K26" s="458">
        <f>'ANALYSE - ERP =&gt; SEGMENT'!$BC$10*'ANALYSE - ERP =&gt; SEGMENT'!$IO$10</f>
        <v>10434.145</v>
      </c>
      <c r="L26" s="458">
        <f>'ANALYSE - ERP =&gt; SEGMENT'!$BC$10*'ANALYSE - ERP =&gt; SEGMENT'!$IP$10</f>
        <v>967.86460000000011</v>
      </c>
      <c r="N26" s="458">
        <f>'ANALYSE - ERP =&gt; SEGMENT'!$EX$10*'ANALYSE - ERP =&gt; SEGMENT'!$IQ$10</f>
        <v>0</v>
      </c>
      <c r="O26" s="458">
        <f>'ANALYSE - ERP =&gt; SEGMENT'!$EX$10*'ANALYSE - ERP =&gt; SEGMENT'!$IR$10</f>
        <v>936.13254441710501</v>
      </c>
      <c r="P26" s="458">
        <f>'ANALYSE - ERP =&gt; SEGMENT'!$EX$10*'ANALYSE - ERP =&gt; SEGMENT'!$IS$10</f>
        <v>5418.3664063574679</v>
      </c>
      <c r="Q26" s="458">
        <f>'ANALYSE - ERP =&gt; SEGMENT'!$EX$10*'ANALYSE - ERP =&gt; SEGMENT'!$IT$10</f>
        <v>4783.0273931947113</v>
      </c>
      <c r="R26" s="458">
        <f>'ANALYSE - ERP =&gt; SEGMENT'!$EX$10*'ANALYSE - ERP =&gt; SEGMENT'!$IU$10</f>
        <v>839.21782726271431</v>
      </c>
      <c r="T26" s="430">
        <f>'ANALYSE - ERP =&gt; SEGMENT'!$Q$10</f>
        <v>1</v>
      </c>
    </row>
    <row r="27" spans="1:20" ht="15" customHeight="1">
      <c r="A27" s="26">
        <v>24</v>
      </c>
      <c r="B27" s="26">
        <v>21</v>
      </c>
      <c r="C27" s="422">
        <f>'ANALYSE - ERP =&gt; SEGMENT'!$A$29</f>
        <v>28</v>
      </c>
      <c r="D27" s="504" t="s">
        <v>2278</v>
      </c>
      <c r="E27" s="504" t="s">
        <v>1576</v>
      </c>
      <c r="F27" s="504" t="s">
        <v>1577</v>
      </c>
      <c r="H27" s="458">
        <f>'ANALYSE - ERP =&gt; SEGMENT'!$BC$29*'ANALYSE - ERP =&gt; SEGMENT'!$IL$29</f>
        <v>1668</v>
      </c>
      <c r="I27" s="458">
        <f>'ANALYSE - ERP =&gt; SEGMENT'!$BC$29*'ANALYSE - ERP =&gt; SEGMENT'!$IM$29</f>
        <v>8840.4</v>
      </c>
      <c r="J27" s="458">
        <f>'ANALYSE - ERP =&gt; SEGMENT'!$BC$29*'ANALYSE - ERP =&gt; SEGMENT'!$IN$29</f>
        <v>5671.2000000000007</v>
      </c>
      <c r="K27" s="458">
        <f>'ANALYSE - ERP =&gt; SEGMENT'!$BC$29*'ANALYSE - ERP =&gt; SEGMENT'!$IO$29</f>
        <v>500.4</v>
      </c>
      <c r="L27" s="458">
        <f>'ANALYSE - ERP =&gt; SEGMENT'!$BC$29*'ANALYSE - ERP =&gt; SEGMENT'!$IP$29</f>
        <v>0</v>
      </c>
      <c r="N27" s="458">
        <f>'ANALYSE - ERP =&gt; SEGMENT'!$EX$29*'ANALYSE - ERP =&gt; SEGMENT'!$IQ$29</f>
        <v>433.65067588221433</v>
      </c>
      <c r="O27" s="458">
        <f>'ANALYSE - ERP =&gt; SEGMENT'!$EX$29*'ANALYSE - ERP =&gt; SEGMENT'!$IR$29</f>
        <v>2642.8340474016431</v>
      </c>
      <c r="P27" s="458">
        <f>'ANALYSE - ERP =&gt; SEGMENT'!$EX$29*'ANALYSE - ERP =&gt; SEGMENT'!$IS$29</f>
        <v>1845.9944542035005</v>
      </c>
      <c r="Q27" s="458">
        <f>'ANALYSE - ERP =&gt; SEGMENT'!$EX$29*'ANALYSE - ERP =&gt; SEGMENT'!$IT$29</f>
        <v>239.88083982492861</v>
      </c>
      <c r="R27" s="458">
        <f>'ANALYSE - ERP =&gt; SEGMENT'!$EX$29*'ANALYSE - ERP =&gt; SEGMENT'!$IU$29</f>
        <v>18.651641973428571</v>
      </c>
      <c r="T27" s="430">
        <f>'ANALYSE - ERP =&gt; SEGMENT'!$Q$29</f>
        <v>1</v>
      </c>
    </row>
    <row r="28" spans="1:20" ht="15" customHeight="1">
      <c r="A28" s="26">
        <v>25</v>
      </c>
      <c r="B28" s="26">
        <v>25</v>
      </c>
      <c r="C28" s="422">
        <f>'ANALYSE - ERP =&gt; SEGMENT'!$A$17</f>
        <v>11</v>
      </c>
      <c r="D28" s="500" t="s">
        <v>3662</v>
      </c>
      <c r="E28" s="500" t="s">
        <v>1240</v>
      </c>
      <c r="F28" s="500" t="s">
        <v>8001</v>
      </c>
      <c r="H28" s="458">
        <f>'ANALYSE - ERP =&gt; SEGMENT'!$BC$17*'ANALYSE - ERP =&gt; SEGMENT'!$IL$17</f>
        <v>0</v>
      </c>
      <c r="I28" s="458">
        <f>'ANALYSE - ERP =&gt; SEGMENT'!$BC$17*'ANALYSE - ERP =&gt; SEGMENT'!$IM$17</f>
        <v>1733.6396</v>
      </c>
      <c r="J28" s="458">
        <f>'ANALYSE - ERP =&gt; SEGMENT'!$BC$17*'ANALYSE - ERP =&gt; SEGMENT'!$IN$17</f>
        <v>7250.1100000000006</v>
      </c>
      <c r="K28" s="458">
        <f>'ANALYSE - ERP =&gt; SEGMENT'!$BC$17*'ANALYSE - ERP =&gt; SEGMENT'!$IO$17</f>
        <v>5645.1052</v>
      </c>
      <c r="L28" s="458">
        <f>'ANALYSE - ERP =&gt; SEGMENT'!$BC$17*'ANALYSE - ERP =&gt; SEGMENT'!$IP$17</f>
        <v>855.14519999999993</v>
      </c>
      <c r="N28" s="458">
        <f>'ANALYSE - ERP =&gt; SEGMENT'!$EX$17*'ANALYSE - ERP =&gt; SEGMENT'!$IQ$17</f>
        <v>0</v>
      </c>
      <c r="O28" s="458">
        <f>'ANALYSE - ERP =&gt; SEGMENT'!$EX$17*'ANALYSE - ERP =&gt; SEGMENT'!$IR$17</f>
        <v>248.1401595875144</v>
      </c>
      <c r="P28" s="458">
        <f>'ANALYSE - ERP =&gt; SEGMENT'!$EX$17*'ANALYSE - ERP =&gt; SEGMENT'!$IS$17</f>
        <v>2339.0708388572825</v>
      </c>
      <c r="Q28" s="458">
        <f>'ANALYSE - ERP =&gt; SEGMENT'!$EX$17*'ANALYSE - ERP =&gt; SEGMENT'!$IT$17</f>
        <v>2973.9012920250893</v>
      </c>
      <c r="R28" s="458">
        <f>'ANALYSE - ERP =&gt; SEGMENT'!$EX$17*'ANALYSE - ERP =&gt; SEGMENT'!$IU$17</f>
        <v>755.58314339729372</v>
      </c>
      <c r="T28" s="430">
        <f>'ANALYSE - ERP =&gt; SEGMENT'!$Q$17</f>
        <v>1</v>
      </c>
    </row>
    <row r="29" spans="1:20" ht="15" customHeight="1">
      <c r="A29" s="26">
        <v>26</v>
      </c>
      <c r="B29" s="26">
        <v>26</v>
      </c>
      <c r="C29" s="422">
        <f>'ANALYSE - ERP =&gt; SEGMENT'!$A$33</f>
        <v>33</v>
      </c>
      <c r="D29" s="508" t="s">
        <v>2285</v>
      </c>
      <c r="E29" s="508" t="s">
        <v>7336</v>
      </c>
      <c r="F29" s="508" t="s">
        <v>7337</v>
      </c>
      <c r="H29" s="458">
        <f>'ANALYSE - ERP =&gt; SEGMENT'!$BC$33*'ANALYSE - ERP =&gt; SEGMENT'!$IL$33</f>
        <v>0</v>
      </c>
      <c r="I29" s="458">
        <f>'ANALYSE - ERP =&gt; SEGMENT'!$BC$33*'ANALYSE - ERP =&gt; SEGMENT'!$IM$33</f>
        <v>0</v>
      </c>
      <c r="J29" s="458">
        <f>'ANALYSE - ERP =&gt; SEGMENT'!$BC$33*'ANALYSE - ERP =&gt; SEGMENT'!$IN$33</f>
        <v>0</v>
      </c>
      <c r="K29" s="458">
        <f>'ANALYSE - ERP =&gt; SEGMENT'!$BC$33*'ANALYSE - ERP =&gt; SEGMENT'!$IO$33</f>
        <v>0</v>
      </c>
      <c r="L29" s="458">
        <f>'ANALYSE - ERP =&gt; SEGMENT'!$BC$33*'ANALYSE - ERP =&gt; SEGMENT'!$IP$33</f>
        <v>0</v>
      </c>
      <c r="N29" s="458">
        <f>'ANALYSE - ERP =&gt; SEGMENT'!$EX$33*'ANALYSE - ERP =&gt; SEGMENT'!$IQ$33</f>
        <v>0</v>
      </c>
      <c r="O29" s="458">
        <f>'ANALYSE - ERP =&gt; SEGMENT'!$EX$33*'ANALYSE - ERP =&gt; SEGMENT'!$IR$33</f>
        <v>0</v>
      </c>
      <c r="P29" s="458">
        <f>'ANALYSE - ERP =&gt; SEGMENT'!$EX$33*'ANALYSE - ERP =&gt; SEGMENT'!$IS$33</f>
        <v>0</v>
      </c>
      <c r="Q29" s="458">
        <f>'ANALYSE - ERP =&gt; SEGMENT'!$EX$33*'ANALYSE - ERP =&gt; SEGMENT'!$IT$33</f>
        <v>0</v>
      </c>
      <c r="R29" s="458">
        <f>'ANALYSE - ERP =&gt; SEGMENT'!$EX$33*'ANALYSE - ERP =&gt; SEGMENT'!$IU$33</f>
        <v>0</v>
      </c>
      <c r="T29" s="430">
        <f>'ANALYSE - ERP =&gt; SEGMENT'!$Q$33</f>
        <v>0</v>
      </c>
    </row>
    <row r="30" spans="1:20" ht="15" customHeight="1">
      <c r="A30" s="26">
        <v>27</v>
      </c>
      <c r="B30" s="26">
        <v>27</v>
      </c>
      <c r="C30" s="422">
        <f>'ANALYSE - ERP =&gt; SEGMENT'!$A$35</f>
        <v>36</v>
      </c>
      <c r="D30" s="510" t="s">
        <v>4908</v>
      </c>
      <c r="E30" s="510" t="s">
        <v>1985</v>
      </c>
      <c r="F30" s="510" t="s">
        <v>8002</v>
      </c>
      <c r="H30" s="458">
        <f>'ANALYSE - ERP =&gt; SEGMENT'!$BC$35*'ANALYSE - ERP =&gt; SEGMENT'!$IL$35</f>
        <v>295.15199999999999</v>
      </c>
      <c r="I30" s="458">
        <f>'ANALYSE - ERP =&gt; SEGMENT'!$BC$35*'ANALYSE - ERP =&gt; SEGMENT'!$IM$35</f>
        <v>3269.3039999999992</v>
      </c>
      <c r="J30" s="458">
        <f>'ANALYSE - ERP =&gt; SEGMENT'!$BC$35*'ANALYSE - ERP =&gt; SEGMENT'!$IN$35</f>
        <v>3234.6639999999998</v>
      </c>
      <c r="K30" s="458">
        <f>'ANALYSE - ERP =&gt; SEGMENT'!$BC$35*'ANALYSE - ERP =&gt; SEGMENT'!$IO$35</f>
        <v>520.20000000000005</v>
      </c>
      <c r="L30" s="458">
        <f>'ANALYSE - ERP =&gt; SEGMENT'!$BC$35*'ANALYSE - ERP =&gt; SEGMENT'!$IP$35</f>
        <v>8.68</v>
      </c>
      <c r="N30" s="458">
        <f>'ANALYSE - ERP =&gt; SEGMENT'!$EX$35*'ANALYSE - ERP =&gt; SEGMENT'!$IQ$35</f>
        <v>56.371135911602735</v>
      </c>
      <c r="O30" s="458">
        <f>'ANALYSE - ERP =&gt; SEGMENT'!$EX$35*'ANALYSE - ERP =&gt; SEGMENT'!$IR$35</f>
        <v>1094.2586298126012</v>
      </c>
      <c r="P30" s="458">
        <f>'ANALYSE - ERP =&gt; SEGMENT'!$EX$35*'ANALYSE - ERP =&gt; SEGMENT'!$IS$35</f>
        <v>1870.840438677845</v>
      </c>
      <c r="Q30" s="458">
        <f>'ANALYSE - ERP =&gt; SEGMENT'!$EX$35*'ANALYSE - ERP =&gt; SEGMENT'!$IT$35</f>
        <v>463.88056325005789</v>
      </c>
      <c r="R30" s="458">
        <f>'ANALYSE - ERP =&gt; SEGMENT'!$EX$35*'ANALYSE - ERP =&gt; SEGMENT'!$IU$35</f>
        <v>15.015401890519593</v>
      </c>
      <c r="T30" s="430">
        <f>'ANALYSE - ERP =&gt; SEGMENT'!$Q$35</f>
        <v>1</v>
      </c>
    </row>
    <row r="31" spans="1:20" ht="15" customHeight="1">
      <c r="A31" s="26">
        <v>28</v>
      </c>
      <c r="B31" s="26">
        <v>29</v>
      </c>
      <c r="C31" s="422">
        <f>'ANALYSE - ERP =&gt; SEGMENT'!$A$38</f>
        <v>39</v>
      </c>
      <c r="D31" s="502" t="s">
        <v>2163</v>
      </c>
      <c r="E31" s="502" t="s">
        <v>2163</v>
      </c>
      <c r="F31" s="502" t="s">
        <v>2164</v>
      </c>
      <c r="H31" s="458">
        <f>'ANALYSE - ERP =&gt; SEGMENT'!$BC$38*'ANALYSE - ERP =&gt; SEGMENT'!$IL$38</f>
        <v>4294.0439999999999</v>
      </c>
      <c r="I31" s="458">
        <f>'ANALYSE - ERP =&gt; SEGMENT'!$BC$38*'ANALYSE - ERP =&gt; SEGMENT'!$IM$38</f>
        <v>9491.9120000000003</v>
      </c>
      <c r="J31" s="458">
        <f>'ANALYSE - ERP =&gt; SEGMENT'!$BC$38*'ANALYSE - ERP =&gt; SEGMENT'!$IN$38</f>
        <v>1894.0440000000001</v>
      </c>
      <c r="K31" s="458">
        <f>'ANALYSE - ERP =&gt; SEGMENT'!$BC$38*'ANALYSE - ERP =&gt; SEGMENT'!$IO$38</f>
        <v>0</v>
      </c>
      <c r="L31" s="458">
        <f>'ANALYSE - ERP =&gt; SEGMENT'!$BC$38*'ANALYSE - ERP =&gt; SEGMENT'!$IP$38</f>
        <v>0</v>
      </c>
      <c r="N31" s="458">
        <f>'ANALYSE - ERP =&gt; SEGMENT'!$EX$38*'ANALYSE - ERP =&gt; SEGMENT'!$IQ$38</f>
        <v>1976.1469232596667</v>
      </c>
      <c r="O31" s="458">
        <f>'ANALYSE - ERP =&gt; SEGMENT'!$EX$38*'ANALYSE - ERP =&gt; SEGMENT'!$IR$38</f>
        <v>4598.7345198344965</v>
      </c>
      <c r="P31" s="458">
        <f>'ANALYSE - ERP =&gt; SEGMENT'!$EX$38*'ANALYSE - ERP =&gt; SEGMENT'!$IS$38</f>
        <v>1188.5640218159579</v>
      </c>
      <c r="Q31" s="458">
        <f>'ANALYSE - ERP =&gt; SEGMENT'!$EX$38*'ANALYSE - ERP =&gt; SEGMENT'!$IT$38</f>
        <v>155.38905101760744</v>
      </c>
      <c r="R31" s="458">
        <f>'ANALYSE - ERP =&gt; SEGMENT'!$EX$38*'ANALYSE - ERP =&gt; SEGMENT'!$IU$38</f>
        <v>34.698525955388064</v>
      </c>
      <c r="T31" s="430">
        <f>'ANALYSE - ERP =&gt; SEGMENT'!$Q$38</f>
        <v>1</v>
      </c>
    </row>
    <row r="32" spans="1:20" ht="15" customHeight="1">
      <c r="A32" s="26">
        <v>29</v>
      </c>
      <c r="B32" s="26">
        <v>28</v>
      </c>
      <c r="C32" s="422">
        <f>'ANALYSE - ERP =&gt; SEGMENT'!$A$37</f>
        <v>38</v>
      </c>
      <c r="D32" s="510" t="s">
        <v>4908</v>
      </c>
      <c r="E32" s="510" t="s">
        <v>2027</v>
      </c>
      <c r="F32" s="510" t="s">
        <v>8003</v>
      </c>
      <c r="H32" s="458">
        <f>'ANALYSE - ERP =&gt; SEGMENT'!$BC$37*'ANALYSE - ERP =&gt; SEGMENT'!$IL$37</f>
        <v>2.4600000000000004</v>
      </c>
      <c r="I32" s="458">
        <f>'ANALYSE - ERP =&gt; SEGMENT'!$BC$37*'ANALYSE - ERP =&gt; SEGMENT'!$IM$37</f>
        <v>1647.1048000000001</v>
      </c>
      <c r="J32" s="458">
        <f>'ANALYSE - ERP =&gt; SEGMENT'!$BC$37*'ANALYSE - ERP =&gt; SEGMENT'!$IN$37</f>
        <v>3846.3639000000003</v>
      </c>
      <c r="K32" s="458">
        <f>'ANALYSE - ERP =&gt; SEGMENT'!$BC$37*'ANALYSE - ERP =&gt; SEGMENT'!$IO$37</f>
        <v>1368.1564000000001</v>
      </c>
      <c r="L32" s="458">
        <f>'ANALYSE - ERP =&gt; SEGMENT'!$BC$37*'ANALYSE - ERP =&gt; SEGMENT'!$IP$37</f>
        <v>56.91490000000001</v>
      </c>
      <c r="N32" s="458">
        <f>'ANALYSE - ERP =&gt; SEGMENT'!$EX$37*'ANALYSE - ERP =&gt; SEGMENT'!$IQ$37</f>
        <v>0</v>
      </c>
      <c r="O32" s="458">
        <f>'ANALYSE - ERP =&gt; SEGMENT'!$EX$37*'ANALYSE - ERP =&gt; SEGMENT'!$IR$37</f>
        <v>376.84508511417761</v>
      </c>
      <c r="P32" s="458">
        <f>'ANALYSE - ERP =&gt; SEGMENT'!$EX$37*'ANALYSE - ERP =&gt; SEGMENT'!$IS$37</f>
        <v>1505.6388446880846</v>
      </c>
      <c r="Q32" s="458">
        <f>'ANALYSE - ERP =&gt; SEGMENT'!$EX$37*'ANALYSE - ERP =&gt; SEGMENT'!$IT$37</f>
        <v>831.85188928375419</v>
      </c>
      <c r="R32" s="458">
        <f>'ANALYSE - ERP =&gt; SEGMENT'!$EX$37*'ANALYSE - ERP =&gt; SEGMENT'!$IU$37</f>
        <v>58.917202272957795</v>
      </c>
      <c r="T32" s="430">
        <f>'ANALYSE - ERP =&gt; SEGMENT'!$Q$37</f>
        <v>1</v>
      </c>
    </row>
    <row r="33" spans="1:20" ht="15" customHeight="1">
      <c r="A33" s="26">
        <v>30</v>
      </c>
      <c r="B33" s="26">
        <v>30</v>
      </c>
      <c r="C33" s="422">
        <f>'ANALYSE - ERP =&gt; SEGMENT'!$A$34</f>
        <v>35</v>
      </c>
      <c r="D33" s="510" t="s">
        <v>4908</v>
      </c>
      <c r="E33" s="510" t="s">
        <v>1950</v>
      </c>
      <c r="F33" s="510" t="s">
        <v>8005</v>
      </c>
      <c r="H33" s="458">
        <f>'ANALYSE - ERP =&gt; SEGMENT'!$BC$34*'ANALYSE - ERP =&gt; SEGMENT'!$IL$34</f>
        <v>178.8218</v>
      </c>
      <c r="I33" s="458">
        <f>'ANALYSE - ERP =&gt; SEGMENT'!$BC$34*'ANALYSE - ERP =&gt; SEGMENT'!$IM$34</f>
        <v>1386.7703999999999</v>
      </c>
      <c r="J33" s="458">
        <f>'ANALYSE - ERP =&gt; SEGMENT'!$BC$34*'ANALYSE - ERP =&gt; SEGMENT'!$IN$34</f>
        <v>816.40779999999995</v>
      </c>
      <c r="K33" s="458">
        <f>'ANALYSE - ERP =&gt; SEGMENT'!$BC$34*'ANALYSE - ERP =&gt; SEGMENT'!$IO$34</f>
        <v>0</v>
      </c>
      <c r="L33" s="458">
        <f>'ANALYSE - ERP =&gt; SEGMENT'!$BC$34*'ANALYSE - ERP =&gt; SEGMENT'!$IP$34</f>
        <v>0</v>
      </c>
      <c r="N33" s="458">
        <f>'ANALYSE - ERP =&gt; SEGMENT'!$EX$34*'ANALYSE - ERP =&gt; SEGMENT'!$IQ$34</f>
        <v>48.353264943940808</v>
      </c>
      <c r="O33" s="458">
        <f>'ANALYSE - ERP =&gt; SEGMENT'!$EX$34*'ANALYSE - ERP =&gt; SEGMENT'!$IR$34</f>
        <v>518.12223386407436</v>
      </c>
      <c r="P33" s="458">
        <f>'ANALYSE - ERP =&gt; SEGMENT'!$EX$34*'ANALYSE - ERP =&gt; SEGMENT'!$IS$34</f>
        <v>487.97688126437617</v>
      </c>
      <c r="Q33" s="458">
        <f>'ANALYSE - ERP =&gt; SEGMENT'!$EX$34*'ANALYSE - ERP =&gt; SEGMENT'!$IT$34</f>
        <v>0.43216834538639459</v>
      </c>
      <c r="R33" s="458">
        <f>'ANALYSE - ERP =&gt; SEGMENT'!$EX$34*'ANALYSE - ERP =&gt; SEGMENT'!$IU$34</f>
        <v>0</v>
      </c>
      <c r="T33" s="430">
        <f>'ANALYSE - ERP =&gt; SEGMENT'!$Q$34</f>
        <v>1</v>
      </c>
    </row>
    <row r="34" spans="1:20" ht="15" customHeight="1">
      <c r="A34" s="26">
        <v>31</v>
      </c>
      <c r="B34" s="26">
        <v>31</v>
      </c>
      <c r="C34" s="422">
        <f>'ANALYSE - ERP =&gt; SEGMENT'!$A$25</f>
        <v>22</v>
      </c>
      <c r="D34" s="506" t="s">
        <v>7117</v>
      </c>
      <c r="E34" s="506" t="s">
        <v>1487</v>
      </c>
      <c r="F34" s="506" t="s">
        <v>8004</v>
      </c>
      <c r="H34" s="458">
        <f>'ANALYSE - ERP =&gt; SEGMENT'!$BC$25*'ANALYSE - ERP =&gt; SEGMENT'!$IL$25</f>
        <v>223.92</v>
      </c>
      <c r="I34" s="458">
        <f>'ANALYSE - ERP =&gt; SEGMENT'!$BC$25*'ANALYSE - ERP =&gt; SEGMENT'!$IM$25</f>
        <v>778.19999999999993</v>
      </c>
      <c r="J34" s="458">
        <f>'ANALYSE - ERP =&gt; SEGMENT'!$BC$25*'ANALYSE - ERP =&gt; SEGMENT'!$IN$25</f>
        <v>758.68</v>
      </c>
      <c r="K34" s="458">
        <f>'ANALYSE - ERP =&gt; SEGMENT'!$BC$25*'ANALYSE - ERP =&gt; SEGMENT'!$IO$25</f>
        <v>1079.2</v>
      </c>
      <c r="L34" s="458">
        <f>'ANALYSE - ERP =&gt; SEGMENT'!$BC$25*'ANALYSE - ERP =&gt; SEGMENT'!$IP$25</f>
        <v>360</v>
      </c>
      <c r="N34" s="458">
        <f>'ANALYSE - ERP =&gt; SEGMENT'!$EX$25*'ANALYSE - ERP =&gt; SEGMENT'!$IQ$25</f>
        <v>54.333408003338036</v>
      </c>
      <c r="O34" s="458">
        <f>'ANALYSE - ERP =&gt; SEGMENT'!$EX$25*'ANALYSE - ERP =&gt; SEGMENT'!$IR$25</f>
        <v>296.0665421049917</v>
      </c>
      <c r="P34" s="458">
        <f>'ANALYSE - ERP =&gt; SEGMENT'!$EX$25*'ANALYSE - ERP =&gt; SEGMENT'!$IS$25</f>
        <v>289.37416708907131</v>
      </c>
      <c r="Q34" s="458">
        <f>'ANALYSE - ERP =&gt; SEGMENT'!$EX$25*'ANALYSE - ERP =&gt; SEGMENT'!$IT$25</f>
        <v>448.99605883438869</v>
      </c>
      <c r="R34" s="458">
        <f>'ANALYSE - ERP =&gt; SEGMENT'!$EX$25*'ANALYSE - ERP =&gt; SEGMENT'!$IU$25</f>
        <v>202.50588978639212</v>
      </c>
      <c r="T34" s="430">
        <f>'ANALYSE - ERP =&gt; SEGMENT'!$Q$25</f>
        <v>1</v>
      </c>
    </row>
  </sheetData>
  <pageMargins left="3.937007874015748E-2" right="3.937007874015748E-2" top="7.874015748031496E-2" bottom="7.874015748031496E-2" header="0.11811023622047249" footer="0.11811023622047249"/>
  <pageSetup paperSize="8" scale="86" fitToHeight="2"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5"/>
    <pageSetUpPr fitToPage="1"/>
  </sheetPr>
  <dimension ref="A1:BZ34"/>
  <sheetViews>
    <sheetView zoomScale="85" zoomScaleNormal="85" workbookViewId="0">
      <selection activeCell="F21" sqref="F21"/>
    </sheetView>
  </sheetViews>
  <sheetFormatPr baseColWidth="10" defaultColWidth="9.140625" defaultRowHeight="15"/>
  <cols>
    <col min="1" max="2" width="9" style="934" customWidth="1"/>
    <col min="3" max="3" width="6" style="934" customWidth="1"/>
    <col min="4" max="4" width="30.5703125" style="934" customWidth="1"/>
    <col min="5" max="5" width="27.7109375" style="43" customWidth="1"/>
    <col min="6" max="6" width="42" style="43" customWidth="1"/>
    <col min="7" max="7" width="1.7109375" style="933" customWidth="1"/>
    <col min="8" max="8" width="8.7109375" style="43" customWidth="1"/>
    <col min="9" max="12" width="8.7109375" style="934" customWidth="1"/>
    <col min="13" max="13" width="1.7109375" style="933" customWidth="1"/>
    <col min="14" max="18" width="8.710937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7975</v>
      </c>
      <c r="F1" s="479"/>
      <c r="H1" s="474"/>
      <c r="I1" s="474"/>
      <c r="J1" s="475" t="s">
        <v>7968</v>
      </c>
      <c r="K1" s="474"/>
      <c r="L1" s="474"/>
      <c r="N1" s="452"/>
      <c r="O1" s="452"/>
      <c r="P1" s="476" t="s">
        <v>7969</v>
      </c>
      <c r="Q1" s="452"/>
      <c r="R1" s="452"/>
      <c r="T1" s="452"/>
    </row>
    <row r="2" spans="1:20"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405" t="s">
        <v>2086</v>
      </c>
      <c r="E3" s="405" t="s">
        <v>6728</v>
      </c>
      <c r="F3" s="405" t="s">
        <v>6729</v>
      </c>
      <c r="H3" s="793">
        <f>'ANALYSE - ERP =&gt; SEGMENT'!IV6</f>
        <v>9.5286530194209976E-2</v>
      </c>
      <c r="I3" s="793">
        <f>'ANALYSE - ERP =&gt; SEGMENT'!IW6</f>
        <v>0.42060599046323105</v>
      </c>
      <c r="J3" s="793">
        <f>'ANALYSE - ERP =&gt; SEGMENT'!IX6</f>
        <v>0.35460033730351115</v>
      </c>
      <c r="K3" s="793">
        <f>'ANALYSE - ERP =&gt; SEGMENT'!IY6</f>
        <v>0.11448185106598295</v>
      </c>
      <c r="L3" s="793">
        <f>'ANALYSE - ERP =&gt; SEGMENT'!IZ6</f>
        <v>6.6687639236748513E-3</v>
      </c>
      <c r="N3" s="793">
        <f>'ANALYSE - ERP =&gt; SEGMENT'!JA6</f>
        <v>5.9924067420102159E-2</v>
      </c>
      <c r="O3" s="793">
        <f>'ANALYSE - ERP =&gt; SEGMENT'!JB6</f>
        <v>0.37600591830629732</v>
      </c>
      <c r="P3" s="793">
        <f>'ANALYSE - ERP =&gt; SEGMENT'!JC6</f>
        <v>0.38692802721512082</v>
      </c>
      <c r="Q3" s="793">
        <f>'ANALYSE - ERP =&gt; SEGMENT'!JD6</f>
        <v>0.15370769532392864</v>
      </c>
      <c r="R3" s="793">
        <f>'ANALYSE - ERP =&gt; SEGMENT'!JE6</f>
        <v>1.6942185076512566E-2</v>
      </c>
      <c r="T3" s="428">
        <f>SUM('ANALYSE - ERP =&gt; SEGMENT'!$Q$8:$Q$110)</f>
        <v>34</v>
      </c>
    </row>
    <row r="4" spans="1:20" ht="15" customHeight="1">
      <c r="A4" s="26">
        <v>1</v>
      </c>
      <c r="B4" s="26">
        <v>1</v>
      </c>
      <c r="C4" s="422">
        <f>'ANALYSE - ERP =&gt; SEGMENT'!$A$19</f>
        <v>15</v>
      </c>
      <c r="D4" s="492" t="s">
        <v>2187</v>
      </c>
      <c r="E4" s="492" t="s">
        <v>3877</v>
      </c>
      <c r="F4" s="492" t="s">
        <v>7981</v>
      </c>
      <c r="H4" s="787">
        <f>'ANALYSE - ERP =&gt; SEGMENT'!$IV$19</f>
        <v>0</v>
      </c>
      <c r="I4" s="787">
        <f>'ANALYSE - ERP =&gt; SEGMENT'!$IW$19</f>
        <v>0</v>
      </c>
      <c r="J4" s="787">
        <f>'ANALYSE - ERP =&gt; SEGMENT'!$IX$19</f>
        <v>0</v>
      </c>
      <c r="K4" s="787">
        <f>'ANALYSE - ERP =&gt; SEGMENT'!$IY$19</f>
        <v>0</v>
      </c>
      <c r="L4" s="787">
        <f>'ANALYSE - ERP =&gt; SEGMENT'!$IZ$19</f>
        <v>0</v>
      </c>
      <c r="N4" s="787">
        <f>'ANALYSE - ERP =&gt; SEGMENT'!$JA$19</f>
        <v>0</v>
      </c>
      <c r="O4" s="787">
        <f>'ANALYSE - ERP =&gt; SEGMENT'!$JB$19</f>
        <v>0</v>
      </c>
      <c r="P4" s="787">
        <f>'ANALYSE - ERP =&gt; SEGMENT'!$JC$19</f>
        <v>0</v>
      </c>
      <c r="Q4" s="787">
        <f>'ANALYSE - ERP =&gt; SEGMENT'!$JD$19</f>
        <v>0</v>
      </c>
      <c r="R4" s="787">
        <f>'ANALYSE - ERP =&gt; SEGMENT'!$JE$19</f>
        <v>0</v>
      </c>
      <c r="T4" s="430">
        <f>'ANALYSE - ERP =&gt; SEGMENT'!$Q$19</f>
        <v>1</v>
      </c>
    </row>
    <row r="5" spans="1:20" ht="15" customHeight="1">
      <c r="A5" s="26">
        <v>2</v>
      </c>
      <c r="B5" s="26">
        <v>2</v>
      </c>
      <c r="C5" s="422">
        <f>'ANALYSE - ERP =&gt; SEGMENT'!$A$30</f>
        <v>29</v>
      </c>
      <c r="D5" s="496" t="s">
        <v>1670</v>
      </c>
      <c r="E5" s="496" t="s">
        <v>1671</v>
      </c>
      <c r="F5" s="496" t="s">
        <v>7983</v>
      </c>
      <c r="H5" s="787">
        <f>'ANALYSE - ERP =&gt; SEGMENT'!$IV$30</f>
        <v>0.16376771803844931</v>
      </c>
      <c r="I5" s="787">
        <f>'ANALYSE - ERP =&gt; SEGMENT'!$IW$30</f>
        <v>0.5431500386310959</v>
      </c>
      <c r="J5" s="787">
        <f>'ANALYSE - ERP =&gt; SEGMENT'!$IX$30</f>
        <v>0.24349066036449579</v>
      </c>
      <c r="K5" s="787">
        <f>'ANALYSE - ERP =&gt; SEGMENT'!$IY$30</f>
        <v>4.1957024042176057E-2</v>
      </c>
      <c r="L5" s="787">
        <f>'ANALYSE - ERP =&gt; SEGMENT'!$IZ$30</f>
        <v>7.6345589237831208E-3</v>
      </c>
      <c r="N5" s="787">
        <f>'ANALYSE - ERP =&gt; SEGMENT'!$JA$30</f>
        <v>8.319678556127208E-2</v>
      </c>
      <c r="O5" s="787">
        <f>'ANALYSE - ERP =&gt; SEGMENT'!$JB$30</f>
        <v>0.49947661385992348</v>
      </c>
      <c r="P5" s="787">
        <f>'ANALYSE - ERP =&gt; SEGMENT'!$JC$30</f>
        <v>0.33759472115745864</v>
      </c>
      <c r="Q5" s="787">
        <f>'ANALYSE - ERP =&gt; SEGMENT'!$JD$30</f>
        <v>6.7548522433093366E-2</v>
      </c>
      <c r="R5" s="787">
        <f>'ANALYSE - ERP =&gt; SEGMENT'!$JE$30</f>
        <v>1.2183356988252396E-2</v>
      </c>
      <c r="T5" s="430">
        <f>'ANALYSE - ERP =&gt; SEGMENT'!$Q$30</f>
        <v>1</v>
      </c>
    </row>
    <row r="6" spans="1:20" ht="15" customHeight="1">
      <c r="A6" s="26">
        <v>3</v>
      </c>
      <c r="B6" s="26">
        <v>3</v>
      </c>
      <c r="C6" s="422">
        <f>'ANALYSE - ERP =&gt; SEGMENT'!$A$14</f>
        <v>7</v>
      </c>
      <c r="D6" s="494" t="s">
        <v>2241</v>
      </c>
      <c r="E6" s="494" t="s">
        <v>1032</v>
      </c>
      <c r="F6" s="494" t="s">
        <v>7982</v>
      </c>
      <c r="H6" s="787">
        <f>'ANALYSE - ERP =&gt; SEGMENT'!$IV$14</f>
        <v>0</v>
      </c>
      <c r="I6" s="787">
        <f>'ANALYSE - ERP =&gt; SEGMENT'!$IW$14</f>
        <v>0.1024151197465461</v>
      </c>
      <c r="J6" s="787">
        <f>'ANALYSE - ERP =&gt; SEGMENT'!$IX$14</f>
        <v>0.51057533664173582</v>
      </c>
      <c r="K6" s="787">
        <f>'ANALYSE - ERP =&gt; SEGMENT'!$IY$14</f>
        <v>0.37247690620939722</v>
      </c>
      <c r="L6" s="787">
        <f>'ANALYSE - ERP =&gt; SEGMENT'!$IZ$14</f>
        <v>1.4532637402320844E-2</v>
      </c>
      <c r="N6" s="787">
        <f>'ANALYSE - ERP =&gt; SEGMENT'!$JA$14</f>
        <v>0</v>
      </c>
      <c r="O6" s="787">
        <f>'ANALYSE - ERP =&gt; SEGMENT'!$JB$14</f>
        <v>4.4605921885032436E-2</v>
      </c>
      <c r="P6" s="787">
        <f>'ANALYSE - ERP =&gt; SEGMENT'!$JC$14</f>
        <v>0.43733678392769731</v>
      </c>
      <c r="Q6" s="787">
        <f>'ANALYSE - ERP =&gt; SEGMENT'!$JD$14</f>
        <v>0.47160289690905222</v>
      </c>
      <c r="R6" s="787">
        <f>'ANALYSE - ERP =&gt; SEGMENT'!$JE$14</f>
        <v>4.6454397278217936E-2</v>
      </c>
      <c r="T6" s="430">
        <f>'ANALYSE - ERP =&gt; SEGMENT'!$Q$14</f>
        <v>1</v>
      </c>
    </row>
    <row r="7" spans="1:20" ht="15" customHeight="1">
      <c r="A7" s="26">
        <v>4</v>
      </c>
      <c r="B7" s="26">
        <v>4</v>
      </c>
      <c r="C7" s="422">
        <f>'ANALYSE - ERP =&gt; SEGMENT'!$A$31</f>
        <v>30</v>
      </c>
      <c r="D7" s="496" t="s">
        <v>1670</v>
      </c>
      <c r="E7" s="496" t="s">
        <v>1747</v>
      </c>
      <c r="F7" s="496" t="s">
        <v>7986</v>
      </c>
      <c r="H7" s="787">
        <f>'ANALYSE - ERP =&gt; SEGMENT'!$IV$31</f>
        <v>0.14839451781326782</v>
      </c>
      <c r="I7" s="787">
        <f>'ANALYSE - ERP =&gt; SEGMENT'!$IW$31</f>
        <v>0.55041161855036846</v>
      </c>
      <c r="J7" s="787">
        <f>'ANALYSE - ERP =&gt; SEGMENT'!$IX$31</f>
        <v>0.26854129606879601</v>
      </c>
      <c r="K7" s="787">
        <f>'ANALYSE - ERP =&gt; SEGMENT'!$IY$31</f>
        <v>3.2652567567567563E-2</v>
      </c>
      <c r="L7" s="787">
        <f>'ANALYSE - ERP =&gt; SEGMENT'!$IZ$31</f>
        <v>0</v>
      </c>
      <c r="N7" s="787">
        <f>'ANALYSE - ERP =&gt; SEGMENT'!$JA$31</f>
        <v>0.11561467892497235</v>
      </c>
      <c r="O7" s="787">
        <f>'ANALYSE - ERP =&gt; SEGMENT'!$JB$31</f>
        <v>0.52330234092890071</v>
      </c>
      <c r="P7" s="787">
        <f>'ANALYSE - ERP =&gt; SEGMENT'!$JC$31</f>
        <v>0.30713403450779181</v>
      </c>
      <c r="Q7" s="787">
        <f>'ANALYSE - ERP =&gt; SEGMENT'!$JD$31</f>
        <v>5.0377745569905021E-2</v>
      </c>
      <c r="R7" s="787">
        <f>'ANALYSE - ERP =&gt; SEGMENT'!$JE$31</f>
        <v>3.5712000684302316E-3</v>
      </c>
      <c r="T7" s="430">
        <f>'ANALYSE - ERP =&gt; SEGMENT'!$Q$31</f>
        <v>1</v>
      </c>
    </row>
    <row r="8" spans="1:20" ht="15" customHeight="1">
      <c r="A8" s="26">
        <v>5</v>
      </c>
      <c r="B8" s="26">
        <v>6</v>
      </c>
      <c r="C8" s="422">
        <f>'ANALYSE - ERP =&gt; SEGMENT'!$A$13</f>
        <v>6</v>
      </c>
      <c r="D8" s="494" t="s">
        <v>2241</v>
      </c>
      <c r="E8" s="494" t="s">
        <v>1053</v>
      </c>
      <c r="F8" s="494" t="s">
        <v>7988</v>
      </c>
      <c r="H8" s="787">
        <f>'ANALYSE - ERP =&gt; SEGMENT'!$IV$13</f>
        <v>6.7577453615971087E-5</v>
      </c>
      <c r="I8" s="787">
        <f>'ANALYSE - ERP =&gt; SEGMENT'!$IW$13</f>
        <v>0.18310242974453897</v>
      </c>
      <c r="J8" s="787">
        <f>'ANALYSE - ERP =&gt; SEGMENT'!$IX$13</f>
        <v>0.55724090021006878</v>
      </c>
      <c r="K8" s="787">
        <f>'ANALYSE - ERP =&gt; SEGMENT'!$IY$13</f>
        <v>0.24269713249012087</v>
      </c>
      <c r="L8" s="787">
        <f>'ANALYSE - ERP =&gt; SEGMENT'!$IZ$13</f>
        <v>1.6891960101655577E-2</v>
      </c>
      <c r="N8" s="787">
        <f>'ANALYSE - ERP =&gt; SEGMENT'!$JA$13</f>
        <v>1.8166497243338876E-5</v>
      </c>
      <c r="O8" s="787">
        <f>'ANALYSE - ERP =&gt; SEGMENT'!$JB$13</f>
        <v>9.2217574149337081E-2</v>
      </c>
      <c r="P8" s="787">
        <f>'ANALYSE - ERP =&gt; SEGMENT'!$JC$13</f>
        <v>0.5094764955795682</v>
      </c>
      <c r="Q8" s="787">
        <f>'ANALYSE - ERP =&gt; SEGMENT'!$JD$13</f>
        <v>0.3562397790422917</v>
      </c>
      <c r="R8" s="787">
        <f>'ANALYSE - ERP =&gt; SEGMENT'!$JE$13</f>
        <v>4.2047984731559795E-2</v>
      </c>
      <c r="T8" s="430">
        <f>'ANALYSE - ERP =&gt; SEGMENT'!$Q$13</f>
        <v>1</v>
      </c>
    </row>
    <row r="9" spans="1:20" ht="15" customHeight="1">
      <c r="A9" s="26">
        <v>6</v>
      </c>
      <c r="B9" s="26">
        <v>7</v>
      </c>
      <c r="C9" s="422">
        <f>'ANALYSE - ERP =&gt; SEGMENT'!$A$26</f>
        <v>23</v>
      </c>
      <c r="D9" s="506" t="s">
        <v>7117</v>
      </c>
      <c r="E9" s="506" t="s">
        <v>4268</v>
      </c>
      <c r="F9" s="506" t="s">
        <v>4269</v>
      </c>
      <c r="H9" s="787">
        <f>'ANALYSE - ERP =&gt; SEGMENT'!$IV$26</f>
        <v>0.1031051652892562</v>
      </c>
      <c r="I9" s="787">
        <f>'ANALYSE - ERP =&gt; SEGMENT'!$IW$26</f>
        <v>0.50469400826446287</v>
      </c>
      <c r="J9" s="787">
        <f>'ANALYSE - ERP =&gt; SEGMENT'!$IX$26</f>
        <v>0.34227582644628102</v>
      </c>
      <c r="K9" s="787">
        <f>'ANALYSE - ERP =&gt; SEGMENT'!$IY$26</f>
        <v>4.7551652892561976E-2</v>
      </c>
      <c r="L9" s="787">
        <f>'ANALYSE - ERP =&gt; SEGMENT'!$IZ$26</f>
        <v>2.3733471074380164E-3</v>
      </c>
      <c r="N9" s="787">
        <f>'ANALYSE - ERP =&gt; SEGMENT'!$JA$26</f>
        <v>4.3555337056972156E-2</v>
      </c>
      <c r="O9" s="787">
        <f>'ANALYSE - ERP =&gt; SEGMENT'!$JB$26</f>
        <v>0.39480941000842529</v>
      </c>
      <c r="P9" s="787">
        <f>'ANALYSE - ERP =&gt; SEGMENT'!$JC$26</f>
        <v>0.47153089889425825</v>
      </c>
      <c r="Q9" s="787">
        <f>'ANALYSE - ERP =&gt; SEGMENT'!$JD$26</f>
        <v>8.6544101219240513E-2</v>
      </c>
      <c r="R9" s="787">
        <f>'ANALYSE - ERP =&gt; SEGMENT'!$JE$26</f>
        <v>3.5602528211037972E-3</v>
      </c>
      <c r="T9" s="430">
        <f>'ANALYSE - ERP =&gt; SEGMENT'!$Q$26</f>
        <v>1</v>
      </c>
    </row>
    <row r="10" spans="1:20" ht="15" customHeight="1">
      <c r="A10" s="26">
        <v>7</v>
      </c>
      <c r="B10" s="26">
        <v>5</v>
      </c>
      <c r="C10" s="422">
        <f>'ANALYSE - ERP =&gt; SEGMENT'!$A$9</f>
        <v>2</v>
      </c>
      <c r="D10" s="498" t="s">
        <v>6739</v>
      </c>
      <c r="E10" s="498" t="s">
        <v>2678</v>
      </c>
      <c r="F10" s="498" t="s">
        <v>7984</v>
      </c>
      <c r="H10" s="787">
        <f>'ANALYSE - ERP =&gt; SEGMENT'!$IV$9</f>
        <v>8.5235902748290099E-2</v>
      </c>
      <c r="I10" s="787">
        <f>'ANALYSE - ERP =&gt; SEGMENT'!$IW$9</f>
        <v>0.47442068962319345</v>
      </c>
      <c r="J10" s="787">
        <f>'ANALYSE - ERP =&gt; SEGMENT'!$IX$9</f>
        <v>0.36621651853749565</v>
      </c>
      <c r="K10" s="787">
        <f>'ANALYSE - ERP =&gt; SEGMENT'!$IY$9</f>
        <v>7.0145849183939957E-2</v>
      </c>
      <c r="L10" s="787">
        <f>'ANALYSE - ERP =&gt; SEGMENT'!$IZ$9</f>
        <v>3.981039907080844E-3</v>
      </c>
      <c r="N10" s="787">
        <f>'ANALYSE - ERP =&gt; SEGMENT'!$JA$9</f>
        <v>3.134385108308059E-2</v>
      </c>
      <c r="O10" s="787">
        <f>'ANALYSE - ERP =&gt; SEGMENT'!$JB$9</f>
        <v>0.34249938791456885</v>
      </c>
      <c r="P10" s="787">
        <f>'ANALYSE - ERP =&gt; SEGMENT'!$JC$9</f>
        <v>0.48451712372839828</v>
      </c>
      <c r="Q10" s="787">
        <f>'ANALYSE - ERP =&gt; SEGMENT'!$JD$9</f>
        <v>0.13057171488877636</v>
      </c>
      <c r="R10" s="787">
        <f>'ANALYSE - ERP =&gt; SEGMENT'!$JE$9</f>
        <v>1.1067922385175928E-2</v>
      </c>
      <c r="T10" s="430">
        <f>'ANALYSE - ERP =&gt; SEGMENT'!$Q$9</f>
        <v>1</v>
      </c>
    </row>
    <row r="11" spans="1:20" s="45" customFormat="1" ht="15" customHeight="1">
      <c r="A11" s="26">
        <v>8</v>
      </c>
      <c r="B11" s="26">
        <v>8</v>
      </c>
      <c r="C11" s="422">
        <f>'ANALYSE - ERP =&gt; SEGMENT'!$A$23</f>
        <v>19</v>
      </c>
      <c r="D11" s="502" t="s">
        <v>2264</v>
      </c>
      <c r="E11" s="502" t="s">
        <v>7990</v>
      </c>
      <c r="F11" s="502" t="s">
        <v>7991</v>
      </c>
      <c r="G11" s="685"/>
      <c r="H11" s="787">
        <f>'ANALYSE - ERP =&gt; SEGMENT'!$IV$23</f>
        <v>7.8230499110403598E-2</v>
      </c>
      <c r="I11" s="787">
        <f>'ANALYSE - ERP =&gt; SEGMENT'!$IW$23</f>
        <v>0.47560590879295817</v>
      </c>
      <c r="J11" s="787">
        <f>'ANALYSE - ERP =&gt; SEGMENT'!$IX$23</f>
        <v>0.39061082498361266</v>
      </c>
      <c r="K11" s="787">
        <f>'ANALYSE - ERP =&gt; SEGMENT'!$IY$23</f>
        <v>3.8387864032212761E-2</v>
      </c>
      <c r="L11" s="787">
        <f>'ANALYSE - ERP =&gt; SEGMENT'!$IZ$23</f>
        <v>0</v>
      </c>
      <c r="M11" s="685"/>
      <c r="N11" s="787">
        <f>'ANALYSE - ERP =&gt; SEGMENT'!$JA$23</f>
        <v>3.8275592507027723E-2</v>
      </c>
      <c r="O11" s="787">
        <f>'ANALYSE - ERP =&gt; SEGMENT'!$JB$23</f>
        <v>0.44274289786654336</v>
      </c>
      <c r="P11" s="787">
        <f>'ANALYSE - ERP =&gt; SEGMENT'!$JC$23</f>
        <v>0.45047808611826179</v>
      </c>
      <c r="Q11" s="787">
        <f>'ANALYSE - ERP =&gt; SEGMENT'!$JD$23</f>
        <v>5.051484739095783E-2</v>
      </c>
      <c r="R11" s="787">
        <f>'ANALYSE - ERP =&gt; SEGMENT'!$JE$23</f>
        <v>3.0520684613525692E-3</v>
      </c>
      <c r="S11" s="685"/>
      <c r="T11" s="430">
        <f>'ANALYSE - ERP =&gt; SEGMENT'!$Q$23</f>
        <v>1</v>
      </c>
    </row>
    <row r="12" spans="1:20" ht="15" customHeight="1">
      <c r="A12" s="26">
        <v>9</v>
      </c>
      <c r="B12" s="26">
        <v>9</v>
      </c>
      <c r="C12" s="422">
        <f>'ANALYSE - ERP =&gt; SEGMENT'!$A$16</f>
        <v>10</v>
      </c>
      <c r="D12" s="500" t="s">
        <v>3662</v>
      </c>
      <c r="E12" s="500" t="s">
        <v>1114</v>
      </c>
      <c r="F12" s="500" t="s">
        <v>7985</v>
      </c>
      <c r="H12" s="787">
        <f>'ANALYSE - ERP =&gt; SEGMENT'!$IV$16</f>
        <v>1.7671211014329866E-2</v>
      </c>
      <c r="I12" s="787">
        <f>'ANALYSE - ERP =&gt; SEGMENT'!$IW$16</f>
        <v>0.29330124192188817</v>
      </c>
      <c r="J12" s="787">
        <f>'ANALYSE - ERP =&gt; SEGMENT'!$IX$16</f>
        <v>0.42860067996628265</v>
      </c>
      <c r="K12" s="787">
        <f>'ANALYSE - ERP =&gt; SEGMENT'!$IY$16</f>
        <v>0.10957475133464456</v>
      </c>
      <c r="L12" s="787">
        <f>'ANALYSE - ERP =&gt; SEGMENT'!$IZ$16</f>
        <v>7.0458780556336047E-3</v>
      </c>
      <c r="N12" s="787">
        <f>'ANALYSE - ERP =&gt; SEGMENT'!$JA$16</f>
        <v>7.9431967668329891E-3</v>
      </c>
      <c r="O12" s="787">
        <f>'ANALYSE - ERP =&gt; SEGMENT'!$JB$16</f>
        <v>0.25505391116031689</v>
      </c>
      <c r="P12" s="787">
        <f>'ANALYSE - ERP =&gt; SEGMENT'!$JC$16</f>
        <v>0.42323187333864665</v>
      </c>
      <c r="Q12" s="787">
        <f>'ANALYSE - ERP =&gt; SEGMENT'!$JD$16</f>
        <v>0.15138991985035477</v>
      </c>
      <c r="R12" s="787">
        <f>'ANALYSE - ERP =&gt; SEGMENT'!$JE$16</f>
        <v>2.0166755023314536E-2</v>
      </c>
      <c r="T12" s="430">
        <f>'ANALYSE - ERP =&gt; SEGMENT'!$Q$16</f>
        <v>1</v>
      </c>
    </row>
    <row r="13" spans="1:20" s="45" customFormat="1" ht="15" customHeight="1">
      <c r="A13" s="406">
        <v>10</v>
      </c>
      <c r="B13" s="406">
        <v>12</v>
      </c>
      <c r="C13" s="448">
        <f>'ANALYSE - ERP =&gt; SEGMENT'!$A$24</f>
        <v>21</v>
      </c>
      <c r="D13" s="513" t="s">
        <v>7117</v>
      </c>
      <c r="E13" s="513" t="s">
        <v>1455</v>
      </c>
      <c r="F13" s="513" t="s">
        <v>7994</v>
      </c>
      <c r="G13" s="685"/>
      <c r="H13" s="788">
        <f>'ANALYSE - ERP =&gt; SEGMENT'!$IV$24</f>
        <v>6.4025164980202373E-2</v>
      </c>
      <c r="I13" s="788">
        <f>'ANALYSE - ERP =&gt; SEGMENT'!$IW$24</f>
        <v>0.42082551693796755</v>
      </c>
      <c r="J13" s="788">
        <f>'ANALYSE - ERP =&gt; SEGMENT'!$IX$24</f>
        <v>0.40093202815662121</v>
      </c>
      <c r="K13" s="788">
        <f>'ANALYSE - ERP =&gt; SEGMENT'!$IY$24</f>
        <v>0.10678715354157499</v>
      </c>
      <c r="L13" s="788">
        <f>'ANALYSE - ERP =&gt; SEGMENT'!$IZ$24</f>
        <v>7.4301363836339627E-3</v>
      </c>
      <c r="M13" s="685"/>
      <c r="N13" s="788">
        <f>'ANALYSE - ERP =&gt; SEGMENT'!$JA$24</f>
        <v>4.3428047427613151E-2</v>
      </c>
      <c r="O13" s="788">
        <f>'ANALYSE - ERP =&gt; SEGMENT'!$JB$24</f>
        <v>0.36150183669578395</v>
      </c>
      <c r="P13" s="788">
        <f>'ANALYSE - ERP =&gt; SEGMENT'!$JC$24</f>
        <v>0.43164952383134242</v>
      </c>
      <c r="Q13" s="788">
        <f>'ANALYSE - ERP =&gt; SEGMENT'!$JD$24</f>
        <v>0.1494888759183837</v>
      </c>
      <c r="R13" s="788">
        <f>'ANALYSE - ERP =&gt; SEGMENT'!$JE$24</f>
        <v>1.3931716126876725E-2</v>
      </c>
      <c r="S13" s="685"/>
      <c r="T13" s="450">
        <f>'ANALYSE - ERP =&gt; SEGMENT'!$Q$24</f>
        <v>1</v>
      </c>
    </row>
    <row r="14" spans="1:20" ht="15" customHeight="1">
      <c r="A14" s="26">
        <v>11</v>
      </c>
      <c r="B14" s="26">
        <v>11</v>
      </c>
      <c r="C14" s="422">
        <f>'ANALYSE - ERP =&gt; SEGMENT'!$A$12</f>
        <v>5</v>
      </c>
      <c r="D14" s="498" t="s">
        <v>6739</v>
      </c>
      <c r="E14" s="498" t="s">
        <v>2091</v>
      </c>
      <c r="F14" s="498" t="s">
        <v>2836</v>
      </c>
      <c r="H14" s="787">
        <f>'ANALYSE - ERP =&gt; SEGMENT'!$IV$12</f>
        <v>2.7300000000000001E-2</v>
      </c>
      <c r="I14" s="787">
        <f>'ANALYSE - ERP =&gt; SEGMENT'!$IW$12</f>
        <v>0.35499999999999998</v>
      </c>
      <c r="J14" s="787">
        <f>'ANALYSE - ERP =&gt; SEGMENT'!$IX$12</f>
        <v>0.48770000000000002</v>
      </c>
      <c r="K14" s="787">
        <f>'ANALYSE - ERP =&gt; SEGMENT'!$IY$12</f>
        <v>0.12640000000000001</v>
      </c>
      <c r="L14" s="787">
        <f>'ANALYSE - ERP =&gt; SEGMENT'!$IZ$12</f>
        <v>3.5999999999999999E-3</v>
      </c>
      <c r="N14" s="787">
        <f>'ANALYSE - ERP =&gt; SEGMENT'!$JA$12</f>
        <v>0</v>
      </c>
      <c r="O14" s="787">
        <f>'ANALYSE - ERP =&gt; SEGMENT'!$JB$12</f>
        <v>0.15529999999999999</v>
      </c>
      <c r="P14" s="787">
        <f>'ANALYSE - ERP =&gt; SEGMENT'!$JC$12</f>
        <v>0.53249999999999997</v>
      </c>
      <c r="Q14" s="787">
        <f>'ANALYSE - ERP =&gt; SEGMENT'!$JD$12</f>
        <v>0.2893</v>
      </c>
      <c r="R14" s="787">
        <f>'ANALYSE - ERP =&gt; SEGMENT'!$JE$12</f>
        <v>2.29E-2</v>
      </c>
      <c r="T14" s="430">
        <f>'ANALYSE - ERP =&gt; SEGMENT'!$Q$12</f>
        <v>1</v>
      </c>
    </row>
    <row r="15" spans="1:20" s="45" customFormat="1" ht="15" customHeight="1">
      <c r="A15" s="406">
        <v>12</v>
      </c>
      <c r="B15" s="406">
        <v>10</v>
      </c>
      <c r="C15" s="448">
        <f>'ANALYSE - ERP =&gt; SEGMENT'!$A$11</f>
        <v>4</v>
      </c>
      <c r="D15" s="514" t="s">
        <v>6739</v>
      </c>
      <c r="E15" s="514" t="s">
        <v>991</v>
      </c>
      <c r="F15" s="514" t="s">
        <v>7995</v>
      </c>
      <c r="G15" s="685"/>
      <c r="H15" s="788">
        <f>'ANALYSE - ERP =&gt; SEGMENT'!$IV$11</f>
        <v>0</v>
      </c>
      <c r="I15" s="788">
        <f>'ANALYSE - ERP =&gt; SEGMENT'!$IW$11</f>
        <v>0</v>
      </c>
      <c r="J15" s="788">
        <f>'ANALYSE - ERP =&gt; SEGMENT'!$IX$11</f>
        <v>0</v>
      </c>
      <c r="K15" s="788">
        <f>'ANALYSE - ERP =&gt; SEGMENT'!$IY$11</f>
        <v>0</v>
      </c>
      <c r="L15" s="788">
        <f>'ANALYSE - ERP =&gt; SEGMENT'!$IZ$11</f>
        <v>0</v>
      </c>
      <c r="M15" s="685"/>
      <c r="N15" s="788">
        <f>'ANALYSE - ERP =&gt; SEGMENT'!$JA$11</f>
        <v>0</v>
      </c>
      <c r="O15" s="788">
        <f>'ANALYSE - ERP =&gt; SEGMENT'!$JB$11</f>
        <v>0</v>
      </c>
      <c r="P15" s="788">
        <f>'ANALYSE - ERP =&gt; SEGMENT'!$JC$11</f>
        <v>0</v>
      </c>
      <c r="Q15" s="788">
        <f>'ANALYSE - ERP =&gt; SEGMENT'!$JD$11</f>
        <v>0</v>
      </c>
      <c r="R15" s="788">
        <f>'ANALYSE - ERP =&gt; SEGMENT'!$JE$11</f>
        <v>0</v>
      </c>
      <c r="S15" s="685"/>
      <c r="T15" s="450">
        <f>'ANALYSE - ERP =&gt; SEGMENT'!$Q$11</f>
        <v>0</v>
      </c>
    </row>
    <row r="16" spans="1:20" ht="15" customHeight="1">
      <c r="A16" s="26">
        <v>13</v>
      </c>
      <c r="B16" s="26">
        <v>14</v>
      </c>
      <c r="C16" s="422">
        <f>'ANALYSE - ERP =&gt; SEGMENT'!$A$32</f>
        <v>32</v>
      </c>
      <c r="D16" s="508" t="s">
        <v>2285</v>
      </c>
      <c r="E16" s="508" t="s">
        <v>1793</v>
      </c>
      <c r="F16" s="508" t="s">
        <v>7992</v>
      </c>
      <c r="H16" s="787">
        <f>'ANALYSE - ERP =&gt; SEGMENT'!$IV$32</f>
        <v>4.2646262341325805E-2</v>
      </c>
      <c r="I16" s="787">
        <f>'ANALYSE - ERP =&gt; SEGMENT'!$IW$32</f>
        <v>0.42252931358721202</v>
      </c>
      <c r="J16" s="787">
        <f>'ANALYSE - ERP =&gt; SEGMENT'!$IX$32</f>
        <v>0.41239724964739066</v>
      </c>
      <c r="K16" s="787">
        <f>'ANALYSE - ERP =&gt; SEGMENT'!$IY$32</f>
        <v>0.10638323930418429</v>
      </c>
      <c r="L16" s="787">
        <f>'ANALYSE - ERP =&gt; SEGMENT'!$IZ$32</f>
        <v>1.6043935119887165E-2</v>
      </c>
      <c r="N16" s="787">
        <f>'ANALYSE - ERP =&gt; SEGMENT'!$JA$32</f>
        <v>2.5631012975294531E-2</v>
      </c>
      <c r="O16" s="787">
        <f>'ANALYSE - ERP =&gt; SEGMENT'!$JB$32</f>
        <v>0.39747750277520821</v>
      </c>
      <c r="P16" s="787">
        <f>'ANALYSE - ERP =&gt; SEGMENT'!$JC$32</f>
        <v>0.4109587468652634</v>
      </c>
      <c r="Q16" s="787">
        <f>'ANALYSE - ERP =&gt; SEGMENT'!$JD$32</f>
        <v>0.13423311840067628</v>
      </c>
      <c r="R16" s="787">
        <f>'ANALYSE - ERP =&gt; SEGMENT'!$JE$32</f>
        <v>3.1699618983557762E-2</v>
      </c>
      <c r="T16" s="430">
        <f>'ANALYSE - ERP =&gt; SEGMENT'!$Q$32</f>
        <v>1</v>
      </c>
    </row>
    <row r="17" spans="1:20" ht="15" customHeight="1">
      <c r="A17" s="26">
        <v>14</v>
      </c>
      <c r="B17" s="26">
        <v>13</v>
      </c>
      <c r="C17" s="422">
        <f>'ANALYSE - ERP =&gt; SEGMENT'!$A$10</f>
        <v>3</v>
      </c>
      <c r="D17" s="498" t="s">
        <v>6739</v>
      </c>
      <c r="E17" s="498" t="s">
        <v>1014</v>
      </c>
      <c r="F17" s="498" t="s">
        <v>8000</v>
      </c>
      <c r="H17" s="787">
        <f>'ANALYSE - ERP =&gt; SEGMENT'!$IV$10</f>
        <v>5.440195778525543E-4</v>
      </c>
      <c r="I17" s="787">
        <f>'ANALYSE - ERP =&gt; SEGMENT'!$IW$10</f>
        <v>0.12481911287855613</v>
      </c>
      <c r="J17" s="787">
        <f>'ANALYSE - ERP =&gt; SEGMENT'!$IX$10</f>
        <v>0.52011962067910689</v>
      </c>
      <c r="K17" s="787">
        <f>'ANALYSE - ERP =&gt; SEGMENT'!$IY$10</f>
        <v>0.32521564392780666</v>
      </c>
      <c r="L17" s="787">
        <f>'ANALYSE - ERP =&gt; SEGMENT'!$IZ$10</f>
        <v>2.9301602936677884E-2</v>
      </c>
      <c r="N17" s="787">
        <f>'ANALYSE - ERP =&gt; SEGMENT'!$JA$10</f>
        <v>0</v>
      </c>
      <c r="O17" s="787">
        <f>'ANALYSE - ERP =&gt; SEGMENT'!$JB$10</f>
        <v>2.5504640703692835E-2</v>
      </c>
      <c r="P17" s="787">
        <f>'ANALYSE - ERP =&gt; SEGMENT'!$JC$10</f>
        <v>0.38153207186438981</v>
      </c>
      <c r="Q17" s="787">
        <f>'ANALYSE - ERP =&gt; SEGMENT'!$JD$10</f>
        <v>0.49428475151967782</v>
      </c>
      <c r="R17" s="787">
        <f>'ANALYSE - ERP =&gt; SEGMENT'!$JE$10</f>
        <v>9.8678535912239532E-2</v>
      </c>
      <c r="T17" s="430">
        <f>'ANALYSE - ERP =&gt; SEGMENT'!$Q$10</f>
        <v>1</v>
      </c>
    </row>
    <row r="18" spans="1:20" ht="15" customHeight="1">
      <c r="A18" s="26">
        <v>15</v>
      </c>
      <c r="B18" s="26">
        <v>15</v>
      </c>
      <c r="C18" s="422">
        <f>'ANALYSE - ERP =&gt; SEGMENT'!$A$36</f>
        <v>37</v>
      </c>
      <c r="D18" s="510" t="s">
        <v>4908</v>
      </c>
      <c r="E18" s="510" t="s">
        <v>88</v>
      </c>
      <c r="F18" s="510" t="s">
        <v>7996</v>
      </c>
      <c r="H18" s="787">
        <f>'ANALYSE - ERP =&gt; SEGMENT'!$IV$36</f>
        <v>0.24000989096573211</v>
      </c>
      <c r="I18" s="787">
        <f>'ANALYSE - ERP =&gt; SEGMENT'!$IW$36</f>
        <v>0.65682755711318797</v>
      </c>
      <c r="J18" s="787">
        <f>'ANALYSE - ERP =&gt; SEGMENT'!$IX$36</f>
        <v>0.10242690809968848</v>
      </c>
      <c r="K18" s="787">
        <f>'ANALYSE - ERP =&gt; SEGMENT'!$IY$36</f>
        <v>7.339823468328142E-4</v>
      </c>
      <c r="L18" s="787">
        <f>'ANALYSE - ERP =&gt; SEGMENT'!$IZ$36</f>
        <v>1.6614745586708204E-6</v>
      </c>
      <c r="N18" s="787">
        <f>'ANALYSE - ERP =&gt; SEGMENT'!$JA$36</f>
        <v>0.10181656135194711</v>
      </c>
      <c r="O18" s="787">
        <f>'ANALYSE - ERP =&gt; SEGMENT'!$JB$36</f>
        <v>0.65806123438648056</v>
      </c>
      <c r="P18" s="787">
        <f>'ANALYSE - ERP =&gt; SEGMENT'!$JC$36</f>
        <v>0.23659714915503308</v>
      </c>
      <c r="Q18" s="787">
        <f>'ANALYSE - ERP =&gt; SEGMENT'!$JD$36</f>
        <v>3.4876708302718591E-3</v>
      </c>
      <c r="R18" s="787">
        <f>'ANALYSE - ERP =&gt; SEGMENT'!$JE$36</f>
        <v>3.7384276267450411E-5</v>
      </c>
      <c r="T18" s="430">
        <f>'ANALYSE - ERP =&gt; SEGMENT'!$Q$36</f>
        <v>1</v>
      </c>
    </row>
    <row r="19" spans="1:20" ht="15" customHeight="1">
      <c r="A19" s="26">
        <v>16</v>
      </c>
      <c r="B19" s="26">
        <v>16</v>
      </c>
      <c r="C19" s="422">
        <f>'ANALYSE - ERP =&gt; SEGMENT'!$A$35</f>
        <v>36</v>
      </c>
      <c r="D19" s="510" t="s">
        <v>4908</v>
      </c>
      <c r="E19" s="510" t="s">
        <v>1985</v>
      </c>
      <c r="F19" s="510" t="s">
        <v>8002</v>
      </c>
      <c r="H19" s="787">
        <f>'ANALYSE - ERP =&gt; SEGMENT'!$IV$35</f>
        <v>6.9105189340813472E-2</v>
      </c>
      <c r="I19" s="787">
        <f>'ANALYSE - ERP =&gt; SEGMENT'!$IW$35</f>
        <v>0.56525455820476855</v>
      </c>
      <c r="J19" s="787">
        <f>'ANALYSE - ERP =&gt; SEGMENT'!$IX$35</f>
        <v>0.34736185133239833</v>
      </c>
      <c r="K19" s="787">
        <f>'ANALYSE - ERP =&gt; SEGMENT'!$IY$35</f>
        <v>1.8229312762973352E-2</v>
      </c>
      <c r="L19" s="787">
        <f>'ANALYSE - ERP =&gt; SEGMENT'!$IZ$35</f>
        <v>4.9088359046283307E-5</v>
      </c>
      <c r="N19" s="787">
        <f>'ANALYSE - ERP =&gt; SEGMENT'!$JA$35</f>
        <v>2.8559328785023895E-2</v>
      </c>
      <c r="O19" s="787">
        <f>'ANALYSE - ERP =&gt; SEGMENT'!$JB$35</f>
        <v>0.43388486286587913</v>
      </c>
      <c r="P19" s="787">
        <f>'ANALYSE - ERP =&gt; SEGMENT'!$JC$35</f>
        <v>0.49075758226381422</v>
      </c>
      <c r="Q19" s="787">
        <f>'ANALYSE - ERP =&gt; SEGMENT'!$JD$35</f>
        <v>4.627945264810078E-2</v>
      </c>
      <c r="R19" s="787">
        <f>'ANALYSE - ERP =&gt; SEGMENT'!$JE$35</f>
        <v>5.1877343718187451E-4</v>
      </c>
      <c r="T19" s="430">
        <f>'ANALYSE - ERP =&gt; SEGMENT'!$Q$35</f>
        <v>1</v>
      </c>
    </row>
    <row r="20" spans="1:20" ht="15" customHeight="1">
      <c r="A20" s="26">
        <v>17</v>
      </c>
      <c r="B20" s="26">
        <v>17</v>
      </c>
      <c r="C20" s="422">
        <f>'ANALYSE - ERP =&gt; SEGMENT'!$A$21</f>
        <v>17</v>
      </c>
      <c r="D20" s="492" t="s">
        <v>2187</v>
      </c>
      <c r="E20" s="492" t="s">
        <v>1372</v>
      </c>
      <c r="F20" s="492" t="s">
        <v>7993</v>
      </c>
      <c r="H20" s="787">
        <f>'ANALYSE - ERP =&gt; SEGMENT'!$IV$21</f>
        <v>4.2635431918008788E-3</v>
      </c>
      <c r="I20" s="787">
        <f>'ANALYSE - ERP =&gt; SEGMENT'!$IW$21</f>
        <v>0.16955197657393853</v>
      </c>
      <c r="J20" s="787">
        <f>'ANALYSE - ERP =&gt; SEGMENT'!$IX$21</f>
        <v>0.37404978038067349</v>
      </c>
      <c r="K20" s="787">
        <f>'ANALYSE - ERP =&gt; SEGMENT'!$IY$21</f>
        <v>0.19627525622254757</v>
      </c>
      <c r="L20" s="787">
        <f>'ANALYSE - ERP =&gt; SEGMENT'!$IZ$21</f>
        <v>1.7206442166910689E-2</v>
      </c>
      <c r="N20" s="787">
        <f>'ANALYSE - ERP =&gt; SEGMENT'!$JA$21</f>
        <v>0</v>
      </c>
      <c r="O20" s="787">
        <f>'ANALYSE - ERP =&gt; SEGMENT'!$JB$21</f>
        <v>0.14480873116599444</v>
      </c>
      <c r="P20" s="787">
        <f>'ANALYSE - ERP =&gt; SEGMENT'!$JC$21</f>
        <v>0.39936392742847543</v>
      </c>
      <c r="Q20" s="787">
        <f>'ANALYSE - ERP =&gt; SEGMENT'!$JD$21</f>
        <v>0.21980738997834989</v>
      </c>
      <c r="R20" s="787">
        <f>'ANALYSE - ERP =&gt; SEGMENT'!$JE$21</f>
        <v>2.2169414869061037E-2</v>
      </c>
      <c r="T20" s="430">
        <f>'ANALYSE - ERP =&gt; SEGMENT'!$Q$21</f>
        <v>1</v>
      </c>
    </row>
    <row r="21" spans="1:20" ht="15" customHeight="1">
      <c r="A21" s="26">
        <v>18</v>
      </c>
      <c r="B21" s="26">
        <v>19</v>
      </c>
      <c r="C21" s="422">
        <f>'ANALYSE - ERP =&gt; SEGMENT'!$A$18</f>
        <v>12</v>
      </c>
      <c r="D21" s="500" t="s">
        <v>3662</v>
      </c>
      <c r="E21" s="500" t="s">
        <v>1337</v>
      </c>
      <c r="F21" s="500" t="s">
        <v>7997</v>
      </c>
      <c r="H21" s="787">
        <f>'ANALYSE - ERP =&gt; SEGMENT'!$IV$18</f>
        <v>0.23227042253521127</v>
      </c>
      <c r="I21" s="787">
        <f>'ANALYSE - ERP =&gt; SEGMENT'!$IW$18</f>
        <v>0.36265915492957745</v>
      </c>
      <c r="J21" s="787">
        <f>'ANALYSE - ERP =&gt; SEGMENT'!$IX$18</f>
        <v>2.47887323943662E-2</v>
      </c>
      <c r="K21" s="787">
        <f>'ANALYSE - ERP =&gt; SEGMENT'!$IY$18</f>
        <v>0</v>
      </c>
      <c r="L21" s="787">
        <f>'ANALYSE - ERP =&gt; SEGMENT'!$IZ$18</f>
        <v>0</v>
      </c>
      <c r="N21" s="787">
        <f>'ANALYSE - ERP =&gt; SEGMENT'!$JA$18</f>
        <v>0.13727019049174824</v>
      </c>
      <c r="O21" s="787">
        <f>'ANALYSE - ERP =&gt; SEGMENT'!$JB$18</f>
        <v>0.44227818145382902</v>
      </c>
      <c r="P21" s="787">
        <f>'ANALYSE - ERP =&gt; SEGMENT'!$JC$18</f>
        <v>8.4233980529027322E-2</v>
      </c>
      <c r="Q21" s="787">
        <f>'ANALYSE - ERP =&gt; SEGMENT'!$JD$18</f>
        <v>0</v>
      </c>
      <c r="R21" s="787">
        <f>'ANALYSE - ERP =&gt; SEGMENT'!$JE$18</f>
        <v>0</v>
      </c>
      <c r="T21" s="430">
        <f>'ANALYSE - ERP =&gt; SEGMENT'!$Q$18</f>
        <v>1</v>
      </c>
    </row>
    <row r="22" spans="1:20" ht="15" customHeight="1">
      <c r="A22" s="26">
        <v>19</v>
      </c>
      <c r="B22" s="26">
        <v>20</v>
      </c>
      <c r="C22" s="422">
        <f>'ANALYSE - ERP =&gt; SEGMENT'!$A$25</f>
        <v>22</v>
      </c>
      <c r="D22" s="506" t="s">
        <v>7117</v>
      </c>
      <c r="E22" s="506" t="s">
        <v>1487</v>
      </c>
      <c r="F22" s="506" t="s">
        <v>8004</v>
      </c>
      <c r="H22" s="787">
        <f>'ANALYSE - ERP =&gt; SEGMENT'!$IV$25</f>
        <v>7.9971428571428568E-2</v>
      </c>
      <c r="I22" s="787">
        <f>'ANALYSE - ERP =&gt; SEGMENT'!$IW$25</f>
        <v>0.27792857142857141</v>
      </c>
      <c r="J22" s="787">
        <f>'ANALYSE - ERP =&gt; SEGMENT'!$IX$25</f>
        <v>0.21541428571428575</v>
      </c>
      <c r="K22" s="787">
        <f>'ANALYSE - ERP =&gt; SEGMENT'!$IY$25</f>
        <v>0.32382857142857147</v>
      </c>
      <c r="L22" s="787">
        <f>'ANALYSE - ERP =&gt; SEGMENT'!$IZ$25</f>
        <v>0.10285714285714286</v>
      </c>
      <c r="N22" s="787">
        <f>'ANALYSE - ERP =&gt; SEGMENT'!$JA$25</f>
        <v>4.8014129601767444E-2</v>
      </c>
      <c r="O22" s="787">
        <f>'ANALYSE - ERP =&gt; SEGMENT'!$JB$25</f>
        <v>0.26163235191326245</v>
      </c>
      <c r="P22" s="787">
        <f>'ANALYSE - ERP =&gt; SEGMENT'!$JC$25</f>
        <v>0.22115223776648418</v>
      </c>
      <c r="Q22" s="787">
        <f>'ANALYSE - ERP =&gt; SEGMENT'!$JD$25</f>
        <v>0.32552131969494169</v>
      </c>
      <c r="R22" s="787">
        <f>'ANALYSE - ERP =&gt; SEGMENT'!$JE$25</f>
        <v>0.14367996102354419</v>
      </c>
      <c r="T22" s="430">
        <f>'ANALYSE - ERP =&gt; SEGMENT'!$Q$25</f>
        <v>1</v>
      </c>
    </row>
    <row r="23" spans="1:20" ht="15" customHeight="1">
      <c r="A23" s="26">
        <v>20</v>
      </c>
      <c r="B23" s="26">
        <v>18</v>
      </c>
      <c r="C23" s="422">
        <f>'ANALYSE - ERP =&gt; SEGMENT'!$A$8</f>
        <v>1</v>
      </c>
      <c r="D23" s="498" t="s">
        <v>6739</v>
      </c>
      <c r="E23" s="498" t="s">
        <v>2104</v>
      </c>
      <c r="F23" s="498" t="s">
        <v>671</v>
      </c>
      <c r="H23" s="787">
        <f>'ANALYSE - ERP =&gt; SEGMENT'!$IV$8</f>
        <v>1.535616257900268E-2</v>
      </c>
      <c r="I23" s="787">
        <f>'ANALYSE - ERP =&gt; SEGMENT'!$IW$8</f>
        <v>0.34423170468169506</v>
      </c>
      <c r="J23" s="787">
        <f>'ANALYSE - ERP =&gt; SEGMENT'!$IX$8</f>
        <v>0.51865996506860457</v>
      </c>
      <c r="K23" s="787">
        <f>'ANALYSE - ERP =&gt; SEGMENT'!$IY$8</f>
        <v>0.10541137934607243</v>
      </c>
      <c r="L23" s="787">
        <f>'ANALYSE - ERP =&gt; SEGMENT'!$IZ$8</f>
        <v>0</v>
      </c>
      <c r="N23" s="787">
        <f>'ANALYSE - ERP =&gt; SEGMENT'!$JA$8</f>
        <v>4.9538538189326164E-3</v>
      </c>
      <c r="O23" s="787">
        <f>'ANALYSE - ERP =&gt; SEGMENT'!$JB$8</f>
        <v>0.19150081444163597</v>
      </c>
      <c r="P23" s="787">
        <f>'ANALYSE - ERP =&gt; SEGMENT'!$JC$8</f>
        <v>0.53781536552730547</v>
      </c>
      <c r="Q23" s="787">
        <f>'ANALYSE - ERP =&gt; SEGMENT'!$JD$8</f>
        <v>0.23446201355968962</v>
      </c>
      <c r="R23" s="787">
        <f>'ANALYSE - ERP =&gt; SEGMENT'!$JE$8</f>
        <v>2.4266189555106009E-4</v>
      </c>
      <c r="T23" s="430">
        <f>'ANALYSE - ERP =&gt; SEGMENT'!$Q$8</f>
        <v>1</v>
      </c>
    </row>
    <row r="24" spans="1:20" ht="15" customHeight="1">
      <c r="A24" s="26">
        <v>21</v>
      </c>
      <c r="B24" s="26">
        <v>21</v>
      </c>
      <c r="C24" s="422">
        <f>'ANALYSE - ERP =&gt; SEGMENT'!$A$17</f>
        <v>11</v>
      </c>
      <c r="D24" s="500" t="s">
        <v>3662</v>
      </c>
      <c r="E24" s="500" t="s">
        <v>1240</v>
      </c>
      <c r="F24" s="500" t="s">
        <v>8001</v>
      </c>
      <c r="H24" s="787">
        <f>'ANALYSE - ERP =&gt; SEGMENT'!$IV$17</f>
        <v>0</v>
      </c>
      <c r="I24" s="787">
        <f>'ANALYSE - ERP =&gt; SEGMENT'!$IW$17</f>
        <v>0.16588637724550898</v>
      </c>
      <c r="J24" s="787">
        <f>'ANALYSE - ERP =&gt; SEGMENT'!$IX$17</f>
        <v>0.50092544910179637</v>
      </c>
      <c r="K24" s="787">
        <f>'ANALYSE - ERP =&gt; SEGMENT'!$IY$17</f>
        <v>0.29920598802395215</v>
      </c>
      <c r="L24" s="787">
        <f>'ANALYSE - ERP =&gt; SEGMENT'!$IZ$17</f>
        <v>3.3982185628742514E-2</v>
      </c>
      <c r="N24" s="787">
        <f>'ANALYSE - ERP =&gt; SEGMENT'!$JA$17</f>
        <v>0</v>
      </c>
      <c r="O24" s="787">
        <f>'ANALYSE - ERP =&gt; SEGMENT'!$JB$17</f>
        <v>7.6013218420340686E-2</v>
      </c>
      <c r="P24" s="787">
        <f>'ANALYSE - ERP =&gt; SEGMENT'!$JC$17</f>
        <v>0.4266600955324148</v>
      </c>
      <c r="Q24" s="787">
        <f>'ANALYSE - ERP =&gt; SEGMENT'!$JD$17</f>
        <v>0.41536528736813627</v>
      </c>
      <c r="R24" s="787">
        <f>'ANALYSE - ERP =&gt; SEGMENT'!$JE$17</f>
        <v>8.196139867910826E-2</v>
      </c>
      <c r="T24" s="430">
        <f>'ANALYSE - ERP =&gt; SEGMENT'!$Q$17</f>
        <v>1</v>
      </c>
    </row>
    <row r="25" spans="1:20" ht="15" customHeight="1">
      <c r="A25" s="26">
        <v>22</v>
      </c>
      <c r="B25" s="26">
        <v>22</v>
      </c>
      <c r="C25" s="422">
        <f>'ANALYSE - ERP =&gt; SEGMENT'!$A$34</f>
        <v>35</v>
      </c>
      <c r="D25" s="510" t="s">
        <v>4908</v>
      </c>
      <c r="E25" s="510" t="s">
        <v>1950</v>
      </c>
      <c r="F25" s="510" t="s">
        <v>8005</v>
      </c>
      <c r="H25" s="787">
        <f>'ANALYSE - ERP =&gt; SEGMENT'!$IV$34</f>
        <v>7.5399999999999995E-2</v>
      </c>
      <c r="I25" s="787">
        <f>'ANALYSE - ERP =&gt; SEGMENT'!$IW$34</f>
        <v>0.5827</v>
      </c>
      <c r="J25" s="787">
        <f>'ANALYSE - ERP =&gt; SEGMENT'!$IX$34</f>
        <v>0.34189999999999998</v>
      </c>
      <c r="K25" s="787">
        <f>'ANALYSE - ERP =&gt; SEGMENT'!$IY$34</f>
        <v>0</v>
      </c>
      <c r="L25" s="787">
        <f>'ANALYSE - ERP =&gt; SEGMENT'!$IZ$34</f>
        <v>0</v>
      </c>
      <c r="N25" s="787">
        <f>'ANALYSE - ERP =&gt; SEGMENT'!$JA$34</f>
        <v>4.4499999999999998E-2</v>
      </c>
      <c r="O25" s="787">
        <f>'ANALYSE - ERP =&gt; SEGMENT'!$JB$34</f>
        <v>0.4929</v>
      </c>
      <c r="P25" s="787">
        <f>'ANALYSE - ERP =&gt; SEGMENT'!$JC$34</f>
        <v>0.46260000000000001</v>
      </c>
      <c r="Q25" s="787">
        <f>'ANALYSE - ERP =&gt; SEGMENT'!$JD$34</f>
        <v>0</v>
      </c>
      <c r="R25" s="787">
        <f>'ANALYSE - ERP =&gt; SEGMENT'!$JE$34</f>
        <v>0</v>
      </c>
      <c r="T25" s="430">
        <f>'ANALYSE - ERP =&gt; SEGMENT'!$Q$34</f>
        <v>1</v>
      </c>
    </row>
    <row r="26" spans="1:20" ht="15" customHeight="1">
      <c r="A26" s="26">
        <v>23</v>
      </c>
      <c r="B26" s="26">
        <v>23</v>
      </c>
      <c r="C26" s="422">
        <f>'ANALYSE - ERP =&gt; SEGMENT'!$A$15</f>
        <v>8</v>
      </c>
      <c r="D26" s="494" t="s">
        <v>2241</v>
      </c>
      <c r="E26" s="494" t="s">
        <v>2242</v>
      </c>
      <c r="F26" s="494" t="s">
        <v>7998</v>
      </c>
      <c r="H26" s="787">
        <f>'ANALYSE - ERP =&gt; SEGMENT'!$IV$15</f>
        <v>0</v>
      </c>
      <c r="I26" s="787">
        <f>'ANALYSE - ERP =&gt; SEGMENT'!$IW$15</f>
        <v>0</v>
      </c>
      <c r="J26" s="787">
        <f>'ANALYSE - ERP =&gt; SEGMENT'!$IX$15</f>
        <v>0</v>
      </c>
      <c r="K26" s="787">
        <f>'ANALYSE - ERP =&gt; SEGMENT'!$IY$15</f>
        <v>0</v>
      </c>
      <c r="L26" s="787">
        <f>'ANALYSE - ERP =&gt; SEGMENT'!$IZ$15</f>
        <v>0</v>
      </c>
      <c r="N26" s="787">
        <f>'ANALYSE - ERP =&gt; SEGMENT'!$JA$15</f>
        <v>0</v>
      </c>
      <c r="O26" s="787">
        <f>'ANALYSE - ERP =&gt; SEGMENT'!$JB$15</f>
        <v>0</v>
      </c>
      <c r="P26" s="787">
        <f>'ANALYSE - ERP =&gt; SEGMENT'!$JC$15</f>
        <v>0</v>
      </c>
      <c r="Q26" s="787">
        <f>'ANALYSE - ERP =&gt; SEGMENT'!$JD$15</f>
        <v>0</v>
      </c>
      <c r="R26" s="787">
        <f>'ANALYSE - ERP =&gt; SEGMENT'!$JE$15</f>
        <v>0</v>
      </c>
      <c r="T26" s="430">
        <f>'ANALYSE - ERP =&gt; SEGMENT'!$Q$15</f>
        <v>1</v>
      </c>
    </row>
    <row r="27" spans="1:20" ht="15" customHeight="1">
      <c r="A27" s="26">
        <v>24</v>
      </c>
      <c r="B27" s="26">
        <v>24</v>
      </c>
      <c r="C27" s="422">
        <f>'ANALYSE - ERP =&gt; SEGMENT'!$A$20</f>
        <v>16</v>
      </c>
      <c r="D27" s="492" t="s">
        <v>2187</v>
      </c>
      <c r="E27" s="492" t="s">
        <v>1435</v>
      </c>
      <c r="F27" s="492" t="s">
        <v>7999</v>
      </c>
      <c r="H27" s="787">
        <f>'ANALYSE - ERP =&gt; SEGMENT'!$IV$20</f>
        <v>0</v>
      </c>
      <c r="I27" s="787">
        <f>'ANALYSE - ERP =&gt; SEGMENT'!$IW$20</f>
        <v>0</v>
      </c>
      <c r="J27" s="787">
        <f>'ANALYSE - ERP =&gt; SEGMENT'!$IX$20</f>
        <v>0</v>
      </c>
      <c r="K27" s="787">
        <f>'ANALYSE - ERP =&gt; SEGMENT'!$IY$20</f>
        <v>0</v>
      </c>
      <c r="L27" s="787">
        <f>'ANALYSE - ERP =&gt; SEGMENT'!$IZ$20</f>
        <v>0</v>
      </c>
      <c r="N27" s="787">
        <f>'ANALYSE - ERP =&gt; SEGMENT'!$JA$20</f>
        <v>0</v>
      </c>
      <c r="O27" s="787">
        <f>'ANALYSE - ERP =&gt; SEGMENT'!$JB$20</f>
        <v>0</v>
      </c>
      <c r="P27" s="787">
        <f>'ANALYSE - ERP =&gt; SEGMENT'!$JC$20</f>
        <v>0</v>
      </c>
      <c r="Q27" s="787">
        <f>'ANALYSE - ERP =&gt; SEGMENT'!$JD$20</f>
        <v>0</v>
      </c>
      <c r="R27" s="787">
        <f>'ANALYSE - ERP =&gt; SEGMENT'!$JE$20</f>
        <v>0</v>
      </c>
      <c r="T27" s="430">
        <f>'ANALYSE - ERP =&gt; SEGMENT'!$Q$20</f>
        <v>1</v>
      </c>
    </row>
    <row r="28" spans="1:20" ht="15" customHeight="1">
      <c r="A28" s="26">
        <v>25</v>
      </c>
      <c r="B28" s="26">
        <v>25</v>
      </c>
      <c r="C28" s="422">
        <f>'ANALYSE - ERP =&gt; SEGMENT'!$A$22</f>
        <v>18</v>
      </c>
      <c r="D28" s="502" t="s">
        <v>2264</v>
      </c>
      <c r="E28" s="502" t="s">
        <v>4024</v>
      </c>
      <c r="F28" s="502" t="s">
        <v>679</v>
      </c>
      <c r="H28" s="787">
        <f>'ANALYSE - ERP =&gt; SEGMENT'!$IV$22</f>
        <v>3.1199999999999999E-2</v>
      </c>
      <c r="I28" s="787">
        <f>'ANALYSE - ERP =&gt; SEGMENT'!$IW$22</f>
        <v>0.41539999999999999</v>
      </c>
      <c r="J28" s="787">
        <f>'ANALYSE - ERP =&gt; SEGMENT'!$IX$22</f>
        <v>0.49459999999999998</v>
      </c>
      <c r="K28" s="787">
        <f>'ANALYSE - ERP =&gt; SEGMENT'!$IY$22</f>
        <v>5.8900000000000008E-2</v>
      </c>
      <c r="L28" s="787">
        <f>'ANALYSE - ERP =&gt; SEGMENT'!$IZ$22</f>
        <v>0</v>
      </c>
      <c r="N28" s="787">
        <f>'ANALYSE - ERP =&gt; SEGMENT'!$JA$22</f>
        <v>8.9999999999999993E-3</v>
      </c>
      <c r="O28" s="787">
        <f>'ANALYSE - ERP =&gt; SEGMENT'!$JB$22</f>
        <v>0.38819999999999999</v>
      </c>
      <c r="P28" s="787">
        <f>'ANALYSE - ERP =&gt; SEGMENT'!$JC$22</f>
        <v>0.51680000000000004</v>
      </c>
      <c r="Q28" s="787">
        <f>'ANALYSE - ERP =&gt; SEGMENT'!$JD$22</f>
        <v>8.1100000000000005E-2</v>
      </c>
      <c r="R28" s="787">
        <f>'ANALYSE - ERP =&gt; SEGMENT'!$JE$22</f>
        <v>4.8999999999999998E-3</v>
      </c>
      <c r="T28" s="430">
        <f>'ANALYSE - ERP =&gt; SEGMENT'!$Q$22</f>
        <v>1</v>
      </c>
    </row>
    <row r="29" spans="1:20" ht="15" customHeight="1">
      <c r="A29" s="26">
        <v>26</v>
      </c>
      <c r="B29" s="26">
        <v>26</v>
      </c>
      <c r="C29" s="422">
        <f>'ANALYSE - ERP =&gt; SEGMENT'!$A$27</f>
        <v>26</v>
      </c>
      <c r="D29" s="504" t="s">
        <v>2278</v>
      </c>
      <c r="E29" s="504" t="s">
        <v>1527</v>
      </c>
      <c r="F29" s="504" t="s">
        <v>7987</v>
      </c>
      <c r="H29" s="787">
        <f>'ANALYSE - ERP =&gt; SEGMENT'!$IV$27</f>
        <v>0</v>
      </c>
      <c r="I29" s="787">
        <f>'ANALYSE - ERP =&gt; SEGMENT'!$IW$27</f>
        <v>0</v>
      </c>
      <c r="J29" s="787">
        <f>'ANALYSE - ERP =&gt; SEGMENT'!$IX$27</f>
        <v>0</v>
      </c>
      <c r="K29" s="787">
        <f>'ANALYSE - ERP =&gt; SEGMENT'!$IY$27</f>
        <v>0</v>
      </c>
      <c r="L29" s="787">
        <f>'ANALYSE - ERP =&gt; SEGMENT'!$IZ$27</f>
        <v>0</v>
      </c>
      <c r="N29" s="787">
        <f>'ANALYSE - ERP =&gt; SEGMENT'!$JA$27</f>
        <v>0</v>
      </c>
      <c r="O29" s="787">
        <f>'ANALYSE - ERP =&gt; SEGMENT'!$JB$27</f>
        <v>0</v>
      </c>
      <c r="P29" s="787">
        <f>'ANALYSE - ERP =&gt; SEGMENT'!$JC$27</f>
        <v>0</v>
      </c>
      <c r="Q29" s="787">
        <f>'ANALYSE - ERP =&gt; SEGMENT'!$JD$27</f>
        <v>0</v>
      </c>
      <c r="R29" s="787">
        <f>'ANALYSE - ERP =&gt; SEGMENT'!$JE$27</f>
        <v>0</v>
      </c>
      <c r="T29" s="430">
        <f>'ANALYSE - ERP =&gt; SEGMENT'!$Q$27</f>
        <v>1</v>
      </c>
    </row>
    <row r="30" spans="1:20" ht="15" customHeight="1">
      <c r="A30" s="26">
        <v>27</v>
      </c>
      <c r="B30" s="26">
        <v>27</v>
      </c>
      <c r="C30" s="422">
        <f>'ANALYSE - ERP =&gt; SEGMENT'!$A$28</f>
        <v>27</v>
      </c>
      <c r="D30" s="504" t="s">
        <v>2278</v>
      </c>
      <c r="E30" s="504" t="s">
        <v>4578</v>
      </c>
      <c r="F30" s="504" t="s">
        <v>7989</v>
      </c>
      <c r="H30" s="787">
        <f>'ANALYSE - ERP =&gt; SEGMENT'!$IV$28</f>
        <v>0.10220000000000001</v>
      </c>
      <c r="I30" s="787">
        <f>'ANALYSE - ERP =&gt; SEGMENT'!$IW$28</f>
        <v>0.54190000000000005</v>
      </c>
      <c r="J30" s="787">
        <f>'ANALYSE - ERP =&gt; SEGMENT'!$IX$28</f>
        <v>0.33110000000000001</v>
      </c>
      <c r="K30" s="787">
        <f>'ANALYSE - ERP =&gt; SEGMENT'!$IY$28</f>
        <v>2.4799999999999999E-2</v>
      </c>
      <c r="L30" s="787">
        <f>'ANALYSE - ERP =&gt; SEGMENT'!$IZ$28</f>
        <v>0</v>
      </c>
      <c r="N30" s="787">
        <f>'ANALYSE - ERP =&gt; SEGMENT'!$JA$28</f>
        <v>8.8099999999999998E-2</v>
      </c>
      <c r="O30" s="787">
        <f>'ANALYSE - ERP =&gt; SEGMENT'!$JB$28</f>
        <v>0.52459999999999996</v>
      </c>
      <c r="P30" s="787">
        <f>'ANALYSE - ERP =&gt; SEGMENT'!$JC$28</f>
        <v>0.34520000000000006</v>
      </c>
      <c r="Q30" s="787">
        <f>'ANALYSE - ERP =&gt; SEGMENT'!$JD$28</f>
        <v>3.8899999999999997E-2</v>
      </c>
      <c r="R30" s="787">
        <f>'ANALYSE - ERP =&gt; SEGMENT'!$JE$28</f>
        <v>3.2000000000000002E-3</v>
      </c>
      <c r="T30" s="430">
        <f>'ANALYSE - ERP =&gt; SEGMENT'!$Q$28</f>
        <v>1</v>
      </c>
    </row>
    <row r="31" spans="1:20" ht="15" customHeight="1">
      <c r="A31" s="26">
        <v>28</v>
      </c>
      <c r="B31" s="26">
        <v>28</v>
      </c>
      <c r="C31" s="422">
        <f>'ANALYSE - ERP =&gt; SEGMENT'!$A$29</f>
        <v>28</v>
      </c>
      <c r="D31" s="504" t="s">
        <v>2278</v>
      </c>
      <c r="E31" s="504" t="s">
        <v>1576</v>
      </c>
      <c r="F31" s="504" t="s">
        <v>1577</v>
      </c>
      <c r="H31" s="787">
        <f>'ANALYSE - ERP =&gt; SEGMENT'!$IV$29</f>
        <v>0</v>
      </c>
      <c r="I31" s="787">
        <f>'ANALYSE - ERP =&gt; SEGMENT'!$IW$29</f>
        <v>0</v>
      </c>
      <c r="J31" s="787">
        <f>'ANALYSE - ERP =&gt; SEGMENT'!$IX$29</f>
        <v>0</v>
      </c>
      <c r="K31" s="787">
        <f>'ANALYSE - ERP =&gt; SEGMENT'!$IY$29</f>
        <v>0</v>
      </c>
      <c r="L31" s="787">
        <f>'ANALYSE - ERP =&gt; SEGMENT'!$IZ$29</f>
        <v>0</v>
      </c>
      <c r="N31" s="787">
        <f>'ANALYSE - ERP =&gt; SEGMENT'!$JA$29</f>
        <v>0</v>
      </c>
      <c r="O31" s="787">
        <f>'ANALYSE - ERP =&gt; SEGMENT'!$JB$29</f>
        <v>0</v>
      </c>
      <c r="P31" s="787">
        <f>'ANALYSE - ERP =&gt; SEGMENT'!$JC$29</f>
        <v>0</v>
      </c>
      <c r="Q31" s="787">
        <f>'ANALYSE - ERP =&gt; SEGMENT'!$JD$29</f>
        <v>0</v>
      </c>
      <c r="R31" s="787">
        <f>'ANALYSE - ERP =&gt; SEGMENT'!$JE$29</f>
        <v>0</v>
      </c>
      <c r="T31" s="430">
        <f>'ANALYSE - ERP =&gt; SEGMENT'!$Q$29</f>
        <v>1</v>
      </c>
    </row>
    <row r="32" spans="1:20" ht="15" customHeight="1">
      <c r="A32" s="26">
        <v>29</v>
      </c>
      <c r="B32" s="26">
        <v>29</v>
      </c>
      <c r="C32" s="422">
        <f>'ANALYSE - ERP =&gt; SEGMENT'!$A$33</f>
        <v>33</v>
      </c>
      <c r="D32" s="508" t="s">
        <v>2285</v>
      </c>
      <c r="E32" s="508" t="s">
        <v>7336</v>
      </c>
      <c r="F32" s="508" t="s">
        <v>7337</v>
      </c>
      <c r="H32" s="787">
        <f>'ANALYSE - ERP =&gt; SEGMENT'!$IV$33</f>
        <v>0</v>
      </c>
      <c r="I32" s="787">
        <f>'ANALYSE - ERP =&gt; SEGMENT'!$IW$33</f>
        <v>0</v>
      </c>
      <c r="J32" s="787">
        <f>'ANALYSE - ERP =&gt; SEGMENT'!$IX$33</f>
        <v>0</v>
      </c>
      <c r="K32" s="787">
        <f>'ANALYSE - ERP =&gt; SEGMENT'!$IY$33</f>
        <v>0</v>
      </c>
      <c r="L32" s="787">
        <f>'ANALYSE - ERP =&gt; SEGMENT'!$IZ$33</f>
        <v>0</v>
      </c>
      <c r="N32" s="787">
        <f>'ANALYSE - ERP =&gt; SEGMENT'!$JA$33</f>
        <v>0</v>
      </c>
      <c r="O32" s="787">
        <f>'ANALYSE - ERP =&gt; SEGMENT'!$JB$33</f>
        <v>0</v>
      </c>
      <c r="P32" s="787">
        <f>'ANALYSE - ERP =&gt; SEGMENT'!$JC$33</f>
        <v>0</v>
      </c>
      <c r="Q32" s="787">
        <f>'ANALYSE - ERP =&gt; SEGMENT'!$JD$33</f>
        <v>0</v>
      </c>
      <c r="R32" s="787">
        <f>'ANALYSE - ERP =&gt; SEGMENT'!$JE$33</f>
        <v>0</v>
      </c>
      <c r="T32" s="430">
        <f>'ANALYSE - ERP =&gt; SEGMENT'!$Q$33</f>
        <v>0</v>
      </c>
    </row>
    <row r="33" spans="1:20" ht="15" customHeight="1">
      <c r="A33" s="26">
        <v>30</v>
      </c>
      <c r="B33" s="26">
        <v>30</v>
      </c>
      <c r="C33" s="422">
        <f>'ANALYSE - ERP =&gt; SEGMENT'!$A$37</f>
        <v>38</v>
      </c>
      <c r="D33" s="510" t="s">
        <v>4908</v>
      </c>
      <c r="E33" s="510" t="s">
        <v>2027</v>
      </c>
      <c r="F33" s="510" t="s">
        <v>8003</v>
      </c>
      <c r="H33" s="787">
        <f>'ANALYSE - ERP =&gt; SEGMENT'!$IV$37</f>
        <v>0</v>
      </c>
      <c r="I33" s="787">
        <f>'ANALYSE - ERP =&gt; SEGMENT'!$IW$37</f>
        <v>0</v>
      </c>
      <c r="J33" s="787">
        <f>'ANALYSE - ERP =&gt; SEGMENT'!$IX$37</f>
        <v>0</v>
      </c>
      <c r="K33" s="787">
        <f>'ANALYSE - ERP =&gt; SEGMENT'!$IY$37</f>
        <v>0</v>
      </c>
      <c r="L33" s="787">
        <f>'ANALYSE - ERP =&gt; SEGMENT'!$IZ$37</f>
        <v>0</v>
      </c>
      <c r="N33" s="787">
        <f>'ANALYSE - ERP =&gt; SEGMENT'!$JA$37</f>
        <v>0</v>
      </c>
      <c r="O33" s="787">
        <f>'ANALYSE - ERP =&gt; SEGMENT'!$JB$37</f>
        <v>0</v>
      </c>
      <c r="P33" s="787">
        <f>'ANALYSE - ERP =&gt; SEGMENT'!$JC$37</f>
        <v>0</v>
      </c>
      <c r="Q33" s="787">
        <f>'ANALYSE - ERP =&gt; SEGMENT'!$JD$37</f>
        <v>0</v>
      </c>
      <c r="R33" s="787">
        <f>'ANALYSE - ERP =&gt; SEGMENT'!$JE$37</f>
        <v>0</v>
      </c>
      <c r="T33" s="430">
        <f>'ANALYSE - ERP =&gt; SEGMENT'!$Q$37</f>
        <v>1</v>
      </c>
    </row>
    <row r="34" spans="1:20" ht="15" customHeight="1">
      <c r="A34" s="26">
        <v>31</v>
      </c>
      <c r="B34" s="26">
        <v>31</v>
      </c>
      <c r="C34" s="422">
        <f>'ANALYSE - ERP =&gt; SEGMENT'!$A$38</f>
        <v>39</v>
      </c>
      <c r="D34" s="502" t="s">
        <v>2163</v>
      </c>
      <c r="E34" s="502" t="s">
        <v>2163</v>
      </c>
      <c r="F34" s="502" t="s">
        <v>2164</v>
      </c>
      <c r="H34" s="787">
        <f>'ANALYSE - ERP =&gt; SEGMENT'!$IV$38</f>
        <v>0</v>
      </c>
      <c r="I34" s="787">
        <f>'ANALYSE - ERP =&gt; SEGMENT'!$IW$38</f>
        <v>0</v>
      </c>
      <c r="J34" s="787">
        <f>'ANALYSE - ERP =&gt; SEGMENT'!$IX$38</f>
        <v>0</v>
      </c>
      <c r="K34" s="787">
        <f>'ANALYSE - ERP =&gt; SEGMENT'!$IY$38</f>
        <v>0</v>
      </c>
      <c r="L34" s="787">
        <f>'ANALYSE - ERP =&gt; SEGMENT'!$IZ$38</f>
        <v>0</v>
      </c>
      <c r="N34" s="787">
        <f>'ANALYSE - ERP =&gt; SEGMENT'!$JA$38</f>
        <v>0</v>
      </c>
      <c r="O34" s="787">
        <f>'ANALYSE - ERP =&gt; SEGMENT'!$JB$38</f>
        <v>0</v>
      </c>
      <c r="P34" s="787">
        <f>'ANALYSE - ERP =&gt; SEGMENT'!$JC$38</f>
        <v>0</v>
      </c>
      <c r="Q34" s="787">
        <f>'ANALYSE - ERP =&gt; SEGMENT'!$JD$38</f>
        <v>0</v>
      </c>
      <c r="R34" s="787">
        <f>'ANALYSE - ERP =&gt; SEGMENT'!$JE$38</f>
        <v>0</v>
      </c>
      <c r="T34" s="430">
        <f>'ANALYSE - ERP =&gt; SEGMENT'!$Q$38</f>
        <v>1</v>
      </c>
    </row>
  </sheetData>
  <pageMargins left="3.937007874015748E-2" right="3.937007874015748E-2" top="7.874015748031496E-2" bottom="7.874015748031496E-2" header="0.11811023622047249" footer="0.11811023622047249"/>
  <pageSetup paperSize="8" scale="91" fitToHeight="2"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5" tint="0.39997558519241921"/>
    <pageSetUpPr fitToPage="1"/>
  </sheetPr>
  <dimension ref="A1:BZ34"/>
  <sheetViews>
    <sheetView zoomScale="85" zoomScaleNormal="85" workbookViewId="0">
      <selection activeCell="J8" sqref="J8"/>
    </sheetView>
  </sheetViews>
  <sheetFormatPr baseColWidth="10" defaultColWidth="9.140625" defaultRowHeight="15"/>
  <cols>
    <col min="1" max="2" width="9" style="934" customWidth="1"/>
    <col min="3" max="3" width="6" style="934" customWidth="1"/>
    <col min="4" max="4" width="30.5703125" style="934" customWidth="1"/>
    <col min="5" max="5" width="27.7109375" style="43" customWidth="1"/>
    <col min="6" max="6" width="51.5703125" style="43" customWidth="1"/>
    <col min="7" max="7" width="1.7109375" style="933" customWidth="1"/>
    <col min="8" max="8" width="8.7109375" style="43" customWidth="1"/>
    <col min="9" max="12" width="8.7109375" style="934" customWidth="1"/>
    <col min="13" max="13" width="1.7109375" style="933" customWidth="1"/>
    <col min="14" max="18" width="8.710937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7976</v>
      </c>
      <c r="F1" s="479"/>
      <c r="H1" s="474"/>
      <c r="I1" s="474"/>
      <c r="J1" s="475" t="s">
        <v>7971</v>
      </c>
      <c r="K1" s="474"/>
      <c r="L1" s="474"/>
      <c r="N1" s="452"/>
      <c r="O1" s="452"/>
      <c r="P1" s="476" t="s">
        <v>7972</v>
      </c>
      <c r="Q1" s="452"/>
      <c r="R1" s="452"/>
      <c r="T1" s="452"/>
    </row>
    <row r="2" spans="1:20"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520" t="s">
        <v>6739</v>
      </c>
      <c r="E3" s="520" t="s">
        <v>2104</v>
      </c>
      <c r="F3" s="520" t="s">
        <v>671</v>
      </c>
      <c r="H3" s="426">
        <f>SUMPRODUCT(($T$4:$T$106),('ANALYSE - ERP =&gt; SEGMENT'!$BD$8:$BD$110),('ANALYSE - ERP =&gt; SEGMENT'!$IV$8:$IV$110))</f>
        <v>156328.24142250002</v>
      </c>
      <c r="I3" s="426">
        <f>SUMPRODUCT(($T$4:$T$106),('ANALYSE - ERP =&gt; SEGMENT'!$BD$8:$BD$110),('ANALYSE - ERP =&gt; SEGMENT'!$IW$8:$IW$110))</f>
        <v>682394.75165900006</v>
      </c>
      <c r="J3" s="426">
        <f>SUMPRODUCT(($T$4:$T$106),('ANALYSE - ERP =&gt; SEGMENT'!$BD$8:$BD$110),('ANALYSE - ERP =&gt; SEGMENT'!$IX$8:$IX$110))</f>
        <v>587583.86524349998</v>
      </c>
      <c r="K3" s="426">
        <f>SUMPRODUCT(($T$4:$T$106),('ANALYSE - ERP =&gt; SEGMENT'!$BD$8:$BD$110),('ANALYSE - ERP =&gt; SEGMENT'!$IY$8:$IY$110))</f>
        <v>197263.331343</v>
      </c>
      <c r="L3" s="426">
        <f>SUMPRODUCT(($T$4:$T$106),('ANALYSE - ERP =&gt; SEGMENT'!$BD$8:$BD$110),('ANALYSE - ERP =&gt; SEGMENT'!$IZ$8:$IZ$110))</f>
        <v>11706.071581999999</v>
      </c>
      <c r="N3" s="426">
        <f>SUMPRODUCT(($T$4:$T$106),('ANALYSE - ERP =&gt; SEGMENT'!$FA$8:$FA$110),('ANALYSE - ERP =&gt; SEGMENT'!$JA$8:$JA$110))</f>
        <v>48235.065822518736</v>
      </c>
      <c r="O3" s="426">
        <f>SUMPRODUCT(($T$4:$T$106),('ANALYSE - ERP =&gt; SEGMENT'!$FA$8:$FA$110),('ANALYSE - ERP =&gt; SEGMENT'!$JB$8:$JB$110))</f>
        <v>300254.5950162104</v>
      </c>
      <c r="P3" s="426">
        <f>SUMPRODUCT(($T$4:$T$106),('ANALYSE - ERP =&gt; SEGMENT'!$FA$8:$FA$110),('ANALYSE - ERP =&gt; SEGMENT'!$JC$8:$JC$110))</f>
        <v>315846.49888802849</v>
      </c>
      <c r="Q3" s="426">
        <f>SUMPRODUCT(($T$4:$T$106),('ANALYSE - ERP =&gt; SEGMENT'!$FA$8:$FA$110),('ANALYSE - ERP =&gt; SEGMENT'!$JD$8:$JD$110))</f>
        <v>129490.85641643438</v>
      </c>
      <c r="R3" s="426">
        <f>SUMPRODUCT(($T$4:$T$106),('ANALYSE - ERP =&gt; SEGMENT'!$FA$8:$FA$110),('ANALYSE - ERP =&gt; SEGMENT'!$JE$8:$JE$110))</f>
        <v>14294.360851322614</v>
      </c>
      <c r="T3" s="428">
        <f>SUM('ANALYSE - ERP =&gt; SEGMENT'!$Q$8:$Q$110)</f>
        <v>34</v>
      </c>
    </row>
    <row r="4" spans="1:20" ht="15" customHeight="1">
      <c r="A4" s="26">
        <v>1</v>
      </c>
      <c r="B4" s="26">
        <v>1</v>
      </c>
      <c r="C4" s="422">
        <f>'ANALYSE - ERP =&gt; SEGMENT'!$A$19</f>
        <v>15</v>
      </c>
      <c r="D4" s="492" t="s">
        <v>2187</v>
      </c>
      <c r="E4" s="492" t="s">
        <v>3877</v>
      </c>
      <c r="F4" s="492" t="s">
        <v>7981</v>
      </c>
      <c r="H4" s="458">
        <f>'ANALYSE - ERP =&gt; SEGMENT'!$BD$19*'ANALYSE - ERP =&gt; SEGMENT'!$IV$19</f>
        <v>0</v>
      </c>
      <c r="I4" s="458">
        <f>'ANALYSE - ERP =&gt; SEGMENT'!$BD$19*'ANALYSE - ERP =&gt; SEGMENT'!$IW$19</f>
        <v>0</v>
      </c>
      <c r="J4" s="458">
        <f>'ANALYSE - ERP =&gt; SEGMENT'!$BD$19*'ANALYSE - ERP =&gt; SEGMENT'!$IX$19</f>
        <v>0</v>
      </c>
      <c r="K4" s="458">
        <f>'ANALYSE - ERP =&gt; SEGMENT'!$BD$19*'ANALYSE - ERP =&gt; SEGMENT'!$IY$19</f>
        <v>0</v>
      </c>
      <c r="L4" s="458">
        <f>'ANALYSE - ERP =&gt; SEGMENT'!$BD$19*'ANALYSE - ERP =&gt; SEGMENT'!$IZ$19</f>
        <v>0</v>
      </c>
      <c r="N4" s="458">
        <f>'ANALYSE - ERP =&gt; SEGMENT'!$FA$19*'ANALYSE - ERP =&gt; SEGMENT'!$JA$19</f>
        <v>0</v>
      </c>
      <c r="O4" s="458">
        <f>'ANALYSE - ERP =&gt; SEGMENT'!$FA$19*'ANALYSE - ERP =&gt; SEGMENT'!$JB$19</f>
        <v>0</v>
      </c>
      <c r="P4" s="458">
        <f>'ANALYSE - ERP =&gt; SEGMENT'!$FA$19*'ANALYSE - ERP =&gt; SEGMENT'!$JC$19</f>
        <v>0</v>
      </c>
      <c r="Q4" s="458">
        <f>'ANALYSE - ERP =&gt; SEGMENT'!$FA$19*'ANALYSE - ERP =&gt; SEGMENT'!$JD$19</f>
        <v>0</v>
      </c>
      <c r="R4" s="458">
        <f>'ANALYSE - ERP =&gt; SEGMENT'!$FA$19*'ANALYSE - ERP =&gt; SEGMENT'!$JE$19</f>
        <v>0</v>
      </c>
      <c r="T4" s="430">
        <f>'ANALYSE - ERP =&gt; SEGMENT'!$Q$19</f>
        <v>1</v>
      </c>
    </row>
    <row r="5" spans="1:20" ht="15" customHeight="1">
      <c r="A5" s="26">
        <v>2</v>
      </c>
      <c r="B5" s="26">
        <v>2</v>
      </c>
      <c r="C5" s="422">
        <f>'ANALYSE - ERP =&gt; SEGMENT'!$A$30</f>
        <v>29</v>
      </c>
      <c r="D5" s="496" t="s">
        <v>1670</v>
      </c>
      <c r="E5" s="496" t="s">
        <v>1671</v>
      </c>
      <c r="F5" s="496" t="s">
        <v>7983</v>
      </c>
      <c r="H5" s="458">
        <f>'ANALYSE - ERP =&gt; SEGMENT'!$BD$30*'ANALYSE - ERP =&gt; SEGMENT'!$IV$30</f>
        <v>72067.622000000003</v>
      </c>
      <c r="I5" s="458">
        <f>'ANALYSE - ERP =&gt; SEGMENT'!$BD$30*'ANALYSE - ERP =&gt; SEGMENT'!$IW$30</f>
        <v>239018.60600000006</v>
      </c>
      <c r="J5" s="458">
        <f>'ANALYSE - ERP =&gt; SEGMENT'!$BD$30*'ANALYSE - ERP =&gt; SEGMENT'!$IX$30</f>
        <v>107150.50000000001</v>
      </c>
      <c r="K5" s="458">
        <f>'ANALYSE - ERP =&gt; SEGMENT'!$BD$30*'ANALYSE - ERP =&gt; SEGMENT'!$IY$30</f>
        <v>18463.607999999997</v>
      </c>
      <c r="L5" s="458">
        <f>'ANALYSE - ERP =&gt; SEGMENT'!$BD$30*'ANALYSE - ERP =&gt; SEGMENT'!$IZ$30</f>
        <v>3359.6640000000002</v>
      </c>
      <c r="N5" s="458">
        <f>'ANALYSE - ERP =&gt; SEGMENT'!$FA$30*'ANALYSE - ERP =&gt; SEGMENT'!$JA$30</f>
        <v>20007.858043491495</v>
      </c>
      <c r="O5" s="458">
        <f>'ANALYSE - ERP =&gt; SEGMENT'!$FA$30*'ANALYSE - ERP =&gt; SEGMENT'!$JB$30</f>
        <v>120118.30888337948</v>
      </c>
      <c r="P5" s="458">
        <f>'ANALYSE - ERP =&gt; SEGMENT'!$FA$30*'ANALYSE - ERP =&gt; SEGMENT'!$JC$30</f>
        <v>81187.598914816175</v>
      </c>
      <c r="Q5" s="458">
        <f>'ANALYSE - ERP =&gt; SEGMENT'!$FA$30*'ANALYSE - ERP =&gt; SEGMENT'!$JD$30</f>
        <v>16244.632995989856</v>
      </c>
      <c r="R5" s="458">
        <f>'ANALYSE - ERP =&gt; SEGMENT'!$FA$30*'ANALYSE - ERP =&gt; SEGMENT'!$JE$30</f>
        <v>2929.9554720730112</v>
      </c>
      <c r="T5" s="430">
        <f>'ANALYSE - ERP =&gt; SEGMENT'!$Q$30</f>
        <v>1</v>
      </c>
    </row>
    <row r="6" spans="1:20" ht="15" customHeight="1">
      <c r="A6" s="26">
        <v>3</v>
      </c>
      <c r="B6" s="26">
        <v>3</v>
      </c>
      <c r="C6" s="422">
        <f>'ANALYSE - ERP =&gt; SEGMENT'!$A$14</f>
        <v>7</v>
      </c>
      <c r="D6" s="494" t="s">
        <v>2241</v>
      </c>
      <c r="E6" s="494" t="s">
        <v>1032</v>
      </c>
      <c r="F6" s="494" t="s">
        <v>7982</v>
      </c>
      <c r="H6" s="458">
        <f>'ANALYSE - ERP =&gt; SEGMENT'!$BD$14*'ANALYSE - ERP =&gt; SEGMENT'!$IV$14</f>
        <v>0</v>
      </c>
      <c r="I6" s="458">
        <f>'ANALYSE - ERP =&gt; SEGMENT'!$BD$14*'ANALYSE - ERP =&gt; SEGMENT'!$IW$14</f>
        <v>27509.622900000002</v>
      </c>
      <c r="J6" s="458">
        <f>'ANALYSE - ERP =&gt; SEGMENT'!$BD$14*'ANALYSE - ERP =&gt; SEGMENT'!$IX$14</f>
        <v>137145.1306</v>
      </c>
      <c r="K6" s="458">
        <f>'ANALYSE - ERP =&gt; SEGMENT'!$BD$14*'ANALYSE - ERP =&gt; SEGMENT'!$IY$14</f>
        <v>100050.64929999998</v>
      </c>
      <c r="L6" s="458">
        <f>'ANALYSE - ERP =&gt; SEGMENT'!$BD$14*'ANALYSE - ERP =&gt; SEGMENT'!$IZ$14</f>
        <v>3903.5971999999997</v>
      </c>
      <c r="N6" s="458">
        <f>'ANALYSE - ERP =&gt; SEGMENT'!$FA$14*'ANALYSE - ERP =&gt; SEGMENT'!$JA$14</f>
        <v>0</v>
      </c>
      <c r="O6" s="458">
        <f>'ANALYSE - ERP =&gt; SEGMENT'!$FA$14*'ANALYSE - ERP =&gt; SEGMENT'!$JB$14</f>
        <v>5273.4645611956603</v>
      </c>
      <c r="P6" s="458">
        <f>'ANALYSE - ERP =&gt; SEGMENT'!$FA$14*'ANALYSE - ERP =&gt; SEGMENT'!$JC$14</f>
        <v>51703.44953959735</v>
      </c>
      <c r="Q6" s="458">
        <f>'ANALYSE - ERP =&gt; SEGMENT'!$FA$14*'ANALYSE - ERP =&gt; SEGMENT'!$JD$14</f>
        <v>55754.506547741737</v>
      </c>
      <c r="R6" s="458">
        <f>'ANALYSE - ERP =&gt; SEGMENT'!$FA$14*'ANALYSE - ERP =&gt; SEGMENT'!$JE$14</f>
        <v>5491.9976408017756</v>
      </c>
      <c r="T6" s="430">
        <f>'ANALYSE - ERP =&gt; SEGMENT'!$Q$14</f>
        <v>1</v>
      </c>
    </row>
    <row r="7" spans="1:20" ht="15" customHeight="1">
      <c r="A7" s="26">
        <v>4</v>
      </c>
      <c r="B7" s="26">
        <v>4</v>
      </c>
      <c r="C7" s="422">
        <f>'ANALYSE - ERP =&gt; SEGMENT'!$A$31</f>
        <v>30</v>
      </c>
      <c r="D7" s="496" t="s">
        <v>1670</v>
      </c>
      <c r="E7" s="496" t="s">
        <v>1747</v>
      </c>
      <c r="F7" s="496" t="s">
        <v>7986</v>
      </c>
      <c r="H7" s="458">
        <f>'ANALYSE - ERP =&gt; SEGMENT'!$BD$31*'ANALYSE - ERP =&gt; SEGMENT'!$IV$31</f>
        <v>48317.255000000005</v>
      </c>
      <c r="I7" s="458">
        <f>'ANALYSE - ERP =&gt; SEGMENT'!$BD$31*'ANALYSE - ERP =&gt; SEGMENT'!$IW$31</f>
        <v>179214.02299999999</v>
      </c>
      <c r="J7" s="458">
        <f>'ANALYSE - ERP =&gt; SEGMENT'!$BD$31*'ANALYSE - ERP =&gt; SEGMENT'!$IX$31</f>
        <v>87437.045999999988</v>
      </c>
      <c r="K7" s="458">
        <f>'ANALYSE - ERP =&gt; SEGMENT'!$BD$31*'ANALYSE - ERP =&gt; SEGMENT'!$IY$31</f>
        <v>10631.675999999998</v>
      </c>
      <c r="L7" s="458">
        <f>'ANALYSE - ERP =&gt; SEGMENT'!$BD$31*'ANALYSE - ERP =&gt; SEGMENT'!$IZ$31</f>
        <v>0</v>
      </c>
      <c r="N7" s="458">
        <f>'ANALYSE - ERP =&gt; SEGMENT'!$FA$31*'ANALYSE - ERP =&gt; SEGMENT'!$JA$31</f>
        <v>21897.984116342875</v>
      </c>
      <c r="O7" s="458">
        <f>'ANALYSE - ERP =&gt; SEGMENT'!$FA$31*'ANALYSE - ERP =&gt; SEGMENT'!$JB$31</f>
        <v>99116.015857662438</v>
      </c>
      <c r="P7" s="458">
        <f>'ANALYSE - ERP =&gt; SEGMENT'!$FA$31*'ANALYSE - ERP =&gt; SEGMENT'!$JC$31</f>
        <v>58172.684228137579</v>
      </c>
      <c r="Q7" s="458">
        <f>'ANALYSE - ERP =&gt; SEGMENT'!$FA$31*'ANALYSE - ERP =&gt; SEGMENT'!$JD$31</f>
        <v>9541.7907359569872</v>
      </c>
      <c r="R7" s="458">
        <f>'ANALYSE - ERP =&gt; SEGMENT'!$FA$31*'ANALYSE - ERP =&gt; SEGMENT'!$JE$31</f>
        <v>676.40271202514612</v>
      </c>
      <c r="T7" s="430">
        <f>'ANALYSE - ERP =&gt; SEGMENT'!$Q$31</f>
        <v>1</v>
      </c>
    </row>
    <row r="8" spans="1:20" ht="15" customHeight="1">
      <c r="A8" s="26">
        <v>5</v>
      </c>
      <c r="B8" s="26">
        <v>6</v>
      </c>
      <c r="C8" s="422">
        <f>'ANALYSE - ERP =&gt; SEGMENT'!$A$13</f>
        <v>6</v>
      </c>
      <c r="D8" s="494" t="s">
        <v>2241</v>
      </c>
      <c r="E8" s="494" t="s">
        <v>1053</v>
      </c>
      <c r="F8" s="494" t="s">
        <v>7988</v>
      </c>
      <c r="H8" s="458">
        <f>'ANALYSE - ERP =&gt; SEGMENT'!$BD$13*'ANALYSE - ERP =&gt; SEGMENT'!$IV$13</f>
        <v>9.2004000000000001</v>
      </c>
      <c r="I8" s="458">
        <f>'ANALYSE - ERP =&gt; SEGMENT'!$BD$13*'ANALYSE - ERP =&gt; SEGMENT'!$IW$13</f>
        <v>24928.663400000001</v>
      </c>
      <c r="J8" s="458">
        <f>'ANALYSE - ERP =&gt; SEGMENT'!$BD$13*'ANALYSE - ERP =&gt; SEGMENT'!$IX$13</f>
        <v>75866.11960000002</v>
      </c>
      <c r="K8" s="458">
        <f>'ANALYSE - ERP =&gt; SEGMENT'!$BD$13*'ANALYSE - ERP =&gt; SEGMENT'!$IY$13</f>
        <v>33042.243799999997</v>
      </c>
      <c r="L8" s="458">
        <f>'ANALYSE - ERP =&gt; SEGMENT'!$BD$13*'ANALYSE - ERP =&gt; SEGMENT'!$IZ$13</f>
        <v>2299.7728000000002</v>
      </c>
      <c r="N8" s="458">
        <f>'ANALYSE - ERP =&gt; SEGMENT'!$FA$13*'ANALYSE - ERP =&gt; SEGMENT'!$JA$13</f>
        <v>1.3146882644906919</v>
      </c>
      <c r="O8" s="458">
        <f>'ANALYSE - ERP =&gt; SEGMENT'!$FA$13*'ANALYSE - ERP =&gt; SEGMENT'!$JB$13</f>
        <v>6673.6785242618998</v>
      </c>
      <c r="P8" s="458">
        <f>'ANALYSE - ERP =&gt; SEGMENT'!$FA$13*'ANALYSE - ERP =&gt; SEGMENT'!$JC$13</f>
        <v>36870.221088872771</v>
      </c>
      <c r="Q8" s="458">
        <f>'ANALYSE - ERP =&gt; SEGMENT'!$FA$13*'ANALYSE - ERP =&gt; SEGMENT'!$JD$13</f>
        <v>25780.658240178149</v>
      </c>
      <c r="R8" s="458">
        <f>'ANALYSE - ERP =&gt; SEGMENT'!$FA$13*'ANALYSE - ERP =&gt; SEGMENT'!$JE$13</f>
        <v>3042.9637222626952</v>
      </c>
      <c r="T8" s="430">
        <f>'ANALYSE - ERP =&gt; SEGMENT'!$Q$13</f>
        <v>1</v>
      </c>
    </row>
    <row r="9" spans="1:20" ht="15" customHeight="1">
      <c r="A9" s="26">
        <v>6</v>
      </c>
      <c r="B9" s="26">
        <v>7</v>
      </c>
      <c r="C9" s="422">
        <f>'ANALYSE - ERP =&gt; SEGMENT'!$A$26</f>
        <v>23</v>
      </c>
      <c r="D9" s="506" t="s">
        <v>7117</v>
      </c>
      <c r="E9" s="506" t="s">
        <v>4268</v>
      </c>
      <c r="F9" s="506" t="s">
        <v>4269</v>
      </c>
      <c r="H9" s="458">
        <f>'ANALYSE - ERP =&gt; SEGMENT'!$BD$26*'ANALYSE - ERP =&gt; SEGMENT'!$IV$26</f>
        <v>11976.696</v>
      </c>
      <c r="I9" s="458">
        <f>'ANALYSE - ERP =&gt; SEGMENT'!$BD$26*'ANALYSE - ERP =&gt; SEGMENT'!$IW$26</f>
        <v>58625.256000000008</v>
      </c>
      <c r="J9" s="458">
        <f>'ANALYSE - ERP =&gt; SEGMENT'!$BD$26*'ANALYSE - ERP =&gt; SEGMENT'!$IX$26</f>
        <v>39758.76</v>
      </c>
      <c r="K9" s="458">
        <f>'ANALYSE - ERP =&gt; SEGMENT'!$BD$26*'ANALYSE - ERP =&gt; SEGMENT'!$IY$26</f>
        <v>5523.5999999999995</v>
      </c>
      <c r="L9" s="458">
        <f>'ANALYSE - ERP =&gt; SEGMENT'!$BD$26*'ANALYSE - ERP =&gt; SEGMENT'!$IZ$26</f>
        <v>275.68799999999999</v>
      </c>
      <c r="N9" s="458">
        <f>'ANALYSE - ERP =&gt; SEGMENT'!$FA$26*'ANALYSE - ERP =&gt; SEGMENT'!$JA$26</f>
        <v>2359.683756651938</v>
      </c>
      <c r="O9" s="458">
        <f>'ANALYSE - ERP =&gt; SEGMENT'!$FA$26*'ANALYSE - ERP =&gt; SEGMENT'!$JB$26</f>
        <v>21389.46486745384</v>
      </c>
      <c r="P9" s="458">
        <f>'ANALYSE - ERP =&gt; SEGMENT'!$FA$26*'ANALYSE - ERP =&gt; SEGMENT'!$JC$26</f>
        <v>25545.98076981608</v>
      </c>
      <c r="Q9" s="458">
        <f>'ANALYSE - ERP =&gt; SEGMENT'!$FA$26*'ANALYSE - ERP =&gt; SEGMENT'!$JD$26</f>
        <v>4688.6724723071075</v>
      </c>
      <c r="R9" s="458">
        <f>'ANALYSE - ERP =&gt; SEGMENT'!$FA$26*'ANALYSE - ERP =&gt; SEGMENT'!$JE$26</f>
        <v>192.88269404376152</v>
      </c>
      <c r="T9" s="430">
        <f>'ANALYSE - ERP =&gt; SEGMENT'!$Q$26</f>
        <v>1</v>
      </c>
    </row>
    <row r="10" spans="1:20" ht="15" customHeight="1">
      <c r="A10" s="26">
        <v>7</v>
      </c>
      <c r="B10" s="26">
        <v>5</v>
      </c>
      <c r="C10" s="422">
        <f>'ANALYSE - ERP =&gt; SEGMENT'!$A$9</f>
        <v>2</v>
      </c>
      <c r="D10" s="498" t="s">
        <v>6739</v>
      </c>
      <c r="E10" s="498" t="s">
        <v>2678</v>
      </c>
      <c r="F10" s="498" t="s">
        <v>7984</v>
      </c>
      <c r="H10" s="458">
        <f>'ANALYSE - ERP =&gt; SEGMENT'!$BD$9*'ANALYSE - ERP =&gt; SEGMENT'!$IV$9</f>
        <v>12499.666995</v>
      </c>
      <c r="I10" s="458">
        <f>'ANALYSE - ERP =&gt; SEGMENT'!$BD$9*'ANALYSE - ERP =&gt; SEGMENT'!$IW$9</f>
        <v>69572.802594000008</v>
      </c>
      <c r="J10" s="458">
        <f>'ANALYSE - ERP =&gt; SEGMENT'!$BD$9*'ANALYSE - ERP =&gt; SEGMENT'!$IX$9</f>
        <v>53704.887050999998</v>
      </c>
      <c r="K10" s="458">
        <f>'ANALYSE - ERP =&gt; SEGMENT'!$BD$9*'ANALYSE - ERP =&gt; SEGMENT'!$IY$9</f>
        <v>10286.742178</v>
      </c>
      <c r="L10" s="458">
        <f>'ANALYSE - ERP =&gt; SEGMENT'!$BD$9*'ANALYSE - ERP =&gt; SEGMENT'!$IZ$9</f>
        <v>583.81118200000003</v>
      </c>
      <c r="N10" s="458">
        <f>'ANALYSE - ERP =&gt; SEGMENT'!$FA$9*'ANALYSE - ERP =&gt; SEGMENT'!$JA$9</f>
        <v>1362.5951978430182</v>
      </c>
      <c r="O10" s="458">
        <f>'ANALYSE - ERP =&gt; SEGMENT'!$FA$9*'ANALYSE - ERP =&gt; SEGMENT'!$JB$9</f>
        <v>14889.300615918341</v>
      </c>
      <c r="P10" s="458">
        <f>'ANALYSE - ERP =&gt; SEGMENT'!$FA$9*'ANALYSE - ERP =&gt; SEGMENT'!$JC$9</f>
        <v>21063.164967032506</v>
      </c>
      <c r="Q10" s="458">
        <f>'ANALYSE - ERP =&gt; SEGMENT'!$FA$9*'ANALYSE - ERP =&gt; SEGMENT'!$JD$9</f>
        <v>5676.2773409682786</v>
      </c>
      <c r="R10" s="458">
        <f>'ANALYSE - ERP =&gt; SEGMENT'!$FA$9*'ANALYSE - ERP =&gt; SEGMENT'!$JE$9</f>
        <v>481.15012581465271</v>
      </c>
      <c r="T10" s="430">
        <f>'ANALYSE - ERP =&gt; SEGMENT'!$Q$9</f>
        <v>1</v>
      </c>
    </row>
    <row r="11" spans="1:20" s="45" customFormat="1" ht="15" customHeight="1">
      <c r="A11" s="26">
        <v>8</v>
      </c>
      <c r="B11" s="26">
        <v>8</v>
      </c>
      <c r="C11" s="422">
        <f>'ANALYSE - ERP =&gt; SEGMENT'!$A$23</f>
        <v>19</v>
      </c>
      <c r="D11" s="502" t="s">
        <v>2264</v>
      </c>
      <c r="E11" s="502" t="s">
        <v>7990</v>
      </c>
      <c r="F11" s="502" t="s">
        <v>7991</v>
      </c>
      <c r="G11" s="685"/>
      <c r="H11" s="458">
        <f>'ANALYSE - ERP =&gt; SEGMENT'!$BD$23*'ANALYSE - ERP =&gt; SEGMENT'!$IV$23</f>
        <v>8354.2350000000006</v>
      </c>
      <c r="I11" s="458">
        <f>'ANALYSE - ERP =&gt; SEGMENT'!$BD$23*'ANALYSE - ERP =&gt; SEGMENT'!$IW$23</f>
        <v>50789.955000000002</v>
      </c>
      <c r="J11" s="458">
        <f>'ANALYSE - ERP =&gt; SEGMENT'!$BD$23*'ANALYSE - ERP =&gt; SEGMENT'!$IX$23</f>
        <v>41713.329999999994</v>
      </c>
      <c r="K11" s="458">
        <f>'ANALYSE - ERP =&gt; SEGMENT'!$BD$23*'ANALYSE - ERP =&gt; SEGMENT'!$IY$23</f>
        <v>4099.4400000000005</v>
      </c>
      <c r="L11" s="458">
        <f>'ANALYSE - ERP =&gt; SEGMENT'!$BD$23*'ANALYSE - ERP =&gt; SEGMENT'!$IZ$23</f>
        <v>0</v>
      </c>
      <c r="M11" s="685"/>
      <c r="N11" s="458">
        <f>'ANALYSE - ERP =&gt; SEGMENT'!$FA$23*'ANALYSE - ERP =&gt; SEGMENT'!$JA$23</f>
        <v>1959.9688282232494</v>
      </c>
      <c r="O11" s="458">
        <f>'ANALYSE - ERP =&gt; SEGMENT'!$FA$23*'ANALYSE - ERP =&gt; SEGMENT'!$JB$23</f>
        <v>22671.426407738203</v>
      </c>
      <c r="P11" s="458">
        <f>'ANALYSE - ERP =&gt; SEGMENT'!$FA$23*'ANALYSE - ERP =&gt; SEGMENT'!$JC$23</f>
        <v>23067.520285345014</v>
      </c>
      <c r="Q11" s="458">
        <f>'ANALYSE - ERP =&gt; SEGMENT'!$FA$23*'ANALYSE - ERP =&gt; SEGMENT'!$JD$23</f>
        <v>2586.701335336697</v>
      </c>
      <c r="R11" s="458">
        <f>'ANALYSE - ERP =&gt; SEGMENT'!$FA$23*'ANALYSE - ERP =&gt; SEGMENT'!$JE$23</f>
        <v>156.2865171781728</v>
      </c>
      <c r="S11" s="685"/>
      <c r="T11" s="430">
        <f>'ANALYSE - ERP =&gt; SEGMENT'!$Q$23</f>
        <v>1</v>
      </c>
    </row>
    <row r="12" spans="1:20" ht="15" customHeight="1">
      <c r="A12" s="26">
        <v>9</v>
      </c>
      <c r="B12" s="26">
        <v>9</v>
      </c>
      <c r="C12" s="422">
        <f>'ANALYSE - ERP =&gt; SEGMENT'!$A$16</f>
        <v>10</v>
      </c>
      <c r="D12" s="500" t="s">
        <v>3662</v>
      </c>
      <c r="E12" s="500" t="s">
        <v>1114</v>
      </c>
      <c r="F12" s="500" t="s">
        <v>7985</v>
      </c>
      <c r="H12" s="458">
        <f>'ANALYSE - ERP =&gt; SEGMENT'!$BD$16*'ANALYSE - ERP =&gt; SEGMENT'!$IV$16</f>
        <v>157.22959999999998</v>
      </c>
      <c r="I12" s="458">
        <f>'ANALYSE - ERP =&gt; SEGMENT'!$BD$16*'ANALYSE - ERP =&gt; SEGMENT'!$IW$16</f>
        <v>2609.6478000000002</v>
      </c>
      <c r="J12" s="458">
        <f>'ANALYSE - ERP =&gt; SEGMENT'!$BD$16*'ANALYSE - ERP =&gt; SEGMENT'!$IX$16</f>
        <v>3813.4745499999999</v>
      </c>
      <c r="K12" s="458">
        <f>'ANALYSE - ERP =&gt; SEGMENT'!$BD$16*'ANALYSE - ERP =&gt; SEGMENT'!$IY$16</f>
        <v>974.94134999999994</v>
      </c>
      <c r="L12" s="458">
        <f>'ANALYSE - ERP =&gt; SEGMENT'!$BD$16*'ANALYSE - ERP =&gt; SEGMENT'!$IZ$16</f>
        <v>62.6907</v>
      </c>
      <c r="N12" s="458">
        <f>'ANALYSE - ERP =&gt; SEGMENT'!$FA$16*'ANALYSE - ERP =&gt; SEGMENT'!$JA$16</f>
        <v>29.367843102282333</v>
      </c>
      <c r="O12" s="458">
        <f>'ANALYSE - ERP =&gt; SEGMENT'!$FA$16*'ANALYSE - ERP =&gt; SEGMENT'!$JB$16</f>
        <v>942.99354094511682</v>
      </c>
      <c r="P12" s="458">
        <f>'ANALYSE - ERP =&gt; SEGMENT'!$FA$16*'ANALYSE - ERP =&gt; SEGMENT'!$JC$16</f>
        <v>1564.7865232287454</v>
      </c>
      <c r="Q12" s="458">
        <f>'ANALYSE - ERP =&gt; SEGMENT'!$FA$16*'ANALYSE - ERP =&gt; SEGMENT'!$JD$16</f>
        <v>559.72369109584167</v>
      </c>
      <c r="R12" s="458">
        <f>'ANALYSE - ERP =&gt; SEGMENT'!$FA$16*'ANALYSE - ERP =&gt; SEGMENT'!$JE$16</f>
        <v>74.561176663762978</v>
      </c>
      <c r="T12" s="430">
        <f>'ANALYSE - ERP =&gt; SEGMENT'!$Q$16</f>
        <v>1</v>
      </c>
    </row>
    <row r="13" spans="1:20" s="45" customFormat="1" ht="15" customHeight="1">
      <c r="A13" s="406">
        <v>10</v>
      </c>
      <c r="B13" s="406">
        <v>12</v>
      </c>
      <c r="C13" s="448">
        <f>'ANALYSE - ERP =&gt; SEGMENT'!$A$24</f>
        <v>21</v>
      </c>
      <c r="D13" s="513" t="s">
        <v>7117</v>
      </c>
      <c r="E13" s="513" t="s">
        <v>1455</v>
      </c>
      <c r="F13" s="513" t="s">
        <v>7994</v>
      </c>
      <c r="G13" s="685"/>
      <c r="H13" s="459">
        <f>'ANALYSE - ERP =&gt; SEGMENT'!$BD$24*'ANALYSE - ERP =&gt; SEGMENT'!$IV$24</f>
        <v>873.17520000000002</v>
      </c>
      <c r="I13" s="459">
        <f>'ANALYSE - ERP =&gt; SEGMENT'!$BD$24*'ANALYSE - ERP =&gt; SEGMENT'!$IW$24</f>
        <v>5739.2184000000016</v>
      </c>
      <c r="J13" s="459">
        <f>'ANALYSE - ERP =&gt; SEGMENT'!$BD$24*'ANALYSE - ERP =&gt; SEGMENT'!$IX$24</f>
        <v>5467.9110000000001</v>
      </c>
      <c r="K13" s="459">
        <f>'ANALYSE - ERP =&gt; SEGMENT'!$BD$24*'ANALYSE - ERP =&gt; SEGMENT'!$IY$24</f>
        <v>1456.3631999999998</v>
      </c>
      <c r="L13" s="459">
        <f>'ANALYSE - ERP =&gt; SEGMENT'!$BD$24*'ANALYSE - ERP =&gt; SEGMENT'!$IZ$24</f>
        <v>101.33219999999999</v>
      </c>
      <c r="M13" s="685"/>
      <c r="N13" s="459">
        <f>'ANALYSE - ERP =&gt; SEGMENT'!$FA$24*'ANALYSE - ERP =&gt; SEGMENT'!$JA$24</f>
        <v>275.66683359948297</v>
      </c>
      <c r="O13" s="459">
        <f>'ANALYSE - ERP =&gt; SEGMENT'!$FA$24*'ANALYSE - ERP =&gt; SEGMENT'!$JB$24</f>
        <v>2294.693696013614</v>
      </c>
      <c r="P13" s="459">
        <f>'ANALYSE - ERP =&gt; SEGMENT'!$FA$24*'ANALYSE - ERP =&gt; SEGMENT'!$JC$24</f>
        <v>2739.9679356445481</v>
      </c>
      <c r="Q13" s="459">
        <f>'ANALYSE - ERP =&gt; SEGMENT'!$FA$24*'ANALYSE - ERP =&gt; SEGMENT'!$JD$24</f>
        <v>948.90577688198243</v>
      </c>
      <c r="R13" s="459">
        <f>'ANALYSE - ERP =&gt; SEGMENT'!$FA$24*'ANALYSE - ERP =&gt; SEGMENT'!$JE$24</f>
        <v>88.433910774008709</v>
      </c>
      <c r="S13" s="685"/>
      <c r="T13" s="450">
        <f>'ANALYSE - ERP =&gt; SEGMENT'!$Q$24</f>
        <v>1</v>
      </c>
    </row>
    <row r="14" spans="1:20" ht="15" customHeight="1">
      <c r="A14" s="26">
        <v>11</v>
      </c>
      <c r="B14" s="26">
        <v>11</v>
      </c>
      <c r="C14" s="422">
        <f>'ANALYSE - ERP =&gt; SEGMENT'!$A$12</f>
        <v>5</v>
      </c>
      <c r="D14" s="498" t="s">
        <v>6739</v>
      </c>
      <c r="E14" s="498" t="s">
        <v>2091</v>
      </c>
      <c r="F14" s="498" t="s">
        <v>2836</v>
      </c>
      <c r="H14" s="458">
        <f>'ANALYSE - ERP =&gt; SEGMENT'!$BD$12*'ANALYSE - ERP =&gt; SEGMENT'!$IV$12</f>
        <v>722.35800000000006</v>
      </c>
      <c r="I14" s="458">
        <f>'ANALYSE - ERP =&gt; SEGMENT'!$BD$12*'ANALYSE - ERP =&gt; SEGMENT'!$IW$12</f>
        <v>9393.2999999999993</v>
      </c>
      <c r="J14" s="458">
        <f>'ANALYSE - ERP =&gt; SEGMENT'!$BD$12*'ANALYSE - ERP =&gt; SEGMENT'!$IX$12</f>
        <v>12904.542000000001</v>
      </c>
      <c r="K14" s="458">
        <f>'ANALYSE - ERP =&gt; SEGMENT'!$BD$12*'ANALYSE - ERP =&gt; SEGMENT'!$IY$12</f>
        <v>3344.5440000000003</v>
      </c>
      <c r="L14" s="458">
        <f>'ANALYSE - ERP =&gt; SEGMENT'!$BD$12*'ANALYSE - ERP =&gt; SEGMENT'!$IZ$12</f>
        <v>95.256</v>
      </c>
      <c r="N14" s="458">
        <f>'ANALYSE - ERP =&gt; SEGMENT'!$FA$12*'ANALYSE - ERP =&gt; SEGMENT'!$JA$12</f>
        <v>0</v>
      </c>
      <c r="O14" s="458">
        <f>'ANALYSE - ERP =&gt; SEGMENT'!$FA$12*'ANALYSE - ERP =&gt; SEGMENT'!$JB$12</f>
        <v>1578.34099873184</v>
      </c>
      <c r="P14" s="458">
        <f>'ANALYSE - ERP =&gt; SEGMENT'!$FA$12*'ANALYSE - ERP =&gt; SEGMENT'!$JC$12</f>
        <v>5411.8904174159998</v>
      </c>
      <c r="Q14" s="458">
        <f>'ANALYSE - ERP =&gt; SEGMENT'!$FA$12*'ANALYSE - ERP =&gt; SEGMENT'!$JD$12</f>
        <v>2940.2063807670402</v>
      </c>
      <c r="R14" s="458">
        <f>'ANALYSE - ERP =&gt; SEGMENT'!$FA$12*'ANALYSE - ERP =&gt; SEGMENT'!$JE$12</f>
        <v>232.73669588512001</v>
      </c>
      <c r="T14" s="430">
        <f>'ANALYSE - ERP =&gt; SEGMENT'!$Q$12</f>
        <v>1</v>
      </c>
    </row>
    <row r="15" spans="1:20" s="45" customFormat="1" ht="15" customHeight="1">
      <c r="A15" s="406">
        <v>12</v>
      </c>
      <c r="B15" s="406">
        <v>10</v>
      </c>
      <c r="C15" s="448">
        <f>'ANALYSE - ERP =&gt; SEGMENT'!$A$11</f>
        <v>4</v>
      </c>
      <c r="D15" s="514" t="s">
        <v>6739</v>
      </c>
      <c r="E15" s="514" t="s">
        <v>991</v>
      </c>
      <c r="F15" s="514" t="s">
        <v>7995</v>
      </c>
      <c r="G15" s="685"/>
      <c r="H15" s="459">
        <f>'ANALYSE - ERP =&gt; SEGMENT'!$BD$11*'ANALYSE - ERP =&gt; SEGMENT'!$IV$11</f>
        <v>0</v>
      </c>
      <c r="I15" s="459">
        <f>'ANALYSE - ERP =&gt; SEGMENT'!$BD$11*'ANALYSE - ERP =&gt; SEGMENT'!$IW$11</f>
        <v>0</v>
      </c>
      <c r="J15" s="459">
        <f>'ANALYSE - ERP =&gt; SEGMENT'!$BD$11*'ANALYSE - ERP =&gt; SEGMENT'!$IX$11</f>
        <v>0</v>
      </c>
      <c r="K15" s="459">
        <f>'ANALYSE - ERP =&gt; SEGMENT'!$BD$11*'ANALYSE - ERP =&gt; SEGMENT'!$IY$11</f>
        <v>0</v>
      </c>
      <c r="L15" s="459">
        <f>'ANALYSE - ERP =&gt; SEGMENT'!$BD$11*'ANALYSE - ERP =&gt; SEGMENT'!$IZ$11</f>
        <v>0</v>
      </c>
      <c r="M15" s="685"/>
      <c r="N15" s="459">
        <f>'ANALYSE - ERP =&gt; SEGMENT'!$FA$11*'ANALYSE - ERP =&gt; SEGMENT'!$JA$11</f>
        <v>0</v>
      </c>
      <c r="O15" s="459">
        <f>'ANALYSE - ERP =&gt; SEGMENT'!$FA$11*'ANALYSE - ERP =&gt; SEGMENT'!$JB$11</f>
        <v>0</v>
      </c>
      <c r="P15" s="459">
        <f>'ANALYSE - ERP =&gt; SEGMENT'!$FA$11*'ANALYSE - ERP =&gt; SEGMENT'!$JC$11</f>
        <v>0</v>
      </c>
      <c r="Q15" s="459">
        <f>'ANALYSE - ERP =&gt; SEGMENT'!$FA$11*'ANALYSE - ERP =&gt; SEGMENT'!$JD$11</f>
        <v>0</v>
      </c>
      <c r="R15" s="459">
        <f>'ANALYSE - ERP =&gt; SEGMENT'!$FA$11*'ANALYSE - ERP =&gt; SEGMENT'!$JE$11</f>
        <v>0</v>
      </c>
      <c r="S15" s="685"/>
      <c r="T15" s="450">
        <f>'ANALYSE - ERP =&gt; SEGMENT'!$Q$11</f>
        <v>0</v>
      </c>
    </row>
    <row r="16" spans="1:20" ht="15" customHeight="1">
      <c r="A16" s="26">
        <v>13</v>
      </c>
      <c r="B16" s="26">
        <v>14</v>
      </c>
      <c r="C16" s="422">
        <f>'ANALYSE - ERP =&gt; SEGMENT'!$A$32</f>
        <v>32</v>
      </c>
      <c r="D16" s="508" t="s">
        <v>2285</v>
      </c>
      <c r="E16" s="508" t="s">
        <v>1793</v>
      </c>
      <c r="F16" s="508" t="s">
        <v>7992</v>
      </c>
      <c r="H16" s="458">
        <f>'ANALYSE - ERP =&gt; SEGMENT'!$BD$32*'ANALYSE - ERP =&gt; SEGMENT'!$IV$32</f>
        <v>362.83439999999996</v>
      </c>
      <c r="I16" s="458">
        <f>'ANALYSE - ERP =&gt; SEGMENT'!$BD$32*'ANALYSE - ERP =&gt; SEGMENT'!$IW$32</f>
        <v>3594.8793999999998</v>
      </c>
      <c r="J16" s="458">
        <f>'ANALYSE - ERP =&gt; SEGMENT'!$BD$32*'ANALYSE - ERP =&gt; SEGMENT'!$IX$32</f>
        <v>3508.6758</v>
      </c>
      <c r="K16" s="458">
        <f>'ANALYSE - ERP =&gt; SEGMENT'!$BD$32*'ANALYSE - ERP =&gt; SEGMENT'!$IY$32</f>
        <v>905.10860000000002</v>
      </c>
      <c r="L16" s="458">
        <f>'ANALYSE - ERP =&gt; SEGMENT'!$BD$32*'ANALYSE - ERP =&gt; SEGMENT'!$IZ$32</f>
        <v>136.5018</v>
      </c>
      <c r="N16" s="458">
        <f>'ANALYSE - ERP =&gt; SEGMENT'!$FA$32*'ANALYSE - ERP =&gt; SEGMENT'!$JA$32</f>
        <v>126.83019043056944</v>
      </c>
      <c r="O16" s="458">
        <f>'ANALYSE - ERP =&gt; SEGMENT'!$FA$32*'ANALYSE - ERP =&gt; SEGMENT'!$JB$32</f>
        <v>1966.8417872301263</v>
      </c>
      <c r="P16" s="458">
        <f>'ANALYSE - ERP =&gt; SEGMENT'!$FA$32*'ANALYSE - ERP =&gt; SEGMENT'!$JC$32</f>
        <v>2033.5511582889594</v>
      </c>
      <c r="Q16" s="458">
        <f>'ANALYSE - ERP =&gt; SEGMENT'!$FA$32*'ANALYSE - ERP =&gt; SEGMENT'!$JD$32</f>
        <v>664.22704343589498</v>
      </c>
      <c r="R16" s="458">
        <f>'ANALYSE - ERP =&gt; SEGMENT'!$FA$32*'ANALYSE - ERP =&gt; SEGMENT'!$JE$32</f>
        <v>156.85953247873633</v>
      </c>
      <c r="T16" s="430">
        <f>'ANALYSE - ERP =&gt; SEGMENT'!$Q$32</f>
        <v>1</v>
      </c>
    </row>
    <row r="17" spans="1:20" ht="15" customHeight="1">
      <c r="A17" s="26">
        <v>14</v>
      </c>
      <c r="B17" s="26">
        <v>13</v>
      </c>
      <c r="C17" s="422">
        <f>'ANALYSE - ERP =&gt; SEGMENT'!$A$10</f>
        <v>3</v>
      </c>
      <c r="D17" s="498" t="s">
        <v>6739</v>
      </c>
      <c r="E17" s="498" t="s">
        <v>1014</v>
      </c>
      <c r="F17" s="498" t="s">
        <v>8000</v>
      </c>
      <c r="H17" s="458">
        <f>'ANALYSE - ERP =&gt; SEGMENT'!$BD$10*'ANALYSE - ERP =&gt; SEGMENT'!$IV$10</f>
        <v>8.8919999999999995</v>
      </c>
      <c r="I17" s="458">
        <f>'ANALYSE - ERP =&gt; SEGMENT'!$BD$10*'ANALYSE - ERP =&gt; SEGMENT'!$IW$10</f>
        <v>2040.1683999999998</v>
      </c>
      <c r="J17" s="458">
        <f>'ANALYSE - ERP =&gt; SEGMENT'!$BD$10*'ANALYSE - ERP =&gt; SEGMENT'!$IX$10</f>
        <v>8501.3552000000018</v>
      </c>
      <c r="K17" s="458">
        <f>'ANALYSE - ERP =&gt; SEGMENT'!$BD$10*'ANALYSE - ERP =&gt; SEGMENT'!$IY$10</f>
        <v>5315.6496999999999</v>
      </c>
      <c r="L17" s="458">
        <f>'ANALYSE - ERP =&gt; SEGMENT'!$BD$10*'ANALYSE - ERP =&gt; SEGMENT'!$IZ$10</f>
        <v>478.93470000000002</v>
      </c>
      <c r="N17" s="458">
        <f>'ANALYSE - ERP =&gt; SEGMENT'!$FA$10*'ANALYSE - ERP =&gt; SEGMENT'!$JA$10</f>
        <v>0</v>
      </c>
      <c r="O17" s="458">
        <f>'ANALYSE - ERP =&gt; SEGMENT'!$FA$10*'ANALYSE - ERP =&gt; SEGMENT'!$JB$10</f>
        <v>121.68634482108715</v>
      </c>
      <c r="P17" s="458">
        <f>'ANALYSE - ERP =&gt; SEGMENT'!$FA$10*'ANALYSE - ERP =&gt; SEGMENT'!$JC$10</f>
        <v>1820.3449245404076</v>
      </c>
      <c r="Q17" s="458">
        <f>'ANALYSE - ERP =&gt; SEGMENT'!$FA$10*'ANALYSE - ERP =&gt; SEGMENT'!$JD$10</f>
        <v>2358.3043341802522</v>
      </c>
      <c r="R17" s="458">
        <f>'ANALYSE - ERP =&gt; SEGMENT'!$FA$10*'ANALYSE - ERP =&gt; SEGMENT'!$JE$10</f>
        <v>470.80962586225291</v>
      </c>
      <c r="T17" s="430">
        <f>'ANALYSE - ERP =&gt; SEGMENT'!$Q$10</f>
        <v>1</v>
      </c>
    </row>
    <row r="18" spans="1:20" ht="15" customHeight="1">
      <c r="A18" s="26">
        <v>15</v>
      </c>
      <c r="B18" s="26">
        <v>15</v>
      </c>
      <c r="C18" s="422">
        <f>'ANALYSE - ERP =&gt; SEGMENT'!$A$36</f>
        <v>37</v>
      </c>
      <c r="D18" s="510" t="s">
        <v>4908</v>
      </c>
      <c r="E18" s="510" t="s">
        <v>88</v>
      </c>
      <c r="F18" s="510" t="s">
        <v>7996</v>
      </c>
      <c r="H18" s="458">
        <f>'ANALYSE - ERP =&gt; SEGMENT'!$BD$36*'ANALYSE - ERP =&gt; SEGMENT'!$IV$36</f>
        <v>1849.0362000000002</v>
      </c>
      <c r="I18" s="458">
        <f>'ANALYSE - ERP =&gt; SEGMENT'!$BD$36*'ANALYSE - ERP =&gt; SEGMENT'!$IW$36</f>
        <v>5060.1994999999997</v>
      </c>
      <c r="J18" s="458">
        <f>'ANALYSE - ERP =&gt; SEGMENT'!$BD$36*'ANALYSE - ERP =&gt; SEGMENT'!$IX$36</f>
        <v>789.09690000000001</v>
      </c>
      <c r="K18" s="458">
        <f>'ANALYSE - ERP =&gt; SEGMENT'!$BD$36*'ANALYSE - ERP =&gt; SEGMENT'!$IY$36</f>
        <v>5.6546000000000003</v>
      </c>
      <c r="L18" s="458">
        <f>'ANALYSE - ERP =&gt; SEGMENT'!$BD$36*'ANALYSE - ERP =&gt; SEGMENT'!$IZ$36</f>
        <v>1.2800000000000001E-2</v>
      </c>
      <c r="N18" s="458">
        <f>'ANALYSE - ERP =&gt; SEGMENT'!$FA$36*'ANALYSE - ERP =&gt; SEGMENT'!$JA$36</f>
        <v>443.08518849336417</v>
      </c>
      <c r="O18" s="458">
        <f>'ANALYSE - ERP =&gt; SEGMENT'!$FA$36*'ANALYSE - ERP =&gt; SEGMENT'!$JB$36</f>
        <v>2863.7500835489923</v>
      </c>
      <c r="P18" s="458">
        <f>'ANALYSE - ERP =&gt; SEGMENT'!$FA$36*'ANALYSE - ERP =&gt; SEGMENT'!$JC$36</f>
        <v>1029.6231874103223</v>
      </c>
      <c r="Q18" s="458">
        <f>'ANALYSE - ERP =&gt; SEGMENT'!$FA$36*'ANALYSE - ERP =&gt; SEGMENT'!$JD$36</f>
        <v>15.177641699095371</v>
      </c>
      <c r="R18" s="458">
        <f>'ANALYSE - ERP =&gt; SEGMENT'!$FA$36*'ANALYSE - ERP =&gt; SEGMENT'!$JE$36</f>
        <v>0.16268884822571641</v>
      </c>
      <c r="T18" s="430">
        <f>'ANALYSE - ERP =&gt; SEGMENT'!$Q$36</f>
        <v>1</v>
      </c>
    </row>
    <row r="19" spans="1:20" ht="15" customHeight="1">
      <c r="A19" s="26">
        <v>16</v>
      </c>
      <c r="B19" s="26">
        <v>16</v>
      </c>
      <c r="C19" s="422">
        <f>'ANALYSE - ERP =&gt; SEGMENT'!$A$35</f>
        <v>36</v>
      </c>
      <c r="D19" s="510" t="s">
        <v>4908</v>
      </c>
      <c r="E19" s="510" t="s">
        <v>1985</v>
      </c>
      <c r="F19" s="510" t="s">
        <v>8002</v>
      </c>
      <c r="H19" s="458">
        <f>'ANALYSE - ERP =&gt; SEGMENT'!$BD$35*'ANALYSE - ERP =&gt; SEGMENT'!$IV$35</f>
        <v>295.63200000000006</v>
      </c>
      <c r="I19" s="458">
        <f>'ANALYSE - ERP =&gt; SEGMENT'!$BD$35*'ANALYSE - ERP =&gt; SEGMENT'!$IW$35</f>
        <v>2418.1589999999997</v>
      </c>
      <c r="J19" s="458">
        <f>'ANALYSE - ERP =&gt; SEGMENT'!$BD$35*'ANALYSE - ERP =&gt; SEGMENT'!$IX$35</f>
        <v>1486.0140000000001</v>
      </c>
      <c r="K19" s="458">
        <f>'ANALYSE - ERP =&gt; SEGMENT'!$BD$35*'ANALYSE - ERP =&gt; SEGMENT'!$IY$35</f>
        <v>77.984999999999999</v>
      </c>
      <c r="L19" s="458">
        <f>'ANALYSE - ERP =&gt; SEGMENT'!$BD$35*'ANALYSE - ERP =&gt; SEGMENT'!$IZ$35</f>
        <v>0.21</v>
      </c>
      <c r="N19" s="458">
        <f>'ANALYSE - ERP =&gt; SEGMENT'!$FA$35*'ANALYSE - ERP =&gt; SEGMENT'!$JA$35</f>
        <v>62.019425562524802</v>
      </c>
      <c r="O19" s="458">
        <f>'ANALYSE - ERP =&gt; SEGMENT'!$FA$35*'ANALYSE - ERP =&gt; SEGMENT'!$JB$35</f>
        <v>942.22417332607347</v>
      </c>
      <c r="P19" s="458">
        <f>'ANALYSE - ERP =&gt; SEGMENT'!$FA$35*'ANALYSE - ERP =&gt; SEGMENT'!$JC$35</f>
        <v>1065.7289452270229</v>
      </c>
      <c r="Q19" s="458">
        <f>'ANALYSE - ERP =&gt; SEGMENT'!$FA$35*'ANALYSE - ERP =&gt; SEGMENT'!$JD$35</f>
        <v>100.50043858483056</v>
      </c>
      <c r="R19" s="458">
        <f>'ANALYSE - ERP =&gt; SEGMENT'!$FA$35*'ANALYSE - ERP =&gt; SEGMENT'!$JE$35</f>
        <v>1.1265681631841433</v>
      </c>
      <c r="T19" s="430">
        <f>'ANALYSE - ERP =&gt; SEGMENT'!$Q$35</f>
        <v>1</v>
      </c>
    </row>
    <row r="20" spans="1:20" ht="15" customHeight="1">
      <c r="A20" s="26">
        <v>17</v>
      </c>
      <c r="B20" s="26">
        <v>17</v>
      </c>
      <c r="C20" s="422">
        <f>'ANALYSE - ERP =&gt; SEGMENT'!$A$21</f>
        <v>17</v>
      </c>
      <c r="D20" s="492" t="s">
        <v>2187</v>
      </c>
      <c r="E20" s="492" t="s">
        <v>1372</v>
      </c>
      <c r="F20" s="492" t="s">
        <v>7993</v>
      </c>
      <c r="H20" s="458">
        <f>'ANALYSE - ERP =&gt; SEGMENT'!$BD$21*'ANALYSE - ERP =&gt; SEGMENT'!$IV$21</f>
        <v>18.636800000000001</v>
      </c>
      <c r="I20" s="458">
        <f>'ANALYSE - ERP =&gt; SEGMENT'!$BD$21*'ANALYSE - ERP =&gt; SEGMENT'!$IW$21</f>
        <v>741.14560000000006</v>
      </c>
      <c r="J20" s="458">
        <f>'ANALYSE - ERP =&gt; SEGMENT'!$BD$21*'ANALYSE - ERP =&gt; SEGMENT'!$IX$21</f>
        <v>1635.0463999999999</v>
      </c>
      <c r="K20" s="458">
        <f>'ANALYSE - ERP =&gt; SEGMENT'!$BD$21*'ANALYSE - ERP =&gt; SEGMENT'!$IY$21</f>
        <v>857.95839999999987</v>
      </c>
      <c r="L20" s="458">
        <f>'ANALYSE - ERP =&gt; SEGMENT'!$BD$21*'ANALYSE - ERP =&gt; SEGMENT'!$IZ$21</f>
        <v>75.212800000000001</v>
      </c>
      <c r="N20" s="458">
        <f>'ANALYSE - ERP =&gt; SEGMENT'!$FA$21*'ANALYSE - ERP =&gt; SEGMENT'!$JA$21</f>
        <v>0</v>
      </c>
      <c r="O20" s="458">
        <f>'ANALYSE - ERP =&gt; SEGMENT'!$FA$21*'ANALYSE - ERP =&gt; SEGMENT'!$JB$21</f>
        <v>322.50743682302488</v>
      </c>
      <c r="P20" s="458">
        <f>'ANALYSE - ERP =&gt; SEGMENT'!$FA$21*'ANALYSE - ERP =&gt; SEGMENT'!$JC$21</f>
        <v>889.43419058684378</v>
      </c>
      <c r="Q20" s="458">
        <f>'ANALYSE - ERP =&gt; SEGMENT'!$FA$21*'ANALYSE - ERP =&gt; SEGMENT'!$JD$21</f>
        <v>489.53897576394007</v>
      </c>
      <c r="R20" s="458">
        <f>'ANALYSE - ERP =&gt; SEGMENT'!$FA$21*'ANALYSE - ERP =&gt; SEGMENT'!$JE$21</f>
        <v>49.374102705805107</v>
      </c>
      <c r="T20" s="430">
        <f>'ANALYSE - ERP =&gt; SEGMENT'!$Q$21</f>
        <v>1</v>
      </c>
    </row>
    <row r="21" spans="1:20" ht="15" customHeight="1">
      <c r="A21" s="26">
        <v>18</v>
      </c>
      <c r="B21" s="26">
        <v>19</v>
      </c>
      <c r="C21" s="422">
        <f>'ANALYSE - ERP =&gt; SEGMENT'!$A$18</f>
        <v>12</v>
      </c>
      <c r="D21" s="500" t="s">
        <v>3662</v>
      </c>
      <c r="E21" s="500" t="s">
        <v>1337</v>
      </c>
      <c r="F21" s="500" t="s">
        <v>7997</v>
      </c>
      <c r="H21" s="458">
        <f>'ANALYSE - ERP =&gt; SEGMENT'!$BD$18*'ANALYSE - ERP =&gt; SEGMENT'!$IV$18</f>
        <v>41.228000000000002</v>
      </c>
      <c r="I21" s="458">
        <f>'ANALYSE - ERP =&gt; SEGMENT'!$BD$18*'ANALYSE - ERP =&gt; SEGMENT'!$IW$18</f>
        <v>64.372</v>
      </c>
      <c r="J21" s="458">
        <f>'ANALYSE - ERP =&gt; SEGMENT'!$BD$18*'ANALYSE - ERP =&gt; SEGMENT'!$IX$18</f>
        <v>4.4000000000000004</v>
      </c>
      <c r="K21" s="458">
        <f>'ANALYSE - ERP =&gt; SEGMENT'!$BD$18*'ANALYSE - ERP =&gt; SEGMENT'!$IY$18</f>
        <v>0</v>
      </c>
      <c r="L21" s="458">
        <f>'ANALYSE - ERP =&gt; SEGMENT'!$BD$18*'ANALYSE - ERP =&gt; SEGMENT'!$IZ$18</f>
        <v>0</v>
      </c>
      <c r="N21" s="458">
        <f>'ANALYSE - ERP =&gt; SEGMENT'!$FA$18*'ANALYSE - ERP =&gt; SEGMENT'!$JA$18</f>
        <v>11.470214192568406</v>
      </c>
      <c r="O21" s="458">
        <f>'ANALYSE - ERP =&gt; SEGMENT'!$FA$18*'ANALYSE - ERP =&gt; SEGMENT'!$JB$18</f>
        <v>36.95649766203254</v>
      </c>
      <c r="P21" s="458">
        <f>'ANALYSE - ERP =&gt; SEGMENT'!$FA$18*'ANALYSE - ERP =&gt; SEGMENT'!$JC$18</f>
        <v>7.0385405272578856</v>
      </c>
      <c r="Q21" s="458">
        <f>'ANALYSE - ERP =&gt; SEGMENT'!$FA$18*'ANALYSE - ERP =&gt; SEGMENT'!$JD$18</f>
        <v>0</v>
      </c>
      <c r="R21" s="458">
        <f>'ANALYSE - ERP =&gt; SEGMENT'!$FA$18*'ANALYSE - ERP =&gt; SEGMENT'!$JE$18</f>
        <v>0</v>
      </c>
      <c r="T21" s="430">
        <f>'ANALYSE - ERP =&gt; SEGMENT'!$Q$18</f>
        <v>1</v>
      </c>
    </row>
    <row r="22" spans="1:20" ht="15" customHeight="1">
      <c r="A22" s="26">
        <v>19</v>
      </c>
      <c r="B22" s="26">
        <v>20</v>
      </c>
      <c r="C22" s="422">
        <f>'ANALYSE - ERP =&gt; SEGMENT'!$A$25</f>
        <v>22</v>
      </c>
      <c r="D22" s="506" t="s">
        <v>7117</v>
      </c>
      <c r="E22" s="506" t="s">
        <v>1487</v>
      </c>
      <c r="F22" s="506" t="s">
        <v>8004</v>
      </c>
      <c r="H22" s="458">
        <f>'ANALYSE - ERP =&gt; SEGMENT'!$BD$25*'ANALYSE - ERP =&gt; SEGMENT'!$IV$25</f>
        <v>223.92</v>
      </c>
      <c r="I22" s="458">
        <f>'ANALYSE - ERP =&gt; SEGMENT'!$BD$25*'ANALYSE - ERP =&gt; SEGMENT'!$IW$25</f>
        <v>778.19999999999993</v>
      </c>
      <c r="J22" s="458">
        <f>'ANALYSE - ERP =&gt; SEGMENT'!$BD$25*'ANALYSE - ERP =&gt; SEGMENT'!$IX$25</f>
        <v>603.16000000000008</v>
      </c>
      <c r="K22" s="458">
        <f>'ANALYSE - ERP =&gt; SEGMENT'!$BD$25*'ANALYSE - ERP =&gt; SEGMENT'!$IY$25</f>
        <v>906.72000000000014</v>
      </c>
      <c r="L22" s="458">
        <f>'ANALYSE - ERP =&gt; SEGMENT'!$BD$25*'ANALYSE - ERP =&gt; SEGMENT'!$IZ$25</f>
        <v>288</v>
      </c>
      <c r="N22" s="458">
        <f>'ANALYSE - ERP =&gt; SEGMENT'!$FA$25*'ANALYSE - ERP =&gt; SEGMENT'!$JA$25</f>
        <v>63.349013810276674</v>
      </c>
      <c r="O22" s="458">
        <f>'ANALYSE - ERP =&gt; SEGMENT'!$FA$25*'ANALYSE - ERP =&gt; SEGMENT'!$JB$25</f>
        <v>345.19320899984245</v>
      </c>
      <c r="P22" s="458">
        <f>'ANALYSE - ERP =&gt; SEGMENT'!$FA$25*'ANALYSE - ERP =&gt; SEGMENT'!$JC$25</f>
        <v>291.7844451339775</v>
      </c>
      <c r="Q22" s="458">
        <f>'ANALYSE - ERP =&gt; SEGMENT'!$FA$25*'ANALYSE - ERP =&gt; SEGMENT'!$JD$25</f>
        <v>429.48721028435045</v>
      </c>
      <c r="R22" s="458">
        <f>'ANALYSE - ERP =&gt; SEGMENT'!$FA$25*'ANALYSE - ERP =&gt; SEGMENT'!$JE$25</f>
        <v>189.56886047155299</v>
      </c>
      <c r="T22" s="430">
        <f>'ANALYSE - ERP =&gt; SEGMENT'!$Q$25</f>
        <v>1</v>
      </c>
    </row>
    <row r="23" spans="1:20" ht="15" customHeight="1">
      <c r="A23" s="26">
        <v>20</v>
      </c>
      <c r="B23" s="26">
        <v>18</v>
      </c>
      <c r="C23" s="422">
        <f>'ANALYSE - ERP =&gt; SEGMENT'!$A$8</f>
        <v>1</v>
      </c>
      <c r="D23" s="498" t="s">
        <v>6739</v>
      </c>
      <c r="E23" s="498" t="s">
        <v>2104</v>
      </c>
      <c r="F23" s="498" t="s">
        <v>671</v>
      </c>
      <c r="H23" s="458">
        <f>'ANALYSE - ERP =&gt; SEGMENT'!$BD$8*'ANALYSE - ERP =&gt; SEGMENT'!$IV$8</f>
        <v>77.810827500000002</v>
      </c>
      <c r="I23" s="458">
        <f>'ANALYSE - ERP =&gt; SEGMENT'!$BD$8*'ANALYSE - ERP =&gt; SEGMENT'!$IW$8</f>
        <v>1744.247865</v>
      </c>
      <c r="J23" s="458">
        <f>'ANALYSE - ERP =&gt; SEGMENT'!$BD$8*'ANALYSE - ERP =&gt; SEGMENT'!$IX$8</f>
        <v>2628.0889424999996</v>
      </c>
      <c r="K23" s="458">
        <f>'ANALYSE - ERP =&gt; SEGMENT'!$BD$8*'ANALYSE - ERP =&gt; SEGMENT'!$IY$8</f>
        <v>534.12736499999994</v>
      </c>
      <c r="L23" s="458">
        <f>'ANALYSE - ERP =&gt; SEGMENT'!$BD$8*'ANALYSE - ERP =&gt; SEGMENT'!$IZ$8</f>
        <v>0</v>
      </c>
      <c r="N23" s="458">
        <f>'ANALYSE - ERP =&gt; SEGMENT'!$FA$8*'ANALYSE - ERP =&gt; SEGMENT'!$JA$8</f>
        <v>5.928597954310888</v>
      </c>
      <c r="O23" s="458">
        <f>'ANALYSE - ERP =&gt; SEGMENT'!$FA$8*'ANALYSE - ERP =&gt; SEGMENT'!$JB$8</f>
        <v>229.18143696702307</v>
      </c>
      <c r="P23" s="458">
        <f>'ANALYSE - ERP =&gt; SEGMENT'!$FA$8*'ANALYSE - ERP =&gt; SEGMENT'!$JC$8</f>
        <v>643.6385069895249</v>
      </c>
      <c r="Q23" s="458">
        <f>'ANALYSE - ERP =&gt; SEGMENT'!$FA$8*'ANALYSE - ERP =&gt; SEGMENT'!$JD$8</f>
        <v>280.59588852645857</v>
      </c>
      <c r="R23" s="458">
        <f>'ANALYSE - ERP =&gt; SEGMENT'!$FA$8*'ANALYSE - ERP =&gt; SEGMENT'!$JE$8</f>
        <v>0.29040921878942227</v>
      </c>
      <c r="T23" s="430">
        <f>'ANALYSE - ERP =&gt; SEGMENT'!$Q$8</f>
        <v>1</v>
      </c>
    </row>
    <row r="24" spans="1:20" ht="15" customHeight="1">
      <c r="A24" s="26">
        <v>21</v>
      </c>
      <c r="B24" s="26">
        <v>21</v>
      </c>
      <c r="C24" s="422">
        <f>'ANALYSE - ERP =&gt; SEGMENT'!$A$17</f>
        <v>11</v>
      </c>
      <c r="D24" s="500" t="s">
        <v>3662</v>
      </c>
      <c r="E24" s="500" t="s">
        <v>1240</v>
      </c>
      <c r="F24" s="500" t="s">
        <v>8001</v>
      </c>
      <c r="H24" s="458">
        <f>'ANALYSE - ERP =&gt; SEGMENT'!$BD$17*'ANALYSE - ERP =&gt; SEGMENT'!$IV$17</f>
        <v>0</v>
      </c>
      <c r="I24" s="458">
        <f>'ANALYSE - ERP =&gt; SEGMENT'!$BD$17*'ANALYSE - ERP =&gt; SEGMENT'!$IW$17</f>
        <v>221.6242</v>
      </c>
      <c r="J24" s="458">
        <f>'ANALYSE - ERP =&gt; SEGMENT'!$BD$17*'ANALYSE - ERP =&gt; SEGMENT'!$IX$17</f>
        <v>669.2364</v>
      </c>
      <c r="K24" s="458">
        <f>'ANALYSE - ERP =&gt; SEGMENT'!$BD$17*'ANALYSE - ERP =&gt; SEGMENT'!$IY$17</f>
        <v>399.7392000000001</v>
      </c>
      <c r="L24" s="458">
        <f>'ANALYSE - ERP =&gt; SEGMENT'!$BD$17*'ANALYSE - ERP =&gt; SEGMENT'!$IZ$17</f>
        <v>45.400199999999998</v>
      </c>
      <c r="N24" s="458">
        <f>'ANALYSE - ERP =&gt; SEGMENT'!$FA$17*'ANALYSE - ERP =&gt; SEGMENT'!$JA$17</f>
        <v>0</v>
      </c>
      <c r="O24" s="458">
        <f>'ANALYSE - ERP =&gt; SEGMENT'!$FA$17*'ANALYSE - ERP =&gt; SEGMENT'!$JB$17</f>
        <v>42.299169682555743</v>
      </c>
      <c r="P24" s="458">
        <f>'ANALYSE - ERP =&gt; SEGMENT'!$FA$17*'ANALYSE - ERP =&gt; SEGMENT'!$JC$17</f>
        <v>237.42407113854935</v>
      </c>
      <c r="Q24" s="458">
        <f>'ANALYSE - ERP =&gt; SEGMENT'!$FA$17*'ANALYSE - ERP =&gt; SEGMENT'!$JD$17</f>
        <v>231.13883526771971</v>
      </c>
      <c r="R24" s="458">
        <f>'ANALYSE - ERP =&gt; SEGMENT'!$FA$17*'ANALYSE - ERP =&gt; SEGMENT'!$JE$17</f>
        <v>45.609160909038408</v>
      </c>
      <c r="T24" s="430">
        <f>'ANALYSE - ERP =&gt; SEGMENT'!$Q$17</f>
        <v>1</v>
      </c>
    </row>
    <row r="25" spans="1:20" ht="15" customHeight="1">
      <c r="A25" s="26">
        <v>22</v>
      </c>
      <c r="B25" s="26">
        <v>22</v>
      </c>
      <c r="C25" s="422">
        <f>'ANALYSE - ERP =&gt; SEGMENT'!$A$34</f>
        <v>35</v>
      </c>
      <c r="D25" s="510" t="s">
        <v>4908</v>
      </c>
      <c r="E25" s="510" t="s">
        <v>1950</v>
      </c>
      <c r="F25" s="510" t="s">
        <v>8005</v>
      </c>
      <c r="H25" s="458">
        <f>'ANALYSE - ERP =&gt; SEGMENT'!$BD$34*'ANALYSE - ERP =&gt; SEGMENT'!$IV$34</f>
        <v>42.827199999999998</v>
      </c>
      <c r="I25" s="458">
        <f>'ANALYSE - ERP =&gt; SEGMENT'!$BD$34*'ANALYSE - ERP =&gt; SEGMENT'!$IW$34</f>
        <v>330.97359999999998</v>
      </c>
      <c r="J25" s="458">
        <f>'ANALYSE - ERP =&gt; SEGMENT'!$BD$34*'ANALYSE - ERP =&gt; SEGMENT'!$IX$34</f>
        <v>194.19919999999999</v>
      </c>
      <c r="K25" s="458">
        <f>'ANALYSE - ERP =&gt; SEGMENT'!$BD$34*'ANALYSE - ERP =&gt; SEGMENT'!$IY$34</f>
        <v>0</v>
      </c>
      <c r="L25" s="458">
        <f>'ANALYSE - ERP =&gt; SEGMENT'!$BD$34*'ANALYSE - ERP =&gt; SEGMENT'!$IZ$34</f>
        <v>0</v>
      </c>
      <c r="N25" s="458">
        <f>'ANALYSE - ERP =&gt; SEGMENT'!$FA$34*'ANALYSE - ERP =&gt; SEGMENT'!$JA$34</f>
        <v>11.426670394999997</v>
      </c>
      <c r="O25" s="458">
        <f>'ANALYSE - ERP =&gt; SEGMENT'!$FA$34*'ANALYSE - ERP =&gt; SEGMENT'!$JB$34</f>
        <v>126.56642331899998</v>
      </c>
      <c r="P25" s="458">
        <f>'ANALYSE - ERP =&gt; SEGMENT'!$FA$34*'ANALYSE - ERP =&gt; SEGMENT'!$JC$34</f>
        <v>118.78601628599998</v>
      </c>
      <c r="Q25" s="458">
        <f>'ANALYSE - ERP =&gt; SEGMENT'!$FA$34*'ANALYSE - ERP =&gt; SEGMENT'!$JD$34</f>
        <v>0</v>
      </c>
      <c r="R25" s="458">
        <f>'ANALYSE - ERP =&gt; SEGMENT'!$FA$34*'ANALYSE - ERP =&gt; SEGMENT'!$JE$34</f>
        <v>0</v>
      </c>
      <c r="T25" s="430">
        <f>'ANALYSE - ERP =&gt; SEGMENT'!$Q$34</f>
        <v>1</v>
      </c>
    </row>
    <row r="26" spans="1:20" ht="15" customHeight="1">
      <c r="A26" s="26">
        <v>23</v>
      </c>
      <c r="B26" s="26">
        <v>23</v>
      </c>
      <c r="C26" s="422">
        <f>'ANALYSE - ERP =&gt; SEGMENT'!$A$15</f>
        <v>8</v>
      </c>
      <c r="D26" s="494" t="s">
        <v>2241</v>
      </c>
      <c r="E26" s="494" t="s">
        <v>2242</v>
      </c>
      <c r="F26" s="494" t="s">
        <v>7998</v>
      </c>
      <c r="H26" s="458">
        <f>'ANALYSE - ERP =&gt; SEGMENT'!$BD$15*'ANALYSE - ERP =&gt; SEGMENT'!$IV$15</f>
        <v>0</v>
      </c>
      <c r="I26" s="458">
        <f>'ANALYSE - ERP =&gt; SEGMENT'!$BD$15*'ANALYSE - ERP =&gt; SEGMENT'!$IW$15</f>
        <v>0</v>
      </c>
      <c r="J26" s="458">
        <f>'ANALYSE - ERP =&gt; SEGMENT'!$BD$15*'ANALYSE - ERP =&gt; SEGMENT'!$IX$15</f>
        <v>0</v>
      </c>
      <c r="K26" s="458">
        <f>'ANALYSE - ERP =&gt; SEGMENT'!$BD$15*'ANALYSE - ERP =&gt; SEGMENT'!$IY$15</f>
        <v>0</v>
      </c>
      <c r="L26" s="458">
        <f>'ANALYSE - ERP =&gt; SEGMENT'!$BD$15*'ANALYSE - ERP =&gt; SEGMENT'!$IZ$15</f>
        <v>0</v>
      </c>
      <c r="N26" s="458">
        <f>'ANALYSE - ERP =&gt; SEGMENT'!$FA$15*'ANALYSE - ERP =&gt; SEGMENT'!$JA$15</f>
        <v>0</v>
      </c>
      <c r="O26" s="458">
        <f>'ANALYSE - ERP =&gt; SEGMENT'!$FA$15*'ANALYSE - ERP =&gt; SEGMENT'!$JB$15</f>
        <v>0</v>
      </c>
      <c r="P26" s="458">
        <f>'ANALYSE - ERP =&gt; SEGMENT'!$FA$15*'ANALYSE - ERP =&gt; SEGMENT'!$JC$15</f>
        <v>0</v>
      </c>
      <c r="Q26" s="458">
        <f>'ANALYSE - ERP =&gt; SEGMENT'!$FA$15*'ANALYSE - ERP =&gt; SEGMENT'!$JD$15</f>
        <v>0</v>
      </c>
      <c r="R26" s="458">
        <f>'ANALYSE - ERP =&gt; SEGMENT'!$FA$15*'ANALYSE - ERP =&gt; SEGMENT'!$JE$15</f>
        <v>0</v>
      </c>
      <c r="T26" s="430">
        <f>'ANALYSE - ERP =&gt; SEGMENT'!$Q$15</f>
        <v>1</v>
      </c>
    </row>
    <row r="27" spans="1:20" ht="15" customHeight="1">
      <c r="A27" s="26">
        <v>24</v>
      </c>
      <c r="B27" s="26">
        <v>24</v>
      </c>
      <c r="C27" s="422">
        <f>'ANALYSE - ERP =&gt; SEGMENT'!$A$20</f>
        <v>16</v>
      </c>
      <c r="D27" s="492" t="s">
        <v>2187</v>
      </c>
      <c r="E27" s="492" t="s">
        <v>1435</v>
      </c>
      <c r="F27" s="492" t="s">
        <v>7999</v>
      </c>
      <c r="H27" s="458">
        <f>'ANALYSE - ERP =&gt; SEGMENT'!$BD$20*'ANALYSE - ERP =&gt; SEGMENT'!$IV$20</f>
        <v>0</v>
      </c>
      <c r="I27" s="458">
        <f>'ANALYSE - ERP =&gt; SEGMENT'!$BD$20*'ANALYSE - ERP =&gt; SEGMENT'!$IW$20</f>
        <v>0</v>
      </c>
      <c r="J27" s="458">
        <f>'ANALYSE - ERP =&gt; SEGMENT'!$BD$20*'ANALYSE - ERP =&gt; SEGMENT'!$IX$20</f>
        <v>0</v>
      </c>
      <c r="K27" s="458">
        <f>'ANALYSE - ERP =&gt; SEGMENT'!$BD$20*'ANALYSE - ERP =&gt; SEGMENT'!$IY$20</f>
        <v>0</v>
      </c>
      <c r="L27" s="458">
        <f>'ANALYSE - ERP =&gt; SEGMENT'!$BD$20*'ANALYSE - ERP =&gt; SEGMENT'!$IZ$20</f>
        <v>0</v>
      </c>
      <c r="N27" s="458">
        <f>'ANALYSE - ERP =&gt; SEGMENT'!$FA$20*'ANALYSE - ERP =&gt; SEGMENT'!$JA$20</f>
        <v>0</v>
      </c>
      <c r="O27" s="458">
        <f>'ANALYSE - ERP =&gt; SEGMENT'!$FA$20*'ANALYSE - ERP =&gt; SEGMENT'!$JB$20</f>
        <v>0</v>
      </c>
      <c r="P27" s="458">
        <f>'ANALYSE - ERP =&gt; SEGMENT'!$FA$20*'ANALYSE - ERP =&gt; SEGMENT'!$JC$20</f>
        <v>0</v>
      </c>
      <c r="Q27" s="458">
        <f>'ANALYSE - ERP =&gt; SEGMENT'!$FA$20*'ANALYSE - ERP =&gt; SEGMENT'!$JD$20</f>
        <v>0</v>
      </c>
      <c r="R27" s="458">
        <f>'ANALYSE - ERP =&gt; SEGMENT'!$FA$20*'ANALYSE - ERP =&gt; SEGMENT'!$JE$20</f>
        <v>0</v>
      </c>
      <c r="T27" s="430">
        <f>'ANALYSE - ERP =&gt; SEGMENT'!$Q$20</f>
        <v>1</v>
      </c>
    </row>
    <row r="28" spans="1:20" ht="15" customHeight="1">
      <c r="A28" s="26">
        <v>25</v>
      </c>
      <c r="B28" s="26">
        <v>25</v>
      </c>
      <c r="C28" s="422">
        <f>'ANALYSE - ERP =&gt; SEGMENT'!$A$22</f>
        <v>18</v>
      </c>
      <c r="D28" s="502" t="s">
        <v>2264</v>
      </c>
      <c r="E28" s="502" t="s">
        <v>4024</v>
      </c>
      <c r="F28" s="502" t="s">
        <v>679</v>
      </c>
      <c r="H28" s="458">
        <f>'ANALYSE - ERP =&gt; SEGMENT'!$BD$22*'ANALYSE - ERP =&gt; SEGMENT'!$IV$22</f>
        <v>197.262</v>
      </c>
      <c r="I28" s="458">
        <f>'ANALYSE - ERP =&gt; SEGMENT'!$BD$22*'ANALYSE - ERP =&gt; SEGMENT'!$IW$22</f>
        <v>2626.3665000000001</v>
      </c>
      <c r="J28" s="458">
        <f>'ANALYSE - ERP =&gt; SEGMENT'!$BD$22*'ANALYSE - ERP =&gt; SEGMENT'!$IX$22</f>
        <v>3127.1084999999998</v>
      </c>
      <c r="K28" s="458">
        <f>'ANALYSE - ERP =&gt; SEGMENT'!$BD$22*'ANALYSE - ERP =&gt; SEGMENT'!$IY$22</f>
        <v>372.39525000000003</v>
      </c>
      <c r="L28" s="458">
        <f>'ANALYSE - ERP =&gt; SEGMENT'!$BD$22*'ANALYSE - ERP =&gt; SEGMENT'!$IZ$22</f>
        <v>0</v>
      </c>
      <c r="N28" s="458">
        <f>'ANALYSE - ERP =&gt; SEGMENT'!$FA$22*'ANALYSE - ERP =&gt; SEGMENT'!$JA$22</f>
        <v>22.016409779659089</v>
      </c>
      <c r="O28" s="458">
        <f>'ANALYSE - ERP =&gt; SEGMENT'!$FA$22*'ANALYSE - ERP =&gt; SEGMENT'!$JB$22</f>
        <v>949.64114182929541</v>
      </c>
      <c r="P28" s="458">
        <f>'ANALYSE - ERP =&gt; SEGMENT'!$FA$22*'ANALYSE - ERP =&gt; SEGMENT'!$JC$22</f>
        <v>1264.231174903091</v>
      </c>
      <c r="Q28" s="458">
        <f>'ANALYSE - ERP =&gt; SEGMENT'!$FA$22*'ANALYSE - ERP =&gt; SEGMENT'!$JD$22</f>
        <v>198.39231479226137</v>
      </c>
      <c r="R28" s="458">
        <f>'ANALYSE - ERP =&gt; SEGMENT'!$FA$22*'ANALYSE - ERP =&gt; SEGMENT'!$JE$22</f>
        <v>11.986711991147727</v>
      </c>
      <c r="T28" s="430">
        <f>'ANALYSE - ERP =&gt; SEGMENT'!$Q$22</f>
        <v>1</v>
      </c>
    </row>
    <row r="29" spans="1:20" ht="15" customHeight="1">
      <c r="A29" s="26">
        <v>26</v>
      </c>
      <c r="B29" s="26">
        <v>26</v>
      </c>
      <c r="C29" s="422">
        <f>'ANALYSE - ERP =&gt; SEGMENT'!$A$27</f>
        <v>26</v>
      </c>
      <c r="D29" s="504" t="s">
        <v>2278</v>
      </c>
      <c r="E29" s="504" t="s">
        <v>1527</v>
      </c>
      <c r="F29" s="504" t="s">
        <v>7987</v>
      </c>
      <c r="H29" s="458">
        <f>'ANALYSE - ERP =&gt; SEGMENT'!$BD$27*'ANALYSE - ERP =&gt; SEGMENT'!$IV$27</f>
        <v>0</v>
      </c>
      <c r="I29" s="458">
        <f>'ANALYSE - ERP =&gt; SEGMENT'!$BD$27*'ANALYSE - ERP =&gt; SEGMENT'!$IW$27</f>
        <v>0</v>
      </c>
      <c r="J29" s="458">
        <f>'ANALYSE - ERP =&gt; SEGMENT'!$BD$27*'ANALYSE - ERP =&gt; SEGMENT'!$IX$27</f>
        <v>0</v>
      </c>
      <c r="K29" s="458">
        <f>'ANALYSE - ERP =&gt; SEGMENT'!$BD$27*'ANALYSE - ERP =&gt; SEGMENT'!$IY$27</f>
        <v>0</v>
      </c>
      <c r="L29" s="458">
        <f>'ANALYSE - ERP =&gt; SEGMENT'!$BD$27*'ANALYSE - ERP =&gt; SEGMENT'!$IZ$27</f>
        <v>0</v>
      </c>
      <c r="N29" s="458">
        <f>'ANALYSE - ERP =&gt; SEGMENT'!$FA$27*'ANALYSE - ERP =&gt; SEGMENT'!$JA$27</f>
        <v>0</v>
      </c>
      <c r="O29" s="458">
        <f>'ANALYSE - ERP =&gt; SEGMENT'!$FA$27*'ANALYSE - ERP =&gt; SEGMENT'!$JB$27</f>
        <v>0</v>
      </c>
      <c r="P29" s="458">
        <f>'ANALYSE - ERP =&gt; SEGMENT'!$FA$27*'ANALYSE - ERP =&gt; SEGMENT'!$JC$27</f>
        <v>0</v>
      </c>
      <c r="Q29" s="458">
        <f>'ANALYSE - ERP =&gt; SEGMENT'!$FA$27*'ANALYSE - ERP =&gt; SEGMENT'!$JD$27</f>
        <v>0</v>
      </c>
      <c r="R29" s="458">
        <f>'ANALYSE - ERP =&gt; SEGMENT'!$FA$27*'ANALYSE - ERP =&gt; SEGMENT'!$JE$27</f>
        <v>0</v>
      </c>
      <c r="T29" s="430">
        <f>'ANALYSE - ERP =&gt; SEGMENT'!$Q$27</f>
        <v>1</v>
      </c>
    </row>
    <row r="30" spans="1:20" ht="15" customHeight="1">
      <c r="A30" s="26">
        <v>27</v>
      </c>
      <c r="B30" s="26">
        <v>27</v>
      </c>
      <c r="C30" s="422">
        <f>'ANALYSE - ERP =&gt; SEGMENT'!$A$28</f>
        <v>27</v>
      </c>
      <c r="D30" s="504" t="s">
        <v>2278</v>
      </c>
      <c r="E30" s="504" t="s">
        <v>4578</v>
      </c>
      <c r="F30" s="504" t="s">
        <v>7989</v>
      </c>
      <c r="H30" s="458">
        <f>'ANALYSE - ERP =&gt; SEGMENT'!$BD$28*'ANALYSE - ERP =&gt; SEGMENT'!$IV$28</f>
        <v>81.760000000000005</v>
      </c>
      <c r="I30" s="458">
        <f>'ANALYSE - ERP =&gt; SEGMENT'!$BD$28*'ANALYSE - ERP =&gt; SEGMENT'!$IW$28</f>
        <v>433.52000000000004</v>
      </c>
      <c r="J30" s="458">
        <f>'ANALYSE - ERP =&gt; SEGMENT'!$BD$28*'ANALYSE - ERP =&gt; SEGMENT'!$IX$28</f>
        <v>264.88</v>
      </c>
      <c r="K30" s="458">
        <f>'ANALYSE - ERP =&gt; SEGMENT'!$BD$28*'ANALYSE - ERP =&gt; SEGMENT'!$IY$28</f>
        <v>19.84</v>
      </c>
      <c r="L30" s="458">
        <f>'ANALYSE - ERP =&gt; SEGMENT'!$BD$28*'ANALYSE - ERP =&gt; SEGMENT'!$IZ$28</f>
        <v>0</v>
      </c>
      <c r="N30" s="458">
        <f>'ANALYSE - ERP =&gt; SEGMENT'!$FA$28*'ANALYSE - ERP =&gt; SEGMENT'!$JA$28</f>
        <v>37.585992874999995</v>
      </c>
      <c r="O30" s="458">
        <f>'ANALYSE - ERP =&gt; SEGMENT'!$FA$28*'ANALYSE - ERP =&gt; SEGMENT'!$JB$28</f>
        <v>223.80944224999996</v>
      </c>
      <c r="P30" s="458">
        <f>'ANALYSE - ERP =&gt; SEGMENT'!$FA$28*'ANALYSE - ERP =&gt; SEGMENT'!$JC$28</f>
        <v>147.27224450000003</v>
      </c>
      <c r="Q30" s="458">
        <f>'ANALYSE - ERP =&gt; SEGMENT'!$FA$28*'ANALYSE - ERP =&gt; SEGMENT'!$JD$28</f>
        <v>16.595858374999999</v>
      </c>
      <c r="R30" s="458">
        <f>'ANALYSE - ERP =&gt; SEGMENT'!$FA$28*'ANALYSE - ERP =&gt; SEGMENT'!$JE$28</f>
        <v>1.3652119999999999</v>
      </c>
      <c r="T30" s="430">
        <f>'ANALYSE - ERP =&gt; SEGMENT'!$Q$28</f>
        <v>1</v>
      </c>
    </row>
    <row r="31" spans="1:20" ht="15" customHeight="1">
      <c r="A31" s="26">
        <v>28</v>
      </c>
      <c r="B31" s="26">
        <v>28</v>
      </c>
      <c r="C31" s="422">
        <f>'ANALYSE - ERP =&gt; SEGMENT'!$A$29</f>
        <v>28</v>
      </c>
      <c r="D31" s="504" t="s">
        <v>2278</v>
      </c>
      <c r="E31" s="504" t="s">
        <v>1576</v>
      </c>
      <c r="F31" s="504" t="s">
        <v>1577</v>
      </c>
      <c r="H31" s="458">
        <f>'ANALYSE - ERP =&gt; SEGMENT'!$BD$29*'ANALYSE - ERP =&gt; SEGMENT'!$IV$29</f>
        <v>0</v>
      </c>
      <c r="I31" s="458">
        <f>'ANALYSE - ERP =&gt; SEGMENT'!$BD$29*'ANALYSE - ERP =&gt; SEGMENT'!$IW$29</f>
        <v>0</v>
      </c>
      <c r="J31" s="458">
        <f>'ANALYSE - ERP =&gt; SEGMENT'!$BD$29*'ANALYSE - ERP =&gt; SEGMENT'!$IX$29</f>
        <v>0</v>
      </c>
      <c r="K31" s="458">
        <f>'ANALYSE - ERP =&gt; SEGMENT'!$BD$29*'ANALYSE - ERP =&gt; SEGMENT'!$IY$29</f>
        <v>0</v>
      </c>
      <c r="L31" s="458">
        <f>'ANALYSE - ERP =&gt; SEGMENT'!$BD$29*'ANALYSE - ERP =&gt; SEGMENT'!$IZ$29</f>
        <v>0</v>
      </c>
      <c r="N31" s="458">
        <f>'ANALYSE - ERP =&gt; SEGMENT'!$FA$29*'ANALYSE - ERP =&gt; SEGMENT'!$JA$29</f>
        <v>0</v>
      </c>
      <c r="O31" s="458">
        <f>'ANALYSE - ERP =&gt; SEGMENT'!$FA$29*'ANALYSE - ERP =&gt; SEGMENT'!$JB$29</f>
        <v>0</v>
      </c>
      <c r="P31" s="458">
        <f>'ANALYSE - ERP =&gt; SEGMENT'!$FA$29*'ANALYSE - ERP =&gt; SEGMENT'!$JC$29</f>
        <v>0</v>
      </c>
      <c r="Q31" s="458">
        <f>'ANALYSE - ERP =&gt; SEGMENT'!$FA$29*'ANALYSE - ERP =&gt; SEGMENT'!$JD$29</f>
        <v>0</v>
      </c>
      <c r="R31" s="458">
        <f>'ANALYSE - ERP =&gt; SEGMENT'!$FA$29*'ANALYSE - ERP =&gt; SEGMENT'!$JE$29</f>
        <v>0</v>
      </c>
      <c r="T31" s="430">
        <f>'ANALYSE - ERP =&gt; SEGMENT'!$Q$29</f>
        <v>1</v>
      </c>
    </row>
    <row r="32" spans="1:20" ht="15" customHeight="1">
      <c r="A32" s="26">
        <v>29</v>
      </c>
      <c r="B32" s="26">
        <v>29</v>
      </c>
      <c r="C32" s="422">
        <f>'ANALYSE - ERP =&gt; SEGMENT'!$A$33</f>
        <v>33</v>
      </c>
      <c r="D32" s="508" t="s">
        <v>2285</v>
      </c>
      <c r="E32" s="508" t="s">
        <v>7336</v>
      </c>
      <c r="F32" s="508" t="s">
        <v>7337</v>
      </c>
      <c r="H32" s="458">
        <f>'ANALYSE - ERP =&gt; SEGMENT'!$BD$33*'ANALYSE - ERP =&gt; SEGMENT'!$IV$33</f>
        <v>0</v>
      </c>
      <c r="I32" s="458">
        <f>'ANALYSE - ERP =&gt; SEGMENT'!$BD$33*'ANALYSE - ERP =&gt; SEGMENT'!$IW$33</f>
        <v>0</v>
      </c>
      <c r="J32" s="458">
        <f>'ANALYSE - ERP =&gt; SEGMENT'!$BD$33*'ANALYSE - ERP =&gt; SEGMENT'!$IX$33</f>
        <v>0</v>
      </c>
      <c r="K32" s="458">
        <f>'ANALYSE - ERP =&gt; SEGMENT'!$BD$33*'ANALYSE - ERP =&gt; SEGMENT'!$IY$33</f>
        <v>0</v>
      </c>
      <c r="L32" s="458">
        <f>'ANALYSE - ERP =&gt; SEGMENT'!$BD$33*'ANALYSE - ERP =&gt; SEGMENT'!$IZ$33</f>
        <v>0</v>
      </c>
      <c r="N32" s="458">
        <f>'ANALYSE - ERP =&gt; SEGMENT'!$FA$33*'ANALYSE - ERP =&gt; SEGMENT'!$JA$33</f>
        <v>0</v>
      </c>
      <c r="O32" s="458">
        <f>'ANALYSE - ERP =&gt; SEGMENT'!$FA$33*'ANALYSE - ERP =&gt; SEGMENT'!$JB$33</f>
        <v>0</v>
      </c>
      <c r="P32" s="458">
        <f>'ANALYSE - ERP =&gt; SEGMENT'!$FA$33*'ANALYSE - ERP =&gt; SEGMENT'!$JC$33</f>
        <v>0</v>
      </c>
      <c r="Q32" s="458">
        <f>'ANALYSE - ERP =&gt; SEGMENT'!$FA$33*'ANALYSE - ERP =&gt; SEGMENT'!$JD$33</f>
        <v>0</v>
      </c>
      <c r="R32" s="458">
        <f>'ANALYSE - ERP =&gt; SEGMENT'!$FA$33*'ANALYSE - ERP =&gt; SEGMENT'!$JE$33</f>
        <v>0</v>
      </c>
      <c r="T32" s="430">
        <f>'ANALYSE - ERP =&gt; SEGMENT'!$Q$33</f>
        <v>0</v>
      </c>
    </row>
    <row r="33" spans="1:20" ht="15" customHeight="1">
      <c r="A33" s="26">
        <v>30</v>
      </c>
      <c r="B33" s="26">
        <v>30</v>
      </c>
      <c r="C33" s="422">
        <f>'ANALYSE - ERP =&gt; SEGMENT'!$A$37</f>
        <v>38</v>
      </c>
      <c r="D33" s="510" t="s">
        <v>4908</v>
      </c>
      <c r="E33" s="510" t="s">
        <v>2027</v>
      </c>
      <c r="F33" s="510" t="s">
        <v>8003</v>
      </c>
      <c r="H33" s="458">
        <f>'ANALYSE - ERP =&gt; SEGMENT'!$BD$37*'ANALYSE - ERP =&gt; SEGMENT'!$IV$37</f>
        <v>0</v>
      </c>
      <c r="I33" s="458">
        <f>'ANALYSE - ERP =&gt; SEGMENT'!$BD$37*'ANALYSE - ERP =&gt; SEGMENT'!$IW$37</f>
        <v>0</v>
      </c>
      <c r="J33" s="458">
        <f>'ANALYSE - ERP =&gt; SEGMENT'!$BD$37*'ANALYSE - ERP =&gt; SEGMENT'!$IX$37</f>
        <v>0</v>
      </c>
      <c r="K33" s="458">
        <f>'ANALYSE - ERP =&gt; SEGMENT'!$BD$37*'ANALYSE - ERP =&gt; SEGMENT'!$IY$37</f>
        <v>0</v>
      </c>
      <c r="L33" s="458">
        <f>'ANALYSE - ERP =&gt; SEGMENT'!$BD$37*'ANALYSE - ERP =&gt; SEGMENT'!$IZ$37</f>
        <v>0</v>
      </c>
      <c r="N33" s="458">
        <f>'ANALYSE - ERP =&gt; SEGMENT'!$FA$37*'ANALYSE - ERP =&gt; SEGMENT'!$JA$37</f>
        <v>0</v>
      </c>
      <c r="O33" s="458">
        <f>'ANALYSE - ERP =&gt; SEGMENT'!$FA$37*'ANALYSE - ERP =&gt; SEGMENT'!$JB$37</f>
        <v>0</v>
      </c>
      <c r="P33" s="458">
        <f>'ANALYSE - ERP =&gt; SEGMENT'!$FA$37*'ANALYSE - ERP =&gt; SEGMENT'!$JC$37</f>
        <v>0</v>
      </c>
      <c r="Q33" s="458">
        <f>'ANALYSE - ERP =&gt; SEGMENT'!$FA$37*'ANALYSE - ERP =&gt; SEGMENT'!$JD$37</f>
        <v>0</v>
      </c>
      <c r="R33" s="458">
        <f>'ANALYSE - ERP =&gt; SEGMENT'!$FA$37*'ANALYSE - ERP =&gt; SEGMENT'!$JE$37</f>
        <v>0</v>
      </c>
      <c r="T33" s="430">
        <f>'ANALYSE - ERP =&gt; SEGMENT'!$Q$37</f>
        <v>1</v>
      </c>
    </row>
    <row r="34" spans="1:20" ht="15" customHeight="1">
      <c r="A34" s="26">
        <v>31</v>
      </c>
      <c r="B34" s="26">
        <v>31</v>
      </c>
      <c r="C34" s="422">
        <f>'ANALYSE - ERP =&gt; SEGMENT'!$A$38</f>
        <v>39</v>
      </c>
      <c r="D34" s="502" t="s">
        <v>2163</v>
      </c>
      <c r="E34" s="502" t="s">
        <v>2163</v>
      </c>
      <c r="F34" s="502" t="s">
        <v>2164</v>
      </c>
      <c r="H34" s="458">
        <f>'ANALYSE - ERP =&gt; SEGMENT'!$BD$38*'ANALYSE - ERP =&gt; SEGMENT'!$IV$38</f>
        <v>0</v>
      </c>
      <c r="I34" s="458">
        <f>'ANALYSE - ERP =&gt; SEGMENT'!$BD$38*'ANALYSE - ERP =&gt; SEGMENT'!$IW$38</f>
        <v>0</v>
      </c>
      <c r="J34" s="458">
        <f>'ANALYSE - ERP =&gt; SEGMENT'!$BD$38*'ANALYSE - ERP =&gt; SEGMENT'!$IX$38</f>
        <v>0</v>
      </c>
      <c r="K34" s="458">
        <f>'ANALYSE - ERP =&gt; SEGMENT'!$BD$38*'ANALYSE - ERP =&gt; SEGMENT'!$IY$38</f>
        <v>0</v>
      </c>
      <c r="L34" s="458">
        <f>'ANALYSE - ERP =&gt; SEGMENT'!$BD$38*'ANALYSE - ERP =&gt; SEGMENT'!$IZ$38</f>
        <v>0</v>
      </c>
      <c r="N34" s="458">
        <f>'ANALYSE - ERP =&gt; SEGMENT'!$FA$38*'ANALYSE - ERP =&gt; SEGMENT'!$JA$38</f>
        <v>0</v>
      </c>
      <c r="O34" s="458">
        <f>'ANALYSE - ERP =&gt; SEGMENT'!$FA$38*'ANALYSE - ERP =&gt; SEGMENT'!$JB$38</f>
        <v>0</v>
      </c>
      <c r="P34" s="458">
        <f>'ANALYSE - ERP =&gt; SEGMENT'!$FA$38*'ANALYSE - ERP =&gt; SEGMENT'!$JC$38</f>
        <v>0</v>
      </c>
      <c r="Q34" s="458">
        <f>'ANALYSE - ERP =&gt; SEGMENT'!$FA$38*'ANALYSE - ERP =&gt; SEGMENT'!$JD$38</f>
        <v>0</v>
      </c>
      <c r="R34" s="458">
        <f>'ANALYSE - ERP =&gt; SEGMENT'!$FA$38*'ANALYSE - ERP =&gt; SEGMENT'!$JE$38</f>
        <v>0</v>
      </c>
      <c r="T34" s="430">
        <f>'ANALYSE - ERP =&gt; SEGMENT'!$Q$38</f>
        <v>1</v>
      </c>
    </row>
  </sheetData>
  <pageMargins left="3.937007874015748E-2" right="3.937007874015748E-2" top="7.874015748031496E-2" bottom="7.874015748031496E-2" header="0.11811023622047249" footer="0.11811023622047249"/>
  <pageSetup paperSize="8" scale="88" fitToHeight="2"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5"/>
    <pageSetUpPr fitToPage="1"/>
  </sheetPr>
  <dimension ref="A1:BZ34"/>
  <sheetViews>
    <sheetView zoomScale="85" zoomScaleNormal="85" workbookViewId="0">
      <selection activeCell="F21" sqref="F21"/>
    </sheetView>
  </sheetViews>
  <sheetFormatPr baseColWidth="10" defaultColWidth="9.140625" defaultRowHeight="15"/>
  <cols>
    <col min="1" max="2" width="9" style="934" customWidth="1"/>
    <col min="3" max="3" width="6" style="934" customWidth="1"/>
    <col min="4" max="4" width="32.5703125" style="934" customWidth="1"/>
    <col min="5" max="5" width="28.85546875" style="43" customWidth="1"/>
    <col min="6" max="6" width="51" style="43" customWidth="1"/>
    <col min="7" max="7" width="1.7109375" style="933" customWidth="1"/>
    <col min="8" max="8" width="8.7109375" style="43" customWidth="1"/>
    <col min="9" max="12" width="8.7109375" style="934" customWidth="1"/>
    <col min="13" max="13" width="1.7109375" style="933" customWidth="1"/>
    <col min="14" max="18" width="8.710937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7977</v>
      </c>
      <c r="F1" s="479"/>
      <c r="H1" s="474"/>
      <c r="I1" s="474"/>
      <c r="J1" s="475" t="s">
        <v>7968</v>
      </c>
      <c r="K1" s="474"/>
      <c r="L1" s="474"/>
      <c r="N1" s="452"/>
      <c r="O1" s="452"/>
      <c r="P1" s="476" t="s">
        <v>7969</v>
      </c>
      <c r="Q1" s="452"/>
      <c r="R1" s="452"/>
      <c r="T1" s="452"/>
    </row>
    <row r="2" spans="1:20"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405" t="s">
        <v>2086</v>
      </c>
      <c r="E3" s="405" t="s">
        <v>6728</v>
      </c>
      <c r="F3" s="405" t="s">
        <v>6729</v>
      </c>
      <c r="H3" s="790">
        <f>'ANALYSE - ERP =&gt; SEGMENT'!JF6</f>
        <v>0.1170054954836449</v>
      </c>
      <c r="I3" s="790">
        <f>'ANALYSE - ERP =&gt; SEGMENT'!JG6</f>
        <v>0.5130523461259876</v>
      </c>
      <c r="J3" s="790">
        <f>'ANALYSE - ERP =&gt; SEGMENT'!JH6</f>
        <v>0.29778804815814497</v>
      </c>
      <c r="K3" s="790">
        <f>'ANALYSE - ERP =&gt; SEGMENT'!JI6</f>
        <v>4.3396753265816171E-2</v>
      </c>
      <c r="L3" s="790">
        <f>'ANALYSE - ERP =&gt; SEGMENT'!JJ6</f>
        <v>3.3951424459846792E-3</v>
      </c>
      <c r="N3" s="790">
        <f>'ANALYSE - ERP =&gt; SEGMENT'!JK6</f>
        <v>6.4594907226919004E-2</v>
      </c>
      <c r="O3" s="790">
        <f>'ANALYSE - ERP =&gt; SEGMENT'!JL6</f>
        <v>0.45831558968893149</v>
      </c>
      <c r="P3" s="790">
        <f>'ANALYSE - ERP =&gt; SEGMENT'!JM6</f>
        <v>0.371696439371341</v>
      </c>
      <c r="Q3" s="790">
        <f>'ANALYSE - ERP =&gt; SEGMENT'!JN6</f>
        <v>7.6329996215464643E-2</v>
      </c>
      <c r="R3" s="790">
        <f>'ANALYSE - ERP =&gt; SEGMENT'!JO6</f>
        <v>8.4193892455794884E-3</v>
      </c>
      <c r="T3" s="428">
        <f>SUM('ANALYSE - ERP =&gt; SEGMENT'!$Q$8:$Q$110)</f>
        <v>34</v>
      </c>
    </row>
    <row r="4" spans="1:20" ht="15" customHeight="1">
      <c r="A4" s="26">
        <v>1</v>
      </c>
      <c r="B4" s="26">
        <v>2</v>
      </c>
      <c r="C4" s="422">
        <f>'ANALYSE - ERP =&gt; SEGMENT'!$A$19</f>
        <v>15</v>
      </c>
      <c r="D4" s="492" t="s">
        <v>2187</v>
      </c>
      <c r="E4" s="492" t="s">
        <v>3877</v>
      </c>
      <c r="F4" s="492" t="s">
        <v>7981</v>
      </c>
      <c r="H4" s="787">
        <f>'ANALYSE - ERP =&gt; SEGMENT'!$JF$19</f>
        <v>5.6492773562333051E-2</v>
      </c>
      <c r="I4" s="787">
        <f>'ANALYSE - ERP =&gt; SEGMENT'!$JG$19</f>
        <v>0.46372161703731624</v>
      </c>
      <c r="J4" s="787">
        <f>'ANALYSE - ERP =&gt; SEGMENT'!$JH$19</f>
        <v>0.37324670348579947</v>
      </c>
      <c r="K4" s="787">
        <f>'ANALYSE - ERP =&gt; SEGMENT'!$JI$19</f>
        <v>8.8101466756256255E-2</v>
      </c>
      <c r="L4" s="787">
        <f>'ANALYSE - ERP =&gt; SEGMENT'!$JJ$19</f>
        <v>1.8437439158294957E-2</v>
      </c>
      <c r="N4" s="787">
        <f>'ANALYSE - ERP =&gt; SEGMENT'!$JK$19</f>
        <v>1.4409838198788487E-2</v>
      </c>
      <c r="O4" s="787">
        <f>'ANALYSE - ERP =&gt; SEGMENT'!$JL$19</f>
        <v>0.39683573610805556</v>
      </c>
      <c r="P4" s="787">
        <f>'ANALYSE - ERP =&gt; SEGMENT'!$JM$19</f>
        <v>0.44948898497942946</v>
      </c>
      <c r="Q4" s="787">
        <f>'ANALYSE - ERP =&gt; SEGMENT'!$JN$19</f>
        <v>0.11592915760378666</v>
      </c>
      <c r="R4" s="787">
        <f>'ANALYSE - ERP =&gt; SEGMENT'!$JO$19</f>
        <v>2.3336283109939831E-2</v>
      </c>
      <c r="T4" s="430">
        <f>'ANALYSE - ERP =&gt; SEGMENT'!$Q$19</f>
        <v>1</v>
      </c>
    </row>
    <row r="5" spans="1:20" ht="15" customHeight="1">
      <c r="A5" s="26">
        <v>2</v>
      </c>
      <c r="B5" s="26">
        <v>1</v>
      </c>
      <c r="C5" s="422">
        <f>'ANALYSE - ERP =&gt; SEGMENT'!$A$9</f>
        <v>2</v>
      </c>
      <c r="D5" s="498" t="s">
        <v>6739</v>
      </c>
      <c r="E5" s="498" t="s">
        <v>2678</v>
      </c>
      <c r="F5" s="498" t="s">
        <v>7984</v>
      </c>
      <c r="H5" s="787">
        <f>'ANALYSE - ERP =&gt; SEGMENT'!$JF$9</f>
        <v>0.15993232917675387</v>
      </c>
      <c r="I5" s="787">
        <f>'ANALYSE - ERP =&gt; SEGMENT'!$JG$9</f>
        <v>0.53632800844934525</v>
      </c>
      <c r="J5" s="787">
        <f>'ANALYSE - ERP =&gt; SEGMENT'!$JH$9</f>
        <v>0.21241899233734796</v>
      </c>
      <c r="K5" s="787">
        <f>'ANALYSE - ERP =&gt; SEGMENT'!$JI$9</f>
        <v>1.1445973739226433E-2</v>
      </c>
      <c r="L5" s="787">
        <f>'ANALYSE - ERP =&gt; SEGMENT'!$JJ$9</f>
        <v>1.1878849254814692E-4</v>
      </c>
      <c r="N5" s="787">
        <f>'ANALYSE - ERP =&gt; SEGMENT'!$JK$9</f>
        <v>6.8061426923573976E-2</v>
      </c>
      <c r="O5" s="787">
        <f>'ANALYSE - ERP =&gt; SEGMENT'!$JL$9</f>
        <v>0.45984087577494004</v>
      </c>
      <c r="P5" s="787">
        <f>'ANALYSE - ERP =&gt; SEGMENT'!$JM$9</f>
        <v>0.36201759021237878</v>
      </c>
      <c r="Q5" s="787">
        <f>'ANALYSE - ERP =&gt; SEGMENT'!$JN$9</f>
        <v>3.5541936796383441E-2</v>
      </c>
      <c r="R5" s="787">
        <f>'ANALYSE - ERP =&gt; SEGMENT'!$JO$9</f>
        <v>5.5412285488995016E-4</v>
      </c>
      <c r="T5" s="430">
        <f>'ANALYSE - ERP =&gt; SEGMENT'!$Q$9</f>
        <v>1</v>
      </c>
    </row>
    <row r="6" spans="1:20" ht="15" customHeight="1">
      <c r="A6" s="26">
        <v>3</v>
      </c>
      <c r="B6" s="26">
        <v>3</v>
      </c>
      <c r="C6" s="422">
        <f>'ANALYSE - ERP =&gt; SEGMENT'!$A$16</f>
        <v>10</v>
      </c>
      <c r="D6" s="500" t="s">
        <v>3662</v>
      </c>
      <c r="E6" s="500" t="s">
        <v>1114</v>
      </c>
      <c r="F6" s="500" t="s">
        <v>7985</v>
      </c>
      <c r="H6" s="787">
        <f>'ANALYSE - ERP =&gt; SEGMENT'!$JF$16</f>
        <v>5.2138130047388175E-2</v>
      </c>
      <c r="I6" s="787">
        <f>'ANALYSE - ERP =&gt; SEGMENT'!$JG$16</f>
        <v>0.45474419682847939</v>
      </c>
      <c r="J6" s="787">
        <f>'ANALYSE - ERP =&gt; SEGMENT'!$JH$16</f>
        <v>0.41031270728054758</v>
      </c>
      <c r="K6" s="787">
        <f>'ANALYSE - ERP =&gt; SEGMENT'!$JI$16</f>
        <v>7.8819438043203252E-2</v>
      </c>
      <c r="L6" s="787">
        <f>'ANALYSE - ERP =&gt; SEGMENT'!$JJ$16</f>
        <v>2.7204753861828921E-3</v>
      </c>
      <c r="N6" s="787">
        <f>'ANALYSE - ERP =&gt; SEGMENT'!$JK$16</f>
        <v>2.4276562501545314E-2</v>
      </c>
      <c r="O6" s="787">
        <f>'ANALYSE - ERP =&gt; SEGMENT'!$JL$16</f>
        <v>0.39046891347603602</v>
      </c>
      <c r="P6" s="787">
        <f>'ANALYSE - ERP =&gt; SEGMENT'!$JM$16</f>
        <v>0.44724623502475191</v>
      </c>
      <c r="Q6" s="787">
        <f>'ANALYSE - ERP =&gt; SEGMENT'!$JN$16</f>
        <v>0.12571181759868788</v>
      </c>
      <c r="R6" s="787">
        <f>'ANALYSE - ERP =&gt; SEGMENT'!$JO$16</f>
        <v>9.5891653023469116E-3</v>
      </c>
      <c r="T6" s="430">
        <f>'ANALYSE - ERP =&gt; SEGMENT'!$Q$16</f>
        <v>1</v>
      </c>
    </row>
    <row r="7" spans="1:20" ht="15" customHeight="1">
      <c r="A7" s="26">
        <v>4</v>
      </c>
      <c r="B7" s="26">
        <v>4</v>
      </c>
      <c r="C7" s="422">
        <f>'ANALYSE - ERP =&gt; SEGMENT'!$A$22</f>
        <v>18</v>
      </c>
      <c r="D7" s="502" t="s">
        <v>2264</v>
      </c>
      <c r="E7" s="502" t="s">
        <v>4024</v>
      </c>
      <c r="F7" s="502" t="s">
        <v>679</v>
      </c>
      <c r="H7" s="787">
        <f>'ANALYSE - ERP =&gt; SEGMENT'!$JF$22</f>
        <v>5.3999999999999999E-2</v>
      </c>
      <c r="I7" s="787">
        <f>'ANALYSE - ERP =&gt; SEGMENT'!$JG$22</f>
        <v>0.53969999999999996</v>
      </c>
      <c r="J7" s="787">
        <f>'ANALYSE - ERP =&gt; SEGMENT'!$JH$22</f>
        <v>0.37480000000000008</v>
      </c>
      <c r="K7" s="787">
        <f>'ANALYSE - ERP =&gt; SEGMENT'!$JI$22</f>
        <v>3.15E-2</v>
      </c>
      <c r="L7" s="787">
        <f>'ANALYSE - ERP =&gt; SEGMENT'!$JJ$22</f>
        <v>0</v>
      </c>
      <c r="N7" s="787">
        <f>'ANALYSE - ERP =&gt; SEGMENT'!$JK$22</f>
        <v>3.1800000000000002E-2</v>
      </c>
      <c r="O7" s="787">
        <f>'ANALYSE - ERP =&gt; SEGMENT'!$JL$22</f>
        <v>0.51249999999999996</v>
      </c>
      <c r="P7" s="787">
        <f>'ANALYSE - ERP =&gt; SEGMENT'!$JM$22</f>
        <v>0.39699999999999996</v>
      </c>
      <c r="Q7" s="787">
        <f>'ANALYSE - ERP =&gt; SEGMENT'!$JN$22</f>
        <v>5.3699999999999998E-2</v>
      </c>
      <c r="R7" s="787">
        <f>'ANALYSE - ERP =&gt; SEGMENT'!$JO$22</f>
        <v>5.0000000000000001E-3</v>
      </c>
      <c r="T7" s="430">
        <f>'ANALYSE - ERP =&gt; SEGMENT'!$Q$22</f>
        <v>1</v>
      </c>
    </row>
    <row r="8" spans="1:20" ht="15" customHeight="1">
      <c r="A8" s="26">
        <v>5</v>
      </c>
      <c r="B8" s="26">
        <v>6</v>
      </c>
      <c r="C8" s="422">
        <f>'ANALYSE - ERP =&gt; SEGMENT'!$A$31</f>
        <v>30</v>
      </c>
      <c r="D8" s="496" t="s">
        <v>1670</v>
      </c>
      <c r="E8" s="496" t="s">
        <v>1747</v>
      </c>
      <c r="F8" s="496" t="s">
        <v>7986</v>
      </c>
      <c r="H8" s="787">
        <f>'ANALYSE - ERP =&gt; SEGMENT'!$JF$31</f>
        <v>0.1999750721409406</v>
      </c>
      <c r="I8" s="787">
        <f>'ANALYSE - ERP =&gt; SEGMENT'!$JG$31</f>
        <v>0.60063222801599758</v>
      </c>
      <c r="J8" s="787">
        <f>'ANALYSE - ERP =&gt; SEGMENT'!$JH$31</f>
        <v>0.18685559661823523</v>
      </c>
      <c r="K8" s="787">
        <f>'ANALYSE - ERP =&gt; SEGMENT'!$JI$31</f>
        <v>1.253710322482661E-2</v>
      </c>
      <c r="L8" s="787">
        <f>'ANALYSE - ERP =&gt; SEGMENT'!$JJ$31</f>
        <v>0</v>
      </c>
      <c r="N8" s="787">
        <f>'ANALYSE - ERP =&gt; SEGMENT'!$JK$31</f>
        <v>0.16476127114750114</v>
      </c>
      <c r="O8" s="787">
        <f>'ANALYSE - ERP =&gt; SEGMENT'!$JL$31</f>
        <v>0.56389123573371458</v>
      </c>
      <c r="P8" s="787">
        <f>'ANALYSE - ERP =&gt; SEGMENT'!$JM$31</f>
        <v>0.24244231497489785</v>
      </c>
      <c r="Q8" s="787">
        <f>'ANALYSE - ERP =&gt; SEGMENT'!$JN$31</f>
        <v>2.591279566415872E-2</v>
      </c>
      <c r="R8" s="787">
        <f>'ANALYSE - ERP =&gt; SEGMENT'!$JO$31</f>
        <v>2.9923824797275732E-3</v>
      </c>
      <c r="T8" s="430">
        <f>'ANALYSE - ERP =&gt; SEGMENT'!$Q$31</f>
        <v>1</v>
      </c>
    </row>
    <row r="9" spans="1:20" ht="15" customHeight="1">
      <c r="A9" s="26">
        <v>6</v>
      </c>
      <c r="B9" s="26">
        <v>5</v>
      </c>
      <c r="C9" s="422">
        <f>'ANALYSE - ERP =&gt; SEGMENT'!$A$27</f>
        <v>26</v>
      </c>
      <c r="D9" s="504" t="s">
        <v>2278</v>
      </c>
      <c r="E9" s="504" t="s">
        <v>1527</v>
      </c>
      <c r="F9" s="504" t="s">
        <v>7987</v>
      </c>
      <c r="H9" s="787">
        <f>'ANALYSE - ERP =&gt; SEGMENT'!$JF$27</f>
        <v>6.1871277634892329E-2</v>
      </c>
      <c r="I9" s="787">
        <f>'ANALYSE - ERP =&gt; SEGMENT'!$JG$27</f>
        <v>0.54091898215773948</v>
      </c>
      <c r="J9" s="787">
        <f>'ANALYSE - ERP =&gt; SEGMENT'!$JH$27</f>
        <v>0.36486032852700534</v>
      </c>
      <c r="K9" s="787">
        <f>'ANALYSE - ERP =&gt; SEGMENT'!$JI$27</f>
        <v>3.2319686528242027E-2</v>
      </c>
      <c r="L9" s="787">
        <f>'ANALYSE - ERP =&gt; SEGMENT'!$JJ$27</f>
        <v>2.9725152120728748E-5</v>
      </c>
      <c r="N9" s="787">
        <f>'ANALYSE - ERP =&gt; SEGMENT'!$JK$27</f>
        <v>3.9632421728576991E-2</v>
      </c>
      <c r="O9" s="787">
        <f>'ANALYSE - ERP =&gt; SEGMENT'!$JL$27</f>
        <v>0.51176213854770636</v>
      </c>
      <c r="P9" s="787">
        <f>'ANALYSE - ERP =&gt; SEGMENT'!$JM$27</f>
        <v>0.39200417147161126</v>
      </c>
      <c r="Q9" s="787">
        <f>'ANALYSE - ERP =&gt; SEGMENT'!$JN$27</f>
        <v>5.2658721517146116E-2</v>
      </c>
      <c r="R9" s="787">
        <f>'ANALYSE - ERP =&gt; SEGMENT'!$JO$27</f>
        <v>3.942546734959195E-3</v>
      </c>
      <c r="T9" s="430">
        <f>'ANALYSE - ERP =&gt; SEGMENT'!$Q$27</f>
        <v>1</v>
      </c>
    </row>
    <row r="10" spans="1:20" ht="15" customHeight="1">
      <c r="A10" s="26">
        <v>7</v>
      </c>
      <c r="B10" s="26">
        <v>7</v>
      </c>
      <c r="C10" s="422">
        <f>'ANALYSE - ERP =&gt; SEGMENT'!$A$30</f>
        <v>29</v>
      </c>
      <c r="D10" s="496" t="s">
        <v>1670</v>
      </c>
      <c r="E10" s="496" t="s">
        <v>1671</v>
      </c>
      <c r="F10" s="496" t="s">
        <v>7983</v>
      </c>
      <c r="H10" s="787">
        <f>'ANALYSE - ERP =&gt; SEGMENT'!$JF$30</f>
        <v>0.24648244076999015</v>
      </c>
      <c r="I10" s="787">
        <f>'ANALYSE - ERP =&gt; SEGMENT'!$JG$30</f>
        <v>0.55728473593287264</v>
      </c>
      <c r="J10" s="787">
        <f>'ANALYSE - ERP =&gt; SEGMENT'!$JH$30</f>
        <v>0.16847670286278382</v>
      </c>
      <c r="K10" s="787">
        <f>'ANALYSE - ERP =&gt; SEGMENT'!$JI$30</f>
        <v>2.2671224086870681E-2</v>
      </c>
      <c r="L10" s="787">
        <f>'ANALYSE - ERP =&gt; SEGMENT'!$JJ$30</f>
        <v>5.0848963474827251E-3</v>
      </c>
      <c r="N10" s="787">
        <f>'ANALYSE - ERP =&gt; SEGMENT'!$JK$30</f>
        <v>0.13891206378943274</v>
      </c>
      <c r="O10" s="787">
        <f>'ANALYSE - ERP =&gt; SEGMENT'!$JL$30</f>
        <v>0.55857769228456355</v>
      </c>
      <c r="P10" s="787">
        <f>'ANALYSE - ERP =&gt; SEGMENT'!$JM$30</f>
        <v>0.26025852254438475</v>
      </c>
      <c r="Q10" s="787">
        <f>'ANALYSE - ERP =&gt; SEGMENT'!$JN$30</f>
        <v>3.5575075507266782E-2</v>
      </c>
      <c r="R10" s="787">
        <f>'ANALYSE - ERP =&gt; SEGMENT'!$JO$30</f>
        <v>6.6766458743522583E-3</v>
      </c>
      <c r="T10" s="430">
        <f>'ANALYSE - ERP =&gt; SEGMENT'!$Q$30</f>
        <v>1</v>
      </c>
    </row>
    <row r="11" spans="1:20" s="45" customFormat="1" ht="15" customHeight="1">
      <c r="A11" s="26">
        <v>8</v>
      </c>
      <c r="B11" s="26">
        <v>9</v>
      </c>
      <c r="C11" s="422">
        <f>'ANALYSE - ERP =&gt; SEGMENT'!$A$23</f>
        <v>19</v>
      </c>
      <c r="D11" s="502" t="s">
        <v>2264</v>
      </c>
      <c r="E11" s="502" t="s">
        <v>7990</v>
      </c>
      <c r="F11" s="502" t="s">
        <v>7991</v>
      </c>
      <c r="G11" s="685"/>
      <c r="H11" s="787">
        <f>'ANALYSE - ERP =&gt; SEGMENT'!$JF$23</f>
        <v>0.11482627908582477</v>
      </c>
      <c r="I11" s="787">
        <f>'ANALYSE - ERP =&gt; SEGMENT'!$JG$23</f>
        <v>0.55909518746116127</v>
      </c>
      <c r="J11" s="787">
        <f>'ANALYSE - ERP =&gt; SEGMENT'!$JH$23</f>
        <v>0.30155440171235243</v>
      </c>
      <c r="K11" s="787">
        <f>'ANALYSE - ERP =&gt; SEGMENT'!$JI$23</f>
        <v>2.4417413519298489E-2</v>
      </c>
      <c r="L11" s="787">
        <f>'ANALYSE - ERP =&gt; SEGMENT'!$JJ$23</f>
        <v>1.0671822136297728E-4</v>
      </c>
      <c r="M11" s="685"/>
      <c r="N11" s="787">
        <f>'ANALYSE - ERP =&gt; SEGMENT'!$JK$23</f>
        <v>6.7922708795244174E-2</v>
      </c>
      <c r="O11" s="787">
        <f>'ANALYSE - ERP =&gt; SEGMENT'!$JL$23</f>
        <v>0.53774015323449609</v>
      </c>
      <c r="P11" s="787">
        <f>'ANALYSE - ERP =&gt; SEGMENT'!$JM$23</f>
        <v>0.35208074023109281</v>
      </c>
      <c r="Q11" s="787">
        <f>'ANALYSE - ERP =&gt; SEGMENT'!$JN$23</f>
        <v>3.8775615920512096E-2</v>
      </c>
      <c r="R11" s="787">
        <f>'ANALYSE - ERP =&gt; SEGMENT'!$JO$23</f>
        <v>3.4807818186548033E-3</v>
      </c>
      <c r="S11" s="685"/>
      <c r="T11" s="430">
        <f>'ANALYSE - ERP =&gt; SEGMENT'!$Q$23</f>
        <v>1</v>
      </c>
    </row>
    <row r="12" spans="1:20" ht="15" customHeight="1">
      <c r="A12" s="26">
        <v>9</v>
      </c>
      <c r="B12" s="26">
        <v>8</v>
      </c>
      <c r="C12" s="422">
        <f>'ANALYSE - ERP =&gt; SEGMENT'!$A$28</f>
        <v>27</v>
      </c>
      <c r="D12" s="504" t="s">
        <v>2278</v>
      </c>
      <c r="E12" s="504" t="s">
        <v>4578</v>
      </c>
      <c r="F12" s="504" t="s">
        <v>7989</v>
      </c>
      <c r="H12" s="787">
        <f>'ANALYSE - ERP =&gt; SEGMENT'!$JF$28</f>
        <v>0.15019334916864607</v>
      </c>
      <c r="I12" s="787">
        <f>'ANALYSE - ERP =&gt; SEGMENT'!$JG$28</f>
        <v>0.5971788598574822</v>
      </c>
      <c r="J12" s="787">
        <f>'ANALYSE - ERP =&gt; SEGMENT'!$JH$28</f>
        <v>0.21285486935866982</v>
      </c>
      <c r="K12" s="787">
        <f>'ANALYSE - ERP =&gt; SEGMENT'!$JI$28</f>
        <v>1.126935866983373E-2</v>
      </c>
      <c r="L12" s="787">
        <f>'ANALYSE - ERP =&gt; SEGMENT'!$JJ$28</f>
        <v>0</v>
      </c>
      <c r="N12" s="787">
        <f>'ANALYSE - ERP =&gt; SEGMENT'!$JK$28</f>
        <v>0.13538933198493677</v>
      </c>
      <c r="O12" s="787">
        <f>'ANALYSE - ERP =&gt; SEGMENT'!$JL$28</f>
        <v>0.57566965784911905</v>
      </c>
      <c r="P12" s="787">
        <f>'ANALYSE - ERP =&gt; SEGMENT'!$JM$28</f>
        <v>0.22471738234083452</v>
      </c>
      <c r="Q12" s="787">
        <f>'ANALYSE - ERP =&gt; SEGMENT'!$JN$28</f>
        <v>2.476516606414858E-2</v>
      </c>
      <c r="R12" s="787">
        <f>'ANALYSE - ERP =&gt; SEGMENT'!$JO$28</f>
        <v>3.0836004437850362E-3</v>
      </c>
      <c r="T12" s="430">
        <f>'ANALYSE - ERP =&gt; SEGMENT'!$Q$28</f>
        <v>1</v>
      </c>
    </row>
    <row r="13" spans="1:20" s="45" customFormat="1" ht="15" customHeight="1">
      <c r="A13" s="406">
        <v>10</v>
      </c>
      <c r="B13" s="406">
        <v>10</v>
      </c>
      <c r="C13" s="448">
        <f>'ANALYSE - ERP =&gt; SEGMENT'!$A$12</f>
        <v>5</v>
      </c>
      <c r="D13" s="514" t="s">
        <v>6739</v>
      </c>
      <c r="E13" s="514" t="s">
        <v>2091</v>
      </c>
      <c r="F13" s="514" t="s">
        <v>2836</v>
      </c>
      <c r="G13" s="685"/>
      <c r="H13" s="788">
        <f>'ANALYSE - ERP =&gt; SEGMENT'!$JF$12</f>
        <v>7.0577693761814747E-2</v>
      </c>
      <c r="I13" s="788">
        <f>'ANALYSE - ERP =&gt; SEGMENT'!$JG$12</f>
        <v>0.44004328922495267</v>
      </c>
      <c r="J13" s="788">
        <f>'ANALYSE - ERP =&gt; SEGMENT'!$JH$12</f>
        <v>0.40624045368620038</v>
      </c>
      <c r="K13" s="788">
        <f>'ANALYSE - ERP =&gt; SEGMENT'!$JI$12</f>
        <v>8.1804725897920608E-2</v>
      </c>
      <c r="L13" s="788">
        <f>'ANALYSE - ERP =&gt; SEGMENT'!$JJ$12</f>
        <v>1.3338374291115311E-3</v>
      </c>
      <c r="M13" s="685"/>
      <c r="N13" s="788">
        <f>'ANALYSE - ERP =&gt; SEGMENT'!$JK$12</f>
        <v>2.7782917239279701E-3</v>
      </c>
      <c r="O13" s="788">
        <f>'ANALYSE - ERP =&gt; SEGMENT'!$JL$12</f>
        <v>0.26075733027427828</v>
      </c>
      <c r="P13" s="788">
        <f>'ANALYSE - ERP =&gt; SEGMENT'!$JM$12</f>
        <v>0.53192402172499764</v>
      </c>
      <c r="Q13" s="788">
        <f>'ANALYSE - ERP =&gt; SEGMENT'!$JN$12</f>
        <v>0.19445096124227473</v>
      </c>
      <c r="R13" s="788">
        <f>'ANALYSE - ERP =&gt; SEGMENT'!$JO$12</f>
        <v>1.0089395034521345E-2</v>
      </c>
      <c r="S13" s="685"/>
      <c r="T13" s="450">
        <f>'ANALYSE - ERP =&gt; SEGMENT'!$Q$12</f>
        <v>1</v>
      </c>
    </row>
    <row r="14" spans="1:20" ht="15" customHeight="1">
      <c r="A14" s="26">
        <v>11</v>
      </c>
      <c r="B14" s="26">
        <v>12</v>
      </c>
      <c r="C14" s="422">
        <f>'ANALYSE - ERP =&gt; SEGMENT'!$A$26</f>
        <v>23</v>
      </c>
      <c r="D14" s="506" t="s">
        <v>7117</v>
      </c>
      <c r="E14" s="506" t="s">
        <v>4268</v>
      </c>
      <c r="F14" s="506" t="s">
        <v>4269</v>
      </c>
      <c r="H14" s="787">
        <f>'ANALYSE - ERP =&gt; SEGMENT'!$JF$26</f>
        <v>0.2031</v>
      </c>
      <c r="I14" s="787">
        <f>'ANALYSE - ERP =&gt; SEGMENT'!$JG$26</f>
        <v>0.57509999999999994</v>
      </c>
      <c r="J14" s="787">
        <f>'ANALYSE - ERP =&gt; SEGMENT'!$JH$26</f>
        <v>0.21160000000000004</v>
      </c>
      <c r="K14" s="787">
        <f>'ANALYSE - ERP =&gt; SEGMENT'!$JI$26</f>
        <v>1.01E-2</v>
      </c>
      <c r="L14" s="787">
        <f>'ANALYSE - ERP =&gt; SEGMENT'!$JJ$26</f>
        <v>1.0000000000000002E-4</v>
      </c>
      <c r="N14" s="787">
        <f>'ANALYSE - ERP =&gt; SEGMENT'!$JK$26</f>
        <v>9.9199999999999997E-2</v>
      </c>
      <c r="O14" s="787">
        <f>'ANALYSE - ERP =&gt; SEGMENT'!$JL$26</f>
        <v>0.51790000000000003</v>
      </c>
      <c r="P14" s="787">
        <f>'ANALYSE - ERP =&gt; SEGMENT'!$JM$26</f>
        <v>0.35149999999999998</v>
      </c>
      <c r="Q14" s="787">
        <f>'ANALYSE - ERP =&gt; SEGMENT'!$JN$26</f>
        <v>3.1E-2</v>
      </c>
      <c r="R14" s="787">
        <f>'ANALYSE - ERP =&gt; SEGMENT'!$JO$26</f>
        <v>4.0000000000000002E-4</v>
      </c>
      <c r="T14" s="430">
        <f>'ANALYSE - ERP =&gt; SEGMENT'!$Q$26</f>
        <v>1</v>
      </c>
    </row>
    <row r="15" spans="1:20" s="45" customFormat="1" ht="15" customHeight="1">
      <c r="A15" s="406">
        <v>12</v>
      </c>
      <c r="B15" s="406">
        <v>13</v>
      </c>
      <c r="C15" s="448">
        <f>'ANALYSE - ERP =&gt; SEGMENT'!$A$14</f>
        <v>7</v>
      </c>
      <c r="D15" s="515" t="s">
        <v>2241</v>
      </c>
      <c r="E15" s="515" t="s">
        <v>1032</v>
      </c>
      <c r="F15" s="515" t="s">
        <v>7982</v>
      </c>
      <c r="G15" s="685"/>
      <c r="H15" s="788">
        <f>'ANALYSE - ERP =&gt; SEGMENT'!$JF$14</f>
        <v>1.4099954661512397E-2</v>
      </c>
      <c r="I15" s="788">
        <f>'ANALYSE - ERP =&gt; SEGMENT'!$JG$14</f>
        <v>0.33167880306392716</v>
      </c>
      <c r="J15" s="788">
        <f>'ANALYSE - ERP =&gt; SEGMENT'!$JH$14</f>
        <v>0.50858259956570506</v>
      </c>
      <c r="K15" s="788">
        <f>'ANALYSE - ERP =&gt; SEGMENT'!$JI$14</f>
        <v>0.14221824993437854</v>
      </c>
      <c r="L15" s="788">
        <f>'ANALYSE - ERP =&gt; SEGMENT'!$JJ$14</f>
        <v>3.4203927744768177E-3</v>
      </c>
      <c r="M15" s="685"/>
      <c r="N15" s="788">
        <f>'ANALYSE - ERP =&gt; SEGMENT'!$JK$14</f>
        <v>0</v>
      </c>
      <c r="O15" s="788">
        <f>'ANALYSE - ERP =&gt; SEGMENT'!$JL$14</f>
        <v>0.22293292245548366</v>
      </c>
      <c r="P15" s="788">
        <f>'ANALYSE - ERP =&gt; SEGMENT'!$JM$14</f>
        <v>0.55138306116114522</v>
      </c>
      <c r="Q15" s="788">
        <f>'ANALYSE - ERP =&gt; SEGMENT'!$JN$14</f>
        <v>0.21997844911195888</v>
      </c>
      <c r="R15" s="788">
        <f>'ANALYSE - ERP =&gt; SEGMENT'!$JO$14</f>
        <v>5.7055672714120473E-3</v>
      </c>
      <c r="S15" s="685"/>
      <c r="T15" s="450">
        <f>'ANALYSE - ERP =&gt; SEGMENT'!$Q$14</f>
        <v>1</v>
      </c>
    </row>
    <row r="16" spans="1:20" ht="15" customHeight="1">
      <c r="A16" s="26">
        <v>13</v>
      </c>
      <c r="B16" s="26">
        <v>15</v>
      </c>
      <c r="C16" s="422">
        <f>'ANALYSE - ERP =&gt; SEGMENT'!$A$32</f>
        <v>32</v>
      </c>
      <c r="D16" s="508" t="s">
        <v>2285</v>
      </c>
      <c r="E16" s="508" t="s">
        <v>1793</v>
      </c>
      <c r="F16" s="508" t="s">
        <v>7992</v>
      </c>
      <c r="H16" s="787">
        <f>'ANALYSE - ERP =&gt; SEGMENT'!$JF$32</f>
        <v>9.170875584929325E-2</v>
      </c>
      <c r="I16" s="787">
        <f>'ANALYSE - ERP =&gt; SEGMENT'!$JG$32</f>
        <v>0.52490169327994596</v>
      </c>
      <c r="J16" s="787">
        <f>'ANALYSE - ERP =&gt; SEGMENT'!$JH$32</f>
        <v>0.30341991412996289</v>
      </c>
      <c r="K16" s="787">
        <f>'ANALYSE - ERP =&gt; SEGMENT'!$JI$32</f>
        <v>6.9369395532828393E-2</v>
      </c>
      <c r="L16" s="787">
        <f>'ANALYSE - ERP =&gt; SEGMENT'!$JJ$32</f>
        <v>1.0600241207969511E-2</v>
      </c>
      <c r="N16" s="787">
        <f>'ANALYSE - ERP =&gt; SEGMENT'!$JK$32</f>
        <v>5.5101846674715529E-2</v>
      </c>
      <c r="O16" s="787">
        <f>'ANALYSE - ERP =&gt; SEGMENT'!$JL$32</f>
        <v>0.48766342250477984</v>
      </c>
      <c r="P16" s="787">
        <f>'ANALYSE - ERP =&gt; SEGMENT'!$JM$32</f>
        <v>0.33037792869147675</v>
      </c>
      <c r="Q16" s="787">
        <f>'ANALYSE - ERP =&gt; SEGMENT'!$JN$32</f>
        <v>0.10489217383130013</v>
      </c>
      <c r="R16" s="787">
        <f>'ANALYSE - ERP =&gt; SEGMENT'!$JO$32</f>
        <v>2.1964628297727783E-2</v>
      </c>
      <c r="T16" s="430">
        <f>'ANALYSE - ERP =&gt; SEGMENT'!$Q$32</f>
        <v>1</v>
      </c>
    </row>
    <row r="17" spans="1:20" ht="15" customHeight="1">
      <c r="A17" s="26">
        <v>14</v>
      </c>
      <c r="B17" s="26">
        <v>14</v>
      </c>
      <c r="C17" s="422">
        <f>'ANALYSE - ERP =&gt; SEGMENT'!$A$24</f>
        <v>21</v>
      </c>
      <c r="D17" s="506" t="s">
        <v>7117</v>
      </c>
      <c r="E17" s="506" t="s">
        <v>1455</v>
      </c>
      <c r="F17" s="506" t="s">
        <v>7994</v>
      </c>
      <c r="H17" s="787">
        <f>'ANALYSE - ERP =&gt; SEGMENT'!$JF$24</f>
        <v>6.5230137478014275E-2</v>
      </c>
      <c r="I17" s="787">
        <f>'ANALYSE - ERP =&gt; SEGMENT'!$JG$24</f>
        <v>0.49538691984636923</v>
      </c>
      <c r="J17" s="787">
        <f>'ANALYSE - ERP =&gt; SEGMENT'!$JH$24</f>
        <v>0.36601764959259131</v>
      </c>
      <c r="K17" s="787">
        <f>'ANALYSE - ERP =&gt; SEGMENT'!$JI$24</f>
        <v>7.031255249650023E-2</v>
      </c>
      <c r="L17" s="787">
        <f>'ANALYSE - ERP =&gt; SEGMENT'!$JJ$24</f>
        <v>3.0527405865250008E-3</v>
      </c>
      <c r="N17" s="787">
        <f>'ANALYSE - ERP =&gt; SEGMENT'!$JK$24</f>
        <v>3.4445028951961672E-2</v>
      </c>
      <c r="O17" s="787">
        <f>'ANALYSE - ERP =&gt; SEGMENT'!$JL$24</f>
        <v>0.44947573136903624</v>
      </c>
      <c r="P17" s="787">
        <f>'ANALYSE - ERP =&gt; SEGMENT'!$JM$24</f>
        <v>0.40609299199579635</v>
      </c>
      <c r="Q17" s="787">
        <f>'ANALYSE - ERP =&gt; SEGMENT'!$JN$24</f>
        <v>0.10126414702733383</v>
      </c>
      <c r="R17" s="787">
        <f>'ANALYSE - ERP =&gt; SEGMENT'!$JO$24</f>
        <v>8.7221006558718013E-3</v>
      </c>
      <c r="T17" s="430">
        <f>'ANALYSE - ERP =&gt; SEGMENT'!$Q$24</f>
        <v>1</v>
      </c>
    </row>
    <row r="18" spans="1:20" ht="15" customHeight="1">
      <c r="A18" s="26">
        <v>15</v>
      </c>
      <c r="B18" s="26">
        <v>16</v>
      </c>
      <c r="C18" s="422">
        <f>'ANALYSE - ERP =&gt; SEGMENT'!$A$21</f>
        <v>17</v>
      </c>
      <c r="D18" s="492" t="s">
        <v>2187</v>
      </c>
      <c r="E18" s="492" t="s">
        <v>1372</v>
      </c>
      <c r="F18" s="492" t="s">
        <v>7993</v>
      </c>
      <c r="H18" s="787">
        <f>'ANALYSE - ERP =&gt; SEGMENT'!$JF$21</f>
        <v>3.2530201342281878E-2</v>
      </c>
      <c r="I18" s="787">
        <f>'ANALYSE - ERP =&gt; SEGMENT'!$JG$21</f>
        <v>0.44474429530201348</v>
      </c>
      <c r="J18" s="787">
        <f>'ANALYSE - ERP =&gt; SEGMENT'!$JH$21</f>
        <v>0.42326241610738258</v>
      </c>
      <c r="K18" s="787">
        <f>'ANALYSE - ERP =&gt; SEGMENT'!$JI$21</f>
        <v>9.5063758389261732E-2</v>
      </c>
      <c r="L18" s="787">
        <f>'ANALYSE - ERP =&gt; SEGMENT'!$JJ$21</f>
        <v>4.3993288590604028E-3</v>
      </c>
      <c r="N18" s="787">
        <f>'ANALYSE - ERP =&gt; SEGMENT'!$JK$21</f>
        <v>6.9582999951458566E-3</v>
      </c>
      <c r="O18" s="787">
        <f>'ANALYSE - ERP =&gt; SEGMENT'!$JL$21</f>
        <v>0.4087283103583737</v>
      </c>
      <c r="P18" s="787">
        <f>'ANALYSE - ERP =&gt; SEGMENT'!$JM$21</f>
        <v>0.4525987697948089</v>
      </c>
      <c r="Q18" s="787">
        <f>'ANALYSE - ERP =&gt; SEGMENT'!$JN$21</f>
        <v>0.12144238419563544</v>
      </c>
      <c r="R18" s="787">
        <f>'ANALYSE - ERP =&gt; SEGMENT'!$JO$21</f>
        <v>1.0272235656036114E-2</v>
      </c>
      <c r="T18" s="430">
        <f>'ANALYSE - ERP =&gt; SEGMENT'!$Q$21</f>
        <v>1</v>
      </c>
    </row>
    <row r="19" spans="1:20" ht="15" customHeight="1">
      <c r="A19" s="26">
        <v>16</v>
      </c>
      <c r="B19" s="26">
        <v>11</v>
      </c>
      <c r="C19" s="422">
        <f>'ANALYSE - ERP =&gt; SEGMENT'!$A$11</f>
        <v>4</v>
      </c>
      <c r="D19" s="498" t="s">
        <v>6739</v>
      </c>
      <c r="E19" s="498" t="s">
        <v>991</v>
      </c>
      <c r="F19" s="498" t="s">
        <v>7995</v>
      </c>
      <c r="H19" s="787">
        <f>'ANALYSE - ERP =&gt; SEGMENT'!$JF$11</f>
        <v>0</v>
      </c>
      <c r="I19" s="787">
        <f>'ANALYSE - ERP =&gt; SEGMENT'!$JG$11</f>
        <v>0</v>
      </c>
      <c r="J19" s="787">
        <f>'ANALYSE - ERP =&gt; SEGMENT'!$JH$11</f>
        <v>0</v>
      </c>
      <c r="K19" s="787">
        <f>'ANALYSE - ERP =&gt; SEGMENT'!$JI$11</f>
        <v>0</v>
      </c>
      <c r="L19" s="787">
        <f>'ANALYSE - ERP =&gt; SEGMENT'!$JJ$11</f>
        <v>0</v>
      </c>
      <c r="N19" s="787">
        <f>'ANALYSE - ERP =&gt; SEGMENT'!$JK$11</f>
        <v>0</v>
      </c>
      <c r="O19" s="787">
        <f>'ANALYSE - ERP =&gt; SEGMENT'!$JL$11</f>
        <v>0</v>
      </c>
      <c r="P19" s="787">
        <f>'ANALYSE - ERP =&gt; SEGMENT'!$JM$11</f>
        <v>0</v>
      </c>
      <c r="Q19" s="787">
        <f>'ANALYSE - ERP =&gt; SEGMENT'!$JN$11</f>
        <v>0</v>
      </c>
      <c r="R19" s="787">
        <f>'ANALYSE - ERP =&gt; SEGMENT'!$JO$11</f>
        <v>0</v>
      </c>
      <c r="T19" s="430">
        <f>'ANALYSE - ERP =&gt; SEGMENT'!$Q$11</f>
        <v>0</v>
      </c>
    </row>
    <row r="20" spans="1:20" ht="15" customHeight="1">
      <c r="A20" s="26">
        <v>17</v>
      </c>
      <c r="B20" s="26">
        <v>21</v>
      </c>
      <c r="C20" s="422">
        <f>'ANALYSE - ERP =&gt; SEGMENT'!$A$15</f>
        <v>8</v>
      </c>
      <c r="D20" s="494" t="s">
        <v>2241</v>
      </c>
      <c r="E20" s="494" t="s">
        <v>2242</v>
      </c>
      <c r="F20" s="494" t="s">
        <v>7998</v>
      </c>
      <c r="H20" s="787">
        <f>'ANALYSE - ERP =&gt; SEGMENT'!$JF$15</f>
        <v>1.1716213726393367E-2</v>
      </c>
      <c r="I20" s="787">
        <f>'ANALYSE - ERP =&gt; SEGMENT'!$JG$15</f>
        <v>0.31788756333486873</v>
      </c>
      <c r="J20" s="787">
        <f>'ANALYSE - ERP =&gt; SEGMENT'!$JH$15</f>
        <v>0.53713321050207274</v>
      </c>
      <c r="K20" s="787">
        <f>'ANALYSE - ERP =&gt; SEGMENT'!$JI$15</f>
        <v>0.12953201289728236</v>
      </c>
      <c r="L20" s="787">
        <f>'ANALYSE - ERP =&gt; SEGMENT'!$JJ$15</f>
        <v>3.7309995393827729E-3</v>
      </c>
      <c r="N20" s="787">
        <f>'ANALYSE - ERP =&gt; SEGMENT'!$JK$15</f>
        <v>0</v>
      </c>
      <c r="O20" s="787">
        <f>'ANALYSE - ERP =&gt; SEGMENT'!$JL$15</f>
        <v>0.15345248010537485</v>
      </c>
      <c r="P20" s="787">
        <f>'ANALYSE - ERP =&gt; SEGMENT'!$JM$15</f>
        <v>0.53530739681015049</v>
      </c>
      <c r="Q20" s="787">
        <f>'ANALYSE - ERP =&gt; SEGMENT'!$JN$15</f>
        <v>0.28843111325148885</v>
      </c>
      <c r="R20" s="787">
        <f>'ANALYSE - ERP =&gt; SEGMENT'!$JO$15</f>
        <v>2.280900983298579E-2</v>
      </c>
      <c r="T20" s="430">
        <f>'ANALYSE - ERP =&gt; SEGMENT'!$Q$15</f>
        <v>1</v>
      </c>
    </row>
    <row r="21" spans="1:20" ht="15" customHeight="1">
      <c r="A21" s="26">
        <v>18</v>
      </c>
      <c r="B21" s="26">
        <v>19</v>
      </c>
      <c r="C21" s="422">
        <f>'ANALYSE - ERP =&gt; SEGMENT'!$A$18</f>
        <v>12</v>
      </c>
      <c r="D21" s="500" t="s">
        <v>3662</v>
      </c>
      <c r="E21" s="500" t="s">
        <v>1337</v>
      </c>
      <c r="F21" s="500" t="s">
        <v>7997</v>
      </c>
      <c r="H21" s="787">
        <f>'ANALYSE - ERP =&gt; SEGMENT'!$JF$18</f>
        <v>0.14579148936170214</v>
      </c>
      <c r="I21" s="787">
        <f>'ANALYSE - ERP =&gt; SEGMENT'!$JG$18</f>
        <v>0.53801489361702126</v>
      </c>
      <c r="J21" s="787">
        <f>'ANALYSE - ERP =&gt; SEGMENT'!$JH$18</f>
        <v>0.29206595744680852</v>
      </c>
      <c r="K21" s="787">
        <f>'ANALYSE - ERP =&gt; SEGMENT'!$JI$18</f>
        <v>2.4127659574468087E-2</v>
      </c>
      <c r="L21" s="787">
        <f>'ANALYSE - ERP =&gt; SEGMENT'!$JJ$18</f>
        <v>0</v>
      </c>
      <c r="N21" s="787">
        <f>'ANALYSE - ERP =&gt; SEGMENT'!$JK$18</f>
        <v>9.9111920171632034E-2</v>
      </c>
      <c r="O21" s="787">
        <f>'ANALYSE - ERP =&gt; SEGMENT'!$JL$18</f>
        <v>0.55521600302415819</v>
      </c>
      <c r="P21" s="787">
        <f>'ANALYSE - ERP =&gt; SEGMENT'!$JM$18</f>
        <v>0.30765290654148703</v>
      </c>
      <c r="Q21" s="787">
        <f>'ANALYSE - ERP =&gt; SEGMENT'!$JN$18</f>
        <v>3.5277750016074839E-2</v>
      </c>
      <c r="R21" s="787">
        <f>'ANALYSE - ERP =&gt; SEGMENT'!$JO$18</f>
        <v>2.7414202466479426E-3</v>
      </c>
      <c r="T21" s="430">
        <f>'ANALYSE - ERP =&gt; SEGMENT'!$Q$18</f>
        <v>1</v>
      </c>
    </row>
    <row r="22" spans="1:20" ht="15" customHeight="1">
      <c r="A22" s="26">
        <v>19</v>
      </c>
      <c r="B22" s="26">
        <v>17</v>
      </c>
      <c r="C22" s="422">
        <f>'ANALYSE - ERP =&gt; SEGMENT'!$A$29</f>
        <v>28</v>
      </c>
      <c r="D22" s="504" t="s">
        <v>2278</v>
      </c>
      <c r="E22" s="504" t="s">
        <v>1576</v>
      </c>
      <c r="F22" s="504" t="s">
        <v>1577</v>
      </c>
      <c r="H22" s="787">
        <f>'ANALYSE - ERP =&gt; SEGMENT'!$JF$29</f>
        <v>0.15459999999999999</v>
      </c>
      <c r="I22" s="787">
        <f>'ANALYSE - ERP =&gt; SEGMENT'!$JG$29</f>
        <v>0.61470000000000002</v>
      </c>
      <c r="J22" s="787">
        <f>'ANALYSE - ERP =&gt; SEGMENT'!$JH$29</f>
        <v>0.21909999999999999</v>
      </c>
      <c r="K22" s="787">
        <f>'ANALYSE - ERP =&gt; SEGMENT'!$JI$29</f>
        <v>1.1599999999999999E-2</v>
      </c>
      <c r="L22" s="787">
        <f>'ANALYSE - ERP =&gt; SEGMENT'!$JJ$29</f>
        <v>0</v>
      </c>
      <c r="N22" s="787">
        <f>'ANALYSE - ERP =&gt; SEGMENT'!$JK$29</f>
        <v>0.13830000000000001</v>
      </c>
      <c r="O22" s="787">
        <f>'ANALYSE - ERP =&gt; SEGMENT'!$JL$29</f>
        <v>0.5948</v>
      </c>
      <c r="P22" s="787">
        <f>'ANALYSE - ERP =&gt; SEGMENT'!$JM$29</f>
        <v>0.2354</v>
      </c>
      <c r="Q22" s="787">
        <f>'ANALYSE - ERP =&gt; SEGMENT'!$JN$29</f>
        <v>2.7900000000000001E-2</v>
      </c>
      <c r="R22" s="787">
        <f>'ANALYSE - ERP =&gt; SEGMENT'!$JO$29</f>
        <v>3.6000000000000003E-3</v>
      </c>
      <c r="T22" s="430">
        <f>'ANALYSE - ERP =&gt; SEGMENT'!$Q$29</f>
        <v>1</v>
      </c>
    </row>
    <row r="23" spans="1:20" ht="15" customHeight="1">
      <c r="A23" s="26">
        <v>20</v>
      </c>
      <c r="B23" s="26">
        <v>20</v>
      </c>
      <c r="C23" s="422">
        <f>'ANALYSE - ERP =&gt; SEGMENT'!$A$20</f>
        <v>16</v>
      </c>
      <c r="D23" s="492" t="s">
        <v>2187</v>
      </c>
      <c r="E23" s="492" t="s">
        <v>1435</v>
      </c>
      <c r="F23" s="492" t="s">
        <v>7999</v>
      </c>
      <c r="H23" s="787">
        <f>'ANALYSE - ERP =&gt; SEGMENT'!$JF$20</f>
        <v>2.0899999999999995E-2</v>
      </c>
      <c r="I23" s="787">
        <f>'ANALYSE - ERP =&gt; SEGMENT'!$JG$20</f>
        <v>0.43930000000000002</v>
      </c>
      <c r="J23" s="787">
        <f>'ANALYSE - ERP =&gt; SEGMENT'!$JH$20</f>
        <v>0.43579999999999997</v>
      </c>
      <c r="K23" s="787">
        <f>'ANALYSE - ERP =&gt; SEGMENT'!$JI$20</f>
        <v>9.9399999999999988E-2</v>
      </c>
      <c r="L23" s="787">
        <f>'ANALYSE - ERP =&gt; SEGMENT'!$JJ$20</f>
        <v>4.5999999999999999E-3</v>
      </c>
      <c r="N23" s="787">
        <f>'ANALYSE - ERP =&gt; SEGMENT'!$JK$20</f>
        <v>0</v>
      </c>
      <c r="O23" s="787">
        <f>'ANALYSE - ERP =&gt; SEGMENT'!$JL$20</f>
        <v>0.40210000000000007</v>
      </c>
      <c r="P23" s="787">
        <f>'ANALYSE - ERP =&gt; SEGMENT'!$JM$20</f>
        <v>0.46060000000000001</v>
      </c>
      <c r="Q23" s="787">
        <f>'ANALYSE - ERP =&gt; SEGMENT'!$JN$20</f>
        <v>0.12660000000000002</v>
      </c>
      <c r="R23" s="787">
        <f>'ANALYSE - ERP =&gt; SEGMENT'!$JO$20</f>
        <v>1.0699999999999999E-2</v>
      </c>
      <c r="T23" s="430">
        <f>'ANALYSE - ERP =&gt; SEGMENT'!$Q$20</f>
        <v>1</v>
      </c>
    </row>
    <row r="24" spans="1:20" ht="15" customHeight="1">
      <c r="A24" s="26">
        <v>21</v>
      </c>
      <c r="B24" s="26">
        <v>18</v>
      </c>
      <c r="C24" s="422">
        <f>'ANALYSE - ERP =&gt; SEGMENT'!$A$10</f>
        <v>3</v>
      </c>
      <c r="D24" s="498" t="s">
        <v>6739</v>
      </c>
      <c r="E24" s="498" t="s">
        <v>1014</v>
      </c>
      <c r="F24" s="498" t="s">
        <v>8000</v>
      </c>
      <c r="H24" s="787">
        <f>'ANALYSE - ERP =&gt; SEGMENT'!$JF$10</f>
        <v>3.3085772753849156E-2</v>
      </c>
      <c r="I24" s="787">
        <f>'ANALYSE - ERP =&gt; SEGMENT'!$JG$10</f>
        <v>0.35505444357824989</v>
      </c>
      <c r="J24" s="787">
        <f>'ANALYSE - ERP =&gt; SEGMENT'!$JH$10</f>
        <v>0.46842952640810759</v>
      </c>
      <c r="K24" s="787">
        <f>'ANALYSE - ERP =&gt; SEGMENT'!$JI$10</f>
        <v>0.13719996102124343</v>
      </c>
      <c r="L24" s="787">
        <f>'ANALYSE - ERP =&gt; SEGMENT'!$JJ$10</f>
        <v>6.2302962385499903E-3</v>
      </c>
      <c r="N24" s="787">
        <f>'ANALYSE - ERP =&gt; SEGMENT'!$JK$10</f>
        <v>0</v>
      </c>
      <c r="O24" s="787">
        <f>'ANALYSE - ERP =&gt; SEGMENT'!$JL$10</f>
        <v>0.18053795922427471</v>
      </c>
      <c r="P24" s="787">
        <f>'ANALYSE - ERP =&gt; SEGMENT'!$JM$10</f>
        <v>0.52005746923103735</v>
      </c>
      <c r="Q24" s="787">
        <f>'ANALYSE - ERP =&gt; SEGMENT'!$JN$10</f>
        <v>0.27041595853127048</v>
      </c>
      <c r="R24" s="787">
        <f>'ANALYSE - ERP =&gt; SEGMENT'!$JO$10</f>
        <v>2.8988613013417461E-2</v>
      </c>
      <c r="T24" s="430">
        <f>'ANALYSE - ERP =&gt; SEGMENT'!$Q$10</f>
        <v>1</v>
      </c>
    </row>
    <row r="25" spans="1:20" ht="15" customHeight="1">
      <c r="A25" s="26">
        <v>22</v>
      </c>
      <c r="B25" s="26">
        <v>22</v>
      </c>
      <c r="C25" s="422">
        <f>'ANALYSE - ERP =&gt; SEGMENT'!$A$13</f>
        <v>6</v>
      </c>
      <c r="D25" s="494" t="s">
        <v>2241</v>
      </c>
      <c r="E25" s="494" t="s">
        <v>1053</v>
      </c>
      <c r="F25" s="494" t="s">
        <v>7988</v>
      </c>
      <c r="H25" s="787">
        <f>'ANALYSE - ERP =&gt; SEGMENT'!$JF$13</f>
        <v>1.114099564120211E-2</v>
      </c>
      <c r="I25" s="787">
        <f>'ANALYSE - ERP =&gt; SEGMENT'!$JG$13</f>
        <v>0.32224230328056885</v>
      </c>
      <c r="J25" s="787">
        <f>'ANALYSE - ERP =&gt; SEGMENT'!$JH$13</f>
        <v>0.53342902041752693</v>
      </c>
      <c r="K25" s="787">
        <f>'ANALYSE - ERP =&gt; SEGMENT'!$JI$13</f>
        <v>0.12942356044964443</v>
      </c>
      <c r="L25" s="787">
        <f>'ANALYSE - ERP =&gt; SEGMENT'!$JJ$13</f>
        <v>3.764120211057583E-3</v>
      </c>
      <c r="N25" s="787">
        <f>'ANALYSE - ERP =&gt; SEGMENT'!$JK$13</f>
        <v>2.2053625410886529E-4</v>
      </c>
      <c r="O25" s="787">
        <f>'ANALYSE - ERP =&gt; SEGMENT'!$JL$13</f>
        <v>0.1901655341591936</v>
      </c>
      <c r="P25" s="787">
        <f>'ANALYSE - ERP =&gt; SEGMENT'!$JM$13</f>
        <v>0.57346176160521123</v>
      </c>
      <c r="Q25" s="787">
        <f>'ANALYSE - ERP =&gt; SEGMENT'!$JN$13</f>
        <v>0.22437481292128644</v>
      </c>
      <c r="R25" s="787">
        <f>'ANALYSE - ERP =&gt; SEGMENT'!$JO$13</f>
        <v>1.17773550601999E-2</v>
      </c>
      <c r="T25" s="430">
        <f>'ANALYSE - ERP =&gt; SEGMENT'!$Q$13</f>
        <v>1</v>
      </c>
    </row>
    <row r="26" spans="1:20" ht="15" customHeight="1">
      <c r="A26" s="26">
        <v>23</v>
      </c>
      <c r="B26" s="26">
        <v>23</v>
      </c>
      <c r="C26" s="422">
        <f>'ANALYSE - ERP =&gt; SEGMENT'!$A$17</f>
        <v>11</v>
      </c>
      <c r="D26" s="500" t="s">
        <v>3662</v>
      </c>
      <c r="E26" s="500" t="s">
        <v>1240</v>
      </c>
      <c r="F26" s="500" t="s">
        <v>8001</v>
      </c>
      <c r="H26" s="787">
        <f>'ANALYSE - ERP =&gt; SEGMENT'!$JF$17</f>
        <v>4.4095840867992763E-3</v>
      </c>
      <c r="I26" s="787">
        <f>'ANALYSE - ERP =&gt; SEGMENT'!$JG$17</f>
        <v>0.24090650994575047</v>
      </c>
      <c r="J26" s="787">
        <f>'ANALYSE - ERP =&gt; SEGMENT'!$JH$17</f>
        <v>0.51257179023508137</v>
      </c>
      <c r="K26" s="787">
        <f>'ANALYSE - ERP =&gt; SEGMENT'!$JI$17</f>
        <v>0.22442441229656421</v>
      </c>
      <c r="L26" s="787">
        <f>'ANALYSE - ERP =&gt; SEGMENT'!$JJ$17</f>
        <v>1.7687703435804704E-2</v>
      </c>
      <c r="N26" s="787">
        <f>'ANALYSE - ERP =&gt; SEGMENT'!$JK$17</f>
        <v>0</v>
      </c>
      <c r="O26" s="787">
        <f>'ANALYSE - ERP =&gt; SEGMENT'!$JL$17</f>
        <v>0.13043110653613427</v>
      </c>
      <c r="P26" s="787">
        <f>'ANALYSE - ERP =&gt; SEGMENT'!$JM$17</f>
        <v>0.48206509077941812</v>
      </c>
      <c r="Q26" s="787">
        <f>'ANALYSE - ERP =&gt; SEGMENT'!$JN$17</f>
        <v>0.34093614252364596</v>
      </c>
      <c r="R26" s="787">
        <f>'ANALYSE - ERP =&gt; SEGMENT'!$JO$17</f>
        <v>4.656766016080164E-2</v>
      </c>
      <c r="T26" s="430">
        <f>'ANALYSE - ERP =&gt; SEGMENT'!$Q$17</f>
        <v>1</v>
      </c>
    </row>
    <row r="27" spans="1:20" ht="15" customHeight="1">
      <c r="A27" s="26">
        <v>24</v>
      </c>
      <c r="B27" s="26">
        <v>24</v>
      </c>
      <c r="C27" s="422">
        <f>'ANALYSE - ERP =&gt; SEGMENT'!$A$33</f>
        <v>33</v>
      </c>
      <c r="D27" s="508" t="s">
        <v>2285</v>
      </c>
      <c r="E27" s="508" t="s">
        <v>7336</v>
      </c>
      <c r="F27" s="508" t="s">
        <v>7337</v>
      </c>
      <c r="H27" s="787">
        <f>'ANALYSE - ERP =&gt; SEGMENT'!$JF$33</f>
        <v>0</v>
      </c>
      <c r="I27" s="787">
        <f>'ANALYSE - ERP =&gt; SEGMENT'!$JG$33</f>
        <v>0</v>
      </c>
      <c r="J27" s="787">
        <f>'ANALYSE - ERP =&gt; SEGMENT'!$JH$33</f>
        <v>0</v>
      </c>
      <c r="K27" s="787">
        <f>'ANALYSE - ERP =&gt; SEGMENT'!$JI$33</f>
        <v>0</v>
      </c>
      <c r="L27" s="787">
        <f>'ANALYSE - ERP =&gt; SEGMENT'!$JJ$33</f>
        <v>0</v>
      </c>
      <c r="N27" s="787">
        <f>'ANALYSE - ERP =&gt; SEGMENT'!$JK$33</f>
        <v>0</v>
      </c>
      <c r="O27" s="787">
        <f>'ANALYSE - ERP =&gt; SEGMENT'!$JL$33</f>
        <v>0</v>
      </c>
      <c r="P27" s="787">
        <f>'ANALYSE - ERP =&gt; SEGMENT'!$JM$33</f>
        <v>0</v>
      </c>
      <c r="Q27" s="787">
        <f>'ANALYSE - ERP =&gt; SEGMENT'!$JN$33</f>
        <v>0</v>
      </c>
      <c r="R27" s="787">
        <f>'ANALYSE - ERP =&gt; SEGMENT'!$JO$33</f>
        <v>0</v>
      </c>
      <c r="T27" s="430">
        <f>'ANALYSE - ERP =&gt; SEGMENT'!$Q$33</f>
        <v>0</v>
      </c>
    </row>
    <row r="28" spans="1:20" ht="15" customHeight="1">
      <c r="A28" s="26">
        <v>25</v>
      </c>
      <c r="B28" s="26">
        <v>25</v>
      </c>
      <c r="C28" s="422">
        <f>'ANALYSE - ERP =&gt; SEGMENT'!$A$35</f>
        <v>36</v>
      </c>
      <c r="D28" s="510" t="s">
        <v>4908</v>
      </c>
      <c r="E28" s="510" t="s">
        <v>1985</v>
      </c>
      <c r="F28" s="510" t="s">
        <v>8002</v>
      </c>
      <c r="H28" s="787">
        <f>'ANALYSE - ERP =&gt; SEGMENT'!$JF$35</f>
        <v>9.6605676855895217E-2</v>
      </c>
      <c r="I28" s="787">
        <f>'ANALYSE - ERP =&gt; SEGMENT'!$JG$35</f>
        <v>0.56126703056768568</v>
      </c>
      <c r="J28" s="787">
        <f>'ANALYSE - ERP =&gt; SEGMENT'!$JH$35</f>
        <v>0.30932456331877728</v>
      </c>
      <c r="K28" s="787">
        <f>'ANALYSE - ERP =&gt; SEGMENT'!$JI$35</f>
        <v>3.263078602620087E-2</v>
      </c>
      <c r="L28" s="787">
        <f>'ANALYSE - ERP =&gt; SEGMENT'!$JJ$35</f>
        <v>1.7194323144104808E-4</v>
      </c>
      <c r="N28" s="787">
        <f>'ANALYSE - ERP =&gt; SEGMENT'!$JK$35</f>
        <v>3.6640045244969992E-2</v>
      </c>
      <c r="O28" s="787">
        <f>'ANALYSE - ERP =&gt; SEGMENT'!$JL$35</f>
        <v>0.45735405921517142</v>
      </c>
      <c r="P28" s="787">
        <f>'ANALYSE - ERP =&gt; SEGMENT'!$JM$35</f>
        <v>0.44231257048924882</v>
      </c>
      <c r="Q28" s="787">
        <f>'ANALYSE - ERP =&gt; SEGMENT'!$JN$35</f>
        <v>6.2832246076903839E-2</v>
      </c>
      <c r="R28" s="787">
        <f>'ANALYSE - ERP =&gt; SEGMENT'!$JO$35</f>
        <v>8.610789737058689E-4</v>
      </c>
      <c r="T28" s="430">
        <f>'ANALYSE - ERP =&gt; SEGMENT'!$Q$35</f>
        <v>1</v>
      </c>
    </row>
    <row r="29" spans="1:20" ht="15" customHeight="1">
      <c r="A29" s="26">
        <v>26</v>
      </c>
      <c r="B29" s="26">
        <v>26</v>
      </c>
      <c r="C29" s="422">
        <f>'ANALYSE - ERP =&gt; SEGMENT'!$A$37</f>
        <v>38</v>
      </c>
      <c r="D29" s="510" t="s">
        <v>4908</v>
      </c>
      <c r="E29" s="510" t="s">
        <v>2027</v>
      </c>
      <c r="F29" s="510" t="s">
        <v>8003</v>
      </c>
      <c r="H29" s="787">
        <f>'ANALYSE - ERP =&gt; SEGMENT'!$JF$37</f>
        <v>3.6119188596491228E-2</v>
      </c>
      <c r="I29" s="787">
        <f>'ANALYSE - ERP =&gt; SEGMENT'!$JG$37</f>
        <v>0.40137982456140353</v>
      </c>
      <c r="J29" s="787">
        <f>'ANALYSE - ERP =&gt; SEGMENT'!$JH$37</f>
        <v>0.46368410087719292</v>
      </c>
      <c r="K29" s="787">
        <f>'ANALYSE - ERP =&gt; SEGMENT'!$JI$37</f>
        <v>9.7194956140350883E-2</v>
      </c>
      <c r="L29" s="787">
        <f>'ANALYSE - ERP =&gt; SEGMENT'!$JJ$37</f>
        <v>1.6219298245614034E-3</v>
      </c>
      <c r="N29" s="787">
        <f>'ANALYSE - ERP =&gt; SEGMENT'!$JK$37</f>
        <v>6.8449462024807129E-3</v>
      </c>
      <c r="O29" s="787">
        <f>'ANALYSE - ERP =&gt; SEGMENT'!$JL$37</f>
        <v>0.28785213144227145</v>
      </c>
      <c r="P29" s="787">
        <f>'ANALYSE - ERP =&gt; SEGMENT'!$JM$37</f>
        <v>0.53307069390397843</v>
      </c>
      <c r="Q29" s="787">
        <f>'ANALYSE - ERP =&gt; SEGMENT'!$JN$37</f>
        <v>0.16598732559438822</v>
      </c>
      <c r="R29" s="787">
        <f>'ANALYSE - ERP =&gt; SEGMENT'!$JO$37</f>
        <v>6.2449028568811252E-3</v>
      </c>
      <c r="T29" s="430">
        <f>'ANALYSE - ERP =&gt; SEGMENT'!$Q$37</f>
        <v>1</v>
      </c>
    </row>
    <row r="30" spans="1:20" ht="15" customHeight="1">
      <c r="A30" s="26">
        <v>27</v>
      </c>
      <c r="B30" s="26">
        <v>27</v>
      </c>
      <c r="C30" s="422">
        <f>'ANALYSE - ERP =&gt; SEGMENT'!$A$34</f>
        <v>35</v>
      </c>
      <c r="D30" s="510" t="s">
        <v>4908</v>
      </c>
      <c r="E30" s="510" t="s">
        <v>1950</v>
      </c>
      <c r="F30" s="510" t="s">
        <v>8005</v>
      </c>
      <c r="H30" s="787">
        <f>'ANALYSE - ERP =&gt; SEGMENT'!$JF$34</f>
        <v>0.18802527287993281</v>
      </c>
      <c r="I30" s="787">
        <f>'ANALYSE - ERP =&gt; SEGMENT'!$JG$34</f>
        <v>0.63693115029387071</v>
      </c>
      <c r="J30" s="787">
        <f>'ANALYSE - ERP =&gt; SEGMENT'!$JH$34</f>
        <v>0.17504357682619648</v>
      </c>
      <c r="K30" s="787">
        <f>'ANALYSE - ERP =&gt; SEGMENT'!$JI$34</f>
        <v>0</v>
      </c>
      <c r="L30" s="787">
        <f>'ANALYSE - ERP =&gt; SEGMENT'!$JJ$34</f>
        <v>0</v>
      </c>
      <c r="N30" s="787">
        <f>'ANALYSE - ERP =&gt; SEGMENT'!$JK$34</f>
        <v>0.10861460491106052</v>
      </c>
      <c r="O30" s="787">
        <f>'ANALYSE - ERP =&gt; SEGMENT'!$JL$34</f>
        <v>0.61473770354002444</v>
      </c>
      <c r="P30" s="787">
        <f>'ANALYSE - ERP =&gt; SEGMENT'!$JM$34</f>
        <v>0.27664769154891505</v>
      </c>
      <c r="Q30" s="787">
        <f>'ANALYSE - ERP =&gt; SEGMENT'!$JN$34</f>
        <v>0</v>
      </c>
      <c r="R30" s="787">
        <f>'ANALYSE - ERP =&gt; SEGMENT'!$JO$34</f>
        <v>0</v>
      </c>
      <c r="T30" s="430">
        <f>'ANALYSE - ERP =&gt; SEGMENT'!$Q$34</f>
        <v>1</v>
      </c>
    </row>
    <row r="31" spans="1:20" ht="15" customHeight="1">
      <c r="A31" s="26">
        <v>28</v>
      </c>
      <c r="B31" s="26">
        <v>29</v>
      </c>
      <c r="C31" s="422">
        <f>'ANALYSE - ERP =&gt; SEGMENT'!$A$36</f>
        <v>37</v>
      </c>
      <c r="D31" s="510" t="s">
        <v>4908</v>
      </c>
      <c r="E31" s="510" t="s">
        <v>88</v>
      </c>
      <c r="F31" s="510" t="s">
        <v>7996</v>
      </c>
      <c r="H31" s="787">
        <f>'ANALYSE - ERP =&gt; SEGMENT'!$JF$36</f>
        <v>0.33414510556621879</v>
      </c>
      <c r="I31" s="787">
        <f>'ANALYSE - ERP =&gt; SEGMENT'!$JG$36</f>
        <v>0.58312284069097886</v>
      </c>
      <c r="J31" s="787">
        <f>'ANALYSE - ERP =&gt; SEGMENT'!$JH$36</f>
        <v>8.0707869481765837E-2</v>
      </c>
      <c r="K31" s="787">
        <f>'ANALYSE - ERP =&gt; SEGMENT'!$JI$36</f>
        <v>2.0059500959692896E-3</v>
      </c>
      <c r="L31" s="787">
        <f>'ANALYSE - ERP =&gt; SEGMENT'!$JJ$36</f>
        <v>1.8234165067178505E-5</v>
      </c>
      <c r="N31" s="787">
        <f>'ANALYSE - ERP =&gt; SEGMENT'!$JK$36</f>
        <v>0.17360710426022713</v>
      </c>
      <c r="O31" s="787">
        <f>'ANALYSE - ERP =&gt; SEGMENT'!$JL$36</f>
        <v>0.62632111708630878</v>
      </c>
      <c r="P31" s="787">
        <f>'ANALYSE - ERP =&gt; SEGMENT'!$JM$36</f>
        <v>0.19154566913521703</v>
      </c>
      <c r="Q31" s="787">
        <f>'ANALYSE - ERP =&gt; SEGMENT'!$JN$36</f>
        <v>8.3922691582435874E-3</v>
      </c>
      <c r="R31" s="787">
        <f>'ANALYSE - ERP =&gt; SEGMENT'!$JO$36</f>
        <v>1.3384036000344183E-4</v>
      </c>
      <c r="T31" s="430">
        <f>'ANALYSE - ERP =&gt; SEGMENT'!$Q$36</f>
        <v>1</v>
      </c>
    </row>
    <row r="32" spans="1:20" ht="15" customHeight="1">
      <c r="A32" s="26">
        <v>29</v>
      </c>
      <c r="B32" s="26">
        <v>28</v>
      </c>
      <c r="C32" s="422">
        <f>'ANALYSE - ERP =&gt; SEGMENT'!$A$25</f>
        <v>22</v>
      </c>
      <c r="D32" s="506" t="s">
        <v>7117</v>
      </c>
      <c r="E32" s="506" t="s">
        <v>1487</v>
      </c>
      <c r="F32" s="506" t="s">
        <v>8004</v>
      </c>
      <c r="H32" s="787">
        <f>'ANALYSE - ERP =&gt; SEGMENT'!$JF$25</f>
        <v>8.2500000000000004E-2</v>
      </c>
      <c r="I32" s="787">
        <f>'ANALYSE - ERP =&gt; SEGMENT'!$JG$25</f>
        <v>0.18329999999999999</v>
      </c>
      <c r="J32" s="787">
        <f>'ANALYSE - ERP =&gt; SEGMENT'!$JH$25</f>
        <v>0.31427272727272726</v>
      </c>
      <c r="K32" s="787">
        <f>'ANALYSE - ERP =&gt; SEGMENT'!$JI$25</f>
        <v>0.33076363636363632</v>
      </c>
      <c r="L32" s="787">
        <f>'ANALYSE - ERP =&gt; SEGMENT'!$JJ$25</f>
        <v>8.9163636363636362E-2</v>
      </c>
      <c r="N32" s="787">
        <f>'ANALYSE - ERP =&gt; SEGMENT'!$JK$25</f>
        <v>5.1948017496163533E-2</v>
      </c>
      <c r="O32" s="787">
        <f>'ANALYSE - ERP =&gt; SEGMENT'!$JL$25</f>
        <v>0.17216905543184291</v>
      </c>
      <c r="P32" s="787">
        <f>'ANALYSE - ERP =&gt; SEGMENT'!$JM$25</f>
        <v>0.25794974943553417</v>
      </c>
      <c r="Q32" s="787">
        <f>'ANALYSE - ERP =&gt; SEGMENT'!$JN$25</f>
        <v>0.36852513859057112</v>
      </c>
      <c r="R32" s="787">
        <f>'ANALYSE - ERP =&gt; SEGMENT'!$JO$25</f>
        <v>0.14940803904588831</v>
      </c>
      <c r="T32" s="430">
        <f>'ANALYSE - ERP =&gt; SEGMENT'!$Q$25</f>
        <v>1</v>
      </c>
    </row>
    <row r="33" spans="1:20" ht="15" customHeight="1">
      <c r="A33" s="26">
        <v>30</v>
      </c>
      <c r="B33" s="26">
        <v>30</v>
      </c>
      <c r="C33" s="422">
        <f>'ANALYSE - ERP =&gt; SEGMENT'!$A$8</f>
        <v>1</v>
      </c>
      <c r="D33" s="498" t="s">
        <v>6739</v>
      </c>
      <c r="E33" s="498" t="s">
        <v>2104</v>
      </c>
      <c r="F33" s="498" t="s">
        <v>671</v>
      </c>
      <c r="H33" s="787">
        <f>'ANALYSE - ERP =&gt; SEGMENT'!$JF$8</f>
        <v>0</v>
      </c>
      <c r="I33" s="787">
        <f>'ANALYSE - ERP =&gt; SEGMENT'!$JG$8</f>
        <v>0</v>
      </c>
      <c r="J33" s="787">
        <f>'ANALYSE - ERP =&gt; SEGMENT'!$JH$8</f>
        <v>0</v>
      </c>
      <c r="K33" s="787">
        <f>'ANALYSE - ERP =&gt; SEGMENT'!$JI$8</f>
        <v>0</v>
      </c>
      <c r="L33" s="787">
        <f>'ANALYSE - ERP =&gt; SEGMENT'!$JJ$8</f>
        <v>0</v>
      </c>
      <c r="N33" s="787">
        <f>'ANALYSE - ERP =&gt; SEGMENT'!$JK$8</f>
        <v>0</v>
      </c>
      <c r="O33" s="787">
        <f>'ANALYSE - ERP =&gt; SEGMENT'!$JL$8</f>
        <v>0</v>
      </c>
      <c r="P33" s="787">
        <f>'ANALYSE - ERP =&gt; SEGMENT'!$JM$8</f>
        <v>0</v>
      </c>
      <c r="Q33" s="787">
        <f>'ANALYSE - ERP =&gt; SEGMENT'!$JN$8</f>
        <v>0</v>
      </c>
      <c r="R33" s="787">
        <f>'ANALYSE - ERP =&gt; SEGMENT'!$JO$8</f>
        <v>0</v>
      </c>
      <c r="T33" s="430">
        <f>'ANALYSE - ERP =&gt; SEGMENT'!$Q$8</f>
        <v>1</v>
      </c>
    </row>
    <row r="34" spans="1:20" ht="15" customHeight="1">
      <c r="A34" s="26">
        <v>31</v>
      </c>
      <c r="B34" s="26">
        <v>31</v>
      </c>
      <c r="C34" s="422">
        <f>'ANALYSE - ERP =&gt; SEGMENT'!$A$38</f>
        <v>39</v>
      </c>
      <c r="D34" s="502" t="s">
        <v>2163</v>
      </c>
      <c r="E34" s="502" t="s">
        <v>2163</v>
      </c>
      <c r="F34" s="502" t="s">
        <v>2164</v>
      </c>
      <c r="H34" s="787">
        <f>'ANALYSE - ERP =&gt; SEGMENT'!$JF$38</f>
        <v>0</v>
      </c>
      <c r="I34" s="787">
        <f>'ANALYSE - ERP =&gt; SEGMENT'!$JG$38</f>
        <v>0</v>
      </c>
      <c r="J34" s="787">
        <f>'ANALYSE - ERP =&gt; SEGMENT'!$JH$38</f>
        <v>0</v>
      </c>
      <c r="K34" s="787">
        <f>'ANALYSE - ERP =&gt; SEGMENT'!$JI$38</f>
        <v>0</v>
      </c>
      <c r="L34" s="787">
        <f>'ANALYSE - ERP =&gt; SEGMENT'!$JJ$38</f>
        <v>0</v>
      </c>
      <c r="N34" s="787">
        <f>'ANALYSE - ERP =&gt; SEGMENT'!$JK$38</f>
        <v>0</v>
      </c>
      <c r="O34" s="787">
        <f>'ANALYSE - ERP =&gt; SEGMENT'!$JL$38</f>
        <v>0</v>
      </c>
      <c r="P34" s="787">
        <f>'ANALYSE - ERP =&gt; SEGMENT'!$JM$38</f>
        <v>0</v>
      </c>
      <c r="Q34" s="787">
        <f>'ANALYSE - ERP =&gt; SEGMENT'!$JN$38</f>
        <v>0</v>
      </c>
      <c r="R34" s="787">
        <f>'ANALYSE - ERP =&gt; SEGMENT'!$JO$38</f>
        <v>0</v>
      </c>
      <c r="T34" s="430">
        <f>'ANALYSE - ERP =&gt; SEGMENT'!$Q$38</f>
        <v>1</v>
      </c>
    </row>
  </sheetData>
  <pageMargins left="3.937007874015748E-2" right="3.937007874015748E-2" top="7.874015748031496E-2" bottom="7.874015748031496E-2" header="0.11811023622047249" footer="0.11811023622047249"/>
  <pageSetup paperSize="8" scale="87" fitToHeight="2"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5" tint="0.39997558519241921"/>
    <pageSetUpPr fitToPage="1"/>
  </sheetPr>
  <dimension ref="A1:BZ34"/>
  <sheetViews>
    <sheetView zoomScale="85" zoomScaleNormal="85" workbookViewId="0">
      <selection activeCell="F21" sqref="F21"/>
    </sheetView>
  </sheetViews>
  <sheetFormatPr baseColWidth="10" defaultColWidth="9.140625" defaultRowHeight="15"/>
  <cols>
    <col min="1" max="2" width="9" style="934" customWidth="1"/>
    <col min="3" max="3" width="6" style="934" customWidth="1"/>
    <col min="4" max="4" width="30.5703125" style="934" customWidth="1"/>
    <col min="5" max="5" width="27.7109375" style="43" customWidth="1"/>
    <col min="6" max="6" width="60.85546875" style="43" customWidth="1"/>
    <col min="7" max="7" width="1.7109375" style="933" customWidth="1"/>
    <col min="8" max="8" width="8.7109375" style="43" customWidth="1"/>
    <col min="9" max="12" width="8.7109375" style="934" customWidth="1"/>
    <col min="13" max="13" width="1.7109375" style="933" customWidth="1"/>
    <col min="14" max="18" width="8.710937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7978</v>
      </c>
      <c r="F1" s="479"/>
      <c r="H1" s="474"/>
      <c r="I1" s="474"/>
      <c r="J1" s="475" t="s">
        <v>7971</v>
      </c>
      <c r="K1" s="474"/>
      <c r="L1" s="474"/>
      <c r="N1" s="452"/>
      <c r="O1" s="452"/>
      <c r="P1" s="476" t="s">
        <v>7972</v>
      </c>
      <c r="Q1" s="452"/>
      <c r="R1" s="452"/>
      <c r="T1" s="452"/>
    </row>
    <row r="2" spans="1:20"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520" t="s">
        <v>6739</v>
      </c>
      <c r="E3" s="520" t="s">
        <v>2104</v>
      </c>
      <c r="F3" s="520" t="s">
        <v>671</v>
      </c>
      <c r="H3" s="426">
        <f>SUMPRODUCT(($T$4:$T$106),('ANALYSE - ERP =&gt; SEGMENT'!$BE$8:$BE$110),('ANALYSE - ERP =&gt; SEGMENT'!$JF$8:$JF$110))</f>
        <v>88699.480700000015</v>
      </c>
      <c r="I3" s="426">
        <f>SUMPRODUCT(($T$4:$T$106),('ANALYSE - ERP =&gt; SEGMENT'!$BE$8:$BE$110),('ANALYSE - ERP =&gt; SEGMENT'!$JG$8:$JG$110))</f>
        <v>418919.42720999982</v>
      </c>
      <c r="J3" s="426">
        <f>SUMPRODUCT(($T$4:$T$106),('ANALYSE - ERP =&gt; SEGMENT'!$BE$8:$BE$110),('ANALYSE - ERP =&gt; SEGMENT'!$JH$8:$JH$110))</f>
        <v>261854.54734000002</v>
      </c>
      <c r="K3" s="426">
        <f>SUMPRODUCT(($T$4:$T$106),('ANALYSE - ERP =&gt; SEGMENT'!$BE$8:$BE$110),('ANALYSE - ERP =&gt; SEGMENT'!$JI$8:$JI$110))</f>
        <v>40658.049950000001</v>
      </c>
      <c r="L3" s="426">
        <f>SUMPRODUCT(($T$4:$T$106),('ANALYSE - ERP =&gt; SEGMENT'!$BE$8:$BE$110),('ANALYSE - ERP =&gt; SEGMENT'!$JJ$8:$JJ$110))</f>
        <v>3534.7948000000006</v>
      </c>
      <c r="N3" s="426">
        <f>SUMPRODUCT(($T$4:$T$106),('ANALYSE - ERP =&gt; SEGMENT'!$FD$8:$FD$110),('ANALYSE - ERP =&gt; SEGMENT'!$JK$8:$JK$110))</f>
        <v>16633.141027714359</v>
      </c>
      <c r="O3" s="426">
        <f>SUMPRODUCT(($T$4:$T$106),('ANALYSE - ERP =&gt; SEGMENT'!$FD$8:$FD$110),('ANALYSE - ERP =&gt; SEGMENT'!$JL$8:$JL$110))</f>
        <v>151330.43992263312</v>
      </c>
      <c r="P3" s="426">
        <f>SUMPRODUCT(($T$4:$T$106),('ANALYSE - ERP =&gt; SEGMENT'!$FD$8:$FD$110),('ANALYSE - ERP =&gt; SEGMENT'!$JM$8:$JM$110))</f>
        <v>136663.94067581295</v>
      </c>
      <c r="Q3" s="426">
        <f>SUMPRODUCT(($T$4:$T$106),('ANALYSE - ERP =&gt; SEGMENT'!$FD$8:$FD$110),('ANALYSE - ERP =&gt; SEGMENT'!$JN$8:$JN$110))</f>
        <v>29772.570104614879</v>
      </c>
      <c r="R3" s="426">
        <f>SUMPRODUCT(($T$4:$T$106),('ANALYSE - ERP =&gt; SEGMENT'!$FD$8:$FD$110),('ANALYSE - ERP =&gt; SEGMENT'!$JO$8:$JO$110))</f>
        <v>3232.9157871745169</v>
      </c>
      <c r="T3" s="428">
        <f>SUM('ANALYSE - ERP =&gt; SEGMENT'!$Q$8:$Q$110)</f>
        <v>34</v>
      </c>
    </row>
    <row r="4" spans="1:20" ht="15" customHeight="1">
      <c r="A4" s="26">
        <v>1</v>
      </c>
      <c r="B4" s="26">
        <v>2</v>
      </c>
      <c r="C4" s="422">
        <f>'ANALYSE - ERP =&gt; SEGMENT'!$A$19</f>
        <v>15</v>
      </c>
      <c r="D4" s="492" t="s">
        <v>2187</v>
      </c>
      <c r="E4" s="492" t="s">
        <v>3877</v>
      </c>
      <c r="F4" s="492" t="s">
        <v>7981</v>
      </c>
      <c r="H4" s="458">
        <f>'ANALYSE - ERP =&gt; SEGMENT'!$BE$19*'ANALYSE - ERP =&gt; SEGMENT'!$JF$19</f>
        <v>6894.2651000000005</v>
      </c>
      <c r="I4" s="458">
        <f>'ANALYSE - ERP =&gt; SEGMENT'!$BE$19*'ANALYSE - ERP =&gt; SEGMENT'!$JG$19</f>
        <v>56591.6587</v>
      </c>
      <c r="J4" s="458">
        <f>'ANALYSE - ERP =&gt; SEGMENT'!$BE$19*'ANALYSE - ERP =&gt; SEGMENT'!$JH$19</f>
        <v>45550.281199999998</v>
      </c>
      <c r="K4" s="458">
        <f>'ANALYSE - ERP =&gt; SEGMENT'!$BE$19*'ANALYSE - ERP =&gt; SEGMENT'!$JI$19</f>
        <v>10751.7268</v>
      </c>
      <c r="L4" s="458">
        <f>'ANALYSE - ERP =&gt; SEGMENT'!$BE$19*'ANALYSE - ERP =&gt; SEGMENT'!$JJ$19</f>
        <v>2250.0682000000002</v>
      </c>
      <c r="N4" s="458">
        <f>'ANALYSE - ERP =&gt; SEGMENT'!$FD$19*'ANALYSE - ERP =&gt; SEGMENT'!$JK$19</f>
        <v>900.61632530918723</v>
      </c>
      <c r="O4" s="458">
        <f>'ANALYSE - ERP =&gt; SEGMENT'!$FD$19*'ANALYSE - ERP =&gt; SEGMENT'!$JL$19</f>
        <v>24802.273104985426</v>
      </c>
      <c r="P4" s="458">
        <f>'ANALYSE - ERP =&gt; SEGMENT'!$FD$19*'ANALYSE - ERP =&gt; SEGMENT'!$JM$19</f>
        <v>28093.106413447818</v>
      </c>
      <c r="Q4" s="458">
        <f>'ANALYSE - ERP =&gt; SEGMENT'!$FD$19*'ANALYSE - ERP =&gt; SEGMENT'!$JN$19</f>
        <v>7245.5839182212385</v>
      </c>
      <c r="R4" s="458">
        <f>'ANALYSE - ERP =&gt; SEGMENT'!$FD$19*'ANALYSE - ERP =&gt; SEGMENT'!$JO$19</f>
        <v>1458.5200229809575</v>
      </c>
      <c r="T4" s="430">
        <f>'ANALYSE - ERP =&gt; SEGMENT'!$Q$19</f>
        <v>1</v>
      </c>
    </row>
    <row r="5" spans="1:20" ht="15" customHeight="1">
      <c r="A5" s="26">
        <v>2</v>
      </c>
      <c r="B5" s="26">
        <v>1</v>
      </c>
      <c r="C5" s="422">
        <f>'ANALYSE - ERP =&gt; SEGMENT'!$A$9</f>
        <v>2</v>
      </c>
      <c r="D5" s="498" t="s">
        <v>6739</v>
      </c>
      <c r="E5" s="498" t="s">
        <v>2678</v>
      </c>
      <c r="F5" s="498" t="s">
        <v>7984</v>
      </c>
      <c r="H5" s="458">
        <f>'ANALYSE - ERP =&gt; SEGMENT'!$BE$9*'ANALYSE - ERP =&gt; SEGMENT'!$JF$9</f>
        <v>36796.750500000002</v>
      </c>
      <c r="I5" s="458">
        <f>'ANALYSE - ERP =&gt; SEGMENT'!$BE$9*'ANALYSE - ERP =&gt; SEGMENT'!$JG$9</f>
        <v>123396.73920000001</v>
      </c>
      <c r="J5" s="458">
        <f>'ANALYSE - ERP =&gt; SEGMENT'!$BE$9*'ANALYSE - ERP =&gt; SEGMENT'!$JH$9</f>
        <v>48872.724500000004</v>
      </c>
      <c r="K5" s="458">
        <f>'ANALYSE - ERP =&gt; SEGMENT'!$BE$9*'ANALYSE - ERP =&gt; SEGMENT'!$JI$9</f>
        <v>2633.4553000000001</v>
      </c>
      <c r="L5" s="458">
        <f>'ANALYSE - ERP =&gt; SEGMENT'!$BE$9*'ANALYSE - ERP =&gt; SEGMENT'!$JJ$9</f>
        <v>27.330500000000001</v>
      </c>
      <c r="N5" s="458">
        <f>'ANALYSE - ERP =&gt; SEGMENT'!$FD$9*'ANALYSE - ERP =&gt; SEGMENT'!$JK$9</f>
        <v>4568.9952593772177</v>
      </c>
      <c r="O5" s="458">
        <f>'ANALYSE - ERP =&gt; SEGMENT'!$FD$9*'ANALYSE - ERP =&gt; SEGMENT'!$JL$9</f>
        <v>30869.331961593889</v>
      </c>
      <c r="P5" s="458">
        <f>'ANALYSE - ERP =&gt; SEGMENT'!$FD$9*'ANALYSE - ERP =&gt; SEGMENT'!$JM$9</f>
        <v>24302.409283144465</v>
      </c>
      <c r="Q5" s="458">
        <f>'ANALYSE - ERP =&gt; SEGMENT'!$FD$9*'ANALYSE - ERP =&gt; SEGMENT'!$JN$9</f>
        <v>2385.94675533484</v>
      </c>
      <c r="R5" s="458">
        <f>'ANALYSE - ERP =&gt; SEGMENT'!$FD$9*'ANALYSE - ERP =&gt; SEGMENT'!$JO$9</f>
        <v>37.198525090396465</v>
      </c>
      <c r="T5" s="430">
        <f>'ANALYSE - ERP =&gt; SEGMENT'!$Q$9</f>
        <v>1</v>
      </c>
    </row>
    <row r="6" spans="1:20" ht="15" customHeight="1">
      <c r="A6" s="26">
        <v>3</v>
      </c>
      <c r="B6" s="26">
        <v>3</v>
      </c>
      <c r="C6" s="422">
        <f>'ANALYSE - ERP =&gt; SEGMENT'!$A$16</f>
        <v>10</v>
      </c>
      <c r="D6" s="500" t="s">
        <v>3662</v>
      </c>
      <c r="E6" s="500" t="s">
        <v>1114</v>
      </c>
      <c r="F6" s="500" t="s">
        <v>7985</v>
      </c>
      <c r="H6" s="458">
        <f>'ANALYSE - ERP =&gt; SEGMENT'!$BE$16*'ANALYSE - ERP =&gt; SEGMENT'!$JF$16</f>
        <v>3812.3139999999999</v>
      </c>
      <c r="I6" s="458">
        <f>'ANALYSE - ERP =&gt; SEGMENT'!$BE$16*'ANALYSE - ERP =&gt; SEGMENT'!$JG$16</f>
        <v>33250.668299999998</v>
      </c>
      <c r="J6" s="458">
        <f>'ANALYSE - ERP =&gt; SEGMENT'!$BE$16*'ANALYSE - ERP =&gt; SEGMENT'!$JH$16</f>
        <v>30001.86</v>
      </c>
      <c r="K6" s="458">
        <f>'ANALYSE - ERP =&gt; SEGMENT'!$BE$16*'ANALYSE - ERP =&gt; SEGMENT'!$JI$16</f>
        <v>5763.2379000000001</v>
      </c>
      <c r="L6" s="458">
        <f>'ANALYSE - ERP =&gt; SEGMENT'!$BE$16*'ANALYSE - ERP =&gt; SEGMENT'!$JJ$16</f>
        <v>198.91979999999998</v>
      </c>
      <c r="N6" s="458">
        <f>'ANALYSE - ERP =&gt; SEGMENT'!$FD$16*'ANALYSE - ERP =&gt; SEGMENT'!$JK$16</f>
        <v>756.13912656045545</v>
      </c>
      <c r="O6" s="458">
        <f>'ANALYSE - ERP =&gt; SEGMENT'!$FD$16*'ANALYSE - ERP =&gt; SEGMENT'!$JL$16</f>
        <v>12161.887547546568</v>
      </c>
      <c r="P6" s="458">
        <f>'ANALYSE - ERP =&gt; SEGMENT'!$FD$16*'ANALYSE - ERP =&gt; SEGMENT'!$JM$16</f>
        <v>13930.323845789178</v>
      </c>
      <c r="Q6" s="458">
        <f>'ANALYSE - ERP =&gt; SEGMENT'!$FD$16*'ANALYSE - ERP =&gt; SEGMENT'!$JN$16</f>
        <v>3915.5306255302175</v>
      </c>
      <c r="R6" s="458">
        <f>'ANALYSE - ERP =&gt; SEGMENT'!$FD$16*'ANALYSE - ERP =&gt; SEGMENT'!$JO$16</f>
        <v>298.67256023989705</v>
      </c>
      <c r="T6" s="430">
        <f>'ANALYSE - ERP =&gt; SEGMENT'!$Q$16</f>
        <v>1</v>
      </c>
    </row>
    <row r="7" spans="1:20" ht="15" customHeight="1">
      <c r="A7" s="26">
        <v>4</v>
      </c>
      <c r="B7" s="26">
        <v>4</v>
      </c>
      <c r="C7" s="422">
        <f>'ANALYSE - ERP =&gt; SEGMENT'!$A$22</f>
        <v>18</v>
      </c>
      <c r="D7" s="502" t="s">
        <v>2264</v>
      </c>
      <c r="E7" s="502" t="s">
        <v>4024</v>
      </c>
      <c r="F7" s="502" t="s">
        <v>679</v>
      </c>
      <c r="H7" s="458">
        <f>'ANALYSE - ERP =&gt; SEGMENT'!$BE$22*'ANALYSE - ERP =&gt; SEGMENT'!$JF$22</f>
        <v>6828.3</v>
      </c>
      <c r="I7" s="458">
        <f>'ANALYSE - ERP =&gt; SEGMENT'!$BE$22*'ANALYSE - ERP =&gt; SEGMENT'!$JG$22</f>
        <v>68245.064999999988</v>
      </c>
      <c r="J7" s="458">
        <f>'ANALYSE - ERP =&gt; SEGMENT'!$BE$22*'ANALYSE - ERP =&gt; SEGMENT'!$JH$22</f>
        <v>47393.460000000006</v>
      </c>
      <c r="K7" s="458">
        <f>'ANALYSE - ERP =&gt; SEGMENT'!$BE$22*'ANALYSE - ERP =&gt; SEGMENT'!$JI$22</f>
        <v>3983.1750000000002</v>
      </c>
      <c r="L7" s="458">
        <f>'ANALYSE - ERP =&gt; SEGMENT'!$BE$22*'ANALYSE - ERP =&gt; SEGMENT'!$JJ$22</f>
        <v>0</v>
      </c>
      <c r="N7" s="458">
        <f>'ANALYSE - ERP =&gt; SEGMENT'!$FD$22*'ANALYSE - ERP =&gt; SEGMENT'!$JK$22</f>
        <v>1505.6319356937063</v>
      </c>
      <c r="O7" s="458">
        <f>'ANALYSE - ERP =&gt; SEGMENT'!$FD$22*'ANALYSE - ERP =&gt; SEGMENT'!$JL$22</f>
        <v>24265.294561101393</v>
      </c>
      <c r="P7" s="458">
        <f>'ANALYSE - ERP =&gt; SEGMENT'!$FD$22*'ANALYSE - ERP =&gt; SEGMENT'!$JM$22</f>
        <v>18796.725738062934</v>
      </c>
      <c r="Q7" s="458">
        <f>'ANALYSE - ERP =&gt; SEGMENT'!$FD$22*'ANALYSE - ERP =&gt; SEGMENT'!$JN$22</f>
        <v>2542.5294008412584</v>
      </c>
      <c r="R7" s="458">
        <f>'ANALYSE - ERP =&gt; SEGMENT'!$FD$22*'ANALYSE - ERP =&gt; SEGMENT'!$JO$22</f>
        <v>236.73458108391605</v>
      </c>
      <c r="T7" s="430">
        <f>'ANALYSE - ERP =&gt; SEGMENT'!$Q$22</f>
        <v>1</v>
      </c>
    </row>
    <row r="8" spans="1:20" ht="15" customHeight="1">
      <c r="A8" s="26">
        <v>5</v>
      </c>
      <c r="B8" s="26">
        <v>6</v>
      </c>
      <c r="C8" s="422">
        <f>'ANALYSE - ERP =&gt; SEGMENT'!$A$31</f>
        <v>30</v>
      </c>
      <c r="D8" s="496" t="s">
        <v>1670</v>
      </c>
      <c r="E8" s="496" t="s">
        <v>1747</v>
      </c>
      <c r="F8" s="496" t="s">
        <v>7986</v>
      </c>
      <c r="H8" s="458">
        <f>'ANALYSE - ERP =&gt; SEGMENT'!$BE$31*'ANALYSE - ERP =&gt; SEGMENT'!$JF$31</f>
        <v>19750.537999999997</v>
      </c>
      <c r="I8" s="458">
        <f>'ANALYSE - ERP =&gt; SEGMENT'!$BE$31*'ANALYSE - ERP =&gt; SEGMENT'!$JG$31</f>
        <v>59321.442000000003</v>
      </c>
      <c r="J8" s="458">
        <f>'ANALYSE - ERP =&gt; SEGMENT'!$BE$31*'ANALYSE - ERP =&gt; SEGMENT'!$JH$31</f>
        <v>18454.793000000001</v>
      </c>
      <c r="K8" s="458">
        <f>'ANALYSE - ERP =&gt; SEGMENT'!$BE$31*'ANALYSE - ERP =&gt; SEGMENT'!$JI$31</f>
        <v>1238.2270000000001</v>
      </c>
      <c r="L8" s="458">
        <f>'ANALYSE - ERP =&gt; SEGMENT'!$BE$31*'ANALYSE - ERP =&gt; SEGMENT'!$JJ$31</f>
        <v>0</v>
      </c>
      <c r="N8" s="458">
        <f>'ANALYSE - ERP =&gt; SEGMENT'!$FD$31*'ANALYSE - ERP =&gt; SEGMENT'!$JK$31</f>
        <v>8514.0235959903766</v>
      </c>
      <c r="O8" s="458">
        <f>'ANALYSE - ERP =&gt; SEGMENT'!$FD$31*'ANALYSE - ERP =&gt; SEGMENT'!$JL$31</f>
        <v>29139.027959495277</v>
      </c>
      <c r="P8" s="458">
        <f>'ANALYSE - ERP =&gt; SEGMENT'!$FD$31*'ANALYSE - ERP =&gt; SEGMENT'!$JM$31</f>
        <v>12528.184420930389</v>
      </c>
      <c r="Q8" s="458">
        <f>'ANALYSE - ERP =&gt; SEGMENT'!$FD$31*'ANALYSE - ERP =&gt; SEGMENT'!$JN$31</f>
        <v>1339.0413425811357</v>
      </c>
      <c r="R8" s="458">
        <f>'ANALYSE - ERP =&gt; SEGMENT'!$FD$31*'ANALYSE - ERP =&gt; SEGMENT'!$JO$31</f>
        <v>154.63109056630483</v>
      </c>
      <c r="T8" s="430">
        <f>'ANALYSE - ERP =&gt; SEGMENT'!$Q$31</f>
        <v>1</v>
      </c>
    </row>
    <row r="9" spans="1:20" ht="15" customHeight="1">
      <c r="A9" s="26">
        <v>6</v>
      </c>
      <c r="B9" s="26">
        <v>5</v>
      </c>
      <c r="C9" s="422">
        <f>'ANALYSE - ERP =&gt; SEGMENT'!$A$27</f>
        <v>26</v>
      </c>
      <c r="D9" s="504" t="s">
        <v>2278</v>
      </c>
      <c r="E9" s="504" t="s">
        <v>1527</v>
      </c>
      <c r="F9" s="504" t="s">
        <v>7987</v>
      </c>
      <c r="H9" s="458">
        <f>'ANALYSE - ERP =&gt; SEGMENT'!$BE$27*'ANALYSE - ERP =&gt; SEGMENT'!$JF$27</f>
        <v>1380.8308</v>
      </c>
      <c r="I9" s="458">
        <f>'ANALYSE - ERP =&gt; SEGMENT'!$BE$27*'ANALYSE - ERP =&gt; SEGMENT'!$JG$27</f>
        <v>12072.121659999997</v>
      </c>
      <c r="J9" s="458">
        <f>'ANALYSE - ERP =&gt; SEGMENT'!$BE$27*'ANALYSE - ERP =&gt; SEGMENT'!$JH$27</f>
        <v>8142.8798399999996</v>
      </c>
      <c r="K9" s="458">
        <f>'ANALYSE - ERP =&gt; SEGMENT'!$BE$27*'ANALYSE - ERP =&gt; SEGMENT'!$JI$27</f>
        <v>721.3042999999999</v>
      </c>
      <c r="L9" s="458">
        <f>'ANALYSE - ERP =&gt; SEGMENT'!$BE$27*'ANALYSE - ERP =&gt; SEGMENT'!$JJ$27</f>
        <v>0.66339999999999999</v>
      </c>
      <c r="N9" s="458">
        <f>'ANALYSE - ERP =&gt; SEGMENT'!$FD$27*'ANALYSE - ERP =&gt; SEGMENT'!$JK$27</f>
        <v>374.84493070529658</v>
      </c>
      <c r="O9" s="458">
        <f>'ANALYSE - ERP =&gt; SEGMENT'!$FD$27*'ANALYSE - ERP =&gt; SEGMENT'!$JL$27</f>
        <v>4840.2654946313596</v>
      </c>
      <c r="P9" s="458">
        <f>'ANALYSE - ERP =&gt; SEGMENT'!$FD$27*'ANALYSE - ERP =&gt; SEGMENT'!$JM$27</f>
        <v>3707.5901517648504</v>
      </c>
      <c r="Q9" s="458">
        <f>'ANALYSE - ERP =&gt; SEGMENT'!$FD$27*'ANALYSE - ERP =&gt; SEGMENT'!$JN$27</f>
        <v>498.04816251971369</v>
      </c>
      <c r="R9" s="458">
        <f>'ANALYSE - ERP =&gt; SEGMENT'!$FD$27*'ANALYSE - ERP =&gt; SEGMENT'!$JO$27</f>
        <v>37.28875484292125</v>
      </c>
      <c r="T9" s="430">
        <f>'ANALYSE - ERP =&gt; SEGMENT'!$Q$27</f>
        <v>1</v>
      </c>
    </row>
    <row r="10" spans="1:20" ht="15" customHeight="1">
      <c r="A10" s="26">
        <v>7</v>
      </c>
      <c r="B10" s="26">
        <v>7</v>
      </c>
      <c r="C10" s="422">
        <f>'ANALYSE - ERP =&gt; SEGMENT'!$A$30</f>
        <v>29</v>
      </c>
      <c r="D10" s="496" t="s">
        <v>1670</v>
      </c>
      <c r="E10" s="496" t="s">
        <v>1671</v>
      </c>
      <c r="F10" s="496" t="s">
        <v>7983</v>
      </c>
      <c r="H10" s="458">
        <f>'ANALYSE - ERP =&gt; SEGMENT'!$BE$30*'ANALYSE - ERP =&gt; SEGMENT'!$JF$30</f>
        <v>19974.937000000002</v>
      </c>
      <c r="I10" s="458">
        <f>'ANALYSE - ERP =&gt; SEGMENT'!$BE$30*'ANALYSE - ERP =&gt; SEGMENT'!$JG$30</f>
        <v>45162.354999999996</v>
      </c>
      <c r="J10" s="458">
        <f>'ANALYSE - ERP =&gt; SEGMENT'!$BE$30*'ANALYSE - ERP =&gt; SEGMENT'!$JH$30</f>
        <v>13653.352000000001</v>
      </c>
      <c r="K10" s="458">
        <f>'ANALYSE - ERP =&gt; SEGMENT'!$BE$30*'ANALYSE - ERP =&gt; SEGMENT'!$JI$30</f>
        <v>1837.2760000000001</v>
      </c>
      <c r="L10" s="458">
        <f>'ANALYSE - ERP =&gt; SEGMENT'!$BE$30*'ANALYSE - ERP =&gt; SEGMENT'!$JJ$30</f>
        <v>412.08000000000004</v>
      </c>
      <c r="N10" s="458">
        <f>'ANALYSE - ERP =&gt; SEGMENT'!$FD$30*'ANALYSE - ERP =&gt; SEGMENT'!$JK$30</f>
        <v>5994.1235607107283</v>
      </c>
      <c r="O10" s="458">
        <f>'ANALYSE - ERP =&gt; SEGMENT'!$FD$30*'ANALYSE - ERP =&gt; SEGMENT'!$JL$30</f>
        <v>24102.900889051736</v>
      </c>
      <c r="P10" s="458">
        <f>'ANALYSE - ERP =&gt; SEGMENT'!$FD$30*'ANALYSE - ERP =&gt; SEGMENT'!$JM$30</f>
        <v>11230.282664461676</v>
      </c>
      <c r="Q10" s="458">
        <f>'ANALYSE - ERP =&gt; SEGMENT'!$FD$30*'ANALYSE - ERP =&gt; SEGMENT'!$JN$30</f>
        <v>1535.0819248888922</v>
      </c>
      <c r="R10" s="458">
        <f>'ANALYSE - ERP =&gt; SEGMENT'!$FD$30*'ANALYSE - ERP =&gt; SEGMENT'!$JO$30</f>
        <v>288.10053821273215</v>
      </c>
      <c r="T10" s="430">
        <f>'ANALYSE - ERP =&gt; SEGMENT'!$Q$30</f>
        <v>1</v>
      </c>
    </row>
    <row r="11" spans="1:20" s="45" customFormat="1" ht="15" customHeight="1">
      <c r="A11" s="26">
        <v>8</v>
      </c>
      <c r="B11" s="26">
        <v>9</v>
      </c>
      <c r="C11" s="422">
        <f>'ANALYSE - ERP =&gt; SEGMENT'!$A$23</f>
        <v>19</v>
      </c>
      <c r="D11" s="502" t="s">
        <v>2264</v>
      </c>
      <c r="E11" s="502" t="s">
        <v>7990</v>
      </c>
      <c r="F11" s="502" t="s">
        <v>7991</v>
      </c>
      <c r="G11" s="685"/>
      <c r="H11" s="458">
        <f>'ANALYSE - ERP =&gt; SEGMENT'!$BE$23*'ANALYSE - ERP =&gt; SEGMENT'!$JF$23</f>
        <v>8315.1450000000004</v>
      </c>
      <c r="I11" s="458">
        <f>'ANALYSE - ERP =&gt; SEGMENT'!$BE$23*'ANALYSE - ERP =&gt; SEGMENT'!$JG$23</f>
        <v>40486.87799999999</v>
      </c>
      <c r="J11" s="458">
        <f>'ANALYSE - ERP =&gt; SEGMENT'!$BE$23*'ANALYSE - ERP =&gt; SEGMENT'!$JH$23</f>
        <v>21837.062000000002</v>
      </c>
      <c r="K11" s="458">
        <f>'ANALYSE - ERP =&gt; SEGMENT'!$BE$23*'ANALYSE - ERP =&gt; SEGMENT'!$JI$23</f>
        <v>1768.1870000000001</v>
      </c>
      <c r="L11" s="458">
        <f>'ANALYSE - ERP =&gt; SEGMENT'!$BE$23*'ANALYSE - ERP =&gt; SEGMENT'!$JJ$23</f>
        <v>7.7279999999999998</v>
      </c>
      <c r="M11" s="685"/>
      <c r="N11" s="458">
        <f>'ANALYSE - ERP =&gt; SEGMENT'!$FD$23*'ANALYSE - ERP =&gt; SEGMENT'!$JK$23</f>
        <v>2279.9781087568808</v>
      </c>
      <c r="O11" s="458">
        <f>'ANALYSE - ERP =&gt; SEGMENT'!$FD$23*'ANALYSE - ERP =&gt; SEGMENT'!$JL$23</f>
        <v>18050.454690641938</v>
      </c>
      <c r="P11" s="458">
        <f>'ANALYSE - ERP =&gt; SEGMENT'!$FD$23*'ANALYSE - ERP =&gt; SEGMENT'!$JM$23</f>
        <v>11818.379956866735</v>
      </c>
      <c r="Q11" s="458">
        <f>'ANALYSE - ERP =&gt; SEGMENT'!$FD$23*'ANALYSE - ERP =&gt; SEGMENT'!$JN$23</f>
        <v>1301.5905434343117</v>
      </c>
      <c r="R11" s="458">
        <f>'ANALYSE - ERP =&gt; SEGMENT'!$FD$23*'ANALYSE - ERP =&gt; SEGMENT'!$JO$23</f>
        <v>116.84025105382113</v>
      </c>
      <c r="S11" s="685"/>
      <c r="T11" s="430">
        <f>'ANALYSE - ERP =&gt; SEGMENT'!$Q$23</f>
        <v>1</v>
      </c>
    </row>
    <row r="12" spans="1:20" ht="15" customHeight="1">
      <c r="A12" s="26">
        <v>9</v>
      </c>
      <c r="B12" s="26">
        <v>8</v>
      </c>
      <c r="C12" s="422">
        <f>'ANALYSE - ERP =&gt; SEGMENT'!$A$28</f>
        <v>27</v>
      </c>
      <c r="D12" s="504" t="s">
        <v>2278</v>
      </c>
      <c r="E12" s="504" t="s">
        <v>4578</v>
      </c>
      <c r="F12" s="504" t="s">
        <v>7989</v>
      </c>
      <c r="H12" s="458">
        <f>'ANALYSE - ERP =&gt; SEGMENT'!$BE$28*'ANALYSE - ERP =&gt; SEGMENT'!$JF$28</f>
        <v>1264.6279999999999</v>
      </c>
      <c r="I12" s="458">
        <f>'ANALYSE - ERP =&gt; SEGMENT'!$BE$28*'ANALYSE - ERP =&gt; SEGMENT'!$JG$28</f>
        <v>5028.2460000000001</v>
      </c>
      <c r="J12" s="458">
        <f>'ANALYSE - ERP =&gt; SEGMENT'!$BE$28*'ANALYSE - ERP =&gt; SEGMENT'!$JH$28</f>
        <v>1792.2379999999998</v>
      </c>
      <c r="K12" s="458">
        <f>'ANALYSE - ERP =&gt; SEGMENT'!$BE$28*'ANALYSE - ERP =&gt; SEGMENT'!$JI$28</f>
        <v>94.888000000000005</v>
      </c>
      <c r="L12" s="458">
        <f>'ANALYSE - ERP =&gt; SEGMENT'!$BE$28*'ANALYSE - ERP =&gt; SEGMENT'!$JJ$28</f>
        <v>0</v>
      </c>
      <c r="N12" s="458">
        <f>'ANALYSE - ERP =&gt; SEGMENT'!$FD$28*'ANALYSE - ERP =&gt; SEGMENT'!$JK$28</f>
        <v>473.06460495661491</v>
      </c>
      <c r="O12" s="458">
        <f>'ANALYSE - ERP =&gt; SEGMENT'!$FD$28*'ANALYSE - ERP =&gt; SEGMENT'!$JL$28</f>
        <v>2011.4504982283399</v>
      </c>
      <c r="P12" s="458">
        <f>'ANALYSE - ERP =&gt; SEGMENT'!$FD$28*'ANALYSE - ERP =&gt; SEGMENT'!$JM$28</f>
        <v>785.18623399204682</v>
      </c>
      <c r="Q12" s="458">
        <f>'ANALYSE - ERP =&gt; SEGMENT'!$FD$28*'ANALYSE - ERP =&gt; SEGMENT'!$JN$28</f>
        <v>86.532102116619257</v>
      </c>
      <c r="R12" s="458">
        <f>'ANALYSE - ERP =&gt; SEGMENT'!$FD$28*'ANALYSE - ERP =&gt; SEGMENT'!$JO$28</f>
        <v>10.774425166271655</v>
      </c>
      <c r="T12" s="430">
        <f>'ANALYSE - ERP =&gt; SEGMENT'!$Q$28</f>
        <v>1</v>
      </c>
    </row>
    <row r="13" spans="1:20" s="45" customFormat="1" ht="15" customHeight="1">
      <c r="A13" s="406">
        <v>10</v>
      </c>
      <c r="B13" s="406">
        <v>10</v>
      </c>
      <c r="C13" s="448">
        <f>'ANALYSE - ERP =&gt; SEGMENT'!$A$12</f>
        <v>5</v>
      </c>
      <c r="D13" s="514" t="s">
        <v>6739</v>
      </c>
      <c r="E13" s="514" t="s">
        <v>2091</v>
      </c>
      <c r="F13" s="514" t="s">
        <v>2836</v>
      </c>
      <c r="G13" s="685"/>
      <c r="H13" s="459">
        <f>'ANALYSE - ERP =&gt; SEGMENT'!$BE$12*'ANALYSE - ERP =&gt; SEGMENT'!$JF$12</f>
        <v>2240.136</v>
      </c>
      <c r="I13" s="459">
        <f>'ANALYSE - ERP =&gt; SEGMENT'!$BE$12*'ANALYSE - ERP =&gt; SEGMENT'!$JG$12</f>
        <v>13966.973999999998</v>
      </c>
      <c r="J13" s="459">
        <f>'ANALYSE - ERP =&gt; SEGMENT'!$BE$12*'ANALYSE - ERP =&gt; SEGMENT'!$JH$12</f>
        <v>12894.072</v>
      </c>
      <c r="K13" s="459">
        <f>'ANALYSE - ERP =&gt; SEGMENT'!$BE$12*'ANALYSE - ERP =&gt; SEGMENT'!$JI$12</f>
        <v>2596.482</v>
      </c>
      <c r="L13" s="459">
        <f>'ANALYSE - ERP =&gt; SEGMENT'!$BE$12*'ANALYSE - ERP =&gt; SEGMENT'!$JJ$12</f>
        <v>42.335999999999999</v>
      </c>
      <c r="M13" s="685"/>
      <c r="N13" s="459">
        <f>'ANALYSE - ERP =&gt; SEGMENT'!$FD$12*'ANALYSE - ERP =&gt; SEGMENT'!$JK$12</f>
        <v>33.896697136478778</v>
      </c>
      <c r="O13" s="459">
        <f>'ANALYSE - ERP =&gt; SEGMENT'!$FD$12*'ANALYSE - ERP =&gt; SEGMENT'!$JL$12</f>
        <v>3181.3837885704816</v>
      </c>
      <c r="P13" s="459">
        <f>'ANALYSE - ERP =&gt; SEGMENT'!$FD$12*'ANALYSE - ERP =&gt; SEGMENT'!$JM$12</f>
        <v>6489.7675462742236</v>
      </c>
      <c r="Q13" s="459">
        <f>'ANALYSE - ERP =&gt; SEGMENT'!$FD$12*'ANALYSE - ERP =&gt; SEGMENT'!$JN$12</f>
        <v>2372.4093781655902</v>
      </c>
      <c r="R13" s="459">
        <f>'ANALYSE - ERP =&gt; SEGMENT'!$FD$12*'ANALYSE - ERP =&gt; SEGMENT'!$JO$12</f>
        <v>123.09620506371617</v>
      </c>
      <c r="S13" s="685"/>
      <c r="T13" s="450">
        <f>'ANALYSE - ERP =&gt; SEGMENT'!$Q$12</f>
        <v>1</v>
      </c>
    </row>
    <row r="14" spans="1:20" ht="15" customHeight="1">
      <c r="A14" s="26">
        <v>11</v>
      </c>
      <c r="B14" s="26">
        <v>12</v>
      </c>
      <c r="C14" s="422">
        <f>'ANALYSE - ERP =&gt; SEGMENT'!$A$26</f>
        <v>23</v>
      </c>
      <c r="D14" s="506" t="s">
        <v>7117</v>
      </c>
      <c r="E14" s="506" t="s">
        <v>4268</v>
      </c>
      <c r="F14" s="506" t="s">
        <v>4269</v>
      </c>
      <c r="H14" s="458">
        <f>'ANALYSE - ERP =&gt; SEGMENT'!$BE$26*'ANALYSE - ERP =&gt; SEGMENT'!$JF$26</f>
        <v>4680.9472500000002</v>
      </c>
      <c r="I14" s="458">
        <f>'ANALYSE - ERP =&gt; SEGMENT'!$BE$26*'ANALYSE - ERP =&gt; SEGMENT'!$JG$26</f>
        <v>13254.617249999999</v>
      </c>
      <c r="J14" s="458">
        <f>'ANALYSE - ERP =&gt; SEGMENT'!$BE$26*'ANALYSE - ERP =&gt; SEGMENT'!$JH$26</f>
        <v>4876.8510000000006</v>
      </c>
      <c r="K14" s="458">
        <f>'ANALYSE - ERP =&gt; SEGMENT'!$BE$26*'ANALYSE - ERP =&gt; SEGMENT'!$JI$26</f>
        <v>232.77974999999998</v>
      </c>
      <c r="L14" s="458">
        <f>'ANALYSE - ERP =&gt; SEGMENT'!$BE$26*'ANALYSE - ERP =&gt; SEGMENT'!$JJ$26</f>
        <v>2.3047500000000003</v>
      </c>
      <c r="N14" s="458">
        <f>'ANALYSE - ERP =&gt; SEGMENT'!$FD$26*'ANALYSE - ERP =&gt; SEGMENT'!$JK$26</f>
        <v>1077.0065776510726</v>
      </c>
      <c r="O14" s="458">
        <f>'ANALYSE - ERP =&gt; SEGMENT'!$FD$26*'ANALYSE - ERP =&gt; SEGMENT'!$JL$26</f>
        <v>5622.7994613456704</v>
      </c>
      <c r="P14" s="458">
        <f>'ANALYSE - ERP =&gt; SEGMENT'!$FD$26*'ANALYSE - ERP =&gt; SEGMENT'!$JM$26</f>
        <v>3816.2077827051612</v>
      </c>
      <c r="Q14" s="458">
        <f>'ANALYSE - ERP =&gt; SEGMENT'!$FD$26*'ANALYSE - ERP =&gt; SEGMENT'!$JN$26</f>
        <v>336.56455551596019</v>
      </c>
      <c r="R14" s="458">
        <f>'ANALYSE - ERP =&gt; SEGMENT'!$FD$26*'ANALYSE - ERP =&gt; SEGMENT'!$JO$26</f>
        <v>4.342768458270454</v>
      </c>
      <c r="T14" s="430">
        <f>'ANALYSE - ERP =&gt; SEGMENT'!$Q$26</f>
        <v>1</v>
      </c>
    </row>
    <row r="15" spans="1:20" s="45" customFormat="1" ht="15" customHeight="1">
      <c r="A15" s="406">
        <v>12</v>
      </c>
      <c r="B15" s="406">
        <v>13</v>
      </c>
      <c r="C15" s="448">
        <f>'ANALYSE - ERP =&gt; SEGMENT'!$A$14</f>
        <v>7</v>
      </c>
      <c r="D15" s="515" t="s">
        <v>2241</v>
      </c>
      <c r="E15" s="515" t="s">
        <v>1032</v>
      </c>
      <c r="F15" s="515" t="s">
        <v>7982</v>
      </c>
      <c r="G15" s="685"/>
      <c r="H15" s="459">
        <f>'ANALYSE - ERP =&gt; SEGMENT'!$BE$14*'ANALYSE - ERP =&gt; SEGMENT'!$JF$14</f>
        <v>295.4434</v>
      </c>
      <c r="I15" s="459">
        <f>'ANALYSE - ERP =&gt; SEGMENT'!$BE$14*'ANALYSE - ERP =&gt; SEGMENT'!$JG$14</f>
        <v>6949.8317999999981</v>
      </c>
      <c r="J15" s="459">
        <f>'ANALYSE - ERP =&gt; SEGMENT'!$BE$14*'ANALYSE - ERP =&gt; SEGMENT'!$JH$14</f>
        <v>10656.585500000001</v>
      </c>
      <c r="K15" s="459">
        <f>'ANALYSE - ERP =&gt; SEGMENT'!$BE$14*'ANALYSE - ERP =&gt; SEGMENT'!$JI$14</f>
        <v>2979.9701000000009</v>
      </c>
      <c r="L15" s="459">
        <f>'ANALYSE - ERP =&gt; SEGMENT'!$BE$14*'ANALYSE - ERP =&gt; SEGMENT'!$JJ$14</f>
        <v>71.669200000000004</v>
      </c>
      <c r="M15" s="685"/>
      <c r="N15" s="459">
        <f>'ANALYSE - ERP =&gt; SEGMENT'!$FD$14*'ANALYSE - ERP =&gt; SEGMENT'!$JK$14</f>
        <v>0</v>
      </c>
      <c r="O15" s="459">
        <f>'ANALYSE - ERP =&gt; SEGMENT'!$FD$14*'ANALYSE - ERP =&gt; SEGMENT'!$JL$14</f>
        <v>2248.048400357779</v>
      </c>
      <c r="P15" s="459">
        <f>'ANALYSE - ERP =&gt; SEGMENT'!$FD$14*'ANALYSE - ERP =&gt; SEGMENT'!$JM$14</f>
        <v>5560.1290064064196</v>
      </c>
      <c r="Q15" s="459">
        <f>'ANALYSE - ERP =&gt; SEGMENT'!$FD$14*'ANALYSE - ERP =&gt; SEGMENT'!$JN$14</f>
        <v>2218.2555864447199</v>
      </c>
      <c r="R15" s="459">
        <f>'ANALYSE - ERP =&gt; SEGMENT'!$FD$14*'ANALYSE - ERP =&gt; SEGMENT'!$JO$14</f>
        <v>57.534756357903063</v>
      </c>
      <c r="S15" s="685"/>
      <c r="T15" s="450">
        <f>'ANALYSE - ERP =&gt; SEGMENT'!$Q$14</f>
        <v>1</v>
      </c>
    </row>
    <row r="16" spans="1:20" ht="15" customHeight="1">
      <c r="A16" s="26">
        <v>13</v>
      </c>
      <c r="B16" s="26">
        <v>15</v>
      </c>
      <c r="C16" s="422">
        <f>'ANALYSE - ERP =&gt; SEGMENT'!$A$32</f>
        <v>32</v>
      </c>
      <c r="D16" s="508" t="s">
        <v>2285</v>
      </c>
      <c r="E16" s="508" t="s">
        <v>1793</v>
      </c>
      <c r="F16" s="508" t="s">
        <v>7992</v>
      </c>
      <c r="H16" s="458">
        <f>'ANALYSE - ERP =&gt; SEGMENT'!$BE$32*'ANALYSE - ERP =&gt; SEGMENT'!$JF$32</f>
        <v>950.51539999999989</v>
      </c>
      <c r="I16" s="458">
        <f>'ANALYSE - ERP =&gt; SEGMENT'!$BE$32*'ANALYSE - ERP =&gt; SEGMENT'!$JG$32</f>
        <v>5440.3436000000002</v>
      </c>
      <c r="J16" s="458">
        <f>'ANALYSE - ERP =&gt; SEGMENT'!$BE$32*'ANALYSE - ERP =&gt; SEGMENT'!$JH$32</f>
        <v>3144.7957000000001</v>
      </c>
      <c r="K16" s="458">
        <f>'ANALYSE - ERP =&gt; SEGMENT'!$BE$32*'ANALYSE - ERP =&gt; SEGMENT'!$JI$32</f>
        <v>718.9790999999999</v>
      </c>
      <c r="L16" s="458">
        <f>'ANALYSE - ERP =&gt; SEGMENT'!$BE$32*'ANALYSE - ERP =&gt; SEGMENT'!$JJ$32</f>
        <v>109.86619999999999</v>
      </c>
      <c r="N16" s="458">
        <f>'ANALYSE - ERP =&gt; SEGMENT'!$FD$32*'ANALYSE - ERP =&gt; SEGMENT'!$JK$32</f>
        <v>308.54238327666792</v>
      </c>
      <c r="O16" s="458">
        <f>'ANALYSE - ERP =&gt; SEGMENT'!$FD$32*'ANALYSE - ERP =&gt; SEGMENT'!$JL$32</f>
        <v>2730.6677306973979</v>
      </c>
      <c r="P16" s="458">
        <f>'ANALYSE - ERP =&gt; SEGMENT'!$FD$32*'ANALYSE - ERP =&gt; SEGMENT'!$JM$32</f>
        <v>1849.9487703603997</v>
      </c>
      <c r="Q16" s="458">
        <f>'ANALYSE - ERP =&gt; SEGMENT'!$FD$32*'ANALYSE - ERP =&gt; SEGMENT'!$JN$32</f>
        <v>587.34295226135384</v>
      </c>
      <c r="R16" s="458">
        <f>'ANALYSE - ERP =&gt; SEGMENT'!$FD$32*'ANALYSE - ERP =&gt; SEGMENT'!$JO$32</f>
        <v>122.9907738441882</v>
      </c>
      <c r="T16" s="430">
        <f>'ANALYSE - ERP =&gt; SEGMENT'!$Q$32</f>
        <v>1</v>
      </c>
    </row>
    <row r="17" spans="1:20" ht="15" customHeight="1">
      <c r="A17" s="26">
        <v>14</v>
      </c>
      <c r="B17" s="26">
        <v>14</v>
      </c>
      <c r="C17" s="422">
        <f>'ANALYSE - ERP =&gt; SEGMENT'!$A$24</f>
        <v>21</v>
      </c>
      <c r="D17" s="506" t="s">
        <v>7117</v>
      </c>
      <c r="E17" s="506" t="s">
        <v>1455</v>
      </c>
      <c r="F17" s="506" t="s">
        <v>7994</v>
      </c>
      <c r="H17" s="458">
        <f>'ANALYSE - ERP =&gt; SEGMENT'!$BE$24*'ANALYSE - ERP =&gt; SEGMENT'!$JF$24</f>
        <v>908.62319999999988</v>
      </c>
      <c r="I17" s="458">
        <f>'ANALYSE - ERP =&gt; SEGMENT'!$BE$24*'ANALYSE - ERP =&gt; SEGMENT'!$JG$24</f>
        <v>6900.4921000000004</v>
      </c>
      <c r="J17" s="458">
        <f>'ANALYSE - ERP =&gt; SEGMENT'!$BE$24*'ANALYSE - ERP =&gt; SEGMENT'!$JH$24</f>
        <v>5098.4428500000004</v>
      </c>
      <c r="K17" s="458">
        <f>'ANALYSE - ERP =&gt; SEGMENT'!$BE$24*'ANALYSE - ERP =&gt; SEGMENT'!$JI$24</f>
        <v>979.41869999999994</v>
      </c>
      <c r="L17" s="458">
        <f>'ANALYSE - ERP =&gt; SEGMENT'!$BE$24*'ANALYSE - ERP =&gt; SEGMENT'!$JJ$24</f>
        <v>42.523150000000001</v>
      </c>
      <c r="N17" s="458">
        <f>'ANALYSE - ERP =&gt; SEGMENT'!$FD$24*'ANALYSE - ERP =&gt; SEGMENT'!$JK$24</f>
        <v>238.15616697157401</v>
      </c>
      <c r="O17" s="458">
        <f>'ANALYSE - ERP =&gt; SEGMENT'!$FD$24*'ANALYSE - ERP =&gt; SEGMENT'!$JL$24</f>
        <v>3107.717443898337</v>
      </c>
      <c r="P17" s="458">
        <f>'ANALYSE - ERP =&gt; SEGMENT'!$FD$24*'ANALYSE - ERP =&gt; SEGMENT'!$JM$24</f>
        <v>2807.7651071978275</v>
      </c>
      <c r="Q17" s="458">
        <f>'ANALYSE - ERP =&gt; SEGMENT'!$FD$24*'ANALYSE - ERP =&gt; SEGMENT'!$JN$24</f>
        <v>700.14982833400325</v>
      </c>
      <c r="R17" s="458">
        <f>'ANALYSE - ERP =&gt; SEGMENT'!$FD$24*'ANALYSE - ERP =&gt; SEGMENT'!$JO$24</f>
        <v>60.305423550076021</v>
      </c>
      <c r="T17" s="430">
        <f>'ANALYSE - ERP =&gt; SEGMENT'!$Q$24</f>
        <v>1</v>
      </c>
    </row>
    <row r="18" spans="1:20" ht="15" customHeight="1">
      <c r="A18" s="26">
        <v>15</v>
      </c>
      <c r="B18" s="26">
        <v>16</v>
      </c>
      <c r="C18" s="422">
        <f>'ANALYSE - ERP =&gt; SEGMENT'!$A$21</f>
        <v>17</v>
      </c>
      <c r="D18" s="492" t="s">
        <v>2187</v>
      </c>
      <c r="E18" s="492" t="s">
        <v>1372</v>
      </c>
      <c r="F18" s="492" t="s">
        <v>7993</v>
      </c>
      <c r="H18" s="458">
        <f>'ANALYSE - ERP =&gt; SEGMENT'!$BE$21*'ANALYSE - ERP =&gt; SEGMENT'!$JF$21</f>
        <v>775.52</v>
      </c>
      <c r="I18" s="458">
        <f>'ANALYSE - ERP =&gt; SEGMENT'!$BE$21*'ANALYSE - ERP =&gt; SEGMENT'!$JG$21</f>
        <v>10602.704000000002</v>
      </c>
      <c r="J18" s="458">
        <f>'ANALYSE - ERP =&gt; SEGMENT'!$BE$21*'ANALYSE - ERP =&gt; SEGMENT'!$JH$21</f>
        <v>10090.576000000001</v>
      </c>
      <c r="K18" s="458">
        <f>'ANALYSE - ERP =&gt; SEGMENT'!$BE$21*'ANALYSE - ERP =&gt; SEGMENT'!$JI$21</f>
        <v>2266.3199999999997</v>
      </c>
      <c r="L18" s="458">
        <f>'ANALYSE - ERP =&gt; SEGMENT'!$BE$21*'ANALYSE - ERP =&gt; SEGMENT'!$JJ$21</f>
        <v>104.88</v>
      </c>
      <c r="N18" s="458">
        <f>'ANALYSE - ERP =&gt; SEGMENT'!$FD$21*'ANALYSE - ERP =&gt; SEGMENT'!$JK$21</f>
        <v>84.612853023292061</v>
      </c>
      <c r="O18" s="458">
        <f>'ANALYSE - ERP =&gt; SEGMENT'!$FD$21*'ANALYSE - ERP =&gt; SEGMENT'!$JL$21</f>
        <v>4970.1318533172343</v>
      </c>
      <c r="P18" s="458">
        <f>'ANALYSE - ERP =&gt; SEGMENT'!$FD$21*'ANALYSE - ERP =&gt; SEGMENT'!$JM$21</f>
        <v>5503.5961677257683</v>
      </c>
      <c r="Q18" s="458">
        <f>'ANALYSE - ERP =&gt; SEGMENT'!$FD$21*'ANALYSE - ERP =&gt; SEGMENT'!$JN$21</f>
        <v>1476.73808428952</v>
      </c>
      <c r="R18" s="458">
        <f>'ANALYSE - ERP =&gt; SEGMENT'!$FD$21*'ANALYSE - ERP =&gt; SEGMENT'!$JO$21</f>
        <v>124.91027497968415</v>
      </c>
      <c r="T18" s="430">
        <f>'ANALYSE - ERP =&gt; SEGMENT'!$Q$21</f>
        <v>1</v>
      </c>
    </row>
    <row r="19" spans="1:20" ht="15" customHeight="1">
      <c r="A19" s="26">
        <v>16</v>
      </c>
      <c r="B19" s="26">
        <v>11</v>
      </c>
      <c r="C19" s="422">
        <f>'ANALYSE - ERP =&gt; SEGMENT'!$A$11</f>
        <v>4</v>
      </c>
      <c r="D19" s="498" t="s">
        <v>6739</v>
      </c>
      <c r="E19" s="498" t="s">
        <v>991</v>
      </c>
      <c r="F19" s="498" t="s">
        <v>7995</v>
      </c>
      <c r="H19" s="458">
        <f>'ANALYSE - ERP =&gt; SEGMENT'!$BE$11*'ANALYSE - ERP =&gt; SEGMENT'!$JF$11</f>
        <v>0</v>
      </c>
      <c r="I19" s="458">
        <f>'ANALYSE - ERP =&gt; SEGMENT'!$BE$11*'ANALYSE - ERP =&gt; SEGMENT'!$JG$11</f>
        <v>0</v>
      </c>
      <c r="J19" s="458">
        <f>'ANALYSE - ERP =&gt; SEGMENT'!$BE$11*'ANALYSE - ERP =&gt; SEGMENT'!$JH$11</f>
        <v>0</v>
      </c>
      <c r="K19" s="458">
        <f>'ANALYSE - ERP =&gt; SEGMENT'!$BE$11*'ANALYSE - ERP =&gt; SEGMENT'!$JI$11</f>
        <v>0</v>
      </c>
      <c r="L19" s="458">
        <f>'ANALYSE - ERP =&gt; SEGMENT'!$BE$11*'ANALYSE - ERP =&gt; SEGMENT'!$JJ$11</f>
        <v>0</v>
      </c>
      <c r="N19" s="458">
        <f>'ANALYSE - ERP =&gt; SEGMENT'!$FD$11*'ANALYSE - ERP =&gt; SEGMENT'!$JK$11</f>
        <v>0</v>
      </c>
      <c r="O19" s="458">
        <f>'ANALYSE - ERP =&gt; SEGMENT'!$FD$11*'ANALYSE - ERP =&gt; SEGMENT'!$JL$11</f>
        <v>0</v>
      </c>
      <c r="P19" s="458">
        <f>'ANALYSE - ERP =&gt; SEGMENT'!$FD$11*'ANALYSE - ERP =&gt; SEGMENT'!$JM$11</f>
        <v>0</v>
      </c>
      <c r="Q19" s="458">
        <f>'ANALYSE - ERP =&gt; SEGMENT'!$FD$11*'ANALYSE - ERP =&gt; SEGMENT'!$JN$11</f>
        <v>0</v>
      </c>
      <c r="R19" s="458">
        <f>'ANALYSE - ERP =&gt; SEGMENT'!$FD$11*'ANALYSE - ERP =&gt; SEGMENT'!$JO$11</f>
        <v>0</v>
      </c>
      <c r="T19" s="430">
        <f>'ANALYSE - ERP =&gt; SEGMENT'!$Q$11</f>
        <v>0</v>
      </c>
    </row>
    <row r="20" spans="1:20" ht="15" customHeight="1">
      <c r="A20" s="26">
        <v>17</v>
      </c>
      <c r="B20" s="26">
        <v>21</v>
      </c>
      <c r="C20" s="422">
        <f>'ANALYSE - ERP =&gt; SEGMENT'!$A$15</f>
        <v>8</v>
      </c>
      <c r="D20" s="494" t="s">
        <v>2241</v>
      </c>
      <c r="E20" s="494" t="s">
        <v>2242</v>
      </c>
      <c r="F20" s="494" t="s">
        <v>7998</v>
      </c>
      <c r="H20" s="458">
        <f>'ANALYSE - ERP =&gt; SEGMENT'!$BE$15*'ANALYSE - ERP =&gt; SEGMENT'!$JF$15</f>
        <v>50.8718</v>
      </c>
      <c r="I20" s="458">
        <f>'ANALYSE - ERP =&gt; SEGMENT'!$BE$15*'ANALYSE - ERP =&gt; SEGMENT'!$JG$15</f>
        <v>1380.2678000000001</v>
      </c>
      <c r="J20" s="458">
        <f>'ANALYSE - ERP =&gt; SEGMENT'!$BE$15*'ANALYSE - ERP =&gt; SEGMENT'!$JH$15</f>
        <v>2332.2323999999999</v>
      </c>
      <c r="K20" s="458">
        <f>'ANALYSE - ERP =&gt; SEGMENT'!$BE$15*'ANALYSE - ERP =&gt; SEGMENT'!$JI$15</f>
        <v>562.428</v>
      </c>
      <c r="L20" s="458">
        <f>'ANALYSE - ERP =&gt; SEGMENT'!$BE$15*'ANALYSE - ERP =&gt; SEGMENT'!$JJ$15</f>
        <v>16.2</v>
      </c>
      <c r="N20" s="458">
        <f>'ANALYSE - ERP =&gt; SEGMENT'!$FD$15*'ANALYSE - ERP =&gt; SEGMENT'!$JK$15</f>
        <v>0</v>
      </c>
      <c r="O20" s="458">
        <f>'ANALYSE - ERP =&gt; SEGMENT'!$FD$15*'ANALYSE - ERP =&gt; SEGMENT'!$JL$15</f>
        <v>468.43627750492772</v>
      </c>
      <c r="P20" s="458">
        <f>'ANALYSE - ERP =&gt; SEGMENT'!$FD$15*'ANALYSE - ERP =&gt; SEGMENT'!$JM$15</f>
        <v>1634.1046043075132</v>
      </c>
      <c r="Q20" s="458">
        <f>'ANALYSE - ERP =&gt; SEGMENT'!$FD$15*'ANALYSE - ERP =&gt; SEGMENT'!$JN$15</f>
        <v>880.47841856546972</v>
      </c>
      <c r="R20" s="458">
        <f>'ANALYSE - ERP =&gt; SEGMENT'!$FD$15*'ANALYSE - ERP =&gt; SEGMENT'!$JO$15</f>
        <v>69.627859076634863</v>
      </c>
      <c r="T20" s="430">
        <f>'ANALYSE - ERP =&gt; SEGMENT'!$Q$15</f>
        <v>1</v>
      </c>
    </row>
    <row r="21" spans="1:20" ht="15" customHeight="1">
      <c r="A21" s="26">
        <v>18</v>
      </c>
      <c r="B21" s="26">
        <v>19</v>
      </c>
      <c r="C21" s="422">
        <f>'ANALYSE - ERP =&gt; SEGMENT'!$A$18</f>
        <v>12</v>
      </c>
      <c r="D21" s="500" t="s">
        <v>3662</v>
      </c>
      <c r="E21" s="500" t="s">
        <v>1337</v>
      </c>
      <c r="F21" s="500" t="s">
        <v>7997</v>
      </c>
      <c r="H21" s="458">
        <f>'ANALYSE - ERP =&gt; SEGMENT'!$BE$18*'ANALYSE - ERP =&gt; SEGMENT'!$JF$18</f>
        <v>171.30500000000001</v>
      </c>
      <c r="I21" s="458">
        <f>'ANALYSE - ERP =&gt; SEGMENT'!$BE$18*'ANALYSE - ERP =&gt; SEGMENT'!$JG$18</f>
        <v>632.16750000000002</v>
      </c>
      <c r="J21" s="458">
        <f>'ANALYSE - ERP =&gt; SEGMENT'!$BE$18*'ANALYSE - ERP =&gt; SEGMENT'!$JH$18</f>
        <v>343.17750000000001</v>
      </c>
      <c r="K21" s="458">
        <f>'ANALYSE - ERP =&gt; SEGMENT'!$BE$18*'ANALYSE - ERP =&gt; SEGMENT'!$JI$18</f>
        <v>28.35</v>
      </c>
      <c r="L21" s="458">
        <f>'ANALYSE - ERP =&gt; SEGMENT'!$BE$18*'ANALYSE - ERP =&gt; SEGMENT'!$JJ$18</f>
        <v>0</v>
      </c>
      <c r="N21" s="458">
        <f>'ANALYSE - ERP =&gt; SEGMENT'!$FD$18*'ANALYSE - ERP =&gt; SEGMENT'!$JK$18</f>
        <v>51.112283415292268</v>
      </c>
      <c r="O21" s="458">
        <f>'ANALYSE - ERP =&gt; SEGMENT'!$FD$18*'ANALYSE - ERP =&gt; SEGMENT'!$JL$18</f>
        <v>286.32638389140038</v>
      </c>
      <c r="P21" s="458">
        <f>'ANALYSE - ERP =&gt; SEGMENT'!$FD$18*'ANALYSE - ERP =&gt; SEGMENT'!$JM$18</f>
        <v>158.65743016032997</v>
      </c>
      <c r="Q21" s="458">
        <f>'ANALYSE - ERP =&gt; SEGMENT'!$FD$18*'ANALYSE - ERP =&gt; SEGMENT'!$JN$18</f>
        <v>18.192830427994696</v>
      </c>
      <c r="R21" s="458">
        <f>'ANALYSE - ERP =&gt; SEGMENT'!$FD$18*'ANALYSE - ERP =&gt; SEGMENT'!$JO$18</f>
        <v>1.4137577837705488</v>
      </c>
      <c r="T21" s="430">
        <f>'ANALYSE - ERP =&gt; SEGMENT'!$Q$18</f>
        <v>1</v>
      </c>
    </row>
    <row r="22" spans="1:20" ht="15" customHeight="1">
      <c r="A22" s="26">
        <v>19</v>
      </c>
      <c r="B22" s="26">
        <v>17</v>
      </c>
      <c r="C22" s="422">
        <f>'ANALYSE - ERP =&gt; SEGMENT'!$A$29</f>
        <v>28</v>
      </c>
      <c r="D22" s="504" t="s">
        <v>2278</v>
      </c>
      <c r="E22" s="504" t="s">
        <v>1576</v>
      </c>
      <c r="F22" s="504" t="s">
        <v>1577</v>
      </c>
      <c r="H22" s="458">
        <f>'ANALYSE - ERP =&gt; SEGMENT'!$BE$29*'ANALYSE - ERP =&gt; SEGMENT'!$JF$29</f>
        <v>429.78799999999995</v>
      </c>
      <c r="I22" s="458">
        <f>'ANALYSE - ERP =&gt; SEGMENT'!$BE$29*'ANALYSE - ERP =&gt; SEGMENT'!$JG$29</f>
        <v>1708.866</v>
      </c>
      <c r="J22" s="458">
        <f>'ANALYSE - ERP =&gt; SEGMENT'!$BE$29*'ANALYSE - ERP =&gt; SEGMENT'!$JH$29</f>
        <v>609.09799999999996</v>
      </c>
      <c r="K22" s="458">
        <f>'ANALYSE - ERP =&gt; SEGMENT'!$BE$29*'ANALYSE - ERP =&gt; SEGMENT'!$JI$29</f>
        <v>32.247999999999998</v>
      </c>
      <c r="L22" s="458">
        <f>'ANALYSE - ERP =&gt; SEGMENT'!$BE$29*'ANALYSE - ERP =&gt; SEGMENT'!$JJ$29</f>
        <v>0</v>
      </c>
      <c r="N22" s="458">
        <f>'ANALYSE - ERP =&gt; SEGMENT'!$FD$29*'ANALYSE - ERP =&gt; SEGMENT'!$JK$29</f>
        <v>136.13857734988639</v>
      </c>
      <c r="O22" s="458">
        <f>'ANALYSE - ERP =&gt; SEGMENT'!$FD$29*'ANALYSE - ERP =&gt; SEGMENT'!$JL$29</f>
        <v>585.50416346863642</v>
      </c>
      <c r="P22" s="458">
        <f>'ANALYSE - ERP =&gt; SEGMENT'!$FD$29*'ANALYSE - ERP =&gt; SEGMENT'!$JM$29</f>
        <v>231.7210492275</v>
      </c>
      <c r="Q22" s="458">
        <f>'ANALYSE - ERP =&gt; SEGMENT'!$FD$29*'ANALYSE - ERP =&gt; SEGMENT'!$JN$29</f>
        <v>27.463964628068183</v>
      </c>
      <c r="R22" s="458">
        <f>'ANALYSE - ERP =&gt; SEGMENT'!$FD$29*'ANALYSE - ERP =&gt; SEGMENT'!$JO$29</f>
        <v>3.5437373713636369</v>
      </c>
      <c r="T22" s="430">
        <f>'ANALYSE - ERP =&gt; SEGMENT'!$Q$29</f>
        <v>1</v>
      </c>
    </row>
    <row r="23" spans="1:20" ht="15" customHeight="1">
      <c r="A23" s="26">
        <v>20</v>
      </c>
      <c r="B23" s="26">
        <v>20</v>
      </c>
      <c r="C23" s="422">
        <f>'ANALYSE - ERP =&gt; SEGMENT'!$A$20</f>
        <v>16</v>
      </c>
      <c r="D23" s="492" t="s">
        <v>2187</v>
      </c>
      <c r="E23" s="492" t="s">
        <v>1435</v>
      </c>
      <c r="F23" s="492" t="s">
        <v>7999</v>
      </c>
      <c r="H23" s="458">
        <f>'ANALYSE - ERP =&gt; SEGMENT'!$BE$20*'ANALYSE - ERP =&gt; SEGMENT'!$JF$20</f>
        <v>300.22849999999994</v>
      </c>
      <c r="I23" s="458">
        <f>'ANALYSE - ERP =&gt; SEGMENT'!$BE$20*'ANALYSE - ERP =&gt; SEGMENT'!$JG$20</f>
        <v>6310.5445</v>
      </c>
      <c r="J23" s="458">
        <f>'ANALYSE - ERP =&gt; SEGMENT'!$BE$20*'ANALYSE - ERP =&gt; SEGMENT'!$JH$20</f>
        <v>6260.2669999999998</v>
      </c>
      <c r="K23" s="458">
        <f>'ANALYSE - ERP =&gt; SEGMENT'!$BE$20*'ANALYSE - ERP =&gt; SEGMENT'!$JI$20</f>
        <v>1427.8809999999999</v>
      </c>
      <c r="L23" s="458">
        <f>'ANALYSE - ERP =&gt; SEGMENT'!$BE$20*'ANALYSE - ERP =&gt; SEGMENT'!$JJ$20</f>
        <v>66.078999999999994</v>
      </c>
      <c r="N23" s="458">
        <f>'ANALYSE - ERP =&gt; SEGMENT'!$FD$20*'ANALYSE - ERP =&gt; SEGMENT'!$JK$20</f>
        <v>0</v>
      </c>
      <c r="O23" s="458">
        <f>'ANALYSE - ERP =&gt; SEGMENT'!$FD$20*'ANALYSE - ERP =&gt; SEGMENT'!$JL$20</f>
        <v>3011.6988119116791</v>
      </c>
      <c r="P23" s="458">
        <f>'ANALYSE - ERP =&gt; SEGMENT'!$FD$20*'ANALYSE - ERP =&gt; SEGMENT'!$JM$20</f>
        <v>3449.8594199615004</v>
      </c>
      <c r="Q23" s="458">
        <f>'ANALYSE - ERP =&gt; SEGMENT'!$FD$20*'ANALYSE - ERP =&gt; SEGMENT'!$JN$20</f>
        <v>948.22449536935733</v>
      </c>
      <c r="R23" s="458">
        <f>'ANALYSE - ERP =&gt; SEGMENT'!$FD$20*'ANALYSE - ERP =&gt; SEGMENT'!$JO$20</f>
        <v>80.142196686035717</v>
      </c>
      <c r="T23" s="430">
        <f>'ANALYSE - ERP =&gt; SEGMENT'!$Q$20</f>
        <v>1</v>
      </c>
    </row>
    <row r="24" spans="1:20" ht="15" customHeight="1">
      <c r="A24" s="26">
        <v>21</v>
      </c>
      <c r="B24" s="26">
        <v>18</v>
      </c>
      <c r="C24" s="422">
        <f>'ANALYSE - ERP =&gt; SEGMENT'!$A$10</f>
        <v>3</v>
      </c>
      <c r="D24" s="498" t="s">
        <v>6739</v>
      </c>
      <c r="E24" s="498" t="s">
        <v>1014</v>
      </c>
      <c r="F24" s="498" t="s">
        <v>8000</v>
      </c>
      <c r="H24" s="458">
        <f>'ANALYSE - ERP =&gt; SEGMENT'!$BE$10*'ANALYSE - ERP =&gt; SEGMENT'!$JF$10</f>
        <v>339.52620000000002</v>
      </c>
      <c r="I24" s="458">
        <f>'ANALYSE - ERP =&gt; SEGMENT'!$BE$10*'ANALYSE - ERP =&gt; SEGMENT'!$JG$10</f>
        <v>3643.5687000000003</v>
      </c>
      <c r="J24" s="458">
        <f>'ANALYSE - ERP =&gt; SEGMENT'!$BE$10*'ANALYSE - ERP =&gt; SEGMENT'!$JH$10</f>
        <v>4807.0237999999999</v>
      </c>
      <c r="K24" s="458">
        <f>'ANALYSE - ERP =&gt; SEGMENT'!$BE$10*'ANALYSE - ERP =&gt; SEGMENT'!$JI$10</f>
        <v>1407.9460000000001</v>
      </c>
      <c r="L24" s="458">
        <f>'ANALYSE - ERP =&gt; SEGMENT'!$BE$10*'ANALYSE - ERP =&gt; SEGMENT'!$JJ$10</f>
        <v>63.935299999999998</v>
      </c>
      <c r="N24" s="458">
        <f>'ANALYSE - ERP =&gt; SEGMENT'!$FD$10*'ANALYSE - ERP =&gt; SEGMENT'!$JK$10</f>
        <v>0</v>
      </c>
      <c r="O24" s="458">
        <f>'ANALYSE - ERP =&gt; SEGMENT'!$FD$10*'ANALYSE - ERP =&gt; SEGMENT'!$JL$10</f>
        <v>495.702845668686</v>
      </c>
      <c r="P24" s="458">
        <f>'ANALYSE - ERP =&gt; SEGMENT'!$FD$10*'ANALYSE - ERP =&gt; SEGMENT'!$JM$10</f>
        <v>1427.9211336870919</v>
      </c>
      <c r="Q24" s="458">
        <f>'ANALYSE - ERP =&gt; SEGMENT'!$FD$10*'ANALYSE - ERP =&gt; SEGMENT'!$JN$10</f>
        <v>742.48075437507589</v>
      </c>
      <c r="R24" s="458">
        <f>'ANALYSE - ERP =&gt; SEGMENT'!$FD$10*'ANALYSE - ERP =&gt; SEGMENT'!$JO$10</f>
        <v>79.59399798514626</v>
      </c>
      <c r="T24" s="430">
        <f>'ANALYSE - ERP =&gt; SEGMENT'!$Q$10</f>
        <v>1</v>
      </c>
    </row>
    <row r="25" spans="1:20" ht="15" customHeight="1">
      <c r="A25" s="26">
        <v>22</v>
      </c>
      <c r="B25" s="26">
        <v>22</v>
      </c>
      <c r="C25" s="422">
        <f>'ANALYSE - ERP =&gt; SEGMENT'!$A$13</f>
        <v>6</v>
      </c>
      <c r="D25" s="494" t="s">
        <v>2241</v>
      </c>
      <c r="E25" s="494" t="s">
        <v>1053</v>
      </c>
      <c r="F25" s="494" t="s">
        <v>7988</v>
      </c>
      <c r="H25" s="458">
        <f>'ANALYSE - ERP =&gt; SEGMENT'!$BE$13*'ANALYSE - ERP =&gt; SEGMENT'!$JF$13</f>
        <v>48.563599999999994</v>
      </c>
      <c r="I25" s="458">
        <f>'ANALYSE - ERP =&gt; SEGMENT'!$BE$13*'ANALYSE - ERP =&gt; SEGMENT'!$JG$13</f>
        <v>1404.6541999999997</v>
      </c>
      <c r="J25" s="458">
        <f>'ANALYSE - ERP =&gt; SEGMENT'!$BE$13*'ANALYSE - ERP =&gt; SEGMENT'!$JH$13</f>
        <v>2325.2170999999998</v>
      </c>
      <c r="K25" s="458">
        <f>'ANALYSE - ERP =&gt; SEGMENT'!$BE$13*'ANALYSE - ERP =&gt; SEGMENT'!$JI$13</f>
        <v>564.15730000000008</v>
      </c>
      <c r="L25" s="458">
        <f>'ANALYSE - ERP =&gt; SEGMENT'!$BE$13*'ANALYSE - ERP =&gt; SEGMENT'!$JJ$13</f>
        <v>16.407800000000005</v>
      </c>
      <c r="N25" s="458">
        <f>'ANALYSE - ERP =&gt; SEGMENT'!$FD$13*'ANALYSE - ERP =&gt; SEGMENT'!$JK$13</f>
        <v>0.5339712184879174</v>
      </c>
      <c r="O25" s="458">
        <f>'ANALYSE - ERP =&gt; SEGMENT'!$FD$13*'ANALYSE - ERP =&gt; SEGMENT'!$JL$13</f>
        <v>460.43641395697574</v>
      </c>
      <c r="P25" s="458">
        <f>'ANALYSE - ERP =&gt; SEGMENT'!$FD$13*'ANALYSE - ERP =&gt; SEGMENT'!$JM$13</f>
        <v>1388.4886040070494</v>
      </c>
      <c r="Q25" s="458">
        <f>'ANALYSE - ERP =&gt; SEGMENT'!$FD$13*'ANALYSE - ERP =&gt; SEGMENT'!$JN$13</f>
        <v>543.2652909504626</v>
      </c>
      <c r="R25" s="458">
        <f>'ANALYSE - ERP =&gt; SEGMENT'!$FD$13*'ANALYSE - ERP =&gt; SEGMENT'!$JO$13</f>
        <v>28.515804158691296</v>
      </c>
      <c r="T25" s="430">
        <f>'ANALYSE - ERP =&gt; SEGMENT'!$Q$13</f>
        <v>1</v>
      </c>
    </row>
    <row r="26" spans="1:20" ht="15" customHeight="1">
      <c r="A26" s="26">
        <v>23</v>
      </c>
      <c r="B26" s="26">
        <v>23</v>
      </c>
      <c r="C26" s="422">
        <f>'ANALYSE - ERP =&gt; SEGMENT'!$A$17</f>
        <v>11</v>
      </c>
      <c r="D26" s="500" t="s">
        <v>3662</v>
      </c>
      <c r="E26" s="500" t="s">
        <v>1240</v>
      </c>
      <c r="F26" s="500" t="s">
        <v>8001</v>
      </c>
      <c r="H26" s="458">
        <f>'ANALYSE - ERP =&gt; SEGMENT'!$BE$17*'ANALYSE - ERP =&gt; SEGMENT'!$JF$17</f>
        <v>14.630999999999998</v>
      </c>
      <c r="I26" s="458">
        <f>'ANALYSE - ERP =&gt; SEGMENT'!$BE$17*'ANALYSE - ERP =&gt; SEGMENT'!$JG$17</f>
        <v>799.32780000000002</v>
      </c>
      <c r="J26" s="458">
        <f>'ANALYSE - ERP =&gt; SEGMENT'!$BE$17*'ANALYSE - ERP =&gt; SEGMENT'!$JH$17</f>
        <v>1700.7131999999999</v>
      </c>
      <c r="K26" s="458">
        <f>'ANALYSE - ERP =&gt; SEGMENT'!$BE$17*'ANALYSE - ERP =&gt; SEGMENT'!$JI$17</f>
        <v>744.64020000000005</v>
      </c>
      <c r="L26" s="458">
        <f>'ANALYSE - ERP =&gt; SEGMENT'!$BE$17*'ANALYSE - ERP =&gt; SEGMENT'!$JJ$17</f>
        <v>58.68780000000001</v>
      </c>
      <c r="N26" s="458">
        <f>'ANALYSE - ERP =&gt; SEGMENT'!$FD$17*'ANALYSE - ERP =&gt; SEGMENT'!$JK$17</f>
        <v>0</v>
      </c>
      <c r="O26" s="458">
        <f>'ANALYSE - ERP =&gt; SEGMENT'!$FD$17*'ANALYSE - ERP =&gt; SEGMENT'!$JL$17</f>
        <v>187.90681633569193</v>
      </c>
      <c r="P26" s="458">
        <f>'ANALYSE - ERP =&gt; SEGMENT'!$FD$17*'ANALYSE - ERP =&gt; SEGMENT'!$JM$17</f>
        <v>694.49166598798899</v>
      </c>
      <c r="Q26" s="458">
        <f>'ANALYSE - ERP =&gt; SEGMENT'!$FD$17*'ANALYSE - ERP =&gt; SEGMENT'!$JN$17</f>
        <v>491.17290205340589</v>
      </c>
      <c r="R26" s="458">
        <f>'ANALYSE - ERP =&gt; SEGMENT'!$FD$17*'ANALYSE - ERP =&gt; SEGMENT'!$JO$17</f>
        <v>67.088143291910896</v>
      </c>
      <c r="T26" s="430">
        <f>'ANALYSE - ERP =&gt; SEGMENT'!$Q$17</f>
        <v>1</v>
      </c>
    </row>
    <row r="27" spans="1:20" ht="15" customHeight="1">
      <c r="A27" s="26">
        <v>24</v>
      </c>
      <c r="B27" s="26">
        <v>24</v>
      </c>
      <c r="C27" s="422">
        <f>'ANALYSE - ERP =&gt; SEGMENT'!$A$33</f>
        <v>33</v>
      </c>
      <c r="D27" s="508" t="s">
        <v>2285</v>
      </c>
      <c r="E27" s="508" t="s">
        <v>7336</v>
      </c>
      <c r="F27" s="508" t="s">
        <v>7337</v>
      </c>
      <c r="H27" s="458">
        <f>'ANALYSE - ERP =&gt; SEGMENT'!$BE$33*'ANALYSE - ERP =&gt; SEGMENT'!$JF$33</f>
        <v>0</v>
      </c>
      <c r="I27" s="458">
        <f>'ANALYSE - ERP =&gt; SEGMENT'!$BE$33*'ANALYSE - ERP =&gt; SEGMENT'!$JG$33</f>
        <v>0</v>
      </c>
      <c r="J27" s="458">
        <f>'ANALYSE - ERP =&gt; SEGMENT'!$BE$33*'ANALYSE - ERP =&gt; SEGMENT'!$JH$33</f>
        <v>0</v>
      </c>
      <c r="K27" s="458">
        <f>'ANALYSE - ERP =&gt; SEGMENT'!$BE$33*'ANALYSE - ERP =&gt; SEGMENT'!$JI$33</f>
        <v>0</v>
      </c>
      <c r="L27" s="458">
        <f>'ANALYSE - ERP =&gt; SEGMENT'!$BE$33*'ANALYSE - ERP =&gt; SEGMENT'!$JJ$33</f>
        <v>0</v>
      </c>
      <c r="N27" s="458">
        <f>'ANALYSE - ERP =&gt; SEGMENT'!$FD$33*'ANALYSE - ERP =&gt; SEGMENT'!$JK$33</f>
        <v>0</v>
      </c>
      <c r="O27" s="458">
        <f>'ANALYSE - ERP =&gt; SEGMENT'!$FD$33*'ANALYSE - ERP =&gt; SEGMENT'!$JL$33</f>
        <v>0</v>
      </c>
      <c r="P27" s="458">
        <f>'ANALYSE - ERP =&gt; SEGMENT'!$FD$33*'ANALYSE - ERP =&gt; SEGMENT'!$JM$33</f>
        <v>0</v>
      </c>
      <c r="Q27" s="458">
        <f>'ANALYSE - ERP =&gt; SEGMENT'!$FD$33*'ANALYSE - ERP =&gt; SEGMENT'!$JN$33</f>
        <v>0</v>
      </c>
      <c r="R27" s="458">
        <f>'ANALYSE - ERP =&gt; SEGMENT'!$FD$33*'ANALYSE - ERP =&gt; SEGMENT'!$JO$33</f>
        <v>0</v>
      </c>
      <c r="T27" s="430">
        <f>'ANALYSE - ERP =&gt; SEGMENT'!$Q$33</f>
        <v>0</v>
      </c>
    </row>
    <row r="28" spans="1:20" ht="15" customHeight="1">
      <c r="A28" s="26">
        <v>25</v>
      </c>
      <c r="B28" s="26">
        <v>25</v>
      </c>
      <c r="C28" s="422">
        <f>'ANALYSE - ERP =&gt; SEGMENT'!$A$35</f>
        <v>36</v>
      </c>
      <c r="D28" s="510" t="s">
        <v>4908</v>
      </c>
      <c r="E28" s="510" t="s">
        <v>1985</v>
      </c>
      <c r="F28" s="510" t="s">
        <v>8002</v>
      </c>
      <c r="H28" s="458">
        <f>'ANALYSE - ERP =&gt; SEGMENT'!$BE$35*'ANALYSE - ERP =&gt; SEGMENT'!$JF$35</f>
        <v>176.98160000000004</v>
      </c>
      <c r="I28" s="458">
        <f>'ANALYSE - ERP =&gt; SEGMENT'!$BE$35*'ANALYSE - ERP =&gt; SEGMENT'!$JG$35</f>
        <v>1028.2412000000002</v>
      </c>
      <c r="J28" s="458">
        <f>'ANALYSE - ERP =&gt; SEGMENT'!$BE$35*'ANALYSE - ERP =&gt; SEGMENT'!$JH$35</f>
        <v>566.68259999999998</v>
      </c>
      <c r="K28" s="458">
        <f>'ANALYSE - ERP =&gt; SEGMENT'!$BE$35*'ANALYSE - ERP =&gt; SEGMENT'!$JI$35</f>
        <v>59.779599999999995</v>
      </c>
      <c r="L28" s="458">
        <f>'ANALYSE - ERP =&gt; SEGMENT'!$BE$35*'ANALYSE - ERP =&gt; SEGMENT'!$JJ$35</f>
        <v>0.31500000000000006</v>
      </c>
      <c r="N28" s="458">
        <f>'ANALYSE - ERP =&gt; SEGMENT'!$FD$35*'ANALYSE - ERP =&gt; SEGMENT'!$JK$35</f>
        <v>33.307867973210769</v>
      </c>
      <c r="O28" s="458">
        <f>'ANALYSE - ERP =&gt; SEGMENT'!$FD$35*'ANALYSE - ERP =&gt; SEGMENT'!$JL$35</f>
        <v>415.76063892667349</v>
      </c>
      <c r="P28" s="458">
        <f>'ANALYSE - ERP =&gt; SEGMENT'!$FD$35*'ANALYSE - ERP =&gt; SEGMENT'!$JM$35</f>
        <v>402.08707719240283</v>
      </c>
      <c r="Q28" s="458">
        <f>'ANALYSE - ERP =&gt; SEGMENT'!$FD$35*'ANALYSE - ERP =&gt; SEGMENT'!$JN$35</f>
        <v>57.118056017605703</v>
      </c>
      <c r="R28" s="458">
        <f>'ANALYSE - ERP =&gt; SEGMENT'!$FD$35*'ANALYSE - ERP =&gt; SEGMENT'!$JO$35</f>
        <v>0.7827693601071698</v>
      </c>
      <c r="T28" s="430">
        <f>'ANALYSE - ERP =&gt; SEGMENT'!$Q$35</f>
        <v>1</v>
      </c>
    </row>
    <row r="29" spans="1:20" ht="15" customHeight="1">
      <c r="A29" s="26">
        <v>26</v>
      </c>
      <c r="B29" s="26">
        <v>26</v>
      </c>
      <c r="C29" s="422">
        <f>'ANALYSE - ERP =&gt; SEGMENT'!$A$37</f>
        <v>38</v>
      </c>
      <c r="D29" s="510" t="s">
        <v>4908</v>
      </c>
      <c r="E29" s="510" t="s">
        <v>2027</v>
      </c>
      <c r="F29" s="510" t="s">
        <v>8003</v>
      </c>
      <c r="H29" s="458">
        <f>'ANALYSE - ERP =&gt; SEGMENT'!$BE$37*'ANALYSE - ERP =&gt; SEGMENT'!$JF$37</f>
        <v>32.9407</v>
      </c>
      <c r="I29" s="458">
        <f>'ANALYSE - ERP =&gt; SEGMENT'!$BE$37*'ANALYSE - ERP =&gt; SEGMENT'!$JG$37</f>
        <v>366.05840000000001</v>
      </c>
      <c r="J29" s="458">
        <f>'ANALYSE - ERP =&gt; SEGMENT'!$BE$37*'ANALYSE - ERP =&gt; SEGMENT'!$JH$37</f>
        <v>422.87989999999996</v>
      </c>
      <c r="K29" s="458">
        <f>'ANALYSE - ERP =&gt; SEGMENT'!$BE$37*'ANALYSE - ERP =&gt; SEGMENT'!$JI$37</f>
        <v>88.641800000000003</v>
      </c>
      <c r="L29" s="458">
        <f>'ANALYSE - ERP =&gt; SEGMENT'!$BE$37*'ANALYSE - ERP =&gt; SEGMENT'!$JJ$37</f>
        <v>1.4791999999999998</v>
      </c>
      <c r="N29" s="458">
        <f>'ANALYSE - ERP =&gt; SEGMENT'!$FD$37*'ANALYSE - ERP =&gt; SEGMENT'!$JK$37</f>
        <v>2.6422468669041139</v>
      </c>
      <c r="O29" s="458">
        <f>'ANALYSE - ERP =&gt; SEGMENT'!$FD$37*'ANALYSE - ERP =&gt; SEGMENT'!$JL$37</f>
        <v>111.11502850955475</v>
      </c>
      <c r="P29" s="458">
        <f>'ANALYSE - ERP =&gt; SEGMENT'!$FD$37*'ANALYSE - ERP =&gt; SEGMENT'!$JM$37</f>
        <v>205.77289128959484</v>
      </c>
      <c r="Q29" s="458">
        <f>'ANALYSE - ERP =&gt; SEGMENT'!$FD$37*'ANALYSE - ERP =&gt; SEGMENT'!$JN$37</f>
        <v>64.073475236170211</v>
      </c>
      <c r="R29" s="458">
        <f>'ANALYSE - ERP =&gt; SEGMENT'!$FD$37*'ANALYSE - ERP =&gt; SEGMENT'!$JO$37</f>
        <v>2.4106215767970012</v>
      </c>
      <c r="T29" s="430">
        <f>'ANALYSE - ERP =&gt; SEGMENT'!$Q$37</f>
        <v>1</v>
      </c>
    </row>
    <row r="30" spans="1:20" ht="15" customHeight="1">
      <c r="A30" s="26">
        <v>27</v>
      </c>
      <c r="B30" s="26">
        <v>27</v>
      </c>
      <c r="C30" s="422">
        <f>'ANALYSE - ERP =&gt; SEGMENT'!$A$34</f>
        <v>35</v>
      </c>
      <c r="D30" s="510" t="s">
        <v>4908</v>
      </c>
      <c r="E30" s="510" t="s">
        <v>1950</v>
      </c>
      <c r="F30" s="510" t="s">
        <v>8005</v>
      </c>
      <c r="H30" s="458">
        <f>'ANALYSE - ERP =&gt; SEGMENT'!$BE$34*'ANALYSE - ERP =&gt; SEGMENT'!$JF$34</f>
        <v>111.96905</v>
      </c>
      <c r="I30" s="458">
        <f>'ANALYSE - ERP =&gt; SEGMENT'!$BE$34*'ANALYSE - ERP =&gt; SEGMENT'!$JG$34</f>
        <v>379.29250000000002</v>
      </c>
      <c r="J30" s="458">
        <f>'ANALYSE - ERP =&gt; SEGMENT'!$BE$34*'ANALYSE - ERP =&gt; SEGMENT'!$JH$34</f>
        <v>104.23845</v>
      </c>
      <c r="K30" s="458">
        <f>'ANALYSE - ERP =&gt; SEGMENT'!$BE$34*'ANALYSE - ERP =&gt; SEGMENT'!$JI$34</f>
        <v>0</v>
      </c>
      <c r="L30" s="458">
        <f>'ANALYSE - ERP =&gt; SEGMENT'!$BE$34*'ANALYSE - ERP =&gt; SEGMENT'!$JJ$34</f>
        <v>0</v>
      </c>
      <c r="N30" s="458">
        <f>'ANALYSE - ERP =&gt; SEGMENT'!$FD$34*'ANALYSE - ERP =&gt; SEGMENT'!$JK$34</f>
        <v>28.796828477538885</v>
      </c>
      <c r="O30" s="458">
        <f>'ANALYSE - ERP =&gt; SEGMENT'!$FD$34*'ANALYSE - ERP =&gt; SEGMENT'!$JL$34</f>
        <v>162.98449202125246</v>
      </c>
      <c r="P30" s="458">
        <f>'ANALYSE - ERP =&gt; SEGMENT'!$FD$34*'ANALYSE - ERP =&gt; SEGMENT'!$JM$34</f>
        <v>73.347190543708663</v>
      </c>
      <c r="Q30" s="458">
        <f>'ANALYSE - ERP =&gt; SEGMENT'!$FD$34*'ANALYSE - ERP =&gt; SEGMENT'!$JN$34</f>
        <v>0</v>
      </c>
      <c r="R30" s="458">
        <f>'ANALYSE - ERP =&gt; SEGMENT'!$FD$34*'ANALYSE - ERP =&gt; SEGMENT'!$JO$34</f>
        <v>0</v>
      </c>
      <c r="T30" s="430">
        <f>'ANALYSE - ERP =&gt; SEGMENT'!$Q$34</f>
        <v>1</v>
      </c>
    </row>
    <row r="31" spans="1:20" ht="15" customHeight="1">
      <c r="A31" s="26">
        <v>28</v>
      </c>
      <c r="B31" s="26">
        <v>29</v>
      </c>
      <c r="C31" s="422">
        <f>'ANALYSE - ERP =&gt; SEGMENT'!$A$36</f>
        <v>37</v>
      </c>
      <c r="D31" s="510" t="s">
        <v>4908</v>
      </c>
      <c r="E31" s="510" t="s">
        <v>88</v>
      </c>
      <c r="F31" s="510" t="s">
        <v>7996</v>
      </c>
      <c r="H31" s="458">
        <f>'ANALYSE - ERP =&gt; SEGMENT'!$BE$36*'ANALYSE - ERP =&gt; SEGMENT'!$JF$36</f>
        <v>174.08959999999999</v>
      </c>
      <c r="I31" s="458">
        <f>'ANALYSE - ERP =&gt; SEGMENT'!$BE$36*'ANALYSE - ERP =&gt; SEGMENT'!$JG$36</f>
        <v>303.80699999999996</v>
      </c>
      <c r="J31" s="458">
        <f>'ANALYSE - ERP =&gt; SEGMENT'!$BE$36*'ANALYSE - ERP =&gt; SEGMENT'!$JH$36</f>
        <v>42.0488</v>
      </c>
      <c r="K31" s="458">
        <f>'ANALYSE - ERP =&gt; SEGMENT'!$BE$36*'ANALYSE - ERP =&gt; SEGMENT'!$JI$36</f>
        <v>1.0450999999999999</v>
      </c>
      <c r="L31" s="458">
        <f>'ANALYSE - ERP =&gt; SEGMENT'!$BE$36*'ANALYSE - ERP =&gt; SEGMENT'!$JJ$36</f>
        <v>9.5000000000000015E-3</v>
      </c>
      <c r="N31" s="458">
        <f>'ANALYSE - ERP =&gt; SEGMENT'!$FD$36*'ANALYSE - ERP =&gt; SEGMENT'!$JK$36</f>
        <v>51.318792993133222</v>
      </c>
      <c r="O31" s="458">
        <f>'ANALYSE - ERP =&gt; SEGMENT'!$FD$36*'ANALYSE - ERP =&gt; SEGMENT'!$JL$36</f>
        <v>185.14244501654233</v>
      </c>
      <c r="P31" s="458">
        <f>'ANALYSE - ERP =&gt; SEGMENT'!$FD$36*'ANALYSE - ERP =&gt; SEGMENT'!$JM$36</f>
        <v>56.6214878415744</v>
      </c>
      <c r="Q31" s="458">
        <f>'ANALYSE - ERP =&gt; SEGMENT'!$FD$36*'ANALYSE - ERP =&gt; SEGMENT'!$JN$36</f>
        <v>2.4807805274431205</v>
      </c>
      <c r="R31" s="458">
        <f>'ANALYSE - ERP =&gt; SEGMENT'!$FD$36*'ANALYSE - ERP =&gt; SEGMENT'!$JO$36</f>
        <v>3.9563621306922619E-2</v>
      </c>
      <c r="T31" s="430">
        <f>'ANALYSE - ERP =&gt; SEGMENT'!$Q$36</f>
        <v>1</v>
      </c>
    </row>
    <row r="32" spans="1:20" ht="15" customHeight="1">
      <c r="A32" s="26">
        <v>29</v>
      </c>
      <c r="B32" s="26">
        <v>28</v>
      </c>
      <c r="C32" s="422">
        <f>'ANALYSE - ERP =&gt; SEGMENT'!$A$25</f>
        <v>22</v>
      </c>
      <c r="D32" s="506" t="s">
        <v>7117</v>
      </c>
      <c r="E32" s="506" t="s">
        <v>1487</v>
      </c>
      <c r="F32" s="506" t="s">
        <v>8004</v>
      </c>
      <c r="H32" s="458">
        <f>'ANALYSE - ERP =&gt; SEGMENT'!$BE$25*'ANALYSE - ERP =&gt; SEGMENT'!$JF$25</f>
        <v>45.375</v>
      </c>
      <c r="I32" s="458">
        <f>'ANALYSE - ERP =&gt; SEGMENT'!$BE$25*'ANALYSE - ERP =&gt; SEGMENT'!$JG$25</f>
        <v>100.815</v>
      </c>
      <c r="J32" s="458">
        <f>'ANALYSE - ERP =&gt; SEGMENT'!$BE$25*'ANALYSE - ERP =&gt; SEGMENT'!$JH$25</f>
        <v>172.85</v>
      </c>
      <c r="K32" s="458">
        <f>'ANALYSE - ERP =&gt; SEGMENT'!$BE$25*'ANALYSE - ERP =&gt; SEGMENT'!$JI$25</f>
        <v>181.92</v>
      </c>
      <c r="L32" s="458">
        <f>'ANALYSE - ERP =&gt; SEGMENT'!$BE$25*'ANALYSE - ERP =&gt; SEGMENT'!$JJ$25</f>
        <v>49.04</v>
      </c>
      <c r="N32" s="458">
        <f>'ANALYSE - ERP =&gt; SEGMENT'!$FD$25*'ANALYSE - ERP =&gt; SEGMENT'!$JK$25</f>
        <v>13.660038047618523</v>
      </c>
      <c r="O32" s="458">
        <f>'ANALYSE - ERP =&gt; SEGMENT'!$FD$25*'ANALYSE - ERP =&gt; SEGMENT'!$JL$25</f>
        <v>45.272870095479668</v>
      </c>
      <c r="P32" s="458">
        <f>'ANALYSE - ERP =&gt; SEGMENT'!$FD$25*'ANALYSE - ERP =&gt; SEGMENT'!$JM$25</f>
        <v>67.829410273900962</v>
      </c>
      <c r="Q32" s="458">
        <f>'ANALYSE - ERP =&gt; SEGMENT'!$FD$25*'ANALYSE - ERP =&gt; SEGMENT'!$JN$25</f>
        <v>96.905861999889922</v>
      </c>
      <c r="R32" s="458">
        <f>'ANALYSE - ERP =&gt; SEGMENT'!$FD$25*'ANALYSE - ERP =&gt; SEGMENT'!$JO$25</f>
        <v>39.287726391823021</v>
      </c>
      <c r="T32" s="430">
        <f>'ANALYSE - ERP =&gt; SEGMENT'!$Q$25</f>
        <v>1</v>
      </c>
    </row>
    <row r="33" spans="1:20" ht="15" customHeight="1">
      <c r="A33" s="26">
        <v>30</v>
      </c>
      <c r="B33" s="26">
        <v>30</v>
      </c>
      <c r="C33" s="422">
        <f>'ANALYSE - ERP =&gt; SEGMENT'!$A$8</f>
        <v>1</v>
      </c>
      <c r="D33" s="498" t="s">
        <v>6739</v>
      </c>
      <c r="E33" s="498" t="s">
        <v>2104</v>
      </c>
      <c r="F33" s="498" t="s">
        <v>671</v>
      </c>
      <c r="H33" s="458">
        <f>'ANALYSE - ERP =&gt; SEGMENT'!$BE$8*'ANALYSE - ERP =&gt; SEGMENT'!$JF$8</f>
        <v>0</v>
      </c>
      <c r="I33" s="458">
        <f>'ANALYSE - ERP =&gt; SEGMENT'!$BE$8*'ANALYSE - ERP =&gt; SEGMENT'!$JG$8</f>
        <v>0</v>
      </c>
      <c r="J33" s="458">
        <f>'ANALYSE - ERP =&gt; SEGMENT'!$BE$8*'ANALYSE - ERP =&gt; SEGMENT'!$JH$8</f>
        <v>0</v>
      </c>
      <c r="K33" s="458">
        <f>'ANALYSE - ERP =&gt; SEGMENT'!$BE$8*'ANALYSE - ERP =&gt; SEGMENT'!$JI$8</f>
        <v>0</v>
      </c>
      <c r="L33" s="458">
        <f>'ANALYSE - ERP =&gt; SEGMENT'!$BE$8*'ANALYSE - ERP =&gt; SEGMENT'!$JJ$8</f>
        <v>0</v>
      </c>
      <c r="N33" s="458">
        <f>'ANALYSE - ERP =&gt; SEGMENT'!$FD$8*'ANALYSE - ERP =&gt; SEGMENT'!$JK$8</f>
        <v>0</v>
      </c>
      <c r="O33" s="458">
        <f>'ANALYSE - ERP =&gt; SEGMENT'!$FD$8*'ANALYSE - ERP =&gt; SEGMENT'!$JL$8</f>
        <v>0</v>
      </c>
      <c r="P33" s="458">
        <f>'ANALYSE - ERP =&gt; SEGMENT'!$FD$8*'ANALYSE - ERP =&gt; SEGMENT'!$JM$8</f>
        <v>0</v>
      </c>
      <c r="Q33" s="458">
        <f>'ANALYSE - ERP =&gt; SEGMENT'!$FD$8*'ANALYSE - ERP =&gt; SEGMENT'!$JN$8</f>
        <v>0</v>
      </c>
      <c r="R33" s="458">
        <f>'ANALYSE - ERP =&gt; SEGMENT'!$FD$8*'ANALYSE - ERP =&gt; SEGMENT'!$JO$8</f>
        <v>0</v>
      </c>
      <c r="T33" s="430">
        <f>'ANALYSE - ERP =&gt; SEGMENT'!$Q$8</f>
        <v>1</v>
      </c>
    </row>
    <row r="34" spans="1:20" ht="15" customHeight="1">
      <c r="A34" s="26">
        <v>31</v>
      </c>
      <c r="B34" s="26">
        <v>31</v>
      </c>
      <c r="C34" s="422">
        <f>'ANALYSE - ERP =&gt; SEGMENT'!$A$38</f>
        <v>39</v>
      </c>
      <c r="D34" s="502" t="s">
        <v>2163</v>
      </c>
      <c r="E34" s="502" t="s">
        <v>2163</v>
      </c>
      <c r="F34" s="502" t="s">
        <v>2164</v>
      </c>
      <c r="H34" s="458">
        <f>'ANALYSE - ERP =&gt; SEGMENT'!$BE$38*'ANALYSE - ERP =&gt; SEGMENT'!$JF$38</f>
        <v>0</v>
      </c>
      <c r="I34" s="458">
        <f>'ANALYSE - ERP =&gt; SEGMENT'!$BE$38*'ANALYSE - ERP =&gt; SEGMENT'!$JG$38</f>
        <v>0</v>
      </c>
      <c r="J34" s="458">
        <f>'ANALYSE - ERP =&gt; SEGMENT'!$BE$38*'ANALYSE - ERP =&gt; SEGMENT'!$JH$38</f>
        <v>0</v>
      </c>
      <c r="K34" s="458">
        <f>'ANALYSE - ERP =&gt; SEGMENT'!$BE$38*'ANALYSE - ERP =&gt; SEGMENT'!$JI$38</f>
        <v>0</v>
      </c>
      <c r="L34" s="458">
        <f>'ANALYSE - ERP =&gt; SEGMENT'!$BE$38*'ANALYSE - ERP =&gt; SEGMENT'!$JJ$38</f>
        <v>0</v>
      </c>
      <c r="N34" s="458">
        <f>'ANALYSE - ERP =&gt; SEGMENT'!$FD$38*'ANALYSE - ERP =&gt; SEGMENT'!$JK$38</f>
        <v>0</v>
      </c>
      <c r="O34" s="458">
        <f>'ANALYSE - ERP =&gt; SEGMENT'!$FD$38*'ANALYSE - ERP =&gt; SEGMENT'!$JL$38</f>
        <v>0</v>
      </c>
      <c r="P34" s="458">
        <f>'ANALYSE - ERP =&gt; SEGMENT'!$FD$38*'ANALYSE - ERP =&gt; SEGMENT'!$JM$38</f>
        <v>0</v>
      </c>
      <c r="Q34" s="458">
        <f>'ANALYSE - ERP =&gt; SEGMENT'!$FD$38*'ANALYSE - ERP =&gt; SEGMENT'!$JN$38</f>
        <v>0</v>
      </c>
      <c r="R34" s="458">
        <f>'ANALYSE - ERP =&gt; SEGMENT'!$FD$38*'ANALYSE - ERP =&gt; SEGMENT'!$JO$38</f>
        <v>0</v>
      </c>
      <c r="T34" s="430">
        <f>'ANALYSE - ERP =&gt; SEGMENT'!$Q$38</f>
        <v>1</v>
      </c>
    </row>
  </sheetData>
  <pageMargins left="3.937007874015748E-2" right="3.937007874015748E-2" top="7.874015748031496E-2" bottom="7.874015748031496E-2" header="0.11811023622047249" footer="0.11811023622047249"/>
  <pageSetup paperSize="8" scale="84" fitToHeight="2"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5"/>
    <pageSetUpPr fitToPage="1"/>
  </sheetPr>
  <dimension ref="A1:BZ34"/>
  <sheetViews>
    <sheetView zoomScale="85" zoomScaleNormal="85" workbookViewId="0">
      <selection activeCell="K13" sqref="K13"/>
    </sheetView>
  </sheetViews>
  <sheetFormatPr baseColWidth="10" defaultColWidth="9.140625" defaultRowHeight="15"/>
  <cols>
    <col min="1" max="2" width="9" style="934" customWidth="1"/>
    <col min="3" max="3" width="6" style="934" customWidth="1"/>
    <col min="4" max="4" width="32.28515625" style="934" customWidth="1"/>
    <col min="5" max="5" width="28.5703125" style="43" customWidth="1"/>
    <col min="6" max="6" width="51.140625" style="43" customWidth="1"/>
    <col min="7" max="7" width="1.7109375" style="933" customWidth="1"/>
    <col min="8" max="8" width="8.7109375" style="43" customWidth="1"/>
    <col min="9" max="12" width="8.7109375" style="934" customWidth="1"/>
    <col min="13" max="13" width="1.7109375" style="933" customWidth="1"/>
    <col min="14" max="18" width="8.710937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7979</v>
      </c>
      <c r="F1" s="479"/>
      <c r="H1" s="474"/>
      <c r="I1" s="474"/>
      <c r="J1" s="475" t="s">
        <v>7968</v>
      </c>
      <c r="K1" s="474"/>
      <c r="L1" s="474"/>
      <c r="N1" s="452"/>
      <c r="O1" s="452"/>
      <c r="P1" s="476" t="s">
        <v>7969</v>
      </c>
      <c r="Q1" s="452"/>
      <c r="R1" s="452"/>
      <c r="T1" s="452"/>
    </row>
    <row r="2" spans="1:20"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405" t="s">
        <v>2086</v>
      </c>
      <c r="E3" s="405" t="s">
        <v>6728</v>
      </c>
      <c r="F3" s="405" t="s">
        <v>6729</v>
      </c>
      <c r="H3" s="790">
        <f>'ANALYSE - ERP =&gt; SEGMENT'!JP6</f>
        <v>5.9077885391817943E-2</v>
      </c>
      <c r="I3" s="790">
        <f>'ANALYSE - ERP =&gt; SEGMENT'!JQ6</f>
        <v>0.40153368414786711</v>
      </c>
      <c r="J3" s="790">
        <f>'ANALYSE - ERP =&gt; SEGMENT'!JR6</f>
        <v>0.4243628193890247</v>
      </c>
      <c r="K3" s="790">
        <f>'ANALYSE - ERP =&gt; SEGMENT'!JS6</f>
        <v>0.10936078233221848</v>
      </c>
      <c r="L3" s="790">
        <f>'ANALYSE - ERP =&gt; SEGMENT'!JT6</f>
        <v>5.6656438058027767E-3</v>
      </c>
      <c r="N3" s="790">
        <f>'ANALYSE - ERP =&gt; SEGMENT'!JU6</f>
        <v>2.9634066629020982E-2</v>
      </c>
      <c r="O3" s="790">
        <f>'ANALYSE - ERP =&gt; SEGMENT'!JV6</f>
        <v>0.32102592222107634</v>
      </c>
      <c r="P3" s="790">
        <f>'ANALYSE - ERP =&gt; SEGMENT'!JW6</f>
        <v>0.46675473999022593</v>
      </c>
      <c r="Q3" s="790">
        <f>'ANALYSE - ERP =&gt; SEGMENT'!JX6</f>
        <v>0.16681195506446225</v>
      </c>
      <c r="R3" s="790">
        <f>'ANALYSE - ERP =&gt; SEGMENT'!JY6</f>
        <v>1.5773316095214339E-2</v>
      </c>
      <c r="T3" s="428">
        <f>SUM('ANALYSE - ERP =&gt; SEGMENT'!$Q$8:$Q$110)</f>
        <v>34</v>
      </c>
    </row>
    <row r="4" spans="1:20" ht="15" customHeight="1">
      <c r="A4" s="26">
        <v>1</v>
      </c>
      <c r="B4" s="26">
        <v>1</v>
      </c>
      <c r="C4" s="422">
        <f>'ANALYSE - ERP =&gt; SEGMENT'!$A$19</f>
        <v>15</v>
      </c>
      <c r="D4" s="492" t="s">
        <v>2187</v>
      </c>
      <c r="E4" s="492" t="s">
        <v>3877</v>
      </c>
      <c r="F4" s="492" t="s">
        <v>7981</v>
      </c>
      <c r="H4" s="787">
        <f>'ANALYSE - ERP =&gt; SEGMENT'!$JP$19</f>
        <v>2.7229244204179229E-2</v>
      </c>
      <c r="I4" s="787">
        <f>'ANALYSE - ERP =&gt; SEGMENT'!$JQ$19</f>
        <v>0.37513043975465227</v>
      </c>
      <c r="J4" s="787">
        <f>'ANALYSE - ERP =&gt; SEGMENT'!$JR$19</f>
        <v>0.44626775132550156</v>
      </c>
      <c r="K4" s="787">
        <f>'ANALYSE - ERP =&gt; SEGMENT'!$JS$19</f>
        <v>0.12693146896766816</v>
      </c>
      <c r="L4" s="787">
        <f>'ANALYSE - ERP =&gt; SEGMENT'!$JT$19</f>
        <v>2.4441095747998753E-2</v>
      </c>
      <c r="N4" s="787">
        <f>'ANALYSE - ERP =&gt; SEGMENT'!$JU$19</f>
        <v>2.9323013622190087E-3</v>
      </c>
      <c r="O4" s="787">
        <f>'ANALYSE - ERP =&gt; SEGMENT'!$JV$19</f>
        <v>0.2884032820190276</v>
      </c>
      <c r="P4" s="787">
        <f>'ANALYSE - ERP =&gt; SEGMENT'!$JW$19</f>
        <v>0.51117123044315316</v>
      </c>
      <c r="Q4" s="787">
        <f>'ANALYSE - ERP =&gt; SEGMENT'!$JX$19</f>
        <v>0.1667658397626314</v>
      </c>
      <c r="R4" s="787">
        <f>'ANALYSE - ERP =&gt; SEGMENT'!$JY$19</f>
        <v>3.072734641296896E-2</v>
      </c>
      <c r="T4" s="430">
        <f>'ANALYSE - ERP =&gt; SEGMENT'!$Q$19</f>
        <v>1</v>
      </c>
    </row>
    <row r="5" spans="1:20" ht="15" customHeight="1">
      <c r="A5" s="26">
        <v>2</v>
      </c>
      <c r="B5" s="26">
        <v>3</v>
      </c>
      <c r="C5" s="422">
        <f>'ANALYSE - ERP =&gt; SEGMENT'!$A$14</f>
        <v>7</v>
      </c>
      <c r="D5" s="494" t="s">
        <v>2241</v>
      </c>
      <c r="E5" s="494" t="s">
        <v>1032</v>
      </c>
      <c r="F5" s="494" t="s">
        <v>7982</v>
      </c>
      <c r="H5" s="787">
        <f>'ANALYSE - ERP =&gt; SEGMENT'!$JP$14</f>
        <v>7.0810546330647412E-6</v>
      </c>
      <c r="I5" s="787">
        <f>'ANALYSE - ERP =&gt; SEGMENT'!$JQ$14</f>
        <v>0.12740913327841744</v>
      </c>
      <c r="J5" s="787">
        <f>'ANALYSE - ERP =&gt; SEGMENT'!$JR$14</f>
        <v>0.54169139781616382</v>
      </c>
      <c r="K5" s="787">
        <f>'ANALYSE - ERP =&gt; SEGMENT'!$JS$14</f>
        <v>0.32868716671105358</v>
      </c>
      <c r="L5" s="787">
        <f>'ANALYSE - ERP =&gt; SEGMENT'!$JT$14</f>
        <v>2.2052211397320682E-3</v>
      </c>
      <c r="N5" s="787">
        <f>'ANALYSE - ERP =&gt; SEGMENT'!$JU$14</f>
        <v>0</v>
      </c>
      <c r="O5" s="787">
        <f>'ANALYSE - ERP =&gt; SEGMENT'!$JV$14</f>
        <v>6.3540894731948044E-2</v>
      </c>
      <c r="P5" s="787">
        <f>'ANALYSE - ERP =&gt; SEGMENT'!$JW$14</f>
        <v>0.4808114581398677</v>
      </c>
      <c r="Q5" s="787">
        <f>'ANALYSE - ERP =&gt; SEGMENT'!$JX$14</f>
        <v>0.42929998668287933</v>
      </c>
      <c r="R5" s="787">
        <f>'ANALYSE - ERP =&gt; SEGMENT'!$JY$14</f>
        <v>2.6347660445304823E-2</v>
      </c>
      <c r="T5" s="430">
        <f>'ANALYSE - ERP =&gt; SEGMENT'!$Q$14</f>
        <v>1</v>
      </c>
    </row>
    <row r="6" spans="1:20" ht="15" customHeight="1">
      <c r="A6" s="26">
        <v>3</v>
      </c>
      <c r="B6" s="26">
        <v>2</v>
      </c>
      <c r="C6" s="422">
        <f>'ANALYSE - ERP =&gt; SEGMENT'!$A$9</f>
        <v>2</v>
      </c>
      <c r="D6" s="498" t="s">
        <v>6739</v>
      </c>
      <c r="E6" s="498" t="s">
        <v>2678</v>
      </c>
      <c r="F6" s="498" t="s">
        <v>7984</v>
      </c>
      <c r="H6" s="787">
        <f>'ANALYSE - ERP =&gt; SEGMENT'!$JP$9</f>
        <v>0.10382235246812509</v>
      </c>
      <c r="I6" s="787">
        <f>'ANALYSE - ERP =&gt; SEGMENT'!$JQ$9</f>
        <v>0.538639357901604</v>
      </c>
      <c r="J6" s="787">
        <f>'ANALYSE - ERP =&gt; SEGMENT'!$JR$9</f>
        <v>0.32965163705426409</v>
      </c>
      <c r="K6" s="787">
        <f>'ANALYSE - ERP =&gt; SEGMENT'!$JS$9</f>
        <v>2.7373181163475993E-2</v>
      </c>
      <c r="L6" s="787">
        <f>'ANALYSE - ERP =&gt; SEGMENT'!$JT$9</f>
        <v>5.1347141253072198E-4</v>
      </c>
      <c r="N6" s="787">
        <f>'ANALYSE - ERP =&gt; SEGMENT'!$JU$9</f>
        <v>3.946969222032836E-2</v>
      </c>
      <c r="O6" s="787">
        <f>'ANALYSE - ERP =&gt; SEGMENT'!$JV$9</f>
        <v>0.40362342218576275</v>
      </c>
      <c r="P6" s="787">
        <f>'ANALYSE - ERP =&gt; SEGMENT'!$JW$9</f>
        <v>0.48238110707534082</v>
      </c>
      <c r="Q6" s="787">
        <f>'ANALYSE - ERP =&gt; SEGMENT'!$JX$9</f>
        <v>7.2559299653029596E-2</v>
      </c>
      <c r="R6" s="787">
        <f>'ANALYSE - ERP =&gt; SEGMENT'!$JY$9</f>
        <v>1.9664788655385118E-3</v>
      </c>
      <c r="T6" s="430">
        <f>'ANALYSE - ERP =&gt; SEGMENT'!$Q$9</f>
        <v>1</v>
      </c>
    </row>
    <row r="7" spans="1:20" ht="15" customHeight="1">
      <c r="A7" s="26">
        <v>4</v>
      </c>
      <c r="B7" s="26">
        <v>4</v>
      </c>
      <c r="C7" s="422">
        <f>'ANALYSE - ERP =&gt; SEGMENT'!$A$16</f>
        <v>10</v>
      </c>
      <c r="D7" s="500" t="s">
        <v>3662</v>
      </c>
      <c r="E7" s="500" t="s">
        <v>1114</v>
      </c>
      <c r="F7" s="500" t="s">
        <v>7985</v>
      </c>
      <c r="H7" s="787">
        <f>'ANALYSE - ERP =&gt; SEGMENT'!$JP$16</f>
        <v>2.7493464517062645E-2</v>
      </c>
      <c r="I7" s="787">
        <f>'ANALYSE - ERP =&gt; SEGMENT'!$JQ$16</f>
        <v>0.36381697878041458</v>
      </c>
      <c r="J7" s="787">
        <f>'ANALYSE - ERP =&gt; SEGMENT'!$JR$16</f>
        <v>0.49298632015946192</v>
      </c>
      <c r="K7" s="787">
        <f>'ANALYSE - ERP =&gt; SEGMENT'!$JS$16</f>
        <v>0.11094294674797442</v>
      </c>
      <c r="L7" s="787">
        <f>'ANALYSE - ERP =&gt; SEGMENT'!$JT$16</f>
        <v>4.7602897950863683E-3</v>
      </c>
      <c r="N7" s="787">
        <f>'ANALYSE - ERP =&gt; SEGMENT'!$JU$16</f>
        <v>8.7982316587492879E-3</v>
      </c>
      <c r="O7" s="787">
        <f>'ANALYSE - ERP =&gt; SEGMENT'!$JV$16</f>
        <v>0.29940071874680962</v>
      </c>
      <c r="P7" s="787">
        <f>'ANALYSE - ERP =&gt; SEGMENT'!$JW$16</f>
        <v>0.51044390985166255</v>
      </c>
      <c r="Q7" s="787">
        <f>'ANALYSE - ERP =&gt; SEGMENT'!$JX$16</f>
        <v>0.16657044464624438</v>
      </c>
      <c r="R7" s="787">
        <f>'ANALYSE - ERP =&gt; SEGMENT'!$JY$16</f>
        <v>1.478669509653409E-2</v>
      </c>
      <c r="T7" s="430">
        <f>'ANALYSE - ERP =&gt; SEGMENT'!$Q$16</f>
        <v>1</v>
      </c>
    </row>
    <row r="8" spans="1:20" ht="15" customHeight="1">
      <c r="A8" s="26">
        <v>5</v>
      </c>
      <c r="B8" s="26">
        <v>5</v>
      </c>
      <c r="C8" s="422">
        <f>'ANALYSE - ERP =&gt; SEGMENT'!$A$22</f>
        <v>18</v>
      </c>
      <c r="D8" s="502" t="s">
        <v>2264</v>
      </c>
      <c r="E8" s="502" t="s">
        <v>4024</v>
      </c>
      <c r="F8" s="502" t="s">
        <v>679</v>
      </c>
      <c r="H8" s="787">
        <f>'ANALYSE - ERP =&gt; SEGMENT'!$JP$22</f>
        <v>3.2599999999999997E-2</v>
      </c>
      <c r="I8" s="787">
        <f>'ANALYSE - ERP =&gt; SEGMENT'!$JQ$22</f>
        <v>0.41479999999999995</v>
      </c>
      <c r="J8" s="787">
        <f>'ANALYSE - ERP =&gt; SEGMENT'!$JR$22</f>
        <v>0.49380000000000002</v>
      </c>
      <c r="K8" s="787">
        <f>'ANALYSE - ERP =&gt; SEGMENT'!$JS$22</f>
        <v>5.8799999999999998E-2</v>
      </c>
      <c r="L8" s="787">
        <f>'ANALYSE - ERP =&gt; SEGMENT'!$JT$22</f>
        <v>0</v>
      </c>
      <c r="N8" s="787">
        <f>'ANALYSE - ERP =&gt; SEGMENT'!$JU$22</f>
        <v>1.0399999999999998E-2</v>
      </c>
      <c r="O8" s="787">
        <f>'ANALYSE - ERP =&gt; SEGMENT'!$JV$22</f>
        <v>0.3876</v>
      </c>
      <c r="P8" s="787">
        <f>'ANALYSE - ERP =&gt; SEGMENT'!$JW$22</f>
        <v>0.51600000000000001</v>
      </c>
      <c r="Q8" s="787">
        <f>'ANALYSE - ERP =&gt; SEGMENT'!$JX$22</f>
        <v>8.1000000000000003E-2</v>
      </c>
      <c r="R8" s="787">
        <f>'ANALYSE - ERP =&gt; SEGMENT'!$JY$22</f>
        <v>5.0000000000000001E-3</v>
      </c>
      <c r="T8" s="430">
        <f>'ANALYSE - ERP =&gt; SEGMENT'!$Q$22</f>
        <v>1</v>
      </c>
    </row>
    <row r="9" spans="1:20" ht="15" customHeight="1">
      <c r="A9" s="26">
        <v>6</v>
      </c>
      <c r="B9" s="26">
        <v>6</v>
      </c>
      <c r="C9" s="422">
        <f>'ANALYSE - ERP =&gt; SEGMENT'!$A$27</f>
        <v>26</v>
      </c>
      <c r="D9" s="504" t="s">
        <v>2278</v>
      </c>
      <c r="E9" s="504" t="s">
        <v>1527</v>
      </c>
      <c r="F9" s="504" t="s">
        <v>7987</v>
      </c>
      <c r="H9" s="787">
        <f>'ANALYSE - ERP =&gt; SEGMENT'!$JP$27</f>
        <v>3.5173044842786536E-2</v>
      </c>
      <c r="I9" s="787">
        <f>'ANALYSE - ERP =&gt; SEGMENT'!$JQ$27</f>
        <v>0.41918072678260981</v>
      </c>
      <c r="J9" s="787">
        <f>'ANALYSE - ERP =&gt; SEGMENT'!$JR$27</f>
        <v>0.48660231018159816</v>
      </c>
      <c r="K9" s="787">
        <f>'ANALYSE - ERP =&gt; SEGMENT'!$JS$27</f>
        <v>5.8989953184313167E-2</v>
      </c>
      <c r="L9" s="787">
        <f>'ANALYSE - ERP =&gt; SEGMENT'!$JT$27</f>
        <v>5.3965008692481491E-5</v>
      </c>
      <c r="N9" s="787">
        <f>'ANALYSE - ERP =&gt; SEGMENT'!$JU$27</f>
        <v>1.5051554488101804E-2</v>
      </c>
      <c r="O9" s="787">
        <f>'ANALYSE - ERP =&gt; SEGMENT'!$JV$27</f>
        <v>0.39027328178028731</v>
      </c>
      <c r="P9" s="787">
        <f>'ANALYSE - ERP =&gt; SEGMENT'!$JW$27</f>
        <v>0.50984330614235951</v>
      </c>
      <c r="Q9" s="787">
        <f>'ANALYSE - ERP =&gt; SEGMENT'!$JX$27</f>
        <v>8.0523249494681925E-2</v>
      </c>
      <c r="R9" s="787">
        <f>'ANALYSE - ERP =&gt; SEGMENT'!$JY$27</f>
        <v>4.3086080945695538E-3</v>
      </c>
      <c r="T9" s="430">
        <f>'ANALYSE - ERP =&gt; SEGMENT'!$Q$27</f>
        <v>1</v>
      </c>
    </row>
    <row r="10" spans="1:20" ht="15" customHeight="1">
      <c r="A10" s="26">
        <v>7</v>
      </c>
      <c r="B10" s="26">
        <v>7</v>
      </c>
      <c r="C10" s="422">
        <f>'ANALYSE - ERP =&gt; SEGMENT'!$A$30</f>
        <v>29</v>
      </c>
      <c r="D10" s="496" t="s">
        <v>1670</v>
      </c>
      <c r="E10" s="496" t="s">
        <v>1671</v>
      </c>
      <c r="F10" s="496" t="s">
        <v>7983</v>
      </c>
      <c r="H10" s="787">
        <f>'ANALYSE - ERP =&gt; SEGMENT'!$JP$30</f>
        <v>0.12837234248307672</v>
      </c>
      <c r="I10" s="787">
        <f>'ANALYSE - ERP =&gt; SEGMENT'!$JQ$30</f>
        <v>0.53780114557762415</v>
      </c>
      <c r="J10" s="787">
        <f>'ANALYSE - ERP =&gt; SEGMENT'!$JR$30</f>
        <v>0.28120001487763147</v>
      </c>
      <c r="K10" s="787">
        <f>'ANALYSE - ERP =&gt; SEGMENT'!$JS$30</f>
        <v>4.3927605445213125E-2</v>
      </c>
      <c r="L10" s="787">
        <f>'ANALYSE - ERP =&gt; SEGMENT'!$JT$30</f>
        <v>8.7002901138138813E-3</v>
      </c>
      <c r="N10" s="787">
        <f>'ANALYSE - ERP =&gt; SEGMENT'!$JU$30</f>
        <v>6.2359078970370609E-2</v>
      </c>
      <c r="O10" s="787">
        <f>'ANALYSE - ERP =&gt; SEGMENT'!$JV$30</f>
        <v>0.46914315882155666</v>
      </c>
      <c r="P10" s="787">
        <f>'ANALYSE - ERP =&gt; SEGMENT'!$JW$30</f>
        <v>0.38229784501413122</v>
      </c>
      <c r="Q10" s="787">
        <f>'ANALYSE - ERP =&gt; SEGMENT'!$JX$30</f>
        <v>7.2592374003874777E-2</v>
      </c>
      <c r="R10" s="787">
        <f>'ANALYSE - ERP =&gt; SEGMENT'!$JY$30</f>
        <v>1.3607543190066627E-2</v>
      </c>
      <c r="T10" s="430">
        <f>'ANALYSE - ERP =&gt; SEGMENT'!$Q$30</f>
        <v>1</v>
      </c>
    </row>
    <row r="11" spans="1:20" s="45" customFormat="1" ht="15" customHeight="1">
      <c r="A11" s="26">
        <v>8</v>
      </c>
      <c r="B11" s="26">
        <v>9</v>
      </c>
      <c r="C11" s="422">
        <f>'ANALYSE - ERP =&gt; SEGMENT'!$A$31</f>
        <v>30</v>
      </c>
      <c r="D11" s="496" t="s">
        <v>1670</v>
      </c>
      <c r="E11" s="496" t="s">
        <v>1747</v>
      </c>
      <c r="F11" s="496" t="s">
        <v>7986</v>
      </c>
      <c r="G11" s="685"/>
      <c r="H11" s="787">
        <f>'ANALYSE - ERP =&gt; SEGMENT'!$JP$31</f>
        <v>0.14707564719358537</v>
      </c>
      <c r="I11" s="787">
        <f>'ANALYSE - ERP =&gt; SEGMENT'!$JQ$31</f>
        <v>0.56126329896907212</v>
      </c>
      <c r="J11" s="787">
        <f>'ANALYSE - ERP =&gt; SEGMENT'!$JR$31</f>
        <v>0.27022497136311568</v>
      </c>
      <c r="K11" s="787">
        <f>'ANALYSE - ERP =&gt; SEGMENT'!$JS$31</f>
        <v>2.144499099983636E-2</v>
      </c>
      <c r="L11" s="787">
        <f>'ANALYSE - ERP =&gt; SEGMENT'!$JT$31</f>
        <v>0</v>
      </c>
      <c r="M11" s="685"/>
      <c r="N11" s="787">
        <f>'ANALYSE - ERP =&gt; SEGMENT'!$JU$31</f>
        <v>0.12169739111096368</v>
      </c>
      <c r="O11" s="787">
        <f>'ANALYSE - ERP =&gt; SEGMENT'!$JV$31</f>
        <v>0.52301041456522124</v>
      </c>
      <c r="P11" s="787">
        <f>'ANALYSE - ERP =&gt; SEGMENT'!$JW$31</f>
        <v>0.31174636168348435</v>
      </c>
      <c r="Q11" s="787">
        <f>'ANALYSE - ERP =&gt; SEGMENT'!$JX$31</f>
        <v>4.0124839941919087E-2</v>
      </c>
      <c r="R11" s="787">
        <f>'ANALYSE - ERP =&gt; SEGMENT'!$JY$31</f>
        <v>3.4209926984115941E-3</v>
      </c>
      <c r="S11" s="685"/>
      <c r="T11" s="430">
        <f>'ANALYSE - ERP =&gt; SEGMENT'!$Q$31</f>
        <v>1</v>
      </c>
    </row>
    <row r="12" spans="1:20" ht="15" customHeight="1">
      <c r="A12" s="26">
        <v>9</v>
      </c>
      <c r="B12" s="26">
        <v>10</v>
      </c>
      <c r="C12" s="422">
        <f>'ANALYSE - ERP =&gt; SEGMENT'!$A$13</f>
        <v>6</v>
      </c>
      <c r="D12" s="494" t="s">
        <v>2241</v>
      </c>
      <c r="E12" s="494" t="s">
        <v>1053</v>
      </c>
      <c r="F12" s="494" t="s">
        <v>7988</v>
      </c>
      <c r="H12" s="787">
        <f>'ANALYSE - ERP =&gt; SEGMENT'!$JP$13</f>
        <v>7.4444471606326535E-5</v>
      </c>
      <c r="I12" s="787">
        <f>'ANALYSE - ERP =&gt; SEGMENT'!$JQ$13</f>
        <v>0.20835112816877305</v>
      </c>
      <c r="J12" s="787">
        <f>'ANALYSE - ERP =&gt; SEGMENT'!$JR$13</f>
        <v>0.56516950155230161</v>
      </c>
      <c r="K12" s="787">
        <f>'ANALYSE - ERP =&gt; SEGMENT'!$JS$13</f>
        <v>0.21427758329870195</v>
      </c>
      <c r="L12" s="787">
        <f>'ANALYSE - ERP =&gt; SEGMENT'!$JT$13</f>
        <v>1.2127342508617108E-2</v>
      </c>
      <c r="N12" s="787">
        <f>'ANALYSE - ERP =&gt; SEGMENT'!$JU$13</f>
        <v>1.4525687739405316E-5</v>
      </c>
      <c r="O12" s="787">
        <f>'ANALYSE - ERP =&gt; SEGMENT'!$JV$13</f>
        <v>0.10443335374244545</v>
      </c>
      <c r="P12" s="787">
        <f>'ANALYSE - ERP =&gt; SEGMENT'!$JW$13</f>
        <v>0.53147237997689956</v>
      </c>
      <c r="Q12" s="787">
        <f>'ANALYSE - ERP =&gt; SEGMENT'!$JX$13</f>
        <v>0.33221644543525297</v>
      </c>
      <c r="R12" s="787">
        <f>'ANALYSE - ERP =&gt; SEGMENT'!$JY$13</f>
        <v>3.1863295157662647E-2</v>
      </c>
      <c r="T12" s="430">
        <f>'ANALYSE - ERP =&gt; SEGMENT'!$Q$13</f>
        <v>1</v>
      </c>
    </row>
    <row r="13" spans="1:20" s="45" customFormat="1" ht="15" customHeight="1">
      <c r="A13" s="406">
        <v>10</v>
      </c>
      <c r="B13" s="406">
        <v>8</v>
      </c>
      <c r="C13" s="448">
        <f>'ANALYSE - ERP =&gt; SEGMENT'!$A$28</f>
        <v>27</v>
      </c>
      <c r="D13" s="511" t="s">
        <v>2278</v>
      </c>
      <c r="E13" s="511" t="s">
        <v>4578</v>
      </c>
      <c r="F13" s="511" t="s">
        <v>7989</v>
      </c>
      <c r="G13" s="685"/>
      <c r="H13" s="788">
        <f>'ANALYSE - ERP =&gt; SEGMENT'!$JP$28</f>
        <v>0.10659999999999999</v>
      </c>
      <c r="I13" s="788">
        <f>'ANALYSE - ERP =&gt; SEGMENT'!$JQ$28</f>
        <v>0.53920000000000001</v>
      </c>
      <c r="J13" s="788">
        <f>'ANALYSE - ERP =&gt; SEGMENT'!$JR$28</f>
        <v>0.32950000000000002</v>
      </c>
      <c r="K13" s="788">
        <f>'ANALYSE - ERP =&gt; SEGMENT'!$JS$28</f>
        <v>2.47E-2</v>
      </c>
      <c r="L13" s="788">
        <f>'ANALYSE - ERP =&gt; SEGMENT'!$JT$28</f>
        <v>0</v>
      </c>
      <c r="M13" s="685"/>
      <c r="N13" s="788">
        <f>'ANALYSE - ERP =&gt; SEGMENT'!$JU$28</f>
        <v>9.2499999999999999E-2</v>
      </c>
      <c r="O13" s="788">
        <f>'ANALYSE - ERP =&gt; SEGMENT'!$JV$28</f>
        <v>0.52190000000000003</v>
      </c>
      <c r="P13" s="788">
        <f>'ANALYSE - ERP =&gt; SEGMENT'!$JW$28</f>
        <v>0.34360000000000002</v>
      </c>
      <c r="Q13" s="788">
        <f>'ANALYSE - ERP =&gt; SEGMENT'!$JX$28</f>
        <v>3.8800000000000008E-2</v>
      </c>
      <c r="R13" s="788">
        <f>'ANALYSE - ERP =&gt; SEGMENT'!$JY$28</f>
        <v>3.2000000000000006E-3</v>
      </c>
      <c r="S13" s="685"/>
      <c r="T13" s="450">
        <f>'ANALYSE - ERP =&gt; SEGMENT'!$Q$28</f>
        <v>1</v>
      </c>
    </row>
    <row r="14" spans="1:20" ht="15" customHeight="1">
      <c r="A14" s="26">
        <v>11</v>
      </c>
      <c r="B14" s="26">
        <v>14</v>
      </c>
      <c r="C14" s="422">
        <f>'ANALYSE - ERP =&gt; SEGMENT'!$A$23</f>
        <v>19</v>
      </c>
      <c r="D14" s="502" t="s">
        <v>2264</v>
      </c>
      <c r="E14" s="502" t="s">
        <v>7990</v>
      </c>
      <c r="F14" s="502" t="s">
        <v>7991</v>
      </c>
      <c r="H14" s="787">
        <f>'ANALYSE - ERP =&gt; SEGMENT'!$JP$23</f>
        <v>6.3629517778860195E-2</v>
      </c>
      <c r="I14" s="787">
        <f>'ANALYSE - ERP =&gt; SEGMENT'!$JQ$23</f>
        <v>0.45972747199220654</v>
      </c>
      <c r="J14" s="787">
        <f>'ANALYSE - ERP =&gt; SEGMENT'!$JR$23</f>
        <v>0.42767871407696056</v>
      </c>
      <c r="K14" s="787">
        <f>'ANALYSE - ERP =&gt; SEGMENT'!$JS$23</f>
        <v>4.8668533852898203E-2</v>
      </c>
      <c r="L14" s="787">
        <f>'ANALYSE - ERP =&gt; SEGMENT'!$JT$23</f>
        <v>2.9576229907452511E-4</v>
      </c>
      <c r="N14" s="787">
        <f>'ANALYSE - ERP =&gt; SEGMENT'!$JU$23</f>
        <v>3.172051879662776E-2</v>
      </c>
      <c r="O14" s="787">
        <f>'ANALYSE - ERP =&gt; SEGMENT'!$JV$23</f>
        <v>0.42656965051411166</v>
      </c>
      <c r="P14" s="787">
        <f>'ANALYSE - ERP =&gt; SEGMENT'!$JW$23</f>
        <v>0.47397607488331489</v>
      </c>
      <c r="Q14" s="787">
        <f>'ANALYSE - ERP =&gt; SEGMENT'!$JX$23</f>
        <v>6.3487445257264075E-2</v>
      </c>
      <c r="R14" s="787">
        <f>'ANALYSE - ERP =&gt; SEGMENT'!$JY$23</f>
        <v>4.2463105486817282E-3</v>
      </c>
      <c r="T14" s="430">
        <f>'ANALYSE - ERP =&gt; SEGMENT'!$Q$23</f>
        <v>1</v>
      </c>
    </row>
    <row r="15" spans="1:20" s="45" customFormat="1" ht="15" customHeight="1">
      <c r="A15" s="406">
        <v>12</v>
      </c>
      <c r="B15" s="406">
        <v>12</v>
      </c>
      <c r="C15" s="448">
        <f>'ANALYSE - ERP =&gt; SEGMENT'!$A$26</f>
        <v>23</v>
      </c>
      <c r="D15" s="513" t="s">
        <v>7117</v>
      </c>
      <c r="E15" s="513" t="s">
        <v>4268</v>
      </c>
      <c r="F15" s="513" t="s">
        <v>4269</v>
      </c>
      <c r="G15" s="685"/>
      <c r="H15" s="788">
        <f>'ANALYSE - ERP =&gt; SEGMENT'!$JP$26</f>
        <v>9.3467148760330576E-2</v>
      </c>
      <c r="I15" s="788">
        <f>'ANALYSE - ERP =&gt; SEGMENT'!$JQ$26</f>
        <v>0.5007059917355372</v>
      </c>
      <c r="J15" s="788">
        <f>'ANALYSE - ERP =&gt; SEGMENT'!$JR$26</f>
        <v>0.36178285123966947</v>
      </c>
      <c r="K15" s="788">
        <f>'ANALYSE - ERP =&gt; SEGMENT'!$JS$26</f>
        <v>4.2433057851239672E-2</v>
      </c>
      <c r="L15" s="788">
        <f>'ANALYSE - ERP =&gt; SEGMENT'!$JT$26</f>
        <v>1.6109504132231403E-3</v>
      </c>
      <c r="M15" s="685"/>
      <c r="N15" s="788">
        <f>'ANALYSE - ERP =&gt; SEGMENT'!$JU$26</f>
        <v>3.8752891443236598E-2</v>
      </c>
      <c r="O15" s="788">
        <f>'ANALYSE - ERP =&gt; SEGMENT'!$JV$26</f>
        <v>0.38537026219262094</v>
      </c>
      <c r="P15" s="788">
        <f>'ANALYSE - ERP =&gt; SEGMENT'!$JW$26</f>
        <v>0.48761477242471929</v>
      </c>
      <c r="Q15" s="788">
        <f>'ANALYSE - ERP =&gt; SEGMENT'!$JX$26</f>
        <v>8.5320762995776164E-2</v>
      </c>
      <c r="R15" s="788">
        <f>'ANALYSE - ERP =&gt; SEGMENT'!$JY$26</f>
        <v>2.9413109436470485E-3</v>
      </c>
      <c r="S15" s="685"/>
      <c r="T15" s="450">
        <f>'ANALYSE - ERP =&gt; SEGMENT'!$Q$26</f>
        <v>1</v>
      </c>
    </row>
    <row r="16" spans="1:20" ht="15" customHeight="1">
      <c r="A16" s="26">
        <v>13</v>
      </c>
      <c r="B16" s="26">
        <v>16</v>
      </c>
      <c r="C16" s="422">
        <f>'ANALYSE - ERP =&gt; SEGMENT'!$A$32</f>
        <v>32</v>
      </c>
      <c r="D16" s="508" t="s">
        <v>2285</v>
      </c>
      <c r="E16" s="508" t="s">
        <v>1793</v>
      </c>
      <c r="F16" s="508" t="s">
        <v>7992</v>
      </c>
      <c r="H16" s="787">
        <f>'ANALYSE - ERP =&gt; SEGMENT'!$JP$32</f>
        <v>5.1793034667092196E-2</v>
      </c>
      <c r="I16" s="787">
        <f>'ANALYSE - ERP =&gt; SEGMENT'!$JQ$32</f>
        <v>0.43606613475884631</v>
      </c>
      <c r="J16" s="787">
        <f>'ANALYSE - ERP =&gt; SEGMENT'!$JR$32</f>
        <v>0.39221472054892886</v>
      </c>
      <c r="K16" s="787">
        <f>'ANALYSE - ERP =&gt; SEGMENT'!$JS$32</f>
        <v>0.10351991063948619</v>
      </c>
      <c r="L16" s="787">
        <f>'ANALYSE - ERP =&gt; SEGMENT'!$JT$32</f>
        <v>1.6406199385646466E-2</v>
      </c>
      <c r="N16" s="787">
        <f>'ANALYSE - ERP =&gt; SEGMENT'!$JU$32</f>
        <v>2.7851043295911884E-2</v>
      </c>
      <c r="O16" s="787">
        <f>'ANALYSE - ERP =&gt; SEGMENT'!$JV$32</f>
        <v>0.39310789036263422</v>
      </c>
      <c r="P16" s="787">
        <f>'ANALYSE - ERP =&gt; SEGMENT'!$JW$32</f>
        <v>0.4081394112515499</v>
      </c>
      <c r="Q16" s="787">
        <f>'ANALYSE - ERP =&gt; SEGMENT'!$JX$32</f>
        <v>0.1374980758367037</v>
      </c>
      <c r="R16" s="787">
        <f>'ANALYSE - ERP =&gt; SEGMENT'!$JY$32</f>
        <v>3.3403579253200484E-2</v>
      </c>
      <c r="T16" s="430">
        <f>'ANALYSE - ERP =&gt; SEGMENT'!$Q$32</f>
        <v>1</v>
      </c>
    </row>
    <row r="17" spans="1:20" ht="15" customHeight="1">
      <c r="A17" s="26">
        <v>14</v>
      </c>
      <c r="B17" s="26">
        <v>17</v>
      </c>
      <c r="C17" s="422">
        <f>'ANALYSE - ERP =&gt; SEGMENT'!$A$21</f>
        <v>17</v>
      </c>
      <c r="D17" s="492" t="s">
        <v>2187</v>
      </c>
      <c r="E17" s="492" t="s">
        <v>1372</v>
      </c>
      <c r="F17" s="492" t="s">
        <v>7993</v>
      </c>
      <c r="H17" s="787">
        <f>'ANALYSE - ERP =&gt; SEGMENT'!$JP$21</f>
        <v>2.0685297803023975E-2</v>
      </c>
      <c r="I17" s="787">
        <f>'ANALYSE - ERP =&gt; SEGMENT'!$JQ$21</f>
        <v>0.31309212262968844</v>
      </c>
      <c r="J17" s="787">
        <f>'ANALYSE - ERP =&gt; SEGMENT'!$JR$21</f>
        <v>0.49586996909197228</v>
      </c>
      <c r="K17" s="787">
        <f>'ANALYSE - ERP =&gt; SEGMENT'!$JS$21</f>
        <v>0.15665142427533207</v>
      </c>
      <c r="L17" s="787">
        <f>'ANALYSE - ERP =&gt; SEGMENT'!$JT$21</f>
        <v>1.3701186199983293E-2</v>
      </c>
      <c r="N17" s="787">
        <f>'ANALYSE - ERP =&gt; SEGMENT'!$JU$21</f>
        <v>5.9967671349620251E-3</v>
      </c>
      <c r="O17" s="787">
        <f>'ANALYSE - ERP =&gt; SEGMENT'!$JV$21</f>
        <v>0.27474421233146407</v>
      </c>
      <c r="P17" s="787">
        <f>'ANALYSE - ERP =&gt; SEGMENT'!$JW$21</f>
        <v>0.51973321873046807</v>
      </c>
      <c r="Q17" s="787">
        <f>'ANALYSE - ERP =&gt; SEGMENT'!$JX$21</f>
        <v>0.18025486375919245</v>
      </c>
      <c r="R17" s="787">
        <f>'ANALYSE - ERP =&gt; SEGMENT'!$JY$21</f>
        <v>1.9270938043913308E-2</v>
      </c>
      <c r="T17" s="430">
        <f>'ANALYSE - ERP =&gt; SEGMENT'!$Q$21</f>
        <v>1</v>
      </c>
    </row>
    <row r="18" spans="1:20" ht="15" customHeight="1">
      <c r="A18" s="26">
        <v>15</v>
      </c>
      <c r="B18" s="26">
        <v>11</v>
      </c>
      <c r="C18" s="422">
        <f>'ANALYSE - ERP =&gt; SEGMENT'!$A$8</f>
        <v>1</v>
      </c>
      <c r="D18" s="498" t="s">
        <v>6739</v>
      </c>
      <c r="E18" s="498" t="s">
        <v>2104</v>
      </c>
      <c r="F18" s="498" t="s">
        <v>671</v>
      </c>
      <c r="H18" s="787">
        <f>'ANALYSE - ERP =&gt; SEGMENT'!$JP$8</f>
        <v>2.0138285880866781E-2</v>
      </c>
      <c r="I18" s="787">
        <f>'ANALYSE - ERP =&gt; SEGMENT'!$JQ$8</f>
        <v>0.36559653580798751</v>
      </c>
      <c r="J18" s="787">
        <f>'ANALYSE - ERP =&gt; SEGMENT'!$JR$8</f>
        <v>0.51573270333300947</v>
      </c>
      <c r="K18" s="787">
        <f>'ANALYSE - ERP =&gt; SEGMENT'!$JS$8</f>
        <v>9.8532474978136234E-2</v>
      </c>
      <c r="L18" s="787">
        <f>'ANALYSE - ERP =&gt; SEGMENT'!$JT$8</f>
        <v>0</v>
      </c>
      <c r="N18" s="787">
        <f>'ANALYSE - ERP =&gt; SEGMENT'!$JU$8</f>
        <v>7.4215997127077557E-3</v>
      </c>
      <c r="O18" s="787">
        <f>'ANALYSE - ERP =&gt; SEGMENT'!$JV$8</f>
        <v>0.21501740300868402</v>
      </c>
      <c r="P18" s="787">
        <f>'ANALYSE - ERP =&gt; SEGMENT'!$JW$8</f>
        <v>0.55214405242672826</v>
      </c>
      <c r="Q18" s="787">
        <f>'ANALYSE - ERP =&gt; SEGMENT'!$JX$8</f>
        <v>0.22508877887818862</v>
      </c>
      <c r="R18" s="787">
        <f>'ANALYSE - ERP =&gt; SEGMENT'!$JY$8</f>
        <v>3.2816597369115917E-4</v>
      </c>
      <c r="T18" s="430">
        <f>'ANALYSE - ERP =&gt; SEGMENT'!$Q$8</f>
        <v>1</v>
      </c>
    </row>
    <row r="19" spans="1:20" ht="15" customHeight="1">
      <c r="A19" s="26">
        <v>16</v>
      </c>
      <c r="B19" s="26">
        <v>15</v>
      </c>
      <c r="C19" s="422">
        <f>'ANALYSE - ERP =&gt; SEGMENT'!$A$24</f>
        <v>21</v>
      </c>
      <c r="D19" s="506" t="s">
        <v>7117</v>
      </c>
      <c r="E19" s="506" t="s">
        <v>1455</v>
      </c>
      <c r="F19" s="506" t="s">
        <v>7994</v>
      </c>
      <c r="H19" s="787">
        <f>'ANALYSE - ERP =&gt; SEGMENT'!$JP$24</f>
        <v>3.4728238983330578E-2</v>
      </c>
      <c r="I19" s="787">
        <f>'ANALYSE - ERP =&gt; SEGMENT'!$JQ$24</f>
        <v>0.35891601749463609</v>
      </c>
      <c r="J19" s="787">
        <f>'ANALYSE - ERP =&gt; SEGMENT'!$JR$24</f>
        <v>0.46602639324420975</v>
      </c>
      <c r="K19" s="787">
        <f>'ANALYSE - ERP =&gt; SEGMENT'!$JS$24</f>
        <v>0.12962590086372888</v>
      </c>
      <c r="L19" s="787">
        <f>'ANALYSE - ERP =&gt; SEGMENT'!$JT$24</f>
        <v>1.0703449414094734E-2</v>
      </c>
      <c r="N19" s="787">
        <f>'ANALYSE - ERP =&gt; SEGMENT'!$JU$24</f>
        <v>1.515757484300709E-2</v>
      </c>
      <c r="O19" s="787">
        <f>'ANALYSE - ERP =&gt; SEGMENT'!$JV$24</f>
        <v>0.305835659933615</v>
      </c>
      <c r="P19" s="787">
        <f>'ANALYSE - ERP =&gt; SEGMENT'!$JW$24</f>
        <v>0.49822067918414242</v>
      </c>
      <c r="Q19" s="787">
        <f>'ANALYSE - ERP =&gt; SEGMENT'!$JX$24</f>
        <v>0.16372798706651956</v>
      </c>
      <c r="R19" s="787">
        <f>'ANALYSE - ERP =&gt; SEGMENT'!$JY$24</f>
        <v>1.7058098972715791E-2</v>
      </c>
      <c r="T19" s="430">
        <f>'ANALYSE - ERP =&gt; SEGMENT'!$Q$24</f>
        <v>1</v>
      </c>
    </row>
    <row r="20" spans="1:20" ht="15" customHeight="1">
      <c r="A20" s="26">
        <v>17</v>
      </c>
      <c r="B20" s="26">
        <v>13</v>
      </c>
      <c r="C20" s="422">
        <f>'ANALYSE - ERP =&gt; SEGMENT'!$A$11</f>
        <v>4</v>
      </c>
      <c r="D20" s="498" t="s">
        <v>6739</v>
      </c>
      <c r="E20" s="498" t="s">
        <v>991</v>
      </c>
      <c r="F20" s="498" t="s">
        <v>7995</v>
      </c>
      <c r="H20" s="787">
        <f>'ANALYSE - ERP =&gt; SEGMENT'!$JP$11</f>
        <v>0</v>
      </c>
      <c r="I20" s="787">
        <f>'ANALYSE - ERP =&gt; SEGMENT'!$JQ$11</f>
        <v>0</v>
      </c>
      <c r="J20" s="787">
        <f>'ANALYSE - ERP =&gt; SEGMENT'!$JR$11</f>
        <v>0</v>
      </c>
      <c r="K20" s="787">
        <f>'ANALYSE - ERP =&gt; SEGMENT'!$JS$11</f>
        <v>0</v>
      </c>
      <c r="L20" s="787">
        <f>'ANALYSE - ERP =&gt; SEGMENT'!$JT$11</f>
        <v>0</v>
      </c>
      <c r="N20" s="787">
        <f>'ANALYSE - ERP =&gt; SEGMENT'!$JU$11</f>
        <v>0</v>
      </c>
      <c r="O20" s="787">
        <f>'ANALYSE - ERP =&gt; SEGMENT'!$JV$11</f>
        <v>0</v>
      </c>
      <c r="P20" s="787">
        <f>'ANALYSE - ERP =&gt; SEGMENT'!$JW$11</f>
        <v>0</v>
      </c>
      <c r="Q20" s="787">
        <f>'ANALYSE - ERP =&gt; SEGMENT'!$JX$11</f>
        <v>0</v>
      </c>
      <c r="R20" s="787">
        <f>'ANALYSE - ERP =&gt; SEGMENT'!$JY$11</f>
        <v>0</v>
      </c>
      <c r="T20" s="430">
        <f>'ANALYSE - ERP =&gt; SEGMENT'!$Q$11</f>
        <v>0</v>
      </c>
    </row>
    <row r="21" spans="1:20" ht="15" customHeight="1">
      <c r="A21" s="26">
        <v>18</v>
      </c>
      <c r="B21" s="26">
        <v>18</v>
      </c>
      <c r="C21" s="422">
        <f>'ANALYSE - ERP =&gt; SEGMENT'!$A$12</f>
        <v>5</v>
      </c>
      <c r="D21" s="498" t="s">
        <v>6739</v>
      </c>
      <c r="E21" s="498" t="s">
        <v>2091</v>
      </c>
      <c r="F21" s="498" t="s">
        <v>2836</v>
      </c>
      <c r="H21" s="787">
        <f>'ANALYSE - ERP =&gt; SEGMENT'!$JP$12</f>
        <v>3.2324311183144244E-2</v>
      </c>
      <c r="I21" s="787">
        <f>'ANALYSE - ERP =&gt; SEGMENT'!$JQ$12</f>
        <v>0.37078168557536467</v>
      </c>
      <c r="J21" s="787">
        <f>'ANALYSE - ERP =&gt; SEGMENT'!$JR$12</f>
        <v>0.47928038897893027</v>
      </c>
      <c r="K21" s="787">
        <f>'ANALYSE - ERP =&gt; SEGMENT'!$JS$12</f>
        <v>0.11467293354943274</v>
      </c>
      <c r="L21" s="787">
        <f>'ANALYSE - ERP =&gt; SEGMENT'!$JT$12</f>
        <v>2.940680713128039E-3</v>
      </c>
      <c r="N21" s="787">
        <f>'ANALYSE - ERP =&gt; SEGMENT'!$JU$12</f>
        <v>1.7806587286386215E-3</v>
      </c>
      <c r="O21" s="787">
        <f>'ANALYSE - ERP =&gt; SEGMENT'!$JV$12</f>
        <v>0.19202501218779525</v>
      </c>
      <c r="P21" s="787">
        <f>'ANALYSE - ERP =&gt; SEGMENT'!$JW$12</f>
        <v>0.53321213680547708</v>
      </c>
      <c r="Q21" s="787">
        <f>'ANALYSE - ERP =&gt; SEGMENT'!$JX$12</f>
        <v>0.25421123923411421</v>
      </c>
      <c r="R21" s="787">
        <f>'ANALYSE - ERP =&gt; SEGMENT'!$JY$12</f>
        <v>1.8770953043974827E-2</v>
      </c>
      <c r="T21" s="430">
        <f>'ANALYSE - ERP =&gt; SEGMENT'!$Q$12</f>
        <v>1</v>
      </c>
    </row>
    <row r="22" spans="1:20" ht="15" customHeight="1">
      <c r="A22" s="26">
        <v>19</v>
      </c>
      <c r="B22" s="26">
        <v>19</v>
      </c>
      <c r="C22" s="422">
        <f>'ANALYSE - ERP =&gt; SEGMENT'!$A$36</f>
        <v>37</v>
      </c>
      <c r="D22" s="510" t="s">
        <v>4908</v>
      </c>
      <c r="E22" s="510" t="s">
        <v>88</v>
      </c>
      <c r="F22" s="510" t="s">
        <v>7996</v>
      </c>
      <c r="H22" s="787">
        <f>'ANALYSE - ERP =&gt; SEGMENT'!$JP$36</f>
        <v>0.19867930332440872</v>
      </c>
      <c r="I22" s="787">
        <f>'ANALYSE - ERP =&gt; SEGMENT'!$JQ$36</f>
        <v>0.67834624888442663</v>
      </c>
      <c r="J22" s="787">
        <f>'ANALYSE - ERP =&gt; SEGMENT'!$JR$36</f>
        <v>0.12271785475234273</v>
      </c>
      <c r="K22" s="787">
        <f>'ANALYSE - ERP =&gt; SEGMENT'!$JS$36</f>
        <v>2.5533522980812141E-4</v>
      </c>
      <c r="L22" s="787">
        <f>'ANALYSE - ERP =&gt; SEGMENT'!$JT$36</f>
        <v>1.2578090138331103E-6</v>
      </c>
      <c r="N22" s="787">
        <f>'ANALYSE - ERP =&gt; SEGMENT'!$JU$36</f>
        <v>7.9377221497953412E-2</v>
      </c>
      <c r="O22" s="787">
        <f>'ANALYSE - ERP =&gt; SEGMENT'!$JV$36</f>
        <v>0.64723956548614825</v>
      </c>
      <c r="P22" s="787">
        <f>'ANALYSE - ERP =&gt; SEGMENT'!$JW$36</f>
        <v>0.27224992249481283</v>
      </c>
      <c r="Q22" s="787">
        <f>'ANALYSE - ERP =&gt; SEGMENT'!$JX$36</f>
        <v>1.1221944091367177E-3</v>
      </c>
      <c r="R22" s="787">
        <f>'ANALYSE - ERP =&gt; SEGMENT'!$JY$36</f>
        <v>1.1096111948676417E-5</v>
      </c>
      <c r="T22" s="430">
        <f>'ANALYSE - ERP =&gt; SEGMENT'!$Q$36</f>
        <v>1</v>
      </c>
    </row>
    <row r="23" spans="1:20" ht="15" customHeight="1">
      <c r="A23" s="26">
        <v>20</v>
      </c>
      <c r="B23" s="26">
        <v>24</v>
      </c>
      <c r="C23" s="422">
        <f>'ANALYSE - ERP =&gt; SEGMENT'!$A$15</f>
        <v>8</v>
      </c>
      <c r="D23" s="494" t="s">
        <v>2241</v>
      </c>
      <c r="E23" s="494" t="s">
        <v>2242</v>
      </c>
      <c r="F23" s="494" t="s">
        <v>7998</v>
      </c>
      <c r="H23" s="787">
        <f>'ANALYSE - ERP =&gt; SEGMENT'!$JP$15</f>
        <v>1.4185727082711259E-3</v>
      </c>
      <c r="I23" s="787">
        <f>'ANALYSE - ERP =&gt; SEGMENT'!$JQ$15</f>
        <v>0.21706416840848014</v>
      </c>
      <c r="J23" s="787">
        <f>'ANALYSE - ERP =&gt; SEGMENT'!$JR$15</f>
        <v>0.56647703792176773</v>
      </c>
      <c r="K23" s="787">
        <f>'ANALYSE - ERP =&gt; SEGMENT'!$JS$15</f>
        <v>0.20523132278292028</v>
      </c>
      <c r="L23" s="787">
        <f>'ANALYSE - ERP =&gt; SEGMENT'!$JT$15</f>
        <v>9.8088981785607633E-3</v>
      </c>
      <c r="N23" s="787">
        <f>'ANALYSE - ERP =&gt; SEGMENT'!$JU$15</f>
        <v>0</v>
      </c>
      <c r="O23" s="787">
        <f>'ANALYSE - ERP =&gt; SEGMENT'!$JV$15</f>
        <v>9.7476201684184499E-2</v>
      </c>
      <c r="P23" s="787">
        <f>'ANALYSE - ERP =&gt; SEGMENT'!$JW$15</f>
        <v>0.47678972972520917</v>
      </c>
      <c r="Q23" s="787">
        <f>'ANALYSE - ERP =&gt; SEGMENT'!$JX$15</f>
        <v>0.39343861535566865</v>
      </c>
      <c r="R23" s="787">
        <f>'ANALYSE - ERP =&gt; SEGMENT'!$JY$15</f>
        <v>3.2295453234937634E-2</v>
      </c>
      <c r="T23" s="430">
        <f>'ANALYSE - ERP =&gt; SEGMENT'!$Q$15</f>
        <v>1</v>
      </c>
    </row>
    <row r="24" spans="1:20" ht="15" customHeight="1">
      <c r="A24" s="26">
        <v>21</v>
      </c>
      <c r="B24" s="26">
        <v>22</v>
      </c>
      <c r="C24" s="422">
        <f>'ANALYSE - ERP =&gt; SEGMENT'!$A$18</f>
        <v>12</v>
      </c>
      <c r="D24" s="500" t="s">
        <v>3662</v>
      </c>
      <c r="E24" s="500" t="s">
        <v>1337</v>
      </c>
      <c r="F24" s="500" t="s">
        <v>7997</v>
      </c>
      <c r="H24" s="787">
        <f>'ANALYSE - ERP =&gt; SEGMENT'!$JP$18</f>
        <v>0.11414473684210526</v>
      </c>
      <c r="I24" s="787">
        <f>'ANALYSE - ERP =&gt; SEGMENT'!$JQ$18</f>
        <v>0.47527105263157898</v>
      </c>
      <c r="J24" s="787">
        <f>'ANALYSE - ERP =&gt; SEGMENT'!$JR$18</f>
        <v>0.36880526315789475</v>
      </c>
      <c r="K24" s="787">
        <f>'ANALYSE - ERP =&gt; SEGMENT'!$JS$18</f>
        <v>4.1778947368421047E-2</v>
      </c>
      <c r="L24" s="787">
        <f>'ANALYSE - ERP =&gt; SEGMENT'!$JT$18</f>
        <v>0</v>
      </c>
      <c r="N24" s="787">
        <f>'ANALYSE - ERP =&gt; SEGMENT'!$JU$18</f>
        <v>6.7958817839840327E-2</v>
      </c>
      <c r="O24" s="787">
        <f>'ANALYSE - ERP =&gt; SEGMENT'!$JV$18</f>
        <v>0.48958587592328284</v>
      </c>
      <c r="P24" s="787">
        <f>'ANALYSE - ERP =&gt; SEGMENT'!$JW$18</f>
        <v>0.39059334241812504</v>
      </c>
      <c r="Q24" s="787">
        <f>'ANALYSE - ERP =&gt; SEGMENT'!$JX$18</f>
        <v>4.9398520537361122E-2</v>
      </c>
      <c r="R24" s="787">
        <f>'ANALYSE - ERP =&gt; SEGMENT'!$JY$18</f>
        <v>2.463443281390712E-3</v>
      </c>
      <c r="T24" s="430">
        <f>'ANALYSE - ERP =&gt; SEGMENT'!$Q$18</f>
        <v>1</v>
      </c>
    </row>
    <row r="25" spans="1:20" ht="15" customHeight="1">
      <c r="A25" s="26">
        <v>22</v>
      </c>
      <c r="B25" s="26">
        <v>20</v>
      </c>
      <c r="C25" s="422">
        <f>'ANALYSE - ERP =&gt; SEGMENT'!$A$29</f>
        <v>28</v>
      </c>
      <c r="D25" s="504" t="s">
        <v>2278</v>
      </c>
      <c r="E25" s="504" t="s">
        <v>1576</v>
      </c>
      <c r="F25" s="504" t="s">
        <v>1577</v>
      </c>
      <c r="H25" s="787">
        <f>'ANALYSE - ERP =&gt; SEGMENT'!$JP$29</f>
        <v>0.1066</v>
      </c>
      <c r="I25" s="787">
        <f>'ANALYSE - ERP =&gt; SEGMENT'!$JQ$29</f>
        <v>0.53920000000000001</v>
      </c>
      <c r="J25" s="787">
        <f>'ANALYSE - ERP =&gt; SEGMENT'!$JR$29</f>
        <v>0.32950000000000002</v>
      </c>
      <c r="K25" s="787">
        <f>'ANALYSE - ERP =&gt; SEGMENT'!$JS$29</f>
        <v>2.47E-2</v>
      </c>
      <c r="L25" s="787">
        <f>'ANALYSE - ERP =&gt; SEGMENT'!$JT$29</f>
        <v>0</v>
      </c>
      <c r="N25" s="787">
        <f>'ANALYSE - ERP =&gt; SEGMENT'!$JU$29</f>
        <v>9.0300000000000005E-2</v>
      </c>
      <c r="O25" s="787">
        <f>'ANALYSE - ERP =&gt; SEGMENT'!$JV$29</f>
        <v>0.51929999999999998</v>
      </c>
      <c r="P25" s="787">
        <f>'ANALYSE - ERP =&gt; SEGMENT'!$JW$29</f>
        <v>0.3458</v>
      </c>
      <c r="Q25" s="787">
        <f>'ANALYSE - ERP =&gt; SEGMENT'!$JX$29</f>
        <v>4.1000000000000002E-2</v>
      </c>
      <c r="R25" s="787">
        <f>'ANALYSE - ERP =&gt; SEGMENT'!$JY$29</f>
        <v>3.5999999999999999E-3</v>
      </c>
      <c r="T25" s="430">
        <f>'ANALYSE - ERP =&gt; SEGMENT'!$Q$29</f>
        <v>1</v>
      </c>
    </row>
    <row r="26" spans="1:20" ht="15" customHeight="1">
      <c r="A26" s="26">
        <v>23</v>
      </c>
      <c r="B26" s="26">
        <v>23</v>
      </c>
      <c r="C26" s="422">
        <f>'ANALYSE - ERP =&gt; SEGMENT'!$A$20</f>
        <v>16</v>
      </c>
      <c r="D26" s="492" t="s">
        <v>2187</v>
      </c>
      <c r="E26" s="492" t="s">
        <v>1435</v>
      </c>
      <c r="F26" s="492" t="s">
        <v>7999</v>
      </c>
      <c r="H26" s="787">
        <f>'ANALYSE - ERP =&gt; SEGMENT'!$JP$20</f>
        <v>1.12E-2</v>
      </c>
      <c r="I26" s="787">
        <f>'ANALYSE - ERP =&gt; SEGMENT'!$JQ$20</f>
        <v>0.29980000000000001</v>
      </c>
      <c r="J26" s="787">
        <f>'ANALYSE - ERP =&gt; SEGMENT'!$JR$20</f>
        <v>0.50990000000000002</v>
      </c>
      <c r="K26" s="787">
        <f>'ANALYSE - ERP =&gt; SEGMENT'!$JS$20</f>
        <v>0.16470000000000001</v>
      </c>
      <c r="L26" s="787">
        <f>'ANALYSE - ERP =&gt; SEGMENT'!$JT$20</f>
        <v>1.44E-2</v>
      </c>
      <c r="N26" s="787">
        <f>'ANALYSE - ERP =&gt; SEGMENT'!$JU$20</f>
        <v>0</v>
      </c>
      <c r="O26" s="787">
        <f>'ANALYSE - ERP =&gt; SEGMENT'!$JV$20</f>
        <v>0.2611</v>
      </c>
      <c r="P26" s="787">
        <f>'ANALYSE - ERP =&gt; SEGMENT'!$JW$20</f>
        <v>0.52900000000000014</v>
      </c>
      <c r="Q26" s="787">
        <f>'ANALYSE - ERP =&gt; SEGMENT'!$JX$20</f>
        <v>0.18959999999999999</v>
      </c>
      <c r="R26" s="787">
        <f>'ANALYSE - ERP =&gt; SEGMENT'!$JY$20</f>
        <v>2.0299999999999999E-2</v>
      </c>
      <c r="T26" s="430">
        <f>'ANALYSE - ERP =&gt; SEGMENT'!$Q$20</f>
        <v>1</v>
      </c>
    </row>
    <row r="27" spans="1:20" ht="15" customHeight="1">
      <c r="A27" s="26">
        <v>24</v>
      </c>
      <c r="B27" s="26">
        <v>21</v>
      </c>
      <c r="C27" s="422">
        <f>'ANALYSE - ERP =&gt; SEGMENT'!$A$10</f>
        <v>3</v>
      </c>
      <c r="D27" s="498" t="s">
        <v>6739</v>
      </c>
      <c r="E27" s="498" t="s">
        <v>1014</v>
      </c>
      <c r="F27" s="498" t="s">
        <v>8000</v>
      </c>
      <c r="H27" s="787">
        <f>'ANALYSE - ERP =&gt; SEGMENT'!$JP$10</f>
        <v>9.8705209274314951E-3</v>
      </c>
      <c r="I27" s="787">
        <f>'ANALYSE - ERP =&gt; SEGMENT'!$JQ$10</f>
        <v>0.2399809528589113</v>
      </c>
      <c r="J27" s="787">
        <f>'ANALYSE - ERP =&gt; SEGMENT'!$JR$10</f>
        <v>0.51525465555890126</v>
      </c>
      <c r="K27" s="787">
        <f>'ANALYSE - ERP =&gt; SEGMENT'!$JS$10</f>
        <v>0.21908642979022386</v>
      </c>
      <c r="L27" s="787">
        <f>'ANALYSE - ERP =&gt; SEGMENT'!$JT$10</f>
        <v>1.5807440864532105E-2</v>
      </c>
      <c r="N27" s="787">
        <f>'ANALYSE - ERP =&gt; SEGMENT'!$JU$10</f>
        <v>0</v>
      </c>
      <c r="O27" s="787">
        <f>'ANALYSE - ERP =&gt; SEGMENT'!$JV$10</f>
        <v>9.2550721888268919E-2</v>
      </c>
      <c r="P27" s="787">
        <f>'ANALYSE - ERP =&gt; SEGMENT'!$JW$10</f>
        <v>0.46824805194963354</v>
      </c>
      <c r="Q27" s="787">
        <f>'ANALYSE - ERP =&gt; SEGMENT'!$JX$10</f>
        <v>0.38464886628944256</v>
      </c>
      <c r="R27" s="787">
        <f>'ANALYSE - ERP =&gt; SEGMENT'!$JY$10</f>
        <v>5.4552359872654922E-2</v>
      </c>
      <c r="T27" s="430">
        <f>'ANALYSE - ERP =&gt; SEGMENT'!$Q$10</f>
        <v>1</v>
      </c>
    </row>
    <row r="28" spans="1:20" ht="15" customHeight="1">
      <c r="A28" s="26">
        <v>25</v>
      </c>
      <c r="B28" s="26">
        <v>25</v>
      </c>
      <c r="C28" s="422">
        <f>'ANALYSE - ERP =&gt; SEGMENT'!$A$38</f>
        <v>39</v>
      </c>
      <c r="D28" s="502" t="s">
        <v>2163</v>
      </c>
      <c r="E28" s="502" t="s">
        <v>2163</v>
      </c>
      <c r="F28" s="502" t="s">
        <v>2164</v>
      </c>
      <c r="H28" s="787">
        <f>'ANALYSE - ERP =&gt; SEGMENT'!$JP$38</f>
        <v>0.29273423597678916</v>
      </c>
      <c r="I28" s="787">
        <f>'ANALYSE - ERP =&gt; SEGMENT'!$JQ$38</f>
        <v>0.59624313346228242</v>
      </c>
      <c r="J28" s="787">
        <f>'ANALYSE - ERP =&gt; SEGMENT'!$JR$38</f>
        <v>0.11102263056092844</v>
      </c>
      <c r="K28" s="787">
        <f>'ANALYSE - ERP =&gt; SEGMENT'!$JS$38</f>
        <v>0</v>
      </c>
      <c r="L28" s="787">
        <f>'ANALYSE - ERP =&gt; SEGMENT'!$JT$38</f>
        <v>0</v>
      </c>
      <c r="N28" s="787">
        <f>'ANALYSE - ERP =&gt; SEGMENT'!$JU$38</f>
        <v>0.2662472448157035</v>
      </c>
      <c r="O28" s="787">
        <f>'ANALYSE - ERP =&gt; SEGMENT'!$JV$38</f>
        <v>0.57588680837035833</v>
      </c>
      <c r="P28" s="787">
        <f>'ANALYSE - ERP =&gt; SEGMENT'!$JW$38</f>
        <v>0.13359462472246741</v>
      </c>
      <c r="Q28" s="787">
        <f>'ANALYSE - ERP =&gt; SEGMENT'!$JX$38</f>
        <v>1.9840842662075323E-2</v>
      </c>
      <c r="R28" s="787">
        <f>'ANALYSE - ERP =&gt; SEGMENT'!$JY$38</f>
        <v>4.4304794293954595E-3</v>
      </c>
      <c r="T28" s="430">
        <f>'ANALYSE - ERP =&gt; SEGMENT'!$Q$38</f>
        <v>1</v>
      </c>
    </row>
    <row r="29" spans="1:20" ht="15" customHeight="1">
      <c r="A29" s="26">
        <v>26</v>
      </c>
      <c r="B29" s="26">
        <v>26</v>
      </c>
      <c r="C29" s="422">
        <f>'ANALYSE - ERP =&gt; SEGMENT'!$A$17</f>
        <v>11</v>
      </c>
      <c r="D29" s="500" t="s">
        <v>3662</v>
      </c>
      <c r="E29" s="500" t="s">
        <v>1240</v>
      </c>
      <c r="F29" s="500" t="s">
        <v>8001</v>
      </c>
      <c r="H29" s="787">
        <f>'ANALYSE - ERP =&gt; SEGMENT'!$JP$17</f>
        <v>0</v>
      </c>
      <c r="I29" s="787">
        <f>'ANALYSE - ERP =&gt; SEGMENT'!$JQ$17</f>
        <v>0.17516134969325153</v>
      </c>
      <c r="J29" s="787">
        <f>'ANALYSE - ERP =&gt; SEGMENT'!$JR$17</f>
        <v>0.5044349693251533</v>
      </c>
      <c r="K29" s="787">
        <f>'ANALYSE - ERP =&gt; SEGMENT'!$JS$17</f>
        <v>0.28910913428766188</v>
      </c>
      <c r="L29" s="787">
        <f>'ANALYSE - ERP =&gt; SEGMENT'!$JT$17</f>
        <v>3.1294546693933195E-2</v>
      </c>
      <c r="N29" s="787">
        <f>'ANALYSE - ERP =&gt; SEGMENT'!$JU$17</f>
        <v>0</v>
      </c>
      <c r="O29" s="787">
        <f>'ANALYSE - ERP =&gt; SEGMENT'!$JV$17</f>
        <v>8.0775424527808379E-2</v>
      </c>
      <c r="P29" s="787">
        <f>'ANALYSE - ERP =&gt; SEGMENT'!$JW$17</f>
        <v>0.43652335134577758</v>
      </c>
      <c r="Q29" s="787">
        <f>'ANALYSE - ERP =&gt; SEGMENT'!$JX$17</f>
        <v>0.40771151767794894</v>
      </c>
      <c r="R29" s="787">
        <f>'ANALYSE - ERP =&gt; SEGMENT'!$JY$17</f>
        <v>7.4989706448465102E-2</v>
      </c>
      <c r="T29" s="430">
        <f>'ANALYSE - ERP =&gt; SEGMENT'!$Q$17</f>
        <v>1</v>
      </c>
    </row>
    <row r="30" spans="1:20" ht="15" customHeight="1">
      <c r="A30" s="26">
        <v>27</v>
      </c>
      <c r="B30" s="26">
        <v>27</v>
      </c>
      <c r="C30" s="422">
        <f>'ANALYSE - ERP =&gt; SEGMENT'!$A$33</f>
        <v>33</v>
      </c>
      <c r="D30" s="508" t="s">
        <v>2285</v>
      </c>
      <c r="E30" s="508" t="s">
        <v>7336</v>
      </c>
      <c r="F30" s="508" t="s">
        <v>7337</v>
      </c>
      <c r="H30" s="787">
        <f>'ANALYSE - ERP =&gt; SEGMENT'!$JP$33</f>
        <v>0</v>
      </c>
      <c r="I30" s="787">
        <f>'ANALYSE - ERP =&gt; SEGMENT'!$JQ$33</f>
        <v>0</v>
      </c>
      <c r="J30" s="787">
        <f>'ANALYSE - ERP =&gt; SEGMENT'!$JR$33</f>
        <v>0</v>
      </c>
      <c r="K30" s="787">
        <f>'ANALYSE - ERP =&gt; SEGMENT'!$JS$33</f>
        <v>0</v>
      </c>
      <c r="L30" s="787">
        <f>'ANALYSE - ERP =&gt; SEGMENT'!$JT$33</f>
        <v>0</v>
      </c>
      <c r="N30" s="787">
        <f>'ANALYSE - ERP =&gt; SEGMENT'!$JU$33</f>
        <v>0</v>
      </c>
      <c r="O30" s="787">
        <f>'ANALYSE - ERP =&gt; SEGMENT'!$JV$33</f>
        <v>0</v>
      </c>
      <c r="P30" s="787">
        <f>'ANALYSE - ERP =&gt; SEGMENT'!$JW$33</f>
        <v>0</v>
      </c>
      <c r="Q30" s="787">
        <f>'ANALYSE - ERP =&gt; SEGMENT'!$JX$33</f>
        <v>0</v>
      </c>
      <c r="R30" s="787">
        <f>'ANALYSE - ERP =&gt; SEGMENT'!$JY$33</f>
        <v>0</v>
      </c>
      <c r="T30" s="430">
        <f>'ANALYSE - ERP =&gt; SEGMENT'!$Q$33</f>
        <v>0</v>
      </c>
    </row>
    <row r="31" spans="1:20" ht="15" customHeight="1">
      <c r="A31" s="26">
        <v>28</v>
      </c>
      <c r="B31" s="26">
        <v>29</v>
      </c>
      <c r="C31" s="422">
        <f>'ANALYSE - ERP =&gt; SEGMENT'!$A$35</f>
        <v>36</v>
      </c>
      <c r="D31" s="510" t="s">
        <v>4908</v>
      </c>
      <c r="E31" s="510" t="s">
        <v>1985</v>
      </c>
      <c r="F31" s="510" t="s">
        <v>8002</v>
      </c>
      <c r="H31" s="787">
        <f>'ANALYSE - ERP =&gt; SEGMENT'!$JP$35</f>
        <v>4.8142384105960258E-2</v>
      </c>
      <c r="I31" s="787">
        <f>'ANALYSE - ERP =&gt; SEGMENT'!$JQ$35</f>
        <v>0.4926516556291391</v>
      </c>
      <c r="J31" s="787">
        <f>'ANALYSE - ERP =&gt; SEGMENT'!$JR$35</f>
        <v>0.40824503311258281</v>
      </c>
      <c r="K31" s="787">
        <f>'ANALYSE - ERP =&gt; SEGMENT'!$JS$35</f>
        <v>5.0454304635761595E-2</v>
      </c>
      <c r="L31" s="787">
        <f>'ANALYSE - ERP =&gt; SEGMENT'!$JT$35</f>
        <v>5.0662251655629131E-4</v>
      </c>
      <c r="N31" s="787">
        <f>'ANALYSE - ERP =&gt; SEGMENT'!$JU$35</f>
        <v>1.8229564135276519E-2</v>
      </c>
      <c r="O31" s="787">
        <f>'ANALYSE - ERP =&gt; SEGMENT'!$JV$35</f>
        <v>0.35730017940468994</v>
      </c>
      <c r="P31" s="787">
        <f>'ANALYSE - ERP =&gt; SEGMENT'!$JW$35</f>
        <v>0.5231026540334941</v>
      </c>
      <c r="Q31" s="787">
        <f>'ANALYSE - ERP =&gt; SEGMENT'!$JX$35</f>
        <v>9.9272297319016226E-2</v>
      </c>
      <c r="R31" s="787">
        <f>'ANALYSE - ERP =&gt; SEGMENT'!$JY$35</f>
        <v>2.0953051075232642E-3</v>
      </c>
      <c r="T31" s="430">
        <f>'ANALYSE - ERP =&gt; SEGMENT'!$Q$35</f>
        <v>1</v>
      </c>
    </row>
    <row r="32" spans="1:20" ht="15" customHeight="1">
      <c r="A32" s="26">
        <v>29</v>
      </c>
      <c r="B32" s="26">
        <v>28</v>
      </c>
      <c r="C32" s="422">
        <f>'ANALYSE - ERP =&gt; SEGMENT'!$A$37</f>
        <v>38</v>
      </c>
      <c r="D32" s="510" t="s">
        <v>4908</v>
      </c>
      <c r="E32" s="510" t="s">
        <v>2027</v>
      </c>
      <c r="F32" s="510" t="s">
        <v>8003</v>
      </c>
      <c r="H32" s="787">
        <f>'ANALYSE - ERP =&gt; SEGMENT'!$JP$37</f>
        <v>7.5121059641852905E-3</v>
      </c>
      <c r="I32" s="787">
        <f>'ANALYSE - ERP =&gt; SEGMENT'!$JQ$37</f>
        <v>0.31867868876720434</v>
      </c>
      <c r="J32" s="787">
        <f>'ANALYSE - ERP =&gt; SEGMENT'!$JR$37</f>
        <v>0.52972834097972477</v>
      </c>
      <c r="K32" s="787">
        <f>'ANALYSE - ERP =&gt; SEGMENT'!$JS$37</f>
        <v>0.14033690987124464</v>
      </c>
      <c r="L32" s="787">
        <f>'ANALYSE - ERP =&gt; SEGMENT'!$JT$37</f>
        <v>3.7439544176409646E-3</v>
      </c>
      <c r="N32" s="787">
        <f>'ANALYSE - ERP =&gt; SEGMENT'!$JU$37</f>
        <v>0</v>
      </c>
      <c r="O32" s="787">
        <f>'ANALYSE - ERP =&gt; SEGMENT'!$JV$37</f>
        <v>0.2053067075940688</v>
      </c>
      <c r="P32" s="787">
        <f>'ANALYSE - ERP =&gt; SEGMENT'!$JW$37</f>
        <v>0.56014594250031036</v>
      </c>
      <c r="Q32" s="787">
        <f>'ANALYSE - ERP =&gt; SEGMENT'!$JX$37</f>
        <v>0.22390855469686258</v>
      </c>
      <c r="R32" s="787">
        <f>'ANALYSE - ERP =&gt; SEGMENT'!$JY$37</f>
        <v>1.0638795208758149E-2</v>
      </c>
      <c r="T32" s="430">
        <f>'ANALYSE - ERP =&gt; SEGMENT'!$Q$37</f>
        <v>1</v>
      </c>
    </row>
    <row r="33" spans="1:20" ht="15" customHeight="1">
      <c r="A33" s="26">
        <v>30</v>
      </c>
      <c r="B33" s="26">
        <v>30</v>
      </c>
      <c r="C33" s="422">
        <f>'ANALYSE - ERP =&gt; SEGMENT'!$A$34</f>
        <v>35</v>
      </c>
      <c r="D33" s="510" t="s">
        <v>4908</v>
      </c>
      <c r="E33" s="510" t="s">
        <v>1950</v>
      </c>
      <c r="F33" s="510" t="s">
        <v>8005</v>
      </c>
      <c r="H33" s="787">
        <f>'ANALYSE - ERP =&gt; SEGMENT'!$JP$34</f>
        <v>9.6193282955499573E-2</v>
      </c>
      <c r="I33" s="787">
        <f>'ANALYSE - ERP =&gt; SEGMENT'!$JQ$34</f>
        <v>0.60702241813602009</v>
      </c>
      <c r="J33" s="787">
        <f>'ANALYSE - ERP =&gt; SEGMENT'!$JR$34</f>
        <v>0.29678429890848029</v>
      </c>
      <c r="K33" s="787">
        <f>'ANALYSE - ERP =&gt; SEGMENT'!$JS$34</f>
        <v>0</v>
      </c>
      <c r="L33" s="787">
        <f>'ANALYSE - ERP =&gt; SEGMENT'!$JT$34</f>
        <v>0</v>
      </c>
      <c r="N33" s="787">
        <f>'ANALYSE - ERP =&gt; SEGMENT'!$JU$34</f>
        <v>5.1261748064559506E-2</v>
      </c>
      <c r="O33" s="787">
        <f>'ANALYSE - ERP =&gt; SEGMENT'!$JV$34</f>
        <v>0.53170771784084714</v>
      </c>
      <c r="P33" s="787">
        <f>'ANALYSE - ERP =&gt; SEGMENT'!$JW$34</f>
        <v>0.41694250515985676</v>
      </c>
      <c r="Q33" s="787">
        <f>'ANALYSE - ERP =&gt; SEGMENT'!$JX$34</f>
        <v>8.8028934736708939E-5</v>
      </c>
      <c r="R33" s="787">
        <f>'ANALYSE - ERP =&gt; SEGMENT'!$JY$34</f>
        <v>0</v>
      </c>
      <c r="T33" s="430">
        <f>'ANALYSE - ERP =&gt; SEGMENT'!$Q$34</f>
        <v>1</v>
      </c>
    </row>
    <row r="34" spans="1:20" ht="15" customHeight="1">
      <c r="A34" s="26">
        <v>31</v>
      </c>
      <c r="B34" s="26">
        <v>31</v>
      </c>
      <c r="C34" s="422">
        <f>'ANALYSE - ERP =&gt; SEGMENT'!$A$25</f>
        <v>22</v>
      </c>
      <c r="D34" s="506" t="s">
        <v>7117</v>
      </c>
      <c r="E34" s="506" t="s">
        <v>1487</v>
      </c>
      <c r="F34" s="506" t="s">
        <v>8004</v>
      </c>
      <c r="H34" s="787">
        <f>'ANALYSE - ERP =&gt; SEGMENT'!$JP$25</f>
        <v>7.5112499999999999E-2</v>
      </c>
      <c r="I34" s="787">
        <f>'ANALYSE - ERP =&gt; SEGMENT'!$JQ$25</f>
        <v>0.24318749999999997</v>
      </c>
      <c r="J34" s="787">
        <f>'ANALYSE - ERP =&gt; SEGMENT'!$JR$25</f>
        <v>0.23351250000000001</v>
      </c>
      <c r="K34" s="787">
        <f>'ANALYSE - ERP =&gt; SEGMENT'!$JS$25</f>
        <v>0.33568750000000003</v>
      </c>
      <c r="L34" s="787">
        <f>'ANALYSE - ERP =&gt; SEGMENT'!$JT$25</f>
        <v>0.1125</v>
      </c>
      <c r="N34" s="787">
        <f>'ANALYSE - ERP =&gt; SEGMENT'!$JU$25</f>
        <v>4.54694552455513E-2</v>
      </c>
      <c r="O34" s="787">
        <f>'ANALYSE - ERP =&gt; SEGMENT'!$JV$25</f>
        <v>0.23222565348997376</v>
      </c>
      <c r="P34" s="787">
        <f>'ANALYSE - ERP =&gt; SEGMENT'!$JW$25</f>
        <v>0.21833824558206461</v>
      </c>
      <c r="Q34" s="787">
        <f>'ANALYSE - ERP =&gt; SEGMENT'!$JX$25</f>
        <v>0.34706544839647935</v>
      </c>
      <c r="R34" s="787">
        <f>'ANALYSE - ERP =&gt; SEGMENT'!$JY$25</f>
        <v>0.15690119728593099</v>
      </c>
      <c r="T34" s="430">
        <f>'ANALYSE - ERP =&gt; SEGMENT'!$Q$25</f>
        <v>1</v>
      </c>
    </row>
  </sheetData>
  <pageMargins left="3.937007874015748E-2" right="3.937007874015748E-2" top="7.874015748031496E-2" bottom="7.874015748031496E-2" header="0.11811023622047249" footer="0.11811023622047249"/>
  <pageSetup paperSize="8" scale="87" fitToHeight="2"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theme="5" tint="0.39997558519241921"/>
    <pageSetUpPr fitToPage="1"/>
  </sheetPr>
  <dimension ref="A1:BZ34"/>
  <sheetViews>
    <sheetView zoomScale="85" zoomScaleNormal="85" workbookViewId="0">
      <selection activeCell="F36" sqref="F36"/>
    </sheetView>
  </sheetViews>
  <sheetFormatPr baseColWidth="10" defaultColWidth="9.140625" defaultRowHeight="15"/>
  <cols>
    <col min="1" max="2" width="9" style="934" customWidth="1"/>
    <col min="3" max="3" width="6" style="934" customWidth="1"/>
    <col min="4" max="4" width="30.5703125" style="934" customWidth="1"/>
    <col min="5" max="5" width="27.7109375" style="43" customWidth="1"/>
    <col min="6" max="6" width="52.85546875" style="43" customWidth="1"/>
    <col min="7" max="7" width="1.7109375" style="933" customWidth="1"/>
    <col min="8" max="8" width="9.28515625" style="43" customWidth="1"/>
    <col min="9" max="12" width="9.28515625" style="934" customWidth="1"/>
    <col min="13" max="13" width="1.7109375" style="933" customWidth="1"/>
    <col min="14" max="18" width="9.2851562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7980</v>
      </c>
      <c r="F1" s="479"/>
      <c r="H1" s="474"/>
      <c r="I1" s="474"/>
      <c r="J1" s="475" t="s">
        <v>7971</v>
      </c>
      <c r="K1" s="474"/>
      <c r="L1" s="474"/>
      <c r="N1" s="452"/>
      <c r="O1" s="452"/>
      <c r="P1" s="476" t="s">
        <v>7972</v>
      </c>
      <c r="Q1" s="452"/>
      <c r="R1" s="452"/>
      <c r="T1" s="452"/>
    </row>
    <row r="2" spans="1:20"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520" t="s">
        <v>6739</v>
      </c>
      <c r="E3" s="520" t="s">
        <v>2104</v>
      </c>
      <c r="F3" s="520" t="s">
        <v>671</v>
      </c>
      <c r="H3" s="426">
        <f>SUMPRODUCT(($T$4:$T$106),('ANALYSE - ERP =&gt; SEGMENT'!$BF$8:$BF$110),('ANALYSE - ERP =&gt; SEGMENT'!$JP$8:$JP$110))</f>
        <v>266876.16069999995</v>
      </c>
      <c r="I3" s="426">
        <f>SUMPRODUCT(($T$4:$T$106),('ANALYSE - ERP =&gt; SEGMENT'!$BF$8:$BF$110),('ANALYSE - ERP =&gt; SEGMENT'!$JQ$8:$JQ$110))</f>
        <v>1875827.2205999999</v>
      </c>
      <c r="J3" s="426">
        <f>SUMPRODUCT(($T$4:$T$106),('ANALYSE - ERP =&gt; SEGMENT'!$BF$8:$BF$110),('ANALYSE - ERP =&gt; SEGMENT'!$JR$8:$JR$110))</f>
        <v>2029889.1143499997</v>
      </c>
      <c r="K3" s="426">
        <f>SUMPRODUCT(($T$4:$T$106),('ANALYSE - ERP =&gt; SEGMENT'!$BF$8:$BF$110),('ANALYSE - ERP =&gt; SEGMENT'!$JS$8:$JS$110))</f>
        <v>532922.52755</v>
      </c>
      <c r="L3" s="426">
        <f>SUMPRODUCT(($T$4:$T$106),('ANALYSE - ERP =&gt; SEGMENT'!$BF$8:$BF$110),('ANALYSE - ERP =&gt; SEGMENT'!$JT$8:$JT$110))</f>
        <v>27557.574800000002</v>
      </c>
      <c r="N3" s="426">
        <f>SUMPRODUCT(($T$4:$T$106),('ANALYSE - ERP =&gt; SEGMENT'!$FG$8:$FG$110),('ANALYSE - ERP =&gt; SEGMENT'!$JU$8:$JU$110))</f>
        <v>52251.836278592826</v>
      </c>
      <c r="O3" s="426">
        <f>SUMPRODUCT(($T$4:$T$106),('ANALYSE - ERP =&gt; SEGMENT'!$FG$8:$FG$110),('ANALYSE - ERP =&gt; SEGMENT'!$JV$8:$JV$110))</f>
        <v>590381.56617064262</v>
      </c>
      <c r="P3" s="426">
        <f>SUMPRODUCT(($T$4:$T$106),('ANALYSE - ERP =&gt; SEGMENT'!$FG$8:$FG$110),('ANALYSE - ERP =&gt; SEGMENT'!$JW$8:$JW$110))</f>
        <v>880879.32590465888</v>
      </c>
      <c r="Q3" s="426">
        <f>SUMPRODUCT(($T$4:$T$106),('ANALYSE - ERP =&gt; SEGMENT'!$FG$8:$FG$110),('ANALYSE - ERP =&gt; SEGMENT'!$JX$8:$JX$110))</f>
        <v>319971.834718692</v>
      </c>
      <c r="R3" s="426">
        <f>SUMPRODUCT(($T$4:$T$106),('ANALYSE - ERP =&gt; SEGMENT'!$FG$8:$FG$110),('ANALYSE - ERP =&gt; SEGMENT'!$JY$8:$JY$110))</f>
        <v>29608.974552971518</v>
      </c>
      <c r="T3" s="428">
        <f>SUM('ANALYSE - ERP =&gt; SEGMENT'!$Q$8:$Q$110)</f>
        <v>34</v>
      </c>
    </row>
    <row r="4" spans="1:20" ht="15" customHeight="1">
      <c r="A4" s="26">
        <v>1</v>
      </c>
      <c r="B4" s="26">
        <v>1</v>
      </c>
      <c r="C4" s="422">
        <f>'ANALYSE - ERP =&gt; SEGMENT'!$A$19</f>
        <v>15</v>
      </c>
      <c r="D4" s="492" t="s">
        <v>2187</v>
      </c>
      <c r="E4" s="492" t="s">
        <v>3877</v>
      </c>
      <c r="F4" s="492" t="s">
        <v>7981</v>
      </c>
      <c r="H4" s="458">
        <f>'ANALYSE - ERP =&gt; SEGMENT'!$BF$19*'ANALYSE - ERP =&gt; SEGMENT'!$JP$19</f>
        <v>15715.085999999999</v>
      </c>
      <c r="I4" s="458">
        <f>'ANALYSE - ERP =&gt; SEGMENT'!$BF$19*'ANALYSE - ERP =&gt; SEGMENT'!$JQ$19</f>
        <v>216502.78200000001</v>
      </c>
      <c r="J4" s="458">
        <f>'ANALYSE - ERP =&gt; SEGMENT'!$BF$19*'ANALYSE - ERP =&gt; SEGMENT'!$JR$19</f>
        <v>257558.96999999997</v>
      </c>
      <c r="K4" s="458">
        <f>'ANALYSE - ERP =&gt; SEGMENT'!$BF$19*'ANALYSE - ERP =&gt; SEGMENT'!$JS$19</f>
        <v>73257.228000000003</v>
      </c>
      <c r="L4" s="458">
        <f>'ANALYSE - ERP =&gt; SEGMENT'!$BF$19*'ANALYSE - ERP =&gt; SEGMENT'!$JT$19</f>
        <v>14105.933999999999</v>
      </c>
      <c r="N4" s="458">
        <f>'ANALYSE - ERP =&gt; SEGMENT'!$FG$19*'ANALYSE - ERP =&gt; SEGMENT'!$JU$19</f>
        <v>799.7978942180041</v>
      </c>
      <c r="O4" s="458">
        <f>'ANALYSE - ERP =&gt; SEGMENT'!$FG$19*'ANALYSE - ERP =&gt; SEGMENT'!$JV$19</f>
        <v>78663.244036358199</v>
      </c>
      <c r="P4" s="458">
        <f>'ANALYSE - ERP =&gt; SEGMENT'!$FG$19*'ANALYSE - ERP =&gt; SEGMENT'!$JW$19</f>
        <v>139424.16661562936</v>
      </c>
      <c r="Q4" s="458">
        <f>'ANALYSE - ERP =&gt; SEGMENT'!$FG$19*'ANALYSE - ERP =&gt; SEGMENT'!$JX$19</f>
        <v>45486.104937289128</v>
      </c>
      <c r="R4" s="458">
        <f>'ANALYSE - ERP =&gt; SEGMENT'!$FG$19*'ANALYSE - ERP =&gt; SEGMENT'!$JY$19</f>
        <v>8381.0167920128679</v>
      </c>
      <c r="T4" s="430">
        <f>'ANALYSE - ERP =&gt; SEGMENT'!$Q$19</f>
        <v>1</v>
      </c>
    </row>
    <row r="5" spans="1:20" ht="15" customHeight="1">
      <c r="A5" s="26">
        <v>2</v>
      </c>
      <c r="B5" s="26">
        <v>3</v>
      </c>
      <c r="C5" s="422">
        <f>'ANALYSE - ERP =&gt; SEGMENT'!$A$14</f>
        <v>7</v>
      </c>
      <c r="D5" s="494" t="s">
        <v>2241</v>
      </c>
      <c r="E5" s="494" t="s">
        <v>1032</v>
      </c>
      <c r="F5" s="494" t="s">
        <v>7982</v>
      </c>
      <c r="H5" s="458">
        <f>'ANALYSE - ERP =&gt; SEGMENT'!$BF$14*'ANALYSE - ERP =&gt; SEGMENT'!$JP$14</f>
        <v>4.5731999999999999</v>
      </c>
      <c r="I5" s="458">
        <f>'ANALYSE - ERP =&gt; SEGMENT'!$BF$14*'ANALYSE - ERP =&gt; SEGMENT'!$JQ$14</f>
        <v>82285.404999999999</v>
      </c>
      <c r="J5" s="458">
        <f>'ANALYSE - ERP =&gt; SEGMENT'!$BF$14*'ANALYSE - ERP =&gt; SEGMENT'!$JR$14</f>
        <v>349843.80559999996</v>
      </c>
      <c r="K5" s="458">
        <f>'ANALYSE - ERP =&gt; SEGMENT'!$BF$14*'ANALYSE - ERP =&gt; SEGMENT'!$JS$14</f>
        <v>212278.005</v>
      </c>
      <c r="L5" s="458">
        <f>'ANALYSE - ERP =&gt; SEGMENT'!$BF$14*'ANALYSE - ERP =&gt; SEGMENT'!$JT$14</f>
        <v>1424.2112</v>
      </c>
      <c r="N5" s="458">
        <f>'ANALYSE - ERP =&gt; SEGMENT'!$FG$14*'ANALYSE - ERP =&gt; SEGMENT'!$JU$14</f>
        <v>0</v>
      </c>
      <c r="O5" s="458">
        <f>'ANALYSE - ERP =&gt; SEGMENT'!$FG$14*'ANALYSE - ERP =&gt; SEGMENT'!$JV$14</f>
        <v>16489.010154901316</v>
      </c>
      <c r="P5" s="458">
        <f>'ANALYSE - ERP =&gt; SEGMENT'!$FG$14*'ANALYSE - ERP =&gt; SEGMENT'!$JW$14</f>
        <v>124771.69308531904</v>
      </c>
      <c r="Q5" s="458">
        <f>'ANALYSE - ERP =&gt; SEGMENT'!$FG$14*'ANALYSE - ERP =&gt; SEGMENT'!$JX$14</f>
        <v>111404.34628399787</v>
      </c>
      <c r="R5" s="458">
        <f>'ANALYSE - ERP =&gt; SEGMENT'!$FG$14*'ANALYSE - ERP =&gt; SEGMENT'!$JY$14</f>
        <v>6837.279243127894</v>
      </c>
      <c r="T5" s="430">
        <f>'ANALYSE - ERP =&gt; SEGMENT'!$Q$14</f>
        <v>1</v>
      </c>
    </row>
    <row r="6" spans="1:20" ht="15" customHeight="1">
      <c r="A6" s="26">
        <v>3</v>
      </c>
      <c r="B6" s="26">
        <v>2</v>
      </c>
      <c r="C6" s="422">
        <f>'ANALYSE - ERP =&gt; SEGMENT'!$A$9</f>
        <v>2</v>
      </c>
      <c r="D6" s="498" t="s">
        <v>6739</v>
      </c>
      <c r="E6" s="498" t="s">
        <v>2678</v>
      </c>
      <c r="F6" s="498" t="s">
        <v>7984</v>
      </c>
      <c r="H6" s="458">
        <f>'ANALYSE - ERP =&gt; SEGMENT'!$BF$9*'ANALYSE - ERP =&gt; SEGMENT'!$JP$9</f>
        <v>89596.925199999998</v>
      </c>
      <c r="I6" s="458">
        <f>'ANALYSE - ERP =&gt; SEGMENT'!$BF$9*'ANALYSE - ERP =&gt; SEGMENT'!$JQ$9</f>
        <v>464836.60899999994</v>
      </c>
      <c r="J6" s="458">
        <f>'ANALYSE - ERP =&gt; SEGMENT'!$BF$9*'ANALYSE - ERP =&gt; SEGMENT'!$JR$9</f>
        <v>284483.75870000001</v>
      </c>
      <c r="K6" s="458">
        <f>'ANALYSE - ERP =&gt; SEGMENT'!$BF$9*'ANALYSE - ERP =&gt; SEGMENT'!$JS$9</f>
        <v>23622.590000000004</v>
      </c>
      <c r="L6" s="458">
        <f>'ANALYSE - ERP =&gt; SEGMENT'!$BF$9*'ANALYSE - ERP =&gt; SEGMENT'!$JT$9</f>
        <v>443.11710000000005</v>
      </c>
      <c r="N6" s="458">
        <f>'ANALYSE - ERP =&gt; SEGMENT'!$FG$9*'ANALYSE - ERP =&gt; SEGMENT'!$JU$9</f>
        <v>9628.0000302768221</v>
      </c>
      <c r="O6" s="458">
        <f>'ANALYSE - ERP =&gt; SEGMENT'!$FG$9*'ANALYSE - ERP =&gt; SEGMENT'!$JV$9</f>
        <v>98457.477178488843</v>
      </c>
      <c r="P6" s="458">
        <f>'ANALYSE - ERP =&gt; SEGMENT'!$FG$9*'ANALYSE - ERP =&gt; SEGMENT'!$JW$9</f>
        <v>117669.15454015949</v>
      </c>
      <c r="Q6" s="458">
        <f>'ANALYSE - ERP =&gt; SEGMENT'!$FG$9*'ANALYSE - ERP =&gt; SEGMENT'!$JX$9</f>
        <v>17699.680437245177</v>
      </c>
      <c r="R6" s="458">
        <f>'ANALYSE - ERP =&gt; SEGMENT'!$FG$9*'ANALYSE - ERP =&gt; SEGMENT'!$JY$9</f>
        <v>479.69106197367785</v>
      </c>
      <c r="T6" s="430">
        <f>'ANALYSE - ERP =&gt; SEGMENT'!$Q$9</f>
        <v>1</v>
      </c>
    </row>
    <row r="7" spans="1:20" ht="15" customHeight="1">
      <c r="A7" s="26">
        <v>4</v>
      </c>
      <c r="B7" s="26">
        <v>4</v>
      </c>
      <c r="C7" s="422">
        <f>'ANALYSE - ERP =&gt; SEGMENT'!$A$16</f>
        <v>10</v>
      </c>
      <c r="D7" s="500" t="s">
        <v>3662</v>
      </c>
      <c r="E7" s="500" t="s">
        <v>1114</v>
      </c>
      <c r="F7" s="500" t="s">
        <v>7985</v>
      </c>
      <c r="H7" s="458">
        <f>'ANALYSE - ERP =&gt; SEGMENT'!$BF$16*'ANALYSE - ERP =&gt; SEGMENT'!$JP$16</f>
        <v>8834.4886999999981</v>
      </c>
      <c r="I7" s="458">
        <f>'ANALYSE - ERP =&gt; SEGMENT'!$BF$16*'ANALYSE - ERP =&gt; SEGMENT'!$JQ$16</f>
        <v>116905.49170000001</v>
      </c>
      <c r="J7" s="458">
        <f>'ANALYSE - ERP =&gt; SEGMENT'!$BF$16*'ANALYSE - ERP =&gt; SEGMENT'!$JR$16</f>
        <v>158411.54074999999</v>
      </c>
      <c r="K7" s="458">
        <f>'ANALYSE - ERP =&gt; SEGMENT'!$BF$16*'ANALYSE - ERP =&gt; SEGMENT'!$JS$16</f>
        <v>35649.352549999996</v>
      </c>
      <c r="L7" s="458">
        <f>'ANALYSE - ERP =&gt; SEGMENT'!$BF$16*'ANALYSE - ERP =&gt; SEGMENT'!$JT$16</f>
        <v>1529.6263000000004</v>
      </c>
      <c r="N7" s="458">
        <f>'ANALYSE - ERP =&gt; SEGMENT'!$FG$16*'ANALYSE - ERP =&gt; SEGMENT'!$JU$16</f>
        <v>1109.4646584615953</v>
      </c>
      <c r="O7" s="458">
        <f>'ANALYSE - ERP =&gt; SEGMENT'!$FG$16*'ANALYSE - ERP =&gt; SEGMENT'!$JV$16</f>
        <v>37754.690834635912</v>
      </c>
      <c r="P7" s="458">
        <f>'ANALYSE - ERP =&gt; SEGMENT'!$FG$16*'ANALYSE - ERP =&gt; SEGMENT'!$JW$16</f>
        <v>64367.420644602716</v>
      </c>
      <c r="Q7" s="458">
        <f>'ANALYSE - ERP =&gt; SEGMENT'!$FG$16*'ANALYSE - ERP =&gt; SEGMENT'!$JX$16</f>
        <v>21004.677831535111</v>
      </c>
      <c r="R7" s="458">
        <f>'ANALYSE - ERP =&gt; SEGMENT'!$FG$16*'ANALYSE - ERP =&gt; SEGMENT'!$JY$16</f>
        <v>1864.615102369791</v>
      </c>
      <c r="T7" s="430">
        <f>'ANALYSE - ERP =&gt; SEGMENT'!$Q$16</f>
        <v>1</v>
      </c>
    </row>
    <row r="8" spans="1:20" ht="15" customHeight="1">
      <c r="A8" s="26">
        <v>5</v>
      </c>
      <c r="B8" s="26">
        <v>5</v>
      </c>
      <c r="C8" s="422">
        <f>'ANALYSE - ERP =&gt; SEGMENT'!$A$22</f>
        <v>18</v>
      </c>
      <c r="D8" s="502" t="s">
        <v>2264</v>
      </c>
      <c r="E8" s="502" t="s">
        <v>4024</v>
      </c>
      <c r="F8" s="502" t="s">
        <v>679</v>
      </c>
      <c r="H8" s="458">
        <f>'ANALYSE - ERP =&gt; SEGMENT'!$BF$22*'ANALYSE - ERP =&gt; SEGMENT'!$JP$22</f>
        <v>14656.96</v>
      </c>
      <c r="I8" s="458">
        <f>'ANALYSE - ERP =&gt; SEGMENT'!$BF$22*'ANALYSE - ERP =&gt; SEGMENT'!$JQ$22</f>
        <v>186494.07999999999</v>
      </c>
      <c r="J8" s="458">
        <f>'ANALYSE - ERP =&gt; SEGMENT'!$BF$22*'ANALYSE - ERP =&gt; SEGMENT'!$JR$22</f>
        <v>222012.48</v>
      </c>
      <c r="K8" s="458">
        <f>'ANALYSE - ERP =&gt; SEGMENT'!$BF$22*'ANALYSE - ERP =&gt; SEGMENT'!$JS$22</f>
        <v>26436.48</v>
      </c>
      <c r="L8" s="458">
        <f>'ANALYSE - ERP =&gt; SEGMENT'!$BF$22*'ANALYSE - ERP =&gt; SEGMENT'!$JT$22</f>
        <v>0</v>
      </c>
      <c r="N8" s="458">
        <f>'ANALYSE - ERP =&gt; SEGMENT'!$FG$22*'ANALYSE - ERP =&gt; SEGMENT'!$JU$22</f>
        <v>1447.6609602742853</v>
      </c>
      <c r="O8" s="458">
        <f>'ANALYSE - ERP =&gt; SEGMENT'!$FG$22*'ANALYSE - ERP =&gt; SEGMENT'!$JV$22</f>
        <v>53953.210404068566</v>
      </c>
      <c r="P8" s="458">
        <f>'ANALYSE - ERP =&gt; SEGMENT'!$FG$22*'ANALYSE - ERP =&gt; SEGMENT'!$JW$22</f>
        <v>71826.255336685703</v>
      </c>
      <c r="Q8" s="458">
        <f>'ANALYSE - ERP =&gt; SEGMENT'!$FG$22*'ANALYSE - ERP =&gt; SEGMENT'!$JX$22</f>
        <v>11275.051709828571</v>
      </c>
      <c r="R8" s="458">
        <f>'ANALYSE - ERP =&gt; SEGMENT'!$FG$22*'ANALYSE - ERP =&gt; SEGMENT'!$JY$22</f>
        <v>695.99084628571427</v>
      </c>
      <c r="T8" s="430">
        <f>'ANALYSE - ERP =&gt; SEGMENT'!$Q$22</f>
        <v>1</v>
      </c>
    </row>
    <row r="9" spans="1:20" ht="15" customHeight="1">
      <c r="A9" s="26">
        <v>6</v>
      </c>
      <c r="B9" s="26">
        <v>6</v>
      </c>
      <c r="C9" s="422">
        <f>'ANALYSE - ERP =&gt; SEGMENT'!$A$27</f>
        <v>26</v>
      </c>
      <c r="D9" s="504" t="s">
        <v>2278</v>
      </c>
      <c r="E9" s="504" t="s">
        <v>1527</v>
      </c>
      <c r="F9" s="504" t="s">
        <v>7987</v>
      </c>
      <c r="H9" s="458">
        <f>'ANALYSE - ERP =&gt; SEGMENT'!$BF$27*'ANALYSE - ERP =&gt; SEGMENT'!$JP$27</f>
        <v>5401.911399999999</v>
      </c>
      <c r="I9" s="458">
        <f>'ANALYSE - ERP =&gt; SEGMENT'!$BF$27*'ANALYSE - ERP =&gt; SEGMENT'!$JQ$27</f>
        <v>64378.195199999995</v>
      </c>
      <c r="J9" s="458">
        <f>'ANALYSE - ERP =&gt; SEGMENT'!$BF$27*'ANALYSE - ERP =&gt; SEGMENT'!$JR$27</f>
        <v>74732.869400000025</v>
      </c>
      <c r="K9" s="458">
        <f>'ANALYSE - ERP =&gt; SEGMENT'!$BF$27*'ANALYSE - ERP =&gt; SEGMENT'!$JS$27</f>
        <v>9059.7360000000008</v>
      </c>
      <c r="L9" s="458">
        <f>'ANALYSE - ERP =&gt; SEGMENT'!$BF$27*'ANALYSE - ERP =&gt; SEGMENT'!$JT$27</f>
        <v>8.2880000000000003</v>
      </c>
      <c r="N9" s="458">
        <f>'ANALYSE - ERP =&gt; SEGMENT'!$FG$27*'ANALYSE - ERP =&gt; SEGMENT'!$JU$27</f>
        <v>823.67987609487079</v>
      </c>
      <c r="O9" s="458">
        <f>'ANALYSE - ERP =&gt; SEGMENT'!$FG$27*'ANALYSE - ERP =&gt; SEGMENT'!$JV$27</f>
        <v>21357.278986302626</v>
      </c>
      <c r="P9" s="458">
        <f>'ANALYSE - ERP =&gt; SEGMENT'!$FG$27*'ANALYSE - ERP =&gt; SEGMENT'!$JW$27</f>
        <v>27900.617943688474</v>
      </c>
      <c r="Q9" s="458">
        <f>'ANALYSE - ERP =&gt; SEGMENT'!$FG$27*'ANALYSE - ERP =&gt; SEGMENT'!$JX$27</f>
        <v>4406.5468599250617</v>
      </c>
      <c r="R9" s="458">
        <f>'ANALYSE - ERP =&gt; SEGMENT'!$FG$27*'ANALYSE - ERP =&gt; SEGMENT'!$JY$27</f>
        <v>235.78387098035688</v>
      </c>
      <c r="T9" s="430">
        <f>'ANALYSE - ERP =&gt; SEGMENT'!$Q$27</f>
        <v>1</v>
      </c>
    </row>
    <row r="10" spans="1:20" ht="15" customHeight="1">
      <c r="A10" s="26">
        <v>7</v>
      </c>
      <c r="B10" s="26">
        <v>7</v>
      </c>
      <c r="C10" s="422">
        <f>'ANALYSE - ERP =&gt; SEGMENT'!$A$30</f>
        <v>29</v>
      </c>
      <c r="D10" s="496" t="s">
        <v>1670</v>
      </c>
      <c r="E10" s="496" t="s">
        <v>1671</v>
      </c>
      <c r="F10" s="496" t="s">
        <v>7983</v>
      </c>
      <c r="H10" s="458">
        <f>'ANALYSE - ERP =&gt; SEGMENT'!$BF$30*'ANALYSE - ERP =&gt; SEGMENT'!$JP$30</f>
        <v>34514.188000000009</v>
      </c>
      <c r="I10" s="458">
        <f>'ANALYSE - ERP =&gt; SEGMENT'!$BF$30*'ANALYSE - ERP =&gt; SEGMENT'!$JQ$30</f>
        <v>144593.21600000001</v>
      </c>
      <c r="J10" s="458">
        <f>'ANALYSE - ERP =&gt; SEGMENT'!$BF$30*'ANALYSE - ERP =&gt; SEGMENT'!$JR$30</f>
        <v>75603.436000000002</v>
      </c>
      <c r="K10" s="458">
        <f>'ANALYSE - ERP =&gt; SEGMENT'!$BF$30*'ANALYSE - ERP =&gt; SEGMENT'!$JS$30</f>
        <v>11810.376</v>
      </c>
      <c r="L10" s="458">
        <f>'ANALYSE - ERP =&gt; SEGMENT'!$BF$30*'ANALYSE - ERP =&gt; SEGMENT'!$JT$30</f>
        <v>2339.1600000000003</v>
      </c>
      <c r="N10" s="458">
        <f>'ANALYSE - ERP =&gt; SEGMENT'!$FG$30*'ANALYSE - ERP =&gt; SEGMENT'!$JU$30</f>
        <v>8507.1611076824902</v>
      </c>
      <c r="O10" s="458">
        <f>'ANALYSE - ERP =&gt; SEGMENT'!$FG$30*'ANALYSE - ERP =&gt; SEGMENT'!$JV$30</f>
        <v>64001.529537637696</v>
      </c>
      <c r="P10" s="458">
        <f>'ANALYSE - ERP =&gt; SEGMENT'!$FG$30*'ANALYSE - ERP =&gt; SEGMENT'!$JW$30</f>
        <v>52153.903045943538</v>
      </c>
      <c r="Q10" s="458">
        <f>'ANALYSE - ERP =&gt; SEGMENT'!$FG$30*'ANALYSE - ERP =&gt; SEGMENT'!$JX$30</f>
        <v>9903.2094610238073</v>
      </c>
      <c r="R10" s="458">
        <f>'ANALYSE - ERP =&gt; SEGMENT'!$FG$30*'ANALYSE - ERP =&gt; SEGMENT'!$JY$30</f>
        <v>1856.37062171248</v>
      </c>
      <c r="T10" s="430">
        <f>'ANALYSE - ERP =&gt; SEGMENT'!$Q$30</f>
        <v>1</v>
      </c>
    </row>
    <row r="11" spans="1:20" s="45" customFormat="1" ht="15" customHeight="1">
      <c r="A11" s="26">
        <v>8</v>
      </c>
      <c r="B11" s="26">
        <v>9</v>
      </c>
      <c r="C11" s="422">
        <f>'ANALYSE - ERP =&gt; SEGMENT'!$A$31</f>
        <v>30</v>
      </c>
      <c r="D11" s="496" t="s">
        <v>1670</v>
      </c>
      <c r="E11" s="496" t="s">
        <v>1747</v>
      </c>
      <c r="F11" s="496" t="s">
        <v>7986</v>
      </c>
      <c r="G11" s="685"/>
      <c r="H11" s="458">
        <f>'ANALYSE - ERP =&gt; SEGMENT'!$BF$31*'ANALYSE - ERP =&gt; SEGMENT'!$JP$31</f>
        <v>44938.964000000014</v>
      </c>
      <c r="I11" s="458">
        <f>'ANALYSE - ERP =&gt; SEGMENT'!$BF$31*'ANALYSE - ERP =&gt; SEGMENT'!$JQ$31</f>
        <v>171494.00099999999</v>
      </c>
      <c r="J11" s="458">
        <f>'ANALYSE - ERP =&gt; SEGMENT'!$BF$31*'ANALYSE - ERP =&gt; SEGMENT'!$JR$31</f>
        <v>82567.239999999991</v>
      </c>
      <c r="K11" s="458">
        <f>'ANALYSE - ERP =&gt; SEGMENT'!$BF$31*'ANALYSE - ERP =&gt; SEGMENT'!$JS$31</f>
        <v>6552.5169999999998</v>
      </c>
      <c r="L11" s="458">
        <f>'ANALYSE - ERP =&gt; SEGMENT'!$BF$31*'ANALYSE - ERP =&gt; SEGMENT'!$JT$31</f>
        <v>0</v>
      </c>
      <c r="M11" s="685"/>
      <c r="N11" s="458">
        <f>'ANALYSE - ERP =&gt; SEGMENT'!$FG$31*'ANALYSE - ERP =&gt; SEGMENT'!$JU$31</f>
        <v>18102.365821611227</v>
      </c>
      <c r="O11" s="458">
        <f>'ANALYSE - ERP =&gt; SEGMENT'!$FG$31*'ANALYSE - ERP =&gt; SEGMENT'!$JV$31</f>
        <v>77797.278697121015</v>
      </c>
      <c r="P11" s="458">
        <f>'ANALYSE - ERP =&gt; SEGMENT'!$FG$31*'ANALYSE - ERP =&gt; SEGMENT'!$JW$31</f>
        <v>46371.961068624354</v>
      </c>
      <c r="Q11" s="458">
        <f>'ANALYSE - ERP =&gt; SEGMENT'!$FG$31*'ANALYSE - ERP =&gt; SEGMENT'!$JX$31</f>
        <v>5968.5300114603697</v>
      </c>
      <c r="R11" s="458">
        <f>'ANALYSE - ERP =&gt; SEGMENT'!$FG$31*'ANALYSE - ERP =&gt; SEGMENT'!$JY$31</f>
        <v>508.86925951634902</v>
      </c>
      <c r="S11" s="685"/>
      <c r="T11" s="430">
        <f>'ANALYSE - ERP =&gt; SEGMENT'!$Q$31</f>
        <v>1</v>
      </c>
    </row>
    <row r="12" spans="1:20" ht="15" customHeight="1">
      <c r="A12" s="26">
        <v>9</v>
      </c>
      <c r="B12" s="26">
        <v>10</v>
      </c>
      <c r="C12" s="422">
        <f>'ANALYSE - ERP =&gt; SEGMENT'!$A$13</f>
        <v>6</v>
      </c>
      <c r="D12" s="494" t="s">
        <v>2241</v>
      </c>
      <c r="E12" s="494" t="s">
        <v>1053</v>
      </c>
      <c r="F12" s="494" t="s">
        <v>7988</v>
      </c>
      <c r="H12" s="458">
        <f>'ANALYSE - ERP =&gt; SEGMENT'!$BF$13*'ANALYSE - ERP =&gt; SEGMENT'!$JP$13</f>
        <v>18.271799999999999</v>
      </c>
      <c r="I12" s="458">
        <f>'ANALYSE - ERP =&gt; SEGMENT'!$BF$13*'ANALYSE - ERP =&gt; SEGMENT'!$JQ$13</f>
        <v>51138.117599999998</v>
      </c>
      <c r="J12" s="458">
        <f>'ANALYSE - ERP =&gt; SEGMENT'!$BF$13*'ANALYSE - ERP =&gt; SEGMENT'!$JR$13</f>
        <v>138716.3328</v>
      </c>
      <c r="K12" s="458">
        <f>'ANALYSE - ERP =&gt; SEGMENT'!$BF$13*'ANALYSE - ERP =&gt; SEGMENT'!$JS$13</f>
        <v>52592.7186</v>
      </c>
      <c r="L12" s="458">
        <f>'ANALYSE - ERP =&gt; SEGMENT'!$BF$13*'ANALYSE - ERP =&gt; SEGMENT'!$JT$13</f>
        <v>2976.5592000000001</v>
      </c>
      <c r="N12" s="458">
        <f>'ANALYSE - ERP =&gt; SEGMENT'!$FG$13*'ANALYSE - ERP =&gt; SEGMENT'!$JU$13</f>
        <v>1.7798167501601738</v>
      </c>
      <c r="O12" s="458">
        <f>'ANALYSE - ERP =&gt; SEGMENT'!$FG$13*'ANALYSE - ERP =&gt; SEGMENT'!$JV$13</f>
        <v>12796.105465077051</v>
      </c>
      <c r="P12" s="458">
        <f>'ANALYSE - ERP =&gt; SEGMENT'!$FG$13*'ANALYSE - ERP =&gt; SEGMENT'!$JW$13</f>
        <v>65120.733771818275</v>
      </c>
      <c r="Q12" s="458">
        <f>'ANALYSE - ERP =&gt; SEGMENT'!$FG$13*'ANALYSE - ERP =&gt; SEGMENT'!$JX$13</f>
        <v>40706.120417300393</v>
      </c>
      <c r="R12" s="458">
        <f>'ANALYSE - ERP =&gt; SEGMENT'!$FG$13*'ANALYSE - ERP =&gt; SEGMENT'!$JY$13</f>
        <v>3904.1749660541227</v>
      </c>
      <c r="T12" s="430">
        <f>'ANALYSE - ERP =&gt; SEGMENT'!$Q$13</f>
        <v>1</v>
      </c>
    </row>
    <row r="13" spans="1:20" s="45" customFormat="1" ht="15" customHeight="1">
      <c r="A13" s="406">
        <v>10</v>
      </c>
      <c r="B13" s="406">
        <v>8</v>
      </c>
      <c r="C13" s="448">
        <f>'ANALYSE - ERP =&gt; SEGMENT'!$A$28</f>
        <v>27</v>
      </c>
      <c r="D13" s="511" t="s">
        <v>2278</v>
      </c>
      <c r="E13" s="511" t="s">
        <v>4578</v>
      </c>
      <c r="F13" s="516" t="s">
        <v>7989</v>
      </c>
      <c r="G13" s="685"/>
      <c r="H13" s="459">
        <f>'ANALYSE - ERP =&gt; SEGMENT'!$BF$28*'ANALYSE - ERP =&gt; SEGMENT'!$JP$28</f>
        <v>4558.2159999999994</v>
      </c>
      <c r="I13" s="459">
        <f>'ANALYSE - ERP =&gt; SEGMENT'!$BF$28*'ANALYSE - ERP =&gt; SEGMENT'!$JQ$28</f>
        <v>23056.191999999999</v>
      </c>
      <c r="J13" s="459">
        <f>'ANALYSE - ERP =&gt; SEGMENT'!$BF$28*'ANALYSE - ERP =&gt; SEGMENT'!$JR$28</f>
        <v>14089.42</v>
      </c>
      <c r="K13" s="459">
        <f>'ANALYSE - ERP =&gt; SEGMENT'!$BF$28*'ANALYSE - ERP =&gt; SEGMENT'!$JS$28</f>
        <v>1056.172</v>
      </c>
      <c r="L13" s="459">
        <f>'ANALYSE - ERP =&gt; SEGMENT'!$BF$28*'ANALYSE - ERP =&gt; SEGMENT'!$JT$28</f>
        <v>0</v>
      </c>
      <c r="M13" s="685"/>
      <c r="N13" s="459">
        <f>'ANALYSE - ERP =&gt; SEGMENT'!$FG$28*'ANALYSE - ERP =&gt; SEGMENT'!$JU$28</f>
        <v>1467.1992370604396</v>
      </c>
      <c r="O13" s="459">
        <f>'ANALYSE - ERP =&gt; SEGMENT'!$FG$28*'ANALYSE - ERP =&gt; SEGMENT'!$JV$28</f>
        <v>8278.1760196956056</v>
      </c>
      <c r="P13" s="459">
        <f>'ANALYSE - ERP =&gt; SEGMENT'!$FG$28*'ANALYSE - ERP =&gt; SEGMENT'!$JW$28</f>
        <v>5450.050355178023</v>
      </c>
      <c r="Q13" s="459">
        <f>'ANALYSE - ERP =&gt; SEGMENT'!$FG$28*'ANALYSE - ERP =&gt; SEGMENT'!$JX$28</f>
        <v>615.43059889670349</v>
      </c>
      <c r="R13" s="459">
        <f>'ANALYSE - ERP =&gt; SEGMENT'!$FG$28*'ANALYSE - ERP =&gt; SEGMENT'!$JY$28</f>
        <v>50.757162795604408</v>
      </c>
      <c r="S13" s="685"/>
      <c r="T13" s="450">
        <f>'ANALYSE - ERP =&gt; SEGMENT'!$Q$28</f>
        <v>1</v>
      </c>
    </row>
    <row r="14" spans="1:20" ht="15" customHeight="1">
      <c r="A14" s="26">
        <v>11</v>
      </c>
      <c r="B14" s="26">
        <v>14</v>
      </c>
      <c r="C14" s="422">
        <f>'ANALYSE - ERP =&gt; SEGMENT'!$A$23</f>
        <v>19</v>
      </c>
      <c r="D14" s="502" t="s">
        <v>2264</v>
      </c>
      <c r="E14" s="502" t="s">
        <v>7990</v>
      </c>
      <c r="F14" s="502" t="s">
        <v>7991</v>
      </c>
      <c r="H14" s="458">
        <f>'ANALYSE - ERP =&gt; SEGMENT'!$BF$23*'ANALYSE - ERP =&gt; SEGMENT'!$JP$23</f>
        <v>13063.139999999998</v>
      </c>
      <c r="I14" s="458">
        <f>'ANALYSE - ERP =&gt; SEGMENT'!$BF$23*'ANALYSE - ERP =&gt; SEGMENT'!$JQ$23</f>
        <v>94382.05</v>
      </c>
      <c r="J14" s="458">
        <f>'ANALYSE - ERP =&gt; SEGMENT'!$BF$23*'ANALYSE - ERP =&gt; SEGMENT'!$JR$23</f>
        <v>87802.44</v>
      </c>
      <c r="K14" s="458">
        <f>'ANALYSE - ERP =&gt; SEGMENT'!$BF$23*'ANALYSE - ERP =&gt; SEGMENT'!$JS$23</f>
        <v>9991.6500000000015</v>
      </c>
      <c r="L14" s="458">
        <f>'ANALYSE - ERP =&gt; SEGMENT'!$BF$23*'ANALYSE - ERP =&gt; SEGMENT'!$JT$23</f>
        <v>60.720000000000006</v>
      </c>
      <c r="N14" s="458">
        <f>'ANALYSE - ERP =&gt; SEGMENT'!$FG$23*'ANALYSE - ERP =&gt; SEGMENT'!$JU$23</f>
        <v>2776.006491082147</v>
      </c>
      <c r="O14" s="458">
        <f>'ANALYSE - ERP =&gt; SEGMENT'!$FG$23*'ANALYSE - ERP =&gt; SEGMENT'!$JV$23</f>
        <v>37331.045129429156</v>
      </c>
      <c r="P14" s="458">
        <f>'ANALYSE - ERP =&gt; SEGMENT'!$FG$23*'ANALYSE - ERP =&gt; SEGMENT'!$JW$23</f>
        <v>41479.796371855045</v>
      </c>
      <c r="Q14" s="458">
        <f>'ANALYSE - ERP =&gt; SEGMENT'!$FG$23*'ANALYSE - ERP =&gt; SEGMENT'!$JX$23</f>
        <v>5556.0743273569642</v>
      </c>
      <c r="R14" s="458">
        <f>'ANALYSE - ERP =&gt; SEGMENT'!$FG$23*'ANALYSE - ERP =&gt; SEGMENT'!$JY$23</f>
        <v>371.61389830560529</v>
      </c>
      <c r="T14" s="430">
        <f>'ANALYSE - ERP =&gt; SEGMENT'!$Q$23</f>
        <v>1</v>
      </c>
    </row>
    <row r="15" spans="1:20" s="45" customFormat="1" ht="15" customHeight="1">
      <c r="A15" s="406">
        <v>12</v>
      </c>
      <c r="B15" s="406">
        <v>12</v>
      </c>
      <c r="C15" s="448">
        <f>'ANALYSE - ERP =&gt; SEGMENT'!$A$26</f>
        <v>23</v>
      </c>
      <c r="D15" s="513" t="s">
        <v>7117</v>
      </c>
      <c r="E15" s="513" t="s">
        <v>4268</v>
      </c>
      <c r="F15" s="513" t="s">
        <v>4269</v>
      </c>
      <c r="G15" s="685"/>
      <c r="H15" s="459">
        <f>'ANALYSE - ERP =&gt; SEGMENT'!$BF$26*'ANALYSE - ERP =&gt; SEGMENT'!$JP$26</f>
        <v>10857.144</v>
      </c>
      <c r="I15" s="459">
        <f>'ANALYSE - ERP =&gt; SEGMENT'!$BF$26*'ANALYSE - ERP =&gt; SEGMENT'!$JQ$26</f>
        <v>58162.008000000002</v>
      </c>
      <c r="J15" s="459">
        <f>'ANALYSE - ERP =&gt; SEGMENT'!$BF$26*'ANALYSE - ERP =&gt; SEGMENT'!$JR$26</f>
        <v>42024.696000000004</v>
      </c>
      <c r="K15" s="459">
        <f>'ANALYSE - ERP =&gt; SEGMENT'!$BF$26*'ANALYSE - ERP =&gt; SEGMENT'!$JS$26</f>
        <v>4929.0240000000003</v>
      </c>
      <c r="L15" s="459">
        <f>'ANALYSE - ERP =&gt; SEGMENT'!$BF$26*'ANALYSE - ERP =&gt; SEGMENT'!$JT$26</f>
        <v>187.12799999999999</v>
      </c>
      <c r="M15" s="685"/>
      <c r="N15" s="459">
        <f>'ANALYSE - ERP =&gt; SEGMENT'!$FG$26*'ANALYSE - ERP =&gt; SEGMENT'!$JU$26</f>
        <v>1960.9919851236464</v>
      </c>
      <c r="O15" s="459">
        <f>'ANALYSE - ERP =&gt; SEGMENT'!$FG$26*'ANALYSE - ERP =&gt; SEGMENT'!$JV$26</f>
        <v>19500.68671834857</v>
      </c>
      <c r="P15" s="459">
        <f>'ANALYSE - ERP =&gt; SEGMENT'!$FG$26*'ANALYSE - ERP =&gt; SEGMENT'!$JW$26</f>
        <v>24674.511370419277</v>
      </c>
      <c r="Q15" s="459">
        <f>'ANALYSE - ERP =&gt; SEGMENT'!$FG$26*'ANALYSE - ERP =&gt; SEGMENT'!$JX$26</f>
        <v>4317.4412584006513</v>
      </c>
      <c r="R15" s="459">
        <f>'ANALYSE - ERP =&gt; SEGMENT'!$FG$26*'ANALYSE - ERP =&gt; SEGMENT'!$JY$26</f>
        <v>148.83759563326674</v>
      </c>
      <c r="S15" s="685"/>
      <c r="T15" s="450">
        <f>'ANALYSE - ERP =&gt; SEGMENT'!$Q$26</f>
        <v>1</v>
      </c>
    </row>
    <row r="16" spans="1:20" ht="15" customHeight="1">
      <c r="A16" s="26">
        <v>13</v>
      </c>
      <c r="B16" s="26">
        <v>16</v>
      </c>
      <c r="C16" s="422">
        <f>'ANALYSE - ERP =&gt; SEGMENT'!$A$32</f>
        <v>32</v>
      </c>
      <c r="D16" s="508" t="s">
        <v>2285</v>
      </c>
      <c r="E16" s="508" t="s">
        <v>1793</v>
      </c>
      <c r="F16" s="508" t="s">
        <v>7992</v>
      </c>
      <c r="H16" s="458">
        <f>'ANALYSE - ERP =&gt; SEGMENT'!$BF$32*'ANALYSE - ERP =&gt; SEGMENT'!$JP$32</f>
        <v>2596.5920000000001</v>
      </c>
      <c r="I16" s="458">
        <f>'ANALYSE - ERP =&gt; SEGMENT'!$BF$32*'ANALYSE - ERP =&gt; SEGMENT'!$JQ$32</f>
        <v>21861.739600000001</v>
      </c>
      <c r="J16" s="458">
        <f>'ANALYSE - ERP =&gt; SEGMENT'!$BF$32*'ANALYSE - ERP =&gt; SEGMENT'!$JR$32</f>
        <v>19663.292799999999</v>
      </c>
      <c r="K16" s="458">
        <f>'ANALYSE - ERP =&gt; SEGMENT'!$BF$32*'ANALYSE - ERP =&gt; SEGMENT'!$JS$32</f>
        <v>5189.8672000000006</v>
      </c>
      <c r="L16" s="458">
        <f>'ANALYSE - ERP =&gt; SEGMENT'!$BF$32*'ANALYSE - ERP =&gt; SEGMENT'!$JT$32</f>
        <v>822.50839999999994</v>
      </c>
      <c r="N16" s="458">
        <f>'ANALYSE - ERP =&gt; SEGMENT'!$FG$32*'ANALYSE - ERP =&gt; SEGMENT'!$JU$32</f>
        <v>705.64155719816631</v>
      </c>
      <c r="O16" s="458">
        <f>'ANALYSE - ERP =&gt; SEGMENT'!$FG$32*'ANALYSE - ERP =&gt; SEGMENT'!$JV$32</f>
        <v>9959.8877124682949</v>
      </c>
      <c r="P16" s="458">
        <f>'ANALYSE - ERP =&gt; SEGMENT'!$FG$32*'ANALYSE - ERP =&gt; SEGMENT'!$JW$32</f>
        <v>10340.730386633688</v>
      </c>
      <c r="Q16" s="458">
        <f>'ANALYSE - ERP =&gt; SEGMENT'!$FG$32*'ANALYSE - ERP =&gt; SEGMENT'!$JX$32</f>
        <v>3483.6883959533711</v>
      </c>
      <c r="R16" s="458">
        <f>'ANALYSE - ERP =&gt; SEGMENT'!$FG$32*'ANALYSE - ERP =&gt; SEGMENT'!$JY$32</f>
        <v>846.32210828815209</v>
      </c>
      <c r="T16" s="430">
        <f>'ANALYSE - ERP =&gt; SEGMENT'!$Q$32</f>
        <v>1</v>
      </c>
    </row>
    <row r="17" spans="1:20" ht="15" customHeight="1">
      <c r="A17" s="26">
        <v>14</v>
      </c>
      <c r="B17" s="26">
        <v>17</v>
      </c>
      <c r="C17" s="422">
        <f>'ANALYSE - ERP =&gt; SEGMENT'!$A$21</f>
        <v>17</v>
      </c>
      <c r="D17" s="492" t="s">
        <v>2187</v>
      </c>
      <c r="E17" s="492" t="s">
        <v>1372</v>
      </c>
      <c r="F17" s="492" t="s">
        <v>7993</v>
      </c>
      <c r="H17" s="458">
        <f>'ANALYSE - ERP =&gt; SEGMENT'!$BF$21*'ANALYSE - ERP =&gt; SEGMENT'!$JP$21</f>
        <v>1980.9896000000001</v>
      </c>
      <c r="I17" s="458">
        <f>'ANALYSE - ERP =&gt; SEGMENT'!$BF$21*'ANALYSE - ERP =&gt; SEGMENT'!$JQ$21</f>
        <v>29984.206400000003</v>
      </c>
      <c r="J17" s="458">
        <f>'ANALYSE - ERP =&gt; SEGMENT'!$BF$21*'ANALYSE - ERP =&gt; SEGMENT'!$JR$21</f>
        <v>47488.475200000001</v>
      </c>
      <c r="K17" s="458">
        <f>'ANALYSE - ERP =&gt; SEGMENT'!$BF$21*'ANALYSE - ERP =&gt; SEGMENT'!$JS$21</f>
        <v>15002.193600000002</v>
      </c>
      <c r="L17" s="458">
        <f>'ANALYSE - ERP =&gt; SEGMENT'!$BF$21*'ANALYSE - ERP =&gt; SEGMENT'!$JT$21</f>
        <v>1312.1351999999999</v>
      </c>
      <c r="N17" s="458">
        <f>'ANALYSE - ERP =&gt; SEGMENT'!$FG$21*'ANALYSE - ERP =&gt; SEGMENT'!$JU$21</f>
        <v>252.05830361724335</v>
      </c>
      <c r="O17" s="458">
        <f>'ANALYSE - ERP =&gt; SEGMENT'!$FG$21*'ANALYSE - ERP =&gt; SEGMENT'!$JV$21</f>
        <v>11548.148949319355</v>
      </c>
      <c r="P17" s="458">
        <f>'ANALYSE - ERP =&gt; SEGMENT'!$FG$21*'ANALYSE - ERP =&gt; SEGMENT'!$JW$21</f>
        <v>21845.616229278687</v>
      </c>
      <c r="Q17" s="458">
        <f>'ANALYSE - ERP =&gt; SEGMENT'!$FG$21*'ANALYSE - ERP =&gt; SEGMENT'!$JX$21</f>
        <v>7576.5381838838211</v>
      </c>
      <c r="R17" s="458">
        <f>'ANALYSE - ERP =&gt; SEGMENT'!$FG$21*'ANALYSE - ERP =&gt; SEGMENT'!$JY$21</f>
        <v>810.00309719255858</v>
      </c>
      <c r="T17" s="430">
        <f>'ANALYSE - ERP =&gt; SEGMENT'!$Q$21</f>
        <v>1</v>
      </c>
    </row>
    <row r="18" spans="1:20" ht="15" customHeight="1">
      <c r="A18" s="26">
        <v>15</v>
      </c>
      <c r="B18" s="26">
        <v>11</v>
      </c>
      <c r="C18" s="422">
        <f>'ANALYSE - ERP =&gt; SEGMENT'!$A$8</f>
        <v>1</v>
      </c>
      <c r="D18" s="498" t="s">
        <v>6739</v>
      </c>
      <c r="E18" s="498" t="s">
        <v>2104</v>
      </c>
      <c r="F18" s="498" t="s">
        <v>671</v>
      </c>
      <c r="H18" s="458">
        <f>'ANALYSE - ERP =&gt; SEGMENT'!$BF$8*'ANALYSE - ERP =&gt; SEGMENT'!$JP$8</f>
        <v>2486.9172000000003</v>
      </c>
      <c r="I18" s="458">
        <f>'ANALYSE - ERP =&gt; SEGMENT'!$BF$8*'ANALYSE - ERP =&gt; SEGMENT'!$JQ$8</f>
        <v>45148.247399999993</v>
      </c>
      <c r="J18" s="458">
        <f>'ANALYSE - ERP =&gt; SEGMENT'!$BF$8*'ANALYSE - ERP =&gt; SEGMENT'!$JR$8</f>
        <v>63688.863000000005</v>
      </c>
      <c r="K18" s="458">
        <f>'ANALYSE - ERP =&gt; SEGMENT'!$BF$8*'ANALYSE - ERP =&gt; SEGMENT'!$JS$8</f>
        <v>12167.972400000001</v>
      </c>
      <c r="L18" s="458">
        <f>'ANALYSE - ERP =&gt; SEGMENT'!$BF$8*'ANALYSE - ERP =&gt; SEGMENT'!$JT$8</f>
        <v>0</v>
      </c>
      <c r="N18" s="458">
        <f>'ANALYSE - ERP =&gt; SEGMENT'!$FG$8*'ANALYSE - ERP =&gt; SEGMENT'!$JU$8</f>
        <v>216.10348715217103</v>
      </c>
      <c r="O18" s="458">
        <f>'ANALYSE - ERP =&gt; SEGMENT'!$FG$8*'ANALYSE - ERP =&gt; SEGMENT'!$JV$8</f>
        <v>6260.9157576927973</v>
      </c>
      <c r="P18" s="458">
        <f>'ANALYSE - ERP =&gt; SEGMENT'!$FG$8*'ANALYSE - ERP =&gt; SEGMENT'!$JW$8</f>
        <v>16077.430710179513</v>
      </c>
      <c r="Q18" s="458">
        <f>'ANALYSE - ERP =&gt; SEGMENT'!$FG$8*'ANALYSE - ERP =&gt; SEGMENT'!$JX$8</f>
        <v>6554.1759078048408</v>
      </c>
      <c r="R18" s="458">
        <f>'ANALYSE - ERP =&gt; SEGMENT'!$FG$8*'ANALYSE - ERP =&gt; SEGMENT'!$JY$8</f>
        <v>9.5555963706742268</v>
      </c>
      <c r="T18" s="430">
        <f>'ANALYSE - ERP =&gt; SEGMENT'!$Q$8</f>
        <v>1</v>
      </c>
    </row>
    <row r="19" spans="1:20" ht="15" customHeight="1">
      <c r="A19" s="26">
        <v>16</v>
      </c>
      <c r="B19" s="26">
        <v>15</v>
      </c>
      <c r="C19" s="422">
        <f>'ANALYSE - ERP =&gt; SEGMENT'!$A$24</f>
        <v>21</v>
      </c>
      <c r="D19" s="506" t="s">
        <v>7117</v>
      </c>
      <c r="E19" s="506" t="s">
        <v>1455</v>
      </c>
      <c r="F19" s="506" t="s">
        <v>7994</v>
      </c>
      <c r="H19" s="458">
        <f>'ANALYSE - ERP =&gt; SEGMENT'!$BF$24*'ANALYSE - ERP =&gt; SEGMENT'!$JP$24</f>
        <v>2525.0207999999998</v>
      </c>
      <c r="I19" s="458">
        <f>'ANALYSE - ERP =&gt; SEGMENT'!$BF$24*'ANALYSE - ERP =&gt; SEGMENT'!$JQ$24</f>
        <v>26096.0658</v>
      </c>
      <c r="J19" s="458">
        <f>'ANALYSE - ERP =&gt; SEGMENT'!$BF$24*'ANALYSE - ERP =&gt; SEGMENT'!$JR$24</f>
        <v>33883.847000000002</v>
      </c>
      <c r="K19" s="458">
        <f>'ANALYSE - ERP =&gt; SEGMENT'!$BF$24*'ANALYSE - ERP =&gt; SEGMENT'!$JS$24</f>
        <v>9424.84</v>
      </c>
      <c r="L19" s="458">
        <f>'ANALYSE - ERP =&gt; SEGMENT'!$BF$24*'ANALYSE - ERP =&gt; SEGMENT'!$JT$24</f>
        <v>778.22640000000001</v>
      </c>
      <c r="N19" s="458">
        <f>'ANALYSE - ERP =&gt; SEGMENT'!$FG$24*'ANALYSE - ERP =&gt; SEGMENT'!$JU$24</f>
        <v>476.53660703880172</v>
      </c>
      <c r="O19" s="458">
        <f>'ANALYSE - ERP =&gt; SEGMENT'!$FG$24*'ANALYSE - ERP =&gt; SEGMENT'!$JV$24</f>
        <v>9615.1191206867334</v>
      </c>
      <c r="P19" s="458">
        <f>'ANALYSE - ERP =&gt; SEGMENT'!$FG$24*'ANALYSE - ERP =&gt; SEGMENT'!$JW$24</f>
        <v>15663.481425889966</v>
      </c>
      <c r="Q19" s="458">
        <f>'ANALYSE - ERP =&gt; SEGMENT'!$FG$24*'ANALYSE - ERP =&gt; SEGMENT'!$JX$24</f>
        <v>5147.4183859938175</v>
      </c>
      <c r="R19" s="458">
        <f>'ANALYSE - ERP =&gt; SEGMENT'!$FG$24*'ANALYSE - ERP =&gt; SEGMENT'!$JY$24</f>
        <v>536.28688567817017</v>
      </c>
      <c r="T19" s="430">
        <f>'ANALYSE - ERP =&gt; SEGMENT'!$Q$24</f>
        <v>1</v>
      </c>
    </row>
    <row r="20" spans="1:20" ht="15" customHeight="1">
      <c r="A20" s="26">
        <v>17</v>
      </c>
      <c r="B20" s="26">
        <v>13</v>
      </c>
      <c r="C20" s="422">
        <f>'ANALYSE - ERP =&gt; SEGMENT'!$A$11</f>
        <v>4</v>
      </c>
      <c r="D20" s="498" t="s">
        <v>6739</v>
      </c>
      <c r="E20" s="498" t="s">
        <v>991</v>
      </c>
      <c r="F20" s="498" t="s">
        <v>7995</v>
      </c>
      <c r="H20" s="458">
        <f>'ANALYSE - ERP =&gt; SEGMENT'!$BF$11*'ANALYSE - ERP =&gt; SEGMENT'!$JP$11</f>
        <v>0</v>
      </c>
      <c r="I20" s="458">
        <f>'ANALYSE - ERP =&gt; SEGMENT'!$BF$11*'ANALYSE - ERP =&gt; SEGMENT'!$JQ$11</f>
        <v>0</v>
      </c>
      <c r="J20" s="458">
        <f>'ANALYSE - ERP =&gt; SEGMENT'!$BF$11*'ANALYSE - ERP =&gt; SEGMENT'!$JR$11</f>
        <v>0</v>
      </c>
      <c r="K20" s="458">
        <f>'ANALYSE - ERP =&gt; SEGMENT'!$BF$11*'ANALYSE - ERP =&gt; SEGMENT'!$JS$11</f>
        <v>0</v>
      </c>
      <c r="L20" s="458">
        <f>'ANALYSE - ERP =&gt; SEGMENT'!$BF$11*'ANALYSE - ERP =&gt; SEGMENT'!$JT$11</f>
        <v>0</v>
      </c>
      <c r="N20" s="458">
        <f>'ANALYSE - ERP =&gt; SEGMENT'!$FG$11*'ANALYSE - ERP =&gt; SEGMENT'!$JU$11</f>
        <v>0</v>
      </c>
      <c r="O20" s="458">
        <f>'ANALYSE - ERP =&gt; SEGMENT'!$FG$11*'ANALYSE - ERP =&gt; SEGMENT'!$JV$11</f>
        <v>0</v>
      </c>
      <c r="P20" s="458">
        <f>'ANALYSE - ERP =&gt; SEGMENT'!$FG$11*'ANALYSE - ERP =&gt; SEGMENT'!$JW$11</f>
        <v>0</v>
      </c>
      <c r="Q20" s="458">
        <f>'ANALYSE - ERP =&gt; SEGMENT'!$FG$11*'ANALYSE - ERP =&gt; SEGMENT'!$JX$11</f>
        <v>0</v>
      </c>
      <c r="R20" s="458">
        <f>'ANALYSE - ERP =&gt; SEGMENT'!$FG$11*'ANALYSE - ERP =&gt; SEGMENT'!$JY$11</f>
        <v>0</v>
      </c>
      <c r="T20" s="430">
        <f>'ANALYSE - ERP =&gt; SEGMENT'!$Q$11</f>
        <v>0</v>
      </c>
    </row>
    <row r="21" spans="1:20" ht="15" customHeight="1">
      <c r="A21" s="26">
        <v>18</v>
      </c>
      <c r="B21" s="26">
        <v>18</v>
      </c>
      <c r="C21" s="422">
        <f>'ANALYSE - ERP =&gt; SEGMENT'!$A$12</f>
        <v>5</v>
      </c>
      <c r="D21" s="498" t="s">
        <v>6739</v>
      </c>
      <c r="E21" s="498" t="s">
        <v>2091</v>
      </c>
      <c r="F21" s="498" t="s">
        <v>2836</v>
      </c>
      <c r="H21" s="458">
        <f>'ANALYSE - ERP =&gt; SEGMENT'!$BF$12*'ANALYSE - ERP =&gt; SEGMENT'!$JP$12</f>
        <v>2393.2919999999999</v>
      </c>
      <c r="I21" s="458">
        <f>'ANALYSE - ERP =&gt; SEGMENT'!$BF$12*'ANALYSE - ERP =&gt; SEGMENT'!$JQ$12</f>
        <v>27452.675999999999</v>
      </c>
      <c r="J21" s="458">
        <f>'ANALYSE - ERP =&gt; SEGMENT'!$BF$12*'ANALYSE - ERP =&gt; SEGMENT'!$JR$12</f>
        <v>35485.919999999998</v>
      </c>
      <c r="K21" s="458">
        <f>'ANALYSE - ERP =&gt; SEGMENT'!$BF$12*'ANALYSE - ERP =&gt; SEGMENT'!$JS$12</f>
        <v>8490.384</v>
      </c>
      <c r="L21" s="458">
        <f>'ANALYSE - ERP =&gt; SEGMENT'!$BF$12*'ANALYSE - ERP =&gt; SEGMENT'!$JT$12</f>
        <v>217.72800000000001</v>
      </c>
      <c r="N21" s="458">
        <f>'ANALYSE - ERP =&gt; SEGMENT'!$FG$12*'ANALYSE - ERP =&gt; SEGMENT'!$JU$12</f>
        <v>50.312045099866225</v>
      </c>
      <c r="O21" s="458">
        <f>'ANALYSE - ERP =&gt; SEGMENT'!$FG$12*'ANALYSE - ERP =&gt; SEGMENT'!$JV$12</f>
        <v>5425.6163284477498</v>
      </c>
      <c r="P21" s="458">
        <f>'ANALYSE - ERP =&gt; SEGMENT'!$FG$12*'ANALYSE - ERP =&gt; SEGMENT'!$JW$12</f>
        <v>15065.769000702014</v>
      </c>
      <c r="Q21" s="458">
        <f>'ANALYSE - ERP =&gt; SEGMENT'!$FG$12*'ANALYSE - ERP =&gt; SEGMENT'!$JX$12</f>
        <v>7182.6718548241815</v>
      </c>
      <c r="R21" s="458">
        <f>'ANALYSE - ERP =&gt; SEGMENT'!$FG$12*'ANALYSE - ERP =&gt; SEGMENT'!$JY$12</f>
        <v>530.3683524118992</v>
      </c>
      <c r="T21" s="430">
        <f>'ANALYSE - ERP =&gt; SEGMENT'!$Q$12</f>
        <v>1</v>
      </c>
    </row>
    <row r="22" spans="1:20" ht="15" customHeight="1">
      <c r="A22" s="26">
        <v>19</v>
      </c>
      <c r="B22" s="26">
        <v>19</v>
      </c>
      <c r="C22" s="422">
        <f>'ANALYSE - ERP =&gt; SEGMENT'!$A$36</f>
        <v>37</v>
      </c>
      <c r="D22" s="510" t="s">
        <v>4908</v>
      </c>
      <c r="E22" s="510" t="s">
        <v>88</v>
      </c>
      <c r="F22" s="510" t="s">
        <v>7996</v>
      </c>
      <c r="H22" s="458">
        <f>'ANALYSE - ERP =&gt; SEGMENT'!$BF$36*'ANALYSE - ERP =&gt; SEGMENT'!$JP$36</f>
        <v>7123.8450999999995</v>
      </c>
      <c r="I22" s="458">
        <f>'ANALYSE - ERP =&gt; SEGMENT'!$BF$36*'ANALYSE - ERP =&gt; SEGMENT'!$JQ$36</f>
        <v>24322.783100000001</v>
      </c>
      <c r="J22" s="458">
        <f>'ANALYSE - ERP =&gt; SEGMENT'!$BF$36*'ANALYSE - ERP =&gt; SEGMENT'!$JR$36</f>
        <v>4400.1714000000011</v>
      </c>
      <c r="K22" s="458">
        <f>'ANALYSE - ERP =&gt; SEGMENT'!$BF$36*'ANALYSE - ERP =&gt; SEGMENT'!$JS$36</f>
        <v>9.1553000000000004</v>
      </c>
      <c r="L22" s="458">
        <f>'ANALYSE - ERP =&gt; SEGMENT'!$BF$36*'ANALYSE - ERP =&gt; SEGMENT'!$JT$36</f>
        <v>4.5100000000000001E-2</v>
      </c>
      <c r="N22" s="458">
        <f>'ANALYSE - ERP =&gt; SEGMENT'!$FG$36*'ANALYSE - ERP =&gt; SEGMENT'!$JU$36</f>
        <v>1551.5235224571761</v>
      </c>
      <c r="O22" s="458">
        <f>'ANALYSE - ERP =&gt; SEGMENT'!$FG$36*'ANALYSE - ERP =&gt; SEGMENT'!$JV$36</f>
        <v>12651.077873047148</v>
      </c>
      <c r="P22" s="458">
        <f>'ANALYSE - ERP =&gt; SEGMENT'!$FG$36*'ANALYSE - ERP =&gt; SEGMENT'!$JW$36</f>
        <v>5321.4530663401465</v>
      </c>
      <c r="Q22" s="458">
        <f>'ANALYSE - ERP =&gt; SEGMENT'!$FG$36*'ANALYSE - ERP =&gt; SEGMENT'!$JX$36</f>
        <v>21.934643083852979</v>
      </c>
      <c r="R22" s="458">
        <f>'ANALYSE - ERP =&gt; SEGMENT'!$FG$36*'ANALYSE - ERP =&gt; SEGMENT'!$JY$36</f>
        <v>0.21688688985710433</v>
      </c>
      <c r="T22" s="430">
        <f>'ANALYSE - ERP =&gt; SEGMENT'!$Q$36</f>
        <v>1</v>
      </c>
    </row>
    <row r="23" spans="1:20" ht="15" customHeight="1">
      <c r="A23" s="26">
        <v>20</v>
      </c>
      <c r="B23" s="26">
        <v>24</v>
      </c>
      <c r="C23" s="422">
        <f>'ANALYSE - ERP =&gt; SEGMENT'!$A$15</f>
        <v>8</v>
      </c>
      <c r="D23" s="494" t="s">
        <v>2241</v>
      </c>
      <c r="E23" s="494" t="s">
        <v>2242</v>
      </c>
      <c r="F23" s="494" t="s">
        <v>7998</v>
      </c>
      <c r="H23" s="458">
        <f>'ANALYSE - ERP =&gt; SEGMENT'!$BF$15*'ANALYSE - ERP =&gt; SEGMENT'!$JP$15</f>
        <v>28.504800000000003</v>
      </c>
      <c r="I23" s="458">
        <f>'ANALYSE - ERP =&gt; SEGMENT'!$BF$15*'ANALYSE - ERP =&gt; SEGMENT'!$JQ$15</f>
        <v>4361.6873999999998</v>
      </c>
      <c r="J23" s="458">
        <f>'ANALYSE - ERP =&gt; SEGMENT'!$BF$15*'ANALYSE - ERP =&gt; SEGMENT'!$JR$15</f>
        <v>11382.7896</v>
      </c>
      <c r="K23" s="458">
        <f>'ANALYSE - ERP =&gt; SEGMENT'!$BF$15*'ANALYSE - ERP =&gt; SEGMENT'!$JS$15</f>
        <v>4123.9182000000001</v>
      </c>
      <c r="L23" s="458">
        <f>'ANALYSE - ERP =&gt; SEGMENT'!$BF$15*'ANALYSE - ERP =&gt; SEGMENT'!$JT$15</f>
        <v>197.09999999999997</v>
      </c>
      <c r="N23" s="458">
        <f>'ANALYSE - ERP =&gt; SEGMENT'!$FG$15*'ANALYSE - ERP =&gt; SEGMENT'!$JU$15</f>
        <v>0</v>
      </c>
      <c r="O23" s="458">
        <f>'ANALYSE - ERP =&gt; SEGMENT'!$FG$15*'ANALYSE - ERP =&gt; SEGMENT'!$JV$15</f>
        <v>1327.413668130846</v>
      </c>
      <c r="P23" s="458">
        <f>'ANALYSE - ERP =&gt; SEGMENT'!$FG$15*'ANALYSE - ERP =&gt; SEGMENT'!$JW$15</f>
        <v>6492.8381812844273</v>
      </c>
      <c r="Q23" s="458">
        <f>'ANALYSE - ERP =&gt; SEGMENT'!$FG$15*'ANALYSE - ERP =&gt; SEGMENT'!$JX$15</f>
        <v>5357.777453061397</v>
      </c>
      <c r="R23" s="458">
        <f>'ANALYSE - ERP =&gt; SEGMENT'!$FG$15*'ANALYSE - ERP =&gt; SEGMENT'!$JY$15</f>
        <v>439.79376813871397</v>
      </c>
      <c r="T23" s="430">
        <f>'ANALYSE - ERP =&gt; SEGMENT'!$Q$15</f>
        <v>1</v>
      </c>
    </row>
    <row r="24" spans="1:20" ht="15" customHeight="1">
      <c r="A24" s="26">
        <v>21</v>
      </c>
      <c r="B24" s="26">
        <v>22</v>
      </c>
      <c r="C24" s="422">
        <f>'ANALYSE - ERP =&gt; SEGMENT'!$A$18</f>
        <v>12</v>
      </c>
      <c r="D24" s="500" t="s">
        <v>3662</v>
      </c>
      <c r="E24" s="500" t="s">
        <v>1337</v>
      </c>
      <c r="F24" s="500" t="s">
        <v>7997</v>
      </c>
      <c r="H24" s="458">
        <f>'ANALYSE - ERP =&gt; SEGMENT'!$BF$18*'ANALYSE - ERP =&gt; SEGMENT'!$JP$18</f>
        <v>433.75</v>
      </c>
      <c r="I24" s="458">
        <f>'ANALYSE - ERP =&gt; SEGMENT'!$BF$18*'ANALYSE - ERP =&gt; SEGMENT'!$JQ$18</f>
        <v>1806.0300000000002</v>
      </c>
      <c r="J24" s="458">
        <f>'ANALYSE - ERP =&gt; SEGMENT'!$BF$18*'ANALYSE - ERP =&gt; SEGMENT'!$JR$18</f>
        <v>1401.46</v>
      </c>
      <c r="K24" s="458">
        <f>'ANALYSE - ERP =&gt; SEGMENT'!$BF$18*'ANALYSE - ERP =&gt; SEGMENT'!$JS$18</f>
        <v>158.76</v>
      </c>
      <c r="L24" s="458">
        <f>'ANALYSE - ERP =&gt; SEGMENT'!$BF$18*'ANALYSE - ERP =&gt; SEGMENT'!$JT$18</f>
        <v>0</v>
      </c>
      <c r="N24" s="458">
        <f>'ANALYSE - ERP =&gt; SEGMENT'!$FG$18*'ANALYSE - ERP =&gt; SEGMENT'!$JU$18</f>
        <v>105.37993648561097</v>
      </c>
      <c r="O24" s="458">
        <f>'ANALYSE - ERP =&gt; SEGMENT'!$FG$18*'ANALYSE - ERP =&gt; SEGMENT'!$JV$18</f>
        <v>759.17342515634584</v>
      </c>
      <c r="P24" s="458">
        <f>'ANALYSE - ERP =&gt; SEGMENT'!$FG$18*'ANALYSE - ERP =&gt; SEGMENT'!$JW$18</f>
        <v>605.67124214445016</v>
      </c>
      <c r="Q24" s="458">
        <f>'ANALYSE - ERP =&gt; SEGMENT'!$FG$18*'ANALYSE - ERP =&gt; SEGMENT'!$JX$18</f>
        <v>76.599521918971845</v>
      </c>
      <c r="R24" s="458">
        <f>'ANALYSE - ERP =&gt; SEGMENT'!$FG$18*'ANALYSE - ERP =&gt; SEGMENT'!$JY$18</f>
        <v>3.8199236652505641</v>
      </c>
      <c r="T24" s="430">
        <f>'ANALYSE - ERP =&gt; SEGMENT'!$Q$18</f>
        <v>1</v>
      </c>
    </row>
    <row r="25" spans="1:20" ht="15" customHeight="1">
      <c r="A25" s="26">
        <v>22</v>
      </c>
      <c r="B25" s="26">
        <v>20</v>
      </c>
      <c r="C25" s="422">
        <f>'ANALYSE - ERP =&gt; SEGMENT'!$A$29</f>
        <v>28</v>
      </c>
      <c r="D25" s="504" t="s">
        <v>2278</v>
      </c>
      <c r="E25" s="504" t="s">
        <v>1576</v>
      </c>
      <c r="F25" s="504" t="s">
        <v>1577</v>
      </c>
      <c r="H25" s="458">
        <f>'ANALYSE - ERP =&gt; SEGMENT'!$BF$29*'ANALYSE - ERP =&gt; SEGMENT'!$JP$29</f>
        <v>1778.088</v>
      </c>
      <c r="I25" s="458">
        <f>'ANALYSE - ERP =&gt; SEGMENT'!$BF$29*'ANALYSE - ERP =&gt; SEGMENT'!$JQ$29</f>
        <v>8993.8559999999998</v>
      </c>
      <c r="J25" s="458">
        <f>'ANALYSE - ERP =&gt; SEGMENT'!$BF$29*'ANALYSE - ERP =&gt; SEGMENT'!$JR$29</f>
        <v>5496.06</v>
      </c>
      <c r="K25" s="458">
        <f>'ANALYSE - ERP =&gt; SEGMENT'!$BF$29*'ANALYSE - ERP =&gt; SEGMENT'!$JS$29</f>
        <v>411.99599999999998</v>
      </c>
      <c r="L25" s="458">
        <f>'ANALYSE - ERP =&gt; SEGMENT'!$BF$29*'ANALYSE - ERP =&gt; SEGMENT'!$JT$29</f>
        <v>0</v>
      </c>
      <c r="N25" s="458">
        <f>'ANALYSE - ERP =&gt; SEGMENT'!$FG$29*'ANALYSE - ERP =&gt; SEGMENT'!$JU$29</f>
        <v>462.16652421825006</v>
      </c>
      <c r="O25" s="458">
        <f>'ANALYSE - ERP =&gt; SEGMENT'!$FG$29*'ANALYSE - ERP =&gt; SEGMENT'!$JV$29</f>
        <v>2657.8413734943215</v>
      </c>
      <c r="P25" s="458">
        <f>'ANALYSE - ERP =&gt; SEGMENT'!$FG$29*'ANALYSE - ERP =&gt; SEGMENT'!$JW$29</f>
        <v>1769.8469997195002</v>
      </c>
      <c r="Q25" s="458">
        <f>'ANALYSE - ERP =&gt; SEGMENT'!$FG$29*'ANALYSE - ERP =&gt; SEGMENT'!$JX$29</f>
        <v>209.84305086321433</v>
      </c>
      <c r="R25" s="458">
        <f>'ANALYSE - ERP =&gt; SEGMENT'!$FG$29*'ANALYSE - ERP =&gt; SEGMENT'!$JY$29</f>
        <v>18.425243490428574</v>
      </c>
      <c r="T25" s="430">
        <f>'ANALYSE - ERP =&gt; SEGMENT'!$Q$29</f>
        <v>1</v>
      </c>
    </row>
    <row r="26" spans="1:20" ht="15" customHeight="1">
      <c r="A26" s="26">
        <v>23</v>
      </c>
      <c r="B26" s="26">
        <v>23</v>
      </c>
      <c r="C26" s="422">
        <f>'ANALYSE - ERP =&gt; SEGMENT'!$A$20</f>
        <v>16</v>
      </c>
      <c r="D26" s="492" t="s">
        <v>2187</v>
      </c>
      <c r="E26" s="492" t="s">
        <v>1435</v>
      </c>
      <c r="F26" s="492" t="s">
        <v>7999</v>
      </c>
      <c r="H26" s="458">
        <f>'ANALYSE - ERP =&gt; SEGMENT'!$BF$20*'ANALYSE - ERP =&gt; SEGMENT'!$JP$20</f>
        <v>477.08639999999997</v>
      </c>
      <c r="I26" s="458">
        <f>'ANALYSE - ERP =&gt; SEGMENT'!$BF$20*'ANALYSE - ERP =&gt; SEGMENT'!$JQ$20</f>
        <v>12770.580600000001</v>
      </c>
      <c r="J26" s="458">
        <f>'ANALYSE - ERP =&gt; SEGMENT'!$BF$20*'ANALYSE - ERP =&gt; SEGMENT'!$JR$20</f>
        <v>21720.210300000002</v>
      </c>
      <c r="K26" s="458">
        <f>'ANALYSE - ERP =&gt; SEGMENT'!$BF$20*'ANALYSE - ERP =&gt; SEGMENT'!$JS$20</f>
        <v>7015.7259000000004</v>
      </c>
      <c r="L26" s="458">
        <f>'ANALYSE - ERP =&gt; SEGMENT'!$BF$20*'ANALYSE - ERP =&gt; SEGMENT'!$JT$20</f>
        <v>613.39679999999998</v>
      </c>
      <c r="N26" s="458">
        <f>'ANALYSE - ERP =&gt; SEGMENT'!$FG$20*'ANALYSE - ERP =&gt; SEGMENT'!$JU$20</f>
        <v>0</v>
      </c>
      <c r="O26" s="458">
        <f>'ANALYSE - ERP =&gt; SEGMENT'!$FG$20*'ANALYSE - ERP =&gt; SEGMENT'!$JV$20</f>
        <v>5508.9869239929994</v>
      </c>
      <c r="P26" s="458">
        <f>'ANALYSE - ERP =&gt; SEGMENT'!$FG$20*'ANALYSE - ERP =&gt; SEGMENT'!$JW$20</f>
        <v>11161.448038270002</v>
      </c>
      <c r="Q26" s="458">
        <f>'ANALYSE - ERP =&gt; SEGMENT'!$FG$20*'ANALYSE - ERP =&gt; SEGMENT'!$JX$20</f>
        <v>4000.3980114479996</v>
      </c>
      <c r="R26" s="458">
        <f>'ANALYSE - ERP =&gt; SEGMENT'!$FG$20*'ANALYSE - ERP =&gt; SEGMENT'!$JY$20</f>
        <v>428.31265628899996</v>
      </c>
      <c r="T26" s="430">
        <f>'ANALYSE - ERP =&gt; SEGMENT'!$Q$20</f>
        <v>1</v>
      </c>
    </row>
    <row r="27" spans="1:20" ht="15" customHeight="1">
      <c r="A27" s="26">
        <v>24</v>
      </c>
      <c r="B27" s="26">
        <v>21</v>
      </c>
      <c r="C27" s="422">
        <f>'ANALYSE - ERP =&gt; SEGMENT'!$A$10</f>
        <v>3</v>
      </c>
      <c r="D27" s="498" t="s">
        <v>6739</v>
      </c>
      <c r="E27" s="498" t="s">
        <v>1014</v>
      </c>
      <c r="F27" s="498" t="s">
        <v>8000</v>
      </c>
      <c r="H27" s="458">
        <f>'ANALYSE - ERP =&gt; SEGMENT'!$BF$10*'ANALYSE - ERP =&gt; SEGMENT'!$JP$10</f>
        <v>295.02</v>
      </c>
      <c r="I27" s="458">
        <f>'ANALYSE - ERP =&gt; SEGMENT'!$BF$10*'ANALYSE - ERP =&gt; SEGMENT'!$JQ$10</f>
        <v>7172.7906999999996</v>
      </c>
      <c r="J27" s="458">
        <f>'ANALYSE - ERP =&gt; SEGMENT'!$BF$10*'ANALYSE - ERP =&gt; SEGMENT'!$JR$10</f>
        <v>15400.446400000001</v>
      </c>
      <c r="K27" s="458">
        <f>'ANALYSE - ERP =&gt; SEGMENT'!$BF$10*'ANALYSE - ERP =&gt; SEGMENT'!$JS$10</f>
        <v>6548.2743000000009</v>
      </c>
      <c r="L27" s="458">
        <f>'ANALYSE - ERP =&gt; SEGMENT'!$BF$10*'ANALYSE - ERP =&gt; SEGMENT'!$JT$10</f>
        <v>472.46860000000009</v>
      </c>
      <c r="N27" s="458">
        <f>'ANALYSE - ERP =&gt; SEGMENT'!$FG$10*'ANALYSE - ERP =&gt; SEGMENT'!$JU$10</f>
        <v>0</v>
      </c>
      <c r="O27" s="458">
        <f>'ANALYSE - ERP =&gt; SEGMENT'!$FG$10*'ANALYSE - ERP =&gt; SEGMENT'!$JV$10</f>
        <v>753.76033077323711</v>
      </c>
      <c r="P27" s="458">
        <f>'ANALYSE - ERP =&gt; SEGMENT'!$FG$10*'ANALYSE - ERP =&gt; SEGMENT'!$JW$10</f>
        <v>3813.5500115014956</v>
      </c>
      <c r="Q27" s="458">
        <f>'ANALYSE - ERP =&gt; SEGMENT'!$FG$10*'ANALYSE - ERP =&gt; SEGMENT'!$JX$10</f>
        <v>3132.6936275645708</v>
      </c>
      <c r="R27" s="458">
        <f>'ANALYSE - ERP =&gt; SEGMENT'!$FG$10*'ANALYSE - ERP =&gt; SEGMENT'!$JY$10</f>
        <v>444.29048183669596</v>
      </c>
      <c r="T27" s="430">
        <f>'ANALYSE - ERP =&gt; SEGMENT'!$Q$10</f>
        <v>1</v>
      </c>
    </row>
    <row r="28" spans="1:20" ht="15" customHeight="1">
      <c r="A28" s="26">
        <v>25</v>
      </c>
      <c r="B28" s="26">
        <v>25</v>
      </c>
      <c r="C28" s="422">
        <f>'ANALYSE - ERP =&gt; SEGMENT'!$A$38</f>
        <v>39</v>
      </c>
      <c r="D28" s="502" t="s">
        <v>2163</v>
      </c>
      <c r="E28" s="502" t="s">
        <v>2163</v>
      </c>
      <c r="F28" s="502" t="s">
        <v>2164</v>
      </c>
      <c r="H28" s="458">
        <f>'ANALYSE - ERP =&gt; SEGMENT'!$BF$38*'ANALYSE - ERP =&gt; SEGMENT'!$JP$38</f>
        <v>4540.308</v>
      </c>
      <c r="I28" s="458">
        <f>'ANALYSE - ERP =&gt; SEGMENT'!$BF$38*'ANALYSE - ERP =&gt; SEGMENT'!$JQ$38</f>
        <v>9247.7309999999998</v>
      </c>
      <c r="J28" s="458">
        <f>'ANALYSE - ERP =&gt; SEGMENT'!$BF$38*'ANALYSE - ERP =&gt; SEGMENT'!$JR$38</f>
        <v>1721.961</v>
      </c>
      <c r="K28" s="458">
        <f>'ANALYSE - ERP =&gt; SEGMENT'!$BF$38*'ANALYSE - ERP =&gt; SEGMENT'!$JS$38</f>
        <v>0</v>
      </c>
      <c r="L28" s="458">
        <f>'ANALYSE - ERP =&gt; SEGMENT'!$BF$38*'ANALYSE - ERP =&gt; SEGMENT'!$JT$38</f>
        <v>0</v>
      </c>
      <c r="N28" s="458">
        <f>'ANALYSE - ERP =&gt; SEGMENT'!$FG$38*'ANALYSE - ERP =&gt; SEGMENT'!$JU$38</f>
        <v>2166.4598777304855</v>
      </c>
      <c r="O28" s="458">
        <f>'ANALYSE - ERP =&gt; SEGMENT'!$FG$38*'ANALYSE - ERP =&gt; SEGMENT'!$JV$38</f>
        <v>4686.0040385103712</v>
      </c>
      <c r="P28" s="458">
        <f>'ANALYSE - ERP =&gt; SEGMENT'!$FG$38*'ANALYSE - ERP =&gt; SEGMENT'!$JW$38</f>
        <v>1087.0624953960696</v>
      </c>
      <c r="Q28" s="458">
        <f>'ANALYSE - ERP =&gt; SEGMENT'!$FG$38*'ANALYSE - ERP =&gt; SEGMENT'!$JX$38</f>
        <v>161.44538734101579</v>
      </c>
      <c r="R28" s="458">
        <f>'ANALYSE - ERP =&gt; SEGMENT'!$FG$38*'ANALYSE - ERP =&gt; SEGMENT'!$JY$38</f>
        <v>36.050911736343323</v>
      </c>
      <c r="T28" s="430">
        <f>'ANALYSE - ERP =&gt; SEGMENT'!$Q$38</f>
        <v>1</v>
      </c>
    </row>
    <row r="29" spans="1:20" ht="15" customHeight="1">
      <c r="A29" s="26">
        <v>26</v>
      </c>
      <c r="B29" s="26">
        <v>26</v>
      </c>
      <c r="C29" s="422">
        <f>'ANALYSE - ERP =&gt; SEGMENT'!$A$17</f>
        <v>11</v>
      </c>
      <c r="D29" s="500" t="s">
        <v>3662</v>
      </c>
      <c r="E29" s="500" t="s">
        <v>1240</v>
      </c>
      <c r="F29" s="500" t="s">
        <v>8001</v>
      </c>
      <c r="H29" s="458">
        <f>'ANALYSE - ERP =&gt; SEGMENT'!$BF$17*'ANALYSE - ERP =&gt; SEGMENT'!$JP$17</f>
        <v>0</v>
      </c>
      <c r="I29" s="458">
        <f>'ANALYSE - ERP =&gt; SEGMENT'!$BF$17*'ANALYSE - ERP =&gt; SEGMENT'!$JQ$17</f>
        <v>2569.6170000000002</v>
      </c>
      <c r="J29" s="458">
        <f>'ANALYSE - ERP =&gt; SEGMENT'!$BF$17*'ANALYSE - ERP =&gt; SEGMENT'!$JR$17</f>
        <v>7400.0609999999988</v>
      </c>
      <c r="K29" s="458">
        <f>'ANALYSE - ERP =&gt; SEGMENT'!$BF$17*'ANALYSE - ERP =&gt; SEGMENT'!$JS$17</f>
        <v>4241.2309999999998</v>
      </c>
      <c r="L29" s="458">
        <f>'ANALYSE - ERP =&gt; SEGMENT'!$BF$17*'ANALYSE - ERP =&gt; SEGMENT'!$JT$17</f>
        <v>459.09099999999995</v>
      </c>
      <c r="N29" s="458">
        <f>'ANALYSE - ERP =&gt; SEGMENT'!$FG$17*'ANALYSE - ERP =&gt; SEGMENT'!$JU$17</f>
        <v>0</v>
      </c>
      <c r="O29" s="458">
        <f>'ANALYSE - ERP =&gt; SEGMENT'!$FG$17*'ANALYSE - ERP =&gt; SEGMENT'!$JV$17</f>
        <v>486.48803340180007</v>
      </c>
      <c r="P29" s="458">
        <f>'ANALYSE - ERP =&gt; SEGMENT'!$FG$17*'ANALYSE - ERP =&gt; SEGMENT'!$JW$17</f>
        <v>2629.0593701189459</v>
      </c>
      <c r="Q29" s="458">
        <f>'ANALYSE - ERP =&gt; SEGMENT'!$FG$17*'ANALYSE - ERP =&gt; SEGMENT'!$JX$17</f>
        <v>2455.5336674476307</v>
      </c>
      <c r="R29" s="458">
        <f>'ANALYSE - ERP =&gt; SEGMENT'!$FG$17*'ANALYSE - ERP =&gt; SEGMENT'!$JY$17</f>
        <v>451.64225417264919</v>
      </c>
      <c r="T29" s="430">
        <f>'ANALYSE - ERP =&gt; SEGMENT'!$Q$17</f>
        <v>1</v>
      </c>
    </row>
    <row r="30" spans="1:20" ht="15" customHeight="1">
      <c r="A30" s="26">
        <v>27</v>
      </c>
      <c r="B30" s="26">
        <v>27</v>
      </c>
      <c r="C30" s="422">
        <f>'ANALYSE - ERP =&gt; SEGMENT'!$A$33</f>
        <v>33</v>
      </c>
      <c r="D30" s="508" t="s">
        <v>2285</v>
      </c>
      <c r="E30" s="508" t="s">
        <v>7336</v>
      </c>
      <c r="F30" s="508" t="s">
        <v>7337</v>
      </c>
      <c r="H30" s="458">
        <f>'ANALYSE - ERP =&gt; SEGMENT'!$BF$33*'ANALYSE - ERP =&gt; SEGMENT'!$JP$33</f>
        <v>0</v>
      </c>
      <c r="I30" s="458">
        <f>'ANALYSE - ERP =&gt; SEGMENT'!$BF$33*'ANALYSE - ERP =&gt; SEGMENT'!$JQ$33</f>
        <v>0</v>
      </c>
      <c r="J30" s="458">
        <f>'ANALYSE - ERP =&gt; SEGMENT'!$BF$33*'ANALYSE - ERP =&gt; SEGMENT'!$JR$33</f>
        <v>0</v>
      </c>
      <c r="K30" s="458">
        <f>'ANALYSE - ERP =&gt; SEGMENT'!$BF$33*'ANALYSE - ERP =&gt; SEGMENT'!$JS$33</f>
        <v>0</v>
      </c>
      <c r="L30" s="458">
        <f>'ANALYSE - ERP =&gt; SEGMENT'!$BF$33*'ANALYSE - ERP =&gt; SEGMENT'!$JT$33</f>
        <v>0</v>
      </c>
      <c r="N30" s="458">
        <f>'ANALYSE - ERP =&gt; SEGMENT'!$FG$33*'ANALYSE - ERP =&gt; SEGMENT'!$JU$33</f>
        <v>0</v>
      </c>
      <c r="O30" s="458">
        <f>'ANALYSE - ERP =&gt; SEGMENT'!$FG$33*'ANALYSE - ERP =&gt; SEGMENT'!$JV$33</f>
        <v>0</v>
      </c>
      <c r="P30" s="458">
        <f>'ANALYSE - ERP =&gt; SEGMENT'!$FG$33*'ANALYSE - ERP =&gt; SEGMENT'!$JW$33</f>
        <v>0</v>
      </c>
      <c r="Q30" s="458">
        <f>'ANALYSE - ERP =&gt; SEGMENT'!$FG$33*'ANALYSE - ERP =&gt; SEGMENT'!$JX$33</f>
        <v>0</v>
      </c>
      <c r="R30" s="458">
        <f>'ANALYSE - ERP =&gt; SEGMENT'!$FG$33*'ANALYSE - ERP =&gt; SEGMENT'!$JY$33</f>
        <v>0</v>
      </c>
      <c r="T30" s="430">
        <f>'ANALYSE - ERP =&gt; SEGMENT'!$Q$33</f>
        <v>0</v>
      </c>
    </row>
    <row r="31" spans="1:20" ht="15" customHeight="1">
      <c r="A31" s="26">
        <v>28</v>
      </c>
      <c r="B31" s="26">
        <v>29</v>
      </c>
      <c r="C31" s="422">
        <f>'ANALYSE - ERP =&gt; SEGMENT'!$A$35</f>
        <v>36</v>
      </c>
      <c r="D31" s="510" t="s">
        <v>4908</v>
      </c>
      <c r="E31" s="510" t="s">
        <v>1985</v>
      </c>
      <c r="F31" s="510" t="s">
        <v>8002</v>
      </c>
      <c r="H31" s="458">
        <f>'ANALYSE - ERP =&gt; SEGMENT'!$BF$35*'ANALYSE - ERP =&gt; SEGMENT'!$JP$35</f>
        <v>290.77999999999997</v>
      </c>
      <c r="I31" s="458">
        <f>'ANALYSE - ERP =&gt; SEGMENT'!$BF$35*'ANALYSE - ERP =&gt; SEGMENT'!$JQ$35</f>
        <v>2975.616</v>
      </c>
      <c r="J31" s="458">
        <f>'ANALYSE - ERP =&gt; SEGMENT'!$BF$35*'ANALYSE - ERP =&gt; SEGMENT'!$JR$35</f>
        <v>2465.8000000000002</v>
      </c>
      <c r="K31" s="458">
        <f>'ANALYSE - ERP =&gt; SEGMENT'!$BF$35*'ANALYSE - ERP =&gt; SEGMENT'!$JS$35</f>
        <v>304.74400000000003</v>
      </c>
      <c r="L31" s="458">
        <f>'ANALYSE - ERP =&gt; SEGMENT'!$BF$35*'ANALYSE - ERP =&gt; SEGMENT'!$JT$35</f>
        <v>3.0599999999999996</v>
      </c>
      <c r="N31" s="458">
        <f>'ANALYSE - ERP =&gt; SEGMENT'!$FG$35*'ANALYSE - ERP =&gt; SEGMENT'!$JU$35</f>
        <v>54.680554248354383</v>
      </c>
      <c r="O31" s="458">
        <f>'ANALYSE - ERP =&gt; SEGMENT'!$FG$35*'ANALYSE - ERP =&gt; SEGMENT'!$JV$35</f>
        <v>1071.7410300050788</v>
      </c>
      <c r="P31" s="458">
        <f>'ANALYSE - ERP =&gt; SEGMENT'!$FG$35*'ANALYSE - ERP =&gt; SEGMENT'!$JW$35</f>
        <v>1569.0744353006851</v>
      </c>
      <c r="Q31" s="458">
        <f>'ANALYSE - ERP =&gt; SEGMENT'!$FG$35*'ANALYSE - ERP =&gt; SEGMENT'!$JX$35</f>
        <v>297.77257418935494</v>
      </c>
      <c r="R31" s="458">
        <f>'ANALYSE - ERP =&gt; SEGMENT'!$FG$35*'ANALYSE - ERP =&gt; SEGMENT'!$JY$35</f>
        <v>6.2849799231934265</v>
      </c>
      <c r="T31" s="430">
        <f>'ANALYSE - ERP =&gt; SEGMENT'!$Q$35</f>
        <v>1</v>
      </c>
    </row>
    <row r="32" spans="1:20" ht="15" customHeight="1">
      <c r="A32" s="26">
        <v>29</v>
      </c>
      <c r="B32" s="26">
        <v>28</v>
      </c>
      <c r="C32" s="422">
        <f>'ANALYSE - ERP =&gt; SEGMENT'!$A$37</f>
        <v>38</v>
      </c>
      <c r="D32" s="510" t="s">
        <v>4908</v>
      </c>
      <c r="E32" s="510" t="s">
        <v>2027</v>
      </c>
      <c r="F32" s="510" t="s">
        <v>8003</v>
      </c>
      <c r="H32" s="458">
        <f>'ANALYSE - ERP =&gt; SEGMENT'!$BF$37*'ANALYSE - ERP =&gt; SEGMENT'!$JP$37</f>
        <v>50.75930000000001</v>
      </c>
      <c r="I32" s="458">
        <f>'ANALYSE - ERP =&gt; SEGMENT'!$BF$37*'ANALYSE - ERP =&gt; SEGMENT'!$JQ$37</f>
        <v>2153.3118999999997</v>
      </c>
      <c r="J32" s="458">
        <f>'ANALYSE - ERP =&gt; SEGMENT'!$BF$37*'ANALYSE - ERP =&gt; SEGMENT'!$JR$37</f>
        <v>3579.3744000000002</v>
      </c>
      <c r="K32" s="458">
        <f>'ANALYSE - ERP =&gt; SEGMENT'!$BF$37*'ANALYSE - ERP =&gt; SEGMENT'!$JS$37</f>
        <v>948.25650000000007</v>
      </c>
      <c r="L32" s="458">
        <f>'ANALYSE - ERP =&gt; SEGMENT'!$BF$37*'ANALYSE - ERP =&gt; SEGMENT'!$JT$37</f>
        <v>25.297899999999998</v>
      </c>
      <c r="N32" s="458">
        <f>'ANALYSE - ERP =&gt; SEGMENT'!$FG$37*'ANALYSE - ERP =&gt; SEGMENT'!$JU$37</f>
        <v>0</v>
      </c>
      <c r="O32" s="458">
        <f>'ANALYSE - ERP =&gt; SEGMENT'!$FG$37*'ANALYSE - ERP =&gt; SEGMENT'!$JV$37</f>
        <v>580.9621979200225</v>
      </c>
      <c r="P32" s="458">
        <f>'ANALYSE - ERP =&gt; SEGMENT'!$FG$37*'ANALYSE - ERP =&gt; SEGMENT'!$JW$37</f>
        <v>1585.0608181510977</v>
      </c>
      <c r="Q32" s="458">
        <f>'ANALYSE - ERP =&gt; SEGMENT'!$FG$37*'ANALYSE - ERP =&gt; SEGMENT'!$JX$37</f>
        <v>633.60037085092722</v>
      </c>
      <c r="R32" s="458">
        <f>'ANALYSE - ERP =&gt; SEGMENT'!$FG$37*'ANALYSE - ERP =&gt; SEGMENT'!$JY$37</f>
        <v>30.104899738208541</v>
      </c>
      <c r="T32" s="430">
        <f>'ANALYSE - ERP =&gt; SEGMENT'!$Q$37</f>
        <v>1</v>
      </c>
    </row>
    <row r="33" spans="1:20" ht="15" customHeight="1">
      <c r="A33" s="26">
        <v>30</v>
      </c>
      <c r="B33" s="26">
        <v>30</v>
      </c>
      <c r="C33" s="422">
        <f>'ANALYSE - ERP =&gt; SEGMENT'!$A$34</f>
        <v>35</v>
      </c>
      <c r="D33" s="510" t="s">
        <v>4908</v>
      </c>
      <c r="E33" s="510" t="s">
        <v>1950</v>
      </c>
      <c r="F33" s="510" t="s">
        <v>8005</v>
      </c>
      <c r="H33" s="458">
        <f>'ANALYSE - ERP =&gt; SEGMENT'!$BF$34*'ANALYSE - ERP =&gt; SEGMENT'!$JP$34</f>
        <v>229.13239999999999</v>
      </c>
      <c r="I33" s="458">
        <f>'ANALYSE - ERP =&gt; SEGMENT'!$BF$34*'ANALYSE - ERP =&gt; SEGMENT'!$JQ$34</f>
        <v>1445.9273999999998</v>
      </c>
      <c r="J33" s="458">
        <f>'ANALYSE - ERP =&gt; SEGMENT'!$BF$34*'ANALYSE - ERP =&gt; SEGMENT'!$JR$34</f>
        <v>706.9402</v>
      </c>
      <c r="K33" s="458">
        <f>'ANALYSE - ERP =&gt; SEGMENT'!$BF$34*'ANALYSE - ERP =&gt; SEGMENT'!$JS$34</f>
        <v>0</v>
      </c>
      <c r="L33" s="458">
        <f>'ANALYSE - ERP =&gt; SEGMENT'!$BF$34*'ANALYSE - ERP =&gt; SEGMENT'!$JT$34</f>
        <v>0</v>
      </c>
      <c r="N33" s="458">
        <f>'ANALYSE - ERP =&gt; SEGMENT'!$FG$34*'ANALYSE - ERP =&gt; SEGMENT'!$JU$34</f>
        <v>56.406356135402881</v>
      </c>
      <c r="O33" s="458">
        <f>'ANALYSE - ERP =&gt; SEGMENT'!$FG$34*'ANALYSE - ERP =&gt; SEGMENT'!$JV$34</f>
        <v>585.06968694671355</v>
      </c>
      <c r="P33" s="458">
        <f>'ANALYSE - ERP =&gt; SEGMENT'!$FG$34*'ANALYSE - ERP =&gt; SEGMENT'!$JW$34</f>
        <v>458.7866844574807</v>
      </c>
      <c r="Q33" s="458">
        <f>'ANALYSE - ERP =&gt; SEGMENT'!$FG$34*'ANALYSE - ERP =&gt; SEGMENT'!$JX$34</f>
        <v>9.6863482625006922E-2</v>
      </c>
      <c r="R33" s="458">
        <f>'ANALYSE - ERP =&gt; SEGMENT'!$FG$34*'ANALYSE - ERP =&gt; SEGMENT'!$JY$34</f>
        <v>0</v>
      </c>
      <c r="T33" s="430">
        <f>'ANALYSE - ERP =&gt; SEGMENT'!$Q$34</f>
        <v>1</v>
      </c>
    </row>
    <row r="34" spans="1:20" ht="15" customHeight="1">
      <c r="A34" s="26">
        <v>31</v>
      </c>
      <c r="B34" s="26">
        <v>31</v>
      </c>
      <c r="C34" s="422">
        <f>'ANALYSE - ERP =&gt; SEGMENT'!$A$25</f>
        <v>22</v>
      </c>
      <c r="D34" s="506" t="s">
        <v>7117</v>
      </c>
      <c r="E34" s="506" t="s">
        <v>1487</v>
      </c>
      <c r="F34" s="506" t="s">
        <v>8004</v>
      </c>
      <c r="H34" s="458">
        <f>'ANALYSE - ERP =&gt; SEGMENT'!$BF$25*'ANALYSE - ERP =&gt; SEGMENT'!$JP$25</f>
        <v>240.35999999999999</v>
      </c>
      <c r="I34" s="458">
        <f>'ANALYSE - ERP =&gt; SEGMENT'!$BF$25*'ANALYSE - ERP =&gt; SEGMENT'!$JQ$25</f>
        <v>778.19999999999993</v>
      </c>
      <c r="J34" s="458">
        <f>'ANALYSE - ERP =&gt; SEGMENT'!$BF$25*'ANALYSE - ERP =&gt; SEGMENT'!$JR$25</f>
        <v>747.24</v>
      </c>
      <c r="K34" s="458">
        <f>'ANALYSE - ERP =&gt; SEGMENT'!$BF$25*'ANALYSE - ERP =&gt; SEGMENT'!$JS$25</f>
        <v>1074.2</v>
      </c>
      <c r="L34" s="458">
        <f>'ANALYSE - ERP =&gt; SEGMENT'!$BF$25*'ANALYSE - ERP =&gt; SEGMENT'!$JT$25</f>
        <v>360</v>
      </c>
      <c r="N34" s="458">
        <f>'ANALYSE - ERP =&gt; SEGMENT'!$FG$25*'ANALYSE - ERP =&gt; SEGMENT'!$JU$25</f>
        <v>63.402591749820374</v>
      </c>
      <c r="O34" s="458">
        <f>'ANALYSE - ERP =&gt; SEGMENT'!$FG$25*'ANALYSE - ERP =&gt; SEGMENT'!$JV$25</f>
        <v>323.81536621775587</v>
      </c>
      <c r="P34" s="458">
        <f>'ANALYSE - ERP =&gt; SEGMENT'!$FG$25*'ANALYSE - ERP =&gt; SEGMENT'!$JW$25</f>
        <v>304.45076971460031</v>
      </c>
      <c r="Q34" s="458">
        <f>'ANALYSE - ERP =&gt; SEGMENT'!$FG$25*'ANALYSE - ERP =&gt; SEGMENT'!$JX$25</f>
        <v>483.9479341970623</v>
      </c>
      <c r="R34" s="458">
        <f>'ANALYSE - ERP =&gt; SEGMENT'!$FG$25*'ANALYSE - ERP =&gt; SEGMENT'!$JY$25</f>
        <v>218.78297206015475</v>
      </c>
      <c r="T34" s="430">
        <f>'ANALYSE - ERP =&gt; SEGMENT'!$Q$25</f>
        <v>1</v>
      </c>
    </row>
  </sheetData>
  <pageMargins left="3.937007874015748E-2" right="3.937007874015748E-2" top="7.874015748031496E-2" bottom="7.874015748031496E-2" header="0.11811023622047249" footer="0.11811023622047249"/>
  <pageSetup paperSize="8" scale="85" fitToHeight="2"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7" tint="-0.249977111117893"/>
    <pageSetUpPr fitToPage="1"/>
  </sheetPr>
  <dimension ref="A1:BG14"/>
  <sheetViews>
    <sheetView workbookViewId="0">
      <selection activeCell="D10" sqref="D10"/>
    </sheetView>
  </sheetViews>
  <sheetFormatPr baseColWidth="10" defaultColWidth="9.140625" defaultRowHeight="15" customHeight="1"/>
  <cols>
    <col min="1" max="1" width="7.28515625" style="934" customWidth="1"/>
    <col min="2" max="2" width="7.140625" style="934" customWidth="1"/>
    <col min="3" max="3" width="6" style="934" customWidth="1"/>
    <col min="4" max="4" width="31.42578125" style="934" customWidth="1"/>
    <col min="5" max="5" width="27.7109375" style="43" customWidth="1"/>
    <col min="6" max="6" width="46.28515625" style="43" customWidth="1"/>
    <col min="7" max="7" width="1.7109375" style="933" customWidth="1"/>
    <col min="8" max="8" width="8.7109375" style="43" customWidth="1"/>
    <col min="9" max="9" width="8.7109375" style="934" customWidth="1"/>
    <col min="10" max="10" width="1.7109375" style="933" customWidth="1"/>
    <col min="11" max="11" width="8" style="934" customWidth="1"/>
    <col min="12" max="12" width="9" style="934" customWidth="1"/>
    <col min="13" max="13" width="1.7109375" style="933" customWidth="1"/>
    <col min="14" max="14" width="10.7109375" style="934" customWidth="1"/>
    <col min="15" max="15" width="12.7109375" style="934" customWidth="1"/>
    <col min="16" max="16" width="1.7109375" style="933" customWidth="1"/>
    <col min="17" max="17" width="10.7109375" style="934" customWidth="1"/>
    <col min="18" max="18" width="12.7109375" style="933" customWidth="1"/>
    <col min="19" max="19" width="1.7109375" style="933" customWidth="1"/>
    <col min="20" max="20" width="10.7109375" style="933" customWidth="1"/>
    <col min="21" max="21" width="12.7109375" style="933" customWidth="1"/>
    <col min="22" max="22" width="1.7109375" style="933" customWidth="1"/>
    <col min="23" max="23" width="10.7109375" style="934" customWidth="1"/>
    <col min="24" max="24" width="12.7109375" style="934" customWidth="1"/>
    <col min="25" max="25" width="1.7109375" style="934" customWidth="1"/>
    <col min="26" max="26" width="10.7109375" style="934" customWidth="1"/>
    <col min="27" max="27" width="12.7109375" style="934" customWidth="1"/>
    <col min="28" max="28" width="1.7109375" style="933" customWidth="1"/>
    <col min="29" max="29" width="11.5703125" style="934" customWidth="1"/>
    <col min="30" max="59" width="13.42578125" style="933" customWidth="1"/>
  </cols>
  <sheetData>
    <row r="1" spans="1:29" s="933" customFormat="1" ht="18" customHeight="1">
      <c r="A1" s="477"/>
      <c r="B1" s="477"/>
      <c r="C1" s="477"/>
      <c r="D1" s="477"/>
      <c r="E1" s="478" t="s">
        <v>6707</v>
      </c>
      <c r="F1" s="479"/>
      <c r="H1" s="451" t="s">
        <v>6708</v>
      </c>
      <c r="I1" s="420"/>
      <c r="K1" s="451" t="s">
        <v>6709</v>
      </c>
      <c r="L1" s="420"/>
      <c r="N1" s="829" t="s">
        <v>6710</v>
      </c>
      <c r="O1" s="829" t="s">
        <v>6710</v>
      </c>
      <c r="P1" s="463"/>
      <c r="Q1" s="464" t="s">
        <v>6710</v>
      </c>
      <c r="R1" s="464" t="s">
        <v>6710</v>
      </c>
      <c r="S1" s="463"/>
      <c r="T1" s="467" t="s">
        <v>6710</v>
      </c>
      <c r="U1" s="467" t="s">
        <v>6710</v>
      </c>
      <c r="V1" s="463"/>
      <c r="W1" s="468" t="s">
        <v>6710</v>
      </c>
      <c r="X1" s="468" t="s">
        <v>6710</v>
      </c>
      <c r="Y1" s="457"/>
      <c r="Z1" s="469" t="s">
        <v>6710</v>
      </c>
      <c r="AA1" s="469" t="s">
        <v>6710</v>
      </c>
      <c r="AB1" s="457"/>
      <c r="AC1" s="829" t="s">
        <v>6711</v>
      </c>
    </row>
    <row r="2" spans="1:29" ht="30" customHeight="1">
      <c r="A2" s="420" t="s">
        <v>6712</v>
      </c>
      <c r="B2" s="420" t="s">
        <v>6713</v>
      </c>
      <c r="C2" s="420" t="s">
        <v>2044</v>
      </c>
      <c r="D2" s="829" t="s">
        <v>6714</v>
      </c>
      <c r="E2" s="829" t="s">
        <v>6715</v>
      </c>
      <c r="F2" s="829" t="s">
        <v>2181</v>
      </c>
      <c r="H2" s="436">
        <v>2025</v>
      </c>
      <c r="I2" s="436">
        <v>2030</v>
      </c>
      <c r="J2" s="113"/>
      <c r="K2" s="436" t="s">
        <v>2428</v>
      </c>
      <c r="L2" s="829" t="s">
        <v>6716</v>
      </c>
      <c r="M2" s="113"/>
      <c r="N2" s="829" t="s">
        <v>6717</v>
      </c>
      <c r="O2" s="829" t="s">
        <v>6718</v>
      </c>
      <c r="P2" s="457"/>
      <c r="Q2" s="464" t="s">
        <v>6719</v>
      </c>
      <c r="R2" s="464" t="s">
        <v>6720</v>
      </c>
      <c r="S2" s="457"/>
      <c r="T2" s="467" t="s">
        <v>6721</v>
      </c>
      <c r="U2" s="467" t="s">
        <v>6722</v>
      </c>
      <c r="V2" s="457"/>
      <c r="W2" s="468" t="s">
        <v>6723</v>
      </c>
      <c r="X2" s="468" t="s">
        <v>6724</v>
      </c>
      <c r="Y2" s="457"/>
      <c r="Z2" s="469" t="s">
        <v>6725</v>
      </c>
      <c r="AA2" s="469" t="s">
        <v>6726</v>
      </c>
      <c r="AB2" s="457"/>
      <c r="AC2" s="829" t="s">
        <v>6727</v>
      </c>
    </row>
    <row r="3" spans="1:29" ht="15" customHeight="1">
      <c r="A3" s="405" t="s">
        <v>2535</v>
      </c>
      <c r="B3" s="405" t="s">
        <v>2535</v>
      </c>
      <c r="C3" s="405" t="s">
        <v>2090</v>
      </c>
      <c r="D3" s="405" t="s">
        <v>2086</v>
      </c>
      <c r="E3" s="405" t="s">
        <v>6728</v>
      </c>
      <c r="F3" s="405" t="s">
        <v>6729</v>
      </c>
      <c r="H3" s="426">
        <f>SUMPRODUCT(($AC$4:$AC$106),('ANALYSE - ERP =&gt; CATEGORIE'!$AF$8:$AF$110))</f>
        <v>196740</v>
      </c>
      <c r="I3" s="426">
        <f>SUMPRODUCT(($AC$4:$AC$106),('ANALYSE - ERP =&gt; CATEGORIE'!$AK$8:$AK$110))</f>
        <v>199266</v>
      </c>
      <c r="K3" s="426">
        <f t="shared" ref="K3:K14" si="0">I3-H3</f>
        <v>2526</v>
      </c>
      <c r="L3" s="455">
        <f t="shared" ref="L3:L14" si="1">IFERROR((I3/H3)^(1/5)-1,"")</f>
        <v>2.5547689728842027E-3</v>
      </c>
      <c r="N3" s="429">
        <f>SUMPRODUCT(($AC$4:$AC$106),('ANALYSE - ERP =&gt; CATEGORIE'!$BG$8:$BG$110))+SUMPRODUCT(($AC$4:$AC$106),('ANALYSE - ERP =&gt; CATEGORIE'!$BH$8:$BH$110))+SUMPRODUCT(($AC$4:$AC$106),('ANALYSE - ERP =&gt; CATEGORIE'!$BI$8:$BI$110))+SUMPRODUCT(($AC$4:$AC$106),('ANALYSE - ERP =&gt; CATEGORIE'!$BJ$8:$BJ$110))</f>
        <v>3712739.5</v>
      </c>
      <c r="O3" s="454">
        <f t="shared" ref="O3:O14" si="2">IFERROR(N3/I3,"")</f>
        <v>18.632077223409915</v>
      </c>
      <c r="P3" s="463"/>
      <c r="Q3" s="429">
        <f>SUMPRODUCT(($AC$4:$AC$106),('ANALYSE - ERP =&gt; CATEGORIE'!$BG$8:$BG$110))</f>
        <v>1792315</v>
      </c>
      <c r="R3" s="454">
        <f t="shared" ref="R3:R14" si="3">IFERROR(Q3/I3,"")</f>
        <v>8.9945851274176221</v>
      </c>
      <c r="S3" s="463"/>
      <c r="T3" s="429">
        <f>SUMPRODUCT(($AC$4:$AC$106),('ANALYSE - ERP =&gt; CATEGORIE'!$BH$8:$BH$110))</f>
        <v>156523</v>
      </c>
      <c r="U3" s="454">
        <f t="shared" ref="U3:U14" si="4">IFERROR(T3/I3,"")</f>
        <v>0.78549777684100652</v>
      </c>
      <c r="V3" s="463"/>
      <c r="W3" s="429">
        <f>SUMPRODUCT(($AC$4:$AC$106),('ANALYSE - ERP =&gt; CATEGORIE'!$BI$8:$BI$110))</f>
        <v>351552.5</v>
      </c>
      <c r="X3" s="454">
        <f t="shared" ref="X3:X14" si="5">IFERROR(W3/I3,"")</f>
        <v>1.7642372507101061</v>
      </c>
      <c r="Y3" s="456"/>
      <c r="Z3" s="429">
        <f>SUMPRODUCT(($AC$4:$AC$106),('ANALYSE - ERP =&gt; CATEGORIE'!$BJ$8:$BJ$110))</f>
        <v>1412349</v>
      </c>
      <c r="AA3" s="454">
        <f t="shared" ref="AA3:AA14" si="6">IFERROR(Z3/I3,"")</f>
        <v>7.0877570684411788</v>
      </c>
      <c r="AB3" s="463"/>
      <c r="AC3" s="426">
        <f>SUM('ANALYSE - ERP =&gt; CATEGORIE'!$Q$8:$Q$110)</f>
        <v>9</v>
      </c>
    </row>
    <row r="4" spans="1:29" ht="15" customHeight="1">
      <c r="A4" s="26">
        <v>1</v>
      </c>
      <c r="B4" s="26">
        <v>1</v>
      </c>
      <c r="C4" s="422">
        <f>'ANALYSE - ERP =&gt; CATEGORIE'!$A$11</f>
        <v>4</v>
      </c>
      <c r="D4" s="408" t="str">
        <f>'ANALYSE - ERP =&gt; CATEGORIE'!$B$11</f>
        <v>Commerce, Restauration &amp; Loisirs</v>
      </c>
      <c r="E4" s="408" t="str">
        <f>'ANALYSE - ERP =&gt; CATEGORIE'!$C$11</f>
        <v>Restauration / boissons
Loisirs
Commerce</v>
      </c>
      <c r="F4" s="408" t="str">
        <f>'ANALYSE - ERP =&gt; CATEGORIE'!$D$11</f>
        <v>Cafés / bars / brasseries
Fast-food / cafétérias / food courts
Restaurants
(Hors établissements altitude, flottant, armée)
Salles de jeux / bowlings / billards
Discothèques / salles de danse
Centres commerciaux / malls
Marchés couverts
Casinos</v>
      </c>
      <c r="H4" s="427">
        <f>'ANALYSE - ERP =&gt; CATEGORIE'!$AF$11</f>
        <v>181025</v>
      </c>
      <c r="I4" s="427">
        <f>'ANALYSE - ERP =&gt; CATEGORIE'!$AK$11</f>
        <v>181086</v>
      </c>
      <c r="K4" s="427">
        <f t="shared" si="0"/>
        <v>61</v>
      </c>
      <c r="L4" s="787">
        <f t="shared" si="1"/>
        <v>6.7384924284707992E-5</v>
      </c>
      <c r="N4" s="970">
        <f>'ANALYSE - ERP =&gt; CATEGORIE'!$BG$11+'ANALYSE - ERP =&gt; CATEGORIE'!$BH$11+'ANALYSE - ERP =&gt; CATEGORIE'!$BI$11+'ANALYSE - ERP =&gt; CATEGORIE'!$BJ$11</f>
        <v>1839921.25</v>
      </c>
      <c r="O4" s="916">
        <f t="shared" si="2"/>
        <v>10.160483140607225</v>
      </c>
      <c r="P4" s="463"/>
      <c r="Q4" s="970">
        <f>'ANALYSE - ERP =&gt; CATEGORIE'!$BG$11</f>
        <v>1013077</v>
      </c>
      <c r="R4" s="916">
        <f t="shared" si="3"/>
        <v>5.5944523596523199</v>
      </c>
      <c r="S4" s="463"/>
      <c r="T4" s="970">
        <f>'ANALYSE - ERP =&gt; CATEGORIE'!$BH$11</f>
        <v>4344</v>
      </c>
      <c r="U4" s="916">
        <f t="shared" si="4"/>
        <v>2.3988602100659354E-2</v>
      </c>
      <c r="V4" s="463"/>
      <c r="W4" s="970">
        <f>'ANALYSE - ERP =&gt; CATEGORIE'!$BI$11</f>
        <v>146268.25</v>
      </c>
      <c r="X4" s="916">
        <f t="shared" si="5"/>
        <v>0.80772809604276419</v>
      </c>
      <c r="Y4" s="456"/>
      <c r="Z4" s="970">
        <f>'ANALYSE - ERP =&gt; CATEGORIE'!$BJ$11</f>
        <v>676232</v>
      </c>
      <c r="AA4" s="916">
        <f t="shared" si="6"/>
        <v>3.734314082811482</v>
      </c>
      <c r="AB4" s="463"/>
      <c r="AC4" s="465">
        <f>'ANALYSE - ERP =&gt; CATEGORIE'!$Q$11</f>
        <v>1</v>
      </c>
    </row>
    <row r="5" spans="1:29" ht="15" customHeight="1">
      <c r="A5" s="26">
        <v>2</v>
      </c>
      <c r="B5" s="26">
        <v>3</v>
      </c>
      <c r="C5" s="422">
        <f>'ANALYSE - ERP =&gt; CATEGORIE'!$A$8</f>
        <v>1</v>
      </c>
      <c r="D5" s="410" t="str">
        <f>'ANALYSE - ERP =&gt; CATEGORIE'!$B$8</f>
        <v>Enfance, Enseignement &amp; Jeunesse</v>
      </c>
      <c r="E5" s="410" t="str">
        <f>'ANALYSE - ERP =&gt; CATEGORIE'!$C$8</f>
        <v>Petite enfance
Enseignement scolaire
Enseignement supérieur
Enfance / jeunesse
Formation</v>
      </c>
      <c r="F5" s="410" t="str">
        <f>'ANALYSE - ERP =&gt; CATEGORIE'!$D$8</f>
        <v>Crèches
Écoles maternelles
Écoles primaires
Collèges (vestiaires EPS inclus)
Lycées (vestiaires EPS inclus)
Universités
Grandes écoles
Internats scolaires
Résidences étudiantes et dortoirs
Centres de loisirs sans hébergement
Centres de vacances / colonies
Centres de formation / CFA</v>
      </c>
      <c r="H5" s="427">
        <f>'ANALYSE - ERP =&gt; CATEGORIE'!$AF$8</f>
        <v>0</v>
      </c>
      <c r="I5" s="427">
        <f>'ANALYSE - ERP =&gt; CATEGORIE'!$AK$8</f>
        <v>0</v>
      </c>
      <c r="K5" s="427">
        <f t="shared" si="0"/>
        <v>0</v>
      </c>
      <c r="L5" s="787" t="str">
        <f t="shared" si="1"/>
        <v/>
      </c>
      <c r="N5" s="970">
        <f>'ANALYSE - ERP =&gt; CATEGORIE'!$BG$8+'ANALYSE - ERP =&gt; CATEGORIE'!$BH$8+'ANALYSE - ERP =&gt; CATEGORIE'!$BI$8+'ANALYSE - ERP =&gt; CATEGORIE'!$BJ$8</f>
        <v>0</v>
      </c>
      <c r="O5" s="916" t="str">
        <f t="shared" si="2"/>
        <v/>
      </c>
      <c r="P5" s="463"/>
      <c r="Q5" s="970">
        <f>'ANALYSE - ERP =&gt; CATEGORIE'!$BG$8</f>
        <v>0</v>
      </c>
      <c r="R5" s="916" t="str">
        <f t="shared" si="3"/>
        <v/>
      </c>
      <c r="S5" s="463"/>
      <c r="T5" s="970">
        <f>'ANALYSE - ERP =&gt; CATEGORIE'!$BH$8</f>
        <v>0</v>
      </c>
      <c r="U5" s="916" t="str">
        <f t="shared" si="4"/>
        <v/>
      </c>
      <c r="V5" s="463"/>
      <c r="W5" s="970">
        <f>'ANALYSE - ERP =&gt; CATEGORIE'!$BI$8</f>
        <v>0</v>
      </c>
      <c r="X5" s="916" t="str">
        <f t="shared" si="5"/>
        <v/>
      </c>
      <c r="Y5" s="456"/>
      <c r="Z5" s="970">
        <f>'ANALYSE - ERP =&gt; CATEGORIE'!$BJ$8</f>
        <v>0</v>
      </c>
      <c r="AA5" s="916" t="str">
        <f t="shared" si="6"/>
        <v/>
      </c>
      <c r="AB5" s="463"/>
      <c r="AC5" s="465">
        <f>'ANALYSE - ERP =&gt; CATEGORIE'!$Q$8</f>
        <v>0</v>
      </c>
    </row>
    <row r="6" spans="1:29" ht="15" customHeight="1">
      <c r="A6" s="26">
        <v>3</v>
      </c>
      <c r="B6" s="26">
        <v>2</v>
      </c>
      <c r="C6" s="422">
        <f>'ANALYSE - ERP =&gt; CATEGORIE'!$A$14</f>
        <v>7</v>
      </c>
      <c r="D6" s="408" t="str">
        <f>'ANALYSE - ERP =&gt; CATEGORIE'!$B$14</f>
        <v>Culte, Vie civique &amp; Services publics</v>
      </c>
      <c r="E6" s="408" t="str">
        <f>'ANALYSE - ERP =&gt; CATEGORIE'!$C$14</f>
        <v>Administrations / services publics
Culte
Vie associative</v>
      </c>
      <c r="F6" s="408" t="str">
        <f>'ANALYSE - ERP =&gt; CATEGORIE'!$D$14</f>
        <v>Mairies / hôtels de ville
Préfectures / services administratifs
Maisons France Services
Guichets publics
Églises, cathédrales, basiliques et chapelles ouvertes au public
Monastères, abbayes et couvents ouverts au public
Temples protestants, évangéliques et salles de culte assimilées
Mosquées et salles de prière musulmanes
Synagogues et oratoires juifs ouverts au public
Temples bouddhistes, hindous et autres lieux de culte non abrahamiques ouverts au public
Salles du Royaume, centres cultuels pluriconfessionnels et lieux de culte polyvalents
Locaux associatifs recevant du public</v>
      </c>
      <c r="H6" s="427">
        <f>'ANALYSE - ERP =&gt; CATEGORIE'!$AF$14</f>
        <v>62844</v>
      </c>
      <c r="I6" s="427">
        <f>'ANALYSE - ERP =&gt; CATEGORIE'!$AK$14</f>
        <v>63207</v>
      </c>
      <c r="K6" s="427">
        <f t="shared" si="0"/>
        <v>363</v>
      </c>
      <c r="L6" s="787">
        <f t="shared" si="1"/>
        <v>1.1525815977808662E-3</v>
      </c>
      <c r="N6" s="970">
        <f>'ANALYSE - ERP =&gt; CATEGORIE'!$BG$14+'ANALYSE - ERP =&gt; CATEGORIE'!$BH$14+'ANALYSE - ERP =&gt; CATEGORIE'!$BI$14+'ANALYSE - ERP =&gt; CATEGORIE'!$BJ$14</f>
        <v>483591</v>
      </c>
      <c r="O6" s="916">
        <f t="shared" si="2"/>
        <v>7.6509089183160093</v>
      </c>
      <c r="P6" s="463"/>
      <c r="Q6" s="970">
        <f>'ANALYSE - ERP =&gt; CATEGORIE'!$BG$14</f>
        <v>234772</v>
      </c>
      <c r="R6" s="916">
        <f t="shared" si="3"/>
        <v>3.7143354375306532</v>
      </c>
      <c r="S6" s="463"/>
      <c r="T6" s="970">
        <f>'ANALYSE - ERP =&gt; CATEGORIE'!$BH$14</f>
        <v>750</v>
      </c>
      <c r="U6" s="916">
        <f t="shared" si="4"/>
        <v>1.1865774360434763E-2</v>
      </c>
      <c r="V6" s="463"/>
      <c r="W6" s="970">
        <f>'ANALYSE - ERP =&gt; CATEGORIE'!$BI$14</f>
        <v>33753</v>
      </c>
      <c r="X6" s="916">
        <f t="shared" si="5"/>
        <v>0.53400730931700602</v>
      </c>
      <c r="Y6" s="456"/>
      <c r="Z6" s="970">
        <f>'ANALYSE - ERP =&gt; CATEGORIE'!$BJ$14</f>
        <v>214316</v>
      </c>
      <c r="AA6" s="916">
        <f t="shared" si="6"/>
        <v>3.3907003971079153</v>
      </c>
      <c r="AB6" s="463"/>
      <c r="AC6" s="465">
        <f>'ANALYSE - ERP =&gt; CATEGORIE'!$Q$14</f>
        <v>1</v>
      </c>
    </row>
    <row r="7" spans="1:29" ht="15" customHeight="1">
      <c r="A7" s="26">
        <v>4</v>
      </c>
      <c r="B7" s="26">
        <v>4</v>
      </c>
      <c r="C7" s="422">
        <f>'ANALYSE - ERP =&gt; CATEGORIE'!$A$15</f>
        <v>8</v>
      </c>
      <c r="D7" s="415" t="str">
        <f>'ANALYSE - ERP =&gt; CATEGORIE'!$B$15</f>
        <v>Sport</v>
      </c>
      <c r="E7" s="415" t="str">
        <f>'ANALYSE - ERP =&gt; CATEGORIE'!$C$15</f>
        <v>Sport couvert / Thermalisme / bien-être
Sport de plein air
Sport couvert / équestre</v>
      </c>
      <c r="F7" s="415" t="str">
        <f>'ANALYSE - ERP =&gt; CATEGORIE'!$D$15</f>
        <v>Gymnases / salles multisports
Piscines couvertes
Salles de fitness / dojos
Patinoires couvertes
Grands stades avec tribunes
(Type football/rugby) 
Stades 
(Type athlétisme - Hors scolaire)
Terrains de sport
(Hors scolaire)
Hippodromes
Piscines extérieures 
(Hors campings, hôtels, résidences et établissement avec bassin intérieur)
Établissements thermaux
Centres de thalassothérapie / balnéothérapie / grands spas ouverts au public
Bases nautiques / centres nautiques avec vestiaires-douches
Bases de loisirs avec plages, douches et sanitaires
Centres équestres / manèges couverts avec accueil public</v>
      </c>
      <c r="H7" s="427">
        <f>'ANALYSE - ERP =&gt; CATEGORIE'!$AF$15</f>
        <v>0</v>
      </c>
      <c r="I7" s="427">
        <f>'ANALYSE - ERP =&gt; CATEGORIE'!$AK$15</f>
        <v>0</v>
      </c>
      <c r="K7" s="427">
        <f t="shared" si="0"/>
        <v>0</v>
      </c>
      <c r="L7" s="787" t="str">
        <f t="shared" si="1"/>
        <v/>
      </c>
      <c r="N7" s="970">
        <f>'ANALYSE - ERP =&gt; CATEGORIE'!$BG$15+'ANALYSE - ERP =&gt; CATEGORIE'!$BH$15+'ANALYSE - ERP =&gt; CATEGORIE'!$BI$15+'ANALYSE - ERP =&gt; CATEGORIE'!$BJ$15</f>
        <v>0</v>
      </c>
      <c r="O7" s="916" t="str">
        <f t="shared" si="2"/>
        <v/>
      </c>
      <c r="P7" s="463"/>
      <c r="Q7" s="970">
        <f>'ANALYSE - ERP =&gt; CATEGORIE'!$BG$15</f>
        <v>0</v>
      </c>
      <c r="R7" s="916" t="str">
        <f t="shared" si="3"/>
        <v/>
      </c>
      <c r="S7" s="463"/>
      <c r="T7" s="970">
        <f>'ANALYSE - ERP =&gt; CATEGORIE'!$BH$15</f>
        <v>0</v>
      </c>
      <c r="U7" s="916" t="str">
        <f t="shared" si="4"/>
        <v/>
      </c>
      <c r="V7" s="463"/>
      <c r="W7" s="970">
        <f>'ANALYSE - ERP =&gt; CATEGORIE'!$BI$15</f>
        <v>0</v>
      </c>
      <c r="X7" s="916" t="str">
        <f t="shared" si="5"/>
        <v/>
      </c>
      <c r="Y7" s="456"/>
      <c r="Z7" s="970">
        <f>'ANALYSE - ERP =&gt; CATEGORIE'!$BJ$15</f>
        <v>0</v>
      </c>
      <c r="AA7" s="916" t="str">
        <f t="shared" si="6"/>
        <v/>
      </c>
      <c r="AB7" s="463"/>
      <c r="AC7" s="465">
        <f>'ANALYSE - ERP =&gt; CATEGORIE'!$Q$15</f>
        <v>0</v>
      </c>
    </row>
    <row r="8" spans="1:29" ht="15" customHeight="1">
      <c r="A8" s="26">
        <v>5</v>
      </c>
      <c r="B8" s="26">
        <v>5</v>
      </c>
      <c r="C8" s="422">
        <f>'ANALYSE - ERP =&gt; CATEGORIE'!$A$10</f>
        <v>3</v>
      </c>
      <c r="D8" s="408" t="str">
        <f>'ANALYSE - ERP =&gt; CATEGORIE'!$B$10</f>
        <v>Culture, Patrimoine &amp; Evénementiel</v>
      </c>
      <c r="E8" s="408" t="str">
        <f>'ANALYSE - ERP =&gt; CATEGORIE'!$C$10</f>
        <v>Culture / spectacle
Expositions / salons
Événementiel temporaire
Loisirs de plein air
Loisirs de plein air / animalier</v>
      </c>
      <c r="F8" s="408" t="str">
        <f>'ANALYSE - ERP =&gt; CATEGORIE'!$D$10</f>
        <v>Cinémas
Théâtres
Musées
Salles de spectacle / auditoriums
Salles de conférence / réunion
Salles polyvalentes / salles des fêtes
Bibliothèques / médiathèques
Foires / salons
Halls d’exposition
Chapiteaux / tentes / structures
Structures gonflables
Parcs d’attractions / parcs à thèmes fixes
Parcs zoologiques / parcs animaliers ouverts au public
Aquariums ouverts au public</v>
      </c>
      <c r="H8" s="427">
        <f>'ANALYSE - ERP =&gt; CATEGORIE'!$AF$10</f>
        <v>51274</v>
      </c>
      <c r="I8" s="427">
        <f>'ANALYSE - ERP =&gt; CATEGORIE'!$AK$10</f>
        <v>51783</v>
      </c>
      <c r="K8" s="427">
        <f t="shared" si="0"/>
        <v>509</v>
      </c>
      <c r="L8" s="787">
        <f t="shared" si="1"/>
        <v>1.9775746237498115E-3</v>
      </c>
      <c r="N8" s="970">
        <f>'ANALYSE - ERP =&gt; CATEGORIE'!$BG$10+'ANALYSE - ERP =&gt; CATEGORIE'!$BH$10+'ANALYSE - ERP =&gt; CATEGORIE'!$BI$10+'ANALYSE - ERP =&gt; CATEGORIE'!$BJ$10</f>
        <v>853790.5</v>
      </c>
      <c r="O8" s="916">
        <f t="shared" si="2"/>
        <v>16.487853156441304</v>
      </c>
      <c r="P8" s="463"/>
      <c r="Q8" s="970">
        <f>'ANALYSE - ERP =&gt; CATEGORIE'!$BG$10</f>
        <v>418251</v>
      </c>
      <c r="R8" s="916">
        <f t="shared" si="3"/>
        <v>8.0769943803951101</v>
      </c>
      <c r="S8" s="463"/>
      <c r="T8" s="970">
        <f>'ANALYSE - ERP =&gt; CATEGORIE'!$BH$10</f>
        <v>10740</v>
      </c>
      <c r="U8" s="916">
        <f t="shared" si="4"/>
        <v>0.20740397427727247</v>
      </c>
      <c r="V8" s="463"/>
      <c r="W8" s="970">
        <f>'ANALYSE - ERP =&gt; CATEGORIE'!$BI$10</f>
        <v>79044.5</v>
      </c>
      <c r="X8" s="916">
        <f t="shared" si="5"/>
        <v>1.5264565591024082</v>
      </c>
      <c r="Y8" s="456"/>
      <c r="Z8" s="970">
        <f>'ANALYSE - ERP =&gt; CATEGORIE'!$BJ$10</f>
        <v>345755</v>
      </c>
      <c r="AA8" s="916">
        <f t="shared" si="6"/>
        <v>6.676998242666512</v>
      </c>
      <c r="AB8" s="463"/>
      <c r="AC8" s="465">
        <f>'ANALYSE - ERP =&gt; CATEGORIE'!$Q$10</f>
        <v>1</v>
      </c>
    </row>
    <row r="9" spans="1:29" ht="15" customHeight="1">
      <c r="A9" s="26">
        <v>6</v>
      </c>
      <c r="B9" s="26">
        <v>6</v>
      </c>
      <c r="C9" s="422">
        <f>'ANALYSE - ERP =&gt; CATEGORIE'!$A$12</f>
        <v>5</v>
      </c>
      <c r="D9" s="415" t="str">
        <f>'ANALYSE - ERP =&gt; CATEGORIE'!$B$12</f>
        <v>Tertiaire &amp; Industriel</v>
      </c>
      <c r="E9" s="415" t="str">
        <f>'ANALYSE - ERP =&gt; CATEGORIE'!$C$12</f>
        <v>Bureaux
Usines &amp; Ateliers
Logistique / stockage</v>
      </c>
      <c r="F9" s="415" t="str">
        <f>'ANALYSE - ERP =&gt; CATEGORIE'!$D$12</f>
        <v>Bureaux (&gt;50 personnes, tertiaire privé + logistique hors usines)
Usines 
(&gt;50 personnes - Hors Ateliers industriels)
Garages / ateliers de réparation automobile recevant du public
Ateliers industriels / de maintenance (&gt;50 personnes)
Centres de stockage / entrepôts / plateformes logistiques (&gt;50 personnes)</v>
      </c>
      <c r="H9" s="427">
        <f>'ANALYSE - ERP =&gt; CATEGORIE'!$AF$12</f>
        <v>47800</v>
      </c>
      <c r="I9" s="427">
        <f>'ANALYSE - ERP =&gt; CATEGORIE'!$AK$12</f>
        <v>48380</v>
      </c>
      <c r="K9" s="427">
        <f t="shared" si="0"/>
        <v>580</v>
      </c>
      <c r="L9" s="787">
        <f t="shared" si="1"/>
        <v>2.4150847671633446E-3</v>
      </c>
      <c r="N9" s="970">
        <f>'ANALYSE - ERP =&gt; CATEGORIE'!$BG$12+'ANALYSE - ERP =&gt; CATEGORIE'!$BH$12+'ANALYSE - ERP =&gt; CATEGORIE'!$BI$12+'ANALYSE - ERP =&gt; CATEGORIE'!$BJ$12</f>
        <v>2023090</v>
      </c>
      <c r="O9" s="916">
        <f t="shared" si="2"/>
        <v>41.81665977676726</v>
      </c>
      <c r="P9" s="463"/>
      <c r="Q9" s="970">
        <f>'ANALYSE - ERP =&gt; CATEGORIE'!$BG$12</f>
        <v>981870</v>
      </c>
      <c r="R9" s="916">
        <f t="shared" si="3"/>
        <v>20.294956593633732</v>
      </c>
      <c r="S9" s="463"/>
      <c r="T9" s="970">
        <f>'ANALYSE - ERP =&gt; CATEGORIE'!$BH$12</f>
        <v>121240</v>
      </c>
      <c r="U9" s="916">
        <f t="shared" si="4"/>
        <v>2.5059942124844978</v>
      </c>
      <c r="V9" s="463"/>
      <c r="W9" s="970">
        <f>'ANALYSE - ERP =&gt; CATEGORIE'!$BI$12</f>
        <v>215830</v>
      </c>
      <c r="X9" s="916">
        <f t="shared" si="5"/>
        <v>4.4611409673418772</v>
      </c>
      <c r="Y9" s="456"/>
      <c r="Z9" s="970">
        <f>'ANALYSE - ERP =&gt; CATEGORIE'!$BJ$12</f>
        <v>704150</v>
      </c>
      <c r="AA9" s="916">
        <f t="shared" si="6"/>
        <v>14.554568003307152</v>
      </c>
      <c r="AB9" s="463"/>
      <c r="AC9" s="465">
        <f>'ANALYSE - ERP =&gt; CATEGORIE'!$Q$12</f>
        <v>1</v>
      </c>
    </row>
    <row r="10" spans="1:29" ht="15" customHeight="1">
      <c r="A10" s="26">
        <v>7</v>
      </c>
      <c r="B10" s="26">
        <v>7</v>
      </c>
      <c r="C10" s="422">
        <f>'ANALYSE - ERP =&gt; CATEGORIE'!$A$9</f>
        <v>2</v>
      </c>
      <c r="D10" s="416" t="str">
        <f>'ANALYSE - ERP =&gt; CATEGORIE'!$B$9</f>
        <v>Santé &amp; Médico-social</v>
      </c>
      <c r="E10" s="416" t="str">
        <f>'ANALYSE - ERP =&gt; CATEGORIE'!$C$9</f>
        <v>Santé hospitalière
Santé spécialisée
Médico-social
Santé ambulatoire</v>
      </c>
      <c r="F10" s="416" t="str">
        <f>'ANALYSE - ERP =&gt; CATEGORIE'!$D$9</f>
        <v>Hôpitaux universitaires / CHU
Hôpitaux publics (Hors CHU, Universitaire, Militaire, Carcéral)
Hôpitaux privés
Cliniques
Centres de psychiatrie
Centres de rééducation
Maternités
Établissements médico-éducatifs
Centres de santé / centres médicaux
Maisons de santé
Foyers pour personnes handicapées
EHPAD
USLD
Résidences autonomie
Foyers-logements (Public)
Résidences services seniors (Privé)</v>
      </c>
      <c r="H10" s="427">
        <f>'ANALYSE - ERP =&gt; CATEGORIE'!$AF$9</f>
        <v>28567</v>
      </c>
      <c r="I10" s="427">
        <f>'ANALYSE - ERP =&gt; CATEGORIE'!$AK$9</f>
        <v>31256</v>
      </c>
      <c r="K10" s="427">
        <f t="shared" si="0"/>
        <v>2689</v>
      </c>
      <c r="L10" s="787">
        <f t="shared" si="1"/>
        <v>1.8154658495270759E-2</v>
      </c>
      <c r="N10" s="970">
        <f>'ANALYSE - ERP =&gt; CATEGORIE'!$BG$9+'ANALYSE - ERP =&gt; CATEGORIE'!$BH$9+'ANALYSE - ERP =&gt; CATEGORIE'!$BI$9+'ANALYSE - ERP =&gt; CATEGORIE'!$BJ$9</f>
        <v>2299793</v>
      </c>
      <c r="O10" s="916">
        <f t="shared" si="2"/>
        <v>73.579248784233428</v>
      </c>
      <c r="P10" s="463"/>
      <c r="Q10" s="970">
        <f>'ANALYSE - ERP =&gt; CATEGORIE'!$BG$9</f>
        <v>952857</v>
      </c>
      <c r="R10" s="916">
        <f t="shared" si="3"/>
        <v>30.485570770412082</v>
      </c>
      <c r="S10" s="463"/>
      <c r="T10" s="970">
        <f>'ANALYSE - ERP =&gt; CATEGORIE'!$BH$9</f>
        <v>402932.5</v>
      </c>
      <c r="U10" s="916">
        <f t="shared" si="4"/>
        <v>12.891364857947273</v>
      </c>
      <c r="V10" s="463"/>
      <c r="W10" s="970">
        <f>'ANALYSE - ERP =&gt; CATEGORIE'!$BI$9</f>
        <v>31302.5</v>
      </c>
      <c r="X10" s="916">
        <f t="shared" si="5"/>
        <v>1.0014877143588432</v>
      </c>
      <c r="Y10" s="456"/>
      <c r="Z10" s="970">
        <f>'ANALYSE - ERP =&gt; CATEGORIE'!$BJ$9</f>
        <v>912701</v>
      </c>
      <c r="AA10" s="916">
        <f t="shared" si="6"/>
        <v>29.200825441515228</v>
      </c>
      <c r="AB10" s="463"/>
      <c r="AC10" s="465">
        <f>'ANALYSE - ERP =&gt; CATEGORIE'!$Q$9</f>
        <v>1</v>
      </c>
    </row>
    <row r="11" spans="1:29" s="45" customFormat="1" ht="15" customHeight="1">
      <c r="A11" s="26">
        <v>8</v>
      </c>
      <c r="B11" s="26">
        <v>8</v>
      </c>
      <c r="C11" s="422">
        <f>'ANALYSE - ERP =&gt; CATEGORIE'!$A$13</f>
        <v>6</v>
      </c>
      <c r="D11" s="411" t="str">
        <f>'ANALYSE - ERP =&gt; CATEGORIE'!$B$13</f>
        <v>Hébergement &amp; Tourisme</v>
      </c>
      <c r="E11" s="411" t="str">
        <f>'ANALYSE - ERP =&gt; CATEGORIE'!$C$13</f>
        <v>Hébergement Touristique
Hébergement Montagne
Tourisme de plein air
Hébergement social &amp; accueil spécialisé
Santé ambulatoire spécialisée</v>
      </c>
      <c r="F11" s="411" t="str">
        <f>'ANALYSE - ERP =&gt; CATEGORIE'!$D$13</f>
        <v>Hôtels
Pensions de famille
Résidences de tourisme
Hôtels-restaurants d’altitude
Refuges de montagne
Auberges de jeunesse
Campings
Aires d’accueil des gens du voyage
Centres d’hébergement d’urgence / accueils de nuit
CHRS / centres d’hébergement et de réinsertion sociale
CADA / HUDA / CAES / centres d’accueil pour demandeurs d’asile
Foyers de jeunes travailleurs / résidences sociales / foyers de travailleurs migrants
Accueils de jour / haltes de jour avec douches et sanitaires
Cabinets dentaires / centres dentaires
Laboratoires de biologie médicale recevant du public
Centres d’imagerie médicale recevant du public
Centres de dialyse ambulatoire / unités d’autodialyse
Villages de vacances / clubs vacances / centres de vacances familiaux</v>
      </c>
      <c r="G11" s="685"/>
      <c r="H11" s="427">
        <f>'ANALYSE - ERP =&gt; CATEGORIE'!$AF$13</f>
        <v>0</v>
      </c>
      <c r="I11" s="427">
        <f>'ANALYSE - ERP =&gt; CATEGORIE'!$AK$13</f>
        <v>0</v>
      </c>
      <c r="J11" s="685"/>
      <c r="K11" s="427">
        <f t="shared" si="0"/>
        <v>0</v>
      </c>
      <c r="L11" s="787" t="str">
        <f t="shared" si="1"/>
        <v/>
      </c>
      <c r="M11" s="685"/>
      <c r="N11" s="970">
        <f>'ANALYSE - ERP =&gt; CATEGORIE'!$BG$13+'ANALYSE - ERP =&gt; CATEGORIE'!$BH$13+'ANALYSE - ERP =&gt; CATEGORIE'!$BI$13+'ANALYSE - ERP =&gt; CATEGORIE'!$BJ$13</f>
        <v>0</v>
      </c>
      <c r="O11" s="916" t="str">
        <f t="shared" si="2"/>
        <v/>
      </c>
      <c r="P11" s="685"/>
      <c r="Q11" s="970">
        <f>'ANALYSE - ERP =&gt; CATEGORIE'!$BG$13</f>
        <v>0</v>
      </c>
      <c r="R11" s="916" t="str">
        <f t="shared" si="3"/>
        <v/>
      </c>
      <c r="S11" s="685"/>
      <c r="T11" s="970">
        <f>'ANALYSE - ERP =&gt; CATEGORIE'!$BH$13</f>
        <v>0</v>
      </c>
      <c r="U11" s="916" t="str">
        <f t="shared" si="4"/>
        <v/>
      </c>
      <c r="V11" s="685"/>
      <c r="W11" s="970">
        <f>'ANALYSE - ERP =&gt; CATEGORIE'!$BI$13</f>
        <v>0</v>
      </c>
      <c r="X11" s="916" t="str">
        <f t="shared" si="5"/>
        <v/>
      </c>
      <c r="Y11" s="685"/>
      <c r="Z11" s="970">
        <f>'ANALYSE - ERP =&gt; CATEGORIE'!$BJ$13</f>
        <v>0</v>
      </c>
      <c r="AA11" s="916" t="str">
        <f t="shared" si="6"/>
        <v/>
      </c>
      <c r="AB11" s="685"/>
      <c r="AC11" s="465">
        <f>'ANALYSE - ERP =&gt; CATEGORIE'!$Q$13</f>
        <v>0</v>
      </c>
    </row>
    <row r="12" spans="1:29" ht="15" customHeight="1">
      <c r="A12" s="26">
        <v>9</v>
      </c>
      <c r="B12" s="26">
        <v>9</v>
      </c>
      <c r="C12" s="422">
        <f>'ANALYSE - ERP =&gt; CATEGORIE'!$A$18</f>
        <v>11</v>
      </c>
      <c r="D12" s="414" t="str">
        <f>'ANALYSE - ERP =&gt; CATEGORIE'!$B$18</f>
        <v>Sanitaires publics</v>
      </c>
      <c r="E12" s="414" t="str">
        <f>'ANALYSE - ERP =&gt; CATEGORIE'!$C$18</f>
        <v>Sanitaires publics</v>
      </c>
      <c r="F12" s="414" t="str">
        <f>'ANALYSE - ERP =&gt; CATEGORIE'!$D$18</f>
        <v>Toilettes publiques (sur la voie publique)
Bains-douches municipaux / douches publiques fixes
Blocs sanitaires de plage / front de mer</v>
      </c>
      <c r="H12" s="427">
        <f>'ANALYSE - ERP =&gt; CATEGORIE'!$AF$18</f>
        <v>15170</v>
      </c>
      <c r="I12" s="427">
        <f>'ANALYSE - ERP =&gt; CATEGORIE'!$AK$18</f>
        <v>15665</v>
      </c>
      <c r="K12" s="427">
        <f t="shared" si="0"/>
        <v>495</v>
      </c>
      <c r="L12" s="787">
        <f t="shared" si="1"/>
        <v>6.4424903448188076E-3</v>
      </c>
      <c r="N12" s="970">
        <f>'ANALYSE - ERP =&gt; CATEGORIE'!$BG$18+'ANALYSE - ERP =&gt; CATEGORIE'!$BH$18+'ANALYSE - ERP =&gt; CATEGORIE'!$BI$18+'ANALYSE - ERP =&gt; CATEGORIE'!$BJ$18</f>
        <v>41472.5</v>
      </c>
      <c r="O12" s="916">
        <f t="shared" si="2"/>
        <v>2.6474624960102138</v>
      </c>
      <c r="P12" s="463"/>
      <c r="Q12" s="970">
        <f>'ANALYSE - ERP =&gt; CATEGORIE'!$BG$18</f>
        <v>16160</v>
      </c>
      <c r="R12" s="916">
        <f t="shared" si="3"/>
        <v>1.0315991062879031</v>
      </c>
      <c r="S12" s="463"/>
      <c r="T12" s="970">
        <f>'ANALYSE - ERP =&gt; CATEGORIE'!$BH$18</f>
        <v>1320</v>
      </c>
      <c r="U12" s="916">
        <f t="shared" si="4"/>
        <v>8.4264283434407922E-2</v>
      </c>
      <c r="V12" s="463"/>
      <c r="W12" s="970">
        <f>'ANALYSE - ERP =&gt; CATEGORIE'!$BI$18</f>
        <v>7997.5</v>
      </c>
      <c r="X12" s="916">
        <f t="shared" si="5"/>
        <v>0.51053303542930095</v>
      </c>
      <c r="Y12" s="456"/>
      <c r="Z12" s="970">
        <f>'ANALYSE - ERP =&gt; CATEGORIE'!$BJ$18</f>
        <v>15995</v>
      </c>
      <c r="AA12" s="916">
        <f t="shared" si="6"/>
        <v>1.0210660708586019</v>
      </c>
      <c r="AB12" s="463"/>
      <c r="AC12" s="465">
        <f>'ANALYSE - ERP =&gt; CATEGORIE'!$Q$18</f>
        <v>1</v>
      </c>
    </row>
    <row r="13" spans="1:29" ht="15" customHeight="1">
      <c r="A13" s="26">
        <v>10</v>
      </c>
      <c r="B13" s="26">
        <v>10</v>
      </c>
      <c r="C13" s="422">
        <f>'ANALYSE - ERP =&gt; CATEGORIE'!$A$16</f>
        <v>9</v>
      </c>
      <c r="D13" s="411" t="str">
        <f>'ANALYSE - ERP =&gt; CATEGORIE'!$B$16</f>
        <v>Transport, Mobilité &amp; Stationnement</v>
      </c>
      <c r="E13" s="411" t="str">
        <f>'ANALYSE - ERP =&gt; CATEGORIE'!$C$16</f>
        <v>Transport / mobilité
Stationnement
Matériel roulant / transport mobile</v>
      </c>
      <c r="F13" s="411" t="str">
        <f>'ANALYSE - ERP =&gt; CATEGORIE'!$D$16</f>
        <v>Aires de service - Autoroutes
(Hors Aires de repos)
Aires de repos - Autoroutes
(Hors Aires de service)
Aéroports / aérogares
(&gt;1 000 passagers/an)
Gares ferroviaires et stations
Terminaux maritimes / fluviaux
Établissements flottants
Parcs de stationnement couverts
Ports de plaisance / capitaineries
Rames ferroviaires voyageurs
Aéronefs commerciaux
Ferries et navires à passagers 
Autocars
(Trajets longues distance)
Stations / espaces métro équipés de toilettes publiques (minimum observé RATP)</v>
      </c>
      <c r="H13" s="427">
        <f>'ANALYSE - ERP =&gt; CATEGORIE'!$AF$16</f>
        <v>17242</v>
      </c>
      <c r="I13" s="427">
        <f>'ANALYSE - ERP =&gt; CATEGORIE'!$AK$16</f>
        <v>17796</v>
      </c>
      <c r="K13" s="427">
        <f t="shared" si="0"/>
        <v>554</v>
      </c>
      <c r="L13" s="787">
        <f t="shared" si="1"/>
        <v>6.345134647989692E-3</v>
      </c>
      <c r="N13" s="970">
        <f>'ANALYSE - ERP =&gt; CATEGORIE'!$BG$16+'ANALYSE - ERP =&gt; CATEGORIE'!$BH$16+'ANALYSE - ERP =&gt; CATEGORIE'!$BI$16+'ANALYSE - ERP =&gt; CATEGORIE'!$BJ$16</f>
        <v>185639</v>
      </c>
      <c r="O13" s="916">
        <f t="shared" si="2"/>
        <v>10.431501461002473</v>
      </c>
      <c r="P13" s="463"/>
      <c r="Q13" s="970">
        <f>'ANALYSE - ERP =&gt; CATEGORIE'!$BG$16</f>
        <v>85223</v>
      </c>
      <c r="R13" s="916">
        <f t="shared" si="3"/>
        <v>4.7888851427287031</v>
      </c>
      <c r="S13" s="463"/>
      <c r="T13" s="970">
        <f>'ANALYSE - ERP =&gt; CATEGORIE'!$BH$16</f>
        <v>9408</v>
      </c>
      <c r="U13" s="916">
        <f t="shared" si="4"/>
        <v>0.52865812542144297</v>
      </c>
      <c r="V13" s="463"/>
      <c r="W13" s="970">
        <f>'ANALYSE - ERP =&gt; CATEGORIE'!$BI$16</f>
        <v>11001</v>
      </c>
      <c r="X13" s="916">
        <f t="shared" si="5"/>
        <v>0.61817262306136211</v>
      </c>
      <c r="Y13" s="456"/>
      <c r="Z13" s="970">
        <f>'ANALYSE - ERP =&gt; CATEGORIE'!$BJ$16</f>
        <v>80007</v>
      </c>
      <c r="AA13" s="916">
        <f t="shared" si="6"/>
        <v>4.4957855697909643</v>
      </c>
      <c r="AB13" s="463"/>
      <c r="AC13" s="465">
        <f>'ANALYSE - ERP =&gt; CATEGORIE'!$Q$16</f>
        <v>1</v>
      </c>
    </row>
    <row r="14" spans="1:29" ht="15" customHeight="1">
      <c r="A14" s="26">
        <v>11</v>
      </c>
      <c r="B14" s="26">
        <v>11</v>
      </c>
      <c r="C14" s="422">
        <f>'ANALYSE - ERP =&gt; CATEGORIE'!$A$17</f>
        <v>10</v>
      </c>
      <c r="D14" s="411" t="str">
        <f>'ANALYSE - ERP =&gt; CATEGORIE'!$B$17</f>
        <v>Sécurité &amp; Justice</v>
      </c>
      <c r="E14" s="411" t="str">
        <f>'ANALYSE - ERP =&gt; CATEGORIE'!$C$17</f>
        <v>Commissariats / postes de police 
Forces armées
Univers carcéral
Tribunaux</v>
      </c>
      <c r="F14" s="411" t="str">
        <f>'ANALYSE - ERP =&gt; CATEGORIE'!$D$17</f>
        <v>Locaux de sûreté, garde à vue et zones opérationnelles
Postes de proximité et antennes avec accueil public
Salles de réunion, de prévention ou de conférence ouvertes au public
Unités d'hébergement des militaires &amp; réservistes
Centres de recrutement et bureaux d’information
Restaurants ou équipements sportifs ouverts au public sur emprise militaire
Hôpitaux d’instruction des armées et centres médicaux recevant du public
Salles de conférence, auditoriums et espaces événementiels ouverts au public
Maisons d’arrêt
Centres de détention
Maisons centrales
Centres pénitentiaires
Centres de semi-liberté
Centres éducatifs fermés
Centres pour peines aménagées
(absorbés par autres centres carcéraux)
Unités hospitalières sécurisées
Palais de justice et bâtiments judiciaires multi-usages
Maisons de justice et du droit
Tribunaux de commerce autonomes
Conseils de prud’hommes autonomes
Autres bâtiments judiciaires autonomes recevant du public</v>
      </c>
      <c r="H14" s="427">
        <f>'ANALYSE - ERP =&gt; CATEGORIE'!$AF$17</f>
        <v>2410</v>
      </c>
      <c r="I14" s="427">
        <f>'ANALYSE - ERP =&gt; CATEGORIE'!$AK$17</f>
        <v>2435</v>
      </c>
      <c r="K14" s="427">
        <f t="shared" si="0"/>
        <v>25</v>
      </c>
      <c r="L14" s="787">
        <f t="shared" si="1"/>
        <v>2.0661333243596758E-3</v>
      </c>
      <c r="N14" s="970">
        <f>'ANALYSE - ERP =&gt; CATEGORIE'!$BG$17+'ANALYSE - ERP =&gt; CATEGORIE'!$BH$17+'ANALYSE - ERP =&gt; CATEGORIE'!$BI$17+'ANALYSE - ERP =&gt; CATEGORIE'!$BJ$17</f>
        <v>125156.5</v>
      </c>
      <c r="O14" s="916">
        <f t="shared" si="2"/>
        <v>51.398973305954826</v>
      </c>
      <c r="P14" s="463"/>
      <c r="Q14" s="970">
        <f>'ANALYSE - ERP =&gt; CATEGORIE'!$BG$17</f>
        <v>56039</v>
      </c>
      <c r="R14" s="916">
        <f t="shared" si="3"/>
        <v>23.013963039014374</v>
      </c>
      <c r="S14" s="463"/>
      <c r="T14" s="970">
        <f>'ANALYSE - ERP =&gt; CATEGORIE'!$BH$17</f>
        <v>13065</v>
      </c>
      <c r="U14" s="916">
        <f t="shared" si="4"/>
        <v>5.3655030800821359</v>
      </c>
      <c r="V14" s="463"/>
      <c r="W14" s="970">
        <f>'ANALYSE - ERP =&gt; CATEGORIE'!$BI$17</f>
        <v>3926.5</v>
      </c>
      <c r="X14" s="916">
        <f t="shared" si="5"/>
        <v>1.6125256673511295</v>
      </c>
      <c r="Y14" s="456"/>
      <c r="Z14" s="970">
        <f>'ANALYSE - ERP =&gt; CATEGORIE'!$BJ$17</f>
        <v>52126</v>
      </c>
      <c r="AA14" s="916">
        <f t="shared" si="6"/>
        <v>21.406981519507188</v>
      </c>
      <c r="AB14" s="463"/>
      <c r="AC14" s="465">
        <f>'ANALYSE - ERP =&gt; CATEGORIE'!$Q$17</f>
        <v>1</v>
      </c>
    </row>
  </sheetData>
  <pageMargins left="3.937007874015748E-2" right="3.937007874015748E-2" top="7.874015748031496E-2" bottom="7.874015748031496E-2" header="0.11811023622047249" footer="0.11811023622047249"/>
  <pageSetup paperSize="8" scale="69" fitToHeight="2"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4" tint="-0.249977111117893"/>
    <pageSetUpPr fitToPage="1"/>
  </sheetPr>
  <dimension ref="A1:AR14"/>
  <sheetViews>
    <sheetView workbookViewId="0">
      <selection activeCell="F21" sqref="F21"/>
    </sheetView>
  </sheetViews>
  <sheetFormatPr baseColWidth="10" defaultColWidth="9.140625" defaultRowHeight="15"/>
  <cols>
    <col min="1" max="2" width="9" style="934" customWidth="1"/>
    <col min="3" max="3" width="6" style="934" customWidth="1"/>
    <col min="4" max="4" width="35" style="934" customWidth="1"/>
    <col min="5" max="5" width="22" style="43" bestFit="1" customWidth="1"/>
    <col min="6" max="6" width="63.42578125" style="43" customWidth="1"/>
    <col min="7" max="7" width="1.7109375" style="933" customWidth="1"/>
    <col min="8" max="8" width="11.28515625" style="43" customWidth="1"/>
    <col min="9" max="9" width="9" style="934" customWidth="1"/>
    <col min="10" max="10" width="10.140625" style="934" customWidth="1"/>
    <col min="11" max="11" width="8.5703125" style="934" customWidth="1"/>
    <col min="12" max="12" width="1.7109375" style="933" customWidth="1"/>
    <col min="13" max="13" width="10.42578125" style="934" customWidth="1"/>
    <col min="14" max="14" width="9.28515625" style="934" customWidth="1"/>
    <col min="15" max="15" width="9.7109375" style="934" customWidth="1"/>
    <col min="16" max="16" width="7.85546875" style="934" customWidth="1"/>
    <col min="17" max="17" width="1.7109375" style="933" customWidth="1"/>
    <col min="18" max="18" width="15" style="934" customWidth="1"/>
    <col min="19" max="19" width="10.42578125" style="934" customWidth="1"/>
    <col min="20" max="20" width="12" style="934" customWidth="1"/>
    <col min="21" max="44" width="9.140625" style="933" customWidth="1"/>
  </cols>
  <sheetData>
    <row r="1" spans="1:20" ht="18.75" customHeight="1">
      <c r="A1" s="933"/>
      <c r="B1" s="933"/>
      <c r="C1" s="477"/>
      <c r="D1" s="479"/>
      <c r="E1" s="478" t="s">
        <v>7718</v>
      </c>
      <c r="F1" s="479"/>
      <c r="H1" s="829" t="s">
        <v>2461</v>
      </c>
      <c r="I1" s="113"/>
      <c r="J1" s="113"/>
      <c r="K1" s="113"/>
      <c r="L1" s="113"/>
      <c r="M1" s="829" t="s">
        <v>6710</v>
      </c>
      <c r="N1" s="933"/>
      <c r="O1" s="933"/>
      <c r="P1" s="933"/>
      <c r="R1" s="933"/>
      <c r="S1" s="933"/>
      <c r="T1" s="933"/>
    </row>
    <row r="2" spans="1:20" ht="55.5" customHeight="1">
      <c r="A2" s="420" t="s">
        <v>6712</v>
      </c>
      <c r="B2" s="420" t="s">
        <v>6713</v>
      </c>
      <c r="C2" s="829" t="s">
        <v>2044</v>
      </c>
      <c r="D2" s="420" t="s">
        <v>2045</v>
      </c>
      <c r="E2" s="420" t="s">
        <v>6715</v>
      </c>
      <c r="F2" s="420" t="s">
        <v>2181</v>
      </c>
      <c r="H2" s="829" t="s">
        <v>2514</v>
      </c>
      <c r="I2" s="829" t="s">
        <v>7719</v>
      </c>
      <c r="J2" s="829" t="s">
        <v>7720</v>
      </c>
      <c r="K2" s="829" t="s">
        <v>2517</v>
      </c>
      <c r="L2" s="113"/>
      <c r="M2" s="829" t="s">
        <v>2514</v>
      </c>
      <c r="N2" s="829" t="s">
        <v>7719</v>
      </c>
      <c r="O2" s="829" t="s">
        <v>7720</v>
      </c>
      <c r="P2" s="829" t="s">
        <v>2517</v>
      </c>
      <c r="R2" s="420" t="s">
        <v>7721</v>
      </c>
      <c r="S2" s="829" t="s">
        <v>7722</v>
      </c>
      <c r="T2" s="829" t="s">
        <v>6711</v>
      </c>
    </row>
    <row r="3" spans="1:20">
      <c r="A3" s="405" t="s">
        <v>2535</v>
      </c>
      <c r="B3" s="405" t="s">
        <v>2535</v>
      </c>
      <c r="C3" s="405" t="s">
        <v>2090</v>
      </c>
      <c r="D3" s="405" t="s">
        <v>2086</v>
      </c>
      <c r="E3" s="405" t="s">
        <v>6728</v>
      </c>
      <c r="F3" s="405" t="s">
        <v>6729</v>
      </c>
      <c r="H3" s="790" t="str">
        <f>IFERROR(SUMPRODUCT(($T$4:$T$106),('ANALYSE - ERP =&gt; CATEGORIE'!$BC$8:$BC$110),('ANALYSE - ERP =&gt; CATEGORIE'!$BL$8:$BL$110))/SUMPRODUCT(($T$4:$T$106),('ANALYSE - ERP =&gt; CATEGORIE'!$BC$8:$BC$110),100),"")</f>
        <v/>
      </c>
      <c r="I3" s="790" t="str">
        <f>IFERROR(SUMPRODUCT(($T$4:$T$106),('ANALYSE - ERP =&gt; CATEGORIE'!$BC$8:$BC$110),('ANALYSE - ERP =&gt; CATEGORIE'!$BM$8:$BM$110))/SUMPRODUCT(($T$4:$T$106),('ANALYSE - ERP =&gt; CATEGORIE'!$BC$8:$BC$110),100),"")</f>
        <v/>
      </c>
      <c r="J3" s="790" t="str">
        <f>IFERROR(SUMPRODUCT(($T$4:$T$106),('ANALYSE - ERP =&gt; CATEGORIE'!$BC$8:$BC$110),('ANALYSE - ERP =&gt; CATEGORIE'!$BN$8:$BN$110))/SUMPRODUCT(($T$4:$T$106),('ANALYSE - ERP =&gt; CATEGORIE'!$BC$8:$BC$110),100),"")</f>
        <v/>
      </c>
      <c r="K3" s="790" t="str">
        <f>IFERROR(SUMPRODUCT(($T$4:$T$106),('ANALYSE - ERP =&gt; CATEGORIE'!$BC$8:$BC$110),('ANALYSE - ERP =&gt; CATEGORIE'!$BO$8:$BO$110))/SUMPRODUCT(($T$4:$T$106),('ANALYSE - ERP =&gt; CATEGORIE'!$BC$8:$BC$110),100),"")</f>
        <v/>
      </c>
      <c r="M3" s="790" t="str">
        <f>IFERROR(SUMPRODUCT(($T$4:$T$106),('ANALYSE - ERP =&gt; CATEGORIE'!$BG$8:$BG$110),('ANALYSE - ERP =&gt; CATEGORIE'!$BP$8:$BP$110))/SUMPRODUCT(($T$4:$T$106),('ANALYSE - ERP =&gt; CATEGORIE'!$BG$8:$BG$110),100),"")</f>
        <v/>
      </c>
      <c r="N3" s="790" t="str">
        <f>IFERROR(SUMPRODUCT(($T$4:$T$106),('ANALYSE - ERP =&gt; CATEGORIE'!$BG$8:$BG$110),('ANALYSE - ERP =&gt; CATEGORIE'!$BQ$8:$BQ$110))/SUMPRODUCT(($T$4:$T$106),('ANALYSE - ERP =&gt; CATEGORIE'!$BG$8:$BG$110),100),"")</f>
        <v/>
      </c>
      <c r="O3" s="790" t="str">
        <f>IFERROR(SUMPRODUCT(($T$4:$T$106),('ANALYSE - ERP =&gt; CATEGORIE'!$BG$8:$BG$110),('ANALYSE - ERP =&gt; CATEGORIE'!$BR$8:$BR$110))/SUMPRODUCT(($T$4:$T$106),('ANALYSE - ERP =&gt; CATEGORIE'!$BG$8:$BG$110),100),"")</f>
        <v/>
      </c>
      <c r="P3" s="790" t="str">
        <f>IFERROR(SUMPRODUCT(($T$4:$T$106),('ANALYSE - ERP =&gt; CATEGORIE'!$BG$8:$BG$110),('ANALYSE - ERP =&gt; CATEGORIE'!$BS$8:$BS$110))/SUMPRODUCT(($T$4:$T$106),('ANALYSE - ERP =&gt; CATEGORIE'!$BG$8:$BG$110),100),"")</f>
        <v/>
      </c>
      <c r="R3" s="790"/>
      <c r="S3" s="984">
        <f>SUMPRODUCT(($T$4:$T$106),('ANALYSE - ERP =&gt; CATEGORIE'!$BG$8:$BG$110))</f>
        <v>1823522</v>
      </c>
      <c r="T3" s="428">
        <f>SUM('ANALYSE - ERP =&gt; CATEGORIE'!$Q$8:$Q$110)</f>
        <v>9</v>
      </c>
    </row>
    <row r="4" spans="1:20" ht="15" customHeight="1">
      <c r="A4" s="26">
        <v>1</v>
      </c>
      <c r="B4" s="26">
        <v>1</v>
      </c>
      <c r="C4" s="422">
        <f>'ANALYSE - ERP =&gt; CATEGORIE'!$A$11</f>
        <v>4</v>
      </c>
      <c r="D4" s="413" t="str">
        <f>'ANALYSE - ERP =&gt; CATEGORIE'!$B$11</f>
        <v>Commerce, Restauration &amp; Loisirs</v>
      </c>
      <c r="E4" s="413" t="str">
        <f>'ANALYSE - ERP =&gt; CATEGORIE'!$C$11</f>
        <v>Restauration / boissons
Loisirs
Commerce</v>
      </c>
      <c r="F4" s="413" t="str">
        <f>'ANALYSE - ERP =&gt; CATEGORIE'!$D$11</f>
        <v>Cafés / bars / brasseries
Fast-food / cafétérias / food courts
Restaurants
(Hors établissements altitude, flottant, armée)
Salles de jeux / bowlings / billards
Discothèques / salles de danse
Centres commerciaux / malls
Marchés couverts
Casinos</v>
      </c>
      <c r="H4" s="787">
        <f>'ANALYSE - ERP =&gt; CATEGORIE'!$BL$11</f>
        <v>0.28430400551413959</v>
      </c>
      <c r="I4" s="787">
        <f>'ANALYSE - ERP =&gt; CATEGORIE'!$BM$11</f>
        <v>0.54183126594301834</v>
      </c>
      <c r="J4" s="787">
        <f>'ANALYSE - ERP =&gt; CATEGORIE'!$BN$11</f>
        <v>0.12614873046725311</v>
      </c>
      <c r="K4" s="787">
        <f>'ANALYSE - ERP =&gt; CATEGORIE'!$BO$11</f>
        <v>4.771599807558901E-2</v>
      </c>
      <c r="M4" s="787">
        <f>'ANALYSE - ERP =&gt; CATEGORIE'!$BP$11</f>
        <v>0.25065530063361424</v>
      </c>
      <c r="N4" s="787">
        <f>'ANALYSE - ERP =&gt; CATEGORIE'!$BQ$11</f>
        <v>0.54248541818637674</v>
      </c>
      <c r="O4" s="787">
        <f>'ANALYSE - ERP =&gt; CATEGORIE'!$BR$11</f>
        <v>0.16442019708274888</v>
      </c>
      <c r="P4" s="787">
        <f>'ANALYSE - ERP =&gt; CATEGORIE'!$BS$11</f>
        <v>4.2439084097260125E-2</v>
      </c>
      <c r="R4" s="791" t="s">
        <v>7719</v>
      </c>
      <c r="S4" s="424">
        <f>'ANALYSE - ERP =&gt; CATEGORIE'!$BG$11</f>
        <v>1013077</v>
      </c>
      <c r="T4" s="430">
        <f>'ANALYSE - ERP =&gt; CATEGORIE'!$Q$11</f>
        <v>1</v>
      </c>
    </row>
    <row r="5" spans="1:20" ht="15" customHeight="1">
      <c r="A5" s="26">
        <v>2</v>
      </c>
      <c r="B5" s="26">
        <v>2</v>
      </c>
      <c r="C5" s="422">
        <f>'ANALYSE - ERP =&gt; CATEGORIE'!$A$8</f>
        <v>1</v>
      </c>
      <c r="D5" s="408" t="str">
        <f>'ANALYSE - ERP =&gt; CATEGORIE'!$B$8</f>
        <v>Enfance, Enseignement &amp; Jeunesse</v>
      </c>
      <c r="E5" s="408" t="str">
        <f>'ANALYSE - ERP =&gt; CATEGORIE'!$C$8</f>
        <v>Petite enfance
Enseignement scolaire
Enseignement supérieur
Enfance / jeunesse
Formation</v>
      </c>
      <c r="F5" s="408" t="str">
        <f>'ANALYSE - ERP =&gt; CATEGORIE'!$D$8</f>
        <v>Crèches
Écoles maternelles
Écoles primaires
Collèges (vestiaires EPS inclus)
Lycées (vestiaires EPS inclus)
Universités
Grandes écoles
Internats scolaires
Résidences étudiantes et dortoirs
Centres de loisirs sans hébergement
Centres de vacances / colonies
Centres de formation / CFA</v>
      </c>
      <c r="H5" s="787" t="str">
        <f>'ANALYSE - ERP =&gt; CATEGORIE'!$BL$8</f>
        <v/>
      </c>
      <c r="I5" s="787" t="str">
        <f>'ANALYSE - ERP =&gt; CATEGORIE'!$BM$8</f>
        <v/>
      </c>
      <c r="J5" s="787" t="str">
        <f>'ANALYSE - ERP =&gt; CATEGORIE'!$BN$8</f>
        <v/>
      </c>
      <c r="K5" s="787" t="str">
        <f>'ANALYSE - ERP =&gt; CATEGORIE'!$BO$8</f>
        <v/>
      </c>
      <c r="M5" s="787" t="str">
        <f>'ANALYSE - ERP =&gt; CATEGORIE'!$BP$8</f>
        <v/>
      </c>
      <c r="N5" s="787" t="str">
        <f>'ANALYSE - ERP =&gt; CATEGORIE'!$BQ$8</f>
        <v/>
      </c>
      <c r="O5" s="787" t="str">
        <f>'ANALYSE - ERP =&gt; CATEGORIE'!$BR$8</f>
        <v/>
      </c>
      <c r="P5" s="787" t="str">
        <f>'ANALYSE - ERP =&gt; CATEGORIE'!$BS$8</f>
        <v/>
      </c>
      <c r="R5" s="791" t="s">
        <v>7719</v>
      </c>
      <c r="S5" s="424">
        <f>'ANALYSE - ERP =&gt; CATEGORIE'!$BG$8</f>
        <v>0</v>
      </c>
      <c r="T5" s="430">
        <f>'ANALYSE - ERP =&gt; CATEGORIE'!$Q$8</f>
        <v>0</v>
      </c>
    </row>
    <row r="6" spans="1:20" ht="15" customHeight="1">
      <c r="A6" s="26">
        <v>3</v>
      </c>
      <c r="B6" s="26">
        <v>3</v>
      </c>
      <c r="C6" s="422">
        <f>'ANALYSE - ERP =&gt; CATEGORIE'!$A$9</f>
        <v>2</v>
      </c>
      <c r="D6" s="413" t="str">
        <f>'ANALYSE - ERP =&gt; CATEGORIE'!$B$9</f>
        <v>Santé &amp; Médico-social</v>
      </c>
      <c r="E6" s="413" t="str">
        <f>'ANALYSE - ERP =&gt; CATEGORIE'!$C$9</f>
        <v>Santé hospitalière
Santé spécialisée
Médico-social
Santé ambulatoire</v>
      </c>
      <c r="F6" s="413" t="str">
        <f>'ANALYSE - ERP =&gt; CATEGORIE'!$D$9</f>
        <v>Hôpitaux universitaires / CHU
Hôpitaux publics (Hors CHU, Universitaire, Militaire, Carcéral)
Hôpitaux privés
Cliniques
Centres de psychiatrie
Centres de rééducation
Maternités
Établissements médico-éducatifs
Centres de santé / centres médicaux
Maisons de santé
Foyers pour personnes handicapées
EHPAD
USLD
Résidences autonomie
Foyers-logements (Public)
Résidences services seniors (Privé)</v>
      </c>
      <c r="H6" s="787">
        <f>'ANALYSE - ERP =&gt; CATEGORIE'!$BL$9</f>
        <v>0.55489104956114987</v>
      </c>
      <c r="I6" s="787">
        <f>'ANALYSE - ERP =&gt; CATEGORIE'!$BM$9</f>
        <v>0.18629649445524782</v>
      </c>
      <c r="J6" s="787">
        <f>'ANALYSE - ERP =&gt; CATEGORIE'!$BN$9</f>
        <v>0.1240355494823146</v>
      </c>
      <c r="K6" s="787">
        <f>'ANALYSE - ERP =&gt; CATEGORIE'!$BO$9</f>
        <v>0.13477690650128765</v>
      </c>
      <c r="M6" s="787">
        <f>'ANALYSE - ERP =&gt; CATEGORIE'!$BP$9</f>
        <v>0.53055303156717104</v>
      </c>
      <c r="N6" s="787">
        <f>'ANALYSE - ERP =&gt; CATEGORIE'!$BQ$9</f>
        <v>0.18673681360372019</v>
      </c>
      <c r="O6" s="787">
        <f>'ANALYSE - ERP =&gt; CATEGORIE'!$BR$9</f>
        <v>0.14848602675952427</v>
      </c>
      <c r="P6" s="787">
        <f>'ANALYSE - ERP =&gt; CATEGORIE'!$BS$9</f>
        <v>0.13422412806958442</v>
      </c>
      <c r="R6" s="791" t="s">
        <v>2514</v>
      </c>
      <c r="S6" s="424">
        <f>'ANALYSE - ERP =&gt; CATEGORIE'!$BG$9</f>
        <v>952857</v>
      </c>
      <c r="T6" s="430">
        <f>'ANALYSE - ERP =&gt; CATEGORIE'!$Q$9</f>
        <v>1</v>
      </c>
    </row>
    <row r="7" spans="1:20" ht="15" customHeight="1">
      <c r="A7" s="26">
        <v>4</v>
      </c>
      <c r="B7" s="26">
        <v>4</v>
      </c>
      <c r="C7" s="422">
        <f>'ANALYSE - ERP =&gt; CATEGORIE'!$A$14</f>
        <v>7</v>
      </c>
      <c r="D7" s="413" t="str">
        <f>'ANALYSE - ERP =&gt; CATEGORIE'!$B$14</f>
        <v>Culte, Vie civique &amp; Services publics</v>
      </c>
      <c r="E7" s="413" t="str">
        <f>'ANALYSE - ERP =&gt; CATEGORIE'!$C$14</f>
        <v>Administrations / services publics
Culte
Vie associative</v>
      </c>
      <c r="F7" s="413" t="str">
        <f>'ANALYSE - ERP =&gt; CATEGORIE'!$D$14</f>
        <v>Mairies / hôtels de ville
Préfectures / services administratifs
Maisons France Services
Guichets publics
Églises, cathédrales, basiliques et chapelles ouvertes au public
Monastères, abbayes et couvents ouverts au public
Temples protestants, évangéliques et salles de culte assimilées
Mosquées et salles de prière musulmanes
Synagogues et oratoires juifs ouverts au public
Temples bouddhistes, hindous et autres lieux de culte non abrahamiques ouverts au public
Salles du Royaume, centres cultuels pluriconfessionnels et lieux de culte polyvalents
Locaux associatifs recevant du public</v>
      </c>
      <c r="H7" s="787">
        <f>'ANALYSE - ERP =&gt; CATEGORIE'!$BL$14</f>
        <v>0.30721987464661243</v>
      </c>
      <c r="I7" s="787">
        <f>'ANALYSE - ERP =&gt; CATEGORIE'!$BM$14</f>
        <v>0.5171619169372933</v>
      </c>
      <c r="J7" s="787">
        <f>'ANALYSE - ERP =&gt; CATEGORIE'!$BN$14</f>
        <v>0.13305665784359572</v>
      </c>
      <c r="K7" s="787">
        <f>'ANALYSE - ERP =&gt; CATEGORIE'!$BO$14</f>
        <v>4.2561550572498622E-2</v>
      </c>
      <c r="M7" s="787">
        <f>'ANALYSE - ERP =&gt; CATEGORIE'!$BP$14</f>
        <v>0.26627246860784082</v>
      </c>
      <c r="N7" s="787">
        <f>'ANALYSE - ERP =&gt; CATEGORIE'!$BQ$14</f>
        <v>0.52170033053345377</v>
      </c>
      <c r="O7" s="787">
        <f>'ANALYSE - ERP =&gt; CATEGORIE'!$BR$14</f>
        <v>0.17802949244373265</v>
      </c>
      <c r="P7" s="787">
        <f>'ANALYSE - ERP =&gt; CATEGORIE'!$BS$14</f>
        <v>3.3997708414972821E-2</v>
      </c>
      <c r="R7" s="791" t="s">
        <v>7719</v>
      </c>
      <c r="S7" s="424">
        <f>'ANALYSE - ERP =&gt; CATEGORIE'!$BG$14</f>
        <v>234772</v>
      </c>
      <c r="T7" s="430">
        <f>'ANALYSE - ERP =&gt; CATEGORIE'!$Q$14</f>
        <v>1</v>
      </c>
    </row>
    <row r="8" spans="1:20" ht="15" customHeight="1">
      <c r="A8" s="26">
        <v>5</v>
      </c>
      <c r="B8" s="26">
        <v>5</v>
      </c>
      <c r="C8" s="422">
        <f>'ANALYSE - ERP =&gt; CATEGORIE'!$A$15</f>
        <v>8</v>
      </c>
      <c r="D8" s="413" t="str">
        <f>'ANALYSE - ERP =&gt; CATEGORIE'!$B$15</f>
        <v>Sport</v>
      </c>
      <c r="E8" s="413" t="str">
        <f>'ANALYSE - ERP =&gt; CATEGORIE'!$C$15</f>
        <v>Sport couvert / Thermalisme / bien-être
Sport de plein air
Sport couvert / équestre</v>
      </c>
      <c r="F8" s="413" t="str">
        <f>'ANALYSE - ERP =&gt; CATEGORIE'!$D$15</f>
        <v>Gymnases / salles multisports
Piscines couvertes
Salles de fitness / dojos
Patinoires couvertes
Grands stades avec tribunes
(Type football/rugby) 
Stades 
(Type athlétisme - Hors scolaire)
Terrains de sport
(Hors scolaire)
Hippodromes
Piscines extérieures 
(Hors campings, hôtels, résidences et établissement avec bassin intérieur)
Établissements thermaux
Centres de thalassothérapie / balnéothérapie / grands spas ouverts au public
Bases nautiques / centres nautiques avec vestiaires-douches
Bases de loisirs avec plages, douches et sanitaires
Centres équestres / manèges couverts avec accueil public</v>
      </c>
      <c r="H8" s="787" t="str">
        <f>'ANALYSE - ERP =&gt; CATEGORIE'!$BL$15</f>
        <v/>
      </c>
      <c r="I8" s="787" t="str">
        <f>'ANALYSE - ERP =&gt; CATEGORIE'!$BM$15</f>
        <v/>
      </c>
      <c r="J8" s="787" t="str">
        <f>'ANALYSE - ERP =&gt; CATEGORIE'!$BN$15</f>
        <v/>
      </c>
      <c r="K8" s="787" t="str">
        <f>'ANALYSE - ERP =&gt; CATEGORIE'!$BO$15</f>
        <v/>
      </c>
      <c r="M8" s="787" t="str">
        <f>'ANALYSE - ERP =&gt; CATEGORIE'!$BP$15</f>
        <v/>
      </c>
      <c r="N8" s="787" t="str">
        <f>'ANALYSE - ERP =&gt; CATEGORIE'!$BQ$15</f>
        <v/>
      </c>
      <c r="O8" s="787" t="str">
        <f>'ANALYSE - ERP =&gt; CATEGORIE'!$BR$15</f>
        <v/>
      </c>
      <c r="P8" s="787" t="str">
        <f>'ANALYSE - ERP =&gt; CATEGORIE'!$BS$15</f>
        <v/>
      </c>
      <c r="R8" s="791" t="s">
        <v>7719</v>
      </c>
      <c r="S8" s="424">
        <f>'ANALYSE - ERP =&gt; CATEGORIE'!$BG$15</f>
        <v>0</v>
      </c>
      <c r="T8" s="430">
        <f>'ANALYSE - ERP =&gt; CATEGORIE'!$Q$15</f>
        <v>0</v>
      </c>
    </row>
    <row r="9" spans="1:20" ht="15" customHeight="1">
      <c r="A9" s="26">
        <v>6</v>
      </c>
      <c r="B9" s="26">
        <v>6</v>
      </c>
      <c r="C9" s="422">
        <f>'ANALYSE - ERP =&gt; CATEGORIE'!$A$12</f>
        <v>5</v>
      </c>
      <c r="D9" s="414" t="str">
        <f>'ANALYSE - ERP =&gt; CATEGORIE'!$B$12</f>
        <v>Tertiaire &amp; Industriel</v>
      </c>
      <c r="E9" s="414" t="str">
        <f>'ANALYSE - ERP =&gt; CATEGORIE'!$C$12</f>
        <v>Bureaux
Usines &amp; Ateliers
Logistique / stockage</v>
      </c>
      <c r="F9" s="414" t="str">
        <f>'ANALYSE - ERP =&gt; CATEGORIE'!$D$12</f>
        <v>Bureaux (&gt;50 personnes, tertiaire privé + logistique hors usines)
Usines 
(&gt;50 personnes - Hors Ateliers industriels)
Garages / ateliers de réparation automobile recevant du public
Ateliers industriels / de maintenance (&gt;50 personnes)
Centres de stockage / entrepôts / plateformes logistiques (&gt;50 personnes)</v>
      </c>
      <c r="H9" s="787">
        <f>'ANALYSE - ERP =&gt; CATEGORIE'!$BL$12</f>
        <v>0.42335420944558522</v>
      </c>
      <c r="I9" s="787">
        <f>'ANALYSE - ERP =&gt; CATEGORIE'!$BM$12</f>
        <v>0.36990965092402461</v>
      </c>
      <c r="J9" s="787">
        <f>'ANALYSE - ERP =&gt; CATEGORIE'!$BN$12</f>
        <v>0.15755646817248464</v>
      </c>
      <c r="K9" s="787">
        <f>'ANALYSE - ERP =&gt; CATEGORIE'!$BO$12</f>
        <v>4.9179671457905541E-2</v>
      </c>
      <c r="M9" s="787">
        <f>'ANALYSE - ERP =&gt; CATEGORIE'!$BP$12</f>
        <v>0.36711692993980871</v>
      </c>
      <c r="N9" s="787">
        <f>'ANALYSE - ERP =&gt; CATEGORIE'!$BQ$12</f>
        <v>0.3799287074663652</v>
      </c>
      <c r="O9" s="787">
        <f>'ANALYSE - ERP =&gt; CATEGORIE'!$BR$12</f>
        <v>0.21535641174493569</v>
      </c>
      <c r="P9" s="787">
        <f>'ANALYSE - ERP =&gt; CATEGORIE'!$BS$12</f>
        <v>3.7597950848890387E-2</v>
      </c>
      <c r="R9" s="791" t="s">
        <v>7719</v>
      </c>
      <c r="S9" s="424">
        <f>'ANALYSE - ERP =&gt; CATEGORIE'!$BG$12</f>
        <v>981870</v>
      </c>
      <c r="T9" s="430">
        <f>'ANALYSE - ERP =&gt; CATEGORIE'!$Q$12</f>
        <v>1</v>
      </c>
    </row>
    <row r="10" spans="1:20" ht="15" customHeight="1">
      <c r="A10" s="26">
        <v>7</v>
      </c>
      <c r="B10" s="26">
        <v>7</v>
      </c>
      <c r="C10" s="422">
        <f>'ANALYSE - ERP =&gt; CATEGORIE'!$A$10</f>
        <v>3</v>
      </c>
      <c r="D10" s="414" t="str">
        <f>'ANALYSE - ERP =&gt; CATEGORIE'!$B$10</f>
        <v>Culture, Patrimoine &amp; Evénementiel</v>
      </c>
      <c r="E10" s="414" t="str">
        <f>'ANALYSE - ERP =&gt; CATEGORIE'!$C$10</f>
        <v>Culture / spectacle
Expositions / salons
Événementiel temporaire
Loisirs de plein air
Loisirs de plein air / animalier</v>
      </c>
      <c r="F10" s="414" t="str">
        <f>'ANALYSE - ERP =&gt; CATEGORIE'!$D$10</f>
        <v>Cinémas
Théâtres
Musées
Salles de spectacle / auditoriums
Salles de conférence / réunion
Salles polyvalentes / salles des fêtes
Bibliothèques / médiathèques
Foires / salons
Halls d’exposition
Chapiteaux / tentes / structures
Structures gonflables
Parcs d’attractions / parcs à thèmes fixes
Parcs zoologiques / parcs animaliers ouverts au public
Aquariums ouverts au public</v>
      </c>
      <c r="H10" s="787">
        <f>'ANALYSE - ERP =&gt; CATEGORIE'!$BL$10</f>
        <v>0.21711331110591173</v>
      </c>
      <c r="I10" s="787">
        <f>'ANALYSE - ERP =&gt; CATEGORIE'!$BM$10</f>
        <v>0.62015447083138353</v>
      </c>
      <c r="J10" s="787">
        <f>'ANALYSE - ERP =&gt; CATEGORIE'!$BN$10</f>
        <v>0.11251774294181875</v>
      </c>
      <c r="K10" s="787">
        <f>'ANALYSE - ERP =&gt; CATEGORIE'!$BO$10</f>
        <v>5.0214475120885976E-2</v>
      </c>
      <c r="M10" s="787">
        <f>'ANALYSE - ERP =&gt; CATEGORIE'!$BP$10</f>
        <v>0.19175552479252889</v>
      </c>
      <c r="N10" s="787">
        <f>'ANALYSE - ERP =&gt; CATEGORIE'!$BQ$10</f>
        <v>0.6224682307992091</v>
      </c>
      <c r="O10" s="787">
        <f>'ANALYSE - ERP =&gt; CATEGORIE'!$BR$10</f>
        <v>0.14312343544904854</v>
      </c>
      <c r="P10" s="787">
        <f>'ANALYSE - ERP =&gt; CATEGORIE'!$BS$10</f>
        <v>4.2652808959213494E-2</v>
      </c>
      <c r="R10" s="791" t="s">
        <v>7719</v>
      </c>
      <c r="S10" s="424">
        <f>'ANALYSE - ERP =&gt; CATEGORIE'!$BG$10</f>
        <v>418251</v>
      </c>
      <c r="T10" s="430">
        <f>'ANALYSE - ERP =&gt; CATEGORIE'!$Q$10</f>
        <v>1</v>
      </c>
    </row>
    <row r="11" spans="1:20" s="45" customFormat="1" ht="15" customHeight="1">
      <c r="A11" s="26">
        <v>8</v>
      </c>
      <c r="B11" s="26">
        <v>8</v>
      </c>
      <c r="C11" s="422">
        <f>'ANALYSE - ERP =&gt; CATEGORIE'!$A$13</f>
        <v>6</v>
      </c>
      <c r="D11" s="413" t="str">
        <f>'ANALYSE - ERP =&gt; CATEGORIE'!$B$13</f>
        <v>Hébergement &amp; Tourisme</v>
      </c>
      <c r="E11" s="413" t="str">
        <f>'ANALYSE - ERP =&gt; CATEGORIE'!$C$13</f>
        <v>Hébergement Touristique
Hébergement Montagne
Tourisme de plein air
Hébergement social &amp; accueil spécialisé
Santé ambulatoire spécialisée</v>
      </c>
      <c r="F11" s="413" t="str">
        <f>'ANALYSE - ERP =&gt; CATEGORIE'!$D$13</f>
        <v>Hôtels
Pensions de famille
Résidences de tourisme
Hôtels-restaurants d’altitude
Refuges de montagne
Auberges de jeunesse
Campings
Aires d’accueil des gens du voyage
Centres d’hébergement d’urgence / accueils de nuit
CHRS / centres d’hébergement et de réinsertion sociale
CADA / HUDA / CAES / centres d’accueil pour demandeurs d’asile
Foyers de jeunes travailleurs / résidences sociales / foyers de travailleurs migrants
Accueils de jour / haltes de jour avec douches et sanitaires
Cabinets dentaires / centres dentaires
Laboratoires de biologie médicale recevant du public
Centres d’imagerie médicale recevant du public
Centres de dialyse ambulatoire / unités d’autodialyse
Villages de vacances / clubs vacances / centres de vacances familiaux</v>
      </c>
      <c r="G11" s="685"/>
      <c r="H11" s="787" t="str">
        <f>'ANALYSE - ERP =&gt; CATEGORIE'!$BL$13</f>
        <v/>
      </c>
      <c r="I11" s="787" t="str">
        <f>'ANALYSE - ERP =&gt; CATEGORIE'!$BM$13</f>
        <v/>
      </c>
      <c r="J11" s="787" t="str">
        <f>'ANALYSE - ERP =&gt; CATEGORIE'!$BN$13</f>
        <v/>
      </c>
      <c r="K11" s="787" t="str">
        <f>'ANALYSE - ERP =&gt; CATEGORIE'!$BO$13</f>
        <v/>
      </c>
      <c r="L11" s="685"/>
      <c r="M11" s="787" t="str">
        <f>'ANALYSE - ERP =&gt; CATEGORIE'!$BP$13</f>
        <v/>
      </c>
      <c r="N11" s="787" t="str">
        <f>'ANALYSE - ERP =&gt; CATEGORIE'!$BQ$13</f>
        <v/>
      </c>
      <c r="O11" s="787" t="str">
        <f>'ANALYSE - ERP =&gt; CATEGORIE'!$BR$13</f>
        <v/>
      </c>
      <c r="P11" s="787" t="str">
        <f>'ANALYSE - ERP =&gt; CATEGORIE'!$BS$13</f>
        <v/>
      </c>
      <c r="Q11" s="685"/>
      <c r="R11" s="791" t="s">
        <v>7719</v>
      </c>
      <c r="S11" s="424">
        <f>'ANALYSE - ERP =&gt; CATEGORIE'!$BG$13</f>
        <v>0</v>
      </c>
      <c r="T11" s="430">
        <f>'ANALYSE - ERP =&gt; CATEGORIE'!$Q$13</f>
        <v>0</v>
      </c>
    </row>
    <row r="12" spans="1:20" ht="15" customHeight="1">
      <c r="A12" s="26">
        <v>9</v>
      </c>
      <c r="B12" s="26">
        <v>9</v>
      </c>
      <c r="C12" s="422">
        <f>'ANALYSE - ERP =&gt; CATEGORIE'!$A$16</f>
        <v>9</v>
      </c>
      <c r="D12" s="416" t="str">
        <f>'ANALYSE - ERP =&gt; CATEGORIE'!$B$16</f>
        <v>Transport, Mobilité &amp; Stationnement</v>
      </c>
      <c r="E12" s="416" t="str">
        <f>'ANALYSE - ERP =&gt; CATEGORIE'!$C$16</f>
        <v>Transport / mobilité
Stationnement
Matériel roulant / transport mobile</v>
      </c>
      <c r="F12" s="416" t="str">
        <f>'ANALYSE - ERP =&gt; CATEGORIE'!$D$16</f>
        <v>Aires de service - Autoroutes
(Hors Aires de repos)
Aires de repos - Autoroutes
(Hors Aires de service)
Aéroports / aérogares
(&gt;1 000 passagers/an)
Gares ferroviaires et stations
Terminaux maritimes / fluviaux
Établissements flottants
Parcs de stationnement couverts
Ports de plaisance / capitaineries
Rames ferroviaires voyageurs
Aéronefs commerciaux
Ferries et navires à passagers 
Autocars
(Trajets longues distance)
Stations / espaces métro équipés de toilettes publiques (minimum observé RATP)</v>
      </c>
      <c r="H12" s="787">
        <f>'ANALYSE - ERP =&gt; CATEGORIE'!$BL$16</f>
        <v>0.10121391060235715</v>
      </c>
      <c r="I12" s="787">
        <f>'ANALYSE - ERP =&gt; CATEGORIE'!$BM$16</f>
        <v>0.72419810749981839</v>
      </c>
      <c r="J12" s="787">
        <f>'ANALYSE - ERP =&gt; CATEGORIE'!$BN$16</f>
        <v>0.11851625081677597</v>
      </c>
      <c r="K12" s="787">
        <f>'ANALYSE - ERP =&gt; CATEGORIE'!$BO$16</f>
        <v>5.6071731081048376E-2</v>
      </c>
      <c r="M12" s="787">
        <f>'ANALYSE - ERP =&gt; CATEGORIE'!$BP$16</f>
        <v>8.2495335766166425E-2</v>
      </c>
      <c r="N12" s="787">
        <f>'ANALYSE - ERP =&gt; CATEGORIE'!$BQ$16</f>
        <v>0.72592304894218695</v>
      </c>
      <c r="O12" s="787">
        <f>'ANALYSE - ERP =&gt; CATEGORIE'!$BR$16</f>
        <v>0.1392031493845558</v>
      </c>
      <c r="P12" s="787">
        <f>'ANALYSE - ERP =&gt; CATEGORIE'!$BS$16</f>
        <v>5.2378465907090811E-2</v>
      </c>
      <c r="R12" s="791" t="s">
        <v>7719</v>
      </c>
      <c r="S12" s="424">
        <f>'ANALYSE - ERP =&gt; CATEGORIE'!$BG$16</f>
        <v>85223</v>
      </c>
      <c r="T12" s="430">
        <f>'ANALYSE - ERP =&gt; CATEGORIE'!$Q$16</f>
        <v>1</v>
      </c>
    </row>
    <row r="13" spans="1:20" ht="15" customHeight="1">
      <c r="A13" s="26">
        <v>10</v>
      </c>
      <c r="B13" s="26">
        <v>10</v>
      </c>
      <c r="C13" s="422">
        <f>'ANALYSE - ERP =&gt; CATEGORIE'!$A$17</f>
        <v>10</v>
      </c>
      <c r="D13" s="417" t="str">
        <f>'ANALYSE - ERP =&gt; CATEGORIE'!$B$17</f>
        <v>Sécurité &amp; Justice</v>
      </c>
      <c r="E13" s="417" t="str">
        <f>'ANALYSE - ERP =&gt; CATEGORIE'!$C$17</f>
        <v>Commissariats / postes de police 
Forces armées
Univers carcéral
Tribunaux</v>
      </c>
      <c r="F13" s="417" t="str">
        <f>'ANALYSE - ERP =&gt; CATEGORIE'!$D$17</f>
        <v>Locaux de sûreté, garde à vue et zones opérationnelles
Postes de proximité et antennes avec accueil public
Salles de réunion, de prévention ou de conférence ouvertes au public
Unités d'hébergement des militaires &amp; réservistes
Centres de recrutement et bureaux d’information
Restaurants ou équipements sportifs ouverts au public sur emprise militaire
Hôpitaux d’instruction des armées et centres médicaux recevant du public
Salles de conférence, auditoriums et espaces événementiels ouverts au public
Maisons d’arrêt
Centres de détention
Maisons centrales
Centres pénitentiaires
Centres de semi-liberté
Centres éducatifs fermés
Centres pour peines aménagées
(absorbés par autres centres carcéraux)
Unités hospitalières sécurisées
Palais de justice et bâtiments judiciaires multi-usages
Maisons de justice et du droit
Tribunaux de commerce autonomes
Conseils de prud’hommes autonomes
Autres bâtiments judiciaires autonomes recevant du public</v>
      </c>
      <c r="H13" s="787">
        <f>'ANALYSE - ERP =&gt; CATEGORIE'!$BL$17</f>
        <v>6.6965431738623099E-2</v>
      </c>
      <c r="I13" s="787">
        <f>'ANALYSE - ERP =&gt; CATEGORIE'!$BM$17</f>
        <v>0.6837583868144691</v>
      </c>
      <c r="J13" s="787">
        <f>'ANALYSE - ERP =&gt; CATEGORIE'!$BN$17</f>
        <v>3.7949059218203039E-2</v>
      </c>
      <c r="K13" s="787">
        <f>'ANALYSE - ERP =&gt; CATEGORIE'!$BO$17</f>
        <v>0.21132712222870476</v>
      </c>
      <c r="M13" s="787">
        <f>'ANALYSE - ERP =&gt; CATEGORIE'!$BP$17</f>
        <v>6.1538571352094083E-2</v>
      </c>
      <c r="N13" s="787">
        <f>'ANALYSE - ERP =&gt; CATEGORIE'!$BQ$17</f>
        <v>0.67699744820571395</v>
      </c>
      <c r="O13" s="787">
        <f>'ANALYSE - ERP =&gt; CATEGORIE'!$BR$17</f>
        <v>5.1788397366120023E-2</v>
      </c>
      <c r="P13" s="787">
        <f>'ANALYSE - ERP =&gt; CATEGORIE'!$BS$17</f>
        <v>0.20967558307607204</v>
      </c>
      <c r="R13" s="791" t="s">
        <v>7719</v>
      </c>
      <c r="S13" s="424">
        <f>'ANALYSE - ERP =&gt; CATEGORIE'!$BG$17</f>
        <v>56039</v>
      </c>
      <c r="T13" s="430">
        <f>'ANALYSE - ERP =&gt; CATEGORIE'!$Q$17</f>
        <v>1</v>
      </c>
    </row>
    <row r="14" spans="1:20" ht="15" customHeight="1">
      <c r="A14" s="26">
        <v>11</v>
      </c>
      <c r="B14" s="26">
        <v>11</v>
      </c>
      <c r="C14" s="422">
        <f>'ANALYSE - ERP =&gt; CATEGORIE'!$A$18</f>
        <v>11</v>
      </c>
      <c r="D14" s="417" t="str">
        <f>'ANALYSE - ERP =&gt; CATEGORIE'!$B$18</f>
        <v>Sanitaires publics</v>
      </c>
      <c r="E14" s="417" t="str">
        <f>'ANALYSE - ERP =&gt; CATEGORIE'!$C$18</f>
        <v>Sanitaires publics</v>
      </c>
      <c r="F14" s="417" t="str">
        <f>'ANALYSE - ERP =&gt; CATEGORIE'!$D$18</f>
        <v>Toilettes publiques (sur la voie publique)
Bains-douches municipaux / douches publiques fixes
Blocs sanitaires de plage / front de mer</v>
      </c>
      <c r="H14" s="787">
        <f>'ANALYSE - ERP =&gt; CATEGORIE'!$BL$18</f>
        <v>5.303571428571429E-2</v>
      </c>
      <c r="I14" s="787">
        <f>'ANALYSE - ERP =&gt; CATEGORIE'!$BM$18</f>
        <v>0.55650510204081638</v>
      </c>
      <c r="J14" s="787">
        <f>'ANALYSE - ERP =&gt; CATEGORIE'!$BN$18</f>
        <v>8.0867346938775508E-2</v>
      </c>
      <c r="K14" s="787">
        <f>'ANALYSE - ERP =&gt; CATEGORIE'!$BO$18</f>
        <v>0.30959183673469387</v>
      </c>
      <c r="M14" s="787">
        <f>'ANALYSE - ERP =&gt; CATEGORIE'!$BP$18</f>
        <v>5.204207920792079E-2</v>
      </c>
      <c r="N14" s="787">
        <f>'ANALYSE - ERP =&gt; CATEGORIE'!$BQ$18</f>
        <v>0.5457178217821782</v>
      </c>
      <c r="O14" s="787">
        <f>'ANALYSE - ERP =&gt; CATEGORIE'!$BR$18</f>
        <v>9.2450495049504949E-2</v>
      </c>
      <c r="P14" s="787">
        <f>'ANALYSE - ERP =&gt; CATEGORIE'!$BS$18</f>
        <v>0.30978960396039601</v>
      </c>
      <c r="R14" s="791" t="s">
        <v>7719</v>
      </c>
      <c r="S14" s="424">
        <f>'ANALYSE - ERP =&gt; CATEGORIE'!$BG$18</f>
        <v>16160</v>
      </c>
      <c r="T14" s="430">
        <f>'ANALYSE - ERP =&gt; CATEGORIE'!$Q$18</f>
        <v>1</v>
      </c>
    </row>
  </sheetData>
  <pageMargins left="3.937007874015748E-2" right="3.937007874015748E-2" top="7.874015748031496E-2" bottom="7.874015748031496E-2" header="0.11811023622047249" footer="0.11811023622047249"/>
  <pageSetup paperSize="8" scale="79" fitToHeight="2"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8" tint="0.39997558519241921"/>
    <pageSetUpPr fitToPage="1"/>
  </sheetPr>
  <dimension ref="A1:AT90"/>
  <sheetViews>
    <sheetView workbookViewId="0">
      <selection sqref="A1:H1"/>
    </sheetView>
  </sheetViews>
  <sheetFormatPr baseColWidth="10" defaultColWidth="9.140625" defaultRowHeight="15"/>
  <cols>
    <col min="1" max="8" width="18" style="934" customWidth="1"/>
    <col min="9" max="46" width="9.140625" style="933" customWidth="1"/>
  </cols>
  <sheetData>
    <row r="1" spans="1:8" ht="24" customHeight="1">
      <c r="A1" s="1007" t="s">
        <v>7775</v>
      </c>
      <c r="B1" s="1008"/>
      <c r="C1" s="1008"/>
      <c r="D1" s="1008"/>
      <c r="E1" s="1008"/>
      <c r="F1" s="1008"/>
      <c r="G1" s="1008"/>
      <c r="H1" s="1008"/>
    </row>
    <row r="2" spans="1:8" s="933" customFormat="1"/>
    <row r="3" spans="1:8">
      <c r="A3" s="1009" t="s">
        <v>7776</v>
      </c>
      <c r="B3" s="1008"/>
      <c r="C3" s="1008"/>
      <c r="D3" s="1008"/>
      <c r="E3" s="1008"/>
      <c r="F3" s="1008"/>
      <c r="G3" s="1008"/>
      <c r="H3" s="1008"/>
    </row>
    <row r="4" spans="1:8" s="933" customFormat="1" ht="28.5" customHeight="1">
      <c r="A4" s="1010" t="s">
        <v>7777</v>
      </c>
      <c r="B4" s="1005"/>
      <c r="C4" s="1005"/>
      <c r="D4" s="1005"/>
      <c r="E4" s="1005"/>
      <c r="F4" s="1005"/>
      <c r="G4" s="1005"/>
      <c r="H4" s="1005"/>
    </row>
    <row r="5" spans="1:8" s="933" customFormat="1" ht="28.5" customHeight="1">
      <c r="A5" s="1010" t="s">
        <v>7778</v>
      </c>
      <c r="B5" s="1005"/>
      <c r="C5" s="1005"/>
      <c r="D5" s="1005"/>
      <c r="E5" s="1005"/>
      <c r="F5" s="1005"/>
      <c r="G5" s="1005"/>
      <c r="H5" s="1005"/>
    </row>
    <row r="6" spans="1:8" s="933" customFormat="1"/>
    <row r="7" spans="1:8" s="933" customFormat="1">
      <c r="A7" s="1009" t="s">
        <v>7779</v>
      </c>
      <c r="B7" s="1005"/>
      <c r="C7" s="1005"/>
      <c r="D7" s="1005"/>
      <c r="E7" s="1005"/>
      <c r="F7" s="1005"/>
      <c r="G7" s="1005"/>
      <c r="H7" s="1005"/>
    </row>
    <row r="8" spans="1:8" s="933" customFormat="1">
      <c r="A8" s="1004" t="s">
        <v>7780</v>
      </c>
      <c r="B8" s="1005"/>
      <c r="C8" s="1005"/>
      <c r="D8" s="1005"/>
      <c r="E8" s="1005"/>
      <c r="F8" s="1005"/>
      <c r="G8" s="1005"/>
      <c r="H8" s="1005"/>
    </row>
    <row r="9" spans="1:8" s="933" customFormat="1" ht="66" customHeight="1">
      <c r="A9" s="1006" t="s">
        <v>7781</v>
      </c>
      <c r="B9" s="1005"/>
      <c r="C9" s="1005"/>
      <c r="D9" s="1005"/>
      <c r="E9" s="1005"/>
      <c r="F9" s="1005"/>
      <c r="G9" s="1005"/>
      <c r="H9" s="1005"/>
    </row>
    <row r="10" spans="1:8" s="933" customFormat="1">
      <c r="A10" s="1004" t="s">
        <v>7782</v>
      </c>
      <c r="B10" s="1005"/>
      <c r="C10" s="1005"/>
      <c r="D10" s="1005"/>
      <c r="E10" s="1005"/>
      <c r="F10" s="1005"/>
      <c r="G10" s="1005"/>
      <c r="H10" s="1005"/>
    </row>
    <row r="11" spans="1:8" s="933" customFormat="1">
      <c r="A11" s="1006" t="s">
        <v>7783</v>
      </c>
      <c r="B11" s="1005"/>
      <c r="C11" s="1005"/>
      <c r="D11" s="1005"/>
      <c r="E11" s="1005"/>
      <c r="F11" s="1005"/>
      <c r="G11" s="1005"/>
      <c r="H11" s="1005"/>
    </row>
    <row r="12" spans="1:8" s="933" customFormat="1"/>
    <row r="13" spans="1:8" s="933" customFormat="1">
      <c r="A13" s="1009" t="s">
        <v>7784</v>
      </c>
      <c r="B13" s="1005"/>
      <c r="C13" s="1005"/>
      <c r="D13" s="1005"/>
      <c r="E13" s="1005"/>
      <c r="F13" s="1005"/>
      <c r="G13" s="1005"/>
      <c r="H13" s="1005"/>
    </row>
    <row r="14" spans="1:8" s="933" customFormat="1">
      <c r="A14" s="1004" t="s">
        <v>7785</v>
      </c>
      <c r="B14" s="1005"/>
      <c r="C14" s="1005"/>
      <c r="D14" s="1005"/>
      <c r="E14" s="1005"/>
      <c r="F14" s="1005"/>
      <c r="G14" s="1005"/>
      <c r="H14" s="1005"/>
    </row>
    <row r="15" spans="1:8" s="933" customFormat="1" ht="52.5" customHeight="1">
      <c r="A15" s="1006" t="s">
        <v>7786</v>
      </c>
      <c r="B15" s="1005"/>
      <c r="C15" s="1005"/>
      <c r="D15" s="1005"/>
      <c r="E15" s="1005"/>
      <c r="F15" s="1005"/>
      <c r="G15" s="1005"/>
      <c r="H15" s="1005"/>
    </row>
    <row r="16" spans="1:8" s="933" customFormat="1">
      <c r="A16" s="1004" t="s">
        <v>7787</v>
      </c>
      <c r="B16" s="1005"/>
      <c r="C16" s="1005"/>
      <c r="D16" s="1005"/>
      <c r="E16" s="1005"/>
      <c r="F16" s="1005"/>
      <c r="G16" s="1005"/>
      <c r="H16" s="1005"/>
    </row>
    <row r="17" spans="1:8" s="933" customFormat="1" ht="39" customHeight="1">
      <c r="A17" s="1006" t="s">
        <v>7788</v>
      </c>
      <c r="B17" s="1005"/>
      <c r="C17" s="1005"/>
      <c r="D17" s="1005"/>
      <c r="E17" s="1005"/>
      <c r="F17" s="1005"/>
      <c r="G17" s="1005"/>
      <c r="H17" s="1005"/>
    </row>
    <row r="18" spans="1:8" s="933" customFormat="1"/>
    <row r="19" spans="1:8" s="933" customFormat="1">
      <c r="A19" s="1009" t="s">
        <v>7789</v>
      </c>
      <c r="B19" s="1005"/>
      <c r="C19" s="1005"/>
      <c r="D19" s="1005"/>
      <c r="E19" s="1005"/>
      <c r="F19" s="1005"/>
      <c r="G19" s="1005"/>
      <c r="H19" s="1005"/>
    </row>
    <row r="20" spans="1:8" s="933" customFormat="1">
      <c r="A20" s="1004" t="s">
        <v>7790</v>
      </c>
      <c r="B20" s="1005"/>
      <c r="C20" s="1005"/>
      <c r="D20" s="1005"/>
      <c r="E20" s="1005"/>
      <c r="F20" s="1005"/>
      <c r="G20" s="1005"/>
      <c r="H20" s="1005"/>
    </row>
    <row r="21" spans="1:8" s="933" customFormat="1" ht="40.5" customHeight="1">
      <c r="A21" s="1006" t="s">
        <v>7791</v>
      </c>
      <c r="B21" s="1005"/>
      <c r="C21" s="1005"/>
      <c r="D21" s="1005"/>
      <c r="E21" s="1005"/>
      <c r="F21" s="1005"/>
      <c r="G21" s="1005"/>
      <c r="H21" s="1005"/>
    </row>
    <row r="22" spans="1:8" s="933" customFormat="1">
      <c r="A22" s="1004" t="s">
        <v>7792</v>
      </c>
      <c r="B22" s="1005"/>
      <c r="C22" s="1005"/>
      <c r="D22" s="1005"/>
      <c r="E22" s="1005"/>
      <c r="F22" s="1005"/>
      <c r="G22" s="1005"/>
      <c r="H22" s="1005"/>
    </row>
    <row r="23" spans="1:8" s="933" customFormat="1" ht="28.5" customHeight="1">
      <c r="A23" s="1006" t="s">
        <v>7793</v>
      </c>
      <c r="B23" s="1005"/>
      <c r="C23" s="1005"/>
      <c r="D23" s="1005"/>
      <c r="E23" s="1005"/>
      <c r="F23" s="1005"/>
      <c r="G23" s="1005"/>
      <c r="H23" s="1005"/>
    </row>
    <row r="24" spans="1:8" s="933" customFormat="1" ht="36" customHeight="1">
      <c r="A24" s="1004" t="s">
        <v>7794</v>
      </c>
      <c r="B24" s="1005"/>
      <c r="C24" s="1005"/>
      <c r="D24" s="1005"/>
      <c r="E24" s="1005"/>
      <c r="F24" s="1005"/>
      <c r="G24" s="1005"/>
      <c r="H24" s="1005"/>
    </row>
    <row r="25" spans="1:8" s="933" customFormat="1" ht="40.5" customHeight="1">
      <c r="A25" s="1006" t="s">
        <v>7795</v>
      </c>
      <c r="B25" s="1005"/>
      <c r="C25" s="1005"/>
      <c r="D25" s="1005"/>
      <c r="E25" s="1005"/>
      <c r="F25" s="1005"/>
      <c r="G25" s="1005"/>
      <c r="H25" s="1005"/>
    </row>
    <row r="26" spans="1:8" s="933" customFormat="1"/>
    <row r="27" spans="1:8" s="933" customFormat="1">
      <c r="A27" s="1009" t="s">
        <v>7796</v>
      </c>
      <c r="B27" s="1005"/>
      <c r="C27" s="1005"/>
      <c r="D27" s="1005"/>
      <c r="E27" s="1005"/>
      <c r="F27" s="1005"/>
      <c r="G27" s="1005"/>
      <c r="H27" s="1005"/>
    </row>
    <row r="28" spans="1:8" s="933" customFormat="1">
      <c r="A28" s="1004" t="s">
        <v>7797</v>
      </c>
      <c r="B28" s="1005"/>
      <c r="C28" s="1005"/>
      <c r="D28" s="1005"/>
      <c r="E28" s="1005"/>
      <c r="F28" s="1005"/>
      <c r="G28" s="1005"/>
      <c r="H28" s="1005"/>
    </row>
    <row r="29" spans="1:8" s="933" customFormat="1" ht="39.75" customHeight="1">
      <c r="A29" s="1006" t="s">
        <v>7798</v>
      </c>
      <c r="B29" s="1005"/>
      <c r="C29" s="1005"/>
      <c r="D29" s="1005"/>
      <c r="E29" s="1005"/>
      <c r="F29" s="1005"/>
      <c r="G29" s="1005"/>
      <c r="H29" s="1005"/>
    </row>
    <row r="30" spans="1:8" s="933" customFormat="1">
      <c r="A30" s="1004" t="s">
        <v>7799</v>
      </c>
      <c r="B30" s="1005"/>
      <c r="C30" s="1005"/>
      <c r="D30" s="1005"/>
      <c r="E30" s="1005"/>
      <c r="F30" s="1005"/>
      <c r="G30" s="1005"/>
      <c r="H30" s="1005"/>
    </row>
    <row r="31" spans="1:8" s="933" customFormat="1" ht="29.25" customHeight="1">
      <c r="A31" s="1006" t="s">
        <v>7800</v>
      </c>
      <c r="B31" s="1005"/>
      <c r="C31" s="1005"/>
      <c r="D31" s="1005"/>
      <c r="E31" s="1005"/>
      <c r="F31" s="1005"/>
      <c r="G31" s="1005"/>
      <c r="H31" s="1005"/>
    </row>
    <row r="33" spans="1:8" s="933" customFormat="1">
      <c r="A33" s="1009" t="s">
        <v>7801</v>
      </c>
      <c r="B33" s="1005"/>
      <c r="C33" s="1005"/>
      <c r="D33" s="1005"/>
      <c r="E33" s="1005"/>
      <c r="F33" s="1005"/>
      <c r="G33" s="1005"/>
      <c r="H33" s="1005"/>
    </row>
    <row r="34" spans="1:8" s="933" customFormat="1">
      <c r="A34" s="1004" t="s">
        <v>7802</v>
      </c>
      <c r="B34" s="1005"/>
      <c r="C34" s="1005"/>
      <c r="D34" s="1005"/>
      <c r="E34" s="1005"/>
      <c r="F34" s="1005"/>
      <c r="G34" s="1005"/>
      <c r="H34" s="1005"/>
    </row>
    <row r="35" spans="1:8" s="933" customFormat="1" ht="66" customHeight="1">
      <c r="A35" s="1006" t="s">
        <v>7803</v>
      </c>
      <c r="B35" s="1005"/>
      <c r="C35" s="1005"/>
      <c r="D35" s="1005"/>
      <c r="E35" s="1005"/>
      <c r="F35" s="1005"/>
      <c r="G35" s="1005"/>
      <c r="H35" s="1005"/>
    </row>
    <row r="36" spans="1:8" s="933" customFormat="1">
      <c r="A36" s="1004" t="s">
        <v>7804</v>
      </c>
      <c r="B36" s="1005"/>
      <c r="C36" s="1005"/>
      <c r="D36" s="1005"/>
      <c r="E36" s="1005"/>
      <c r="F36" s="1005"/>
      <c r="G36" s="1005"/>
      <c r="H36" s="1005"/>
    </row>
    <row r="37" spans="1:8" s="933" customFormat="1" ht="66" customHeight="1">
      <c r="A37" s="1006" t="s">
        <v>7805</v>
      </c>
      <c r="B37" s="1005"/>
      <c r="C37" s="1005"/>
      <c r="D37" s="1005"/>
      <c r="E37" s="1005"/>
      <c r="F37" s="1005"/>
      <c r="G37" s="1005"/>
      <c r="H37" s="1005"/>
    </row>
    <row r="38" spans="1:8" s="933" customFormat="1">
      <c r="A38" s="1004" t="s">
        <v>7806</v>
      </c>
      <c r="B38" s="1005"/>
      <c r="C38" s="1005"/>
      <c r="D38" s="1005"/>
      <c r="E38" s="1005"/>
      <c r="F38" s="1005"/>
      <c r="G38" s="1005"/>
      <c r="H38" s="1005"/>
    </row>
    <row r="39" spans="1:8" s="933" customFormat="1" ht="66" customHeight="1">
      <c r="A39" s="1006" t="s">
        <v>7807</v>
      </c>
      <c r="B39" s="1005"/>
      <c r="C39" s="1005"/>
      <c r="D39" s="1005"/>
      <c r="E39" s="1005"/>
      <c r="F39" s="1005"/>
      <c r="G39" s="1005"/>
      <c r="H39" s="1005"/>
    </row>
    <row r="40" spans="1:8" s="933" customFormat="1" ht="36" customHeight="1">
      <c r="A40" s="1004" t="s">
        <v>7808</v>
      </c>
      <c r="B40" s="1005"/>
      <c r="C40" s="1005"/>
      <c r="D40" s="1005"/>
      <c r="E40" s="1005"/>
      <c r="F40" s="1005"/>
      <c r="G40" s="1005"/>
      <c r="H40" s="1005"/>
    </row>
    <row r="41" spans="1:8" s="933" customFormat="1" ht="30.75" customHeight="1">
      <c r="A41" s="1010" t="s">
        <v>7809</v>
      </c>
      <c r="B41" s="1005"/>
      <c r="C41" s="1005"/>
      <c r="D41" s="1005"/>
      <c r="E41" s="1005"/>
      <c r="F41" s="1005"/>
      <c r="G41" s="1005"/>
      <c r="H41" s="1005"/>
    </row>
    <row r="42" spans="1:8" s="933" customFormat="1"/>
    <row r="43" spans="1:8" s="933" customFormat="1">
      <c r="A43" s="1009" t="s">
        <v>7810</v>
      </c>
      <c r="B43" s="1005"/>
      <c r="C43" s="1005"/>
      <c r="D43" s="1005"/>
      <c r="E43" s="1005"/>
      <c r="F43" s="1005"/>
      <c r="G43" s="1005"/>
      <c r="H43" s="1005"/>
    </row>
    <row r="44" spans="1:8" s="933" customFormat="1">
      <c r="A44" s="1004" t="s">
        <v>7811</v>
      </c>
      <c r="B44" s="1005"/>
      <c r="C44" s="1005"/>
      <c r="D44" s="1005"/>
      <c r="E44" s="1005"/>
      <c r="F44" s="1005"/>
      <c r="G44" s="1005"/>
      <c r="H44" s="1005"/>
    </row>
    <row r="45" spans="1:8" s="933" customFormat="1" ht="27" customHeight="1">
      <c r="A45" s="1006" t="s">
        <v>7812</v>
      </c>
      <c r="B45" s="1005"/>
      <c r="C45" s="1005"/>
      <c r="D45" s="1005"/>
      <c r="E45" s="1005"/>
      <c r="F45" s="1005"/>
      <c r="G45" s="1005"/>
      <c r="H45" s="1005"/>
    </row>
    <row r="46" spans="1:8" s="933" customFormat="1">
      <c r="A46" s="1004" t="s">
        <v>7813</v>
      </c>
      <c r="B46" s="1005"/>
      <c r="C46" s="1005"/>
      <c r="D46" s="1005"/>
      <c r="E46" s="1005"/>
      <c r="F46" s="1005"/>
      <c r="G46" s="1005"/>
      <c r="H46" s="1005"/>
    </row>
    <row r="47" spans="1:8" s="933" customFormat="1">
      <c r="A47" s="1006" t="s">
        <v>7814</v>
      </c>
      <c r="B47" s="1005"/>
      <c r="C47" s="1005"/>
      <c r="D47" s="1005"/>
      <c r="E47" s="1005"/>
      <c r="F47" s="1005"/>
      <c r="G47" s="1005"/>
      <c r="H47" s="1005"/>
    </row>
    <row r="48" spans="1:8" s="933" customFormat="1">
      <c r="A48" s="1004" t="s">
        <v>7815</v>
      </c>
      <c r="B48" s="1005"/>
      <c r="C48" s="1005"/>
      <c r="D48" s="1005"/>
      <c r="E48" s="1005"/>
      <c r="F48" s="1005"/>
      <c r="G48" s="1005"/>
      <c r="H48" s="1005"/>
    </row>
    <row r="49" spans="1:8" s="933" customFormat="1">
      <c r="A49" s="1006" t="s">
        <v>7816</v>
      </c>
      <c r="B49" s="1005"/>
      <c r="C49" s="1005"/>
      <c r="D49" s="1005"/>
      <c r="E49" s="1005"/>
      <c r="F49" s="1005"/>
      <c r="G49" s="1005"/>
      <c r="H49" s="1005"/>
    </row>
    <row r="50" spans="1:8" s="933" customFormat="1">
      <c r="A50" s="1004" t="s">
        <v>7817</v>
      </c>
      <c r="B50" s="1005"/>
      <c r="C50" s="1005"/>
      <c r="D50" s="1005"/>
      <c r="E50" s="1005"/>
      <c r="F50" s="1005"/>
      <c r="G50" s="1005"/>
      <c r="H50" s="1005"/>
    </row>
    <row r="51" spans="1:8" s="933" customFormat="1">
      <c r="A51" s="1006" t="s">
        <v>7818</v>
      </c>
      <c r="B51" s="1005"/>
      <c r="C51" s="1005"/>
      <c r="D51" s="1005"/>
      <c r="E51" s="1005"/>
      <c r="F51" s="1005"/>
      <c r="G51" s="1005"/>
      <c r="H51" s="1005"/>
    </row>
    <row r="52" spans="1:8" s="933" customFormat="1" ht="17.25" customHeight="1">
      <c r="A52" s="1004" t="s">
        <v>7819</v>
      </c>
      <c r="B52" s="1005"/>
      <c r="C52" s="1005"/>
      <c r="D52" s="1005"/>
      <c r="E52" s="1005"/>
      <c r="F52" s="1005"/>
      <c r="G52" s="1005"/>
      <c r="H52" s="1005"/>
    </row>
    <row r="53" spans="1:8" s="933" customFormat="1" ht="27" customHeight="1">
      <c r="A53" s="1006" t="s">
        <v>7820</v>
      </c>
      <c r="B53" s="1005"/>
      <c r="C53" s="1005"/>
      <c r="D53" s="1005"/>
      <c r="E53" s="1005"/>
      <c r="F53" s="1005"/>
      <c r="G53" s="1005"/>
      <c r="H53" s="1005"/>
    </row>
    <row r="54" spans="1:8" s="933" customFormat="1"/>
    <row r="55" spans="1:8" s="933" customFormat="1">
      <c r="A55" s="1009" t="s">
        <v>7821</v>
      </c>
      <c r="B55" s="1005"/>
      <c r="C55" s="1005"/>
      <c r="D55" s="1005"/>
      <c r="E55" s="1005"/>
      <c r="F55" s="1005"/>
      <c r="G55" s="1005"/>
      <c r="H55" s="1005"/>
    </row>
    <row r="56" spans="1:8" s="933" customFormat="1" ht="28.5" customHeight="1">
      <c r="A56" s="1011" t="s">
        <v>7822</v>
      </c>
      <c r="B56" s="1005"/>
      <c r="C56" s="1005"/>
      <c r="D56" s="1005"/>
      <c r="E56" s="1005"/>
      <c r="F56" s="1005"/>
      <c r="G56" s="1005"/>
      <c r="H56" s="1005"/>
    </row>
    <row r="57" spans="1:8" s="933" customFormat="1"/>
    <row r="58" spans="1:8" s="933" customFormat="1"/>
    <row r="59" spans="1:8" s="933" customFormat="1">
      <c r="A59" s="1009" t="s">
        <v>7823</v>
      </c>
      <c r="B59" s="1005"/>
      <c r="C59" s="1005"/>
      <c r="D59" s="1005"/>
      <c r="E59" s="1005"/>
      <c r="F59" s="1005"/>
      <c r="G59" s="1005"/>
      <c r="H59" s="1005"/>
    </row>
    <row r="60" spans="1:8" s="933" customFormat="1">
      <c r="A60" s="481" t="s">
        <v>7824</v>
      </c>
    </row>
    <row r="61" spans="1:8" s="933" customFormat="1">
      <c r="A61" s="481" t="s">
        <v>7825</v>
      </c>
    </row>
    <row r="62" spans="1:8" s="933" customFormat="1">
      <c r="A62" s="481" t="s">
        <v>7826</v>
      </c>
    </row>
    <row r="63" spans="1:8" s="933" customFormat="1">
      <c r="A63" s="481" t="s">
        <v>7827</v>
      </c>
    </row>
    <row r="64" spans="1:8" s="933" customFormat="1">
      <c r="A64" s="481" t="s">
        <v>7828</v>
      </c>
    </row>
    <row r="66" spans="1:8" s="933" customFormat="1">
      <c r="A66" s="1009" t="s">
        <v>7829</v>
      </c>
      <c r="B66" s="1005"/>
      <c r="C66" s="1005"/>
      <c r="D66" s="1005"/>
      <c r="E66" s="1005"/>
      <c r="F66" s="1005"/>
      <c r="G66" s="1005"/>
      <c r="H66" s="1005"/>
    </row>
    <row r="67" spans="1:8" s="933" customFormat="1">
      <c r="A67" s="481" t="s">
        <v>7830</v>
      </c>
    </row>
    <row r="68" spans="1:8" s="933" customFormat="1">
      <c r="A68" s="481" t="s">
        <v>7831</v>
      </c>
    </row>
    <row r="69" spans="1:8" s="933" customFormat="1">
      <c r="A69" s="481" t="s">
        <v>7832</v>
      </c>
    </row>
    <row r="70" spans="1:8" s="933" customFormat="1">
      <c r="A70" s="453"/>
    </row>
    <row r="71" spans="1:8" s="933" customFormat="1">
      <c r="A71" s="1009" t="s">
        <v>7833</v>
      </c>
      <c r="B71" s="1005"/>
      <c r="C71" s="1005"/>
      <c r="D71" s="1005"/>
      <c r="E71" s="1005"/>
      <c r="F71" s="1005"/>
      <c r="G71" s="1005"/>
      <c r="H71" s="1005"/>
    </row>
    <row r="72" spans="1:8" s="933" customFormat="1">
      <c r="A72" s="481" t="s">
        <v>118</v>
      </c>
    </row>
    <row r="73" spans="1:8" s="933" customFormat="1">
      <c r="A73" s="481" t="s">
        <v>7834</v>
      </c>
    </row>
    <row r="74" spans="1:8" s="933" customFormat="1">
      <c r="A74" s="481" t="s">
        <v>7835</v>
      </c>
    </row>
    <row r="75" spans="1:8" s="933" customFormat="1">
      <c r="A75" s="481" t="s">
        <v>7836</v>
      </c>
    </row>
    <row r="76" spans="1:8" s="933" customFormat="1">
      <c r="A76" s="481" t="s">
        <v>7837</v>
      </c>
    </row>
    <row r="77" spans="1:8" s="933" customFormat="1">
      <c r="A77" s="481" t="s">
        <v>7838</v>
      </c>
    </row>
    <row r="78" spans="1:8" s="933" customFormat="1">
      <c r="A78" s="481" t="s">
        <v>7839</v>
      </c>
    </row>
    <row r="79" spans="1:8" s="933" customFormat="1">
      <c r="A79" s="481" t="s">
        <v>7840</v>
      </c>
    </row>
    <row r="80" spans="1:8" s="933" customFormat="1">
      <c r="A80" s="481" t="s">
        <v>7841</v>
      </c>
    </row>
    <row r="81" spans="1:1" s="933" customFormat="1">
      <c r="A81" s="481" t="s">
        <v>7842</v>
      </c>
    </row>
    <row r="82" spans="1:1" s="933" customFormat="1">
      <c r="A82" s="481" t="s">
        <v>127</v>
      </c>
    </row>
    <row r="83" spans="1:1" s="933" customFormat="1">
      <c r="A83" s="481" t="s">
        <v>7843</v>
      </c>
    </row>
    <row r="84" spans="1:1" s="933" customFormat="1">
      <c r="A84" s="481" t="s">
        <v>7844</v>
      </c>
    </row>
    <row r="85" spans="1:1" s="933" customFormat="1">
      <c r="A85" s="481" t="s">
        <v>7845</v>
      </c>
    </row>
    <row r="86" spans="1:1" s="933" customFormat="1">
      <c r="A86" s="481" t="s">
        <v>7846</v>
      </c>
    </row>
    <row r="87" spans="1:1" s="933" customFormat="1">
      <c r="A87" s="481" t="s">
        <v>7847</v>
      </c>
    </row>
    <row r="88" spans="1:1" s="933" customFormat="1">
      <c r="A88" s="481" t="s">
        <v>7848</v>
      </c>
    </row>
    <row r="89" spans="1:1" s="933" customFormat="1">
      <c r="A89" s="481" t="s">
        <v>7849</v>
      </c>
    </row>
    <row r="90" spans="1:1" s="933" customFormat="1">
      <c r="A90" s="481" t="s">
        <v>7850</v>
      </c>
    </row>
  </sheetData>
  <mergeCells count="51">
    <mergeCell ref="A14:H14"/>
    <mergeCell ref="A47:H47"/>
    <mergeCell ref="A5:H5"/>
    <mergeCell ref="A23:H23"/>
    <mergeCell ref="A8:H8"/>
    <mergeCell ref="A22:H22"/>
    <mergeCell ref="A17:H17"/>
    <mergeCell ref="A40:H40"/>
    <mergeCell ref="A35:H35"/>
    <mergeCell ref="A29:H29"/>
    <mergeCell ref="A20:H20"/>
    <mergeCell ref="A38:H38"/>
    <mergeCell ref="A43:H43"/>
    <mergeCell ref="A51:H51"/>
    <mergeCell ref="A49:H49"/>
    <mergeCell ref="A45:H45"/>
    <mergeCell ref="A71:H71"/>
    <mergeCell ref="A33:H33"/>
    <mergeCell ref="A53:H53"/>
    <mergeCell ref="A36:H36"/>
    <mergeCell ref="A11:H11"/>
    <mergeCell ref="A9:H9"/>
    <mergeCell ref="A66:H66"/>
    <mergeCell ref="A46:H46"/>
    <mergeCell ref="A37:H37"/>
    <mergeCell ref="A27:H27"/>
    <mergeCell ref="A56:H56"/>
    <mergeCell ref="A50:H50"/>
    <mergeCell ref="A55:H55"/>
    <mergeCell ref="A52:H52"/>
    <mergeCell ref="A28:H28"/>
    <mergeCell ref="A44:H44"/>
    <mergeCell ref="A31:H31"/>
    <mergeCell ref="A34:H34"/>
    <mergeCell ref="A59:H59"/>
    <mergeCell ref="A48:H48"/>
    <mergeCell ref="A30:H30"/>
    <mergeCell ref="A39:H39"/>
    <mergeCell ref="A15:H15"/>
    <mergeCell ref="A1:H1"/>
    <mergeCell ref="A7:H7"/>
    <mergeCell ref="A25:H25"/>
    <mergeCell ref="A16:H16"/>
    <mergeCell ref="A41:H41"/>
    <mergeCell ref="A3:H3"/>
    <mergeCell ref="A21:H21"/>
    <mergeCell ref="A4:H4"/>
    <mergeCell ref="A10:H10"/>
    <mergeCell ref="A13:H13"/>
    <mergeCell ref="A19:H19"/>
    <mergeCell ref="A24:H24"/>
  </mergeCells>
  <pageMargins left="7.874015748031496E-2" right="0.15748031496062989" top="0.39370078740157483" bottom="0.39370078740157483" header="0.31496062992125978" footer="0.11811023622047249"/>
  <pageSetup paperSize="9" scale="10" fitToHeight="2"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8" tint="-0.249977111117893"/>
    <pageSetUpPr fitToPage="1"/>
  </sheetPr>
  <dimension ref="A1:AZ26"/>
  <sheetViews>
    <sheetView workbookViewId="0">
      <selection activeCell="N5" sqref="N5"/>
    </sheetView>
  </sheetViews>
  <sheetFormatPr baseColWidth="10" defaultColWidth="9.140625" defaultRowHeight="15"/>
  <cols>
    <col min="1" max="1" width="6.28515625" style="934" customWidth="1"/>
    <col min="2" max="3" width="5.7109375" style="934" customWidth="1"/>
    <col min="4" max="4" width="32.85546875" style="934" bestFit="1" customWidth="1"/>
    <col min="5" max="5" width="31.42578125" style="43" customWidth="1"/>
    <col min="6" max="6" width="28" style="43" customWidth="1"/>
    <col min="7" max="7" width="51.140625" style="43" customWidth="1"/>
    <col min="8" max="8" width="10.7109375" style="934" customWidth="1"/>
    <col min="9" max="9" width="11.140625" style="934" customWidth="1"/>
    <col min="10" max="11" width="10.5703125" style="934" customWidth="1"/>
    <col min="12" max="12" width="7.85546875" style="934" customWidth="1"/>
    <col min="13" max="13" width="7" style="934" customWidth="1"/>
    <col min="14" max="14" width="9.42578125" style="934" customWidth="1"/>
    <col min="15" max="15" width="9.85546875" style="934" customWidth="1"/>
    <col min="16" max="16" width="9.7109375" style="934" customWidth="1"/>
    <col min="17" max="17" width="11.85546875" style="934" customWidth="1"/>
    <col min="18" max="18" width="3.42578125" style="933" customWidth="1"/>
    <col min="19" max="46" width="9.140625" style="933" customWidth="1"/>
    <col min="47" max="52" width="9.140625" style="438" customWidth="1"/>
  </cols>
  <sheetData>
    <row r="1" spans="1:26" s="933" customFormat="1" ht="18.75" customHeight="1">
      <c r="D1" s="477"/>
      <c r="E1" s="477"/>
      <c r="F1" s="478" t="s">
        <v>7851</v>
      </c>
      <c r="G1" s="479"/>
      <c r="I1" s="440"/>
      <c r="J1" s="440" t="s">
        <v>7852</v>
      </c>
      <c r="K1" s="440"/>
    </row>
    <row r="2" spans="1:26" ht="55.5" customHeight="1">
      <c r="A2" s="420" t="s">
        <v>7853</v>
      </c>
      <c r="B2" s="419" t="s">
        <v>7854</v>
      </c>
      <c r="C2" s="421" t="s">
        <v>7855</v>
      </c>
      <c r="D2" s="829" t="s">
        <v>2044</v>
      </c>
      <c r="E2" s="829" t="s">
        <v>6714</v>
      </c>
      <c r="F2" s="829" t="s">
        <v>6715</v>
      </c>
      <c r="G2" s="829" t="s">
        <v>2181</v>
      </c>
      <c r="H2" s="829" t="s">
        <v>7856</v>
      </c>
      <c r="I2" s="829" t="s">
        <v>7857</v>
      </c>
      <c r="J2" s="419" t="s">
        <v>7858</v>
      </c>
      <c r="K2" s="421" t="s">
        <v>7859</v>
      </c>
      <c r="L2" s="419" t="s">
        <v>7860</v>
      </c>
      <c r="M2" s="421" t="s">
        <v>2534</v>
      </c>
      <c r="N2" s="419" t="s">
        <v>7861</v>
      </c>
      <c r="O2" s="421" t="s">
        <v>7862</v>
      </c>
      <c r="P2" s="420" t="s">
        <v>7863</v>
      </c>
      <c r="Q2" s="829" t="s">
        <v>6711</v>
      </c>
    </row>
    <row r="3" spans="1:26">
      <c r="A3" s="405" t="s">
        <v>2535</v>
      </c>
      <c r="B3" s="405" t="s">
        <v>2535</v>
      </c>
      <c r="C3" s="405" t="s">
        <v>2535</v>
      </c>
      <c r="D3" s="520" t="s">
        <v>6739</v>
      </c>
      <c r="E3" s="520" t="s">
        <v>8006</v>
      </c>
      <c r="F3" s="520" t="s">
        <v>8007</v>
      </c>
      <c r="G3" s="405" t="s">
        <v>6729</v>
      </c>
      <c r="H3" s="429">
        <f>IFERROR(I3/5,"")</f>
        <v>284581.50768014329</v>
      </c>
      <c r="I3" s="429">
        <f>SUMPRODUCT(($Q$4:$Q$106),('ANALYSE - ERP =&gt; CATEGORIE'!$EU$8:$EU$110))</f>
        <v>1422907.5384007164</v>
      </c>
      <c r="J3" s="429">
        <f>SUMPRODUCT(($Q$4:$Q$106),('ANALYSE - ERP =&gt; CATEGORIE'!$EV$8:$EV$110))</f>
        <v>1144951.4709207162</v>
      </c>
      <c r="K3" s="429">
        <f>SUMPRODUCT(($Q$4:$Q$106),('ANALYSE - ERP =&gt; CATEGORIE'!$EW$8:$EW$110))</f>
        <v>277956.06747999997</v>
      </c>
      <c r="L3" s="790">
        <f>IFERROR(J3/I3,"")</f>
        <v>0.8046562689572857</v>
      </c>
      <c r="M3" s="790">
        <f>IFERROR(K3/I3,"")</f>
        <v>0.19534373104271413</v>
      </c>
      <c r="N3" s="918" t="str">
        <f>IFERROR(20*SUMPRODUCT(($Q$4:$Q$106),('ANALYSE - ERP =&gt; CATEGORIE'!$FR$8:$FR$110),('ANALYSE - ERP =&gt; CATEGORIE'!$EV$8:$EV$110))/SUMPRODUCT(($Q$4:$Q$106),('ANALYSE - ERP =&gt; CATEGORIE'!$EV$8:$EV$110)),"")</f>
        <v/>
      </c>
      <c r="O3" s="918" t="str">
        <f>IFERROR(20*SUMPRODUCT(($Q$4:$Q$106),('ANALYSE - ERP =&gt; CATEGORIE'!$FT$8:$FT$110),('ANALYSE - ERP =&gt; CATEGORIE'!$EW$8:$EW$110))/SUMPRODUCT(($Q$4:$Q$106),('ANALYSE - ERP =&gt; CATEGORIE'!$EW$8:$EW$110)),"")</f>
        <v/>
      </c>
      <c r="P3" s="918">
        <f>IFERROR(20*SUMPRODUCT(($Q$4:$Q$106),('ANALYSE - ERP =&gt; CATEGORIE'!$FP$8:$FP$110),('ANALYSE - ERP =&gt; CATEGORIE'!$EU$8:$EU$110))/SUMPRODUCT(($Q$4:$Q$106),('ANALYSE - ERP =&gt; CATEGORIE'!$EU$8:$EU$110)),"")</f>
        <v>64.36442628052113</v>
      </c>
      <c r="Q3" s="428">
        <f>SUM('ANALYSE - ERP =&gt; CATEGORIE'!$Q$8:$Q$110)</f>
        <v>9</v>
      </c>
    </row>
    <row r="4" spans="1:26" ht="15" customHeight="1">
      <c r="A4" s="26">
        <v>1</v>
      </c>
      <c r="B4" s="26">
        <v>1</v>
      </c>
      <c r="C4" s="26">
        <v>1</v>
      </c>
      <c r="D4" s="491" t="s">
        <v>2187</v>
      </c>
      <c r="E4" s="492" t="s">
        <v>8008</v>
      </c>
      <c r="F4" s="492" t="s">
        <v>8009</v>
      </c>
      <c r="G4" s="408" t="str">
        <f>'ANALYSE - ERP =&gt; CATEGORIE'!$D$11</f>
        <v>Cafés / bars / brasseries
Fast-food / cafétérias / food courts
Restaurants
(Hors établissements altitude, flottant, armée)
Salles de jeux / bowlings / billards
Discothèques / salles de danse
Centres commerciaux / malls
Marchés couverts
Casinos</v>
      </c>
      <c r="H4" s="424">
        <f t="shared" ref="H4:H14" si="0">I4/5</f>
        <v>173518.10801982466</v>
      </c>
      <c r="I4" s="447">
        <f>'ANALYSE - ERP =&gt; CATEGORIE'!$EU$11</f>
        <v>867590.54009912338</v>
      </c>
      <c r="J4" s="427">
        <f>'ANALYSE - ERP =&gt; CATEGORIE'!$EV$11</f>
        <v>713514.1119441234</v>
      </c>
      <c r="K4" s="427">
        <f>'ANALYSE - ERP =&gt; CATEGORIE'!$EW$11</f>
        <v>154076.428155</v>
      </c>
      <c r="L4" s="787">
        <f>'ANALYSE - ERP =&gt; CATEGORIE'!$ES$11</f>
        <v>0.82240881955974698</v>
      </c>
      <c r="M4" s="787">
        <f>'ANALYSE - ERP =&gt; CATEGORIE'!$ET$11</f>
        <v>0.17759118044025304</v>
      </c>
      <c r="N4" s="916">
        <f>20*'ANALYSE - ERP =&gt; CATEGORIE'!$FR$11</f>
        <v>80.914525004203654</v>
      </c>
      <c r="O4" s="916">
        <f>20*'ANALYSE - ERP =&gt; CATEGORIE'!$FT$11</f>
        <v>50.737826759961216</v>
      </c>
      <c r="P4" s="916">
        <f>20*'ANALYSE - ERP =&gt; CATEGORIE'!$FP$11</f>
        <v>70.223288562812414</v>
      </c>
      <c r="Q4" s="430">
        <f>'ANALYSE - ERP =&gt; CATEGORIE'!$Q$11</f>
        <v>1</v>
      </c>
      <c r="S4" s="443" t="s">
        <v>7864</v>
      </c>
      <c r="Z4" s="443" t="s">
        <v>7865</v>
      </c>
    </row>
    <row r="5" spans="1:26" ht="15" customHeight="1">
      <c r="A5" s="26">
        <v>2</v>
      </c>
      <c r="B5" s="26">
        <v>2</v>
      </c>
      <c r="C5" s="26">
        <v>4</v>
      </c>
      <c r="D5" s="495" t="s">
        <v>1670</v>
      </c>
      <c r="E5" s="496" t="s">
        <v>8010</v>
      </c>
      <c r="F5" s="496" t="s">
        <v>8011</v>
      </c>
      <c r="G5" s="409" t="str">
        <f>'ANALYSE - ERP =&gt; CATEGORIE'!$D$15</f>
        <v>Gymnases / salles multisports
Piscines couvertes
Salles de fitness / dojos
Patinoires couvertes
Grands stades avec tribunes
(Type football/rugby) 
Stades 
(Type athlétisme - Hors scolaire)
Terrains de sport
(Hors scolaire)
Hippodromes
Piscines extérieures 
(Hors campings, hôtels, résidences et établissement avec bassin intérieur)
Établissements thermaux
Centres de thalassothérapie / balnéothérapie / grands spas ouverts au public
Bases nautiques / centres nautiques avec vestiaires-douches
Bases de loisirs avec plages, douches et sanitaires
Centres équestres / manèges couverts avec accueil public</v>
      </c>
      <c r="H5" s="424">
        <f t="shared" si="0"/>
        <v>0</v>
      </c>
      <c r="I5" s="447">
        <f>'ANALYSE - ERP =&gt; CATEGORIE'!$EU$15</f>
        <v>0</v>
      </c>
      <c r="J5" s="427">
        <f>'ANALYSE - ERP =&gt; CATEGORIE'!$EV$15</f>
        <v>0</v>
      </c>
      <c r="K5" s="427">
        <f>'ANALYSE - ERP =&gt; CATEGORIE'!$EW$15</f>
        <v>0</v>
      </c>
      <c r="L5" s="787">
        <f>'ANALYSE - ERP =&gt; CATEGORIE'!$ES$15</f>
        <v>0</v>
      </c>
      <c r="M5" s="787">
        <f>'ANALYSE - ERP =&gt; CATEGORIE'!$ET$15</f>
        <v>0</v>
      </c>
      <c r="N5" s="916" t="e">
        <f>20*'ANALYSE - ERP =&gt; CATEGORIE'!$FR$15</f>
        <v>#VALUE!</v>
      </c>
      <c r="O5" s="916" t="e">
        <f>20*'ANALYSE - ERP =&gt; CATEGORIE'!$FT$15</f>
        <v>#VALUE!</v>
      </c>
      <c r="P5" s="916" t="e">
        <f>20*'ANALYSE - ERP =&gt; CATEGORIE'!$FP$15</f>
        <v>#VALUE!</v>
      </c>
      <c r="Q5" s="430">
        <f>'ANALYSE - ERP =&gt; CATEGORIE'!$Q$15</f>
        <v>0</v>
      </c>
    </row>
    <row r="6" spans="1:26" ht="15" customHeight="1">
      <c r="A6" s="26">
        <v>3</v>
      </c>
      <c r="B6" s="26">
        <v>3</v>
      </c>
      <c r="C6" s="26">
        <v>3</v>
      </c>
      <c r="D6" s="493" t="s">
        <v>2241</v>
      </c>
      <c r="E6" s="494" t="s">
        <v>8012</v>
      </c>
      <c r="F6" s="494" t="s">
        <v>8013</v>
      </c>
      <c r="G6" s="416" t="str">
        <f>'ANALYSE - ERP =&gt; CATEGORIE'!$D$9</f>
        <v>Hôpitaux universitaires / CHU
Hôpitaux publics (Hors CHU, Universitaire, Militaire, Carcéral)
Hôpitaux privés
Cliniques
Centres de psychiatrie
Centres de rééducation
Maternités
Établissements médico-éducatifs
Centres de santé / centres médicaux
Maisons de santé
Foyers pour personnes handicapées
EHPAD
USLD
Résidences autonomie
Foyers-logements (Public)
Résidences services seniors (Privé)</v>
      </c>
      <c r="H6" s="424">
        <f t="shared" si="0"/>
        <v>209162.13274245468</v>
      </c>
      <c r="I6" s="447">
        <f>'ANALYSE - ERP =&gt; CATEGORIE'!$EU$9</f>
        <v>1045810.6637122734</v>
      </c>
      <c r="J6" s="427">
        <f>'ANALYSE - ERP =&gt; CATEGORIE'!$EV$9</f>
        <v>837658.11400227342</v>
      </c>
      <c r="K6" s="427">
        <f>'ANALYSE - ERP =&gt; CATEGORIE'!$EW$9</f>
        <v>208152.54970999999</v>
      </c>
      <c r="L6" s="787">
        <f>'ANALYSE - ERP =&gt; CATEGORIE'!$ES$9</f>
        <v>0.80096535928298063</v>
      </c>
      <c r="M6" s="787">
        <f>'ANALYSE - ERP =&gt; CATEGORIE'!$ET$9</f>
        <v>0.19903464071701946</v>
      </c>
      <c r="N6" s="916">
        <f>20*'ANALYSE - ERP =&gt; CATEGORIE'!$FR$9</f>
        <v>83.529992152477234</v>
      </c>
      <c r="O6" s="916">
        <f>20*'ANALYSE - ERP =&gt; CATEGORIE'!$FT$9</f>
        <v>53.794172333763441</v>
      </c>
      <c r="P6" s="916">
        <f>20*'ANALYSE - ERP =&gt; CATEGORIE'!$FP$9</f>
        <v>71.278088494375439</v>
      </c>
      <c r="Q6" s="430">
        <f>'ANALYSE - ERP =&gt; CATEGORIE'!$Q$9</f>
        <v>1</v>
      </c>
      <c r="S6" s="933" t="s">
        <v>7866</v>
      </c>
      <c r="Z6" s="933" t="s">
        <v>7867</v>
      </c>
    </row>
    <row r="7" spans="1:26" ht="15" customHeight="1">
      <c r="A7" s="26">
        <v>4</v>
      </c>
      <c r="B7" s="26">
        <v>4</v>
      </c>
      <c r="C7" s="26">
        <v>2</v>
      </c>
      <c r="D7" s="497" t="s">
        <v>6739</v>
      </c>
      <c r="E7" s="498" t="s">
        <v>8006</v>
      </c>
      <c r="F7" s="498" t="s">
        <v>8007</v>
      </c>
      <c r="G7" s="410" t="str">
        <f>'ANALYSE - ERP =&gt; CATEGORIE'!$D$8</f>
        <v>Crèches
Écoles maternelles
Écoles primaires
Collèges (vestiaires EPS inclus)
Lycées (vestiaires EPS inclus)
Universités
Grandes écoles
Internats scolaires
Résidences étudiantes et dortoirs
Centres de loisirs sans hébergement
Centres de vacances / colonies
Centres de formation / CFA</v>
      </c>
      <c r="H7" s="424">
        <f t="shared" si="0"/>
        <v>0</v>
      </c>
      <c r="I7" s="447">
        <f>'ANALYSE - ERP =&gt; CATEGORIE'!$EU$8</f>
        <v>0</v>
      </c>
      <c r="J7" s="427">
        <f>'ANALYSE - ERP =&gt; CATEGORIE'!$EV$8</f>
        <v>0</v>
      </c>
      <c r="K7" s="427">
        <f>'ANALYSE - ERP =&gt; CATEGORIE'!$EW$8</f>
        <v>0</v>
      </c>
      <c r="L7" s="787">
        <f>'ANALYSE - ERP =&gt; CATEGORIE'!$ES$8</f>
        <v>0</v>
      </c>
      <c r="M7" s="787">
        <f>'ANALYSE - ERP =&gt; CATEGORIE'!$ET$8</f>
        <v>0</v>
      </c>
      <c r="N7" s="916" t="e">
        <f>20*'ANALYSE - ERP =&gt; CATEGORIE'!$FR$8</f>
        <v>#VALUE!</v>
      </c>
      <c r="O7" s="916" t="e">
        <f>20*'ANALYSE - ERP =&gt; CATEGORIE'!$FT$8</f>
        <v>#VALUE!</v>
      </c>
      <c r="P7" s="916" t="e">
        <f>20*'ANALYSE - ERP =&gt; CATEGORIE'!$FP$8</f>
        <v>#VALUE!</v>
      </c>
      <c r="Q7" s="430">
        <f>'ANALYSE - ERP =&gt; CATEGORIE'!$Q$8</f>
        <v>0</v>
      </c>
    </row>
    <row r="8" spans="1:26" ht="15" customHeight="1">
      <c r="A8" s="26">
        <v>5</v>
      </c>
      <c r="B8" s="26">
        <v>7</v>
      </c>
      <c r="C8" s="26">
        <v>5</v>
      </c>
      <c r="D8" s="501" t="s">
        <v>2264</v>
      </c>
      <c r="E8" s="502" t="s">
        <v>8014</v>
      </c>
      <c r="F8" s="502" t="s">
        <v>8015</v>
      </c>
      <c r="G8" s="414" t="str">
        <f>'ANALYSE - ERP =&gt; CATEGORIE'!$D$12</f>
        <v>Bureaux (&gt;50 personnes, tertiaire privé + logistique hors usines)
Usines 
(&gt;50 personnes - Hors Ateliers industriels)
Garages / ateliers de réparation automobile recevant du public
Ateliers industriels / de maintenance (&gt;50 personnes)
Centres de stockage / entrepôts / plateformes logistiques (&gt;50 personnes)</v>
      </c>
      <c r="H8" s="424">
        <f t="shared" si="0"/>
        <v>148755.79450879886</v>
      </c>
      <c r="I8" s="447">
        <f>'ANALYSE - ERP =&gt; CATEGORIE'!$EU$12</f>
        <v>743778.97254399431</v>
      </c>
      <c r="J8" s="427">
        <f>'ANALYSE - ERP =&gt; CATEGORIE'!$EV$12</f>
        <v>594440.8926439943</v>
      </c>
      <c r="K8" s="427">
        <f>'ANALYSE - ERP =&gt; CATEGORIE'!$EW$12</f>
        <v>149338.07990000001</v>
      </c>
      <c r="L8" s="787">
        <f>'ANALYSE - ERP =&gt; CATEGORIE'!$ES$12</f>
        <v>0.79921712576895054</v>
      </c>
      <c r="M8" s="787">
        <f>'ANALYSE - ERP =&gt; CATEGORIE'!$ET$12</f>
        <v>0.20078287423104949</v>
      </c>
      <c r="N8" s="916">
        <f>20*'ANALYSE - ERP =&gt; CATEGORIE'!$FR$12</f>
        <v>76.212972941629289</v>
      </c>
      <c r="O8" s="916">
        <f>20*'ANALYSE - ERP =&gt; CATEGORIE'!$FT$12</f>
        <v>41.854000564259302</v>
      </c>
      <c r="P8" s="916">
        <f>20*'ANALYSE - ERP =&gt; CATEGORIE'!$FP$12</f>
        <v>65.293882857257103</v>
      </c>
      <c r="Q8" s="430">
        <f>'ANALYSE - ERP =&gt; CATEGORIE'!$Q$12</f>
        <v>1</v>
      </c>
      <c r="S8" s="933" t="s">
        <v>7868</v>
      </c>
      <c r="Z8" s="933" t="s">
        <v>7868</v>
      </c>
    </row>
    <row r="9" spans="1:26" ht="15" customHeight="1">
      <c r="A9" s="26">
        <v>6</v>
      </c>
      <c r="B9" s="26">
        <v>5</v>
      </c>
      <c r="C9" s="26">
        <v>7</v>
      </c>
      <c r="D9" s="503" t="s">
        <v>2278</v>
      </c>
      <c r="E9" s="504" t="s">
        <v>8016</v>
      </c>
      <c r="F9" s="504" t="s">
        <v>8017</v>
      </c>
      <c r="G9" s="415" t="str">
        <f>'ANALYSE - ERP =&gt; CATEGORIE'!$D$14</f>
        <v>Mairies / hôtels de ville
Préfectures / services administratifs
Maisons France Services
Guichets publics
Églises, cathédrales, basiliques et chapelles ouvertes au public
Monastères, abbayes et couvents ouverts au public
Temples protestants, évangéliques et salles de culte assimilées
Mosquées et salles de prière musulmanes
Synagogues et oratoires juifs ouverts au public
Temples bouddhistes, hindous et autres lieux de culte non abrahamiques ouverts au public
Salles du Royaume, centres cultuels pluriconfessionnels et lieux de culte polyvalents
Locaux associatifs recevant du public</v>
      </c>
      <c r="H9" s="424">
        <f t="shared" si="0"/>
        <v>34971.222548035337</v>
      </c>
      <c r="I9" s="447">
        <f>'ANALYSE - ERP =&gt; CATEGORIE'!$EU$14</f>
        <v>174856.1127401767</v>
      </c>
      <c r="J9" s="427">
        <f>'ANALYSE - ERP =&gt; CATEGORIE'!$EV$14</f>
        <v>148223.8195001767</v>
      </c>
      <c r="K9" s="427">
        <f>'ANALYSE - ERP =&gt; CATEGORIE'!$EW$14</f>
        <v>26632.293239999999</v>
      </c>
      <c r="L9" s="787">
        <f>'ANALYSE - ERP =&gt; CATEGORIE'!$ES$14</f>
        <v>0.84769023614534067</v>
      </c>
      <c r="M9" s="787">
        <f>'ANALYSE - ERP =&gt; CATEGORIE'!$ET$14</f>
        <v>0.1523097638546593</v>
      </c>
      <c r="N9" s="916">
        <f>20*'ANALYSE - ERP =&gt; CATEGORIE'!$FR$14</f>
        <v>68.256247244834356</v>
      </c>
      <c r="O9" s="916">
        <f>20*'ANALYSE - ERP =&gt; CATEGORIE'!$FT$14</f>
        <v>35.667575538906164</v>
      </c>
      <c r="P9" s="916">
        <f>20*'ANALYSE - ERP =&gt; CATEGORIE'!$FP$14</f>
        <v>58.578438316731948</v>
      </c>
      <c r="Q9" s="430">
        <f>'ANALYSE - ERP =&gt; CATEGORIE'!$Q$14</f>
        <v>1</v>
      </c>
      <c r="S9" s="444"/>
      <c r="Z9" s="444"/>
    </row>
    <row r="10" spans="1:26" ht="15" customHeight="1">
      <c r="A10" s="26">
        <v>7</v>
      </c>
      <c r="B10" s="26">
        <v>6</v>
      </c>
      <c r="C10" s="26">
        <v>6</v>
      </c>
      <c r="D10" s="499" t="s">
        <v>3662</v>
      </c>
      <c r="E10" s="500" t="s">
        <v>8018</v>
      </c>
      <c r="F10" s="500" t="s">
        <v>8019</v>
      </c>
      <c r="G10" s="408" t="str">
        <f>'ANALYSE - ERP =&gt; CATEGORIE'!$D$10</f>
        <v>Cinémas
Théâtres
Musées
Salles de spectacle / auditoriums
Salles de conférence / réunion
Salles polyvalentes / salles des fêtes
Bibliothèques / médiathèques
Foires / salons
Halls d’exposition
Chapiteaux / tentes / structures
Structures gonflables
Parcs d’attractions / parcs à thèmes fixes
Parcs zoologiques / parcs animaliers ouverts au public
Aquariums ouverts au public</v>
      </c>
      <c r="H10" s="424">
        <f t="shared" si="0"/>
        <v>65891.127801604394</v>
      </c>
      <c r="I10" s="447">
        <f>'ANALYSE - ERP =&gt; CATEGORIE'!$EU$10</f>
        <v>329455.63900802197</v>
      </c>
      <c r="J10" s="427">
        <f>'ANALYSE - ERP =&gt; CATEGORIE'!$EV$10</f>
        <v>266279.93922802201</v>
      </c>
      <c r="K10" s="427">
        <f>'ANALYSE - ERP =&gt; CATEGORIE'!$EW$10</f>
        <v>63175.699779999988</v>
      </c>
      <c r="L10" s="787">
        <f>'ANALYSE - ERP =&gt; CATEGORIE'!$ES$10</f>
        <v>0.80824216586421305</v>
      </c>
      <c r="M10" s="787">
        <f>'ANALYSE - ERP =&gt; CATEGORIE'!$ET$10</f>
        <v>0.19175783413578698</v>
      </c>
      <c r="N10" s="916">
        <f>20*'ANALYSE - ERP =&gt; CATEGORIE'!$FR$10</f>
        <v>73.173807968212699</v>
      </c>
      <c r="O10" s="916">
        <f>20*'ANALYSE - ERP =&gt; CATEGORIE'!$FT$10</f>
        <v>37.821792562722592</v>
      </c>
      <c r="P10" s="916">
        <f>20*'ANALYSE - ERP =&gt; CATEGORIE'!$FP$10</f>
        <v>60.630811203329657</v>
      </c>
      <c r="Q10" s="430">
        <f>'ANALYSE - ERP =&gt; CATEGORIE'!$Q$10</f>
        <v>1</v>
      </c>
      <c r="S10" s="444" t="s">
        <v>7869</v>
      </c>
      <c r="Z10" s="444" t="s">
        <v>7870</v>
      </c>
    </row>
    <row r="11" spans="1:26" s="45" customFormat="1" ht="15" customHeight="1">
      <c r="A11" s="26">
        <v>8</v>
      </c>
      <c r="B11" s="26">
        <v>8</v>
      </c>
      <c r="C11" s="26">
        <v>8</v>
      </c>
      <c r="D11" s="505" t="s">
        <v>7117</v>
      </c>
      <c r="E11" s="506" t="s">
        <v>8020</v>
      </c>
      <c r="F11" s="506" t="s">
        <v>8021</v>
      </c>
      <c r="G11" s="411" t="str">
        <f>'ANALYSE - ERP =&gt; CATEGORIE'!$D$13</f>
        <v>Hôtels
Pensions de famille
Résidences de tourisme
Hôtels-restaurants d’altitude
Refuges de montagne
Auberges de jeunesse
Campings
Aires d’accueil des gens du voyage
Centres d’hébergement d’urgence / accueils de nuit
CHRS / centres d’hébergement et de réinsertion sociale
CADA / HUDA / CAES / centres d’accueil pour demandeurs d’asile
Foyers de jeunes travailleurs / résidences sociales / foyers de travailleurs migrants
Accueils de jour / haltes de jour avec douches et sanitaires
Cabinets dentaires / centres dentaires
Laboratoires de biologie médicale recevant du public
Centres d’imagerie médicale recevant du public
Centres de dialyse ambulatoire / unités d’autodialyse
Villages de vacances / clubs vacances / centres de vacances familiaux</v>
      </c>
      <c r="H11" s="424">
        <f t="shared" si="0"/>
        <v>0</v>
      </c>
      <c r="I11" s="447">
        <f>'ANALYSE - ERP =&gt; CATEGORIE'!$EU$13</f>
        <v>0</v>
      </c>
      <c r="J11" s="427">
        <f>'ANALYSE - ERP =&gt; CATEGORIE'!$EV$13</f>
        <v>0</v>
      </c>
      <c r="K11" s="427">
        <f>'ANALYSE - ERP =&gt; CATEGORIE'!$EW$13</f>
        <v>0</v>
      </c>
      <c r="L11" s="787">
        <f>'ANALYSE - ERP =&gt; CATEGORIE'!$ES$13</f>
        <v>0</v>
      </c>
      <c r="M11" s="787">
        <f>'ANALYSE - ERP =&gt; CATEGORIE'!$ET$13</f>
        <v>0</v>
      </c>
      <c r="N11" s="916" t="e">
        <f>20*'ANALYSE - ERP =&gt; CATEGORIE'!$FR$13</f>
        <v>#VALUE!</v>
      </c>
      <c r="O11" s="916" t="e">
        <f>20*'ANALYSE - ERP =&gt; CATEGORIE'!$FT$13</f>
        <v>#VALUE!</v>
      </c>
      <c r="P11" s="916" t="e">
        <f>20*'ANALYSE - ERP =&gt; CATEGORIE'!$FP$13</f>
        <v>#VALUE!</v>
      </c>
      <c r="Q11" s="430">
        <f>'ANALYSE - ERP =&gt; CATEGORIE'!$Q$13</f>
        <v>0</v>
      </c>
      <c r="R11" s="685"/>
      <c r="S11" s="444" t="s">
        <v>7871</v>
      </c>
      <c r="T11" s="685"/>
      <c r="U11" s="685"/>
      <c r="V11" s="685"/>
      <c r="W11" s="685"/>
      <c r="X11" s="685"/>
      <c r="Y11" s="685"/>
      <c r="Z11" s="444" t="s">
        <v>7872</v>
      </c>
    </row>
    <row r="12" spans="1:26" ht="15" customHeight="1">
      <c r="A12" s="26">
        <v>9</v>
      </c>
      <c r="B12" s="26">
        <v>9</v>
      </c>
      <c r="C12" s="26">
        <v>9</v>
      </c>
      <c r="D12" s="507" t="s">
        <v>2285</v>
      </c>
      <c r="E12" s="508" t="s">
        <v>8022</v>
      </c>
      <c r="F12" s="508" t="s">
        <v>8023</v>
      </c>
      <c r="G12" s="408" t="str">
        <f>'ANALYSE - ERP =&gt; CATEGORIE'!$D$16</f>
        <v>Aires de service - Autoroutes
(Hors Aires de repos)
Aires de repos - Autoroutes
(Hors Aires de service)
Aéroports / aérogares
(&gt;1 000 passagers/an)
Gares ferroviaires et stations
Terminaux maritimes / fluviaux
Établissements flottants
Parcs de stationnement couverts
Ports de plaisance / capitaineries
Rames ferroviaires voyageurs
Aéronefs commerciaux
Ferries et navires à passagers 
Autocars
(Trajets longues distance)
Stations / espaces métro équipés de toilettes publiques (minimum observé RATP)</v>
      </c>
      <c r="H12" s="424">
        <f t="shared" si="0"/>
        <v>18023.293523353153</v>
      </c>
      <c r="I12" s="447">
        <f>'ANALYSE - ERP =&gt; CATEGORIE'!$EU$16</f>
        <v>90116.46761676576</v>
      </c>
      <c r="J12" s="427">
        <f>'ANALYSE - ERP =&gt; CATEGORIE'!$EV$16</f>
        <v>72328.691546765753</v>
      </c>
      <c r="K12" s="427">
        <f>'ANALYSE - ERP =&gt; CATEGORIE'!$EW$16</f>
        <v>17787.77607</v>
      </c>
      <c r="L12" s="787">
        <f>'ANALYSE - ERP =&gt; CATEGORIE'!$ES$16</f>
        <v>0.80261347853041376</v>
      </c>
      <c r="M12" s="787">
        <f>'ANALYSE - ERP =&gt; CATEGORIE'!$ET$16</f>
        <v>0.19738652146958616</v>
      </c>
      <c r="N12" s="916">
        <f>20*'ANALYSE - ERP =&gt; CATEGORIE'!$FR$16</f>
        <v>86.163054617420514</v>
      </c>
      <c r="O12" s="916">
        <f>20*'ANALYSE - ERP =&gt; CATEGORIE'!$FT$16</f>
        <v>45.460682124721629</v>
      </c>
      <c r="P12" s="916">
        <f>20*'ANALYSE - ERP =&gt; CATEGORIE'!$FP$16</f>
        <v>72.645281295082341</v>
      </c>
      <c r="Q12" s="430">
        <f>'ANALYSE - ERP =&gt; CATEGORIE'!$Q$16</f>
        <v>1</v>
      </c>
      <c r="S12" s="444" t="s">
        <v>7873</v>
      </c>
      <c r="Z12" s="444" t="s">
        <v>7874</v>
      </c>
    </row>
    <row r="13" spans="1:26" ht="15" customHeight="1">
      <c r="A13" s="26">
        <v>10</v>
      </c>
      <c r="B13" s="26">
        <v>10</v>
      </c>
      <c r="C13" s="26">
        <v>10</v>
      </c>
      <c r="D13" s="509" t="s">
        <v>4908</v>
      </c>
      <c r="E13" s="510" t="s">
        <v>8024</v>
      </c>
      <c r="F13" s="510" t="s">
        <v>8025</v>
      </c>
      <c r="G13" s="410" t="str">
        <f>'ANALYSE - ERP =&gt; CATEGORIE'!$D$17</f>
        <v>Locaux de sûreté, garde à vue et zones opérationnelles
Postes de proximité et antennes avec accueil public
Salles de réunion, de prévention ou de conférence ouvertes au public
Unités d'hébergement des militaires &amp; réservistes
Centres de recrutement et bureaux d’information
Restaurants ou équipements sportifs ouverts au public sur emprise militaire
Hôpitaux d’instruction des armées et centres médicaux recevant du public
Salles de conférence, auditoriums et espaces événementiels ouverts au public
Maisons d’arrêt
Centres de détention
Maisons centrales
Centres pénitentiaires
Centres de semi-liberté
Centres éducatifs fermés
Centres pour peines aménagées
(absorbés par autres centres carcéraux)
Unités hospitalières sécurisées
Palais de justice et bâtiments judiciaires multi-usages
Maisons de justice et du droit
Tribunaux de commerce autonomes
Conseils de prud’hommes autonomes
Autres bâtiments judiciaires autonomes recevant du public</v>
      </c>
      <c r="H13" s="424">
        <f t="shared" si="0"/>
        <v>12680.573482832011</v>
      </c>
      <c r="I13" s="447">
        <f>'ANALYSE - ERP =&gt; CATEGORIE'!$EU$17</f>
        <v>63402.867414160057</v>
      </c>
      <c r="J13" s="427">
        <f>'ANALYSE - ERP =&gt; CATEGORIE'!$EV$17</f>
        <v>46505.986624160054</v>
      </c>
      <c r="K13" s="427">
        <f>'ANALYSE - ERP =&gt; CATEGORIE'!$EW$17</f>
        <v>16896.880790000003</v>
      </c>
      <c r="L13" s="787">
        <f>'ANALYSE - ERP =&gt; CATEGORIE'!$ES$17</f>
        <v>0.73349973780166378</v>
      </c>
      <c r="M13" s="787">
        <f>'ANALYSE - ERP =&gt; CATEGORIE'!$ET$17</f>
        <v>0.26650026219833622</v>
      </c>
      <c r="N13" s="916">
        <f>20*'ANALYSE - ERP =&gt; CATEGORIE'!$FR$17</f>
        <v>84.480127949628013</v>
      </c>
      <c r="O13" s="916">
        <f>20*'ANALYSE - ERP =&gt; CATEGORIE'!$FT$17</f>
        <v>61.072209231228157</v>
      </c>
      <c r="P13" s="916">
        <f>20*'ANALYSE - ERP =&gt; CATEGORIE'!$FP$17</f>
        <v>73.340244516420356</v>
      </c>
      <c r="Q13" s="430">
        <f>'ANALYSE - ERP =&gt; CATEGORIE'!$Q$17</f>
        <v>1</v>
      </c>
      <c r="S13" s="444" t="s">
        <v>7875</v>
      </c>
      <c r="Z13" s="444" t="s">
        <v>7876</v>
      </c>
    </row>
    <row r="14" spans="1:26" ht="15" customHeight="1">
      <c r="A14" s="26">
        <v>11</v>
      </c>
      <c r="B14" s="26">
        <v>11</v>
      </c>
      <c r="C14" s="26">
        <v>11</v>
      </c>
      <c r="D14" s="501" t="s">
        <v>2163</v>
      </c>
      <c r="E14" s="502" t="s">
        <v>2163</v>
      </c>
      <c r="F14" s="502" t="s">
        <v>2164</v>
      </c>
      <c r="G14" s="410" t="str">
        <f>'ANALYSE - ERP =&gt; CATEGORIE'!$D$18</f>
        <v>Toilettes publiques (sur la voie publique)
Bains-douches municipaux / douches publiques fixes
Blocs sanitaires de plage / front de mer</v>
      </c>
      <c r="H14" s="424">
        <f t="shared" si="0"/>
        <v>4259.4958155194809</v>
      </c>
      <c r="I14" s="447">
        <f>'ANALYSE - ERP =&gt; CATEGORIE'!$EU$18</f>
        <v>21297.479077597403</v>
      </c>
      <c r="J14" s="427">
        <f>'ANALYSE - ERP =&gt; CATEGORIE'!$EV$18</f>
        <v>17172.141377597403</v>
      </c>
      <c r="K14" s="427">
        <f>'ANALYSE - ERP =&gt; CATEGORIE'!$EW$18</f>
        <v>4125.3377</v>
      </c>
      <c r="L14" s="787">
        <f>'ANALYSE - ERP =&gt; CATEGORIE'!$ES$18</f>
        <v>0.80629924861203883</v>
      </c>
      <c r="M14" s="787">
        <f>'ANALYSE - ERP =&gt; CATEGORIE'!$ET$18</f>
        <v>0.1937007513879612</v>
      </c>
      <c r="N14" s="916">
        <f>20*'ANALYSE - ERP =&gt; CATEGORIE'!$FR$18</f>
        <v>93.405953178716047</v>
      </c>
      <c r="O14" s="916">
        <f>20*'ANALYSE - ERP =&gt; CATEGORIE'!$FT$18</f>
        <v>41.833887252430266</v>
      </c>
      <c r="P14" s="916">
        <f>20*'ANALYSE - ERP =&gt; CATEGORIE'!$FP$18</f>
        <v>75.404776640624732</v>
      </c>
      <c r="Q14" s="430">
        <f>'ANALYSE - ERP =&gt; CATEGORIE'!$Q$18</f>
        <v>1</v>
      </c>
      <c r="S14" s="444" t="s">
        <v>7877</v>
      </c>
    </row>
    <row r="15" spans="1:26" ht="15" customHeight="1">
      <c r="A15" s="26"/>
      <c r="B15" s="26"/>
      <c r="C15" s="26"/>
      <c r="D15" s="422"/>
      <c r="E15" s="415"/>
      <c r="F15" s="415"/>
      <c r="G15" s="415"/>
      <c r="H15" s="424"/>
      <c r="I15" s="447"/>
      <c r="J15" s="427"/>
      <c r="K15" s="427"/>
      <c r="L15" s="787"/>
      <c r="M15" s="787"/>
      <c r="N15" s="916"/>
      <c r="O15" s="916"/>
      <c r="P15" s="916"/>
      <c r="Q15" s="430"/>
    </row>
    <row r="16" spans="1:26" ht="15" customHeight="1">
      <c r="A16" s="26"/>
      <c r="B16" s="26"/>
      <c r="C16" s="26"/>
      <c r="D16" s="422"/>
      <c r="E16" s="412"/>
      <c r="F16" s="412"/>
      <c r="G16" s="412"/>
      <c r="H16" s="424"/>
      <c r="I16" s="447"/>
      <c r="J16" s="427"/>
      <c r="K16" s="427"/>
      <c r="L16" s="787"/>
      <c r="M16" s="787"/>
      <c r="N16" s="916"/>
      <c r="O16" s="916"/>
      <c r="P16" s="916"/>
      <c r="Q16" s="430"/>
      <c r="S16" s="933" t="s">
        <v>7878</v>
      </c>
      <c r="Z16" s="933" t="s">
        <v>7878</v>
      </c>
    </row>
    <row r="17" spans="19:26" ht="15" customHeight="1">
      <c r="S17" s="62" t="s">
        <v>7879</v>
      </c>
      <c r="Z17" s="62" t="s">
        <v>7880</v>
      </c>
    </row>
    <row r="18" spans="19:26" ht="15" customHeight="1"/>
    <row r="19" spans="19:26" ht="15" customHeight="1"/>
    <row r="20" spans="19:26" ht="15" customHeight="1"/>
    <row r="21" spans="19:26" ht="15" customHeight="1">
      <c r="X21" s="445" t="s">
        <v>7881</v>
      </c>
    </row>
    <row r="22" spans="19:26" ht="15" customHeight="1">
      <c r="X22" s="444"/>
    </row>
    <row r="23" spans="19:26" ht="15" customHeight="1">
      <c r="X23" s="446" t="s">
        <v>7882</v>
      </c>
    </row>
    <row r="24" spans="19:26" ht="15" customHeight="1">
      <c r="X24" s="446" t="s">
        <v>7883</v>
      </c>
    </row>
    <row r="25" spans="19:26" ht="15" customHeight="1">
      <c r="X25" s="446" t="s">
        <v>7884</v>
      </c>
    </row>
    <row r="26" spans="19:26" ht="15" customHeight="1">
      <c r="X26" s="446" t="s">
        <v>7885</v>
      </c>
    </row>
  </sheetData>
  <pageMargins left="3.937007874015748E-2" right="3.937007874015748E-2" top="7.874015748031496E-2" bottom="7.874015748031496E-2" header="0.11811023622047249" footer="0.11811023622047249"/>
  <pageSetup paperSize="8" scale="54" fitToHeight="2"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8" tint="0.39997558519241921"/>
    <pageSetUpPr fitToPage="1"/>
  </sheetPr>
  <dimension ref="A1:AQ49"/>
  <sheetViews>
    <sheetView workbookViewId="0">
      <selection sqref="A1:H1"/>
    </sheetView>
  </sheetViews>
  <sheetFormatPr baseColWidth="10" defaultColWidth="9.140625" defaultRowHeight="15"/>
  <cols>
    <col min="1" max="7" width="18" style="934" customWidth="1"/>
    <col min="8" max="8" width="9.5703125" style="934" customWidth="1"/>
    <col min="9" max="43" width="9.140625" style="933" customWidth="1"/>
  </cols>
  <sheetData>
    <row r="1" spans="1:8" ht="24" customHeight="1">
      <c r="A1" s="1012" t="s">
        <v>7886</v>
      </c>
      <c r="B1" s="1013"/>
      <c r="C1" s="1013"/>
      <c r="D1" s="1013"/>
      <c r="E1" s="1013"/>
      <c r="F1" s="1013"/>
      <c r="G1" s="1013"/>
      <c r="H1" s="1014"/>
    </row>
    <row r="2" spans="1:8" s="933" customFormat="1"/>
    <row r="3" spans="1:8">
      <c r="A3" s="1009" t="s">
        <v>7776</v>
      </c>
      <c r="B3" s="1008"/>
      <c r="C3" s="1008"/>
      <c r="D3" s="1008"/>
      <c r="E3" s="1008"/>
      <c r="F3" s="1008"/>
      <c r="G3" s="1008"/>
      <c r="H3" s="1008"/>
    </row>
    <row r="4" spans="1:8" s="933" customFormat="1" ht="25.5" customHeight="1">
      <c r="A4" s="1010" t="s">
        <v>7887</v>
      </c>
      <c r="B4" s="1005"/>
      <c r="C4" s="1005"/>
      <c r="D4" s="1005"/>
      <c r="E4" s="1005"/>
      <c r="F4" s="1005"/>
      <c r="G4" s="1005"/>
      <c r="H4" s="1005"/>
    </row>
    <row r="5" spans="1:8" s="933" customFormat="1"/>
    <row r="6" spans="1:8">
      <c r="A6" s="1009" t="s">
        <v>7888</v>
      </c>
      <c r="B6" s="1008"/>
      <c r="C6" s="1008"/>
      <c r="D6" s="1008"/>
      <c r="E6" s="1008"/>
      <c r="F6" s="1008"/>
      <c r="G6" s="1008"/>
      <c r="H6" s="1008"/>
    </row>
    <row r="7" spans="1:8">
      <c r="A7" s="1004" t="s">
        <v>7741</v>
      </c>
      <c r="B7" s="1008"/>
      <c r="C7" s="1008"/>
      <c r="D7" s="1008"/>
      <c r="E7" s="1008"/>
      <c r="F7" s="1008"/>
      <c r="G7" s="1008"/>
      <c r="H7" s="1008"/>
    </row>
    <row r="8" spans="1:8" s="933" customFormat="1">
      <c r="A8" s="1010" t="s">
        <v>7889</v>
      </c>
      <c r="B8" s="1005"/>
      <c r="C8" s="1005"/>
      <c r="D8" s="1005"/>
      <c r="E8" s="1005"/>
      <c r="F8" s="1005"/>
      <c r="G8" s="1005"/>
      <c r="H8" s="1005"/>
    </row>
    <row r="9" spans="1:8">
      <c r="A9" s="1004" t="s">
        <v>7890</v>
      </c>
      <c r="B9" s="1008"/>
      <c r="C9" s="1008"/>
      <c r="D9" s="1008"/>
      <c r="E9" s="1008"/>
      <c r="F9" s="1008"/>
      <c r="G9" s="1008"/>
      <c r="H9" s="1008"/>
    </row>
    <row r="10" spans="1:8" ht="51.75" customHeight="1">
      <c r="A10" s="1006" t="s">
        <v>7891</v>
      </c>
      <c r="B10" s="1008"/>
      <c r="C10" s="1008"/>
      <c r="D10" s="1008"/>
      <c r="E10" s="1008"/>
      <c r="F10" s="1008"/>
      <c r="G10" s="1008"/>
      <c r="H10" s="1008"/>
    </row>
    <row r="11" spans="1:8">
      <c r="A11" s="1004" t="s">
        <v>1307</v>
      </c>
      <c r="B11" s="1008"/>
      <c r="C11" s="1008"/>
      <c r="D11" s="1008"/>
      <c r="E11" s="1008"/>
      <c r="F11" s="1008"/>
      <c r="G11" s="1008"/>
      <c r="H11" s="1008"/>
    </row>
    <row r="12" spans="1:8" s="933" customFormat="1" ht="25.5" customHeight="1">
      <c r="A12" s="1010" t="s">
        <v>7892</v>
      </c>
      <c r="B12" s="1005"/>
      <c r="C12" s="1005"/>
      <c r="D12" s="1005"/>
      <c r="E12" s="1005"/>
      <c r="F12" s="1005"/>
      <c r="G12" s="1005"/>
      <c r="H12" s="1005"/>
    </row>
    <row r="13" spans="1:8" s="933" customFormat="1"/>
    <row r="14" spans="1:8">
      <c r="A14" s="1009" t="s">
        <v>7893</v>
      </c>
      <c r="B14" s="1008"/>
      <c r="C14" s="1008"/>
      <c r="D14" s="1008"/>
      <c r="E14" s="1008"/>
      <c r="F14" s="1008"/>
      <c r="G14" s="1008"/>
      <c r="H14" s="1008"/>
    </row>
    <row r="15" spans="1:8">
      <c r="A15" s="1004" t="s">
        <v>7741</v>
      </c>
      <c r="B15" s="1008"/>
      <c r="C15" s="1008"/>
      <c r="D15" s="1008"/>
      <c r="E15" s="1008"/>
      <c r="F15" s="1008"/>
      <c r="G15" s="1008"/>
      <c r="H15" s="1008"/>
    </row>
    <row r="16" spans="1:8" s="933" customFormat="1" ht="25.5" customHeight="1">
      <c r="A16" s="1010" t="s">
        <v>7894</v>
      </c>
      <c r="B16" s="1005"/>
      <c r="C16" s="1005"/>
      <c r="D16" s="1005"/>
      <c r="E16" s="1005"/>
      <c r="F16" s="1005"/>
      <c r="G16" s="1005"/>
      <c r="H16" s="1005"/>
    </row>
    <row r="17" spans="1:8">
      <c r="A17" s="1004" t="s">
        <v>7890</v>
      </c>
      <c r="B17" s="1008"/>
      <c r="C17" s="1008"/>
      <c r="D17" s="1008"/>
      <c r="E17" s="1008"/>
      <c r="F17" s="1008"/>
      <c r="G17" s="1008"/>
      <c r="H17" s="1008"/>
    </row>
    <row r="18" spans="1:8" s="933" customFormat="1" ht="51" customHeight="1">
      <c r="A18" s="1010" t="s">
        <v>7895</v>
      </c>
      <c r="B18" s="1005"/>
      <c r="C18" s="1005"/>
      <c r="D18" s="1005"/>
      <c r="E18" s="1005"/>
      <c r="F18" s="1005"/>
      <c r="G18" s="1005"/>
      <c r="H18" s="1005"/>
    </row>
    <row r="19" spans="1:8">
      <c r="A19" s="1004" t="s">
        <v>1307</v>
      </c>
      <c r="B19" s="1008"/>
      <c r="C19" s="1008"/>
      <c r="D19" s="1008"/>
      <c r="E19" s="1008"/>
      <c r="F19" s="1008"/>
      <c r="G19" s="1008"/>
      <c r="H19" s="1008"/>
    </row>
    <row r="20" spans="1:8" s="933" customFormat="1">
      <c r="A20" s="1010" t="s">
        <v>7896</v>
      </c>
      <c r="B20" s="1005"/>
      <c r="C20" s="1005"/>
      <c r="D20" s="1005"/>
      <c r="E20" s="1005"/>
      <c r="F20" s="1005"/>
      <c r="G20" s="1005"/>
      <c r="H20" s="1005"/>
    </row>
    <row r="21" spans="1:8" s="933" customFormat="1"/>
    <row r="22" spans="1:8">
      <c r="A22" s="1009" t="s">
        <v>7897</v>
      </c>
      <c r="B22" s="1008"/>
      <c r="C22" s="1008"/>
      <c r="D22" s="1008"/>
      <c r="E22" s="1008"/>
      <c r="F22" s="1008"/>
      <c r="G22" s="1008"/>
      <c r="H22" s="1008"/>
    </row>
    <row r="23" spans="1:8">
      <c r="A23" s="1004" t="s">
        <v>7898</v>
      </c>
      <c r="B23" s="1008"/>
      <c r="C23" s="1008"/>
      <c r="D23" s="1008"/>
      <c r="E23" s="1008"/>
      <c r="F23" s="1008"/>
      <c r="G23" s="1008"/>
      <c r="H23" s="1008"/>
    </row>
    <row r="24" spans="1:8" ht="39" customHeight="1">
      <c r="A24" s="1006" t="s">
        <v>7899</v>
      </c>
      <c r="B24" s="1008"/>
      <c r="C24" s="1008"/>
      <c r="D24" s="1008"/>
      <c r="E24" s="1008"/>
      <c r="F24" s="1008"/>
      <c r="G24" s="1008"/>
      <c r="H24" s="1008"/>
    </row>
    <row r="25" spans="1:8">
      <c r="A25" s="1004" t="s">
        <v>7900</v>
      </c>
      <c r="B25" s="1008"/>
      <c r="C25" s="1008"/>
      <c r="D25" s="1008"/>
      <c r="E25" s="1008"/>
      <c r="F25" s="1008"/>
      <c r="G25" s="1008"/>
      <c r="H25" s="1008"/>
    </row>
    <row r="26" spans="1:8" ht="26.25" customHeight="1">
      <c r="A26" s="1006" t="s">
        <v>7901</v>
      </c>
      <c r="B26" s="1008"/>
      <c r="C26" s="1008"/>
      <c r="D26" s="1008"/>
      <c r="E26" s="1008"/>
      <c r="F26" s="1008"/>
      <c r="G26" s="1008"/>
      <c r="H26" s="1008"/>
    </row>
    <row r="27" spans="1:8" s="933" customFormat="1"/>
    <row r="28" spans="1:8">
      <c r="A28" s="1009" t="s">
        <v>7902</v>
      </c>
      <c r="B28" s="1008"/>
      <c r="C28" s="1008"/>
      <c r="D28" s="1008"/>
      <c r="E28" s="1008"/>
      <c r="F28" s="1008"/>
      <c r="G28" s="1008"/>
      <c r="H28" s="1008"/>
    </row>
    <row r="29" spans="1:8">
      <c r="A29" s="1004" t="s">
        <v>7903</v>
      </c>
      <c r="B29" s="1008"/>
      <c r="C29" s="1008"/>
      <c r="D29" s="1008"/>
      <c r="E29" s="1008"/>
      <c r="F29" s="1008"/>
      <c r="G29" s="1008"/>
      <c r="H29" s="1008"/>
    </row>
    <row r="30" spans="1:8" ht="66" customHeight="1">
      <c r="A30" s="1006" t="s">
        <v>7904</v>
      </c>
      <c r="B30" s="1008"/>
      <c r="C30" s="1008"/>
      <c r="D30" s="1008"/>
      <c r="E30" s="1008"/>
      <c r="F30" s="1008"/>
      <c r="G30" s="1008"/>
      <c r="H30" s="1008"/>
    </row>
    <row r="31" spans="1:8" s="933" customFormat="1"/>
    <row r="32" spans="1:8">
      <c r="A32" s="1009" t="s">
        <v>7801</v>
      </c>
      <c r="B32" s="1008"/>
      <c r="C32" s="1008"/>
      <c r="D32" s="1008"/>
      <c r="E32" s="1008"/>
      <c r="F32" s="1008"/>
      <c r="G32" s="1008"/>
      <c r="H32" s="1008"/>
    </row>
    <row r="33" spans="1:8">
      <c r="A33" s="1004" t="s">
        <v>7905</v>
      </c>
      <c r="B33" s="1008"/>
      <c r="C33" s="1008"/>
      <c r="D33" s="1008"/>
      <c r="E33" s="1008"/>
      <c r="F33" s="1008"/>
      <c r="G33" s="1008"/>
      <c r="H33" s="1008"/>
    </row>
    <row r="34" spans="1:8" ht="78.75" customHeight="1">
      <c r="A34" s="1006" t="s">
        <v>7906</v>
      </c>
      <c r="B34" s="1008"/>
      <c r="C34" s="1008"/>
      <c r="D34" s="1008"/>
      <c r="E34" s="1008"/>
      <c r="F34" s="1008"/>
      <c r="G34" s="1008"/>
      <c r="H34" s="1008"/>
    </row>
    <row r="35" spans="1:8">
      <c r="A35" s="1004" t="s">
        <v>7907</v>
      </c>
      <c r="B35" s="1008"/>
      <c r="C35" s="1008"/>
      <c r="D35" s="1008"/>
      <c r="E35" s="1008"/>
      <c r="F35" s="1008"/>
      <c r="G35" s="1008"/>
      <c r="H35" s="1008"/>
    </row>
    <row r="36" spans="1:8" ht="38.25" customHeight="1">
      <c r="A36" s="1006" t="s">
        <v>7908</v>
      </c>
      <c r="B36" s="1008"/>
      <c r="C36" s="1008"/>
      <c r="D36" s="1008"/>
      <c r="E36" s="1008"/>
      <c r="F36" s="1008"/>
      <c r="G36" s="1008"/>
      <c r="H36" s="1008"/>
    </row>
    <row r="37" spans="1:8">
      <c r="A37" s="1004" t="s">
        <v>7909</v>
      </c>
      <c r="B37" s="1008"/>
      <c r="C37" s="1008"/>
      <c r="D37" s="1008"/>
      <c r="E37" s="1008"/>
      <c r="F37" s="1008"/>
      <c r="G37" s="1008"/>
      <c r="H37" s="1008"/>
    </row>
    <row r="38" spans="1:8" ht="66" customHeight="1">
      <c r="A38" s="1006" t="s">
        <v>7910</v>
      </c>
      <c r="B38" s="1008"/>
      <c r="C38" s="1008"/>
      <c r="D38" s="1008"/>
      <c r="E38" s="1008"/>
      <c r="F38" s="1008"/>
      <c r="G38" s="1008"/>
      <c r="H38" s="1008"/>
    </row>
    <row r="39" spans="1:8">
      <c r="A39" s="1004" t="s">
        <v>7808</v>
      </c>
      <c r="B39" s="1008"/>
      <c r="C39" s="1008"/>
      <c r="D39" s="1008"/>
      <c r="E39" s="1008"/>
      <c r="F39" s="1008"/>
      <c r="G39" s="1008"/>
      <c r="H39" s="1008"/>
    </row>
    <row r="40" spans="1:8" ht="27.75" customHeight="1">
      <c r="A40" s="1006" t="s">
        <v>7911</v>
      </c>
      <c r="B40" s="1008"/>
      <c r="C40" s="1008"/>
      <c r="D40" s="1008"/>
      <c r="E40" s="1008"/>
      <c r="F40" s="1008"/>
      <c r="G40" s="1008"/>
      <c r="H40" s="1008"/>
    </row>
    <row r="41" spans="1:8" s="933" customFormat="1"/>
    <row r="42" spans="1:8">
      <c r="A42" s="1009" t="s">
        <v>7912</v>
      </c>
      <c r="B42" s="1008"/>
      <c r="C42" s="1008"/>
      <c r="D42" s="1008"/>
      <c r="E42" s="1008"/>
      <c r="F42" s="1008"/>
      <c r="G42" s="1008"/>
      <c r="H42" s="1008"/>
    </row>
    <row r="43" spans="1:8">
      <c r="A43" s="1004" t="s">
        <v>7913</v>
      </c>
      <c r="B43" s="1008"/>
      <c r="C43" s="1008"/>
      <c r="D43" s="1008"/>
      <c r="E43" s="1008"/>
      <c r="F43" s="1008"/>
      <c r="G43" s="1008"/>
      <c r="H43" s="1008"/>
    </row>
    <row r="44" spans="1:8">
      <c r="A44" s="1006" t="s">
        <v>7914</v>
      </c>
      <c r="B44" s="1008"/>
      <c r="C44" s="1008"/>
      <c r="D44" s="1008"/>
      <c r="E44" s="1008"/>
      <c r="F44" s="1008"/>
      <c r="G44" s="1008"/>
      <c r="H44" s="1008"/>
    </row>
    <row r="45" spans="1:8">
      <c r="A45" s="1004" t="s">
        <v>7915</v>
      </c>
      <c r="B45" s="1008"/>
      <c r="C45" s="1008"/>
      <c r="D45" s="1008"/>
      <c r="E45" s="1008"/>
      <c r="F45" s="1008"/>
      <c r="G45" s="1008"/>
      <c r="H45" s="1008"/>
    </row>
    <row r="46" spans="1:8" ht="66" customHeight="1">
      <c r="A46" s="1006" t="s">
        <v>7916</v>
      </c>
      <c r="B46" s="1008"/>
      <c r="C46" s="1008"/>
      <c r="D46" s="1008"/>
      <c r="E46" s="1008"/>
      <c r="F46" s="1008"/>
      <c r="G46" s="1008"/>
      <c r="H46" s="1008"/>
    </row>
    <row r="47" spans="1:8" s="933" customFormat="1"/>
    <row r="48" spans="1:8">
      <c r="A48" s="1009" t="s">
        <v>7821</v>
      </c>
      <c r="B48" s="1008"/>
      <c r="C48" s="1008"/>
      <c r="D48" s="1008"/>
      <c r="E48" s="1008"/>
      <c r="F48" s="1008"/>
      <c r="G48" s="1008"/>
      <c r="H48" s="1008"/>
    </row>
    <row r="49" spans="1:8" ht="38.25" customHeight="1">
      <c r="A49" s="1011" t="s">
        <v>7917</v>
      </c>
      <c r="B49" s="1008"/>
      <c r="C49" s="1008"/>
      <c r="D49" s="1008"/>
      <c r="E49" s="1008"/>
      <c r="F49" s="1008"/>
      <c r="G49" s="1008"/>
      <c r="H49" s="1008"/>
    </row>
  </sheetData>
  <mergeCells count="41">
    <mergeCell ref="A8:H8"/>
    <mergeCell ref="A22:H22"/>
    <mergeCell ref="A17:H17"/>
    <mergeCell ref="A4:H4"/>
    <mergeCell ref="A35:H35"/>
    <mergeCell ref="A29:H29"/>
    <mergeCell ref="A34:H34"/>
    <mergeCell ref="A20:H20"/>
    <mergeCell ref="A10:H10"/>
    <mergeCell ref="A28:H28"/>
    <mergeCell ref="A19:H19"/>
    <mergeCell ref="A9:H9"/>
    <mergeCell ref="A14:H14"/>
    <mergeCell ref="A49:H49"/>
    <mergeCell ref="A11:H11"/>
    <mergeCell ref="A45:H45"/>
    <mergeCell ref="A1:H1"/>
    <mergeCell ref="A6:H6"/>
    <mergeCell ref="A7:H7"/>
    <mergeCell ref="A25:H25"/>
    <mergeCell ref="A16:H16"/>
    <mergeCell ref="A37:H37"/>
    <mergeCell ref="A46:H46"/>
    <mergeCell ref="A12:H12"/>
    <mergeCell ref="A18:H18"/>
    <mergeCell ref="A3:H3"/>
    <mergeCell ref="A26:H26"/>
    <mergeCell ref="A42:H42"/>
    <mergeCell ref="A33:H33"/>
    <mergeCell ref="A48:H48"/>
    <mergeCell ref="A30:H30"/>
    <mergeCell ref="A39:H39"/>
    <mergeCell ref="A15:H15"/>
    <mergeCell ref="A24:H24"/>
    <mergeCell ref="A36:H36"/>
    <mergeCell ref="A23:H23"/>
    <mergeCell ref="A32:H32"/>
    <mergeCell ref="A38:H38"/>
    <mergeCell ref="A43:H43"/>
    <mergeCell ref="A44:H44"/>
    <mergeCell ref="A40:H40"/>
  </mergeCells>
  <pageMargins left="3.937007874015748E-2" right="3.937007874015748E-2" top="0" bottom="0" header="0.11811023622047249" footer="0.11811023622047249"/>
  <pageSetup paperSize="9" scale="10"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theme="8" tint="-0.249977111117893"/>
    <pageSetUpPr fitToPage="1"/>
  </sheetPr>
  <dimension ref="A1:BE14"/>
  <sheetViews>
    <sheetView workbookViewId="0"/>
  </sheetViews>
  <sheetFormatPr baseColWidth="10" defaultColWidth="9.140625" defaultRowHeight="15"/>
  <cols>
    <col min="1" max="1" width="6.140625" style="934" customWidth="1"/>
    <col min="2" max="2" width="5.7109375" style="934" customWidth="1"/>
    <col min="3" max="3" width="5.42578125" style="934" customWidth="1"/>
    <col min="4" max="4" width="4.85546875" style="934" customWidth="1"/>
    <col min="5" max="5" width="30.28515625" style="43" customWidth="1"/>
    <col min="6" max="6" width="22" style="43" customWidth="1"/>
    <col min="7" max="7" width="45.140625" style="43" customWidth="1"/>
    <col min="8" max="8" width="1.7109375" style="933" customWidth="1"/>
    <col min="9" max="9" width="9.7109375" style="934" customWidth="1"/>
    <col min="10" max="10" width="1.7109375" style="933" customWidth="1"/>
    <col min="11" max="11" width="9.5703125" style="934" customWidth="1"/>
    <col min="12" max="12" width="9" style="934" customWidth="1"/>
    <col min="13" max="13" width="1.7109375" style="933" customWidth="1"/>
    <col min="14" max="14" width="9.42578125" style="934" customWidth="1"/>
    <col min="15" max="15" width="9" style="934" customWidth="1"/>
    <col min="16" max="16" width="10.42578125" style="934" customWidth="1"/>
    <col min="17" max="17" width="8.7109375" style="934" customWidth="1"/>
    <col min="18" max="18" width="8.85546875" style="934" customWidth="1"/>
    <col min="19" max="19" width="1.7109375" style="933" customWidth="1"/>
    <col min="20" max="20" width="9" style="934" customWidth="1"/>
    <col min="21" max="21" width="8.85546875" style="934" customWidth="1"/>
    <col min="22" max="22" width="9.7109375" style="934" customWidth="1"/>
    <col min="23" max="23" width="10.42578125" style="934" customWidth="1"/>
    <col min="24" max="24" width="9" style="934" customWidth="1"/>
    <col min="25" max="25" width="1.7109375" style="933" customWidth="1"/>
    <col min="26" max="26" width="9.5703125" style="934" customWidth="1"/>
    <col min="27" max="27" width="9.85546875" style="934" customWidth="1"/>
    <col min="28" max="28" width="9" style="934" customWidth="1"/>
    <col min="29" max="29" width="9.42578125" style="934" customWidth="1"/>
    <col min="30" max="30" width="7.85546875" style="934" customWidth="1"/>
    <col min="31" max="31" width="1.7109375" style="933" customWidth="1"/>
    <col min="32" max="32" width="11.5703125" style="934" customWidth="1"/>
    <col min="33" max="57" width="9.140625" style="933" customWidth="1"/>
  </cols>
  <sheetData>
    <row r="1" spans="1:32" s="438" customFormat="1" ht="18.75" customHeight="1">
      <c r="A1" s="933"/>
      <c r="B1" s="933"/>
      <c r="C1" s="933"/>
      <c r="D1" s="477"/>
      <c r="E1" s="477"/>
      <c r="F1" s="478" t="s">
        <v>7918</v>
      </c>
      <c r="G1" s="479"/>
      <c r="H1" s="933"/>
      <c r="I1" s="933"/>
      <c r="J1" s="933"/>
      <c r="K1" s="933"/>
      <c r="L1" s="933"/>
      <c r="M1" s="933"/>
      <c r="N1" s="436"/>
      <c r="O1" s="436"/>
      <c r="P1" s="440" t="s">
        <v>7919</v>
      </c>
      <c r="Q1" s="436"/>
      <c r="R1" s="436"/>
      <c r="S1" s="933"/>
      <c r="T1" s="434"/>
      <c r="U1" s="434"/>
      <c r="V1" s="439" t="s">
        <v>7919</v>
      </c>
      <c r="W1" s="434"/>
      <c r="X1" s="434"/>
      <c r="Y1" s="933"/>
      <c r="Z1" s="435"/>
      <c r="AA1" s="435"/>
      <c r="AB1" s="441" t="s">
        <v>7919</v>
      </c>
      <c r="AC1" s="435"/>
      <c r="AD1" s="435"/>
      <c r="AE1" s="933"/>
      <c r="AF1" s="436"/>
    </row>
    <row r="2" spans="1:32" s="437" customFormat="1" ht="54.75" customHeight="1">
      <c r="A2" s="436" t="s">
        <v>7853</v>
      </c>
      <c r="B2" s="434" t="s">
        <v>7854</v>
      </c>
      <c r="C2" s="435" t="s">
        <v>7855</v>
      </c>
      <c r="D2" s="829" t="s">
        <v>2044</v>
      </c>
      <c r="E2" s="829" t="s">
        <v>6714</v>
      </c>
      <c r="F2" s="829" t="s">
        <v>6715</v>
      </c>
      <c r="G2" s="829" t="s">
        <v>2181</v>
      </c>
      <c r="H2" s="453"/>
      <c r="I2" s="436" t="s">
        <v>7920</v>
      </c>
      <c r="J2" s="453"/>
      <c r="K2" s="434" t="s">
        <v>7860</v>
      </c>
      <c r="L2" s="435" t="s">
        <v>2534</v>
      </c>
      <c r="M2" s="453"/>
      <c r="N2" s="436" t="s">
        <v>7857</v>
      </c>
      <c r="O2" s="436" t="s">
        <v>7921</v>
      </c>
      <c r="P2" s="436" t="s">
        <v>7922</v>
      </c>
      <c r="Q2" s="436" t="s">
        <v>7923</v>
      </c>
      <c r="R2" s="436" t="s">
        <v>7924</v>
      </c>
      <c r="S2" s="453"/>
      <c r="T2" s="434" t="s">
        <v>7925</v>
      </c>
      <c r="U2" s="434" t="s">
        <v>7926</v>
      </c>
      <c r="V2" s="434" t="s">
        <v>7927</v>
      </c>
      <c r="W2" s="434" t="s">
        <v>7928</v>
      </c>
      <c r="X2" s="434" t="s">
        <v>7929</v>
      </c>
      <c r="Y2" s="453"/>
      <c r="Z2" s="435" t="s">
        <v>7930</v>
      </c>
      <c r="AA2" s="435" t="s">
        <v>7931</v>
      </c>
      <c r="AB2" s="435" t="s">
        <v>7932</v>
      </c>
      <c r="AC2" s="435" t="s">
        <v>7933</v>
      </c>
      <c r="AD2" s="435" t="s">
        <v>7934</v>
      </c>
      <c r="AE2" s="453"/>
      <c r="AF2" s="436" t="s">
        <v>6711</v>
      </c>
    </row>
    <row r="3" spans="1:32">
      <c r="A3" s="405" t="s">
        <v>2535</v>
      </c>
      <c r="B3" s="405" t="s">
        <v>2535</v>
      </c>
      <c r="C3" s="405" t="s">
        <v>2535</v>
      </c>
      <c r="D3" s="405" t="s">
        <v>2090</v>
      </c>
      <c r="E3" s="405" t="s">
        <v>2086</v>
      </c>
      <c r="F3" s="405" t="s">
        <v>6728</v>
      </c>
      <c r="G3" s="405" t="s">
        <v>6729</v>
      </c>
      <c r="I3" s="426">
        <f>IFERROR(N3/5,"")</f>
        <v>284581.50768014329</v>
      </c>
      <c r="K3" s="790">
        <f t="shared" ref="K3:K14" si="0">IFERROR(T3/N3,"")</f>
        <v>0.8046562689572857</v>
      </c>
      <c r="L3" s="790">
        <f t="shared" ref="L3:L14" si="1">IFERROR(Z3/N3,"")</f>
        <v>0.19534373104271413</v>
      </c>
      <c r="N3" s="426">
        <f>SUMPRODUCT(($AF$4:$AF$106),('ANALYSE - ERP =&gt; CATEGORIE'!$EU$8:$EU$110))</f>
        <v>1422907.5384007164</v>
      </c>
      <c r="O3" s="426">
        <f>SUMPRODUCT(($AF$4:$AF$106),('ANALYSE - ERP =&gt; CATEGORIE'!$EX$8:$EX$110))</f>
        <v>674300.11307167972</v>
      </c>
      <c r="P3" s="426">
        <f>SUMPRODUCT(($AF$4:$AF$106),('ANALYSE - ERP =&gt; CATEGORIE'!$FA$8:$FA$110))</f>
        <v>73186.267303277142</v>
      </c>
      <c r="Q3" s="426">
        <f>SUMPRODUCT(($AF$4:$AF$106),('ANALYSE - ERP =&gt; CATEGORIE'!$FD$8:$FD$110))</f>
        <v>146650.11957892083</v>
      </c>
      <c r="R3" s="426">
        <f>SUMPRODUCT(($AF$4:$AF$106),('ANALYSE - ERP =&gt; CATEGORIE'!$FG$8:$FG$110))</f>
        <v>528771.03844683839</v>
      </c>
      <c r="T3" s="426">
        <f>SUMPRODUCT(($AF$4:$AF$106),('ANALYSE - ERP =&gt; CATEGORIE'!$EV$8:$EV$110))</f>
        <v>1144951.4709207162</v>
      </c>
      <c r="U3" s="426">
        <f>SUMPRODUCT(($AF$4:$AF$106),('ANALYSE - ERP =&gt; CATEGORIE'!$EY$8:$EY$110))</f>
        <v>542526.96853167971</v>
      </c>
      <c r="V3" s="426">
        <f>SUMPRODUCT(($AF$4:$AF$106),('ANALYSE - ERP =&gt; CATEGORIE'!$FB$8:$FB$110))</f>
        <v>57388.24854327715</v>
      </c>
      <c r="W3" s="426">
        <f>SUMPRODUCT(($AF$4:$AF$106),('ANALYSE - ERP =&gt; CATEGORIE'!$FE$8:$FE$110))</f>
        <v>120153.95041892084</v>
      </c>
      <c r="X3" s="426">
        <f>SUMPRODUCT(($AF$4:$AF$106),('ANALYSE - ERP =&gt; CATEGORIE'!$FH$8:$FH$110))</f>
        <v>424882.30342683842</v>
      </c>
      <c r="Z3" s="426">
        <f>SUMPRODUCT(($AF$4:$AF$106),('ANALYSE - ERP =&gt; CATEGORIE'!$EW$8:$EW$110))</f>
        <v>277956.06747999997</v>
      </c>
      <c r="AA3" s="426">
        <f>SUMPRODUCT(($AF$4:$AF$106),('ANALYSE - ERP =&gt; CATEGORIE'!$EZ$8:$EZ$110))</f>
        <v>131773.14453999998</v>
      </c>
      <c r="AB3" s="426">
        <f>SUMPRODUCT(($AF$4:$AF$106),('ANALYSE - ERP =&gt; CATEGORIE'!$FC$8:$FC$110))</f>
        <v>15798.018760000001</v>
      </c>
      <c r="AC3" s="426">
        <f>SUMPRODUCT(($AF$4:$AF$106),('ANALYSE - ERP =&gt; CATEGORIE'!$FF$8:$FF$110))</f>
        <v>26496.169159999998</v>
      </c>
      <c r="AD3" s="426">
        <f>SUMPRODUCT(($AF$4:$AF$106),('ANALYSE - ERP =&gt; CATEGORIE'!$FI$8:$FI$110))</f>
        <v>103888.73501999999</v>
      </c>
      <c r="AF3" s="428">
        <f>SUM('ANALYSE - ERP =&gt; CATEGORIE'!$Q$8:$Q$110)</f>
        <v>9</v>
      </c>
    </row>
    <row r="4" spans="1:32" ht="15" customHeight="1">
      <c r="A4" s="26">
        <v>1</v>
      </c>
      <c r="B4" s="26">
        <v>1</v>
      </c>
      <c r="C4" s="26">
        <v>1</v>
      </c>
      <c r="D4" s="491" t="s">
        <v>2187</v>
      </c>
      <c r="E4" s="492" t="s">
        <v>8008</v>
      </c>
      <c r="F4" s="492" t="s">
        <v>8009</v>
      </c>
      <c r="G4" s="408" t="str">
        <f>'ANALYSE - ERP =&gt; CATEGORIE'!$D$11</f>
        <v>Cafés / bars / brasseries
Fast-food / cafétérias / food courts
Restaurants
(Hors établissements altitude, flottant, armée)
Salles de jeux / bowlings / billards
Discothèques / salles de danse
Centres commerciaux / malls
Marchés couverts
Casinos</v>
      </c>
      <c r="I4" s="427">
        <f t="shared" ref="I4:I14" si="2">N4/5</f>
        <v>173518.10801982466</v>
      </c>
      <c r="K4" s="787">
        <f t="shared" si="0"/>
        <v>0.82240881955974698</v>
      </c>
      <c r="L4" s="787">
        <f t="shared" si="1"/>
        <v>0.17759118044025304</v>
      </c>
      <c r="N4" s="424">
        <f>'ANALYSE - ERP =&gt; CATEGORIE'!$EU$11</f>
        <v>867590.54009912338</v>
      </c>
      <c r="O4" s="427">
        <f>'ANALYSE - ERP =&gt; CATEGORIE'!$EX$11</f>
        <v>475916.62902956211</v>
      </c>
      <c r="P4" s="427">
        <f>'ANALYSE - ERP =&gt; CATEGORIE'!$FA$11</f>
        <v>2227.1270124819625</v>
      </c>
      <c r="Q4" s="427">
        <f>'ANALYSE - ERP =&gt; CATEGORIE'!$FD$11</f>
        <v>74660.089018280138</v>
      </c>
      <c r="R4" s="427">
        <f>'ANALYSE - ERP =&gt; CATEGORIE'!$FG$11</f>
        <v>314786.6950387992</v>
      </c>
      <c r="T4" s="424">
        <f>'ANALYSE - ERP =&gt; CATEGORIE'!$EV$11</f>
        <v>713514.1119441234</v>
      </c>
      <c r="U4" s="427">
        <f>'ANALYSE - ERP =&gt; CATEGORIE'!$EY$11</f>
        <v>391961.75940456212</v>
      </c>
      <c r="V4" s="427">
        <f>'ANALYSE - ERP =&gt; CATEGORIE'!$FB$11</f>
        <v>1945.6390124819627</v>
      </c>
      <c r="W4" s="427">
        <f>'ANALYSE - ERP =&gt; CATEGORIE'!$FE$11</f>
        <v>62450.896888280127</v>
      </c>
      <c r="X4" s="427">
        <f>'ANALYSE - ERP =&gt; CATEGORIE'!$FH$11</f>
        <v>257155.81663879921</v>
      </c>
      <c r="Z4" s="427">
        <f>'ANALYSE - ERP =&gt; CATEGORIE'!$EW$11</f>
        <v>154076.428155</v>
      </c>
      <c r="AA4" s="427">
        <f>'ANALYSE - ERP =&gt; CATEGORIE'!$EZ$11</f>
        <v>83954.869624999992</v>
      </c>
      <c r="AB4" s="427">
        <f>'ANALYSE - ERP =&gt; CATEGORIE'!$FC$11</f>
        <v>281.488</v>
      </c>
      <c r="AC4" s="427">
        <f>'ANALYSE - ERP =&gt; CATEGORIE'!$FF$11</f>
        <v>12209.192130000005</v>
      </c>
      <c r="AD4" s="427">
        <f>'ANALYSE - ERP =&gt; CATEGORIE'!$FI$11</f>
        <v>57630.878400000009</v>
      </c>
      <c r="AF4" s="430">
        <f>'ANALYSE - ERP =&gt; CATEGORIE'!$Q$11</f>
        <v>1</v>
      </c>
    </row>
    <row r="5" spans="1:32" ht="15" customHeight="1">
      <c r="A5" s="26">
        <v>2</v>
      </c>
      <c r="B5" s="26">
        <v>2</v>
      </c>
      <c r="C5" s="26">
        <v>4</v>
      </c>
      <c r="D5" s="495" t="s">
        <v>1670</v>
      </c>
      <c r="E5" s="496" t="s">
        <v>8010</v>
      </c>
      <c r="F5" s="496" t="s">
        <v>8011</v>
      </c>
      <c r="G5" s="416" t="str">
        <f>'ANALYSE - ERP =&gt; CATEGORIE'!$D$15</f>
        <v>Gymnases / salles multisports
Piscines couvertes
Salles de fitness / dojos
Patinoires couvertes
Grands stades avec tribunes
(Type football/rugby) 
Stades 
(Type athlétisme - Hors scolaire)
Terrains de sport
(Hors scolaire)
Hippodromes
Piscines extérieures 
(Hors campings, hôtels, résidences et établissement avec bassin intérieur)
Établissements thermaux
Centres de thalassothérapie / balnéothérapie / grands spas ouverts au public
Bases nautiques / centres nautiques avec vestiaires-douches
Bases de loisirs avec plages, douches et sanitaires
Centres équestres / manèges couverts avec accueil public</v>
      </c>
      <c r="I5" s="427">
        <f t="shared" si="2"/>
        <v>0</v>
      </c>
      <c r="K5" s="787" t="str">
        <f t="shared" si="0"/>
        <v/>
      </c>
      <c r="L5" s="787" t="str">
        <f t="shared" si="1"/>
        <v/>
      </c>
      <c r="N5" s="424">
        <f>'ANALYSE - ERP =&gt; CATEGORIE'!$EU$15</f>
        <v>0</v>
      </c>
      <c r="O5" s="427">
        <f>'ANALYSE - ERP =&gt; CATEGORIE'!$EX$15</f>
        <v>0</v>
      </c>
      <c r="P5" s="427">
        <f>'ANALYSE - ERP =&gt; CATEGORIE'!$FA$15</f>
        <v>0</v>
      </c>
      <c r="Q5" s="427">
        <f>'ANALYSE - ERP =&gt; CATEGORIE'!$FD$15</f>
        <v>0</v>
      </c>
      <c r="R5" s="427">
        <f>'ANALYSE - ERP =&gt; CATEGORIE'!$FG$15</f>
        <v>0</v>
      </c>
      <c r="T5" s="424">
        <f>'ANALYSE - ERP =&gt; CATEGORIE'!$EV$15</f>
        <v>0</v>
      </c>
      <c r="U5" s="427">
        <f>'ANALYSE - ERP =&gt; CATEGORIE'!$EY$15</f>
        <v>0</v>
      </c>
      <c r="V5" s="427">
        <f>'ANALYSE - ERP =&gt; CATEGORIE'!$FB$15</f>
        <v>0</v>
      </c>
      <c r="W5" s="427">
        <f>'ANALYSE - ERP =&gt; CATEGORIE'!$FE$15</f>
        <v>0</v>
      </c>
      <c r="X5" s="427">
        <f>'ANALYSE - ERP =&gt; CATEGORIE'!$FH$15</f>
        <v>0</v>
      </c>
      <c r="Z5" s="427">
        <f>'ANALYSE - ERP =&gt; CATEGORIE'!$EW$15</f>
        <v>0</v>
      </c>
      <c r="AA5" s="427">
        <f>'ANALYSE - ERP =&gt; CATEGORIE'!$EZ$15</f>
        <v>0</v>
      </c>
      <c r="AB5" s="427">
        <f>'ANALYSE - ERP =&gt; CATEGORIE'!$FC$15</f>
        <v>0</v>
      </c>
      <c r="AC5" s="427">
        <f>'ANALYSE - ERP =&gt; CATEGORIE'!$FF$15</f>
        <v>0</v>
      </c>
      <c r="AD5" s="427">
        <f>'ANALYSE - ERP =&gt; CATEGORIE'!$FI$15</f>
        <v>0</v>
      </c>
      <c r="AF5" s="430">
        <f>'ANALYSE - ERP =&gt; CATEGORIE'!$Q$15</f>
        <v>0</v>
      </c>
    </row>
    <row r="6" spans="1:32" ht="15" customHeight="1">
      <c r="A6" s="26">
        <v>3</v>
      </c>
      <c r="B6" s="26">
        <v>3</v>
      </c>
      <c r="C6" s="26">
        <v>3</v>
      </c>
      <c r="D6" s="493" t="s">
        <v>2241</v>
      </c>
      <c r="E6" s="494" t="s">
        <v>8012</v>
      </c>
      <c r="F6" s="494" t="s">
        <v>8013</v>
      </c>
      <c r="G6" s="409" t="str">
        <f>'ANALYSE - ERP =&gt; CATEGORIE'!$D$9</f>
        <v>Hôpitaux universitaires / CHU
Hôpitaux publics (Hors CHU, Universitaire, Militaire, Carcéral)
Hôpitaux privés
Cliniques
Centres de psychiatrie
Centres de rééducation
Maternités
Établissements médico-éducatifs
Centres de santé / centres médicaux
Maisons de santé
Foyers pour personnes handicapées
EHPAD
USLD
Résidences autonomie
Foyers-logements (Public)
Résidences services seniors (Privé)</v>
      </c>
      <c r="I6" s="427">
        <f t="shared" si="2"/>
        <v>209162.13274245468</v>
      </c>
      <c r="K6" s="787">
        <f t="shared" si="0"/>
        <v>0.80096535928298063</v>
      </c>
      <c r="L6" s="787">
        <f t="shared" si="1"/>
        <v>0.19903464071701946</v>
      </c>
      <c r="N6" s="424">
        <f>'ANALYSE - ERP =&gt; CATEGORIE'!$EU$9</f>
        <v>1045810.6637122734</v>
      </c>
      <c r="O6" s="427">
        <f>'ANALYSE - ERP =&gt; CATEGORIE'!$EX$9</f>
        <v>443637.56774676905</v>
      </c>
      <c r="P6" s="427">
        <f>'ANALYSE - ERP =&gt; CATEGORIE'!$FA$9</f>
        <v>190966.1746972297</v>
      </c>
      <c r="Q6" s="427">
        <f>'ANALYSE - ERP =&gt; CATEGORIE'!$FD$9</f>
        <v>15557.854993313034</v>
      </c>
      <c r="R6" s="427">
        <f>'ANALYSE - ERP =&gt; CATEGORIE'!$FG$9</f>
        <v>395649.06627496151</v>
      </c>
      <c r="T6" s="424">
        <f>'ANALYSE - ERP =&gt; CATEGORIE'!$EV$9</f>
        <v>837658.11400227342</v>
      </c>
      <c r="U6" s="427">
        <f>'ANALYSE - ERP =&gt; CATEGORIE'!$EY$9</f>
        <v>357093.59872676904</v>
      </c>
      <c r="V6" s="427">
        <f>'ANALYSE - ERP =&gt; CATEGORIE'!$FB$9</f>
        <v>156341.17934722971</v>
      </c>
      <c r="W6" s="427">
        <f>'ANALYSE - ERP =&gt; CATEGORIE'!$FE$9</f>
        <v>11340.025873313034</v>
      </c>
      <c r="X6" s="427">
        <f>'ANALYSE - ERP =&gt; CATEGORIE'!$FH$9</f>
        <v>312883.31005496153</v>
      </c>
      <c r="Z6" s="427">
        <f>'ANALYSE - ERP =&gt; CATEGORIE'!$EW$9</f>
        <v>208152.54970999999</v>
      </c>
      <c r="AA6" s="427">
        <f>'ANALYSE - ERP =&gt; CATEGORIE'!$EZ$9</f>
        <v>86543.969020000004</v>
      </c>
      <c r="AB6" s="427">
        <f>'ANALYSE - ERP =&gt; CATEGORIE'!$FC$9</f>
        <v>34624.995349999997</v>
      </c>
      <c r="AC6" s="427">
        <f>'ANALYSE - ERP =&gt; CATEGORIE'!$FF$9</f>
        <v>4217.8291199999994</v>
      </c>
      <c r="AD6" s="427">
        <f>'ANALYSE - ERP =&gt; CATEGORIE'!$FI$9</f>
        <v>82765.756219999996</v>
      </c>
      <c r="AF6" s="430">
        <f>'ANALYSE - ERP =&gt; CATEGORIE'!$Q$9</f>
        <v>1</v>
      </c>
    </row>
    <row r="7" spans="1:32" ht="15" customHeight="1">
      <c r="A7" s="26">
        <v>4</v>
      </c>
      <c r="B7" s="26">
        <v>4</v>
      </c>
      <c r="C7" s="26">
        <v>2</v>
      </c>
      <c r="D7" s="497" t="s">
        <v>6739</v>
      </c>
      <c r="E7" s="498" t="s">
        <v>8006</v>
      </c>
      <c r="F7" s="498" t="s">
        <v>8007</v>
      </c>
      <c r="G7" s="415" t="str">
        <f>'ANALYSE - ERP =&gt; CATEGORIE'!$D$8</f>
        <v>Crèches
Écoles maternelles
Écoles primaires
Collèges (vestiaires EPS inclus)
Lycées (vestiaires EPS inclus)
Universités
Grandes écoles
Internats scolaires
Résidences étudiantes et dortoirs
Centres de loisirs sans hébergement
Centres de vacances / colonies
Centres de formation / CFA</v>
      </c>
      <c r="I7" s="427">
        <f t="shared" si="2"/>
        <v>0</v>
      </c>
      <c r="K7" s="787" t="str">
        <f t="shared" si="0"/>
        <v/>
      </c>
      <c r="L7" s="787" t="str">
        <f t="shared" si="1"/>
        <v/>
      </c>
      <c r="N7" s="424">
        <f>'ANALYSE - ERP =&gt; CATEGORIE'!$EU$8</f>
        <v>0</v>
      </c>
      <c r="O7" s="427">
        <f>'ANALYSE - ERP =&gt; CATEGORIE'!$EX$8</f>
        <v>0</v>
      </c>
      <c r="P7" s="427">
        <f>'ANALYSE - ERP =&gt; CATEGORIE'!$FA$8</f>
        <v>0</v>
      </c>
      <c r="Q7" s="427">
        <f>'ANALYSE - ERP =&gt; CATEGORIE'!$FD$8</f>
        <v>0</v>
      </c>
      <c r="R7" s="427">
        <f>'ANALYSE - ERP =&gt; CATEGORIE'!$FG$8</f>
        <v>0</v>
      </c>
      <c r="T7" s="424">
        <f>'ANALYSE - ERP =&gt; CATEGORIE'!$EV$8</f>
        <v>0</v>
      </c>
      <c r="U7" s="427">
        <f>'ANALYSE - ERP =&gt; CATEGORIE'!$EY$8</f>
        <v>0</v>
      </c>
      <c r="V7" s="427">
        <f>'ANALYSE - ERP =&gt; CATEGORIE'!$FB$8</f>
        <v>0</v>
      </c>
      <c r="W7" s="427">
        <f>'ANALYSE - ERP =&gt; CATEGORIE'!$FE$8</f>
        <v>0</v>
      </c>
      <c r="X7" s="427">
        <f>'ANALYSE - ERP =&gt; CATEGORIE'!$FH$8</f>
        <v>0</v>
      </c>
      <c r="Z7" s="427">
        <f>'ANALYSE - ERP =&gt; CATEGORIE'!$EW$8</f>
        <v>0</v>
      </c>
      <c r="AA7" s="427">
        <f>'ANALYSE - ERP =&gt; CATEGORIE'!$EZ$8</f>
        <v>0</v>
      </c>
      <c r="AB7" s="427">
        <f>'ANALYSE - ERP =&gt; CATEGORIE'!$FC$8</f>
        <v>0</v>
      </c>
      <c r="AC7" s="427">
        <f>'ANALYSE - ERP =&gt; CATEGORIE'!$FF$8</f>
        <v>0</v>
      </c>
      <c r="AD7" s="427">
        <f>'ANALYSE - ERP =&gt; CATEGORIE'!$FI$8</f>
        <v>0</v>
      </c>
      <c r="AF7" s="430">
        <f>'ANALYSE - ERP =&gt; CATEGORIE'!$Q$8</f>
        <v>0</v>
      </c>
    </row>
    <row r="8" spans="1:32" ht="15" customHeight="1">
      <c r="A8" s="26">
        <v>5</v>
      </c>
      <c r="B8" s="26">
        <v>7</v>
      </c>
      <c r="C8" s="26">
        <v>5</v>
      </c>
      <c r="D8" s="501" t="s">
        <v>2264</v>
      </c>
      <c r="E8" s="502" t="s">
        <v>8014</v>
      </c>
      <c r="F8" s="502" t="s">
        <v>8015</v>
      </c>
      <c r="G8" s="414" t="str">
        <f>'ANALYSE - ERP =&gt; CATEGORIE'!$D$12</f>
        <v>Bureaux (&gt;50 personnes, tertiaire privé + logistique hors usines)
Usines 
(&gt;50 personnes - Hors Ateliers industriels)
Garages / ateliers de réparation automobile recevant du public
Ateliers industriels / de maintenance (&gt;50 personnes)
Centres de stockage / entrepôts / plateformes logistiques (&gt;50 personnes)</v>
      </c>
      <c r="I8" s="427">
        <f t="shared" si="2"/>
        <v>148755.79450879886</v>
      </c>
      <c r="K8" s="787">
        <f t="shared" si="0"/>
        <v>0.79921712576895054</v>
      </c>
      <c r="L8" s="787">
        <f t="shared" si="1"/>
        <v>0.20078287423104949</v>
      </c>
      <c r="N8" s="424">
        <f>'ANALYSE - ERP =&gt; CATEGORIE'!$EU$12</f>
        <v>743778.97254399431</v>
      </c>
      <c r="O8" s="427">
        <f>'ANALYSE - ERP =&gt; CATEGORIE'!$EX$12</f>
        <v>354613.14654454892</v>
      </c>
      <c r="P8" s="427">
        <f>'ANALYSE - ERP =&gt; CATEGORIE'!$FA$12</f>
        <v>55396.285847520194</v>
      </c>
      <c r="Q8" s="427">
        <f>'ANALYSE - ERP =&gt; CATEGORIE'!$FD$12</f>
        <v>87675.661083030282</v>
      </c>
      <c r="R8" s="427">
        <f>'ANALYSE - ERP =&gt; CATEGORIE'!$FG$12</f>
        <v>246093.87906889486</v>
      </c>
      <c r="T8" s="424">
        <f>'ANALYSE - ERP =&gt; CATEGORIE'!$EV$12</f>
        <v>594440.8926439943</v>
      </c>
      <c r="U8" s="427">
        <f>'ANALYSE - ERP =&gt; CATEGORIE'!$EY$12</f>
        <v>284162.5395445489</v>
      </c>
      <c r="V8" s="427">
        <f>'ANALYSE - ERP =&gt; CATEGORIE'!$FB$12</f>
        <v>43386.507897520198</v>
      </c>
      <c r="W8" s="427">
        <f>'ANALYSE - ERP =&gt; CATEGORIE'!$FE$12</f>
        <v>71328.547133030283</v>
      </c>
      <c r="X8" s="427">
        <f>'ANALYSE - ERP =&gt; CATEGORIE'!$FH$12</f>
        <v>195563.29806889486</v>
      </c>
      <c r="Z8" s="427">
        <f>'ANALYSE - ERP =&gt; CATEGORIE'!$EW$12</f>
        <v>149338.07990000001</v>
      </c>
      <c r="AA8" s="427">
        <f>'ANALYSE - ERP =&gt; CATEGORIE'!$EZ$12</f>
        <v>70450.606999999989</v>
      </c>
      <c r="AB8" s="427">
        <f>'ANALYSE - ERP =&gt; CATEGORIE'!$FC$12</f>
        <v>12009.77795</v>
      </c>
      <c r="AC8" s="427">
        <f>'ANALYSE - ERP =&gt; CATEGORIE'!$FF$12</f>
        <v>16347.113949999999</v>
      </c>
      <c r="AD8" s="427">
        <f>'ANALYSE - ERP =&gt; CATEGORIE'!$FI$12</f>
        <v>50530.581000000006</v>
      </c>
      <c r="AF8" s="430">
        <f>'ANALYSE - ERP =&gt; CATEGORIE'!$Q$12</f>
        <v>1</v>
      </c>
    </row>
    <row r="9" spans="1:32" ht="15" customHeight="1">
      <c r="A9" s="26">
        <v>6</v>
      </c>
      <c r="B9" s="26">
        <v>5</v>
      </c>
      <c r="C9" s="26">
        <v>7</v>
      </c>
      <c r="D9" s="503" t="s">
        <v>2278</v>
      </c>
      <c r="E9" s="504" t="s">
        <v>8016</v>
      </c>
      <c r="F9" s="504" t="s">
        <v>8017</v>
      </c>
      <c r="G9" s="408" t="str">
        <f>'ANALYSE - ERP =&gt; CATEGORIE'!$D$14</f>
        <v>Mairies / hôtels de ville
Préfectures / services administratifs
Maisons France Services
Guichets publics
Églises, cathédrales, basiliques et chapelles ouvertes au public
Monastères, abbayes et couvents ouverts au public
Temples protestants, évangéliques et salles de culte assimilées
Mosquées et salles de prière musulmanes
Synagogues et oratoires juifs ouverts au public
Temples bouddhistes, hindous et autres lieux de culte non abrahamiques ouverts au public
Salles du Royaume, centres cultuels pluriconfessionnels et lieux de culte polyvalents
Locaux associatifs recevant du public</v>
      </c>
      <c r="I9" s="427">
        <f t="shared" si="2"/>
        <v>34971.222548035337</v>
      </c>
      <c r="K9" s="787">
        <f t="shared" si="0"/>
        <v>0.84769023614534067</v>
      </c>
      <c r="L9" s="787">
        <f t="shared" si="1"/>
        <v>0.1523097638546593</v>
      </c>
      <c r="N9" s="424">
        <f>'ANALYSE - ERP =&gt; CATEGORIE'!$EU$14</f>
        <v>174856.1127401767</v>
      </c>
      <c r="O9" s="427">
        <f>'ANALYSE - ERP =&gt; CATEGORIE'!$EX$14</f>
        <v>84789.325435042338</v>
      </c>
      <c r="P9" s="427">
        <f>'ANALYSE - ERP =&gt; CATEGORIE'!$FA$14</f>
        <v>426.62874999999997</v>
      </c>
      <c r="Q9" s="427">
        <f>'ANALYSE - ERP =&gt; CATEGORIE'!$FD$14</f>
        <v>13936.514452730875</v>
      </c>
      <c r="R9" s="427">
        <f>'ANALYSE - ERP =&gt; CATEGORIE'!$FG$14</f>
        <v>75703.644102403472</v>
      </c>
      <c r="T9" s="424">
        <f>'ANALYSE - ERP =&gt; CATEGORIE'!$EV$14</f>
        <v>148223.8195001767</v>
      </c>
      <c r="U9" s="427">
        <f>'ANALYSE - ERP =&gt; CATEGORIE'!$EY$14</f>
        <v>71769.405635042334</v>
      </c>
      <c r="V9" s="427">
        <f>'ANALYSE - ERP =&gt; CATEGORIE'!$FB$14</f>
        <v>395.66874999999999</v>
      </c>
      <c r="W9" s="427">
        <f>'ANALYSE - ERP =&gt; CATEGORIE'!$FE$14</f>
        <v>11994.836212730876</v>
      </c>
      <c r="X9" s="427">
        <f>'ANALYSE - ERP =&gt; CATEGORIE'!$FH$14</f>
        <v>64063.908902403477</v>
      </c>
      <c r="Z9" s="427">
        <f>'ANALYSE - ERP =&gt; CATEGORIE'!$EW$14</f>
        <v>26632.293239999999</v>
      </c>
      <c r="AA9" s="427">
        <f>'ANALYSE - ERP =&gt; CATEGORIE'!$EZ$14</f>
        <v>13019.919800000003</v>
      </c>
      <c r="AB9" s="427">
        <f>'ANALYSE - ERP =&gt; CATEGORIE'!$FC$14</f>
        <v>30.959999999999997</v>
      </c>
      <c r="AC9" s="427">
        <f>'ANALYSE - ERP =&gt; CATEGORIE'!$FF$14</f>
        <v>1941.6782399999997</v>
      </c>
      <c r="AD9" s="427">
        <f>'ANALYSE - ERP =&gt; CATEGORIE'!$FI$14</f>
        <v>11639.735199999999</v>
      </c>
      <c r="AF9" s="430">
        <f>'ANALYSE - ERP =&gt; CATEGORIE'!$Q$14</f>
        <v>1</v>
      </c>
    </row>
    <row r="10" spans="1:32" ht="15" customHeight="1">
      <c r="A10" s="26">
        <v>7</v>
      </c>
      <c r="B10" s="26">
        <v>6</v>
      </c>
      <c r="C10" s="26">
        <v>6</v>
      </c>
      <c r="D10" s="499" t="s">
        <v>3662</v>
      </c>
      <c r="E10" s="500" t="s">
        <v>8018</v>
      </c>
      <c r="F10" s="500" t="s">
        <v>8019</v>
      </c>
      <c r="G10" s="411" t="str">
        <f>'ANALYSE - ERP =&gt; CATEGORIE'!$D$10</f>
        <v>Cinémas
Théâtres
Musées
Salles de spectacle / auditoriums
Salles de conférence / réunion
Salles polyvalentes / salles des fêtes
Bibliothèques / médiathèques
Foires / salons
Halls d’exposition
Chapiteaux / tentes / structures
Structures gonflables
Parcs d’attractions / parcs à thèmes fixes
Parcs zoologiques / parcs animaliers ouverts au public
Aquariums ouverts au public</v>
      </c>
      <c r="I10" s="427">
        <f t="shared" si="2"/>
        <v>65891.127801604394</v>
      </c>
      <c r="K10" s="787">
        <f t="shared" si="0"/>
        <v>0.80824216586421305</v>
      </c>
      <c r="L10" s="787">
        <f t="shared" si="1"/>
        <v>0.19175783413578698</v>
      </c>
      <c r="N10" s="424">
        <f>'ANALYSE - ERP =&gt; CATEGORIE'!$EU$10</f>
        <v>329455.63900802197</v>
      </c>
      <c r="O10" s="427">
        <f>'ANALYSE - ERP =&gt; CATEGORIE'!$EX$10</f>
        <v>158340.89964688607</v>
      </c>
      <c r="P10" s="427">
        <f>'ANALYSE - ERP =&gt; CATEGORIE'!$FA$10</f>
        <v>4337.2628637433181</v>
      </c>
      <c r="Q10" s="427">
        <f>'ANALYSE - ERP =&gt; CATEGORIE'!$FD$10</f>
        <v>33103.240051275774</v>
      </c>
      <c r="R10" s="427">
        <f>'ANALYSE - ERP =&gt; CATEGORIE'!$FG$10</f>
        <v>133674.23644611679</v>
      </c>
      <c r="T10" s="424">
        <f>'ANALYSE - ERP =&gt; CATEGORIE'!$EV$10</f>
        <v>266279.93922802201</v>
      </c>
      <c r="U10" s="427">
        <f>'ANALYSE - ERP =&gt; CATEGORIE'!$EY$10</f>
        <v>127387.24768688607</v>
      </c>
      <c r="V10" s="427">
        <f>'ANALYSE - ERP =&gt; CATEGORIE'!$FB$10</f>
        <v>3453.9769637433178</v>
      </c>
      <c r="W10" s="427">
        <f>'ANALYSE - ERP =&gt; CATEGORIE'!$FE$10</f>
        <v>27180.776121275776</v>
      </c>
      <c r="X10" s="427">
        <f>'ANALYSE - ERP =&gt; CATEGORIE'!$FH$10</f>
        <v>108257.9384561168</v>
      </c>
      <c r="Z10" s="427">
        <f>'ANALYSE - ERP =&gt; CATEGORIE'!$EW$10</f>
        <v>63175.699779999988</v>
      </c>
      <c r="AA10" s="427">
        <f>'ANALYSE - ERP =&gt; CATEGORIE'!$EZ$10</f>
        <v>30953.651959999996</v>
      </c>
      <c r="AB10" s="427">
        <f>'ANALYSE - ERP =&gt; CATEGORIE'!$FC$10</f>
        <v>883.28590000000008</v>
      </c>
      <c r="AC10" s="427">
        <f>'ANALYSE - ERP =&gt; CATEGORIE'!$FF$10</f>
        <v>5922.4639299999981</v>
      </c>
      <c r="AD10" s="427">
        <f>'ANALYSE - ERP =&gt; CATEGORIE'!$FI$10</f>
        <v>25416.297989999999</v>
      </c>
      <c r="AF10" s="430">
        <f>'ANALYSE - ERP =&gt; CATEGORIE'!$Q$10</f>
        <v>1</v>
      </c>
    </row>
    <row r="11" spans="1:32" s="45" customFormat="1" ht="15" customHeight="1">
      <c r="A11" s="26">
        <v>8</v>
      </c>
      <c r="B11" s="26">
        <v>8</v>
      </c>
      <c r="C11" s="26">
        <v>8</v>
      </c>
      <c r="D11" s="505" t="s">
        <v>7117</v>
      </c>
      <c r="E11" s="506" t="s">
        <v>8020</v>
      </c>
      <c r="F11" s="506" t="s">
        <v>8021</v>
      </c>
      <c r="G11" s="410" t="str">
        <f>'ANALYSE - ERP =&gt; CATEGORIE'!$D$13</f>
        <v>Hôtels
Pensions de famille
Résidences de tourisme
Hôtels-restaurants d’altitude
Refuges de montagne
Auberges de jeunesse
Campings
Aires d’accueil des gens du voyage
Centres d’hébergement d’urgence / accueils de nuit
CHRS / centres d’hébergement et de réinsertion sociale
CADA / HUDA / CAES / centres d’accueil pour demandeurs d’asile
Foyers de jeunes travailleurs / résidences sociales / foyers de travailleurs migrants
Accueils de jour / haltes de jour avec douches et sanitaires
Cabinets dentaires / centres dentaires
Laboratoires de biologie médicale recevant du public
Centres d’imagerie médicale recevant du public
Centres de dialyse ambulatoire / unités d’autodialyse
Villages de vacances / clubs vacances / centres de vacances familiaux</v>
      </c>
      <c r="H11" s="685"/>
      <c r="I11" s="427">
        <f t="shared" si="2"/>
        <v>0</v>
      </c>
      <c r="J11" s="685"/>
      <c r="K11" s="787" t="str">
        <f t="shared" si="0"/>
        <v/>
      </c>
      <c r="L11" s="787" t="str">
        <f t="shared" si="1"/>
        <v/>
      </c>
      <c r="M11" s="685"/>
      <c r="N11" s="424">
        <f>'ANALYSE - ERP =&gt; CATEGORIE'!$EU$13</f>
        <v>0</v>
      </c>
      <c r="O11" s="427">
        <f>'ANALYSE - ERP =&gt; CATEGORIE'!$EX$13</f>
        <v>0</v>
      </c>
      <c r="P11" s="427">
        <f>'ANALYSE - ERP =&gt; CATEGORIE'!$FA$13</f>
        <v>0</v>
      </c>
      <c r="Q11" s="427">
        <f>'ANALYSE - ERP =&gt; CATEGORIE'!$FD$13</f>
        <v>0</v>
      </c>
      <c r="R11" s="427">
        <f>'ANALYSE - ERP =&gt; CATEGORIE'!$FG$13</f>
        <v>0</v>
      </c>
      <c r="S11" s="685"/>
      <c r="T11" s="424">
        <f>'ANALYSE - ERP =&gt; CATEGORIE'!$EV$13</f>
        <v>0</v>
      </c>
      <c r="U11" s="427">
        <f>'ANALYSE - ERP =&gt; CATEGORIE'!$EY$13</f>
        <v>0</v>
      </c>
      <c r="V11" s="427">
        <f>'ANALYSE - ERP =&gt; CATEGORIE'!$FB$13</f>
        <v>0</v>
      </c>
      <c r="W11" s="427">
        <f>'ANALYSE - ERP =&gt; CATEGORIE'!$FE$13</f>
        <v>0</v>
      </c>
      <c r="X11" s="427">
        <f>'ANALYSE - ERP =&gt; CATEGORIE'!$FH$13</f>
        <v>0</v>
      </c>
      <c r="Y11" s="685"/>
      <c r="Z11" s="427">
        <f>'ANALYSE - ERP =&gt; CATEGORIE'!$EW$13</f>
        <v>0</v>
      </c>
      <c r="AA11" s="427">
        <f>'ANALYSE - ERP =&gt; CATEGORIE'!$EZ$13</f>
        <v>0</v>
      </c>
      <c r="AB11" s="427">
        <f>'ANALYSE - ERP =&gt; CATEGORIE'!$FC$13</f>
        <v>0</v>
      </c>
      <c r="AC11" s="427">
        <f>'ANALYSE - ERP =&gt; CATEGORIE'!$FF$13</f>
        <v>0</v>
      </c>
      <c r="AD11" s="427">
        <f>'ANALYSE - ERP =&gt; CATEGORIE'!$FI$13</f>
        <v>0</v>
      </c>
      <c r="AE11" s="685"/>
      <c r="AF11" s="430">
        <f>'ANALYSE - ERP =&gt; CATEGORIE'!$Q$13</f>
        <v>0</v>
      </c>
    </row>
    <row r="12" spans="1:32" ht="15" customHeight="1">
      <c r="A12" s="26">
        <v>9</v>
      </c>
      <c r="B12" s="26">
        <v>9</v>
      </c>
      <c r="C12" s="26">
        <v>9</v>
      </c>
      <c r="D12" s="507" t="s">
        <v>2285</v>
      </c>
      <c r="E12" s="508" t="s">
        <v>8022</v>
      </c>
      <c r="F12" s="508" t="s">
        <v>8023</v>
      </c>
      <c r="G12" s="408" t="str">
        <f>'ANALYSE - ERP =&gt; CATEGORIE'!$D$16</f>
        <v>Aires de service - Autoroutes
(Hors Aires de repos)
Aires de repos - Autoroutes
(Hors Aires de service)
Aéroports / aérogares
(&gt;1 000 passagers/an)
Gares ferroviaires et stations
Terminaux maritimes / fluviaux
Établissements flottants
Parcs de stationnement couverts
Ports de plaisance / capitaineries
Rames ferroviaires voyageurs
Aéronefs commerciaux
Ferries et navires à passagers 
Autocars
(Trajets longues distance)
Stations / espaces métro équipés de toilettes publiques (minimum observé RATP)</v>
      </c>
      <c r="I12" s="427">
        <f t="shared" si="2"/>
        <v>18023.293523353153</v>
      </c>
      <c r="K12" s="787">
        <f t="shared" si="0"/>
        <v>0.80261347853041376</v>
      </c>
      <c r="L12" s="787">
        <f t="shared" si="1"/>
        <v>0.19738652146958616</v>
      </c>
      <c r="N12" s="424">
        <f>'ANALYSE - ERP =&gt; CATEGORIE'!$EU$16</f>
        <v>90116.46761676576</v>
      </c>
      <c r="O12" s="427">
        <f>'ANALYSE - ERP =&gt; CATEGORIE'!$EX$16</f>
        <v>40312.168137181696</v>
      </c>
      <c r="P12" s="427">
        <f>'ANALYSE - ERP =&gt; CATEGORIE'!$FA$16</f>
        <v>5344.4819911499999</v>
      </c>
      <c r="Q12" s="427">
        <f>'ANALYSE - ERP =&gt; CATEGORIE'!$FD$16</f>
        <v>5773.4088128923886</v>
      </c>
      <c r="R12" s="427">
        <f>'ANALYSE - ERP =&gt; CATEGORIE'!$FG$16</f>
        <v>38686.408675541665</v>
      </c>
      <c r="T12" s="424">
        <f>'ANALYSE - ERP =&gt; CATEGORIE'!$EV$16</f>
        <v>72328.691546765753</v>
      </c>
      <c r="U12" s="427">
        <f>'ANALYSE - ERP =&gt; CATEGORIE'!$EY$16</f>
        <v>32142.385457181692</v>
      </c>
      <c r="V12" s="427">
        <f>'ANALYSE - ERP =&gt; CATEGORIE'!$FB$16</f>
        <v>4468.3094711499998</v>
      </c>
      <c r="W12" s="427">
        <f>'ANALYSE - ERP =&gt; CATEGORIE'!$FE$16</f>
        <v>4698.6322028923887</v>
      </c>
      <c r="X12" s="427">
        <f>'ANALYSE - ERP =&gt; CATEGORIE'!$FH$16</f>
        <v>31019.364415541666</v>
      </c>
      <c r="Z12" s="427">
        <f>'ANALYSE - ERP =&gt; CATEGORIE'!$EW$16</f>
        <v>17787.77607</v>
      </c>
      <c r="AA12" s="427">
        <f>'ANALYSE - ERP =&gt; CATEGORIE'!$EZ$16</f>
        <v>8169.7826800000003</v>
      </c>
      <c r="AB12" s="427">
        <f>'ANALYSE - ERP =&gt; CATEGORIE'!$FC$16</f>
        <v>876.17252000000008</v>
      </c>
      <c r="AC12" s="427">
        <f>'ANALYSE - ERP =&gt; CATEGORIE'!$FF$16</f>
        <v>1074.7766099999999</v>
      </c>
      <c r="AD12" s="427">
        <f>'ANALYSE - ERP =&gt; CATEGORIE'!$FI$16</f>
        <v>7667.0442600000006</v>
      </c>
      <c r="AF12" s="430">
        <f>'ANALYSE - ERP =&gt; CATEGORIE'!$Q$16</f>
        <v>1</v>
      </c>
    </row>
    <row r="13" spans="1:32" ht="15" customHeight="1">
      <c r="A13" s="26">
        <v>10</v>
      </c>
      <c r="B13" s="26">
        <v>10</v>
      </c>
      <c r="C13" s="26">
        <v>10</v>
      </c>
      <c r="D13" s="509" t="s">
        <v>4908</v>
      </c>
      <c r="E13" s="510" t="s">
        <v>8024</v>
      </c>
      <c r="F13" s="510" t="s">
        <v>8025</v>
      </c>
      <c r="G13" s="415" t="str">
        <f>'ANALYSE - ERP =&gt; CATEGORIE'!$D$17</f>
        <v>Locaux de sûreté, garde à vue et zones opérationnelles
Postes de proximité et antennes avec accueil public
Salles de réunion, de prévention ou de conférence ouvertes au public
Unités d'hébergement des militaires &amp; réservistes
Centres de recrutement et bureaux d’information
Restaurants ou équipements sportifs ouverts au public sur emprise militaire
Hôpitaux d’instruction des armées et centres médicaux recevant du public
Salles de conférence, auditoriums et espaces événementiels ouverts au public
Maisons d’arrêt
Centres de détention
Maisons centrales
Centres pénitentiaires
Centres de semi-liberté
Centres éducatifs fermés
Centres pour peines aménagées
(absorbés par autres centres carcéraux)
Unités hospitalières sécurisées
Palais de justice et bâtiments judiciaires multi-usages
Maisons de justice et du droit
Tribunaux de commerce autonomes
Conseils de prud’hommes autonomes
Autres bâtiments judiciaires autonomes recevant du public</v>
      </c>
      <c r="I13" s="427">
        <f t="shared" si="2"/>
        <v>12680.573482832011</v>
      </c>
      <c r="K13" s="787">
        <f t="shared" si="0"/>
        <v>0.73349973780166378</v>
      </c>
      <c r="L13" s="787">
        <f t="shared" si="1"/>
        <v>0.26650026219833622</v>
      </c>
      <c r="N13" s="424">
        <f>'ANALYSE - ERP =&gt; CATEGORIE'!$EU$17</f>
        <v>63402.867414160057</v>
      </c>
      <c r="O13" s="427">
        <f>'ANALYSE - ERP =&gt; CATEGORIE'!$EX$17</f>
        <v>28291.040266137563</v>
      </c>
      <c r="P13" s="427">
        <f>'ANALYSE - ERP =&gt; CATEGORIE'!$FA$17</f>
        <v>6780.1774508636372</v>
      </c>
      <c r="Q13" s="427">
        <f>'ANALYSE - ERP =&gt; CATEGORIE'!$FD$17</f>
        <v>1855.802253991521</v>
      </c>
      <c r="R13" s="427">
        <f>'ANALYSE - ERP =&gt; CATEGORIE'!$FG$17</f>
        <v>26475.847443167331</v>
      </c>
      <c r="T13" s="424">
        <f>'ANALYSE - ERP =&gt; CATEGORIE'!$EV$17</f>
        <v>46505.986624160054</v>
      </c>
      <c r="U13" s="427">
        <f>'ANALYSE - ERP =&gt; CATEGORIE'!$EY$17</f>
        <v>20740.272366137564</v>
      </c>
      <c r="V13" s="427">
        <f>'ANALYSE - ERP =&gt; CATEGORIE'!$FB$17</f>
        <v>4849.1854608636368</v>
      </c>
      <c r="W13" s="427">
        <f>'ANALYSE - ERP =&gt; CATEGORIE'!$FE$17</f>
        <v>1455.696523991521</v>
      </c>
      <c r="X13" s="427">
        <f>'ANALYSE - ERP =&gt; CATEGORIE'!$FH$17</f>
        <v>19460.832273167329</v>
      </c>
      <c r="Z13" s="427">
        <f>'ANALYSE - ERP =&gt; CATEGORIE'!$EW$17</f>
        <v>16896.880790000003</v>
      </c>
      <c r="AA13" s="427">
        <f>'ANALYSE - ERP =&gt; CATEGORIE'!$EZ$17</f>
        <v>7550.7679000000007</v>
      </c>
      <c r="AB13" s="427">
        <f>'ANALYSE - ERP =&gt; CATEGORIE'!$FC$17</f>
        <v>1930.99199</v>
      </c>
      <c r="AC13" s="427">
        <f>'ANALYSE - ERP =&gt; CATEGORIE'!$FF$17</f>
        <v>400.10573000000005</v>
      </c>
      <c r="AD13" s="427">
        <f>'ANALYSE - ERP =&gt; CATEGORIE'!$FI$17</f>
        <v>7015.0151700000006</v>
      </c>
      <c r="AF13" s="430">
        <f>'ANALYSE - ERP =&gt; CATEGORIE'!$Q$17</f>
        <v>1</v>
      </c>
    </row>
    <row r="14" spans="1:32" ht="15" customHeight="1">
      <c r="A14" s="26">
        <v>11</v>
      </c>
      <c r="B14" s="26">
        <v>11</v>
      </c>
      <c r="C14" s="26">
        <v>11</v>
      </c>
      <c r="D14" s="501" t="s">
        <v>2163</v>
      </c>
      <c r="E14" s="502" t="s">
        <v>2163</v>
      </c>
      <c r="F14" s="502" t="s">
        <v>2164</v>
      </c>
      <c r="G14" s="410" t="str">
        <f>'ANALYSE - ERP =&gt; CATEGORIE'!$D$18</f>
        <v>Toilettes publiques (sur la voie publique)
Bains-douches municipaux / douches publiques fixes
Blocs sanitaires de plage / front de mer</v>
      </c>
      <c r="I14" s="427">
        <f t="shared" si="2"/>
        <v>4259.4958155194809</v>
      </c>
      <c r="K14" s="787">
        <f t="shared" si="0"/>
        <v>0.80629924861203883</v>
      </c>
      <c r="L14" s="787">
        <f t="shared" si="1"/>
        <v>0.1937007513879612</v>
      </c>
      <c r="N14" s="424">
        <f>'ANALYSE - ERP =&gt; CATEGORIE'!$EU$18</f>
        <v>21297.479077597403</v>
      </c>
      <c r="O14" s="427">
        <f>'ANALYSE - ERP =&gt; CATEGORIE'!$EX$18</f>
        <v>7953.5330418831163</v>
      </c>
      <c r="P14" s="427">
        <f>'ANALYSE - ERP =&gt; CATEGORIE'!$FA$18</f>
        <v>901.43039999999996</v>
      </c>
      <c r="Q14" s="427">
        <f>'ANALYSE - ERP =&gt; CATEGORIE'!$FD$18</f>
        <v>4305.4929249999996</v>
      </c>
      <c r="R14" s="427">
        <f>'ANALYSE - ERP =&gt; CATEGORIE'!$FG$18</f>
        <v>8137.0227107142855</v>
      </c>
      <c r="T14" s="424">
        <f>'ANALYSE - ERP =&gt; CATEGORIE'!$EV$18</f>
        <v>17172.141377597403</v>
      </c>
      <c r="U14" s="427">
        <f>'ANALYSE - ERP =&gt; CATEGORIE'!$EY$18</f>
        <v>6325.1178418831169</v>
      </c>
      <c r="V14" s="427">
        <f>'ANALYSE - ERP =&gt; CATEGORIE'!$FB$18</f>
        <v>834.6</v>
      </c>
      <c r="W14" s="427">
        <f>'ANALYSE - ERP =&gt; CATEGORIE'!$FE$18</f>
        <v>3495.4622249999998</v>
      </c>
      <c r="X14" s="427">
        <f>'ANALYSE - ERP =&gt; CATEGORIE'!$FH$18</f>
        <v>6516.9613107142859</v>
      </c>
      <c r="Z14" s="427">
        <f>'ANALYSE - ERP =&gt; CATEGORIE'!$EW$18</f>
        <v>4125.3377</v>
      </c>
      <c r="AA14" s="427">
        <f>'ANALYSE - ERP =&gt; CATEGORIE'!$EZ$18</f>
        <v>1628.4151999999999</v>
      </c>
      <c r="AB14" s="427">
        <f>'ANALYSE - ERP =&gt; CATEGORIE'!$FC$18</f>
        <v>66.830399999999997</v>
      </c>
      <c r="AC14" s="427">
        <f>'ANALYSE - ERP =&gt; CATEGORIE'!$FF$18</f>
        <v>810.03070000000002</v>
      </c>
      <c r="AD14" s="427">
        <f>'ANALYSE - ERP =&gt; CATEGORIE'!$FI$18</f>
        <v>1620.0614</v>
      </c>
      <c r="AF14" s="430">
        <f>'ANALYSE - ERP =&gt; CATEGORIE'!$Q$18</f>
        <v>1</v>
      </c>
    </row>
  </sheetData>
  <pageMargins left="3.937007874015748E-2" right="3.937007874015748E-2" top="7.874015748031496E-2" bottom="7.874015748031496E-2" header="0.11811023622047249" footer="0.11811023622047249"/>
  <pageSetup paperSize="8" scale="67" fitToHeight="2" orientation="landscape"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8" tint="-0.249977111117893"/>
    <pageSetUpPr fitToPage="1"/>
  </sheetPr>
  <dimension ref="A1:BE14"/>
  <sheetViews>
    <sheetView workbookViewId="0"/>
  </sheetViews>
  <sheetFormatPr baseColWidth="10" defaultColWidth="9.140625" defaultRowHeight="15"/>
  <cols>
    <col min="1" max="1" width="6.140625" style="934" customWidth="1"/>
    <col min="2" max="2" width="5.7109375" style="934" customWidth="1"/>
    <col min="3" max="3" width="5.5703125" style="934" customWidth="1"/>
    <col min="4" max="4" width="6" style="934" customWidth="1"/>
    <col min="5" max="5" width="30.28515625" style="43" customWidth="1"/>
    <col min="6" max="6" width="22" style="43" customWidth="1"/>
    <col min="7" max="7" width="45.140625" style="43" customWidth="1"/>
    <col min="8" max="8" width="1.7109375" style="933" customWidth="1"/>
    <col min="9" max="9" width="9.7109375" style="934" customWidth="1"/>
    <col min="10" max="10" width="1.7109375" style="933" customWidth="1"/>
    <col min="11" max="11" width="9.5703125" style="934" customWidth="1"/>
    <col min="12" max="12" width="9" style="934" customWidth="1"/>
    <col min="13" max="13" width="1.7109375" style="933" customWidth="1"/>
    <col min="14" max="14" width="9.42578125" style="934" customWidth="1"/>
    <col min="15" max="15" width="9" style="934" customWidth="1"/>
    <col min="16" max="16" width="10.42578125" style="934" customWidth="1"/>
    <col min="17" max="17" width="8.7109375" style="934" customWidth="1"/>
    <col min="18" max="18" width="8.140625" style="934" customWidth="1"/>
    <col min="19" max="19" width="1.7109375" style="933" customWidth="1"/>
    <col min="20" max="20" width="9" style="934" customWidth="1"/>
    <col min="21" max="21" width="8.85546875" style="934" customWidth="1"/>
    <col min="22" max="22" width="9.7109375" style="934" customWidth="1"/>
    <col min="23" max="23" width="10.42578125" style="934" customWidth="1"/>
    <col min="24" max="24" width="9" style="934" customWidth="1"/>
    <col min="25" max="25" width="1.7109375" style="933" customWidth="1"/>
    <col min="26" max="26" width="8.140625" style="934" customWidth="1"/>
    <col min="27" max="27" width="9.85546875" style="934" customWidth="1"/>
    <col min="28" max="28" width="9" style="934" customWidth="1"/>
    <col min="29" max="29" width="9.42578125" style="934" customWidth="1"/>
    <col min="30" max="30" width="7.28515625" style="934" customWidth="1"/>
    <col min="31" max="31" width="1.7109375" style="933" customWidth="1"/>
    <col min="32" max="32" width="12.5703125" style="934" customWidth="1"/>
    <col min="33" max="57" width="9.140625" style="933" customWidth="1"/>
  </cols>
  <sheetData>
    <row r="1" spans="1:32" s="438" customFormat="1" ht="18.75" customHeight="1">
      <c r="A1" s="933"/>
      <c r="B1" s="933"/>
      <c r="C1" s="477"/>
      <c r="D1" s="477"/>
      <c r="E1" s="479"/>
      <c r="F1" s="478" t="s">
        <v>7935</v>
      </c>
      <c r="G1" s="479"/>
      <c r="H1" s="933"/>
      <c r="I1" s="933"/>
      <c r="J1" s="933"/>
      <c r="K1" s="933"/>
      <c r="L1" s="933"/>
      <c r="M1" s="933"/>
      <c r="N1" s="436"/>
      <c r="O1" s="436"/>
      <c r="P1" s="440" t="s">
        <v>7919</v>
      </c>
      <c r="Q1" s="436"/>
      <c r="R1" s="436"/>
      <c r="S1" s="933"/>
      <c r="T1" s="434"/>
      <c r="U1" s="434"/>
      <c r="V1" s="439" t="s">
        <v>7919</v>
      </c>
      <c r="W1" s="434"/>
      <c r="X1" s="434"/>
      <c r="Y1" s="933"/>
      <c r="Z1" s="435"/>
      <c r="AA1" s="435"/>
      <c r="AB1" s="441" t="s">
        <v>7919</v>
      </c>
      <c r="AC1" s="435"/>
      <c r="AD1" s="435"/>
      <c r="AE1" s="933"/>
      <c r="AF1" s="436"/>
    </row>
    <row r="2" spans="1:32" s="437" customFormat="1" ht="54.75" customHeight="1">
      <c r="A2" s="431" t="s">
        <v>7853</v>
      </c>
      <c r="B2" s="432" t="s">
        <v>7854</v>
      </c>
      <c r="C2" s="433" t="s">
        <v>7855</v>
      </c>
      <c r="D2" s="829" t="s">
        <v>2044</v>
      </c>
      <c r="E2" s="829" t="s">
        <v>6714</v>
      </c>
      <c r="F2" s="829" t="s">
        <v>6715</v>
      </c>
      <c r="G2" s="829" t="s">
        <v>2181</v>
      </c>
      <c r="H2" s="453"/>
      <c r="I2" s="436" t="s">
        <v>7920</v>
      </c>
      <c r="J2" s="453"/>
      <c r="K2" s="434" t="s">
        <v>7860</v>
      </c>
      <c r="L2" s="435" t="s">
        <v>2534</v>
      </c>
      <c r="M2" s="453"/>
      <c r="N2" s="436" t="s">
        <v>7857</v>
      </c>
      <c r="O2" s="436" t="s">
        <v>7936</v>
      </c>
      <c r="P2" s="436" t="s">
        <v>7937</v>
      </c>
      <c r="Q2" s="436" t="s">
        <v>7938</v>
      </c>
      <c r="R2" s="436" t="s">
        <v>7939</v>
      </c>
      <c r="S2" s="453"/>
      <c r="T2" s="434" t="s">
        <v>7925</v>
      </c>
      <c r="U2" s="434" t="s">
        <v>7940</v>
      </c>
      <c r="V2" s="434" t="s">
        <v>7941</v>
      </c>
      <c r="W2" s="434" t="s">
        <v>7942</v>
      </c>
      <c r="X2" s="434" t="s">
        <v>7943</v>
      </c>
      <c r="Y2" s="453"/>
      <c r="Z2" s="435" t="s">
        <v>7930</v>
      </c>
      <c r="AA2" s="435" t="s">
        <v>7944</v>
      </c>
      <c r="AB2" s="435" t="s">
        <v>7945</v>
      </c>
      <c r="AC2" s="435" t="s">
        <v>7946</v>
      </c>
      <c r="AD2" s="435" t="s">
        <v>7947</v>
      </c>
      <c r="AE2" s="453"/>
      <c r="AF2" s="436" t="s">
        <v>6711</v>
      </c>
    </row>
    <row r="3" spans="1:32">
      <c r="A3" s="405" t="s">
        <v>2535</v>
      </c>
      <c r="B3" s="405" t="s">
        <v>2535</v>
      </c>
      <c r="C3" s="405" t="s">
        <v>2535</v>
      </c>
      <c r="D3" s="405" t="s">
        <v>2090</v>
      </c>
      <c r="E3" s="405" t="s">
        <v>2086</v>
      </c>
      <c r="F3" s="405" t="s">
        <v>6728</v>
      </c>
      <c r="G3" s="405" t="s">
        <v>6729</v>
      </c>
      <c r="I3" s="426">
        <f>IFERROR(N3/5,"")</f>
        <v>191919.35623431255</v>
      </c>
      <c r="K3" s="790">
        <f t="shared" ref="K3:K14" si="0">IFERROR(T3/N3,"")</f>
        <v>0.80474771771196463</v>
      </c>
      <c r="L3" s="790">
        <f t="shared" ref="L3:L14" si="1">IFERROR(Z3/N3,"")</f>
        <v>0.19525228228803529</v>
      </c>
      <c r="N3" s="426">
        <f>SUMPRODUCT(($AF$4:$AF$106),('ANALYSE - ERP =&gt; CATEGORIE'!$EX$8:$EX$110))</f>
        <v>959596.78117156273</v>
      </c>
      <c r="O3" s="426">
        <f>SUMPRODUCT(($AF$4:$AF$106),('ANALYSE - ERP =&gt; CATEGORIE'!$GE$8:$GE$110))</f>
        <v>399724.21452400158</v>
      </c>
      <c r="P3" s="426">
        <f>SUMPRODUCT(($AF$4:$AF$106),('ANALYSE - ERP =&gt; CATEGORIE'!$GH$8:$GH$110))</f>
        <v>296006.31078030326</v>
      </c>
      <c r="Q3" s="426">
        <f>SUMPRODUCT(($AF$4:$AF$106),('ANALYSE - ERP =&gt; CATEGORIE'!$GK$8:$GK$110))</f>
        <v>168938.80935767325</v>
      </c>
      <c r="R3" s="426">
        <f>SUMPRODUCT(($AF$4:$AF$106),('ANALYSE - ERP =&gt; CATEGORIE'!$GN$8:$GN$110))</f>
        <v>94927.446509584348</v>
      </c>
      <c r="T3" s="426">
        <f>SUMPRODUCT(($AF$4:$AF$106),('ANALYSE - ERP =&gt; CATEGORIE'!$EY$8:$EY$110))</f>
        <v>772233.31957156269</v>
      </c>
      <c r="U3" s="426">
        <f>SUMPRODUCT(($AF$4:$AF$106),('ANALYSE - ERP =&gt; CATEGORIE'!$GF$8:$GF$110))</f>
        <v>324303.51968890155</v>
      </c>
      <c r="V3" s="426">
        <f>SUMPRODUCT(($AF$4:$AF$106),('ANALYSE - ERP =&gt; CATEGORIE'!$GI$8:$GI$110))</f>
        <v>232339.55900100319</v>
      </c>
      <c r="W3" s="426">
        <f>SUMPRODUCT(($AF$4:$AF$106),('ANALYSE - ERP =&gt; CATEGORIE'!$GL$8:$GL$110))</f>
        <v>137439.28569217329</v>
      </c>
      <c r="X3" s="426">
        <f>SUMPRODUCT(($AF$4:$AF$106),('ANALYSE - ERP =&gt; CATEGORIE'!$GO$8:$GO$110))</f>
        <v>78150.955189484346</v>
      </c>
      <c r="Z3" s="426">
        <f>SUMPRODUCT(($AF$4:$AF$106),('ANALYSE - ERP =&gt; CATEGORIE'!$EZ$8:$EZ$110))</f>
        <v>187363.46159999998</v>
      </c>
      <c r="AA3" s="426">
        <f>SUMPRODUCT(($AF$4:$AF$106),('ANALYSE - ERP =&gt; CATEGORIE'!$GG$8:$GG$110))</f>
        <v>75420.694835099974</v>
      </c>
      <c r="AB3" s="426">
        <f>SUMPRODUCT(($AF$4:$AF$106),('ANALYSE - ERP =&gt; CATEGORIE'!$GJ$8:$GJ$110))</f>
        <v>63666.751779300008</v>
      </c>
      <c r="AC3" s="426">
        <f>SUMPRODUCT(($AF$4:$AF$106),('ANALYSE - ERP =&gt; CATEGORIE'!$GM$8:$GM$110))</f>
        <v>31499.523665499994</v>
      </c>
      <c r="AD3" s="426">
        <f>SUMPRODUCT(($AF$4:$AF$106),('ANALYSE - ERP =&gt; CATEGORIE'!$GP$8:$GP$110))</f>
        <v>16776.491320100005</v>
      </c>
      <c r="AF3" s="428">
        <f>SUM('ANALYSE - ERP =&gt; CATEGORIE'!$Q$8:$Q$110)</f>
        <v>9</v>
      </c>
    </row>
    <row r="4" spans="1:32" ht="15" customHeight="1">
      <c r="A4" s="26">
        <v>1</v>
      </c>
      <c r="B4" s="26">
        <v>1</v>
      </c>
      <c r="C4" s="26">
        <v>1</v>
      </c>
      <c r="D4" s="491" t="s">
        <v>2187</v>
      </c>
      <c r="E4" s="492" t="s">
        <v>8008</v>
      </c>
      <c r="F4" s="492" t="s">
        <v>8009</v>
      </c>
      <c r="G4" s="408" t="str">
        <f>'ANALYSE - ERP =&gt; CATEGORIE'!$D$11</f>
        <v>Cafés / bars / brasseries
Fast-food / cafétérias / food courts
Restaurants
(Hors établissements altitude, flottant, armée)
Salles de jeux / bowlings / billards
Discothèques / salles de danse
Centres commerciaux / malls
Marchés couverts
Casinos</v>
      </c>
      <c r="I4" s="427">
        <f t="shared" ref="I4:I14" si="2">N4/5</f>
        <v>95183.32580591242</v>
      </c>
      <c r="K4" s="787">
        <f t="shared" si="0"/>
        <v>0.82359332600713764</v>
      </c>
      <c r="L4" s="787">
        <f t="shared" si="1"/>
        <v>0.17640667399286239</v>
      </c>
      <c r="N4" s="424">
        <f>'ANALYSE - ERP =&gt; CATEGORIE'!$EX$11</f>
        <v>475916.62902956211</v>
      </c>
      <c r="O4" s="427">
        <f>'ANALYSE - ERP =&gt; CATEGORIE'!$GE$11</f>
        <v>131728.0979592932</v>
      </c>
      <c r="P4" s="427">
        <f>'ANALYSE - ERP =&gt; CATEGORIE'!$GH$11</f>
        <v>240612.93220210227</v>
      </c>
      <c r="Q4" s="427">
        <f>'ANALYSE - ERP =&gt; CATEGORIE'!$GK$11</f>
        <v>79640.075853749993</v>
      </c>
      <c r="R4" s="427">
        <f>'ANALYSE - ERP =&gt; CATEGORIE'!$GN$11</f>
        <v>23935.523014416674</v>
      </c>
      <c r="T4" s="424">
        <f>'ANALYSE - ERP =&gt; CATEGORIE'!$EY$11</f>
        <v>391961.75940456212</v>
      </c>
      <c r="U4" s="427">
        <f>'ANALYSE - ERP =&gt; CATEGORIE'!$GF$11</f>
        <v>112622.72942929318</v>
      </c>
      <c r="V4" s="427">
        <f>'ANALYSE - ERP =&gt; CATEGORIE'!$GI$11</f>
        <v>194104.54961710225</v>
      </c>
      <c r="W4" s="427">
        <f>'ANALYSE - ERP =&gt; CATEGORIE'!$GL$11</f>
        <v>64568.900632500008</v>
      </c>
      <c r="X4" s="427">
        <f>'ANALYSE - ERP =&gt; CATEGORIE'!$GO$11</f>
        <v>20665.57972566667</v>
      </c>
      <c r="Z4" s="427">
        <f>'ANALYSE - ERP =&gt; CATEGORIE'!$EZ$11</f>
        <v>83954.869624999992</v>
      </c>
      <c r="AA4" s="427">
        <f>'ANALYSE - ERP =&gt; CATEGORIE'!$GG$11</f>
        <v>19105.368530000003</v>
      </c>
      <c r="AB4" s="427">
        <f>'ANALYSE - ERP =&gt; CATEGORIE'!$GJ$11</f>
        <v>46508.382585000007</v>
      </c>
      <c r="AC4" s="427">
        <f>'ANALYSE - ERP =&gt; CATEGORIE'!$GM$11</f>
        <v>15071.175221250001</v>
      </c>
      <c r="AD4" s="427">
        <f>'ANALYSE - ERP =&gt; CATEGORIE'!$GP$11</f>
        <v>3269.9432887500006</v>
      </c>
      <c r="AF4" s="430">
        <f>'ANALYSE - ERP =&gt; CATEGORIE'!$Q$11</f>
        <v>1</v>
      </c>
    </row>
    <row r="5" spans="1:32" ht="15" customHeight="1">
      <c r="A5" s="26">
        <v>2</v>
      </c>
      <c r="B5" s="26">
        <v>2</v>
      </c>
      <c r="C5" s="26">
        <v>3</v>
      </c>
      <c r="D5" s="493" t="s">
        <v>2241</v>
      </c>
      <c r="E5" s="494" t="s">
        <v>8012</v>
      </c>
      <c r="F5" s="494" t="s">
        <v>8013</v>
      </c>
      <c r="G5" s="416" t="str">
        <f>'ANALYSE - ERP =&gt; CATEGORIE'!$D$9</f>
        <v>Hôpitaux universitaires / CHU
Hôpitaux publics (Hors CHU, Universitaire, Militaire, Carcéral)
Hôpitaux privés
Cliniques
Centres de psychiatrie
Centres de rééducation
Maternités
Établissements médico-éducatifs
Centres de santé / centres médicaux
Maisons de santé
Foyers pour personnes handicapées
EHPAD
USLD
Résidences autonomie
Foyers-logements (Public)
Résidences services seniors (Privé)</v>
      </c>
      <c r="I5" s="427">
        <f t="shared" si="2"/>
        <v>88727.513549353811</v>
      </c>
      <c r="K5" s="787">
        <f t="shared" si="0"/>
        <v>0.80492191078506714</v>
      </c>
      <c r="L5" s="787">
        <f t="shared" si="1"/>
        <v>0.1950780892149328</v>
      </c>
      <c r="N5" s="424">
        <f>'ANALYSE - ERP =&gt; CATEGORIE'!$EX$9</f>
        <v>443637.56774676905</v>
      </c>
      <c r="O5" s="427">
        <f>'ANALYSE - ERP =&gt; CATEGORIE'!$GE$9</f>
        <v>226216.16076853214</v>
      </c>
      <c r="P5" s="427">
        <f>'ANALYSE - ERP =&gt; CATEGORIE'!$GH$9</f>
        <v>83112.6638956432</v>
      </c>
      <c r="Q5" s="427">
        <f>'ANALYSE - ERP =&gt; CATEGORIE'!$GK$9</f>
        <v>72319.813455299998</v>
      </c>
      <c r="R5" s="427">
        <f>'ANALYSE - ERP =&gt; CATEGORIE'!$GN$9</f>
        <v>61988.929627293626</v>
      </c>
      <c r="T5" s="424">
        <f>'ANALYSE - ERP =&gt; CATEGORIE'!$EY$9</f>
        <v>357093.59872676904</v>
      </c>
      <c r="U5" s="427">
        <f>'ANALYSE - ERP =&gt; CATEGORIE'!$GF$9</f>
        <v>181227.00402623214</v>
      </c>
      <c r="V5" s="427">
        <f>'ANALYSE - ERP =&gt; CATEGORIE'!$GI$9</f>
        <v>66093.113159943168</v>
      </c>
      <c r="W5" s="427">
        <f>'ANALYSE - ERP =&gt; CATEGORIE'!$GL$9</f>
        <v>58773.21931239999</v>
      </c>
      <c r="X5" s="427">
        <f>'ANALYSE - ERP =&gt; CATEGORIE'!$GO$9</f>
        <v>51000.262228193627</v>
      </c>
      <c r="Z5" s="427">
        <f>'ANALYSE - ERP =&gt; CATEGORIE'!$EZ$9</f>
        <v>86543.969020000004</v>
      </c>
      <c r="AA5" s="427">
        <f>'ANALYSE - ERP =&gt; CATEGORIE'!$GG$9</f>
        <v>44989.156742299994</v>
      </c>
      <c r="AB5" s="427">
        <f>'ANALYSE - ERP =&gt; CATEGORIE'!$GJ$9</f>
        <v>17019.550735700006</v>
      </c>
      <c r="AC5" s="427">
        <f>'ANALYSE - ERP =&gt; CATEGORIE'!$GM$9</f>
        <v>13546.594142899998</v>
      </c>
      <c r="AD5" s="427">
        <f>'ANALYSE - ERP =&gt; CATEGORIE'!$GP$9</f>
        <v>10988.667399100001</v>
      </c>
      <c r="AF5" s="430">
        <f>'ANALYSE - ERP =&gt; CATEGORIE'!$Q$9</f>
        <v>1</v>
      </c>
    </row>
    <row r="6" spans="1:32" ht="15" customHeight="1">
      <c r="A6" s="26">
        <v>3</v>
      </c>
      <c r="B6" s="26">
        <v>4</v>
      </c>
      <c r="C6" s="26">
        <v>2</v>
      </c>
      <c r="D6" s="497" t="s">
        <v>6739</v>
      </c>
      <c r="E6" s="498" t="s">
        <v>8006</v>
      </c>
      <c r="F6" s="498" t="s">
        <v>8007</v>
      </c>
      <c r="G6" s="409" t="str">
        <f>'ANALYSE - ERP =&gt; CATEGORIE'!$D$8</f>
        <v>Crèches
Écoles maternelles
Écoles primaires
Collèges (vestiaires EPS inclus)
Lycées (vestiaires EPS inclus)
Universités
Grandes écoles
Internats scolaires
Résidences étudiantes et dortoirs
Centres de loisirs sans hébergement
Centres de vacances / colonies
Centres de formation / CFA</v>
      </c>
      <c r="I6" s="427">
        <f t="shared" si="2"/>
        <v>0</v>
      </c>
      <c r="K6" s="787" t="str">
        <f t="shared" si="0"/>
        <v/>
      </c>
      <c r="L6" s="787" t="str">
        <f t="shared" si="1"/>
        <v/>
      </c>
      <c r="N6" s="424">
        <f>'ANALYSE - ERP =&gt; CATEGORIE'!$EX$8</f>
        <v>0</v>
      </c>
      <c r="O6" s="427">
        <f>'ANALYSE - ERP =&gt; CATEGORIE'!$GE$8</f>
        <v>0</v>
      </c>
      <c r="P6" s="427">
        <f>'ANALYSE - ERP =&gt; CATEGORIE'!$GH$8</f>
        <v>0</v>
      </c>
      <c r="Q6" s="427">
        <f>'ANALYSE - ERP =&gt; CATEGORIE'!$GK$8</f>
        <v>0</v>
      </c>
      <c r="R6" s="427">
        <f>'ANALYSE - ERP =&gt; CATEGORIE'!$GN$8</f>
        <v>0</v>
      </c>
      <c r="T6" s="424">
        <f>'ANALYSE - ERP =&gt; CATEGORIE'!$EY$8</f>
        <v>0</v>
      </c>
      <c r="U6" s="427">
        <f>'ANALYSE - ERP =&gt; CATEGORIE'!$GF$8</f>
        <v>0</v>
      </c>
      <c r="V6" s="427">
        <f>'ANALYSE - ERP =&gt; CATEGORIE'!$GI$8</f>
        <v>0</v>
      </c>
      <c r="W6" s="427">
        <f>'ANALYSE - ERP =&gt; CATEGORIE'!$GL$8</f>
        <v>0</v>
      </c>
      <c r="X6" s="427">
        <f>'ANALYSE - ERP =&gt; CATEGORIE'!$GO$8</f>
        <v>0</v>
      </c>
      <c r="Z6" s="427">
        <f>'ANALYSE - ERP =&gt; CATEGORIE'!$EZ$8</f>
        <v>0</v>
      </c>
      <c r="AA6" s="427">
        <f>'ANALYSE - ERP =&gt; CATEGORIE'!$GG$8</f>
        <v>0</v>
      </c>
      <c r="AB6" s="427">
        <f>'ANALYSE - ERP =&gt; CATEGORIE'!$GJ$8</f>
        <v>0</v>
      </c>
      <c r="AC6" s="427">
        <f>'ANALYSE - ERP =&gt; CATEGORIE'!$GM$8</f>
        <v>0</v>
      </c>
      <c r="AD6" s="427">
        <f>'ANALYSE - ERP =&gt; CATEGORIE'!$GP$8</f>
        <v>0</v>
      </c>
      <c r="AF6" s="430">
        <f>'ANALYSE - ERP =&gt; CATEGORIE'!$Q$8</f>
        <v>0</v>
      </c>
    </row>
    <row r="7" spans="1:32" ht="15" customHeight="1">
      <c r="A7" s="26">
        <v>4</v>
      </c>
      <c r="B7" s="26">
        <v>3</v>
      </c>
      <c r="C7" s="26">
        <v>5</v>
      </c>
      <c r="D7" s="495" t="s">
        <v>1670</v>
      </c>
      <c r="E7" s="496" t="s">
        <v>8010</v>
      </c>
      <c r="F7" s="496" t="s">
        <v>8011</v>
      </c>
      <c r="G7" s="415" t="str">
        <f>'ANALYSE - ERP =&gt; CATEGORIE'!$D$15</f>
        <v>Gymnases / salles multisports
Piscines couvertes
Salles de fitness / dojos
Patinoires couvertes
Grands stades avec tribunes
(Type football/rugby) 
Stades 
(Type athlétisme - Hors scolaire)
Terrains de sport
(Hors scolaire)
Hippodromes
Piscines extérieures 
(Hors campings, hôtels, résidences et établissement avec bassin intérieur)
Établissements thermaux
Centres de thalassothérapie / balnéothérapie / grands spas ouverts au public
Bases nautiques / centres nautiques avec vestiaires-douches
Bases de loisirs avec plages, douches et sanitaires
Centres équestres / manèges couverts avec accueil public</v>
      </c>
      <c r="I7" s="427">
        <f t="shared" si="2"/>
        <v>0</v>
      </c>
      <c r="K7" s="787" t="str">
        <f t="shared" si="0"/>
        <v/>
      </c>
      <c r="L7" s="787" t="str">
        <f t="shared" si="1"/>
        <v/>
      </c>
      <c r="N7" s="424">
        <f>'ANALYSE - ERP =&gt; CATEGORIE'!$EX$15</f>
        <v>0</v>
      </c>
      <c r="O7" s="427">
        <f>'ANALYSE - ERP =&gt; CATEGORIE'!$GE$15</f>
        <v>0</v>
      </c>
      <c r="P7" s="427">
        <f>'ANALYSE - ERP =&gt; CATEGORIE'!$GH$15</f>
        <v>0</v>
      </c>
      <c r="Q7" s="427">
        <f>'ANALYSE - ERP =&gt; CATEGORIE'!$GK$15</f>
        <v>0</v>
      </c>
      <c r="R7" s="427">
        <f>'ANALYSE - ERP =&gt; CATEGORIE'!$GN$15</f>
        <v>0</v>
      </c>
      <c r="T7" s="424">
        <f>'ANALYSE - ERP =&gt; CATEGORIE'!$EY$15</f>
        <v>0</v>
      </c>
      <c r="U7" s="427">
        <f>'ANALYSE - ERP =&gt; CATEGORIE'!$GF$15</f>
        <v>0</v>
      </c>
      <c r="V7" s="427">
        <f>'ANALYSE - ERP =&gt; CATEGORIE'!$GI$15</f>
        <v>0</v>
      </c>
      <c r="W7" s="427">
        <f>'ANALYSE - ERP =&gt; CATEGORIE'!$GL$15</f>
        <v>0</v>
      </c>
      <c r="X7" s="427">
        <f>'ANALYSE - ERP =&gt; CATEGORIE'!$GO$15</f>
        <v>0</v>
      </c>
      <c r="Z7" s="427">
        <f>'ANALYSE - ERP =&gt; CATEGORIE'!$EZ$15</f>
        <v>0</v>
      </c>
      <c r="AA7" s="427">
        <f>'ANALYSE - ERP =&gt; CATEGORIE'!$GG$15</f>
        <v>0</v>
      </c>
      <c r="AB7" s="427">
        <f>'ANALYSE - ERP =&gt; CATEGORIE'!$GJ$15</f>
        <v>0</v>
      </c>
      <c r="AC7" s="427">
        <f>'ANALYSE - ERP =&gt; CATEGORIE'!$GM$15</f>
        <v>0</v>
      </c>
      <c r="AD7" s="427">
        <f>'ANALYSE - ERP =&gt; CATEGORIE'!$GP$15</f>
        <v>0</v>
      </c>
      <c r="AF7" s="430">
        <f>'ANALYSE - ERP =&gt; CATEGORIE'!$Q$15</f>
        <v>0</v>
      </c>
    </row>
    <row r="8" spans="1:32" ht="15" customHeight="1">
      <c r="A8" s="26">
        <v>5</v>
      </c>
      <c r="B8" s="26">
        <v>7</v>
      </c>
      <c r="C8" s="26">
        <v>4</v>
      </c>
      <c r="D8" s="501" t="s">
        <v>2264</v>
      </c>
      <c r="E8" s="502" t="s">
        <v>8014</v>
      </c>
      <c r="F8" s="502" t="s">
        <v>8015</v>
      </c>
      <c r="G8" s="414" t="str">
        <f>'ANALYSE - ERP =&gt; CATEGORIE'!$D$12</f>
        <v>Bureaux (&gt;50 personnes, tertiaire privé + logistique hors usines)
Usines 
(&gt;50 personnes - Hors Ateliers industriels)
Garages / ateliers de réparation automobile recevant du public
Ateliers industriels / de maintenance (&gt;50 personnes)
Centres de stockage / entrepôts / plateformes logistiques (&gt;50 personnes)</v>
      </c>
      <c r="I8" s="427">
        <f t="shared" si="2"/>
        <v>70922.629308909789</v>
      </c>
      <c r="K8" s="787">
        <f t="shared" si="0"/>
        <v>0.80133109083379817</v>
      </c>
      <c r="L8" s="787">
        <f t="shared" si="1"/>
        <v>0.19866890916620178</v>
      </c>
      <c r="N8" s="424">
        <f>'ANALYSE - ERP =&gt; CATEGORIE'!$EX$12</f>
        <v>354613.14654454892</v>
      </c>
      <c r="O8" s="427">
        <f>'ANALYSE - ERP =&gt; CATEGORIE'!$GE$12</f>
        <v>142004.95841998718</v>
      </c>
      <c r="P8" s="427">
        <f>'ANALYSE - ERP =&gt; CATEGORIE'!$GH$12</f>
        <v>121037.50797681318</v>
      </c>
      <c r="Q8" s="427">
        <f>'ANALYSE - ERP =&gt; CATEGORIE'!$GK$12</f>
        <v>74035.068860066662</v>
      </c>
      <c r="R8" s="427">
        <f>'ANALYSE - ERP =&gt; CATEGORIE'!$GN$12</f>
        <v>17535.611287681822</v>
      </c>
      <c r="T8" s="424">
        <f>'ANALYSE - ERP =&gt; CATEGORIE'!$EY$12</f>
        <v>284162.5395445489</v>
      </c>
      <c r="U8" s="427">
        <f>'ANALYSE - ERP =&gt; CATEGORIE'!$GF$12</f>
        <v>116007.64249998718</v>
      </c>
      <c r="V8" s="427">
        <f>'ANALYSE - ERP =&gt; CATEGORIE'!$GI$12</f>
        <v>93387.397106813194</v>
      </c>
      <c r="W8" s="427">
        <f>'ANALYSE - ERP =&gt; CATEGORIE'!$GL$12</f>
        <v>59849.245670066666</v>
      </c>
      <c r="X8" s="427">
        <f>'ANALYSE - ERP =&gt; CATEGORIE'!$GO$12</f>
        <v>14918.254267681819</v>
      </c>
      <c r="Z8" s="427">
        <f>'ANALYSE - ERP =&gt; CATEGORIE'!$EZ$12</f>
        <v>70450.606999999989</v>
      </c>
      <c r="AA8" s="427">
        <f>'ANALYSE - ERP =&gt; CATEGORIE'!$GG$12</f>
        <v>25997.315919999997</v>
      </c>
      <c r="AB8" s="427">
        <f>'ANALYSE - ERP =&gt; CATEGORIE'!$GJ$12</f>
        <v>27650.11087</v>
      </c>
      <c r="AC8" s="427">
        <f>'ANALYSE - ERP =&gt; CATEGORIE'!$GM$12</f>
        <v>14185.823190000001</v>
      </c>
      <c r="AD8" s="427">
        <f>'ANALYSE - ERP =&gt; CATEGORIE'!$GP$12</f>
        <v>2617.3570200000004</v>
      </c>
      <c r="AF8" s="430">
        <f>'ANALYSE - ERP =&gt; CATEGORIE'!$Q$12</f>
        <v>1</v>
      </c>
    </row>
    <row r="9" spans="1:32" ht="15" customHeight="1">
      <c r="A9" s="26">
        <v>6</v>
      </c>
      <c r="B9" s="26">
        <v>5</v>
      </c>
      <c r="C9" s="26">
        <v>7</v>
      </c>
      <c r="D9" s="503" t="s">
        <v>2278</v>
      </c>
      <c r="E9" s="504" t="s">
        <v>8016</v>
      </c>
      <c r="F9" s="504" t="s">
        <v>8017</v>
      </c>
      <c r="G9" s="408" t="str">
        <f>'ANALYSE - ERP =&gt; CATEGORIE'!$D$14</f>
        <v>Mairies / hôtels de ville
Préfectures / services administratifs
Maisons France Services
Guichets publics
Églises, cathédrales, basiliques et chapelles ouvertes au public
Monastères, abbayes et couvents ouverts au public
Temples protestants, évangéliques et salles de culte assimilées
Mosquées et salles de prière musulmanes
Synagogues et oratoires juifs ouverts au public
Temples bouddhistes, hindous et autres lieux de culte non abrahamiques ouverts au public
Salles du Royaume, centres cultuels pluriconfessionnels et lieux de culte polyvalents
Locaux associatifs recevant du public</v>
      </c>
      <c r="I9" s="427">
        <f t="shared" si="2"/>
        <v>16957.865087008468</v>
      </c>
      <c r="K9" s="787">
        <f t="shared" si="0"/>
        <v>0.84644388036823515</v>
      </c>
      <c r="L9" s="787">
        <f t="shared" si="1"/>
        <v>0.15355611963176485</v>
      </c>
      <c r="N9" s="424">
        <f>'ANALYSE - ERP =&gt; CATEGORIE'!$EX$14</f>
        <v>84789.325435042338</v>
      </c>
      <c r="O9" s="427">
        <f>'ANALYSE - ERP =&gt; CATEGORIE'!$GE$14</f>
        <v>25218.860231515388</v>
      </c>
      <c r="P9" s="427">
        <f>'ANALYSE - ERP =&gt; CATEGORIE'!$GH$14</f>
        <v>41604.664803266933</v>
      </c>
      <c r="Q9" s="427">
        <f>'ANALYSE - ERP =&gt; CATEGORIE'!$GK$14</f>
        <v>14261.335881260004</v>
      </c>
      <c r="R9" s="427">
        <f>'ANALYSE - ERP =&gt; CATEGORIE'!$GN$14</f>
        <v>3704.4645189999997</v>
      </c>
      <c r="T9" s="424">
        <f>'ANALYSE - ERP =&gt; CATEGORIE'!$EY$14</f>
        <v>71769.405635042334</v>
      </c>
      <c r="U9" s="427">
        <f>'ANALYSE - ERP =&gt; CATEGORIE'!$GF$14</f>
        <v>21910.091511515384</v>
      </c>
      <c r="V9" s="427">
        <f>'ANALYSE - ERP =&gt; CATEGORIE'!$GI$14</f>
        <v>34531.921681266933</v>
      </c>
      <c r="W9" s="427">
        <f>'ANALYSE - ERP =&gt; CATEGORIE'!$GL$14</f>
        <v>12088.348397259999</v>
      </c>
      <c r="X9" s="427">
        <f>'ANALYSE - ERP =&gt; CATEGORIE'!$GO$14</f>
        <v>3239.0440449999996</v>
      </c>
      <c r="Z9" s="427">
        <f>'ANALYSE - ERP =&gt; CATEGORIE'!$EZ$14</f>
        <v>13019.919800000003</v>
      </c>
      <c r="AA9" s="427">
        <f>'ANALYSE - ERP =&gt; CATEGORIE'!$GG$14</f>
        <v>3308.7687199999991</v>
      </c>
      <c r="AB9" s="427">
        <f>'ANALYSE - ERP =&gt; CATEGORIE'!$GJ$14</f>
        <v>7072.7431219999999</v>
      </c>
      <c r="AC9" s="427">
        <f>'ANALYSE - ERP =&gt; CATEGORIE'!$GM$14</f>
        <v>2172.9874839999993</v>
      </c>
      <c r="AD9" s="427">
        <f>'ANALYSE - ERP =&gt; CATEGORIE'!$GP$14</f>
        <v>465.42047400000001</v>
      </c>
      <c r="AF9" s="430">
        <f>'ANALYSE - ERP =&gt; CATEGORIE'!$Q$14</f>
        <v>1</v>
      </c>
    </row>
    <row r="10" spans="1:32" ht="15" customHeight="1">
      <c r="A10" s="26">
        <v>7</v>
      </c>
      <c r="B10" s="26">
        <v>6</v>
      </c>
      <c r="C10" s="26">
        <v>6</v>
      </c>
      <c r="D10" s="499" t="s">
        <v>3662</v>
      </c>
      <c r="E10" s="500" t="s">
        <v>8018</v>
      </c>
      <c r="F10" s="500" t="s">
        <v>8019</v>
      </c>
      <c r="G10" s="411" t="str">
        <f>'ANALYSE - ERP =&gt; CATEGORIE'!$D$10</f>
        <v>Cinémas
Théâtres
Musées
Salles de spectacle / auditoriums
Salles de conférence / réunion
Salles polyvalentes / salles des fêtes
Bibliothèques / médiathèques
Foires / salons
Halls d’exposition
Chapiteaux / tentes / structures
Structures gonflables
Parcs d’attractions / parcs à thèmes fixes
Parcs zoologiques / parcs animaliers ouverts au public
Aquariums ouverts au public</v>
      </c>
      <c r="I10" s="427">
        <f t="shared" si="2"/>
        <v>31668.179929377213</v>
      </c>
      <c r="K10" s="787">
        <f t="shared" si="0"/>
        <v>0.804512592583285</v>
      </c>
      <c r="L10" s="787">
        <f t="shared" si="1"/>
        <v>0.19548740741671497</v>
      </c>
      <c r="N10" s="424">
        <f>'ANALYSE - ERP =&gt; CATEGORIE'!$EX$10</f>
        <v>158340.89964688607</v>
      </c>
      <c r="O10" s="427">
        <f>'ANALYSE - ERP =&gt; CATEGORIE'!$GE$10</f>
        <v>33075.270658178197</v>
      </c>
      <c r="P10" s="427">
        <f>'ANALYSE - ERP =&gt; CATEGORIE'!$GH$10</f>
        <v>93507.716823276933</v>
      </c>
      <c r="Q10" s="427">
        <f>'ANALYSE - ERP =&gt; CATEGORIE'!$GK$10</f>
        <v>23518.829516706664</v>
      </c>
      <c r="R10" s="427">
        <f>'ANALYSE - ERP =&gt; CATEGORIE'!$GN$10</f>
        <v>8239.0826487242412</v>
      </c>
      <c r="T10" s="424">
        <f>'ANALYSE - ERP =&gt; CATEGORIE'!$EY$10</f>
        <v>127387.24768688607</v>
      </c>
      <c r="U10" s="427">
        <f>'ANALYSE - ERP =&gt; CATEGORIE'!$GF$10</f>
        <v>27266.891870178206</v>
      </c>
      <c r="V10" s="427">
        <f>'ANALYSE - ERP =&gt; CATEGORIE'!$GI$10</f>
        <v>74349.829577676923</v>
      </c>
      <c r="W10" s="427">
        <f>'ANALYSE - ERP =&gt; CATEGORIE'!$GL$10</f>
        <v>18836.827681106664</v>
      </c>
      <c r="X10" s="427">
        <f>'ANALYSE - ERP =&gt; CATEGORIE'!$GO$10</f>
        <v>6933.6985579242419</v>
      </c>
      <c r="Z10" s="427">
        <f>'ANALYSE - ERP =&gt; CATEGORIE'!$EZ$10</f>
        <v>30953.651959999996</v>
      </c>
      <c r="AA10" s="427">
        <f>'ANALYSE - ERP =&gt; CATEGORIE'!$GG$10</f>
        <v>5808.3787879999991</v>
      </c>
      <c r="AB10" s="427">
        <f>'ANALYSE - ERP =&gt; CATEGORIE'!$GJ$10</f>
        <v>19157.887245600003</v>
      </c>
      <c r="AC10" s="427">
        <f>'ANALYSE - ERP =&gt; CATEGORIE'!$GM$10</f>
        <v>4682.001835600001</v>
      </c>
      <c r="AD10" s="427">
        <f>'ANALYSE - ERP =&gt; CATEGORIE'!$GP$10</f>
        <v>1305.3840908</v>
      </c>
      <c r="AF10" s="430">
        <f>'ANALYSE - ERP =&gt; CATEGORIE'!$Q$10</f>
        <v>1</v>
      </c>
    </row>
    <row r="11" spans="1:32" s="45" customFormat="1" ht="15" customHeight="1">
      <c r="A11" s="26">
        <v>8</v>
      </c>
      <c r="B11" s="26">
        <v>8</v>
      </c>
      <c r="C11" s="26">
        <v>8</v>
      </c>
      <c r="D11" s="505" t="s">
        <v>7117</v>
      </c>
      <c r="E11" s="506" t="s">
        <v>8020</v>
      </c>
      <c r="F11" s="506" t="s">
        <v>8021</v>
      </c>
      <c r="G11" s="410" t="str">
        <f>'ANALYSE - ERP =&gt; CATEGORIE'!$D$13</f>
        <v>Hôtels
Pensions de famille
Résidences de tourisme
Hôtels-restaurants d’altitude
Refuges de montagne
Auberges de jeunesse
Campings
Aires d’accueil des gens du voyage
Centres d’hébergement d’urgence / accueils de nuit
CHRS / centres d’hébergement et de réinsertion sociale
CADA / HUDA / CAES / centres d’accueil pour demandeurs d’asile
Foyers de jeunes travailleurs / résidences sociales / foyers de travailleurs migrants
Accueils de jour / haltes de jour avec douches et sanitaires
Cabinets dentaires / centres dentaires
Laboratoires de biologie médicale recevant du public
Centres d’imagerie médicale recevant du public
Centres de dialyse ambulatoire / unités d’autodialyse
Villages de vacances / clubs vacances / centres de vacances familiaux</v>
      </c>
      <c r="H11" s="685"/>
      <c r="I11" s="427">
        <f t="shared" si="2"/>
        <v>0</v>
      </c>
      <c r="J11" s="685"/>
      <c r="K11" s="787" t="str">
        <f t="shared" si="0"/>
        <v/>
      </c>
      <c r="L11" s="787" t="str">
        <f t="shared" si="1"/>
        <v/>
      </c>
      <c r="M11" s="685"/>
      <c r="N11" s="424">
        <f>'ANALYSE - ERP =&gt; CATEGORIE'!$EX$13</f>
        <v>0</v>
      </c>
      <c r="O11" s="427">
        <f>'ANALYSE - ERP =&gt; CATEGORIE'!$GE$13</f>
        <v>0</v>
      </c>
      <c r="P11" s="427">
        <f>'ANALYSE - ERP =&gt; CATEGORIE'!$GH$13</f>
        <v>0</v>
      </c>
      <c r="Q11" s="427">
        <f>'ANALYSE - ERP =&gt; CATEGORIE'!$GK$13</f>
        <v>0</v>
      </c>
      <c r="R11" s="427">
        <f>'ANALYSE - ERP =&gt; CATEGORIE'!$GN$13</f>
        <v>0</v>
      </c>
      <c r="S11" s="685"/>
      <c r="T11" s="424">
        <f>'ANALYSE - ERP =&gt; CATEGORIE'!$EY$13</f>
        <v>0</v>
      </c>
      <c r="U11" s="427">
        <f>'ANALYSE - ERP =&gt; CATEGORIE'!$GF$13</f>
        <v>0</v>
      </c>
      <c r="V11" s="427">
        <f>'ANALYSE - ERP =&gt; CATEGORIE'!$GI$13</f>
        <v>0</v>
      </c>
      <c r="W11" s="427">
        <f>'ANALYSE - ERP =&gt; CATEGORIE'!$GL$13</f>
        <v>0</v>
      </c>
      <c r="X11" s="427">
        <f>'ANALYSE - ERP =&gt; CATEGORIE'!$GO$13</f>
        <v>0</v>
      </c>
      <c r="Y11" s="685"/>
      <c r="Z11" s="427">
        <f>'ANALYSE - ERP =&gt; CATEGORIE'!$EZ$13</f>
        <v>0</v>
      </c>
      <c r="AA11" s="427">
        <f>'ANALYSE - ERP =&gt; CATEGORIE'!$GG$13</f>
        <v>0</v>
      </c>
      <c r="AB11" s="427">
        <f>'ANALYSE - ERP =&gt; CATEGORIE'!$GJ$13</f>
        <v>0</v>
      </c>
      <c r="AC11" s="427">
        <f>'ANALYSE - ERP =&gt; CATEGORIE'!$GM$13</f>
        <v>0</v>
      </c>
      <c r="AD11" s="427">
        <f>'ANALYSE - ERP =&gt; CATEGORIE'!$GP$13</f>
        <v>0</v>
      </c>
      <c r="AE11" s="685"/>
      <c r="AF11" s="430">
        <f>'ANALYSE - ERP =&gt; CATEGORIE'!$Q$13</f>
        <v>0</v>
      </c>
    </row>
    <row r="12" spans="1:32" ht="15" customHeight="1">
      <c r="A12" s="26">
        <v>9</v>
      </c>
      <c r="B12" s="26">
        <v>9</v>
      </c>
      <c r="C12" s="26">
        <v>9</v>
      </c>
      <c r="D12" s="507" t="s">
        <v>2285</v>
      </c>
      <c r="E12" s="508" t="s">
        <v>8022</v>
      </c>
      <c r="F12" s="508" t="s">
        <v>8023</v>
      </c>
      <c r="G12" s="408" t="str">
        <f>'ANALYSE - ERP =&gt; CATEGORIE'!$D$16</f>
        <v>Aires de service - Autoroutes
(Hors Aires de repos)
Aires de repos - Autoroutes
(Hors Aires de service)
Aéroports / aérogares
(&gt;1 000 passagers/an)
Gares ferroviaires et stations
Terminaux maritimes / fluviaux
Établissements flottants
Parcs de stationnement couverts
Ports de plaisance / capitaineries
Rames ferroviaires voyageurs
Aéronefs commerciaux
Ferries et navires à passagers 
Autocars
(Trajets longues distance)
Stations / espaces métro équipés de toilettes publiques (minimum observé RATP)</v>
      </c>
      <c r="I12" s="427">
        <f t="shared" si="2"/>
        <v>8062.4336274363395</v>
      </c>
      <c r="K12" s="787">
        <f t="shared" si="0"/>
        <v>0.79733705584382464</v>
      </c>
      <c r="L12" s="787">
        <f t="shared" si="1"/>
        <v>0.20266294415617522</v>
      </c>
      <c r="N12" s="424">
        <f>'ANALYSE - ERP =&gt; CATEGORIE'!$EX$16</f>
        <v>40312.168137181696</v>
      </c>
      <c r="O12" s="427">
        <f>'ANALYSE - ERP =&gt; CATEGORIE'!$GE$16</f>
        <v>4150.4969809333334</v>
      </c>
      <c r="P12" s="427">
        <f>'ANALYSE - ERP =&gt; CATEGORIE'!$GH$16</f>
        <v>27590.159666163636</v>
      </c>
      <c r="Q12" s="427">
        <f>'ANALYSE - ERP =&gt; CATEGORIE'!$GK$16</f>
        <v>6245.5796257625007</v>
      </c>
      <c r="R12" s="427">
        <f>'ANALYSE - ERP =&gt; CATEGORIE'!$GN$16</f>
        <v>2325.9318643222223</v>
      </c>
      <c r="T12" s="424">
        <f>'ANALYSE - ERP =&gt; CATEGORIE'!$EY$16</f>
        <v>32142.385457181692</v>
      </c>
      <c r="U12" s="427">
        <f>'ANALYSE - ERP =&gt; CATEGORIE'!$GF$16</f>
        <v>3478.118573733334</v>
      </c>
      <c r="V12" s="427">
        <f>'ANALYSE - ERP =&gt; CATEGORIE'!$GI$16</f>
        <v>21681.501900563635</v>
      </c>
      <c r="W12" s="427">
        <f>'ANALYSE - ERP =&gt; CATEGORIE'!$GL$16</f>
        <v>5088.9013709625006</v>
      </c>
      <c r="X12" s="427">
        <f>'ANALYSE - ERP =&gt; CATEGORIE'!$GO$16</f>
        <v>1893.8636119222222</v>
      </c>
      <c r="Z12" s="427">
        <f>'ANALYSE - ERP =&gt; CATEGORIE'!$EZ$16</f>
        <v>8169.7826800000003</v>
      </c>
      <c r="AA12" s="427">
        <f>'ANALYSE - ERP =&gt; CATEGORIE'!$GG$16</f>
        <v>672.37840719999997</v>
      </c>
      <c r="AB12" s="427">
        <f>'ANALYSE - ERP =&gt; CATEGORIE'!$GJ$16</f>
        <v>5908.6577655999999</v>
      </c>
      <c r="AC12" s="427">
        <f>'ANALYSE - ERP =&gt; CATEGORIE'!$GM$16</f>
        <v>1156.6782548000001</v>
      </c>
      <c r="AD12" s="427">
        <f>'ANALYSE - ERP =&gt; CATEGORIE'!$GP$16</f>
        <v>432.06825240000001</v>
      </c>
      <c r="AF12" s="430">
        <f>'ANALYSE - ERP =&gt; CATEGORIE'!$Q$16</f>
        <v>1</v>
      </c>
    </row>
    <row r="13" spans="1:32" ht="15" customHeight="1">
      <c r="A13" s="26">
        <v>10</v>
      </c>
      <c r="B13" s="26">
        <v>10</v>
      </c>
      <c r="C13" s="26">
        <v>10</v>
      </c>
      <c r="D13" s="509" t="s">
        <v>4908</v>
      </c>
      <c r="E13" s="510" t="s">
        <v>8024</v>
      </c>
      <c r="F13" s="510" t="s">
        <v>8025</v>
      </c>
      <c r="G13" s="415" t="str">
        <f>'ANALYSE - ERP =&gt; CATEGORIE'!$D$17</f>
        <v>Locaux de sûreté, garde à vue et zones opérationnelles
Postes de proximité et antennes avec accueil public
Salles de réunion, de prévention ou de conférence ouvertes au public
Unités d'hébergement des militaires &amp; réservistes
Centres de recrutement et bureaux d’information
Restaurants ou équipements sportifs ouverts au public sur emprise militaire
Hôpitaux d’instruction des armées et centres médicaux recevant du public
Salles de conférence, auditoriums et espaces événementiels ouverts au public
Maisons d’arrêt
Centres de détention
Maisons centrales
Centres pénitentiaires
Centres de semi-liberté
Centres éducatifs fermés
Centres pour peines aménagées
(absorbés par autres centres carcéraux)
Unités hospitalières sécurisées
Palais de justice et bâtiments judiciaires multi-usages
Maisons de justice et du droit
Tribunaux de commerce autonomes
Conseils de prud’hommes autonomes
Autres bâtiments judiciaires autonomes recevant du public</v>
      </c>
      <c r="I13" s="427">
        <f t="shared" si="2"/>
        <v>5658.2080532275122</v>
      </c>
      <c r="K13" s="787">
        <f t="shared" si="0"/>
        <v>0.73310391456203361</v>
      </c>
      <c r="L13" s="787">
        <f t="shared" si="1"/>
        <v>0.26689608543796645</v>
      </c>
      <c r="N13" s="424">
        <f>'ANALYSE - ERP =&gt; CATEGORIE'!$EX$17</f>
        <v>28291.040266137563</v>
      </c>
      <c r="O13" s="427">
        <f>'ANALYSE - ERP =&gt; CATEGORIE'!$GE$17</f>
        <v>1695.2518530335665</v>
      </c>
      <c r="P13" s="427">
        <f>'ANALYSE - ERP =&gt; CATEGORIE'!$GH$17</f>
        <v>18536.026381961772</v>
      </c>
      <c r="Q13" s="427">
        <f>'ANALYSE - ERP =&gt; CATEGORIE'!$GK$17</f>
        <v>1224.0862838555558</v>
      </c>
      <c r="R13" s="427">
        <f>'ANALYSE - ERP =&gt; CATEGORIE'!$GN$17</f>
        <v>6835.6757472866684</v>
      </c>
      <c r="T13" s="424">
        <f>'ANALYSE - ERP =&gt; CATEGORIE'!$EY$17</f>
        <v>20740.272366137564</v>
      </c>
      <c r="U13" s="427">
        <f>'ANALYSE - ERP =&gt; CATEGORIE'!$GF$17</f>
        <v>1325.2683274335664</v>
      </c>
      <c r="V13" s="427">
        <f>'ANALYSE - ERP =&gt; CATEGORIE'!$GI$17</f>
        <v>13404.35943196177</v>
      </c>
      <c r="W13" s="427">
        <f>'ANALYSE - ERP =&gt; CATEGORIE'!$GL$17</f>
        <v>935.20797005555551</v>
      </c>
      <c r="X13" s="427">
        <f>'ANALYSE - ERP =&gt; CATEGORIE'!$GO$17</f>
        <v>5075.436636686668</v>
      </c>
      <c r="Z13" s="427">
        <f>'ANALYSE - ERP =&gt; CATEGORIE'!$EZ$17</f>
        <v>7550.7679000000007</v>
      </c>
      <c r="AA13" s="427">
        <f>'ANALYSE - ERP =&gt; CATEGORIE'!$GG$17</f>
        <v>369.98352560000001</v>
      </c>
      <c r="AB13" s="427">
        <f>'ANALYSE - ERP =&gt; CATEGORIE'!$GJ$17</f>
        <v>5131.6669499999998</v>
      </c>
      <c r="AC13" s="427">
        <f>'ANALYSE - ERP =&gt; CATEGORIE'!$GM$17</f>
        <v>288.87831380000006</v>
      </c>
      <c r="AD13" s="427">
        <f>'ANALYSE - ERP =&gt; CATEGORIE'!$GP$17</f>
        <v>1760.2391106000007</v>
      </c>
      <c r="AF13" s="430">
        <f>'ANALYSE - ERP =&gt; CATEGORIE'!$Q$17</f>
        <v>1</v>
      </c>
    </row>
    <row r="14" spans="1:32" ht="15" customHeight="1">
      <c r="A14" s="26">
        <v>11</v>
      </c>
      <c r="B14" s="26">
        <v>11</v>
      </c>
      <c r="C14" s="26">
        <v>11</v>
      </c>
      <c r="D14" s="501" t="s">
        <v>2163</v>
      </c>
      <c r="E14" s="502" t="s">
        <v>2163</v>
      </c>
      <c r="F14" s="502" t="s">
        <v>2164</v>
      </c>
      <c r="G14" s="410" t="str">
        <f>'ANALYSE - ERP =&gt; CATEGORIE'!$D$18</f>
        <v>Toilettes publiques (sur la voie publique)
Bains-douches municipaux / douches publiques fixes
Blocs sanitaires de plage / front de mer</v>
      </c>
      <c r="I14" s="427">
        <f t="shared" si="2"/>
        <v>1590.7066083766233</v>
      </c>
      <c r="K14" s="787">
        <f t="shared" si="0"/>
        <v>0.79525888791499277</v>
      </c>
      <c r="L14" s="787">
        <f t="shared" si="1"/>
        <v>0.20474111208500725</v>
      </c>
      <c r="N14" s="424">
        <f>'ANALYSE - ERP =&gt; CATEGORIE'!$EX$18</f>
        <v>7953.5330418831163</v>
      </c>
      <c r="O14" s="427">
        <f>'ANALYSE - ERP =&gt; CATEGORIE'!$GE$18</f>
        <v>438.48626999999993</v>
      </c>
      <c r="P14" s="427">
        <f>'ANALYSE - ERP =&gt; CATEGORIE'!$GH$18</f>
        <v>4125.2880564545449</v>
      </c>
      <c r="Q14" s="427">
        <f>'ANALYSE - ERP =&gt; CATEGORIE'!$GK$18</f>
        <v>852.92525142857141</v>
      </c>
      <c r="R14" s="427">
        <f>'ANALYSE - ERP =&gt; CATEGORIE'!$GN$18</f>
        <v>2536.8334639999998</v>
      </c>
      <c r="T14" s="424">
        <f>'ANALYSE - ERP =&gt; CATEGORIE'!$EY$18</f>
        <v>6325.1178418831169</v>
      </c>
      <c r="U14" s="427">
        <f>'ANALYSE - ERP =&gt; CATEGORIE'!$GF$18</f>
        <v>355.39474999999993</v>
      </c>
      <c r="V14" s="427">
        <f>'ANALYSE - ERP =&gt; CATEGORIE'!$GI$18</f>
        <v>3241.2657204545449</v>
      </c>
      <c r="W14" s="427">
        <f>'ANALYSE - ERP =&gt; CATEGORIE'!$GL$18</f>
        <v>704.36297142857143</v>
      </c>
      <c r="X14" s="427">
        <f>'ANALYSE - ERP =&gt; CATEGORIE'!$GO$18</f>
        <v>2024.0944</v>
      </c>
      <c r="Z14" s="427">
        <f>'ANALYSE - ERP =&gt; CATEGORIE'!$EZ$18</f>
        <v>1628.4151999999999</v>
      </c>
      <c r="AA14" s="427">
        <f>'ANALYSE - ERP =&gt; CATEGORIE'!$GG$18</f>
        <v>83.091520000000003</v>
      </c>
      <c r="AB14" s="427">
        <f>'ANALYSE - ERP =&gt; CATEGORIE'!$GJ$18</f>
        <v>884.02233600000011</v>
      </c>
      <c r="AC14" s="427">
        <f>'ANALYSE - ERP =&gt; CATEGORIE'!$GM$18</f>
        <v>148.56227999999999</v>
      </c>
      <c r="AD14" s="427">
        <f>'ANALYSE - ERP =&gt; CATEGORIE'!$GP$18</f>
        <v>512.73906399999998</v>
      </c>
      <c r="AF14" s="430">
        <f>'ANALYSE - ERP =&gt; CATEGORIE'!$Q$18</f>
        <v>1</v>
      </c>
    </row>
  </sheetData>
  <pageMargins left="3.937007874015748E-2" right="3.937007874015748E-2" top="7.874015748031496E-2" bottom="7.874015748031496E-2" header="0.11811023622047249" footer="0.11811023622047249"/>
  <pageSetup paperSize="8" scale="68" fitToHeight="2" orientation="landscape"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8" tint="-0.249977111117893"/>
    <pageSetUpPr fitToPage="1"/>
  </sheetPr>
  <dimension ref="A1:BB14"/>
  <sheetViews>
    <sheetView workbookViewId="0"/>
  </sheetViews>
  <sheetFormatPr baseColWidth="10" defaultColWidth="9.140625" defaultRowHeight="15"/>
  <cols>
    <col min="1" max="1" width="6.140625" style="934" customWidth="1"/>
    <col min="2" max="2" width="5.7109375" style="934" customWidth="1"/>
    <col min="3" max="3" width="5.5703125" style="934" customWidth="1"/>
    <col min="4" max="4" width="6" style="934" customWidth="1"/>
    <col min="5" max="5" width="30.28515625" style="43" customWidth="1"/>
    <col min="6" max="6" width="22" style="43" customWidth="1"/>
    <col min="7" max="7" width="45.140625" style="43" customWidth="1"/>
    <col min="8" max="8" width="1.7109375" style="933" customWidth="1"/>
    <col min="9" max="9" width="9.7109375" style="934" customWidth="1"/>
    <col min="10" max="10" width="1.7109375" style="933" customWidth="1"/>
    <col min="11" max="11" width="9.5703125" style="934" customWidth="1"/>
    <col min="12" max="12" width="9" style="934" customWidth="1"/>
    <col min="13" max="13" width="1.7109375" style="933" customWidth="1"/>
    <col min="14" max="14" width="9.42578125" style="934" customWidth="1"/>
    <col min="15" max="15" width="9" style="934" customWidth="1"/>
    <col min="16" max="16" width="10.42578125" style="934" customWidth="1"/>
    <col min="17" max="17" width="8.7109375" style="934" customWidth="1"/>
    <col min="18" max="18" width="1.7109375" style="933" customWidth="1"/>
    <col min="19" max="19" width="9" style="934" customWidth="1"/>
    <col min="20" max="20" width="8.85546875" style="934" customWidth="1"/>
    <col min="21" max="21" width="9.7109375" style="934" customWidth="1"/>
    <col min="22" max="22" width="10.42578125" style="934" customWidth="1"/>
    <col min="23" max="23" width="1.7109375" style="933" customWidth="1"/>
    <col min="24" max="24" width="8.140625" style="934" customWidth="1"/>
    <col min="25" max="25" width="9.85546875" style="934" customWidth="1"/>
    <col min="26" max="26" width="9" style="934" customWidth="1"/>
    <col min="27" max="27" width="9.42578125" style="934" customWidth="1"/>
    <col min="28" max="28" width="1.7109375" style="933" customWidth="1"/>
    <col min="29" max="29" width="12.5703125" style="934" customWidth="1"/>
    <col min="30" max="54" width="9.140625" style="933" customWidth="1"/>
  </cols>
  <sheetData>
    <row r="1" spans="1:29" s="438" customFormat="1" ht="18.75" customHeight="1">
      <c r="A1" s="933"/>
      <c r="B1" s="933"/>
      <c r="C1" s="933"/>
      <c r="D1" s="477"/>
      <c r="E1" s="479"/>
      <c r="F1" s="478" t="s">
        <v>7948</v>
      </c>
      <c r="G1" s="479"/>
      <c r="H1" s="933"/>
      <c r="I1" s="933"/>
      <c r="J1" s="933"/>
      <c r="K1" s="933"/>
      <c r="L1" s="933"/>
      <c r="M1" s="933"/>
      <c r="N1" s="460" t="s">
        <v>7949</v>
      </c>
      <c r="O1" s="440"/>
      <c r="P1" s="440"/>
      <c r="Q1" s="436"/>
      <c r="R1" s="933"/>
      <c r="S1" s="461" t="s">
        <v>7949</v>
      </c>
      <c r="T1" s="434"/>
      <c r="U1" s="439"/>
      <c r="V1" s="434"/>
      <c r="W1" s="933"/>
      <c r="X1" s="462" t="s">
        <v>7949</v>
      </c>
      <c r="Y1" s="435"/>
      <c r="Z1" s="441"/>
      <c r="AA1" s="435"/>
      <c r="AB1" s="933"/>
      <c r="AC1" s="436"/>
    </row>
    <row r="2" spans="1:29" s="437" customFormat="1" ht="54.75" customHeight="1">
      <c r="A2" s="431" t="s">
        <v>7853</v>
      </c>
      <c r="B2" s="432" t="s">
        <v>7854</v>
      </c>
      <c r="C2" s="433" t="s">
        <v>7855</v>
      </c>
      <c r="D2" s="829" t="s">
        <v>2044</v>
      </c>
      <c r="E2" s="829" t="s">
        <v>6714</v>
      </c>
      <c r="F2" s="829" t="s">
        <v>6715</v>
      </c>
      <c r="G2" s="829" t="s">
        <v>2181</v>
      </c>
      <c r="H2" s="453"/>
      <c r="I2" s="436" t="s">
        <v>7920</v>
      </c>
      <c r="J2" s="453"/>
      <c r="K2" s="434" t="s">
        <v>7860</v>
      </c>
      <c r="L2" s="435" t="s">
        <v>2534</v>
      </c>
      <c r="M2" s="453"/>
      <c r="N2" s="436" t="s">
        <v>7857</v>
      </c>
      <c r="O2" s="436" t="s">
        <v>7936</v>
      </c>
      <c r="P2" s="436" t="s">
        <v>7937</v>
      </c>
      <c r="Q2" s="436" t="s">
        <v>7938</v>
      </c>
      <c r="R2" s="453"/>
      <c r="S2" s="434" t="s">
        <v>7925</v>
      </c>
      <c r="T2" s="434" t="s">
        <v>7940</v>
      </c>
      <c r="U2" s="434" t="s">
        <v>7941</v>
      </c>
      <c r="V2" s="434" t="s">
        <v>7942</v>
      </c>
      <c r="W2" s="453"/>
      <c r="X2" s="435" t="s">
        <v>7930</v>
      </c>
      <c r="Y2" s="435" t="s">
        <v>7944</v>
      </c>
      <c r="Z2" s="435" t="s">
        <v>7945</v>
      </c>
      <c r="AA2" s="435" t="s">
        <v>7946</v>
      </c>
      <c r="AB2" s="453"/>
      <c r="AC2" s="436" t="s">
        <v>6711</v>
      </c>
    </row>
    <row r="3" spans="1:29">
      <c r="A3" s="405" t="s">
        <v>2535</v>
      </c>
      <c r="B3" s="405" t="s">
        <v>2535</v>
      </c>
      <c r="C3" s="405" t="s">
        <v>2535</v>
      </c>
      <c r="D3" s="405" t="s">
        <v>2090</v>
      </c>
      <c r="E3" s="405" t="s">
        <v>2086</v>
      </c>
      <c r="F3" s="405" t="s">
        <v>6728</v>
      </c>
      <c r="G3" s="405" t="s">
        <v>6729</v>
      </c>
      <c r="I3" s="426">
        <f>IFERROR(N3/5,"")</f>
        <v>41751.231230597339</v>
      </c>
      <c r="K3" s="790">
        <f t="shared" ref="K3:K14" si="0">IFERROR(S3/N3,"")</f>
        <v>0.81598992399606685</v>
      </c>
      <c r="L3" s="790">
        <f t="shared" ref="L3:L14" si="1">IFERROR(X3/N3,"")</f>
        <v>0.18401007600393307</v>
      </c>
      <c r="N3" s="426">
        <f>SUMPRODUCT(($AC$4:$AC$106),('ANALYSE - ERP =&gt; CATEGORIE'!$FA$8:$FA$110))</f>
        <v>208756.15615298669</v>
      </c>
      <c r="O3" s="426">
        <f>SUMPRODUCT(($AC$4:$AC$106),('ANALYSE - ERP =&gt; CATEGORIE'!$GQ$8:$GQ$110))</f>
        <v>156845.03127018284</v>
      </c>
      <c r="P3" s="426">
        <f>SUMPRODUCT(($AC$4:$AC$106),('ANALYSE - ERP =&gt; CATEGORIE'!$GT$8:$GT$110))</f>
        <v>41358.168715437125</v>
      </c>
      <c r="Q3" s="426">
        <f>SUMPRODUCT(($AC$4:$AC$106),('ANALYSE - ERP =&gt; CATEGORIE'!$GW$8:$GW$110))</f>
        <v>10552.956167366665</v>
      </c>
      <c r="S3" s="426">
        <f>SUMPRODUCT(($AC$4:$AC$106),('ANALYSE - ERP =&gt; CATEGORIE'!$FB$8:$FB$110))</f>
        <v>170342.91999298666</v>
      </c>
      <c r="T3" s="426">
        <f>SUMPRODUCT(($AC$4:$AC$106),('ANALYSE - ERP =&gt; CATEGORIE'!$GR$8:$GR$110))</f>
        <v>128742.1829011829</v>
      </c>
      <c r="U3" s="426">
        <f>SUMPRODUCT(($AC$4:$AC$106),('ANALYSE - ERP =&gt; CATEGORIE'!$GU$8:$GU$110))</f>
        <v>32905.360214037122</v>
      </c>
      <c r="V3" s="426">
        <f>SUMPRODUCT(($AC$4:$AC$106),('ANALYSE - ERP =&gt; CATEGORIE'!$GX$8:$GX$110))</f>
        <v>8695.3768777666683</v>
      </c>
      <c r="X3" s="426">
        <f>SUMPRODUCT(($AC$4:$AC$106),('ANALYSE - ERP =&gt; CATEGORIE'!$FC$8:$FC$110))</f>
        <v>38413.23616</v>
      </c>
      <c r="Y3" s="426">
        <f>SUMPRODUCT(($AC$4:$AC$106),('ANALYSE - ERP =&gt; CATEGORIE'!$GS$8:$GS$110))</f>
        <v>28102.848368999996</v>
      </c>
      <c r="Z3" s="426">
        <f>SUMPRODUCT(($AC$4:$AC$106),('ANALYSE - ERP =&gt; CATEGORIE'!$GV$8:$GV$110))</f>
        <v>8452.8085014000008</v>
      </c>
      <c r="AA3" s="426">
        <f>SUMPRODUCT(($AC$4:$AC$106),('ANALYSE - ERP =&gt; CATEGORIE'!$GY$8:$GY$110))</f>
        <v>1857.5792895999998</v>
      </c>
      <c r="AC3" s="428">
        <f>SUM('ANALYSE - ERP =&gt; CATEGORIE'!$Q$8:$Q$110)</f>
        <v>9</v>
      </c>
    </row>
    <row r="4" spans="1:29" ht="15" customHeight="1">
      <c r="A4" s="26">
        <v>1</v>
      </c>
      <c r="B4" s="26">
        <v>1</v>
      </c>
      <c r="C4" s="26">
        <v>2</v>
      </c>
      <c r="D4" s="495" t="s">
        <v>1670</v>
      </c>
      <c r="E4" s="496" t="s">
        <v>8010</v>
      </c>
      <c r="F4" s="496" t="s">
        <v>8011</v>
      </c>
      <c r="G4" s="408" t="str">
        <f>'ANALYSE - ERP =&gt; CATEGORIE'!$D$15</f>
        <v>Gymnases / salles multisports
Piscines couvertes
Salles de fitness / dojos
Patinoires couvertes
Grands stades avec tribunes
(Type football/rugby) 
Stades 
(Type athlétisme - Hors scolaire)
Terrains de sport
(Hors scolaire)
Hippodromes
Piscines extérieures 
(Hors campings, hôtels, résidences et établissement avec bassin intérieur)
Établissements thermaux
Centres de thalassothérapie / balnéothérapie / grands spas ouverts au public
Bases nautiques / centres nautiques avec vestiaires-douches
Bases de loisirs avec plages, douches et sanitaires
Centres équestres / manèges couverts avec accueil public</v>
      </c>
      <c r="I4" s="427">
        <f t="shared" ref="I4:I14" si="2">N4/5</f>
        <v>0</v>
      </c>
      <c r="K4" s="787" t="str">
        <f t="shared" si="0"/>
        <v/>
      </c>
      <c r="L4" s="787" t="str">
        <f t="shared" si="1"/>
        <v/>
      </c>
      <c r="N4" s="424">
        <f>'ANALYSE - ERP =&gt; CATEGORIE'!$FA$15</f>
        <v>0</v>
      </c>
      <c r="O4" s="427">
        <f>'ANALYSE - ERP =&gt; CATEGORIE'!$GQ$15</f>
        <v>0</v>
      </c>
      <c r="P4" s="427">
        <f>'ANALYSE - ERP =&gt; CATEGORIE'!$GT$15</f>
        <v>0</v>
      </c>
      <c r="Q4" s="427">
        <f>'ANALYSE - ERP =&gt; CATEGORIE'!$GW$15</f>
        <v>0</v>
      </c>
      <c r="S4" s="424">
        <f>'ANALYSE - ERP =&gt; CATEGORIE'!$FB$15</f>
        <v>0</v>
      </c>
      <c r="T4" s="427">
        <f>'ANALYSE - ERP =&gt; CATEGORIE'!$GR$15</f>
        <v>0</v>
      </c>
      <c r="U4" s="427">
        <f>'ANALYSE - ERP =&gt; CATEGORIE'!$GU$15</f>
        <v>0</v>
      </c>
      <c r="V4" s="427">
        <f>'ANALYSE - ERP =&gt; CATEGORIE'!$GX$15</f>
        <v>0</v>
      </c>
      <c r="X4" s="427">
        <f>'ANALYSE - ERP =&gt; CATEGORIE'!$FC$15</f>
        <v>0</v>
      </c>
      <c r="Y4" s="427">
        <f>'ANALYSE - ERP =&gt; CATEGORIE'!$GS$15</f>
        <v>0</v>
      </c>
      <c r="Z4" s="427">
        <f>'ANALYSE - ERP =&gt; CATEGORIE'!$GV$15</f>
        <v>0</v>
      </c>
      <c r="AA4" s="427">
        <f>'ANALYSE - ERP =&gt; CATEGORIE'!$GY$15</f>
        <v>0</v>
      </c>
      <c r="AC4" s="430">
        <f>'ANALYSE - ERP =&gt; CATEGORIE'!$Q$15</f>
        <v>0</v>
      </c>
    </row>
    <row r="5" spans="1:29" ht="15" customHeight="1">
      <c r="A5" s="26">
        <v>2</v>
      </c>
      <c r="B5" s="26">
        <v>2</v>
      </c>
      <c r="C5" s="26">
        <v>1</v>
      </c>
      <c r="D5" s="491" t="s">
        <v>2187</v>
      </c>
      <c r="E5" s="492" t="s">
        <v>8008</v>
      </c>
      <c r="F5" s="492" t="s">
        <v>8009</v>
      </c>
      <c r="G5" s="416" t="str">
        <f>'ANALYSE - ERP =&gt; CATEGORIE'!$D$11</f>
        <v>Cafés / bars / brasseries
Fast-food / cafétérias / food courts
Restaurants
(Hors établissements altitude, flottant, armée)
Salles de jeux / bowlings / billards
Discothèques / salles de danse
Centres commerciaux / malls
Marchés couverts
Casinos</v>
      </c>
      <c r="I5" s="427">
        <f t="shared" si="2"/>
        <v>445.42540249639251</v>
      </c>
      <c r="K5" s="787">
        <f t="shared" si="0"/>
        <v>0.87360936380260457</v>
      </c>
      <c r="L5" s="787">
        <f t="shared" si="1"/>
        <v>0.12639063619739549</v>
      </c>
      <c r="N5" s="424">
        <f>'ANALYSE - ERP =&gt; CATEGORIE'!$FA$11</f>
        <v>2227.1270124819625</v>
      </c>
      <c r="O5" s="427">
        <f>'ANALYSE - ERP =&gt; CATEGORIE'!$GQ$11</f>
        <v>706.67314266666665</v>
      </c>
      <c r="P5" s="427">
        <f>'ANALYSE - ERP =&gt; CATEGORIE'!$GT$11</f>
        <v>963.88549454545455</v>
      </c>
      <c r="Q5" s="427">
        <f>'ANALYSE - ERP =&gt; CATEGORIE'!$GW$11</f>
        <v>556.56837526984134</v>
      </c>
      <c r="S5" s="424">
        <f>'ANALYSE - ERP =&gt; CATEGORIE'!$FB$11</f>
        <v>1945.6390124819627</v>
      </c>
      <c r="T5" s="427">
        <f>'ANALYSE - ERP =&gt; CATEGORIE'!$GR$11</f>
        <v>619.09362266666665</v>
      </c>
      <c r="U5" s="427">
        <f>'ANALYSE - ERP =&gt; CATEGORIE'!$GU$11</f>
        <v>836.04405454545463</v>
      </c>
      <c r="V5" s="427">
        <f>'ANALYSE - ERP =&gt; CATEGORIE'!$GX$11</f>
        <v>490.50133526984132</v>
      </c>
      <c r="X5" s="427">
        <f>'ANALYSE - ERP =&gt; CATEGORIE'!$FC$11</f>
        <v>281.488</v>
      </c>
      <c r="Y5" s="427">
        <f>'ANALYSE - ERP =&gt; CATEGORIE'!$GS$11</f>
        <v>87.579520000000002</v>
      </c>
      <c r="Z5" s="427">
        <f>'ANALYSE - ERP =&gt; CATEGORIE'!$GV$11</f>
        <v>127.84144000000001</v>
      </c>
      <c r="AA5" s="427">
        <f>'ANALYSE - ERP =&gt; CATEGORIE'!$GY$11</f>
        <v>66.067040000000006</v>
      </c>
      <c r="AC5" s="430">
        <f>'ANALYSE - ERP =&gt; CATEGORIE'!$Q$11</f>
        <v>1</v>
      </c>
    </row>
    <row r="6" spans="1:29" ht="15" customHeight="1">
      <c r="A6" s="26">
        <v>3</v>
      </c>
      <c r="B6" s="26">
        <v>3</v>
      </c>
      <c r="C6" s="26">
        <v>3</v>
      </c>
      <c r="D6" s="493" t="s">
        <v>2241</v>
      </c>
      <c r="E6" s="494" t="s">
        <v>8012</v>
      </c>
      <c r="F6" s="494" t="s">
        <v>8013</v>
      </c>
      <c r="G6" s="409" t="str">
        <f>'ANALYSE - ERP =&gt; CATEGORIE'!$D$9</f>
        <v>Hôpitaux universitaires / CHU
Hôpitaux publics (Hors CHU, Universitaire, Militaire, Carcéral)
Hôpitaux privés
Cliniques
Centres de psychiatrie
Centres de rééducation
Maternités
Établissements médico-éducatifs
Centres de santé / centres médicaux
Maisons de santé
Foyers pour personnes handicapées
EHPAD
USLD
Résidences autonomie
Foyers-logements (Public)
Résidences services seniors (Privé)</v>
      </c>
      <c r="I6" s="427">
        <f t="shared" si="2"/>
        <v>38193.234939445938</v>
      </c>
      <c r="K6" s="787">
        <f t="shared" si="0"/>
        <v>0.81868519173672127</v>
      </c>
      <c r="L6" s="787">
        <f t="shared" si="1"/>
        <v>0.18131480826327875</v>
      </c>
      <c r="N6" s="424">
        <f>'ANALYSE - ERP =&gt; CATEGORIE'!$FA$9</f>
        <v>190966.1746972297</v>
      </c>
      <c r="O6" s="427">
        <f>'ANALYSE - ERP =&gt; CATEGORIE'!$GQ$9</f>
        <v>152144.99422124508</v>
      </c>
      <c r="P6" s="427">
        <f>'ANALYSE - ERP =&gt; CATEGORIE'!$GT$9</f>
        <v>29536.838432315151</v>
      </c>
      <c r="Q6" s="427">
        <f>'ANALYSE - ERP =&gt; CATEGORIE'!$GW$9</f>
        <v>9284.3420436694432</v>
      </c>
      <c r="S6" s="424">
        <f>'ANALYSE - ERP =&gt; CATEGORIE'!$FB$9</f>
        <v>156341.17934722971</v>
      </c>
      <c r="T6" s="427">
        <f>'ANALYSE - ERP =&gt; CATEGORIE'!$GR$9</f>
        <v>125040.07975484512</v>
      </c>
      <c r="U6" s="427">
        <f>'ANALYSE - ERP =&gt; CATEGORIE'!$GU$9</f>
        <v>23636.732316115151</v>
      </c>
      <c r="V6" s="427">
        <f>'ANALYSE - ERP =&gt; CATEGORIE'!$GX$9</f>
        <v>7664.367276269445</v>
      </c>
      <c r="X6" s="427">
        <f>'ANALYSE - ERP =&gt; CATEGORIE'!$FC$9</f>
        <v>34624.995349999997</v>
      </c>
      <c r="Y6" s="427">
        <f>'ANALYSE - ERP =&gt; CATEGORIE'!$GS$9</f>
        <v>27104.914466399998</v>
      </c>
      <c r="Z6" s="427">
        <f>'ANALYSE - ERP =&gt; CATEGORIE'!$GV$9</f>
        <v>5900.1061162000005</v>
      </c>
      <c r="AA6" s="427">
        <f>'ANALYSE - ERP =&gt; CATEGORIE'!$GY$9</f>
        <v>1619.9747673999998</v>
      </c>
      <c r="AC6" s="430">
        <f>'ANALYSE - ERP =&gt; CATEGORIE'!$Q$9</f>
        <v>1</v>
      </c>
    </row>
    <row r="7" spans="1:29" ht="15" customHeight="1">
      <c r="A7" s="26">
        <v>4</v>
      </c>
      <c r="B7" s="26">
        <v>4</v>
      </c>
      <c r="C7" s="26">
        <v>5</v>
      </c>
      <c r="D7" s="505" t="s">
        <v>7117</v>
      </c>
      <c r="E7" s="506" t="s">
        <v>8020</v>
      </c>
      <c r="F7" s="506" t="s">
        <v>8021</v>
      </c>
      <c r="G7" s="415" t="str">
        <f>'ANALYSE - ERP =&gt; CATEGORIE'!$D$13</f>
        <v>Hôtels
Pensions de famille
Résidences de tourisme
Hôtels-restaurants d’altitude
Refuges de montagne
Auberges de jeunesse
Campings
Aires d’accueil des gens du voyage
Centres d’hébergement d’urgence / accueils de nuit
CHRS / centres d’hébergement et de réinsertion sociale
CADA / HUDA / CAES / centres d’accueil pour demandeurs d’asile
Foyers de jeunes travailleurs / résidences sociales / foyers de travailleurs migrants
Accueils de jour / haltes de jour avec douches et sanitaires
Cabinets dentaires / centres dentaires
Laboratoires de biologie médicale recevant du public
Centres d’imagerie médicale recevant du public
Centres de dialyse ambulatoire / unités d’autodialyse
Villages de vacances / clubs vacances / centres de vacances familiaux</v>
      </c>
      <c r="I7" s="427">
        <f t="shared" si="2"/>
        <v>0</v>
      </c>
      <c r="K7" s="787" t="str">
        <f t="shared" si="0"/>
        <v/>
      </c>
      <c r="L7" s="787" t="str">
        <f t="shared" si="1"/>
        <v/>
      </c>
      <c r="N7" s="424">
        <f>'ANALYSE - ERP =&gt; CATEGORIE'!$FA$13</f>
        <v>0</v>
      </c>
      <c r="O7" s="427">
        <f>'ANALYSE - ERP =&gt; CATEGORIE'!$GQ$13</f>
        <v>0</v>
      </c>
      <c r="P7" s="427">
        <f>'ANALYSE - ERP =&gt; CATEGORIE'!$GT$13</f>
        <v>0</v>
      </c>
      <c r="Q7" s="427">
        <f>'ANALYSE - ERP =&gt; CATEGORIE'!$GW$13</f>
        <v>0</v>
      </c>
      <c r="S7" s="424">
        <f>'ANALYSE - ERP =&gt; CATEGORIE'!$FB$13</f>
        <v>0</v>
      </c>
      <c r="T7" s="427">
        <f>'ANALYSE - ERP =&gt; CATEGORIE'!$GR$13</f>
        <v>0</v>
      </c>
      <c r="U7" s="427">
        <f>'ANALYSE - ERP =&gt; CATEGORIE'!$GU$13</f>
        <v>0</v>
      </c>
      <c r="V7" s="427">
        <f>'ANALYSE - ERP =&gt; CATEGORIE'!$GX$13</f>
        <v>0</v>
      </c>
      <c r="X7" s="427">
        <f>'ANALYSE - ERP =&gt; CATEGORIE'!$FC$13</f>
        <v>0</v>
      </c>
      <c r="Y7" s="427">
        <f>'ANALYSE - ERP =&gt; CATEGORIE'!$GS$13</f>
        <v>0</v>
      </c>
      <c r="Z7" s="427">
        <f>'ANALYSE - ERP =&gt; CATEGORIE'!$GV$13</f>
        <v>0</v>
      </c>
      <c r="AA7" s="427">
        <f>'ANALYSE - ERP =&gt; CATEGORIE'!$GY$13</f>
        <v>0</v>
      </c>
      <c r="AC7" s="430">
        <f>'ANALYSE - ERP =&gt; CATEGORIE'!$Q$13</f>
        <v>0</v>
      </c>
    </row>
    <row r="8" spans="1:29" ht="15" customHeight="1">
      <c r="A8" s="26">
        <v>5</v>
      </c>
      <c r="B8" s="26">
        <v>5</v>
      </c>
      <c r="C8" s="26">
        <v>4</v>
      </c>
      <c r="D8" s="497" t="s">
        <v>6739</v>
      </c>
      <c r="E8" s="498" t="s">
        <v>8006</v>
      </c>
      <c r="F8" s="498" t="s">
        <v>8007</v>
      </c>
      <c r="G8" s="414" t="str">
        <f>'ANALYSE - ERP =&gt; CATEGORIE'!$D$8</f>
        <v>Crèches
Écoles maternelles
Écoles primaires
Collèges (vestiaires EPS inclus)
Lycées (vestiaires EPS inclus)
Universités
Grandes écoles
Internats scolaires
Résidences étudiantes et dortoirs
Centres de loisirs sans hébergement
Centres de vacances / colonies
Centres de formation / CFA</v>
      </c>
      <c r="I8" s="427">
        <f t="shared" si="2"/>
        <v>0</v>
      </c>
      <c r="K8" s="787" t="str">
        <f t="shared" si="0"/>
        <v/>
      </c>
      <c r="L8" s="787" t="str">
        <f t="shared" si="1"/>
        <v/>
      </c>
      <c r="N8" s="424">
        <f>'ANALYSE - ERP =&gt; CATEGORIE'!$FA$8</f>
        <v>0</v>
      </c>
      <c r="O8" s="427">
        <f>'ANALYSE - ERP =&gt; CATEGORIE'!$GQ$8</f>
        <v>0</v>
      </c>
      <c r="P8" s="427">
        <f>'ANALYSE - ERP =&gt; CATEGORIE'!$GT$8</f>
        <v>0</v>
      </c>
      <c r="Q8" s="427">
        <f>'ANALYSE - ERP =&gt; CATEGORIE'!$GW$8</f>
        <v>0</v>
      </c>
      <c r="S8" s="424">
        <f>'ANALYSE - ERP =&gt; CATEGORIE'!$FB$8</f>
        <v>0</v>
      </c>
      <c r="T8" s="427">
        <f>'ANALYSE - ERP =&gt; CATEGORIE'!$GR$8</f>
        <v>0</v>
      </c>
      <c r="U8" s="427">
        <f>'ANALYSE - ERP =&gt; CATEGORIE'!$GU$8</f>
        <v>0</v>
      </c>
      <c r="V8" s="427">
        <f>'ANALYSE - ERP =&gt; CATEGORIE'!$GX$8</f>
        <v>0</v>
      </c>
      <c r="X8" s="427">
        <f>'ANALYSE - ERP =&gt; CATEGORIE'!$FC$8</f>
        <v>0</v>
      </c>
      <c r="Y8" s="427">
        <f>'ANALYSE - ERP =&gt; CATEGORIE'!$GS$8</f>
        <v>0</v>
      </c>
      <c r="Z8" s="427">
        <f>'ANALYSE - ERP =&gt; CATEGORIE'!$GV$8</f>
        <v>0</v>
      </c>
      <c r="AA8" s="427">
        <f>'ANALYSE - ERP =&gt; CATEGORIE'!$GY$8</f>
        <v>0</v>
      </c>
      <c r="AC8" s="430">
        <f>'ANALYSE - ERP =&gt; CATEGORIE'!$Q$8</f>
        <v>0</v>
      </c>
    </row>
    <row r="9" spans="1:29" ht="15" customHeight="1">
      <c r="A9" s="26">
        <v>6</v>
      </c>
      <c r="B9" s="26">
        <v>6</v>
      </c>
      <c r="C9" s="26">
        <v>6</v>
      </c>
      <c r="D9" s="501" t="s">
        <v>2264</v>
      </c>
      <c r="E9" s="502" t="s">
        <v>8014</v>
      </c>
      <c r="F9" s="502" t="s">
        <v>8015</v>
      </c>
      <c r="G9" s="408" t="str">
        <f>'ANALYSE - ERP =&gt; CATEGORIE'!$D$12</f>
        <v>Bureaux (&gt;50 personnes, tertiaire privé + logistique hors usines)
Usines 
(&gt;50 personnes - Hors Ateliers industriels)
Garages / ateliers de réparation automobile recevant du public
Ateliers industriels / de maintenance (&gt;50 personnes)
Centres de stockage / entrepôts / plateformes logistiques (&gt;50 personnes)</v>
      </c>
      <c r="I9" s="427">
        <f t="shared" si="2"/>
        <v>11079.257169504039</v>
      </c>
      <c r="K9" s="787">
        <f t="shared" si="0"/>
        <v>0.78320246987212749</v>
      </c>
      <c r="L9" s="787">
        <f t="shared" si="1"/>
        <v>0.21679753012787256</v>
      </c>
      <c r="N9" s="424">
        <f>'ANALYSE - ERP =&gt; CATEGORIE'!$FA$12</f>
        <v>55396.285847520194</v>
      </c>
      <c r="O9" s="427">
        <f>'ANALYSE - ERP =&gt; CATEGORIE'!$GQ$12</f>
        <v>19431.857111765152</v>
      </c>
      <c r="P9" s="427">
        <f>'ANALYSE - ERP =&gt; CATEGORIE'!$GT$12</f>
        <v>23262.817647727275</v>
      </c>
      <c r="Q9" s="427">
        <f>'ANALYSE - ERP =&gt; CATEGORIE'!$GW$12</f>
        <v>12701.611088027779</v>
      </c>
      <c r="S9" s="424">
        <f>'ANALYSE - ERP =&gt; CATEGORIE'!$FB$12</f>
        <v>43386.507897520198</v>
      </c>
      <c r="T9" s="427">
        <f>'ANALYSE - ERP =&gt; CATEGORIE'!$GR$12</f>
        <v>15340.481044265152</v>
      </c>
      <c r="U9" s="427">
        <f>'ANALYSE - ERP =&gt; CATEGORIE'!$GU$12</f>
        <v>18106.68193972727</v>
      </c>
      <c r="V9" s="427">
        <f>'ANALYSE - ERP =&gt; CATEGORIE'!$GX$12</f>
        <v>9939.3449135277788</v>
      </c>
      <c r="X9" s="427">
        <f>'ANALYSE - ERP =&gt; CATEGORIE'!$FC$12</f>
        <v>12009.77795</v>
      </c>
      <c r="Y9" s="427">
        <f>'ANALYSE - ERP =&gt; CATEGORIE'!$GS$12</f>
        <v>4091.3760674999999</v>
      </c>
      <c r="Z9" s="427">
        <f>'ANALYSE - ERP =&gt; CATEGORIE'!$GV$12</f>
        <v>5156.1357079999989</v>
      </c>
      <c r="AA9" s="427">
        <f>'ANALYSE - ERP =&gt; CATEGORIE'!$GY$12</f>
        <v>2762.2661745</v>
      </c>
      <c r="AC9" s="430">
        <f>'ANALYSE - ERP =&gt; CATEGORIE'!$Q$12</f>
        <v>1</v>
      </c>
    </row>
    <row r="10" spans="1:29" ht="15" customHeight="1">
      <c r="A10" s="26">
        <v>7</v>
      </c>
      <c r="B10" s="26">
        <v>7</v>
      </c>
      <c r="C10" s="26">
        <v>7</v>
      </c>
      <c r="D10" s="499" t="s">
        <v>3662</v>
      </c>
      <c r="E10" s="500" t="s">
        <v>8018</v>
      </c>
      <c r="F10" s="500" t="s">
        <v>8019</v>
      </c>
      <c r="G10" s="411" t="str">
        <f>'ANALYSE - ERP =&gt; CATEGORIE'!$D$10</f>
        <v>Cinémas
Théâtres
Musées
Salles de spectacle / auditoriums
Salles de conférence / réunion
Salles polyvalentes / salles des fêtes
Bibliothèques / médiathèques
Foires / salons
Halls d’exposition
Chapiteaux / tentes / structures
Structures gonflables
Parcs d’attractions / parcs à thèmes fixes
Parcs zoologiques / parcs animaliers ouverts au public
Aquariums ouverts au public</v>
      </c>
      <c r="I10" s="427">
        <f t="shared" si="2"/>
        <v>867.45257274866367</v>
      </c>
      <c r="K10" s="787">
        <f t="shared" si="0"/>
        <v>0.79634946560797759</v>
      </c>
      <c r="L10" s="787">
        <f t="shared" si="1"/>
        <v>0.20365053439202238</v>
      </c>
      <c r="N10" s="424">
        <f>'ANALYSE - ERP =&gt; CATEGORIE'!$FA$10</f>
        <v>4337.2628637433181</v>
      </c>
      <c r="O10" s="427">
        <f>'ANALYSE - ERP =&gt; CATEGORIE'!$GQ$10</f>
        <v>1624.8027570513987</v>
      </c>
      <c r="P10" s="427">
        <f>'ANALYSE - ERP =&gt; CATEGORIE'!$GT$10</f>
        <v>2136.1520133946974</v>
      </c>
      <c r="Q10" s="427">
        <f>'ANALYSE - ERP =&gt; CATEGORIE'!$GW$10</f>
        <v>576.30809329722217</v>
      </c>
      <c r="S10" s="424">
        <f>'ANALYSE - ERP =&gt; CATEGORIE'!$FB$10</f>
        <v>3453.9769637433178</v>
      </c>
      <c r="T10" s="427">
        <f>'ANALYSE - ERP =&gt; CATEGORIE'!$GR$10</f>
        <v>1307.0719410513987</v>
      </c>
      <c r="U10" s="427">
        <f>'ANALYSE - ERP =&gt; CATEGORIE'!$GU$10</f>
        <v>1683.5745371946969</v>
      </c>
      <c r="V10" s="427">
        <f>'ANALYSE - ERP =&gt; CATEGORIE'!$GX$10</f>
        <v>463.33048549722224</v>
      </c>
      <c r="X10" s="427">
        <f>'ANALYSE - ERP =&gt; CATEGORIE'!$FC$10</f>
        <v>883.28590000000008</v>
      </c>
      <c r="Y10" s="427">
        <f>'ANALYSE - ERP =&gt; CATEGORIE'!$GS$10</f>
        <v>317.73081600000006</v>
      </c>
      <c r="Z10" s="427">
        <f>'ANALYSE - ERP =&gt; CATEGORIE'!$GV$10</f>
        <v>452.57747620000004</v>
      </c>
      <c r="AA10" s="427">
        <f>'ANALYSE - ERP =&gt; CATEGORIE'!$GY$10</f>
        <v>112.9776078</v>
      </c>
      <c r="AC10" s="430">
        <f>'ANALYSE - ERP =&gt; CATEGORIE'!$Q$10</f>
        <v>1</v>
      </c>
    </row>
    <row r="11" spans="1:29" s="45" customFormat="1" ht="15" customHeight="1">
      <c r="A11" s="26">
        <v>8</v>
      </c>
      <c r="B11" s="26">
        <v>8</v>
      </c>
      <c r="C11" s="26">
        <v>8</v>
      </c>
      <c r="D11" s="509" t="s">
        <v>4908</v>
      </c>
      <c r="E11" s="510" t="s">
        <v>8024</v>
      </c>
      <c r="F11" s="510" t="s">
        <v>8025</v>
      </c>
      <c r="G11" s="410" t="str">
        <f>'ANALYSE - ERP =&gt; CATEGORIE'!$D$17</f>
        <v>Locaux de sûreté, garde à vue et zones opérationnelles
Postes de proximité et antennes avec accueil public
Salles de réunion, de prévention ou de conférence ouvertes au public
Unités d'hébergement des militaires &amp; réservistes
Centres de recrutement et bureaux d’information
Restaurants ou équipements sportifs ouverts au public sur emprise militaire
Hôpitaux d’instruction des armées et centres médicaux recevant du public
Salles de conférence, auditoriums et espaces événementiels ouverts au public
Maisons d’arrêt
Centres de détention
Maisons centrales
Centres pénitentiaires
Centres de semi-liberté
Centres éducatifs fermés
Centres pour peines aménagées
(absorbés par autres centres carcéraux)
Unités hospitalières sécurisées
Palais de justice et bâtiments judiciaires multi-usages
Maisons de justice et du droit
Tribunaux de commerce autonomes
Conseils de prud’hommes autonomes
Autres bâtiments judiciaires autonomes recevant du public</v>
      </c>
      <c r="H11" s="685"/>
      <c r="I11" s="427">
        <f t="shared" si="2"/>
        <v>1356.0354901727274</v>
      </c>
      <c r="J11" s="685"/>
      <c r="K11" s="787">
        <f t="shared" si="0"/>
        <v>0.71520037580225326</v>
      </c>
      <c r="L11" s="787">
        <f t="shared" si="1"/>
        <v>0.28479962419774668</v>
      </c>
      <c r="M11" s="685"/>
      <c r="N11" s="424">
        <f>'ANALYSE - ERP =&gt; CATEGORIE'!$FA$17</f>
        <v>6780.1774508636372</v>
      </c>
      <c r="O11" s="427">
        <f>'ANALYSE - ERP =&gt; CATEGORIE'!$GQ$17</f>
        <v>2072.4421492363635</v>
      </c>
      <c r="P11" s="427">
        <f>'ANALYSE - ERP =&gt; CATEGORIE'!$GT$17</f>
        <v>4552.6975903272723</v>
      </c>
      <c r="Q11" s="427">
        <f>'ANALYSE - ERP =&gt; CATEGORIE'!$GW$17</f>
        <v>155.03771129999998</v>
      </c>
      <c r="R11" s="685"/>
      <c r="S11" s="424">
        <f>'ANALYSE - ERP =&gt; CATEGORIE'!$FB$17</f>
        <v>4849.1854608636368</v>
      </c>
      <c r="T11" s="427">
        <f>'ANALYSE - ERP =&gt; CATEGORIE'!$GR$17</f>
        <v>1524.4242466363635</v>
      </c>
      <c r="U11" s="427">
        <f>'ANALYSE - ERP =&gt; CATEGORIE'!$GU$17</f>
        <v>3212.7509717272728</v>
      </c>
      <c r="V11" s="427">
        <f>'ANALYSE - ERP =&gt; CATEGORIE'!$GX$17</f>
        <v>112.01024249999999</v>
      </c>
      <c r="W11" s="685"/>
      <c r="X11" s="427">
        <f>'ANALYSE - ERP =&gt; CATEGORIE'!$FC$17</f>
        <v>1930.99199</v>
      </c>
      <c r="Y11" s="427">
        <f>'ANALYSE - ERP =&gt; CATEGORIE'!$GS$17</f>
        <v>548.01790260000007</v>
      </c>
      <c r="Z11" s="427">
        <f>'ANALYSE - ERP =&gt; CATEGORIE'!$GV$17</f>
        <v>1339.9466186</v>
      </c>
      <c r="AA11" s="427">
        <f>'ANALYSE - ERP =&gt; CATEGORIE'!$GY$17</f>
        <v>43.027468800000008</v>
      </c>
      <c r="AB11" s="685"/>
      <c r="AC11" s="430">
        <f>'ANALYSE - ERP =&gt; CATEGORIE'!$Q$17</f>
        <v>1</v>
      </c>
    </row>
    <row r="12" spans="1:29" ht="15" customHeight="1">
      <c r="A12" s="26">
        <v>9</v>
      </c>
      <c r="B12" s="26">
        <v>9</v>
      </c>
      <c r="C12" s="26">
        <v>9</v>
      </c>
      <c r="D12" s="507" t="s">
        <v>2285</v>
      </c>
      <c r="E12" s="508" t="s">
        <v>8022</v>
      </c>
      <c r="F12" s="508" t="s">
        <v>8023</v>
      </c>
      <c r="G12" s="408" t="str">
        <f>'ANALYSE - ERP =&gt; CATEGORIE'!$D$16</f>
        <v>Aires de service - Autoroutes
(Hors Aires de repos)
Aires de repos - Autoroutes
(Hors Aires de service)
Aéroports / aérogares
(&gt;1 000 passagers/an)
Gares ferroviaires et stations
Terminaux maritimes / fluviaux
Établissements flottants
Parcs de stationnement couverts
Ports de plaisance / capitaineries
Rames ferroviaires voyageurs
Aéronefs commerciaux
Ferries et navires à passagers 
Autocars
(Trajets longues distance)
Stations / espaces métro équipés de toilettes publiques (minimum observé RATP)</v>
      </c>
      <c r="I12" s="427">
        <f t="shared" si="2"/>
        <v>1068.8963982299999</v>
      </c>
      <c r="K12" s="787">
        <f t="shared" si="0"/>
        <v>0.83606034757889236</v>
      </c>
      <c r="L12" s="787">
        <f t="shared" si="1"/>
        <v>0.16393965242110761</v>
      </c>
      <c r="N12" s="424">
        <f>'ANALYSE - ERP =&gt; CATEGORIE'!$FA$16</f>
        <v>5344.4819911499999</v>
      </c>
      <c r="O12" s="427">
        <f>'ANALYSE - ERP =&gt; CATEGORIE'!$GQ$16</f>
        <v>871.29836864999993</v>
      </c>
      <c r="P12" s="427">
        <f>'ANALYSE - ERP =&gt; CATEGORIE'!$GT$16</f>
        <v>4075.5974634000008</v>
      </c>
      <c r="Q12" s="427">
        <f>'ANALYSE - ERP =&gt; CATEGORIE'!$GW$16</f>
        <v>397.58615910000003</v>
      </c>
      <c r="S12" s="424">
        <f>'ANALYSE - ERP =&gt; CATEGORIE'!$FB$16</f>
        <v>4468.3094711499998</v>
      </c>
      <c r="T12" s="427">
        <f>'ANALYSE - ERP =&gt; CATEGORIE'!$GR$16</f>
        <v>746.83820864999996</v>
      </c>
      <c r="U12" s="427">
        <f>'ANALYSE - ERP =&gt; CATEGORIE'!$GU$16</f>
        <v>3393.6023890000001</v>
      </c>
      <c r="V12" s="427">
        <f>'ANALYSE - ERP =&gt; CATEGORIE'!$GX$16</f>
        <v>327.86887350000006</v>
      </c>
      <c r="X12" s="427">
        <f>'ANALYSE - ERP =&gt; CATEGORIE'!$FC$16</f>
        <v>876.17252000000008</v>
      </c>
      <c r="Y12" s="427">
        <f>'ANALYSE - ERP =&gt; CATEGORIE'!$GS$16</f>
        <v>124.46015999999999</v>
      </c>
      <c r="Z12" s="427">
        <f>'ANALYSE - ERP =&gt; CATEGORIE'!$GV$16</f>
        <v>681.99507439999991</v>
      </c>
      <c r="AA12" s="427">
        <f>'ANALYSE - ERP =&gt; CATEGORIE'!$GY$16</f>
        <v>69.717285599999997</v>
      </c>
      <c r="AC12" s="430">
        <f>'ANALYSE - ERP =&gt; CATEGORIE'!$Q$16</f>
        <v>1</v>
      </c>
    </row>
    <row r="13" spans="1:29" ht="15" customHeight="1">
      <c r="A13" s="26">
        <v>10</v>
      </c>
      <c r="B13" s="26">
        <v>10</v>
      </c>
      <c r="C13" s="26">
        <v>10</v>
      </c>
      <c r="D13" s="503" t="s">
        <v>2278</v>
      </c>
      <c r="E13" s="504" t="s">
        <v>8016</v>
      </c>
      <c r="F13" s="504" t="s">
        <v>8017</v>
      </c>
      <c r="G13" s="415" t="str">
        <f>'ANALYSE - ERP =&gt; CATEGORIE'!$D$14</f>
        <v>Mairies / hôtels de ville
Préfectures / services administratifs
Maisons France Services
Guichets publics
Églises, cathédrales, basiliques et chapelles ouvertes au public
Monastères, abbayes et couvents ouverts au public
Temples protestants, évangéliques et salles de culte assimilées
Mosquées et salles de prière musulmanes
Synagogues et oratoires juifs ouverts au public
Temples bouddhistes, hindous et autres lieux de culte non abrahamiques ouverts au public
Salles du Royaume, centres cultuels pluriconfessionnels et lieux de culte polyvalents
Locaux associatifs recevant du public</v>
      </c>
      <c r="I13" s="427">
        <f t="shared" si="2"/>
        <v>85.325749999999999</v>
      </c>
      <c r="K13" s="787">
        <f t="shared" si="0"/>
        <v>0.92743105100160272</v>
      </c>
      <c r="L13" s="787">
        <f t="shared" si="1"/>
        <v>7.2568948998397317E-2</v>
      </c>
      <c r="N13" s="424">
        <f>'ANALYSE - ERP =&gt; CATEGORIE'!$FA$14</f>
        <v>426.62874999999997</v>
      </c>
      <c r="O13" s="427">
        <f>'ANALYSE - ERP =&gt; CATEGORIE'!$GQ$14</f>
        <v>62.683949999999996</v>
      </c>
      <c r="P13" s="427">
        <f>'ANALYSE - ERP =&gt; CATEGORIE'!$GT$14</f>
        <v>339.88720000000001</v>
      </c>
      <c r="Q13" s="427">
        <f>'ANALYSE - ERP =&gt; CATEGORIE'!$GW$14</f>
        <v>24.057600000000001</v>
      </c>
      <c r="S13" s="424">
        <f>'ANALYSE - ERP =&gt; CATEGORIE'!$FB$14</f>
        <v>395.66874999999999</v>
      </c>
      <c r="T13" s="427">
        <f>'ANALYSE - ERP =&gt; CATEGORIE'!$GR$14</f>
        <v>58.96875</v>
      </c>
      <c r="U13" s="427">
        <f>'ANALYSE - ERP =&gt; CATEGORIE'!$GU$14</f>
        <v>314.5</v>
      </c>
      <c r="V13" s="427">
        <f>'ANALYSE - ERP =&gt; CATEGORIE'!$GX$14</f>
        <v>22.2</v>
      </c>
      <c r="X13" s="427">
        <f>'ANALYSE - ERP =&gt; CATEGORIE'!$FC$14</f>
        <v>30.959999999999997</v>
      </c>
      <c r="Y13" s="427">
        <f>'ANALYSE - ERP =&gt; CATEGORIE'!$GS$14</f>
        <v>3.7151999999999994</v>
      </c>
      <c r="Z13" s="427">
        <f>'ANALYSE - ERP =&gt; CATEGORIE'!$GV$14</f>
        <v>25.387199999999996</v>
      </c>
      <c r="AA13" s="427">
        <f>'ANALYSE - ERP =&gt; CATEGORIE'!$GY$14</f>
        <v>1.8575999999999997</v>
      </c>
      <c r="AC13" s="430">
        <f>'ANALYSE - ERP =&gt; CATEGORIE'!$Q$14</f>
        <v>1</v>
      </c>
    </row>
    <row r="14" spans="1:29" ht="15" customHeight="1">
      <c r="A14" s="26">
        <v>11</v>
      </c>
      <c r="B14" s="26">
        <v>11</v>
      </c>
      <c r="C14" s="26">
        <v>11</v>
      </c>
      <c r="D14" s="501" t="s">
        <v>2163</v>
      </c>
      <c r="E14" s="502" t="s">
        <v>2163</v>
      </c>
      <c r="F14" s="502" t="s">
        <v>2164</v>
      </c>
      <c r="G14" s="410" t="str">
        <f>'ANALYSE - ERP =&gt; CATEGORIE'!$D$18</f>
        <v>Toilettes publiques (sur la voie publique)
Bains-douches municipaux / douches publiques fixes
Blocs sanitaires de plage / front de mer</v>
      </c>
      <c r="I14" s="427">
        <f t="shared" si="2"/>
        <v>180.28608</v>
      </c>
      <c r="K14" s="787">
        <f t="shared" si="0"/>
        <v>0.92586183026443314</v>
      </c>
      <c r="L14" s="787">
        <f t="shared" si="1"/>
        <v>7.4138169735566944E-2</v>
      </c>
      <c r="N14" s="424">
        <f>'ANALYSE - ERP =&gt; CATEGORIE'!$FA$18</f>
        <v>901.43039999999996</v>
      </c>
      <c r="O14" s="427">
        <f>'ANALYSE - ERP =&gt; CATEGORIE'!$GQ$18</f>
        <v>68.809823999999992</v>
      </c>
      <c r="P14" s="427">
        <f>'ANALYSE - ERP =&gt; CATEGORIE'!$GT$18</f>
        <v>716.99601600000005</v>
      </c>
      <c r="Q14" s="427">
        <f>'ANALYSE - ERP =&gt; CATEGORIE'!$GW$18</f>
        <v>115.62456000000002</v>
      </c>
      <c r="S14" s="424">
        <f>'ANALYSE - ERP =&gt; CATEGORIE'!$FB$18</f>
        <v>834.6</v>
      </c>
      <c r="T14" s="427">
        <f>'ANALYSE - ERP =&gt; CATEGORIE'!$GR$18</f>
        <v>64.8</v>
      </c>
      <c r="U14" s="427">
        <f>'ANALYSE - ERP =&gt; CATEGORIE'!$GU$18</f>
        <v>664.2</v>
      </c>
      <c r="V14" s="427">
        <f>'ANALYSE - ERP =&gt; CATEGORIE'!$GX$18</f>
        <v>105.60000000000002</v>
      </c>
      <c r="X14" s="427">
        <f>'ANALYSE - ERP =&gt; CATEGORIE'!$FC$18</f>
        <v>66.830399999999997</v>
      </c>
      <c r="Y14" s="427">
        <f>'ANALYSE - ERP =&gt; CATEGORIE'!$GS$18</f>
        <v>4.0098240000000001</v>
      </c>
      <c r="Z14" s="427">
        <f>'ANALYSE - ERP =&gt; CATEGORIE'!$GV$18</f>
        <v>52.796016000000002</v>
      </c>
      <c r="AA14" s="427">
        <f>'ANALYSE - ERP =&gt; CATEGORIE'!$GY$18</f>
        <v>10.024559999999999</v>
      </c>
      <c r="AC14" s="430">
        <f>'ANALYSE - ERP =&gt; CATEGORIE'!$Q$18</f>
        <v>1</v>
      </c>
    </row>
  </sheetData>
  <pageMargins left="3.937007874015748E-2" right="3.937007874015748E-2" top="7.874015748031496E-2" bottom="7.874015748031496E-2" header="0.11811023622047249" footer="0.11811023622047249"/>
  <pageSetup paperSize="8" scale="73" fitToHeight="2" orientation="landscape"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8" tint="-0.249977111117893"/>
    <pageSetUpPr fitToPage="1"/>
  </sheetPr>
  <dimension ref="A1:BE14"/>
  <sheetViews>
    <sheetView workbookViewId="0"/>
  </sheetViews>
  <sheetFormatPr baseColWidth="10" defaultColWidth="9.140625" defaultRowHeight="15"/>
  <cols>
    <col min="1" max="1" width="6.140625" style="934" customWidth="1"/>
    <col min="2" max="2" width="5.7109375" style="934" customWidth="1"/>
    <col min="3" max="3" width="5.5703125" style="934" customWidth="1"/>
    <col min="4" max="4" width="6" style="934" customWidth="1"/>
    <col min="5" max="5" width="30.28515625" style="43" customWidth="1"/>
    <col min="6" max="6" width="22.7109375" style="43" customWidth="1"/>
    <col min="7" max="7" width="45.140625" style="43" customWidth="1"/>
    <col min="8" max="8" width="1.7109375" style="933" customWidth="1"/>
    <col min="9" max="9" width="9.7109375" style="934" customWidth="1"/>
    <col min="10" max="10" width="1.7109375" style="933" customWidth="1"/>
    <col min="11" max="11" width="9.5703125" style="934" customWidth="1"/>
    <col min="12" max="12" width="9" style="934" customWidth="1"/>
    <col min="13" max="13" width="1.7109375" style="933" customWidth="1"/>
    <col min="14" max="14" width="9.42578125" style="934" customWidth="1"/>
    <col min="15" max="15" width="9" style="934" customWidth="1"/>
    <col min="16" max="16" width="10.42578125" style="934" customWidth="1"/>
    <col min="17" max="17" width="8.7109375" style="934" customWidth="1"/>
    <col min="18" max="18" width="8.140625" style="934" customWidth="1"/>
    <col min="19" max="19" width="1.7109375" style="933" customWidth="1"/>
    <col min="20" max="20" width="9" style="934" customWidth="1"/>
    <col min="21" max="21" width="8.85546875" style="934" customWidth="1"/>
    <col min="22" max="22" width="9.7109375" style="934" customWidth="1"/>
    <col min="23" max="23" width="10.42578125" style="934" customWidth="1"/>
    <col min="24" max="24" width="9" style="934" customWidth="1"/>
    <col min="25" max="25" width="1.7109375" style="933" customWidth="1"/>
    <col min="26" max="26" width="8.140625" style="934" customWidth="1"/>
    <col min="27" max="27" width="9.85546875" style="934" customWidth="1"/>
    <col min="28" max="28" width="9" style="934" customWidth="1"/>
    <col min="29" max="29" width="9.42578125" style="934" customWidth="1"/>
    <col min="30" max="30" width="7.28515625" style="934" customWidth="1"/>
    <col min="31" max="31" width="1.7109375" style="933" customWidth="1"/>
    <col min="32" max="32" width="12.5703125" style="934" customWidth="1"/>
    <col min="33" max="57" width="9.140625" style="933" customWidth="1"/>
  </cols>
  <sheetData>
    <row r="1" spans="1:32" s="438" customFormat="1" ht="18.75" customHeight="1">
      <c r="D1" s="477"/>
      <c r="E1" s="479"/>
      <c r="F1" s="478" t="s">
        <v>7950</v>
      </c>
      <c r="G1" s="479"/>
      <c r="H1" s="933"/>
      <c r="J1" s="933"/>
      <c r="M1" s="933"/>
      <c r="N1" s="436"/>
      <c r="O1" s="436"/>
      <c r="P1" s="440" t="s">
        <v>7919</v>
      </c>
      <c r="Q1" s="436"/>
      <c r="R1" s="436"/>
      <c r="S1" s="933"/>
      <c r="T1" s="434"/>
      <c r="U1" s="434"/>
      <c r="V1" s="439" t="s">
        <v>7919</v>
      </c>
      <c r="W1" s="434"/>
      <c r="X1" s="434"/>
      <c r="Y1" s="933"/>
      <c r="Z1" s="435"/>
      <c r="AA1" s="435"/>
      <c r="AB1" s="441" t="s">
        <v>7919</v>
      </c>
      <c r="AC1" s="435"/>
      <c r="AD1" s="435"/>
      <c r="AE1" s="933"/>
      <c r="AF1" s="436"/>
    </row>
    <row r="2" spans="1:32" s="437" customFormat="1" ht="54.75" customHeight="1">
      <c r="A2" s="431" t="s">
        <v>7853</v>
      </c>
      <c r="B2" s="432" t="s">
        <v>7854</v>
      </c>
      <c r="C2" s="433" t="s">
        <v>7855</v>
      </c>
      <c r="D2" s="829" t="s">
        <v>2044</v>
      </c>
      <c r="E2" s="829" t="s">
        <v>6714</v>
      </c>
      <c r="F2" s="829" t="s">
        <v>6715</v>
      </c>
      <c r="G2" s="829" t="s">
        <v>2181</v>
      </c>
      <c r="H2" s="453"/>
      <c r="I2" s="436" t="s">
        <v>7920</v>
      </c>
      <c r="J2" s="453"/>
      <c r="K2" s="434" t="s">
        <v>7860</v>
      </c>
      <c r="L2" s="435" t="s">
        <v>2534</v>
      </c>
      <c r="M2" s="453"/>
      <c r="N2" s="436" t="s">
        <v>7857</v>
      </c>
      <c r="O2" s="436" t="s">
        <v>7951</v>
      </c>
      <c r="P2" s="436" t="s">
        <v>7952</v>
      </c>
      <c r="Q2" s="436" t="s">
        <v>7953</v>
      </c>
      <c r="R2" s="436" t="s">
        <v>7954</v>
      </c>
      <c r="S2" s="453"/>
      <c r="T2" s="434" t="s">
        <v>7925</v>
      </c>
      <c r="U2" s="434" t="s">
        <v>7955</v>
      </c>
      <c r="V2" s="434" t="s">
        <v>7956</v>
      </c>
      <c r="W2" s="434" t="s">
        <v>7957</v>
      </c>
      <c r="X2" s="434" t="s">
        <v>7958</v>
      </c>
      <c r="Y2" s="453"/>
      <c r="Z2" s="435" t="s">
        <v>7930</v>
      </c>
      <c r="AA2" s="435" t="s">
        <v>7959</v>
      </c>
      <c r="AB2" s="435" t="s">
        <v>7960</v>
      </c>
      <c r="AC2" s="435" t="s">
        <v>7961</v>
      </c>
      <c r="AD2" s="435" t="s">
        <v>7962</v>
      </c>
      <c r="AE2" s="453"/>
      <c r="AF2" s="436" t="s">
        <v>6711</v>
      </c>
    </row>
    <row r="3" spans="1:32">
      <c r="A3" s="405" t="s">
        <v>2535</v>
      </c>
      <c r="B3" s="405" t="s">
        <v>2535</v>
      </c>
      <c r="C3" s="405" t="s">
        <v>2535</v>
      </c>
      <c r="D3" s="405" t="s">
        <v>2090</v>
      </c>
      <c r="E3" s="405" t="s">
        <v>2086</v>
      </c>
      <c r="F3" s="405" t="s">
        <v>6728</v>
      </c>
      <c r="G3" s="405" t="s">
        <v>6729</v>
      </c>
      <c r="I3" s="426">
        <f>IFERROR(N3/5,"")</f>
        <v>34854.09081863887</v>
      </c>
      <c r="K3" s="790">
        <f t="shared" ref="K3:K14" si="0">IFERROR(T3/N3,"")</f>
        <v>0.8230266898627171</v>
      </c>
      <c r="L3" s="790">
        <f t="shared" ref="L3:L14" si="1">IFERROR(Z3/N3,"")</f>
        <v>0.1769733101372829</v>
      </c>
      <c r="N3" s="426">
        <f>SUMPRODUCT(($AF$4:$AF$106),('ANALYSE - ERP =&gt; CATEGORIE'!$FD$8:$FD$110))</f>
        <v>174270.45409319433</v>
      </c>
      <c r="O3" s="426">
        <f>SUMPRODUCT(($AF$4:$AF$106),('ANALYSE - ERP =&gt; CATEGORIE'!$GZ$8:$GZ$110))</f>
        <v>21337.243168525602</v>
      </c>
      <c r="P3" s="426">
        <f>SUMPRODUCT(($AF$4:$AF$106),('ANALYSE - ERP =&gt; CATEGORIE'!$HC$8:$HC$110))</f>
        <v>80165.96985142534</v>
      </c>
      <c r="Q3" s="426">
        <f>SUMPRODUCT(($AF$4:$AF$106),('ANALYSE - ERP =&gt; CATEGORIE'!$HF$8:$HF$110))</f>
        <v>39276.012135459132</v>
      </c>
      <c r="R3" s="426">
        <f>SUMPRODUCT(($AF$4:$AF$106),('ANALYSE - ERP =&gt; CATEGORIE'!$HI$8:$HI$110))</f>
        <v>33491.228937784239</v>
      </c>
      <c r="T3" s="426">
        <f>SUMPRODUCT(($AF$4:$AF$106),('ANALYSE - ERP =&gt; CATEGORIE'!$FE$8:$FE$110))</f>
        <v>143429.23497319434</v>
      </c>
      <c r="U3" s="426">
        <f>SUMPRODUCT(($AF$4:$AF$106),('ANALYSE - ERP =&gt; CATEGORIE'!$HA$8:$HA$110))</f>
        <v>18367.837420625605</v>
      </c>
      <c r="V3" s="426">
        <f>SUMPRODUCT(($AF$4:$AF$106),('ANALYSE - ERP =&gt; CATEGORIE'!$HD$8:$HD$110))</f>
        <v>64604.452673325351</v>
      </c>
      <c r="W3" s="426">
        <f>SUMPRODUCT(($AF$4:$AF$106),('ANALYSE - ERP =&gt; CATEGORIE'!$HG$8:$HG$110))</f>
        <v>32449.211277659128</v>
      </c>
      <c r="X3" s="426">
        <f>SUMPRODUCT(($AF$4:$AF$106),('ANALYSE - ERP =&gt; CATEGORIE'!$HJ$8:$HJ$110))</f>
        <v>28007.733601584241</v>
      </c>
      <c r="Z3" s="426">
        <f>SUMPRODUCT(($AF$4:$AF$106),('ANALYSE - ERP =&gt; CATEGORIE'!$FF$8:$FF$110))</f>
        <v>30841.219120000002</v>
      </c>
      <c r="AA3" s="426">
        <f>SUMPRODUCT(($AF$4:$AF$106),('ANALYSE - ERP =&gt; CATEGORIE'!$HB$8:$HB$110))</f>
        <v>2969.4057479000003</v>
      </c>
      <c r="AB3" s="426">
        <f>SUMPRODUCT(($AF$4:$AF$106),('ANALYSE - ERP =&gt; CATEGORIE'!$HE$8:$HE$110))</f>
        <v>15561.517178100003</v>
      </c>
      <c r="AC3" s="426">
        <f>SUMPRODUCT(($AF$4:$AF$106),('ANALYSE - ERP =&gt; CATEGORIE'!$HH$8:$HH$110))</f>
        <v>6826.8008578000017</v>
      </c>
      <c r="AD3" s="426">
        <f>SUMPRODUCT(($AF$4:$AF$106),('ANALYSE - ERP =&gt; CATEGORIE'!$HK$8:$HK$110))</f>
        <v>5483.4953362000006</v>
      </c>
      <c r="AF3" s="428">
        <f>SUM('ANALYSE - ERP =&gt; CATEGORIE'!$Q$8:$Q$110)</f>
        <v>9</v>
      </c>
    </row>
    <row r="4" spans="1:32" ht="15" customHeight="1">
      <c r="A4" s="26">
        <v>1</v>
      </c>
      <c r="B4" s="26">
        <v>1</v>
      </c>
      <c r="C4" s="26">
        <v>2</v>
      </c>
      <c r="D4" s="491" t="s">
        <v>2187</v>
      </c>
      <c r="E4" s="492" t="s">
        <v>8008</v>
      </c>
      <c r="F4" s="492" t="s">
        <v>8009</v>
      </c>
      <c r="G4" s="408" t="str">
        <f>'ANALYSE - ERP =&gt; CATEGORIE'!$D$11</f>
        <v>Cafés / bars / brasseries
Fast-food / cafétérias / food courts
Restaurants
(Hors établissements altitude, flottant, armée)
Salles de jeux / bowlings / billards
Discothèques / salles de danse
Centres commerciaux / malls
Marchés couverts
Casinos</v>
      </c>
      <c r="I4" s="427">
        <f t="shared" ref="I4:I14" si="2">N4/5</f>
        <v>14932.017803656028</v>
      </c>
      <c r="K4" s="787">
        <f t="shared" si="0"/>
        <v>0.83646962800954261</v>
      </c>
      <c r="L4" s="787">
        <f t="shared" si="1"/>
        <v>0.16353037199045728</v>
      </c>
      <c r="N4" s="424">
        <f>'ANALYSE - ERP =&gt; CATEGORIE'!$FD$11</f>
        <v>74660.089018280138</v>
      </c>
      <c r="O4" s="427">
        <f>'ANALYSE - ERP =&gt; CATEGORIE'!$GZ$11</f>
        <v>6412.4730953333328</v>
      </c>
      <c r="P4" s="427">
        <f>'ANALYSE - ERP =&gt; CATEGORIE'!$HC$11</f>
        <v>33732.239815409092</v>
      </c>
      <c r="Q4" s="427">
        <f>'ANALYSE - ERP =&gt; CATEGORIE'!$HF$11</f>
        <v>16465.908623382144</v>
      </c>
      <c r="R4" s="427">
        <f>'ANALYSE - ERP =&gt; CATEGORIE'!$HI$11</f>
        <v>18049.467484155557</v>
      </c>
      <c r="T4" s="424">
        <f>'ANALYSE - ERP =&gt; CATEGORIE'!$FE$11</f>
        <v>62450.896888280127</v>
      </c>
      <c r="U4" s="427">
        <f>'ANALYSE - ERP =&gt; CATEGORIE'!$HA$11</f>
        <v>5666.0469772333336</v>
      </c>
      <c r="V4" s="427">
        <f>'ANALYSE - ERP =&gt; CATEGORIE'!$HD$11</f>
        <v>27785.878689409092</v>
      </c>
      <c r="W4" s="427">
        <f>'ANALYSE - ERP =&gt; CATEGORIE'!$HG$11</f>
        <v>13503.330200982144</v>
      </c>
      <c r="X4" s="427">
        <f>'ANALYSE - ERP =&gt; CATEGORIE'!$HJ$11</f>
        <v>15495.641020655557</v>
      </c>
      <c r="Z4" s="427">
        <f>'ANALYSE - ERP =&gt; CATEGORIE'!$FF$11</f>
        <v>12209.192130000005</v>
      </c>
      <c r="AA4" s="427">
        <f>'ANALYSE - ERP =&gt; CATEGORIE'!$HB$11</f>
        <v>746.42611810000017</v>
      </c>
      <c r="AB4" s="427">
        <f>'ANALYSE - ERP =&gt; CATEGORIE'!$HE$11</f>
        <v>5946.3611260000016</v>
      </c>
      <c r="AC4" s="427">
        <f>'ANALYSE - ERP =&gt; CATEGORIE'!$HH$11</f>
        <v>2962.5784224000013</v>
      </c>
      <c r="AD4" s="427">
        <f>'ANALYSE - ERP =&gt; CATEGORIE'!$HK$11</f>
        <v>2553.8264635</v>
      </c>
      <c r="AF4" s="430">
        <f>'ANALYSE - ERP =&gt; CATEGORIE'!$Q$11</f>
        <v>1</v>
      </c>
    </row>
    <row r="5" spans="1:32" ht="15" customHeight="1">
      <c r="A5" s="26">
        <v>2</v>
      </c>
      <c r="B5" s="26">
        <v>2</v>
      </c>
      <c r="C5" s="26">
        <v>1</v>
      </c>
      <c r="D5" s="497" t="s">
        <v>6739</v>
      </c>
      <c r="E5" s="498" t="s">
        <v>8006</v>
      </c>
      <c r="F5" s="498" t="s">
        <v>8007</v>
      </c>
      <c r="G5" s="416" t="str">
        <f>'ANALYSE - ERP =&gt; CATEGORIE'!$D$8</f>
        <v>Crèches
Écoles maternelles
Écoles primaires
Collèges (vestiaires EPS inclus)
Lycées (vestiaires EPS inclus)
Universités
Grandes écoles
Internats scolaires
Résidences étudiantes et dortoirs
Centres de loisirs sans hébergement
Centres de vacances / colonies
Centres de formation / CFA</v>
      </c>
      <c r="I5" s="427">
        <f t="shared" si="2"/>
        <v>0</v>
      </c>
      <c r="K5" s="787" t="str">
        <f t="shared" si="0"/>
        <v/>
      </c>
      <c r="L5" s="787" t="str">
        <f t="shared" si="1"/>
        <v/>
      </c>
      <c r="N5" s="424">
        <f>'ANALYSE - ERP =&gt; CATEGORIE'!$FD$8</f>
        <v>0</v>
      </c>
      <c r="O5" s="427">
        <f>'ANALYSE - ERP =&gt; CATEGORIE'!$GZ$8</f>
        <v>0</v>
      </c>
      <c r="P5" s="427">
        <f>'ANALYSE - ERP =&gt; CATEGORIE'!$HC$8</f>
        <v>0</v>
      </c>
      <c r="Q5" s="427">
        <f>'ANALYSE - ERP =&gt; CATEGORIE'!$HF$8</f>
        <v>0</v>
      </c>
      <c r="R5" s="427">
        <f>'ANALYSE - ERP =&gt; CATEGORIE'!$HI$8</f>
        <v>0</v>
      </c>
      <c r="T5" s="424">
        <f>'ANALYSE - ERP =&gt; CATEGORIE'!$FE$8</f>
        <v>0</v>
      </c>
      <c r="U5" s="427">
        <f>'ANALYSE - ERP =&gt; CATEGORIE'!$HA$8</f>
        <v>0</v>
      </c>
      <c r="V5" s="427">
        <f>'ANALYSE - ERP =&gt; CATEGORIE'!$HD$8</f>
        <v>0</v>
      </c>
      <c r="W5" s="427">
        <f>'ANALYSE - ERP =&gt; CATEGORIE'!$HG$8</f>
        <v>0</v>
      </c>
      <c r="X5" s="427">
        <f>'ANALYSE - ERP =&gt; CATEGORIE'!$HJ$8</f>
        <v>0</v>
      </c>
      <c r="Z5" s="427">
        <f>'ANALYSE - ERP =&gt; CATEGORIE'!$FF$8</f>
        <v>0</v>
      </c>
      <c r="AA5" s="427">
        <f>'ANALYSE - ERP =&gt; CATEGORIE'!$HB$8</f>
        <v>0</v>
      </c>
      <c r="AB5" s="427">
        <f>'ANALYSE - ERP =&gt; CATEGORIE'!$HE$8</f>
        <v>0</v>
      </c>
      <c r="AC5" s="427">
        <f>'ANALYSE - ERP =&gt; CATEGORIE'!$HH$8</f>
        <v>0</v>
      </c>
      <c r="AD5" s="427">
        <f>'ANALYSE - ERP =&gt; CATEGORIE'!$HK$8</f>
        <v>0</v>
      </c>
      <c r="AF5" s="430">
        <f>'ANALYSE - ERP =&gt; CATEGORIE'!$Q$8</f>
        <v>0</v>
      </c>
    </row>
    <row r="6" spans="1:32" ht="15" customHeight="1">
      <c r="A6" s="26">
        <v>3</v>
      </c>
      <c r="B6" s="26">
        <v>3</v>
      </c>
      <c r="C6" s="26">
        <v>4</v>
      </c>
      <c r="D6" s="495" t="s">
        <v>1670</v>
      </c>
      <c r="E6" s="496" t="s">
        <v>8010</v>
      </c>
      <c r="F6" s="496" t="s">
        <v>8011</v>
      </c>
      <c r="G6" s="409" t="str">
        <f>'ANALYSE - ERP =&gt; CATEGORIE'!$D$15</f>
        <v>Gymnases / salles multisports
Piscines couvertes
Salles de fitness / dojos
Patinoires couvertes
Grands stades avec tribunes
(Type football/rugby) 
Stades 
(Type athlétisme - Hors scolaire)
Terrains de sport
(Hors scolaire)
Hippodromes
Piscines extérieures 
(Hors campings, hôtels, résidences et établissement avec bassin intérieur)
Établissements thermaux
Centres de thalassothérapie / balnéothérapie / grands spas ouverts au public
Bases nautiques / centres nautiques avec vestiaires-douches
Bases de loisirs avec plages, douches et sanitaires
Centres équestres / manèges couverts avec accueil public</v>
      </c>
      <c r="I6" s="427">
        <f t="shared" si="2"/>
        <v>0</v>
      </c>
      <c r="K6" s="787" t="str">
        <f t="shared" si="0"/>
        <v/>
      </c>
      <c r="L6" s="787" t="str">
        <f t="shared" si="1"/>
        <v/>
      </c>
      <c r="N6" s="424">
        <f>'ANALYSE - ERP =&gt; CATEGORIE'!$FD$15</f>
        <v>0</v>
      </c>
      <c r="O6" s="427">
        <f>'ANALYSE - ERP =&gt; CATEGORIE'!$GZ$15</f>
        <v>0</v>
      </c>
      <c r="P6" s="427">
        <f>'ANALYSE - ERP =&gt; CATEGORIE'!$HC$15</f>
        <v>0</v>
      </c>
      <c r="Q6" s="427">
        <f>'ANALYSE - ERP =&gt; CATEGORIE'!$HF$15</f>
        <v>0</v>
      </c>
      <c r="R6" s="427">
        <f>'ANALYSE - ERP =&gt; CATEGORIE'!$HI$15</f>
        <v>0</v>
      </c>
      <c r="T6" s="424">
        <f>'ANALYSE - ERP =&gt; CATEGORIE'!$FE$15</f>
        <v>0</v>
      </c>
      <c r="U6" s="427">
        <f>'ANALYSE - ERP =&gt; CATEGORIE'!$HA$15</f>
        <v>0</v>
      </c>
      <c r="V6" s="427">
        <f>'ANALYSE - ERP =&gt; CATEGORIE'!$HD$15</f>
        <v>0</v>
      </c>
      <c r="W6" s="427">
        <f>'ANALYSE - ERP =&gt; CATEGORIE'!$HG$15</f>
        <v>0</v>
      </c>
      <c r="X6" s="427">
        <f>'ANALYSE - ERP =&gt; CATEGORIE'!$HJ$15</f>
        <v>0</v>
      </c>
      <c r="Z6" s="427">
        <f>'ANALYSE - ERP =&gt; CATEGORIE'!$FF$15</f>
        <v>0</v>
      </c>
      <c r="AA6" s="427">
        <f>'ANALYSE - ERP =&gt; CATEGORIE'!$HB$15</f>
        <v>0</v>
      </c>
      <c r="AB6" s="427">
        <f>'ANALYSE - ERP =&gt; CATEGORIE'!$HE$15</f>
        <v>0</v>
      </c>
      <c r="AC6" s="427">
        <f>'ANALYSE - ERP =&gt; CATEGORIE'!$HH$15</f>
        <v>0</v>
      </c>
      <c r="AD6" s="427">
        <f>'ANALYSE - ERP =&gt; CATEGORIE'!$HK$15</f>
        <v>0</v>
      </c>
      <c r="AF6" s="430">
        <f>'ANALYSE - ERP =&gt; CATEGORIE'!$Q$15</f>
        <v>0</v>
      </c>
    </row>
    <row r="7" spans="1:32" ht="15" customHeight="1">
      <c r="A7" s="26">
        <v>4</v>
      </c>
      <c r="B7" s="26">
        <v>4</v>
      </c>
      <c r="C7" s="26">
        <v>3</v>
      </c>
      <c r="D7" s="501" t="s">
        <v>2264</v>
      </c>
      <c r="E7" s="502" t="s">
        <v>8014</v>
      </c>
      <c r="F7" s="502" t="s">
        <v>8015</v>
      </c>
      <c r="G7" s="415" t="str">
        <f>'ANALYSE - ERP =&gt; CATEGORIE'!$D$12</f>
        <v>Bureaux (&gt;50 personnes, tertiaire privé + logistique hors usines)
Usines 
(&gt;50 personnes - Hors Ateliers industriels)
Garages / ateliers de réparation automobile recevant du public
Ateliers industriels / de maintenance (&gt;50 personnes)
Centres de stockage / entrepôts / plateformes logistiques (&gt;50 personnes)</v>
      </c>
      <c r="I7" s="427">
        <f t="shared" si="2"/>
        <v>17535.132216606056</v>
      </c>
      <c r="K7" s="787">
        <f t="shared" si="0"/>
        <v>0.81355014894590849</v>
      </c>
      <c r="L7" s="787">
        <f t="shared" si="1"/>
        <v>0.18644985105409145</v>
      </c>
      <c r="N7" s="424">
        <f>'ANALYSE - ERP =&gt; CATEGORIE'!$FD$12</f>
        <v>87675.661083030282</v>
      </c>
      <c r="O7" s="427">
        <f>'ANALYSE - ERP =&gt; CATEGORIE'!$GZ$12</f>
        <v>14051.591151772725</v>
      </c>
      <c r="P7" s="427">
        <f>'ANALYSE - ERP =&gt; CATEGORIE'!$HC$12</f>
        <v>39586.42541143269</v>
      </c>
      <c r="Q7" s="427">
        <f>'ANALYSE - ERP =&gt; CATEGORIE'!$HF$12</f>
        <v>21119.495047243057</v>
      </c>
      <c r="R7" s="427">
        <f>'ANALYSE - ERP =&gt; CATEGORIE'!$HI$12</f>
        <v>12918.149472581819</v>
      </c>
      <c r="T7" s="424">
        <f>'ANALYSE - ERP =&gt; CATEGORIE'!$FE$12</f>
        <v>71328.547133030283</v>
      </c>
      <c r="U7" s="427">
        <f>'ANALYSE - ERP =&gt; CATEGORIE'!$HA$12</f>
        <v>11953.941463772726</v>
      </c>
      <c r="V7" s="427">
        <f>'ANALYSE - ERP =&gt; CATEGORIE'!$HD$12</f>
        <v>31380.378923932694</v>
      </c>
      <c r="W7" s="427">
        <f>'ANALYSE - ERP =&gt; CATEGORIE'!$HG$12</f>
        <v>17548.728346243053</v>
      </c>
      <c r="X7" s="427">
        <f>'ANALYSE - ERP =&gt; CATEGORIE'!$HJ$12</f>
        <v>10445.498399081818</v>
      </c>
      <c r="Z7" s="427">
        <f>'ANALYSE - ERP =&gt; CATEGORIE'!$FF$12</f>
        <v>16347.113949999999</v>
      </c>
      <c r="AA7" s="427">
        <f>'ANALYSE - ERP =&gt; CATEGORIE'!$HB$12</f>
        <v>2097.649688</v>
      </c>
      <c r="AB7" s="427">
        <f>'ANALYSE - ERP =&gt; CATEGORIE'!$HE$12</f>
        <v>8206.0464874999998</v>
      </c>
      <c r="AC7" s="427">
        <f>'ANALYSE - ERP =&gt; CATEGORIE'!$HH$12</f>
        <v>3570.766701</v>
      </c>
      <c r="AD7" s="427">
        <f>'ANALYSE - ERP =&gt; CATEGORIE'!$HK$12</f>
        <v>2472.6510734999997</v>
      </c>
      <c r="AF7" s="430">
        <f>'ANALYSE - ERP =&gt; CATEGORIE'!$Q$12</f>
        <v>1</v>
      </c>
    </row>
    <row r="8" spans="1:32" ht="15" customHeight="1">
      <c r="A8" s="26">
        <v>5</v>
      </c>
      <c r="B8" s="26">
        <v>5</v>
      </c>
      <c r="C8" s="26">
        <v>5</v>
      </c>
      <c r="D8" s="499" t="s">
        <v>3662</v>
      </c>
      <c r="E8" s="500" t="s">
        <v>8018</v>
      </c>
      <c r="F8" s="500" t="s">
        <v>8019</v>
      </c>
      <c r="G8" s="414" t="str">
        <f>'ANALYSE - ERP =&gt; CATEGORIE'!$D$10</f>
        <v>Cinémas
Théâtres
Musées
Salles de spectacle / auditoriums
Salles de conférence / réunion
Salles polyvalentes / salles des fêtes
Bibliothèques / médiathèques
Foires / salons
Halls d’exposition
Chapiteaux / tentes / structures
Structures gonflables
Parcs d’attractions / parcs à thèmes fixes
Parcs zoologiques / parcs animaliers ouverts au public
Aquariums ouverts au public</v>
      </c>
      <c r="I8" s="427">
        <f t="shared" si="2"/>
        <v>6620.648010255155</v>
      </c>
      <c r="K8" s="787">
        <f t="shared" si="0"/>
        <v>0.82109111008993962</v>
      </c>
      <c r="L8" s="787">
        <f t="shared" si="1"/>
        <v>0.17890888991006035</v>
      </c>
      <c r="N8" s="424">
        <f>'ANALYSE - ERP =&gt; CATEGORIE'!$FD$10</f>
        <v>33103.240051275774</v>
      </c>
      <c r="O8" s="427">
        <f>'ANALYSE - ERP =&gt; CATEGORIE'!$GZ$10</f>
        <v>2902.3155291272728</v>
      </c>
      <c r="P8" s="427">
        <f>'ANALYSE - ERP =&gt; CATEGORIE'!$HC$10</f>
        <v>16043.16516609674</v>
      </c>
      <c r="Q8" s="427">
        <f>'ANALYSE - ERP =&gt; CATEGORIE'!$HF$10</f>
        <v>6637.5627556222234</v>
      </c>
      <c r="R8" s="427">
        <f>'ANALYSE - ERP =&gt; CATEGORIE'!$HI$10</f>
        <v>7520.1966004295464</v>
      </c>
      <c r="T8" s="424">
        <f>'ANALYSE - ERP =&gt; CATEGORIE'!$FE$10</f>
        <v>27180.776121275776</v>
      </c>
      <c r="U8" s="427">
        <f>'ANALYSE - ERP =&gt; CATEGORIE'!$HA$10</f>
        <v>2509.2867221272727</v>
      </c>
      <c r="V8" s="427">
        <f>'ANALYSE - ERP =&gt; CATEGORIE'!$HD$10</f>
        <v>12869.150260596738</v>
      </c>
      <c r="W8" s="427">
        <f>'ANALYSE - ERP =&gt; CATEGORIE'!$HG$10</f>
        <v>5485.081407722223</v>
      </c>
      <c r="X8" s="427">
        <f>'ANALYSE - ERP =&gt; CATEGORIE'!$HJ$10</f>
        <v>6317.2577308295458</v>
      </c>
      <c r="Z8" s="427">
        <f>'ANALYSE - ERP =&gt; CATEGORIE'!$FF$10</f>
        <v>5922.4639299999981</v>
      </c>
      <c r="AA8" s="427">
        <f>'ANALYSE - ERP =&gt; CATEGORIE'!$HB$10</f>
        <v>393.02880700000003</v>
      </c>
      <c r="AB8" s="427">
        <f>'ANALYSE - ERP =&gt; CATEGORIE'!$HE$10</f>
        <v>3174.0149054999997</v>
      </c>
      <c r="AC8" s="427">
        <f>'ANALYSE - ERP =&gt; CATEGORIE'!$HH$10</f>
        <v>1152.4813478999999</v>
      </c>
      <c r="AD8" s="427">
        <f>'ANALYSE - ERP =&gt; CATEGORIE'!$HK$10</f>
        <v>1202.9388696000001</v>
      </c>
      <c r="AF8" s="430">
        <f>'ANALYSE - ERP =&gt; CATEGORIE'!$Q$10</f>
        <v>1</v>
      </c>
    </row>
    <row r="9" spans="1:32" ht="15" customHeight="1">
      <c r="A9" s="26">
        <v>6</v>
      </c>
      <c r="B9" s="26">
        <v>6</v>
      </c>
      <c r="C9" s="26">
        <v>6</v>
      </c>
      <c r="D9" s="503" t="s">
        <v>2278</v>
      </c>
      <c r="E9" s="504" t="s">
        <v>8016</v>
      </c>
      <c r="F9" s="504" t="s">
        <v>8017</v>
      </c>
      <c r="G9" s="408" t="str">
        <f>'ANALYSE - ERP =&gt; CATEGORIE'!$D$14</f>
        <v>Mairies / hôtels de ville
Préfectures / services administratifs
Maisons France Services
Guichets publics
Églises, cathédrales, basiliques et chapelles ouvertes au public
Monastères, abbayes et couvents ouverts au public
Temples protestants, évangéliques et salles de culte assimilées
Mosquées et salles de prière musulmanes
Synagogues et oratoires juifs ouverts au public
Temples bouddhistes, hindous et autres lieux de culte non abrahamiques ouverts au public
Salles du Royaume, centres cultuels pluriconfessionnels et lieux de culte polyvalents
Locaux associatifs recevant du public</v>
      </c>
      <c r="I9" s="427">
        <f t="shared" si="2"/>
        <v>2787.3028905461751</v>
      </c>
      <c r="K9" s="787">
        <f t="shared" si="0"/>
        <v>0.86067691124737966</v>
      </c>
      <c r="L9" s="787">
        <f t="shared" si="1"/>
        <v>0.13932308875262034</v>
      </c>
      <c r="N9" s="424">
        <f>'ANALYSE - ERP =&gt; CATEGORIE'!$FD$14</f>
        <v>13936.514452730875</v>
      </c>
      <c r="O9" s="427">
        <f>'ANALYSE - ERP =&gt; CATEGORIE'!$GZ$14</f>
        <v>1514.5851244636362</v>
      </c>
      <c r="P9" s="427">
        <f>'ANALYSE - ERP =&gt; CATEGORIE'!$HC$14</f>
        <v>6400.1515874615379</v>
      </c>
      <c r="Q9" s="427">
        <f>'ANALYSE - ERP =&gt; CATEGORIE'!$HF$14</f>
        <v>3191.9989236420633</v>
      </c>
      <c r="R9" s="427">
        <f>'ANALYSE - ERP =&gt; CATEGORIE'!$HI$14</f>
        <v>2829.7788171636366</v>
      </c>
      <c r="T9" s="424">
        <f>'ANALYSE - ERP =&gt; CATEGORIE'!$FE$14</f>
        <v>11994.836212730876</v>
      </c>
      <c r="U9" s="427">
        <f>'ANALYSE - ERP =&gt; CATEGORIE'!$HA$14</f>
        <v>1345.0225024636363</v>
      </c>
      <c r="V9" s="427">
        <f>'ANALYSE - ERP =&gt; CATEGORIE'!$HD$14</f>
        <v>5419.1577796615393</v>
      </c>
      <c r="W9" s="427">
        <f>'ANALYSE - ERP =&gt; CATEGORIE'!$HG$14</f>
        <v>2800.8965406420639</v>
      </c>
      <c r="X9" s="427">
        <f>'ANALYSE - ERP =&gt; CATEGORIE'!$HJ$14</f>
        <v>2429.7593899636363</v>
      </c>
      <c r="Z9" s="427">
        <f>'ANALYSE - ERP =&gt; CATEGORIE'!$FF$14</f>
        <v>1941.6782399999997</v>
      </c>
      <c r="AA9" s="427">
        <f>'ANALYSE - ERP =&gt; CATEGORIE'!$HB$14</f>
        <v>169.56262199999998</v>
      </c>
      <c r="AB9" s="427">
        <f>'ANALYSE - ERP =&gt; CATEGORIE'!$HE$14</f>
        <v>980.99380780000001</v>
      </c>
      <c r="AC9" s="427">
        <f>'ANALYSE - ERP =&gt; CATEGORIE'!$HH$14</f>
        <v>391.10238299999992</v>
      </c>
      <c r="AD9" s="427">
        <f>'ANALYSE - ERP =&gt; CATEGORIE'!$HK$14</f>
        <v>400.0194272</v>
      </c>
      <c r="AF9" s="430">
        <f>'ANALYSE - ERP =&gt; CATEGORIE'!$Q$14</f>
        <v>1</v>
      </c>
    </row>
    <row r="10" spans="1:32" ht="15" customHeight="1">
      <c r="A10" s="26">
        <v>7</v>
      </c>
      <c r="B10" s="26">
        <v>7</v>
      </c>
      <c r="C10" s="26">
        <v>8</v>
      </c>
      <c r="D10" s="505" t="s">
        <v>7117</v>
      </c>
      <c r="E10" s="506" t="s">
        <v>8020</v>
      </c>
      <c r="F10" s="506" t="s">
        <v>8021</v>
      </c>
      <c r="G10" s="411" t="str">
        <f>'ANALYSE - ERP =&gt; CATEGORIE'!$D$13</f>
        <v>Hôtels
Pensions de famille
Résidences de tourisme
Hôtels-restaurants d’altitude
Refuges de montagne
Auberges de jeunesse
Campings
Aires d’accueil des gens du voyage
Centres d’hébergement d’urgence / accueils de nuit
CHRS / centres d’hébergement et de réinsertion sociale
CADA / HUDA / CAES / centres d’accueil pour demandeurs d’asile
Foyers de jeunes travailleurs / résidences sociales / foyers de travailleurs migrants
Accueils de jour / haltes de jour avec douches et sanitaires
Cabinets dentaires / centres dentaires
Laboratoires de biologie médicale recevant du public
Centres d’imagerie médicale recevant du public
Centres de dialyse ambulatoire / unités d’autodialyse
Villages de vacances / clubs vacances / centres de vacances familiaux</v>
      </c>
      <c r="I10" s="427">
        <f t="shared" si="2"/>
        <v>0</v>
      </c>
      <c r="K10" s="787" t="str">
        <f t="shared" si="0"/>
        <v/>
      </c>
      <c r="L10" s="787" t="str">
        <f t="shared" si="1"/>
        <v/>
      </c>
      <c r="N10" s="424">
        <f>'ANALYSE - ERP =&gt; CATEGORIE'!$FD$13</f>
        <v>0</v>
      </c>
      <c r="O10" s="427">
        <f>'ANALYSE - ERP =&gt; CATEGORIE'!$GZ$13</f>
        <v>0</v>
      </c>
      <c r="P10" s="427">
        <f>'ANALYSE - ERP =&gt; CATEGORIE'!$HC$13</f>
        <v>0</v>
      </c>
      <c r="Q10" s="427">
        <f>'ANALYSE - ERP =&gt; CATEGORIE'!$HF$13</f>
        <v>0</v>
      </c>
      <c r="R10" s="427">
        <f>'ANALYSE - ERP =&gt; CATEGORIE'!$HI$13</f>
        <v>0</v>
      </c>
      <c r="T10" s="424">
        <f>'ANALYSE - ERP =&gt; CATEGORIE'!$FE$13</f>
        <v>0</v>
      </c>
      <c r="U10" s="427">
        <f>'ANALYSE - ERP =&gt; CATEGORIE'!$HA$13</f>
        <v>0</v>
      </c>
      <c r="V10" s="427">
        <f>'ANALYSE - ERP =&gt; CATEGORIE'!$HD$13</f>
        <v>0</v>
      </c>
      <c r="W10" s="427">
        <f>'ANALYSE - ERP =&gt; CATEGORIE'!$HG$13</f>
        <v>0</v>
      </c>
      <c r="X10" s="427">
        <f>'ANALYSE - ERP =&gt; CATEGORIE'!$HJ$13</f>
        <v>0</v>
      </c>
      <c r="Z10" s="427">
        <f>'ANALYSE - ERP =&gt; CATEGORIE'!$FF$13</f>
        <v>0</v>
      </c>
      <c r="AA10" s="427">
        <f>'ANALYSE - ERP =&gt; CATEGORIE'!$HB$13</f>
        <v>0</v>
      </c>
      <c r="AB10" s="427">
        <f>'ANALYSE - ERP =&gt; CATEGORIE'!$HE$13</f>
        <v>0</v>
      </c>
      <c r="AC10" s="427">
        <f>'ANALYSE - ERP =&gt; CATEGORIE'!$HH$13</f>
        <v>0</v>
      </c>
      <c r="AD10" s="427">
        <f>'ANALYSE - ERP =&gt; CATEGORIE'!$HK$13</f>
        <v>0</v>
      </c>
      <c r="AF10" s="430">
        <f>'ANALYSE - ERP =&gt; CATEGORIE'!$Q$13</f>
        <v>0</v>
      </c>
    </row>
    <row r="11" spans="1:32" s="45" customFormat="1" ht="15" customHeight="1">
      <c r="A11" s="26">
        <v>8</v>
      </c>
      <c r="B11" s="26">
        <v>8</v>
      </c>
      <c r="C11" s="26">
        <v>7</v>
      </c>
      <c r="D11" s="493" t="s">
        <v>2241</v>
      </c>
      <c r="E11" s="494" t="s">
        <v>8012</v>
      </c>
      <c r="F11" s="494" t="s">
        <v>8013</v>
      </c>
      <c r="G11" s="410" t="str">
        <f>'ANALYSE - ERP =&gt; CATEGORIE'!$D$9</f>
        <v>Hôpitaux universitaires / CHU
Hôpitaux publics (Hors CHU, Universitaire, Militaire, Carcéral)
Hôpitaux privés
Cliniques
Centres de psychiatrie
Centres de rééducation
Maternités
Établissements médico-éducatifs
Centres de santé / centres médicaux
Maisons de santé
Foyers pour personnes handicapées
EHPAD
USLD
Résidences autonomie
Foyers-logements (Public)
Résidences services seniors (Privé)</v>
      </c>
      <c r="H11" s="685"/>
      <c r="I11" s="427">
        <f t="shared" si="2"/>
        <v>3111.5709986626071</v>
      </c>
      <c r="J11" s="685"/>
      <c r="K11" s="787">
        <f t="shared" si="0"/>
        <v>0.72889391745758803</v>
      </c>
      <c r="L11" s="787">
        <f t="shared" si="1"/>
        <v>0.27110608254241197</v>
      </c>
      <c r="M11" s="685"/>
      <c r="N11" s="424">
        <f>'ANALYSE - ERP =&gt; CATEGORIE'!$FD$9</f>
        <v>15557.854993313034</v>
      </c>
      <c r="O11" s="427">
        <f>'ANALYSE - ERP =&gt; CATEGORIE'!$GZ$9</f>
        <v>3343.1184551195806</v>
      </c>
      <c r="P11" s="427">
        <f>'ANALYSE - ERP =&gt; CATEGORIE'!$HC$9</f>
        <v>5630.1462458512815</v>
      </c>
      <c r="Q11" s="427">
        <f>'ANALYSE - ERP =&gt; CATEGORIE'!$HF$9</f>
        <v>4196.8728696194448</v>
      </c>
      <c r="R11" s="427">
        <f>'ANALYSE - ERP =&gt; CATEGORIE'!$HI$9</f>
        <v>2387.7174227227279</v>
      </c>
      <c r="S11" s="685"/>
      <c r="T11" s="424">
        <f>'ANALYSE - ERP =&gt; CATEGORIE'!$FE$9</f>
        <v>11340.025873313034</v>
      </c>
      <c r="U11" s="427">
        <f>'ANALYSE - ERP =&gt; CATEGORIE'!$HA$9</f>
        <v>2505.5000799195805</v>
      </c>
      <c r="V11" s="427">
        <f>'ANALYSE - ERP =&gt; CATEGORIE'!$HD$9</f>
        <v>3941.4388700512809</v>
      </c>
      <c r="W11" s="427">
        <f>'ANALYSE - ERP =&gt; CATEGORIE'!$HG$9</f>
        <v>3115.6081848194444</v>
      </c>
      <c r="X11" s="427">
        <f>'ANALYSE - ERP =&gt; CATEGORIE'!$HJ$9</f>
        <v>1777.4787385227273</v>
      </c>
      <c r="Y11" s="685"/>
      <c r="Z11" s="427">
        <f>'ANALYSE - ERP =&gt; CATEGORIE'!$FF$9</f>
        <v>4217.8291199999994</v>
      </c>
      <c r="AA11" s="427">
        <f>'ANALYSE - ERP =&gt; CATEGORIE'!$HB$9</f>
        <v>837.61837519999995</v>
      </c>
      <c r="AB11" s="427">
        <f>'ANALYSE - ERP =&gt; CATEGORIE'!$HE$9</f>
        <v>1688.7073758000001</v>
      </c>
      <c r="AC11" s="427">
        <f>'ANALYSE - ERP =&gt; CATEGORIE'!$HH$9</f>
        <v>1081.2646847999999</v>
      </c>
      <c r="AD11" s="427">
        <f>'ANALYSE - ERP =&gt; CATEGORIE'!$HK$9</f>
        <v>610.23868419999997</v>
      </c>
      <c r="AE11" s="685"/>
      <c r="AF11" s="430">
        <f>'ANALYSE - ERP =&gt; CATEGORIE'!$Q$9</f>
        <v>1</v>
      </c>
    </row>
    <row r="12" spans="1:32" ht="15" customHeight="1">
      <c r="A12" s="26">
        <v>9</v>
      </c>
      <c r="B12" s="26">
        <v>9</v>
      </c>
      <c r="C12" s="26">
        <v>9</v>
      </c>
      <c r="D12" s="507" t="s">
        <v>2285</v>
      </c>
      <c r="E12" s="508" t="s">
        <v>8022</v>
      </c>
      <c r="F12" s="508" t="s">
        <v>8023</v>
      </c>
      <c r="G12" s="408" t="str">
        <f>'ANALYSE - ERP =&gt; CATEGORIE'!$D$16</f>
        <v>Aires de service - Autoroutes
(Hors Aires de repos)
Aires de repos - Autoroutes
(Hors Aires de service)
Aéroports / aérogares
(&gt;1 000 passagers/an)
Gares ferroviaires et stations
Terminaux maritimes / fluviaux
Établissements flottants
Parcs de stationnement couverts
Ports de plaisance / capitaineries
Rames ferroviaires voyageurs
Aéronefs commerciaux
Ferries et navires à passagers 
Autocars
(Trajets longues distance)
Stations / espaces métro équipés de toilettes publiques (minimum observé RATP)</v>
      </c>
      <c r="I12" s="427">
        <f t="shared" si="2"/>
        <v>1154.6817625784777</v>
      </c>
      <c r="K12" s="787">
        <f t="shared" si="0"/>
        <v>0.81384020345138985</v>
      </c>
      <c r="L12" s="787">
        <f t="shared" si="1"/>
        <v>0.18615979654861015</v>
      </c>
      <c r="N12" s="424">
        <f>'ANALYSE - ERP =&gt; CATEGORIE'!$FD$16</f>
        <v>5773.4088128923886</v>
      </c>
      <c r="O12" s="427">
        <f>'ANALYSE - ERP =&gt; CATEGORIE'!$GZ$16</f>
        <v>453.2029889750001</v>
      </c>
      <c r="P12" s="427">
        <f>'ANALYSE - ERP =&gt; CATEGORIE'!$HC$16</f>
        <v>2832.4603953181818</v>
      </c>
      <c r="Q12" s="427">
        <f>'ANALYSE - ERP =&gt; CATEGORIE'!$HF$16</f>
        <v>982.22524452142864</v>
      </c>
      <c r="R12" s="427">
        <f>'ANALYSE - ERP =&gt; CATEGORIE'!$HI$16</f>
        <v>1505.5201840777777</v>
      </c>
      <c r="T12" s="424">
        <f>'ANALYSE - ERP =&gt; CATEGORIE'!$FE$16</f>
        <v>4698.6322028923887</v>
      </c>
      <c r="U12" s="427">
        <f>'ANALYSE - ERP =&gt; CATEGORIE'!$HA$16</f>
        <v>397.41899937500006</v>
      </c>
      <c r="V12" s="427">
        <f>'ANALYSE - ERP =&gt; CATEGORIE'!$HD$16</f>
        <v>2260.2484678181818</v>
      </c>
      <c r="W12" s="427">
        <f>'ANALYSE - ERP =&gt; CATEGORIE'!$HG$16</f>
        <v>810.02816052142862</v>
      </c>
      <c r="X12" s="427">
        <f>'ANALYSE - ERP =&gt; CATEGORIE'!$HJ$16</f>
        <v>1230.9365751777777</v>
      </c>
      <c r="Z12" s="427">
        <f>'ANALYSE - ERP =&gt; CATEGORIE'!$FF$16</f>
        <v>1074.7766099999999</v>
      </c>
      <c r="AA12" s="427">
        <f>'ANALYSE - ERP =&gt; CATEGORIE'!$HB$16</f>
        <v>55.783989599999991</v>
      </c>
      <c r="AB12" s="427">
        <f>'ANALYSE - ERP =&gt; CATEGORIE'!$HE$16</f>
        <v>572.2119275</v>
      </c>
      <c r="AC12" s="427">
        <f>'ANALYSE - ERP =&gt; CATEGORIE'!$HH$16</f>
        <v>172.19708399999999</v>
      </c>
      <c r="AD12" s="427">
        <f>'ANALYSE - ERP =&gt; CATEGORIE'!$HK$16</f>
        <v>274.5836089</v>
      </c>
      <c r="AF12" s="430">
        <f>'ANALYSE - ERP =&gt; CATEGORIE'!$Q$16</f>
        <v>1</v>
      </c>
    </row>
    <row r="13" spans="1:32" ht="15" customHeight="1">
      <c r="A13" s="26">
        <v>10</v>
      </c>
      <c r="B13" s="26">
        <v>10</v>
      </c>
      <c r="C13" s="26">
        <v>10</v>
      </c>
      <c r="D13" s="509" t="s">
        <v>4908</v>
      </c>
      <c r="E13" s="510" t="s">
        <v>8024</v>
      </c>
      <c r="F13" s="510" t="s">
        <v>8025</v>
      </c>
      <c r="G13" s="415" t="str">
        <f>'ANALYSE - ERP =&gt; CATEGORIE'!$D$17</f>
        <v>Locaux de sûreté, garde à vue et zones opérationnelles
Postes de proximité et antennes avec accueil public
Salles de réunion, de prévention ou de conférence ouvertes au public
Unités d'hébergement des militaires &amp; réservistes
Centres de recrutement et bureaux d’information
Restaurants ou équipements sportifs ouverts au public sur emprise militaire
Hôpitaux d’instruction des armées et centres médicaux recevant du public
Salles de conférence, auditoriums et espaces événementiels ouverts au public
Maisons d’arrêt
Centres de détention
Maisons centrales
Centres pénitentiaires
Centres de semi-liberté
Centres éducatifs fermés
Centres pour peines aménagées
(absorbés par autres centres carcéraux)
Unités hospitalières sécurisées
Palais de justice et bâtiments judiciaires multi-usages
Maisons de justice et du droit
Tribunaux de commerce autonomes
Conseils de prud’hommes autonomes
Autres bâtiments judiciaires autonomes recevant du public</v>
      </c>
      <c r="I13" s="427">
        <f t="shared" si="2"/>
        <v>371.16045079830417</v>
      </c>
      <c r="K13" s="787">
        <f t="shared" si="0"/>
        <v>0.7844028214000498</v>
      </c>
      <c r="L13" s="787">
        <f t="shared" si="1"/>
        <v>0.21559717859995017</v>
      </c>
      <c r="N13" s="424">
        <f>'ANALYSE - ERP =&gt; CATEGORIE'!$FD$17</f>
        <v>1855.802253991521</v>
      </c>
      <c r="O13" s="427">
        <f>'ANALYSE - ERP =&gt; CATEGORIE'!$GZ$17</f>
        <v>201.48554819454546</v>
      </c>
      <c r="P13" s="427">
        <f>'ANALYSE - ERP =&gt; CATEGORIE'!$HC$17</f>
        <v>1088.9959252653846</v>
      </c>
      <c r="Q13" s="427">
        <f>'ANALYSE - ERP =&gt; CATEGORIE'!$HF$17</f>
        <v>218.90075031250001</v>
      </c>
      <c r="R13" s="427">
        <f>'ANALYSE - ERP =&gt; CATEGORIE'!$HI$17</f>
        <v>346.4200302190909</v>
      </c>
      <c r="T13" s="424">
        <f>'ANALYSE - ERP =&gt; CATEGORIE'!$FE$17</f>
        <v>1455.696523991521</v>
      </c>
      <c r="U13" s="427">
        <f>'ANALYSE - ERP =&gt; CATEGORIE'!$HA$17</f>
        <v>164.34082399454547</v>
      </c>
      <c r="V13" s="427">
        <f>'ANALYSE - ERP =&gt; CATEGORIE'!$HD$17</f>
        <v>835.32039216538465</v>
      </c>
      <c r="W13" s="427">
        <f>'ANALYSE - ERP =&gt; CATEGORIE'!$HG$17</f>
        <v>178.64516991249999</v>
      </c>
      <c r="X13" s="427">
        <f>'ANALYSE - ERP =&gt; CATEGORIE'!$HJ$17</f>
        <v>277.39013791909088</v>
      </c>
      <c r="Z13" s="427">
        <f>'ANALYSE - ERP =&gt; CATEGORIE'!$FF$17</f>
        <v>400.10573000000005</v>
      </c>
      <c r="AA13" s="427">
        <f>'ANALYSE - ERP =&gt; CATEGORIE'!$HB$17</f>
        <v>37.144724199999999</v>
      </c>
      <c r="AB13" s="427">
        <f>'ANALYSE - ERP =&gt; CATEGORIE'!$HE$17</f>
        <v>253.67553310000008</v>
      </c>
      <c r="AC13" s="427">
        <f>'ANALYSE - ERP =&gt; CATEGORIE'!$HH$17</f>
        <v>40.255580399999999</v>
      </c>
      <c r="AD13" s="427">
        <f>'ANALYSE - ERP =&gt; CATEGORIE'!$HK$17</f>
        <v>69.0298923</v>
      </c>
      <c r="AF13" s="430">
        <f>'ANALYSE - ERP =&gt; CATEGORIE'!$Q$17</f>
        <v>1</v>
      </c>
    </row>
    <row r="14" spans="1:32" ht="15" customHeight="1">
      <c r="A14" s="26">
        <v>11</v>
      </c>
      <c r="B14" s="26">
        <v>11</v>
      </c>
      <c r="C14" s="26">
        <v>11</v>
      </c>
      <c r="D14" s="501" t="s">
        <v>2163</v>
      </c>
      <c r="E14" s="502" t="s">
        <v>2163</v>
      </c>
      <c r="F14" s="502" t="s">
        <v>2164</v>
      </c>
      <c r="G14" s="410" t="str">
        <f>'ANALYSE - ERP =&gt; CATEGORIE'!$D$18</f>
        <v>Toilettes publiques (sur la voie publique)
Bains-douches municipaux / douches publiques fixes
Blocs sanitaires de plage / front de mer</v>
      </c>
      <c r="I14" s="427">
        <f t="shared" si="2"/>
        <v>861.09858499999996</v>
      </c>
      <c r="K14" s="787">
        <f t="shared" si="0"/>
        <v>0.81186110066595918</v>
      </c>
      <c r="L14" s="787">
        <f t="shared" si="1"/>
        <v>0.18813889933404085</v>
      </c>
      <c r="N14" s="424">
        <f>'ANALYSE - ERP =&gt; CATEGORIE'!$FD$18</f>
        <v>4305.4929249999996</v>
      </c>
      <c r="O14" s="427">
        <f>'ANALYSE - ERP =&gt; CATEGORIE'!$GZ$18</f>
        <v>218.49038425000001</v>
      </c>
      <c r="P14" s="427">
        <f>'ANALYSE - ERP =&gt; CATEGORIE'!$HC$18</f>
        <v>2925.8483039999996</v>
      </c>
      <c r="Q14" s="427">
        <f>'ANALYSE - ERP =&gt; CATEGORIE'!$HF$18</f>
        <v>489.48246999999992</v>
      </c>
      <c r="R14" s="427">
        <f>'ANALYSE - ERP =&gt; CATEGORIE'!$HI$18</f>
        <v>671.67176674999996</v>
      </c>
      <c r="T14" s="424">
        <f>'ANALYSE - ERP =&gt; CATEGORIE'!$FE$18</f>
        <v>3495.4622249999998</v>
      </c>
      <c r="U14" s="427">
        <f>'ANALYSE - ERP =&gt; CATEGORIE'!$HA$18</f>
        <v>186.08915625</v>
      </c>
      <c r="V14" s="427">
        <f>'ANALYSE - ERP =&gt; CATEGORIE'!$HD$18</f>
        <v>2342.6262000000002</v>
      </c>
      <c r="W14" s="427">
        <f>'ANALYSE - ERP =&gt; CATEGORIE'!$HG$18</f>
        <v>408.47939999999994</v>
      </c>
      <c r="X14" s="427">
        <f>'ANALYSE - ERP =&gt; CATEGORIE'!$HJ$18</f>
        <v>558.26746874999992</v>
      </c>
      <c r="Z14" s="427">
        <f>'ANALYSE - ERP =&gt; CATEGORIE'!$FF$18</f>
        <v>810.03070000000002</v>
      </c>
      <c r="AA14" s="427">
        <f>'ANALYSE - ERP =&gt; CATEGORIE'!$HB$18</f>
        <v>32.401228000000003</v>
      </c>
      <c r="AB14" s="427">
        <f>'ANALYSE - ERP =&gt; CATEGORIE'!$HE$18</f>
        <v>583.22210399999994</v>
      </c>
      <c r="AC14" s="427">
        <f>'ANALYSE - ERP =&gt; CATEGORIE'!$HH$18</f>
        <v>81.003069999999994</v>
      </c>
      <c r="AD14" s="427">
        <f>'ANALYSE - ERP =&gt; CATEGORIE'!$HK$18</f>
        <v>113.40429800000001</v>
      </c>
      <c r="AF14" s="430">
        <f>'ANALYSE - ERP =&gt; CATEGORIE'!$Q$18</f>
        <v>1</v>
      </c>
    </row>
  </sheetData>
  <pageMargins left="3.937007874015748E-2" right="3.937007874015748E-2" top="7.874015748031496E-2" bottom="7.874015748031496E-2" header="0.11811023622047249" footer="0.11811023622047249"/>
  <pageSetup paperSize="8" scale="67" fitToHeight="2"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8" tint="-0.249977111117893"/>
    <pageSetUpPr fitToPage="1"/>
  </sheetPr>
  <dimension ref="A1:BB14"/>
  <sheetViews>
    <sheetView workbookViewId="0"/>
  </sheetViews>
  <sheetFormatPr baseColWidth="10" defaultColWidth="9.140625" defaultRowHeight="15"/>
  <cols>
    <col min="1" max="1" width="6.140625" style="934" customWidth="1"/>
    <col min="2" max="2" width="5.7109375" style="934" customWidth="1"/>
    <col min="3" max="3" width="5.5703125" style="934" customWidth="1"/>
    <col min="4" max="4" width="6" style="934" customWidth="1"/>
    <col min="5" max="5" width="30.28515625" style="43" customWidth="1"/>
    <col min="6" max="6" width="22" style="43" customWidth="1"/>
    <col min="7" max="7" width="45.140625" style="43" customWidth="1"/>
    <col min="8" max="8" width="1.7109375" style="933" customWidth="1"/>
    <col min="9" max="9" width="9.7109375" style="934" customWidth="1"/>
    <col min="10" max="10" width="1.7109375" style="933" customWidth="1"/>
    <col min="11" max="11" width="9.5703125" style="934" customWidth="1"/>
    <col min="12" max="12" width="9" style="934" customWidth="1"/>
    <col min="13" max="13" width="1.7109375" style="933" customWidth="1"/>
    <col min="14" max="14" width="9.42578125" style="934" customWidth="1"/>
    <col min="15" max="15" width="9" style="934" customWidth="1"/>
    <col min="16" max="16" width="10.42578125" style="934" customWidth="1"/>
    <col min="17" max="17" width="8.7109375" style="934" customWidth="1"/>
    <col min="18" max="18" width="1.7109375" style="933" customWidth="1"/>
    <col min="19" max="19" width="9" style="934" customWidth="1"/>
    <col min="20" max="20" width="8.85546875" style="934" customWidth="1"/>
    <col min="21" max="21" width="9.7109375" style="934" customWidth="1"/>
    <col min="22" max="22" width="10.42578125" style="934" customWidth="1"/>
    <col min="23" max="23" width="1.7109375" style="933" customWidth="1"/>
    <col min="24" max="24" width="8.140625" style="934" customWidth="1"/>
    <col min="25" max="25" width="9.85546875" style="934" customWidth="1"/>
    <col min="26" max="26" width="9" style="934" customWidth="1"/>
    <col min="27" max="27" width="9.42578125" style="934" customWidth="1"/>
    <col min="28" max="28" width="1.7109375" style="933" customWidth="1"/>
    <col min="29" max="29" width="11.42578125" style="934" customWidth="1"/>
    <col min="30" max="54" width="9.140625" style="933" customWidth="1"/>
  </cols>
  <sheetData>
    <row r="1" spans="1:29" s="438" customFormat="1" ht="18.75" customHeight="1">
      <c r="A1" s="933"/>
      <c r="B1" s="933"/>
      <c r="C1" s="933"/>
      <c r="D1" s="477"/>
      <c r="E1" s="479"/>
      <c r="F1" s="478" t="s">
        <v>7963</v>
      </c>
      <c r="G1" s="479"/>
      <c r="H1" s="933"/>
      <c r="I1" s="933"/>
      <c r="J1" s="933"/>
      <c r="K1" s="933"/>
      <c r="L1" s="933"/>
      <c r="M1" s="933"/>
      <c r="N1" s="460" t="s">
        <v>7949</v>
      </c>
      <c r="O1" s="440"/>
      <c r="P1" s="440"/>
      <c r="Q1" s="436"/>
      <c r="R1" s="933"/>
      <c r="S1" s="461" t="s">
        <v>7949</v>
      </c>
      <c r="T1" s="434"/>
      <c r="U1" s="439"/>
      <c r="V1" s="434"/>
      <c r="W1" s="933"/>
      <c r="X1" s="462" t="s">
        <v>7949</v>
      </c>
      <c r="Y1" s="435"/>
      <c r="Z1" s="441"/>
      <c r="AA1" s="435"/>
      <c r="AB1" s="933"/>
      <c r="AC1" s="436"/>
    </row>
    <row r="2" spans="1:29" s="437" customFormat="1" ht="54.75" customHeight="1">
      <c r="A2" s="431" t="s">
        <v>7853</v>
      </c>
      <c r="B2" s="432" t="s">
        <v>7854</v>
      </c>
      <c r="C2" s="433" t="s">
        <v>7855</v>
      </c>
      <c r="D2" s="436" t="s">
        <v>2044</v>
      </c>
      <c r="E2" s="829" t="s">
        <v>6714</v>
      </c>
      <c r="F2" s="829" t="s">
        <v>6715</v>
      </c>
      <c r="G2" s="829" t="s">
        <v>2181</v>
      </c>
      <c r="H2" s="453"/>
      <c r="I2" s="436" t="s">
        <v>7920</v>
      </c>
      <c r="J2" s="453"/>
      <c r="K2" s="434" t="s">
        <v>7860</v>
      </c>
      <c r="L2" s="435" t="s">
        <v>2534</v>
      </c>
      <c r="M2" s="453"/>
      <c r="N2" s="436" t="s">
        <v>7857</v>
      </c>
      <c r="O2" s="436" t="s">
        <v>7951</v>
      </c>
      <c r="P2" s="436" t="s">
        <v>7952</v>
      </c>
      <c r="Q2" s="436" t="s">
        <v>7964</v>
      </c>
      <c r="R2" s="453"/>
      <c r="S2" s="434" t="s">
        <v>7925</v>
      </c>
      <c r="T2" s="434" t="s">
        <v>7955</v>
      </c>
      <c r="U2" s="434" t="s">
        <v>7956</v>
      </c>
      <c r="V2" s="434" t="s">
        <v>7965</v>
      </c>
      <c r="W2" s="453"/>
      <c r="X2" s="435" t="s">
        <v>7930</v>
      </c>
      <c r="Y2" s="435" t="s">
        <v>7959</v>
      </c>
      <c r="Z2" s="435" t="s">
        <v>7960</v>
      </c>
      <c r="AA2" s="435" t="s">
        <v>7966</v>
      </c>
      <c r="AB2" s="453"/>
      <c r="AC2" s="436" t="s">
        <v>6711</v>
      </c>
    </row>
    <row r="3" spans="1:29">
      <c r="A3" s="405" t="s">
        <v>2535</v>
      </c>
      <c r="B3" s="405" t="s">
        <v>2535</v>
      </c>
      <c r="C3" s="405" t="s">
        <v>2535</v>
      </c>
      <c r="D3" s="405" t="s">
        <v>2090</v>
      </c>
      <c r="E3" s="405" t="s">
        <v>2086</v>
      </c>
      <c r="F3" s="405" t="s">
        <v>6728</v>
      </c>
      <c r="G3" s="405" t="s">
        <v>6729</v>
      </c>
      <c r="I3" s="426">
        <f>IFERROR(N3/5,"")</f>
        <v>158149.1736551366</v>
      </c>
      <c r="K3" s="790">
        <f t="shared" ref="K3:K14" si="0">IFERROR(S3/N3,"")</f>
        <v>0.79609353685072126</v>
      </c>
      <c r="L3" s="790">
        <f t="shared" ref="L3:L14" si="1">IFERROR(X3/N3,"")</f>
        <v>0.20390646314927874</v>
      </c>
      <c r="N3" s="426">
        <f>SUMPRODUCT(($AC$4:$AC$106),('ANALYSE - ERP =&gt; CATEGORIE'!$FG$8:$FG$110))</f>
        <v>790745.86827568302</v>
      </c>
      <c r="O3" s="426">
        <f>SUMPRODUCT(($AC$4:$AC$106),('ANALYSE - ERP =&gt; CATEGORIE'!$HL$8:$HL$110))</f>
        <v>484871.17009080038</v>
      </c>
      <c r="P3" s="426">
        <f>SUMPRODUCT(($AC$4:$AC$106),('ANALYSE - ERP =&gt; CATEGORIE'!$HO$8:$HO$110))</f>
        <v>192385.13168834083</v>
      </c>
      <c r="Q3" s="426">
        <f>SUMPRODUCT(($AC$4:$AC$106),('ANALYSE - ERP =&gt; CATEGORIE'!$HR$8:$HR$110))</f>
        <v>113489.56649654207</v>
      </c>
      <c r="S3" s="426">
        <f>SUMPRODUCT(($AC$4:$AC$106),('ANALYSE - ERP =&gt; CATEGORIE'!$FH$8:$FH$110))</f>
        <v>629507.67502568301</v>
      </c>
      <c r="T3" s="426">
        <f>SUMPRODUCT(($AC$4:$AC$106),('ANALYSE - ERP =&gt; CATEGORIE'!$HM$8:$HM$110))</f>
        <v>390362.23836210032</v>
      </c>
      <c r="U3" s="426">
        <f>SUMPRODUCT(($AC$4:$AC$106),('ANALYSE - ERP =&gt; CATEGORIE'!$HP$8:$HP$110))</f>
        <v>147936.36919424077</v>
      </c>
      <c r="V3" s="426">
        <f>SUMPRODUCT(($AC$4:$AC$106),('ANALYSE - ERP =&gt; CATEGORIE'!$HS$8:$HS$110))</f>
        <v>91209.067469342073</v>
      </c>
      <c r="X3" s="426">
        <f>SUMPRODUCT(($AC$4:$AC$106),('ANALYSE - ERP =&gt; CATEGORIE'!$FI$8:$FI$110))</f>
        <v>161238.19324999998</v>
      </c>
      <c r="Y3" s="426">
        <f>SUMPRODUCT(($AC$4:$AC$106),('ANALYSE - ERP =&gt; CATEGORIE'!$HN$8:$HN$110))</f>
        <v>94508.931728699987</v>
      </c>
      <c r="Z3" s="426">
        <f>SUMPRODUCT(($AC$4:$AC$106),('ANALYSE - ERP =&gt; CATEGORIE'!$HQ$8:$HQ$110))</f>
        <v>44448.762494100003</v>
      </c>
      <c r="AA3" s="426">
        <f>SUMPRODUCT(($AC$4:$AC$106),('ANALYSE - ERP =&gt; CATEGORIE'!$HT$8:$HT$110))</f>
        <v>22280.4990272</v>
      </c>
      <c r="AC3" s="428">
        <f>SUM('ANALYSE - ERP =&gt; CATEGORIE'!$Q$8:$Q$110)</f>
        <v>9</v>
      </c>
    </row>
    <row r="4" spans="1:29" ht="15" customHeight="1">
      <c r="A4" s="26">
        <v>1</v>
      </c>
      <c r="B4" s="26">
        <v>1</v>
      </c>
      <c r="C4" s="26">
        <v>1</v>
      </c>
      <c r="D4" s="491" t="s">
        <v>2187</v>
      </c>
      <c r="E4" s="492" t="s">
        <v>8008</v>
      </c>
      <c r="F4" s="492" t="s">
        <v>8009</v>
      </c>
      <c r="G4" s="408" t="str">
        <f>'ANALYSE - ERP =&gt; CATEGORIE'!$D$11</f>
        <v>Cafés / bars / brasseries
Fast-food / cafétérias / food courts
Restaurants
(Hors établissements altitude, flottant, armée)
Salles de jeux / bowlings / billards
Discothèques / salles de danse
Centres commerciaux / malls
Marchés couverts
Casinos</v>
      </c>
      <c r="I4" s="427">
        <f t="shared" ref="I4:I14" si="2">N4/5</f>
        <v>62957.339007759838</v>
      </c>
      <c r="K4" s="787">
        <f t="shared" si="0"/>
        <v>0.81692085685865257</v>
      </c>
      <c r="L4" s="787">
        <f t="shared" si="1"/>
        <v>0.18307914314134746</v>
      </c>
      <c r="N4" s="424">
        <f>'ANALYSE - ERP =&gt; CATEGORIE'!$FG$11</f>
        <v>314786.6950387992</v>
      </c>
      <c r="O4" s="427">
        <f>'ANALYSE - ERP =&gt; CATEGORIE'!$HL$11</f>
        <v>154744.73974608333</v>
      </c>
      <c r="P4" s="427">
        <f>'ANALYSE - ERP =&gt; CATEGORIE'!$HO$11</f>
        <v>101773.07213292424</v>
      </c>
      <c r="Q4" s="427">
        <f>'ANALYSE - ERP =&gt; CATEGORIE'!$HR$11</f>
        <v>58268.883159791672</v>
      </c>
      <c r="S4" s="424">
        <f>'ANALYSE - ERP =&gt; CATEGORIE'!$FH$11</f>
        <v>257155.81663879921</v>
      </c>
      <c r="T4" s="427">
        <f>'ANALYSE - ERP =&gt; CATEGORIE'!$HM$11</f>
        <v>131172.63500808334</v>
      </c>
      <c r="U4" s="427">
        <f>'ANALYSE - ERP =&gt; CATEGORIE'!$HP$11</f>
        <v>79350.662824924235</v>
      </c>
      <c r="V4" s="427">
        <f>'ANALYSE - ERP =&gt; CATEGORIE'!$HS$11</f>
        <v>46632.51880579166</v>
      </c>
      <c r="X4" s="427">
        <f>'ANALYSE - ERP =&gt; CATEGORIE'!$FI$11</f>
        <v>57630.878400000009</v>
      </c>
      <c r="Y4" s="427">
        <f>'ANALYSE - ERP =&gt; CATEGORIE'!$HN$11</f>
        <v>23572.104737999998</v>
      </c>
      <c r="Z4" s="427">
        <f>'ANALYSE - ERP =&gt; CATEGORIE'!$HQ$11</f>
        <v>22422.409308000002</v>
      </c>
      <c r="AA4" s="427">
        <f>'ANALYSE - ERP =&gt; CATEGORIE'!$HT$11</f>
        <v>11636.364353999999</v>
      </c>
      <c r="AC4" s="430">
        <f>'ANALYSE - ERP =&gt; CATEGORIE'!$Q$11</f>
        <v>1</v>
      </c>
    </row>
    <row r="5" spans="1:29" ht="15" customHeight="1">
      <c r="A5" s="26">
        <v>2</v>
      </c>
      <c r="B5" s="26">
        <v>2</v>
      </c>
      <c r="C5" s="26">
        <v>2</v>
      </c>
      <c r="D5" s="493" t="s">
        <v>2241</v>
      </c>
      <c r="E5" s="494" t="s">
        <v>8012</v>
      </c>
      <c r="F5" s="494" t="s">
        <v>8013</v>
      </c>
      <c r="G5" s="416" t="str">
        <f>'ANALYSE - ERP =&gt; CATEGORIE'!$D$9</f>
        <v>Hôpitaux universitaires / CHU
Hôpitaux publics (Hors CHU, Universitaire, Militaire, Carcéral)
Hôpitaux privés
Cliniques
Centres de psychiatrie
Centres de rééducation
Maternités
Établissements médico-éducatifs
Centres de santé / centres médicaux
Maisons de santé
Foyers pour personnes handicapées
EHPAD
USLD
Résidences autonomie
Foyers-logements (Public)
Résidences services seniors (Privé)</v>
      </c>
      <c r="I5" s="427">
        <f t="shared" si="2"/>
        <v>79129.813254992303</v>
      </c>
      <c r="K5" s="787">
        <f t="shared" si="0"/>
        <v>0.7908101818633364</v>
      </c>
      <c r="L5" s="787">
        <f t="shared" si="1"/>
        <v>0.20918981813666368</v>
      </c>
      <c r="N5" s="424">
        <f>'ANALYSE - ERP =&gt; CATEGORIE'!$FG$9</f>
        <v>395649.06627496151</v>
      </c>
      <c r="O5" s="427">
        <f>'ANALYSE - ERP =&gt; CATEGORIE'!$HL$9</f>
        <v>301197.25715772319</v>
      </c>
      <c r="P5" s="427">
        <f>'ANALYSE - ERP =&gt; CATEGORIE'!$HO$9</f>
        <v>61910.337719938456</v>
      </c>
      <c r="Q5" s="427">
        <f>'ANALYSE - ERP =&gt; CATEGORIE'!$HR$9</f>
        <v>32541.471397299996</v>
      </c>
      <c r="S5" s="424">
        <f>'ANALYSE - ERP =&gt; CATEGORIE'!$FH$9</f>
        <v>312883.31005496153</v>
      </c>
      <c r="T5" s="427">
        <f>'ANALYSE - ERP =&gt; CATEGORIE'!$HM$9</f>
        <v>240624.18259892307</v>
      </c>
      <c r="U5" s="427">
        <f>'ANALYSE - ERP =&gt; CATEGORIE'!$HP$9</f>
        <v>47361.300737538462</v>
      </c>
      <c r="V5" s="427">
        <f>'ANALYSE - ERP =&gt; CATEGORIE'!$HS$9</f>
        <v>24897.8267185</v>
      </c>
      <c r="X5" s="427">
        <f>'ANALYSE - ERP =&gt; CATEGORIE'!$FI$9</f>
        <v>82765.756219999996</v>
      </c>
      <c r="Y5" s="427">
        <f>'ANALYSE - ERP =&gt; CATEGORIE'!$HN$9</f>
        <v>60573.074558799992</v>
      </c>
      <c r="Z5" s="427">
        <f>'ANALYSE - ERP =&gt; CATEGORIE'!$HQ$9</f>
        <v>14549.036982400001</v>
      </c>
      <c r="AA5" s="427">
        <f>'ANALYSE - ERP =&gt; CATEGORIE'!$HT$9</f>
        <v>7643.6446787999994</v>
      </c>
      <c r="AC5" s="430">
        <f>'ANALYSE - ERP =&gt; CATEGORIE'!$Q$9</f>
        <v>1</v>
      </c>
    </row>
    <row r="6" spans="1:29" ht="15" customHeight="1">
      <c r="A6" s="26">
        <v>3</v>
      </c>
      <c r="B6" s="26">
        <v>3</v>
      </c>
      <c r="C6" s="26">
        <v>3</v>
      </c>
      <c r="D6" s="497" t="s">
        <v>6739</v>
      </c>
      <c r="E6" s="498" t="s">
        <v>8006</v>
      </c>
      <c r="F6" s="498" t="s">
        <v>8007</v>
      </c>
      <c r="G6" s="409" t="str">
        <f>'ANALYSE - ERP =&gt; CATEGORIE'!$D$8</f>
        <v>Crèches
Écoles maternelles
Écoles primaires
Collèges (vestiaires EPS inclus)
Lycées (vestiaires EPS inclus)
Universités
Grandes écoles
Internats scolaires
Résidences étudiantes et dortoirs
Centres de loisirs sans hébergement
Centres de vacances / colonies
Centres de formation / CFA</v>
      </c>
      <c r="I6" s="427">
        <f t="shared" si="2"/>
        <v>0</v>
      </c>
      <c r="K6" s="787" t="str">
        <f t="shared" si="0"/>
        <v/>
      </c>
      <c r="L6" s="787" t="str">
        <f t="shared" si="1"/>
        <v/>
      </c>
      <c r="N6" s="424">
        <f>'ANALYSE - ERP =&gt; CATEGORIE'!$FG$8</f>
        <v>0</v>
      </c>
      <c r="O6" s="427">
        <f>'ANALYSE - ERP =&gt; CATEGORIE'!$HL$8</f>
        <v>0</v>
      </c>
      <c r="P6" s="427">
        <f>'ANALYSE - ERP =&gt; CATEGORIE'!$HO$8</f>
        <v>0</v>
      </c>
      <c r="Q6" s="427">
        <f>'ANALYSE - ERP =&gt; CATEGORIE'!$HR$8</f>
        <v>0</v>
      </c>
      <c r="S6" s="424">
        <f>'ANALYSE - ERP =&gt; CATEGORIE'!$FH$8</f>
        <v>0</v>
      </c>
      <c r="T6" s="427">
        <f>'ANALYSE - ERP =&gt; CATEGORIE'!$HM$8</f>
        <v>0</v>
      </c>
      <c r="U6" s="427">
        <f>'ANALYSE - ERP =&gt; CATEGORIE'!$HP$8</f>
        <v>0</v>
      </c>
      <c r="V6" s="427">
        <f>'ANALYSE - ERP =&gt; CATEGORIE'!$HS$8</f>
        <v>0</v>
      </c>
      <c r="X6" s="427">
        <f>'ANALYSE - ERP =&gt; CATEGORIE'!$FI$8</f>
        <v>0</v>
      </c>
      <c r="Y6" s="427">
        <f>'ANALYSE - ERP =&gt; CATEGORIE'!$HN$8</f>
        <v>0</v>
      </c>
      <c r="Z6" s="427">
        <f>'ANALYSE - ERP =&gt; CATEGORIE'!$HQ$8</f>
        <v>0</v>
      </c>
      <c r="AA6" s="427">
        <f>'ANALYSE - ERP =&gt; CATEGORIE'!$HT$8</f>
        <v>0</v>
      </c>
      <c r="AC6" s="430">
        <f>'ANALYSE - ERP =&gt; CATEGORIE'!$Q$8</f>
        <v>0</v>
      </c>
    </row>
    <row r="7" spans="1:29" ht="15" customHeight="1">
      <c r="A7" s="26">
        <v>4</v>
      </c>
      <c r="B7" s="26">
        <v>5</v>
      </c>
      <c r="C7" s="26">
        <v>5</v>
      </c>
      <c r="D7" s="495" t="s">
        <v>1670</v>
      </c>
      <c r="E7" s="496" t="s">
        <v>8010</v>
      </c>
      <c r="F7" s="496" t="s">
        <v>8011</v>
      </c>
      <c r="G7" s="415" t="str">
        <f>'ANALYSE - ERP =&gt; CATEGORIE'!$D$15</f>
        <v>Gymnases / salles multisports
Piscines couvertes
Salles de fitness / dojos
Patinoires couvertes
Grands stades avec tribunes
(Type football/rugby) 
Stades 
(Type athlétisme - Hors scolaire)
Terrains de sport
(Hors scolaire)
Hippodromes
Piscines extérieures 
(Hors campings, hôtels, résidences et établissement avec bassin intérieur)
Établissements thermaux
Centres de thalassothérapie / balnéothérapie / grands spas ouverts au public
Bases nautiques / centres nautiques avec vestiaires-douches
Bases de loisirs avec plages, douches et sanitaires
Centres équestres / manèges couverts avec accueil public</v>
      </c>
      <c r="I7" s="427">
        <f t="shared" si="2"/>
        <v>0</v>
      </c>
      <c r="K7" s="787" t="str">
        <f t="shared" si="0"/>
        <v/>
      </c>
      <c r="L7" s="787" t="str">
        <f t="shared" si="1"/>
        <v/>
      </c>
      <c r="N7" s="424">
        <f>'ANALYSE - ERP =&gt; CATEGORIE'!$FG$15</f>
        <v>0</v>
      </c>
      <c r="O7" s="427">
        <f>'ANALYSE - ERP =&gt; CATEGORIE'!$HL$15</f>
        <v>0</v>
      </c>
      <c r="P7" s="427">
        <f>'ANALYSE - ERP =&gt; CATEGORIE'!$HO$15</f>
        <v>0</v>
      </c>
      <c r="Q7" s="427">
        <f>'ANALYSE - ERP =&gt; CATEGORIE'!$HR$15</f>
        <v>0</v>
      </c>
      <c r="S7" s="424">
        <f>'ANALYSE - ERP =&gt; CATEGORIE'!$FH$15</f>
        <v>0</v>
      </c>
      <c r="T7" s="427">
        <f>'ANALYSE - ERP =&gt; CATEGORIE'!$HM$15</f>
        <v>0</v>
      </c>
      <c r="U7" s="427">
        <f>'ANALYSE - ERP =&gt; CATEGORIE'!$HP$15</f>
        <v>0</v>
      </c>
      <c r="V7" s="427">
        <f>'ANALYSE - ERP =&gt; CATEGORIE'!$HS$15</f>
        <v>0</v>
      </c>
      <c r="X7" s="427">
        <f>'ANALYSE - ERP =&gt; CATEGORIE'!$FI$15</f>
        <v>0</v>
      </c>
      <c r="Y7" s="427">
        <f>'ANALYSE - ERP =&gt; CATEGORIE'!$HN$15</f>
        <v>0</v>
      </c>
      <c r="Z7" s="427">
        <f>'ANALYSE - ERP =&gt; CATEGORIE'!$HQ$15</f>
        <v>0</v>
      </c>
      <c r="AA7" s="427">
        <f>'ANALYSE - ERP =&gt; CATEGORIE'!$HT$15</f>
        <v>0</v>
      </c>
      <c r="AC7" s="430">
        <f>'ANALYSE - ERP =&gt; CATEGORIE'!$Q$15</f>
        <v>0</v>
      </c>
    </row>
    <row r="8" spans="1:29" ht="15" customHeight="1">
      <c r="A8" s="26">
        <v>5</v>
      </c>
      <c r="B8" s="26">
        <v>4</v>
      </c>
      <c r="C8" s="26">
        <v>7</v>
      </c>
      <c r="D8" s="503" t="s">
        <v>2278</v>
      </c>
      <c r="E8" s="504" t="s">
        <v>8016</v>
      </c>
      <c r="F8" s="504" t="s">
        <v>8017</v>
      </c>
      <c r="G8" s="414" t="str">
        <f>'ANALYSE - ERP =&gt; CATEGORIE'!$D$14</f>
        <v>Mairies / hôtels de ville
Préfectures / services administratifs
Maisons France Services
Guichets publics
Églises, cathédrales, basiliques et chapelles ouvertes au public
Monastères, abbayes et couvents ouverts au public
Temples protestants, évangéliques et salles de culte assimilées
Mosquées et salles de prière musulmanes
Synagogues et oratoires juifs ouverts au public
Temples bouddhistes, hindous et autres lieux de culte non abrahamiques ouverts au public
Salles du Royaume, centres cultuels pluriconfessionnels et lieux de culte polyvalents
Locaux associatifs recevant du public</v>
      </c>
      <c r="I8" s="427">
        <f t="shared" si="2"/>
        <v>15140.728820480694</v>
      </c>
      <c r="K8" s="787">
        <f t="shared" si="0"/>
        <v>0.84624603824546341</v>
      </c>
      <c r="L8" s="787">
        <f t="shared" si="1"/>
        <v>0.15375396175453668</v>
      </c>
      <c r="N8" s="424">
        <f>'ANALYSE - ERP =&gt; CATEGORIE'!$FG$14</f>
        <v>75703.644102403472</v>
      </c>
      <c r="O8" s="427">
        <f>'ANALYSE - ERP =&gt; CATEGORIE'!$HL$14</f>
        <v>33837.728992633703</v>
      </c>
      <c r="P8" s="427">
        <f>'ANALYSE - ERP =&gt; CATEGORIE'!$HO$14</f>
        <v>25632.138931719779</v>
      </c>
      <c r="Q8" s="427">
        <f>'ANALYSE - ERP =&gt; CATEGORIE'!$HR$14</f>
        <v>16233.776178049999</v>
      </c>
      <c r="S8" s="424">
        <f>'ANALYSE - ERP =&gt; CATEGORIE'!$FH$14</f>
        <v>64063.908902403477</v>
      </c>
      <c r="T8" s="427">
        <f>'ANALYSE - ERP =&gt; CATEGORIE'!$HM$14</f>
        <v>29154.994332633709</v>
      </c>
      <c r="U8" s="427">
        <f>'ANALYSE - ERP =&gt; CATEGORIE'!$HP$14</f>
        <v>21148.702209719777</v>
      </c>
      <c r="V8" s="427">
        <f>'ANALYSE - ERP =&gt; CATEGORIE'!$HS$14</f>
        <v>13760.21236005</v>
      </c>
      <c r="X8" s="427">
        <f>'ANALYSE - ERP =&gt; CATEGORIE'!$FI$14</f>
        <v>11639.735199999999</v>
      </c>
      <c r="Y8" s="427">
        <f>'ANALYSE - ERP =&gt; CATEGORIE'!$HN$14</f>
        <v>4682.7346599999992</v>
      </c>
      <c r="Z8" s="427">
        <f>'ANALYSE - ERP =&gt; CATEGORIE'!$HQ$14</f>
        <v>4483.4367219999995</v>
      </c>
      <c r="AA8" s="427">
        <f>'ANALYSE - ERP =&gt; CATEGORIE'!$HT$14</f>
        <v>2473.5638179999996</v>
      </c>
      <c r="AC8" s="430">
        <f>'ANALYSE - ERP =&gt; CATEGORIE'!$Q$14</f>
        <v>1</v>
      </c>
    </row>
    <row r="9" spans="1:29" ht="15" customHeight="1">
      <c r="A9" s="26">
        <v>6</v>
      </c>
      <c r="B9" s="26">
        <v>6</v>
      </c>
      <c r="C9" s="26">
        <v>6</v>
      </c>
      <c r="D9" s="499" t="s">
        <v>3662</v>
      </c>
      <c r="E9" s="500" t="s">
        <v>8018</v>
      </c>
      <c r="F9" s="500" t="s">
        <v>8019</v>
      </c>
      <c r="G9" s="408" t="str">
        <f>'ANALYSE - ERP =&gt; CATEGORIE'!$D$10</f>
        <v>Cinémas
Théâtres
Musées
Salles de spectacle / auditoriums
Salles de conférence / réunion
Salles polyvalentes / salles des fêtes
Bibliothèques / médiathèques
Foires / salons
Halls d’exposition
Chapiteaux / tentes / structures
Structures gonflables
Parcs d’attractions / parcs à thèmes fixes
Parcs zoologiques / parcs animaliers ouverts au public
Aquariums ouverts au public</v>
      </c>
      <c r="I9" s="427">
        <f t="shared" si="2"/>
        <v>26734.847289223359</v>
      </c>
      <c r="K9" s="787">
        <f t="shared" si="0"/>
        <v>0.80986389998760056</v>
      </c>
      <c r="L9" s="787">
        <f t="shared" si="1"/>
        <v>0.1901361000123995</v>
      </c>
      <c r="N9" s="424">
        <f>'ANALYSE - ERP =&gt; CATEGORIE'!$FG$10</f>
        <v>133674.23644611679</v>
      </c>
      <c r="O9" s="427">
        <f>'ANALYSE - ERP =&gt; CATEGORIE'!$HL$10</f>
        <v>57444.088233374583</v>
      </c>
      <c r="P9" s="427">
        <f>'ANALYSE - ERP =&gt; CATEGORIE'!$HO$10</f>
        <v>50994.764207175525</v>
      </c>
      <c r="Q9" s="427">
        <f>'ANALYSE - ERP =&gt; CATEGORIE'!$HR$10</f>
        <v>25235.384005566666</v>
      </c>
      <c r="S9" s="424">
        <f>'ANALYSE - ERP =&gt; CATEGORIE'!$FH$10</f>
        <v>108257.9384561168</v>
      </c>
      <c r="T9" s="427">
        <f>'ANALYSE - ERP =&gt; CATEGORIE'!$HM$10</f>
        <v>48079.908972074591</v>
      </c>
      <c r="U9" s="427">
        <f>'ANALYSE - ERP =&gt; CATEGORIE'!$HP$10</f>
        <v>39844.385620475521</v>
      </c>
      <c r="V9" s="427">
        <f>'ANALYSE - ERP =&gt; CATEGORIE'!$HS$10</f>
        <v>20333.643863566667</v>
      </c>
      <c r="X9" s="427">
        <f>'ANALYSE - ERP =&gt; CATEGORIE'!$FI$10</f>
        <v>25416.297989999999</v>
      </c>
      <c r="Y9" s="427">
        <f>'ANALYSE - ERP =&gt; CATEGORIE'!$HN$10</f>
        <v>9364.179261299998</v>
      </c>
      <c r="Z9" s="427">
        <f>'ANALYSE - ERP =&gt; CATEGORIE'!$HQ$10</f>
        <v>11150.378586699999</v>
      </c>
      <c r="AA9" s="427">
        <f>'ANALYSE - ERP =&gt; CATEGORIE'!$HT$10</f>
        <v>4901.7401420000006</v>
      </c>
      <c r="AC9" s="430">
        <f>'ANALYSE - ERP =&gt; CATEGORIE'!$Q$10</f>
        <v>1</v>
      </c>
    </row>
    <row r="10" spans="1:29" ht="15" customHeight="1">
      <c r="A10" s="26">
        <v>7</v>
      </c>
      <c r="B10" s="26">
        <v>7</v>
      </c>
      <c r="C10" s="26">
        <v>4</v>
      </c>
      <c r="D10" s="501" t="s">
        <v>2264</v>
      </c>
      <c r="E10" s="502" t="s">
        <v>8014</v>
      </c>
      <c r="F10" s="502" t="s">
        <v>8015</v>
      </c>
      <c r="G10" s="411" t="str">
        <f>'ANALYSE - ERP =&gt; CATEGORIE'!$D$12</f>
        <v>Bureaux (&gt;50 personnes, tertiaire privé + logistique hors usines)
Usines 
(&gt;50 personnes - Hors Ateliers industriels)
Garages / ateliers de réparation automobile recevant du public
Ateliers industriels / de maintenance (&gt;50 personnes)
Centres de stockage / entrepôts / plateformes logistiques (&gt;50 personnes)</v>
      </c>
      <c r="I10" s="427">
        <f t="shared" si="2"/>
        <v>49218.775813778971</v>
      </c>
      <c r="K10" s="787">
        <f t="shared" si="0"/>
        <v>0.79466949283263644</v>
      </c>
      <c r="L10" s="787">
        <f t="shared" si="1"/>
        <v>0.20533050716736351</v>
      </c>
      <c r="N10" s="424">
        <f>'ANALYSE - ERP =&gt; CATEGORIE'!$FG$12</f>
        <v>246093.87906889486</v>
      </c>
      <c r="O10" s="427">
        <f>'ANALYSE - ERP =&gt; CATEGORIE'!$HL$12</f>
        <v>127516.08101049351</v>
      </c>
      <c r="P10" s="427">
        <f>'ANALYSE - ERP =&gt; CATEGORIE'!$HO$12</f>
        <v>69691.722015045787</v>
      </c>
      <c r="Q10" s="427">
        <f>'ANALYSE - ERP =&gt; CATEGORIE'!$HR$12</f>
        <v>48886.076043355562</v>
      </c>
      <c r="S10" s="424">
        <f>'ANALYSE - ERP =&gt; CATEGORIE'!$FH$12</f>
        <v>195563.29806889486</v>
      </c>
      <c r="T10" s="427">
        <f>'ANALYSE - ERP =&gt; CATEGORIE'!$HM$12</f>
        <v>102383.62065049351</v>
      </c>
      <c r="U10" s="427">
        <f>'ANALYSE - ERP =&gt; CATEGORIE'!$HP$12</f>
        <v>53119.481335045784</v>
      </c>
      <c r="V10" s="427">
        <f>'ANALYSE - ERP =&gt; CATEGORIE'!$HS$12</f>
        <v>40060.196083355564</v>
      </c>
      <c r="X10" s="427">
        <f>'ANALYSE - ERP =&gt; CATEGORIE'!$FI$12</f>
        <v>50530.581000000006</v>
      </c>
      <c r="Y10" s="427">
        <f>'ANALYSE - ERP =&gt; CATEGORIE'!$HN$12</f>
        <v>25132.460360000001</v>
      </c>
      <c r="Z10" s="427">
        <f>'ANALYSE - ERP =&gt; CATEGORIE'!$HQ$12</f>
        <v>16572.240680000003</v>
      </c>
      <c r="AA10" s="427">
        <f>'ANALYSE - ERP =&gt; CATEGORIE'!$HT$12</f>
        <v>8825.8799600000002</v>
      </c>
      <c r="AC10" s="430">
        <f>'ANALYSE - ERP =&gt; CATEGORIE'!$Q$12</f>
        <v>1</v>
      </c>
    </row>
    <row r="11" spans="1:29" s="45" customFormat="1" ht="15" customHeight="1">
      <c r="A11" s="26">
        <v>8</v>
      </c>
      <c r="B11" s="26">
        <v>8</v>
      </c>
      <c r="C11" s="26">
        <v>8</v>
      </c>
      <c r="D11" s="505" t="s">
        <v>7117</v>
      </c>
      <c r="E11" s="506" t="s">
        <v>8020</v>
      </c>
      <c r="F11" s="506" t="s">
        <v>8021</v>
      </c>
      <c r="G11" s="410" t="str">
        <f>'ANALYSE - ERP =&gt; CATEGORIE'!$D$13</f>
        <v>Hôtels
Pensions de famille
Résidences de tourisme
Hôtels-restaurants d’altitude
Refuges de montagne
Auberges de jeunesse
Campings
Aires d’accueil des gens du voyage
Centres d’hébergement d’urgence / accueils de nuit
CHRS / centres d’hébergement et de réinsertion sociale
CADA / HUDA / CAES / centres d’accueil pour demandeurs d’asile
Foyers de jeunes travailleurs / résidences sociales / foyers de travailleurs migrants
Accueils de jour / haltes de jour avec douches et sanitaires
Cabinets dentaires / centres dentaires
Laboratoires de biologie médicale recevant du public
Centres d’imagerie médicale recevant du public
Centres de dialyse ambulatoire / unités d’autodialyse
Villages de vacances / clubs vacances / centres de vacances familiaux</v>
      </c>
      <c r="H11" s="685"/>
      <c r="I11" s="427">
        <f t="shared" si="2"/>
        <v>0</v>
      </c>
      <c r="J11" s="685"/>
      <c r="K11" s="787" t="str">
        <f t="shared" si="0"/>
        <v/>
      </c>
      <c r="L11" s="787" t="str">
        <f t="shared" si="1"/>
        <v/>
      </c>
      <c r="M11" s="685"/>
      <c r="N11" s="424">
        <f>'ANALYSE - ERP =&gt; CATEGORIE'!$FG$13</f>
        <v>0</v>
      </c>
      <c r="O11" s="427">
        <f>'ANALYSE - ERP =&gt; CATEGORIE'!$HL$13</f>
        <v>0</v>
      </c>
      <c r="P11" s="427">
        <f>'ANALYSE - ERP =&gt; CATEGORIE'!$HO$13</f>
        <v>0</v>
      </c>
      <c r="Q11" s="427">
        <f>'ANALYSE - ERP =&gt; CATEGORIE'!$HR$13</f>
        <v>0</v>
      </c>
      <c r="R11" s="685"/>
      <c r="S11" s="424">
        <f>'ANALYSE - ERP =&gt; CATEGORIE'!$FH$13</f>
        <v>0</v>
      </c>
      <c r="T11" s="427">
        <f>'ANALYSE - ERP =&gt; CATEGORIE'!$HM$13</f>
        <v>0</v>
      </c>
      <c r="U11" s="427">
        <f>'ANALYSE - ERP =&gt; CATEGORIE'!$HP$13</f>
        <v>0</v>
      </c>
      <c r="V11" s="427">
        <f>'ANALYSE - ERP =&gt; CATEGORIE'!$HS$13</f>
        <v>0</v>
      </c>
      <c r="W11" s="685"/>
      <c r="X11" s="427">
        <f>'ANALYSE - ERP =&gt; CATEGORIE'!$FI$13</f>
        <v>0</v>
      </c>
      <c r="Y11" s="427">
        <f>'ANALYSE - ERP =&gt; CATEGORIE'!$HN$13</f>
        <v>0</v>
      </c>
      <c r="Z11" s="427">
        <f>'ANALYSE - ERP =&gt; CATEGORIE'!$HQ$13</f>
        <v>0</v>
      </c>
      <c r="AA11" s="427">
        <f>'ANALYSE - ERP =&gt; CATEGORIE'!$HT$13</f>
        <v>0</v>
      </c>
      <c r="AB11" s="685"/>
      <c r="AC11" s="430">
        <f>'ANALYSE - ERP =&gt; CATEGORIE'!$Q$13</f>
        <v>0</v>
      </c>
    </row>
    <row r="12" spans="1:29" ht="15" customHeight="1">
      <c r="A12" s="26">
        <v>9</v>
      </c>
      <c r="B12" s="26">
        <v>9</v>
      </c>
      <c r="C12" s="26">
        <v>9</v>
      </c>
      <c r="D12" s="507" t="s">
        <v>2285</v>
      </c>
      <c r="E12" s="508" t="s">
        <v>8022</v>
      </c>
      <c r="F12" s="508" t="s">
        <v>8023</v>
      </c>
      <c r="G12" s="408" t="str">
        <f>'ANALYSE - ERP =&gt; CATEGORIE'!$D$16</f>
        <v>Aires de service - Autoroutes
(Hors Aires de repos)
Aires de repos - Autoroutes
(Hors Aires de service)
Aéroports / aérogares
(&gt;1 000 passagers/an)
Gares ferroviaires et stations
Terminaux maritimes / fluviaux
Établissements flottants
Parcs de stationnement couverts
Ports de plaisance / capitaineries
Rames ferroviaires voyageurs
Aéronefs commerciaux
Ferries et navires à passagers 
Autocars
(Trajets longues distance)
Stations / espaces métro équipés de toilettes publiques (minimum observé RATP)</v>
      </c>
      <c r="I12" s="427">
        <f t="shared" si="2"/>
        <v>7737.2817351083331</v>
      </c>
      <c r="K12" s="787">
        <f t="shared" si="0"/>
        <v>0.80181555945648531</v>
      </c>
      <c r="L12" s="787">
        <f t="shared" si="1"/>
        <v>0.19818444054351475</v>
      </c>
      <c r="N12" s="424">
        <f>'ANALYSE - ERP =&gt; CATEGORIE'!$FG$16</f>
        <v>38686.408675541665</v>
      </c>
      <c r="O12" s="427">
        <f>'ANALYSE - ERP =&gt; CATEGORIE'!$HL$16</f>
        <v>9152.5106291666652</v>
      </c>
      <c r="P12" s="427">
        <f>'ANALYSE - ERP =&gt; CATEGORIE'!$HO$16</f>
        <v>18719.575502708336</v>
      </c>
      <c r="Q12" s="427">
        <f>'ANALYSE - ERP =&gt; CATEGORIE'!$HR$16</f>
        <v>10814.322543666669</v>
      </c>
      <c r="S12" s="424">
        <f>'ANALYSE - ERP =&gt; CATEGORIE'!$FH$16</f>
        <v>31019.364415541666</v>
      </c>
      <c r="T12" s="427">
        <f>'ANALYSE - ERP =&gt; CATEGORIE'!$HM$16</f>
        <v>8024.9909721666654</v>
      </c>
      <c r="U12" s="427">
        <f>'ANALYSE - ERP =&gt; CATEGORIE'!$HP$16</f>
        <v>14478.309031708335</v>
      </c>
      <c r="V12" s="427">
        <f>'ANALYSE - ERP =&gt; CATEGORIE'!$HS$16</f>
        <v>8516.0644116666663</v>
      </c>
      <c r="X12" s="427">
        <f>'ANALYSE - ERP =&gt; CATEGORIE'!$FI$16</f>
        <v>7667.0442600000006</v>
      </c>
      <c r="Y12" s="427">
        <f>'ANALYSE - ERP =&gt; CATEGORIE'!$HN$16</f>
        <v>1127.5196569999998</v>
      </c>
      <c r="Z12" s="427">
        <f>'ANALYSE - ERP =&gt; CATEGORIE'!$HQ$16</f>
        <v>4241.2664709999999</v>
      </c>
      <c r="AA12" s="427">
        <f>'ANALYSE - ERP =&gt; CATEGORIE'!$HT$16</f>
        <v>2298.2581320000004</v>
      </c>
      <c r="AC12" s="430">
        <f>'ANALYSE - ERP =&gt; CATEGORIE'!$Q$16</f>
        <v>1</v>
      </c>
    </row>
    <row r="13" spans="1:29" ht="15" customHeight="1">
      <c r="A13" s="26">
        <v>10</v>
      </c>
      <c r="B13" s="26">
        <v>10</v>
      </c>
      <c r="C13" s="26">
        <v>10</v>
      </c>
      <c r="D13" s="509" t="s">
        <v>4908</v>
      </c>
      <c r="E13" s="510" t="s">
        <v>8024</v>
      </c>
      <c r="F13" s="510" t="s">
        <v>8025</v>
      </c>
      <c r="G13" s="415" t="str">
        <f>'ANALYSE - ERP =&gt; CATEGORIE'!$D$17</f>
        <v>Locaux de sûreté, garde à vue et zones opérationnelles
Postes de proximité et antennes avec accueil public
Salles de réunion, de prévention ou de conférence ouvertes au public
Unités d'hébergement des militaires &amp; réservistes
Centres de recrutement et bureaux d’information
Restaurants ou équipements sportifs ouverts au public sur emprise militaire
Hôpitaux d’instruction des armées et centres médicaux recevant du public
Salles de conférence, auditoriums et espaces événementiels ouverts au public
Maisons d’arrêt
Centres de détention
Maisons centrales
Centres pénitentiaires
Centres de semi-liberté
Centres éducatifs fermés
Centres pour peines aménagées
(absorbés par autres centres carcéraux)
Unités hospitalières sécurisées
Palais de justice et bâtiments judiciaires multi-usages
Maisons de justice et du droit
Tribunaux de commerce autonomes
Conseils de prud’hommes autonomes
Autres bâtiments judiciaires autonomes recevant du public</v>
      </c>
      <c r="I13" s="427">
        <f t="shared" si="2"/>
        <v>5295.1694886334662</v>
      </c>
      <c r="K13" s="787">
        <f t="shared" si="0"/>
        <v>0.73504095817675597</v>
      </c>
      <c r="L13" s="787">
        <f t="shared" si="1"/>
        <v>0.26495904182324398</v>
      </c>
      <c r="N13" s="424">
        <f>'ANALYSE - ERP =&gt; CATEGORIE'!$FG$17</f>
        <v>26475.847443167331</v>
      </c>
      <c r="O13" s="427">
        <f>'ANALYSE - ERP =&gt; CATEGORIE'!$HL$17</f>
        <v>12391.150520783334</v>
      </c>
      <c r="P13" s="427">
        <f>'ANALYSE - ERP =&gt; CATEGORIE'!$HO$17</f>
        <v>11684.463109928438</v>
      </c>
      <c r="Q13" s="427">
        <f>'ANALYSE - ERP =&gt; CATEGORIE'!$HR$17</f>
        <v>2400.2338124555554</v>
      </c>
      <c r="S13" s="424">
        <f>'ANALYSE - ERP =&gt; CATEGORIE'!$FH$17</f>
        <v>19460.832273167329</v>
      </c>
      <c r="T13" s="427">
        <f>'ANALYSE - ERP =&gt; CATEGORIE'!$HM$17</f>
        <v>9482.7703078833347</v>
      </c>
      <c r="U13" s="427">
        <f>'ANALYSE - ERP =&gt; CATEGORIE'!$HP$17</f>
        <v>8132.4658552284372</v>
      </c>
      <c r="V13" s="427">
        <f>'ANALYSE - ERP =&gt; CATEGORIE'!$HS$17</f>
        <v>1845.5961100555558</v>
      </c>
      <c r="X13" s="427">
        <f>'ANALYSE - ERP =&gt; CATEGORIE'!$FI$17</f>
        <v>7015.0151700000006</v>
      </c>
      <c r="Y13" s="427">
        <f>'ANALYSE - ERP =&gt; CATEGORIE'!$HN$17</f>
        <v>2908.3802129000005</v>
      </c>
      <c r="Z13" s="427">
        <f>'ANALYSE - ERP =&gt; CATEGORIE'!$HQ$17</f>
        <v>3551.9972546999998</v>
      </c>
      <c r="AA13" s="427">
        <f>'ANALYSE - ERP =&gt; CATEGORIE'!$HT$17</f>
        <v>554.63770240000008</v>
      </c>
      <c r="AC13" s="430">
        <f>'ANALYSE - ERP =&gt; CATEGORIE'!$Q$17</f>
        <v>1</v>
      </c>
    </row>
    <row r="14" spans="1:29" ht="15" customHeight="1">
      <c r="A14" s="26">
        <v>11</v>
      </c>
      <c r="B14" s="26">
        <v>11</v>
      </c>
      <c r="C14" s="26">
        <v>11</v>
      </c>
      <c r="D14" s="501" t="s">
        <v>2163</v>
      </c>
      <c r="E14" s="502" t="s">
        <v>2163</v>
      </c>
      <c r="F14" s="502" t="s">
        <v>2164</v>
      </c>
      <c r="G14" s="410" t="str">
        <f>'ANALYSE - ERP =&gt; CATEGORIE'!$D$18</f>
        <v>Toilettes publiques (sur la voie publique)
Bains-douches municipaux / douches publiques fixes
Blocs sanitaires de plage / front de mer</v>
      </c>
      <c r="I14" s="427">
        <f t="shared" si="2"/>
        <v>1627.4045421428571</v>
      </c>
      <c r="K14" s="787">
        <f t="shared" si="0"/>
        <v>0.80090243598966349</v>
      </c>
      <c r="L14" s="787">
        <f t="shared" si="1"/>
        <v>0.1990975640103366</v>
      </c>
      <c r="N14" s="424">
        <f>'ANALYSE - ERP =&gt; CATEGORIE'!$FG$18</f>
        <v>8137.0227107142855</v>
      </c>
      <c r="O14" s="427">
        <f>'ANALYSE - ERP =&gt; CATEGORIE'!$HL$18</f>
        <v>776.44177999999988</v>
      </c>
      <c r="P14" s="427">
        <f>'ANALYSE - ERP =&gt; CATEGORIE'!$HO$18</f>
        <v>4746.8944089999995</v>
      </c>
      <c r="Q14" s="427">
        <f>'ANALYSE - ERP =&gt; CATEGORIE'!$HR$18</f>
        <v>2613.6865217142858</v>
      </c>
      <c r="S14" s="424">
        <f>'ANALYSE - ERP =&gt; CATEGORIE'!$FH$18</f>
        <v>6516.9613107142859</v>
      </c>
      <c r="T14" s="427">
        <f>'ANALYSE - ERP =&gt; CATEGORIE'!$HM$18</f>
        <v>691.67949999999985</v>
      </c>
      <c r="U14" s="427">
        <f>'ANALYSE - ERP =&gt; CATEGORIE'!$HP$18</f>
        <v>3696.110025</v>
      </c>
      <c r="V14" s="427">
        <f>'ANALYSE - ERP =&gt; CATEGORIE'!$HS$18</f>
        <v>2129.1717857142858</v>
      </c>
      <c r="X14" s="427">
        <f>'ANALYSE - ERP =&gt; CATEGORIE'!$FI$18</f>
        <v>1620.0614</v>
      </c>
      <c r="Y14" s="427">
        <f>'ANALYSE - ERP =&gt; CATEGORIE'!$HN$18</f>
        <v>84.762280000000004</v>
      </c>
      <c r="Z14" s="427">
        <f>'ANALYSE - ERP =&gt; CATEGORIE'!$HQ$18</f>
        <v>1050.784384</v>
      </c>
      <c r="AA14" s="427">
        <f>'ANALYSE - ERP =&gt; CATEGORIE'!$HT$18</f>
        <v>484.51473600000003</v>
      </c>
      <c r="AC14" s="430">
        <f>'ANALYSE - ERP =&gt; CATEGORIE'!$Q$18</f>
        <v>1</v>
      </c>
    </row>
  </sheetData>
  <pageMargins left="3.937007874015748E-2" right="3.937007874015748E-2" top="7.874015748031496E-2" bottom="7.874015748031496E-2" header="0.11811023622047249" footer="0.11811023622047249"/>
  <pageSetup paperSize="8" scale="74" fitToHeight="2"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5"/>
    <pageSetUpPr fitToPage="1"/>
  </sheetPr>
  <dimension ref="A1:BZ14"/>
  <sheetViews>
    <sheetView topLeftCell="A4" workbookViewId="0">
      <selection activeCell="L24" sqref="L24"/>
    </sheetView>
  </sheetViews>
  <sheetFormatPr baseColWidth="10" defaultColWidth="9.140625" defaultRowHeight="15"/>
  <cols>
    <col min="1" max="1" width="7.42578125" style="934" customWidth="1"/>
    <col min="2" max="2" width="7.28515625" style="934" customWidth="1"/>
    <col min="3" max="3" width="6" style="934" customWidth="1"/>
    <col min="4" max="4" width="30.5703125" style="934" customWidth="1"/>
    <col min="5" max="5" width="27.7109375" style="43" customWidth="1"/>
    <col min="6" max="6" width="51.7109375" style="43" customWidth="1"/>
    <col min="7" max="7" width="1.7109375" style="933" customWidth="1"/>
    <col min="8" max="8" width="8.7109375" style="43" customWidth="1"/>
    <col min="9" max="12" width="8.7109375" style="934" customWidth="1"/>
    <col min="13" max="13" width="1.7109375" style="933" customWidth="1"/>
    <col min="14" max="18" width="8.710937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7967</v>
      </c>
      <c r="F1" s="479"/>
      <c r="H1" s="474"/>
      <c r="I1" s="474"/>
      <c r="J1" s="475" t="s">
        <v>7968</v>
      </c>
      <c r="K1" s="474"/>
      <c r="L1" s="474"/>
      <c r="N1" s="452"/>
      <c r="O1" s="452"/>
      <c r="P1" s="476" t="s">
        <v>7969</v>
      </c>
      <c r="Q1" s="452"/>
      <c r="R1" s="452"/>
      <c r="T1" s="452"/>
    </row>
    <row r="2" spans="1:20" ht="45" customHeight="1">
      <c r="A2" s="420" t="s">
        <v>6712</v>
      </c>
      <c r="B2" s="420"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520" t="s">
        <v>6739</v>
      </c>
      <c r="E3" s="520" t="s">
        <v>8006</v>
      </c>
      <c r="F3" s="520" t="s">
        <v>8007</v>
      </c>
      <c r="H3" s="790">
        <f>IFERROR(SUMPRODUCT(($T$4:$T$106),('ANALYSE - ERP =&gt; CATEGORIE'!$HW$8:$HW$110))/SUMPRODUCT(($T$4:$T$106),('ANALYSE - ERP =&gt; CATEGORIE'!$HV$8:$HV$110)),"")</f>
        <v>4.6674244383683665E-2</v>
      </c>
      <c r="I3" s="790">
        <f>IFERROR(SUMPRODUCT(($T$4:$T$106),('ANALYSE - ERP =&gt; CATEGORIE'!$HX$8:$HX$110))/SUMPRODUCT(($T$4:$T$106),('ANALYSE - ERP =&gt; CATEGORIE'!$HV$8:$HV$110)),"")</f>
        <v>0.42190146335541279</v>
      </c>
      <c r="J3" s="790">
        <f>IFERROR(SUMPRODUCT(($T$4:$T$106),('ANALYSE - ERP =&gt; CATEGORIE'!$HY$8:$HY$110))/SUMPRODUCT(($T$4:$T$106),('ANALYSE - ERP =&gt; CATEGORIE'!$HV$8:$HV$110)),"")</f>
        <v>0.45190285300394972</v>
      </c>
      <c r="K3" s="790">
        <f>IFERROR(SUMPRODUCT(($T$4:$T$106),('ANALYSE - ERP =&gt; CATEGORIE'!$HZ$8:$HZ$110))/SUMPRODUCT(($T$4:$T$106),('ANALYSE - ERP =&gt; CATEGORIE'!$HV$8:$HV$110)),"")</f>
        <v>7.6724740265733213E-2</v>
      </c>
      <c r="L3" s="790">
        <f>IFERROR(SUMPRODUCT(($T$4:$T$106),('ANALYSE - ERP =&gt; CATEGORIE'!$IA$8:$IA$110))/SUMPRODUCT(($T$4:$T$106),('ANALYSE - ERP =&gt; CATEGORIE'!$HV$8:$HV$110)),"")</f>
        <v>2.7966989912205044E-3</v>
      </c>
      <c r="N3" s="790">
        <f>IFERROR(SUMPRODUCT(($T$4:$T$106),('ANALYSE - ERP =&gt; CATEGORIE'!$IC$8:$IC$110))/SUMPRODUCT(($T$4:$T$106),('ANALYSE - ERP =&gt; CATEGORIE'!$IB$8:$IB$110)),"")</f>
        <v>2.4765944555998638E-2</v>
      </c>
      <c r="O3" s="790">
        <f>IFERROR(SUMPRODUCT(($T$4:$T$106),('ANALYSE - ERP =&gt; CATEGORIE'!$ID$8:$ID$110))/SUMPRODUCT(($T$4:$T$106),('ANALYSE - ERP =&gt; CATEGORIE'!$IB$8:$IB$110)),"")</f>
        <v>0.38480107753628423</v>
      </c>
      <c r="P3" s="790">
        <f>IFERROR(SUMPRODUCT(($T$4:$T$106),('ANALYSE - ERP =&gt; CATEGORIE'!$IE$8:$IE$110))/SUMPRODUCT(($T$4:$T$106),('ANALYSE - ERP =&gt; CATEGORIE'!$IB$8:$IB$110)),"")</f>
        <v>0.47371387449067209</v>
      </c>
      <c r="Q3" s="790">
        <f>IFERROR(SUMPRODUCT(($T$4:$T$106),('ANALYSE - ERP =&gt; CATEGORIE'!$IF$8:$IF$110))/SUMPRODUCT(($T$4:$T$106),('ANALYSE - ERP =&gt; CATEGORIE'!$IB$8:$IB$110)),"")</f>
        <v>0.10641827228681956</v>
      </c>
      <c r="R3" s="790">
        <f>IFERROR(SUMPRODUCT(($T$4:$T$106),('ANALYSE - ERP =&gt; CATEGORIE'!$IG$8:$IG$110))/SUMPRODUCT(($T$4:$T$106),('ANALYSE - ERP =&gt; CATEGORIE'!$IB$8:$IB$110)),"")</f>
        <v>1.0300831130225665E-2</v>
      </c>
      <c r="T3" s="428">
        <f>SUM('ANALYSE - ERP =&gt; CATEGORIE'!$Q$8:$Q$110)</f>
        <v>9</v>
      </c>
    </row>
    <row r="4" spans="1:20" ht="15" customHeight="1">
      <c r="A4" s="26">
        <v>1</v>
      </c>
      <c r="B4" s="26">
        <v>1</v>
      </c>
      <c r="C4" s="422">
        <f>'ANALYSE - ERP =&gt; CATEGORIE'!$A$11</f>
        <v>4</v>
      </c>
      <c r="D4" s="492" t="s">
        <v>2187</v>
      </c>
      <c r="E4" s="492" t="s">
        <v>8008</v>
      </c>
      <c r="F4" s="492" t="s">
        <v>8009</v>
      </c>
      <c r="H4" s="787">
        <f>IFERROR('ANALYSE - ERP =&gt; CATEGORIE'!$HW$11/'ANALYSE - ERP =&gt; CATEGORIE'!$HV$11,"")</f>
        <v>2.3862347664703479E-2</v>
      </c>
      <c r="I4" s="787">
        <f>IFERROR('ANALYSE - ERP =&gt; CATEGORIE'!$HX$11/'ANALYSE - ERP =&gt; CATEGORIE'!$HV$11,"")</f>
        <v>0.3549222081646401</v>
      </c>
      <c r="J4" s="787">
        <f>IFERROR('ANALYSE - ERP =&gt; CATEGORIE'!$HY$11/'ANALYSE - ERP =&gt; CATEGORIE'!$HV$11,"")</f>
        <v>0.45591632248923747</v>
      </c>
      <c r="K4" s="787">
        <f>IFERROR('ANALYSE - ERP =&gt; CATEGORIE'!$HZ$11/'ANALYSE - ERP =&gt; CATEGORIE'!$HV$11,"")</f>
        <v>0.14068144856429479</v>
      </c>
      <c r="L4" s="787">
        <f>IFERROR('ANALYSE - ERP =&gt; CATEGORIE'!$IA$11/'ANALYSE - ERP =&gt; CATEGORIE'!$HV$11,"")</f>
        <v>2.461767311712414E-2</v>
      </c>
      <c r="N4" s="787">
        <f>IFERROR('ANALYSE - ERP =&gt; CATEGORIE'!$IC$11/'ANALYSE - ERP =&gt; CATEGORIE'!$IB$11,"")</f>
        <v>2.6806819990870725E-3</v>
      </c>
      <c r="O4" s="787">
        <f>IFERROR('ANALYSE - ERP =&gt; CATEGORIE'!$ID$11/'ANALYSE - ERP =&gt; CATEGORIE'!$IB$11,"")</f>
        <v>0.27660916196778024</v>
      </c>
      <c r="P4" s="787">
        <f>IFERROR('ANALYSE - ERP =&gt; CATEGORIE'!$IE$11/'ANALYSE - ERP =&gt; CATEGORIE'!$IB$11,"")</f>
        <v>0.50867121771999668</v>
      </c>
      <c r="Q4" s="787">
        <f>IFERROR('ANALYSE - ERP =&gt; CATEGORIE'!$IF$11/'ANALYSE - ERP =&gt; CATEGORIE'!$IB$11,"")</f>
        <v>0.18072692278489283</v>
      </c>
      <c r="R4" s="787">
        <f>IFERROR('ANALYSE - ERP =&gt; CATEGORIE'!$IG$11/'ANALYSE - ERP =&gt; CATEGORIE'!$IB$11,"")</f>
        <v>3.1312015528243413E-2</v>
      </c>
      <c r="T4" s="430">
        <f>'ANALYSE - ERP =&gt; CATEGORIE'!$Q$11</f>
        <v>1</v>
      </c>
    </row>
    <row r="5" spans="1:20" ht="15" customHeight="1">
      <c r="A5" s="26">
        <v>2</v>
      </c>
      <c r="B5" s="26">
        <v>4</v>
      </c>
      <c r="C5" s="422">
        <f>'ANALYSE - ERP =&gt; CATEGORIE'!$A$15</f>
        <v>8</v>
      </c>
      <c r="D5" s="496" t="s">
        <v>1670</v>
      </c>
      <c r="E5" s="496" t="s">
        <v>8010</v>
      </c>
      <c r="F5" s="496" t="s">
        <v>8011</v>
      </c>
      <c r="H5" s="787" t="str">
        <f>IFERROR('ANALYSE - ERP =&gt; CATEGORIE'!$HW$15/'ANALYSE - ERP =&gt; CATEGORIE'!$HV$15,"")</f>
        <v/>
      </c>
      <c r="I5" s="787" t="str">
        <f>IFERROR('ANALYSE - ERP =&gt; CATEGORIE'!$HX$15/'ANALYSE - ERP =&gt; CATEGORIE'!$HV$15,"")</f>
        <v/>
      </c>
      <c r="J5" s="787" t="str">
        <f>IFERROR('ANALYSE - ERP =&gt; CATEGORIE'!$HY$15/'ANALYSE - ERP =&gt; CATEGORIE'!$HV$15,"")</f>
        <v/>
      </c>
      <c r="K5" s="787" t="str">
        <f>IFERROR('ANALYSE - ERP =&gt; CATEGORIE'!$HZ$15/'ANALYSE - ERP =&gt; CATEGORIE'!$HV$15,"")</f>
        <v/>
      </c>
      <c r="L5" s="787" t="str">
        <f>IFERROR('ANALYSE - ERP =&gt; CATEGORIE'!$IA$15/'ANALYSE - ERP =&gt; CATEGORIE'!$HV$15,"")</f>
        <v/>
      </c>
      <c r="N5" s="787" t="str">
        <f>IFERROR('ANALYSE - ERP =&gt; CATEGORIE'!$IC$15/'ANALYSE - ERP =&gt; CATEGORIE'!$IB$15,"")</f>
        <v/>
      </c>
      <c r="O5" s="787" t="str">
        <f>IFERROR('ANALYSE - ERP =&gt; CATEGORIE'!$ID$15/'ANALYSE - ERP =&gt; CATEGORIE'!$IB$15,"")</f>
        <v/>
      </c>
      <c r="P5" s="787" t="str">
        <f>IFERROR('ANALYSE - ERP =&gt; CATEGORIE'!$IE$15/'ANALYSE - ERP =&gt; CATEGORIE'!$IB$15,"")</f>
        <v/>
      </c>
      <c r="Q5" s="787" t="str">
        <f>IFERROR('ANALYSE - ERP =&gt; CATEGORIE'!$IF$15/'ANALYSE - ERP =&gt; CATEGORIE'!$IB$15,"")</f>
        <v/>
      </c>
      <c r="R5" s="787" t="str">
        <f>IFERROR('ANALYSE - ERP =&gt; CATEGORIE'!$IG$15/'ANALYSE - ERP =&gt; CATEGORIE'!$IB$15,"")</f>
        <v/>
      </c>
      <c r="T5" s="430">
        <f>'ANALYSE - ERP =&gt; CATEGORIE'!$Q$15</f>
        <v>0</v>
      </c>
    </row>
    <row r="6" spans="1:20" ht="15" customHeight="1">
      <c r="A6" s="26">
        <v>3</v>
      </c>
      <c r="B6" s="26">
        <v>3</v>
      </c>
      <c r="C6" s="422">
        <f>'ANALYSE - ERP =&gt; CATEGORIE'!$A$9</f>
        <v>2</v>
      </c>
      <c r="D6" s="494" t="s">
        <v>2241</v>
      </c>
      <c r="E6" s="494" t="s">
        <v>8012</v>
      </c>
      <c r="F6" s="494" t="s">
        <v>8013</v>
      </c>
      <c r="H6" s="787">
        <f>IFERROR('ANALYSE - ERP =&gt; CATEGORIE'!$HW$9/'ANALYSE - ERP =&gt; CATEGORIE'!$HV$9,"")</f>
        <v>2.1790785594990968E-4</v>
      </c>
      <c r="I6" s="787">
        <f>IFERROR('ANALYSE - ERP =&gt; CATEGORIE'!$HX$9/'ANALYSE - ERP =&gt; CATEGORIE'!$HV$9,"")</f>
        <v>0.15252357377015638</v>
      </c>
      <c r="J6" s="787">
        <f>IFERROR('ANALYSE - ERP =&gt; CATEGORIE'!$HY$9/'ANALYSE - ERP =&gt; CATEGORIE'!$HV$9,"")</f>
        <v>0.54861111642933802</v>
      </c>
      <c r="K6" s="787">
        <f>IFERROR('ANALYSE - ERP =&gt; CATEGORIE'!$HZ$9/'ANALYSE - ERP =&gt; CATEGORIE'!$HV$9,"")</f>
        <v>0.29167275569552725</v>
      </c>
      <c r="L6" s="787">
        <f>IFERROR('ANALYSE - ERP =&gt; CATEGORIE'!$IA$9/'ANALYSE - ERP =&gt; CATEGORIE'!$HV$9,"")</f>
        <v>6.9746462490284065E-3</v>
      </c>
      <c r="N6" s="787">
        <f>IFERROR('ANALYSE - ERP =&gt; CATEGORIE'!$IC$9/'ANALYSE - ERP =&gt; CATEGORIE'!$IB$9,"")</f>
        <v>5.5777449950682258E-6</v>
      </c>
      <c r="O6" s="787">
        <f>IFERROR('ANALYSE - ERP =&gt; CATEGORIE'!$ID$9/'ANALYSE - ERP =&gt; CATEGORIE'!$IB$9,"")</f>
        <v>7.8208015911981552E-2</v>
      </c>
      <c r="P6" s="787">
        <f>IFERROR('ANALYSE - ERP =&gt; CATEGORIE'!$IE$9/'ANALYSE - ERP =&gt; CATEGORIE'!$IB$9,"")</f>
        <v>0.49785381939616313</v>
      </c>
      <c r="Q6" s="787">
        <f>IFERROR('ANALYSE - ERP =&gt; CATEGORIE'!$IF$9/'ANALYSE - ERP =&gt; CATEGORIE'!$IB$9,"")</f>
        <v>0.39555636828447632</v>
      </c>
      <c r="R6" s="787">
        <f>IFERROR('ANALYSE - ERP =&gt; CATEGORIE'!$IG$9/'ANALYSE - ERP =&gt; CATEGORIE'!$IB$9,"")</f>
        <v>2.8376218662384014E-2</v>
      </c>
      <c r="T6" s="430">
        <f>'ANALYSE - ERP =&gt; CATEGORIE'!$Q$9</f>
        <v>1</v>
      </c>
    </row>
    <row r="7" spans="1:20" ht="15" customHeight="1">
      <c r="A7" s="26">
        <v>4</v>
      </c>
      <c r="B7" s="26">
        <v>2</v>
      </c>
      <c r="C7" s="422">
        <f>'ANALYSE - ERP =&gt; CATEGORIE'!$A$8</f>
        <v>1</v>
      </c>
      <c r="D7" s="498" t="s">
        <v>6739</v>
      </c>
      <c r="E7" s="498" t="s">
        <v>8006</v>
      </c>
      <c r="F7" s="498" t="s">
        <v>8007</v>
      </c>
      <c r="H7" s="787" t="str">
        <f>IFERROR('ANALYSE - ERP =&gt; CATEGORIE'!$HW$8/'ANALYSE - ERP =&gt; CATEGORIE'!$HV$8,"")</f>
        <v/>
      </c>
      <c r="I7" s="787" t="str">
        <f>IFERROR('ANALYSE - ERP =&gt; CATEGORIE'!$HX$8/'ANALYSE - ERP =&gt; CATEGORIE'!$HV$8,"")</f>
        <v/>
      </c>
      <c r="J7" s="787" t="str">
        <f>IFERROR('ANALYSE - ERP =&gt; CATEGORIE'!$HY$8/'ANALYSE - ERP =&gt; CATEGORIE'!$HV$8,"")</f>
        <v/>
      </c>
      <c r="K7" s="787" t="str">
        <f>IFERROR('ANALYSE - ERP =&gt; CATEGORIE'!$HZ$8/'ANALYSE - ERP =&gt; CATEGORIE'!$HV$8,"")</f>
        <v/>
      </c>
      <c r="L7" s="787" t="str">
        <f>IFERROR('ANALYSE - ERP =&gt; CATEGORIE'!$IA$8/'ANALYSE - ERP =&gt; CATEGORIE'!$HV$8,"")</f>
        <v/>
      </c>
      <c r="N7" s="787" t="str">
        <f>IFERROR('ANALYSE - ERP =&gt; CATEGORIE'!$IC$8/'ANALYSE - ERP =&gt; CATEGORIE'!$IB$8,"")</f>
        <v/>
      </c>
      <c r="O7" s="787" t="str">
        <f>IFERROR('ANALYSE - ERP =&gt; CATEGORIE'!$ID$8/'ANALYSE - ERP =&gt; CATEGORIE'!$IB$8,"")</f>
        <v/>
      </c>
      <c r="P7" s="787" t="str">
        <f>IFERROR('ANALYSE - ERP =&gt; CATEGORIE'!$IE$8/'ANALYSE - ERP =&gt; CATEGORIE'!$IB$8,"")</f>
        <v/>
      </c>
      <c r="Q7" s="787" t="str">
        <f>IFERROR('ANALYSE - ERP =&gt; CATEGORIE'!$IF$8/'ANALYSE - ERP =&gt; CATEGORIE'!$IB$8,"")</f>
        <v/>
      </c>
      <c r="R7" s="787" t="str">
        <f>IFERROR('ANALYSE - ERP =&gt; CATEGORIE'!$IG$8/'ANALYSE - ERP =&gt; CATEGORIE'!$IB$8,"")</f>
        <v/>
      </c>
      <c r="T7" s="430">
        <f>'ANALYSE - ERP =&gt; CATEGORIE'!$Q$8</f>
        <v>0</v>
      </c>
    </row>
    <row r="8" spans="1:20" ht="15" customHeight="1">
      <c r="A8" s="26">
        <v>5</v>
      </c>
      <c r="B8" s="26">
        <v>7</v>
      </c>
      <c r="C8" s="422">
        <f>'ANALYSE - ERP =&gt; CATEGORIE'!$A$12</f>
        <v>5</v>
      </c>
      <c r="D8" s="502" t="s">
        <v>2264</v>
      </c>
      <c r="E8" s="502" t="s">
        <v>8014</v>
      </c>
      <c r="F8" s="502" t="s">
        <v>8015</v>
      </c>
      <c r="H8" s="787">
        <f>IFERROR('ANALYSE - ERP =&gt; CATEGORIE'!$HW$12/'ANALYSE - ERP =&gt; CATEGORIE'!$HV$12,"")</f>
        <v>4.2960566141689895E-2</v>
      </c>
      <c r="I8" s="787">
        <f>IFERROR('ANALYSE - ERP =&gt; CATEGORIE'!$HX$12/'ANALYSE - ERP =&gt; CATEGORIE'!$HV$12,"")</f>
        <v>0.42718119151843237</v>
      </c>
      <c r="J8" s="787">
        <f>IFERROR('ANALYSE - ERP =&gt; CATEGORIE'!$HY$12/'ANALYSE - ERP =&gt; CATEGORIE'!$HV$12,"")</f>
        <v>0.46411636249572108</v>
      </c>
      <c r="K8" s="787">
        <f>IFERROR('ANALYSE - ERP =&gt; CATEGORIE'!$HZ$12/'ANALYSE - ERP =&gt; CATEGORIE'!$HV$12,"")</f>
        <v>6.5043984314808401E-2</v>
      </c>
      <c r="L8" s="787">
        <f>IFERROR('ANALYSE - ERP =&gt; CATEGORIE'!$IA$12/'ANALYSE - ERP =&gt; CATEGORIE'!$HV$12,"")</f>
        <v>6.978955293483112E-4</v>
      </c>
      <c r="N8" s="787">
        <f>IFERROR('ANALYSE - ERP =&gt; CATEGORIE'!$IC$12/'ANALYSE - ERP =&gt; CATEGORIE'!$IB$12,"")</f>
        <v>2.0055840499756616E-2</v>
      </c>
      <c r="O8" s="787">
        <f>IFERROR('ANALYSE - ERP =&gt; CATEGORIE'!$ID$12/'ANALYSE - ERP =&gt; CATEGORIE'!$IB$12,"")</f>
        <v>0.39833218475964255</v>
      </c>
      <c r="P8" s="787">
        <f>IFERROR('ANALYSE - ERP =&gt; CATEGORIE'!$IE$12/'ANALYSE - ERP =&gt; CATEGORIE'!$IB$12,"")</f>
        <v>0.49046045653839593</v>
      </c>
      <c r="Q8" s="787">
        <f>IFERROR('ANALYSE - ERP =&gt; CATEGORIE'!$IF$12/'ANALYSE - ERP =&gt; CATEGORIE'!$IB$12,"")</f>
        <v>8.5276169140181046E-2</v>
      </c>
      <c r="R8" s="787">
        <f>IFERROR('ANALYSE - ERP =&gt; CATEGORIE'!$IG$12/'ANALYSE - ERP =&gt; CATEGORIE'!$IB$12,"")</f>
        <v>5.8753490620236963E-3</v>
      </c>
      <c r="T8" s="430">
        <f>'ANALYSE - ERP =&gt; CATEGORIE'!$Q$12</f>
        <v>1</v>
      </c>
    </row>
    <row r="9" spans="1:20" ht="15" customHeight="1">
      <c r="A9" s="26">
        <v>6</v>
      </c>
      <c r="B9" s="26">
        <v>5</v>
      </c>
      <c r="C9" s="422">
        <f>'ANALYSE - ERP =&gt; CATEGORIE'!$A$14</f>
        <v>7</v>
      </c>
      <c r="D9" s="504" t="s">
        <v>2278</v>
      </c>
      <c r="E9" s="504" t="s">
        <v>8016</v>
      </c>
      <c r="F9" s="504" t="s">
        <v>8017</v>
      </c>
      <c r="H9" s="787">
        <f>IFERROR('ANALYSE - ERP =&gt; CATEGORIE'!$HW$14/'ANALYSE - ERP =&gt; CATEGORIE'!$HV$14,"")</f>
        <v>5.620068604776593E-2</v>
      </c>
      <c r="I9" s="787">
        <f>IFERROR('ANALYSE - ERP =&gt; CATEGORIE'!$HX$14/'ANALYSE - ERP =&gt; CATEGORIE'!$HV$14,"")</f>
        <v>0.45460627859486813</v>
      </c>
      <c r="J9" s="787">
        <f>IFERROR('ANALYSE - ERP =&gt; CATEGORIE'!$HY$14/'ANALYSE - ERP =&gt; CATEGORIE'!$HV$14,"")</f>
        <v>0.43692661021516455</v>
      </c>
      <c r="K9" s="787">
        <f>IFERROR('ANALYSE - ERP =&gt; CATEGORIE'!$HZ$14/'ANALYSE - ERP =&gt; CATEGORIE'!$HV$14,"")</f>
        <v>5.221414315457857E-2</v>
      </c>
      <c r="L9" s="787">
        <f>IFERROR('ANALYSE - ERP =&gt; CATEGORIE'!$IA$14/'ANALYSE - ERP =&gt; CATEGORIE'!$HV$14,"")</f>
        <v>5.2281987622652066E-5</v>
      </c>
      <c r="N9" s="787">
        <f>IFERROR('ANALYSE - ERP =&gt; CATEGORIE'!$IC$14/'ANALYSE - ERP =&gt; CATEGORIE'!$IB$14,"")</f>
        <v>3.6504460330350125E-2</v>
      </c>
      <c r="O9" s="787">
        <f>IFERROR('ANALYSE - ERP =&gt; CATEGORIE'!$ID$14/'ANALYSE - ERP =&gt; CATEGORIE'!$IB$14,"")</f>
        <v>0.4272263330132734</v>
      </c>
      <c r="P9" s="787">
        <f>IFERROR('ANALYSE - ERP =&gt; CATEGORIE'!$IE$14/'ANALYSE - ERP =&gt; CATEGORIE'!$IB$14,"")</f>
        <v>0.45968855256261942</v>
      </c>
      <c r="Q9" s="787">
        <f>IFERROR('ANALYSE - ERP =&gt; CATEGORIE'!$IF$14/'ANALYSE - ERP =&gt; CATEGORIE'!$IB$14,"")</f>
        <v>7.2541253928972274E-2</v>
      </c>
      <c r="R9" s="787">
        <f>IFERROR('ANALYSE - ERP =&gt; CATEGORIE'!$IG$14/'ANALYSE - ERP =&gt; CATEGORIE'!$IB$14,"")</f>
        <v>4.0394001647850548E-3</v>
      </c>
      <c r="T9" s="430">
        <f>'ANALYSE - ERP =&gt; CATEGORIE'!$Q$14</f>
        <v>1</v>
      </c>
    </row>
    <row r="10" spans="1:20" ht="15" customHeight="1">
      <c r="A10" s="26">
        <v>7</v>
      </c>
      <c r="B10" s="26">
        <v>6</v>
      </c>
      <c r="C10" s="422">
        <f>'ANALYSE - ERP =&gt; CATEGORIE'!$A$10</f>
        <v>3</v>
      </c>
      <c r="D10" s="500" t="s">
        <v>3662</v>
      </c>
      <c r="E10" s="500" t="s">
        <v>8018</v>
      </c>
      <c r="F10" s="500" t="s">
        <v>8019</v>
      </c>
      <c r="H10" s="787">
        <f>IFERROR('ANALYSE - ERP =&gt; CATEGORIE'!$HW$10/'ANALYSE - ERP =&gt; CATEGORIE'!$HV$10,"")</f>
        <v>2.6383828058042211E-2</v>
      </c>
      <c r="I10" s="787">
        <f>IFERROR('ANALYSE - ERP =&gt; CATEGORIE'!$HX$10/'ANALYSE - ERP =&gt; CATEGORIE'!$HV$10,"")</f>
        <v>0.35150269416161828</v>
      </c>
      <c r="J10" s="787">
        <f>IFERROR('ANALYSE - ERP =&gt; CATEGORIE'!$HY$10/'ANALYSE - ERP =&gt; CATEGORIE'!$HV$10,"")</f>
        <v>0.48888309427239596</v>
      </c>
      <c r="K10" s="787">
        <f>IFERROR('ANALYSE - ERP =&gt; CATEGORIE'!$HZ$10/'ANALYSE - ERP =&gt; CATEGORIE'!$HV$10,"")</f>
        <v>0.12588155689256506</v>
      </c>
      <c r="L10" s="787">
        <f>IFERROR('ANALYSE - ERP =&gt; CATEGORIE'!$IA$10/'ANALYSE - ERP =&gt; CATEGORIE'!$HV$10,"")</f>
        <v>7.3488266153786345E-3</v>
      </c>
      <c r="N10" s="787">
        <f>IFERROR('ANALYSE - ERP =&gt; CATEGORIE'!$IC$10/'ANALYSE - ERP =&gt; CATEGORIE'!$IB$10,"")</f>
        <v>9.8568262144959635E-3</v>
      </c>
      <c r="O10" s="787">
        <f>IFERROR('ANALYSE - ERP =&gt; CATEGORIE'!$ID$10/'ANALYSE - ERP =&gt; CATEGORIE'!$IB$10,"")</f>
        <v>0.29028315138547395</v>
      </c>
      <c r="P10" s="787">
        <f>IFERROR('ANALYSE - ERP =&gt; CATEGORIE'!$IE$10/'ANALYSE - ERP =&gt; CATEGORIE'!$IB$10,"")</f>
        <v>0.49695193737236498</v>
      </c>
      <c r="Q10" s="787">
        <f>IFERROR('ANALYSE - ERP =&gt; CATEGORIE'!$IF$10/'ANALYSE - ERP =&gt; CATEGORIE'!$IB$10,"")</f>
        <v>0.18264977750138295</v>
      </c>
      <c r="R10" s="787">
        <f>IFERROR('ANALYSE - ERP =&gt; CATEGORIE'!$IG$10/'ANALYSE - ERP =&gt; CATEGORIE'!$IB$10,"")</f>
        <v>2.0258307526282285E-2</v>
      </c>
      <c r="T10" s="430">
        <f>'ANALYSE - ERP =&gt; CATEGORIE'!$Q$10</f>
        <v>1</v>
      </c>
    </row>
    <row r="11" spans="1:20" s="45" customFormat="1" ht="15" customHeight="1">
      <c r="A11" s="26">
        <v>8</v>
      </c>
      <c r="B11" s="26">
        <v>8</v>
      </c>
      <c r="C11" s="422">
        <f>'ANALYSE - ERP =&gt; CATEGORIE'!$A$13</f>
        <v>6</v>
      </c>
      <c r="D11" s="506" t="s">
        <v>7117</v>
      </c>
      <c r="E11" s="506" t="s">
        <v>8020</v>
      </c>
      <c r="F11" s="506" t="s">
        <v>8021</v>
      </c>
      <c r="G11" s="685"/>
      <c r="H11" s="787" t="str">
        <f>IFERROR('ANALYSE - ERP =&gt; CATEGORIE'!$HW$13/'ANALYSE - ERP =&gt; CATEGORIE'!$HV$13,"")</f>
        <v/>
      </c>
      <c r="I11" s="787" t="str">
        <f>IFERROR('ANALYSE - ERP =&gt; CATEGORIE'!$HX$13/'ANALYSE - ERP =&gt; CATEGORIE'!$HV$13,"")</f>
        <v/>
      </c>
      <c r="J11" s="787" t="str">
        <f>IFERROR('ANALYSE - ERP =&gt; CATEGORIE'!$HY$13/'ANALYSE - ERP =&gt; CATEGORIE'!$HV$13,"")</f>
        <v/>
      </c>
      <c r="K11" s="787" t="str">
        <f>IFERROR('ANALYSE - ERP =&gt; CATEGORIE'!$HZ$13/'ANALYSE - ERP =&gt; CATEGORIE'!$HV$13,"")</f>
        <v/>
      </c>
      <c r="L11" s="787" t="str">
        <f>IFERROR('ANALYSE - ERP =&gt; CATEGORIE'!$IA$13/'ANALYSE - ERP =&gt; CATEGORIE'!$HV$13,"")</f>
        <v/>
      </c>
      <c r="M11" s="685"/>
      <c r="N11" s="787" t="str">
        <f>IFERROR('ANALYSE - ERP =&gt; CATEGORIE'!$IC$13/'ANALYSE - ERP =&gt; CATEGORIE'!$IB$13,"")</f>
        <v/>
      </c>
      <c r="O11" s="787" t="str">
        <f>IFERROR('ANALYSE - ERP =&gt; CATEGORIE'!$ID$13/'ANALYSE - ERP =&gt; CATEGORIE'!$IB$13,"")</f>
        <v/>
      </c>
      <c r="P11" s="787" t="str">
        <f>IFERROR('ANALYSE - ERP =&gt; CATEGORIE'!$IE$13/'ANALYSE - ERP =&gt; CATEGORIE'!$IB$13,"")</f>
        <v/>
      </c>
      <c r="Q11" s="787" t="str">
        <f>IFERROR('ANALYSE - ERP =&gt; CATEGORIE'!$IF$13/'ANALYSE - ERP =&gt; CATEGORIE'!$IB$13,"")</f>
        <v/>
      </c>
      <c r="R11" s="787" t="str">
        <f>IFERROR('ANALYSE - ERP =&gt; CATEGORIE'!$IG$13/'ANALYSE - ERP =&gt; CATEGORIE'!$IB$13,"")</f>
        <v/>
      </c>
      <c r="S11" s="685"/>
      <c r="T11" s="430">
        <f>'ANALYSE - ERP =&gt; CATEGORIE'!$Q$13</f>
        <v>0</v>
      </c>
    </row>
    <row r="12" spans="1:20" ht="15" customHeight="1">
      <c r="A12" s="26">
        <v>9</v>
      </c>
      <c r="B12" s="26">
        <v>9</v>
      </c>
      <c r="C12" s="422">
        <f>'ANALYSE - ERP =&gt; CATEGORIE'!$A$16</f>
        <v>9</v>
      </c>
      <c r="D12" s="508" t="s">
        <v>2285</v>
      </c>
      <c r="E12" s="508" t="s">
        <v>8022</v>
      </c>
      <c r="F12" s="508" t="s">
        <v>8023</v>
      </c>
      <c r="H12" s="787">
        <f>IFERROR('ANALYSE - ERP =&gt; CATEGORIE'!$HW$16/'ANALYSE - ERP =&gt; CATEGORIE'!$HV$16,"")</f>
        <v>5.9171089501400521E-2</v>
      </c>
      <c r="I12" s="787">
        <f>IFERROR('ANALYSE - ERP =&gt; CATEGORIE'!$HX$16/'ANALYSE - ERP =&gt; CATEGORIE'!$HV$16,"")</f>
        <v>0.45231774676664016</v>
      </c>
      <c r="J12" s="787">
        <f>IFERROR('ANALYSE - ERP =&gt; CATEGORIE'!$HY$16/'ANALYSE - ERP =&gt; CATEGORIE'!$HV$16,"")</f>
        <v>0.38462974108136777</v>
      </c>
      <c r="K12" s="787">
        <f>IFERROR('ANALYSE - ERP =&gt; CATEGORIE'!$HZ$16/'ANALYSE - ERP =&gt; CATEGORIE'!$HV$16,"")</f>
        <v>8.9788737164414892E-2</v>
      </c>
      <c r="L12" s="787">
        <f>IFERROR('ANALYSE - ERP =&gt; CATEGORIE'!$IA$16/'ANALYSE - ERP =&gt; CATEGORIE'!$HV$16,"")</f>
        <v>1.4092685486176851E-2</v>
      </c>
      <c r="N12" s="787">
        <f>IFERROR('ANALYSE - ERP =&gt; CATEGORIE'!$IC$16/'ANALYSE - ERP =&gt; CATEGORIE'!$IB$16,"")</f>
        <v>3.5262952261881718E-2</v>
      </c>
      <c r="O12" s="787">
        <f>IFERROR('ANALYSE - ERP =&gt; CATEGORIE'!$ID$16/'ANALYSE - ERP =&gt; CATEGORIE'!$IB$16,"")</f>
        <v>0.4087097401372376</v>
      </c>
      <c r="P12" s="787">
        <f>IFERROR('ANALYSE - ERP =&gt; CATEGORIE'!$IE$16/'ANALYSE - ERP =&gt; CATEGORIE'!$IB$16,"")</f>
        <v>0.40235039890924512</v>
      </c>
      <c r="Q12" s="787">
        <f>IFERROR('ANALYSE - ERP =&gt; CATEGORIE'!$IF$16/'ANALYSE - ERP =&gt; CATEGORIE'!$IB$16,"")</f>
        <v>0.12452114236063556</v>
      </c>
      <c r="R12" s="787">
        <f>IFERROR('ANALYSE - ERP =&gt; CATEGORIE'!$IG$16/'ANALYSE - ERP =&gt; CATEGORIE'!$IB$16,"")</f>
        <v>2.9155766331000046E-2</v>
      </c>
      <c r="T12" s="430">
        <f>'ANALYSE - ERP =&gt; CATEGORIE'!$Q$16</f>
        <v>1</v>
      </c>
    </row>
    <row r="13" spans="1:20" s="45" customFormat="1" ht="15" customHeight="1">
      <c r="A13" s="406">
        <v>10</v>
      </c>
      <c r="B13" s="406">
        <v>10</v>
      </c>
      <c r="C13" s="448">
        <f>'ANALYSE - ERP =&gt; CATEGORIE'!$A$17</f>
        <v>10</v>
      </c>
      <c r="D13" s="518" t="s">
        <v>4908</v>
      </c>
      <c r="E13" s="518" t="s">
        <v>8024</v>
      </c>
      <c r="F13" s="518" t="s">
        <v>8025</v>
      </c>
      <c r="G13" s="685"/>
      <c r="H13" s="788">
        <f>IFERROR('ANALYSE - ERP =&gt; CATEGORIE'!$HW$17/'ANALYSE - ERP =&gt; CATEGORIE'!$HV$17,"")</f>
        <v>0.1300031649269994</v>
      </c>
      <c r="I13" s="788">
        <f>IFERROR('ANALYSE - ERP =&gt; CATEGORIE'!$HX$17/'ANALYSE - ERP =&gt; CATEGORIE'!$HV$17,"")</f>
        <v>0.59846094191432908</v>
      </c>
      <c r="J13" s="788">
        <f>IFERROR('ANALYSE - ERP =&gt; CATEGORIE'!$HY$17/'ANALYSE - ERP =&gt; CATEGORIE'!$HV$17,"")</f>
        <v>0.24298365530465649</v>
      </c>
      <c r="K13" s="788">
        <f>IFERROR('ANALYSE - ERP =&gt; CATEGORIE'!$HZ$17/'ANALYSE - ERP =&gt; CATEGORIE'!$HV$17,"")</f>
        <v>2.7766614742402506E-2</v>
      </c>
      <c r="L13" s="788">
        <f>IFERROR('ANALYSE - ERP =&gt; CATEGORIE'!$IA$17/'ANALYSE - ERP =&gt; CATEGORIE'!$HV$17,"")</f>
        <v>7.8562311161263704E-4</v>
      </c>
      <c r="M13" s="685"/>
      <c r="N13" s="788">
        <f>IFERROR('ANALYSE - ERP =&gt; CATEGORIE'!$IC$17/'ANALYSE - ERP =&gt; CATEGORIE'!$IB$17,"")</f>
        <v>5.2037554490042895E-2</v>
      </c>
      <c r="O13" s="788">
        <f>IFERROR('ANALYSE - ERP =&gt; CATEGORIE'!$ID$17/'ANALYSE - ERP =&gt; CATEGORIE'!$IB$17,"")</f>
        <v>0.5270641706815844</v>
      </c>
      <c r="P13" s="788">
        <f>IFERROR('ANALYSE - ERP =&gt; CATEGORIE'!$IE$17/'ANALYSE - ERP =&gt; CATEGORIE'!$IB$17,"")</f>
        <v>0.37484975206551002</v>
      </c>
      <c r="Q13" s="788">
        <f>IFERROR('ANALYSE - ERP =&gt; CATEGORIE'!$IF$17/'ANALYSE - ERP =&gt; CATEGORIE'!$IB$17,"")</f>
        <v>4.3987175057748649E-2</v>
      </c>
      <c r="R13" s="788">
        <f>IFERROR('ANALYSE - ERP =&gt; CATEGORIE'!$IG$17/'ANALYSE - ERP =&gt; CATEGORIE'!$IB$17,"")</f>
        <v>2.061347705113974E-3</v>
      </c>
      <c r="S13" s="685"/>
      <c r="T13" s="450">
        <f>'ANALYSE - ERP =&gt; CATEGORIE'!$Q$17</f>
        <v>1</v>
      </c>
    </row>
    <row r="14" spans="1:20" ht="15" customHeight="1">
      <c r="A14" s="26">
        <v>11</v>
      </c>
      <c r="B14" s="26">
        <v>11</v>
      </c>
      <c r="C14" s="422">
        <f>'ANALYSE - ERP =&gt; CATEGORIE'!$A$18</f>
        <v>11</v>
      </c>
      <c r="D14" s="502" t="s">
        <v>2163</v>
      </c>
      <c r="E14" s="502" t="s">
        <v>2163</v>
      </c>
      <c r="F14" s="502" t="s">
        <v>2164</v>
      </c>
      <c r="H14" s="787">
        <f>IFERROR('ANALYSE - ERP =&gt; CATEGORIE'!$HW$18/'ANALYSE - ERP =&gt; CATEGORIE'!$HV$18,"")</f>
        <v>0.28324309073420967</v>
      </c>
      <c r="I14" s="787">
        <f>IFERROR('ANALYSE - ERP =&gt; CATEGORIE'!$HX$18/'ANALYSE - ERP =&gt; CATEGORIE'!$HV$18,"")</f>
        <v>0.6008221545367104</v>
      </c>
      <c r="J14" s="787">
        <f>IFERROR('ANALYSE - ERP =&gt; CATEGORIE'!$HY$18/'ANALYSE - ERP =&gt; CATEGORIE'!$HV$18,"")</f>
        <v>0.11593475472907983</v>
      </c>
      <c r="K14" s="787">
        <f>IFERROR('ANALYSE - ERP =&gt; CATEGORIE'!$HZ$18/'ANALYSE - ERP =&gt; CATEGORIE'!$HV$18,"")</f>
        <v>0</v>
      </c>
      <c r="L14" s="787">
        <f>IFERROR('ANALYSE - ERP =&gt; CATEGORIE'!$IA$18/'ANALYSE - ERP =&gt; CATEGORIE'!$HV$18,"")</f>
        <v>0</v>
      </c>
      <c r="N14" s="787">
        <f>IFERROR('ANALYSE - ERP =&gt; CATEGORIE'!$IC$18/'ANALYSE - ERP =&gt; CATEGORIE'!$IB$18,"")</f>
        <v>0.25748723075169128</v>
      </c>
      <c r="O14" s="787">
        <f>IFERROR('ANALYSE - ERP =&gt; CATEGORIE'!$ID$18/'ANALYSE - ERP =&gt; CATEGORIE'!$IB$18,"")</f>
        <v>0.57702623239644635</v>
      </c>
      <c r="P14" s="787">
        <f>IFERROR('ANALYSE - ERP =&gt; CATEGORIE'!$IE$18/'ANALYSE - ERP =&gt; CATEGORIE'!$IB$18,"")</f>
        <v>0.14139821763001487</v>
      </c>
      <c r="Q14" s="787">
        <f>IFERROR('ANALYSE - ERP =&gt; CATEGORIE'!$IF$18/'ANALYSE - ERP =&gt; CATEGORIE'!$IB$18,"")</f>
        <v>1.9691245078176985E-2</v>
      </c>
      <c r="R14" s="787">
        <f>IFERROR('ANALYSE - ERP =&gt; CATEGORIE'!$IG$18/'ANALYSE - ERP =&gt; CATEGORIE'!$IB$18,"")</f>
        <v>4.3970741436705893E-3</v>
      </c>
      <c r="T14" s="430">
        <f>'ANALYSE - ERP =&gt; CATEGORIE'!$Q$18</f>
        <v>1</v>
      </c>
    </row>
  </sheetData>
  <pageMargins left="3.937007874015748E-2" right="3.937007874015748E-2" top="7.874015748031496E-2" bottom="7.874015748031496E-2" header="0.11811023622047249" footer="0.11811023622047249"/>
  <pageSetup paperSize="8" scale="89" fitToHeight="2"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5" tint="0.39997558519241921"/>
    <pageSetUpPr fitToPage="1"/>
  </sheetPr>
  <dimension ref="A1:BZ14"/>
  <sheetViews>
    <sheetView workbookViewId="0"/>
  </sheetViews>
  <sheetFormatPr baseColWidth="10" defaultColWidth="9.140625" defaultRowHeight="15"/>
  <cols>
    <col min="1" max="2" width="9" style="934" customWidth="1"/>
    <col min="3" max="3" width="6" style="934" customWidth="1"/>
    <col min="4" max="4" width="30.5703125" style="934" customWidth="1"/>
    <col min="5" max="5" width="27.7109375" style="43" customWidth="1"/>
    <col min="6" max="6" width="51.7109375" style="43" customWidth="1"/>
    <col min="7" max="7" width="1.7109375" style="933" customWidth="1"/>
    <col min="8" max="8" width="9.28515625" style="43" customWidth="1"/>
    <col min="9" max="12" width="9.28515625" style="934" customWidth="1"/>
    <col min="13" max="13" width="1.7109375" style="933" customWidth="1"/>
    <col min="14" max="18" width="9.2851562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7970</v>
      </c>
      <c r="F1" s="479"/>
      <c r="H1" s="474"/>
      <c r="I1" s="474"/>
      <c r="J1" s="475" t="s">
        <v>7971</v>
      </c>
      <c r="K1" s="474"/>
      <c r="L1" s="474"/>
      <c r="N1" s="452"/>
      <c r="O1" s="452"/>
      <c r="P1" s="476" t="s">
        <v>7972</v>
      </c>
      <c r="Q1" s="452"/>
      <c r="R1" s="452"/>
      <c r="T1" s="452"/>
    </row>
    <row r="2" spans="1:20"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520" t="s">
        <v>6739</v>
      </c>
      <c r="E3" s="520" t="s">
        <v>8006</v>
      </c>
      <c r="F3" s="520" t="s">
        <v>8007</v>
      </c>
      <c r="H3" s="426">
        <f>SUMPRODUCT(($T$4:$T$106),('ANALYSE - ERP =&gt; CATEGORIE'!$HW$8:$HW$110))</f>
        <v>170264.44055</v>
      </c>
      <c r="I3" s="426">
        <f>SUMPRODUCT(($T$4:$T$106),('ANALYSE - ERP =&gt; CATEGORIE'!$HX$8:$HX$110))</f>
        <v>1539067.58586</v>
      </c>
      <c r="J3" s="426">
        <f>SUMPRODUCT(($T$4:$T$106),('ANALYSE - ERP =&gt; CATEGORIE'!$HY$8:$HY$110))</f>
        <v>1648510.5964899999</v>
      </c>
      <c r="K3" s="426">
        <f>SUMPRODUCT(($T$4:$T$106),('ANALYSE - ERP =&gt; CATEGORIE'!$HZ$8:$HZ$110))</f>
        <v>279886.58734999999</v>
      </c>
      <c r="L3" s="426">
        <f>SUMPRODUCT(($T$4:$T$106),('ANALYSE - ERP =&gt; CATEGORIE'!$IA$8:$IA$110))</f>
        <v>10202.166000000001</v>
      </c>
      <c r="N3" s="426">
        <f>SUMPRODUCT(($T$4:$T$106),('ANALYSE - ERP =&gt; CATEGORIE'!$IC$8:$IC$110))</f>
        <v>28194.337212034818</v>
      </c>
      <c r="O3" s="426">
        <f>SUMPRODUCT(($T$4:$T$106),('ANALYSE - ERP =&gt; CATEGORIE'!$ID$8:$ID$110))</f>
        <v>438069.75805348525</v>
      </c>
      <c r="P3" s="426">
        <f>SUMPRODUCT(($T$4:$T$106),('ANALYSE - ERP =&gt; CATEGORIE'!$IE$8:$IE$110))</f>
        <v>539290.9076901949</v>
      </c>
      <c r="Q3" s="426">
        <f>SUMPRODUCT(($T$4:$T$106),('ANALYSE - ERP =&gt; CATEGORIE'!$IF$8:$IF$110))</f>
        <v>121149.93827885299</v>
      </c>
      <c r="R3" s="426">
        <f>SUMPRODUCT(($T$4:$T$106),('ANALYSE - ERP =&gt; CATEGORIE'!$IG$8:$IG$110))</f>
        <v>11726.793048136069</v>
      </c>
      <c r="T3" s="428">
        <f>SUM('ANALYSE - ERP =&gt; CATEGORIE'!$Q$8:$Q$110)</f>
        <v>9</v>
      </c>
    </row>
    <row r="4" spans="1:20" ht="15" customHeight="1">
      <c r="A4" s="26">
        <v>1</v>
      </c>
      <c r="B4" s="26">
        <v>1</v>
      </c>
      <c r="C4" s="422">
        <f>'ANALYSE - ERP =&gt; CATEGORIE'!$A$11</f>
        <v>4</v>
      </c>
      <c r="D4" s="492" t="s">
        <v>2187</v>
      </c>
      <c r="E4" s="492" t="s">
        <v>8008</v>
      </c>
      <c r="F4" s="492" t="s">
        <v>8009</v>
      </c>
      <c r="H4" s="458">
        <f>'ANALYSE - ERP =&gt; CATEGORIE'!$HW$11</f>
        <v>43747.617499999993</v>
      </c>
      <c r="I4" s="458">
        <f>'ANALYSE - ERP =&gt; CATEGORIE'!$HX$11</f>
        <v>650690.41920000012</v>
      </c>
      <c r="J4" s="458">
        <f>'ANALYSE - ERP =&gt; CATEGORIE'!$HY$11</f>
        <v>835846.21130000008</v>
      </c>
      <c r="K4" s="458">
        <f>'ANALYSE - ERP =&gt; CATEGORIE'!$HZ$11</f>
        <v>257915.87180000002</v>
      </c>
      <c r="L4" s="458">
        <f>'ANALYSE - ERP =&gt; CATEGORIE'!$IA$11</f>
        <v>45132.3802</v>
      </c>
      <c r="N4" s="458">
        <f>'ANALYSE - ERP =&gt; CATEGORIE'!$IC$11</f>
        <v>1911.5890686824566</v>
      </c>
      <c r="O4" s="458">
        <f>'ANALYSE - ERP =&gt; CATEGORIE'!$ID$11</f>
        <v>197249.45013809853</v>
      </c>
      <c r="P4" s="458">
        <f>'ANALYSE - ERP =&gt; CATEGORIE'!$IE$11</f>
        <v>362732.44632451294</v>
      </c>
      <c r="Q4" s="458">
        <f>'ANALYSE - ERP =&gt; CATEGORIE'!$IF$11</f>
        <v>128876.01368975283</v>
      </c>
      <c r="R4" s="458">
        <f>'ANALYSE - ERP =&gt; CATEGORIE'!$IG$11</f>
        <v>22328.53677630908</v>
      </c>
      <c r="T4" s="430">
        <f>'ANALYSE - ERP =&gt; CATEGORIE'!$Q$11</f>
        <v>1</v>
      </c>
    </row>
    <row r="5" spans="1:20" ht="15" customHeight="1">
      <c r="A5" s="26">
        <v>2</v>
      </c>
      <c r="B5" s="26">
        <v>4</v>
      </c>
      <c r="C5" s="422">
        <f>'ANALYSE - ERP =&gt; CATEGORIE'!$A$15</f>
        <v>8</v>
      </c>
      <c r="D5" s="496" t="s">
        <v>1670</v>
      </c>
      <c r="E5" s="496" t="s">
        <v>8010</v>
      </c>
      <c r="F5" s="496" t="s">
        <v>8011</v>
      </c>
      <c r="H5" s="458">
        <f>'ANALYSE - ERP =&gt; CATEGORIE'!$HW$15</f>
        <v>0</v>
      </c>
      <c r="I5" s="458">
        <f>'ANALYSE - ERP =&gt; CATEGORIE'!$HX$15</f>
        <v>0</v>
      </c>
      <c r="J5" s="458">
        <f>'ANALYSE - ERP =&gt; CATEGORIE'!$HY$15</f>
        <v>0</v>
      </c>
      <c r="K5" s="458">
        <f>'ANALYSE - ERP =&gt; CATEGORIE'!$HZ$15</f>
        <v>0</v>
      </c>
      <c r="L5" s="458">
        <f>'ANALYSE - ERP =&gt; CATEGORIE'!$IA$15</f>
        <v>0</v>
      </c>
      <c r="N5" s="458">
        <f>'ANALYSE - ERP =&gt; CATEGORIE'!$IC$15</f>
        <v>0</v>
      </c>
      <c r="O5" s="458">
        <f>'ANALYSE - ERP =&gt; CATEGORIE'!$ID$15</f>
        <v>0</v>
      </c>
      <c r="P5" s="458">
        <f>'ANALYSE - ERP =&gt; CATEGORIE'!$IE$15</f>
        <v>0</v>
      </c>
      <c r="Q5" s="458">
        <f>'ANALYSE - ERP =&gt; CATEGORIE'!$IF$15</f>
        <v>0</v>
      </c>
      <c r="R5" s="458">
        <f>'ANALYSE - ERP =&gt; CATEGORIE'!$IG$15</f>
        <v>0</v>
      </c>
      <c r="T5" s="430">
        <f>'ANALYSE - ERP =&gt; CATEGORIE'!$Q$15</f>
        <v>0</v>
      </c>
    </row>
    <row r="6" spans="1:20" ht="15" customHeight="1">
      <c r="A6" s="26">
        <v>3</v>
      </c>
      <c r="B6" s="26">
        <v>3</v>
      </c>
      <c r="C6" s="422">
        <f>'ANALYSE - ERP =&gt; CATEGORIE'!$A$9</f>
        <v>2</v>
      </c>
      <c r="D6" s="494" t="s">
        <v>2241</v>
      </c>
      <c r="E6" s="494" t="s">
        <v>8012</v>
      </c>
      <c r="F6" s="494" t="s">
        <v>8013</v>
      </c>
      <c r="H6" s="458">
        <f>'ANALYSE - ERP =&gt; CATEGORIE'!$HW$9</f>
        <v>500.56300000000005</v>
      </c>
      <c r="I6" s="458">
        <f>'ANALYSE - ERP =&gt; CATEGORIE'!$HX$9</f>
        <v>350366.70580000005</v>
      </c>
      <c r="J6" s="458">
        <f>'ANALYSE - ERP =&gt; CATEGORIE'!$HY$9</f>
        <v>1260231.8768000002</v>
      </c>
      <c r="K6" s="458">
        <f>'ANALYSE - ERP =&gt; CATEGORIE'!$HZ$9</f>
        <v>670010.67480000015</v>
      </c>
      <c r="L6" s="458">
        <f>'ANALYSE - ERP =&gt; CATEGORIE'!$IA$9</f>
        <v>16021.679599999999</v>
      </c>
      <c r="N6" s="458">
        <f>'ANALYSE - ERP =&gt; CATEGORIE'!$IC$9</f>
        <v>4.6708539801600004</v>
      </c>
      <c r="O6" s="458">
        <f>'ANALYSE - ERP =&gt; CATEGORIE'!$ID$9</f>
        <v>65492.098101632095</v>
      </c>
      <c r="P6" s="458">
        <f>'ANALYSE - ERP =&gt; CATEGORIE'!$IE$9</f>
        <v>416907.27989904868</v>
      </c>
      <c r="Q6" s="458">
        <f>'ANALYSE - ERP =&gt; CATEGORIE'!$IF$9</f>
        <v>331242.47143115976</v>
      </c>
      <c r="R6" s="458">
        <f>'ANALYSE - ERP =&gt; CATEGORIE'!$IG$9</f>
        <v>23762.501512399391</v>
      </c>
      <c r="T6" s="430">
        <f>'ANALYSE - ERP =&gt; CATEGORIE'!$Q$9</f>
        <v>1</v>
      </c>
    </row>
    <row r="7" spans="1:20" ht="15" customHeight="1">
      <c r="A7" s="26">
        <v>4</v>
      </c>
      <c r="B7" s="26">
        <v>2</v>
      </c>
      <c r="C7" s="422">
        <f>'ANALYSE - ERP =&gt; CATEGORIE'!$A$8</f>
        <v>1</v>
      </c>
      <c r="D7" s="498" t="s">
        <v>6739</v>
      </c>
      <c r="E7" s="498" t="s">
        <v>8006</v>
      </c>
      <c r="F7" s="498" t="s">
        <v>8007</v>
      </c>
      <c r="H7" s="458">
        <f>'ANALYSE - ERP =&gt; CATEGORIE'!$HW$8</f>
        <v>0</v>
      </c>
      <c r="I7" s="458">
        <f>'ANALYSE - ERP =&gt; CATEGORIE'!$HX$8</f>
        <v>0</v>
      </c>
      <c r="J7" s="458">
        <f>'ANALYSE - ERP =&gt; CATEGORIE'!$HY$8</f>
        <v>0</v>
      </c>
      <c r="K7" s="458">
        <f>'ANALYSE - ERP =&gt; CATEGORIE'!$HZ$8</f>
        <v>0</v>
      </c>
      <c r="L7" s="458">
        <f>'ANALYSE - ERP =&gt; CATEGORIE'!$IA$8</f>
        <v>0</v>
      </c>
      <c r="N7" s="458">
        <f>'ANALYSE - ERP =&gt; CATEGORIE'!$IC$8</f>
        <v>0</v>
      </c>
      <c r="O7" s="458">
        <f>'ANALYSE - ERP =&gt; CATEGORIE'!$ID$8</f>
        <v>0</v>
      </c>
      <c r="P7" s="458">
        <f>'ANALYSE - ERP =&gt; CATEGORIE'!$IE$8</f>
        <v>0</v>
      </c>
      <c r="Q7" s="458">
        <f>'ANALYSE - ERP =&gt; CATEGORIE'!$IF$8</f>
        <v>0</v>
      </c>
      <c r="R7" s="458">
        <f>'ANALYSE - ERP =&gt; CATEGORIE'!$IG$8</f>
        <v>0</v>
      </c>
      <c r="T7" s="430">
        <f>'ANALYSE - ERP =&gt; CATEGORIE'!$Q$8</f>
        <v>0</v>
      </c>
    </row>
    <row r="8" spans="1:20" ht="15" customHeight="1">
      <c r="A8" s="26">
        <v>5</v>
      </c>
      <c r="B8" s="26">
        <v>7</v>
      </c>
      <c r="C8" s="422">
        <f>'ANALYSE - ERP =&gt; CATEGORIE'!$A$12</f>
        <v>5</v>
      </c>
      <c r="D8" s="502" t="s">
        <v>2264</v>
      </c>
      <c r="E8" s="502" t="s">
        <v>8014</v>
      </c>
      <c r="F8" s="502" t="s">
        <v>8015</v>
      </c>
      <c r="H8" s="458">
        <f>'ANALYSE - ERP =&gt; CATEGORIE'!$HW$12</f>
        <v>85811.372000000003</v>
      </c>
      <c r="I8" s="458">
        <f>'ANALYSE - ERP =&gt; CATEGORIE'!$HX$12</f>
        <v>853270.97450000001</v>
      </c>
      <c r="J8" s="458">
        <f>'ANALYSE - ERP =&gt; CATEGORIE'!$HY$12</f>
        <v>927046.95050000004</v>
      </c>
      <c r="K8" s="458">
        <f>'ANALYSE - ERP =&gt; CATEGORIE'!$HZ$12</f>
        <v>129921.78725000001</v>
      </c>
      <c r="L8" s="458">
        <f>'ANALYSE - ERP =&gt; CATEGORIE'!$IA$12</f>
        <v>1394.008</v>
      </c>
      <c r="N8" s="458">
        <f>'ANALYSE - ERP =&gt; CATEGORIE'!$IC$12</f>
        <v>11890.403130340044</v>
      </c>
      <c r="O8" s="458">
        <f>'ANALYSE - ERP =&gt; CATEGORIE'!$ID$12</f>
        <v>236157.15614804174</v>
      </c>
      <c r="P8" s="458">
        <f>'ANALYSE - ERP =&gt; CATEGORIE'!$IE$12</f>
        <v>290776.77137504763</v>
      </c>
      <c r="Q8" s="458">
        <f>'ANALYSE - ERP =&gt; CATEGORIE'!$IF$12</f>
        <v>50557.244334891904</v>
      </c>
      <c r="R8" s="458">
        <f>'ANALYSE - ERP =&gt; CATEGORIE'!$IG$12</f>
        <v>3483.288016763734</v>
      </c>
      <c r="T8" s="430">
        <f>'ANALYSE - ERP =&gt; CATEGORIE'!$Q$12</f>
        <v>1</v>
      </c>
    </row>
    <row r="9" spans="1:20" ht="15" customHeight="1">
      <c r="A9" s="26">
        <v>6</v>
      </c>
      <c r="B9" s="26">
        <v>5</v>
      </c>
      <c r="C9" s="422">
        <f>'ANALYSE - ERP =&gt; CATEGORIE'!$A$14</f>
        <v>7</v>
      </c>
      <c r="D9" s="504" t="s">
        <v>2278</v>
      </c>
      <c r="E9" s="504" t="s">
        <v>8016</v>
      </c>
      <c r="F9" s="504" t="s">
        <v>8017</v>
      </c>
      <c r="H9" s="458">
        <f>'ANALYSE - ERP =&gt; CATEGORIE'!$HW$14</f>
        <v>26987.558199999996</v>
      </c>
      <c r="I9" s="458">
        <f>'ANALYSE - ERP =&gt; CATEGORIE'!$HX$14</f>
        <v>218301.84406</v>
      </c>
      <c r="J9" s="458">
        <f>'ANALYSE - ERP =&gt; CATEGORIE'!$HY$14</f>
        <v>209812.07084000003</v>
      </c>
      <c r="K9" s="458">
        <f>'ANALYSE - ERP =&gt; CATEGORIE'!$HZ$14</f>
        <v>25073.221100000002</v>
      </c>
      <c r="L9" s="458">
        <f>'ANALYSE - ERP =&gt; CATEGORIE'!$IA$14</f>
        <v>25.105800000000002</v>
      </c>
      <c r="N9" s="458">
        <f>'ANALYSE - ERP =&gt; CATEGORIE'!$IC$14</f>
        <v>5407.0285857245963</v>
      </c>
      <c r="O9" s="458">
        <f>'ANALYSE - ERP =&gt; CATEGORIE'!$ID$14</f>
        <v>63280.623087488573</v>
      </c>
      <c r="P9" s="458">
        <f>'ANALYSE - ERP =&gt; CATEGORIE'!$IE$14</f>
        <v>68088.916306206549</v>
      </c>
      <c r="Q9" s="458">
        <f>'ANALYSE - ERP =&gt; CATEGORIE'!$IF$14</f>
        <v>10744.786529884792</v>
      </c>
      <c r="R9" s="458">
        <f>'ANALYSE - ERP =&gt; CATEGORIE'!$IG$14</f>
        <v>598.31461587214619</v>
      </c>
      <c r="T9" s="430">
        <f>'ANALYSE - ERP =&gt; CATEGORIE'!$Q$14</f>
        <v>1</v>
      </c>
    </row>
    <row r="10" spans="1:20" ht="15" customHeight="1">
      <c r="A10" s="26">
        <v>7</v>
      </c>
      <c r="B10" s="26">
        <v>6</v>
      </c>
      <c r="C10" s="422">
        <f>'ANALYSE - ERP =&gt; CATEGORIE'!$A$10</f>
        <v>3</v>
      </c>
      <c r="D10" s="500" t="s">
        <v>3662</v>
      </c>
      <c r="E10" s="500" t="s">
        <v>8018</v>
      </c>
      <c r="F10" s="500" t="s">
        <v>8019</v>
      </c>
      <c r="H10" s="458">
        <f>'ANALYSE - ERP =&gt; CATEGORIE'!$HW$10</f>
        <v>22075.045099999999</v>
      </c>
      <c r="I10" s="458">
        <f>'ANALYSE - ERP =&gt; CATEGORIE'!$HX$10</f>
        <v>294098.25630000001</v>
      </c>
      <c r="J10" s="458">
        <f>'ANALYSE - ERP =&gt; CATEGORIE'!$HY$10</f>
        <v>409042.85500000004</v>
      </c>
      <c r="K10" s="458">
        <f>'ANALYSE - ERP =&gt; CATEGORIE'!$HZ$10</f>
        <v>105323.64899999999</v>
      </c>
      <c r="L10" s="458">
        <f>'ANALYSE - ERP =&gt; CATEGORIE'!$IA$10</f>
        <v>6148.6786000000002</v>
      </c>
      <c r="N10" s="458">
        <f>'ANALYSE - ERP =&gt; CATEGORIE'!$IC$10</f>
        <v>2619.6530876279412</v>
      </c>
      <c r="O10" s="458">
        <f>'ANALYSE - ERP =&gt; CATEGORIE'!$ID$10</f>
        <v>77148.68227005782</v>
      </c>
      <c r="P10" s="458">
        <f>'ANALYSE - ERP =&gt; CATEGORIE'!$IE$10</f>
        <v>132075.13745404649</v>
      </c>
      <c r="Q10" s="458">
        <f>'ANALYSE - ERP =&gt; CATEGORIE'!$IF$10</f>
        <v>48542.91261444561</v>
      </c>
      <c r="R10" s="458">
        <f>'ANALYSE - ERP =&gt; CATEGORIE'!$IG$10</f>
        <v>5384.0594027410789</v>
      </c>
      <c r="T10" s="430">
        <f>'ANALYSE - ERP =&gt; CATEGORIE'!$Q$10</f>
        <v>1</v>
      </c>
    </row>
    <row r="11" spans="1:20" s="45" customFormat="1" ht="15" customHeight="1">
      <c r="A11" s="26">
        <v>8</v>
      </c>
      <c r="B11" s="26">
        <v>8</v>
      </c>
      <c r="C11" s="422">
        <f>'ANALYSE - ERP =&gt; CATEGORIE'!$A$13</f>
        <v>6</v>
      </c>
      <c r="D11" s="506" t="s">
        <v>7117</v>
      </c>
      <c r="E11" s="506" t="s">
        <v>8020</v>
      </c>
      <c r="F11" s="506" t="s">
        <v>8021</v>
      </c>
      <c r="G11" s="685"/>
      <c r="H11" s="458">
        <f>'ANALYSE - ERP =&gt; CATEGORIE'!$HW$13</f>
        <v>0</v>
      </c>
      <c r="I11" s="458">
        <f>'ANALYSE - ERP =&gt; CATEGORIE'!$HX$13</f>
        <v>0</v>
      </c>
      <c r="J11" s="458">
        <f>'ANALYSE - ERP =&gt; CATEGORIE'!$HY$13</f>
        <v>0</v>
      </c>
      <c r="K11" s="458">
        <f>'ANALYSE - ERP =&gt; CATEGORIE'!$HZ$13</f>
        <v>0</v>
      </c>
      <c r="L11" s="458">
        <f>'ANALYSE - ERP =&gt; CATEGORIE'!$IA$13</f>
        <v>0</v>
      </c>
      <c r="M11" s="685"/>
      <c r="N11" s="458">
        <f>'ANALYSE - ERP =&gt; CATEGORIE'!$IC$13</f>
        <v>0</v>
      </c>
      <c r="O11" s="458">
        <f>'ANALYSE - ERP =&gt; CATEGORIE'!$ID$13</f>
        <v>0</v>
      </c>
      <c r="P11" s="458">
        <f>'ANALYSE - ERP =&gt; CATEGORIE'!$IE$13</f>
        <v>0</v>
      </c>
      <c r="Q11" s="458">
        <f>'ANALYSE - ERP =&gt; CATEGORIE'!$IF$13</f>
        <v>0</v>
      </c>
      <c r="R11" s="458">
        <f>'ANALYSE - ERP =&gt; CATEGORIE'!$IG$13</f>
        <v>0</v>
      </c>
      <c r="S11" s="685"/>
      <c r="T11" s="430">
        <f>'ANALYSE - ERP =&gt; CATEGORIE'!$Q$13</f>
        <v>0</v>
      </c>
    </row>
    <row r="12" spans="1:20" ht="15" customHeight="1">
      <c r="A12" s="26">
        <v>9</v>
      </c>
      <c r="B12" s="26">
        <v>9</v>
      </c>
      <c r="C12" s="422">
        <f>'ANALYSE - ERP =&gt; CATEGORIE'!$A$16</f>
        <v>9</v>
      </c>
      <c r="D12" s="508" t="s">
        <v>2285</v>
      </c>
      <c r="E12" s="508" t="s">
        <v>8022</v>
      </c>
      <c r="F12" s="508" t="s">
        <v>8023</v>
      </c>
      <c r="H12" s="458">
        <f>'ANALYSE - ERP =&gt; CATEGORIE'!$HW$16</f>
        <v>10657.571200000002</v>
      </c>
      <c r="I12" s="458">
        <f>'ANALYSE - ERP =&gt; CATEGORIE'!$HX$16</f>
        <v>81468.984799999991</v>
      </c>
      <c r="J12" s="458">
        <f>'ANALYSE - ERP =&gt; CATEGORIE'!$HY$16</f>
        <v>69277.393500000006</v>
      </c>
      <c r="K12" s="458">
        <f>'ANALYSE - ERP =&gt; CATEGORIE'!$HZ$16</f>
        <v>16172.253500000003</v>
      </c>
      <c r="L12" s="458">
        <f>'ANALYSE - ERP =&gt; CATEGORIE'!$IA$16</f>
        <v>2538.297</v>
      </c>
      <c r="N12" s="458">
        <f>'ANALYSE - ERP =&gt; CATEGORIE'!$IC$16</f>
        <v>2550.5231971779681</v>
      </c>
      <c r="O12" s="458">
        <f>'ANALYSE - ERP =&gt; CATEGORIE'!$ID$16</f>
        <v>29561.440726545039</v>
      </c>
      <c r="P12" s="458">
        <f>'ANALYSE - ERP =&gt; CATEGORIE'!$IE$16</f>
        <v>29101.477896424942</v>
      </c>
      <c r="Q12" s="458">
        <f>'ANALYSE - ERP =&gt; CATEGORIE'!$IF$16</f>
        <v>9006.4512968533145</v>
      </c>
      <c r="R12" s="458">
        <f>'ANALYSE - ERP =&gt; CATEGORIE'!$IG$16</f>
        <v>2108.7984297644803</v>
      </c>
      <c r="T12" s="430">
        <f>'ANALYSE - ERP =&gt; CATEGORIE'!$Q$16</f>
        <v>1</v>
      </c>
    </row>
    <row r="13" spans="1:20" s="45" customFormat="1" ht="15" customHeight="1">
      <c r="A13" s="406">
        <v>10</v>
      </c>
      <c r="B13" s="406">
        <v>10</v>
      </c>
      <c r="C13" s="448">
        <f>'ANALYSE - ERP =&gt; CATEGORIE'!$A$17</f>
        <v>10</v>
      </c>
      <c r="D13" s="518" t="s">
        <v>4908</v>
      </c>
      <c r="E13" s="518" t="s">
        <v>8024</v>
      </c>
      <c r="F13" s="518" t="s">
        <v>8025</v>
      </c>
      <c r="G13" s="685"/>
      <c r="H13" s="459">
        <f>'ANALYSE - ERP =&gt; CATEGORIE'!$HW$17</f>
        <v>15898.542049999996</v>
      </c>
      <c r="I13" s="459">
        <f>'ANALYSE - ERP =&gt; CATEGORIE'!$HX$17</f>
        <v>73187.883199999982</v>
      </c>
      <c r="J13" s="459">
        <f>'ANALYSE - ERP =&gt; CATEGORIE'!$HY$17</f>
        <v>29715.321650000002</v>
      </c>
      <c r="K13" s="459">
        <f>'ANALYSE - ERP =&gt; CATEGORIE'!$HZ$17</f>
        <v>3395.6765</v>
      </c>
      <c r="L13" s="459">
        <f>'ANALYSE - ERP =&gt; CATEGORIE'!$IA$17</f>
        <v>96.076599999999999</v>
      </c>
      <c r="M13" s="685"/>
      <c r="N13" s="459">
        <f>'ANALYSE - ERP =&gt; CATEGORIE'!$IC$17</f>
        <v>2420.0578130679346</v>
      </c>
      <c r="O13" s="459">
        <f>'ANALYSE - ERP =&gt; CATEGORIE'!$ID$17</f>
        <v>24511.639271791773</v>
      </c>
      <c r="P13" s="459">
        <f>'ANALYSE - ERP =&gt; CATEGORIE'!$IE$17</f>
        <v>17432.757555628319</v>
      </c>
      <c r="Q13" s="459">
        <f>'ANALYSE - ERP =&gt; CATEGORIE'!$IF$17</f>
        <v>2045.6669748702452</v>
      </c>
      <c r="R13" s="459">
        <f>'ANALYSE - ERP =&gt; CATEGORIE'!$IG$17</f>
        <v>95.865008801773484</v>
      </c>
      <c r="S13" s="685"/>
      <c r="T13" s="450">
        <f>'ANALYSE - ERP =&gt; CATEGORIE'!$Q$17</f>
        <v>1</v>
      </c>
    </row>
    <row r="14" spans="1:20" ht="15" customHeight="1">
      <c r="A14" s="26">
        <v>11</v>
      </c>
      <c r="B14" s="26">
        <v>11</v>
      </c>
      <c r="C14" s="422">
        <f>'ANALYSE - ERP =&gt; CATEGORIE'!$A$18</f>
        <v>11</v>
      </c>
      <c r="D14" s="502" t="s">
        <v>2163</v>
      </c>
      <c r="E14" s="502" t="s">
        <v>2163</v>
      </c>
      <c r="F14" s="502" t="s">
        <v>2164</v>
      </c>
      <c r="H14" s="458">
        <f>'ANALYSE - ERP =&gt; CATEGORIE'!$HW$18</f>
        <v>8834.3520000000008</v>
      </c>
      <c r="I14" s="458">
        <f>'ANALYSE - ERP =&gt; CATEGORIE'!$HX$18</f>
        <v>18739.643</v>
      </c>
      <c r="J14" s="458">
        <f>'ANALYSE - ERP =&gt; CATEGORIE'!$HY$18</f>
        <v>3616.0050000000001</v>
      </c>
      <c r="K14" s="458">
        <f>'ANALYSE - ERP =&gt; CATEGORIE'!$HZ$18</f>
        <v>0</v>
      </c>
      <c r="L14" s="458">
        <f>'ANALYSE - ERP =&gt; CATEGORIE'!$IA$18</f>
        <v>0</v>
      </c>
      <c r="N14" s="458">
        <f>'ANALYSE - ERP =&gt; CATEGORIE'!$IC$18</f>
        <v>3306.6713980963314</v>
      </c>
      <c r="O14" s="458">
        <f>'ANALYSE - ERP =&gt; CATEGORIE'!$ID$18</f>
        <v>7410.2165495602267</v>
      </c>
      <c r="P14" s="458">
        <f>'ANALYSE - ERP =&gt; CATEGORIE'!$IE$18</f>
        <v>1815.8471028408442</v>
      </c>
      <c r="Q14" s="458">
        <f>'ANALYSE - ERP =&gt; CATEGORIE'!$IF$18</f>
        <v>252.87652790714287</v>
      </c>
      <c r="R14" s="458">
        <f>'ANALYSE - ERP =&gt; CATEGORIE'!$IG$18</f>
        <v>56.467574192857143</v>
      </c>
      <c r="T14" s="430">
        <f>'ANALYSE - ERP =&gt; CATEGORIE'!$Q$18</f>
        <v>1</v>
      </c>
    </row>
  </sheetData>
  <pageMargins left="3.937007874015748E-2" right="3.937007874015748E-2" top="7.874015748031496E-2" bottom="7.874015748031496E-2" header="0.11811023622047249" footer="0.11811023622047249"/>
  <pageSetup paperSize="8" scale="86" fitToHeight="2"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5"/>
    <pageSetUpPr fitToPage="1"/>
  </sheetPr>
  <dimension ref="A1:BZ14"/>
  <sheetViews>
    <sheetView workbookViewId="0"/>
  </sheetViews>
  <sheetFormatPr baseColWidth="10" defaultColWidth="9.140625" defaultRowHeight="15"/>
  <cols>
    <col min="1" max="2" width="9" style="934" customWidth="1"/>
    <col min="3" max="3" width="6" style="934" customWidth="1"/>
    <col min="4" max="4" width="30.5703125" style="934" customWidth="1"/>
    <col min="5" max="5" width="27.7109375" style="43" customWidth="1"/>
    <col min="6" max="6" width="51.7109375" style="43" customWidth="1"/>
    <col min="7" max="7" width="1.7109375" style="933" customWidth="1"/>
    <col min="8" max="8" width="8.7109375" style="43" customWidth="1"/>
    <col min="9" max="12" width="8.7109375" style="934" customWidth="1"/>
    <col min="13" max="13" width="1.7109375" style="933" customWidth="1"/>
    <col min="14" max="18" width="8.710937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7973</v>
      </c>
      <c r="F1" s="479"/>
      <c r="H1" s="474"/>
      <c r="I1" s="474"/>
      <c r="J1" s="475" t="s">
        <v>7968</v>
      </c>
      <c r="K1" s="474"/>
      <c r="L1" s="474"/>
      <c r="N1" s="452"/>
      <c r="O1" s="452"/>
      <c r="P1" s="476" t="s">
        <v>7969</v>
      </c>
      <c r="Q1" s="452"/>
      <c r="R1" s="452"/>
      <c r="T1" s="452"/>
    </row>
    <row r="2" spans="1:20" ht="45" customHeight="1">
      <c r="A2" s="829" t="s">
        <v>6712</v>
      </c>
      <c r="B2" s="829" t="s">
        <v>6713</v>
      </c>
      <c r="C2" s="420"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405" t="s">
        <v>2086</v>
      </c>
      <c r="E3" s="405" t="s">
        <v>6728</v>
      </c>
      <c r="F3" s="405" t="s">
        <v>6729</v>
      </c>
      <c r="H3" s="790">
        <f>'ANALYSE - ERP =&gt; CATEGORIE'!IL6</f>
        <v>5.0890289136965181E-2</v>
      </c>
      <c r="I3" s="790">
        <f>'ANALYSE - ERP =&gt; CATEGORIE'!IM6</f>
        <v>0.38938085659179045</v>
      </c>
      <c r="J3" s="790">
        <f>'ANALYSE - ERP =&gt; CATEGORIE'!IN6</f>
        <v>0.4379635921740227</v>
      </c>
      <c r="K3" s="790">
        <f>'ANALYSE - ERP =&gt; CATEGORIE'!IO6</f>
        <v>0.1140443159031226</v>
      </c>
      <c r="L3" s="790">
        <f>'ANALYSE - ERP =&gt; CATEGORIE'!IP6</f>
        <v>7.7209461940995171E-3</v>
      </c>
      <c r="N3" s="790">
        <f>'ANALYSE - ERP =&gt; CATEGORIE'!IQ6</f>
        <v>2.3639239303708044E-2</v>
      </c>
      <c r="O3" s="790">
        <f>'ANALYSE - ERP =&gt; CATEGORIE'!IR6</f>
        <v>0.30330948549137865</v>
      </c>
      <c r="P3" s="790">
        <f>'ANALYSE - ERP =&gt; CATEGORIE'!IS6</f>
        <v>0.47999011484979454</v>
      </c>
      <c r="Q3" s="790">
        <f>'ANALYSE - ERP =&gt; CATEGORIE'!IT6</f>
        <v>0.17535179178419349</v>
      </c>
      <c r="R3" s="790">
        <f>'ANALYSE - ERP =&gt; CATEGORIE'!IU6</f>
        <v>1.7709368570924009E-2</v>
      </c>
      <c r="T3" s="428">
        <f>SUM('ANALYSE - ERP =&gt; CATEGORIE'!$Q$8:$Q$110)</f>
        <v>9</v>
      </c>
    </row>
    <row r="4" spans="1:20" ht="15" customHeight="1">
      <c r="A4" s="26">
        <v>1</v>
      </c>
      <c r="B4" s="26">
        <v>1</v>
      </c>
      <c r="C4" s="422">
        <f>'ANALYSE - ERP =&gt; CATEGORIE'!$A$11</f>
        <v>4</v>
      </c>
      <c r="D4" s="492" t="s">
        <v>2187</v>
      </c>
      <c r="E4" s="492" t="s">
        <v>8008</v>
      </c>
      <c r="F4" s="492" t="s">
        <v>8009</v>
      </c>
      <c r="H4" s="787">
        <f>'ANALYSE - ERP =&gt; CATEGORIE'!$IL$11</f>
        <v>1.8159398784733462E-2</v>
      </c>
      <c r="I4" s="787">
        <f>'ANALYSE - ERP =&gt; CATEGORIE'!$IM$11</f>
        <v>0.33253735221418512</v>
      </c>
      <c r="J4" s="787">
        <f>'ANALYSE - ERP =&gt; CATEGORIE'!$IN$11</f>
        <v>0.46826958021436521</v>
      </c>
      <c r="K4" s="787">
        <f>'ANALYSE - ERP =&gt; CATEGORIE'!$IO$11</f>
        <v>0.15405221027898519</v>
      </c>
      <c r="L4" s="787">
        <f>'ANALYSE - ERP =&gt; CATEGORIE'!$IP$11</f>
        <v>2.698145850773102E-2</v>
      </c>
      <c r="N4" s="787">
        <f>'ANALYSE - ERP =&gt; CATEGORIE'!$IQ$11</f>
        <v>5.8015764999344523E-4</v>
      </c>
      <c r="O4" s="787">
        <f>'ANALYSE - ERP =&gt; CATEGORIE'!$IR$11</f>
        <v>0.25099514900477171</v>
      </c>
      <c r="P4" s="787">
        <f>'ANALYSE - ERP =&gt; CATEGORIE'!$IS$11</f>
        <v>0.51560221875334811</v>
      </c>
      <c r="Q4" s="787">
        <f>'ANALYSE - ERP =&gt; CATEGORIE'!$IT$11</f>
        <v>0.19845192641449408</v>
      </c>
      <c r="R4" s="787">
        <f>'ANALYSE - ERP =&gt; CATEGORIE'!$IU$11</f>
        <v>3.4370548177392553E-2</v>
      </c>
      <c r="T4" s="430">
        <f>'ANALYSE - ERP =&gt; CATEGORIE'!$Q$11</f>
        <v>1</v>
      </c>
    </row>
    <row r="5" spans="1:20" ht="15" customHeight="1">
      <c r="A5" s="26">
        <v>2</v>
      </c>
      <c r="B5" s="26">
        <v>3</v>
      </c>
      <c r="C5" s="422">
        <f>'ANALYSE - ERP =&gt; CATEGORIE'!$A$9</f>
        <v>2</v>
      </c>
      <c r="D5" s="494" t="s">
        <v>2241</v>
      </c>
      <c r="E5" s="494" t="s">
        <v>8012</v>
      </c>
      <c r="F5" s="494" t="s">
        <v>8013</v>
      </c>
      <c r="H5" s="787">
        <f>'ANALYSE - ERP =&gt; CATEGORIE'!$IL$9</f>
        <v>4.7442056025647755E-5</v>
      </c>
      <c r="I5" s="787">
        <f>'ANALYSE - ERP =&gt; CATEGORIE'!$IM$9</f>
        <v>0.15810002175855364</v>
      </c>
      <c r="J5" s="787">
        <f>'ANALYSE - ERP =&gt; CATEGORIE'!$IN$9</f>
        <v>0.55916714521469502</v>
      </c>
      <c r="K5" s="787">
        <f>'ANALYSE - ERP =&gt; CATEGORIE'!$IO$9</f>
        <v>0.27730759920113524</v>
      </c>
      <c r="L5" s="787">
        <f>'ANALYSE - ERP =&gt; CATEGORIE'!$IP$9</f>
        <v>5.3777917695905829E-3</v>
      </c>
      <c r="N5" s="787">
        <f>'ANALYSE - ERP =&gt; CATEGORIE'!$IQ$9</f>
        <v>4.7530941636920593E-6</v>
      </c>
      <c r="O5" s="787">
        <f>'ANALYSE - ERP =&gt; CATEGORIE'!$IR$9</f>
        <v>8.1759039423598426E-2</v>
      </c>
      <c r="P5" s="787">
        <f>'ANALYSE - ERP =&gt; CATEGORIE'!$IS$9</f>
        <v>0.51136184634501858</v>
      </c>
      <c r="Q5" s="787">
        <f>'ANALYSE - ERP =&gt; CATEGORIE'!$IT$9</f>
        <v>0.38489724626927235</v>
      </c>
      <c r="R5" s="787">
        <f>'ANALYSE - ERP =&gt; CATEGORIE'!$IU$9</f>
        <v>2.197711486794689E-2</v>
      </c>
      <c r="T5" s="430">
        <f>'ANALYSE - ERP =&gt; CATEGORIE'!$Q$9</f>
        <v>1</v>
      </c>
    </row>
    <row r="6" spans="1:20" ht="15" customHeight="1">
      <c r="A6" s="26">
        <v>3</v>
      </c>
      <c r="B6" s="26">
        <v>2</v>
      </c>
      <c r="C6" s="422">
        <f>'ANALYSE - ERP =&gt; CATEGORIE'!$A$8</f>
        <v>1</v>
      </c>
      <c r="D6" s="498" t="s">
        <v>6739</v>
      </c>
      <c r="E6" s="498" t="s">
        <v>8006</v>
      </c>
      <c r="F6" s="498" t="s">
        <v>8007</v>
      </c>
      <c r="H6" s="787">
        <f>'ANALYSE - ERP =&gt; CATEGORIE'!$IL$8</f>
        <v>0</v>
      </c>
      <c r="I6" s="787">
        <f>'ANALYSE - ERP =&gt; CATEGORIE'!$IM$8</f>
        <v>0</v>
      </c>
      <c r="J6" s="787">
        <f>'ANALYSE - ERP =&gt; CATEGORIE'!$IN$8</f>
        <v>0</v>
      </c>
      <c r="K6" s="787">
        <f>'ANALYSE - ERP =&gt; CATEGORIE'!$IO$8</f>
        <v>0</v>
      </c>
      <c r="L6" s="787">
        <f>'ANALYSE - ERP =&gt; CATEGORIE'!$IP$8</f>
        <v>0</v>
      </c>
      <c r="N6" s="787">
        <f>'ANALYSE - ERP =&gt; CATEGORIE'!$IQ$8</f>
        <v>0</v>
      </c>
      <c r="O6" s="787">
        <f>'ANALYSE - ERP =&gt; CATEGORIE'!$IR$8</f>
        <v>0</v>
      </c>
      <c r="P6" s="787">
        <f>'ANALYSE - ERP =&gt; CATEGORIE'!$IS$8</f>
        <v>0</v>
      </c>
      <c r="Q6" s="787">
        <f>'ANALYSE - ERP =&gt; CATEGORIE'!$IT$8</f>
        <v>0</v>
      </c>
      <c r="R6" s="787">
        <f>'ANALYSE - ERP =&gt; CATEGORIE'!$IU$8</f>
        <v>0</v>
      </c>
      <c r="T6" s="430">
        <f>'ANALYSE - ERP =&gt; CATEGORIE'!$Q$8</f>
        <v>0</v>
      </c>
    </row>
    <row r="7" spans="1:20" ht="15" customHeight="1">
      <c r="A7" s="26">
        <v>4</v>
      </c>
      <c r="B7" s="26">
        <v>5</v>
      </c>
      <c r="C7" s="422">
        <f>'ANALYSE - ERP =&gt; CATEGORIE'!$A$15</f>
        <v>8</v>
      </c>
      <c r="D7" s="496" t="s">
        <v>1670</v>
      </c>
      <c r="E7" s="496" t="s">
        <v>8010</v>
      </c>
      <c r="F7" s="496" t="s">
        <v>8011</v>
      </c>
      <c r="H7" s="787">
        <f>'ANALYSE - ERP =&gt; CATEGORIE'!$IL$15</f>
        <v>0</v>
      </c>
      <c r="I7" s="787">
        <f>'ANALYSE - ERP =&gt; CATEGORIE'!$IM$15</f>
        <v>0</v>
      </c>
      <c r="J7" s="787">
        <f>'ANALYSE - ERP =&gt; CATEGORIE'!$IN$15</f>
        <v>0</v>
      </c>
      <c r="K7" s="787">
        <f>'ANALYSE - ERP =&gt; CATEGORIE'!$IO$15</f>
        <v>0</v>
      </c>
      <c r="L7" s="787">
        <f>'ANALYSE - ERP =&gt; CATEGORIE'!$IP$15</f>
        <v>0</v>
      </c>
      <c r="N7" s="787">
        <f>'ANALYSE - ERP =&gt; CATEGORIE'!$IQ$15</f>
        <v>0</v>
      </c>
      <c r="O7" s="787">
        <f>'ANALYSE - ERP =&gt; CATEGORIE'!$IR$15</f>
        <v>0</v>
      </c>
      <c r="P7" s="787">
        <f>'ANALYSE - ERP =&gt; CATEGORIE'!$IS$15</f>
        <v>0</v>
      </c>
      <c r="Q7" s="787">
        <f>'ANALYSE - ERP =&gt; CATEGORIE'!$IT$15</f>
        <v>0</v>
      </c>
      <c r="R7" s="787">
        <f>'ANALYSE - ERP =&gt; CATEGORIE'!$IU$15</f>
        <v>0</v>
      </c>
      <c r="T7" s="430">
        <f>'ANALYSE - ERP =&gt; CATEGORIE'!$Q$15</f>
        <v>0</v>
      </c>
    </row>
    <row r="8" spans="1:20" ht="15" customHeight="1">
      <c r="A8" s="26">
        <v>5</v>
      </c>
      <c r="B8" s="26">
        <v>6</v>
      </c>
      <c r="C8" s="422">
        <f>'ANALYSE - ERP =&gt; CATEGORIE'!$A$12</f>
        <v>5</v>
      </c>
      <c r="D8" s="502" t="s">
        <v>2264</v>
      </c>
      <c r="E8" s="502" t="s">
        <v>8014</v>
      </c>
      <c r="F8" s="502" t="s">
        <v>8015</v>
      </c>
      <c r="H8" s="787">
        <f>'ANALYSE - ERP =&gt; CATEGORIE'!$IL$12</f>
        <v>3.5314507186858315E-2</v>
      </c>
      <c r="I8" s="787">
        <f>'ANALYSE - ERP =&gt; CATEGORIE'!$IM$12</f>
        <v>0.40318305954825456</v>
      </c>
      <c r="J8" s="787">
        <f>'ANALYSE - ERP =&gt; CATEGORIE'!$IN$12</f>
        <v>0.4856731519507187</v>
      </c>
      <c r="K8" s="787">
        <f>'ANALYSE - ERP =&gt; CATEGORIE'!$IO$12</f>
        <v>7.4927022587269007E-2</v>
      </c>
      <c r="L8" s="787">
        <f>'ANALYSE - ERP =&gt; CATEGORIE'!$IP$12</f>
        <v>9.0225872689938397E-4</v>
      </c>
      <c r="N8" s="787">
        <f>'ANALYSE - ERP =&gt; CATEGORIE'!$IQ$12</f>
        <v>1.3634772899023442E-2</v>
      </c>
      <c r="O8" s="787">
        <f>'ANALYSE - ERP =&gt; CATEGORIE'!$IR$12</f>
        <v>0.37080664270659019</v>
      </c>
      <c r="P8" s="787">
        <f>'ANALYSE - ERP =&gt; CATEGORIE'!$IS$12</f>
        <v>0.51249937290587855</v>
      </c>
      <c r="Q8" s="787">
        <f>'ANALYSE - ERP =&gt; CATEGORIE'!$IT$12</f>
        <v>9.6634578405900257E-2</v>
      </c>
      <c r="R8" s="787">
        <f>'ANALYSE - ERP =&gt; CATEGORIE'!$IU$12</f>
        <v>6.4246330826075752E-3</v>
      </c>
      <c r="T8" s="430">
        <f>'ANALYSE - ERP =&gt; CATEGORIE'!$Q$12</f>
        <v>1</v>
      </c>
    </row>
    <row r="9" spans="1:20" ht="15" customHeight="1">
      <c r="A9" s="26">
        <v>6</v>
      </c>
      <c r="B9" s="26">
        <v>4</v>
      </c>
      <c r="C9" s="422">
        <f>'ANALYSE - ERP =&gt; CATEGORIE'!$A$14</f>
        <v>7</v>
      </c>
      <c r="D9" s="504" t="s">
        <v>2278</v>
      </c>
      <c r="E9" s="504" t="s">
        <v>8016</v>
      </c>
      <c r="F9" s="504" t="s">
        <v>8017</v>
      </c>
      <c r="H9" s="787">
        <f>'ANALYSE - ERP =&gt; CATEGORIE'!$IL$14</f>
        <v>5.1875950768121973E-2</v>
      </c>
      <c r="I9" s="787">
        <f>'ANALYSE - ERP =&gt; CATEGORIE'!$IM$14</f>
        <v>0.44028488595072524</v>
      </c>
      <c r="J9" s="787">
        <f>'ANALYSE - ERP =&gt; CATEGORIE'!$IN$14</f>
        <v>0.44909556629958686</v>
      </c>
      <c r="K9" s="787">
        <f>'ANALYSE - ERP =&gt; CATEGORIE'!$IO$14</f>
        <v>5.867429483357E-2</v>
      </c>
      <c r="L9" s="787">
        <f>'ANALYSE - ERP =&gt; CATEGORIE'!$IP$14</f>
        <v>6.930214799593309E-5</v>
      </c>
      <c r="N9" s="787">
        <f>'ANALYSE - ERP =&gt; CATEGORIE'!$IQ$14</f>
        <v>3.2036394267088909E-2</v>
      </c>
      <c r="O9" s="787">
        <f>'ANALYSE - ERP =&gt; CATEGORIE'!$IR$14</f>
        <v>0.41105017613305611</v>
      </c>
      <c r="P9" s="787">
        <f>'ANALYSE - ERP =&gt; CATEGORIE'!$IS$14</f>
        <v>0.47305489759543506</v>
      </c>
      <c r="Q9" s="787">
        <f>'ANALYSE - ERP =&gt; CATEGORIE'!$IT$14</f>
        <v>7.9770734653879252E-2</v>
      </c>
      <c r="R9" s="787">
        <f>'ANALYSE - ERP =&gt; CATEGORIE'!$IU$14</f>
        <v>4.0877973505405799E-3</v>
      </c>
      <c r="T9" s="430">
        <f>'ANALYSE - ERP =&gt; CATEGORIE'!$Q$14</f>
        <v>1</v>
      </c>
    </row>
    <row r="10" spans="1:20" ht="15" customHeight="1">
      <c r="A10" s="26">
        <v>7</v>
      </c>
      <c r="B10" s="26">
        <v>7</v>
      </c>
      <c r="C10" s="422">
        <f>'ANALYSE - ERP =&gt; CATEGORIE'!$A$10</f>
        <v>3</v>
      </c>
      <c r="D10" s="500" t="s">
        <v>3662</v>
      </c>
      <c r="E10" s="500" t="s">
        <v>8018</v>
      </c>
      <c r="F10" s="500" t="s">
        <v>8019</v>
      </c>
      <c r="H10" s="787">
        <f>'ANALYSE - ERP =&gt; CATEGORIE'!$IL$10</f>
        <v>2.0984681601934174E-2</v>
      </c>
      <c r="I10" s="787">
        <f>'ANALYSE - ERP =&gt; CATEGORIE'!$IM$10</f>
        <v>0.32960758364529708</v>
      </c>
      <c r="J10" s="787">
        <f>'ANALYSE - ERP =&gt; CATEGORIE'!$IN$10</f>
        <v>0.50035322980034314</v>
      </c>
      <c r="K10" s="787">
        <f>'ANALYSE - ERP =&gt; CATEGORIE'!$IO$10</f>
        <v>0.13980706208079866</v>
      </c>
      <c r="L10" s="787">
        <f>'ANALYSE - ERP =&gt; CATEGORIE'!$IP$10</f>
        <v>9.247442871626892E-3</v>
      </c>
      <c r="N10" s="787">
        <f>'ANALYSE - ERP =&gt; CATEGORIE'!$IQ$10</f>
        <v>7.4996065174806901E-3</v>
      </c>
      <c r="O10" s="787">
        <f>'ANALYSE - ERP =&gt; CATEGORIE'!$IR$10</f>
        <v>0.27002986719187</v>
      </c>
      <c r="P10" s="787">
        <f>'ANALYSE - ERP =&gt; CATEGORIE'!$IS$10</f>
        <v>0.50012737029283538</v>
      </c>
      <c r="Q10" s="787">
        <f>'ANALYSE - ERP =&gt; CATEGORIE'!$IT$10</f>
        <v>0.19792528745851895</v>
      </c>
      <c r="R10" s="787">
        <f>'ANALYSE - ERP =&gt; CATEGORIE'!$IU$10</f>
        <v>2.4417868539294726E-2</v>
      </c>
      <c r="T10" s="430">
        <f>'ANALYSE - ERP =&gt; CATEGORIE'!$Q$10</f>
        <v>1</v>
      </c>
    </row>
    <row r="11" spans="1:20" s="45" customFormat="1" ht="15" customHeight="1">
      <c r="A11" s="26">
        <v>8</v>
      </c>
      <c r="B11" s="26">
        <v>8</v>
      </c>
      <c r="C11" s="422">
        <f>'ANALYSE - ERP =&gt; CATEGORIE'!$A$13</f>
        <v>6</v>
      </c>
      <c r="D11" s="506" t="s">
        <v>7117</v>
      </c>
      <c r="E11" s="506" t="s">
        <v>8020</v>
      </c>
      <c r="F11" s="506" t="s">
        <v>8021</v>
      </c>
      <c r="G11" s="685"/>
      <c r="H11" s="787">
        <f>'ANALYSE - ERP =&gt; CATEGORIE'!$IL$13</f>
        <v>0</v>
      </c>
      <c r="I11" s="787">
        <f>'ANALYSE - ERP =&gt; CATEGORIE'!$IM$13</f>
        <v>0</v>
      </c>
      <c r="J11" s="787">
        <f>'ANALYSE - ERP =&gt; CATEGORIE'!$IN$13</f>
        <v>0</v>
      </c>
      <c r="K11" s="787">
        <f>'ANALYSE - ERP =&gt; CATEGORIE'!$IO$13</f>
        <v>0</v>
      </c>
      <c r="L11" s="787">
        <f>'ANALYSE - ERP =&gt; CATEGORIE'!$IP$13</f>
        <v>0</v>
      </c>
      <c r="M11" s="685"/>
      <c r="N11" s="787">
        <f>'ANALYSE - ERP =&gt; CATEGORIE'!$IQ$13</f>
        <v>0</v>
      </c>
      <c r="O11" s="787">
        <f>'ANALYSE - ERP =&gt; CATEGORIE'!$IR$13</f>
        <v>0</v>
      </c>
      <c r="P11" s="787">
        <f>'ANALYSE - ERP =&gt; CATEGORIE'!$IS$13</f>
        <v>0</v>
      </c>
      <c r="Q11" s="787">
        <f>'ANALYSE - ERP =&gt; CATEGORIE'!$IT$13</f>
        <v>0</v>
      </c>
      <c r="R11" s="787">
        <f>'ANALYSE - ERP =&gt; CATEGORIE'!$IU$13</f>
        <v>0</v>
      </c>
      <c r="S11" s="685"/>
      <c r="T11" s="430">
        <f>'ANALYSE - ERP =&gt; CATEGORIE'!$Q$13</f>
        <v>0</v>
      </c>
    </row>
    <row r="12" spans="1:20" ht="15" customHeight="1">
      <c r="A12" s="26">
        <v>9</v>
      </c>
      <c r="B12" s="26">
        <v>9</v>
      </c>
      <c r="C12" s="422">
        <f>'ANALYSE - ERP =&gt; CATEGORIE'!$A$16</f>
        <v>9</v>
      </c>
      <c r="D12" s="508" t="s">
        <v>2285</v>
      </c>
      <c r="E12" s="508" t="s">
        <v>8022</v>
      </c>
      <c r="F12" s="508" t="s">
        <v>8023</v>
      </c>
      <c r="H12" s="787">
        <f>'ANALYSE - ERP =&gt; CATEGORIE'!$IL$16</f>
        <v>5.1946538079910939E-2</v>
      </c>
      <c r="I12" s="787">
        <f>'ANALYSE - ERP =&gt; CATEGORIE'!$IM$16</f>
        <v>0.43521968006582601</v>
      </c>
      <c r="J12" s="787">
        <f>'ANALYSE - ERP =&gt; CATEGORIE'!$IN$16</f>
        <v>0.39602062389583986</v>
      </c>
      <c r="K12" s="787">
        <f>'ANALYSE - ERP =&gt; CATEGORIE'!$IO$16</f>
        <v>9.9065799472423222E-2</v>
      </c>
      <c r="L12" s="787">
        <f>'ANALYSE - ERP =&gt; CATEGORIE'!$IP$16</f>
        <v>1.7747358485999853E-2</v>
      </c>
      <c r="N12" s="787">
        <f>'ANALYSE - ERP =&gt; CATEGORIE'!$IQ$16</f>
        <v>2.9357562990086041E-2</v>
      </c>
      <c r="O12" s="787">
        <f>'ANALYSE - ERP =&gt; CATEGORIE'!$IR$16</f>
        <v>0.38307125747662651</v>
      </c>
      <c r="P12" s="787">
        <f>'ANALYSE - ERP =&gt; CATEGORIE'!$IS$16</f>
        <v>0.41398687930730144</v>
      </c>
      <c r="Q12" s="787">
        <f>'ANALYSE - ERP =&gt; CATEGORIE'!$IT$16</f>
        <v>0.13821222259112945</v>
      </c>
      <c r="R12" s="787">
        <f>'ANALYSE - ERP =&gt; CATEGORIE'!$IU$16</f>
        <v>3.5372077634856607E-2</v>
      </c>
      <c r="T12" s="430">
        <f>'ANALYSE - ERP =&gt; CATEGORIE'!$Q$16</f>
        <v>1</v>
      </c>
    </row>
    <row r="13" spans="1:20" s="45" customFormat="1" ht="15" customHeight="1">
      <c r="A13" s="406">
        <v>10</v>
      </c>
      <c r="B13" s="406">
        <v>10</v>
      </c>
      <c r="C13" s="448">
        <f>'ANALYSE - ERP =&gt; CATEGORIE'!$A$17</f>
        <v>10</v>
      </c>
      <c r="D13" s="518" t="s">
        <v>4908</v>
      </c>
      <c r="E13" s="518" t="s">
        <v>8024</v>
      </c>
      <c r="F13" s="518" t="s">
        <v>8025</v>
      </c>
      <c r="G13" s="685"/>
      <c r="H13" s="788">
        <f>'ANALYSE - ERP =&gt; CATEGORIE'!$IL$17</f>
        <v>0.1006517812864644</v>
      </c>
      <c r="I13" s="788">
        <f>'ANALYSE - ERP =&gt; CATEGORIE'!$IM$17</f>
        <v>0.59078751458576428</v>
      </c>
      <c r="J13" s="788">
        <f>'ANALYSE - ERP =&gt; CATEGORIE'!$IN$17</f>
        <v>0.27271506344807467</v>
      </c>
      <c r="K13" s="788">
        <f>'ANALYSE - ERP =&gt; CATEGORIE'!$IO$17</f>
        <v>3.4648749270711786E-2</v>
      </c>
      <c r="L13" s="788">
        <f>'ANALYSE - ERP =&gt; CATEGORIE'!$IP$17</f>
        <v>1.1968914089848309E-3</v>
      </c>
      <c r="M13" s="685"/>
      <c r="N13" s="788">
        <f>'ANALYSE - ERP =&gt; CATEGORIE'!$IQ$17</f>
        <v>3.7634156380053504E-2</v>
      </c>
      <c r="O13" s="788">
        <f>'ANALYSE - ERP =&gt; CATEGORIE'!$IR$17</f>
        <v>0.49550024847800339</v>
      </c>
      <c r="P13" s="788">
        <f>'ANALYSE - ERP =&gt; CATEGORIE'!$IS$17</f>
        <v>0.41197164555592447</v>
      </c>
      <c r="Q13" s="788">
        <f>'ANALYSE - ERP =&gt; CATEGORIE'!$IT$17</f>
        <v>5.1926336188304854E-2</v>
      </c>
      <c r="R13" s="788">
        <f>'ANALYSE - ERP =&gt; CATEGORIE'!$IU$17</f>
        <v>2.967613397713547E-3</v>
      </c>
      <c r="S13" s="685"/>
      <c r="T13" s="450">
        <f>'ANALYSE - ERP =&gt; CATEGORIE'!$Q$17</f>
        <v>1</v>
      </c>
    </row>
    <row r="14" spans="1:20" ht="15" customHeight="1">
      <c r="A14" s="26">
        <v>11</v>
      </c>
      <c r="B14" s="26">
        <v>11</v>
      </c>
      <c r="C14" s="422">
        <f>'ANALYSE - ERP =&gt; CATEGORIE'!$A$18</f>
        <v>11</v>
      </c>
      <c r="D14" s="502" t="s">
        <v>2163</v>
      </c>
      <c r="E14" s="502" t="s">
        <v>2163</v>
      </c>
      <c r="F14" s="502" t="s">
        <v>2164</v>
      </c>
      <c r="H14" s="787">
        <f>'ANALYSE - ERP =&gt; CATEGORIE'!$IL$18</f>
        <v>0.27385484693877549</v>
      </c>
      <c r="I14" s="787">
        <f>'ANALYSE - ERP =&gt; CATEGORIE'!$IM$18</f>
        <v>0.60535153061224489</v>
      </c>
      <c r="J14" s="787">
        <f>'ANALYSE - ERP =&gt; CATEGORIE'!$IN$18</f>
        <v>0.12079362244897959</v>
      </c>
      <c r="K14" s="787">
        <f>'ANALYSE - ERP =&gt; CATEGORIE'!$IO$18</f>
        <v>0</v>
      </c>
      <c r="L14" s="787">
        <f>'ANALYSE - ERP =&gt; CATEGORIE'!$IP$18</f>
        <v>0</v>
      </c>
      <c r="N14" s="787">
        <f>'ANALYSE - ERP =&gt; CATEGORIE'!$IQ$18</f>
        <v>0.24846152179834091</v>
      </c>
      <c r="O14" s="787">
        <f>'ANALYSE - ERP =&gt; CATEGORIE'!$IR$18</f>
        <v>0.57820021562966661</v>
      </c>
      <c r="P14" s="787">
        <f>'ANALYSE - ERP =&gt; CATEGORIE'!$IS$18</f>
        <v>0.14943849677332174</v>
      </c>
      <c r="Q14" s="787">
        <f>'ANALYSE - ERP =&gt; CATEGORIE'!$IT$18</f>
        <v>1.9537110137008595E-2</v>
      </c>
      <c r="R14" s="787">
        <f>'ANALYSE - ERP =&gt; CATEGORIE'!$IU$18</f>
        <v>4.3626556616621131E-3</v>
      </c>
      <c r="T14" s="430">
        <f>'ANALYSE - ERP =&gt; CATEGORIE'!$Q$18</f>
        <v>1</v>
      </c>
    </row>
  </sheetData>
  <pageMargins left="3.937007874015748E-2" right="3.937007874015748E-2" top="7.874015748031496E-2" bottom="7.874015748031496E-2" header="0.11811023622047249" footer="0.11811023622047249"/>
  <pageSetup paperSize="8" scale="88" fitToHeight="2"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5" tint="0.39997558519241921"/>
    <pageSetUpPr fitToPage="1"/>
  </sheetPr>
  <dimension ref="A1:BZ14"/>
  <sheetViews>
    <sheetView workbookViewId="0">
      <selection activeCell="J5" sqref="J5"/>
    </sheetView>
  </sheetViews>
  <sheetFormatPr baseColWidth="10" defaultColWidth="9.140625" defaultRowHeight="15"/>
  <cols>
    <col min="1" max="2" width="9" style="934" customWidth="1"/>
    <col min="3" max="3" width="6" style="934" customWidth="1"/>
    <col min="4" max="4" width="30.5703125" style="934" customWidth="1"/>
    <col min="5" max="5" width="27.7109375" style="43" customWidth="1"/>
    <col min="6" max="6" width="50.7109375" style="43" customWidth="1"/>
    <col min="7" max="7" width="1.7109375" style="933" customWidth="1"/>
    <col min="8" max="8" width="9.28515625" style="43" customWidth="1"/>
    <col min="9" max="12" width="9.28515625" style="934" customWidth="1"/>
    <col min="13" max="13" width="1.7109375" style="933" customWidth="1"/>
    <col min="14" max="18" width="9.2851562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7974</v>
      </c>
      <c r="F1" s="479"/>
      <c r="H1" s="474"/>
      <c r="I1" s="474"/>
      <c r="J1" s="475" t="s">
        <v>7971</v>
      </c>
      <c r="K1" s="474"/>
      <c r="L1" s="474"/>
      <c r="N1" s="452"/>
      <c r="O1" s="452"/>
      <c r="P1" s="476" t="s">
        <v>7972</v>
      </c>
      <c r="Q1" s="452"/>
      <c r="R1" s="452"/>
      <c r="T1" s="452"/>
    </row>
    <row r="2" spans="1:20"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520" t="s">
        <v>6739</v>
      </c>
      <c r="E3" s="520" t="s">
        <v>8006</v>
      </c>
      <c r="F3" s="520" t="s">
        <v>8007</v>
      </c>
      <c r="H3" s="426">
        <f>SUMPRODUCT(($T$4:$T$106),('ANALYSE - ERP =&gt; CATEGORIE'!$BC$8:$BC$110),('ANALYSE - ERP =&gt; CATEGORIE'!$IL$8:$IL$110))</f>
        <v>60641.358700000004</v>
      </c>
      <c r="I3" s="426">
        <f>SUMPRODUCT(($T$4:$T$106),('ANALYSE - ERP =&gt; CATEGORIE'!$BC$8:$BC$110),('ANALYSE - ERP =&gt; CATEGORIE'!$IM$8:$IM$110))</f>
        <v>723602.45329999994</v>
      </c>
      <c r="J3" s="426">
        <f>SUMPRODUCT(($T$4:$T$106),('ANALYSE - ERP =&gt; CATEGORIE'!$BC$8:$BC$110),('ANALYSE - ERP =&gt; CATEGORIE'!$IN$8:$IN$110))</f>
        <v>1159273.7954000002</v>
      </c>
      <c r="K3" s="426">
        <f>SUMPRODUCT(($T$4:$T$106),('ANALYSE - ERP =&gt; CATEGORIE'!$BC$8:$BC$110),('ANALYSE - ERP =&gt; CATEGORIE'!$IO$8:$IO$110))</f>
        <v>360559.95170000003</v>
      </c>
      <c r="L3" s="426">
        <f>SUMPRODUCT(($T$4:$T$106),('ANALYSE - ERP =&gt; CATEGORIE'!$BC$8:$BC$110),('ANALYSE - ERP =&gt; CATEGORIE'!$IP$8:$IP$110))</f>
        <v>7543.4409000000014</v>
      </c>
      <c r="N3" s="426">
        <f>SUMPRODUCT(($T$4:$T$106),('ANALYSE - ERP =&gt; CATEGORIE'!$EX$8:$EX$110),('ANALYSE - ERP =&gt; CATEGORIE'!$IQ$8:$IQ$110))</f>
        <v>11777.846002698752</v>
      </c>
      <c r="O3" s="426">
        <f>SUMPRODUCT(($T$4:$T$106),('ANALYSE - ERP =&gt; CATEGORIE'!$EX$8:$EX$110),('ANALYSE - ERP =&gt; CATEGORIE'!$IR$8:$IR$110))</f>
        <v>236676.34381660505</v>
      </c>
      <c r="P3" s="426">
        <f>SUMPRODUCT(($T$4:$T$106),('ANALYSE - ERP =&gt; CATEGORIE'!$EX$8:$EX$110),('ANALYSE - ERP =&gt; CATEGORIE'!$IS$8:$IS$110))</f>
        <v>478240.72576009145</v>
      </c>
      <c r="Q3" s="426">
        <f>SUMPRODUCT(($T$4:$T$106),('ANALYSE - ERP =&gt; CATEGORIE'!$EX$8:$EX$110),('ANALYSE - ERP =&gt; CATEGORIE'!$IT$8:$IT$110))</f>
        <v>218982.55033631265</v>
      </c>
      <c r="R3" s="426">
        <f>SUMPRODUCT(($T$4:$T$106),('ANALYSE - ERP =&gt; CATEGORIE'!$EX$8:$EX$110),('ANALYSE - ERP =&gt; CATEGORIE'!$IU$8:$IU$110))</f>
        <v>13919.315255854694</v>
      </c>
      <c r="T3" s="428">
        <f>SUM('ANALYSE - ERP =&gt; CATEGORIE'!$Q$8:$Q$110)</f>
        <v>9</v>
      </c>
    </row>
    <row r="4" spans="1:20" ht="15" customHeight="1">
      <c r="A4" s="26">
        <v>1</v>
      </c>
      <c r="B4" s="26">
        <v>1</v>
      </c>
      <c r="C4" s="422">
        <f>'ANALYSE - ERP =&gt; CATEGORIE'!$A$11</f>
        <v>4</v>
      </c>
      <c r="D4" s="492" t="s">
        <v>2187</v>
      </c>
      <c r="E4" s="492" t="s">
        <v>8008</v>
      </c>
      <c r="F4" s="492" t="s">
        <v>8009</v>
      </c>
      <c r="H4" s="458">
        <f>'ANALYSE - ERP =&gt; CATEGORIE'!$BC$11*'ANALYSE - ERP =&gt; CATEGORIE'!$IL$11</f>
        <v>18363.119999999995</v>
      </c>
      <c r="I4" s="458">
        <f>'ANALYSE - ERP =&gt; CATEGORIE'!$BC$11*'ANALYSE - ERP =&gt; CATEGORIE'!$IM$11</f>
        <v>336267.92249999999</v>
      </c>
      <c r="J4" s="458">
        <f>'ANALYSE - ERP =&gt; CATEGORIE'!$BC$11*'ANALYSE - ERP =&gt; CATEGORIE'!$IN$11</f>
        <v>473522.86250000005</v>
      </c>
      <c r="K4" s="458">
        <f>'ANALYSE - ERP =&gt; CATEGORIE'!$BC$11*'ANALYSE - ERP =&gt; CATEGORIE'!$IO$11</f>
        <v>155780.44499999998</v>
      </c>
      <c r="L4" s="458">
        <f>'ANALYSE - ERP =&gt; CATEGORIE'!$BC$11*'ANALYSE - ERP =&gt; CATEGORIE'!$IP$11</f>
        <v>27284.15</v>
      </c>
      <c r="N4" s="458">
        <f>'ANALYSE - ERP =&gt; CATEGORIE'!$EX$11*'ANALYSE - ERP =&gt; CATEGORIE'!$IQ$11</f>
        <v>276.10667309059301</v>
      </c>
      <c r="O4" s="458">
        <f>'ANALYSE - ERP =&gt; CATEGORIE'!$EX$11*'ANALYSE - ERP =&gt; CATEGORIE'!$IR$11</f>
        <v>119452.76521712361</v>
      </c>
      <c r="P4" s="458">
        <f>'ANALYSE - ERP =&gt; CATEGORIE'!$EX$11*'ANALYSE - ERP =&gt; CATEGORIE'!$IS$11</f>
        <v>245383.66986925629</v>
      </c>
      <c r="Q4" s="458">
        <f>'ANALYSE - ERP =&gt; CATEGORIE'!$EX$11*'ANALYSE - ERP =&gt; CATEGORIE'!$IT$11</f>
        <v>94446.571843608734</v>
      </c>
      <c r="R4" s="458">
        <f>'ANALYSE - ERP =&gt; CATEGORIE'!$EX$11*'ANALYSE - ERP =&gt; CATEGORIE'!$IU$11</f>
        <v>16357.515426482823</v>
      </c>
      <c r="T4" s="430">
        <f>'ANALYSE - ERP =&gt; CATEGORIE'!$Q$11</f>
        <v>1</v>
      </c>
    </row>
    <row r="5" spans="1:20" ht="15" customHeight="1">
      <c r="A5" s="26">
        <v>2</v>
      </c>
      <c r="B5" s="26">
        <v>3</v>
      </c>
      <c r="C5" s="422">
        <f>'ANALYSE - ERP =&gt; CATEGORIE'!$A$9</f>
        <v>2</v>
      </c>
      <c r="D5" s="494" t="s">
        <v>2241</v>
      </c>
      <c r="E5" s="494" t="s">
        <v>8012</v>
      </c>
      <c r="F5" s="494" t="s">
        <v>8013</v>
      </c>
      <c r="H5" s="458">
        <f>'ANALYSE - ERP =&gt; CATEGORIE'!$BC$9*'ANALYSE - ERP =&gt; CATEGORIE'!$IL$9</f>
        <v>45.133999999999993</v>
      </c>
      <c r="I5" s="458">
        <f>'ANALYSE - ERP =&gt; CATEGORIE'!$BC$9*'ANALYSE - ERP =&gt; CATEGORIE'!$IM$9</f>
        <v>150408.45570000002</v>
      </c>
      <c r="J5" s="458">
        <f>'ANALYSE - ERP =&gt; CATEGORIE'!$BC$9*'ANALYSE - ERP =&gt; CATEGORIE'!$IN$9</f>
        <v>531963.66360000009</v>
      </c>
      <c r="K5" s="458">
        <f>'ANALYSE - ERP =&gt; CATEGORIE'!$BC$9*'ANALYSE - ERP =&gt; CATEGORIE'!$IO$9</f>
        <v>263816.5845</v>
      </c>
      <c r="L5" s="458">
        <f>'ANALYSE - ERP =&gt; CATEGORIE'!$BC$9*'ANALYSE - ERP =&gt; CATEGORIE'!$IP$9</f>
        <v>5116.1622000000007</v>
      </c>
      <c r="N5" s="458">
        <f>'ANALYSE - ERP =&gt; CATEGORIE'!$EX$9*'ANALYSE - ERP =&gt; CATEGORIE'!$IQ$9</f>
        <v>2.1086511340517085</v>
      </c>
      <c r="O5" s="458">
        <f>'ANALYSE - ERP =&gt; CATEGORIE'!$EX$9*'ANALYSE - ERP =&gt; CATEGORIE'!$IR$9</f>
        <v>36271.381391197407</v>
      </c>
      <c r="P5" s="458">
        <f>'ANALYSE - ERP =&gt; CATEGORIE'!$EX$9*'ANALYSE - ERP =&gt; CATEGORIE'!$IS$9</f>
        <v>226859.32575100107</v>
      </c>
      <c r="Q5" s="458">
        <f>'ANALYSE - ERP =&gt; CATEGORIE'!$EX$9*'ANALYSE - ERP =&gt; CATEGORIE'!$IT$9</f>
        <v>170754.87816732915</v>
      </c>
      <c r="R5" s="458">
        <f>'ANALYSE - ERP =&gt; CATEGORIE'!$EX$9*'ANALYSE - ERP =&gt; CATEGORIE'!$IU$9</f>
        <v>9749.8737861073132</v>
      </c>
      <c r="T5" s="430">
        <f>'ANALYSE - ERP =&gt; CATEGORIE'!$Q$9</f>
        <v>1</v>
      </c>
    </row>
    <row r="6" spans="1:20" ht="15" customHeight="1">
      <c r="A6" s="26">
        <v>3</v>
      </c>
      <c r="B6" s="26">
        <v>2</v>
      </c>
      <c r="C6" s="422">
        <f>'ANALYSE - ERP =&gt; CATEGORIE'!$A$8</f>
        <v>1</v>
      </c>
      <c r="D6" s="498" t="s">
        <v>6739</v>
      </c>
      <c r="E6" s="498" t="s">
        <v>8006</v>
      </c>
      <c r="F6" s="498" t="s">
        <v>8007</v>
      </c>
      <c r="H6" s="458">
        <f>'ANALYSE - ERP =&gt; CATEGORIE'!$BC$8*'ANALYSE - ERP =&gt; CATEGORIE'!$IL$8</f>
        <v>0</v>
      </c>
      <c r="I6" s="458">
        <f>'ANALYSE - ERP =&gt; CATEGORIE'!$BC$8*'ANALYSE - ERP =&gt; CATEGORIE'!$IM$8</f>
        <v>0</v>
      </c>
      <c r="J6" s="458">
        <f>'ANALYSE - ERP =&gt; CATEGORIE'!$BC$8*'ANALYSE - ERP =&gt; CATEGORIE'!$IN$8</f>
        <v>0</v>
      </c>
      <c r="K6" s="458">
        <f>'ANALYSE - ERP =&gt; CATEGORIE'!$BC$8*'ANALYSE - ERP =&gt; CATEGORIE'!$IO$8</f>
        <v>0</v>
      </c>
      <c r="L6" s="458">
        <f>'ANALYSE - ERP =&gt; CATEGORIE'!$BC$8*'ANALYSE - ERP =&gt; CATEGORIE'!$IP$8</f>
        <v>0</v>
      </c>
      <c r="N6" s="458">
        <f>'ANALYSE - ERP =&gt; CATEGORIE'!$EX$8*'ANALYSE - ERP =&gt; CATEGORIE'!$IQ$8</f>
        <v>0</v>
      </c>
      <c r="O6" s="458">
        <f>'ANALYSE - ERP =&gt; CATEGORIE'!$EX$8*'ANALYSE - ERP =&gt; CATEGORIE'!$IR$8</f>
        <v>0</v>
      </c>
      <c r="P6" s="458">
        <f>'ANALYSE - ERP =&gt; CATEGORIE'!$EX$8*'ANALYSE - ERP =&gt; CATEGORIE'!$IS$8</f>
        <v>0</v>
      </c>
      <c r="Q6" s="458">
        <f>'ANALYSE - ERP =&gt; CATEGORIE'!$EX$8*'ANALYSE - ERP =&gt; CATEGORIE'!$IT$8</f>
        <v>0</v>
      </c>
      <c r="R6" s="458">
        <f>'ANALYSE - ERP =&gt; CATEGORIE'!$EX$8*'ANALYSE - ERP =&gt; CATEGORIE'!$IU$8</f>
        <v>0</v>
      </c>
      <c r="T6" s="430">
        <f>'ANALYSE - ERP =&gt; CATEGORIE'!$Q$8</f>
        <v>0</v>
      </c>
    </row>
    <row r="7" spans="1:20" ht="15" customHeight="1">
      <c r="A7" s="26">
        <v>4</v>
      </c>
      <c r="B7" s="26">
        <v>5</v>
      </c>
      <c r="C7" s="422">
        <f>'ANALYSE - ERP =&gt; CATEGORIE'!$A$15</f>
        <v>8</v>
      </c>
      <c r="D7" s="496" t="s">
        <v>1670</v>
      </c>
      <c r="E7" s="496" t="s">
        <v>8010</v>
      </c>
      <c r="F7" s="496" t="s">
        <v>8011</v>
      </c>
      <c r="H7" s="458">
        <f>'ANALYSE - ERP =&gt; CATEGORIE'!$BC$15*'ANALYSE - ERP =&gt; CATEGORIE'!$IL$15</f>
        <v>0</v>
      </c>
      <c r="I7" s="458">
        <f>'ANALYSE - ERP =&gt; CATEGORIE'!$BC$15*'ANALYSE - ERP =&gt; CATEGORIE'!$IM$15</f>
        <v>0</v>
      </c>
      <c r="J7" s="458">
        <f>'ANALYSE - ERP =&gt; CATEGORIE'!$BC$15*'ANALYSE - ERP =&gt; CATEGORIE'!$IN$15</f>
        <v>0</v>
      </c>
      <c r="K7" s="458">
        <f>'ANALYSE - ERP =&gt; CATEGORIE'!$BC$15*'ANALYSE - ERP =&gt; CATEGORIE'!$IO$15</f>
        <v>0</v>
      </c>
      <c r="L7" s="458">
        <f>'ANALYSE - ERP =&gt; CATEGORIE'!$BC$15*'ANALYSE - ERP =&gt; CATEGORIE'!$IP$15</f>
        <v>0</v>
      </c>
      <c r="N7" s="458">
        <f>'ANALYSE - ERP =&gt; CATEGORIE'!$EX$15*'ANALYSE - ERP =&gt; CATEGORIE'!$IQ$15</f>
        <v>0</v>
      </c>
      <c r="O7" s="458">
        <f>'ANALYSE - ERP =&gt; CATEGORIE'!$EX$15*'ANALYSE - ERP =&gt; CATEGORIE'!$IR$15</f>
        <v>0</v>
      </c>
      <c r="P7" s="458">
        <f>'ANALYSE - ERP =&gt; CATEGORIE'!$EX$15*'ANALYSE - ERP =&gt; CATEGORIE'!$IS$15</f>
        <v>0</v>
      </c>
      <c r="Q7" s="458">
        <f>'ANALYSE - ERP =&gt; CATEGORIE'!$EX$15*'ANALYSE - ERP =&gt; CATEGORIE'!$IT$15</f>
        <v>0</v>
      </c>
      <c r="R7" s="458">
        <f>'ANALYSE - ERP =&gt; CATEGORIE'!$EX$15*'ANALYSE - ERP =&gt; CATEGORIE'!$IU$15</f>
        <v>0</v>
      </c>
      <c r="T7" s="430">
        <f>'ANALYSE - ERP =&gt; CATEGORIE'!$Q$15</f>
        <v>0</v>
      </c>
    </row>
    <row r="8" spans="1:20" ht="15" customHeight="1">
      <c r="A8" s="26">
        <v>5</v>
      </c>
      <c r="B8" s="26">
        <v>6</v>
      </c>
      <c r="C8" s="422">
        <f>'ANALYSE - ERP =&gt; CATEGORIE'!$A$12</f>
        <v>5</v>
      </c>
      <c r="D8" s="502" t="s">
        <v>2264</v>
      </c>
      <c r="E8" s="502" t="s">
        <v>8014</v>
      </c>
      <c r="F8" s="502" t="s">
        <v>8015</v>
      </c>
      <c r="H8" s="458">
        <f>'ANALYSE - ERP =&gt; CATEGORIE'!$BC$12*'ANALYSE - ERP =&gt; CATEGORIE'!$IL$12</f>
        <v>34396.33</v>
      </c>
      <c r="I8" s="458">
        <f>'ANALYSE - ERP =&gt; CATEGORIE'!$BC$12*'ANALYSE - ERP =&gt; CATEGORIE'!$IM$12</f>
        <v>392700.29999999993</v>
      </c>
      <c r="J8" s="458">
        <f>'ANALYSE - ERP =&gt; CATEGORIE'!$BC$12*'ANALYSE - ERP =&gt; CATEGORIE'!$IN$12</f>
        <v>473045.65</v>
      </c>
      <c r="K8" s="458">
        <f>'ANALYSE - ERP =&gt; CATEGORIE'!$BC$12*'ANALYSE - ERP =&gt; CATEGORIE'!$IO$12</f>
        <v>72978.920000000013</v>
      </c>
      <c r="L8" s="458">
        <f>'ANALYSE - ERP =&gt; CATEGORIE'!$BC$12*'ANALYSE - ERP =&gt; CATEGORIE'!$IP$12</f>
        <v>878.8</v>
      </c>
      <c r="N8" s="458">
        <f>'ANALYSE - ERP =&gt; CATEGORIE'!$EX$12*'ANALYSE - ERP =&gt; CATEGORIE'!$IQ$12</f>
        <v>4835.0697201430439</v>
      </c>
      <c r="O8" s="458">
        <f>'ANALYSE - ERP =&gt; CATEGORIE'!$EX$12*'ANALYSE - ERP =&gt; CATEGORIE'!$IR$12</f>
        <v>131492.91032980426</v>
      </c>
      <c r="P8" s="458">
        <f>'ANALYSE - ERP =&gt; CATEGORIE'!$EX$12*'ANALYSE - ERP =&gt; CATEGORIE'!$IS$12</f>
        <v>181739.01522826173</v>
      </c>
      <c r="Q8" s="458">
        <f>'ANALYSE - ERP =&gt; CATEGORIE'!$EX$12*'ANALYSE - ERP =&gt; CATEGORIE'!$IT$12</f>
        <v>34267.89191352221</v>
      </c>
      <c r="R8" s="458">
        <f>'ANALYSE - ERP =&gt; CATEGORIE'!$EX$12*'ANALYSE - ERP =&gt; CATEGORIE'!$IU$12</f>
        <v>2278.2593528176772</v>
      </c>
      <c r="T8" s="430">
        <f>'ANALYSE - ERP =&gt; CATEGORIE'!$Q$12</f>
        <v>1</v>
      </c>
    </row>
    <row r="9" spans="1:20" ht="15" customHeight="1">
      <c r="A9" s="26">
        <v>6</v>
      </c>
      <c r="B9" s="26">
        <v>4</v>
      </c>
      <c r="C9" s="422">
        <f>'ANALYSE - ERP =&gt; CATEGORIE'!$A$14</f>
        <v>7</v>
      </c>
      <c r="D9" s="504" t="s">
        <v>2278</v>
      </c>
      <c r="E9" s="504" t="s">
        <v>8016</v>
      </c>
      <c r="F9" s="504" t="s">
        <v>8017</v>
      </c>
      <c r="H9" s="458">
        <f>'ANALYSE - ERP =&gt; CATEGORIE'!$BC$14*'ANALYSE - ERP =&gt; CATEGORIE'!$IL$14</f>
        <v>12092.335999999999</v>
      </c>
      <c r="I9" s="458">
        <f>'ANALYSE - ERP =&gt; CATEGORIE'!$BC$14*'ANALYSE - ERP =&gt; CATEGORIE'!$IM$14</f>
        <v>102630.8472</v>
      </c>
      <c r="J9" s="458">
        <f>'ANALYSE - ERP =&gt; CATEGORIE'!$BC$14*'ANALYSE - ERP =&gt; CATEGORIE'!$IN$14</f>
        <v>104684.6256</v>
      </c>
      <c r="K9" s="458">
        <f>'ANALYSE - ERP =&gt; CATEGORIE'!$BC$14*'ANALYSE - ERP =&gt; CATEGORIE'!$IO$14</f>
        <v>13677.0368</v>
      </c>
      <c r="L9" s="458">
        <f>'ANALYSE - ERP =&gt; CATEGORIE'!$BC$14*'ANALYSE - ERP =&gt; CATEGORIE'!$IP$14</f>
        <v>16.154399999999999</v>
      </c>
      <c r="N9" s="458">
        <f>'ANALYSE - ERP =&gt; CATEGORIE'!$EX$14*'ANALYSE - ERP =&gt; CATEGORIE'!$IQ$14</f>
        <v>2716.3442592775264</v>
      </c>
      <c r="O9" s="458">
        <f>'ANALYSE - ERP =&gt; CATEGORIE'!$EX$14*'ANALYSE - ERP =&gt; CATEGORIE'!$IR$14</f>
        <v>34852.667154277166</v>
      </c>
      <c r="P9" s="458">
        <f>'ANALYSE - ERP =&gt; CATEGORIE'!$EX$14*'ANALYSE - ERP =&gt; CATEGORIE'!$IS$14</f>
        <v>40110.00566085997</v>
      </c>
      <c r="Q9" s="458">
        <f>'ANALYSE - ERP =&gt; CATEGORIE'!$EX$14*'ANALYSE - ERP =&gt; CATEGORIE'!$IT$14</f>
        <v>6763.706780760177</v>
      </c>
      <c r="R9" s="458">
        <f>'ANALYSE - ERP =&gt; CATEGORIE'!$EX$14*'ANALYSE - ERP =&gt; CATEGORIE'!$IU$14</f>
        <v>346.60157986748908</v>
      </c>
      <c r="T9" s="430">
        <f>'ANALYSE - ERP =&gt; CATEGORIE'!$Q$14</f>
        <v>1</v>
      </c>
    </row>
    <row r="10" spans="1:20" ht="15" customHeight="1">
      <c r="A10" s="26">
        <v>7</v>
      </c>
      <c r="B10" s="26">
        <v>7</v>
      </c>
      <c r="C10" s="422">
        <f>'ANALYSE - ERP =&gt; CATEGORIE'!$A$10</f>
        <v>3</v>
      </c>
      <c r="D10" s="500" t="s">
        <v>3662</v>
      </c>
      <c r="E10" s="500" t="s">
        <v>8018</v>
      </c>
      <c r="F10" s="500" t="s">
        <v>8019</v>
      </c>
      <c r="H10" s="458">
        <f>'ANALYSE - ERP =&gt; CATEGORIE'!$BC$10*'ANALYSE - ERP =&gt; CATEGORIE'!$IL$10</f>
        <v>8610.0987999999998</v>
      </c>
      <c r="I10" s="458">
        <f>'ANALYSE - ERP =&gt; CATEGORIE'!$BC$10*'ANALYSE - ERP =&gt; CATEGORIE'!$IM$10</f>
        <v>135239.30999999997</v>
      </c>
      <c r="J10" s="458">
        <f>'ANALYSE - ERP =&gt; CATEGORIE'!$BC$10*'ANALYSE - ERP =&gt; CATEGORIE'!$IN$10</f>
        <v>205296.93159999998</v>
      </c>
      <c r="K10" s="458">
        <f>'ANALYSE - ERP =&gt; CATEGORIE'!$BC$10*'ANALYSE - ERP =&gt; CATEGORIE'!$IO$10</f>
        <v>57363.39680000001</v>
      </c>
      <c r="L10" s="458">
        <f>'ANALYSE - ERP =&gt; CATEGORIE'!$BC$10*'ANALYSE - ERP =&gt; CATEGORIE'!$IP$10</f>
        <v>3794.2628000000004</v>
      </c>
      <c r="N10" s="458">
        <f>'ANALYSE - ERP =&gt; CATEGORIE'!$EX$10*'ANALYSE - ERP =&gt; CATEGORIE'!$IQ$10</f>
        <v>1187.4944429755426</v>
      </c>
      <c r="O10" s="458">
        <f>'ANALYSE - ERP =&gt; CATEGORIE'!$EX$10*'ANALYSE - ERP =&gt; CATEGORIE'!$IR$10</f>
        <v>42756.772102689858</v>
      </c>
      <c r="P10" s="458">
        <f>'ANALYSE - ERP =&gt; CATEGORIE'!$EX$10*'ANALYSE - ERP =&gt; CATEGORIE'!$IS$10</f>
        <v>79190.617750198871</v>
      </c>
      <c r="Q10" s="458">
        <f>'ANALYSE - ERP =&gt; CATEGORIE'!$EX$10*'ANALYSE - ERP =&gt; CATEGORIE'!$IT$10</f>
        <v>31339.668079050429</v>
      </c>
      <c r="R10" s="458">
        <f>'ANALYSE - ERP =&gt; CATEGORIE'!$EX$10*'ANALYSE - ERP =&gt; CATEGORIE'!$IU$10</f>
        <v>3866.3472719713227</v>
      </c>
      <c r="T10" s="430">
        <f>'ANALYSE - ERP =&gt; CATEGORIE'!$Q$10</f>
        <v>1</v>
      </c>
    </row>
    <row r="11" spans="1:20" s="45" customFormat="1" ht="15" customHeight="1">
      <c r="A11" s="26">
        <v>8</v>
      </c>
      <c r="B11" s="26">
        <v>8</v>
      </c>
      <c r="C11" s="422">
        <f>'ANALYSE - ERP =&gt; CATEGORIE'!$A$13</f>
        <v>6</v>
      </c>
      <c r="D11" s="506" t="s">
        <v>7117</v>
      </c>
      <c r="E11" s="506" t="s">
        <v>8020</v>
      </c>
      <c r="F11" s="506" t="s">
        <v>8021</v>
      </c>
      <c r="G11" s="685"/>
      <c r="H11" s="458">
        <f>'ANALYSE - ERP =&gt; CATEGORIE'!$BC$13*'ANALYSE - ERP =&gt; CATEGORIE'!$IL$13</f>
        <v>0</v>
      </c>
      <c r="I11" s="458">
        <f>'ANALYSE - ERP =&gt; CATEGORIE'!$BC$13*'ANALYSE - ERP =&gt; CATEGORIE'!$IM$13</f>
        <v>0</v>
      </c>
      <c r="J11" s="458">
        <f>'ANALYSE - ERP =&gt; CATEGORIE'!$BC$13*'ANALYSE - ERP =&gt; CATEGORIE'!$IN$13</f>
        <v>0</v>
      </c>
      <c r="K11" s="458">
        <f>'ANALYSE - ERP =&gt; CATEGORIE'!$BC$13*'ANALYSE - ERP =&gt; CATEGORIE'!$IO$13</f>
        <v>0</v>
      </c>
      <c r="L11" s="458">
        <f>'ANALYSE - ERP =&gt; CATEGORIE'!$BC$13*'ANALYSE - ERP =&gt; CATEGORIE'!$IP$13</f>
        <v>0</v>
      </c>
      <c r="M11" s="685"/>
      <c r="N11" s="458">
        <f>'ANALYSE - ERP =&gt; CATEGORIE'!$EX$13*'ANALYSE - ERP =&gt; CATEGORIE'!$IQ$13</f>
        <v>0</v>
      </c>
      <c r="O11" s="458">
        <f>'ANALYSE - ERP =&gt; CATEGORIE'!$EX$13*'ANALYSE - ERP =&gt; CATEGORIE'!$IR$13</f>
        <v>0</v>
      </c>
      <c r="P11" s="458">
        <f>'ANALYSE - ERP =&gt; CATEGORIE'!$EX$13*'ANALYSE - ERP =&gt; CATEGORIE'!$IS$13</f>
        <v>0</v>
      </c>
      <c r="Q11" s="458">
        <f>'ANALYSE - ERP =&gt; CATEGORIE'!$EX$13*'ANALYSE - ERP =&gt; CATEGORIE'!$IT$13</f>
        <v>0</v>
      </c>
      <c r="R11" s="458">
        <f>'ANALYSE - ERP =&gt; CATEGORIE'!$EX$13*'ANALYSE - ERP =&gt; CATEGORIE'!$IU$13</f>
        <v>0</v>
      </c>
      <c r="S11" s="685"/>
      <c r="T11" s="430">
        <f>'ANALYSE - ERP =&gt; CATEGORIE'!$Q$13</f>
        <v>0</v>
      </c>
    </row>
    <row r="12" spans="1:20" ht="15" customHeight="1">
      <c r="A12" s="26">
        <v>9</v>
      </c>
      <c r="B12" s="26">
        <v>9</v>
      </c>
      <c r="C12" s="422">
        <f>'ANALYSE - ERP =&gt; CATEGORIE'!$A$16</f>
        <v>9</v>
      </c>
      <c r="D12" s="508" t="s">
        <v>2285</v>
      </c>
      <c r="E12" s="508" t="s">
        <v>8022</v>
      </c>
      <c r="F12" s="508" t="s">
        <v>8023</v>
      </c>
      <c r="H12" s="458">
        <f>'ANALYSE - ERP =&gt; CATEGORIE'!$BC$16*'ANALYSE - ERP =&gt; CATEGORIE'!$IL$16</f>
        <v>4292.9657999999999</v>
      </c>
      <c r="I12" s="458">
        <f>'ANALYSE - ERP =&gt; CATEGORIE'!$BC$16*'ANALYSE - ERP =&gt; CATEGORIE'!$IM$16</f>
        <v>35967.424799999993</v>
      </c>
      <c r="J12" s="458">
        <f>'ANALYSE - ERP =&gt; CATEGORIE'!$BC$16*'ANALYSE - ERP =&gt; CATEGORIE'!$IN$16</f>
        <v>32727.936399999999</v>
      </c>
      <c r="K12" s="458">
        <f>'ANALYSE - ERP =&gt; CATEGORIE'!$BC$16*'ANALYSE - ERP =&gt; CATEGORIE'!$IO$16</f>
        <v>8186.9957999999997</v>
      </c>
      <c r="L12" s="458">
        <f>'ANALYSE - ERP =&gt; CATEGORIE'!$BC$16*'ANALYSE - ERP =&gt; CATEGORIE'!$IP$16</f>
        <v>1466.6771999999999</v>
      </c>
      <c r="N12" s="458">
        <f>'ANALYSE - ERP =&gt; CATEGORIE'!$EX$16*'ANALYSE - ERP =&gt; CATEGORIE'!$IQ$16</f>
        <v>1183.4670153542511</v>
      </c>
      <c r="O12" s="458">
        <f>'ANALYSE - ERP =&gt; CATEGORIE'!$EX$16*'ANALYSE - ERP =&gt; CATEGORIE'!$IR$16</f>
        <v>15442.432939919388</v>
      </c>
      <c r="P12" s="458">
        <f>'ANALYSE - ERP =&gt; CATEGORIE'!$EX$16*'ANALYSE - ERP =&gt; CATEGORIE'!$IS$16</f>
        <v>16688.708685223082</v>
      </c>
      <c r="Q12" s="458">
        <f>'ANALYSE - ERP =&gt; CATEGORIE'!$EX$16*'ANALYSE - ERP =&gt; CATEGORIE'!$IT$16</f>
        <v>5571.6343557071923</v>
      </c>
      <c r="R12" s="458">
        <f>'ANALYSE - ERP =&gt; CATEGORIE'!$EX$16*'ANALYSE - ERP =&gt; CATEGORIE'!$IU$16</f>
        <v>1425.9251409777837</v>
      </c>
      <c r="T12" s="430">
        <f>'ANALYSE - ERP =&gt; CATEGORIE'!$Q$16</f>
        <v>1</v>
      </c>
    </row>
    <row r="13" spans="1:20" s="45" customFormat="1" ht="15" customHeight="1">
      <c r="A13" s="406">
        <v>10</v>
      </c>
      <c r="B13" s="406">
        <v>10</v>
      </c>
      <c r="C13" s="448">
        <f>'ANALYSE - ERP =&gt; CATEGORIE'!$A$17</f>
        <v>10</v>
      </c>
      <c r="D13" s="518" t="s">
        <v>4908</v>
      </c>
      <c r="E13" s="518" t="s">
        <v>8024</v>
      </c>
      <c r="F13" s="518" t="s">
        <v>8025</v>
      </c>
      <c r="G13" s="685"/>
      <c r="H13" s="459">
        <f>'ANALYSE - ERP =&gt; CATEGORIE'!$BC$17*'ANALYSE - ERP =&gt; CATEGORIE'!$IL$17</f>
        <v>5520.5488999999998</v>
      </c>
      <c r="I13" s="459">
        <f>'ANALYSE - ERP =&gt; CATEGORIE'!$BC$17*'ANALYSE - ERP =&gt; CATEGORIE'!$IM$17</f>
        <v>32403.513599999998</v>
      </c>
      <c r="J13" s="459">
        <f>'ANALYSE - ERP =&gt; CATEGORIE'!$BC$17*'ANALYSE - ERP =&gt; CATEGORIE'!$IN$17</f>
        <v>14957.8758</v>
      </c>
      <c r="K13" s="459">
        <f>'ANALYSE - ERP =&gt; CATEGORIE'!$BC$17*'ANALYSE - ERP =&gt; CATEGORIE'!$IO$17</f>
        <v>1900.4146000000001</v>
      </c>
      <c r="L13" s="459">
        <f>'ANALYSE - ERP =&gt; CATEGORIE'!$BC$17*'ANALYSE - ERP =&gt; CATEGORIE'!$IP$17</f>
        <v>65.647100000000009</v>
      </c>
      <c r="M13" s="685"/>
      <c r="N13" s="459">
        <f>'ANALYSE - ERP =&gt; CATEGORIE'!$EX$17*'ANALYSE - ERP =&gt; CATEGORIE'!$IQ$17</f>
        <v>1064.7094335302115</v>
      </c>
      <c r="O13" s="459">
        <f>'ANALYSE - ERP =&gt; CATEGORIE'!$EX$17*'ANALYSE - ERP =&gt; CATEGORIE'!$IR$17</f>
        <v>14018.217481572361</v>
      </c>
      <c r="P13" s="459">
        <f>'ANALYSE - ERP =&gt; CATEGORIE'!$EX$17*'ANALYSE - ERP =&gt; CATEGORIE'!$IS$17</f>
        <v>11655.106412929612</v>
      </c>
      <c r="Q13" s="459">
        <f>'ANALYSE - ERP =&gt; CATEGORIE'!$EX$17*'ANALYSE - ERP =&gt; CATEGORIE'!$IT$17</f>
        <v>1469.0500679763288</v>
      </c>
      <c r="R13" s="459">
        <f>'ANALYSE - ERP =&gt; CATEGORIE'!$EX$17*'ANALYSE - ERP =&gt; CATEGORIE'!$IU$17</f>
        <v>83.956870129043267</v>
      </c>
      <c r="S13" s="685"/>
      <c r="T13" s="450">
        <f>'ANALYSE - ERP =&gt; CATEGORIE'!$Q$17</f>
        <v>1</v>
      </c>
    </row>
    <row r="14" spans="1:20" ht="15" customHeight="1">
      <c r="A14" s="26">
        <v>11</v>
      </c>
      <c r="B14" s="26">
        <v>11</v>
      </c>
      <c r="C14" s="422">
        <f>'ANALYSE - ERP =&gt; CATEGORIE'!$A$18</f>
        <v>11</v>
      </c>
      <c r="D14" s="502" t="s">
        <v>2163</v>
      </c>
      <c r="E14" s="502" t="s">
        <v>2163</v>
      </c>
      <c r="F14" s="502" t="s">
        <v>2164</v>
      </c>
      <c r="H14" s="458">
        <f>'ANALYSE - ERP =&gt; CATEGORIE'!$BC$18*'ANALYSE - ERP =&gt; CATEGORIE'!$IL$18</f>
        <v>4294.0439999999999</v>
      </c>
      <c r="I14" s="458">
        <f>'ANALYSE - ERP =&gt; CATEGORIE'!$BC$18*'ANALYSE - ERP =&gt; CATEGORIE'!$IM$18</f>
        <v>9491.9120000000003</v>
      </c>
      <c r="J14" s="458">
        <f>'ANALYSE - ERP =&gt; CATEGORIE'!$BC$18*'ANALYSE - ERP =&gt; CATEGORIE'!$IN$18</f>
        <v>1894.0440000000001</v>
      </c>
      <c r="K14" s="458">
        <f>'ANALYSE - ERP =&gt; CATEGORIE'!$BC$18*'ANALYSE - ERP =&gt; CATEGORIE'!$IO$18</f>
        <v>0</v>
      </c>
      <c r="L14" s="458">
        <f>'ANALYSE - ERP =&gt; CATEGORIE'!$BC$18*'ANALYSE - ERP =&gt; CATEGORIE'!$IP$18</f>
        <v>0</v>
      </c>
      <c r="N14" s="458">
        <f>'ANALYSE - ERP =&gt; CATEGORIE'!$EX$18*'ANALYSE - ERP =&gt; CATEGORIE'!$IQ$18</f>
        <v>1976.1469232596667</v>
      </c>
      <c r="O14" s="458">
        <f>'ANALYSE - ERP =&gt; CATEGORIE'!$EX$18*'ANALYSE - ERP =&gt; CATEGORIE'!$IR$18</f>
        <v>4598.7345198344965</v>
      </c>
      <c r="P14" s="458">
        <f>'ANALYSE - ERP =&gt; CATEGORIE'!$EX$18*'ANALYSE - ERP =&gt; CATEGORIE'!$IS$18</f>
        <v>1188.5640218159579</v>
      </c>
      <c r="Q14" s="458">
        <f>'ANALYSE - ERP =&gt; CATEGORIE'!$EX$18*'ANALYSE - ERP =&gt; CATEGORIE'!$IT$18</f>
        <v>155.38905101760744</v>
      </c>
      <c r="R14" s="458">
        <f>'ANALYSE - ERP =&gt; CATEGORIE'!$EX$18*'ANALYSE - ERP =&gt; CATEGORIE'!$IU$18</f>
        <v>34.698525955388064</v>
      </c>
      <c r="T14" s="430">
        <f>'ANALYSE - ERP =&gt; CATEGORIE'!$Q$18</f>
        <v>1</v>
      </c>
    </row>
  </sheetData>
  <pageMargins left="3.937007874015748E-2" right="3.937007874015748E-2" top="7.874015748031496E-2" bottom="7.874015748031496E-2" header="0.11811023622047249" footer="0.11811023622047249"/>
  <pageSetup paperSize="8" scale="86" fitToHeight="2"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5"/>
    <pageSetUpPr fitToPage="1"/>
  </sheetPr>
  <dimension ref="A1:BZ14"/>
  <sheetViews>
    <sheetView workbookViewId="0"/>
  </sheetViews>
  <sheetFormatPr baseColWidth="10" defaultColWidth="9.140625" defaultRowHeight="15"/>
  <cols>
    <col min="1" max="2" width="9" style="934" customWidth="1"/>
    <col min="3" max="3" width="6" style="934" customWidth="1"/>
    <col min="4" max="4" width="30.5703125" style="934" customWidth="1"/>
    <col min="5" max="5" width="27.7109375" style="43" customWidth="1"/>
    <col min="6" max="6" width="42" style="43" customWidth="1"/>
    <col min="7" max="7" width="1.7109375" style="933" customWidth="1"/>
    <col min="8" max="8" width="8.7109375" style="43" customWidth="1"/>
    <col min="9" max="12" width="8.7109375" style="934" customWidth="1"/>
    <col min="13" max="13" width="1.7109375" style="933" customWidth="1"/>
    <col min="14" max="18" width="8.710937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7975</v>
      </c>
      <c r="F1" s="479"/>
      <c r="H1" s="474"/>
      <c r="I1" s="474"/>
      <c r="J1" s="475" t="s">
        <v>7968</v>
      </c>
      <c r="K1" s="474"/>
      <c r="L1" s="474"/>
      <c r="N1" s="452"/>
      <c r="O1" s="452"/>
      <c r="P1" s="476" t="s">
        <v>7969</v>
      </c>
      <c r="Q1" s="452"/>
      <c r="R1" s="452"/>
      <c r="T1" s="452"/>
    </row>
    <row r="2" spans="1:20"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405" t="s">
        <v>2086</v>
      </c>
      <c r="E3" s="405" t="s">
        <v>6728</v>
      </c>
      <c r="F3" s="405" t="s">
        <v>6729</v>
      </c>
      <c r="H3" s="793">
        <f>'ANALYSE - ERP =&gt; CATEGORIE'!IV6</f>
        <v>9.5286530194209976E-2</v>
      </c>
      <c r="I3" s="793">
        <f>'ANALYSE - ERP =&gt; CATEGORIE'!IW6</f>
        <v>0.42060599046323105</v>
      </c>
      <c r="J3" s="793">
        <f>'ANALYSE - ERP =&gt; CATEGORIE'!IX6</f>
        <v>0.35460033730351115</v>
      </c>
      <c r="K3" s="793">
        <f>'ANALYSE - ERP =&gt; CATEGORIE'!IY6</f>
        <v>0.11448185106598295</v>
      </c>
      <c r="L3" s="793">
        <f>'ANALYSE - ERP =&gt; CATEGORIE'!IZ6</f>
        <v>6.6687639236748513E-3</v>
      </c>
      <c r="N3" s="793">
        <f>'ANALYSE - ERP =&gt; CATEGORIE'!JA6</f>
        <v>5.9924067420102159E-2</v>
      </c>
      <c r="O3" s="793">
        <f>'ANALYSE - ERP =&gt; CATEGORIE'!JB6</f>
        <v>0.37600591830629732</v>
      </c>
      <c r="P3" s="793">
        <f>'ANALYSE - ERP =&gt; CATEGORIE'!JC6</f>
        <v>0.38692802721512082</v>
      </c>
      <c r="Q3" s="793">
        <f>'ANALYSE - ERP =&gt; CATEGORIE'!JD6</f>
        <v>0.15370769532392864</v>
      </c>
      <c r="R3" s="793">
        <f>'ANALYSE - ERP =&gt; CATEGORIE'!JE6</f>
        <v>1.6942185076512566E-2</v>
      </c>
      <c r="T3" s="428">
        <f>SUM('ANALYSE - ERP =&gt; CATEGORIE'!$Q$8:$Q$110)</f>
        <v>9</v>
      </c>
    </row>
    <row r="4" spans="1:20" ht="15" customHeight="1">
      <c r="A4" s="26">
        <v>1</v>
      </c>
      <c r="B4" s="26">
        <v>1</v>
      </c>
      <c r="C4" s="422">
        <f>'ANALYSE - ERP =&gt; CATEGORIE'!$A$15</f>
        <v>8</v>
      </c>
      <c r="D4" s="496" t="s">
        <v>1670</v>
      </c>
      <c r="E4" s="496" t="s">
        <v>8010</v>
      </c>
      <c r="F4" s="496" t="s">
        <v>8011</v>
      </c>
      <c r="H4" s="787">
        <f>'ANALYSE - ERP =&gt; CATEGORIE'!$IV$15</f>
        <v>0</v>
      </c>
      <c r="I4" s="787">
        <f>'ANALYSE - ERP =&gt; CATEGORIE'!$IW$15</f>
        <v>0</v>
      </c>
      <c r="J4" s="787">
        <f>'ANALYSE - ERP =&gt; CATEGORIE'!$IX$15</f>
        <v>0</v>
      </c>
      <c r="K4" s="787">
        <f>'ANALYSE - ERP =&gt; CATEGORIE'!$IY$15</f>
        <v>0</v>
      </c>
      <c r="L4" s="787">
        <f>'ANALYSE - ERP =&gt; CATEGORIE'!$IZ$15</f>
        <v>0</v>
      </c>
      <c r="N4" s="787">
        <f>'ANALYSE - ERP =&gt; CATEGORIE'!$JA$15</f>
        <v>0</v>
      </c>
      <c r="O4" s="787">
        <f>'ANALYSE - ERP =&gt; CATEGORIE'!$JB$15</f>
        <v>0</v>
      </c>
      <c r="P4" s="787">
        <f>'ANALYSE - ERP =&gt; CATEGORIE'!$JC$15</f>
        <v>0</v>
      </c>
      <c r="Q4" s="787">
        <f>'ANALYSE - ERP =&gt; CATEGORIE'!$JD$15</f>
        <v>0</v>
      </c>
      <c r="R4" s="787">
        <f>'ANALYSE - ERP =&gt; CATEGORIE'!$JE$15</f>
        <v>0</v>
      </c>
      <c r="T4" s="430">
        <f>'ANALYSE - ERP =&gt; CATEGORIE'!$Q$15</f>
        <v>0</v>
      </c>
    </row>
    <row r="5" spans="1:20" ht="15" customHeight="1">
      <c r="A5" s="26">
        <v>2</v>
      </c>
      <c r="B5" s="26">
        <v>2</v>
      </c>
      <c r="C5" s="422">
        <f>'ANALYSE - ERP =&gt; CATEGORIE'!$A$11</f>
        <v>4</v>
      </c>
      <c r="D5" s="492" t="s">
        <v>2187</v>
      </c>
      <c r="E5" s="492" t="s">
        <v>8008</v>
      </c>
      <c r="F5" s="492" t="s">
        <v>8009</v>
      </c>
      <c r="H5" s="787">
        <f>'ANALYSE - ERP =&gt; CATEGORIE'!$IV$11</f>
        <v>4.2635431918008788E-3</v>
      </c>
      <c r="I5" s="787">
        <f>'ANALYSE - ERP =&gt; CATEGORIE'!$IW$11</f>
        <v>0.16955197657393853</v>
      </c>
      <c r="J5" s="787">
        <f>'ANALYSE - ERP =&gt; CATEGORIE'!$IX$11</f>
        <v>0.37404978038067349</v>
      </c>
      <c r="K5" s="787">
        <f>'ANALYSE - ERP =&gt; CATEGORIE'!$IY$11</f>
        <v>0.19627525622254757</v>
      </c>
      <c r="L5" s="787">
        <f>'ANALYSE - ERP =&gt; CATEGORIE'!$IZ$11</f>
        <v>1.7206442166910689E-2</v>
      </c>
      <c r="N5" s="787">
        <f>'ANALYSE - ERP =&gt; CATEGORIE'!$JA$11</f>
        <v>0</v>
      </c>
      <c r="O5" s="787">
        <f>'ANALYSE - ERP =&gt; CATEGORIE'!$JB$11</f>
        <v>0.14480873116599444</v>
      </c>
      <c r="P5" s="787">
        <f>'ANALYSE - ERP =&gt; CATEGORIE'!$JC$11</f>
        <v>0.39936392742847543</v>
      </c>
      <c r="Q5" s="787">
        <f>'ANALYSE - ERP =&gt; CATEGORIE'!$JD$11</f>
        <v>0.21980738997834989</v>
      </c>
      <c r="R5" s="787">
        <f>'ANALYSE - ERP =&gt; CATEGORIE'!$JE$11</f>
        <v>2.2169414869061037E-2</v>
      </c>
      <c r="T5" s="430">
        <f>'ANALYSE - ERP =&gt; CATEGORIE'!$Q$11</f>
        <v>1</v>
      </c>
    </row>
    <row r="6" spans="1:20" ht="15" customHeight="1">
      <c r="A6" s="26">
        <v>3</v>
      </c>
      <c r="B6" s="26">
        <v>3</v>
      </c>
      <c r="C6" s="422">
        <f>'ANALYSE - ERP =&gt; CATEGORIE'!$A$9</f>
        <v>2</v>
      </c>
      <c r="D6" s="494" t="s">
        <v>2241</v>
      </c>
      <c r="E6" s="494" t="s">
        <v>8012</v>
      </c>
      <c r="F6" s="494" t="s">
        <v>8013</v>
      </c>
      <c r="H6" s="787">
        <f>'ANALYSE - ERP =&gt; CATEGORIE'!$IV$9</f>
        <v>2.2690956443889801E-5</v>
      </c>
      <c r="I6" s="787">
        <f>'ANALYSE - ERP =&gt; CATEGORIE'!$IW$9</f>
        <v>0.12932860206355412</v>
      </c>
      <c r="J6" s="787">
        <f>'ANALYSE - ERP =&gt; CATEGORIE'!$IX$9</f>
        <v>0.52534987613002837</v>
      </c>
      <c r="K6" s="787">
        <f>'ANALYSE - ERP =&gt; CATEGORIE'!$IY$9</f>
        <v>0.32824714581141928</v>
      </c>
      <c r="L6" s="787">
        <f>'ANALYSE - ERP =&gt; CATEGORIE'!$IZ$9</f>
        <v>1.5299378122183021E-2</v>
      </c>
      <c r="N6" s="787">
        <f>'ANALYSE - ERP =&gt; CATEGORIE'!$JA$9</f>
        <v>6.9328375577410273E-6</v>
      </c>
      <c r="O6" s="787">
        <f>'ANALYSE - ERP =&gt; CATEGORIE'!$JB$9</f>
        <v>6.2704775757741402E-2</v>
      </c>
      <c r="P6" s="787">
        <f>'ANALYSE - ERP =&gt; CATEGORIE'!$JC$9</f>
        <v>0.46417050082111821</v>
      </c>
      <c r="Q6" s="787">
        <f>'ANALYSE - ERP =&gt; CATEGORIE'!$JD$9</f>
        <v>0.42682575573519788</v>
      </c>
      <c r="R6" s="787">
        <f>'ANALYSE - ERP =&gt; CATEGORIE'!$JE$9</f>
        <v>4.4698774486059245E-2</v>
      </c>
      <c r="T6" s="430">
        <f>'ANALYSE - ERP =&gt; CATEGORIE'!$Q$9</f>
        <v>1</v>
      </c>
    </row>
    <row r="7" spans="1:20" ht="15" customHeight="1">
      <c r="A7" s="26">
        <v>4</v>
      </c>
      <c r="B7" s="26">
        <v>5</v>
      </c>
      <c r="C7" s="422">
        <f>'ANALYSE - ERP =&gt; CATEGORIE'!$A$13</f>
        <v>6</v>
      </c>
      <c r="D7" s="506" t="s">
        <v>7117</v>
      </c>
      <c r="E7" s="506" t="s">
        <v>8020</v>
      </c>
      <c r="F7" s="506" t="s">
        <v>8021</v>
      </c>
      <c r="H7" s="787">
        <f>'ANALYSE - ERP =&gt; CATEGORIE'!$IV$13</f>
        <v>0</v>
      </c>
      <c r="I7" s="787">
        <f>'ANALYSE - ERP =&gt; CATEGORIE'!$IW$13</f>
        <v>0</v>
      </c>
      <c r="J7" s="787">
        <f>'ANALYSE - ERP =&gt; CATEGORIE'!$IX$13</f>
        <v>0</v>
      </c>
      <c r="K7" s="787">
        <f>'ANALYSE - ERP =&gt; CATEGORIE'!$IY$13</f>
        <v>0</v>
      </c>
      <c r="L7" s="787">
        <f>'ANALYSE - ERP =&gt; CATEGORIE'!$IZ$13</f>
        <v>0</v>
      </c>
      <c r="N7" s="787">
        <f>'ANALYSE - ERP =&gt; CATEGORIE'!$JA$13</f>
        <v>0</v>
      </c>
      <c r="O7" s="787">
        <f>'ANALYSE - ERP =&gt; CATEGORIE'!$JB$13</f>
        <v>0</v>
      </c>
      <c r="P7" s="787">
        <f>'ANALYSE - ERP =&gt; CATEGORIE'!$JC$13</f>
        <v>0</v>
      </c>
      <c r="Q7" s="787">
        <f>'ANALYSE - ERP =&gt; CATEGORIE'!$JD$13</f>
        <v>0</v>
      </c>
      <c r="R7" s="787">
        <f>'ANALYSE - ERP =&gt; CATEGORIE'!$JE$13</f>
        <v>0</v>
      </c>
      <c r="T7" s="430">
        <f>'ANALYSE - ERP =&gt; CATEGORIE'!$Q$13</f>
        <v>0</v>
      </c>
    </row>
    <row r="8" spans="1:20" ht="15" customHeight="1">
      <c r="A8" s="26">
        <v>5</v>
      </c>
      <c r="B8" s="26">
        <v>4</v>
      </c>
      <c r="C8" s="422">
        <f>'ANALYSE - ERP =&gt; CATEGORIE'!$A$8</f>
        <v>1</v>
      </c>
      <c r="D8" s="498" t="s">
        <v>6739</v>
      </c>
      <c r="E8" s="498" t="s">
        <v>8006</v>
      </c>
      <c r="F8" s="498" t="s">
        <v>8007</v>
      </c>
      <c r="H8" s="787">
        <f>'ANALYSE - ERP =&gt; CATEGORIE'!$IV$8</f>
        <v>0</v>
      </c>
      <c r="I8" s="787">
        <f>'ANALYSE - ERP =&gt; CATEGORIE'!$IW$8</f>
        <v>0</v>
      </c>
      <c r="J8" s="787">
        <f>'ANALYSE - ERP =&gt; CATEGORIE'!$IX$8</f>
        <v>0</v>
      </c>
      <c r="K8" s="787">
        <f>'ANALYSE - ERP =&gt; CATEGORIE'!$IY$8</f>
        <v>0</v>
      </c>
      <c r="L8" s="787">
        <f>'ANALYSE - ERP =&gt; CATEGORIE'!$IZ$8</f>
        <v>0</v>
      </c>
      <c r="N8" s="787">
        <f>'ANALYSE - ERP =&gt; CATEGORIE'!$JA$8</f>
        <v>0</v>
      </c>
      <c r="O8" s="787">
        <f>'ANALYSE - ERP =&gt; CATEGORIE'!$JB$8</f>
        <v>0</v>
      </c>
      <c r="P8" s="787">
        <f>'ANALYSE - ERP =&gt; CATEGORIE'!$JC$8</f>
        <v>0</v>
      </c>
      <c r="Q8" s="787">
        <f>'ANALYSE - ERP =&gt; CATEGORIE'!$JD$8</f>
        <v>0</v>
      </c>
      <c r="R8" s="787">
        <f>'ANALYSE - ERP =&gt; CATEGORIE'!$JE$8</f>
        <v>0</v>
      </c>
      <c r="T8" s="430">
        <f>'ANALYSE - ERP =&gt; CATEGORIE'!$Q$8</f>
        <v>0</v>
      </c>
    </row>
    <row r="9" spans="1:20" ht="15" customHeight="1">
      <c r="A9" s="26">
        <v>6</v>
      </c>
      <c r="B9" s="26">
        <v>6</v>
      </c>
      <c r="C9" s="422">
        <f>'ANALYSE - ERP =&gt; CATEGORIE'!$A$12</f>
        <v>5</v>
      </c>
      <c r="D9" s="502" t="s">
        <v>2264</v>
      </c>
      <c r="E9" s="502" t="s">
        <v>8014</v>
      </c>
      <c r="F9" s="502" t="s">
        <v>8015</v>
      </c>
      <c r="H9" s="787">
        <f>'ANALYSE - ERP =&gt; CATEGORIE'!$IV$12</f>
        <v>7.3238385611818863E-2</v>
      </c>
      <c r="I9" s="787">
        <f>'ANALYSE - ERP =&gt; CATEGORIE'!$IW$12</f>
        <v>0.45747839845840921</v>
      </c>
      <c r="J9" s="787">
        <f>'ANALYSE - ERP =&gt; CATEGORIE'!$IX$12</f>
        <v>0.38403116154587302</v>
      </c>
      <c r="K9" s="787">
        <f>'ANALYSE - ERP =&gt; CATEGORIE'!$IY$12</f>
        <v>3.8298556899689543E-2</v>
      </c>
      <c r="L9" s="787">
        <f>'ANALYSE - ERP =&gt; CATEGORIE'!$IZ$12</f>
        <v>0</v>
      </c>
      <c r="N9" s="787">
        <f>'ANALYSE - ERP =&gt; CATEGORIE'!$JA$12</f>
        <v>3.596344600658468E-2</v>
      </c>
      <c r="O9" s="787">
        <f>'ANALYSE - ERP =&gt; CATEGORIE'!$JB$12</f>
        <v>0.43009082231882739</v>
      </c>
      <c r="P9" s="787">
        <f>'ANALYSE - ERP =&gt; CATEGORIE'!$JC$12</f>
        <v>0.44364796931160699</v>
      </c>
      <c r="Q9" s="787">
        <f>'ANALYSE - ERP =&gt; CATEGORIE'!$JD$12</f>
        <v>5.0897249719142765E-2</v>
      </c>
      <c r="R9" s="787">
        <f>'ANALYSE - ERP =&gt; CATEGORIE'!$JE$12</f>
        <v>3.0751729176794022E-3</v>
      </c>
      <c r="T9" s="430">
        <f>'ANALYSE - ERP =&gt; CATEGORIE'!$Q$12</f>
        <v>1</v>
      </c>
    </row>
    <row r="10" spans="1:20" ht="15" customHeight="1">
      <c r="A10" s="26">
        <v>7</v>
      </c>
      <c r="B10" s="26">
        <v>7</v>
      </c>
      <c r="C10" s="422">
        <f>'ANALYSE - ERP =&gt; CATEGORIE'!$A$10</f>
        <v>3</v>
      </c>
      <c r="D10" s="500" t="s">
        <v>3662</v>
      </c>
      <c r="E10" s="500" t="s">
        <v>8018</v>
      </c>
      <c r="F10" s="500" t="s">
        <v>8019</v>
      </c>
      <c r="H10" s="787">
        <f>'ANALYSE - ERP =&gt; CATEGORIE'!$IV$10</f>
        <v>1.906229949092306E-2</v>
      </c>
      <c r="I10" s="787">
        <f>'ANALYSE - ERP =&gt; CATEGORIE'!$IW$10</f>
        <v>0.2781331284218615</v>
      </c>
      <c r="J10" s="787">
        <f>'ANALYSE - ERP =&gt; CATEGORIE'!$IX$10</f>
        <v>0.43099711362981463</v>
      </c>
      <c r="K10" s="787">
        <f>'ANALYSE - ERP =&gt; CATEGORIE'!$IY$10</f>
        <v>0.13204116319277687</v>
      </c>
      <c r="L10" s="787">
        <f>'ANALYSE - ERP =&gt; CATEGORIE'!$IZ$10</f>
        <v>1.0382374411679954E-2</v>
      </c>
      <c r="N10" s="787">
        <f>'ANALYSE - ERP =&gt; CATEGORIE'!$JA$10</f>
        <v>9.2541243825454318E-3</v>
      </c>
      <c r="O10" s="787">
        <f>'ANALYSE - ERP =&gt; CATEGORIE'!$JB$10</f>
        <v>0.23537789053174854</v>
      </c>
      <c r="P10" s="787">
        <f>'ANALYSE - ERP =&gt; CATEGORIE'!$JC$10</f>
        <v>0.41755598254386878</v>
      </c>
      <c r="Q10" s="787">
        <f>'ANALYSE - ERP =&gt; CATEGORIE'!$JD$10</f>
        <v>0.18264937338256423</v>
      </c>
      <c r="R10" s="787">
        <f>'ANALYSE - ERP =&gt; CATEGORIE'!$JE$10</f>
        <v>2.7759954656174275E-2</v>
      </c>
      <c r="T10" s="430">
        <f>'ANALYSE - ERP =&gt; CATEGORIE'!$Q$10</f>
        <v>1</v>
      </c>
    </row>
    <row r="11" spans="1:20" s="45" customFormat="1" ht="15" customHeight="1">
      <c r="A11" s="26">
        <v>8</v>
      </c>
      <c r="B11" s="26">
        <v>8</v>
      </c>
      <c r="C11" s="422">
        <f>'ANALYSE - ERP =&gt; CATEGORIE'!$A$17</f>
        <v>10</v>
      </c>
      <c r="D11" s="510" t="s">
        <v>4908</v>
      </c>
      <c r="E11" s="510" t="s">
        <v>8024</v>
      </c>
      <c r="F11" s="510" t="s">
        <v>8025</v>
      </c>
      <c r="G11" s="685"/>
      <c r="H11" s="787">
        <f>'ANALYSE - ERP =&gt; CATEGORIE'!$IV$17</f>
        <v>0.17430242231075699</v>
      </c>
      <c r="I11" s="787">
        <f>'ANALYSE - ERP =&gt; CATEGORIE'!$IW$17</f>
        <v>0.62225753784860549</v>
      </c>
      <c r="J11" s="787">
        <f>'ANALYSE - ERP =&gt; CATEGORIE'!$IX$17</f>
        <v>0.19675777689243026</v>
      </c>
      <c r="K11" s="787">
        <f>'ANALYSE - ERP =&gt; CATEGORIE'!$IY$17</f>
        <v>6.6645099601593625E-3</v>
      </c>
      <c r="L11" s="787">
        <f>'ANALYSE - ERP =&gt; CATEGORIE'!$IZ$17</f>
        <v>1.7752988047808764E-5</v>
      </c>
      <c r="M11" s="685"/>
      <c r="N11" s="787">
        <f>'ANALYSE - ERP =&gt; CATEGORIE'!$JA$17</f>
        <v>7.5542880108499369E-2</v>
      </c>
      <c r="O11" s="787">
        <f>'ANALYSE - ERP =&gt; CATEGORIE'!$JB$17</f>
        <v>0.57812386633355084</v>
      </c>
      <c r="P11" s="787">
        <f>'ANALYSE - ERP =&gt; CATEGORIE'!$JC$17</f>
        <v>0.32898089276173326</v>
      </c>
      <c r="Q11" s="787">
        <f>'ANALYSE - ERP =&gt; CATEGORIE'!$JD$17</f>
        <v>1.7161072833057914E-2</v>
      </c>
      <c r="R11" s="787">
        <f>'ANALYSE - ERP =&gt; CATEGORIE'!$JE$17</f>
        <v>1.9128796315848897E-4</v>
      </c>
      <c r="S11" s="685"/>
      <c r="T11" s="430">
        <f>'ANALYSE - ERP =&gt; CATEGORIE'!$Q$17</f>
        <v>1</v>
      </c>
    </row>
    <row r="12" spans="1:20" ht="15" customHeight="1">
      <c r="A12" s="26">
        <v>9</v>
      </c>
      <c r="B12" s="26">
        <v>9</v>
      </c>
      <c r="C12" s="422">
        <f>'ANALYSE - ERP =&gt; CATEGORIE'!$A$16</f>
        <v>9</v>
      </c>
      <c r="D12" s="508" t="s">
        <v>2285</v>
      </c>
      <c r="E12" s="508" t="s">
        <v>8022</v>
      </c>
      <c r="F12" s="508" t="s">
        <v>8023</v>
      </c>
      <c r="H12" s="787">
        <f>'ANALYSE - ERP =&gt; CATEGORIE'!$IV$16</f>
        <v>4.5605480643758155E-2</v>
      </c>
      <c r="I12" s="787">
        <f>'ANALYSE - ERP =&gt; CATEGORIE'!$IW$16</f>
        <v>0.42937270552414092</v>
      </c>
      <c r="J12" s="787">
        <f>'ANALYSE - ERP =&gt; CATEGORIE'!$IX$16</f>
        <v>0.40864173553719008</v>
      </c>
      <c r="K12" s="787">
        <f>'ANALYSE - ERP =&gt; CATEGORIE'!$IY$16</f>
        <v>0.10153647237929535</v>
      </c>
      <c r="L12" s="787">
        <f>'ANALYSE - ERP =&gt; CATEGORIE'!$IZ$16</f>
        <v>1.4843605915615486E-2</v>
      </c>
      <c r="N12" s="787">
        <f>'ANALYSE - ERP =&gt; CATEGORIE'!$JA$16</f>
        <v>2.7870639184299235E-2</v>
      </c>
      <c r="O12" s="787">
        <f>'ANALYSE - ERP =&gt; CATEGORIE'!$JB$16</f>
        <v>0.40359776261448105</v>
      </c>
      <c r="P12" s="787">
        <f>'ANALYSE - ERP =&gt; CATEGORIE'!$JC$16</f>
        <v>0.40927674205939585</v>
      </c>
      <c r="Q12" s="787">
        <f>'ANALYSE - ERP =&gt; CATEGORIE'!$JD$16</f>
        <v>0.12941865055681098</v>
      </c>
      <c r="R12" s="787">
        <f>'ANALYSE - ERP =&gt; CATEGORIE'!$JE$16</f>
        <v>2.9836205585013008E-2</v>
      </c>
      <c r="T12" s="430">
        <f>'ANALYSE - ERP =&gt; CATEGORIE'!$Q$16</f>
        <v>1</v>
      </c>
    </row>
    <row r="13" spans="1:20" s="45" customFormat="1" ht="15" customHeight="1">
      <c r="A13" s="406">
        <v>10</v>
      </c>
      <c r="B13" s="406">
        <v>10</v>
      </c>
      <c r="C13" s="448">
        <f>'ANALYSE - ERP =&gt; CATEGORIE'!$A$14</f>
        <v>7</v>
      </c>
      <c r="D13" s="511" t="s">
        <v>2278</v>
      </c>
      <c r="E13" s="511" t="s">
        <v>8016</v>
      </c>
      <c r="F13" s="511" t="s">
        <v>8017</v>
      </c>
      <c r="G13" s="685"/>
      <c r="H13" s="788">
        <f>'ANALYSE - ERP =&gt; CATEGORIE'!$IV$14</f>
        <v>0.10220000000000001</v>
      </c>
      <c r="I13" s="788">
        <f>'ANALYSE - ERP =&gt; CATEGORIE'!$IW$14</f>
        <v>0.54190000000000005</v>
      </c>
      <c r="J13" s="788">
        <f>'ANALYSE - ERP =&gt; CATEGORIE'!$IX$14</f>
        <v>0.33110000000000001</v>
      </c>
      <c r="K13" s="788">
        <f>'ANALYSE - ERP =&gt; CATEGORIE'!$IY$14</f>
        <v>2.4799999999999999E-2</v>
      </c>
      <c r="L13" s="788">
        <f>'ANALYSE - ERP =&gt; CATEGORIE'!$IZ$14</f>
        <v>0</v>
      </c>
      <c r="M13" s="685"/>
      <c r="N13" s="788">
        <f>'ANALYSE - ERP =&gt; CATEGORIE'!$JA$14</f>
        <v>8.8099999999999998E-2</v>
      </c>
      <c r="O13" s="788">
        <f>'ANALYSE - ERP =&gt; CATEGORIE'!$JB$14</f>
        <v>0.52459999999999996</v>
      </c>
      <c r="P13" s="788">
        <f>'ANALYSE - ERP =&gt; CATEGORIE'!$JC$14</f>
        <v>0.34520000000000006</v>
      </c>
      <c r="Q13" s="788">
        <f>'ANALYSE - ERP =&gt; CATEGORIE'!$JD$14</f>
        <v>3.8899999999999997E-2</v>
      </c>
      <c r="R13" s="788">
        <f>'ANALYSE - ERP =&gt; CATEGORIE'!$JE$14</f>
        <v>3.2000000000000002E-3</v>
      </c>
      <c r="S13" s="685"/>
      <c r="T13" s="450">
        <f>'ANALYSE - ERP =&gt; CATEGORIE'!$Q$14</f>
        <v>1</v>
      </c>
    </row>
    <row r="14" spans="1:20" ht="15" customHeight="1">
      <c r="A14" s="26">
        <v>11</v>
      </c>
      <c r="B14" s="26">
        <v>11</v>
      </c>
      <c r="C14" s="422">
        <f>'ANALYSE - ERP =&gt; CATEGORIE'!$A$18</f>
        <v>11</v>
      </c>
      <c r="D14" s="502" t="s">
        <v>2163</v>
      </c>
      <c r="E14" s="502" t="s">
        <v>2163</v>
      </c>
      <c r="F14" s="502" t="s">
        <v>2164</v>
      </c>
      <c r="H14" s="787">
        <f>'ANALYSE - ERP =&gt; CATEGORIE'!$IV$18</f>
        <v>0</v>
      </c>
      <c r="I14" s="787">
        <f>'ANALYSE - ERP =&gt; CATEGORIE'!$IW$18</f>
        <v>0</v>
      </c>
      <c r="J14" s="787">
        <f>'ANALYSE - ERP =&gt; CATEGORIE'!$IX$18</f>
        <v>0</v>
      </c>
      <c r="K14" s="787">
        <f>'ANALYSE - ERP =&gt; CATEGORIE'!$IY$18</f>
        <v>0</v>
      </c>
      <c r="L14" s="787">
        <f>'ANALYSE - ERP =&gt; CATEGORIE'!$IZ$18</f>
        <v>0</v>
      </c>
      <c r="N14" s="787">
        <f>'ANALYSE - ERP =&gt; CATEGORIE'!$JA$18</f>
        <v>0</v>
      </c>
      <c r="O14" s="787">
        <f>'ANALYSE - ERP =&gt; CATEGORIE'!$JB$18</f>
        <v>0</v>
      </c>
      <c r="P14" s="787">
        <f>'ANALYSE - ERP =&gt; CATEGORIE'!$JC$18</f>
        <v>0</v>
      </c>
      <c r="Q14" s="787">
        <f>'ANALYSE - ERP =&gt; CATEGORIE'!$JD$18</f>
        <v>0</v>
      </c>
      <c r="R14" s="787">
        <f>'ANALYSE - ERP =&gt; CATEGORIE'!$JE$18</f>
        <v>0</v>
      </c>
      <c r="T14" s="430">
        <f>'ANALYSE - ERP =&gt; CATEGORIE'!$Q$18</f>
        <v>1</v>
      </c>
    </row>
  </sheetData>
  <pageMargins left="3.937007874015748E-2" right="3.937007874015748E-2" top="7.874015748031496E-2" bottom="7.874015748031496E-2" header="0.11811023622047249" footer="0.11811023622047249"/>
  <pageSetup paperSize="8" scale="91" fitToHeight="2"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5" tint="0.39997558519241921"/>
    <pageSetUpPr fitToPage="1"/>
  </sheetPr>
  <dimension ref="A1:BZ14"/>
  <sheetViews>
    <sheetView workbookViewId="0">
      <selection activeCell="D13" sqref="D13"/>
    </sheetView>
  </sheetViews>
  <sheetFormatPr baseColWidth="10" defaultColWidth="9.140625" defaultRowHeight="15"/>
  <cols>
    <col min="1" max="2" width="9" style="934" customWidth="1"/>
    <col min="3" max="3" width="6" style="934" customWidth="1"/>
    <col min="4" max="4" width="30.5703125" style="934" customWidth="1"/>
    <col min="5" max="5" width="87.7109375" style="43" bestFit="1" customWidth="1"/>
    <col min="6" max="6" width="51.5703125" style="43" customWidth="1"/>
    <col min="7" max="7" width="1.7109375" style="933" customWidth="1"/>
    <col min="8" max="8" width="8.7109375" style="43" customWidth="1"/>
    <col min="9" max="12" width="8.7109375" style="934" customWidth="1"/>
    <col min="13" max="13" width="1.7109375" style="933" customWidth="1"/>
    <col min="14" max="18" width="8.710937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7976</v>
      </c>
      <c r="F1" s="479"/>
      <c r="H1" s="474"/>
      <c r="I1" s="474"/>
      <c r="J1" s="475" t="s">
        <v>7971</v>
      </c>
      <c r="K1" s="474"/>
      <c r="L1" s="474"/>
      <c r="N1" s="452"/>
      <c r="O1" s="452"/>
      <c r="P1" s="476" t="s">
        <v>7972</v>
      </c>
      <c r="Q1" s="452"/>
      <c r="R1" s="452"/>
      <c r="T1" s="452"/>
    </row>
    <row r="2" spans="1:20"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520" t="s">
        <v>6739</v>
      </c>
      <c r="E3" s="520" t="s">
        <v>8006</v>
      </c>
      <c r="F3" s="520" t="s">
        <v>8007</v>
      </c>
      <c r="H3" s="426">
        <f>SUMPRODUCT(($T$4:$T$106),('ANALYSE - ERP =&gt; CATEGORIE'!$BD$8:$BD$110),('ANALYSE - ERP =&gt; CATEGORIE'!$IV$8:$IV$110))</f>
        <v>2896.3014000000003</v>
      </c>
      <c r="I3" s="426">
        <f>SUMPRODUCT(($T$4:$T$106),('ANALYSE - ERP =&gt; CATEGORIE'!$BD$8:$BD$110),('ANALYSE - ERP =&gt; CATEGORIE'!$IW$8:$IW$110))</f>
        <v>67525.293799999999</v>
      </c>
      <c r="J3" s="426">
        <f>SUMPRODUCT(($T$4:$T$106),('ANALYSE - ERP =&gt; CATEGORIE'!$BD$8:$BD$110),('ANALYSE - ERP =&gt; CATEGORIE'!$IX$8:$IX$110))</f>
        <v>223990.42065000001</v>
      </c>
      <c r="K3" s="426">
        <f>SUMPRODUCT(($T$4:$T$106),('ANALYSE - ERP =&gt; CATEGORIE'!$BD$8:$BD$110),('ANALYSE - ERP =&gt; CATEGORIE'!$IY$8:$IY$110))</f>
        <v>135504.78265000001</v>
      </c>
      <c r="L3" s="426">
        <f>SUMPRODUCT(($T$4:$T$106),('ANALYSE - ERP =&gt; CATEGORIE'!$BD$8:$BD$110),('ANALYSE - ERP =&gt; CATEGORIE'!$IZ$8:$IZ$110))</f>
        <v>6448.1854999999996</v>
      </c>
      <c r="N3" s="426">
        <f>SUMPRODUCT(($T$4:$T$106),('ANALYSE - ERP =&gt; CATEGORIE'!$FA$8:$FA$110),('ANALYSE - ERP =&gt; CATEGORIE'!$JA$8:$JA$110))</f>
        <v>740.19576185134429</v>
      </c>
      <c r="O3" s="426">
        <f>SUMPRODUCT(($T$4:$T$106),('ANALYSE - ERP =&gt; CATEGORIE'!$FA$8:$FA$110),('ANALYSE - ERP =&gt; CATEGORIE'!$JB$8:$JB$110))</f>
        <v>19295.999763785421</v>
      </c>
      <c r="P3" s="426">
        <f>SUMPRODUCT(($T$4:$T$106),('ANALYSE - ERP =&gt; CATEGORIE'!$FA$8:$FA$110),('ANALYSE - ERP =&gt; CATEGORIE'!$JC$8:$JC$110))</f>
        <v>95017.108258428721</v>
      </c>
      <c r="Q3" s="426">
        <f>SUMPRODUCT(($T$4:$T$106),('ANALYSE - ERP =&gt; CATEGORIE'!$FA$8:$FA$110),('ANALYSE - ERP =&gt; CATEGORIE'!$JD$8:$JD$110))</f>
        <v>83126.106803913222</v>
      </c>
      <c r="R3" s="426">
        <f>SUMPRODUCT(($T$4:$T$106),('ANALYSE - ERP =&gt; CATEGORIE'!$FA$8:$FA$110),('ANALYSE - ERP =&gt; CATEGORIE'!$JE$8:$JE$110))</f>
        <v>8818.4774394540673</v>
      </c>
      <c r="T3" s="428">
        <f>SUM('ANALYSE - ERP =&gt; CATEGORIE'!$Q$8:$Q$110)</f>
        <v>9</v>
      </c>
    </row>
    <row r="4" spans="1:20" ht="15" customHeight="1">
      <c r="A4" s="26">
        <v>1</v>
      </c>
      <c r="B4" s="26">
        <v>1</v>
      </c>
      <c r="C4" s="422">
        <f>'ANALYSE - ERP =&gt; CATEGORIE'!$A$15</f>
        <v>8</v>
      </c>
      <c r="D4" s="496" t="s">
        <v>1670</v>
      </c>
      <c r="E4" s="496" t="s">
        <v>8010</v>
      </c>
      <c r="F4" s="496" t="s">
        <v>8011</v>
      </c>
      <c r="H4" s="458">
        <f>'ANALYSE - ERP =&gt; CATEGORIE'!$BD$15*'ANALYSE - ERP =&gt; CATEGORIE'!$IV$15</f>
        <v>0</v>
      </c>
      <c r="I4" s="458">
        <f>'ANALYSE - ERP =&gt; CATEGORIE'!$BD$15*'ANALYSE - ERP =&gt; CATEGORIE'!$IW$15</f>
        <v>0</v>
      </c>
      <c r="J4" s="458">
        <f>'ANALYSE - ERP =&gt; CATEGORIE'!$BD$15*'ANALYSE - ERP =&gt; CATEGORIE'!$IX$15</f>
        <v>0</v>
      </c>
      <c r="K4" s="458">
        <f>'ANALYSE - ERP =&gt; CATEGORIE'!$BD$15*'ANALYSE - ERP =&gt; CATEGORIE'!$IY$15</f>
        <v>0</v>
      </c>
      <c r="L4" s="458">
        <f>'ANALYSE - ERP =&gt; CATEGORIE'!$BD$15*'ANALYSE - ERP =&gt; CATEGORIE'!$IZ$15</f>
        <v>0</v>
      </c>
      <c r="N4" s="458">
        <f>'ANALYSE - ERP =&gt; CATEGORIE'!$FA$15*'ANALYSE - ERP =&gt; CATEGORIE'!$JA$15</f>
        <v>0</v>
      </c>
      <c r="O4" s="458">
        <f>'ANALYSE - ERP =&gt; CATEGORIE'!$FA$15*'ANALYSE - ERP =&gt; CATEGORIE'!$JB$15</f>
        <v>0</v>
      </c>
      <c r="P4" s="458">
        <f>'ANALYSE - ERP =&gt; CATEGORIE'!$FA$15*'ANALYSE - ERP =&gt; CATEGORIE'!$JC$15</f>
        <v>0</v>
      </c>
      <c r="Q4" s="458">
        <f>'ANALYSE - ERP =&gt; CATEGORIE'!$FA$15*'ANALYSE - ERP =&gt; CATEGORIE'!$JD$15</f>
        <v>0</v>
      </c>
      <c r="R4" s="458">
        <f>'ANALYSE - ERP =&gt; CATEGORIE'!$FA$15*'ANALYSE - ERP =&gt; CATEGORIE'!$JE$15</f>
        <v>0</v>
      </c>
      <c r="T4" s="430">
        <f>'ANALYSE - ERP =&gt; CATEGORIE'!$Q$15</f>
        <v>0</v>
      </c>
    </row>
    <row r="5" spans="1:20" ht="15" customHeight="1">
      <c r="A5" s="26">
        <v>2</v>
      </c>
      <c r="B5" s="26">
        <v>2</v>
      </c>
      <c r="C5" s="422">
        <f>'ANALYSE - ERP =&gt; CATEGORIE'!$A$11</f>
        <v>4</v>
      </c>
      <c r="D5" s="492" t="s">
        <v>2187</v>
      </c>
      <c r="E5" s="492" t="s">
        <v>8008</v>
      </c>
      <c r="F5" s="492" t="s">
        <v>8009</v>
      </c>
      <c r="H5" s="458">
        <f>'ANALYSE - ERP =&gt; CATEGORIE'!$BD$11*'ANALYSE - ERP =&gt; CATEGORIE'!$IV$11</f>
        <v>18.636800000000001</v>
      </c>
      <c r="I5" s="458">
        <f>'ANALYSE - ERP =&gt; CATEGORIE'!$BD$11*'ANALYSE - ERP =&gt; CATEGORIE'!$IW$11</f>
        <v>741.14560000000006</v>
      </c>
      <c r="J5" s="458">
        <f>'ANALYSE - ERP =&gt; CATEGORIE'!$BD$11*'ANALYSE - ERP =&gt; CATEGORIE'!$IX$11</f>
        <v>1635.0463999999999</v>
      </c>
      <c r="K5" s="458">
        <f>'ANALYSE - ERP =&gt; CATEGORIE'!$BD$11*'ANALYSE - ERP =&gt; CATEGORIE'!$IY$11</f>
        <v>857.95839999999987</v>
      </c>
      <c r="L5" s="458">
        <f>'ANALYSE - ERP =&gt; CATEGORIE'!$BD$11*'ANALYSE - ERP =&gt; CATEGORIE'!$IZ$11</f>
        <v>75.212800000000001</v>
      </c>
      <c r="N5" s="458">
        <f>'ANALYSE - ERP =&gt; CATEGORIE'!$FA$11*'ANALYSE - ERP =&gt; CATEGORIE'!$JA$11</f>
        <v>0</v>
      </c>
      <c r="O5" s="458">
        <f>'ANALYSE - ERP =&gt; CATEGORIE'!$FA$11*'ANALYSE - ERP =&gt; CATEGORIE'!$JB$11</f>
        <v>322.50743682302488</v>
      </c>
      <c r="P5" s="458">
        <f>'ANALYSE - ERP =&gt; CATEGORIE'!$FA$11*'ANALYSE - ERP =&gt; CATEGORIE'!$JC$11</f>
        <v>889.43419058684378</v>
      </c>
      <c r="Q5" s="458">
        <f>'ANALYSE - ERP =&gt; CATEGORIE'!$FA$11*'ANALYSE - ERP =&gt; CATEGORIE'!$JD$11</f>
        <v>489.53897576394007</v>
      </c>
      <c r="R5" s="458">
        <f>'ANALYSE - ERP =&gt; CATEGORIE'!$FA$11*'ANALYSE - ERP =&gt; CATEGORIE'!$JE$11</f>
        <v>49.374102705805107</v>
      </c>
      <c r="T5" s="430">
        <f>'ANALYSE - ERP =&gt; CATEGORIE'!$Q$11</f>
        <v>1</v>
      </c>
    </row>
    <row r="6" spans="1:20" ht="15" customHeight="1">
      <c r="A6" s="26">
        <v>3</v>
      </c>
      <c r="B6" s="26">
        <v>3</v>
      </c>
      <c r="C6" s="422">
        <f>'ANALYSE - ERP =&gt; CATEGORIE'!$A$9</f>
        <v>2</v>
      </c>
      <c r="D6" s="494" t="s">
        <v>2241</v>
      </c>
      <c r="E6" s="494" t="s">
        <v>8012</v>
      </c>
      <c r="F6" s="494" t="s">
        <v>8013</v>
      </c>
      <c r="H6" s="458">
        <f>'ANALYSE - ERP =&gt; CATEGORIE'!$BD$9*'ANALYSE - ERP =&gt; CATEGORIE'!$IV$9</f>
        <v>9.2004000000000001</v>
      </c>
      <c r="I6" s="458">
        <f>'ANALYSE - ERP =&gt; CATEGORIE'!$BD$9*'ANALYSE - ERP =&gt; CATEGORIE'!$IW$9</f>
        <v>52438.286300000007</v>
      </c>
      <c r="J6" s="458">
        <f>'ANALYSE - ERP =&gt; CATEGORIE'!$BD$9*'ANALYSE - ERP =&gt; CATEGORIE'!$IX$9</f>
        <v>213011.25020000001</v>
      </c>
      <c r="K6" s="458">
        <f>'ANALYSE - ERP =&gt; CATEGORIE'!$BD$9*'ANALYSE - ERP =&gt; CATEGORIE'!$IY$9</f>
        <v>133092.89310000002</v>
      </c>
      <c r="L6" s="458">
        <f>'ANALYSE - ERP =&gt; CATEGORIE'!$BD$9*'ANALYSE - ERP =&gt; CATEGORIE'!$IZ$9</f>
        <v>6203.37</v>
      </c>
      <c r="N6" s="458">
        <f>'ANALYSE - ERP =&gt; CATEGORIE'!$FA$9*'ANALYSE - ERP =&gt; CATEGORIE'!$JA$9</f>
        <v>1.3239374681990883</v>
      </c>
      <c r="O6" s="458">
        <f>'ANALYSE - ERP =&gt; CATEGORIE'!$FA$9*'ANALYSE - ERP =&gt; CATEGORIE'!$JB$9</f>
        <v>11974.491161703458</v>
      </c>
      <c r="P6" s="458">
        <f>'ANALYSE - ERP =&gt; CATEGORIE'!$FA$9*'ANALYSE - ERP =&gt; CATEGORIE'!$JC$9</f>
        <v>88640.864949106268</v>
      </c>
      <c r="Q6" s="458">
        <f>'ANALYSE - ERP =&gt; CATEGORIE'!$FA$9*'ANALYSE - ERP =&gt; CATEGORIE'!$JD$9</f>
        <v>81509.281835004891</v>
      </c>
      <c r="R6" s="458">
        <f>'ANALYSE - ERP =&gt; CATEGORIE'!$FA$9*'ANALYSE - ERP =&gt; CATEGORIE'!$JE$9</f>
        <v>8535.9539772568642</v>
      </c>
      <c r="T6" s="430">
        <f>'ANALYSE - ERP =&gt; CATEGORIE'!$Q$9</f>
        <v>1</v>
      </c>
    </row>
    <row r="7" spans="1:20" ht="15" customHeight="1">
      <c r="A7" s="26">
        <v>4</v>
      </c>
      <c r="B7" s="26">
        <v>5</v>
      </c>
      <c r="C7" s="422">
        <f>'ANALYSE - ERP =&gt; CATEGORIE'!$A$13</f>
        <v>6</v>
      </c>
      <c r="D7" s="506" t="s">
        <v>7117</v>
      </c>
      <c r="E7" s="506" t="s">
        <v>8020</v>
      </c>
      <c r="F7" s="506" t="s">
        <v>8021</v>
      </c>
      <c r="H7" s="458">
        <f>'ANALYSE - ERP =&gt; CATEGORIE'!$BD$13*'ANALYSE - ERP =&gt; CATEGORIE'!$IV$13</f>
        <v>0</v>
      </c>
      <c r="I7" s="458">
        <f>'ANALYSE - ERP =&gt; CATEGORIE'!$BD$13*'ANALYSE - ERP =&gt; CATEGORIE'!$IW$13</f>
        <v>0</v>
      </c>
      <c r="J7" s="458">
        <f>'ANALYSE - ERP =&gt; CATEGORIE'!$BD$13*'ANALYSE - ERP =&gt; CATEGORIE'!$IX$13</f>
        <v>0</v>
      </c>
      <c r="K7" s="458">
        <f>'ANALYSE - ERP =&gt; CATEGORIE'!$BD$13*'ANALYSE - ERP =&gt; CATEGORIE'!$IY$13</f>
        <v>0</v>
      </c>
      <c r="L7" s="458">
        <f>'ANALYSE - ERP =&gt; CATEGORIE'!$BD$13*'ANALYSE - ERP =&gt; CATEGORIE'!$IZ$13</f>
        <v>0</v>
      </c>
      <c r="N7" s="458">
        <f>'ANALYSE - ERP =&gt; CATEGORIE'!$FA$13*'ANALYSE - ERP =&gt; CATEGORIE'!$JA$13</f>
        <v>0</v>
      </c>
      <c r="O7" s="458">
        <f>'ANALYSE - ERP =&gt; CATEGORIE'!$FA$13*'ANALYSE - ERP =&gt; CATEGORIE'!$JB$13</f>
        <v>0</v>
      </c>
      <c r="P7" s="458">
        <f>'ANALYSE - ERP =&gt; CATEGORIE'!$FA$13*'ANALYSE - ERP =&gt; CATEGORIE'!$JC$13</f>
        <v>0</v>
      </c>
      <c r="Q7" s="458">
        <f>'ANALYSE - ERP =&gt; CATEGORIE'!$FA$13*'ANALYSE - ERP =&gt; CATEGORIE'!$JD$13</f>
        <v>0</v>
      </c>
      <c r="R7" s="458">
        <f>'ANALYSE - ERP =&gt; CATEGORIE'!$FA$13*'ANALYSE - ERP =&gt; CATEGORIE'!$JE$13</f>
        <v>0</v>
      </c>
      <c r="T7" s="430">
        <f>'ANALYSE - ERP =&gt; CATEGORIE'!$Q$13</f>
        <v>0</v>
      </c>
    </row>
    <row r="8" spans="1:20" ht="15" customHeight="1">
      <c r="A8" s="26">
        <v>5</v>
      </c>
      <c r="B8" s="26">
        <v>4</v>
      </c>
      <c r="C8" s="422">
        <f>'ANALYSE - ERP =&gt; CATEGORIE'!$A$8</f>
        <v>1</v>
      </c>
      <c r="D8" s="498" t="s">
        <v>6739</v>
      </c>
      <c r="E8" s="498" t="s">
        <v>8006</v>
      </c>
      <c r="F8" s="498" t="s">
        <v>8007</v>
      </c>
      <c r="H8" s="458">
        <f>'ANALYSE - ERP =&gt; CATEGORIE'!$BD$8*'ANALYSE - ERP =&gt; CATEGORIE'!$IV$8</f>
        <v>0</v>
      </c>
      <c r="I8" s="458">
        <f>'ANALYSE - ERP =&gt; CATEGORIE'!$BD$8*'ANALYSE - ERP =&gt; CATEGORIE'!$IW$8</f>
        <v>0</v>
      </c>
      <c r="J8" s="458">
        <f>'ANALYSE - ERP =&gt; CATEGORIE'!$BD$8*'ANALYSE - ERP =&gt; CATEGORIE'!$IX$8</f>
        <v>0</v>
      </c>
      <c r="K8" s="458">
        <f>'ANALYSE - ERP =&gt; CATEGORIE'!$BD$8*'ANALYSE - ERP =&gt; CATEGORIE'!$IY$8</f>
        <v>0</v>
      </c>
      <c r="L8" s="458">
        <f>'ANALYSE - ERP =&gt; CATEGORIE'!$BD$8*'ANALYSE - ERP =&gt; CATEGORIE'!$IZ$8</f>
        <v>0</v>
      </c>
      <c r="N8" s="458">
        <f>'ANALYSE - ERP =&gt; CATEGORIE'!$FA$8*'ANALYSE - ERP =&gt; CATEGORIE'!$JA$8</f>
        <v>0</v>
      </c>
      <c r="O8" s="458">
        <f>'ANALYSE - ERP =&gt; CATEGORIE'!$FA$8*'ANALYSE - ERP =&gt; CATEGORIE'!$JB$8</f>
        <v>0</v>
      </c>
      <c r="P8" s="458">
        <f>'ANALYSE - ERP =&gt; CATEGORIE'!$FA$8*'ANALYSE - ERP =&gt; CATEGORIE'!$JC$8</f>
        <v>0</v>
      </c>
      <c r="Q8" s="458">
        <f>'ANALYSE - ERP =&gt; CATEGORIE'!$FA$8*'ANALYSE - ERP =&gt; CATEGORIE'!$JD$8</f>
        <v>0</v>
      </c>
      <c r="R8" s="458">
        <f>'ANALYSE - ERP =&gt; CATEGORIE'!$FA$8*'ANALYSE - ERP =&gt; CATEGORIE'!$JE$8</f>
        <v>0</v>
      </c>
      <c r="T8" s="430">
        <f>'ANALYSE - ERP =&gt; CATEGORIE'!$Q$8</f>
        <v>0</v>
      </c>
    </row>
    <row r="9" spans="1:20" ht="15" customHeight="1">
      <c r="A9" s="26">
        <v>6</v>
      </c>
      <c r="B9" s="26">
        <v>6</v>
      </c>
      <c r="C9" s="422">
        <f>'ANALYSE - ERP =&gt; CATEGORIE'!$A$12</f>
        <v>5</v>
      </c>
      <c r="D9" s="502" t="s">
        <v>2264</v>
      </c>
      <c r="E9" s="502" t="s">
        <v>8014</v>
      </c>
      <c r="F9" s="502" t="s">
        <v>8015</v>
      </c>
      <c r="H9" s="458">
        <f>'ANALYSE - ERP =&gt; CATEGORIE'!$BD$12*'ANALYSE - ERP =&gt; CATEGORIE'!$IV$12</f>
        <v>8551.4969999999994</v>
      </c>
      <c r="I9" s="458">
        <f>'ANALYSE - ERP =&gt; CATEGORIE'!$BD$12*'ANALYSE - ERP =&gt; CATEGORIE'!$IW$12</f>
        <v>53416.321500000005</v>
      </c>
      <c r="J9" s="458">
        <f>'ANALYSE - ERP =&gt; CATEGORIE'!$BD$12*'ANALYSE - ERP =&gt; CATEGORIE'!$IX$12</f>
        <v>44840.438499999997</v>
      </c>
      <c r="K9" s="458">
        <f>'ANALYSE - ERP =&gt; CATEGORIE'!$BD$12*'ANALYSE - ERP =&gt; CATEGORIE'!$IY$12</f>
        <v>4471.8352500000001</v>
      </c>
      <c r="L9" s="458">
        <f>'ANALYSE - ERP =&gt; CATEGORIE'!$BD$12*'ANALYSE - ERP =&gt; CATEGORIE'!$IZ$12</f>
        <v>0</v>
      </c>
      <c r="N9" s="458">
        <f>'ANALYSE - ERP =&gt; CATEGORIE'!$FA$12*'ANALYSE - ERP =&gt; CATEGORIE'!$JA$12</f>
        <v>1992.2413350426236</v>
      </c>
      <c r="O9" s="458">
        <f>'ANALYSE - ERP =&gt; CATEGORIE'!$FA$12*'ANALYSE - ERP =&gt; CATEGORIE'!$JB$12</f>
        <v>23825.434133568779</v>
      </c>
      <c r="P9" s="458">
        <f>'ANALYSE - ERP =&gt; CATEGORIE'!$FA$12*'ANALYSE - ERP =&gt; CATEGORIE'!$JC$12</f>
        <v>24576.449723657646</v>
      </c>
      <c r="Q9" s="458">
        <f>'ANALYSE - ERP =&gt; CATEGORIE'!$FA$12*'ANALYSE - ERP =&gt; CATEGORIE'!$JD$12</f>
        <v>2819.5185942942494</v>
      </c>
      <c r="R9" s="458">
        <f>'ANALYSE - ERP =&gt; CATEGORIE'!$FA$12*'ANALYSE - ERP =&gt; CATEGORIE'!$JE$12</f>
        <v>170.35315797832087</v>
      </c>
      <c r="T9" s="430">
        <f>'ANALYSE - ERP =&gt; CATEGORIE'!$Q$12</f>
        <v>1</v>
      </c>
    </row>
    <row r="10" spans="1:20" ht="15" customHeight="1">
      <c r="A10" s="26">
        <v>7</v>
      </c>
      <c r="B10" s="26">
        <v>7</v>
      </c>
      <c r="C10" s="422">
        <f>'ANALYSE - ERP =&gt; CATEGORIE'!$A$10</f>
        <v>3</v>
      </c>
      <c r="D10" s="500" t="s">
        <v>3662</v>
      </c>
      <c r="E10" s="500" t="s">
        <v>8018</v>
      </c>
      <c r="F10" s="500" t="s">
        <v>8019</v>
      </c>
      <c r="H10" s="458">
        <f>'ANALYSE - ERP =&gt; CATEGORIE'!$BD$10*'ANALYSE - ERP =&gt; CATEGORIE'!$IV$10</f>
        <v>198.45759999999999</v>
      </c>
      <c r="I10" s="458">
        <f>'ANALYSE - ERP =&gt; CATEGORIE'!$BD$10*'ANALYSE - ERP =&gt; CATEGORIE'!$IW$10</f>
        <v>2895.6440000000002</v>
      </c>
      <c r="J10" s="458">
        <f>'ANALYSE - ERP =&gt; CATEGORIE'!$BD$10*'ANALYSE - ERP =&gt; CATEGORIE'!$IX$10</f>
        <v>4487.1109500000002</v>
      </c>
      <c r="K10" s="458">
        <f>'ANALYSE - ERP =&gt; CATEGORIE'!$BD$10*'ANALYSE - ERP =&gt; CATEGORIE'!$IY$10</f>
        <v>1374.68055</v>
      </c>
      <c r="L10" s="458">
        <f>'ANALYSE - ERP =&gt; CATEGORIE'!$BD$10*'ANALYSE - ERP =&gt; CATEGORIE'!$IZ$10</f>
        <v>108.0909</v>
      </c>
      <c r="N10" s="458">
        <f>'ANALYSE - ERP =&gt; CATEGORIE'!$FA$10*'ANALYSE - ERP =&gt; CATEGORIE'!$JA$10</f>
        <v>40.137570020875863</v>
      </c>
      <c r="O10" s="458">
        <f>'ANALYSE - ERP =&gt; CATEGORIE'!$FA$10*'ANALYSE - ERP =&gt; CATEGORIE'!$JB$10</f>
        <v>1020.8957835495929</v>
      </c>
      <c r="P10" s="458">
        <f>'ANALYSE - ERP =&gt; CATEGORIE'!$FA$10*'ANALYSE - ERP =&gt; CATEGORIE'!$JC$10</f>
        <v>1811.0500566213752</v>
      </c>
      <c r="Q10" s="458">
        <f>'ANALYSE - ERP =&gt; CATEGORIE'!$FA$10*'ANALYSE - ERP =&gt; CATEGORIE'!$JD$10</f>
        <v>792.19834425818317</v>
      </c>
      <c r="R10" s="458">
        <f>'ANALYSE - ERP =&gt; CATEGORIE'!$FA$10*'ANALYSE - ERP =&gt; CATEGORIE'!$JE$10</f>
        <v>120.4022204294231</v>
      </c>
      <c r="T10" s="430">
        <f>'ANALYSE - ERP =&gt; CATEGORIE'!$Q$10</f>
        <v>1</v>
      </c>
    </row>
    <row r="11" spans="1:20" s="45" customFormat="1" ht="15" customHeight="1">
      <c r="A11" s="26">
        <v>8</v>
      </c>
      <c r="B11" s="26">
        <v>8</v>
      </c>
      <c r="C11" s="422">
        <f>'ANALYSE - ERP =&gt; CATEGORIE'!$A$17</f>
        <v>10</v>
      </c>
      <c r="D11" s="510" t="s">
        <v>4908</v>
      </c>
      <c r="E11" s="510" t="s">
        <v>8024</v>
      </c>
      <c r="F11" s="510" t="s">
        <v>8025</v>
      </c>
      <c r="G11" s="685"/>
      <c r="H11" s="458">
        <f>'ANALYSE - ERP =&gt; CATEGORIE'!$BD$17*'ANALYSE - ERP =&gt; CATEGORIE'!$IV$17</f>
        <v>2187.4954000000002</v>
      </c>
      <c r="I11" s="458">
        <f>'ANALYSE - ERP =&gt; CATEGORIE'!$BD$17*'ANALYSE - ERP =&gt; CATEGORIE'!$IW$17</f>
        <v>7809.3320999999987</v>
      </c>
      <c r="J11" s="458">
        <f>'ANALYSE - ERP =&gt; CATEGORIE'!$BD$17*'ANALYSE - ERP =&gt; CATEGORIE'!$IX$17</f>
        <v>2469.3100999999997</v>
      </c>
      <c r="K11" s="458">
        <f>'ANALYSE - ERP =&gt; CATEGORIE'!$BD$17*'ANALYSE - ERP =&gt; CATEGORIE'!$IY$17</f>
        <v>83.639600000000002</v>
      </c>
      <c r="L11" s="458">
        <f>'ANALYSE - ERP =&gt; CATEGORIE'!$BD$17*'ANALYSE - ERP =&gt; CATEGORIE'!$IZ$17</f>
        <v>0.22279999999999997</v>
      </c>
      <c r="M11" s="685"/>
      <c r="N11" s="458">
        <f>'ANALYSE - ERP =&gt; CATEGORIE'!$FA$17*'ANALYSE - ERP =&gt; CATEGORIE'!$JA$17</f>
        <v>512.19413228494261</v>
      </c>
      <c r="O11" s="458">
        <f>'ANALYSE - ERP =&gt; CATEGORIE'!$FA$17*'ANALYSE - ERP =&gt; CATEGORIE'!$JB$17</f>
        <v>3919.782402320845</v>
      </c>
      <c r="P11" s="458">
        <f>'ANALYSE - ERP =&gt; CATEGORIE'!$FA$17*'ANALYSE - ERP =&gt; CATEGORIE'!$JC$17</f>
        <v>2230.5488308680924</v>
      </c>
      <c r="Q11" s="458">
        <f>'ANALYSE - ERP =&gt; CATEGORIE'!$FA$17*'ANALYSE - ERP =&gt; CATEGORIE'!$JD$17</f>
        <v>116.35511905532782</v>
      </c>
      <c r="R11" s="458">
        <f>'ANALYSE - ERP =&gt; CATEGORIE'!$FA$17*'ANALYSE - ERP =&gt; CATEGORIE'!$JE$17</f>
        <v>1.2969663344288211</v>
      </c>
      <c r="S11" s="685"/>
      <c r="T11" s="430">
        <f>'ANALYSE - ERP =&gt; CATEGORIE'!$Q$17</f>
        <v>1</v>
      </c>
    </row>
    <row r="12" spans="1:20" ht="15" customHeight="1">
      <c r="A12" s="26">
        <v>9</v>
      </c>
      <c r="B12" s="26">
        <v>9</v>
      </c>
      <c r="C12" s="422">
        <f>'ANALYSE - ERP =&gt; CATEGORIE'!$A$16</f>
        <v>9</v>
      </c>
      <c r="D12" s="508" t="s">
        <v>2285</v>
      </c>
      <c r="E12" s="508" t="s">
        <v>8022</v>
      </c>
      <c r="F12" s="508" t="s">
        <v>8023</v>
      </c>
      <c r="H12" s="458">
        <f>'ANALYSE - ERP =&gt; CATEGORIE'!$BD$16*'ANALYSE - ERP =&gt; CATEGORIE'!$IV$16</f>
        <v>419.38799999999998</v>
      </c>
      <c r="I12" s="458">
        <f>'ANALYSE - ERP =&gt; CATEGORIE'!$BD$16*'ANALYSE - ERP =&gt; CATEGORIE'!$IW$16</f>
        <v>3948.5113999999999</v>
      </c>
      <c r="J12" s="458">
        <f>'ANALYSE - ERP =&gt; CATEGORIE'!$BD$16*'ANALYSE - ERP =&gt; CATEGORIE'!$IX$16</f>
        <v>3757.8694</v>
      </c>
      <c r="K12" s="458">
        <f>'ANALYSE - ERP =&gt; CATEGORIE'!$BD$16*'ANALYSE - ERP =&gt; CATEGORIE'!$IY$16</f>
        <v>933.72940000000006</v>
      </c>
      <c r="L12" s="458">
        <f>'ANALYSE - ERP =&gt; CATEGORIE'!$BD$16*'ANALYSE - ERP =&gt; CATEGORIE'!$IZ$16</f>
        <v>136.5018</v>
      </c>
      <c r="N12" s="458">
        <f>'ANALYSE - ERP =&gt; CATEGORIE'!$FA$16*'ANALYSE - ERP =&gt; CATEGORIE'!$JA$16</f>
        <v>148.95412920232678</v>
      </c>
      <c r="O12" s="458">
        <f>'ANALYSE - ERP =&gt; CATEGORIE'!$FA$16*'ANALYSE - ERP =&gt; CATEGORIE'!$JB$16</f>
        <v>2157.0209739615266</v>
      </c>
      <c r="P12" s="458">
        <f>'ANALYSE - ERP =&gt; CATEGORIE'!$FA$16*'ANALYSE - ERP =&gt; CATEGORIE'!$JC$16</f>
        <v>2187.3721773329848</v>
      </c>
      <c r="Q12" s="458">
        <f>'ANALYSE - ERP =&gt; CATEGORIE'!$FA$16*'ANALYSE - ERP =&gt; CATEGORIE'!$JD$16</f>
        <v>691.67564721981125</v>
      </c>
      <c r="R12" s="458">
        <f>'ANALYSE - ERP =&gt; CATEGORIE'!$FA$16*'ANALYSE - ERP =&gt; CATEGORIE'!$JE$16</f>
        <v>159.45906343335108</v>
      </c>
      <c r="T12" s="430">
        <f>'ANALYSE - ERP =&gt; CATEGORIE'!$Q$16</f>
        <v>1</v>
      </c>
    </row>
    <row r="13" spans="1:20" s="45" customFormat="1" ht="15" customHeight="1">
      <c r="A13" s="406">
        <v>10</v>
      </c>
      <c r="B13" s="406">
        <v>10</v>
      </c>
      <c r="C13" s="448">
        <f>'ANALYSE - ERP =&gt; CATEGORIE'!$A$14</f>
        <v>7</v>
      </c>
      <c r="D13" s="511" t="s">
        <v>2278</v>
      </c>
      <c r="E13" s="511" t="s">
        <v>8016</v>
      </c>
      <c r="F13" s="511" t="s">
        <v>8017</v>
      </c>
      <c r="G13" s="685"/>
      <c r="H13" s="459">
        <f>'ANALYSE - ERP =&gt; CATEGORIE'!$BD$14*'ANALYSE - ERP =&gt; CATEGORIE'!$IV$14</f>
        <v>81.760000000000005</v>
      </c>
      <c r="I13" s="459">
        <f>'ANALYSE - ERP =&gt; CATEGORIE'!$BD$14*'ANALYSE - ERP =&gt; CATEGORIE'!$IW$14</f>
        <v>433.52000000000004</v>
      </c>
      <c r="J13" s="459">
        <f>'ANALYSE - ERP =&gt; CATEGORIE'!$BD$14*'ANALYSE - ERP =&gt; CATEGORIE'!$IX$14</f>
        <v>264.88</v>
      </c>
      <c r="K13" s="459">
        <f>'ANALYSE - ERP =&gt; CATEGORIE'!$BD$14*'ANALYSE - ERP =&gt; CATEGORIE'!$IY$14</f>
        <v>19.84</v>
      </c>
      <c r="L13" s="459">
        <f>'ANALYSE - ERP =&gt; CATEGORIE'!$BD$14*'ANALYSE - ERP =&gt; CATEGORIE'!$IZ$14</f>
        <v>0</v>
      </c>
      <c r="M13" s="685"/>
      <c r="N13" s="459">
        <f>'ANALYSE - ERP =&gt; CATEGORIE'!$FA$14*'ANALYSE - ERP =&gt; CATEGORIE'!$JA$14</f>
        <v>37.585992874999995</v>
      </c>
      <c r="O13" s="459">
        <f>'ANALYSE - ERP =&gt; CATEGORIE'!$FA$14*'ANALYSE - ERP =&gt; CATEGORIE'!$JB$14</f>
        <v>223.80944224999996</v>
      </c>
      <c r="P13" s="459">
        <f>'ANALYSE - ERP =&gt; CATEGORIE'!$FA$14*'ANALYSE - ERP =&gt; CATEGORIE'!$JC$14</f>
        <v>147.27224450000003</v>
      </c>
      <c r="Q13" s="459">
        <f>'ANALYSE - ERP =&gt; CATEGORIE'!$FA$14*'ANALYSE - ERP =&gt; CATEGORIE'!$JD$14</f>
        <v>16.595858374999999</v>
      </c>
      <c r="R13" s="459">
        <f>'ANALYSE - ERP =&gt; CATEGORIE'!$FA$14*'ANALYSE - ERP =&gt; CATEGORIE'!$JE$14</f>
        <v>1.3652119999999999</v>
      </c>
      <c r="S13" s="685"/>
      <c r="T13" s="450">
        <f>'ANALYSE - ERP =&gt; CATEGORIE'!$Q$14</f>
        <v>1</v>
      </c>
    </row>
    <row r="14" spans="1:20" ht="15" customHeight="1">
      <c r="A14" s="26">
        <v>11</v>
      </c>
      <c r="B14" s="26">
        <v>11</v>
      </c>
      <c r="C14" s="422">
        <f>'ANALYSE - ERP =&gt; CATEGORIE'!$A$18</f>
        <v>11</v>
      </c>
      <c r="D14" s="502" t="s">
        <v>2163</v>
      </c>
      <c r="E14" s="502" t="s">
        <v>2163</v>
      </c>
      <c r="F14" s="502" t="s">
        <v>2164</v>
      </c>
      <c r="H14" s="458">
        <f>'ANALYSE - ERP =&gt; CATEGORIE'!$BD$18*'ANALYSE - ERP =&gt; CATEGORIE'!$IV$18</f>
        <v>0</v>
      </c>
      <c r="I14" s="458">
        <f>'ANALYSE - ERP =&gt; CATEGORIE'!$BD$18*'ANALYSE - ERP =&gt; CATEGORIE'!$IW$18</f>
        <v>0</v>
      </c>
      <c r="J14" s="458">
        <f>'ANALYSE - ERP =&gt; CATEGORIE'!$BD$18*'ANALYSE - ERP =&gt; CATEGORIE'!$IX$18</f>
        <v>0</v>
      </c>
      <c r="K14" s="458">
        <f>'ANALYSE - ERP =&gt; CATEGORIE'!$BD$18*'ANALYSE - ERP =&gt; CATEGORIE'!$IY$18</f>
        <v>0</v>
      </c>
      <c r="L14" s="458">
        <f>'ANALYSE - ERP =&gt; CATEGORIE'!$BD$18*'ANALYSE - ERP =&gt; CATEGORIE'!$IZ$18</f>
        <v>0</v>
      </c>
      <c r="N14" s="458">
        <f>'ANALYSE - ERP =&gt; CATEGORIE'!$FA$18*'ANALYSE - ERP =&gt; CATEGORIE'!$JA$18</f>
        <v>0</v>
      </c>
      <c r="O14" s="458">
        <f>'ANALYSE - ERP =&gt; CATEGORIE'!$FA$18*'ANALYSE - ERP =&gt; CATEGORIE'!$JB$18</f>
        <v>0</v>
      </c>
      <c r="P14" s="458">
        <f>'ANALYSE - ERP =&gt; CATEGORIE'!$FA$18*'ANALYSE - ERP =&gt; CATEGORIE'!$JC$18</f>
        <v>0</v>
      </c>
      <c r="Q14" s="458">
        <f>'ANALYSE - ERP =&gt; CATEGORIE'!$FA$18*'ANALYSE - ERP =&gt; CATEGORIE'!$JD$18</f>
        <v>0</v>
      </c>
      <c r="R14" s="458">
        <f>'ANALYSE - ERP =&gt; CATEGORIE'!$FA$18*'ANALYSE - ERP =&gt; CATEGORIE'!$JE$18</f>
        <v>0</v>
      </c>
      <c r="T14" s="430">
        <f>'ANALYSE - ERP =&gt; CATEGORIE'!$Q$18</f>
        <v>1</v>
      </c>
    </row>
  </sheetData>
  <pageMargins left="3.937007874015748E-2" right="3.937007874015748E-2" top="7.874015748031496E-2" bottom="7.874015748031496E-2" header="0.11811023622047249" footer="0.11811023622047249"/>
  <pageSetup paperSize="8" scale="70" fitToHeight="2" orientation="landscape"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5"/>
    <pageSetUpPr fitToPage="1"/>
  </sheetPr>
  <dimension ref="A1:BZ14"/>
  <sheetViews>
    <sheetView workbookViewId="0"/>
  </sheetViews>
  <sheetFormatPr baseColWidth="10" defaultColWidth="9.140625" defaultRowHeight="15"/>
  <cols>
    <col min="1" max="2" width="9" style="934" customWidth="1"/>
    <col min="3" max="3" width="6" style="934" customWidth="1"/>
    <col min="4" max="4" width="32.5703125" style="934" customWidth="1"/>
    <col min="5" max="5" width="28.85546875" style="43" customWidth="1"/>
    <col min="6" max="6" width="51" style="43" customWidth="1"/>
    <col min="7" max="7" width="1.7109375" style="933" customWidth="1"/>
    <col min="8" max="8" width="8.7109375" style="43" customWidth="1"/>
    <col min="9" max="12" width="8.7109375" style="934" customWidth="1"/>
    <col min="13" max="13" width="1.7109375" style="933" customWidth="1"/>
    <col min="14" max="18" width="8.710937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7977</v>
      </c>
      <c r="F1" s="479"/>
      <c r="H1" s="474"/>
      <c r="I1" s="474"/>
      <c r="J1" s="475" t="s">
        <v>7968</v>
      </c>
      <c r="K1" s="474"/>
      <c r="L1" s="474"/>
      <c r="N1" s="452"/>
      <c r="O1" s="452"/>
      <c r="P1" s="476" t="s">
        <v>7969</v>
      </c>
      <c r="Q1" s="452"/>
      <c r="R1" s="452"/>
      <c r="T1" s="452"/>
    </row>
    <row r="2" spans="1:20"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405" t="s">
        <v>2086</v>
      </c>
      <c r="E3" s="405" t="s">
        <v>6728</v>
      </c>
      <c r="F3" s="405" t="s">
        <v>6729</v>
      </c>
      <c r="H3" s="790">
        <f>'ANALYSE - ERP =&gt; CATEGORIE'!JF6</f>
        <v>0.1170054954836449</v>
      </c>
      <c r="I3" s="790">
        <f>'ANALYSE - ERP =&gt; CATEGORIE'!JG6</f>
        <v>0.5130523461259876</v>
      </c>
      <c r="J3" s="790">
        <f>'ANALYSE - ERP =&gt; CATEGORIE'!JH6</f>
        <v>0.29778804815814497</v>
      </c>
      <c r="K3" s="790">
        <f>'ANALYSE - ERP =&gt; CATEGORIE'!JI6</f>
        <v>4.3396753265816171E-2</v>
      </c>
      <c r="L3" s="790">
        <f>'ANALYSE - ERP =&gt; CATEGORIE'!JJ6</f>
        <v>3.3951424459846792E-3</v>
      </c>
      <c r="N3" s="790">
        <f>'ANALYSE - ERP =&gt; CATEGORIE'!JK6</f>
        <v>6.4594907226919004E-2</v>
      </c>
      <c r="O3" s="790">
        <f>'ANALYSE - ERP =&gt; CATEGORIE'!JL6</f>
        <v>0.45831558968893149</v>
      </c>
      <c r="P3" s="790">
        <f>'ANALYSE - ERP =&gt; CATEGORIE'!JM6</f>
        <v>0.371696439371341</v>
      </c>
      <c r="Q3" s="790">
        <f>'ANALYSE - ERP =&gt; CATEGORIE'!JN6</f>
        <v>7.6329996215464643E-2</v>
      </c>
      <c r="R3" s="790">
        <f>'ANALYSE - ERP =&gt; CATEGORIE'!JO6</f>
        <v>8.4193892455794884E-3</v>
      </c>
      <c r="T3" s="428">
        <f>SUM('ANALYSE - ERP =&gt; CATEGORIE'!$Q$8:$Q$110)</f>
        <v>9</v>
      </c>
    </row>
    <row r="4" spans="1:20" ht="15" customHeight="1">
      <c r="A4" s="26">
        <v>1</v>
      </c>
      <c r="B4" s="26">
        <v>2</v>
      </c>
      <c r="C4" s="422">
        <f>'ANALYSE - ERP =&gt; CATEGORIE'!$A$11</f>
        <v>4</v>
      </c>
      <c r="D4" s="492" t="s">
        <v>2187</v>
      </c>
      <c r="E4" s="492" t="s">
        <v>8008</v>
      </c>
      <c r="F4" s="492" t="s">
        <v>8009</v>
      </c>
      <c r="H4" s="787">
        <f>'ANALYSE - ERP =&gt; CATEGORIE'!$JF$11</f>
        <v>5.2576708619531398E-2</v>
      </c>
      <c r="I4" s="787">
        <f>'ANALYSE - ERP =&gt; CATEGORIE'!$JG$11</f>
        <v>0.46062026282235841</v>
      </c>
      <c r="J4" s="787">
        <f>'ANALYSE - ERP =&gt; CATEGORIE'!$JH$11</f>
        <v>0.38142048286924696</v>
      </c>
      <c r="K4" s="787">
        <f>'ANALYSE - ERP =&gt; CATEGORIE'!$JI$11</f>
        <v>8.923927391381839E-2</v>
      </c>
      <c r="L4" s="787">
        <f>'ANALYSE - ERP =&gt; CATEGORIE'!$JJ$11</f>
        <v>1.6143271775044904E-2</v>
      </c>
      <c r="N4" s="787">
        <f>'ANALYSE - ERP =&gt; CATEGORIE'!$JK$11</f>
        <v>1.3148365089009453E-2</v>
      </c>
      <c r="O4" s="787">
        <f>'ANALYSE - ERP =&gt; CATEGORIE'!$JL$11</f>
        <v>0.3988490335256939</v>
      </c>
      <c r="P4" s="787">
        <f>'ANALYSE - ERP =&gt; CATEGORIE'!$JM$11</f>
        <v>0.45001544137200117</v>
      </c>
      <c r="Q4" s="787">
        <f>'ANALYSE - ERP =&gt; CATEGORIE'!$JN$11</f>
        <v>0.1168624933666411</v>
      </c>
      <c r="R4" s="787">
        <f>'ANALYSE - ERP =&gt; CATEGORIE'!$JO$11</f>
        <v>2.1124666646654345E-2</v>
      </c>
      <c r="T4" s="430">
        <f>'ANALYSE - ERP =&gt; CATEGORIE'!$Q$11</f>
        <v>1</v>
      </c>
    </row>
    <row r="5" spans="1:20" ht="15" customHeight="1">
      <c r="A5" s="26">
        <v>2</v>
      </c>
      <c r="B5" s="26">
        <v>1</v>
      </c>
      <c r="C5" s="422">
        <f>'ANALYSE - ERP =&gt; CATEGORIE'!$A$8</f>
        <v>1</v>
      </c>
      <c r="D5" s="498" t="s">
        <v>6739</v>
      </c>
      <c r="E5" s="498" t="s">
        <v>8006</v>
      </c>
      <c r="F5" s="498" t="s">
        <v>8007</v>
      </c>
      <c r="H5" s="787">
        <f>'ANALYSE - ERP =&gt; CATEGORIE'!$JF$8</f>
        <v>0</v>
      </c>
      <c r="I5" s="787">
        <f>'ANALYSE - ERP =&gt; CATEGORIE'!$JG$8</f>
        <v>0</v>
      </c>
      <c r="J5" s="787">
        <f>'ANALYSE - ERP =&gt; CATEGORIE'!$JH$8</f>
        <v>0</v>
      </c>
      <c r="K5" s="787">
        <f>'ANALYSE - ERP =&gt; CATEGORIE'!$JI$8</f>
        <v>0</v>
      </c>
      <c r="L5" s="787">
        <f>'ANALYSE - ERP =&gt; CATEGORIE'!$JJ$8</f>
        <v>0</v>
      </c>
      <c r="N5" s="787">
        <f>'ANALYSE - ERP =&gt; CATEGORIE'!$JK$8</f>
        <v>0</v>
      </c>
      <c r="O5" s="787">
        <f>'ANALYSE - ERP =&gt; CATEGORIE'!$JL$8</f>
        <v>0</v>
      </c>
      <c r="P5" s="787">
        <f>'ANALYSE - ERP =&gt; CATEGORIE'!$JM$8</f>
        <v>0</v>
      </c>
      <c r="Q5" s="787">
        <f>'ANALYSE - ERP =&gt; CATEGORIE'!$JN$8</f>
        <v>0</v>
      </c>
      <c r="R5" s="787">
        <f>'ANALYSE - ERP =&gt; CATEGORIE'!$JO$8</f>
        <v>0</v>
      </c>
      <c r="T5" s="430">
        <f>'ANALYSE - ERP =&gt; CATEGORIE'!$Q$8</f>
        <v>0</v>
      </c>
    </row>
    <row r="6" spans="1:20" ht="15" customHeight="1">
      <c r="A6" s="26">
        <v>3</v>
      </c>
      <c r="B6" s="26">
        <v>5</v>
      </c>
      <c r="C6" s="422">
        <f>'ANALYSE - ERP =&gt; CATEGORIE'!$A$15</f>
        <v>8</v>
      </c>
      <c r="D6" s="496" t="s">
        <v>1670</v>
      </c>
      <c r="E6" s="496" t="s">
        <v>8010</v>
      </c>
      <c r="F6" s="496" t="s">
        <v>8011</v>
      </c>
      <c r="H6" s="787">
        <f>'ANALYSE - ERP =&gt; CATEGORIE'!$JF$15</f>
        <v>0</v>
      </c>
      <c r="I6" s="787">
        <f>'ANALYSE - ERP =&gt; CATEGORIE'!$JG$15</f>
        <v>0</v>
      </c>
      <c r="J6" s="787">
        <f>'ANALYSE - ERP =&gt; CATEGORIE'!$JH$15</f>
        <v>0</v>
      </c>
      <c r="K6" s="787">
        <f>'ANALYSE - ERP =&gt; CATEGORIE'!$JI$15</f>
        <v>0</v>
      </c>
      <c r="L6" s="787">
        <f>'ANALYSE - ERP =&gt; CATEGORIE'!$JJ$15</f>
        <v>0</v>
      </c>
      <c r="N6" s="787">
        <f>'ANALYSE - ERP =&gt; CATEGORIE'!$JK$15</f>
        <v>0</v>
      </c>
      <c r="O6" s="787">
        <f>'ANALYSE - ERP =&gt; CATEGORIE'!$JL$15</f>
        <v>0</v>
      </c>
      <c r="P6" s="787">
        <f>'ANALYSE - ERP =&gt; CATEGORIE'!$JM$15</f>
        <v>0</v>
      </c>
      <c r="Q6" s="787">
        <f>'ANALYSE - ERP =&gt; CATEGORIE'!$JN$15</f>
        <v>0</v>
      </c>
      <c r="R6" s="787">
        <f>'ANALYSE - ERP =&gt; CATEGORIE'!$JO$15</f>
        <v>0</v>
      </c>
      <c r="T6" s="430">
        <f>'ANALYSE - ERP =&gt; CATEGORIE'!$Q$15</f>
        <v>0</v>
      </c>
    </row>
    <row r="7" spans="1:20" ht="15" customHeight="1">
      <c r="A7" s="26">
        <v>4</v>
      </c>
      <c r="B7" s="26">
        <v>4</v>
      </c>
      <c r="C7" s="422">
        <f>'ANALYSE - ERP =&gt; CATEGORIE'!$A$12</f>
        <v>5</v>
      </c>
      <c r="D7" s="502" t="s">
        <v>2264</v>
      </c>
      <c r="E7" s="502" t="s">
        <v>8014</v>
      </c>
      <c r="F7" s="502" t="s">
        <v>8015</v>
      </c>
      <c r="H7" s="787">
        <f>'ANALYSE - ERP =&gt; CATEGORIE'!$JF$12</f>
        <v>7.0941114468414029E-2</v>
      </c>
      <c r="I7" s="787">
        <f>'ANALYSE - ERP =&gt; CATEGORIE'!$JG$12</f>
        <v>0.53386580001405382</v>
      </c>
      <c r="J7" s="787">
        <f>'ANALYSE - ERP =&gt; CATEGORIE'!$JH$12</f>
        <v>0.3582282903520484</v>
      </c>
      <c r="K7" s="787">
        <f>'ANALYSE - ERP =&gt; CATEGORIE'!$JI$12</f>
        <v>3.6641332302719418E-2</v>
      </c>
      <c r="L7" s="787">
        <f>'ANALYSE - ERP =&gt; CATEGORIE'!$JJ$12</f>
        <v>3.2346286276438755E-4</v>
      </c>
      <c r="N7" s="787">
        <f>'ANALYSE - ERP =&gt; CATEGORIE'!$JK$12</f>
        <v>4.3411546926598717E-2</v>
      </c>
      <c r="O7" s="787">
        <f>'ANALYSE - ERP =&gt; CATEGORIE'!$JL$12</f>
        <v>0.50653829293530261</v>
      </c>
      <c r="P7" s="787">
        <f>'ANALYSE - ERP =&gt; CATEGORIE'!$JM$12</f>
        <v>0.38783645026624847</v>
      </c>
      <c r="Q7" s="787">
        <f>'ANALYSE - ERP =&gt; CATEGORIE'!$JN$12</f>
        <v>5.7233582962494325E-2</v>
      </c>
      <c r="R7" s="787">
        <f>'ANALYSE - ERP =&gt; CATEGORIE'!$JO$12</f>
        <v>4.9801269093558281E-3</v>
      </c>
      <c r="T7" s="430">
        <f>'ANALYSE - ERP =&gt; CATEGORIE'!$Q$12</f>
        <v>1</v>
      </c>
    </row>
    <row r="8" spans="1:20" ht="15" customHeight="1">
      <c r="A8" s="26">
        <v>5</v>
      </c>
      <c r="B8" s="26">
        <v>6</v>
      </c>
      <c r="C8" s="422">
        <f>'ANALYSE - ERP =&gt; CATEGORIE'!$A$10</f>
        <v>3</v>
      </c>
      <c r="D8" s="500" t="s">
        <v>3662</v>
      </c>
      <c r="E8" s="500" t="s">
        <v>8018</v>
      </c>
      <c r="F8" s="500" t="s">
        <v>8019</v>
      </c>
      <c r="H8" s="787">
        <f>'ANALYSE - ERP =&gt; CATEGORIE'!$JF$10</f>
        <v>5.1515541955226278E-2</v>
      </c>
      <c r="I8" s="787">
        <f>'ANALYSE - ERP =&gt; CATEGORIE'!$JG$10</f>
        <v>0.44686311612175872</v>
      </c>
      <c r="J8" s="787">
        <f>'ANALYSE - ERP =&gt; CATEGORIE'!$JH$10</f>
        <v>0.41289419487840229</v>
      </c>
      <c r="K8" s="787">
        <f>'ANALYSE - ERP =&gt; CATEGORIE'!$JI$10</f>
        <v>8.4216177806410053E-2</v>
      </c>
      <c r="L8" s="787">
        <f>'ANALYSE - ERP =&gt; CATEGORIE'!$JJ$10</f>
        <v>3.3191509099693992E-3</v>
      </c>
      <c r="N8" s="787">
        <f>'ANALYSE - ERP =&gt; CATEGORIE'!$JK$10</f>
        <v>2.4241799346409371E-2</v>
      </c>
      <c r="O8" s="787">
        <f>'ANALYSE - ERP =&gt; CATEGORIE'!$JL$10</f>
        <v>0.38154770968488716</v>
      </c>
      <c r="P8" s="787">
        <f>'ANALYSE - ERP =&gt; CATEGORIE'!$JM$10</f>
        <v>0.44686304654080611</v>
      </c>
      <c r="Q8" s="787">
        <f>'ANALYSE - ERP =&gt; CATEGORIE'!$JN$10</f>
        <v>0.13371202242783653</v>
      </c>
      <c r="R8" s="787">
        <f>'ANALYSE - ERP =&gt; CATEGORIE'!$JO$10</f>
        <v>1.1080362647078144E-2</v>
      </c>
      <c r="T8" s="430">
        <f>'ANALYSE - ERP =&gt; CATEGORIE'!$Q$10</f>
        <v>1</v>
      </c>
    </row>
    <row r="9" spans="1:20" ht="15" customHeight="1">
      <c r="A9" s="26">
        <v>6</v>
      </c>
      <c r="B9" s="26">
        <v>3</v>
      </c>
      <c r="C9" s="422">
        <f>'ANALYSE - ERP =&gt; CATEGORIE'!$A$14</f>
        <v>7</v>
      </c>
      <c r="D9" s="504" t="s">
        <v>2278</v>
      </c>
      <c r="E9" s="504" t="s">
        <v>8016</v>
      </c>
      <c r="F9" s="504" t="s">
        <v>8017</v>
      </c>
      <c r="H9" s="787">
        <f>'ANALYSE - ERP =&gt; CATEGORIE'!$JF$14</f>
        <v>9.1749661373956501E-2</v>
      </c>
      <c r="I9" s="787">
        <f>'ANALYSE - ERP =&gt; CATEGORIE'!$JG$14</f>
        <v>0.5611714867920925</v>
      </c>
      <c r="J9" s="787">
        <f>'ANALYSE - ERP =&gt; CATEGORIE'!$JH$14</f>
        <v>0.31458555871805427</v>
      </c>
      <c r="K9" s="787">
        <f>'ANALYSE - ERP =&gt; CATEGORIE'!$JI$14</f>
        <v>2.531312615983149E-2</v>
      </c>
      <c r="L9" s="787">
        <f>'ANALYSE - ERP =&gt; CATEGORIE'!$JJ$14</f>
        <v>1.9792468479434807E-5</v>
      </c>
      <c r="N9" s="787">
        <f>'ANALYSE - ERP =&gt; CATEGORIE'!$JK$14</f>
        <v>6.8902715043841101E-2</v>
      </c>
      <c r="O9" s="787">
        <f>'ANALYSE - ERP =&gt; CATEGORIE'!$JL$14</f>
        <v>0.53241397711096194</v>
      </c>
      <c r="P9" s="787">
        <f>'ANALYSE - ERP =&gt; CATEGORIE'!$JM$14</f>
        <v>0.34189387101222757</v>
      </c>
      <c r="Q9" s="787">
        <f>'ANALYSE - ERP =&gt; CATEGORIE'!$JN$14</f>
        <v>4.4391254536141928E-2</v>
      </c>
      <c r="R9" s="787">
        <f>'ANALYSE - ERP =&gt; CATEGORIE'!$JO$14</f>
        <v>3.7152479780194966E-3</v>
      </c>
      <c r="T9" s="430">
        <f>'ANALYSE - ERP =&gt; CATEGORIE'!$Q$14</f>
        <v>1</v>
      </c>
    </row>
    <row r="10" spans="1:20" ht="15" customHeight="1">
      <c r="A10" s="26">
        <v>7</v>
      </c>
      <c r="B10" s="26">
        <v>7</v>
      </c>
      <c r="C10" s="422">
        <f>'ANALYSE - ERP =&gt; CATEGORIE'!$A$13</f>
        <v>6</v>
      </c>
      <c r="D10" s="506" t="s">
        <v>7117</v>
      </c>
      <c r="E10" s="506" t="s">
        <v>8020</v>
      </c>
      <c r="F10" s="506" t="s">
        <v>8021</v>
      </c>
      <c r="H10" s="787">
        <f>'ANALYSE - ERP =&gt; CATEGORIE'!$JF$13</f>
        <v>0</v>
      </c>
      <c r="I10" s="787">
        <f>'ANALYSE - ERP =&gt; CATEGORIE'!$JG$13</f>
        <v>0</v>
      </c>
      <c r="J10" s="787">
        <f>'ANALYSE - ERP =&gt; CATEGORIE'!$JH$13</f>
        <v>0</v>
      </c>
      <c r="K10" s="787">
        <f>'ANALYSE - ERP =&gt; CATEGORIE'!$JI$13</f>
        <v>0</v>
      </c>
      <c r="L10" s="787">
        <f>'ANALYSE - ERP =&gt; CATEGORIE'!$JJ$13</f>
        <v>0</v>
      </c>
      <c r="N10" s="787">
        <f>'ANALYSE - ERP =&gt; CATEGORIE'!$JK$13</f>
        <v>0</v>
      </c>
      <c r="O10" s="787">
        <f>'ANALYSE - ERP =&gt; CATEGORIE'!$JL$13</f>
        <v>0</v>
      </c>
      <c r="P10" s="787">
        <f>'ANALYSE - ERP =&gt; CATEGORIE'!$JM$13</f>
        <v>0</v>
      </c>
      <c r="Q10" s="787">
        <f>'ANALYSE - ERP =&gt; CATEGORIE'!$JN$13</f>
        <v>0</v>
      </c>
      <c r="R10" s="787">
        <f>'ANALYSE - ERP =&gt; CATEGORIE'!$JO$13</f>
        <v>0</v>
      </c>
      <c r="T10" s="430">
        <f>'ANALYSE - ERP =&gt; CATEGORIE'!$Q$13</f>
        <v>0</v>
      </c>
    </row>
    <row r="11" spans="1:20" s="45" customFormat="1" ht="15" customHeight="1">
      <c r="A11" s="26">
        <v>8</v>
      </c>
      <c r="B11" s="26">
        <v>8</v>
      </c>
      <c r="C11" s="422">
        <f>'ANALYSE - ERP =&gt; CATEGORIE'!$A$9</f>
        <v>2</v>
      </c>
      <c r="D11" s="494" t="s">
        <v>2241</v>
      </c>
      <c r="E11" s="494" t="s">
        <v>8012</v>
      </c>
      <c r="F11" s="494" t="s">
        <v>8013</v>
      </c>
      <c r="G11" s="685"/>
      <c r="H11" s="787">
        <f>'ANALYSE - ERP =&gt; CATEGORIE'!$JF$9</f>
        <v>1.3315982397275288E-2</v>
      </c>
      <c r="I11" s="787">
        <f>'ANALYSE - ERP =&gt; CATEGORIE'!$JG$9</f>
        <v>0.3282723971066786</v>
      </c>
      <c r="J11" s="787">
        <f>'ANALYSE - ERP =&gt; CATEGORIE'!$JH$9</f>
        <v>0.51641521522871736</v>
      </c>
      <c r="K11" s="787">
        <f>'ANALYSE - ERP =&gt; CATEGORIE'!$JI$9</f>
        <v>0.13848000809320676</v>
      </c>
      <c r="L11" s="787">
        <f>'ANALYSE - ERP =&gt; CATEGORIE'!$JJ$9</f>
        <v>3.5163971741219717E-3</v>
      </c>
      <c r="M11" s="685"/>
      <c r="N11" s="787">
        <f>'ANALYSE - ERP =&gt; CATEGORIE'!$JK$9</f>
        <v>3.9100261773076504E-5</v>
      </c>
      <c r="O11" s="787">
        <f>'ANALYSE - ERP =&gt; CATEGORIE'!$JL$9</f>
        <v>0.20817497835017038</v>
      </c>
      <c r="P11" s="787">
        <f>'ANALYSE - ERP =&gt; CATEGORIE'!$JM$9</f>
        <v>0.55322714332212308</v>
      </c>
      <c r="Q11" s="787">
        <f>'ANALYSE - ERP =&gt; CATEGORIE'!$JN$9</f>
        <v>0.22957394769092576</v>
      </c>
      <c r="R11" s="787">
        <f>'ANALYSE - ERP =&gt; CATEGORIE'!$JO$9</f>
        <v>8.9848303750076648E-3</v>
      </c>
      <c r="S11" s="685"/>
      <c r="T11" s="430">
        <f>'ANALYSE - ERP =&gt; CATEGORIE'!$Q$9</f>
        <v>1</v>
      </c>
    </row>
    <row r="12" spans="1:20" ht="15" customHeight="1">
      <c r="A12" s="26">
        <v>9</v>
      </c>
      <c r="B12" s="26">
        <v>9</v>
      </c>
      <c r="C12" s="422">
        <f>'ANALYSE - ERP =&gt; CATEGORIE'!$A$16</f>
        <v>9</v>
      </c>
      <c r="D12" s="508" t="s">
        <v>2285</v>
      </c>
      <c r="E12" s="508" t="s">
        <v>8022</v>
      </c>
      <c r="F12" s="508" t="s">
        <v>8023</v>
      </c>
      <c r="H12" s="787">
        <f>'ANALYSE - ERP =&gt; CATEGORIE'!$JF$16</f>
        <v>9.2897063080730244E-2</v>
      </c>
      <c r="I12" s="787">
        <f>'ANALYSE - ERP =&gt; CATEGORIE'!$JG$16</f>
        <v>0.52741694915254234</v>
      </c>
      <c r="J12" s="787">
        <f>'ANALYSE - ERP =&gt; CATEGORIE'!$JH$16</f>
        <v>0.30163960405285523</v>
      </c>
      <c r="K12" s="787">
        <f>'ANALYSE - ERP =&gt; CATEGORIE'!$JI$16</f>
        <v>6.7786664798991453E-2</v>
      </c>
      <c r="L12" s="787">
        <f>'ANALYSE - ERP =&gt; CATEGORIE'!$JJ$16</f>
        <v>1.0259718914880702E-2</v>
      </c>
      <c r="N12" s="787">
        <f>'ANALYSE - ERP =&gt; CATEGORIE'!$JK$16</f>
        <v>5.6495915328425676E-2</v>
      </c>
      <c r="O12" s="787">
        <f>'ANALYSE - ERP =&gt; CATEGORIE'!$JL$16</f>
        <v>0.49010418931905936</v>
      </c>
      <c r="P12" s="787">
        <f>'ANALYSE - ERP =&gt; CATEGORIE'!$JM$16</f>
        <v>0.32873096589235645</v>
      </c>
      <c r="Q12" s="787">
        <f>'ANALYSE - ERP =&gt; CATEGORIE'!$JN$16</f>
        <v>0.10317567070387065</v>
      </c>
      <c r="R12" s="787">
        <f>'ANALYSE - ERP =&gt; CATEGORIE'!$JO$16</f>
        <v>2.1493258756287815E-2</v>
      </c>
      <c r="T12" s="430">
        <f>'ANALYSE - ERP =&gt; CATEGORIE'!$Q$16</f>
        <v>1</v>
      </c>
    </row>
    <row r="13" spans="1:20" s="45" customFormat="1" ht="15" customHeight="1">
      <c r="A13" s="406">
        <v>10</v>
      </c>
      <c r="B13" s="406">
        <v>10</v>
      </c>
      <c r="C13" s="448">
        <f>'ANALYSE - ERP =&gt; CATEGORIE'!$A$17</f>
        <v>10</v>
      </c>
      <c r="D13" s="518" t="s">
        <v>4908</v>
      </c>
      <c r="E13" s="518" t="s">
        <v>8024</v>
      </c>
      <c r="F13" s="518" t="s">
        <v>8025</v>
      </c>
      <c r="G13" s="685"/>
      <c r="H13" s="788">
        <f>'ANALYSE - ERP =&gt; CATEGORIE'!$JF$17</f>
        <v>0.12847583214609509</v>
      </c>
      <c r="I13" s="788">
        <f>'ANALYSE - ERP =&gt; CATEGORIE'!$JG$17</f>
        <v>0.53811659111514065</v>
      </c>
      <c r="J13" s="788">
        <f>'ANALYSE - ERP =&gt; CATEGORIE'!$JH$17</f>
        <v>0.29422348141432453</v>
      </c>
      <c r="K13" s="788">
        <f>'ANALYSE - ERP =&gt; CATEGORIE'!$JI$17</f>
        <v>3.8716876052324829E-2</v>
      </c>
      <c r="L13" s="788">
        <f>'ANALYSE - ERP =&gt; CATEGORIE'!$JJ$17</f>
        <v>4.6721927211501103E-4</v>
      </c>
      <c r="M13" s="685"/>
      <c r="N13" s="788">
        <f>'ANALYSE - ERP =&gt; CATEGORIE'!$JK$17</f>
        <v>6.0049199498747548E-2</v>
      </c>
      <c r="O13" s="788">
        <f>'ANALYSE - ERP =&gt; CATEGORIE'!$JL$17</f>
        <v>0.46673569164703593</v>
      </c>
      <c r="P13" s="788">
        <f>'ANALYSE - ERP =&gt; CATEGORIE'!$JM$17</f>
        <v>0.40241373847741185</v>
      </c>
      <c r="Q13" s="788">
        <f>'ANALYSE - ERP =&gt; CATEGORIE'!$JN$17</f>
        <v>6.8952052802722291E-2</v>
      </c>
      <c r="R13" s="788">
        <f>'ANALYSE - ERP =&gt; CATEGORIE'!$JO$17</f>
        <v>1.8493175740825008E-3</v>
      </c>
      <c r="S13" s="685"/>
      <c r="T13" s="450">
        <f>'ANALYSE - ERP =&gt; CATEGORIE'!$Q$17</f>
        <v>1</v>
      </c>
    </row>
    <row r="14" spans="1:20" ht="15" customHeight="1">
      <c r="A14" s="26">
        <v>11</v>
      </c>
      <c r="B14" s="26">
        <v>11</v>
      </c>
      <c r="C14" s="422">
        <f>'ANALYSE - ERP =&gt; CATEGORIE'!$A$18</f>
        <v>11</v>
      </c>
      <c r="D14" s="502" t="s">
        <v>2163</v>
      </c>
      <c r="E14" s="502" t="s">
        <v>2163</v>
      </c>
      <c r="F14" s="502" t="s">
        <v>2164</v>
      </c>
      <c r="H14" s="787">
        <f>'ANALYSE - ERP =&gt; CATEGORIE'!$JF$18</f>
        <v>0</v>
      </c>
      <c r="I14" s="787">
        <f>'ANALYSE - ERP =&gt; CATEGORIE'!$JG$18</f>
        <v>0</v>
      </c>
      <c r="J14" s="787">
        <f>'ANALYSE - ERP =&gt; CATEGORIE'!$JH$18</f>
        <v>0</v>
      </c>
      <c r="K14" s="787">
        <f>'ANALYSE - ERP =&gt; CATEGORIE'!$JI$18</f>
        <v>0</v>
      </c>
      <c r="L14" s="787">
        <f>'ANALYSE - ERP =&gt; CATEGORIE'!$JJ$18</f>
        <v>0</v>
      </c>
      <c r="N14" s="787">
        <f>'ANALYSE - ERP =&gt; CATEGORIE'!$JK$18</f>
        <v>0</v>
      </c>
      <c r="O14" s="787">
        <f>'ANALYSE - ERP =&gt; CATEGORIE'!$JL$18</f>
        <v>0</v>
      </c>
      <c r="P14" s="787">
        <f>'ANALYSE - ERP =&gt; CATEGORIE'!$JM$18</f>
        <v>0</v>
      </c>
      <c r="Q14" s="787">
        <f>'ANALYSE - ERP =&gt; CATEGORIE'!$JN$18</f>
        <v>0</v>
      </c>
      <c r="R14" s="787">
        <f>'ANALYSE - ERP =&gt; CATEGORIE'!$JO$18</f>
        <v>0</v>
      </c>
      <c r="T14" s="430">
        <f>'ANALYSE - ERP =&gt; CATEGORIE'!$Q$18</f>
        <v>1</v>
      </c>
    </row>
  </sheetData>
  <pageMargins left="3.937007874015748E-2" right="3.937007874015748E-2" top="7.874015748031496E-2" bottom="7.874015748031496E-2" header="0.11811023622047249" footer="0.11811023622047249"/>
  <pageSetup paperSize="8" scale="87" fitToHeight="2"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5" tint="0.39997558519241921"/>
    <pageSetUpPr fitToPage="1"/>
  </sheetPr>
  <dimension ref="A1:BZ14"/>
  <sheetViews>
    <sheetView workbookViewId="0"/>
  </sheetViews>
  <sheetFormatPr baseColWidth="10" defaultColWidth="9.140625" defaultRowHeight="15"/>
  <cols>
    <col min="1" max="2" width="9" style="934" customWidth="1"/>
    <col min="3" max="3" width="6" style="934" customWidth="1"/>
    <col min="4" max="4" width="30.5703125" style="934" customWidth="1"/>
    <col min="5" max="5" width="27.7109375" style="43" customWidth="1"/>
    <col min="6" max="6" width="60.85546875" style="43" customWidth="1"/>
    <col min="7" max="7" width="1.7109375" style="933" customWidth="1"/>
    <col min="8" max="8" width="8.7109375" style="43" customWidth="1"/>
    <col min="9" max="12" width="8.7109375" style="934" customWidth="1"/>
    <col min="13" max="13" width="1.7109375" style="933" customWidth="1"/>
    <col min="14" max="18" width="8.710937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7978</v>
      </c>
      <c r="F1" s="479"/>
      <c r="H1" s="474"/>
      <c r="I1" s="474"/>
      <c r="J1" s="475" t="s">
        <v>7971</v>
      </c>
      <c r="K1" s="474"/>
      <c r="L1" s="474"/>
      <c r="N1" s="452"/>
      <c r="O1" s="452"/>
      <c r="P1" s="476" t="s">
        <v>7972</v>
      </c>
      <c r="Q1" s="452"/>
      <c r="R1" s="452"/>
      <c r="T1" s="452"/>
    </row>
    <row r="2" spans="1:20"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520" t="s">
        <v>6739</v>
      </c>
      <c r="E3" s="520" t="s">
        <v>8006</v>
      </c>
      <c r="F3" s="520" t="s">
        <v>8007</v>
      </c>
      <c r="H3" s="426">
        <f>SUMPRODUCT(($T$4:$T$106),('ANALYSE - ERP =&gt; CATEGORIE'!$BE$8:$BE$110),('ANALYSE - ERP =&gt; CATEGORIE'!$JF$8:$JF$110))</f>
        <v>24303.999250000001</v>
      </c>
      <c r="I3" s="426">
        <f>SUMPRODUCT(($T$4:$T$106),('ANALYSE - ERP =&gt; CATEGORIE'!$BE$8:$BE$110),('ANALYSE - ERP =&gt; CATEGORIE'!$JG$8:$JG$110))</f>
        <v>188881.26920000001</v>
      </c>
      <c r="J3" s="426">
        <f>SUMPRODUCT(($T$4:$T$106),('ANALYSE - ERP =&gt; CATEGORIE'!$BE$8:$BE$110),('ANALYSE - ERP =&gt; CATEGORIE'!$JH$8:$JH$110))</f>
        <v>136476.01665000001</v>
      </c>
      <c r="K3" s="426">
        <f>SUMPRODUCT(($T$4:$T$106),('ANALYSE - ERP =&gt; CATEGORIE'!$BE$8:$BE$110),('ANALYSE - ERP =&gt; CATEGORIE'!$JI$8:$JI$110))</f>
        <v>21715.048799999997</v>
      </c>
      <c r="L3" s="426">
        <f>SUMPRODUCT(($T$4:$T$106),('ANALYSE - ERP =&gt; CATEGORIE'!$BE$8:$BE$110),('ANALYSE - ERP =&gt; CATEGORIE'!$JJ$8:$JJ$110))</f>
        <v>2535.6661000000004</v>
      </c>
      <c r="N3" s="426">
        <f>SUMPRODUCT(($T$4:$T$106),('ANALYSE - ERP =&gt; CATEGORIE'!$FD$8:$FD$110),('ANALYSE - ERP =&gt; CATEGORIE'!$JK$8:$JK$110))</f>
        <v>5225.407638646544</v>
      </c>
      <c r="O3" s="426">
        <f>SUMPRODUCT(($T$4:$T$106),('ANALYSE - ERP =&gt; CATEGORIE'!$FD$8:$FD$110),('ANALYSE - ERP =&gt; CATEGORIE'!$JL$8:$JL$110))</f>
        <v>77884.925039282607</v>
      </c>
      <c r="P3" s="426">
        <f>SUMPRODUCT(($T$4:$T$106),('ANALYSE - ERP =&gt; CATEGORIE'!$FD$8:$FD$110),('ANALYSE - ERP =&gt; CATEGORIE'!$JM$8:$JM$110))</f>
        <v>70246.708660080461</v>
      </c>
      <c r="Q3" s="426">
        <f>SUMPRODUCT(($T$4:$T$106),('ANALYSE - ERP =&gt; CATEGORIE'!$FD$8:$FD$110),('ANALYSE - ERP =&gt; CATEGORIE'!$JN$8:$JN$110))</f>
        <v>14466.59308156519</v>
      </c>
      <c r="R3" s="426">
        <f>SUMPRODUCT(($T$4:$T$106),('ANALYSE - ERP =&gt; CATEGORIE'!$FD$8:$FD$110),('ANALYSE - ERP =&gt; CATEGORIE'!$JO$8:$JO$110))</f>
        <v>2141.3267486195246</v>
      </c>
      <c r="T3" s="428">
        <f>SUM('ANALYSE - ERP =&gt; CATEGORIE'!$Q$8:$Q$110)</f>
        <v>9</v>
      </c>
    </row>
    <row r="4" spans="1:20" ht="15" customHeight="1">
      <c r="A4" s="26">
        <v>1</v>
      </c>
      <c r="B4" s="26">
        <v>2</v>
      </c>
      <c r="C4" s="422">
        <f>'ANALYSE - ERP =&gt; CATEGORIE'!$A$11</f>
        <v>4</v>
      </c>
      <c r="D4" s="492" t="s">
        <v>2187</v>
      </c>
      <c r="E4" s="492" t="s">
        <v>8008</v>
      </c>
      <c r="F4" s="492" t="s">
        <v>8009</v>
      </c>
      <c r="H4" s="458">
        <f>'ANALYSE - ERP =&gt; CATEGORIE'!$BE$11*'ANALYSE - ERP =&gt; CATEGORIE'!$JF$11</f>
        <v>7669.785100000001</v>
      </c>
      <c r="I4" s="458">
        <f>'ANALYSE - ERP =&gt; CATEGORIE'!$BE$11*'ANALYSE - ERP =&gt; CATEGORIE'!$JG$11</f>
        <v>67194.362699999998</v>
      </c>
      <c r="J4" s="458">
        <f>'ANALYSE - ERP =&gt; CATEGORIE'!$BE$11*'ANALYSE - ERP =&gt; CATEGORIE'!$JH$11</f>
        <v>55640.857200000006</v>
      </c>
      <c r="K4" s="458">
        <f>'ANALYSE - ERP =&gt; CATEGORIE'!$BE$11*'ANALYSE - ERP =&gt; CATEGORIE'!$JI$11</f>
        <v>13018.046799999998</v>
      </c>
      <c r="L4" s="458">
        <f>'ANALYSE - ERP =&gt; CATEGORIE'!$BE$11*'ANALYSE - ERP =&gt; CATEGORIE'!$JJ$11</f>
        <v>2354.9482000000007</v>
      </c>
      <c r="N4" s="458">
        <f>'ANALYSE - ERP =&gt; CATEGORIE'!$FD$11*'ANALYSE - ERP =&gt; CATEGORIE'!$JK$11</f>
        <v>981.65810799029259</v>
      </c>
      <c r="O4" s="458">
        <f>'ANALYSE - ERP =&gt; CATEGORIE'!$FD$11*'ANALYSE - ERP =&gt; CATEGORIE'!$JL$11</f>
        <v>29778.104347883305</v>
      </c>
      <c r="P4" s="458">
        <f>'ANALYSE - ERP =&gt; CATEGORIE'!$FD$11*'ANALYSE - ERP =&gt; CATEGORIE'!$JM$11</f>
        <v>33598.192912434235</v>
      </c>
      <c r="Q4" s="458">
        <f>'ANALYSE - ERP =&gt; CATEGORIE'!$FD$11*'ANALYSE - ERP =&gt; CATEGORIE'!$JN$11</f>
        <v>8724.9641576515969</v>
      </c>
      <c r="R4" s="458">
        <f>'ANALYSE - ERP =&gt; CATEGORIE'!$FD$11*'ANALYSE - ERP =&gt; CATEGORIE'!$JO$11</f>
        <v>1577.1694923207067</v>
      </c>
      <c r="T4" s="430">
        <f>'ANALYSE - ERP =&gt; CATEGORIE'!$Q$11</f>
        <v>1</v>
      </c>
    </row>
    <row r="5" spans="1:20" ht="15" customHeight="1">
      <c r="A5" s="26">
        <v>2</v>
      </c>
      <c r="B5" s="26">
        <v>1</v>
      </c>
      <c r="C5" s="422">
        <f>'ANALYSE - ERP =&gt; CATEGORIE'!$A$8</f>
        <v>1</v>
      </c>
      <c r="D5" s="498" t="s">
        <v>6739</v>
      </c>
      <c r="E5" s="498" t="s">
        <v>8006</v>
      </c>
      <c r="F5" s="498" t="s">
        <v>8007</v>
      </c>
      <c r="H5" s="458">
        <f>'ANALYSE - ERP =&gt; CATEGORIE'!$BE$8*'ANALYSE - ERP =&gt; CATEGORIE'!$JF$8</f>
        <v>0</v>
      </c>
      <c r="I5" s="458">
        <f>'ANALYSE - ERP =&gt; CATEGORIE'!$BE$8*'ANALYSE - ERP =&gt; CATEGORIE'!$JG$8</f>
        <v>0</v>
      </c>
      <c r="J5" s="458">
        <f>'ANALYSE - ERP =&gt; CATEGORIE'!$BE$8*'ANALYSE - ERP =&gt; CATEGORIE'!$JH$8</f>
        <v>0</v>
      </c>
      <c r="K5" s="458">
        <f>'ANALYSE - ERP =&gt; CATEGORIE'!$BE$8*'ANALYSE - ERP =&gt; CATEGORIE'!$JI$8</f>
        <v>0</v>
      </c>
      <c r="L5" s="458">
        <f>'ANALYSE - ERP =&gt; CATEGORIE'!$BE$8*'ANALYSE - ERP =&gt; CATEGORIE'!$JJ$8</f>
        <v>0</v>
      </c>
      <c r="N5" s="458">
        <f>'ANALYSE - ERP =&gt; CATEGORIE'!$FD$8*'ANALYSE - ERP =&gt; CATEGORIE'!$JK$8</f>
        <v>0</v>
      </c>
      <c r="O5" s="458">
        <f>'ANALYSE - ERP =&gt; CATEGORIE'!$FD$8*'ANALYSE - ERP =&gt; CATEGORIE'!$JL$8</f>
        <v>0</v>
      </c>
      <c r="P5" s="458">
        <f>'ANALYSE - ERP =&gt; CATEGORIE'!$FD$8*'ANALYSE - ERP =&gt; CATEGORIE'!$JM$8</f>
        <v>0</v>
      </c>
      <c r="Q5" s="458">
        <f>'ANALYSE - ERP =&gt; CATEGORIE'!$FD$8*'ANALYSE - ERP =&gt; CATEGORIE'!$JN$8</f>
        <v>0</v>
      </c>
      <c r="R5" s="458">
        <f>'ANALYSE - ERP =&gt; CATEGORIE'!$FD$8*'ANALYSE - ERP =&gt; CATEGORIE'!$JO$8</f>
        <v>0</v>
      </c>
      <c r="T5" s="430">
        <f>'ANALYSE - ERP =&gt; CATEGORIE'!$Q$8</f>
        <v>0</v>
      </c>
    </row>
    <row r="6" spans="1:20" ht="15" customHeight="1">
      <c r="A6" s="26">
        <v>3</v>
      </c>
      <c r="B6" s="26">
        <v>5</v>
      </c>
      <c r="C6" s="422">
        <f>'ANALYSE - ERP =&gt; CATEGORIE'!$A$15</f>
        <v>8</v>
      </c>
      <c r="D6" s="496" t="s">
        <v>1670</v>
      </c>
      <c r="E6" s="496" t="s">
        <v>8010</v>
      </c>
      <c r="F6" s="496" t="s">
        <v>8011</v>
      </c>
      <c r="H6" s="458">
        <f>'ANALYSE - ERP =&gt; CATEGORIE'!$BE$15*'ANALYSE - ERP =&gt; CATEGORIE'!$JF$15</f>
        <v>0</v>
      </c>
      <c r="I6" s="458">
        <f>'ANALYSE - ERP =&gt; CATEGORIE'!$BE$15*'ANALYSE - ERP =&gt; CATEGORIE'!$JG$15</f>
        <v>0</v>
      </c>
      <c r="J6" s="458">
        <f>'ANALYSE - ERP =&gt; CATEGORIE'!$BE$15*'ANALYSE - ERP =&gt; CATEGORIE'!$JH$15</f>
        <v>0</v>
      </c>
      <c r="K6" s="458">
        <f>'ANALYSE - ERP =&gt; CATEGORIE'!$BE$15*'ANALYSE - ERP =&gt; CATEGORIE'!$JI$15</f>
        <v>0</v>
      </c>
      <c r="L6" s="458">
        <f>'ANALYSE - ERP =&gt; CATEGORIE'!$BE$15*'ANALYSE - ERP =&gt; CATEGORIE'!$JJ$15</f>
        <v>0</v>
      </c>
      <c r="N6" s="458">
        <f>'ANALYSE - ERP =&gt; CATEGORIE'!$FD$15*'ANALYSE - ERP =&gt; CATEGORIE'!$JK$15</f>
        <v>0</v>
      </c>
      <c r="O6" s="458">
        <f>'ANALYSE - ERP =&gt; CATEGORIE'!$FD$15*'ANALYSE - ERP =&gt; CATEGORIE'!$JL$15</f>
        <v>0</v>
      </c>
      <c r="P6" s="458">
        <f>'ANALYSE - ERP =&gt; CATEGORIE'!$FD$15*'ANALYSE - ERP =&gt; CATEGORIE'!$JM$15</f>
        <v>0</v>
      </c>
      <c r="Q6" s="458">
        <f>'ANALYSE - ERP =&gt; CATEGORIE'!$FD$15*'ANALYSE - ERP =&gt; CATEGORIE'!$JN$15</f>
        <v>0</v>
      </c>
      <c r="R6" s="458">
        <f>'ANALYSE - ERP =&gt; CATEGORIE'!$FD$15*'ANALYSE - ERP =&gt; CATEGORIE'!$JO$15</f>
        <v>0</v>
      </c>
      <c r="T6" s="430">
        <f>'ANALYSE - ERP =&gt; CATEGORIE'!$Q$15</f>
        <v>0</v>
      </c>
    </row>
    <row r="7" spans="1:20" ht="15" customHeight="1">
      <c r="A7" s="26">
        <v>4</v>
      </c>
      <c r="B7" s="26">
        <v>4</v>
      </c>
      <c r="C7" s="422">
        <f>'ANALYSE - ERP =&gt; CATEGORIE'!$A$12</f>
        <v>5</v>
      </c>
      <c r="D7" s="502" t="s">
        <v>2264</v>
      </c>
      <c r="E7" s="502" t="s">
        <v>8014</v>
      </c>
      <c r="F7" s="502" t="s">
        <v>8015</v>
      </c>
      <c r="H7" s="458">
        <f>'ANALYSE - ERP =&gt; CATEGORIE'!$BE$12*'ANALYSE - ERP =&gt; CATEGORIE'!$JF$12</f>
        <v>15143.445000000002</v>
      </c>
      <c r="I7" s="458">
        <f>'ANALYSE - ERP =&gt; CATEGORIE'!$BE$12*'ANALYSE - ERP =&gt; CATEGORIE'!$JG$12</f>
        <v>113961.663</v>
      </c>
      <c r="J7" s="458">
        <f>'ANALYSE - ERP =&gt; CATEGORIE'!$BE$12*'ANALYSE - ERP =&gt; CATEGORIE'!$JH$12</f>
        <v>76469.202000000005</v>
      </c>
      <c r="K7" s="458">
        <f>'ANALYSE - ERP =&gt; CATEGORIE'!$BE$12*'ANALYSE - ERP =&gt; CATEGORIE'!$JI$12</f>
        <v>7821.6420000000007</v>
      </c>
      <c r="L7" s="458">
        <f>'ANALYSE - ERP =&gt; CATEGORIE'!$BE$12*'ANALYSE - ERP =&gt; CATEGORIE'!$JJ$12</f>
        <v>69.047999999999988</v>
      </c>
      <c r="N7" s="458">
        <f>'ANALYSE - ERP =&gt; CATEGORIE'!$FD$12*'ANALYSE - ERP =&gt; CATEGORIE'!$JK$12</f>
        <v>3806.1360754265338</v>
      </c>
      <c r="O7" s="458">
        <f>'ANALYSE - ERP =&gt; CATEGORIE'!$FD$12*'ANALYSE - ERP =&gt; CATEGORIE'!$JL$12</f>
        <v>44411.079696972301</v>
      </c>
      <c r="P7" s="458">
        <f>'ANALYSE - ERP =&gt; CATEGORIE'!$FD$12*'ANALYSE - ERP =&gt; CATEGORIE'!$JM$12</f>
        <v>34003.817169189133</v>
      </c>
      <c r="Q7" s="458">
        <f>'ANALYSE - ERP =&gt; CATEGORIE'!$FD$12*'ANALYSE - ERP =&gt; CATEGORIE'!$JN$12</f>
        <v>5017.992222387149</v>
      </c>
      <c r="R7" s="458">
        <f>'ANALYSE - ERP =&gt; CATEGORIE'!$FD$12*'ANALYSE - ERP =&gt; CATEGORIE'!$JO$12</f>
        <v>436.63591905516063</v>
      </c>
      <c r="T7" s="430">
        <f>'ANALYSE - ERP =&gt; CATEGORIE'!$Q$12</f>
        <v>1</v>
      </c>
    </row>
    <row r="8" spans="1:20" ht="15" customHeight="1">
      <c r="A8" s="26">
        <v>5</v>
      </c>
      <c r="B8" s="26">
        <v>6</v>
      </c>
      <c r="C8" s="422">
        <f>'ANALYSE - ERP =&gt; CATEGORIE'!$A$10</f>
        <v>3</v>
      </c>
      <c r="D8" s="500" t="s">
        <v>3662</v>
      </c>
      <c r="E8" s="500" t="s">
        <v>8018</v>
      </c>
      <c r="F8" s="500" t="s">
        <v>8019</v>
      </c>
      <c r="H8" s="458">
        <f>'ANALYSE - ERP =&gt; CATEGORIE'!$BE$10*'ANALYSE - ERP =&gt; CATEGORIE'!$JF$10</f>
        <v>3998.2499999999995</v>
      </c>
      <c r="I8" s="458">
        <f>'ANALYSE - ERP =&gt; CATEGORIE'!$BE$10*'ANALYSE - ERP =&gt; CATEGORIE'!$JG$10</f>
        <v>34682.1636</v>
      </c>
      <c r="J8" s="458">
        <f>'ANALYSE - ERP =&gt; CATEGORIE'!$BE$10*'ANALYSE - ERP =&gt; CATEGORIE'!$JH$10</f>
        <v>32045.750699999997</v>
      </c>
      <c r="K8" s="458">
        <f>'ANALYSE - ERP =&gt; CATEGORIE'!$BE$10*'ANALYSE - ERP =&gt; CATEGORIE'!$JI$10</f>
        <v>6536.2281000000003</v>
      </c>
      <c r="L8" s="458">
        <f>'ANALYSE - ERP =&gt; CATEGORIE'!$BE$10*'ANALYSE - ERP =&gt; CATEGORIE'!$JJ$10</f>
        <v>257.60759999999999</v>
      </c>
      <c r="N8" s="458">
        <f>'ANALYSE - ERP =&gt; CATEGORIE'!$FD$10*'ANALYSE - ERP =&gt; CATEGORIE'!$JK$10</f>
        <v>802.48210303904955</v>
      </c>
      <c r="O8" s="458">
        <f>'ANALYSE - ERP =&gt; CATEGORIE'!$FD$10*'ANALYSE - ERP =&gt; CATEGORIE'!$JL$10</f>
        <v>12630.465424713298</v>
      </c>
      <c r="P8" s="458">
        <f>'ANALYSE - ERP =&gt; CATEGORIE'!$FD$10*'ANALYSE - ERP =&gt; CATEGORIE'!$JM$10</f>
        <v>14792.614699684724</v>
      </c>
      <c r="Q8" s="458">
        <f>'ANALYSE - ERP =&gt; CATEGORIE'!$FD$10*'ANALYSE - ERP =&gt; CATEGORIE'!$JN$10</f>
        <v>4426.3011761702428</v>
      </c>
      <c r="R8" s="458">
        <f>'ANALYSE - ERP =&gt; CATEGORIE'!$FD$10*'ANALYSE - ERP =&gt; CATEGORIE'!$JO$10</f>
        <v>366.79590456141727</v>
      </c>
      <c r="T8" s="430">
        <f>'ANALYSE - ERP =&gt; CATEGORIE'!$Q$10</f>
        <v>1</v>
      </c>
    </row>
    <row r="9" spans="1:20" ht="15" customHeight="1">
      <c r="A9" s="26">
        <v>6</v>
      </c>
      <c r="B9" s="26">
        <v>3</v>
      </c>
      <c r="C9" s="422">
        <f>'ANALYSE - ERP =&gt; CATEGORIE'!$A$14</f>
        <v>7</v>
      </c>
      <c r="D9" s="504" t="s">
        <v>2278</v>
      </c>
      <c r="E9" s="504" t="s">
        <v>8016</v>
      </c>
      <c r="F9" s="504" t="s">
        <v>8017</v>
      </c>
      <c r="H9" s="458">
        <f>'ANALYSE - ERP =&gt; CATEGORIE'!$BE$14*'ANALYSE - ERP =&gt; CATEGORIE'!$JF$14</f>
        <v>3075.2467999999994</v>
      </c>
      <c r="I9" s="458">
        <f>'ANALYSE - ERP =&gt; CATEGORIE'!$BE$14*'ANALYSE - ERP =&gt; CATEGORIE'!$JG$14</f>
        <v>18809.233659999998</v>
      </c>
      <c r="J9" s="458">
        <f>'ANALYSE - ERP =&gt; CATEGORIE'!$BE$14*'ANALYSE - ERP =&gt; CATEGORIE'!$JH$14</f>
        <v>10544.215840000001</v>
      </c>
      <c r="K9" s="458">
        <f>'ANALYSE - ERP =&gt; CATEGORIE'!$BE$14*'ANALYSE - ERP =&gt; CATEGORIE'!$JI$14</f>
        <v>848.44029999999998</v>
      </c>
      <c r="L9" s="458">
        <f>'ANALYSE - ERP =&gt; CATEGORIE'!$BE$14*'ANALYSE - ERP =&gt; CATEGORIE'!$JJ$14</f>
        <v>0.66339999999999999</v>
      </c>
      <c r="N9" s="458">
        <f>'ANALYSE - ERP =&gt; CATEGORIE'!$FD$14*'ANALYSE - ERP =&gt; CATEGORIE'!$JK$14</f>
        <v>960.26368404088862</v>
      </c>
      <c r="O9" s="458">
        <f>'ANALYSE - ERP =&gt; CATEGORIE'!$FD$14*'ANALYSE - ERP =&gt; CATEGORIE'!$JL$14</f>
        <v>7419.9950868428459</v>
      </c>
      <c r="P9" s="458">
        <f>'ANALYSE - ERP =&gt; CATEGORIE'!$FD$14*'ANALYSE - ERP =&gt; CATEGORIE'!$JM$14</f>
        <v>4764.8088746620151</v>
      </c>
      <c r="Q9" s="458">
        <f>'ANALYSE - ERP =&gt; CATEGORIE'!$FD$14*'ANALYSE - ERP =&gt; CATEGORIE'!$JN$14</f>
        <v>618.65936041779696</v>
      </c>
      <c r="R9" s="458">
        <f>'ANALYSE - ERP =&gt; CATEGORIE'!$FD$14*'ANALYSE - ERP =&gt; CATEGORIE'!$JO$14</f>
        <v>51.777607141147875</v>
      </c>
      <c r="T9" s="430">
        <f>'ANALYSE - ERP =&gt; CATEGORIE'!$Q$14</f>
        <v>1</v>
      </c>
    </row>
    <row r="10" spans="1:20" ht="15" customHeight="1">
      <c r="A10" s="26">
        <v>7</v>
      </c>
      <c r="B10" s="26">
        <v>7</v>
      </c>
      <c r="C10" s="422">
        <f>'ANALYSE - ERP =&gt; CATEGORIE'!$A$13</f>
        <v>6</v>
      </c>
      <c r="D10" s="506" t="s">
        <v>7117</v>
      </c>
      <c r="E10" s="506" t="s">
        <v>8020</v>
      </c>
      <c r="F10" s="506" t="s">
        <v>8021</v>
      </c>
      <c r="H10" s="458">
        <f>'ANALYSE - ERP =&gt; CATEGORIE'!$BE$13*'ANALYSE - ERP =&gt; CATEGORIE'!$JF$13</f>
        <v>0</v>
      </c>
      <c r="I10" s="458">
        <f>'ANALYSE - ERP =&gt; CATEGORIE'!$BE$13*'ANALYSE - ERP =&gt; CATEGORIE'!$JG$13</f>
        <v>0</v>
      </c>
      <c r="J10" s="458">
        <f>'ANALYSE - ERP =&gt; CATEGORIE'!$BE$13*'ANALYSE - ERP =&gt; CATEGORIE'!$JH$13</f>
        <v>0</v>
      </c>
      <c r="K10" s="458">
        <f>'ANALYSE - ERP =&gt; CATEGORIE'!$BE$13*'ANALYSE - ERP =&gt; CATEGORIE'!$JI$13</f>
        <v>0</v>
      </c>
      <c r="L10" s="458">
        <f>'ANALYSE - ERP =&gt; CATEGORIE'!$BE$13*'ANALYSE - ERP =&gt; CATEGORIE'!$JJ$13</f>
        <v>0</v>
      </c>
      <c r="N10" s="458">
        <f>'ANALYSE - ERP =&gt; CATEGORIE'!$FD$13*'ANALYSE - ERP =&gt; CATEGORIE'!$JK$13</f>
        <v>0</v>
      </c>
      <c r="O10" s="458">
        <f>'ANALYSE - ERP =&gt; CATEGORIE'!$FD$13*'ANALYSE - ERP =&gt; CATEGORIE'!$JL$13</f>
        <v>0</v>
      </c>
      <c r="P10" s="458">
        <f>'ANALYSE - ERP =&gt; CATEGORIE'!$FD$13*'ANALYSE - ERP =&gt; CATEGORIE'!$JM$13</f>
        <v>0</v>
      </c>
      <c r="Q10" s="458">
        <f>'ANALYSE - ERP =&gt; CATEGORIE'!$FD$13*'ANALYSE - ERP =&gt; CATEGORIE'!$JN$13</f>
        <v>0</v>
      </c>
      <c r="R10" s="458">
        <f>'ANALYSE - ERP =&gt; CATEGORIE'!$FD$13*'ANALYSE - ERP =&gt; CATEGORIE'!$JO$13</f>
        <v>0</v>
      </c>
      <c r="T10" s="430">
        <f>'ANALYSE - ERP =&gt; CATEGORIE'!$Q$13</f>
        <v>0</v>
      </c>
    </row>
    <row r="11" spans="1:20" s="45" customFormat="1" ht="15" customHeight="1">
      <c r="A11" s="26">
        <v>8</v>
      </c>
      <c r="B11" s="26">
        <v>8</v>
      </c>
      <c r="C11" s="422">
        <f>'ANALYSE - ERP =&gt; CATEGORIE'!$A$9</f>
        <v>2</v>
      </c>
      <c r="D11" s="494" t="s">
        <v>2241</v>
      </c>
      <c r="E11" s="494" t="s">
        <v>8012</v>
      </c>
      <c r="F11" s="494" t="s">
        <v>8013</v>
      </c>
      <c r="G11" s="685"/>
      <c r="H11" s="458">
        <f>'ANALYSE - ERP =&gt; CATEGORIE'!$BE$9*'ANALYSE - ERP =&gt; CATEGORIE'!$JF$9</f>
        <v>394.87880000000001</v>
      </c>
      <c r="I11" s="458">
        <f>'ANALYSE - ERP =&gt; CATEGORIE'!$BE$9*'ANALYSE - ERP =&gt; CATEGORIE'!$JG$9</f>
        <v>9734.7538000000004</v>
      </c>
      <c r="J11" s="458">
        <f>'ANALYSE - ERP =&gt; CATEGORIE'!$BE$9*'ANALYSE - ERP =&gt; CATEGORIE'!$JH$9</f>
        <v>15314.035</v>
      </c>
      <c r="K11" s="458">
        <f>'ANALYSE - ERP =&gt; CATEGORIE'!$BE$9*'ANALYSE - ERP =&gt; CATEGORIE'!$JI$9</f>
        <v>4106.5554000000002</v>
      </c>
      <c r="L11" s="458">
        <f>'ANALYSE - ERP =&gt; CATEGORIE'!$BE$9*'ANALYSE - ERP =&gt; CATEGORIE'!$JJ$9</f>
        <v>104.27700000000002</v>
      </c>
      <c r="M11" s="685"/>
      <c r="N11" s="458">
        <f>'ANALYSE - ERP =&gt; CATEGORIE'!$FD$9*'ANALYSE - ERP =&gt; CATEGORIE'!$JK$9</f>
        <v>0.60831620286610499</v>
      </c>
      <c r="O11" s="458">
        <f>'ANALYSE - ERP =&gt; CATEGORIE'!$FD$9*'ANALYSE - ERP =&gt; CATEGORIE'!$JL$9</f>
        <v>3238.7561264080309</v>
      </c>
      <c r="P11" s="458">
        <f>'ANALYSE - ERP =&gt; CATEGORIE'!$FD$9*'ANALYSE - ERP =&gt; CATEGORIE'!$JM$9</f>
        <v>8607.0276741703983</v>
      </c>
      <c r="Q11" s="458">
        <f>'ANALYSE - ERP =&gt; CATEGORIE'!$FD$9*'ANALYSE - ERP =&gt; CATEGORIE'!$JN$9</f>
        <v>3571.6781884178549</v>
      </c>
      <c r="R11" s="458">
        <f>'ANALYSE - ERP =&gt; CATEGORIE'!$FD$9*'ANALYSE - ERP =&gt; CATEGORIE'!$JO$9</f>
        <v>139.78468811388362</v>
      </c>
      <c r="S11" s="685"/>
      <c r="T11" s="430">
        <f>'ANALYSE - ERP =&gt; CATEGORIE'!$Q$9</f>
        <v>1</v>
      </c>
    </row>
    <row r="12" spans="1:20" ht="15" customHeight="1">
      <c r="A12" s="26">
        <v>9</v>
      </c>
      <c r="B12" s="26">
        <v>9</v>
      </c>
      <c r="C12" s="422">
        <f>'ANALYSE - ERP =&gt; CATEGORIE'!$A$16</f>
        <v>9</v>
      </c>
      <c r="D12" s="508" t="s">
        <v>2285</v>
      </c>
      <c r="E12" s="508" t="s">
        <v>8022</v>
      </c>
      <c r="F12" s="508" t="s">
        <v>8023</v>
      </c>
      <c r="H12" s="458">
        <f>'ANALYSE - ERP =&gt; CATEGORIE'!$BE$16*'ANALYSE - ERP =&gt; CATEGORIE'!$JF$16</f>
        <v>994.78819999999985</v>
      </c>
      <c r="I12" s="458">
        <f>'ANALYSE - ERP =&gt; CATEGORIE'!$BE$16*'ANALYSE - ERP =&gt; CATEGORIE'!$JG$16</f>
        <v>5647.8444</v>
      </c>
      <c r="J12" s="458">
        <f>'ANALYSE - ERP =&gt; CATEGORIE'!$BE$16*'ANALYSE - ERP =&gt; CATEGORIE'!$JH$16</f>
        <v>3230.1077</v>
      </c>
      <c r="K12" s="458">
        <f>'ANALYSE - ERP =&gt; CATEGORIE'!$BE$16*'ANALYSE - ERP =&gt; CATEGORIE'!$JI$16</f>
        <v>725.89350000000002</v>
      </c>
      <c r="L12" s="458">
        <f>'ANALYSE - ERP =&gt; CATEGORIE'!$BE$16*'ANALYSE - ERP =&gt; CATEGORIE'!$JJ$16</f>
        <v>109.86619999999999</v>
      </c>
      <c r="N12" s="458">
        <f>'ANALYSE - ERP =&gt; CATEGORIE'!$FD$16*'ANALYSE - ERP =&gt; CATEGORIE'!$JK$16</f>
        <v>326.17401544955499</v>
      </c>
      <c r="O12" s="458">
        <f>'ANALYSE - ERP =&gt; CATEGORIE'!$FD$16*'ANALYSE - ERP =&gt; CATEGORIE'!$JL$16</f>
        <v>2829.5718458501369</v>
      </c>
      <c r="P12" s="458">
        <f>'ANALYSE - ERP =&gt; CATEGORIE'!$FD$16*'ANALYSE - ERP =&gt; CATEGORIE'!$JM$16</f>
        <v>1897.8982555535579</v>
      </c>
      <c r="Q12" s="458">
        <f>'ANALYSE - ERP =&gt; CATEGORIE'!$FD$16*'ANALYSE - ERP =&gt; CATEGORIE'!$JN$16</f>
        <v>595.67532651780982</v>
      </c>
      <c r="R12" s="458">
        <f>'ANALYSE - ERP =&gt; CATEGORIE'!$FD$16*'ANALYSE - ERP =&gt; CATEGORIE'!$JO$16</f>
        <v>124.08936952132856</v>
      </c>
      <c r="T12" s="430">
        <f>'ANALYSE - ERP =&gt; CATEGORIE'!$Q$16</f>
        <v>1</v>
      </c>
    </row>
    <row r="13" spans="1:20" s="45" customFormat="1" ht="15" customHeight="1">
      <c r="A13" s="406">
        <v>10</v>
      </c>
      <c r="B13" s="406">
        <v>10</v>
      </c>
      <c r="C13" s="448">
        <f>'ANALYSE - ERP =&gt; CATEGORIE'!$A$17</f>
        <v>10</v>
      </c>
      <c r="D13" s="518" t="s">
        <v>4908</v>
      </c>
      <c r="E13" s="518" t="s">
        <v>8024</v>
      </c>
      <c r="F13" s="518" t="s">
        <v>8025</v>
      </c>
      <c r="G13" s="685"/>
      <c r="H13" s="459">
        <f>'ANALYSE - ERP =&gt; CATEGORIE'!$BE$17*'ANALYSE - ERP =&gt; CATEGORIE'!$JF$17</f>
        <v>495.98095000000012</v>
      </c>
      <c r="I13" s="459">
        <f>'ANALYSE - ERP =&gt; CATEGORIE'!$BE$17*'ANALYSE - ERP =&gt; CATEGORIE'!$JG$17</f>
        <v>2077.3991000000005</v>
      </c>
      <c r="J13" s="459">
        <f>'ANALYSE - ERP =&gt; CATEGORIE'!$BE$17*'ANALYSE - ERP =&gt; CATEGORIE'!$JH$17</f>
        <v>1135.8497499999999</v>
      </c>
      <c r="K13" s="459">
        <f>'ANALYSE - ERP =&gt; CATEGORIE'!$BE$17*'ANALYSE - ERP =&gt; CATEGORIE'!$JI$17</f>
        <v>149.4665</v>
      </c>
      <c r="L13" s="459">
        <f>'ANALYSE - ERP =&gt; CATEGORIE'!$BE$17*'ANALYSE - ERP =&gt; CATEGORIE'!$JJ$17</f>
        <v>1.8037000000000001</v>
      </c>
      <c r="M13" s="685"/>
      <c r="N13" s="459">
        <f>'ANALYSE - ERP =&gt; CATEGORIE'!$FD$17*'ANALYSE - ERP =&gt; CATEGORIE'!$JK$17</f>
        <v>111.4394397801622</v>
      </c>
      <c r="O13" s="459">
        <f>'ANALYSE - ERP =&gt; CATEGORIE'!$FD$17*'ANALYSE - ERP =&gt; CATEGORIE'!$JL$17</f>
        <v>866.16914857686083</v>
      </c>
      <c r="P13" s="459">
        <f>'ANALYSE - ERP =&gt; CATEGORIE'!$FD$17*'ANALYSE - ERP =&gt; CATEGORIE'!$JM$17</f>
        <v>746.8003229035354</v>
      </c>
      <c r="Q13" s="459">
        <f>'ANALYSE - ERP =&gt; CATEGORIE'!$FD$17*'ANALYSE - ERP =&gt; CATEGORIE'!$JN$17</f>
        <v>127.96137500863439</v>
      </c>
      <c r="R13" s="459">
        <f>'ANALYSE - ERP =&gt; CATEGORIE'!$FD$17*'ANALYSE - ERP =&gt; CATEGORIE'!$JO$17</f>
        <v>3.4319677223284364</v>
      </c>
      <c r="S13" s="685"/>
      <c r="T13" s="450">
        <f>'ANALYSE - ERP =&gt; CATEGORIE'!$Q$17</f>
        <v>1</v>
      </c>
    </row>
    <row r="14" spans="1:20" ht="15" customHeight="1">
      <c r="A14" s="26">
        <v>11</v>
      </c>
      <c r="B14" s="26">
        <v>11</v>
      </c>
      <c r="C14" s="422">
        <f>'ANALYSE - ERP =&gt; CATEGORIE'!$A$18</f>
        <v>11</v>
      </c>
      <c r="D14" s="502" t="s">
        <v>2163</v>
      </c>
      <c r="E14" s="502" t="s">
        <v>2163</v>
      </c>
      <c r="F14" s="502" t="s">
        <v>2164</v>
      </c>
      <c r="H14" s="458">
        <f>'ANALYSE - ERP =&gt; CATEGORIE'!$BE$18*'ANALYSE - ERP =&gt; CATEGORIE'!$JF$18</f>
        <v>0</v>
      </c>
      <c r="I14" s="458">
        <f>'ANALYSE - ERP =&gt; CATEGORIE'!$BE$18*'ANALYSE - ERP =&gt; CATEGORIE'!$JG$18</f>
        <v>0</v>
      </c>
      <c r="J14" s="458">
        <f>'ANALYSE - ERP =&gt; CATEGORIE'!$BE$18*'ANALYSE - ERP =&gt; CATEGORIE'!$JH$18</f>
        <v>0</v>
      </c>
      <c r="K14" s="458">
        <f>'ANALYSE - ERP =&gt; CATEGORIE'!$BE$18*'ANALYSE - ERP =&gt; CATEGORIE'!$JI$18</f>
        <v>0</v>
      </c>
      <c r="L14" s="458">
        <f>'ANALYSE - ERP =&gt; CATEGORIE'!$BE$18*'ANALYSE - ERP =&gt; CATEGORIE'!$JJ$18</f>
        <v>0</v>
      </c>
      <c r="N14" s="458">
        <f>'ANALYSE - ERP =&gt; CATEGORIE'!$FD$18*'ANALYSE - ERP =&gt; CATEGORIE'!$JK$18</f>
        <v>0</v>
      </c>
      <c r="O14" s="458">
        <f>'ANALYSE - ERP =&gt; CATEGORIE'!$FD$18*'ANALYSE - ERP =&gt; CATEGORIE'!$JL$18</f>
        <v>0</v>
      </c>
      <c r="P14" s="458">
        <f>'ANALYSE - ERP =&gt; CATEGORIE'!$FD$18*'ANALYSE - ERP =&gt; CATEGORIE'!$JM$18</f>
        <v>0</v>
      </c>
      <c r="Q14" s="458">
        <f>'ANALYSE - ERP =&gt; CATEGORIE'!$FD$18*'ANALYSE - ERP =&gt; CATEGORIE'!$JN$18</f>
        <v>0</v>
      </c>
      <c r="R14" s="458">
        <f>'ANALYSE - ERP =&gt; CATEGORIE'!$FD$18*'ANALYSE - ERP =&gt; CATEGORIE'!$JO$18</f>
        <v>0</v>
      </c>
      <c r="T14" s="430">
        <f>'ANALYSE - ERP =&gt; CATEGORIE'!$Q$18</f>
        <v>1</v>
      </c>
    </row>
  </sheetData>
  <pageMargins left="3.937007874015748E-2" right="3.937007874015748E-2" top="7.874015748031496E-2" bottom="7.874015748031496E-2" header="0.11811023622047249" footer="0.11811023622047249"/>
  <pageSetup paperSize="8" scale="84" fitToHeight="2"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5"/>
    <pageSetUpPr fitToPage="1"/>
  </sheetPr>
  <dimension ref="A1:BZ14"/>
  <sheetViews>
    <sheetView workbookViewId="0"/>
  </sheetViews>
  <sheetFormatPr baseColWidth="10" defaultColWidth="9.140625" defaultRowHeight="15"/>
  <cols>
    <col min="1" max="2" width="9" style="934" customWidth="1"/>
    <col min="3" max="3" width="6" style="934" customWidth="1"/>
    <col min="4" max="4" width="32.28515625" style="934" customWidth="1"/>
    <col min="5" max="5" width="28.5703125" style="43" customWidth="1"/>
    <col min="6" max="6" width="51.140625" style="43" customWidth="1"/>
    <col min="7" max="7" width="1.7109375" style="933" customWidth="1"/>
    <col min="8" max="8" width="8.7109375" style="43" customWidth="1"/>
    <col min="9" max="12" width="8.7109375" style="934" customWidth="1"/>
    <col min="13" max="13" width="1.7109375" style="933" customWidth="1"/>
    <col min="14" max="18" width="8.710937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7979</v>
      </c>
      <c r="F1" s="479"/>
      <c r="H1" s="474"/>
      <c r="I1" s="474"/>
      <c r="J1" s="475" t="s">
        <v>7968</v>
      </c>
      <c r="K1" s="474"/>
      <c r="L1" s="474"/>
      <c r="N1" s="452"/>
      <c r="O1" s="452"/>
      <c r="P1" s="476" t="s">
        <v>7969</v>
      </c>
      <c r="Q1" s="452"/>
      <c r="R1" s="452"/>
      <c r="T1" s="452"/>
    </row>
    <row r="2" spans="1:20"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405" t="s">
        <v>2086</v>
      </c>
      <c r="E3" s="405" t="s">
        <v>6728</v>
      </c>
      <c r="F3" s="405" t="s">
        <v>6729</v>
      </c>
      <c r="H3" s="790">
        <f>'ANALYSE - ERP =&gt; CATEGORIE'!JP6</f>
        <v>5.9077885391817943E-2</v>
      </c>
      <c r="I3" s="790">
        <f>'ANALYSE - ERP =&gt; CATEGORIE'!JQ6</f>
        <v>0.40153368414786711</v>
      </c>
      <c r="J3" s="790">
        <f>'ANALYSE - ERP =&gt; CATEGORIE'!JR6</f>
        <v>0.4243628193890247</v>
      </c>
      <c r="K3" s="790">
        <f>'ANALYSE - ERP =&gt; CATEGORIE'!JS6</f>
        <v>0.10936078233221848</v>
      </c>
      <c r="L3" s="790">
        <f>'ANALYSE - ERP =&gt; CATEGORIE'!JT6</f>
        <v>5.6656438058027767E-3</v>
      </c>
      <c r="N3" s="790">
        <f>'ANALYSE - ERP =&gt; CATEGORIE'!JU6</f>
        <v>2.9634066629020982E-2</v>
      </c>
      <c r="O3" s="790">
        <f>'ANALYSE - ERP =&gt; CATEGORIE'!JV6</f>
        <v>0.32102592222107634</v>
      </c>
      <c r="P3" s="790">
        <f>'ANALYSE - ERP =&gt; CATEGORIE'!JW6</f>
        <v>0.46675473999022593</v>
      </c>
      <c r="Q3" s="790">
        <f>'ANALYSE - ERP =&gt; CATEGORIE'!JX6</f>
        <v>0.16681195506446225</v>
      </c>
      <c r="R3" s="790">
        <f>'ANALYSE - ERP =&gt; CATEGORIE'!JY6</f>
        <v>1.5773316095214339E-2</v>
      </c>
      <c r="T3" s="428">
        <f>SUM('ANALYSE - ERP =&gt; CATEGORIE'!$Q$8:$Q$110)</f>
        <v>9</v>
      </c>
    </row>
    <row r="4" spans="1:20" ht="15" customHeight="1">
      <c r="A4" s="26">
        <v>1</v>
      </c>
      <c r="B4" s="26">
        <v>1</v>
      </c>
      <c r="C4" s="422">
        <f>'ANALYSE - ERP =&gt; CATEGORIE'!$A$11</f>
        <v>4</v>
      </c>
      <c r="D4" s="492" t="s">
        <v>2187</v>
      </c>
      <c r="E4" s="492" t="s">
        <v>8008</v>
      </c>
      <c r="F4" s="492" t="s">
        <v>8009</v>
      </c>
      <c r="H4" s="787">
        <f>'ANALYSE - ERP =&gt; CATEGORIE'!$JP$11</f>
        <v>2.6297912344629578E-2</v>
      </c>
      <c r="I4" s="787">
        <f>'ANALYSE - ERP =&gt; CATEGORIE'!$JQ$11</f>
        <v>0.36630117103675391</v>
      </c>
      <c r="J4" s="787">
        <f>'ANALYSE - ERP =&gt; CATEGORIE'!$JR$11</f>
        <v>0.45332711930902891</v>
      </c>
      <c r="K4" s="787">
        <f>'ANALYSE - ERP =&gt; CATEGORIE'!$JS$11</f>
        <v>0.13116120123404684</v>
      </c>
      <c r="L4" s="787">
        <f>'ANALYSE - ERP =&gt; CATEGORIE'!$JT$11</f>
        <v>2.2912596075540789E-2</v>
      </c>
      <c r="N4" s="787">
        <f>'ANALYSE - ERP =&gt; CATEGORIE'!$JU$11</f>
        <v>3.3561841000395282E-3</v>
      </c>
      <c r="O4" s="787">
        <f>'ANALYSE - ERP =&gt; CATEGORIE'!$JV$11</f>
        <v>0.28651393350460019</v>
      </c>
      <c r="P4" s="787">
        <f>'ANALYSE - ERP =&gt; CATEGORIE'!$JW$11</f>
        <v>0.51235554095779334</v>
      </c>
      <c r="Q4" s="787">
        <f>'ANALYSE - ERP =&gt; CATEGORIE'!$JX$11</f>
        <v>0.1686316672334571</v>
      </c>
      <c r="R4" s="787">
        <f>'ANALYSE - ERP =&gt; CATEGORIE'!$JY$11</f>
        <v>2.9142674204110049E-2</v>
      </c>
      <c r="T4" s="430">
        <f>'ANALYSE - ERP =&gt; CATEGORIE'!$Q$11</f>
        <v>1</v>
      </c>
    </row>
    <row r="5" spans="1:20" ht="15" customHeight="1">
      <c r="A5" s="26">
        <v>2</v>
      </c>
      <c r="B5" s="26">
        <v>3</v>
      </c>
      <c r="C5" s="422">
        <f>'ANALYSE - ERP =&gt; CATEGORIE'!$A$9</f>
        <v>2</v>
      </c>
      <c r="D5" s="494" t="s">
        <v>2241</v>
      </c>
      <c r="E5" s="494" t="s">
        <v>8012</v>
      </c>
      <c r="F5" s="494" t="s">
        <v>8013</v>
      </c>
      <c r="H5" s="787">
        <f>'ANALYSE - ERP =&gt; CATEGORIE'!$JP$9</f>
        <v>5.634340313285903E-5</v>
      </c>
      <c r="I5" s="787">
        <f>'ANALYSE - ERP =&gt; CATEGORIE'!$JQ$9</f>
        <v>0.1511843791558222</v>
      </c>
      <c r="J5" s="787">
        <f>'ANALYSE - ERP =&gt; CATEGORIE'!$JR$9</f>
        <v>0.54856077211061993</v>
      </c>
      <c r="K5" s="787">
        <f>'ANALYSE - ERP =&gt; CATEGORIE'!$JS$9</f>
        <v>0.2951535068007356</v>
      </c>
      <c r="L5" s="787">
        <f>'ANALYSE - ERP =&gt; CATEGORIE'!$JT$9</f>
        <v>5.044998529689303E-3</v>
      </c>
      <c r="N5" s="787">
        <f>'ANALYSE - ERP =&gt; CATEGORIE'!$JU$9</f>
        <v>4.6223894133117763E-6</v>
      </c>
      <c r="O5" s="787">
        <f>'ANALYSE - ERP =&gt; CATEGORIE'!$JV$9</f>
        <v>7.712913880845941E-2</v>
      </c>
      <c r="P5" s="787">
        <f>'ANALYSE - ERP =&gt; CATEGORIE'!$JW$9</f>
        <v>0.49686467543817714</v>
      </c>
      <c r="Q5" s="787">
        <f>'ANALYSE - ERP =&gt; CATEGORIE'!$JX$9</f>
        <v>0.3977978629314271</v>
      </c>
      <c r="R5" s="787">
        <f>'ANALYSE - ERP =&gt; CATEGORIE'!$JY$9</f>
        <v>2.8203700432523088E-2</v>
      </c>
      <c r="T5" s="430">
        <f>'ANALYSE - ERP =&gt; CATEGORIE'!$Q$9</f>
        <v>1</v>
      </c>
    </row>
    <row r="6" spans="1:20" ht="15" customHeight="1">
      <c r="A6" s="26">
        <v>3</v>
      </c>
      <c r="B6" s="26">
        <v>2</v>
      </c>
      <c r="C6" s="422">
        <f>'ANALYSE - ERP =&gt; CATEGORIE'!$A$8</f>
        <v>1</v>
      </c>
      <c r="D6" s="498" t="s">
        <v>6739</v>
      </c>
      <c r="E6" s="498" t="s">
        <v>8006</v>
      </c>
      <c r="F6" s="498" t="s">
        <v>8007</v>
      </c>
      <c r="H6" s="787">
        <f>'ANALYSE - ERP =&gt; CATEGORIE'!$JP$8</f>
        <v>0</v>
      </c>
      <c r="I6" s="787">
        <f>'ANALYSE - ERP =&gt; CATEGORIE'!$JQ$8</f>
        <v>0</v>
      </c>
      <c r="J6" s="787">
        <f>'ANALYSE - ERP =&gt; CATEGORIE'!$JR$8</f>
        <v>0</v>
      </c>
      <c r="K6" s="787">
        <f>'ANALYSE - ERP =&gt; CATEGORIE'!$JS$8</f>
        <v>0</v>
      </c>
      <c r="L6" s="787">
        <f>'ANALYSE - ERP =&gt; CATEGORIE'!$JT$8</f>
        <v>0</v>
      </c>
      <c r="N6" s="787">
        <f>'ANALYSE - ERP =&gt; CATEGORIE'!$JU$8</f>
        <v>0</v>
      </c>
      <c r="O6" s="787">
        <f>'ANALYSE - ERP =&gt; CATEGORIE'!$JV$8</f>
        <v>0</v>
      </c>
      <c r="P6" s="787">
        <f>'ANALYSE - ERP =&gt; CATEGORIE'!$JW$8</f>
        <v>0</v>
      </c>
      <c r="Q6" s="787">
        <f>'ANALYSE - ERP =&gt; CATEGORIE'!$JX$8</f>
        <v>0</v>
      </c>
      <c r="R6" s="787">
        <f>'ANALYSE - ERP =&gt; CATEGORIE'!$JY$8</f>
        <v>0</v>
      </c>
      <c r="T6" s="430">
        <f>'ANALYSE - ERP =&gt; CATEGORIE'!$Q$8</f>
        <v>0</v>
      </c>
    </row>
    <row r="7" spans="1:20" ht="15" customHeight="1">
      <c r="A7" s="26">
        <v>4</v>
      </c>
      <c r="B7" s="26">
        <v>6</v>
      </c>
      <c r="C7" s="422">
        <f>'ANALYSE - ERP =&gt; CATEGORIE'!$A$15</f>
        <v>8</v>
      </c>
      <c r="D7" s="496" t="s">
        <v>1670</v>
      </c>
      <c r="E7" s="496" t="s">
        <v>8010</v>
      </c>
      <c r="F7" s="496" t="s">
        <v>8011</v>
      </c>
      <c r="H7" s="787">
        <f>'ANALYSE - ERP =&gt; CATEGORIE'!$JP$15</f>
        <v>0</v>
      </c>
      <c r="I7" s="787">
        <f>'ANALYSE - ERP =&gt; CATEGORIE'!$JQ$15</f>
        <v>0</v>
      </c>
      <c r="J7" s="787">
        <f>'ANALYSE - ERP =&gt; CATEGORIE'!$JR$15</f>
        <v>0</v>
      </c>
      <c r="K7" s="787">
        <f>'ANALYSE - ERP =&gt; CATEGORIE'!$JS$15</f>
        <v>0</v>
      </c>
      <c r="L7" s="787">
        <f>'ANALYSE - ERP =&gt; CATEGORIE'!$JT$15</f>
        <v>0</v>
      </c>
      <c r="N7" s="787">
        <f>'ANALYSE - ERP =&gt; CATEGORIE'!$JU$15</f>
        <v>0</v>
      </c>
      <c r="O7" s="787">
        <f>'ANALYSE - ERP =&gt; CATEGORIE'!$JV$15</f>
        <v>0</v>
      </c>
      <c r="P7" s="787">
        <f>'ANALYSE - ERP =&gt; CATEGORIE'!$JW$15</f>
        <v>0</v>
      </c>
      <c r="Q7" s="787">
        <f>'ANALYSE - ERP =&gt; CATEGORIE'!$JX$15</f>
        <v>0</v>
      </c>
      <c r="R7" s="787">
        <f>'ANALYSE - ERP =&gt; CATEGORIE'!$JY$15</f>
        <v>0</v>
      </c>
      <c r="T7" s="430">
        <f>'ANALYSE - ERP =&gt; CATEGORIE'!$Q$15</f>
        <v>0</v>
      </c>
    </row>
    <row r="8" spans="1:20" ht="15" customHeight="1">
      <c r="A8" s="26">
        <v>5</v>
      </c>
      <c r="B8" s="26">
        <v>4</v>
      </c>
      <c r="C8" s="422">
        <f>'ANALYSE - ERP =&gt; CATEGORIE'!$A$14</f>
        <v>7</v>
      </c>
      <c r="D8" s="504" t="s">
        <v>2278</v>
      </c>
      <c r="E8" s="504" t="s">
        <v>8016</v>
      </c>
      <c r="F8" s="504" t="s">
        <v>8017</v>
      </c>
      <c r="H8" s="787">
        <f>'ANALYSE - ERP =&gt; CATEGORIE'!$JP$14</f>
        <v>5.510355974293614E-2</v>
      </c>
      <c r="I8" s="787">
        <f>'ANALYSE - ERP =&gt; CATEGORIE'!$JQ$14</f>
        <v>0.45267012735833556</v>
      </c>
      <c r="J8" s="787">
        <f>'ANALYSE - ERP =&gt; CATEGORIE'!$JR$14</f>
        <v>0.44276549917613772</v>
      </c>
      <c r="K8" s="787">
        <f>'ANALYSE - ERP =&gt; CATEGORIE'!$JS$14</f>
        <v>4.9421906760366341E-2</v>
      </c>
      <c r="L8" s="787">
        <f>'ANALYSE - ERP =&gt; CATEGORIE'!$JT$14</f>
        <v>3.8906962224381638E-5</v>
      </c>
      <c r="N8" s="787">
        <f>'ANALYSE - ERP =&gt; CATEGORIE'!$JU$14</f>
        <v>3.5065927923157464E-2</v>
      </c>
      <c r="O8" s="787">
        <f>'ANALYSE - ERP =&gt; CATEGORIE'!$JV$14</f>
        <v>0.42435765233418526</v>
      </c>
      <c r="P8" s="787">
        <f>'ANALYSE - ERP =&gt; CATEGORIE'!$JW$14</f>
        <v>0.46672927312567386</v>
      </c>
      <c r="Q8" s="787">
        <f>'ANALYSE - ERP =&gt; CATEGORIE'!$JX$14</f>
        <v>6.9802655684092454E-2</v>
      </c>
      <c r="R8" s="787">
        <f>'ANALYSE - ERP =&gt; CATEGORIE'!$JY$14</f>
        <v>4.0444909328909793E-3</v>
      </c>
      <c r="T8" s="430">
        <f>'ANALYSE - ERP =&gt; CATEGORIE'!$Q$14</f>
        <v>1</v>
      </c>
    </row>
    <row r="9" spans="1:20" ht="15" customHeight="1">
      <c r="A9" s="26">
        <v>6</v>
      </c>
      <c r="B9" s="26">
        <v>5</v>
      </c>
      <c r="C9" s="422">
        <f>'ANALYSE - ERP =&gt; CATEGORIE'!$A$10</f>
        <v>3</v>
      </c>
      <c r="D9" s="500" t="s">
        <v>3662</v>
      </c>
      <c r="E9" s="500" t="s">
        <v>8018</v>
      </c>
      <c r="F9" s="500" t="s">
        <v>8019</v>
      </c>
      <c r="H9" s="787">
        <f>'ANALYSE - ERP =&gt; CATEGORIE'!$JP$10</f>
        <v>2.7275529906518672E-2</v>
      </c>
      <c r="I9" s="787">
        <f>'ANALYSE - ERP =&gt; CATEGORIE'!$JQ$10</f>
        <v>0.35691865874240919</v>
      </c>
      <c r="J9" s="787">
        <f>'ANALYSE - ERP =&gt; CATEGORIE'!$JR$10</f>
        <v>0.49209186493251195</v>
      </c>
      <c r="K9" s="787">
        <f>'ANALYSE - ERP =&gt; CATEGORIE'!$JS$10</f>
        <v>0.11786134378848764</v>
      </c>
      <c r="L9" s="787">
        <f>'ANALYSE - ERP =&gt; CATEGORIE'!$JT$10</f>
        <v>5.852602630072647E-3</v>
      </c>
      <c r="N9" s="787">
        <f>'ANALYSE - ERP =&gt; CATEGORIE'!$JU$10</f>
        <v>8.9917138203907277E-3</v>
      </c>
      <c r="O9" s="787">
        <f>'ANALYSE - ERP =&gt; CATEGORIE'!$JV$10</f>
        <v>0.29158663519003075</v>
      </c>
      <c r="P9" s="787">
        <f>'ANALYSE - ERP =&gt; CATEGORIE'!$JW$10</f>
        <v>0.50598575837549065</v>
      </c>
      <c r="Q9" s="787">
        <f>'ANALYSE - ERP =&gt; CATEGORIE'!$JX$10</f>
        <v>0.1761024825976851</v>
      </c>
      <c r="R9" s="787">
        <f>'ANALYSE - ERP =&gt; CATEGORIE'!$JY$10</f>
        <v>1.7333410016402654E-2</v>
      </c>
      <c r="T9" s="430">
        <f>'ANALYSE - ERP =&gt; CATEGORIE'!$Q$10</f>
        <v>1</v>
      </c>
    </row>
    <row r="10" spans="1:20" ht="15" customHeight="1">
      <c r="A10" s="26">
        <v>7</v>
      </c>
      <c r="B10" s="26">
        <v>7</v>
      </c>
      <c r="C10" s="422">
        <f>'ANALYSE - ERP =&gt; CATEGORIE'!$A$12</f>
        <v>5</v>
      </c>
      <c r="D10" s="502" t="s">
        <v>2264</v>
      </c>
      <c r="E10" s="502" t="s">
        <v>8014</v>
      </c>
      <c r="F10" s="502" t="s">
        <v>8015</v>
      </c>
      <c r="H10" s="787">
        <f>'ANALYSE - ERP =&gt; CATEGORIE'!$JP$12</f>
        <v>3.9673822813797048E-2</v>
      </c>
      <c r="I10" s="787">
        <f>'ANALYSE - ERP =&gt; CATEGORIE'!$JQ$12</f>
        <v>0.41962600543867185</v>
      </c>
      <c r="J10" s="787">
        <f>'ANALYSE - ERP =&gt; CATEGORIE'!$JR$12</f>
        <v>0.47615809360240441</v>
      </c>
      <c r="K10" s="787">
        <f>'ANALYSE - ERP =&gt; CATEGORIE'!$JS$12</f>
        <v>6.3903520824388133E-2</v>
      </c>
      <c r="L10" s="787">
        <f>'ANALYSE - ERP =&gt; CATEGORIE'!$JT$12</f>
        <v>6.3855732073851441E-4</v>
      </c>
      <c r="N10" s="787">
        <f>'ANALYSE - ERP =&gt; CATEGORIE'!$JU$12</f>
        <v>1.7176538569106128E-2</v>
      </c>
      <c r="O10" s="787">
        <f>'ANALYSE - ERP =&gt; CATEGORIE'!$JV$12</f>
        <v>0.38860573668720177</v>
      </c>
      <c r="P10" s="787">
        <f>'ANALYSE - ERP =&gt; CATEGORIE'!$JW$12</f>
        <v>0.50230029038239299</v>
      </c>
      <c r="Q10" s="787">
        <f>'ANALYSE - ERP =&gt; CATEGORIE'!$JX$12</f>
        <v>8.5939821256744847E-2</v>
      </c>
      <c r="R10" s="787">
        <f>'ANALYSE - ERP =&gt; CATEGORIE'!$JY$12</f>
        <v>5.9776131045540951E-3</v>
      </c>
      <c r="T10" s="430">
        <f>'ANALYSE - ERP =&gt; CATEGORIE'!$Q$12</f>
        <v>1</v>
      </c>
    </row>
    <row r="11" spans="1:20" s="45" customFormat="1" ht="15" customHeight="1">
      <c r="A11" s="26">
        <v>8</v>
      </c>
      <c r="B11" s="26">
        <v>8</v>
      </c>
      <c r="C11" s="422">
        <f>'ANALYSE - ERP =&gt; CATEGORIE'!$A$13</f>
        <v>6</v>
      </c>
      <c r="D11" s="506" t="s">
        <v>7117</v>
      </c>
      <c r="E11" s="506" t="s">
        <v>8020</v>
      </c>
      <c r="F11" s="506" t="s">
        <v>8021</v>
      </c>
      <c r="G11" s="685"/>
      <c r="H11" s="787">
        <f>'ANALYSE - ERP =&gt; CATEGORIE'!$JP$13</f>
        <v>0</v>
      </c>
      <c r="I11" s="787">
        <f>'ANALYSE - ERP =&gt; CATEGORIE'!$JQ$13</f>
        <v>0</v>
      </c>
      <c r="J11" s="787">
        <f>'ANALYSE - ERP =&gt; CATEGORIE'!$JR$13</f>
        <v>0</v>
      </c>
      <c r="K11" s="787">
        <f>'ANALYSE - ERP =&gt; CATEGORIE'!$JS$13</f>
        <v>0</v>
      </c>
      <c r="L11" s="787">
        <f>'ANALYSE - ERP =&gt; CATEGORIE'!$JT$13</f>
        <v>0</v>
      </c>
      <c r="M11" s="685"/>
      <c r="N11" s="787">
        <f>'ANALYSE - ERP =&gt; CATEGORIE'!$JU$13</f>
        <v>0</v>
      </c>
      <c r="O11" s="787">
        <f>'ANALYSE - ERP =&gt; CATEGORIE'!$JV$13</f>
        <v>0</v>
      </c>
      <c r="P11" s="787">
        <f>'ANALYSE - ERP =&gt; CATEGORIE'!$JW$13</f>
        <v>0</v>
      </c>
      <c r="Q11" s="787">
        <f>'ANALYSE - ERP =&gt; CATEGORIE'!$JX$13</f>
        <v>0</v>
      </c>
      <c r="R11" s="787">
        <f>'ANALYSE - ERP =&gt; CATEGORIE'!$JY$13</f>
        <v>0</v>
      </c>
      <c r="S11" s="685"/>
      <c r="T11" s="430">
        <f>'ANALYSE - ERP =&gt; CATEGORIE'!$Q$13</f>
        <v>0</v>
      </c>
    </row>
    <row r="12" spans="1:20" ht="15" customHeight="1">
      <c r="A12" s="26">
        <v>9</v>
      </c>
      <c r="B12" s="26">
        <v>9</v>
      </c>
      <c r="C12" s="422">
        <f>'ANALYSE - ERP =&gt; CATEGORIE'!$A$16</f>
        <v>9</v>
      </c>
      <c r="D12" s="508" t="s">
        <v>2285</v>
      </c>
      <c r="E12" s="508" t="s">
        <v>8022</v>
      </c>
      <c r="F12" s="508" t="s">
        <v>8023</v>
      </c>
      <c r="H12" s="787">
        <f>'ANALYSE - ERP =&gt; CATEGORIE'!$JP$16</f>
        <v>6.382050845709572E-2</v>
      </c>
      <c r="I12" s="787">
        <f>'ANALYSE - ERP =&gt; CATEGORIE'!$JQ$16</f>
        <v>0.46288681157178219</v>
      </c>
      <c r="J12" s="787">
        <f>'ANALYSE - ERP =&gt; CATEGORIE'!$JR$16</f>
        <v>0.38110406353135312</v>
      </c>
      <c r="K12" s="787">
        <f>'ANALYSE - ERP =&gt; CATEGORIE'!$JS$16</f>
        <v>8.1549541047854779E-2</v>
      </c>
      <c r="L12" s="787">
        <f>'ANALYSE - ERP =&gt; CATEGORIE'!$JT$16</f>
        <v>1.0639075391914192E-2</v>
      </c>
      <c r="N12" s="787">
        <f>'ANALYSE - ERP =&gt; CATEGORIE'!$JU$16</f>
        <v>3.9230749767689914E-2</v>
      </c>
      <c r="O12" s="787">
        <f>'ANALYSE - ERP =&gt; CATEGORIE'!$JV$16</f>
        <v>0.42368365460921659</v>
      </c>
      <c r="P12" s="787">
        <f>'ANALYSE - ERP =&gt; CATEGORIE'!$JW$16</f>
        <v>0.40044634170502691</v>
      </c>
      <c r="Q12" s="787">
        <f>'ANALYSE - ERP =&gt; CATEGORIE'!$JX$16</f>
        <v>0.1128621981284275</v>
      </c>
      <c r="R12" s="787">
        <f>'ANALYSE - ERP =&gt; CATEGORIE'!$JY$16</f>
        <v>2.3777055789639068E-2</v>
      </c>
      <c r="T12" s="430">
        <f>'ANALYSE - ERP =&gt; CATEGORIE'!$Q$16</f>
        <v>1</v>
      </c>
    </row>
    <row r="13" spans="1:20" s="45" customFormat="1" ht="15" customHeight="1">
      <c r="A13" s="406">
        <v>10</v>
      </c>
      <c r="B13" s="406">
        <v>10</v>
      </c>
      <c r="C13" s="448">
        <f>'ANALYSE - ERP =&gt; CATEGORIE'!$A$17</f>
        <v>10</v>
      </c>
      <c r="D13" s="518" t="s">
        <v>4908</v>
      </c>
      <c r="E13" s="518" t="s">
        <v>8024</v>
      </c>
      <c r="F13" s="518" t="s">
        <v>8025</v>
      </c>
      <c r="G13" s="685"/>
      <c r="H13" s="788">
        <f>'ANALYSE - ERP =&gt; CATEGORIE'!$JP$17</f>
        <v>0.15076940922896051</v>
      </c>
      <c r="I13" s="788">
        <f>'ANALYSE - ERP =&gt; CATEGORIE'!$JQ$17</f>
        <v>0.6054205623591653</v>
      </c>
      <c r="J13" s="788">
        <f>'ANALYSE - ERP =&gt; CATEGORIE'!$JR$17</f>
        <v>0.21852230821984914</v>
      </c>
      <c r="K13" s="788">
        <f>'ANALYSE - ERP =&gt; CATEGORIE'!$JS$17</f>
        <v>2.4731180562359165E-2</v>
      </c>
      <c r="L13" s="788">
        <f>'ANALYSE - ERP =&gt; CATEGORIE'!$JT$17</f>
        <v>5.5653962966591554E-4</v>
      </c>
      <c r="M13" s="685"/>
      <c r="N13" s="788">
        <f>'ANALYSE - ERP =&gt; CATEGORIE'!$JU$17</f>
        <v>6.0931634164386163E-2</v>
      </c>
      <c r="O13" s="788">
        <f>'ANALYSE - ERP =&gt; CATEGORIE'!$JV$17</f>
        <v>0.5524930094864291</v>
      </c>
      <c r="P13" s="788">
        <f>'ANALYSE - ERP =&gt; CATEGORIE'!$JW$17</f>
        <v>0.34465492961112626</v>
      </c>
      <c r="Q13" s="788">
        <f>'ANALYSE - ERP =&gt; CATEGORIE'!$JX$17</f>
        <v>4.0343091182682929E-2</v>
      </c>
      <c r="R13" s="788">
        <f>'ANALYSE - ERP =&gt; CATEGORIE'!$JY$17</f>
        <v>1.5773355553752462E-3</v>
      </c>
      <c r="S13" s="685"/>
      <c r="T13" s="450">
        <f>'ANALYSE - ERP =&gt; CATEGORIE'!$Q$17</f>
        <v>1</v>
      </c>
    </row>
    <row r="14" spans="1:20" ht="15" customHeight="1">
      <c r="A14" s="26">
        <v>11</v>
      </c>
      <c r="B14" s="26">
        <v>11</v>
      </c>
      <c r="C14" s="422">
        <f>'ANALYSE - ERP =&gt; CATEGORIE'!$A$18</f>
        <v>11</v>
      </c>
      <c r="D14" s="502" t="s">
        <v>2163</v>
      </c>
      <c r="E14" s="502" t="s">
        <v>2163</v>
      </c>
      <c r="F14" s="502" t="s">
        <v>2164</v>
      </c>
      <c r="H14" s="787">
        <f>'ANALYSE - ERP =&gt; CATEGORIE'!$JP$18</f>
        <v>0.29273423597678916</v>
      </c>
      <c r="I14" s="787">
        <f>'ANALYSE - ERP =&gt; CATEGORIE'!$JQ$18</f>
        <v>0.59624313346228242</v>
      </c>
      <c r="J14" s="787">
        <f>'ANALYSE - ERP =&gt; CATEGORIE'!$JR$18</f>
        <v>0.11102263056092844</v>
      </c>
      <c r="K14" s="787">
        <f>'ANALYSE - ERP =&gt; CATEGORIE'!$JS$18</f>
        <v>0</v>
      </c>
      <c r="L14" s="787">
        <f>'ANALYSE - ERP =&gt; CATEGORIE'!$JT$18</f>
        <v>0</v>
      </c>
      <c r="N14" s="787">
        <f>'ANALYSE - ERP =&gt; CATEGORIE'!$JU$18</f>
        <v>0.2662472448157035</v>
      </c>
      <c r="O14" s="787">
        <f>'ANALYSE - ERP =&gt; CATEGORIE'!$JV$18</f>
        <v>0.57588680837035833</v>
      </c>
      <c r="P14" s="787">
        <f>'ANALYSE - ERP =&gt; CATEGORIE'!$JW$18</f>
        <v>0.13359462472246741</v>
      </c>
      <c r="Q14" s="787">
        <f>'ANALYSE - ERP =&gt; CATEGORIE'!$JX$18</f>
        <v>1.9840842662075323E-2</v>
      </c>
      <c r="R14" s="787">
        <f>'ANALYSE - ERP =&gt; CATEGORIE'!$JY$18</f>
        <v>4.4304794293954595E-3</v>
      </c>
      <c r="T14" s="430">
        <f>'ANALYSE - ERP =&gt; CATEGORIE'!$Q$18</f>
        <v>1</v>
      </c>
    </row>
  </sheetData>
  <pageMargins left="3.937007874015748E-2" right="3.937007874015748E-2" top="7.874015748031496E-2" bottom="7.874015748031496E-2" header="0.11811023622047249" footer="0.11811023622047249"/>
  <pageSetup paperSize="8" scale="87" fitToHeight="2" orientation="landscape"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5" tint="0.39997558519241921"/>
    <pageSetUpPr fitToPage="1"/>
  </sheetPr>
  <dimension ref="A1:BZ14"/>
  <sheetViews>
    <sheetView workbookViewId="0"/>
  </sheetViews>
  <sheetFormatPr baseColWidth="10" defaultColWidth="9.140625" defaultRowHeight="15"/>
  <cols>
    <col min="1" max="2" width="9" style="934" customWidth="1"/>
    <col min="3" max="3" width="6" style="934" customWidth="1"/>
    <col min="4" max="4" width="30.5703125" style="934" customWidth="1"/>
    <col min="5" max="5" width="27.7109375" style="43" customWidth="1"/>
    <col min="6" max="6" width="52.85546875" style="43" customWidth="1"/>
    <col min="7" max="7" width="1.7109375" style="933" customWidth="1"/>
    <col min="8" max="8" width="9.28515625" style="43" customWidth="1"/>
    <col min="9" max="12" width="9.28515625" style="934" customWidth="1"/>
    <col min="13" max="13" width="1.7109375" style="933" customWidth="1"/>
    <col min="14" max="18" width="9.28515625" style="934" customWidth="1"/>
    <col min="19" max="19" width="1.7109375" style="933" customWidth="1"/>
    <col min="20" max="20" width="12" style="934" customWidth="1"/>
    <col min="21" max="78" width="9.140625" style="933" customWidth="1"/>
  </cols>
  <sheetData>
    <row r="1" spans="1:20" s="933" customFormat="1" ht="18.75" customHeight="1">
      <c r="C1" s="477"/>
      <c r="D1" s="479"/>
      <c r="E1" s="478" t="s">
        <v>7980</v>
      </c>
      <c r="F1" s="479"/>
      <c r="H1" s="474"/>
      <c r="I1" s="474"/>
      <c r="J1" s="475" t="s">
        <v>7971</v>
      </c>
      <c r="K1" s="474"/>
      <c r="L1" s="474"/>
      <c r="N1" s="452"/>
      <c r="O1" s="452"/>
      <c r="P1" s="476" t="s">
        <v>7972</v>
      </c>
      <c r="Q1" s="452"/>
      <c r="R1" s="452"/>
      <c r="T1" s="452"/>
    </row>
    <row r="2" spans="1:20" ht="45" customHeight="1">
      <c r="A2" s="829" t="s">
        <v>6712</v>
      </c>
      <c r="B2" s="829" t="s">
        <v>6713</v>
      </c>
      <c r="C2" s="829" t="s">
        <v>2044</v>
      </c>
      <c r="D2" s="829" t="s">
        <v>6714</v>
      </c>
      <c r="E2" s="829" t="s">
        <v>6715</v>
      </c>
      <c r="F2" s="829" t="s">
        <v>2181</v>
      </c>
      <c r="H2" s="470" t="s">
        <v>2554</v>
      </c>
      <c r="I2" s="471" t="s">
        <v>2555</v>
      </c>
      <c r="J2" s="472" t="s">
        <v>2194</v>
      </c>
      <c r="K2" s="467" t="s">
        <v>2556</v>
      </c>
      <c r="L2" s="473" t="s">
        <v>2557</v>
      </c>
      <c r="N2" s="470" t="s">
        <v>2554</v>
      </c>
      <c r="O2" s="471" t="s">
        <v>2555</v>
      </c>
      <c r="P2" s="472" t="s">
        <v>2194</v>
      </c>
      <c r="Q2" s="467" t="s">
        <v>2556</v>
      </c>
      <c r="R2" s="473" t="s">
        <v>2557</v>
      </c>
      <c r="T2" s="829" t="s">
        <v>6711</v>
      </c>
    </row>
    <row r="3" spans="1:20">
      <c r="A3" s="405" t="s">
        <v>2535</v>
      </c>
      <c r="B3" s="405" t="s">
        <v>2535</v>
      </c>
      <c r="C3" s="405" t="s">
        <v>2090</v>
      </c>
      <c r="D3" s="520" t="s">
        <v>6739</v>
      </c>
      <c r="E3" s="520" t="s">
        <v>8006</v>
      </c>
      <c r="F3" s="520" t="s">
        <v>8007</v>
      </c>
      <c r="H3" s="426">
        <f>SUMPRODUCT(($T$4:$T$106),('ANALYSE - ERP =&gt; CATEGORIE'!$BF$8:$BF$110),('ANALYSE - ERP =&gt; CATEGORIE'!$JP$8:$JP$110))</f>
        <v>56694.919199999989</v>
      </c>
      <c r="I3" s="426">
        <f>SUMPRODUCT(($T$4:$T$106),('ANALYSE - ERP =&gt; CATEGORIE'!$BF$8:$BF$110),('ANALYSE - ERP =&gt; CATEGORIE'!$JQ$8:$JQ$110))</f>
        <v>603456.71680000017</v>
      </c>
      <c r="J3" s="426">
        <f>SUMPRODUCT(($T$4:$T$106),('ANALYSE - ERP =&gt; CATEGORIE'!$BF$8:$BF$110),('ANALYSE - ERP =&gt; CATEGORIE'!$JR$8:$JR$110))</f>
        <v>969388.66439999989</v>
      </c>
      <c r="K3" s="426">
        <f>SUMPRODUCT(($T$4:$T$106),('ANALYSE - ERP =&gt; CATEGORIE'!$BF$8:$BF$110),('ANALYSE - ERP =&gt; CATEGORIE'!$JS$8:$JS$110))</f>
        <v>331759.72639999999</v>
      </c>
      <c r="L3" s="426">
        <f>SUMPRODUCT(($T$4:$T$106),('ANALYSE - ERP =&gt; CATEGORIE'!$BF$8:$BF$110),('ANALYSE - ERP =&gt; CATEGORIE'!$JT$8:$JT$110))</f>
        <v>5905.9731999999995</v>
      </c>
      <c r="N3" s="426">
        <f>SUMPRODUCT(($T$4:$T$106),('ANALYSE - ERP =&gt; CATEGORIE'!$FG$8:$FG$110),('ANALYSE - ERP =&gt; CATEGORIE'!$JU$8:$JU$110))</f>
        <v>12180.86172360881</v>
      </c>
      <c r="O3" s="426">
        <f>SUMPRODUCT(($T$4:$T$106),('ANALYSE - ERP =&gt; CATEGORIE'!$FG$8:$FG$110),('ANALYSE - ERP =&gt; CATEGORIE'!$JV$8:$JV$110))</f>
        <v>193979.50928882518</v>
      </c>
      <c r="P3" s="426">
        <f>SUMPRODUCT(($T$4:$T$106),('ANALYSE - ERP =&gt; CATEGORIE'!$FG$8:$FG$110),('ANALYSE - ERP =&gt; CATEGORIE'!$JW$8:$JW$110))</f>
        <v>381234.10326478357</v>
      </c>
      <c r="Q3" s="426">
        <f>SUMPRODUCT(($T$4:$T$106),('ANALYSE - ERP =&gt; CATEGORIE'!$FG$8:$FG$110),('ANALYSE - ERP =&gt; CATEGORIE'!$JX$8:$JX$110))</f>
        <v>189417.72845356099</v>
      </c>
      <c r="R3" s="426">
        <f>SUMPRODUCT(($T$4:$T$106),('ANALYSE - ERP =&gt; CATEGORIE'!$FG$8:$FG$110),('ANALYSE - ERP =&gt; CATEGORIE'!$JY$8:$JY$110))</f>
        <v>13933.665544904514</v>
      </c>
      <c r="T3" s="428">
        <f>SUM('ANALYSE - ERP =&gt; CATEGORIE'!$Q$8:$Q$110)</f>
        <v>9</v>
      </c>
    </row>
    <row r="4" spans="1:20" ht="15" customHeight="1">
      <c r="A4" s="26">
        <v>1</v>
      </c>
      <c r="B4" s="26">
        <v>1</v>
      </c>
      <c r="C4" s="422">
        <f>'ANALYSE - ERP =&gt; CATEGORIE'!$A$11</f>
        <v>4</v>
      </c>
      <c r="D4" s="492" t="s">
        <v>2187</v>
      </c>
      <c r="E4" s="492" t="s">
        <v>8008</v>
      </c>
      <c r="F4" s="492" t="s">
        <v>8009</v>
      </c>
      <c r="H4" s="458">
        <f>'ANALYSE - ERP =&gt; CATEGORIE'!$BF$11*'ANALYSE - ERP =&gt; CATEGORIE'!$JP$11</f>
        <v>17696.0756</v>
      </c>
      <c r="I4" s="458">
        <f>'ANALYSE - ERP =&gt; CATEGORIE'!$BF$11*'ANALYSE - ERP =&gt; CATEGORIE'!$JQ$11</f>
        <v>246486.9884</v>
      </c>
      <c r="J4" s="458">
        <f>'ANALYSE - ERP =&gt; CATEGORIE'!$BF$11*'ANALYSE - ERP =&gt; CATEGORIE'!$JR$11</f>
        <v>305047.44520000002</v>
      </c>
      <c r="K4" s="458">
        <f>'ANALYSE - ERP =&gt; CATEGORIE'!$BF$11*'ANALYSE - ERP =&gt; CATEGORIE'!$JS$11</f>
        <v>88259.421599999987</v>
      </c>
      <c r="L4" s="458">
        <f>'ANALYSE - ERP =&gt; CATEGORIE'!$BF$11*'ANALYSE - ERP =&gt; CATEGORIE'!$JT$11</f>
        <v>15418.069200000002</v>
      </c>
      <c r="N4" s="458">
        <f>'ANALYSE - ERP =&gt; CATEGORIE'!$FG$11*'ANALYSE - ERP =&gt; CATEGORIE'!$JU$11</f>
        <v>1056.4821007932096</v>
      </c>
      <c r="O4" s="458">
        <f>'ANALYSE - ERP =&gt; CATEGORIE'!$FG$11*'ANALYSE - ERP =&gt; CATEGORIE'!$JV$11</f>
        <v>90190.774210479372</v>
      </c>
      <c r="P4" s="458">
        <f>'ANALYSE - ERP =&gt; CATEGORIE'!$FG$11*'ANALYSE - ERP =&gt; CATEGORIE'!$JW$11</f>
        <v>161282.70742291989</v>
      </c>
      <c r="Q4" s="458">
        <f>'ANALYSE - ERP =&gt; CATEGORIE'!$FG$11*'ANALYSE - ERP =&gt; CATEGORIE'!$JX$11</f>
        <v>53083.005207302529</v>
      </c>
      <c r="R4" s="458">
        <f>'ANALYSE - ERP =&gt; CATEGORIE'!$FG$11*'ANALYSE - ERP =&gt; CATEGORIE'!$JY$11</f>
        <v>9173.7260973042703</v>
      </c>
      <c r="T4" s="430">
        <f>'ANALYSE - ERP =&gt; CATEGORIE'!$Q$11</f>
        <v>1</v>
      </c>
    </row>
    <row r="5" spans="1:20" ht="15" customHeight="1">
      <c r="A5" s="26">
        <v>2</v>
      </c>
      <c r="B5" s="26">
        <v>3</v>
      </c>
      <c r="C5" s="422">
        <f>'ANALYSE - ERP =&gt; CATEGORIE'!$A$9</f>
        <v>2</v>
      </c>
      <c r="D5" s="494" t="s">
        <v>2241</v>
      </c>
      <c r="E5" s="494" t="s">
        <v>8012</v>
      </c>
      <c r="F5" s="494" t="s">
        <v>8013</v>
      </c>
      <c r="H5" s="458">
        <f>'ANALYSE - ERP =&gt; CATEGORIE'!$BF$9*'ANALYSE - ERP =&gt; CATEGORIE'!$JP$9</f>
        <v>51.349800000000002</v>
      </c>
      <c r="I5" s="458">
        <f>'ANALYSE - ERP =&gt; CATEGORIE'!$BF$9*'ANALYSE - ERP =&gt; CATEGORIE'!$JQ$9</f>
        <v>137785.21</v>
      </c>
      <c r="J5" s="458">
        <f>'ANALYSE - ERP =&gt; CATEGORIE'!$BF$9*'ANALYSE - ERP =&gt; CATEGORIE'!$JR$9</f>
        <v>499942.9279999999</v>
      </c>
      <c r="K5" s="458">
        <f>'ANALYSE - ERP =&gt; CATEGORIE'!$BF$9*'ANALYSE - ERP =&gt; CATEGORIE'!$JS$9</f>
        <v>268994.64179999998</v>
      </c>
      <c r="L5" s="458">
        <f>'ANALYSE - ERP =&gt; CATEGORIE'!$BF$9*'ANALYSE - ERP =&gt; CATEGORIE'!$JT$9</f>
        <v>4597.8703999999998</v>
      </c>
      <c r="N5" s="458">
        <f>'ANALYSE - ERP =&gt; CATEGORIE'!$FG$9*'ANALYSE - ERP =&gt; CATEGORIE'!$JU$9</f>
        <v>1.8288440553360714</v>
      </c>
      <c r="O5" s="458">
        <f>'ANALYSE - ERP =&gt; CATEGORIE'!$FG$9*'ANALYSE - ERP =&gt; CATEGORIE'!$JV$9</f>
        <v>30516.071752158863</v>
      </c>
      <c r="P5" s="458">
        <f>'ANALYSE - ERP =&gt; CATEGORIE'!$FG$9*'ANALYSE - ERP =&gt; CATEGORIE'!$JW$9</f>
        <v>196584.0449021266</v>
      </c>
      <c r="Q5" s="458">
        <f>'ANALYSE - ERP =&gt; CATEGORIE'!$FG$9*'ANALYSE - ERP =&gt; CATEGORIE'!$JX$9</f>
        <v>157388.35303499424</v>
      </c>
      <c r="R5" s="458">
        <f>'ANALYSE - ERP =&gt; CATEGORIE'!$FG$9*'ANALYSE - ERP =&gt; CATEGORIE'!$JY$9</f>
        <v>11158.767741626489</v>
      </c>
      <c r="T5" s="430">
        <f>'ANALYSE - ERP =&gt; CATEGORIE'!$Q$9</f>
        <v>1</v>
      </c>
    </row>
    <row r="6" spans="1:20" ht="15" customHeight="1">
      <c r="A6" s="26">
        <v>3</v>
      </c>
      <c r="B6" s="26">
        <v>2</v>
      </c>
      <c r="C6" s="422">
        <f>'ANALYSE - ERP =&gt; CATEGORIE'!$A$8</f>
        <v>1</v>
      </c>
      <c r="D6" s="498" t="s">
        <v>6739</v>
      </c>
      <c r="E6" s="498" t="s">
        <v>8006</v>
      </c>
      <c r="F6" s="498" t="s">
        <v>8007</v>
      </c>
      <c r="H6" s="458">
        <f>'ANALYSE - ERP =&gt; CATEGORIE'!$BF$8*'ANALYSE - ERP =&gt; CATEGORIE'!$JP$8</f>
        <v>0</v>
      </c>
      <c r="I6" s="458">
        <f>'ANALYSE - ERP =&gt; CATEGORIE'!$BF$8*'ANALYSE - ERP =&gt; CATEGORIE'!$JQ$8</f>
        <v>0</v>
      </c>
      <c r="J6" s="458">
        <f>'ANALYSE - ERP =&gt; CATEGORIE'!$BF$8*'ANALYSE - ERP =&gt; CATEGORIE'!$JR$8</f>
        <v>0</v>
      </c>
      <c r="K6" s="458">
        <f>'ANALYSE - ERP =&gt; CATEGORIE'!$BF$8*'ANALYSE - ERP =&gt; CATEGORIE'!$JS$8</f>
        <v>0</v>
      </c>
      <c r="L6" s="458">
        <f>'ANALYSE - ERP =&gt; CATEGORIE'!$BF$8*'ANALYSE - ERP =&gt; CATEGORIE'!$JT$8</f>
        <v>0</v>
      </c>
      <c r="N6" s="458">
        <f>'ANALYSE - ERP =&gt; CATEGORIE'!$FG$8*'ANALYSE - ERP =&gt; CATEGORIE'!$JU$8</f>
        <v>0</v>
      </c>
      <c r="O6" s="458">
        <f>'ANALYSE - ERP =&gt; CATEGORIE'!$FG$8*'ANALYSE - ERP =&gt; CATEGORIE'!$JV$8</f>
        <v>0</v>
      </c>
      <c r="P6" s="458">
        <f>'ANALYSE - ERP =&gt; CATEGORIE'!$FG$8*'ANALYSE - ERP =&gt; CATEGORIE'!$JW$8</f>
        <v>0</v>
      </c>
      <c r="Q6" s="458">
        <f>'ANALYSE - ERP =&gt; CATEGORIE'!$FG$8*'ANALYSE - ERP =&gt; CATEGORIE'!$JX$8</f>
        <v>0</v>
      </c>
      <c r="R6" s="458">
        <f>'ANALYSE - ERP =&gt; CATEGORIE'!$FG$8*'ANALYSE - ERP =&gt; CATEGORIE'!$JY$8</f>
        <v>0</v>
      </c>
      <c r="T6" s="430">
        <f>'ANALYSE - ERP =&gt; CATEGORIE'!$Q$8</f>
        <v>0</v>
      </c>
    </row>
    <row r="7" spans="1:20" ht="15" customHeight="1">
      <c r="A7" s="26">
        <v>4</v>
      </c>
      <c r="B7" s="26">
        <v>6</v>
      </c>
      <c r="C7" s="422">
        <f>'ANALYSE - ERP =&gt; CATEGORIE'!$A$15</f>
        <v>8</v>
      </c>
      <c r="D7" s="496" t="s">
        <v>1670</v>
      </c>
      <c r="E7" s="496" t="s">
        <v>8010</v>
      </c>
      <c r="F7" s="496" t="s">
        <v>8011</v>
      </c>
      <c r="H7" s="458">
        <f>'ANALYSE - ERP =&gt; CATEGORIE'!$BF$15*'ANALYSE - ERP =&gt; CATEGORIE'!$JP$15</f>
        <v>0</v>
      </c>
      <c r="I7" s="458">
        <f>'ANALYSE - ERP =&gt; CATEGORIE'!$BF$15*'ANALYSE - ERP =&gt; CATEGORIE'!$JQ$15</f>
        <v>0</v>
      </c>
      <c r="J7" s="458">
        <f>'ANALYSE - ERP =&gt; CATEGORIE'!$BF$15*'ANALYSE - ERP =&gt; CATEGORIE'!$JR$15</f>
        <v>0</v>
      </c>
      <c r="K7" s="458">
        <f>'ANALYSE - ERP =&gt; CATEGORIE'!$BF$15*'ANALYSE - ERP =&gt; CATEGORIE'!$JS$15</f>
        <v>0</v>
      </c>
      <c r="L7" s="458">
        <f>'ANALYSE - ERP =&gt; CATEGORIE'!$BF$15*'ANALYSE - ERP =&gt; CATEGORIE'!$JT$15</f>
        <v>0</v>
      </c>
      <c r="N7" s="458">
        <f>'ANALYSE - ERP =&gt; CATEGORIE'!$FG$15*'ANALYSE - ERP =&gt; CATEGORIE'!$JU$15</f>
        <v>0</v>
      </c>
      <c r="O7" s="458">
        <f>'ANALYSE - ERP =&gt; CATEGORIE'!$FG$15*'ANALYSE - ERP =&gt; CATEGORIE'!$JV$15</f>
        <v>0</v>
      </c>
      <c r="P7" s="458">
        <f>'ANALYSE - ERP =&gt; CATEGORIE'!$FG$15*'ANALYSE - ERP =&gt; CATEGORIE'!$JW$15</f>
        <v>0</v>
      </c>
      <c r="Q7" s="458">
        <f>'ANALYSE - ERP =&gt; CATEGORIE'!$FG$15*'ANALYSE - ERP =&gt; CATEGORIE'!$JX$15</f>
        <v>0</v>
      </c>
      <c r="R7" s="458">
        <f>'ANALYSE - ERP =&gt; CATEGORIE'!$FG$15*'ANALYSE - ERP =&gt; CATEGORIE'!$JY$15</f>
        <v>0</v>
      </c>
      <c r="T7" s="430">
        <f>'ANALYSE - ERP =&gt; CATEGORIE'!$Q$15</f>
        <v>0</v>
      </c>
    </row>
    <row r="8" spans="1:20" ht="15" customHeight="1">
      <c r="A8" s="26">
        <v>5</v>
      </c>
      <c r="B8" s="26">
        <v>4</v>
      </c>
      <c r="C8" s="422">
        <f>'ANALYSE - ERP =&gt; CATEGORIE'!$A$14</f>
        <v>7</v>
      </c>
      <c r="D8" s="504" t="s">
        <v>2278</v>
      </c>
      <c r="E8" s="504" t="s">
        <v>8016</v>
      </c>
      <c r="F8" s="504" t="s">
        <v>8017</v>
      </c>
      <c r="H8" s="458">
        <f>'ANALYSE - ERP =&gt; CATEGORIE'!$BF$14*'ANALYSE - ERP =&gt; CATEGORIE'!$JP$14</f>
        <v>11738.215399999999</v>
      </c>
      <c r="I8" s="458">
        <f>'ANALYSE - ERP =&gt; CATEGORIE'!$BF$14*'ANALYSE - ERP =&gt; CATEGORIE'!$JQ$14</f>
        <v>96428.243199999997</v>
      </c>
      <c r="J8" s="458">
        <f>'ANALYSE - ERP =&gt; CATEGORIE'!$BF$14*'ANALYSE - ERP =&gt; CATEGORIE'!$JR$14</f>
        <v>94318.349400000036</v>
      </c>
      <c r="K8" s="458">
        <f>'ANALYSE - ERP =&gt; CATEGORIE'!$BF$14*'ANALYSE - ERP =&gt; CATEGORIE'!$JS$14</f>
        <v>10527.903999999999</v>
      </c>
      <c r="L8" s="458">
        <f>'ANALYSE - ERP =&gt; CATEGORIE'!$BF$14*'ANALYSE - ERP =&gt; CATEGORIE'!$JT$14</f>
        <v>8.2880000000000003</v>
      </c>
      <c r="N8" s="458">
        <f>'ANALYSE - ERP =&gt; CATEGORIE'!$FG$14*'ANALYSE - ERP =&gt; CATEGORIE'!$JU$14</f>
        <v>2654.6185276152446</v>
      </c>
      <c r="O8" s="458">
        <f>'ANALYSE - ERP =&gt; CATEGORIE'!$FG$14*'ANALYSE - ERP =&gt; CATEGORIE'!$JV$14</f>
        <v>32125.420684438628</v>
      </c>
      <c r="P8" s="458">
        <f>'ANALYSE - ERP =&gt; CATEGORIE'!$FG$14*'ANALYSE - ERP =&gt; CATEGORIE'!$JW$14</f>
        <v>35333.106784879477</v>
      </c>
      <c r="Q8" s="458">
        <f>'ANALYSE - ERP =&gt; CATEGORIE'!$FG$14*'ANALYSE - ERP =&gt; CATEGORIE'!$JX$14</f>
        <v>5284.3154033111459</v>
      </c>
      <c r="R8" s="458">
        <f>'ANALYSE - ERP =&gt; CATEGORIE'!$FG$14*'ANALYSE - ERP =&gt; CATEGORIE'!$JY$14</f>
        <v>306.1827021589765</v>
      </c>
      <c r="T8" s="430">
        <f>'ANALYSE - ERP =&gt; CATEGORIE'!$Q$14</f>
        <v>1</v>
      </c>
    </row>
    <row r="9" spans="1:20" ht="15" customHeight="1">
      <c r="A9" s="26">
        <v>6</v>
      </c>
      <c r="B9" s="26">
        <v>5</v>
      </c>
      <c r="C9" s="422">
        <f>'ANALYSE - ERP =&gt; CATEGORIE'!$A$10</f>
        <v>3</v>
      </c>
      <c r="D9" s="500" t="s">
        <v>3662</v>
      </c>
      <c r="E9" s="500" t="s">
        <v>8018</v>
      </c>
      <c r="F9" s="500" t="s">
        <v>8019</v>
      </c>
      <c r="H9" s="458">
        <f>'ANALYSE - ERP =&gt; CATEGORIE'!$BF$10*'ANALYSE - ERP =&gt; CATEGORIE'!$JP$10</f>
        <v>9268.2386999999981</v>
      </c>
      <c r="I9" s="458">
        <f>'ANALYSE - ERP =&gt; CATEGORIE'!$BF$10*'ANALYSE - ERP =&gt; CATEGORIE'!$JQ$10</f>
        <v>121281.13870000001</v>
      </c>
      <c r="J9" s="458">
        <f>'ANALYSE - ERP =&gt; CATEGORIE'!$BF$10*'ANALYSE - ERP =&gt; CATEGORIE'!$JR$10</f>
        <v>167213.06175000002</v>
      </c>
      <c r="K9" s="458">
        <f>'ANALYSE - ERP =&gt; CATEGORIE'!$BF$10*'ANALYSE - ERP =&gt; CATEGORIE'!$JS$10</f>
        <v>40049.343549999998</v>
      </c>
      <c r="L9" s="458">
        <f>'ANALYSE - ERP =&gt; CATEGORIE'!$BF$10*'ANALYSE - ERP =&gt; CATEGORIE'!$JT$10</f>
        <v>1988.7173000000005</v>
      </c>
      <c r="N9" s="458">
        <f>'ANALYSE - ERP =&gt; CATEGORIE'!$FG$10*'ANALYSE - ERP =&gt; CATEGORIE'!$JU$10</f>
        <v>1201.9604792827263</v>
      </c>
      <c r="O9" s="458">
        <f>'ANALYSE - ERP =&gt; CATEGORIE'!$FG$10*'ANALYSE - ERP =&gt; CATEGORIE'!$JV$10</f>
        <v>38977.620816919771</v>
      </c>
      <c r="P9" s="458">
        <f>'ANALYSE - ERP =&gt; CATEGORIE'!$FG$10*'ANALYSE - ERP =&gt; CATEGORIE'!$JW$10</f>
        <v>67637.259903453058</v>
      </c>
      <c r="Q9" s="458">
        <f>'ANALYSE - ERP =&gt; CATEGORIE'!$FG$10*'ANALYSE - ERP =&gt; CATEGORIE'!$JX$10</f>
        <v>23540.364897511125</v>
      </c>
      <c r="R9" s="458">
        <f>'ANALYSE - ERP =&gt; CATEGORIE'!$FG$10*'ANALYSE - ERP =&gt; CATEGORIE'!$JY$10</f>
        <v>2317.0303489500975</v>
      </c>
      <c r="T9" s="430">
        <f>'ANALYSE - ERP =&gt; CATEGORIE'!$Q$10</f>
        <v>1</v>
      </c>
    </row>
    <row r="10" spans="1:20" ht="15" customHeight="1">
      <c r="A10" s="26">
        <v>7</v>
      </c>
      <c r="B10" s="26">
        <v>7</v>
      </c>
      <c r="C10" s="422">
        <f>'ANALYSE - ERP =&gt; CATEGORIE'!$A$12</f>
        <v>5</v>
      </c>
      <c r="D10" s="502" t="s">
        <v>2264</v>
      </c>
      <c r="E10" s="502" t="s">
        <v>8014</v>
      </c>
      <c r="F10" s="502" t="s">
        <v>8015</v>
      </c>
      <c r="H10" s="458">
        <f>'ANALYSE - ERP =&gt; CATEGORIE'!$BF$12*'ANALYSE - ERP =&gt; CATEGORIE'!$JP$12</f>
        <v>27720.1</v>
      </c>
      <c r="I10" s="458">
        <f>'ANALYSE - ERP =&gt; CATEGORIE'!$BF$12*'ANALYSE - ERP =&gt; CATEGORIE'!$JQ$12</f>
        <v>293192.69</v>
      </c>
      <c r="J10" s="458">
        <f>'ANALYSE - ERP =&gt; CATEGORIE'!$BF$12*'ANALYSE - ERP =&gt; CATEGORIE'!$JR$12</f>
        <v>332691.65999999997</v>
      </c>
      <c r="K10" s="458">
        <f>'ANALYSE - ERP =&gt; CATEGORIE'!$BF$12*'ANALYSE - ERP =&gt; CATEGORIE'!$JS$12</f>
        <v>44649.389999999985</v>
      </c>
      <c r="L10" s="458">
        <f>'ANALYSE - ERP =&gt; CATEGORIE'!$BF$12*'ANALYSE - ERP =&gt; CATEGORIE'!$JT$12</f>
        <v>446.16</v>
      </c>
      <c r="N10" s="458">
        <f>'ANALYSE - ERP =&gt; CATEGORIE'!$FG$12*'ANALYSE - ERP =&gt; CATEGORIE'!$JU$12</f>
        <v>4227.0410054478116</v>
      </c>
      <c r="O10" s="458">
        <f>'ANALYSE - ERP =&gt; CATEGORIE'!$FG$12*'ANALYSE - ERP =&gt; CATEGORIE'!$JV$12</f>
        <v>95633.493169779031</v>
      </c>
      <c r="P10" s="458">
        <f>'ANALYSE - ERP =&gt; CATEGORIE'!$FG$12*'ANALYSE - ERP =&gt; CATEGORIE'!$JW$12</f>
        <v>123613.02691763539</v>
      </c>
      <c r="Q10" s="458">
        <f>'ANALYSE - ERP =&gt; CATEGORIE'!$FG$12*'ANALYSE - ERP =&gt; CATEGORIE'!$JX$12</f>
        <v>21149.263979559808</v>
      </c>
      <c r="R10" s="458">
        <f>'ANALYSE - ERP =&gt; CATEGORIE'!$FG$12*'ANALYSE - ERP =&gt; CATEGORIE'!$JY$12</f>
        <v>1471.0539964727766</v>
      </c>
      <c r="T10" s="430">
        <f>'ANALYSE - ERP =&gt; CATEGORIE'!$Q$12</f>
        <v>1</v>
      </c>
    </row>
    <row r="11" spans="1:20" s="45" customFormat="1" ht="15" customHeight="1">
      <c r="A11" s="26">
        <v>8</v>
      </c>
      <c r="B11" s="26">
        <v>8</v>
      </c>
      <c r="C11" s="422">
        <f>'ANALYSE - ERP =&gt; CATEGORIE'!$A$13</f>
        <v>6</v>
      </c>
      <c r="D11" s="506" t="s">
        <v>7117</v>
      </c>
      <c r="E11" s="506" t="s">
        <v>8020</v>
      </c>
      <c r="F11" s="506" t="s">
        <v>8021</v>
      </c>
      <c r="G11" s="685"/>
      <c r="H11" s="458">
        <f>'ANALYSE - ERP =&gt; CATEGORIE'!$BF$13*'ANALYSE - ERP =&gt; CATEGORIE'!$JP$13</f>
        <v>0</v>
      </c>
      <c r="I11" s="458">
        <f>'ANALYSE - ERP =&gt; CATEGORIE'!$BF$13*'ANALYSE - ERP =&gt; CATEGORIE'!$JQ$13</f>
        <v>0</v>
      </c>
      <c r="J11" s="458">
        <f>'ANALYSE - ERP =&gt; CATEGORIE'!$BF$13*'ANALYSE - ERP =&gt; CATEGORIE'!$JR$13</f>
        <v>0</v>
      </c>
      <c r="K11" s="458">
        <f>'ANALYSE - ERP =&gt; CATEGORIE'!$BF$13*'ANALYSE - ERP =&gt; CATEGORIE'!$JS$13</f>
        <v>0</v>
      </c>
      <c r="L11" s="458">
        <f>'ANALYSE - ERP =&gt; CATEGORIE'!$BF$13*'ANALYSE - ERP =&gt; CATEGORIE'!$JT$13</f>
        <v>0</v>
      </c>
      <c r="M11" s="685"/>
      <c r="N11" s="458">
        <f>'ANALYSE - ERP =&gt; CATEGORIE'!$FG$13*'ANALYSE - ERP =&gt; CATEGORIE'!$JU$13</f>
        <v>0</v>
      </c>
      <c r="O11" s="458">
        <f>'ANALYSE - ERP =&gt; CATEGORIE'!$FG$13*'ANALYSE - ERP =&gt; CATEGORIE'!$JV$13</f>
        <v>0</v>
      </c>
      <c r="P11" s="458">
        <f>'ANALYSE - ERP =&gt; CATEGORIE'!$FG$13*'ANALYSE - ERP =&gt; CATEGORIE'!$JW$13</f>
        <v>0</v>
      </c>
      <c r="Q11" s="458">
        <f>'ANALYSE - ERP =&gt; CATEGORIE'!$FG$13*'ANALYSE - ERP =&gt; CATEGORIE'!$JX$13</f>
        <v>0</v>
      </c>
      <c r="R11" s="458">
        <f>'ANALYSE - ERP =&gt; CATEGORIE'!$FG$13*'ANALYSE - ERP =&gt; CATEGORIE'!$JY$13</f>
        <v>0</v>
      </c>
      <c r="S11" s="685"/>
      <c r="T11" s="430">
        <f>'ANALYSE - ERP =&gt; CATEGORIE'!$Q$13</f>
        <v>0</v>
      </c>
    </row>
    <row r="12" spans="1:20" ht="15" customHeight="1">
      <c r="A12" s="26">
        <v>9</v>
      </c>
      <c r="B12" s="26">
        <v>9</v>
      </c>
      <c r="C12" s="422">
        <f>'ANALYSE - ERP =&gt; CATEGORIE'!$A$16</f>
        <v>9</v>
      </c>
      <c r="D12" s="508" t="s">
        <v>2285</v>
      </c>
      <c r="E12" s="508" t="s">
        <v>8022</v>
      </c>
      <c r="F12" s="508" t="s">
        <v>8023</v>
      </c>
      <c r="H12" s="458">
        <f>'ANALYSE - ERP =&gt; CATEGORIE'!$BF$16*'ANALYSE - ERP =&gt; CATEGORIE'!$JP$16</f>
        <v>4950.4292000000005</v>
      </c>
      <c r="I12" s="458">
        <f>'ANALYSE - ERP =&gt; CATEGORIE'!$BF$16*'ANALYSE - ERP =&gt; CATEGORIE'!$JQ$16</f>
        <v>35905.2042</v>
      </c>
      <c r="J12" s="458">
        <f>'ANALYSE - ERP =&gt; CATEGORIE'!$BF$16*'ANALYSE - ERP =&gt; CATEGORIE'!$JR$16</f>
        <v>29561.48</v>
      </c>
      <c r="K12" s="458">
        <f>'ANALYSE - ERP =&gt; CATEGORIE'!$BF$16*'ANALYSE - ERP =&gt; CATEGORIE'!$JS$16</f>
        <v>6325.6347999999998</v>
      </c>
      <c r="L12" s="458">
        <f>'ANALYSE - ERP =&gt; CATEGORIE'!$BF$16*'ANALYSE - ERP =&gt; CATEGORIE'!$JT$16</f>
        <v>825.2518</v>
      </c>
      <c r="N12" s="458">
        <f>'ANALYSE - ERP =&gt; CATEGORIE'!$FG$16*'ANALYSE - ERP =&gt; CATEGORIE'!$JU$16</f>
        <v>1517.6968181607633</v>
      </c>
      <c r="O12" s="458">
        <f>'ANALYSE - ERP =&gt; CATEGORIE'!$FG$16*'ANALYSE - ERP =&gt; CATEGORIE'!$JV$16</f>
        <v>16390.799011359195</v>
      </c>
      <c r="P12" s="458">
        <f>'ANALYSE - ERP =&gt; CATEGORIE'!$FG$16*'ANALYSE - ERP =&gt; CATEGORIE'!$JW$16</f>
        <v>15491.830827826276</v>
      </c>
      <c r="Q12" s="458">
        <f>'ANALYSE - ERP =&gt; CATEGORIE'!$FG$16*'ANALYSE - ERP =&gt; CATEGORIE'!$JX$16</f>
        <v>4366.2331208162996</v>
      </c>
      <c r="R12" s="458">
        <f>'ANALYSE - ERP =&gt; CATEGORIE'!$FG$16*'ANALYSE - ERP =&gt; CATEGORIE'!$JY$16</f>
        <v>919.84889737913102</v>
      </c>
      <c r="T12" s="430">
        <f>'ANALYSE - ERP =&gt; CATEGORIE'!$Q$16</f>
        <v>1</v>
      </c>
    </row>
    <row r="13" spans="1:20" s="45" customFormat="1" ht="15" customHeight="1">
      <c r="A13" s="406">
        <v>10</v>
      </c>
      <c r="B13" s="406">
        <v>10</v>
      </c>
      <c r="C13" s="448">
        <f>'ANALYSE - ERP =&gt; CATEGORIE'!$A$17</f>
        <v>10</v>
      </c>
      <c r="D13" s="518" t="s">
        <v>4908</v>
      </c>
      <c r="E13" s="518" t="s">
        <v>8024</v>
      </c>
      <c r="F13" s="519" t="s">
        <v>8025</v>
      </c>
      <c r="G13" s="685"/>
      <c r="H13" s="459">
        <f>'ANALYSE - ERP =&gt; CATEGORIE'!$BF$17*'ANALYSE - ERP =&gt; CATEGORIE'!$JP$17</f>
        <v>7694.5167999999994</v>
      </c>
      <c r="I13" s="459">
        <f>'ANALYSE - ERP =&gt; CATEGORIE'!$BF$17*'ANALYSE - ERP =&gt; CATEGORIE'!$JQ$17</f>
        <v>30897.6384</v>
      </c>
      <c r="J13" s="459">
        <f>'ANALYSE - ERP =&gt; CATEGORIE'!$BF$17*'ANALYSE - ERP =&gt; CATEGORIE'!$JR$17</f>
        <v>11152.286</v>
      </c>
      <c r="K13" s="459">
        <f>'ANALYSE - ERP =&gt; CATEGORIE'!$BF$17*'ANALYSE - ERP =&gt; CATEGORIE'!$JS$17</f>
        <v>1262.1558</v>
      </c>
      <c r="L13" s="459">
        <f>'ANALYSE - ERP =&gt; CATEGORIE'!$BF$17*'ANALYSE - ERP =&gt; CATEGORIE'!$JT$17</f>
        <v>28.402999999999999</v>
      </c>
      <c r="M13" s="685"/>
      <c r="N13" s="459">
        <f>'ANALYSE - ERP =&gt; CATEGORIE'!$FG$17*'ANALYSE - ERP =&gt; CATEGORIE'!$JU$17</f>
        <v>1613.2166505991706</v>
      </c>
      <c r="O13" s="459">
        <f>'ANALYSE - ERP =&gt; CATEGORIE'!$FG$17*'ANALYSE - ERP =&gt; CATEGORIE'!$JV$17</f>
        <v>14627.720632579098</v>
      </c>
      <c r="P13" s="459">
        <f>'ANALYSE - ERP =&gt; CATEGORIE'!$FG$17*'ANALYSE - ERP =&gt; CATEGORIE'!$JW$17</f>
        <v>9125.0313369197538</v>
      </c>
      <c r="Q13" s="459">
        <f>'ANALYSE - ERP =&gt; CATEGORIE'!$FG$17*'ANALYSE - ERP =&gt; CATEGORIE'!$JX$17</f>
        <v>1068.1175275385024</v>
      </c>
      <c r="R13" s="459">
        <f>'ANALYSE - ERP =&gt; CATEGORIE'!$FG$17*'ANALYSE - ERP =&gt; CATEGORIE'!$JY$17</f>
        <v>41.761295530798634</v>
      </c>
      <c r="S13" s="685"/>
      <c r="T13" s="450">
        <f>'ANALYSE - ERP =&gt; CATEGORIE'!$Q$17</f>
        <v>1</v>
      </c>
    </row>
    <row r="14" spans="1:20" ht="15" customHeight="1">
      <c r="A14" s="26">
        <v>11</v>
      </c>
      <c r="B14" s="26">
        <v>11</v>
      </c>
      <c r="C14" s="422">
        <f>'ANALYSE - ERP =&gt; CATEGORIE'!$A$18</f>
        <v>11</v>
      </c>
      <c r="D14" s="502" t="s">
        <v>2163</v>
      </c>
      <c r="E14" s="502" t="s">
        <v>2163</v>
      </c>
      <c r="F14" s="502" t="s">
        <v>2164</v>
      </c>
      <c r="H14" s="458">
        <f>'ANALYSE - ERP =&gt; CATEGORIE'!$BF$18*'ANALYSE - ERP =&gt; CATEGORIE'!$JP$18</f>
        <v>4540.308</v>
      </c>
      <c r="I14" s="458">
        <f>'ANALYSE - ERP =&gt; CATEGORIE'!$BF$18*'ANALYSE - ERP =&gt; CATEGORIE'!$JQ$18</f>
        <v>9247.7309999999998</v>
      </c>
      <c r="J14" s="458">
        <f>'ANALYSE - ERP =&gt; CATEGORIE'!$BF$18*'ANALYSE - ERP =&gt; CATEGORIE'!$JR$18</f>
        <v>1721.961</v>
      </c>
      <c r="K14" s="458">
        <f>'ANALYSE - ERP =&gt; CATEGORIE'!$BF$18*'ANALYSE - ERP =&gt; CATEGORIE'!$JS$18</f>
        <v>0</v>
      </c>
      <c r="L14" s="458">
        <f>'ANALYSE - ERP =&gt; CATEGORIE'!$BF$18*'ANALYSE - ERP =&gt; CATEGORIE'!$JT$18</f>
        <v>0</v>
      </c>
      <c r="N14" s="458">
        <f>'ANALYSE - ERP =&gt; CATEGORIE'!$FG$18*'ANALYSE - ERP =&gt; CATEGORIE'!$JU$18</f>
        <v>2166.4598777304855</v>
      </c>
      <c r="O14" s="458">
        <f>'ANALYSE - ERP =&gt; CATEGORIE'!$FG$18*'ANALYSE - ERP =&gt; CATEGORIE'!$JV$18</f>
        <v>4686.0040385103712</v>
      </c>
      <c r="P14" s="458">
        <f>'ANALYSE - ERP =&gt; CATEGORIE'!$FG$18*'ANALYSE - ERP =&gt; CATEGORIE'!$JW$18</f>
        <v>1087.0624953960696</v>
      </c>
      <c r="Q14" s="458">
        <f>'ANALYSE - ERP =&gt; CATEGORIE'!$FG$18*'ANALYSE - ERP =&gt; CATEGORIE'!$JX$18</f>
        <v>161.44538734101579</v>
      </c>
      <c r="R14" s="458">
        <f>'ANALYSE - ERP =&gt; CATEGORIE'!$FG$18*'ANALYSE - ERP =&gt; CATEGORIE'!$JY$18</f>
        <v>36.050911736343323</v>
      </c>
      <c r="T14" s="430">
        <f>'ANALYSE - ERP =&gt; CATEGORIE'!$Q$18</f>
        <v>1</v>
      </c>
    </row>
  </sheetData>
  <pageMargins left="3.937007874015748E-2" right="3.937007874015748E-2" top="7.874015748031496E-2" bottom="7.874015748031496E-2" header="0.11811023622047249" footer="0.11811023622047249"/>
  <pageSetup paperSize="8" scale="85" fitToHeight="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76</vt:i4>
      </vt:variant>
      <vt:variant>
        <vt:lpstr>Plages nommées</vt:lpstr>
      </vt:variant>
      <vt:variant>
        <vt:i4>35</vt:i4>
      </vt:variant>
    </vt:vector>
  </HeadingPairs>
  <TitlesOfParts>
    <vt:vector size="111" baseType="lpstr">
      <vt:lpstr>Hypothèses - DuréeVie - ERP&amp;Pdt</vt:lpstr>
      <vt:lpstr>Split Neuf-Réno selon CHAT</vt:lpstr>
      <vt:lpstr>Chat avec Chat</vt:lpstr>
      <vt:lpstr>Re-Challenge Data</vt:lpstr>
      <vt:lpstr>Détail Recherche - Nbre ERP</vt:lpstr>
      <vt:lpstr>ERP -Sans sanitaires collectifs</vt:lpstr>
      <vt:lpstr>Risque de doublons ERP</vt:lpstr>
      <vt:lpstr>Méthode et limites</vt:lpstr>
      <vt:lpstr>ANALYSE - ERP =&gt; SOUS-SEGMENT</vt:lpstr>
      <vt:lpstr>ANALYSE - ERP =&gt; SEGMENT (2)</vt:lpstr>
      <vt:lpstr>ANALYSE - ERP =&gt; CATEGORIE (2)</vt:lpstr>
      <vt:lpstr>Nbre Etab. &amp; Pièces Parc 25-30</vt:lpstr>
      <vt:lpstr>ANALYSE - ERP =&gt; SEGMENT</vt:lpstr>
      <vt:lpstr>ANALYSE - ERP =&gt; CATEGORIE</vt:lpstr>
      <vt:lpstr>Check Volume Marché Robi FRA</vt:lpstr>
      <vt:lpstr>Check Valeur Marché Robi FRA</vt:lpstr>
      <vt:lpstr>Mix Tech Lavabo Parc 25-30</vt:lpstr>
      <vt:lpstr>Méthode dimensionnement</vt:lpstr>
      <vt:lpstr>Méthodo-VOL26-30-Neuf&amp;Réno =&gt;</vt:lpstr>
      <vt:lpstr>VOL Ventes 26-30 Neuf-Réno TOT</vt:lpstr>
      <vt:lpstr>&lt;= MéthodoOpportunitéNeufReno</vt:lpstr>
      <vt:lpstr>VOL Ventes 26-30 Neuf-Réno PDT</vt:lpstr>
      <vt:lpstr>VOL Ventes 26-30 Neuf-Réno LAV</vt:lpstr>
      <vt:lpstr>VOL Ventes 26-30 Neuf-Réno DOU</vt:lpstr>
      <vt:lpstr>VOL Ventes 26-30 Neuf-Réno URI</vt:lpstr>
      <vt:lpstr>VOL Ventes 26-30 Neuf-Réno WC</vt:lpstr>
      <vt:lpstr>Confort% Parc25Ventes26-30 TOT </vt:lpstr>
      <vt:lpstr>Confort-VOLParc25Vente26-30TOT</vt:lpstr>
      <vt:lpstr>Confort% Parc25Ventes26-30 LAV </vt:lpstr>
      <vt:lpstr>Confort-VOLParc25Vente26-30LAV </vt:lpstr>
      <vt:lpstr>Confort% Parc25Ventes26-30 DOU </vt:lpstr>
      <vt:lpstr>Confort-VOLParc25Vente26-30DOU</vt:lpstr>
      <vt:lpstr>Confort% Parc25Ventes26-30 URI </vt:lpstr>
      <vt:lpstr>Confort-VOLParc25Vente26-30URI</vt:lpstr>
      <vt:lpstr>Confort% Parc25Ventes26-30 WC </vt:lpstr>
      <vt:lpstr>Confort-VOLParc25Vente26-30WC</vt:lpstr>
      <vt:lpstr>Nbre Etab. &amp; Pièces SEG 25-30</vt:lpstr>
      <vt:lpstr>Mix Tech Lavabo SEG 25-30</vt:lpstr>
      <vt:lpstr>Méthodo-VOL26-30 NR SEG</vt:lpstr>
      <vt:lpstr>VOL Vtes 26-30 NR TOT SEG</vt:lpstr>
      <vt:lpstr>MéthodoOppNR SEG</vt:lpstr>
      <vt:lpstr>VOL Vtes 26-30 NR PDT SEG</vt:lpstr>
      <vt:lpstr>VOL Vtes 26-30 NR LAV SEG</vt:lpstr>
      <vt:lpstr>VOL Vtes 26-30 NR DOU SEG</vt:lpstr>
      <vt:lpstr>VOL Vtes 26-30 NR URI SEG</vt:lpstr>
      <vt:lpstr>VOL Vtes 26-30 NR WC SEG</vt:lpstr>
      <vt:lpstr>Confort% P25V26-30 TOT SEG</vt:lpstr>
      <vt:lpstr>ConfortVOLP25V26-30TOT SEG</vt:lpstr>
      <vt:lpstr>Confort% P25V26-30 LAV SEG</vt:lpstr>
      <vt:lpstr>ConfortVOLP25V26-30LAV SEG</vt:lpstr>
      <vt:lpstr>Confort% P25V26-30 DOU SEG</vt:lpstr>
      <vt:lpstr>ConfortVOLP25V26-30DOU SEG</vt:lpstr>
      <vt:lpstr>Confort% P25V26-30 URI SEG</vt:lpstr>
      <vt:lpstr>ConfortVOLP25V26-30URI SEG</vt:lpstr>
      <vt:lpstr>Confort% P25V26-30 WC SEG</vt:lpstr>
      <vt:lpstr>ConfortVOLP25V26-30WC SEG</vt:lpstr>
      <vt:lpstr>Nbre Etab. &amp; Pièces CAT 25-30</vt:lpstr>
      <vt:lpstr>Mix Tech Lavabo CAT 25-30</vt:lpstr>
      <vt:lpstr>Méthodo-VOL26-30 NR CAT</vt:lpstr>
      <vt:lpstr>VOL Vtes 26-30 NR TOT CAT</vt:lpstr>
      <vt:lpstr>MéthodoOppNR CAT</vt:lpstr>
      <vt:lpstr>VOL Vtes 26-30 NR PDT CAT</vt:lpstr>
      <vt:lpstr>VOL Vtes 26-30 NR LAV CAT</vt:lpstr>
      <vt:lpstr>VOL Vtes 26-30 NR DOU CAT</vt:lpstr>
      <vt:lpstr>VOL Vtes 26-30 NR URI CAT</vt:lpstr>
      <vt:lpstr>VOL Vtes 26-30 NR WC CAT</vt:lpstr>
      <vt:lpstr>Confort% P25V26-30 TOT CAT</vt:lpstr>
      <vt:lpstr>ConfortVOLP25V26-30TOT CAT</vt:lpstr>
      <vt:lpstr>Confort% P25V26-30 LAV CAT</vt:lpstr>
      <vt:lpstr>ConfortVOLP25V26-30LAV CAT</vt:lpstr>
      <vt:lpstr>Confort% P25V26-30 DOU CAT</vt:lpstr>
      <vt:lpstr>ConfortVOLP25V26-30DOU CAT</vt:lpstr>
      <vt:lpstr>Confort% P25V26-30 URI CAT</vt:lpstr>
      <vt:lpstr>ConfortVOLP25V26-30URI CAT</vt:lpstr>
      <vt:lpstr>Confort% P25V26-30 WC CAT</vt:lpstr>
      <vt:lpstr>ConfortVOLP25V26-30WC CAT</vt:lpstr>
      <vt:lpstr>'Confort% Parc25Ventes26-30 DOU '!Impression_des_titres</vt:lpstr>
      <vt:lpstr>'Confort% Parc25Ventes26-30 TOT '!Impression_des_titres</vt:lpstr>
      <vt:lpstr>'Confort% Parc25Ventes26-30 URI '!Impression_des_titres</vt:lpstr>
      <vt:lpstr>'Confort% Parc25Ventes26-30 WC '!Impression_des_titres</vt:lpstr>
      <vt:lpstr>'Confort-VOLParc25Vente26-30LAV '!Impression_des_titres</vt:lpstr>
      <vt:lpstr>'Confort-VOLParc25Vente26-30TOT'!Impression_des_titres</vt:lpstr>
      <vt:lpstr>'Confort-VOLParc25Vente26-30URI'!Impression_des_titres</vt:lpstr>
      <vt:lpstr>'Méthodo-VOL26-30-Neuf&amp;Réno =&gt;'!Impression_des_titres</vt:lpstr>
      <vt:lpstr>'Mix Tech Lavabo Parc 25-30'!Impression_des_titres</vt:lpstr>
      <vt:lpstr>'Nbre Etab. &amp; Pièces Parc 25-30'!Impression_des_titres</vt:lpstr>
      <vt:lpstr>'VOL Ventes 26-30 Neuf-Réno DOU'!Impression_des_titres</vt:lpstr>
      <vt:lpstr>'VOL Ventes 26-30 Neuf-Réno LAV'!Impression_des_titres</vt:lpstr>
      <vt:lpstr>'VOL Ventes 26-30 Neuf-Réno TOT'!Impression_des_titres</vt:lpstr>
      <vt:lpstr>'VOL Ventes 26-30 Neuf-Réno URI'!Impression_des_titres</vt:lpstr>
      <vt:lpstr>'VOL Ventes 26-30 Neuf-Réno WC'!Impression_des_titres</vt:lpstr>
      <vt:lpstr>'&lt;= MéthodoOpportunitéNeufReno'!Zone_d_impression</vt:lpstr>
      <vt:lpstr>'Confort% Parc25Ventes26-30 DOU '!Zone_d_impression</vt:lpstr>
      <vt:lpstr>'Confort% Parc25Ventes26-30 LAV '!Zone_d_impression</vt:lpstr>
      <vt:lpstr>'Confort% Parc25Ventes26-30 TOT '!Zone_d_impression</vt:lpstr>
      <vt:lpstr>'Confort% Parc25Ventes26-30 URI '!Zone_d_impression</vt:lpstr>
      <vt:lpstr>'Confort% Parc25Ventes26-30 WC '!Zone_d_impression</vt:lpstr>
      <vt:lpstr>'Confort-VOLParc25Vente26-30DOU'!Zone_d_impression</vt:lpstr>
      <vt:lpstr>'Confort-VOLParc25Vente26-30LAV '!Zone_d_impression</vt:lpstr>
      <vt:lpstr>'Confort-VOLParc25Vente26-30TOT'!Zone_d_impression</vt:lpstr>
      <vt:lpstr>'Confort-VOLParc25Vente26-30URI'!Zone_d_impression</vt:lpstr>
      <vt:lpstr>'Méthode dimensionnement'!Zone_d_impression</vt:lpstr>
      <vt:lpstr>'Méthodo-VOL26-30-Neuf&amp;Réno =&gt;'!Zone_d_impression</vt:lpstr>
      <vt:lpstr>'Mix Tech Lavabo Parc 25-30'!Zone_d_impression</vt:lpstr>
      <vt:lpstr>'Nbre Etab. &amp; Pièces Parc 25-30'!Zone_d_impression</vt:lpstr>
      <vt:lpstr>'VOL Ventes 26-30 Neuf-Réno DOU'!Zone_d_impression</vt:lpstr>
      <vt:lpstr>'VOL Ventes 26-30 Neuf-Réno LAV'!Zone_d_impression</vt:lpstr>
      <vt:lpstr>'VOL Ventes 26-30 Neuf-Réno PDT'!Zone_d_impression</vt:lpstr>
      <vt:lpstr>'VOL Ventes 26-30 Neuf-Réno TOT'!Zone_d_impression</vt:lpstr>
      <vt:lpstr>'VOL Ventes 26-30 Neuf-Réno URI'!Zone_d_impression</vt:lpstr>
      <vt:lpstr>'VOL Ventes 26-30 Neuf-Réno WC'!Zone_d_impression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BEDOS Alexandre</cp:lastModifiedBy>
  <cp:lastPrinted>2026-05-12T11:57:06Z</cp:lastPrinted>
  <dcterms:created xsi:type="dcterms:W3CDTF">2026-04-01T12:48:35Z</dcterms:created>
  <dcterms:modified xsi:type="dcterms:W3CDTF">2026-06-04T13:56:39Z</dcterms:modified>
</cp:coreProperties>
</file>